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1.xml" ContentType="application/vnd.openxmlformats-officedocument.spreadsheetml.comments+xml"/>
  <Override PartName="/xl/pivotTables/pivotTable10.xml" ContentType="application/vnd.openxmlformats-officedocument.spreadsheetml.pivotTab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Mi unidad\ACCESS\Commission Data\2026\2601\"/>
    </mc:Choice>
  </mc:AlternateContent>
  <xr:revisionPtr revIDLastSave="0" documentId="13_ncr:1_{6E635EC3-0742-4EA3-862C-4FFD77CCD588}" xr6:coauthVersionLast="47" xr6:coauthVersionMax="47" xr10:uidLastSave="{00000000-0000-0000-0000-000000000000}"/>
  <bookViews>
    <workbookView xWindow="-120" yWindow="-120" windowWidth="20730" windowHeight="11040" tabRatio="722" activeTab="2" xr2:uid="{00000000-000D-0000-FFFF-FFFF00000000}"/>
  </bookViews>
  <sheets>
    <sheet name="List" sheetId="17" r:id="rId1"/>
    <sheet name="rate" sheetId="4" r:id="rId2"/>
    <sheet name="CASO" sheetId="1" r:id="rId3"/>
    <sheet name="InvBal" sheetId="5" r:id="rId4"/>
    <sheet name="CASOPOInvCL" sheetId="2" r:id="rId5"/>
    <sheet name="CAARStatus" sheetId="3" r:id="rId6"/>
    <sheet name="Conta" sheetId="12" state="hidden" r:id="rId7"/>
    <sheet name="Receivable Invoice Detail" sheetId="14" r:id="rId8"/>
    <sheet name="Pvt" sheetId="19" r:id="rId9"/>
    <sheet name="Sheet1" sheetId="25" r:id="rId10"/>
    <sheet name="Sales Deal" sheetId="21" r:id="rId11"/>
    <sheet name="ComTack" sheetId="16" r:id="rId12"/>
    <sheet name="Manual" sheetId="18" r:id="rId13"/>
    <sheet name="Detail1" sheetId="23" r:id="rId14"/>
    <sheet name="Detail2" sheetId="24" r:id="rId15"/>
    <sheet name="MgrCom" sheetId="22" r:id="rId16"/>
  </sheets>
  <definedNames>
    <definedName name="_xlnm._FilterDatabase" localSheetId="5" hidden="1">CAARStatus!$A$1:$Y$1263</definedName>
    <definedName name="_xlnm._FilterDatabase" localSheetId="2" hidden="1">CASO!$A$1:$S$1151</definedName>
    <definedName name="_xlnm._FilterDatabase" localSheetId="4" hidden="1">CASOPOInvCL!$A$1:$AW$1228</definedName>
    <definedName name="_xlnm._FilterDatabase" localSheetId="11" hidden="1">ComTack!$A$1:$AT$1607</definedName>
    <definedName name="_xlnm._FilterDatabase" localSheetId="6" hidden="1">Conta!$A$1:$N$1323</definedName>
    <definedName name="_xlnm._FilterDatabase" localSheetId="7" hidden="1">'Receivable Invoice Detail'!$A$1:$T$2782</definedName>
    <definedName name="Deal_Type">List!$A$1:$A$4</definedName>
    <definedName name="Deat_Type">#REF!</definedName>
    <definedName name="Employee">List!$O$1:$O$16</definedName>
    <definedName name="Quater">List!$B$19:$B$26</definedName>
  </definedNames>
  <calcPr calcId="191029"/>
  <pivotCaches>
    <pivotCache cacheId="2" r:id="rId17"/>
    <pivotCache cacheId="3" r:id="rId18"/>
    <pivotCache cacheId="4" r:id="rId19"/>
    <pivotCache cacheId="5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9" l="1"/>
  <c r="AQ681" i="16"/>
  <c r="AB1337" i="16"/>
  <c r="AA1337" i="16"/>
  <c r="Z1337" i="16"/>
  <c r="Y1337" i="16"/>
  <c r="AB1336" i="16"/>
  <c r="AA1336" i="16"/>
  <c r="Z1336" i="16"/>
  <c r="Y1336" i="16"/>
  <c r="AB1335" i="16"/>
  <c r="AA1335" i="16"/>
  <c r="Z1335" i="16"/>
  <c r="Y1335" i="16"/>
  <c r="AB1334" i="16"/>
  <c r="AA1334" i="16"/>
  <c r="Z1334" i="16"/>
  <c r="Y1334" i="16"/>
  <c r="AB1333" i="16"/>
  <c r="AA1333" i="16"/>
  <c r="Z1333" i="16"/>
  <c r="Y1333" i="16"/>
  <c r="AB1332" i="16"/>
  <c r="AA1332" i="16"/>
  <c r="Z1332" i="16"/>
  <c r="Y1332" i="16"/>
  <c r="AB1331" i="16"/>
  <c r="AA1331" i="16"/>
  <c r="Z1331" i="16"/>
  <c r="Y1331" i="16"/>
  <c r="AB1330" i="16"/>
  <c r="AA1330" i="16"/>
  <c r="Z1330" i="16"/>
  <c r="Y1330" i="16"/>
  <c r="AB1329" i="16"/>
  <c r="AA1329" i="16"/>
  <c r="Z1329" i="16"/>
  <c r="Y1329" i="16"/>
  <c r="AB1328" i="16"/>
  <c r="AA1328" i="16"/>
  <c r="Z1328" i="16"/>
  <c r="Y1328" i="16"/>
  <c r="AB1327" i="16"/>
  <c r="AA1327" i="16"/>
  <c r="Z1327" i="16"/>
  <c r="Y1327" i="16"/>
  <c r="AB1326" i="16"/>
  <c r="AA1326" i="16"/>
  <c r="Z1326" i="16"/>
  <c r="Y1326" i="16"/>
  <c r="AB1325" i="16"/>
  <c r="AA1325" i="16"/>
  <c r="Z1325" i="16"/>
  <c r="Y1325" i="16"/>
  <c r="AB1324" i="16"/>
  <c r="AA1324" i="16"/>
  <c r="Z1324" i="16"/>
  <c r="Y1324" i="16"/>
  <c r="AB1323" i="16"/>
  <c r="AA1323" i="16"/>
  <c r="Z1323" i="16"/>
  <c r="Y1323" i="16"/>
  <c r="AB1322" i="16"/>
  <c r="AA1322" i="16"/>
  <c r="Z1322" i="16"/>
  <c r="Y1322" i="16"/>
  <c r="AB1321" i="16"/>
  <c r="AA1321" i="16"/>
  <c r="Z1321" i="16"/>
  <c r="Y1321" i="16"/>
  <c r="AB1320" i="16"/>
  <c r="AA1320" i="16"/>
  <c r="Z1320" i="16"/>
  <c r="Y1320" i="16"/>
  <c r="AB1319" i="16"/>
  <c r="AA1319" i="16"/>
  <c r="Z1319" i="16"/>
  <c r="Y1319" i="16"/>
  <c r="AB1318" i="16"/>
  <c r="AA1318" i="16"/>
  <c r="Z1318" i="16"/>
  <c r="Y1318" i="16"/>
  <c r="AB1317" i="16"/>
  <c r="AA1317" i="16"/>
  <c r="Z1317" i="16"/>
  <c r="Y1317" i="16"/>
  <c r="AB1316" i="16"/>
  <c r="AA1316" i="16"/>
  <c r="Z1316" i="16"/>
  <c r="Y1316" i="16"/>
  <c r="AB1315" i="16"/>
  <c r="AA1315" i="16"/>
  <c r="Z1315" i="16"/>
  <c r="Y1315" i="16"/>
  <c r="AB1314" i="16"/>
  <c r="AA1314" i="16"/>
  <c r="Z1314" i="16"/>
  <c r="Y1314" i="16"/>
  <c r="AB1313" i="16"/>
  <c r="AA1313" i="16"/>
  <c r="Z1313" i="16"/>
  <c r="Y1313" i="16"/>
  <c r="AB1312" i="16"/>
  <c r="AA1312" i="16"/>
  <c r="Z1312" i="16"/>
  <c r="Y1312" i="16"/>
  <c r="AB1311" i="16"/>
  <c r="AA1311" i="16"/>
  <c r="Z1311" i="16"/>
  <c r="Y1311" i="16"/>
  <c r="AB1310" i="16"/>
  <c r="AA1310" i="16"/>
  <c r="Z1310" i="16"/>
  <c r="Y1310" i="16"/>
  <c r="AB1309" i="16"/>
  <c r="AA1309" i="16"/>
  <c r="Z1309" i="16"/>
  <c r="Y1309" i="16"/>
  <c r="AB1308" i="16"/>
  <c r="AA1308" i="16"/>
  <c r="Z1308" i="16"/>
  <c r="Y1308" i="16"/>
  <c r="AB1307" i="16"/>
  <c r="AA1307" i="16"/>
  <c r="Z1307" i="16"/>
  <c r="Y1307" i="16"/>
  <c r="AB1306" i="16"/>
  <c r="AA1306" i="16"/>
  <c r="Z1306" i="16"/>
  <c r="Y1306" i="16"/>
  <c r="AB1305" i="16"/>
  <c r="AA1305" i="16"/>
  <c r="Z1305" i="16"/>
  <c r="Y1305" i="16"/>
  <c r="AB1304" i="16"/>
  <c r="AA1304" i="16"/>
  <c r="Z1304" i="16"/>
  <c r="Y1304" i="16"/>
  <c r="AB1303" i="16"/>
  <c r="AA1303" i="16"/>
  <c r="Z1303" i="16"/>
  <c r="Y1303" i="16"/>
  <c r="AB1302" i="16"/>
  <c r="AA1302" i="16"/>
  <c r="Z1302" i="16"/>
  <c r="Y1302" i="16"/>
  <c r="AB1301" i="16"/>
  <c r="AA1301" i="16"/>
  <c r="Z1301" i="16"/>
  <c r="Y1301" i="16"/>
  <c r="AB1300" i="16"/>
  <c r="AA1300" i="16"/>
  <c r="Z1300" i="16"/>
  <c r="Y1300" i="16"/>
  <c r="AB1299" i="16"/>
  <c r="AA1299" i="16"/>
  <c r="Z1299" i="16"/>
  <c r="Y1299" i="16"/>
  <c r="AB1298" i="16"/>
  <c r="AA1298" i="16"/>
  <c r="Z1298" i="16"/>
  <c r="Y1298" i="16"/>
  <c r="AB1297" i="16"/>
  <c r="AA1297" i="16"/>
  <c r="Z1297" i="16"/>
  <c r="Y1297" i="16"/>
  <c r="AB1296" i="16"/>
  <c r="AA1296" i="16"/>
  <c r="Z1296" i="16"/>
  <c r="Y1296" i="16"/>
  <c r="AB1295" i="16"/>
  <c r="AA1295" i="16"/>
  <c r="Z1295" i="16"/>
  <c r="Y1295" i="16"/>
  <c r="AB1294" i="16"/>
  <c r="AA1294" i="16"/>
  <c r="Z1294" i="16"/>
  <c r="Y1294" i="16"/>
  <c r="AB1293" i="16"/>
  <c r="AA1293" i="16"/>
  <c r="Z1293" i="16"/>
  <c r="Y1293" i="16"/>
  <c r="AB1292" i="16"/>
  <c r="AA1292" i="16"/>
  <c r="Z1292" i="16"/>
  <c r="Y1292" i="16"/>
  <c r="AB1291" i="16"/>
  <c r="AA1291" i="16"/>
  <c r="Z1291" i="16"/>
  <c r="Y1291" i="16"/>
  <c r="AB1290" i="16"/>
  <c r="AA1290" i="16"/>
  <c r="Z1290" i="16"/>
  <c r="Y1290" i="16"/>
  <c r="AB1289" i="16"/>
  <c r="AA1289" i="16"/>
  <c r="Z1289" i="16"/>
  <c r="Y1289" i="16"/>
  <c r="AB1288" i="16"/>
  <c r="AA1288" i="16"/>
  <c r="Z1288" i="16"/>
  <c r="Y1288" i="16"/>
  <c r="AB1287" i="16"/>
  <c r="AA1287" i="16"/>
  <c r="Z1287" i="16"/>
  <c r="Y1287" i="16"/>
  <c r="AB1286" i="16"/>
  <c r="AA1286" i="16"/>
  <c r="Z1286" i="16"/>
  <c r="Y1286" i="16"/>
  <c r="AB1285" i="16"/>
  <c r="AA1285" i="16"/>
  <c r="Z1285" i="16"/>
  <c r="Y1285" i="16"/>
  <c r="AB1284" i="16"/>
  <c r="AA1284" i="16"/>
  <c r="Z1284" i="16"/>
  <c r="Y1284" i="16"/>
  <c r="AB1283" i="16"/>
  <c r="AA1283" i="16"/>
  <c r="Z1283" i="16"/>
  <c r="Y1283" i="16"/>
  <c r="AB1282" i="16"/>
  <c r="AA1282" i="16"/>
  <c r="Z1282" i="16"/>
  <c r="Y1282" i="16"/>
  <c r="AB1281" i="16"/>
  <c r="AA1281" i="16"/>
  <c r="Z1281" i="16"/>
  <c r="Y1281" i="16"/>
  <c r="AB1280" i="16"/>
  <c r="AA1280" i="16"/>
  <c r="Z1280" i="16"/>
  <c r="Y1280" i="16"/>
  <c r="AB1279" i="16"/>
  <c r="AA1279" i="16"/>
  <c r="Z1279" i="16"/>
  <c r="Y1279" i="16"/>
  <c r="AB1278" i="16"/>
  <c r="AA1278" i="16"/>
  <c r="Z1278" i="16"/>
  <c r="Y1278" i="16"/>
  <c r="AB1277" i="16"/>
  <c r="AA1277" i="16"/>
  <c r="Z1277" i="16"/>
  <c r="Y1277" i="16"/>
  <c r="AB1276" i="16"/>
  <c r="AA1276" i="16"/>
  <c r="Z1276" i="16"/>
  <c r="Y1276" i="16"/>
  <c r="AB1275" i="16"/>
  <c r="AA1275" i="16"/>
  <c r="Z1275" i="16"/>
  <c r="Y1275" i="16"/>
  <c r="AB1274" i="16"/>
  <c r="AA1274" i="16"/>
  <c r="Z1274" i="16"/>
  <c r="Y1274" i="16"/>
  <c r="AB1273" i="16"/>
  <c r="AA1273" i="16"/>
  <c r="Z1273" i="16"/>
  <c r="Y1273" i="16"/>
  <c r="AB1272" i="16"/>
  <c r="AA1272" i="16"/>
  <c r="Z1272" i="16"/>
  <c r="Y1272" i="16"/>
  <c r="AB1271" i="16"/>
  <c r="AA1271" i="16"/>
  <c r="Z1271" i="16"/>
  <c r="Y1271" i="16"/>
  <c r="AB1270" i="16"/>
  <c r="AA1270" i="16"/>
  <c r="Z1270" i="16"/>
  <c r="Y1270" i="16"/>
  <c r="AB1269" i="16"/>
  <c r="AA1269" i="16"/>
  <c r="Z1269" i="16"/>
  <c r="Y1269" i="16"/>
  <c r="AB1268" i="16"/>
  <c r="AA1268" i="16"/>
  <c r="Z1268" i="16"/>
  <c r="Y1268" i="16"/>
  <c r="AB1267" i="16"/>
  <c r="AA1267" i="16"/>
  <c r="Z1267" i="16"/>
  <c r="Y1267" i="16"/>
  <c r="AB1266" i="16"/>
  <c r="AA1266" i="16"/>
  <c r="Z1266" i="16"/>
  <c r="Y1266" i="16"/>
  <c r="AB1265" i="16"/>
  <c r="AA1265" i="16"/>
  <c r="Z1265" i="16"/>
  <c r="Y1265" i="16"/>
  <c r="AB1264" i="16"/>
  <c r="AA1264" i="16"/>
  <c r="Z1264" i="16"/>
  <c r="Y1264" i="16"/>
  <c r="AB1263" i="16"/>
  <c r="AA1263" i="16"/>
  <c r="Z1263" i="16"/>
  <c r="Y1263" i="16"/>
  <c r="AB1262" i="16"/>
  <c r="AA1262" i="16"/>
  <c r="Z1262" i="16"/>
  <c r="Y1262" i="16"/>
  <c r="AB1261" i="16"/>
  <c r="AA1261" i="16"/>
  <c r="Z1261" i="16"/>
  <c r="Y1261" i="16"/>
  <c r="AB1260" i="16"/>
  <c r="AA1260" i="16"/>
  <c r="Z1260" i="16"/>
  <c r="Y1260" i="16"/>
  <c r="AB1259" i="16"/>
  <c r="AA1259" i="16"/>
  <c r="Z1259" i="16"/>
  <c r="Y1259" i="16"/>
  <c r="AB1258" i="16"/>
  <c r="AA1258" i="16"/>
  <c r="Z1258" i="16"/>
  <c r="Y1258" i="16"/>
  <c r="AB1257" i="16"/>
  <c r="AA1257" i="16"/>
  <c r="Z1257" i="16"/>
  <c r="Y1257" i="16"/>
  <c r="AB1256" i="16"/>
  <c r="AA1256" i="16"/>
  <c r="Z1256" i="16"/>
  <c r="Y1256" i="16"/>
  <c r="AB1255" i="16"/>
  <c r="AA1255" i="16"/>
  <c r="Z1255" i="16"/>
  <c r="Y1255" i="16"/>
  <c r="AB1254" i="16"/>
  <c r="AA1254" i="16"/>
  <c r="Z1254" i="16"/>
  <c r="Y1254" i="16"/>
  <c r="AB1253" i="16"/>
  <c r="AA1253" i="16"/>
  <c r="Z1253" i="16"/>
  <c r="Y1253" i="16"/>
  <c r="AB1252" i="16"/>
  <c r="AA1252" i="16"/>
  <c r="Z1252" i="16"/>
  <c r="Y1252" i="16"/>
  <c r="AB1251" i="16"/>
  <c r="AA1251" i="16"/>
  <c r="Z1251" i="16"/>
  <c r="Y1251" i="16"/>
  <c r="AB1250" i="16"/>
  <c r="AA1250" i="16"/>
  <c r="Z1250" i="16"/>
  <c r="Y1250" i="16"/>
  <c r="AB1249" i="16"/>
  <c r="AA1249" i="16"/>
  <c r="Z1249" i="16"/>
  <c r="Y1249" i="16"/>
  <c r="AB1248" i="16"/>
  <c r="AA1248" i="16"/>
  <c r="Z1248" i="16"/>
  <c r="Y1248" i="16"/>
  <c r="AB1247" i="16"/>
  <c r="AA1247" i="16"/>
  <c r="Z1247" i="16"/>
  <c r="Y1247" i="16"/>
  <c r="AB1246" i="16"/>
  <c r="AA1246" i="16"/>
  <c r="Z1246" i="16"/>
  <c r="Y1246" i="16"/>
  <c r="AB1245" i="16"/>
  <c r="AA1245" i="16"/>
  <c r="Z1245" i="16"/>
  <c r="Y1245" i="16"/>
  <c r="AB1244" i="16"/>
  <c r="AA1244" i="16"/>
  <c r="Z1244" i="16"/>
  <c r="Y1244" i="16"/>
  <c r="AB1243" i="16"/>
  <c r="AA1243" i="16"/>
  <c r="Z1243" i="16"/>
  <c r="Y1243" i="16"/>
  <c r="AB1242" i="16"/>
  <c r="AA1242" i="16"/>
  <c r="Z1242" i="16"/>
  <c r="Y1242" i="16"/>
  <c r="AB1241" i="16"/>
  <c r="AA1241" i="16"/>
  <c r="Z1241" i="16"/>
  <c r="Y1241" i="16"/>
  <c r="AB1240" i="16"/>
  <c r="AA1240" i="16"/>
  <c r="Z1240" i="16"/>
  <c r="Y1240" i="16"/>
  <c r="AB1239" i="16"/>
  <c r="AA1239" i="16"/>
  <c r="Z1239" i="16"/>
  <c r="Y1239" i="16"/>
  <c r="AB1238" i="16"/>
  <c r="AA1238" i="16"/>
  <c r="Z1238" i="16"/>
  <c r="Y1238" i="16"/>
  <c r="AB1237" i="16"/>
  <c r="AA1237" i="16"/>
  <c r="Z1237" i="16"/>
  <c r="Y1237" i="16"/>
  <c r="AB1236" i="16"/>
  <c r="AA1236" i="16"/>
  <c r="Z1236" i="16"/>
  <c r="Y1236" i="16"/>
  <c r="AB1235" i="16"/>
  <c r="AA1235" i="16"/>
  <c r="Z1235" i="16"/>
  <c r="Y1235" i="16"/>
  <c r="AB1234" i="16"/>
  <c r="AA1234" i="16"/>
  <c r="Z1234" i="16"/>
  <c r="Y1234" i="16"/>
  <c r="AB1233" i="16"/>
  <c r="AA1233" i="16"/>
  <c r="Z1233" i="16"/>
  <c r="Y1233" i="16"/>
  <c r="AB1232" i="16"/>
  <c r="AA1232" i="16"/>
  <c r="Z1232" i="16"/>
  <c r="Y1232" i="16"/>
  <c r="AB1231" i="16"/>
  <c r="AA1231" i="16"/>
  <c r="Z1231" i="16"/>
  <c r="Y1231" i="16"/>
  <c r="AB1230" i="16"/>
  <c r="AA1230" i="16"/>
  <c r="Z1230" i="16"/>
  <c r="Y1230" i="16"/>
  <c r="AB1229" i="16"/>
  <c r="AA1229" i="16"/>
  <c r="Z1229" i="16"/>
  <c r="Y1229" i="16"/>
  <c r="AB1228" i="16"/>
  <c r="AA1228" i="16"/>
  <c r="Z1228" i="16"/>
  <c r="Y1228" i="16"/>
  <c r="AB1227" i="16"/>
  <c r="AA1227" i="16"/>
  <c r="Z1227" i="16"/>
  <c r="Y1227" i="16"/>
  <c r="AB1226" i="16"/>
  <c r="AA1226" i="16"/>
  <c r="Z1226" i="16"/>
  <c r="Y1226" i="16"/>
  <c r="AB1225" i="16"/>
  <c r="AA1225" i="16"/>
  <c r="Z1225" i="16"/>
  <c r="Y1225" i="16"/>
  <c r="AB1224" i="16"/>
  <c r="AA1224" i="16"/>
  <c r="Z1224" i="16"/>
  <c r="Y1224" i="16"/>
  <c r="AB1223" i="16"/>
  <c r="AA1223" i="16"/>
  <c r="Z1223" i="16"/>
  <c r="Y1223" i="16"/>
  <c r="AB1222" i="16"/>
  <c r="AA1222" i="16"/>
  <c r="Z1222" i="16"/>
  <c r="Y1222" i="16"/>
  <c r="AB1221" i="16"/>
  <c r="AA1221" i="16"/>
  <c r="Z1221" i="16"/>
  <c r="Y1221" i="16"/>
  <c r="AB1220" i="16"/>
  <c r="AA1220" i="16"/>
  <c r="Z1220" i="16"/>
  <c r="Y1220" i="16"/>
  <c r="AB1219" i="16"/>
  <c r="AA1219" i="16"/>
  <c r="Z1219" i="16"/>
  <c r="Y1219" i="16"/>
  <c r="AB1218" i="16"/>
  <c r="AA1218" i="16"/>
  <c r="Z1218" i="16"/>
  <c r="Y1218" i="16"/>
  <c r="AB1217" i="16"/>
  <c r="AA1217" i="16"/>
  <c r="Z1217" i="16"/>
  <c r="Y1217" i="16"/>
  <c r="AB1216" i="16"/>
  <c r="AA1216" i="16"/>
  <c r="Z1216" i="16"/>
  <c r="Y1216" i="16"/>
  <c r="AB1215" i="16"/>
  <c r="AA1215" i="16"/>
  <c r="Z1215" i="16"/>
  <c r="Y1215" i="16"/>
  <c r="AB1214" i="16"/>
  <c r="AA1214" i="16"/>
  <c r="Z1214" i="16"/>
  <c r="Y1214" i="16"/>
  <c r="AB1213" i="16"/>
  <c r="AA1213" i="16"/>
  <c r="Z1213" i="16"/>
  <c r="Y1213" i="16"/>
  <c r="AB1212" i="16"/>
  <c r="AA1212" i="16"/>
  <c r="Z1212" i="16"/>
  <c r="Y1212" i="16"/>
  <c r="AB1211" i="16"/>
  <c r="AA1211" i="16"/>
  <c r="Z1211" i="16"/>
  <c r="Y1211" i="16"/>
  <c r="AB1210" i="16"/>
  <c r="AA1210" i="16"/>
  <c r="Z1210" i="16"/>
  <c r="Y1210" i="16"/>
  <c r="AB1209" i="16"/>
  <c r="AA1209" i="16"/>
  <c r="Z1209" i="16"/>
  <c r="Y1209" i="16"/>
  <c r="AB1208" i="16"/>
  <c r="AA1208" i="16"/>
  <c r="Z1208" i="16"/>
  <c r="Y1208" i="16"/>
  <c r="AB1207" i="16"/>
  <c r="AA1207" i="16"/>
  <c r="Z1207" i="16"/>
  <c r="Y1207" i="16"/>
  <c r="AB1206" i="16"/>
  <c r="AA1206" i="16"/>
  <c r="Z1206" i="16"/>
  <c r="Y1206" i="16"/>
  <c r="AB1205" i="16"/>
  <c r="AA1205" i="16"/>
  <c r="Z1205" i="16"/>
  <c r="Y1205" i="16"/>
  <c r="AB1204" i="16"/>
  <c r="AA1204" i="16"/>
  <c r="Z1204" i="16"/>
  <c r="Y1204" i="16"/>
  <c r="AB1203" i="16"/>
  <c r="AA1203" i="16"/>
  <c r="Z1203" i="16"/>
  <c r="Y1203" i="16"/>
  <c r="AB1202" i="16"/>
  <c r="AA1202" i="16"/>
  <c r="Z1202" i="16"/>
  <c r="Y1202" i="16"/>
  <c r="AB1201" i="16"/>
  <c r="AA1201" i="16"/>
  <c r="Z1201" i="16"/>
  <c r="Y1201" i="16"/>
  <c r="AB1200" i="16"/>
  <c r="AA1200" i="16"/>
  <c r="Z1200" i="16"/>
  <c r="Y1200" i="16"/>
  <c r="AB1199" i="16"/>
  <c r="AA1199" i="16"/>
  <c r="Z1199" i="16"/>
  <c r="Y1199" i="16"/>
  <c r="AB1198" i="16"/>
  <c r="AA1198" i="16"/>
  <c r="Z1198" i="16"/>
  <c r="Y1198" i="16"/>
  <c r="AB1197" i="16"/>
  <c r="AA1197" i="16"/>
  <c r="Z1197" i="16"/>
  <c r="Y1197" i="16"/>
  <c r="AB1196" i="16"/>
  <c r="AA1196" i="16"/>
  <c r="Z1196" i="16"/>
  <c r="Y1196" i="16"/>
  <c r="AB1195" i="16"/>
  <c r="AA1195" i="16"/>
  <c r="Z1195" i="16"/>
  <c r="Y1195" i="16"/>
  <c r="AB1194" i="16"/>
  <c r="AA1194" i="16"/>
  <c r="Z1194" i="16"/>
  <c r="Y1194" i="16"/>
  <c r="AB1193" i="16"/>
  <c r="AA1193" i="16"/>
  <c r="Z1193" i="16"/>
  <c r="Y1193" i="16"/>
  <c r="AB1192" i="16"/>
  <c r="AA1192" i="16"/>
  <c r="Z1192" i="16"/>
  <c r="Y1192" i="16"/>
  <c r="AB1191" i="16"/>
  <c r="AA1191" i="16"/>
  <c r="Z1191" i="16"/>
  <c r="Y1191" i="16"/>
  <c r="AB1190" i="16"/>
  <c r="AA1190" i="16"/>
  <c r="Z1190" i="16"/>
  <c r="Y1190" i="16"/>
  <c r="AB1189" i="16"/>
  <c r="AA1189" i="16"/>
  <c r="Z1189" i="16"/>
  <c r="Y1189" i="16"/>
  <c r="AB1188" i="16"/>
  <c r="AA1188" i="16"/>
  <c r="Z1188" i="16"/>
  <c r="Y1188" i="16"/>
  <c r="AB1187" i="16"/>
  <c r="AA1187" i="16"/>
  <c r="Z1187" i="16"/>
  <c r="Y1187" i="16"/>
  <c r="AB1186" i="16"/>
  <c r="AA1186" i="16"/>
  <c r="Z1186" i="16"/>
  <c r="Y1186" i="16"/>
  <c r="AB1185" i="16"/>
  <c r="AA1185" i="16"/>
  <c r="Z1185" i="16"/>
  <c r="Y1185" i="16"/>
  <c r="AB1184" i="16"/>
  <c r="AA1184" i="16"/>
  <c r="Z1184" i="16"/>
  <c r="Y1184" i="16"/>
  <c r="AB1183" i="16"/>
  <c r="AA1183" i="16"/>
  <c r="Z1183" i="16"/>
  <c r="Y1183" i="16"/>
  <c r="AB1182" i="16"/>
  <c r="AA1182" i="16"/>
  <c r="Z1182" i="16"/>
  <c r="Y1182" i="16"/>
  <c r="AB1181" i="16"/>
  <c r="AA1181" i="16"/>
  <c r="Z1181" i="16"/>
  <c r="Y1181" i="16"/>
  <c r="AB1180" i="16"/>
  <c r="AA1180" i="16"/>
  <c r="Z1180" i="16"/>
  <c r="Y1180" i="16"/>
  <c r="AB1179" i="16"/>
  <c r="AA1179" i="16"/>
  <c r="Z1179" i="16"/>
  <c r="Y1179" i="16"/>
  <c r="AB1178" i="16"/>
  <c r="AA1178" i="16"/>
  <c r="Y1178" i="16"/>
  <c r="AB1177" i="16"/>
  <c r="AA1177" i="16"/>
  <c r="Y1177" i="16"/>
  <c r="AB1176" i="16"/>
  <c r="AA1176" i="16"/>
  <c r="Z1176" i="16"/>
  <c r="Y1176" i="16"/>
  <c r="AB1175" i="16"/>
  <c r="AA1175" i="16"/>
  <c r="Z1175" i="16"/>
  <c r="Y1175" i="16"/>
  <c r="AB1174" i="16"/>
  <c r="AA1174" i="16"/>
  <c r="Z1174" i="16"/>
  <c r="Y1174" i="16"/>
  <c r="AB1173" i="16"/>
  <c r="AA1173" i="16"/>
  <c r="Z1173" i="16"/>
  <c r="Y1173" i="16"/>
  <c r="AB1172" i="16"/>
  <c r="AA1172" i="16"/>
  <c r="Z1172" i="16"/>
  <c r="Y1172" i="16"/>
  <c r="AB1171" i="16"/>
  <c r="AA1171" i="16"/>
  <c r="Z1171" i="16"/>
  <c r="Y1171" i="16"/>
  <c r="AB1170" i="16"/>
  <c r="AA1170" i="16"/>
  <c r="Z1170" i="16"/>
  <c r="Y1170" i="16"/>
  <c r="AB1169" i="16"/>
  <c r="AA1169" i="16"/>
  <c r="Z1169" i="16"/>
  <c r="Y1169" i="16"/>
  <c r="AB1168" i="16"/>
  <c r="AA1168" i="16"/>
  <c r="Z1168" i="16"/>
  <c r="Y1168" i="16"/>
  <c r="AB1167" i="16"/>
  <c r="AA1167" i="16"/>
  <c r="Z1167" i="16"/>
  <c r="Y1167" i="16"/>
  <c r="AB1166" i="16"/>
  <c r="AA1166" i="16"/>
  <c r="Y1166" i="16"/>
  <c r="AB1165" i="16"/>
  <c r="AA1165" i="16"/>
  <c r="Z1165" i="16"/>
  <c r="Y1165" i="16"/>
  <c r="AB1164" i="16"/>
  <c r="AA1164" i="16"/>
  <c r="Z1164" i="16"/>
  <c r="Y1164" i="16"/>
  <c r="AB1163" i="16"/>
  <c r="AA1163" i="16"/>
  <c r="Z1163" i="16"/>
  <c r="Y1163" i="16"/>
  <c r="AB1162" i="16"/>
  <c r="AA1162" i="16"/>
  <c r="Z1162" i="16"/>
  <c r="Y1162" i="16"/>
  <c r="AB1161" i="16"/>
  <c r="AA1161" i="16"/>
  <c r="Z1161" i="16"/>
  <c r="Y1161" i="16"/>
  <c r="AB1160" i="16"/>
  <c r="AA1160" i="16"/>
  <c r="Z1160" i="16"/>
  <c r="Y1160" i="16"/>
  <c r="AB1159" i="16"/>
  <c r="AA1159" i="16"/>
  <c r="Z1159" i="16"/>
  <c r="Y1159" i="16"/>
  <c r="AB1158" i="16"/>
  <c r="AA1158" i="16"/>
  <c r="Z1158" i="16"/>
  <c r="Y1158" i="16"/>
  <c r="AB1157" i="16"/>
  <c r="AA1157" i="16"/>
  <c r="Z1157" i="16"/>
  <c r="Y1157" i="16"/>
  <c r="AB1156" i="16"/>
  <c r="AA1156" i="16"/>
  <c r="Z1156" i="16"/>
  <c r="Y1156" i="16"/>
  <c r="AB1155" i="16"/>
  <c r="AA1155" i="16"/>
  <c r="Z1155" i="16"/>
  <c r="Y1155" i="16"/>
  <c r="AB1154" i="16"/>
  <c r="AA1154" i="16"/>
  <c r="Z1154" i="16"/>
  <c r="Y1154" i="16"/>
  <c r="AB1153" i="16"/>
  <c r="AA1153" i="16"/>
  <c r="Z1153" i="16"/>
  <c r="Y1153" i="16"/>
  <c r="AB1152" i="16"/>
  <c r="AA1152" i="16"/>
  <c r="Z1152" i="16"/>
  <c r="Y1152" i="16"/>
  <c r="AB1151" i="16"/>
  <c r="AA1151" i="16"/>
  <c r="Z1151" i="16"/>
  <c r="Y1151" i="16"/>
  <c r="AB1150" i="16"/>
  <c r="AA1150" i="16"/>
  <c r="Z1150" i="16"/>
  <c r="Y1150" i="16"/>
  <c r="AB1149" i="16"/>
  <c r="AA1149" i="16"/>
  <c r="Z1149" i="16"/>
  <c r="Y1149" i="16"/>
  <c r="AB1148" i="16"/>
  <c r="AA1148" i="16"/>
  <c r="Z1148" i="16"/>
  <c r="Y1148" i="16"/>
  <c r="AB1147" i="16"/>
  <c r="AA1147" i="16"/>
  <c r="Z1147" i="16"/>
  <c r="Y1147" i="16"/>
  <c r="AB1146" i="16"/>
  <c r="AA1146" i="16"/>
  <c r="Z1146" i="16"/>
  <c r="Y1146" i="16"/>
  <c r="AB1145" i="16"/>
  <c r="AA1145" i="16"/>
  <c r="Z1145" i="16"/>
  <c r="Y1145" i="16"/>
  <c r="AB1144" i="16"/>
  <c r="AA1144" i="16"/>
  <c r="Z1144" i="16"/>
  <c r="Y1144" i="16"/>
  <c r="AB1143" i="16"/>
  <c r="AA1143" i="16"/>
  <c r="Z1143" i="16"/>
  <c r="Y1143" i="16"/>
  <c r="AB1142" i="16"/>
  <c r="AA1142" i="16"/>
  <c r="Z1142" i="16"/>
  <c r="Y1142" i="16"/>
  <c r="AB1141" i="16"/>
  <c r="AA1141" i="16"/>
  <c r="Z1141" i="16"/>
  <c r="Y1141" i="16"/>
  <c r="AB1140" i="16"/>
  <c r="AA1140" i="16"/>
  <c r="Z1140" i="16"/>
  <c r="Y1140" i="16"/>
  <c r="AB1139" i="16"/>
  <c r="AA1139" i="16"/>
  <c r="Z1139" i="16"/>
  <c r="Y1139" i="16"/>
  <c r="AB1138" i="16"/>
  <c r="AA1138" i="16"/>
  <c r="Z1138" i="16"/>
  <c r="Y1138" i="16"/>
  <c r="AB1137" i="16"/>
  <c r="AA1137" i="16"/>
  <c r="Z1137" i="16"/>
  <c r="Y1137" i="16"/>
  <c r="AB1136" i="16"/>
  <c r="AA1136" i="16"/>
  <c r="Z1136" i="16"/>
  <c r="Y1136" i="16"/>
  <c r="AB1135" i="16"/>
  <c r="AA1135" i="16"/>
  <c r="Y1135" i="16"/>
  <c r="AB1134" i="16"/>
  <c r="AA1134" i="16"/>
  <c r="Z1134" i="16"/>
  <c r="Y1134" i="16"/>
  <c r="AB1133" i="16"/>
  <c r="AA1133" i="16"/>
  <c r="Z1133" i="16"/>
  <c r="Y1133" i="16"/>
  <c r="AB1132" i="16"/>
  <c r="AA1132" i="16"/>
  <c r="Z1132" i="16"/>
  <c r="Y1132" i="16"/>
  <c r="AB1131" i="16"/>
  <c r="AA1131" i="16"/>
  <c r="Z1131" i="16"/>
  <c r="Y1131" i="16"/>
  <c r="AB1130" i="16"/>
  <c r="AA1130" i="16"/>
  <c r="Z1130" i="16"/>
  <c r="Y1130" i="16"/>
  <c r="AB1129" i="16"/>
  <c r="AA1129" i="16"/>
  <c r="Z1129" i="16"/>
  <c r="Y1129" i="16"/>
  <c r="AB1128" i="16"/>
  <c r="AA1128" i="16"/>
  <c r="Z1128" i="16"/>
  <c r="Y1128" i="16"/>
  <c r="AB1127" i="16"/>
  <c r="AA1127" i="16"/>
  <c r="Z1127" i="16"/>
  <c r="Y1127" i="16"/>
  <c r="AB1126" i="16"/>
  <c r="AA1126" i="16"/>
  <c r="Z1126" i="16"/>
  <c r="Y1126" i="16"/>
  <c r="AB1125" i="16"/>
  <c r="AA1125" i="16"/>
  <c r="Z1125" i="16"/>
  <c r="Y1125" i="16"/>
  <c r="AB1124" i="16"/>
  <c r="AA1124" i="16"/>
  <c r="Z1124" i="16"/>
  <c r="Y1124" i="16"/>
  <c r="AB1123" i="16"/>
  <c r="AA1123" i="16"/>
  <c r="Z1123" i="16"/>
  <c r="Y1123" i="16"/>
  <c r="AB1122" i="16"/>
  <c r="AA1122" i="16"/>
  <c r="Z1122" i="16"/>
  <c r="Y1122" i="16"/>
  <c r="AB1121" i="16"/>
  <c r="AA1121" i="16"/>
  <c r="Z1121" i="16"/>
  <c r="Y1121" i="16"/>
  <c r="AB1120" i="16"/>
  <c r="AA1120" i="16"/>
  <c r="Z1120" i="16"/>
  <c r="Y1120" i="16"/>
  <c r="AB1119" i="16"/>
  <c r="AA1119" i="16"/>
  <c r="Z1119" i="16"/>
  <c r="Y1119" i="16"/>
  <c r="AB1118" i="16"/>
  <c r="AA1118" i="16"/>
  <c r="Z1118" i="16"/>
  <c r="Y1118" i="16"/>
  <c r="AB1117" i="16"/>
  <c r="AA1117" i="16"/>
  <c r="Z1117" i="16"/>
  <c r="Y1117" i="16"/>
  <c r="AB1116" i="16"/>
  <c r="AA1116" i="16"/>
  <c r="Z1116" i="16"/>
  <c r="Y1116" i="16"/>
  <c r="AB1115" i="16"/>
  <c r="AA1115" i="16"/>
  <c r="Z1115" i="16"/>
  <c r="Y1115" i="16"/>
  <c r="AB1114" i="16"/>
  <c r="AA1114" i="16"/>
  <c r="Z1114" i="16"/>
  <c r="Y1114" i="16"/>
  <c r="AB1113" i="16"/>
  <c r="AA1113" i="16"/>
  <c r="Z1113" i="16"/>
  <c r="Y1113" i="16"/>
  <c r="AB1112" i="16"/>
  <c r="AA1112" i="16"/>
  <c r="Z1112" i="16"/>
  <c r="Y1112" i="16"/>
  <c r="AB1111" i="16"/>
  <c r="AA1111" i="16"/>
  <c r="Z1111" i="16"/>
  <c r="Y1111" i="16"/>
  <c r="AB1110" i="16"/>
  <c r="AA1110" i="16"/>
  <c r="Z1110" i="16"/>
  <c r="Y1110" i="16"/>
  <c r="AB1109" i="16"/>
  <c r="AA1109" i="16"/>
  <c r="Z1109" i="16"/>
  <c r="Y1109" i="16"/>
  <c r="AB1108" i="16"/>
  <c r="AA1108" i="16"/>
  <c r="Z1108" i="16"/>
  <c r="Y1108" i="16"/>
  <c r="AB1107" i="16"/>
  <c r="AA1107" i="16"/>
  <c r="Z1107" i="16"/>
  <c r="Y1107" i="16"/>
  <c r="AB1106" i="16"/>
  <c r="AA1106" i="16"/>
  <c r="Z1106" i="16"/>
  <c r="Y1106" i="16"/>
  <c r="AB1105" i="16"/>
  <c r="AA1105" i="16"/>
  <c r="Z1105" i="16"/>
  <c r="Y1105" i="16"/>
  <c r="AB1104" i="16"/>
  <c r="AA1104" i="16"/>
  <c r="Z1104" i="16"/>
  <c r="Y1104" i="16"/>
  <c r="AB1103" i="16"/>
  <c r="AA1103" i="16"/>
  <c r="Z1103" i="16"/>
  <c r="Y1103" i="16"/>
  <c r="AB1102" i="16"/>
  <c r="AA1102" i="16"/>
  <c r="Z1102" i="16"/>
  <c r="Y1102" i="16"/>
  <c r="AB1101" i="16"/>
  <c r="AA1101" i="16"/>
  <c r="Z1101" i="16"/>
  <c r="Y1101" i="16"/>
  <c r="AB1100" i="16"/>
  <c r="AA1100" i="16"/>
  <c r="Y1100" i="16"/>
  <c r="AB1099" i="16"/>
  <c r="AA1099" i="16"/>
  <c r="Y1099" i="16"/>
  <c r="AB1098" i="16"/>
  <c r="AA1098" i="16"/>
  <c r="Z1098" i="16"/>
  <c r="Y1098" i="16"/>
  <c r="AB1097" i="16"/>
  <c r="AA1097" i="16"/>
  <c r="Z1097" i="16"/>
  <c r="Y1097" i="16"/>
  <c r="AB1096" i="16"/>
  <c r="AA1096" i="16"/>
  <c r="Z1096" i="16"/>
  <c r="Y1096" i="16"/>
  <c r="AB1095" i="16"/>
  <c r="AA1095" i="16"/>
  <c r="Z1095" i="16"/>
  <c r="Y1095" i="16"/>
  <c r="AB1094" i="16"/>
  <c r="AA1094" i="16"/>
  <c r="Z1094" i="16"/>
  <c r="Y1094" i="16"/>
  <c r="AB1093" i="16"/>
  <c r="AA1093" i="16"/>
  <c r="Z1093" i="16"/>
  <c r="Y1093" i="16"/>
  <c r="AB1092" i="16"/>
  <c r="AA1092" i="16"/>
  <c r="Z1092" i="16"/>
  <c r="Y1092" i="16"/>
  <c r="AB1091" i="16"/>
  <c r="AA1091" i="16"/>
  <c r="Z1091" i="16"/>
  <c r="Y1091" i="16"/>
  <c r="AB1090" i="16"/>
  <c r="AA1090" i="16"/>
  <c r="Z1090" i="16"/>
  <c r="Y1090" i="16"/>
  <c r="AB1089" i="16"/>
  <c r="AA1089" i="16"/>
  <c r="Z1089" i="16"/>
  <c r="Y1089" i="16"/>
  <c r="AB1088" i="16"/>
  <c r="AA1088" i="16"/>
  <c r="Z1088" i="16"/>
  <c r="Y1088" i="16"/>
  <c r="AB1087" i="16"/>
  <c r="AA1087" i="16"/>
  <c r="Z1087" i="16"/>
  <c r="Y1087" i="16"/>
  <c r="AB1086" i="16"/>
  <c r="AA1086" i="16"/>
  <c r="Z1086" i="16"/>
  <c r="Y1086" i="16"/>
  <c r="AB1085" i="16"/>
  <c r="AA1085" i="16"/>
  <c r="Z1085" i="16"/>
  <c r="Y1085" i="16"/>
  <c r="AB1084" i="16"/>
  <c r="AA1084" i="16"/>
  <c r="Z1084" i="16"/>
  <c r="Y1084" i="16"/>
  <c r="AB1083" i="16"/>
  <c r="AA1083" i="16"/>
  <c r="Z1083" i="16"/>
  <c r="Y1083" i="16"/>
  <c r="AB1082" i="16"/>
  <c r="AA1082" i="16"/>
  <c r="Z1082" i="16"/>
  <c r="Y1082" i="16"/>
  <c r="AB1081" i="16"/>
  <c r="AA1081" i="16"/>
  <c r="Z1081" i="16"/>
  <c r="Y1081" i="16"/>
  <c r="AB1080" i="16"/>
  <c r="AA1080" i="16"/>
  <c r="Z1080" i="16"/>
  <c r="Y1080" i="16"/>
  <c r="AB1079" i="16"/>
  <c r="AA1079" i="16"/>
  <c r="Z1079" i="16"/>
  <c r="Y1079" i="16"/>
  <c r="AB1078" i="16"/>
  <c r="AA1078" i="16"/>
  <c r="Z1078" i="16"/>
  <c r="Y1078" i="16"/>
  <c r="AB1077" i="16"/>
  <c r="AA1077" i="16"/>
  <c r="Z1077" i="16"/>
  <c r="Y1077" i="16"/>
  <c r="AB1076" i="16"/>
  <c r="AA1076" i="16"/>
  <c r="Z1076" i="16"/>
  <c r="Y1076" i="16"/>
  <c r="AB1075" i="16"/>
  <c r="AA1075" i="16"/>
  <c r="Z1075" i="16"/>
  <c r="Y1075" i="16"/>
  <c r="AB1074" i="16"/>
  <c r="AA1074" i="16"/>
  <c r="Z1074" i="16"/>
  <c r="Y1074" i="16"/>
  <c r="AB1073" i="16"/>
  <c r="AA1073" i="16"/>
  <c r="Z1073" i="16"/>
  <c r="Y1073" i="16"/>
  <c r="AB1072" i="16"/>
  <c r="AA1072" i="16"/>
  <c r="Z1072" i="16"/>
  <c r="Y1072" i="16"/>
  <c r="AB1071" i="16"/>
  <c r="AA1071" i="16"/>
  <c r="Z1071" i="16"/>
  <c r="Y1071" i="16"/>
  <c r="AB1070" i="16"/>
  <c r="AA1070" i="16"/>
  <c r="Z1070" i="16"/>
  <c r="Y1070" i="16"/>
  <c r="AB1069" i="16"/>
  <c r="AA1069" i="16"/>
  <c r="Y1069" i="16"/>
  <c r="AB1068" i="16"/>
  <c r="AA1068" i="16"/>
  <c r="Z1068" i="16"/>
  <c r="Y1068" i="16"/>
  <c r="AB1067" i="16"/>
  <c r="AA1067" i="16"/>
  <c r="Z1067" i="16"/>
  <c r="Y1067" i="16"/>
  <c r="AB1066" i="16"/>
  <c r="AA1066" i="16"/>
  <c r="Z1066" i="16"/>
  <c r="Y1066" i="16"/>
  <c r="AB1065" i="16"/>
  <c r="AA1065" i="16"/>
  <c r="Z1065" i="16"/>
  <c r="Y1065" i="16"/>
  <c r="AB1064" i="16"/>
  <c r="AA1064" i="16"/>
  <c r="Z1064" i="16"/>
  <c r="Y1064" i="16"/>
  <c r="AB1063" i="16"/>
  <c r="AA1063" i="16"/>
  <c r="Z1063" i="16"/>
  <c r="Y1063" i="16"/>
  <c r="AB1062" i="16"/>
  <c r="AA1062" i="16"/>
  <c r="Z1062" i="16"/>
  <c r="Y1062" i="16"/>
  <c r="AB1061" i="16"/>
  <c r="AA1061" i="16"/>
  <c r="Z1061" i="16"/>
  <c r="Y1061" i="16"/>
  <c r="AB1060" i="16"/>
  <c r="AA1060" i="16"/>
  <c r="Z1060" i="16"/>
  <c r="Y1060" i="16"/>
  <c r="AB1059" i="16"/>
  <c r="AA1059" i="16"/>
  <c r="Y1059" i="16"/>
  <c r="AB1058" i="16"/>
  <c r="AA1058" i="16"/>
  <c r="Z1058" i="16"/>
  <c r="Y1058" i="16"/>
  <c r="AB1057" i="16"/>
  <c r="AA1057" i="16"/>
  <c r="Z1057" i="16"/>
  <c r="Y1057" i="16"/>
  <c r="AB1056" i="16"/>
  <c r="AA1056" i="16"/>
  <c r="Z1056" i="16"/>
  <c r="Y1056" i="16"/>
  <c r="AB1055" i="16"/>
  <c r="AA1055" i="16"/>
  <c r="Z1055" i="16"/>
  <c r="Y1055" i="16"/>
  <c r="AB1054" i="16"/>
  <c r="AA1054" i="16"/>
  <c r="Z1054" i="16"/>
  <c r="Y1054" i="16"/>
  <c r="AB1053" i="16"/>
  <c r="AA1053" i="16"/>
  <c r="Z1053" i="16"/>
  <c r="Y1053" i="16"/>
  <c r="AB1052" i="16"/>
  <c r="AA1052" i="16"/>
  <c r="Z1052" i="16"/>
  <c r="Y1052" i="16"/>
  <c r="AB1051" i="16"/>
  <c r="AA1051" i="16"/>
  <c r="Y1051" i="16"/>
  <c r="AB1050" i="16"/>
  <c r="AA1050" i="16"/>
  <c r="Y1050" i="16"/>
  <c r="AB1049" i="16"/>
  <c r="AA1049" i="16"/>
  <c r="Y1049" i="16"/>
  <c r="AB1048" i="16"/>
  <c r="AA1048" i="16"/>
  <c r="Z1048" i="16"/>
  <c r="Y1048" i="16"/>
  <c r="AB1047" i="16"/>
  <c r="AA1047" i="16"/>
  <c r="Z1047" i="16"/>
  <c r="Y1047" i="16"/>
  <c r="AB1046" i="16"/>
  <c r="AA1046" i="16"/>
  <c r="Z1046" i="16"/>
  <c r="Y1046" i="16"/>
  <c r="AB1045" i="16"/>
  <c r="AA1045" i="16"/>
  <c r="Z1045" i="16"/>
  <c r="Y1045" i="16"/>
  <c r="AB1044" i="16"/>
  <c r="AA1044" i="16"/>
  <c r="Z1044" i="16"/>
  <c r="Y1044" i="16"/>
  <c r="AB1043" i="16"/>
  <c r="AA1043" i="16"/>
  <c r="Z1043" i="16"/>
  <c r="Y1043" i="16"/>
  <c r="AB1042" i="16"/>
  <c r="AA1042" i="16"/>
  <c r="Y1042" i="16"/>
  <c r="AB1041" i="16"/>
  <c r="AA1041" i="16"/>
  <c r="Z1041" i="16"/>
  <c r="Y1041" i="16"/>
  <c r="AB1040" i="16"/>
  <c r="AA1040" i="16"/>
  <c r="Z1040" i="16"/>
  <c r="Y1040" i="16"/>
  <c r="AB1039" i="16"/>
  <c r="AA1039" i="16"/>
  <c r="Z1039" i="16"/>
  <c r="Y1039" i="16"/>
  <c r="AB1038" i="16"/>
  <c r="AA1038" i="16"/>
  <c r="Z1038" i="16"/>
  <c r="Y1038" i="16"/>
  <c r="AB1037" i="16"/>
  <c r="AA1037" i="16"/>
  <c r="Z1037" i="16"/>
  <c r="Y1037" i="16"/>
  <c r="AB1036" i="16"/>
  <c r="AA1036" i="16"/>
  <c r="Y1036" i="16"/>
  <c r="AB1035" i="16"/>
  <c r="AA1035" i="16"/>
  <c r="Y1035" i="16"/>
  <c r="AB1034" i="16"/>
  <c r="AA1034" i="16"/>
  <c r="Z1034" i="16"/>
  <c r="Y1034" i="16"/>
  <c r="AB1033" i="16"/>
  <c r="AA1033" i="16"/>
  <c r="Z1033" i="16"/>
  <c r="Y1033" i="16"/>
  <c r="AB1032" i="16"/>
  <c r="AA1032" i="16"/>
  <c r="Z1032" i="16"/>
  <c r="Y1032" i="16"/>
  <c r="AB1031" i="16"/>
  <c r="AA1031" i="16"/>
  <c r="Z1031" i="16"/>
  <c r="Y1031" i="16"/>
  <c r="AB1030" i="16"/>
  <c r="AA1030" i="16"/>
  <c r="Z1030" i="16"/>
  <c r="Y1030" i="16"/>
  <c r="AB1029" i="16"/>
  <c r="AA1029" i="16"/>
  <c r="Y1029" i="16"/>
  <c r="AB1028" i="16"/>
  <c r="AA1028" i="16"/>
  <c r="Y1028" i="16"/>
  <c r="AB1027" i="16"/>
  <c r="AA1027" i="16"/>
  <c r="Y1027" i="16"/>
  <c r="AB1026" i="16"/>
  <c r="AA1026" i="16"/>
  <c r="Z1026" i="16"/>
  <c r="Y1026" i="16"/>
  <c r="AB1025" i="16"/>
  <c r="AA1025" i="16"/>
  <c r="Y1025" i="16"/>
  <c r="AB1024" i="16"/>
  <c r="AA1024" i="16"/>
  <c r="Y1024" i="16"/>
  <c r="AB1023" i="16"/>
  <c r="AA1023" i="16"/>
  <c r="Z1023" i="16"/>
  <c r="Y1023" i="16"/>
  <c r="AB1022" i="16"/>
  <c r="AA1022" i="16"/>
  <c r="Y1022" i="16"/>
  <c r="AB1021" i="16"/>
  <c r="AA1021" i="16"/>
  <c r="Y1021" i="16"/>
  <c r="AB1020" i="16"/>
  <c r="AA1020" i="16"/>
  <c r="Y1020" i="16"/>
  <c r="AB1019" i="16"/>
  <c r="AA1019" i="16"/>
  <c r="Z1019" i="16"/>
  <c r="Y1019" i="16"/>
  <c r="AB1018" i="16"/>
  <c r="AA1018" i="16"/>
  <c r="Z1018" i="16"/>
  <c r="Y1018" i="16"/>
  <c r="AB1017" i="16"/>
  <c r="AA1017" i="16"/>
  <c r="Z1017" i="16"/>
  <c r="Y1017" i="16"/>
  <c r="AB1016" i="16"/>
  <c r="AA1016" i="16"/>
  <c r="Z1016" i="16"/>
  <c r="Y1016" i="16"/>
  <c r="AB1015" i="16"/>
  <c r="AA1015" i="16"/>
  <c r="Z1015" i="16"/>
  <c r="Y1015" i="16"/>
  <c r="AB1014" i="16"/>
  <c r="AA1014" i="16"/>
  <c r="Z1014" i="16"/>
  <c r="Y1014" i="16"/>
  <c r="AB1013" i="16"/>
  <c r="AA1013" i="16"/>
  <c r="Z1013" i="16"/>
  <c r="Y1013" i="16"/>
  <c r="AB1012" i="16"/>
  <c r="AA1012" i="16"/>
  <c r="Z1012" i="16"/>
  <c r="Y1012" i="16"/>
  <c r="AB1011" i="16"/>
  <c r="AA1011" i="16"/>
  <c r="Z1011" i="16"/>
  <c r="Y1011" i="16"/>
  <c r="AB1010" i="16"/>
  <c r="AA1010" i="16"/>
  <c r="Y1010" i="16"/>
  <c r="AB1009" i="16"/>
  <c r="AA1009" i="16"/>
  <c r="Z1009" i="16"/>
  <c r="Y1009" i="16"/>
  <c r="AB1008" i="16"/>
  <c r="AA1008" i="16"/>
  <c r="Z1008" i="16"/>
  <c r="Y1008" i="16"/>
  <c r="AB1007" i="16"/>
  <c r="AA1007" i="16"/>
  <c r="Z1007" i="16"/>
  <c r="Y1007" i="16"/>
  <c r="AB1006" i="16"/>
  <c r="AA1006" i="16"/>
  <c r="Y1006" i="16"/>
  <c r="AB1005" i="16"/>
  <c r="AA1005" i="16"/>
  <c r="Y1005" i="16"/>
  <c r="AB1004" i="16"/>
  <c r="AA1004" i="16"/>
  <c r="Z1004" i="16"/>
  <c r="Y1004" i="16"/>
  <c r="AB1003" i="16"/>
  <c r="AA1003" i="16"/>
  <c r="Y1003" i="16"/>
  <c r="AB1002" i="16"/>
  <c r="AA1002" i="16"/>
  <c r="Y1002" i="16"/>
  <c r="AB1001" i="16"/>
  <c r="AA1001" i="16"/>
  <c r="Z1001" i="16"/>
  <c r="Y1001" i="16"/>
  <c r="AB1000" i="16"/>
  <c r="AA1000" i="16"/>
  <c r="Z1000" i="16"/>
  <c r="Y1000" i="16"/>
  <c r="AB999" i="16"/>
  <c r="AA999" i="16"/>
  <c r="Z999" i="16"/>
  <c r="Y999" i="16"/>
  <c r="AB998" i="16"/>
  <c r="AA998" i="16"/>
  <c r="Z998" i="16"/>
  <c r="Y998" i="16"/>
  <c r="AB997" i="16"/>
  <c r="AA997" i="16"/>
  <c r="Z997" i="16"/>
  <c r="Y997" i="16"/>
  <c r="AB996" i="16"/>
  <c r="AA996" i="16"/>
  <c r="Z996" i="16"/>
  <c r="Y996" i="16"/>
  <c r="AB995" i="16"/>
  <c r="AA995" i="16"/>
  <c r="Z995" i="16"/>
  <c r="Y995" i="16"/>
  <c r="AB994" i="16"/>
  <c r="AA994" i="16"/>
  <c r="Z994" i="16"/>
  <c r="Y994" i="16"/>
  <c r="AB993" i="16"/>
  <c r="AA993" i="16"/>
  <c r="Z993" i="16"/>
  <c r="Y993" i="16"/>
  <c r="AB992" i="16"/>
  <c r="AA992" i="16"/>
  <c r="Z992" i="16"/>
  <c r="Y992" i="16"/>
  <c r="AB991" i="16"/>
  <c r="AA991" i="16"/>
  <c r="Z991" i="16"/>
  <c r="Y991" i="16"/>
  <c r="AB990" i="16"/>
  <c r="AA990" i="16"/>
  <c r="Z990" i="16"/>
  <c r="Y990" i="16"/>
  <c r="AB989" i="16"/>
  <c r="AA989" i="16"/>
  <c r="Z989" i="16"/>
  <c r="Y989" i="16"/>
  <c r="AB988" i="16"/>
  <c r="AA988" i="16"/>
  <c r="Z988" i="16"/>
  <c r="Y988" i="16"/>
  <c r="AB987" i="16"/>
  <c r="AA987" i="16"/>
  <c r="Z987" i="16"/>
  <c r="Y987" i="16"/>
  <c r="AB986" i="16"/>
  <c r="AA986" i="16"/>
  <c r="Y986" i="16"/>
  <c r="AB985" i="16"/>
  <c r="AA985" i="16"/>
  <c r="Z985" i="16"/>
  <c r="Y985" i="16"/>
  <c r="AB984" i="16"/>
  <c r="AA984" i="16"/>
  <c r="Z984" i="16"/>
  <c r="Y984" i="16"/>
  <c r="AB983" i="16"/>
  <c r="AA983" i="16"/>
  <c r="Z983" i="16"/>
  <c r="Y983" i="16"/>
  <c r="AB982" i="16"/>
  <c r="AA982" i="16"/>
  <c r="Z982" i="16"/>
  <c r="Y982" i="16"/>
  <c r="AB981" i="16"/>
  <c r="AA981" i="16"/>
  <c r="Y981" i="16"/>
  <c r="AB980" i="16"/>
  <c r="AA980" i="16"/>
  <c r="Y980" i="16"/>
  <c r="AB979" i="16"/>
  <c r="AA979" i="16"/>
  <c r="Z979" i="16"/>
  <c r="Y979" i="16"/>
  <c r="AB978" i="16"/>
  <c r="AA978" i="16"/>
  <c r="Z978" i="16"/>
  <c r="Y978" i="16"/>
  <c r="AB977" i="16"/>
  <c r="AA977" i="16"/>
  <c r="Z977" i="16"/>
  <c r="Y977" i="16"/>
  <c r="AB976" i="16"/>
  <c r="AA976" i="16"/>
  <c r="Z976" i="16"/>
  <c r="Y976" i="16"/>
  <c r="AB975" i="16"/>
  <c r="AA975" i="16"/>
  <c r="Z975" i="16"/>
  <c r="Y975" i="16"/>
  <c r="AB974" i="16"/>
  <c r="AA974" i="16"/>
  <c r="Z974" i="16"/>
  <c r="Y974" i="16"/>
  <c r="AB973" i="16"/>
  <c r="AA973" i="16"/>
  <c r="Z973" i="16"/>
  <c r="Y973" i="16"/>
  <c r="AB972" i="16"/>
  <c r="AA972" i="16"/>
  <c r="Z972" i="16"/>
  <c r="Y972" i="16"/>
  <c r="AB971" i="16"/>
  <c r="AA971" i="16"/>
  <c r="Z971" i="16"/>
  <c r="Y971" i="16"/>
  <c r="AB970" i="16"/>
  <c r="AA970" i="16"/>
  <c r="Z970" i="16"/>
  <c r="Y970" i="16"/>
  <c r="AB969" i="16"/>
  <c r="AA969" i="16"/>
  <c r="Y969" i="16"/>
  <c r="AB968" i="16"/>
  <c r="AA968" i="16"/>
  <c r="Z968" i="16"/>
  <c r="Y968" i="16"/>
  <c r="AB967" i="16"/>
  <c r="Z967" i="16"/>
  <c r="Y967" i="16"/>
  <c r="AB966" i="16"/>
  <c r="AA966" i="16"/>
  <c r="Z966" i="16"/>
  <c r="Y966" i="16"/>
  <c r="AB965" i="16"/>
  <c r="AA965" i="16"/>
  <c r="Y965" i="16"/>
  <c r="AB964" i="16"/>
  <c r="AA964" i="16"/>
  <c r="Z964" i="16"/>
  <c r="Y964" i="16"/>
  <c r="AB963" i="16"/>
  <c r="AA963" i="16"/>
  <c r="Y963" i="16"/>
  <c r="AB962" i="16"/>
  <c r="AA962" i="16"/>
  <c r="Z962" i="16"/>
  <c r="Y962" i="16"/>
  <c r="AB961" i="16"/>
  <c r="AA961" i="16"/>
  <c r="Y961" i="16"/>
  <c r="AB960" i="16"/>
  <c r="AA960" i="16"/>
  <c r="Z960" i="16"/>
  <c r="Y960" i="16"/>
  <c r="AB959" i="16"/>
  <c r="AA959" i="16"/>
  <c r="Z959" i="16"/>
  <c r="Y959" i="16"/>
  <c r="AB958" i="16"/>
  <c r="AA958" i="16"/>
  <c r="Z958" i="16"/>
  <c r="Y958" i="16"/>
  <c r="AB957" i="16"/>
  <c r="AA957" i="16"/>
  <c r="Y957" i="16"/>
  <c r="AB956" i="16"/>
  <c r="AA956" i="16"/>
  <c r="Z956" i="16"/>
  <c r="Y956" i="16"/>
  <c r="AB955" i="16"/>
  <c r="AA955" i="16"/>
  <c r="Y955" i="16"/>
  <c r="AB954" i="16"/>
  <c r="AA954" i="16"/>
  <c r="Z954" i="16"/>
  <c r="Y954" i="16"/>
  <c r="AB953" i="16"/>
  <c r="AA953" i="16"/>
  <c r="Z953" i="16"/>
  <c r="Y953" i="16"/>
  <c r="AB952" i="16"/>
  <c r="AA952" i="16"/>
  <c r="Z952" i="16"/>
  <c r="Y952" i="16"/>
  <c r="AB951" i="16"/>
  <c r="AA951" i="16"/>
  <c r="Z951" i="16"/>
  <c r="Y951" i="16"/>
  <c r="AB950" i="16"/>
  <c r="AA950" i="16"/>
  <c r="Z950" i="16"/>
  <c r="Y950" i="16"/>
  <c r="AB949" i="16"/>
  <c r="AA949" i="16"/>
  <c r="Z949" i="16"/>
  <c r="Y949" i="16"/>
  <c r="AB948" i="16"/>
  <c r="AA948" i="16"/>
  <c r="Z948" i="16"/>
  <c r="Y948" i="16"/>
  <c r="AB947" i="16"/>
  <c r="AA947" i="16"/>
  <c r="Z947" i="16"/>
  <c r="Y947" i="16"/>
  <c r="AB946" i="16"/>
  <c r="AA946" i="16"/>
  <c r="Z946" i="16"/>
  <c r="Y946" i="16"/>
  <c r="AB945" i="16"/>
  <c r="AA945" i="16"/>
  <c r="Z945" i="16"/>
  <c r="Y945" i="16"/>
  <c r="AB944" i="16"/>
  <c r="AA944" i="16"/>
  <c r="Z944" i="16"/>
  <c r="Y944" i="16"/>
  <c r="AB943" i="16"/>
  <c r="AA943" i="16"/>
  <c r="Z943" i="16"/>
  <c r="Y943" i="16"/>
  <c r="AB942" i="16"/>
  <c r="AA942" i="16"/>
  <c r="Z942" i="16"/>
  <c r="Y942" i="16"/>
  <c r="AB941" i="16"/>
  <c r="AA941" i="16"/>
  <c r="Z941" i="16"/>
  <c r="Y941" i="16"/>
  <c r="AB940" i="16"/>
  <c r="AA940" i="16"/>
  <c r="Z940" i="16"/>
  <c r="Y940" i="16"/>
  <c r="AB939" i="16"/>
  <c r="AA939" i="16"/>
  <c r="Z939" i="16"/>
  <c r="Y939" i="16"/>
  <c r="AB938" i="16"/>
  <c r="AA938" i="16"/>
  <c r="Z938" i="16"/>
  <c r="Y938" i="16"/>
  <c r="AB937" i="16"/>
  <c r="AA937" i="16"/>
  <c r="Z937" i="16"/>
  <c r="Y937" i="16"/>
  <c r="AB936" i="16"/>
  <c r="AA936" i="16"/>
  <c r="Z936" i="16"/>
  <c r="Y936" i="16"/>
  <c r="AB935" i="16"/>
  <c r="AA935" i="16"/>
  <c r="Z935" i="16"/>
  <c r="Y935" i="16"/>
  <c r="AB934" i="16"/>
  <c r="AA934" i="16"/>
  <c r="Z934" i="16"/>
  <c r="Y934" i="16"/>
  <c r="AB933" i="16"/>
  <c r="AA933" i="16"/>
  <c r="Z933" i="16"/>
  <c r="Y933" i="16"/>
  <c r="AB932" i="16"/>
  <c r="AA932" i="16"/>
  <c r="Z932" i="16"/>
  <c r="Y932" i="16"/>
  <c r="AB931" i="16"/>
  <c r="AA931" i="16"/>
  <c r="Z931" i="16"/>
  <c r="Y931" i="16"/>
  <c r="AB930" i="16"/>
  <c r="AA930" i="16"/>
  <c r="Z930" i="16"/>
  <c r="Y930" i="16"/>
  <c r="AB929" i="16"/>
  <c r="AA929" i="16"/>
  <c r="Z929" i="16"/>
  <c r="Y929" i="16"/>
  <c r="AB928" i="16"/>
  <c r="AA928" i="16"/>
  <c r="Z928" i="16"/>
  <c r="Y928" i="16"/>
  <c r="AB927" i="16"/>
  <c r="AA927" i="16"/>
  <c r="Z927" i="16"/>
  <c r="Y927" i="16"/>
  <c r="AB926" i="16"/>
  <c r="AA926" i="16"/>
  <c r="Z926" i="16"/>
  <c r="Y926" i="16"/>
  <c r="AB925" i="16"/>
  <c r="AA925" i="16"/>
  <c r="Z925" i="16"/>
  <c r="Y925" i="16"/>
  <c r="AB924" i="16"/>
  <c r="AA924" i="16"/>
  <c r="Z924" i="16"/>
  <c r="Y924" i="16"/>
  <c r="AB923" i="16"/>
  <c r="AA923" i="16"/>
  <c r="Z923" i="16"/>
  <c r="Y923" i="16"/>
  <c r="AB922" i="16"/>
  <c r="AA922" i="16"/>
  <c r="Z922" i="16"/>
  <c r="Y922" i="16"/>
  <c r="AB921" i="16"/>
  <c r="AA921" i="16"/>
  <c r="Z921" i="16"/>
  <c r="Y921" i="16"/>
  <c r="AB920" i="16"/>
  <c r="AA920" i="16"/>
  <c r="Z920" i="16"/>
  <c r="Y920" i="16"/>
  <c r="AB919" i="16"/>
  <c r="AA919" i="16"/>
  <c r="Z919" i="16"/>
  <c r="Y919" i="16"/>
  <c r="AB918" i="16"/>
  <c r="AA918" i="16"/>
  <c r="Z918" i="16"/>
  <c r="Y918" i="16"/>
  <c r="AB917" i="16"/>
  <c r="AA917" i="16"/>
  <c r="Z917" i="16"/>
  <c r="Y917" i="16"/>
  <c r="AB916" i="16"/>
  <c r="AA916" i="16"/>
  <c r="Z916" i="16"/>
  <c r="Y916" i="16"/>
  <c r="AB915" i="16"/>
  <c r="AA915" i="16"/>
  <c r="Z915" i="16"/>
  <c r="Y915" i="16"/>
  <c r="AB914" i="16"/>
  <c r="AA914" i="16"/>
  <c r="Z914" i="16"/>
  <c r="Y914" i="16"/>
  <c r="AB913" i="16"/>
  <c r="AA913" i="16"/>
  <c r="Z913" i="16"/>
  <c r="Y913" i="16"/>
  <c r="AB912" i="16"/>
  <c r="AA912" i="16"/>
  <c r="Z912" i="16"/>
  <c r="Y912" i="16"/>
  <c r="AB911" i="16"/>
  <c r="AA911" i="16"/>
  <c r="Z911" i="16"/>
  <c r="Y911" i="16"/>
  <c r="AB910" i="16"/>
  <c r="AA910" i="16"/>
  <c r="Z910" i="16"/>
  <c r="Y910" i="16"/>
  <c r="AB909" i="16"/>
  <c r="AA909" i="16"/>
  <c r="Z909" i="16"/>
  <c r="Y909" i="16"/>
  <c r="AB908" i="16"/>
  <c r="AA908" i="16"/>
  <c r="Z908" i="16"/>
  <c r="Y908" i="16"/>
  <c r="AB907" i="16"/>
  <c r="AA907" i="16"/>
  <c r="Z907" i="16"/>
  <c r="Y907" i="16"/>
  <c r="AB906" i="16"/>
  <c r="AA906" i="16"/>
  <c r="Z906" i="16"/>
  <c r="Y906" i="16"/>
  <c r="AB905" i="16"/>
  <c r="AA905" i="16"/>
  <c r="Z905" i="16"/>
  <c r="Y905" i="16"/>
  <c r="AB904" i="16"/>
  <c r="AA904" i="16"/>
  <c r="Z904" i="16"/>
  <c r="Y904" i="16"/>
  <c r="AB903" i="16"/>
  <c r="AA903" i="16"/>
  <c r="Z903" i="16"/>
  <c r="Y903" i="16"/>
  <c r="AB902" i="16"/>
  <c r="AA902" i="16"/>
  <c r="Z902" i="16"/>
  <c r="Y902" i="16"/>
  <c r="AB901" i="16"/>
  <c r="AA901" i="16"/>
  <c r="Z901" i="16"/>
  <c r="Y901" i="16"/>
  <c r="AB900" i="16"/>
  <c r="AA900" i="16"/>
  <c r="Z900" i="16"/>
  <c r="Y900" i="16"/>
  <c r="AB899" i="16"/>
  <c r="AA899" i="16"/>
  <c r="Z899" i="16"/>
  <c r="Y899" i="16"/>
  <c r="AB898" i="16"/>
  <c r="AA898" i="16"/>
  <c r="Z898" i="16"/>
  <c r="Y898" i="16"/>
  <c r="AB897" i="16"/>
  <c r="AA897" i="16"/>
  <c r="Z897" i="16"/>
  <c r="Y897" i="16"/>
  <c r="AB896" i="16"/>
  <c r="AA896" i="16"/>
  <c r="Z896" i="16"/>
  <c r="Y896" i="16"/>
  <c r="AB895" i="16"/>
  <c r="AA895" i="16"/>
  <c r="Z895" i="16"/>
  <c r="Y895" i="16"/>
  <c r="AB894" i="16"/>
  <c r="AA894" i="16"/>
  <c r="Z894" i="16"/>
  <c r="Y894" i="16"/>
  <c r="AB893" i="16"/>
  <c r="AA893" i="16"/>
  <c r="Z893" i="16"/>
  <c r="Y893" i="16"/>
  <c r="AB892" i="16"/>
  <c r="AA892" i="16"/>
  <c r="Z892" i="16"/>
  <c r="Y892" i="16"/>
  <c r="AB891" i="16"/>
  <c r="AA891" i="16"/>
  <c r="Z891" i="16"/>
  <c r="Y891" i="16"/>
  <c r="AB890" i="16"/>
  <c r="AA890" i="16"/>
  <c r="Z890" i="16"/>
  <c r="Y890" i="16"/>
  <c r="AB889" i="16"/>
  <c r="AA889" i="16"/>
  <c r="Z889" i="16"/>
  <c r="Y889" i="16"/>
  <c r="AB888" i="16"/>
  <c r="AA888" i="16"/>
  <c r="Z888" i="16"/>
  <c r="Y888" i="16"/>
  <c r="AB887" i="16"/>
  <c r="AA887" i="16"/>
  <c r="Z887" i="16"/>
  <c r="Y887" i="16"/>
  <c r="AB886" i="16"/>
  <c r="AA886" i="16"/>
  <c r="Z886" i="16"/>
  <c r="Y886" i="16"/>
  <c r="AB885" i="16"/>
  <c r="AA885" i="16"/>
  <c r="Z885" i="16"/>
  <c r="Y885" i="16"/>
  <c r="AB884" i="16"/>
  <c r="AA884" i="16"/>
  <c r="Z884" i="16"/>
  <c r="Y884" i="16"/>
  <c r="AB883" i="16"/>
  <c r="AA883" i="16"/>
  <c r="Z883" i="16"/>
  <c r="Y883" i="16"/>
  <c r="AB882" i="16"/>
  <c r="AA882" i="16"/>
  <c r="Z882" i="16"/>
  <c r="Y882" i="16"/>
  <c r="AB881" i="16"/>
  <c r="AA881" i="16"/>
  <c r="Z881" i="16"/>
  <c r="Y881" i="16"/>
  <c r="AB880" i="16"/>
  <c r="AA880" i="16"/>
  <c r="Z880" i="16"/>
  <c r="Y880" i="16"/>
  <c r="AB879" i="16"/>
  <c r="AA879" i="16"/>
  <c r="Z879" i="16"/>
  <c r="Y879" i="16"/>
  <c r="AB878" i="16"/>
  <c r="AA878" i="16"/>
  <c r="Z878" i="16"/>
  <c r="Y878" i="16"/>
  <c r="AB877" i="16"/>
  <c r="AA877" i="16"/>
  <c r="Z877" i="16"/>
  <c r="Y877" i="16"/>
  <c r="AB876" i="16"/>
  <c r="AA876" i="16"/>
  <c r="Z876" i="16"/>
  <c r="Y876" i="16"/>
  <c r="AB875" i="16"/>
  <c r="AA875" i="16"/>
  <c r="Z875" i="16"/>
  <c r="Y875" i="16"/>
  <c r="AB874" i="16"/>
  <c r="AA874" i="16"/>
  <c r="Z874" i="16"/>
  <c r="Y874" i="16"/>
  <c r="AB873" i="16"/>
  <c r="AA873" i="16"/>
  <c r="Z873" i="16"/>
  <c r="Y873" i="16"/>
  <c r="AB872" i="16"/>
  <c r="AA872" i="16"/>
  <c r="Z872" i="16"/>
  <c r="Y872" i="16"/>
  <c r="AB871" i="16"/>
  <c r="AA871" i="16"/>
  <c r="Z871" i="16"/>
  <c r="Y871" i="16"/>
  <c r="AB870" i="16"/>
  <c r="AA870" i="16"/>
  <c r="Z870" i="16"/>
  <c r="Y870" i="16"/>
  <c r="AB869" i="16"/>
  <c r="AA869" i="16"/>
  <c r="Z869" i="16"/>
  <c r="Y869" i="16"/>
  <c r="AB868" i="16"/>
  <c r="AA868" i="16"/>
  <c r="Z868" i="16"/>
  <c r="Y868" i="16"/>
  <c r="AB867" i="16"/>
  <c r="AA867" i="16"/>
  <c r="Z867" i="16"/>
  <c r="Y867" i="16"/>
  <c r="AB866" i="16"/>
  <c r="AA866" i="16"/>
  <c r="Z866" i="16"/>
  <c r="Y866" i="16"/>
  <c r="AB865" i="16"/>
  <c r="AA865" i="16"/>
  <c r="Z865" i="16"/>
  <c r="Y865" i="16"/>
  <c r="AB864" i="16"/>
  <c r="AA864" i="16"/>
  <c r="Z864" i="16"/>
  <c r="Y864" i="16"/>
  <c r="AB863" i="16"/>
  <c r="AA863" i="16"/>
  <c r="Z863" i="16"/>
  <c r="Y863" i="16"/>
  <c r="AB862" i="16"/>
  <c r="AA862" i="16"/>
  <c r="Z862" i="16"/>
  <c r="Y862" i="16"/>
  <c r="AB861" i="16"/>
  <c r="AA861" i="16"/>
  <c r="Z861" i="16"/>
  <c r="Y861" i="16"/>
  <c r="AB860" i="16"/>
  <c r="AA860" i="16"/>
  <c r="Z860" i="16"/>
  <c r="Y860" i="16"/>
  <c r="AB859" i="16"/>
  <c r="AA859" i="16"/>
  <c r="Z859" i="16"/>
  <c r="Y859" i="16"/>
  <c r="AB858" i="16"/>
  <c r="AA858" i="16"/>
  <c r="Z858" i="16"/>
  <c r="Y858" i="16"/>
  <c r="AB857" i="16"/>
  <c r="AA857" i="16"/>
  <c r="Z857" i="16"/>
  <c r="Y857" i="16"/>
  <c r="AB856" i="16"/>
  <c r="AA856" i="16"/>
  <c r="Z856" i="16"/>
  <c r="Y856" i="16"/>
  <c r="AB855" i="16"/>
  <c r="AA855" i="16"/>
  <c r="Z855" i="16"/>
  <c r="Y855" i="16"/>
  <c r="AB854" i="16"/>
  <c r="AA854" i="16"/>
  <c r="Z854" i="16"/>
  <c r="Y854" i="16"/>
  <c r="AB853" i="16"/>
  <c r="AA853" i="16"/>
  <c r="Z853" i="16"/>
  <c r="Y853" i="16"/>
  <c r="AB852" i="16"/>
  <c r="AA852" i="16"/>
  <c r="Z852" i="16"/>
  <c r="Y852" i="16"/>
  <c r="AB851" i="16"/>
  <c r="AA851" i="16"/>
  <c r="Z851" i="16"/>
  <c r="Y851" i="16"/>
  <c r="AB850" i="16"/>
  <c r="AA850" i="16"/>
  <c r="Z850" i="16"/>
  <c r="Y850" i="16"/>
  <c r="AB849" i="16"/>
  <c r="AA849" i="16"/>
  <c r="Z849" i="16"/>
  <c r="Y849" i="16"/>
  <c r="AB848" i="16"/>
  <c r="AA848" i="16"/>
  <c r="Z848" i="16"/>
  <c r="Y848" i="16"/>
  <c r="AB847" i="16"/>
  <c r="AA847" i="16"/>
  <c r="Z847" i="16"/>
  <c r="Y847" i="16"/>
  <c r="AB846" i="16"/>
  <c r="AA846" i="16"/>
  <c r="Z846" i="16"/>
  <c r="Y846" i="16"/>
  <c r="AB845" i="16"/>
  <c r="AA845" i="16"/>
  <c r="Z845" i="16"/>
  <c r="Y845" i="16"/>
  <c r="AB844" i="16"/>
  <c r="AA844" i="16"/>
  <c r="Z844" i="16"/>
  <c r="Y844" i="16"/>
  <c r="AB843" i="16"/>
  <c r="AA843" i="16"/>
  <c r="Z843" i="16"/>
  <c r="Y843" i="16"/>
  <c r="AB842" i="16"/>
  <c r="AA842" i="16"/>
  <c r="Z842" i="16"/>
  <c r="Y842" i="16"/>
  <c r="AB841" i="16"/>
  <c r="AA841" i="16"/>
  <c r="Z841" i="16"/>
  <c r="Y841" i="16"/>
  <c r="AB840" i="16"/>
  <c r="AA840" i="16"/>
  <c r="Z840" i="16"/>
  <c r="Y840" i="16"/>
  <c r="AB839" i="16"/>
  <c r="AA839" i="16"/>
  <c r="Z839" i="16"/>
  <c r="Y839" i="16"/>
  <c r="AB838" i="16"/>
  <c r="AA838" i="16"/>
  <c r="Z838" i="16"/>
  <c r="Y838" i="16"/>
  <c r="AB837" i="16"/>
  <c r="AA837" i="16"/>
  <c r="Z837" i="16"/>
  <c r="Y837" i="16"/>
  <c r="AB836" i="16"/>
  <c r="AA836" i="16"/>
  <c r="Z836" i="16"/>
  <c r="Y836" i="16"/>
  <c r="AB835" i="16"/>
  <c r="AA835" i="16"/>
  <c r="Z835" i="16"/>
  <c r="Y835" i="16"/>
  <c r="AB834" i="16"/>
  <c r="AA834" i="16"/>
  <c r="Z834" i="16"/>
  <c r="Y834" i="16"/>
  <c r="AB833" i="16"/>
  <c r="AA833" i="16"/>
  <c r="Z833" i="16"/>
  <c r="Y833" i="16"/>
  <c r="AB832" i="16"/>
  <c r="AA832" i="16"/>
  <c r="Z832" i="16"/>
  <c r="Y832" i="16"/>
  <c r="AB831" i="16"/>
  <c r="AA831" i="16"/>
  <c r="Z831" i="16"/>
  <c r="Y831" i="16"/>
  <c r="AB830" i="16"/>
  <c r="AA830" i="16"/>
  <c r="Z830" i="16"/>
  <c r="Y830" i="16"/>
  <c r="AB829" i="16"/>
  <c r="AA829" i="16"/>
  <c r="Z829" i="16"/>
  <c r="Y829" i="16"/>
  <c r="AB828" i="16"/>
  <c r="AA828" i="16"/>
  <c r="Z828" i="16"/>
  <c r="Y828" i="16"/>
  <c r="AB827" i="16"/>
  <c r="AA827" i="16"/>
  <c r="Z827" i="16"/>
  <c r="Y827" i="16"/>
  <c r="AB826" i="16"/>
  <c r="AA826" i="16"/>
  <c r="Z826" i="16"/>
  <c r="Y826" i="16"/>
  <c r="AB825" i="16"/>
  <c r="AA825" i="16"/>
  <c r="Z825" i="16"/>
  <c r="Y825" i="16"/>
  <c r="AB824" i="16"/>
  <c r="AA824" i="16"/>
  <c r="Z824" i="16"/>
  <c r="Y824" i="16"/>
  <c r="AB823" i="16"/>
  <c r="AA823" i="16"/>
  <c r="Z823" i="16"/>
  <c r="Y823" i="16"/>
  <c r="AB822" i="16"/>
  <c r="AA822" i="16"/>
  <c r="Z822" i="16"/>
  <c r="Y822" i="16"/>
  <c r="AB821" i="16"/>
  <c r="AA821" i="16"/>
  <c r="Z821" i="16"/>
  <c r="Y821" i="16"/>
  <c r="AB820" i="16"/>
  <c r="AA820" i="16"/>
  <c r="Z820" i="16"/>
  <c r="Y820" i="16"/>
  <c r="AB819" i="16"/>
  <c r="AA819" i="16"/>
  <c r="Z819" i="16"/>
  <c r="Y819" i="16"/>
  <c r="AB818" i="16"/>
  <c r="AA818" i="16"/>
  <c r="Z818" i="16"/>
  <c r="Y818" i="16"/>
  <c r="AB817" i="16"/>
  <c r="AA817" i="16"/>
  <c r="Z817" i="16"/>
  <c r="Y817" i="16"/>
  <c r="AB816" i="16"/>
  <c r="AA816" i="16"/>
  <c r="Z816" i="16"/>
  <c r="Y816" i="16"/>
  <c r="AB815" i="16"/>
  <c r="AA815" i="16"/>
  <c r="Z815" i="16"/>
  <c r="Y815" i="16"/>
  <c r="AB814" i="16"/>
  <c r="AA814" i="16"/>
  <c r="Z814" i="16"/>
  <c r="Y814" i="16"/>
  <c r="AB813" i="16"/>
  <c r="AA813" i="16"/>
  <c r="Z813" i="16"/>
  <c r="Y813" i="16"/>
  <c r="AB812" i="16"/>
  <c r="AA812" i="16"/>
  <c r="Z812" i="16"/>
  <c r="Y812" i="16"/>
  <c r="AB811" i="16"/>
  <c r="AA811" i="16"/>
  <c r="Z811" i="16"/>
  <c r="Y811" i="16"/>
  <c r="AB810" i="16"/>
  <c r="AA810" i="16"/>
  <c r="Z810" i="16"/>
  <c r="Y810" i="16"/>
  <c r="AB809" i="16"/>
  <c r="AA809" i="16"/>
  <c r="Z809" i="16"/>
  <c r="Y809" i="16"/>
  <c r="AB808" i="16"/>
  <c r="AA808" i="16"/>
  <c r="Z808" i="16"/>
  <c r="Y808" i="16"/>
  <c r="AB807" i="16"/>
  <c r="AA807" i="16"/>
  <c r="Z807" i="16"/>
  <c r="Y807" i="16"/>
  <c r="AB806" i="16"/>
  <c r="AA806" i="16"/>
  <c r="Z806" i="16"/>
  <c r="Y806" i="16"/>
  <c r="AB805" i="16"/>
  <c r="AA805" i="16"/>
  <c r="Z805" i="16"/>
  <c r="Y805" i="16"/>
  <c r="AB804" i="16"/>
  <c r="AA804" i="16"/>
  <c r="Z804" i="16"/>
  <c r="Y804" i="16"/>
  <c r="AB803" i="16"/>
  <c r="AA803" i="16"/>
  <c r="Z803" i="16"/>
  <c r="Y803" i="16"/>
  <c r="AB802" i="16"/>
  <c r="AA802" i="16"/>
  <c r="Z802" i="16"/>
  <c r="Y802" i="16"/>
  <c r="AB801" i="16"/>
  <c r="AA801" i="16"/>
  <c r="Z801" i="16"/>
  <c r="Y801" i="16"/>
  <c r="AB800" i="16"/>
  <c r="AA800" i="16"/>
  <c r="Z800" i="16"/>
  <c r="Y800" i="16"/>
  <c r="AB799" i="16"/>
  <c r="AA799" i="16"/>
  <c r="Z799" i="16"/>
  <c r="Y799" i="16"/>
  <c r="AB798" i="16"/>
  <c r="AA798" i="16"/>
  <c r="Z798" i="16"/>
  <c r="Y798" i="16"/>
  <c r="AB797" i="16"/>
  <c r="AA797" i="16"/>
  <c r="Z797" i="16"/>
  <c r="Y797" i="16"/>
  <c r="AB796" i="16"/>
  <c r="AA796" i="16"/>
  <c r="Z796" i="16"/>
  <c r="Y796" i="16"/>
  <c r="AB795" i="16"/>
  <c r="AA795" i="16"/>
  <c r="Z795" i="16"/>
  <c r="Y795" i="16"/>
  <c r="AB794" i="16"/>
  <c r="AA794" i="16"/>
  <c r="Z794" i="16"/>
  <c r="Y794" i="16"/>
  <c r="AB793" i="16"/>
  <c r="AA793" i="16"/>
  <c r="Z793" i="16"/>
  <c r="Y793" i="16"/>
  <c r="AB792" i="16"/>
  <c r="AA792" i="16"/>
  <c r="Z792" i="16"/>
  <c r="Y792" i="16"/>
  <c r="AB791" i="16"/>
  <c r="AA791" i="16"/>
  <c r="Z791" i="16"/>
  <c r="Y791" i="16"/>
  <c r="AB790" i="16"/>
  <c r="AA790" i="16"/>
  <c r="Z790" i="16"/>
  <c r="Y790" i="16"/>
  <c r="AB789" i="16"/>
  <c r="AA789" i="16"/>
  <c r="Z789" i="16"/>
  <c r="Y789" i="16"/>
  <c r="AB788" i="16"/>
  <c r="AA788" i="16"/>
  <c r="Z788" i="16"/>
  <c r="Y788" i="16"/>
  <c r="AB787" i="16"/>
  <c r="AA787" i="16"/>
  <c r="Z787" i="16"/>
  <c r="Y787" i="16"/>
  <c r="AB786" i="16"/>
  <c r="AA786" i="16"/>
  <c r="Z786" i="16"/>
  <c r="Y786" i="16"/>
  <c r="AB785" i="16"/>
  <c r="AA785" i="16"/>
  <c r="Z785" i="16"/>
  <c r="Y785" i="16"/>
  <c r="AB784" i="16"/>
  <c r="AA784" i="16"/>
  <c r="Z784" i="16"/>
  <c r="Y784" i="16"/>
  <c r="AB783" i="16"/>
  <c r="AA783" i="16"/>
  <c r="Z783" i="16"/>
  <c r="Y783" i="16"/>
  <c r="AB782" i="16"/>
  <c r="AA782" i="16"/>
  <c r="Z782" i="16"/>
  <c r="Y782" i="16"/>
  <c r="AB781" i="16"/>
  <c r="AA781" i="16"/>
  <c r="Z781" i="16"/>
  <c r="Y781" i="16"/>
  <c r="AB780" i="16"/>
  <c r="AA780" i="16"/>
  <c r="Z780" i="16"/>
  <c r="Y780" i="16"/>
  <c r="AB779" i="16"/>
  <c r="AA779" i="16"/>
  <c r="Z779" i="16"/>
  <c r="Y779" i="16"/>
  <c r="AB778" i="16"/>
  <c r="AA778" i="16"/>
  <c r="Z778" i="16"/>
  <c r="Y778" i="16"/>
  <c r="AB777" i="16"/>
  <c r="AA777" i="16"/>
  <c r="Z777" i="16"/>
  <c r="Y777" i="16"/>
  <c r="AB776" i="16"/>
  <c r="AA776" i="16"/>
  <c r="Z776" i="16"/>
  <c r="Y776" i="16"/>
  <c r="AB775" i="16"/>
  <c r="AA775" i="16"/>
  <c r="Z775" i="16"/>
  <c r="Y775" i="16"/>
  <c r="AB774" i="16"/>
  <c r="AA774" i="16"/>
  <c r="Z774" i="16"/>
  <c r="Y774" i="16"/>
  <c r="AB773" i="16"/>
  <c r="AA773" i="16"/>
  <c r="Z773" i="16"/>
  <c r="Y773" i="16"/>
  <c r="AB772" i="16"/>
  <c r="AA772" i="16"/>
  <c r="Z772" i="16"/>
  <c r="Y772" i="16"/>
  <c r="AB771" i="16"/>
  <c r="AA771" i="16"/>
  <c r="Z771" i="16"/>
  <c r="Y771" i="16"/>
  <c r="AB770" i="16"/>
  <c r="AA770" i="16"/>
  <c r="Z770" i="16"/>
  <c r="Y770" i="16"/>
  <c r="AB769" i="16"/>
  <c r="AA769" i="16"/>
  <c r="Z769" i="16"/>
  <c r="Y769" i="16"/>
  <c r="AB768" i="16"/>
  <c r="AA768" i="16"/>
  <c r="Z768" i="16"/>
  <c r="Y768" i="16"/>
  <c r="AB767" i="16"/>
  <c r="AA767" i="16"/>
  <c r="Z767" i="16"/>
  <c r="Y767" i="16"/>
  <c r="AB766" i="16"/>
  <c r="AA766" i="16"/>
  <c r="Z766" i="16"/>
  <c r="Y766" i="16"/>
  <c r="AB765" i="16"/>
  <c r="AA765" i="16"/>
  <c r="Z765" i="16"/>
  <c r="Y765" i="16"/>
  <c r="AB764" i="16"/>
  <c r="AA764" i="16"/>
  <c r="Z764" i="16"/>
  <c r="Y764" i="16"/>
  <c r="AB763" i="16"/>
  <c r="AA763" i="16"/>
  <c r="Z763" i="16"/>
  <c r="Y763" i="16"/>
  <c r="AB762" i="16"/>
  <c r="AA762" i="16"/>
  <c r="Z762" i="16"/>
  <c r="Y762" i="16"/>
  <c r="AB761" i="16"/>
  <c r="AA761" i="16"/>
  <c r="Z761" i="16"/>
  <c r="Y761" i="16"/>
  <c r="AB760" i="16"/>
  <c r="AA760" i="16"/>
  <c r="Z760" i="16"/>
  <c r="Y760" i="16"/>
  <c r="AB759" i="16"/>
  <c r="AA759" i="16"/>
  <c r="Z759" i="16"/>
  <c r="Y759" i="16"/>
  <c r="AB758" i="16"/>
  <c r="AA758" i="16"/>
  <c r="Z758" i="16"/>
  <c r="Y758" i="16"/>
  <c r="AB757" i="16"/>
  <c r="AA757" i="16"/>
  <c r="Z757" i="16"/>
  <c r="Y757" i="16"/>
  <c r="AB756" i="16"/>
  <c r="AA756" i="16"/>
  <c r="Z756" i="16"/>
  <c r="Y756" i="16"/>
  <c r="AB755" i="16"/>
  <c r="AA755" i="16"/>
  <c r="Z755" i="16"/>
  <c r="Y755" i="16"/>
  <c r="AB754" i="16"/>
  <c r="AA754" i="16"/>
  <c r="Z754" i="16"/>
  <c r="Y754" i="16"/>
  <c r="AB753" i="16"/>
  <c r="AA753" i="16"/>
  <c r="Z753" i="16"/>
  <c r="Y753" i="16"/>
  <c r="AB752" i="16"/>
  <c r="AA752" i="16"/>
  <c r="Z752" i="16"/>
  <c r="Y752" i="16"/>
  <c r="AB751" i="16"/>
  <c r="AA751" i="16"/>
  <c r="Z751" i="16"/>
  <c r="Y751" i="16"/>
  <c r="AB750" i="16"/>
  <c r="AA750" i="16"/>
  <c r="Z750" i="16"/>
  <c r="Y750" i="16"/>
  <c r="AB749" i="16"/>
  <c r="AA749" i="16"/>
  <c r="Z749" i="16"/>
  <c r="Y749" i="16"/>
  <c r="AB748" i="16"/>
  <c r="AA748" i="16"/>
  <c r="Z748" i="16"/>
  <c r="Y748" i="16"/>
  <c r="AB747" i="16"/>
  <c r="AA747" i="16"/>
  <c r="Z747" i="16"/>
  <c r="Y747" i="16"/>
  <c r="AB746" i="16"/>
  <c r="AA746" i="16"/>
  <c r="Z746" i="16"/>
  <c r="Y746" i="16"/>
  <c r="AB745" i="16"/>
  <c r="AA745" i="16"/>
  <c r="Z745" i="16"/>
  <c r="Y745" i="16"/>
  <c r="AB744" i="16"/>
  <c r="AA744" i="16"/>
  <c r="Z744" i="16"/>
  <c r="Y744" i="16"/>
  <c r="AB743" i="16"/>
  <c r="AA743" i="16"/>
  <c r="Z743" i="16"/>
  <c r="Y743" i="16"/>
  <c r="AB742" i="16"/>
  <c r="AA742" i="16"/>
  <c r="Z742" i="16"/>
  <c r="Y742" i="16"/>
  <c r="AB741" i="16"/>
  <c r="AA741" i="16"/>
  <c r="Z741" i="16"/>
  <c r="Y741" i="16"/>
  <c r="AB740" i="16"/>
  <c r="AA740" i="16"/>
  <c r="Z740" i="16"/>
  <c r="Y740" i="16"/>
  <c r="AB739" i="16"/>
  <c r="AA739" i="16"/>
  <c r="Z739" i="16"/>
  <c r="Y739" i="16"/>
  <c r="AB738" i="16"/>
  <c r="AA738" i="16"/>
  <c r="Z738" i="16"/>
  <c r="Y738" i="16"/>
  <c r="AB737" i="16"/>
  <c r="AA737" i="16"/>
  <c r="Z737" i="16"/>
  <c r="Y737" i="16"/>
  <c r="AB736" i="16"/>
  <c r="AA736" i="16"/>
  <c r="Z736" i="16"/>
  <c r="Y736" i="16"/>
  <c r="AB735" i="16"/>
  <c r="AA735" i="16"/>
  <c r="Z735" i="16"/>
  <c r="Y735" i="16"/>
  <c r="AB734" i="16"/>
  <c r="AA734" i="16"/>
  <c r="Z734" i="16"/>
  <c r="Y734" i="16"/>
  <c r="AB733" i="16"/>
  <c r="AA733" i="16"/>
  <c r="Z733" i="16"/>
  <c r="Y733" i="16"/>
  <c r="AB732" i="16"/>
  <c r="AA732" i="16"/>
  <c r="Z732" i="16"/>
  <c r="Y732" i="16"/>
  <c r="AB731" i="16"/>
  <c r="AA731" i="16"/>
  <c r="Z731" i="16"/>
  <c r="Y731" i="16"/>
  <c r="AB730" i="16"/>
  <c r="AA730" i="16"/>
  <c r="Z730" i="16"/>
  <c r="Y730" i="16"/>
  <c r="AB729" i="16"/>
  <c r="AA729" i="16"/>
  <c r="Z729" i="16"/>
  <c r="Y729" i="16"/>
  <c r="AB728" i="16"/>
  <c r="AA728" i="16"/>
  <c r="Z728" i="16"/>
  <c r="Y728" i="16"/>
  <c r="AB727" i="16"/>
  <c r="AA727" i="16"/>
  <c r="Z727" i="16"/>
  <c r="Y727" i="16"/>
  <c r="AB726" i="16"/>
  <c r="AA726" i="16"/>
  <c r="Z726" i="16"/>
  <c r="Y726" i="16"/>
  <c r="AB725" i="16"/>
  <c r="AA725" i="16"/>
  <c r="Z725" i="16"/>
  <c r="Y725" i="16"/>
  <c r="AB724" i="16"/>
  <c r="AA724" i="16"/>
  <c r="Z724" i="16"/>
  <c r="Y724" i="16"/>
  <c r="AB723" i="16"/>
  <c r="AA723" i="16"/>
  <c r="Z723" i="16"/>
  <c r="Y723" i="16"/>
  <c r="AB722" i="16"/>
  <c r="AA722" i="16"/>
  <c r="Z722" i="16"/>
  <c r="Y722" i="16"/>
  <c r="AB721" i="16"/>
  <c r="AA721" i="16"/>
  <c r="Z721" i="16"/>
  <c r="Y721" i="16"/>
  <c r="AB720" i="16"/>
  <c r="AA720" i="16"/>
  <c r="Z720" i="16"/>
  <c r="Y720" i="16"/>
  <c r="AB719" i="16"/>
  <c r="AA719" i="16"/>
  <c r="Z719" i="16"/>
  <c r="Y719" i="16"/>
  <c r="AB718" i="16"/>
  <c r="AA718" i="16"/>
  <c r="Z718" i="16"/>
  <c r="Y718" i="16"/>
  <c r="AB717" i="16"/>
  <c r="AA717" i="16"/>
  <c r="Z717" i="16"/>
  <c r="Y717" i="16"/>
  <c r="AB716" i="16"/>
  <c r="AA716" i="16"/>
  <c r="Z716" i="16"/>
  <c r="Y716" i="16"/>
  <c r="AB715" i="16"/>
  <c r="AA715" i="16"/>
  <c r="Z715" i="16"/>
  <c r="Y715" i="16"/>
  <c r="AB714" i="16"/>
  <c r="AA714" i="16"/>
  <c r="Z714" i="16"/>
  <c r="Y714" i="16"/>
  <c r="AB713" i="16"/>
  <c r="AA713" i="16"/>
  <c r="Z713" i="16"/>
  <c r="Y713" i="16"/>
  <c r="AB712" i="16"/>
  <c r="AA712" i="16"/>
  <c r="Z712" i="16"/>
  <c r="Y712" i="16"/>
  <c r="AB711" i="16"/>
  <c r="AA711" i="16"/>
  <c r="Z711" i="16"/>
  <c r="Y711" i="16"/>
  <c r="AB710" i="16"/>
  <c r="AA710" i="16"/>
  <c r="Z710" i="16"/>
  <c r="Y710" i="16"/>
  <c r="AB709" i="16"/>
  <c r="AA709" i="16"/>
  <c r="Z709" i="16"/>
  <c r="Y709" i="16"/>
  <c r="AB708" i="16"/>
  <c r="AA708" i="16"/>
  <c r="Z708" i="16"/>
  <c r="Y708" i="16"/>
  <c r="AB707" i="16"/>
  <c r="AA707" i="16"/>
  <c r="Z707" i="16"/>
  <c r="Y707" i="16"/>
  <c r="AB706" i="16"/>
  <c r="AA706" i="16"/>
  <c r="Z706" i="16"/>
  <c r="Y706" i="16"/>
  <c r="AB705" i="16"/>
  <c r="AA705" i="16"/>
  <c r="Z705" i="16"/>
  <c r="Y705" i="16"/>
  <c r="AB704" i="16"/>
  <c r="AA704" i="16"/>
  <c r="Z704" i="16"/>
  <c r="Y704" i="16"/>
  <c r="AB703" i="16"/>
  <c r="AA703" i="16"/>
  <c r="Z703" i="16"/>
  <c r="Y703" i="16"/>
  <c r="AB702" i="16"/>
  <c r="AA702" i="16"/>
  <c r="Z702" i="16"/>
  <c r="Y702" i="16"/>
  <c r="AB701" i="16"/>
  <c r="AA701" i="16"/>
  <c r="Z701" i="16"/>
  <c r="Y701" i="16"/>
  <c r="AB700" i="16"/>
  <c r="AA700" i="16"/>
  <c r="Z700" i="16"/>
  <c r="Y700" i="16"/>
  <c r="AB699" i="16"/>
  <c r="AA699" i="16"/>
  <c r="Z699" i="16"/>
  <c r="Y699" i="16"/>
  <c r="AB698" i="16"/>
  <c r="AA698" i="16"/>
  <c r="Z698" i="16"/>
  <c r="Y698" i="16"/>
  <c r="AB697" i="16"/>
  <c r="AA697" i="16"/>
  <c r="Z697" i="16"/>
  <c r="Y697" i="16"/>
  <c r="AB696" i="16"/>
  <c r="AA696" i="16"/>
  <c r="Z696" i="16"/>
  <c r="Y696" i="16"/>
  <c r="AB695" i="16"/>
  <c r="AA695" i="16"/>
  <c r="Z695" i="16"/>
  <c r="Y695" i="16"/>
  <c r="AB694" i="16"/>
  <c r="AA694" i="16"/>
  <c r="Z694" i="16"/>
  <c r="Y694" i="16"/>
  <c r="AB693" i="16"/>
  <c r="AA693" i="16"/>
  <c r="Z693" i="16"/>
  <c r="Y693" i="16"/>
  <c r="AB692" i="16"/>
  <c r="AA692" i="16"/>
  <c r="Z692" i="16"/>
  <c r="Y692" i="16"/>
  <c r="AB691" i="16"/>
  <c r="AA691" i="16"/>
  <c r="Z691" i="16"/>
  <c r="Y691" i="16"/>
  <c r="AB690" i="16"/>
  <c r="AA690" i="16"/>
  <c r="Z690" i="16"/>
  <c r="Y690" i="16"/>
  <c r="AB689" i="16"/>
  <c r="AA689" i="16"/>
  <c r="Z689" i="16"/>
  <c r="Y689" i="16"/>
  <c r="AB688" i="16"/>
  <c r="AA688" i="16"/>
  <c r="Z688" i="16"/>
  <c r="Y688" i="16"/>
  <c r="AB687" i="16"/>
  <c r="AA687" i="16"/>
  <c r="Z687" i="16"/>
  <c r="Y687" i="16"/>
  <c r="AB686" i="16"/>
  <c r="AA686" i="16"/>
  <c r="Z686" i="16"/>
  <c r="Y686" i="16"/>
  <c r="AB685" i="16"/>
  <c r="AA685" i="16"/>
  <c r="Z685" i="16"/>
  <c r="Y685" i="16"/>
  <c r="AB684" i="16"/>
  <c r="AA684" i="16"/>
  <c r="Z684" i="16"/>
  <c r="Y684" i="16"/>
  <c r="AB683" i="16"/>
  <c r="AA683" i="16"/>
  <c r="Z683" i="16"/>
  <c r="Y683" i="16"/>
  <c r="AB682" i="16"/>
  <c r="AA682" i="16"/>
  <c r="Z682" i="16"/>
  <c r="Y682" i="16"/>
  <c r="AB681" i="16"/>
  <c r="AA681" i="16"/>
  <c r="Z681" i="16"/>
  <c r="Y681" i="16"/>
  <c r="AB680" i="16"/>
  <c r="AA680" i="16"/>
  <c r="Z680" i="16"/>
  <c r="Y680" i="16"/>
  <c r="AB679" i="16"/>
  <c r="AA679" i="16"/>
  <c r="Z679" i="16"/>
  <c r="Y679" i="16"/>
  <c r="AB678" i="16"/>
  <c r="AA678" i="16"/>
  <c r="Z678" i="16"/>
  <c r="Y678" i="16"/>
  <c r="AB677" i="16"/>
  <c r="AA677" i="16"/>
  <c r="Z677" i="16"/>
  <c r="Y677" i="16"/>
  <c r="AB676" i="16"/>
  <c r="AA676" i="16"/>
  <c r="Z676" i="16"/>
  <c r="Y676" i="16"/>
  <c r="AB675" i="16"/>
  <c r="AA675" i="16"/>
  <c r="Z675" i="16"/>
  <c r="Y675" i="16"/>
  <c r="AB674" i="16"/>
  <c r="AA674" i="16"/>
  <c r="Z674" i="16"/>
  <c r="Y674" i="16"/>
  <c r="AB673" i="16"/>
  <c r="AA673" i="16"/>
  <c r="Z673" i="16"/>
  <c r="Y673" i="16"/>
  <c r="AB672" i="16"/>
  <c r="AA672" i="16"/>
  <c r="Z672" i="16"/>
  <c r="Y672" i="16"/>
  <c r="AB671" i="16"/>
  <c r="AA671" i="16"/>
  <c r="Z671" i="16"/>
  <c r="Y671" i="16"/>
  <c r="AB670" i="16"/>
  <c r="AA670" i="16"/>
  <c r="Z670" i="16"/>
  <c r="Y670" i="16"/>
  <c r="AB669" i="16"/>
  <c r="AA669" i="16"/>
  <c r="Z669" i="16"/>
  <c r="Y669" i="16"/>
  <c r="AB668" i="16"/>
  <c r="AA668" i="16"/>
  <c r="Z668" i="16"/>
  <c r="Y668" i="16"/>
  <c r="AB667" i="16"/>
  <c r="AA667" i="16"/>
  <c r="Z667" i="16"/>
  <c r="Y667" i="16"/>
  <c r="AB666" i="16"/>
  <c r="AA666" i="16"/>
  <c r="Z666" i="16"/>
  <c r="Y666" i="16"/>
  <c r="AB665" i="16"/>
  <c r="AA665" i="16"/>
  <c r="Z665" i="16"/>
  <c r="Y665" i="16"/>
  <c r="AB664" i="16"/>
  <c r="AA664" i="16"/>
  <c r="Z664" i="16"/>
  <c r="Y664" i="16"/>
  <c r="AB663" i="16"/>
  <c r="AA663" i="16"/>
  <c r="Z663" i="16"/>
  <c r="Y663" i="16"/>
  <c r="AB662" i="16"/>
  <c r="AA662" i="16"/>
  <c r="Z662" i="16"/>
  <c r="Y662" i="16"/>
  <c r="AB661" i="16"/>
  <c r="AA661" i="16"/>
  <c r="Z661" i="16"/>
  <c r="Y661" i="16"/>
  <c r="AB660" i="16"/>
  <c r="AA660" i="16"/>
  <c r="Z660" i="16"/>
  <c r="Y660" i="16"/>
  <c r="AB659" i="16"/>
  <c r="AA659" i="16"/>
  <c r="Z659" i="16"/>
  <c r="Y659" i="16"/>
  <c r="AB658" i="16"/>
  <c r="AA658" i="16"/>
  <c r="Z658" i="16"/>
  <c r="Y658" i="16"/>
  <c r="AB657" i="16"/>
  <c r="AA657" i="16"/>
  <c r="Z657" i="16"/>
  <c r="Y657" i="16"/>
  <c r="AB656" i="16"/>
  <c r="AA656" i="16"/>
  <c r="Z656" i="16"/>
  <c r="Y656" i="16"/>
  <c r="AB655" i="16"/>
  <c r="AA655" i="16"/>
  <c r="Z655" i="16"/>
  <c r="Y655" i="16"/>
  <c r="AB654" i="16"/>
  <c r="AA654" i="16"/>
  <c r="Z654" i="16"/>
  <c r="Y654" i="16"/>
  <c r="AB653" i="16"/>
  <c r="AA653" i="16"/>
  <c r="Z653" i="16"/>
  <c r="Y653" i="16"/>
  <c r="AB652" i="16"/>
  <c r="AA652" i="16"/>
  <c r="Z652" i="16"/>
  <c r="Y652" i="16"/>
  <c r="AB651" i="16"/>
  <c r="AA651" i="16"/>
  <c r="Z651" i="16"/>
  <c r="Y651" i="16"/>
  <c r="AB650" i="16"/>
  <c r="AA650" i="16"/>
  <c r="Z650" i="16"/>
  <c r="Y650" i="16"/>
  <c r="AB649" i="16"/>
  <c r="AA649" i="16"/>
  <c r="Z649" i="16"/>
  <c r="Y649" i="16"/>
  <c r="AB648" i="16"/>
  <c r="AA648" i="16"/>
  <c r="Z648" i="16"/>
  <c r="Y648" i="16"/>
  <c r="AB647" i="16"/>
  <c r="AA647" i="16"/>
  <c r="Z647" i="16"/>
  <c r="Y647" i="16"/>
  <c r="AB646" i="16"/>
  <c r="AA646" i="16"/>
  <c r="Z646" i="16"/>
  <c r="Y646" i="16"/>
  <c r="AB645" i="16"/>
  <c r="AA645" i="16"/>
  <c r="Z645" i="16"/>
  <c r="Y645" i="16"/>
  <c r="AB644" i="16"/>
  <c r="AA644" i="16"/>
  <c r="Z644" i="16"/>
  <c r="Y644" i="16"/>
  <c r="AB643" i="16"/>
  <c r="AA643" i="16"/>
  <c r="Z643" i="16"/>
  <c r="Y643" i="16"/>
  <c r="AB642" i="16"/>
  <c r="AA642" i="16"/>
  <c r="Z642" i="16"/>
  <c r="Y642" i="16"/>
  <c r="AB641" i="16"/>
  <c r="AA641" i="16"/>
  <c r="Z641" i="16"/>
  <c r="Y641" i="16"/>
  <c r="AB640" i="16"/>
  <c r="AA640" i="16"/>
  <c r="Z640" i="16"/>
  <c r="Y640" i="16"/>
  <c r="AB639" i="16"/>
  <c r="AA639" i="16"/>
  <c r="Z639" i="16"/>
  <c r="Y639" i="16"/>
  <c r="AB638" i="16"/>
  <c r="AA638" i="16"/>
  <c r="Z638" i="16"/>
  <c r="Y638" i="16"/>
  <c r="AB637" i="16"/>
  <c r="AA637" i="16"/>
  <c r="Z637" i="16"/>
  <c r="Y637" i="16"/>
  <c r="AB636" i="16"/>
  <c r="AA636" i="16"/>
  <c r="Z636" i="16"/>
  <c r="Y636" i="16"/>
  <c r="AB635" i="16"/>
  <c r="AA635" i="16"/>
  <c r="Z635" i="16"/>
  <c r="Y635" i="16"/>
  <c r="AB634" i="16"/>
  <c r="AA634" i="16"/>
  <c r="Z634" i="16"/>
  <c r="Y634" i="16"/>
  <c r="AB633" i="16"/>
  <c r="AA633" i="16"/>
  <c r="Z633" i="16"/>
  <c r="Y633" i="16"/>
  <c r="AB632" i="16"/>
  <c r="AA632" i="16"/>
  <c r="Z632" i="16"/>
  <c r="Y632" i="16"/>
  <c r="AB631" i="16"/>
  <c r="AA631" i="16"/>
  <c r="Z631" i="16"/>
  <c r="Y631" i="16"/>
  <c r="AB630" i="16"/>
  <c r="AA630" i="16"/>
  <c r="Z630" i="16"/>
  <c r="Y630" i="16"/>
  <c r="AB629" i="16"/>
  <c r="AA629" i="16"/>
  <c r="Z629" i="16"/>
  <c r="Y629" i="16"/>
  <c r="AB628" i="16"/>
  <c r="AA628" i="16"/>
  <c r="Z628" i="16"/>
  <c r="Y628" i="16"/>
  <c r="AB627" i="16"/>
  <c r="AA627" i="16"/>
  <c r="Z627" i="16"/>
  <c r="Y627" i="16"/>
  <c r="AB626" i="16"/>
  <c r="AA626" i="16"/>
  <c r="Z626" i="16"/>
  <c r="Y626" i="16"/>
  <c r="AB625" i="16"/>
  <c r="AA625" i="16"/>
  <c r="Z625" i="16"/>
  <c r="Y625" i="16"/>
  <c r="AB624" i="16"/>
  <c r="AA624" i="16"/>
  <c r="Z624" i="16"/>
  <c r="Y624" i="16"/>
  <c r="AB623" i="16"/>
  <c r="AA623" i="16"/>
  <c r="Z623" i="16"/>
  <c r="Y623" i="16"/>
  <c r="AB622" i="16"/>
  <c r="AA622" i="16"/>
  <c r="Z622" i="16"/>
  <c r="Y622" i="16"/>
  <c r="AB621" i="16"/>
  <c r="AA621" i="16"/>
  <c r="Z621" i="16"/>
  <c r="Y621" i="16"/>
  <c r="AB620" i="16"/>
  <c r="AA620" i="16"/>
  <c r="Z620" i="16"/>
  <c r="Y620" i="16"/>
  <c r="AB619" i="16"/>
  <c r="AA619" i="16"/>
  <c r="Z619" i="16"/>
  <c r="Y619" i="16"/>
  <c r="AB618" i="16"/>
  <c r="AA618" i="16"/>
  <c r="Z618" i="16"/>
  <c r="Y618" i="16"/>
  <c r="AB617" i="16"/>
  <c r="AA617" i="16"/>
  <c r="Z617" i="16"/>
  <c r="Y617" i="16"/>
  <c r="AB616" i="16"/>
  <c r="AA616" i="16"/>
  <c r="Z616" i="16"/>
  <c r="Y616" i="16"/>
  <c r="AB615" i="16"/>
  <c r="AA615" i="16"/>
  <c r="Z615" i="16"/>
  <c r="Y615" i="16"/>
  <c r="AB614" i="16"/>
  <c r="AA614" i="16"/>
  <c r="Z614" i="16"/>
  <c r="Y614" i="16"/>
  <c r="AB613" i="16"/>
  <c r="AA613" i="16"/>
  <c r="Z613" i="16"/>
  <c r="Y613" i="16"/>
  <c r="AB612" i="16"/>
  <c r="AA612" i="16"/>
  <c r="Z612" i="16"/>
  <c r="Y612" i="16"/>
  <c r="AB611" i="16"/>
  <c r="AA611" i="16"/>
  <c r="Z611" i="16"/>
  <c r="Y611" i="16"/>
  <c r="AB610" i="16"/>
  <c r="AA610" i="16"/>
  <c r="Z610" i="16"/>
  <c r="Y610" i="16"/>
  <c r="AB609" i="16"/>
  <c r="AA609" i="16"/>
  <c r="Z609" i="16"/>
  <c r="Y609" i="16"/>
  <c r="AB608" i="16"/>
  <c r="AA608" i="16"/>
  <c r="Z608" i="16"/>
  <c r="Y608" i="16"/>
  <c r="AB607" i="16"/>
  <c r="AA607" i="16"/>
  <c r="Z607" i="16"/>
  <c r="Y607" i="16"/>
  <c r="AB606" i="16"/>
  <c r="AA606" i="16"/>
  <c r="Z606" i="16"/>
  <c r="Y606" i="16"/>
  <c r="AB605" i="16"/>
  <c r="AA605" i="16"/>
  <c r="Z605" i="16"/>
  <c r="Y605" i="16"/>
  <c r="AB604" i="16"/>
  <c r="AA604" i="16"/>
  <c r="Z604" i="16"/>
  <c r="Y604" i="16"/>
  <c r="AB603" i="16"/>
  <c r="AA603" i="16"/>
  <c r="Z603" i="16"/>
  <c r="Y603" i="16"/>
  <c r="AB602" i="16"/>
  <c r="AA602" i="16"/>
  <c r="Z602" i="16"/>
  <c r="Y602" i="16"/>
  <c r="AB601" i="16"/>
  <c r="AA601" i="16"/>
  <c r="Z601" i="16"/>
  <c r="Y601" i="16"/>
  <c r="AB600" i="16"/>
  <c r="AA600" i="16"/>
  <c r="Z600" i="16"/>
  <c r="Y600" i="16"/>
  <c r="AB599" i="16"/>
  <c r="AA599" i="16"/>
  <c r="Z599" i="16"/>
  <c r="Y599" i="16"/>
  <c r="AB598" i="16"/>
  <c r="AA598" i="16"/>
  <c r="Z598" i="16"/>
  <c r="Y598" i="16"/>
  <c r="AB597" i="16"/>
  <c r="AA597" i="16"/>
  <c r="Z597" i="16"/>
  <c r="Y597" i="16"/>
  <c r="AB596" i="16"/>
  <c r="AA596" i="16"/>
  <c r="Z596" i="16"/>
  <c r="Y596" i="16"/>
  <c r="AB595" i="16"/>
  <c r="AA595" i="16"/>
  <c r="Z595" i="16"/>
  <c r="Y595" i="16"/>
  <c r="AB594" i="16"/>
  <c r="AA594" i="16"/>
  <c r="Z594" i="16"/>
  <c r="Y594" i="16"/>
  <c r="AB593" i="16"/>
  <c r="AA593" i="16"/>
  <c r="Z593" i="16"/>
  <c r="Y593" i="16"/>
  <c r="AB592" i="16"/>
  <c r="AA592" i="16"/>
  <c r="Z592" i="16"/>
  <c r="Y592" i="16"/>
  <c r="AB591" i="16"/>
  <c r="AA591" i="16"/>
  <c r="Z591" i="16"/>
  <c r="Y591" i="16"/>
  <c r="AB590" i="16"/>
  <c r="AA590" i="16"/>
  <c r="Z590" i="16"/>
  <c r="Y590" i="16"/>
  <c r="AB589" i="16"/>
  <c r="AA589" i="16"/>
  <c r="Z589" i="16"/>
  <c r="Y589" i="16"/>
  <c r="AB588" i="16"/>
  <c r="AA588" i="16"/>
  <c r="Z588" i="16"/>
  <c r="Y588" i="16"/>
  <c r="AB587" i="16"/>
  <c r="AA587" i="16"/>
  <c r="Z587" i="16"/>
  <c r="Y587" i="16"/>
  <c r="AB586" i="16"/>
  <c r="AA586" i="16"/>
  <c r="Z586" i="16"/>
  <c r="Y586" i="16"/>
  <c r="AB585" i="16"/>
  <c r="AA585" i="16"/>
  <c r="Z585" i="16"/>
  <c r="Y585" i="16"/>
  <c r="AB584" i="16"/>
  <c r="AA584" i="16"/>
  <c r="Z584" i="16"/>
  <c r="Y584" i="16"/>
  <c r="AB583" i="16"/>
  <c r="AA583" i="16"/>
  <c r="Z583" i="16"/>
  <c r="Y583" i="16"/>
  <c r="AB582" i="16"/>
  <c r="AA582" i="16"/>
  <c r="Z582" i="16"/>
  <c r="Y582" i="16"/>
  <c r="AB581" i="16"/>
  <c r="AA581" i="16"/>
  <c r="Z581" i="16"/>
  <c r="Y581" i="16"/>
  <c r="AB580" i="16"/>
  <c r="AA580" i="16"/>
  <c r="Z580" i="16"/>
  <c r="Y580" i="16"/>
  <c r="AB579" i="16"/>
  <c r="AA579" i="16"/>
  <c r="Z579" i="16"/>
  <c r="Y579" i="16"/>
  <c r="AB578" i="16"/>
  <c r="AA578" i="16"/>
  <c r="Z578" i="16"/>
  <c r="Y578" i="16"/>
  <c r="AB577" i="16"/>
  <c r="AA577" i="16"/>
  <c r="Z577" i="16"/>
  <c r="Y577" i="16"/>
  <c r="AB576" i="16"/>
  <c r="AA576" i="16"/>
  <c r="Z576" i="16"/>
  <c r="Y576" i="16"/>
  <c r="AB575" i="16"/>
  <c r="AA575" i="16"/>
  <c r="Z575" i="16"/>
  <c r="Y575" i="16"/>
  <c r="AB574" i="16"/>
  <c r="AA574" i="16"/>
  <c r="Z574" i="16"/>
  <c r="Y574" i="16"/>
  <c r="AB573" i="16"/>
  <c r="AA573" i="16"/>
  <c r="Z573" i="16"/>
  <c r="Y573" i="16"/>
  <c r="AB572" i="16"/>
  <c r="AA572" i="16"/>
  <c r="Z572" i="16"/>
  <c r="Y572" i="16"/>
  <c r="AB571" i="16"/>
  <c r="AA571" i="16"/>
  <c r="Z571" i="16"/>
  <c r="Y571" i="16"/>
  <c r="AB570" i="16"/>
  <c r="AA570" i="16"/>
  <c r="Z570" i="16"/>
  <c r="Y570" i="16"/>
  <c r="AB569" i="16"/>
  <c r="AA569" i="16"/>
  <c r="Z569" i="16"/>
  <c r="Y569" i="16"/>
  <c r="AB568" i="16"/>
  <c r="AA568" i="16"/>
  <c r="Z568" i="16"/>
  <c r="Y568" i="16"/>
  <c r="AB567" i="16"/>
  <c r="AA567" i="16"/>
  <c r="Z567" i="16"/>
  <c r="Y567" i="16"/>
  <c r="AB566" i="16"/>
  <c r="AA566" i="16"/>
  <c r="Z566" i="16"/>
  <c r="Y566" i="16"/>
  <c r="AB565" i="16"/>
  <c r="AA565" i="16"/>
  <c r="Z565" i="16"/>
  <c r="Y565" i="16"/>
  <c r="AB564" i="16"/>
  <c r="AA564" i="16"/>
  <c r="Z564" i="16"/>
  <c r="Y564" i="16"/>
  <c r="AB563" i="16"/>
  <c r="AA563" i="16"/>
  <c r="Z563" i="16"/>
  <c r="Y563" i="16"/>
  <c r="AB562" i="16"/>
  <c r="AA562" i="16"/>
  <c r="Z562" i="16"/>
  <c r="Y562" i="16"/>
  <c r="AB561" i="16"/>
  <c r="AA561" i="16"/>
  <c r="Z561" i="16"/>
  <c r="Y561" i="16"/>
  <c r="AB560" i="16"/>
  <c r="AA560" i="16"/>
  <c r="Z560" i="16"/>
  <c r="Y560" i="16"/>
  <c r="AB559" i="16"/>
  <c r="AA559" i="16"/>
  <c r="Z559" i="16"/>
  <c r="Y559" i="16"/>
  <c r="AB558" i="16"/>
  <c r="AA558" i="16"/>
  <c r="Z558" i="16"/>
  <c r="Y558" i="16"/>
  <c r="AB557" i="16"/>
  <c r="AA557" i="16"/>
  <c r="Z557" i="16"/>
  <c r="Y557" i="16"/>
  <c r="AB556" i="16"/>
  <c r="AA556" i="16"/>
  <c r="Z556" i="16"/>
  <c r="Y556" i="16"/>
  <c r="AB555" i="16"/>
  <c r="AA555" i="16"/>
  <c r="Z555" i="16"/>
  <c r="Y555" i="16"/>
  <c r="AB554" i="16"/>
  <c r="AA554" i="16"/>
  <c r="Z554" i="16"/>
  <c r="Y554" i="16"/>
  <c r="AB553" i="16"/>
  <c r="AA553" i="16"/>
  <c r="Z553" i="16"/>
  <c r="Y553" i="16"/>
  <c r="AB552" i="16"/>
  <c r="AA552" i="16"/>
  <c r="Z552" i="16"/>
  <c r="Y552" i="16"/>
  <c r="AB551" i="16"/>
  <c r="AA551" i="16"/>
  <c r="Z551" i="16"/>
  <c r="Y551" i="16"/>
  <c r="AB550" i="16"/>
  <c r="AA550" i="16"/>
  <c r="Z550" i="16"/>
  <c r="Y550" i="16"/>
  <c r="AB549" i="16"/>
  <c r="AA549" i="16"/>
  <c r="Z549" i="16"/>
  <c r="Y549" i="16"/>
  <c r="AB548" i="16"/>
  <c r="AA548" i="16"/>
  <c r="Z548" i="16"/>
  <c r="Y548" i="16"/>
  <c r="AB547" i="16"/>
  <c r="AA547" i="16"/>
  <c r="Z547" i="16"/>
  <c r="Y547" i="16"/>
  <c r="AB546" i="16"/>
  <c r="AA546" i="16"/>
  <c r="Z546" i="16"/>
  <c r="Y546" i="16"/>
  <c r="AB545" i="16"/>
  <c r="AA545" i="16"/>
  <c r="Z545" i="16"/>
  <c r="Y545" i="16"/>
  <c r="AB544" i="16"/>
  <c r="AA544" i="16"/>
  <c r="Z544" i="16"/>
  <c r="Y544" i="16"/>
  <c r="AB543" i="16"/>
  <c r="AA543" i="16"/>
  <c r="Z543" i="16"/>
  <c r="Y543" i="16"/>
  <c r="AB542" i="16"/>
  <c r="AA542" i="16"/>
  <c r="Z542" i="16"/>
  <c r="Y542" i="16"/>
  <c r="AB541" i="16"/>
  <c r="AA541" i="16"/>
  <c r="Z541" i="16"/>
  <c r="Y541" i="16"/>
  <c r="AB540" i="16"/>
  <c r="AA540" i="16"/>
  <c r="Z540" i="16"/>
  <c r="Y540" i="16"/>
  <c r="AB539" i="16"/>
  <c r="AA539" i="16"/>
  <c r="Z539" i="16"/>
  <c r="Y539" i="16"/>
  <c r="AB538" i="16"/>
  <c r="AA538" i="16"/>
  <c r="Z538" i="16"/>
  <c r="Y538" i="16"/>
  <c r="AB537" i="16"/>
  <c r="AA537" i="16"/>
  <c r="Z537" i="16"/>
  <c r="Y537" i="16"/>
  <c r="AB536" i="16"/>
  <c r="AA536" i="16"/>
  <c r="Z536" i="16"/>
  <c r="Y536" i="16"/>
  <c r="AB535" i="16"/>
  <c r="AA535" i="16"/>
  <c r="Z535" i="16"/>
  <c r="Y535" i="16"/>
  <c r="AB534" i="16"/>
  <c r="AA534" i="16"/>
  <c r="Z534" i="16"/>
  <c r="Y534" i="16"/>
  <c r="AB533" i="16"/>
  <c r="AA533" i="16"/>
  <c r="Z533" i="16"/>
  <c r="Y533" i="16"/>
  <c r="AB532" i="16"/>
  <c r="AA532" i="16"/>
  <c r="Z532" i="16"/>
  <c r="Y532" i="16"/>
  <c r="AB531" i="16"/>
  <c r="AA531" i="16"/>
  <c r="Z531" i="16"/>
  <c r="Y531" i="16"/>
  <c r="AB530" i="16"/>
  <c r="AA530" i="16"/>
  <c r="Z530" i="16"/>
  <c r="Y530" i="16"/>
  <c r="AB529" i="16"/>
  <c r="AA529" i="16"/>
  <c r="Z529" i="16"/>
  <c r="Y529" i="16"/>
  <c r="AB528" i="16"/>
  <c r="AA528" i="16"/>
  <c r="Z528" i="16"/>
  <c r="Y528" i="16"/>
  <c r="AB527" i="16"/>
  <c r="AA527" i="16"/>
  <c r="Z527" i="16"/>
  <c r="Y527" i="16"/>
  <c r="AB526" i="16"/>
  <c r="AA526" i="16"/>
  <c r="Z526" i="16"/>
  <c r="Y526" i="16"/>
  <c r="AB525" i="16"/>
  <c r="AA525" i="16"/>
  <c r="Z525" i="16"/>
  <c r="Y525" i="16"/>
  <c r="AB524" i="16"/>
  <c r="AA524" i="16"/>
  <c r="Z524" i="16"/>
  <c r="Y524" i="16"/>
  <c r="AB523" i="16"/>
  <c r="AA523" i="16"/>
  <c r="Z523" i="16"/>
  <c r="Y523" i="16"/>
  <c r="AB522" i="16"/>
  <c r="AA522" i="16"/>
  <c r="Z522" i="16"/>
  <c r="Y522" i="16"/>
  <c r="AB521" i="16"/>
  <c r="AA521" i="16"/>
  <c r="Z521" i="16"/>
  <c r="Y521" i="16"/>
  <c r="AB520" i="16"/>
  <c r="AA520" i="16"/>
  <c r="Z520" i="16"/>
  <c r="Y520" i="16"/>
  <c r="AB519" i="16"/>
  <c r="AA519" i="16"/>
  <c r="Z519" i="16"/>
  <c r="Y519" i="16"/>
  <c r="AB518" i="16"/>
  <c r="AA518" i="16"/>
  <c r="Z518" i="16"/>
  <c r="Y518" i="16"/>
  <c r="AB517" i="16"/>
  <c r="AA517" i="16"/>
  <c r="Z517" i="16"/>
  <c r="Y517" i="16"/>
  <c r="AB516" i="16"/>
  <c r="AA516" i="16"/>
  <c r="Z516" i="16"/>
  <c r="Y516" i="16"/>
  <c r="AB515" i="16"/>
  <c r="AA515" i="16"/>
  <c r="Z515" i="16"/>
  <c r="Y515" i="16"/>
  <c r="AB514" i="16"/>
  <c r="AA514" i="16"/>
  <c r="Z514" i="16"/>
  <c r="Y514" i="16"/>
  <c r="AB513" i="16"/>
  <c r="AA513" i="16"/>
  <c r="Z513" i="16"/>
  <c r="Y513" i="16"/>
  <c r="AB512" i="16"/>
  <c r="AA512" i="16"/>
  <c r="Z512" i="16"/>
  <c r="Y512" i="16"/>
  <c r="AB511" i="16"/>
  <c r="AA511" i="16"/>
  <c r="Z511" i="16"/>
  <c r="Y511" i="16"/>
  <c r="AB510" i="16"/>
  <c r="AA510" i="16"/>
  <c r="Z510" i="16"/>
  <c r="Y510" i="16"/>
  <c r="AB509" i="16"/>
  <c r="AA509" i="16"/>
  <c r="Z509" i="16"/>
  <c r="Y509" i="16"/>
  <c r="AB508" i="16"/>
  <c r="AA508" i="16"/>
  <c r="Z508" i="16"/>
  <c r="Y508" i="16"/>
  <c r="AB507" i="16"/>
  <c r="AA507" i="16"/>
  <c r="Z507" i="16"/>
  <c r="Y507" i="16"/>
  <c r="AB506" i="16"/>
  <c r="AA506" i="16"/>
  <c r="Z506" i="16"/>
  <c r="Y506" i="16"/>
  <c r="AB505" i="16"/>
  <c r="AA505" i="16"/>
  <c r="Z505" i="16"/>
  <c r="Y505" i="16"/>
  <c r="AB504" i="16"/>
  <c r="AA504" i="16"/>
  <c r="Z504" i="16"/>
  <c r="Y504" i="16"/>
  <c r="AB503" i="16"/>
  <c r="AA503" i="16"/>
  <c r="Z503" i="16"/>
  <c r="Y503" i="16"/>
  <c r="AB502" i="16"/>
  <c r="AA502" i="16"/>
  <c r="Z502" i="16"/>
  <c r="Y502" i="16"/>
  <c r="AB501" i="16"/>
  <c r="AA501" i="16"/>
  <c r="Z501" i="16"/>
  <c r="Y501" i="16"/>
  <c r="AB500" i="16"/>
  <c r="AA500" i="16"/>
  <c r="Z500" i="16"/>
  <c r="Y500" i="16"/>
  <c r="AB499" i="16"/>
  <c r="AA499" i="16"/>
  <c r="Z499" i="16"/>
  <c r="Y499" i="16"/>
  <c r="AB498" i="16"/>
  <c r="AA498" i="16"/>
  <c r="Z498" i="16"/>
  <c r="Y498" i="16"/>
  <c r="AB497" i="16"/>
  <c r="AA497" i="16"/>
  <c r="Z497" i="16"/>
  <c r="Y497" i="16"/>
  <c r="AB496" i="16"/>
  <c r="AA496" i="16"/>
  <c r="Z496" i="16"/>
  <c r="Y496" i="16"/>
  <c r="AB495" i="16"/>
  <c r="AA495" i="16"/>
  <c r="Z495" i="16"/>
  <c r="Y495" i="16"/>
  <c r="AB494" i="16"/>
  <c r="AA494" i="16"/>
  <c r="Z494" i="16"/>
  <c r="Y494" i="16"/>
  <c r="AB493" i="16"/>
  <c r="AA493" i="16"/>
  <c r="Z493" i="16"/>
  <c r="Y493" i="16"/>
  <c r="AB492" i="16"/>
  <c r="AA492" i="16"/>
  <c r="Z492" i="16"/>
  <c r="Y492" i="16"/>
  <c r="AB491" i="16"/>
  <c r="AA491" i="16"/>
  <c r="Z491" i="16"/>
  <c r="Y491" i="16"/>
  <c r="AB490" i="16"/>
  <c r="AA490" i="16"/>
  <c r="Z490" i="16"/>
  <c r="Y490" i="16"/>
  <c r="AB489" i="16"/>
  <c r="AA489" i="16"/>
  <c r="Z489" i="16"/>
  <c r="Y489" i="16"/>
  <c r="AB488" i="16"/>
  <c r="AA488" i="16"/>
  <c r="Z488" i="16"/>
  <c r="Y488" i="16"/>
  <c r="AB487" i="16"/>
  <c r="AA487" i="16"/>
  <c r="Z487" i="16"/>
  <c r="Y487" i="16"/>
  <c r="AB486" i="16"/>
  <c r="AA486" i="16"/>
  <c r="Z486" i="16"/>
  <c r="Y486" i="16"/>
  <c r="AB485" i="16"/>
  <c r="AA485" i="16"/>
  <c r="Z485" i="16"/>
  <c r="Y485" i="16"/>
  <c r="AB484" i="16"/>
  <c r="AA484" i="16"/>
  <c r="Z484" i="16"/>
  <c r="Y484" i="16"/>
  <c r="AB483" i="16"/>
  <c r="AA483" i="16"/>
  <c r="Z483" i="16"/>
  <c r="Y483" i="16"/>
  <c r="AB482" i="16"/>
  <c r="AA482" i="16"/>
  <c r="Z482" i="16"/>
  <c r="Y482" i="16"/>
  <c r="AB481" i="16"/>
  <c r="AA481" i="16"/>
  <c r="Z481" i="16"/>
  <c r="Y481" i="16"/>
  <c r="AB480" i="16"/>
  <c r="AA480" i="16"/>
  <c r="Z480" i="16"/>
  <c r="Y480" i="16"/>
  <c r="AB479" i="16"/>
  <c r="AA479" i="16"/>
  <c r="Z479" i="16"/>
  <c r="Y479" i="16"/>
  <c r="AB478" i="16"/>
  <c r="AA478" i="16"/>
  <c r="Z478" i="16"/>
  <c r="Y478" i="16"/>
  <c r="AB477" i="16"/>
  <c r="AA477" i="16"/>
  <c r="Z477" i="16"/>
  <c r="Y477" i="16"/>
  <c r="AB476" i="16"/>
  <c r="AA476" i="16"/>
  <c r="Z476" i="16"/>
  <c r="Y476" i="16"/>
  <c r="AB475" i="16"/>
  <c r="AA475" i="16"/>
  <c r="Z475" i="16"/>
  <c r="Y475" i="16"/>
  <c r="AB474" i="16"/>
  <c r="AA474" i="16"/>
  <c r="Z474" i="16"/>
  <c r="Y474" i="16"/>
  <c r="AB473" i="16"/>
  <c r="AA473" i="16"/>
  <c r="Z473" i="16"/>
  <c r="Y473" i="16"/>
  <c r="AB472" i="16"/>
  <c r="AA472" i="16"/>
  <c r="Z472" i="16"/>
  <c r="Y472" i="16"/>
  <c r="AB471" i="16"/>
  <c r="AA471" i="16"/>
  <c r="Z471" i="16"/>
  <c r="Y471" i="16"/>
  <c r="AB470" i="16"/>
  <c r="AA470" i="16"/>
  <c r="Z470" i="16"/>
  <c r="Y470" i="16"/>
  <c r="AB469" i="16"/>
  <c r="AA469" i="16"/>
  <c r="Z469" i="16"/>
  <c r="Y469" i="16"/>
  <c r="AB468" i="16"/>
  <c r="AA468" i="16"/>
  <c r="Z468" i="16"/>
  <c r="Y468" i="16"/>
  <c r="AB467" i="16"/>
  <c r="AA467" i="16"/>
  <c r="Z467" i="16"/>
  <c r="Y467" i="16"/>
  <c r="AB466" i="16"/>
  <c r="AA466" i="16"/>
  <c r="Z466" i="16"/>
  <c r="Y466" i="16"/>
  <c r="AB465" i="16"/>
  <c r="AA465" i="16"/>
  <c r="Z465" i="16"/>
  <c r="Y465" i="16"/>
  <c r="AB464" i="16"/>
  <c r="AA464" i="16"/>
  <c r="Z464" i="16"/>
  <c r="Y464" i="16"/>
  <c r="AB463" i="16"/>
  <c r="AA463" i="16"/>
  <c r="Z463" i="16"/>
  <c r="Y463" i="16"/>
  <c r="AB462" i="16"/>
  <c r="AA462" i="16"/>
  <c r="Z462" i="16"/>
  <c r="Y462" i="16"/>
  <c r="AB461" i="16"/>
  <c r="AA461" i="16"/>
  <c r="Z461" i="16"/>
  <c r="Y461" i="16"/>
  <c r="AB460" i="16"/>
  <c r="AA460" i="16"/>
  <c r="Z460" i="16"/>
  <c r="Y460" i="16"/>
  <c r="AB459" i="16"/>
  <c r="AA459" i="16"/>
  <c r="Z459" i="16"/>
  <c r="Y459" i="16"/>
  <c r="AB458" i="16"/>
  <c r="AA458" i="16"/>
  <c r="Z458" i="16"/>
  <c r="Y458" i="16"/>
  <c r="AB457" i="16"/>
  <c r="AA457" i="16"/>
  <c r="Z457" i="16"/>
  <c r="Y457" i="16"/>
  <c r="AB456" i="16"/>
  <c r="AA456" i="16"/>
  <c r="Z456" i="16"/>
  <c r="Y456" i="16"/>
  <c r="AB455" i="16"/>
  <c r="AA455" i="16"/>
  <c r="Z455" i="16"/>
  <c r="Y455" i="16"/>
  <c r="AB454" i="16"/>
  <c r="AA454" i="16"/>
  <c r="Z454" i="16"/>
  <c r="Y454" i="16"/>
  <c r="AB453" i="16"/>
  <c r="AA453" i="16"/>
  <c r="Z453" i="16"/>
  <c r="Y453" i="16"/>
  <c r="AB452" i="16"/>
  <c r="AA452" i="16"/>
  <c r="Z452" i="16"/>
  <c r="Y452" i="16"/>
  <c r="AB451" i="16"/>
  <c r="AA451" i="16"/>
  <c r="Z451" i="16"/>
  <c r="Y451" i="16"/>
  <c r="AB450" i="16"/>
  <c r="AA450" i="16"/>
  <c r="Z450" i="16"/>
  <c r="Y450" i="16"/>
  <c r="AB449" i="16"/>
  <c r="AA449" i="16"/>
  <c r="Z449" i="16"/>
  <c r="Y449" i="16"/>
  <c r="AB448" i="16"/>
  <c r="AA448" i="16"/>
  <c r="Z448" i="16"/>
  <c r="Y448" i="16"/>
  <c r="AB447" i="16"/>
  <c r="AA447" i="16"/>
  <c r="Z447" i="16"/>
  <c r="Y447" i="16"/>
  <c r="AB446" i="16"/>
  <c r="AA446" i="16"/>
  <c r="Z446" i="16"/>
  <c r="Y446" i="16"/>
  <c r="AB445" i="16"/>
  <c r="AA445" i="16"/>
  <c r="Z445" i="16"/>
  <c r="Y445" i="16"/>
  <c r="AB444" i="16"/>
  <c r="AA444" i="16"/>
  <c r="Z444" i="16"/>
  <c r="Y444" i="16"/>
  <c r="AB443" i="16"/>
  <c r="AA443" i="16"/>
  <c r="Z443" i="16"/>
  <c r="Y443" i="16"/>
  <c r="AB442" i="16"/>
  <c r="AA442" i="16"/>
  <c r="Z442" i="16"/>
  <c r="Y442" i="16"/>
  <c r="AB441" i="16"/>
  <c r="AA441" i="16"/>
  <c r="Z441" i="16"/>
  <c r="Y441" i="16"/>
  <c r="AB440" i="16"/>
  <c r="AA440" i="16"/>
  <c r="Z440" i="16"/>
  <c r="Y440" i="16"/>
  <c r="AB439" i="16"/>
  <c r="AA439" i="16"/>
  <c r="Z439" i="16"/>
  <c r="Y439" i="16"/>
  <c r="AB438" i="16"/>
  <c r="AA438" i="16"/>
  <c r="Z438" i="16"/>
  <c r="Y438" i="16"/>
  <c r="AB437" i="16"/>
  <c r="AA437" i="16"/>
  <c r="Z437" i="16"/>
  <c r="Y437" i="16"/>
  <c r="AB436" i="16"/>
  <c r="AA436" i="16"/>
  <c r="Z436" i="16"/>
  <c r="Y436" i="16"/>
  <c r="AB435" i="16"/>
  <c r="AA435" i="16"/>
  <c r="Z435" i="16"/>
  <c r="Y435" i="16"/>
  <c r="AB434" i="16"/>
  <c r="AA434" i="16"/>
  <c r="Z434" i="16"/>
  <c r="Y434" i="16"/>
  <c r="AB433" i="16"/>
  <c r="AA433" i="16"/>
  <c r="Z433" i="16"/>
  <c r="Y433" i="16"/>
  <c r="AB432" i="16"/>
  <c r="AA432" i="16"/>
  <c r="Z432" i="16"/>
  <c r="Y432" i="16"/>
  <c r="AB431" i="16"/>
  <c r="AA431" i="16"/>
  <c r="Z431" i="16"/>
  <c r="Y431" i="16"/>
  <c r="AB430" i="16"/>
  <c r="AA430" i="16"/>
  <c r="Z430" i="16"/>
  <c r="Y430" i="16"/>
  <c r="AB429" i="16"/>
  <c r="AA429" i="16"/>
  <c r="Z429" i="16"/>
  <c r="Y429" i="16"/>
  <c r="AB428" i="16"/>
  <c r="AA428" i="16"/>
  <c r="Z428" i="16"/>
  <c r="Y428" i="16"/>
  <c r="AB427" i="16"/>
  <c r="AA427" i="16"/>
  <c r="Z427" i="16"/>
  <c r="Y427" i="16"/>
  <c r="AB426" i="16"/>
  <c r="AA426" i="16"/>
  <c r="Z426" i="16"/>
  <c r="Y426" i="16"/>
  <c r="AB425" i="16"/>
  <c r="AA425" i="16"/>
  <c r="Z425" i="16"/>
  <c r="Y425" i="16"/>
  <c r="AB424" i="16"/>
  <c r="AA424" i="16"/>
  <c r="Z424" i="16"/>
  <c r="Y424" i="16"/>
  <c r="AB423" i="16"/>
  <c r="AA423" i="16"/>
  <c r="Z423" i="16"/>
  <c r="Y423" i="16"/>
  <c r="AB422" i="16"/>
  <c r="AA422" i="16"/>
  <c r="Z422" i="16"/>
  <c r="Y422" i="16"/>
  <c r="AB421" i="16"/>
  <c r="AA421" i="16"/>
  <c r="Z421" i="16"/>
  <c r="Y421" i="16"/>
  <c r="AB420" i="16"/>
  <c r="AA420" i="16"/>
  <c r="Z420" i="16"/>
  <c r="Y420" i="16"/>
  <c r="AB419" i="16"/>
  <c r="AA419" i="16"/>
  <c r="Z419" i="16"/>
  <c r="Y419" i="16"/>
  <c r="AB418" i="16"/>
  <c r="AA418" i="16"/>
  <c r="Z418" i="16"/>
  <c r="Y418" i="16"/>
  <c r="AB417" i="16"/>
  <c r="AA417" i="16"/>
  <c r="Z417" i="16"/>
  <c r="Y417" i="16"/>
  <c r="AB416" i="16"/>
  <c r="AA416" i="16"/>
  <c r="Z416" i="16"/>
  <c r="Y416" i="16"/>
  <c r="AB415" i="16"/>
  <c r="AA415" i="16"/>
  <c r="Z415" i="16"/>
  <c r="Y415" i="16"/>
  <c r="AB414" i="16"/>
  <c r="AA414" i="16"/>
  <c r="Z414" i="16"/>
  <c r="Y414" i="16"/>
  <c r="AB413" i="16"/>
  <c r="AA413" i="16"/>
  <c r="Z413" i="16"/>
  <c r="Y413" i="16"/>
  <c r="AB412" i="16"/>
  <c r="AA412" i="16"/>
  <c r="Z412" i="16"/>
  <c r="Y412" i="16"/>
  <c r="AB411" i="16"/>
  <c r="AA411" i="16"/>
  <c r="Z411" i="16"/>
  <c r="Y411" i="16"/>
  <c r="AB410" i="16"/>
  <c r="AA410" i="16"/>
  <c r="Z410" i="16"/>
  <c r="Y410" i="16"/>
  <c r="AB409" i="16"/>
  <c r="AA409" i="16"/>
  <c r="Z409" i="16"/>
  <c r="Y409" i="16"/>
  <c r="AB408" i="16"/>
  <c r="AA408" i="16"/>
  <c r="Z408" i="16"/>
  <c r="Y408" i="16"/>
  <c r="AB407" i="16"/>
  <c r="AA407" i="16"/>
  <c r="Z407" i="16"/>
  <c r="Y407" i="16"/>
  <c r="AB406" i="16"/>
  <c r="AA406" i="16"/>
  <c r="Z406" i="16"/>
  <c r="Y406" i="16"/>
  <c r="AB405" i="16"/>
  <c r="AA405" i="16"/>
  <c r="Z405" i="16"/>
  <c r="Y405" i="16"/>
  <c r="AB404" i="16"/>
  <c r="AA404" i="16"/>
  <c r="Z404" i="16"/>
  <c r="Y404" i="16"/>
  <c r="AB403" i="16"/>
  <c r="AA403" i="16"/>
  <c r="Z403" i="16"/>
  <c r="Y403" i="16"/>
  <c r="AB402" i="16"/>
  <c r="AA402" i="16"/>
  <c r="Z402" i="16"/>
  <c r="Y402" i="16"/>
  <c r="AB401" i="16"/>
  <c r="AA401" i="16"/>
  <c r="Z401" i="16"/>
  <c r="Y401" i="16"/>
  <c r="AB400" i="16"/>
  <c r="AA400" i="16"/>
  <c r="Z400" i="16"/>
  <c r="Y400" i="16"/>
  <c r="AB399" i="16"/>
  <c r="AA399" i="16"/>
  <c r="Z399" i="16"/>
  <c r="Y399" i="16"/>
  <c r="AB398" i="16"/>
  <c r="AA398" i="16"/>
  <c r="Z398" i="16"/>
  <c r="Y398" i="16"/>
  <c r="AB397" i="16"/>
  <c r="AA397" i="16"/>
  <c r="Z397" i="16"/>
  <c r="Y397" i="16"/>
  <c r="AB396" i="16"/>
  <c r="AA396" i="16"/>
  <c r="Z396" i="16"/>
  <c r="Y396" i="16"/>
  <c r="AB395" i="16"/>
  <c r="AA395" i="16"/>
  <c r="Z395" i="16"/>
  <c r="Y395" i="16"/>
  <c r="AB394" i="16"/>
  <c r="AA394" i="16"/>
  <c r="Z394" i="16"/>
  <c r="Y394" i="16"/>
  <c r="AB393" i="16"/>
  <c r="AA393" i="16"/>
  <c r="Z393" i="16"/>
  <c r="Y393" i="16"/>
  <c r="AB392" i="16"/>
  <c r="AA392" i="16"/>
  <c r="Z392" i="16"/>
  <c r="Y392" i="16"/>
  <c r="AB391" i="16"/>
  <c r="AA391" i="16"/>
  <c r="Z391" i="16"/>
  <c r="Y391" i="16"/>
  <c r="AB390" i="16"/>
  <c r="AA390" i="16"/>
  <c r="Z390" i="16"/>
  <c r="Y390" i="16"/>
  <c r="AB389" i="16"/>
  <c r="AA389" i="16"/>
  <c r="Z389" i="16"/>
  <c r="Y389" i="16"/>
  <c r="AB388" i="16"/>
  <c r="AA388" i="16"/>
  <c r="Z388" i="16"/>
  <c r="Y388" i="16"/>
  <c r="AB387" i="16"/>
  <c r="AA387" i="16"/>
  <c r="Z387" i="16"/>
  <c r="Y387" i="16"/>
  <c r="AB386" i="16"/>
  <c r="AA386" i="16"/>
  <c r="Z386" i="16"/>
  <c r="Y386" i="16"/>
  <c r="AB385" i="16"/>
  <c r="AA385" i="16"/>
  <c r="Z385" i="16"/>
  <c r="Y385" i="16"/>
  <c r="AB384" i="16"/>
  <c r="AA384" i="16"/>
  <c r="Z384" i="16"/>
  <c r="Y384" i="16"/>
  <c r="AB383" i="16"/>
  <c r="AA383" i="16"/>
  <c r="Z383" i="16"/>
  <c r="Y383" i="16"/>
  <c r="AB382" i="16"/>
  <c r="AA382" i="16"/>
  <c r="Z382" i="16"/>
  <c r="Y382" i="16"/>
  <c r="AB381" i="16"/>
  <c r="AA381" i="16"/>
  <c r="Z381" i="16"/>
  <c r="Y381" i="16"/>
  <c r="AB380" i="16"/>
  <c r="AA380" i="16"/>
  <c r="Z380" i="16"/>
  <c r="Y380" i="16"/>
  <c r="AB379" i="16"/>
  <c r="AA379" i="16"/>
  <c r="Z379" i="16"/>
  <c r="Y379" i="16"/>
  <c r="AB378" i="16"/>
  <c r="AA378" i="16"/>
  <c r="Z378" i="16"/>
  <c r="Y378" i="16"/>
  <c r="AB377" i="16"/>
  <c r="AA377" i="16"/>
  <c r="Z377" i="16"/>
  <c r="Y377" i="16"/>
  <c r="AB376" i="16"/>
  <c r="AA376" i="16"/>
  <c r="Z376" i="16"/>
  <c r="Y376" i="16"/>
  <c r="AB375" i="16"/>
  <c r="AA375" i="16"/>
  <c r="Z375" i="16"/>
  <c r="Y375" i="16"/>
  <c r="AB374" i="16"/>
  <c r="AA374" i="16"/>
  <c r="Z374" i="16"/>
  <c r="Y374" i="16"/>
  <c r="AB373" i="16"/>
  <c r="AA373" i="16"/>
  <c r="Z373" i="16"/>
  <c r="Y373" i="16"/>
  <c r="AB372" i="16"/>
  <c r="AA372" i="16"/>
  <c r="Z372" i="16"/>
  <c r="Y372" i="16"/>
  <c r="AB371" i="16"/>
  <c r="AA371" i="16"/>
  <c r="Z371" i="16"/>
  <c r="Y371" i="16"/>
  <c r="AB370" i="16"/>
  <c r="AA370" i="16"/>
  <c r="Z370" i="16"/>
  <c r="Y370" i="16"/>
  <c r="AB369" i="16"/>
  <c r="AA369" i="16"/>
  <c r="Z369" i="16"/>
  <c r="Y369" i="16"/>
  <c r="AB368" i="16"/>
  <c r="AA368" i="16"/>
  <c r="Z368" i="16"/>
  <c r="Y368" i="16"/>
  <c r="AB367" i="16"/>
  <c r="AA367" i="16"/>
  <c r="Z367" i="16"/>
  <c r="Y367" i="16"/>
  <c r="AB366" i="16"/>
  <c r="AA366" i="16"/>
  <c r="Z366" i="16"/>
  <c r="Y366" i="16"/>
  <c r="AB365" i="16"/>
  <c r="AA365" i="16"/>
  <c r="Z365" i="16"/>
  <c r="Y365" i="16"/>
  <c r="AB364" i="16"/>
  <c r="AA364" i="16"/>
  <c r="Z364" i="16"/>
  <c r="Y364" i="16"/>
  <c r="AB363" i="16"/>
  <c r="AA363" i="16"/>
  <c r="Z363" i="16"/>
  <c r="Y363" i="16"/>
  <c r="AB362" i="16"/>
  <c r="AA362" i="16"/>
  <c r="Z362" i="16"/>
  <c r="Y362" i="16"/>
  <c r="AB361" i="16"/>
  <c r="AA361" i="16"/>
  <c r="Z361" i="16"/>
  <c r="Y361" i="16"/>
  <c r="AB360" i="16"/>
  <c r="AA360" i="16"/>
  <c r="Z360" i="16"/>
  <c r="Y360" i="16"/>
  <c r="AB359" i="16"/>
  <c r="AA359" i="16"/>
  <c r="Z359" i="16"/>
  <c r="Y359" i="16"/>
  <c r="AB358" i="16"/>
  <c r="AA358" i="16"/>
  <c r="Z358" i="16"/>
  <c r="Y358" i="16"/>
  <c r="AB357" i="16"/>
  <c r="AA357" i="16"/>
  <c r="Z357" i="16"/>
  <c r="Y357" i="16"/>
  <c r="AB356" i="16"/>
  <c r="AA356" i="16"/>
  <c r="Z356" i="16"/>
  <c r="Y356" i="16"/>
  <c r="AB355" i="16"/>
  <c r="AA355" i="16"/>
  <c r="Z355" i="16"/>
  <c r="Y355" i="16"/>
  <c r="AB354" i="16"/>
  <c r="AA354" i="16"/>
  <c r="Z354" i="16"/>
  <c r="Y354" i="16"/>
  <c r="AB353" i="16"/>
  <c r="AA353" i="16"/>
  <c r="Z353" i="16"/>
  <c r="Y353" i="16"/>
  <c r="AB352" i="16"/>
  <c r="AA352" i="16"/>
  <c r="Z352" i="16"/>
  <c r="Y352" i="16"/>
  <c r="AB351" i="16"/>
  <c r="AA351" i="16"/>
  <c r="Z351" i="16"/>
  <c r="Y351" i="16"/>
  <c r="AB350" i="16"/>
  <c r="AA350" i="16"/>
  <c r="Z350" i="16"/>
  <c r="Y350" i="16"/>
  <c r="AB349" i="16"/>
  <c r="AA349" i="16"/>
  <c r="Z349" i="16"/>
  <c r="Y349" i="16"/>
  <c r="AB348" i="16"/>
  <c r="AA348" i="16"/>
  <c r="Z348" i="16"/>
  <c r="Y348" i="16"/>
  <c r="AB347" i="16"/>
  <c r="AA347" i="16"/>
  <c r="Z347" i="16"/>
  <c r="Y347" i="16"/>
  <c r="AB346" i="16"/>
  <c r="AA346" i="16"/>
  <c r="Z346" i="16"/>
  <c r="Y346" i="16"/>
  <c r="AB345" i="16"/>
  <c r="AA345" i="16"/>
  <c r="Z345" i="16"/>
  <c r="Y345" i="16"/>
  <c r="AB344" i="16"/>
  <c r="AA344" i="16"/>
  <c r="Z344" i="16"/>
  <c r="Y344" i="16"/>
  <c r="AB343" i="16"/>
  <c r="AA343" i="16"/>
  <c r="Z343" i="16"/>
  <c r="Y343" i="16"/>
  <c r="AB342" i="16"/>
  <c r="AA342" i="16"/>
  <c r="Z342" i="16"/>
  <c r="Y342" i="16"/>
  <c r="AB341" i="16"/>
  <c r="AA341" i="16"/>
  <c r="Z341" i="16"/>
  <c r="Y341" i="16"/>
  <c r="AB340" i="16"/>
  <c r="AA340" i="16"/>
  <c r="Z340" i="16"/>
  <c r="Y340" i="16"/>
  <c r="AB339" i="16"/>
  <c r="AA339" i="16"/>
  <c r="Z339" i="16"/>
  <c r="Y339" i="16"/>
  <c r="AB338" i="16"/>
  <c r="AA338" i="16"/>
  <c r="Z338" i="16"/>
  <c r="Y338" i="16"/>
  <c r="AB337" i="16"/>
  <c r="AA337" i="16"/>
  <c r="Z337" i="16"/>
  <c r="Y337" i="16"/>
  <c r="AB336" i="16"/>
  <c r="AA336" i="16"/>
  <c r="Z336" i="16"/>
  <c r="Y336" i="16"/>
  <c r="AB335" i="16"/>
  <c r="AA335" i="16"/>
  <c r="Z335" i="16"/>
  <c r="Y335" i="16"/>
  <c r="AB334" i="16"/>
  <c r="AA334" i="16"/>
  <c r="Z334" i="16"/>
  <c r="Y334" i="16"/>
  <c r="AB333" i="16"/>
  <c r="AA333" i="16"/>
  <c r="Z333" i="16"/>
  <c r="Y333" i="16"/>
  <c r="AB332" i="16"/>
  <c r="AA332" i="16"/>
  <c r="Z332" i="16"/>
  <c r="Y332" i="16"/>
  <c r="AB331" i="16"/>
  <c r="AA331" i="16"/>
  <c r="Z331" i="16"/>
  <c r="Y331" i="16"/>
  <c r="AB330" i="16"/>
  <c r="AA330" i="16"/>
  <c r="Z330" i="16"/>
  <c r="Y330" i="16"/>
  <c r="AB329" i="16"/>
  <c r="AA329" i="16"/>
  <c r="Z329" i="16"/>
  <c r="Y329" i="16"/>
  <c r="AB328" i="16"/>
  <c r="AA328" i="16"/>
  <c r="Z328" i="16"/>
  <c r="Y328" i="16"/>
  <c r="AB327" i="16"/>
  <c r="AA327" i="16"/>
  <c r="Z327" i="16"/>
  <c r="Y327" i="16"/>
  <c r="AB326" i="16"/>
  <c r="AA326" i="16"/>
  <c r="Z326" i="16"/>
  <c r="Y326" i="16"/>
  <c r="AB325" i="16"/>
  <c r="AA325" i="16"/>
  <c r="Z325" i="16"/>
  <c r="Y325" i="16"/>
  <c r="AB324" i="16"/>
  <c r="AA324" i="16"/>
  <c r="Z324" i="16"/>
  <c r="Y324" i="16"/>
  <c r="AB323" i="16"/>
  <c r="AA323" i="16"/>
  <c r="Z323" i="16"/>
  <c r="Y323" i="16"/>
  <c r="AB322" i="16"/>
  <c r="AA322" i="16"/>
  <c r="Z322" i="16"/>
  <c r="Y322" i="16"/>
  <c r="AB321" i="16"/>
  <c r="AA321" i="16"/>
  <c r="Z321" i="16"/>
  <c r="Y321" i="16"/>
  <c r="AB320" i="16"/>
  <c r="AA320" i="16"/>
  <c r="Z320" i="16"/>
  <c r="Y320" i="16"/>
  <c r="AB319" i="16"/>
  <c r="AA319" i="16"/>
  <c r="Z319" i="16"/>
  <c r="Y319" i="16"/>
  <c r="AB318" i="16"/>
  <c r="AA318" i="16"/>
  <c r="Z318" i="16"/>
  <c r="Y318" i="16"/>
  <c r="AB317" i="16"/>
  <c r="AA317" i="16"/>
  <c r="Z317" i="16"/>
  <c r="Y317" i="16"/>
  <c r="AB316" i="16"/>
  <c r="AA316" i="16"/>
  <c r="Z316" i="16"/>
  <c r="Y316" i="16"/>
  <c r="AB315" i="16"/>
  <c r="AA315" i="16"/>
  <c r="Z315" i="16"/>
  <c r="Y315" i="16"/>
  <c r="AB314" i="16"/>
  <c r="AA314" i="16"/>
  <c r="Z314" i="16"/>
  <c r="Y314" i="16"/>
  <c r="AB313" i="16"/>
  <c r="AA313" i="16"/>
  <c r="Z313" i="16"/>
  <c r="Y313" i="16"/>
  <c r="AB312" i="16"/>
  <c r="AA312" i="16"/>
  <c r="Z312" i="16"/>
  <c r="Y312" i="16"/>
  <c r="AB311" i="16"/>
  <c r="AA311" i="16"/>
  <c r="Z311" i="16"/>
  <c r="Y311" i="16"/>
  <c r="AB310" i="16"/>
  <c r="AA310" i="16"/>
  <c r="Z310" i="16"/>
  <c r="Y310" i="16"/>
  <c r="AB309" i="16"/>
  <c r="AA309" i="16"/>
  <c r="Z309" i="16"/>
  <c r="Y309" i="16"/>
  <c r="AB308" i="16"/>
  <c r="AA308" i="16"/>
  <c r="Z308" i="16"/>
  <c r="Y308" i="16"/>
  <c r="AB307" i="16"/>
  <c r="AA307" i="16"/>
  <c r="Z307" i="16"/>
  <c r="Y307" i="16"/>
  <c r="AB306" i="16"/>
  <c r="AA306" i="16"/>
  <c r="Z306" i="16"/>
  <c r="Y306" i="16"/>
  <c r="AB305" i="16"/>
  <c r="AA305" i="16"/>
  <c r="Z305" i="16"/>
  <c r="Y305" i="16"/>
  <c r="AB304" i="16"/>
  <c r="AA304" i="16"/>
  <c r="Z304" i="16"/>
  <c r="Y304" i="16"/>
  <c r="AB303" i="16"/>
  <c r="AA303" i="16"/>
  <c r="Z303" i="16"/>
  <c r="Y303" i="16"/>
  <c r="AB302" i="16"/>
  <c r="AA302" i="16"/>
  <c r="Z302" i="16"/>
  <c r="Y302" i="16"/>
  <c r="AB301" i="16"/>
  <c r="AA301" i="16"/>
  <c r="Z301" i="16"/>
  <c r="Y301" i="16"/>
  <c r="AB300" i="16"/>
  <c r="AA300" i="16"/>
  <c r="Z300" i="16"/>
  <c r="Y300" i="16"/>
  <c r="AB299" i="16"/>
  <c r="AA299" i="16"/>
  <c r="Z299" i="16"/>
  <c r="Y299" i="16"/>
  <c r="AB298" i="16"/>
  <c r="AA298" i="16"/>
  <c r="Z298" i="16"/>
  <c r="Y298" i="16"/>
  <c r="AB297" i="16"/>
  <c r="AA297" i="16"/>
  <c r="Z297" i="16"/>
  <c r="Y297" i="16"/>
  <c r="AB296" i="16"/>
  <c r="AA296" i="16"/>
  <c r="Z296" i="16"/>
  <c r="Y296" i="16"/>
  <c r="AB295" i="16"/>
  <c r="AA295" i="16"/>
  <c r="Z295" i="16"/>
  <c r="Y295" i="16"/>
  <c r="AB294" i="16"/>
  <c r="AA294" i="16"/>
  <c r="Z294" i="16"/>
  <c r="Y294" i="16"/>
  <c r="AB293" i="16"/>
  <c r="AA293" i="16"/>
  <c r="Z293" i="16"/>
  <c r="Y293" i="16"/>
  <c r="AB292" i="16"/>
  <c r="AA292" i="16"/>
  <c r="Z292" i="16"/>
  <c r="Y292" i="16"/>
  <c r="AB291" i="16"/>
  <c r="AA291" i="16"/>
  <c r="Z291" i="16"/>
  <c r="Y291" i="16"/>
  <c r="AB290" i="16"/>
  <c r="AA290" i="16"/>
  <c r="Z290" i="16"/>
  <c r="Y290" i="16"/>
  <c r="AB289" i="16"/>
  <c r="AA289" i="16"/>
  <c r="Z289" i="16"/>
  <c r="Y289" i="16"/>
  <c r="AB288" i="16"/>
  <c r="AA288" i="16"/>
  <c r="Z288" i="16"/>
  <c r="Y288" i="16"/>
  <c r="AB287" i="16"/>
  <c r="AA287" i="16"/>
  <c r="Z287" i="16"/>
  <c r="Y287" i="16"/>
  <c r="AB286" i="16"/>
  <c r="AA286" i="16"/>
  <c r="Z286" i="16"/>
  <c r="Y286" i="16"/>
  <c r="AB285" i="16"/>
  <c r="AA285" i="16"/>
  <c r="Z285" i="16"/>
  <c r="Y285" i="16"/>
  <c r="AB284" i="16"/>
  <c r="AA284" i="16"/>
  <c r="Z284" i="16"/>
  <c r="Y284" i="16"/>
  <c r="AB283" i="16"/>
  <c r="AA283" i="16"/>
  <c r="Z283" i="16"/>
  <c r="Y283" i="16"/>
  <c r="AB282" i="16"/>
  <c r="AA282" i="16"/>
  <c r="Z282" i="16"/>
  <c r="Y282" i="16"/>
  <c r="AB281" i="16"/>
  <c r="AA281" i="16"/>
  <c r="Z281" i="16"/>
  <c r="Y281" i="16"/>
  <c r="AB280" i="16"/>
  <c r="AA280" i="16"/>
  <c r="Z280" i="16"/>
  <c r="Y280" i="16"/>
  <c r="AB279" i="16"/>
  <c r="AA279" i="16"/>
  <c r="Z279" i="16"/>
  <c r="Y279" i="16"/>
  <c r="AB278" i="16"/>
  <c r="AA278" i="16"/>
  <c r="Z278" i="16"/>
  <c r="Y278" i="16"/>
  <c r="AB277" i="16"/>
  <c r="AA277" i="16"/>
  <c r="Z277" i="16"/>
  <c r="Y277" i="16"/>
  <c r="AB276" i="16"/>
  <c r="AA276" i="16"/>
  <c r="Z276" i="16"/>
  <c r="Y276" i="16"/>
  <c r="AB275" i="16"/>
  <c r="AA275" i="16"/>
  <c r="Z275" i="16"/>
  <c r="Y275" i="16"/>
  <c r="AB274" i="16"/>
  <c r="AA274" i="16"/>
  <c r="Z274" i="16"/>
  <c r="Y274" i="16"/>
  <c r="AB273" i="16"/>
  <c r="AA273" i="16"/>
  <c r="Z273" i="16"/>
  <c r="Y273" i="16"/>
  <c r="AB272" i="16"/>
  <c r="AA272" i="16"/>
  <c r="Z272" i="16"/>
  <c r="Y272" i="16"/>
  <c r="AB271" i="16"/>
  <c r="AA271" i="16"/>
  <c r="Z271" i="16"/>
  <c r="Y271" i="16"/>
  <c r="AB270" i="16"/>
  <c r="AA270" i="16"/>
  <c r="Z270" i="16"/>
  <c r="Y270" i="16"/>
  <c r="AB269" i="16"/>
  <c r="AA269" i="16"/>
  <c r="Z269" i="16"/>
  <c r="Y269" i="16"/>
  <c r="AB268" i="16"/>
  <c r="AA268" i="16"/>
  <c r="Z268" i="16"/>
  <c r="Y268" i="16"/>
  <c r="AB267" i="16"/>
  <c r="AA267" i="16"/>
  <c r="Z267" i="16"/>
  <c r="Y267" i="16"/>
  <c r="AB266" i="16"/>
  <c r="AA266" i="16"/>
  <c r="Z266" i="16"/>
  <c r="Y266" i="16"/>
  <c r="AB265" i="16"/>
  <c r="AA265" i="16"/>
  <c r="Z265" i="16"/>
  <c r="Y265" i="16"/>
  <c r="AB264" i="16"/>
  <c r="AA264" i="16"/>
  <c r="Z264" i="16"/>
  <c r="Y264" i="16"/>
  <c r="AB263" i="16"/>
  <c r="AA263" i="16"/>
  <c r="Z263" i="16"/>
  <c r="Y263" i="16"/>
  <c r="AB262" i="16"/>
  <c r="AA262" i="16"/>
  <c r="Z262" i="16"/>
  <c r="Y262" i="16"/>
  <c r="AB261" i="16"/>
  <c r="AA261" i="16"/>
  <c r="Z261" i="16"/>
  <c r="Y261" i="16"/>
  <c r="AB260" i="16"/>
  <c r="AA260" i="16"/>
  <c r="Z260" i="16"/>
  <c r="Y260" i="16"/>
  <c r="AB259" i="16"/>
  <c r="AA259" i="16"/>
  <c r="Z259" i="16"/>
  <c r="Y259" i="16"/>
  <c r="AB258" i="16"/>
  <c r="AA258" i="16"/>
  <c r="Z258" i="16"/>
  <c r="Y258" i="16"/>
  <c r="AB257" i="16"/>
  <c r="AA257" i="16"/>
  <c r="Z257" i="16"/>
  <c r="Y257" i="16"/>
  <c r="AB256" i="16"/>
  <c r="AA256" i="16"/>
  <c r="Z256" i="16"/>
  <c r="Y256" i="16"/>
  <c r="AB255" i="16"/>
  <c r="AA255" i="16"/>
  <c r="Z255" i="16"/>
  <c r="Y255" i="16"/>
  <c r="AB254" i="16"/>
  <c r="AA254" i="16"/>
  <c r="Z254" i="16"/>
  <c r="Y254" i="16"/>
  <c r="AB253" i="16"/>
  <c r="AA253" i="16"/>
  <c r="Z253" i="16"/>
  <c r="Y253" i="16"/>
  <c r="AB252" i="16"/>
  <c r="AA252" i="16"/>
  <c r="Z252" i="16"/>
  <c r="Y252" i="16"/>
  <c r="AB251" i="16"/>
  <c r="AA251" i="16"/>
  <c r="Z251" i="16"/>
  <c r="Y251" i="16"/>
  <c r="AB250" i="16"/>
  <c r="AA250" i="16"/>
  <c r="Z250" i="16"/>
  <c r="Y250" i="16"/>
  <c r="AB249" i="16"/>
  <c r="AA249" i="16"/>
  <c r="Z249" i="16"/>
  <c r="Y249" i="16"/>
  <c r="AB248" i="16"/>
  <c r="AA248" i="16"/>
  <c r="Z248" i="16"/>
  <c r="Y248" i="16"/>
  <c r="AB247" i="16"/>
  <c r="AA247" i="16"/>
  <c r="Z247" i="16"/>
  <c r="Y247" i="16"/>
  <c r="AB246" i="16"/>
  <c r="AA246" i="16"/>
  <c r="Z246" i="16"/>
  <c r="Y246" i="16"/>
  <c r="AB245" i="16"/>
  <c r="AA245" i="16"/>
  <c r="Z245" i="16"/>
  <c r="Y245" i="16"/>
  <c r="AB244" i="16"/>
  <c r="AA244" i="16"/>
  <c r="Z244" i="16"/>
  <c r="Y244" i="16"/>
  <c r="AB243" i="16"/>
  <c r="AA243" i="16"/>
  <c r="Z243" i="16"/>
  <c r="Y243" i="16"/>
  <c r="AB242" i="16"/>
  <c r="AA242" i="16"/>
  <c r="Z242" i="16"/>
  <c r="Y242" i="16"/>
  <c r="AB241" i="16"/>
  <c r="AA241" i="16"/>
  <c r="Z241" i="16"/>
  <c r="Y241" i="16"/>
  <c r="AB240" i="16"/>
  <c r="AA240" i="16"/>
  <c r="Z240" i="16"/>
  <c r="Y240" i="16"/>
  <c r="AB239" i="16"/>
  <c r="AA239" i="16"/>
  <c r="Z239" i="16"/>
  <c r="Y239" i="16"/>
  <c r="AB238" i="16"/>
  <c r="AA238" i="16"/>
  <c r="Z238" i="16"/>
  <c r="Y238" i="16"/>
  <c r="AB237" i="16"/>
  <c r="AA237" i="16"/>
  <c r="Z237" i="16"/>
  <c r="Y237" i="16"/>
  <c r="AB236" i="16"/>
  <c r="AA236" i="16"/>
  <c r="Z236" i="16"/>
  <c r="Y236" i="16"/>
  <c r="AB235" i="16"/>
  <c r="AA235" i="16"/>
  <c r="Z235" i="16"/>
  <c r="Y235" i="16"/>
  <c r="AB234" i="16"/>
  <c r="AA234" i="16"/>
  <c r="Z234" i="16"/>
  <c r="Y234" i="16"/>
  <c r="AB233" i="16"/>
  <c r="AA233" i="16"/>
  <c r="Z233" i="16"/>
  <c r="Y233" i="16"/>
  <c r="AB232" i="16"/>
  <c r="AA232" i="16"/>
  <c r="Z232" i="16"/>
  <c r="Y232" i="16"/>
  <c r="AB231" i="16"/>
  <c r="AA231" i="16"/>
  <c r="Z231" i="16"/>
  <c r="Y231" i="16"/>
  <c r="AB230" i="16"/>
  <c r="AA230" i="16"/>
  <c r="Z230" i="16"/>
  <c r="Y230" i="16"/>
  <c r="AB229" i="16"/>
  <c r="AA229" i="16"/>
  <c r="Z229" i="16"/>
  <c r="Y229" i="16"/>
  <c r="AB228" i="16"/>
  <c r="AA228" i="16"/>
  <c r="Z228" i="16"/>
  <c r="Y228" i="16"/>
  <c r="AB227" i="16"/>
  <c r="AA227" i="16"/>
  <c r="Z227" i="16"/>
  <c r="Y227" i="16"/>
  <c r="AB226" i="16"/>
  <c r="AA226" i="16"/>
  <c r="Z226" i="16"/>
  <c r="Y226" i="16"/>
  <c r="AB225" i="16"/>
  <c r="AA225" i="16"/>
  <c r="Z225" i="16"/>
  <c r="Y225" i="16"/>
  <c r="AB224" i="16"/>
  <c r="AA224" i="16"/>
  <c r="Z224" i="16"/>
  <c r="Y224" i="16"/>
  <c r="AB223" i="16"/>
  <c r="AA223" i="16"/>
  <c r="Z223" i="16"/>
  <c r="Y223" i="16"/>
  <c r="AB222" i="16"/>
  <c r="AA222" i="16"/>
  <c r="Z222" i="16"/>
  <c r="Y222" i="16"/>
  <c r="AB221" i="16"/>
  <c r="AA221" i="16"/>
  <c r="Z221" i="16"/>
  <c r="Y221" i="16"/>
  <c r="AB220" i="16"/>
  <c r="AA220" i="16"/>
  <c r="Z220" i="16"/>
  <c r="Y220" i="16"/>
  <c r="AB219" i="16"/>
  <c r="AA219" i="16"/>
  <c r="Z219" i="16"/>
  <c r="Y219" i="16"/>
  <c r="AB218" i="16"/>
  <c r="AA218" i="16"/>
  <c r="Z218" i="16"/>
  <c r="Y218" i="16"/>
  <c r="AB217" i="16"/>
  <c r="AA217" i="16"/>
  <c r="Z217" i="16"/>
  <c r="Y217" i="16"/>
  <c r="AB216" i="16"/>
  <c r="AA216" i="16"/>
  <c r="Z216" i="16"/>
  <c r="Y216" i="16"/>
  <c r="AB215" i="16"/>
  <c r="AA215" i="16"/>
  <c r="Z215" i="16"/>
  <c r="Y215" i="16"/>
  <c r="AB214" i="16"/>
  <c r="AA214" i="16"/>
  <c r="Z214" i="16"/>
  <c r="Y214" i="16"/>
  <c r="AB213" i="16"/>
  <c r="AA213" i="16"/>
  <c r="Z213" i="16"/>
  <c r="Y213" i="16"/>
  <c r="AB212" i="16"/>
  <c r="AA212" i="16"/>
  <c r="Z212" i="16"/>
  <c r="Y212" i="16"/>
  <c r="AB211" i="16"/>
  <c r="AA211" i="16"/>
  <c r="Z211" i="16"/>
  <c r="Y211" i="16"/>
  <c r="AB210" i="16"/>
  <c r="AA210" i="16"/>
  <c r="Z210" i="16"/>
  <c r="Y210" i="16"/>
  <c r="AB209" i="16"/>
  <c r="AA209" i="16"/>
  <c r="Z209" i="16"/>
  <c r="Y209" i="16"/>
  <c r="AB208" i="16"/>
  <c r="AA208" i="16"/>
  <c r="Z208" i="16"/>
  <c r="Y208" i="16"/>
  <c r="AB207" i="16"/>
  <c r="AA207" i="16"/>
  <c r="Z207" i="16"/>
  <c r="Y207" i="16"/>
  <c r="AB206" i="16"/>
  <c r="AA206" i="16"/>
  <c r="Z206" i="16"/>
  <c r="Y206" i="16"/>
  <c r="AB205" i="16"/>
  <c r="AA205" i="16"/>
  <c r="Z205" i="16"/>
  <c r="Y205" i="16"/>
  <c r="AB204" i="16"/>
  <c r="AA204" i="16"/>
  <c r="Z204" i="16"/>
  <c r="Y204" i="16"/>
  <c r="AB203" i="16"/>
  <c r="AA203" i="16"/>
  <c r="Z203" i="16"/>
  <c r="Y203" i="16"/>
  <c r="AB202" i="16"/>
  <c r="AA202" i="16"/>
  <c r="Z202" i="16"/>
  <c r="Y202" i="16"/>
  <c r="AB201" i="16"/>
  <c r="AA201" i="16"/>
  <c r="Z201" i="16"/>
  <c r="Y201" i="16"/>
  <c r="AB200" i="16"/>
  <c r="AA200" i="16"/>
  <c r="Z200" i="16"/>
  <c r="Y200" i="16"/>
  <c r="AB199" i="16"/>
  <c r="AA199" i="16"/>
  <c r="Z199" i="16"/>
  <c r="Y199" i="16"/>
  <c r="AB198" i="16"/>
  <c r="AA198" i="16"/>
  <c r="Z198" i="16"/>
  <c r="Y198" i="16"/>
  <c r="AB197" i="16"/>
  <c r="AA197" i="16"/>
  <c r="Z197" i="16"/>
  <c r="Y197" i="16"/>
  <c r="AB196" i="16"/>
  <c r="AA196" i="16"/>
  <c r="Z196" i="16"/>
  <c r="Y196" i="16"/>
  <c r="AB195" i="16"/>
  <c r="AA195" i="16"/>
  <c r="Z195" i="16"/>
  <c r="Y195" i="16"/>
  <c r="AB194" i="16"/>
  <c r="AA194" i="16"/>
  <c r="Z194" i="16"/>
  <c r="Y194" i="16"/>
  <c r="AB193" i="16"/>
  <c r="AA193" i="16"/>
  <c r="Z193" i="16"/>
  <c r="Y193" i="16"/>
  <c r="AB192" i="16"/>
  <c r="AA192" i="16"/>
  <c r="Z192" i="16"/>
  <c r="Y192" i="16"/>
  <c r="AB191" i="16"/>
  <c r="AA191" i="16"/>
  <c r="Z191" i="16"/>
  <c r="Y191" i="16"/>
  <c r="AB190" i="16"/>
  <c r="AA190" i="16"/>
  <c r="Z190" i="16"/>
  <c r="Y190" i="16"/>
  <c r="AB189" i="16"/>
  <c r="AA189" i="16"/>
  <c r="Z189" i="16"/>
  <c r="Y189" i="16"/>
  <c r="AB188" i="16"/>
  <c r="AA188" i="16"/>
  <c r="Z188" i="16"/>
  <c r="Y188" i="16"/>
  <c r="AB187" i="16"/>
  <c r="AA187" i="16"/>
  <c r="Z187" i="16"/>
  <c r="Y187" i="16"/>
  <c r="AB186" i="16"/>
  <c r="AA186" i="16"/>
  <c r="Z186" i="16"/>
  <c r="Y186" i="16"/>
  <c r="AB185" i="16"/>
  <c r="AA185" i="16"/>
  <c r="Z185" i="16"/>
  <c r="Y185" i="16"/>
  <c r="AB184" i="16"/>
  <c r="AA184" i="16"/>
  <c r="Z184" i="16"/>
  <c r="Y184" i="16"/>
  <c r="AB183" i="16"/>
  <c r="AA183" i="16"/>
  <c r="Z183" i="16"/>
  <c r="Y183" i="16"/>
  <c r="AB182" i="16"/>
  <c r="AA182" i="16"/>
  <c r="Z182" i="16"/>
  <c r="Y182" i="16"/>
  <c r="AB181" i="16"/>
  <c r="AA181" i="16"/>
  <c r="Z181" i="16"/>
  <c r="Y181" i="16"/>
  <c r="AB180" i="16"/>
  <c r="AA180" i="16"/>
  <c r="Z180" i="16"/>
  <c r="Y180" i="16"/>
  <c r="AB179" i="16"/>
  <c r="AA179" i="16"/>
  <c r="Z179" i="16"/>
  <c r="Y179" i="16"/>
  <c r="AB178" i="16"/>
  <c r="AA178" i="16"/>
  <c r="Z178" i="16"/>
  <c r="Y178" i="16"/>
  <c r="AB177" i="16"/>
  <c r="AA177" i="16"/>
  <c r="Z177" i="16"/>
  <c r="Y177" i="16"/>
  <c r="AB176" i="16"/>
  <c r="AA176" i="16"/>
  <c r="Z176" i="16"/>
  <c r="Y176" i="16"/>
  <c r="AB175" i="16"/>
  <c r="AA175" i="16"/>
  <c r="Z175" i="16"/>
  <c r="Y175" i="16"/>
  <c r="AB174" i="16"/>
  <c r="AA174" i="16"/>
  <c r="Z174" i="16"/>
  <c r="Y174" i="16"/>
  <c r="AB173" i="16"/>
  <c r="AA173" i="16"/>
  <c r="Z173" i="16"/>
  <c r="Y173" i="16"/>
  <c r="AB172" i="16"/>
  <c r="AA172" i="16"/>
  <c r="Z172" i="16"/>
  <c r="Y172" i="16"/>
  <c r="AB171" i="16"/>
  <c r="AA171" i="16"/>
  <c r="Z171" i="16"/>
  <c r="Y171" i="16"/>
  <c r="AB170" i="16"/>
  <c r="AA170" i="16"/>
  <c r="Z170" i="16"/>
  <c r="Y170" i="16"/>
  <c r="AB169" i="16"/>
  <c r="AA169" i="16"/>
  <c r="Z169" i="16"/>
  <c r="Y169" i="16"/>
  <c r="AB168" i="16"/>
  <c r="AA168" i="16"/>
  <c r="Z168" i="16"/>
  <c r="Y168" i="16"/>
  <c r="AB167" i="16"/>
  <c r="AA167" i="16"/>
  <c r="Z167" i="16"/>
  <c r="Y167" i="16"/>
  <c r="AB166" i="16"/>
  <c r="AA166" i="16"/>
  <c r="Z166" i="16"/>
  <c r="Y166" i="16"/>
  <c r="AB165" i="16"/>
  <c r="AA165" i="16"/>
  <c r="Z165" i="16"/>
  <c r="Y165" i="16"/>
  <c r="AB164" i="16"/>
  <c r="AA164" i="16"/>
  <c r="Z164" i="16"/>
  <c r="Y164" i="16"/>
  <c r="AB163" i="16"/>
  <c r="AA163" i="16"/>
  <c r="Z163" i="16"/>
  <c r="Y163" i="16"/>
  <c r="AB162" i="16"/>
  <c r="AA162" i="16"/>
  <c r="Z162" i="16"/>
  <c r="Y162" i="16"/>
  <c r="AB161" i="16"/>
  <c r="AA161" i="16"/>
  <c r="Z161" i="16"/>
  <c r="Y161" i="16"/>
  <c r="AB160" i="16"/>
  <c r="AA160" i="16"/>
  <c r="Z160" i="16"/>
  <c r="Y160" i="16"/>
  <c r="AB159" i="16"/>
  <c r="AA159" i="16"/>
  <c r="Z159" i="16"/>
  <c r="Y159" i="16"/>
  <c r="AB158" i="16"/>
  <c r="AA158" i="16"/>
  <c r="Z158" i="16"/>
  <c r="Y158" i="16"/>
  <c r="AB157" i="16"/>
  <c r="AA157" i="16"/>
  <c r="Z157" i="16"/>
  <c r="Y157" i="16"/>
  <c r="AB156" i="16"/>
  <c r="AA156" i="16"/>
  <c r="Z156" i="16"/>
  <c r="Y156" i="16"/>
  <c r="AB155" i="16"/>
  <c r="AA155" i="16"/>
  <c r="Z155" i="16"/>
  <c r="Y155" i="16"/>
  <c r="AB154" i="16"/>
  <c r="AA154" i="16"/>
  <c r="Z154" i="16"/>
  <c r="Y154" i="16"/>
  <c r="AB153" i="16"/>
  <c r="AA153" i="16"/>
  <c r="Z153" i="16"/>
  <c r="Y153" i="16"/>
  <c r="AB152" i="16"/>
  <c r="AA152" i="16"/>
  <c r="Z152" i="16"/>
  <c r="Y152" i="16"/>
  <c r="AB151" i="16"/>
  <c r="AA151" i="16"/>
  <c r="Z151" i="16"/>
  <c r="Y151" i="16"/>
  <c r="AB150" i="16"/>
  <c r="AA150" i="16"/>
  <c r="Z150" i="16"/>
  <c r="Y150" i="16"/>
  <c r="AB149" i="16"/>
  <c r="AA149" i="16"/>
  <c r="Z149" i="16"/>
  <c r="Y149" i="16"/>
  <c r="AB148" i="16"/>
  <c r="AA148" i="16"/>
  <c r="Z148" i="16"/>
  <c r="Y148" i="16"/>
  <c r="AB147" i="16"/>
  <c r="AA147" i="16"/>
  <c r="Z147" i="16"/>
  <c r="Y147" i="16"/>
  <c r="AB146" i="16"/>
  <c r="AA146" i="16"/>
  <c r="Z146" i="16"/>
  <c r="Y146" i="16"/>
  <c r="AB145" i="16"/>
  <c r="AA145" i="16"/>
  <c r="Z145" i="16"/>
  <c r="Y145" i="16"/>
  <c r="AB144" i="16"/>
  <c r="AA144" i="16"/>
  <c r="Z144" i="16"/>
  <c r="Y144" i="16"/>
  <c r="AB143" i="16"/>
  <c r="AA143" i="16"/>
  <c r="Z143" i="16"/>
  <c r="Y143" i="16"/>
  <c r="AB142" i="16"/>
  <c r="AA142" i="16"/>
  <c r="Z142" i="16"/>
  <c r="Y142" i="16"/>
  <c r="AB141" i="16"/>
  <c r="AA141" i="16"/>
  <c r="Z141" i="16"/>
  <c r="Y141" i="16"/>
  <c r="AB140" i="16"/>
  <c r="AA140" i="16"/>
  <c r="Z140" i="16"/>
  <c r="Y140" i="16"/>
  <c r="AB139" i="16"/>
  <c r="AA139" i="16"/>
  <c r="Z139" i="16"/>
  <c r="Y139" i="16"/>
  <c r="AB138" i="16"/>
  <c r="AA138" i="16"/>
  <c r="Z138" i="16"/>
  <c r="Y138" i="16"/>
  <c r="AB137" i="16"/>
  <c r="AA137" i="16"/>
  <c r="Z137" i="16"/>
  <c r="Y137" i="16"/>
  <c r="AB136" i="16"/>
  <c r="AA136" i="16"/>
  <c r="Z136" i="16"/>
  <c r="Y136" i="16"/>
  <c r="AB135" i="16"/>
  <c r="AA135" i="16"/>
  <c r="Z135" i="16"/>
  <c r="Y135" i="16"/>
  <c r="AB134" i="16"/>
  <c r="AA134" i="16"/>
  <c r="Z134" i="16"/>
  <c r="Y134" i="16"/>
  <c r="AB133" i="16"/>
  <c r="AA133" i="16"/>
  <c r="Z133" i="16"/>
  <c r="Y133" i="16"/>
  <c r="AB132" i="16"/>
  <c r="AA132" i="16"/>
  <c r="Z132" i="16"/>
  <c r="Y132" i="16"/>
  <c r="AB131" i="16"/>
  <c r="AA131" i="16"/>
  <c r="Z131" i="16"/>
  <c r="Y131" i="16"/>
  <c r="AB130" i="16"/>
  <c r="AA130" i="16"/>
  <c r="Z130" i="16"/>
  <c r="Y130" i="16"/>
  <c r="AB129" i="16"/>
  <c r="AA129" i="16"/>
  <c r="Z129" i="16"/>
  <c r="Y129" i="16"/>
  <c r="AB128" i="16"/>
  <c r="AA128" i="16"/>
  <c r="Z128" i="16"/>
  <c r="Y128" i="16"/>
  <c r="AB127" i="16"/>
  <c r="AA127" i="16"/>
  <c r="Z127" i="16"/>
  <c r="Y127" i="16"/>
  <c r="AB126" i="16"/>
  <c r="AA126" i="16"/>
  <c r="Z126" i="16"/>
  <c r="Y126" i="16"/>
  <c r="AB125" i="16"/>
  <c r="AA125" i="16"/>
  <c r="Z125" i="16"/>
  <c r="Y125" i="16"/>
  <c r="AB124" i="16"/>
  <c r="AA124" i="16"/>
  <c r="Z124" i="16"/>
  <c r="Y124" i="16"/>
  <c r="AB123" i="16"/>
  <c r="AA123" i="16"/>
  <c r="Z123" i="16"/>
  <c r="Y123" i="16"/>
  <c r="AB122" i="16"/>
  <c r="AA122" i="16"/>
  <c r="Z122" i="16"/>
  <c r="Y122" i="16"/>
  <c r="AB121" i="16"/>
  <c r="AA121" i="16"/>
  <c r="Z121" i="16"/>
  <c r="Y121" i="16"/>
  <c r="AB120" i="16"/>
  <c r="AA120" i="16"/>
  <c r="Z120" i="16"/>
  <c r="Y120" i="16"/>
  <c r="AB119" i="16"/>
  <c r="AA119" i="16"/>
  <c r="Z119" i="16"/>
  <c r="Y119" i="16"/>
  <c r="AB118" i="16"/>
  <c r="AA118" i="16"/>
  <c r="Z118" i="16"/>
  <c r="Y118" i="16"/>
  <c r="AB117" i="16"/>
  <c r="AA117" i="16"/>
  <c r="Z117" i="16"/>
  <c r="Y117" i="16"/>
  <c r="AB116" i="16"/>
  <c r="AA116" i="16"/>
  <c r="Z116" i="16"/>
  <c r="Y116" i="16"/>
  <c r="AB115" i="16"/>
  <c r="AA115" i="16"/>
  <c r="Z115" i="16"/>
  <c r="Y115" i="16"/>
  <c r="AB114" i="16"/>
  <c r="AA114" i="16"/>
  <c r="Z114" i="16"/>
  <c r="Y114" i="16"/>
  <c r="AB113" i="16"/>
  <c r="AA113" i="16"/>
  <c r="Z113" i="16"/>
  <c r="Y113" i="16"/>
  <c r="AB112" i="16"/>
  <c r="AA112" i="16"/>
  <c r="Z112" i="16"/>
  <c r="Y112" i="16"/>
  <c r="AB111" i="16"/>
  <c r="AA111" i="16"/>
  <c r="Z111" i="16"/>
  <c r="Y111" i="16"/>
  <c r="AB110" i="16"/>
  <c r="AA110" i="16"/>
  <c r="Z110" i="16"/>
  <c r="Y110" i="16"/>
  <c r="AB109" i="16"/>
  <c r="AA109" i="16"/>
  <c r="Z109" i="16"/>
  <c r="Y109" i="16"/>
  <c r="AB108" i="16"/>
  <c r="AA108" i="16"/>
  <c r="Z108" i="16"/>
  <c r="Y108" i="16"/>
  <c r="AB107" i="16"/>
  <c r="AA107" i="16"/>
  <c r="Z107" i="16"/>
  <c r="Y107" i="16"/>
  <c r="AB106" i="16"/>
  <c r="AA106" i="16"/>
  <c r="Z106" i="16"/>
  <c r="Y106" i="16"/>
  <c r="AB105" i="16"/>
  <c r="AA105" i="16"/>
  <c r="Z105" i="16"/>
  <c r="Y105" i="16"/>
  <c r="AB104" i="16"/>
  <c r="AA104" i="16"/>
  <c r="Z104" i="16"/>
  <c r="Y104" i="16"/>
  <c r="AB103" i="16"/>
  <c r="AA103" i="16"/>
  <c r="Z103" i="16"/>
  <c r="Y103" i="16"/>
  <c r="AB102" i="16"/>
  <c r="AA102" i="16"/>
  <c r="Z102" i="16"/>
  <c r="Y102" i="16"/>
  <c r="AB101" i="16"/>
  <c r="AA101" i="16"/>
  <c r="Z101" i="16"/>
  <c r="Y101" i="16"/>
  <c r="AB100" i="16"/>
  <c r="AA100" i="16"/>
  <c r="Z100" i="16"/>
  <c r="Y100" i="16"/>
  <c r="AB99" i="16"/>
  <c r="AA99" i="16"/>
  <c r="Z99" i="16"/>
  <c r="Y99" i="16"/>
  <c r="AB98" i="16"/>
  <c r="AA98" i="16"/>
  <c r="Z98" i="16"/>
  <c r="Y98" i="16"/>
  <c r="AB97" i="16"/>
  <c r="AA97" i="16"/>
  <c r="Z97" i="16"/>
  <c r="Y97" i="16"/>
  <c r="AB96" i="16"/>
  <c r="AA96" i="16"/>
  <c r="Z96" i="16"/>
  <c r="Y96" i="16"/>
  <c r="AB95" i="16"/>
  <c r="AA95" i="16"/>
  <c r="Z95" i="16"/>
  <c r="Y95" i="16"/>
  <c r="AB94" i="16"/>
  <c r="AA94" i="16"/>
  <c r="Z94" i="16"/>
  <c r="Y94" i="16"/>
  <c r="AB93" i="16"/>
  <c r="AA93" i="16"/>
  <c r="Z93" i="16"/>
  <c r="Y93" i="16"/>
  <c r="AB92" i="16"/>
  <c r="AA92" i="16"/>
  <c r="Z92" i="16"/>
  <c r="Y92" i="16"/>
  <c r="AB91" i="16"/>
  <c r="AA91" i="16"/>
  <c r="Z91" i="16"/>
  <c r="Y91" i="16"/>
  <c r="AB90" i="16"/>
  <c r="AA90" i="16"/>
  <c r="Z90" i="16"/>
  <c r="Y90" i="16"/>
  <c r="AB89" i="16"/>
  <c r="AA89" i="16"/>
  <c r="Z89" i="16"/>
  <c r="Y89" i="16"/>
  <c r="AB88" i="16"/>
  <c r="AA88" i="16"/>
  <c r="Z88" i="16"/>
  <c r="Y88" i="16"/>
  <c r="AB87" i="16"/>
  <c r="AA87" i="16"/>
  <c r="Z87" i="16"/>
  <c r="Y87" i="16"/>
  <c r="AB86" i="16"/>
  <c r="AA86" i="16"/>
  <c r="Z86" i="16"/>
  <c r="Y86" i="16"/>
  <c r="AB85" i="16"/>
  <c r="AA85" i="16"/>
  <c r="Z85" i="16"/>
  <c r="Y85" i="16"/>
  <c r="AB84" i="16"/>
  <c r="AA84" i="16"/>
  <c r="Z84" i="16"/>
  <c r="Y84" i="16"/>
  <c r="AB83" i="16"/>
  <c r="AA83" i="16"/>
  <c r="Z83" i="16"/>
  <c r="Y83" i="16"/>
  <c r="AB82" i="16"/>
  <c r="AA82" i="16"/>
  <c r="Z82" i="16"/>
  <c r="Y82" i="16"/>
  <c r="AB81" i="16"/>
  <c r="AA81" i="16"/>
  <c r="Z81" i="16"/>
  <c r="Y81" i="16"/>
  <c r="AB80" i="16"/>
  <c r="AA80" i="16"/>
  <c r="Z80" i="16"/>
  <c r="Y80" i="16"/>
  <c r="AB79" i="16"/>
  <c r="AA79" i="16"/>
  <c r="Z79" i="16"/>
  <c r="Y79" i="16"/>
  <c r="AB78" i="16"/>
  <c r="AA78" i="16"/>
  <c r="Z78" i="16"/>
  <c r="Y78" i="16"/>
  <c r="AB77" i="16"/>
  <c r="AA77" i="16"/>
  <c r="Z77" i="16"/>
  <c r="Y77" i="16"/>
  <c r="AB76" i="16"/>
  <c r="AA76" i="16"/>
  <c r="Z76" i="16"/>
  <c r="Y76" i="16"/>
  <c r="AB75" i="16"/>
  <c r="AA75" i="16"/>
  <c r="Z75" i="16"/>
  <c r="Y75" i="16"/>
  <c r="AB74" i="16"/>
  <c r="AA74" i="16"/>
  <c r="Z74" i="16"/>
  <c r="Y74" i="16"/>
  <c r="AB73" i="16"/>
  <c r="AA73" i="16"/>
  <c r="Z73" i="16"/>
  <c r="Y73" i="16"/>
  <c r="AB72" i="16"/>
  <c r="AA72" i="16"/>
  <c r="Z72" i="16"/>
  <c r="Y72" i="16"/>
  <c r="AB71" i="16"/>
  <c r="AA71" i="16"/>
  <c r="Z71" i="16"/>
  <c r="Y71" i="16"/>
  <c r="AB70" i="16"/>
  <c r="AA70" i="16"/>
  <c r="Z70" i="16"/>
  <c r="Y70" i="16"/>
  <c r="AB69" i="16"/>
  <c r="AA69" i="16"/>
  <c r="Z69" i="16"/>
  <c r="Y69" i="16"/>
  <c r="AB68" i="16"/>
  <c r="AA68" i="16"/>
  <c r="Z68" i="16"/>
  <c r="Y68" i="16"/>
  <c r="AB67" i="16"/>
  <c r="AA67" i="16"/>
  <c r="Z67" i="16"/>
  <c r="Y67" i="16"/>
  <c r="AB66" i="16"/>
  <c r="AA66" i="16"/>
  <c r="Z66" i="16"/>
  <c r="Y66" i="16"/>
  <c r="AB65" i="16"/>
  <c r="AA65" i="16"/>
  <c r="Z65" i="16"/>
  <c r="Y65" i="16"/>
  <c r="AB64" i="16"/>
  <c r="AA64" i="16"/>
  <c r="Z64" i="16"/>
  <c r="Y64" i="16"/>
  <c r="AB63" i="16"/>
  <c r="AA63" i="16"/>
  <c r="Z63" i="16"/>
  <c r="Y63" i="16"/>
  <c r="AB62" i="16"/>
  <c r="AA62" i="16"/>
  <c r="Z62" i="16"/>
  <c r="Y62" i="16"/>
  <c r="AB61" i="16"/>
  <c r="AA61" i="16"/>
  <c r="Z61" i="16"/>
  <c r="Y61" i="16"/>
  <c r="AB60" i="16"/>
  <c r="AA60" i="16"/>
  <c r="Z60" i="16"/>
  <c r="Y60" i="16"/>
  <c r="AB59" i="16"/>
  <c r="AA59" i="16"/>
  <c r="Z59" i="16"/>
  <c r="Y59" i="16"/>
  <c r="AB58" i="16"/>
  <c r="AA58" i="16"/>
  <c r="Z58" i="16"/>
  <c r="Y58" i="16"/>
  <c r="AB57" i="16"/>
  <c r="AA57" i="16"/>
  <c r="Z57" i="16"/>
  <c r="Y57" i="16"/>
  <c r="AB56" i="16"/>
  <c r="AA56" i="16"/>
  <c r="Z56" i="16"/>
  <c r="Y56" i="16"/>
  <c r="AB55" i="16"/>
  <c r="AA55" i="16"/>
  <c r="Z55" i="16"/>
  <c r="Y55" i="16"/>
  <c r="AB54" i="16"/>
  <c r="AA54" i="16"/>
  <c r="Z54" i="16"/>
  <c r="Y54" i="16"/>
  <c r="AB53" i="16"/>
  <c r="AA53" i="16"/>
  <c r="Z53" i="16"/>
  <c r="Y53" i="16"/>
  <c r="AB52" i="16"/>
  <c r="AA52" i="16"/>
  <c r="Z52" i="16"/>
  <c r="Y52" i="16"/>
  <c r="AB51" i="16"/>
  <c r="AA51" i="16"/>
  <c r="Z51" i="16"/>
  <c r="Y51" i="16"/>
  <c r="AB50" i="16"/>
  <c r="AA50" i="16"/>
  <c r="Z50" i="16"/>
  <c r="Y50" i="16"/>
  <c r="AB49" i="16"/>
  <c r="AA49" i="16"/>
  <c r="Z49" i="16"/>
  <c r="Y49" i="16"/>
  <c r="AB48" i="16"/>
  <c r="AA48" i="16"/>
  <c r="Z48" i="16"/>
  <c r="Y48" i="16"/>
  <c r="AB47" i="16"/>
  <c r="AA47" i="16"/>
  <c r="Z47" i="16"/>
  <c r="Y47" i="16"/>
  <c r="AB46" i="16"/>
  <c r="AA46" i="16"/>
  <c r="Z46" i="16"/>
  <c r="Y46" i="16"/>
  <c r="AB45" i="16"/>
  <c r="AA45" i="16"/>
  <c r="Z45" i="16"/>
  <c r="Y45" i="16"/>
  <c r="AB44" i="16"/>
  <c r="AA44" i="16"/>
  <c r="Z44" i="16"/>
  <c r="Y44" i="16"/>
  <c r="AB43" i="16"/>
  <c r="AA43" i="16"/>
  <c r="Z43" i="16"/>
  <c r="Y43" i="16"/>
  <c r="AB42" i="16"/>
  <c r="AA42" i="16"/>
  <c r="Z42" i="16"/>
  <c r="Y42" i="16"/>
  <c r="AB41" i="16"/>
  <c r="AA41" i="16"/>
  <c r="Z41" i="16"/>
  <c r="Y41" i="16"/>
  <c r="AB40" i="16"/>
  <c r="AA40" i="16"/>
  <c r="Z40" i="16"/>
  <c r="Y40" i="16"/>
  <c r="AB39" i="16"/>
  <c r="AA39" i="16"/>
  <c r="Z39" i="16"/>
  <c r="Y39" i="16"/>
  <c r="AB38" i="16"/>
  <c r="AA38" i="16"/>
  <c r="Z38" i="16"/>
  <c r="Y38" i="16"/>
  <c r="AB37" i="16"/>
  <c r="AA37" i="16"/>
  <c r="Z37" i="16"/>
  <c r="Y37" i="16"/>
  <c r="AB36" i="16"/>
  <c r="AA36" i="16"/>
  <c r="Z36" i="16"/>
  <c r="Y36" i="16"/>
  <c r="AB35" i="16"/>
  <c r="AA35" i="16"/>
  <c r="Z35" i="16"/>
  <c r="Y35" i="16"/>
  <c r="AB34" i="16"/>
  <c r="AA34" i="16"/>
  <c r="Z34" i="16"/>
  <c r="Y34" i="16"/>
  <c r="AB33" i="16"/>
  <c r="AA33" i="16"/>
  <c r="Z33" i="16"/>
  <c r="Y33" i="16"/>
  <c r="AB32" i="16"/>
  <c r="AA32" i="16"/>
  <c r="Z32" i="16"/>
  <c r="Y32" i="16"/>
  <c r="AB31" i="16"/>
  <c r="AA31" i="16"/>
  <c r="Z31" i="16"/>
  <c r="Y31" i="16"/>
  <c r="AB30" i="16"/>
  <c r="AA30" i="16"/>
  <c r="Z30" i="16"/>
  <c r="Y30" i="16"/>
  <c r="AB29" i="16"/>
  <c r="AA29" i="16"/>
  <c r="Z29" i="16"/>
  <c r="Y29" i="16"/>
  <c r="AB28" i="16"/>
  <c r="AA28" i="16"/>
  <c r="Z28" i="16"/>
  <c r="Y28" i="16"/>
  <c r="AB27" i="16"/>
  <c r="AA27" i="16"/>
  <c r="Z27" i="16"/>
  <c r="Y27" i="16"/>
  <c r="AB26" i="16"/>
  <c r="AA26" i="16"/>
  <c r="Z26" i="16"/>
  <c r="Y26" i="16"/>
  <c r="AB25" i="16"/>
  <c r="AA25" i="16"/>
  <c r="Z25" i="16"/>
  <c r="Y25" i="16"/>
  <c r="AB24" i="16"/>
  <c r="AA24" i="16"/>
  <c r="Z24" i="16"/>
  <c r="Y24" i="16"/>
  <c r="AB23" i="16"/>
  <c r="AA23" i="16"/>
  <c r="Z23" i="16"/>
  <c r="Y23" i="16"/>
  <c r="AB22" i="16"/>
  <c r="AA22" i="16"/>
  <c r="Z22" i="16"/>
  <c r="Y22" i="16"/>
  <c r="AB21" i="16"/>
  <c r="AA21" i="16"/>
  <c r="Z21" i="16"/>
  <c r="Y21" i="16"/>
  <c r="AB20" i="16"/>
  <c r="AA20" i="16"/>
  <c r="Z20" i="16"/>
  <c r="Y20" i="16"/>
  <c r="AB19" i="16"/>
  <c r="AA19" i="16"/>
  <c r="Z19" i="16"/>
  <c r="Y19" i="16"/>
  <c r="AB18" i="16"/>
  <c r="AA18" i="16"/>
  <c r="Z18" i="16"/>
  <c r="Y18" i="16"/>
  <c r="AB17" i="16"/>
  <c r="AA17" i="16"/>
  <c r="Z17" i="16"/>
  <c r="Y17" i="16"/>
  <c r="AB16" i="16"/>
  <c r="AA16" i="16"/>
  <c r="Z16" i="16"/>
  <c r="Y16" i="16"/>
  <c r="AB15" i="16"/>
  <c r="AA15" i="16"/>
  <c r="Z15" i="16"/>
  <c r="Y15" i="16"/>
  <c r="AB14" i="16"/>
  <c r="AA14" i="16"/>
  <c r="Z14" i="16"/>
  <c r="Y14" i="16"/>
  <c r="AB13" i="16"/>
  <c r="AA13" i="16"/>
  <c r="Z13" i="16"/>
  <c r="Y13" i="16"/>
  <c r="AB12" i="16"/>
  <c r="AA12" i="16"/>
  <c r="Z12" i="16"/>
  <c r="Y12" i="16"/>
  <c r="AB11" i="16"/>
  <c r="AA11" i="16"/>
  <c r="Z11" i="16"/>
  <c r="Y11" i="16"/>
  <c r="AB10" i="16"/>
  <c r="AA10" i="16"/>
  <c r="Z10" i="16"/>
  <c r="Y10" i="16"/>
  <c r="AB9" i="16"/>
  <c r="AA9" i="16"/>
  <c r="Z9" i="16"/>
  <c r="Y9" i="16"/>
  <c r="AB8" i="16"/>
  <c r="AA8" i="16"/>
  <c r="Z8" i="16"/>
  <c r="Y8" i="16"/>
  <c r="AB7" i="16"/>
  <c r="AA7" i="16"/>
  <c r="Z7" i="16"/>
  <c r="Y7" i="16"/>
  <c r="AB6" i="16"/>
  <c r="AA6" i="16"/>
  <c r="Z6" i="16"/>
  <c r="Y6" i="16"/>
  <c r="AB5" i="16"/>
  <c r="AA5" i="16"/>
  <c r="Z5" i="16"/>
  <c r="Y5" i="16"/>
  <c r="AB4" i="16"/>
  <c r="AA4" i="16"/>
  <c r="Z4" i="16"/>
  <c r="Y4" i="16"/>
  <c r="AB3" i="16"/>
  <c r="AA3" i="16"/>
  <c r="Z3" i="16"/>
  <c r="Y3" i="16"/>
  <c r="AN896" i="16"/>
  <c r="AN874" i="16"/>
  <c r="AN861" i="16"/>
  <c r="AN860" i="16"/>
  <c r="AN859" i="16"/>
  <c r="AN858" i="16"/>
  <c r="AN844" i="16"/>
  <c r="AN841" i="16"/>
  <c r="AN838" i="16"/>
  <c r="AN828" i="16"/>
  <c r="AN827" i="16"/>
  <c r="AN822" i="16"/>
  <c r="AN813" i="16"/>
  <c r="AN812" i="16"/>
  <c r="AN808" i="16"/>
  <c r="AN807" i="16"/>
  <c r="AN806" i="16"/>
  <c r="AN805" i="16"/>
  <c r="AN796" i="16"/>
  <c r="AN787" i="16"/>
  <c r="AN783" i="16"/>
  <c r="AN777" i="16"/>
  <c r="AN774" i="16"/>
  <c r="AN758" i="16"/>
  <c r="AN757" i="16"/>
  <c r="AN754" i="16"/>
  <c r="AN753" i="16"/>
  <c r="AN751" i="16"/>
  <c r="AN750" i="16"/>
  <c r="AN740" i="16"/>
  <c r="AN739" i="16"/>
  <c r="AN718" i="16"/>
  <c r="AN714" i="16"/>
  <c r="AN713" i="16"/>
  <c r="AN709" i="16"/>
  <c r="AN708" i="16"/>
  <c r="AN705" i="16"/>
  <c r="AN704" i="16"/>
  <c r="AN698" i="16"/>
  <c r="AN693" i="16"/>
  <c r="AN691" i="16"/>
  <c r="AN676" i="16"/>
  <c r="AN673" i="16"/>
  <c r="AN672" i="16"/>
  <c r="AN671" i="16"/>
  <c r="AN670" i="16"/>
  <c r="AN668" i="16"/>
  <c r="AN667" i="16"/>
  <c r="AN666" i="16"/>
  <c r="AN665" i="16"/>
  <c r="AN664" i="16"/>
  <c r="AN662" i="16"/>
  <c r="AN661" i="16"/>
  <c r="AN660" i="16"/>
  <c r="AN652" i="16"/>
  <c r="AN651" i="16"/>
  <c r="AN649" i="16"/>
  <c r="AN639" i="16"/>
  <c r="AN637" i="16"/>
  <c r="AN635" i="16"/>
  <c r="AN634" i="16"/>
  <c r="AN624" i="16"/>
  <c r="AN622" i="16"/>
  <c r="AN576" i="16"/>
  <c r="AN574" i="16"/>
  <c r="AN570" i="16"/>
  <c r="AO509" i="16"/>
  <c r="AN473" i="16"/>
  <c r="AN449" i="16"/>
  <c r="AN441" i="16"/>
  <c r="AN423" i="16"/>
  <c r="AN395" i="16"/>
  <c r="AN356" i="16"/>
  <c r="AN355" i="16"/>
  <c r="AO341" i="16"/>
  <c r="AO340" i="16"/>
  <c r="AO299" i="16"/>
  <c r="AO225" i="16"/>
  <c r="AO224" i="16"/>
  <c r="AO223" i="16"/>
  <c r="AO222" i="16"/>
  <c r="AO221" i="16"/>
  <c r="AN203" i="16"/>
  <c r="AN202" i="16"/>
  <c r="AO183" i="16"/>
  <c r="AO176" i="16"/>
  <c r="AO175" i="16"/>
  <c r="AN174" i="16"/>
  <c r="AO3" i="16"/>
  <c r="Q38" i="25" l="1"/>
  <c r="R38" i="25"/>
  <c r="S38" i="25"/>
  <c r="T38" i="25"/>
  <c r="U38" i="25"/>
  <c r="Q39" i="25"/>
  <c r="R39" i="25"/>
  <c r="S39" i="25"/>
  <c r="T39" i="25"/>
  <c r="U39" i="25"/>
  <c r="Q40" i="25"/>
  <c r="R40" i="25"/>
  <c r="S40" i="25"/>
  <c r="T40" i="25"/>
  <c r="U40" i="25"/>
  <c r="Q41" i="25"/>
  <c r="R41" i="25"/>
  <c r="S41" i="25"/>
  <c r="T41" i="25"/>
  <c r="U41" i="25"/>
  <c r="Q42" i="25"/>
  <c r="R42" i="25"/>
  <c r="S42" i="25"/>
  <c r="T42" i="25"/>
  <c r="U42" i="25"/>
  <c r="Q43" i="25"/>
  <c r="R43" i="25"/>
  <c r="S43" i="25"/>
  <c r="T43" i="25"/>
  <c r="U43" i="25"/>
  <c r="Q44" i="25"/>
  <c r="R44" i="25"/>
  <c r="S44" i="25"/>
  <c r="T44" i="25"/>
  <c r="U44" i="25"/>
  <c r="Q45" i="25"/>
  <c r="R45" i="25"/>
  <c r="S45" i="25"/>
  <c r="T45" i="25"/>
  <c r="U45" i="25"/>
  <c r="Q46" i="25"/>
  <c r="R46" i="25"/>
  <c r="S46" i="25"/>
  <c r="T46" i="25"/>
  <c r="U46" i="25"/>
  <c r="Q47" i="25"/>
  <c r="R47" i="25"/>
  <c r="S47" i="25"/>
  <c r="T47" i="25"/>
  <c r="U47" i="25"/>
  <c r="Q48" i="25"/>
  <c r="R48" i="25"/>
  <c r="S48" i="25"/>
  <c r="T48" i="25"/>
  <c r="U48" i="25"/>
  <c r="Q49" i="25"/>
  <c r="R49" i="25"/>
  <c r="S49" i="25"/>
  <c r="T49" i="25"/>
  <c r="U49" i="25"/>
  <c r="Q50" i="25"/>
  <c r="R50" i="25"/>
  <c r="S50" i="25"/>
  <c r="T50" i="25"/>
  <c r="U50" i="25"/>
  <c r="Q51" i="25"/>
  <c r="R51" i="25"/>
  <c r="S51" i="25"/>
  <c r="T51" i="25"/>
  <c r="U51" i="25"/>
  <c r="Q52" i="25"/>
  <c r="R52" i="25"/>
  <c r="S52" i="25"/>
  <c r="T52" i="25"/>
  <c r="U52" i="25"/>
  <c r="Q17" i="25"/>
  <c r="R17" i="25"/>
  <c r="S17" i="25"/>
  <c r="T17" i="25"/>
  <c r="U17" i="25"/>
  <c r="Q18" i="25"/>
  <c r="R18" i="25"/>
  <c r="S18" i="25"/>
  <c r="T18" i="25"/>
  <c r="U18" i="25"/>
  <c r="Q19" i="25"/>
  <c r="R19" i="25"/>
  <c r="S19" i="25"/>
  <c r="T19" i="25"/>
  <c r="U19" i="25"/>
  <c r="Q20" i="25"/>
  <c r="R20" i="25"/>
  <c r="S20" i="25"/>
  <c r="T20" i="25"/>
  <c r="U20" i="25"/>
  <c r="Q21" i="25"/>
  <c r="R21" i="25"/>
  <c r="S21" i="25"/>
  <c r="T21" i="25"/>
  <c r="U21" i="25"/>
  <c r="Q22" i="25"/>
  <c r="R22" i="25"/>
  <c r="S22" i="25"/>
  <c r="T22" i="25"/>
  <c r="U22" i="25"/>
  <c r="Q23" i="25"/>
  <c r="R23" i="25"/>
  <c r="S23" i="25"/>
  <c r="T23" i="25"/>
  <c r="U23" i="25"/>
  <c r="Q24" i="25"/>
  <c r="R24" i="25"/>
  <c r="S24" i="25"/>
  <c r="T24" i="25"/>
  <c r="U24" i="25"/>
  <c r="Q25" i="25"/>
  <c r="R25" i="25"/>
  <c r="S25" i="25"/>
  <c r="T25" i="25"/>
  <c r="U25" i="25"/>
  <c r="Q26" i="25"/>
  <c r="R26" i="25"/>
  <c r="S26" i="25"/>
  <c r="T26" i="25"/>
  <c r="U26" i="25"/>
  <c r="Q27" i="25"/>
  <c r="R27" i="25"/>
  <c r="S27" i="25"/>
  <c r="T27" i="25"/>
  <c r="U27" i="25"/>
  <c r="Q28" i="25"/>
  <c r="R28" i="25"/>
  <c r="S28" i="25"/>
  <c r="T28" i="25"/>
  <c r="U28" i="25"/>
  <c r="Q29" i="25"/>
  <c r="R29" i="25"/>
  <c r="S29" i="25"/>
  <c r="T29" i="25"/>
  <c r="U29" i="25"/>
  <c r="Q30" i="25"/>
  <c r="R30" i="25"/>
  <c r="S30" i="25"/>
  <c r="T30" i="25"/>
  <c r="U30" i="25"/>
  <c r="Q31" i="25"/>
  <c r="R31" i="25"/>
  <c r="S31" i="25"/>
  <c r="T31" i="25"/>
  <c r="U31" i="25"/>
  <c r="Q32" i="25"/>
  <c r="R32" i="25"/>
  <c r="S32" i="25"/>
  <c r="T32" i="25"/>
  <c r="U32" i="25"/>
  <c r="Q33" i="25"/>
  <c r="R33" i="25"/>
  <c r="S33" i="25"/>
  <c r="T33" i="25"/>
  <c r="U33" i="25"/>
  <c r="Q34" i="25"/>
  <c r="R34" i="25"/>
  <c r="S34" i="25"/>
  <c r="T34" i="25"/>
  <c r="U34" i="25"/>
  <c r="Q35" i="25"/>
  <c r="R35" i="25"/>
  <c r="S35" i="25"/>
  <c r="T35" i="25"/>
  <c r="U35" i="25"/>
  <c r="Q36" i="25"/>
  <c r="R36" i="25"/>
  <c r="S36" i="25"/>
  <c r="T36" i="25"/>
  <c r="U36" i="25"/>
  <c r="Q37" i="25"/>
  <c r="R37" i="25"/>
  <c r="S37" i="25"/>
  <c r="T37" i="25"/>
  <c r="U37" i="25"/>
  <c r="S16" i="25"/>
  <c r="T16" i="25"/>
  <c r="U16" i="25"/>
  <c r="R16" i="25"/>
  <c r="Q16" i="25"/>
  <c r="K453" i="5"/>
  <c r="K454" i="5"/>
  <c r="L454" i="5"/>
  <c r="M454" i="5"/>
  <c r="N454" i="5"/>
  <c r="K455" i="5"/>
  <c r="J455" i="5" s="1"/>
  <c r="L455" i="5"/>
  <c r="M455" i="5"/>
  <c r="N455" i="5"/>
  <c r="O455" i="5" s="1"/>
  <c r="K456" i="5"/>
  <c r="M456" i="5" s="1"/>
  <c r="K457" i="5"/>
  <c r="L457" i="5"/>
  <c r="M457" i="5"/>
  <c r="O457" i="5"/>
  <c r="K458" i="5"/>
  <c r="L458" i="5"/>
  <c r="N458" i="5"/>
  <c r="K459" i="5"/>
  <c r="M459" i="5"/>
  <c r="N459" i="5"/>
  <c r="K460" i="5"/>
  <c r="J460" i="5" s="1"/>
  <c r="L460" i="5"/>
  <c r="M460" i="5"/>
  <c r="N460" i="5"/>
  <c r="O460" i="5"/>
  <c r="K461" i="5"/>
  <c r="N461" i="5" s="1"/>
  <c r="L461" i="5"/>
  <c r="K462" i="5"/>
  <c r="M462" i="5"/>
  <c r="N462" i="5"/>
  <c r="K463" i="5"/>
  <c r="L463" i="5"/>
  <c r="M463" i="5"/>
  <c r="O463" i="5"/>
  <c r="K464" i="5"/>
  <c r="J464" i="5" s="1"/>
  <c r="N464" i="5"/>
  <c r="K465" i="5"/>
  <c r="J465" i="5" s="1"/>
  <c r="K466" i="5"/>
  <c r="J466" i="5" s="1"/>
  <c r="L466" i="5"/>
  <c r="M466" i="5"/>
  <c r="N466" i="5"/>
  <c r="O466" i="5"/>
  <c r="K467" i="5"/>
  <c r="J467" i="5" s="1"/>
  <c r="L467" i="5"/>
  <c r="N467" i="5"/>
  <c r="K468" i="5"/>
  <c r="M468" i="5" s="1"/>
  <c r="K469" i="5"/>
  <c r="L469" i="5"/>
  <c r="M469" i="5"/>
  <c r="O469" i="5"/>
  <c r="K470" i="5"/>
  <c r="M470" i="5" s="1"/>
  <c r="L470" i="5"/>
  <c r="N470" i="5"/>
  <c r="K471" i="5"/>
  <c r="M471" i="5"/>
  <c r="N471" i="5"/>
  <c r="K472" i="5"/>
  <c r="J472" i="5" s="1"/>
  <c r="L472" i="5"/>
  <c r="M472" i="5"/>
  <c r="N472" i="5"/>
  <c r="O472" i="5"/>
  <c r="K473" i="5"/>
  <c r="N473" i="5" s="1"/>
  <c r="L473" i="5"/>
  <c r="K474" i="5"/>
  <c r="M474" i="5"/>
  <c r="N474" i="5"/>
  <c r="K475" i="5"/>
  <c r="L475" i="5"/>
  <c r="M475" i="5"/>
  <c r="O475" i="5"/>
  <c r="K476" i="5"/>
  <c r="J476" i="5" s="1"/>
  <c r="N476" i="5"/>
  <c r="K477" i="5"/>
  <c r="J477" i="5" s="1"/>
  <c r="K478" i="5"/>
  <c r="J478" i="5" s="1"/>
  <c r="L478" i="5"/>
  <c r="M478" i="5"/>
  <c r="N478" i="5"/>
  <c r="O478" i="5"/>
  <c r="K479" i="5"/>
  <c r="J479" i="5" s="1"/>
  <c r="L479" i="5"/>
  <c r="N479" i="5"/>
  <c r="K480" i="5"/>
  <c r="M480" i="5" s="1"/>
  <c r="K481" i="5"/>
  <c r="L481" i="5"/>
  <c r="M481" i="5"/>
  <c r="O481" i="5"/>
  <c r="K482" i="5"/>
  <c r="M482" i="5" s="1"/>
  <c r="L482" i="5"/>
  <c r="N482" i="5"/>
  <c r="K483" i="5"/>
  <c r="M483" i="5"/>
  <c r="N483" i="5"/>
  <c r="K484" i="5"/>
  <c r="M484" i="5"/>
  <c r="N484" i="5"/>
  <c r="O484" i="5"/>
  <c r="K485" i="5"/>
  <c r="L485" i="5"/>
  <c r="K486" i="5"/>
  <c r="M486" i="5"/>
  <c r="N486" i="5"/>
  <c r="K487" i="5"/>
  <c r="L487" i="5"/>
  <c r="M487" i="5"/>
  <c r="O487" i="5"/>
  <c r="K488" i="5"/>
  <c r="J488" i="5" s="1"/>
  <c r="N488" i="5"/>
  <c r="K489" i="5"/>
  <c r="J489" i="5" s="1"/>
  <c r="K490" i="5"/>
  <c r="J490" i="5" s="1"/>
  <c r="L490" i="5"/>
  <c r="M490" i="5"/>
  <c r="N490" i="5"/>
  <c r="O490" i="5"/>
  <c r="K491" i="5"/>
  <c r="N491" i="5"/>
  <c r="K492" i="5"/>
  <c r="M492" i="5" s="1"/>
  <c r="K493" i="5"/>
  <c r="L493" i="5" s="1"/>
  <c r="M493" i="5"/>
  <c r="O493" i="5"/>
  <c r="K494" i="5"/>
  <c r="N494" i="5"/>
  <c r="K495" i="5"/>
  <c r="M495" i="5"/>
  <c r="N495" i="5"/>
  <c r="K496" i="5"/>
  <c r="N496" i="5"/>
  <c r="O496" i="5"/>
  <c r="K497" i="5"/>
  <c r="J497" i="5" s="1"/>
  <c r="L497" i="5"/>
  <c r="K498" i="5"/>
  <c r="J498" i="5" s="1"/>
  <c r="M498" i="5"/>
  <c r="N498" i="5"/>
  <c r="K499" i="5"/>
  <c r="L499" i="5"/>
  <c r="M499" i="5"/>
  <c r="O499" i="5"/>
  <c r="K500" i="5"/>
  <c r="J500" i="5" s="1"/>
  <c r="N500" i="5"/>
  <c r="T1229" i="2"/>
  <c r="U1229" i="2"/>
  <c r="V1229" i="2"/>
  <c r="Y1229" i="2"/>
  <c r="Z1229" i="2"/>
  <c r="AA1229" i="2"/>
  <c r="AB1229" i="2"/>
  <c r="AC1229" i="2"/>
  <c r="AE1229" i="2"/>
  <c r="AF1229" i="2"/>
  <c r="AG1229" i="2"/>
  <c r="AR1229" i="2"/>
  <c r="AT1229" i="2"/>
  <c r="T1230" i="2"/>
  <c r="U1230" i="2"/>
  <c r="V1230" i="2"/>
  <c r="Y1230" i="2"/>
  <c r="Z1230" i="2"/>
  <c r="AA1230" i="2"/>
  <c r="AB1230" i="2"/>
  <c r="AC1230" i="2"/>
  <c r="AE1230" i="2"/>
  <c r="AF1230" i="2"/>
  <c r="AG1230" i="2"/>
  <c r="AK1230" i="2"/>
  <c r="AR1230" i="2"/>
  <c r="AT1230" i="2"/>
  <c r="T1231" i="2"/>
  <c r="U1231" i="2"/>
  <c r="V1231" i="2"/>
  <c r="Y1231" i="2"/>
  <c r="Z1231" i="2"/>
  <c r="AA1231" i="2"/>
  <c r="AB1231" i="2"/>
  <c r="AC1231" i="2"/>
  <c r="AE1231" i="2"/>
  <c r="AF1231" i="2"/>
  <c r="AG1231" i="2"/>
  <c r="AH1231" i="2"/>
  <c r="AK1231" i="2"/>
  <c r="AM1231" i="2" s="1"/>
  <c r="AL1231" i="2"/>
  <c r="AN1231" i="2"/>
  <c r="AR1231" i="2"/>
  <c r="AT1231" i="2"/>
  <c r="T1232" i="2"/>
  <c r="U1232" i="2"/>
  <c r="V1232" i="2"/>
  <c r="Y1232" i="2"/>
  <c r="Z1232" i="2"/>
  <c r="AA1232" i="2"/>
  <c r="AB1232" i="2"/>
  <c r="AC1232" i="2"/>
  <c r="AE1232" i="2"/>
  <c r="AF1232" i="2"/>
  <c r="AG1232" i="2"/>
  <c r="AL1232" i="2" s="1"/>
  <c r="AH1232" i="2"/>
  <c r="AI1232" i="2"/>
  <c r="AJ1232" i="2" s="1"/>
  <c r="AK1232" i="2"/>
  <c r="AR1232" i="2"/>
  <c r="AT1232" i="2"/>
  <c r="T1233" i="2"/>
  <c r="U1233" i="2"/>
  <c r="V1233" i="2"/>
  <c r="Y1233" i="2"/>
  <c r="Z1233" i="2"/>
  <c r="AA1233" i="2"/>
  <c r="AB1233" i="2"/>
  <c r="AC1233" i="2"/>
  <c r="AE1233" i="2"/>
  <c r="AF1233" i="2"/>
  <c r="AG1233" i="2"/>
  <c r="AH1233" i="2"/>
  <c r="AI1233" i="2"/>
  <c r="AJ1233" i="2" s="1"/>
  <c r="AK1233" i="2"/>
  <c r="AM1233" i="2" s="1"/>
  <c r="AL1233" i="2"/>
  <c r="AN1233" i="2"/>
  <c r="AR1233" i="2"/>
  <c r="AT1233" i="2"/>
  <c r="T1234" i="2"/>
  <c r="U1234" i="2"/>
  <c r="V1234" i="2"/>
  <c r="Y1234" i="2"/>
  <c r="Z1234" i="2"/>
  <c r="AA1234" i="2"/>
  <c r="AB1234" i="2"/>
  <c r="AC1234" i="2"/>
  <c r="AD1234" i="2" s="1"/>
  <c r="AE1234" i="2"/>
  <c r="AF1234" i="2"/>
  <c r="AG1234" i="2"/>
  <c r="AH1234" i="2"/>
  <c r="AI1234" i="2" s="1"/>
  <c r="AJ1234" i="2" s="1"/>
  <c r="AK1234" i="2"/>
  <c r="AL1234" i="2"/>
  <c r="AR1234" i="2"/>
  <c r="AT1234" i="2"/>
  <c r="T1235" i="2"/>
  <c r="U1235" i="2"/>
  <c r="V1235" i="2"/>
  <c r="Y1235" i="2"/>
  <c r="Z1235" i="2"/>
  <c r="AA1235" i="2"/>
  <c r="AB1235" i="2"/>
  <c r="AC1235" i="2"/>
  <c r="AD1235" i="2" s="1"/>
  <c r="AE1235" i="2"/>
  <c r="AF1235" i="2"/>
  <c r="AG1235" i="2"/>
  <c r="AH1235" i="2"/>
  <c r="AK1235" i="2"/>
  <c r="AM1235" i="2" s="1"/>
  <c r="AL1235" i="2"/>
  <c r="AN1235" i="2"/>
  <c r="AR1235" i="2"/>
  <c r="AT1235" i="2"/>
  <c r="T1236" i="2"/>
  <c r="U1236" i="2"/>
  <c r="V1236" i="2"/>
  <c r="Y1236" i="2"/>
  <c r="Z1236" i="2"/>
  <c r="AA1236" i="2"/>
  <c r="AB1236" i="2"/>
  <c r="AC1236" i="2"/>
  <c r="AE1236" i="2"/>
  <c r="AF1236" i="2"/>
  <c r="AG1236" i="2"/>
  <c r="AH1236" i="2"/>
  <c r="AI1236" i="2"/>
  <c r="AJ1236" i="2" s="1"/>
  <c r="AK1236" i="2"/>
  <c r="AL1236" i="2"/>
  <c r="AR1236" i="2"/>
  <c r="AT1236" i="2"/>
  <c r="T1237" i="2"/>
  <c r="U1237" i="2"/>
  <c r="V1237" i="2"/>
  <c r="Y1237" i="2"/>
  <c r="Z1237" i="2"/>
  <c r="AA1237" i="2"/>
  <c r="AB1237" i="2"/>
  <c r="AC1237" i="2"/>
  <c r="AE1237" i="2"/>
  <c r="AF1237" i="2"/>
  <c r="AG1237" i="2"/>
  <c r="AH1237" i="2"/>
  <c r="AK1237" i="2"/>
  <c r="AM1237" i="2" s="1"/>
  <c r="AL1237" i="2"/>
  <c r="AN1237" i="2"/>
  <c r="AR1237" i="2"/>
  <c r="AT1237" i="2"/>
  <c r="T1238" i="2"/>
  <c r="U1238" i="2"/>
  <c r="V1238" i="2"/>
  <c r="Y1238" i="2"/>
  <c r="Z1238" i="2"/>
  <c r="AA1238" i="2"/>
  <c r="AB1238" i="2"/>
  <c r="AC1238" i="2"/>
  <c r="AD1238" i="2"/>
  <c r="AE1238" i="2"/>
  <c r="AF1238" i="2"/>
  <c r="AG1238" i="2"/>
  <c r="AH1238" i="2"/>
  <c r="AK1238" i="2"/>
  <c r="AL1238" i="2"/>
  <c r="AO1238" i="2"/>
  <c r="AP1238" i="2" s="1"/>
  <c r="AR1238" i="2"/>
  <c r="AT1238" i="2"/>
  <c r="T1239" i="2"/>
  <c r="U1239" i="2"/>
  <c r="V1239" i="2"/>
  <c r="Y1239" i="2"/>
  <c r="Z1239" i="2"/>
  <c r="AA1239" i="2"/>
  <c r="AB1239" i="2"/>
  <c r="AC1239" i="2"/>
  <c r="AE1239" i="2"/>
  <c r="AF1239" i="2"/>
  <c r="AG1239" i="2"/>
  <c r="AH1239" i="2"/>
  <c r="AI1239" i="2"/>
  <c r="AJ1239" i="2" s="1"/>
  <c r="AK1239" i="2"/>
  <c r="AM1239" i="2" s="1"/>
  <c r="AL1239" i="2"/>
  <c r="AN1239" i="2"/>
  <c r="AR1239" i="2"/>
  <c r="AT1239" i="2"/>
  <c r="T1240" i="2"/>
  <c r="U1240" i="2"/>
  <c r="V1240" i="2"/>
  <c r="Y1240" i="2"/>
  <c r="Z1240" i="2"/>
  <c r="AA1240" i="2"/>
  <c r="AB1240" i="2"/>
  <c r="AC1240" i="2"/>
  <c r="AE1240" i="2"/>
  <c r="AF1240" i="2"/>
  <c r="AG1240" i="2"/>
  <c r="AH1240" i="2"/>
  <c r="AI1240" i="2"/>
  <c r="AJ1240" i="2" s="1"/>
  <c r="AR1240" i="2"/>
  <c r="AT1240" i="2"/>
  <c r="T1241" i="2"/>
  <c r="U1241" i="2"/>
  <c r="V1241" i="2"/>
  <c r="Y1241" i="2"/>
  <c r="Z1241" i="2"/>
  <c r="AA1241" i="2"/>
  <c r="AB1241" i="2"/>
  <c r="AC1241" i="2"/>
  <c r="AE1241" i="2"/>
  <c r="AF1241" i="2"/>
  <c r="AG1241" i="2"/>
  <c r="AH1241" i="2"/>
  <c r="AI1241" i="2"/>
  <c r="AJ1241" i="2" s="1"/>
  <c r="AK1241" i="2"/>
  <c r="AM1241" i="2" s="1"/>
  <c r="AL1241" i="2"/>
  <c r="AN1241" i="2"/>
  <c r="AR1241" i="2"/>
  <c r="AT1241" i="2"/>
  <c r="T1242" i="2"/>
  <c r="U1242" i="2"/>
  <c r="V1242" i="2"/>
  <c r="Y1242" i="2"/>
  <c r="Z1242" i="2"/>
  <c r="AA1242" i="2"/>
  <c r="AB1242" i="2"/>
  <c r="AC1242" i="2"/>
  <c r="AE1242" i="2"/>
  <c r="AF1242" i="2"/>
  <c r="AG1242" i="2"/>
  <c r="AM1242" i="2" s="1"/>
  <c r="AH1242" i="2"/>
  <c r="AI1242" i="2"/>
  <c r="AJ1242" i="2" s="1"/>
  <c r="AK1242" i="2"/>
  <c r="AL1242" i="2"/>
  <c r="AR1242" i="2"/>
  <c r="AT1242" i="2"/>
  <c r="T1243" i="2"/>
  <c r="U1243" i="2"/>
  <c r="V1243" i="2"/>
  <c r="Y1243" i="2"/>
  <c r="Z1243" i="2"/>
  <c r="AA1243" i="2"/>
  <c r="AB1243" i="2"/>
  <c r="AC1243" i="2"/>
  <c r="AD1243" i="2"/>
  <c r="AE1243" i="2"/>
  <c r="AF1243" i="2"/>
  <c r="AG1243" i="2"/>
  <c r="AH1243" i="2"/>
  <c r="AI1243" i="2"/>
  <c r="AJ1243" i="2" s="1"/>
  <c r="AK1243" i="2"/>
  <c r="AM1243" i="2" s="1"/>
  <c r="AL1243" i="2"/>
  <c r="AN1243" i="2"/>
  <c r="AO1243" i="2"/>
  <c r="AP1243" i="2" s="1"/>
  <c r="AR1243" i="2"/>
  <c r="AT1243" i="2"/>
  <c r="T1244" i="2"/>
  <c r="U1244" i="2"/>
  <c r="U1245" i="2" s="1"/>
  <c r="V1244" i="2"/>
  <c r="V1245" i="2" s="1"/>
  <c r="Y1244" i="2"/>
  <c r="Z1244" i="2"/>
  <c r="Z1245" i="2" s="1"/>
  <c r="AA1244" i="2"/>
  <c r="AB1244" i="2"/>
  <c r="AC1244" i="2"/>
  <c r="AE1244" i="2"/>
  <c r="AF1244" i="2"/>
  <c r="AG1244" i="2"/>
  <c r="AH1244" i="2"/>
  <c r="AI1244" i="2"/>
  <c r="AJ1244" i="2"/>
  <c r="AK1244" i="2"/>
  <c r="AL1244" i="2"/>
  <c r="AR1244" i="2"/>
  <c r="AT1244" i="2"/>
  <c r="T1245" i="2"/>
  <c r="Y1245" i="2"/>
  <c r="AA1245" i="2"/>
  <c r="AB1245" i="2"/>
  <c r="AC1245" i="2"/>
  <c r="AE1245" i="2"/>
  <c r="AF1245" i="2"/>
  <c r="AR1245" i="2"/>
  <c r="AT1245" i="2"/>
  <c r="T1246" i="2"/>
  <c r="U1246" i="2"/>
  <c r="V1246" i="2"/>
  <c r="Y1246" i="2"/>
  <c r="Z1246" i="2"/>
  <c r="AA1246" i="2"/>
  <c r="AB1246" i="2"/>
  <c r="AC1246" i="2"/>
  <c r="AE1246" i="2"/>
  <c r="AF1246" i="2"/>
  <c r="AG1246" i="2"/>
  <c r="AH1246" i="2"/>
  <c r="AK1246" i="2"/>
  <c r="AL1246" i="2"/>
  <c r="AR1246" i="2"/>
  <c r="AT1246" i="2"/>
  <c r="T1247" i="2"/>
  <c r="U1247" i="2"/>
  <c r="V1247" i="2"/>
  <c r="Y1247" i="2"/>
  <c r="Z1247" i="2"/>
  <c r="AA1247" i="2"/>
  <c r="AB1247" i="2"/>
  <c r="AC1247" i="2"/>
  <c r="AE1247" i="2"/>
  <c r="AF1247" i="2"/>
  <c r="AG1247" i="2"/>
  <c r="AH1247" i="2"/>
  <c r="AI1247" i="2"/>
  <c r="AJ1247" i="2" s="1"/>
  <c r="AK1247" i="2"/>
  <c r="AM1247" i="2" s="1"/>
  <c r="AL1247" i="2"/>
  <c r="AN1247" i="2"/>
  <c r="AR1247" i="2"/>
  <c r="AT1247" i="2"/>
  <c r="T1248" i="2"/>
  <c r="U1248" i="2"/>
  <c r="V1248" i="2"/>
  <c r="Y1248" i="2"/>
  <c r="Z1248" i="2"/>
  <c r="AA1248" i="2"/>
  <c r="AB1248" i="2"/>
  <c r="AC1248" i="2"/>
  <c r="X1248" i="2" s="1"/>
  <c r="AE1248" i="2"/>
  <c r="AF1248" i="2"/>
  <c r="AG1248" i="2"/>
  <c r="AH1248" i="2"/>
  <c r="AI1248" i="2"/>
  <c r="AJ1248" i="2" s="1"/>
  <c r="AK1248" i="2"/>
  <c r="AL1248" i="2"/>
  <c r="AR1248" i="2"/>
  <c r="AT1248" i="2"/>
  <c r="T1249" i="2"/>
  <c r="U1249" i="2"/>
  <c r="V1249" i="2"/>
  <c r="Y1249" i="2"/>
  <c r="Z1249" i="2"/>
  <c r="AA1249" i="2"/>
  <c r="AB1249" i="2"/>
  <c r="AC1249" i="2"/>
  <c r="AE1249" i="2"/>
  <c r="AF1249" i="2"/>
  <c r="AG1249" i="2"/>
  <c r="AR1249" i="2"/>
  <c r="AT1249" i="2"/>
  <c r="T1250" i="2"/>
  <c r="U1250" i="2"/>
  <c r="V1250" i="2"/>
  <c r="Y1250" i="2"/>
  <c r="Z1250" i="2"/>
  <c r="AA1250" i="2"/>
  <c r="AB1250" i="2"/>
  <c r="AC1250" i="2"/>
  <c r="AO1250" i="2" s="1"/>
  <c r="AP1250" i="2" s="1"/>
  <c r="AE1250" i="2"/>
  <c r="AF1250" i="2"/>
  <c r="AG1250" i="2"/>
  <c r="AN1250" i="2" s="1"/>
  <c r="AH1250" i="2"/>
  <c r="AI1250" i="2"/>
  <c r="AJ1250" i="2" s="1"/>
  <c r="AK1250" i="2"/>
  <c r="AL1250" i="2"/>
  <c r="AR1250" i="2"/>
  <c r="AT1250" i="2"/>
  <c r="T1251" i="2"/>
  <c r="U1251" i="2"/>
  <c r="V1251" i="2"/>
  <c r="Y1251" i="2"/>
  <c r="Z1251" i="2"/>
  <c r="AA1251" i="2"/>
  <c r="AB1251" i="2"/>
  <c r="AC1251" i="2"/>
  <c r="AE1251" i="2"/>
  <c r="AF1251" i="2"/>
  <c r="AG1251" i="2"/>
  <c r="AH1251" i="2" s="1"/>
  <c r="AK1251" i="2"/>
  <c r="AL1251" i="2"/>
  <c r="AN1251" i="2"/>
  <c r="AR1251" i="2"/>
  <c r="AT1251" i="2"/>
  <c r="T1252" i="2"/>
  <c r="U1252" i="2"/>
  <c r="V1252" i="2"/>
  <c r="Y1252" i="2"/>
  <c r="Z1252" i="2"/>
  <c r="AA1252" i="2"/>
  <c r="AB1252" i="2"/>
  <c r="AC1252" i="2"/>
  <c r="X1252" i="2" s="1"/>
  <c r="AE1252" i="2"/>
  <c r="AF1252" i="2"/>
  <c r="AG1252" i="2"/>
  <c r="AH1252" i="2"/>
  <c r="AI1252" i="2"/>
  <c r="AJ1252" i="2" s="1"/>
  <c r="AK1252" i="2"/>
  <c r="AL1252" i="2"/>
  <c r="AM1252" i="2"/>
  <c r="AR1252" i="2"/>
  <c r="AT1252" i="2"/>
  <c r="T1253" i="2"/>
  <c r="U1253" i="2"/>
  <c r="V1253" i="2"/>
  <c r="Y1253" i="2"/>
  <c r="Z1253" i="2"/>
  <c r="AA1253" i="2"/>
  <c r="AB1253" i="2"/>
  <c r="AC1253" i="2"/>
  <c r="AE1253" i="2"/>
  <c r="AF1253" i="2"/>
  <c r="AG1253" i="2"/>
  <c r="AH1253" i="2" s="1"/>
  <c r="AK1253" i="2"/>
  <c r="AL1253" i="2"/>
  <c r="AN1253" i="2"/>
  <c r="AR1253" i="2"/>
  <c r="AT1253" i="2"/>
  <c r="T1254" i="2"/>
  <c r="U1254" i="2"/>
  <c r="V1254" i="2"/>
  <c r="Y1254" i="2"/>
  <c r="Z1254" i="2"/>
  <c r="AA1254" i="2"/>
  <c r="AB1254" i="2"/>
  <c r="AC1254" i="2"/>
  <c r="AE1254" i="2"/>
  <c r="AF1254" i="2"/>
  <c r="AG1254" i="2"/>
  <c r="AN1254" i="2" s="1"/>
  <c r="AH1254" i="2"/>
  <c r="AI1254" i="2"/>
  <c r="AJ1254" i="2" s="1"/>
  <c r="AK1254" i="2"/>
  <c r="AL1254" i="2"/>
  <c r="AR1254" i="2"/>
  <c r="AT1254" i="2"/>
  <c r="T1255" i="2"/>
  <c r="U1255" i="2"/>
  <c r="V1255" i="2"/>
  <c r="Y1255" i="2"/>
  <c r="Z1255" i="2"/>
  <c r="AA1255" i="2"/>
  <c r="AB1255" i="2"/>
  <c r="AC1255" i="2"/>
  <c r="AD1255" i="2"/>
  <c r="AE1255" i="2"/>
  <c r="AF1255" i="2"/>
  <c r="AG1255" i="2"/>
  <c r="AH1255" i="2" s="1"/>
  <c r="AI1255" i="2"/>
  <c r="AK1255" i="2"/>
  <c r="AL1255" i="2"/>
  <c r="AO1255" i="2"/>
  <c r="AP1255" i="2" s="1"/>
  <c r="AR1255" i="2"/>
  <c r="AT1255" i="2"/>
  <c r="T1256" i="2"/>
  <c r="U1256" i="2"/>
  <c r="V1256" i="2"/>
  <c r="Y1256" i="2"/>
  <c r="Z1256" i="2"/>
  <c r="AA1256" i="2"/>
  <c r="AB1256" i="2"/>
  <c r="AC1256" i="2"/>
  <c r="X1256" i="2" s="1"/>
  <c r="AE1256" i="2"/>
  <c r="AF1256" i="2"/>
  <c r="AG1256" i="2"/>
  <c r="AH1256" i="2" s="1"/>
  <c r="AI1256" i="2"/>
  <c r="AK1256" i="2"/>
  <c r="AL1256" i="2"/>
  <c r="AM1256" i="2"/>
  <c r="AR1256" i="2"/>
  <c r="AT1256" i="2"/>
  <c r="T1257" i="2"/>
  <c r="U1257" i="2"/>
  <c r="V1257" i="2"/>
  <c r="Y1257" i="2"/>
  <c r="Z1257" i="2"/>
  <c r="AA1257" i="2"/>
  <c r="AB1257" i="2"/>
  <c r="AC1257" i="2"/>
  <c r="AE1257" i="2"/>
  <c r="AF1257" i="2"/>
  <c r="AG1257" i="2"/>
  <c r="AH1257" i="2" s="1"/>
  <c r="AK1257" i="2"/>
  <c r="AL1257" i="2"/>
  <c r="AN1257" i="2"/>
  <c r="AR1257" i="2"/>
  <c r="AT1257" i="2"/>
  <c r="T1258" i="2"/>
  <c r="U1258" i="2"/>
  <c r="V1258" i="2"/>
  <c r="Y1258" i="2"/>
  <c r="Z1258" i="2"/>
  <c r="AA1258" i="2"/>
  <c r="AB1258" i="2"/>
  <c r="AC1258" i="2"/>
  <c r="AD1258" i="2" s="1"/>
  <c r="AE1258" i="2"/>
  <c r="AF1258" i="2"/>
  <c r="AG1258" i="2"/>
  <c r="AH1258" i="2"/>
  <c r="AI1258" i="2"/>
  <c r="AJ1258" i="2" s="1"/>
  <c r="AK1258" i="2"/>
  <c r="AL1258" i="2"/>
  <c r="AM1258" i="2"/>
  <c r="AR1258" i="2"/>
  <c r="AT1258" i="2"/>
  <c r="T1259" i="2"/>
  <c r="U1259" i="2"/>
  <c r="V1259" i="2"/>
  <c r="Y1259" i="2"/>
  <c r="Z1259" i="2"/>
  <c r="AA1259" i="2"/>
  <c r="AB1259" i="2"/>
  <c r="AC1259" i="2"/>
  <c r="AE1259" i="2"/>
  <c r="AF1259" i="2"/>
  <c r="AG1259" i="2"/>
  <c r="AK1259" i="2"/>
  <c r="AL1259" i="2"/>
  <c r="AN1259" i="2"/>
  <c r="AR1259" i="2"/>
  <c r="AT1259" i="2"/>
  <c r="T1260" i="2"/>
  <c r="U1260" i="2"/>
  <c r="V1260" i="2"/>
  <c r="Y1260" i="2"/>
  <c r="Z1260" i="2"/>
  <c r="AA1260" i="2"/>
  <c r="AB1260" i="2"/>
  <c r="AC1260" i="2"/>
  <c r="AE1260" i="2"/>
  <c r="AF1260" i="2"/>
  <c r="AG1260" i="2"/>
  <c r="AN1260" i="2" s="1"/>
  <c r="AH1260" i="2"/>
  <c r="AI1260" i="2"/>
  <c r="AJ1260" i="2"/>
  <c r="AK1260" i="2"/>
  <c r="AL1260" i="2"/>
  <c r="AO1260" i="2"/>
  <c r="AR1260" i="2"/>
  <c r="AT1260" i="2"/>
  <c r="T1261" i="2"/>
  <c r="U1261" i="2"/>
  <c r="V1261" i="2"/>
  <c r="Y1261" i="2"/>
  <c r="Z1261" i="2"/>
  <c r="AA1261" i="2"/>
  <c r="AB1261" i="2"/>
  <c r="AC1261" i="2"/>
  <c r="AE1261" i="2"/>
  <c r="AF1261" i="2"/>
  <c r="AG1261" i="2"/>
  <c r="AH1261" i="2" s="1"/>
  <c r="AI1261" i="2"/>
  <c r="AJ1261" i="2" s="1"/>
  <c r="AK1261" i="2"/>
  <c r="AL1261" i="2"/>
  <c r="AR1261" i="2"/>
  <c r="AT1261" i="2"/>
  <c r="T1262" i="2"/>
  <c r="U1262" i="2"/>
  <c r="V1262" i="2"/>
  <c r="Y1262" i="2"/>
  <c r="Z1262" i="2"/>
  <c r="AA1262" i="2"/>
  <c r="AB1262" i="2"/>
  <c r="AC1262" i="2"/>
  <c r="AE1262" i="2"/>
  <c r="AF1262" i="2"/>
  <c r="AG1262" i="2"/>
  <c r="AN1262" i="2" s="1"/>
  <c r="AH1262" i="2"/>
  <c r="AI1262" i="2"/>
  <c r="AJ1262" i="2" s="1"/>
  <c r="AK1262" i="2"/>
  <c r="AL1262" i="2"/>
  <c r="AR1262" i="2"/>
  <c r="AT1262" i="2"/>
  <c r="T1263" i="2"/>
  <c r="U1263" i="2"/>
  <c r="V1263" i="2"/>
  <c r="Y1263" i="2"/>
  <c r="Z1263" i="2"/>
  <c r="AA1263" i="2"/>
  <c r="AB1263" i="2"/>
  <c r="AC1263" i="2"/>
  <c r="AE1263" i="2"/>
  <c r="AF1263" i="2"/>
  <c r="AG1263" i="2"/>
  <c r="AH1263" i="2" s="1"/>
  <c r="AK1263" i="2"/>
  <c r="AL1263" i="2"/>
  <c r="AN1263" i="2"/>
  <c r="AR1263" i="2"/>
  <c r="AT1263" i="2"/>
  <c r="T1264" i="2"/>
  <c r="T1265" i="2" s="1"/>
  <c r="U1264" i="2"/>
  <c r="V1264" i="2"/>
  <c r="V1265" i="2" s="1"/>
  <c r="Y1264" i="2"/>
  <c r="Z1264" i="2"/>
  <c r="AA1264" i="2"/>
  <c r="AA1265" i="2" s="1"/>
  <c r="AB1264" i="2"/>
  <c r="AC1264" i="2"/>
  <c r="AE1264" i="2"/>
  <c r="AF1264" i="2"/>
  <c r="AF1265" i="2" s="1"/>
  <c r="AG1264" i="2"/>
  <c r="AH1264" i="2"/>
  <c r="AI1264" i="2"/>
  <c r="AJ1264" i="2" s="1"/>
  <c r="AK1264" i="2"/>
  <c r="AL1264" i="2"/>
  <c r="AM1264" i="2"/>
  <c r="AR1264" i="2"/>
  <c r="AT1264" i="2"/>
  <c r="U1265" i="2"/>
  <c r="Y1265" i="2"/>
  <c r="Z1265" i="2"/>
  <c r="AB1265" i="2"/>
  <c r="AC1265" i="2"/>
  <c r="AE1265" i="2"/>
  <c r="AG1265" i="2"/>
  <c r="AH1265" i="2" s="1"/>
  <c r="AI1265" i="2" s="1"/>
  <c r="AK1265" i="2"/>
  <c r="AL1265" i="2"/>
  <c r="AR1265" i="2"/>
  <c r="AT1265" i="2"/>
  <c r="T1266" i="2"/>
  <c r="U1266" i="2"/>
  <c r="V1266" i="2"/>
  <c r="Y1266" i="2"/>
  <c r="Z1266" i="2"/>
  <c r="AA1266" i="2"/>
  <c r="AB1266" i="2"/>
  <c r="AC1266" i="2"/>
  <c r="AE1266" i="2"/>
  <c r="AF1266" i="2"/>
  <c r="AG1266" i="2"/>
  <c r="AN1266" i="2" s="1"/>
  <c r="AH1266" i="2"/>
  <c r="AI1266" i="2"/>
  <c r="AJ1266" i="2" s="1"/>
  <c r="AK1266" i="2"/>
  <c r="AL1266" i="2"/>
  <c r="AR1266" i="2"/>
  <c r="AT1266" i="2"/>
  <c r="T1267" i="2"/>
  <c r="U1267" i="2"/>
  <c r="V1267" i="2"/>
  <c r="Y1267" i="2"/>
  <c r="Z1267" i="2"/>
  <c r="AA1267" i="2"/>
  <c r="AB1267" i="2"/>
  <c r="AC1267" i="2"/>
  <c r="AE1267" i="2"/>
  <c r="AF1267" i="2"/>
  <c r="AG1267" i="2"/>
  <c r="AH1267" i="2" s="1"/>
  <c r="AK1267" i="2"/>
  <c r="AL1267" i="2"/>
  <c r="AN1267" i="2"/>
  <c r="AR1267" i="2"/>
  <c r="AT1267" i="2"/>
  <c r="T1268" i="2"/>
  <c r="U1268" i="2"/>
  <c r="V1268" i="2"/>
  <c r="Y1268" i="2"/>
  <c r="Z1268" i="2"/>
  <c r="AA1268" i="2"/>
  <c r="AB1268" i="2"/>
  <c r="AC1268" i="2"/>
  <c r="AE1268" i="2"/>
  <c r="AF1268" i="2"/>
  <c r="AG1268" i="2"/>
  <c r="AN1268" i="2" s="1"/>
  <c r="AH1268" i="2"/>
  <c r="AI1268" i="2"/>
  <c r="AJ1268" i="2" s="1"/>
  <c r="AK1268" i="2"/>
  <c r="AL1268" i="2"/>
  <c r="AR1268" i="2"/>
  <c r="AT1268" i="2"/>
  <c r="T1269" i="2"/>
  <c r="U1269" i="2"/>
  <c r="V1269" i="2"/>
  <c r="Y1269" i="2"/>
  <c r="Z1269" i="2"/>
  <c r="AA1269" i="2"/>
  <c r="AB1269" i="2"/>
  <c r="AC1269" i="2"/>
  <c r="AE1269" i="2"/>
  <c r="AF1269" i="2"/>
  <c r="AG1269" i="2"/>
  <c r="AR1269" i="2"/>
  <c r="AT1269" i="2"/>
  <c r="T1270" i="2"/>
  <c r="U1270" i="2"/>
  <c r="V1270" i="2"/>
  <c r="Y1270" i="2"/>
  <c r="Z1270" i="2"/>
  <c r="AA1270" i="2"/>
  <c r="AB1270" i="2"/>
  <c r="AC1270" i="2"/>
  <c r="AD1270" i="2"/>
  <c r="AE1270" i="2"/>
  <c r="AF1270" i="2"/>
  <c r="AG1270" i="2"/>
  <c r="AN1270" i="2" s="1"/>
  <c r="AH1270" i="2"/>
  <c r="AK1270" i="2"/>
  <c r="AL1270" i="2"/>
  <c r="AR1270" i="2"/>
  <c r="AT1270" i="2"/>
  <c r="T1271" i="2"/>
  <c r="U1271" i="2"/>
  <c r="V1271" i="2"/>
  <c r="Y1271" i="2"/>
  <c r="Z1271" i="2"/>
  <c r="AA1271" i="2"/>
  <c r="AB1271" i="2"/>
  <c r="AC1271" i="2"/>
  <c r="AE1271" i="2"/>
  <c r="AF1271" i="2"/>
  <c r="AG1271" i="2"/>
  <c r="AH1271" i="2" s="1"/>
  <c r="AI1271" i="2" s="1"/>
  <c r="AJ1271" i="2" s="1"/>
  <c r="AK1271" i="2"/>
  <c r="AL1271" i="2"/>
  <c r="AN1271" i="2"/>
  <c r="AR1271" i="2"/>
  <c r="AT1271" i="2"/>
  <c r="T1272" i="2"/>
  <c r="U1272" i="2"/>
  <c r="V1272" i="2"/>
  <c r="Y1272" i="2"/>
  <c r="Z1272" i="2"/>
  <c r="AA1272" i="2"/>
  <c r="AB1272" i="2"/>
  <c r="AC1272" i="2"/>
  <c r="AD1272" i="2" s="1"/>
  <c r="AE1272" i="2"/>
  <c r="AF1272" i="2"/>
  <c r="AG1272" i="2"/>
  <c r="AN1272" i="2" s="1"/>
  <c r="AH1272" i="2"/>
  <c r="AI1272" i="2"/>
  <c r="AJ1272" i="2"/>
  <c r="AK1272" i="2"/>
  <c r="AL1272" i="2"/>
  <c r="AR1272" i="2"/>
  <c r="AT1272" i="2"/>
  <c r="T1273" i="2"/>
  <c r="U1273" i="2"/>
  <c r="V1273" i="2"/>
  <c r="Y1273" i="2"/>
  <c r="Z1273" i="2"/>
  <c r="AA1273" i="2"/>
  <c r="AB1273" i="2"/>
  <c r="AC1273" i="2"/>
  <c r="AE1273" i="2"/>
  <c r="AF1273" i="2"/>
  <c r="AG1273" i="2"/>
  <c r="AH1273" i="2" s="1"/>
  <c r="AI1273" i="2"/>
  <c r="AK1273" i="2"/>
  <c r="AL1273" i="2"/>
  <c r="AR1273" i="2"/>
  <c r="AT1273" i="2"/>
  <c r="T1274" i="2"/>
  <c r="U1274" i="2"/>
  <c r="V1274" i="2"/>
  <c r="Y1274" i="2"/>
  <c r="Z1274" i="2"/>
  <c r="AA1274" i="2"/>
  <c r="AB1274" i="2"/>
  <c r="AC1274" i="2"/>
  <c r="AE1274" i="2"/>
  <c r="AF1274" i="2"/>
  <c r="AG1274" i="2"/>
  <c r="AH1274" i="2"/>
  <c r="AI1274" i="2"/>
  <c r="AJ1274" i="2" s="1"/>
  <c r="AK1274" i="2"/>
  <c r="AL1274" i="2"/>
  <c r="AM1274" i="2"/>
  <c r="AR1274" i="2"/>
  <c r="AT1274" i="2"/>
  <c r="T1275" i="2"/>
  <c r="U1275" i="2"/>
  <c r="V1275" i="2"/>
  <c r="Y1275" i="2"/>
  <c r="Z1275" i="2"/>
  <c r="AA1275" i="2"/>
  <c r="AB1275" i="2"/>
  <c r="AC1275" i="2"/>
  <c r="AD1275" i="2" s="1"/>
  <c r="AE1275" i="2"/>
  <c r="AF1275" i="2"/>
  <c r="AG1275" i="2"/>
  <c r="AH1275" i="2" s="1"/>
  <c r="AI1275" i="2"/>
  <c r="AJ1275" i="2" s="1"/>
  <c r="AK1275" i="2"/>
  <c r="AL1275" i="2"/>
  <c r="AO1275" i="2"/>
  <c r="AP1275" i="2" s="1"/>
  <c r="AR1275" i="2"/>
  <c r="AT1275" i="2"/>
  <c r="T1276" i="2"/>
  <c r="U1276" i="2"/>
  <c r="V1276" i="2"/>
  <c r="Y1276" i="2"/>
  <c r="Z1276" i="2"/>
  <c r="AA1276" i="2"/>
  <c r="AB1276" i="2"/>
  <c r="AC1276" i="2"/>
  <c r="AE1276" i="2"/>
  <c r="AF1276" i="2"/>
  <c r="AG1276" i="2"/>
  <c r="AN1276" i="2" s="1"/>
  <c r="AH1276" i="2"/>
  <c r="AK1276" i="2"/>
  <c r="AL1276" i="2"/>
  <c r="AR1276" i="2"/>
  <c r="AT1276" i="2"/>
  <c r="T1277" i="2"/>
  <c r="U1277" i="2"/>
  <c r="V1277" i="2"/>
  <c r="Y1277" i="2"/>
  <c r="Z1277" i="2"/>
  <c r="AA1277" i="2"/>
  <c r="AB1277" i="2"/>
  <c r="AC1277" i="2"/>
  <c r="X1277" i="2" s="1"/>
  <c r="AE1277" i="2"/>
  <c r="AF1277" i="2"/>
  <c r="AG1277" i="2"/>
  <c r="AH1277" i="2" s="1"/>
  <c r="AI1277" i="2"/>
  <c r="AK1277" i="2"/>
  <c r="AL1277" i="2"/>
  <c r="AR1277" i="2"/>
  <c r="AT1277" i="2"/>
  <c r="T1278" i="2"/>
  <c r="U1278" i="2"/>
  <c r="V1278" i="2"/>
  <c r="Y1278" i="2"/>
  <c r="Z1278" i="2"/>
  <c r="AA1278" i="2"/>
  <c r="AB1278" i="2"/>
  <c r="AC1278" i="2"/>
  <c r="AE1278" i="2"/>
  <c r="AF1278" i="2"/>
  <c r="AG1278" i="2"/>
  <c r="AN1278" i="2" s="1"/>
  <c r="AH1278" i="2"/>
  <c r="AK1278" i="2"/>
  <c r="AL1278" i="2"/>
  <c r="AR1278" i="2"/>
  <c r="AT1278" i="2"/>
  <c r="T1279" i="2"/>
  <c r="U1279" i="2"/>
  <c r="V1279" i="2"/>
  <c r="Y1279" i="2"/>
  <c r="Z1279" i="2"/>
  <c r="AA1279" i="2"/>
  <c r="AB1279" i="2"/>
  <c r="AC1279" i="2"/>
  <c r="AE1279" i="2"/>
  <c r="AF1279" i="2"/>
  <c r="AG1279" i="2"/>
  <c r="AH1279" i="2" s="1"/>
  <c r="AI1279" i="2"/>
  <c r="AK1279" i="2"/>
  <c r="AL1279" i="2"/>
  <c r="AR1279" i="2"/>
  <c r="AT1279" i="2"/>
  <c r="T1280" i="2"/>
  <c r="U1280" i="2"/>
  <c r="V1280" i="2"/>
  <c r="Y1280" i="2"/>
  <c r="Z1280" i="2"/>
  <c r="AA1280" i="2"/>
  <c r="AB1280" i="2"/>
  <c r="AC1280" i="2"/>
  <c r="AE1280" i="2"/>
  <c r="AF1280" i="2"/>
  <c r="AG1280" i="2"/>
  <c r="AN1280" i="2" s="1"/>
  <c r="AH1280" i="2"/>
  <c r="AK1280" i="2"/>
  <c r="AL1280" i="2"/>
  <c r="AR1280" i="2"/>
  <c r="AT1280" i="2"/>
  <c r="T1281" i="2"/>
  <c r="U1281" i="2"/>
  <c r="V1281" i="2"/>
  <c r="Y1281" i="2"/>
  <c r="Z1281" i="2"/>
  <c r="AA1281" i="2"/>
  <c r="AB1281" i="2"/>
  <c r="AC1281" i="2"/>
  <c r="AE1281" i="2"/>
  <c r="AF1281" i="2"/>
  <c r="AG1281" i="2"/>
  <c r="AH1281" i="2" s="1"/>
  <c r="AI1281" i="2" s="1"/>
  <c r="AJ1281" i="2" s="1"/>
  <c r="AK1281" i="2"/>
  <c r="AL1281" i="2"/>
  <c r="AN1281" i="2"/>
  <c r="AR1281" i="2"/>
  <c r="AT1281" i="2"/>
  <c r="T1282" i="2"/>
  <c r="U1282" i="2"/>
  <c r="V1282" i="2"/>
  <c r="V1283" i="2" s="1"/>
  <c r="Y1282" i="2"/>
  <c r="Z1282" i="2"/>
  <c r="AA1282" i="2"/>
  <c r="AA1283" i="2" s="1"/>
  <c r="AB1282" i="2"/>
  <c r="AC1282" i="2"/>
  <c r="AE1282" i="2"/>
  <c r="AF1282" i="2"/>
  <c r="AG1282" i="2"/>
  <c r="AN1282" i="2" s="1"/>
  <c r="AH1282" i="2"/>
  <c r="AI1282" i="2"/>
  <c r="AJ1282" i="2" s="1"/>
  <c r="AK1282" i="2"/>
  <c r="AL1282" i="2"/>
  <c r="AR1282" i="2"/>
  <c r="AT1282" i="2"/>
  <c r="U1283" i="2"/>
  <c r="Y1283" i="2"/>
  <c r="Z1283" i="2"/>
  <c r="AB1283" i="2"/>
  <c r="AC1283" i="2"/>
  <c r="AE1283" i="2"/>
  <c r="AF1283" i="2"/>
  <c r="AG1283" i="2"/>
  <c r="AH1283" i="2" s="1"/>
  <c r="AI1283" i="2"/>
  <c r="AJ1283" i="2" s="1"/>
  <c r="AK1283" i="2"/>
  <c r="AL1283" i="2"/>
  <c r="AN1283" i="2"/>
  <c r="AR1283" i="2"/>
  <c r="AT1283" i="2"/>
  <c r="T1284" i="2"/>
  <c r="U1284" i="2"/>
  <c r="V1284" i="2"/>
  <c r="Y1284" i="2"/>
  <c r="Z1284" i="2"/>
  <c r="AA1284" i="2"/>
  <c r="AB1284" i="2"/>
  <c r="AC1284" i="2"/>
  <c r="AE1284" i="2"/>
  <c r="AF1284" i="2"/>
  <c r="AG1284" i="2"/>
  <c r="AN1284" i="2" s="1"/>
  <c r="AH1284" i="2"/>
  <c r="AI1284" i="2"/>
  <c r="AJ1284" i="2" s="1"/>
  <c r="AK1284" i="2"/>
  <c r="AL1284" i="2"/>
  <c r="AR1284" i="2"/>
  <c r="AT1284" i="2"/>
  <c r="T1285" i="2"/>
  <c r="U1285" i="2"/>
  <c r="V1285" i="2"/>
  <c r="Y1285" i="2"/>
  <c r="Z1285" i="2"/>
  <c r="AA1285" i="2"/>
  <c r="AB1285" i="2"/>
  <c r="AC1285" i="2"/>
  <c r="AE1285" i="2"/>
  <c r="AF1285" i="2"/>
  <c r="AG1285" i="2"/>
  <c r="AH1285" i="2" s="1"/>
  <c r="AK1285" i="2"/>
  <c r="AL1285" i="2"/>
  <c r="AN1285" i="2"/>
  <c r="AR1285" i="2"/>
  <c r="AT1285" i="2"/>
  <c r="T1286" i="2"/>
  <c r="U1286" i="2"/>
  <c r="V1286" i="2"/>
  <c r="Y1286" i="2"/>
  <c r="Z1286" i="2"/>
  <c r="AA1286" i="2"/>
  <c r="AB1286" i="2"/>
  <c r="AC1286" i="2"/>
  <c r="AE1286" i="2"/>
  <c r="AF1286" i="2"/>
  <c r="AG1286" i="2"/>
  <c r="AK1286" i="2"/>
  <c r="AL1286" i="2"/>
  <c r="AR1286" i="2"/>
  <c r="AT1286" i="2"/>
  <c r="T1287" i="2"/>
  <c r="U1287" i="2"/>
  <c r="V1287" i="2"/>
  <c r="Y1287" i="2"/>
  <c r="Z1287" i="2"/>
  <c r="AA1287" i="2"/>
  <c r="AB1287" i="2"/>
  <c r="AC1287" i="2"/>
  <c r="AE1287" i="2"/>
  <c r="AF1287" i="2"/>
  <c r="AG1287" i="2"/>
  <c r="AH1287" i="2" s="1"/>
  <c r="AI1287" i="2"/>
  <c r="AJ1287" i="2" s="1"/>
  <c r="AK1287" i="2"/>
  <c r="AL1287" i="2"/>
  <c r="AN1287" i="2"/>
  <c r="AO1287" i="2"/>
  <c r="AR1287" i="2"/>
  <c r="AT1287" i="2"/>
  <c r="T1288" i="2"/>
  <c r="U1288" i="2"/>
  <c r="V1288" i="2"/>
  <c r="Y1288" i="2"/>
  <c r="Z1288" i="2"/>
  <c r="AA1288" i="2"/>
  <c r="AB1288" i="2"/>
  <c r="AC1288" i="2"/>
  <c r="W1288" i="2" s="1"/>
  <c r="AE1288" i="2"/>
  <c r="AF1288" i="2"/>
  <c r="AG1288" i="2"/>
  <c r="AN1288" i="2" s="1"/>
  <c r="AH1288" i="2"/>
  <c r="AI1288" i="2"/>
  <c r="AJ1288" i="2" s="1"/>
  <c r="AK1288" i="2"/>
  <c r="AL1288" i="2"/>
  <c r="AR1288" i="2"/>
  <c r="AT1288" i="2"/>
  <c r="T1289" i="2"/>
  <c r="U1289" i="2"/>
  <c r="V1289" i="2"/>
  <c r="Y1289" i="2"/>
  <c r="Z1289" i="2"/>
  <c r="AA1289" i="2"/>
  <c r="AB1289" i="2"/>
  <c r="AC1289" i="2"/>
  <c r="AE1289" i="2"/>
  <c r="AF1289" i="2"/>
  <c r="AG1289" i="2"/>
  <c r="AH1289" i="2" s="1"/>
  <c r="AI1289" i="2"/>
  <c r="AJ1289" i="2" s="1"/>
  <c r="AK1289" i="2"/>
  <c r="AL1289" i="2"/>
  <c r="AN1289" i="2"/>
  <c r="AR1289" i="2"/>
  <c r="AT1289" i="2"/>
  <c r="T1290" i="2"/>
  <c r="U1290" i="2"/>
  <c r="V1290" i="2"/>
  <c r="Y1290" i="2"/>
  <c r="Z1290" i="2"/>
  <c r="AA1290" i="2"/>
  <c r="AB1290" i="2"/>
  <c r="AC1290" i="2"/>
  <c r="W1290" i="2" s="1"/>
  <c r="AE1290" i="2"/>
  <c r="AF1290" i="2"/>
  <c r="AG1290" i="2"/>
  <c r="AN1290" i="2" s="1"/>
  <c r="AH1290" i="2"/>
  <c r="AI1290" i="2"/>
  <c r="AJ1290" i="2" s="1"/>
  <c r="AK1290" i="2"/>
  <c r="AL1290" i="2"/>
  <c r="AR1290" i="2"/>
  <c r="AT1290" i="2"/>
  <c r="T1291" i="2"/>
  <c r="U1291" i="2"/>
  <c r="V1291" i="2"/>
  <c r="Y1291" i="2"/>
  <c r="Z1291" i="2"/>
  <c r="AA1291" i="2"/>
  <c r="AB1291" i="2"/>
  <c r="AC1291" i="2"/>
  <c r="AE1291" i="2"/>
  <c r="AF1291" i="2"/>
  <c r="AG1291" i="2"/>
  <c r="AH1291" i="2" s="1"/>
  <c r="AI1291" i="2"/>
  <c r="AJ1291" i="2" s="1"/>
  <c r="AK1291" i="2"/>
  <c r="AL1291" i="2"/>
  <c r="AN1291" i="2"/>
  <c r="AR1291" i="2"/>
  <c r="AT1291" i="2"/>
  <c r="T1292" i="2"/>
  <c r="U1292" i="2"/>
  <c r="V1292" i="2"/>
  <c r="Y1292" i="2"/>
  <c r="Z1292" i="2"/>
  <c r="AA1292" i="2"/>
  <c r="AB1292" i="2"/>
  <c r="AC1292" i="2"/>
  <c r="W1292" i="2" s="1"/>
  <c r="AE1292" i="2"/>
  <c r="AF1292" i="2"/>
  <c r="AG1292" i="2"/>
  <c r="AN1292" i="2" s="1"/>
  <c r="AH1292" i="2"/>
  <c r="AK1292" i="2"/>
  <c r="AL1292" i="2"/>
  <c r="AO1292" i="2"/>
  <c r="AP1292" i="2" s="1"/>
  <c r="AR1292" i="2"/>
  <c r="AT1292" i="2"/>
  <c r="T1293" i="2"/>
  <c r="U1293" i="2"/>
  <c r="V1293" i="2"/>
  <c r="Y1293" i="2"/>
  <c r="Z1293" i="2"/>
  <c r="AA1293" i="2"/>
  <c r="AB1293" i="2"/>
  <c r="AC1293" i="2"/>
  <c r="AE1293" i="2"/>
  <c r="AF1293" i="2"/>
  <c r="AG1293" i="2"/>
  <c r="AH1293" i="2" s="1"/>
  <c r="AK1293" i="2"/>
  <c r="AL1293" i="2"/>
  <c r="AN1293" i="2"/>
  <c r="AR1293" i="2"/>
  <c r="AT1293" i="2"/>
  <c r="T1294" i="2"/>
  <c r="U1294" i="2"/>
  <c r="V1294" i="2"/>
  <c r="Y1294" i="2"/>
  <c r="Z1294" i="2"/>
  <c r="AA1294" i="2"/>
  <c r="AB1294" i="2"/>
  <c r="AC1294" i="2"/>
  <c r="AE1294" i="2"/>
  <c r="AF1294" i="2"/>
  <c r="AG1294" i="2"/>
  <c r="AN1294" i="2" s="1"/>
  <c r="AH1294" i="2"/>
  <c r="AK1294" i="2"/>
  <c r="AL1294" i="2"/>
  <c r="AR1294" i="2"/>
  <c r="AT1294" i="2"/>
  <c r="T1295" i="2"/>
  <c r="U1295" i="2"/>
  <c r="V1295" i="2"/>
  <c r="Y1295" i="2"/>
  <c r="Z1295" i="2"/>
  <c r="AA1295" i="2"/>
  <c r="AB1295" i="2"/>
  <c r="AC1295" i="2"/>
  <c r="AE1295" i="2"/>
  <c r="AF1295" i="2"/>
  <c r="AG1295" i="2"/>
  <c r="AH1295" i="2" s="1"/>
  <c r="AI1295" i="2"/>
  <c r="AJ1295" i="2" s="1"/>
  <c r="AK1295" i="2"/>
  <c r="AL1295" i="2"/>
  <c r="AN1295" i="2"/>
  <c r="AR1295" i="2"/>
  <c r="AT1295" i="2"/>
  <c r="T1296" i="2"/>
  <c r="U1296" i="2"/>
  <c r="V1296" i="2"/>
  <c r="Y1296" i="2"/>
  <c r="Z1296" i="2"/>
  <c r="AA1296" i="2"/>
  <c r="AB1296" i="2"/>
  <c r="AC1296" i="2"/>
  <c r="AE1296" i="2"/>
  <c r="AF1296" i="2"/>
  <c r="AG1296" i="2"/>
  <c r="AN1296" i="2" s="1"/>
  <c r="AH1296" i="2"/>
  <c r="AK1296" i="2"/>
  <c r="AL1296" i="2"/>
  <c r="AR1296" i="2"/>
  <c r="AT1296" i="2"/>
  <c r="T1297" i="2"/>
  <c r="U1297" i="2"/>
  <c r="V1297" i="2"/>
  <c r="Y1297" i="2"/>
  <c r="Z1297" i="2"/>
  <c r="AA1297" i="2"/>
  <c r="AB1297" i="2"/>
  <c r="AC1297" i="2"/>
  <c r="AE1297" i="2"/>
  <c r="AF1297" i="2"/>
  <c r="AG1297" i="2"/>
  <c r="AH1297" i="2" s="1"/>
  <c r="AI1297" i="2"/>
  <c r="AJ1297" i="2"/>
  <c r="AK1297" i="2"/>
  <c r="AL1297" i="2"/>
  <c r="AO1297" i="2"/>
  <c r="AR1297" i="2"/>
  <c r="AT1297" i="2"/>
  <c r="T1298" i="2"/>
  <c r="U1298" i="2"/>
  <c r="V1298" i="2"/>
  <c r="Y1298" i="2"/>
  <c r="Z1298" i="2"/>
  <c r="AA1298" i="2"/>
  <c r="AB1298" i="2"/>
  <c r="AC1298" i="2"/>
  <c r="AE1298" i="2"/>
  <c r="AF1298" i="2"/>
  <c r="AG1298" i="2"/>
  <c r="AN1298" i="2" s="1"/>
  <c r="AH1298" i="2"/>
  <c r="AI1298" i="2"/>
  <c r="AJ1298" i="2" s="1"/>
  <c r="AK1298" i="2"/>
  <c r="AL1298" i="2"/>
  <c r="AR1298" i="2"/>
  <c r="AT1298" i="2"/>
  <c r="T1299" i="2"/>
  <c r="U1299" i="2"/>
  <c r="V1299" i="2"/>
  <c r="Y1299" i="2"/>
  <c r="Z1299" i="2"/>
  <c r="AA1299" i="2"/>
  <c r="AB1299" i="2"/>
  <c r="AC1299" i="2"/>
  <c r="AE1299" i="2"/>
  <c r="AF1299" i="2"/>
  <c r="AG1299" i="2"/>
  <c r="AH1299" i="2" s="1"/>
  <c r="AI1299" i="2"/>
  <c r="AJ1299" i="2" s="1"/>
  <c r="AK1299" i="2"/>
  <c r="AL1299" i="2"/>
  <c r="AN1299" i="2"/>
  <c r="AO1299" i="2"/>
  <c r="AP1299" i="2" s="1"/>
  <c r="AR1299" i="2"/>
  <c r="AT1299" i="2"/>
  <c r="T1300" i="2"/>
  <c r="U1300" i="2"/>
  <c r="V1300" i="2"/>
  <c r="Y1300" i="2"/>
  <c r="Z1300" i="2"/>
  <c r="AA1300" i="2"/>
  <c r="AB1300" i="2"/>
  <c r="AC1300" i="2"/>
  <c r="AE1300" i="2"/>
  <c r="AF1300" i="2"/>
  <c r="AG1300" i="2"/>
  <c r="AK1300" i="2"/>
  <c r="AL1300" i="2"/>
  <c r="AR1300" i="2"/>
  <c r="AT1300" i="2"/>
  <c r="T1301" i="2"/>
  <c r="U1301" i="2"/>
  <c r="V1301" i="2"/>
  <c r="Y1301" i="2"/>
  <c r="Z1301" i="2"/>
  <c r="AA1301" i="2"/>
  <c r="AB1301" i="2"/>
  <c r="AC1301" i="2"/>
  <c r="AD1301" i="2" s="1"/>
  <c r="AE1301" i="2"/>
  <c r="AF1301" i="2"/>
  <c r="AG1301" i="2"/>
  <c r="AH1301" i="2" s="1"/>
  <c r="AI1301" i="2" s="1"/>
  <c r="AJ1301" i="2" s="1"/>
  <c r="AK1301" i="2"/>
  <c r="AL1301" i="2"/>
  <c r="AN1301" i="2"/>
  <c r="AR1301" i="2"/>
  <c r="AT1301" i="2"/>
  <c r="T1302" i="2"/>
  <c r="U1302" i="2"/>
  <c r="V1302" i="2"/>
  <c r="Y1302" i="2"/>
  <c r="Z1302" i="2"/>
  <c r="AA1302" i="2"/>
  <c r="AB1302" i="2"/>
  <c r="AC1302" i="2"/>
  <c r="AE1302" i="2"/>
  <c r="AF1302" i="2"/>
  <c r="AG1302" i="2"/>
  <c r="AN1302" i="2" s="1"/>
  <c r="AH1302" i="2"/>
  <c r="AI1302" i="2" s="1"/>
  <c r="AJ1302" i="2" s="1"/>
  <c r="AK1302" i="2"/>
  <c r="AL1302" i="2"/>
  <c r="AR1302" i="2"/>
  <c r="AT1302" i="2"/>
  <c r="T1303" i="2"/>
  <c r="U1303" i="2"/>
  <c r="V1303" i="2"/>
  <c r="Y1303" i="2"/>
  <c r="Z1303" i="2"/>
  <c r="AA1303" i="2"/>
  <c r="AB1303" i="2"/>
  <c r="AC1303" i="2"/>
  <c r="AE1303" i="2"/>
  <c r="AF1303" i="2"/>
  <c r="AG1303" i="2"/>
  <c r="AH1303" i="2" s="1"/>
  <c r="AI1303" i="2"/>
  <c r="AJ1303" i="2" s="1"/>
  <c r="AK1303" i="2"/>
  <c r="AL1303" i="2"/>
  <c r="AR1303" i="2"/>
  <c r="AT1303" i="2"/>
  <c r="T1304" i="2"/>
  <c r="U1304" i="2"/>
  <c r="V1304" i="2"/>
  <c r="Y1304" i="2"/>
  <c r="Z1304" i="2"/>
  <c r="AA1304" i="2"/>
  <c r="AB1304" i="2"/>
  <c r="AC1304" i="2"/>
  <c r="AE1304" i="2"/>
  <c r="AF1304" i="2"/>
  <c r="AG1304" i="2"/>
  <c r="AK1304" i="2"/>
  <c r="AL1304" i="2"/>
  <c r="AR1304" i="2"/>
  <c r="AT1304" i="2"/>
  <c r="T1305" i="2"/>
  <c r="U1305" i="2"/>
  <c r="V1305" i="2"/>
  <c r="Y1305" i="2"/>
  <c r="Z1305" i="2"/>
  <c r="AA1305" i="2"/>
  <c r="AB1305" i="2"/>
  <c r="AC1305" i="2"/>
  <c r="AE1305" i="2"/>
  <c r="AF1305" i="2"/>
  <c r="AG1305" i="2"/>
  <c r="AR1305" i="2"/>
  <c r="AT1305" i="2"/>
  <c r="T1306" i="2"/>
  <c r="U1306" i="2"/>
  <c r="V1306" i="2"/>
  <c r="Y1306" i="2"/>
  <c r="Z1306" i="2"/>
  <c r="AA1306" i="2"/>
  <c r="AB1306" i="2"/>
  <c r="AC1306" i="2"/>
  <c r="W1306" i="2" s="1"/>
  <c r="AE1306" i="2"/>
  <c r="AF1306" i="2"/>
  <c r="AG1306" i="2"/>
  <c r="AH1306" i="2"/>
  <c r="AI1306" i="2"/>
  <c r="AK1306" i="2"/>
  <c r="AL1306" i="2"/>
  <c r="AM1306" i="2"/>
  <c r="AR1306" i="2"/>
  <c r="AT1306" i="2"/>
  <c r="T1307" i="2"/>
  <c r="U1307" i="2"/>
  <c r="V1307" i="2"/>
  <c r="Y1307" i="2"/>
  <c r="Z1307" i="2"/>
  <c r="AA1307" i="2"/>
  <c r="AB1307" i="2"/>
  <c r="AC1307" i="2"/>
  <c r="AE1307" i="2"/>
  <c r="AF1307" i="2"/>
  <c r="AG1307" i="2"/>
  <c r="AK1307" i="2"/>
  <c r="AL1307" i="2"/>
  <c r="AN1307" i="2"/>
  <c r="AR1307" i="2"/>
  <c r="AT1307" i="2"/>
  <c r="T1308" i="2"/>
  <c r="U1308" i="2"/>
  <c r="V1308" i="2"/>
  <c r="Y1308" i="2"/>
  <c r="Z1308" i="2"/>
  <c r="AA1308" i="2"/>
  <c r="AB1308" i="2"/>
  <c r="AC1308" i="2"/>
  <c r="AE1308" i="2"/>
  <c r="AF1308" i="2"/>
  <c r="AG1308" i="2"/>
  <c r="AH1308" i="2"/>
  <c r="AI1308" i="2"/>
  <c r="AK1308" i="2"/>
  <c r="AL1308" i="2"/>
  <c r="AM1308" i="2"/>
  <c r="AR1308" i="2"/>
  <c r="AT1308" i="2"/>
  <c r="T1309" i="2"/>
  <c r="U1309" i="2"/>
  <c r="V1309" i="2"/>
  <c r="Y1309" i="2"/>
  <c r="Z1309" i="2"/>
  <c r="AA1309" i="2"/>
  <c r="AB1309" i="2"/>
  <c r="AC1309" i="2"/>
  <c r="AE1309" i="2"/>
  <c r="AF1309" i="2"/>
  <c r="AG1309" i="2"/>
  <c r="AK1309" i="2"/>
  <c r="AL1309" i="2"/>
  <c r="AN1309" i="2"/>
  <c r="AR1309" i="2"/>
  <c r="AT1309" i="2"/>
  <c r="T1310" i="2"/>
  <c r="U1310" i="2"/>
  <c r="V1310" i="2"/>
  <c r="Y1310" i="2"/>
  <c r="Z1310" i="2"/>
  <c r="AA1310" i="2"/>
  <c r="AB1310" i="2"/>
  <c r="AC1310" i="2"/>
  <c r="AE1310" i="2"/>
  <c r="AF1310" i="2"/>
  <c r="AG1310" i="2"/>
  <c r="AN1310" i="2" s="1"/>
  <c r="AH1310" i="2"/>
  <c r="AI1310" i="2"/>
  <c r="AJ1310" i="2" s="1"/>
  <c r="AK1310" i="2"/>
  <c r="AL1310" i="2"/>
  <c r="AR1310" i="2"/>
  <c r="AT1310" i="2"/>
  <c r="T1311" i="2"/>
  <c r="U1311" i="2"/>
  <c r="V1311" i="2"/>
  <c r="Y1311" i="2"/>
  <c r="Z1311" i="2"/>
  <c r="AA1311" i="2"/>
  <c r="AB1311" i="2"/>
  <c r="AC1311" i="2"/>
  <c r="AO1311" i="2" s="1"/>
  <c r="AP1311" i="2" s="1"/>
  <c r="AE1311" i="2"/>
  <c r="AF1311" i="2"/>
  <c r="AG1311" i="2"/>
  <c r="AI1311" i="2" s="1"/>
  <c r="AR1311" i="2"/>
  <c r="AT1311" i="2"/>
  <c r="T1312" i="2"/>
  <c r="T1313" i="2" s="1"/>
  <c r="U1312" i="2"/>
  <c r="U1313" i="2" s="1"/>
  <c r="V1312" i="2"/>
  <c r="V1313" i="2" s="1"/>
  <c r="Y1312" i="2"/>
  <c r="Z1312" i="2"/>
  <c r="AA1312" i="2"/>
  <c r="AA1313" i="2" s="1"/>
  <c r="AB1312" i="2"/>
  <c r="AC1312" i="2"/>
  <c r="W1312" i="2" s="1"/>
  <c r="AE1312" i="2"/>
  <c r="AE1313" i="2" s="1"/>
  <c r="AF1312" i="2"/>
  <c r="AG1312" i="2"/>
  <c r="AK1312" i="2" s="1"/>
  <c r="AH1312" i="2"/>
  <c r="AM1312" i="2"/>
  <c r="AR1312" i="2"/>
  <c r="AT1312" i="2"/>
  <c r="Y1313" i="2"/>
  <c r="Z1313" i="2"/>
  <c r="AB1313" i="2"/>
  <c r="AC1313" i="2"/>
  <c r="AO1313" i="2" s="1"/>
  <c r="AF1313" i="2"/>
  <c r="AG1313" i="2"/>
  <c r="AH1313" i="2" s="1"/>
  <c r="AK1313" i="2"/>
  <c r="AL1313" i="2"/>
  <c r="AR1313" i="2"/>
  <c r="AT1313" i="2"/>
  <c r="T1314" i="2"/>
  <c r="U1314" i="2"/>
  <c r="V1314" i="2"/>
  <c r="Y1314" i="2"/>
  <c r="Z1314" i="2"/>
  <c r="AA1314" i="2"/>
  <c r="AB1314" i="2"/>
  <c r="AC1314" i="2"/>
  <c r="AD1314" i="2" s="1"/>
  <c r="AE1314" i="2"/>
  <c r="AF1314" i="2"/>
  <c r="AG1314" i="2"/>
  <c r="AH1314" i="2"/>
  <c r="AK1314" i="2"/>
  <c r="AO1314" i="2"/>
  <c r="AR1314" i="2"/>
  <c r="AT1314" i="2"/>
  <c r="T1315" i="2"/>
  <c r="U1315" i="2"/>
  <c r="V1315" i="2"/>
  <c r="Y1315" i="2"/>
  <c r="Z1315" i="2"/>
  <c r="AA1315" i="2"/>
  <c r="AB1315" i="2"/>
  <c r="AC1315" i="2"/>
  <c r="AE1315" i="2"/>
  <c r="AF1315" i="2"/>
  <c r="AG1315" i="2"/>
  <c r="AH1315" i="2" s="1"/>
  <c r="AI1315" i="2"/>
  <c r="AJ1315" i="2"/>
  <c r="AK1315" i="2"/>
  <c r="AL1315" i="2"/>
  <c r="AN1315" i="2" s="1"/>
  <c r="AM1315" i="2"/>
  <c r="AR1315" i="2"/>
  <c r="AT1315" i="2"/>
  <c r="T1316" i="2"/>
  <c r="U1316" i="2"/>
  <c r="V1316" i="2"/>
  <c r="Y1316" i="2"/>
  <c r="Z1316" i="2"/>
  <c r="AA1316" i="2"/>
  <c r="AB1316" i="2"/>
  <c r="AC1316" i="2"/>
  <c r="AE1316" i="2"/>
  <c r="AF1316" i="2"/>
  <c r="AG1316" i="2"/>
  <c r="AH1316" i="2"/>
  <c r="AI1316" i="2"/>
  <c r="AJ1316" i="2" s="1"/>
  <c r="AK1316" i="2"/>
  <c r="AM1316" i="2"/>
  <c r="AR1316" i="2"/>
  <c r="AT1316" i="2"/>
  <c r="T1317" i="2"/>
  <c r="U1317" i="2"/>
  <c r="V1317" i="2"/>
  <c r="Y1317" i="2"/>
  <c r="Z1317" i="2"/>
  <c r="AA1317" i="2"/>
  <c r="AB1317" i="2"/>
  <c r="AC1317" i="2"/>
  <c r="AE1317" i="2"/>
  <c r="AF1317" i="2"/>
  <c r="AG1317" i="2"/>
  <c r="AH1317" i="2" s="1"/>
  <c r="AI1317" i="2"/>
  <c r="AJ1317" i="2" s="1"/>
  <c r="AK1317" i="2"/>
  <c r="AL1317" i="2"/>
  <c r="AM1317" i="2"/>
  <c r="AR1317" i="2"/>
  <c r="AT1317" i="2"/>
  <c r="T1318" i="2"/>
  <c r="U1318" i="2"/>
  <c r="V1318" i="2"/>
  <c r="Y1318" i="2"/>
  <c r="Z1318" i="2"/>
  <c r="AA1318" i="2"/>
  <c r="AB1318" i="2"/>
  <c r="AC1318" i="2"/>
  <c r="AO1318" i="2" s="1"/>
  <c r="AP1318" i="2" s="1"/>
  <c r="AE1318" i="2"/>
  <c r="AF1318" i="2"/>
  <c r="AG1318" i="2"/>
  <c r="AR1318" i="2"/>
  <c r="AT1318" i="2"/>
  <c r="T1319" i="2"/>
  <c r="U1319" i="2"/>
  <c r="V1319" i="2"/>
  <c r="Y1319" i="2"/>
  <c r="Z1319" i="2"/>
  <c r="AA1319" i="2"/>
  <c r="AB1319" i="2"/>
  <c r="AC1319" i="2"/>
  <c r="AE1319" i="2"/>
  <c r="AF1319" i="2"/>
  <c r="AG1319" i="2"/>
  <c r="AH1319" i="2" s="1"/>
  <c r="AI1319" i="2" s="1"/>
  <c r="AJ1319" i="2" s="1"/>
  <c r="AK1319" i="2"/>
  <c r="AL1319" i="2"/>
  <c r="AR1319" i="2"/>
  <c r="AT1319" i="2"/>
  <c r="T1320" i="2"/>
  <c r="U1320" i="2"/>
  <c r="V1320" i="2"/>
  <c r="Y1320" i="2"/>
  <c r="Z1320" i="2"/>
  <c r="AA1320" i="2"/>
  <c r="AB1320" i="2"/>
  <c r="AC1320" i="2"/>
  <c r="AO1320" i="2" s="1"/>
  <c r="AP1320" i="2" s="1"/>
  <c r="AE1320" i="2"/>
  <c r="AF1320" i="2"/>
  <c r="AG1320" i="2"/>
  <c r="AN1320" i="2" s="1"/>
  <c r="AH1320" i="2"/>
  <c r="AI1320" i="2"/>
  <c r="AJ1320" i="2" s="1"/>
  <c r="AL1320" i="2"/>
  <c r="AR1320" i="2"/>
  <c r="AT1320" i="2"/>
  <c r="T1321" i="2"/>
  <c r="U1321" i="2"/>
  <c r="V1321" i="2"/>
  <c r="Y1321" i="2"/>
  <c r="Z1321" i="2"/>
  <c r="AA1321" i="2"/>
  <c r="AB1321" i="2"/>
  <c r="AC1321" i="2"/>
  <c r="AE1321" i="2"/>
  <c r="AF1321" i="2"/>
  <c r="AG1321" i="2"/>
  <c r="AH1321" i="2" s="1"/>
  <c r="AI1321" i="2"/>
  <c r="AJ1321" i="2" s="1"/>
  <c r="AK1321" i="2"/>
  <c r="AM1321" i="2" s="1"/>
  <c r="AR1321" i="2"/>
  <c r="AT1321" i="2"/>
  <c r="T1322" i="2"/>
  <c r="U1322" i="2"/>
  <c r="V1322" i="2"/>
  <c r="Y1322" i="2"/>
  <c r="Z1322" i="2"/>
  <c r="AA1322" i="2"/>
  <c r="AB1322" i="2"/>
  <c r="AC1322" i="2"/>
  <c r="AD1322" i="2" s="1"/>
  <c r="AE1322" i="2"/>
  <c r="AF1322" i="2"/>
  <c r="AG1322" i="2"/>
  <c r="AN1322" i="2" s="1"/>
  <c r="AR1322" i="2"/>
  <c r="AT1322" i="2"/>
  <c r="T1323" i="2"/>
  <c r="U1323" i="2"/>
  <c r="V1323" i="2"/>
  <c r="Y1323" i="2"/>
  <c r="Z1323" i="2"/>
  <c r="AA1323" i="2"/>
  <c r="AB1323" i="2"/>
  <c r="AC1323" i="2"/>
  <c r="AE1323" i="2"/>
  <c r="AF1323" i="2"/>
  <c r="AG1323" i="2"/>
  <c r="AH1323" i="2" s="1"/>
  <c r="AK1323" i="2"/>
  <c r="AL1323" i="2"/>
  <c r="AM1323" i="2"/>
  <c r="AO1323" i="2"/>
  <c r="AP1323" i="2" s="1"/>
  <c r="AR1323" i="2"/>
  <c r="AT1323" i="2"/>
  <c r="T1324" i="2"/>
  <c r="U1324" i="2"/>
  <c r="V1324" i="2"/>
  <c r="Y1324" i="2"/>
  <c r="Z1324" i="2"/>
  <c r="AA1324" i="2"/>
  <c r="AB1324" i="2"/>
  <c r="AC1324" i="2"/>
  <c r="AE1324" i="2"/>
  <c r="AF1324" i="2"/>
  <c r="AG1324" i="2"/>
  <c r="AN1324" i="2" s="1"/>
  <c r="AR1324" i="2"/>
  <c r="AT1324" i="2"/>
  <c r="T1325" i="2"/>
  <c r="U1325" i="2"/>
  <c r="V1325" i="2"/>
  <c r="Y1325" i="2"/>
  <c r="Z1325" i="2"/>
  <c r="AA1325" i="2"/>
  <c r="AB1325" i="2"/>
  <c r="AC1325" i="2"/>
  <c r="AE1325" i="2"/>
  <c r="AF1325" i="2"/>
  <c r="AG1325" i="2"/>
  <c r="AL1325" i="2"/>
  <c r="AM1325" i="2"/>
  <c r="AR1325" i="2"/>
  <c r="AT1325" i="2"/>
  <c r="T1326" i="2"/>
  <c r="U1326" i="2"/>
  <c r="V1326" i="2"/>
  <c r="Y1326" i="2"/>
  <c r="Z1326" i="2"/>
  <c r="AA1326" i="2"/>
  <c r="AB1326" i="2"/>
  <c r="AC1326" i="2"/>
  <c r="AO1326" i="2" s="1"/>
  <c r="AP1326" i="2" s="1"/>
  <c r="AE1326" i="2"/>
  <c r="AF1326" i="2"/>
  <c r="AG1326" i="2"/>
  <c r="AI1326" i="2" s="1"/>
  <c r="AH1326" i="2"/>
  <c r="AR1326" i="2"/>
  <c r="AT1326" i="2"/>
  <c r="T1327" i="2"/>
  <c r="U1327" i="2"/>
  <c r="V1327" i="2"/>
  <c r="Y1327" i="2"/>
  <c r="Z1327" i="2"/>
  <c r="AA1327" i="2"/>
  <c r="AB1327" i="2"/>
  <c r="AC1327" i="2"/>
  <c r="AE1327" i="2"/>
  <c r="AF1327" i="2"/>
  <c r="AG1327" i="2"/>
  <c r="AR1327" i="2"/>
  <c r="AT1327" i="2"/>
  <c r="T1328" i="2"/>
  <c r="U1328" i="2"/>
  <c r="V1328" i="2"/>
  <c r="Y1328" i="2"/>
  <c r="Z1328" i="2"/>
  <c r="AA1328" i="2"/>
  <c r="AB1328" i="2"/>
  <c r="AC1328" i="2"/>
  <c r="AE1328" i="2"/>
  <c r="AF1328" i="2"/>
  <c r="AG1328" i="2"/>
  <c r="AH1328" i="2"/>
  <c r="AO1328" i="2"/>
  <c r="AP1328" i="2" s="1"/>
  <c r="AR1328" i="2"/>
  <c r="AT1328" i="2"/>
  <c r="T1329" i="2"/>
  <c r="U1329" i="2"/>
  <c r="V1329" i="2"/>
  <c r="Y1329" i="2"/>
  <c r="Z1329" i="2"/>
  <c r="AA1329" i="2"/>
  <c r="AB1329" i="2"/>
  <c r="AC1329" i="2"/>
  <c r="AD1329" i="2"/>
  <c r="AE1329" i="2"/>
  <c r="AF1329" i="2"/>
  <c r="AG1329" i="2"/>
  <c r="AH1329" i="2"/>
  <c r="AK1329" i="2"/>
  <c r="AM1329" i="2" s="1"/>
  <c r="AL1329" i="2"/>
  <c r="AN1329" i="2"/>
  <c r="AO1329" i="2"/>
  <c r="AP1329" i="2"/>
  <c r="AR1329" i="2"/>
  <c r="AT1329" i="2"/>
  <c r="T1330" i="2"/>
  <c r="U1330" i="2"/>
  <c r="V1330" i="2"/>
  <c r="Y1330" i="2"/>
  <c r="Z1330" i="2"/>
  <c r="AA1330" i="2"/>
  <c r="AB1330" i="2"/>
  <c r="AC1330" i="2"/>
  <c r="AE1330" i="2"/>
  <c r="AF1330" i="2"/>
  <c r="AG1330" i="2"/>
  <c r="AH1330" i="2"/>
  <c r="AR1330" i="2"/>
  <c r="AT1330" i="2"/>
  <c r="T1331" i="2"/>
  <c r="U1331" i="2"/>
  <c r="V1331" i="2"/>
  <c r="Y1331" i="2"/>
  <c r="Z1331" i="2"/>
  <c r="AA1331" i="2"/>
  <c r="AB1331" i="2"/>
  <c r="AC1331" i="2"/>
  <c r="AD1331" i="2"/>
  <c r="AE1331" i="2"/>
  <c r="AF1331" i="2"/>
  <c r="AG1331" i="2"/>
  <c r="AH1331" i="2"/>
  <c r="AI1331" i="2"/>
  <c r="AJ1331" i="2" s="1"/>
  <c r="AK1331" i="2"/>
  <c r="AL1331" i="2"/>
  <c r="AM1331" i="2"/>
  <c r="AN1331" i="2"/>
  <c r="AO1331" i="2"/>
  <c r="AP1331" i="2"/>
  <c r="AR1331" i="2"/>
  <c r="AT1331" i="2"/>
  <c r="T1332" i="2"/>
  <c r="U1332" i="2"/>
  <c r="V1332" i="2"/>
  <c r="Y1332" i="2"/>
  <c r="Z1332" i="2"/>
  <c r="AA1332" i="2"/>
  <c r="AB1332" i="2"/>
  <c r="AC1332" i="2"/>
  <c r="AE1332" i="2"/>
  <c r="AF1332" i="2"/>
  <c r="AG1332" i="2"/>
  <c r="AH1332" i="2"/>
  <c r="AO1332" i="2"/>
  <c r="AP1332" i="2" s="1"/>
  <c r="AR1332" i="2"/>
  <c r="AT1332" i="2"/>
  <c r="T1333" i="2"/>
  <c r="U1333" i="2"/>
  <c r="V1333" i="2"/>
  <c r="Y1333" i="2"/>
  <c r="Z1333" i="2"/>
  <c r="AA1333" i="2"/>
  <c r="AB1333" i="2"/>
  <c r="AC1333" i="2"/>
  <c r="AD1333" i="2"/>
  <c r="AE1333" i="2"/>
  <c r="AF1333" i="2"/>
  <c r="AG1333" i="2"/>
  <c r="AH1333" i="2"/>
  <c r="AK1333" i="2"/>
  <c r="AM1333" i="2" s="1"/>
  <c r="AL1333" i="2"/>
  <c r="AN1333" i="2"/>
  <c r="AO1333" i="2"/>
  <c r="AP1333" i="2"/>
  <c r="AR1333" i="2"/>
  <c r="AT1333" i="2"/>
  <c r="T1334" i="2"/>
  <c r="U1334" i="2"/>
  <c r="V1334" i="2"/>
  <c r="Y1334" i="2"/>
  <c r="Z1334" i="2"/>
  <c r="AA1334" i="2"/>
  <c r="AB1334" i="2"/>
  <c r="AC1334" i="2"/>
  <c r="AE1334" i="2"/>
  <c r="AF1334" i="2"/>
  <c r="AG1334" i="2"/>
  <c r="AH1334" i="2"/>
  <c r="AO1334" i="2"/>
  <c r="AP1334" i="2" s="1"/>
  <c r="AR1334" i="2"/>
  <c r="AT1334" i="2"/>
  <c r="T1335" i="2"/>
  <c r="U1335" i="2"/>
  <c r="V1335" i="2"/>
  <c r="Y1335" i="2"/>
  <c r="Z1335" i="2"/>
  <c r="AA1335" i="2"/>
  <c r="AB1335" i="2"/>
  <c r="AC1335" i="2"/>
  <c r="AD1335" i="2"/>
  <c r="AE1335" i="2"/>
  <c r="AF1335" i="2"/>
  <c r="AG1335" i="2"/>
  <c r="AH1335" i="2"/>
  <c r="AI1335" i="2"/>
  <c r="AJ1335" i="2" s="1"/>
  <c r="AK1335" i="2"/>
  <c r="AL1335" i="2"/>
  <c r="AM1335" i="2"/>
  <c r="AO1335" i="2"/>
  <c r="AP1335" i="2"/>
  <c r="AR1335" i="2"/>
  <c r="AT1335" i="2"/>
  <c r="T1336" i="2"/>
  <c r="U1336" i="2"/>
  <c r="V1336" i="2"/>
  <c r="Y1336" i="2"/>
  <c r="Z1336" i="2"/>
  <c r="AA1336" i="2"/>
  <c r="AB1336" i="2"/>
  <c r="AC1336" i="2"/>
  <c r="AE1336" i="2"/>
  <c r="AF1336" i="2"/>
  <c r="AG1336" i="2"/>
  <c r="AK1336" i="2" s="1"/>
  <c r="AH1336" i="2"/>
  <c r="AO1336" i="2"/>
  <c r="AP1336" i="2" s="1"/>
  <c r="AR1336" i="2"/>
  <c r="AT1336" i="2"/>
  <c r="T1337" i="2"/>
  <c r="U1337" i="2"/>
  <c r="V1337" i="2"/>
  <c r="Y1337" i="2"/>
  <c r="Z1337" i="2"/>
  <c r="AA1337" i="2"/>
  <c r="AB1337" i="2"/>
  <c r="AC1337" i="2"/>
  <c r="AD1337" i="2"/>
  <c r="AE1337" i="2"/>
  <c r="AF1337" i="2"/>
  <c r="AG1337" i="2"/>
  <c r="AH1337" i="2"/>
  <c r="AI1337" i="2"/>
  <c r="AJ1337" i="2" s="1"/>
  <c r="AK1337" i="2"/>
  <c r="AL1337" i="2"/>
  <c r="AM1337" i="2"/>
  <c r="AO1337" i="2"/>
  <c r="AP1337" i="2"/>
  <c r="AR1337" i="2"/>
  <c r="AT1337" i="2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T2782" i="14"/>
  <c r="S2782" i="14" s="1"/>
  <c r="T2783" i="14"/>
  <c r="S2783" i="14" s="1"/>
  <c r="T2784" i="14"/>
  <c r="S2784" i="14" s="1"/>
  <c r="U2784" i="14"/>
  <c r="T2785" i="14"/>
  <c r="S2785" i="14" s="1"/>
  <c r="T2786" i="14"/>
  <c r="S2786" i="14" s="1"/>
  <c r="U2786" i="14"/>
  <c r="T2787" i="14"/>
  <c r="S2787" i="14" s="1"/>
  <c r="U2787" i="14"/>
  <c r="T2788" i="14"/>
  <c r="S2788" i="14" s="1"/>
  <c r="U2788" i="14"/>
  <c r="T2789" i="14"/>
  <c r="S2789" i="14" s="1"/>
  <c r="T2790" i="14"/>
  <c r="S2790" i="14" s="1"/>
  <c r="U2790" i="14"/>
  <c r="T2791" i="14"/>
  <c r="S2791" i="14" s="1"/>
  <c r="U2791" i="14"/>
  <c r="T2792" i="14"/>
  <c r="S2792" i="14" s="1"/>
  <c r="U2792" i="14"/>
  <c r="T2793" i="14"/>
  <c r="S2793" i="14" s="1"/>
  <c r="T2794" i="14"/>
  <c r="S2794" i="14" s="1"/>
  <c r="U2794" i="14"/>
  <c r="T2795" i="14"/>
  <c r="S2795" i="14" s="1"/>
  <c r="U2795" i="14"/>
  <c r="T2796" i="14"/>
  <c r="S2796" i="14" s="1"/>
  <c r="U2796" i="14"/>
  <c r="T2797" i="14"/>
  <c r="S2797" i="14" s="1"/>
  <c r="T2798" i="14"/>
  <c r="S2798" i="14" s="1"/>
  <c r="U2798" i="14"/>
  <c r="T2799" i="14"/>
  <c r="S2799" i="14" s="1"/>
  <c r="U2799" i="14"/>
  <c r="T2800" i="14"/>
  <c r="S2800" i="14" s="1"/>
  <c r="U2800" i="14"/>
  <c r="T2801" i="14"/>
  <c r="S2801" i="14" s="1"/>
  <c r="T2802" i="14"/>
  <c r="S2802" i="14" s="1"/>
  <c r="U2802" i="14"/>
  <c r="T2803" i="14"/>
  <c r="S2803" i="14" s="1"/>
  <c r="U2803" i="14"/>
  <c r="T2804" i="14"/>
  <c r="S2804" i="14" s="1"/>
  <c r="U2804" i="14"/>
  <c r="T2805" i="14"/>
  <c r="S2805" i="14" s="1"/>
  <c r="T2806" i="14"/>
  <c r="S2806" i="14" s="1"/>
  <c r="U2806" i="14"/>
  <c r="T2807" i="14"/>
  <c r="S2807" i="14" s="1"/>
  <c r="U2807" i="14"/>
  <c r="T2808" i="14"/>
  <c r="S2808" i="14" s="1"/>
  <c r="U2808" i="14"/>
  <c r="T2809" i="14"/>
  <c r="S2809" i="14" s="1"/>
  <c r="T2810" i="14"/>
  <c r="S2810" i="14" s="1"/>
  <c r="U2810" i="14"/>
  <c r="T2811" i="14"/>
  <c r="S2811" i="14" s="1"/>
  <c r="U2811" i="14"/>
  <c r="T2812" i="14"/>
  <c r="S2812" i="14" s="1"/>
  <c r="U2812" i="14"/>
  <c r="T2813" i="14"/>
  <c r="S2813" i="14" s="1"/>
  <c r="T2814" i="14"/>
  <c r="S2814" i="14" s="1"/>
  <c r="U2814" i="14"/>
  <c r="T2815" i="14"/>
  <c r="S2815" i="14" s="1"/>
  <c r="U2815" i="14"/>
  <c r="T2816" i="14"/>
  <c r="S2816" i="14" s="1"/>
  <c r="U2816" i="14"/>
  <c r="T2817" i="14"/>
  <c r="S2817" i="14" s="1"/>
  <c r="T2818" i="14"/>
  <c r="S2818" i="14" s="1"/>
  <c r="U2818" i="14"/>
  <c r="T2819" i="14"/>
  <c r="S2819" i="14" s="1"/>
  <c r="U2819" i="14"/>
  <c r="T2820" i="14"/>
  <c r="S2820" i="14" s="1"/>
  <c r="U2820" i="14"/>
  <c r="T2821" i="14"/>
  <c r="S2821" i="14" s="1"/>
  <c r="T2822" i="14"/>
  <c r="S2822" i="14" s="1"/>
  <c r="U2822" i="14"/>
  <c r="T2823" i="14"/>
  <c r="S2823" i="14" s="1"/>
  <c r="U2823" i="14"/>
  <c r="T2824" i="14"/>
  <c r="S2824" i="14" s="1"/>
  <c r="U2824" i="14"/>
  <c r="T2825" i="14"/>
  <c r="S2825" i="14" s="1"/>
  <c r="T2826" i="14"/>
  <c r="S2826" i="14" s="1"/>
  <c r="U2826" i="14"/>
  <c r="T2827" i="14"/>
  <c r="S2827" i="14" s="1"/>
  <c r="U2827" i="14"/>
  <c r="T2828" i="14"/>
  <c r="S2828" i="14" s="1"/>
  <c r="U2828" i="14"/>
  <c r="T2829" i="14"/>
  <c r="S2829" i="14" s="1"/>
  <c r="T2830" i="14"/>
  <c r="S2830" i="14" s="1"/>
  <c r="U2830" i="14"/>
  <c r="T2831" i="14"/>
  <c r="S2831" i="14" s="1"/>
  <c r="U2831" i="14"/>
  <c r="T2832" i="14"/>
  <c r="S2832" i="14" s="1"/>
  <c r="U2832" i="14"/>
  <c r="T2833" i="14"/>
  <c r="S2833" i="14" s="1"/>
  <c r="T2834" i="14"/>
  <c r="S2834" i="14" s="1"/>
  <c r="U2834" i="14"/>
  <c r="T2835" i="14"/>
  <c r="S2835" i="14" s="1"/>
  <c r="U2835" i="14"/>
  <c r="T2836" i="14"/>
  <c r="S2836" i="14" s="1"/>
  <c r="U2836" i="14"/>
  <c r="T2837" i="14"/>
  <c r="S2837" i="14" s="1"/>
  <c r="T2838" i="14"/>
  <c r="S2838" i="14" s="1"/>
  <c r="U2838" i="14"/>
  <c r="T2839" i="14"/>
  <c r="S2839" i="14" s="1"/>
  <c r="U2839" i="14"/>
  <c r="T2840" i="14"/>
  <c r="S2840" i="14" s="1"/>
  <c r="U2840" i="14"/>
  <c r="T2841" i="14"/>
  <c r="S2841" i="14" s="1"/>
  <c r="T2842" i="14"/>
  <c r="S2842" i="14" s="1"/>
  <c r="U2842" i="14"/>
  <c r="T2843" i="14"/>
  <c r="S2843" i="14" s="1"/>
  <c r="U2843" i="14"/>
  <c r="T2844" i="14"/>
  <c r="S2844" i="14" s="1"/>
  <c r="U2844" i="14"/>
  <c r="T2845" i="14"/>
  <c r="S2845" i="14" s="1"/>
  <c r="T2846" i="14"/>
  <c r="S2846" i="14" s="1"/>
  <c r="U2846" i="14"/>
  <c r="T2847" i="14"/>
  <c r="S2847" i="14" s="1"/>
  <c r="U2847" i="14"/>
  <c r="T2848" i="14"/>
  <c r="S2848" i="14" s="1"/>
  <c r="U2848" i="14"/>
  <c r="T2849" i="14"/>
  <c r="S2849" i="14" s="1"/>
  <c r="T2850" i="14"/>
  <c r="S2850" i="14" s="1"/>
  <c r="U2850" i="14"/>
  <c r="T2851" i="14"/>
  <c r="S2851" i="14" s="1"/>
  <c r="U2851" i="14"/>
  <c r="T2852" i="14"/>
  <c r="S2852" i="14" s="1"/>
  <c r="U2852" i="14"/>
  <c r="T2853" i="14"/>
  <c r="S2853" i="14" s="1"/>
  <c r="T2854" i="14"/>
  <c r="S2854" i="14" s="1"/>
  <c r="U2854" i="14"/>
  <c r="T2855" i="14"/>
  <c r="S2855" i="14" s="1"/>
  <c r="U2855" i="14"/>
  <c r="T2856" i="14"/>
  <c r="S2856" i="14" s="1"/>
  <c r="U2856" i="14"/>
  <c r="T2857" i="14"/>
  <c r="S2857" i="14" s="1"/>
  <c r="T2858" i="14"/>
  <c r="S2858" i="14" s="1"/>
  <c r="U2858" i="14"/>
  <c r="T2859" i="14"/>
  <c r="S2859" i="14" s="1"/>
  <c r="U2859" i="14"/>
  <c r="T2860" i="14"/>
  <c r="S2860" i="14" s="1"/>
  <c r="U2860" i="14"/>
  <c r="T2861" i="14"/>
  <c r="S2861" i="14" s="1"/>
  <c r="T2862" i="14"/>
  <c r="S2862" i="14" s="1"/>
  <c r="T2863" i="14"/>
  <c r="S2863" i="14" s="1"/>
  <c r="U2863" i="14"/>
  <c r="T2864" i="14"/>
  <c r="S2864" i="14" s="1"/>
  <c r="U2864" i="14"/>
  <c r="T2865" i="14"/>
  <c r="S2865" i="14" s="1"/>
  <c r="T2866" i="14"/>
  <c r="S2866" i="14" s="1"/>
  <c r="T2867" i="14"/>
  <c r="S2867" i="14" s="1"/>
  <c r="U2867" i="14"/>
  <c r="T2868" i="14"/>
  <c r="S2868" i="14" s="1"/>
  <c r="U2868" i="14"/>
  <c r="T2869" i="14"/>
  <c r="S2869" i="14" s="1"/>
  <c r="T2870" i="14"/>
  <c r="S2870" i="14" s="1"/>
  <c r="T2871" i="14"/>
  <c r="S2871" i="14" s="1"/>
  <c r="U2871" i="14"/>
  <c r="T2872" i="14"/>
  <c r="S2872" i="14" s="1"/>
  <c r="U2872" i="14"/>
  <c r="T2873" i="14"/>
  <c r="S2873" i="14" s="1"/>
  <c r="T2874" i="14"/>
  <c r="S2874" i="14" s="1"/>
  <c r="T2875" i="14"/>
  <c r="S2875" i="14" s="1"/>
  <c r="T2876" i="14"/>
  <c r="S2876" i="14" s="1"/>
  <c r="U2876" i="14"/>
  <c r="T2877" i="14"/>
  <c r="S2877" i="14" s="1"/>
  <c r="T2878" i="14"/>
  <c r="S2878" i="14" s="1"/>
  <c r="T2879" i="14"/>
  <c r="S2879" i="14" s="1"/>
  <c r="T2880" i="14"/>
  <c r="S2880" i="14" s="1"/>
  <c r="U2880" i="14"/>
  <c r="T2881" i="14"/>
  <c r="S2881" i="14" s="1"/>
  <c r="T2882" i="14"/>
  <c r="S2882" i="14" s="1"/>
  <c r="T2883" i="14"/>
  <c r="S2883" i="14" s="1"/>
  <c r="T2884" i="14"/>
  <c r="S2884" i="14" s="1"/>
  <c r="U2884" i="14"/>
  <c r="T2885" i="14"/>
  <c r="S2885" i="14" s="1"/>
  <c r="T2886" i="14"/>
  <c r="S2886" i="14" s="1"/>
  <c r="T2887" i="14"/>
  <c r="S2887" i="14" s="1"/>
  <c r="T2888" i="14"/>
  <c r="S2888" i="14" s="1"/>
  <c r="U2888" i="14"/>
  <c r="T2889" i="14"/>
  <c r="S2889" i="14" s="1"/>
  <c r="T2890" i="14"/>
  <c r="S2890" i="14" s="1"/>
  <c r="T2891" i="14"/>
  <c r="S2891" i="14" s="1"/>
  <c r="T2892" i="14"/>
  <c r="S2892" i="14" s="1"/>
  <c r="U2892" i="14"/>
  <c r="T2893" i="14"/>
  <c r="S2893" i="14" s="1"/>
  <c r="T2894" i="14"/>
  <c r="S2894" i="14" s="1"/>
  <c r="T2895" i="14"/>
  <c r="S2895" i="14" s="1"/>
  <c r="T2896" i="14"/>
  <c r="S2896" i="14" s="1"/>
  <c r="U2896" i="14"/>
  <c r="T2897" i="14"/>
  <c r="S2897" i="14" s="1"/>
  <c r="T2898" i="14"/>
  <c r="S2898" i="14" s="1"/>
  <c r="T2899" i="14"/>
  <c r="S2899" i="14" s="1"/>
  <c r="T2900" i="14"/>
  <c r="S2900" i="14" s="1"/>
  <c r="U2900" i="14"/>
  <c r="T2901" i="14"/>
  <c r="S2901" i="14" s="1"/>
  <c r="T2902" i="14"/>
  <c r="S2902" i="14" s="1"/>
  <c r="T2903" i="14"/>
  <c r="S2903" i="14" s="1"/>
  <c r="T2904" i="14"/>
  <c r="S2904" i="14" s="1"/>
  <c r="U2904" i="14"/>
  <c r="T2905" i="14"/>
  <c r="S2905" i="14" s="1"/>
  <c r="T2906" i="14"/>
  <c r="S2906" i="14" s="1"/>
  <c r="T2907" i="14"/>
  <c r="S2907" i="14" s="1"/>
  <c r="T2908" i="14"/>
  <c r="S2908" i="14" s="1"/>
  <c r="U2908" i="14"/>
  <c r="T2909" i="14"/>
  <c r="S2909" i="14" s="1"/>
  <c r="T2910" i="14"/>
  <c r="S2910" i="14" s="1"/>
  <c r="U2910" i="14"/>
  <c r="T2911" i="14"/>
  <c r="S2911" i="14" s="1"/>
  <c r="T2912" i="14"/>
  <c r="S2912" i="14" s="1"/>
  <c r="U2912" i="14"/>
  <c r="T2913" i="14"/>
  <c r="S2913" i="14" s="1"/>
  <c r="T2914" i="14"/>
  <c r="S2914" i="14" s="1"/>
  <c r="U2914" i="14"/>
  <c r="T2915" i="14"/>
  <c r="S2915" i="14" s="1"/>
  <c r="T2916" i="14"/>
  <c r="S2916" i="14" s="1"/>
  <c r="U2916" i="14"/>
  <c r="T2917" i="14"/>
  <c r="S2917" i="14" s="1"/>
  <c r="T2918" i="14"/>
  <c r="S2918" i="14" s="1"/>
  <c r="U2918" i="14"/>
  <c r="T2919" i="14"/>
  <c r="S2919" i="14" s="1"/>
  <c r="T2920" i="14"/>
  <c r="S2920" i="14" s="1"/>
  <c r="U2920" i="14"/>
  <c r="T2921" i="14"/>
  <c r="S2921" i="14" s="1"/>
  <c r="T2922" i="14"/>
  <c r="S2922" i="14" s="1"/>
  <c r="U2922" i="14"/>
  <c r="T2923" i="14"/>
  <c r="S2923" i="14" s="1"/>
  <c r="T2924" i="14"/>
  <c r="S2924" i="14" s="1"/>
  <c r="U2924" i="14"/>
  <c r="T2925" i="14"/>
  <c r="S2925" i="14" s="1"/>
  <c r="T2926" i="14"/>
  <c r="S2926" i="14" s="1"/>
  <c r="U2926" i="14"/>
  <c r="T2927" i="14"/>
  <c r="S2927" i="14" s="1"/>
  <c r="T2928" i="14"/>
  <c r="S2928" i="14" s="1"/>
  <c r="U2928" i="14"/>
  <c r="T2929" i="14"/>
  <c r="S2929" i="14" s="1"/>
  <c r="T2930" i="14"/>
  <c r="S2930" i="14" s="1"/>
  <c r="U2930" i="14"/>
  <c r="T2931" i="14"/>
  <c r="S2931" i="14" s="1"/>
  <c r="T2932" i="14"/>
  <c r="S2932" i="14" s="1"/>
  <c r="U2932" i="14"/>
  <c r="T2933" i="14"/>
  <c r="S2933" i="14" s="1"/>
  <c r="T2934" i="14"/>
  <c r="S2934" i="14" s="1"/>
  <c r="U2934" i="14"/>
  <c r="T2935" i="14"/>
  <c r="S2935" i="14" s="1"/>
  <c r="T2936" i="14"/>
  <c r="S2936" i="14" s="1"/>
  <c r="U2936" i="14"/>
  <c r="T2937" i="14"/>
  <c r="S2937" i="14" s="1"/>
  <c r="T2938" i="14"/>
  <c r="S2938" i="14" s="1"/>
  <c r="U2938" i="14"/>
  <c r="T2939" i="14"/>
  <c r="S2939" i="14" s="1"/>
  <c r="T2940" i="14"/>
  <c r="S2940" i="14" s="1"/>
  <c r="U2940" i="14"/>
  <c r="T2941" i="14"/>
  <c r="S2941" i="14" s="1"/>
  <c r="T2942" i="14"/>
  <c r="S2942" i="14" s="1"/>
  <c r="U2942" i="14"/>
  <c r="T2943" i="14"/>
  <c r="S2943" i="14" s="1"/>
  <c r="T2944" i="14"/>
  <c r="S2944" i="14" s="1"/>
  <c r="U2944" i="14"/>
  <c r="T2945" i="14"/>
  <c r="S2945" i="14" s="1"/>
  <c r="T2946" i="14"/>
  <c r="S2946" i="14" s="1"/>
  <c r="U2946" i="14"/>
  <c r="T2947" i="14"/>
  <c r="S2947" i="14" s="1"/>
  <c r="T2948" i="14"/>
  <c r="S2948" i="14" s="1"/>
  <c r="U2948" i="14"/>
  <c r="T2949" i="14"/>
  <c r="S2949" i="14" s="1"/>
  <c r="T2950" i="14"/>
  <c r="S2950" i="14" s="1"/>
  <c r="U2950" i="14"/>
  <c r="T2951" i="14"/>
  <c r="S2951" i="14" s="1"/>
  <c r="T2952" i="14"/>
  <c r="S2952" i="14" s="1"/>
  <c r="U2952" i="14"/>
  <c r="T2953" i="14"/>
  <c r="S2953" i="14" s="1"/>
  <c r="T2954" i="14"/>
  <c r="S2954" i="14" s="1"/>
  <c r="U2954" i="14"/>
  <c r="T2955" i="14"/>
  <c r="S2955" i="14" s="1"/>
  <c r="T2956" i="14"/>
  <c r="S2956" i="14" s="1"/>
  <c r="U2956" i="14"/>
  <c r="T2957" i="14"/>
  <c r="S2957" i="14" s="1"/>
  <c r="T2958" i="14"/>
  <c r="S2958" i="14" s="1"/>
  <c r="U2958" i="14"/>
  <c r="T2959" i="14"/>
  <c r="S2959" i="14" s="1"/>
  <c r="T2960" i="14"/>
  <c r="S2960" i="14" s="1"/>
  <c r="U2960" i="14"/>
  <c r="T2961" i="14"/>
  <c r="S2961" i="14" s="1"/>
  <c r="T2962" i="14"/>
  <c r="S2962" i="14" s="1"/>
  <c r="U2962" i="14"/>
  <c r="T2963" i="14"/>
  <c r="S2963" i="14" s="1"/>
  <c r="T2964" i="14"/>
  <c r="S2964" i="14" s="1"/>
  <c r="U2964" i="14"/>
  <c r="T2965" i="14"/>
  <c r="S2965" i="14" s="1"/>
  <c r="T2966" i="14"/>
  <c r="S2966" i="14" s="1"/>
  <c r="T2967" i="14"/>
  <c r="S2967" i="14" s="1"/>
  <c r="T2968" i="14"/>
  <c r="S2968" i="14" s="1"/>
  <c r="U2968" i="14"/>
  <c r="T2969" i="14"/>
  <c r="S2969" i="14" s="1"/>
  <c r="T2970" i="14"/>
  <c r="S2970" i="14" s="1"/>
  <c r="T2971" i="14"/>
  <c r="S2971" i="14" s="1"/>
  <c r="T2972" i="14"/>
  <c r="S2972" i="14" s="1"/>
  <c r="U2972" i="14"/>
  <c r="T2973" i="14"/>
  <c r="S2973" i="14" s="1"/>
  <c r="T2974" i="14"/>
  <c r="S2974" i="14" s="1"/>
  <c r="T2975" i="14"/>
  <c r="S2975" i="14" s="1"/>
  <c r="T2976" i="14"/>
  <c r="S2976" i="14" s="1"/>
  <c r="U2976" i="14"/>
  <c r="T2977" i="14"/>
  <c r="S2977" i="14" s="1"/>
  <c r="T2978" i="14"/>
  <c r="S2978" i="14" s="1"/>
  <c r="T2979" i="14"/>
  <c r="S2979" i="14" s="1"/>
  <c r="T2980" i="14"/>
  <c r="S2980" i="14" s="1"/>
  <c r="U2980" i="14"/>
  <c r="T2981" i="14"/>
  <c r="S2981" i="14" s="1"/>
  <c r="T2982" i="14"/>
  <c r="S2982" i="14" s="1"/>
  <c r="T2983" i="14"/>
  <c r="S2983" i="14" s="1"/>
  <c r="T2984" i="14"/>
  <c r="S2984" i="14" s="1"/>
  <c r="U2984" i="14"/>
  <c r="T2985" i="14"/>
  <c r="S2985" i="14" s="1"/>
  <c r="T2986" i="14"/>
  <c r="S2986" i="14" s="1"/>
  <c r="T2987" i="14"/>
  <c r="S2987" i="14" s="1"/>
  <c r="T2988" i="14"/>
  <c r="S2988" i="14" s="1"/>
  <c r="U2988" i="14"/>
  <c r="T2989" i="14"/>
  <c r="S2989" i="14" s="1"/>
  <c r="T2990" i="14"/>
  <c r="S2990" i="14" s="1"/>
  <c r="T2991" i="14"/>
  <c r="S2991" i="14" s="1"/>
  <c r="T2992" i="14"/>
  <c r="S2992" i="14" s="1"/>
  <c r="U2992" i="14"/>
  <c r="T2993" i="14"/>
  <c r="S2993" i="14" s="1"/>
  <c r="T2994" i="14"/>
  <c r="S2994" i="14" s="1"/>
  <c r="T2995" i="14"/>
  <c r="S2995" i="14" s="1"/>
  <c r="T2996" i="14"/>
  <c r="S2996" i="14" s="1"/>
  <c r="U2996" i="14"/>
  <c r="T2997" i="14"/>
  <c r="S2997" i="14" s="1"/>
  <c r="T2998" i="14"/>
  <c r="S2998" i="14" s="1"/>
  <c r="T2999" i="14"/>
  <c r="S2999" i="14" s="1"/>
  <c r="T3000" i="14"/>
  <c r="S3000" i="14" s="1"/>
  <c r="U3000" i="14"/>
  <c r="T3001" i="14"/>
  <c r="S3001" i="14" s="1"/>
  <c r="T3002" i="14"/>
  <c r="S3002" i="14" s="1"/>
  <c r="T3003" i="14"/>
  <c r="S3003" i="14" s="1"/>
  <c r="T3004" i="14"/>
  <c r="S3004" i="14" s="1"/>
  <c r="U3004" i="14"/>
  <c r="T3005" i="14"/>
  <c r="S3005" i="14" s="1"/>
  <c r="T3006" i="14"/>
  <c r="S3006" i="14" s="1"/>
  <c r="T3007" i="14"/>
  <c r="S3007" i="14" s="1"/>
  <c r="T3008" i="14"/>
  <c r="S3008" i="14" s="1"/>
  <c r="U3008" i="14"/>
  <c r="T3009" i="14"/>
  <c r="S3009" i="14" s="1"/>
  <c r="T3010" i="14"/>
  <c r="S3010" i="14" s="1"/>
  <c r="T3011" i="14"/>
  <c r="S3011" i="14" s="1"/>
  <c r="T3012" i="14"/>
  <c r="S3012" i="14" s="1"/>
  <c r="U3012" i="14"/>
  <c r="T3013" i="14"/>
  <c r="S3013" i="14" s="1"/>
  <c r="T3014" i="14"/>
  <c r="S3014" i="14" s="1"/>
  <c r="P3015" i="14"/>
  <c r="O3015" i="14"/>
  <c r="N3015" i="14"/>
  <c r="G3015" i="14"/>
  <c r="T1368" i="3"/>
  <c r="S1368" i="3"/>
  <c r="R1368" i="3"/>
  <c r="Q1368" i="3"/>
  <c r="P1368" i="3"/>
  <c r="AJ1256" i="2" l="1"/>
  <c r="J453" i="5"/>
  <c r="N453" i="5"/>
  <c r="O453" i="5"/>
  <c r="J484" i="5"/>
  <c r="L484" i="5"/>
  <c r="J491" i="5"/>
  <c r="L491" i="5"/>
  <c r="M494" i="5"/>
  <c r="L494" i="5"/>
  <c r="J496" i="5"/>
  <c r="L496" i="5"/>
  <c r="M496" i="5"/>
  <c r="W1229" i="2"/>
  <c r="AO1229" i="2"/>
  <c r="AP1229" i="2" s="1"/>
  <c r="AD1229" i="2"/>
  <c r="AH1229" i="2"/>
  <c r="AL1229" i="2"/>
  <c r="AN1229" i="2"/>
  <c r="AK1229" i="2"/>
  <c r="AD1241" i="2"/>
  <c r="AO1241" i="2"/>
  <c r="AP1241" i="2" s="1"/>
  <c r="AO1249" i="2"/>
  <c r="AP1249" i="2" s="1"/>
  <c r="AD1249" i="2"/>
  <c r="AH1249" i="2"/>
  <c r="AI1249" i="2" s="1"/>
  <c r="AJ1249" i="2" s="1"/>
  <c r="AN1249" i="2"/>
  <c r="AL1249" i="2"/>
  <c r="AK1249" i="2"/>
  <c r="AM1249" i="2" s="1"/>
  <c r="AH1259" i="2"/>
  <c r="AI1259" i="2"/>
  <c r="AJ1259" i="2" s="1"/>
  <c r="AD1271" i="2"/>
  <c r="AO1271" i="2"/>
  <c r="AP1271" i="2" s="1"/>
  <c r="W1274" i="2"/>
  <c r="AD1274" i="2"/>
  <c r="AO1276" i="2"/>
  <c r="AP1276" i="2" s="1"/>
  <c r="AD1276" i="2"/>
  <c r="W1278" i="2"/>
  <c r="AD1278" i="2"/>
  <c r="AO1278" i="2"/>
  <c r="AD1280" i="2"/>
  <c r="AO1280" i="2"/>
  <c r="AP1280" i="2" s="1"/>
  <c r="AN1286" i="2"/>
  <c r="AH1286" i="2"/>
  <c r="W1287" i="2"/>
  <c r="AD1287" i="2"/>
  <c r="X1298" i="2"/>
  <c r="AO1298" i="2"/>
  <c r="AP1298" i="2" s="1"/>
  <c r="AN1300" i="2"/>
  <c r="AH1300" i="2"/>
  <c r="AI1300" i="2" s="1"/>
  <c r="AJ1300" i="2" s="1"/>
  <c r="AO1304" i="2"/>
  <c r="AP1304" i="2" s="1"/>
  <c r="AD1304" i="2"/>
  <c r="AN1304" i="2"/>
  <c r="AH1304" i="2"/>
  <c r="AO1305" i="2"/>
  <c r="AP1305" i="2" s="1"/>
  <c r="AD1305" i="2"/>
  <c r="AO1307" i="2"/>
  <c r="AP1307" i="2" s="1"/>
  <c r="AD1307" i="2"/>
  <c r="AD1308" i="2"/>
  <c r="AO1308" i="2"/>
  <c r="AP1308" i="2" s="1"/>
  <c r="AI1325" i="2"/>
  <c r="AK1325" i="2"/>
  <c r="AH1325" i="2"/>
  <c r="AJ1325" i="2" s="1"/>
  <c r="O458" i="5"/>
  <c r="O482" i="5"/>
  <c r="AM1236" i="2"/>
  <c r="AI1238" i="2"/>
  <c r="AJ1238" i="2" s="1"/>
  <c r="AI1267" i="2"/>
  <c r="AJ1267" i="2" s="1"/>
  <c r="AI1285" i="2"/>
  <c r="AJ1285" i="2" s="1"/>
  <c r="AI1296" i="2"/>
  <c r="AJ1296" i="2" s="1"/>
  <c r="AI1313" i="2"/>
  <c r="AN1252" i="2"/>
  <c r="AN1255" i="2"/>
  <c r="AI1257" i="2"/>
  <c r="AJ1257" i="2" s="1"/>
  <c r="AM1268" i="2"/>
  <c r="AI1294" i="2"/>
  <c r="AJ1294" i="2" s="1"/>
  <c r="AM1310" i="2"/>
  <c r="AI1231" i="2"/>
  <c r="AJ1231" i="2" s="1"/>
  <c r="AI1237" i="2"/>
  <c r="AJ1237" i="2" s="1"/>
  <c r="AI1246" i="2"/>
  <c r="AJ1246" i="2" s="1"/>
  <c r="AM1248" i="2"/>
  <c r="AI1253" i="2"/>
  <c r="AJ1253" i="2" s="1"/>
  <c r="AM1260" i="2"/>
  <c r="AI1292" i="2"/>
  <c r="AJ1292" i="2" s="1"/>
  <c r="AI1293" i="2"/>
  <c r="AJ1293" i="2" s="1"/>
  <c r="AJ1326" i="2"/>
  <c r="AI1235" i="2"/>
  <c r="AJ1235" i="2" s="1"/>
  <c r="AM1254" i="2"/>
  <c r="AM1262" i="2"/>
  <c r="AI1251" i="2"/>
  <c r="AJ1251" i="2" s="1"/>
  <c r="AI1263" i="2"/>
  <c r="AJ1263" i="2" s="1"/>
  <c r="AI1270" i="2"/>
  <c r="AJ1270" i="2" s="1"/>
  <c r="AM1272" i="2"/>
  <c r="AJ1273" i="2"/>
  <c r="AN1273" i="2"/>
  <c r="AI1276" i="2"/>
  <c r="AJ1276" i="2" s="1"/>
  <c r="AI1278" i="2"/>
  <c r="AJ1278" i="2" s="1"/>
  <c r="AM1278" i="2"/>
  <c r="AN1279" i="2"/>
  <c r="AI1280" i="2"/>
  <c r="AJ1280" i="2" s="1"/>
  <c r="AM1280" i="2"/>
  <c r="AM1282" i="2"/>
  <c r="AM1290" i="2"/>
  <c r="AP1297" i="2"/>
  <c r="AN1297" i="2"/>
  <c r="AJ1306" i="2"/>
  <c r="AP1314" i="2"/>
  <c r="AI1314" i="2"/>
  <c r="AJ1314" i="2" s="1"/>
  <c r="AI1328" i="2"/>
  <c r="AJ1328" i="2" s="1"/>
  <c r="AI1329" i="2"/>
  <c r="AJ1329" i="2" s="1"/>
  <c r="AI1330" i="2"/>
  <c r="AJ1330" i="2" s="1"/>
  <c r="AI1332" i="2"/>
  <c r="AJ1332" i="2" s="1"/>
  <c r="AI1333" i="2"/>
  <c r="AJ1333" i="2" s="1"/>
  <c r="AI1334" i="2"/>
  <c r="AJ1334" i="2" s="1"/>
  <c r="AI1336" i="2"/>
  <c r="AJ1336" i="2" s="1"/>
  <c r="O454" i="5"/>
  <c r="J454" i="5"/>
  <c r="N457" i="5"/>
  <c r="J457" i="5"/>
  <c r="M458" i="5"/>
  <c r="J458" i="5"/>
  <c r="L459" i="5"/>
  <c r="J459" i="5"/>
  <c r="L462" i="5"/>
  <c r="J462" i="5"/>
  <c r="N463" i="5"/>
  <c r="J463" i="5"/>
  <c r="N469" i="5"/>
  <c r="J469" i="5"/>
  <c r="L471" i="5"/>
  <c r="J471" i="5"/>
  <c r="L474" i="5"/>
  <c r="J474" i="5"/>
  <c r="N475" i="5"/>
  <c r="J475" i="5"/>
  <c r="N481" i="5"/>
  <c r="J481" i="5"/>
  <c r="L483" i="5"/>
  <c r="J483" i="5"/>
  <c r="L486" i="5"/>
  <c r="J486" i="5"/>
  <c r="N487" i="5"/>
  <c r="J487" i="5"/>
  <c r="N493" i="5"/>
  <c r="J493" i="5"/>
  <c r="L495" i="5"/>
  <c r="J495" i="5"/>
  <c r="N499" i="5"/>
  <c r="J499" i="5"/>
  <c r="AD1230" i="2"/>
  <c r="AO1230" i="2"/>
  <c r="AP1230" i="2" s="1"/>
  <c r="AL1230" i="2"/>
  <c r="AH1230" i="2"/>
  <c r="X1231" i="2"/>
  <c r="AD1231" i="2"/>
  <c r="W1231" i="2"/>
  <c r="AO1231" i="2"/>
  <c r="AP1231" i="2" s="1"/>
  <c r="AO1235" i="2"/>
  <c r="AP1235" i="2" s="1"/>
  <c r="W1235" i="2"/>
  <c r="X1235" i="2"/>
  <c r="W1236" i="2"/>
  <c r="AD1236" i="2"/>
  <c r="W1237" i="2"/>
  <c r="AD1237" i="2"/>
  <c r="W1238" i="2"/>
  <c r="X1238" i="2"/>
  <c r="AO1239" i="2"/>
  <c r="AP1239" i="2" s="1"/>
  <c r="W1239" i="2"/>
  <c r="X1239" i="2"/>
  <c r="AD1239" i="2"/>
  <c r="W1240" i="2"/>
  <c r="AD1240" i="2"/>
  <c r="AM1240" i="2"/>
  <c r="AL1240" i="2"/>
  <c r="AN1240" i="2" s="1"/>
  <c r="AK1240" i="2"/>
  <c r="AO1242" i="2"/>
  <c r="AP1242" i="2" s="1"/>
  <c r="W1242" i="2"/>
  <c r="X1242" i="2"/>
  <c r="X1243" i="2"/>
  <c r="W1243" i="2"/>
  <c r="AD1247" i="2"/>
  <c r="AO1247" i="2"/>
  <c r="AP1247" i="2" s="1"/>
  <c r="W1247" i="2"/>
  <c r="X1247" i="2"/>
  <c r="W1249" i="2"/>
  <c r="X1249" i="2"/>
  <c r="AD1250" i="2"/>
  <c r="W1250" i="2"/>
  <c r="AO1251" i="2"/>
  <c r="AP1251" i="2" s="1"/>
  <c r="X1251" i="2"/>
  <c r="W1253" i="2"/>
  <c r="AD1253" i="2"/>
  <c r="AD1254" i="2"/>
  <c r="AO1254" i="2"/>
  <c r="AP1254" i="2" s="1"/>
  <c r="X1255" i="2"/>
  <c r="W1255" i="2"/>
  <c r="W1257" i="2"/>
  <c r="AD1257" i="2"/>
  <c r="AO1259" i="2"/>
  <c r="AP1259" i="2" s="1"/>
  <c r="AD1259" i="2"/>
  <c r="W1259" i="2"/>
  <c r="W1260" i="2"/>
  <c r="X1260" i="2"/>
  <c r="AD1262" i="2"/>
  <c r="AO1262" i="2"/>
  <c r="AP1262" i="2" s="1"/>
  <c r="AO1263" i="2"/>
  <c r="AP1263" i="2" s="1"/>
  <c r="X1263" i="2"/>
  <c r="AD1263" i="2"/>
  <c r="W1263" i="2"/>
  <c r="X1264" i="2"/>
  <c r="AO1264" i="2"/>
  <c r="W1264" i="2"/>
  <c r="W1265" i="2"/>
  <c r="AO1265" i="2"/>
  <c r="AP1265" i="2" s="1"/>
  <c r="AD1265" i="2"/>
  <c r="X1267" i="2"/>
  <c r="AD1267" i="2"/>
  <c r="W1267" i="2"/>
  <c r="AO1267" i="2"/>
  <c r="AP1267" i="2" s="1"/>
  <c r="AO1268" i="2"/>
  <c r="AP1268" i="2" s="1"/>
  <c r="W1268" i="2"/>
  <c r="W1269" i="2"/>
  <c r="X1269" i="2"/>
  <c r="AD1269" i="2"/>
  <c r="AO1269" i="2"/>
  <c r="AP1269" i="2" s="1"/>
  <c r="AH1269" i="2"/>
  <c r="AI1269" i="2"/>
  <c r="AK1269" i="2"/>
  <c r="AL1269" i="2"/>
  <c r="AO1272" i="2"/>
  <c r="AP1272" i="2" s="1"/>
  <c r="X1272" i="2"/>
  <c r="W1272" i="2"/>
  <c r="X1273" i="2"/>
  <c r="W1273" i="2"/>
  <c r="X1276" i="2"/>
  <c r="W1276" i="2"/>
  <c r="AO1281" i="2"/>
  <c r="AP1281" i="2" s="1"/>
  <c r="W1281" i="2"/>
  <c r="X1281" i="2"/>
  <c r="X1282" i="2"/>
  <c r="AO1282" i="2"/>
  <c r="AP1282" i="2" s="1"/>
  <c r="W1282" i="2"/>
  <c r="W1283" i="2"/>
  <c r="X1283" i="2"/>
  <c r="AD1283" i="2"/>
  <c r="AO1283" i="2"/>
  <c r="X1285" i="2"/>
  <c r="AD1285" i="2"/>
  <c r="AO1285" i="2"/>
  <c r="AP1285" i="2" s="1"/>
  <c r="W1285" i="2"/>
  <c r="AO1286" i="2"/>
  <c r="AP1286" i="2" s="1"/>
  <c r="W1286" i="2"/>
  <c r="X1289" i="2"/>
  <c r="W1289" i="2"/>
  <c r="AO1289" i="2"/>
  <c r="AP1289" i="2" s="1"/>
  <c r="AD1289" i="2"/>
  <c r="W1291" i="2"/>
  <c r="AD1291" i="2"/>
  <c r="AO1293" i="2"/>
  <c r="AP1293" i="2" s="1"/>
  <c r="X1293" i="2"/>
  <c r="AD1293" i="2"/>
  <c r="W1293" i="2"/>
  <c r="W1294" i="2"/>
  <c r="AD1294" i="2"/>
  <c r="AD1295" i="2"/>
  <c r="AO1295" i="2"/>
  <c r="AP1295" i="2" s="1"/>
  <c r="AD1296" i="2"/>
  <c r="AO1296" i="2"/>
  <c r="AP1296" i="2" s="1"/>
  <c r="X1296" i="2"/>
  <c r="X1297" i="2"/>
  <c r="W1297" i="2"/>
  <c r="AD1297" i="2"/>
  <c r="W1299" i="2"/>
  <c r="X1299" i="2"/>
  <c r="AD1300" i="2"/>
  <c r="X1300" i="2"/>
  <c r="W1300" i="2"/>
  <c r="AO1301" i="2"/>
  <c r="AP1301" i="2" s="1"/>
  <c r="X1301" i="2"/>
  <c r="W1301" i="2"/>
  <c r="X1302" i="2"/>
  <c r="W1302" i="2"/>
  <c r="W1303" i="2"/>
  <c r="X1303" i="2"/>
  <c r="W1304" i="2"/>
  <c r="X1304" i="2"/>
  <c r="W1305" i="2"/>
  <c r="X1305" i="2"/>
  <c r="X1307" i="2"/>
  <c r="W1307" i="2"/>
  <c r="X1308" i="2"/>
  <c r="W1308" i="2"/>
  <c r="W1309" i="2"/>
  <c r="AD1309" i="2"/>
  <c r="X1309" i="2"/>
  <c r="X1310" i="2"/>
  <c r="W1310" i="2"/>
  <c r="W1314" i="2"/>
  <c r="X1314" i="2"/>
  <c r="W1315" i="2"/>
  <c r="AO1315" i="2"/>
  <c r="AP1315" i="2" s="1"/>
  <c r="AD1315" i="2"/>
  <c r="X1315" i="2"/>
  <c r="W1316" i="2"/>
  <c r="X1316" i="2"/>
  <c r="AO1316" i="2"/>
  <c r="AP1316" i="2" s="1"/>
  <c r="AD1316" i="2"/>
  <c r="W1317" i="2"/>
  <c r="AD1317" i="2"/>
  <c r="AN1318" i="2"/>
  <c r="AK1318" i="2"/>
  <c r="W1319" i="2"/>
  <c r="X1319" i="2"/>
  <c r="AO1319" i="2"/>
  <c r="AP1319" i="2" s="1"/>
  <c r="W1321" i="2"/>
  <c r="X1321" i="2"/>
  <c r="AD1323" i="2"/>
  <c r="W1323" i="2"/>
  <c r="X1323" i="2"/>
  <c r="W1324" i="2"/>
  <c r="X1324" i="2"/>
  <c r="AO1324" i="2"/>
  <c r="AP1324" i="2" s="1"/>
  <c r="AD1324" i="2"/>
  <c r="AO1325" i="2"/>
  <c r="AP1325" i="2" s="1"/>
  <c r="X1325" i="2"/>
  <c r="AD1325" i="2"/>
  <c r="W1325" i="2"/>
  <c r="W1326" i="2"/>
  <c r="X1326" i="2"/>
  <c r="X1327" i="2"/>
  <c r="AO1327" i="2"/>
  <c r="AP1327" i="2" s="1"/>
  <c r="W1327" i="2"/>
  <c r="AD1327" i="2"/>
  <c r="AK1327" i="2"/>
  <c r="AM1327" i="2" s="1"/>
  <c r="AN1327" i="2"/>
  <c r="AL1327" i="2"/>
  <c r="AH1327" i="2"/>
  <c r="AI1327" i="2" s="1"/>
  <c r="AJ1327" i="2" s="1"/>
  <c r="W1328" i="2"/>
  <c r="X1328" i="2"/>
  <c r="X1329" i="2"/>
  <c r="W1329" i="2"/>
  <c r="W1330" i="2"/>
  <c r="X1330" i="2"/>
  <c r="X1331" i="2"/>
  <c r="W1331" i="2"/>
  <c r="W1332" i="2"/>
  <c r="X1332" i="2"/>
  <c r="X1333" i="2"/>
  <c r="W1333" i="2"/>
  <c r="W1334" i="2"/>
  <c r="X1334" i="2"/>
  <c r="X1335" i="2"/>
  <c r="W1335" i="2"/>
  <c r="W1336" i="2"/>
  <c r="X1336" i="2"/>
  <c r="X1337" i="2"/>
  <c r="W1337" i="2"/>
  <c r="AJ1255" i="2"/>
  <c r="AN1337" i="2"/>
  <c r="AN1264" i="2"/>
  <c r="AJ1308" i="2"/>
  <c r="AN1274" i="2"/>
  <c r="AN1335" i="2"/>
  <c r="AJ1279" i="2"/>
  <c r="AN1256" i="2"/>
  <c r="N492" i="5"/>
  <c r="N497" i="5"/>
  <c r="N485" i="5"/>
  <c r="M497" i="5"/>
  <c r="O497" i="5" s="1"/>
  <c r="O495" i="5"/>
  <c r="J494" i="5"/>
  <c r="L492" i="5"/>
  <c r="M485" i="5"/>
  <c r="O485" i="5" s="1"/>
  <c r="O483" i="5"/>
  <c r="J482" i="5"/>
  <c r="L480" i="5"/>
  <c r="M473" i="5"/>
  <c r="O473" i="5" s="1"/>
  <c r="O471" i="5"/>
  <c r="J470" i="5"/>
  <c r="L468" i="5"/>
  <c r="M461" i="5"/>
  <c r="O461" i="5" s="1"/>
  <c r="O459" i="5"/>
  <c r="L456" i="5"/>
  <c r="J468" i="5"/>
  <c r="J456" i="5"/>
  <c r="M500" i="5"/>
  <c r="O500" i="5" s="1"/>
  <c r="O498" i="5"/>
  <c r="M488" i="5"/>
  <c r="O488" i="5" s="1"/>
  <c r="O486" i="5"/>
  <c r="J485" i="5"/>
  <c r="M476" i="5"/>
  <c r="O476" i="5" s="1"/>
  <c r="O474" i="5"/>
  <c r="J473" i="5"/>
  <c r="M464" i="5"/>
  <c r="O464" i="5" s="1"/>
  <c r="O462" i="5"/>
  <c r="J461" i="5"/>
  <c r="J492" i="5"/>
  <c r="L500" i="5"/>
  <c r="L488" i="5"/>
  <c r="L476" i="5"/>
  <c r="L464" i="5"/>
  <c r="L498" i="5"/>
  <c r="M491" i="5"/>
  <c r="O491" i="5" s="1"/>
  <c r="O489" i="5"/>
  <c r="M479" i="5"/>
  <c r="O479" i="5" s="1"/>
  <c r="O477" i="5"/>
  <c r="M467" i="5"/>
  <c r="O467" i="5" s="1"/>
  <c r="O465" i="5"/>
  <c r="J480" i="5"/>
  <c r="O494" i="5"/>
  <c r="N489" i="5"/>
  <c r="N477" i="5"/>
  <c r="O470" i="5"/>
  <c r="N465" i="5"/>
  <c r="M489" i="5"/>
  <c r="M477" i="5"/>
  <c r="M465" i="5"/>
  <c r="M453" i="5"/>
  <c r="O492" i="5"/>
  <c r="L489" i="5"/>
  <c r="O480" i="5"/>
  <c r="L477" i="5"/>
  <c r="O468" i="5"/>
  <c r="L465" i="5"/>
  <c r="O456" i="5"/>
  <c r="L453" i="5"/>
  <c r="N468" i="5"/>
  <c r="N456" i="5"/>
  <c r="N480" i="5"/>
  <c r="AN1325" i="2"/>
  <c r="AP1313" i="2"/>
  <c r="W1244" i="2"/>
  <c r="X1244" i="2"/>
  <c r="AO1244" i="2"/>
  <c r="AP1244" i="2" s="1"/>
  <c r="AD1244" i="2"/>
  <c r="AD1336" i="2"/>
  <c r="AD1334" i="2"/>
  <c r="AD1332" i="2"/>
  <c r="AD1330" i="2"/>
  <c r="AD1328" i="2"/>
  <c r="AD1326" i="2"/>
  <c r="AI1323" i="2"/>
  <c r="AJ1323" i="2" s="1"/>
  <c r="AK1320" i="2"/>
  <c r="AM1320" i="2" s="1"/>
  <c r="AD1319" i="2"/>
  <c r="W1318" i="2"/>
  <c r="AO1317" i="2"/>
  <c r="AP1317" i="2" s="1"/>
  <c r="AL1312" i="2"/>
  <c r="AH1309" i="2"/>
  <c r="AI1309" i="2" s="1"/>
  <c r="AJ1309" i="2" s="1"/>
  <c r="AO1306" i="2"/>
  <c r="AP1306" i="2" s="1"/>
  <c r="AM1298" i="2"/>
  <c r="W1296" i="2"/>
  <c r="X1288" i="2"/>
  <c r="AD1288" i="2"/>
  <c r="X1318" i="2"/>
  <c r="AL1322" i="2"/>
  <c r="X1320" i="2"/>
  <c r="AH1318" i="2"/>
  <c r="AI1318" i="2" s="1"/>
  <c r="AJ1318" i="2" s="1"/>
  <c r="AN1317" i="2"/>
  <c r="X1312" i="2"/>
  <c r="AD1310" i="2"/>
  <c r="AM1294" i="2"/>
  <c r="AO1290" i="2"/>
  <c r="AP1290" i="2" s="1"/>
  <c r="AD1290" i="2"/>
  <c r="X1290" i="2"/>
  <c r="AO1322" i="2"/>
  <c r="AP1322" i="2" s="1"/>
  <c r="AD1303" i="2"/>
  <c r="AD1302" i="2"/>
  <c r="AP1287" i="2"/>
  <c r="T1283" i="2"/>
  <c r="AN1319" i="2"/>
  <c r="AK1311" i="2"/>
  <c r="X1311" i="2"/>
  <c r="AO1310" i="2"/>
  <c r="AP1310" i="2" s="1"/>
  <c r="AN1308" i="2"/>
  <c r="W1284" i="2"/>
  <c r="X1284" i="2"/>
  <c r="AO1284" i="2"/>
  <c r="AP1284" i="2" s="1"/>
  <c r="AD1284" i="2"/>
  <c r="W1246" i="2"/>
  <c r="X1246" i="2"/>
  <c r="AO1246" i="2"/>
  <c r="AP1246" i="2" s="1"/>
  <c r="AD1246" i="2"/>
  <c r="AO1330" i="2"/>
  <c r="AP1330" i="2" s="1"/>
  <c r="AN1336" i="2"/>
  <c r="AN1334" i="2"/>
  <c r="AN1332" i="2"/>
  <c r="AN1330" i="2"/>
  <c r="AN1328" i="2"/>
  <c r="AK1322" i="2"/>
  <c r="AD1321" i="2"/>
  <c r="W1320" i="2"/>
  <c r="AL1311" i="2"/>
  <c r="AN1311" i="2" s="1"/>
  <c r="AM1336" i="2"/>
  <c r="AM1326" i="2"/>
  <c r="AL1324" i="2"/>
  <c r="X1322" i="2"/>
  <c r="AL1336" i="2"/>
  <c r="AL1334" i="2"/>
  <c r="AL1332" i="2"/>
  <c r="AL1330" i="2"/>
  <c r="AL1328" i="2"/>
  <c r="AL1326" i="2"/>
  <c r="AN1326" i="2" s="1"/>
  <c r="AK1324" i="2"/>
  <c r="W1322" i="2"/>
  <c r="AO1321" i="2"/>
  <c r="AP1321" i="2" s="1"/>
  <c r="AM1319" i="2"/>
  <c r="X1317" i="2"/>
  <c r="AM1314" i="2"/>
  <c r="AD1313" i="2"/>
  <c r="AI1312" i="2"/>
  <c r="AJ1312" i="2" s="1"/>
  <c r="W1311" i="2"/>
  <c r="X1306" i="2"/>
  <c r="AN1305" i="2"/>
  <c r="AD1299" i="2"/>
  <c r="AD1298" i="2"/>
  <c r="AO1288" i="2"/>
  <c r="AP1288" i="2" s="1"/>
  <c r="AN1277" i="2"/>
  <c r="AJ1277" i="2"/>
  <c r="AK1334" i="2"/>
  <c r="AM1334" i="2" s="1"/>
  <c r="AK1332" i="2"/>
  <c r="AM1332" i="2" s="1"/>
  <c r="AK1330" i="2"/>
  <c r="AM1330" i="2" s="1"/>
  <c r="AK1328" i="2"/>
  <c r="AM1328" i="2" s="1"/>
  <c r="AK1326" i="2"/>
  <c r="AH1322" i="2"/>
  <c r="AM1322" i="2" s="1"/>
  <c r="AN1321" i="2"/>
  <c r="AD1318" i="2"/>
  <c r="AK1305" i="2"/>
  <c r="X1292" i="2"/>
  <c r="AD1292" i="2"/>
  <c r="W1279" i="2"/>
  <c r="X1279" i="2"/>
  <c r="AO1279" i="2"/>
  <c r="AP1279" i="2" s="1"/>
  <c r="AD1279" i="2"/>
  <c r="AP1278" i="2"/>
  <c r="W1266" i="2"/>
  <c r="X1266" i="2"/>
  <c r="AO1266" i="2"/>
  <c r="AP1266" i="2" s="1"/>
  <c r="AD1266" i="2"/>
  <c r="AO1303" i="2"/>
  <c r="AP1303" i="2" s="1"/>
  <c r="AO1302" i="2"/>
  <c r="AP1302" i="2" s="1"/>
  <c r="AO1300" i="2"/>
  <c r="AP1300" i="2" s="1"/>
  <c r="AO1294" i="2"/>
  <c r="AP1294" i="2" s="1"/>
  <c r="X1294" i="2"/>
  <c r="W1270" i="2"/>
  <c r="X1270" i="2"/>
  <c r="AO1270" i="2"/>
  <c r="AP1270" i="2" s="1"/>
  <c r="W1261" i="2"/>
  <c r="X1261" i="2"/>
  <c r="AO1261" i="2"/>
  <c r="AP1261" i="2" s="1"/>
  <c r="AD1261" i="2"/>
  <c r="AP1260" i="2"/>
  <c r="W1245" i="2"/>
  <c r="AO1245" i="2"/>
  <c r="AP1245" i="2" s="1"/>
  <c r="X1245" i="2"/>
  <c r="AD1245" i="2"/>
  <c r="AH1311" i="2"/>
  <c r="AJ1311" i="2" s="1"/>
  <c r="AM1311" i="2"/>
  <c r="AH1324" i="2"/>
  <c r="AN1323" i="2"/>
  <c r="AL1321" i="2"/>
  <c r="AD1320" i="2"/>
  <c r="AL1316" i="2"/>
  <c r="AN1316" i="2" s="1"/>
  <c r="AD1312" i="2"/>
  <c r="AO1309" i="2"/>
  <c r="AP1309" i="2" s="1"/>
  <c r="AN1303" i="2"/>
  <c r="W1295" i="2"/>
  <c r="X1295" i="2"/>
  <c r="AN1265" i="2"/>
  <c r="AJ1265" i="2"/>
  <c r="AH1305" i="2"/>
  <c r="AL1305" i="2"/>
  <c r="AL1318" i="2"/>
  <c r="AN1314" i="2"/>
  <c r="AL1314" i="2"/>
  <c r="AM1313" i="2"/>
  <c r="AD1311" i="2"/>
  <c r="AP1264" i="2"/>
  <c r="AD1306" i="2"/>
  <c r="AM1302" i="2"/>
  <c r="W1298" i="2"/>
  <c r="AO1312" i="2"/>
  <c r="AP1312" i="2" s="1"/>
  <c r="AN1306" i="2"/>
  <c r="X1286" i="2"/>
  <c r="W1277" i="2"/>
  <c r="X1268" i="2"/>
  <c r="X1259" i="2"/>
  <c r="AO1258" i="2"/>
  <c r="AP1258" i="2" s="1"/>
  <c r="W1256" i="2"/>
  <c r="W1252" i="2"/>
  <c r="W1248" i="2"/>
  <c r="AI1229" i="2"/>
  <c r="AJ1229" i="2" s="1"/>
  <c r="AM1229" i="2"/>
  <c r="AO1234" i="2"/>
  <c r="AP1234" i="2" s="1"/>
  <c r="AD1260" i="2"/>
  <c r="W1251" i="2"/>
  <c r="AO1237" i="2"/>
  <c r="AP1237" i="2" s="1"/>
  <c r="AD1233" i="2"/>
  <c r="W1233" i="2" s="1"/>
  <c r="AD1282" i="2"/>
  <c r="X1280" i="2"/>
  <c r="AM1276" i="2"/>
  <c r="X1275" i="2"/>
  <c r="AO1274" i="2"/>
  <c r="AP1274" i="2" s="1"/>
  <c r="AD1273" i="2"/>
  <c r="X1271" i="2"/>
  <c r="AD1264" i="2"/>
  <c r="X1262" i="2"/>
  <c r="X1258" i="2"/>
  <c r="AO1257" i="2"/>
  <c r="AP1257" i="2" s="1"/>
  <c r="X1254" i="2"/>
  <c r="AO1253" i="2"/>
  <c r="AP1253" i="2" s="1"/>
  <c r="W1280" i="2"/>
  <c r="AD1277" i="2"/>
  <c r="W1275" i="2"/>
  <c r="W1271" i="2"/>
  <c r="W1262" i="2"/>
  <c r="W1258" i="2"/>
  <c r="AD1256" i="2"/>
  <c r="W1254" i="2"/>
  <c r="AD1252" i="2"/>
  <c r="X1250" i="2"/>
  <c r="AD1248" i="2"/>
  <c r="X1241" i="2"/>
  <c r="AO1240" i="2"/>
  <c r="AP1240" i="2" s="1"/>
  <c r="X1234" i="2"/>
  <c r="AO1233" i="2"/>
  <c r="AP1233" i="2" s="1"/>
  <c r="AD1232" i="2"/>
  <c r="X1232" i="2" s="1"/>
  <c r="AO1291" i="2"/>
  <c r="AP1291" i="2" s="1"/>
  <c r="AD1286" i="2"/>
  <c r="AN1275" i="2"/>
  <c r="AD1268" i="2"/>
  <c r="W1241" i="2"/>
  <c r="AM1238" i="2"/>
  <c r="W1234" i="2"/>
  <c r="AD1281" i="2"/>
  <c r="X1265" i="2"/>
  <c r="AN1258" i="2"/>
  <c r="X1257" i="2"/>
  <c r="AO1256" i="2"/>
  <c r="AP1256" i="2" s="1"/>
  <c r="X1253" i="2"/>
  <c r="AO1252" i="2"/>
  <c r="AP1252" i="2" s="1"/>
  <c r="AM1250" i="2"/>
  <c r="AD1242" i="2"/>
  <c r="X1237" i="2"/>
  <c r="AO1236" i="2"/>
  <c r="AP1236" i="2" s="1"/>
  <c r="AH1307" i="2"/>
  <c r="AI1307" i="2" s="1"/>
  <c r="AJ1307" i="2" s="1"/>
  <c r="AM1300" i="2"/>
  <c r="AM1296" i="2"/>
  <c r="AM1292" i="2"/>
  <c r="AM1288" i="2"/>
  <c r="AM1284" i="2"/>
  <c r="X1274" i="2"/>
  <c r="AO1273" i="2"/>
  <c r="AP1273" i="2" s="1"/>
  <c r="AM1266" i="2"/>
  <c r="AN1261" i="2"/>
  <c r="AD1251" i="2"/>
  <c r="AO1248" i="2"/>
  <c r="AP1248" i="2" s="1"/>
  <c r="X1240" i="2"/>
  <c r="AM1234" i="2"/>
  <c r="X1291" i="2"/>
  <c r="X1287" i="2"/>
  <c r="X1278" i="2"/>
  <c r="AO1277" i="2"/>
  <c r="AP1277" i="2" s="1"/>
  <c r="AM1270" i="2"/>
  <c r="AM1246" i="2"/>
  <c r="AM1244" i="2"/>
  <c r="AO1232" i="2"/>
  <c r="AP1232" i="2" s="1"/>
  <c r="AJ1269" i="2"/>
  <c r="X1236" i="2"/>
  <c r="AM1303" i="2"/>
  <c r="AM1301" i="2"/>
  <c r="AM1299" i="2"/>
  <c r="AM1297" i="2"/>
  <c r="AM1295" i="2"/>
  <c r="AM1293" i="2"/>
  <c r="AM1291" i="2"/>
  <c r="AM1289" i="2"/>
  <c r="AM1287" i="2"/>
  <c r="AM1285" i="2"/>
  <c r="AM1283" i="2"/>
  <c r="AM1281" i="2"/>
  <c r="AM1279" i="2"/>
  <c r="AM1277" i="2"/>
  <c r="AM1275" i="2"/>
  <c r="AM1273" i="2"/>
  <c r="AM1271" i="2"/>
  <c r="AM1269" i="2"/>
  <c r="AM1267" i="2"/>
  <c r="AM1265" i="2"/>
  <c r="AM1263" i="2"/>
  <c r="AM1261" i="2"/>
  <c r="AM1259" i="2"/>
  <c r="AM1257" i="2"/>
  <c r="AM1255" i="2"/>
  <c r="AM1253" i="2"/>
  <c r="AM1251" i="2"/>
  <c r="X1229" i="2"/>
  <c r="AN1248" i="2"/>
  <c r="AN1246" i="2"/>
  <c r="AN1244" i="2"/>
  <c r="AN1242" i="2"/>
  <c r="AN1238" i="2"/>
  <c r="AN1236" i="2"/>
  <c r="AN1234" i="2"/>
  <c r="AN1232" i="2"/>
  <c r="AN1230" i="2"/>
  <c r="AG1245" i="2"/>
  <c r="AM1232" i="2"/>
  <c r="U3013" i="14"/>
  <c r="U3009" i="14"/>
  <c r="U3005" i="14"/>
  <c r="U3001" i="14"/>
  <c r="U2997" i="14"/>
  <c r="U2993" i="14"/>
  <c r="U2989" i="14"/>
  <c r="U2985" i="14"/>
  <c r="U2981" i="14"/>
  <c r="U2977" i="14"/>
  <c r="U2973" i="14"/>
  <c r="U2969" i="14"/>
  <c r="U2965" i="14"/>
  <c r="U2961" i="14"/>
  <c r="U2957" i="14"/>
  <c r="U2953" i="14"/>
  <c r="U2949" i="14"/>
  <c r="U2945" i="14"/>
  <c r="U2941" i="14"/>
  <c r="U2937" i="14"/>
  <c r="U2933" i="14"/>
  <c r="U2929" i="14"/>
  <c r="U2925" i="14"/>
  <c r="U2921" i="14"/>
  <c r="U2917" i="14"/>
  <c r="U2913" i="14"/>
  <c r="U2909" i="14"/>
  <c r="U2905" i="14"/>
  <c r="U2901" i="14"/>
  <c r="U2897" i="14"/>
  <c r="U2893" i="14"/>
  <c r="U2889" i="14"/>
  <c r="U2885" i="14"/>
  <c r="U2881" i="14"/>
  <c r="U2877" i="14"/>
  <c r="U2873" i="14"/>
  <c r="U2869" i="14"/>
  <c r="U2865" i="14"/>
  <c r="U2861" i="14"/>
  <c r="U2857" i="14"/>
  <c r="U2853" i="14"/>
  <c r="U2849" i="14"/>
  <c r="U2845" i="14"/>
  <c r="U2841" i="14"/>
  <c r="U2837" i="14"/>
  <c r="U2833" i="14"/>
  <c r="U2829" i="14"/>
  <c r="U2825" i="14"/>
  <c r="U2821" i="14"/>
  <c r="U2817" i="14"/>
  <c r="U2813" i="14"/>
  <c r="U2809" i="14"/>
  <c r="U2805" i="14"/>
  <c r="U2801" i="14"/>
  <c r="U2797" i="14"/>
  <c r="U2793" i="14"/>
  <c r="U2789" i="14"/>
  <c r="U2785" i="14"/>
  <c r="U3011" i="14"/>
  <c r="U3007" i="14"/>
  <c r="U3003" i="14"/>
  <c r="U2999" i="14"/>
  <c r="U2995" i="14"/>
  <c r="U2991" i="14"/>
  <c r="U2987" i="14"/>
  <c r="U2983" i="14"/>
  <c r="U2979" i="14"/>
  <c r="U2975" i="14"/>
  <c r="U2971" i="14"/>
  <c r="U2967" i="14"/>
  <c r="U2963" i="14"/>
  <c r="U2959" i="14"/>
  <c r="U2955" i="14"/>
  <c r="U2951" i="14"/>
  <c r="U2947" i="14"/>
  <c r="U2943" i="14"/>
  <c r="U2939" i="14"/>
  <c r="U2935" i="14"/>
  <c r="U2931" i="14"/>
  <c r="U2927" i="14"/>
  <c r="U2923" i="14"/>
  <c r="U2919" i="14"/>
  <c r="U2915" i="14"/>
  <c r="U2911" i="14"/>
  <c r="U2907" i="14"/>
  <c r="U2903" i="14"/>
  <c r="U2899" i="14"/>
  <c r="U2895" i="14"/>
  <c r="U2891" i="14"/>
  <c r="U2887" i="14"/>
  <c r="U2883" i="14"/>
  <c r="U2879" i="14"/>
  <c r="U2875" i="14"/>
  <c r="U2783" i="14"/>
  <c r="U3014" i="14"/>
  <c r="U3010" i="14"/>
  <c r="U3006" i="14"/>
  <c r="U3002" i="14"/>
  <c r="U2998" i="14"/>
  <c r="U2994" i="14"/>
  <c r="U2990" i="14"/>
  <c r="U2986" i="14"/>
  <c r="U2982" i="14"/>
  <c r="U2978" i="14"/>
  <c r="U2974" i="14"/>
  <c r="U2970" i="14"/>
  <c r="U2966" i="14"/>
  <c r="U2906" i="14"/>
  <c r="U2902" i="14"/>
  <c r="U2898" i="14"/>
  <c r="U2894" i="14"/>
  <c r="U2890" i="14"/>
  <c r="U2886" i="14"/>
  <c r="U2882" i="14"/>
  <c r="U2878" i="14"/>
  <c r="U2874" i="14"/>
  <c r="U2870" i="14"/>
  <c r="U2866" i="14"/>
  <c r="U2862" i="14"/>
  <c r="U2782" i="14"/>
  <c r="AP1283" i="2" l="1"/>
  <c r="AI1286" i="2"/>
  <c r="AJ1286" i="2" s="1"/>
  <c r="AM1286" i="2"/>
  <c r="AI1304" i="2"/>
  <c r="AJ1304" i="2" s="1"/>
  <c r="AM1304" i="2"/>
  <c r="X1230" i="2"/>
  <c r="W1230" i="2"/>
  <c r="AM1230" i="2"/>
  <c r="AI1230" i="2"/>
  <c r="AJ1230" i="2" s="1"/>
  <c r="AN1312" i="2"/>
  <c r="AM1318" i="2"/>
  <c r="AN1269" i="2"/>
  <c r="AN1313" i="2"/>
  <c r="AJ1313" i="2"/>
  <c r="AM1324" i="2"/>
  <c r="AI1324" i="2"/>
  <c r="AJ1324" i="2" s="1"/>
  <c r="AI1305" i="2"/>
  <c r="AJ1305" i="2" s="1"/>
  <c r="AM1305" i="2"/>
  <c r="W1232" i="2"/>
  <c r="AM1309" i="2"/>
  <c r="X1233" i="2"/>
  <c r="AI1322" i="2"/>
  <c r="AJ1322" i="2" s="1"/>
  <c r="AM1307" i="2"/>
  <c r="X1313" i="2"/>
  <c r="W1313" i="2"/>
  <c r="AH1245" i="2"/>
  <c r="AI1245" i="2" s="1"/>
  <c r="AJ1245" i="2" s="1"/>
  <c r="AL1245" i="2"/>
  <c r="AN1245" i="2"/>
  <c r="AK1245" i="2"/>
  <c r="AM1245" i="2" s="1"/>
  <c r="AQ948" i="16" l="1"/>
  <c r="AQ937" i="16"/>
  <c r="AQ936" i="16"/>
  <c r="AQ935" i="16"/>
  <c r="AQ913" i="16"/>
  <c r="AQ825" i="16"/>
  <c r="AQ804" i="16"/>
  <c r="AQ779" i="16"/>
  <c r="AQ697" i="16"/>
  <c r="AQ627" i="16"/>
  <c r="AQ616" i="16"/>
  <c r="AQ529" i="16"/>
  <c r="AQ521" i="16"/>
  <c r="AQ520" i="16"/>
  <c r="AQ498" i="16"/>
  <c r="AQ497" i="16"/>
  <c r="AQ425" i="16"/>
  <c r="AQ324" i="16"/>
  <c r="AQ258" i="16"/>
  <c r="AQ257" i="16"/>
  <c r="AQ219" i="16"/>
  <c r="AQ178" i="16"/>
  <c r="AQ168" i="16"/>
  <c r="AQ149" i="16"/>
  <c r="AQ108" i="16"/>
  <c r="AQ107" i="16"/>
  <c r="AQ88" i="16"/>
  <c r="AQ51" i="16"/>
  <c r="AQ16" i="16"/>
  <c r="AQ9" i="16"/>
  <c r="AQ952" i="16"/>
  <c r="AQ951" i="16"/>
  <c r="AQ949" i="16"/>
  <c r="AQ947" i="16"/>
  <c r="AQ946" i="16"/>
  <c r="AQ944" i="16"/>
  <c r="AQ943" i="16"/>
  <c r="AQ942" i="16"/>
  <c r="AQ941" i="16"/>
  <c r="AQ940" i="16"/>
  <c r="AQ939" i="16"/>
  <c r="AQ934" i="16"/>
  <c r="AQ933" i="16"/>
  <c r="AQ932" i="16"/>
  <c r="AQ931" i="16"/>
  <c r="AQ928" i="16"/>
  <c r="AQ927" i="16"/>
  <c r="AQ925" i="16"/>
  <c r="AQ917" i="16"/>
  <c r="AQ916" i="16"/>
  <c r="AQ915" i="16"/>
  <c r="AQ914" i="16"/>
  <c r="AQ911" i="16"/>
  <c r="AQ905" i="16"/>
  <c r="AQ899" i="16"/>
  <c r="AQ898" i="16"/>
  <c r="AQ897" i="16"/>
  <c r="AQ896" i="16"/>
  <c r="AQ894" i="16"/>
  <c r="AQ892" i="16"/>
  <c r="AQ888" i="16"/>
  <c r="AQ887" i="16"/>
  <c r="AQ886" i="16"/>
  <c r="AQ885" i="16"/>
  <c r="AQ883" i="16"/>
  <c r="AQ881" i="16"/>
  <c r="AQ879" i="16"/>
  <c r="AQ878" i="16"/>
  <c r="AQ875" i="16"/>
  <c r="AQ874" i="16"/>
  <c r="AQ873" i="16"/>
  <c r="AQ872" i="16"/>
  <c r="AQ864" i="16"/>
  <c r="AQ861" i="16"/>
  <c r="AQ860" i="16"/>
  <c r="AQ859" i="16"/>
  <c r="AQ858" i="16"/>
  <c r="AQ857" i="16"/>
  <c r="AQ856" i="16"/>
  <c r="AQ848" i="16"/>
  <c r="AQ847" i="16"/>
  <c r="AQ846" i="16"/>
  <c r="AQ845" i="16"/>
  <c r="AQ844" i="16"/>
  <c r="AQ842" i="16"/>
  <c r="AQ841" i="16"/>
  <c r="AQ838" i="16"/>
  <c r="AQ836" i="16"/>
  <c r="AQ832" i="16"/>
  <c r="AQ828" i="16"/>
  <c r="AQ827" i="16"/>
  <c r="AQ822" i="16"/>
  <c r="AQ816" i="16"/>
  <c r="AQ813" i="16"/>
  <c r="AQ812" i="16"/>
  <c r="AQ808" i="16"/>
  <c r="AQ807" i="16"/>
  <c r="AQ806" i="16"/>
  <c r="AQ805" i="16"/>
  <c r="AQ803" i="16"/>
  <c r="AQ800" i="16"/>
  <c r="AQ796" i="16"/>
  <c r="AQ793" i="16"/>
  <c r="AQ787" i="16"/>
  <c r="AQ786" i="16"/>
  <c r="AQ785" i="16"/>
  <c r="AQ784" i="16"/>
  <c r="AQ783" i="16"/>
  <c r="AQ781" i="16"/>
  <c r="AQ777" i="16"/>
  <c r="AQ774" i="16"/>
  <c r="AQ761" i="16"/>
  <c r="AQ760" i="16"/>
  <c r="AQ759" i="16"/>
  <c r="AQ758" i="16"/>
  <c r="AQ757" i="16"/>
  <c r="AQ756" i="16"/>
  <c r="AQ753" i="16"/>
  <c r="AQ751" i="16"/>
  <c r="AQ750" i="16"/>
  <c r="AQ741" i="16"/>
  <c r="AQ740" i="16"/>
  <c r="AQ739" i="16"/>
  <c r="AQ735" i="16"/>
  <c r="AQ734" i="16"/>
  <c r="AQ733" i="16"/>
  <c r="AQ731" i="16"/>
  <c r="AQ730" i="16"/>
  <c r="AQ717" i="16"/>
  <c r="AQ714" i="16"/>
  <c r="AQ713" i="16"/>
  <c r="AQ712" i="16"/>
  <c r="AQ711" i="16"/>
  <c r="AQ709" i="16"/>
  <c r="AQ708" i="16"/>
  <c r="AQ706" i="16"/>
  <c r="AQ705" i="16"/>
  <c r="AQ704" i="16"/>
  <c r="AQ703" i="16"/>
  <c r="AQ702" i="16"/>
  <c r="AQ701" i="16"/>
  <c r="AQ700" i="16"/>
  <c r="AQ698" i="16"/>
  <c r="AQ693" i="16"/>
  <c r="AQ691" i="16"/>
  <c r="AQ686" i="16"/>
  <c r="AQ685" i="16"/>
  <c r="AQ684" i="16"/>
  <c r="AQ683" i="16"/>
  <c r="AQ680" i="16"/>
  <c r="AQ679" i="16"/>
  <c r="AQ678" i="16"/>
  <c r="AQ677" i="16"/>
  <c r="AQ676" i="16"/>
  <c r="AQ673" i="16"/>
  <c r="AQ672" i="16"/>
  <c r="AQ671" i="16"/>
  <c r="AQ670" i="16"/>
  <c r="AQ668" i="16"/>
  <c r="AQ667" i="16"/>
  <c r="AQ666" i="16"/>
  <c r="AQ665" i="16"/>
  <c r="AQ664" i="16"/>
  <c r="AQ662" i="16"/>
  <c r="AQ661" i="16"/>
  <c r="AQ660" i="16"/>
  <c r="AQ655" i="16"/>
  <c r="AQ654" i="16"/>
  <c r="AQ653" i="16"/>
  <c r="AQ652" i="16"/>
  <c r="AQ651" i="16"/>
  <c r="AQ649" i="16"/>
  <c r="AQ639" i="16"/>
  <c r="AQ637" i="16"/>
  <c r="AQ635" i="16"/>
  <c r="AQ634" i="16"/>
  <c r="AQ624" i="16"/>
  <c r="AQ574" i="16"/>
  <c r="AQ441" i="16"/>
  <c r="AQ248" i="16"/>
  <c r="AQ247" i="16"/>
  <c r="AQ473" i="16"/>
  <c r="AQ449" i="16"/>
  <c r="AQ387" i="16"/>
  <c r="AQ356" i="16"/>
  <c r="AQ355" i="16"/>
  <c r="C3" i="19"/>
  <c r="W18" i="19"/>
  <c r="W17" i="19"/>
  <c r="V2" i="19" l="1"/>
  <c r="V28" i="19"/>
  <c r="B7" i="19"/>
  <c r="B6" i="19"/>
  <c r="Y1338" i="16" l="1"/>
  <c r="Z1338" i="16"/>
  <c r="AA1338" i="16"/>
  <c r="AB1338" i="16"/>
  <c r="Y1339" i="16"/>
  <c r="Z1339" i="16"/>
  <c r="AA1339" i="16"/>
  <c r="AB1339" i="16"/>
  <c r="Y1340" i="16"/>
  <c r="Z1340" i="16"/>
  <c r="AA1340" i="16"/>
  <c r="AB1340" i="16"/>
  <c r="Y1341" i="16"/>
  <c r="Z1341" i="16"/>
  <c r="AA1341" i="16"/>
  <c r="AB1341" i="16"/>
  <c r="Y1342" i="16"/>
  <c r="Z1342" i="16"/>
  <c r="AA1342" i="16"/>
  <c r="AB1342" i="16"/>
  <c r="Y1343" i="16"/>
  <c r="Z1343" i="16"/>
  <c r="AA1343" i="16"/>
  <c r="AB1343" i="16"/>
  <c r="Y1344" i="16"/>
  <c r="Z1344" i="16"/>
  <c r="AA1344" i="16"/>
  <c r="AB1344" i="16"/>
  <c r="Y1345" i="16"/>
  <c r="Z1345" i="16"/>
  <c r="AA1345" i="16"/>
  <c r="AB1345" i="16"/>
  <c r="Y1346" i="16"/>
  <c r="Z1346" i="16"/>
  <c r="AA1346" i="16"/>
  <c r="AB1346" i="16"/>
  <c r="Y1347" i="16"/>
  <c r="Z1347" i="16"/>
  <c r="AA1347" i="16"/>
  <c r="AB1347" i="16"/>
  <c r="Y1348" i="16"/>
  <c r="Z1348" i="16"/>
  <c r="AA1348" i="16"/>
  <c r="AB1348" i="16"/>
  <c r="Y1349" i="16"/>
  <c r="Z1349" i="16"/>
  <c r="AA1349" i="16"/>
  <c r="AB1349" i="16"/>
  <c r="Y1350" i="16"/>
  <c r="Z1350" i="16"/>
  <c r="AA1350" i="16"/>
  <c r="AB1350" i="16"/>
  <c r="Y1351" i="16"/>
  <c r="Z1351" i="16"/>
  <c r="AA1351" i="16"/>
  <c r="AB1351" i="16"/>
  <c r="Y1352" i="16"/>
  <c r="Z1352" i="16"/>
  <c r="AA1352" i="16"/>
  <c r="AB1352" i="16"/>
  <c r="Y1353" i="16"/>
  <c r="Z1353" i="16"/>
  <c r="AA1353" i="16"/>
  <c r="AB1353" i="16"/>
  <c r="Y1354" i="16"/>
  <c r="Z1354" i="16"/>
  <c r="AA1354" i="16"/>
  <c r="AB1354" i="16"/>
  <c r="Y1355" i="16"/>
  <c r="Z1355" i="16"/>
  <c r="AA1355" i="16"/>
  <c r="AB1355" i="16"/>
  <c r="Y1356" i="16"/>
  <c r="Z1356" i="16"/>
  <c r="AA1356" i="16"/>
  <c r="AB1356" i="16"/>
  <c r="Y1357" i="16"/>
  <c r="Z1357" i="16"/>
  <c r="AA1357" i="16"/>
  <c r="AB1357" i="16"/>
  <c r="Y1358" i="16"/>
  <c r="Z1358" i="16"/>
  <c r="AA1358" i="16"/>
  <c r="AB1358" i="16"/>
  <c r="Y1359" i="16"/>
  <c r="Z1359" i="16"/>
  <c r="AA1359" i="16"/>
  <c r="AB1359" i="16"/>
  <c r="Y1360" i="16"/>
  <c r="Z1360" i="16"/>
  <c r="AA1360" i="16"/>
  <c r="AB1360" i="16"/>
  <c r="Y1361" i="16"/>
  <c r="Z1361" i="16"/>
  <c r="AA1361" i="16"/>
  <c r="AB1361" i="16"/>
  <c r="Y1362" i="16"/>
  <c r="Z1362" i="16"/>
  <c r="AA1362" i="16"/>
  <c r="AB1362" i="16"/>
  <c r="Y1363" i="16"/>
  <c r="Z1363" i="16"/>
  <c r="AA1363" i="16"/>
  <c r="AB1363" i="16"/>
  <c r="Y1364" i="16"/>
  <c r="Z1364" i="16"/>
  <c r="AA1364" i="16"/>
  <c r="AB1364" i="16"/>
  <c r="Y1365" i="16"/>
  <c r="Z1365" i="16"/>
  <c r="AA1365" i="16"/>
  <c r="AB1365" i="16"/>
  <c r="Y1366" i="16"/>
  <c r="Z1366" i="16"/>
  <c r="AA1366" i="16"/>
  <c r="AB1366" i="16"/>
  <c r="Y1367" i="16"/>
  <c r="Z1367" i="16"/>
  <c r="AA1367" i="16"/>
  <c r="AB1367" i="16"/>
  <c r="Y1368" i="16"/>
  <c r="Z1368" i="16"/>
  <c r="AA1368" i="16"/>
  <c r="AB1368" i="16"/>
  <c r="Y1369" i="16"/>
  <c r="Z1369" i="16"/>
  <c r="AA1369" i="16"/>
  <c r="AB1369" i="16"/>
  <c r="Y1370" i="16"/>
  <c r="Z1370" i="16"/>
  <c r="AA1370" i="16"/>
  <c r="AB1370" i="16"/>
  <c r="Y1371" i="16"/>
  <c r="Z1371" i="16"/>
  <c r="AA1371" i="16"/>
  <c r="AB1371" i="16"/>
  <c r="Y1372" i="16"/>
  <c r="Z1372" i="16"/>
  <c r="AA1372" i="16"/>
  <c r="AB1372" i="16"/>
  <c r="Y1373" i="16"/>
  <c r="Z1373" i="16"/>
  <c r="AA1373" i="16"/>
  <c r="AB1373" i="16"/>
  <c r="Y1374" i="16"/>
  <c r="Z1374" i="16"/>
  <c r="AA1374" i="16"/>
  <c r="AB1374" i="16"/>
  <c r="Y1375" i="16"/>
  <c r="Z1375" i="16"/>
  <c r="AA1375" i="16"/>
  <c r="AB1375" i="16"/>
  <c r="Y1376" i="16"/>
  <c r="Z1376" i="16"/>
  <c r="AA1376" i="16"/>
  <c r="AB1376" i="16"/>
  <c r="Y1377" i="16"/>
  <c r="Z1377" i="16"/>
  <c r="AA1377" i="16"/>
  <c r="AB1377" i="16"/>
  <c r="Y1378" i="16"/>
  <c r="Z1378" i="16"/>
  <c r="AA1378" i="16"/>
  <c r="AB1378" i="16"/>
  <c r="Y1379" i="16"/>
  <c r="Z1379" i="16"/>
  <c r="AA1379" i="16"/>
  <c r="AB1379" i="16"/>
  <c r="Y1380" i="16"/>
  <c r="Z1380" i="16"/>
  <c r="AA1380" i="16"/>
  <c r="AB1380" i="16"/>
  <c r="Y1381" i="16"/>
  <c r="Z1381" i="16"/>
  <c r="AA1381" i="16"/>
  <c r="AB1381" i="16"/>
  <c r="Y1382" i="16"/>
  <c r="Z1382" i="16"/>
  <c r="AA1382" i="16"/>
  <c r="AB1382" i="16"/>
  <c r="Y1383" i="16"/>
  <c r="Z1383" i="16"/>
  <c r="AA1383" i="16"/>
  <c r="AB1383" i="16"/>
  <c r="Y1384" i="16"/>
  <c r="Z1384" i="16"/>
  <c r="AA1384" i="16"/>
  <c r="AB1384" i="16"/>
  <c r="Y1385" i="16"/>
  <c r="Z1385" i="16"/>
  <c r="AA1385" i="16"/>
  <c r="AB1385" i="16"/>
  <c r="Y1386" i="16"/>
  <c r="Z1386" i="16"/>
  <c r="AA1386" i="16"/>
  <c r="AB1386" i="16"/>
  <c r="Y1387" i="16"/>
  <c r="Z1387" i="16"/>
  <c r="AA1387" i="16"/>
  <c r="AB1387" i="16"/>
  <c r="Y1388" i="16"/>
  <c r="Z1388" i="16"/>
  <c r="AA1388" i="16"/>
  <c r="AB1388" i="16"/>
  <c r="Y1389" i="16"/>
  <c r="Z1389" i="16"/>
  <c r="AA1389" i="16"/>
  <c r="AB1389" i="16"/>
  <c r="Y1390" i="16"/>
  <c r="Z1390" i="16"/>
  <c r="AA1390" i="16"/>
  <c r="AB1390" i="16"/>
  <c r="Y1391" i="16"/>
  <c r="Z1391" i="16"/>
  <c r="AA1391" i="16"/>
  <c r="AB1391" i="16"/>
  <c r="Y1392" i="16"/>
  <c r="Z1392" i="16"/>
  <c r="AA1392" i="16"/>
  <c r="AB1392" i="16"/>
  <c r="Y1393" i="16"/>
  <c r="Z1393" i="16"/>
  <c r="AA1393" i="16"/>
  <c r="AB1393" i="16"/>
  <c r="Y1394" i="16"/>
  <c r="Z1394" i="16"/>
  <c r="AA1394" i="16"/>
  <c r="AB1394" i="16"/>
  <c r="Y1395" i="16"/>
  <c r="Z1395" i="16"/>
  <c r="AA1395" i="16"/>
  <c r="AB1395" i="16"/>
  <c r="Y1396" i="16"/>
  <c r="Z1396" i="16"/>
  <c r="AA1396" i="16"/>
  <c r="AB1396" i="16"/>
  <c r="Y1397" i="16"/>
  <c r="Z1397" i="16"/>
  <c r="AA1397" i="16"/>
  <c r="AB1397" i="16"/>
  <c r="Y1398" i="16"/>
  <c r="Z1398" i="16"/>
  <c r="AA1398" i="16"/>
  <c r="AB1398" i="16"/>
  <c r="Y1399" i="16"/>
  <c r="Z1399" i="16"/>
  <c r="AA1399" i="16"/>
  <c r="AB1399" i="16"/>
  <c r="Y1400" i="16"/>
  <c r="Z1400" i="16"/>
  <c r="AA1400" i="16"/>
  <c r="AB1400" i="16"/>
  <c r="Y1401" i="16"/>
  <c r="Z1401" i="16"/>
  <c r="AA1401" i="16"/>
  <c r="AB1401" i="16"/>
  <c r="Y1402" i="16"/>
  <c r="Z1402" i="16"/>
  <c r="AA1402" i="16"/>
  <c r="AB1402" i="16"/>
  <c r="Y1403" i="16"/>
  <c r="Z1403" i="16"/>
  <c r="AA1403" i="16"/>
  <c r="AB1403" i="16"/>
  <c r="Y1404" i="16"/>
  <c r="Z1404" i="16"/>
  <c r="AA1404" i="16"/>
  <c r="AB1404" i="16"/>
  <c r="Y1405" i="16"/>
  <c r="Z1405" i="16"/>
  <c r="AA1405" i="16"/>
  <c r="AB1405" i="16"/>
  <c r="Y1406" i="16"/>
  <c r="Z1406" i="16"/>
  <c r="AA1406" i="16"/>
  <c r="AB1406" i="16"/>
  <c r="Y1407" i="16"/>
  <c r="Z1407" i="16"/>
  <c r="AA1407" i="16"/>
  <c r="AB1407" i="16"/>
  <c r="Y1408" i="16"/>
  <c r="Z1408" i="16"/>
  <c r="AA1408" i="16"/>
  <c r="AB1408" i="16"/>
  <c r="Y1409" i="16"/>
  <c r="Z1409" i="16"/>
  <c r="AA1409" i="16"/>
  <c r="AB1409" i="16"/>
  <c r="Y1410" i="16"/>
  <c r="Z1410" i="16"/>
  <c r="AA1410" i="16"/>
  <c r="AB1410" i="16"/>
  <c r="Y1411" i="16"/>
  <c r="Z1411" i="16"/>
  <c r="AA1411" i="16"/>
  <c r="AB1411" i="16"/>
  <c r="Y1412" i="16"/>
  <c r="Z1412" i="16"/>
  <c r="AA1412" i="16"/>
  <c r="AB1412" i="16"/>
  <c r="Y1413" i="16"/>
  <c r="Z1413" i="16"/>
  <c r="AA1413" i="16"/>
  <c r="AB1413" i="16"/>
  <c r="Y1414" i="16"/>
  <c r="Z1414" i="16"/>
  <c r="AA1414" i="16"/>
  <c r="AB1414" i="16"/>
  <c r="Y1415" i="16"/>
  <c r="Z1415" i="16"/>
  <c r="AA1415" i="16"/>
  <c r="AB1415" i="16"/>
  <c r="Y1416" i="16"/>
  <c r="Z1416" i="16"/>
  <c r="AA1416" i="16"/>
  <c r="AB1416" i="16"/>
  <c r="Y1417" i="16"/>
  <c r="Z1417" i="16"/>
  <c r="AA1417" i="16"/>
  <c r="AB1417" i="16"/>
  <c r="Y1418" i="16"/>
  <c r="Z1418" i="16"/>
  <c r="AA1418" i="16"/>
  <c r="AB1418" i="16"/>
  <c r="Y1419" i="16"/>
  <c r="Z1419" i="16"/>
  <c r="AA1419" i="16"/>
  <c r="AB1419" i="16"/>
  <c r="Y1420" i="16"/>
  <c r="Z1420" i="16"/>
  <c r="AA1420" i="16"/>
  <c r="AB1420" i="16"/>
  <c r="Y1421" i="16"/>
  <c r="Z1421" i="16"/>
  <c r="AA1421" i="16"/>
  <c r="AB1421" i="16"/>
  <c r="Y1422" i="16"/>
  <c r="Z1422" i="16"/>
  <c r="AA1422" i="16"/>
  <c r="AB1422" i="16"/>
  <c r="Y1423" i="16"/>
  <c r="Z1423" i="16"/>
  <c r="AA1423" i="16"/>
  <c r="AB1423" i="16"/>
  <c r="Y1424" i="16"/>
  <c r="Z1424" i="16"/>
  <c r="AA1424" i="16"/>
  <c r="AB1424" i="16"/>
  <c r="Y1425" i="16"/>
  <c r="Z1425" i="16"/>
  <c r="AA1425" i="16"/>
  <c r="AB1425" i="16"/>
  <c r="Y1426" i="16"/>
  <c r="Z1426" i="16"/>
  <c r="AA1426" i="16"/>
  <c r="AB1426" i="16"/>
  <c r="Y1427" i="16"/>
  <c r="Z1427" i="16"/>
  <c r="AA1427" i="16"/>
  <c r="AB1427" i="16"/>
  <c r="Y1428" i="16"/>
  <c r="Z1428" i="16"/>
  <c r="AA1428" i="16"/>
  <c r="AB1428" i="16"/>
  <c r="Y1429" i="16"/>
  <c r="Z1429" i="16"/>
  <c r="AA1429" i="16"/>
  <c r="AB1429" i="16"/>
  <c r="Y1430" i="16"/>
  <c r="Z1430" i="16"/>
  <c r="AA1430" i="16"/>
  <c r="AB1430" i="16"/>
  <c r="Y1431" i="16"/>
  <c r="Z1431" i="16"/>
  <c r="AA1431" i="16"/>
  <c r="AB1431" i="16"/>
  <c r="Y1432" i="16"/>
  <c r="Z1432" i="16"/>
  <c r="AA1432" i="16"/>
  <c r="AB1432" i="16"/>
  <c r="Y1433" i="16"/>
  <c r="Z1433" i="16"/>
  <c r="AA1433" i="16"/>
  <c r="AB1433" i="16"/>
  <c r="Y1434" i="16"/>
  <c r="Z1434" i="16"/>
  <c r="AA1434" i="16"/>
  <c r="AB1434" i="16"/>
  <c r="Y1435" i="16"/>
  <c r="Z1435" i="16"/>
  <c r="AA1435" i="16"/>
  <c r="AB1435" i="16"/>
  <c r="Y1436" i="16"/>
  <c r="Z1436" i="16"/>
  <c r="AA1436" i="16"/>
  <c r="AB1436" i="16"/>
  <c r="Y1437" i="16"/>
  <c r="Z1437" i="16"/>
  <c r="AA1437" i="16"/>
  <c r="AB1437" i="16"/>
  <c r="Y1438" i="16"/>
  <c r="Z1438" i="16"/>
  <c r="AA1438" i="16"/>
  <c r="AB1438" i="16"/>
  <c r="Y1439" i="16"/>
  <c r="Z1439" i="16"/>
  <c r="AA1439" i="16"/>
  <c r="AB1439" i="16"/>
  <c r="Y1440" i="16"/>
  <c r="Z1440" i="16"/>
  <c r="AA1440" i="16"/>
  <c r="AB1440" i="16"/>
  <c r="Y1441" i="16"/>
  <c r="Z1441" i="16"/>
  <c r="AA1441" i="16"/>
  <c r="AB1441" i="16"/>
  <c r="Y1442" i="16"/>
  <c r="Z1442" i="16"/>
  <c r="AA1442" i="16"/>
  <c r="AB1442" i="16"/>
  <c r="Y1443" i="16"/>
  <c r="Z1443" i="16"/>
  <c r="AA1443" i="16"/>
  <c r="AB1443" i="16"/>
  <c r="Y1444" i="16"/>
  <c r="Z1444" i="16"/>
  <c r="AA1444" i="16"/>
  <c r="AB1444" i="16"/>
  <c r="Y1445" i="16"/>
  <c r="Z1445" i="16"/>
  <c r="AA1445" i="16"/>
  <c r="AB1445" i="16"/>
  <c r="Y1446" i="16"/>
  <c r="Z1446" i="16"/>
  <c r="AA1446" i="16"/>
  <c r="AB1446" i="16"/>
  <c r="Y1447" i="16"/>
  <c r="Z1447" i="16"/>
  <c r="AA1447" i="16"/>
  <c r="AB1447" i="16"/>
  <c r="Y1448" i="16"/>
  <c r="Z1448" i="16"/>
  <c r="AA1448" i="16"/>
  <c r="AB1448" i="16"/>
  <c r="Y1449" i="16"/>
  <c r="Z1449" i="16"/>
  <c r="AA1449" i="16"/>
  <c r="AB1449" i="16"/>
  <c r="Y1450" i="16"/>
  <c r="Z1450" i="16"/>
  <c r="AA1450" i="16"/>
  <c r="AB1450" i="16"/>
  <c r="Y1451" i="16"/>
  <c r="Z1451" i="16"/>
  <c r="AA1451" i="16"/>
  <c r="AB1451" i="16"/>
  <c r="Y1452" i="16"/>
  <c r="Z1452" i="16"/>
  <c r="AA1452" i="16"/>
  <c r="AB1452" i="16"/>
  <c r="Y1453" i="16"/>
  <c r="Z1453" i="16"/>
  <c r="AA1453" i="16"/>
  <c r="AB1453" i="16"/>
  <c r="Y1454" i="16"/>
  <c r="Z1454" i="16"/>
  <c r="AA1454" i="16"/>
  <c r="AB1454" i="16"/>
  <c r="Y1455" i="16"/>
  <c r="Z1455" i="16"/>
  <c r="AA1455" i="16"/>
  <c r="AB1455" i="16"/>
  <c r="Y1456" i="16"/>
  <c r="Z1456" i="16"/>
  <c r="AA1456" i="16"/>
  <c r="AB1456" i="16"/>
  <c r="Y1457" i="16"/>
  <c r="Z1457" i="16"/>
  <c r="AA1457" i="16"/>
  <c r="AB1457" i="16"/>
  <c r="Y1458" i="16"/>
  <c r="Z1458" i="16"/>
  <c r="AA1458" i="16"/>
  <c r="AB1458" i="16"/>
  <c r="Y1459" i="16"/>
  <c r="Z1459" i="16"/>
  <c r="AA1459" i="16"/>
  <c r="AB1459" i="16"/>
  <c r="Y1460" i="16"/>
  <c r="Z1460" i="16"/>
  <c r="AA1460" i="16"/>
  <c r="AB1460" i="16"/>
  <c r="Y1461" i="16"/>
  <c r="Z1461" i="16"/>
  <c r="AA1461" i="16"/>
  <c r="AB1461" i="16"/>
  <c r="Y1462" i="16"/>
  <c r="Z1462" i="16"/>
  <c r="AA1462" i="16"/>
  <c r="AB1462" i="16"/>
  <c r="Y1463" i="16"/>
  <c r="Z1463" i="16"/>
  <c r="AA1463" i="16"/>
  <c r="AB1463" i="16"/>
  <c r="Y1464" i="16"/>
  <c r="Z1464" i="16"/>
  <c r="AA1464" i="16"/>
  <c r="AB1464" i="16"/>
  <c r="Y1465" i="16"/>
  <c r="Z1465" i="16"/>
  <c r="AA1465" i="16"/>
  <c r="AB1465" i="16"/>
  <c r="Y1466" i="16"/>
  <c r="Z1466" i="16"/>
  <c r="AA1466" i="16"/>
  <c r="AB1466" i="16"/>
  <c r="Y1467" i="16"/>
  <c r="Z1467" i="16"/>
  <c r="AA1467" i="16"/>
  <c r="AB1467" i="16"/>
  <c r="Y1468" i="16"/>
  <c r="Z1468" i="16"/>
  <c r="AA1468" i="16"/>
  <c r="AB1468" i="16"/>
  <c r="Y1469" i="16"/>
  <c r="Z1469" i="16"/>
  <c r="AA1469" i="16"/>
  <c r="AB1469" i="16"/>
  <c r="Y1470" i="16"/>
  <c r="Z1470" i="16"/>
  <c r="AA1470" i="16"/>
  <c r="AB1470" i="16"/>
  <c r="Y1471" i="16"/>
  <c r="Z1471" i="16"/>
  <c r="AA1471" i="16"/>
  <c r="AB1471" i="16"/>
  <c r="Y1472" i="16"/>
  <c r="Z1472" i="16"/>
  <c r="AA1472" i="16"/>
  <c r="AB1472" i="16"/>
  <c r="Y1473" i="16"/>
  <c r="Z1473" i="16"/>
  <c r="AA1473" i="16"/>
  <c r="AB1473" i="16"/>
  <c r="Y1474" i="16"/>
  <c r="Z1474" i="16"/>
  <c r="AA1474" i="16"/>
  <c r="AB1474" i="16"/>
  <c r="Y1475" i="16"/>
  <c r="Z1475" i="16"/>
  <c r="AA1475" i="16"/>
  <c r="AB1475" i="16"/>
  <c r="Y1476" i="16"/>
  <c r="Z1476" i="16"/>
  <c r="AA1476" i="16"/>
  <c r="AB1476" i="16"/>
  <c r="Y1477" i="16"/>
  <c r="Z1477" i="16"/>
  <c r="AA1477" i="16"/>
  <c r="AB1477" i="16"/>
  <c r="Y1478" i="16"/>
  <c r="Z1478" i="16"/>
  <c r="AA1478" i="16"/>
  <c r="AB1478" i="16"/>
  <c r="Y1479" i="16"/>
  <c r="Z1479" i="16"/>
  <c r="AA1479" i="16"/>
  <c r="AB1479" i="16"/>
  <c r="Y1480" i="16"/>
  <c r="Z1480" i="16"/>
  <c r="AA1480" i="16"/>
  <c r="AB1480" i="16"/>
  <c r="Y1481" i="16"/>
  <c r="Z1481" i="16"/>
  <c r="AA1481" i="16"/>
  <c r="AB1481" i="16"/>
  <c r="Y1482" i="16"/>
  <c r="Z1482" i="16"/>
  <c r="AA1482" i="16"/>
  <c r="AB1482" i="16"/>
  <c r="Y1483" i="16"/>
  <c r="Z1483" i="16"/>
  <c r="AA1483" i="16"/>
  <c r="AB1483" i="16"/>
  <c r="Y1484" i="16"/>
  <c r="Z1484" i="16"/>
  <c r="AA1484" i="16"/>
  <c r="AB1484" i="16"/>
  <c r="Y1485" i="16"/>
  <c r="Z1485" i="16"/>
  <c r="AA1485" i="16"/>
  <c r="AB1485" i="16"/>
  <c r="Y1486" i="16"/>
  <c r="Z1486" i="16"/>
  <c r="AA1486" i="16"/>
  <c r="AB1486" i="16"/>
  <c r="Y1487" i="16"/>
  <c r="Z1487" i="16"/>
  <c r="AA1487" i="16"/>
  <c r="AB1487" i="16"/>
  <c r="Y1488" i="16"/>
  <c r="Z1488" i="16"/>
  <c r="AA1488" i="16"/>
  <c r="AB1488" i="16"/>
  <c r="Y1489" i="16"/>
  <c r="Z1489" i="16"/>
  <c r="AA1489" i="16"/>
  <c r="AB1489" i="16"/>
  <c r="Y1490" i="16"/>
  <c r="Z1490" i="16"/>
  <c r="AA1490" i="16"/>
  <c r="AB1490" i="16"/>
  <c r="Y1491" i="16"/>
  <c r="Z1491" i="16"/>
  <c r="AA1491" i="16"/>
  <c r="AB1491" i="16"/>
  <c r="Y1492" i="16"/>
  <c r="Z1492" i="16"/>
  <c r="AA1492" i="16"/>
  <c r="AB1492" i="16"/>
  <c r="Y1493" i="16"/>
  <c r="Z1493" i="16"/>
  <c r="AA1493" i="16"/>
  <c r="AB1493" i="16"/>
  <c r="Y1494" i="16"/>
  <c r="Z1494" i="16"/>
  <c r="AA1494" i="16"/>
  <c r="AB1494" i="16"/>
  <c r="Y1495" i="16"/>
  <c r="Z1495" i="16"/>
  <c r="AA1495" i="16"/>
  <c r="AB1495" i="16"/>
  <c r="Y1496" i="16"/>
  <c r="Z1496" i="16"/>
  <c r="AA1496" i="16"/>
  <c r="AB1496" i="16"/>
  <c r="Y1497" i="16"/>
  <c r="Z1497" i="16"/>
  <c r="AA1497" i="16"/>
  <c r="AB1497" i="16"/>
  <c r="Y1498" i="16"/>
  <c r="Z1498" i="16"/>
  <c r="AA1498" i="16"/>
  <c r="AB1498" i="16"/>
  <c r="Y1499" i="16"/>
  <c r="Z1499" i="16"/>
  <c r="AA1499" i="16"/>
  <c r="AB1499" i="16"/>
  <c r="Y1500" i="16"/>
  <c r="Z1500" i="16"/>
  <c r="AA1500" i="16"/>
  <c r="AB1500" i="16"/>
  <c r="Y1501" i="16"/>
  <c r="Z1501" i="16"/>
  <c r="AA1501" i="16"/>
  <c r="AB1501" i="16"/>
  <c r="Y1502" i="16"/>
  <c r="Z1502" i="16"/>
  <c r="AA1502" i="16"/>
  <c r="AB1502" i="16"/>
  <c r="Y1503" i="16"/>
  <c r="Z1503" i="16"/>
  <c r="AA1503" i="16"/>
  <c r="AB1503" i="16"/>
  <c r="Y1504" i="16"/>
  <c r="Z1504" i="16"/>
  <c r="AA1504" i="16"/>
  <c r="AB1504" i="16"/>
  <c r="Y1505" i="16"/>
  <c r="Z1505" i="16"/>
  <c r="AA1505" i="16"/>
  <c r="AB1505" i="16"/>
  <c r="Y1506" i="16"/>
  <c r="Z1506" i="16"/>
  <c r="AA1506" i="16"/>
  <c r="AB1506" i="16"/>
  <c r="Y1507" i="16"/>
  <c r="Z1507" i="16"/>
  <c r="AA1507" i="16"/>
  <c r="AB1507" i="16"/>
  <c r="Y1508" i="16"/>
  <c r="Z1508" i="16"/>
  <c r="AA1508" i="16"/>
  <c r="AB1508" i="16"/>
  <c r="Y1509" i="16"/>
  <c r="Z1509" i="16"/>
  <c r="AA1509" i="16"/>
  <c r="AB1509" i="16"/>
  <c r="Y1510" i="16"/>
  <c r="Z1510" i="16"/>
  <c r="AA1510" i="16"/>
  <c r="AB1510" i="16"/>
  <c r="Y1511" i="16"/>
  <c r="Z1511" i="16"/>
  <c r="AA1511" i="16"/>
  <c r="AB1511" i="16"/>
  <c r="Y1512" i="16"/>
  <c r="Z1512" i="16"/>
  <c r="AA1512" i="16"/>
  <c r="AB1512" i="16"/>
  <c r="Y1513" i="16"/>
  <c r="Z1513" i="16"/>
  <c r="AA1513" i="16"/>
  <c r="AB1513" i="16"/>
  <c r="Y1514" i="16"/>
  <c r="Z1514" i="16"/>
  <c r="AA1514" i="16"/>
  <c r="AB1514" i="16"/>
  <c r="Y1515" i="16"/>
  <c r="Z1515" i="16"/>
  <c r="AA1515" i="16"/>
  <c r="AB1515" i="16"/>
  <c r="Y1516" i="16"/>
  <c r="Z1516" i="16"/>
  <c r="AA1516" i="16"/>
  <c r="AB1516" i="16"/>
  <c r="Y1517" i="16"/>
  <c r="Z1517" i="16"/>
  <c r="AA1517" i="16"/>
  <c r="AB1517" i="16"/>
  <c r="Y1518" i="16"/>
  <c r="Z1518" i="16"/>
  <c r="AA1518" i="16"/>
  <c r="AB1518" i="16"/>
  <c r="Y1519" i="16"/>
  <c r="Z1519" i="16"/>
  <c r="AA1519" i="16"/>
  <c r="AB1519" i="16"/>
  <c r="Y1520" i="16"/>
  <c r="Z1520" i="16"/>
  <c r="AA1520" i="16"/>
  <c r="AB1520" i="16"/>
  <c r="Y1521" i="16"/>
  <c r="Z1521" i="16"/>
  <c r="AA1521" i="16"/>
  <c r="AB1521" i="16"/>
  <c r="Y1522" i="16"/>
  <c r="Z1522" i="16"/>
  <c r="AA1522" i="16"/>
  <c r="AB1522" i="16"/>
  <c r="Y1523" i="16"/>
  <c r="Z1523" i="16"/>
  <c r="AA1523" i="16"/>
  <c r="AB1523" i="16"/>
  <c r="Y1524" i="16"/>
  <c r="Z1524" i="16"/>
  <c r="AA1524" i="16"/>
  <c r="AB1524" i="16"/>
  <c r="Y1525" i="16"/>
  <c r="Z1525" i="16"/>
  <c r="AA1525" i="16"/>
  <c r="AB1525" i="16"/>
  <c r="Y1526" i="16"/>
  <c r="Z1526" i="16"/>
  <c r="AA1526" i="16"/>
  <c r="AB1526" i="16"/>
  <c r="Y1527" i="16"/>
  <c r="Z1527" i="16"/>
  <c r="AA1527" i="16"/>
  <c r="AB1527" i="16"/>
  <c r="Y1528" i="16"/>
  <c r="Z1528" i="16"/>
  <c r="AA1528" i="16"/>
  <c r="AB1528" i="16"/>
  <c r="Y1529" i="16"/>
  <c r="Z1529" i="16"/>
  <c r="AA1529" i="16"/>
  <c r="AB1529" i="16"/>
  <c r="Y1530" i="16"/>
  <c r="Z1530" i="16"/>
  <c r="AA1530" i="16"/>
  <c r="AB1530" i="16"/>
  <c r="Y1531" i="16"/>
  <c r="Z1531" i="16"/>
  <c r="AA1531" i="16"/>
  <c r="AB1531" i="16"/>
  <c r="Y1532" i="16"/>
  <c r="Z1532" i="16"/>
  <c r="AA1532" i="16"/>
  <c r="AB1532" i="16"/>
  <c r="Y1533" i="16"/>
  <c r="Z1533" i="16"/>
  <c r="AA1533" i="16"/>
  <c r="AB1533" i="16"/>
  <c r="Y1534" i="16"/>
  <c r="Z1534" i="16"/>
  <c r="AA1534" i="16"/>
  <c r="AB1534" i="16"/>
  <c r="Y1535" i="16"/>
  <c r="Z1535" i="16"/>
  <c r="AA1535" i="16"/>
  <c r="AB1535" i="16"/>
  <c r="Y1536" i="16"/>
  <c r="Z1536" i="16"/>
  <c r="AA1536" i="16"/>
  <c r="AB1536" i="16"/>
  <c r="Y1537" i="16"/>
  <c r="Z1537" i="16"/>
  <c r="AA1537" i="16"/>
  <c r="AB1537" i="16"/>
  <c r="Y1538" i="16"/>
  <c r="Z1538" i="16"/>
  <c r="AA1538" i="16"/>
  <c r="AB1538" i="16"/>
  <c r="Y1539" i="16"/>
  <c r="Z1539" i="16"/>
  <c r="AA1539" i="16"/>
  <c r="AB1539" i="16"/>
  <c r="Y1540" i="16"/>
  <c r="Z1540" i="16"/>
  <c r="AA1540" i="16"/>
  <c r="AB1540" i="16"/>
  <c r="Y1541" i="16"/>
  <c r="Z1541" i="16"/>
  <c r="AA1541" i="16"/>
  <c r="AB1541" i="16"/>
  <c r="Y1542" i="16"/>
  <c r="Z1542" i="16"/>
  <c r="AA1542" i="16"/>
  <c r="AB1542" i="16"/>
  <c r="Y1543" i="16"/>
  <c r="Z1543" i="16"/>
  <c r="AA1543" i="16"/>
  <c r="AB1543" i="16"/>
  <c r="Y1544" i="16"/>
  <c r="Z1544" i="16"/>
  <c r="AA1544" i="16"/>
  <c r="AB1544" i="16"/>
  <c r="Y1545" i="16"/>
  <c r="Z1545" i="16"/>
  <c r="AA1545" i="16"/>
  <c r="AB1545" i="16"/>
  <c r="Y1546" i="16"/>
  <c r="Z1546" i="16"/>
  <c r="AA1546" i="16"/>
  <c r="AB1546" i="16"/>
  <c r="Y1547" i="16"/>
  <c r="Z1547" i="16"/>
  <c r="AA1547" i="16"/>
  <c r="AB1547" i="16"/>
  <c r="Y1548" i="16"/>
  <c r="Z1548" i="16"/>
  <c r="AA1548" i="16"/>
  <c r="AB1548" i="16"/>
  <c r="Y1549" i="16"/>
  <c r="Z1549" i="16"/>
  <c r="AA1549" i="16"/>
  <c r="AB1549" i="16"/>
  <c r="Y1550" i="16"/>
  <c r="Z1550" i="16"/>
  <c r="AA1550" i="16"/>
  <c r="AB1550" i="16"/>
  <c r="Y1551" i="16"/>
  <c r="Z1551" i="16"/>
  <c r="AA1551" i="16"/>
  <c r="AB1551" i="16"/>
  <c r="Y1552" i="16"/>
  <c r="Z1552" i="16"/>
  <c r="AA1552" i="16"/>
  <c r="AB1552" i="16"/>
  <c r="Y1553" i="16"/>
  <c r="Z1553" i="16"/>
  <c r="AA1553" i="16"/>
  <c r="AB1553" i="16"/>
  <c r="Y1554" i="16"/>
  <c r="Z1554" i="16"/>
  <c r="AA1554" i="16"/>
  <c r="AB1554" i="16"/>
  <c r="Y1555" i="16"/>
  <c r="Z1555" i="16"/>
  <c r="AA1555" i="16"/>
  <c r="AB1555" i="16"/>
  <c r="Y1556" i="16"/>
  <c r="Z1556" i="16"/>
  <c r="AA1556" i="16"/>
  <c r="AB1556" i="16"/>
  <c r="Y1557" i="16"/>
  <c r="Z1557" i="16"/>
  <c r="AA1557" i="16"/>
  <c r="AB1557" i="16"/>
  <c r="Y1558" i="16"/>
  <c r="Z1558" i="16"/>
  <c r="AA1558" i="16"/>
  <c r="AB1558" i="16"/>
  <c r="Y1559" i="16"/>
  <c r="Z1559" i="16"/>
  <c r="AA1559" i="16"/>
  <c r="AB1559" i="16"/>
  <c r="Y1560" i="16"/>
  <c r="Z1560" i="16"/>
  <c r="AA1560" i="16"/>
  <c r="AB1560" i="16"/>
  <c r="Y1561" i="16"/>
  <c r="Z1561" i="16"/>
  <c r="AA1561" i="16"/>
  <c r="AB1561" i="16"/>
  <c r="Y1562" i="16"/>
  <c r="Z1562" i="16"/>
  <c r="AA1562" i="16"/>
  <c r="AB1562" i="16"/>
  <c r="Y1563" i="16"/>
  <c r="Z1563" i="16"/>
  <c r="AA1563" i="16"/>
  <c r="AB1563" i="16"/>
  <c r="Y1564" i="16"/>
  <c r="Z1564" i="16"/>
  <c r="AA1564" i="16"/>
  <c r="AB1564" i="16"/>
  <c r="Y1565" i="16"/>
  <c r="Z1565" i="16"/>
  <c r="AA1565" i="16"/>
  <c r="AB1565" i="16"/>
  <c r="Y1566" i="16"/>
  <c r="Z1566" i="16"/>
  <c r="AA1566" i="16"/>
  <c r="AB1566" i="16"/>
  <c r="Y1567" i="16"/>
  <c r="Z1567" i="16"/>
  <c r="AA1567" i="16"/>
  <c r="AB1567" i="16"/>
  <c r="Y1568" i="16"/>
  <c r="Z1568" i="16"/>
  <c r="AA1568" i="16"/>
  <c r="AB1568" i="16"/>
  <c r="Y1569" i="16"/>
  <c r="Z1569" i="16"/>
  <c r="AA1569" i="16"/>
  <c r="AB1569" i="16"/>
  <c r="Y1570" i="16"/>
  <c r="Z1570" i="16"/>
  <c r="AA1570" i="16"/>
  <c r="AB1570" i="16"/>
  <c r="Y1571" i="16"/>
  <c r="Z1571" i="16"/>
  <c r="AA1571" i="16"/>
  <c r="AB1571" i="16"/>
  <c r="Y1572" i="16"/>
  <c r="Z1572" i="16"/>
  <c r="AA1572" i="16"/>
  <c r="AB1572" i="16"/>
  <c r="Y1573" i="16"/>
  <c r="Z1573" i="16"/>
  <c r="AA1573" i="16"/>
  <c r="AB1573" i="16"/>
  <c r="Y1574" i="16"/>
  <c r="Z1574" i="16"/>
  <c r="AA1574" i="16"/>
  <c r="AB1574" i="16"/>
  <c r="Y1575" i="16"/>
  <c r="Z1575" i="16"/>
  <c r="AA1575" i="16"/>
  <c r="AB1575" i="16"/>
  <c r="Y1576" i="16"/>
  <c r="Z1576" i="16"/>
  <c r="AA1576" i="16"/>
  <c r="AB1576" i="16"/>
  <c r="Y1577" i="16"/>
  <c r="Z1577" i="16"/>
  <c r="AA1577" i="16"/>
  <c r="AB1577" i="16"/>
  <c r="Y1578" i="16"/>
  <c r="Z1578" i="16"/>
  <c r="AA1578" i="16"/>
  <c r="AB1578" i="16"/>
  <c r="Y1579" i="16"/>
  <c r="Z1579" i="16"/>
  <c r="AA1579" i="16"/>
  <c r="AB1579" i="16"/>
  <c r="Y1580" i="16"/>
  <c r="Z1580" i="16"/>
  <c r="AA1580" i="16"/>
  <c r="AB1580" i="16"/>
  <c r="Y1581" i="16"/>
  <c r="Z1581" i="16"/>
  <c r="AA1581" i="16"/>
  <c r="AB1581" i="16"/>
  <c r="Y1582" i="16"/>
  <c r="Z1582" i="16"/>
  <c r="AA1582" i="16"/>
  <c r="AB1582" i="16"/>
  <c r="Y1583" i="16"/>
  <c r="Z1583" i="16"/>
  <c r="AA1583" i="16"/>
  <c r="AB1583" i="16"/>
  <c r="Y1584" i="16"/>
  <c r="Z1584" i="16"/>
  <c r="AA1584" i="16"/>
  <c r="AB1584" i="16"/>
  <c r="Y1585" i="16"/>
  <c r="Z1585" i="16"/>
  <c r="AA1585" i="16"/>
  <c r="AB1585" i="16"/>
  <c r="Y1586" i="16"/>
  <c r="Z1586" i="16"/>
  <c r="AA1586" i="16"/>
  <c r="AB1586" i="16"/>
  <c r="Y1587" i="16"/>
  <c r="Z1587" i="16"/>
  <c r="AA1587" i="16"/>
  <c r="AB1587" i="16"/>
  <c r="Y1588" i="16"/>
  <c r="Z1588" i="16"/>
  <c r="AA1588" i="16"/>
  <c r="AB1588" i="16"/>
  <c r="Y1589" i="16"/>
  <c r="Z1589" i="16"/>
  <c r="AA1589" i="16"/>
  <c r="AB1589" i="16"/>
  <c r="Y1590" i="16"/>
  <c r="Z1590" i="16"/>
  <c r="AA1590" i="16"/>
  <c r="AB1590" i="16"/>
  <c r="Y1591" i="16"/>
  <c r="Z1591" i="16"/>
  <c r="AA1591" i="16"/>
  <c r="AB1591" i="16"/>
  <c r="Y1592" i="16"/>
  <c r="Z1592" i="16"/>
  <c r="AA1592" i="16"/>
  <c r="AB1592" i="16"/>
  <c r="Y1593" i="16"/>
  <c r="Z1593" i="16"/>
  <c r="AA1593" i="16"/>
  <c r="AB1593" i="16"/>
  <c r="Y1594" i="16"/>
  <c r="Z1594" i="16"/>
  <c r="AA1594" i="16"/>
  <c r="AB1594" i="16"/>
  <c r="Y1595" i="16"/>
  <c r="Z1595" i="16"/>
  <c r="AA1595" i="16"/>
  <c r="AB1595" i="16"/>
  <c r="Y1596" i="16"/>
  <c r="Z1596" i="16"/>
  <c r="AA1596" i="16"/>
  <c r="AB1596" i="16"/>
  <c r="Y1597" i="16"/>
  <c r="Z1597" i="16"/>
  <c r="AA1597" i="16"/>
  <c r="AB1597" i="16"/>
  <c r="Y1598" i="16"/>
  <c r="Z1598" i="16"/>
  <c r="AA1598" i="16"/>
  <c r="AB1598" i="16"/>
  <c r="Y1599" i="16"/>
  <c r="Z1599" i="16"/>
  <c r="AA1599" i="16"/>
  <c r="AB1599" i="16"/>
  <c r="Y1600" i="16"/>
  <c r="Z1600" i="16"/>
  <c r="AA1600" i="16"/>
  <c r="AB1600" i="16"/>
  <c r="AB2" i="16"/>
  <c r="AA2" i="16"/>
  <c r="Z2" i="16"/>
  <c r="Y2" i="16"/>
  <c r="AC3" i="2"/>
  <c r="AD3" i="2" s="1"/>
  <c r="AC4" i="2"/>
  <c r="AD4" i="2" s="1"/>
  <c r="AC5" i="2"/>
  <c r="AD5" i="2" s="1"/>
  <c r="AC6" i="2"/>
  <c r="AD6" i="2" s="1"/>
  <c r="AC7" i="2"/>
  <c r="AD7" i="2" s="1"/>
  <c r="AC8" i="2"/>
  <c r="AD8" i="2" s="1"/>
  <c r="AC9" i="2"/>
  <c r="AD9" i="2" s="1"/>
  <c r="AC10" i="2"/>
  <c r="AD10" i="2" s="1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17" i="2"/>
  <c r="AD17" i="2" s="1"/>
  <c r="AC18" i="2"/>
  <c r="AD18" i="2" s="1"/>
  <c r="AC19" i="2"/>
  <c r="AD19" i="2" s="1"/>
  <c r="AC20" i="2"/>
  <c r="AD20" i="2" s="1"/>
  <c r="AC21" i="2"/>
  <c r="AD21" i="2" s="1"/>
  <c r="AC22" i="2"/>
  <c r="AD22" i="2" s="1"/>
  <c r="AC23" i="2"/>
  <c r="AD23" i="2" s="1"/>
  <c r="AC24" i="2"/>
  <c r="AD24" i="2" s="1"/>
  <c r="AC25" i="2"/>
  <c r="AD25" i="2" s="1"/>
  <c r="AC26" i="2"/>
  <c r="AD26" i="2" s="1"/>
  <c r="AC27" i="2"/>
  <c r="AD27" i="2" s="1"/>
  <c r="AC28" i="2"/>
  <c r="AD28" i="2" s="1"/>
  <c r="AC29" i="2"/>
  <c r="AD29" i="2" s="1"/>
  <c r="AC30" i="2"/>
  <c r="AD30" i="2" s="1"/>
  <c r="AC31" i="2"/>
  <c r="AD31" i="2" s="1"/>
  <c r="AC32" i="2"/>
  <c r="AD32" i="2" s="1"/>
  <c r="AC33" i="2"/>
  <c r="AD33" i="2" s="1"/>
  <c r="AC34" i="2"/>
  <c r="AD34" i="2" s="1"/>
  <c r="AC35" i="2"/>
  <c r="AD35" i="2" s="1"/>
  <c r="AC36" i="2"/>
  <c r="AD36" i="2" s="1"/>
  <c r="AC37" i="2"/>
  <c r="AD37" i="2" s="1"/>
  <c r="AC38" i="2"/>
  <c r="AD38" i="2" s="1"/>
  <c r="AC39" i="2"/>
  <c r="AD39" i="2" s="1"/>
  <c r="AC40" i="2"/>
  <c r="AD40" i="2" s="1"/>
  <c r="AC41" i="2"/>
  <c r="AD41" i="2" s="1"/>
  <c r="AC42" i="2"/>
  <c r="AD42" i="2" s="1"/>
  <c r="AC43" i="2"/>
  <c r="AD43" i="2" s="1"/>
  <c r="AC44" i="2"/>
  <c r="AD44" i="2" s="1"/>
  <c r="AC45" i="2"/>
  <c r="AD45" i="2" s="1"/>
  <c r="AC46" i="2"/>
  <c r="AD46" i="2" s="1"/>
  <c r="AC47" i="2"/>
  <c r="AD47" i="2" s="1"/>
  <c r="AC48" i="2"/>
  <c r="AD48" i="2" s="1"/>
  <c r="AC49" i="2"/>
  <c r="AD49" i="2" s="1"/>
  <c r="AC50" i="2"/>
  <c r="AD50" i="2" s="1"/>
  <c r="AC51" i="2"/>
  <c r="AD51" i="2" s="1"/>
  <c r="AC52" i="2"/>
  <c r="AD52" i="2" s="1"/>
  <c r="AC53" i="2"/>
  <c r="AD53" i="2" s="1"/>
  <c r="AC54" i="2"/>
  <c r="AD54" i="2" s="1"/>
  <c r="AC55" i="2"/>
  <c r="AD55" i="2" s="1"/>
  <c r="AC56" i="2"/>
  <c r="AD56" i="2" s="1"/>
  <c r="AC57" i="2"/>
  <c r="AD57" i="2" s="1"/>
  <c r="AC58" i="2"/>
  <c r="AD58" i="2" s="1"/>
  <c r="AC59" i="2"/>
  <c r="AD59" i="2" s="1"/>
  <c r="AC60" i="2"/>
  <c r="AD60" i="2" s="1"/>
  <c r="AC61" i="2"/>
  <c r="AD61" i="2" s="1"/>
  <c r="AC62" i="2"/>
  <c r="AD62" i="2" s="1"/>
  <c r="AC63" i="2"/>
  <c r="AD63" i="2" s="1"/>
  <c r="AC64" i="2"/>
  <c r="AD64" i="2" s="1"/>
  <c r="AC65" i="2"/>
  <c r="AD65" i="2" s="1"/>
  <c r="AC66" i="2"/>
  <c r="AD66" i="2" s="1"/>
  <c r="AC67" i="2"/>
  <c r="AD67" i="2" s="1"/>
  <c r="AC68" i="2"/>
  <c r="AD68" i="2" s="1"/>
  <c r="AC69" i="2"/>
  <c r="AD69" i="2" s="1"/>
  <c r="AC70" i="2"/>
  <c r="AD70" i="2" s="1"/>
  <c r="AC71" i="2"/>
  <c r="AD71" i="2" s="1"/>
  <c r="AC72" i="2"/>
  <c r="AD72" i="2" s="1"/>
  <c r="AC73" i="2"/>
  <c r="AD73" i="2" s="1"/>
  <c r="AC74" i="2"/>
  <c r="AD74" i="2" s="1"/>
  <c r="AC75" i="2"/>
  <c r="AD75" i="2" s="1"/>
  <c r="AC76" i="2"/>
  <c r="AD76" i="2" s="1"/>
  <c r="AC77" i="2"/>
  <c r="AD77" i="2" s="1"/>
  <c r="AC78" i="2"/>
  <c r="AD78" i="2" s="1"/>
  <c r="AC79" i="2"/>
  <c r="AD79" i="2" s="1"/>
  <c r="AC80" i="2"/>
  <c r="AD80" i="2" s="1"/>
  <c r="AC81" i="2"/>
  <c r="AD81" i="2" s="1"/>
  <c r="AC82" i="2"/>
  <c r="AD82" i="2" s="1"/>
  <c r="AC83" i="2"/>
  <c r="AD83" i="2" s="1"/>
  <c r="AC84" i="2"/>
  <c r="AD84" i="2" s="1"/>
  <c r="AC85" i="2"/>
  <c r="AD85" i="2" s="1"/>
  <c r="AC86" i="2"/>
  <c r="AD86" i="2" s="1"/>
  <c r="AC87" i="2"/>
  <c r="AD87" i="2" s="1"/>
  <c r="AC88" i="2"/>
  <c r="AD88" i="2" s="1"/>
  <c r="AC89" i="2"/>
  <c r="AD89" i="2" s="1"/>
  <c r="AC90" i="2"/>
  <c r="AD90" i="2" s="1"/>
  <c r="AC91" i="2"/>
  <c r="AD91" i="2" s="1"/>
  <c r="AC92" i="2"/>
  <c r="AD92" i="2" s="1"/>
  <c r="AC93" i="2"/>
  <c r="AD93" i="2" s="1"/>
  <c r="AC94" i="2"/>
  <c r="AD94" i="2" s="1"/>
  <c r="AC95" i="2"/>
  <c r="AD95" i="2" s="1"/>
  <c r="AC96" i="2"/>
  <c r="AD96" i="2" s="1"/>
  <c r="AC97" i="2"/>
  <c r="AD97" i="2" s="1"/>
  <c r="AC98" i="2"/>
  <c r="AD98" i="2" s="1"/>
  <c r="AC99" i="2"/>
  <c r="AD99" i="2" s="1"/>
  <c r="AC100" i="2"/>
  <c r="AD100" i="2" s="1"/>
  <c r="AC101" i="2"/>
  <c r="AD101" i="2" s="1"/>
  <c r="AC102" i="2"/>
  <c r="AC103" i="2"/>
  <c r="AD103" i="2" s="1"/>
  <c r="AC104" i="2"/>
  <c r="AD104" i="2" s="1"/>
  <c r="AC105" i="2"/>
  <c r="AD105" i="2" s="1"/>
  <c r="AC106" i="2"/>
  <c r="AD106" i="2" s="1"/>
  <c r="AC107" i="2"/>
  <c r="AD107" i="2" s="1"/>
  <c r="AC108" i="2"/>
  <c r="AD108" i="2" s="1"/>
  <c r="AC109" i="2"/>
  <c r="AD109" i="2" s="1"/>
  <c r="AC110" i="2"/>
  <c r="AD110" i="2" s="1"/>
  <c r="AC111" i="2"/>
  <c r="AD111" i="2" s="1"/>
  <c r="AC112" i="2"/>
  <c r="AD112" i="2" s="1"/>
  <c r="AC113" i="2"/>
  <c r="AD113" i="2" s="1"/>
  <c r="AC114" i="2"/>
  <c r="AD114" i="2" s="1"/>
  <c r="AC115" i="2"/>
  <c r="AD115" i="2" s="1"/>
  <c r="AC116" i="2"/>
  <c r="AD116" i="2" s="1"/>
  <c r="AC117" i="2"/>
  <c r="AD117" i="2" s="1"/>
  <c r="AC118" i="2"/>
  <c r="AD118" i="2" s="1"/>
  <c r="AC119" i="2"/>
  <c r="AD119" i="2" s="1"/>
  <c r="AC120" i="2"/>
  <c r="AD120" i="2" s="1"/>
  <c r="AC121" i="2"/>
  <c r="AD121" i="2" s="1"/>
  <c r="AC122" i="2"/>
  <c r="AD122" i="2" s="1"/>
  <c r="AC123" i="2"/>
  <c r="AD123" i="2" s="1"/>
  <c r="AC124" i="2"/>
  <c r="AD124" i="2" s="1"/>
  <c r="AC125" i="2"/>
  <c r="AD125" i="2" s="1"/>
  <c r="AC126" i="2"/>
  <c r="AD126" i="2" s="1"/>
  <c r="AC127" i="2"/>
  <c r="AD127" i="2" s="1"/>
  <c r="AC128" i="2"/>
  <c r="AD128" i="2" s="1"/>
  <c r="AC129" i="2"/>
  <c r="AD129" i="2" s="1"/>
  <c r="AC130" i="2"/>
  <c r="AD130" i="2" s="1"/>
  <c r="AC131" i="2"/>
  <c r="AD131" i="2" s="1"/>
  <c r="AC132" i="2"/>
  <c r="AD132" i="2" s="1"/>
  <c r="AC133" i="2"/>
  <c r="AD133" i="2" s="1"/>
  <c r="AC134" i="2"/>
  <c r="AD134" i="2" s="1"/>
  <c r="AC135" i="2"/>
  <c r="AD135" i="2" s="1"/>
  <c r="AC136" i="2"/>
  <c r="AD136" i="2" s="1"/>
  <c r="AC137" i="2"/>
  <c r="AD137" i="2" s="1"/>
  <c r="AC138" i="2"/>
  <c r="AD138" i="2" s="1"/>
  <c r="AC139" i="2"/>
  <c r="AD139" i="2" s="1"/>
  <c r="AC140" i="2"/>
  <c r="AD140" i="2" s="1"/>
  <c r="AC141" i="2"/>
  <c r="AD141" i="2" s="1"/>
  <c r="AC142" i="2"/>
  <c r="AD142" i="2" s="1"/>
  <c r="AC143" i="2"/>
  <c r="AD143" i="2" s="1"/>
  <c r="AC144" i="2"/>
  <c r="AD144" i="2" s="1"/>
  <c r="AC145" i="2"/>
  <c r="AD145" i="2" s="1"/>
  <c r="AC146" i="2"/>
  <c r="AD146" i="2" s="1"/>
  <c r="AC147" i="2"/>
  <c r="AD147" i="2" s="1"/>
  <c r="AC148" i="2"/>
  <c r="AD148" i="2" s="1"/>
  <c r="AC149" i="2"/>
  <c r="AD149" i="2" s="1"/>
  <c r="AC150" i="2"/>
  <c r="AD150" i="2" s="1"/>
  <c r="AC151" i="2"/>
  <c r="AD151" i="2" s="1"/>
  <c r="AC152" i="2"/>
  <c r="AD152" i="2" s="1"/>
  <c r="AC153" i="2"/>
  <c r="AD153" i="2" s="1"/>
  <c r="AC154" i="2"/>
  <c r="AD154" i="2" s="1"/>
  <c r="AC155" i="2"/>
  <c r="AD155" i="2" s="1"/>
  <c r="AC156" i="2"/>
  <c r="AD156" i="2" s="1"/>
  <c r="AC157" i="2"/>
  <c r="AD157" i="2" s="1"/>
  <c r="AC158" i="2"/>
  <c r="AD158" i="2" s="1"/>
  <c r="AC159" i="2"/>
  <c r="AD159" i="2" s="1"/>
  <c r="AC160" i="2"/>
  <c r="AD160" i="2" s="1"/>
  <c r="AC161" i="2"/>
  <c r="AD161" i="2" s="1"/>
  <c r="AC162" i="2"/>
  <c r="AD162" i="2" s="1"/>
  <c r="AC163" i="2"/>
  <c r="AD163" i="2" s="1"/>
  <c r="AC164" i="2"/>
  <c r="AD164" i="2" s="1"/>
  <c r="AC165" i="2"/>
  <c r="AD165" i="2" s="1"/>
  <c r="AC166" i="2"/>
  <c r="AD166" i="2" s="1"/>
  <c r="AC167" i="2"/>
  <c r="AD167" i="2" s="1"/>
  <c r="AC168" i="2"/>
  <c r="AD168" i="2" s="1"/>
  <c r="AC169" i="2"/>
  <c r="AD169" i="2" s="1"/>
  <c r="AC170" i="2"/>
  <c r="AD170" i="2" s="1"/>
  <c r="AC171" i="2"/>
  <c r="AD171" i="2" s="1"/>
  <c r="AC172" i="2"/>
  <c r="AD172" i="2" s="1"/>
  <c r="AC173" i="2"/>
  <c r="AD173" i="2" s="1"/>
  <c r="AC174" i="2"/>
  <c r="AD174" i="2" s="1"/>
  <c r="AC175" i="2"/>
  <c r="AD175" i="2" s="1"/>
  <c r="AC176" i="2"/>
  <c r="AD176" i="2" s="1"/>
  <c r="AC177" i="2"/>
  <c r="AD177" i="2" s="1"/>
  <c r="AC178" i="2"/>
  <c r="AD178" i="2" s="1"/>
  <c r="AC179" i="2"/>
  <c r="AD179" i="2" s="1"/>
  <c r="AC180" i="2"/>
  <c r="AD180" i="2" s="1"/>
  <c r="AC181" i="2"/>
  <c r="AD181" i="2" s="1"/>
  <c r="AC182" i="2"/>
  <c r="AD182" i="2" s="1"/>
  <c r="AC183" i="2"/>
  <c r="AD183" i="2" s="1"/>
  <c r="AC184" i="2"/>
  <c r="AD184" i="2" s="1"/>
  <c r="AC185" i="2"/>
  <c r="AD185" i="2" s="1"/>
  <c r="AC186" i="2"/>
  <c r="AD186" i="2" s="1"/>
  <c r="AC187" i="2"/>
  <c r="AD187" i="2" s="1"/>
  <c r="AC188" i="2"/>
  <c r="AD188" i="2" s="1"/>
  <c r="AC189" i="2"/>
  <c r="AD189" i="2" s="1"/>
  <c r="AC190" i="2"/>
  <c r="AD190" i="2" s="1"/>
  <c r="AC191" i="2"/>
  <c r="AD191" i="2" s="1"/>
  <c r="AC192" i="2"/>
  <c r="AD192" i="2" s="1"/>
  <c r="AC193" i="2"/>
  <c r="AD193" i="2" s="1"/>
  <c r="AC194" i="2"/>
  <c r="AD194" i="2" s="1"/>
  <c r="AC195" i="2"/>
  <c r="AD195" i="2" s="1"/>
  <c r="AC196" i="2"/>
  <c r="AD196" i="2" s="1"/>
  <c r="AC197" i="2"/>
  <c r="AD197" i="2" s="1"/>
  <c r="AC198" i="2"/>
  <c r="AD198" i="2" s="1"/>
  <c r="AC199" i="2"/>
  <c r="AD199" i="2" s="1"/>
  <c r="AC200" i="2"/>
  <c r="AD200" i="2" s="1"/>
  <c r="AC201" i="2"/>
  <c r="AD201" i="2" s="1"/>
  <c r="AC202" i="2"/>
  <c r="AD202" i="2" s="1"/>
  <c r="AC203" i="2"/>
  <c r="AD203" i="2" s="1"/>
  <c r="AC204" i="2"/>
  <c r="AD204" i="2" s="1"/>
  <c r="AC205" i="2"/>
  <c r="AD205" i="2" s="1"/>
  <c r="AC206" i="2"/>
  <c r="AD206" i="2" s="1"/>
  <c r="AC207" i="2"/>
  <c r="AD207" i="2" s="1"/>
  <c r="AC208" i="2"/>
  <c r="AD208" i="2" s="1"/>
  <c r="AC209" i="2"/>
  <c r="AD209" i="2" s="1"/>
  <c r="AC210" i="2"/>
  <c r="AD210" i="2" s="1"/>
  <c r="AC211" i="2"/>
  <c r="AD211" i="2" s="1"/>
  <c r="AC212" i="2"/>
  <c r="AD212" i="2" s="1"/>
  <c r="AC213" i="2"/>
  <c r="AD213" i="2" s="1"/>
  <c r="AC214" i="2"/>
  <c r="AD214" i="2" s="1"/>
  <c r="AC215" i="2"/>
  <c r="AD215" i="2" s="1"/>
  <c r="AC216" i="2"/>
  <c r="AD216" i="2" s="1"/>
  <c r="AC217" i="2"/>
  <c r="AD217" i="2" s="1"/>
  <c r="AC218" i="2"/>
  <c r="AD218" i="2" s="1"/>
  <c r="AC219" i="2"/>
  <c r="AD219" i="2" s="1"/>
  <c r="AC220" i="2"/>
  <c r="AD220" i="2" s="1"/>
  <c r="AC221" i="2"/>
  <c r="AD221" i="2" s="1"/>
  <c r="AC222" i="2"/>
  <c r="AD222" i="2" s="1"/>
  <c r="AC223" i="2"/>
  <c r="AD223" i="2" s="1"/>
  <c r="AC224" i="2"/>
  <c r="AD224" i="2" s="1"/>
  <c r="AC225" i="2"/>
  <c r="AD225" i="2" s="1"/>
  <c r="AC226" i="2"/>
  <c r="AD226" i="2" s="1"/>
  <c r="AC227" i="2"/>
  <c r="AD227" i="2" s="1"/>
  <c r="AC228" i="2"/>
  <c r="AD228" i="2" s="1"/>
  <c r="AC229" i="2"/>
  <c r="AC230" i="2"/>
  <c r="AC231" i="2"/>
  <c r="AD231" i="2" s="1"/>
  <c r="AC232" i="2"/>
  <c r="AD232" i="2" s="1"/>
  <c r="AC233" i="2"/>
  <c r="AD233" i="2" s="1"/>
  <c r="AC234" i="2"/>
  <c r="AD234" i="2" s="1"/>
  <c r="AC235" i="2"/>
  <c r="AD235" i="2" s="1"/>
  <c r="AC236" i="2"/>
  <c r="AD236" i="2" s="1"/>
  <c r="AC237" i="2"/>
  <c r="AD237" i="2" s="1"/>
  <c r="AC238" i="2"/>
  <c r="AD238" i="2" s="1"/>
  <c r="AC239" i="2"/>
  <c r="AD239" i="2" s="1"/>
  <c r="AC240" i="2"/>
  <c r="AD240" i="2" s="1"/>
  <c r="AC241" i="2"/>
  <c r="AD241" i="2" s="1"/>
  <c r="AC242" i="2"/>
  <c r="AD242" i="2" s="1"/>
  <c r="AC243" i="2"/>
  <c r="AD243" i="2" s="1"/>
  <c r="AC244" i="2"/>
  <c r="AD244" i="2" s="1"/>
  <c r="AC245" i="2"/>
  <c r="AD245" i="2" s="1"/>
  <c r="AC246" i="2"/>
  <c r="AD246" i="2" s="1"/>
  <c r="AC247" i="2"/>
  <c r="AD247" i="2" s="1"/>
  <c r="AC248" i="2"/>
  <c r="AD248" i="2" s="1"/>
  <c r="AC249" i="2"/>
  <c r="AD249" i="2" s="1"/>
  <c r="AC250" i="2"/>
  <c r="AD250" i="2" s="1"/>
  <c r="AC251" i="2"/>
  <c r="AD251" i="2" s="1"/>
  <c r="AC252" i="2"/>
  <c r="AD252" i="2" s="1"/>
  <c r="AC253" i="2"/>
  <c r="AD253" i="2" s="1"/>
  <c r="AC254" i="2"/>
  <c r="AD254" i="2" s="1"/>
  <c r="AC255" i="2"/>
  <c r="AD255" i="2" s="1"/>
  <c r="AC256" i="2"/>
  <c r="AD256" i="2" s="1"/>
  <c r="AC257" i="2"/>
  <c r="AD257" i="2" s="1"/>
  <c r="AC258" i="2"/>
  <c r="AD258" i="2" s="1"/>
  <c r="AC259" i="2"/>
  <c r="AD259" i="2" s="1"/>
  <c r="AC260" i="2"/>
  <c r="AD260" i="2" s="1"/>
  <c r="AC261" i="2"/>
  <c r="AD261" i="2" s="1"/>
  <c r="AC262" i="2"/>
  <c r="AD262" i="2" s="1"/>
  <c r="AC263" i="2"/>
  <c r="AD263" i="2" s="1"/>
  <c r="AC264" i="2"/>
  <c r="AD264" i="2" s="1"/>
  <c r="AC265" i="2"/>
  <c r="AD265" i="2" s="1"/>
  <c r="AC266" i="2"/>
  <c r="AD266" i="2" s="1"/>
  <c r="AC267" i="2"/>
  <c r="AD267" i="2" s="1"/>
  <c r="AC268" i="2"/>
  <c r="AD268" i="2" s="1"/>
  <c r="AC269" i="2"/>
  <c r="AD269" i="2" s="1"/>
  <c r="AC270" i="2"/>
  <c r="AD270" i="2" s="1"/>
  <c r="AC271" i="2"/>
  <c r="AD271" i="2" s="1"/>
  <c r="AC272" i="2"/>
  <c r="AD272" i="2" s="1"/>
  <c r="AC273" i="2"/>
  <c r="AD273" i="2" s="1"/>
  <c r="AC274" i="2"/>
  <c r="AD274" i="2" s="1"/>
  <c r="AC275" i="2"/>
  <c r="AD275" i="2" s="1"/>
  <c r="AC276" i="2"/>
  <c r="AD276" i="2" s="1"/>
  <c r="AC277" i="2"/>
  <c r="AD277" i="2" s="1"/>
  <c r="AC278" i="2"/>
  <c r="AD278" i="2" s="1"/>
  <c r="AC279" i="2"/>
  <c r="AD279" i="2" s="1"/>
  <c r="AC280" i="2"/>
  <c r="AD280" i="2" s="1"/>
  <c r="AC281" i="2"/>
  <c r="AD281" i="2" s="1"/>
  <c r="AC282" i="2"/>
  <c r="AD282" i="2" s="1"/>
  <c r="AC283" i="2"/>
  <c r="AD283" i="2" s="1"/>
  <c r="AC284" i="2"/>
  <c r="AD284" i="2" s="1"/>
  <c r="AC285" i="2"/>
  <c r="AD285" i="2" s="1"/>
  <c r="AC286" i="2"/>
  <c r="AD286" i="2" s="1"/>
  <c r="AC287" i="2"/>
  <c r="AD287" i="2" s="1"/>
  <c r="AC288" i="2"/>
  <c r="AD288" i="2" s="1"/>
  <c r="AC289" i="2"/>
  <c r="AD289" i="2" s="1"/>
  <c r="AC290" i="2"/>
  <c r="AD290" i="2" s="1"/>
  <c r="AC291" i="2"/>
  <c r="AD291" i="2" s="1"/>
  <c r="AC292" i="2"/>
  <c r="AD292" i="2" s="1"/>
  <c r="AC293" i="2"/>
  <c r="AD293" i="2" s="1"/>
  <c r="AC294" i="2"/>
  <c r="AD294" i="2" s="1"/>
  <c r="AC295" i="2"/>
  <c r="AD295" i="2" s="1"/>
  <c r="AC296" i="2"/>
  <c r="AD296" i="2" s="1"/>
  <c r="AC297" i="2"/>
  <c r="AD297" i="2" s="1"/>
  <c r="AC298" i="2"/>
  <c r="AD298" i="2" s="1"/>
  <c r="AC299" i="2"/>
  <c r="AD299" i="2" s="1"/>
  <c r="AC300" i="2"/>
  <c r="AD300" i="2" s="1"/>
  <c r="AC301" i="2"/>
  <c r="AD301" i="2" s="1"/>
  <c r="AC302" i="2"/>
  <c r="AD302" i="2" s="1"/>
  <c r="AC303" i="2"/>
  <c r="AD303" i="2" s="1"/>
  <c r="AC304" i="2"/>
  <c r="AD304" i="2" s="1"/>
  <c r="AC305" i="2"/>
  <c r="AD305" i="2" s="1"/>
  <c r="AC306" i="2"/>
  <c r="AD306" i="2" s="1"/>
  <c r="AC307" i="2"/>
  <c r="AD307" i="2" s="1"/>
  <c r="AC308" i="2"/>
  <c r="AD308" i="2" s="1"/>
  <c r="AC309" i="2"/>
  <c r="AD309" i="2" s="1"/>
  <c r="AC310" i="2"/>
  <c r="AD310" i="2" s="1"/>
  <c r="AC311" i="2"/>
  <c r="AD311" i="2" s="1"/>
  <c r="AC312" i="2"/>
  <c r="AD312" i="2" s="1"/>
  <c r="AC313" i="2"/>
  <c r="AD313" i="2" s="1"/>
  <c r="AC314" i="2"/>
  <c r="AD314" i="2" s="1"/>
  <c r="AC315" i="2"/>
  <c r="AD315" i="2" s="1"/>
  <c r="AC316" i="2"/>
  <c r="AD316" i="2" s="1"/>
  <c r="AC317" i="2"/>
  <c r="AD317" i="2" s="1"/>
  <c r="AC318" i="2"/>
  <c r="AD318" i="2" s="1"/>
  <c r="AC319" i="2"/>
  <c r="AD319" i="2" s="1"/>
  <c r="AC320" i="2"/>
  <c r="AD320" i="2" s="1"/>
  <c r="AC321" i="2"/>
  <c r="AD321" i="2" s="1"/>
  <c r="AC322" i="2"/>
  <c r="AD322" i="2" s="1"/>
  <c r="AC323" i="2"/>
  <c r="AD323" i="2" s="1"/>
  <c r="AC324" i="2"/>
  <c r="AD324" i="2" s="1"/>
  <c r="AC325" i="2"/>
  <c r="AD325" i="2" s="1"/>
  <c r="AC326" i="2"/>
  <c r="AD326" i="2" s="1"/>
  <c r="AC327" i="2"/>
  <c r="AD327" i="2" s="1"/>
  <c r="AC328" i="2"/>
  <c r="AD328" i="2" s="1"/>
  <c r="AC329" i="2"/>
  <c r="AD329" i="2" s="1"/>
  <c r="AC330" i="2"/>
  <c r="AD330" i="2" s="1"/>
  <c r="AC331" i="2"/>
  <c r="AD331" i="2" s="1"/>
  <c r="AC332" i="2"/>
  <c r="AD332" i="2" s="1"/>
  <c r="AC333" i="2"/>
  <c r="AD333" i="2" s="1"/>
  <c r="AC334" i="2"/>
  <c r="AD334" i="2" s="1"/>
  <c r="AC335" i="2"/>
  <c r="AD335" i="2" s="1"/>
  <c r="AC336" i="2"/>
  <c r="AD336" i="2" s="1"/>
  <c r="AC337" i="2"/>
  <c r="AC338" i="2"/>
  <c r="AD338" i="2" s="1"/>
  <c r="AC339" i="2"/>
  <c r="AD339" i="2" s="1"/>
  <c r="AC340" i="2"/>
  <c r="AD340" i="2" s="1"/>
  <c r="AC341" i="2"/>
  <c r="AD341" i="2" s="1"/>
  <c r="AC342" i="2"/>
  <c r="AD342" i="2" s="1"/>
  <c r="AC343" i="2"/>
  <c r="AD343" i="2" s="1"/>
  <c r="AC344" i="2"/>
  <c r="AD344" i="2" s="1"/>
  <c r="AC345" i="2"/>
  <c r="AD345" i="2" s="1"/>
  <c r="AC346" i="2"/>
  <c r="AD346" i="2" s="1"/>
  <c r="AC347" i="2"/>
  <c r="AD347" i="2" s="1"/>
  <c r="AC348" i="2"/>
  <c r="AD348" i="2" s="1"/>
  <c r="AC349" i="2"/>
  <c r="AD349" i="2" s="1"/>
  <c r="AC350" i="2"/>
  <c r="AD350" i="2" s="1"/>
  <c r="AC351" i="2"/>
  <c r="AD351" i="2" s="1"/>
  <c r="AC352" i="2"/>
  <c r="AD352" i="2" s="1"/>
  <c r="AC353" i="2"/>
  <c r="AD353" i="2" s="1"/>
  <c r="AC354" i="2"/>
  <c r="AD354" i="2" s="1"/>
  <c r="AC355" i="2"/>
  <c r="AD355" i="2" s="1"/>
  <c r="AC356" i="2"/>
  <c r="AD356" i="2" s="1"/>
  <c r="AC357" i="2"/>
  <c r="AD357" i="2" s="1"/>
  <c r="AC358" i="2"/>
  <c r="AD358" i="2" s="1"/>
  <c r="AC359" i="2"/>
  <c r="AD359" i="2" s="1"/>
  <c r="AC360" i="2"/>
  <c r="AD360" i="2" s="1"/>
  <c r="AC361" i="2"/>
  <c r="AD361" i="2" s="1"/>
  <c r="AC362" i="2"/>
  <c r="AD362" i="2" s="1"/>
  <c r="AC363" i="2"/>
  <c r="AD363" i="2" s="1"/>
  <c r="AC364" i="2"/>
  <c r="AC365" i="2"/>
  <c r="AD365" i="2" s="1"/>
  <c r="AC366" i="2"/>
  <c r="AD366" i="2" s="1"/>
  <c r="AC367" i="2"/>
  <c r="AD367" i="2" s="1"/>
  <c r="AC368" i="2"/>
  <c r="AD368" i="2" s="1"/>
  <c r="AC369" i="2"/>
  <c r="AD369" i="2" s="1"/>
  <c r="AC370" i="2"/>
  <c r="AD370" i="2" s="1"/>
  <c r="AC371" i="2"/>
  <c r="AD371" i="2" s="1"/>
  <c r="AC372" i="2"/>
  <c r="AD372" i="2" s="1"/>
  <c r="AC373" i="2"/>
  <c r="AD373" i="2" s="1"/>
  <c r="AC374" i="2"/>
  <c r="AD374" i="2" s="1"/>
  <c r="AC375" i="2"/>
  <c r="AD375" i="2" s="1"/>
  <c r="AC376" i="2"/>
  <c r="AD376" i="2" s="1"/>
  <c r="AC377" i="2"/>
  <c r="AD377" i="2" s="1"/>
  <c r="AC378" i="2"/>
  <c r="AD378" i="2" s="1"/>
  <c r="AC379" i="2"/>
  <c r="AD379" i="2" s="1"/>
  <c r="AC380" i="2"/>
  <c r="AD380" i="2" s="1"/>
  <c r="AC381" i="2"/>
  <c r="AD381" i="2" s="1"/>
  <c r="AC382" i="2"/>
  <c r="AD382" i="2" s="1"/>
  <c r="AC383" i="2"/>
  <c r="AD383" i="2" s="1"/>
  <c r="AC384" i="2"/>
  <c r="AD384" i="2" s="1"/>
  <c r="AC385" i="2"/>
  <c r="AD385" i="2" s="1"/>
  <c r="AC386" i="2"/>
  <c r="AD386" i="2" s="1"/>
  <c r="AC387" i="2"/>
  <c r="AD387" i="2" s="1"/>
  <c r="AC388" i="2"/>
  <c r="AD388" i="2" s="1"/>
  <c r="AC389" i="2"/>
  <c r="AD389" i="2" s="1"/>
  <c r="AC390" i="2"/>
  <c r="AD390" i="2" s="1"/>
  <c r="AC391" i="2"/>
  <c r="AD391" i="2" s="1"/>
  <c r="AC392" i="2"/>
  <c r="AD392" i="2" s="1"/>
  <c r="AC393" i="2"/>
  <c r="AC394" i="2"/>
  <c r="AC395" i="2"/>
  <c r="AD395" i="2" s="1"/>
  <c r="AC396" i="2"/>
  <c r="AD396" i="2" s="1"/>
  <c r="AC397" i="2"/>
  <c r="AD397" i="2" s="1"/>
  <c r="AC398" i="2"/>
  <c r="AD398" i="2" s="1"/>
  <c r="AC399" i="2"/>
  <c r="AD399" i="2" s="1"/>
  <c r="AC400" i="2"/>
  <c r="AC401" i="2"/>
  <c r="AC402" i="2"/>
  <c r="AC403" i="2"/>
  <c r="AD403" i="2" s="1"/>
  <c r="AC404" i="2"/>
  <c r="AD404" i="2" s="1"/>
  <c r="AC405" i="2"/>
  <c r="AD405" i="2" s="1"/>
  <c r="AC406" i="2"/>
  <c r="AD406" i="2" s="1"/>
  <c r="AC407" i="2"/>
  <c r="AD407" i="2" s="1"/>
  <c r="AC408" i="2"/>
  <c r="AD408" i="2" s="1"/>
  <c r="AC409" i="2"/>
  <c r="AD409" i="2" s="1"/>
  <c r="AC410" i="2"/>
  <c r="AD410" i="2" s="1"/>
  <c r="AC411" i="2"/>
  <c r="AD411" i="2" s="1"/>
  <c r="AC412" i="2"/>
  <c r="AD412" i="2" s="1"/>
  <c r="AC413" i="2"/>
  <c r="AC414" i="2"/>
  <c r="AD414" i="2" s="1"/>
  <c r="AC415" i="2"/>
  <c r="AD415" i="2" s="1"/>
  <c r="AC416" i="2"/>
  <c r="AD416" i="2" s="1"/>
  <c r="AC417" i="2"/>
  <c r="AD417" i="2" s="1"/>
  <c r="AC418" i="2"/>
  <c r="AD418" i="2" s="1"/>
  <c r="AC419" i="2"/>
  <c r="AD419" i="2" s="1"/>
  <c r="AC420" i="2"/>
  <c r="AD420" i="2" s="1"/>
  <c r="AC421" i="2"/>
  <c r="AD421" i="2" s="1"/>
  <c r="AC422" i="2"/>
  <c r="AD422" i="2" s="1"/>
  <c r="AC423" i="2"/>
  <c r="AD423" i="2" s="1"/>
  <c r="AC424" i="2"/>
  <c r="AD424" i="2" s="1"/>
  <c r="AC425" i="2"/>
  <c r="AD425" i="2" s="1"/>
  <c r="AC426" i="2"/>
  <c r="AD426" i="2" s="1"/>
  <c r="AC427" i="2"/>
  <c r="AD427" i="2" s="1"/>
  <c r="AC428" i="2"/>
  <c r="AD428" i="2" s="1"/>
  <c r="AC429" i="2"/>
  <c r="AD429" i="2" s="1"/>
  <c r="AC430" i="2"/>
  <c r="AD430" i="2" s="1"/>
  <c r="AC431" i="2"/>
  <c r="AD431" i="2" s="1"/>
  <c r="AC432" i="2"/>
  <c r="AD432" i="2" s="1"/>
  <c r="AC433" i="2"/>
  <c r="AD433" i="2" s="1"/>
  <c r="AC434" i="2"/>
  <c r="AD434" i="2" s="1"/>
  <c r="AC435" i="2"/>
  <c r="AD435" i="2" s="1"/>
  <c r="AC436" i="2"/>
  <c r="AD436" i="2" s="1"/>
  <c r="AC437" i="2"/>
  <c r="AD437" i="2" s="1"/>
  <c r="AC438" i="2"/>
  <c r="AD438" i="2" s="1"/>
  <c r="AC439" i="2"/>
  <c r="AD439" i="2" s="1"/>
  <c r="AC440" i="2"/>
  <c r="AD440" i="2" s="1"/>
  <c r="AC441" i="2"/>
  <c r="AD441" i="2" s="1"/>
  <c r="AC442" i="2"/>
  <c r="AD442" i="2" s="1"/>
  <c r="AC443" i="2"/>
  <c r="AD443" i="2" s="1"/>
  <c r="AC444" i="2"/>
  <c r="AD444" i="2" s="1"/>
  <c r="AC445" i="2"/>
  <c r="AD445" i="2" s="1"/>
  <c r="AC446" i="2"/>
  <c r="AD446" i="2" s="1"/>
  <c r="AC447" i="2"/>
  <c r="AD447" i="2" s="1"/>
  <c r="AC448" i="2"/>
  <c r="AD448" i="2" s="1"/>
  <c r="AC449" i="2"/>
  <c r="AD449" i="2" s="1"/>
  <c r="AC450" i="2"/>
  <c r="AD450" i="2" s="1"/>
  <c r="AC451" i="2"/>
  <c r="AD451" i="2" s="1"/>
  <c r="AC452" i="2"/>
  <c r="AD452" i="2" s="1"/>
  <c r="AC453" i="2"/>
  <c r="AD453" i="2" s="1"/>
  <c r="AC454" i="2"/>
  <c r="AD454" i="2" s="1"/>
  <c r="AC455" i="2"/>
  <c r="AD455" i="2" s="1"/>
  <c r="AC456" i="2"/>
  <c r="AD456" i="2" s="1"/>
  <c r="AC457" i="2"/>
  <c r="AD457" i="2" s="1"/>
  <c r="AC458" i="2"/>
  <c r="AD458" i="2" s="1"/>
  <c r="AC459" i="2"/>
  <c r="AD459" i="2" s="1"/>
  <c r="AC460" i="2"/>
  <c r="AD460" i="2" s="1"/>
  <c r="AC461" i="2"/>
  <c r="AD461" i="2" s="1"/>
  <c r="AC462" i="2"/>
  <c r="AD462" i="2" s="1"/>
  <c r="AC463" i="2"/>
  <c r="AD463" i="2" s="1"/>
  <c r="AC464" i="2"/>
  <c r="AD464" i="2" s="1"/>
  <c r="AC465" i="2"/>
  <c r="AD465" i="2" s="1"/>
  <c r="AC466" i="2"/>
  <c r="AD466" i="2" s="1"/>
  <c r="AC467" i="2"/>
  <c r="AD467" i="2" s="1"/>
  <c r="AC468" i="2"/>
  <c r="AC469" i="2"/>
  <c r="AC470" i="2"/>
  <c r="AD470" i="2" s="1"/>
  <c r="AC471" i="2"/>
  <c r="AD471" i="2" s="1"/>
  <c r="AC472" i="2"/>
  <c r="AD472" i="2" s="1"/>
  <c r="AC473" i="2"/>
  <c r="AD473" i="2" s="1"/>
  <c r="AC474" i="2"/>
  <c r="AD474" i="2" s="1"/>
  <c r="AC475" i="2"/>
  <c r="AD475" i="2" s="1"/>
  <c r="AC476" i="2"/>
  <c r="AD476" i="2" s="1"/>
  <c r="AC477" i="2"/>
  <c r="AD477" i="2" s="1"/>
  <c r="AC478" i="2"/>
  <c r="AD478" i="2" s="1"/>
  <c r="AC479" i="2"/>
  <c r="AD479" i="2" s="1"/>
  <c r="AC480" i="2"/>
  <c r="AC481" i="2"/>
  <c r="AD481" i="2" s="1"/>
  <c r="AC482" i="2"/>
  <c r="AD482" i="2" s="1"/>
  <c r="AC483" i="2"/>
  <c r="AD483" i="2" s="1"/>
  <c r="AC484" i="2"/>
  <c r="AD484" i="2" s="1"/>
  <c r="AC485" i="2"/>
  <c r="AD485" i="2" s="1"/>
  <c r="AC486" i="2"/>
  <c r="AD486" i="2" s="1"/>
  <c r="AC487" i="2"/>
  <c r="AD487" i="2" s="1"/>
  <c r="AC488" i="2"/>
  <c r="AD488" i="2" s="1"/>
  <c r="AC489" i="2"/>
  <c r="AD489" i="2" s="1"/>
  <c r="AC490" i="2"/>
  <c r="AD490" i="2" s="1"/>
  <c r="AC491" i="2"/>
  <c r="AD491" i="2" s="1"/>
  <c r="AC492" i="2"/>
  <c r="AD492" i="2" s="1"/>
  <c r="AC493" i="2"/>
  <c r="AD493" i="2" s="1"/>
  <c r="AC494" i="2"/>
  <c r="AD494" i="2" s="1"/>
  <c r="AC495" i="2"/>
  <c r="AD495" i="2" s="1"/>
  <c r="AC496" i="2"/>
  <c r="AD496" i="2" s="1"/>
  <c r="AC497" i="2"/>
  <c r="AD497" i="2" s="1"/>
  <c r="AC498" i="2"/>
  <c r="AD498" i="2" s="1"/>
  <c r="AC499" i="2"/>
  <c r="AD499" i="2" s="1"/>
  <c r="AC500" i="2"/>
  <c r="AD500" i="2" s="1"/>
  <c r="AC501" i="2"/>
  <c r="AD501" i="2" s="1"/>
  <c r="AC502" i="2"/>
  <c r="AD502" i="2" s="1"/>
  <c r="AC503" i="2"/>
  <c r="AD503" i="2" s="1"/>
  <c r="AC504" i="2"/>
  <c r="AD504" i="2" s="1"/>
  <c r="AC505" i="2"/>
  <c r="AD505" i="2" s="1"/>
  <c r="AC506" i="2"/>
  <c r="AD506" i="2" s="1"/>
  <c r="AC507" i="2"/>
  <c r="AD507" i="2" s="1"/>
  <c r="AC508" i="2"/>
  <c r="AD508" i="2" s="1"/>
  <c r="AC509" i="2"/>
  <c r="AD509" i="2" s="1"/>
  <c r="AC510" i="2"/>
  <c r="AD510" i="2" s="1"/>
  <c r="AC511" i="2"/>
  <c r="AD511" i="2" s="1"/>
  <c r="AC512" i="2"/>
  <c r="AD512" i="2" s="1"/>
  <c r="AC513" i="2"/>
  <c r="AD513" i="2" s="1"/>
  <c r="AC514" i="2"/>
  <c r="AD514" i="2" s="1"/>
  <c r="AC515" i="2"/>
  <c r="AD515" i="2" s="1"/>
  <c r="AC516" i="2"/>
  <c r="AD516" i="2" s="1"/>
  <c r="AC517" i="2"/>
  <c r="AC518" i="2"/>
  <c r="AD518" i="2" s="1"/>
  <c r="AC519" i="2"/>
  <c r="AD519" i="2" s="1"/>
  <c r="AC520" i="2"/>
  <c r="AD520" i="2" s="1"/>
  <c r="AC521" i="2"/>
  <c r="AD521" i="2" s="1"/>
  <c r="AC522" i="2"/>
  <c r="AD522" i="2" s="1"/>
  <c r="AC523" i="2"/>
  <c r="AD523" i="2" s="1"/>
  <c r="AC524" i="2"/>
  <c r="AD524" i="2" s="1"/>
  <c r="AC525" i="2"/>
  <c r="AD525" i="2" s="1"/>
  <c r="AC526" i="2"/>
  <c r="AD526" i="2" s="1"/>
  <c r="AC527" i="2"/>
  <c r="AD527" i="2" s="1"/>
  <c r="AC528" i="2"/>
  <c r="AD528" i="2" s="1"/>
  <c r="AC529" i="2"/>
  <c r="AD529" i="2" s="1"/>
  <c r="AC530" i="2"/>
  <c r="AD530" i="2" s="1"/>
  <c r="AC531" i="2"/>
  <c r="AD531" i="2" s="1"/>
  <c r="AC532" i="2"/>
  <c r="AC533" i="2"/>
  <c r="AD533" i="2" s="1"/>
  <c r="AC534" i="2"/>
  <c r="AD534" i="2" s="1"/>
  <c r="AC535" i="2"/>
  <c r="AD535" i="2" s="1"/>
  <c r="AC536" i="2"/>
  <c r="AD536" i="2" s="1"/>
  <c r="AC537" i="2"/>
  <c r="AD537" i="2" s="1"/>
  <c r="AC538" i="2"/>
  <c r="AD538" i="2" s="1"/>
  <c r="AC539" i="2"/>
  <c r="AD539" i="2" s="1"/>
  <c r="AC540" i="2"/>
  <c r="AD540" i="2" s="1"/>
  <c r="AC541" i="2"/>
  <c r="AD541" i="2" s="1"/>
  <c r="AC542" i="2"/>
  <c r="AD542" i="2" s="1"/>
  <c r="AC543" i="2"/>
  <c r="AD543" i="2" s="1"/>
  <c r="AC544" i="2"/>
  <c r="AD544" i="2" s="1"/>
  <c r="AC545" i="2"/>
  <c r="AD545" i="2" s="1"/>
  <c r="AC546" i="2"/>
  <c r="AD546" i="2" s="1"/>
  <c r="AC547" i="2"/>
  <c r="AD547" i="2" s="1"/>
  <c r="AC548" i="2"/>
  <c r="AD548" i="2" s="1"/>
  <c r="AC549" i="2"/>
  <c r="AD549" i="2" s="1"/>
  <c r="AC550" i="2"/>
  <c r="AD550" i="2" s="1"/>
  <c r="AC551" i="2"/>
  <c r="AD551" i="2" s="1"/>
  <c r="AC552" i="2"/>
  <c r="AD552" i="2" s="1"/>
  <c r="AC553" i="2"/>
  <c r="AD553" i="2" s="1"/>
  <c r="AC554" i="2"/>
  <c r="AD554" i="2" s="1"/>
  <c r="AC555" i="2"/>
  <c r="AD555" i="2" s="1"/>
  <c r="AC556" i="2"/>
  <c r="AD556" i="2" s="1"/>
  <c r="AC557" i="2"/>
  <c r="AD557" i="2" s="1"/>
  <c r="AC558" i="2"/>
  <c r="AD558" i="2" s="1"/>
  <c r="AC559" i="2"/>
  <c r="AD559" i="2" s="1"/>
  <c r="AC560" i="2"/>
  <c r="AD560" i="2" s="1"/>
  <c r="AC561" i="2"/>
  <c r="AD561" i="2" s="1"/>
  <c r="AC562" i="2"/>
  <c r="AD562" i="2" s="1"/>
  <c r="AC563" i="2"/>
  <c r="AD563" i="2" s="1"/>
  <c r="AC564" i="2"/>
  <c r="AD564" i="2" s="1"/>
  <c r="AC565" i="2"/>
  <c r="AD565" i="2" s="1"/>
  <c r="AC566" i="2"/>
  <c r="AC567" i="2"/>
  <c r="AD567" i="2" s="1"/>
  <c r="AC568" i="2"/>
  <c r="AD568" i="2" s="1"/>
  <c r="AC569" i="2"/>
  <c r="AD569" i="2" s="1"/>
  <c r="AC570" i="2"/>
  <c r="AD570" i="2" s="1"/>
  <c r="AC571" i="2"/>
  <c r="AD571" i="2" s="1"/>
  <c r="AC572" i="2"/>
  <c r="AD572" i="2" s="1"/>
  <c r="AC573" i="2"/>
  <c r="AD573" i="2" s="1"/>
  <c r="AC574" i="2"/>
  <c r="AD574" i="2" s="1"/>
  <c r="AC575" i="2"/>
  <c r="AD575" i="2" s="1"/>
  <c r="AC576" i="2"/>
  <c r="AD576" i="2" s="1"/>
  <c r="AC577" i="2"/>
  <c r="AD577" i="2" s="1"/>
  <c r="AC578" i="2"/>
  <c r="AD578" i="2" s="1"/>
  <c r="AC579" i="2"/>
  <c r="AD579" i="2" s="1"/>
  <c r="AC580" i="2"/>
  <c r="AD580" i="2" s="1"/>
  <c r="AC581" i="2"/>
  <c r="AD581" i="2" s="1"/>
  <c r="AC582" i="2"/>
  <c r="AD582" i="2" s="1"/>
  <c r="AC583" i="2"/>
  <c r="AD583" i="2" s="1"/>
  <c r="AC584" i="2"/>
  <c r="AD584" i="2" s="1"/>
  <c r="AC585" i="2"/>
  <c r="AD585" i="2" s="1"/>
  <c r="AC586" i="2"/>
  <c r="AD586" i="2" s="1"/>
  <c r="AC587" i="2"/>
  <c r="AD587" i="2" s="1"/>
  <c r="AC588" i="2"/>
  <c r="AD588" i="2" s="1"/>
  <c r="AC589" i="2"/>
  <c r="AD589" i="2" s="1"/>
  <c r="AC590" i="2"/>
  <c r="AD590" i="2" s="1"/>
  <c r="AC591" i="2"/>
  <c r="AD591" i="2" s="1"/>
  <c r="AC592" i="2"/>
  <c r="AD592" i="2" s="1"/>
  <c r="AC593" i="2"/>
  <c r="AD593" i="2" s="1"/>
  <c r="AC594" i="2"/>
  <c r="AD594" i="2" s="1"/>
  <c r="AC595" i="2"/>
  <c r="AD595" i="2" s="1"/>
  <c r="AC596" i="2"/>
  <c r="AD596" i="2" s="1"/>
  <c r="AC597" i="2"/>
  <c r="AD597" i="2" s="1"/>
  <c r="AC598" i="2"/>
  <c r="AD598" i="2" s="1"/>
  <c r="AC599" i="2"/>
  <c r="AD599" i="2" s="1"/>
  <c r="AC600" i="2"/>
  <c r="AD600" i="2" s="1"/>
  <c r="AC601" i="2"/>
  <c r="AD601" i="2" s="1"/>
  <c r="AC602" i="2"/>
  <c r="AD602" i="2" s="1"/>
  <c r="AC603" i="2"/>
  <c r="AD603" i="2" s="1"/>
  <c r="AC604" i="2"/>
  <c r="AD604" i="2" s="1"/>
  <c r="AC605" i="2"/>
  <c r="AD605" i="2" s="1"/>
  <c r="AC606" i="2"/>
  <c r="AD606" i="2" s="1"/>
  <c r="AC607" i="2"/>
  <c r="AD607" i="2" s="1"/>
  <c r="AC608" i="2"/>
  <c r="AD608" i="2" s="1"/>
  <c r="AC609" i="2"/>
  <c r="AD609" i="2" s="1"/>
  <c r="AC610" i="2"/>
  <c r="AD610" i="2" s="1"/>
  <c r="AC611" i="2"/>
  <c r="AD611" i="2" s="1"/>
  <c r="AC612" i="2"/>
  <c r="AD612" i="2" s="1"/>
  <c r="AC613" i="2"/>
  <c r="AD613" i="2" s="1"/>
  <c r="AC614" i="2"/>
  <c r="AD614" i="2" s="1"/>
  <c r="AC615" i="2"/>
  <c r="AD615" i="2" s="1"/>
  <c r="AC616" i="2"/>
  <c r="AD616" i="2" s="1"/>
  <c r="AC617" i="2"/>
  <c r="AD617" i="2" s="1"/>
  <c r="AC618" i="2"/>
  <c r="AD618" i="2" s="1"/>
  <c r="AC619" i="2"/>
  <c r="AD619" i="2" s="1"/>
  <c r="AC620" i="2"/>
  <c r="AD620" i="2" s="1"/>
  <c r="AC621" i="2"/>
  <c r="AD621" i="2" s="1"/>
  <c r="AC622" i="2"/>
  <c r="AD622" i="2" s="1"/>
  <c r="AC623" i="2"/>
  <c r="AD623" i="2" s="1"/>
  <c r="AC624" i="2"/>
  <c r="AD624" i="2" s="1"/>
  <c r="AC625" i="2"/>
  <c r="AD625" i="2" s="1"/>
  <c r="AC626" i="2"/>
  <c r="AD626" i="2" s="1"/>
  <c r="AC627" i="2"/>
  <c r="AD627" i="2" s="1"/>
  <c r="AC628" i="2"/>
  <c r="AD628" i="2" s="1"/>
  <c r="AC629" i="2"/>
  <c r="AD629" i="2" s="1"/>
  <c r="AC630" i="2"/>
  <c r="AD630" i="2" s="1"/>
  <c r="AC631" i="2"/>
  <c r="AD631" i="2" s="1"/>
  <c r="AC632" i="2"/>
  <c r="AD632" i="2" s="1"/>
  <c r="AC633" i="2"/>
  <c r="AD633" i="2" s="1"/>
  <c r="AC634" i="2"/>
  <c r="AD634" i="2" s="1"/>
  <c r="AC635" i="2"/>
  <c r="AD635" i="2" s="1"/>
  <c r="AC636" i="2"/>
  <c r="AD636" i="2" s="1"/>
  <c r="AC637" i="2"/>
  <c r="AD637" i="2" s="1"/>
  <c r="AC638" i="2"/>
  <c r="AD638" i="2" s="1"/>
  <c r="AC639" i="2"/>
  <c r="AD639" i="2" s="1"/>
  <c r="AC640" i="2"/>
  <c r="AD640" i="2" s="1"/>
  <c r="AC641" i="2"/>
  <c r="AD641" i="2" s="1"/>
  <c r="AC642" i="2"/>
  <c r="AD642" i="2" s="1"/>
  <c r="AC643" i="2"/>
  <c r="AD643" i="2" s="1"/>
  <c r="AC644" i="2"/>
  <c r="AD644" i="2" s="1"/>
  <c r="AC645" i="2"/>
  <c r="AD645" i="2" s="1"/>
  <c r="AC646" i="2"/>
  <c r="AD646" i="2" s="1"/>
  <c r="AC647" i="2"/>
  <c r="AD647" i="2" s="1"/>
  <c r="AC648" i="2"/>
  <c r="AD648" i="2" s="1"/>
  <c r="AC649" i="2"/>
  <c r="AD649" i="2" s="1"/>
  <c r="AC650" i="2"/>
  <c r="AD650" i="2" s="1"/>
  <c r="AC651" i="2"/>
  <c r="AD651" i="2" s="1"/>
  <c r="AC652" i="2"/>
  <c r="AD652" i="2" s="1"/>
  <c r="AC653" i="2"/>
  <c r="AD653" i="2" s="1"/>
  <c r="AC654" i="2"/>
  <c r="AD654" i="2" s="1"/>
  <c r="AC655" i="2"/>
  <c r="AD655" i="2" s="1"/>
  <c r="AC656" i="2"/>
  <c r="AD656" i="2" s="1"/>
  <c r="AC657" i="2"/>
  <c r="AD657" i="2" s="1"/>
  <c r="AC658" i="2"/>
  <c r="AD658" i="2" s="1"/>
  <c r="AC659" i="2"/>
  <c r="AD659" i="2" s="1"/>
  <c r="AC660" i="2"/>
  <c r="AD660" i="2" s="1"/>
  <c r="AC661" i="2"/>
  <c r="AD661" i="2" s="1"/>
  <c r="AC662" i="2"/>
  <c r="AD662" i="2" s="1"/>
  <c r="AC663" i="2"/>
  <c r="AD663" i="2" s="1"/>
  <c r="AC664" i="2"/>
  <c r="AC665" i="2"/>
  <c r="AD665" i="2" s="1"/>
  <c r="AC666" i="2"/>
  <c r="AD666" i="2" s="1"/>
  <c r="AC667" i="2"/>
  <c r="AD667" i="2" s="1"/>
  <c r="AC668" i="2"/>
  <c r="AD668" i="2" s="1"/>
  <c r="AC669" i="2"/>
  <c r="AD669" i="2" s="1"/>
  <c r="AC670" i="2"/>
  <c r="AD670" i="2" s="1"/>
  <c r="AC671" i="2"/>
  <c r="AD671" i="2" s="1"/>
  <c r="AC672" i="2"/>
  <c r="AD672" i="2" s="1"/>
  <c r="AC673" i="2"/>
  <c r="AD673" i="2" s="1"/>
  <c r="AC674" i="2"/>
  <c r="AD674" i="2" s="1"/>
  <c r="AC675" i="2"/>
  <c r="AD675" i="2" s="1"/>
  <c r="AC676" i="2"/>
  <c r="AD676" i="2" s="1"/>
  <c r="AC677" i="2"/>
  <c r="AD677" i="2" s="1"/>
  <c r="AC678" i="2"/>
  <c r="AD678" i="2" s="1"/>
  <c r="AC679" i="2"/>
  <c r="AD679" i="2" s="1"/>
  <c r="AC680" i="2"/>
  <c r="AD680" i="2" s="1"/>
  <c r="AC681" i="2"/>
  <c r="AD681" i="2" s="1"/>
  <c r="AC682" i="2"/>
  <c r="AD682" i="2" s="1"/>
  <c r="AC683" i="2"/>
  <c r="AC684" i="2"/>
  <c r="AD684" i="2" s="1"/>
  <c r="AC685" i="2"/>
  <c r="AD685" i="2" s="1"/>
  <c r="AC686" i="2"/>
  <c r="AD686" i="2" s="1"/>
  <c r="AC687" i="2"/>
  <c r="AD687" i="2" s="1"/>
  <c r="AC688" i="2"/>
  <c r="AD688" i="2" s="1"/>
  <c r="AC689" i="2"/>
  <c r="AD689" i="2" s="1"/>
  <c r="AC690" i="2"/>
  <c r="AD690" i="2" s="1"/>
  <c r="AC691" i="2"/>
  <c r="AD691" i="2" s="1"/>
  <c r="AC692" i="2"/>
  <c r="AD692" i="2" s="1"/>
  <c r="AC693" i="2"/>
  <c r="AD693" i="2" s="1"/>
  <c r="AC694" i="2"/>
  <c r="AD694" i="2" s="1"/>
  <c r="AC695" i="2"/>
  <c r="AD695" i="2" s="1"/>
  <c r="AC696" i="2"/>
  <c r="AD696" i="2" s="1"/>
  <c r="AC697" i="2"/>
  <c r="AD697" i="2" s="1"/>
  <c r="AC698" i="2"/>
  <c r="AD698" i="2" s="1"/>
  <c r="AC699" i="2"/>
  <c r="AD699" i="2" s="1"/>
  <c r="AC700" i="2"/>
  <c r="AD700" i="2" s="1"/>
  <c r="AC701" i="2"/>
  <c r="AD701" i="2" s="1"/>
  <c r="AC702" i="2"/>
  <c r="AD702" i="2" s="1"/>
  <c r="AC703" i="2"/>
  <c r="AD703" i="2" s="1"/>
  <c r="AC704" i="2"/>
  <c r="AD704" i="2" s="1"/>
  <c r="AC705" i="2"/>
  <c r="AD705" i="2" s="1"/>
  <c r="AC706" i="2"/>
  <c r="AD706" i="2" s="1"/>
  <c r="AC707" i="2"/>
  <c r="AD707" i="2" s="1"/>
  <c r="AC708" i="2"/>
  <c r="AD708" i="2" s="1"/>
  <c r="AC709" i="2"/>
  <c r="AD709" i="2" s="1"/>
  <c r="AC710" i="2"/>
  <c r="AD710" i="2" s="1"/>
  <c r="AC711" i="2"/>
  <c r="AD711" i="2" s="1"/>
  <c r="AC712" i="2"/>
  <c r="AD712" i="2" s="1"/>
  <c r="AC713" i="2"/>
  <c r="AD713" i="2" s="1"/>
  <c r="AC714" i="2"/>
  <c r="AD714" i="2" s="1"/>
  <c r="AC715" i="2"/>
  <c r="AD715" i="2" s="1"/>
  <c r="AC716" i="2"/>
  <c r="AD716" i="2" s="1"/>
  <c r="AC717" i="2"/>
  <c r="AD717" i="2" s="1"/>
  <c r="AC718" i="2"/>
  <c r="AC719" i="2"/>
  <c r="AD719" i="2" s="1"/>
  <c r="AC720" i="2"/>
  <c r="AD720" i="2" s="1"/>
  <c r="AC721" i="2"/>
  <c r="AD721" i="2" s="1"/>
  <c r="AC722" i="2"/>
  <c r="AD722" i="2" s="1"/>
  <c r="AC723" i="2"/>
  <c r="AC724" i="2"/>
  <c r="AD724" i="2" s="1"/>
  <c r="AC725" i="2"/>
  <c r="AD725" i="2" s="1"/>
  <c r="AC726" i="2"/>
  <c r="AD726" i="2" s="1"/>
  <c r="AC727" i="2"/>
  <c r="AD727" i="2" s="1"/>
  <c r="AC728" i="2"/>
  <c r="AD728" i="2" s="1"/>
  <c r="AC729" i="2"/>
  <c r="AD729" i="2" s="1"/>
  <c r="AC730" i="2"/>
  <c r="AD730" i="2" s="1"/>
  <c r="AC731" i="2"/>
  <c r="AD731" i="2" s="1"/>
  <c r="AC732" i="2"/>
  <c r="AD732" i="2" s="1"/>
  <c r="AC733" i="2"/>
  <c r="AD733" i="2" s="1"/>
  <c r="AC734" i="2"/>
  <c r="AC735" i="2"/>
  <c r="AC736" i="2"/>
  <c r="AD736" i="2" s="1"/>
  <c r="AC737" i="2"/>
  <c r="AD737" i="2" s="1"/>
  <c r="AC738" i="2"/>
  <c r="AD738" i="2" s="1"/>
  <c r="AC739" i="2"/>
  <c r="AD739" i="2" s="1"/>
  <c r="AC740" i="2"/>
  <c r="AC741" i="2"/>
  <c r="AD741" i="2" s="1"/>
  <c r="AC742" i="2"/>
  <c r="AC743" i="2"/>
  <c r="AD743" i="2" s="1"/>
  <c r="AC744" i="2"/>
  <c r="AD744" i="2" s="1"/>
  <c r="AC745" i="2"/>
  <c r="AD745" i="2" s="1"/>
  <c r="AC746" i="2"/>
  <c r="AD746" i="2" s="1"/>
  <c r="AC747" i="2"/>
  <c r="AD747" i="2" s="1"/>
  <c r="AC748" i="2"/>
  <c r="AD748" i="2" s="1"/>
  <c r="AC749" i="2"/>
  <c r="AD749" i="2" s="1"/>
  <c r="AC750" i="2"/>
  <c r="AD750" i="2" s="1"/>
  <c r="AC751" i="2"/>
  <c r="AD751" i="2" s="1"/>
  <c r="AC752" i="2"/>
  <c r="AD752" i="2" s="1"/>
  <c r="AC753" i="2"/>
  <c r="AD753" i="2" s="1"/>
  <c r="AC754" i="2"/>
  <c r="AD754" i="2" s="1"/>
  <c r="AC755" i="2"/>
  <c r="AD755" i="2" s="1"/>
  <c r="AC756" i="2"/>
  <c r="AD756" i="2" s="1"/>
  <c r="AC757" i="2"/>
  <c r="AD757" i="2" s="1"/>
  <c r="AC758" i="2"/>
  <c r="AD758" i="2" s="1"/>
  <c r="AC759" i="2"/>
  <c r="AD759" i="2" s="1"/>
  <c r="AC760" i="2"/>
  <c r="AC761" i="2"/>
  <c r="AC762" i="2"/>
  <c r="AC763" i="2"/>
  <c r="AD763" i="2" s="1"/>
  <c r="AC764" i="2"/>
  <c r="AD764" i="2" s="1"/>
  <c r="AC765" i="2"/>
  <c r="AD765" i="2" s="1"/>
  <c r="AC766" i="2"/>
  <c r="AD766" i="2" s="1"/>
  <c r="AC767" i="2"/>
  <c r="AD767" i="2" s="1"/>
  <c r="AC768" i="2"/>
  <c r="AD768" i="2" s="1"/>
  <c r="AC769" i="2"/>
  <c r="AD769" i="2" s="1"/>
  <c r="AC770" i="2"/>
  <c r="AD770" i="2" s="1"/>
  <c r="AC771" i="2"/>
  <c r="AD771" i="2" s="1"/>
  <c r="AC772" i="2"/>
  <c r="AD772" i="2" s="1"/>
  <c r="AC773" i="2"/>
  <c r="AD773" i="2" s="1"/>
  <c r="AC774" i="2"/>
  <c r="AD774" i="2" s="1"/>
  <c r="AC775" i="2"/>
  <c r="AD775" i="2" s="1"/>
  <c r="AC776" i="2"/>
  <c r="AD776" i="2" s="1"/>
  <c r="AC777" i="2"/>
  <c r="AD777" i="2" s="1"/>
  <c r="AC778" i="2"/>
  <c r="AD778" i="2" s="1"/>
  <c r="AC779" i="2"/>
  <c r="AD779" i="2" s="1"/>
  <c r="AC780" i="2"/>
  <c r="AD780" i="2" s="1"/>
  <c r="AC781" i="2"/>
  <c r="AD781" i="2" s="1"/>
  <c r="AC782" i="2"/>
  <c r="AD782" i="2" s="1"/>
  <c r="AC783" i="2"/>
  <c r="AC784" i="2"/>
  <c r="AD784" i="2" s="1"/>
  <c r="AC785" i="2"/>
  <c r="AD785" i="2" s="1"/>
  <c r="AC786" i="2"/>
  <c r="AD786" i="2" s="1"/>
  <c r="AC787" i="2"/>
  <c r="AD787" i="2" s="1"/>
  <c r="AC788" i="2"/>
  <c r="AD788" i="2" s="1"/>
  <c r="AC789" i="2"/>
  <c r="AD789" i="2" s="1"/>
  <c r="AC790" i="2"/>
  <c r="AC791" i="2"/>
  <c r="AD791" i="2" s="1"/>
  <c r="AC792" i="2"/>
  <c r="AD792" i="2" s="1"/>
  <c r="AC793" i="2"/>
  <c r="AD793" i="2" s="1"/>
  <c r="AC794" i="2"/>
  <c r="AD794" i="2" s="1"/>
  <c r="AC795" i="2"/>
  <c r="AD795" i="2" s="1"/>
  <c r="AC796" i="2"/>
  <c r="AC797" i="2"/>
  <c r="AD797" i="2" s="1"/>
  <c r="AC798" i="2"/>
  <c r="AD798" i="2" s="1"/>
  <c r="AC799" i="2"/>
  <c r="AD799" i="2" s="1"/>
  <c r="AC800" i="2"/>
  <c r="AD800" i="2" s="1"/>
  <c r="AC801" i="2"/>
  <c r="AD801" i="2" s="1"/>
  <c r="AC802" i="2"/>
  <c r="AD802" i="2" s="1"/>
  <c r="AC803" i="2"/>
  <c r="AD803" i="2" s="1"/>
  <c r="AC804" i="2"/>
  <c r="AD804" i="2" s="1"/>
  <c r="AC805" i="2"/>
  <c r="AD805" i="2" s="1"/>
  <c r="AC806" i="2"/>
  <c r="AC807" i="2"/>
  <c r="AD807" i="2" s="1"/>
  <c r="AC808" i="2"/>
  <c r="AD808" i="2" s="1"/>
  <c r="AC809" i="2"/>
  <c r="AD809" i="2" s="1"/>
  <c r="AC810" i="2"/>
  <c r="AD810" i="2" s="1"/>
  <c r="AC811" i="2"/>
  <c r="AD811" i="2" s="1"/>
  <c r="AC812" i="2"/>
  <c r="AD812" i="2" s="1"/>
  <c r="AC813" i="2"/>
  <c r="AD813" i="2" s="1"/>
  <c r="AC814" i="2"/>
  <c r="AD814" i="2" s="1"/>
  <c r="AC815" i="2"/>
  <c r="AC816" i="2"/>
  <c r="AC817" i="2"/>
  <c r="AC818" i="2"/>
  <c r="AC819" i="2"/>
  <c r="AD819" i="2" s="1"/>
  <c r="AC820" i="2"/>
  <c r="AD820" i="2" s="1"/>
  <c r="AC821" i="2"/>
  <c r="AD821" i="2" s="1"/>
  <c r="AC822" i="2"/>
  <c r="AD822" i="2" s="1"/>
  <c r="AC823" i="2"/>
  <c r="AD823" i="2" s="1"/>
  <c r="AC824" i="2"/>
  <c r="AD824" i="2" s="1"/>
  <c r="AC825" i="2"/>
  <c r="AD825" i="2" s="1"/>
  <c r="AC826" i="2"/>
  <c r="AD826" i="2" s="1"/>
  <c r="AC827" i="2"/>
  <c r="AC828" i="2"/>
  <c r="AC829" i="2"/>
  <c r="AD829" i="2" s="1"/>
  <c r="AC830" i="2"/>
  <c r="AD830" i="2" s="1"/>
  <c r="AC831" i="2"/>
  <c r="AD831" i="2" s="1"/>
  <c r="AC832" i="2"/>
  <c r="AD832" i="2" s="1"/>
  <c r="AC833" i="2"/>
  <c r="AD833" i="2" s="1"/>
  <c r="AC834" i="2"/>
  <c r="AD834" i="2" s="1"/>
  <c r="AC835" i="2"/>
  <c r="AD835" i="2" s="1"/>
  <c r="AC836" i="2"/>
  <c r="AD836" i="2" s="1"/>
  <c r="AC837" i="2"/>
  <c r="AD837" i="2" s="1"/>
  <c r="AC838" i="2"/>
  <c r="AD838" i="2" s="1"/>
  <c r="AC839" i="2"/>
  <c r="AD839" i="2" s="1"/>
  <c r="AC840" i="2"/>
  <c r="AD840" i="2" s="1"/>
  <c r="AC841" i="2"/>
  <c r="AD841" i="2" s="1"/>
  <c r="AC842" i="2"/>
  <c r="AD842" i="2" s="1"/>
  <c r="AC843" i="2"/>
  <c r="AD843" i="2" s="1"/>
  <c r="AC844" i="2"/>
  <c r="AD844" i="2" s="1"/>
  <c r="AC845" i="2"/>
  <c r="AD845" i="2" s="1"/>
  <c r="AC846" i="2"/>
  <c r="AD846" i="2" s="1"/>
  <c r="AC847" i="2"/>
  <c r="AD847" i="2" s="1"/>
  <c r="AC848" i="2"/>
  <c r="AD848" i="2" s="1"/>
  <c r="AC849" i="2"/>
  <c r="AD849" i="2" s="1"/>
  <c r="AC850" i="2"/>
  <c r="AD850" i="2" s="1"/>
  <c r="AC851" i="2"/>
  <c r="AD851" i="2" s="1"/>
  <c r="AC852" i="2"/>
  <c r="AD852" i="2" s="1"/>
  <c r="AC853" i="2"/>
  <c r="AD853" i="2" s="1"/>
  <c r="AC854" i="2"/>
  <c r="AD854" i="2" s="1"/>
  <c r="AC855" i="2"/>
  <c r="AD855" i="2" s="1"/>
  <c r="AC856" i="2"/>
  <c r="AD856" i="2" s="1"/>
  <c r="AC857" i="2"/>
  <c r="AD857" i="2" s="1"/>
  <c r="AC858" i="2"/>
  <c r="AD858" i="2" s="1"/>
  <c r="AC859" i="2"/>
  <c r="AD859" i="2" s="1"/>
  <c r="AC860" i="2"/>
  <c r="AC861" i="2"/>
  <c r="AD861" i="2" s="1"/>
  <c r="AC862" i="2"/>
  <c r="AD862" i="2" s="1"/>
  <c r="AC863" i="2"/>
  <c r="AD863" i="2" s="1"/>
  <c r="AC864" i="2"/>
  <c r="AD864" i="2" s="1"/>
  <c r="AC865" i="2"/>
  <c r="AD865" i="2" s="1"/>
  <c r="AC866" i="2"/>
  <c r="AD866" i="2" s="1"/>
  <c r="AC867" i="2"/>
  <c r="AD867" i="2" s="1"/>
  <c r="AC868" i="2"/>
  <c r="AD868" i="2" s="1"/>
  <c r="AC869" i="2"/>
  <c r="AD869" i="2" s="1"/>
  <c r="AC870" i="2"/>
  <c r="AD870" i="2" s="1"/>
  <c r="AC871" i="2"/>
  <c r="AD871" i="2" s="1"/>
  <c r="AC872" i="2"/>
  <c r="AD872" i="2" s="1"/>
  <c r="AC873" i="2"/>
  <c r="AD873" i="2" s="1"/>
  <c r="AC874" i="2"/>
  <c r="AD874" i="2" s="1"/>
  <c r="AC875" i="2"/>
  <c r="AD875" i="2" s="1"/>
  <c r="AC876" i="2"/>
  <c r="AD876" i="2" s="1"/>
  <c r="AC877" i="2"/>
  <c r="AD877" i="2" s="1"/>
  <c r="AC878" i="2"/>
  <c r="AD878" i="2" s="1"/>
  <c r="AC879" i="2"/>
  <c r="AD879" i="2" s="1"/>
  <c r="AC880" i="2"/>
  <c r="AD880" i="2" s="1"/>
  <c r="AC881" i="2"/>
  <c r="AD881" i="2" s="1"/>
  <c r="AC882" i="2"/>
  <c r="AD882" i="2" s="1"/>
  <c r="AC883" i="2"/>
  <c r="AD883" i="2" s="1"/>
  <c r="AC884" i="2"/>
  <c r="AC885" i="2"/>
  <c r="AC886" i="2"/>
  <c r="AD886" i="2" s="1"/>
  <c r="AC887" i="2"/>
  <c r="AD887" i="2" s="1"/>
  <c r="AC888" i="2"/>
  <c r="AD888" i="2" s="1"/>
  <c r="AC889" i="2"/>
  <c r="AD889" i="2" s="1"/>
  <c r="AC890" i="2"/>
  <c r="AD890" i="2" s="1"/>
  <c r="AC891" i="2"/>
  <c r="AD891" i="2" s="1"/>
  <c r="AC892" i="2"/>
  <c r="AC893" i="2"/>
  <c r="AD893" i="2" s="1"/>
  <c r="AC894" i="2"/>
  <c r="AD894" i="2" s="1"/>
  <c r="AC895" i="2"/>
  <c r="AC896" i="2"/>
  <c r="AC897" i="2"/>
  <c r="AC898" i="2"/>
  <c r="AD898" i="2" s="1"/>
  <c r="AC899" i="2"/>
  <c r="AD899" i="2" s="1"/>
  <c r="AC900" i="2"/>
  <c r="AD900" i="2" s="1"/>
  <c r="AC901" i="2"/>
  <c r="AD901" i="2" s="1"/>
  <c r="AC902" i="2"/>
  <c r="AD902" i="2" s="1"/>
  <c r="AC903" i="2"/>
  <c r="AC904" i="2"/>
  <c r="AD904" i="2" s="1"/>
  <c r="AC905" i="2"/>
  <c r="AD905" i="2" s="1"/>
  <c r="AC906" i="2"/>
  <c r="AD906" i="2" s="1"/>
  <c r="AC907" i="2"/>
  <c r="AD907" i="2" s="1"/>
  <c r="AC908" i="2"/>
  <c r="AD908" i="2" s="1"/>
  <c r="AC909" i="2"/>
  <c r="AD909" i="2" s="1"/>
  <c r="AC910" i="2"/>
  <c r="AC911" i="2"/>
  <c r="AD911" i="2" s="1"/>
  <c r="AC912" i="2"/>
  <c r="AD912" i="2" s="1"/>
  <c r="AC913" i="2"/>
  <c r="AD913" i="2" s="1"/>
  <c r="AC914" i="2"/>
  <c r="AD914" i="2" s="1"/>
  <c r="AC915" i="2"/>
  <c r="AD915" i="2" s="1"/>
  <c r="AC916" i="2"/>
  <c r="AD916" i="2" s="1"/>
  <c r="AC917" i="2"/>
  <c r="AD917" i="2" s="1"/>
  <c r="AC918" i="2"/>
  <c r="AD918" i="2" s="1"/>
  <c r="AC919" i="2"/>
  <c r="AD919" i="2" s="1"/>
  <c r="AC920" i="2"/>
  <c r="AD920" i="2" s="1"/>
  <c r="AC921" i="2"/>
  <c r="AC922" i="2"/>
  <c r="AD922" i="2" s="1"/>
  <c r="AC923" i="2"/>
  <c r="AD923" i="2" s="1"/>
  <c r="AC924" i="2"/>
  <c r="AD924" i="2" s="1"/>
  <c r="AC925" i="2"/>
  <c r="AD925" i="2" s="1"/>
  <c r="AC926" i="2"/>
  <c r="AD926" i="2" s="1"/>
  <c r="AC927" i="2"/>
  <c r="AD927" i="2" s="1"/>
  <c r="AC928" i="2"/>
  <c r="AD928" i="2" s="1"/>
  <c r="AC929" i="2"/>
  <c r="AC930" i="2"/>
  <c r="AC931" i="2"/>
  <c r="AC932" i="2"/>
  <c r="AD932" i="2" s="1"/>
  <c r="AC933" i="2"/>
  <c r="AD933" i="2" s="1"/>
  <c r="AC934" i="2"/>
  <c r="AD934" i="2" s="1"/>
  <c r="AC935" i="2"/>
  <c r="AD935" i="2" s="1"/>
  <c r="AC936" i="2"/>
  <c r="AD936" i="2" s="1"/>
  <c r="AC937" i="2"/>
  <c r="AD937" i="2" s="1"/>
  <c r="AC938" i="2"/>
  <c r="AD938" i="2" s="1"/>
  <c r="AC939" i="2"/>
  <c r="AD939" i="2" s="1"/>
  <c r="AC940" i="2"/>
  <c r="AD940" i="2" s="1"/>
  <c r="AC941" i="2"/>
  <c r="AD941" i="2" s="1"/>
  <c r="AC942" i="2"/>
  <c r="AD942" i="2" s="1"/>
  <c r="AC943" i="2"/>
  <c r="AD943" i="2" s="1"/>
  <c r="AC944" i="2"/>
  <c r="AD944" i="2" s="1"/>
  <c r="AC945" i="2"/>
  <c r="AD945" i="2" s="1"/>
  <c r="AC946" i="2"/>
  <c r="AD946" i="2" s="1"/>
  <c r="AC947" i="2"/>
  <c r="AD947" i="2" s="1"/>
  <c r="AC948" i="2"/>
  <c r="AD948" i="2" s="1"/>
  <c r="AC949" i="2"/>
  <c r="AD949" i="2" s="1"/>
  <c r="AC950" i="2"/>
  <c r="AD950" i="2" s="1"/>
  <c r="AC951" i="2"/>
  <c r="AD951" i="2" s="1"/>
  <c r="AC952" i="2"/>
  <c r="AD952" i="2" s="1"/>
  <c r="AC953" i="2"/>
  <c r="AD953" i="2" s="1"/>
  <c r="AC954" i="2"/>
  <c r="AD954" i="2" s="1"/>
  <c r="AC955" i="2"/>
  <c r="AD955" i="2" s="1"/>
  <c r="AC956" i="2"/>
  <c r="AD956" i="2" s="1"/>
  <c r="AC957" i="2"/>
  <c r="AD957" i="2" s="1"/>
  <c r="AC958" i="2"/>
  <c r="AD958" i="2" s="1"/>
  <c r="AC959" i="2"/>
  <c r="AD959" i="2" s="1"/>
  <c r="AC960" i="2"/>
  <c r="AD960" i="2" s="1"/>
  <c r="AC961" i="2"/>
  <c r="AD961" i="2" s="1"/>
  <c r="AC962" i="2"/>
  <c r="AD962" i="2" s="1"/>
  <c r="AC963" i="2"/>
  <c r="AD963" i="2" s="1"/>
  <c r="AC964" i="2"/>
  <c r="AD964" i="2" s="1"/>
  <c r="AC965" i="2"/>
  <c r="AD965" i="2" s="1"/>
  <c r="AC966" i="2"/>
  <c r="AD966" i="2" s="1"/>
  <c r="AC967" i="2"/>
  <c r="AD967" i="2" s="1"/>
  <c r="AC968" i="2"/>
  <c r="AD968" i="2" s="1"/>
  <c r="AC969" i="2"/>
  <c r="AD969" i="2" s="1"/>
  <c r="AC970" i="2"/>
  <c r="AD970" i="2" s="1"/>
  <c r="AC971" i="2"/>
  <c r="AD971" i="2" s="1"/>
  <c r="AC972" i="2"/>
  <c r="AD972" i="2" s="1"/>
  <c r="AC973" i="2"/>
  <c r="AD973" i="2" s="1"/>
  <c r="AC974" i="2"/>
  <c r="AC975" i="2"/>
  <c r="AC976" i="2"/>
  <c r="AD976" i="2" s="1"/>
  <c r="AC977" i="2"/>
  <c r="AD977" i="2" s="1"/>
  <c r="AC978" i="2"/>
  <c r="AD978" i="2" s="1"/>
  <c r="AC979" i="2"/>
  <c r="AD979" i="2" s="1"/>
  <c r="AC980" i="2"/>
  <c r="AD980" i="2" s="1"/>
  <c r="AC981" i="2"/>
  <c r="AC982" i="2"/>
  <c r="AC983" i="2"/>
  <c r="AD983" i="2" s="1"/>
  <c r="AC984" i="2"/>
  <c r="AC985" i="2"/>
  <c r="AD985" i="2" s="1"/>
  <c r="AC986" i="2"/>
  <c r="AD986" i="2" s="1"/>
  <c r="AC987" i="2"/>
  <c r="AD987" i="2" s="1"/>
  <c r="AC988" i="2"/>
  <c r="AD988" i="2" s="1"/>
  <c r="AC989" i="2"/>
  <c r="AD989" i="2" s="1"/>
  <c r="AC990" i="2"/>
  <c r="AD990" i="2" s="1"/>
  <c r="AC991" i="2"/>
  <c r="AD991" i="2" s="1"/>
  <c r="AC992" i="2"/>
  <c r="AC993" i="2"/>
  <c r="AD993" i="2" s="1"/>
  <c r="AC994" i="2"/>
  <c r="AD994" i="2" s="1"/>
  <c r="AC995" i="2"/>
  <c r="AD995" i="2" s="1"/>
  <c r="AC996" i="2"/>
  <c r="AD996" i="2" s="1"/>
  <c r="AC997" i="2"/>
  <c r="AD997" i="2" s="1"/>
  <c r="AC998" i="2"/>
  <c r="AD998" i="2" s="1"/>
  <c r="AC999" i="2"/>
  <c r="AD999" i="2" s="1"/>
  <c r="AC1000" i="2"/>
  <c r="AD1000" i="2" s="1"/>
  <c r="AC1001" i="2"/>
  <c r="AD1001" i="2" s="1"/>
  <c r="AC1002" i="2"/>
  <c r="AC1003" i="2"/>
  <c r="AD1003" i="2" s="1"/>
  <c r="AC1004" i="2"/>
  <c r="AC1005" i="2"/>
  <c r="AC1006" i="2"/>
  <c r="AD1006" i="2" s="1"/>
  <c r="AC1007" i="2"/>
  <c r="AD1007" i="2" s="1"/>
  <c r="AC1008" i="2"/>
  <c r="AD1008" i="2" s="1"/>
  <c r="AC1009" i="2"/>
  <c r="AD1009" i="2" s="1"/>
  <c r="AC1010" i="2"/>
  <c r="AD1010" i="2" s="1"/>
  <c r="AC1011" i="2"/>
  <c r="AD1011" i="2" s="1"/>
  <c r="AC1012" i="2"/>
  <c r="AD1012" i="2" s="1"/>
  <c r="AC1013" i="2"/>
  <c r="AD1013" i="2" s="1"/>
  <c r="AC1014" i="2"/>
  <c r="AD1014" i="2" s="1"/>
  <c r="AC1015" i="2"/>
  <c r="AD1015" i="2" s="1"/>
  <c r="AC1016" i="2"/>
  <c r="AC1017" i="2"/>
  <c r="AC1018" i="2"/>
  <c r="AD1018" i="2" s="1"/>
  <c r="AC1019" i="2"/>
  <c r="AD1019" i="2" s="1"/>
  <c r="AC1020" i="2"/>
  <c r="AD1020" i="2" s="1"/>
  <c r="AC1021" i="2"/>
  <c r="AD1021" i="2" s="1"/>
  <c r="AC1022" i="2"/>
  <c r="AD1022" i="2" s="1"/>
  <c r="AC1023" i="2"/>
  <c r="AD1023" i="2" s="1"/>
  <c r="AC1024" i="2"/>
  <c r="AD1024" i="2" s="1"/>
  <c r="AC1025" i="2"/>
  <c r="AD1025" i="2" s="1"/>
  <c r="AC1026" i="2"/>
  <c r="AD1026" i="2" s="1"/>
  <c r="AC1027" i="2"/>
  <c r="AD1027" i="2" s="1"/>
  <c r="AC1028" i="2"/>
  <c r="AD1028" i="2" s="1"/>
  <c r="AC1029" i="2"/>
  <c r="AD1029" i="2" s="1"/>
  <c r="AC1030" i="2"/>
  <c r="AD1030" i="2" s="1"/>
  <c r="AC1031" i="2"/>
  <c r="AD1031" i="2" s="1"/>
  <c r="AC1032" i="2"/>
  <c r="AD1032" i="2" s="1"/>
  <c r="AC1033" i="2"/>
  <c r="AD1033" i="2" s="1"/>
  <c r="AC1034" i="2"/>
  <c r="AD1034" i="2" s="1"/>
  <c r="AC1035" i="2"/>
  <c r="AD1035" i="2" s="1"/>
  <c r="AC1036" i="2"/>
  <c r="AD1036" i="2" s="1"/>
  <c r="AC1037" i="2"/>
  <c r="AD1037" i="2" s="1"/>
  <c r="AC1038" i="2"/>
  <c r="AD1038" i="2" s="1"/>
  <c r="AC1039" i="2"/>
  <c r="AD1039" i="2" s="1"/>
  <c r="AC1040" i="2"/>
  <c r="AD1040" i="2" s="1"/>
  <c r="AC1041" i="2"/>
  <c r="AD1041" i="2" s="1"/>
  <c r="AC1042" i="2"/>
  <c r="AD1042" i="2" s="1"/>
  <c r="AC1043" i="2"/>
  <c r="AD1043" i="2" s="1"/>
  <c r="AC1044" i="2"/>
  <c r="AD1044" i="2" s="1"/>
  <c r="AC1045" i="2"/>
  <c r="AD1045" i="2" s="1"/>
  <c r="AC1046" i="2"/>
  <c r="AD1046" i="2" s="1"/>
  <c r="AC1047" i="2"/>
  <c r="AD1047" i="2" s="1"/>
  <c r="AC1048" i="2"/>
  <c r="AD1048" i="2" s="1"/>
  <c r="AC1049" i="2"/>
  <c r="AD1049" i="2" s="1"/>
  <c r="AC1050" i="2"/>
  <c r="AC1051" i="2"/>
  <c r="AD1051" i="2" s="1"/>
  <c r="AC1052" i="2"/>
  <c r="AD1052" i="2" s="1"/>
  <c r="AC1053" i="2"/>
  <c r="AD1053" i="2" s="1"/>
  <c r="AC1054" i="2"/>
  <c r="AD1054" i="2" s="1"/>
  <c r="AC1055" i="2"/>
  <c r="AD1055" i="2" s="1"/>
  <c r="AC1056" i="2"/>
  <c r="AD1056" i="2" s="1"/>
  <c r="AC1057" i="2"/>
  <c r="AD1057" i="2" s="1"/>
  <c r="AC1058" i="2"/>
  <c r="AD1058" i="2" s="1"/>
  <c r="AC1059" i="2"/>
  <c r="AD1059" i="2" s="1"/>
  <c r="AC1060" i="2"/>
  <c r="AD1060" i="2" s="1"/>
  <c r="AC1061" i="2"/>
  <c r="AD1061" i="2" s="1"/>
  <c r="AC1062" i="2"/>
  <c r="AD1062" i="2" s="1"/>
  <c r="AC1063" i="2"/>
  <c r="AD1063" i="2" s="1"/>
  <c r="AC1064" i="2"/>
  <c r="AD1064" i="2" s="1"/>
  <c r="AC1065" i="2"/>
  <c r="AD1065" i="2" s="1"/>
  <c r="AC1066" i="2"/>
  <c r="AD1066" i="2" s="1"/>
  <c r="AC1067" i="2"/>
  <c r="AD1067" i="2" s="1"/>
  <c r="AC1068" i="2"/>
  <c r="AD1068" i="2" s="1"/>
  <c r="AC1069" i="2"/>
  <c r="AD1069" i="2" s="1"/>
  <c r="AC1070" i="2"/>
  <c r="AD1070" i="2" s="1"/>
  <c r="AC1071" i="2"/>
  <c r="AD1071" i="2" s="1"/>
  <c r="AC1072" i="2"/>
  <c r="AC1073" i="2"/>
  <c r="AC1074" i="2"/>
  <c r="AD1074" i="2" s="1"/>
  <c r="AC1075" i="2"/>
  <c r="AD1075" i="2" s="1"/>
  <c r="AC1076" i="2"/>
  <c r="AD1076" i="2" s="1"/>
  <c r="AC1077" i="2"/>
  <c r="AD1077" i="2" s="1"/>
  <c r="AC1078" i="2"/>
  <c r="AD1078" i="2" s="1"/>
  <c r="AC1079" i="2"/>
  <c r="AD1079" i="2" s="1"/>
  <c r="AC1080" i="2"/>
  <c r="AD1080" i="2" s="1"/>
  <c r="AC1081" i="2"/>
  <c r="AD1081" i="2" s="1"/>
  <c r="AC1082" i="2"/>
  <c r="AD1082" i="2" s="1"/>
  <c r="AC1083" i="2"/>
  <c r="AD1083" i="2" s="1"/>
  <c r="AC1084" i="2"/>
  <c r="AD1084" i="2" s="1"/>
  <c r="AC1085" i="2"/>
  <c r="AD1085" i="2" s="1"/>
  <c r="AC1086" i="2"/>
  <c r="AD1086" i="2" s="1"/>
  <c r="AC1087" i="2"/>
  <c r="AD1087" i="2" s="1"/>
  <c r="AC1088" i="2"/>
  <c r="AD1088" i="2" s="1"/>
  <c r="AC1089" i="2"/>
  <c r="AD1089" i="2" s="1"/>
  <c r="AC1090" i="2"/>
  <c r="AD1090" i="2" s="1"/>
  <c r="AC1091" i="2"/>
  <c r="AD1091" i="2" s="1"/>
  <c r="AC1092" i="2"/>
  <c r="AD1092" i="2" s="1"/>
  <c r="AC1093" i="2"/>
  <c r="AD1093" i="2" s="1"/>
  <c r="AC1094" i="2"/>
  <c r="AD1094" i="2" s="1"/>
  <c r="AC1095" i="2"/>
  <c r="AD1095" i="2" s="1"/>
  <c r="AC1096" i="2"/>
  <c r="AC1097" i="2"/>
  <c r="AC1098" i="2"/>
  <c r="AC1099" i="2"/>
  <c r="AC1100" i="2"/>
  <c r="AD1100" i="2" s="1"/>
  <c r="AC1101" i="2"/>
  <c r="AD1101" i="2" s="1"/>
  <c r="AC1102" i="2"/>
  <c r="AD1102" i="2" s="1"/>
  <c r="AC1103" i="2"/>
  <c r="AD1103" i="2" s="1"/>
  <c r="AC1104" i="2"/>
  <c r="AD1104" i="2" s="1"/>
  <c r="AC1105" i="2"/>
  <c r="AD1105" i="2" s="1"/>
  <c r="AC1106" i="2"/>
  <c r="AD1106" i="2" s="1"/>
  <c r="AC1107" i="2"/>
  <c r="AD1107" i="2" s="1"/>
  <c r="AC1108" i="2"/>
  <c r="AD1108" i="2" s="1"/>
  <c r="AC1109" i="2"/>
  <c r="AD1109" i="2" s="1"/>
  <c r="AC1110" i="2"/>
  <c r="AD1110" i="2" s="1"/>
  <c r="AC1111" i="2"/>
  <c r="AD1111" i="2" s="1"/>
  <c r="AC1112" i="2"/>
  <c r="AD1112" i="2" s="1"/>
  <c r="AC1113" i="2"/>
  <c r="AD1113" i="2" s="1"/>
  <c r="AC1114" i="2"/>
  <c r="AD1114" i="2" s="1"/>
  <c r="AC1115" i="2"/>
  <c r="AD1115" i="2" s="1"/>
  <c r="AC1116" i="2"/>
  <c r="AD1116" i="2" s="1"/>
  <c r="AC1117" i="2"/>
  <c r="AD1117" i="2" s="1"/>
  <c r="AC1118" i="2"/>
  <c r="AD1118" i="2" s="1"/>
  <c r="AC1119" i="2"/>
  <c r="AD1119" i="2" s="1"/>
  <c r="AC1120" i="2"/>
  <c r="AD1120" i="2" s="1"/>
  <c r="AC1121" i="2"/>
  <c r="AD1121" i="2" s="1"/>
  <c r="AC1122" i="2"/>
  <c r="AD1122" i="2" s="1"/>
  <c r="AC1123" i="2"/>
  <c r="AD1123" i="2" s="1"/>
  <c r="AC1124" i="2"/>
  <c r="AD1124" i="2" s="1"/>
  <c r="AC1125" i="2"/>
  <c r="AD1125" i="2" s="1"/>
  <c r="AC1126" i="2"/>
  <c r="AD1126" i="2" s="1"/>
  <c r="AC1127" i="2"/>
  <c r="AD1127" i="2" s="1"/>
  <c r="AC1128" i="2"/>
  <c r="AD1128" i="2" s="1"/>
  <c r="AC1129" i="2"/>
  <c r="AD1129" i="2" s="1"/>
  <c r="AC1130" i="2"/>
  <c r="AD1130" i="2" s="1"/>
  <c r="AC1131" i="2"/>
  <c r="AD1131" i="2" s="1"/>
  <c r="AC1132" i="2"/>
  <c r="AD1132" i="2" s="1"/>
  <c r="AC1133" i="2"/>
  <c r="AD1133" i="2" s="1"/>
  <c r="AC1134" i="2"/>
  <c r="AD1134" i="2" s="1"/>
  <c r="AC1135" i="2"/>
  <c r="AD1135" i="2" s="1"/>
  <c r="AC1136" i="2"/>
  <c r="AD1136" i="2" s="1"/>
  <c r="AC1137" i="2"/>
  <c r="AD1137" i="2" s="1"/>
  <c r="AC1138" i="2"/>
  <c r="AD1138" i="2" s="1"/>
  <c r="AC1139" i="2"/>
  <c r="AD1139" i="2" s="1"/>
  <c r="AC1140" i="2"/>
  <c r="AD1140" i="2" s="1"/>
  <c r="AC1141" i="2"/>
  <c r="AD1141" i="2" s="1"/>
  <c r="AC1142" i="2"/>
  <c r="AC1143" i="2"/>
  <c r="AD1143" i="2" s="1"/>
  <c r="AC1144" i="2"/>
  <c r="AD1144" i="2" s="1"/>
  <c r="AC1145" i="2"/>
  <c r="AD1145" i="2" s="1"/>
  <c r="AC1146" i="2"/>
  <c r="AD1146" i="2" s="1"/>
  <c r="AC1147" i="2"/>
  <c r="AD1147" i="2" s="1"/>
  <c r="AC1148" i="2"/>
  <c r="AD1148" i="2" s="1"/>
  <c r="AC1149" i="2"/>
  <c r="AD1149" i="2" s="1"/>
  <c r="AC1150" i="2"/>
  <c r="AD1150" i="2" s="1"/>
  <c r="AC1151" i="2"/>
  <c r="AD1151" i="2" s="1"/>
  <c r="AC1152" i="2"/>
  <c r="AD1152" i="2" s="1"/>
  <c r="AC1153" i="2"/>
  <c r="AD1153" i="2" s="1"/>
  <c r="AC1154" i="2"/>
  <c r="AC1155" i="2"/>
  <c r="AD1155" i="2" s="1"/>
  <c r="AC1156" i="2"/>
  <c r="AD1156" i="2" s="1"/>
  <c r="AC1157" i="2"/>
  <c r="AD1157" i="2" s="1"/>
  <c r="AC1158" i="2"/>
  <c r="AD1158" i="2" s="1"/>
  <c r="AC1159" i="2"/>
  <c r="AD1159" i="2" s="1"/>
  <c r="AC1160" i="2"/>
  <c r="AD1160" i="2" s="1"/>
  <c r="AC1161" i="2"/>
  <c r="AD1161" i="2" s="1"/>
  <c r="AC1162" i="2"/>
  <c r="AD1162" i="2" s="1"/>
  <c r="AC1163" i="2"/>
  <c r="AD1163" i="2" s="1"/>
  <c r="AC1164" i="2"/>
  <c r="AD1164" i="2" s="1"/>
  <c r="AC1165" i="2"/>
  <c r="AD1165" i="2" s="1"/>
  <c r="AC1166" i="2"/>
  <c r="AD1166" i="2" s="1"/>
  <c r="AC1167" i="2"/>
  <c r="AD1167" i="2" s="1"/>
  <c r="AC1168" i="2"/>
  <c r="AD1168" i="2" s="1"/>
  <c r="AC1169" i="2"/>
  <c r="AD1169" i="2" s="1"/>
  <c r="AC1170" i="2"/>
  <c r="AD1170" i="2" s="1"/>
  <c r="AC1171" i="2"/>
  <c r="AD1171" i="2" s="1"/>
  <c r="AC1172" i="2"/>
  <c r="AD1172" i="2" s="1"/>
  <c r="AC1173" i="2"/>
  <c r="AD1173" i="2" s="1"/>
  <c r="AC1174" i="2"/>
  <c r="AD1174" i="2" s="1"/>
  <c r="AC1175" i="2"/>
  <c r="AD1175" i="2" s="1"/>
  <c r="AC1176" i="2"/>
  <c r="AD1176" i="2" s="1"/>
  <c r="AC1177" i="2"/>
  <c r="AD1177" i="2" s="1"/>
  <c r="AC1178" i="2"/>
  <c r="AD1178" i="2" s="1"/>
  <c r="AC1179" i="2"/>
  <c r="AD1179" i="2" s="1"/>
  <c r="AC1180" i="2"/>
  <c r="AD1180" i="2" s="1"/>
  <c r="AC1181" i="2"/>
  <c r="AD1181" i="2" s="1"/>
  <c r="AC1182" i="2"/>
  <c r="AD1182" i="2" s="1"/>
  <c r="AC1183" i="2"/>
  <c r="AD1183" i="2" s="1"/>
  <c r="AC1184" i="2"/>
  <c r="AD1184" i="2" s="1"/>
  <c r="AC1185" i="2"/>
  <c r="AD1185" i="2" s="1"/>
  <c r="AC1186" i="2"/>
  <c r="AD1186" i="2" s="1"/>
  <c r="AC1187" i="2"/>
  <c r="AD1187" i="2" s="1"/>
  <c r="AC1188" i="2"/>
  <c r="AD1188" i="2" s="1"/>
  <c r="AC1189" i="2"/>
  <c r="AD1189" i="2" s="1"/>
  <c r="AC1190" i="2"/>
  <c r="AD1190" i="2" s="1"/>
  <c r="AC1191" i="2"/>
  <c r="AD1191" i="2" s="1"/>
  <c r="AC1192" i="2"/>
  <c r="AD1192" i="2" s="1"/>
  <c r="AC1193" i="2"/>
  <c r="AD1193" i="2" s="1"/>
  <c r="AC1194" i="2"/>
  <c r="AD1194" i="2" s="1"/>
  <c r="AC1195" i="2"/>
  <c r="AD1195" i="2" s="1"/>
  <c r="AC1196" i="2"/>
  <c r="AD1196" i="2" s="1"/>
  <c r="AC1197" i="2"/>
  <c r="AD1197" i="2" s="1"/>
  <c r="AC1198" i="2"/>
  <c r="AD1198" i="2" s="1"/>
  <c r="AC1199" i="2"/>
  <c r="AD1199" i="2" s="1"/>
  <c r="AC1200" i="2"/>
  <c r="AD1200" i="2" s="1"/>
  <c r="AC1201" i="2"/>
  <c r="AD1201" i="2" s="1"/>
  <c r="AC1202" i="2"/>
  <c r="AD1202" i="2" s="1"/>
  <c r="AC1203" i="2"/>
  <c r="AD1203" i="2" s="1"/>
  <c r="AC1204" i="2"/>
  <c r="AD1204" i="2" s="1"/>
  <c r="AC1205" i="2"/>
  <c r="AD1205" i="2" s="1"/>
  <c r="AC1206" i="2"/>
  <c r="AD1206" i="2" s="1"/>
  <c r="AC1207" i="2"/>
  <c r="AD1207" i="2" s="1"/>
  <c r="AC1208" i="2"/>
  <c r="AD1208" i="2" s="1"/>
  <c r="AC1209" i="2"/>
  <c r="AD1209" i="2" s="1"/>
  <c r="AC1210" i="2"/>
  <c r="AD1210" i="2" s="1"/>
  <c r="AC1211" i="2"/>
  <c r="AD1211" i="2" s="1"/>
  <c r="AC1212" i="2"/>
  <c r="AC1213" i="2"/>
  <c r="AD1213" i="2" s="1"/>
  <c r="AC1214" i="2"/>
  <c r="AD1214" i="2" s="1"/>
  <c r="AC1215" i="2"/>
  <c r="W1215" i="2" s="1"/>
  <c r="K1215" i="16" s="1"/>
  <c r="AC1216" i="2"/>
  <c r="AC1217" i="2"/>
  <c r="AD1217" i="2" s="1"/>
  <c r="AC1218" i="2"/>
  <c r="AD1218" i="2" s="1"/>
  <c r="AC1219" i="2"/>
  <c r="AD1219" i="2" s="1"/>
  <c r="AC1220" i="2"/>
  <c r="AC1221" i="2"/>
  <c r="AD1221" i="2" s="1"/>
  <c r="AC1222" i="2"/>
  <c r="AD1222" i="2" s="1"/>
  <c r="AC1223" i="2"/>
  <c r="AC1224" i="2"/>
  <c r="AD1224" i="2" s="1"/>
  <c r="AC1225" i="2"/>
  <c r="AD1225" i="2" s="1"/>
  <c r="AC1226" i="2"/>
  <c r="AD1226" i="2" s="1"/>
  <c r="AC1227" i="2"/>
  <c r="W1227" i="2" s="1"/>
  <c r="K1227" i="16" s="1"/>
  <c r="AC1228" i="2"/>
  <c r="AD1228" i="2" s="1"/>
  <c r="AC2" i="2"/>
  <c r="AD2" i="2" s="1"/>
  <c r="AR1228" i="2"/>
  <c r="AR1227" i="2"/>
  <c r="AR1226" i="2"/>
  <c r="AR1225" i="2"/>
  <c r="AR1224" i="2"/>
  <c r="AR1223" i="2"/>
  <c r="AR1222" i="2"/>
  <c r="AR1221" i="2"/>
  <c r="AR1220" i="2"/>
  <c r="AR1219" i="2"/>
  <c r="AR1218" i="2"/>
  <c r="AR1217" i="2"/>
  <c r="AR1216" i="2"/>
  <c r="AR1215" i="2"/>
  <c r="AR1214" i="2"/>
  <c r="AR1213" i="2"/>
  <c r="AR1212" i="2"/>
  <c r="AR1211" i="2"/>
  <c r="AR1210" i="2"/>
  <c r="AR1209" i="2"/>
  <c r="AR1208" i="2"/>
  <c r="AR1207" i="2"/>
  <c r="AR1206" i="2"/>
  <c r="AR1205" i="2"/>
  <c r="AR1204" i="2"/>
  <c r="AR1203" i="2"/>
  <c r="AR1202" i="2"/>
  <c r="AR1201" i="2"/>
  <c r="AR1200" i="2"/>
  <c r="AR1199" i="2"/>
  <c r="AR1198" i="2"/>
  <c r="AR1197" i="2"/>
  <c r="AR1196" i="2"/>
  <c r="AR1195" i="2"/>
  <c r="AR1194" i="2"/>
  <c r="AR1193" i="2"/>
  <c r="AR1192" i="2"/>
  <c r="AR1191" i="2"/>
  <c r="AR1190" i="2"/>
  <c r="AR1189" i="2"/>
  <c r="AR1188" i="2"/>
  <c r="AR1187" i="2"/>
  <c r="AR1186" i="2"/>
  <c r="AR1185" i="2"/>
  <c r="AR1184" i="2"/>
  <c r="AR1183" i="2"/>
  <c r="AR1182" i="2"/>
  <c r="AR1181" i="2"/>
  <c r="AR1180" i="2"/>
  <c r="AR1179" i="2"/>
  <c r="AR1178" i="2"/>
  <c r="AR1177" i="2"/>
  <c r="AR1176" i="2"/>
  <c r="AR1175" i="2"/>
  <c r="AR1174" i="2"/>
  <c r="AR1173" i="2"/>
  <c r="AR1172" i="2"/>
  <c r="AR1171" i="2"/>
  <c r="AR1170" i="2"/>
  <c r="AR1169" i="2"/>
  <c r="AR1168" i="2"/>
  <c r="AR1167" i="2"/>
  <c r="AR1166" i="2"/>
  <c r="AR1165" i="2"/>
  <c r="AR1164" i="2"/>
  <c r="AR1163" i="2"/>
  <c r="AR1162" i="2"/>
  <c r="AR1161" i="2"/>
  <c r="AR1160" i="2"/>
  <c r="AR1159" i="2"/>
  <c r="AR1158" i="2"/>
  <c r="AR1157" i="2"/>
  <c r="AR1156" i="2"/>
  <c r="AR1155" i="2"/>
  <c r="AR1154" i="2"/>
  <c r="AR1153" i="2"/>
  <c r="AR1152" i="2"/>
  <c r="AR1151" i="2"/>
  <c r="AR1150" i="2"/>
  <c r="AR1149" i="2"/>
  <c r="AR1148" i="2"/>
  <c r="AR1147" i="2"/>
  <c r="AR1146" i="2"/>
  <c r="AR1145" i="2"/>
  <c r="AR1144" i="2"/>
  <c r="AR1143" i="2"/>
  <c r="AR1142" i="2"/>
  <c r="AR1141" i="2"/>
  <c r="AR1140" i="2"/>
  <c r="AR1139" i="2"/>
  <c r="AR1138" i="2"/>
  <c r="AR1137" i="2"/>
  <c r="AR1136" i="2"/>
  <c r="AR1135" i="2"/>
  <c r="AR1134" i="2"/>
  <c r="AR1133" i="2"/>
  <c r="AR1132" i="2"/>
  <c r="AR1131" i="2"/>
  <c r="AR1130" i="2"/>
  <c r="AR1129" i="2"/>
  <c r="AR1128" i="2"/>
  <c r="AR1127" i="2"/>
  <c r="AR1126" i="2"/>
  <c r="AR1125" i="2"/>
  <c r="AR1124" i="2"/>
  <c r="AR1123" i="2"/>
  <c r="AR1122" i="2"/>
  <c r="AR1121" i="2"/>
  <c r="AR1120" i="2"/>
  <c r="AR1119" i="2"/>
  <c r="AR1118" i="2"/>
  <c r="AR1117" i="2"/>
  <c r="AR1116" i="2"/>
  <c r="AR1115" i="2"/>
  <c r="AR1114" i="2"/>
  <c r="AR1113" i="2"/>
  <c r="AR1112" i="2"/>
  <c r="AR1111" i="2"/>
  <c r="AR1110" i="2"/>
  <c r="AR1109" i="2"/>
  <c r="AR1108" i="2"/>
  <c r="AR1107" i="2"/>
  <c r="AR1106" i="2"/>
  <c r="AR1105" i="2"/>
  <c r="AR1104" i="2"/>
  <c r="AR1103" i="2"/>
  <c r="AR1102" i="2"/>
  <c r="AR1101" i="2"/>
  <c r="AR1100" i="2"/>
  <c r="AR1099" i="2"/>
  <c r="AR1098" i="2"/>
  <c r="AR1097" i="2"/>
  <c r="AR1096" i="2"/>
  <c r="AR1095" i="2"/>
  <c r="AR1094" i="2"/>
  <c r="AR1093" i="2"/>
  <c r="AR1092" i="2"/>
  <c r="AR1091" i="2"/>
  <c r="AR1090" i="2"/>
  <c r="AR1089" i="2"/>
  <c r="AR1088" i="2"/>
  <c r="AR1087" i="2"/>
  <c r="AR1086" i="2"/>
  <c r="AR1085" i="2"/>
  <c r="AR1084" i="2"/>
  <c r="AR1083" i="2"/>
  <c r="AR1082" i="2"/>
  <c r="AR1081" i="2"/>
  <c r="AR1080" i="2"/>
  <c r="AR1079" i="2"/>
  <c r="AR1078" i="2"/>
  <c r="AR1077" i="2"/>
  <c r="AR1076" i="2"/>
  <c r="AR1075" i="2"/>
  <c r="AR1074" i="2"/>
  <c r="AR1073" i="2"/>
  <c r="AR1072" i="2"/>
  <c r="AR1071" i="2"/>
  <c r="AR1070" i="2"/>
  <c r="AR1069" i="2"/>
  <c r="AR1068" i="2"/>
  <c r="AR1067" i="2"/>
  <c r="AR1066" i="2"/>
  <c r="AR1065" i="2"/>
  <c r="AR1064" i="2"/>
  <c r="AR1063" i="2"/>
  <c r="AR1062" i="2"/>
  <c r="AR1061" i="2"/>
  <c r="AR1060" i="2"/>
  <c r="AR1059" i="2"/>
  <c r="AR1058" i="2"/>
  <c r="AR1057" i="2"/>
  <c r="AR1056" i="2"/>
  <c r="AR1055" i="2"/>
  <c r="AR1054" i="2"/>
  <c r="AR1053" i="2"/>
  <c r="AR1052" i="2"/>
  <c r="AR1051" i="2"/>
  <c r="AR1050" i="2"/>
  <c r="AR1049" i="2"/>
  <c r="AR1048" i="2"/>
  <c r="AR1047" i="2"/>
  <c r="AR1046" i="2"/>
  <c r="AR1045" i="2"/>
  <c r="AR1044" i="2"/>
  <c r="AR1043" i="2"/>
  <c r="AR1042" i="2"/>
  <c r="AR1041" i="2"/>
  <c r="AR1040" i="2"/>
  <c r="AR1039" i="2"/>
  <c r="AR1038" i="2"/>
  <c r="AR1037" i="2"/>
  <c r="AR1036" i="2"/>
  <c r="AR1035" i="2"/>
  <c r="AR1034" i="2"/>
  <c r="AR1033" i="2"/>
  <c r="AR1032" i="2"/>
  <c r="AR1031" i="2"/>
  <c r="AR1030" i="2"/>
  <c r="AR1029" i="2"/>
  <c r="AR1028" i="2"/>
  <c r="AR1027" i="2"/>
  <c r="AR1026" i="2"/>
  <c r="AR1025" i="2"/>
  <c r="AR1024" i="2"/>
  <c r="AR1023" i="2"/>
  <c r="AR1022" i="2"/>
  <c r="AR1021" i="2"/>
  <c r="AR1020" i="2"/>
  <c r="AR1019" i="2"/>
  <c r="AR1018" i="2"/>
  <c r="AR1017" i="2"/>
  <c r="AR1016" i="2"/>
  <c r="AR1015" i="2"/>
  <c r="AR1014" i="2"/>
  <c r="AR1013" i="2"/>
  <c r="AR1012" i="2"/>
  <c r="AR1011" i="2"/>
  <c r="AR1010" i="2"/>
  <c r="AR1009" i="2"/>
  <c r="AR1008" i="2"/>
  <c r="AR1007" i="2"/>
  <c r="AR1006" i="2"/>
  <c r="AR1005" i="2"/>
  <c r="AR1004" i="2"/>
  <c r="AR1003" i="2"/>
  <c r="AR1002" i="2"/>
  <c r="AR1001" i="2"/>
  <c r="AR1000" i="2"/>
  <c r="AR999" i="2"/>
  <c r="AR998" i="2"/>
  <c r="AR997" i="2"/>
  <c r="AR996" i="2"/>
  <c r="AR995" i="2"/>
  <c r="AR994" i="2"/>
  <c r="AR993" i="2"/>
  <c r="AR992" i="2"/>
  <c r="AR991" i="2"/>
  <c r="AR990" i="2"/>
  <c r="AR989" i="2"/>
  <c r="AR988" i="2"/>
  <c r="AR987" i="2"/>
  <c r="AR986" i="2"/>
  <c r="AR985" i="2"/>
  <c r="AR984" i="2"/>
  <c r="AR983" i="2"/>
  <c r="AR982" i="2"/>
  <c r="AR981" i="2"/>
  <c r="AR980" i="2"/>
  <c r="AR979" i="2"/>
  <c r="AR978" i="2"/>
  <c r="AR977" i="2"/>
  <c r="AR976" i="2"/>
  <c r="AR975" i="2"/>
  <c r="AR974" i="2"/>
  <c r="AR973" i="2"/>
  <c r="AR972" i="2"/>
  <c r="AR971" i="2"/>
  <c r="AR970" i="2"/>
  <c r="AR969" i="2"/>
  <c r="AR968" i="2"/>
  <c r="AR967" i="2"/>
  <c r="AR966" i="2"/>
  <c r="AR965" i="2"/>
  <c r="AR964" i="2"/>
  <c r="AR963" i="2"/>
  <c r="AR962" i="2"/>
  <c r="AR961" i="2"/>
  <c r="AR960" i="2"/>
  <c r="AR959" i="2"/>
  <c r="AR958" i="2"/>
  <c r="AR957" i="2"/>
  <c r="AR956" i="2"/>
  <c r="AR955" i="2"/>
  <c r="AR954" i="2"/>
  <c r="AR953" i="2"/>
  <c r="AR952" i="2"/>
  <c r="AR951" i="2"/>
  <c r="AR950" i="2"/>
  <c r="AR949" i="2"/>
  <c r="AR948" i="2"/>
  <c r="AR947" i="2"/>
  <c r="AR946" i="2"/>
  <c r="AR945" i="2"/>
  <c r="AR944" i="2"/>
  <c r="AR943" i="2"/>
  <c r="AR942" i="2"/>
  <c r="AR941" i="2"/>
  <c r="AR940" i="2"/>
  <c r="AR939" i="2"/>
  <c r="AR938" i="2"/>
  <c r="AR937" i="2"/>
  <c r="AR936" i="2"/>
  <c r="AR935" i="2"/>
  <c r="AR934" i="2"/>
  <c r="AR933" i="2"/>
  <c r="AR932" i="2"/>
  <c r="AR931" i="2"/>
  <c r="AR930" i="2"/>
  <c r="AR929" i="2"/>
  <c r="AR928" i="2"/>
  <c r="AR927" i="2"/>
  <c r="AR926" i="2"/>
  <c r="AR925" i="2"/>
  <c r="AR924" i="2"/>
  <c r="AR923" i="2"/>
  <c r="AR922" i="2"/>
  <c r="AR921" i="2"/>
  <c r="AR920" i="2"/>
  <c r="AR919" i="2"/>
  <c r="AR918" i="2"/>
  <c r="AR917" i="2"/>
  <c r="AR916" i="2"/>
  <c r="AR915" i="2"/>
  <c r="AR914" i="2"/>
  <c r="AR913" i="2"/>
  <c r="AR912" i="2"/>
  <c r="AR911" i="2"/>
  <c r="AR910" i="2"/>
  <c r="AR909" i="2"/>
  <c r="AR908" i="2"/>
  <c r="AR907" i="2"/>
  <c r="AR906" i="2"/>
  <c r="AR905" i="2"/>
  <c r="AR904" i="2"/>
  <c r="AR903" i="2"/>
  <c r="AR902" i="2"/>
  <c r="AR901" i="2"/>
  <c r="AR900" i="2"/>
  <c r="AR899" i="2"/>
  <c r="AR898" i="2"/>
  <c r="AR897" i="2"/>
  <c r="AR896" i="2"/>
  <c r="AR895" i="2"/>
  <c r="AR894" i="2"/>
  <c r="AR893" i="2"/>
  <c r="AR892" i="2"/>
  <c r="AR891" i="2"/>
  <c r="AR890" i="2"/>
  <c r="AR889" i="2"/>
  <c r="AR888" i="2"/>
  <c r="AR887" i="2"/>
  <c r="AR886" i="2"/>
  <c r="AR885" i="2"/>
  <c r="AR884" i="2"/>
  <c r="AR883" i="2"/>
  <c r="AR882" i="2"/>
  <c r="AR881" i="2"/>
  <c r="AR880" i="2"/>
  <c r="AR879" i="2"/>
  <c r="AR878" i="2"/>
  <c r="AR877" i="2"/>
  <c r="AR876" i="2"/>
  <c r="AR875" i="2"/>
  <c r="AR874" i="2"/>
  <c r="AR873" i="2"/>
  <c r="AR872" i="2"/>
  <c r="AR871" i="2"/>
  <c r="AR870" i="2"/>
  <c r="AR869" i="2"/>
  <c r="AR868" i="2"/>
  <c r="AR867" i="2"/>
  <c r="AR866" i="2"/>
  <c r="AR865" i="2"/>
  <c r="AR864" i="2"/>
  <c r="AR863" i="2"/>
  <c r="AR862" i="2"/>
  <c r="AR861" i="2"/>
  <c r="AR860" i="2"/>
  <c r="AR859" i="2"/>
  <c r="AR858" i="2"/>
  <c r="AR857" i="2"/>
  <c r="AR856" i="2"/>
  <c r="AR855" i="2"/>
  <c r="AR854" i="2"/>
  <c r="AR853" i="2"/>
  <c r="AR852" i="2"/>
  <c r="AR851" i="2"/>
  <c r="AR850" i="2"/>
  <c r="AR849" i="2"/>
  <c r="AR848" i="2"/>
  <c r="AR847" i="2"/>
  <c r="AR846" i="2"/>
  <c r="AR845" i="2"/>
  <c r="AR844" i="2"/>
  <c r="AR843" i="2"/>
  <c r="AR842" i="2"/>
  <c r="AR841" i="2"/>
  <c r="AR840" i="2"/>
  <c r="AR839" i="2"/>
  <c r="AR838" i="2"/>
  <c r="AR837" i="2"/>
  <c r="AR836" i="2"/>
  <c r="AR835" i="2"/>
  <c r="AR834" i="2"/>
  <c r="AR833" i="2"/>
  <c r="AR832" i="2"/>
  <c r="AR831" i="2"/>
  <c r="AR830" i="2"/>
  <c r="AR829" i="2"/>
  <c r="AR828" i="2"/>
  <c r="AR827" i="2"/>
  <c r="AR826" i="2"/>
  <c r="AR825" i="2"/>
  <c r="AR824" i="2"/>
  <c r="AR823" i="2"/>
  <c r="AR822" i="2"/>
  <c r="AR821" i="2"/>
  <c r="AR820" i="2"/>
  <c r="AR819" i="2"/>
  <c r="AR818" i="2"/>
  <c r="AR817" i="2"/>
  <c r="AR816" i="2"/>
  <c r="AR815" i="2"/>
  <c r="AR814" i="2"/>
  <c r="AR813" i="2"/>
  <c r="AR812" i="2"/>
  <c r="AR811" i="2"/>
  <c r="AR810" i="2"/>
  <c r="AR809" i="2"/>
  <c r="AR808" i="2"/>
  <c r="AR807" i="2"/>
  <c r="AR806" i="2"/>
  <c r="AR805" i="2"/>
  <c r="AR804" i="2"/>
  <c r="AR803" i="2"/>
  <c r="AR802" i="2"/>
  <c r="AR801" i="2"/>
  <c r="AR800" i="2"/>
  <c r="AR799" i="2"/>
  <c r="AR798" i="2"/>
  <c r="AR797" i="2"/>
  <c r="AR796" i="2"/>
  <c r="AR795" i="2"/>
  <c r="AR794" i="2"/>
  <c r="AR793" i="2"/>
  <c r="AR792" i="2"/>
  <c r="AR791" i="2"/>
  <c r="AR790" i="2"/>
  <c r="AR789" i="2"/>
  <c r="AR788" i="2"/>
  <c r="AR787" i="2"/>
  <c r="AR786" i="2"/>
  <c r="AR785" i="2"/>
  <c r="AR784" i="2"/>
  <c r="AR783" i="2"/>
  <c r="AR782" i="2"/>
  <c r="AR781" i="2"/>
  <c r="AR780" i="2"/>
  <c r="AR779" i="2"/>
  <c r="AR778" i="2"/>
  <c r="AR777" i="2"/>
  <c r="AR776" i="2"/>
  <c r="AR775" i="2"/>
  <c r="AR774" i="2"/>
  <c r="AR773" i="2"/>
  <c r="AR772" i="2"/>
  <c r="AR771" i="2"/>
  <c r="AR770" i="2"/>
  <c r="AR769" i="2"/>
  <c r="AR768" i="2"/>
  <c r="AR767" i="2"/>
  <c r="AR766" i="2"/>
  <c r="AR765" i="2"/>
  <c r="AR764" i="2"/>
  <c r="AR763" i="2"/>
  <c r="AR762" i="2"/>
  <c r="AR761" i="2"/>
  <c r="AR760" i="2"/>
  <c r="AR759" i="2"/>
  <c r="AR758" i="2"/>
  <c r="AR757" i="2"/>
  <c r="AR756" i="2"/>
  <c r="AR755" i="2"/>
  <c r="AR754" i="2"/>
  <c r="AR753" i="2"/>
  <c r="AR752" i="2"/>
  <c r="AR751" i="2"/>
  <c r="AR750" i="2"/>
  <c r="AR749" i="2"/>
  <c r="AR748" i="2"/>
  <c r="AR747" i="2"/>
  <c r="AR746" i="2"/>
  <c r="AR745" i="2"/>
  <c r="AR744" i="2"/>
  <c r="AR743" i="2"/>
  <c r="AR742" i="2"/>
  <c r="AR741" i="2"/>
  <c r="AR740" i="2"/>
  <c r="AR739" i="2"/>
  <c r="AR738" i="2"/>
  <c r="AR737" i="2"/>
  <c r="AR736" i="2"/>
  <c r="AR735" i="2"/>
  <c r="AR734" i="2"/>
  <c r="AR733" i="2"/>
  <c r="AR732" i="2"/>
  <c r="AR731" i="2"/>
  <c r="AR730" i="2"/>
  <c r="AR729" i="2"/>
  <c r="AR728" i="2"/>
  <c r="AR727" i="2"/>
  <c r="AR726" i="2"/>
  <c r="AR725" i="2"/>
  <c r="AR724" i="2"/>
  <c r="AR723" i="2"/>
  <c r="AR722" i="2"/>
  <c r="AR721" i="2"/>
  <c r="AR720" i="2"/>
  <c r="AR719" i="2"/>
  <c r="AR718" i="2"/>
  <c r="AR717" i="2"/>
  <c r="AR716" i="2"/>
  <c r="AR715" i="2"/>
  <c r="AR714" i="2"/>
  <c r="AR713" i="2"/>
  <c r="AR712" i="2"/>
  <c r="AR711" i="2"/>
  <c r="AR710" i="2"/>
  <c r="AR709" i="2"/>
  <c r="AR708" i="2"/>
  <c r="AR707" i="2"/>
  <c r="AR706" i="2"/>
  <c r="AR705" i="2"/>
  <c r="AR704" i="2"/>
  <c r="AR703" i="2"/>
  <c r="AR702" i="2"/>
  <c r="AR701" i="2"/>
  <c r="AR700" i="2"/>
  <c r="AR699" i="2"/>
  <c r="AR698" i="2"/>
  <c r="AR697" i="2"/>
  <c r="AR696" i="2"/>
  <c r="AR695" i="2"/>
  <c r="AR694" i="2"/>
  <c r="AR693" i="2"/>
  <c r="AR692" i="2"/>
  <c r="AR691" i="2"/>
  <c r="AR690" i="2"/>
  <c r="AR689" i="2"/>
  <c r="AR688" i="2"/>
  <c r="AR687" i="2"/>
  <c r="AR686" i="2"/>
  <c r="AR685" i="2"/>
  <c r="AR684" i="2"/>
  <c r="AR683" i="2"/>
  <c r="AR682" i="2"/>
  <c r="AR681" i="2"/>
  <c r="AR680" i="2"/>
  <c r="AR679" i="2"/>
  <c r="AR678" i="2"/>
  <c r="AR677" i="2"/>
  <c r="AR676" i="2"/>
  <c r="AR675" i="2"/>
  <c r="AR674" i="2"/>
  <c r="AR673" i="2"/>
  <c r="AR672" i="2"/>
  <c r="AR671" i="2"/>
  <c r="AR670" i="2"/>
  <c r="AR669" i="2"/>
  <c r="AR668" i="2"/>
  <c r="AR667" i="2"/>
  <c r="AR666" i="2"/>
  <c r="AR665" i="2"/>
  <c r="AR664" i="2"/>
  <c r="AR663" i="2"/>
  <c r="AR662" i="2"/>
  <c r="AR661" i="2"/>
  <c r="AR660" i="2"/>
  <c r="AR659" i="2"/>
  <c r="AR658" i="2"/>
  <c r="AR657" i="2"/>
  <c r="AR656" i="2"/>
  <c r="AR655" i="2"/>
  <c r="AR654" i="2"/>
  <c r="AR653" i="2"/>
  <c r="AR652" i="2"/>
  <c r="AR651" i="2"/>
  <c r="AR650" i="2"/>
  <c r="AR649" i="2"/>
  <c r="AR648" i="2"/>
  <c r="AR647" i="2"/>
  <c r="AR646" i="2"/>
  <c r="AR645" i="2"/>
  <c r="AR644" i="2"/>
  <c r="AR643" i="2"/>
  <c r="AR642" i="2"/>
  <c r="AR641" i="2"/>
  <c r="AR640" i="2"/>
  <c r="AR639" i="2"/>
  <c r="AR638" i="2"/>
  <c r="AR637" i="2"/>
  <c r="AR636" i="2"/>
  <c r="AR635" i="2"/>
  <c r="AR634" i="2"/>
  <c r="AR633" i="2"/>
  <c r="AR632" i="2"/>
  <c r="AR631" i="2"/>
  <c r="AR630" i="2"/>
  <c r="AR629" i="2"/>
  <c r="AR628" i="2"/>
  <c r="AR627" i="2"/>
  <c r="AR626" i="2"/>
  <c r="AR625" i="2"/>
  <c r="AR624" i="2"/>
  <c r="AR623" i="2"/>
  <c r="AR622" i="2"/>
  <c r="AR621" i="2"/>
  <c r="AR620" i="2"/>
  <c r="AR619" i="2"/>
  <c r="AR618" i="2"/>
  <c r="AR617" i="2"/>
  <c r="AR616" i="2"/>
  <c r="AR615" i="2"/>
  <c r="AR614" i="2"/>
  <c r="AR613" i="2"/>
  <c r="AR612" i="2"/>
  <c r="AR611" i="2"/>
  <c r="AR610" i="2"/>
  <c r="AR609" i="2"/>
  <c r="AR608" i="2"/>
  <c r="AR607" i="2"/>
  <c r="AR606" i="2"/>
  <c r="AR605" i="2"/>
  <c r="AR604" i="2"/>
  <c r="AR603" i="2"/>
  <c r="AR602" i="2"/>
  <c r="AR601" i="2"/>
  <c r="AR600" i="2"/>
  <c r="AR599" i="2"/>
  <c r="AR598" i="2"/>
  <c r="AR597" i="2"/>
  <c r="AR596" i="2"/>
  <c r="AR595" i="2"/>
  <c r="AR594" i="2"/>
  <c r="AR593" i="2"/>
  <c r="AR592" i="2"/>
  <c r="AR591" i="2"/>
  <c r="AR590" i="2"/>
  <c r="AR589" i="2"/>
  <c r="AR588" i="2"/>
  <c r="AR587" i="2"/>
  <c r="AR586" i="2"/>
  <c r="AR585" i="2"/>
  <c r="AR584" i="2"/>
  <c r="AR583" i="2"/>
  <c r="AR582" i="2"/>
  <c r="AR581" i="2"/>
  <c r="AR580" i="2"/>
  <c r="AR579" i="2"/>
  <c r="AR578" i="2"/>
  <c r="AR577" i="2"/>
  <c r="AR576" i="2"/>
  <c r="AR575" i="2"/>
  <c r="AR574" i="2"/>
  <c r="AR573" i="2"/>
  <c r="AR572" i="2"/>
  <c r="AR571" i="2"/>
  <c r="AR570" i="2"/>
  <c r="AR569" i="2"/>
  <c r="AR568" i="2"/>
  <c r="AR567" i="2"/>
  <c r="AR566" i="2"/>
  <c r="AR565" i="2"/>
  <c r="AR564" i="2"/>
  <c r="AR563" i="2"/>
  <c r="AR562" i="2"/>
  <c r="AR561" i="2"/>
  <c r="AR560" i="2"/>
  <c r="AR559" i="2"/>
  <c r="AR558" i="2"/>
  <c r="AR557" i="2"/>
  <c r="AR556" i="2"/>
  <c r="AR555" i="2"/>
  <c r="AR554" i="2"/>
  <c r="AR553" i="2"/>
  <c r="AR552" i="2"/>
  <c r="AR551" i="2"/>
  <c r="AR550" i="2"/>
  <c r="AR549" i="2"/>
  <c r="AR548" i="2"/>
  <c r="AR547" i="2"/>
  <c r="AR546" i="2"/>
  <c r="AR545" i="2"/>
  <c r="AR544" i="2"/>
  <c r="AR543" i="2"/>
  <c r="AR542" i="2"/>
  <c r="AR541" i="2"/>
  <c r="AR540" i="2"/>
  <c r="AR539" i="2"/>
  <c r="AR538" i="2"/>
  <c r="AR537" i="2"/>
  <c r="AR536" i="2"/>
  <c r="AR535" i="2"/>
  <c r="AR534" i="2"/>
  <c r="AR533" i="2"/>
  <c r="AR532" i="2"/>
  <c r="AR531" i="2"/>
  <c r="AR530" i="2"/>
  <c r="AR529" i="2"/>
  <c r="AR528" i="2"/>
  <c r="AR527" i="2"/>
  <c r="AR526" i="2"/>
  <c r="AR525" i="2"/>
  <c r="AR524" i="2"/>
  <c r="AR523" i="2"/>
  <c r="AR522" i="2"/>
  <c r="AR521" i="2"/>
  <c r="AR520" i="2"/>
  <c r="AR519" i="2"/>
  <c r="AR518" i="2"/>
  <c r="AR517" i="2"/>
  <c r="AR516" i="2"/>
  <c r="AR515" i="2"/>
  <c r="AR514" i="2"/>
  <c r="AR513" i="2"/>
  <c r="AR512" i="2"/>
  <c r="AR511" i="2"/>
  <c r="AR510" i="2"/>
  <c r="AR509" i="2"/>
  <c r="AR508" i="2"/>
  <c r="AR507" i="2"/>
  <c r="AR506" i="2"/>
  <c r="AR505" i="2"/>
  <c r="AR504" i="2"/>
  <c r="AR503" i="2"/>
  <c r="AR502" i="2"/>
  <c r="AR501" i="2"/>
  <c r="AR500" i="2"/>
  <c r="AR499" i="2"/>
  <c r="AR498" i="2"/>
  <c r="AR497" i="2"/>
  <c r="AR496" i="2"/>
  <c r="AR495" i="2"/>
  <c r="AR494" i="2"/>
  <c r="AR493" i="2"/>
  <c r="AR492" i="2"/>
  <c r="AR491" i="2"/>
  <c r="AR490" i="2"/>
  <c r="AR489" i="2"/>
  <c r="AR488" i="2"/>
  <c r="AR487" i="2"/>
  <c r="AR486" i="2"/>
  <c r="AR485" i="2"/>
  <c r="AR484" i="2"/>
  <c r="AR483" i="2"/>
  <c r="AR482" i="2"/>
  <c r="AR481" i="2"/>
  <c r="AR480" i="2"/>
  <c r="AR479" i="2"/>
  <c r="AR478" i="2"/>
  <c r="AR477" i="2"/>
  <c r="AR476" i="2"/>
  <c r="AR475" i="2"/>
  <c r="AR474" i="2"/>
  <c r="AR473" i="2"/>
  <c r="AR472" i="2"/>
  <c r="AR471" i="2"/>
  <c r="AR470" i="2"/>
  <c r="AR469" i="2"/>
  <c r="AR468" i="2"/>
  <c r="AR467" i="2"/>
  <c r="AR466" i="2"/>
  <c r="AR465" i="2"/>
  <c r="AR464" i="2"/>
  <c r="AR463" i="2"/>
  <c r="AR462" i="2"/>
  <c r="AR461" i="2"/>
  <c r="AR460" i="2"/>
  <c r="AR459" i="2"/>
  <c r="AR458" i="2"/>
  <c r="AR457" i="2"/>
  <c r="AR456" i="2"/>
  <c r="AR455" i="2"/>
  <c r="AR454" i="2"/>
  <c r="AR453" i="2"/>
  <c r="AR452" i="2"/>
  <c r="AR451" i="2"/>
  <c r="AR450" i="2"/>
  <c r="AR449" i="2"/>
  <c r="AR448" i="2"/>
  <c r="AR447" i="2"/>
  <c r="AR446" i="2"/>
  <c r="AR445" i="2"/>
  <c r="AR444" i="2"/>
  <c r="AR443" i="2"/>
  <c r="AR442" i="2"/>
  <c r="AR441" i="2"/>
  <c r="AR440" i="2"/>
  <c r="AR439" i="2"/>
  <c r="AR438" i="2"/>
  <c r="AR437" i="2"/>
  <c r="AR436" i="2"/>
  <c r="AR435" i="2"/>
  <c r="AR434" i="2"/>
  <c r="AR433" i="2"/>
  <c r="AR432" i="2"/>
  <c r="AR431" i="2"/>
  <c r="AR430" i="2"/>
  <c r="AR429" i="2"/>
  <c r="AR428" i="2"/>
  <c r="AR427" i="2"/>
  <c r="AR426" i="2"/>
  <c r="AR425" i="2"/>
  <c r="AR424" i="2"/>
  <c r="AR423" i="2"/>
  <c r="AR422" i="2"/>
  <c r="AR421" i="2"/>
  <c r="AR420" i="2"/>
  <c r="AR419" i="2"/>
  <c r="AR418" i="2"/>
  <c r="AR417" i="2"/>
  <c r="AR416" i="2"/>
  <c r="AR415" i="2"/>
  <c r="AR414" i="2"/>
  <c r="AR413" i="2"/>
  <c r="AR412" i="2"/>
  <c r="AR411" i="2"/>
  <c r="AR410" i="2"/>
  <c r="AR409" i="2"/>
  <c r="AR408" i="2"/>
  <c r="AR407" i="2"/>
  <c r="AR406" i="2"/>
  <c r="AR405" i="2"/>
  <c r="AR404" i="2"/>
  <c r="AR403" i="2"/>
  <c r="AR402" i="2"/>
  <c r="AR401" i="2"/>
  <c r="AR400" i="2"/>
  <c r="AR399" i="2"/>
  <c r="AR398" i="2"/>
  <c r="AR397" i="2"/>
  <c r="AR396" i="2"/>
  <c r="AR395" i="2"/>
  <c r="AR394" i="2"/>
  <c r="AR393" i="2"/>
  <c r="AR392" i="2"/>
  <c r="AR391" i="2"/>
  <c r="AR390" i="2"/>
  <c r="AR389" i="2"/>
  <c r="AR388" i="2"/>
  <c r="AR387" i="2"/>
  <c r="AR386" i="2"/>
  <c r="AR385" i="2"/>
  <c r="AR384" i="2"/>
  <c r="AR383" i="2"/>
  <c r="AR382" i="2"/>
  <c r="AR381" i="2"/>
  <c r="AR380" i="2"/>
  <c r="AR379" i="2"/>
  <c r="AR378" i="2"/>
  <c r="AR377" i="2"/>
  <c r="AR376" i="2"/>
  <c r="AR375" i="2"/>
  <c r="AR374" i="2"/>
  <c r="AR373" i="2"/>
  <c r="AR372" i="2"/>
  <c r="AR371" i="2"/>
  <c r="AR370" i="2"/>
  <c r="AR369" i="2"/>
  <c r="AR368" i="2"/>
  <c r="AR367" i="2"/>
  <c r="AR366" i="2"/>
  <c r="AR365" i="2"/>
  <c r="AR364" i="2"/>
  <c r="AR363" i="2"/>
  <c r="AR362" i="2"/>
  <c r="AR361" i="2"/>
  <c r="AR360" i="2"/>
  <c r="AR359" i="2"/>
  <c r="AR358" i="2"/>
  <c r="AR357" i="2"/>
  <c r="AR356" i="2"/>
  <c r="AR355" i="2"/>
  <c r="AR354" i="2"/>
  <c r="AR353" i="2"/>
  <c r="AR352" i="2"/>
  <c r="AR351" i="2"/>
  <c r="AR350" i="2"/>
  <c r="AR349" i="2"/>
  <c r="AR348" i="2"/>
  <c r="AR347" i="2"/>
  <c r="AR346" i="2"/>
  <c r="AR345" i="2"/>
  <c r="AR344" i="2"/>
  <c r="AR343" i="2"/>
  <c r="AR342" i="2"/>
  <c r="AR341" i="2"/>
  <c r="AR340" i="2"/>
  <c r="AR339" i="2"/>
  <c r="AR338" i="2"/>
  <c r="AR337" i="2"/>
  <c r="AR336" i="2"/>
  <c r="AR335" i="2"/>
  <c r="AR334" i="2"/>
  <c r="AR333" i="2"/>
  <c r="AR332" i="2"/>
  <c r="AR331" i="2"/>
  <c r="AR330" i="2"/>
  <c r="AR329" i="2"/>
  <c r="AR328" i="2"/>
  <c r="AR327" i="2"/>
  <c r="AR326" i="2"/>
  <c r="AR325" i="2"/>
  <c r="AR324" i="2"/>
  <c r="AR323" i="2"/>
  <c r="AR322" i="2"/>
  <c r="AR321" i="2"/>
  <c r="AR320" i="2"/>
  <c r="AR319" i="2"/>
  <c r="AR318" i="2"/>
  <c r="AR317" i="2"/>
  <c r="AR316" i="2"/>
  <c r="AR315" i="2"/>
  <c r="AR314" i="2"/>
  <c r="AR313" i="2"/>
  <c r="AR312" i="2"/>
  <c r="AR311" i="2"/>
  <c r="AR310" i="2"/>
  <c r="AR309" i="2"/>
  <c r="AR308" i="2"/>
  <c r="AR307" i="2"/>
  <c r="AR306" i="2"/>
  <c r="AR305" i="2"/>
  <c r="AR304" i="2"/>
  <c r="AR303" i="2"/>
  <c r="AR302" i="2"/>
  <c r="AR301" i="2"/>
  <c r="AR300" i="2"/>
  <c r="AR299" i="2"/>
  <c r="AR298" i="2"/>
  <c r="AR297" i="2"/>
  <c r="AR296" i="2"/>
  <c r="AR295" i="2"/>
  <c r="AR294" i="2"/>
  <c r="AR293" i="2"/>
  <c r="AR292" i="2"/>
  <c r="AR291" i="2"/>
  <c r="AR290" i="2"/>
  <c r="AR289" i="2"/>
  <c r="AR288" i="2"/>
  <c r="AR287" i="2"/>
  <c r="AR286" i="2"/>
  <c r="AR285" i="2"/>
  <c r="AR284" i="2"/>
  <c r="AR283" i="2"/>
  <c r="AR282" i="2"/>
  <c r="AR281" i="2"/>
  <c r="AR280" i="2"/>
  <c r="AR279" i="2"/>
  <c r="AR278" i="2"/>
  <c r="AR277" i="2"/>
  <c r="AR276" i="2"/>
  <c r="AR275" i="2"/>
  <c r="AR274" i="2"/>
  <c r="AR273" i="2"/>
  <c r="AR272" i="2"/>
  <c r="AR271" i="2"/>
  <c r="AR270" i="2"/>
  <c r="AR269" i="2"/>
  <c r="AR268" i="2"/>
  <c r="AR267" i="2"/>
  <c r="AR266" i="2"/>
  <c r="AR265" i="2"/>
  <c r="AR264" i="2"/>
  <c r="AR263" i="2"/>
  <c r="AR262" i="2"/>
  <c r="AR261" i="2"/>
  <c r="AR260" i="2"/>
  <c r="AR259" i="2"/>
  <c r="AR258" i="2"/>
  <c r="AR257" i="2"/>
  <c r="AR256" i="2"/>
  <c r="AR255" i="2"/>
  <c r="AR254" i="2"/>
  <c r="AR253" i="2"/>
  <c r="AR252" i="2"/>
  <c r="AR251" i="2"/>
  <c r="AR250" i="2"/>
  <c r="AR249" i="2"/>
  <c r="AR248" i="2"/>
  <c r="AR247" i="2"/>
  <c r="AR246" i="2"/>
  <c r="AR245" i="2"/>
  <c r="AR244" i="2"/>
  <c r="AR243" i="2"/>
  <c r="AR242" i="2"/>
  <c r="AR241" i="2"/>
  <c r="AR240" i="2"/>
  <c r="AR239" i="2"/>
  <c r="AR238" i="2"/>
  <c r="AR237" i="2"/>
  <c r="AR236" i="2"/>
  <c r="AR235" i="2"/>
  <c r="AR234" i="2"/>
  <c r="AR233" i="2"/>
  <c r="AR232" i="2"/>
  <c r="AR231" i="2"/>
  <c r="AR230" i="2"/>
  <c r="AR229" i="2"/>
  <c r="AR228" i="2"/>
  <c r="AR227" i="2"/>
  <c r="AR226" i="2"/>
  <c r="AR225" i="2"/>
  <c r="AR224" i="2"/>
  <c r="AR223" i="2"/>
  <c r="AR222" i="2"/>
  <c r="AR221" i="2"/>
  <c r="AR220" i="2"/>
  <c r="AR219" i="2"/>
  <c r="AR218" i="2"/>
  <c r="AR217" i="2"/>
  <c r="AR216" i="2"/>
  <c r="AR215" i="2"/>
  <c r="AR214" i="2"/>
  <c r="AR213" i="2"/>
  <c r="AR212" i="2"/>
  <c r="AR211" i="2"/>
  <c r="AR210" i="2"/>
  <c r="AR209" i="2"/>
  <c r="AR208" i="2"/>
  <c r="AR207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R176" i="2"/>
  <c r="AR175" i="2"/>
  <c r="AR174" i="2"/>
  <c r="AR173" i="2"/>
  <c r="AR172" i="2"/>
  <c r="AR171" i="2"/>
  <c r="AR170" i="2"/>
  <c r="AR169" i="2"/>
  <c r="AR168" i="2"/>
  <c r="AR167" i="2"/>
  <c r="AR166" i="2"/>
  <c r="AR165" i="2"/>
  <c r="AR164" i="2"/>
  <c r="AR163" i="2"/>
  <c r="AR162" i="2"/>
  <c r="AR161" i="2"/>
  <c r="AR160" i="2"/>
  <c r="AR159" i="2"/>
  <c r="AR158" i="2"/>
  <c r="AR157" i="2"/>
  <c r="AR156" i="2"/>
  <c r="AR155" i="2"/>
  <c r="AR154" i="2"/>
  <c r="AR153" i="2"/>
  <c r="AR152" i="2"/>
  <c r="AR151" i="2"/>
  <c r="AR150" i="2"/>
  <c r="AR149" i="2"/>
  <c r="AR148" i="2"/>
  <c r="AR147" i="2"/>
  <c r="AR146" i="2"/>
  <c r="AR145" i="2"/>
  <c r="AR144" i="2"/>
  <c r="AR143" i="2"/>
  <c r="AR142" i="2"/>
  <c r="AR141" i="2"/>
  <c r="AR140" i="2"/>
  <c r="AR139" i="2"/>
  <c r="AR138" i="2"/>
  <c r="AR137" i="2"/>
  <c r="AR136" i="2"/>
  <c r="AR135" i="2"/>
  <c r="AR134" i="2"/>
  <c r="AR133" i="2"/>
  <c r="AR132" i="2"/>
  <c r="AR131" i="2"/>
  <c r="AR130" i="2"/>
  <c r="AR129" i="2"/>
  <c r="AR128" i="2"/>
  <c r="AR127" i="2"/>
  <c r="AR126" i="2"/>
  <c r="AR125" i="2"/>
  <c r="AR124" i="2"/>
  <c r="AR123" i="2"/>
  <c r="AR121" i="2"/>
  <c r="AR120" i="2"/>
  <c r="AR119" i="2"/>
  <c r="AR118" i="2"/>
  <c r="AR117" i="2"/>
  <c r="AR116" i="2"/>
  <c r="AR115" i="2"/>
  <c r="AR114" i="2"/>
  <c r="AR113" i="2"/>
  <c r="AR112" i="2"/>
  <c r="AR111" i="2"/>
  <c r="AR110" i="2"/>
  <c r="AR109" i="2"/>
  <c r="AR108" i="2"/>
  <c r="AR107" i="2"/>
  <c r="AR106" i="2"/>
  <c r="AR105" i="2"/>
  <c r="AR104" i="2"/>
  <c r="AR103" i="2"/>
  <c r="AR102" i="2"/>
  <c r="AR101" i="2"/>
  <c r="AR100" i="2"/>
  <c r="AR99" i="2"/>
  <c r="AR98" i="2"/>
  <c r="AR97" i="2"/>
  <c r="AR96" i="2"/>
  <c r="AR95" i="2"/>
  <c r="AR94" i="2"/>
  <c r="AR93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R2" i="2"/>
  <c r="AR122" i="2"/>
  <c r="V3" i="2"/>
  <c r="I3" i="16" s="1"/>
  <c r="V4" i="2"/>
  <c r="I4" i="16" s="1"/>
  <c r="V5" i="2"/>
  <c r="I5" i="16" s="1"/>
  <c r="V6" i="2"/>
  <c r="I6" i="16" s="1"/>
  <c r="V7" i="2"/>
  <c r="I7" i="16" s="1"/>
  <c r="V8" i="2"/>
  <c r="I8" i="16" s="1"/>
  <c r="V9" i="2"/>
  <c r="I9" i="16" s="1"/>
  <c r="V10" i="2"/>
  <c r="I10" i="16" s="1"/>
  <c r="V11" i="2"/>
  <c r="I11" i="16" s="1"/>
  <c r="V12" i="2"/>
  <c r="I12" i="16" s="1"/>
  <c r="V13" i="2"/>
  <c r="I13" i="16" s="1"/>
  <c r="V14" i="2"/>
  <c r="I14" i="16" s="1"/>
  <c r="V15" i="2"/>
  <c r="I15" i="16" s="1"/>
  <c r="V16" i="2"/>
  <c r="I16" i="16" s="1"/>
  <c r="V17" i="2"/>
  <c r="I17" i="16" s="1"/>
  <c r="V18" i="2"/>
  <c r="I18" i="16" s="1"/>
  <c r="V19" i="2"/>
  <c r="I19" i="16" s="1"/>
  <c r="V20" i="2"/>
  <c r="I20" i="16" s="1"/>
  <c r="V21" i="2"/>
  <c r="V22" i="2" s="1"/>
  <c r="V24" i="2"/>
  <c r="I24" i="16" s="1"/>
  <c r="V25" i="2"/>
  <c r="I25" i="16" s="1"/>
  <c r="V26" i="2"/>
  <c r="I26" i="16" s="1"/>
  <c r="V27" i="2"/>
  <c r="I27" i="16" s="1"/>
  <c r="V28" i="2"/>
  <c r="I28" i="16" s="1"/>
  <c r="V29" i="2"/>
  <c r="I29" i="16" s="1"/>
  <c r="V30" i="2"/>
  <c r="V31" i="2" s="1"/>
  <c r="I31" i="16" s="1"/>
  <c r="V32" i="2"/>
  <c r="I32" i="16" s="1"/>
  <c r="V33" i="2"/>
  <c r="V34" i="2" s="1"/>
  <c r="I34" i="16" s="1"/>
  <c r="V35" i="2"/>
  <c r="I35" i="16" s="1"/>
  <c r="V36" i="2"/>
  <c r="I36" i="16" s="1"/>
  <c r="V37" i="2"/>
  <c r="I37" i="16" s="1"/>
  <c r="V38" i="2"/>
  <c r="I38" i="16" s="1"/>
  <c r="V39" i="2"/>
  <c r="I39" i="16" s="1"/>
  <c r="V40" i="2"/>
  <c r="I40" i="16" s="1"/>
  <c r="V41" i="2"/>
  <c r="I41" i="16" s="1"/>
  <c r="V42" i="2"/>
  <c r="I42" i="16" s="1"/>
  <c r="V43" i="2"/>
  <c r="I43" i="16" s="1"/>
  <c r="V44" i="2"/>
  <c r="I44" i="16" s="1"/>
  <c r="V45" i="2"/>
  <c r="I45" i="16" s="1"/>
  <c r="V46" i="2"/>
  <c r="I46" i="16" s="1"/>
  <c r="V47" i="2"/>
  <c r="I47" i="16" s="1"/>
  <c r="V48" i="2"/>
  <c r="I48" i="16" s="1"/>
  <c r="V49" i="2"/>
  <c r="I49" i="16" s="1"/>
  <c r="V50" i="2"/>
  <c r="I50" i="16" s="1"/>
  <c r="V51" i="2"/>
  <c r="I51" i="16" s="1"/>
  <c r="V52" i="2"/>
  <c r="I52" i="16" s="1"/>
  <c r="V53" i="2"/>
  <c r="I53" i="16" s="1"/>
  <c r="V54" i="2"/>
  <c r="I54" i="16" s="1"/>
  <c r="V55" i="2"/>
  <c r="I55" i="16" s="1"/>
  <c r="V56" i="2"/>
  <c r="I56" i="16" s="1"/>
  <c r="V57" i="2"/>
  <c r="I57" i="16" s="1"/>
  <c r="V58" i="2"/>
  <c r="I58" i="16" s="1"/>
  <c r="V59" i="2"/>
  <c r="I59" i="16" s="1"/>
  <c r="V60" i="2"/>
  <c r="I60" i="16" s="1"/>
  <c r="V61" i="2"/>
  <c r="I61" i="16" s="1"/>
  <c r="V62" i="2"/>
  <c r="I62" i="16" s="1"/>
  <c r="V63" i="2"/>
  <c r="V65" i="2"/>
  <c r="I65" i="16" s="1"/>
  <c r="V66" i="2"/>
  <c r="I66" i="16" s="1"/>
  <c r="V67" i="2"/>
  <c r="I67" i="16" s="1"/>
  <c r="V68" i="2"/>
  <c r="I68" i="16" s="1"/>
  <c r="V69" i="2"/>
  <c r="I69" i="16" s="1"/>
  <c r="V70" i="2"/>
  <c r="I70" i="16" s="1"/>
  <c r="V71" i="2"/>
  <c r="I71" i="16" s="1"/>
  <c r="V72" i="2"/>
  <c r="I72" i="16" s="1"/>
  <c r="V73" i="2"/>
  <c r="I73" i="16" s="1"/>
  <c r="V74" i="2"/>
  <c r="I74" i="16" s="1"/>
  <c r="V75" i="2"/>
  <c r="I75" i="16" s="1"/>
  <c r="V76" i="2"/>
  <c r="I76" i="16" s="1"/>
  <c r="V77" i="2"/>
  <c r="I77" i="16" s="1"/>
  <c r="V80" i="2"/>
  <c r="V81" i="2" s="1"/>
  <c r="I81" i="16" s="1"/>
  <c r="V82" i="2"/>
  <c r="I82" i="16" s="1"/>
  <c r="V83" i="2"/>
  <c r="I83" i="16" s="1"/>
  <c r="V84" i="2"/>
  <c r="I84" i="16" s="1"/>
  <c r="V85" i="2"/>
  <c r="V87" i="2"/>
  <c r="I87" i="16" s="1"/>
  <c r="V88" i="2"/>
  <c r="I88" i="16" s="1"/>
  <c r="V89" i="2"/>
  <c r="I89" i="16" s="1"/>
  <c r="V90" i="2"/>
  <c r="I90" i="16" s="1"/>
  <c r="V91" i="2"/>
  <c r="I91" i="16" s="1"/>
  <c r="V92" i="2"/>
  <c r="I92" i="16" s="1"/>
  <c r="V93" i="2"/>
  <c r="I93" i="16" s="1"/>
  <c r="V94" i="2"/>
  <c r="I94" i="16" s="1"/>
  <c r="V95" i="2"/>
  <c r="I95" i="16" s="1"/>
  <c r="V96" i="2"/>
  <c r="I96" i="16" s="1"/>
  <c r="V97" i="2"/>
  <c r="V99" i="2"/>
  <c r="I99" i="16" s="1"/>
  <c r="V100" i="2"/>
  <c r="I100" i="16" s="1"/>
  <c r="V101" i="2"/>
  <c r="I101" i="16" s="1"/>
  <c r="V102" i="2"/>
  <c r="I102" i="16" s="1"/>
  <c r="V104" i="2"/>
  <c r="I104" i="16" s="1"/>
  <c r="V105" i="2"/>
  <c r="I105" i="16" s="1"/>
  <c r="V106" i="2"/>
  <c r="I106" i="16" s="1"/>
  <c r="V107" i="2"/>
  <c r="I107" i="16" s="1"/>
  <c r="V108" i="2"/>
  <c r="I108" i="16" s="1"/>
  <c r="V109" i="2"/>
  <c r="I109" i="16" s="1"/>
  <c r="V110" i="2"/>
  <c r="I110" i="16" s="1"/>
  <c r="V112" i="2"/>
  <c r="V113" i="2" s="1"/>
  <c r="I113" i="16" s="1"/>
  <c r="V114" i="2"/>
  <c r="V116" i="2"/>
  <c r="I116" i="16" s="1"/>
  <c r="V117" i="2"/>
  <c r="I117" i="16" s="1"/>
  <c r="V118" i="2"/>
  <c r="I118" i="16" s="1"/>
  <c r="V119" i="2"/>
  <c r="I119" i="16" s="1"/>
  <c r="V120" i="2"/>
  <c r="I120" i="16" s="1"/>
  <c r="V121" i="2"/>
  <c r="I121" i="16" s="1"/>
  <c r="V122" i="2"/>
  <c r="V123" i="2" s="1"/>
  <c r="I123" i="16" s="1"/>
  <c r="V124" i="2"/>
  <c r="I124" i="16" s="1"/>
  <c r="V125" i="2"/>
  <c r="V127" i="2"/>
  <c r="I127" i="16" s="1"/>
  <c r="V128" i="2"/>
  <c r="I128" i="16" s="1"/>
  <c r="V129" i="2"/>
  <c r="I129" i="16" s="1"/>
  <c r="V130" i="2"/>
  <c r="V131" i="2" s="1"/>
  <c r="V134" i="2"/>
  <c r="I134" i="16" s="1"/>
  <c r="V135" i="2"/>
  <c r="I135" i="16" s="1"/>
  <c r="V136" i="2"/>
  <c r="V137" i="2" s="1"/>
  <c r="V141" i="2"/>
  <c r="I141" i="16" s="1"/>
  <c r="V142" i="2"/>
  <c r="V143" i="2" s="1"/>
  <c r="I143" i="16" s="1"/>
  <c r="V144" i="2"/>
  <c r="I144" i="16" s="1"/>
  <c r="V145" i="2"/>
  <c r="V147" i="2"/>
  <c r="I147" i="16" s="1"/>
  <c r="V148" i="2"/>
  <c r="I148" i="16" s="1"/>
  <c r="V149" i="2"/>
  <c r="I149" i="16" s="1"/>
  <c r="V150" i="2"/>
  <c r="I150" i="16" s="1"/>
  <c r="V151" i="2"/>
  <c r="I151" i="16" s="1"/>
  <c r="V152" i="2"/>
  <c r="I152" i="16" s="1"/>
  <c r="V153" i="2"/>
  <c r="I153" i="16" s="1"/>
  <c r="V154" i="2"/>
  <c r="V156" i="2"/>
  <c r="I156" i="16" s="1"/>
  <c r="V157" i="2"/>
  <c r="I157" i="16" s="1"/>
  <c r="V158" i="2"/>
  <c r="I158" i="16" s="1"/>
  <c r="V159" i="2"/>
  <c r="I159" i="16" s="1"/>
  <c r="V160" i="2"/>
  <c r="I160" i="16" s="1"/>
  <c r="V161" i="2"/>
  <c r="I161" i="16" s="1"/>
  <c r="V162" i="2"/>
  <c r="V163" i="2" s="1"/>
  <c r="I163" i="16" s="1"/>
  <c r="V164" i="2"/>
  <c r="I164" i="16" s="1"/>
  <c r="V165" i="2"/>
  <c r="I165" i="16" s="1"/>
  <c r="V166" i="2"/>
  <c r="V167" i="2" s="1"/>
  <c r="I167" i="16" s="1"/>
  <c r="V168" i="2"/>
  <c r="I168" i="16" s="1"/>
  <c r="V169" i="2"/>
  <c r="I169" i="16" s="1"/>
  <c r="V170" i="2"/>
  <c r="I170" i="16" s="1"/>
  <c r="V171" i="2"/>
  <c r="I171" i="16" s="1"/>
  <c r="V172" i="2"/>
  <c r="I172" i="16" s="1"/>
  <c r="V173" i="2"/>
  <c r="I173" i="16" s="1"/>
  <c r="V174" i="2"/>
  <c r="I174" i="16" s="1"/>
  <c r="V175" i="2"/>
  <c r="V176" i="2" s="1"/>
  <c r="I176" i="16" s="1"/>
  <c r="V177" i="2"/>
  <c r="I177" i="16" s="1"/>
  <c r="V178" i="2"/>
  <c r="I178" i="16" s="1"/>
  <c r="V179" i="2"/>
  <c r="V180" i="2" s="1"/>
  <c r="I180" i="16" s="1"/>
  <c r="V181" i="2"/>
  <c r="I181" i="16" s="1"/>
  <c r="V182" i="2"/>
  <c r="I182" i="16" s="1"/>
  <c r="V183" i="2"/>
  <c r="I183" i="16" s="1"/>
  <c r="V184" i="2"/>
  <c r="I184" i="16" s="1"/>
  <c r="V185" i="2"/>
  <c r="I185" i="16" s="1"/>
  <c r="V186" i="2"/>
  <c r="I186" i="16" s="1"/>
  <c r="V187" i="2"/>
  <c r="I187" i="16" s="1"/>
  <c r="V188" i="2"/>
  <c r="I188" i="16" s="1"/>
  <c r="V189" i="2"/>
  <c r="I189" i="16" s="1"/>
  <c r="V190" i="2"/>
  <c r="I190" i="16" s="1"/>
  <c r="V191" i="2"/>
  <c r="I191" i="16" s="1"/>
  <c r="V192" i="2"/>
  <c r="I192" i="16" s="1"/>
  <c r="V193" i="2"/>
  <c r="I193" i="16" s="1"/>
  <c r="V194" i="2"/>
  <c r="I194" i="16" s="1"/>
  <c r="V195" i="2"/>
  <c r="I195" i="16" s="1"/>
  <c r="V196" i="2"/>
  <c r="I196" i="16" s="1"/>
  <c r="V197" i="2"/>
  <c r="I197" i="16" s="1"/>
  <c r="V198" i="2"/>
  <c r="V199" i="2" s="1"/>
  <c r="I199" i="16" s="1"/>
  <c r="V200" i="2"/>
  <c r="I200" i="16" s="1"/>
  <c r="V201" i="2"/>
  <c r="I201" i="16" s="1"/>
  <c r="V202" i="2"/>
  <c r="V203" i="2" s="1"/>
  <c r="I203" i="16" s="1"/>
  <c r="V204" i="2"/>
  <c r="I204" i="16" s="1"/>
  <c r="V205" i="2"/>
  <c r="I205" i="16" s="1"/>
  <c r="V206" i="2"/>
  <c r="I206" i="16" s="1"/>
  <c r="V207" i="2"/>
  <c r="I207" i="16" s="1"/>
  <c r="V208" i="2"/>
  <c r="V210" i="2"/>
  <c r="V212" i="2"/>
  <c r="I212" i="16" s="1"/>
  <c r="V213" i="2"/>
  <c r="I213" i="16" s="1"/>
  <c r="V214" i="2"/>
  <c r="I214" i="16" s="1"/>
  <c r="V215" i="2"/>
  <c r="I215" i="16" s="1"/>
  <c r="V216" i="2"/>
  <c r="V218" i="2"/>
  <c r="I218" i="16" s="1"/>
  <c r="V219" i="2"/>
  <c r="I219" i="16" s="1"/>
  <c r="V220" i="2"/>
  <c r="I220" i="16" s="1"/>
  <c r="V221" i="2"/>
  <c r="V222" i="2" s="1"/>
  <c r="V225" i="2"/>
  <c r="I225" i="16" s="1"/>
  <c r="V226" i="2"/>
  <c r="I226" i="16" s="1"/>
  <c r="V227" i="2"/>
  <c r="I227" i="16" s="1"/>
  <c r="V228" i="2"/>
  <c r="I228" i="16" s="1"/>
  <c r="V229" i="2"/>
  <c r="V231" i="2"/>
  <c r="I231" i="16" s="1"/>
  <c r="V232" i="2"/>
  <c r="I232" i="16" s="1"/>
  <c r="V233" i="2"/>
  <c r="I233" i="16" s="1"/>
  <c r="V234" i="2"/>
  <c r="I234" i="16" s="1"/>
  <c r="V235" i="2"/>
  <c r="I235" i="16" s="1"/>
  <c r="V236" i="2"/>
  <c r="I236" i="16" s="1"/>
  <c r="V237" i="2"/>
  <c r="I237" i="16" s="1"/>
  <c r="V238" i="2"/>
  <c r="I238" i="16" s="1"/>
  <c r="V239" i="2"/>
  <c r="I239" i="16" s="1"/>
  <c r="V240" i="2"/>
  <c r="I240" i="16" s="1"/>
  <c r="V241" i="2"/>
  <c r="I241" i="16" s="1"/>
  <c r="V242" i="2"/>
  <c r="I242" i="16" s="1"/>
  <c r="V243" i="2"/>
  <c r="I243" i="16" s="1"/>
  <c r="V244" i="2"/>
  <c r="I244" i="16" s="1"/>
  <c r="V245" i="2"/>
  <c r="I245" i="16" s="1"/>
  <c r="V246" i="2"/>
  <c r="I246" i="16" s="1"/>
  <c r="V247" i="2"/>
  <c r="I247" i="16" s="1"/>
  <c r="V249" i="2"/>
  <c r="I249" i="16" s="1"/>
  <c r="V250" i="2"/>
  <c r="I250" i="16" s="1"/>
  <c r="V251" i="2"/>
  <c r="I251" i="16" s="1"/>
  <c r="V252" i="2"/>
  <c r="I252" i="16" s="1"/>
  <c r="V253" i="2"/>
  <c r="I253" i="16" s="1"/>
  <c r="V254" i="2"/>
  <c r="V255" i="2" s="1"/>
  <c r="V257" i="2"/>
  <c r="V259" i="2"/>
  <c r="I259" i="16" s="1"/>
  <c r="V260" i="2"/>
  <c r="I260" i="16" s="1"/>
  <c r="V261" i="2"/>
  <c r="I261" i="16" s="1"/>
  <c r="V262" i="2"/>
  <c r="V263" i="2" s="1"/>
  <c r="I263" i="16" s="1"/>
  <c r="V264" i="2"/>
  <c r="I264" i="16" s="1"/>
  <c r="V265" i="2"/>
  <c r="I265" i="16" s="1"/>
  <c r="V266" i="2"/>
  <c r="I266" i="16" s="1"/>
  <c r="V267" i="2"/>
  <c r="I267" i="16" s="1"/>
  <c r="V269" i="2"/>
  <c r="I269" i="16" s="1"/>
  <c r="V270" i="2"/>
  <c r="V272" i="2"/>
  <c r="V273" i="2" s="1"/>
  <c r="I273" i="16" s="1"/>
  <c r="V274" i="2"/>
  <c r="I274" i="16" s="1"/>
  <c r="V275" i="2"/>
  <c r="I275" i="16" s="1"/>
  <c r="V276" i="2"/>
  <c r="V278" i="2"/>
  <c r="I278" i="16" s="1"/>
  <c r="V279" i="2"/>
  <c r="I279" i="16" s="1"/>
  <c r="V280" i="2"/>
  <c r="I280" i="16" s="1"/>
  <c r="V281" i="2"/>
  <c r="I281" i="16" s="1"/>
  <c r="V282" i="2"/>
  <c r="I282" i="16" s="1"/>
  <c r="V283" i="2"/>
  <c r="V284" i="2" s="1"/>
  <c r="V286" i="2"/>
  <c r="I286" i="16" s="1"/>
  <c r="V287" i="2"/>
  <c r="I287" i="16" s="1"/>
  <c r="V288" i="2"/>
  <c r="I288" i="16" s="1"/>
  <c r="V289" i="2"/>
  <c r="I289" i="16" s="1"/>
  <c r="V290" i="2"/>
  <c r="I290" i="16" s="1"/>
  <c r="V291" i="2"/>
  <c r="I291" i="16" s="1"/>
  <c r="V292" i="2"/>
  <c r="I292" i="16" s="1"/>
  <c r="V293" i="2"/>
  <c r="I293" i="16" s="1"/>
  <c r="V294" i="2"/>
  <c r="V295" i="2" s="1"/>
  <c r="I295" i="16" s="1"/>
  <c r="V296" i="2"/>
  <c r="I296" i="16" s="1"/>
  <c r="V297" i="2"/>
  <c r="I297" i="16" s="1"/>
  <c r="V298" i="2"/>
  <c r="I298" i="16" s="1"/>
  <c r="V299" i="2"/>
  <c r="I299" i="16" s="1"/>
  <c r="V300" i="2"/>
  <c r="I300" i="16" s="1"/>
  <c r="V301" i="2"/>
  <c r="I301" i="16" s="1"/>
  <c r="V302" i="2"/>
  <c r="I302" i="16" s="1"/>
  <c r="V303" i="2"/>
  <c r="I303" i="16" s="1"/>
  <c r="V304" i="2"/>
  <c r="I304" i="16" s="1"/>
  <c r="V305" i="2"/>
  <c r="I305" i="16" s="1"/>
  <c r="V306" i="2"/>
  <c r="I306" i="16" s="1"/>
  <c r="V307" i="2"/>
  <c r="I307" i="16" s="1"/>
  <c r="V308" i="2"/>
  <c r="I308" i="16" s="1"/>
  <c r="V309" i="2"/>
  <c r="I309" i="16" s="1"/>
  <c r="V310" i="2"/>
  <c r="I310" i="16" s="1"/>
  <c r="V311" i="2"/>
  <c r="I311" i="16" s="1"/>
  <c r="V312" i="2"/>
  <c r="I312" i="16" s="1"/>
  <c r="V313" i="2"/>
  <c r="V315" i="2"/>
  <c r="I315" i="16" s="1"/>
  <c r="V316" i="2"/>
  <c r="I316" i="16" s="1"/>
  <c r="V317" i="2"/>
  <c r="I317" i="16" s="1"/>
  <c r="V318" i="2"/>
  <c r="I318" i="16" s="1"/>
  <c r="V319" i="2"/>
  <c r="V321" i="2"/>
  <c r="I321" i="16" s="1"/>
  <c r="V322" i="2"/>
  <c r="V324" i="2"/>
  <c r="I324" i="16" s="1"/>
  <c r="V325" i="2"/>
  <c r="I325" i="16" s="1"/>
  <c r="V326" i="2"/>
  <c r="V327" i="2" s="1"/>
  <c r="I327" i="16" s="1"/>
  <c r="V328" i="2"/>
  <c r="I328" i="16" s="1"/>
  <c r="V329" i="2"/>
  <c r="I329" i="16" s="1"/>
  <c r="V330" i="2"/>
  <c r="V331" i="2" s="1"/>
  <c r="V333" i="2"/>
  <c r="I333" i="16" s="1"/>
  <c r="V334" i="2"/>
  <c r="I334" i="16" s="1"/>
  <c r="V335" i="2"/>
  <c r="I335" i="16" s="1"/>
  <c r="V336" i="2"/>
  <c r="I336" i="16" s="1"/>
  <c r="V337" i="2"/>
  <c r="V339" i="2"/>
  <c r="I339" i="16" s="1"/>
  <c r="V340" i="2"/>
  <c r="V342" i="2"/>
  <c r="I342" i="16" s="1"/>
  <c r="V343" i="2"/>
  <c r="I343" i="16" s="1"/>
  <c r="V344" i="2"/>
  <c r="I344" i="16" s="1"/>
  <c r="V345" i="2"/>
  <c r="I345" i="16" s="1"/>
  <c r="V346" i="2"/>
  <c r="I346" i="16" s="1"/>
  <c r="V347" i="2"/>
  <c r="I347" i="16" s="1"/>
  <c r="V348" i="2"/>
  <c r="I348" i="16" s="1"/>
  <c r="V349" i="2"/>
  <c r="I349" i="16" s="1"/>
  <c r="V350" i="2"/>
  <c r="I350" i="16" s="1"/>
  <c r="V351" i="2"/>
  <c r="I351" i="16" s="1"/>
  <c r="V352" i="2"/>
  <c r="I352" i="16" s="1"/>
  <c r="V353" i="2"/>
  <c r="I353" i="16" s="1"/>
  <c r="V354" i="2"/>
  <c r="I354" i="16" s="1"/>
  <c r="V355" i="2"/>
  <c r="V356" i="2" s="1"/>
  <c r="I356" i="16" s="1"/>
  <c r="V357" i="2"/>
  <c r="V359" i="2"/>
  <c r="I359" i="16" s="1"/>
  <c r="V360" i="2"/>
  <c r="I360" i="16" s="1"/>
  <c r="V361" i="2"/>
  <c r="I361" i="16" s="1"/>
  <c r="V362" i="2"/>
  <c r="I362" i="16" s="1"/>
  <c r="V363" i="2"/>
  <c r="I363" i="16" s="1"/>
  <c r="V364" i="2"/>
  <c r="V365" i="2" s="1"/>
  <c r="I365" i="16" s="1"/>
  <c r="V366" i="2"/>
  <c r="I366" i="16" s="1"/>
  <c r="V367" i="2"/>
  <c r="I367" i="16" s="1"/>
  <c r="V368" i="2"/>
  <c r="V370" i="2"/>
  <c r="I370" i="16" s="1"/>
  <c r="V371" i="2"/>
  <c r="I371" i="16" s="1"/>
  <c r="V372" i="2"/>
  <c r="I372" i="16" s="1"/>
  <c r="V373" i="2"/>
  <c r="I373" i="16" s="1"/>
  <c r="V374" i="2"/>
  <c r="I374" i="16" s="1"/>
  <c r="V375" i="2"/>
  <c r="I375" i="16" s="1"/>
  <c r="V376" i="2"/>
  <c r="I376" i="16" s="1"/>
  <c r="V377" i="2"/>
  <c r="I377" i="16" s="1"/>
  <c r="V378" i="2"/>
  <c r="I378" i="16" s="1"/>
  <c r="V379" i="2"/>
  <c r="V380" i="2" s="1"/>
  <c r="I380" i="16" s="1"/>
  <c r="V381" i="2"/>
  <c r="I381" i="16" s="1"/>
  <c r="V382" i="2"/>
  <c r="I382" i="16" s="1"/>
  <c r="V383" i="2"/>
  <c r="I383" i="16" s="1"/>
  <c r="V384" i="2"/>
  <c r="I384" i="16" s="1"/>
  <c r="V386" i="2"/>
  <c r="I386" i="16" s="1"/>
  <c r="V387" i="2"/>
  <c r="I387" i="16" s="1"/>
  <c r="V388" i="2"/>
  <c r="I388" i="16" s="1"/>
  <c r="V389" i="2"/>
  <c r="V390" i="2" s="1"/>
  <c r="I390" i="16" s="1"/>
  <c r="V391" i="2"/>
  <c r="I391" i="16" s="1"/>
  <c r="V392" i="2"/>
  <c r="V395" i="2"/>
  <c r="I395" i="16" s="1"/>
  <c r="V396" i="2"/>
  <c r="I396" i="16" s="1"/>
  <c r="V397" i="2"/>
  <c r="I397" i="16" s="1"/>
  <c r="V398" i="2"/>
  <c r="I398" i="16" s="1"/>
  <c r="V399" i="2"/>
  <c r="V403" i="2"/>
  <c r="I403" i="16" s="1"/>
  <c r="V404" i="2"/>
  <c r="I404" i="16" s="1"/>
  <c r="V405" i="2"/>
  <c r="I405" i="16" s="1"/>
  <c r="V406" i="2"/>
  <c r="V408" i="2"/>
  <c r="I408" i="16" s="1"/>
  <c r="V409" i="2"/>
  <c r="I409" i="16" s="1"/>
  <c r="V410" i="2"/>
  <c r="I410" i="16" s="1"/>
  <c r="V411" i="2"/>
  <c r="I411" i="16" s="1"/>
  <c r="V412" i="2"/>
  <c r="V413" i="2" s="1"/>
  <c r="V415" i="2"/>
  <c r="I415" i="16" s="1"/>
  <c r="V416" i="2"/>
  <c r="I416" i="16" s="1"/>
  <c r="V417" i="2"/>
  <c r="I417" i="16" s="1"/>
  <c r="V418" i="2"/>
  <c r="I418" i="16" s="1"/>
  <c r="V419" i="2"/>
  <c r="I419" i="16" s="1"/>
  <c r="V420" i="2"/>
  <c r="I420" i="16" s="1"/>
  <c r="V421" i="2"/>
  <c r="I421" i="16" s="1"/>
  <c r="V422" i="2"/>
  <c r="I422" i="16" s="1"/>
  <c r="V423" i="2"/>
  <c r="I423" i="16" s="1"/>
  <c r="V424" i="2"/>
  <c r="I424" i="16" s="1"/>
  <c r="V425" i="2"/>
  <c r="I425" i="16" s="1"/>
  <c r="V426" i="2"/>
  <c r="V427" i="2" s="1"/>
  <c r="I427" i="16" s="1"/>
  <c r="V428" i="2"/>
  <c r="I428" i="16" s="1"/>
  <c r="V429" i="2"/>
  <c r="I429" i="16" s="1"/>
  <c r="V430" i="2"/>
  <c r="I430" i="16" s="1"/>
  <c r="V431" i="2"/>
  <c r="I431" i="16" s="1"/>
  <c r="V432" i="2"/>
  <c r="I432" i="16" s="1"/>
  <c r="V433" i="2"/>
  <c r="I433" i="16" s="1"/>
  <c r="V434" i="2"/>
  <c r="I434" i="16" s="1"/>
  <c r="V435" i="2"/>
  <c r="I435" i="16" s="1"/>
  <c r="V436" i="2"/>
  <c r="I436" i="16" s="1"/>
  <c r="V437" i="2"/>
  <c r="I437" i="16" s="1"/>
  <c r="V438" i="2"/>
  <c r="I438" i="16" s="1"/>
  <c r="V439" i="2"/>
  <c r="I439" i="16" s="1"/>
  <c r="V440" i="2"/>
  <c r="I440" i="16" s="1"/>
  <c r="V441" i="2"/>
  <c r="I441" i="16" s="1"/>
  <c r="V442" i="2"/>
  <c r="I442" i="16" s="1"/>
  <c r="V443" i="2"/>
  <c r="I443" i="16" s="1"/>
  <c r="V444" i="2"/>
  <c r="I444" i="16" s="1"/>
  <c r="V445" i="2"/>
  <c r="V447" i="2"/>
  <c r="I447" i="16" s="1"/>
  <c r="V448" i="2"/>
  <c r="I448" i="16" s="1"/>
  <c r="V449" i="2"/>
  <c r="I449" i="16" s="1"/>
  <c r="V450" i="2"/>
  <c r="I450" i="16" s="1"/>
  <c r="V451" i="2"/>
  <c r="I451" i="16" s="1"/>
  <c r="V452" i="2"/>
  <c r="I452" i="16" s="1"/>
  <c r="V453" i="2"/>
  <c r="I453" i="16" s="1"/>
  <c r="V454" i="2"/>
  <c r="I454" i="16" s="1"/>
  <c r="V455" i="2"/>
  <c r="I455" i="16" s="1"/>
  <c r="V456" i="2"/>
  <c r="I456" i="16" s="1"/>
  <c r="V457" i="2"/>
  <c r="I457" i="16" s="1"/>
  <c r="V458" i="2"/>
  <c r="I458" i="16" s="1"/>
  <c r="V459" i="2"/>
  <c r="I459" i="16" s="1"/>
  <c r="V460" i="2"/>
  <c r="I460" i="16" s="1"/>
  <c r="V461" i="2"/>
  <c r="I461" i="16" s="1"/>
  <c r="V462" i="2"/>
  <c r="I462" i="16" s="1"/>
  <c r="V463" i="2"/>
  <c r="I463" i="16" s="1"/>
  <c r="V464" i="2"/>
  <c r="I464" i="16" s="1"/>
  <c r="V465" i="2"/>
  <c r="I465" i="16" s="1"/>
  <c r="V466" i="2"/>
  <c r="I466" i="16" s="1"/>
  <c r="V467" i="2"/>
  <c r="I467" i="16" s="1"/>
  <c r="V468" i="2"/>
  <c r="V469" i="2" s="1"/>
  <c r="I469" i="16" s="1"/>
  <c r="V470" i="2"/>
  <c r="V471" i="2" s="1"/>
  <c r="I471" i="16" s="1"/>
  <c r="V472" i="2"/>
  <c r="I472" i="16" s="1"/>
  <c r="V473" i="2"/>
  <c r="I473" i="16" s="1"/>
  <c r="V474" i="2"/>
  <c r="I474" i="16" s="1"/>
  <c r="V475" i="2"/>
  <c r="I475" i="16" s="1"/>
  <c r="V476" i="2"/>
  <c r="I476" i="16" s="1"/>
  <c r="V477" i="2"/>
  <c r="I477" i="16" s="1"/>
  <c r="V478" i="2"/>
  <c r="I478" i="16" s="1"/>
  <c r="V479" i="2"/>
  <c r="V480" i="2" s="1"/>
  <c r="I480" i="16" s="1"/>
  <c r="V481" i="2"/>
  <c r="I481" i="16" s="1"/>
  <c r="V482" i="2"/>
  <c r="I482" i="16" s="1"/>
  <c r="V483" i="2"/>
  <c r="I483" i="16" s="1"/>
  <c r="V484" i="2"/>
  <c r="I484" i="16" s="1"/>
  <c r="V485" i="2"/>
  <c r="I485" i="16" s="1"/>
  <c r="V486" i="2"/>
  <c r="I486" i="16" s="1"/>
  <c r="V487" i="2"/>
  <c r="I487" i="16" s="1"/>
  <c r="V488" i="2"/>
  <c r="I488" i="16" s="1"/>
  <c r="V489" i="2"/>
  <c r="I489" i="16" s="1"/>
  <c r="V490" i="2"/>
  <c r="I490" i="16" s="1"/>
  <c r="V491" i="2"/>
  <c r="I491" i="16" s="1"/>
  <c r="V492" i="2"/>
  <c r="I492" i="16" s="1"/>
  <c r="V493" i="2"/>
  <c r="I493" i="16" s="1"/>
  <c r="V494" i="2"/>
  <c r="I494" i="16" s="1"/>
  <c r="V495" i="2"/>
  <c r="I495" i="16" s="1"/>
  <c r="V496" i="2"/>
  <c r="I496" i="16" s="1"/>
  <c r="V497" i="2"/>
  <c r="V498" i="2" s="1"/>
  <c r="I498" i="16" s="1"/>
  <c r="V499" i="2"/>
  <c r="V500" i="2" s="1"/>
  <c r="I500" i="16" s="1"/>
  <c r="V501" i="2"/>
  <c r="I501" i="16" s="1"/>
  <c r="V502" i="2"/>
  <c r="I502" i="16" s="1"/>
  <c r="V503" i="2"/>
  <c r="I503" i="16" s="1"/>
  <c r="V504" i="2"/>
  <c r="I504" i="16" s="1"/>
  <c r="V505" i="2"/>
  <c r="I505" i="16" s="1"/>
  <c r="V506" i="2"/>
  <c r="V507" i="2" s="1"/>
  <c r="I507" i="16" s="1"/>
  <c r="V508" i="2"/>
  <c r="I508" i="16" s="1"/>
  <c r="V509" i="2"/>
  <c r="I509" i="16" s="1"/>
  <c r="V510" i="2"/>
  <c r="I510" i="16" s="1"/>
  <c r="V511" i="2"/>
  <c r="I511" i="16" s="1"/>
  <c r="V512" i="2"/>
  <c r="I512" i="16" s="1"/>
  <c r="V513" i="2"/>
  <c r="I513" i="16" s="1"/>
  <c r="V514" i="2"/>
  <c r="I514" i="16" s="1"/>
  <c r="V515" i="2"/>
  <c r="I515" i="16" s="1"/>
  <c r="V516" i="2"/>
  <c r="I516" i="16" s="1"/>
  <c r="V517" i="2"/>
  <c r="V519" i="2"/>
  <c r="I519" i="16" s="1"/>
  <c r="V520" i="2"/>
  <c r="V521" i="2" s="1"/>
  <c r="I521" i="16" s="1"/>
  <c r="V522" i="2"/>
  <c r="I522" i="16" s="1"/>
  <c r="V523" i="2"/>
  <c r="I523" i="16" s="1"/>
  <c r="V524" i="2"/>
  <c r="I524" i="16" s="1"/>
  <c r="V525" i="2"/>
  <c r="I525" i="16" s="1"/>
  <c r="V526" i="2"/>
  <c r="I526" i="16" s="1"/>
  <c r="V527" i="2"/>
  <c r="I527" i="16" s="1"/>
  <c r="V528" i="2"/>
  <c r="I528" i="16" s="1"/>
  <c r="V529" i="2"/>
  <c r="I529" i="16" s="1"/>
  <c r="V530" i="2"/>
  <c r="I530" i="16" s="1"/>
  <c r="V531" i="2"/>
  <c r="I531" i="16" s="1"/>
  <c r="V532" i="2"/>
  <c r="V536" i="2"/>
  <c r="I536" i="16" s="1"/>
  <c r="V537" i="2"/>
  <c r="I537" i="16" s="1"/>
  <c r="V538" i="2"/>
  <c r="I538" i="16" s="1"/>
  <c r="V539" i="2"/>
  <c r="I539" i="16" s="1"/>
  <c r="V540" i="2"/>
  <c r="I540" i="16" s="1"/>
  <c r="V541" i="2"/>
  <c r="V546" i="2"/>
  <c r="I546" i="16" s="1"/>
  <c r="V547" i="2"/>
  <c r="I547" i="16" s="1"/>
  <c r="V548" i="2"/>
  <c r="I548" i="16" s="1"/>
  <c r="V549" i="2"/>
  <c r="I549" i="16" s="1"/>
  <c r="V550" i="2"/>
  <c r="I550" i="16" s="1"/>
  <c r="V551" i="2"/>
  <c r="I551" i="16" s="1"/>
  <c r="V552" i="2"/>
  <c r="I552" i="16" s="1"/>
  <c r="V553" i="2"/>
  <c r="I553" i="16" s="1"/>
  <c r="V554" i="2"/>
  <c r="I554" i="16" s="1"/>
  <c r="V555" i="2"/>
  <c r="I555" i="16" s="1"/>
  <c r="V556" i="2"/>
  <c r="I556" i="16" s="1"/>
  <c r="V557" i="2"/>
  <c r="I557" i="16" s="1"/>
  <c r="V558" i="2"/>
  <c r="I558" i="16" s="1"/>
  <c r="V559" i="2"/>
  <c r="I559" i="16" s="1"/>
  <c r="V560" i="2"/>
  <c r="I560" i="16" s="1"/>
  <c r="V561" i="2"/>
  <c r="I561" i="16" s="1"/>
  <c r="V562" i="2"/>
  <c r="I562" i="16" s="1"/>
  <c r="V563" i="2"/>
  <c r="I563" i="16" s="1"/>
  <c r="V564" i="2"/>
  <c r="I564" i="16" s="1"/>
  <c r="V565" i="2"/>
  <c r="I565" i="16" s="1"/>
  <c r="V566" i="2"/>
  <c r="V567" i="2" s="1"/>
  <c r="I567" i="16" s="1"/>
  <c r="V568" i="2"/>
  <c r="I568" i="16" s="1"/>
  <c r="V571" i="2"/>
  <c r="I571" i="16" s="1"/>
  <c r="V572" i="2"/>
  <c r="I572" i="16" s="1"/>
  <c r="V573" i="2"/>
  <c r="I573" i="16" s="1"/>
  <c r="V574" i="2"/>
  <c r="I574" i="16" s="1"/>
  <c r="V575" i="2"/>
  <c r="I575" i="16" s="1"/>
  <c r="V576" i="2"/>
  <c r="I576" i="16" s="1"/>
  <c r="V577" i="2"/>
  <c r="I577" i="16" s="1"/>
  <c r="V578" i="2"/>
  <c r="I578" i="16" s="1"/>
  <c r="V579" i="2"/>
  <c r="V580" i="2" s="1"/>
  <c r="V581" i="2" s="1"/>
  <c r="I581" i="16" s="1"/>
  <c r="V584" i="2"/>
  <c r="I584" i="16" s="1"/>
  <c r="V585" i="2"/>
  <c r="I585" i="16" s="1"/>
  <c r="V586" i="2"/>
  <c r="I586" i="16" s="1"/>
  <c r="V587" i="2"/>
  <c r="I587" i="16" s="1"/>
  <c r="V588" i="2"/>
  <c r="I588" i="16" s="1"/>
  <c r="V589" i="2"/>
  <c r="I589" i="16" s="1"/>
  <c r="V590" i="2"/>
  <c r="I590" i="16" s="1"/>
  <c r="V591" i="2"/>
  <c r="I591" i="16" s="1"/>
  <c r="V592" i="2"/>
  <c r="I592" i="16" s="1"/>
  <c r="V593" i="2"/>
  <c r="I593" i="16" s="1"/>
  <c r="V594" i="2"/>
  <c r="I594" i="16" s="1"/>
  <c r="V595" i="2"/>
  <c r="I595" i="16" s="1"/>
  <c r="V596" i="2"/>
  <c r="V597" i="2" s="1"/>
  <c r="I597" i="16" s="1"/>
  <c r="V598" i="2"/>
  <c r="V599" i="2" s="1"/>
  <c r="I599" i="16" s="1"/>
  <c r="V600" i="2"/>
  <c r="V602" i="2"/>
  <c r="I602" i="16" s="1"/>
  <c r="V603" i="2"/>
  <c r="I603" i="16" s="1"/>
  <c r="V604" i="2"/>
  <c r="I604" i="16" s="1"/>
  <c r="V605" i="2"/>
  <c r="I605" i="16" s="1"/>
  <c r="V606" i="2"/>
  <c r="V608" i="2"/>
  <c r="I608" i="16" s="1"/>
  <c r="V609" i="2"/>
  <c r="I609" i="16" s="1"/>
  <c r="V610" i="2"/>
  <c r="I610" i="16" s="1"/>
  <c r="V611" i="2"/>
  <c r="I611" i="16" s="1"/>
  <c r="V612" i="2"/>
  <c r="I612" i="16" s="1"/>
  <c r="V613" i="2"/>
  <c r="I613" i="16" s="1"/>
  <c r="V614" i="2"/>
  <c r="I614" i="16" s="1"/>
  <c r="V615" i="2"/>
  <c r="I615" i="16" s="1"/>
  <c r="V616" i="2"/>
  <c r="I616" i="16" s="1"/>
  <c r="V617" i="2"/>
  <c r="V618" i="2" s="1"/>
  <c r="V622" i="2"/>
  <c r="I622" i="16" s="1"/>
  <c r="V623" i="2"/>
  <c r="V625" i="2"/>
  <c r="I625" i="16" s="1"/>
  <c r="V626" i="2"/>
  <c r="I626" i="16" s="1"/>
  <c r="V627" i="2"/>
  <c r="I627" i="16" s="1"/>
  <c r="V628" i="2"/>
  <c r="I628" i="16" s="1"/>
  <c r="V629" i="2"/>
  <c r="I629" i="16" s="1"/>
  <c r="V630" i="2"/>
  <c r="I630" i="16" s="1"/>
  <c r="V631" i="2"/>
  <c r="I631" i="16" s="1"/>
  <c r="V632" i="2"/>
  <c r="I632" i="16" s="1"/>
  <c r="V633" i="2"/>
  <c r="I633" i="16" s="1"/>
  <c r="V634" i="2"/>
  <c r="I634" i="16" s="1"/>
  <c r="V635" i="2"/>
  <c r="I635" i="16" s="1"/>
  <c r="V636" i="2"/>
  <c r="I636" i="16" s="1"/>
  <c r="V637" i="2"/>
  <c r="I637" i="16" s="1"/>
  <c r="V638" i="2"/>
  <c r="I638" i="16" s="1"/>
  <c r="V640" i="2"/>
  <c r="V641" i="2" s="1"/>
  <c r="I641" i="16" s="1"/>
  <c r="V642" i="2"/>
  <c r="V643" i="2" s="1"/>
  <c r="I643" i="16" s="1"/>
  <c r="V644" i="2"/>
  <c r="I644" i="16" s="1"/>
  <c r="V646" i="2"/>
  <c r="I646" i="16" s="1"/>
  <c r="V647" i="2"/>
  <c r="I647" i="16" s="1"/>
  <c r="V648" i="2"/>
  <c r="I648" i="16" s="1"/>
  <c r="V649" i="2"/>
  <c r="V651" i="2"/>
  <c r="I651" i="16" s="1"/>
  <c r="V652" i="2"/>
  <c r="V653" i="2" s="1"/>
  <c r="I653" i="16" s="1"/>
  <c r="V654" i="2"/>
  <c r="I654" i="16" s="1"/>
  <c r="V655" i="2"/>
  <c r="I655" i="16" s="1"/>
  <c r="V656" i="2"/>
  <c r="I656" i="16" s="1"/>
  <c r="V657" i="2"/>
  <c r="I657" i="16" s="1"/>
  <c r="V658" i="2"/>
  <c r="I658" i="16" s="1"/>
  <c r="V659" i="2"/>
  <c r="V660" i="2" s="1"/>
  <c r="I660" i="16" s="1"/>
  <c r="V661" i="2"/>
  <c r="I661" i="16" s="1"/>
  <c r="V662" i="2"/>
  <c r="I662" i="16" s="1"/>
  <c r="V663" i="2"/>
  <c r="V668" i="2"/>
  <c r="I668" i="16" s="1"/>
  <c r="V669" i="2"/>
  <c r="I669" i="16" s="1"/>
  <c r="V670" i="2"/>
  <c r="I670" i="16" s="1"/>
  <c r="V671" i="2"/>
  <c r="I671" i="16" s="1"/>
  <c r="V672" i="2"/>
  <c r="V673" i="2" s="1"/>
  <c r="I673" i="16" s="1"/>
  <c r="V674" i="2"/>
  <c r="I674" i="16" s="1"/>
  <c r="V677" i="2"/>
  <c r="I677" i="16" s="1"/>
  <c r="V678" i="2"/>
  <c r="I678" i="16" s="1"/>
  <c r="V679" i="2"/>
  <c r="V681" i="2"/>
  <c r="V683" i="2"/>
  <c r="V684" i="2" s="1"/>
  <c r="I684" i="16" s="1"/>
  <c r="V685" i="2"/>
  <c r="I685" i="16" s="1"/>
  <c r="V687" i="2"/>
  <c r="I687" i="16" s="1"/>
  <c r="V688" i="2"/>
  <c r="I688" i="16" s="1"/>
  <c r="V689" i="2"/>
  <c r="I689" i="16" s="1"/>
  <c r="V690" i="2"/>
  <c r="I690" i="16" s="1"/>
  <c r="V691" i="2"/>
  <c r="I691" i="16" s="1"/>
  <c r="V692" i="2"/>
  <c r="I692" i="16" s="1"/>
  <c r="V693" i="2"/>
  <c r="I693" i="16" s="1"/>
  <c r="V694" i="2"/>
  <c r="I694" i="16" s="1"/>
  <c r="V695" i="2"/>
  <c r="I695" i="16" s="1"/>
  <c r="V696" i="2"/>
  <c r="I696" i="16" s="1"/>
  <c r="V697" i="2"/>
  <c r="I697" i="16" s="1"/>
  <c r="V698" i="2"/>
  <c r="I698" i="16" s="1"/>
  <c r="V699" i="2"/>
  <c r="I699" i="16" s="1"/>
  <c r="V700" i="2"/>
  <c r="I700" i="16" s="1"/>
  <c r="V701" i="2"/>
  <c r="I701" i="16" s="1"/>
  <c r="V702" i="2"/>
  <c r="V704" i="2"/>
  <c r="I704" i="16" s="1"/>
  <c r="V705" i="2"/>
  <c r="I705" i="16" s="1"/>
  <c r="V706" i="2"/>
  <c r="V707" i="2" s="1"/>
  <c r="I707" i="16" s="1"/>
  <c r="V708" i="2"/>
  <c r="I708" i="16" s="1"/>
  <c r="V711" i="2"/>
  <c r="I711" i="16" s="1"/>
  <c r="V712" i="2"/>
  <c r="I712" i="16" s="1"/>
  <c r="V713" i="2"/>
  <c r="I713" i="16" s="1"/>
  <c r="V714" i="2"/>
  <c r="I714" i="16" s="1"/>
  <c r="V715" i="2"/>
  <c r="I715" i="16" s="1"/>
  <c r="V716" i="2"/>
  <c r="I716" i="16" s="1"/>
  <c r="V717" i="2"/>
  <c r="V719" i="2"/>
  <c r="I719" i="16" s="1"/>
  <c r="V720" i="2"/>
  <c r="I720" i="16" s="1"/>
  <c r="V721" i="2"/>
  <c r="I721" i="16" s="1"/>
  <c r="V722" i="2"/>
  <c r="I722" i="16" s="1"/>
  <c r="V724" i="2"/>
  <c r="V725" i="2" s="1"/>
  <c r="I725" i="16" s="1"/>
  <c r="V726" i="2"/>
  <c r="I726" i="16" s="1"/>
  <c r="V727" i="2"/>
  <c r="I727" i="16" s="1"/>
  <c r="V728" i="2"/>
  <c r="V729" i="2" s="1"/>
  <c r="I729" i="16" s="1"/>
  <c r="V730" i="2"/>
  <c r="I730" i="16" s="1"/>
  <c r="V732" i="2"/>
  <c r="I732" i="16" s="1"/>
  <c r="V734" i="2"/>
  <c r="V735" i="2" s="1"/>
  <c r="I735" i="16" s="1"/>
  <c r="V736" i="2"/>
  <c r="I736" i="16" s="1"/>
  <c r="V737" i="2"/>
  <c r="V739" i="2"/>
  <c r="V745" i="2"/>
  <c r="I745" i="16" s="1"/>
  <c r="V746" i="2"/>
  <c r="I746" i="16" s="1"/>
  <c r="V747" i="2"/>
  <c r="I747" i="16" s="1"/>
  <c r="V748" i="2"/>
  <c r="I748" i="16" s="1"/>
  <c r="V749" i="2"/>
  <c r="I749" i="16" s="1"/>
  <c r="V750" i="2"/>
  <c r="I750" i="16" s="1"/>
  <c r="V751" i="2"/>
  <c r="I751" i="16" s="1"/>
  <c r="V752" i="2"/>
  <c r="I752" i="16" s="1"/>
  <c r="V753" i="2"/>
  <c r="I753" i="16" s="1"/>
  <c r="V754" i="2"/>
  <c r="I754" i="16" s="1"/>
  <c r="V755" i="2"/>
  <c r="V756" i="2" s="1"/>
  <c r="I756" i="16" s="1"/>
  <c r="V757" i="2"/>
  <c r="I757" i="16" s="1"/>
  <c r="V758" i="2"/>
  <c r="V759" i="2" s="1"/>
  <c r="I759" i="16" s="1"/>
  <c r="V760" i="2"/>
  <c r="V762" i="2"/>
  <c r="V763" i="2" s="1"/>
  <c r="I763" i="16" s="1"/>
  <c r="V764" i="2"/>
  <c r="V765" i="2" s="1"/>
  <c r="I765" i="16" s="1"/>
  <c r="V766" i="2"/>
  <c r="I766" i="16" s="1"/>
  <c r="V767" i="2"/>
  <c r="I767" i="16" s="1"/>
  <c r="V768" i="2"/>
  <c r="I768" i="16" s="1"/>
  <c r="V769" i="2"/>
  <c r="I769" i="16" s="1"/>
  <c r="V770" i="2"/>
  <c r="I770" i="16" s="1"/>
  <c r="V771" i="2"/>
  <c r="I771" i="16" s="1"/>
  <c r="V772" i="2"/>
  <c r="I772" i="16" s="1"/>
  <c r="V773" i="2"/>
  <c r="I773" i="16" s="1"/>
  <c r="V774" i="2"/>
  <c r="I774" i="16" s="1"/>
  <c r="V775" i="2"/>
  <c r="I775" i="16" s="1"/>
  <c r="V776" i="2"/>
  <c r="I776" i="16" s="1"/>
  <c r="V777" i="2"/>
  <c r="I777" i="16" s="1"/>
  <c r="V778" i="2"/>
  <c r="I778" i="16" s="1"/>
  <c r="V779" i="2"/>
  <c r="I779" i="16" s="1"/>
  <c r="V780" i="2"/>
  <c r="I780" i="16" s="1"/>
  <c r="V781" i="2"/>
  <c r="I781" i="16" s="1"/>
  <c r="V782" i="2"/>
  <c r="V783" i="2" s="1"/>
  <c r="I783" i="16" s="1"/>
  <c r="V784" i="2"/>
  <c r="I784" i="16" s="1"/>
  <c r="V786" i="2"/>
  <c r="I786" i="16" s="1"/>
  <c r="V787" i="2"/>
  <c r="I787" i="16" s="1"/>
  <c r="V788" i="2"/>
  <c r="I788" i="16" s="1"/>
  <c r="V789" i="2"/>
  <c r="V791" i="2"/>
  <c r="I791" i="16" s="1"/>
  <c r="V792" i="2"/>
  <c r="I792" i="16" s="1"/>
  <c r="V793" i="2"/>
  <c r="I793" i="16" s="1"/>
  <c r="V794" i="2"/>
  <c r="I794" i="16" s="1"/>
  <c r="V795" i="2"/>
  <c r="I795" i="16" s="1"/>
  <c r="V797" i="2"/>
  <c r="I797" i="16" s="1"/>
  <c r="V798" i="2"/>
  <c r="I798" i="16" s="1"/>
  <c r="V799" i="2"/>
  <c r="I799" i="16" s="1"/>
  <c r="V800" i="2"/>
  <c r="I800" i="16" s="1"/>
  <c r="V801" i="2"/>
  <c r="I801" i="16" s="1"/>
  <c r="V802" i="2"/>
  <c r="I802" i="16" s="1"/>
  <c r="V803" i="2"/>
  <c r="I803" i="16" s="1"/>
  <c r="V805" i="2"/>
  <c r="I805" i="16" s="1"/>
  <c r="V806" i="2"/>
  <c r="V807" i="2" s="1"/>
  <c r="I807" i="16" s="1"/>
  <c r="V808" i="2"/>
  <c r="I808" i="16" s="1"/>
  <c r="V809" i="2"/>
  <c r="I809" i="16" s="1"/>
  <c r="V810" i="2"/>
  <c r="I810" i="16" s="1"/>
  <c r="V811" i="2"/>
  <c r="I811" i="16" s="1"/>
  <c r="V812" i="2"/>
  <c r="I812" i="16" s="1"/>
  <c r="V813" i="2"/>
  <c r="I813" i="16" s="1"/>
  <c r="V814" i="2"/>
  <c r="V816" i="2"/>
  <c r="I816" i="16" s="1"/>
  <c r="V819" i="2"/>
  <c r="I819" i="16" s="1"/>
  <c r="V820" i="2"/>
  <c r="I820" i="16" s="1"/>
  <c r="V822" i="2"/>
  <c r="I822" i="16" s="1"/>
  <c r="V823" i="2"/>
  <c r="I823" i="16" s="1"/>
  <c r="V824" i="2"/>
  <c r="I824" i="16" s="1"/>
  <c r="V825" i="2"/>
  <c r="I825" i="16" s="1"/>
  <c r="V826" i="2"/>
  <c r="I826" i="16" s="1"/>
  <c r="V827" i="2"/>
  <c r="V828" i="2" s="1"/>
  <c r="I828" i="16" s="1"/>
  <c r="V829" i="2"/>
  <c r="I829" i="16" s="1"/>
  <c r="V830" i="2"/>
  <c r="I830" i="16" s="1"/>
  <c r="V831" i="2"/>
  <c r="I831" i="16" s="1"/>
  <c r="V832" i="2"/>
  <c r="I832" i="16" s="1"/>
  <c r="V833" i="2"/>
  <c r="I833" i="16" s="1"/>
  <c r="V834" i="2"/>
  <c r="I834" i="16" s="1"/>
  <c r="V835" i="2"/>
  <c r="I835" i="16" s="1"/>
  <c r="V836" i="2"/>
  <c r="I836" i="16" s="1"/>
  <c r="V837" i="2"/>
  <c r="I837" i="16" s="1"/>
  <c r="V838" i="2"/>
  <c r="I838" i="16" s="1"/>
  <c r="V839" i="2"/>
  <c r="I839" i="16" s="1"/>
  <c r="V840" i="2"/>
  <c r="I840" i="16" s="1"/>
  <c r="V841" i="2"/>
  <c r="I841" i="16" s="1"/>
  <c r="V842" i="2"/>
  <c r="I842" i="16" s="1"/>
  <c r="V843" i="2"/>
  <c r="I843" i="16" s="1"/>
  <c r="V844" i="2"/>
  <c r="I844" i="16" s="1"/>
  <c r="V845" i="2"/>
  <c r="I845" i="16" s="1"/>
  <c r="V846" i="2"/>
  <c r="I846" i="16" s="1"/>
  <c r="V847" i="2"/>
  <c r="I847" i="16" s="1"/>
  <c r="V848" i="2"/>
  <c r="V849" i="2" s="1"/>
  <c r="I849" i="16" s="1"/>
  <c r="V850" i="2"/>
  <c r="I850" i="16" s="1"/>
  <c r="V851" i="2"/>
  <c r="I851" i="16" s="1"/>
  <c r="V852" i="2"/>
  <c r="I852" i="16" s="1"/>
  <c r="V853" i="2"/>
  <c r="I853" i="16" s="1"/>
  <c r="V855" i="2"/>
  <c r="I855" i="16" s="1"/>
  <c r="V856" i="2"/>
  <c r="I856" i="16" s="1"/>
  <c r="V857" i="2"/>
  <c r="I857" i="16" s="1"/>
  <c r="V858" i="2"/>
  <c r="I858" i="16" s="1"/>
  <c r="V859" i="2"/>
  <c r="I859" i="16" s="1"/>
  <c r="V860" i="2"/>
  <c r="V861" i="2" s="1"/>
  <c r="V863" i="2"/>
  <c r="I863" i="16" s="1"/>
  <c r="V864" i="2"/>
  <c r="I864" i="16" s="1"/>
  <c r="V865" i="2"/>
  <c r="I865" i="16" s="1"/>
  <c r="V866" i="2"/>
  <c r="I866" i="16" s="1"/>
  <c r="V867" i="2"/>
  <c r="I867" i="16" s="1"/>
  <c r="V869" i="2"/>
  <c r="I869" i="16" s="1"/>
  <c r="V870" i="2"/>
  <c r="I870" i="16" s="1"/>
  <c r="V871" i="2"/>
  <c r="I871" i="16" s="1"/>
  <c r="V872" i="2"/>
  <c r="I872" i="16" s="1"/>
  <c r="V873" i="2"/>
  <c r="I873" i="16" s="1"/>
  <c r="V874" i="2"/>
  <c r="I874" i="16" s="1"/>
  <c r="V875" i="2"/>
  <c r="I875" i="16" s="1"/>
  <c r="V876" i="2"/>
  <c r="I876" i="16" s="1"/>
  <c r="V877" i="2"/>
  <c r="I877" i="16" s="1"/>
  <c r="V878" i="2"/>
  <c r="I878" i="16" s="1"/>
  <c r="V879" i="2"/>
  <c r="I879" i="16" s="1"/>
  <c r="V880" i="2"/>
  <c r="I880" i="16" s="1"/>
  <c r="V881" i="2"/>
  <c r="I881" i="16" s="1"/>
  <c r="V882" i="2"/>
  <c r="I882" i="16" s="1"/>
  <c r="V883" i="2"/>
  <c r="I883" i="16" s="1"/>
  <c r="V884" i="2"/>
  <c r="V885" i="2" s="1"/>
  <c r="I885" i="16" s="1"/>
  <c r="V886" i="2"/>
  <c r="I886" i="16" s="1"/>
  <c r="V887" i="2"/>
  <c r="I887" i="16" s="1"/>
  <c r="V888" i="2"/>
  <c r="I888" i="16" s="1"/>
  <c r="V889" i="2"/>
  <c r="I889" i="16" s="1"/>
  <c r="V890" i="2"/>
  <c r="I890" i="16" s="1"/>
  <c r="V891" i="2"/>
  <c r="I891" i="16" s="1"/>
  <c r="V893" i="2"/>
  <c r="I893" i="16" s="1"/>
  <c r="V894" i="2"/>
  <c r="V896" i="2"/>
  <c r="V897" i="2" s="1"/>
  <c r="I897" i="16" s="1"/>
  <c r="V898" i="2"/>
  <c r="I898" i="16" s="1"/>
  <c r="V899" i="2"/>
  <c r="I899" i="16" s="1"/>
  <c r="V900" i="2"/>
  <c r="I900" i="16" s="1"/>
  <c r="V905" i="2"/>
  <c r="I905" i="16" s="1"/>
  <c r="V906" i="2"/>
  <c r="I906" i="16" s="1"/>
  <c r="V907" i="2"/>
  <c r="I907" i="16" s="1"/>
  <c r="V908" i="2"/>
  <c r="I908" i="16" s="1"/>
  <c r="V909" i="2"/>
  <c r="V911" i="2"/>
  <c r="I911" i="16" s="1"/>
  <c r="V912" i="2"/>
  <c r="I912" i="16" s="1"/>
  <c r="V913" i="2"/>
  <c r="I913" i="16" s="1"/>
  <c r="V914" i="2"/>
  <c r="V915" i="2"/>
  <c r="I915" i="16" s="1"/>
  <c r="V917" i="2"/>
  <c r="I917" i="16" s="1"/>
  <c r="V918" i="2"/>
  <c r="I918" i="16" s="1"/>
  <c r="V919" i="2"/>
  <c r="I919" i="16" s="1"/>
  <c r="V920" i="2"/>
  <c r="I920" i="16" s="1"/>
  <c r="V921" i="2"/>
  <c r="V922" i="2" s="1"/>
  <c r="I922" i="16" s="1"/>
  <c r="V923" i="2"/>
  <c r="I923" i="16" s="1"/>
  <c r="V924" i="2"/>
  <c r="I924" i="16" s="1"/>
  <c r="V925" i="2"/>
  <c r="I925" i="16" s="1"/>
  <c r="V926" i="2"/>
  <c r="I926" i="16" s="1"/>
  <c r="V927" i="2"/>
  <c r="I927" i="16" s="1"/>
  <c r="V928" i="2"/>
  <c r="I928" i="16" s="1"/>
  <c r="V929" i="2"/>
  <c r="V930" i="2" s="1"/>
  <c r="V932" i="2"/>
  <c r="I932" i="16" s="1"/>
  <c r="V933" i="2"/>
  <c r="I933" i="16" s="1"/>
  <c r="V934" i="2"/>
  <c r="I934" i="16" s="1"/>
  <c r="V935" i="2"/>
  <c r="I935" i="16" s="1"/>
  <c r="V936" i="2"/>
  <c r="I936" i="16" s="1"/>
  <c r="V937" i="2"/>
  <c r="I937" i="16" s="1"/>
  <c r="V938" i="2"/>
  <c r="I938" i="16" s="1"/>
  <c r="V939" i="2"/>
  <c r="I939" i="16" s="1"/>
  <c r="V940" i="2"/>
  <c r="I940" i="16" s="1"/>
  <c r="V941" i="2"/>
  <c r="I941" i="16" s="1"/>
  <c r="V942" i="2"/>
  <c r="I942" i="16" s="1"/>
  <c r="V943" i="2"/>
  <c r="I943" i="16" s="1"/>
  <c r="V944" i="2"/>
  <c r="I944" i="16" s="1"/>
  <c r="V945" i="2"/>
  <c r="I945" i="16" s="1"/>
  <c r="V946" i="2"/>
  <c r="I946" i="16" s="1"/>
  <c r="V947" i="2"/>
  <c r="I947" i="16" s="1"/>
  <c r="V948" i="2"/>
  <c r="I948" i="16" s="1"/>
  <c r="V949" i="2"/>
  <c r="I949" i="16" s="1"/>
  <c r="V950" i="2"/>
  <c r="I950" i="16" s="1"/>
  <c r="V951" i="2"/>
  <c r="I951" i="16" s="1"/>
  <c r="V952" i="2"/>
  <c r="I952" i="16" s="1"/>
  <c r="V953" i="2"/>
  <c r="I953" i="16" s="1"/>
  <c r="V954" i="2"/>
  <c r="I954" i="16" s="1"/>
  <c r="V955" i="2"/>
  <c r="I955" i="16" s="1"/>
  <c r="V956" i="2"/>
  <c r="I956" i="16" s="1"/>
  <c r="V957" i="2"/>
  <c r="I957" i="16" s="1"/>
  <c r="V958" i="2"/>
  <c r="I958" i="16" s="1"/>
  <c r="V959" i="2"/>
  <c r="I959" i="16" s="1"/>
  <c r="V960" i="2"/>
  <c r="I960" i="16" s="1"/>
  <c r="V961" i="2"/>
  <c r="I961" i="16" s="1"/>
  <c r="V962" i="2"/>
  <c r="V963" i="2" s="1"/>
  <c r="I963" i="16" s="1"/>
  <c r="V965" i="2"/>
  <c r="I965" i="16" s="1"/>
  <c r="V966" i="2"/>
  <c r="I966" i="16" s="1"/>
  <c r="V967" i="2"/>
  <c r="I967" i="16" s="1"/>
  <c r="V968" i="2"/>
  <c r="I968" i="16" s="1"/>
  <c r="V969" i="2"/>
  <c r="I969" i="16" s="1"/>
  <c r="V970" i="2"/>
  <c r="I970" i="16" s="1"/>
  <c r="V971" i="2"/>
  <c r="I971" i="16" s="1"/>
  <c r="V973" i="2"/>
  <c r="I973" i="16" s="1"/>
  <c r="V974" i="2"/>
  <c r="V975" i="2" s="1"/>
  <c r="I975" i="16" s="1"/>
  <c r="V976" i="2"/>
  <c r="I976" i="16" s="1"/>
  <c r="V977" i="2"/>
  <c r="I977" i="16" s="1"/>
  <c r="V978" i="2"/>
  <c r="I978" i="16" s="1"/>
  <c r="V979" i="2"/>
  <c r="I979" i="16" s="1"/>
  <c r="V980" i="2"/>
  <c r="I980" i="16" s="1"/>
  <c r="V981" i="2"/>
  <c r="V982" i="2" s="1"/>
  <c r="I982" i="16" s="1"/>
  <c r="V985" i="2"/>
  <c r="I985" i="16" s="1"/>
  <c r="V986" i="2"/>
  <c r="I986" i="16" s="1"/>
  <c r="V987" i="2"/>
  <c r="I987" i="16" s="1"/>
  <c r="V988" i="2"/>
  <c r="I988" i="16" s="1"/>
  <c r="V989" i="2"/>
  <c r="I989" i="16" s="1"/>
  <c r="V990" i="2"/>
  <c r="I990" i="16" s="1"/>
  <c r="V991" i="2"/>
  <c r="I991" i="16" s="1"/>
  <c r="V994" i="2"/>
  <c r="I994" i="16" s="1"/>
  <c r="V995" i="2"/>
  <c r="I995" i="16" s="1"/>
  <c r="V996" i="2"/>
  <c r="I996" i="16" s="1"/>
  <c r="V997" i="2"/>
  <c r="I997" i="16" s="1"/>
  <c r="V998" i="2"/>
  <c r="I998" i="16" s="1"/>
  <c r="V999" i="2"/>
  <c r="I999" i="16" s="1"/>
  <c r="V1000" i="2"/>
  <c r="I1000" i="16" s="1"/>
  <c r="V1001" i="2"/>
  <c r="V1002" i="2" s="1"/>
  <c r="I1002" i="16" s="1"/>
  <c r="V1003" i="2"/>
  <c r="I1003" i="16" s="1"/>
  <c r="V1004" i="2"/>
  <c r="V1005" i="2" s="1"/>
  <c r="I1005" i="16" s="1"/>
  <c r="V1006" i="2"/>
  <c r="I1006" i="16" s="1"/>
  <c r="V1007" i="2"/>
  <c r="I1007" i="16" s="1"/>
  <c r="V1008" i="2"/>
  <c r="I1008" i="16" s="1"/>
  <c r="V1009" i="2"/>
  <c r="I1009" i="16" s="1"/>
  <c r="V1010" i="2"/>
  <c r="I1010" i="16" s="1"/>
  <c r="V1011" i="2"/>
  <c r="I1011" i="16" s="1"/>
  <c r="V1012" i="2"/>
  <c r="I1012" i="16" s="1"/>
  <c r="V1013" i="2"/>
  <c r="I1013" i="16" s="1"/>
  <c r="V1014" i="2"/>
  <c r="I1014" i="16" s="1"/>
  <c r="V1015" i="2"/>
  <c r="I1015" i="16" s="1"/>
  <c r="V1016" i="2"/>
  <c r="V1017" i="2" s="1"/>
  <c r="I1017" i="16" s="1"/>
  <c r="V1018" i="2"/>
  <c r="I1018" i="16" s="1"/>
  <c r="V1019" i="2"/>
  <c r="I1019" i="16" s="1"/>
  <c r="V1020" i="2"/>
  <c r="I1020" i="16" s="1"/>
  <c r="V1021" i="2"/>
  <c r="I1021" i="16" s="1"/>
  <c r="V1022" i="2"/>
  <c r="I1022" i="16" s="1"/>
  <c r="V1023" i="2"/>
  <c r="I1023" i="16" s="1"/>
  <c r="V1024" i="2"/>
  <c r="I1024" i="16" s="1"/>
  <c r="V1025" i="2"/>
  <c r="I1025" i="16" s="1"/>
  <c r="V1026" i="2"/>
  <c r="I1026" i="16" s="1"/>
  <c r="V1027" i="2"/>
  <c r="I1027" i="16" s="1"/>
  <c r="V1028" i="2"/>
  <c r="I1028" i="16" s="1"/>
  <c r="V1029" i="2"/>
  <c r="I1029" i="16" s="1"/>
  <c r="V1030" i="2"/>
  <c r="I1030" i="16" s="1"/>
  <c r="V1031" i="2"/>
  <c r="I1031" i="16" s="1"/>
  <c r="V1032" i="2"/>
  <c r="I1032" i="16" s="1"/>
  <c r="V1033" i="2"/>
  <c r="I1033" i="16" s="1"/>
  <c r="V1034" i="2"/>
  <c r="I1034" i="16" s="1"/>
  <c r="V1035" i="2"/>
  <c r="I1035" i="16" s="1"/>
  <c r="V1036" i="2"/>
  <c r="I1036" i="16" s="1"/>
  <c r="V1037" i="2"/>
  <c r="I1037" i="16" s="1"/>
  <c r="V1038" i="2"/>
  <c r="I1038" i="16" s="1"/>
  <c r="V1039" i="2"/>
  <c r="I1039" i="16" s="1"/>
  <c r="V1040" i="2"/>
  <c r="I1040" i="16" s="1"/>
  <c r="V1041" i="2"/>
  <c r="I1041" i="16" s="1"/>
  <c r="V1042" i="2"/>
  <c r="I1042" i="16" s="1"/>
  <c r="V1043" i="2"/>
  <c r="I1043" i="16" s="1"/>
  <c r="V1044" i="2"/>
  <c r="I1044" i="16" s="1"/>
  <c r="V1045" i="2"/>
  <c r="I1045" i="16" s="1"/>
  <c r="V1046" i="2"/>
  <c r="I1046" i="16" s="1"/>
  <c r="V1047" i="2"/>
  <c r="I1047" i="16" s="1"/>
  <c r="V1048" i="2"/>
  <c r="I1048" i="16" s="1"/>
  <c r="V1049" i="2"/>
  <c r="I1049" i="16" s="1"/>
  <c r="V1050" i="2"/>
  <c r="V1051" i="2" s="1"/>
  <c r="I1051" i="16" s="1"/>
  <c r="V1052" i="2"/>
  <c r="I1052" i="16" s="1"/>
  <c r="V1053" i="2"/>
  <c r="I1053" i="16" s="1"/>
  <c r="V1054" i="2"/>
  <c r="I1054" i="16" s="1"/>
  <c r="V1055" i="2"/>
  <c r="I1055" i="16" s="1"/>
  <c r="V1057" i="2"/>
  <c r="I1057" i="16" s="1"/>
  <c r="V1058" i="2"/>
  <c r="I1058" i="16" s="1"/>
  <c r="V1059" i="2"/>
  <c r="I1059" i="16" s="1"/>
  <c r="V1060" i="2"/>
  <c r="I1060" i="16" s="1"/>
  <c r="V1061" i="2"/>
  <c r="I1061" i="16" s="1"/>
  <c r="V1062" i="2"/>
  <c r="I1062" i="16" s="1"/>
  <c r="V1063" i="2"/>
  <c r="I1063" i="16" s="1"/>
  <c r="V1064" i="2"/>
  <c r="I1064" i="16" s="1"/>
  <c r="V1065" i="2"/>
  <c r="I1065" i="16" s="1"/>
  <c r="V1066" i="2"/>
  <c r="I1066" i="16" s="1"/>
  <c r="V1067" i="2"/>
  <c r="I1067" i="16" s="1"/>
  <c r="V1068" i="2"/>
  <c r="I1068" i="16" s="1"/>
  <c r="V1069" i="2"/>
  <c r="I1069" i="16" s="1"/>
  <c r="V1070" i="2"/>
  <c r="I1070" i="16" s="1"/>
  <c r="V1071" i="2"/>
  <c r="I1071" i="16" s="1"/>
  <c r="V1072" i="2"/>
  <c r="V1073" i="2" s="1"/>
  <c r="I1073" i="16" s="1"/>
  <c r="V1074" i="2"/>
  <c r="I1074" i="16" s="1"/>
  <c r="V1075" i="2"/>
  <c r="I1075" i="16" s="1"/>
  <c r="V1076" i="2"/>
  <c r="I1076" i="16" s="1"/>
  <c r="V1077" i="2"/>
  <c r="I1077" i="16" s="1"/>
  <c r="V1078" i="2"/>
  <c r="I1078" i="16" s="1"/>
  <c r="V1079" i="2"/>
  <c r="I1079" i="16" s="1"/>
  <c r="V1080" i="2"/>
  <c r="I1080" i="16" s="1"/>
  <c r="V1081" i="2"/>
  <c r="I1081" i="16" s="1"/>
  <c r="V1082" i="2"/>
  <c r="I1082" i="16" s="1"/>
  <c r="V1083" i="2"/>
  <c r="I1083" i="16" s="1"/>
  <c r="V1084" i="2"/>
  <c r="I1084" i="16" s="1"/>
  <c r="V1085" i="2"/>
  <c r="I1085" i="16" s="1"/>
  <c r="V1086" i="2"/>
  <c r="I1086" i="16" s="1"/>
  <c r="V1087" i="2"/>
  <c r="I1087" i="16" s="1"/>
  <c r="V1088" i="2"/>
  <c r="I1088" i="16" s="1"/>
  <c r="V1089" i="2"/>
  <c r="I1089" i="16" s="1"/>
  <c r="V1090" i="2"/>
  <c r="I1090" i="16" s="1"/>
  <c r="V1091" i="2"/>
  <c r="I1091" i="16" s="1"/>
  <c r="V1092" i="2"/>
  <c r="I1092" i="16" s="1"/>
  <c r="V1093" i="2"/>
  <c r="I1093" i="16" s="1"/>
  <c r="V1094" i="2"/>
  <c r="I1094" i="16" s="1"/>
  <c r="V1095" i="2"/>
  <c r="I1095" i="16" s="1"/>
  <c r="V1096" i="2"/>
  <c r="V1097" i="2" s="1"/>
  <c r="I1097" i="16" s="1"/>
  <c r="V1098" i="2"/>
  <c r="V1099" i="2" s="1"/>
  <c r="I1099" i="16" s="1"/>
  <c r="V1100" i="2"/>
  <c r="I1100" i="16" s="1"/>
  <c r="V1101" i="2"/>
  <c r="I1101" i="16" s="1"/>
  <c r="V1102" i="2"/>
  <c r="I1102" i="16" s="1"/>
  <c r="V1103" i="2"/>
  <c r="I1103" i="16" s="1"/>
  <c r="V1104" i="2"/>
  <c r="I1104" i="16" s="1"/>
  <c r="V1105" i="2"/>
  <c r="I1105" i="16" s="1"/>
  <c r="V1106" i="2"/>
  <c r="I1106" i="16" s="1"/>
  <c r="V1107" i="2"/>
  <c r="I1107" i="16" s="1"/>
  <c r="V1108" i="2"/>
  <c r="I1108" i="16" s="1"/>
  <c r="V1109" i="2"/>
  <c r="I1109" i="16" s="1"/>
  <c r="V1110" i="2"/>
  <c r="I1110" i="16" s="1"/>
  <c r="V1111" i="2"/>
  <c r="I1111" i="16" s="1"/>
  <c r="V1112" i="2"/>
  <c r="I1112" i="16" s="1"/>
  <c r="V1113" i="2"/>
  <c r="I1113" i="16" s="1"/>
  <c r="V1114" i="2"/>
  <c r="I1114" i="16" s="1"/>
  <c r="V1116" i="2"/>
  <c r="I1116" i="16" s="1"/>
  <c r="V1117" i="2"/>
  <c r="I1117" i="16" s="1"/>
  <c r="V1118" i="2"/>
  <c r="I1118" i="16" s="1"/>
  <c r="V1119" i="2"/>
  <c r="I1119" i="16" s="1"/>
  <c r="V1120" i="2"/>
  <c r="I1120" i="16" s="1"/>
  <c r="V1121" i="2"/>
  <c r="I1121" i="16" s="1"/>
  <c r="V1122" i="2"/>
  <c r="I1122" i="16" s="1"/>
  <c r="V1123" i="2"/>
  <c r="I1123" i="16" s="1"/>
  <c r="V1124" i="2"/>
  <c r="I1124" i="16" s="1"/>
  <c r="V1125" i="2"/>
  <c r="I1125" i="16" s="1"/>
  <c r="V1126" i="2"/>
  <c r="I1126" i="16" s="1"/>
  <c r="V1128" i="2"/>
  <c r="I1128" i="16" s="1"/>
  <c r="V1129" i="2"/>
  <c r="I1129" i="16" s="1"/>
  <c r="V1130" i="2"/>
  <c r="I1130" i="16" s="1"/>
  <c r="V1131" i="2"/>
  <c r="I1131" i="16" s="1"/>
  <c r="V1132" i="2"/>
  <c r="I1132" i="16" s="1"/>
  <c r="V1133" i="2"/>
  <c r="I1133" i="16" s="1"/>
  <c r="V1134" i="2"/>
  <c r="I1134" i="16" s="1"/>
  <c r="V1135" i="2"/>
  <c r="I1135" i="16" s="1"/>
  <c r="V1136" i="2"/>
  <c r="I1136" i="16" s="1"/>
  <c r="V1137" i="2"/>
  <c r="I1137" i="16" s="1"/>
  <c r="V1138" i="2"/>
  <c r="I1138" i="16" s="1"/>
  <c r="V1139" i="2"/>
  <c r="I1139" i="16" s="1"/>
  <c r="V1140" i="2"/>
  <c r="I1140" i="16" s="1"/>
  <c r="V1141" i="2"/>
  <c r="V1142" i="2" s="1"/>
  <c r="I1142" i="16" s="1"/>
  <c r="V1143" i="2"/>
  <c r="I1143" i="16" s="1"/>
  <c r="V1144" i="2"/>
  <c r="I1144" i="16" s="1"/>
  <c r="V1145" i="2"/>
  <c r="I1145" i="16" s="1"/>
  <c r="V1146" i="2"/>
  <c r="I1146" i="16" s="1"/>
  <c r="V1147" i="2"/>
  <c r="I1147" i="16" s="1"/>
  <c r="V1148" i="2"/>
  <c r="I1148" i="16" s="1"/>
  <c r="V1149" i="2"/>
  <c r="I1149" i="16" s="1"/>
  <c r="V1150" i="2"/>
  <c r="I1150" i="16" s="1"/>
  <c r="V1151" i="2"/>
  <c r="I1151" i="16" s="1"/>
  <c r="V1152" i="2"/>
  <c r="I1152" i="16" s="1"/>
  <c r="V1153" i="2"/>
  <c r="V1154" i="2" s="1"/>
  <c r="I1154" i="16" s="1"/>
  <c r="V1155" i="2"/>
  <c r="I1155" i="16" s="1"/>
  <c r="V1156" i="2"/>
  <c r="I1156" i="16" s="1"/>
  <c r="V1157" i="2"/>
  <c r="I1157" i="16" s="1"/>
  <c r="V1158" i="2"/>
  <c r="I1158" i="16" s="1"/>
  <c r="V1159" i="2"/>
  <c r="I1159" i="16" s="1"/>
  <c r="V1160" i="2"/>
  <c r="I1160" i="16" s="1"/>
  <c r="V1161" i="2"/>
  <c r="I1161" i="16" s="1"/>
  <c r="V1163" i="2"/>
  <c r="I1163" i="16" s="1"/>
  <c r="V1164" i="2"/>
  <c r="I1164" i="16" s="1"/>
  <c r="V1166" i="2"/>
  <c r="I1166" i="16" s="1"/>
  <c r="V1167" i="2"/>
  <c r="I1167" i="16" s="1"/>
  <c r="V1168" i="2"/>
  <c r="I1168" i="16" s="1"/>
  <c r="V1169" i="2"/>
  <c r="I1169" i="16" s="1"/>
  <c r="V1170" i="2"/>
  <c r="I1170" i="16" s="1"/>
  <c r="V1171" i="2"/>
  <c r="I1171" i="16" s="1"/>
  <c r="V1172" i="2"/>
  <c r="I1172" i="16" s="1"/>
  <c r="V1173" i="2"/>
  <c r="I1173" i="16" s="1"/>
  <c r="V1174" i="2"/>
  <c r="I1174" i="16" s="1"/>
  <c r="V1175" i="2"/>
  <c r="I1175" i="16" s="1"/>
  <c r="V1176" i="2"/>
  <c r="I1176" i="16" s="1"/>
  <c r="V1177" i="2"/>
  <c r="I1177" i="16" s="1"/>
  <c r="V1178" i="2"/>
  <c r="I1178" i="16" s="1"/>
  <c r="V1179" i="2"/>
  <c r="I1179" i="16" s="1"/>
  <c r="V1180" i="2"/>
  <c r="I1180" i="16" s="1"/>
  <c r="V1181" i="2"/>
  <c r="I1181" i="16" s="1"/>
  <c r="V1182" i="2"/>
  <c r="I1182" i="16" s="1"/>
  <c r="V1183" i="2"/>
  <c r="I1183" i="16" s="1"/>
  <c r="V1184" i="2"/>
  <c r="I1184" i="16" s="1"/>
  <c r="V1185" i="2"/>
  <c r="I1185" i="16" s="1"/>
  <c r="V1186" i="2"/>
  <c r="I1186" i="16" s="1"/>
  <c r="V1187" i="2"/>
  <c r="I1187" i="16" s="1"/>
  <c r="V1188" i="2"/>
  <c r="I1188" i="16" s="1"/>
  <c r="V1189" i="2"/>
  <c r="I1189" i="16" s="1"/>
  <c r="V1190" i="2"/>
  <c r="I1190" i="16" s="1"/>
  <c r="V1191" i="2"/>
  <c r="I1191" i="16" s="1"/>
  <c r="V1192" i="2"/>
  <c r="I1192" i="16" s="1"/>
  <c r="V1193" i="2"/>
  <c r="I1193" i="16" s="1"/>
  <c r="V1194" i="2"/>
  <c r="I1194" i="16" s="1"/>
  <c r="V1195" i="2"/>
  <c r="I1195" i="16" s="1"/>
  <c r="V1196" i="2"/>
  <c r="I1196" i="16" s="1"/>
  <c r="V1197" i="2"/>
  <c r="I1197" i="16" s="1"/>
  <c r="V1198" i="2"/>
  <c r="I1198" i="16" s="1"/>
  <c r="V1199" i="2"/>
  <c r="I1199" i="16" s="1"/>
  <c r="V1200" i="2"/>
  <c r="I1200" i="16" s="1"/>
  <c r="V1201" i="2"/>
  <c r="I1201" i="16" s="1"/>
  <c r="V1202" i="2"/>
  <c r="I1202" i="16" s="1"/>
  <c r="V1203" i="2"/>
  <c r="I1203" i="16" s="1"/>
  <c r="V1204" i="2"/>
  <c r="I1204" i="16" s="1"/>
  <c r="V1205" i="2"/>
  <c r="I1205" i="16" s="1"/>
  <c r="V1206" i="2"/>
  <c r="I1206" i="16" s="1"/>
  <c r="V1207" i="2"/>
  <c r="I1207" i="16" s="1"/>
  <c r="V1208" i="2"/>
  <c r="I1208" i="16" s="1"/>
  <c r="V1209" i="2"/>
  <c r="I1209" i="16" s="1"/>
  <c r="V1210" i="2"/>
  <c r="I1210" i="16" s="1"/>
  <c r="V1211" i="2"/>
  <c r="I1211" i="16" s="1"/>
  <c r="V1212" i="2"/>
  <c r="I1212" i="16" s="1"/>
  <c r="V1214" i="2"/>
  <c r="I1214" i="16" s="1"/>
  <c r="V1215" i="2"/>
  <c r="I1215" i="16" s="1"/>
  <c r="V1216" i="2"/>
  <c r="I1216" i="16" s="1"/>
  <c r="V1217" i="2"/>
  <c r="I1217" i="16" s="1"/>
  <c r="V1218" i="2"/>
  <c r="I1218" i="16" s="1"/>
  <c r="V1219" i="2"/>
  <c r="I1219" i="16" s="1"/>
  <c r="V1220" i="2"/>
  <c r="I1220" i="16" s="1"/>
  <c r="V1221" i="2"/>
  <c r="I1221" i="16" s="1"/>
  <c r="V1222" i="2"/>
  <c r="I1222" i="16" s="1"/>
  <c r="V1223" i="2"/>
  <c r="I1223" i="16" s="1"/>
  <c r="V1224" i="2"/>
  <c r="I1224" i="16" s="1"/>
  <c r="V1225" i="2"/>
  <c r="I1225" i="16" s="1"/>
  <c r="V1226" i="2"/>
  <c r="I1226" i="16" s="1"/>
  <c r="V1227" i="2"/>
  <c r="I1227" i="16" s="1"/>
  <c r="V1228" i="2"/>
  <c r="I1228" i="16" s="1"/>
  <c r="V2" i="2"/>
  <c r="I2" i="16" s="1"/>
  <c r="I914" i="16"/>
  <c r="I1229" i="16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I1265" i="16"/>
  <c r="I1266" i="16"/>
  <c r="I1267" i="16"/>
  <c r="I1268" i="16"/>
  <c r="I1269" i="16"/>
  <c r="I1270" i="16"/>
  <c r="I1271" i="16"/>
  <c r="I1272" i="16"/>
  <c r="I1273" i="16"/>
  <c r="I1274" i="16"/>
  <c r="I1275" i="16"/>
  <c r="I1276" i="16"/>
  <c r="I1277" i="16"/>
  <c r="I1278" i="16"/>
  <c r="I1279" i="16"/>
  <c r="I1280" i="16"/>
  <c r="I1281" i="16"/>
  <c r="I1282" i="16"/>
  <c r="I1283" i="16"/>
  <c r="I1284" i="16"/>
  <c r="I1285" i="16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I1318" i="16"/>
  <c r="I1319" i="16"/>
  <c r="I1320" i="16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I1336" i="16"/>
  <c r="I1337" i="16"/>
  <c r="I1338" i="16"/>
  <c r="I1339" i="16"/>
  <c r="I1340" i="16"/>
  <c r="I1341" i="16"/>
  <c r="I1342" i="16"/>
  <c r="I1343" i="16"/>
  <c r="I1344" i="16"/>
  <c r="I1345" i="16"/>
  <c r="I1346" i="16"/>
  <c r="I1347" i="16"/>
  <c r="I1348" i="16"/>
  <c r="I1349" i="16"/>
  <c r="I1350" i="16"/>
  <c r="I1351" i="16"/>
  <c r="I1352" i="16"/>
  <c r="I1353" i="16"/>
  <c r="I1354" i="16"/>
  <c r="I1355" i="16"/>
  <c r="I1356" i="16"/>
  <c r="I1357" i="16"/>
  <c r="I1358" i="16"/>
  <c r="I1359" i="16"/>
  <c r="I1360" i="16"/>
  <c r="I1361" i="16"/>
  <c r="I1362" i="16"/>
  <c r="I1363" i="16"/>
  <c r="I1364" i="16"/>
  <c r="I1365" i="16"/>
  <c r="I1366" i="16"/>
  <c r="I1367" i="16"/>
  <c r="I1368" i="16"/>
  <c r="I1369" i="16"/>
  <c r="I1370" i="16"/>
  <c r="I1371" i="16"/>
  <c r="I1372" i="16"/>
  <c r="I1373" i="16"/>
  <c r="I1374" i="16"/>
  <c r="I1375" i="16"/>
  <c r="I1376" i="16"/>
  <c r="I1377" i="16"/>
  <c r="I1378" i="16"/>
  <c r="I1379" i="16"/>
  <c r="I1380" i="16"/>
  <c r="I1381" i="16"/>
  <c r="I1382" i="16"/>
  <c r="I1383" i="16"/>
  <c r="I1384" i="16"/>
  <c r="I1385" i="16"/>
  <c r="I1386" i="16"/>
  <c r="I1387" i="16"/>
  <c r="I1388" i="16"/>
  <c r="I1389" i="16"/>
  <c r="I1390" i="16"/>
  <c r="I1391" i="16"/>
  <c r="I1392" i="16"/>
  <c r="I1393" i="16"/>
  <c r="I1394" i="16"/>
  <c r="I1395" i="16"/>
  <c r="I1396" i="16"/>
  <c r="I1397" i="16"/>
  <c r="I1398" i="16"/>
  <c r="I1399" i="16"/>
  <c r="I1400" i="16"/>
  <c r="I1401" i="16"/>
  <c r="I1402" i="16"/>
  <c r="I1403" i="16"/>
  <c r="I1404" i="16"/>
  <c r="I1405" i="16"/>
  <c r="I1406" i="16"/>
  <c r="I1407" i="16"/>
  <c r="I1408" i="16"/>
  <c r="I1409" i="16"/>
  <c r="I1410" i="16"/>
  <c r="I1411" i="16"/>
  <c r="I1412" i="16"/>
  <c r="I1413" i="16"/>
  <c r="I1414" i="16"/>
  <c r="I1415" i="16"/>
  <c r="I1416" i="16"/>
  <c r="I1417" i="16"/>
  <c r="I1418" i="16"/>
  <c r="I1419" i="16"/>
  <c r="I1420" i="16"/>
  <c r="I1421" i="16"/>
  <c r="I1422" i="16"/>
  <c r="I1423" i="16"/>
  <c r="I1424" i="16"/>
  <c r="I1425" i="16"/>
  <c r="I1426" i="16"/>
  <c r="I1427" i="16"/>
  <c r="I1428" i="16"/>
  <c r="I1429" i="16"/>
  <c r="I1430" i="16"/>
  <c r="I1431" i="16"/>
  <c r="I1432" i="16"/>
  <c r="I1433" i="16"/>
  <c r="I1434" i="16"/>
  <c r="I1435" i="16"/>
  <c r="I1436" i="16"/>
  <c r="I1437" i="16"/>
  <c r="I1438" i="16"/>
  <c r="I1439" i="16"/>
  <c r="I1440" i="16"/>
  <c r="I1441" i="16"/>
  <c r="I1442" i="16"/>
  <c r="I1443" i="16"/>
  <c r="I1444" i="16"/>
  <c r="I1445" i="16"/>
  <c r="I1446" i="16"/>
  <c r="I1447" i="16"/>
  <c r="I1448" i="16"/>
  <c r="I1449" i="16"/>
  <c r="I1450" i="16"/>
  <c r="I1451" i="16"/>
  <c r="I1452" i="16"/>
  <c r="I1453" i="16"/>
  <c r="I1454" i="16"/>
  <c r="I1455" i="16"/>
  <c r="I1456" i="16"/>
  <c r="I1457" i="16"/>
  <c r="I1458" i="16"/>
  <c r="I1459" i="16"/>
  <c r="I1460" i="16"/>
  <c r="I1461" i="16"/>
  <c r="I1462" i="16"/>
  <c r="I1463" i="16"/>
  <c r="I1464" i="16"/>
  <c r="I1465" i="16"/>
  <c r="I1466" i="16"/>
  <c r="I1467" i="16"/>
  <c r="I1468" i="16"/>
  <c r="I1469" i="16"/>
  <c r="I1470" i="16"/>
  <c r="I1471" i="16"/>
  <c r="I1472" i="16"/>
  <c r="I1473" i="16"/>
  <c r="I1474" i="16"/>
  <c r="I1475" i="16"/>
  <c r="I1476" i="16"/>
  <c r="I1477" i="16"/>
  <c r="I1478" i="16"/>
  <c r="I1479" i="16"/>
  <c r="I1480" i="16"/>
  <c r="I1481" i="16"/>
  <c r="I1482" i="16"/>
  <c r="I1483" i="16"/>
  <c r="I1484" i="16"/>
  <c r="I1485" i="16"/>
  <c r="I1486" i="16"/>
  <c r="I1487" i="16"/>
  <c r="I1488" i="16"/>
  <c r="I1489" i="16"/>
  <c r="I1490" i="16"/>
  <c r="I1491" i="16"/>
  <c r="I1492" i="16"/>
  <c r="I1493" i="16"/>
  <c r="I1494" i="16"/>
  <c r="I1495" i="16"/>
  <c r="I1496" i="16"/>
  <c r="I1497" i="16"/>
  <c r="I1498" i="16"/>
  <c r="I1499" i="16"/>
  <c r="I1500" i="16"/>
  <c r="I1501" i="16"/>
  <c r="I1502" i="16"/>
  <c r="I1503" i="16"/>
  <c r="I1504" i="16"/>
  <c r="I1505" i="16"/>
  <c r="I1506" i="16"/>
  <c r="I1507" i="16"/>
  <c r="I1508" i="16"/>
  <c r="I1509" i="16"/>
  <c r="I1510" i="16"/>
  <c r="I1511" i="16"/>
  <c r="I1512" i="16"/>
  <c r="I1513" i="16"/>
  <c r="I1514" i="16"/>
  <c r="I1515" i="16"/>
  <c r="I1516" i="16"/>
  <c r="I1517" i="16"/>
  <c r="I1518" i="16"/>
  <c r="I1519" i="16"/>
  <c r="I1520" i="16"/>
  <c r="I1521" i="16"/>
  <c r="I1522" i="16"/>
  <c r="I1523" i="16"/>
  <c r="I1524" i="16"/>
  <c r="I1525" i="16"/>
  <c r="I1526" i="16"/>
  <c r="I1527" i="16"/>
  <c r="I1528" i="16"/>
  <c r="I1529" i="16"/>
  <c r="I1530" i="16"/>
  <c r="I1531" i="16"/>
  <c r="I1532" i="16"/>
  <c r="I1533" i="16"/>
  <c r="I1534" i="16"/>
  <c r="I1535" i="16"/>
  <c r="I1536" i="16"/>
  <c r="I1537" i="16"/>
  <c r="I1538" i="16"/>
  <c r="I1539" i="16"/>
  <c r="I1540" i="16"/>
  <c r="I1541" i="16"/>
  <c r="I1542" i="16"/>
  <c r="I1543" i="16"/>
  <c r="I1544" i="16"/>
  <c r="I1545" i="16"/>
  <c r="I1546" i="16"/>
  <c r="I1547" i="16"/>
  <c r="I1548" i="16"/>
  <c r="I1549" i="16"/>
  <c r="I1550" i="16"/>
  <c r="I1551" i="16"/>
  <c r="I1552" i="16"/>
  <c r="I1553" i="16"/>
  <c r="I1554" i="16"/>
  <c r="I1555" i="16"/>
  <c r="I1556" i="16"/>
  <c r="I1557" i="16"/>
  <c r="I1558" i="16"/>
  <c r="I1559" i="16"/>
  <c r="I1560" i="16"/>
  <c r="I1561" i="16"/>
  <c r="I1562" i="16"/>
  <c r="I1563" i="16"/>
  <c r="I1564" i="16"/>
  <c r="I1565" i="16"/>
  <c r="I1566" i="16"/>
  <c r="I1567" i="16"/>
  <c r="I1568" i="16"/>
  <c r="I1569" i="16"/>
  <c r="I1570" i="16"/>
  <c r="I1571" i="16"/>
  <c r="I1572" i="16"/>
  <c r="I1573" i="16"/>
  <c r="I1574" i="16"/>
  <c r="I1575" i="16"/>
  <c r="I1576" i="16"/>
  <c r="I1577" i="16"/>
  <c r="I1578" i="16"/>
  <c r="I1579" i="16"/>
  <c r="I1580" i="16"/>
  <c r="I1581" i="16"/>
  <c r="I1582" i="16"/>
  <c r="I1583" i="16"/>
  <c r="I1584" i="16"/>
  <c r="I1585" i="16"/>
  <c r="I1586" i="16"/>
  <c r="I1587" i="16"/>
  <c r="I1588" i="16"/>
  <c r="I1589" i="16"/>
  <c r="I1590" i="16"/>
  <c r="I1591" i="16"/>
  <c r="I1592" i="16"/>
  <c r="I1593" i="16"/>
  <c r="I1594" i="16"/>
  <c r="I1595" i="16"/>
  <c r="I1596" i="16"/>
  <c r="I1597" i="16"/>
  <c r="I1598" i="16"/>
  <c r="I1599" i="16"/>
  <c r="I1600" i="16"/>
  <c r="L1229" i="16"/>
  <c r="L1230" i="16"/>
  <c r="L1231" i="16"/>
  <c r="L1232" i="16"/>
  <c r="L1233" i="16"/>
  <c r="L1234" i="16"/>
  <c r="L1235" i="16"/>
  <c r="L1236" i="16"/>
  <c r="L1237" i="16"/>
  <c r="L1238" i="16"/>
  <c r="L1239" i="16"/>
  <c r="L1240" i="16"/>
  <c r="L1241" i="16"/>
  <c r="L1242" i="16"/>
  <c r="L1243" i="16"/>
  <c r="L1244" i="16"/>
  <c r="L1245" i="16"/>
  <c r="L1246" i="16"/>
  <c r="L1247" i="16"/>
  <c r="L1248" i="16"/>
  <c r="L1249" i="16"/>
  <c r="L1250" i="16"/>
  <c r="L1251" i="16"/>
  <c r="L1252" i="16"/>
  <c r="L1253" i="16"/>
  <c r="L1254" i="16"/>
  <c r="L1255" i="16"/>
  <c r="L1256" i="16"/>
  <c r="L1257" i="16"/>
  <c r="L1258" i="16"/>
  <c r="L1259" i="16"/>
  <c r="L1260" i="16"/>
  <c r="L1261" i="16"/>
  <c r="L1262" i="16"/>
  <c r="L1263" i="16"/>
  <c r="L1264" i="16"/>
  <c r="L1265" i="16"/>
  <c r="L1266" i="16"/>
  <c r="L1267" i="16"/>
  <c r="L1268" i="16"/>
  <c r="L1269" i="16"/>
  <c r="L1270" i="16"/>
  <c r="L1271" i="16"/>
  <c r="L1272" i="16"/>
  <c r="L1273" i="16"/>
  <c r="L1274" i="16"/>
  <c r="L1275" i="16"/>
  <c r="L1276" i="16"/>
  <c r="L1277" i="16"/>
  <c r="L1278" i="16"/>
  <c r="L1279" i="16"/>
  <c r="L1280" i="16"/>
  <c r="L1281" i="16"/>
  <c r="L1282" i="16"/>
  <c r="L1283" i="16"/>
  <c r="L1284" i="16"/>
  <c r="L1285" i="16"/>
  <c r="L1286" i="16"/>
  <c r="L1287" i="16"/>
  <c r="L1288" i="16"/>
  <c r="L1289" i="16"/>
  <c r="L1290" i="16"/>
  <c r="L1291" i="16"/>
  <c r="L1292" i="16"/>
  <c r="L1293" i="16"/>
  <c r="L1294" i="16"/>
  <c r="L1295" i="16"/>
  <c r="L1296" i="16"/>
  <c r="L1297" i="16"/>
  <c r="L1298" i="16"/>
  <c r="L1299" i="16"/>
  <c r="L1300" i="16"/>
  <c r="L1301" i="16"/>
  <c r="L1302" i="16"/>
  <c r="L1303" i="16"/>
  <c r="L1304" i="16"/>
  <c r="L1305" i="16"/>
  <c r="L1306" i="16"/>
  <c r="L1307" i="16"/>
  <c r="L1308" i="16"/>
  <c r="L1309" i="16"/>
  <c r="L1310" i="16"/>
  <c r="L1311" i="16"/>
  <c r="L1312" i="16"/>
  <c r="L1313" i="16"/>
  <c r="L1314" i="16"/>
  <c r="L1315" i="16"/>
  <c r="L1316" i="16"/>
  <c r="L1317" i="16"/>
  <c r="L1318" i="16"/>
  <c r="L1319" i="16"/>
  <c r="L1320" i="16"/>
  <c r="L1321" i="16"/>
  <c r="L1322" i="16"/>
  <c r="L1323" i="16"/>
  <c r="L1324" i="16"/>
  <c r="L1325" i="16"/>
  <c r="L1326" i="16"/>
  <c r="L1327" i="16"/>
  <c r="L1328" i="16"/>
  <c r="L1329" i="16"/>
  <c r="L1330" i="16"/>
  <c r="L1331" i="16"/>
  <c r="L1332" i="16"/>
  <c r="L1333" i="16"/>
  <c r="L1334" i="16"/>
  <c r="L1335" i="16"/>
  <c r="L1336" i="16"/>
  <c r="L1337" i="16"/>
  <c r="L1338" i="16"/>
  <c r="L1339" i="16"/>
  <c r="L1340" i="16"/>
  <c r="L1341" i="16"/>
  <c r="L1342" i="16"/>
  <c r="L1343" i="16"/>
  <c r="L1344" i="16"/>
  <c r="L1345" i="16"/>
  <c r="L1346" i="16"/>
  <c r="L1347" i="16"/>
  <c r="L1348" i="16"/>
  <c r="L1349" i="16"/>
  <c r="L1350" i="16"/>
  <c r="L1351" i="16"/>
  <c r="L1352" i="16"/>
  <c r="L1353" i="16"/>
  <c r="L1354" i="16"/>
  <c r="L1355" i="16"/>
  <c r="L1356" i="16"/>
  <c r="L1357" i="16"/>
  <c r="L1358" i="16"/>
  <c r="L1359" i="16"/>
  <c r="L1360" i="16"/>
  <c r="L1361" i="16"/>
  <c r="L1362" i="16"/>
  <c r="L1363" i="16"/>
  <c r="L1364" i="16"/>
  <c r="L1365" i="16"/>
  <c r="L1366" i="16"/>
  <c r="L1367" i="16"/>
  <c r="L1368" i="16"/>
  <c r="L1369" i="16"/>
  <c r="L1370" i="16"/>
  <c r="L1371" i="16"/>
  <c r="L1372" i="16"/>
  <c r="L1373" i="16"/>
  <c r="L1374" i="16"/>
  <c r="L1375" i="16"/>
  <c r="L1376" i="16"/>
  <c r="L1377" i="16"/>
  <c r="L1378" i="16"/>
  <c r="L1379" i="16"/>
  <c r="L1380" i="16"/>
  <c r="L1381" i="16"/>
  <c r="L1382" i="16"/>
  <c r="L1383" i="16"/>
  <c r="L1384" i="16"/>
  <c r="L1385" i="16"/>
  <c r="L1386" i="16"/>
  <c r="L1387" i="16"/>
  <c r="L1388" i="16"/>
  <c r="L1389" i="16"/>
  <c r="L1390" i="16"/>
  <c r="L1391" i="16"/>
  <c r="L1392" i="16"/>
  <c r="L1393" i="16"/>
  <c r="L1394" i="16"/>
  <c r="L1395" i="16"/>
  <c r="L1396" i="16"/>
  <c r="L1397" i="16"/>
  <c r="L1398" i="16"/>
  <c r="L1399" i="16"/>
  <c r="L1400" i="16"/>
  <c r="L1401" i="16"/>
  <c r="L1402" i="16"/>
  <c r="L1403" i="16"/>
  <c r="L1404" i="16"/>
  <c r="L1405" i="16"/>
  <c r="L1406" i="16"/>
  <c r="L1407" i="16"/>
  <c r="L1408" i="16"/>
  <c r="L1409" i="16"/>
  <c r="L1410" i="16"/>
  <c r="L1411" i="16"/>
  <c r="L1412" i="16"/>
  <c r="L1413" i="16"/>
  <c r="L1414" i="16"/>
  <c r="L1415" i="16"/>
  <c r="L1416" i="16"/>
  <c r="L1417" i="16"/>
  <c r="L1418" i="16"/>
  <c r="L1419" i="16"/>
  <c r="L1420" i="16"/>
  <c r="L1421" i="16"/>
  <c r="L1422" i="16"/>
  <c r="L1423" i="16"/>
  <c r="L1424" i="16"/>
  <c r="L1425" i="16"/>
  <c r="L1426" i="16"/>
  <c r="L1427" i="16"/>
  <c r="L1428" i="16"/>
  <c r="L1429" i="16"/>
  <c r="L1430" i="16"/>
  <c r="L1431" i="16"/>
  <c r="L1432" i="16"/>
  <c r="L1433" i="16"/>
  <c r="L1434" i="16"/>
  <c r="L1435" i="16"/>
  <c r="L1436" i="16"/>
  <c r="L1437" i="16"/>
  <c r="L1438" i="16"/>
  <c r="L1439" i="16"/>
  <c r="L1440" i="16"/>
  <c r="L1441" i="16"/>
  <c r="L1442" i="16"/>
  <c r="L1443" i="16"/>
  <c r="L1444" i="16"/>
  <c r="L1445" i="16"/>
  <c r="L1446" i="16"/>
  <c r="L1447" i="16"/>
  <c r="L1448" i="16"/>
  <c r="L1449" i="16"/>
  <c r="L1450" i="16"/>
  <c r="L1451" i="16"/>
  <c r="L1452" i="16"/>
  <c r="L1453" i="16"/>
  <c r="L1454" i="16"/>
  <c r="L1455" i="16"/>
  <c r="L1456" i="16"/>
  <c r="L1457" i="16"/>
  <c r="L1458" i="16"/>
  <c r="L1459" i="16"/>
  <c r="L1460" i="16"/>
  <c r="L1461" i="16"/>
  <c r="L1462" i="16"/>
  <c r="L1463" i="16"/>
  <c r="L1464" i="16"/>
  <c r="L1465" i="16"/>
  <c r="L1466" i="16"/>
  <c r="L1467" i="16"/>
  <c r="L1468" i="16"/>
  <c r="L1469" i="16"/>
  <c r="L1470" i="16"/>
  <c r="L1471" i="16"/>
  <c r="L1472" i="16"/>
  <c r="L1473" i="16"/>
  <c r="L1474" i="16"/>
  <c r="L1475" i="16"/>
  <c r="L1476" i="16"/>
  <c r="L1477" i="16"/>
  <c r="L1478" i="16"/>
  <c r="L1479" i="16"/>
  <c r="L1480" i="16"/>
  <c r="L1481" i="16"/>
  <c r="L1482" i="16"/>
  <c r="L1483" i="16"/>
  <c r="L1484" i="16"/>
  <c r="L1485" i="16"/>
  <c r="L1486" i="16"/>
  <c r="L1487" i="16"/>
  <c r="L1488" i="16"/>
  <c r="L1489" i="16"/>
  <c r="L1490" i="16"/>
  <c r="L1491" i="16"/>
  <c r="L1492" i="16"/>
  <c r="L1493" i="16"/>
  <c r="L1494" i="16"/>
  <c r="L1495" i="16"/>
  <c r="L1496" i="16"/>
  <c r="L1497" i="16"/>
  <c r="L1498" i="16"/>
  <c r="L1499" i="16"/>
  <c r="L1500" i="16"/>
  <c r="L1501" i="16"/>
  <c r="L1502" i="16"/>
  <c r="L1503" i="16"/>
  <c r="L1504" i="16"/>
  <c r="L1505" i="16"/>
  <c r="L1506" i="16"/>
  <c r="L1507" i="16"/>
  <c r="L1508" i="16"/>
  <c r="L1509" i="16"/>
  <c r="L1510" i="16"/>
  <c r="L1511" i="16"/>
  <c r="L1512" i="16"/>
  <c r="L1513" i="16"/>
  <c r="L1514" i="16"/>
  <c r="L1515" i="16"/>
  <c r="L1516" i="16"/>
  <c r="L1517" i="16"/>
  <c r="L1518" i="16"/>
  <c r="L1519" i="16"/>
  <c r="L1520" i="16"/>
  <c r="L1521" i="16"/>
  <c r="L1522" i="16"/>
  <c r="L1523" i="16"/>
  <c r="L1524" i="16"/>
  <c r="L1525" i="16"/>
  <c r="L1526" i="16"/>
  <c r="L1527" i="16"/>
  <c r="L1528" i="16"/>
  <c r="L1529" i="16"/>
  <c r="L1530" i="16"/>
  <c r="L1531" i="16"/>
  <c r="L1532" i="16"/>
  <c r="L1533" i="16"/>
  <c r="L1534" i="16"/>
  <c r="L1535" i="16"/>
  <c r="L1536" i="16"/>
  <c r="L1537" i="16"/>
  <c r="L1538" i="16"/>
  <c r="L1539" i="16"/>
  <c r="L1540" i="16"/>
  <c r="L1541" i="16"/>
  <c r="L1542" i="16"/>
  <c r="L1543" i="16"/>
  <c r="L1544" i="16"/>
  <c r="L1545" i="16"/>
  <c r="L1546" i="16"/>
  <c r="L1547" i="16"/>
  <c r="L1548" i="16"/>
  <c r="L1549" i="16"/>
  <c r="L1550" i="16"/>
  <c r="L1551" i="16"/>
  <c r="L1552" i="16"/>
  <c r="L1553" i="16"/>
  <c r="L1554" i="16"/>
  <c r="L1555" i="16"/>
  <c r="L1556" i="16"/>
  <c r="L1557" i="16"/>
  <c r="L1558" i="16"/>
  <c r="L1559" i="16"/>
  <c r="L1560" i="16"/>
  <c r="L1561" i="16"/>
  <c r="L1562" i="16"/>
  <c r="L1563" i="16"/>
  <c r="L1564" i="16"/>
  <c r="L1565" i="16"/>
  <c r="L1566" i="16"/>
  <c r="L1567" i="16"/>
  <c r="L1568" i="16"/>
  <c r="L1569" i="16"/>
  <c r="L1570" i="16"/>
  <c r="L1571" i="16"/>
  <c r="L1572" i="16"/>
  <c r="L1573" i="16"/>
  <c r="L1574" i="16"/>
  <c r="L1575" i="16"/>
  <c r="L1576" i="16"/>
  <c r="L1577" i="16"/>
  <c r="L1578" i="16"/>
  <c r="L1579" i="16"/>
  <c r="L1580" i="16"/>
  <c r="L1581" i="16"/>
  <c r="L1582" i="16"/>
  <c r="L1583" i="16"/>
  <c r="L1584" i="16"/>
  <c r="L1585" i="16"/>
  <c r="L1586" i="16"/>
  <c r="L1587" i="16"/>
  <c r="L1588" i="16"/>
  <c r="L1589" i="16"/>
  <c r="L1590" i="16"/>
  <c r="L1591" i="16"/>
  <c r="L1592" i="16"/>
  <c r="L1593" i="16"/>
  <c r="L1594" i="16"/>
  <c r="L1595" i="16"/>
  <c r="L1596" i="16"/>
  <c r="L1597" i="16"/>
  <c r="L1598" i="16"/>
  <c r="L1599" i="16"/>
  <c r="L1600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447" i="5"/>
  <c r="J447" i="5" s="1"/>
  <c r="K448" i="5"/>
  <c r="O448" i="5" s="1"/>
  <c r="K449" i="5"/>
  <c r="N449" i="5" s="1"/>
  <c r="K450" i="5"/>
  <c r="K451" i="5"/>
  <c r="J451" i="5" s="1"/>
  <c r="K452" i="5"/>
  <c r="L452" i="5" s="1"/>
  <c r="AT1228" i="2"/>
  <c r="AG1228" i="2"/>
  <c r="AH1228" i="2" s="1"/>
  <c r="AF1228" i="2"/>
  <c r="N1228" i="16" s="1"/>
  <c r="AE1228" i="2"/>
  <c r="AB1228" i="2"/>
  <c r="J1228" i="16" s="1"/>
  <c r="AG1228" i="16" s="1"/>
  <c r="AA1228" i="2"/>
  <c r="Z1228" i="2"/>
  <c r="B1228" i="16" s="1"/>
  <c r="Y1228" i="2"/>
  <c r="U1228" i="2"/>
  <c r="H1228" i="16" s="1"/>
  <c r="T1228" i="2"/>
  <c r="A1228" i="16" s="1"/>
  <c r="AT1227" i="2"/>
  <c r="AG1227" i="2"/>
  <c r="AN1227" i="2" s="1"/>
  <c r="AF1227" i="2"/>
  <c r="N1227" i="16" s="1"/>
  <c r="AE1227" i="2"/>
  <c r="AB1227" i="2"/>
  <c r="J1227" i="16" s="1"/>
  <c r="AG1227" i="16" s="1"/>
  <c r="AA1227" i="2"/>
  <c r="Z1227" i="2"/>
  <c r="B1227" i="16" s="1"/>
  <c r="Y1227" i="2"/>
  <c r="U1227" i="2"/>
  <c r="H1227" i="16" s="1"/>
  <c r="T1227" i="2"/>
  <c r="A1227" i="16" s="1"/>
  <c r="AT1226" i="2"/>
  <c r="AG1226" i="2"/>
  <c r="AN1226" i="2" s="1"/>
  <c r="AF1226" i="2"/>
  <c r="N1226" i="16" s="1"/>
  <c r="AE1226" i="2"/>
  <c r="AB1226" i="2"/>
  <c r="J1226" i="16" s="1"/>
  <c r="AG1226" i="16" s="1"/>
  <c r="AA1226" i="2"/>
  <c r="Z1226" i="2"/>
  <c r="B1226" i="16" s="1"/>
  <c r="Y1226" i="2"/>
  <c r="U1226" i="2"/>
  <c r="H1226" i="16" s="1"/>
  <c r="T1226" i="2"/>
  <c r="A1226" i="16" s="1"/>
  <c r="AT1225" i="2"/>
  <c r="AG1225" i="2"/>
  <c r="O1225" i="16" s="1"/>
  <c r="AF1225" i="2"/>
  <c r="N1225" i="16" s="1"/>
  <c r="AE1225" i="2"/>
  <c r="AB1225" i="2"/>
  <c r="J1225" i="16" s="1"/>
  <c r="AG1225" i="16" s="1"/>
  <c r="AA1225" i="2"/>
  <c r="Z1225" i="2"/>
  <c r="B1225" i="16" s="1"/>
  <c r="Y1225" i="2"/>
  <c r="U1225" i="2"/>
  <c r="H1225" i="16" s="1"/>
  <c r="T1225" i="2"/>
  <c r="A1225" i="16" s="1"/>
  <c r="AT1224" i="2"/>
  <c r="AG1224" i="2"/>
  <c r="AF1224" i="2"/>
  <c r="N1224" i="16" s="1"/>
  <c r="AE1224" i="2"/>
  <c r="AB1224" i="2"/>
  <c r="J1224" i="16" s="1"/>
  <c r="AG1224" i="16" s="1"/>
  <c r="AA1224" i="2"/>
  <c r="Z1224" i="2"/>
  <c r="B1224" i="16" s="1"/>
  <c r="Y1224" i="2"/>
  <c r="U1224" i="2"/>
  <c r="H1224" i="16" s="1"/>
  <c r="T1224" i="2"/>
  <c r="A1224" i="16" s="1"/>
  <c r="AT1223" i="2"/>
  <c r="AG1223" i="2"/>
  <c r="O1223" i="16" s="1"/>
  <c r="AF1223" i="2"/>
  <c r="N1223" i="16" s="1"/>
  <c r="AE1223" i="2"/>
  <c r="AB1223" i="2"/>
  <c r="J1223" i="16" s="1"/>
  <c r="AG1223" i="16" s="1"/>
  <c r="AA1223" i="2"/>
  <c r="Z1223" i="2"/>
  <c r="B1223" i="16" s="1"/>
  <c r="Y1223" i="2"/>
  <c r="U1223" i="2"/>
  <c r="H1223" i="16" s="1"/>
  <c r="T1223" i="2"/>
  <c r="A1223" i="16" s="1"/>
  <c r="AT1222" i="2"/>
  <c r="AG1222" i="2"/>
  <c r="AH1222" i="2" s="1"/>
  <c r="P1222" i="16" s="1"/>
  <c r="AF1222" i="2"/>
  <c r="N1222" i="16" s="1"/>
  <c r="AE1222" i="2"/>
  <c r="AB1222" i="2"/>
  <c r="J1222" i="16" s="1"/>
  <c r="AG1222" i="16" s="1"/>
  <c r="AA1222" i="2"/>
  <c r="Z1222" i="2"/>
  <c r="B1222" i="16" s="1"/>
  <c r="Y1222" i="2"/>
  <c r="U1222" i="2"/>
  <c r="H1222" i="16" s="1"/>
  <c r="T1222" i="2"/>
  <c r="A1222" i="16" s="1"/>
  <c r="AT1221" i="2"/>
  <c r="AG1221" i="2"/>
  <c r="AN1221" i="2" s="1"/>
  <c r="AF1221" i="2"/>
  <c r="N1221" i="16" s="1"/>
  <c r="AE1221" i="2"/>
  <c r="AB1221" i="2"/>
  <c r="J1221" i="16" s="1"/>
  <c r="AG1221" i="16" s="1"/>
  <c r="AA1221" i="2"/>
  <c r="Z1221" i="2"/>
  <c r="B1221" i="16" s="1"/>
  <c r="Y1221" i="2"/>
  <c r="U1221" i="2"/>
  <c r="H1221" i="16" s="1"/>
  <c r="T1221" i="2"/>
  <c r="A1221" i="16" s="1"/>
  <c r="AT1220" i="2"/>
  <c r="AG1220" i="2"/>
  <c r="O1220" i="16" s="1"/>
  <c r="AF1220" i="2"/>
  <c r="N1220" i="16" s="1"/>
  <c r="AE1220" i="2"/>
  <c r="AB1220" i="2"/>
  <c r="J1220" i="16" s="1"/>
  <c r="AG1220" i="16" s="1"/>
  <c r="AA1220" i="2"/>
  <c r="Z1220" i="2"/>
  <c r="B1220" i="16" s="1"/>
  <c r="Y1220" i="2"/>
  <c r="U1220" i="2"/>
  <c r="H1220" i="16" s="1"/>
  <c r="T1220" i="2"/>
  <c r="A1220" i="16" s="1"/>
  <c r="AT1219" i="2"/>
  <c r="AG1219" i="2"/>
  <c r="AF1219" i="2"/>
  <c r="N1219" i="16" s="1"/>
  <c r="AE1219" i="2"/>
  <c r="AB1219" i="2"/>
  <c r="J1219" i="16" s="1"/>
  <c r="AG1219" i="16" s="1"/>
  <c r="AA1219" i="2"/>
  <c r="Z1219" i="2"/>
  <c r="B1219" i="16" s="1"/>
  <c r="Y1219" i="2"/>
  <c r="U1219" i="2"/>
  <c r="H1219" i="16" s="1"/>
  <c r="T1219" i="2"/>
  <c r="A1219" i="16" s="1"/>
  <c r="AT1218" i="2"/>
  <c r="AG1218" i="2"/>
  <c r="AF1218" i="2"/>
  <c r="N1218" i="16" s="1"/>
  <c r="AE1218" i="2"/>
  <c r="AB1218" i="2"/>
  <c r="J1218" i="16" s="1"/>
  <c r="AG1218" i="16" s="1"/>
  <c r="AA1218" i="2"/>
  <c r="Z1218" i="2"/>
  <c r="B1218" i="16" s="1"/>
  <c r="Y1218" i="2"/>
  <c r="U1218" i="2"/>
  <c r="H1218" i="16" s="1"/>
  <c r="T1218" i="2"/>
  <c r="A1218" i="16" s="1"/>
  <c r="AT1217" i="2"/>
  <c r="AG1217" i="2"/>
  <c r="AL1217" i="2" s="1"/>
  <c r="AF1217" i="2"/>
  <c r="N1217" i="16" s="1"/>
  <c r="AE1217" i="2"/>
  <c r="AB1217" i="2"/>
  <c r="J1217" i="16" s="1"/>
  <c r="AG1217" i="16" s="1"/>
  <c r="AA1217" i="2"/>
  <c r="Z1217" i="2"/>
  <c r="B1217" i="16" s="1"/>
  <c r="Y1217" i="2"/>
  <c r="U1217" i="2"/>
  <c r="H1217" i="16" s="1"/>
  <c r="T1217" i="2"/>
  <c r="A1217" i="16" s="1"/>
  <c r="AT1216" i="2"/>
  <c r="AG1216" i="2"/>
  <c r="AH1216" i="2" s="1"/>
  <c r="AF1216" i="2"/>
  <c r="N1216" i="16" s="1"/>
  <c r="AE1216" i="2"/>
  <c r="AB1216" i="2"/>
  <c r="J1216" i="16" s="1"/>
  <c r="AG1216" i="16" s="1"/>
  <c r="AA1216" i="2"/>
  <c r="Z1216" i="2"/>
  <c r="B1216" i="16" s="1"/>
  <c r="Y1216" i="2"/>
  <c r="U1216" i="2"/>
  <c r="T1216" i="2"/>
  <c r="A1216" i="16" s="1"/>
  <c r="AT1215" i="2"/>
  <c r="AG1215" i="2"/>
  <c r="AF1215" i="2"/>
  <c r="N1215" i="16" s="1"/>
  <c r="AE1215" i="2"/>
  <c r="AB1215" i="2"/>
  <c r="AA1215" i="2"/>
  <c r="Z1215" i="2"/>
  <c r="Y1215" i="2"/>
  <c r="U1215" i="2"/>
  <c r="H1215" i="16" s="1"/>
  <c r="T1215" i="2"/>
  <c r="A1215" i="16" s="1"/>
  <c r="AT1214" i="2"/>
  <c r="AG1214" i="2"/>
  <c r="AN1214" i="2" s="1"/>
  <c r="AF1214" i="2"/>
  <c r="N1214" i="16" s="1"/>
  <c r="AE1214" i="2"/>
  <c r="AB1214" i="2"/>
  <c r="J1214" i="16" s="1"/>
  <c r="AG1214" i="16" s="1"/>
  <c r="AA1214" i="2"/>
  <c r="Z1214" i="2"/>
  <c r="B1214" i="16" s="1"/>
  <c r="Y1214" i="2"/>
  <c r="U1214" i="2"/>
  <c r="H1214" i="16" s="1"/>
  <c r="T1214" i="2"/>
  <c r="A1214" i="16" s="1"/>
  <c r="AT1213" i="2"/>
  <c r="AB1213" i="2"/>
  <c r="J1213" i="16" s="1"/>
  <c r="AG1213" i="16" s="1"/>
  <c r="AT1212" i="2"/>
  <c r="AG1212" i="2"/>
  <c r="AH1212" i="2" s="1"/>
  <c r="AF1212" i="2"/>
  <c r="AE1212" i="2"/>
  <c r="AE1213" i="2" s="1"/>
  <c r="AB1212" i="2"/>
  <c r="J1212" i="16" s="1"/>
  <c r="AG1212" i="16" s="1"/>
  <c r="AA1212" i="2"/>
  <c r="AA1213" i="2" s="1"/>
  <c r="Z1212" i="2"/>
  <c r="Z1213" i="2" s="1"/>
  <c r="B1213" i="16" s="1"/>
  <c r="Y1212" i="2"/>
  <c r="Y1213" i="2" s="1"/>
  <c r="U1212" i="2"/>
  <c r="T1212" i="2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558" i="16"/>
  <c r="G559" i="16"/>
  <c r="G560" i="16"/>
  <c r="G561" i="16"/>
  <c r="G562" i="16"/>
  <c r="G563" i="16"/>
  <c r="G564" i="16"/>
  <c r="G565" i="16"/>
  <c r="G566" i="16"/>
  <c r="G567" i="16"/>
  <c r="G568" i="16"/>
  <c r="G569" i="16"/>
  <c r="G570" i="16"/>
  <c r="G571" i="16"/>
  <c r="G572" i="16"/>
  <c r="G573" i="16"/>
  <c r="G574" i="16"/>
  <c r="G575" i="16"/>
  <c r="G576" i="16"/>
  <c r="G577" i="16"/>
  <c r="G578" i="16"/>
  <c r="G579" i="16"/>
  <c r="G580" i="16"/>
  <c r="G581" i="16"/>
  <c r="G582" i="16"/>
  <c r="G583" i="16"/>
  <c r="G584" i="16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97" i="16"/>
  <c r="G598" i="16"/>
  <c r="G599" i="16"/>
  <c r="G600" i="16"/>
  <c r="G601" i="16"/>
  <c r="G602" i="16"/>
  <c r="G603" i="16"/>
  <c r="G604" i="16"/>
  <c r="G605" i="16"/>
  <c r="G606" i="16"/>
  <c r="G607" i="16"/>
  <c r="G608" i="16"/>
  <c r="G609" i="16"/>
  <c r="G610" i="16"/>
  <c r="G611" i="16"/>
  <c r="G612" i="16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G629" i="16"/>
  <c r="G630" i="16"/>
  <c r="G631" i="16"/>
  <c r="G632" i="16"/>
  <c r="G633" i="16"/>
  <c r="G634" i="16"/>
  <c r="G635" i="16"/>
  <c r="G636" i="16"/>
  <c r="G637" i="16"/>
  <c r="G638" i="16"/>
  <c r="G639" i="16"/>
  <c r="G640" i="16"/>
  <c r="G641" i="16"/>
  <c r="G642" i="16"/>
  <c r="G643" i="16"/>
  <c r="G644" i="16"/>
  <c r="G645" i="16"/>
  <c r="G646" i="16"/>
  <c r="G647" i="16"/>
  <c r="G648" i="16"/>
  <c r="G649" i="16"/>
  <c r="G650" i="16"/>
  <c r="G651" i="16"/>
  <c r="G652" i="16"/>
  <c r="G653" i="16"/>
  <c r="G654" i="16"/>
  <c r="G655" i="16"/>
  <c r="G656" i="16"/>
  <c r="G657" i="16"/>
  <c r="G658" i="16"/>
  <c r="G659" i="16"/>
  <c r="G660" i="16"/>
  <c r="G661" i="16"/>
  <c r="G662" i="16"/>
  <c r="G663" i="16"/>
  <c r="G664" i="16"/>
  <c r="G665" i="16"/>
  <c r="G666" i="16"/>
  <c r="G667" i="16"/>
  <c r="G668" i="16"/>
  <c r="G669" i="16"/>
  <c r="G670" i="16"/>
  <c r="G671" i="16"/>
  <c r="G672" i="16"/>
  <c r="G673" i="16"/>
  <c r="G674" i="16"/>
  <c r="G675" i="16"/>
  <c r="G676" i="16"/>
  <c r="G677" i="16"/>
  <c r="G678" i="16"/>
  <c r="G679" i="16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3" i="16"/>
  <c r="G694" i="16"/>
  <c r="G695" i="16"/>
  <c r="G696" i="16"/>
  <c r="G697" i="16"/>
  <c r="G698" i="16"/>
  <c r="G699" i="16"/>
  <c r="G700" i="16"/>
  <c r="G701" i="16"/>
  <c r="G702" i="16"/>
  <c r="G703" i="16"/>
  <c r="G704" i="16"/>
  <c r="G705" i="16"/>
  <c r="G706" i="16"/>
  <c r="G707" i="16"/>
  <c r="G708" i="16"/>
  <c r="G709" i="16"/>
  <c r="G710" i="16"/>
  <c r="G711" i="16"/>
  <c r="G712" i="16"/>
  <c r="G713" i="16"/>
  <c r="G714" i="16"/>
  <c r="G715" i="16"/>
  <c r="G716" i="16"/>
  <c r="G717" i="16"/>
  <c r="G718" i="16"/>
  <c r="G719" i="16"/>
  <c r="G720" i="16"/>
  <c r="G721" i="16"/>
  <c r="G722" i="16"/>
  <c r="G723" i="16"/>
  <c r="G724" i="16"/>
  <c r="G725" i="16"/>
  <c r="G726" i="16"/>
  <c r="G727" i="16"/>
  <c r="G728" i="16"/>
  <c r="G729" i="16"/>
  <c r="G730" i="16"/>
  <c r="G731" i="16"/>
  <c r="G732" i="16"/>
  <c r="G733" i="16"/>
  <c r="G734" i="16"/>
  <c r="G735" i="16"/>
  <c r="G736" i="16"/>
  <c r="G737" i="16"/>
  <c r="G738" i="16"/>
  <c r="G739" i="16"/>
  <c r="G740" i="16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754" i="16"/>
  <c r="G755" i="16"/>
  <c r="G756" i="16"/>
  <c r="G757" i="16"/>
  <c r="G758" i="16"/>
  <c r="G759" i="16"/>
  <c r="G760" i="16"/>
  <c r="G761" i="16"/>
  <c r="G762" i="16"/>
  <c r="G763" i="16"/>
  <c r="G764" i="16"/>
  <c r="G765" i="16"/>
  <c r="G766" i="16"/>
  <c r="G767" i="16"/>
  <c r="G768" i="16"/>
  <c r="G769" i="16"/>
  <c r="G770" i="16"/>
  <c r="G771" i="16"/>
  <c r="G772" i="16"/>
  <c r="G773" i="16"/>
  <c r="G774" i="16"/>
  <c r="G775" i="16"/>
  <c r="G776" i="16"/>
  <c r="G777" i="16"/>
  <c r="G778" i="16"/>
  <c r="G779" i="16"/>
  <c r="G780" i="16"/>
  <c r="G781" i="16"/>
  <c r="G782" i="16"/>
  <c r="G783" i="16"/>
  <c r="G784" i="16"/>
  <c r="G785" i="16"/>
  <c r="G786" i="16"/>
  <c r="G787" i="16"/>
  <c r="G788" i="16"/>
  <c r="G789" i="16"/>
  <c r="G790" i="16"/>
  <c r="G791" i="16"/>
  <c r="G792" i="16"/>
  <c r="G793" i="16"/>
  <c r="G794" i="16"/>
  <c r="G795" i="16"/>
  <c r="G796" i="16"/>
  <c r="G797" i="16"/>
  <c r="G798" i="16"/>
  <c r="G799" i="16"/>
  <c r="G800" i="16"/>
  <c r="G801" i="16"/>
  <c r="G802" i="16"/>
  <c r="G803" i="16"/>
  <c r="G804" i="16"/>
  <c r="G805" i="16"/>
  <c r="G806" i="16"/>
  <c r="G807" i="16"/>
  <c r="G808" i="16"/>
  <c r="G809" i="16"/>
  <c r="G810" i="16"/>
  <c r="G811" i="16"/>
  <c r="G812" i="16"/>
  <c r="G813" i="16"/>
  <c r="G814" i="16"/>
  <c r="G815" i="16"/>
  <c r="G816" i="16"/>
  <c r="G817" i="16"/>
  <c r="G818" i="16"/>
  <c r="G819" i="16"/>
  <c r="G820" i="16"/>
  <c r="G821" i="16"/>
  <c r="G822" i="16"/>
  <c r="G823" i="16"/>
  <c r="G824" i="16"/>
  <c r="G825" i="16"/>
  <c r="G826" i="16"/>
  <c r="G827" i="16"/>
  <c r="G828" i="16"/>
  <c r="G829" i="16"/>
  <c r="G830" i="16"/>
  <c r="G831" i="16"/>
  <c r="G832" i="16"/>
  <c r="G833" i="16"/>
  <c r="G834" i="16"/>
  <c r="G835" i="16"/>
  <c r="G836" i="16"/>
  <c r="G837" i="16"/>
  <c r="G838" i="16"/>
  <c r="G839" i="16"/>
  <c r="G840" i="16"/>
  <c r="G841" i="16"/>
  <c r="G842" i="16"/>
  <c r="G843" i="16"/>
  <c r="G844" i="16"/>
  <c r="G845" i="16"/>
  <c r="G846" i="16"/>
  <c r="G847" i="16"/>
  <c r="G848" i="16"/>
  <c r="G849" i="16"/>
  <c r="G850" i="16"/>
  <c r="G851" i="16"/>
  <c r="G852" i="16"/>
  <c r="G853" i="16"/>
  <c r="G854" i="16"/>
  <c r="G855" i="16"/>
  <c r="G856" i="16"/>
  <c r="G857" i="16"/>
  <c r="G858" i="16"/>
  <c r="G859" i="16"/>
  <c r="G860" i="16"/>
  <c r="G861" i="16"/>
  <c r="G862" i="16"/>
  <c r="G863" i="16"/>
  <c r="G864" i="16"/>
  <c r="G865" i="16"/>
  <c r="G866" i="16"/>
  <c r="G867" i="16"/>
  <c r="G868" i="16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81" i="16"/>
  <c r="G882" i="16"/>
  <c r="G883" i="16"/>
  <c r="G884" i="16"/>
  <c r="G885" i="16"/>
  <c r="G886" i="16"/>
  <c r="G887" i="16"/>
  <c r="G888" i="16"/>
  <c r="G889" i="16"/>
  <c r="G890" i="16"/>
  <c r="G891" i="16"/>
  <c r="G892" i="16"/>
  <c r="G893" i="16"/>
  <c r="G894" i="16"/>
  <c r="G895" i="16"/>
  <c r="G896" i="16"/>
  <c r="G897" i="16"/>
  <c r="G898" i="16"/>
  <c r="G899" i="16"/>
  <c r="G900" i="16"/>
  <c r="G901" i="16"/>
  <c r="G902" i="16"/>
  <c r="G903" i="16"/>
  <c r="G904" i="16"/>
  <c r="G905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1" i="16"/>
  <c r="G922" i="16"/>
  <c r="G923" i="16"/>
  <c r="G924" i="16"/>
  <c r="G925" i="16"/>
  <c r="G926" i="16"/>
  <c r="G927" i="16"/>
  <c r="G928" i="16"/>
  <c r="G929" i="16"/>
  <c r="G930" i="16"/>
  <c r="G931" i="16"/>
  <c r="G932" i="16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G947" i="16"/>
  <c r="G948" i="16"/>
  <c r="G949" i="16"/>
  <c r="G950" i="16"/>
  <c r="G951" i="16"/>
  <c r="G952" i="16"/>
  <c r="G953" i="16"/>
  <c r="G954" i="16"/>
  <c r="G955" i="16"/>
  <c r="G956" i="16"/>
  <c r="G957" i="16"/>
  <c r="G958" i="16"/>
  <c r="G959" i="16"/>
  <c r="G960" i="16"/>
  <c r="G961" i="16"/>
  <c r="G962" i="16"/>
  <c r="G963" i="16"/>
  <c r="G964" i="16"/>
  <c r="G965" i="16"/>
  <c r="G966" i="16"/>
  <c r="G967" i="16"/>
  <c r="G968" i="16"/>
  <c r="G969" i="16"/>
  <c r="G970" i="16"/>
  <c r="G971" i="16"/>
  <c r="G972" i="16"/>
  <c r="G973" i="16"/>
  <c r="G974" i="16"/>
  <c r="G975" i="16"/>
  <c r="G976" i="16"/>
  <c r="G977" i="16"/>
  <c r="G978" i="16"/>
  <c r="G979" i="16"/>
  <c r="G980" i="16"/>
  <c r="G981" i="16"/>
  <c r="G982" i="16"/>
  <c r="G983" i="16"/>
  <c r="G984" i="16"/>
  <c r="G985" i="16"/>
  <c r="G986" i="16"/>
  <c r="G987" i="16"/>
  <c r="G988" i="16"/>
  <c r="G989" i="16"/>
  <c r="G990" i="16"/>
  <c r="G991" i="16"/>
  <c r="G992" i="16"/>
  <c r="G993" i="16"/>
  <c r="G994" i="16"/>
  <c r="G995" i="16"/>
  <c r="G996" i="16"/>
  <c r="G997" i="16"/>
  <c r="G998" i="16"/>
  <c r="G999" i="16"/>
  <c r="G1000" i="16"/>
  <c r="G1001" i="16"/>
  <c r="G1002" i="16"/>
  <c r="G1003" i="16"/>
  <c r="G1004" i="16"/>
  <c r="G1005" i="16"/>
  <c r="G1006" i="16"/>
  <c r="G1007" i="16"/>
  <c r="G1008" i="16"/>
  <c r="G1009" i="16"/>
  <c r="G1010" i="16"/>
  <c r="G1011" i="16"/>
  <c r="G1012" i="16"/>
  <c r="G1013" i="16"/>
  <c r="G1014" i="16"/>
  <c r="G1015" i="16"/>
  <c r="G1016" i="16"/>
  <c r="G1017" i="16"/>
  <c r="G1018" i="16"/>
  <c r="G1019" i="16"/>
  <c r="G1020" i="16"/>
  <c r="G1021" i="16"/>
  <c r="G1022" i="16"/>
  <c r="G1023" i="16"/>
  <c r="G1024" i="16"/>
  <c r="G1025" i="16"/>
  <c r="G1026" i="16"/>
  <c r="G1027" i="16"/>
  <c r="G1028" i="16"/>
  <c r="G1029" i="16"/>
  <c r="G1030" i="16"/>
  <c r="G1031" i="16"/>
  <c r="G1032" i="16"/>
  <c r="G1033" i="16"/>
  <c r="G1034" i="16"/>
  <c r="G1035" i="16"/>
  <c r="G1036" i="16"/>
  <c r="G1037" i="16"/>
  <c r="G1038" i="16"/>
  <c r="G1039" i="16"/>
  <c r="G1040" i="16"/>
  <c r="G1041" i="16"/>
  <c r="G1042" i="16"/>
  <c r="G1043" i="16"/>
  <c r="G1044" i="16"/>
  <c r="G1045" i="16"/>
  <c r="G1046" i="16"/>
  <c r="G1047" i="16"/>
  <c r="G1048" i="16"/>
  <c r="G1049" i="16"/>
  <c r="G1050" i="16"/>
  <c r="G1051" i="16"/>
  <c r="G1052" i="16"/>
  <c r="G1053" i="16"/>
  <c r="G1054" i="16"/>
  <c r="G1055" i="16"/>
  <c r="G1056" i="16"/>
  <c r="G1057" i="16"/>
  <c r="G1058" i="16"/>
  <c r="G1059" i="16"/>
  <c r="G1060" i="16"/>
  <c r="G1061" i="16"/>
  <c r="G1062" i="16"/>
  <c r="G1063" i="16"/>
  <c r="G1064" i="16"/>
  <c r="G1065" i="16"/>
  <c r="G1066" i="16"/>
  <c r="G1067" i="16"/>
  <c r="G1068" i="16"/>
  <c r="G1069" i="16"/>
  <c r="G1070" i="16"/>
  <c r="G1071" i="16"/>
  <c r="G1072" i="16"/>
  <c r="G1073" i="16"/>
  <c r="G1074" i="16"/>
  <c r="G1075" i="16"/>
  <c r="G1076" i="16"/>
  <c r="G1077" i="16"/>
  <c r="G1078" i="16"/>
  <c r="G1079" i="16"/>
  <c r="G1080" i="16"/>
  <c r="G1081" i="16"/>
  <c r="G1082" i="16"/>
  <c r="G1083" i="16"/>
  <c r="G1084" i="16"/>
  <c r="G1085" i="16"/>
  <c r="G1086" i="16"/>
  <c r="G1087" i="16"/>
  <c r="G1088" i="16"/>
  <c r="G1089" i="16"/>
  <c r="G1090" i="16"/>
  <c r="G1091" i="16"/>
  <c r="G1092" i="16"/>
  <c r="G1093" i="16"/>
  <c r="G1094" i="16"/>
  <c r="G1095" i="16"/>
  <c r="G1096" i="16"/>
  <c r="G1097" i="16"/>
  <c r="G1098" i="16"/>
  <c r="G1099" i="16"/>
  <c r="G1100" i="16"/>
  <c r="G1101" i="16"/>
  <c r="G1102" i="16"/>
  <c r="G1103" i="16"/>
  <c r="G1104" i="16"/>
  <c r="G1105" i="16"/>
  <c r="G1106" i="16"/>
  <c r="G1107" i="16"/>
  <c r="G1108" i="16"/>
  <c r="G1109" i="16"/>
  <c r="G1110" i="16"/>
  <c r="G1111" i="16"/>
  <c r="G1112" i="16"/>
  <c r="G1113" i="16"/>
  <c r="G1114" i="16"/>
  <c r="G1115" i="16"/>
  <c r="G1116" i="16"/>
  <c r="G1117" i="16"/>
  <c r="G1118" i="16"/>
  <c r="G1119" i="16"/>
  <c r="G1120" i="16"/>
  <c r="G1121" i="16"/>
  <c r="G1122" i="16"/>
  <c r="G1123" i="16"/>
  <c r="G1124" i="16"/>
  <c r="G1125" i="16"/>
  <c r="G1126" i="16"/>
  <c r="G1127" i="16"/>
  <c r="G1128" i="16"/>
  <c r="G1129" i="16"/>
  <c r="G1130" i="16"/>
  <c r="G1131" i="16"/>
  <c r="G1132" i="16"/>
  <c r="G1133" i="16"/>
  <c r="G1134" i="16"/>
  <c r="G1135" i="16"/>
  <c r="G1136" i="16"/>
  <c r="G1137" i="16"/>
  <c r="G1138" i="16"/>
  <c r="G1139" i="16"/>
  <c r="G1140" i="16"/>
  <c r="G1141" i="16"/>
  <c r="G1142" i="16"/>
  <c r="G1143" i="16"/>
  <c r="G1144" i="16"/>
  <c r="G1145" i="16"/>
  <c r="G1146" i="16"/>
  <c r="G1147" i="16"/>
  <c r="G1148" i="16"/>
  <c r="G1149" i="16"/>
  <c r="G1150" i="16"/>
  <c r="G1151" i="16"/>
  <c r="G1152" i="16"/>
  <c r="G1153" i="16"/>
  <c r="G1154" i="16"/>
  <c r="G1155" i="16"/>
  <c r="G1156" i="16"/>
  <c r="G1157" i="16"/>
  <c r="G1158" i="16"/>
  <c r="G1159" i="16"/>
  <c r="G1160" i="16"/>
  <c r="G1161" i="16"/>
  <c r="G1162" i="16"/>
  <c r="G1163" i="16"/>
  <c r="G1164" i="16"/>
  <c r="G1165" i="16"/>
  <c r="G1166" i="16"/>
  <c r="G1167" i="16"/>
  <c r="G1168" i="16"/>
  <c r="G1169" i="16"/>
  <c r="G1170" i="16"/>
  <c r="G1171" i="16"/>
  <c r="G1172" i="16"/>
  <c r="G1173" i="16"/>
  <c r="G1174" i="16"/>
  <c r="G1175" i="16"/>
  <c r="G1176" i="16"/>
  <c r="G1177" i="16"/>
  <c r="G1178" i="16"/>
  <c r="G1179" i="16"/>
  <c r="G1180" i="16"/>
  <c r="G1181" i="16"/>
  <c r="G1182" i="16"/>
  <c r="G1183" i="16"/>
  <c r="G1184" i="16"/>
  <c r="G1185" i="16"/>
  <c r="G1186" i="16"/>
  <c r="G1187" i="16"/>
  <c r="G1188" i="16"/>
  <c r="G1189" i="16"/>
  <c r="G1190" i="16"/>
  <c r="G1191" i="16"/>
  <c r="G1192" i="16"/>
  <c r="G1193" i="16"/>
  <c r="G1194" i="16"/>
  <c r="G1195" i="16"/>
  <c r="G1196" i="16"/>
  <c r="G1197" i="16"/>
  <c r="G1198" i="16"/>
  <c r="G1199" i="16"/>
  <c r="G1200" i="16"/>
  <c r="G1201" i="16"/>
  <c r="G1202" i="16"/>
  <c r="G1203" i="16"/>
  <c r="G1204" i="16"/>
  <c r="G1205" i="16"/>
  <c r="G1206" i="16"/>
  <c r="G1207" i="16"/>
  <c r="G1208" i="16"/>
  <c r="G1209" i="16"/>
  <c r="G1210" i="16"/>
  <c r="G1211" i="16"/>
  <c r="G1212" i="16"/>
  <c r="G1213" i="16"/>
  <c r="G1214" i="16"/>
  <c r="G1215" i="16"/>
  <c r="G1216" i="16"/>
  <c r="G1217" i="16"/>
  <c r="G1218" i="16"/>
  <c r="G1219" i="16"/>
  <c r="G1220" i="16"/>
  <c r="G1221" i="16"/>
  <c r="G1222" i="16"/>
  <c r="G1223" i="16"/>
  <c r="G1224" i="16"/>
  <c r="G1225" i="16"/>
  <c r="G1226" i="16"/>
  <c r="G1227" i="16"/>
  <c r="G1228" i="16"/>
  <c r="G1229" i="16"/>
  <c r="B1229" i="16"/>
  <c r="H1229" i="16"/>
  <c r="J1229" i="16"/>
  <c r="AG1229" i="16" s="1"/>
  <c r="N1229" i="16"/>
  <c r="O1229" i="16"/>
  <c r="P1229" i="16"/>
  <c r="Q1229" i="16"/>
  <c r="G1230" i="16"/>
  <c r="B1230" i="16"/>
  <c r="H1230" i="16"/>
  <c r="J1230" i="16"/>
  <c r="AG1230" i="16" s="1"/>
  <c r="N1230" i="16"/>
  <c r="O1230" i="16"/>
  <c r="P1230" i="16"/>
  <c r="Q1230" i="16"/>
  <c r="G1231" i="16"/>
  <c r="B1231" i="16"/>
  <c r="H1231" i="16"/>
  <c r="J1231" i="16"/>
  <c r="AG1231" i="16" s="1"/>
  <c r="N1231" i="16"/>
  <c r="O1231" i="16"/>
  <c r="P1231" i="16"/>
  <c r="Q1231" i="16"/>
  <c r="G1232" i="16"/>
  <c r="B1232" i="16"/>
  <c r="H1232" i="16"/>
  <c r="J1232" i="16"/>
  <c r="AG1232" i="16" s="1"/>
  <c r="N1232" i="16"/>
  <c r="O1232" i="16"/>
  <c r="P1232" i="16"/>
  <c r="Q1232" i="16"/>
  <c r="G1233" i="16"/>
  <c r="B1233" i="16"/>
  <c r="H1233" i="16"/>
  <c r="J1233" i="16"/>
  <c r="AG1233" i="16" s="1"/>
  <c r="N1233" i="16"/>
  <c r="O1233" i="16"/>
  <c r="P1233" i="16"/>
  <c r="Q1233" i="16"/>
  <c r="G1234" i="16"/>
  <c r="B1234" i="16"/>
  <c r="H1234" i="16"/>
  <c r="J1234" i="16"/>
  <c r="AG1234" i="16" s="1"/>
  <c r="N1234" i="16"/>
  <c r="O1234" i="16"/>
  <c r="P1234" i="16"/>
  <c r="Q1234" i="16"/>
  <c r="G1235" i="16"/>
  <c r="B1235" i="16"/>
  <c r="H1235" i="16"/>
  <c r="J1235" i="16"/>
  <c r="AG1235" i="16" s="1"/>
  <c r="N1235" i="16"/>
  <c r="O1235" i="16"/>
  <c r="P1235" i="16"/>
  <c r="Q1235" i="16"/>
  <c r="G1236" i="16"/>
  <c r="B1236" i="16"/>
  <c r="H1236" i="16"/>
  <c r="J1236" i="16"/>
  <c r="AG1236" i="16" s="1"/>
  <c r="N1236" i="16"/>
  <c r="O1236" i="16"/>
  <c r="P1236" i="16"/>
  <c r="Q1236" i="16"/>
  <c r="G1237" i="16"/>
  <c r="B1237" i="16"/>
  <c r="H1237" i="16"/>
  <c r="J1237" i="16"/>
  <c r="AG1237" i="16" s="1"/>
  <c r="N1237" i="16"/>
  <c r="O1237" i="16"/>
  <c r="P1237" i="16"/>
  <c r="Q1237" i="16"/>
  <c r="G1238" i="16"/>
  <c r="B1238" i="16"/>
  <c r="H1238" i="16"/>
  <c r="J1238" i="16"/>
  <c r="AG1238" i="16" s="1"/>
  <c r="N1238" i="16"/>
  <c r="O1238" i="16"/>
  <c r="P1238" i="16"/>
  <c r="Q1238" i="16"/>
  <c r="G1239" i="16"/>
  <c r="B1239" i="16"/>
  <c r="H1239" i="16"/>
  <c r="J1239" i="16"/>
  <c r="AG1239" i="16" s="1"/>
  <c r="N1239" i="16"/>
  <c r="O1239" i="16"/>
  <c r="P1239" i="16"/>
  <c r="Q1239" i="16"/>
  <c r="G1240" i="16"/>
  <c r="B1240" i="16"/>
  <c r="H1240" i="16"/>
  <c r="J1240" i="16"/>
  <c r="AG1240" i="16" s="1"/>
  <c r="N1240" i="16"/>
  <c r="O1240" i="16"/>
  <c r="P1240" i="16"/>
  <c r="Q1240" i="16"/>
  <c r="G1241" i="16"/>
  <c r="B1241" i="16"/>
  <c r="H1241" i="16"/>
  <c r="J1241" i="16"/>
  <c r="AG1241" i="16" s="1"/>
  <c r="N1241" i="16"/>
  <c r="O1241" i="16"/>
  <c r="P1241" i="16"/>
  <c r="Q1241" i="16"/>
  <c r="G1242" i="16"/>
  <c r="B1242" i="16"/>
  <c r="H1242" i="16"/>
  <c r="J1242" i="16"/>
  <c r="AG1242" i="16" s="1"/>
  <c r="N1242" i="16"/>
  <c r="O1242" i="16"/>
  <c r="P1242" i="16"/>
  <c r="Q1242" i="16"/>
  <c r="G1243" i="16"/>
  <c r="B1243" i="16"/>
  <c r="H1243" i="16"/>
  <c r="J1243" i="16"/>
  <c r="AG1243" i="16" s="1"/>
  <c r="N1243" i="16"/>
  <c r="O1243" i="16"/>
  <c r="P1243" i="16"/>
  <c r="Q1243" i="16"/>
  <c r="G1244" i="16"/>
  <c r="B1244" i="16"/>
  <c r="H1244" i="16"/>
  <c r="J1244" i="16"/>
  <c r="AG1244" i="16" s="1"/>
  <c r="N1244" i="16"/>
  <c r="O1244" i="16"/>
  <c r="P1244" i="16"/>
  <c r="Q1244" i="16"/>
  <c r="G1245" i="16"/>
  <c r="B1245" i="16"/>
  <c r="H1245" i="16"/>
  <c r="J1245" i="16"/>
  <c r="AG1245" i="16" s="1"/>
  <c r="N1245" i="16"/>
  <c r="O1245" i="16"/>
  <c r="P1245" i="16"/>
  <c r="Q1245" i="16"/>
  <c r="G1246" i="16"/>
  <c r="B1246" i="16"/>
  <c r="H1246" i="16"/>
  <c r="J1246" i="16"/>
  <c r="AG1246" i="16" s="1"/>
  <c r="N1246" i="16"/>
  <c r="O1246" i="16"/>
  <c r="P1246" i="16"/>
  <c r="Q1246" i="16"/>
  <c r="G1247" i="16"/>
  <c r="B1247" i="16"/>
  <c r="H1247" i="16"/>
  <c r="J1247" i="16"/>
  <c r="AG1247" i="16" s="1"/>
  <c r="N1247" i="16"/>
  <c r="O1247" i="16"/>
  <c r="P1247" i="16"/>
  <c r="Q1247" i="16"/>
  <c r="G1248" i="16"/>
  <c r="B1248" i="16"/>
  <c r="H1248" i="16"/>
  <c r="J1248" i="16"/>
  <c r="AG1248" i="16" s="1"/>
  <c r="N1248" i="16"/>
  <c r="O1248" i="16"/>
  <c r="P1248" i="16"/>
  <c r="Q1248" i="16"/>
  <c r="G1249" i="16"/>
  <c r="B1249" i="16"/>
  <c r="H1249" i="16"/>
  <c r="J1249" i="16"/>
  <c r="AG1249" i="16" s="1"/>
  <c r="N1249" i="16"/>
  <c r="O1249" i="16"/>
  <c r="P1249" i="16"/>
  <c r="Q1249" i="16"/>
  <c r="G1250" i="16"/>
  <c r="B1250" i="16"/>
  <c r="H1250" i="16"/>
  <c r="J1250" i="16"/>
  <c r="AG1250" i="16" s="1"/>
  <c r="N1250" i="16"/>
  <c r="O1250" i="16"/>
  <c r="P1250" i="16"/>
  <c r="Q1250" i="16"/>
  <c r="G1251" i="16"/>
  <c r="B1251" i="16"/>
  <c r="H1251" i="16"/>
  <c r="J1251" i="16"/>
  <c r="AG1251" i="16" s="1"/>
  <c r="N1251" i="16"/>
  <c r="O1251" i="16"/>
  <c r="P1251" i="16"/>
  <c r="Q1251" i="16"/>
  <c r="G1252" i="16"/>
  <c r="B1252" i="16"/>
  <c r="H1252" i="16"/>
  <c r="J1252" i="16"/>
  <c r="AG1252" i="16" s="1"/>
  <c r="N1252" i="16"/>
  <c r="O1252" i="16"/>
  <c r="P1252" i="16"/>
  <c r="Q1252" i="16"/>
  <c r="G1253" i="16"/>
  <c r="B1253" i="16"/>
  <c r="H1253" i="16"/>
  <c r="J1253" i="16"/>
  <c r="AG1253" i="16" s="1"/>
  <c r="N1253" i="16"/>
  <c r="O1253" i="16"/>
  <c r="P1253" i="16"/>
  <c r="Q1253" i="16"/>
  <c r="G1254" i="16"/>
  <c r="B1254" i="16"/>
  <c r="H1254" i="16"/>
  <c r="J1254" i="16"/>
  <c r="AG1254" i="16" s="1"/>
  <c r="N1254" i="16"/>
  <c r="O1254" i="16"/>
  <c r="P1254" i="16"/>
  <c r="Q1254" i="16"/>
  <c r="G1255" i="16"/>
  <c r="B1255" i="16"/>
  <c r="H1255" i="16"/>
  <c r="J1255" i="16"/>
  <c r="AG1255" i="16" s="1"/>
  <c r="N1255" i="16"/>
  <c r="O1255" i="16"/>
  <c r="P1255" i="16"/>
  <c r="Q1255" i="16"/>
  <c r="G1256" i="16"/>
  <c r="B1256" i="16"/>
  <c r="H1256" i="16"/>
  <c r="J1256" i="16"/>
  <c r="AG1256" i="16" s="1"/>
  <c r="N1256" i="16"/>
  <c r="O1256" i="16"/>
  <c r="P1256" i="16"/>
  <c r="Q1256" i="16"/>
  <c r="G1257" i="16"/>
  <c r="B1257" i="16"/>
  <c r="H1257" i="16"/>
  <c r="J1257" i="16"/>
  <c r="AG1257" i="16" s="1"/>
  <c r="N1257" i="16"/>
  <c r="O1257" i="16"/>
  <c r="P1257" i="16"/>
  <c r="Q1257" i="16"/>
  <c r="G1258" i="16"/>
  <c r="B1258" i="16"/>
  <c r="H1258" i="16"/>
  <c r="J1258" i="16"/>
  <c r="AG1258" i="16" s="1"/>
  <c r="N1258" i="16"/>
  <c r="O1258" i="16"/>
  <c r="P1258" i="16"/>
  <c r="Q1258" i="16"/>
  <c r="G1259" i="16"/>
  <c r="B1259" i="16"/>
  <c r="H1259" i="16"/>
  <c r="J1259" i="16"/>
  <c r="AG1259" i="16" s="1"/>
  <c r="N1259" i="16"/>
  <c r="O1259" i="16"/>
  <c r="P1259" i="16"/>
  <c r="Q1259" i="16"/>
  <c r="G1260" i="16"/>
  <c r="B1260" i="16"/>
  <c r="H1260" i="16"/>
  <c r="J1260" i="16"/>
  <c r="AG1260" i="16" s="1"/>
  <c r="N1260" i="16"/>
  <c r="O1260" i="16"/>
  <c r="P1260" i="16"/>
  <c r="Q1260" i="16"/>
  <c r="G1261" i="16"/>
  <c r="B1261" i="16"/>
  <c r="H1261" i="16"/>
  <c r="J1261" i="16"/>
  <c r="AG1261" i="16" s="1"/>
  <c r="N1261" i="16"/>
  <c r="O1261" i="16"/>
  <c r="P1261" i="16"/>
  <c r="Q1261" i="16"/>
  <c r="G1262" i="16"/>
  <c r="B1262" i="16"/>
  <c r="H1262" i="16"/>
  <c r="J1262" i="16"/>
  <c r="AG1262" i="16" s="1"/>
  <c r="N1262" i="16"/>
  <c r="O1262" i="16"/>
  <c r="P1262" i="16"/>
  <c r="Q1262" i="16"/>
  <c r="G1263" i="16"/>
  <c r="B1263" i="16"/>
  <c r="H1263" i="16"/>
  <c r="J1263" i="16"/>
  <c r="AG1263" i="16" s="1"/>
  <c r="N1263" i="16"/>
  <c r="O1263" i="16"/>
  <c r="P1263" i="16"/>
  <c r="Q1263" i="16"/>
  <c r="G1264" i="16"/>
  <c r="B1264" i="16"/>
  <c r="H1264" i="16"/>
  <c r="J1264" i="16"/>
  <c r="AG1264" i="16" s="1"/>
  <c r="N1264" i="16"/>
  <c r="O1264" i="16"/>
  <c r="P1264" i="16"/>
  <c r="Q1264" i="16"/>
  <c r="G1265" i="16"/>
  <c r="B1265" i="16"/>
  <c r="H1265" i="16"/>
  <c r="J1265" i="16"/>
  <c r="AG1265" i="16" s="1"/>
  <c r="N1265" i="16"/>
  <c r="O1265" i="16"/>
  <c r="P1265" i="16"/>
  <c r="Q1265" i="16"/>
  <c r="G1266" i="16"/>
  <c r="B1266" i="16"/>
  <c r="H1266" i="16"/>
  <c r="J1266" i="16"/>
  <c r="AG1266" i="16" s="1"/>
  <c r="N1266" i="16"/>
  <c r="O1266" i="16"/>
  <c r="P1266" i="16"/>
  <c r="Q1266" i="16"/>
  <c r="G1267" i="16"/>
  <c r="B1267" i="16"/>
  <c r="H1267" i="16"/>
  <c r="J1267" i="16"/>
  <c r="AG1267" i="16" s="1"/>
  <c r="N1267" i="16"/>
  <c r="O1267" i="16"/>
  <c r="P1267" i="16"/>
  <c r="Q1267" i="16"/>
  <c r="G1268" i="16"/>
  <c r="B1268" i="16"/>
  <c r="H1268" i="16"/>
  <c r="J1268" i="16"/>
  <c r="AG1268" i="16" s="1"/>
  <c r="N1268" i="16"/>
  <c r="O1268" i="16"/>
  <c r="P1268" i="16"/>
  <c r="Q1268" i="16"/>
  <c r="G1269" i="16"/>
  <c r="B1269" i="16"/>
  <c r="H1269" i="16"/>
  <c r="J1269" i="16"/>
  <c r="AG1269" i="16" s="1"/>
  <c r="N1269" i="16"/>
  <c r="O1269" i="16"/>
  <c r="P1269" i="16"/>
  <c r="Q1269" i="16"/>
  <c r="G1270" i="16"/>
  <c r="B1270" i="16"/>
  <c r="H1270" i="16"/>
  <c r="J1270" i="16"/>
  <c r="AG1270" i="16" s="1"/>
  <c r="N1270" i="16"/>
  <c r="O1270" i="16"/>
  <c r="P1270" i="16"/>
  <c r="Q1270" i="16"/>
  <c r="G1271" i="16"/>
  <c r="B1271" i="16"/>
  <c r="H1271" i="16"/>
  <c r="J1271" i="16"/>
  <c r="AG1271" i="16" s="1"/>
  <c r="N1271" i="16"/>
  <c r="O1271" i="16"/>
  <c r="P1271" i="16"/>
  <c r="Q1271" i="16"/>
  <c r="G1272" i="16"/>
  <c r="B1272" i="16"/>
  <c r="H1272" i="16"/>
  <c r="J1272" i="16"/>
  <c r="AG1272" i="16" s="1"/>
  <c r="N1272" i="16"/>
  <c r="O1272" i="16"/>
  <c r="P1272" i="16"/>
  <c r="Q1272" i="16"/>
  <c r="G1273" i="16"/>
  <c r="B1273" i="16"/>
  <c r="H1273" i="16"/>
  <c r="J1273" i="16"/>
  <c r="AG1273" i="16" s="1"/>
  <c r="N1273" i="16"/>
  <c r="O1273" i="16"/>
  <c r="P1273" i="16"/>
  <c r="Q1273" i="16"/>
  <c r="G1274" i="16"/>
  <c r="B1274" i="16"/>
  <c r="H1274" i="16"/>
  <c r="J1274" i="16"/>
  <c r="AG1274" i="16" s="1"/>
  <c r="N1274" i="16"/>
  <c r="O1274" i="16"/>
  <c r="P1274" i="16"/>
  <c r="Q1274" i="16"/>
  <c r="G1275" i="16"/>
  <c r="B1275" i="16"/>
  <c r="H1275" i="16"/>
  <c r="J1275" i="16"/>
  <c r="AG1275" i="16" s="1"/>
  <c r="N1275" i="16"/>
  <c r="O1275" i="16"/>
  <c r="P1275" i="16"/>
  <c r="Q1275" i="16"/>
  <c r="G1276" i="16"/>
  <c r="B1276" i="16"/>
  <c r="H1276" i="16"/>
  <c r="J1276" i="16"/>
  <c r="AG1276" i="16" s="1"/>
  <c r="N1276" i="16"/>
  <c r="O1276" i="16"/>
  <c r="P1276" i="16"/>
  <c r="Q1276" i="16"/>
  <c r="G1277" i="16"/>
  <c r="B1277" i="16"/>
  <c r="H1277" i="16"/>
  <c r="J1277" i="16"/>
  <c r="AG1277" i="16" s="1"/>
  <c r="N1277" i="16"/>
  <c r="O1277" i="16"/>
  <c r="P1277" i="16"/>
  <c r="Q1277" i="16"/>
  <c r="G1278" i="16"/>
  <c r="B1278" i="16"/>
  <c r="H1278" i="16"/>
  <c r="J1278" i="16"/>
  <c r="AG1278" i="16" s="1"/>
  <c r="N1278" i="16"/>
  <c r="O1278" i="16"/>
  <c r="P1278" i="16"/>
  <c r="Q1278" i="16"/>
  <c r="G1279" i="16"/>
  <c r="B1279" i="16"/>
  <c r="H1279" i="16"/>
  <c r="J1279" i="16"/>
  <c r="AG1279" i="16" s="1"/>
  <c r="N1279" i="16"/>
  <c r="O1279" i="16"/>
  <c r="P1279" i="16"/>
  <c r="Q1279" i="16"/>
  <c r="G1280" i="16"/>
  <c r="B1280" i="16"/>
  <c r="H1280" i="16"/>
  <c r="J1280" i="16"/>
  <c r="AG1280" i="16" s="1"/>
  <c r="N1280" i="16"/>
  <c r="O1280" i="16"/>
  <c r="P1280" i="16"/>
  <c r="Q1280" i="16"/>
  <c r="G1281" i="16"/>
  <c r="B1281" i="16"/>
  <c r="H1281" i="16"/>
  <c r="J1281" i="16"/>
  <c r="AG1281" i="16" s="1"/>
  <c r="N1281" i="16"/>
  <c r="O1281" i="16"/>
  <c r="P1281" i="16"/>
  <c r="Q1281" i="16"/>
  <c r="G1282" i="16"/>
  <c r="B1282" i="16"/>
  <c r="H1282" i="16"/>
  <c r="J1282" i="16"/>
  <c r="AG1282" i="16" s="1"/>
  <c r="N1282" i="16"/>
  <c r="O1282" i="16"/>
  <c r="P1282" i="16"/>
  <c r="Q1282" i="16"/>
  <c r="G1283" i="16"/>
  <c r="B1283" i="16"/>
  <c r="H1283" i="16"/>
  <c r="J1283" i="16"/>
  <c r="AG1283" i="16" s="1"/>
  <c r="N1283" i="16"/>
  <c r="O1283" i="16"/>
  <c r="P1283" i="16"/>
  <c r="Q1283" i="16"/>
  <c r="G1284" i="16"/>
  <c r="B1284" i="16"/>
  <c r="H1284" i="16"/>
  <c r="J1284" i="16"/>
  <c r="AG1284" i="16" s="1"/>
  <c r="N1284" i="16"/>
  <c r="O1284" i="16"/>
  <c r="P1284" i="16"/>
  <c r="Q1284" i="16"/>
  <c r="G1285" i="16"/>
  <c r="B1285" i="16"/>
  <c r="H1285" i="16"/>
  <c r="J1285" i="16"/>
  <c r="AG1285" i="16" s="1"/>
  <c r="N1285" i="16"/>
  <c r="O1285" i="16"/>
  <c r="P1285" i="16"/>
  <c r="Q1285" i="16"/>
  <c r="G1286" i="16"/>
  <c r="B1286" i="16"/>
  <c r="H1286" i="16"/>
  <c r="J1286" i="16"/>
  <c r="AG1286" i="16" s="1"/>
  <c r="N1286" i="16"/>
  <c r="O1286" i="16"/>
  <c r="P1286" i="16"/>
  <c r="Q1286" i="16"/>
  <c r="G1287" i="16"/>
  <c r="B1287" i="16"/>
  <c r="H1287" i="16"/>
  <c r="J1287" i="16"/>
  <c r="AG1287" i="16" s="1"/>
  <c r="N1287" i="16"/>
  <c r="O1287" i="16"/>
  <c r="P1287" i="16"/>
  <c r="Q1287" i="16"/>
  <c r="G1288" i="16"/>
  <c r="B1288" i="16"/>
  <c r="H1288" i="16"/>
  <c r="J1288" i="16"/>
  <c r="AG1288" i="16" s="1"/>
  <c r="N1288" i="16"/>
  <c r="O1288" i="16"/>
  <c r="P1288" i="16"/>
  <c r="Q1288" i="16"/>
  <c r="G1289" i="16"/>
  <c r="B1289" i="16"/>
  <c r="H1289" i="16"/>
  <c r="J1289" i="16"/>
  <c r="AG1289" i="16" s="1"/>
  <c r="N1289" i="16"/>
  <c r="O1289" i="16"/>
  <c r="P1289" i="16"/>
  <c r="Q1289" i="16"/>
  <c r="G1290" i="16"/>
  <c r="B1290" i="16"/>
  <c r="H1290" i="16"/>
  <c r="J1290" i="16"/>
  <c r="AG1290" i="16" s="1"/>
  <c r="N1290" i="16"/>
  <c r="O1290" i="16"/>
  <c r="P1290" i="16"/>
  <c r="Q1290" i="16"/>
  <c r="G1291" i="16"/>
  <c r="B1291" i="16"/>
  <c r="H1291" i="16"/>
  <c r="J1291" i="16"/>
  <c r="AG1291" i="16" s="1"/>
  <c r="N1291" i="16"/>
  <c r="O1291" i="16"/>
  <c r="P1291" i="16"/>
  <c r="Q1291" i="16"/>
  <c r="G1292" i="16"/>
  <c r="B1292" i="16"/>
  <c r="H1292" i="16"/>
  <c r="J1292" i="16"/>
  <c r="AG1292" i="16" s="1"/>
  <c r="N1292" i="16"/>
  <c r="O1292" i="16"/>
  <c r="P1292" i="16"/>
  <c r="Q1292" i="16"/>
  <c r="G1293" i="16"/>
  <c r="B1293" i="16"/>
  <c r="H1293" i="16"/>
  <c r="J1293" i="16"/>
  <c r="AG1293" i="16" s="1"/>
  <c r="N1293" i="16"/>
  <c r="O1293" i="16"/>
  <c r="P1293" i="16"/>
  <c r="Q1293" i="16"/>
  <c r="G1294" i="16"/>
  <c r="B1294" i="16"/>
  <c r="H1294" i="16"/>
  <c r="J1294" i="16"/>
  <c r="AG1294" i="16" s="1"/>
  <c r="N1294" i="16"/>
  <c r="O1294" i="16"/>
  <c r="P1294" i="16"/>
  <c r="Q1294" i="16"/>
  <c r="G1295" i="16"/>
  <c r="B1295" i="16"/>
  <c r="H1295" i="16"/>
  <c r="J1295" i="16"/>
  <c r="AG1295" i="16" s="1"/>
  <c r="N1295" i="16"/>
  <c r="O1295" i="16"/>
  <c r="P1295" i="16"/>
  <c r="Q1295" i="16"/>
  <c r="G1296" i="16"/>
  <c r="B1296" i="16"/>
  <c r="H1296" i="16"/>
  <c r="J1296" i="16"/>
  <c r="AG1296" i="16" s="1"/>
  <c r="N1296" i="16"/>
  <c r="O1296" i="16"/>
  <c r="P1296" i="16"/>
  <c r="Q1296" i="16"/>
  <c r="G1297" i="16"/>
  <c r="B1297" i="16"/>
  <c r="H1297" i="16"/>
  <c r="J1297" i="16"/>
  <c r="AG1297" i="16" s="1"/>
  <c r="N1297" i="16"/>
  <c r="O1297" i="16"/>
  <c r="P1297" i="16"/>
  <c r="Q1297" i="16"/>
  <c r="G1298" i="16"/>
  <c r="B1298" i="16"/>
  <c r="H1298" i="16"/>
  <c r="J1298" i="16"/>
  <c r="AG1298" i="16" s="1"/>
  <c r="N1298" i="16"/>
  <c r="O1298" i="16"/>
  <c r="P1298" i="16"/>
  <c r="Q1298" i="16"/>
  <c r="G1299" i="16"/>
  <c r="B1299" i="16"/>
  <c r="H1299" i="16"/>
  <c r="J1299" i="16"/>
  <c r="AG1299" i="16" s="1"/>
  <c r="N1299" i="16"/>
  <c r="O1299" i="16"/>
  <c r="P1299" i="16"/>
  <c r="Q1299" i="16"/>
  <c r="G1300" i="16"/>
  <c r="B1300" i="16"/>
  <c r="H1300" i="16"/>
  <c r="J1300" i="16"/>
  <c r="AG1300" i="16" s="1"/>
  <c r="N1300" i="16"/>
  <c r="O1300" i="16"/>
  <c r="P1300" i="16"/>
  <c r="Q1300" i="16"/>
  <c r="G1301" i="16"/>
  <c r="B1301" i="16"/>
  <c r="H1301" i="16"/>
  <c r="J1301" i="16"/>
  <c r="AG1301" i="16" s="1"/>
  <c r="N1301" i="16"/>
  <c r="O1301" i="16"/>
  <c r="P1301" i="16"/>
  <c r="Q1301" i="16"/>
  <c r="G1302" i="16"/>
  <c r="B1302" i="16"/>
  <c r="H1302" i="16"/>
  <c r="J1302" i="16"/>
  <c r="AG1302" i="16" s="1"/>
  <c r="N1302" i="16"/>
  <c r="O1302" i="16"/>
  <c r="P1302" i="16"/>
  <c r="Q1302" i="16"/>
  <c r="G1303" i="16"/>
  <c r="B1303" i="16"/>
  <c r="H1303" i="16"/>
  <c r="J1303" i="16"/>
  <c r="AG1303" i="16" s="1"/>
  <c r="N1303" i="16"/>
  <c r="O1303" i="16"/>
  <c r="P1303" i="16"/>
  <c r="Q1303" i="16"/>
  <c r="G1304" i="16"/>
  <c r="B1304" i="16"/>
  <c r="H1304" i="16"/>
  <c r="J1304" i="16"/>
  <c r="AG1304" i="16" s="1"/>
  <c r="N1304" i="16"/>
  <c r="O1304" i="16"/>
  <c r="P1304" i="16"/>
  <c r="Q1304" i="16"/>
  <c r="G1305" i="16"/>
  <c r="B1305" i="16"/>
  <c r="H1305" i="16"/>
  <c r="J1305" i="16"/>
  <c r="AG1305" i="16" s="1"/>
  <c r="N1305" i="16"/>
  <c r="O1305" i="16"/>
  <c r="P1305" i="16"/>
  <c r="Q1305" i="16"/>
  <c r="G1306" i="16"/>
  <c r="B1306" i="16"/>
  <c r="H1306" i="16"/>
  <c r="J1306" i="16"/>
  <c r="AG1306" i="16" s="1"/>
  <c r="N1306" i="16"/>
  <c r="O1306" i="16"/>
  <c r="P1306" i="16"/>
  <c r="Q1306" i="16"/>
  <c r="G1307" i="16"/>
  <c r="B1307" i="16"/>
  <c r="H1307" i="16"/>
  <c r="J1307" i="16"/>
  <c r="AG1307" i="16" s="1"/>
  <c r="N1307" i="16"/>
  <c r="O1307" i="16"/>
  <c r="P1307" i="16"/>
  <c r="Q1307" i="16"/>
  <c r="G1308" i="16"/>
  <c r="B1308" i="16"/>
  <c r="H1308" i="16"/>
  <c r="J1308" i="16"/>
  <c r="AG1308" i="16" s="1"/>
  <c r="N1308" i="16"/>
  <c r="O1308" i="16"/>
  <c r="P1308" i="16"/>
  <c r="Q1308" i="16"/>
  <c r="G1309" i="16"/>
  <c r="B1309" i="16"/>
  <c r="H1309" i="16"/>
  <c r="J1309" i="16"/>
  <c r="AG1309" i="16" s="1"/>
  <c r="N1309" i="16"/>
  <c r="O1309" i="16"/>
  <c r="P1309" i="16"/>
  <c r="Q1309" i="16"/>
  <c r="G1310" i="16"/>
  <c r="B1310" i="16"/>
  <c r="H1310" i="16"/>
  <c r="J1310" i="16"/>
  <c r="AG1310" i="16" s="1"/>
  <c r="N1310" i="16"/>
  <c r="O1310" i="16"/>
  <c r="P1310" i="16"/>
  <c r="Q1310" i="16"/>
  <c r="G1311" i="16"/>
  <c r="B1311" i="16"/>
  <c r="H1311" i="16"/>
  <c r="J1311" i="16"/>
  <c r="AG1311" i="16" s="1"/>
  <c r="N1311" i="16"/>
  <c r="O1311" i="16"/>
  <c r="P1311" i="16"/>
  <c r="Q1311" i="16"/>
  <c r="G1312" i="16"/>
  <c r="B1312" i="16"/>
  <c r="H1312" i="16"/>
  <c r="J1312" i="16"/>
  <c r="AG1312" i="16" s="1"/>
  <c r="N1312" i="16"/>
  <c r="O1312" i="16"/>
  <c r="P1312" i="16"/>
  <c r="Q1312" i="16"/>
  <c r="G1313" i="16"/>
  <c r="B1313" i="16"/>
  <c r="H1313" i="16"/>
  <c r="J1313" i="16"/>
  <c r="AG1313" i="16" s="1"/>
  <c r="N1313" i="16"/>
  <c r="O1313" i="16"/>
  <c r="P1313" i="16"/>
  <c r="Q1313" i="16"/>
  <c r="G1314" i="16"/>
  <c r="B1314" i="16"/>
  <c r="H1314" i="16"/>
  <c r="J1314" i="16"/>
  <c r="AG1314" i="16" s="1"/>
  <c r="N1314" i="16"/>
  <c r="O1314" i="16"/>
  <c r="P1314" i="16"/>
  <c r="Q1314" i="16"/>
  <c r="G1315" i="16"/>
  <c r="B1315" i="16"/>
  <c r="H1315" i="16"/>
  <c r="J1315" i="16"/>
  <c r="AG1315" i="16" s="1"/>
  <c r="N1315" i="16"/>
  <c r="O1315" i="16"/>
  <c r="P1315" i="16"/>
  <c r="Q1315" i="16"/>
  <c r="G1316" i="16"/>
  <c r="B1316" i="16"/>
  <c r="H1316" i="16"/>
  <c r="J1316" i="16"/>
  <c r="AG1316" i="16" s="1"/>
  <c r="N1316" i="16"/>
  <c r="O1316" i="16"/>
  <c r="P1316" i="16"/>
  <c r="Q1316" i="16"/>
  <c r="G1317" i="16"/>
  <c r="B1317" i="16"/>
  <c r="H1317" i="16"/>
  <c r="J1317" i="16"/>
  <c r="AG1317" i="16" s="1"/>
  <c r="N1317" i="16"/>
  <c r="O1317" i="16"/>
  <c r="P1317" i="16"/>
  <c r="Q1317" i="16"/>
  <c r="G1318" i="16"/>
  <c r="B1318" i="16"/>
  <c r="H1318" i="16"/>
  <c r="J1318" i="16"/>
  <c r="AG1318" i="16" s="1"/>
  <c r="N1318" i="16"/>
  <c r="O1318" i="16"/>
  <c r="P1318" i="16"/>
  <c r="Q1318" i="16"/>
  <c r="G1319" i="16"/>
  <c r="B1319" i="16"/>
  <c r="H1319" i="16"/>
  <c r="J1319" i="16"/>
  <c r="AG1319" i="16" s="1"/>
  <c r="N1319" i="16"/>
  <c r="O1319" i="16"/>
  <c r="P1319" i="16"/>
  <c r="Q1319" i="16"/>
  <c r="G1320" i="16"/>
  <c r="B1320" i="16"/>
  <c r="H1320" i="16"/>
  <c r="J1320" i="16"/>
  <c r="AG1320" i="16" s="1"/>
  <c r="N1320" i="16"/>
  <c r="O1320" i="16"/>
  <c r="P1320" i="16"/>
  <c r="Q1320" i="16"/>
  <c r="G1321" i="16"/>
  <c r="B1321" i="16"/>
  <c r="H1321" i="16"/>
  <c r="J1321" i="16"/>
  <c r="AG1321" i="16" s="1"/>
  <c r="N1321" i="16"/>
  <c r="O1321" i="16"/>
  <c r="P1321" i="16"/>
  <c r="Q1321" i="16"/>
  <c r="G1322" i="16"/>
  <c r="B1322" i="16"/>
  <c r="H1322" i="16"/>
  <c r="J1322" i="16"/>
  <c r="AG1322" i="16" s="1"/>
  <c r="N1322" i="16"/>
  <c r="O1322" i="16"/>
  <c r="P1322" i="16"/>
  <c r="Q1322" i="16"/>
  <c r="G1323" i="16"/>
  <c r="B1323" i="16"/>
  <c r="H1323" i="16"/>
  <c r="J1323" i="16"/>
  <c r="AG1323" i="16" s="1"/>
  <c r="N1323" i="16"/>
  <c r="O1323" i="16"/>
  <c r="P1323" i="16"/>
  <c r="Q1323" i="16"/>
  <c r="G1324" i="16"/>
  <c r="B1324" i="16"/>
  <c r="H1324" i="16"/>
  <c r="J1324" i="16"/>
  <c r="AG1324" i="16" s="1"/>
  <c r="N1324" i="16"/>
  <c r="O1324" i="16"/>
  <c r="P1324" i="16"/>
  <c r="Q1324" i="16"/>
  <c r="G1325" i="16"/>
  <c r="B1325" i="16"/>
  <c r="H1325" i="16"/>
  <c r="J1325" i="16"/>
  <c r="AG1325" i="16" s="1"/>
  <c r="N1325" i="16"/>
  <c r="O1325" i="16"/>
  <c r="P1325" i="16"/>
  <c r="Q1325" i="16"/>
  <c r="G1326" i="16"/>
  <c r="B1326" i="16"/>
  <c r="H1326" i="16"/>
  <c r="J1326" i="16"/>
  <c r="AG1326" i="16" s="1"/>
  <c r="N1326" i="16"/>
  <c r="O1326" i="16"/>
  <c r="P1326" i="16"/>
  <c r="Q1326" i="16"/>
  <c r="G1327" i="16"/>
  <c r="B1327" i="16"/>
  <c r="H1327" i="16"/>
  <c r="J1327" i="16"/>
  <c r="AG1327" i="16" s="1"/>
  <c r="N1327" i="16"/>
  <c r="O1327" i="16"/>
  <c r="P1327" i="16"/>
  <c r="Q1327" i="16"/>
  <c r="G1328" i="16"/>
  <c r="B1328" i="16"/>
  <c r="H1328" i="16"/>
  <c r="J1328" i="16"/>
  <c r="AG1328" i="16" s="1"/>
  <c r="N1328" i="16"/>
  <c r="O1328" i="16"/>
  <c r="P1328" i="16"/>
  <c r="Q1328" i="16"/>
  <c r="G1329" i="16"/>
  <c r="B1329" i="16"/>
  <c r="H1329" i="16"/>
  <c r="J1329" i="16"/>
  <c r="AG1329" i="16" s="1"/>
  <c r="N1329" i="16"/>
  <c r="O1329" i="16"/>
  <c r="P1329" i="16"/>
  <c r="Q1329" i="16"/>
  <c r="G1330" i="16"/>
  <c r="B1330" i="16"/>
  <c r="H1330" i="16"/>
  <c r="J1330" i="16"/>
  <c r="AG1330" i="16" s="1"/>
  <c r="N1330" i="16"/>
  <c r="O1330" i="16"/>
  <c r="P1330" i="16"/>
  <c r="Q1330" i="16"/>
  <c r="G1331" i="16"/>
  <c r="B1331" i="16"/>
  <c r="H1331" i="16"/>
  <c r="J1331" i="16"/>
  <c r="AG1331" i="16" s="1"/>
  <c r="N1331" i="16"/>
  <c r="O1331" i="16"/>
  <c r="P1331" i="16"/>
  <c r="Q1331" i="16"/>
  <c r="G1332" i="16"/>
  <c r="B1332" i="16"/>
  <c r="H1332" i="16"/>
  <c r="J1332" i="16"/>
  <c r="AG1332" i="16" s="1"/>
  <c r="N1332" i="16"/>
  <c r="O1332" i="16"/>
  <c r="P1332" i="16"/>
  <c r="Q1332" i="16"/>
  <c r="G1333" i="16"/>
  <c r="B1333" i="16"/>
  <c r="H1333" i="16"/>
  <c r="J1333" i="16"/>
  <c r="AG1333" i="16" s="1"/>
  <c r="N1333" i="16"/>
  <c r="O1333" i="16"/>
  <c r="P1333" i="16"/>
  <c r="Q1333" i="16"/>
  <c r="G1334" i="16"/>
  <c r="B1334" i="16"/>
  <c r="H1334" i="16"/>
  <c r="J1334" i="16"/>
  <c r="AG1334" i="16" s="1"/>
  <c r="N1334" i="16"/>
  <c r="O1334" i="16"/>
  <c r="P1334" i="16"/>
  <c r="Q1334" i="16"/>
  <c r="G1335" i="16"/>
  <c r="B1335" i="16"/>
  <c r="H1335" i="16"/>
  <c r="J1335" i="16"/>
  <c r="AG1335" i="16" s="1"/>
  <c r="N1335" i="16"/>
  <c r="O1335" i="16"/>
  <c r="P1335" i="16"/>
  <c r="Q1335" i="16"/>
  <c r="G1336" i="16"/>
  <c r="B1336" i="16"/>
  <c r="H1336" i="16"/>
  <c r="J1336" i="16"/>
  <c r="AG1336" i="16" s="1"/>
  <c r="N1336" i="16"/>
  <c r="O1336" i="16"/>
  <c r="P1336" i="16"/>
  <c r="Q1336" i="16"/>
  <c r="G1337" i="16"/>
  <c r="B1337" i="16"/>
  <c r="H1337" i="16"/>
  <c r="J1337" i="16"/>
  <c r="AG1337" i="16" s="1"/>
  <c r="N1337" i="16"/>
  <c r="O1337" i="16"/>
  <c r="P1337" i="16"/>
  <c r="Q1337" i="16"/>
  <c r="G1338" i="16"/>
  <c r="B1338" i="16"/>
  <c r="H1338" i="16"/>
  <c r="J1338" i="16"/>
  <c r="N1338" i="16"/>
  <c r="O1338" i="16"/>
  <c r="P1338" i="16"/>
  <c r="Q1338" i="16"/>
  <c r="R1338" i="16"/>
  <c r="S1338" i="16"/>
  <c r="T1338" i="16"/>
  <c r="AS1345" i="16" s="1"/>
  <c r="G1339" i="16"/>
  <c r="B1339" i="16"/>
  <c r="H1339" i="16"/>
  <c r="J1339" i="16"/>
  <c r="N1339" i="16"/>
  <c r="O1339" i="16"/>
  <c r="P1339" i="16"/>
  <c r="Q1339" i="16"/>
  <c r="R1339" i="16"/>
  <c r="S1339" i="16"/>
  <c r="T1339" i="16"/>
  <c r="AS1346" i="16" s="1"/>
  <c r="G1340" i="16"/>
  <c r="B1340" i="16"/>
  <c r="H1340" i="16"/>
  <c r="J1340" i="16"/>
  <c r="N1340" i="16"/>
  <c r="O1340" i="16"/>
  <c r="P1340" i="16"/>
  <c r="Q1340" i="16"/>
  <c r="R1340" i="16"/>
  <c r="S1340" i="16"/>
  <c r="T1340" i="16"/>
  <c r="AS1347" i="16" s="1"/>
  <c r="G1341" i="16"/>
  <c r="B1341" i="16"/>
  <c r="H1341" i="16"/>
  <c r="J1341" i="16"/>
  <c r="N1341" i="16"/>
  <c r="O1341" i="16"/>
  <c r="P1341" i="16"/>
  <c r="Q1341" i="16"/>
  <c r="R1341" i="16"/>
  <c r="S1341" i="16"/>
  <c r="T1341" i="16"/>
  <c r="AS1348" i="16" s="1"/>
  <c r="G1342" i="16"/>
  <c r="B1342" i="16"/>
  <c r="H1342" i="16"/>
  <c r="J1342" i="16"/>
  <c r="N1342" i="16"/>
  <c r="O1342" i="16"/>
  <c r="P1342" i="16"/>
  <c r="Q1342" i="16"/>
  <c r="R1342" i="16"/>
  <c r="S1342" i="16"/>
  <c r="T1342" i="16"/>
  <c r="AS1349" i="16" s="1"/>
  <c r="G1343" i="16"/>
  <c r="B1343" i="16"/>
  <c r="H1343" i="16"/>
  <c r="J1343" i="16"/>
  <c r="N1343" i="16"/>
  <c r="O1343" i="16"/>
  <c r="P1343" i="16"/>
  <c r="Q1343" i="16"/>
  <c r="R1343" i="16"/>
  <c r="S1343" i="16"/>
  <c r="T1343" i="16"/>
  <c r="AS1350" i="16" s="1"/>
  <c r="G1344" i="16"/>
  <c r="B1344" i="16"/>
  <c r="H1344" i="16"/>
  <c r="J1344" i="16"/>
  <c r="N1344" i="16"/>
  <c r="O1344" i="16"/>
  <c r="P1344" i="16"/>
  <c r="Q1344" i="16"/>
  <c r="R1344" i="16"/>
  <c r="S1344" i="16"/>
  <c r="T1344" i="16"/>
  <c r="AS1351" i="16" s="1"/>
  <c r="G1345" i="16"/>
  <c r="B1345" i="16"/>
  <c r="H1345" i="16"/>
  <c r="J1345" i="16"/>
  <c r="N1345" i="16"/>
  <c r="O1345" i="16"/>
  <c r="P1345" i="16"/>
  <c r="Q1345" i="16"/>
  <c r="R1345" i="16"/>
  <c r="S1345" i="16"/>
  <c r="T1345" i="16"/>
  <c r="AS1352" i="16" s="1"/>
  <c r="G1346" i="16"/>
  <c r="B1346" i="16"/>
  <c r="H1346" i="16"/>
  <c r="J1346" i="16"/>
  <c r="N1346" i="16"/>
  <c r="O1346" i="16"/>
  <c r="P1346" i="16"/>
  <c r="Q1346" i="16"/>
  <c r="R1346" i="16"/>
  <c r="S1346" i="16"/>
  <c r="T1346" i="16"/>
  <c r="AS1353" i="16" s="1"/>
  <c r="G1347" i="16"/>
  <c r="B1347" i="16"/>
  <c r="H1347" i="16"/>
  <c r="J1347" i="16"/>
  <c r="N1347" i="16"/>
  <c r="O1347" i="16"/>
  <c r="P1347" i="16"/>
  <c r="Q1347" i="16"/>
  <c r="R1347" i="16"/>
  <c r="S1347" i="16"/>
  <c r="T1347" i="16"/>
  <c r="AS1354" i="16" s="1"/>
  <c r="G1348" i="16"/>
  <c r="B1348" i="16"/>
  <c r="H1348" i="16"/>
  <c r="J1348" i="16"/>
  <c r="N1348" i="16"/>
  <c r="O1348" i="16"/>
  <c r="P1348" i="16"/>
  <c r="Q1348" i="16"/>
  <c r="R1348" i="16"/>
  <c r="S1348" i="16"/>
  <c r="T1348" i="16"/>
  <c r="AS1355" i="16" s="1"/>
  <c r="G1349" i="16"/>
  <c r="B1349" i="16"/>
  <c r="H1349" i="16"/>
  <c r="J1349" i="16"/>
  <c r="N1349" i="16"/>
  <c r="O1349" i="16"/>
  <c r="P1349" i="16"/>
  <c r="Q1349" i="16"/>
  <c r="R1349" i="16"/>
  <c r="S1349" i="16"/>
  <c r="T1349" i="16"/>
  <c r="AS1356" i="16" s="1"/>
  <c r="G1350" i="16"/>
  <c r="B1350" i="16"/>
  <c r="H1350" i="16"/>
  <c r="J1350" i="16"/>
  <c r="N1350" i="16"/>
  <c r="O1350" i="16"/>
  <c r="P1350" i="16"/>
  <c r="Q1350" i="16"/>
  <c r="R1350" i="16"/>
  <c r="S1350" i="16"/>
  <c r="T1350" i="16"/>
  <c r="AS1357" i="16" s="1"/>
  <c r="G1351" i="16"/>
  <c r="B1351" i="16"/>
  <c r="H1351" i="16"/>
  <c r="J1351" i="16"/>
  <c r="N1351" i="16"/>
  <c r="O1351" i="16"/>
  <c r="P1351" i="16"/>
  <c r="Q1351" i="16"/>
  <c r="R1351" i="16"/>
  <c r="S1351" i="16"/>
  <c r="T1351" i="16"/>
  <c r="AS1358" i="16" s="1"/>
  <c r="G1352" i="16"/>
  <c r="B1352" i="16"/>
  <c r="H1352" i="16"/>
  <c r="J1352" i="16"/>
  <c r="N1352" i="16"/>
  <c r="O1352" i="16"/>
  <c r="P1352" i="16"/>
  <c r="Q1352" i="16"/>
  <c r="R1352" i="16"/>
  <c r="S1352" i="16"/>
  <c r="T1352" i="16"/>
  <c r="AS1359" i="16" s="1"/>
  <c r="G1353" i="16"/>
  <c r="B1353" i="16"/>
  <c r="H1353" i="16"/>
  <c r="J1353" i="16"/>
  <c r="N1353" i="16"/>
  <c r="O1353" i="16"/>
  <c r="P1353" i="16"/>
  <c r="Q1353" i="16"/>
  <c r="R1353" i="16"/>
  <c r="S1353" i="16"/>
  <c r="T1353" i="16"/>
  <c r="AS1360" i="16" s="1"/>
  <c r="G1354" i="16"/>
  <c r="B1354" i="16"/>
  <c r="H1354" i="16"/>
  <c r="J1354" i="16"/>
  <c r="N1354" i="16"/>
  <c r="O1354" i="16"/>
  <c r="P1354" i="16"/>
  <c r="Q1354" i="16"/>
  <c r="R1354" i="16"/>
  <c r="S1354" i="16"/>
  <c r="T1354" i="16"/>
  <c r="AS1361" i="16" s="1"/>
  <c r="G1355" i="16"/>
  <c r="B1355" i="16"/>
  <c r="H1355" i="16"/>
  <c r="J1355" i="16"/>
  <c r="N1355" i="16"/>
  <c r="O1355" i="16"/>
  <c r="P1355" i="16"/>
  <c r="Q1355" i="16"/>
  <c r="R1355" i="16"/>
  <c r="S1355" i="16"/>
  <c r="T1355" i="16"/>
  <c r="AS1362" i="16" s="1"/>
  <c r="G1356" i="16"/>
  <c r="B1356" i="16"/>
  <c r="H1356" i="16"/>
  <c r="J1356" i="16"/>
  <c r="N1356" i="16"/>
  <c r="O1356" i="16"/>
  <c r="P1356" i="16"/>
  <c r="Q1356" i="16"/>
  <c r="R1356" i="16"/>
  <c r="S1356" i="16"/>
  <c r="T1356" i="16"/>
  <c r="AS1363" i="16" s="1"/>
  <c r="G1357" i="16"/>
  <c r="B1357" i="16"/>
  <c r="H1357" i="16"/>
  <c r="J1357" i="16"/>
  <c r="N1357" i="16"/>
  <c r="O1357" i="16"/>
  <c r="P1357" i="16"/>
  <c r="Q1357" i="16"/>
  <c r="R1357" i="16"/>
  <c r="S1357" i="16"/>
  <c r="T1357" i="16"/>
  <c r="AS1364" i="16" s="1"/>
  <c r="G1358" i="16"/>
  <c r="B1358" i="16"/>
  <c r="H1358" i="16"/>
  <c r="J1358" i="16"/>
  <c r="N1358" i="16"/>
  <c r="O1358" i="16"/>
  <c r="P1358" i="16"/>
  <c r="Q1358" i="16"/>
  <c r="R1358" i="16"/>
  <c r="S1358" i="16"/>
  <c r="T1358" i="16"/>
  <c r="AS1365" i="16" s="1"/>
  <c r="G1359" i="16"/>
  <c r="B1359" i="16"/>
  <c r="H1359" i="16"/>
  <c r="J1359" i="16"/>
  <c r="N1359" i="16"/>
  <c r="O1359" i="16"/>
  <c r="P1359" i="16"/>
  <c r="Q1359" i="16"/>
  <c r="R1359" i="16"/>
  <c r="S1359" i="16"/>
  <c r="T1359" i="16"/>
  <c r="AS1366" i="16" s="1"/>
  <c r="G1360" i="16"/>
  <c r="B1360" i="16"/>
  <c r="H1360" i="16"/>
  <c r="J1360" i="16"/>
  <c r="N1360" i="16"/>
  <c r="O1360" i="16"/>
  <c r="P1360" i="16"/>
  <c r="Q1360" i="16"/>
  <c r="R1360" i="16"/>
  <c r="S1360" i="16"/>
  <c r="T1360" i="16"/>
  <c r="AS1367" i="16" s="1"/>
  <c r="G1361" i="16"/>
  <c r="B1361" i="16"/>
  <c r="H1361" i="16"/>
  <c r="J1361" i="16"/>
  <c r="N1361" i="16"/>
  <c r="O1361" i="16"/>
  <c r="P1361" i="16"/>
  <c r="Q1361" i="16"/>
  <c r="R1361" i="16"/>
  <c r="S1361" i="16"/>
  <c r="T1361" i="16"/>
  <c r="AS1368" i="16" s="1"/>
  <c r="G1362" i="16"/>
  <c r="B1362" i="16"/>
  <c r="H1362" i="16"/>
  <c r="J1362" i="16"/>
  <c r="N1362" i="16"/>
  <c r="O1362" i="16"/>
  <c r="P1362" i="16"/>
  <c r="Q1362" i="16"/>
  <c r="R1362" i="16"/>
  <c r="S1362" i="16"/>
  <c r="T1362" i="16"/>
  <c r="AS1369" i="16" s="1"/>
  <c r="G1363" i="16"/>
  <c r="B1363" i="16"/>
  <c r="H1363" i="16"/>
  <c r="J1363" i="16"/>
  <c r="N1363" i="16"/>
  <c r="O1363" i="16"/>
  <c r="P1363" i="16"/>
  <c r="Q1363" i="16"/>
  <c r="R1363" i="16"/>
  <c r="S1363" i="16"/>
  <c r="T1363" i="16"/>
  <c r="AS1370" i="16" s="1"/>
  <c r="G1364" i="16"/>
  <c r="B1364" i="16"/>
  <c r="H1364" i="16"/>
  <c r="J1364" i="16"/>
  <c r="N1364" i="16"/>
  <c r="O1364" i="16"/>
  <c r="P1364" i="16"/>
  <c r="Q1364" i="16"/>
  <c r="R1364" i="16"/>
  <c r="S1364" i="16"/>
  <c r="T1364" i="16"/>
  <c r="AS1371" i="16" s="1"/>
  <c r="G1365" i="16"/>
  <c r="B1365" i="16"/>
  <c r="H1365" i="16"/>
  <c r="J1365" i="16"/>
  <c r="N1365" i="16"/>
  <c r="O1365" i="16"/>
  <c r="P1365" i="16"/>
  <c r="Q1365" i="16"/>
  <c r="R1365" i="16"/>
  <c r="S1365" i="16"/>
  <c r="T1365" i="16"/>
  <c r="AS1372" i="16" s="1"/>
  <c r="G1366" i="16"/>
  <c r="B1366" i="16"/>
  <c r="H1366" i="16"/>
  <c r="J1366" i="16"/>
  <c r="N1366" i="16"/>
  <c r="O1366" i="16"/>
  <c r="P1366" i="16"/>
  <c r="Q1366" i="16"/>
  <c r="R1366" i="16"/>
  <c r="S1366" i="16"/>
  <c r="T1366" i="16"/>
  <c r="AS1373" i="16" s="1"/>
  <c r="G1367" i="16"/>
  <c r="B1367" i="16"/>
  <c r="H1367" i="16"/>
  <c r="J1367" i="16"/>
  <c r="N1367" i="16"/>
  <c r="O1367" i="16"/>
  <c r="P1367" i="16"/>
  <c r="Q1367" i="16"/>
  <c r="R1367" i="16"/>
  <c r="S1367" i="16"/>
  <c r="T1367" i="16"/>
  <c r="AS1374" i="16" s="1"/>
  <c r="G1368" i="16"/>
  <c r="B1368" i="16"/>
  <c r="H1368" i="16"/>
  <c r="J1368" i="16"/>
  <c r="N1368" i="16"/>
  <c r="O1368" i="16"/>
  <c r="P1368" i="16"/>
  <c r="Q1368" i="16"/>
  <c r="R1368" i="16"/>
  <c r="S1368" i="16"/>
  <c r="T1368" i="16"/>
  <c r="AS1375" i="16" s="1"/>
  <c r="G1369" i="16"/>
  <c r="B1369" i="16"/>
  <c r="H1369" i="16"/>
  <c r="J1369" i="16"/>
  <c r="N1369" i="16"/>
  <c r="O1369" i="16"/>
  <c r="P1369" i="16"/>
  <c r="Q1369" i="16"/>
  <c r="R1369" i="16"/>
  <c r="S1369" i="16"/>
  <c r="T1369" i="16"/>
  <c r="AS1376" i="16" s="1"/>
  <c r="G1370" i="16"/>
  <c r="B1370" i="16"/>
  <c r="H1370" i="16"/>
  <c r="J1370" i="16"/>
  <c r="N1370" i="16"/>
  <c r="O1370" i="16"/>
  <c r="P1370" i="16"/>
  <c r="Q1370" i="16"/>
  <c r="R1370" i="16"/>
  <c r="S1370" i="16"/>
  <c r="T1370" i="16"/>
  <c r="AS1377" i="16" s="1"/>
  <c r="G1371" i="16"/>
  <c r="B1371" i="16"/>
  <c r="H1371" i="16"/>
  <c r="J1371" i="16"/>
  <c r="N1371" i="16"/>
  <c r="O1371" i="16"/>
  <c r="P1371" i="16"/>
  <c r="Q1371" i="16"/>
  <c r="R1371" i="16"/>
  <c r="S1371" i="16"/>
  <c r="T1371" i="16"/>
  <c r="AS1378" i="16" s="1"/>
  <c r="G1372" i="16"/>
  <c r="B1372" i="16"/>
  <c r="H1372" i="16"/>
  <c r="J1372" i="16"/>
  <c r="N1372" i="16"/>
  <c r="O1372" i="16"/>
  <c r="P1372" i="16"/>
  <c r="Q1372" i="16"/>
  <c r="R1372" i="16"/>
  <c r="S1372" i="16"/>
  <c r="T1372" i="16"/>
  <c r="AS1379" i="16" s="1"/>
  <c r="G1373" i="16"/>
  <c r="B1373" i="16"/>
  <c r="H1373" i="16"/>
  <c r="J1373" i="16"/>
  <c r="N1373" i="16"/>
  <c r="O1373" i="16"/>
  <c r="P1373" i="16"/>
  <c r="Q1373" i="16"/>
  <c r="R1373" i="16"/>
  <c r="S1373" i="16"/>
  <c r="T1373" i="16"/>
  <c r="AS1380" i="16" s="1"/>
  <c r="G1374" i="16"/>
  <c r="B1374" i="16"/>
  <c r="H1374" i="16"/>
  <c r="J1374" i="16"/>
  <c r="N1374" i="16"/>
  <c r="O1374" i="16"/>
  <c r="P1374" i="16"/>
  <c r="Q1374" i="16"/>
  <c r="R1374" i="16"/>
  <c r="S1374" i="16"/>
  <c r="T1374" i="16"/>
  <c r="AS1381" i="16" s="1"/>
  <c r="G1375" i="16"/>
  <c r="B1375" i="16"/>
  <c r="H1375" i="16"/>
  <c r="J1375" i="16"/>
  <c r="N1375" i="16"/>
  <c r="O1375" i="16"/>
  <c r="P1375" i="16"/>
  <c r="Q1375" i="16"/>
  <c r="R1375" i="16"/>
  <c r="S1375" i="16"/>
  <c r="T1375" i="16"/>
  <c r="AS1382" i="16" s="1"/>
  <c r="G1376" i="16"/>
  <c r="B1376" i="16"/>
  <c r="H1376" i="16"/>
  <c r="J1376" i="16"/>
  <c r="N1376" i="16"/>
  <c r="O1376" i="16"/>
  <c r="P1376" i="16"/>
  <c r="Q1376" i="16"/>
  <c r="R1376" i="16"/>
  <c r="S1376" i="16"/>
  <c r="T1376" i="16"/>
  <c r="AS1383" i="16" s="1"/>
  <c r="G1377" i="16"/>
  <c r="B1377" i="16"/>
  <c r="H1377" i="16"/>
  <c r="J1377" i="16"/>
  <c r="N1377" i="16"/>
  <c r="O1377" i="16"/>
  <c r="P1377" i="16"/>
  <c r="Q1377" i="16"/>
  <c r="R1377" i="16"/>
  <c r="S1377" i="16"/>
  <c r="T1377" i="16"/>
  <c r="AS1384" i="16" s="1"/>
  <c r="G1378" i="16"/>
  <c r="B1378" i="16"/>
  <c r="H1378" i="16"/>
  <c r="J1378" i="16"/>
  <c r="N1378" i="16"/>
  <c r="O1378" i="16"/>
  <c r="P1378" i="16"/>
  <c r="Q1378" i="16"/>
  <c r="R1378" i="16"/>
  <c r="S1378" i="16"/>
  <c r="T1378" i="16"/>
  <c r="AS1385" i="16" s="1"/>
  <c r="G1379" i="16"/>
  <c r="B1379" i="16"/>
  <c r="H1379" i="16"/>
  <c r="J1379" i="16"/>
  <c r="N1379" i="16"/>
  <c r="O1379" i="16"/>
  <c r="P1379" i="16"/>
  <c r="Q1379" i="16"/>
  <c r="R1379" i="16"/>
  <c r="S1379" i="16"/>
  <c r="T1379" i="16"/>
  <c r="AS1386" i="16" s="1"/>
  <c r="G1380" i="16"/>
  <c r="B1380" i="16"/>
  <c r="H1380" i="16"/>
  <c r="J1380" i="16"/>
  <c r="N1380" i="16"/>
  <c r="O1380" i="16"/>
  <c r="P1380" i="16"/>
  <c r="Q1380" i="16"/>
  <c r="R1380" i="16"/>
  <c r="S1380" i="16"/>
  <c r="T1380" i="16"/>
  <c r="AS1387" i="16" s="1"/>
  <c r="G1381" i="16"/>
  <c r="B1381" i="16"/>
  <c r="H1381" i="16"/>
  <c r="J1381" i="16"/>
  <c r="N1381" i="16"/>
  <c r="O1381" i="16"/>
  <c r="P1381" i="16"/>
  <c r="Q1381" i="16"/>
  <c r="R1381" i="16"/>
  <c r="S1381" i="16"/>
  <c r="T1381" i="16"/>
  <c r="AS1388" i="16" s="1"/>
  <c r="G1382" i="16"/>
  <c r="B1382" i="16"/>
  <c r="H1382" i="16"/>
  <c r="J1382" i="16"/>
  <c r="N1382" i="16"/>
  <c r="O1382" i="16"/>
  <c r="P1382" i="16"/>
  <c r="Q1382" i="16"/>
  <c r="R1382" i="16"/>
  <c r="S1382" i="16"/>
  <c r="T1382" i="16"/>
  <c r="AS1389" i="16" s="1"/>
  <c r="G1383" i="16"/>
  <c r="B1383" i="16"/>
  <c r="H1383" i="16"/>
  <c r="J1383" i="16"/>
  <c r="N1383" i="16"/>
  <c r="O1383" i="16"/>
  <c r="P1383" i="16"/>
  <c r="Q1383" i="16"/>
  <c r="R1383" i="16"/>
  <c r="S1383" i="16"/>
  <c r="T1383" i="16"/>
  <c r="AS1390" i="16" s="1"/>
  <c r="G1384" i="16"/>
  <c r="B1384" i="16"/>
  <c r="H1384" i="16"/>
  <c r="J1384" i="16"/>
  <c r="N1384" i="16"/>
  <c r="O1384" i="16"/>
  <c r="P1384" i="16"/>
  <c r="Q1384" i="16"/>
  <c r="R1384" i="16"/>
  <c r="S1384" i="16"/>
  <c r="T1384" i="16"/>
  <c r="AS1391" i="16" s="1"/>
  <c r="G1385" i="16"/>
  <c r="B1385" i="16"/>
  <c r="H1385" i="16"/>
  <c r="J1385" i="16"/>
  <c r="N1385" i="16"/>
  <c r="O1385" i="16"/>
  <c r="P1385" i="16"/>
  <c r="Q1385" i="16"/>
  <c r="R1385" i="16"/>
  <c r="S1385" i="16"/>
  <c r="T1385" i="16"/>
  <c r="AS1392" i="16" s="1"/>
  <c r="G1386" i="16"/>
  <c r="B1386" i="16"/>
  <c r="H1386" i="16"/>
  <c r="J1386" i="16"/>
  <c r="N1386" i="16"/>
  <c r="O1386" i="16"/>
  <c r="P1386" i="16"/>
  <c r="Q1386" i="16"/>
  <c r="R1386" i="16"/>
  <c r="S1386" i="16"/>
  <c r="T1386" i="16"/>
  <c r="AS1393" i="16" s="1"/>
  <c r="G1387" i="16"/>
  <c r="B1387" i="16"/>
  <c r="H1387" i="16"/>
  <c r="J1387" i="16"/>
  <c r="N1387" i="16"/>
  <c r="O1387" i="16"/>
  <c r="P1387" i="16"/>
  <c r="Q1387" i="16"/>
  <c r="R1387" i="16"/>
  <c r="S1387" i="16"/>
  <c r="T1387" i="16"/>
  <c r="AS1394" i="16" s="1"/>
  <c r="G1388" i="16"/>
  <c r="B1388" i="16"/>
  <c r="H1388" i="16"/>
  <c r="J1388" i="16"/>
  <c r="N1388" i="16"/>
  <c r="O1388" i="16"/>
  <c r="P1388" i="16"/>
  <c r="Q1388" i="16"/>
  <c r="R1388" i="16"/>
  <c r="S1388" i="16"/>
  <c r="T1388" i="16"/>
  <c r="AS1395" i="16" s="1"/>
  <c r="G1389" i="16"/>
  <c r="B1389" i="16"/>
  <c r="H1389" i="16"/>
  <c r="J1389" i="16"/>
  <c r="N1389" i="16"/>
  <c r="O1389" i="16"/>
  <c r="P1389" i="16"/>
  <c r="Q1389" i="16"/>
  <c r="R1389" i="16"/>
  <c r="S1389" i="16"/>
  <c r="T1389" i="16"/>
  <c r="AS1396" i="16" s="1"/>
  <c r="G1390" i="16"/>
  <c r="B1390" i="16"/>
  <c r="H1390" i="16"/>
  <c r="J1390" i="16"/>
  <c r="N1390" i="16"/>
  <c r="O1390" i="16"/>
  <c r="P1390" i="16"/>
  <c r="Q1390" i="16"/>
  <c r="R1390" i="16"/>
  <c r="S1390" i="16"/>
  <c r="T1390" i="16"/>
  <c r="AS1397" i="16" s="1"/>
  <c r="G1391" i="16"/>
  <c r="B1391" i="16"/>
  <c r="H1391" i="16"/>
  <c r="J1391" i="16"/>
  <c r="N1391" i="16"/>
  <c r="O1391" i="16"/>
  <c r="P1391" i="16"/>
  <c r="Q1391" i="16"/>
  <c r="R1391" i="16"/>
  <c r="S1391" i="16"/>
  <c r="T1391" i="16"/>
  <c r="AS1398" i="16" s="1"/>
  <c r="G1392" i="16"/>
  <c r="B1392" i="16"/>
  <c r="H1392" i="16"/>
  <c r="J1392" i="16"/>
  <c r="N1392" i="16"/>
  <c r="O1392" i="16"/>
  <c r="P1392" i="16"/>
  <c r="Q1392" i="16"/>
  <c r="R1392" i="16"/>
  <c r="S1392" i="16"/>
  <c r="T1392" i="16"/>
  <c r="AS1399" i="16" s="1"/>
  <c r="G1393" i="16"/>
  <c r="B1393" i="16"/>
  <c r="H1393" i="16"/>
  <c r="J1393" i="16"/>
  <c r="N1393" i="16"/>
  <c r="O1393" i="16"/>
  <c r="P1393" i="16"/>
  <c r="Q1393" i="16"/>
  <c r="R1393" i="16"/>
  <c r="S1393" i="16"/>
  <c r="T1393" i="16"/>
  <c r="AS1400" i="16" s="1"/>
  <c r="G1394" i="16"/>
  <c r="B1394" i="16"/>
  <c r="H1394" i="16"/>
  <c r="J1394" i="16"/>
  <c r="N1394" i="16"/>
  <c r="O1394" i="16"/>
  <c r="P1394" i="16"/>
  <c r="Q1394" i="16"/>
  <c r="R1394" i="16"/>
  <c r="S1394" i="16"/>
  <c r="T1394" i="16"/>
  <c r="AS1401" i="16" s="1"/>
  <c r="G1395" i="16"/>
  <c r="B1395" i="16"/>
  <c r="H1395" i="16"/>
  <c r="J1395" i="16"/>
  <c r="N1395" i="16"/>
  <c r="O1395" i="16"/>
  <c r="P1395" i="16"/>
  <c r="Q1395" i="16"/>
  <c r="R1395" i="16"/>
  <c r="S1395" i="16"/>
  <c r="T1395" i="16"/>
  <c r="AS1402" i="16" s="1"/>
  <c r="G1396" i="16"/>
  <c r="B1396" i="16"/>
  <c r="H1396" i="16"/>
  <c r="J1396" i="16"/>
  <c r="N1396" i="16"/>
  <c r="O1396" i="16"/>
  <c r="P1396" i="16"/>
  <c r="Q1396" i="16"/>
  <c r="R1396" i="16"/>
  <c r="S1396" i="16"/>
  <c r="T1396" i="16"/>
  <c r="AS1403" i="16" s="1"/>
  <c r="G1397" i="16"/>
  <c r="B1397" i="16"/>
  <c r="H1397" i="16"/>
  <c r="J1397" i="16"/>
  <c r="N1397" i="16"/>
  <c r="O1397" i="16"/>
  <c r="P1397" i="16"/>
  <c r="Q1397" i="16"/>
  <c r="R1397" i="16"/>
  <c r="S1397" i="16"/>
  <c r="T1397" i="16"/>
  <c r="AS1404" i="16" s="1"/>
  <c r="G1398" i="16"/>
  <c r="B1398" i="16"/>
  <c r="H1398" i="16"/>
  <c r="J1398" i="16"/>
  <c r="N1398" i="16"/>
  <c r="O1398" i="16"/>
  <c r="P1398" i="16"/>
  <c r="Q1398" i="16"/>
  <c r="R1398" i="16"/>
  <c r="S1398" i="16"/>
  <c r="T1398" i="16"/>
  <c r="AS1405" i="16" s="1"/>
  <c r="G1399" i="16"/>
  <c r="B1399" i="16"/>
  <c r="H1399" i="16"/>
  <c r="J1399" i="16"/>
  <c r="N1399" i="16"/>
  <c r="O1399" i="16"/>
  <c r="P1399" i="16"/>
  <c r="Q1399" i="16"/>
  <c r="R1399" i="16"/>
  <c r="S1399" i="16"/>
  <c r="T1399" i="16"/>
  <c r="AS1406" i="16" s="1"/>
  <c r="G1400" i="16"/>
  <c r="B1400" i="16"/>
  <c r="H1400" i="16"/>
  <c r="J1400" i="16"/>
  <c r="N1400" i="16"/>
  <c r="O1400" i="16"/>
  <c r="P1400" i="16"/>
  <c r="Q1400" i="16"/>
  <c r="R1400" i="16"/>
  <c r="S1400" i="16"/>
  <c r="T1400" i="16"/>
  <c r="AS1407" i="16" s="1"/>
  <c r="G1401" i="16"/>
  <c r="B1401" i="16"/>
  <c r="H1401" i="16"/>
  <c r="J1401" i="16"/>
  <c r="N1401" i="16"/>
  <c r="O1401" i="16"/>
  <c r="P1401" i="16"/>
  <c r="Q1401" i="16"/>
  <c r="R1401" i="16"/>
  <c r="S1401" i="16"/>
  <c r="T1401" i="16"/>
  <c r="AS1408" i="16" s="1"/>
  <c r="G1402" i="16"/>
  <c r="B1402" i="16"/>
  <c r="H1402" i="16"/>
  <c r="J1402" i="16"/>
  <c r="N1402" i="16"/>
  <c r="O1402" i="16"/>
  <c r="P1402" i="16"/>
  <c r="Q1402" i="16"/>
  <c r="R1402" i="16"/>
  <c r="S1402" i="16"/>
  <c r="T1402" i="16"/>
  <c r="AS1409" i="16" s="1"/>
  <c r="G1403" i="16"/>
  <c r="B1403" i="16"/>
  <c r="H1403" i="16"/>
  <c r="J1403" i="16"/>
  <c r="N1403" i="16"/>
  <c r="O1403" i="16"/>
  <c r="P1403" i="16"/>
  <c r="Q1403" i="16"/>
  <c r="R1403" i="16"/>
  <c r="S1403" i="16"/>
  <c r="T1403" i="16"/>
  <c r="AS1410" i="16" s="1"/>
  <c r="G1404" i="16"/>
  <c r="B1404" i="16"/>
  <c r="H1404" i="16"/>
  <c r="J1404" i="16"/>
  <c r="N1404" i="16"/>
  <c r="O1404" i="16"/>
  <c r="P1404" i="16"/>
  <c r="Q1404" i="16"/>
  <c r="R1404" i="16"/>
  <c r="S1404" i="16"/>
  <c r="T1404" i="16"/>
  <c r="AS1411" i="16" s="1"/>
  <c r="G1405" i="16"/>
  <c r="B1405" i="16"/>
  <c r="H1405" i="16"/>
  <c r="J1405" i="16"/>
  <c r="N1405" i="16"/>
  <c r="O1405" i="16"/>
  <c r="P1405" i="16"/>
  <c r="Q1405" i="16"/>
  <c r="R1405" i="16"/>
  <c r="S1405" i="16"/>
  <c r="T1405" i="16"/>
  <c r="AS1412" i="16" s="1"/>
  <c r="G1406" i="16"/>
  <c r="B1406" i="16"/>
  <c r="H1406" i="16"/>
  <c r="J1406" i="16"/>
  <c r="N1406" i="16"/>
  <c r="O1406" i="16"/>
  <c r="P1406" i="16"/>
  <c r="Q1406" i="16"/>
  <c r="R1406" i="16"/>
  <c r="S1406" i="16"/>
  <c r="T1406" i="16"/>
  <c r="AS1413" i="16" s="1"/>
  <c r="G1407" i="16"/>
  <c r="B1407" i="16"/>
  <c r="H1407" i="16"/>
  <c r="J1407" i="16"/>
  <c r="N1407" i="16"/>
  <c r="O1407" i="16"/>
  <c r="P1407" i="16"/>
  <c r="Q1407" i="16"/>
  <c r="R1407" i="16"/>
  <c r="S1407" i="16"/>
  <c r="T1407" i="16"/>
  <c r="AS1414" i="16" s="1"/>
  <c r="G1408" i="16"/>
  <c r="B1408" i="16"/>
  <c r="H1408" i="16"/>
  <c r="J1408" i="16"/>
  <c r="N1408" i="16"/>
  <c r="O1408" i="16"/>
  <c r="P1408" i="16"/>
  <c r="Q1408" i="16"/>
  <c r="R1408" i="16"/>
  <c r="S1408" i="16"/>
  <c r="T1408" i="16"/>
  <c r="AS1415" i="16" s="1"/>
  <c r="G1409" i="16"/>
  <c r="B1409" i="16"/>
  <c r="H1409" i="16"/>
  <c r="J1409" i="16"/>
  <c r="N1409" i="16"/>
  <c r="O1409" i="16"/>
  <c r="P1409" i="16"/>
  <c r="Q1409" i="16"/>
  <c r="R1409" i="16"/>
  <c r="S1409" i="16"/>
  <c r="T1409" i="16"/>
  <c r="AS1416" i="16" s="1"/>
  <c r="G1410" i="16"/>
  <c r="B1410" i="16"/>
  <c r="H1410" i="16"/>
  <c r="J1410" i="16"/>
  <c r="N1410" i="16"/>
  <c r="O1410" i="16"/>
  <c r="P1410" i="16"/>
  <c r="Q1410" i="16"/>
  <c r="R1410" i="16"/>
  <c r="S1410" i="16"/>
  <c r="T1410" i="16"/>
  <c r="AS1417" i="16" s="1"/>
  <c r="G1411" i="16"/>
  <c r="B1411" i="16"/>
  <c r="H1411" i="16"/>
  <c r="J1411" i="16"/>
  <c r="N1411" i="16"/>
  <c r="O1411" i="16"/>
  <c r="P1411" i="16"/>
  <c r="Q1411" i="16"/>
  <c r="R1411" i="16"/>
  <c r="S1411" i="16"/>
  <c r="T1411" i="16"/>
  <c r="AS1418" i="16" s="1"/>
  <c r="G1412" i="16"/>
  <c r="B1412" i="16"/>
  <c r="H1412" i="16"/>
  <c r="J1412" i="16"/>
  <c r="N1412" i="16"/>
  <c r="O1412" i="16"/>
  <c r="P1412" i="16"/>
  <c r="Q1412" i="16"/>
  <c r="R1412" i="16"/>
  <c r="S1412" i="16"/>
  <c r="T1412" i="16"/>
  <c r="AS1419" i="16" s="1"/>
  <c r="G1413" i="16"/>
  <c r="B1413" i="16"/>
  <c r="H1413" i="16"/>
  <c r="J1413" i="16"/>
  <c r="N1413" i="16"/>
  <c r="O1413" i="16"/>
  <c r="P1413" i="16"/>
  <c r="Q1413" i="16"/>
  <c r="R1413" i="16"/>
  <c r="S1413" i="16"/>
  <c r="T1413" i="16"/>
  <c r="AS1420" i="16" s="1"/>
  <c r="G1414" i="16"/>
  <c r="B1414" i="16"/>
  <c r="H1414" i="16"/>
  <c r="J1414" i="16"/>
  <c r="N1414" i="16"/>
  <c r="O1414" i="16"/>
  <c r="P1414" i="16"/>
  <c r="Q1414" i="16"/>
  <c r="R1414" i="16"/>
  <c r="S1414" i="16"/>
  <c r="T1414" i="16"/>
  <c r="AS1421" i="16" s="1"/>
  <c r="G1415" i="16"/>
  <c r="B1415" i="16"/>
  <c r="H1415" i="16"/>
  <c r="J1415" i="16"/>
  <c r="N1415" i="16"/>
  <c r="O1415" i="16"/>
  <c r="P1415" i="16"/>
  <c r="Q1415" i="16"/>
  <c r="R1415" i="16"/>
  <c r="S1415" i="16"/>
  <c r="T1415" i="16"/>
  <c r="AS1422" i="16" s="1"/>
  <c r="G1416" i="16"/>
  <c r="B1416" i="16"/>
  <c r="H1416" i="16"/>
  <c r="J1416" i="16"/>
  <c r="N1416" i="16"/>
  <c r="O1416" i="16"/>
  <c r="P1416" i="16"/>
  <c r="Q1416" i="16"/>
  <c r="R1416" i="16"/>
  <c r="S1416" i="16"/>
  <c r="T1416" i="16"/>
  <c r="AS1423" i="16" s="1"/>
  <c r="G1417" i="16"/>
  <c r="B1417" i="16"/>
  <c r="H1417" i="16"/>
  <c r="J1417" i="16"/>
  <c r="N1417" i="16"/>
  <c r="O1417" i="16"/>
  <c r="P1417" i="16"/>
  <c r="Q1417" i="16"/>
  <c r="R1417" i="16"/>
  <c r="S1417" i="16"/>
  <c r="T1417" i="16"/>
  <c r="AS1424" i="16" s="1"/>
  <c r="G1418" i="16"/>
  <c r="B1418" i="16"/>
  <c r="H1418" i="16"/>
  <c r="J1418" i="16"/>
  <c r="N1418" i="16"/>
  <c r="O1418" i="16"/>
  <c r="P1418" i="16"/>
  <c r="Q1418" i="16"/>
  <c r="R1418" i="16"/>
  <c r="S1418" i="16"/>
  <c r="T1418" i="16"/>
  <c r="AS1425" i="16" s="1"/>
  <c r="G1419" i="16"/>
  <c r="B1419" i="16"/>
  <c r="H1419" i="16"/>
  <c r="J1419" i="16"/>
  <c r="N1419" i="16"/>
  <c r="O1419" i="16"/>
  <c r="P1419" i="16"/>
  <c r="Q1419" i="16"/>
  <c r="R1419" i="16"/>
  <c r="S1419" i="16"/>
  <c r="T1419" i="16"/>
  <c r="AS1426" i="16" s="1"/>
  <c r="G1420" i="16"/>
  <c r="B1420" i="16"/>
  <c r="H1420" i="16"/>
  <c r="J1420" i="16"/>
  <c r="N1420" i="16"/>
  <c r="O1420" i="16"/>
  <c r="P1420" i="16"/>
  <c r="Q1420" i="16"/>
  <c r="R1420" i="16"/>
  <c r="S1420" i="16"/>
  <c r="T1420" i="16"/>
  <c r="AS1427" i="16" s="1"/>
  <c r="G1421" i="16"/>
  <c r="B1421" i="16"/>
  <c r="H1421" i="16"/>
  <c r="J1421" i="16"/>
  <c r="N1421" i="16"/>
  <c r="O1421" i="16"/>
  <c r="P1421" i="16"/>
  <c r="Q1421" i="16"/>
  <c r="R1421" i="16"/>
  <c r="S1421" i="16"/>
  <c r="T1421" i="16"/>
  <c r="AS1428" i="16" s="1"/>
  <c r="G1422" i="16"/>
  <c r="B1422" i="16"/>
  <c r="H1422" i="16"/>
  <c r="J1422" i="16"/>
  <c r="N1422" i="16"/>
  <c r="O1422" i="16"/>
  <c r="P1422" i="16"/>
  <c r="Q1422" i="16"/>
  <c r="R1422" i="16"/>
  <c r="S1422" i="16"/>
  <c r="T1422" i="16"/>
  <c r="AS1429" i="16" s="1"/>
  <c r="G1423" i="16"/>
  <c r="B1423" i="16"/>
  <c r="H1423" i="16"/>
  <c r="J1423" i="16"/>
  <c r="N1423" i="16"/>
  <c r="O1423" i="16"/>
  <c r="P1423" i="16"/>
  <c r="Q1423" i="16"/>
  <c r="R1423" i="16"/>
  <c r="S1423" i="16"/>
  <c r="T1423" i="16"/>
  <c r="AS1430" i="16" s="1"/>
  <c r="G1424" i="16"/>
  <c r="B1424" i="16"/>
  <c r="H1424" i="16"/>
  <c r="J1424" i="16"/>
  <c r="N1424" i="16"/>
  <c r="O1424" i="16"/>
  <c r="P1424" i="16"/>
  <c r="Q1424" i="16"/>
  <c r="R1424" i="16"/>
  <c r="S1424" i="16"/>
  <c r="T1424" i="16"/>
  <c r="AS1431" i="16" s="1"/>
  <c r="G1425" i="16"/>
  <c r="B1425" i="16"/>
  <c r="H1425" i="16"/>
  <c r="J1425" i="16"/>
  <c r="N1425" i="16"/>
  <c r="O1425" i="16"/>
  <c r="P1425" i="16"/>
  <c r="Q1425" i="16"/>
  <c r="R1425" i="16"/>
  <c r="S1425" i="16"/>
  <c r="T1425" i="16"/>
  <c r="AS1432" i="16" s="1"/>
  <c r="G1426" i="16"/>
  <c r="B1426" i="16"/>
  <c r="H1426" i="16"/>
  <c r="J1426" i="16"/>
  <c r="N1426" i="16"/>
  <c r="O1426" i="16"/>
  <c r="P1426" i="16"/>
  <c r="Q1426" i="16"/>
  <c r="R1426" i="16"/>
  <c r="S1426" i="16"/>
  <c r="T1426" i="16"/>
  <c r="AS1433" i="16" s="1"/>
  <c r="G1427" i="16"/>
  <c r="B1427" i="16"/>
  <c r="H1427" i="16"/>
  <c r="J1427" i="16"/>
  <c r="N1427" i="16"/>
  <c r="O1427" i="16"/>
  <c r="P1427" i="16"/>
  <c r="Q1427" i="16"/>
  <c r="R1427" i="16"/>
  <c r="S1427" i="16"/>
  <c r="T1427" i="16"/>
  <c r="AS1434" i="16" s="1"/>
  <c r="G1428" i="16"/>
  <c r="B1428" i="16"/>
  <c r="H1428" i="16"/>
  <c r="J1428" i="16"/>
  <c r="N1428" i="16"/>
  <c r="O1428" i="16"/>
  <c r="P1428" i="16"/>
  <c r="Q1428" i="16"/>
  <c r="R1428" i="16"/>
  <c r="S1428" i="16"/>
  <c r="T1428" i="16"/>
  <c r="AS1435" i="16" s="1"/>
  <c r="G1429" i="16"/>
  <c r="B1429" i="16"/>
  <c r="H1429" i="16"/>
  <c r="J1429" i="16"/>
  <c r="N1429" i="16"/>
  <c r="O1429" i="16"/>
  <c r="P1429" i="16"/>
  <c r="Q1429" i="16"/>
  <c r="R1429" i="16"/>
  <c r="S1429" i="16"/>
  <c r="T1429" i="16"/>
  <c r="AS1436" i="16" s="1"/>
  <c r="G1430" i="16"/>
  <c r="B1430" i="16"/>
  <c r="H1430" i="16"/>
  <c r="J1430" i="16"/>
  <c r="N1430" i="16"/>
  <c r="O1430" i="16"/>
  <c r="P1430" i="16"/>
  <c r="Q1430" i="16"/>
  <c r="R1430" i="16"/>
  <c r="S1430" i="16"/>
  <c r="T1430" i="16"/>
  <c r="AS1437" i="16" s="1"/>
  <c r="G1431" i="16"/>
  <c r="B1431" i="16"/>
  <c r="H1431" i="16"/>
  <c r="J1431" i="16"/>
  <c r="N1431" i="16"/>
  <c r="O1431" i="16"/>
  <c r="P1431" i="16"/>
  <c r="Q1431" i="16"/>
  <c r="R1431" i="16"/>
  <c r="S1431" i="16"/>
  <c r="T1431" i="16"/>
  <c r="AS1438" i="16" s="1"/>
  <c r="G1432" i="16"/>
  <c r="B1432" i="16"/>
  <c r="H1432" i="16"/>
  <c r="J1432" i="16"/>
  <c r="N1432" i="16"/>
  <c r="O1432" i="16"/>
  <c r="P1432" i="16"/>
  <c r="Q1432" i="16"/>
  <c r="R1432" i="16"/>
  <c r="S1432" i="16"/>
  <c r="T1432" i="16"/>
  <c r="AS1439" i="16" s="1"/>
  <c r="G1433" i="16"/>
  <c r="B1433" i="16"/>
  <c r="H1433" i="16"/>
  <c r="J1433" i="16"/>
  <c r="N1433" i="16"/>
  <c r="O1433" i="16"/>
  <c r="P1433" i="16"/>
  <c r="Q1433" i="16"/>
  <c r="R1433" i="16"/>
  <c r="S1433" i="16"/>
  <c r="T1433" i="16"/>
  <c r="AS1440" i="16" s="1"/>
  <c r="G1434" i="16"/>
  <c r="B1434" i="16"/>
  <c r="H1434" i="16"/>
  <c r="J1434" i="16"/>
  <c r="N1434" i="16"/>
  <c r="O1434" i="16"/>
  <c r="P1434" i="16"/>
  <c r="Q1434" i="16"/>
  <c r="R1434" i="16"/>
  <c r="S1434" i="16"/>
  <c r="T1434" i="16"/>
  <c r="AS1441" i="16" s="1"/>
  <c r="G1435" i="16"/>
  <c r="B1435" i="16"/>
  <c r="H1435" i="16"/>
  <c r="J1435" i="16"/>
  <c r="N1435" i="16"/>
  <c r="O1435" i="16"/>
  <c r="P1435" i="16"/>
  <c r="Q1435" i="16"/>
  <c r="R1435" i="16"/>
  <c r="S1435" i="16"/>
  <c r="T1435" i="16"/>
  <c r="AS1442" i="16" s="1"/>
  <c r="G1436" i="16"/>
  <c r="B1436" i="16"/>
  <c r="H1436" i="16"/>
  <c r="J1436" i="16"/>
  <c r="N1436" i="16"/>
  <c r="O1436" i="16"/>
  <c r="P1436" i="16"/>
  <c r="Q1436" i="16"/>
  <c r="R1436" i="16"/>
  <c r="S1436" i="16"/>
  <c r="T1436" i="16"/>
  <c r="AS1443" i="16" s="1"/>
  <c r="G1437" i="16"/>
  <c r="B1437" i="16"/>
  <c r="H1437" i="16"/>
  <c r="J1437" i="16"/>
  <c r="N1437" i="16"/>
  <c r="O1437" i="16"/>
  <c r="P1437" i="16"/>
  <c r="Q1437" i="16"/>
  <c r="R1437" i="16"/>
  <c r="S1437" i="16"/>
  <c r="T1437" i="16"/>
  <c r="AS1444" i="16" s="1"/>
  <c r="G1438" i="16"/>
  <c r="B1438" i="16"/>
  <c r="H1438" i="16"/>
  <c r="J1438" i="16"/>
  <c r="N1438" i="16"/>
  <c r="O1438" i="16"/>
  <c r="P1438" i="16"/>
  <c r="Q1438" i="16"/>
  <c r="R1438" i="16"/>
  <c r="S1438" i="16"/>
  <c r="T1438" i="16"/>
  <c r="AS1445" i="16" s="1"/>
  <c r="G1439" i="16"/>
  <c r="B1439" i="16"/>
  <c r="H1439" i="16"/>
  <c r="J1439" i="16"/>
  <c r="N1439" i="16"/>
  <c r="O1439" i="16"/>
  <c r="P1439" i="16"/>
  <c r="Q1439" i="16"/>
  <c r="R1439" i="16"/>
  <c r="S1439" i="16"/>
  <c r="T1439" i="16"/>
  <c r="AS1446" i="16" s="1"/>
  <c r="G1440" i="16"/>
  <c r="B1440" i="16"/>
  <c r="H1440" i="16"/>
  <c r="J1440" i="16"/>
  <c r="N1440" i="16"/>
  <c r="O1440" i="16"/>
  <c r="P1440" i="16"/>
  <c r="Q1440" i="16"/>
  <c r="R1440" i="16"/>
  <c r="S1440" i="16"/>
  <c r="T1440" i="16"/>
  <c r="AS1447" i="16" s="1"/>
  <c r="G1441" i="16"/>
  <c r="B1441" i="16"/>
  <c r="H1441" i="16"/>
  <c r="J1441" i="16"/>
  <c r="N1441" i="16"/>
  <c r="O1441" i="16"/>
  <c r="P1441" i="16"/>
  <c r="Q1441" i="16"/>
  <c r="R1441" i="16"/>
  <c r="S1441" i="16"/>
  <c r="T1441" i="16"/>
  <c r="AS1448" i="16" s="1"/>
  <c r="G1442" i="16"/>
  <c r="B1442" i="16"/>
  <c r="H1442" i="16"/>
  <c r="J1442" i="16"/>
  <c r="N1442" i="16"/>
  <c r="O1442" i="16"/>
  <c r="P1442" i="16"/>
  <c r="Q1442" i="16"/>
  <c r="R1442" i="16"/>
  <c r="S1442" i="16"/>
  <c r="T1442" i="16"/>
  <c r="AS1449" i="16" s="1"/>
  <c r="G1443" i="16"/>
  <c r="B1443" i="16"/>
  <c r="H1443" i="16"/>
  <c r="J1443" i="16"/>
  <c r="N1443" i="16"/>
  <c r="O1443" i="16"/>
  <c r="P1443" i="16"/>
  <c r="Q1443" i="16"/>
  <c r="R1443" i="16"/>
  <c r="S1443" i="16"/>
  <c r="T1443" i="16"/>
  <c r="AS1450" i="16" s="1"/>
  <c r="G1444" i="16"/>
  <c r="B1444" i="16"/>
  <c r="H1444" i="16"/>
  <c r="J1444" i="16"/>
  <c r="N1444" i="16"/>
  <c r="O1444" i="16"/>
  <c r="P1444" i="16"/>
  <c r="Q1444" i="16"/>
  <c r="R1444" i="16"/>
  <c r="S1444" i="16"/>
  <c r="T1444" i="16"/>
  <c r="AS1451" i="16" s="1"/>
  <c r="G1445" i="16"/>
  <c r="B1445" i="16"/>
  <c r="H1445" i="16"/>
  <c r="J1445" i="16"/>
  <c r="N1445" i="16"/>
  <c r="O1445" i="16"/>
  <c r="P1445" i="16"/>
  <c r="Q1445" i="16"/>
  <c r="R1445" i="16"/>
  <c r="S1445" i="16"/>
  <c r="T1445" i="16"/>
  <c r="AS1452" i="16" s="1"/>
  <c r="G1446" i="16"/>
  <c r="B1446" i="16"/>
  <c r="H1446" i="16"/>
  <c r="J1446" i="16"/>
  <c r="N1446" i="16"/>
  <c r="O1446" i="16"/>
  <c r="P1446" i="16"/>
  <c r="Q1446" i="16"/>
  <c r="R1446" i="16"/>
  <c r="S1446" i="16"/>
  <c r="T1446" i="16"/>
  <c r="AS1453" i="16" s="1"/>
  <c r="G1447" i="16"/>
  <c r="B1447" i="16"/>
  <c r="H1447" i="16"/>
  <c r="J1447" i="16"/>
  <c r="N1447" i="16"/>
  <c r="O1447" i="16"/>
  <c r="P1447" i="16"/>
  <c r="Q1447" i="16"/>
  <c r="R1447" i="16"/>
  <c r="S1447" i="16"/>
  <c r="T1447" i="16"/>
  <c r="AS1454" i="16" s="1"/>
  <c r="G1448" i="16"/>
  <c r="B1448" i="16"/>
  <c r="H1448" i="16"/>
  <c r="J1448" i="16"/>
  <c r="N1448" i="16"/>
  <c r="O1448" i="16"/>
  <c r="P1448" i="16"/>
  <c r="Q1448" i="16"/>
  <c r="R1448" i="16"/>
  <c r="S1448" i="16"/>
  <c r="T1448" i="16"/>
  <c r="AS1455" i="16" s="1"/>
  <c r="G1449" i="16"/>
  <c r="B1449" i="16"/>
  <c r="H1449" i="16"/>
  <c r="J1449" i="16"/>
  <c r="N1449" i="16"/>
  <c r="O1449" i="16"/>
  <c r="P1449" i="16"/>
  <c r="Q1449" i="16"/>
  <c r="R1449" i="16"/>
  <c r="S1449" i="16"/>
  <c r="T1449" i="16"/>
  <c r="AS1456" i="16" s="1"/>
  <c r="G1450" i="16"/>
  <c r="B1450" i="16"/>
  <c r="H1450" i="16"/>
  <c r="J1450" i="16"/>
  <c r="N1450" i="16"/>
  <c r="O1450" i="16"/>
  <c r="P1450" i="16"/>
  <c r="Q1450" i="16"/>
  <c r="R1450" i="16"/>
  <c r="S1450" i="16"/>
  <c r="T1450" i="16"/>
  <c r="AS1457" i="16" s="1"/>
  <c r="G1451" i="16"/>
  <c r="B1451" i="16"/>
  <c r="H1451" i="16"/>
  <c r="J1451" i="16"/>
  <c r="N1451" i="16"/>
  <c r="O1451" i="16"/>
  <c r="P1451" i="16"/>
  <c r="Q1451" i="16"/>
  <c r="R1451" i="16"/>
  <c r="S1451" i="16"/>
  <c r="T1451" i="16"/>
  <c r="AS1458" i="16" s="1"/>
  <c r="G1452" i="16"/>
  <c r="B1452" i="16"/>
  <c r="H1452" i="16"/>
  <c r="J1452" i="16"/>
  <c r="N1452" i="16"/>
  <c r="O1452" i="16"/>
  <c r="P1452" i="16"/>
  <c r="Q1452" i="16"/>
  <c r="R1452" i="16"/>
  <c r="S1452" i="16"/>
  <c r="T1452" i="16"/>
  <c r="AS1459" i="16" s="1"/>
  <c r="G1453" i="16"/>
  <c r="B1453" i="16"/>
  <c r="H1453" i="16"/>
  <c r="J1453" i="16"/>
  <c r="N1453" i="16"/>
  <c r="O1453" i="16"/>
  <c r="P1453" i="16"/>
  <c r="Q1453" i="16"/>
  <c r="R1453" i="16"/>
  <c r="S1453" i="16"/>
  <c r="T1453" i="16"/>
  <c r="AS1460" i="16" s="1"/>
  <c r="G1454" i="16"/>
  <c r="B1454" i="16"/>
  <c r="H1454" i="16"/>
  <c r="J1454" i="16"/>
  <c r="N1454" i="16"/>
  <c r="O1454" i="16"/>
  <c r="P1454" i="16"/>
  <c r="Q1454" i="16"/>
  <c r="R1454" i="16"/>
  <c r="S1454" i="16"/>
  <c r="T1454" i="16"/>
  <c r="AS1461" i="16" s="1"/>
  <c r="G1455" i="16"/>
  <c r="B1455" i="16"/>
  <c r="H1455" i="16"/>
  <c r="J1455" i="16"/>
  <c r="N1455" i="16"/>
  <c r="O1455" i="16"/>
  <c r="P1455" i="16"/>
  <c r="Q1455" i="16"/>
  <c r="R1455" i="16"/>
  <c r="S1455" i="16"/>
  <c r="T1455" i="16"/>
  <c r="AS1462" i="16" s="1"/>
  <c r="G1456" i="16"/>
  <c r="B1456" i="16"/>
  <c r="H1456" i="16"/>
  <c r="J1456" i="16"/>
  <c r="N1456" i="16"/>
  <c r="O1456" i="16"/>
  <c r="P1456" i="16"/>
  <c r="Q1456" i="16"/>
  <c r="R1456" i="16"/>
  <c r="S1456" i="16"/>
  <c r="T1456" i="16"/>
  <c r="AS1463" i="16" s="1"/>
  <c r="G1457" i="16"/>
  <c r="B1457" i="16"/>
  <c r="H1457" i="16"/>
  <c r="J1457" i="16"/>
  <c r="N1457" i="16"/>
  <c r="O1457" i="16"/>
  <c r="P1457" i="16"/>
  <c r="Q1457" i="16"/>
  <c r="R1457" i="16"/>
  <c r="S1457" i="16"/>
  <c r="T1457" i="16"/>
  <c r="AS1464" i="16" s="1"/>
  <c r="G1458" i="16"/>
  <c r="B1458" i="16"/>
  <c r="H1458" i="16"/>
  <c r="J1458" i="16"/>
  <c r="N1458" i="16"/>
  <c r="O1458" i="16"/>
  <c r="P1458" i="16"/>
  <c r="Q1458" i="16"/>
  <c r="R1458" i="16"/>
  <c r="S1458" i="16"/>
  <c r="T1458" i="16"/>
  <c r="AS1465" i="16" s="1"/>
  <c r="G1459" i="16"/>
  <c r="B1459" i="16"/>
  <c r="H1459" i="16"/>
  <c r="J1459" i="16"/>
  <c r="N1459" i="16"/>
  <c r="O1459" i="16"/>
  <c r="P1459" i="16"/>
  <c r="Q1459" i="16"/>
  <c r="R1459" i="16"/>
  <c r="S1459" i="16"/>
  <c r="T1459" i="16"/>
  <c r="AS1466" i="16" s="1"/>
  <c r="G1460" i="16"/>
  <c r="B1460" i="16"/>
  <c r="H1460" i="16"/>
  <c r="J1460" i="16"/>
  <c r="N1460" i="16"/>
  <c r="O1460" i="16"/>
  <c r="P1460" i="16"/>
  <c r="Q1460" i="16"/>
  <c r="R1460" i="16"/>
  <c r="S1460" i="16"/>
  <c r="T1460" i="16"/>
  <c r="AS1467" i="16" s="1"/>
  <c r="G1461" i="16"/>
  <c r="B1461" i="16"/>
  <c r="H1461" i="16"/>
  <c r="J1461" i="16"/>
  <c r="N1461" i="16"/>
  <c r="O1461" i="16"/>
  <c r="P1461" i="16"/>
  <c r="Q1461" i="16"/>
  <c r="R1461" i="16"/>
  <c r="S1461" i="16"/>
  <c r="T1461" i="16"/>
  <c r="AS1468" i="16" s="1"/>
  <c r="G1462" i="16"/>
  <c r="B1462" i="16"/>
  <c r="H1462" i="16"/>
  <c r="J1462" i="16"/>
  <c r="N1462" i="16"/>
  <c r="O1462" i="16"/>
  <c r="P1462" i="16"/>
  <c r="Q1462" i="16"/>
  <c r="R1462" i="16"/>
  <c r="S1462" i="16"/>
  <c r="T1462" i="16"/>
  <c r="AS1469" i="16" s="1"/>
  <c r="G1463" i="16"/>
  <c r="B1463" i="16"/>
  <c r="H1463" i="16"/>
  <c r="J1463" i="16"/>
  <c r="N1463" i="16"/>
  <c r="O1463" i="16"/>
  <c r="P1463" i="16"/>
  <c r="Q1463" i="16"/>
  <c r="R1463" i="16"/>
  <c r="S1463" i="16"/>
  <c r="T1463" i="16"/>
  <c r="AS1470" i="16" s="1"/>
  <c r="G1464" i="16"/>
  <c r="B1464" i="16"/>
  <c r="H1464" i="16"/>
  <c r="J1464" i="16"/>
  <c r="N1464" i="16"/>
  <c r="O1464" i="16"/>
  <c r="P1464" i="16"/>
  <c r="Q1464" i="16"/>
  <c r="R1464" i="16"/>
  <c r="S1464" i="16"/>
  <c r="T1464" i="16"/>
  <c r="AS1471" i="16" s="1"/>
  <c r="G1465" i="16"/>
  <c r="B1465" i="16"/>
  <c r="H1465" i="16"/>
  <c r="J1465" i="16"/>
  <c r="N1465" i="16"/>
  <c r="O1465" i="16"/>
  <c r="P1465" i="16"/>
  <c r="Q1465" i="16"/>
  <c r="R1465" i="16"/>
  <c r="S1465" i="16"/>
  <c r="T1465" i="16"/>
  <c r="AS1472" i="16" s="1"/>
  <c r="G1466" i="16"/>
  <c r="B1466" i="16"/>
  <c r="H1466" i="16"/>
  <c r="J1466" i="16"/>
  <c r="N1466" i="16"/>
  <c r="O1466" i="16"/>
  <c r="P1466" i="16"/>
  <c r="Q1466" i="16"/>
  <c r="R1466" i="16"/>
  <c r="S1466" i="16"/>
  <c r="T1466" i="16"/>
  <c r="AS1473" i="16" s="1"/>
  <c r="G1467" i="16"/>
  <c r="B1467" i="16"/>
  <c r="H1467" i="16"/>
  <c r="J1467" i="16"/>
  <c r="N1467" i="16"/>
  <c r="O1467" i="16"/>
  <c r="P1467" i="16"/>
  <c r="Q1467" i="16"/>
  <c r="R1467" i="16"/>
  <c r="S1467" i="16"/>
  <c r="T1467" i="16"/>
  <c r="AS1474" i="16" s="1"/>
  <c r="G1468" i="16"/>
  <c r="B1468" i="16"/>
  <c r="H1468" i="16"/>
  <c r="J1468" i="16"/>
  <c r="N1468" i="16"/>
  <c r="O1468" i="16"/>
  <c r="P1468" i="16"/>
  <c r="Q1468" i="16"/>
  <c r="R1468" i="16"/>
  <c r="S1468" i="16"/>
  <c r="T1468" i="16"/>
  <c r="AS1475" i="16" s="1"/>
  <c r="G1469" i="16"/>
  <c r="B1469" i="16"/>
  <c r="H1469" i="16"/>
  <c r="J1469" i="16"/>
  <c r="N1469" i="16"/>
  <c r="O1469" i="16"/>
  <c r="P1469" i="16"/>
  <c r="Q1469" i="16"/>
  <c r="R1469" i="16"/>
  <c r="S1469" i="16"/>
  <c r="T1469" i="16"/>
  <c r="AS1476" i="16" s="1"/>
  <c r="G1470" i="16"/>
  <c r="B1470" i="16"/>
  <c r="H1470" i="16"/>
  <c r="J1470" i="16"/>
  <c r="N1470" i="16"/>
  <c r="O1470" i="16"/>
  <c r="P1470" i="16"/>
  <c r="Q1470" i="16"/>
  <c r="R1470" i="16"/>
  <c r="S1470" i="16"/>
  <c r="T1470" i="16"/>
  <c r="AS1477" i="16" s="1"/>
  <c r="G1471" i="16"/>
  <c r="B1471" i="16"/>
  <c r="H1471" i="16"/>
  <c r="J1471" i="16"/>
  <c r="N1471" i="16"/>
  <c r="O1471" i="16"/>
  <c r="P1471" i="16"/>
  <c r="Q1471" i="16"/>
  <c r="R1471" i="16"/>
  <c r="S1471" i="16"/>
  <c r="T1471" i="16"/>
  <c r="AS1478" i="16" s="1"/>
  <c r="G1472" i="16"/>
  <c r="B1472" i="16"/>
  <c r="H1472" i="16"/>
  <c r="J1472" i="16"/>
  <c r="N1472" i="16"/>
  <c r="O1472" i="16"/>
  <c r="P1472" i="16"/>
  <c r="Q1472" i="16"/>
  <c r="R1472" i="16"/>
  <c r="S1472" i="16"/>
  <c r="T1472" i="16"/>
  <c r="AS1479" i="16" s="1"/>
  <c r="G1473" i="16"/>
  <c r="B1473" i="16"/>
  <c r="H1473" i="16"/>
  <c r="J1473" i="16"/>
  <c r="N1473" i="16"/>
  <c r="O1473" i="16"/>
  <c r="P1473" i="16"/>
  <c r="Q1473" i="16"/>
  <c r="R1473" i="16"/>
  <c r="S1473" i="16"/>
  <c r="T1473" i="16"/>
  <c r="AS1480" i="16" s="1"/>
  <c r="G1474" i="16"/>
  <c r="B1474" i="16"/>
  <c r="H1474" i="16"/>
  <c r="J1474" i="16"/>
  <c r="N1474" i="16"/>
  <c r="O1474" i="16"/>
  <c r="P1474" i="16"/>
  <c r="Q1474" i="16"/>
  <c r="R1474" i="16"/>
  <c r="S1474" i="16"/>
  <c r="T1474" i="16"/>
  <c r="AS1481" i="16" s="1"/>
  <c r="G1475" i="16"/>
  <c r="B1475" i="16"/>
  <c r="H1475" i="16"/>
  <c r="J1475" i="16"/>
  <c r="N1475" i="16"/>
  <c r="O1475" i="16"/>
  <c r="P1475" i="16"/>
  <c r="Q1475" i="16"/>
  <c r="R1475" i="16"/>
  <c r="S1475" i="16"/>
  <c r="T1475" i="16"/>
  <c r="AS1482" i="16" s="1"/>
  <c r="G1476" i="16"/>
  <c r="B1476" i="16"/>
  <c r="H1476" i="16"/>
  <c r="J1476" i="16"/>
  <c r="N1476" i="16"/>
  <c r="O1476" i="16"/>
  <c r="P1476" i="16"/>
  <c r="Q1476" i="16"/>
  <c r="R1476" i="16"/>
  <c r="S1476" i="16"/>
  <c r="T1476" i="16"/>
  <c r="AS1483" i="16" s="1"/>
  <c r="G1477" i="16"/>
  <c r="B1477" i="16"/>
  <c r="H1477" i="16"/>
  <c r="J1477" i="16"/>
  <c r="N1477" i="16"/>
  <c r="O1477" i="16"/>
  <c r="P1477" i="16"/>
  <c r="Q1477" i="16"/>
  <c r="R1477" i="16"/>
  <c r="S1477" i="16"/>
  <c r="T1477" i="16"/>
  <c r="AS1484" i="16" s="1"/>
  <c r="G1478" i="16"/>
  <c r="B1478" i="16"/>
  <c r="H1478" i="16"/>
  <c r="J1478" i="16"/>
  <c r="N1478" i="16"/>
  <c r="O1478" i="16"/>
  <c r="P1478" i="16"/>
  <c r="Q1478" i="16"/>
  <c r="R1478" i="16"/>
  <c r="S1478" i="16"/>
  <c r="T1478" i="16"/>
  <c r="AS1485" i="16" s="1"/>
  <c r="G1479" i="16"/>
  <c r="B1479" i="16"/>
  <c r="H1479" i="16"/>
  <c r="J1479" i="16"/>
  <c r="N1479" i="16"/>
  <c r="O1479" i="16"/>
  <c r="P1479" i="16"/>
  <c r="Q1479" i="16"/>
  <c r="R1479" i="16"/>
  <c r="S1479" i="16"/>
  <c r="T1479" i="16"/>
  <c r="AS1486" i="16" s="1"/>
  <c r="G1480" i="16"/>
  <c r="B1480" i="16"/>
  <c r="H1480" i="16"/>
  <c r="J1480" i="16"/>
  <c r="N1480" i="16"/>
  <c r="O1480" i="16"/>
  <c r="P1480" i="16"/>
  <c r="Q1480" i="16"/>
  <c r="R1480" i="16"/>
  <c r="S1480" i="16"/>
  <c r="T1480" i="16"/>
  <c r="AS1487" i="16" s="1"/>
  <c r="G1481" i="16"/>
  <c r="B1481" i="16"/>
  <c r="H1481" i="16"/>
  <c r="J1481" i="16"/>
  <c r="N1481" i="16"/>
  <c r="O1481" i="16"/>
  <c r="P1481" i="16"/>
  <c r="Q1481" i="16"/>
  <c r="R1481" i="16"/>
  <c r="S1481" i="16"/>
  <c r="T1481" i="16"/>
  <c r="AS1488" i="16" s="1"/>
  <c r="G1482" i="16"/>
  <c r="B1482" i="16"/>
  <c r="H1482" i="16"/>
  <c r="J1482" i="16"/>
  <c r="N1482" i="16"/>
  <c r="O1482" i="16"/>
  <c r="P1482" i="16"/>
  <c r="Q1482" i="16"/>
  <c r="R1482" i="16"/>
  <c r="S1482" i="16"/>
  <c r="T1482" i="16"/>
  <c r="AS1489" i="16" s="1"/>
  <c r="G1483" i="16"/>
  <c r="B1483" i="16"/>
  <c r="H1483" i="16"/>
  <c r="J1483" i="16"/>
  <c r="N1483" i="16"/>
  <c r="O1483" i="16"/>
  <c r="P1483" i="16"/>
  <c r="Q1483" i="16"/>
  <c r="R1483" i="16"/>
  <c r="S1483" i="16"/>
  <c r="T1483" i="16"/>
  <c r="AS1490" i="16" s="1"/>
  <c r="G1484" i="16"/>
  <c r="B1484" i="16"/>
  <c r="H1484" i="16"/>
  <c r="J1484" i="16"/>
  <c r="N1484" i="16"/>
  <c r="O1484" i="16"/>
  <c r="P1484" i="16"/>
  <c r="Q1484" i="16"/>
  <c r="R1484" i="16"/>
  <c r="S1484" i="16"/>
  <c r="T1484" i="16"/>
  <c r="AS1491" i="16" s="1"/>
  <c r="G1485" i="16"/>
  <c r="B1485" i="16"/>
  <c r="H1485" i="16"/>
  <c r="J1485" i="16"/>
  <c r="N1485" i="16"/>
  <c r="O1485" i="16"/>
  <c r="P1485" i="16"/>
  <c r="Q1485" i="16"/>
  <c r="R1485" i="16"/>
  <c r="S1485" i="16"/>
  <c r="T1485" i="16"/>
  <c r="AS1492" i="16" s="1"/>
  <c r="G1486" i="16"/>
  <c r="B1486" i="16"/>
  <c r="H1486" i="16"/>
  <c r="J1486" i="16"/>
  <c r="N1486" i="16"/>
  <c r="O1486" i="16"/>
  <c r="P1486" i="16"/>
  <c r="Q1486" i="16"/>
  <c r="R1486" i="16"/>
  <c r="S1486" i="16"/>
  <c r="T1486" i="16"/>
  <c r="AS1493" i="16" s="1"/>
  <c r="G1487" i="16"/>
  <c r="B1487" i="16"/>
  <c r="H1487" i="16"/>
  <c r="J1487" i="16"/>
  <c r="N1487" i="16"/>
  <c r="O1487" i="16"/>
  <c r="P1487" i="16"/>
  <c r="Q1487" i="16"/>
  <c r="R1487" i="16"/>
  <c r="S1487" i="16"/>
  <c r="T1487" i="16"/>
  <c r="AS1494" i="16" s="1"/>
  <c r="G1488" i="16"/>
  <c r="B1488" i="16"/>
  <c r="H1488" i="16"/>
  <c r="J1488" i="16"/>
  <c r="N1488" i="16"/>
  <c r="O1488" i="16"/>
  <c r="P1488" i="16"/>
  <c r="Q1488" i="16"/>
  <c r="R1488" i="16"/>
  <c r="S1488" i="16"/>
  <c r="T1488" i="16"/>
  <c r="AS1495" i="16" s="1"/>
  <c r="G1489" i="16"/>
  <c r="B1489" i="16"/>
  <c r="H1489" i="16"/>
  <c r="J1489" i="16"/>
  <c r="N1489" i="16"/>
  <c r="O1489" i="16"/>
  <c r="P1489" i="16"/>
  <c r="Q1489" i="16"/>
  <c r="R1489" i="16"/>
  <c r="S1489" i="16"/>
  <c r="T1489" i="16"/>
  <c r="AS1496" i="16" s="1"/>
  <c r="G1490" i="16"/>
  <c r="B1490" i="16"/>
  <c r="H1490" i="16"/>
  <c r="J1490" i="16"/>
  <c r="N1490" i="16"/>
  <c r="O1490" i="16"/>
  <c r="P1490" i="16"/>
  <c r="Q1490" i="16"/>
  <c r="R1490" i="16"/>
  <c r="S1490" i="16"/>
  <c r="T1490" i="16"/>
  <c r="AS1497" i="16" s="1"/>
  <c r="G1491" i="16"/>
  <c r="B1491" i="16"/>
  <c r="H1491" i="16"/>
  <c r="J1491" i="16"/>
  <c r="N1491" i="16"/>
  <c r="O1491" i="16"/>
  <c r="P1491" i="16"/>
  <c r="Q1491" i="16"/>
  <c r="R1491" i="16"/>
  <c r="S1491" i="16"/>
  <c r="T1491" i="16"/>
  <c r="AS1498" i="16" s="1"/>
  <c r="G1492" i="16"/>
  <c r="B1492" i="16"/>
  <c r="H1492" i="16"/>
  <c r="J1492" i="16"/>
  <c r="N1492" i="16"/>
  <c r="O1492" i="16"/>
  <c r="P1492" i="16"/>
  <c r="Q1492" i="16"/>
  <c r="R1492" i="16"/>
  <c r="S1492" i="16"/>
  <c r="T1492" i="16"/>
  <c r="AS1499" i="16" s="1"/>
  <c r="G1493" i="16"/>
  <c r="B1493" i="16"/>
  <c r="H1493" i="16"/>
  <c r="J1493" i="16"/>
  <c r="N1493" i="16"/>
  <c r="O1493" i="16"/>
  <c r="P1493" i="16"/>
  <c r="Q1493" i="16"/>
  <c r="R1493" i="16"/>
  <c r="S1493" i="16"/>
  <c r="T1493" i="16"/>
  <c r="AS1500" i="16" s="1"/>
  <c r="G1494" i="16"/>
  <c r="B1494" i="16"/>
  <c r="H1494" i="16"/>
  <c r="J1494" i="16"/>
  <c r="N1494" i="16"/>
  <c r="O1494" i="16"/>
  <c r="P1494" i="16"/>
  <c r="Q1494" i="16"/>
  <c r="R1494" i="16"/>
  <c r="S1494" i="16"/>
  <c r="T1494" i="16"/>
  <c r="AS1501" i="16" s="1"/>
  <c r="G1495" i="16"/>
  <c r="B1495" i="16"/>
  <c r="H1495" i="16"/>
  <c r="J1495" i="16"/>
  <c r="N1495" i="16"/>
  <c r="O1495" i="16"/>
  <c r="P1495" i="16"/>
  <c r="Q1495" i="16"/>
  <c r="R1495" i="16"/>
  <c r="S1495" i="16"/>
  <c r="T1495" i="16"/>
  <c r="AS1502" i="16" s="1"/>
  <c r="G1496" i="16"/>
  <c r="B1496" i="16"/>
  <c r="H1496" i="16"/>
  <c r="J1496" i="16"/>
  <c r="N1496" i="16"/>
  <c r="O1496" i="16"/>
  <c r="P1496" i="16"/>
  <c r="Q1496" i="16"/>
  <c r="R1496" i="16"/>
  <c r="S1496" i="16"/>
  <c r="T1496" i="16"/>
  <c r="AS1503" i="16" s="1"/>
  <c r="G1497" i="16"/>
  <c r="B1497" i="16"/>
  <c r="H1497" i="16"/>
  <c r="J1497" i="16"/>
  <c r="N1497" i="16"/>
  <c r="O1497" i="16"/>
  <c r="P1497" i="16"/>
  <c r="Q1497" i="16"/>
  <c r="R1497" i="16"/>
  <c r="S1497" i="16"/>
  <c r="T1497" i="16"/>
  <c r="AS1504" i="16" s="1"/>
  <c r="G1498" i="16"/>
  <c r="B1498" i="16"/>
  <c r="H1498" i="16"/>
  <c r="J1498" i="16"/>
  <c r="N1498" i="16"/>
  <c r="O1498" i="16"/>
  <c r="P1498" i="16"/>
  <c r="Q1498" i="16"/>
  <c r="R1498" i="16"/>
  <c r="S1498" i="16"/>
  <c r="T1498" i="16"/>
  <c r="AS1505" i="16" s="1"/>
  <c r="G1499" i="16"/>
  <c r="B1499" i="16"/>
  <c r="H1499" i="16"/>
  <c r="J1499" i="16"/>
  <c r="N1499" i="16"/>
  <c r="O1499" i="16"/>
  <c r="P1499" i="16"/>
  <c r="Q1499" i="16"/>
  <c r="R1499" i="16"/>
  <c r="S1499" i="16"/>
  <c r="T1499" i="16"/>
  <c r="AS1506" i="16" s="1"/>
  <c r="G1500" i="16"/>
  <c r="B1500" i="16"/>
  <c r="H1500" i="16"/>
  <c r="J1500" i="16"/>
  <c r="N1500" i="16"/>
  <c r="O1500" i="16"/>
  <c r="P1500" i="16"/>
  <c r="Q1500" i="16"/>
  <c r="R1500" i="16"/>
  <c r="S1500" i="16"/>
  <c r="T1500" i="16"/>
  <c r="AS1507" i="16" s="1"/>
  <c r="G1501" i="16"/>
  <c r="B1501" i="16"/>
  <c r="H1501" i="16"/>
  <c r="J1501" i="16"/>
  <c r="N1501" i="16"/>
  <c r="O1501" i="16"/>
  <c r="P1501" i="16"/>
  <c r="Q1501" i="16"/>
  <c r="R1501" i="16"/>
  <c r="S1501" i="16"/>
  <c r="T1501" i="16"/>
  <c r="AS1508" i="16" s="1"/>
  <c r="G1502" i="16"/>
  <c r="B1502" i="16"/>
  <c r="H1502" i="16"/>
  <c r="J1502" i="16"/>
  <c r="N1502" i="16"/>
  <c r="O1502" i="16"/>
  <c r="P1502" i="16"/>
  <c r="Q1502" i="16"/>
  <c r="R1502" i="16"/>
  <c r="S1502" i="16"/>
  <c r="T1502" i="16"/>
  <c r="AS1509" i="16" s="1"/>
  <c r="G1503" i="16"/>
  <c r="B1503" i="16"/>
  <c r="H1503" i="16"/>
  <c r="J1503" i="16"/>
  <c r="N1503" i="16"/>
  <c r="O1503" i="16"/>
  <c r="P1503" i="16"/>
  <c r="Q1503" i="16"/>
  <c r="R1503" i="16"/>
  <c r="S1503" i="16"/>
  <c r="T1503" i="16"/>
  <c r="AS1510" i="16" s="1"/>
  <c r="G1504" i="16"/>
  <c r="B1504" i="16"/>
  <c r="H1504" i="16"/>
  <c r="J1504" i="16"/>
  <c r="N1504" i="16"/>
  <c r="O1504" i="16"/>
  <c r="P1504" i="16"/>
  <c r="Q1504" i="16"/>
  <c r="R1504" i="16"/>
  <c r="S1504" i="16"/>
  <c r="T1504" i="16"/>
  <c r="AS1511" i="16" s="1"/>
  <c r="G1505" i="16"/>
  <c r="B1505" i="16"/>
  <c r="H1505" i="16"/>
  <c r="J1505" i="16"/>
  <c r="N1505" i="16"/>
  <c r="O1505" i="16"/>
  <c r="P1505" i="16"/>
  <c r="Q1505" i="16"/>
  <c r="R1505" i="16"/>
  <c r="S1505" i="16"/>
  <c r="T1505" i="16"/>
  <c r="AS1512" i="16" s="1"/>
  <c r="G1506" i="16"/>
  <c r="B1506" i="16"/>
  <c r="H1506" i="16"/>
  <c r="J1506" i="16"/>
  <c r="N1506" i="16"/>
  <c r="O1506" i="16"/>
  <c r="P1506" i="16"/>
  <c r="Q1506" i="16"/>
  <c r="R1506" i="16"/>
  <c r="S1506" i="16"/>
  <c r="T1506" i="16"/>
  <c r="AS1513" i="16" s="1"/>
  <c r="G1507" i="16"/>
  <c r="B1507" i="16"/>
  <c r="H1507" i="16"/>
  <c r="J1507" i="16"/>
  <c r="N1507" i="16"/>
  <c r="O1507" i="16"/>
  <c r="P1507" i="16"/>
  <c r="Q1507" i="16"/>
  <c r="R1507" i="16"/>
  <c r="S1507" i="16"/>
  <c r="T1507" i="16"/>
  <c r="AS1514" i="16" s="1"/>
  <c r="G1508" i="16"/>
  <c r="B1508" i="16"/>
  <c r="H1508" i="16"/>
  <c r="J1508" i="16"/>
  <c r="N1508" i="16"/>
  <c r="O1508" i="16"/>
  <c r="P1508" i="16"/>
  <c r="Q1508" i="16"/>
  <c r="R1508" i="16"/>
  <c r="S1508" i="16"/>
  <c r="T1508" i="16"/>
  <c r="AS1515" i="16" s="1"/>
  <c r="G1509" i="16"/>
  <c r="B1509" i="16"/>
  <c r="H1509" i="16"/>
  <c r="J1509" i="16"/>
  <c r="N1509" i="16"/>
  <c r="O1509" i="16"/>
  <c r="P1509" i="16"/>
  <c r="Q1509" i="16"/>
  <c r="R1509" i="16"/>
  <c r="S1509" i="16"/>
  <c r="T1509" i="16"/>
  <c r="AS1516" i="16" s="1"/>
  <c r="G1510" i="16"/>
  <c r="B1510" i="16"/>
  <c r="H1510" i="16"/>
  <c r="J1510" i="16"/>
  <c r="N1510" i="16"/>
  <c r="O1510" i="16"/>
  <c r="P1510" i="16"/>
  <c r="Q1510" i="16"/>
  <c r="R1510" i="16"/>
  <c r="S1510" i="16"/>
  <c r="T1510" i="16"/>
  <c r="AS1517" i="16" s="1"/>
  <c r="G1511" i="16"/>
  <c r="B1511" i="16"/>
  <c r="H1511" i="16"/>
  <c r="J1511" i="16"/>
  <c r="N1511" i="16"/>
  <c r="O1511" i="16"/>
  <c r="P1511" i="16"/>
  <c r="Q1511" i="16"/>
  <c r="R1511" i="16"/>
  <c r="S1511" i="16"/>
  <c r="T1511" i="16"/>
  <c r="AS1518" i="16" s="1"/>
  <c r="G1512" i="16"/>
  <c r="B1512" i="16"/>
  <c r="H1512" i="16"/>
  <c r="J1512" i="16"/>
  <c r="N1512" i="16"/>
  <c r="O1512" i="16"/>
  <c r="P1512" i="16"/>
  <c r="Q1512" i="16"/>
  <c r="R1512" i="16"/>
  <c r="S1512" i="16"/>
  <c r="T1512" i="16"/>
  <c r="AS1519" i="16" s="1"/>
  <c r="G1513" i="16"/>
  <c r="B1513" i="16"/>
  <c r="H1513" i="16"/>
  <c r="J1513" i="16"/>
  <c r="N1513" i="16"/>
  <c r="O1513" i="16"/>
  <c r="P1513" i="16"/>
  <c r="Q1513" i="16"/>
  <c r="R1513" i="16"/>
  <c r="S1513" i="16"/>
  <c r="T1513" i="16"/>
  <c r="AS1520" i="16" s="1"/>
  <c r="G1514" i="16"/>
  <c r="B1514" i="16"/>
  <c r="H1514" i="16"/>
  <c r="J1514" i="16"/>
  <c r="N1514" i="16"/>
  <c r="O1514" i="16"/>
  <c r="P1514" i="16"/>
  <c r="Q1514" i="16"/>
  <c r="R1514" i="16"/>
  <c r="S1514" i="16"/>
  <c r="T1514" i="16"/>
  <c r="AS1521" i="16" s="1"/>
  <c r="G1515" i="16"/>
  <c r="B1515" i="16"/>
  <c r="H1515" i="16"/>
  <c r="J1515" i="16"/>
  <c r="N1515" i="16"/>
  <c r="O1515" i="16"/>
  <c r="P1515" i="16"/>
  <c r="Q1515" i="16"/>
  <c r="R1515" i="16"/>
  <c r="S1515" i="16"/>
  <c r="T1515" i="16"/>
  <c r="AS1522" i="16" s="1"/>
  <c r="G1516" i="16"/>
  <c r="B1516" i="16"/>
  <c r="H1516" i="16"/>
  <c r="J1516" i="16"/>
  <c r="N1516" i="16"/>
  <c r="O1516" i="16"/>
  <c r="P1516" i="16"/>
  <c r="Q1516" i="16"/>
  <c r="R1516" i="16"/>
  <c r="S1516" i="16"/>
  <c r="T1516" i="16"/>
  <c r="AS1523" i="16" s="1"/>
  <c r="G1517" i="16"/>
  <c r="B1517" i="16"/>
  <c r="H1517" i="16"/>
  <c r="J1517" i="16"/>
  <c r="N1517" i="16"/>
  <c r="O1517" i="16"/>
  <c r="P1517" i="16"/>
  <c r="Q1517" i="16"/>
  <c r="R1517" i="16"/>
  <c r="S1517" i="16"/>
  <c r="T1517" i="16"/>
  <c r="AS1524" i="16" s="1"/>
  <c r="G1518" i="16"/>
  <c r="B1518" i="16"/>
  <c r="H1518" i="16"/>
  <c r="J1518" i="16"/>
  <c r="N1518" i="16"/>
  <c r="O1518" i="16"/>
  <c r="P1518" i="16"/>
  <c r="Q1518" i="16"/>
  <c r="R1518" i="16"/>
  <c r="S1518" i="16"/>
  <c r="T1518" i="16"/>
  <c r="AS1525" i="16" s="1"/>
  <c r="G1519" i="16"/>
  <c r="B1519" i="16"/>
  <c r="H1519" i="16"/>
  <c r="J1519" i="16"/>
  <c r="N1519" i="16"/>
  <c r="O1519" i="16"/>
  <c r="P1519" i="16"/>
  <c r="Q1519" i="16"/>
  <c r="R1519" i="16"/>
  <c r="S1519" i="16"/>
  <c r="T1519" i="16"/>
  <c r="AS1526" i="16" s="1"/>
  <c r="G1520" i="16"/>
  <c r="B1520" i="16"/>
  <c r="H1520" i="16"/>
  <c r="J1520" i="16"/>
  <c r="N1520" i="16"/>
  <c r="O1520" i="16"/>
  <c r="P1520" i="16"/>
  <c r="Q1520" i="16"/>
  <c r="R1520" i="16"/>
  <c r="S1520" i="16"/>
  <c r="T1520" i="16"/>
  <c r="AS1527" i="16" s="1"/>
  <c r="G1521" i="16"/>
  <c r="B1521" i="16"/>
  <c r="H1521" i="16"/>
  <c r="J1521" i="16"/>
  <c r="N1521" i="16"/>
  <c r="O1521" i="16"/>
  <c r="P1521" i="16"/>
  <c r="Q1521" i="16"/>
  <c r="R1521" i="16"/>
  <c r="S1521" i="16"/>
  <c r="T1521" i="16"/>
  <c r="AS1528" i="16" s="1"/>
  <c r="G1522" i="16"/>
  <c r="B1522" i="16"/>
  <c r="H1522" i="16"/>
  <c r="J1522" i="16"/>
  <c r="N1522" i="16"/>
  <c r="O1522" i="16"/>
  <c r="P1522" i="16"/>
  <c r="Q1522" i="16"/>
  <c r="R1522" i="16"/>
  <c r="S1522" i="16"/>
  <c r="T1522" i="16"/>
  <c r="AS1529" i="16" s="1"/>
  <c r="G1523" i="16"/>
  <c r="B1523" i="16"/>
  <c r="H1523" i="16"/>
  <c r="J1523" i="16"/>
  <c r="N1523" i="16"/>
  <c r="O1523" i="16"/>
  <c r="P1523" i="16"/>
  <c r="Q1523" i="16"/>
  <c r="R1523" i="16"/>
  <c r="S1523" i="16"/>
  <c r="T1523" i="16"/>
  <c r="AS1530" i="16" s="1"/>
  <c r="G1524" i="16"/>
  <c r="B1524" i="16"/>
  <c r="H1524" i="16"/>
  <c r="J1524" i="16"/>
  <c r="N1524" i="16"/>
  <c r="O1524" i="16"/>
  <c r="P1524" i="16"/>
  <c r="Q1524" i="16"/>
  <c r="R1524" i="16"/>
  <c r="S1524" i="16"/>
  <c r="T1524" i="16"/>
  <c r="AS1531" i="16" s="1"/>
  <c r="G1525" i="16"/>
  <c r="B1525" i="16"/>
  <c r="H1525" i="16"/>
  <c r="J1525" i="16"/>
  <c r="N1525" i="16"/>
  <c r="O1525" i="16"/>
  <c r="P1525" i="16"/>
  <c r="Q1525" i="16"/>
  <c r="R1525" i="16"/>
  <c r="S1525" i="16"/>
  <c r="T1525" i="16"/>
  <c r="AS1532" i="16" s="1"/>
  <c r="G1526" i="16"/>
  <c r="B1526" i="16"/>
  <c r="H1526" i="16"/>
  <c r="J1526" i="16"/>
  <c r="N1526" i="16"/>
  <c r="O1526" i="16"/>
  <c r="P1526" i="16"/>
  <c r="Q1526" i="16"/>
  <c r="R1526" i="16"/>
  <c r="S1526" i="16"/>
  <c r="T1526" i="16"/>
  <c r="AS1533" i="16" s="1"/>
  <c r="G1527" i="16"/>
  <c r="B1527" i="16"/>
  <c r="H1527" i="16"/>
  <c r="J1527" i="16"/>
  <c r="N1527" i="16"/>
  <c r="O1527" i="16"/>
  <c r="P1527" i="16"/>
  <c r="Q1527" i="16"/>
  <c r="R1527" i="16"/>
  <c r="S1527" i="16"/>
  <c r="T1527" i="16"/>
  <c r="AS1534" i="16" s="1"/>
  <c r="G1528" i="16"/>
  <c r="B1528" i="16"/>
  <c r="H1528" i="16"/>
  <c r="J1528" i="16"/>
  <c r="N1528" i="16"/>
  <c r="O1528" i="16"/>
  <c r="P1528" i="16"/>
  <c r="Q1528" i="16"/>
  <c r="R1528" i="16"/>
  <c r="S1528" i="16"/>
  <c r="T1528" i="16"/>
  <c r="AS1535" i="16" s="1"/>
  <c r="G1529" i="16"/>
  <c r="B1529" i="16"/>
  <c r="H1529" i="16"/>
  <c r="J1529" i="16"/>
  <c r="N1529" i="16"/>
  <c r="O1529" i="16"/>
  <c r="P1529" i="16"/>
  <c r="Q1529" i="16"/>
  <c r="R1529" i="16"/>
  <c r="S1529" i="16"/>
  <c r="T1529" i="16"/>
  <c r="AS1536" i="16" s="1"/>
  <c r="G1530" i="16"/>
  <c r="B1530" i="16"/>
  <c r="H1530" i="16"/>
  <c r="J1530" i="16"/>
  <c r="N1530" i="16"/>
  <c r="O1530" i="16"/>
  <c r="P1530" i="16"/>
  <c r="Q1530" i="16"/>
  <c r="R1530" i="16"/>
  <c r="S1530" i="16"/>
  <c r="T1530" i="16"/>
  <c r="AS1537" i="16" s="1"/>
  <c r="G1531" i="16"/>
  <c r="B1531" i="16"/>
  <c r="H1531" i="16"/>
  <c r="J1531" i="16"/>
  <c r="N1531" i="16"/>
  <c r="O1531" i="16"/>
  <c r="P1531" i="16"/>
  <c r="Q1531" i="16"/>
  <c r="R1531" i="16"/>
  <c r="S1531" i="16"/>
  <c r="T1531" i="16"/>
  <c r="AS1538" i="16" s="1"/>
  <c r="G1532" i="16"/>
  <c r="B1532" i="16"/>
  <c r="H1532" i="16"/>
  <c r="J1532" i="16"/>
  <c r="N1532" i="16"/>
  <c r="O1532" i="16"/>
  <c r="P1532" i="16"/>
  <c r="Q1532" i="16"/>
  <c r="R1532" i="16"/>
  <c r="S1532" i="16"/>
  <c r="T1532" i="16"/>
  <c r="AS1539" i="16" s="1"/>
  <c r="G1533" i="16"/>
  <c r="B1533" i="16"/>
  <c r="H1533" i="16"/>
  <c r="J1533" i="16"/>
  <c r="N1533" i="16"/>
  <c r="O1533" i="16"/>
  <c r="P1533" i="16"/>
  <c r="Q1533" i="16"/>
  <c r="R1533" i="16"/>
  <c r="S1533" i="16"/>
  <c r="T1533" i="16"/>
  <c r="AS1540" i="16" s="1"/>
  <c r="G1534" i="16"/>
  <c r="B1534" i="16"/>
  <c r="H1534" i="16"/>
  <c r="J1534" i="16"/>
  <c r="N1534" i="16"/>
  <c r="O1534" i="16"/>
  <c r="P1534" i="16"/>
  <c r="Q1534" i="16"/>
  <c r="R1534" i="16"/>
  <c r="S1534" i="16"/>
  <c r="T1534" i="16"/>
  <c r="AS1541" i="16" s="1"/>
  <c r="G1535" i="16"/>
  <c r="B1535" i="16"/>
  <c r="H1535" i="16"/>
  <c r="J1535" i="16"/>
  <c r="N1535" i="16"/>
  <c r="O1535" i="16"/>
  <c r="P1535" i="16"/>
  <c r="Q1535" i="16"/>
  <c r="R1535" i="16"/>
  <c r="S1535" i="16"/>
  <c r="T1535" i="16"/>
  <c r="AS1542" i="16" s="1"/>
  <c r="G1536" i="16"/>
  <c r="B1536" i="16"/>
  <c r="H1536" i="16"/>
  <c r="J1536" i="16"/>
  <c r="N1536" i="16"/>
  <c r="O1536" i="16"/>
  <c r="P1536" i="16"/>
  <c r="Q1536" i="16"/>
  <c r="R1536" i="16"/>
  <c r="S1536" i="16"/>
  <c r="T1536" i="16"/>
  <c r="AS1543" i="16" s="1"/>
  <c r="G1537" i="16"/>
  <c r="B1537" i="16"/>
  <c r="H1537" i="16"/>
  <c r="J1537" i="16"/>
  <c r="N1537" i="16"/>
  <c r="O1537" i="16"/>
  <c r="P1537" i="16"/>
  <c r="Q1537" i="16"/>
  <c r="R1537" i="16"/>
  <c r="S1537" i="16"/>
  <c r="T1537" i="16"/>
  <c r="AS1544" i="16" s="1"/>
  <c r="G1538" i="16"/>
  <c r="B1538" i="16"/>
  <c r="H1538" i="16"/>
  <c r="J1538" i="16"/>
  <c r="N1538" i="16"/>
  <c r="O1538" i="16"/>
  <c r="P1538" i="16"/>
  <c r="Q1538" i="16"/>
  <c r="R1538" i="16"/>
  <c r="S1538" i="16"/>
  <c r="T1538" i="16"/>
  <c r="AS1545" i="16" s="1"/>
  <c r="G1539" i="16"/>
  <c r="B1539" i="16"/>
  <c r="H1539" i="16"/>
  <c r="J1539" i="16"/>
  <c r="N1539" i="16"/>
  <c r="O1539" i="16"/>
  <c r="P1539" i="16"/>
  <c r="Q1539" i="16"/>
  <c r="R1539" i="16"/>
  <c r="S1539" i="16"/>
  <c r="T1539" i="16"/>
  <c r="AS1546" i="16" s="1"/>
  <c r="G1540" i="16"/>
  <c r="B1540" i="16"/>
  <c r="H1540" i="16"/>
  <c r="J1540" i="16"/>
  <c r="N1540" i="16"/>
  <c r="O1540" i="16"/>
  <c r="P1540" i="16"/>
  <c r="Q1540" i="16"/>
  <c r="R1540" i="16"/>
  <c r="S1540" i="16"/>
  <c r="T1540" i="16"/>
  <c r="AS1547" i="16" s="1"/>
  <c r="G1541" i="16"/>
  <c r="B1541" i="16"/>
  <c r="H1541" i="16"/>
  <c r="J1541" i="16"/>
  <c r="N1541" i="16"/>
  <c r="O1541" i="16"/>
  <c r="P1541" i="16"/>
  <c r="Q1541" i="16"/>
  <c r="R1541" i="16"/>
  <c r="S1541" i="16"/>
  <c r="T1541" i="16"/>
  <c r="AS1548" i="16" s="1"/>
  <c r="G1542" i="16"/>
  <c r="B1542" i="16"/>
  <c r="H1542" i="16"/>
  <c r="J1542" i="16"/>
  <c r="N1542" i="16"/>
  <c r="O1542" i="16"/>
  <c r="P1542" i="16"/>
  <c r="Q1542" i="16"/>
  <c r="R1542" i="16"/>
  <c r="S1542" i="16"/>
  <c r="T1542" i="16"/>
  <c r="AS1549" i="16" s="1"/>
  <c r="G1543" i="16"/>
  <c r="B1543" i="16"/>
  <c r="H1543" i="16"/>
  <c r="J1543" i="16"/>
  <c r="N1543" i="16"/>
  <c r="O1543" i="16"/>
  <c r="P1543" i="16"/>
  <c r="Q1543" i="16"/>
  <c r="R1543" i="16"/>
  <c r="S1543" i="16"/>
  <c r="T1543" i="16"/>
  <c r="AS1550" i="16" s="1"/>
  <c r="G1544" i="16"/>
  <c r="B1544" i="16"/>
  <c r="H1544" i="16"/>
  <c r="J1544" i="16"/>
  <c r="N1544" i="16"/>
  <c r="O1544" i="16"/>
  <c r="P1544" i="16"/>
  <c r="Q1544" i="16"/>
  <c r="R1544" i="16"/>
  <c r="S1544" i="16"/>
  <c r="T1544" i="16"/>
  <c r="AS1551" i="16" s="1"/>
  <c r="G1545" i="16"/>
  <c r="B1545" i="16"/>
  <c r="H1545" i="16"/>
  <c r="J1545" i="16"/>
  <c r="N1545" i="16"/>
  <c r="O1545" i="16"/>
  <c r="P1545" i="16"/>
  <c r="Q1545" i="16"/>
  <c r="R1545" i="16"/>
  <c r="S1545" i="16"/>
  <c r="T1545" i="16"/>
  <c r="AS1552" i="16" s="1"/>
  <c r="G1546" i="16"/>
  <c r="B1546" i="16"/>
  <c r="H1546" i="16"/>
  <c r="J1546" i="16"/>
  <c r="N1546" i="16"/>
  <c r="O1546" i="16"/>
  <c r="P1546" i="16"/>
  <c r="Q1546" i="16"/>
  <c r="R1546" i="16"/>
  <c r="S1546" i="16"/>
  <c r="T1546" i="16"/>
  <c r="AS1553" i="16" s="1"/>
  <c r="G1547" i="16"/>
  <c r="B1547" i="16"/>
  <c r="H1547" i="16"/>
  <c r="J1547" i="16"/>
  <c r="N1547" i="16"/>
  <c r="O1547" i="16"/>
  <c r="P1547" i="16"/>
  <c r="Q1547" i="16"/>
  <c r="R1547" i="16"/>
  <c r="S1547" i="16"/>
  <c r="T1547" i="16"/>
  <c r="AS1554" i="16" s="1"/>
  <c r="G1548" i="16"/>
  <c r="B1548" i="16"/>
  <c r="H1548" i="16"/>
  <c r="J1548" i="16"/>
  <c r="N1548" i="16"/>
  <c r="O1548" i="16"/>
  <c r="P1548" i="16"/>
  <c r="Q1548" i="16"/>
  <c r="R1548" i="16"/>
  <c r="S1548" i="16"/>
  <c r="T1548" i="16"/>
  <c r="AS1555" i="16" s="1"/>
  <c r="G1549" i="16"/>
  <c r="B1549" i="16"/>
  <c r="H1549" i="16"/>
  <c r="J1549" i="16"/>
  <c r="N1549" i="16"/>
  <c r="O1549" i="16"/>
  <c r="P1549" i="16"/>
  <c r="Q1549" i="16"/>
  <c r="R1549" i="16"/>
  <c r="S1549" i="16"/>
  <c r="T1549" i="16"/>
  <c r="AS1556" i="16" s="1"/>
  <c r="G1550" i="16"/>
  <c r="B1550" i="16"/>
  <c r="H1550" i="16"/>
  <c r="J1550" i="16"/>
  <c r="N1550" i="16"/>
  <c r="O1550" i="16"/>
  <c r="P1550" i="16"/>
  <c r="Q1550" i="16"/>
  <c r="R1550" i="16"/>
  <c r="S1550" i="16"/>
  <c r="T1550" i="16"/>
  <c r="AS1557" i="16" s="1"/>
  <c r="G1551" i="16"/>
  <c r="B1551" i="16"/>
  <c r="H1551" i="16"/>
  <c r="J1551" i="16"/>
  <c r="N1551" i="16"/>
  <c r="O1551" i="16"/>
  <c r="P1551" i="16"/>
  <c r="Q1551" i="16"/>
  <c r="R1551" i="16"/>
  <c r="S1551" i="16"/>
  <c r="T1551" i="16"/>
  <c r="AS1558" i="16" s="1"/>
  <c r="G1552" i="16"/>
  <c r="B1552" i="16"/>
  <c r="H1552" i="16"/>
  <c r="J1552" i="16"/>
  <c r="N1552" i="16"/>
  <c r="O1552" i="16"/>
  <c r="P1552" i="16"/>
  <c r="Q1552" i="16"/>
  <c r="R1552" i="16"/>
  <c r="S1552" i="16"/>
  <c r="T1552" i="16"/>
  <c r="AS1559" i="16" s="1"/>
  <c r="G1553" i="16"/>
  <c r="B1553" i="16"/>
  <c r="H1553" i="16"/>
  <c r="J1553" i="16"/>
  <c r="N1553" i="16"/>
  <c r="O1553" i="16"/>
  <c r="P1553" i="16"/>
  <c r="Q1553" i="16"/>
  <c r="R1553" i="16"/>
  <c r="S1553" i="16"/>
  <c r="T1553" i="16"/>
  <c r="AS1560" i="16" s="1"/>
  <c r="G1554" i="16"/>
  <c r="B1554" i="16"/>
  <c r="H1554" i="16"/>
  <c r="J1554" i="16"/>
  <c r="N1554" i="16"/>
  <c r="O1554" i="16"/>
  <c r="P1554" i="16"/>
  <c r="Q1554" i="16"/>
  <c r="R1554" i="16"/>
  <c r="S1554" i="16"/>
  <c r="T1554" i="16"/>
  <c r="AS1561" i="16" s="1"/>
  <c r="G1555" i="16"/>
  <c r="B1555" i="16"/>
  <c r="H1555" i="16"/>
  <c r="J1555" i="16"/>
  <c r="N1555" i="16"/>
  <c r="O1555" i="16"/>
  <c r="P1555" i="16"/>
  <c r="Q1555" i="16"/>
  <c r="R1555" i="16"/>
  <c r="S1555" i="16"/>
  <c r="T1555" i="16"/>
  <c r="AS1562" i="16" s="1"/>
  <c r="G1556" i="16"/>
  <c r="B1556" i="16"/>
  <c r="H1556" i="16"/>
  <c r="J1556" i="16"/>
  <c r="N1556" i="16"/>
  <c r="O1556" i="16"/>
  <c r="P1556" i="16"/>
  <c r="Q1556" i="16"/>
  <c r="R1556" i="16"/>
  <c r="S1556" i="16"/>
  <c r="T1556" i="16"/>
  <c r="AS1563" i="16" s="1"/>
  <c r="G1557" i="16"/>
  <c r="B1557" i="16"/>
  <c r="H1557" i="16"/>
  <c r="J1557" i="16"/>
  <c r="N1557" i="16"/>
  <c r="O1557" i="16"/>
  <c r="P1557" i="16"/>
  <c r="Q1557" i="16"/>
  <c r="R1557" i="16"/>
  <c r="S1557" i="16"/>
  <c r="T1557" i="16"/>
  <c r="AS1564" i="16" s="1"/>
  <c r="G1558" i="16"/>
  <c r="B1558" i="16"/>
  <c r="H1558" i="16"/>
  <c r="J1558" i="16"/>
  <c r="N1558" i="16"/>
  <c r="O1558" i="16"/>
  <c r="P1558" i="16"/>
  <c r="Q1558" i="16"/>
  <c r="R1558" i="16"/>
  <c r="S1558" i="16"/>
  <c r="T1558" i="16"/>
  <c r="AS1565" i="16" s="1"/>
  <c r="G1559" i="16"/>
  <c r="B1559" i="16"/>
  <c r="H1559" i="16"/>
  <c r="J1559" i="16"/>
  <c r="N1559" i="16"/>
  <c r="O1559" i="16"/>
  <c r="P1559" i="16"/>
  <c r="Q1559" i="16"/>
  <c r="R1559" i="16"/>
  <c r="S1559" i="16"/>
  <c r="T1559" i="16"/>
  <c r="AS1566" i="16" s="1"/>
  <c r="G1560" i="16"/>
  <c r="B1560" i="16"/>
  <c r="H1560" i="16"/>
  <c r="J1560" i="16"/>
  <c r="N1560" i="16"/>
  <c r="O1560" i="16"/>
  <c r="P1560" i="16"/>
  <c r="Q1560" i="16"/>
  <c r="R1560" i="16"/>
  <c r="S1560" i="16"/>
  <c r="T1560" i="16"/>
  <c r="AS1567" i="16" s="1"/>
  <c r="G1561" i="16"/>
  <c r="B1561" i="16"/>
  <c r="H1561" i="16"/>
  <c r="J1561" i="16"/>
  <c r="N1561" i="16"/>
  <c r="O1561" i="16"/>
  <c r="P1561" i="16"/>
  <c r="Q1561" i="16"/>
  <c r="R1561" i="16"/>
  <c r="S1561" i="16"/>
  <c r="T1561" i="16"/>
  <c r="AS1568" i="16" s="1"/>
  <c r="G1562" i="16"/>
  <c r="B1562" i="16"/>
  <c r="H1562" i="16"/>
  <c r="J1562" i="16"/>
  <c r="N1562" i="16"/>
  <c r="O1562" i="16"/>
  <c r="P1562" i="16"/>
  <c r="Q1562" i="16"/>
  <c r="R1562" i="16"/>
  <c r="S1562" i="16"/>
  <c r="T1562" i="16"/>
  <c r="AS1569" i="16" s="1"/>
  <c r="G1563" i="16"/>
  <c r="B1563" i="16"/>
  <c r="H1563" i="16"/>
  <c r="J1563" i="16"/>
  <c r="N1563" i="16"/>
  <c r="O1563" i="16"/>
  <c r="P1563" i="16"/>
  <c r="Q1563" i="16"/>
  <c r="R1563" i="16"/>
  <c r="S1563" i="16"/>
  <c r="T1563" i="16"/>
  <c r="AS1570" i="16" s="1"/>
  <c r="G1564" i="16"/>
  <c r="B1564" i="16"/>
  <c r="H1564" i="16"/>
  <c r="J1564" i="16"/>
  <c r="N1564" i="16"/>
  <c r="O1564" i="16"/>
  <c r="P1564" i="16"/>
  <c r="Q1564" i="16"/>
  <c r="R1564" i="16"/>
  <c r="S1564" i="16"/>
  <c r="T1564" i="16"/>
  <c r="AS1571" i="16" s="1"/>
  <c r="G1565" i="16"/>
  <c r="B1565" i="16"/>
  <c r="H1565" i="16"/>
  <c r="J1565" i="16"/>
  <c r="N1565" i="16"/>
  <c r="O1565" i="16"/>
  <c r="P1565" i="16"/>
  <c r="Q1565" i="16"/>
  <c r="R1565" i="16"/>
  <c r="S1565" i="16"/>
  <c r="T1565" i="16"/>
  <c r="AS1572" i="16" s="1"/>
  <c r="G1566" i="16"/>
  <c r="B1566" i="16"/>
  <c r="H1566" i="16"/>
  <c r="J1566" i="16"/>
  <c r="N1566" i="16"/>
  <c r="O1566" i="16"/>
  <c r="P1566" i="16"/>
  <c r="Q1566" i="16"/>
  <c r="R1566" i="16"/>
  <c r="S1566" i="16"/>
  <c r="T1566" i="16"/>
  <c r="AS1573" i="16" s="1"/>
  <c r="G1567" i="16"/>
  <c r="B1567" i="16"/>
  <c r="H1567" i="16"/>
  <c r="J1567" i="16"/>
  <c r="N1567" i="16"/>
  <c r="O1567" i="16"/>
  <c r="P1567" i="16"/>
  <c r="Q1567" i="16"/>
  <c r="R1567" i="16"/>
  <c r="S1567" i="16"/>
  <c r="T1567" i="16"/>
  <c r="AS1574" i="16" s="1"/>
  <c r="G1568" i="16"/>
  <c r="B1568" i="16"/>
  <c r="H1568" i="16"/>
  <c r="J1568" i="16"/>
  <c r="N1568" i="16"/>
  <c r="O1568" i="16"/>
  <c r="P1568" i="16"/>
  <c r="Q1568" i="16"/>
  <c r="R1568" i="16"/>
  <c r="S1568" i="16"/>
  <c r="T1568" i="16"/>
  <c r="AS1575" i="16" s="1"/>
  <c r="G1569" i="16"/>
  <c r="B1569" i="16"/>
  <c r="H1569" i="16"/>
  <c r="J1569" i="16"/>
  <c r="N1569" i="16"/>
  <c r="O1569" i="16"/>
  <c r="P1569" i="16"/>
  <c r="Q1569" i="16"/>
  <c r="R1569" i="16"/>
  <c r="S1569" i="16"/>
  <c r="T1569" i="16"/>
  <c r="AS1576" i="16" s="1"/>
  <c r="G1570" i="16"/>
  <c r="B1570" i="16"/>
  <c r="H1570" i="16"/>
  <c r="J1570" i="16"/>
  <c r="N1570" i="16"/>
  <c r="O1570" i="16"/>
  <c r="P1570" i="16"/>
  <c r="Q1570" i="16"/>
  <c r="R1570" i="16"/>
  <c r="S1570" i="16"/>
  <c r="T1570" i="16"/>
  <c r="AS1577" i="16" s="1"/>
  <c r="G1571" i="16"/>
  <c r="B1571" i="16"/>
  <c r="H1571" i="16"/>
  <c r="J1571" i="16"/>
  <c r="N1571" i="16"/>
  <c r="O1571" i="16"/>
  <c r="P1571" i="16"/>
  <c r="Q1571" i="16"/>
  <c r="R1571" i="16"/>
  <c r="S1571" i="16"/>
  <c r="T1571" i="16"/>
  <c r="AS1578" i="16" s="1"/>
  <c r="G1572" i="16"/>
  <c r="B1572" i="16"/>
  <c r="H1572" i="16"/>
  <c r="J1572" i="16"/>
  <c r="N1572" i="16"/>
  <c r="O1572" i="16"/>
  <c r="P1572" i="16"/>
  <c r="Q1572" i="16"/>
  <c r="R1572" i="16"/>
  <c r="S1572" i="16"/>
  <c r="T1572" i="16"/>
  <c r="AS1579" i="16" s="1"/>
  <c r="G1573" i="16"/>
  <c r="B1573" i="16"/>
  <c r="H1573" i="16"/>
  <c r="J1573" i="16"/>
  <c r="N1573" i="16"/>
  <c r="O1573" i="16"/>
  <c r="P1573" i="16"/>
  <c r="Q1573" i="16"/>
  <c r="R1573" i="16"/>
  <c r="S1573" i="16"/>
  <c r="T1573" i="16"/>
  <c r="AS1580" i="16" s="1"/>
  <c r="G1574" i="16"/>
  <c r="B1574" i="16"/>
  <c r="H1574" i="16"/>
  <c r="J1574" i="16"/>
  <c r="N1574" i="16"/>
  <c r="O1574" i="16"/>
  <c r="P1574" i="16"/>
  <c r="Q1574" i="16"/>
  <c r="R1574" i="16"/>
  <c r="S1574" i="16"/>
  <c r="T1574" i="16"/>
  <c r="AS1581" i="16" s="1"/>
  <c r="G1575" i="16"/>
  <c r="B1575" i="16"/>
  <c r="H1575" i="16"/>
  <c r="J1575" i="16"/>
  <c r="N1575" i="16"/>
  <c r="O1575" i="16"/>
  <c r="P1575" i="16"/>
  <c r="Q1575" i="16"/>
  <c r="R1575" i="16"/>
  <c r="S1575" i="16"/>
  <c r="T1575" i="16"/>
  <c r="AS1582" i="16" s="1"/>
  <c r="G1576" i="16"/>
  <c r="B1576" i="16"/>
  <c r="H1576" i="16"/>
  <c r="J1576" i="16"/>
  <c r="N1576" i="16"/>
  <c r="O1576" i="16"/>
  <c r="P1576" i="16"/>
  <c r="Q1576" i="16"/>
  <c r="R1576" i="16"/>
  <c r="S1576" i="16"/>
  <c r="T1576" i="16"/>
  <c r="AS1583" i="16" s="1"/>
  <c r="G1577" i="16"/>
  <c r="B1577" i="16"/>
  <c r="H1577" i="16"/>
  <c r="J1577" i="16"/>
  <c r="N1577" i="16"/>
  <c r="O1577" i="16"/>
  <c r="P1577" i="16"/>
  <c r="Q1577" i="16"/>
  <c r="R1577" i="16"/>
  <c r="S1577" i="16"/>
  <c r="T1577" i="16"/>
  <c r="AS1584" i="16" s="1"/>
  <c r="G1578" i="16"/>
  <c r="B1578" i="16"/>
  <c r="H1578" i="16"/>
  <c r="J1578" i="16"/>
  <c r="N1578" i="16"/>
  <c r="O1578" i="16"/>
  <c r="P1578" i="16"/>
  <c r="Q1578" i="16"/>
  <c r="R1578" i="16"/>
  <c r="S1578" i="16"/>
  <c r="T1578" i="16"/>
  <c r="AS1585" i="16" s="1"/>
  <c r="G1579" i="16"/>
  <c r="B1579" i="16"/>
  <c r="H1579" i="16"/>
  <c r="J1579" i="16"/>
  <c r="N1579" i="16"/>
  <c r="O1579" i="16"/>
  <c r="P1579" i="16"/>
  <c r="Q1579" i="16"/>
  <c r="R1579" i="16"/>
  <c r="S1579" i="16"/>
  <c r="T1579" i="16"/>
  <c r="AS1586" i="16" s="1"/>
  <c r="G1580" i="16"/>
  <c r="B1580" i="16"/>
  <c r="H1580" i="16"/>
  <c r="J1580" i="16"/>
  <c r="N1580" i="16"/>
  <c r="O1580" i="16"/>
  <c r="P1580" i="16"/>
  <c r="Q1580" i="16"/>
  <c r="R1580" i="16"/>
  <c r="S1580" i="16"/>
  <c r="T1580" i="16"/>
  <c r="AS1587" i="16" s="1"/>
  <c r="G1581" i="16"/>
  <c r="B1581" i="16"/>
  <c r="H1581" i="16"/>
  <c r="J1581" i="16"/>
  <c r="N1581" i="16"/>
  <c r="O1581" i="16"/>
  <c r="P1581" i="16"/>
  <c r="Q1581" i="16"/>
  <c r="R1581" i="16"/>
  <c r="S1581" i="16"/>
  <c r="T1581" i="16"/>
  <c r="AS1588" i="16" s="1"/>
  <c r="G1582" i="16"/>
  <c r="B1582" i="16"/>
  <c r="H1582" i="16"/>
  <c r="J1582" i="16"/>
  <c r="N1582" i="16"/>
  <c r="O1582" i="16"/>
  <c r="P1582" i="16"/>
  <c r="Q1582" i="16"/>
  <c r="R1582" i="16"/>
  <c r="S1582" i="16"/>
  <c r="T1582" i="16"/>
  <c r="AS1589" i="16" s="1"/>
  <c r="G1583" i="16"/>
  <c r="B1583" i="16"/>
  <c r="H1583" i="16"/>
  <c r="J1583" i="16"/>
  <c r="N1583" i="16"/>
  <c r="O1583" i="16"/>
  <c r="P1583" i="16"/>
  <c r="Q1583" i="16"/>
  <c r="R1583" i="16"/>
  <c r="S1583" i="16"/>
  <c r="T1583" i="16"/>
  <c r="AS1590" i="16" s="1"/>
  <c r="G1584" i="16"/>
  <c r="B1584" i="16"/>
  <c r="H1584" i="16"/>
  <c r="J1584" i="16"/>
  <c r="N1584" i="16"/>
  <c r="O1584" i="16"/>
  <c r="P1584" i="16"/>
  <c r="Q1584" i="16"/>
  <c r="R1584" i="16"/>
  <c r="S1584" i="16"/>
  <c r="T1584" i="16"/>
  <c r="AS1591" i="16" s="1"/>
  <c r="G1585" i="16"/>
  <c r="B1585" i="16"/>
  <c r="H1585" i="16"/>
  <c r="J1585" i="16"/>
  <c r="N1585" i="16"/>
  <c r="O1585" i="16"/>
  <c r="P1585" i="16"/>
  <c r="Q1585" i="16"/>
  <c r="R1585" i="16"/>
  <c r="S1585" i="16"/>
  <c r="T1585" i="16"/>
  <c r="AS1592" i="16" s="1"/>
  <c r="G1586" i="16"/>
  <c r="B1586" i="16"/>
  <c r="H1586" i="16"/>
  <c r="J1586" i="16"/>
  <c r="N1586" i="16"/>
  <c r="O1586" i="16"/>
  <c r="P1586" i="16"/>
  <c r="Q1586" i="16"/>
  <c r="R1586" i="16"/>
  <c r="S1586" i="16"/>
  <c r="T1586" i="16"/>
  <c r="AS1593" i="16" s="1"/>
  <c r="G1587" i="16"/>
  <c r="B1587" i="16"/>
  <c r="H1587" i="16"/>
  <c r="J1587" i="16"/>
  <c r="N1587" i="16"/>
  <c r="O1587" i="16"/>
  <c r="P1587" i="16"/>
  <c r="Q1587" i="16"/>
  <c r="R1587" i="16"/>
  <c r="S1587" i="16"/>
  <c r="T1587" i="16"/>
  <c r="AS1594" i="16" s="1"/>
  <c r="G1588" i="16"/>
  <c r="B1588" i="16"/>
  <c r="H1588" i="16"/>
  <c r="J1588" i="16"/>
  <c r="N1588" i="16"/>
  <c r="O1588" i="16"/>
  <c r="P1588" i="16"/>
  <c r="Q1588" i="16"/>
  <c r="R1588" i="16"/>
  <c r="S1588" i="16"/>
  <c r="T1588" i="16"/>
  <c r="AS1595" i="16" s="1"/>
  <c r="G1589" i="16"/>
  <c r="B1589" i="16"/>
  <c r="H1589" i="16"/>
  <c r="J1589" i="16"/>
  <c r="N1589" i="16"/>
  <c r="O1589" i="16"/>
  <c r="P1589" i="16"/>
  <c r="Q1589" i="16"/>
  <c r="R1589" i="16"/>
  <c r="S1589" i="16"/>
  <c r="T1589" i="16"/>
  <c r="AS1596" i="16" s="1"/>
  <c r="G1590" i="16"/>
  <c r="B1590" i="16"/>
  <c r="H1590" i="16"/>
  <c r="J1590" i="16"/>
  <c r="N1590" i="16"/>
  <c r="O1590" i="16"/>
  <c r="P1590" i="16"/>
  <c r="Q1590" i="16"/>
  <c r="R1590" i="16"/>
  <c r="S1590" i="16"/>
  <c r="T1590" i="16"/>
  <c r="AS1597" i="16" s="1"/>
  <c r="G1591" i="16"/>
  <c r="B1591" i="16"/>
  <c r="H1591" i="16"/>
  <c r="J1591" i="16"/>
  <c r="N1591" i="16"/>
  <c r="O1591" i="16"/>
  <c r="P1591" i="16"/>
  <c r="Q1591" i="16"/>
  <c r="R1591" i="16"/>
  <c r="S1591" i="16"/>
  <c r="T1591" i="16"/>
  <c r="AS1598" i="16" s="1"/>
  <c r="G1592" i="16"/>
  <c r="B1592" i="16"/>
  <c r="H1592" i="16"/>
  <c r="J1592" i="16"/>
  <c r="N1592" i="16"/>
  <c r="O1592" i="16"/>
  <c r="P1592" i="16"/>
  <c r="Q1592" i="16"/>
  <c r="R1592" i="16"/>
  <c r="S1592" i="16"/>
  <c r="T1592" i="16"/>
  <c r="AS1599" i="16" s="1"/>
  <c r="G1593" i="16"/>
  <c r="B1593" i="16"/>
  <c r="H1593" i="16"/>
  <c r="J1593" i="16"/>
  <c r="N1593" i="16"/>
  <c r="O1593" i="16"/>
  <c r="P1593" i="16"/>
  <c r="Q1593" i="16"/>
  <c r="R1593" i="16"/>
  <c r="S1593" i="16"/>
  <c r="T1593" i="16"/>
  <c r="AS1600" i="16" s="1"/>
  <c r="G1594" i="16"/>
  <c r="B1594" i="16"/>
  <c r="H1594" i="16"/>
  <c r="J1594" i="16"/>
  <c r="N1594" i="16"/>
  <c r="O1594" i="16"/>
  <c r="P1594" i="16"/>
  <c r="Q1594" i="16"/>
  <c r="R1594" i="16"/>
  <c r="S1594" i="16"/>
  <c r="T1594" i="16"/>
  <c r="AS1601" i="16" s="1"/>
  <c r="G1595" i="16"/>
  <c r="B1595" i="16"/>
  <c r="H1595" i="16"/>
  <c r="J1595" i="16"/>
  <c r="N1595" i="16"/>
  <c r="O1595" i="16"/>
  <c r="P1595" i="16"/>
  <c r="Q1595" i="16"/>
  <c r="R1595" i="16"/>
  <c r="S1595" i="16"/>
  <c r="T1595" i="16"/>
  <c r="AS1602" i="16" s="1"/>
  <c r="G1596" i="16"/>
  <c r="B1596" i="16"/>
  <c r="H1596" i="16"/>
  <c r="J1596" i="16"/>
  <c r="N1596" i="16"/>
  <c r="O1596" i="16"/>
  <c r="P1596" i="16"/>
  <c r="Q1596" i="16"/>
  <c r="R1596" i="16"/>
  <c r="S1596" i="16"/>
  <c r="T1596" i="16"/>
  <c r="AS1603" i="16" s="1"/>
  <c r="G1597" i="16"/>
  <c r="B1597" i="16"/>
  <c r="H1597" i="16"/>
  <c r="J1597" i="16"/>
  <c r="N1597" i="16"/>
  <c r="O1597" i="16"/>
  <c r="P1597" i="16"/>
  <c r="Q1597" i="16"/>
  <c r="R1597" i="16"/>
  <c r="S1597" i="16"/>
  <c r="T1597" i="16"/>
  <c r="AS1604" i="16" s="1"/>
  <c r="G1598" i="16"/>
  <c r="B1598" i="16"/>
  <c r="H1598" i="16"/>
  <c r="J1598" i="16"/>
  <c r="N1598" i="16"/>
  <c r="O1598" i="16"/>
  <c r="P1598" i="16"/>
  <c r="Q1598" i="16"/>
  <c r="R1598" i="16"/>
  <c r="S1598" i="16"/>
  <c r="T1598" i="16"/>
  <c r="AS1605" i="16" s="1"/>
  <c r="G1599" i="16"/>
  <c r="B1599" i="16"/>
  <c r="H1599" i="16"/>
  <c r="J1599" i="16"/>
  <c r="N1599" i="16"/>
  <c r="O1599" i="16"/>
  <c r="P1599" i="16"/>
  <c r="Q1599" i="16"/>
  <c r="R1599" i="16"/>
  <c r="S1599" i="16"/>
  <c r="T1599" i="16"/>
  <c r="AS1606" i="16" s="1"/>
  <c r="G1600" i="16"/>
  <c r="B1600" i="16"/>
  <c r="H1600" i="16"/>
  <c r="J1600" i="16"/>
  <c r="N1600" i="16"/>
  <c r="O1600" i="16"/>
  <c r="P1600" i="16"/>
  <c r="Q1600" i="16"/>
  <c r="R1600" i="16"/>
  <c r="S1600" i="16"/>
  <c r="T1600" i="16"/>
  <c r="AS1607" i="16" s="1"/>
  <c r="G2" i="16"/>
  <c r="AT2" i="2"/>
  <c r="AT3" i="2"/>
  <c r="AT4" i="2"/>
  <c r="H16" i="19"/>
  <c r="H18" i="19"/>
  <c r="I739" i="16" l="1"/>
  <c r="V740" i="2"/>
  <c r="N1212" i="16"/>
  <c r="AF1213" i="2"/>
  <c r="N1213" i="16" s="1"/>
  <c r="H1212" i="16"/>
  <c r="U1213" i="2"/>
  <c r="H1213" i="16" s="1"/>
  <c r="A1212" i="16"/>
  <c r="T1213" i="2"/>
  <c r="A1213" i="16" s="1"/>
  <c r="V992" i="2"/>
  <c r="V1056" i="2"/>
  <c r="I1056" i="16" s="1"/>
  <c r="V868" i="2"/>
  <c r="I868" i="16" s="1"/>
  <c r="V854" i="2"/>
  <c r="I854" i="16" s="1"/>
  <c r="V785" i="2"/>
  <c r="I785" i="16" s="1"/>
  <c r="V709" i="2"/>
  <c r="I709" i="16" s="1"/>
  <c r="V1213" i="2"/>
  <c r="I1213" i="16" s="1"/>
  <c r="V1165" i="2"/>
  <c r="I1165" i="16" s="1"/>
  <c r="V1127" i="2"/>
  <c r="I1127" i="16" s="1"/>
  <c r="V1115" i="2"/>
  <c r="I1115" i="16" s="1"/>
  <c r="V972" i="2"/>
  <c r="I972" i="16" s="1"/>
  <c r="V675" i="2"/>
  <c r="I675" i="16" s="1"/>
  <c r="V645" i="2"/>
  <c r="I645" i="16" s="1"/>
  <c r="V1162" i="2"/>
  <c r="I1162" i="16" s="1"/>
  <c r="V983" i="2"/>
  <c r="I983" i="16" s="1"/>
  <c r="V916" i="2"/>
  <c r="I916" i="16" s="1"/>
  <c r="V901" i="2"/>
  <c r="I901" i="16" s="1"/>
  <c r="V821" i="2"/>
  <c r="I821" i="16" s="1"/>
  <c r="V731" i="2"/>
  <c r="I731" i="16" s="1"/>
  <c r="V569" i="2"/>
  <c r="AG1213" i="2"/>
  <c r="V686" i="2"/>
  <c r="I686" i="16" s="1"/>
  <c r="V582" i="2"/>
  <c r="V111" i="2"/>
  <c r="I111" i="16" s="1"/>
  <c r="V817" i="2"/>
  <c r="V78" i="2"/>
  <c r="V103" i="2"/>
  <c r="I103" i="16" s="1"/>
  <c r="AD102" i="2"/>
  <c r="AK102" i="2"/>
  <c r="AL102" i="2"/>
  <c r="AD229" i="2"/>
  <c r="AL229" i="2"/>
  <c r="AK229" i="2"/>
  <c r="AD230" i="2"/>
  <c r="AK230" i="2"/>
  <c r="AL230" i="2"/>
  <c r="AD337" i="2"/>
  <c r="AK337" i="2"/>
  <c r="AL337" i="2"/>
  <c r="AD364" i="2"/>
  <c r="AL364" i="2"/>
  <c r="AK364" i="2"/>
  <c r="AD393" i="2"/>
  <c r="AK393" i="2"/>
  <c r="AL393" i="2"/>
  <c r="AD400" i="2"/>
  <c r="AK400" i="2"/>
  <c r="AL400" i="2"/>
  <c r="AD401" i="2"/>
  <c r="AK401" i="2"/>
  <c r="AL401" i="2"/>
  <c r="AD402" i="2"/>
  <c r="AK402" i="2"/>
  <c r="AL402" i="2"/>
  <c r="AD413" i="2"/>
  <c r="AK413" i="2"/>
  <c r="AL413" i="2"/>
  <c r="AD468" i="2"/>
  <c r="AK468" i="2"/>
  <c r="AL468" i="2"/>
  <c r="AD469" i="2"/>
  <c r="AK469" i="2"/>
  <c r="AL469" i="2"/>
  <c r="AD480" i="2"/>
  <c r="AK480" i="2"/>
  <c r="AL480" i="2"/>
  <c r="AD517" i="2"/>
  <c r="AL517" i="2"/>
  <c r="AK517" i="2"/>
  <c r="AD532" i="2"/>
  <c r="AD566" i="2"/>
  <c r="AD664" i="2"/>
  <c r="AD683" i="2"/>
  <c r="AD718" i="2"/>
  <c r="AD723" i="2"/>
  <c r="AK723" i="2"/>
  <c r="AL723" i="2"/>
  <c r="AD734" i="2"/>
  <c r="AD735" i="2"/>
  <c r="AD740" i="2"/>
  <c r="AD742" i="2"/>
  <c r="AD760" i="2"/>
  <c r="AD761" i="2"/>
  <c r="AD762" i="2"/>
  <c r="AD783" i="2"/>
  <c r="AD790" i="2"/>
  <c r="AD796" i="2"/>
  <c r="AD806" i="2"/>
  <c r="AD815" i="2"/>
  <c r="AL815" i="2"/>
  <c r="AK815" i="2"/>
  <c r="AD816" i="2"/>
  <c r="AD817" i="2"/>
  <c r="AD818" i="2"/>
  <c r="AD827" i="2"/>
  <c r="AD828" i="2"/>
  <c r="AD860" i="2"/>
  <c r="AD884" i="2"/>
  <c r="AD885" i="2"/>
  <c r="AD892" i="2"/>
  <c r="AD895" i="2"/>
  <c r="AD896" i="2"/>
  <c r="AD897" i="2"/>
  <c r="AD903" i="2"/>
  <c r="AD910" i="2"/>
  <c r="AD921" i="2"/>
  <c r="AD929" i="2"/>
  <c r="AL929" i="2"/>
  <c r="AK929" i="2"/>
  <c r="AD930" i="2"/>
  <c r="AL930" i="2"/>
  <c r="AK930" i="2"/>
  <c r="AD931" i="2"/>
  <c r="AD974" i="2"/>
  <c r="AD975" i="2"/>
  <c r="AD981" i="2"/>
  <c r="AD982" i="2"/>
  <c r="AD984" i="2"/>
  <c r="AD992" i="2"/>
  <c r="AD1002" i="2"/>
  <c r="AD1004" i="2"/>
  <c r="AD1005" i="2"/>
  <c r="AD1016" i="2"/>
  <c r="AD1017" i="2"/>
  <c r="AD1050" i="2"/>
  <c r="AD1072" i="2"/>
  <c r="AD1073" i="2"/>
  <c r="AL1073" i="2"/>
  <c r="AK1073" i="2"/>
  <c r="AD1096" i="2"/>
  <c r="AD1097" i="2"/>
  <c r="AD1098" i="2"/>
  <c r="AK1098" i="2"/>
  <c r="AL1098" i="2"/>
  <c r="AD1099" i="2"/>
  <c r="AD1142" i="2"/>
  <c r="AD1154" i="2"/>
  <c r="AL1154" i="2"/>
  <c r="AK1154" i="2"/>
  <c r="AD1212" i="2"/>
  <c r="AD1216" i="2"/>
  <c r="W1216" i="2"/>
  <c r="K1216" i="16" s="1"/>
  <c r="AD1220" i="2"/>
  <c r="W1220" i="2"/>
  <c r="K1220" i="16" s="1"/>
  <c r="AD1223" i="2"/>
  <c r="W1223" i="2"/>
  <c r="K1223" i="16" s="1"/>
  <c r="V23" i="2"/>
  <c r="I23" i="16" s="1"/>
  <c r="I22" i="16"/>
  <c r="V115" i="2"/>
  <c r="I115" i="16" s="1"/>
  <c r="I114" i="16"/>
  <c r="V155" i="2"/>
  <c r="I155" i="16" s="1"/>
  <c r="I154" i="16"/>
  <c r="V211" i="2"/>
  <c r="I211" i="16" s="1"/>
  <c r="I210" i="16"/>
  <c r="AH1224" i="2"/>
  <c r="P1224" i="16" s="1"/>
  <c r="AI1224" i="2"/>
  <c r="Q1224" i="16" s="1"/>
  <c r="O1215" i="16"/>
  <c r="L451" i="5"/>
  <c r="I426" i="16"/>
  <c r="AO1216" i="2"/>
  <c r="AP1216" i="2" s="1"/>
  <c r="AL1224" i="2"/>
  <c r="I364" i="16"/>
  <c r="V964" i="2"/>
  <c r="I964" i="16" s="1"/>
  <c r="W1228" i="2"/>
  <c r="K1228" i="16" s="1"/>
  <c r="I598" i="16"/>
  <c r="I762" i="16"/>
  <c r="I1001" i="16"/>
  <c r="AH1221" i="2"/>
  <c r="AI1221" i="2" s="1"/>
  <c r="AK1221" i="2"/>
  <c r="I506" i="16"/>
  <c r="I355" i="16"/>
  <c r="V385" i="2"/>
  <c r="I385" i="16" s="1"/>
  <c r="AD394" i="2"/>
  <c r="O1214" i="16"/>
  <c r="O1218" i="16"/>
  <c r="I221" i="16"/>
  <c r="I283" i="16"/>
  <c r="O1212" i="16"/>
  <c r="I962" i="16"/>
  <c r="I617" i="16"/>
  <c r="I520" i="16"/>
  <c r="I734" i="16"/>
  <c r="I1096" i="16"/>
  <c r="AH1214" i="2"/>
  <c r="AM1224" i="2"/>
  <c r="I326" i="16"/>
  <c r="V676" i="2"/>
  <c r="I676" i="16" s="1"/>
  <c r="I596" i="16"/>
  <c r="I1141" i="16"/>
  <c r="I974" i="16"/>
  <c r="I806" i="16"/>
  <c r="I758" i="16"/>
  <c r="I389" i="16"/>
  <c r="O1224" i="16"/>
  <c r="O1221" i="16"/>
  <c r="I755" i="16"/>
  <c r="I652" i="16"/>
  <c r="I499" i="16"/>
  <c r="I254" i="16"/>
  <c r="V268" i="2"/>
  <c r="I268" i="16" s="1"/>
  <c r="I580" i="16"/>
  <c r="O1217" i="16"/>
  <c r="I579" i="16"/>
  <c r="W1219" i="2"/>
  <c r="K1219" i="16" s="1"/>
  <c r="I640" i="16"/>
  <c r="I162" i="16"/>
  <c r="I122" i="16"/>
  <c r="I33" i="16"/>
  <c r="V733" i="2"/>
  <c r="I733" i="16" s="1"/>
  <c r="I782" i="16"/>
  <c r="V248" i="2"/>
  <c r="I248" i="16" s="1"/>
  <c r="I683" i="16"/>
  <c r="AH1217" i="2"/>
  <c r="AH1218" i="2"/>
  <c r="P1218" i="16" s="1"/>
  <c r="AI1222" i="2"/>
  <c r="Q1222" i="16" s="1"/>
  <c r="I981" i="16"/>
  <c r="I330" i="16"/>
  <c r="AL1218" i="2"/>
  <c r="AL1221" i="2"/>
  <c r="V796" i="2"/>
  <c r="I796" i="16" s="1"/>
  <c r="I724" i="16"/>
  <c r="I672" i="16"/>
  <c r="I470" i="16"/>
  <c r="V984" i="2"/>
  <c r="I984" i="16" s="1"/>
  <c r="V931" i="2"/>
  <c r="I931" i="16" s="1"/>
  <c r="I930" i="16"/>
  <c r="V256" i="2"/>
  <c r="I256" i="16" s="1"/>
  <c r="I255" i="16"/>
  <c r="I929" i="16"/>
  <c r="I202" i="16"/>
  <c r="I80" i="16"/>
  <c r="I827" i="16"/>
  <c r="I659" i="16"/>
  <c r="I497" i="16"/>
  <c r="I412" i="16"/>
  <c r="I294" i="16"/>
  <c r="I272" i="16"/>
  <c r="I179" i="16"/>
  <c r="I136" i="16"/>
  <c r="I21" i="16"/>
  <c r="V639" i="2"/>
  <c r="I639" i="16" s="1"/>
  <c r="AL1219" i="2"/>
  <c r="I479" i="16"/>
  <c r="I142" i="16"/>
  <c r="I1050" i="16"/>
  <c r="I706" i="16"/>
  <c r="I198" i="16"/>
  <c r="V804" i="2"/>
  <c r="I804" i="16" s="1"/>
  <c r="V723" i="2"/>
  <c r="I723" i="16" s="1"/>
  <c r="I175" i="16"/>
  <c r="O1222" i="16"/>
  <c r="I130" i="16"/>
  <c r="I112" i="16"/>
  <c r="AL1227" i="2"/>
  <c r="O1227" i="16"/>
  <c r="O1228" i="16"/>
  <c r="O1226" i="16"/>
  <c r="O1219" i="16"/>
  <c r="O1216" i="16"/>
  <c r="W1224" i="2"/>
  <c r="K1224" i="16" s="1"/>
  <c r="X1224" i="2"/>
  <c r="L1224" i="16" s="1"/>
  <c r="I1098" i="16"/>
  <c r="I921" i="16"/>
  <c r="I566" i="16"/>
  <c r="I262" i="16"/>
  <c r="V892" i="2"/>
  <c r="I892" i="16" s="1"/>
  <c r="AK1212" i="2"/>
  <c r="AM1212" i="2" s="1"/>
  <c r="AK1216" i="2"/>
  <c r="AM1216" i="2" s="1"/>
  <c r="AH1226" i="2"/>
  <c r="P1226" i="16" s="1"/>
  <c r="AN1228" i="2"/>
  <c r="I642" i="16"/>
  <c r="I166" i="16"/>
  <c r="I30" i="16"/>
  <c r="AN1212" i="2"/>
  <c r="AN1216" i="2"/>
  <c r="I1072" i="16"/>
  <c r="L449" i="5"/>
  <c r="M452" i="5"/>
  <c r="AF1440" i="16"/>
  <c r="AF1506" i="16"/>
  <c r="AF1434" i="16"/>
  <c r="AF1498" i="16"/>
  <c r="AF1462" i="16"/>
  <c r="AF1414" i="16"/>
  <c r="AF1402" i="16"/>
  <c r="AF1570" i="16"/>
  <c r="AF1558" i="16"/>
  <c r="AF1543" i="16"/>
  <c r="AF1363" i="16"/>
  <c r="AF1339" i="16"/>
  <c r="AF1561" i="16"/>
  <c r="AC1599" i="16"/>
  <c r="AF1588" i="16"/>
  <c r="AF1504" i="16"/>
  <c r="AF1468" i="16"/>
  <c r="AF1420" i="16"/>
  <c r="AF1408" i="16"/>
  <c r="AF1396" i="16"/>
  <c r="AF1348" i="16"/>
  <c r="V369" i="2"/>
  <c r="I369" i="16" s="1"/>
  <c r="I368" i="16"/>
  <c r="V341" i="2"/>
  <c r="I341" i="16" s="1"/>
  <c r="I340" i="16"/>
  <c r="AF1509" i="16"/>
  <c r="AF1485" i="16"/>
  <c r="AL1212" i="2"/>
  <c r="AK1217" i="2"/>
  <c r="AM1217" i="2" s="1"/>
  <c r="AH1220" i="2"/>
  <c r="AI1220" i="2" s="1"/>
  <c r="AL1220" i="2"/>
  <c r="AN1220" i="2" s="1"/>
  <c r="AK1220" i="2"/>
  <c r="AD1586" i="16"/>
  <c r="AL1214" i="2"/>
  <c r="AH1215" i="2"/>
  <c r="P1215" i="16" s="1"/>
  <c r="AN1223" i="2"/>
  <c r="AL1223" i="2"/>
  <c r="AL1225" i="2"/>
  <c r="AK1225" i="2"/>
  <c r="AF1587" i="16"/>
  <c r="AF1503" i="16"/>
  <c r="AH1225" i="2"/>
  <c r="P1225" i="16" s="1"/>
  <c r="AL1215" i="2"/>
  <c r="AK1228" i="2"/>
  <c r="AM1228" i="2" s="1"/>
  <c r="AL1228" i="2"/>
  <c r="AL1216" i="2"/>
  <c r="AK1224" i="2"/>
  <c r="I399" i="16"/>
  <c r="V400" i="2"/>
  <c r="V358" i="2"/>
  <c r="I358" i="16" s="1"/>
  <c r="I357" i="16"/>
  <c r="V258" i="2"/>
  <c r="I258" i="16" s="1"/>
  <c r="I257" i="16"/>
  <c r="V217" i="2"/>
  <c r="I217" i="16" s="1"/>
  <c r="I216" i="16"/>
  <c r="V126" i="2"/>
  <c r="I126" i="16" s="1"/>
  <c r="I125" i="16"/>
  <c r="V601" i="2"/>
  <c r="I601" i="16" s="1"/>
  <c r="I600" i="16"/>
  <c r="V320" i="2"/>
  <c r="I320" i="16" s="1"/>
  <c r="I319" i="16"/>
  <c r="V209" i="2"/>
  <c r="I209" i="16" s="1"/>
  <c r="I208" i="16"/>
  <c r="I623" i="16"/>
  <c r="V624" i="2"/>
  <c r="I624" i="16" s="1"/>
  <c r="M450" i="5"/>
  <c r="N450" i="5"/>
  <c r="V738" i="2"/>
  <c r="I738" i="16" s="1"/>
  <c r="I737" i="16"/>
  <c r="V682" i="2"/>
  <c r="I682" i="16" s="1"/>
  <c r="I681" i="16"/>
  <c r="N452" i="5"/>
  <c r="V910" i="2"/>
  <c r="I910" i="16" s="1"/>
  <c r="I909" i="16"/>
  <c r="V895" i="2"/>
  <c r="I895" i="16" s="1"/>
  <c r="I894" i="16"/>
  <c r="V680" i="2"/>
  <c r="I680" i="16" s="1"/>
  <c r="I679" i="16"/>
  <c r="I663" i="16"/>
  <c r="V664" i="2"/>
  <c r="J452" i="5"/>
  <c r="V761" i="2"/>
  <c r="I761" i="16" s="1"/>
  <c r="I760" i="16"/>
  <c r="V533" i="2"/>
  <c r="I532" i="16"/>
  <c r="V285" i="2"/>
  <c r="I285" i="16" s="1"/>
  <c r="I284" i="16"/>
  <c r="V790" i="2"/>
  <c r="I790" i="16" s="1"/>
  <c r="I789" i="16"/>
  <c r="V323" i="2"/>
  <c r="I323" i="16" s="1"/>
  <c r="I322" i="16"/>
  <c r="V815" i="2"/>
  <c r="I815" i="16" s="1"/>
  <c r="I814" i="16"/>
  <c r="V393" i="2"/>
  <c r="I393" i="16" s="1"/>
  <c r="I392" i="16"/>
  <c r="V718" i="2"/>
  <c r="I718" i="16" s="1"/>
  <c r="I717" i="16"/>
  <c r="V703" i="2"/>
  <c r="I703" i="16" s="1"/>
  <c r="I702" i="16"/>
  <c r="V407" i="2"/>
  <c r="I407" i="16" s="1"/>
  <c r="I406" i="16"/>
  <c r="V223" i="2"/>
  <c r="V224" i="2" s="1"/>
  <c r="I224" i="16" s="1"/>
  <c r="I222" i="16"/>
  <c r="I63" i="16"/>
  <c r="V64" i="2"/>
  <c r="I64" i="16" s="1"/>
  <c r="V607" i="2"/>
  <c r="I607" i="16" s="1"/>
  <c r="I606" i="16"/>
  <c r="I379" i="16"/>
  <c r="V277" i="2"/>
  <c r="I277" i="16" s="1"/>
  <c r="I276" i="16"/>
  <c r="I468" i="16"/>
  <c r="V271" i="2"/>
  <c r="I271" i="16" s="1"/>
  <c r="I270" i="16"/>
  <c r="AD1227" i="2"/>
  <c r="AD1215" i="2"/>
  <c r="M449" i="5"/>
  <c r="O449" i="5" s="1"/>
  <c r="N451" i="5"/>
  <c r="J449" i="5"/>
  <c r="L450" i="5"/>
  <c r="X1225" i="2"/>
  <c r="L1225" i="16" s="1"/>
  <c r="X1223" i="2"/>
  <c r="L1223" i="16" s="1"/>
  <c r="X1220" i="2"/>
  <c r="L1220" i="16" s="1"/>
  <c r="X1219" i="2"/>
  <c r="L1219" i="16" s="1"/>
  <c r="X1218" i="2"/>
  <c r="L1218" i="16" s="1"/>
  <c r="X1222" i="2"/>
  <c r="L1222" i="16" s="1"/>
  <c r="X1217" i="2"/>
  <c r="L1217" i="16" s="1"/>
  <c r="X1216" i="2"/>
  <c r="L1216" i="16" s="1"/>
  <c r="X1221" i="2"/>
  <c r="L1221" i="16" s="1"/>
  <c r="X1228" i="2"/>
  <c r="L1228" i="16" s="1"/>
  <c r="X1215" i="2"/>
  <c r="L1215" i="16" s="1"/>
  <c r="X1227" i="2"/>
  <c r="L1227" i="16" s="1"/>
  <c r="X1214" i="2"/>
  <c r="L1214" i="16" s="1"/>
  <c r="X1226" i="2"/>
  <c r="L1226" i="16" s="1"/>
  <c r="X1213" i="2"/>
  <c r="L1213" i="16" s="1"/>
  <c r="V902" i="2"/>
  <c r="V862" i="2"/>
  <c r="I862" i="16" s="1"/>
  <c r="I861" i="16"/>
  <c r="I541" i="16"/>
  <c r="V542" i="2"/>
  <c r="V414" i="2"/>
  <c r="I414" i="16" s="1"/>
  <c r="I413" i="16"/>
  <c r="V619" i="2"/>
  <c r="I618" i="16"/>
  <c r="V132" i="2"/>
  <c r="I131" i="16"/>
  <c r="V742" i="2"/>
  <c r="I337" i="16"/>
  <c r="V338" i="2"/>
  <c r="I338" i="16" s="1"/>
  <c r="I1153" i="16"/>
  <c r="I229" i="16"/>
  <c r="V230" i="2"/>
  <c r="I230" i="16" s="1"/>
  <c r="V710" i="2"/>
  <c r="I710" i="16" s="1"/>
  <c r="I445" i="16"/>
  <c r="V446" i="2"/>
  <c r="I446" i="16" s="1"/>
  <c r="I145" i="16"/>
  <c r="V146" i="2"/>
  <c r="I146" i="16" s="1"/>
  <c r="I85" i="16"/>
  <c r="V86" i="2"/>
  <c r="I86" i="16" s="1"/>
  <c r="I97" i="16"/>
  <c r="V98" i="2"/>
  <c r="I98" i="16" s="1"/>
  <c r="I517" i="16"/>
  <c r="V518" i="2"/>
  <c r="I518" i="16" s="1"/>
  <c r="V332" i="2"/>
  <c r="I332" i="16" s="1"/>
  <c r="I331" i="16"/>
  <c r="I649" i="16"/>
  <c r="V650" i="2"/>
  <c r="I650" i="16" s="1"/>
  <c r="I313" i="16"/>
  <c r="V314" i="2"/>
  <c r="I314" i="16" s="1"/>
  <c r="V138" i="2"/>
  <c r="I137" i="16"/>
  <c r="I1016" i="16"/>
  <c r="I1004" i="16"/>
  <c r="I896" i="16"/>
  <c r="I884" i="16"/>
  <c r="I860" i="16"/>
  <c r="I848" i="16"/>
  <c r="I764" i="16"/>
  <c r="I728" i="16"/>
  <c r="AC1578" i="16"/>
  <c r="AC1566" i="16"/>
  <c r="AC1494" i="16"/>
  <c r="AC1458" i="16"/>
  <c r="AC1422" i="16"/>
  <c r="AC1410" i="16"/>
  <c r="AC1398" i="16"/>
  <c r="AC1374" i="16"/>
  <c r="AC1338" i="16"/>
  <c r="AC1545" i="16"/>
  <c r="AC1353" i="16"/>
  <c r="AC1560" i="16"/>
  <c r="AC1548" i="16"/>
  <c r="AC1500" i="16"/>
  <c r="AC1452" i="16"/>
  <c r="AC1416" i="16"/>
  <c r="AC1404" i="16"/>
  <c r="AC1392" i="16"/>
  <c r="AD1359" i="16"/>
  <c r="AD1349" i="16"/>
  <c r="AE1350" i="16"/>
  <c r="AD1388" i="16"/>
  <c r="AE1376" i="16"/>
  <c r="AD1364" i="16"/>
  <c r="AE1368" i="16"/>
  <c r="AE1356" i="16"/>
  <c r="W1221" i="2"/>
  <c r="K1221" i="16" s="1"/>
  <c r="W1225" i="2"/>
  <c r="K1225" i="16" s="1"/>
  <c r="AE1600" i="16"/>
  <c r="AC1598" i="16"/>
  <c r="AD1597" i="16"/>
  <c r="AC1595" i="16"/>
  <c r="AE1592" i="16"/>
  <c r="AE1589" i="16"/>
  <c r="AE1580" i="16"/>
  <c r="AE1577" i="16"/>
  <c r="AD1576" i="16"/>
  <c r="AC1571" i="16"/>
  <c r="AD1555" i="16"/>
  <c r="AC1553" i="16"/>
  <c r="AC1550" i="16"/>
  <c r="AD1549" i="16"/>
  <c r="AC1541" i="16"/>
  <c r="AC1538" i="16"/>
  <c r="AC1535" i="16"/>
  <c r="AC1532" i="16"/>
  <c r="AC1529" i="16"/>
  <c r="AC1526" i="16"/>
  <c r="AC1523" i="16"/>
  <c r="AC1520" i="16"/>
  <c r="AC1517" i="16"/>
  <c r="AC1514" i="16"/>
  <c r="AC1511" i="16"/>
  <c r="AE1505" i="16"/>
  <c r="AE1496" i="16"/>
  <c r="AC1487" i="16"/>
  <c r="AC1481" i="16"/>
  <c r="AC1475" i="16"/>
  <c r="AC1472" i="16"/>
  <c r="AC1469" i="16"/>
  <c r="AC1457" i="16"/>
  <c r="AC1451" i="16"/>
  <c r="AC1445" i="16"/>
  <c r="AC1442" i="16"/>
  <c r="AC1439" i="16"/>
  <c r="AC1436" i="16"/>
  <c r="AF1379" i="16"/>
  <c r="AC1375" i="16"/>
  <c r="AF1367" i="16"/>
  <c r="AC1366" i="16"/>
  <c r="AC1351" i="16"/>
  <c r="N448" i="5"/>
  <c r="M448" i="5"/>
  <c r="O451" i="5"/>
  <c r="J450" i="5"/>
  <c r="L448" i="5"/>
  <c r="M451" i="5"/>
  <c r="J448" i="5"/>
  <c r="O447" i="5"/>
  <c r="N447" i="5"/>
  <c r="M447" i="5"/>
  <c r="O450" i="5"/>
  <c r="L447" i="5"/>
  <c r="AI1212" i="2"/>
  <c r="P1212" i="16"/>
  <c r="P1216" i="16"/>
  <c r="AI1216" i="2"/>
  <c r="P1228" i="16"/>
  <c r="AI1228" i="2"/>
  <c r="AO1219" i="2"/>
  <c r="AP1219" i="2" s="1"/>
  <c r="AO1223" i="2"/>
  <c r="AP1223" i="2" s="1"/>
  <c r="AO1227" i="2"/>
  <c r="AP1227" i="2" s="1"/>
  <c r="H1216" i="16"/>
  <c r="W1213" i="2"/>
  <c r="K1213" i="16" s="1"/>
  <c r="W1217" i="2"/>
  <c r="K1217" i="16" s="1"/>
  <c r="J1215" i="16"/>
  <c r="AG1215" i="16" s="1"/>
  <c r="AO1212" i="2"/>
  <c r="AP1212" i="2" s="1"/>
  <c r="AO1220" i="2"/>
  <c r="AP1220" i="2" s="1"/>
  <c r="AO1224" i="2"/>
  <c r="AP1224" i="2" s="1"/>
  <c r="AO1228" i="2"/>
  <c r="AP1228" i="2" s="1"/>
  <c r="AO1215" i="2"/>
  <c r="AP1215" i="2" s="1"/>
  <c r="B1212" i="16"/>
  <c r="W1214" i="2"/>
  <c r="K1214" i="16" s="1"/>
  <c r="W1218" i="2"/>
  <c r="K1218" i="16" s="1"/>
  <c r="W1222" i="2"/>
  <c r="K1222" i="16" s="1"/>
  <c r="W1226" i="2"/>
  <c r="K1226" i="16" s="1"/>
  <c r="B1215" i="16"/>
  <c r="AK1214" i="2"/>
  <c r="AK1218" i="2"/>
  <c r="AH1219" i="2"/>
  <c r="P1219" i="16" s="1"/>
  <c r="AK1222" i="2"/>
  <c r="AM1222" i="2" s="1"/>
  <c r="AH1223" i="2"/>
  <c r="P1223" i="16" s="1"/>
  <c r="AK1226" i="2"/>
  <c r="AH1227" i="2"/>
  <c r="P1227" i="16" s="1"/>
  <c r="AO1213" i="2"/>
  <c r="AO1217" i="2"/>
  <c r="AP1217" i="2" s="1"/>
  <c r="AO1221" i="2"/>
  <c r="AP1221" i="2" s="1"/>
  <c r="AL1222" i="2"/>
  <c r="AN1222" i="2" s="1"/>
  <c r="AO1225" i="2"/>
  <c r="AP1225" i="2" s="1"/>
  <c r="AL1226" i="2"/>
  <c r="AK1215" i="2"/>
  <c r="AK1219" i="2"/>
  <c r="AK1223" i="2"/>
  <c r="AK1227" i="2"/>
  <c r="AO1218" i="2"/>
  <c r="AP1218" i="2" s="1"/>
  <c r="AO1222" i="2"/>
  <c r="AP1222" i="2" s="1"/>
  <c r="AO1226" i="2"/>
  <c r="AP1226" i="2" s="1"/>
  <c r="AO1214" i="2"/>
  <c r="AP1214" i="2" s="1"/>
  <c r="AF1586" i="16"/>
  <c r="AF1577" i="16"/>
  <c r="AC1596" i="16"/>
  <c r="AE1596" i="16"/>
  <c r="AC1593" i="16"/>
  <c r="AD1593" i="16"/>
  <c r="AE1593" i="16"/>
  <c r="AC1583" i="16"/>
  <c r="AD1583" i="16"/>
  <c r="AE1582" i="16"/>
  <c r="AF1582" i="16"/>
  <c r="AC1581" i="16"/>
  <c r="AF1581" i="16"/>
  <c r="AC1574" i="16"/>
  <c r="AD1574" i="16"/>
  <c r="AC1569" i="16"/>
  <c r="AF1569" i="16"/>
  <c r="AE1565" i="16"/>
  <c r="AF1565" i="16"/>
  <c r="AD1564" i="16"/>
  <c r="AE1564" i="16"/>
  <c r="AC1563" i="16"/>
  <c r="AF1563" i="16"/>
  <c r="AD1562" i="16"/>
  <c r="AE1562" i="16"/>
  <c r="AC1559" i="16"/>
  <c r="AD1559" i="16"/>
  <c r="AC1547" i="16"/>
  <c r="AD1547" i="16"/>
  <c r="AC1544" i="16"/>
  <c r="AD1544" i="16"/>
  <c r="AC1502" i="16"/>
  <c r="AD1502" i="16"/>
  <c r="AC1493" i="16"/>
  <c r="AE1493" i="16"/>
  <c r="AC1490" i="16"/>
  <c r="AD1490" i="16"/>
  <c r="AC1484" i="16"/>
  <c r="AE1484" i="16"/>
  <c r="AC1482" i="16"/>
  <c r="AF1482" i="16"/>
  <c r="AC1478" i="16"/>
  <c r="AE1478" i="16"/>
  <c r="AC1476" i="16"/>
  <c r="AF1476" i="16"/>
  <c r="AC1466" i="16"/>
  <c r="AD1466" i="16"/>
  <c r="AC1460" i="16"/>
  <c r="AE1460" i="16"/>
  <c r="AD1460" i="16"/>
  <c r="AC1454" i="16"/>
  <c r="AE1454" i="16"/>
  <c r="AC1448" i="16"/>
  <c r="AE1448" i="16"/>
  <c r="AD1448" i="16"/>
  <c r="AC1446" i="16"/>
  <c r="AF1446" i="16"/>
  <c r="AD1430" i="16"/>
  <c r="AC1430" i="16"/>
  <c r="AC1424" i="16"/>
  <c r="AD1424" i="16"/>
  <c r="AE1424" i="16"/>
  <c r="AD1418" i="16"/>
  <c r="AE1418" i="16"/>
  <c r="AC1418" i="16"/>
  <c r="AC1412" i="16"/>
  <c r="AE1412" i="16"/>
  <c r="AD1406" i="16"/>
  <c r="AE1406" i="16"/>
  <c r="AC1406" i="16"/>
  <c r="AC1400" i="16"/>
  <c r="AE1400" i="16"/>
  <c r="AD1394" i="16"/>
  <c r="AE1394" i="16"/>
  <c r="AC1394" i="16"/>
  <c r="AE1390" i="16"/>
  <c r="AF1390" i="16"/>
  <c r="AC1390" i="16"/>
  <c r="AD1386" i="16"/>
  <c r="AE1386" i="16"/>
  <c r="AF1386" i="16"/>
  <c r="AC1384" i="16"/>
  <c r="AD1384" i="16"/>
  <c r="AC1380" i="16"/>
  <c r="AE1380" i="16"/>
  <c r="AD1380" i="16"/>
  <c r="AC1378" i="16"/>
  <c r="AE1378" i="16"/>
  <c r="AF1378" i="16"/>
  <c r="AD1372" i="16"/>
  <c r="AE1372" i="16"/>
  <c r="AF1372" i="16"/>
  <c r="AE1362" i="16"/>
  <c r="AF1362" i="16"/>
  <c r="AC1360" i="16"/>
  <c r="AF1360" i="16"/>
  <c r="AD1360" i="16"/>
  <c r="AE1360" i="16"/>
  <c r="AE1354" i="16"/>
  <c r="AF1354" i="16"/>
  <c r="AD1347" i="16"/>
  <c r="AE1347" i="16"/>
  <c r="AF1347" i="16"/>
  <c r="AD1345" i="16"/>
  <c r="AE1345" i="16"/>
  <c r="AF1345" i="16"/>
  <c r="AE1341" i="16"/>
  <c r="AF1341" i="16"/>
  <c r="AE1586" i="16"/>
  <c r="AE1574" i="16"/>
  <c r="AE1568" i="16"/>
  <c r="AE1553" i="16"/>
  <c r="AE1508" i="16"/>
  <c r="AD1598" i="16"/>
  <c r="AD1589" i="16"/>
  <c r="AD1580" i="16"/>
  <c r="AD1571" i="16"/>
  <c r="AD1568" i="16"/>
  <c r="AD1496" i="16"/>
  <c r="AC1565" i="16"/>
  <c r="AC1562" i="16"/>
  <c r="AC1556" i="16"/>
  <c r="AC1505" i="16"/>
  <c r="AF1600" i="16"/>
  <c r="AF1576" i="16"/>
  <c r="AF1546" i="16"/>
  <c r="AF1492" i="16"/>
  <c r="AF1474" i="16"/>
  <c r="AE1597" i="16"/>
  <c r="AE1588" i="16"/>
  <c r="AE1570" i="16"/>
  <c r="AD1594" i="16"/>
  <c r="AD1588" i="16"/>
  <c r="AD1585" i="16"/>
  <c r="AD1573" i="16"/>
  <c r="AD1552" i="16"/>
  <c r="AF1599" i="16"/>
  <c r="AF1596" i="16"/>
  <c r="AF1593" i="16"/>
  <c r="AF1494" i="16"/>
  <c r="AF1491" i="16"/>
  <c r="AC1590" i="16"/>
  <c r="AC1587" i="16"/>
  <c r="AC1584" i="16"/>
  <c r="AC1575" i="16"/>
  <c r="AC1572" i="16"/>
  <c r="AC1506" i="16"/>
  <c r="AF1594" i="16"/>
  <c r="AD1590" i="16"/>
  <c r="AD1584" i="16"/>
  <c r="AD1582" i="16"/>
  <c r="AF1575" i="16"/>
  <c r="AF1573" i="16"/>
  <c r="AE1571" i="16"/>
  <c r="AE1569" i="16"/>
  <c r="AC1567" i="16"/>
  <c r="AD1556" i="16"/>
  <c r="AD1551" i="16"/>
  <c r="AE1544" i="16"/>
  <c r="AC1539" i="16"/>
  <c r="AD1536" i="16"/>
  <c r="AE1533" i="16"/>
  <c r="AF1530" i="16"/>
  <c r="AC1528" i="16"/>
  <c r="AD1525" i="16"/>
  <c r="AE1522" i="16"/>
  <c r="AF1519" i="16"/>
  <c r="AD1514" i="16"/>
  <c r="AD1511" i="16"/>
  <c r="AF1501" i="16"/>
  <c r="AD1489" i="16"/>
  <c r="AD1486" i="16"/>
  <c r="AF1483" i="16"/>
  <c r="AE1481" i="16"/>
  <c r="AF1470" i="16"/>
  <c r="AC1465" i="16"/>
  <c r="AE1453" i="16"/>
  <c r="AE1430" i="16"/>
  <c r="AE1421" i="16"/>
  <c r="AF1598" i="16"/>
  <c r="AE1594" i="16"/>
  <c r="AF1592" i="16"/>
  <c r="AE1575" i="16"/>
  <c r="AE1573" i="16"/>
  <c r="AD1569" i="16"/>
  <c r="AF1553" i="16"/>
  <c r="AC1551" i="16"/>
  <c r="AF1548" i="16"/>
  <c r="AE1546" i="16"/>
  <c r="AF1541" i="16"/>
  <c r="AC1536" i="16"/>
  <c r="AD1533" i="16"/>
  <c r="AE1530" i="16"/>
  <c r="AF1527" i="16"/>
  <c r="AD1522" i="16"/>
  <c r="AE1519" i="16"/>
  <c r="AF1516" i="16"/>
  <c r="AE1501" i="16"/>
  <c r="AE1498" i="16"/>
  <c r="AC1496" i="16"/>
  <c r="AE1491" i="16"/>
  <c r="AC1486" i="16"/>
  <c r="AF1467" i="16"/>
  <c r="AF1464" i="16"/>
  <c r="AD1456" i="16"/>
  <c r="AF1444" i="16"/>
  <c r="AF1438" i="16"/>
  <c r="AC1433" i="16"/>
  <c r="AE1598" i="16"/>
  <c r="AC1588" i="16"/>
  <c r="AF1579" i="16"/>
  <c r="AD1575" i="16"/>
  <c r="AF1560" i="16"/>
  <c r="AE1558" i="16"/>
  <c r="AE1548" i="16"/>
  <c r="AD1546" i="16"/>
  <c r="AE1541" i="16"/>
  <c r="AF1538" i="16"/>
  <c r="AC1533" i="16"/>
  <c r="AD1530" i="16"/>
  <c r="AE1527" i="16"/>
  <c r="AF1524" i="16"/>
  <c r="AC1522" i="16"/>
  <c r="AD1519" i="16"/>
  <c r="AE1516" i="16"/>
  <c r="AF1513" i="16"/>
  <c r="AF1510" i="16"/>
  <c r="AD1508" i="16"/>
  <c r="AD1501" i="16"/>
  <c r="AD1498" i="16"/>
  <c r="AF1488" i="16"/>
  <c r="AD1478" i="16"/>
  <c r="AD1470" i="16"/>
  <c r="AE1467" i="16"/>
  <c r="AF1432" i="16"/>
  <c r="AC1427" i="16"/>
  <c r="AC1421" i="16"/>
  <c r="AC1383" i="16"/>
  <c r="AC1344" i="16"/>
  <c r="AD1600" i="16"/>
  <c r="AC1594" i="16"/>
  <c r="AD1592" i="16"/>
  <c r="AC1586" i="16"/>
  <c r="AE1579" i="16"/>
  <c r="AD1577" i="16"/>
  <c r="AE1566" i="16"/>
  <c r="AF1564" i="16"/>
  <c r="AE1560" i="16"/>
  <c r="AD1558" i="16"/>
  <c r="AF1555" i="16"/>
  <c r="AD1553" i="16"/>
  <c r="AF1550" i="16"/>
  <c r="AD1548" i="16"/>
  <c r="AD1541" i="16"/>
  <c r="AE1538" i="16"/>
  <c r="AF1535" i="16"/>
  <c r="AC1530" i="16"/>
  <c r="AD1527" i="16"/>
  <c r="AE1524" i="16"/>
  <c r="AF1521" i="16"/>
  <c r="AD1516" i="16"/>
  <c r="AE1513" i="16"/>
  <c r="AE1510" i="16"/>
  <c r="AC1508" i="16"/>
  <c r="AE1503" i="16"/>
  <c r="AC1501" i="16"/>
  <c r="AC1498" i="16"/>
  <c r="AE1488" i="16"/>
  <c r="AC1483" i="16"/>
  <c r="AF1480" i="16"/>
  <c r="AC1470" i="16"/>
  <c r="AD1467" i="16"/>
  <c r="AF1458" i="16"/>
  <c r="AF1455" i="16"/>
  <c r="AF1452" i="16"/>
  <c r="AD1444" i="16"/>
  <c r="AD1435" i="16"/>
  <c r="AF1426" i="16"/>
  <c r="AF1423" i="16"/>
  <c r="AD1412" i="16"/>
  <c r="AC1600" i="16"/>
  <c r="AD1596" i="16"/>
  <c r="AC1592" i="16"/>
  <c r="AF1589" i="16"/>
  <c r="AF1583" i="16"/>
  <c r="AD1579" i="16"/>
  <c r="AC1577" i="16"/>
  <c r="AD1566" i="16"/>
  <c r="AF1562" i="16"/>
  <c r="AD1560" i="16"/>
  <c r="AC1558" i="16"/>
  <c r="AE1555" i="16"/>
  <c r="AE1550" i="16"/>
  <c r="AD1538" i="16"/>
  <c r="AE1535" i="16"/>
  <c r="AF1532" i="16"/>
  <c r="AC1527" i="16"/>
  <c r="AD1524" i="16"/>
  <c r="AE1521" i="16"/>
  <c r="AF1518" i="16"/>
  <c r="AC1516" i="16"/>
  <c r="AD1513" i="16"/>
  <c r="AD1510" i="16"/>
  <c r="AF1507" i="16"/>
  <c r="AF1505" i="16"/>
  <c r="AD1503" i="16"/>
  <c r="AF1500" i="16"/>
  <c r="AF1497" i="16"/>
  <c r="AD1488" i="16"/>
  <c r="AE1480" i="16"/>
  <c r="AF1472" i="16"/>
  <c r="AC1464" i="16"/>
  <c r="AC1409" i="16"/>
  <c r="AD1400" i="16"/>
  <c r="AF1591" i="16"/>
  <c r="AF1585" i="16"/>
  <c r="AE1583" i="16"/>
  <c r="AE1581" i="16"/>
  <c r="AC1579" i="16"/>
  <c r="AF1572" i="16"/>
  <c r="AF1568" i="16"/>
  <c r="AF1557" i="16"/>
  <c r="AD1550" i="16"/>
  <c r="AF1545" i="16"/>
  <c r="AE1543" i="16"/>
  <c r="AF1540" i="16"/>
  <c r="AD1535" i="16"/>
  <c r="AE1532" i="16"/>
  <c r="AF1529" i="16"/>
  <c r="AC1524" i="16"/>
  <c r="AD1521" i="16"/>
  <c r="AE1518" i="16"/>
  <c r="AF1515" i="16"/>
  <c r="AC1510" i="16"/>
  <c r="AE1500" i="16"/>
  <c r="AC1495" i="16"/>
  <c r="AC1488" i="16"/>
  <c r="AD1485" i="16"/>
  <c r="AE1472" i="16"/>
  <c r="AD1458" i="16"/>
  <c r="AD1423" i="16"/>
  <c r="AC1397" i="16"/>
  <c r="AD1340" i="16"/>
  <c r="AE1591" i="16"/>
  <c r="AE1587" i="16"/>
  <c r="AE1585" i="16"/>
  <c r="AD1581" i="16"/>
  <c r="AE1572" i="16"/>
  <c r="AE1557" i="16"/>
  <c r="AF1552" i="16"/>
  <c r="AE1545" i="16"/>
  <c r="AD1543" i="16"/>
  <c r="AE1540" i="16"/>
  <c r="AF1537" i="16"/>
  <c r="AD1532" i="16"/>
  <c r="AE1529" i="16"/>
  <c r="AF1526" i="16"/>
  <c r="AC1521" i="16"/>
  <c r="AD1518" i="16"/>
  <c r="AE1515" i="16"/>
  <c r="AF1512" i="16"/>
  <c r="AD1500" i="16"/>
  <c r="AD1497" i="16"/>
  <c r="AF1490" i="16"/>
  <c r="AF1487" i="16"/>
  <c r="AC1485" i="16"/>
  <c r="AD1477" i="16"/>
  <c r="AD1472" i="16"/>
  <c r="AE1466" i="16"/>
  <c r="AC1449" i="16"/>
  <c r="AE1437" i="16"/>
  <c r="AC1426" i="16"/>
  <c r="AE1411" i="16"/>
  <c r="AC1385" i="16"/>
  <c r="AF1597" i="16"/>
  <c r="AF1595" i="16"/>
  <c r="AD1591" i="16"/>
  <c r="AC1589" i="16"/>
  <c r="AD1587" i="16"/>
  <c r="AF1574" i="16"/>
  <c r="AD1572" i="16"/>
  <c r="AD1570" i="16"/>
  <c r="AD1557" i="16"/>
  <c r="AF1554" i="16"/>
  <c r="AE1552" i="16"/>
  <c r="AF1547" i="16"/>
  <c r="AD1545" i="16"/>
  <c r="AD1540" i="16"/>
  <c r="AE1537" i="16"/>
  <c r="AF1534" i="16"/>
  <c r="AD1529" i="16"/>
  <c r="AE1526" i="16"/>
  <c r="AF1523" i="16"/>
  <c r="AC1518" i="16"/>
  <c r="AD1515" i="16"/>
  <c r="AE1512" i="16"/>
  <c r="AC1507" i="16"/>
  <c r="AC1497" i="16"/>
  <c r="AE1490" i="16"/>
  <c r="AE1487" i="16"/>
  <c r="AC1477" i="16"/>
  <c r="AD1463" i="16"/>
  <c r="AF1460" i="16"/>
  <c r="AF1451" i="16"/>
  <c r="AF1428" i="16"/>
  <c r="AF1422" i="16"/>
  <c r="AE1399" i="16"/>
  <c r="AF1351" i="16"/>
  <c r="AE1599" i="16"/>
  <c r="AE1595" i="16"/>
  <c r="AC1591" i="16"/>
  <c r="AC1585" i="16"/>
  <c r="AE1578" i="16"/>
  <c r="AE1576" i="16"/>
  <c r="AF1559" i="16"/>
  <c r="AC1557" i="16"/>
  <c r="AE1554" i="16"/>
  <c r="AF1549" i="16"/>
  <c r="AE1547" i="16"/>
  <c r="AF1542" i="16"/>
  <c r="AC1540" i="16"/>
  <c r="AD1537" i="16"/>
  <c r="AE1534" i="16"/>
  <c r="AF1531" i="16"/>
  <c r="AD1526" i="16"/>
  <c r="AE1523" i="16"/>
  <c r="AF1520" i="16"/>
  <c r="AC1515" i="16"/>
  <c r="AD1512" i="16"/>
  <c r="AF1502" i="16"/>
  <c r="AF1499" i="16"/>
  <c r="AE1492" i="16"/>
  <c r="AD1487" i="16"/>
  <c r="AE1479" i="16"/>
  <c r="AC1463" i="16"/>
  <c r="AC1440" i="16"/>
  <c r="AC1437" i="16"/>
  <c r="AE1428" i="16"/>
  <c r="AE1425" i="16"/>
  <c r="AE1387" i="16"/>
  <c r="AD1599" i="16"/>
  <c r="AD1595" i="16"/>
  <c r="AD1578" i="16"/>
  <c r="AF1567" i="16"/>
  <c r="AE1559" i="16"/>
  <c r="AD1554" i="16"/>
  <c r="AC1552" i="16"/>
  <c r="AE1549" i="16"/>
  <c r="AE1542" i="16"/>
  <c r="AF1539" i="16"/>
  <c r="AD1534" i="16"/>
  <c r="AE1531" i="16"/>
  <c r="AF1528" i="16"/>
  <c r="AD1523" i="16"/>
  <c r="AE1520" i="16"/>
  <c r="AF1517" i="16"/>
  <c r="AC1512" i="16"/>
  <c r="AD1509" i="16"/>
  <c r="AE1502" i="16"/>
  <c r="AE1499" i="16"/>
  <c r="AD1479" i="16"/>
  <c r="AE1474" i="16"/>
  <c r="AD1454" i="16"/>
  <c r="AD1451" i="16"/>
  <c r="AF1439" i="16"/>
  <c r="AC1434" i="16"/>
  <c r="AF1416" i="16"/>
  <c r="AF1413" i="16"/>
  <c r="AF1410" i="16"/>
  <c r="AD1390" i="16"/>
  <c r="AD1375" i="16"/>
  <c r="AD1357" i="16"/>
  <c r="AD1354" i="16"/>
  <c r="AC1597" i="16"/>
  <c r="AF1590" i="16"/>
  <c r="AF1584" i="16"/>
  <c r="AF1580" i="16"/>
  <c r="AC1576" i="16"/>
  <c r="AE1567" i="16"/>
  <c r="AE1563" i="16"/>
  <c r="AE1561" i="16"/>
  <c r="AF1556" i="16"/>
  <c r="AC1554" i="16"/>
  <c r="AF1551" i="16"/>
  <c r="AD1542" i="16"/>
  <c r="AE1539" i="16"/>
  <c r="AF1536" i="16"/>
  <c r="AC1534" i="16"/>
  <c r="AD1531" i="16"/>
  <c r="AE1528" i="16"/>
  <c r="AF1525" i="16"/>
  <c r="AD1520" i="16"/>
  <c r="AE1517" i="16"/>
  <c r="AF1514" i="16"/>
  <c r="AF1511" i="16"/>
  <c r="AC1509" i="16"/>
  <c r="AD1499" i="16"/>
  <c r="AF1489" i="16"/>
  <c r="AF1486" i="16"/>
  <c r="AD1484" i="16"/>
  <c r="AC1479" i="16"/>
  <c r="AE1465" i="16"/>
  <c r="AE1442" i="16"/>
  <c r="AE1436" i="16"/>
  <c r="AC1428" i="16"/>
  <c r="AE1416" i="16"/>
  <c r="AF1404" i="16"/>
  <c r="AF1401" i="16"/>
  <c r="AF1398" i="16"/>
  <c r="AC1357" i="16"/>
  <c r="AC1342" i="16"/>
  <c r="AE1590" i="16"/>
  <c r="AE1584" i="16"/>
  <c r="AF1571" i="16"/>
  <c r="AD1567" i="16"/>
  <c r="AD1565" i="16"/>
  <c r="AD1563" i="16"/>
  <c r="AE1556" i="16"/>
  <c r="AE1551" i="16"/>
  <c r="AF1544" i="16"/>
  <c r="AC1542" i="16"/>
  <c r="AD1539" i="16"/>
  <c r="AE1536" i="16"/>
  <c r="AF1533" i="16"/>
  <c r="AD1528" i="16"/>
  <c r="AE1525" i="16"/>
  <c r="AF1522" i="16"/>
  <c r="AD1517" i="16"/>
  <c r="AE1514" i="16"/>
  <c r="AE1511" i="16"/>
  <c r="AC1499" i="16"/>
  <c r="AE1489" i="16"/>
  <c r="AE1486" i="16"/>
  <c r="AF1481" i="16"/>
  <c r="AD1465" i="16"/>
  <c r="AF1456" i="16"/>
  <c r="AF1450" i="16"/>
  <c r="AD1442" i="16"/>
  <c r="AD1436" i="16"/>
  <c r="AF1392" i="16"/>
  <c r="AF1377" i="16"/>
  <c r="AF1359" i="16"/>
  <c r="AF1353" i="16"/>
  <c r="AF1338" i="16"/>
  <c r="AE1470" i="16"/>
  <c r="AC1468" i="16"/>
  <c r="AF1465" i="16"/>
  <c r="AE1463" i="16"/>
  <c r="AE1456" i="16"/>
  <c r="AD1449" i="16"/>
  <c r="AC1447" i="16"/>
  <c r="AF1442" i="16"/>
  <c r="AD1440" i="16"/>
  <c r="AF1437" i="16"/>
  <c r="AE1435" i="16"/>
  <c r="AD1433" i="16"/>
  <c r="AD1426" i="16"/>
  <c r="AF1421" i="16"/>
  <c r="AC1419" i="16"/>
  <c r="AE1414" i="16"/>
  <c r="AF1409" i="16"/>
  <c r="AC1407" i="16"/>
  <c r="AF1397" i="16"/>
  <c r="AC1395" i="16"/>
  <c r="AE1383" i="16"/>
  <c r="AE1370" i="16"/>
  <c r="AC1365" i="16"/>
  <c r="AF1357" i="16"/>
  <c r="AD1352" i="16"/>
  <c r="AE1349" i="16"/>
  <c r="AC1347" i="16"/>
  <c r="AD1339" i="16"/>
  <c r="AD1414" i="16"/>
  <c r="AE1409" i="16"/>
  <c r="AE1397" i="16"/>
  <c r="AC1388" i="16"/>
  <c r="AE1385" i="16"/>
  <c r="AD1383" i="16"/>
  <c r="AF1375" i="16"/>
  <c r="AE1357" i="16"/>
  <c r="AE1344" i="16"/>
  <c r="AC1339" i="16"/>
  <c r="AE1458" i="16"/>
  <c r="AC1456" i="16"/>
  <c r="AF1453" i="16"/>
  <c r="AE1451" i="16"/>
  <c r="AE1444" i="16"/>
  <c r="AD1437" i="16"/>
  <c r="AC1435" i="16"/>
  <c r="AF1430" i="16"/>
  <c r="AD1428" i="16"/>
  <c r="AF1425" i="16"/>
  <c r="AE1423" i="16"/>
  <c r="AD1421" i="16"/>
  <c r="AC1414" i="16"/>
  <c r="AF1411" i="16"/>
  <c r="AD1409" i="16"/>
  <c r="AC1402" i="16"/>
  <c r="AF1399" i="16"/>
  <c r="AD1397" i="16"/>
  <c r="AF1387" i="16"/>
  <c r="AD1385" i="16"/>
  <c r="AE1375" i="16"/>
  <c r="AD1367" i="16"/>
  <c r="AF1364" i="16"/>
  <c r="AE1346" i="16"/>
  <c r="AD1344" i="16"/>
  <c r="AC1546" i="16"/>
  <c r="AE1507" i="16"/>
  <c r="AC1503" i="16"/>
  <c r="AE1494" i="16"/>
  <c r="AD1492" i="16"/>
  <c r="AE1483" i="16"/>
  <c r="AD1481" i="16"/>
  <c r="AD1474" i="16"/>
  <c r="AF1469" i="16"/>
  <c r="AC1467" i="16"/>
  <c r="AE1455" i="16"/>
  <c r="AD1453" i="16"/>
  <c r="AE1446" i="16"/>
  <c r="AC1444" i="16"/>
  <c r="AF1441" i="16"/>
  <c r="AE1439" i="16"/>
  <c r="AE1432" i="16"/>
  <c r="AD1425" i="16"/>
  <c r="AC1423" i="16"/>
  <c r="AF1418" i="16"/>
  <c r="AD1416" i="16"/>
  <c r="AE1413" i="16"/>
  <c r="AD1411" i="16"/>
  <c r="AE1401" i="16"/>
  <c r="AD1399" i="16"/>
  <c r="AD1387" i="16"/>
  <c r="AE1369" i="16"/>
  <c r="AE1359" i="16"/>
  <c r="AC1354" i="16"/>
  <c r="AE1351" i="16"/>
  <c r="AE1348" i="16"/>
  <c r="AC1341" i="16"/>
  <c r="AE1338" i="16"/>
  <c r="AC1582" i="16"/>
  <c r="AC1580" i="16"/>
  <c r="AC1570" i="16"/>
  <c r="AC1568" i="16"/>
  <c r="AC1564" i="16"/>
  <c r="AE1509" i="16"/>
  <c r="AD1507" i="16"/>
  <c r="AD1505" i="16"/>
  <c r="AF1496" i="16"/>
  <c r="AD1494" i="16"/>
  <c r="AC1492" i="16"/>
  <c r="AE1485" i="16"/>
  <c r="AD1483" i="16"/>
  <c r="AE1476" i="16"/>
  <c r="AC1474" i="16"/>
  <c r="AF1471" i="16"/>
  <c r="AE1469" i="16"/>
  <c r="AE1462" i="16"/>
  <c r="AD1455" i="16"/>
  <c r="AC1453" i="16"/>
  <c r="AF1448" i="16"/>
  <c r="AD1446" i="16"/>
  <c r="AF1443" i="16"/>
  <c r="AE1441" i="16"/>
  <c r="AD1439" i="16"/>
  <c r="AD1432" i="16"/>
  <c r="AF1427" i="16"/>
  <c r="AC1425" i="16"/>
  <c r="AD1413" i="16"/>
  <c r="AC1411" i="16"/>
  <c r="AD1401" i="16"/>
  <c r="AC1399" i="16"/>
  <c r="AF1389" i="16"/>
  <c r="AC1387" i="16"/>
  <c r="AD1377" i="16"/>
  <c r="AD1369" i="16"/>
  <c r="AF1366" i="16"/>
  <c r="AD1348" i="16"/>
  <c r="AF1478" i="16"/>
  <c r="AD1476" i="16"/>
  <c r="AF1473" i="16"/>
  <c r="AE1471" i="16"/>
  <c r="AD1469" i="16"/>
  <c r="AD1462" i="16"/>
  <c r="AF1457" i="16"/>
  <c r="AC1455" i="16"/>
  <c r="AE1443" i="16"/>
  <c r="AD1441" i="16"/>
  <c r="AE1434" i="16"/>
  <c r="AC1432" i="16"/>
  <c r="AF1429" i="16"/>
  <c r="AE1427" i="16"/>
  <c r="AE1420" i="16"/>
  <c r="AF1415" i="16"/>
  <c r="AC1413" i="16"/>
  <c r="AF1403" i="16"/>
  <c r="AC1401" i="16"/>
  <c r="AE1389" i="16"/>
  <c r="AF1384" i="16"/>
  <c r="AE1379" i="16"/>
  <c r="AC1377" i="16"/>
  <c r="AC1372" i="16"/>
  <c r="AC1369" i="16"/>
  <c r="AE1366" i="16"/>
  <c r="AD1361" i="16"/>
  <c r="AC1359" i="16"/>
  <c r="AC1348" i="16"/>
  <c r="AE1473" i="16"/>
  <c r="AD1471" i="16"/>
  <c r="AE1464" i="16"/>
  <c r="AC1462" i="16"/>
  <c r="AF1459" i="16"/>
  <c r="AE1457" i="16"/>
  <c r="AE1450" i="16"/>
  <c r="AD1443" i="16"/>
  <c r="AC1441" i="16"/>
  <c r="AF1436" i="16"/>
  <c r="AD1434" i="16"/>
  <c r="AF1431" i="16"/>
  <c r="AE1429" i="16"/>
  <c r="AD1427" i="16"/>
  <c r="AD1420" i="16"/>
  <c r="AE1415" i="16"/>
  <c r="AE1403" i="16"/>
  <c r="AE1391" i="16"/>
  <c r="AD1389" i="16"/>
  <c r="AF1381" i="16"/>
  <c r="AE1363" i="16"/>
  <c r="AC1356" i="16"/>
  <c r="AE1353" i="16"/>
  <c r="AF1350" i="16"/>
  <c r="AD1473" i="16"/>
  <c r="AC1471" i="16"/>
  <c r="AF1466" i="16"/>
  <c r="AD1464" i="16"/>
  <c r="AF1461" i="16"/>
  <c r="AE1459" i="16"/>
  <c r="AD1457" i="16"/>
  <c r="AD1450" i="16"/>
  <c r="AF1445" i="16"/>
  <c r="AC1443" i="16"/>
  <c r="AE1431" i="16"/>
  <c r="AD1429" i="16"/>
  <c r="AE1422" i="16"/>
  <c r="AC1420" i="16"/>
  <c r="AF1417" i="16"/>
  <c r="AD1415" i="16"/>
  <c r="AC1408" i="16"/>
  <c r="AF1405" i="16"/>
  <c r="AD1403" i="16"/>
  <c r="AC1396" i="16"/>
  <c r="AF1393" i="16"/>
  <c r="AD1391" i="16"/>
  <c r="AC1389" i="16"/>
  <c r="AE1381" i="16"/>
  <c r="AE1371" i="16"/>
  <c r="AF1368" i="16"/>
  <c r="AF1355" i="16"/>
  <c r="AC1537" i="16"/>
  <c r="AC1531" i="16"/>
  <c r="AC1525" i="16"/>
  <c r="AC1519" i="16"/>
  <c r="AC1513" i="16"/>
  <c r="AE1504" i="16"/>
  <c r="AF1495" i="16"/>
  <c r="AF1493" i="16"/>
  <c r="AD1491" i="16"/>
  <c r="AC1489" i="16"/>
  <c r="AD1480" i="16"/>
  <c r="AF1475" i="16"/>
  <c r="AC1473" i="16"/>
  <c r="AE1461" i="16"/>
  <c r="AD1459" i="16"/>
  <c r="AE1452" i="16"/>
  <c r="AC1450" i="16"/>
  <c r="AF1447" i="16"/>
  <c r="AE1445" i="16"/>
  <c r="AE1438" i="16"/>
  <c r="AD1431" i="16"/>
  <c r="AC1429" i="16"/>
  <c r="AF1424" i="16"/>
  <c r="AD1422" i="16"/>
  <c r="AF1419" i="16"/>
  <c r="AE1417" i="16"/>
  <c r="AC1415" i="16"/>
  <c r="AE1410" i="16"/>
  <c r="AF1407" i="16"/>
  <c r="AE1405" i="16"/>
  <c r="AC1403" i="16"/>
  <c r="AF1395" i="16"/>
  <c r="AE1393" i="16"/>
  <c r="AC1391" i="16"/>
  <c r="AD1381" i="16"/>
  <c r="AC1363" i="16"/>
  <c r="AD1350" i="16"/>
  <c r="AF1342" i="16"/>
  <c r="AC1340" i="16"/>
  <c r="AD1561" i="16"/>
  <c r="AC1555" i="16"/>
  <c r="AC1549" i="16"/>
  <c r="AC1543" i="16"/>
  <c r="AE1506" i="16"/>
  <c r="AD1504" i="16"/>
  <c r="AE1495" i="16"/>
  <c r="AC1491" i="16"/>
  <c r="AE1482" i="16"/>
  <c r="AC1480" i="16"/>
  <c r="AF1477" i="16"/>
  <c r="AE1475" i="16"/>
  <c r="AE1468" i="16"/>
  <c r="AD1461" i="16"/>
  <c r="AC1459" i="16"/>
  <c r="AF1454" i="16"/>
  <c r="AD1452" i="16"/>
  <c r="AF1449" i="16"/>
  <c r="AE1447" i="16"/>
  <c r="AD1445" i="16"/>
  <c r="AD1438" i="16"/>
  <c r="AF1433" i="16"/>
  <c r="AC1431" i="16"/>
  <c r="AE1419" i="16"/>
  <c r="AD1417" i="16"/>
  <c r="AF1412" i="16"/>
  <c r="AE1407" i="16"/>
  <c r="AD1405" i="16"/>
  <c r="AE1395" i="16"/>
  <c r="AD1393" i="16"/>
  <c r="AF1388" i="16"/>
  <c r="AC1381" i="16"/>
  <c r="AE1373" i="16"/>
  <c r="AC1350" i="16"/>
  <c r="AC1345" i="16"/>
  <c r="AE1342" i="16"/>
  <c r="AF1578" i="16"/>
  <c r="AC1573" i="16"/>
  <c r="AF1566" i="16"/>
  <c r="AC1561" i="16"/>
  <c r="AF1508" i="16"/>
  <c r="AD1506" i="16"/>
  <c r="AC1504" i="16"/>
  <c r="AE1497" i="16"/>
  <c r="AD1495" i="16"/>
  <c r="AD1493" i="16"/>
  <c r="AF1484" i="16"/>
  <c r="AD1482" i="16"/>
  <c r="AF1479" i="16"/>
  <c r="AE1477" i="16"/>
  <c r="AD1475" i="16"/>
  <c r="AD1468" i="16"/>
  <c r="AF1463" i="16"/>
  <c r="AC1461" i="16"/>
  <c r="AE1449" i="16"/>
  <c r="AD1447" i="16"/>
  <c r="AE1440" i="16"/>
  <c r="AC1438" i="16"/>
  <c r="AF1435" i="16"/>
  <c r="AE1433" i="16"/>
  <c r="AE1426" i="16"/>
  <c r="AD1419" i="16"/>
  <c r="AC1417" i="16"/>
  <c r="AD1407" i="16"/>
  <c r="AC1405" i="16"/>
  <c r="AD1395" i="16"/>
  <c r="AC1393" i="16"/>
  <c r="AF1383" i="16"/>
  <c r="AD1373" i="16"/>
  <c r="AF1370" i="16"/>
  <c r="AD1365" i="16"/>
  <c r="AC1355" i="16"/>
  <c r="AF1349" i="16"/>
  <c r="AD1342" i="16"/>
  <c r="AE1339" i="16"/>
  <c r="AD1379" i="16"/>
  <c r="AE1377" i="16"/>
  <c r="AD1371" i="16"/>
  <c r="AC1367" i="16"/>
  <c r="AD1363" i="16"/>
  <c r="AC1361" i="16"/>
  <c r="AE1355" i="16"/>
  <c r="AD1346" i="16"/>
  <c r="AF1344" i="16"/>
  <c r="AF1340" i="16"/>
  <c r="AC1379" i="16"/>
  <c r="AC1373" i="16"/>
  <c r="AC1371" i="16"/>
  <c r="AD1355" i="16"/>
  <c r="AC1346" i="16"/>
  <c r="AE1340" i="16"/>
  <c r="AF1382" i="16"/>
  <c r="AF1376" i="16"/>
  <c r="AD1370" i="16"/>
  <c r="AE1364" i="16"/>
  <c r="AD1353" i="16"/>
  <c r="AD1351" i="16"/>
  <c r="AF1343" i="16"/>
  <c r="AE1408" i="16"/>
  <c r="AF1406" i="16"/>
  <c r="AE1404" i="16"/>
  <c r="AE1402" i="16"/>
  <c r="AF1400" i="16"/>
  <c r="AE1398" i="16"/>
  <c r="AE1396" i="16"/>
  <c r="AF1394" i="16"/>
  <c r="AE1392" i="16"/>
  <c r="AE1388" i="16"/>
  <c r="AE1384" i="16"/>
  <c r="AE1382" i="16"/>
  <c r="AF1380" i="16"/>
  <c r="AF1374" i="16"/>
  <c r="AC1370" i="16"/>
  <c r="AD1368" i="16"/>
  <c r="AD1366" i="16"/>
  <c r="AF1358" i="16"/>
  <c r="AC1349" i="16"/>
  <c r="AE1343" i="16"/>
  <c r="AD1338" i="16"/>
  <c r="AD1410" i="16"/>
  <c r="AD1408" i="16"/>
  <c r="AD1404" i="16"/>
  <c r="AD1402" i="16"/>
  <c r="AD1398" i="16"/>
  <c r="AD1396" i="16"/>
  <c r="AD1392" i="16"/>
  <c r="AD1382" i="16"/>
  <c r="AD1376" i="16"/>
  <c r="AE1374" i="16"/>
  <c r="AC1368" i="16"/>
  <c r="AC1364" i="16"/>
  <c r="AD1362" i="16"/>
  <c r="AE1358" i="16"/>
  <c r="AD1343" i="16"/>
  <c r="AC1382" i="16"/>
  <c r="AD1378" i="16"/>
  <c r="AC1376" i="16"/>
  <c r="AD1374" i="16"/>
  <c r="AC1362" i="16"/>
  <c r="AD1358" i="16"/>
  <c r="AF1356" i="16"/>
  <c r="AF1352" i="16"/>
  <c r="AC1343" i="16"/>
  <c r="AC1358" i="16"/>
  <c r="AE1352" i="16"/>
  <c r="AC1386" i="16"/>
  <c r="AF1369" i="16"/>
  <c r="AF1365" i="16"/>
  <c r="AF1361" i="16"/>
  <c r="AD1356" i="16"/>
  <c r="AD1341" i="16"/>
  <c r="AF1391" i="16"/>
  <c r="AF1385" i="16"/>
  <c r="AF1373" i="16"/>
  <c r="AF1371" i="16"/>
  <c r="AE1367" i="16"/>
  <c r="AE1365" i="16"/>
  <c r="AE1361" i="16"/>
  <c r="AC1352" i="16"/>
  <c r="AF1346" i="16"/>
  <c r="V741" i="2" l="1"/>
  <c r="I741" i="16" s="1"/>
  <c r="I740" i="16"/>
  <c r="AM1226" i="2"/>
  <c r="AP1213" i="2"/>
  <c r="V993" i="2"/>
  <c r="I993" i="16" s="1"/>
  <c r="I992" i="16"/>
  <c r="V570" i="2"/>
  <c r="I570" i="16" s="1"/>
  <c r="I569" i="16"/>
  <c r="AK1213" i="2"/>
  <c r="AL1213" i="2"/>
  <c r="AN1213" i="2"/>
  <c r="O1213" i="16"/>
  <c r="AH1213" i="2"/>
  <c r="I817" i="16"/>
  <c r="V818" i="2"/>
  <c r="I818" i="16" s="1"/>
  <c r="V79" i="2"/>
  <c r="I79" i="16" s="1"/>
  <c r="I78" i="16"/>
  <c r="W1212" i="2"/>
  <c r="K1212" i="16" s="1"/>
  <c r="X1212" i="2"/>
  <c r="L1212" i="16" s="1"/>
  <c r="I902" i="16"/>
  <c r="V903" i="2"/>
  <c r="I742" i="16"/>
  <c r="V743" i="2"/>
  <c r="AM1219" i="2"/>
  <c r="I619" i="16"/>
  <c r="V620" i="2"/>
  <c r="AI1219" i="2"/>
  <c r="Q1219" i="16" s="1"/>
  <c r="I582" i="16"/>
  <c r="V583" i="2"/>
  <c r="I583" i="16" s="1"/>
  <c r="AN1224" i="2"/>
  <c r="AM1218" i="2"/>
  <c r="AJ1224" i="2"/>
  <c r="AI1215" i="2"/>
  <c r="AM1225" i="2"/>
  <c r="AM1215" i="2"/>
  <c r="AN1219" i="2"/>
  <c r="O452" i="5"/>
  <c r="AM1214" i="2"/>
  <c r="P1221" i="16"/>
  <c r="AM1221" i="2"/>
  <c r="P1214" i="16"/>
  <c r="AI1214" i="2"/>
  <c r="P1217" i="16"/>
  <c r="AI1217" i="2"/>
  <c r="AN1217" i="2" s="1"/>
  <c r="I533" i="16"/>
  <c r="V534" i="2"/>
  <c r="P1220" i="16"/>
  <c r="AI1225" i="2"/>
  <c r="AN1225" i="2" s="1"/>
  <c r="AI1226" i="2"/>
  <c r="AI1218" i="2"/>
  <c r="AJ1222" i="2"/>
  <c r="AM1220" i="2"/>
  <c r="AI1213" i="2"/>
  <c r="Q1213" i="16" s="1"/>
  <c r="V394" i="2"/>
  <c r="I394" i="16" s="1"/>
  <c r="I223" i="16"/>
  <c r="AM1227" i="2"/>
  <c r="AI1223" i="2"/>
  <c r="Q1223" i="16" s="1"/>
  <c r="V401" i="2"/>
  <c r="I400" i="16"/>
  <c r="AI1227" i="2"/>
  <c r="Q1227" i="16" s="1"/>
  <c r="V665" i="2"/>
  <c r="I664" i="16"/>
  <c r="V139" i="2"/>
  <c r="I138" i="16"/>
  <c r="I132" i="16"/>
  <c r="V133" i="2"/>
  <c r="I133" i="16" s="1"/>
  <c r="V543" i="2"/>
  <c r="I542" i="16"/>
  <c r="AM1223" i="2"/>
  <c r="AJ1220" i="2"/>
  <c r="Q1220" i="16"/>
  <c r="AJ1228" i="2"/>
  <c r="Q1228" i="16"/>
  <c r="AJ1216" i="2"/>
  <c r="Q1216" i="16"/>
  <c r="Q1221" i="16"/>
  <c r="AJ1221" i="2"/>
  <c r="AJ1212" i="2"/>
  <c r="Q1212" i="16"/>
  <c r="P1213" i="16" l="1"/>
  <c r="AM1213" i="2"/>
  <c r="I665" i="16"/>
  <c r="V666" i="2"/>
  <c r="I743" i="16"/>
  <c r="V744" i="2"/>
  <c r="I744" i="16" s="1"/>
  <c r="AJ1218" i="2"/>
  <c r="AN1218" i="2"/>
  <c r="I534" i="16"/>
  <c r="V535" i="2"/>
  <c r="I535" i="16" s="1"/>
  <c r="I620" i="16"/>
  <c r="V621" i="2"/>
  <c r="I621" i="16" s="1"/>
  <c r="AJ1219" i="2"/>
  <c r="AJ1215" i="2"/>
  <c r="AN1215" i="2"/>
  <c r="V904" i="2"/>
  <c r="I904" i="16" s="1"/>
  <c r="I903" i="16"/>
  <c r="I543" i="16"/>
  <c r="V544" i="2"/>
  <c r="Q1215" i="16"/>
  <c r="Q1214" i="16"/>
  <c r="AJ1214" i="2"/>
  <c r="Q1217" i="16"/>
  <c r="AJ1217" i="2"/>
  <c r="Q1225" i="16"/>
  <c r="AJ1225" i="2"/>
  <c r="AJ1213" i="2"/>
  <c r="Q1218" i="16"/>
  <c r="AJ1226" i="2"/>
  <c r="Q1226" i="16"/>
  <c r="AJ1223" i="2"/>
  <c r="AJ1227" i="2"/>
  <c r="V402" i="2"/>
  <c r="I402" i="16" s="1"/>
  <c r="I401" i="16"/>
  <c r="V140" i="2"/>
  <c r="I140" i="16" s="1"/>
  <c r="I139" i="16"/>
  <c r="I666" i="16" l="1"/>
  <c r="V667" i="2"/>
  <c r="I667" i="16" s="1"/>
  <c r="I544" i="16"/>
  <c r="V545" i="2"/>
  <c r="I545" i="16" s="1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17" i="2"/>
  <c r="AT1018" i="2"/>
  <c r="AT1019" i="2"/>
  <c r="AT1020" i="2"/>
  <c r="AT1021" i="2"/>
  <c r="AT1022" i="2"/>
  <c r="AT1023" i="2"/>
  <c r="AT1024" i="2"/>
  <c r="AT1025" i="2"/>
  <c r="AT1026" i="2"/>
  <c r="AT1027" i="2"/>
  <c r="AT1028" i="2"/>
  <c r="AT1029" i="2"/>
  <c r="AT1030" i="2"/>
  <c r="AT1031" i="2"/>
  <c r="AT1032" i="2"/>
  <c r="AT1033" i="2"/>
  <c r="AT1034" i="2"/>
  <c r="AT1035" i="2"/>
  <c r="AT1036" i="2"/>
  <c r="AT1037" i="2"/>
  <c r="AT1038" i="2"/>
  <c r="AT1039" i="2"/>
  <c r="AT1040" i="2"/>
  <c r="AT1041" i="2"/>
  <c r="AT1042" i="2"/>
  <c r="AT1043" i="2"/>
  <c r="AT1044" i="2"/>
  <c r="AT1045" i="2"/>
  <c r="AT1046" i="2"/>
  <c r="AT1047" i="2"/>
  <c r="AT1048" i="2"/>
  <c r="AT1049" i="2"/>
  <c r="AT1050" i="2"/>
  <c r="AT1051" i="2"/>
  <c r="AT1052" i="2"/>
  <c r="AT1053" i="2"/>
  <c r="AT1054" i="2"/>
  <c r="AT1055" i="2"/>
  <c r="AT1056" i="2"/>
  <c r="AT1057" i="2"/>
  <c r="AT1058" i="2"/>
  <c r="AT105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75" i="2"/>
  <c r="AT1076" i="2"/>
  <c r="AT1077" i="2"/>
  <c r="AT1078" i="2"/>
  <c r="AT1079" i="2"/>
  <c r="AT1080" i="2"/>
  <c r="AT1081" i="2"/>
  <c r="AT1082" i="2"/>
  <c r="AT1083" i="2"/>
  <c r="AT1084" i="2"/>
  <c r="AT1085" i="2"/>
  <c r="AT1086" i="2"/>
  <c r="AT1087" i="2"/>
  <c r="AT1088" i="2"/>
  <c r="AT1089" i="2"/>
  <c r="AT1090" i="2"/>
  <c r="AT1091" i="2"/>
  <c r="AT1092" i="2"/>
  <c r="AT1093" i="2"/>
  <c r="AT1094" i="2"/>
  <c r="AT1095" i="2"/>
  <c r="AT1096" i="2"/>
  <c r="AT1097" i="2"/>
  <c r="AT1098" i="2"/>
  <c r="AT1099" i="2"/>
  <c r="AT1100" i="2"/>
  <c r="AT1101" i="2"/>
  <c r="AT1102" i="2"/>
  <c r="AT1103" i="2"/>
  <c r="AT1104" i="2"/>
  <c r="AT1105" i="2"/>
  <c r="AT1106" i="2"/>
  <c r="AT1107" i="2"/>
  <c r="AT1108" i="2"/>
  <c r="AT1109" i="2"/>
  <c r="AT1110" i="2"/>
  <c r="AT1111" i="2"/>
  <c r="AT1112" i="2"/>
  <c r="AT1113" i="2"/>
  <c r="AT1114" i="2"/>
  <c r="AT1115" i="2"/>
  <c r="AT1116" i="2"/>
  <c r="AT1117" i="2"/>
  <c r="AT1118" i="2"/>
  <c r="AT1119" i="2"/>
  <c r="AT1120" i="2"/>
  <c r="AT1121" i="2"/>
  <c r="AT1122" i="2"/>
  <c r="AT1123" i="2"/>
  <c r="AT1124" i="2"/>
  <c r="AT1125" i="2"/>
  <c r="AT1126" i="2"/>
  <c r="AT1127" i="2"/>
  <c r="AT1128" i="2"/>
  <c r="AT1129" i="2"/>
  <c r="AT1130" i="2"/>
  <c r="AT1131" i="2"/>
  <c r="AT1132" i="2"/>
  <c r="AT1133" i="2"/>
  <c r="AT1134" i="2"/>
  <c r="AT1135" i="2"/>
  <c r="AT1136" i="2"/>
  <c r="AT1137" i="2"/>
  <c r="AT1138" i="2"/>
  <c r="AT1139" i="2"/>
  <c r="AT1140" i="2"/>
  <c r="AT1141" i="2"/>
  <c r="AT1142" i="2"/>
  <c r="AT1143" i="2"/>
  <c r="AT1144" i="2"/>
  <c r="AT1145" i="2"/>
  <c r="AT1146" i="2"/>
  <c r="AT1147" i="2"/>
  <c r="AT1148" i="2"/>
  <c r="AT1149" i="2"/>
  <c r="AT1150" i="2"/>
  <c r="AT1151" i="2"/>
  <c r="AT1152" i="2"/>
  <c r="AT1153" i="2"/>
  <c r="AT1154" i="2"/>
  <c r="AT1155" i="2"/>
  <c r="AT1156" i="2"/>
  <c r="AT1157" i="2"/>
  <c r="AT1158" i="2"/>
  <c r="AT1159" i="2"/>
  <c r="AT1160" i="2"/>
  <c r="AT1161" i="2"/>
  <c r="AT1162" i="2"/>
  <c r="AT1163" i="2"/>
  <c r="AT1164" i="2"/>
  <c r="AT1165" i="2"/>
  <c r="AT1166" i="2"/>
  <c r="AT1167" i="2"/>
  <c r="AT1168" i="2"/>
  <c r="AT1169" i="2"/>
  <c r="AT1170" i="2"/>
  <c r="AT1171" i="2"/>
  <c r="AT1172" i="2"/>
  <c r="AT1173" i="2"/>
  <c r="AT1174" i="2"/>
  <c r="AT1175" i="2"/>
  <c r="AT1176" i="2"/>
  <c r="AT1177" i="2"/>
  <c r="AT1178" i="2"/>
  <c r="AT1179" i="2"/>
  <c r="AT1180" i="2"/>
  <c r="AT1181" i="2"/>
  <c r="AT1182" i="2"/>
  <c r="AT1183" i="2"/>
  <c r="AT1184" i="2"/>
  <c r="AT1185" i="2"/>
  <c r="AT1186" i="2"/>
  <c r="AT1187" i="2"/>
  <c r="AT1188" i="2"/>
  <c r="AT1189" i="2"/>
  <c r="AT1190" i="2"/>
  <c r="AT1191" i="2"/>
  <c r="AT1192" i="2"/>
  <c r="AT1193" i="2"/>
  <c r="AT1194" i="2"/>
  <c r="AT1195" i="2"/>
  <c r="AT1196" i="2"/>
  <c r="AT1197" i="2"/>
  <c r="AT1198" i="2"/>
  <c r="AT1199" i="2"/>
  <c r="AT1200" i="2"/>
  <c r="AT1201" i="2"/>
  <c r="AT1202" i="2"/>
  <c r="AT1203" i="2"/>
  <c r="AT1204" i="2"/>
  <c r="AT1205" i="2"/>
  <c r="AT1206" i="2"/>
  <c r="AT1207" i="2"/>
  <c r="AT1208" i="2"/>
  <c r="AT1209" i="2"/>
  <c r="AT1210" i="2"/>
  <c r="AT1211" i="2"/>
  <c r="T3" i="14"/>
  <c r="T4" i="14"/>
  <c r="U4" i="14" s="1"/>
  <c r="T5" i="14"/>
  <c r="T6" i="14"/>
  <c r="T7" i="14"/>
  <c r="U7" i="14" s="1"/>
  <c r="T8" i="14"/>
  <c r="T9" i="14"/>
  <c r="T10" i="14"/>
  <c r="T11" i="14"/>
  <c r="T12" i="14"/>
  <c r="T13" i="14"/>
  <c r="T14" i="14"/>
  <c r="T15" i="14"/>
  <c r="T16" i="14"/>
  <c r="U16" i="14" s="1"/>
  <c r="T17" i="14"/>
  <c r="T18" i="14"/>
  <c r="T19" i="14"/>
  <c r="T20" i="14"/>
  <c r="T21" i="14"/>
  <c r="T22" i="14"/>
  <c r="T23" i="14"/>
  <c r="T24" i="14"/>
  <c r="T25" i="14"/>
  <c r="T26" i="14"/>
  <c r="T27" i="14"/>
  <c r="T28" i="14"/>
  <c r="U28" i="14" s="1"/>
  <c r="T29" i="14"/>
  <c r="T30" i="14"/>
  <c r="T31" i="14"/>
  <c r="T32" i="14"/>
  <c r="T33" i="14"/>
  <c r="T34" i="14"/>
  <c r="T35" i="14"/>
  <c r="T36" i="14"/>
  <c r="T37" i="14"/>
  <c r="T38" i="14"/>
  <c r="T39" i="14"/>
  <c r="T40" i="14"/>
  <c r="U40" i="14" s="1"/>
  <c r="T41" i="14"/>
  <c r="T42" i="14"/>
  <c r="T43" i="14"/>
  <c r="T44" i="14"/>
  <c r="T45" i="14"/>
  <c r="T46" i="14"/>
  <c r="T47" i="14"/>
  <c r="T48" i="14"/>
  <c r="T49" i="14"/>
  <c r="T50" i="14"/>
  <c r="T51" i="14"/>
  <c r="T52" i="14"/>
  <c r="U52" i="14" s="1"/>
  <c r="T53" i="14"/>
  <c r="T54" i="14"/>
  <c r="T55" i="14"/>
  <c r="T56" i="14"/>
  <c r="T57" i="14"/>
  <c r="T58" i="14"/>
  <c r="T59" i="14"/>
  <c r="T60" i="14"/>
  <c r="T61" i="14"/>
  <c r="T62" i="14"/>
  <c r="T63" i="14"/>
  <c r="T64" i="14"/>
  <c r="U64" i="14" s="1"/>
  <c r="T65" i="14"/>
  <c r="T66" i="14"/>
  <c r="T67" i="14"/>
  <c r="T68" i="14"/>
  <c r="T69" i="14"/>
  <c r="T70" i="14"/>
  <c r="T71" i="14"/>
  <c r="T72" i="14"/>
  <c r="T73" i="14"/>
  <c r="T74" i="14"/>
  <c r="T75" i="14"/>
  <c r="T76" i="14"/>
  <c r="U76" i="14" s="1"/>
  <c r="T77" i="14"/>
  <c r="T78" i="14"/>
  <c r="T79" i="14"/>
  <c r="U79" i="14" s="1"/>
  <c r="T80" i="14"/>
  <c r="T81" i="14"/>
  <c r="T82" i="14"/>
  <c r="T83" i="14"/>
  <c r="T84" i="14"/>
  <c r="T85" i="14"/>
  <c r="T86" i="14"/>
  <c r="T87" i="14"/>
  <c r="T88" i="14"/>
  <c r="U88" i="14" s="1"/>
  <c r="T89" i="14"/>
  <c r="T90" i="14"/>
  <c r="T91" i="14"/>
  <c r="T92" i="14"/>
  <c r="T93" i="14"/>
  <c r="T94" i="14"/>
  <c r="T95" i="14"/>
  <c r="T96" i="14"/>
  <c r="T97" i="14"/>
  <c r="T98" i="14"/>
  <c r="T99" i="14"/>
  <c r="T100" i="14"/>
  <c r="U100" i="14" s="1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U112" i="14" s="1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U124" i="14" s="1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U136" i="14" s="1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U148" i="14" s="1"/>
  <c r="T149" i="14"/>
  <c r="T150" i="14"/>
  <c r="T151" i="14"/>
  <c r="U151" i="14" s="1"/>
  <c r="T152" i="14"/>
  <c r="T153" i="14"/>
  <c r="T154" i="14"/>
  <c r="T155" i="14"/>
  <c r="T156" i="14"/>
  <c r="T157" i="14"/>
  <c r="T158" i="14"/>
  <c r="T159" i="14"/>
  <c r="T160" i="14"/>
  <c r="U160" i="14" s="1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U172" i="14" s="1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U184" i="14" s="1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U196" i="14" s="1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U208" i="14" s="1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U222" i="14" s="1"/>
  <c r="T223" i="14"/>
  <c r="U223" i="14" s="1"/>
  <c r="T224" i="14"/>
  <c r="T225" i="14"/>
  <c r="T226" i="14"/>
  <c r="T227" i="14"/>
  <c r="T228" i="14"/>
  <c r="T229" i="14"/>
  <c r="T230" i="14"/>
  <c r="T231" i="14"/>
  <c r="T232" i="14"/>
  <c r="T233" i="14"/>
  <c r="T234" i="14"/>
  <c r="U234" i="14" s="1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U246" i="14" s="1"/>
  <c r="T247" i="14"/>
  <c r="U247" i="14" s="1"/>
  <c r="T248" i="14"/>
  <c r="T249" i="14"/>
  <c r="T250" i="14"/>
  <c r="T251" i="14"/>
  <c r="T252" i="14"/>
  <c r="T253" i="14"/>
  <c r="T254" i="14"/>
  <c r="T255" i="14"/>
  <c r="T256" i="14"/>
  <c r="T257" i="14"/>
  <c r="T258" i="14"/>
  <c r="U258" i="14" s="1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U270" i="14" s="1"/>
  <c r="T271" i="14"/>
  <c r="U271" i="14" s="1"/>
  <c r="T272" i="14"/>
  <c r="T273" i="14"/>
  <c r="T274" i="14"/>
  <c r="T275" i="14"/>
  <c r="T276" i="14"/>
  <c r="T277" i="14"/>
  <c r="T278" i="14"/>
  <c r="T279" i="14"/>
  <c r="T280" i="14"/>
  <c r="T281" i="14"/>
  <c r="T282" i="14"/>
  <c r="U282" i="14" s="1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U294" i="14" s="1"/>
  <c r="T295" i="14"/>
  <c r="U295" i="14" s="1"/>
  <c r="T296" i="14"/>
  <c r="T297" i="14"/>
  <c r="T298" i="14"/>
  <c r="T299" i="14"/>
  <c r="T300" i="14"/>
  <c r="T301" i="14"/>
  <c r="T302" i="14"/>
  <c r="T303" i="14"/>
  <c r="T304" i="14"/>
  <c r="T305" i="14"/>
  <c r="T306" i="14"/>
  <c r="U306" i="14" s="1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U318" i="14" s="1"/>
  <c r="T319" i="14"/>
  <c r="U319" i="14" s="1"/>
  <c r="T320" i="14"/>
  <c r="T321" i="14"/>
  <c r="T322" i="14"/>
  <c r="T323" i="14"/>
  <c r="T324" i="14"/>
  <c r="T325" i="14"/>
  <c r="T326" i="14"/>
  <c r="T327" i="14"/>
  <c r="T328" i="14"/>
  <c r="T329" i="14"/>
  <c r="T330" i="14"/>
  <c r="U330" i="14" s="1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U342" i="14" s="1"/>
  <c r="T343" i="14"/>
  <c r="U343" i="14" s="1"/>
  <c r="T344" i="14"/>
  <c r="T345" i="14"/>
  <c r="T346" i="14"/>
  <c r="T347" i="14"/>
  <c r="T348" i="14"/>
  <c r="T349" i="14"/>
  <c r="T350" i="14"/>
  <c r="T351" i="14"/>
  <c r="T352" i="14"/>
  <c r="T353" i="14"/>
  <c r="T354" i="14"/>
  <c r="U354" i="14" s="1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U366" i="14" s="1"/>
  <c r="T367" i="14"/>
  <c r="U367" i="14" s="1"/>
  <c r="T368" i="14"/>
  <c r="T369" i="14"/>
  <c r="T370" i="14"/>
  <c r="T371" i="14"/>
  <c r="T372" i="14"/>
  <c r="T373" i="14"/>
  <c r="T374" i="14"/>
  <c r="T375" i="14"/>
  <c r="T376" i="14"/>
  <c r="T377" i="14"/>
  <c r="T378" i="14"/>
  <c r="U378" i="14" s="1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U391" i="14" s="1"/>
  <c r="T392" i="14"/>
  <c r="T393" i="14"/>
  <c r="T394" i="14"/>
  <c r="T395" i="14"/>
  <c r="T396" i="14"/>
  <c r="T397" i="14"/>
  <c r="T398" i="14"/>
  <c r="T399" i="14"/>
  <c r="T400" i="14"/>
  <c r="T401" i="14"/>
  <c r="T402" i="14"/>
  <c r="U402" i="14" s="1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U414" i="14" s="1"/>
  <c r="T415" i="14"/>
  <c r="U415" i="14" s="1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U439" i="14" s="1"/>
  <c r="T440" i="14"/>
  <c r="T441" i="14"/>
  <c r="T442" i="14"/>
  <c r="T443" i="14"/>
  <c r="T444" i="14"/>
  <c r="T445" i="14"/>
  <c r="T446" i="14"/>
  <c r="T447" i="14"/>
  <c r="T448" i="14"/>
  <c r="T449" i="14"/>
  <c r="T450" i="14"/>
  <c r="U450" i="14" s="1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U462" i="14" s="1"/>
  <c r="T463" i="14"/>
  <c r="U463" i="14" s="1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U487" i="14" s="1"/>
  <c r="T488" i="14"/>
  <c r="T489" i="14"/>
  <c r="T490" i="14"/>
  <c r="T491" i="14"/>
  <c r="T492" i="14"/>
  <c r="T493" i="14"/>
  <c r="T494" i="14"/>
  <c r="T495" i="14"/>
  <c r="T496" i="14"/>
  <c r="T497" i="14"/>
  <c r="T498" i="14"/>
  <c r="U498" i="14" s="1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U510" i="14" s="1"/>
  <c r="T511" i="14"/>
  <c r="U511" i="14" s="1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U535" i="14" s="1"/>
  <c r="T536" i="14"/>
  <c r="T537" i="14"/>
  <c r="T538" i="14"/>
  <c r="T539" i="14"/>
  <c r="T540" i="14"/>
  <c r="T541" i="14"/>
  <c r="T542" i="14"/>
  <c r="T543" i="14"/>
  <c r="T544" i="14"/>
  <c r="T545" i="14"/>
  <c r="T546" i="14"/>
  <c r="U546" i="14" s="1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U558" i="14" s="1"/>
  <c r="T559" i="14"/>
  <c r="U559" i="14" s="1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U583" i="14" s="1"/>
  <c r="T584" i="14"/>
  <c r="T585" i="14"/>
  <c r="T586" i="14"/>
  <c r="T587" i="14"/>
  <c r="T588" i="14"/>
  <c r="T589" i="14"/>
  <c r="T590" i="14"/>
  <c r="T591" i="14"/>
  <c r="T592" i="14"/>
  <c r="T593" i="14"/>
  <c r="T594" i="14"/>
  <c r="U594" i="14" s="1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U606" i="14" s="1"/>
  <c r="T607" i="14"/>
  <c r="U607" i="14" s="1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U631" i="14" s="1"/>
  <c r="T632" i="14"/>
  <c r="T633" i="14"/>
  <c r="T634" i="14"/>
  <c r="T635" i="14"/>
  <c r="T636" i="14"/>
  <c r="T637" i="14"/>
  <c r="T638" i="14"/>
  <c r="T639" i="14"/>
  <c r="T640" i="14"/>
  <c r="T641" i="14"/>
  <c r="T642" i="14"/>
  <c r="U642" i="14" s="1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U654" i="14" s="1"/>
  <c r="T655" i="14"/>
  <c r="U655" i="14" s="1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U679" i="14" s="1"/>
  <c r="T680" i="14"/>
  <c r="T681" i="14"/>
  <c r="T682" i="14"/>
  <c r="T683" i="14"/>
  <c r="T684" i="14"/>
  <c r="T685" i="14"/>
  <c r="T686" i="14"/>
  <c r="T687" i="14"/>
  <c r="T688" i="14"/>
  <c r="T689" i="14"/>
  <c r="T690" i="14"/>
  <c r="U690" i="14" s="1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U702" i="14" s="1"/>
  <c r="T703" i="14"/>
  <c r="U703" i="14" s="1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U727" i="14" s="1"/>
  <c r="T728" i="14"/>
  <c r="T729" i="14"/>
  <c r="T730" i="14"/>
  <c r="T731" i="14"/>
  <c r="T732" i="14"/>
  <c r="T733" i="14"/>
  <c r="T734" i="14"/>
  <c r="T735" i="14"/>
  <c r="T736" i="14"/>
  <c r="T737" i="14"/>
  <c r="T738" i="14"/>
  <c r="U738" i="14" s="1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U750" i="14" s="1"/>
  <c r="T751" i="14"/>
  <c r="U751" i="14" s="1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U775" i="14" s="1"/>
  <c r="T776" i="14"/>
  <c r="T777" i="14"/>
  <c r="T778" i="14"/>
  <c r="T779" i="14"/>
  <c r="T780" i="14"/>
  <c r="T781" i="14"/>
  <c r="T782" i="14"/>
  <c r="T783" i="14"/>
  <c r="T784" i="14"/>
  <c r="T785" i="14"/>
  <c r="T786" i="14"/>
  <c r="U786" i="14" s="1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U798" i="14" s="1"/>
  <c r="T799" i="14"/>
  <c r="U799" i="14" s="1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U823" i="14" s="1"/>
  <c r="T824" i="14"/>
  <c r="T825" i="14"/>
  <c r="T826" i="14"/>
  <c r="T827" i="14"/>
  <c r="T828" i="14"/>
  <c r="T829" i="14"/>
  <c r="T830" i="14"/>
  <c r="T831" i="14"/>
  <c r="T832" i="14"/>
  <c r="T833" i="14"/>
  <c r="T834" i="14"/>
  <c r="U834" i="14" s="1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U846" i="14" s="1"/>
  <c r="T847" i="14"/>
  <c r="U847" i="14" s="1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U871" i="14" s="1"/>
  <c r="T872" i="14"/>
  <c r="T873" i="14"/>
  <c r="T874" i="14"/>
  <c r="T875" i="14"/>
  <c r="T876" i="14"/>
  <c r="T877" i="14"/>
  <c r="T878" i="14"/>
  <c r="T879" i="14"/>
  <c r="T880" i="14"/>
  <c r="T881" i="14"/>
  <c r="T882" i="14"/>
  <c r="U882" i="14" s="1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U894" i="14" s="1"/>
  <c r="T895" i="14"/>
  <c r="U895" i="14" s="1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U919" i="14" s="1"/>
  <c r="T920" i="14"/>
  <c r="T921" i="14"/>
  <c r="T922" i="14"/>
  <c r="T923" i="14"/>
  <c r="T924" i="14"/>
  <c r="T925" i="14"/>
  <c r="T926" i="14"/>
  <c r="T927" i="14"/>
  <c r="T928" i="14"/>
  <c r="T929" i="14"/>
  <c r="T930" i="14"/>
  <c r="U930" i="14" s="1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U942" i="14" s="1"/>
  <c r="T943" i="14"/>
  <c r="U943" i="14" s="1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U967" i="14" s="1"/>
  <c r="T968" i="14"/>
  <c r="T969" i="14"/>
  <c r="T970" i="14"/>
  <c r="T971" i="14"/>
  <c r="T972" i="14"/>
  <c r="T973" i="14"/>
  <c r="T974" i="14"/>
  <c r="T975" i="14"/>
  <c r="T976" i="14"/>
  <c r="T977" i="14"/>
  <c r="T978" i="14"/>
  <c r="U978" i="14" s="1"/>
  <c r="T979" i="14"/>
  <c r="T980" i="14"/>
  <c r="T981" i="14"/>
  <c r="T982" i="14"/>
  <c r="T983" i="14"/>
  <c r="T984" i="14"/>
  <c r="T985" i="14"/>
  <c r="T986" i="14"/>
  <c r="T987" i="14"/>
  <c r="T988" i="14"/>
  <c r="U988" i="14" s="1"/>
  <c r="T989" i="14"/>
  <c r="T990" i="14"/>
  <c r="U990" i="14" s="1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U1005" i="14" s="1"/>
  <c r="T1006" i="14"/>
  <c r="T1007" i="14"/>
  <c r="T1008" i="14"/>
  <c r="T1009" i="14"/>
  <c r="T1010" i="14"/>
  <c r="T1011" i="14"/>
  <c r="T1012" i="14"/>
  <c r="T1013" i="14"/>
  <c r="T1014" i="14"/>
  <c r="U1014" i="14" s="1"/>
  <c r="T1015" i="14"/>
  <c r="T1016" i="14"/>
  <c r="T1017" i="14"/>
  <c r="T1018" i="14"/>
  <c r="T1019" i="14"/>
  <c r="T1020" i="14"/>
  <c r="T1021" i="14"/>
  <c r="T1022" i="14"/>
  <c r="T1023" i="14"/>
  <c r="T1024" i="14"/>
  <c r="U1024" i="14" s="1"/>
  <c r="T1025" i="14"/>
  <c r="T1026" i="14"/>
  <c r="U1026" i="14" s="1"/>
  <c r="T1027" i="14"/>
  <c r="T1028" i="14"/>
  <c r="T1029" i="14"/>
  <c r="T1030" i="14"/>
  <c r="T1031" i="14"/>
  <c r="T1032" i="14"/>
  <c r="T1033" i="14"/>
  <c r="T1034" i="14"/>
  <c r="T1035" i="14"/>
  <c r="T1036" i="14"/>
  <c r="T1037" i="14"/>
  <c r="T1038" i="14"/>
  <c r="T1039" i="14"/>
  <c r="T1040" i="14"/>
  <c r="T1041" i="14"/>
  <c r="U1041" i="14" s="1"/>
  <c r="T1042" i="14"/>
  <c r="T1043" i="14"/>
  <c r="T1044" i="14"/>
  <c r="T1045" i="14"/>
  <c r="T1046" i="14"/>
  <c r="T1047" i="14"/>
  <c r="T1048" i="14"/>
  <c r="T1049" i="14"/>
  <c r="T1050" i="14"/>
  <c r="U1050" i="14" s="1"/>
  <c r="T1051" i="14"/>
  <c r="T1052" i="14"/>
  <c r="T1053" i="14"/>
  <c r="T1054" i="14"/>
  <c r="T1055" i="14"/>
  <c r="T1056" i="14"/>
  <c r="T1057" i="14"/>
  <c r="T1058" i="14"/>
  <c r="T1059" i="14"/>
  <c r="T1060" i="14"/>
  <c r="U1060" i="14" s="1"/>
  <c r="T1061" i="14"/>
  <c r="T1062" i="14"/>
  <c r="U1062" i="14" s="1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1075" i="14"/>
  <c r="T1076" i="14"/>
  <c r="T1077" i="14"/>
  <c r="U1077" i="14" s="1"/>
  <c r="T1078" i="14"/>
  <c r="T1079" i="14"/>
  <c r="T1080" i="14"/>
  <c r="T1081" i="14"/>
  <c r="T1082" i="14"/>
  <c r="T1083" i="14"/>
  <c r="T1084" i="14"/>
  <c r="T1085" i="14"/>
  <c r="T1086" i="14"/>
  <c r="U1086" i="14" s="1"/>
  <c r="T1087" i="14"/>
  <c r="T1088" i="14"/>
  <c r="T1089" i="14"/>
  <c r="T1090" i="14"/>
  <c r="T1091" i="14"/>
  <c r="T1092" i="14"/>
  <c r="T1093" i="14"/>
  <c r="T1094" i="14"/>
  <c r="T1095" i="14"/>
  <c r="T1096" i="14"/>
  <c r="U1096" i="14" s="1"/>
  <c r="T1097" i="14"/>
  <c r="T1098" i="14"/>
  <c r="U1098" i="14" s="1"/>
  <c r="T1099" i="14"/>
  <c r="T1100" i="14"/>
  <c r="T1101" i="14"/>
  <c r="T1102" i="14"/>
  <c r="T1103" i="14"/>
  <c r="T1104" i="14"/>
  <c r="T1105" i="14"/>
  <c r="T1106" i="14"/>
  <c r="T1107" i="14"/>
  <c r="T1108" i="14"/>
  <c r="T1109" i="14"/>
  <c r="T1110" i="14"/>
  <c r="T1111" i="14"/>
  <c r="T1112" i="14"/>
  <c r="T1113" i="14"/>
  <c r="U1113" i="14" s="1"/>
  <c r="T1114" i="14"/>
  <c r="T1115" i="14"/>
  <c r="T1116" i="14"/>
  <c r="T1117" i="14"/>
  <c r="T1118" i="14"/>
  <c r="T1119" i="14"/>
  <c r="T1120" i="14"/>
  <c r="T1121" i="14"/>
  <c r="T1122" i="14"/>
  <c r="U1122" i="14" s="1"/>
  <c r="T1123" i="14"/>
  <c r="T1124" i="14"/>
  <c r="T1125" i="14"/>
  <c r="T1126" i="14"/>
  <c r="T1127" i="14"/>
  <c r="T1128" i="14"/>
  <c r="T1129" i="14"/>
  <c r="T1130" i="14"/>
  <c r="T1131" i="14"/>
  <c r="T1132" i="14"/>
  <c r="U1132" i="14" s="1"/>
  <c r="T1133" i="14"/>
  <c r="T1134" i="14"/>
  <c r="U1134" i="14" s="1"/>
  <c r="T1135" i="14"/>
  <c r="T1136" i="14"/>
  <c r="T1137" i="14"/>
  <c r="T1138" i="14"/>
  <c r="T1139" i="14"/>
  <c r="T1140" i="14"/>
  <c r="T1141" i="14"/>
  <c r="T1142" i="14"/>
  <c r="T1143" i="14"/>
  <c r="T1144" i="14"/>
  <c r="T1145" i="14"/>
  <c r="T1146" i="14"/>
  <c r="T1147" i="14"/>
  <c r="T1148" i="14"/>
  <c r="T1149" i="14"/>
  <c r="U1149" i="14" s="1"/>
  <c r="T1150" i="14"/>
  <c r="T1151" i="14"/>
  <c r="T1152" i="14"/>
  <c r="T1153" i="14"/>
  <c r="T1154" i="14"/>
  <c r="T1155" i="14"/>
  <c r="T1156" i="14"/>
  <c r="T1157" i="14"/>
  <c r="T1158" i="14"/>
  <c r="U1158" i="14" s="1"/>
  <c r="T1159" i="14"/>
  <c r="T1160" i="14"/>
  <c r="T1161" i="14"/>
  <c r="T1162" i="14"/>
  <c r="T1163" i="14"/>
  <c r="T1164" i="14"/>
  <c r="T1165" i="14"/>
  <c r="T1166" i="14"/>
  <c r="T1167" i="14"/>
  <c r="T1168" i="14"/>
  <c r="U1168" i="14" s="1"/>
  <c r="T1169" i="14"/>
  <c r="T1170" i="14"/>
  <c r="U1170" i="14" s="1"/>
  <c r="T1171" i="14"/>
  <c r="T1172" i="14"/>
  <c r="T1173" i="14"/>
  <c r="T1174" i="14"/>
  <c r="T1175" i="14"/>
  <c r="T1176" i="14"/>
  <c r="T1177" i="14"/>
  <c r="T1178" i="14"/>
  <c r="T1179" i="14"/>
  <c r="T1180" i="14"/>
  <c r="T1181" i="14"/>
  <c r="T1182" i="14"/>
  <c r="T1183" i="14"/>
  <c r="T1184" i="14"/>
  <c r="T1185" i="14"/>
  <c r="U1185" i="14" s="1"/>
  <c r="T1186" i="14"/>
  <c r="T1187" i="14"/>
  <c r="T1188" i="14"/>
  <c r="T1189" i="14"/>
  <c r="T1190" i="14"/>
  <c r="T1191" i="14"/>
  <c r="T1192" i="14"/>
  <c r="T1193" i="14"/>
  <c r="T1194" i="14"/>
  <c r="U1194" i="14" s="1"/>
  <c r="T1195" i="14"/>
  <c r="T1196" i="14"/>
  <c r="T1197" i="14"/>
  <c r="T1198" i="14"/>
  <c r="T1199" i="14"/>
  <c r="T1200" i="14"/>
  <c r="T1201" i="14"/>
  <c r="T1202" i="14"/>
  <c r="T1203" i="14"/>
  <c r="T1204" i="14"/>
  <c r="U1204" i="14" s="1"/>
  <c r="T1205" i="14"/>
  <c r="T1206" i="14"/>
  <c r="U1206" i="14" s="1"/>
  <c r="T1207" i="14"/>
  <c r="T1208" i="14"/>
  <c r="T1209" i="14"/>
  <c r="T1210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U1221" i="14" s="1"/>
  <c r="T1222" i="14"/>
  <c r="T1223" i="14"/>
  <c r="T1224" i="14"/>
  <c r="T1225" i="14"/>
  <c r="T1226" i="14"/>
  <c r="T1227" i="14"/>
  <c r="T1228" i="14"/>
  <c r="U1228" i="14" s="1"/>
  <c r="T1229" i="14"/>
  <c r="T1230" i="14"/>
  <c r="T1231" i="14"/>
  <c r="T1232" i="14"/>
  <c r="T1233" i="14"/>
  <c r="U1233" i="14" s="1"/>
  <c r="T1234" i="14"/>
  <c r="U1234" i="14" s="1"/>
  <c r="T1235" i="14"/>
  <c r="T1236" i="14"/>
  <c r="T1237" i="14"/>
  <c r="T1238" i="14"/>
  <c r="T1239" i="14"/>
  <c r="T1240" i="14"/>
  <c r="T1241" i="14"/>
  <c r="T1242" i="14"/>
  <c r="T1243" i="14"/>
  <c r="T1244" i="14"/>
  <c r="T1245" i="14"/>
  <c r="T1246" i="14"/>
  <c r="T1247" i="14"/>
  <c r="T1248" i="14"/>
  <c r="T1249" i="14"/>
  <c r="T1250" i="14"/>
  <c r="T1251" i="14"/>
  <c r="T1252" i="14"/>
  <c r="U1252" i="14" s="1"/>
  <c r="T1253" i="14"/>
  <c r="T1254" i="14"/>
  <c r="T1255" i="14"/>
  <c r="U1255" i="14" s="1"/>
  <c r="T1256" i="14"/>
  <c r="T1257" i="14"/>
  <c r="T1258" i="14"/>
  <c r="T1259" i="14"/>
  <c r="T1260" i="14"/>
  <c r="T1261" i="14"/>
  <c r="T1262" i="14"/>
  <c r="T1263" i="14"/>
  <c r="T1264" i="14"/>
  <c r="U1264" i="14" s="1"/>
  <c r="T1265" i="14"/>
  <c r="T1266" i="14"/>
  <c r="U1266" i="14" s="1"/>
  <c r="T1267" i="14"/>
  <c r="T1268" i="14"/>
  <c r="T1269" i="14"/>
  <c r="T1270" i="14"/>
  <c r="T1271" i="14"/>
  <c r="T1272" i="14"/>
  <c r="T1273" i="14"/>
  <c r="T1274" i="14"/>
  <c r="T1275" i="14"/>
  <c r="T1276" i="14"/>
  <c r="T1277" i="14"/>
  <c r="T1278" i="14"/>
  <c r="T1279" i="14"/>
  <c r="U1279" i="14" s="1"/>
  <c r="T1280" i="14"/>
  <c r="T1281" i="14"/>
  <c r="T1282" i="14"/>
  <c r="U1282" i="14" s="1"/>
  <c r="T1283" i="14"/>
  <c r="T1284" i="14"/>
  <c r="T1285" i="14"/>
  <c r="T1286" i="14"/>
  <c r="T1287" i="14"/>
  <c r="T1288" i="14"/>
  <c r="T1289" i="14"/>
  <c r="T1290" i="14"/>
  <c r="T1291" i="14"/>
  <c r="U1291" i="14" s="1"/>
  <c r="T1292" i="14"/>
  <c r="U1292" i="14" s="1"/>
  <c r="T1293" i="14"/>
  <c r="T1294" i="14"/>
  <c r="T1295" i="14"/>
  <c r="T1296" i="14"/>
  <c r="T1297" i="14"/>
  <c r="T1298" i="14"/>
  <c r="T1299" i="14"/>
  <c r="U1299" i="14" s="1"/>
  <c r="T1300" i="14"/>
  <c r="T1301" i="14"/>
  <c r="U1301" i="14" s="1"/>
  <c r="T1302" i="14"/>
  <c r="T1303" i="14"/>
  <c r="T1304" i="14"/>
  <c r="U1304" i="14" s="1"/>
  <c r="T1305" i="14"/>
  <c r="U1305" i="14" s="1"/>
  <c r="T1306" i="14"/>
  <c r="T1307" i="14"/>
  <c r="T1308" i="14"/>
  <c r="T1309" i="14"/>
  <c r="T1310" i="14"/>
  <c r="T1311" i="14"/>
  <c r="U1311" i="14" s="1"/>
  <c r="T1312" i="14"/>
  <c r="T1313" i="14"/>
  <c r="U1313" i="14" s="1"/>
  <c r="T1314" i="14"/>
  <c r="T1315" i="14"/>
  <c r="T1316" i="14"/>
  <c r="U1316" i="14" s="1"/>
  <c r="T1317" i="14"/>
  <c r="U1317" i="14" s="1"/>
  <c r="T1318" i="14"/>
  <c r="T1319" i="14"/>
  <c r="T1320" i="14"/>
  <c r="T1321" i="14"/>
  <c r="T1322" i="14"/>
  <c r="T1323" i="14"/>
  <c r="U1323" i="14" s="1"/>
  <c r="T1324" i="14"/>
  <c r="T1325" i="14"/>
  <c r="U1325" i="14" s="1"/>
  <c r="T1326" i="14"/>
  <c r="T1327" i="14"/>
  <c r="T1328" i="14"/>
  <c r="U1328" i="14" s="1"/>
  <c r="T1329" i="14"/>
  <c r="U1329" i="14" s="1"/>
  <c r="T1330" i="14"/>
  <c r="T1331" i="14"/>
  <c r="T1332" i="14"/>
  <c r="T1333" i="14"/>
  <c r="T1334" i="14"/>
  <c r="T1335" i="14"/>
  <c r="U1335" i="14" s="1"/>
  <c r="T1336" i="14"/>
  <c r="T1337" i="14"/>
  <c r="U1337" i="14" s="1"/>
  <c r="T1338" i="14"/>
  <c r="T1339" i="14"/>
  <c r="T1340" i="14"/>
  <c r="U1340" i="14" s="1"/>
  <c r="T1341" i="14"/>
  <c r="U1341" i="14" s="1"/>
  <c r="T1342" i="14"/>
  <c r="T1343" i="14"/>
  <c r="T1344" i="14"/>
  <c r="T1345" i="14"/>
  <c r="T1346" i="14"/>
  <c r="T1347" i="14"/>
  <c r="U1347" i="14" s="1"/>
  <c r="T1348" i="14"/>
  <c r="T1349" i="14"/>
  <c r="U1349" i="14" s="1"/>
  <c r="T1350" i="14"/>
  <c r="T1351" i="14"/>
  <c r="T1352" i="14"/>
  <c r="U1352" i="14" s="1"/>
  <c r="T1353" i="14"/>
  <c r="U1353" i="14" s="1"/>
  <c r="T1354" i="14"/>
  <c r="T1355" i="14"/>
  <c r="T1356" i="14"/>
  <c r="T1357" i="14"/>
  <c r="T1358" i="14"/>
  <c r="T1359" i="14"/>
  <c r="U1359" i="14" s="1"/>
  <c r="T1360" i="14"/>
  <c r="T1361" i="14"/>
  <c r="U1361" i="14" s="1"/>
  <c r="T1362" i="14"/>
  <c r="T1363" i="14"/>
  <c r="T1364" i="14"/>
  <c r="U1364" i="14" s="1"/>
  <c r="T1365" i="14"/>
  <c r="U1365" i="14" s="1"/>
  <c r="T1366" i="14"/>
  <c r="T1367" i="14"/>
  <c r="T1368" i="14"/>
  <c r="T1369" i="14"/>
  <c r="T1370" i="14"/>
  <c r="T1371" i="14"/>
  <c r="U1371" i="14" s="1"/>
  <c r="T1372" i="14"/>
  <c r="T1373" i="14"/>
  <c r="U1373" i="14" s="1"/>
  <c r="T1374" i="14"/>
  <c r="T1375" i="14"/>
  <c r="T1376" i="14"/>
  <c r="U1376" i="14" s="1"/>
  <c r="T1377" i="14"/>
  <c r="U1377" i="14" s="1"/>
  <c r="T1378" i="14"/>
  <c r="T1379" i="14"/>
  <c r="T1380" i="14"/>
  <c r="T1381" i="14"/>
  <c r="T1382" i="14"/>
  <c r="T1383" i="14"/>
  <c r="U1383" i="14" s="1"/>
  <c r="T1384" i="14"/>
  <c r="T1385" i="14"/>
  <c r="U1385" i="14" s="1"/>
  <c r="T1386" i="14"/>
  <c r="T1387" i="14"/>
  <c r="T1388" i="14"/>
  <c r="U1388" i="14" s="1"/>
  <c r="T1389" i="14"/>
  <c r="U1389" i="14" s="1"/>
  <c r="T1390" i="14"/>
  <c r="T1391" i="14"/>
  <c r="T1392" i="14"/>
  <c r="T1393" i="14"/>
  <c r="T1394" i="14"/>
  <c r="T1395" i="14"/>
  <c r="U1395" i="14" s="1"/>
  <c r="T1396" i="14"/>
  <c r="T1397" i="14"/>
  <c r="U1397" i="14" s="1"/>
  <c r="T1398" i="14"/>
  <c r="T1399" i="14"/>
  <c r="T1400" i="14"/>
  <c r="U1400" i="14" s="1"/>
  <c r="T1401" i="14"/>
  <c r="U1401" i="14" s="1"/>
  <c r="T1402" i="14"/>
  <c r="T1403" i="14"/>
  <c r="T1404" i="14"/>
  <c r="T1405" i="14"/>
  <c r="T1406" i="14"/>
  <c r="T1407" i="14"/>
  <c r="U1407" i="14" s="1"/>
  <c r="T1408" i="14"/>
  <c r="T1409" i="14"/>
  <c r="U1409" i="14" s="1"/>
  <c r="T1410" i="14"/>
  <c r="T1411" i="14"/>
  <c r="T1412" i="14"/>
  <c r="U1412" i="14" s="1"/>
  <c r="T1413" i="14"/>
  <c r="U1413" i="14" s="1"/>
  <c r="T1414" i="14"/>
  <c r="T1415" i="14"/>
  <c r="T1416" i="14"/>
  <c r="T1417" i="14"/>
  <c r="T1418" i="14"/>
  <c r="T1419" i="14"/>
  <c r="U1419" i="14" s="1"/>
  <c r="T1420" i="14"/>
  <c r="T1421" i="14"/>
  <c r="U1421" i="14" s="1"/>
  <c r="T1422" i="14"/>
  <c r="T1423" i="14"/>
  <c r="T1424" i="14"/>
  <c r="U1424" i="14" s="1"/>
  <c r="T1425" i="14"/>
  <c r="U1425" i="14" s="1"/>
  <c r="T1426" i="14"/>
  <c r="T1427" i="14"/>
  <c r="T1428" i="14"/>
  <c r="T1429" i="14"/>
  <c r="T1430" i="14"/>
  <c r="T1431" i="14"/>
  <c r="U1431" i="14" s="1"/>
  <c r="T1432" i="14"/>
  <c r="T1433" i="14"/>
  <c r="U1433" i="14" s="1"/>
  <c r="T1434" i="14"/>
  <c r="T1435" i="14"/>
  <c r="T1436" i="14"/>
  <c r="U1436" i="14" s="1"/>
  <c r="T1437" i="14"/>
  <c r="U1437" i="14" s="1"/>
  <c r="T1438" i="14"/>
  <c r="T1439" i="14"/>
  <c r="T1440" i="14"/>
  <c r="T1441" i="14"/>
  <c r="T1442" i="14"/>
  <c r="T1443" i="14"/>
  <c r="U1443" i="14" s="1"/>
  <c r="T1444" i="14"/>
  <c r="T1445" i="14"/>
  <c r="U1445" i="14" s="1"/>
  <c r="T1446" i="14"/>
  <c r="T1447" i="14"/>
  <c r="T1448" i="14"/>
  <c r="U1448" i="14" s="1"/>
  <c r="T1449" i="14"/>
  <c r="U1449" i="14" s="1"/>
  <c r="T1450" i="14"/>
  <c r="T1451" i="14"/>
  <c r="T1452" i="14"/>
  <c r="T1453" i="14"/>
  <c r="T1454" i="14"/>
  <c r="T1455" i="14"/>
  <c r="U1455" i="14" s="1"/>
  <c r="T1456" i="14"/>
  <c r="T1457" i="14"/>
  <c r="U1457" i="14" s="1"/>
  <c r="T1458" i="14"/>
  <c r="T1459" i="14"/>
  <c r="T1460" i="14"/>
  <c r="U1460" i="14" s="1"/>
  <c r="T1461" i="14"/>
  <c r="U1461" i="14" s="1"/>
  <c r="T1462" i="14"/>
  <c r="T1463" i="14"/>
  <c r="T1464" i="14"/>
  <c r="T1465" i="14"/>
  <c r="T1466" i="14"/>
  <c r="T1467" i="14"/>
  <c r="U1467" i="14" s="1"/>
  <c r="T1468" i="14"/>
  <c r="T1469" i="14"/>
  <c r="U1469" i="14" s="1"/>
  <c r="T1470" i="14"/>
  <c r="T1471" i="14"/>
  <c r="T1472" i="14"/>
  <c r="U1472" i="14" s="1"/>
  <c r="T1473" i="14"/>
  <c r="U1473" i="14" s="1"/>
  <c r="T1474" i="14"/>
  <c r="T1475" i="14"/>
  <c r="T1476" i="14"/>
  <c r="T1477" i="14"/>
  <c r="T1478" i="14"/>
  <c r="T1479" i="14"/>
  <c r="U1479" i="14" s="1"/>
  <c r="T1480" i="14"/>
  <c r="T1481" i="14"/>
  <c r="U1481" i="14" s="1"/>
  <c r="T1482" i="14"/>
  <c r="T1483" i="14"/>
  <c r="T1484" i="14"/>
  <c r="U1484" i="14" s="1"/>
  <c r="T1485" i="14"/>
  <c r="U1485" i="14" s="1"/>
  <c r="T1486" i="14"/>
  <c r="T1487" i="14"/>
  <c r="T1488" i="14"/>
  <c r="T1489" i="14"/>
  <c r="T1490" i="14"/>
  <c r="T1491" i="14"/>
  <c r="U1491" i="14" s="1"/>
  <c r="T1492" i="14"/>
  <c r="T1493" i="14"/>
  <c r="U1493" i="14" s="1"/>
  <c r="T1494" i="14"/>
  <c r="T1495" i="14"/>
  <c r="T1496" i="14"/>
  <c r="U1496" i="14" s="1"/>
  <c r="T1497" i="14"/>
  <c r="U1497" i="14" s="1"/>
  <c r="T1498" i="14"/>
  <c r="T1499" i="14"/>
  <c r="T1500" i="14"/>
  <c r="T1501" i="14"/>
  <c r="T1502" i="14"/>
  <c r="T1503" i="14"/>
  <c r="U1503" i="14" s="1"/>
  <c r="T1504" i="14"/>
  <c r="T1505" i="14"/>
  <c r="U1505" i="14" s="1"/>
  <c r="T1506" i="14"/>
  <c r="T1507" i="14"/>
  <c r="T1508" i="14"/>
  <c r="U1508" i="14" s="1"/>
  <c r="T1509" i="14"/>
  <c r="U1509" i="14" s="1"/>
  <c r="T1510" i="14"/>
  <c r="T1511" i="14"/>
  <c r="T1512" i="14"/>
  <c r="T1513" i="14"/>
  <c r="T1514" i="14"/>
  <c r="T1515" i="14"/>
  <c r="U1515" i="14" s="1"/>
  <c r="T1516" i="14"/>
  <c r="T1517" i="14"/>
  <c r="U1517" i="14" s="1"/>
  <c r="T1518" i="14"/>
  <c r="T1519" i="14"/>
  <c r="T1520" i="14"/>
  <c r="U1520" i="14" s="1"/>
  <c r="T1521" i="14"/>
  <c r="U1521" i="14" s="1"/>
  <c r="T1522" i="14"/>
  <c r="T1523" i="14"/>
  <c r="T1524" i="14"/>
  <c r="T1525" i="14"/>
  <c r="T1526" i="14"/>
  <c r="T1527" i="14"/>
  <c r="U1527" i="14" s="1"/>
  <c r="T1528" i="14"/>
  <c r="T1529" i="14"/>
  <c r="U1529" i="14" s="1"/>
  <c r="T1530" i="14"/>
  <c r="T1531" i="14"/>
  <c r="T1532" i="14"/>
  <c r="U1532" i="14" s="1"/>
  <c r="T1533" i="14"/>
  <c r="U1533" i="14" s="1"/>
  <c r="T1534" i="14"/>
  <c r="T1535" i="14"/>
  <c r="T1536" i="14"/>
  <c r="T1537" i="14"/>
  <c r="T1538" i="14"/>
  <c r="T1539" i="14"/>
  <c r="U1539" i="14" s="1"/>
  <c r="T1540" i="14"/>
  <c r="T1541" i="14"/>
  <c r="U1541" i="14" s="1"/>
  <c r="T1542" i="14"/>
  <c r="T1543" i="14"/>
  <c r="T1544" i="14"/>
  <c r="U1544" i="14" s="1"/>
  <c r="T1545" i="14"/>
  <c r="U1545" i="14" s="1"/>
  <c r="T1546" i="14"/>
  <c r="T1547" i="14"/>
  <c r="T1548" i="14"/>
  <c r="T1549" i="14"/>
  <c r="T1550" i="14"/>
  <c r="T1551" i="14"/>
  <c r="U1551" i="14" s="1"/>
  <c r="T1552" i="14"/>
  <c r="T1553" i="14"/>
  <c r="U1553" i="14" s="1"/>
  <c r="T1554" i="14"/>
  <c r="T1555" i="14"/>
  <c r="T1556" i="14"/>
  <c r="U1556" i="14" s="1"/>
  <c r="T1557" i="14"/>
  <c r="U1557" i="14" s="1"/>
  <c r="T1558" i="14"/>
  <c r="T1559" i="14"/>
  <c r="T1560" i="14"/>
  <c r="T1561" i="14"/>
  <c r="T1562" i="14"/>
  <c r="T1563" i="14"/>
  <c r="U1563" i="14" s="1"/>
  <c r="T1564" i="14"/>
  <c r="T1565" i="14"/>
  <c r="U1565" i="14" s="1"/>
  <c r="T1566" i="14"/>
  <c r="T1567" i="14"/>
  <c r="T1568" i="14"/>
  <c r="U1568" i="14" s="1"/>
  <c r="T1569" i="14"/>
  <c r="U1569" i="14" s="1"/>
  <c r="T1570" i="14"/>
  <c r="T1571" i="14"/>
  <c r="T1572" i="14"/>
  <c r="T1573" i="14"/>
  <c r="T1574" i="14"/>
  <c r="T1575" i="14"/>
  <c r="U1575" i="14" s="1"/>
  <c r="T1576" i="14"/>
  <c r="T1577" i="14"/>
  <c r="U1577" i="14" s="1"/>
  <c r="T1578" i="14"/>
  <c r="T1579" i="14"/>
  <c r="T1580" i="14"/>
  <c r="U1580" i="14" s="1"/>
  <c r="T1581" i="14"/>
  <c r="U1581" i="14" s="1"/>
  <c r="T1582" i="14"/>
  <c r="T1583" i="14"/>
  <c r="T1584" i="14"/>
  <c r="T1585" i="14"/>
  <c r="T1586" i="14"/>
  <c r="T1587" i="14"/>
  <c r="U1587" i="14" s="1"/>
  <c r="T1588" i="14"/>
  <c r="T1589" i="14"/>
  <c r="U1589" i="14" s="1"/>
  <c r="T1590" i="14"/>
  <c r="T1591" i="14"/>
  <c r="T1592" i="14"/>
  <c r="U1592" i="14" s="1"/>
  <c r="T1593" i="14"/>
  <c r="U1593" i="14" s="1"/>
  <c r="T1594" i="14"/>
  <c r="T1595" i="14"/>
  <c r="T1596" i="14"/>
  <c r="T1597" i="14"/>
  <c r="T1598" i="14"/>
  <c r="T1599" i="14"/>
  <c r="U1599" i="14" s="1"/>
  <c r="T1600" i="14"/>
  <c r="T1601" i="14"/>
  <c r="U1601" i="14" s="1"/>
  <c r="T1602" i="14"/>
  <c r="T1603" i="14"/>
  <c r="T1604" i="14"/>
  <c r="U1604" i="14" s="1"/>
  <c r="T1605" i="14"/>
  <c r="U1605" i="14" s="1"/>
  <c r="T1606" i="14"/>
  <c r="T1607" i="14"/>
  <c r="T1608" i="14"/>
  <c r="T1609" i="14"/>
  <c r="T1610" i="14"/>
  <c r="T1611" i="14"/>
  <c r="U1611" i="14" s="1"/>
  <c r="T1612" i="14"/>
  <c r="T1613" i="14"/>
  <c r="U1613" i="14" s="1"/>
  <c r="T1614" i="14"/>
  <c r="T1615" i="14"/>
  <c r="T1616" i="14"/>
  <c r="U1616" i="14" s="1"/>
  <c r="T1617" i="14"/>
  <c r="U1617" i="14" s="1"/>
  <c r="T1618" i="14"/>
  <c r="T1619" i="14"/>
  <c r="T1620" i="14"/>
  <c r="T1621" i="14"/>
  <c r="T1622" i="14"/>
  <c r="T1623" i="14"/>
  <c r="U1623" i="14" s="1"/>
  <c r="T1624" i="14"/>
  <c r="T1625" i="14"/>
  <c r="U1625" i="14" s="1"/>
  <c r="T1626" i="14"/>
  <c r="T1627" i="14"/>
  <c r="T1628" i="14"/>
  <c r="U1628" i="14" s="1"/>
  <c r="T1629" i="14"/>
  <c r="U1629" i="14" s="1"/>
  <c r="T1630" i="14"/>
  <c r="T1631" i="14"/>
  <c r="T1632" i="14"/>
  <c r="T1633" i="14"/>
  <c r="T1634" i="14"/>
  <c r="T1635" i="14"/>
  <c r="U1635" i="14" s="1"/>
  <c r="T1636" i="14"/>
  <c r="T1637" i="14"/>
  <c r="U1637" i="14" s="1"/>
  <c r="T1638" i="14"/>
  <c r="T1639" i="14"/>
  <c r="T1640" i="14"/>
  <c r="U1640" i="14" s="1"/>
  <c r="T1641" i="14"/>
  <c r="U1641" i="14" s="1"/>
  <c r="T1642" i="14"/>
  <c r="T1643" i="14"/>
  <c r="T1644" i="14"/>
  <c r="T1645" i="14"/>
  <c r="T1646" i="14"/>
  <c r="T1647" i="14"/>
  <c r="U1647" i="14" s="1"/>
  <c r="T1648" i="14"/>
  <c r="T1649" i="14"/>
  <c r="U1649" i="14" s="1"/>
  <c r="T1650" i="14"/>
  <c r="T1651" i="14"/>
  <c r="T1652" i="14"/>
  <c r="U1652" i="14" s="1"/>
  <c r="T1653" i="14"/>
  <c r="U1653" i="14" s="1"/>
  <c r="T1654" i="14"/>
  <c r="T1655" i="14"/>
  <c r="T1656" i="14"/>
  <c r="T1657" i="14"/>
  <c r="T1658" i="14"/>
  <c r="T1659" i="14"/>
  <c r="U1659" i="14" s="1"/>
  <c r="T1660" i="14"/>
  <c r="T1661" i="14"/>
  <c r="U1661" i="14" s="1"/>
  <c r="T1662" i="14"/>
  <c r="T1663" i="14"/>
  <c r="T1664" i="14"/>
  <c r="U1664" i="14" s="1"/>
  <c r="T1665" i="14"/>
  <c r="U1665" i="14" s="1"/>
  <c r="T1666" i="14"/>
  <c r="T1667" i="14"/>
  <c r="T1668" i="14"/>
  <c r="T1669" i="14"/>
  <c r="T1670" i="14"/>
  <c r="T1671" i="14"/>
  <c r="U1671" i="14" s="1"/>
  <c r="T1672" i="14"/>
  <c r="T1673" i="14"/>
  <c r="U1673" i="14" s="1"/>
  <c r="T1674" i="14"/>
  <c r="T1675" i="14"/>
  <c r="T1676" i="14"/>
  <c r="U1676" i="14" s="1"/>
  <c r="T1677" i="14"/>
  <c r="U1677" i="14" s="1"/>
  <c r="T1678" i="14"/>
  <c r="T1679" i="14"/>
  <c r="T1680" i="14"/>
  <c r="T1681" i="14"/>
  <c r="T1682" i="14"/>
  <c r="T1683" i="14"/>
  <c r="U1683" i="14" s="1"/>
  <c r="T1684" i="14"/>
  <c r="T1685" i="14"/>
  <c r="U1685" i="14" s="1"/>
  <c r="T1686" i="14"/>
  <c r="T1687" i="14"/>
  <c r="T1688" i="14"/>
  <c r="U1688" i="14" s="1"/>
  <c r="T1689" i="14"/>
  <c r="U1689" i="14" s="1"/>
  <c r="T1690" i="14"/>
  <c r="T1691" i="14"/>
  <c r="T1692" i="14"/>
  <c r="T1693" i="14"/>
  <c r="T1694" i="14"/>
  <c r="T1695" i="14"/>
  <c r="U1695" i="14" s="1"/>
  <c r="T1696" i="14"/>
  <c r="T1697" i="14"/>
  <c r="U1697" i="14" s="1"/>
  <c r="T1698" i="14"/>
  <c r="T1699" i="14"/>
  <c r="T1700" i="14"/>
  <c r="U1700" i="14" s="1"/>
  <c r="T1701" i="14"/>
  <c r="U1701" i="14" s="1"/>
  <c r="T1702" i="14"/>
  <c r="T1703" i="14"/>
  <c r="T1704" i="14"/>
  <c r="T1705" i="14"/>
  <c r="T1706" i="14"/>
  <c r="T1707" i="14"/>
  <c r="U1707" i="14" s="1"/>
  <c r="T1708" i="14"/>
  <c r="T1709" i="14"/>
  <c r="U1709" i="14" s="1"/>
  <c r="T1710" i="14"/>
  <c r="T1711" i="14"/>
  <c r="T1712" i="14"/>
  <c r="U1712" i="14" s="1"/>
  <c r="T1713" i="14"/>
  <c r="U1713" i="14" s="1"/>
  <c r="T1714" i="14"/>
  <c r="T1715" i="14"/>
  <c r="T1716" i="14"/>
  <c r="T1717" i="14"/>
  <c r="T1718" i="14"/>
  <c r="T1719" i="14"/>
  <c r="U1719" i="14" s="1"/>
  <c r="T1720" i="14"/>
  <c r="T1721" i="14"/>
  <c r="U1721" i="14" s="1"/>
  <c r="T1722" i="14"/>
  <c r="T1723" i="14"/>
  <c r="T1724" i="14"/>
  <c r="U1724" i="14" s="1"/>
  <c r="T1725" i="14"/>
  <c r="U1725" i="14" s="1"/>
  <c r="T1726" i="14"/>
  <c r="T1727" i="14"/>
  <c r="T1728" i="14"/>
  <c r="T1729" i="14"/>
  <c r="T1730" i="14"/>
  <c r="T1731" i="14"/>
  <c r="U1731" i="14" s="1"/>
  <c r="T1732" i="14"/>
  <c r="T1733" i="14"/>
  <c r="U1733" i="14" s="1"/>
  <c r="T1734" i="14"/>
  <c r="T1735" i="14"/>
  <c r="T1736" i="14"/>
  <c r="U1736" i="14" s="1"/>
  <c r="T1737" i="14"/>
  <c r="U1737" i="14" s="1"/>
  <c r="T1738" i="14"/>
  <c r="T1739" i="14"/>
  <c r="T1740" i="14"/>
  <c r="T1741" i="14"/>
  <c r="T1742" i="14"/>
  <c r="T1743" i="14"/>
  <c r="U1743" i="14" s="1"/>
  <c r="T1744" i="14"/>
  <c r="T1745" i="14"/>
  <c r="U1745" i="14" s="1"/>
  <c r="T1746" i="14"/>
  <c r="T1747" i="14"/>
  <c r="T1748" i="14"/>
  <c r="U1748" i="14" s="1"/>
  <c r="T1749" i="14"/>
  <c r="U1749" i="14" s="1"/>
  <c r="T1750" i="14"/>
  <c r="T1751" i="14"/>
  <c r="T1752" i="14"/>
  <c r="T1753" i="14"/>
  <c r="T1754" i="14"/>
  <c r="T1755" i="14"/>
  <c r="U1755" i="14" s="1"/>
  <c r="T1756" i="14"/>
  <c r="T1757" i="14"/>
  <c r="U1757" i="14" s="1"/>
  <c r="T1758" i="14"/>
  <c r="T1759" i="14"/>
  <c r="T1760" i="14"/>
  <c r="U1760" i="14" s="1"/>
  <c r="T1761" i="14"/>
  <c r="U1761" i="14" s="1"/>
  <c r="T1762" i="14"/>
  <c r="T1763" i="14"/>
  <c r="T1764" i="14"/>
  <c r="T1765" i="14"/>
  <c r="T1766" i="14"/>
  <c r="T1767" i="14"/>
  <c r="U1767" i="14" s="1"/>
  <c r="T1768" i="14"/>
  <c r="T1769" i="14"/>
  <c r="U1769" i="14" s="1"/>
  <c r="T1770" i="14"/>
  <c r="T1771" i="14"/>
  <c r="T1772" i="14"/>
  <c r="U1772" i="14" s="1"/>
  <c r="T1773" i="14"/>
  <c r="U1773" i="14" s="1"/>
  <c r="T1774" i="14"/>
  <c r="T1775" i="14"/>
  <c r="T1776" i="14"/>
  <c r="T1777" i="14"/>
  <c r="T1778" i="14"/>
  <c r="T1779" i="14"/>
  <c r="U1779" i="14" s="1"/>
  <c r="T1780" i="14"/>
  <c r="T1781" i="14"/>
  <c r="U1781" i="14" s="1"/>
  <c r="T1782" i="14"/>
  <c r="T1783" i="14"/>
  <c r="T1784" i="14"/>
  <c r="U1784" i="14" s="1"/>
  <c r="T1785" i="14"/>
  <c r="U1785" i="14" s="1"/>
  <c r="T1786" i="14"/>
  <c r="T1787" i="14"/>
  <c r="T1788" i="14"/>
  <c r="T1789" i="14"/>
  <c r="T1790" i="14"/>
  <c r="T1791" i="14"/>
  <c r="U1791" i="14" s="1"/>
  <c r="T1792" i="14"/>
  <c r="T1793" i="14"/>
  <c r="U1793" i="14" s="1"/>
  <c r="T1794" i="14"/>
  <c r="T1795" i="14"/>
  <c r="T1796" i="14"/>
  <c r="U1796" i="14" s="1"/>
  <c r="T1797" i="14"/>
  <c r="U1797" i="14" s="1"/>
  <c r="T1798" i="14"/>
  <c r="T1799" i="14"/>
  <c r="T1800" i="14"/>
  <c r="T1801" i="14"/>
  <c r="T1802" i="14"/>
  <c r="T1803" i="14"/>
  <c r="U1803" i="14" s="1"/>
  <c r="T1804" i="14"/>
  <c r="T1805" i="14"/>
  <c r="U1805" i="14" s="1"/>
  <c r="T1806" i="14"/>
  <c r="T1807" i="14"/>
  <c r="T1808" i="14"/>
  <c r="U1808" i="14" s="1"/>
  <c r="T1809" i="14"/>
  <c r="U1809" i="14" s="1"/>
  <c r="T1810" i="14"/>
  <c r="T1811" i="14"/>
  <c r="T1812" i="14"/>
  <c r="T1813" i="14"/>
  <c r="T1814" i="14"/>
  <c r="T1815" i="14"/>
  <c r="U1815" i="14" s="1"/>
  <c r="T1816" i="14"/>
  <c r="T1817" i="14"/>
  <c r="U1817" i="14" s="1"/>
  <c r="T1818" i="14"/>
  <c r="T1819" i="14"/>
  <c r="T1820" i="14"/>
  <c r="U1820" i="14" s="1"/>
  <c r="T1821" i="14"/>
  <c r="U1821" i="14" s="1"/>
  <c r="T1822" i="14"/>
  <c r="T1823" i="14"/>
  <c r="T1824" i="14"/>
  <c r="T1825" i="14"/>
  <c r="T1826" i="14"/>
  <c r="T1827" i="14"/>
  <c r="U1827" i="14" s="1"/>
  <c r="T1828" i="14"/>
  <c r="T1829" i="14"/>
  <c r="U1829" i="14" s="1"/>
  <c r="T1830" i="14"/>
  <c r="T1831" i="14"/>
  <c r="T1832" i="14"/>
  <c r="U1832" i="14" s="1"/>
  <c r="T1833" i="14"/>
  <c r="U1833" i="14" s="1"/>
  <c r="T1834" i="14"/>
  <c r="T1835" i="14"/>
  <c r="T1836" i="14"/>
  <c r="T1837" i="14"/>
  <c r="T1838" i="14"/>
  <c r="T1839" i="14"/>
  <c r="U1839" i="14" s="1"/>
  <c r="T1840" i="14"/>
  <c r="T1841" i="14"/>
  <c r="U1841" i="14" s="1"/>
  <c r="T1842" i="14"/>
  <c r="T1843" i="14"/>
  <c r="T1844" i="14"/>
  <c r="U1844" i="14" s="1"/>
  <c r="T1845" i="14"/>
  <c r="U1845" i="14" s="1"/>
  <c r="T1846" i="14"/>
  <c r="T1847" i="14"/>
  <c r="T1848" i="14"/>
  <c r="T1849" i="14"/>
  <c r="T1850" i="14"/>
  <c r="T1851" i="14"/>
  <c r="U1851" i="14" s="1"/>
  <c r="T1852" i="14"/>
  <c r="T1853" i="14"/>
  <c r="U1853" i="14" s="1"/>
  <c r="T1854" i="14"/>
  <c r="T1855" i="14"/>
  <c r="T1856" i="14"/>
  <c r="U1856" i="14" s="1"/>
  <c r="T1857" i="14"/>
  <c r="U1857" i="14" s="1"/>
  <c r="T1858" i="14"/>
  <c r="T1859" i="14"/>
  <c r="T1860" i="14"/>
  <c r="T1861" i="14"/>
  <c r="T1862" i="14"/>
  <c r="T1863" i="14"/>
  <c r="U1863" i="14" s="1"/>
  <c r="T1864" i="14"/>
  <c r="T1865" i="14"/>
  <c r="U1865" i="14" s="1"/>
  <c r="T1866" i="14"/>
  <c r="T1867" i="14"/>
  <c r="T1868" i="14"/>
  <c r="U1868" i="14" s="1"/>
  <c r="T1869" i="14"/>
  <c r="U1869" i="14" s="1"/>
  <c r="T1870" i="14"/>
  <c r="T1871" i="14"/>
  <c r="T1872" i="14"/>
  <c r="T1873" i="14"/>
  <c r="T1874" i="14"/>
  <c r="T1875" i="14"/>
  <c r="U1875" i="14" s="1"/>
  <c r="T1876" i="14"/>
  <c r="T1877" i="14"/>
  <c r="U1877" i="14" s="1"/>
  <c r="T1878" i="14"/>
  <c r="T1879" i="14"/>
  <c r="T1880" i="14"/>
  <c r="U1880" i="14" s="1"/>
  <c r="T1881" i="14"/>
  <c r="U1881" i="14" s="1"/>
  <c r="T1882" i="14"/>
  <c r="T1883" i="14"/>
  <c r="T1884" i="14"/>
  <c r="T1885" i="14"/>
  <c r="T1886" i="14"/>
  <c r="T1887" i="14"/>
  <c r="U1887" i="14" s="1"/>
  <c r="T1888" i="14"/>
  <c r="T1889" i="14"/>
  <c r="U1889" i="14" s="1"/>
  <c r="T1890" i="14"/>
  <c r="T1891" i="14"/>
  <c r="T1892" i="14"/>
  <c r="U1892" i="14" s="1"/>
  <c r="T1893" i="14"/>
  <c r="U1893" i="14" s="1"/>
  <c r="T1894" i="14"/>
  <c r="T1895" i="14"/>
  <c r="T1896" i="14"/>
  <c r="T1897" i="14"/>
  <c r="T1898" i="14"/>
  <c r="T1899" i="14"/>
  <c r="U1899" i="14" s="1"/>
  <c r="T1900" i="14"/>
  <c r="T1901" i="14"/>
  <c r="U1901" i="14" s="1"/>
  <c r="T1902" i="14"/>
  <c r="T1903" i="14"/>
  <c r="T1904" i="14"/>
  <c r="U1904" i="14" s="1"/>
  <c r="T1905" i="14"/>
  <c r="U1905" i="14" s="1"/>
  <c r="T1906" i="14"/>
  <c r="T1907" i="14"/>
  <c r="T1908" i="14"/>
  <c r="T1909" i="14"/>
  <c r="T1910" i="14"/>
  <c r="T1911" i="14"/>
  <c r="U1911" i="14" s="1"/>
  <c r="T1912" i="14"/>
  <c r="T1913" i="14"/>
  <c r="U1913" i="14" s="1"/>
  <c r="T1914" i="14"/>
  <c r="T1915" i="14"/>
  <c r="T1916" i="14"/>
  <c r="U1916" i="14" s="1"/>
  <c r="T1917" i="14"/>
  <c r="U1917" i="14" s="1"/>
  <c r="T1918" i="14"/>
  <c r="T1919" i="14"/>
  <c r="T1920" i="14"/>
  <c r="T1921" i="14"/>
  <c r="T1922" i="14"/>
  <c r="T1923" i="14"/>
  <c r="U1923" i="14" s="1"/>
  <c r="T1924" i="14"/>
  <c r="T1925" i="14"/>
  <c r="U1925" i="14" s="1"/>
  <c r="T1926" i="14"/>
  <c r="T1927" i="14"/>
  <c r="T1928" i="14"/>
  <c r="U1928" i="14" s="1"/>
  <c r="T1929" i="14"/>
  <c r="U1929" i="14" s="1"/>
  <c r="T1930" i="14"/>
  <c r="T1931" i="14"/>
  <c r="T1932" i="14"/>
  <c r="T1933" i="14"/>
  <c r="T1934" i="14"/>
  <c r="T1935" i="14"/>
  <c r="U1935" i="14" s="1"/>
  <c r="T1936" i="14"/>
  <c r="T1937" i="14"/>
  <c r="U1937" i="14" s="1"/>
  <c r="T1938" i="14"/>
  <c r="T1939" i="14"/>
  <c r="T1940" i="14"/>
  <c r="U1940" i="14" s="1"/>
  <c r="T1941" i="14"/>
  <c r="U1941" i="14" s="1"/>
  <c r="T1942" i="14"/>
  <c r="T1943" i="14"/>
  <c r="T1944" i="14"/>
  <c r="T1945" i="14"/>
  <c r="T1946" i="14"/>
  <c r="T1947" i="14"/>
  <c r="U1947" i="14" s="1"/>
  <c r="T1948" i="14"/>
  <c r="T1949" i="14"/>
  <c r="U1949" i="14" s="1"/>
  <c r="T1950" i="14"/>
  <c r="T1951" i="14"/>
  <c r="T1952" i="14"/>
  <c r="U1952" i="14" s="1"/>
  <c r="T1953" i="14"/>
  <c r="U1953" i="14" s="1"/>
  <c r="T1954" i="14"/>
  <c r="T1955" i="14"/>
  <c r="T1956" i="14"/>
  <c r="T1957" i="14"/>
  <c r="T1958" i="14"/>
  <c r="T1959" i="14"/>
  <c r="U1959" i="14" s="1"/>
  <c r="T1960" i="14"/>
  <c r="T1961" i="14"/>
  <c r="U1961" i="14" s="1"/>
  <c r="T1962" i="14"/>
  <c r="T1963" i="14"/>
  <c r="T1964" i="14"/>
  <c r="U1964" i="14" s="1"/>
  <c r="T1965" i="14"/>
  <c r="U1965" i="14" s="1"/>
  <c r="T1966" i="14"/>
  <c r="T1967" i="14"/>
  <c r="T1968" i="14"/>
  <c r="T1969" i="14"/>
  <c r="T1970" i="14"/>
  <c r="T1971" i="14"/>
  <c r="U1971" i="14" s="1"/>
  <c r="T1972" i="14"/>
  <c r="T1973" i="14"/>
  <c r="U1973" i="14" s="1"/>
  <c r="T1974" i="14"/>
  <c r="T1975" i="14"/>
  <c r="T1976" i="14"/>
  <c r="U1976" i="14" s="1"/>
  <c r="T1977" i="14"/>
  <c r="U1977" i="14" s="1"/>
  <c r="T1978" i="14"/>
  <c r="T1979" i="14"/>
  <c r="T1980" i="14"/>
  <c r="T1981" i="14"/>
  <c r="T1982" i="14"/>
  <c r="T1983" i="14"/>
  <c r="U1983" i="14" s="1"/>
  <c r="T1984" i="14"/>
  <c r="T1985" i="14"/>
  <c r="U1985" i="14" s="1"/>
  <c r="T1986" i="14"/>
  <c r="T1987" i="14"/>
  <c r="T1988" i="14"/>
  <c r="U1988" i="14" s="1"/>
  <c r="T1989" i="14"/>
  <c r="U1989" i="14" s="1"/>
  <c r="T1990" i="14"/>
  <c r="T1991" i="14"/>
  <c r="T1992" i="14"/>
  <c r="T1993" i="14"/>
  <c r="T1994" i="14"/>
  <c r="T1995" i="14"/>
  <c r="U1995" i="14" s="1"/>
  <c r="T1996" i="14"/>
  <c r="T1997" i="14"/>
  <c r="U1997" i="14" s="1"/>
  <c r="T1998" i="14"/>
  <c r="T1999" i="14"/>
  <c r="T2000" i="14"/>
  <c r="U2000" i="14" s="1"/>
  <c r="T2001" i="14"/>
  <c r="U2001" i="14" s="1"/>
  <c r="T2002" i="14"/>
  <c r="T2003" i="14"/>
  <c r="T2004" i="14"/>
  <c r="T2005" i="14"/>
  <c r="T2006" i="14"/>
  <c r="T2007" i="14"/>
  <c r="U2007" i="14" s="1"/>
  <c r="T2008" i="14"/>
  <c r="T2009" i="14"/>
  <c r="U2009" i="14" s="1"/>
  <c r="T2010" i="14"/>
  <c r="T2011" i="14"/>
  <c r="T2012" i="14"/>
  <c r="U2012" i="14" s="1"/>
  <c r="T2013" i="14"/>
  <c r="U2013" i="14" s="1"/>
  <c r="T2014" i="14"/>
  <c r="T2015" i="14"/>
  <c r="T2016" i="14"/>
  <c r="T2017" i="14"/>
  <c r="T2018" i="14"/>
  <c r="T2019" i="14"/>
  <c r="U2019" i="14" s="1"/>
  <c r="T2020" i="14"/>
  <c r="T2021" i="14"/>
  <c r="U2021" i="14" s="1"/>
  <c r="T2022" i="14"/>
  <c r="T2023" i="14"/>
  <c r="T2024" i="14"/>
  <c r="U2024" i="14" s="1"/>
  <c r="T2025" i="14"/>
  <c r="U2025" i="14" s="1"/>
  <c r="T2026" i="14"/>
  <c r="T2027" i="14"/>
  <c r="T2028" i="14"/>
  <c r="T2029" i="14"/>
  <c r="T2030" i="14"/>
  <c r="T2031" i="14"/>
  <c r="U2031" i="14" s="1"/>
  <c r="T2032" i="14"/>
  <c r="T2033" i="14"/>
  <c r="U2033" i="14" s="1"/>
  <c r="T2034" i="14"/>
  <c r="T2035" i="14"/>
  <c r="T2036" i="14"/>
  <c r="U2036" i="14" s="1"/>
  <c r="T2037" i="14"/>
  <c r="U2037" i="14" s="1"/>
  <c r="T2038" i="14"/>
  <c r="T2039" i="14"/>
  <c r="T2040" i="14"/>
  <c r="T2041" i="14"/>
  <c r="T2042" i="14"/>
  <c r="T2043" i="14"/>
  <c r="U2043" i="14" s="1"/>
  <c r="T2044" i="14"/>
  <c r="T2045" i="14"/>
  <c r="U2045" i="14" s="1"/>
  <c r="T2046" i="14"/>
  <c r="T2047" i="14"/>
  <c r="T2048" i="14"/>
  <c r="U2048" i="14" s="1"/>
  <c r="T2049" i="14"/>
  <c r="U2049" i="14" s="1"/>
  <c r="T2050" i="14"/>
  <c r="T2051" i="14"/>
  <c r="T2052" i="14"/>
  <c r="T2053" i="14"/>
  <c r="T2054" i="14"/>
  <c r="T2055" i="14"/>
  <c r="U2055" i="14" s="1"/>
  <c r="T2056" i="14"/>
  <c r="T2057" i="14"/>
  <c r="U2057" i="14" s="1"/>
  <c r="T2058" i="14"/>
  <c r="T2059" i="14"/>
  <c r="T2060" i="14"/>
  <c r="U2060" i="14" s="1"/>
  <c r="T2061" i="14"/>
  <c r="U2061" i="14" s="1"/>
  <c r="T2062" i="14"/>
  <c r="T2063" i="14"/>
  <c r="T2064" i="14"/>
  <c r="T2065" i="14"/>
  <c r="T2066" i="14"/>
  <c r="T2067" i="14"/>
  <c r="U2067" i="14" s="1"/>
  <c r="T2068" i="14"/>
  <c r="T2069" i="14"/>
  <c r="U2069" i="14" s="1"/>
  <c r="T2070" i="14"/>
  <c r="T2071" i="14"/>
  <c r="T2072" i="14"/>
  <c r="U2072" i="14" s="1"/>
  <c r="T2073" i="14"/>
  <c r="U2073" i="14" s="1"/>
  <c r="T2074" i="14"/>
  <c r="T2075" i="14"/>
  <c r="T2076" i="14"/>
  <c r="T2077" i="14"/>
  <c r="T2078" i="14"/>
  <c r="T2079" i="14"/>
  <c r="U2079" i="14" s="1"/>
  <c r="T2080" i="14"/>
  <c r="T2081" i="14"/>
  <c r="U2081" i="14" s="1"/>
  <c r="T2082" i="14"/>
  <c r="T2083" i="14"/>
  <c r="T2084" i="14"/>
  <c r="U2084" i="14" s="1"/>
  <c r="T2085" i="14"/>
  <c r="U2085" i="14" s="1"/>
  <c r="T2086" i="14"/>
  <c r="T2087" i="14"/>
  <c r="T2088" i="14"/>
  <c r="T2089" i="14"/>
  <c r="T2090" i="14"/>
  <c r="T2091" i="14"/>
  <c r="U2091" i="14" s="1"/>
  <c r="T2092" i="14"/>
  <c r="T2093" i="14"/>
  <c r="U2093" i="14" s="1"/>
  <c r="T2094" i="14"/>
  <c r="T2095" i="14"/>
  <c r="T2096" i="14"/>
  <c r="U2096" i="14" s="1"/>
  <c r="T2097" i="14"/>
  <c r="U2097" i="14" s="1"/>
  <c r="T2098" i="14"/>
  <c r="T2099" i="14"/>
  <c r="T2100" i="14"/>
  <c r="T2101" i="14"/>
  <c r="T2102" i="14"/>
  <c r="T2103" i="14"/>
  <c r="U2103" i="14" s="1"/>
  <c r="T2104" i="14"/>
  <c r="T2105" i="14"/>
  <c r="U2105" i="14" s="1"/>
  <c r="T2106" i="14"/>
  <c r="T2107" i="14"/>
  <c r="T2108" i="14"/>
  <c r="U2108" i="14" s="1"/>
  <c r="T2109" i="14"/>
  <c r="U2109" i="14" s="1"/>
  <c r="T2110" i="14"/>
  <c r="T2111" i="14"/>
  <c r="T2112" i="14"/>
  <c r="T2113" i="14"/>
  <c r="T2114" i="14"/>
  <c r="T2115" i="14"/>
  <c r="U2115" i="14" s="1"/>
  <c r="T2116" i="14"/>
  <c r="T2117" i="14"/>
  <c r="U2117" i="14" s="1"/>
  <c r="T2118" i="14"/>
  <c r="T2119" i="14"/>
  <c r="T2120" i="14"/>
  <c r="U2120" i="14" s="1"/>
  <c r="T2121" i="14"/>
  <c r="U2121" i="14" s="1"/>
  <c r="T2122" i="14"/>
  <c r="T2123" i="14"/>
  <c r="T2124" i="14"/>
  <c r="T2125" i="14"/>
  <c r="T2126" i="14"/>
  <c r="T2127" i="14"/>
  <c r="U2127" i="14" s="1"/>
  <c r="T2128" i="14"/>
  <c r="T2129" i="14"/>
  <c r="U2129" i="14" s="1"/>
  <c r="T2130" i="14"/>
  <c r="T2131" i="14"/>
  <c r="T2132" i="14"/>
  <c r="U2132" i="14" s="1"/>
  <c r="T2133" i="14"/>
  <c r="U2133" i="14" s="1"/>
  <c r="T2134" i="14"/>
  <c r="T2135" i="14"/>
  <c r="T2136" i="14"/>
  <c r="T2137" i="14"/>
  <c r="T2138" i="14"/>
  <c r="T2139" i="14"/>
  <c r="U2139" i="14" s="1"/>
  <c r="T2140" i="14"/>
  <c r="T2141" i="14"/>
  <c r="U2141" i="14" s="1"/>
  <c r="T2142" i="14"/>
  <c r="T2143" i="14"/>
  <c r="T2144" i="14"/>
  <c r="U2144" i="14" s="1"/>
  <c r="T2145" i="14"/>
  <c r="U2145" i="14" s="1"/>
  <c r="T2146" i="14"/>
  <c r="T2147" i="14"/>
  <c r="T2148" i="14"/>
  <c r="T2149" i="14"/>
  <c r="T2150" i="14"/>
  <c r="T2151" i="14"/>
  <c r="U2151" i="14" s="1"/>
  <c r="T2152" i="14"/>
  <c r="T2153" i="14"/>
  <c r="U2153" i="14" s="1"/>
  <c r="T2154" i="14"/>
  <c r="T2155" i="14"/>
  <c r="T2156" i="14"/>
  <c r="U2156" i="14" s="1"/>
  <c r="T2157" i="14"/>
  <c r="U2157" i="14" s="1"/>
  <c r="T2158" i="14"/>
  <c r="T2159" i="14"/>
  <c r="T2160" i="14"/>
  <c r="T2161" i="14"/>
  <c r="T2162" i="14"/>
  <c r="T2163" i="14"/>
  <c r="U2163" i="14" s="1"/>
  <c r="T2164" i="14"/>
  <c r="T2165" i="14"/>
  <c r="U2165" i="14" s="1"/>
  <c r="T2166" i="14"/>
  <c r="T2167" i="14"/>
  <c r="T2168" i="14"/>
  <c r="U2168" i="14" s="1"/>
  <c r="T2169" i="14"/>
  <c r="U2169" i="14" s="1"/>
  <c r="T2170" i="14"/>
  <c r="T2171" i="14"/>
  <c r="T2172" i="14"/>
  <c r="T2173" i="14"/>
  <c r="T2174" i="14"/>
  <c r="T2175" i="14"/>
  <c r="U2175" i="14" s="1"/>
  <c r="T2176" i="14"/>
  <c r="T2177" i="14"/>
  <c r="U2177" i="14" s="1"/>
  <c r="T2178" i="14"/>
  <c r="T2179" i="14"/>
  <c r="T2180" i="14"/>
  <c r="U2180" i="14" s="1"/>
  <c r="T2181" i="14"/>
  <c r="U2181" i="14" s="1"/>
  <c r="T2182" i="14"/>
  <c r="T2183" i="14"/>
  <c r="T2184" i="14"/>
  <c r="T2185" i="14"/>
  <c r="T2186" i="14"/>
  <c r="T2187" i="14"/>
  <c r="U2187" i="14" s="1"/>
  <c r="T2188" i="14"/>
  <c r="T2189" i="14"/>
  <c r="U2189" i="14" s="1"/>
  <c r="T2190" i="14"/>
  <c r="T2191" i="14"/>
  <c r="T2192" i="14"/>
  <c r="U2192" i="14" s="1"/>
  <c r="T2193" i="14"/>
  <c r="U2193" i="14" s="1"/>
  <c r="T2194" i="14"/>
  <c r="T2195" i="14"/>
  <c r="T2196" i="14"/>
  <c r="T2197" i="14"/>
  <c r="T2198" i="14"/>
  <c r="T2199" i="14"/>
  <c r="U2199" i="14" s="1"/>
  <c r="T2200" i="14"/>
  <c r="T2201" i="14"/>
  <c r="U2201" i="14" s="1"/>
  <c r="T2202" i="14"/>
  <c r="T2203" i="14"/>
  <c r="T2204" i="14"/>
  <c r="U2204" i="14" s="1"/>
  <c r="T2205" i="14"/>
  <c r="U2205" i="14" s="1"/>
  <c r="T2206" i="14"/>
  <c r="T2207" i="14"/>
  <c r="T2208" i="14"/>
  <c r="T2209" i="14"/>
  <c r="T2210" i="14"/>
  <c r="T2211" i="14"/>
  <c r="U2211" i="14" s="1"/>
  <c r="T2212" i="14"/>
  <c r="T2213" i="14"/>
  <c r="U2213" i="14" s="1"/>
  <c r="T2214" i="14"/>
  <c r="T2215" i="14"/>
  <c r="T2216" i="14"/>
  <c r="U2216" i="14" s="1"/>
  <c r="T2217" i="14"/>
  <c r="U2217" i="14" s="1"/>
  <c r="T2218" i="14"/>
  <c r="T2219" i="14"/>
  <c r="T2220" i="14"/>
  <c r="T2221" i="14"/>
  <c r="T2222" i="14"/>
  <c r="T2223" i="14"/>
  <c r="U2223" i="14" s="1"/>
  <c r="T2224" i="14"/>
  <c r="T2225" i="14"/>
  <c r="U2225" i="14" s="1"/>
  <c r="T2226" i="14"/>
  <c r="T2227" i="14"/>
  <c r="T2228" i="14"/>
  <c r="U2228" i="14" s="1"/>
  <c r="T2229" i="14"/>
  <c r="U2229" i="14" s="1"/>
  <c r="T2230" i="14"/>
  <c r="T2231" i="14"/>
  <c r="T2232" i="14"/>
  <c r="T2233" i="14"/>
  <c r="T2234" i="14"/>
  <c r="T2235" i="14"/>
  <c r="U2235" i="14" s="1"/>
  <c r="T2236" i="14"/>
  <c r="T2237" i="14"/>
  <c r="U2237" i="14" s="1"/>
  <c r="T2238" i="14"/>
  <c r="T2239" i="14"/>
  <c r="T2240" i="14"/>
  <c r="U2240" i="14" s="1"/>
  <c r="T2241" i="14"/>
  <c r="U2241" i="14" s="1"/>
  <c r="T2242" i="14"/>
  <c r="T2243" i="14"/>
  <c r="T2244" i="14"/>
  <c r="T2245" i="14"/>
  <c r="T2246" i="14"/>
  <c r="T2247" i="14"/>
  <c r="U2247" i="14" s="1"/>
  <c r="T2248" i="14"/>
  <c r="T2249" i="14"/>
  <c r="U2249" i="14" s="1"/>
  <c r="T2250" i="14"/>
  <c r="T2251" i="14"/>
  <c r="T2252" i="14"/>
  <c r="U2252" i="14" s="1"/>
  <c r="T2253" i="14"/>
  <c r="U2253" i="14" s="1"/>
  <c r="T2254" i="14"/>
  <c r="T2255" i="14"/>
  <c r="T2256" i="14"/>
  <c r="T2257" i="14"/>
  <c r="T2258" i="14"/>
  <c r="T2259" i="14"/>
  <c r="U2259" i="14" s="1"/>
  <c r="T2260" i="14"/>
  <c r="T2261" i="14"/>
  <c r="U2261" i="14" s="1"/>
  <c r="T2262" i="14"/>
  <c r="T2263" i="14"/>
  <c r="T2264" i="14"/>
  <c r="U2264" i="14" s="1"/>
  <c r="T2265" i="14"/>
  <c r="U2265" i="14" s="1"/>
  <c r="T2266" i="14"/>
  <c r="T2267" i="14"/>
  <c r="T2268" i="14"/>
  <c r="T2269" i="14"/>
  <c r="T2270" i="14"/>
  <c r="T2271" i="14"/>
  <c r="U2271" i="14" s="1"/>
  <c r="T2272" i="14"/>
  <c r="T2273" i="14"/>
  <c r="U2273" i="14" s="1"/>
  <c r="T2274" i="14"/>
  <c r="T2275" i="14"/>
  <c r="T2276" i="14"/>
  <c r="U2276" i="14" s="1"/>
  <c r="T2277" i="14"/>
  <c r="U2277" i="14" s="1"/>
  <c r="T2278" i="14"/>
  <c r="T2279" i="14"/>
  <c r="T2280" i="14"/>
  <c r="T2281" i="14"/>
  <c r="T2282" i="14"/>
  <c r="T2283" i="14"/>
  <c r="U2283" i="14" s="1"/>
  <c r="T2284" i="14"/>
  <c r="T2285" i="14"/>
  <c r="U2285" i="14" s="1"/>
  <c r="T2286" i="14"/>
  <c r="T2287" i="14"/>
  <c r="T2288" i="14"/>
  <c r="U2288" i="14" s="1"/>
  <c r="T2289" i="14"/>
  <c r="U2289" i="14" s="1"/>
  <c r="T2290" i="14"/>
  <c r="T2291" i="14"/>
  <c r="T2292" i="14"/>
  <c r="T2293" i="14"/>
  <c r="T2294" i="14"/>
  <c r="T2295" i="14"/>
  <c r="U2295" i="14" s="1"/>
  <c r="T2296" i="14"/>
  <c r="T2297" i="14"/>
  <c r="U2297" i="14" s="1"/>
  <c r="T2298" i="14"/>
  <c r="T2299" i="14"/>
  <c r="T2300" i="14"/>
  <c r="U2300" i="14" s="1"/>
  <c r="T2301" i="14"/>
  <c r="U2301" i="14" s="1"/>
  <c r="T2302" i="14"/>
  <c r="T2303" i="14"/>
  <c r="T2304" i="14"/>
  <c r="T2305" i="14"/>
  <c r="T2306" i="14"/>
  <c r="T2307" i="14"/>
  <c r="U2307" i="14" s="1"/>
  <c r="T2308" i="14"/>
  <c r="T2309" i="14"/>
  <c r="U2309" i="14" s="1"/>
  <c r="T2310" i="14"/>
  <c r="T2311" i="14"/>
  <c r="T2312" i="14"/>
  <c r="U2312" i="14" s="1"/>
  <c r="T2313" i="14"/>
  <c r="U2313" i="14" s="1"/>
  <c r="T2314" i="14"/>
  <c r="T2315" i="14"/>
  <c r="T2316" i="14"/>
  <c r="T2317" i="14"/>
  <c r="T2318" i="14"/>
  <c r="T2319" i="14"/>
  <c r="U2319" i="14" s="1"/>
  <c r="T2320" i="14"/>
  <c r="T2321" i="14"/>
  <c r="U2321" i="14" s="1"/>
  <c r="T2322" i="14"/>
  <c r="T2323" i="14"/>
  <c r="T2324" i="14"/>
  <c r="U2324" i="14" s="1"/>
  <c r="T2325" i="14"/>
  <c r="U2325" i="14" s="1"/>
  <c r="T2326" i="14"/>
  <c r="T2327" i="14"/>
  <c r="T2328" i="14"/>
  <c r="T2329" i="14"/>
  <c r="T2330" i="14"/>
  <c r="T2331" i="14"/>
  <c r="U2331" i="14" s="1"/>
  <c r="T2332" i="14"/>
  <c r="T2333" i="14"/>
  <c r="U2333" i="14" s="1"/>
  <c r="T2334" i="14"/>
  <c r="T2335" i="14"/>
  <c r="T2336" i="14"/>
  <c r="U2336" i="14" s="1"/>
  <c r="T2337" i="14"/>
  <c r="U2337" i="14" s="1"/>
  <c r="T2338" i="14"/>
  <c r="T2339" i="14"/>
  <c r="T2340" i="14"/>
  <c r="T2341" i="14"/>
  <c r="T2342" i="14"/>
  <c r="T2343" i="14"/>
  <c r="U2343" i="14" s="1"/>
  <c r="T2344" i="14"/>
  <c r="T2345" i="14"/>
  <c r="U2345" i="14" s="1"/>
  <c r="T2346" i="14"/>
  <c r="T2347" i="14"/>
  <c r="T2348" i="14"/>
  <c r="U2348" i="14" s="1"/>
  <c r="T2349" i="14"/>
  <c r="U2349" i="14" s="1"/>
  <c r="T2350" i="14"/>
  <c r="T2351" i="14"/>
  <c r="T2352" i="14"/>
  <c r="T2353" i="14"/>
  <c r="T2354" i="14"/>
  <c r="T2355" i="14"/>
  <c r="U2355" i="14" s="1"/>
  <c r="T2356" i="14"/>
  <c r="T2357" i="14"/>
  <c r="U2357" i="14" s="1"/>
  <c r="T2358" i="14"/>
  <c r="T2359" i="14"/>
  <c r="T2360" i="14"/>
  <c r="U2360" i="14" s="1"/>
  <c r="T2361" i="14"/>
  <c r="U2361" i="14" s="1"/>
  <c r="T2362" i="14"/>
  <c r="T2363" i="14"/>
  <c r="T2364" i="14"/>
  <c r="T2365" i="14"/>
  <c r="T2366" i="14"/>
  <c r="T2367" i="14"/>
  <c r="U2367" i="14" s="1"/>
  <c r="T2368" i="14"/>
  <c r="T2369" i="14"/>
  <c r="U2369" i="14" s="1"/>
  <c r="T2370" i="14"/>
  <c r="T2371" i="14"/>
  <c r="T2372" i="14"/>
  <c r="U2372" i="14" s="1"/>
  <c r="T2373" i="14"/>
  <c r="U2373" i="14" s="1"/>
  <c r="T2374" i="14"/>
  <c r="T2375" i="14"/>
  <c r="T2376" i="14"/>
  <c r="T2377" i="14"/>
  <c r="T2378" i="14"/>
  <c r="T2379" i="14"/>
  <c r="U2379" i="14" s="1"/>
  <c r="T2380" i="14"/>
  <c r="T2381" i="14"/>
  <c r="U2381" i="14" s="1"/>
  <c r="T2382" i="14"/>
  <c r="T2383" i="14"/>
  <c r="T2384" i="14"/>
  <c r="U2384" i="14" s="1"/>
  <c r="T2385" i="14"/>
  <c r="U2385" i="14" s="1"/>
  <c r="T2386" i="14"/>
  <c r="T2387" i="14"/>
  <c r="T2388" i="14"/>
  <c r="T2389" i="14"/>
  <c r="T2390" i="14"/>
  <c r="T2391" i="14"/>
  <c r="U2391" i="14" s="1"/>
  <c r="T2392" i="14"/>
  <c r="T2393" i="14"/>
  <c r="U2393" i="14" s="1"/>
  <c r="T2394" i="14"/>
  <c r="T2395" i="14"/>
  <c r="T2396" i="14"/>
  <c r="U2396" i="14" s="1"/>
  <c r="T2397" i="14"/>
  <c r="U2397" i="14" s="1"/>
  <c r="T2398" i="14"/>
  <c r="T2399" i="14"/>
  <c r="T2400" i="14"/>
  <c r="T2401" i="14"/>
  <c r="T2402" i="14"/>
  <c r="T2403" i="14"/>
  <c r="U2403" i="14" s="1"/>
  <c r="T2404" i="14"/>
  <c r="T2405" i="14"/>
  <c r="U2405" i="14" s="1"/>
  <c r="T2406" i="14"/>
  <c r="T2407" i="14"/>
  <c r="T2408" i="14"/>
  <c r="U2408" i="14" s="1"/>
  <c r="T2409" i="14"/>
  <c r="U2409" i="14" s="1"/>
  <c r="T2410" i="14"/>
  <c r="T2411" i="14"/>
  <c r="T2412" i="14"/>
  <c r="T2413" i="14"/>
  <c r="T2414" i="14"/>
  <c r="T2415" i="14"/>
  <c r="U2415" i="14" s="1"/>
  <c r="T2416" i="14"/>
  <c r="T2417" i="14"/>
  <c r="U2417" i="14" s="1"/>
  <c r="T2418" i="14"/>
  <c r="T2419" i="14"/>
  <c r="T2420" i="14"/>
  <c r="U2420" i="14" s="1"/>
  <c r="T2421" i="14"/>
  <c r="U2421" i="14" s="1"/>
  <c r="T2422" i="14"/>
  <c r="T2423" i="14"/>
  <c r="T2424" i="14"/>
  <c r="T2425" i="14"/>
  <c r="T2426" i="14"/>
  <c r="T2427" i="14"/>
  <c r="U2427" i="14" s="1"/>
  <c r="T2428" i="14"/>
  <c r="T2429" i="14"/>
  <c r="U2429" i="14" s="1"/>
  <c r="T2430" i="14"/>
  <c r="T2431" i="14"/>
  <c r="T2432" i="14"/>
  <c r="U2432" i="14" s="1"/>
  <c r="T2433" i="14"/>
  <c r="U2433" i="14" s="1"/>
  <c r="T2434" i="14"/>
  <c r="T2435" i="14"/>
  <c r="T2436" i="14"/>
  <c r="T2437" i="14"/>
  <c r="T2438" i="14"/>
  <c r="T2439" i="14"/>
  <c r="U2439" i="14" s="1"/>
  <c r="T2440" i="14"/>
  <c r="T2441" i="14"/>
  <c r="U2441" i="14" s="1"/>
  <c r="T2442" i="14"/>
  <c r="T2443" i="14"/>
  <c r="T2444" i="14"/>
  <c r="U2444" i="14" s="1"/>
  <c r="T2445" i="14"/>
  <c r="U2445" i="14" s="1"/>
  <c r="T2446" i="14"/>
  <c r="T2447" i="14"/>
  <c r="T2448" i="14"/>
  <c r="T2449" i="14"/>
  <c r="T2450" i="14"/>
  <c r="T2451" i="14"/>
  <c r="U2451" i="14" s="1"/>
  <c r="T2452" i="14"/>
  <c r="T2453" i="14"/>
  <c r="U2453" i="14" s="1"/>
  <c r="T2454" i="14"/>
  <c r="T2455" i="14"/>
  <c r="T2456" i="14"/>
  <c r="U2456" i="14" s="1"/>
  <c r="T2457" i="14"/>
  <c r="U2457" i="14" s="1"/>
  <c r="T2458" i="14"/>
  <c r="T2459" i="14"/>
  <c r="T2460" i="14"/>
  <c r="T2461" i="14"/>
  <c r="T2462" i="14"/>
  <c r="T2463" i="14"/>
  <c r="U2463" i="14" s="1"/>
  <c r="T2464" i="14"/>
  <c r="T2465" i="14"/>
  <c r="U2465" i="14" s="1"/>
  <c r="T2466" i="14"/>
  <c r="T2467" i="14"/>
  <c r="T2468" i="14"/>
  <c r="U2468" i="14" s="1"/>
  <c r="T2469" i="14"/>
  <c r="U2469" i="14" s="1"/>
  <c r="T2470" i="14"/>
  <c r="T2471" i="14"/>
  <c r="T2472" i="14"/>
  <c r="T2473" i="14"/>
  <c r="T2474" i="14"/>
  <c r="T2475" i="14"/>
  <c r="U2475" i="14" s="1"/>
  <c r="T2476" i="14"/>
  <c r="T2477" i="14"/>
  <c r="U2477" i="14" s="1"/>
  <c r="T2478" i="14"/>
  <c r="T2479" i="14"/>
  <c r="T2480" i="14"/>
  <c r="U2480" i="14" s="1"/>
  <c r="T2481" i="14"/>
  <c r="U2481" i="14" s="1"/>
  <c r="T2482" i="14"/>
  <c r="T2483" i="14"/>
  <c r="T2484" i="14"/>
  <c r="T2485" i="14"/>
  <c r="T2486" i="14"/>
  <c r="T2487" i="14"/>
  <c r="U2487" i="14" s="1"/>
  <c r="T2488" i="14"/>
  <c r="T2489" i="14"/>
  <c r="U2489" i="14" s="1"/>
  <c r="T2490" i="14"/>
  <c r="T2491" i="14"/>
  <c r="T2492" i="14"/>
  <c r="U2492" i="14" s="1"/>
  <c r="T2493" i="14"/>
  <c r="U2493" i="14" s="1"/>
  <c r="T2494" i="14"/>
  <c r="T2495" i="14"/>
  <c r="T2496" i="14"/>
  <c r="T2497" i="14"/>
  <c r="T2498" i="14"/>
  <c r="T2499" i="14"/>
  <c r="U2499" i="14" s="1"/>
  <c r="T2500" i="14"/>
  <c r="T2501" i="14"/>
  <c r="U2501" i="14" s="1"/>
  <c r="T2502" i="14"/>
  <c r="T2503" i="14"/>
  <c r="T2504" i="14"/>
  <c r="U2504" i="14" s="1"/>
  <c r="T2505" i="14"/>
  <c r="U2505" i="14" s="1"/>
  <c r="T2506" i="14"/>
  <c r="T2507" i="14"/>
  <c r="T2508" i="14"/>
  <c r="T2509" i="14"/>
  <c r="T2510" i="14"/>
  <c r="T2511" i="14"/>
  <c r="U2511" i="14" s="1"/>
  <c r="T2512" i="14"/>
  <c r="T2513" i="14"/>
  <c r="U2513" i="14" s="1"/>
  <c r="T2514" i="14"/>
  <c r="T2515" i="14"/>
  <c r="T2516" i="14"/>
  <c r="U2516" i="14" s="1"/>
  <c r="T2517" i="14"/>
  <c r="U2517" i="14" s="1"/>
  <c r="T2518" i="14"/>
  <c r="T2519" i="14"/>
  <c r="T2520" i="14"/>
  <c r="T2521" i="14"/>
  <c r="T2522" i="14"/>
  <c r="T2523" i="14"/>
  <c r="U2523" i="14" s="1"/>
  <c r="T2524" i="14"/>
  <c r="T2525" i="14"/>
  <c r="U2525" i="14" s="1"/>
  <c r="T2526" i="14"/>
  <c r="T2527" i="14"/>
  <c r="T2528" i="14"/>
  <c r="U2528" i="14" s="1"/>
  <c r="T2529" i="14"/>
  <c r="U2529" i="14" s="1"/>
  <c r="T2530" i="14"/>
  <c r="T2531" i="14"/>
  <c r="T2532" i="14"/>
  <c r="T2533" i="14"/>
  <c r="T2534" i="14"/>
  <c r="T2535" i="14"/>
  <c r="U2535" i="14" s="1"/>
  <c r="T2536" i="14"/>
  <c r="T2537" i="14"/>
  <c r="U2537" i="14" s="1"/>
  <c r="T2538" i="14"/>
  <c r="T2539" i="14"/>
  <c r="T2540" i="14"/>
  <c r="U2540" i="14" s="1"/>
  <c r="T2541" i="14"/>
  <c r="U2541" i="14" s="1"/>
  <c r="T2542" i="14"/>
  <c r="T2543" i="14"/>
  <c r="T2544" i="14"/>
  <c r="T2545" i="14"/>
  <c r="T2546" i="14"/>
  <c r="T2547" i="14"/>
  <c r="U2547" i="14" s="1"/>
  <c r="T2548" i="14"/>
  <c r="T2549" i="14"/>
  <c r="U2549" i="14" s="1"/>
  <c r="T2550" i="14"/>
  <c r="T2551" i="14"/>
  <c r="T2552" i="14"/>
  <c r="U2552" i="14" s="1"/>
  <c r="T2553" i="14"/>
  <c r="U2553" i="14" s="1"/>
  <c r="T2554" i="14"/>
  <c r="T2555" i="14"/>
  <c r="T2556" i="14"/>
  <c r="T2557" i="14"/>
  <c r="T2558" i="14"/>
  <c r="T2559" i="14"/>
  <c r="U2559" i="14" s="1"/>
  <c r="T2560" i="14"/>
  <c r="T2561" i="14"/>
  <c r="U2561" i="14" s="1"/>
  <c r="T2562" i="14"/>
  <c r="T2563" i="14"/>
  <c r="T2564" i="14"/>
  <c r="U2564" i="14" s="1"/>
  <c r="T2565" i="14"/>
  <c r="U2565" i="14" s="1"/>
  <c r="T2566" i="14"/>
  <c r="T2567" i="14"/>
  <c r="T2568" i="14"/>
  <c r="T2569" i="14"/>
  <c r="T2570" i="14"/>
  <c r="T2571" i="14"/>
  <c r="U2571" i="14" s="1"/>
  <c r="T2572" i="14"/>
  <c r="T2573" i="14"/>
  <c r="U2573" i="14" s="1"/>
  <c r="T2574" i="14"/>
  <c r="T2575" i="14"/>
  <c r="T2576" i="14"/>
  <c r="U2576" i="14" s="1"/>
  <c r="T2577" i="14"/>
  <c r="U2577" i="14" s="1"/>
  <c r="T2578" i="14"/>
  <c r="T2579" i="14"/>
  <c r="T2580" i="14"/>
  <c r="T2581" i="14"/>
  <c r="T2582" i="14"/>
  <c r="T2583" i="14"/>
  <c r="U2583" i="14" s="1"/>
  <c r="T2584" i="14"/>
  <c r="T2585" i="14"/>
  <c r="U2585" i="14" s="1"/>
  <c r="T2586" i="14"/>
  <c r="T2587" i="14"/>
  <c r="T2588" i="14"/>
  <c r="U2588" i="14" s="1"/>
  <c r="T2589" i="14"/>
  <c r="U2589" i="14" s="1"/>
  <c r="T2590" i="14"/>
  <c r="T2591" i="14"/>
  <c r="T2592" i="14"/>
  <c r="T2593" i="14"/>
  <c r="T2594" i="14"/>
  <c r="T2595" i="14"/>
  <c r="U2595" i="14" s="1"/>
  <c r="T2596" i="14"/>
  <c r="T2597" i="14"/>
  <c r="U2597" i="14" s="1"/>
  <c r="T2598" i="14"/>
  <c r="T2599" i="14"/>
  <c r="T2600" i="14"/>
  <c r="U2600" i="14" s="1"/>
  <c r="T2601" i="14"/>
  <c r="U2601" i="14" s="1"/>
  <c r="T2602" i="14"/>
  <c r="T2603" i="14"/>
  <c r="T2604" i="14"/>
  <c r="T2605" i="14"/>
  <c r="T2606" i="14"/>
  <c r="T2607" i="14"/>
  <c r="U2607" i="14" s="1"/>
  <c r="T2608" i="14"/>
  <c r="T2609" i="14"/>
  <c r="U2609" i="14" s="1"/>
  <c r="T2610" i="14"/>
  <c r="T2611" i="14"/>
  <c r="T2612" i="14"/>
  <c r="U2612" i="14" s="1"/>
  <c r="T2613" i="14"/>
  <c r="U2613" i="14" s="1"/>
  <c r="T2614" i="14"/>
  <c r="T2615" i="14"/>
  <c r="T2616" i="14"/>
  <c r="T2617" i="14"/>
  <c r="T2618" i="14"/>
  <c r="T2619" i="14"/>
  <c r="U2619" i="14" s="1"/>
  <c r="T2620" i="14"/>
  <c r="T2621" i="14"/>
  <c r="U2621" i="14" s="1"/>
  <c r="T2622" i="14"/>
  <c r="T2623" i="14"/>
  <c r="T2624" i="14"/>
  <c r="U2624" i="14" s="1"/>
  <c r="T2625" i="14"/>
  <c r="U2625" i="14" s="1"/>
  <c r="T2626" i="14"/>
  <c r="T2627" i="14"/>
  <c r="T2628" i="14"/>
  <c r="T2629" i="14"/>
  <c r="T2630" i="14"/>
  <c r="T2631" i="14"/>
  <c r="U2631" i="14" s="1"/>
  <c r="T2632" i="14"/>
  <c r="T2633" i="14"/>
  <c r="U2633" i="14" s="1"/>
  <c r="T2634" i="14"/>
  <c r="T2635" i="14"/>
  <c r="T2636" i="14"/>
  <c r="U2636" i="14" s="1"/>
  <c r="T2637" i="14"/>
  <c r="U2637" i="14" s="1"/>
  <c r="T2638" i="14"/>
  <c r="T2639" i="14"/>
  <c r="T2640" i="14"/>
  <c r="T2641" i="14"/>
  <c r="T2642" i="14"/>
  <c r="T2643" i="14"/>
  <c r="U2643" i="14" s="1"/>
  <c r="T2644" i="14"/>
  <c r="T2645" i="14"/>
  <c r="U2645" i="14" s="1"/>
  <c r="T2646" i="14"/>
  <c r="T2647" i="14"/>
  <c r="T2648" i="14"/>
  <c r="U2648" i="14" s="1"/>
  <c r="T2649" i="14"/>
  <c r="U2649" i="14" s="1"/>
  <c r="T2650" i="14"/>
  <c r="T2651" i="14"/>
  <c r="T2652" i="14"/>
  <c r="T2653" i="14"/>
  <c r="T2654" i="14"/>
  <c r="T2655" i="14"/>
  <c r="U2655" i="14" s="1"/>
  <c r="T2656" i="14"/>
  <c r="T2657" i="14"/>
  <c r="U2657" i="14" s="1"/>
  <c r="T2658" i="14"/>
  <c r="T2659" i="14"/>
  <c r="T2660" i="14"/>
  <c r="U2660" i="14" s="1"/>
  <c r="T2661" i="14"/>
  <c r="U2661" i="14" s="1"/>
  <c r="T2662" i="14"/>
  <c r="T2663" i="14"/>
  <c r="T2664" i="14"/>
  <c r="T2665" i="14"/>
  <c r="T2666" i="14"/>
  <c r="T2667" i="14"/>
  <c r="U2667" i="14" s="1"/>
  <c r="T2668" i="14"/>
  <c r="T2669" i="14"/>
  <c r="U2669" i="14" s="1"/>
  <c r="T2670" i="14"/>
  <c r="T2671" i="14"/>
  <c r="T2672" i="14"/>
  <c r="U2672" i="14" s="1"/>
  <c r="T2673" i="14"/>
  <c r="U2673" i="14" s="1"/>
  <c r="T2674" i="14"/>
  <c r="T2675" i="14"/>
  <c r="T2676" i="14"/>
  <c r="T2677" i="14"/>
  <c r="T2678" i="14"/>
  <c r="T2679" i="14"/>
  <c r="U2679" i="14" s="1"/>
  <c r="T2680" i="14"/>
  <c r="T2681" i="14"/>
  <c r="U2681" i="14" s="1"/>
  <c r="T2682" i="14"/>
  <c r="T2683" i="14"/>
  <c r="T2684" i="14"/>
  <c r="U2684" i="14" s="1"/>
  <c r="T2685" i="14"/>
  <c r="U2685" i="14" s="1"/>
  <c r="T2686" i="14"/>
  <c r="T2687" i="14"/>
  <c r="T2688" i="14"/>
  <c r="T2689" i="14"/>
  <c r="T2690" i="14"/>
  <c r="T2691" i="14"/>
  <c r="U2691" i="14" s="1"/>
  <c r="T2692" i="14"/>
  <c r="T2693" i="14"/>
  <c r="U2693" i="14" s="1"/>
  <c r="T2694" i="14"/>
  <c r="T2695" i="14"/>
  <c r="T2696" i="14"/>
  <c r="U2696" i="14" s="1"/>
  <c r="T2697" i="14"/>
  <c r="U2697" i="14" s="1"/>
  <c r="T2698" i="14"/>
  <c r="T2699" i="14"/>
  <c r="T2700" i="14"/>
  <c r="T2701" i="14"/>
  <c r="T2702" i="14"/>
  <c r="T2703" i="14"/>
  <c r="U2703" i="14" s="1"/>
  <c r="T2704" i="14"/>
  <c r="T2705" i="14"/>
  <c r="U2705" i="14" s="1"/>
  <c r="T2706" i="14"/>
  <c r="T2707" i="14"/>
  <c r="T2708" i="14"/>
  <c r="U2708" i="14" s="1"/>
  <c r="T2709" i="14"/>
  <c r="U2709" i="14" s="1"/>
  <c r="T2710" i="14"/>
  <c r="T2711" i="14"/>
  <c r="T2712" i="14"/>
  <c r="T2713" i="14"/>
  <c r="T2714" i="14"/>
  <c r="T2715" i="14"/>
  <c r="U2715" i="14" s="1"/>
  <c r="T2716" i="14"/>
  <c r="T2717" i="14"/>
  <c r="U2717" i="14" s="1"/>
  <c r="T2718" i="14"/>
  <c r="T2719" i="14"/>
  <c r="T2720" i="14"/>
  <c r="U2720" i="14" s="1"/>
  <c r="T2721" i="14"/>
  <c r="U2721" i="14" s="1"/>
  <c r="T2722" i="14"/>
  <c r="T2723" i="14"/>
  <c r="T2724" i="14"/>
  <c r="T2725" i="14"/>
  <c r="T2726" i="14"/>
  <c r="T2727" i="14"/>
  <c r="U2727" i="14" s="1"/>
  <c r="T2728" i="14"/>
  <c r="T2729" i="14"/>
  <c r="U2729" i="14" s="1"/>
  <c r="T2730" i="14"/>
  <c r="T2731" i="14"/>
  <c r="T2732" i="14"/>
  <c r="U2732" i="14" s="1"/>
  <c r="T2733" i="14"/>
  <c r="U2733" i="14" s="1"/>
  <c r="T2734" i="14"/>
  <c r="T2735" i="14"/>
  <c r="T2736" i="14"/>
  <c r="T2737" i="14"/>
  <c r="T2738" i="14"/>
  <c r="T2739" i="14"/>
  <c r="U2739" i="14" s="1"/>
  <c r="T2740" i="14"/>
  <c r="T2741" i="14"/>
  <c r="U2741" i="14" s="1"/>
  <c r="T2742" i="14"/>
  <c r="T2743" i="14"/>
  <c r="T2744" i="14"/>
  <c r="U2744" i="14" s="1"/>
  <c r="T2745" i="14"/>
  <c r="U2745" i="14" s="1"/>
  <c r="T2746" i="14"/>
  <c r="T2747" i="14"/>
  <c r="T2748" i="14"/>
  <c r="T2749" i="14"/>
  <c r="T2750" i="14"/>
  <c r="T2751" i="14"/>
  <c r="U2751" i="14" s="1"/>
  <c r="T2752" i="14"/>
  <c r="T2753" i="14"/>
  <c r="U2753" i="14" s="1"/>
  <c r="T2754" i="14"/>
  <c r="T2755" i="14"/>
  <c r="T2756" i="14"/>
  <c r="U2756" i="14" s="1"/>
  <c r="T2757" i="14"/>
  <c r="U2757" i="14" s="1"/>
  <c r="T2758" i="14"/>
  <c r="T2759" i="14"/>
  <c r="T2760" i="14"/>
  <c r="T2761" i="14"/>
  <c r="T2762" i="14"/>
  <c r="T2763" i="14"/>
  <c r="U2763" i="14" s="1"/>
  <c r="T2764" i="14"/>
  <c r="T2765" i="14"/>
  <c r="U2765" i="14" s="1"/>
  <c r="T2766" i="14"/>
  <c r="T2767" i="14"/>
  <c r="T2768" i="14"/>
  <c r="U2768" i="14" s="1"/>
  <c r="T2769" i="14"/>
  <c r="U2769" i="14" s="1"/>
  <c r="T2770" i="14"/>
  <c r="T2771" i="14"/>
  <c r="T2772" i="14"/>
  <c r="T2773" i="14"/>
  <c r="T2774" i="14"/>
  <c r="T2775" i="14"/>
  <c r="U2775" i="14" s="1"/>
  <c r="T2776" i="14"/>
  <c r="T2777" i="14"/>
  <c r="U2777" i="14" s="1"/>
  <c r="T2778" i="14"/>
  <c r="T2779" i="14"/>
  <c r="T2780" i="14"/>
  <c r="U2780" i="14" s="1"/>
  <c r="T2781" i="14"/>
  <c r="U2781" i="14" s="1"/>
  <c r="T2" i="14"/>
  <c r="K9" i="5"/>
  <c r="M9" i="5" s="1"/>
  <c r="K10" i="5"/>
  <c r="M10" i="5" s="1"/>
  <c r="K11" i="5"/>
  <c r="M11" i="5" s="1"/>
  <c r="K12" i="5"/>
  <c r="N12" i="5" s="1"/>
  <c r="K13" i="5"/>
  <c r="M13" i="5" s="1"/>
  <c r="K14" i="5"/>
  <c r="N14" i="5" s="1"/>
  <c r="K15" i="5"/>
  <c r="M15" i="5" s="1"/>
  <c r="K16" i="5"/>
  <c r="K17" i="5"/>
  <c r="K18" i="5"/>
  <c r="K19" i="5"/>
  <c r="M19" i="5" s="1"/>
  <c r="K20" i="5"/>
  <c r="N20" i="5" s="1"/>
  <c r="K21" i="5"/>
  <c r="K22" i="5"/>
  <c r="K23" i="5"/>
  <c r="N23" i="5" s="1"/>
  <c r="K24" i="5"/>
  <c r="K25" i="5"/>
  <c r="N25" i="5" s="1"/>
  <c r="K26" i="5"/>
  <c r="N26" i="5" s="1"/>
  <c r="K27" i="5"/>
  <c r="M27" i="5" s="1"/>
  <c r="K28" i="5"/>
  <c r="N28" i="5" s="1"/>
  <c r="K29" i="5"/>
  <c r="M29" i="5" s="1"/>
  <c r="K30" i="5"/>
  <c r="K31" i="5"/>
  <c r="M31" i="5" s="1"/>
  <c r="K32" i="5"/>
  <c r="L32" i="5" s="1"/>
  <c r="K33" i="5"/>
  <c r="K34" i="5"/>
  <c r="K35" i="5"/>
  <c r="K36" i="5"/>
  <c r="K37" i="5"/>
  <c r="K38" i="5"/>
  <c r="M38" i="5" s="1"/>
  <c r="K39" i="5"/>
  <c r="M39" i="5" s="1"/>
  <c r="K40" i="5"/>
  <c r="N40" i="5" s="1"/>
  <c r="K41" i="5"/>
  <c r="N41" i="5" s="1"/>
  <c r="K42" i="5"/>
  <c r="N42" i="5" s="1"/>
  <c r="K43" i="5"/>
  <c r="M43" i="5" s="1"/>
  <c r="K44" i="5"/>
  <c r="M44" i="5" s="1"/>
  <c r="K45" i="5"/>
  <c r="K46" i="5"/>
  <c r="K47" i="5"/>
  <c r="K48" i="5"/>
  <c r="K49" i="5"/>
  <c r="K50" i="5"/>
  <c r="N50" i="5" s="1"/>
  <c r="K51" i="5"/>
  <c r="K52" i="5"/>
  <c r="M52" i="5" s="1"/>
  <c r="K53" i="5"/>
  <c r="N53" i="5" s="1"/>
  <c r="K54" i="5"/>
  <c r="K55" i="5"/>
  <c r="N55" i="5" s="1"/>
  <c r="K56" i="5"/>
  <c r="M56" i="5" s="1"/>
  <c r="K57" i="5"/>
  <c r="K58" i="5"/>
  <c r="M58" i="5" s="1"/>
  <c r="K59" i="5"/>
  <c r="N59" i="5" s="1"/>
  <c r="K60" i="5"/>
  <c r="N60" i="5" s="1"/>
  <c r="K61" i="5"/>
  <c r="K62" i="5"/>
  <c r="M62" i="5" s="1"/>
  <c r="K63" i="5"/>
  <c r="K64" i="5"/>
  <c r="K65" i="5"/>
  <c r="N65" i="5" s="1"/>
  <c r="K66" i="5"/>
  <c r="K67" i="5"/>
  <c r="N67" i="5" s="1"/>
  <c r="K68" i="5"/>
  <c r="L68" i="5" s="1"/>
  <c r="K69" i="5"/>
  <c r="M69" i="5" s="1"/>
  <c r="K70" i="5"/>
  <c r="M70" i="5" s="1"/>
  <c r="K71" i="5"/>
  <c r="M71" i="5" s="1"/>
  <c r="K72" i="5"/>
  <c r="K73" i="5"/>
  <c r="M73" i="5" s="1"/>
  <c r="K74" i="5"/>
  <c r="M74" i="5" s="1"/>
  <c r="K75" i="5"/>
  <c r="N75" i="5" s="1"/>
  <c r="K76" i="5"/>
  <c r="K77" i="5"/>
  <c r="M77" i="5" s="1"/>
  <c r="K78" i="5"/>
  <c r="K79" i="5"/>
  <c r="M79" i="5" s="1"/>
  <c r="K80" i="5"/>
  <c r="N80" i="5" s="1"/>
  <c r="K81" i="5"/>
  <c r="M81" i="5" s="1"/>
  <c r="K82" i="5"/>
  <c r="K83" i="5"/>
  <c r="K84" i="5"/>
  <c r="K85" i="5"/>
  <c r="K86" i="5"/>
  <c r="M86" i="5" s="1"/>
  <c r="K87" i="5"/>
  <c r="M87" i="5" s="1"/>
  <c r="K88" i="5"/>
  <c r="N88" i="5" s="1"/>
  <c r="K89" i="5"/>
  <c r="K90" i="5"/>
  <c r="K91" i="5"/>
  <c r="N91" i="5" s="1"/>
  <c r="K92" i="5"/>
  <c r="N92" i="5" s="1"/>
  <c r="K93" i="5"/>
  <c r="K94" i="5"/>
  <c r="K95" i="5"/>
  <c r="M95" i="5" s="1"/>
  <c r="K96" i="5"/>
  <c r="K97" i="5"/>
  <c r="M97" i="5" s="1"/>
  <c r="K98" i="5"/>
  <c r="N98" i="5" s="1"/>
  <c r="K99" i="5"/>
  <c r="M99" i="5" s="1"/>
  <c r="K100" i="5"/>
  <c r="M100" i="5" s="1"/>
  <c r="K101" i="5"/>
  <c r="N101" i="5" s="1"/>
  <c r="K102" i="5"/>
  <c r="K103" i="5"/>
  <c r="N103" i="5" s="1"/>
  <c r="K104" i="5"/>
  <c r="N104" i="5" s="1"/>
  <c r="K105" i="5"/>
  <c r="M105" i="5" s="1"/>
  <c r="K106" i="5"/>
  <c r="K107" i="5"/>
  <c r="K108" i="5"/>
  <c r="K109" i="5"/>
  <c r="K110" i="5"/>
  <c r="M110" i="5" s="1"/>
  <c r="K111" i="5"/>
  <c r="K112" i="5"/>
  <c r="N112" i="5" s="1"/>
  <c r="K113" i="5"/>
  <c r="N113" i="5" s="1"/>
  <c r="K114" i="5"/>
  <c r="K115" i="5"/>
  <c r="M115" i="5" s="1"/>
  <c r="K116" i="5"/>
  <c r="M116" i="5" s="1"/>
  <c r="K117" i="5"/>
  <c r="K118" i="5"/>
  <c r="K119" i="5"/>
  <c r="K120" i="5"/>
  <c r="N120" i="5" s="1"/>
  <c r="K121" i="5"/>
  <c r="K122" i="5"/>
  <c r="K123" i="5"/>
  <c r="N123" i="5" s="1"/>
  <c r="K124" i="5"/>
  <c r="N124" i="5" s="1"/>
  <c r="K125" i="5"/>
  <c r="M125" i="5" s="1"/>
  <c r="K126" i="5"/>
  <c r="K127" i="5"/>
  <c r="N127" i="5" s="1"/>
  <c r="K128" i="5"/>
  <c r="M128" i="5" s="1"/>
  <c r="K129" i="5"/>
  <c r="L129" i="5" s="1"/>
  <c r="K130" i="5"/>
  <c r="M130" i="5" s="1"/>
  <c r="K131" i="5"/>
  <c r="K132" i="5"/>
  <c r="K133" i="5"/>
  <c r="K134" i="5"/>
  <c r="M134" i="5" s="1"/>
  <c r="K135" i="5"/>
  <c r="K136" i="5"/>
  <c r="N136" i="5" s="1"/>
  <c r="K137" i="5"/>
  <c r="M137" i="5" s="1"/>
  <c r="K138" i="5"/>
  <c r="K139" i="5"/>
  <c r="M139" i="5" s="1"/>
  <c r="K140" i="5"/>
  <c r="M140" i="5" s="1"/>
  <c r="K141" i="5"/>
  <c r="K142" i="5"/>
  <c r="K143" i="5"/>
  <c r="M143" i="5" s="1"/>
  <c r="K144" i="5"/>
  <c r="K145" i="5"/>
  <c r="K146" i="5"/>
  <c r="K147" i="5"/>
  <c r="K148" i="5"/>
  <c r="M148" i="5" s="1"/>
  <c r="K149" i="5"/>
  <c r="M149" i="5" s="1"/>
  <c r="K150" i="5"/>
  <c r="N150" i="5" s="1"/>
  <c r="K151" i="5"/>
  <c r="M151" i="5" s="1"/>
  <c r="K152" i="5"/>
  <c r="M152" i="5" s="1"/>
  <c r="K153" i="5"/>
  <c r="M153" i="5" s="1"/>
  <c r="K154" i="5"/>
  <c r="N154" i="5" s="1"/>
  <c r="K155" i="5"/>
  <c r="M155" i="5" s="1"/>
  <c r="K156" i="5"/>
  <c r="K157" i="5"/>
  <c r="N157" i="5" s="1"/>
  <c r="K158" i="5"/>
  <c r="K159" i="5"/>
  <c r="K160" i="5"/>
  <c r="K161" i="5"/>
  <c r="N161" i="5" s="1"/>
  <c r="K162" i="5"/>
  <c r="K163" i="5"/>
  <c r="N163" i="5" s="1"/>
  <c r="K164" i="5"/>
  <c r="N164" i="5" s="1"/>
  <c r="K165" i="5"/>
  <c r="K166" i="5"/>
  <c r="K167" i="5"/>
  <c r="M167" i="5" s="1"/>
  <c r="K168" i="5"/>
  <c r="K169" i="5"/>
  <c r="K170" i="5"/>
  <c r="K171" i="5"/>
  <c r="M171" i="5" s="1"/>
  <c r="K172" i="5"/>
  <c r="M172" i="5" s="1"/>
  <c r="K173" i="5"/>
  <c r="N173" i="5" s="1"/>
  <c r="K174" i="5"/>
  <c r="K175" i="5"/>
  <c r="M175" i="5" s="1"/>
  <c r="K176" i="5"/>
  <c r="N176" i="5" s="1"/>
  <c r="K177" i="5"/>
  <c r="M177" i="5" s="1"/>
  <c r="K178" i="5"/>
  <c r="N178" i="5" s="1"/>
  <c r="K179" i="5"/>
  <c r="N179" i="5" s="1"/>
  <c r="K180" i="5"/>
  <c r="N180" i="5" s="1"/>
  <c r="K181" i="5"/>
  <c r="K182" i="5"/>
  <c r="M182" i="5" s="1"/>
  <c r="K183" i="5"/>
  <c r="K184" i="5"/>
  <c r="K185" i="5"/>
  <c r="M185" i="5" s="1"/>
  <c r="K186" i="5"/>
  <c r="K187" i="5"/>
  <c r="M187" i="5" s="1"/>
  <c r="K188" i="5"/>
  <c r="M188" i="5" s="1"/>
  <c r="K189" i="5"/>
  <c r="K190" i="5"/>
  <c r="K191" i="5"/>
  <c r="K192" i="5"/>
  <c r="N192" i="5" s="1"/>
  <c r="K193" i="5"/>
  <c r="K194" i="5"/>
  <c r="N194" i="5" s="1"/>
  <c r="K195" i="5"/>
  <c r="K196" i="5"/>
  <c r="M196" i="5" s="1"/>
  <c r="K197" i="5"/>
  <c r="N197" i="5" s="1"/>
  <c r="K198" i="5"/>
  <c r="K199" i="5"/>
  <c r="M199" i="5" s="1"/>
  <c r="K200" i="5"/>
  <c r="L200" i="5" s="1"/>
  <c r="K201" i="5"/>
  <c r="M201" i="5" s="1"/>
  <c r="K202" i="5"/>
  <c r="M202" i="5" s="1"/>
  <c r="K203" i="5"/>
  <c r="K204" i="5"/>
  <c r="K205" i="5"/>
  <c r="N205" i="5" s="1"/>
  <c r="K206" i="5"/>
  <c r="N206" i="5" s="1"/>
  <c r="K207" i="5"/>
  <c r="K208" i="5"/>
  <c r="K209" i="5"/>
  <c r="N209" i="5" s="1"/>
  <c r="K210" i="5"/>
  <c r="N210" i="5" s="1"/>
  <c r="K211" i="5"/>
  <c r="N211" i="5" s="1"/>
  <c r="K212" i="5"/>
  <c r="N212" i="5" s="1"/>
  <c r="K213" i="5"/>
  <c r="K214" i="5"/>
  <c r="M214" i="5" s="1"/>
  <c r="K215" i="5"/>
  <c r="N215" i="5" s="1"/>
  <c r="K216" i="5"/>
  <c r="K217" i="5"/>
  <c r="M217" i="5" s="1"/>
  <c r="K218" i="5"/>
  <c r="K219" i="5"/>
  <c r="K220" i="5"/>
  <c r="M220" i="5" s="1"/>
  <c r="K221" i="5"/>
  <c r="M221" i="5" s="1"/>
  <c r="K222" i="5"/>
  <c r="N222" i="5" s="1"/>
  <c r="K223" i="5"/>
  <c r="M223" i="5" s="1"/>
  <c r="K224" i="5"/>
  <c r="N224" i="5" s="1"/>
  <c r="K225" i="5"/>
  <c r="M225" i="5" s="1"/>
  <c r="K226" i="5"/>
  <c r="N226" i="5" s="1"/>
  <c r="K227" i="5"/>
  <c r="M227" i="5" s="1"/>
  <c r="K228" i="5"/>
  <c r="K229" i="5"/>
  <c r="K230" i="5"/>
  <c r="K231" i="5"/>
  <c r="M231" i="5" s="1"/>
  <c r="K232" i="5"/>
  <c r="K233" i="5"/>
  <c r="N233" i="5" s="1"/>
  <c r="K234" i="5"/>
  <c r="K235" i="5"/>
  <c r="N235" i="5" s="1"/>
  <c r="K236" i="5"/>
  <c r="L236" i="5" s="1"/>
  <c r="K237" i="5"/>
  <c r="K238" i="5"/>
  <c r="M238" i="5" s="1"/>
  <c r="K239" i="5"/>
  <c r="M239" i="5" s="1"/>
  <c r="K240" i="5"/>
  <c r="N240" i="5" s="1"/>
  <c r="K241" i="5"/>
  <c r="M241" i="5" s="1"/>
  <c r="K242" i="5"/>
  <c r="K243" i="5"/>
  <c r="K244" i="5"/>
  <c r="N244" i="5" s="1"/>
  <c r="K245" i="5"/>
  <c r="N245" i="5" s="1"/>
  <c r="K246" i="5"/>
  <c r="K247" i="5"/>
  <c r="M247" i="5" s="1"/>
  <c r="K248" i="5"/>
  <c r="N248" i="5" s="1"/>
  <c r="K249" i="5"/>
  <c r="K250" i="5"/>
  <c r="N250" i="5" s="1"/>
  <c r="K251" i="5"/>
  <c r="K252" i="5"/>
  <c r="K253" i="5"/>
  <c r="N253" i="5" s="1"/>
  <c r="K254" i="5"/>
  <c r="M254" i="5" s="1"/>
  <c r="K255" i="5"/>
  <c r="M255" i="5" s="1"/>
  <c r="K256" i="5"/>
  <c r="M256" i="5" s="1"/>
  <c r="K257" i="5"/>
  <c r="M257" i="5" s="1"/>
  <c r="K258" i="5"/>
  <c r="N258" i="5" s="1"/>
  <c r="K259" i="5"/>
  <c r="M259" i="5" s="1"/>
  <c r="K260" i="5"/>
  <c r="M260" i="5" s="1"/>
  <c r="K261" i="5"/>
  <c r="K262" i="5"/>
  <c r="K263" i="5"/>
  <c r="N263" i="5" s="1"/>
  <c r="K264" i="5"/>
  <c r="N264" i="5" s="1"/>
  <c r="K265" i="5"/>
  <c r="N265" i="5" s="1"/>
  <c r="K266" i="5"/>
  <c r="N266" i="5" s="1"/>
  <c r="K267" i="5"/>
  <c r="M267" i="5" s="1"/>
  <c r="K268" i="5"/>
  <c r="N268" i="5" s="1"/>
  <c r="K269" i="5"/>
  <c r="M269" i="5" s="1"/>
  <c r="K270" i="5"/>
  <c r="K271" i="5"/>
  <c r="M271" i="5" s="1"/>
  <c r="K272" i="5"/>
  <c r="N272" i="5" s="1"/>
  <c r="K273" i="5"/>
  <c r="M273" i="5" s="1"/>
  <c r="K274" i="5"/>
  <c r="K275" i="5"/>
  <c r="K276" i="5"/>
  <c r="K277" i="5"/>
  <c r="K278" i="5"/>
  <c r="K279" i="5"/>
  <c r="K280" i="5"/>
  <c r="N280" i="5" s="1"/>
  <c r="K281" i="5"/>
  <c r="M281" i="5" s="1"/>
  <c r="K282" i="5"/>
  <c r="K283" i="5"/>
  <c r="M283" i="5" s="1"/>
  <c r="K284" i="5"/>
  <c r="N284" i="5" s="1"/>
  <c r="K285" i="5"/>
  <c r="M285" i="5" s="1"/>
  <c r="K286" i="5"/>
  <c r="M286" i="5" s="1"/>
  <c r="K287" i="5"/>
  <c r="N287" i="5" s="1"/>
  <c r="K288" i="5"/>
  <c r="K289" i="5"/>
  <c r="M289" i="5" s="1"/>
  <c r="K290" i="5"/>
  <c r="K291" i="5"/>
  <c r="K292" i="5"/>
  <c r="N292" i="5" s="1"/>
  <c r="K293" i="5"/>
  <c r="M293" i="5" s="1"/>
  <c r="K294" i="5"/>
  <c r="K295" i="5"/>
  <c r="M295" i="5" s="1"/>
  <c r="K296" i="5"/>
  <c r="M296" i="5" s="1"/>
  <c r="K297" i="5"/>
  <c r="M297" i="5" s="1"/>
  <c r="K298" i="5"/>
  <c r="K299" i="5"/>
  <c r="K300" i="5"/>
  <c r="K301" i="5"/>
  <c r="N301" i="5" s="1"/>
  <c r="K302" i="5"/>
  <c r="K303" i="5"/>
  <c r="M303" i="5" s="1"/>
  <c r="K304" i="5"/>
  <c r="K305" i="5"/>
  <c r="N305" i="5" s="1"/>
  <c r="K306" i="5"/>
  <c r="K307" i="5"/>
  <c r="M307" i="5" s="1"/>
  <c r="K308" i="5"/>
  <c r="N308" i="5" s="1"/>
  <c r="K309" i="5"/>
  <c r="K310" i="5"/>
  <c r="M310" i="5" s="1"/>
  <c r="K311" i="5"/>
  <c r="N311" i="5" s="1"/>
  <c r="K312" i="5"/>
  <c r="N312" i="5" s="1"/>
  <c r="K313" i="5"/>
  <c r="M313" i="5" s="1"/>
  <c r="K314" i="5"/>
  <c r="K315" i="5"/>
  <c r="M315" i="5" s="1"/>
  <c r="K316" i="5"/>
  <c r="M316" i="5" s="1"/>
  <c r="K317" i="5"/>
  <c r="N317" i="5" s="1"/>
  <c r="K318" i="5"/>
  <c r="K319" i="5"/>
  <c r="M319" i="5" s="1"/>
  <c r="K320" i="5"/>
  <c r="N320" i="5" s="1"/>
  <c r="K321" i="5"/>
  <c r="K322" i="5"/>
  <c r="K323" i="5"/>
  <c r="N323" i="5" s="1"/>
  <c r="K324" i="5"/>
  <c r="K325" i="5"/>
  <c r="M325" i="5" s="1"/>
  <c r="K326" i="5"/>
  <c r="K327" i="5"/>
  <c r="K328" i="5"/>
  <c r="M328" i="5" s="1"/>
  <c r="K329" i="5"/>
  <c r="M329" i="5" s="1"/>
  <c r="K330" i="5"/>
  <c r="N330" i="5" s="1"/>
  <c r="K331" i="5"/>
  <c r="M331" i="5" s="1"/>
  <c r="K332" i="5"/>
  <c r="M332" i="5" s="1"/>
  <c r="K333" i="5"/>
  <c r="K334" i="5"/>
  <c r="K335" i="5"/>
  <c r="N335" i="5" s="1"/>
  <c r="K336" i="5"/>
  <c r="K337" i="5"/>
  <c r="K338" i="5"/>
  <c r="N338" i="5" s="1"/>
  <c r="K339" i="5"/>
  <c r="M339" i="5" s="1"/>
  <c r="K340" i="5"/>
  <c r="N340" i="5" s="1"/>
  <c r="K341" i="5"/>
  <c r="N341" i="5" s="1"/>
  <c r="K342" i="5"/>
  <c r="K343" i="5"/>
  <c r="M343" i="5" s="1"/>
  <c r="K344" i="5"/>
  <c r="N344" i="5" s="1"/>
  <c r="K345" i="5"/>
  <c r="M345" i="5" s="1"/>
  <c r="K346" i="5"/>
  <c r="M346" i="5" s="1"/>
  <c r="K347" i="5"/>
  <c r="K348" i="5"/>
  <c r="K349" i="5"/>
  <c r="N349" i="5" s="1"/>
  <c r="K350" i="5"/>
  <c r="M350" i="5" s="1"/>
  <c r="K351" i="5"/>
  <c r="K352" i="5"/>
  <c r="N352" i="5" s="1"/>
  <c r="K353" i="5"/>
  <c r="N353" i="5" s="1"/>
  <c r="K354" i="5"/>
  <c r="N354" i="5" s="1"/>
  <c r="K355" i="5"/>
  <c r="N355" i="5" s="1"/>
  <c r="K356" i="5"/>
  <c r="N356" i="5" s="1"/>
  <c r="K357" i="5"/>
  <c r="K358" i="5"/>
  <c r="M358" i="5" s="1"/>
  <c r="K359" i="5"/>
  <c r="N359" i="5" s="1"/>
  <c r="K360" i="5"/>
  <c r="K361" i="5"/>
  <c r="M361" i="5" s="1"/>
  <c r="K362" i="5"/>
  <c r="K363" i="5"/>
  <c r="K364" i="5"/>
  <c r="N364" i="5" s="1"/>
  <c r="K365" i="5"/>
  <c r="M365" i="5" s="1"/>
  <c r="K366" i="5"/>
  <c r="K367" i="5"/>
  <c r="M367" i="5" s="1"/>
  <c r="K368" i="5"/>
  <c r="N368" i="5" s="1"/>
  <c r="K369" i="5"/>
  <c r="M369" i="5" s="1"/>
  <c r="K370" i="5"/>
  <c r="M370" i="5" s="1"/>
  <c r="K371" i="5"/>
  <c r="M371" i="5" s="1"/>
  <c r="K372" i="5"/>
  <c r="K373" i="5"/>
  <c r="M373" i="5" s="1"/>
  <c r="K374" i="5"/>
  <c r="M374" i="5" s="1"/>
  <c r="K375" i="5"/>
  <c r="K376" i="5"/>
  <c r="K377" i="5"/>
  <c r="N377" i="5" s="1"/>
  <c r="K378" i="5"/>
  <c r="N378" i="5" s="1"/>
  <c r="K379" i="5"/>
  <c r="N379" i="5" s="1"/>
  <c r="K380" i="5"/>
  <c r="N380" i="5" s="1"/>
  <c r="K381" i="5"/>
  <c r="K382" i="5"/>
  <c r="N382" i="5" s="1"/>
  <c r="K383" i="5"/>
  <c r="N383" i="5" s="1"/>
  <c r="K384" i="5"/>
  <c r="N384" i="5" s="1"/>
  <c r="K385" i="5"/>
  <c r="M385" i="5" s="1"/>
  <c r="K386" i="5"/>
  <c r="K387" i="5"/>
  <c r="M387" i="5" s="1"/>
  <c r="K388" i="5"/>
  <c r="M388" i="5" s="1"/>
  <c r="K389" i="5"/>
  <c r="N389" i="5" s="1"/>
  <c r="K390" i="5"/>
  <c r="K391" i="5"/>
  <c r="M391" i="5" s="1"/>
  <c r="K392" i="5"/>
  <c r="N392" i="5" s="1"/>
  <c r="K393" i="5"/>
  <c r="M393" i="5" s="1"/>
  <c r="K394" i="5"/>
  <c r="K395" i="5"/>
  <c r="K396" i="5"/>
  <c r="K397" i="5"/>
  <c r="M397" i="5" s="1"/>
  <c r="K398" i="5"/>
  <c r="K399" i="5"/>
  <c r="M399" i="5" s="1"/>
  <c r="K400" i="5"/>
  <c r="M400" i="5" s="1"/>
  <c r="K401" i="5"/>
  <c r="M401" i="5" s="1"/>
  <c r="K402" i="5"/>
  <c r="N402" i="5" s="1"/>
  <c r="K403" i="5"/>
  <c r="M403" i="5" s="1"/>
  <c r="K404" i="5"/>
  <c r="M404" i="5" s="1"/>
  <c r="K405" i="5"/>
  <c r="K406" i="5"/>
  <c r="K407" i="5"/>
  <c r="M407" i="5" s="1"/>
  <c r="K408" i="5"/>
  <c r="N408" i="5" s="1"/>
  <c r="K409" i="5"/>
  <c r="N409" i="5" s="1"/>
  <c r="K410" i="5"/>
  <c r="K411" i="5"/>
  <c r="M411" i="5" s="1"/>
  <c r="K412" i="5"/>
  <c r="N412" i="5" s="1"/>
  <c r="K413" i="5"/>
  <c r="M413" i="5" s="1"/>
  <c r="K414" i="5"/>
  <c r="K415" i="5"/>
  <c r="M415" i="5" s="1"/>
  <c r="K416" i="5"/>
  <c r="N416" i="5" s="1"/>
  <c r="K417" i="5"/>
  <c r="K418" i="5"/>
  <c r="K419" i="5"/>
  <c r="K420" i="5"/>
  <c r="K421" i="5"/>
  <c r="N421" i="5" s="1"/>
  <c r="K422" i="5"/>
  <c r="M422" i="5" s="1"/>
  <c r="K423" i="5"/>
  <c r="K424" i="5"/>
  <c r="N424" i="5" s="1"/>
  <c r="K425" i="5"/>
  <c r="M425" i="5" s="1"/>
  <c r="K426" i="5"/>
  <c r="N426" i="5" s="1"/>
  <c r="K427" i="5"/>
  <c r="M427" i="5" s="1"/>
  <c r="K428" i="5"/>
  <c r="N428" i="5" s="1"/>
  <c r="K429" i="5"/>
  <c r="M429" i="5" s="1"/>
  <c r="K430" i="5"/>
  <c r="M430" i="5" s="1"/>
  <c r="K431" i="5"/>
  <c r="M431" i="5" s="1"/>
  <c r="K432" i="5"/>
  <c r="K433" i="5"/>
  <c r="K434" i="5"/>
  <c r="K435" i="5"/>
  <c r="K436" i="5"/>
  <c r="M436" i="5" s="1"/>
  <c r="K437" i="5"/>
  <c r="M437" i="5" s="1"/>
  <c r="K438" i="5"/>
  <c r="K439" i="5"/>
  <c r="M439" i="5" s="1"/>
  <c r="K440" i="5"/>
  <c r="N440" i="5" s="1"/>
  <c r="K441" i="5"/>
  <c r="K442" i="5"/>
  <c r="K443" i="5"/>
  <c r="M443" i="5" s="1"/>
  <c r="K444" i="5"/>
  <c r="K445" i="5"/>
  <c r="N445" i="5" s="1"/>
  <c r="K446" i="5"/>
  <c r="K6" i="5"/>
  <c r="K7" i="5"/>
  <c r="N7" i="5" s="1"/>
  <c r="K8" i="5"/>
  <c r="M8" i="5" s="1"/>
  <c r="K5" i="5"/>
  <c r="M5" i="5" s="1"/>
  <c r="T51" i="2"/>
  <c r="T53" i="2"/>
  <c r="A53" i="16" s="1"/>
  <c r="T54" i="2"/>
  <c r="A54" i="16" s="1"/>
  <c r="T55" i="2"/>
  <c r="A55" i="16" s="1"/>
  <c r="T56" i="2"/>
  <c r="A56" i="16" s="1"/>
  <c r="T57" i="2"/>
  <c r="A57" i="16" s="1"/>
  <c r="T58" i="2"/>
  <c r="A58" i="16" s="1"/>
  <c r="T59" i="2"/>
  <c r="A59" i="16" s="1"/>
  <c r="T60" i="2"/>
  <c r="A60" i="16" s="1"/>
  <c r="T61" i="2"/>
  <c r="A61" i="16" s="1"/>
  <c r="T62" i="2"/>
  <c r="A62" i="16" s="1"/>
  <c r="T63" i="2"/>
  <c r="A63" i="16" s="1"/>
  <c r="T65" i="2"/>
  <c r="A65" i="16" s="1"/>
  <c r="T66" i="2"/>
  <c r="A66" i="16" s="1"/>
  <c r="T67" i="2"/>
  <c r="A67" i="16" s="1"/>
  <c r="T68" i="2"/>
  <c r="A68" i="16" s="1"/>
  <c r="T69" i="2"/>
  <c r="A69" i="16" s="1"/>
  <c r="T70" i="2"/>
  <c r="A70" i="16" s="1"/>
  <c r="T71" i="2"/>
  <c r="A71" i="16" s="1"/>
  <c r="T72" i="2"/>
  <c r="A72" i="16" s="1"/>
  <c r="T73" i="2"/>
  <c r="A73" i="16" s="1"/>
  <c r="T74" i="2"/>
  <c r="A74" i="16" s="1"/>
  <c r="T75" i="2"/>
  <c r="A75" i="16" s="1"/>
  <c r="T76" i="2"/>
  <c r="A76" i="16" s="1"/>
  <c r="T77" i="2"/>
  <c r="A77" i="16" s="1"/>
  <c r="T80" i="2"/>
  <c r="A80" i="16" s="1"/>
  <c r="T82" i="2"/>
  <c r="A82" i="16" s="1"/>
  <c r="T83" i="2"/>
  <c r="A83" i="16" s="1"/>
  <c r="T84" i="2"/>
  <c r="A84" i="16" s="1"/>
  <c r="T85" i="2"/>
  <c r="A85" i="16" s="1"/>
  <c r="T87" i="2"/>
  <c r="A87" i="16" s="1"/>
  <c r="T88" i="2"/>
  <c r="A88" i="16" s="1"/>
  <c r="T89" i="2"/>
  <c r="A89" i="16" s="1"/>
  <c r="T90" i="2"/>
  <c r="A90" i="16" s="1"/>
  <c r="T91" i="2"/>
  <c r="A91" i="16" s="1"/>
  <c r="T92" i="2"/>
  <c r="A92" i="16" s="1"/>
  <c r="T93" i="2"/>
  <c r="A93" i="16" s="1"/>
  <c r="T94" i="2"/>
  <c r="A94" i="16" s="1"/>
  <c r="T95" i="2"/>
  <c r="A95" i="16" s="1"/>
  <c r="T96" i="2"/>
  <c r="A96" i="16" s="1"/>
  <c r="T97" i="2"/>
  <c r="A97" i="16" s="1"/>
  <c r="T99" i="2"/>
  <c r="A99" i="16" s="1"/>
  <c r="T100" i="2"/>
  <c r="A100" i="16" s="1"/>
  <c r="T101" i="2"/>
  <c r="A101" i="16" s="1"/>
  <c r="T102" i="2"/>
  <c r="A102" i="16" s="1"/>
  <c r="T104" i="2"/>
  <c r="A104" i="16" s="1"/>
  <c r="T105" i="2"/>
  <c r="A105" i="16" s="1"/>
  <c r="T106" i="2"/>
  <c r="A106" i="16" s="1"/>
  <c r="T107" i="2"/>
  <c r="A107" i="16" s="1"/>
  <c r="T108" i="2"/>
  <c r="A108" i="16" s="1"/>
  <c r="T109" i="2"/>
  <c r="A109" i="16" s="1"/>
  <c r="T110" i="2"/>
  <c r="A110" i="16" s="1"/>
  <c r="T112" i="2"/>
  <c r="A112" i="16" s="1"/>
  <c r="T114" i="2"/>
  <c r="A114" i="16" s="1"/>
  <c r="T116" i="2"/>
  <c r="A116" i="16" s="1"/>
  <c r="T117" i="2"/>
  <c r="A117" i="16" s="1"/>
  <c r="T118" i="2"/>
  <c r="T120" i="2"/>
  <c r="A120" i="16" s="1"/>
  <c r="T124" i="2"/>
  <c r="A124" i="16" s="1"/>
  <c r="T125" i="2"/>
  <c r="A125" i="16" s="1"/>
  <c r="T127" i="2"/>
  <c r="A127" i="16" s="1"/>
  <c r="T128" i="2"/>
  <c r="A128" i="16" s="1"/>
  <c r="T129" i="2"/>
  <c r="A129" i="16" s="1"/>
  <c r="T130" i="2"/>
  <c r="A130" i="16" s="1"/>
  <c r="T135" i="2"/>
  <c r="A135" i="16" s="1"/>
  <c r="T136" i="2"/>
  <c r="A136" i="16" s="1"/>
  <c r="T141" i="2"/>
  <c r="A141" i="16" s="1"/>
  <c r="T142" i="2"/>
  <c r="A142" i="16" s="1"/>
  <c r="T144" i="2"/>
  <c r="A144" i="16" s="1"/>
  <c r="T145" i="2"/>
  <c r="A145" i="16" s="1"/>
  <c r="T147" i="2"/>
  <c r="A147" i="16" s="1"/>
  <c r="T148" i="2"/>
  <c r="A148" i="16" s="1"/>
  <c r="T149" i="2"/>
  <c r="A149" i="16" s="1"/>
  <c r="T150" i="2"/>
  <c r="A150" i="16" s="1"/>
  <c r="T151" i="2"/>
  <c r="A151" i="16" s="1"/>
  <c r="T152" i="2"/>
  <c r="A152" i="16" s="1"/>
  <c r="T153" i="2"/>
  <c r="A153" i="16" s="1"/>
  <c r="T154" i="2"/>
  <c r="A154" i="16" s="1"/>
  <c r="T156" i="2"/>
  <c r="A156" i="16" s="1"/>
  <c r="T157" i="2"/>
  <c r="A157" i="16" s="1"/>
  <c r="T158" i="2"/>
  <c r="A158" i="16" s="1"/>
  <c r="T159" i="2"/>
  <c r="A159" i="16" s="1"/>
  <c r="T160" i="2"/>
  <c r="T162" i="2"/>
  <c r="A162" i="16" s="1"/>
  <c r="T164" i="2"/>
  <c r="A164" i="16" s="1"/>
  <c r="T165" i="2"/>
  <c r="A165" i="16" s="1"/>
  <c r="T166" i="2"/>
  <c r="A166" i="16" s="1"/>
  <c r="T168" i="2"/>
  <c r="A168" i="16" s="1"/>
  <c r="T169" i="2"/>
  <c r="A169" i="16" s="1"/>
  <c r="T170" i="2"/>
  <c r="A170" i="16" s="1"/>
  <c r="T171" i="2"/>
  <c r="A171" i="16" s="1"/>
  <c r="T172" i="2"/>
  <c r="A172" i="16" s="1"/>
  <c r="T173" i="2"/>
  <c r="A173" i="16" s="1"/>
  <c r="T174" i="2"/>
  <c r="A174" i="16" s="1"/>
  <c r="T175" i="2"/>
  <c r="A175" i="16" s="1"/>
  <c r="T178" i="2"/>
  <c r="A178" i="16" s="1"/>
  <c r="T179" i="2"/>
  <c r="A179" i="16" s="1"/>
  <c r="T181" i="2"/>
  <c r="A181" i="16" s="1"/>
  <c r="T182" i="2"/>
  <c r="A182" i="16" s="1"/>
  <c r="T183" i="2"/>
  <c r="A183" i="16" s="1"/>
  <c r="T184" i="2"/>
  <c r="A184" i="16" s="1"/>
  <c r="T185" i="2"/>
  <c r="A185" i="16" s="1"/>
  <c r="T186" i="2"/>
  <c r="A186" i="16" s="1"/>
  <c r="T187" i="2"/>
  <c r="A187" i="16" s="1"/>
  <c r="T188" i="2"/>
  <c r="A188" i="16" s="1"/>
  <c r="T189" i="2"/>
  <c r="A189" i="16" s="1"/>
  <c r="T190" i="2"/>
  <c r="A190" i="16" s="1"/>
  <c r="T191" i="2"/>
  <c r="A191" i="16" s="1"/>
  <c r="T192" i="2"/>
  <c r="A192" i="16" s="1"/>
  <c r="T193" i="2"/>
  <c r="A193" i="16" s="1"/>
  <c r="T194" i="2"/>
  <c r="A194" i="16" s="1"/>
  <c r="T195" i="2"/>
  <c r="A195" i="16" s="1"/>
  <c r="T196" i="2"/>
  <c r="A196" i="16" s="1"/>
  <c r="T197" i="2"/>
  <c r="A197" i="16" s="1"/>
  <c r="T198" i="2"/>
  <c r="A198" i="16" s="1"/>
  <c r="T200" i="2"/>
  <c r="A200" i="16" s="1"/>
  <c r="T201" i="2"/>
  <c r="A201" i="16" s="1"/>
  <c r="T202" i="2"/>
  <c r="A202" i="16" s="1"/>
  <c r="T204" i="2"/>
  <c r="A204" i="16" s="1"/>
  <c r="T205" i="2"/>
  <c r="A205" i="16" s="1"/>
  <c r="T206" i="2"/>
  <c r="A206" i="16" s="1"/>
  <c r="T207" i="2"/>
  <c r="A207" i="16" s="1"/>
  <c r="T208" i="2"/>
  <c r="A208" i="16" s="1"/>
  <c r="T210" i="2"/>
  <c r="A210" i="16" s="1"/>
  <c r="T212" i="2"/>
  <c r="A212" i="16" s="1"/>
  <c r="T213" i="2"/>
  <c r="A213" i="16" s="1"/>
  <c r="T214" i="2"/>
  <c r="A214" i="16" s="1"/>
  <c r="T215" i="2"/>
  <c r="A215" i="16" s="1"/>
  <c r="T216" i="2"/>
  <c r="A216" i="16" s="1"/>
  <c r="T218" i="2"/>
  <c r="T220" i="2"/>
  <c r="A220" i="16" s="1"/>
  <c r="T221" i="2"/>
  <c r="A221" i="16" s="1"/>
  <c r="T225" i="2"/>
  <c r="A225" i="16" s="1"/>
  <c r="T226" i="2"/>
  <c r="A226" i="16" s="1"/>
  <c r="T227" i="2"/>
  <c r="A227" i="16" s="1"/>
  <c r="T228" i="2"/>
  <c r="A228" i="16" s="1"/>
  <c r="T229" i="2"/>
  <c r="A229" i="16" s="1"/>
  <c r="T231" i="2"/>
  <c r="A231" i="16" s="1"/>
  <c r="T232" i="2"/>
  <c r="T234" i="2"/>
  <c r="A234" i="16" s="1"/>
  <c r="T235" i="2"/>
  <c r="A235" i="16" s="1"/>
  <c r="T236" i="2"/>
  <c r="T238" i="2"/>
  <c r="A238" i="16" s="1"/>
  <c r="T239" i="2"/>
  <c r="A239" i="16" s="1"/>
  <c r="T240" i="2"/>
  <c r="A240" i="16" s="1"/>
  <c r="T241" i="2"/>
  <c r="A241" i="16" s="1"/>
  <c r="T242" i="2"/>
  <c r="A242" i="16" s="1"/>
  <c r="T243" i="2"/>
  <c r="T245" i="2"/>
  <c r="A245" i="16" s="1"/>
  <c r="T246" i="2"/>
  <c r="A246" i="16" s="1"/>
  <c r="T247" i="2"/>
  <c r="A247" i="16" s="1"/>
  <c r="T249" i="2"/>
  <c r="A249" i="16" s="1"/>
  <c r="T250" i="2"/>
  <c r="A250" i="16" s="1"/>
  <c r="T251" i="2"/>
  <c r="A251" i="16" s="1"/>
  <c r="T252" i="2"/>
  <c r="A252" i="16" s="1"/>
  <c r="T253" i="2"/>
  <c r="T257" i="2"/>
  <c r="A257" i="16" s="1"/>
  <c r="T259" i="2"/>
  <c r="A259" i="16" s="1"/>
  <c r="T260" i="2"/>
  <c r="A260" i="16" s="1"/>
  <c r="T261" i="2"/>
  <c r="A261" i="16" s="1"/>
  <c r="T262" i="2"/>
  <c r="A262" i="16" s="1"/>
  <c r="T264" i="2"/>
  <c r="A264" i="16" s="1"/>
  <c r="T265" i="2"/>
  <c r="A265" i="16" s="1"/>
  <c r="T266" i="2"/>
  <c r="T269" i="2"/>
  <c r="A269" i="16" s="1"/>
  <c r="T270" i="2"/>
  <c r="A270" i="16" s="1"/>
  <c r="T272" i="2"/>
  <c r="A272" i="16" s="1"/>
  <c r="T274" i="2"/>
  <c r="A274" i="16" s="1"/>
  <c r="T275" i="2"/>
  <c r="A275" i="16" s="1"/>
  <c r="T276" i="2"/>
  <c r="A276" i="16" s="1"/>
  <c r="T278" i="2"/>
  <c r="A278" i="16" s="1"/>
  <c r="T279" i="2"/>
  <c r="A279" i="16" s="1"/>
  <c r="T280" i="2"/>
  <c r="T282" i="2"/>
  <c r="A282" i="16" s="1"/>
  <c r="T283" i="2"/>
  <c r="A283" i="16" s="1"/>
  <c r="T286" i="2"/>
  <c r="A286" i="16" s="1"/>
  <c r="T287" i="2"/>
  <c r="A287" i="16" s="1"/>
  <c r="T288" i="2"/>
  <c r="A288" i="16" s="1"/>
  <c r="T289" i="2"/>
  <c r="A289" i="16" s="1"/>
  <c r="T290" i="2"/>
  <c r="A290" i="16" s="1"/>
  <c r="T291" i="2"/>
  <c r="A291" i="16" s="1"/>
  <c r="T292" i="2"/>
  <c r="A292" i="16" s="1"/>
  <c r="T293" i="2"/>
  <c r="A293" i="16" s="1"/>
  <c r="T294" i="2"/>
  <c r="A294" i="16" s="1"/>
  <c r="T296" i="2"/>
  <c r="A296" i="16" s="1"/>
  <c r="T297" i="2"/>
  <c r="A297" i="16" s="1"/>
  <c r="T298" i="2"/>
  <c r="A298" i="16" s="1"/>
  <c r="T299" i="2"/>
  <c r="A299" i="16" s="1"/>
  <c r="T300" i="2"/>
  <c r="T303" i="2"/>
  <c r="A303" i="16" s="1"/>
  <c r="T304" i="2"/>
  <c r="A304" i="16" s="1"/>
  <c r="T305" i="2"/>
  <c r="A305" i="16" s="1"/>
  <c r="T306" i="2"/>
  <c r="A306" i="16" s="1"/>
  <c r="T307" i="2"/>
  <c r="A307" i="16" s="1"/>
  <c r="T308" i="2"/>
  <c r="A308" i="16" s="1"/>
  <c r="T309" i="2"/>
  <c r="A309" i="16" s="1"/>
  <c r="T310" i="2"/>
  <c r="A310" i="16" s="1"/>
  <c r="T311" i="2"/>
  <c r="A311" i="16" s="1"/>
  <c r="T312" i="2"/>
  <c r="T315" i="2"/>
  <c r="A315" i="16" s="1"/>
  <c r="T316" i="2"/>
  <c r="T318" i="2"/>
  <c r="A318" i="16" s="1"/>
  <c r="T319" i="2"/>
  <c r="A319" i="16" s="1"/>
  <c r="T321" i="2"/>
  <c r="T324" i="2"/>
  <c r="A324" i="16" s="1"/>
  <c r="T325" i="2"/>
  <c r="T328" i="2"/>
  <c r="A328" i="16" s="1"/>
  <c r="T329" i="2"/>
  <c r="T333" i="2"/>
  <c r="A333" i="16" s="1"/>
  <c r="T334" i="2"/>
  <c r="A334" i="16" s="1"/>
  <c r="T335" i="2"/>
  <c r="A335" i="16" s="1"/>
  <c r="T336" i="2"/>
  <c r="A336" i="16" s="1"/>
  <c r="T337" i="2"/>
  <c r="A337" i="16" s="1"/>
  <c r="T339" i="2"/>
  <c r="A339" i="16" s="1"/>
  <c r="T340" i="2"/>
  <c r="A340" i="16" s="1"/>
  <c r="T343" i="2"/>
  <c r="A343" i="16" s="1"/>
  <c r="T344" i="2"/>
  <c r="A344" i="16" s="1"/>
  <c r="T345" i="2"/>
  <c r="A345" i="16" s="1"/>
  <c r="T346" i="2"/>
  <c r="A346" i="16" s="1"/>
  <c r="T347" i="2"/>
  <c r="A347" i="16" s="1"/>
  <c r="T348" i="2"/>
  <c r="A348" i="16" s="1"/>
  <c r="T349" i="2"/>
  <c r="T351" i="2"/>
  <c r="A351" i="16" s="1"/>
  <c r="T352" i="2"/>
  <c r="T354" i="2"/>
  <c r="A354" i="16" s="1"/>
  <c r="T355" i="2"/>
  <c r="A355" i="16" s="1"/>
  <c r="T357" i="2"/>
  <c r="A357" i="16" s="1"/>
  <c r="T359" i="2"/>
  <c r="A359" i="16" s="1"/>
  <c r="T360" i="2"/>
  <c r="A360" i="16" s="1"/>
  <c r="T361" i="2"/>
  <c r="A361" i="16" s="1"/>
  <c r="T362" i="2"/>
  <c r="A362" i="16" s="1"/>
  <c r="T363" i="2"/>
  <c r="A363" i="16" s="1"/>
  <c r="T364" i="2"/>
  <c r="T366" i="2"/>
  <c r="A366" i="16" s="1"/>
  <c r="T367" i="2"/>
  <c r="T370" i="2"/>
  <c r="A370" i="16" s="1"/>
  <c r="T371" i="2"/>
  <c r="A371" i="16" s="1"/>
  <c r="T372" i="2"/>
  <c r="A372" i="16" s="1"/>
  <c r="T373" i="2"/>
  <c r="A373" i="16" s="1"/>
  <c r="T374" i="2"/>
  <c r="A374" i="16" s="1"/>
  <c r="T375" i="2"/>
  <c r="A375" i="16" s="1"/>
  <c r="T376" i="2"/>
  <c r="A376" i="16" s="1"/>
  <c r="T377" i="2"/>
  <c r="A377" i="16" s="1"/>
  <c r="T378" i="2"/>
  <c r="A378" i="16" s="1"/>
  <c r="T379" i="2"/>
  <c r="A379" i="16" s="1"/>
  <c r="T381" i="2"/>
  <c r="A381" i="16" s="1"/>
  <c r="T382" i="2"/>
  <c r="A382" i="16" s="1"/>
  <c r="T383" i="2"/>
  <c r="A383" i="16" s="1"/>
  <c r="T384" i="2"/>
  <c r="A384" i="16" s="1"/>
  <c r="T386" i="2"/>
  <c r="A386" i="16" s="1"/>
  <c r="T387" i="2"/>
  <c r="A387" i="16" s="1"/>
  <c r="T388" i="2"/>
  <c r="A388" i="16" s="1"/>
  <c r="T389" i="2"/>
  <c r="T391" i="2"/>
  <c r="A391" i="16" s="1"/>
  <c r="T392" i="2"/>
  <c r="A392" i="16" s="1"/>
  <c r="T395" i="2"/>
  <c r="A395" i="16" s="1"/>
  <c r="T396" i="2"/>
  <c r="A396" i="16" s="1"/>
  <c r="T397" i="2"/>
  <c r="T399" i="2"/>
  <c r="A399" i="16" s="1"/>
  <c r="T403" i="2"/>
  <c r="A403" i="16" s="1"/>
  <c r="T404" i="2"/>
  <c r="A404" i="16" s="1"/>
  <c r="T405" i="2"/>
  <c r="T408" i="2"/>
  <c r="A408" i="16" s="1"/>
  <c r="T409" i="2"/>
  <c r="A409" i="16" s="1"/>
  <c r="T410" i="2"/>
  <c r="A410" i="16" s="1"/>
  <c r="T411" i="2"/>
  <c r="A411" i="16" s="1"/>
  <c r="T412" i="2"/>
  <c r="A412" i="16" s="1"/>
  <c r="T415" i="2"/>
  <c r="A415" i="16" s="1"/>
  <c r="T416" i="2"/>
  <c r="A416" i="16" s="1"/>
  <c r="T417" i="2"/>
  <c r="A417" i="16" s="1"/>
  <c r="T418" i="2"/>
  <c r="A418" i="16" s="1"/>
  <c r="T419" i="2"/>
  <c r="A419" i="16" s="1"/>
  <c r="T420" i="2"/>
  <c r="A420" i="16" s="1"/>
  <c r="T421" i="2"/>
  <c r="A421" i="16" s="1"/>
  <c r="T422" i="2"/>
  <c r="A422" i="16" s="1"/>
  <c r="T423" i="2"/>
  <c r="A423" i="16" s="1"/>
  <c r="T424" i="2"/>
  <c r="A424" i="16" s="1"/>
  <c r="T425" i="2"/>
  <c r="A425" i="16" s="1"/>
  <c r="T426" i="2"/>
  <c r="A426" i="16" s="1"/>
  <c r="T428" i="2"/>
  <c r="A428" i="16" s="1"/>
  <c r="T429" i="2"/>
  <c r="A429" i="16" s="1"/>
  <c r="T430" i="2"/>
  <c r="A430" i="16" s="1"/>
  <c r="T431" i="2"/>
  <c r="A431" i="16" s="1"/>
  <c r="T432" i="2"/>
  <c r="T434" i="2"/>
  <c r="A434" i="16" s="1"/>
  <c r="T435" i="2"/>
  <c r="A435" i="16" s="1"/>
  <c r="T436" i="2"/>
  <c r="T438" i="2"/>
  <c r="A438" i="16" s="1"/>
  <c r="T439" i="2"/>
  <c r="A439" i="16" s="1"/>
  <c r="T440" i="2"/>
  <c r="A440" i="16" s="1"/>
  <c r="T441" i="2"/>
  <c r="A441" i="16" s="1"/>
  <c r="T442" i="2"/>
  <c r="A442" i="16" s="1"/>
  <c r="T443" i="2"/>
  <c r="A443" i="16" s="1"/>
  <c r="T444" i="2"/>
  <c r="A444" i="16" s="1"/>
  <c r="T445" i="2"/>
  <c r="T447" i="2"/>
  <c r="A447" i="16" s="1"/>
  <c r="T448" i="2"/>
  <c r="A448" i="16" s="1"/>
  <c r="T449" i="2"/>
  <c r="T451" i="2"/>
  <c r="A451" i="16" s="1"/>
  <c r="T452" i="2"/>
  <c r="A452" i="16" s="1"/>
  <c r="T453" i="2"/>
  <c r="T455" i="2"/>
  <c r="A455" i="16" s="1"/>
  <c r="T456" i="2"/>
  <c r="A456" i="16" s="1"/>
  <c r="T457" i="2"/>
  <c r="A457" i="16" s="1"/>
  <c r="T458" i="2"/>
  <c r="T460" i="2"/>
  <c r="A460" i="16" s="1"/>
  <c r="T461" i="2"/>
  <c r="A461" i="16" s="1"/>
  <c r="T462" i="2"/>
  <c r="A462" i="16" s="1"/>
  <c r="T463" i="2"/>
  <c r="A463" i="16" s="1"/>
  <c r="T464" i="2"/>
  <c r="A464" i="16" s="1"/>
  <c r="T465" i="2"/>
  <c r="A465" i="16" s="1"/>
  <c r="T466" i="2"/>
  <c r="A466" i="16" s="1"/>
  <c r="T467" i="2"/>
  <c r="A467" i="16" s="1"/>
  <c r="T468" i="2"/>
  <c r="A468" i="16" s="1"/>
  <c r="T470" i="2"/>
  <c r="A470" i="16" s="1"/>
  <c r="T472" i="2"/>
  <c r="A472" i="16" s="1"/>
  <c r="T473" i="2"/>
  <c r="T475" i="2"/>
  <c r="A475" i="16" s="1"/>
  <c r="T476" i="2"/>
  <c r="T478" i="2"/>
  <c r="T481" i="2"/>
  <c r="T483" i="2"/>
  <c r="T485" i="2"/>
  <c r="T487" i="2"/>
  <c r="A487" i="16" s="1"/>
  <c r="T488" i="2"/>
  <c r="A488" i="16" s="1"/>
  <c r="T489" i="2"/>
  <c r="A489" i="16" s="1"/>
  <c r="T490" i="2"/>
  <c r="A490" i="16" s="1"/>
  <c r="T491" i="2"/>
  <c r="A491" i="16" s="1"/>
  <c r="T492" i="2"/>
  <c r="A492" i="16" s="1"/>
  <c r="T493" i="2"/>
  <c r="A493" i="16" s="1"/>
  <c r="T494" i="2"/>
  <c r="A494" i="16" s="1"/>
  <c r="T495" i="2"/>
  <c r="A495" i="16" s="1"/>
  <c r="T496" i="2"/>
  <c r="A496" i="16" s="1"/>
  <c r="T497" i="2"/>
  <c r="A497" i="16" s="1"/>
  <c r="T501" i="2"/>
  <c r="A501" i="16" s="1"/>
  <c r="T502" i="2"/>
  <c r="A502" i="16" s="1"/>
  <c r="T503" i="2"/>
  <c r="A503" i="16" s="1"/>
  <c r="T504" i="2"/>
  <c r="A504" i="16" s="1"/>
  <c r="T505" i="2"/>
  <c r="A505" i="16" s="1"/>
  <c r="T506" i="2"/>
  <c r="A506" i="16" s="1"/>
  <c r="T508" i="2"/>
  <c r="A508" i="16" s="1"/>
  <c r="T509" i="2"/>
  <c r="T511" i="2"/>
  <c r="A511" i="16" s="1"/>
  <c r="T512" i="2"/>
  <c r="T514" i="2"/>
  <c r="A514" i="16" s="1"/>
  <c r="T515" i="2"/>
  <c r="A515" i="16" s="1"/>
  <c r="T516" i="2"/>
  <c r="T519" i="2"/>
  <c r="A519" i="16" s="1"/>
  <c r="T520" i="2"/>
  <c r="A520" i="16" s="1"/>
  <c r="T522" i="2"/>
  <c r="T524" i="2"/>
  <c r="A524" i="16" s="1"/>
  <c r="T525" i="2"/>
  <c r="T527" i="2"/>
  <c r="A527" i="16" s="1"/>
  <c r="T528" i="2"/>
  <c r="A528" i="16" s="1"/>
  <c r="T529" i="2"/>
  <c r="T531" i="2"/>
  <c r="A531" i="16" s="1"/>
  <c r="T532" i="2"/>
  <c r="T536" i="2"/>
  <c r="A536" i="16" s="1"/>
  <c r="T537" i="2"/>
  <c r="A537" i="16" s="1"/>
  <c r="T538" i="2"/>
  <c r="A538" i="16" s="1"/>
  <c r="T539" i="2"/>
  <c r="A539" i="16" s="1"/>
  <c r="T540" i="2"/>
  <c r="T546" i="2"/>
  <c r="A546" i="16" s="1"/>
  <c r="T547" i="2"/>
  <c r="A547" i="16" s="1"/>
  <c r="T548" i="2"/>
  <c r="T550" i="2"/>
  <c r="A550" i="16" s="1"/>
  <c r="T551" i="2"/>
  <c r="A551" i="16" s="1"/>
  <c r="T552" i="2"/>
  <c r="T554" i="2"/>
  <c r="T556" i="2"/>
  <c r="A556" i="16" s="1"/>
  <c r="T557" i="2"/>
  <c r="T559" i="2"/>
  <c r="A559" i="16" s="1"/>
  <c r="T560" i="2"/>
  <c r="A560" i="16" s="1"/>
  <c r="T561" i="2"/>
  <c r="A561" i="16" s="1"/>
  <c r="T562" i="2"/>
  <c r="A562" i="16" s="1"/>
  <c r="T563" i="2"/>
  <c r="T566" i="2"/>
  <c r="A566" i="16" s="1"/>
  <c r="T568" i="2"/>
  <c r="A568" i="16" s="1"/>
  <c r="T571" i="2"/>
  <c r="A571" i="16" s="1"/>
  <c r="T572" i="2"/>
  <c r="T574" i="2"/>
  <c r="A574" i="16" s="1"/>
  <c r="T575" i="2"/>
  <c r="A575" i="16" s="1"/>
  <c r="T576" i="2"/>
  <c r="A576" i="16" s="1"/>
  <c r="T577" i="2"/>
  <c r="A577" i="16" s="1"/>
  <c r="T578" i="2"/>
  <c r="T584" i="2"/>
  <c r="A584" i="16" s="1"/>
  <c r="T585" i="2"/>
  <c r="A585" i="16" s="1"/>
  <c r="T586" i="2"/>
  <c r="A586" i="16" s="1"/>
  <c r="T587" i="2"/>
  <c r="A587" i="16" s="1"/>
  <c r="T588" i="2"/>
  <c r="A588" i="16" s="1"/>
  <c r="T589" i="2"/>
  <c r="A589" i="16" s="1"/>
  <c r="T590" i="2"/>
  <c r="T592" i="2"/>
  <c r="A592" i="16" s="1"/>
  <c r="T593" i="2"/>
  <c r="T595" i="2"/>
  <c r="A595" i="16" s="1"/>
  <c r="T596" i="2"/>
  <c r="A596" i="16" s="1"/>
  <c r="T598" i="2"/>
  <c r="A598" i="16" s="1"/>
  <c r="T600" i="2"/>
  <c r="A600" i="16" s="1"/>
  <c r="T604" i="2"/>
  <c r="A604" i="16" s="1"/>
  <c r="T605" i="2"/>
  <c r="A605" i="16" s="1"/>
  <c r="T606" i="2"/>
  <c r="A606" i="16" s="1"/>
  <c r="T608" i="2"/>
  <c r="A608" i="16" s="1"/>
  <c r="T610" i="2"/>
  <c r="A610" i="16" s="1"/>
  <c r="T611" i="2"/>
  <c r="T614" i="2"/>
  <c r="T617" i="2"/>
  <c r="A617" i="16" s="1"/>
  <c r="T622" i="2"/>
  <c r="A622" i="16" s="1"/>
  <c r="T623" i="2"/>
  <c r="A623" i="16" s="1"/>
  <c r="T627" i="2"/>
  <c r="A627" i="16" s="1"/>
  <c r="T628" i="2"/>
  <c r="A628" i="16" s="1"/>
  <c r="T629" i="2"/>
  <c r="A629" i="16" s="1"/>
  <c r="T630" i="2"/>
  <c r="T632" i="2"/>
  <c r="A632" i="16" s="1"/>
  <c r="T633" i="2"/>
  <c r="A633" i="16" s="1"/>
  <c r="T634" i="2"/>
  <c r="A634" i="16" s="1"/>
  <c r="T635" i="2"/>
  <c r="T638" i="2"/>
  <c r="A638" i="16" s="1"/>
  <c r="T642" i="2"/>
  <c r="A642" i="16" s="1"/>
  <c r="T644" i="2"/>
  <c r="A644" i="16" s="1"/>
  <c r="T646" i="2"/>
  <c r="A646" i="16" s="1"/>
  <c r="T647" i="2"/>
  <c r="A647" i="16" s="1"/>
  <c r="T648" i="2"/>
  <c r="A648" i="16" s="1"/>
  <c r="T649" i="2"/>
  <c r="A649" i="16" s="1"/>
  <c r="T654" i="2"/>
  <c r="A654" i="16" s="1"/>
  <c r="T655" i="2"/>
  <c r="A655" i="16" s="1"/>
  <c r="T656" i="2"/>
  <c r="A656" i="16" s="1"/>
  <c r="T657" i="2"/>
  <c r="A657" i="16" s="1"/>
  <c r="T658" i="2"/>
  <c r="A658" i="16" s="1"/>
  <c r="T659" i="2"/>
  <c r="A659" i="16" s="1"/>
  <c r="T661" i="2"/>
  <c r="A661" i="16" s="1"/>
  <c r="T663" i="2"/>
  <c r="A663" i="16" s="1"/>
  <c r="T668" i="2"/>
  <c r="A668" i="16" s="1"/>
  <c r="T669" i="2"/>
  <c r="A669" i="16" s="1"/>
  <c r="T670" i="2"/>
  <c r="A670" i="16" s="1"/>
  <c r="T671" i="2"/>
  <c r="T677" i="2"/>
  <c r="A677" i="16" s="1"/>
  <c r="T679" i="2"/>
  <c r="A679" i="16" s="1"/>
  <c r="T681" i="2"/>
  <c r="A681" i="16" s="1"/>
  <c r="T683" i="2"/>
  <c r="A683" i="16" s="1"/>
  <c r="T685" i="2"/>
  <c r="A685" i="16" s="1"/>
  <c r="T686" i="2"/>
  <c r="A686" i="16" s="1"/>
  <c r="T687" i="2"/>
  <c r="A687" i="16" s="1"/>
  <c r="T688" i="2"/>
  <c r="T690" i="2"/>
  <c r="A690" i="16" s="1"/>
  <c r="T691" i="2"/>
  <c r="A691" i="16" s="1"/>
  <c r="T692" i="2"/>
  <c r="A692" i="16" s="1"/>
  <c r="T693" i="2"/>
  <c r="A693" i="16" s="1"/>
  <c r="T694" i="2"/>
  <c r="A694" i="16" s="1"/>
  <c r="T695" i="2"/>
  <c r="A695" i="16" s="1"/>
  <c r="T696" i="2"/>
  <c r="A696" i="16" s="1"/>
  <c r="T697" i="2"/>
  <c r="A697" i="16" s="1"/>
  <c r="T698" i="2"/>
  <c r="A698" i="16" s="1"/>
  <c r="T704" i="2"/>
  <c r="A704" i="16" s="1"/>
  <c r="T705" i="2"/>
  <c r="A705" i="16" s="1"/>
  <c r="T706" i="2"/>
  <c r="A706" i="16" s="1"/>
  <c r="T708" i="2"/>
  <c r="A708" i="16" s="1"/>
  <c r="T709" i="2"/>
  <c r="A709" i="16" s="1"/>
  <c r="T711" i="2"/>
  <c r="T713" i="2"/>
  <c r="A713" i="16" s="1"/>
  <c r="T714" i="2"/>
  <c r="A714" i="16" s="1"/>
  <c r="T715" i="2"/>
  <c r="A715" i="16" s="1"/>
  <c r="T716" i="2"/>
  <c r="A716" i="16" s="1"/>
  <c r="T717" i="2"/>
  <c r="A717" i="16" s="1"/>
  <c r="T719" i="2"/>
  <c r="A719" i="16" s="1"/>
  <c r="T721" i="2"/>
  <c r="A721" i="16" s="1"/>
  <c r="T722" i="2"/>
  <c r="A722" i="16" s="1"/>
  <c r="T726" i="2"/>
  <c r="A726" i="16" s="1"/>
  <c r="T727" i="2"/>
  <c r="A727" i="16" s="1"/>
  <c r="T728" i="2"/>
  <c r="A728" i="16" s="1"/>
  <c r="T730" i="2"/>
  <c r="A730" i="16" s="1"/>
  <c r="T731" i="2"/>
  <c r="A731" i="16" s="1"/>
  <c r="T732" i="2"/>
  <c r="A732" i="16" s="1"/>
  <c r="T734" i="2"/>
  <c r="T736" i="2"/>
  <c r="A736" i="16" s="1"/>
  <c r="T737" i="2"/>
  <c r="A737" i="16" s="1"/>
  <c r="T745" i="2"/>
  <c r="A745" i="16" s="1"/>
  <c r="T746" i="2"/>
  <c r="A746" i="16" s="1"/>
  <c r="T747" i="2"/>
  <c r="A747" i="16" s="1"/>
  <c r="T748" i="2"/>
  <c r="A748" i="16" s="1"/>
  <c r="T749" i="2"/>
  <c r="T751" i="2"/>
  <c r="A751" i="16" s="1"/>
  <c r="T752" i="2"/>
  <c r="A752" i="16" s="1"/>
  <c r="T753" i="2"/>
  <c r="A753" i="16" s="1"/>
  <c r="T754" i="2"/>
  <c r="A754" i="16" s="1"/>
  <c r="T755" i="2"/>
  <c r="A755" i="16" s="1"/>
  <c r="T757" i="2"/>
  <c r="A757" i="16" s="1"/>
  <c r="T758" i="2"/>
  <c r="A758" i="16" s="1"/>
  <c r="T760" i="2"/>
  <c r="T762" i="2"/>
  <c r="A762" i="16" s="1"/>
  <c r="T764" i="2"/>
  <c r="A764" i="16" s="1"/>
  <c r="T768" i="2"/>
  <c r="T770" i="2"/>
  <c r="A770" i="16" s="1"/>
  <c r="T771" i="2"/>
  <c r="A771" i="16" s="1"/>
  <c r="T772" i="2"/>
  <c r="A772" i="16" s="1"/>
  <c r="T773" i="2"/>
  <c r="A773" i="16" s="1"/>
  <c r="T774" i="2"/>
  <c r="A774" i="16" s="1"/>
  <c r="T775" i="2"/>
  <c r="A775" i="16" s="1"/>
  <c r="T776" i="2"/>
  <c r="T778" i="2"/>
  <c r="A778" i="16" s="1"/>
  <c r="T779" i="2"/>
  <c r="A779" i="16" s="1"/>
  <c r="T780" i="2"/>
  <c r="A780" i="16" s="1"/>
  <c r="T781" i="2"/>
  <c r="A781" i="16" s="1"/>
  <c r="T782" i="2"/>
  <c r="A782" i="16" s="1"/>
  <c r="T783" i="2"/>
  <c r="A783" i="16" s="1"/>
  <c r="T784" i="2"/>
  <c r="A784" i="16" s="1"/>
  <c r="T785" i="2"/>
  <c r="A785" i="16" s="1"/>
  <c r="T786" i="2"/>
  <c r="A786" i="16" s="1"/>
  <c r="T787" i="2"/>
  <c r="A787" i="16" s="1"/>
  <c r="T788" i="2"/>
  <c r="A788" i="16" s="1"/>
  <c r="T789" i="2"/>
  <c r="A789" i="16" s="1"/>
  <c r="T793" i="2"/>
  <c r="A793" i="16" s="1"/>
  <c r="T794" i="2"/>
  <c r="A794" i="16" s="1"/>
  <c r="T795" i="2"/>
  <c r="A795" i="16" s="1"/>
  <c r="T797" i="2"/>
  <c r="A797" i="16" s="1"/>
  <c r="T798" i="2"/>
  <c r="T800" i="2"/>
  <c r="A800" i="16" s="1"/>
  <c r="T801" i="2"/>
  <c r="A801" i="16" s="1"/>
  <c r="T802" i="2"/>
  <c r="A802" i="16" s="1"/>
  <c r="T803" i="2"/>
  <c r="A803" i="16" s="1"/>
  <c r="T805" i="2"/>
  <c r="A805" i="16" s="1"/>
  <c r="T806" i="2"/>
  <c r="A806" i="16" s="1"/>
  <c r="T808" i="2"/>
  <c r="A808" i="16" s="1"/>
  <c r="T809" i="2"/>
  <c r="A809" i="16" s="1"/>
  <c r="T810" i="2"/>
  <c r="A810" i="16" s="1"/>
  <c r="T811" i="2"/>
  <c r="A811" i="16" s="1"/>
  <c r="T812" i="2"/>
  <c r="A812" i="16" s="1"/>
  <c r="T813" i="2"/>
  <c r="T816" i="2"/>
  <c r="A816" i="16" s="1"/>
  <c r="T823" i="2"/>
  <c r="A823" i="16" s="1"/>
  <c r="T824" i="2"/>
  <c r="A824" i="16" s="1"/>
  <c r="T825" i="2"/>
  <c r="A825" i="16" s="1"/>
  <c r="T826" i="2"/>
  <c r="A826" i="16" s="1"/>
  <c r="T827" i="2"/>
  <c r="A827" i="16" s="1"/>
  <c r="T829" i="2"/>
  <c r="A829" i="16" s="1"/>
  <c r="T830" i="2"/>
  <c r="A830" i="16" s="1"/>
  <c r="T832" i="2"/>
  <c r="A832" i="16" s="1"/>
  <c r="T833" i="2"/>
  <c r="A833" i="16" s="1"/>
  <c r="T834" i="2"/>
  <c r="A834" i="16" s="1"/>
  <c r="T835" i="2"/>
  <c r="A835" i="16" s="1"/>
  <c r="T836" i="2"/>
  <c r="A836" i="16" s="1"/>
  <c r="T837" i="2"/>
  <c r="A837" i="16" s="1"/>
  <c r="T838" i="2"/>
  <c r="T840" i="2"/>
  <c r="A840" i="16" s="1"/>
  <c r="T841" i="2"/>
  <c r="A841" i="16" s="1"/>
  <c r="T842" i="2"/>
  <c r="T846" i="2"/>
  <c r="A846" i="16" s="1"/>
  <c r="T847" i="2"/>
  <c r="A847" i="16" s="1"/>
  <c r="T848" i="2"/>
  <c r="A848" i="16" s="1"/>
  <c r="T850" i="2"/>
  <c r="A850" i="16" s="1"/>
  <c r="T851" i="2"/>
  <c r="A851" i="16" s="1"/>
  <c r="T852" i="2"/>
  <c r="T856" i="2"/>
  <c r="A856" i="16" s="1"/>
  <c r="T857" i="2"/>
  <c r="A857" i="16" s="1"/>
  <c r="T858" i="2"/>
  <c r="A858" i="16" s="1"/>
  <c r="T859" i="2"/>
  <c r="A859" i="16" s="1"/>
  <c r="T860" i="2"/>
  <c r="T864" i="2"/>
  <c r="T869" i="2"/>
  <c r="A869" i="16" s="1"/>
  <c r="T870" i="2"/>
  <c r="T872" i="2"/>
  <c r="A872" i="16" s="1"/>
  <c r="T873" i="2"/>
  <c r="A873" i="16" s="1"/>
  <c r="T874" i="2"/>
  <c r="T876" i="2"/>
  <c r="A876" i="16" s="1"/>
  <c r="T877" i="2"/>
  <c r="A877" i="16" s="1"/>
  <c r="T878" i="2"/>
  <c r="A878" i="16" s="1"/>
  <c r="T879" i="2"/>
  <c r="A879" i="16" s="1"/>
  <c r="T880" i="2"/>
  <c r="A880" i="16" s="1"/>
  <c r="T881" i="2"/>
  <c r="A881" i="16" s="1"/>
  <c r="T882" i="2"/>
  <c r="A882" i="16" s="1"/>
  <c r="T883" i="2"/>
  <c r="A883" i="16" s="1"/>
  <c r="T884" i="2"/>
  <c r="A884" i="16" s="1"/>
  <c r="T886" i="2"/>
  <c r="T888" i="2"/>
  <c r="A888" i="16" s="1"/>
  <c r="T889" i="2"/>
  <c r="A889" i="16" s="1"/>
  <c r="T890" i="2"/>
  <c r="A890" i="16" s="1"/>
  <c r="T891" i="2"/>
  <c r="T893" i="2"/>
  <c r="A893" i="16" s="1"/>
  <c r="T894" i="2"/>
  <c r="A894" i="16" s="1"/>
  <c r="T896" i="2"/>
  <c r="A896" i="16" s="1"/>
  <c r="T899" i="2"/>
  <c r="A899" i="16" s="1"/>
  <c r="T900" i="2"/>
  <c r="A900" i="16" s="1"/>
  <c r="T905" i="2"/>
  <c r="T909" i="2"/>
  <c r="A909" i="16" s="1"/>
  <c r="T911" i="2"/>
  <c r="A911" i="16" s="1"/>
  <c r="T912" i="2"/>
  <c r="A912" i="16" s="1"/>
  <c r="T913" i="2"/>
  <c r="A913" i="16" s="1"/>
  <c r="T914" i="2"/>
  <c r="A914" i="16" s="1"/>
  <c r="T915" i="2"/>
  <c r="T917" i="2"/>
  <c r="A917" i="16" s="1"/>
  <c r="T918" i="2"/>
  <c r="A918" i="16" s="1"/>
  <c r="T919" i="2"/>
  <c r="T921" i="2"/>
  <c r="A921" i="16" s="1"/>
  <c r="T923" i="2"/>
  <c r="A923" i="16" s="1"/>
  <c r="T924" i="2"/>
  <c r="A924" i="16" s="1"/>
  <c r="T925" i="2"/>
  <c r="A925" i="16" s="1"/>
  <c r="T926" i="2"/>
  <c r="A926" i="16" s="1"/>
  <c r="T927" i="2"/>
  <c r="A927" i="16" s="1"/>
  <c r="T928" i="2"/>
  <c r="A928" i="16" s="1"/>
  <c r="T929" i="2"/>
  <c r="T932" i="2"/>
  <c r="A932" i="16" s="1"/>
  <c r="T933" i="2"/>
  <c r="A933" i="16" s="1"/>
  <c r="T934" i="2"/>
  <c r="A934" i="16" s="1"/>
  <c r="T935" i="2"/>
  <c r="A935" i="16" s="1"/>
  <c r="T938" i="2"/>
  <c r="A938" i="16" s="1"/>
  <c r="T939" i="2"/>
  <c r="A939" i="16" s="1"/>
  <c r="T940" i="2"/>
  <c r="A940" i="16" s="1"/>
  <c r="T941" i="2"/>
  <c r="T944" i="2"/>
  <c r="A944" i="16" s="1"/>
  <c r="T945" i="2"/>
  <c r="A945" i="16" s="1"/>
  <c r="T946" i="2"/>
  <c r="T948" i="2"/>
  <c r="A948" i="16" s="1"/>
  <c r="T949" i="2"/>
  <c r="A949" i="16" s="1"/>
  <c r="T950" i="2"/>
  <c r="A950" i="16" s="1"/>
  <c r="T951" i="2"/>
  <c r="A951" i="16" s="1"/>
  <c r="T952" i="2"/>
  <c r="A952" i="16" s="1"/>
  <c r="T953" i="2"/>
  <c r="A953" i="16" s="1"/>
  <c r="T954" i="2"/>
  <c r="A954" i="16" s="1"/>
  <c r="T955" i="2"/>
  <c r="T957" i="2"/>
  <c r="A957" i="16" s="1"/>
  <c r="T958" i="2"/>
  <c r="T960" i="2"/>
  <c r="A960" i="16" s="1"/>
  <c r="T961" i="2"/>
  <c r="A961" i="16" s="1"/>
  <c r="T962" i="2"/>
  <c r="A962" i="16" s="1"/>
  <c r="T966" i="2"/>
  <c r="T968" i="2"/>
  <c r="A968" i="16" s="1"/>
  <c r="T969" i="2"/>
  <c r="T974" i="2"/>
  <c r="A974" i="16" s="1"/>
  <c r="T976" i="2"/>
  <c r="A976" i="16" s="1"/>
  <c r="T977" i="2"/>
  <c r="T979" i="2"/>
  <c r="A979" i="16" s="1"/>
  <c r="T980" i="2"/>
  <c r="T985" i="2"/>
  <c r="T987" i="2"/>
  <c r="A987" i="16" s="1"/>
  <c r="T988" i="2"/>
  <c r="A988" i="16" s="1"/>
  <c r="T989" i="2"/>
  <c r="A989" i="16" s="1"/>
  <c r="T990" i="2"/>
  <c r="A990" i="16" s="1"/>
  <c r="T991" i="2"/>
  <c r="A991" i="16" s="1"/>
  <c r="T992" i="2"/>
  <c r="A992" i="16" s="1"/>
  <c r="T994" i="2"/>
  <c r="A994" i="16" s="1"/>
  <c r="T995" i="2"/>
  <c r="A995" i="16" s="1"/>
  <c r="T996" i="2"/>
  <c r="A996" i="16" s="1"/>
  <c r="T997" i="2"/>
  <c r="A997" i="16" s="1"/>
  <c r="T998" i="2"/>
  <c r="A998" i="16" s="1"/>
  <c r="T999" i="2"/>
  <c r="A999" i="16" s="1"/>
  <c r="T1000" i="2"/>
  <c r="A1000" i="16" s="1"/>
  <c r="T1001" i="2"/>
  <c r="A1001" i="16" s="1"/>
  <c r="T1004" i="2"/>
  <c r="A1004" i="16" s="1"/>
  <c r="T1006" i="2"/>
  <c r="A1006" i="16" s="1"/>
  <c r="T1007" i="2"/>
  <c r="A1007" i="16" s="1"/>
  <c r="T1008" i="2"/>
  <c r="A1008" i="16" s="1"/>
  <c r="T1009" i="2"/>
  <c r="A1009" i="16" s="1"/>
  <c r="T1010" i="2"/>
  <c r="T1013" i="2"/>
  <c r="A1013" i="16" s="1"/>
  <c r="T1014" i="2"/>
  <c r="A1014" i="16" s="1"/>
  <c r="T1016" i="2"/>
  <c r="A1016" i="16" s="1"/>
  <c r="T1018" i="2"/>
  <c r="A1018" i="16" s="1"/>
  <c r="T1019" i="2"/>
  <c r="A1019" i="16" s="1"/>
  <c r="T1020" i="2"/>
  <c r="A1020" i="16" s="1"/>
  <c r="T1021" i="2"/>
  <c r="A1021" i="16" s="1"/>
  <c r="T1022" i="2"/>
  <c r="A1022" i="16" s="1"/>
  <c r="T1023" i="2"/>
  <c r="T1025" i="2"/>
  <c r="T1027" i="2"/>
  <c r="A1027" i="16" s="1"/>
  <c r="T1030" i="2"/>
  <c r="A1030" i="16" s="1"/>
  <c r="T1031" i="2"/>
  <c r="A1031" i="16" s="1"/>
  <c r="T1032" i="2"/>
  <c r="A1032" i="16" s="1"/>
  <c r="T1033" i="2"/>
  <c r="A1033" i="16" s="1"/>
  <c r="T1034" i="2"/>
  <c r="A1034" i="16" s="1"/>
  <c r="T1035" i="2"/>
  <c r="A1035" i="16" s="1"/>
  <c r="T1036" i="2"/>
  <c r="A1036" i="16" s="1"/>
  <c r="T1037" i="2"/>
  <c r="T1039" i="2"/>
  <c r="A1039" i="16" s="1"/>
  <c r="T1040" i="2"/>
  <c r="T1042" i="2"/>
  <c r="A1042" i="16" s="1"/>
  <c r="T1043" i="2"/>
  <c r="T1045" i="2"/>
  <c r="A1045" i="16" s="1"/>
  <c r="T1046" i="2"/>
  <c r="A1046" i="16" s="1"/>
  <c r="T1047" i="2"/>
  <c r="A1047" i="16" s="1"/>
  <c r="T1048" i="2"/>
  <c r="A1048" i="16" s="1"/>
  <c r="T1049" i="2"/>
  <c r="A1049" i="16" s="1"/>
  <c r="T1050" i="2"/>
  <c r="A1050" i="16" s="1"/>
  <c r="T1052" i="2"/>
  <c r="A1052" i="16" s="1"/>
  <c r="T1053" i="2"/>
  <c r="A1053" i="16" s="1"/>
  <c r="T1054" i="2"/>
  <c r="A1054" i="16" s="1"/>
  <c r="T1055" i="2"/>
  <c r="A1055" i="16" s="1"/>
  <c r="T1057" i="2"/>
  <c r="A1057" i="16" s="1"/>
  <c r="T1058" i="2"/>
  <c r="A1058" i="16" s="1"/>
  <c r="T1059" i="2"/>
  <c r="T1061" i="2"/>
  <c r="A1061" i="16" s="1"/>
  <c r="T1062" i="2"/>
  <c r="A1062" i="16" s="1"/>
  <c r="T1063" i="2"/>
  <c r="A1063" i="16" s="1"/>
  <c r="T1064" i="2"/>
  <c r="A1064" i="16" s="1"/>
  <c r="T1065" i="2"/>
  <c r="T1067" i="2"/>
  <c r="T1069" i="2"/>
  <c r="T1071" i="2"/>
  <c r="A1071" i="16" s="1"/>
  <c r="T1072" i="2"/>
  <c r="A1072" i="16" s="1"/>
  <c r="T1074" i="2"/>
  <c r="A1074" i="16" s="1"/>
  <c r="T1075" i="2"/>
  <c r="T1079" i="2"/>
  <c r="A1079" i="16" s="1"/>
  <c r="T1080" i="2"/>
  <c r="A1080" i="16" s="1"/>
  <c r="T1081" i="2"/>
  <c r="A1081" i="16" s="1"/>
  <c r="T1082" i="2"/>
  <c r="A1082" i="16" s="1"/>
  <c r="T1083" i="2"/>
  <c r="A1083" i="16" s="1"/>
  <c r="T1084" i="2"/>
  <c r="A1084" i="16" s="1"/>
  <c r="T1085" i="2"/>
  <c r="A1085" i="16" s="1"/>
  <c r="T1086" i="2"/>
  <c r="A1086" i="16" s="1"/>
  <c r="T1087" i="2"/>
  <c r="A1087" i="16" s="1"/>
  <c r="T1088" i="2"/>
  <c r="A1088" i="16" s="1"/>
  <c r="T1089" i="2"/>
  <c r="A1089" i="16" s="1"/>
  <c r="T1090" i="2"/>
  <c r="A1090" i="16" s="1"/>
  <c r="T1091" i="2"/>
  <c r="A1091" i="16" s="1"/>
  <c r="T1092" i="2"/>
  <c r="T1094" i="2"/>
  <c r="A1094" i="16" s="1"/>
  <c r="T1095" i="2"/>
  <c r="T1100" i="2"/>
  <c r="A1100" i="16" s="1"/>
  <c r="T1101" i="2"/>
  <c r="T1103" i="2"/>
  <c r="T1105" i="2"/>
  <c r="A1105" i="16" s="1"/>
  <c r="T1106" i="2"/>
  <c r="T1108" i="2"/>
  <c r="A1108" i="16" s="1"/>
  <c r="T1109" i="2"/>
  <c r="A1109" i="16" s="1"/>
  <c r="T1110" i="2"/>
  <c r="A1110" i="16" s="1"/>
  <c r="T1111" i="2"/>
  <c r="A1111" i="16" s="1"/>
  <c r="T1112" i="2"/>
  <c r="A1112" i="16" s="1"/>
  <c r="T1113" i="2"/>
  <c r="A1113" i="16" s="1"/>
  <c r="T1114" i="2"/>
  <c r="A1114" i="16" s="1"/>
  <c r="T1115" i="2"/>
  <c r="A1115" i="16" s="1"/>
  <c r="T1116" i="2"/>
  <c r="A1116" i="16" s="1"/>
  <c r="T1117" i="2"/>
  <c r="A1117" i="16" s="1"/>
  <c r="T1118" i="2"/>
  <c r="T1120" i="2"/>
  <c r="A1120" i="16" s="1"/>
  <c r="T1121" i="2"/>
  <c r="A1121" i="16" s="1"/>
  <c r="T1122" i="2"/>
  <c r="A1122" i="16" s="1"/>
  <c r="T1123" i="2"/>
  <c r="T1126" i="2"/>
  <c r="A1126" i="16" s="1"/>
  <c r="T1127" i="2"/>
  <c r="A1127" i="16" s="1"/>
  <c r="T1128" i="2"/>
  <c r="A1128" i="16" s="1"/>
  <c r="T1129" i="2"/>
  <c r="A1129" i="16" s="1"/>
  <c r="T1130" i="2"/>
  <c r="T1132" i="2"/>
  <c r="A1132" i="16" s="1"/>
  <c r="T1133" i="2"/>
  <c r="A1133" i="16" s="1"/>
  <c r="T1134" i="2"/>
  <c r="A1134" i="16" s="1"/>
  <c r="T1135" i="2"/>
  <c r="A1135" i="16" s="1"/>
  <c r="T1136" i="2"/>
  <c r="A1136" i="16" s="1"/>
  <c r="T1137" i="2"/>
  <c r="A1137" i="16" s="1"/>
  <c r="T1138" i="2"/>
  <c r="A1138" i="16" s="1"/>
  <c r="T1139" i="2"/>
  <c r="A1139" i="16" s="1"/>
  <c r="T1140" i="2"/>
  <c r="A1140" i="16" s="1"/>
  <c r="T1141" i="2"/>
  <c r="A1141" i="16" s="1"/>
  <c r="T1143" i="2"/>
  <c r="A1143" i="16" s="1"/>
  <c r="T1144" i="2"/>
  <c r="A1144" i="16" s="1"/>
  <c r="T1145" i="2"/>
  <c r="A1145" i="16" s="1"/>
  <c r="T1146" i="2"/>
  <c r="A1146" i="16" s="1"/>
  <c r="T1147" i="2"/>
  <c r="T1150" i="2"/>
  <c r="T1152" i="2"/>
  <c r="A1152" i="16" s="1"/>
  <c r="T1153" i="2"/>
  <c r="A1153" i="16" s="1"/>
  <c r="T1155" i="2"/>
  <c r="T1157" i="2"/>
  <c r="A1157" i="16" s="1"/>
  <c r="T1158" i="2"/>
  <c r="A1158" i="16" s="1"/>
  <c r="T1159" i="2"/>
  <c r="A1159" i="16" s="1"/>
  <c r="T1160" i="2"/>
  <c r="A1160" i="16" s="1"/>
  <c r="T1161" i="2"/>
  <c r="A1161" i="16" s="1"/>
  <c r="T1162" i="2"/>
  <c r="A1162" i="16" s="1"/>
  <c r="T1163" i="2"/>
  <c r="A1163" i="16" s="1"/>
  <c r="T1164" i="2"/>
  <c r="A1164" i="16" s="1"/>
  <c r="T1166" i="2"/>
  <c r="A1166" i="16" s="1"/>
  <c r="T1167" i="2"/>
  <c r="A1167" i="16" s="1"/>
  <c r="T1168" i="2"/>
  <c r="A1168" i="16" s="1"/>
  <c r="T1169" i="2"/>
  <c r="A1169" i="16" s="1"/>
  <c r="T1170" i="2"/>
  <c r="A1170" i="16" s="1"/>
  <c r="T1171" i="2"/>
  <c r="A1171" i="16" s="1"/>
  <c r="T1172" i="2"/>
  <c r="A1172" i="16" s="1"/>
  <c r="T1173" i="2"/>
  <c r="A1173" i="16" s="1"/>
  <c r="T1174" i="2"/>
  <c r="A1174" i="16" s="1"/>
  <c r="T1175" i="2"/>
  <c r="T1177" i="2"/>
  <c r="A1177" i="16" s="1"/>
  <c r="T1179" i="2"/>
  <c r="A1179" i="16" s="1"/>
  <c r="T1180" i="2"/>
  <c r="A1180" i="16" s="1"/>
  <c r="T1181" i="2"/>
  <c r="A1181" i="16" s="1"/>
  <c r="T1182" i="2"/>
  <c r="A1182" i="16" s="1"/>
  <c r="T1183" i="2"/>
  <c r="A1183" i="16" s="1"/>
  <c r="T1184" i="2"/>
  <c r="A1184" i="16" s="1"/>
  <c r="T1185" i="2"/>
  <c r="A1185" i="16" s="1"/>
  <c r="T1186" i="2"/>
  <c r="A1186" i="16" s="1"/>
  <c r="T1187" i="2"/>
  <c r="A1187" i="16" s="1"/>
  <c r="T1188" i="2"/>
  <c r="A1188" i="16" s="1"/>
  <c r="T1189" i="2"/>
  <c r="A1189" i="16" s="1"/>
  <c r="T1190" i="2"/>
  <c r="T1192" i="2"/>
  <c r="T1195" i="2"/>
  <c r="A1195" i="16" s="1"/>
  <c r="T1196" i="2"/>
  <c r="A1196" i="16" s="1"/>
  <c r="T1197" i="2"/>
  <c r="A1197" i="16" s="1"/>
  <c r="T1198" i="2"/>
  <c r="A1198" i="16" s="1"/>
  <c r="T1199" i="2"/>
  <c r="A1199" i="16" s="1"/>
  <c r="T1200" i="2"/>
  <c r="A1200" i="16" s="1"/>
  <c r="T1201" i="2"/>
  <c r="A1201" i="16" s="1"/>
  <c r="T1202" i="2"/>
  <c r="A1202" i="16" s="1"/>
  <c r="T1203" i="2"/>
  <c r="A1203" i="16" s="1"/>
  <c r="T1204" i="2"/>
  <c r="A1204" i="16" s="1"/>
  <c r="T1205" i="2"/>
  <c r="A1205" i="16" s="1"/>
  <c r="T1206" i="2"/>
  <c r="A1206" i="16" s="1"/>
  <c r="T1207" i="2"/>
  <c r="A1207" i="16" s="1"/>
  <c r="T1208" i="2"/>
  <c r="A1208" i="16" s="1"/>
  <c r="T1209" i="2"/>
  <c r="A1209" i="16" s="1"/>
  <c r="T1210" i="2"/>
  <c r="A1210" i="16" s="1"/>
  <c r="T1211" i="2"/>
  <c r="A1211" i="16" s="1"/>
  <c r="T49" i="2"/>
  <c r="A49" i="16" s="1"/>
  <c r="T50" i="2"/>
  <c r="A50" i="16" s="1"/>
  <c r="T3" i="2"/>
  <c r="A3" i="16" s="1"/>
  <c r="T4" i="2"/>
  <c r="A4" i="16" s="1"/>
  <c r="T5" i="2"/>
  <c r="A5" i="16" s="1"/>
  <c r="T6" i="2"/>
  <c r="A6" i="16" s="1"/>
  <c r="T7" i="2"/>
  <c r="A7" i="16" s="1"/>
  <c r="T8" i="2"/>
  <c r="A8" i="16" s="1"/>
  <c r="T9" i="2"/>
  <c r="A9" i="16" s="1"/>
  <c r="T10" i="2"/>
  <c r="A10" i="16" s="1"/>
  <c r="T11" i="2"/>
  <c r="A11" i="16" s="1"/>
  <c r="T12" i="2"/>
  <c r="A12" i="16" s="1"/>
  <c r="T13" i="2"/>
  <c r="A13" i="16" s="1"/>
  <c r="T14" i="2"/>
  <c r="A14" i="16" s="1"/>
  <c r="T15" i="2"/>
  <c r="A15" i="16" s="1"/>
  <c r="T16" i="2"/>
  <c r="A16" i="16" s="1"/>
  <c r="T17" i="2"/>
  <c r="A17" i="16" s="1"/>
  <c r="T18" i="2"/>
  <c r="A18" i="16" s="1"/>
  <c r="T19" i="2"/>
  <c r="A19" i="16" s="1"/>
  <c r="T20" i="2"/>
  <c r="A20" i="16" s="1"/>
  <c r="T21" i="2"/>
  <c r="A21" i="16" s="1"/>
  <c r="T24" i="2"/>
  <c r="A24" i="16" s="1"/>
  <c r="T25" i="2"/>
  <c r="A25" i="16" s="1"/>
  <c r="T26" i="2"/>
  <c r="A26" i="16" s="1"/>
  <c r="T27" i="2"/>
  <c r="A27" i="16" s="1"/>
  <c r="T28" i="2"/>
  <c r="A28" i="16" s="1"/>
  <c r="T29" i="2"/>
  <c r="A29" i="16" s="1"/>
  <c r="T30" i="2"/>
  <c r="A30" i="16" s="1"/>
  <c r="T32" i="2"/>
  <c r="A32" i="16" s="1"/>
  <c r="T33" i="2"/>
  <c r="A33" i="16" s="1"/>
  <c r="T35" i="2"/>
  <c r="A35" i="16" s="1"/>
  <c r="T36" i="2"/>
  <c r="A36" i="16" s="1"/>
  <c r="T37" i="2"/>
  <c r="A37" i="16" s="1"/>
  <c r="T38" i="2"/>
  <c r="A38" i="16" s="1"/>
  <c r="T39" i="2"/>
  <c r="A39" i="16" s="1"/>
  <c r="T40" i="2"/>
  <c r="A40" i="16" s="1"/>
  <c r="T41" i="2"/>
  <c r="A41" i="16" s="1"/>
  <c r="T42" i="2"/>
  <c r="A42" i="16" s="1"/>
  <c r="T43" i="2"/>
  <c r="A43" i="16" s="1"/>
  <c r="T44" i="2"/>
  <c r="A44" i="16" s="1"/>
  <c r="T45" i="2"/>
  <c r="A45" i="16" s="1"/>
  <c r="T46" i="2"/>
  <c r="A46" i="16" s="1"/>
  <c r="T47" i="2"/>
  <c r="T2" i="2"/>
  <c r="A2" i="16" s="1"/>
  <c r="T1178" i="2" l="1"/>
  <c r="A1178" i="16" s="1"/>
  <c r="T1165" i="2"/>
  <c r="A1165" i="16" s="1"/>
  <c r="T1056" i="2"/>
  <c r="A1056" i="16" s="1"/>
  <c r="T1028" i="2"/>
  <c r="T831" i="2"/>
  <c r="A831" i="16" s="1"/>
  <c r="T678" i="2"/>
  <c r="A678" i="16" s="1"/>
  <c r="T720" i="2"/>
  <c r="A720" i="16" s="1"/>
  <c r="T609" i="2"/>
  <c r="A609" i="16" s="1"/>
  <c r="T936" i="2"/>
  <c r="T901" i="2"/>
  <c r="A901" i="16" s="1"/>
  <c r="T662" i="2"/>
  <c r="A662" i="16" s="1"/>
  <c r="T645" i="2"/>
  <c r="A645" i="16" s="1"/>
  <c r="T1015" i="2"/>
  <c r="A1015" i="16" s="1"/>
  <c r="T569" i="2"/>
  <c r="T699" i="2"/>
  <c r="N397" i="5"/>
  <c r="T599" i="2"/>
  <c r="A599" i="16" s="1"/>
  <c r="T143" i="2"/>
  <c r="A143" i="16" s="1"/>
  <c r="T738" i="2"/>
  <c r="T209" i="2"/>
  <c r="A209" i="16" s="1"/>
  <c r="T222" i="2"/>
  <c r="A222" i="16" s="1"/>
  <c r="T710" i="2"/>
  <c r="A710" i="16" s="1"/>
  <c r="T1017" i="2"/>
  <c r="A1017" i="16" s="1"/>
  <c r="T922" i="2"/>
  <c r="A922" i="16" s="1"/>
  <c r="T230" i="2"/>
  <c r="A230" i="16" s="1"/>
  <c r="T258" i="2"/>
  <c r="A258" i="16" s="1"/>
  <c r="T137" i="2"/>
  <c r="A137" i="16" s="1"/>
  <c r="T680" i="2"/>
  <c r="A680" i="16" s="1"/>
  <c r="T498" i="2"/>
  <c r="T817" i="2"/>
  <c r="A817" i="16" s="1"/>
  <c r="T203" i="2"/>
  <c r="A203" i="16" s="1"/>
  <c r="T393" i="2"/>
  <c r="A393" i="16" s="1"/>
  <c r="T828" i="2"/>
  <c r="A828" i="16" s="1"/>
  <c r="T765" i="2"/>
  <c r="T1002" i="2"/>
  <c r="T601" i="2"/>
  <c r="T618" i="2"/>
  <c r="A618" i="16" s="1"/>
  <c r="T320" i="2"/>
  <c r="A320" i="16" s="1"/>
  <c r="T78" i="2"/>
  <c r="A78" i="16" s="1"/>
  <c r="T138" i="2"/>
  <c r="A138" i="16" s="1"/>
  <c r="T217" i="2"/>
  <c r="A217" i="16" s="1"/>
  <c r="T163" i="2"/>
  <c r="A163" i="16" s="1"/>
  <c r="T111" i="2"/>
  <c r="A111" i="16" s="1"/>
  <c r="T98" i="2"/>
  <c r="A98" i="16" s="1"/>
  <c r="T86" i="2"/>
  <c r="A86" i="16" s="1"/>
  <c r="S2661" i="14"/>
  <c r="S2523" i="14"/>
  <c r="S2415" i="14"/>
  <c r="S2307" i="14"/>
  <c r="S2199" i="14"/>
  <c r="S2091" i="14"/>
  <c r="S1983" i="14"/>
  <c r="S1875" i="14"/>
  <c r="S1767" i="14"/>
  <c r="S1659" i="14"/>
  <c r="S1551" i="14"/>
  <c r="S1443" i="14"/>
  <c r="S1335" i="14"/>
  <c r="S1113" i="14"/>
  <c r="S727" i="14"/>
  <c r="S318" i="14"/>
  <c r="S88" i="14"/>
  <c r="S2780" i="14"/>
  <c r="S2636" i="14"/>
  <c r="S2517" i="14"/>
  <c r="S2409" i="14"/>
  <c r="S2301" i="14"/>
  <c r="S2193" i="14"/>
  <c r="S2085" i="14"/>
  <c r="S1977" i="14"/>
  <c r="S1869" i="14"/>
  <c r="S1761" i="14"/>
  <c r="S1653" i="14"/>
  <c r="S1545" i="14"/>
  <c r="S1437" i="14"/>
  <c r="S1329" i="14"/>
  <c r="S1098" i="14"/>
  <c r="S703" i="14"/>
  <c r="S306" i="14"/>
  <c r="S64" i="14"/>
  <c r="S2775" i="14"/>
  <c r="S2631" i="14"/>
  <c r="S2504" i="14"/>
  <c r="S2396" i="14"/>
  <c r="S2288" i="14"/>
  <c r="S2180" i="14"/>
  <c r="S2072" i="14"/>
  <c r="S1964" i="14"/>
  <c r="S1856" i="14"/>
  <c r="S1748" i="14"/>
  <c r="S1640" i="14"/>
  <c r="S1532" i="14"/>
  <c r="S1424" i="14"/>
  <c r="S1316" i="14"/>
  <c r="S1060" i="14"/>
  <c r="S654" i="14"/>
  <c r="S295" i="14"/>
  <c r="S52" i="14"/>
  <c r="S2769" i="14"/>
  <c r="S2625" i="14"/>
  <c r="S2492" i="14"/>
  <c r="S2384" i="14"/>
  <c r="S2276" i="14"/>
  <c r="S2168" i="14"/>
  <c r="S2060" i="14"/>
  <c r="S1952" i="14"/>
  <c r="S1844" i="14"/>
  <c r="S1736" i="14"/>
  <c r="S1628" i="14"/>
  <c r="S1520" i="14"/>
  <c r="S1412" i="14"/>
  <c r="S1304" i="14"/>
  <c r="S1024" i="14"/>
  <c r="S606" i="14"/>
  <c r="S271" i="14"/>
  <c r="S16" i="14"/>
  <c r="S2744" i="14"/>
  <c r="S2600" i="14"/>
  <c r="S2487" i="14"/>
  <c r="S2379" i="14"/>
  <c r="S2271" i="14"/>
  <c r="S2163" i="14"/>
  <c r="S2055" i="14"/>
  <c r="S1947" i="14"/>
  <c r="S1839" i="14"/>
  <c r="S1731" i="14"/>
  <c r="S1623" i="14"/>
  <c r="S1515" i="14"/>
  <c r="S1407" i="14"/>
  <c r="S1299" i="14"/>
  <c r="S1005" i="14"/>
  <c r="S583" i="14"/>
  <c r="S270" i="14"/>
  <c r="S7" i="14"/>
  <c r="S2739" i="14"/>
  <c r="S2595" i="14"/>
  <c r="S2481" i="14"/>
  <c r="S2373" i="14"/>
  <c r="S2265" i="14"/>
  <c r="S2157" i="14"/>
  <c r="S2049" i="14"/>
  <c r="S1941" i="14"/>
  <c r="S1833" i="14"/>
  <c r="S1725" i="14"/>
  <c r="S1617" i="14"/>
  <c r="S1509" i="14"/>
  <c r="S1401" i="14"/>
  <c r="S1292" i="14"/>
  <c r="S990" i="14"/>
  <c r="S559" i="14"/>
  <c r="S258" i="14"/>
  <c r="S2733" i="14"/>
  <c r="S2589" i="14"/>
  <c r="S2468" i="14"/>
  <c r="S2360" i="14"/>
  <c r="S2252" i="14"/>
  <c r="S2144" i="14"/>
  <c r="S2036" i="14"/>
  <c r="S1928" i="14"/>
  <c r="S1820" i="14"/>
  <c r="S1712" i="14"/>
  <c r="S1604" i="14"/>
  <c r="S1496" i="14"/>
  <c r="S1388" i="14"/>
  <c r="S1264" i="14"/>
  <c r="S942" i="14"/>
  <c r="S510" i="14"/>
  <c r="S222" i="14"/>
  <c r="S2708" i="14"/>
  <c r="S2564" i="14"/>
  <c r="S2456" i="14"/>
  <c r="S2348" i="14"/>
  <c r="S2240" i="14"/>
  <c r="S2132" i="14"/>
  <c r="S2024" i="14"/>
  <c r="S1916" i="14"/>
  <c r="S1808" i="14"/>
  <c r="S1700" i="14"/>
  <c r="S1592" i="14"/>
  <c r="S1484" i="14"/>
  <c r="S1376" i="14"/>
  <c r="S1233" i="14"/>
  <c r="S894" i="14"/>
  <c r="S462" i="14"/>
  <c r="S196" i="14"/>
  <c r="S2703" i="14"/>
  <c r="S2559" i="14"/>
  <c r="S2451" i="14"/>
  <c r="S2343" i="14"/>
  <c r="S2235" i="14"/>
  <c r="S2127" i="14"/>
  <c r="S2019" i="14"/>
  <c r="S1911" i="14"/>
  <c r="S1803" i="14"/>
  <c r="S1695" i="14"/>
  <c r="S1587" i="14"/>
  <c r="S1479" i="14"/>
  <c r="S1371" i="14"/>
  <c r="S1221" i="14"/>
  <c r="S871" i="14"/>
  <c r="S439" i="14"/>
  <c r="S160" i="14"/>
  <c r="S2697" i="14"/>
  <c r="S2553" i="14"/>
  <c r="S2445" i="14"/>
  <c r="S2337" i="14"/>
  <c r="S2229" i="14"/>
  <c r="S2121" i="14"/>
  <c r="S2013" i="14"/>
  <c r="S1905" i="14"/>
  <c r="S1797" i="14"/>
  <c r="S1689" i="14"/>
  <c r="S1581" i="14"/>
  <c r="S1473" i="14"/>
  <c r="S1365" i="14"/>
  <c r="S1206" i="14"/>
  <c r="S847" i="14"/>
  <c r="S415" i="14"/>
  <c r="S151" i="14"/>
  <c r="S2672" i="14"/>
  <c r="S2540" i="14"/>
  <c r="S2432" i="14"/>
  <c r="S2324" i="14"/>
  <c r="S2216" i="14"/>
  <c r="S2108" i="14"/>
  <c r="S2000" i="14"/>
  <c r="S1892" i="14"/>
  <c r="S1784" i="14"/>
  <c r="S1676" i="14"/>
  <c r="S1568" i="14"/>
  <c r="S1460" i="14"/>
  <c r="S1352" i="14"/>
  <c r="S1168" i="14"/>
  <c r="S798" i="14"/>
  <c r="S366" i="14"/>
  <c r="S136" i="14"/>
  <c r="S2667" i="14"/>
  <c r="S2528" i="14"/>
  <c r="S2420" i="14"/>
  <c r="S2312" i="14"/>
  <c r="S2204" i="14"/>
  <c r="S2096" i="14"/>
  <c r="S1988" i="14"/>
  <c r="S1880" i="14"/>
  <c r="S1772" i="14"/>
  <c r="S1664" i="14"/>
  <c r="S1556" i="14"/>
  <c r="S1448" i="14"/>
  <c r="S1340" i="14"/>
  <c r="S1132" i="14"/>
  <c r="S750" i="14"/>
  <c r="S354" i="14"/>
  <c r="S124" i="14"/>
  <c r="M244" i="5"/>
  <c r="O244" i="5" s="1"/>
  <c r="N293" i="5"/>
  <c r="N281" i="5"/>
  <c r="N269" i="5"/>
  <c r="M209" i="5"/>
  <c r="N196" i="5"/>
  <c r="M113" i="5"/>
  <c r="N149" i="5"/>
  <c r="M112" i="5"/>
  <c r="O112" i="5" s="1"/>
  <c r="N148" i="5"/>
  <c r="O148" i="5" s="1"/>
  <c r="M101" i="5"/>
  <c r="N137" i="5"/>
  <c r="N125" i="5"/>
  <c r="M53" i="5"/>
  <c r="U769" i="14"/>
  <c r="S769" i="14"/>
  <c r="U757" i="14"/>
  <c r="S757" i="14"/>
  <c r="U745" i="14"/>
  <c r="S745" i="14"/>
  <c r="U733" i="14"/>
  <c r="S733" i="14"/>
  <c r="U721" i="14"/>
  <c r="S721" i="14"/>
  <c r="U709" i="14"/>
  <c r="S709" i="14"/>
  <c r="U697" i="14"/>
  <c r="S697" i="14"/>
  <c r="U685" i="14"/>
  <c r="S685" i="14"/>
  <c r="U673" i="14"/>
  <c r="S673" i="14"/>
  <c r="U649" i="14"/>
  <c r="S649" i="14"/>
  <c r="U637" i="14"/>
  <c r="S637" i="14"/>
  <c r="U613" i="14"/>
  <c r="S613" i="14"/>
  <c r="U565" i="14"/>
  <c r="S565" i="14"/>
  <c r="U553" i="14"/>
  <c r="S553" i="14"/>
  <c r="U541" i="14"/>
  <c r="S541" i="14"/>
  <c r="U529" i="14"/>
  <c r="S529" i="14"/>
  <c r="U517" i="14"/>
  <c r="S517" i="14"/>
  <c r="U505" i="14"/>
  <c r="S505" i="14"/>
  <c r="U493" i="14"/>
  <c r="S493" i="14"/>
  <c r="U481" i="14"/>
  <c r="S481" i="14"/>
  <c r="U469" i="14"/>
  <c r="S469" i="14"/>
  <c r="U457" i="14"/>
  <c r="S457" i="14"/>
  <c r="U445" i="14"/>
  <c r="S445" i="14"/>
  <c r="U433" i="14"/>
  <c r="S433" i="14"/>
  <c r="U421" i="14"/>
  <c r="S421" i="14"/>
  <c r="U409" i="14"/>
  <c r="S409" i="14"/>
  <c r="U397" i="14"/>
  <c r="S397" i="14"/>
  <c r="U385" i="14"/>
  <c r="S385" i="14"/>
  <c r="U373" i="14"/>
  <c r="S373" i="14"/>
  <c r="U361" i="14"/>
  <c r="S361" i="14"/>
  <c r="U349" i="14"/>
  <c r="S349" i="14"/>
  <c r="U337" i="14"/>
  <c r="S337" i="14"/>
  <c r="U325" i="14"/>
  <c r="S325" i="14"/>
  <c r="U313" i="14"/>
  <c r="S313" i="14"/>
  <c r="U301" i="14"/>
  <c r="S301" i="14"/>
  <c r="U289" i="14"/>
  <c r="S289" i="14"/>
  <c r="U277" i="14"/>
  <c r="S277" i="14"/>
  <c r="U265" i="14"/>
  <c r="S265" i="14"/>
  <c r="U253" i="14"/>
  <c r="S253" i="14"/>
  <c r="U241" i="14"/>
  <c r="S241" i="14"/>
  <c r="U229" i="14"/>
  <c r="S229" i="14"/>
  <c r="U217" i="14"/>
  <c r="S217" i="14"/>
  <c r="U205" i="14"/>
  <c r="S205" i="14"/>
  <c r="U193" i="14"/>
  <c r="S193" i="14"/>
  <c r="U181" i="14"/>
  <c r="S181" i="14"/>
  <c r="U169" i="14"/>
  <c r="S169" i="14"/>
  <c r="U157" i="14"/>
  <c r="S157" i="14"/>
  <c r="U145" i="14"/>
  <c r="S145" i="14"/>
  <c r="U133" i="14"/>
  <c r="S133" i="14"/>
  <c r="U121" i="14"/>
  <c r="S121" i="14"/>
  <c r="U109" i="14"/>
  <c r="S109" i="14"/>
  <c r="U97" i="14"/>
  <c r="S97" i="14"/>
  <c r="U85" i="14"/>
  <c r="S85" i="14"/>
  <c r="U73" i="14"/>
  <c r="S73" i="14"/>
  <c r="U61" i="14"/>
  <c r="S61" i="14"/>
  <c r="U49" i="14"/>
  <c r="S49" i="14"/>
  <c r="U37" i="14"/>
  <c r="S37" i="14"/>
  <c r="U25" i="14"/>
  <c r="S25" i="14"/>
  <c r="U13" i="14"/>
  <c r="S13" i="14"/>
  <c r="T910" i="2"/>
  <c r="A910" i="16" s="1"/>
  <c r="T796" i="2"/>
  <c r="A796" i="16" s="1"/>
  <c r="T676" i="2"/>
  <c r="A676" i="16" s="1"/>
  <c r="T155" i="2"/>
  <c r="A155" i="16" s="1"/>
  <c r="T121" i="2"/>
  <c r="U2772" i="14"/>
  <c r="S2772" i="14"/>
  <c r="U2760" i="14"/>
  <c r="S2760" i="14"/>
  <c r="U2748" i="14"/>
  <c r="S2748" i="14"/>
  <c r="U2736" i="14"/>
  <c r="S2736" i="14"/>
  <c r="U2724" i="14"/>
  <c r="S2724" i="14"/>
  <c r="U2712" i="14"/>
  <c r="S2712" i="14"/>
  <c r="U2700" i="14"/>
  <c r="S2700" i="14"/>
  <c r="U2688" i="14"/>
  <c r="S2688" i="14"/>
  <c r="U2676" i="14"/>
  <c r="S2676" i="14"/>
  <c r="U2664" i="14"/>
  <c r="S2664" i="14"/>
  <c r="U2652" i="14"/>
  <c r="S2652" i="14"/>
  <c r="U2640" i="14"/>
  <c r="S2640" i="14"/>
  <c r="U2628" i="14"/>
  <c r="S2628" i="14"/>
  <c r="U2616" i="14"/>
  <c r="S2616" i="14"/>
  <c r="U2604" i="14"/>
  <c r="S2604" i="14"/>
  <c r="U2592" i="14"/>
  <c r="S2592" i="14"/>
  <c r="U2580" i="14"/>
  <c r="S2580" i="14"/>
  <c r="U2568" i="14"/>
  <c r="S2568" i="14"/>
  <c r="U2556" i="14"/>
  <c r="S2556" i="14"/>
  <c r="U2544" i="14"/>
  <c r="S2544" i="14"/>
  <c r="U2532" i="14"/>
  <c r="S2532" i="14"/>
  <c r="U2520" i="14"/>
  <c r="S2520" i="14"/>
  <c r="U2508" i="14"/>
  <c r="S2508" i="14"/>
  <c r="U2496" i="14"/>
  <c r="S2496" i="14"/>
  <c r="U2484" i="14"/>
  <c r="S2484" i="14"/>
  <c r="U2472" i="14"/>
  <c r="S2472" i="14"/>
  <c r="U2460" i="14"/>
  <c r="S2460" i="14"/>
  <c r="U2448" i="14"/>
  <c r="S2448" i="14"/>
  <c r="U2436" i="14"/>
  <c r="S2436" i="14"/>
  <c r="U2424" i="14"/>
  <c r="S2424" i="14"/>
  <c r="U2412" i="14"/>
  <c r="S2412" i="14"/>
  <c r="U2400" i="14"/>
  <c r="S2400" i="14"/>
  <c r="U2388" i="14"/>
  <c r="S2388" i="14"/>
  <c r="U2376" i="14"/>
  <c r="S2376" i="14"/>
  <c r="U2364" i="14"/>
  <c r="S2364" i="14"/>
  <c r="U2352" i="14"/>
  <c r="S2352" i="14"/>
  <c r="U2340" i="14"/>
  <c r="S2340" i="14"/>
  <c r="U2328" i="14"/>
  <c r="S2328" i="14"/>
  <c r="U2316" i="14"/>
  <c r="S2316" i="14"/>
  <c r="U2304" i="14"/>
  <c r="S2304" i="14"/>
  <c r="U2292" i="14"/>
  <c r="S2292" i="14"/>
  <c r="U2280" i="14"/>
  <c r="S2280" i="14"/>
  <c r="U2268" i="14"/>
  <c r="S2268" i="14"/>
  <c r="U2256" i="14"/>
  <c r="S2256" i="14"/>
  <c r="U2244" i="14"/>
  <c r="S2244" i="14"/>
  <c r="U2232" i="14"/>
  <c r="S2232" i="14"/>
  <c r="U2220" i="14"/>
  <c r="S2220" i="14"/>
  <c r="U2208" i="14"/>
  <c r="S2208" i="14"/>
  <c r="U2196" i="14"/>
  <c r="S2196" i="14"/>
  <c r="U2184" i="14"/>
  <c r="S2184" i="14"/>
  <c r="U2172" i="14"/>
  <c r="S2172" i="14"/>
  <c r="U2160" i="14"/>
  <c r="S2160" i="14"/>
  <c r="U2148" i="14"/>
  <c r="S2148" i="14"/>
  <c r="U2136" i="14"/>
  <c r="S2136" i="14"/>
  <c r="U2124" i="14"/>
  <c r="S2124" i="14"/>
  <c r="U2112" i="14"/>
  <c r="S2112" i="14"/>
  <c r="U2100" i="14"/>
  <c r="S2100" i="14"/>
  <c r="U2088" i="14"/>
  <c r="S2088" i="14"/>
  <c r="U2076" i="14"/>
  <c r="S2076" i="14"/>
  <c r="U2064" i="14"/>
  <c r="S2064" i="14"/>
  <c r="U2052" i="14"/>
  <c r="S2052" i="14"/>
  <c r="U2040" i="14"/>
  <c r="S2040" i="14"/>
  <c r="U2028" i="14"/>
  <c r="S2028" i="14"/>
  <c r="U2016" i="14"/>
  <c r="S2016" i="14"/>
  <c r="U2004" i="14"/>
  <c r="S2004" i="14"/>
  <c r="U1992" i="14"/>
  <c r="S1992" i="14"/>
  <c r="U1980" i="14"/>
  <c r="S1980" i="14"/>
  <c r="U1968" i="14"/>
  <c r="S1968" i="14"/>
  <c r="U1956" i="14"/>
  <c r="S1956" i="14"/>
  <c r="U1944" i="14"/>
  <c r="S1944" i="14"/>
  <c r="U1932" i="14"/>
  <c r="S1932" i="14"/>
  <c r="U1920" i="14"/>
  <c r="S1920" i="14"/>
  <c r="U1908" i="14"/>
  <c r="S1908" i="14"/>
  <c r="U1896" i="14"/>
  <c r="S1896" i="14"/>
  <c r="U1884" i="14"/>
  <c r="S1884" i="14"/>
  <c r="U1872" i="14"/>
  <c r="S1872" i="14"/>
  <c r="U1860" i="14"/>
  <c r="S1860" i="14"/>
  <c r="U1848" i="14"/>
  <c r="S1848" i="14"/>
  <c r="U1836" i="14"/>
  <c r="S1836" i="14"/>
  <c r="U1824" i="14"/>
  <c r="S1824" i="14"/>
  <c r="U1812" i="14"/>
  <c r="S1812" i="14"/>
  <c r="U1800" i="14"/>
  <c r="S1800" i="14"/>
  <c r="U1788" i="14"/>
  <c r="S1788" i="14"/>
  <c r="U1776" i="14"/>
  <c r="S1776" i="14"/>
  <c r="U1764" i="14"/>
  <c r="S1764" i="14"/>
  <c r="U1752" i="14"/>
  <c r="S1752" i="14"/>
  <c r="U1740" i="14"/>
  <c r="S1740" i="14"/>
  <c r="U1728" i="14"/>
  <c r="S1728" i="14"/>
  <c r="U1716" i="14"/>
  <c r="S1716" i="14"/>
  <c r="U1704" i="14"/>
  <c r="S1704" i="14"/>
  <c r="U1692" i="14"/>
  <c r="S1692" i="14"/>
  <c r="U1680" i="14"/>
  <c r="S1680" i="14"/>
  <c r="U1668" i="14"/>
  <c r="S1668" i="14"/>
  <c r="U1656" i="14"/>
  <c r="S1656" i="14"/>
  <c r="U1644" i="14"/>
  <c r="S1644" i="14"/>
  <c r="U1632" i="14"/>
  <c r="S1632" i="14"/>
  <c r="U1620" i="14"/>
  <c r="S1620" i="14"/>
  <c r="U1608" i="14"/>
  <c r="S1608" i="14"/>
  <c r="U1596" i="14"/>
  <c r="S1596" i="14"/>
  <c r="U1584" i="14"/>
  <c r="S1584" i="14"/>
  <c r="U1572" i="14"/>
  <c r="S1572" i="14"/>
  <c r="U1560" i="14"/>
  <c r="S1560" i="14"/>
  <c r="U1548" i="14"/>
  <c r="S1548" i="14"/>
  <c r="U1536" i="14"/>
  <c r="S1536" i="14"/>
  <c r="U1524" i="14"/>
  <c r="S1524" i="14"/>
  <c r="U1512" i="14"/>
  <c r="S1512" i="14"/>
  <c r="U1500" i="14"/>
  <c r="S1500" i="14"/>
  <c r="U1488" i="14"/>
  <c r="S1488" i="14"/>
  <c r="U1476" i="14"/>
  <c r="S1476" i="14"/>
  <c r="U1464" i="14"/>
  <c r="S1464" i="14"/>
  <c r="U1452" i="14"/>
  <c r="S1452" i="14"/>
  <c r="U1440" i="14"/>
  <c r="S1440" i="14"/>
  <c r="U1428" i="14"/>
  <c r="S1428" i="14"/>
  <c r="U1416" i="14"/>
  <c r="S1416" i="14"/>
  <c r="U1404" i="14"/>
  <c r="S1404" i="14"/>
  <c r="U1392" i="14"/>
  <c r="S1392" i="14"/>
  <c r="U1380" i="14"/>
  <c r="S1380" i="14"/>
  <c r="U1368" i="14"/>
  <c r="S1368" i="14"/>
  <c r="U1356" i="14"/>
  <c r="S1356" i="14"/>
  <c r="U1344" i="14"/>
  <c r="S1344" i="14"/>
  <c r="U1332" i="14"/>
  <c r="S1332" i="14"/>
  <c r="U1320" i="14"/>
  <c r="S1320" i="14"/>
  <c r="U1308" i="14"/>
  <c r="S1308" i="14"/>
  <c r="U1296" i="14"/>
  <c r="S1296" i="14"/>
  <c r="U1284" i="14"/>
  <c r="S1284" i="14"/>
  <c r="U1272" i="14"/>
  <c r="S1272" i="14"/>
  <c r="U1260" i="14"/>
  <c r="S1260" i="14"/>
  <c r="U1248" i="14"/>
  <c r="S1248" i="14"/>
  <c r="U1236" i="14"/>
  <c r="S1236" i="14"/>
  <c r="U1224" i="14"/>
  <c r="S1224" i="14"/>
  <c r="U1212" i="14"/>
  <c r="S1212" i="14"/>
  <c r="U1200" i="14"/>
  <c r="S1200" i="14"/>
  <c r="U1188" i="14"/>
  <c r="S1188" i="14"/>
  <c r="U1176" i="14"/>
  <c r="S1176" i="14"/>
  <c r="U1164" i="14"/>
  <c r="S1164" i="14"/>
  <c r="U1152" i="14"/>
  <c r="S1152" i="14"/>
  <c r="U1140" i="14"/>
  <c r="S1140" i="14"/>
  <c r="U1128" i="14"/>
  <c r="S1128" i="14"/>
  <c r="U1116" i="14"/>
  <c r="S1116" i="14"/>
  <c r="U1104" i="14"/>
  <c r="S1104" i="14"/>
  <c r="U1092" i="14"/>
  <c r="S1092" i="14"/>
  <c r="U1080" i="14"/>
  <c r="S1080" i="14"/>
  <c r="U1068" i="14"/>
  <c r="S1068" i="14"/>
  <c r="U1056" i="14"/>
  <c r="S1056" i="14"/>
  <c r="U1044" i="14"/>
  <c r="S1044" i="14"/>
  <c r="U1032" i="14"/>
  <c r="S1032" i="14"/>
  <c r="U1020" i="14"/>
  <c r="S1020" i="14"/>
  <c r="U1008" i="14"/>
  <c r="S1008" i="14"/>
  <c r="U996" i="14"/>
  <c r="S996" i="14"/>
  <c r="U984" i="14"/>
  <c r="S984" i="14"/>
  <c r="U972" i="14"/>
  <c r="S972" i="14"/>
  <c r="U960" i="14"/>
  <c r="S960" i="14"/>
  <c r="U948" i="14"/>
  <c r="S948" i="14"/>
  <c r="U936" i="14"/>
  <c r="S936" i="14"/>
  <c r="U924" i="14"/>
  <c r="S924" i="14"/>
  <c r="U912" i="14"/>
  <c r="S912" i="14"/>
  <c r="U900" i="14"/>
  <c r="S900" i="14"/>
  <c r="U888" i="14"/>
  <c r="S888" i="14"/>
  <c r="U876" i="14"/>
  <c r="S876" i="14"/>
  <c r="U864" i="14"/>
  <c r="S864" i="14"/>
  <c r="U852" i="14"/>
  <c r="S852" i="14"/>
  <c r="U840" i="14"/>
  <c r="S840" i="14"/>
  <c r="U828" i="14"/>
  <c r="S828" i="14"/>
  <c r="U816" i="14"/>
  <c r="S816" i="14"/>
  <c r="U804" i="14"/>
  <c r="S804" i="14"/>
  <c r="U792" i="14"/>
  <c r="S792" i="14"/>
  <c r="U780" i="14"/>
  <c r="S780" i="14"/>
  <c r="U768" i="14"/>
  <c r="S768" i="14"/>
  <c r="U756" i="14"/>
  <c r="S756" i="14"/>
  <c r="U744" i="14"/>
  <c r="S744" i="14"/>
  <c r="U732" i="14"/>
  <c r="S732" i="14"/>
  <c r="U720" i="14"/>
  <c r="S720" i="14"/>
  <c r="U708" i="14"/>
  <c r="S708" i="14"/>
  <c r="U696" i="14"/>
  <c r="S696" i="14"/>
  <c r="U684" i="14"/>
  <c r="S684" i="14"/>
  <c r="U672" i="14"/>
  <c r="S672" i="14"/>
  <c r="U660" i="14"/>
  <c r="S660" i="14"/>
  <c r="U648" i="14"/>
  <c r="S648" i="14"/>
  <c r="U636" i="14"/>
  <c r="S636" i="14"/>
  <c r="U624" i="14"/>
  <c r="S624" i="14"/>
  <c r="U612" i="14"/>
  <c r="S612" i="14"/>
  <c r="U600" i="14"/>
  <c r="S600" i="14"/>
  <c r="U588" i="14"/>
  <c r="S588" i="14"/>
  <c r="U576" i="14"/>
  <c r="S576" i="14"/>
  <c r="U564" i="14"/>
  <c r="S564" i="14"/>
  <c r="U552" i="14"/>
  <c r="S552" i="14"/>
  <c r="U540" i="14"/>
  <c r="S540" i="14"/>
  <c r="U528" i="14"/>
  <c r="S528" i="14"/>
  <c r="U516" i="14"/>
  <c r="S516" i="14"/>
  <c r="U504" i="14"/>
  <c r="S504" i="14"/>
  <c r="U492" i="14"/>
  <c r="S492" i="14"/>
  <c r="U480" i="14"/>
  <c r="S480" i="14"/>
  <c r="U468" i="14"/>
  <c r="S468" i="14"/>
  <c r="U456" i="14"/>
  <c r="S456" i="14"/>
  <c r="U444" i="14"/>
  <c r="S444" i="14"/>
  <c r="U432" i="14"/>
  <c r="S432" i="14"/>
  <c r="U420" i="14"/>
  <c r="S420" i="14"/>
  <c r="U408" i="14"/>
  <c r="S408" i="14"/>
  <c r="U396" i="14"/>
  <c r="S396" i="14"/>
  <c r="U384" i="14"/>
  <c r="S384" i="14"/>
  <c r="U372" i="14"/>
  <c r="S372" i="14"/>
  <c r="U360" i="14"/>
  <c r="S360" i="14"/>
  <c r="U348" i="14"/>
  <c r="S348" i="14"/>
  <c r="U336" i="14"/>
  <c r="S336" i="14"/>
  <c r="U324" i="14"/>
  <c r="S324" i="14"/>
  <c r="U312" i="14"/>
  <c r="S312" i="14"/>
  <c r="U300" i="14"/>
  <c r="S300" i="14"/>
  <c r="U288" i="14"/>
  <c r="S288" i="14"/>
  <c r="U276" i="14"/>
  <c r="S276" i="14"/>
  <c r="U264" i="14"/>
  <c r="S264" i="14"/>
  <c r="U252" i="14"/>
  <c r="S252" i="14"/>
  <c r="U240" i="14"/>
  <c r="S240" i="14"/>
  <c r="U228" i="14"/>
  <c r="S228" i="14"/>
  <c r="U216" i="14"/>
  <c r="S216" i="14"/>
  <c r="U204" i="14"/>
  <c r="S204" i="14"/>
  <c r="U192" i="14"/>
  <c r="S192" i="14"/>
  <c r="U180" i="14"/>
  <c r="S180" i="14"/>
  <c r="U168" i="14"/>
  <c r="S168" i="14"/>
  <c r="U156" i="14"/>
  <c r="S156" i="14"/>
  <c r="U144" i="14"/>
  <c r="S144" i="14"/>
  <c r="U132" i="14"/>
  <c r="S132" i="14"/>
  <c r="U120" i="14"/>
  <c r="S120" i="14"/>
  <c r="U108" i="14"/>
  <c r="S108" i="14"/>
  <c r="U96" i="14"/>
  <c r="S96" i="14"/>
  <c r="U84" i="14"/>
  <c r="S84" i="14"/>
  <c r="U72" i="14"/>
  <c r="S72" i="14"/>
  <c r="U60" i="14"/>
  <c r="S60" i="14"/>
  <c r="U48" i="14"/>
  <c r="S48" i="14"/>
  <c r="U36" i="14"/>
  <c r="S36" i="14"/>
  <c r="U24" i="14"/>
  <c r="S24" i="14"/>
  <c r="U12" i="14"/>
  <c r="S12" i="14"/>
  <c r="S2777" i="14"/>
  <c r="S2741" i="14"/>
  <c r="S2705" i="14"/>
  <c r="S2669" i="14"/>
  <c r="S2633" i="14"/>
  <c r="S2597" i="14"/>
  <c r="S2561" i="14"/>
  <c r="S2525" i="14"/>
  <c r="S2489" i="14"/>
  <c r="S2453" i="14"/>
  <c r="S2417" i="14"/>
  <c r="S2381" i="14"/>
  <c r="S2345" i="14"/>
  <c r="S2309" i="14"/>
  <c r="S2273" i="14"/>
  <c r="S2237" i="14"/>
  <c r="S2201" i="14"/>
  <c r="S2165" i="14"/>
  <c r="S2129" i="14"/>
  <c r="S2093" i="14"/>
  <c r="S2057" i="14"/>
  <c r="S2021" i="14"/>
  <c r="S1985" i="14"/>
  <c r="S1949" i="14"/>
  <c r="S1913" i="14"/>
  <c r="S1877" i="14"/>
  <c r="S1841" i="14"/>
  <c r="S1805" i="14"/>
  <c r="S1769" i="14"/>
  <c r="S1733" i="14"/>
  <c r="S1697" i="14"/>
  <c r="S1661" i="14"/>
  <c r="S1625" i="14"/>
  <c r="S1589" i="14"/>
  <c r="S1553" i="14"/>
  <c r="S1517" i="14"/>
  <c r="S1481" i="14"/>
  <c r="S1445" i="14"/>
  <c r="S1409" i="14"/>
  <c r="S1373" i="14"/>
  <c r="S1337" i="14"/>
  <c r="S1301" i="14"/>
  <c r="S1228" i="14"/>
  <c r="S1122" i="14"/>
  <c r="S1014" i="14"/>
  <c r="S882" i="14"/>
  <c r="S738" i="14"/>
  <c r="S594" i="14"/>
  <c r="S450" i="14"/>
  <c r="U2711" i="14"/>
  <c r="S2711" i="14"/>
  <c r="U2615" i="14"/>
  <c r="S2615" i="14"/>
  <c r="U2531" i="14"/>
  <c r="S2531" i="14"/>
  <c r="U2459" i="14"/>
  <c r="S2459" i="14"/>
  <c r="U2399" i="14"/>
  <c r="S2399" i="14"/>
  <c r="U2315" i="14"/>
  <c r="S2315" i="14"/>
  <c r="U2243" i="14"/>
  <c r="S2243" i="14"/>
  <c r="U2171" i="14"/>
  <c r="S2171" i="14"/>
  <c r="U2075" i="14"/>
  <c r="S2075" i="14"/>
  <c r="U1955" i="14"/>
  <c r="S1955" i="14"/>
  <c r="U1883" i="14"/>
  <c r="S1883" i="14"/>
  <c r="U1739" i="14"/>
  <c r="S1739" i="14"/>
  <c r="U1655" i="14"/>
  <c r="S1655" i="14"/>
  <c r="U1571" i="14"/>
  <c r="S1571" i="14"/>
  <c r="U1487" i="14"/>
  <c r="S1487" i="14"/>
  <c r="U1403" i="14"/>
  <c r="S1403" i="14"/>
  <c r="U1199" i="14"/>
  <c r="S1199" i="14"/>
  <c r="U515" i="14"/>
  <c r="S515" i="14"/>
  <c r="U2746" i="14"/>
  <c r="S2746" i="14"/>
  <c r="U2710" i="14"/>
  <c r="S2710" i="14"/>
  <c r="U2662" i="14"/>
  <c r="S2662" i="14"/>
  <c r="U2626" i="14"/>
  <c r="S2626" i="14"/>
  <c r="U2590" i="14"/>
  <c r="S2590" i="14"/>
  <c r="U2554" i="14"/>
  <c r="S2554" i="14"/>
  <c r="U2518" i="14"/>
  <c r="S2518" i="14"/>
  <c r="U2482" i="14"/>
  <c r="S2482" i="14"/>
  <c r="U2470" i="14"/>
  <c r="S2470" i="14"/>
  <c r="U2410" i="14"/>
  <c r="S2410" i="14"/>
  <c r="U2386" i="14"/>
  <c r="S2386" i="14"/>
  <c r="U2350" i="14"/>
  <c r="S2350" i="14"/>
  <c r="U2326" i="14"/>
  <c r="S2326" i="14"/>
  <c r="U2302" i="14"/>
  <c r="S2302" i="14"/>
  <c r="U2266" i="14"/>
  <c r="S2266" i="14"/>
  <c r="U2230" i="14"/>
  <c r="S2230" i="14"/>
  <c r="U2206" i="14"/>
  <c r="S2206" i="14"/>
  <c r="U2170" i="14"/>
  <c r="S2170" i="14"/>
  <c r="U2134" i="14"/>
  <c r="S2134" i="14"/>
  <c r="U2110" i="14"/>
  <c r="S2110" i="14"/>
  <c r="U2074" i="14"/>
  <c r="S2074" i="14"/>
  <c r="U2062" i="14"/>
  <c r="S2062" i="14"/>
  <c r="U2038" i="14"/>
  <c r="S2038" i="14"/>
  <c r="U2026" i="14"/>
  <c r="S2026" i="14"/>
  <c r="U2014" i="14"/>
  <c r="S2014" i="14"/>
  <c r="U2002" i="14"/>
  <c r="S2002" i="14"/>
  <c r="U1990" i="14"/>
  <c r="S1990" i="14"/>
  <c r="U1978" i="14"/>
  <c r="S1978" i="14"/>
  <c r="U1966" i="14"/>
  <c r="S1966" i="14"/>
  <c r="U1954" i="14"/>
  <c r="S1954" i="14"/>
  <c r="U1942" i="14"/>
  <c r="S1942" i="14"/>
  <c r="U1930" i="14"/>
  <c r="S1930" i="14"/>
  <c r="U1918" i="14"/>
  <c r="S1918" i="14"/>
  <c r="U1906" i="14"/>
  <c r="S1906" i="14"/>
  <c r="U1894" i="14"/>
  <c r="S1894" i="14"/>
  <c r="U1882" i="14"/>
  <c r="S1882" i="14"/>
  <c r="U1870" i="14"/>
  <c r="S1870" i="14"/>
  <c r="U1858" i="14"/>
  <c r="S1858" i="14"/>
  <c r="U1846" i="14"/>
  <c r="S1846" i="14"/>
  <c r="U1834" i="14"/>
  <c r="S1834" i="14"/>
  <c r="U1822" i="14"/>
  <c r="S1822" i="14"/>
  <c r="U1810" i="14"/>
  <c r="S1810" i="14"/>
  <c r="U1786" i="14"/>
  <c r="S1786" i="14"/>
  <c r="U1774" i="14"/>
  <c r="S1774" i="14"/>
  <c r="U1762" i="14"/>
  <c r="S1762" i="14"/>
  <c r="U1750" i="14"/>
  <c r="S1750" i="14"/>
  <c r="U1738" i="14"/>
  <c r="S1738" i="14"/>
  <c r="U1726" i="14"/>
  <c r="S1726" i="14"/>
  <c r="U1702" i="14"/>
  <c r="S1702" i="14"/>
  <c r="U1690" i="14"/>
  <c r="S1690" i="14"/>
  <c r="U1678" i="14"/>
  <c r="S1678" i="14"/>
  <c r="U1666" i="14"/>
  <c r="S1666" i="14"/>
  <c r="U1654" i="14"/>
  <c r="S1654" i="14"/>
  <c r="U1642" i="14"/>
  <c r="S1642" i="14"/>
  <c r="U1630" i="14"/>
  <c r="S1630" i="14"/>
  <c r="U1618" i="14"/>
  <c r="S1618" i="14"/>
  <c r="U1606" i="14"/>
  <c r="S1606" i="14"/>
  <c r="U1594" i="14"/>
  <c r="S1594" i="14"/>
  <c r="U1582" i="14"/>
  <c r="S1582" i="14"/>
  <c r="U1570" i="14"/>
  <c r="S1570" i="14"/>
  <c r="U1558" i="14"/>
  <c r="S1558" i="14"/>
  <c r="U1546" i="14"/>
  <c r="S1546" i="14"/>
  <c r="U1534" i="14"/>
  <c r="S1534" i="14"/>
  <c r="U1522" i="14"/>
  <c r="S1522" i="14"/>
  <c r="U1510" i="14"/>
  <c r="S1510" i="14"/>
  <c r="U1498" i="14"/>
  <c r="S1498" i="14"/>
  <c r="U1486" i="14"/>
  <c r="S1486" i="14"/>
  <c r="U1474" i="14"/>
  <c r="S1474" i="14"/>
  <c r="U1462" i="14"/>
  <c r="S1462" i="14"/>
  <c r="U1450" i="14"/>
  <c r="S1450" i="14"/>
  <c r="U1438" i="14"/>
  <c r="S1438" i="14"/>
  <c r="U1426" i="14"/>
  <c r="S1426" i="14"/>
  <c r="U1414" i="14"/>
  <c r="S1414" i="14"/>
  <c r="U1402" i="14"/>
  <c r="S1402" i="14"/>
  <c r="U1390" i="14"/>
  <c r="S1390" i="14"/>
  <c r="U1378" i="14"/>
  <c r="S1378" i="14"/>
  <c r="U1366" i="14"/>
  <c r="S1366" i="14"/>
  <c r="U1354" i="14"/>
  <c r="S1354" i="14"/>
  <c r="U1342" i="14"/>
  <c r="S1342" i="14"/>
  <c r="U1330" i="14"/>
  <c r="S1330" i="14"/>
  <c r="U1318" i="14"/>
  <c r="S1318" i="14"/>
  <c r="U1306" i="14"/>
  <c r="S1306" i="14"/>
  <c r="U1294" i="14"/>
  <c r="S1294" i="14"/>
  <c r="U1270" i="14"/>
  <c r="S1270" i="14"/>
  <c r="U1258" i="14"/>
  <c r="S1258" i="14"/>
  <c r="U1246" i="14"/>
  <c r="S1246" i="14"/>
  <c r="U1222" i="14"/>
  <c r="S1222" i="14"/>
  <c r="U1210" i="14"/>
  <c r="S1210" i="14"/>
  <c r="U1198" i="14"/>
  <c r="S1198" i="14"/>
  <c r="U1186" i="14"/>
  <c r="S1186" i="14"/>
  <c r="U1174" i="14"/>
  <c r="S1174" i="14"/>
  <c r="U1162" i="14"/>
  <c r="S1162" i="14"/>
  <c r="U1150" i="14"/>
  <c r="S1150" i="14"/>
  <c r="U1138" i="14"/>
  <c r="S1138" i="14"/>
  <c r="U1126" i="14"/>
  <c r="S1126" i="14"/>
  <c r="U1114" i="14"/>
  <c r="S1114" i="14"/>
  <c r="U1102" i="14"/>
  <c r="S1102" i="14"/>
  <c r="U1090" i="14"/>
  <c r="S1090" i="14"/>
  <c r="U1078" i="14"/>
  <c r="S1078" i="14"/>
  <c r="U1066" i="14"/>
  <c r="S1066" i="14"/>
  <c r="U1054" i="14"/>
  <c r="S1054" i="14"/>
  <c r="U1042" i="14"/>
  <c r="S1042" i="14"/>
  <c r="U1030" i="14"/>
  <c r="S1030" i="14"/>
  <c r="U1018" i="14"/>
  <c r="S1018" i="14"/>
  <c r="U1006" i="14"/>
  <c r="S1006" i="14"/>
  <c r="U994" i="14"/>
  <c r="S994" i="14"/>
  <c r="U982" i="14"/>
  <c r="S982" i="14"/>
  <c r="U970" i="14"/>
  <c r="S970" i="14"/>
  <c r="U958" i="14"/>
  <c r="S958" i="14"/>
  <c r="U946" i="14"/>
  <c r="S946" i="14"/>
  <c r="U934" i="14"/>
  <c r="S934" i="14"/>
  <c r="U922" i="14"/>
  <c r="S922" i="14"/>
  <c r="U910" i="14"/>
  <c r="S910" i="14"/>
  <c r="U898" i="14"/>
  <c r="S898" i="14"/>
  <c r="U886" i="14"/>
  <c r="S886" i="14"/>
  <c r="U874" i="14"/>
  <c r="S874" i="14"/>
  <c r="U862" i="14"/>
  <c r="S862" i="14"/>
  <c r="U850" i="14"/>
  <c r="S850" i="14"/>
  <c r="U838" i="14"/>
  <c r="S838" i="14"/>
  <c r="U826" i="14"/>
  <c r="S826" i="14"/>
  <c r="U814" i="14"/>
  <c r="S814" i="14"/>
  <c r="U802" i="14"/>
  <c r="S802" i="14"/>
  <c r="U790" i="14"/>
  <c r="S790" i="14"/>
  <c r="U778" i="14"/>
  <c r="S778" i="14"/>
  <c r="U766" i="14"/>
  <c r="S766" i="14"/>
  <c r="U754" i="14"/>
  <c r="S754" i="14"/>
  <c r="U742" i="14"/>
  <c r="S742" i="14"/>
  <c r="U730" i="14"/>
  <c r="S730" i="14"/>
  <c r="U718" i="14"/>
  <c r="S718" i="14"/>
  <c r="U706" i="14"/>
  <c r="S706" i="14"/>
  <c r="U694" i="14"/>
  <c r="S694" i="14"/>
  <c r="U682" i="14"/>
  <c r="S682" i="14"/>
  <c r="U670" i="14"/>
  <c r="S670" i="14"/>
  <c r="U658" i="14"/>
  <c r="S658" i="14"/>
  <c r="U646" i="14"/>
  <c r="S646" i="14"/>
  <c r="U634" i="14"/>
  <c r="S634" i="14"/>
  <c r="U622" i="14"/>
  <c r="S622" i="14"/>
  <c r="U610" i="14"/>
  <c r="S610" i="14"/>
  <c r="U598" i="14"/>
  <c r="S598" i="14"/>
  <c r="U586" i="14"/>
  <c r="S586" i="14"/>
  <c r="U574" i="14"/>
  <c r="S574" i="14"/>
  <c r="U562" i="14"/>
  <c r="S562" i="14"/>
  <c r="U550" i="14"/>
  <c r="S550" i="14"/>
  <c r="U538" i="14"/>
  <c r="S538" i="14"/>
  <c r="U526" i="14"/>
  <c r="S526" i="14"/>
  <c r="U514" i="14"/>
  <c r="S514" i="14"/>
  <c r="U502" i="14"/>
  <c r="S502" i="14"/>
  <c r="U490" i="14"/>
  <c r="S490" i="14"/>
  <c r="U478" i="14"/>
  <c r="S478" i="14"/>
  <c r="U466" i="14"/>
  <c r="S466" i="14"/>
  <c r="U454" i="14"/>
  <c r="S454" i="14"/>
  <c r="U442" i="14"/>
  <c r="S442" i="14"/>
  <c r="U430" i="14"/>
  <c r="S430" i="14"/>
  <c r="U418" i="14"/>
  <c r="S418" i="14"/>
  <c r="U406" i="14"/>
  <c r="S406" i="14"/>
  <c r="U394" i="14"/>
  <c r="S394" i="14"/>
  <c r="U382" i="14"/>
  <c r="S382" i="14"/>
  <c r="U370" i="14"/>
  <c r="S370" i="14"/>
  <c r="U358" i="14"/>
  <c r="S358" i="14"/>
  <c r="U346" i="14"/>
  <c r="S346" i="14"/>
  <c r="U334" i="14"/>
  <c r="S334" i="14"/>
  <c r="U322" i="14"/>
  <c r="S322" i="14"/>
  <c r="U310" i="14"/>
  <c r="S310" i="14"/>
  <c r="U298" i="14"/>
  <c r="S298" i="14"/>
  <c r="U286" i="14"/>
  <c r="S286" i="14"/>
  <c r="U274" i="14"/>
  <c r="S274" i="14"/>
  <c r="U262" i="14"/>
  <c r="S262" i="14"/>
  <c r="U250" i="14"/>
  <c r="S250" i="14"/>
  <c r="U2749" i="14"/>
  <c r="S2749" i="14"/>
  <c r="U2701" i="14"/>
  <c r="S2701" i="14"/>
  <c r="U2641" i="14"/>
  <c r="S2641" i="14"/>
  <c r="U2581" i="14"/>
  <c r="S2581" i="14"/>
  <c r="U2509" i="14"/>
  <c r="S2509" i="14"/>
  <c r="U2449" i="14"/>
  <c r="S2449" i="14"/>
  <c r="U2377" i="14"/>
  <c r="S2377" i="14"/>
  <c r="U2305" i="14"/>
  <c r="S2305" i="14"/>
  <c r="U2233" i="14"/>
  <c r="S2233" i="14"/>
  <c r="U2185" i="14"/>
  <c r="S2185" i="14"/>
  <c r="U2101" i="14"/>
  <c r="S2101" i="14"/>
  <c r="U2053" i="14"/>
  <c r="S2053" i="14"/>
  <c r="U1993" i="14"/>
  <c r="S1993" i="14"/>
  <c r="U1945" i="14"/>
  <c r="S1945" i="14"/>
  <c r="U1885" i="14"/>
  <c r="S1885" i="14"/>
  <c r="U1837" i="14"/>
  <c r="S1837" i="14"/>
  <c r="U1777" i="14"/>
  <c r="S1777" i="14"/>
  <c r="U1717" i="14"/>
  <c r="S1717" i="14"/>
  <c r="U1669" i="14"/>
  <c r="S1669" i="14"/>
  <c r="U1621" i="14"/>
  <c r="S1621" i="14"/>
  <c r="U1585" i="14"/>
  <c r="S1585" i="14"/>
  <c r="U1525" i="14"/>
  <c r="S1525" i="14"/>
  <c r="U1441" i="14"/>
  <c r="S1441" i="14"/>
  <c r="U1405" i="14"/>
  <c r="S1405" i="14"/>
  <c r="U1333" i="14"/>
  <c r="S1333" i="14"/>
  <c r="U1297" i="14"/>
  <c r="S1297" i="14"/>
  <c r="U1237" i="14"/>
  <c r="S1237" i="14"/>
  <c r="U1165" i="14"/>
  <c r="S1165" i="14"/>
  <c r="U1093" i="14"/>
  <c r="S1093" i="14"/>
  <c r="U1033" i="14"/>
  <c r="S1033" i="14"/>
  <c r="U985" i="14"/>
  <c r="S985" i="14"/>
  <c r="U925" i="14"/>
  <c r="S925" i="14"/>
  <c r="U865" i="14"/>
  <c r="S865" i="14"/>
  <c r="U805" i="14"/>
  <c r="S805" i="14"/>
  <c r="U625" i="14"/>
  <c r="S625" i="14"/>
  <c r="U2723" i="14"/>
  <c r="S2723" i="14"/>
  <c r="U2675" i="14"/>
  <c r="S2675" i="14"/>
  <c r="U2579" i="14"/>
  <c r="S2579" i="14"/>
  <c r="U2507" i="14"/>
  <c r="S2507" i="14"/>
  <c r="U2411" i="14"/>
  <c r="S2411" i="14"/>
  <c r="U2351" i="14"/>
  <c r="S2351" i="14"/>
  <c r="U2291" i="14"/>
  <c r="S2291" i="14"/>
  <c r="U2195" i="14"/>
  <c r="S2195" i="14"/>
  <c r="U2123" i="14"/>
  <c r="S2123" i="14"/>
  <c r="U2063" i="14"/>
  <c r="S2063" i="14"/>
  <c r="U1991" i="14"/>
  <c r="S1991" i="14"/>
  <c r="U1907" i="14"/>
  <c r="S1907" i="14"/>
  <c r="U1847" i="14"/>
  <c r="S1847" i="14"/>
  <c r="U1787" i="14"/>
  <c r="S1787" i="14"/>
  <c r="U1691" i="14"/>
  <c r="S1691" i="14"/>
  <c r="U1643" i="14"/>
  <c r="S1643" i="14"/>
  <c r="U1583" i="14"/>
  <c r="S1583" i="14"/>
  <c r="U1547" i="14"/>
  <c r="S1547" i="14"/>
  <c r="U1511" i="14"/>
  <c r="S1511" i="14"/>
  <c r="U1463" i="14"/>
  <c r="S1463" i="14"/>
  <c r="U1427" i="14"/>
  <c r="S1427" i="14"/>
  <c r="U1379" i="14"/>
  <c r="S1379" i="14"/>
  <c r="U1343" i="14"/>
  <c r="S1343" i="14"/>
  <c r="U1295" i="14"/>
  <c r="S1295" i="14"/>
  <c r="U1271" i="14"/>
  <c r="S1271" i="14"/>
  <c r="U1235" i="14"/>
  <c r="S1235" i="14"/>
  <c r="U1163" i="14"/>
  <c r="S1163" i="14"/>
  <c r="U1127" i="14"/>
  <c r="S1127" i="14"/>
  <c r="U1091" i="14"/>
  <c r="S1091" i="14"/>
  <c r="U1031" i="14"/>
  <c r="S1031" i="14"/>
  <c r="U983" i="14"/>
  <c r="S983" i="14"/>
  <c r="U947" i="14"/>
  <c r="S947" i="14"/>
  <c r="U911" i="14"/>
  <c r="S911" i="14"/>
  <c r="U887" i="14"/>
  <c r="S887" i="14"/>
  <c r="U851" i="14"/>
  <c r="S851" i="14"/>
  <c r="U827" i="14"/>
  <c r="S827" i="14"/>
  <c r="U779" i="14"/>
  <c r="S779" i="14"/>
  <c r="U743" i="14"/>
  <c r="S743" i="14"/>
  <c r="U683" i="14"/>
  <c r="S683" i="14"/>
  <c r="U647" i="14"/>
  <c r="S647" i="14"/>
  <c r="U623" i="14"/>
  <c r="S623" i="14"/>
  <c r="U587" i="14"/>
  <c r="S587" i="14"/>
  <c r="U551" i="14"/>
  <c r="S551" i="14"/>
  <c r="U503" i="14"/>
  <c r="S503" i="14"/>
  <c r="U467" i="14"/>
  <c r="S467" i="14"/>
  <c r="U431" i="14"/>
  <c r="S431" i="14"/>
  <c r="U395" i="14"/>
  <c r="S395" i="14"/>
  <c r="U359" i="14"/>
  <c r="S359" i="14"/>
  <c r="U335" i="14"/>
  <c r="S335" i="14"/>
  <c r="U299" i="14"/>
  <c r="S299" i="14"/>
  <c r="U2" i="14"/>
  <c r="S2" i="14"/>
  <c r="U2758" i="14"/>
  <c r="S2758" i="14"/>
  <c r="U2722" i="14"/>
  <c r="S2722" i="14"/>
  <c r="U2686" i="14"/>
  <c r="S2686" i="14"/>
  <c r="U2674" i="14"/>
  <c r="S2674" i="14"/>
  <c r="U2638" i="14"/>
  <c r="S2638" i="14"/>
  <c r="U2614" i="14"/>
  <c r="S2614" i="14"/>
  <c r="U2578" i="14"/>
  <c r="S2578" i="14"/>
  <c r="U2566" i="14"/>
  <c r="S2566" i="14"/>
  <c r="U2542" i="14"/>
  <c r="S2542" i="14"/>
  <c r="U2530" i="14"/>
  <c r="S2530" i="14"/>
  <c r="U2506" i="14"/>
  <c r="S2506" i="14"/>
  <c r="U2446" i="14"/>
  <c r="S2446" i="14"/>
  <c r="U2434" i="14"/>
  <c r="S2434" i="14"/>
  <c r="U2398" i="14"/>
  <c r="S2398" i="14"/>
  <c r="U2374" i="14"/>
  <c r="S2374" i="14"/>
  <c r="U2338" i="14"/>
  <c r="S2338" i="14"/>
  <c r="U2314" i="14"/>
  <c r="S2314" i="14"/>
  <c r="U2290" i="14"/>
  <c r="S2290" i="14"/>
  <c r="U2278" i="14"/>
  <c r="S2278" i="14"/>
  <c r="U2254" i="14"/>
  <c r="S2254" i="14"/>
  <c r="U2242" i="14"/>
  <c r="S2242" i="14"/>
  <c r="U2218" i="14"/>
  <c r="S2218" i="14"/>
  <c r="U2194" i="14"/>
  <c r="S2194" i="14"/>
  <c r="U2182" i="14"/>
  <c r="S2182" i="14"/>
  <c r="U2158" i="14"/>
  <c r="S2158" i="14"/>
  <c r="U2146" i="14"/>
  <c r="S2146" i="14"/>
  <c r="U2122" i="14"/>
  <c r="S2122" i="14"/>
  <c r="U2098" i="14"/>
  <c r="S2098" i="14"/>
  <c r="U2086" i="14"/>
  <c r="S2086" i="14"/>
  <c r="U2050" i="14"/>
  <c r="S2050" i="14"/>
  <c r="U1714" i="14"/>
  <c r="S1714" i="14"/>
  <c r="M197" i="5"/>
  <c r="M41" i="5"/>
  <c r="U1293" i="14"/>
  <c r="S1293" i="14"/>
  <c r="U1281" i="14"/>
  <c r="S1281" i="14"/>
  <c r="U1269" i="14"/>
  <c r="S1269" i="14"/>
  <c r="U1257" i="14"/>
  <c r="S1257" i="14"/>
  <c r="U1245" i="14"/>
  <c r="S1245" i="14"/>
  <c r="U1209" i="14"/>
  <c r="S1209" i="14"/>
  <c r="U1197" i="14"/>
  <c r="S1197" i="14"/>
  <c r="U1173" i="14"/>
  <c r="S1173" i="14"/>
  <c r="U1161" i="14"/>
  <c r="S1161" i="14"/>
  <c r="U1137" i="14"/>
  <c r="S1137" i="14"/>
  <c r="U1125" i="14"/>
  <c r="S1125" i="14"/>
  <c r="U1101" i="14"/>
  <c r="S1101" i="14"/>
  <c r="U1089" i="14"/>
  <c r="S1089" i="14"/>
  <c r="U1065" i="14"/>
  <c r="S1065" i="14"/>
  <c r="U1053" i="14"/>
  <c r="S1053" i="14"/>
  <c r="U1029" i="14"/>
  <c r="S1029" i="14"/>
  <c r="U1017" i="14"/>
  <c r="S1017" i="14"/>
  <c r="U993" i="14"/>
  <c r="S993" i="14"/>
  <c r="U981" i="14"/>
  <c r="S981" i="14"/>
  <c r="U969" i="14"/>
  <c r="S969" i="14"/>
  <c r="U957" i="14"/>
  <c r="S957" i="14"/>
  <c r="U945" i="14"/>
  <c r="S945" i="14"/>
  <c r="U933" i="14"/>
  <c r="S933" i="14"/>
  <c r="U921" i="14"/>
  <c r="S921" i="14"/>
  <c r="U909" i="14"/>
  <c r="S909" i="14"/>
  <c r="U897" i="14"/>
  <c r="S897" i="14"/>
  <c r="U885" i="14"/>
  <c r="S885" i="14"/>
  <c r="U873" i="14"/>
  <c r="S873" i="14"/>
  <c r="U861" i="14"/>
  <c r="S861" i="14"/>
  <c r="U849" i="14"/>
  <c r="S849" i="14"/>
  <c r="U837" i="14"/>
  <c r="S837" i="14"/>
  <c r="U825" i="14"/>
  <c r="S825" i="14"/>
  <c r="U813" i="14"/>
  <c r="S813" i="14"/>
  <c r="U801" i="14"/>
  <c r="S801" i="14"/>
  <c r="U789" i="14"/>
  <c r="S789" i="14"/>
  <c r="U777" i="14"/>
  <c r="S777" i="14"/>
  <c r="U765" i="14"/>
  <c r="S765" i="14"/>
  <c r="U753" i="14"/>
  <c r="S753" i="14"/>
  <c r="U741" i="14"/>
  <c r="S741" i="14"/>
  <c r="U729" i="14"/>
  <c r="S729" i="14"/>
  <c r="U717" i="14"/>
  <c r="S717" i="14"/>
  <c r="U705" i="14"/>
  <c r="S705" i="14"/>
  <c r="U693" i="14"/>
  <c r="S693" i="14"/>
  <c r="U681" i="14"/>
  <c r="S681" i="14"/>
  <c r="U669" i="14"/>
  <c r="S669" i="14"/>
  <c r="U657" i="14"/>
  <c r="S657" i="14"/>
  <c r="U645" i="14"/>
  <c r="S645" i="14"/>
  <c r="U633" i="14"/>
  <c r="S633" i="14"/>
  <c r="U621" i="14"/>
  <c r="S621" i="14"/>
  <c r="U609" i="14"/>
  <c r="S609" i="14"/>
  <c r="U597" i="14"/>
  <c r="S597" i="14"/>
  <c r="U585" i="14"/>
  <c r="S585" i="14"/>
  <c r="U573" i="14"/>
  <c r="S573" i="14"/>
  <c r="U561" i="14"/>
  <c r="S561" i="14"/>
  <c r="U549" i="14"/>
  <c r="S549" i="14"/>
  <c r="U537" i="14"/>
  <c r="S537" i="14"/>
  <c r="U525" i="14"/>
  <c r="S525" i="14"/>
  <c r="U513" i="14"/>
  <c r="S513" i="14"/>
  <c r="U501" i="14"/>
  <c r="S501" i="14"/>
  <c r="U489" i="14"/>
  <c r="S489" i="14"/>
  <c r="U477" i="14"/>
  <c r="S477" i="14"/>
  <c r="U465" i="14"/>
  <c r="S465" i="14"/>
  <c r="U453" i="14"/>
  <c r="S453" i="14"/>
  <c r="U441" i="14"/>
  <c r="S441" i="14"/>
  <c r="U429" i="14"/>
  <c r="S429" i="14"/>
  <c r="U417" i="14"/>
  <c r="S417" i="14"/>
  <c r="U405" i="14"/>
  <c r="S405" i="14"/>
  <c r="U393" i="14"/>
  <c r="S393" i="14"/>
  <c r="U381" i="14"/>
  <c r="S381" i="14"/>
  <c r="U369" i="14"/>
  <c r="S369" i="14"/>
  <c r="U357" i="14"/>
  <c r="S357" i="14"/>
  <c r="U345" i="14"/>
  <c r="S345" i="14"/>
  <c r="U333" i="14"/>
  <c r="S333" i="14"/>
  <c r="U321" i="14"/>
  <c r="S321" i="14"/>
  <c r="U309" i="14"/>
  <c r="S309" i="14"/>
  <c r="U297" i="14"/>
  <c r="S297" i="14"/>
  <c r="U285" i="14"/>
  <c r="S285" i="14"/>
  <c r="U273" i="14"/>
  <c r="S273" i="14"/>
  <c r="U261" i="14"/>
  <c r="S261" i="14"/>
  <c r="U249" i="14"/>
  <c r="S249" i="14"/>
  <c r="U237" i="14"/>
  <c r="S237" i="14"/>
  <c r="U225" i="14"/>
  <c r="S225" i="14"/>
  <c r="U213" i="14"/>
  <c r="S213" i="14"/>
  <c r="U201" i="14"/>
  <c r="S201" i="14"/>
  <c r="U189" i="14"/>
  <c r="S189" i="14"/>
  <c r="U177" i="14"/>
  <c r="S177" i="14"/>
  <c r="U165" i="14"/>
  <c r="S165" i="14"/>
  <c r="U153" i="14"/>
  <c r="S153" i="14"/>
  <c r="U141" i="14"/>
  <c r="S141" i="14"/>
  <c r="U129" i="14"/>
  <c r="S129" i="14"/>
  <c r="U117" i="14"/>
  <c r="S117" i="14"/>
  <c r="U105" i="14"/>
  <c r="S105" i="14"/>
  <c r="U93" i="14"/>
  <c r="S93" i="14"/>
  <c r="U81" i="14"/>
  <c r="S81" i="14"/>
  <c r="U69" i="14"/>
  <c r="S69" i="14"/>
  <c r="U57" i="14"/>
  <c r="S57" i="14"/>
  <c r="U45" i="14"/>
  <c r="S45" i="14"/>
  <c r="U33" i="14"/>
  <c r="S33" i="14"/>
  <c r="U21" i="14"/>
  <c r="S21" i="14"/>
  <c r="U9" i="14"/>
  <c r="S9" i="14"/>
  <c r="S2768" i="14"/>
  <c r="S2732" i="14"/>
  <c r="S2696" i="14"/>
  <c r="S2660" i="14"/>
  <c r="S2624" i="14"/>
  <c r="S2588" i="14"/>
  <c r="S2552" i="14"/>
  <c r="S2516" i="14"/>
  <c r="S2480" i="14"/>
  <c r="S2444" i="14"/>
  <c r="S2408" i="14"/>
  <c r="S2372" i="14"/>
  <c r="S2336" i="14"/>
  <c r="S2300" i="14"/>
  <c r="S2264" i="14"/>
  <c r="S2228" i="14"/>
  <c r="S2192" i="14"/>
  <c r="S2156" i="14"/>
  <c r="S2120" i="14"/>
  <c r="S2084" i="14"/>
  <c r="S2048" i="14"/>
  <c r="S2012" i="14"/>
  <c r="S1976" i="14"/>
  <c r="S1940" i="14"/>
  <c r="S1904" i="14"/>
  <c r="S1868" i="14"/>
  <c r="S1832" i="14"/>
  <c r="S1796" i="14"/>
  <c r="S1760" i="14"/>
  <c r="S1724" i="14"/>
  <c r="S1688" i="14"/>
  <c r="S1652" i="14"/>
  <c r="S1616" i="14"/>
  <c r="S1580" i="14"/>
  <c r="S1544" i="14"/>
  <c r="S1508" i="14"/>
  <c r="S1472" i="14"/>
  <c r="S1436" i="14"/>
  <c r="S1400" i="14"/>
  <c r="S1364" i="14"/>
  <c r="S1328" i="14"/>
  <c r="S1291" i="14"/>
  <c r="S1204" i="14"/>
  <c r="S1096" i="14"/>
  <c r="S988" i="14"/>
  <c r="S846" i="14"/>
  <c r="S702" i="14"/>
  <c r="S558" i="14"/>
  <c r="S414" i="14"/>
  <c r="S79" i="14"/>
  <c r="U2773" i="14"/>
  <c r="S2773" i="14"/>
  <c r="U2713" i="14"/>
  <c r="S2713" i="14"/>
  <c r="U2689" i="14"/>
  <c r="S2689" i="14"/>
  <c r="U2629" i="14"/>
  <c r="S2629" i="14"/>
  <c r="U2569" i="14"/>
  <c r="S2569" i="14"/>
  <c r="U2521" i="14"/>
  <c r="S2521" i="14"/>
  <c r="U2461" i="14"/>
  <c r="S2461" i="14"/>
  <c r="U2401" i="14"/>
  <c r="S2401" i="14"/>
  <c r="U2293" i="14"/>
  <c r="S2293" i="14"/>
  <c r="U2245" i="14"/>
  <c r="S2245" i="14"/>
  <c r="U2209" i="14"/>
  <c r="S2209" i="14"/>
  <c r="U2161" i="14"/>
  <c r="S2161" i="14"/>
  <c r="U2113" i="14"/>
  <c r="S2113" i="14"/>
  <c r="U2065" i="14"/>
  <c r="S2065" i="14"/>
  <c r="U2017" i="14"/>
  <c r="S2017" i="14"/>
  <c r="U1957" i="14"/>
  <c r="S1957" i="14"/>
  <c r="U1909" i="14"/>
  <c r="S1909" i="14"/>
  <c r="U1861" i="14"/>
  <c r="S1861" i="14"/>
  <c r="U1801" i="14"/>
  <c r="S1801" i="14"/>
  <c r="U1741" i="14"/>
  <c r="S1741" i="14"/>
  <c r="U1657" i="14"/>
  <c r="S1657" i="14"/>
  <c r="U1597" i="14"/>
  <c r="S1597" i="14"/>
  <c r="U1549" i="14"/>
  <c r="S1549" i="14"/>
  <c r="U1513" i="14"/>
  <c r="S1513" i="14"/>
  <c r="U1453" i="14"/>
  <c r="S1453" i="14"/>
  <c r="U1417" i="14"/>
  <c r="S1417" i="14"/>
  <c r="U1381" i="14"/>
  <c r="S1381" i="14"/>
  <c r="U1321" i="14"/>
  <c r="S1321" i="14"/>
  <c r="U1261" i="14"/>
  <c r="S1261" i="14"/>
  <c r="U1213" i="14"/>
  <c r="S1213" i="14"/>
  <c r="U1153" i="14"/>
  <c r="S1153" i="14"/>
  <c r="U1141" i="14"/>
  <c r="S1141" i="14"/>
  <c r="U1069" i="14"/>
  <c r="S1069" i="14"/>
  <c r="U997" i="14"/>
  <c r="S997" i="14"/>
  <c r="U961" i="14"/>
  <c r="S961" i="14"/>
  <c r="U913" i="14"/>
  <c r="S913" i="14"/>
  <c r="U877" i="14"/>
  <c r="S877" i="14"/>
  <c r="U841" i="14"/>
  <c r="S841" i="14"/>
  <c r="U793" i="14"/>
  <c r="S793" i="14"/>
  <c r="U601" i="14"/>
  <c r="S601" i="14"/>
  <c r="U2759" i="14"/>
  <c r="S2759" i="14"/>
  <c r="U2699" i="14"/>
  <c r="S2699" i="14"/>
  <c r="U2627" i="14"/>
  <c r="S2627" i="14"/>
  <c r="U2567" i="14"/>
  <c r="S2567" i="14"/>
  <c r="U2471" i="14"/>
  <c r="S2471" i="14"/>
  <c r="U2387" i="14"/>
  <c r="S2387" i="14"/>
  <c r="U2327" i="14"/>
  <c r="S2327" i="14"/>
  <c r="U2279" i="14"/>
  <c r="S2279" i="14"/>
  <c r="U2231" i="14"/>
  <c r="S2231" i="14"/>
  <c r="U2183" i="14"/>
  <c r="S2183" i="14"/>
  <c r="U2147" i="14"/>
  <c r="S2147" i="14"/>
  <c r="U2087" i="14"/>
  <c r="S2087" i="14"/>
  <c r="U2027" i="14"/>
  <c r="S2027" i="14"/>
  <c r="U1979" i="14"/>
  <c r="S1979" i="14"/>
  <c r="U1919" i="14"/>
  <c r="S1919" i="14"/>
  <c r="U1895" i="14"/>
  <c r="S1895" i="14"/>
  <c r="U1811" i="14"/>
  <c r="S1811" i="14"/>
  <c r="U1751" i="14"/>
  <c r="S1751" i="14"/>
  <c r="U1727" i="14"/>
  <c r="S1727" i="14"/>
  <c r="U1667" i="14"/>
  <c r="S1667" i="14"/>
  <c r="U1607" i="14"/>
  <c r="S1607" i="14"/>
  <c r="U1559" i="14"/>
  <c r="S1559" i="14"/>
  <c r="U1523" i="14"/>
  <c r="S1523" i="14"/>
  <c r="U1499" i="14"/>
  <c r="S1499" i="14"/>
  <c r="U1451" i="14"/>
  <c r="S1451" i="14"/>
  <c r="U1415" i="14"/>
  <c r="S1415" i="14"/>
  <c r="U1367" i="14"/>
  <c r="S1367" i="14"/>
  <c r="U1355" i="14"/>
  <c r="S1355" i="14"/>
  <c r="U1319" i="14"/>
  <c r="S1319" i="14"/>
  <c r="U1283" i="14"/>
  <c r="S1283" i="14"/>
  <c r="U1247" i="14"/>
  <c r="S1247" i="14"/>
  <c r="U1211" i="14"/>
  <c r="S1211" i="14"/>
  <c r="U1175" i="14"/>
  <c r="S1175" i="14"/>
  <c r="U1139" i="14"/>
  <c r="S1139" i="14"/>
  <c r="U1103" i="14"/>
  <c r="S1103" i="14"/>
  <c r="U1043" i="14"/>
  <c r="S1043" i="14"/>
  <c r="U995" i="14"/>
  <c r="S995" i="14"/>
  <c r="U971" i="14"/>
  <c r="S971" i="14"/>
  <c r="U923" i="14"/>
  <c r="S923" i="14"/>
  <c r="U875" i="14"/>
  <c r="S875" i="14"/>
  <c r="U815" i="14"/>
  <c r="S815" i="14"/>
  <c r="U791" i="14"/>
  <c r="S791" i="14"/>
  <c r="U755" i="14"/>
  <c r="S755" i="14"/>
  <c r="U719" i="14"/>
  <c r="S719" i="14"/>
  <c r="U695" i="14"/>
  <c r="S695" i="14"/>
  <c r="U659" i="14"/>
  <c r="S659" i="14"/>
  <c r="U611" i="14"/>
  <c r="S611" i="14"/>
  <c r="U563" i="14"/>
  <c r="S563" i="14"/>
  <c r="U539" i="14"/>
  <c r="S539" i="14"/>
  <c r="U479" i="14"/>
  <c r="S479" i="14"/>
  <c r="U455" i="14"/>
  <c r="S455" i="14"/>
  <c r="U407" i="14"/>
  <c r="S407" i="14"/>
  <c r="U383" i="14"/>
  <c r="S383" i="14"/>
  <c r="U347" i="14"/>
  <c r="S347" i="14"/>
  <c r="U311" i="14"/>
  <c r="S311" i="14"/>
  <c r="U275" i="14"/>
  <c r="S275" i="14"/>
  <c r="U2770" i="14"/>
  <c r="S2770" i="14"/>
  <c r="U2734" i="14"/>
  <c r="S2734" i="14"/>
  <c r="U2698" i="14"/>
  <c r="S2698" i="14"/>
  <c r="U2650" i="14"/>
  <c r="S2650" i="14"/>
  <c r="U2602" i="14"/>
  <c r="S2602" i="14"/>
  <c r="U2494" i="14"/>
  <c r="S2494" i="14"/>
  <c r="U2458" i="14"/>
  <c r="S2458" i="14"/>
  <c r="U2422" i="14"/>
  <c r="S2422" i="14"/>
  <c r="U2362" i="14"/>
  <c r="S2362" i="14"/>
  <c r="U1798" i="14"/>
  <c r="S1798" i="14"/>
  <c r="T295" i="2"/>
  <c r="A295" i="16" s="1"/>
  <c r="M40" i="5"/>
  <c r="U1280" i="14"/>
  <c r="S1280" i="14"/>
  <c r="U1268" i="14"/>
  <c r="S1268" i="14"/>
  <c r="U1256" i="14"/>
  <c r="S1256" i="14"/>
  <c r="U1244" i="14"/>
  <c r="S1244" i="14"/>
  <c r="U1232" i="14"/>
  <c r="S1232" i="14"/>
  <c r="U1220" i="14"/>
  <c r="S1220" i="14"/>
  <c r="U1208" i="14"/>
  <c r="S1208" i="14"/>
  <c r="U1196" i="14"/>
  <c r="S1196" i="14"/>
  <c r="U1184" i="14"/>
  <c r="S1184" i="14"/>
  <c r="U1172" i="14"/>
  <c r="S1172" i="14"/>
  <c r="U1160" i="14"/>
  <c r="S1160" i="14"/>
  <c r="U1148" i="14"/>
  <c r="S1148" i="14"/>
  <c r="U1136" i="14"/>
  <c r="S1136" i="14"/>
  <c r="U1124" i="14"/>
  <c r="S1124" i="14"/>
  <c r="U1112" i="14"/>
  <c r="S1112" i="14"/>
  <c r="U1100" i="14"/>
  <c r="S1100" i="14"/>
  <c r="U1088" i="14"/>
  <c r="S1088" i="14"/>
  <c r="U1076" i="14"/>
  <c r="S1076" i="14"/>
  <c r="U1064" i="14"/>
  <c r="S1064" i="14"/>
  <c r="U1052" i="14"/>
  <c r="S1052" i="14"/>
  <c r="U1040" i="14"/>
  <c r="S1040" i="14"/>
  <c r="U1028" i="14"/>
  <c r="S1028" i="14"/>
  <c r="U1016" i="14"/>
  <c r="S1016" i="14"/>
  <c r="U1004" i="14"/>
  <c r="S1004" i="14"/>
  <c r="U992" i="14"/>
  <c r="S992" i="14"/>
  <c r="U980" i="14"/>
  <c r="S980" i="14"/>
  <c r="U968" i="14"/>
  <c r="S968" i="14"/>
  <c r="U956" i="14"/>
  <c r="S956" i="14"/>
  <c r="U944" i="14"/>
  <c r="S944" i="14"/>
  <c r="U932" i="14"/>
  <c r="S932" i="14"/>
  <c r="U920" i="14"/>
  <c r="S920" i="14"/>
  <c r="U908" i="14"/>
  <c r="S908" i="14"/>
  <c r="U896" i="14"/>
  <c r="S896" i="14"/>
  <c r="U884" i="14"/>
  <c r="S884" i="14"/>
  <c r="U872" i="14"/>
  <c r="S872" i="14"/>
  <c r="U860" i="14"/>
  <c r="S860" i="14"/>
  <c r="U848" i="14"/>
  <c r="S848" i="14"/>
  <c r="U836" i="14"/>
  <c r="S836" i="14"/>
  <c r="U824" i="14"/>
  <c r="S824" i="14"/>
  <c r="U812" i="14"/>
  <c r="S812" i="14"/>
  <c r="U800" i="14"/>
  <c r="S800" i="14"/>
  <c r="U788" i="14"/>
  <c r="S788" i="14"/>
  <c r="U776" i="14"/>
  <c r="S776" i="14"/>
  <c r="U764" i="14"/>
  <c r="S764" i="14"/>
  <c r="U752" i="14"/>
  <c r="S752" i="14"/>
  <c r="U740" i="14"/>
  <c r="S740" i="14"/>
  <c r="U728" i="14"/>
  <c r="S728" i="14"/>
  <c r="U716" i="14"/>
  <c r="S716" i="14"/>
  <c r="U704" i="14"/>
  <c r="S704" i="14"/>
  <c r="U692" i="14"/>
  <c r="S692" i="14"/>
  <c r="U680" i="14"/>
  <c r="S680" i="14"/>
  <c r="U668" i="14"/>
  <c r="S668" i="14"/>
  <c r="U656" i="14"/>
  <c r="S656" i="14"/>
  <c r="U644" i="14"/>
  <c r="S644" i="14"/>
  <c r="U632" i="14"/>
  <c r="S632" i="14"/>
  <c r="U620" i="14"/>
  <c r="S620" i="14"/>
  <c r="U608" i="14"/>
  <c r="S608" i="14"/>
  <c r="U596" i="14"/>
  <c r="S596" i="14"/>
  <c r="U584" i="14"/>
  <c r="S584" i="14"/>
  <c r="U572" i="14"/>
  <c r="S572" i="14"/>
  <c r="U560" i="14"/>
  <c r="S560" i="14"/>
  <c r="U548" i="14"/>
  <c r="S548" i="14"/>
  <c r="U536" i="14"/>
  <c r="S536" i="14"/>
  <c r="U524" i="14"/>
  <c r="S524" i="14"/>
  <c r="U512" i="14"/>
  <c r="S512" i="14"/>
  <c r="U500" i="14"/>
  <c r="S500" i="14"/>
  <c r="U488" i="14"/>
  <c r="S488" i="14"/>
  <c r="U476" i="14"/>
  <c r="S476" i="14"/>
  <c r="U464" i="14"/>
  <c r="S464" i="14"/>
  <c r="U452" i="14"/>
  <c r="S452" i="14"/>
  <c r="U440" i="14"/>
  <c r="S440" i="14"/>
  <c r="S2765" i="14"/>
  <c r="S2729" i="14"/>
  <c r="S2693" i="14"/>
  <c r="S2657" i="14"/>
  <c r="S2621" i="14"/>
  <c r="S2585" i="14"/>
  <c r="S2549" i="14"/>
  <c r="S2513" i="14"/>
  <c r="S2477" i="14"/>
  <c r="S2441" i="14"/>
  <c r="S2405" i="14"/>
  <c r="S2369" i="14"/>
  <c r="S2333" i="14"/>
  <c r="S2297" i="14"/>
  <c r="S2261" i="14"/>
  <c r="S2225" i="14"/>
  <c r="S2189" i="14"/>
  <c r="S2153" i="14"/>
  <c r="S2117" i="14"/>
  <c r="S2081" i="14"/>
  <c r="S2045" i="14"/>
  <c r="S2009" i="14"/>
  <c r="S1973" i="14"/>
  <c r="S1937" i="14"/>
  <c r="S1901" i="14"/>
  <c r="S1865" i="14"/>
  <c r="S1829" i="14"/>
  <c r="S1793" i="14"/>
  <c r="S1757" i="14"/>
  <c r="S1721" i="14"/>
  <c r="S1685" i="14"/>
  <c r="S1649" i="14"/>
  <c r="S1613" i="14"/>
  <c r="S1577" i="14"/>
  <c r="S1541" i="14"/>
  <c r="S1505" i="14"/>
  <c r="S1469" i="14"/>
  <c r="S1433" i="14"/>
  <c r="S1397" i="14"/>
  <c r="S1361" i="14"/>
  <c r="S1325" i="14"/>
  <c r="S1282" i="14"/>
  <c r="S1194" i="14"/>
  <c r="S1086" i="14"/>
  <c r="S978" i="14"/>
  <c r="S834" i="14"/>
  <c r="S690" i="14"/>
  <c r="S546" i="14"/>
  <c r="S402" i="14"/>
  <c r="T885" i="2"/>
  <c r="A885" i="16" s="1"/>
  <c r="M353" i="5"/>
  <c r="N221" i="5"/>
  <c r="N77" i="5"/>
  <c r="O77" i="5" s="1"/>
  <c r="U2779" i="14"/>
  <c r="S2779" i="14"/>
  <c r="U2767" i="14"/>
  <c r="S2767" i="14"/>
  <c r="U2755" i="14"/>
  <c r="S2755" i="14"/>
  <c r="U2743" i="14"/>
  <c r="S2743" i="14"/>
  <c r="U2731" i="14"/>
  <c r="S2731" i="14"/>
  <c r="U2719" i="14"/>
  <c r="S2719" i="14"/>
  <c r="U2707" i="14"/>
  <c r="S2707" i="14"/>
  <c r="U2695" i="14"/>
  <c r="S2695" i="14"/>
  <c r="U2683" i="14"/>
  <c r="S2683" i="14"/>
  <c r="U2671" i="14"/>
  <c r="S2671" i="14"/>
  <c r="U2659" i="14"/>
  <c r="S2659" i="14"/>
  <c r="U2647" i="14"/>
  <c r="S2647" i="14"/>
  <c r="U2635" i="14"/>
  <c r="S2635" i="14"/>
  <c r="U2623" i="14"/>
  <c r="S2623" i="14"/>
  <c r="U2611" i="14"/>
  <c r="S2611" i="14"/>
  <c r="U2599" i="14"/>
  <c r="S2599" i="14"/>
  <c r="U2587" i="14"/>
  <c r="S2587" i="14"/>
  <c r="U2575" i="14"/>
  <c r="S2575" i="14"/>
  <c r="U2563" i="14"/>
  <c r="S2563" i="14"/>
  <c r="U2551" i="14"/>
  <c r="S2551" i="14"/>
  <c r="U2539" i="14"/>
  <c r="S2539" i="14"/>
  <c r="U2527" i="14"/>
  <c r="S2527" i="14"/>
  <c r="U2515" i="14"/>
  <c r="S2515" i="14"/>
  <c r="U2503" i="14"/>
  <c r="S2503" i="14"/>
  <c r="U2491" i="14"/>
  <c r="S2491" i="14"/>
  <c r="U2479" i="14"/>
  <c r="S2479" i="14"/>
  <c r="U2467" i="14"/>
  <c r="S2467" i="14"/>
  <c r="U2455" i="14"/>
  <c r="S2455" i="14"/>
  <c r="U2443" i="14"/>
  <c r="S2443" i="14"/>
  <c r="U2431" i="14"/>
  <c r="S2431" i="14"/>
  <c r="U2419" i="14"/>
  <c r="S2419" i="14"/>
  <c r="U2407" i="14"/>
  <c r="S2407" i="14"/>
  <c r="U2395" i="14"/>
  <c r="S2395" i="14"/>
  <c r="U2383" i="14"/>
  <c r="S2383" i="14"/>
  <c r="U2371" i="14"/>
  <c r="S2371" i="14"/>
  <c r="U2359" i="14"/>
  <c r="S2359" i="14"/>
  <c r="U2347" i="14"/>
  <c r="S2347" i="14"/>
  <c r="U2335" i="14"/>
  <c r="S2335" i="14"/>
  <c r="U2323" i="14"/>
  <c r="S2323" i="14"/>
  <c r="U2311" i="14"/>
  <c r="S2311" i="14"/>
  <c r="U2299" i="14"/>
  <c r="S2299" i="14"/>
  <c r="U2287" i="14"/>
  <c r="S2287" i="14"/>
  <c r="U2275" i="14"/>
  <c r="S2275" i="14"/>
  <c r="U2263" i="14"/>
  <c r="S2263" i="14"/>
  <c r="U2251" i="14"/>
  <c r="S2251" i="14"/>
  <c r="U2239" i="14"/>
  <c r="S2239" i="14"/>
  <c r="U2227" i="14"/>
  <c r="S2227" i="14"/>
  <c r="U2215" i="14"/>
  <c r="S2215" i="14"/>
  <c r="U2203" i="14"/>
  <c r="S2203" i="14"/>
  <c r="U2191" i="14"/>
  <c r="S2191" i="14"/>
  <c r="U2179" i="14"/>
  <c r="S2179" i="14"/>
  <c r="U2167" i="14"/>
  <c r="S2167" i="14"/>
  <c r="U2155" i="14"/>
  <c r="S2155" i="14"/>
  <c r="U2143" i="14"/>
  <c r="S2143" i="14"/>
  <c r="U2131" i="14"/>
  <c r="S2131" i="14"/>
  <c r="U2119" i="14"/>
  <c r="S2119" i="14"/>
  <c r="U2107" i="14"/>
  <c r="S2107" i="14"/>
  <c r="U2095" i="14"/>
  <c r="S2095" i="14"/>
  <c r="U2083" i="14"/>
  <c r="S2083" i="14"/>
  <c r="U2071" i="14"/>
  <c r="S2071" i="14"/>
  <c r="U2059" i="14"/>
  <c r="S2059" i="14"/>
  <c r="U2047" i="14"/>
  <c r="S2047" i="14"/>
  <c r="U2035" i="14"/>
  <c r="S2035" i="14"/>
  <c r="U2023" i="14"/>
  <c r="S2023" i="14"/>
  <c r="U2011" i="14"/>
  <c r="S2011" i="14"/>
  <c r="U1999" i="14"/>
  <c r="S1999" i="14"/>
  <c r="U1987" i="14"/>
  <c r="S1987" i="14"/>
  <c r="U1975" i="14"/>
  <c r="S1975" i="14"/>
  <c r="U1963" i="14"/>
  <c r="S1963" i="14"/>
  <c r="U1951" i="14"/>
  <c r="S1951" i="14"/>
  <c r="U1939" i="14"/>
  <c r="S1939" i="14"/>
  <c r="U1927" i="14"/>
  <c r="S1927" i="14"/>
  <c r="U1915" i="14"/>
  <c r="S1915" i="14"/>
  <c r="U1903" i="14"/>
  <c r="S1903" i="14"/>
  <c r="U1891" i="14"/>
  <c r="S1891" i="14"/>
  <c r="U1879" i="14"/>
  <c r="S1879" i="14"/>
  <c r="U1867" i="14"/>
  <c r="S1867" i="14"/>
  <c r="U1855" i="14"/>
  <c r="S1855" i="14"/>
  <c r="U1843" i="14"/>
  <c r="S1843" i="14"/>
  <c r="U1831" i="14"/>
  <c r="S1831" i="14"/>
  <c r="U1819" i="14"/>
  <c r="S1819" i="14"/>
  <c r="U1807" i="14"/>
  <c r="S1807" i="14"/>
  <c r="U1795" i="14"/>
  <c r="S1795" i="14"/>
  <c r="U1783" i="14"/>
  <c r="S1783" i="14"/>
  <c r="U1771" i="14"/>
  <c r="S1771" i="14"/>
  <c r="U1759" i="14"/>
  <c r="S1759" i="14"/>
  <c r="U1747" i="14"/>
  <c r="S1747" i="14"/>
  <c r="U1735" i="14"/>
  <c r="S1735" i="14"/>
  <c r="U1723" i="14"/>
  <c r="S1723" i="14"/>
  <c r="U1711" i="14"/>
  <c r="S1711" i="14"/>
  <c r="U1699" i="14"/>
  <c r="S1699" i="14"/>
  <c r="U1687" i="14"/>
  <c r="S1687" i="14"/>
  <c r="U1675" i="14"/>
  <c r="S1675" i="14"/>
  <c r="U1663" i="14"/>
  <c r="S1663" i="14"/>
  <c r="U1651" i="14"/>
  <c r="S1651" i="14"/>
  <c r="U1639" i="14"/>
  <c r="S1639" i="14"/>
  <c r="U1627" i="14"/>
  <c r="S1627" i="14"/>
  <c r="U1615" i="14"/>
  <c r="S1615" i="14"/>
  <c r="U1603" i="14"/>
  <c r="S1603" i="14"/>
  <c r="U1591" i="14"/>
  <c r="S1591" i="14"/>
  <c r="U1579" i="14"/>
  <c r="S1579" i="14"/>
  <c r="U1567" i="14"/>
  <c r="S1567" i="14"/>
  <c r="U1555" i="14"/>
  <c r="S1555" i="14"/>
  <c r="U1543" i="14"/>
  <c r="S1543" i="14"/>
  <c r="U1531" i="14"/>
  <c r="S1531" i="14"/>
  <c r="U1519" i="14"/>
  <c r="S1519" i="14"/>
  <c r="U1507" i="14"/>
  <c r="S1507" i="14"/>
  <c r="U1495" i="14"/>
  <c r="S1495" i="14"/>
  <c r="U1483" i="14"/>
  <c r="S1483" i="14"/>
  <c r="U1471" i="14"/>
  <c r="S1471" i="14"/>
  <c r="U1459" i="14"/>
  <c r="S1459" i="14"/>
  <c r="U1447" i="14"/>
  <c r="S1447" i="14"/>
  <c r="U1435" i="14"/>
  <c r="S1435" i="14"/>
  <c r="U1423" i="14"/>
  <c r="S1423" i="14"/>
  <c r="U1411" i="14"/>
  <c r="S1411" i="14"/>
  <c r="U1399" i="14"/>
  <c r="S1399" i="14"/>
  <c r="U1387" i="14"/>
  <c r="S1387" i="14"/>
  <c r="U1375" i="14"/>
  <c r="S1375" i="14"/>
  <c r="U1363" i="14"/>
  <c r="S1363" i="14"/>
  <c r="U1351" i="14"/>
  <c r="S1351" i="14"/>
  <c r="U1339" i="14"/>
  <c r="S1339" i="14"/>
  <c r="U1327" i="14"/>
  <c r="S1327" i="14"/>
  <c r="U1315" i="14"/>
  <c r="S1315" i="14"/>
  <c r="U1303" i="14"/>
  <c r="S1303" i="14"/>
  <c r="U1267" i="14"/>
  <c r="S1267" i="14"/>
  <c r="U1243" i="14"/>
  <c r="S1243" i="14"/>
  <c r="U1231" i="14"/>
  <c r="S1231" i="14"/>
  <c r="U1219" i="14"/>
  <c r="S1219" i="14"/>
  <c r="U1207" i="14"/>
  <c r="S1207" i="14"/>
  <c r="U1195" i="14"/>
  <c r="S1195" i="14"/>
  <c r="U1183" i="14"/>
  <c r="S1183" i="14"/>
  <c r="U1171" i="14"/>
  <c r="S1171" i="14"/>
  <c r="U1159" i="14"/>
  <c r="S1159" i="14"/>
  <c r="U1147" i="14"/>
  <c r="S1147" i="14"/>
  <c r="U1135" i="14"/>
  <c r="S1135" i="14"/>
  <c r="U1123" i="14"/>
  <c r="S1123" i="14"/>
  <c r="U1111" i="14"/>
  <c r="S1111" i="14"/>
  <c r="U1099" i="14"/>
  <c r="S1099" i="14"/>
  <c r="U1087" i="14"/>
  <c r="S1087" i="14"/>
  <c r="U1075" i="14"/>
  <c r="S1075" i="14"/>
  <c r="U1063" i="14"/>
  <c r="S1063" i="14"/>
  <c r="U1051" i="14"/>
  <c r="S1051" i="14"/>
  <c r="U1039" i="14"/>
  <c r="S1039" i="14"/>
  <c r="U1027" i="14"/>
  <c r="S1027" i="14"/>
  <c r="U1015" i="14"/>
  <c r="S1015" i="14"/>
  <c r="U1003" i="14"/>
  <c r="S1003" i="14"/>
  <c r="U991" i="14"/>
  <c r="S991" i="14"/>
  <c r="U979" i="14"/>
  <c r="S979" i="14"/>
  <c r="U955" i="14"/>
  <c r="S955" i="14"/>
  <c r="U931" i="14"/>
  <c r="S931" i="14"/>
  <c r="U907" i="14"/>
  <c r="S907" i="14"/>
  <c r="U883" i="14"/>
  <c r="S883" i="14"/>
  <c r="U859" i="14"/>
  <c r="S859" i="14"/>
  <c r="U835" i="14"/>
  <c r="S835" i="14"/>
  <c r="U811" i="14"/>
  <c r="S811" i="14"/>
  <c r="U787" i="14"/>
  <c r="S787" i="14"/>
  <c r="U763" i="14"/>
  <c r="S763" i="14"/>
  <c r="U739" i="14"/>
  <c r="S739" i="14"/>
  <c r="U715" i="14"/>
  <c r="S715" i="14"/>
  <c r="U691" i="14"/>
  <c r="S691" i="14"/>
  <c r="U667" i="14"/>
  <c r="S667" i="14"/>
  <c r="U643" i="14"/>
  <c r="S643" i="14"/>
  <c r="U619" i="14"/>
  <c r="S619" i="14"/>
  <c r="U595" i="14"/>
  <c r="S595" i="14"/>
  <c r="U571" i="14"/>
  <c r="S571" i="14"/>
  <c r="U547" i="14"/>
  <c r="S547" i="14"/>
  <c r="U523" i="14"/>
  <c r="S523" i="14"/>
  <c r="U499" i="14"/>
  <c r="S499" i="14"/>
  <c r="U475" i="14"/>
  <c r="S475" i="14"/>
  <c r="U451" i="14"/>
  <c r="S451" i="14"/>
  <c r="U427" i="14"/>
  <c r="S427" i="14"/>
  <c r="U403" i="14"/>
  <c r="S403" i="14"/>
  <c r="U379" i="14"/>
  <c r="S379" i="14"/>
  <c r="U355" i="14"/>
  <c r="S355" i="14"/>
  <c r="U331" i="14"/>
  <c r="S331" i="14"/>
  <c r="U307" i="14"/>
  <c r="S307" i="14"/>
  <c r="U283" i="14"/>
  <c r="S283" i="14"/>
  <c r="U259" i="14"/>
  <c r="S259" i="14"/>
  <c r="U235" i="14"/>
  <c r="S235" i="14"/>
  <c r="U211" i="14"/>
  <c r="S211" i="14"/>
  <c r="U199" i="14"/>
  <c r="S199" i="14"/>
  <c r="U187" i="14"/>
  <c r="S187" i="14"/>
  <c r="U175" i="14"/>
  <c r="S175" i="14"/>
  <c r="U163" i="14"/>
  <c r="S163" i="14"/>
  <c r="U139" i="14"/>
  <c r="S139" i="14"/>
  <c r="U127" i="14"/>
  <c r="S127" i="14"/>
  <c r="U115" i="14"/>
  <c r="S115" i="14"/>
  <c r="U103" i="14"/>
  <c r="S103" i="14"/>
  <c r="U91" i="14"/>
  <c r="S91" i="14"/>
  <c r="U67" i="14"/>
  <c r="S67" i="14"/>
  <c r="U55" i="14"/>
  <c r="S55" i="14"/>
  <c r="U43" i="14"/>
  <c r="S43" i="14"/>
  <c r="U31" i="14"/>
  <c r="S31" i="14"/>
  <c r="U19" i="14"/>
  <c r="S19" i="14"/>
  <c r="S2763" i="14"/>
  <c r="S2727" i="14"/>
  <c r="S2691" i="14"/>
  <c r="S2655" i="14"/>
  <c r="S2619" i="14"/>
  <c r="S2583" i="14"/>
  <c r="S2547" i="14"/>
  <c r="S2511" i="14"/>
  <c r="S2475" i="14"/>
  <c r="S2439" i="14"/>
  <c r="S2403" i="14"/>
  <c r="S2367" i="14"/>
  <c r="S2331" i="14"/>
  <c r="S2295" i="14"/>
  <c r="S2259" i="14"/>
  <c r="S2223" i="14"/>
  <c r="S2187" i="14"/>
  <c r="S2151" i="14"/>
  <c r="S2115" i="14"/>
  <c r="S2079" i="14"/>
  <c r="S2043" i="14"/>
  <c r="S2007" i="14"/>
  <c r="S1971" i="14"/>
  <c r="S1935" i="14"/>
  <c r="S1899" i="14"/>
  <c r="S1863" i="14"/>
  <c r="S1827" i="14"/>
  <c r="S1791" i="14"/>
  <c r="S1755" i="14"/>
  <c r="S1719" i="14"/>
  <c r="S1683" i="14"/>
  <c r="S1647" i="14"/>
  <c r="S1611" i="14"/>
  <c r="S1575" i="14"/>
  <c r="S1539" i="14"/>
  <c r="S1503" i="14"/>
  <c r="S1467" i="14"/>
  <c r="S1431" i="14"/>
  <c r="S1395" i="14"/>
  <c r="S1359" i="14"/>
  <c r="S1323" i="14"/>
  <c r="S1279" i="14"/>
  <c r="S1185" i="14"/>
  <c r="S1077" i="14"/>
  <c r="S967" i="14"/>
  <c r="S823" i="14"/>
  <c r="S679" i="14"/>
  <c r="S535" i="14"/>
  <c r="S391" i="14"/>
  <c r="S247" i="14"/>
  <c r="U2761" i="14"/>
  <c r="S2761" i="14"/>
  <c r="U2653" i="14"/>
  <c r="S2653" i="14"/>
  <c r="U2605" i="14"/>
  <c r="S2605" i="14"/>
  <c r="U2557" i="14"/>
  <c r="S2557" i="14"/>
  <c r="U2497" i="14"/>
  <c r="S2497" i="14"/>
  <c r="U2437" i="14"/>
  <c r="S2437" i="14"/>
  <c r="U2389" i="14"/>
  <c r="S2389" i="14"/>
  <c r="U2353" i="14"/>
  <c r="S2353" i="14"/>
  <c r="U2317" i="14"/>
  <c r="S2317" i="14"/>
  <c r="U2269" i="14"/>
  <c r="S2269" i="14"/>
  <c r="U2221" i="14"/>
  <c r="S2221" i="14"/>
  <c r="U2149" i="14"/>
  <c r="S2149" i="14"/>
  <c r="U2089" i="14"/>
  <c r="S2089" i="14"/>
  <c r="U2041" i="14"/>
  <c r="S2041" i="14"/>
  <c r="U1981" i="14"/>
  <c r="S1981" i="14"/>
  <c r="U1921" i="14"/>
  <c r="S1921" i="14"/>
  <c r="U1849" i="14"/>
  <c r="S1849" i="14"/>
  <c r="U1813" i="14"/>
  <c r="S1813" i="14"/>
  <c r="U1765" i="14"/>
  <c r="S1765" i="14"/>
  <c r="U1729" i="14"/>
  <c r="S1729" i="14"/>
  <c r="U1693" i="14"/>
  <c r="S1693" i="14"/>
  <c r="U1633" i="14"/>
  <c r="S1633" i="14"/>
  <c r="U1573" i="14"/>
  <c r="S1573" i="14"/>
  <c r="U1501" i="14"/>
  <c r="S1501" i="14"/>
  <c r="U1477" i="14"/>
  <c r="S1477" i="14"/>
  <c r="U1393" i="14"/>
  <c r="S1393" i="14"/>
  <c r="U1345" i="14"/>
  <c r="S1345" i="14"/>
  <c r="U1309" i="14"/>
  <c r="S1309" i="14"/>
  <c r="U1249" i="14"/>
  <c r="S1249" i="14"/>
  <c r="U1201" i="14"/>
  <c r="S1201" i="14"/>
  <c r="U1129" i="14"/>
  <c r="S1129" i="14"/>
  <c r="U1105" i="14"/>
  <c r="S1105" i="14"/>
  <c r="U1057" i="14"/>
  <c r="S1057" i="14"/>
  <c r="U1009" i="14"/>
  <c r="S1009" i="14"/>
  <c r="U949" i="14"/>
  <c r="S949" i="14"/>
  <c r="U901" i="14"/>
  <c r="S901" i="14"/>
  <c r="U853" i="14"/>
  <c r="S853" i="14"/>
  <c r="U817" i="14"/>
  <c r="S817" i="14"/>
  <c r="U781" i="14"/>
  <c r="S781" i="14"/>
  <c r="U577" i="14"/>
  <c r="S577" i="14"/>
  <c r="U2735" i="14"/>
  <c r="S2735" i="14"/>
  <c r="U2663" i="14"/>
  <c r="S2663" i="14"/>
  <c r="U2603" i="14"/>
  <c r="S2603" i="14"/>
  <c r="U2543" i="14"/>
  <c r="S2543" i="14"/>
  <c r="U2495" i="14"/>
  <c r="S2495" i="14"/>
  <c r="U2435" i="14"/>
  <c r="S2435" i="14"/>
  <c r="U2375" i="14"/>
  <c r="S2375" i="14"/>
  <c r="U2303" i="14"/>
  <c r="S2303" i="14"/>
  <c r="U2219" i="14"/>
  <c r="S2219" i="14"/>
  <c r="U2111" i="14"/>
  <c r="S2111" i="14"/>
  <c r="U2051" i="14"/>
  <c r="S2051" i="14"/>
  <c r="U2015" i="14"/>
  <c r="S2015" i="14"/>
  <c r="U1943" i="14"/>
  <c r="S1943" i="14"/>
  <c r="U1859" i="14"/>
  <c r="S1859" i="14"/>
  <c r="U1799" i="14"/>
  <c r="S1799" i="14"/>
  <c r="U1775" i="14"/>
  <c r="S1775" i="14"/>
  <c r="U1715" i="14"/>
  <c r="S1715" i="14"/>
  <c r="U1679" i="14"/>
  <c r="S1679" i="14"/>
  <c r="U1631" i="14"/>
  <c r="S1631" i="14"/>
  <c r="U1595" i="14"/>
  <c r="S1595" i="14"/>
  <c r="U1535" i="14"/>
  <c r="S1535" i="14"/>
  <c r="U1475" i="14"/>
  <c r="S1475" i="14"/>
  <c r="U1439" i="14"/>
  <c r="S1439" i="14"/>
  <c r="U1391" i="14"/>
  <c r="S1391" i="14"/>
  <c r="U1331" i="14"/>
  <c r="S1331" i="14"/>
  <c r="U1307" i="14"/>
  <c r="S1307" i="14"/>
  <c r="U1259" i="14"/>
  <c r="S1259" i="14"/>
  <c r="U1223" i="14"/>
  <c r="S1223" i="14"/>
  <c r="U1187" i="14"/>
  <c r="S1187" i="14"/>
  <c r="U1151" i="14"/>
  <c r="S1151" i="14"/>
  <c r="U1115" i="14"/>
  <c r="S1115" i="14"/>
  <c r="U1067" i="14"/>
  <c r="S1067" i="14"/>
  <c r="U1019" i="14"/>
  <c r="S1019" i="14"/>
  <c r="U1007" i="14"/>
  <c r="S1007" i="14"/>
  <c r="U959" i="14"/>
  <c r="S959" i="14"/>
  <c r="U935" i="14"/>
  <c r="S935" i="14"/>
  <c r="U899" i="14"/>
  <c r="S899" i="14"/>
  <c r="U863" i="14"/>
  <c r="S863" i="14"/>
  <c r="U839" i="14"/>
  <c r="S839" i="14"/>
  <c r="U803" i="14"/>
  <c r="S803" i="14"/>
  <c r="U767" i="14"/>
  <c r="S767" i="14"/>
  <c r="U731" i="14"/>
  <c r="S731" i="14"/>
  <c r="U707" i="14"/>
  <c r="S707" i="14"/>
  <c r="U671" i="14"/>
  <c r="S671" i="14"/>
  <c r="U635" i="14"/>
  <c r="S635" i="14"/>
  <c r="U599" i="14"/>
  <c r="S599" i="14"/>
  <c r="U575" i="14"/>
  <c r="S575" i="14"/>
  <c r="U527" i="14"/>
  <c r="S527" i="14"/>
  <c r="U491" i="14"/>
  <c r="S491" i="14"/>
  <c r="U443" i="14"/>
  <c r="S443" i="14"/>
  <c r="U419" i="14"/>
  <c r="S419" i="14"/>
  <c r="U371" i="14"/>
  <c r="S371" i="14"/>
  <c r="U323" i="14"/>
  <c r="S323" i="14"/>
  <c r="U287" i="14"/>
  <c r="S287" i="14"/>
  <c r="T682" i="2"/>
  <c r="A682" i="16" s="1"/>
  <c r="T356" i="2"/>
  <c r="A356" i="16" s="1"/>
  <c r="T341" i="2"/>
  <c r="T113" i="2"/>
  <c r="A113" i="16" s="1"/>
  <c r="M340" i="5"/>
  <c r="N413" i="5"/>
  <c r="N73" i="5"/>
  <c r="U2778" i="14"/>
  <c r="S2778" i="14"/>
  <c r="U2766" i="14"/>
  <c r="S2766" i="14"/>
  <c r="U2754" i="14"/>
  <c r="S2754" i="14"/>
  <c r="U2742" i="14"/>
  <c r="S2742" i="14"/>
  <c r="U2730" i="14"/>
  <c r="S2730" i="14"/>
  <c r="U2718" i="14"/>
  <c r="S2718" i="14"/>
  <c r="U2706" i="14"/>
  <c r="S2706" i="14"/>
  <c r="U2694" i="14"/>
  <c r="S2694" i="14"/>
  <c r="U2682" i="14"/>
  <c r="S2682" i="14"/>
  <c r="U2670" i="14"/>
  <c r="S2670" i="14"/>
  <c r="U2658" i="14"/>
  <c r="S2658" i="14"/>
  <c r="U2646" i="14"/>
  <c r="S2646" i="14"/>
  <c r="U2634" i="14"/>
  <c r="S2634" i="14"/>
  <c r="U2622" i="14"/>
  <c r="S2622" i="14"/>
  <c r="U2610" i="14"/>
  <c r="S2610" i="14"/>
  <c r="U2598" i="14"/>
  <c r="S2598" i="14"/>
  <c r="U2586" i="14"/>
  <c r="S2586" i="14"/>
  <c r="U2574" i="14"/>
  <c r="S2574" i="14"/>
  <c r="U2562" i="14"/>
  <c r="S2562" i="14"/>
  <c r="U2550" i="14"/>
  <c r="S2550" i="14"/>
  <c r="U2538" i="14"/>
  <c r="S2538" i="14"/>
  <c r="U2526" i="14"/>
  <c r="S2526" i="14"/>
  <c r="U2514" i="14"/>
  <c r="S2514" i="14"/>
  <c r="U2502" i="14"/>
  <c r="S2502" i="14"/>
  <c r="U2490" i="14"/>
  <c r="S2490" i="14"/>
  <c r="U2478" i="14"/>
  <c r="S2478" i="14"/>
  <c r="U2466" i="14"/>
  <c r="S2466" i="14"/>
  <c r="U2454" i="14"/>
  <c r="S2454" i="14"/>
  <c r="U2442" i="14"/>
  <c r="S2442" i="14"/>
  <c r="U2430" i="14"/>
  <c r="S2430" i="14"/>
  <c r="U2418" i="14"/>
  <c r="S2418" i="14"/>
  <c r="U2406" i="14"/>
  <c r="S2406" i="14"/>
  <c r="U2394" i="14"/>
  <c r="S2394" i="14"/>
  <c r="U2382" i="14"/>
  <c r="S2382" i="14"/>
  <c r="U2370" i="14"/>
  <c r="S2370" i="14"/>
  <c r="U2358" i="14"/>
  <c r="S2358" i="14"/>
  <c r="U2346" i="14"/>
  <c r="S2346" i="14"/>
  <c r="U2334" i="14"/>
  <c r="S2334" i="14"/>
  <c r="U2322" i="14"/>
  <c r="S2322" i="14"/>
  <c r="U2310" i="14"/>
  <c r="S2310" i="14"/>
  <c r="U2298" i="14"/>
  <c r="S2298" i="14"/>
  <c r="U2286" i="14"/>
  <c r="S2286" i="14"/>
  <c r="U2274" i="14"/>
  <c r="S2274" i="14"/>
  <c r="U2262" i="14"/>
  <c r="S2262" i="14"/>
  <c r="U2250" i="14"/>
  <c r="S2250" i="14"/>
  <c r="U2238" i="14"/>
  <c r="S2238" i="14"/>
  <c r="U2226" i="14"/>
  <c r="S2226" i="14"/>
  <c r="U2214" i="14"/>
  <c r="S2214" i="14"/>
  <c r="U2202" i="14"/>
  <c r="S2202" i="14"/>
  <c r="U2190" i="14"/>
  <c r="S2190" i="14"/>
  <c r="U2178" i="14"/>
  <c r="S2178" i="14"/>
  <c r="U2166" i="14"/>
  <c r="S2166" i="14"/>
  <c r="U2154" i="14"/>
  <c r="S2154" i="14"/>
  <c r="U2142" i="14"/>
  <c r="S2142" i="14"/>
  <c r="U2130" i="14"/>
  <c r="S2130" i="14"/>
  <c r="U2118" i="14"/>
  <c r="S2118" i="14"/>
  <c r="U2106" i="14"/>
  <c r="S2106" i="14"/>
  <c r="U2094" i="14"/>
  <c r="S2094" i="14"/>
  <c r="U2082" i="14"/>
  <c r="S2082" i="14"/>
  <c r="U2070" i="14"/>
  <c r="S2070" i="14"/>
  <c r="U2058" i="14"/>
  <c r="S2058" i="14"/>
  <c r="U2046" i="14"/>
  <c r="S2046" i="14"/>
  <c r="U2034" i="14"/>
  <c r="S2034" i="14"/>
  <c r="U2022" i="14"/>
  <c r="S2022" i="14"/>
  <c r="U2010" i="14"/>
  <c r="S2010" i="14"/>
  <c r="U1998" i="14"/>
  <c r="S1998" i="14"/>
  <c r="U1986" i="14"/>
  <c r="S1986" i="14"/>
  <c r="U1974" i="14"/>
  <c r="S1974" i="14"/>
  <c r="U1962" i="14"/>
  <c r="S1962" i="14"/>
  <c r="U1950" i="14"/>
  <c r="S1950" i="14"/>
  <c r="U1938" i="14"/>
  <c r="S1938" i="14"/>
  <c r="U1926" i="14"/>
  <c r="S1926" i="14"/>
  <c r="U1914" i="14"/>
  <c r="S1914" i="14"/>
  <c r="U1902" i="14"/>
  <c r="S1902" i="14"/>
  <c r="U1890" i="14"/>
  <c r="S1890" i="14"/>
  <c r="U1878" i="14"/>
  <c r="S1878" i="14"/>
  <c r="U1866" i="14"/>
  <c r="S1866" i="14"/>
  <c r="U1854" i="14"/>
  <c r="S1854" i="14"/>
  <c r="U1842" i="14"/>
  <c r="S1842" i="14"/>
  <c r="U1830" i="14"/>
  <c r="S1830" i="14"/>
  <c r="U1818" i="14"/>
  <c r="S1818" i="14"/>
  <c r="U1806" i="14"/>
  <c r="S1806" i="14"/>
  <c r="U1794" i="14"/>
  <c r="S1794" i="14"/>
  <c r="U1782" i="14"/>
  <c r="S1782" i="14"/>
  <c r="U1770" i="14"/>
  <c r="S1770" i="14"/>
  <c r="U1758" i="14"/>
  <c r="S1758" i="14"/>
  <c r="U1746" i="14"/>
  <c r="S1746" i="14"/>
  <c r="U1734" i="14"/>
  <c r="S1734" i="14"/>
  <c r="U1722" i="14"/>
  <c r="S1722" i="14"/>
  <c r="U1710" i="14"/>
  <c r="S1710" i="14"/>
  <c r="U1698" i="14"/>
  <c r="S1698" i="14"/>
  <c r="U1686" i="14"/>
  <c r="S1686" i="14"/>
  <c r="U1674" i="14"/>
  <c r="S1674" i="14"/>
  <c r="U1662" i="14"/>
  <c r="S1662" i="14"/>
  <c r="U1650" i="14"/>
  <c r="S1650" i="14"/>
  <c r="U1638" i="14"/>
  <c r="S1638" i="14"/>
  <c r="U1626" i="14"/>
  <c r="S1626" i="14"/>
  <c r="U1614" i="14"/>
  <c r="S1614" i="14"/>
  <c r="U1602" i="14"/>
  <c r="S1602" i="14"/>
  <c r="U1590" i="14"/>
  <c r="S1590" i="14"/>
  <c r="U1578" i="14"/>
  <c r="S1578" i="14"/>
  <c r="U1566" i="14"/>
  <c r="S1566" i="14"/>
  <c r="U1554" i="14"/>
  <c r="S1554" i="14"/>
  <c r="U1542" i="14"/>
  <c r="S1542" i="14"/>
  <c r="U1530" i="14"/>
  <c r="S1530" i="14"/>
  <c r="U1518" i="14"/>
  <c r="S1518" i="14"/>
  <c r="U1506" i="14"/>
  <c r="S1506" i="14"/>
  <c r="U1494" i="14"/>
  <c r="S1494" i="14"/>
  <c r="U1482" i="14"/>
  <c r="S1482" i="14"/>
  <c r="U1470" i="14"/>
  <c r="S1470" i="14"/>
  <c r="U1458" i="14"/>
  <c r="S1458" i="14"/>
  <c r="U1446" i="14"/>
  <c r="S1446" i="14"/>
  <c r="U1434" i="14"/>
  <c r="S1434" i="14"/>
  <c r="U1422" i="14"/>
  <c r="S1422" i="14"/>
  <c r="U1410" i="14"/>
  <c r="S1410" i="14"/>
  <c r="U1398" i="14"/>
  <c r="S1398" i="14"/>
  <c r="U1386" i="14"/>
  <c r="S1386" i="14"/>
  <c r="U1374" i="14"/>
  <c r="S1374" i="14"/>
  <c r="U1362" i="14"/>
  <c r="S1362" i="14"/>
  <c r="U1350" i="14"/>
  <c r="S1350" i="14"/>
  <c r="U1338" i="14"/>
  <c r="S1338" i="14"/>
  <c r="U1326" i="14"/>
  <c r="S1326" i="14"/>
  <c r="U1314" i="14"/>
  <c r="S1314" i="14"/>
  <c r="U1302" i="14"/>
  <c r="S1302" i="14"/>
  <c r="U1290" i="14"/>
  <c r="S1290" i="14"/>
  <c r="U1278" i="14"/>
  <c r="S1278" i="14"/>
  <c r="U1254" i="14"/>
  <c r="S1254" i="14"/>
  <c r="U1242" i="14"/>
  <c r="S1242" i="14"/>
  <c r="U1230" i="14"/>
  <c r="S1230" i="14"/>
  <c r="U1218" i="14"/>
  <c r="S1218" i="14"/>
  <c r="U1182" i="14"/>
  <c r="S1182" i="14"/>
  <c r="U1146" i="14"/>
  <c r="S1146" i="14"/>
  <c r="U1110" i="14"/>
  <c r="S1110" i="14"/>
  <c r="U1074" i="14"/>
  <c r="S1074" i="14"/>
  <c r="U1038" i="14"/>
  <c r="S1038" i="14"/>
  <c r="U1002" i="14"/>
  <c r="S1002" i="14"/>
  <c r="U966" i="14"/>
  <c r="S966" i="14"/>
  <c r="U954" i="14"/>
  <c r="S954" i="14"/>
  <c r="U918" i="14"/>
  <c r="S918" i="14"/>
  <c r="U906" i="14"/>
  <c r="S906" i="14"/>
  <c r="U870" i="14"/>
  <c r="S870" i="14"/>
  <c r="U858" i="14"/>
  <c r="S858" i="14"/>
  <c r="U822" i="14"/>
  <c r="S822" i="14"/>
  <c r="U810" i="14"/>
  <c r="S810" i="14"/>
  <c r="U774" i="14"/>
  <c r="S774" i="14"/>
  <c r="U762" i="14"/>
  <c r="S762" i="14"/>
  <c r="U726" i="14"/>
  <c r="S726" i="14"/>
  <c r="U714" i="14"/>
  <c r="S714" i="14"/>
  <c r="U678" i="14"/>
  <c r="S678" i="14"/>
  <c r="U666" i="14"/>
  <c r="S666" i="14"/>
  <c r="U630" i="14"/>
  <c r="S630" i="14"/>
  <c r="U618" i="14"/>
  <c r="S618" i="14"/>
  <c r="U582" i="14"/>
  <c r="S582" i="14"/>
  <c r="U570" i="14"/>
  <c r="S570" i="14"/>
  <c r="U534" i="14"/>
  <c r="S534" i="14"/>
  <c r="U522" i="14"/>
  <c r="S522" i="14"/>
  <c r="U486" i="14"/>
  <c r="S486" i="14"/>
  <c r="U474" i="14"/>
  <c r="S474" i="14"/>
  <c r="U438" i="14"/>
  <c r="S438" i="14"/>
  <c r="U426" i="14"/>
  <c r="S426" i="14"/>
  <c r="U390" i="14"/>
  <c r="S390" i="14"/>
  <c r="S2757" i="14"/>
  <c r="S2721" i="14"/>
  <c r="S2685" i="14"/>
  <c r="S2649" i="14"/>
  <c r="S2613" i="14"/>
  <c r="S2577" i="14"/>
  <c r="S2541" i="14"/>
  <c r="S2505" i="14"/>
  <c r="S2469" i="14"/>
  <c r="S2433" i="14"/>
  <c r="S2397" i="14"/>
  <c r="S2361" i="14"/>
  <c r="S2325" i="14"/>
  <c r="S2289" i="14"/>
  <c r="S2253" i="14"/>
  <c r="S2217" i="14"/>
  <c r="S2181" i="14"/>
  <c r="S2145" i="14"/>
  <c r="S2109" i="14"/>
  <c r="S2073" i="14"/>
  <c r="S2037" i="14"/>
  <c r="S2001" i="14"/>
  <c r="S1965" i="14"/>
  <c r="S1929" i="14"/>
  <c r="S1893" i="14"/>
  <c r="S1857" i="14"/>
  <c r="S1821" i="14"/>
  <c r="S1785" i="14"/>
  <c r="S1749" i="14"/>
  <c r="S1713" i="14"/>
  <c r="S1677" i="14"/>
  <c r="S1641" i="14"/>
  <c r="S1605" i="14"/>
  <c r="S1569" i="14"/>
  <c r="S1533" i="14"/>
  <c r="S1497" i="14"/>
  <c r="S1461" i="14"/>
  <c r="S1425" i="14"/>
  <c r="S1389" i="14"/>
  <c r="S1353" i="14"/>
  <c r="S1317" i="14"/>
  <c r="S1266" i="14"/>
  <c r="S1170" i="14"/>
  <c r="S1062" i="14"/>
  <c r="S943" i="14"/>
  <c r="S799" i="14"/>
  <c r="S655" i="14"/>
  <c r="S511" i="14"/>
  <c r="S367" i="14"/>
  <c r="S223" i="14"/>
  <c r="U1289" i="14"/>
  <c r="S1289" i="14"/>
  <c r="U1277" i="14"/>
  <c r="S1277" i="14"/>
  <c r="U1265" i="14"/>
  <c r="S1265" i="14"/>
  <c r="U1253" i="14"/>
  <c r="S1253" i="14"/>
  <c r="U1241" i="14"/>
  <c r="S1241" i="14"/>
  <c r="U1229" i="14"/>
  <c r="S1229" i="14"/>
  <c r="U1217" i="14"/>
  <c r="S1217" i="14"/>
  <c r="U1205" i="14"/>
  <c r="S1205" i="14"/>
  <c r="U1193" i="14"/>
  <c r="S1193" i="14"/>
  <c r="U1181" i="14"/>
  <c r="S1181" i="14"/>
  <c r="U1169" i="14"/>
  <c r="S1169" i="14"/>
  <c r="U1157" i="14"/>
  <c r="S1157" i="14"/>
  <c r="U1145" i="14"/>
  <c r="S1145" i="14"/>
  <c r="U1133" i="14"/>
  <c r="S1133" i="14"/>
  <c r="U1121" i="14"/>
  <c r="S1121" i="14"/>
  <c r="U1109" i="14"/>
  <c r="S1109" i="14"/>
  <c r="U1097" i="14"/>
  <c r="S1097" i="14"/>
  <c r="U1085" i="14"/>
  <c r="S1085" i="14"/>
  <c r="U1073" i="14"/>
  <c r="S1073" i="14"/>
  <c r="U1061" i="14"/>
  <c r="S1061" i="14"/>
  <c r="U1049" i="14"/>
  <c r="S1049" i="14"/>
  <c r="U1037" i="14"/>
  <c r="S1037" i="14"/>
  <c r="U1025" i="14"/>
  <c r="S1025" i="14"/>
  <c r="U1013" i="14"/>
  <c r="S1013" i="14"/>
  <c r="U1001" i="14"/>
  <c r="S1001" i="14"/>
  <c r="U989" i="14"/>
  <c r="S989" i="14"/>
  <c r="U977" i="14"/>
  <c r="S977" i="14"/>
  <c r="U965" i="14"/>
  <c r="S965" i="14"/>
  <c r="U953" i="14"/>
  <c r="S953" i="14"/>
  <c r="U941" i="14"/>
  <c r="S941" i="14"/>
  <c r="U929" i="14"/>
  <c r="S929" i="14"/>
  <c r="U917" i="14"/>
  <c r="S917" i="14"/>
  <c r="U905" i="14"/>
  <c r="S905" i="14"/>
  <c r="U893" i="14"/>
  <c r="S893" i="14"/>
  <c r="U881" i="14"/>
  <c r="S881" i="14"/>
  <c r="U869" i="14"/>
  <c r="S869" i="14"/>
  <c r="U857" i="14"/>
  <c r="S857" i="14"/>
  <c r="U845" i="14"/>
  <c r="S845" i="14"/>
  <c r="U833" i="14"/>
  <c r="S833" i="14"/>
  <c r="U821" i="14"/>
  <c r="S821" i="14"/>
  <c r="U809" i="14"/>
  <c r="S809" i="14"/>
  <c r="U797" i="14"/>
  <c r="S797" i="14"/>
  <c r="U785" i="14"/>
  <c r="S785" i="14"/>
  <c r="U773" i="14"/>
  <c r="S773" i="14"/>
  <c r="U761" i="14"/>
  <c r="S761" i="14"/>
  <c r="U749" i="14"/>
  <c r="S749" i="14"/>
  <c r="U737" i="14"/>
  <c r="S737" i="14"/>
  <c r="U725" i="14"/>
  <c r="S725" i="14"/>
  <c r="U713" i="14"/>
  <c r="S713" i="14"/>
  <c r="U701" i="14"/>
  <c r="S701" i="14"/>
  <c r="U689" i="14"/>
  <c r="S689" i="14"/>
  <c r="U677" i="14"/>
  <c r="S677" i="14"/>
  <c r="U665" i="14"/>
  <c r="S665" i="14"/>
  <c r="U653" i="14"/>
  <c r="S653" i="14"/>
  <c r="U641" i="14"/>
  <c r="S641" i="14"/>
  <c r="U629" i="14"/>
  <c r="S629" i="14"/>
  <c r="U617" i="14"/>
  <c r="S617" i="14"/>
  <c r="U605" i="14"/>
  <c r="S605" i="14"/>
  <c r="U593" i="14"/>
  <c r="S593" i="14"/>
  <c r="U581" i="14"/>
  <c r="S581" i="14"/>
  <c r="U569" i="14"/>
  <c r="S569" i="14"/>
  <c r="U557" i="14"/>
  <c r="S557" i="14"/>
  <c r="U545" i="14"/>
  <c r="S545" i="14"/>
  <c r="U533" i="14"/>
  <c r="S533" i="14"/>
  <c r="U521" i="14"/>
  <c r="S521" i="14"/>
  <c r="U509" i="14"/>
  <c r="S509" i="14"/>
  <c r="U497" i="14"/>
  <c r="S497" i="14"/>
  <c r="U485" i="14"/>
  <c r="S485" i="14"/>
  <c r="U473" i="14"/>
  <c r="S473" i="14"/>
  <c r="U461" i="14"/>
  <c r="S461" i="14"/>
  <c r="U449" i="14"/>
  <c r="S449" i="14"/>
  <c r="U437" i="14"/>
  <c r="S437" i="14"/>
  <c r="U425" i="14"/>
  <c r="S425" i="14"/>
  <c r="U413" i="14"/>
  <c r="S413" i="14"/>
  <c r="U401" i="14"/>
  <c r="S401" i="14"/>
  <c r="U389" i="14"/>
  <c r="S389" i="14"/>
  <c r="U377" i="14"/>
  <c r="S377" i="14"/>
  <c r="U365" i="14"/>
  <c r="S365" i="14"/>
  <c r="U353" i="14"/>
  <c r="S353" i="14"/>
  <c r="U341" i="14"/>
  <c r="S341" i="14"/>
  <c r="U329" i="14"/>
  <c r="S329" i="14"/>
  <c r="U317" i="14"/>
  <c r="S317" i="14"/>
  <c r="U305" i="14"/>
  <c r="S305" i="14"/>
  <c r="U293" i="14"/>
  <c r="S293" i="14"/>
  <c r="U281" i="14"/>
  <c r="S281" i="14"/>
  <c r="S2756" i="14"/>
  <c r="S2720" i="14"/>
  <c r="S2684" i="14"/>
  <c r="S2648" i="14"/>
  <c r="S2612" i="14"/>
  <c r="S2576" i="14"/>
  <c r="U2725" i="14"/>
  <c r="S2725" i="14"/>
  <c r="U2665" i="14"/>
  <c r="S2665" i="14"/>
  <c r="U2593" i="14"/>
  <c r="S2593" i="14"/>
  <c r="U2533" i="14"/>
  <c r="S2533" i="14"/>
  <c r="U2473" i="14"/>
  <c r="S2473" i="14"/>
  <c r="U2413" i="14"/>
  <c r="S2413" i="14"/>
  <c r="U2341" i="14"/>
  <c r="S2341" i="14"/>
  <c r="U2281" i="14"/>
  <c r="S2281" i="14"/>
  <c r="U2173" i="14"/>
  <c r="S2173" i="14"/>
  <c r="U2137" i="14"/>
  <c r="S2137" i="14"/>
  <c r="U2077" i="14"/>
  <c r="S2077" i="14"/>
  <c r="U2005" i="14"/>
  <c r="S2005" i="14"/>
  <c r="U1933" i="14"/>
  <c r="S1933" i="14"/>
  <c r="U1873" i="14"/>
  <c r="S1873" i="14"/>
  <c r="U1789" i="14"/>
  <c r="S1789" i="14"/>
  <c r="U1705" i="14"/>
  <c r="S1705" i="14"/>
  <c r="U1645" i="14"/>
  <c r="S1645" i="14"/>
  <c r="U1561" i="14"/>
  <c r="S1561" i="14"/>
  <c r="U1489" i="14"/>
  <c r="S1489" i="14"/>
  <c r="U1429" i="14"/>
  <c r="S1429" i="14"/>
  <c r="U1357" i="14"/>
  <c r="S1357" i="14"/>
  <c r="U1273" i="14"/>
  <c r="S1273" i="14"/>
  <c r="U1189" i="14"/>
  <c r="S1189" i="14"/>
  <c r="U1045" i="14"/>
  <c r="S1045" i="14"/>
  <c r="U661" i="14"/>
  <c r="S661" i="14"/>
  <c r="U2771" i="14"/>
  <c r="S2771" i="14"/>
  <c r="U2687" i="14"/>
  <c r="S2687" i="14"/>
  <c r="U2639" i="14"/>
  <c r="S2639" i="14"/>
  <c r="U2555" i="14"/>
  <c r="S2555" i="14"/>
  <c r="U2483" i="14"/>
  <c r="S2483" i="14"/>
  <c r="U2423" i="14"/>
  <c r="S2423" i="14"/>
  <c r="U2339" i="14"/>
  <c r="S2339" i="14"/>
  <c r="U2255" i="14"/>
  <c r="S2255" i="14"/>
  <c r="U2159" i="14"/>
  <c r="S2159" i="14"/>
  <c r="U2099" i="14"/>
  <c r="S2099" i="14"/>
  <c r="U2003" i="14"/>
  <c r="S2003" i="14"/>
  <c r="U1835" i="14"/>
  <c r="S1835" i="14"/>
  <c r="U1079" i="14"/>
  <c r="S1079" i="14"/>
  <c r="M127" i="5"/>
  <c r="N365" i="5"/>
  <c r="U2776" i="14"/>
  <c r="S2776" i="14"/>
  <c r="U2764" i="14"/>
  <c r="S2764" i="14"/>
  <c r="U2752" i="14"/>
  <c r="S2752" i="14"/>
  <c r="U2740" i="14"/>
  <c r="S2740" i="14"/>
  <c r="U2728" i="14"/>
  <c r="S2728" i="14"/>
  <c r="U2716" i="14"/>
  <c r="S2716" i="14"/>
  <c r="U2704" i="14"/>
  <c r="S2704" i="14"/>
  <c r="U2692" i="14"/>
  <c r="S2692" i="14"/>
  <c r="U2680" i="14"/>
  <c r="S2680" i="14"/>
  <c r="U2668" i="14"/>
  <c r="S2668" i="14"/>
  <c r="U2656" i="14"/>
  <c r="S2656" i="14"/>
  <c r="U2644" i="14"/>
  <c r="S2644" i="14"/>
  <c r="U2632" i="14"/>
  <c r="S2632" i="14"/>
  <c r="U2620" i="14"/>
  <c r="S2620" i="14"/>
  <c r="U2608" i="14"/>
  <c r="S2608" i="14"/>
  <c r="U2596" i="14"/>
  <c r="S2596" i="14"/>
  <c r="U2584" i="14"/>
  <c r="S2584" i="14"/>
  <c r="U2572" i="14"/>
  <c r="S2572" i="14"/>
  <c r="U2560" i="14"/>
  <c r="S2560" i="14"/>
  <c r="U2548" i="14"/>
  <c r="S2548" i="14"/>
  <c r="U2536" i="14"/>
  <c r="S2536" i="14"/>
  <c r="U2524" i="14"/>
  <c r="S2524" i="14"/>
  <c r="U2512" i="14"/>
  <c r="S2512" i="14"/>
  <c r="U2500" i="14"/>
  <c r="S2500" i="14"/>
  <c r="U2488" i="14"/>
  <c r="S2488" i="14"/>
  <c r="U2476" i="14"/>
  <c r="S2476" i="14"/>
  <c r="U2464" i="14"/>
  <c r="S2464" i="14"/>
  <c r="U2452" i="14"/>
  <c r="S2452" i="14"/>
  <c r="U2440" i="14"/>
  <c r="S2440" i="14"/>
  <c r="U2428" i="14"/>
  <c r="S2428" i="14"/>
  <c r="U2416" i="14"/>
  <c r="S2416" i="14"/>
  <c r="U2404" i="14"/>
  <c r="S2404" i="14"/>
  <c r="U2392" i="14"/>
  <c r="S2392" i="14"/>
  <c r="U2380" i="14"/>
  <c r="S2380" i="14"/>
  <c r="U2368" i="14"/>
  <c r="S2368" i="14"/>
  <c r="U2356" i="14"/>
  <c r="S2356" i="14"/>
  <c r="U2344" i="14"/>
  <c r="S2344" i="14"/>
  <c r="U2332" i="14"/>
  <c r="S2332" i="14"/>
  <c r="U2320" i="14"/>
  <c r="S2320" i="14"/>
  <c r="U2308" i="14"/>
  <c r="S2308" i="14"/>
  <c r="U2296" i="14"/>
  <c r="S2296" i="14"/>
  <c r="U2284" i="14"/>
  <c r="S2284" i="14"/>
  <c r="U2272" i="14"/>
  <c r="S2272" i="14"/>
  <c r="U2260" i="14"/>
  <c r="S2260" i="14"/>
  <c r="U2248" i="14"/>
  <c r="S2248" i="14"/>
  <c r="U2236" i="14"/>
  <c r="S2236" i="14"/>
  <c r="U2224" i="14"/>
  <c r="S2224" i="14"/>
  <c r="U2212" i="14"/>
  <c r="S2212" i="14"/>
  <c r="U2200" i="14"/>
  <c r="S2200" i="14"/>
  <c r="U2188" i="14"/>
  <c r="S2188" i="14"/>
  <c r="U2176" i="14"/>
  <c r="S2176" i="14"/>
  <c r="U2164" i="14"/>
  <c r="S2164" i="14"/>
  <c r="U2152" i="14"/>
  <c r="S2152" i="14"/>
  <c r="U2140" i="14"/>
  <c r="S2140" i="14"/>
  <c r="U2128" i="14"/>
  <c r="S2128" i="14"/>
  <c r="U2116" i="14"/>
  <c r="S2116" i="14"/>
  <c r="U2104" i="14"/>
  <c r="S2104" i="14"/>
  <c r="U2092" i="14"/>
  <c r="S2092" i="14"/>
  <c r="U2080" i="14"/>
  <c r="S2080" i="14"/>
  <c r="U2068" i="14"/>
  <c r="S2068" i="14"/>
  <c r="U2056" i="14"/>
  <c r="S2056" i="14"/>
  <c r="U2044" i="14"/>
  <c r="S2044" i="14"/>
  <c r="U2032" i="14"/>
  <c r="S2032" i="14"/>
  <c r="U2020" i="14"/>
  <c r="S2020" i="14"/>
  <c r="U2008" i="14"/>
  <c r="S2008" i="14"/>
  <c r="U1996" i="14"/>
  <c r="S1996" i="14"/>
  <c r="U1984" i="14"/>
  <c r="S1984" i="14"/>
  <c r="U1972" i="14"/>
  <c r="S1972" i="14"/>
  <c r="U1960" i="14"/>
  <c r="S1960" i="14"/>
  <c r="U1948" i="14"/>
  <c r="S1948" i="14"/>
  <c r="U1936" i="14"/>
  <c r="S1936" i="14"/>
  <c r="U1924" i="14"/>
  <c r="S1924" i="14"/>
  <c r="U1912" i="14"/>
  <c r="S1912" i="14"/>
  <c r="U1900" i="14"/>
  <c r="S1900" i="14"/>
  <c r="U1888" i="14"/>
  <c r="S1888" i="14"/>
  <c r="U1876" i="14"/>
  <c r="S1876" i="14"/>
  <c r="U1864" i="14"/>
  <c r="S1864" i="14"/>
  <c r="U1852" i="14"/>
  <c r="S1852" i="14"/>
  <c r="U1840" i="14"/>
  <c r="S1840" i="14"/>
  <c r="U1828" i="14"/>
  <c r="S1828" i="14"/>
  <c r="U1816" i="14"/>
  <c r="S1816" i="14"/>
  <c r="U1804" i="14"/>
  <c r="S1804" i="14"/>
  <c r="U1792" i="14"/>
  <c r="S1792" i="14"/>
  <c r="U1780" i="14"/>
  <c r="S1780" i="14"/>
  <c r="U1768" i="14"/>
  <c r="S1768" i="14"/>
  <c r="U1756" i="14"/>
  <c r="S1756" i="14"/>
  <c r="U1744" i="14"/>
  <c r="S1744" i="14"/>
  <c r="U1732" i="14"/>
  <c r="S1732" i="14"/>
  <c r="U1720" i="14"/>
  <c r="S1720" i="14"/>
  <c r="U1708" i="14"/>
  <c r="S1708" i="14"/>
  <c r="U1696" i="14"/>
  <c r="S1696" i="14"/>
  <c r="U1684" i="14"/>
  <c r="S1684" i="14"/>
  <c r="U1672" i="14"/>
  <c r="S1672" i="14"/>
  <c r="U1660" i="14"/>
  <c r="S1660" i="14"/>
  <c r="U1648" i="14"/>
  <c r="S1648" i="14"/>
  <c r="U1636" i="14"/>
  <c r="S1636" i="14"/>
  <c r="U1624" i="14"/>
  <c r="S1624" i="14"/>
  <c r="U1612" i="14"/>
  <c r="S1612" i="14"/>
  <c r="U1600" i="14"/>
  <c r="S1600" i="14"/>
  <c r="U1588" i="14"/>
  <c r="S1588" i="14"/>
  <c r="U1576" i="14"/>
  <c r="S1576" i="14"/>
  <c r="U1564" i="14"/>
  <c r="S1564" i="14"/>
  <c r="U1552" i="14"/>
  <c r="S1552" i="14"/>
  <c r="U1540" i="14"/>
  <c r="S1540" i="14"/>
  <c r="U1528" i="14"/>
  <c r="S1528" i="14"/>
  <c r="U1516" i="14"/>
  <c r="S1516" i="14"/>
  <c r="U1504" i="14"/>
  <c r="S1504" i="14"/>
  <c r="U1492" i="14"/>
  <c r="S1492" i="14"/>
  <c r="U1480" i="14"/>
  <c r="S1480" i="14"/>
  <c r="U1468" i="14"/>
  <c r="S1468" i="14"/>
  <c r="U1456" i="14"/>
  <c r="S1456" i="14"/>
  <c r="U1444" i="14"/>
  <c r="S1444" i="14"/>
  <c r="U1432" i="14"/>
  <c r="S1432" i="14"/>
  <c r="U1420" i="14"/>
  <c r="S1420" i="14"/>
  <c r="U1408" i="14"/>
  <c r="S1408" i="14"/>
  <c r="U1396" i="14"/>
  <c r="S1396" i="14"/>
  <c r="U1384" i="14"/>
  <c r="S1384" i="14"/>
  <c r="U1372" i="14"/>
  <c r="S1372" i="14"/>
  <c r="U1360" i="14"/>
  <c r="S1360" i="14"/>
  <c r="U1348" i="14"/>
  <c r="S1348" i="14"/>
  <c r="U1336" i="14"/>
  <c r="S1336" i="14"/>
  <c r="U1324" i="14"/>
  <c r="S1324" i="14"/>
  <c r="U1312" i="14"/>
  <c r="S1312" i="14"/>
  <c r="U1300" i="14"/>
  <c r="S1300" i="14"/>
  <c r="U1288" i="14"/>
  <c r="S1288" i="14"/>
  <c r="U1276" i="14"/>
  <c r="S1276" i="14"/>
  <c r="U1240" i="14"/>
  <c r="S1240" i="14"/>
  <c r="U1216" i="14"/>
  <c r="S1216" i="14"/>
  <c r="U1192" i="14"/>
  <c r="S1192" i="14"/>
  <c r="U1180" i="14"/>
  <c r="S1180" i="14"/>
  <c r="U1156" i="14"/>
  <c r="S1156" i="14"/>
  <c r="U1144" i="14"/>
  <c r="S1144" i="14"/>
  <c r="U1120" i="14"/>
  <c r="S1120" i="14"/>
  <c r="U1108" i="14"/>
  <c r="S1108" i="14"/>
  <c r="U1084" i="14"/>
  <c r="S1084" i="14"/>
  <c r="U1072" i="14"/>
  <c r="S1072" i="14"/>
  <c r="U1048" i="14"/>
  <c r="S1048" i="14"/>
  <c r="U1036" i="14"/>
  <c r="S1036" i="14"/>
  <c r="U1012" i="14"/>
  <c r="S1012" i="14"/>
  <c r="U1000" i="14"/>
  <c r="S1000" i="14"/>
  <c r="U976" i="14"/>
  <c r="S976" i="14"/>
  <c r="U964" i="14"/>
  <c r="S964" i="14"/>
  <c r="U952" i="14"/>
  <c r="S952" i="14"/>
  <c r="U940" i="14"/>
  <c r="S940" i="14"/>
  <c r="U928" i="14"/>
  <c r="S928" i="14"/>
  <c r="U916" i="14"/>
  <c r="S916" i="14"/>
  <c r="U904" i="14"/>
  <c r="S904" i="14"/>
  <c r="U892" i="14"/>
  <c r="S892" i="14"/>
  <c r="U880" i="14"/>
  <c r="S880" i="14"/>
  <c r="U868" i="14"/>
  <c r="S868" i="14"/>
  <c r="U856" i="14"/>
  <c r="S856" i="14"/>
  <c r="U844" i="14"/>
  <c r="S844" i="14"/>
  <c r="U832" i="14"/>
  <c r="S832" i="14"/>
  <c r="U820" i="14"/>
  <c r="S820" i="14"/>
  <c r="U808" i="14"/>
  <c r="S808" i="14"/>
  <c r="U796" i="14"/>
  <c r="S796" i="14"/>
  <c r="U784" i="14"/>
  <c r="S784" i="14"/>
  <c r="U772" i="14"/>
  <c r="S772" i="14"/>
  <c r="U760" i="14"/>
  <c r="S760" i="14"/>
  <c r="U748" i="14"/>
  <c r="S748" i="14"/>
  <c r="U736" i="14"/>
  <c r="S736" i="14"/>
  <c r="U724" i="14"/>
  <c r="S724" i="14"/>
  <c r="U712" i="14"/>
  <c r="S712" i="14"/>
  <c r="U700" i="14"/>
  <c r="S700" i="14"/>
  <c r="U688" i="14"/>
  <c r="S688" i="14"/>
  <c r="U676" i="14"/>
  <c r="S676" i="14"/>
  <c r="U664" i="14"/>
  <c r="S664" i="14"/>
  <c r="U652" i="14"/>
  <c r="S652" i="14"/>
  <c r="U640" i="14"/>
  <c r="S640" i="14"/>
  <c r="U628" i="14"/>
  <c r="S628" i="14"/>
  <c r="U616" i="14"/>
  <c r="S616" i="14"/>
  <c r="U604" i="14"/>
  <c r="S604" i="14"/>
  <c r="U592" i="14"/>
  <c r="S592" i="14"/>
  <c r="U580" i="14"/>
  <c r="S580" i="14"/>
  <c r="U568" i="14"/>
  <c r="S568" i="14"/>
  <c r="U556" i="14"/>
  <c r="S556" i="14"/>
  <c r="U544" i="14"/>
  <c r="S544" i="14"/>
  <c r="U532" i="14"/>
  <c r="S532" i="14"/>
  <c r="U520" i="14"/>
  <c r="S520" i="14"/>
  <c r="U508" i="14"/>
  <c r="S508" i="14"/>
  <c r="U496" i="14"/>
  <c r="S496" i="14"/>
  <c r="U484" i="14"/>
  <c r="S484" i="14"/>
  <c r="U472" i="14"/>
  <c r="S472" i="14"/>
  <c r="U460" i="14"/>
  <c r="S460" i="14"/>
  <c r="U448" i="14"/>
  <c r="S448" i="14"/>
  <c r="U436" i="14"/>
  <c r="S436" i="14"/>
  <c r="U424" i="14"/>
  <c r="S424" i="14"/>
  <c r="U412" i="14"/>
  <c r="S412" i="14"/>
  <c r="U400" i="14"/>
  <c r="S400" i="14"/>
  <c r="U388" i="14"/>
  <c r="S388" i="14"/>
  <c r="U376" i="14"/>
  <c r="S376" i="14"/>
  <c r="U364" i="14"/>
  <c r="S364" i="14"/>
  <c r="U352" i="14"/>
  <c r="S352" i="14"/>
  <c r="U340" i="14"/>
  <c r="S340" i="14"/>
  <c r="U328" i="14"/>
  <c r="S328" i="14"/>
  <c r="U316" i="14"/>
  <c r="S316" i="14"/>
  <c r="U304" i="14"/>
  <c r="S304" i="14"/>
  <c r="U292" i="14"/>
  <c r="S292" i="14"/>
  <c r="U280" i="14"/>
  <c r="S280" i="14"/>
  <c r="U268" i="14"/>
  <c r="S268" i="14"/>
  <c r="U256" i="14"/>
  <c r="S256" i="14"/>
  <c r="U244" i="14"/>
  <c r="S244" i="14"/>
  <c r="U232" i="14"/>
  <c r="S232" i="14"/>
  <c r="U220" i="14"/>
  <c r="S220" i="14"/>
  <c r="S2753" i="14"/>
  <c r="S2717" i="14"/>
  <c r="S2681" i="14"/>
  <c r="S2645" i="14"/>
  <c r="S2609" i="14"/>
  <c r="S2573" i="14"/>
  <c r="S2537" i="14"/>
  <c r="S2501" i="14"/>
  <c r="S2465" i="14"/>
  <c r="S2429" i="14"/>
  <c r="S2393" i="14"/>
  <c r="S2357" i="14"/>
  <c r="S2321" i="14"/>
  <c r="S2285" i="14"/>
  <c r="S2249" i="14"/>
  <c r="S2213" i="14"/>
  <c r="S2177" i="14"/>
  <c r="S2141" i="14"/>
  <c r="S2105" i="14"/>
  <c r="S2069" i="14"/>
  <c r="S2033" i="14"/>
  <c r="S1997" i="14"/>
  <c r="S1961" i="14"/>
  <c r="S1925" i="14"/>
  <c r="S1889" i="14"/>
  <c r="S1853" i="14"/>
  <c r="S1817" i="14"/>
  <c r="S1781" i="14"/>
  <c r="S1745" i="14"/>
  <c r="S1709" i="14"/>
  <c r="S1673" i="14"/>
  <c r="S1637" i="14"/>
  <c r="S1601" i="14"/>
  <c r="S1565" i="14"/>
  <c r="S1529" i="14"/>
  <c r="S1493" i="14"/>
  <c r="S1457" i="14"/>
  <c r="S1421" i="14"/>
  <c r="S1385" i="14"/>
  <c r="S1349" i="14"/>
  <c r="S1313" i="14"/>
  <c r="S1255" i="14"/>
  <c r="S1158" i="14"/>
  <c r="S1050" i="14"/>
  <c r="S930" i="14"/>
  <c r="S786" i="14"/>
  <c r="S642" i="14"/>
  <c r="S498" i="14"/>
  <c r="S208" i="14"/>
  <c r="U2737" i="14"/>
  <c r="S2737" i="14"/>
  <c r="U2677" i="14"/>
  <c r="S2677" i="14"/>
  <c r="U2617" i="14"/>
  <c r="S2617" i="14"/>
  <c r="U2545" i="14"/>
  <c r="S2545" i="14"/>
  <c r="U2485" i="14"/>
  <c r="S2485" i="14"/>
  <c r="U2425" i="14"/>
  <c r="S2425" i="14"/>
  <c r="U2365" i="14"/>
  <c r="S2365" i="14"/>
  <c r="U2329" i="14"/>
  <c r="S2329" i="14"/>
  <c r="U2257" i="14"/>
  <c r="S2257" i="14"/>
  <c r="U2197" i="14"/>
  <c r="S2197" i="14"/>
  <c r="U2125" i="14"/>
  <c r="S2125" i="14"/>
  <c r="U2029" i="14"/>
  <c r="S2029" i="14"/>
  <c r="U1969" i="14"/>
  <c r="S1969" i="14"/>
  <c r="U1897" i="14"/>
  <c r="S1897" i="14"/>
  <c r="U1825" i="14"/>
  <c r="S1825" i="14"/>
  <c r="U1753" i="14"/>
  <c r="S1753" i="14"/>
  <c r="U1681" i="14"/>
  <c r="S1681" i="14"/>
  <c r="U1609" i="14"/>
  <c r="S1609" i="14"/>
  <c r="U1537" i="14"/>
  <c r="S1537" i="14"/>
  <c r="U1465" i="14"/>
  <c r="S1465" i="14"/>
  <c r="U1369" i="14"/>
  <c r="S1369" i="14"/>
  <c r="U1285" i="14"/>
  <c r="S1285" i="14"/>
  <c r="U1225" i="14"/>
  <c r="S1225" i="14"/>
  <c r="U1177" i="14"/>
  <c r="S1177" i="14"/>
  <c r="U1117" i="14"/>
  <c r="S1117" i="14"/>
  <c r="U1081" i="14"/>
  <c r="S1081" i="14"/>
  <c r="U1021" i="14"/>
  <c r="S1021" i="14"/>
  <c r="U973" i="14"/>
  <c r="S973" i="14"/>
  <c r="U937" i="14"/>
  <c r="S937" i="14"/>
  <c r="U889" i="14"/>
  <c r="S889" i="14"/>
  <c r="U829" i="14"/>
  <c r="S829" i="14"/>
  <c r="U589" i="14"/>
  <c r="S589" i="14"/>
  <c r="U2747" i="14"/>
  <c r="S2747" i="14"/>
  <c r="U2651" i="14"/>
  <c r="S2651" i="14"/>
  <c r="U2591" i="14"/>
  <c r="S2591" i="14"/>
  <c r="U2519" i="14"/>
  <c r="S2519" i="14"/>
  <c r="U2447" i="14"/>
  <c r="S2447" i="14"/>
  <c r="U2363" i="14"/>
  <c r="S2363" i="14"/>
  <c r="U2267" i="14"/>
  <c r="S2267" i="14"/>
  <c r="U2207" i="14"/>
  <c r="S2207" i="14"/>
  <c r="U2135" i="14"/>
  <c r="S2135" i="14"/>
  <c r="U2039" i="14"/>
  <c r="S2039" i="14"/>
  <c r="U1967" i="14"/>
  <c r="S1967" i="14"/>
  <c r="U1931" i="14"/>
  <c r="S1931" i="14"/>
  <c r="U1871" i="14"/>
  <c r="S1871" i="14"/>
  <c r="U1823" i="14"/>
  <c r="S1823" i="14"/>
  <c r="U1763" i="14"/>
  <c r="S1763" i="14"/>
  <c r="U1703" i="14"/>
  <c r="S1703" i="14"/>
  <c r="U1619" i="14"/>
  <c r="S1619" i="14"/>
  <c r="U1055" i="14"/>
  <c r="S1055" i="14"/>
  <c r="T1142" i="2"/>
  <c r="A1142" i="16" s="1"/>
  <c r="T895" i="2"/>
  <c r="A895" i="16" s="1"/>
  <c r="T741" i="2"/>
  <c r="T723" i="2"/>
  <c r="A723" i="16" s="1"/>
  <c r="T624" i="2"/>
  <c r="A624" i="16" s="1"/>
  <c r="T521" i="2"/>
  <c r="A521" i="16" s="1"/>
  <c r="T471" i="2"/>
  <c r="A471" i="16" s="1"/>
  <c r="T338" i="2"/>
  <c r="A338" i="16" s="1"/>
  <c r="T211" i="2"/>
  <c r="A211" i="16" s="1"/>
  <c r="T199" i="2"/>
  <c r="A199" i="16" s="1"/>
  <c r="M245" i="5"/>
  <c r="N8" i="5"/>
  <c r="O8" i="5" s="1"/>
  <c r="U1287" i="14"/>
  <c r="S1287" i="14"/>
  <c r="U1275" i="14"/>
  <c r="S1275" i="14"/>
  <c r="U1263" i="14"/>
  <c r="S1263" i="14"/>
  <c r="U1251" i="14"/>
  <c r="S1251" i="14"/>
  <c r="U1239" i="14"/>
  <c r="S1239" i="14"/>
  <c r="U1227" i="14"/>
  <c r="S1227" i="14"/>
  <c r="U1215" i="14"/>
  <c r="S1215" i="14"/>
  <c r="U1203" i="14"/>
  <c r="S1203" i="14"/>
  <c r="U1191" i="14"/>
  <c r="S1191" i="14"/>
  <c r="U1179" i="14"/>
  <c r="S1179" i="14"/>
  <c r="U1167" i="14"/>
  <c r="S1167" i="14"/>
  <c r="U1155" i="14"/>
  <c r="S1155" i="14"/>
  <c r="U1143" i="14"/>
  <c r="S1143" i="14"/>
  <c r="U1131" i="14"/>
  <c r="S1131" i="14"/>
  <c r="U1119" i="14"/>
  <c r="S1119" i="14"/>
  <c r="U1107" i="14"/>
  <c r="S1107" i="14"/>
  <c r="U1095" i="14"/>
  <c r="S1095" i="14"/>
  <c r="U1083" i="14"/>
  <c r="S1083" i="14"/>
  <c r="U1071" i="14"/>
  <c r="S1071" i="14"/>
  <c r="U1059" i="14"/>
  <c r="S1059" i="14"/>
  <c r="U1047" i="14"/>
  <c r="S1047" i="14"/>
  <c r="U1035" i="14"/>
  <c r="S1035" i="14"/>
  <c r="U1023" i="14"/>
  <c r="S1023" i="14"/>
  <c r="U1011" i="14"/>
  <c r="S1011" i="14"/>
  <c r="U999" i="14"/>
  <c r="S999" i="14"/>
  <c r="U987" i="14"/>
  <c r="S987" i="14"/>
  <c r="U975" i="14"/>
  <c r="S975" i="14"/>
  <c r="U963" i="14"/>
  <c r="S963" i="14"/>
  <c r="U951" i="14"/>
  <c r="S951" i="14"/>
  <c r="U939" i="14"/>
  <c r="S939" i="14"/>
  <c r="U927" i="14"/>
  <c r="S927" i="14"/>
  <c r="U915" i="14"/>
  <c r="S915" i="14"/>
  <c r="U903" i="14"/>
  <c r="S903" i="14"/>
  <c r="U891" i="14"/>
  <c r="S891" i="14"/>
  <c r="U879" i="14"/>
  <c r="S879" i="14"/>
  <c r="U867" i="14"/>
  <c r="S867" i="14"/>
  <c r="U855" i="14"/>
  <c r="S855" i="14"/>
  <c r="U843" i="14"/>
  <c r="S843" i="14"/>
  <c r="U831" i="14"/>
  <c r="S831" i="14"/>
  <c r="U819" i="14"/>
  <c r="S819" i="14"/>
  <c r="U807" i="14"/>
  <c r="S807" i="14"/>
  <c r="U795" i="14"/>
  <c r="S795" i="14"/>
  <c r="U783" i="14"/>
  <c r="S783" i="14"/>
  <c r="U771" i="14"/>
  <c r="S771" i="14"/>
  <c r="U759" i="14"/>
  <c r="S759" i="14"/>
  <c r="U747" i="14"/>
  <c r="S747" i="14"/>
  <c r="U735" i="14"/>
  <c r="S735" i="14"/>
  <c r="U723" i="14"/>
  <c r="S723" i="14"/>
  <c r="U711" i="14"/>
  <c r="S711" i="14"/>
  <c r="U699" i="14"/>
  <c r="S699" i="14"/>
  <c r="U687" i="14"/>
  <c r="S687" i="14"/>
  <c r="U675" i="14"/>
  <c r="S675" i="14"/>
  <c r="U663" i="14"/>
  <c r="S663" i="14"/>
  <c r="U651" i="14"/>
  <c r="S651" i="14"/>
  <c r="U639" i="14"/>
  <c r="S639" i="14"/>
  <c r="U627" i="14"/>
  <c r="S627" i="14"/>
  <c r="U615" i="14"/>
  <c r="S615" i="14"/>
  <c r="U603" i="14"/>
  <c r="S603" i="14"/>
  <c r="U591" i="14"/>
  <c r="S591" i="14"/>
  <c r="U579" i="14"/>
  <c r="S579" i="14"/>
  <c r="U567" i="14"/>
  <c r="S567" i="14"/>
  <c r="U555" i="14"/>
  <c r="S555" i="14"/>
  <c r="U543" i="14"/>
  <c r="S543" i="14"/>
  <c r="U531" i="14"/>
  <c r="S531" i="14"/>
  <c r="U519" i="14"/>
  <c r="S519" i="14"/>
  <c r="U507" i="14"/>
  <c r="S507" i="14"/>
  <c r="U495" i="14"/>
  <c r="S495" i="14"/>
  <c r="U483" i="14"/>
  <c r="S483" i="14"/>
  <c r="U471" i="14"/>
  <c r="S471" i="14"/>
  <c r="U459" i="14"/>
  <c r="S459" i="14"/>
  <c r="U447" i="14"/>
  <c r="S447" i="14"/>
  <c r="U435" i="14"/>
  <c r="S435" i="14"/>
  <c r="U423" i="14"/>
  <c r="S423" i="14"/>
  <c r="U411" i="14"/>
  <c r="S411" i="14"/>
  <c r="U399" i="14"/>
  <c r="S399" i="14"/>
  <c r="U387" i="14"/>
  <c r="S387" i="14"/>
  <c r="U375" i="14"/>
  <c r="S375" i="14"/>
  <c r="U363" i="14"/>
  <c r="S363" i="14"/>
  <c r="S2751" i="14"/>
  <c r="S2715" i="14"/>
  <c r="S2679" i="14"/>
  <c r="S2643" i="14"/>
  <c r="S2607" i="14"/>
  <c r="S2571" i="14"/>
  <c r="S2535" i="14"/>
  <c r="S2499" i="14"/>
  <c r="S2463" i="14"/>
  <c r="S2427" i="14"/>
  <c r="S2391" i="14"/>
  <c r="S2355" i="14"/>
  <c r="S2319" i="14"/>
  <c r="S2283" i="14"/>
  <c r="S2247" i="14"/>
  <c r="S2211" i="14"/>
  <c r="S2175" i="14"/>
  <c r="S2139" i="14"/>
  <c r="S2103" i="14"/>
  <c r="S2067" i="14"/>
  <c r="S2031" i="14"/>
  <c r="S1995" i="14"/>
  <c r="S1959" i="14"/>
  <c r="S1923" i="14"/>
  <c r="S1887" i="14"/>
  <c r="S1851" i="14"/>
  <c r="S1815" i="14"/>
  <c r="S1779" i="14"/>
  <c r="S1743" i="14"/>
  <c r="S1707" i="14"/>
  <c r="S1671" i="14"/>
  <c r="S1635" i="14"/>
  <c r="S1599" i="14"/>
  <c r="S1563" i="14"/>
  <c r="S1527" i="14"/>
  <c r="S1491" i="14"/>
  <c r="S1455" i="14"/>
  <c r="S1419" i="14"/>
  <c r="S1383" i="14"/>
  <c r="S1347" i="14"/>
  <c r="S1311" i="14"/>
  <c r="S1252" i="14"/>
  <c r="S1149" i="14"/>
  <c r="S1041" i="14"/>
  <c r="S919" i="14"/>
  <c r="S775" i="14"/>
  <c r="S631" i="14"/>
  <c r="S487" i="14"/>
  <c r="S343" i="14"/>
  <c r="T380" i="2"/>
  <c r="A380" i="16" s="1"/>
  <c r="U2774" i="14"/>
  <c r="S2774" i="14"/>
  <c r="U2762" i="14"/>
  <c r="S2762" i="14"/>
  <c r="U2750" i="14"/>
  <c r="S2750" i="14"/>
  <c r="U2738" i="14"/>
  <c r="S2738" i="14"/>
  <c r="U2726" i="14"/>
  <c r="S2726" i="14"/>
  <c r="U2714" i="14"/>
  <c r="S2714" i="14"/>
  <c r="U2702" i="14"/>
  <c r="S2702" i="14"/>
  <c r="U2690" i="14"/>
  <c r="S2690" i="14"/>
  <c r="U2678" i="14"/>
  <c r="S2678" i="14"/>
  <c r="U2666" i="14"/>
  <c r="S2666" i="14"/>
  <c r="U2654" i="14"/>
  <c r="S2654" i="14"/>
  <c r="U2642" i="14"/>
  <c r="S2642" i="14"/>
  <c r="U2630" i="14"/>
  <c r="S2630" i="14"/>
  <c r="U2618" i="14"/>
  <c r="S2618" i="14"/>
  <c r="U2606" i="14"/>
  <c r="S2606" i="14"/>
  <c r="U2594" i="14"/>
  <c r="S2594" i="14"/>
  <c r="U2582" i="14"/>
  <c r="S2582" i="14"/>
  <c r="U2570" i="14"/>
  <c r="S2570" i="14"/>
  <c r="U2558" i="14"/>
  <c r="S2558" i="14"/>
  <c r="U2546" i="14"/>
  <c r="S2546" i="14"/>
  <c r="U2534" i="14"/>
  <c r="S2534" i="14"/>
  <c r="U2522" i="14"/>
  <c r="S2522" i="14"/>
  <c r="U2510" i="14"/>
  <c r="S2510" i="14"/>
  <c r="U2498" i="14"/>
  <c r="S2498" i="14"/>
  <c r="U2486" i="14"/>
  <c r="S2486" i="14"/>
  <c r="U2474" i="14"/>
  <c r="S2474" i="14"/>
  <c r="U2462" i="14"/>
  <c r="S2462" i="14"/>
  <c r="U2450" i="14"/>
  <c r="S2450" i="14"/>
  <c r="U2438" i="14"/>
  <c r="S2438" i="14"/>
  <c r="U2426" i="14"/>
  <c r="S2426" i="14"/>
  <c r="U2414" i="14"/>
  <c r="S2414" i="14"/>
  <c r="U2402" i="14"/>
  <c r="S2402" i="14"/>
  <c r="U2390" i="14"/>
  <c r="S2390" i="14"/>
  <c r="U2378" i="14"/>
  <c r="S2378" i="14"/>
  <c r="U2366" i="14"/>
  <c r="S2366" i="14"/>
  <c r="U2354" i="14"/>
  <c r="S2354" i="14"/>
  <c r="U2342" i="14"/>
  <c r="S2342" i="14"/>
  <c r="U2330" i="14"/>
  <c r="S2330" i="14"/>
  <c r="U2318" i="14"/>
  <c r="S2318" i="14"/>
  <c r="U2306" i="14"/>
  <c r="S2306" i="14"/>
  <c r="U2294" i="14"/>
  <c r="S2294" i="14"/>
  <c r="U2282" i="14"/>
  <c r="S2282" i="14"/>
  <c r="U2270" i="14"/>
  <c r="S2270" i="14"/>
  <c r="U2258" i="14"/>
  <c r="S2258" i="14"/>
  <c r="U2246" i="14"/>
  <c r="S2246" i="14"/>
  <c r="U2234" i="14"/>
  <c r="S2234" i="14"/>
  <c r="U2222" i="14"/>
  <c r="S2222" i="14"/>
  <c r="U2210" i="14"/>
  <c r="S2210" i="14"/>
  <c r="U2198" i="14"/>
  <c r="S2198" i="14"/>
  <c r="U2186" i="14"/>
  <c r="S2186" i="14"/>
  <c r="U2174" i="14"/>
  <c r="S2174" i="14"/>
  <c r="U2162" i="14"/>
  <c r="S2162" i="14"/>
  <c r="U2150" i="14"/>
  <c r="S2150" i="14"/>
  <c r="U2138" i="14"/>
  <c r="S2138" i="14"/>
  <c r="U2126" i="14"/>
  <c r="S2126" i="14"/>
  <c r="U2114" i="14"/>
  <c r="S2114" i="14"/>
  <c r="U2102" i="14"/>
  <c r="S2102" i="14"/>
  <c r="U2090" i="14"/>
  <c r="S2090" i="14"/>
  <c r="U2078" i="14"/>
  <c r="S2078" i="14"/>
  <c r="U2066" i="14"/>
  <c r="S2066" i="14"/>
  <c r="U2054" i="14"/>
  <c r="S2054" i="14"/>
  <c r="U2042" i="14"/>
  <c r="S2042" i="14"/>
  <c r="U2030" i="14"/>
  <c r="S2030" i="14"/>
  <c r="U2018" i="14"/>
  <c r="S2018" i="14"/>
  <c r="U2006" i="14"/>
  <c r="S2006" i="14"/>
  <c r="U1994" i="14"/>
  <c r="S1994" i="14"/>
  <c r="U1982" i="14"/>
  <c r="S1982" i="14"/>
  <c r="U1970" i="14"/>
  <c r="S1970" i="14"/>
  <c r="U1958" i="14"/>
  <c r="S1958" i="14"/>
  <c r="U1946" i="14"/>
  <c r="S1946" i="14"/>
  <c r="U1934" i="14"/>
  <c r="S1934" i="14"/>
  <c r="U1922" i="14"/>
  <c r="S1922" i="14"/>
  <c r="U1910" i="14"/>
  <c r="S1910" i="14"/>
  <c r="U1898" i="14"/>
  <c r="S1898" i="14"/>
  <c r="U1886" i="14"/>
  <c r="S1886" i="14"/>
  <c r="U1874" i="14"/>
  <c r="S1874" i="14"/>
  <c r="U1862" i="14"/>
  <c r="S1862" i="14"/>
  <c r="U1850" i="14"/>
  <c r="S1850" i="14"/>
  <c r="U1838" i="14"/>
  <c r="S1838" i="14"/>
  <c r="U1826" i="14"/>
  <c r="S1826" i="14"/>
  <c r="U1814" i="14"/>
  <c r="S1814" i="14"/>
  <c r="U1802" i="14"/>
  <c r="S1802" i="14"/>
  <c r="U1790" i="14"/>
  <c r="S1790" i="14"/>
  <c r="U1778" i="14"/>
  <c r="S1778" i="14"/>
  <c r="U1766" i="14"/>
  <c r="S1766" i="14"/>
  <c r="U1754" i="14"/>
  <c r="S1754" i="14"/>
  <c r="U1742" i="14"/>
  <c r="S1742" i="14"/>
  <c r="U1730" i="14"/>
  <c r="S1730" i="14"/>
  <c r="U1718" i="14"/>
  <c r="S1718" i="14"/>
  <c r="U1706" i="14"/>
  <c r="S1706" i="14"/>
  <c r="U1694" i="14"/>
  <c r="S1694" i="14"/>
  <c r="U1682" i="14"/>
  <c r="S1682" i="14"/>
  <c r="U1670" i="14"/>
  <c r="S1670" i="14"/>
  <c r="U1658" i="14"/>
  <c r="S1658" i="14"/>
  <c r="U1646" i="14"/>
  <c r="S1646" i="14"/>
  <c r="U1634" i="14"/>
  <c r="S1634" i="14"/>
  <c r="U1622" i="14"/>
  <c r="S1622" i="14"/>
  <c r="U1610" i="14"/>
  <c r="S1610" i="14"/>
  <c r="U1598" i="14"/>
  <c r="S1598" i="14"/>
  <c r="U1586" i="14"/>
  <c r="S1586" i="14"/>
  <c r="U1574" i="14"/>
  <c r="S1574" i="14"/>
  <c r="U1562" i="14"/>
  <c r="S1562" i="14"/>
  <c r="U1550" i="14"/>
  <c r="S1550" i="14"/>
  <c r="U1538" i="14"/>
  <c r="S1538" i="14"/>
  <c r="U1526" i="14"/>
  <c r="S1526" i="14"/>
  <c r="U1514" i="14"/>
  <c r="S1514" i="14"/>
  <c r="U1502" i="14"/>
  <c r="S1502" i="14"/>
  <c r="U1490" i="14"/>
  <c r="S1490" i="14"/>
  <c r="U1478" i="14"/>
  <c r="S1478" i="14"/>
  <c r="U1466" i="14"/>
  <c r="S1466" i="14"/>
  <c r="U1454" i="14"/>
  <c r="S1454" i="14"/>
  <c r="U1442" i="14"/>
  <c r="S1442" i="14"/>
  <c r="U1430" i="14"/>
  <c r="S1430" i="14"/>
  <c r="U1418" i="14"/>
  <c r="S1418" i="14"/>
  <c r="U1406" i="14"/>
  <c r="S1406" i="14"/>
  <c r="U1394" i="14"/>
  <c r="S1394" i="14"/>
  <c r="U1382" i="14"/>
  <c r="S1382" i="14"/>
  <c r="U1370" i="14"/>
  <c r="S1370" i="14"/>
  <c r="U1358" i="14"/>
  <c r="S1358" i="14"/>
  <c r="U1346" i="14"/>
  <c r="S1346" i="14"/>
  <c r="U1334" i="14"/>
  <c r="S1334" i="14"/>
  <c r="U1322" i="14"/>
  <c r="S1322" i="14"/>
  <c r="U1310" i="14"/>
  <c r="S1310" i="14"/>
  <c r="U1298" i="14"/>
  <c r="S1298" i="14"/>
  <c r="U1286" i="14"/>
  <c r="S1286" i="14"/>
  <c r="U1274" i="14"/>
  <c r="S1274" i="14"/>
  <c r="U1262" i="14"/>
  <c r="S1262" i="14"/>
  <c r="U1250" i="14"/>
  <c r="S1250" i="14"/>
  <c r="U1238" i="14"/>
  <c r="S1238" i="14"/>
  <c r="U1226" i="14"/>
  <c r="S1226" i="14"/>
  <c r="U1214" i="14"/>
  <c r="S1214" i="14"/>
  <c r="U1202" i="14"/>
  <c r="S1202" i="14"/>
  <c r="U1190" i="14"/>
  <c r="S1190" i="14"/>
  <c r="U1178" i="14"/>
  <c r="S1178" i="14"/>
  <c r="U1166" i="14"/>
  <c r="S1166" i="14"/>
  <c r="U1154" i="14"/>
  <c r="S1154" i="14"/>
  <c r="U1142" i="14"/>
  <c r="S1142" i="14"/>
  <c r="U1130" i="14"/>
  <c r="S1130" i="14"/>
  <c r="U1118" i="14"/>
  <c r="S1118" i="14"/>
  <c r="U1106" i="14"/>
  <c r="S1106" i="14"/>
  <c r="U1094" i="14"/>
  <c r="S1094" i="14"/>
  <c r="U1082" i="14"/>
  <c r="S1082" i="14"/>
  <c r="U1070" i="14"/>
  <c r="S1070" i="14"/>
  <c r="U1058" i="14"/>
  <c r="S1058" i="14"/>
  <c r="U1046" i="14"/>
  <c r="S1046" i="14"/>
  <c r="U1034" i="14"/>
  <c r="S1034" i="14"/>
  <c r="U1022" i="14"/>
  <c r="S1022" i="14"/>
  <c r="U1010" i="14"/>
  <c r="S1010" i="14"/>
  <c r="U998" i="14"/>
  <c r="S998" i="14"/>
  <c r="U986" i="14"/>
  <c r="S986" i="14"/>
  <c r="U974" i="14"/>
  <c r="S974" i="14"/>
  <c r="U962" i="14"/>
  <c r="S962" i="14"/>
  <c r="U950" i="14"/>
  <c r="S950" i="14"/>
  <c r="U938" i="14"/>
  <c r="S938" i="14"/>
  <c r="U926" i="14"/>
  <c r="S926" i="14"/>
  <c r="U914" i="14"/>
  <c r="S914" i="14"/>
  <c r="U902" i="14"/>
  <c r="S902" i="14"/>
  <c r="U890" i="14"/>
  <c r="S890" i="14"/>
  <c r="U878" i="14"/>
  <c r="S878" i="14"/>
  <c r="U866" i="14"/>
  <c r="S866" i="14"/>
  <c r="U854" i="14"/>
  <c r="S854" i="14"/>
  <c r="U842" i="14"/>
  <c r="S842" i="14"/>
  <c r="U830" i="14"/>
  <c r="S830" i="14"/>
  <c r="U818" i="14"/>
  <c r="S818" i="14"/>
  <c r="U806" i="14"/>
  <c r="S806" i="14"/>
  <c r="U794" i="14"/>
  <c r="S794" i="14"/>
  <c r="U782" i="14"/>
  <c r="S782" i="14"/>
  <c r="U770" i="14"/>
  <c r="S770" i="14"/>
  <c r="U758" i="14"/>
  <c r="S758" i="14"/>
  <c r="U746" i="14"/>
  <c r="S746" i="14"/>
  <c r="U734" i="14"/>
  <c r="S734" i="14"/>
  <c r="U722" i="14"/>
  <c r="S722" i="14"/>
  <c r="U710" i="14"/>
  <c r="S710" i="14"/>
  <c r="U698" i="14"/>
  <c r="S698" i="14"/>
  <c r="U686" i="14"/>
  <c r="S686" i="14"/>
  <c r="U674" i="14"/>
  <c r="S674" i="14"/>
  <c r="U662" i="14"/>
  <c r="S662" i="14"/>
  <c r="U650" i="14"/>
  <c r="S650" i="14"/>
  <c r="U638" i="14"/>
  <c r="S638" i="14"/>
  <c r="U626" i="14"/>
  <c r="S626" i="14"/>
  <c r="U614" i="14"/>
  <c r="S614" i="14"/>
  <c r="U602" i="14"/>
  <c r="S602" i="14"/>
  <c r="U590" i="14"/>
  <c r="S590" i="14"/>
  <c r="U578" i="14"/>
  <c r="S578" i="14"/>
  <c r="U566" i="14"/>
  <c r="S566" i="14"/>
  <c r="U554" i="14"/>
  <c r="S554" i="14"/>
  <c r="U542" i="14"/>
  <c r="S542" i="14"/>
  <c r="U530" i="14"/>
  <c r="S530" i="14"/>
  <c r="U518" i="14"/>
  <c r="S518" i="14"/>
  <c r="U506" i="14"/>
  <c r="S506" i="14"/>
  <c r="U494" i="14"/>
  <c r="S494" i="14"/>
  <c r="U482" i="14"/>
  <c r="S482" i="14"/>
  <c r="U470" i="14"/>
  <c r="S470" i="14"/>
  <c r="U458" i="14"/>
  <c r="S458" i="14"/>
  <c r="U446" i="14"/>
  <c r="S446" i="14"/>
  <c r="U434" i="14"/>
  <c r="S434" i="14"/>
  <c r="U422" i="14"/>
  <c r="S422" i="14"/>
  <c r="U410" i="14"/>
  <c r="S410" i="14"/>
  <c r="U398" i="14"/>
  <c r="S398" i="14"/>
  <c r="U386" i="14"/>
  <c r="S386" i="14"/>
  <c r="U374" i="14"/>
  <c r="S374" i="14"/>
  <c r="U362" i="14"/>
  <c r="S362" i="14"/>
  <c r="U350" i="14"/>
  <c r="S350" i="14"/>
  <c r="U338" i="14"/>
  <c r="S338" i="14"/>
  <c r="U326" i="14"/>
  <c r="S326" i="14"/>
  <c r="U314" i="14"/>
  <c r="S314" i="14"/>
  <c r="U302" i="14"/>
  <c r="S302" i="14"/>
  <c r="U290" i="14"/>
  <c r="S290" i="14"/>
  <c r="U278" i="14"/>
  <c r="S278" i="14"/>
  <c r="U266" i="14"/>
  <c r="S266" i="14"/>
  <c r="U254" i="14"/>
  <c r="S254" i="14"/>
  <c r="U242" i="14"/>
  <c r="S242" i="14"/>
  <c r="S2781" i="14"/>
  <c r="S2745" i="14"/>
  <c r="S2709" i="14"/>
  <c r="S2673" i="14"/>
  <c r="S2637" i="14"/>
  <c r="S2601" i="14"/>
  <c r="S2565" i="14"/>
  <c r="S2529" i="14"/>
  <c r="S2493" i="14"/>
  <c r="S2457" i="14"/>
  <c r="S2421" i="14"/>
  <c r="S2385" i="14"/>
  <c r="S2349" i="14"/>
  <c r="S2313" i="14"/>
  <c r="S2277" i="14"/>
  <c r="S2241" i="14"/>
  <c r="S2205" i="14"/>
  <c r="S2169" i="14"/>
  <c r="S2133" i="14"/>
  <c r="S2097" i="14"/>
  <c r="S2061" i="14"/>
  <c r="S2025" i="14"/>
  <c r="S1989" i="14"/>
  <c r="S1953" i="14"/>
  <c r="S1917" i="14"/>
  <c r="S1881" i="14"/>
  <c r="S1845" i="14"/>
  <c r="S1809" i="14"/>
  <c r="S1773" i="14"/>
  <c r="S1737" i="14"/>
  <c r="S1701" i="14"/>
  <c r="S1665" i="14"/>
  <c r="S1629" i="14"/>
  <c r="S1593" i="14"/>
  <c r="S1557" i="14"/>
  <c r="S1521" i="14"/>
  <c r="S1485" i="14"/>
  <c r="S1449" i="14"/>
  <c r="S1413" i="14"/>
  <c r="S1377" i="14"/>
  <c r="S1341" i="14"/>
  <c r="S1305" i="14"/>
  <c r="S1234" i="14"/>
  <c r="S1134" i="14"/>
  <c r="S1026" i="14"/>
  <c r="S895" i="14"/>
  <c r="S751" i="14"/>
  <c r="S607" i="14"/>
  <c r="S463" i="14"/>
  <c r="S319" i="14"/>
  <c r="U263" i="14"/>
  <c r="S263" i="14"/>
  <c r="U251" i="14"/>
  <c r="S251" i="14"/>
  <c r="U239" i="14"/>
  <c r="S239" i="14"/>
  <c r="U227" i="14"/>
  <c r="S227" i="14"/>
  <c r="U215" i="14"/>
  <c r="S215" i="14"/>
  <c r="U203" i="14"/>
  <c r="S203" i="14"/>
  <c r="U191" i="14"/>
  <c r="S191" i="14"/>
  <c r="U179" i="14"/>
  <c r="S179" i="14"/>
  <c r="U167" i="14"/>
  <c r="S167" i="14"/>
  <c r="U155" i="14"/>
  <c r="S155" i="14"/>
  <c r="U143" i="14"/>
  <c r="S143" i="14"/>
  <c r="U131" i="14"/>
  <c r="S131" i="14"/>
  <c r="U119" i="14"/>
  <c r="S119" i="14"/>
  <c r="U107" i="14"/>
  <c r="S107" i="14"/>
  <c r="U95" i="14"/>
  <c r="S95" i="14"/>
  <c r="U83" i="14"/>
  <c r="S83" i="14"/>
  <c r="U71" i="14"/>
  <c r="S71" i="14"/>
  <c r="U59" i="14"/>
  <c r="S59" i="14"/>
  <c r="U47" i="14"/>
  <c r="S47" i="14"/>
  <c r="U35" i="14"/>
  <c r="S35" i="14"/>
  <c r="U23" i="14"/>
  <c r="S23" i="14"/>
  <c r="U11" i="14"/>
  <c r="S11" i="14"/>
  <c r="S148" i="14"/>
  <c r="S76" i="14"/>
  <c r="S4" i="14"/>
  <c r="U238" i="14"/>
  <c r="S238" i="14"/>
  <c r="U226" i="14"/>
  <c r="S226" i="14"/>
  <c r="U214" i="14"/>
  <c r="S214" i="14"/>
  <c r="U202" i="14"/>
  <c r="S202" i="14"/>
  <c r="U190" i="14"/>
  <c r="S190" i="14"/>
  <c r="U178" i="14"/>
  <c r="S178" i="14"/>
  <c r="U166" i="14"/>
  <c r="S166" i="14"/>
  <c r="U154" i="14"/>
  <c r="S154" i="14"/>
  <c r="U142" i="14"/>
  <c r="S142" i="14"/>
  <c r="U130" i="14"/>
  <c r="S130" i="14"/>
  <c r="U118" i="14"/>
  <c r="S118" i="14"/>
  <c r="U106" i="14"/>
  <c r="S106" i="14"/>
  <c r="U94" i="14"/>
  <c r="S94" i="14"/>
  <c r="U82" i="14"/>
  <c r="S82" i="14"/>
  <c r="U70" i="14"/>
  <c r="S70" i="14"/>
  <c r="U58" i="14"/>
  <c r="S58" i="14"/>
  <c r="U46" i="14"/>
  <c r="S46" i="14"/>
  <c r="U34" i="14"/>
  <c r="S34" i="14"/>
  <c r="U22" i="14"/>
  <c r="S22" i="14"/>
  <c r="U10" i="14"/>
  <c r="S10" i="14"/>
  <c r="U428" i="14"/>
  <c r="S428" i="14"/>
  <c r="U416" i="14"/>
  <c r="S416" i="14"/>
  <c r="U404" i="14"/>
  <c r="S404" i="14"/>
  <c r="U392" i="14"/>
  <c r="S392" i="14"/>
  <c r="U380" i="14"/>
  <c r="S380" i="14"/>
  <c r="U368" i="14"/>
  <c r="S368" i="14"/>
  <c r="U356" i="14"/>
  <c r="S356" i="14"/>
  <c r="U344" i="14"/>
  <c r="S344" i="14"/>
  <c r="U332" i="14"/>
  <c r="S332" i="14"/>
  <c r="U320" i="14"/>
  <c r="S320" i="14"/>
  <c r="U308" i="14"/>
  <c r="S308" i="14"/>
  <c r="U296" i="14"/>
  <c r="S296" i="14"/>
  <c r="U284" i="14"/>
  <c r="S284" i="14"/>
  <c r="U272" i="14"/>
  <c r="S272" i="14"/>
  <c r="U260" i="14"/>
  <c r="S260" i="14"/>
  <c r="U248" i="14"/>
  <c r="S248" i="14"/>
  <c r="U236" i="14"/>
  <c r="S236" i="14"/>
  <c r="U224" i="14"/>
  <c r="S224" i="14"/>
  <c r="U212" i="14"/>
  <c r="S212" i="14"/>
  <c r="U200" i="14"/>
  <c r="S200" i="14"/>
  <c r="U188" i="14"/>
  <c r="S188" i="14"/>
  <c r="U176" i="14"/>
  <c r="S176" i="14"/>
  <c r="U164" i="14"/>
  <c r="S164" i="14"/>
  <c r="U152" i="14"/>
  <c r="S152" i="14"/>
  <c r="U140" i="14"/>
  <c r="S140" i="14"/>
  <c r="U128" i="14"/>
  <c r="S128" i="14"/>
  <c r="U116" i="14"/>
  <c r="S116" i="14"/>
  <c r="U104" i="14"/>
  <c r="S104" i="14"/>
  <c r="U92" i="14"/>
  <c r="S92" i="14"/>
  <c r="U80" i="14"/>
  <c r="S80" i="14"/>
  <c r="U68" i="14"/>
  <c r="S68" i="14"/>
  <c r="U56" i="14"/>
  <c r="S56" i="14"/>
  <c r="U44" i="14"/>
  <c r="S44" i="14"/>
  <c r="U32" i="14"/>
  <c r="S32" i="14"/>
  <c r="U20" i="14"/>
  <c r="S20" i="14"/>
  <c r="U8" i="14"/>
  <c r="S8" i="14"/>
  <c r="U210" i="14"/>
  <c r="S210" i="14"/>
  <c r="U198" i="14"/>
  <c r="S198" i="14"/>
  <c r="U186" i="14"/>
  <c r="S186" i="14"/>
  <c r="U174" i="14"/>
  <c r="S174" i="14"/>
  <c r="U162" i="14"/>
  <c r="S162" i="14"/>
  <c r="U150" i="14"/>
  <c r="S150" i="14"/>
  <c r="U138" i="14"/>
  <c r="S138" i="14"/>
  <c r="U126" i="14"/>
  <c r="S126" i="14"/>
  <c r="U114" i="14"/>
  <c r="S114" i="14"/>
  <c r="U102" i="14"/>
  <c r="S102" i="14"/>
  <c r="U90" i="14"/>
  <c r="S90" i="14"/>
  <c r="U78" i="14"/>
  <c r="S78" i="14"/>
  <c r="U66" i="14"/>
  <c r="S66" i="14"/>
  <c r="U54" i="14"/>
  <c r="S54" i="14"/>
  <c r="U42" i="14"/>
  <c r="S42" i="14"/>
  <c r="U30" i="14"/>
  <c r="S30" i="14"/>
  <c r="U18" i="14"/>
  <c r="S18" i="14"/>
  <c r="U6" i="14"/>
  <c r="S6" i="14"/>
  <c r="S342" i="14"/>
  <c r="S294" i="14"/>
  <c r="S246" i="14"/>
  <c r="U269" i="14"/>
  <c r="S269" i="14"/>
  <c r="U257" i="14"/>
  <c r="S257" i="14"/>
  <c r="U245" i="14"/>
  <c r="S245" i="14"/>
  <c r="U233" i="14"/>
  <c r="S233" i="14"/>
  <c r="U221" i="14"/>
  <c r="S221" i="14"/>
  <c r="U209" i="14"/>
  <c r="S209" i="14"/>
  <c r="U197" i="14"/>
  <c r="S197" i="14"/>
  <c r="U185" i="14"/>
  <c r="S185" i="14"/>
  <c r="U173" i="14"/>
  <c r="S173" i="14"/>
  <c r="U161" i="14"/>
  <c r="S161" i="14"/>
  <c r="U149" i="14"/>
  <c r="S149" i="14"/>
  <c r="U137" i="14"/>
  <c r="S137" i="14"/>
  <c r="U125" i="14"/>
  <c r="S125" i="14"/>
  <c r="U113" i="14"/>
  <c r="S113" i="14"/>
  <c r="U101" i="14"/>
  <c r="S101" i="14"/>
  <c r="U89" i="14"/>
  <c r="S89" i="14"/>
  <c r="U77" i="14"/>
  <c r="S77" i="14"/>
  <c r="U65" i="14"/>
  <c r="S65" i="14"/>
  <c r="U53" i="14"/>
  <c r="S53" i="14"/>
  <c r="U41" i="14"/>
  <c r="S41" i="14"/>
  <c r="U29" i="14"/>
  <c r="S29" i="14"/>
  <c r="U17" i="14"/>
  <c r="S17" i="14"/>
  <c r="U5" i="14"/>
  <c r="S5" i="14"/>
  <c r="S184" i="14"/>
  <c r="S112" i="14"/>
  <c r="S40" i="14"/>
  <c r="U351" i="14"/>
  <c r="S351" i="14"/>
  <c r="U339" i="14"/>
  <c r="S339" i="14"/>
  <c r="U327" i="14"/>
  <c r="S327" i="14"/>
  <c r="U315" i="14"/>
  <c r="S315" i="14"/>
  <c r="U303" i="14"/>
  <c r="S303" i="14"/>
  <c r="U291" i="14"/>
  <c r="S291" i="14"/>
  <c r="U279" i="14"/>
  <c r="S279" i="14"/>
  <c r="U267" i="14"/>
  <c r="S267" i="14"/>
  <c r="U255" i="14"/>
  <c r="S255" i="14"/>
  <c r="U243" i="14"/>
  <c r="S243" i="14"/>
  <c r="U231" i="14"/>
  <c r="S231" i="14"/>
  <c r="U219" i="14"/>
  <c r="S219" i="14"/>
  <c r="U207" i="14"/>
  <c r="S207" i="14"/>
  <c r="U195" i="14"/>
  <c r="S195" i="14"/>
  <c r="U183" i="14"/>
  <c r="S183" i="14"/>
  <c r="U171" i="14"/>
  <c r="S171" i="14"/>
  <c r="U159" i="14"/>
  <c r="S159" i="14"/>
  <c r="U147" i="14"/>
  <c r="S147" i="14"/>
  <c r="U135" i="14"/>
  <c r="S135" i="14"/>
  <c r="U123" i="14"/>
  <c r="S123" i="14"/>
  <c r="U111" i="14"/>
  <c r="S111" i="14"/>
  <c r="U99" i="14"/>
  <c r="S99" i="14"/>
  <c r="U87" i="14"/>
  <c r="S87" i="14"/>
  <c r="U75" i="14"/>
  <c r="S75" i="14"/>
  <c r="U63" i="14"/>
  <c r="S63" i="14"/>
  <c r="U51" i="14"/>
  <c r="S51" i="14"/>
  <c r="U39" i="14"/>
  <c r="S39" i="14"/>
  <c r="U27" i="14"/>
  <c r="S27" i="14"/>
  <c r="U15" i="14"/>
  <c r="S15" i="14"/>
  <c r="U3" i="14"/>
  <c r="S3" i="14"/>
  <c r="S378" i="14"/>
  <c r="S330" i="14"/>
  <c r="S282" i="14"/>
  <c r="S234" i="14"/>
  <c r="S172" i="14"/>
  <c r="S100" i="14"/>
  <c r="S28" i="14"/>
  <c r="U230" i="14"/>
  <c r="S230" i="14"/>
  <c r="U218" i="14"/>
  <c r="S218" i="14"/>
  <c r="U206" i="14"/>
  <c r="S206" i="14"/>
  <c r="U194" i="14"/>
  <c r="S194" i="14"/>
  <c r="U182" i="14"/>
  <c r="S182" i="14"/>
  <c r="U170" i="14"/>
  <c r="S170" i="14"/>
  <c r="U158" i="14"/>
  <c r="S158" i="14"/>
  <c r="U146" i="14"/>
  <c r="S146" i="14"/>
  <c r="U134" i="14"/>
  <c r="S134" i="14"/>
  <c r="U122" i="14"/>
  <c r="S122" i="14"/>
  <c r="U110" i="14"/>
  <c r="S110" i="14"/>
  <c r="U98" i="14"/>
  <c r="S98" i="14"/>
  <c r="U86" i="14"/>
  <c r="S86" i="14"/>
  <c r="U74" i="14"/>
  <c r="S74" i="14"/>
  <c r="U62" i="14"/>
  <c r="S62" i="14"/>
  <c r="U50" i="14"/>
  <c r="S50" i="14"/>
  <c r="U38" i="14"/>
  <c r="S38" i="14"/>
  <c r="U26" i="14"/>
  <c r="S26" i="14"/>
  <c r="U14" i="14"/>
  <c r="S14" i="14"/>
  <c r="M382" i="5"/>
  <c r="N373" i="5"/>
  <c r="M268" i="5"/>
  <c r="O268" i="5" s="1"/>
  <c r="M124" i="5"/>
  <c r="O124" i="5" s="1"/>
  <c r="N172" i="5"/>
  <c r="M364" i="5"/>
  <c r="N74" i="5"/>
  <c r="N151" i="5"/>
  <c r="M14" i="5"/>
  <c r="N325" i="5"/>
  <c r="O325" i="5" s="1"/>
  <c r="N62" i="5"/>
  <c r="O62" i="5" s="1"/>
  <c r="N110" i="5"/>
  <c r="M235" i="5"/>
  <c r="M154" i="5"/>
  <c r="M98" i="5"/>
  <c r="O98" i="5" s="1"/>
  <c r="N316" i="5"/>
  <c r="N220" i="5"/>
  <c r="N310" i="5"/>
  <c r="O310" i="5" s="1"/>
  <c r="N38" i="5"/>
  <c r="M163" i="5"/>
  <c r="M226" i="5"/>
  <c r="M416" i="5"/>
  <c r="O416" i="5" s="1"/>
  <c r="N391" i="5"/>
  <c r="M344" i="5"/>
  <c r="M272" i="5"/>
  <c r="M211" i="5"/>
  <c r="M32" i="5"/>
  <c r="N307" i="5"/>
  <c r="M440" i="5"/>
  <c r="M379" i="5"/>
  <c r="O379" i="5" s="1"/>
  <c r="M104" i="5"/>
  <c r="M80" i="5"/>
  <c r="O80" i="5" s="1"/>
  <c r="M26" i="5"/>
  <c r="N427" i="5"/>
  <c r="O427" i="5" s="1"/>
  <c r="N296" i="5"/>
  <c r="O296" i="5" s="1"/>
  <c r="N86" i="5"/>
  <c r="N44" i="5"/>
  <c r="M341" i="5"/>
  <c r="M311" i="5"/>
  <c r="M129" i="5"/>
  <c r="M103" i="5"/>
  <c r="O103" i="5" s="1"/>
  <c r="M50" i="5"/>
  <c r="M20" i="5"/>
  <c r="N425" i="5"/>
  <c r="O425" i="5" s="1"/>
  <c r="N295" i="5"/>
  <c r="N247" i="5"/>
  <c r="O247" i="5" s="1"/>
  <c r="M200" i="5"/>
  <c r="M164" i="5"/>
  <c r="O164" i="5" s="1"/>
  <c r="N200" i="5"/>
  <c r="N152" i="5"/>
  <c r="O152" i="5" s="1"/>
  <c r="N116" i="5"/>
  <c r="N39" i="5"/>
  <c r="N105" i="5"/>
  <c r="M67" i="5"/>
  <c r="N319" i="5"/>
  <c r="N31" i="5"/>
  <c r="L176" i="5"/>
  <c r="M287" i="5"/>
  <c r="O287" i="5" s="1"/>
  <c r="M224" i="5"/>
  <c r="M65" i="5"/>
  <c r="N140" i="5"/>
  <c r="N68" i="5"/>
  <c r="N29" i="5"/>
  <c r="L212" i="5"/>
  <c r="M428" i="5"/>
  <c r="N367" i="5"/>
  <c r="N283" i="5"/>
  <c r="O283" i="5" s="1"/>
  <c r="N32" i="5"/>
  <c r="L164" i="5"/>
  <c r="M389" i="5"/>
  <c r="O389" i="5" s="1"/>
  <c r="M356" i="5"/>
  <c r="O356" i="5" s="1"/>
  <c r="M284" i="5"/>
  <c r="O284" i="5" s="1"/>
  <c r="M92" i="5"/>
  <c r="O92" i="5" s="1"/>
  <c r="N223" i="5"/>
  <c r="N139" i="5"/>
  <c r="O139" i="5" s="1"/>
  <c r="M368" i="5"/>
  <c r="N236" i="5"/>
  <c r="M68" i="5"/>
  <c r="L140" i="5"/>
  <c r="M355" i="5"/>
  <c r="N175" i="5"/>
  <c r="N439" i="5"/>
  <c r="O439" i="5" s="1"/>
  <c r="M317" i="5"/>
  <c r="O317" i="5" s="1"/>
  <c r="M212" i="5"/>
  <c r="M173" i="5"/>
  <c r="O173" i="5" s="1"/>
  <c r="M55" i="5"/>
  <c r="N437" i="5"/>
  <c r="O437" i="5" s="1"/>
  <c r="M91" i="5"/>
  <c r="J246" i="5"/>
  <c r="M246" i="5"/>
  <c r="N246" i="5"/>
  <c r="O6" i="5"/>
  <c r="J6" i="5"/>
  <c r="M6" i="5"/>
  <c r="N6" i="5"/>
  <c r="O435" i="5"/>
  <c r="N435" i="5"/>
  <c r="J435" i="5"/>
  <c r="M435" i="5"/>
  <c r="O423" i="5"/>
  <c r="N423" i="5"/>
  <c r="J423" i="5"/>
  <c r="M423" i="5"/>
  <c r="O411" i="5"/>
  <c r="N411" i="5"/>
  <c r="J411" i="5"/>
  <c r="N399" i="5"/>
  <c r="O399" i="5" s="1"/>
  <c r="J399" i="5"/>
  <c r="N387" i="5"/>
  <c r="O387" i="5" s="1"/>
  <c r="J387" i="5"/>
  <c r="J375" i="5"/>
  <c r="N375" i="5"/>
  <c r="N363" i="5"/>
  <c r="J363" i="5"/>
  <c r="M363" i="5"/>
  <c r="N351" i="5"/>
  <c r="M351" i="5"/>
  <c r="O351" i="5" s="1"/>
  <c r="N339" i="5"/>
  <c r="O339" i="5" s="1"/>
  <c r="J339" i="5"/>
  <c r="O327" i="5"/>
  <c r="N327" i="5"/>
  <c r="J327" i="5"/>
  <c r="O315" i="5"/>
  <c r="N315" i="5"/>
  <c r="J315" i="5"/>
  <c r="O303" i="5"/>
  <c r="N303" i="5"/>
  <c r="J303" i="5"/>
  <c r="O291" i="5"/>
  <c r="N291" i="5"/>
  <c r="J291" i="5"/>
  <c r="M291" i="5"/>
  <c r="N279" i="5"/>
  <c r="J279" i="5"/>
  <c r="M279" i="5"/>
  <c r="N267" i="5"/>
  <c r="O267" i="5" s="1"/>
  <c r="J267" i="5"/>
  <c r="N255" i="5"/>
  <c r="O255" i="5" s="1"/>
  <c r="J255" i="5"/>
  <c r="N243" i="5"/>
  <c r="J243" i="5"/>
  <c r="O231" i="5"/>
  <c r="J231" i="5"/>
  <c r="N231" i="5"/>
  <c r="N219" i="5"/>
  <c r="J219" i="5"/>
  <c r="M219" i="5"/>
  <c r="N207" i="5"/>
  <c r="M207" i="5"/>
  <c r="O207" i="5" s="1"/>
  <c r="J207" i="5"/>
  <c r="N195" i="5"/>
  <c r="J195" i="5"/>
  <c r="M195" i="5"/>
  <c r="N183" i="5"/>
  <c r="J183" i="5"/>
  <c r="O171" i="5"/>
  <c r="N171" i="5"/>
  <c r="J171" i="5"/>
  <c r="O159" i="5"/>
  <c r="N159" i="5"/>
  <c r="J159" i="5"/>
  <c r="O147" i="5"/>
  <c r="N147" i="5"/>
  <c r="J147" i="5"/>
  <c r="M147" i="5"/>
  <c r="O135" i="5"/>
  <c r="N135" i="5"/>
  <c r="J135" i="5"/>
  <c r="M135" i="5"/>
  <c r="O123" i="5"/>
  <c r="J123" i="5"/>
  <c r="M123" i="5"/>
  <c r="O111" i="5"/>
  <c r="J111" i="5"/>
  <c r="N111" i="5"/>
  <c r="O99" i="5"/>
  <c r="J99" i="5"/>
  <c r="N99" i="5"/>
  <c r="O87" i="5"/>
  <c r="J87" i="5"/>
  <c r="O75" i="5"/>
  <c r="J75" i="5"/>
  <c r="M75" i="5"/>
  <c r="O63" i="5"/>
  <c r="N63" i="5"/>
  <c r="M63" i="5"/>
  <c r="J63" i="5"/>
  <c r="L51" i="5"/>
  <c r="J51" i="5"/>
  <c r="N51" i="5"/>
  <c r="M51" i="5"/>
  <c r="O39" i="5"/>
  <c r="J39" i="5"/>
  <c r="J27" i="5"/>
  <c r="L15" i="5"/>
  <c r="O15" i="5"/>
  <c r="J15" i="5"/>
  <c r="N15" i="5"/>
  <c r="M206" i="5"/>
  <c r="M183" i="5"/>
  <c r="M159" i="5"/>
  <c r="N431" i="5"/>
  <c r="O431" i="5" s="1"/>
  <c r="J414" i="5"/>
  <c r="M414" i="5"/>
  <c r="N414" i="5"/>
  <c r="L390" i="5"/>
  <c r="J390" i="5"/>
  <c r="M390" i="5"/>
  <c r="N390" i="5"/>
  <c r="L366" i="5"/>
  <c r="J366" i="5"/>
  <c r="M366" i="5"/>
  <c r="J318" i="5"/>
  <c r="O318" i="5"/>
  <c r="M318" i="5"/>
  <c r="N318" i="5"/>
  <c r="L294" i="5"/>
  <c r="J294" i="5"/>
  <c r="O294" i="5"/>
  <c r="M294" i="5"/>
  <c r="L234" i="5"/>
  <c r="J234" i="5"/>
  <c r="M234" i="5"/>
  <c r="L186" i="5"/>
  <c r="J186" i="5"/>
  <c r="O186" i="5"/>
  <c r="M186" i="5"/>
  <c r="J126" i="5"/>
  <c r="M126" i="5"/>
  <c r="N126" i="5"/>
  <c r="L90" i="5"/>
  <c r="J90" i="5"/>
  <c r="O90" i="5"/>
  <c r="M90" i="5"/>
  <c r="L54" i="5"/>
  <c r="J54" i="5"/>
  <c r="O54" i="5"/>
  <c r="M54" i="5"/>
  <c r="J422" i="5"/>
  <c r="O374" i="5"/>
  <c r="J374" i="5"/>
  <c r="N374" i="5"/>
  <c r="J326" i="5"/>
  <c r="O278" i="5"/>
  <c r="J278" i="5"/>
  <c r="O242" i="5"/>
  <c r="J242" i="5"/>
  <c r="N242" i="5"/>
  <c r="O206" i="5"/>
  <c r="J206" i="5"/>
  <c r="L122" i="5"/>
  <c r="O122" i="5"/>
  <c r="J122" i="5"/>
  <c r="N122" i="5"/>
  <c r="M122" i="5"/>
  <c r="N294" i="5"/>
  <c r="O445" i="5"/>
  <c r="J445" i="5"/>
  <c r="J433" i="5"/>
  <c r="N433" i="5"/>
  <c r="J421" i="5"/>
  <c r="M421" i="5"/>
  <c r="O421" i="5" s="1"/>
  <c r="J409" i="5"/>
  <c r="M409" i="5"/>
  <c r="O409" i="5" s="1"/>
  <c r="O397" i="5"/>
  <c r="J397" i="5"/>
  <c r="O385" i="5"/>
  <c r="J385" i="5"/>
  <c r="N385" i="5"/>
  <c r="O373" i="5"/>
  <c r="J373" i="5"/>
  <c r="O361" i="5"/>
  <c r="J361" i="5"/>
  <c r="N361" i="5"/>
  <c r="O349" i="5"/>
  <c r="J349" i="5"/>
  <c r="M349" i="5"/>
  <c r="O337" i="5"/>
  <c r="J337" i="5"/>
  <c r="M337" i="5"/>
  <c r="J325" i="5"/>
  <c r="J313" i="5"/>
  <c r="N313" i="5"/>
  <c r="O313" i="5" s="1"/>
  <c r="J301" i="5"/>
  <c r="J289" i="5"/>
  <c r="N289" i="5"/>
  <c r="O289" i="5" s="1"/>
  <c r="J277" i="5"/>
  <c r="M277" i="5"/>
  <c r="O277" i="5" s="1"/>
  <c r="J265" i="5"/>
  <c r="M265" i="5"/>
  <c r="O265" i="5" s="1"/>
  <c r="J253" i="5"/>
  <c r="O241" i="5"/>
  <c r="J241" i="5"/>
  <c r="N241" i="5"/>
  <c r="J229" i="5"/>
  <c r="O217" i="5"/>
  <c r="J217" i="5"/>
  <c r="N217" i="5"/>
  <c r="O205" i="5"/>
  <c r="J205" i="5"/>
  <c r="M205" i="5"/>
  <c r="O193" i="5"/>
  <c r="J193" i="5"/>
  <c r="M193" i="5"/>
  <c r="O181" i="5"/>
  <c r="J181" i="5"/>
  <c r="M181" i="5"/>
  <c r="O169" i="5"/>
  <c r="J169" i="5"/>
  <c r="N169" i="5"/>
  <c r="O157" i="5"/>
  <c r="J157" i="5"/>
  <c r="J145" i="5"/>
  <c r="N145" i="5"/>
  <c r="J133" i="5"/>
  <c r="M133" i="5"/>
  <c r="J121" i="5"/>
  <c r="M121" i="5"/>
  <c r="L109" i="5"/>
  <c r="O109" i="5"/>
  <c r="J109" i="5"/>
  <c r="N109" i="5"/>
  <c r="M109" i="5"/>
  <c r="L97" i="5"/>
  <c r="O97" i="5"/>
  <c r="J97" i="5"/>
  <c r="O85" i="5"/>
  <c r="J85" i="5"/>
  <c r="N85" i="5"/>
  <c r="L73" i="5"/>
  <c r="O73" i="5"/>
  <c r="J73" i="5"/>
  <c r="O61" i="5"/>
  <c r="J61" i="5"/>
  <c r="M61" i="5"/>
  <c r="O49" i="5"/>
  <c r="J49" i="5"/>
  <c r="M49" i="5"/>
  <c r="O37" i="5"/>
  <c r="J37" i="5"/>
  <c r="L37" i="5"/>
  <c r="N37" i="5"/>
  <c r="M37" i="5"/>
  <c r="O25" i="5"/>
  <c r="J25" i="5"/>
  <c r="O13" i="5"/>
  <c r="J13" i="5"/>
  <c r="M433" i="5"/>
  <c r="O433" i="5" s="1"/>
  <c r="M157" i="5"/>
  <c r="N407" i="5"/>
  <c r="N337" i="5"/>
  <c r="N134" i="5"/>
  <c r="J398" i="5"/>
  <c r="J302" i="5"/>
  <c r="N302" i="5"/>
  <c r="J230" i="5"/>
  <c r="N230" i="5"/>
  <c r="J158" i="5"/>
  <c r="N158" i="5"/>
  <c r="N90" i="5"/>
  <c r="J444" i="5"/>
  <c r="O444" i="5"/>
  <c r="M444" i="5"/>
  <c r="N444" i="5"/>
  <c r="J432" i="5"/>
  <c r="O432" i="5"/>
  <c r="M432" i="5"/>
  <c r="N432" i="5"/>
  <c r="J420" i="5"/>
  <c r="O420" i="5"/>
  <c r="M420" i="5"/>
  <c r="N420" i="5"/>
  <c r="J408" i="5"/>
  <c r="O408" i="5"/>
  <c r="M408" i="5"/>
  <c r="J396" i="5"/>
  <c r="M396" i="5"/>
  <c r="J384" i="5"/>
  <c r="M384" i="5"/>
  <c r="O384" i="5" s="1"/>
  <c r="J372" i="5"/>
  <c r="M372" i="5"/>
  <c r="N372" i="5"/>
  <c r="J360" i="5"/>
  <c r="M360" i="5"/>
  <c r="N360" i="5"/>
  <c r="J348" i="5"/>
  <c r="M348" i="5"/>
  <c r="N348" i="5"/>
  <c r="J336" i="5"/>
  <c r="M336" i="5"/>
  <c r="J324" i="5"/>
  <c r="O324" i="5"/>
  <c r="M324" i="5"/>
  <c r="J312" i="5"/>
  <c r="O312" i="5"/>
  <c r="M312" i="5"/>
  <c r="J300" i="5"/>
  <c r="O300" i="5"/>
  <c r="M300" i="5"/>
  <c r="N300" i="5"/>
  <c r="J288" i="5"/>
  <c r="O288" i="5"/>
  <c r="M288" i="5"/>
  <c r="N288" i="5"/>
  <c r="J276" i="5"/>
  <c r="M276" i="5"/>
  <c r="N276" i="5"/>
  <c r="J264" i="5"/>
  <c r="M264" i="5"/>
  <c r="O264" i="5" s="1"/>
  <c r="J252" i="5"/>
  <c r="M252" i="5"/>
  <c r="J240" i="5"/>
  <c r="M240" i="5"/>
  <c r="O240" i="5" s="1"/>
  <c r="J228" i="5"/>
  <c r="O228" i="5"/>
  <c r="M228" i="5"/>
  <c r="N228" i="5"/>
  <c r="J216" i="5"/>
  <c r="M216" i="5"/>
  <c r="N216" i="5"/>
  <c r="J204" i="5"/>
  <c r="M204" i="5"/>
  <c r="N204" i="5"/>
  <c r="J192" i="5"/>
  <c r="O192" i="5"/>
  <c r="M192" i="5"/>
  <c r="J180" i="5"/>
  <c r="O180" i="5"/>
  <c r="M180" i="5"/>
  <c r="J168" i="5"/>
  <c r="O168" i="5"/>
  <c r="M168" i="5"/>
  <c r="J156" i="5"/>
  <c r="O156" i="5"/>
  <c r="M156" i="5"/>
  <c r="N156" i="5"/>
  <c r="J144" i="5"/>
  <c r="O144" i="5"/>
  <c r="M144" i="5"/>
  <c r="N144" i="5"/>
  <c r="J132" i="5"/>
  <c r="O132" i="5"/>
  <c r="M132" i="5"/>
  <c r="N132" i="5"/>
  <c r="L120" i="5"/>
  <c r="J120" i="5"/>
  <c r="O120" i="5"/>
  <c r="M120" i="5"/>
  <c r="J108" i="5"/>
  <c r="M108" i="5"/>
  <c r="L96" i="5"/>
  <c r="J96" i="5"/>
  <c r="O96" i="5"/>
  <c r="N96" i="5"/>
  <c r="M96" i="5"/>
  <c r="J84" i="5"/>
  <c r="O84" i="5"/>
  <c r="M84" i="5"/>
  <c r="N84" i="5"/>
  <c r="J72" i="5"/>
  <c r="O72" i="5"/>
  <c r="M72" i="5"/>
  <c r="J60" i="5"/>
  <c r="O60" i="5"/>
  <c r="M60" i="5"/>
  <c r="J48" i="5"/>
  <c r="M48" i="5"/>
  <c r="N48" i="5"/>
  <c r="J36" i="5"/>
  <c r="M36" i="5"/>
  <c r="N36" i="5"/>
  <c r="J24" i="5"/>
  <c r="N24" i="5"/>
  <c r="M24" i="5"/>
  <c r="J12" i="5"/>
  <c r="O12" i="5"/>
  <c r="M12" i="5"/>
  <c r="M412" i="5"/>
  <c r="M327" i="5"/>
  <c r="M263" i="5"/>
  <c r="M243" i="5"/>
  <c r="M111" i="5"/>
  <c r="M28" i="5"/>
  <c r="N336" i="5"/>
  <c r="O336" i="5" s="1"/>
  <c r="N133" i="5"/>
  <c r="N108" i="5"/>
  <c r="N87" i="5"/>
  <c r="N61" i="5"/>
  <c r="N234" i="5"/>
  <c r="O234" i="5" s="1"/>
  <c r="J446" i="5"/>
  <c r="N446" i="5"/>
  <c r="J338" i="5"/>
  <c r="M338" i="5"/>
  <c r="O338" i="5" s="1"/>
  <c r="O182" i="5"/>
  <c r="J182" i="5"/>
  <c r="J23" i="5"/>
  <c r="O23" i="5"/>
  <c r="J386" i="5"/>
  <c r="N386" i="5"/>
  <c r="J290" i="5"/>
  <c r="M290" i="5"/>
  <c r="N290" i="5"/>
  <c r="J170" i="5"/>
  <c r="N170" i="5"/>
  <c r="M158" i="5"/>
  <c r="J323" i="5"/>
  <c r="M323" i="5"/>
  <c r="O323" i="5" s="1"/>
  <c r="L167" i="5"/>
  <c r="J167" i="5"/>
  <c r="J442" i="5"/>
  <c r="J418" i="5"/>
  <c r="N418" i="5"/>
  <c r="J394" i="5"/>
  <c r="O394" i="5"/>
  <c r="M394" i="5"/>
  <c r="J370" i="5"/>
  <c r="O370" i="5"/>
  <c r="J358" i="5"/>
  <c r="O358" i="5"/>
  <c r="N358" i="5"/>
  <c r="J334" i="5"/>
  <c r="O334" i="5"/>
  <c r="M334" i="5"/>
  <c r="N334" i="5"/>
  <c r="J298" i="5"/>
  <c r="J274" i="5"/>
  <c r="N274" i="5"/>
  <c r="J262" i="5"/>
  <c r="M262" i="5"/>
  <c r="N262" i="5"/>
  <c r="J238" i="5"/>
  <c r="O238" i="5"/>
  <c r="J214" i="5"/>
  <c r="O214" i="5"/>
  <c r="N214" i="5"/>
  <c r="J190" i="5"/>
  <c r="O190" i="5"/>
  <c r="M190" i="5"/>
  <c r="N190" i="5"/>
  <c r="J166" i="5"/>
  <c r="O166" i="5"/>
  <c r="M166" i="5"/>
  <c r="J142" i="5"/>
  <c r="N142" i="5"/>
  <c r="N118" i="5"/>
  <c r="J118" i="5"/>
  <c r="M118" i="5"/>
  <c r="N94" i="5"/>
  <c r="J94" i="5"/>
  <c r="O94" i="5"/>
  <c r="M94" i="5"/>
  <c r="N70" i="5"/>
  <c r="J70" i="5"/>
  <c r="O70" i="5"/>
  <c r="N46" i="5"/>
  <c r="J46" i="5"/>
  <c r="O46" i="5"/>
  <c r="M46" i="5"/>
  <c r="N10" i="5"/>
  <c r="J10" i="5"/>
  <c r="O10" i="5"/>
  <c r="N239" i="5"/>
  <c r="J438" i="5"/>
  <c r="O438" i="5"/>
  <c r="M438" i="5"/>
  <c r="L378" i="5"/>
  <c r="J378" i="5"/>
  <c r="O378" i="5"/>
  <c r="M378" i="5"/>
  <c r="L330" i="5"/>
  <c r="J330" i="5"/>
  <c r="O330" i="5"/>
  <c r="M330" i="5"/>
  <c r="L282" i="5"/>
  <c r="J282" i="5"/>
  <c r="O282" i="5"/>
  <c r="M282" i="5"/>
  <c r="L222" i="5"/>
  <c r="J222" i="5"/>
  <c r="M222" i="5"/>
  <c r="O222" i="5" s="1"/>
  <c r="L198" i="5"/>
  <c r="J198" i="5"/>
  <c r="M198" i="5"/>
  <c r="N198" i="5"/>
  <c r="L162" i="5"/>
  <c r="J162" i="5"/>
  <c r="O162" i="5"/>
  <c r="M162" i="5"/>
  <c r="J102" i="5"/>
  <c r="O102" i="5"/>
  <c r="M102" i="5"/>
  <c r="N102" i="5"/>
  <c r="L66" i="5"/>
  <c r="J66" i="5"/>
  <c r="O66" i="5"/>
  <c r="M66" i="5"/>
  <c r="N66" i="5"/>
  <c r="J18" i="5"/>
  <c r="O18" i="5"/>
  <c r="M18" i="5"/>
  <c r="N438" i="5"/>
  <c r="J410" i="5"/>
  <c r="M410" i="5"/>
  <c r="O410" i="5" s="1"/>
  <c r="J362" i="5"/>
  <c r="M362" i="5"/>
  <c r="N362" i="5"/>
  <c r="J314" i="5"/>
  <c r="N314" i="5"/>
  <c r="O266" i="5"/>
  <c r="J266" i="5"/>
  <c r="M266" i="5"/>
  <c r="O218" i="5"/>
  <c r="J218" i="5"/>
  <c r="L218" i="5"/>
  <c r="M218" i="5"/>
  <c r="N218" i="5"/>
  <c r="O194" i="5"/>
  <c r="J194" i="5"/>
  <c r="M194" i="5"/>
  <c r="O146" i="5"/>
  <c r="J146" i="5"/>
  <c r="L146" i="5"/>
  <c r="M146" i="5"/>
  <c r="N146" i="5"/>
  <c r="J443" i="5"/>
  <c r="N443" i="5"/>
  <c r="O443" i="5" s="1"/>
  <c r="J407" i="5"/>
  <c r="O407" i="5"/>
  <c r="J371" i="5"/>
  <c r="O371" i="5"/>
  <c r="N371" i="5"/>
  <c r="L335" i="5"/>
  <c r="J335" i="5"/>
  <c r="J287" i="5"/>
  <c r="J251" i="5"/>
  <c r="O251" i="5"/>
  <c r="M251" i="5"/>
  <c r="J227" i="5"/>
  <c r="O227" i="5"/>
  <c r="N227" i="5"/>
  <c r="L191" i="5"/>
  <c r="J191" i="5"/>
  <c r="J143" i="5"/>
  <c r="O143" i="5"/>
  <c r="J107" i="5"/>
  <c r="O107" i="5"/>
  <c r="M107" i="5"/>
  <c r="J71" i="5"/>
  <c r="J35" i="5"/>
  <c r="O35" i="5"/>
  <c r="N35" i="5"/>
  <c r="M35" i="5"/>
  <c r="M242" i="5"/>
  <c r="N398" i="5"/>
  <c r="N107" i="5"/>
  <c r="N18" i="5"/>
  <c r="J430" i="5"/>
  <c r="N430" i="5"/>
  <c r="O430" i="5" s="1"/>
  <c r="J406" i="5"/>
  <c r="O406" i="5"/>
  <c r="M406" i="5"/>
  <c r="N406" i="5"/>
  <c r="J382" i="5"/>
  <c r="O382" i="5"/>
  <c r="J346" i="5"/>
  <c r="O346" i="5"/>
  <c r="N346" i="5"/>
  <c r="J322" i="5"/>
  <c r="M322" i="5"/>
  <c r="J310" i="5"/>
  <c r="J286" i="5"/>
  <c r="N286" i="5"/>
  <c r="O286" i="5" s="1"/>
  <c r="J250" i="5"/>
  <c r="M250" i="5"/>
  <c r="O250" i="5" s="1"/>
  <c r="J226" i="5"/>
  <c r="O226" i="5"/>
  <c r="J202" i="5"/>
  <c r="O202" i="5"/>
  <c r="N202" i="5"/>
  <c r="J178" i="5"/>
  <c r="O178" i="5"/>
  <c r="M178" i="5"/>
  <c r="J154" i="5"/>
  <c r="O154" i="5"/>
  <c r="N130" i="5"/>
  <c r="J130" i="5"/>
  <c r="O130" i="5"/>
  <c r="N106" i="5"/>
  <c r="J106" i="5"/>
  <c r="M106" i="5"/>
  <c r="N82" i="5"/>
  <c r="J82" i="5"/>
  <c r="O82" i="5"/>
  <c r="N58" i="5"/>
  <c r="J58" i="5"/>
  <c r="O58" i="5"/>
  <c r="N34" i="5"/>
  <c r="J34" i="5"/>
  <c r="O34" i="5"/>
  <c r="M34" i="5"/>
  <c r="N22" i="5"/>
  <c r="J22" i="5"/>
  <c r="O22" i="5"/>
  <c r="M22" i="5"/>
  <c r="M302" i="5"/>
  <c r="O302" i="5" s="1"/>
  <c r="J441" i="5"/>
  <c r="O441" i="5"/>
  <c r="N441" i="5"/>
  <c r="J429" i="5"/>
  <c r="O429" i="5"/>
  <c r="N429" i="5"/>
  <c r="J417" i="5"/>
  <c r="O417" i="5"/>
  <c r="N417" i="5"/>
  <c r="J405" i="5"/>
  <c r="N405" i="5"/>
  <c r="M405" i="5"/>
  <c r="J393" i="5"/>
  <c r="N393" i="5"/>
  <c r="O393" i="5" s="1"/>
  <c r="J381" i="5"/>
  <c r="N381" i="5"/>
  <c r="M381" i="5"/>
  <c r="J369" i="5"/>
  <c r="N369" i="5"/>
  <c r="O369" i="5" s="1"/>
  <c r="J357" i="5"/>
  <c r="N357" i="5"/>
  <c r="J345" i="5"/>
  <c r="N345" i="5"/>
  <c r="O345" i="5" s="1"/>
  <c r="J333" i="5"/>
  <c r="O333" i="5"/>
  <c r="N333" i="5"/>
  <c r="M333" i="5"/>
  <c r="J321" i="5"/>
  <c r="O321" i="5"/>
  <c r="N321" i="5"/>
  <c r="J309" i="5"/>
  <c r="O309" i="5"/>
  <c r="N309" i="5"/>
  <c r="M309" i="5"/>
  <c r="J297" i="5"/>
  <c r="O297" i="5"/>
  <c r="N297" i="5"/>
  <c r="J285" i="5"/>
  <c r="O285" i="5"/>
  <c r="N285" i="5"/>
  <c r="J273" i="5"/>
  <c r="N273" i="5"/>
  <c r="O273" i="5" s="1"/>
  <c r="J261" i="5"/>
  <c r="O261" i="5"/>
  <c r="N261" i="5"/>
  <c r="M261" i="5"/>
  <c r="J249" i="5"/>
  <c r="N249" i="5"/>
  <c r="J237" i="5"/>
  <c r="N237" i="5"/>
  <c r="M237" i="5"/>
  <c r="O237" i="5" s="1"/>
  <c r="J225" i="5"/>
  <c r="N225" i="5"/>
  <c r="O225" i="5" s="1"/>
  <c r="J213" i="5"/>
  <c r="N213" i="5"/>
  <c r="J201" i="5"/>
  <c r="N201" i="5"/>
  <c r="O201" i="5" s="1"/>
  <c r="J189" i="5"/>
  <c r="O189" i="5"/>
  <c r="N189" i="5"/>
  <c r="M189" i="5"/>
  <c r="J177" i="5"/>
  <c r="O177" i="5"/>
  <c r="N177" i="5"/>
  <c r="J165" i="5"/>
  <c r="O165" i="5"/>
  <c r="N165" i="5"/>
  <c r="M165" i="5"/>
  <c r="J153" i="5"/>
  <c r="O153" i="5"/>
  <c r="N153" i="5"/>
  <c r="J141" i="5"/>
  <c r="O141" i="5"/>
  <c r="N141" i="5"/>
  <c r="J129" i="5"/>
  <c r="N129" i="5"/>
  <c r="J117" i="5"/>
  <c r="O117" i="5"/>
  <c r="M117" i="5"/>
  <c r="J105" i="5"/>
  <c r="O105" i="5"/>
  <c r="J93" i="5"/>
  <c r="O93" i="5"/>
  <c r="N93" i="5"/>
  <c r="M93" i="5"/>
  <c r="L93" i="5"/>
  <c r="J81" i="5"/>
  <c r="O81" i="5"/>
  <c r="N81" i="5"/>
  <c r="L81" i="5"/>
  <c r="J69" i="5"/>
  <c r="O69" i="5"/>
  <c r="N69" i="5"/>
  <c r="L57" i="5"/>
  <c r="J57" i="5"/>
  <c r="O57" i="5"/>
  <c r="J45" i="5"/>
  <c r="M45" i="5"/>
  <c r="J33" i="5"/>
  <c r="L21" i="5"/>
  <c r="J21" i="5"/>
  <c r="M21" i="5"/>
  <c r="N21" i="5"/>
  <c r="L9" i="5"/>
  <c r="J9" i="5"/>
  <c r="O9" i="5"/>
  <c r="M386" i="5"/>
  <c r="O386" i="5" s="1"/>
  <c r="M321" i="5"/>
  <c r="M301" i="5"/>
  <c r="O301" i="5" s="1"/>
  <c r="M215" i="5"/>
  <c r="M85" i="5"/>
  <c r="M25" i="5"/>
  <c r="N442" i="5"/>
  <c r="N422" i="5"/>
  <c r="O422" i="5" s="1"/>
  <c r="N396" i="5"/>
  <c r="N326" i="5"/>
  <c r="N238" i="5"/>
  <c r="N193" i="5"/>
  <c r="N168" i="5"/>
  <c r="N57" i="5"/>
  <c r="N33" i="5"/>
  <c r="N13" i="5"/>
  <c r="J351" i="5"/>
  <c r="J5" i="5"/>
  <c r="O5" i="5"/>
  <c r="N5" i="5"/>
  <c r="J402" i="5"/>
  <c r="M402" i="5"/>
  <c r="O402" i="5" s="1"/>
  <c r="J354" i="5"/>
  <c r="M354" i="5"/>
  <c r="O354" i="5" s="1"/>
  <c r="L354" i="5"/>
  <c r="L306" i="5"/>
  <c r="J306" i="5"/>
  <c r="O306" i="5"/>
  <c r="M306" i="5"/>
  <c r="L270" i="5"/>
  <c r="J270" i="5"/>
  <c r="M270" i="5"/>
  <c r="N270" i="5"/>
  <c r="L210" i="5"/>
  <c r="J210" i="5"/>
  <c r="M210" i="5"/>
  <c r="O210" i="5" s="1"/>
  <c r="J174" i="5"/>
  <c r="O174" i="5"/>
  <c r="M174" i="5"/>
  <c r="N174" i="5"/>
  <c r="J114" i="5"/>
  <c r="O114" i="5"/>
  <c r="M114" i="5"/>
  <c r="N114" i="5"/>
  <c r="J78" i="5"/>
  <c r="O78" i="5"/>
  <c r="M78" i="5"/>
  <c r="N78" i="5"/>
  <c r="J30" i="5"/>
  <c r="N30" i="5"/>
  <c r="M30" i="5"/>
  <c r="N186" i="5"/>
  <c r="J434" i="5"/>
  <c r="M434" i="5"/>
  <c r="N434" i="5"/>
  <c r="J350" i="5"/>
  <c r="O254" i="5"/>
  <c r="J254" i="5"/>
  <c r="O134" i="5"/>
  <c r="J134" i="5"/>
  <c r="J431" i="5"/>
  <c r="L383" i="5"/>
  <c r="J383" i="5"/>
  <c r="O383" i="5"/>
  <c r="J347" i="5"/>
  <c r="M347" i="5"/>
  <c r="N347" i="5"/>
  <c r="L311" i="5"/>
  <c r="J311" i="5"/>
  <c r="O311" i="5"/>
  <c r="L263" i="5"/>
  <c r="J263" i="5"/>
  <c r="O263" i="5"/>
  <c r="J215" i="5"/>
  <c r="O215" i="5"/>
  <c r="J179" i="5"/>
  <c r="M179" i="5"/>
  <c r="O179" i="5" s="1"/>
  <c r="J131" i="5"/>
  <c r="O131" i="5"/>
  <c r="M131" i="5"/>
  <c r="N131" i="5"/>
  <c r="J95" i="5"/>
  <c r="N95" i="5"/>
  <c r="O95" i="5" s="1"/>
  <c r="J47" i="5"/>
  <c r="O47" i="5"/>
  <c r="N47" i="5"/>
  <c r="M47" i="5"/>
  <c r="L150" i="5"/>
  <c r="J150" i="5"/>
  <c r="O150" i="5"/>
  <c r="M150" i="5"/>
  <c r="J419" i="5"/>
  <c r="M419" i="5"/>
  <c r="N419" i="5"/>
  <c r="J395" i="5"/>
  <c r="M395" i="5"/>
  <c r="L359" i="5"/>
  <c r="J359" i="5"/>
  <c r="J299" i="5"/>
  <c r="N299" i="5"/>
  <c r="J275" i="5"/>
  <c r="O275" i="5"/>
  <c r="M275" i="5"/>
  <c r="N275" i="5"/>
  <c r="L239" i="5"/>
  <c r="J239" i="5"/>
  <c r="O239" i="5"/>
  <c r="J203" i="5"/>
  <c r="O203" i="5"/>
  <c r="M203" i="5"/>
  <c r="N203" i="5"/>
  <c r="J155" i="5"/>
  <c r="N155" i="5"/>
  <c r="O155" i="5" s="1"/>
  <c r="J119" i="5"/>
  <c r="O119" i="5"/>
  <c r="J83" i="5"/>
  <c r="N83" i="5"/>
  <c r="J59" i="5"/>
  <c r="O59" i="5"/>
  <c r="M59" i="5"/>
  <c r="J11" i="5"/>
  <c r="N11" i="5"/>
  <c r="O11" i="5" s="1"/>
  <c r="M326" i="5"/>
  <c r="O326" i="5" s="1"/>
  <c r="L254" i="5"/>
  <c r="M446" i="5"/>
  <c r="M299" i="5"/>
  <c r="O299" i="5" s="1"/>
  <c r="M278" i="5"/>
  <c r="M191" i="5"/>
  <c r="M170" i="5"/>
  <c r="O170" i="5" s="1"/>
  <c r="M83" i="5"/>
  <c r="M23" i="5"/>
  <c r="N395" i="5"/>
  <c r="N306" i="5"/>
  <c r="N282" i="5"/>
  <c r="N167" i="5"/>
  <c r="O167" i="5" s="1"/>
  <c r="M445" i="5"/>
  <c r="M383" i="5"/>
  <c r="M359" i="5"/>
  <c r="O359" i="5" s="1"/>
  <c r="M298" i="5"/>
  <c r="M274" i="5"/>
  <c r="O274" i="5" s="1"/>
  <c r="M213" i="5"/>
  <c r="M169" i="5"/>
  <c r="M145" i="5"/>
  <c r="M82" i="5"/>
  <c r="N394" i="5"/>
  <c r="N370" i="5"/>
  <c r="N350" i="5"/>
  <c r="O350" i="5" s="1"/>
  <c r="N324" i="5"/>
  <c r="N254" i="5"/>
  <c r="N191" i="5"/>
  <c r="N166" i="5"/>
  <c r="N143" i="5"/>
  <c r="N121" i="5"/>
  <c r="O121" i="5" s="1"/>
  <c r="N54" i="5"/>
  <c r="N9" i="5"/>
  <c r="M442" i="5"/>
  <c r="M418" i="5"/>
  <c r="O418" i="5" s="1"/>
  <c r="M357" i="5"/>
  <c r="O357" i="5" s="1"/>
  <c r="M335" i="5"/>
  <c r="O335" i="5" s="1"/>
  <c r="M253" i="5"/>
  <c r="O253" i="5" s="1"/>
  <c r="M230" i="5"/>
  <c r="O230" i="5" s="1"/>
  <c r="M142" i="5"/>
  <c r="M119" i="5"/>
  <c r="M57" i="5"/>
  <c r="N322" i="5"/>
  <c r="N298" i="5"/>
  <c r="N278" i="5"/>
  <c r="N252" i="5"/>
  <c r="N182" i="5"/>
  <c r="N119" i="5"/>
  <c r="N97" i="5"/>
  <c r="N72" i="5"/>
  <c r="N49" i="5"/>
  <c r="J426" i="5"/>
  <c r="O426" i="5"/>
  <c r="M426" i="5"/>
  <c r="L342" i="5"/>
  <c r="J342" i="5"/>
  <c r="M342" i="5"/>
  <c r="O342" i="5" s="1"/>
  <c r="N342" i="5"/>
  <c r="L258" i="5"/>
  <c r="J258" i="5"/>
  <c r="O258" i="5"/>
  <c r="M258" i="5"/>
  <c r="L138" i="5"/>
  <c r="J138" i="5"/>
  <c r="O138" i="5"/>
  <c r="M138" i="5"/>
  <c r="J42" i="5"/>
  <c r="M42" i="5"/>
  <c r="O42" i="5" s="1"/>
  <c r="L7" i="5"/>
  <c r="J7" i="5"/>
  <c r="O7" i="5"/>
  <c r="M7" i="5"/>
  <c r="J436" i="5"/>
  <c r="J424" i="5"/>
  <c r="M424" i="5"/>
  <c r="O424" i="5" s="1"/>
  <c r="O412" i="5"/>
  <c r="J412" i="5"/>
  <c r="O400" i="5"/>
  <c r="J400" i="5"/>
  <c r="N400" i="5"/>
  <c r="O388" i="5"/>
  <c r="J388" i="5"/>
  <c r="J376" i="5"/>
  <c r="M376" i="5"/>
  <c r="N376" i="5"/>
  <c r="O376" i="5" s="1"/>
  <c r="O364" i="5"/>
  <c r="J364" i="5"/>
  <c r="O352" i="5"/>
  <c r="J352" i="5"/>
  <c r="M352" i="5"/>
  <c r="O340" i="5"/>
  <c r="J340" i="5"/>
  <c r="J328" i="5"/>
  <c r="N328" i="5"/>
  <c r="O328" i="5" s="1"/>
  <c r="O316" i="5"/>
  <c r="J316" i="5"/>
  <c r="J304" i="5"/>
  <c r="M304" i="5"/>
  <c r="N304" i="5"/>
  <c r="J292" i="5"/>
  <c r="J280" i="5"/>
  <c r="M280" i="5"/>
  <c r="O280" i="5" s="1"/>
  <c r="J268" i="5"/>
  <c r="J256" i="5"/>
  <c r="N256" i="5"/>
  <c r="O256" i="5" s="1"/>
  <c r="J244" i="5"/>
  <c r="O232" i="5"/>
  <c r="J232" i="5"/>
  <c r="M232" i="5"/>
  <c r="N232" i="5"/>
  <c r="O220" i="5"/>
  <c r="J220" i="5"/>
  <c r="O208" i="5"/>
  <c r="J208" i="5"/>
  <c r="M208" i="5"/>
  <c r="O196" i="5"/>
  <c r="J196" i="5"/>
  <c r="O184" i="5"/>
  <c r="J184" i="5"/>
  <c r="N184" i="5"/>
  <c r="O172" i="5"/>
  <c r="J172" i="5"/>
  <c r="O160" i="5"/>
  <c r="J160" i="5"/>
  <c r="M160" i="5"/>
  <c r="N160" i="5"/>
  <c r="J148" i="5"/>
  <c r="J136" i="5"/>
  <c r="M136" i="5"/>
  <c r="O136" i="5" s="1"/>
  <c r="J124" i="5"/>
  <c r="J112" i="5"/>
  <c r="O100" i="5"/>
  <c r="J100" i="5"/>
  <c r="N100" i="5"/>
  <c r="O88" i="5"/>
  <c r="J88" i="5"/>
  <c r="M88" i="5"/>
  <c r="O76" i="5"/>
  <c r="J76" i="5"/>
  <c r="N76" i="5"/>
  <c r="O64" i="5"/>
  <c r="J64" i="5"/>
  <c r="N64" i="5"/>
  <c r="M64" i="5"/>
  <c r="O52" i="5"/>
  <c r="J52" i="5"/>
  <c r="N52" i="5"/>
  <c r="O40" i="5"/>
  <c r="J40" i="5"/>
  <c r="O28" i="5"/>
  <c r="J28" i="5"/>
  <c r="O16" i="5"/>
  <c r="J16" i="5"/>
  <c r="M16" i="5"/>
  <c r="N16" i="5"/>
  <c r="L182" i="5"/>
  <c r="M441" i="5"/>
  <c r="M417" i="5"/>
  <c r="M398" i="5"/>
  <c r="M375" i="5"/>
  <c r="O375" i="5" s="1"/>
  <c r="M314" i="5"/>
  <c r="M292" i="5"/>
  <c r="O292" i="5" s="1"/>
  <c r="M249" i="5"/>
  <c r="M229" i="5"/>
  <c r="M184" i="5"/>
  <c r="M141" i="5"/>
  <c r="M76" i="5"/>
  <c r="M33" i="5"/>
  <c r="N436" i="5"/>
  <c r="O436" i="5" s="1"/>
  <c r="N410" i="5"/>
  <c r="N388" i="5"/>
  <c r="N366" i="5"/>
  <c r="N277" i="5"/>
  <c r="N251" i="5"/>
  <c r="N229" i="5"/>
  <c r="N208" i="5"/>
  <c r="N181" i="5"/>
  <c r="N162" i="5"/>
  <c r="N138" i="5"/>
  <c r="N117" i="5"/>
  <c r="N71" i="5"/>
  <c r="O71" i="5" s="1"/>
  <c r="N45" i="5"/>
  <c r="N27" i="5"/>
  <c r="O27" i="5" s="1"/>
  <c r="J440" i="5"/>
  <c r="O440" i="5"/>
  <c r="J428" i="5"/>
  <c r="O428" i="5"/>
  <c r="J416" i="5"/>
  <c r="J404" i="5"/>
  <c r="J392" i="5"/>
  <c r="L380" i="5"/>
  <c r="J380" i="5"/>
  <c r="O380" i="5"/>
  <c r="J368" i="5"/>
  <c r="O368" i="5"/>
  <c r="L356" i="5"/>
  <c r="J356" i="5"/>
  <c r="J344" i="5"/>
  <c r="O344" i="5"/>
  <c r="L332" i="5"/>
  <c r="J332" i="5"/>
  <c r="J320" i="5"/>
  <c r="L308" i="5"/>
  <c r="J308" i="5"/>
  <c r="J296" i="5"/>
  <c r="L284" i="5"/>
  <c r="J284" i="5"/>
  <c r="J272" i="5"/>
  <c r="O272" i="5"/>
  <c r="L260" i="5"/>
  <c r="J260" i="5"/>
  <c r="J248" i="5"/>
  <c r="O248" i="5"/>
  <c r="J236" i="5"/>
  <c r="J224" i="5"/>
  <c r="O224" i="5"/>
  <c r="J212" i="5"/>
  <c r="O212" i="5"/>
  <c r="J200" i="5"/>
  <c r="O200" i="5"/>
  <c r="J188" i="5"/>
  <c r="J176" i="5"/>
  <c r="J164" i="5"/>
  <c r="J152" i="5"/>
  <c r="J140" i="5"/>
  <c r="O140" i="5"/>
  <c r="L128" i="5"/>
  <c r="J128" i="5"/>
  <c r="O128" i="5"/>
  <c r="N128" i="5"/>
  <c r="J116" i="5"/>
  <c r="O116" i="5"/>
  <c r="N404" i="5"/>
  <c r="O404" i="5" s="1"/>
  <c r="N332" i="5"/>
  <c r="O332" i="5" s="1"/>
  <c r="N260" i="5"/>
  <c r="O260" i="5" s="1"/>
  <c r="N188" i="5"/>
  <c r="O188" i="5" s="1"/>
  <c r="L439" i="5"/>
  <c r="J439" i="5"/>
  <c r="L427" i="5"/>
  <c r="J427" i="5"/>
  <c r="L415" i="5"/>
  <c r="J415" i="5"/>
  <c r="O415" i="5"/>
  <c r="L403" i="5"/>
  <c r="J403" i="5"/>
  <c r="O403" i="5"/>
  <c r="J391" i="5"/>
  <c r="O391" i="5"/>
  <c r="J379" i="5"/>
  <c r="J367" i="5"/>
  <c r="O367" i="5"/>
  <c r="J355" i="5"/>
  <c r="O355" i="5"/>
  <c r="J343" i="5"/>
  <c r="O343" i="5"/>
  <c r="L331" i="5"/>
  <c r="J331" i="5"/>
  <c r="L319" i="5"/>
  <c r="J319" i="5"/>
  <c r="O319" i="5"/>
  <c r="J307" i="5"/>
  <c r="O307" i="5"/>
  <c r="L295" i="5"/>
  <c r="J295" i="5"/>
  <c r="O295" i="5"/>
  <c r="L283" i="5"/>
  <c r="J283" i="5"/>
  <c r="L271" i="5"/>
  <c r="J271" i="5"/>
  <c r="L259" i="5"/>
  <c r="J259" i="5"/>
  <c r="L247" i="5"/>
  <c r="J247" i="5"/>
  <c r="J235" i="5"/>
  <c r="O235" i="5"/>
  <c r="L223" i="5"/>
  <c r="J223" i="5"/>
  <c r="O223" i="5"/>
  <c r="L211" i="5"/>
  <c r="J211" i="5"/>
  <c r="O211" i="5"/>
  <c r="L199" i="5"/>
  <c r="J199" i="5"/>
  <c r="O199" i="5"/>
  <c r="L187" i="5"/>
  <c r="J187" i="5"/>
  <c r="O187" i="5"/>
  <c r="L175" i="5"/>
  <c r="J175" i="5"/>
  <c r="O175" i="5"/>
  <c r="J163" i="5"/>
  <c r="O163" i="5"/>
  <c r="L151" i="5"/>
  <c r="J151" i="5"/>
  <c r="O151" i="5"/>
  <c r="L139" i="5"/>
  <c r="J139" i="5"/>
  <c r="J127" i="5"/>
  <c r="O127" i="5"/>
  <c r="L115" i="5"/>
  <c r="J115" i="5"/>
  <c r="N115" i="5"/>
  <c r="O115" i="5" s="1"/>
  <c r="J103" i="5"/>
  <c r="J91" i="5"/>
  <c r="O91" i="5"/>
  <c r="L79" i="5"/>
  <c r="J79" i="5"/>
  <c r="O79" i="5"/>
  <c r="L67" i="5"/>
  <c r="J67" i="5"/>
  <c r="O67" i="5"/>
  <c r="J55" i="5"/>
  <c r="O55" i="5"/>
  <c r="J43" i="5"/>
  <c r="O43" i="5"/>
  <c r="N43" i="5"/>
  <c r="J31" i="5"/>
  <c r="O31" i="5"/>
  <c r="J19" i="5"/>
  <c r="O19" i="5"/>
  <c r="L317" i="5"/>
  <c r="M380" i="5"/>
  <c r="M308" i="5"/>
  <c r="O308" i="5" s="1"/>
  <c r="M236" i="5"/>
  <c r="O236" i="5" s="1"/>
  <c r="N403" i="5"/>
  <c r="N331" i="5"/>
  <c r="O331" i="5" s="1"/>
  <c r="N259" i="5"/>
  <c r="O259" i="5" s="1"/>
  <c r="N187" i="5"/>
  <c r="N19" i="5"/>
  <c r="J8" i="5"/>
  <c r="L437" i="5"/>
  <c r="J437" i="5"/>
  <c r="L425" i="5"/>
  <c r="J425" i="5"/>
  <c r="L413" i="5"/>
  <c r="J413" i="5"/>
  <c r="O413" i="5"/>
  <c r="L401" i="5"/>
  <c r="J401" i="5"/>
  <c r="J389" i="5"/>
  <c r="L389" i="5"/>
  <c r="L377" i="5"/>
  <c r="J377" i="5"/>
  <c r="L365" i="5"/>
  <c r="J365" i="5"/>
  <c r="O365" i="5"/>
  <c r="L353" i="5"/>
  <c r="J353" i="5"/>
  <c r="O353" i="5"/>
  <c r="L341" i="5"/>
  <c r="J341" i="5"/>
  <c r="O341" i="5"/>
  <c r="L329" i="5"/>
  <c r="J329" i="5"/>
  <c r="J317" i="5"/>
  <c r="L305" i="5"/>
  <c r="J305" i="5"/>
  <c r="J293" i="5"/>
  <c r="O293" i="5"/>
  <c r="L281" i="5"/>
  <c r="J281" i="5"/>
  <c r="O281" i="5"/>
  <c r="L269" i="5"/>
  <c r="J269" i="5"/>
  <c r="O269" i="5"/>
  <c r="L257" i="5"/>
  <c r="J257" i="5"/>
  <c r="O257" i="5"/>
  <c r="L245" i="5"/>
  <c r="J245" i="5"/>
  <c r="O245" i="5"/>
  <c r="L233" i="5"/>
  <c r="J233" i="5"/>
  <c r="L221" i="5"/>
  <c r="J221" i="5"/>
  <c r="O221" i="5"/>
  <c r="L209" i="5"/>
  <c r="J209" i="5"/>
  <c r="O209" i="5"/>
  <c r="L197" i="5"/>
  <c r="J197" i="5"/>
  <c r="O197" i="5"/>
  <c r="L185" i="5"/>
  <c r="J185" i="5"/>
  <c r="O185" i="5"/>
  <c r="L173" i="5"/>
  <c r="J173" i="5"/>
  <c r="L161" i="5"/>
  <c r="J161" i="5"/>
  <c r="L149" i="5"/>
  <c r="J149" i="5"/>
  <c r="O149" i="5"/>
  <c r="L137" i="5"/>
  <c r="J137" i="5"/>
  <c r="O137" i="5"/>
  <c r="J125" i="5"/>
  <c r="O125" i="5"/>
  <c r="J113" i="5"/>
  <c r="O113" i="5"/>
  <c r="L101" i="5"/>
  <c r="J101" i="5"/>
  <c r="O101" i="5"/>
  <c r="J89" i="5"/>
  <c r="N89" i="5"/>
  <c r="J77" i="5"/>
  <c r="L65" i="5"/>
  <c r="J65" i="5"/>
  <c r="O65" i="5"/>
  <c r="J53" i="5"/>
  <c r="O53" i="5"/>
  <c r="J41" i="5"/>
  <c r="O41" i="5"/>
  <c r="L29" i="5"/>
  <c r="J29" i="5"/>
  <c r="O29" i="5"/>
  <c r="J17" i="5"/>
  <c r="N17" i="5"/>
  <c r="L248" i="5"/>
  <c r="M392" i="5"/>
  <c r="O392" i="5" s="1"/>
  <c r="M377" i="5"/>
  <c r="O377" i="5" s="1"/>
  <c r="M320" i="5"/>
  <c r="O320" i="5" s="1"/>
  <c r="M305" i="5"/>
  <c r="O305" i="5" s="1"/>
  <c r="M248" i="5"/>
  <c r="M233" i="5"/>
  <c r="O233" i="5" s="1"/>
  <c r="M176" i="5"/>
  <c r="O176" i="5" s="1"/>
  <c r="M161" i="5"/>
  <c r="O161" i="5" s="1"/>
  <c r="M89" i="5"/>
  <c r="O89" i="5" s="1"/>
  <c r="M17" i="5"/>
  <c r="N415" i="5"/>
  <c r="N401" i="5"/>
  <c r="O401" i="5" s="1"/>
  <c r="N343" i="5"/>
  <c r="N329" i="5"/>
  <c r="O329" i="5" s="1"/>
  <c r="N271" i="5"/>
  <c r="O271" i="5" s="1"/>
  <c r="N257" i="5"/>
  <c r="N199" i="5"/>
  <c r="N185" i="5"/>
  <c r="N79" i="5"/>
  <c r="J104" i="5"/>
  <c r="O104" i="5"/>
  <c r="J92" i="5"/>
  <c r="J80" i="5"/>
  <c r="J68" i="5"/>
  <c r="O68" i="5"/>
  <c r="L56" i="5"/>
  <c r="J56" i="5"/>
  <c r="J44" i="5"/>
  <c r="O44" i="5"/>
  <c r="J32" i="5"/>
  <c r="O32" i="5"/>
  <c r="J20" i="5"/>
  <c r="O20" i="5"/>
  <c r="O110" i="5"/>
  <c r="J110" i="5"/>
  <c r="J98" i="5"/>
  <c r="L86" i="5"/>
  <c r="O86" i="5"/>
  <c r="J86" i="5"/>
  <c r="O74" i="5"/>
  <c r="J74" i="5"/>
  <c r="J62" i="5"/>
  <c r="L50" i="5"/>
  <c r="O50" i="5"/>
  <c r="J50" i="5"/>
  <c r="O38" i="5"/>
  <c r="J38" i="5"/>
  <c r="O26" i="5"/>
  <c r="J26" i="5"/>
  <c r="L14" i="5"/>
  <c r="O14" i="5"/>
  <c r="J14" i="5"/>
  <c r="N56" i="5"/>
  <c r="O56" i="5" s="1"/>
  <c r="T1044" i="2"/>
  <c r="A1044" i="16" s="1"/>
  <c r="A1043" i="16"/>
  <c r="T839" i="2"/>
  <c r="A839" i="16" s="1"/>
  <c r="A838" i="16"/>
  <c r="T553" i="2"/>
  <c r="A553" i="16" s="1"/>
  <c r="A552" i="16"/>
  <c r="T1104" i="2"/>
  <c r="A1104" i="16" s="1"/>
  <c r="A1103" i="16"/>
  <c r="T1070" i="2"/>
  <c r="A1070" i="16" s="1"/>
  <c r="A1069" i="16"/>
  <c r="T1041" i="2"/>
  <c r="A1041" i="16" s="1"/>
  <c r="A1040" i="16"/>
  <c r="T897" i="2"/>
  <c r="T853" i="2"/>
  <c r="A852" i="16"/>
  <c r="T807" i="2"/>
  <c r="A807" i="16" s="1"/>
  <c r="T684" i="2"/>
  <c r="A684" i="16" s="1"/>
  <c r="T643" i="2"/>
  <c r="A643" i="16" s="1"/>
  <c r="T597" i="2"/>
  <c r="A597" i="16" s="1"/>
  <c r="T567" i="2"/>
  <c r="A567" i="16" s="1"/>
  <c r="T406" i="2"/>
  <c r="A405" i="16"/>
  <c r="T365" i="2"/>
  <c r="A365" i="16" s="1"/>
  <c r="A364" i="16"/>
  <c r="T322" i="2"/>
  <c r="A321" i="16"/>
  <c r="T281" i="2"/>
  <c r="A281" i="16" s="1"/>
  <c r="A280" i="16"/>
  <c r="T267" i="2"/>
  <c r="A266" i="16"/>
  <c r="T254" i="2"/>
  <c r="A253" i="16"/>
  <c r="T176" i="2"/>
  <c r="T139" i="2"/>
  <c r="T126" i="2"/>
  <c r="A126" i="16" s="1"/>
  <c r="T64" i="2"/>
  <c r="A64" i="16" s="1"/>
  <c r="T52" i="2"/>
  <c r="A52" i="16" s="1"/>
  <c r="A51" i="16"/>
  <c r="T739" i="2"/>
  <c r="A738" i="16"/>
  <c r="T459" i="2"/>
  <c r="A459" i="16" s="1"/>
  <c r="A458" i="16"/>
  <c r="T48" i="2"/>
  <c r="A48" i="16" s="1"/>
  <c r="A47" i="16"/>
  <c r="T1066" i="2"/>
  <c r="A1066" i="16" s="1"/>
  <c r="A1065" i="16"/>
  <c r="T1038" i="2"/>
  <c r="A1038" i="16" s="1"/>
  <c r="A1037" i="16"/>
  <c r="T1011" i="2"/>
  <c r="A1010" i="16"/>
  <c r="T986" i="2"/>
  <c r="A986" i="16" s="1"/>
  <c r="A985" i="16"/>
  <c r="T724" i="2"/>
  <c r="T625" i="2"/>
  <c r="T564" i="2"/>
  <c r="A563" i="16"/>
  <c r="T533" i="2"/>
  <c r="A532" i="16"/>
  <c r="T390" i="2"/>
  <c r="A390" i="16" s="1"/>
  <c r="A389" i="16"/>
  <c r="T350" i="2"/>
  <c r="A350" i="16" s="1"/>
  <c r="A349" i="16"/>
  <c r="T1024" i="2"/>
  <c r="A1024" i="16" s="1"/>
  <c r="A1023" i="16"/>
  <c r="T822" i="2"/>
  <c r="A822" i="16" s="1"/>
  <c r="T517" i="2"/>
  <c r="A516" i="16"/>
  <c r="T34" i="2"/>
  <c r="A34" i="16" s="1"/>
  <c r="T22" i="2"/>
  <c r="T1096" i="2"/>
  <c r="A1095" i="16"/>
  <c r="T1051" i="2"/>
  <c r="A1051" i="16" s="1"/>
  <c r="T984" i="2"/>
  <c r="A984" i="16" s="1"/>
  <c r="T967" i="2"/>
  <c r="A967" i="16" s="1"/>
  <c r="A966" i="16"/>
  <c r="T849" i="2"/>
  <c r="A849" i="16" s="1"/>
  <c r="T818" i="2"/>
  <c r="T804" i="2"/>
  <c r="A804" i="16" s="1"/>
  <c r="T790" i="2"/>
  <c r="T763" i="2"/>
  <c r="A763" i="16" s="1"/>
  <c r="T750" i="2"/>
  <c r="A750" i="16" s="1"/>
  <c r="A749" i="16"/>
  <c r="T639" i="2"/>
  <c r="T607" i="2"/>
  <c r="A607" i="16" s="1"/>
  <c r="T594" i="2"/>
  <c r="A594" i="16" s="1"/>
  <c r="A593" i="16"/>
  <c r="T579" i="2"/>
  <c r="A578" i="16"/>
  <c r="T469" i="2"/>
  <c r="A469" i="16" s="1"/>
  <c r="T427" i="2"/>
  <c r="A427" i="16" s="1"/>
  <c r="T277" i="2"/>
  <c r="A277" i="16" s="1"/>
  <c r="T263" i="2"/>
  <c r="A263" i="16" s="1"/>
  <c r="T237" i="2"/>
  <c r="A237" i="16" s="1"/>
  <c r="A236" i="16"/>
  <c r="T223" i="2"/>
  <c r="T161" i="2"/>
  <c r="A161" i="16" s="1"/>
  <c r="A160" i="16"/>
  <c r="T1156" i="2"/>
  <c r="A1156" i="16" s="1"/>
  <c r="A1155" i="16"/>
  <c r="T906" i="2"/>
  <c r="A905" i="16"/>
  <c r="T865" i="2"/>
  <c r="A864" i="16"/>
  <c r="T530" i="2"/>
  <c r="A530" i="16" s="1"/>
  <c r="A529" i="16"/>
  <c r="T499" i="2"/>
  <c r="A498" i="16"/>
  <c r="T317" i="2"/>
  <c r="A317" i="16" s="1"/>
  <c r="A316" i="16"/>
  <c r="T122" i="2"/>
  <c r="A121" i="16"/>
  <c r="T777" i="2"/>
  <c r="A777" i="16" s="1"/>
  <c r="A776" i="16"/>
  <c r="T735" i="2"/>
  <c r="A735" i="16" s="1"/>
  <c r="A734" i="16"/>
  <c r="T486" i="2"/>
  <c r="A486" i="16" s="1"/>
  <c r="A485" i="16"/>
  <c r="T1154" i="2"/>
  <c r="A1154" i="16" s="1"/>
  <c r="T1093" i="2"/>
  <c r="A1093" i="16" s="1"/>
  <c r="A1092" i="16"/>
  <c r="T981" i="2"/>
  <c r="A980" i="16"/>
  <c r="T963" i="2"/>
  <c r="T904" i="2"/>
  <c r="A904" i="16" s="1"/>
  <c r="T892" i="2"/>
  <c r="A892" i="16" s="1"/>
  <c r="A891" i="16"/>
  <c r="T761" i="2"/>
  <c r="A761" i="16" s="1"/>
  <c r="A760" i="16"/>
  <c r="T733" i="2"/>
  <c r="A733" i="16" s="1"/>
  <c r="T707" i="2"/>
  <c r="A707" i="16" s="1"/>
  <c r="T664" i="2"/>
  <c r="T650" i="2"/>
  <c r="T636" i="2"/>
  <c r="A635" i="16"/>
  <c r="T591" i="2"/>
  <c r="A591" i="16" s="1"/>
  <c r="A590" i="16"/>
  <c r="T513" i="2"/>
  <c r="A513" i="16" s="1"/>
  <c r="A512" i="16"/>
  <c r="T484" i="2"/>
  <c r="A484" i="16" s="1"/>
  <c r="A483" i="16"/>
  <c r="T454" i="2"/>
  <c r="A454" i="16" s="1"/>
  <c r="A453" i="16"/>
  <c r="T413" i="2"/>
  <c r="T400" i="2"/>
  <c r="T301" i="2"/>
  <c r="A300" i="16"/>
  <c r="T248" i="2"/>
  <c r="A248" i="16" s="1"/>
  <c r="T146" i="2"/>
  <c r="A146" i="16" s="1"/>
  <c r="T549" i="2"/>
  <c r="A549" i="16" s="1"/>
  <c r="A548" i="16"/>
  <c r="T31" i="2"/>
  <c r="A31" i="16" s="1"/>
  <c r="T1193" i="2"/>
  <c r="A1192" i="16"/>
  <c r="T920" i="2"/>
  <c r="A920" i="16" s="1"/>
  <c r="A919" i="16"/>
  <c r="T861" i="2"/>
  <c r="A860" i="16"/>
  <c r="T814" i="2"/>
  <c r="A813" i="16"/>
  <c r="T759" i="2"/>
  <c r="A759" i="16" s="1"/>
  <c r="T482" i="2"/>
  <c r="A482" i="16" s="1"/>
  <c r="A481" i="16"/>
  <c r="T385" i="2"/>
  <c r="A385" i="16" s="1"/>
  <c r="T358" i="2"/>
  <c r="A358" i="16" s="1"/>
  <c r="T233" i="2"/>
  <c r="A233" i="16" s="1"/>
  <c r="A232" i="16"/>
  <c r="T119" i="2"/>
  <c r="A119" i="16" s="1"/>
  <c r="A118" i="16"/>
  <c r="T1131" i="2"/>
  <c r="A1131" i="16" s="1"/>
  <c r="A1130" i="16"/>
  <c r="T970" i="2"/>
  <c r="A969" i="16"/>
  <c r="T1191" i="2"/>
  <c r="A1191" i="16" s="1"/>
  <c r="A1190" i="16"/>
  <c r="T1124" i="2"/>
  <c r="A1123" i="16"/>
  <c r="T1076" i="2"/>
  <c r="A1075" i="16"/>
  <c r="T1060" i="2"/>
  <c r="A1060" i="16" s="1"/>
  <c r="A1059" i="16"/>
  <c r="T1005" i="2"/>
  <c r="A1005" i="16" s="1"/>
  <c r="T993" i="2"/>
  <c r="A993" i="16" s="1"/>
  <c r="T978" i="2"/>
  <c r="A978" i="16" s="1"/>
  <c r="A977" i="16"/>
  <c r="T947" i="2"/>
  <c r="A947" i="16" s="1"/>
  <c r="A946" i="16"/>
  <c r="T902" i="2"/>
  <c r="T843" i="2"/>
  <c r="A842" i="16"/>
  <c r="T718" i="2"/>
  <c r="A718" i="16" s="1"/>
  <c r="T619" i="2"/>
  <c r="T558" i="2"/>
  <c r="A558" i="16" s="1"/>
  <c r="A557" i="16"/>
  <c r="T541" i="2"/>
  <c r="A540" i="16"/>
  <c r="T526" i="2"/>
  <c r="A526" i="16" s="1"/>
  <c r="A525" i="16"/>
  <c r="T510" i="2"/>
  <c r="A510" i="16" s="1"/>
  <c r="A509" i="16"/>
  <c r="T437" i="2"/>
  <c r="A437" i="16" s="1"/>
  <c r="A436" i="16"/>
  <c r="T398" i="2"/>
  <c r="A398" i="16" s="1"/>
  <c r="A397" i="16"/>
  <c r="T330" i="2"/>
  <c r="A329" i="16"/>
  <c r="T313" i="2"/>
  <c r="A312" i="16"/>
  <c r="T273" i="2"/>
  <c r="A273" i="16" s="1"/>
  <c r="T219" i="2"/>
  <c r="A219" i="16" s="1"/>
  <c r="A218" i="16"/>
  <c r="T131" i="2"/>
  <c r="T81" i="2"/>
  <c r="A81" i="16" s="1"/>
  <c r="T1102" i="2"/>
  <c r="A1102" i="16" s="1"/>
  <c r="A1101" i="16"/>
  <c r="T1026" i="2"/>
  <c r="A1026" i="16" s="1"/>
  <c r="A1025" i="16"/>
  <c r="T799" i="2"/>
  <c r="A799" i="16" s="1"/>
  <c r="A798" i="16"/>
  <c r="T689" i="2"/>
  <c r="A689" i="16" s="1"/>
  <c r="A688" i="16"/>
  <c r="T602" i="2"/>
  <c r="A601" i="16"/>
  <c r="T573" i="2"/>
  <c r="A573" i="16" s="1"/>
  <c r="A572" i="16"/>
  <c r="T479" i="2"/>
  <c r="A478" i="16"/>
  <c r="T450" i="2"/>
  <c r="A450" i="16" s="1"/>
  <c r="A449" i="16"/>
  <c r="T342" i="2"/>
  <c r="A342" i="16" s="1"/>
  <c r="A341" i="16"/>
  <c r="T1068" i="2"/>
  <c r="A1068" i="16" s="1"/>
  <c r="A1067" i="16"/>
  <c r="T712" i="2"/>
  <c r="A712" i="16" s="1"/>
  <c r="A711" i="16"/>
  <c r="T1176" i="2"/>
  <c r="A1176" i="16" s="1"/>
  <c r="A1175" i="16"/>
  <c r="T1148" i="2"/>
  <c r="A1147" i="16"/>
  <c r="T1073" i="2"/>
  <c r="A1073" i="16" s="1"/>
  <c r="T975" i="2"/>
  <c r="A975" i="16" s="1"/>
  <c r="T959" i="2"/>
  <c r="A959" i="16" s="1"/>
  <c r="A958" i="16"/>
  <c r="T930" i="2"/>
  <c r="A929" i="16"/>
  <c r="T916" i="2"/>
  <c r="A916" i="16" s="1"/>
  <c r="A915" i="16"/>
  <c r="T887" i="2"/>
  <c r="A887" i="16" s="1"/>
  <c r="A886" i="16"/>
  <c r="T756" i="2"/>
  <c r="A756" i="16" s="1"/>
  <c r="T729" i="2"/>
  <c r="A729" i="16" s="1"/>
  <c r="T702" i="2"/>
  <c r="T660" i="2"/>
  <c r="A660" i="16" s="1"/>
  <c r="T631" i="2"/>
  <c r="A631" i="16" s="1"/>
  <c r="A630" i="16"/>
  <c r="T555" i="2"/>
  <c r="A555" i="16" s="1"/>
  <c r="A554" i="16"/>
  <c r="T523" i="2"/>
  <c r="A523" i="16" s="1"/>
  <c r="A522" i="16"/>
  <c r="T507" i="2"/>
  <c r="A507" i="16" s="1"/>
  <c r="T477" i="2"/>
  <c r="A477" i="16" s="1"/>
  <c r="A476" i="16"/>
  <c r="T284" i="2"/>
  <c r="T271" i="2"/>
  <c r="A271" i="16" s="1"/>
  <c r="T244" i="2"/>
  <c r="A244" i="16" s="1"/>
  <c r="A243" i="16"/>
  <c r="T180" i="2"/>
  <c r="A180" i="16" s="1"/>
  <c r="T167" i="2"/>
  <c r="A167" i="16" s="1"/>
  <c r="T115" i="2"/>
  <c r="A115" i="16" s="1"/>
  <c r="T103" i="2"/>
  <c r="A103" i="16" s="1"/>
  <c r="T79" i="2"/>
  <c r="A79" i="16" s="1"/>
  <c r="T766" i="2"/>
  <c r="A765" i="16"/>
  <c r="T700" i="2"/>
  <c r="A699" i="16"/>
  <c r="T368" i="2"/>
  <c r="A367" i="16"/>
  <c r="T326" i="2"/>
  <c r="A325" i="16"/>
  <c r="T1151" i="2"/>
  <c r="A1151" i="16" s="1"/>
  <c r="A1150" i="16"/>
  <c r="T875" i="2"/>
  <c r="A875" i="16" s="1"/>
  <c r="A874" i="16"/>
  <c r="T1107" i="2"/>
  <c r="A1107" i="16" s="1"/>
  <c r="A1106" i="16"/>
  <c r="T942" i="2"/>
  <c r="A941" i="16"/>
  <c r="T615" i="2"/>
  <c r="A614" i="16"/>
  <c r="T570" i="2"/>
  <c r="A570" i="16" s="1"/>
  <c r="A569" i="16"/>
  <c r="T433" i="2"/>
  <c r="A433" i="16" s="1"/>
  <c r="A432" i="16"/>
  <c r="T1119" i="2"/>
  <c r="A1119" i="16" s="1"/>
  <c r="A1118" i="16"/>
  <c r="T973" i="2"/>
  <c r="A973" i="16" s="1"/>
  <c r="T956" i="2"/>
  <c r="A956" i="16" s="1"/>
  <c r="A955" i="16"/>
  <c r="T871" i="2"/>
  <c r="A871" i="16" s="1"/>
  <c r="A870" i="16"/>
  <c r="T855" i="2"/>
  <c r="A855" i="16" s="1"/>
  <c r="T769" i="2"/>
  <c r="A769" i="16" s="1"/>
  <c r="A768" i="16"/>
  <c r="T672" i="2"/>
  <c r="A671" i="16"/>
  <c r="T612" i="2"/>
  <c r="A611" i="16"/>
  <c r="T474" i="2"/>
  <c r="A474" i="16" s="1"/>
  <c r="A473" i="16"/>
  <c r="T446" i="2"/>
  <c r="A446" i="16" s="1"/>
  <c r="A445" i="16"/>
  <c r="T353" i="2"/>
  <c r="A353" i="16" s="1"/>
  <c r="A352" i="16"/>
  <c r="L246" i="5"/>
  <c r="L174" i="5"/>
  <c r="L80" i="5"/>
  <c r="L438" i="5"/>
  <c r="L26" i="5"/>
  <c r="L293" i="5"/>
  <c r="L242" i="5"/>
  <c r="L206" i="5"/>
  <c r="L170" i="5"/>
  <c r="L134" i="5"/>
  <c r="L426" i="5"/>
  <c r="L18" i="5"/>
  <c r="L110" i="5"/>
  <c r="L414" i="5"/>
  <c r="L230" i="5"/>
  <c r="L194" i="5"/>
  <c r="L158" i="5"/>
  <c r="L104" i="5"/>
  <c r="L62" i="5"/>
  <c r="L402" i="5"/>
  <c r="L266" i="5"/>
  <c r="L224" i="5"/>
  <c r="L188" i="5"/>
  <c r="L152" i="5"/>
  <c r="L98" i="5"/>
  <c r="L318" i="5"/>
  <c r="L38" i="5"/>
  <c r="L8" i="5"/>
  <c r="L113" i="5"/>
  <c r="L89" i="5"/>
  <c r="L77" i="5"/>
  <c r="L41" i="5"/>
  <c r="L391" i="5"/>
  <c r="L367" i="5"/>
  <c r="L343" i="5"/>
  <c r="L125" i="5"/>
  <c r="L268" i="5"/>
  <c r="L6" i="5"/>
  <c r="L435" i="5"/>
  <c r="L423" i="5"/>
  <c r="L411" i="5"/>
  <c r="L399" i="5"/>
  <c r="L387" i="5"/>
  <c r="L375" i="5"/>
  <c r="L363" i="5"/>
  <c r="L351" i="5"/>
  <c r="L339" i="5"/>
  <c r="L327" i="5"/>
  <c r="L315" i="5"/>
  <c r="L303" i="5"/>
  <c r="L291" i="5"/>
  <c r="L279" i="5"/>
  <c r="L267" i="5"/>
  <c r="L255" i="5"/>
  <c r="L243" i="5"/>
  <c r="L231" i="5"/>
  <c r="L219" i="5"/>
  <c r="L207" i="5"/>
  <c r="L195" i="5"/>
  <c r="L183" i="5"/>
  <c r="L171" i="5"/>
  <c r="L159" i="5"/>
  <c r="L147" i="5"/>
  <c r="L135" i="5"/>
  <c r="L99" i="5"/>
  <c r="L75" i="5"/>
  <c r="L63" i="5"/>
  <c r="L123" i="5"/>
  <c r="L424" i="5"/>
  <c r="L376" i="5"/>
  <c r="L328" i="5"/>
  <c r="L280" i="5"/>
  <c r="L220" i="5"/>
  <c r="L196" i="5"/>
  <c r="L160" i="5"/>
  <c r="L88" i="5"/>
  <c r="L28" i="5"/>
  <c r="L434" i="5"/>
  <c r="L410" i="5"/>
  <c r="L386" i="5"/>
  <c r="L362" i="5"/>
  <c r="L338" i="5"/>
  <c r="L314" i="5"/>
  <c r="L290" i="5"/>
  <c r="L412" i="5"/>
  <c r="L364" i="5"/>
  <c r="L316" i="5"/>
  <c r="L292" i="5"/>
  <c r="L232" i="5"/>
  <c r="L136" i="5"/>
  <c r="L445" i="5"/>
  <c r="L433" i="5"/>
  <c r="L421" i="5"/>
  <c r="L409" i="5"/>
  <c r="L397" i="5"/>
  <c r="L385" i="5"/>
  <c r="L373" i="5"/>
  <c r="L361" i="5"/>
  <c r="L349" i="5"/>
  <c r="L337" i="5"/>
  <c r="L325" i="5"/>
  <c r="L313" i="5"/>
  <c r="L301" i="5"/>
  <c r="L289" i="5"/>
  <c r="L277" i="5"/>
  <c r="L265" i="5"/>
  <c r="L253" i="5"/>
  <c r="L241" i="5"/>
  <c r="L229" i="5"/>
  <c r="L217" i="5"/>
  <c r="L205" i="5"/>
  <c r="L193" i="5"/>
  <c r="L181" i="5"/>
  <c r="L169" i="5"/>
  <c r="L157" i="5"/>
  <c r="L145" i="5"/>
  <c r="L133" i="5"/>
  <c r="L121" i="5"/>
  <c r="L85" i="5"/>
  <c r="L61" i="5"/>
  <c r="L49" i="5"/>
  <c r="L13" i="5"/>
  <c r="L431" i="5"/>
  <c r="L407" i="5"/>
  <c r="L287" i="5"/>
  <c r="L215" i="5"/>
  <c r="L143" i="5"/>
  <c r="L87" i="5"/>
  <c r="L400" i="5"/>
  <c r="L388" i="5"/>
  <c r="L340" i="5"/>
  <c r="L304" i="5"/>
  <c r="L244" i="5"/>
  <c r="L208" i="5"/>
  <c r="L184" i="5"/>
  <c r="L172" i="5"/>
  <c r="L148" i="5"/>
  <c r="L100" i="5"/>
  <c r="L40" i="5"/>
  <c r="L16" i="5"/>
  <c r="L444" i="5"/>
  <c r="L432" i="5"/>
  <c r="L420" i="5"/>
  <c r="L408" i="5"/>
  <c r="L396" i="5"/>
  <c r="L384" i="5"/>
  <c r="L372" i="5"/>
  <c r="L360" i="5"/>
  <c r="L348" i="5"/>
  <c r="L336" i="5"/>
  <c r="L324" i="5"/>
  <c r="L312" i="5"/>
  <c r="L300" i="5"/>
  <c r="L288" i="5"/>
  <c r="L276" i="5"/>
  <c r="L264" i="5"/>
  <c r="L252" i="5"/>
  <c r="L240" i="5"/>
  <c r="L228" i="5"/>
  <c r="L216" i="5"/>
  <c r="L204" i="5"/>
  <c r="L192" i="5"/>
  <c r="L180" i="5"/>
  <c r="L168" i="5"/>
  <c r="L156" i="5"/>
  <c r="L144" i="5"/>
  <c r="L132" i="5"/>
  <c r="L108" i="5"/>
  <c r="L72" i="5"/>
  <c r="L60" i="5"/>
  <c r="L36" i="5"/>
  <c r="L24" i="5"/>
  <c r="L12" i="5"/>
  <c r="L428" i="5"/>
  <c r="L404" i="5"/>
  <c r="L112" i="5"/>
  <c r="L84" i="5"/>
  <c r="L25" i="5"/>
  <c r="L436" i="5"/>
  <c r="L352" i="5"/>
  <c r="L256" i="5"/>
  <c r="L64" i="5"/>
  <c r="L124" i="5"/>
  <c r="L131" i="5"/>
  <c r="L119" i="5"/>
  <c r="L107" i="5"/>
  <c r="L95" i="5"/>
  <c r="L83" i="5"/>
  <c r="L71" i="5"/>
  <c r="L59" i="5"/>
  <c r="L47" i="5"/>
  <c r="L35" i="5"/>
  <c r="L23" i="5"/>
  <c r="L11" i="5"/>
  <c r="L379" i="5"/>
  <c r="L355" i="5"/>
  <c r="L307" i="5"/>
  <c r="L235" i="5"/>
  <c r="L163" i="5"/>
  <c r="L111" i="5"/>
  <c r="L53" i="5"/>
  <c r="L442" i="5"/>
  <c r="L430" i="5"/>
  <c r="L418" i="5"/>
  <c r="L406" i="5"/>
  <c r="L394" i="5"/>
  <c r="L382" i="5"/>
  <c r="L370" i="5"/>
  <c r="L358" i="5"/>
  <c r="L346" i="5"/>
  <c r="L334" i="5"/>
  <c r="L322" i="5"/>
  <c r="L310" i="5"/>
  <c r="L298" i="5"/>
  <c r="L286" i="5"/>
  <c r="L274" i="5"/>
  <c r="L262" i="5"/>
  <c r="L250" i="5"/>
  <c r="L238" i="5"/>
  <c r="L226" i="5"/>
  <c r="L214" i="5"/>
  <c r="L202" i="5"/>
  <c r="L190" i="5"/>
  <c r="L178" i="5"/>
  <c r="L166" i="5"/>
  <c r="L154" i="5"/>
  <c r="L142" i="5"/>
  <c r="L130" i="5"/>
  <c r="L118" i="5"/>
  <c r="L106" i="5"/>
  <c r="L94" i="5"/>
  <c r="L82" i="5"/>
  <c r="L70" i="5"/>
  <c r="L58" i="5"/>
  <c r="L46" i="5"/>
  <c r="L34" i="5"/>
  <c r="L22" i="5"/>
  <c r="L10" i="5"/>
  <c r="L52" i="5"/>
  <c r="L441" i="5"/>
  <c r="L429" i="5"/>
  <c r="L417" i="5"/>
  <c r="L405" i="5"/>
  <c r="L393" i="5"/>
  <c r="L381" i="5"/>
  <c r="L369" i="5"/>
  <c r="L357" i="5"/>
  <c r="L345" i="5"/>
  <c r="L333" i="5"/>
  <c r="L321" i="5"/>
  <c r="L309" i="5"/>
  <c r="L297" i="5"/>
  <c r="L285" i="5"/>
  <c r="L273" i="5"/>
  <c r="L261" i="5"/>
  <c r="L249" i="5"/>
  <c r="L237" i="5"/>
  <c r="L225" i="5"/>
  <c r="L213" i="5"/>
  <c r="L201" i="5"/>
  <c r="L189" i="5"/>
  <c r="L177" i="5"/>
  <c r="L165" i="5"/>
  <c r="L153" i="5"/>
  <c r="L141" i="5"/>
  <c r="L446" i="5"/>
  <c r="L422" i="5"/>
  <c r="L398" i="5"/>
  <c r="L374" i="5"/>
  <c r="L350" i="5"/>
  <c r="L326" i="5"/>
  <c r="L302" i="5"/>
  <c r="L278" i="5"/>
  <c r="L76" i="5"/>
  <c r="L48" i="5"/>
  <c r="L127" i="5"/>
  <c r="L103" i="5"/>
  <c r="L91" i="5"/>
  <c r="L55" i="5"/>
  <c r="L31" i="5"/>
  <c r="L19" i="5"/>
  <c r="L443" i="5"/>
  <c r="L419" i="5"/>
  <c r="L395" i="5"/>
  <c r="L371" i="5"/>
  <c r="L347" i="5"/>
  <c r="L323" i="5"/>
  <c r="L299" i="5"/>
  <c r="L275" i="5"/>
  <c r="L251" i="5"/>
  <c r="L227" i="5"/>
  <c r="L203" i="5"/>
  <c r="L179" i="5"/>
  <c r="L155" i="5"/>
  <c r="L43" i="5"/>
  <c r="L5" i="5"/>
  <c r="L114" i="5"/>
  <c r="L102" i="5"/>
  <c r="L78" i="5"/>
  <c r="L42" i="5"/>
  <c r="L30" i="5"/>
  <c r="L440" i="5"/>
  <c r="L416" i="5"/>
  <c r="L392" i="5"/>
  <c r="L368" i="5"/>
  <c r="L344" i="5"/>
  <c r="L320" i="5"/>
  <c r="L296" i="5"/>
  <c r="L272" i="5"/>
  <c r="L126" i="5"/>
  <c r="L39" i="5"/>
  <c r="L92" i="5"/>
  <c r="L20" i="5"/>
  <c r="L105" i="5"/>
  <c r="L33" i="5"/>
  <c r="L117" i="5"/>
  <c r="L45" i="5"/>
  <c r="L17" i="5"/>
  <c r="L116" i="5"/>
  <c r="L74" i="5"/>
  <c r="L44" i="5"/>
  <c r="L69" i="5"/>
  <c r="L27" i="5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 s="1"/>
  <c r="AF24" i="2"/>
  <c r="AF25" i="2"/>
  <c r="AF26" i="2"/>
  <c r="AF27" i="2"/>
  <c r="AF28" i="2"/>
  <c r="AF29" i="2"/>
  <c r="AF30" i="2"/>
  <c r="AF31" i="2" s="1"/>
  <c r="AF32" i="2"/>
  <c r="AF33" i="2"/>
  <c r="AF34" i="2" s="1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N47" i="16" s="1"/>
  <c r="AF49" i="2"/>
  <c r="AF50" i="2"/>
  <c r="AF51" i="2"/>
  <c r="N51" i="16" s="1"/>
  <c r="AF53" i="2"/>
  <c r="AF54" i="2"/>
  <c r="AF55" i="2"/>
  <c r="AF56" i="2"/>
  <c r="AF57" i="2"/>
  <c r="AF58" i="2"/>
  <c r="AF59" i="2"/>
  <c r="AF60" i="2"/>
  <c r="AF61" i="2"/>
  <c r="AF62" i="2"/>
  <c r="AF63" i="2"/>
  <c r="AF64" i="2" s="1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 s="1"/>
  <c r="AF79" i="2" s="1"/>
  <c r="AF80" i="2"/>
  <c r="AF81" i="2" s="1"/>
  <c r="AF82" i="2"/>
  <c r="AF83" i="2"/>
  <c r="AF84" i="2"/>
  <c r="AF85" i="2"/>
  <c r="AF86" i="2" s="1"/>
  <c r="AF87" i="2"/>
  <c r="AF88" i="2"/>
  <c r="AF89" i="2"/>
  <c r="AF90" i="2"/>
  <c r="AF91" i="2"/>
  <c r="AF92" i="2"/>
  <c r="AF93" i="2"/>
  <c r="AF94" i="2"/>
  <c r="AF95" i="2"/>
  <c r="AF96" i="2"/>
  <c r="AF97" i="2"/>
  <c r="AF98" i="2" s="1"/>
  <c r="AF99" i="2"/>
  <c r="AF100" i="2"/>
  <c r="AF101" i="2"/>
  <c r="AF102" i="2"/>
  <c r="AF103" i="2" s="1"/>
  <c r="AF104" i="2"/>
  <c r="AF105" i="2"/>
  <c r="AF106" i="2"/>
  <c r="AF107" i="2"/>
  <c r="AF108" i="2"/>
  <c r="AF109" i="2"/>
  <c r="AF110" i="2"/>
  <c r="AF111" i="2" s="1"/>
  <c r="AF112" i="2"/>
  <c r="AF113" i="2" s="1"/>
  <c r="AF114" i="2"/>
  <c r="AF115" i="2" s="1"/>
  <c r="AF116" i="2"/>
  <c r="AF117" i="2"/>
  <c r="AF118" i="2"/>
  <c r="N118" i="16" s="1"/>
  <c r="AF120" i="2"/>
  <c r="AF121" i="2" s="1"/>
  <c r="N121" i="16" s="1"/>
  <c r="AF124" i="2"/>
  <c r="AF125" i="2"/>
  <c r="AF126" i="2" s="1"/>
  <c r="AF127" i="2"/>
  <c r="AF128" i="2"/>
  <c r="AF129" i="2"/>
  <c r="AF130" i="2"/>
  <c r="AF131" i="2" s="1"/>
  <c r="AF135" i="2"/>
  <c r="AF136" i="2"/>
  <c r="AF137" i="2" s="1"/>
  <c r="AF138" i="2" s="1"/>
  <c r="AF141" i="2"/>
  <c r="AF142" i="2"/>
  <c r="AF143" i="2" s="1"/>
  <c r="AF144" i="2"/>
  <c r="AF145" i="2"/>
  <c r="AF146" i="2" s="1"/>
  <c r="AF147" i="2"/>
  <c r="AF148" i="2"/>
  <c r="AF149" i="2"/>
  <c r="AF150" i="2"/>
  <c r="AF151" i="2"/>
  <c r="AF152" i="2"/>
  <c r="AF153" i="2"/>
  <c r="AF154" i="2"/>
  <c r="AF155" i="2" s="1"/>
  <c r="AF156" i="2"/>
  <c r="AF157" i="2"/>
  <c r="AF158" i="2"/>
  <c r="AF159" i="2"/>
  <c r="AF160" i="2"/>
  <c r="N160" i="16" s="1"/>
  <c r="AF162" i="2"/>
  <c r="AF163" i="2" s="1"/>
  <c r="AF164" i="2"/>
  <c r="AF165" i="2"/>
  <c r="AF166" i="2"/>
  <c r="AF167" i="2" s="1"/>
  <c r="AF168" i="2"/>
  <c r="AF169" i="2"/>
  <c r="AF170" i="2"/>
  <c r="AF171" i="2"/>
  <c r="AF172" i="2"/>
  <c r="AF173" i="2"/>
  <c r="AF174" i="2"/>
  <c r="AF175" i="2"/>
  <c r="AF176" i="2" s="1"/>
  <c r="N176" i="16" s="1"/>
  <c r="AF178" i="2"/>
  <c r="AF179" i="2"/>
  <c r="AF180" i="2" s="1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 s="1"/>
  <c r="AF200" i="2"/>
  <c r="AF201" i="2"/>
  <c r="AF202" i="2"/>
  <c r="AF203" i="2" s="1"/>
  <c r="AF204" i="2"/>
  <c r="AF205" i="2"/>
  <c r="AF206" i="2"/>
  <c r="AF207" i="2"/>
  <c r="AF208" i="2"/>
  <c r="AF209" i="2" s="1"/>
  <c r="AF210" i="2"/>
  <c r="AF211" i="2" s="1"/>
  <c r="AF212" i="2"/>
  <c r="AF213" i="2"/>
  <c r="AF214" i="2"/>
  <c r="AF215" i="2"/>
  <c r="AF216" i="2"/>
  <c r="AF217" i="2" s="1"/>
  <c r="AF218" i="2"/>
  <c r="N218" i="16" s="1"/>
  <c r="AF220" i="2"/>
  <c r="AF221" i="2"/>
  <c r="AF222" i="2" s="1"/>
  <c r="AF225" i="2"/>
  <c r="AF226" i="2"/>
  <c r="AF227" i="2"/>
  <c r="AF228" i="2"/>
  <c r="AF229" i="2"/>
  <c r="AF230" i="2" s="1"/>
  <c r="AF231" i="2"/>
  <c r="AF232" i="2"/>
  <c r="N232" i="16" s="1"/>
  <c r="AF234" i="2"/>
  <c r="AF235" i="2"/>
  <c r="AF236" i="2"/>
  <c r="N236" i="16" s="1"/>
  <c r="AF238" i="2"/>
  <c r="AF239" i="2"/>
  <c r="AF240" i="2"/>
  <c r="AF241" i="2"/>
  <c r="AF242" i="2"/>
  <c r="AF243" i="2"/>
  <c r="N243" i="16" s="1"/>
  <c r="AF245" i="2"/>
  <c r="AF246" i="2"/>
  <c r="AF247" i="2"/>
  <c r="AF248" i="2" s="1"/>
  <c r="AF249" i="2"/>
  <c r="AF250" i="2"/>
  <c r="AF251" i="2"/>
  <c r="AF252" i="2"/>
  <c r="AF253" i="2"/>
  <c r="N253" i="16" s="1"/>
  <c r="AF257" i="2"/>
  <c r="AF258" i="2" s="1"/>
  <c r="AF259" i="2"/>
  <c r="AF260" i="2"/>
  <c r="AF261" i="2"/>
  <c r="AF262" i="2"/>
  <c r="AF263" i="2" s="1"/>
  <c r="AF264" i="2"/>
  <c r="AF265" i="2"/>
  <c r="AF266" i="2"/>
  <c r="N266" i="16" s="1"/>
  <c r="AF269" i="2"/>
  <c r="AF270" i="2"/>
  <c r="AF271" i="2" s="1"/>
  <c r="AF272" i="2"/>
  <c r="AF273" i="2" s="1"/>
  <c r="AF274" i="2"/>
  <c r="AF275" i="2"/>
  <c r="AF276" i="2"/>
  <c r="AF277" i="2" s="1"/>
  <c r="AF278" i="2"/>
  <c r="AF279" i="2"/>
  <c r="AF280" i="2"/>
  <c r="N280" i="16" s="1"/>
  <c r="AF282" i="2"/>
  <c r="AF283" i="2"/>
  <c r="AF284" i="2" s="1"/>
  <c r="AF286" i="2"/>
  <c r="AF287" i="2"/>
  <c r="AF288" i="2"/>
  <c r="AF289" i="2"/>
  <c r="AF290" i="2"/>
  <c r="AF291" i="2"/>
  <c r="AF292" i="2"/>
  <c r="AF293" i="2"/>
  <c r="AF294" i="2"/>
  <c r="AF295" i="2" s="1"/>
  <c r="AF296" i="2"/>
  <c r="AF297" i="2"/>
  <c r="AF298" i="2"/>
  <c r="AF299" i="2"/>
  <c r="AF300" i="2"/>
  <c r="N300" i="16" s="1"/>
  <c r="AF303" i="2"/>
  <c r="AF304" i="2"/>
  <c r="AF305" i="2"/>
  <c r="AF306" i="2"/>
  <c r="AF307" i="2"/>
  <c r="AF308" i="2"/>
  <c r="AF309" i="2"/>
  <c r="AF310" i="2"/>
  <c r="AF311" i="2"/>
  <c r="AF312" i="2"/>
  <c r="N312" i="16" s="1"/>
  <c r="AF315" i="2"/>
  <c r="AF316" i="2"/>
  <c r="N316" i="16" s="1"/>
  <c r="AF318" i="2"/>
  <c r="AF319" i="2"/>
  <c r="AF320" i="2" s="1"/>
  <c r="AF321" i="2"/>
  <c r="N321" i="16" s="1"/>
  <c r="AF324" i="2"/>
  <c r="AF325" i="2"/>
  <c r="N325" i="16" s="1"/>
  <c r="AF328" i="2"/>
  <c r="AF329" i="2"/>
  <c r="N329" i="16" s="1"/>
  <c r="AF333" i="2"/>
  <c r="AF334" i="2"/>
  <c r="AF335" i="2"/>
  <c r="AF336" i="2"/>
  <c r="AF337" i="2"/>
  <c r="AF338" i="2" s="1"/>
  <c r="AF339" i="2"/>
  <c r="AF340" i="2"/>
  <c r="AF341" i="2" s="1"/>
  <c r="N341" i="16" s="1"/>
  <c r="AF343" i="2"/>
  <c r="AF344" i="2"/>
  <c r="AF345" i="2"/>
  <c r="AF346" i="2"/>
  <c r="AF347" i="2"/>
  <c r="AF348" i="2"/>
  <c r="AF349" i="2"/>
  <c r="N349" i="16" s="1"/>
  <c r="AF351" i="2"/>
  <c r="AF352" i="2"/>
  <c r="N352" i="16" s="1"/>
  <c r="AF354" i="2"/>
  <c r="AF355" i="2"/>
  <c r="AF356" i="2" s="1"/>
  <c r="AF357" i="2"/>
  <c r="AF358" i="2" s="1"/>
  <c r="AF359" i="2"/>
  <c r="AF360" i="2"/>
  <c r="AF361" i="2"/>
  <c r="AF362" i="2"/>
  <c r="AF363" i="2"/>
  <c r="AF364" i="2"/>
  <c r="N364" i="16" s="1"/>
  <c r="AF366" i="2"/>
  <c r="AF367" i="2"/>
  <c r="N367" i="16" s="1"/>
  <c r="AF370" i="2"/>
  <c r="AF371" i="2"/>
  <c r="AF372" i="2"/>
  <c r="AF373" i="2"/>
  <c r="AF374" i="2"/>
  <c r="AF375" i="2"/>
  <c r="AF376" i="2"/>
  <c r="AF377" i="2"/>
  <c r="AF378" i="2"/>
  <c r="AF379" i="2"/>
  <c r="AF380" i="2" s="1"/>
  <c r="AF381" i="2"/>
  <c r="AF382" i="2"/>
  <c r="AF383" i="2"/>
  <c r="AF384" i="2"/>
  <c r="AF385" i="2" s="1"/>
  <c r="AF386" i="2"/>
  <c r="AF387" i="2"/>
  <c r="AF388" i="2"/>
  <c r="AF389" i="2"/>
  <c r="N389" i="16" s="1"/>
  <c r="AF391" i="2"/>
  <c r="AF392" i="2"/>
  <c r="AF393" i="2" s="1"/>
  <c r="AF395" i="2"/>
  <c r="AF396" i="2"/>
  <c r="AF397" i="2"/>
  <c r="N397" i="16" s="1"/>
  <c r="AF399" i="2"/>
  <c r="AF400" i="2" s="1"/>
  <c r="AF403" i="2"/>
  <c r="AF404" i="2"/>
  <c r="AF405" i="2"/>
  <c r="N405" i="16" s="1"/>
  <c r="AF408" i="2"/>
  <c r="AF409" i="2"/>
  <c r="AF410" i="2"/>
  <c r="AF411" i="2"/>
  <c r="AF412" i="2"/>
  <c r="AF413" i="2" s="1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 s="1"/>
  <c r="AF428" i="2"/>
  <c r="AF429" i="2"/>
  <c r="AF430" i="2"/>
  <c r="AF431" i="2"/>
  <c r="AF432" i="2"/>
  <c r="N432" i="16" s="1"/>
  <c r="AF434" i="2"/>
  <c r="AF435" i="2"/>
  <c r="AF436" i="2"/>
  <c r="N436" i="16" s="1"/>
  <c r="AF438" i="2"/>
  <c r="AF439" i="2"/>
  <c r="AF440" i="2"/>
  <c r="AF441" i="2"/>
  <c r="AF442" i="2"/>
  <c r="AF443" i="2"/>
  <c r="AF444" i="2"/>
  <c r="AF445" i="2"/>
  <c r="N445" i="16" s="1"/>
  <c r="AF447" i="2"/>
  <c r="AF448" i="2"/>
  <c r="AF449" i="2"/>
  <c r="N449" i="16" s="1"/>
  <c r="AF451" i="2"/>
  <c r="AF452" i="2"/>
  <c r="AF453" i="2"/>
  <c r="N453" i="16" s="1"/>
  <c r="AF455" i="2"/>
  <c r="AF456" i="2"/>
  <c r="AF457" i="2"/>
  <c r="AF458" i="2"/>
  <c r="N458" i="16" s="1"/>
  <c r="AF460" i="2"/>
  <c r="AF461" i="2"/>
  <c r="AF462" i="2"/>
  <c r="AF463" i="2"/>
  <c r="AF464" i="2"/>
  <c r="AF465" i="2"/>
  <c r="AF466" i="2"/>
  <c r="AF467" i="2"/>
  <c r="AF468" i="2"/>
  <c r="AF469" i="2" s="1"/>
  <c r="AF470" i="2"/>
  <c r="AF471" i="2" s="1"/>
  <c r="AF472" i="2"/>
  <c r="AF473" i="2"/>
  <c r="N473" i="16" s="1"/>
  <c r="AF475" i="2"/>
  <c r="AF476" i="2"/>
  <c r="N476" i="16" s="1"/>
  <c r="AF478" i="2"/>
  <c r="N478" i="16" s="1"/>
  <c r="AF481" i="2"/>
  <c r="N481" i="16" s="1"/>
  <c r="AF483" i="2"/>
  <c r="N483" i="16" s="1"/>
  <c r="AF485" i="2"/>
  <c r="N485" i="16" s="1"/>
  <c r="AF487" i="2"/>
  <c r="AF488" i="2"/>
  <c r="AF489" i="2"/>
  <c r="AF490" i="2"/>
  <c r="AF491" i="2"/>
  <c r="AF492" i="2"/>
  <c r="AF493" i="2"/>
  <c r="AF494" i="2"/>
  <c r="AF495" i="2"/>
  <c r="AF496" i="2"/>
  <c r="AF497" i="2"/>
  <c r="AF498" i="2" s="1"/>
  <c r="N498" i="16" s="1"/>
  <c r="AF501" i="2"/>
  <c r="AF502" i="2"/>
  <c r="AF503" i="2"/>
  <c r="AF504" i="2"/>
  <c r="AF505" i="2"/>
  <c r="AF506" i="2"/>
  <c r="AF507" i="2" s="1"/>
  <c r="AF508" i="2"/>
  <c r="AF509" i="2"/>
  <c r="N509" i="16" s="1"/>
  <c r="AF511" i="2"/>
  <c r="AF512" i="2"/>
  <c r="N512" i="16" s="1"/>
  <c r="AF514" i="2"/>
  <c r="AF515" i="2"/>
  <c r="AF516" i="2"/>
  <c r="N516" i="16" s="1"/>
  <c r="AF519" i="2"/>
  <c r="AF520" i="2"/>
  <c r="AF521" i="2" s="1"/>
  <c r="AF522" i="2"/>
  <c r="N522" i="16" s="1"/>
  <c r="AF524" i="2"/>
  <c r="AF525" i="2"/>
  <c r="N525" i="16" s="1"/>
  <c r="AF527" i="2"/>
  <c r="AF528" i="2"/>
  <c r="AF529" i="2"/>
  <c r="N529" i="16" s="1"/>
  <c r="AF531" i="2"/>
  <c r="AF532" i="2"/>
  <c r="N532" i="16" s="1"/>
  <c r="AF536" i="2"/>
  <c r="AF537" i="2"/>
  <c r="AF538" i="2"/>
  <c r="AF539" i="2"/>
  <c r="AF540" i="2"/>
  <c r="N540" i="16" s="1"/>
  <c r="AF546" i="2"/>
  <c r="AF547" i="2"/>
  <c r="AF548" i="2"/>
  <c r="N548" i="16" s="1"/>
  <c r="AF550" i="2"/>
  <c r="AF551" i="2"/>
  <c r="AF552" i="2"/>
  <c r="N552" i="16" s="1"/>
  <c r="AF554" i="2"/>
  <c r="N554" i="16" s="1"/>
  <c r="AF556" i="2"/>
  <c r="AF557" i="2"/>
  <c r="N557" i="16" s="1"/>
  <c r="AF559" i="2"/>
  <c r="AF560" i="2"/>
  <c r="AF561" i="2"/>
  <c r="AF562" i="2"/>
  <c r="AF563" i="2"/>
  <c r="N563" i="16" s="1"/>
  <c r="AF566" i="2"/>
  <c r="AF567" i="2" s="1"/>
  <c r="AF568" i="2"/>
  <c r="AF569" i="2"/>
  <c r="N569" i="16" s="1"/>
  <c r="AF571" i="2"/>
  <c r="AF572" i="2" s="1"/>
  <c r="N572" i="16" s="1"/>
  <c r="AF574" i="2"/>
  <c r="AF575" i="2"/>
  <c r="AF576" i="2"/>
  <c r="AF577" i="2"/>
  <c r="AF578" i="2"/>
  <c r="N578" i="16" s="1"/>
  <c r="AF584" i="2"/>
  <c r="AF585" i="2"/>
  <c r="AF586" i="2"/>
  <c r="AF587" i="2"/>
  <c r="AF588" i="2"/>
  <c r="AF589" i="2"/>
  <c r="AF590" i="2"/>
  <c r="N590" i="16" s="1"/>
  <c r="AF592" i="2"/>
  <c r="AF593" i="2"/>
  <c r="N593" i="16" s="1"/>
  <c r="AF595" i="2"/>
  <c r="AF596" i="2"/>
  <c r="AF597" i="2" s="1"/>
  <c r="AF598" i="2"/>
  <c r="AF599" i="2" s="1"/>
  <c r="AF600" i="2"/>
  <c r="AF601" i="2" s="1"/>
  <c r="N601" i="16" s="1"/>
  <c r="AF604" i="2"/>
  <c r="AF605" i="2"/>
  <c r="AF606" i="2"/>
  <c r="AF607" i="2" s="1"/>
  <c r="AF608" i="2"/>
  <c r="AF609" i="2" s="1"/>
  <c r="AF610" i="2"/>
  <c r="AF611" i="2"/>
  <c r="N611" i="16" s="1"/>
  <c r="AF614" i="2"/>
  <c r="N614" i="16" s="1"/>
  <c r="AF617" i="2"/>
  <c r="AF618" i="2" s="1"/>
  <c r="AF619" i="2" s="1"/>
  <c r="AF620" i="2" s="1"/>
  <c r="AF621" i="2" s="1"/>
  <c r="AF622" i="2"/>
  <c r="AF623" i="2"/>
  <c r="AF624" i="2" s="1"/>
  <c r="N624" i="16" s="1"/>
  <c r="AF627" i="2"/>
  <c r="AF628" i="2"/>
  <c r="AF629" i="2"/>
  <c r="AF630" i="2"/>
  <c r="N630" i="16" s="1"/>
  <c r="AF632" i="2"/>
  <c r="AF633" i="2"/>
  <c r="AF634" i="2"/>
  <c r="AF635" i="2"/>
  <c r="N635" i="16" s="1"/>
  <c r="AF638" i="2"/>
  <c r="AF639" i="2" s="1"/>
  <c r="N639" i="16" s="1"/>
  <c r="AF642" i="2"/>
  <c r="AF643" i="2" s="1"/>
  <c r="AF644" i="2"/>
  <c r="AF645" i="2"/>
  <c r="AF646" i="2"/>
  <c r="AF647" i="2"/>
  <c r="AF648" i="2"/>
  <c r="AF649" i="2"/>
  <c r="AF650" i="2" s="1"/>
  <c r="N650" i="16" s="1"/>
  <c r="AF654" i="2"/>
  <c r="AF655" i="2" s="1"/>
  <c r="AF656" i="2"/>
  <c r="AF657" i="2"/>
  <c r="AF658" i="2"/>
  <c r="AF659" i="2"/>
  <c r="AF660" i="2" s="1"/>
  <c r="AF661" i="2"/>
  <c r="AF662" i="2"/>
  <c r="AF663" i="2"/>
  <c r="AF664" i="2" s="1"/>
  <c r="AF668" i="2"/>
  <c r="AF669" i="2"/>
  <c r="AF670" i="2"/>
  <c r="AF671" i="2"/>
  <c r="N671" i="16" s="1"/>
  <c r="AF677" i="2"/>
  <c r="AF678" i="2" s="1"/>
  <c r="AF679" i="2"/>
  <c r="AF680" i="2" s="1"/>
  <c r="AF681" i="2"/>
  <c r="AF682" i="2" s="1"/>
  <c r="AF683" i="2"/>
  <c r="AF684" i="2" s="1"/>
  <c r="AF685" i="2"/>
  <c r="AF686" i="2" s="1"/>
  <c r="AF687" i="2"/>
  <c r="AF688" i="2"/>
  <c r="N688" i="16" s="1"/>
  <c r="AF690" i="2"/>
  <c r="AF691" i="2"/>
  <c r="AF692" i="2"/>
  <c r="AF693" i="2"/>
  <c r="AF694" i="2"/>
  <c r="AF695" i="2"/>
  <c r="AF696" i="2"/>
  <c r="AF697" i="2"/>
  <c r="AF698" i="2"/>
  <c r="AF699" i="2" s="1"/>
  <c r="N699" i="16" s="1"/>
  <c r="AF704" i="2"/>
  <c r="AF705" i="2"/>
  <c r="AF706" i="2"/>
  <c r="AF707" i="2" s="1"/>
  <c r="AF708" i="2"/>
  <c r="AF709" i="2"/>
  <c r="AF710" i="2" s="1"/>
  <c r="AF711" i="2"/>
  <c r="N711" i="16" s="1"/>
  <c r="AF713" i="2"/>
  <c r="AF714" i="2"/>
  <c r="AF715" i="2"/>
  <c r="AF716" i="2"/>
  <c r="AF717" i="2"/>
  <c r="AF718" i="2" s="1"/>
  <c r="AF719" i="2"/>
  <c r="AF720" i="2" s="1"/>
  <c r="AF721" i="2"/>
  <c r="AF722" i="2"/>
  <c r="AF723" i="2" s="1"/>
  <c r="N723" i="16" s="1"/>
  <c r="AF726" i="2"/>
  <c r="AF727" i="2"/>
  <c r="AF728" i="2"/>
  <c r="AF729" i="2" s="1"/>
  <c r="AF730" i="2"/>
  <c r="AF731" i="2" s="1"/>
  <c r="AF732" i="2"/>
  <c r="AF733" i="2" s="1"/>
  <c r="AF734" i="2"/>
  <c r="N734" i="16" s="1"/>
  <c r="AF736" i="2"/>
  <c r="AF737" i="2" s="1"/>
  <c r="AF738" i="2" s="1"/>
  <c r="N738" i="16" s="1"/>
  <c r="AF745" i="2"/>
  <c r="AF746" i="2"/>
  <c r="AF747" i="2"/>
  <c r="AF748" i="2"/>
  <c r="AF749" i="2"/>
  <c r="N749" i="16" s="1"/>
  <c r="AF751" i="2"/>
  <c r="AF752" i="2"/>
  <c r="AF753" i="2"/>
  <c r="AF754" i="2"/>
  <c r="AF755" i="2"/>
  <c r="AF756" i="2" s="1"/>
  <c r="AF757" i="2"/>
  <c r="AF758" i="2"/>
  <c r="AF759" i="2" s="1"/>
  <c r="AF760" i="2"/>
  <c r="N760" i="16" s="1"/>
  <c r="AF762" i="2"/>
  <c r="AF763" i="2" s="1"/>
  <c r="AF764" i="2"/>
  <c r="AF765" i="2" s="1"/>
  <c r="N765" i="16" s="1"/>
  <c r="AF768" i="2"/>
  <c r="N768" i="16" s="1"/>
  <c r="AF770" i="2"/>
  <c r="AF771" i="2"/>
  <c r="AF772" i="2"/>
  <c r="AF773" i="2"/>
  <c r="AF774" i="2"/>
  <c r="AF775" i="2"/>
  <c r="AF776" i="2"/>
  <c r="N776" i="16" s="1"/>
  <c r="AF778" i="2"/>
  <c r="AF779" i="2"/>
  <c r="AF780" i="2"/>
  <c r="AF781" i="2"/>
  <c r="AF782" i="2"/>
  <c r="AF783" i="2" s="1"/>
  <c r="AF784" i="2"/>
  <c r="AF785" i="2"/>
  <c r="AF786" i="2"/>
  <c r="AF787" i="2"/>
  <c r="AF788" i="2"/>
  <c r="AF789" i="2"/>
  <c r="AF790" i="2" s="1"/>
  <c r="N790" i="16" s="1"/>
  <c r="AF793" i="2"/>
  <c r="AF794" i="2"/>
  <c r="AF795" i="2"/>
  <c r="AF796" i="2" s="1"/>
  <c r="AF797" i="2"/>
  <c r="AF798" i="2" s="1"/>
  <c r="N798" i="16" s="1"/>
  <c r="AF800" i="2"/>
  <c r="AF801" i="2"/>
  <c r="AF802" i="2"/>
  <c r="AF803" i="2"/>
  <c r="AF804" i="2" s="1"/>
  <c r="AF805" i="2"/>
  <c r="AF806" i="2"/>
  <c r="AF807" i="2" s="1"/>
  <c r="AF808" i="2"/>
  <c r="AF809" i="2"/>
  <c r="AF810" i="2"/>
  <c r="AF811" i="2"/>
  <c r="AF812" i="2"/>
  <c r="AF813" i="2"/>
  <c r="N813" i="16" s="1"/>
  <c r="AF816" i="2"/>
  <c r="AF817" i="2" s="1"/>
  <c r="AF823" i="2"/>
  <c r="AF824" i="2"/>
  <c r="AF825" i="2"/>
  <c r="AF826" i="2"/>
  <c r="AF827" i="2"/>
  <c r="AF828" i="2" s="1"/>
  <c r="AF829" i="2"/>
  <c r="AF830" i="2"/>
  <c r="AF831" i="2"/>
  <c r="AF832" i="2"/>
  <c r="AF833" i="2"/>
  <c r="AF834" i="2"/>
  <c r="AF835" i="2"/>
  <c r="AF836" i="2"/>
  <c r="AF837" i="2"/>
  <c r="AF838" i="2"/>
  <c r="N838" i="16" s="1"/>
  <c r="AF840" i="2"/>
  <c r="AF841" i="2"/>
  <c r="AF842" i="2"/>
  <c r="N842" i="16" s="1"/>
  <c r="AF846" i="2"/>
  <c r="AF847" i="2"/>
  <c r="AF848" i="2"/>
  <c r="AF849" i="2" s="1"/>
  <c r="AF850" i="2"/>
  <c r="AF851" i="2"/>
  <c r="AF852" i="2"/>
  <c r="N852" i="16" s="1"/>
  <c r="AF856" i="2"/>
  <c r="AF857" i="2"/>
  <c r="AF858" i="2"/>
  <c r="AF859" i="2"/>
  <c r="AF860" i="2"/>
  <c r="N860" i="16" s="1"/>
  <c r="AF864" i="2"/>
  <c r="N864" i="16" s="1"/>
  <c r="AF869" i="2"/>
  <c r="AF870" i="2"/>
  <c r="N870" i="16" s="1"/>
  <c r="AF872" i="2"/>
  <c r="AF873" i="2"/>
  <c r="AF874" i="2"/>
  <c r="N874" i="16" s="1"/>
  <c r="AF876" i="2"/>
  <c r="AF877" i="2"/>
  <c r="AF878" i="2"/>
  <c r="AF879" i="2"/>
  <c r="AF880" i="2"/>
  <c r="AF881" i="2"/>
  <c r="AF882" i="2"/>
  <c r="AF883" i="2"/>
  <c r="AF884" i="2"/>
  <c r="AF885" i="2" s="1"/>
  <c r="AF886" i="2"/>
  <c r="N886" i="16" s="1"/>
  <c r="AF888" i="2"/>
  <c r="AF889" i="2"/>
  <c r="AF890" i="2"/>
  <c r="AF891" i="2" s="1"/>
  <c r="N891" i="16" s="1"/>
  <c r="AF893" i="2"/>
  <c r="AF894" i="2"/>
  <c r="AF895" i="2" s="1"/>
  <c r="AF896" i="2"/>
  <c r="AF897" i="2" s="1"/>
  <c r="AF898" i="2" s="1"/>
  <c r="AF899" i="2"/>
  <c r="AF900" i="2"/>
  <c r="AF901" i="2"/>
  <c r="AF902" i="2" s="1"/>
  <c r="AF903" i="2" s="1"/>
  <c r="AF904" i="2" s="1"/>
  <c r="AF905" i="2"/>
  <c r="N905" i="16" s="1"/>
  <c r="AF909" i="2"/>
  <c r="AF910" i="2" s="1"/>
  <c r="AF911" i="2"/>
  <c r="AF912" i="2"/>
  <c r="AF913" i="2"/>
  <c r="AF914" i="2"/>
  <c r="AF915" i="2"/>
  <c r="N915" i="16" s="1"/>
  <c r="AF917" i="2"/>
  <c r="AF918" i="2"/>
  <c r="AF919" i="2"/>
  <c r="N919" i="16" s="1"/>
  <c r="AF921" i="2"/>
  <c r="AF922" i="2" s="1"/>
  <c r="AF923" i="2"/>
  <c r="AF924" i="2"/>
  <c r="AF925" i="2"/>
  <c r="AF926" i="2"/>
  <c r="AF927" i="2"/>
  <c r="AF928" i="2"/>
  <c r="AF929" i="2"/>
  <c r="N929" i="16" s="1"/>
  <c r="AF932" i="2"/>
  <c r="AF933" i="2"/>
  <c r="AF934" i="2"/>
  <c r="AF935" i="2"/>
  <c r="AF936" i="2"/>
  <c r="AF937" i="2" s="1"/>
  <c r="AF938" i="2"/>
  <c r="AF939" i="2"/>
  <c r="AF940" i="2"/>
  <c r="AF941" i="2"/>
  <c r="N941" i="16" s="1"/>
  <c r="AF944" i="2"/>
  <c r="AF945" i="2"/>
  <c r="AF946" i="2"/>
  <c r="N946" i="16" s="1"/>
  <c r="AF948" i="2"/>
  <c r="AF949" i="2"/>
  <c r="AF950" i="2"/>
  <c r="AF951" i="2"/>
  <c r="AF952" i="2"/>
  <c r="AF953" i="2"/>
  <c r="AF954" i="2"/>
  <c r="AF955" i="2"/>
  <c r="N955" i="16" s="1"/>
  <c r="AF957" i="2"/>
  <c r="AF958" i="2"/>
  <c r="N958" i="16" s="1"/>
  <c r="AF960" i="2"/>
  <c r="AF961" i="2"/>
  <c r="AF962" i="2"/>
  <c r="AF963" i="2" s="1"/>
  <c r="AF966" i="2"/>
  <c r="N966" i="16" s="1"/>
  <c r="AF968" i="2"/>
  <c r="AF969" i="2"/>
  <c r="N969" i="16" s="1"/>
  <c r="AF974" i="2"/>
  <c r="AF975" i="2" s="1"/>
  <c r="AF976" i="2"/>
  <c r="AF977" i="2"/>
  <c r="N977" i="16" s="1"/>
  <c r="AF979" i="2"/>
  <c r="AF980" i="2"/>
  <c r="N980" i="16" s="1"/>
  <c r="AF985" i="2"/>
  <c r="N985" i="16" s="1"/>
  <c r="AF987" i="2"/>
  <c r="AF988" i="2"/>
  <c r="AF989" i="2"/>
  <c r="AF990" i="2" s="1"/>
  <c r="AF991" i="2"/>
  <c r="AF992" i="2" s="1"/>
  <c r="AF993" i="2" s="1"/>
  <c r="AF994" i="2"/>
  <c r="AF995" i="2"/>
  <c r="AF996" i="2" s="1"/>
  <c r="AF997" i="2"/>
  <c r="AF998" i="2"/>
  <c r="AF999" i="2"/>
  <c r="AF1000" i="2"/>
  <c r="AF1001" i="2"/>
  <c r="AF1002" i="2" s="1"/>
  <c r="AF1003" i="2"/>
  <c r="AF1004" i="2"/>
  <c r="AF1005" i="2" s="1"/>
  <c r="AF1006" i="2"/>
  <c r="AF1007" i="2"/>
  <c r="AF1008" i="2"/>
  <c r="AF1009" i="2"/>
  <c r="AF1010" i="2"/>
  <c r="N1010" i="16" s="1"/>
  <c r="AF1013" i="2"/>
  <c r="AF1014" i="2"/>
  <c r="AF1015" i="2" s="1"/>
  <c r="AF1016" i="2"/>
  <c r="AF1017" i="2" s="1"/>
  <c r="AF1018" i="2"/>
  <c r="AF1019" i="2"/>
  <c r="AF1020" i="2"/>
  <c r="AF1021" i="2" s="1"/>
  <c r="AF1022" i="2"/>
  <c r="AF1023" i="2"/>
  <c r="N1023" i="16" s="1"/>
  <c r="AF1025" i="2"/>
  <c r="N1025" i="16" s="1"/>
  <c r="AF1027" i="2"/>
  <c r="AF1028" i="2" s="1"/>
  <c r="AF1029" i="2" s="1"/>
  <c r="AF1030" i="2"/>
  <c r="AF1031" i="2"/>
  <c r="AF1032" i="2"/>
  <c r="AF1033" i="2"/>
  <c r="AF1034" i="2"/>
  <c r="AF1035" i="2"/>
  <c r="AF1036" i="2"/>
  <c r="AF1037" i="2"/>
  <c r="N1037" i="16" s="1"/>
  <c r="AF1039" i="2"/>
  <c r="AF1040" i="2"/>
  <c r="N1040" i="16" s="1"/>
  <c r="AF1042" i="2"/>
  <c r="AF1043" i="2"/>
  <c r="N1043" i="16" s="1"/>
  <c r="AF1045" i="2"/>
  <c r="AF1046" i="2"/>
  <c r="AF1047" i="2"/>
  <c r="AF1048" i="2"/>
  <c r="AF1049" i="2"/>
  <c r="AF1050" i="2"/>
  <c r="AF1051" i="2" s="1"/>
  <c r="AF1052" i="2"/>
  <c r="AF1053" i="2"/>
  <c r="AF1054" i="2"/>
  <c r="AF1055" i="2"/>
  <c r="AF1056" i="2" s="1"/>
  <c r="AF1057" i="2"/>
  <c r="AF1058" i="2"/>
  <c r="AF1059" i="2"/>
  <c r="N1059" i="16" s="1"/>
  <c r="AF1061" i="2"/>
  <c r="AF1062" i="2"/>
  <c r="AF1063" i="2"/>
  <c r="AF1064" i="2"/>
  <c r="AF1065" i="2" s="1"/>
  <c r="N1065" i="16" s="1"/>
  <c r="AF1067" i="2"/>
  <c r="N1067" i="16" s="1"/>
  <c r="AF1069" i="2"/>
  <c r="N1069" i="16" s="1"/>
  <c r="AF1071" i="2"/>
  <c r="AF1072" i="2"/>
  <c r="AF1073" i="2" s="1"/>
  <c r="AF1074" i="2"/>
  <c r="AF1075" i="2"/>
  <c r="N1075" i="16" s="1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N1092" i="16" s="1"/>
  <c r="AF1094" i="2"/>
  <c r="AF1095" i="2"/>
  <c r="N1095" i="16" s="1"/>
  <c r="AF1100" i="2"/>
  <c r="AF1101" i="2"/>
  <c r="N1101" i="16" s="1"/>
  <c r="AF1103" i="2"/>
  <c r="N1103" i="16" s="1"/>
  <c r="AF1105" i="2"/>
  <c r="AF1106" i="2"/>
  <c r="N1106" i="16" s="1"/>
  <c r="AF1108" i="2"/>
  <c r="AF1109" i="2"/>
  <c r="AF1110" i="2"/>
  <c r="AF1111" i="2"/>
  <c r="AF1112" i="2"/>
  <c r="AF1113" i="2"/>
  <c r="AF1114" i="2"/>
  <c r="AF1115" i="2" s="1"/>
  <c r="AF1116" i="2"/>
  <c r="AF1117" i="2"/>
  <c r="AF1118" i="2"/>
  <c r="N1118" i="16" s="1"/>
  <c r="AF1120" i="2"/>
  <c r="AF1121" i="2"/>
  <c r="AF1122" i="2"/>
  <c r="AF1123" i="2" s="1"/>
  <c r="N1123" i="16" s="1"/>
  <c r="AF1126" i="2"/>
  <c r="AF1127" i="2" s="1"/>
  <c r="AF1128" i="2"/>
  <c r="AF1129" i="2"/>
  <c r="AF1130" i="2"/>
  <c r="N1130" i="16" s="1"/>
  <c r="AF1132" i="2"/>
  <c r="AF1133" i="2"/>
  <c r="AF1134" i="2"/>
  <c r="AF1135" i="2"/>
  <c r="AF1136" i="2"/>
  <c r="AF1137" i="2"/>
  <c r="AF1138" i="2"/>
  <c r="AF1139" i="2"/>
  <c r="AF1140" i="2"/>
  <c r="AF1141" i="2"/>
  <c r="AF1142" i="2" s="1"/>
  <c r="AF1143" i="2"/>
  <c r="AF1144" i="2"/>
  <c r="AF1145" i="2"/>
  <c r="AF1146" i="2"/>
  <c r="AF1147" i="2"/>
  <c r="N1147" i="16" s="1"/>
  <c r="AF1150" i="2"/>
  <c r="N1150" i="16" s="1"/>
  <c r="AF1152" i="2"/>
  <c r="AF1153" i="2"/>
  <c r="AF1154" i="2" s="1"/>
  <c r="AF1155" i="2"/>
  <c r="N1155" i="16" s="1"/>
  <c r="AF1157" i="2"/>
  <c r="AF1158" i="2"/>
  <c r="AF1159" i="2"/>
  <c r="AF1160" i="2"/>
  <c r="AF1161" i="2"/>
  <c r="AF1162" i="2"/>
  <c r="AF1163" i="2"/>
  <c r="AF1164" i="2"/>
  <c r="AF1165" i="2" s="1"/>
  <c r="AF1166" i="2"/>
  <c r="AF1167" i="2"/>
  <c r="AF1168" i="2"/>
  <c r="AF1169" i="2"/>
  <c r="AF1170" i="2"/>
  <c r="AF1171" i="2"/>
  <c r="AF1172" i="2"/>
  <c r="AF1173" i="2"/>
  <c r="AF1174" i="2"/>
  <c r="AF1175" i="2"/>
  <c r="N1175" i="16" s="1"/>
  <c r="AF1177" i="2"/>
  <c r="AF1178" i="2" s="1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N1190" i="16" s="1"/>
  <c r="AF1192" i="2"/>
  <c r="N1192" i="16" s="1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 s="1"/>
  <c r="AE23" i="2" s="1"/>
  <c r="AE24" i="2"/>
  <c r="AE25" i="2"/>
  <c r="AE26" i="2"/>
  <c r="AE27" i="2"/>
  <c r="AE28" i="2"/>
  <c r="AE29" i="2"/>
  <c r="AE30" i="2"/>
  <c r="AE31" i="2" s="1"/>
  <c r="AE32" i="2"/>
  <c r="AE33" i="2"/>
  <c r="AE34" i="2" s="1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 s="1"/>
  <c r="AE49" i="2"/>
  <c r="AE50" i="2"/>
  <c r="AE51" i="2"/>
  <c r="AE52" i="2" s="1"/>
  <c r="AE53" i="2"/>
  <c r="AE54" i="2"/>
  <c r="AE55" i="2"/>
  <c r="AE56" i="2"/>
  <c r="AE57" i="2"/>
  <c r="AE58" i="2"/>
  <c r="AE59" i="2"/>
  <c r="AE60" i="2"/>
  <c r="AE61" i="2"/>
  <c r="AE62" i="2" s="1"/>
  <c r="AE63" i="2"/>
  <c r="AE64" i="2" s="1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 s="1"/>
  <c r="AE79" i="2" s="1"/>
  <c r="AE80" i="2"/>
  <c r="AE81" i="2" s="1"/>
  <c r="AE82" i="2"/>
  <c r="AE83" i="2"/>
  <c r="AE84" i="2"/>
  <c r="AE85" i="2"/>
  <c r="AE86" i="2" s="1"/>
  <c r="AE87" i="2"/>
  <c r="AE88" i="2"/>
  <c r="AE89" i="2"/>
  <c r="AE90" i="2"/>
  <c r="AE91" i="2"/>
  <c r="AE92" i="2"/>
  <c r="AE93" i="2"/>
  <c r="AE94" i="2"/>
  <c r="AE95" i="2"/>
  <c r="AE96" i="2"/>
  <c r="AE97" i="2"/>
  <c r="AE98" i="2" s="1"/>
  <c r="AE99" i="2"/>
  <c r="AE100" i="2"/>
  <c r="AE101" i="2"/>
  <c r="AE102" i="2"/>
  <c r="AE103" i="2" s="1"/>
  <c r="AE104" i="2"/>
  <c r="AE105" i="2"/>
  <c r="AE106" i="2"/>
  <c r="AE107" i="2"/>
  <c r="AE108" i="2"/>
  <c r="AE109" i="2"/>
  <c r="AE110" i="2"/>
  <c r="AE111" i="2" s="1"/>
  <c r="AE112" i="2"/>
  <c r="AE113" i="2" s="1"/>
  <c r="AE114" i="2"/>
  <c r="AE115" i="2" s="1"/>
  <c r="AE116" i="2"/>
  <c r="AE117" i="2"/>
  <c r="AE118" i="2"/>
  <c r="AE119" i="2" s="1"/>
  <c r="AE120" i="2"/>
  <c r="AE121" i="2" s="1"/>
  <c r="AE122" i="2" s="1"/>
  <c r="AE123" i="2" s="1"/>
  <c r="AE124" i="2"/>
  <c r="AE125" i="2"/>
  <c r="AE126" i="2" s="1"/>
  <c r="AE127" i="2" s="1"/>
  <c r="AE128" i="2"/>
  <c r="AE129" i="2" s="1"/>
  <c r="AE130" i="2"/>
  <c r="AE131" i="2" s="1"/>
  <c r="AE132" i="2" s="1"/>
  <c r="AE133" i="2" s="1"/>
  <c r="AE134" i="2" s="1"/>
  <c r="AE135" i="2"/>
  <c r="AE136" i="2"/>
  <c r="AE137" i="2" s="1"/>
  <c r="AE138" i="2" s="1"/>
  <c r="AE139" i="2" s="1"/>
  <c r="AE140" i="2" s="1"/>
  <c r="AE141" i="2"/>
  <c r="AE142" i="2"/>
  <c r="AE143" i="2" s="1"/>
  <c r="AE144" i="2"/>
  <c r="AE145" i="2"/>
  <c r="AE146" i="2" s="1"/>
  <c r="AE147" i="2"/>
  <c r="AE148" i="2"/>
  <c r="AE149" i="2"/>
  <c r="AE150" i="2"/>
  <c r="AE151" i="2"/>
  <c r="AE152" i="2"/>
  <c r="AE153" i="2"/>
  <c r="AE154" i="2"/>
  <c r="AE155" i="2" s="1"/>
  <c r="AE156" i="2"/>
  <c r="AE157" i="2"/>
  <c r="AE158" i="2"/>
  <c r="AE159" i="2"/>
  <c r="AE160" i="2"/>
  <c r="AE161" i="2" s="1"/>
  <c r="AE162" i="2"/>
  <c r="AE163" i="2" s="1"/>
  <c r="AE164" i="2"/>
  <c r="AE165" i="2"/>
  <c r="AE166" i="2"/>
  <c r="AE167" i="2" s="1"/>
  <c r="AE168" i="2"/>
  <c r="AE169" i="2"/>
  <c r="AE170" i="2"/>
  <c r="AE171" i="2"/>
  <c r="AE172" i="2"/>
  <c r="AE173" i="2"/>
  <c r="AE174" i="2"/>
  <c r="AE175" i="2"/>
  <c r="AE176" i="2" s="1"/>
  <c r="AE177" i="2" s="1"/>
  <c r="AE178" i="2"/>
  <c r="AE179" i="2"/>
  <c r="AE180" i="2" s="1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 s="1"/>
  <c r="AE200" i="2"/>
  <c r="AE201" i="2"/>
  <c r="AE202" i="2"/>
  <c r="AE203" i="2" s="1"/>
  <c r="AE204" i="2"/>
  <c r="AE205" i="2"/>
  <c r="AE206" i="2"/>
  <c r="AE207" i="2"/>
  <c r="AE208" i="2"/>
  <c r="AE209" i="2" s="1"/>
  <c r="AE210" i="2"/>
  <c r="AE211" i="2" s="1"/>
  <c r="AE212" i="2"/>
  <c r="AE213" i="2"/>
  <c r="AE214" i="2"/>
  <c r="AE215" i="2"/>
  <c r="AE216" i="2"/>
  <c r="AE217" i="2" s="1"/>
  <c r="AE218" i="2"/>
  <c r="AE219" i="2" s="1"/>
  <c r="AE220" i="2"/>
  <c r="AE221" i="2"/>
  <c r="AE222" i="2" s="1"/>
  <c r="AE223" i="2" s="1"/>
  <c r="AE224" i="2" s="1"/>
  <c r="AE225" i="2"/>
  <c r="AE226" i="2"/>
  <c r="AE227" i="2"/>
  <c r="AE228" i="2"/>
  <c r="AE229" i="2" s="1"/>
  <c r="AE230" i="2" s="1"/>
  <c r="AE231" i="2"/>
  <c r="AE232" i="2"/>
  <c r="AE233" i="2" s="1"/>
  <c r="AE234" i="2"/>
  <c r="AE235" i="2"/>
  <c r="AE236" i="2"/>
  <c r="AE237" i="2" s="1"/>
  <c r="AE238" i="2"/>
  <c r="AE239" i="2"/>
  <c r="AE240" i="2"/>
  <c r="AE241" i="2"/>
  <c r="AE242" i="2"/>
  <c r="AE243" i="2"/>
  <c r="AE244" i="2" s="1"/>
  <c r="AE245" i="2"/>
  <c r="AE246" i="2"/>
  <c r="AE247" i="2"/>
  <c r="AE248" i="2" s="1"/>
  <c r="AE249" i="2"/>
  <c r="AE250" i="2"/>
  <c r="AE251" i="2"/>
  <c r="AE252" i="2"/>
  <c r="AE253" i="2"/>
  <c r="AE254" i="2" s="1"/>
  <c r="AE255" i="2" s="1"/>
  <c r="AE256" i="2" s="1"/>
  <c r="AE257" i="2"/>
  <c r="AE258" i="2" s="1"/>
  <c r="AE259" i="2"/>
  <c r="AE260" i="2"/>
  <c r="AE261" i="2"/>
  <c r="AE262" i="2"/>
  <c r="AE263" i="2" s="1"/>
  <c r="AE264" i="2"/>
  <c r="AE265" i="2"/>
  <c r="AE266" i="2"/>
  <c r="AE267" i="2" s="1"/>
  <c r="AE268" i="2" s="1"/>
  <c r="AE269" i="2"/>
  <c r="AE270" i="2"/>
  <c r="AE271" i="2" s="1"/>
  <c r="AE272" i="2"/>
  <c r="AE273" i="2" s="1"/>
  <c r="AE274" i="2" s="1"/>
  <c r="AE275" i="2"/>
  <c r="AE276" i="2"/>
  <c r="AE277" i="2" s="1"/>
  <c r="AE278" i="2"/>
  <c r="AE279" i="2"/>
  <c r="AE280" i="2"/>
  <c r="AE281" i="2" s="1"/>
  <c r="AE282" i="2"/>
  <c r="AE283" i="2"/>
  <c r="AE284" i="2" s="1"/>
  <c r="AE285" i="2" s="1"/>
  <c r="AE286" i="2"/>
  <c r="AE287" i="2"/>
  <c r="AE288" i="2"/>
  <c r="AE289" i="2"/>
  <c r="AE290" i="2"/>
  <c r="AE291" i="2"/>
  <c r="AE292" i="2"/>
  <c r="AE293" i="2"/>
  <c r="AE294" i="2"/>
  <c r="AE295" i="2" s="1"/>
  <c r="AE296" i="2"/>
  <c r="AE297" i="2"/>
  <c r="AE298" i="2"/>
  <c r="AE299" i="2"/>
  <c r="AE300" i="2"/>
  <c r="AE301" i="2" s="1"/>
  <c r="AE302" i="2" s="1"/>
  <c r="AE303" i="2"/>
  <c r="AE304" i="2"/>
  <c r="AE305" i="2"/>
  <c r="AE306" i="2"/>
  <c r="AE307" i="2"/>
  <c r="AE308" i="2"/>
  <c r="AE309" i="2"/>
  <c r="AE310" i="2"/>
  <c r="AE311" i="2"/>
  <c r="AE312" i="2"/>
  <c r="AE313" i="2" s="1"/>
  <c r="AE314" i="2" s="1"/>
  <c r="AE315" i="2"/>
  <c r="AE316" i="2"/>
  <c r="AE317" i="2" s="1"/>
  <c r="AE318" i="2"/>
  <c r="AE319" i="2"/>
  <c r="AE320" i="2" s="1"/>
  <c r="AE321" i="2"/>
  <c r="AE322" i="2" s="1"/>
  <c r="AE323" i="2" s="1"/>
  <c r="AE324" i="2"/>
  <c r="AE325" i="2"/>
  <c r="AE326" i="2" s="1"/>
  <c r="AE327" i="2" s="1"/>
  <c r="AE328" i="2"/>
  <c r="AE329" i="2"/>
  <c r="AE330" i="2" s="1"/>
  <c r="AE331" i="2" s="1"/>
  <c r="AE332" i="2" s="1"/>
  <c r="AE333" i="2"/>
  <c r="AE334" i="2"/>
  <c r="AE335" i="2"/>
  <c r="AE336" i="2"/>
  <c r="AE337" i="2"/>
  <c r="AE338" i="2" s="1"/>
  <c r="AE339" i="2"/>
  <c r="AE340" i="2"/>
  <c r="AE341" i="2" s="1"/>
  <c r="AE342" i="2" s="1"/>
  <c r="AE343" i="2"/>
  <c r="AE344" i="2"/>
  <c r="AE345" i="2"/>
  <c r="AE346" i="2"/>
  <c r="AE347" i="2"/>
  <c r="AE348" i="2"/>
  <c r="AE349" i="2" s="1"/>
  <c r="AE350" i="2" s="1"/>
  <c r="AE351" i="2"/>
  <c r="AE352" i="2"/>
  <c r="AE353" i="2" s="1"/>
  <c r="AE354" i="2"/>
  <c r="AE355" i="2"/>
  <c r="AE356" i="2" s="1"/>
  <c r="AE357" i="2"/>
  <c r="AE358" i="2" s="1"/>
  <c r="AE359" i="2"/>
  <c r="AE360" i="2"/>
  <c r="AE361" i="2"/>
  <c r="AE362" i="2"/>
  <c r="AE363" i="2"/>
  <c r="AE364" i="2"/>
  <c r="AE365" i="2" s="1"/>
  <c r="AE366" i="2"/>
  <c r="AE367" i="2"/>
  <c r="AE368" i="2" s="1"/>
  <c r="AE369" i="2" s="1"/>
  <c r="AE370" i="2"/>
  <c r="AE371" i="2"/>
  <c r="AE372" i="2"/>
  <c r="AE373" i="2"/>
  <c r="AE374" i="2"/>
  <c r="AE375" i="2"/>
  <c r="AE376" i="2"/>
  <c r="AE377" i="2"/>
  <c r="AE378" i="2"/>
  <c r="AE379" i="2"/>
  <c r="AE380" i="2" s="1"/>
  <c r="AE381" i="2"/>
  <c r="AE382" i="2"/>
  <c r="AE383" i="2"/>
  <c r="AE384" i="2"/>
  <c r="AE385" i="2" s="1"/>
  <c r="AE386" i="2"/>
  <c r="AE387" i="2"/>
  <c r="AE388" i="2"/>
  <c r="AE389" i="2"/>
  <c r="AE390" i="2" s="1"/>
  <c r="AE391" i="2"/>
  <c r="AE392" i="2"/>
  <c r="AE393" i="2" s="1"/>
  <c r="AE394" i="2" s="1"/>
  <c r="AE395" i="2"/>
  <c r="AE396" i="2"/>
  <c r="AE397" i="2"/>
  <c r="AE398" i="2" s="1"/>
  <c r="AE399" i="2"/>
  <c r="AE400" i="2" s="1"/>
  <c r="AE401" i="2" s="1"/>
  <c r="AE402" i="2" s="1"/>
  <c r="AE403" i="2"/>
  <c r="AE404" i="2"/>
  <c r="AE405" i="2"/>
  <c r="AE406" i="2" s="1"/>
  <c r="AE407" i="2" s="1"/>
  <c r="AE408" i="2"/>
  <c r="AE409" i="2"/>
  <c r="AE410" i="2"/>
  <c r="AE411" i="2"/>
  <c r="AE412" i="2"/>
  <c r="AE413" i="2" s="1"/>
  <c r="AE414" i="2" s="1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 s="1"/>
  <c r="AE428" i="2"/>
  <c r="AE429" i="2"/>
  <c r="AE430" i="2"/>
  <c r="AE431" i="2"/>
  <c r="AE432" i="2"/>
  <c r="AE433" i="2" s="1"/>
  <c r="AE434" i="2"/>
  <c r="AE435" i="2"/>
  <c r="AE436" i="2"/>
  <c r="AE437" i="2" s="1"/>
  <c r="AE438" i="2"/>
  <c r="AE439" i="2"/>
  <c r="AE440" i="2"/>
  <c r="AE441" i="2"/>
  <c r="AE442" i="2"/>
  <c r="AE443" i="2"/>
  <c r="AE444" i="2"/>
  <c r="AE445" i="2"/>
  <c r="AE446" i="2" s="1"/>
  <c r="AE447" i="2"/>
  <c r="AE448" i="2"/>
  <c r="AE449" i="2"/>
  <c r="AE450" i="2" s="1"/>
  <c r="AE451" i="2"/>
  <c r="AE452" i="2"/>
  <c r="AE453" i="2"/>
  <c r="AE454" i="2" s="1"/>
  <c r="AE455" i="2"/>
  <c r="AE456" i="2"/>
  <c r="AE457" i="2"/>
  <c r="AE458" i="2"/>
  <c r="AE459" i="2" s="1"/>
  <c r="AE460" i="2"/>
  <c r="AE461" i="2"/>
  <c r="AE462" i="2"/>
  <c r="AE463" i="2"/>
  <c r="AE464" i="2"/>
  <c r="AE465" i="2"/>
  <c r="AE466" i="2"/>
  <c r="AE467" i="2"/>
  <c r="AE468" i="2"/>
  <c r="AE469" i="2" s="1"/>
  <c r="AE470" i="2"/>
  <c r="AE471" i="2" s="1"/>
  <c r="AE472" i="2"/>
  <c r="AE473" i="2"/>
  <c r="AE474" i="2" s="1"/>
  <c r="AE475" i="2"/>
  <c r="AE476" i="2"/>
  <c r="AE477" i="2" s="1"/>
  <c r="AE478" i="2"/>
  <c r="AE479" i="2" s="1"/>
  <c r="AE480" i="2" s="1"/>
  <c r="AE481" i="2"/>
  <c r="AE482" i="2" s="1"/>
  <c r="AE483" i="2"/>
  <c r="AE484" i="2" s="1"/>
  <c r="AE485" i="2"/>
  <c r="AE486" i="2" s="1"/>
  <c r="AE487" i="2"/>
  <c r="AE488" i="2"/>
  <c r="AE489" i="2"/>
  <c r="AE490" i="2"/>
  <c r="AE491" i="2"/>
  <c r="AE492" i="2"/>
  <c r="AE493" i="2"/>
  <c r="AE494" i="2"/>
  <c r="AE495" i="2"/>
  <c r="AE496" i="2"/>
  <c r="AE497" i="2"/>
  <c r="AE498" i="2" s="1"/>
  <c r="AE499" i="2" s="1"/>
  <c r="AE500" i="2" s="1"/>
  <c r="AE501" i="2"/>
  <c r="AE502" i="2"/>
  <c r="AE503" i="2"/>
  <c r="AE504" i="2"/>
  <c r="AE505" i="2"/>
  <c r="AE506" i="2"/>
  <c r="AE507" i="2" s="1"/>
  <c r="AE508" i="2"/>
  <c r="AE509" i="2"/>
  <c r="AE510" i="2" s="1"/>
  <c r="AE511" i="2"/>
  <c r="AE512" i="2"/>
  <c r="AE513" i="2" s="1"/>
  <c r="AE514" i="2"/>
  <c r="AE515" i="2"/>
  <c r="AE516" i="2"/>
  <c r="AE517" i="2" s="1"/>
  <c r="AE518" i="2" s="1"/>
  <c r="AE519" i="2"/>
  <c r="AE520" i="2"/>
  <c r="AE521" i="2" s="1"/>
  <c r="AE522" i="2"/>
  <c r="AE523" i="2" s="1"/>
  <c r="AE524" i="2"/>
  <c r="AE525" i="2"/>
  <c r="AE526" i="2" s="1"/>
  <c r="AE527" i="2"/>
  <c r="AE528" i="2"/>
  <c r="AE529" i="2"/>
  <c r="AE530" i="2" s="1"/>
  <c r="AE531" i="2"/>
  <c r="AE532" i="2"/>
  <c r="AE533" i="2" s="1"/>
  <c r="AE534" i="2" s="1"/>
  <c r="AE535" i="2" s="1"/>
  <c r="AE536" i="2"/>
  <c r="AE537" i="2"/>
  <c r="AE538" i="2"/>
  <c r="AE539" i="2"/>
  <c r="AE540" i="2"/>
  <c r="AE541" i="2" s="1"/>
  <c r="AE542" i="2" s="1"/>
  <c r="AE543" i="2" s="1"/>
  <c r="AE544" i="2" s="1"/>
  <c r="AE545" i="2" s="1"/>
  <c r="AE546" i="2"/>
  <c r="AE547" i="2"/>
  <c r="AE548" i="2"/>
  <c r="AE549" i="2" s="1"/>
  <c r="AE550" i="2"/>
  <c r="AE551" i="2"/>
  <c r="AE552" i="2"/>
  <c r="AE553" i="2" s="1"/>
  <c r="AE554" i="2"/>
  <c r="AE555" i="2" s="1"/>
  <c r="AE556" i="2"/>
  <c r="AE557" i="2"/>
  <c r="AE558" i="2" s="1"/>
  <c r="AE559" i="2"/>
  <c r="AE560" i="2"/>
  <c r="AE561" i="2"/>
  <c r="AE562" i="2"/>
  <c r="AE563" i="2"/>
  <c r="AE564" i="2" s="1"/>
  <c r="AE565" i="2" s="1"/>
  <c r="AE566" i="2"/>
  <c r="AE567" i="2" s="1"/>
  <c r="AE568" i="2"/>
  <c r="AE569" i="2" s="1"/>
  <c r="AE570" i="2" s="1"/>
  <c r="AE571" i="2"/>
  <c r="AE572" i="2" s="1"/>
  <c r="AE573" i="2" s="1"/>
  <c r="AE574" i="2"/>
  <c r="AE575" i="2"/>
  <c r="AE576" i="2"/>
  <c r="AE577" i="2"/>
  <c r="AE578" i="2"/>
  <c r="AE579" i="2" s="1"/>
  <c r="AE580" i="2" s="1"/>
  <c r="AE581" i="2" s="1"/>
  <c r="AE582" i="2" s="1"/>
  <c r="AE583" i="2" s="1"/>
  <c r="AE584" i="2"/>
  <c r="AE585" i="2"/>
  <c r="AE586" i="2"/>
  <c r="AE587" i="2"/>
  <c r="AE588" i="2"/>
  <c r="AE589" i="2"/>
  <c r="AE590" i="2"/>
  <c r="AE591" i="2" s="1"/>
  <c r="AE592" i="2"/>
  <c r="AE593" i="2"/>
  <c r="AE594" i="2" s="1"/>
  <c r="AE595" i="2"/>
  <c r="AE596" i="2"/>
  <c r="AE597" i="2" s="1"/>
  <c r="AE598" i="2"/>
  <c r="AE599" i="2" s="1"/>
  <c r="AE600" i="2"/>
  <c r="AE601" i="2" s="1"/>
  <c r="AE602" i="2" s="1"/>
  <c r="AE603" i="2" s="1"/>
  <c r="AE604" i="2"/>
  <c r="AE605" i="2"/>
  <c r="AE606" i="2"/>
  <c r="AE607" i="2" s="1"/>
  <c r="AE608" i="2"/>
  <c r="AE609" i="2" s="1"/>
  <c r="AE610" i="2"/>
  <c r="AE611" i="2"/>
  <c r="AE612" i="2" s="1"/>
  <c r="AE613" i="2" s="1"/>
  <c r="AE614" i="2"/>
  <c r="AE615" i="2" s="1"/>
  <c r="AE616" i="2" s="1"/>
  <c r="AE617" i="2"/>
  <c r="AE618" i="2" s="1"/>
  <c r="AE619" i="2" s="1"/>
  <c r="AE620" i="2" s="1"/>
  <c r="AE621" i="2" s="1"/>
  <c r="AE622" i="2"/>
  <c r="AE623" i="2"/>
  <c r="AE624" i="2" s="1"/>
  <c r="AE625" i="2" s="1"/>
  <c r="AE626" i="2" s="1"/>
  <c r="AE627" i="2"/>
  <c r="AE628" i="2"/>
  <c r="AE629" i="2"/>
  <c r="AE630" i="2"/>
  <c r="AE631" i="2" s="1"/>
  <c r="AE632" i="2"/>
  <c r="AE633" i="2"/>
  <c r="AE634" i="2"/>
  <c r="AE635" i="2"/>
  <c r="AE636" i="2" s="1"/>
  <c r="AE637" i="2" s="1"/>
  <c r="AE638" i="2"/>
  <c r="AE639" i="2" s="1"/>
  <c r="AE640" i="2" s="1"/>
  <c r="AE641" i="2" s="1"/>
  <c r="AE642" i="2"/>
  <c r="AE643" i="2" s="1"/>
  <c r="AE644" i="2"/>
  <c r="AE645" i="2" s="1"/>
  <c r="AE646" i="2"/>
  <c r="AE647" i="2"/>
  <c r="AE648" i="2"/>
  <c r="AE649" i="2"/>
  <c r="AE650" i="2" s="1"/>
  <c r="AE651" i="2" s="1"/>
  <c r="AE652" i="2" s="1"/>
  <c r="AE653" i="2" s="1"/>
  <c r="AE654" i="2"/>
  <c r="AE655" i="2" s="1"/>
  <c r="AE656" i="2"/>
  <c r="AE657" i="2"/>
  <c r="AE658" i="2"/>
  <c r="AE659" i="2"/>
  <c r="AE660" i="2" s="1"/>
  <c r="AE661" i="2"/>
  <c r="AE662" i="2" s="1"/>
  <c r="AE663" i="2"/>
  <c r="AE664" i="2" s="1"/>
  <c r="AE665" i="2" s="1"/>
  <c r="AE666" i="2" s="1"/>
  <c r="AE667" i="2" s="1"/>
  <c r="AE668" i="2"/>
  <c r="AE669" i="2"/>
  <c r="AE670" i="2"/>
  <c r="AE671" i="2"/>
  <c r="AE672" i="2" s="1"/>
  <c r="AE673" i="2" s="1"/>
  <c r="AE674" i="2" s="1"/>
  <c r="AE675" i="2" s="1"/>
  <c r="AE676" i="2" s="1"/>
  <c r="AE677" i="2"/>
  <c r="AE678" i="2" s="1"/>
  <c r="AE679" i="2"/>
  <c r="AE680" i="2" s="1"/>
  <c r="AE681" i="2"/>
  <c r="AE682" i="2" s="1"/>
  <c r="AE683" i="2"/>
  <c r="AE684" i="2" s="1"/>
  <c r="AE685" i="2"/>
  <c r="AE686" i="2" s="1"/>
  <c r="AE687" i="2"/>
  <c r="AE688" i="2"/>
  <c r="AE689" i="2" s="1"/>
  <c r="AE690" i="2"/>
  <c r="AE691" i="2"/>
  <c r="AE692" i="2"/>
  <c r="AE693" i="2"/>
  <c r="AE694" i="2"/>
  <c r="AE695" i="2"/>
  <c r="AE696" i="2"/>
  <c r="AE697" i="2"/>
  <c r="AE698" i="2"/>
  <c r="AE699" i="2" s="1"/>
  <c r="AE700" i="2" s="1"/>
  <c r="AE701" i="2" s="1"/>
  <c r="AE702" i="2" s="1"/>
  <c r="AE703" i="2" s="1"/>
  <c r="AE704" i="2"/>
  <c r="AE705" i="2" s="1"/>
  <c r="AE706" i="2"/>
  <c r="AE707" i="2" s="1"/>
  <c r="AE708" i="2"/>
  <c r="AE709" i="2" s="1"/>
  <c r="AE710" i="2" s="1"/>
  <c r="AE711" i="2"/>
  <c r="AE712" i="2" s="1"/>
  <c r="AE713" i="2"/>
  <c r="AE714" i="2"/>
  <c r="AE715" i="2"/>
  <c r="AE716" i="2"/>
  <c r="AE717" i="2"/>
  <c r="AE718" i="2" s="1"/>
  <c r="AE719" i="2"/>
  <c r="AE720" i="2" s="1"/>
  <c r="AE721" i="2"/>
  <c r="AE722" i="2"/>
  <c r="AE723" i="2" s="1"/>
  <c r="AE724" i="2" s="1"/>
  <c r="AE725" i="2" s="1"/>
  <c r="AE726" i="2"/>
  <c r="AE727" i="2" s="1"/>
  <c r="AE728" i="2"/>
  <c r="AE729" i="2" s="1"/>
  <c r="AE730" i="2"/>
  <c r="AE731" i="2"/>
  <c r="AE732" i="2"/>
  <c r="AE733" i="2" s="1"/>
  <c r="AE734" i="2"/>
  <c r="AE735" i="2" s="1"/>
  <c r="AE736" i="2"/>
  <c r="AE737" i="2" s="1"/>
  <c r="AE738" i="2" s="1"/>
  <c r="AE739" i="2" s="1"/>
  <c r="AE740" i="2" s="1"/>
  <c r="AE741" i="2" s="1"/>
  <c r="AE742" i="2" s="1"/>
  <c r="AE743" i="2" s="1"/>
  <c r="AE744" i="2" s="1"/>
  <c r="AE745" i="2"/>
  <c r="AE746" i="2"/>
  <c r="AE747" i="2"/>
  <c r="AE748" i="2"/>
  <c r="AE749" i="2"/>
  <c r="AE750" i="2" s="1"/>
  <c r="AE751" i="2"/>
  <c r="AE752" i="2"/>
  <c r="AE753" i="2"/>
  <c r="AE754" i="2"/>
  <c r="AE755" i="2"/>
  <c r="AE756" i="2" s="1"/>
  <c r="AE757" i="2"/>
  <c r="AE758" i="2" s="1"/>
  <c r="AE759" i="2" s="1"/>
  <c r="AE760" i="2"/>
  <c r="AE761" i="2" s="1"/>
  <c r="AE762" i="2"/>
  <c r="AE763" i="2" s="1"/>
  <c r="AE764" i="2"/>
  <c r="AE765" i="2" s="1"/>
  <c r="AE766" i="2" s="1"/>
  <c r="AE767" i="2" s="1"/>
  <c r="AE768" i="2"/>
  <c r="AE769" i="2" s="1"/>
  <c r="AE770" i="2"/>
  <c r="AE771" i="2"/>
  <c r="AE772" i="2"/>
  <c r="AE773" i="2"/>
  <c r="AE774" i="2"/>
  <c r="AE775" i="2"/>
  <c r="AE776" i="2"/>
  <c r="AE777" i="2" s="1"/>
  <c r="AE778" i="2"/>
  <c r="AE779" i="2"/>
  <c r="AE780" i="2"/>
  <c r="AE781" i="2"/>
  <c r="AE782" i="2"/>
  <c r="AE783" i="2" s="1"/>
  <c r="AE784" i="2"/>
  <c r="AE785" i="2" s="1"/>
  <c r="AE786" i="2"/>
  <c r="AE787" i="2"/>
  <c r="AE788" i="2"/>
  <c r="AE789" i="2"/>
  <c r="AE790" i="2" s="1"/>
  <c r="AE791" i="2" s="1"/>
  <c r="AE792" i="2" s="1"/>
  <c r="AE793" i="2"/>
  <c r="AE794" i="2"/>
  <c r="AE795" i="2"/>
  <c r="AE796" i="2" s="1"/>
  <c r="AE797" i="2"/>
  <c r="AE798" i="2" s="1"/>
  <c r="AE799" i="2" s="1"/>
  <c r="AE800" i="2"/>
  <c r="AE801" i="2"/>
  <c r="AE802" i="2"/>
  <c r="AE803" i="2"/>
  <c r="AE804" i="2" s="1"/>
  <c r="AE805" i="2"/>
  <c r="AE806" i="2"/>
  <c r="AE807" i="2" s="1"/>
  <c r="AE808" i="2"/>
  <c r="AE809" i="2"/>
  <c r="AE810" i="2" s="1"/>
  <c r="AE811" i="2"/>
  <c r="AE812" i="2"/>
  <c r="AE813" i="2"/>
  <c r="AE814" i="2" s="1"/>
  <c r="AE815" i="2" s="1"/>
  <c r="AE816" i="2"/>
  <c r="AE817" i="2" s="1"/>
  <c r="AE818" i="2" s="1"/>
  <c r="AE819" i="2" s="1"/>
  <c r="AE820" i="2" s="1"/>
  <c r="AE821" i="2" s="1"/>
  <c r="AE822" i="2" s="1"/>
  <c r="AE823" i="2"/>
  <c r="AE824" i="2"/>
  <c r="AE825" i="2"/>
  <c r="AE826" i="2"/>
  <c r="AE827" i="2"/>
  <c r="AE828" i="2" s="1"/>
  <c r="AE829" i="2"/>
  <c r="AE830" i="2"/>
  <c r="AE831" i="2" s="1"/>
  <c r="AE832" i="2" s="1"/>
  <c r="AE833" i="2"/>
  <c r="AE834" i="2"/>
  <c r="AE835" i="2"/>
  <c r="AE836" i="2"/>
  <c r="AE837" i="2"/>
  <c r="AE838" i="2"/>
  <c r="AE839" i="2" s="1"/>
  <c r="AE840" i="2"/>
  <c r="AE841" i="2"/>
  <c r="AE842" i="2"/>
  <c r="AE843" i="2" s="1"/>
  <c r="AE844" i="2" s="1"/>
  <c r="AE845" i="2" s="1"/>
  <c r="AE846" i="2"/>
  <c r="AE847" i="2"/>
  <c r="AE848" i="2"/>
  <c r="AE849" i="2" s="1"/>
  <c r="AE850" i="2"/>
  <c r="AE851" i="2"/>
  <c r="AE852" i="2"/>
  <c r="AE853" i="2" s="1"/>
  <c r="AE854" i="2" s="1"/>
  <c r="AE855" i="2" s="1"/>
  <c r="AE856" i="2"/>
  <c r="AE857" i="2"/>
  <c r="AE858" i="2"/>
  <c r="AE859" i="2"/>
  <c r="AE860" i="2"/>
  <c r="AE861" i="2" s="1"/>
  <c r="AE862" i="2" s="1"/>
  <c r="AE863" i="2" s="1"/>
  <c r="AE864" i="2"/>
  <c r="AE865" i="2" s="1"/>
  <c r="AE866" i="2" s="1"/>
  <c r="AE867" i="2" s="1"/>
  <c r="AE868" i="2" s="1"/>
  <c r="AE869" i="2"/>
  <c r="AE870" i="2"/>
  <c r="AE871" i="2" s="1"/>
  <c r="AE872" i="2"/>
  <c r="AE873" i="2"/>
  <c r="AE874" i="2"/>
  <c r="AE875" i="2" s="1"/>
  <c r="AE876" i="2"/>
  <c r="AE877" i="2"/>
  <c r="AE878" i="2"/>
  <c r="AE879" i="2"/>
  <c r="AE880" i="2"/>
  <c r="AE881" i="2"/>
  <c r="AE882" i="2"/>
  <c r="AE883" i="2"/>
  <c r="AE884" i="2"/>
  <c r="AE885" i="2" s="1"/>
  <c r="AE886" i="2"/>
  <c r="AE887" i="2" s="1"/>
  <c r="AE888" i="2"/>
  <c r="AE889" i="2"/>
  <c r="AE890" i="2"/>
  <c r="AE891" i="2"/>
  <c r="AE892" i="2" s="1"/>
  <c r="AE893" i="2"/>
  <c r="AE894" i="2"/>
  <c r="AE895" i="2" s="1"/>
  <c r="AE896" i="2" s="1"/>
  <c r="AE897" i="2" s="1"/>
  <c r="AE898" i="2" s="1"/>
  <c r="AE899" i="2"/>
  <c r="AE900" i="2"/>
  <c r="AE901" i="2"/>
  <c r="AE902" i="2" s="1"/>
  <c r="AE903" i="2"/>
  <c r="AE904" i="2" s="1"/>
  <c r="AE905" i="2"/>
  <c r="AE906" i="2" s="1"/>
  <c r="AE907" i="2" s="1"/>
  <c r="AE908" i="2" s="1"/>
  <c r="AE909" i="2"/>
  <c r="AE910" i="2" s="1"/>
  <c r="AE911" i="2"/>
  <c r="AE912" i="2"/>
  <c r="AE913" i="2"/>
  <c r="AE914" i="2"/>
  <c r="AE915" i="2"/>
  <c r="AE916" i="2" s="1"/>
  <c r="AE917" i="2"/>
  <c r="AE918" i="2"/>
  <c r="AE919" i="2"/>
  <c r="AE920" i="2" s="1"/>
  <c r="AE921" i="2"/>
  <c r="AE922" i="2" s="1"/>
  <c r="AE923" i="2"/>
  <c r="AE924" i="2"/>
  <c r="AE925" i="2"/>
  <c r="AE926" i="2"/>
  <c r="AE927" i="2"/>
  <c r="AE928" i="2"/>
  <c r="AE929" i="2"/>
  <c r="AE930" i="2" s="1"/>
  <c r="AE931" i="2" s="1"/>
  <c r="AE932" i="2"/>
  <c r="AE933" i="2"/>
  <c r="AE934" i="2"/>
  <c r="AE935" i="2"/>
  <c r="AE936" i="2" s="1"/>
  <c r="AE937" i="2" s="1"/>
  <c r="AE938" i="2"/>
  <c r="AE939" i="2"/>
  <c r="AE940" i="2"/>
  <c r="AE941" i="2"/>
  <c r="AE942" i="2" s="1"/>
  <c r="AE943" i="2" s="1"/>
  <c r="AE944" i="2"/>
  <c r="AE945" i="2"/>
  <c r="AE946" i="2"/>
  <c r="AE947" i="2" s="1"/>
  <c r="AE948" i="2"/>
  <c r="AE949" i="2"/>
  <c r="AE950" i="2"/>
  <c r="AE951" i="2"/>
  <c r="AE952" i="2"/>
  <c r="AE953" i="2" s="1"/>
  <c r="AE954" i="2"/>
  <c r="AE955" i="2"/>
  <c r="AE956" i="2" s="1"/>
  <c r="AE957" i="2"/>
  <c r="AE958" i="2"/>
  <c r="AE959" i="2" s="1"/>
  <c r="AE960" i="2" s="1"/>
  <c r="AE961" i="2"/>
  <c r="AE962" i="2"/>
  <c r="AE963" i="2" s="1"/>
  <c r="AE964" i="2" s="1"/>
  <c r="AE965" i="2" s="1"/>
  <c r="AE966" i="2"/>
  <c r="AE967" i="2" s="1"/>
  <c r="AE968" i="2" s="1"/>
  <c r="AE969" i="2"/>
  <c r="AE970" i="2" s="1"/>
  <c r="AE971" i="2"/>
  <c r="AE972" i="2" s="1"/>
  <c r="AE973" i="2" s="1"/>
  <c r="AE974" i="2"/>
  <c r="AE975" i="2" s="1"/>
  <c r="AE976" i="2"/>
  <c r="AE977" i="2"/>
  <c r="AE978" i="2" s="1"/>
  <c r="AE979" i="2"/>
  <c r="AE980" i="2"/>
  <c r="AE981" i="2" s="1"/>
  <c r="AE982" i="2" s="1"/>
  <c r="AE983" i="2" s="1"/>
  <c r="AE984" i="2" s="1"/>
  <c r="AE985" i="2"/>
  <c r="AE986" i="2" s="1"/>
  <c r="AE987" i="2"/>
  <c r="AE988" i="2"/>
  <c r="AE989" i="2"/>
  <c r="AE990" i="2"/>
  <c r="AE991" i="2"/>
  <c r="AE992" i="2"/>
  <c r="AE993" i="2" s="1"/>
  <c r="AE994" i="2"/>
  <c r="AE995" i="2"/>
  <c r="AE996" i="2" s="1"/>
  <c r="AE997" i="2"/>
  <c r="AE998" i="2"/>
  <c r="AE999" i="2"/>
  <c r="AE1000" i="2"/>
  <c r="AE1001" i="2"/>
  <c r="AE1002" i="2" s="1"/>
  <c r="AE1003" i="2" s="1"/>
  <c r="AE1004" i="2"/>
  <c r="AE1005" i="2" s="1"/>
  <c r="AE1006" i="2"/>
  <c r="AE1007" i="2" s="1"/>
  <c r="AE1008" i="2"/>
  <c r="AE1009" i="2"/>
  <c r="AE1010" i="2"/>
  <c r="AE1011" i="2" s="1"/>
  <c r="AE1012" i="2" s="1"/>
  <c r="AE1013" i="2"/>
  <c r="AE1014" i="2"/>
  <c r="AE1015" i="2"/>
  <c r="AE1016" i="2"/>
  <c r="AE1017" i="2" s="1"/>
  <c r="AE1018" i="2"/>
  <c r="AE1019" i="2"/>
  <c r="AE1020" i="2"/>
  <c r="AE1021" i="2" s="1"/>
  <c r="AE1022" i="2"/>
  <c r="AE1023" i="2"/>
  <c r="AE1024" i="2" s="1"/>
  <c r="AE1025" i="2"/>
  <c r="AE1026" i="2" s="1"/>
  <c r="AE1027" i="2"/>
  <c r="AE1028" i="2" s="1"/>
  <c r="AE1029" i="2" s="1"/>
  <c r="AE1030" i="2"/>
  <c r="AE1031" i="2"/>
  <c r="AE1032" i="2"/>
  <c r="AE1033" i="2"/>
  <c r="AE1034" i="2"/>
  <c r="AE1035" i="2"/>
  <c r="AE1036" i="2"/>
  <c r="AE1037" i="2"/>
  <c r="AE1038" i="2" s="1"/>
  <c r="AE1039" i="2"/>
  <c r="AE1040" i="2"/>
  <c r="AE1041" i="2" s="1"/>
  <c r="AE1042" i="2"/>
  <c r="AE1043" i="2"/>
  <c r="AE1044" i="2" s="1"/>
  <c r="AE1045" i="2"/>
  <c r="AE1046" i="2"/>
  <c r="AE1047" i="2"/>
  <c r="AE1048" i="2"/>
  <c r="AE1049" i="2"/>
  <c r="AE1050" i="2"/>
  <c r="AE1051" i="2" s="1"/>
  <c r="AE1052" i="2"/>
  <c r="AE1053" i="2"/>
  <c r="AE1054" i="2"/>
  <c r="AE1055" i="2"/>
  <c r="AE1056" i="2" s="1"/>
  <c r="AE1057" i="2"/>
  <c r="AE1058" i="2"/>
  <c r="AE1059" i="2"/>
  <c r="AE1060" i="2" s="1"/>
  <c r="AE1061" i="2"/>
  <c r="AE1062" i="2"/>
  <c r="AE1063" i="2"/>
  <c r="AE1064" i="2"/>
  <c r="AE1065" i="2" s="1"/>
  <c r="AE1066" i="2" s="1"/>
  <c r="AE1067" i="2"/>
  <c r="AE1068" i="2" s="1"/>
  <c r="AE1069" i="2"/>
  <c r="AE1070" i="2" s="1"/>
  <c r="AE1071" i="2"/>
  <c r="AE1072" i="2"/>
  <c r="AE1073" i="2" s="1"/>
  <c r="AE1074" i="2"/>
  <c r="AE1075" i="2"/>
  <c r="AE1076" i="2" s="1"/>
  <c r="AE1077" i="2" s="1"/>
  <c r="AE1078" i="2" s="1"/>
  <c r="AE1079" i="2"/>
  <c r="AE1080" i="2"/>
  <c r="AE1081" i="2"/>
  <c r="AE1082" i="2"/>
  <c r="AE1083" i="2"/>
  <c r="AE1084" i="2"/>
  <c r="AE1085" i="2"/>
  <c r="AE1086" i="2"/>
  <c r="AE1087" i="2" s="1"/>
  <c r="AE1088" i="2"/>
  <c r="AE1089" i="2"/>
  <c r="AE1090" i="2"/>
  <c r="AE1091" i="2"/>
  <c r="AE1092" i="2"/>
  <c r="AE1093" i="2" s="1"/>
  <c r="AE1094" i="2"/>
  <c r="AE1095" i="2" s="1"/>
  <c r="AE1096" i="2" s="1"/>
  <c r="AE1097" i="2" s="1"/>
  <c r="AE1098" i="2" s="1"/>
  <c r="AE1099" i="2" s="1"/>
  <c r="AE1100" i="2"/>
  <c r="AE1101" i="2"/>
  <c r="AE1102" i="2" s="1"/>
  <c r="AE1103" i="2"/>
  <c r="AE1104" i="2" s="1"/>
  <c r="AE1105" i="2"/>
  <c r="AE1106" i="2"/>
  <c r="AE1107" i="2" s="1"/>
  <c r="AE1108" i="2" s="1"/>
  <c r="AE1109" i="2"/>
  <c r="AE1110" i="2"/>
  <c r="AE1111" i="2"/>
  <c r="AE1112" i="2"/>
  <c r="AE1113" i="2"/>
  <c r="AE1114" i="2"/>
  <c r="AE1115" i="2"/>
  <c r="AE1116" i="2"/>
  <c r="AE1117" i="2"/>
  <c r="AE1118" i="2"/>
  <c r="AE1119" i="2" s="1"/>
  <c r="AE1120" i="2"/>
  <c r="AE1121" i="2"/>
  <c r="AE1122" i="2"/>
  <c r="AE1123" i="2" s="1"/>
  <c r="AE1124" i="2" s="1"/>
  <c r="AE1125" i="2" s="1"/>
  <c r="AE1126" i="2"/>
  <c r="AE1127" i="2"/>
  <c r="AE1128" i="2" s="1"/>
  <c r="AE1129" i="2"/>
  <c r="AE1130" i="2"/>
  <c r="AE1131" i="2" s="1"/>
  <c r="AE1132" i="2"/>
  <c r="AE1133" i="2"/>
  <c r="AE1134" i="2"/>
  <c r="AE1135" i="2"/>
  <c r="AE1136" i="2"/>
  <c r="AE1137" i="2"/>
  <c r="AE1138" i="2"/>
  <c r="AE1139" i="2"/>
  <c r="AE1140" i="2"/>
  <c r="AE1141" i="2"/>
  <c r="AE1142" i="2" s="1"/>
  <c r="AE1143" i="2"/>
  <c r="AE1144" i="2"/>
  <c r="AE1145" i="2"/>
  <c r="AE1146" i="2" s="1"/>
  <c r="AE1147" i="2"/>
  <c r="AE1148" i="2" s="1"/>
  <c r="AE1149" i="2" s="1"/>
  <c r="AE1150" i="2"/>
  <c r="AE1151" i="2" s="1"/>
  <c r="AE1152" i="2"/>
  <c r="AE1153" i="2"/>
  <c r="AE1154" i="2" s="1"/>
  <c r="AE1155" i="2"/>
  <c r="AE1156" i="2" s="1"/>
  <c r="AE1157" i="2"/>
  <c r="AE1158" i="2"/>
  <c r="AE1159" i="2"/>
  <c r="AE1160" i="2"/>
  <c r="AE1161" i="2"/>
  <c r="AE1162" i="2"/>
  <c r="AE1163" i="2"/>
  <c r="AE1164" i="2"/>
  <c r="AE1165" i="2" s="1"/>
  <c r="AE1166" i="2"/>
  <c r="AE1167" i="2"/>
  <c r="AE1168" i="2"/>
  <c r="AE1169" i="2"/>
  <c r="AE1170" i="2"/>
  <c r="AE1171" i="2"/>
  <c r="AE1172" i="2"/>
  <c r="AE1173" i="2"/>
  <c r="AE1174" i="2"/>
  <c r="AE1175" i="2"/>
  <c r="AE1176" i="2" s="1"/>
  <c r="AE1177" i="2"/>
  <c r="AE1178" i="2" s="1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 s="1"/>
  <c r="AE1192" i="2"/>
  <c r="AE1193" i="2" s="1"/>
  <c r="AE1194" i="2" s="1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 s="1"/>
  <c r="AA23" i="2" s="1"/>
  <c r="AA24" i="2"/>
  <c r="AA25" i="2"/>
  <c r="AA26" i="2"/>
  <c r="AA27" i="2"/>
  <c r="AA28" i="2"/>
  <c r="AA29" i="2"/>
  <c r="AA30" i="2"/>
  <c r="AA31" i="2" s="1"/>
  <c r="AA32" i="2"/>
  <c r="AA33" i="2"/>
  <c r="AA34" i="2" s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 s="1"/>
  <c r="AA49" i="2"/>
  <c r="AA50" i="2"/>
  <c r="AA51" i="2"/>
  <c r="AA52" i="2" s="1"/>
  <c r="AA53" i="2"/>
  <c r="AA54" i="2"/>
  <c r="AA55" i="2"/>
  <c r="AA56" i="2"/>
  <c r="AA57" i="2"/>
  <c r="AA58" i="2"/>
  <c r="AA59" i="2"/>
  <c r="AA60" i="2"/>
  <c r="AA61" i="2"/>
  <c r="AA62" i="2"/>
  <c r="AA63" i="2"/>
  <c r="AA64" i="2" s="1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 s="1"/>
  <c r="AA79" i="2" s="1"/>
  <c r="AA80" i="2"/>
  <c r="AA81" i="2" s="1"/>
  <c r="AA82" i="2"/>
  <c r="AA83" i="2"/>
  <c r="AA84" i="2"/>
  <c r="AA85" i="2"/>
  <c r="AA86" i="2" s="1"/>
  <c r="AA87" i="2"/>
  <c r="AA88" i="2"/>
  <c r="AA89" i="2"/>
  <c r="AA90" i="2"/>
  <c r="AA91" i="2"/>
  <c r="AA92" i="2"/>
  <c r="AA93" i="2"/>
  <c r="AA94" i="2"/>
  <c r="AA95" i="2"/>
  <c r="AA96" i="2"/>
  <c r="AA97" i="2"/>
  <c r="AA98" i="2" s="1"/>
  <c r="AA99" i="2"/>
  <c r="AA100" i="2"/>
  <c r="AA101" i="2"/>
  <c r="AA102" i="2"/>
  <c r="AA103" i="2" s="1"/>
  <c r="AA104" i="2"/>
  <c r="AA105" i="2"/>
  <c r="AA106" i="2"/>
  <c r="AA107" i="2"/>
  <c r="AA108" i="2"/>
  <c r="AA109" i="2"/>
  <c r="AA110" i="2"/>
  <c r="AA111" i="2" s="1"/>
  <c r="AA112" i="2"/>
  <c r="AA113" i="2" s="1"/>
  <c r="AA114" i="2"/>
  <c r="AA115" i="2" s="1"/>
  <c r="AA116" i="2"/>
  <c r="AA117" i="2"/>
  <c r="AA118" i="2"/>
  <c r="AA119" i="2" s="1"/>
  <c r="AA120" i="2"/>
  <c r="AA121" i="2" s="1"/>
  <c r="AA122" i="2" s="1"/>
  <c r="AA123" i="2" s="1"/>
  <c r="AA124" i="2"/>
  <c r="AA125" i="2"/>
  <c r="AA126" i="2" s="1"/>
  <c r="AA127" i="2"/>
  <c r="AA128" i="2"/>
  <c r="AA129" i="2"/>
  <c r="AA130" i="2"/>
  <c r="AA131" i="2" s="1"/>
  <c r="AA132" i="2" s="1"/>
  <c r="AA133" i="2" s="1"/>
  <c r="AA134" i="2" s="1"/>
  <c r="AA135" i="2"/>
  <c r="AA136" i="2"/>
  <c r="AA137" i="2" s="1"/>
  <c r="AA138" i="2" s="1"/>
  <c r="AA139" i="2" s="1"/>
  <c r="AA140" i="2" s="1"/>
  <c r="AA141" i="2"/>
  <c r="AA142" i="2"/>
  <c r="AA143" i="2" s="1"/>
  <c r="AA144" i="2"/>
  <c r="AA145" i="2"/>
  <c r="AA146" i="2" s="1"/>
  <c r="AA147" i="2"/>
  <c r="AA148" i="2"/>
  <c r="AA149" i="2"/>
  <c r="AA150" i="2"/>
  <c r="AA151" i="2"/>
  <c r="AA152" i="2"/>
  <c r="AA153" i="2"/>
  <c r="AA154" i="2"/>
  <c r="AA155" i="2" s="1"/>
  <c r="AA156" i="2"/>
  <c r="AA157" i="2"/>
  <c r="AA158" i="2"/>
  <c r="AA159" i="2"/>
  <c r="AA160" i="2"/>
  <c r="AA161" i="2" s="1"/>
  <c r="AA162" i="2"/>
  <c r="AA163" i="2" s="1"/>
  <c r="AA164" i="2"/>
  <c r="AA165" i="2"/>
  <c r="AA166" i="2"/>
  <c r="AA167" i="2" s="1"/>
  <c r="AA168" i="2"/>
  <c r="AA169" i="2"/>
  <c r="AA170" i="2"/>
  <c r="AA171" i="2"/>
  <c r="AA172" i="2"/>
  <c r="AA173" i="2"/>
  <c r="AA174" i="2"/>
  <c r="AA175" i="2"/>
  <c r="AA176" i="2" s="1"/>
  <c r="AA177" i="2" s="1"/>
  <c r="AA178" i="2"/>
  <c r="AA179" i="2"/>
  <c r="AA180" i="2" s="1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 s="1"/>
  <c r="AA200" i="2"/>
  <c r="AA201" i="2"/>
  <c r="AA202" i="2"/>
  <c r="AA203" i="2" s="1"/>
  <c r="AA204" i="2"/>
  <c r="AA205" i="2"/>
  <c r="AA206" i="2"/>
  <c r="AA207" i="2"/>
  <c r="AA208" i="2"/>
  <c r="AA209" i="2" s="1"/>
  <c r="AA210" i="2"/>
  <c r="AA211" i="2" s="1"/>
  <c r="AA212" i="2"/>
  <c r="AA213" i="2"/>
  <c r="AA214" i="2"/>
  <c r="AA215" i="2"/>
  <c r="AA216" i="2"/>
  <c r="AA217" i="2" s="1"/>
  <c r="AA218" i="2"/>
  <c r="AA219" i="2" s="1"/>
  <c r="AA220" i="2"/>
  <c r="AA221" i="2"/>
  <c r="AA222" i="2" s="1"/>
  <c r="AA223" i="2" s="1"/>
  <c r="AA224" i="2" s="1"/>
  <c r="AA225" i="2"/>
  <c r="AA226" i="2"/>
  <c r="AA227" i="2"/>
  <c r="AA228" i="2"/>
  <c r="AA229" i="2"/>
  <c r="AA230" i="2" s="1"/>
  <c r="AA231" i="2"/>
  <c r="AA232" i="2"/>
  <c r="AA233" i="2" s="1"/>
  <c r="AA234" i="2"/>
  <c r="AA235" i="2"/>
  <c r="AA236" i="2"/>
  <c r="AA237" i="2" s="1"/>
  <c r="AA238" i="2"/>
  <c r="AA239" i="2"/>
  <c r="AA240" i="2"/>
  <c r="AA241" i="2"/>
  <c r="AA242" i="2"/>
  <c r="AA243" i="2"/>
  <c r="AA244" i="2" s="1"/>
  <c r="AA245" i="2"/>
  <c r="AA246" i="2"/>
  <c r="AA247" i="2"/>
  <c r="AA248" i="2" s="1"/>
  <c r="AA249" i="2"/>
  <c r="AA250" i="2"/>
  <c r="AA251" i="2"/>
  <c r="AA252" i="2"/>
  <c r="AA253" i="2"/>
  <c r="AA254" i="2" s="1"/>
  <c r="AA255" i="2" s="1"/>
  <c r="AA256" i="2" s="1"/>
  <c r="AA257" i="2"/>
  <c r="AA258" i="2" s="1"/>
  <c r="AA259" i="2"/>
  <c r="AA260" i="2"/>
  <c r="AA261" i="2"/>
  <c r="AA262" i="2"/>
  <c r="AA263" i="2" s="1"/>
  <c r="AA264" i="2"/>
  <c r="AA265" i="2"/>
  <c r="AA266" i="2"/>
  <c r="AA267" i="2" s="1"/>
  <c r="AA268" i="2" s="1"/>
  <c r="AA269" i="2"/>
  <c r="AA270" i="2"/>
  <c r="AA271" i="2" s="1"/>
  <c r="AA272" i="2"/>
  <c r="AA273" i="2" s="1"/>
  <c r="AA274" i="2"/>
  <c r="AA275" i="2"/>
  <c r="AA276" i="2"/>
  <c r="AA277" i="2" s="1"/>
  <c r="AA278" i="2"/>
  <c r="AA279" i="2"/>
  <c r="AA280" i="2"/>
  <c r="AA281" i="2" s="1"/>
  <c r="AA282" i="2"/>
  <c r="AA283" i="2"/>
  <c r="AA284" i="2" s="1"/>
  <c r="AA285" i="2" s="1"/>
  <c r="AA286" i="2"/>
  <c r="AA287" i="2"/>
  <c r="AA288" i="2"/>
  <c r="AA289" i="2"/>
  <c r="AA290" i="2"/>
  <c r="AA291" i="2"/>
  <c r="AA292" i="2"/>
  <c r="AA293" i="2"/>
  <c r="AA294" i="2"/>
  <c r="AA295" i="2" s="1"/>
  <c r="AA296" i="2"/>
  <c r="AA297" i="2"/>
  <c r="AA298" i="2"/>
  <c r="AA299" i="2"/>
  <c r="AA300" i="2"/>
  <c r="AA301" i="2" s="1"/>
  <c r="AA302" i="2" s="1"/>
  <c r="AA303" i="2"/>
  <c r="AA304" i="2"/>
  <c r="AA305" i="2"/>
  <c r="AA306" i="2"/>
  <c r="AA307" i="2"/>
  <c r="AA308" i="2"/>
  <c r="AA309" i="2"/>
  <c r="AA310" i="2"/>
  <c r="AA311" i="2"/>
  <c r="AA312" i="2"/>
  <c r="AA313" i="2" s="1"/>
  <c r="AA314" i="2" s="1"/>
  <c r="AA315" i="2"/>
  <c r="AA316" i="2"/>
  <c r="AA317" i="2" s="1"/>
  <c r="AA318" i="2"/>
  <c r="AA319" i="2"/>
  <c r="AA320" i="2" s="1"/>
  <c r="AA321" i="2"/>
  <c r="AA322" i="2" s="1"/>
  <c r="AA323" i="2" s="1"/>
  <c r="AA324" i="2"/>
  <c r="AA325" i="2"/>
  <c r="AA326" i="2" s="1"/>
  <c r="AA327" i="2" s="1"/>
  <c r="AA328" i="2"/>
  <c r="AA329" i="2"/>
  <c r="AA330" i="2" s="1"/>
  <c r="AA331" i="2" s="1"/>
  <c r="AA332" i="2" s="1"/>
  <c r="AA333" i="2"/>
  <c r="AA334" i="2"/>
  <c r="AA335" i="2"/>
  <c r="AA336" i="2"/>
  <c r="AA337" i="2"/>
  <c r="AA338" i="2" s="1"/>
  <c r="AA339" i="2"/>
  <c r="AA340" i="2"/>
  <c r="AA341" i="2" s="1"/>
  <c r="AA342" i="2" s="1"/>
  <c r="AA343" i="2"/>
  <c r="AA344" i="2"/>
  <c r="AA345" i="2"/>
  <c r="AA346" i="2"/>
  <c r="AA347" i="2"/>
  <c r="AA348" i="2"/>
  <c r="AA349" i="2"/>
  <c r="AA350" i="2" s="1"/>
  <c r="AA351" i="2"/>
  <c r="AA352" i="2"/>
  <c r="AA353" i="2" s="1"/>
  <c r="AA354" i="2"/>
  <c r="AA355" i="2"/>
  <c r="AA356" i="2" s="1"/>
  <c r="AA357" i="2"/>
  <c r="AA358" i="2" s="1"/>
  <c r="AA359" i="2"/>
  <c r="AA360" i="2"/>
  <c r="AA361" i="2"/>
  <c r="AA362" i="2"/>
  <c r="AA363" i="2"/>
  <c r="AA364" i="2"/>
  <c r="AA365" i="2" s="1"/>
  <c r="AA366" i="2"/>
  <c r="AA367" i="2"/>
  <c r="AA368" i="2" s="1"/>
  <c r="AA369" i="2" s="1"/>
  <c r="AA370" i="2"/>
  <c r="AA371" i="2"/>
  <c r="AA372" i="2"/>
  <c r="AA373" i="2"/>
  <c r="AA374" i="2"/>
  <c r="AA375" i="2"/>
  <c r="AA376" i="2"/>
  <c r="AA377" i="2"/>
  <c r="AA378" i="2"/>
  <c r="AA379" i="2"/>
  <c r="AA380" i="2" s="1"/>
  <c r="AA381" i="2"/>
  <c r="AA382" i="2"/>
  <c r="AA383" i="2"/>
  <c r="AA384" i="2"/>
  <c r="AA385" i="2" s="1"/>
  <c r="AA386" i="2"/>
  <c r="AA387" i="2"/>
  <c r="AA388" i="2"/>
  <c r="AA389" i="2"/>
  <c r="AA390" i="2" s="1"/>
  <c r="AA391" i="2"/>
  <c r="AA392" i="2"/>
  <c r="AA393" i="2" s="1"/>
  <c r="AA394" i="2" s="1"/>
  <c r="AA395" i="2"/>
  <c r="AA396" i="2"/>
  <c r="AA397" i="2"/>
  <c r="AA398" i="2" s="1"/>
  <c r="AA399" i="2"/>
  <c r="AA400" i="2" s="1"/>
  <c r="AA401" i="2" s="1"/>
  <c r="AA402" i="2" s="1"/>
  <c r="AA403" i="2"/>
  <c r="AA404" i="2"/>
  <c r="AA405" i="2"/>
  <c r="AA406" i="2" s="1"/>
  <c r="AA407" i="2" s="1"/>
  <c r="AA408" i="2"/>
  <c r="AA409" i="2"/>
  <c r="AA410" i="2"/>
  <c r="AA411" i="2"/>
  <c r="AA412" i="2"/>
  <c r="AA413" i="2" s="1"/>
  <c r="AA414" i="2" s="1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 s="1"/>
  <c r="AA428" i="2"/>
  <c r="AA429" i="2"/>
  <c r="AA430" i="2"/>
  <c r="AA431" i="2"/>
  <c r="AA432" i="2"/>
  <c r="AA433" i="2" s="1"/>
  <c r="AA434" i="2"/>
  <c r="AA435" i="2"/>
  <c r="AA436" i="2"/>
  <c r="AA437" i="2" s="1"/>
  <c r="AA438" i="2"/>
  <c r="AA439" i="2"/>
  <c r="AA440" i="2"/>
  <c r="AA441" i="2"/>
  <c r="AA442" i="2"/>
  <c r="AA443" i="2"/>
  <c r="AA444" i="2"/>
  <c r="AA445" i="2"/>
  <c r="AA446" i="2" s="1"/>
  <c r="AA447" i="2"/>
  <c r="AA448" i="2"/>
  <c r="AA449" i="2"/>
  <c r="AA450" i="2" s="1"/>
  <c r="AA451" i="2"/>
  <c r="AA452" i="2"/>
  <c r="AA453" i="2"/>
  <c r="AA454" i="2" s="1"/>
  <c r="AA455" i="2"/>
  <c r="AA456" i="2"/>
  <c r="AA457" i="2"/>
  <c r="AA458" i="2"/>
  <c r="AA459" i="2" s="1"/>
  <c r="AA460" i="2"/>
  <c r="AA461" i="2"/>
  <c r="AA462" i="2"/>
  <c r="AA463" i="2"/>
  <c r="AA464" i="2"/>
  <c r="AA465" i="2"/>
  <c r="AA466" i="2"/>
  <c r="AA467" i="2"/>
  <c r="AA468" i="2"/>
  <c r="AA469" i="2" s="1"/>
  <c r="AA470" i="2"/>
  <c r="AA471" i="2" s="1"/>
  <c r="AA472" i="2"/>
  <c r="AA473" i="2"/>
  <c r="AA474" i="2" s="1"/>
  <c r="AA475" i="2"/>
  <c r="AA476" i="2"/>
  <c r="AA477" i="2" s="1"/>
  <c r="AA478" i="2"/>
  <c r="AA479" i="2" s="1"/>
  <c r="AA480" i="2" s="1"/>
  <c r="AA481" i="2"/>
  <c r="AA482" i="2" s="1"/>
  <c r="AA483" i="2"/>
  <c r="AA484" i="2" s="1"/>
  <c r="AA485" i="2"/>
  <c r="AA486" i="2" s="1"/>
  <c r="AA487" i="2"/>
  <c r="AA488" i="2"/>
  <c r="AA489" i="2"/>
  <c r="AA490" i="2"/>
  <c r="AA491" i="2"/>
  <c r="AA492" i="2"/>
  <c r="AA493" i="2"/>
  <c r="AA494" i="2"/>
  <c r="AA495" i="2"/>
  <c r="AA496" i="2"/>
  <c r="AA497" i="2"/>
  <c r="AA498" i="2" s="1"/>
  <c r="AA499" i="2" s="1"/>
  <c r="AA500" i="2" s="1"/>
  <c r="AA501" i="2"/>
  <c r="AA502" i="2"/>
  <c r="AA503" i="2"/>
  <c r="AA504" i="2"/>
  <c r="AA505" i="2"/>
  <c r="AA506" i="2"/>
  <c r="AA507" i="2" s="1"/>
  <c r="AA508" i="2"/>
  <c r="AA509" i="2"/>
  <c r="AA510" i="2" s="1"/>
  <c r="AA511" i="2"/>
  <c r="AA512" i="2"/>
  <c r="AA513" i="2" s="1"/>
  <c r="AA514" i="2"/>
  <c r="AA515" i="2"/>
  <c r="AA516" i="2"/>
  <c r="AA517" i="2" s="1"/>
  <c r="AA518" i="2" s="1"/>
  <c r="AA519" i="2"/>
  <c r="AA520" i="2"/>
  <c r="AA521" i="2" s="1"/>
  <c r="AA522" i="2"/>
  <c r="AA523" i="2" s="1"/>
  <c r="AA524" i="2"/>
  <c r="AA525" i="2"/>
  <c r="AA526" i="2" s="1"/>
  <c r="AA527" i="2"/>
  <c r="AA528" i="2"/>
  <c r="AA529" i="2"/>
  <c r="AA530" i="2" s="1"/>
  <c r="AA531" i="2"/>
  <c r="AA532" i="2"/>
  <c r="AA533" i="2" s="1"/>
  <c r="AA534" i="2" s="1"/>
  <c r="AA535" i="2" s="1"/>
  <c r="AA536" i="2"/>
  <c r="AA537" i="2"/>
  <c r="AA538" i="2"/>
  <c r="AA539" i="2"/>
  <c r="AA540" i="2"/>
  <c r="AA541" i="2" s="1"/>
  <c r="AA542" i="2" s="1"/>
  <c r="AA543" i="2" s="1"/>
  <c r="AA544" i="2" s="1"/>
  <c r="AA545" i="2" s="1"/>
  <c r="AA546" i="2"/>
  <c r="AA547" i="2"/>
  <c r="AA548" i="2"/>
  <c r="AA549" i="2" s="1"/>
  <c r="AA550" i="2"/>
  <c r="AA551" i="2"/>
  <c r="AA552" i="2"/>
  <c r="AA553" i="2" s="1"/>
  <c r="AA554" i="2"/>
  <c r="AA555" i="2" s="1"/>
  <c r="AA556" i="2"/>
  <c r="AA557" i="2"/>
  <c r="AA558" i="2" s="1"/>
  <c r="AA559" i="2"/>
  <c r="AA560" i="2"/>
  <c r="AA561" i="2"/>
  <c r="AA562" i="2"/>
  <c r="AA563" i="2"/>
  <c r="AA564" i="2" s="1"/>
  <c r="AA565" i="2" s="1"/>
  <c r="AA566" i="2"/>
  <c r="AA567" i="2" s="1"/>
  <c r="AA568" i="2"/>
  <c r="AA569" i="2"/>
  <c r="AA570" i="2" s="1"/>
  <c r="AA571" i="2"/>
  <c r="AA572" i="2" s="1"/>
  <c r="AA573" i="2" s="1"/>
  <c r="AA574" i="2"/>
  <c r="AA575" i="2"/>
  <c r="AA576" i="2"/>
  <c r="AA577" i="2"/>
  <c r="AA578" i="2"/>
  <c r="AA579" i="2" s="1"/>
  <c r="AA580" i="2" s="1"/>
  <c r="AA581" i="2" s="1"/>
  <c r="AA582" i="2" s="1"/>
  <c r="AA583" i="2" s="1"/>
  <c r="AA584" i="2"/>
  <c r="AA585" i="2"/>
  <c r="AA586" i="2"/>
  <c r="AA587" i="2"/>
  <c r="AA588" i="2"/>
  <c r="AA589" i="2"/>
  <c r="AA590" i="2"/>
  <c r="AA591" i="2" s="1"/>
  <c r="AA592" i="2"/>
  <c r="AA593" i="2"/>
  <c r="AA594" i="2" s="1"/>
  <c r="AA595" i="2"/>
  <c r="AA596" i="2"/>
  <c r="AA597" i="2" s="1"/>
  <c r="AA598" i="2"/>
  <c r="AA599" i="2" s="1"/>
  <c r="AA600" i="2"/>
  <c r="AA601" i="2" s="1"/>
  <c r="AA602" i="2" s="1"/>
  <c r="AA603" i="2" s="1"/>
  <c r="AA604" i="2"/>
  <c r="AA605" i="2"/>
  <c r="AA606" i="2"/>
  <c r="AA607" i="2" s="1"/>
  <c r="AA608" i="2"/>
  <c r="AA609" i="2" s="1"/>
  <c r="AA610" i="2"/>
  <c r="AA611" i="2"/>
  <c r="AA612" i="2" s="1"/>
  <c r="AA613" i="2" s="1"/>
  <c r="AA614" i="2"/>
  <c r="AA615" i="2" s="1"/>
  <c r="AA616" i="2" s="1"/>
  <c r="AA617" i="2"/>
  <c r="AA618" i="2" s="1"/>
  <c r="AA619" i="2" s="1"/>
  <c r="AA620" i="2"/>
  <c r="AA621" i="2" s="1"/>
  <c r="AA622" i="2"/>
  <c r="AA623" i="2"/>
  <c r="AA624" i="2" s="1"/>
  <c r="AA625" i="2" s="1"/>
  <c r="AA626" i="2" s="1"/>
  <c r="AA627" i="2"/>
  <c r="AA628" i="2"/>
  <c r="AA629" i="2"/>
  <c r="AA630" i="2"/>
  <c r="AA631" i="2" s="1"/>
  <c r="AA632" i="2"/>
  <c r="AA633" i="2"/>
  <c r="AA634" i="2"/>
  <c r="AA635" i="2"/>
  <c r="AA636" i="2" s="1"/>
  <c r="AA637" i="2" s="1"/>
  <c r="AA638" i="2"/>
  <c r="AA639" i="2" s="1"/>
  <c r="AA640" i="2" s="1"/>
  <c r="AA641" i="2" s="1"/>
  <c r="AA642" i="2"/>
  <c r="AA643" i="2" s="1"/>
  <c r="AA644" i="2"/>
  <c r="AA645" i="2" s="1"/>
  <c r="AA646" i="2"/>
  <c r="AA647" i="2"/>
  <c r="AA648" i="2"/>
  <c r="AA649" i="2"/>
  <c r="AA650" i="2" s="1"/>
  <c r="AA651" i="2" s="1"/>
  <c r="AA652" i="2" s="1"/>
  <c r="AA653" i="2" s="1"/>
  <c r="AA654" i="2"/>
  <c r="AA655" i="2"/>
  <c r="AA656" i="2"/>
  <c r="AA657" i="2"/>
  <c r="AA658" i="2"/>
  <c r="AA659" i="2"/>
  <c r="AA660" i="2" s="1"/>
  <c r="AA661" i="2"/>
  <c r="AA662" i="2" s="1"/>
  <c r="AA663" i="2"/>
  <c r="AA664" i="2"/>
  <c r="AA665" i="2" s="1"/>
  <c r="AA666" i="2" s="1"/>
  <c r="AA667" i="2" s="1"/>
  <c r="AA668" i="2"/>
  <c r="AA669" i="2"/>
  <c r="AA670" i="2"/>
  <c r="AA671" i="2"/>
  <c r="AA672" i="2" s="1"/>
  <c r="AA673" i="2" s="1"/>
  <c r="AA674" i="2" s="1"/>
  <c r="AA675" i="2"/>
  <c r="AA676" i="2" s="1"/>
  <c r="AA677" i="2"/>
  <c r="AA678" i="2"/>
  <c r="AA679" i="2"/>
  <c r="AA680" i="2" s="1"/>
  <c r="AA681" i="2"/>
  <c r="AA682" i="2" s="1"/>
  <c r="AA683" i="2"/>
  <c r="AA684" i="2" s="1"/>
  <c r="AA685" i="2"/>
  <c r="AA686" i="2" s="1"/>
  <c r="AA687" i="2"/>
  <c r="AA688" i="2"/>
  <c r="AA689" i="2" s="1"/>
  <c r="AA690" i="2"/>
  <c r="AA691" i="2"/>
  <c r="AA692" i="2"/>
  <c r="AA693" i="2"/>
  <c r="AA694" i="2"/>
  <c r="AA695" i="2"/>
  <c r="AA696" i="2"/>
  <c r="AA697" i="2"/>
  <c r="AA698" i="2"/>
  <c r="AA699" i="2" s="1"/>
  <c r="AA700" i="2" s="1"/>
  <c r="AA701" i="2" s="1"/>
  <c r="AA702" i="2" s="1"/>
  <c r="AA703" i="2" s="1"/>
  <c r="AA704" i="2"/>
  <c r="AA705" i="2" s="1"/>
  <c r="AA706" i="2"/>
  <c r="AA707" i="2" s="1"/>
  <c r="AA708" i="2"/>
  <c r="AA709" i="2"/>
  <c r="AA710" i="2" s="1"/>
  <c r="AA711" i="2"/>
  <c r="AA712" i="2" s="1"/>
  <c r="AA713" i="2"/>
  <c r="AA714" i="2"/>
  <c r="AA715" i="2"/>
  <c r="AA716" i="2"/>
  <c r="AA717" i="2"/>
  <c r="AA718" i="2" s="1"/>
  <c r="AA719" i="2"/>
  <c r="AA720" i="2"/>
  <c r="AA721" i="2"/>
  <c r="AA722" i="2"/>
  <c r="AA723" i="2" s="1"/>
  <c r="AA724" i="2" s="1"/>
  <c r="AA725" i="2" s="1"/>
  <c r="AA726" i="2"/>
  <c r="AA727" i="2"/>
  <c r="AA728" i="2"/>
  <c r="AA729" i="2" s="1"/>
  <c r="AA730" i="2"/>
  <c r="AA731" i="2"/>
  <c r="AA732" i="2"/>
  <c r="AA733" i="2" s="1"/>
  <c r="AA734" i="2"/>
  <c r="AA735" i="2" s="1"/>
  <c r="AA736" i="2"/>
  <c r="AA737" i="2" s="1"/>
  <c r="AA738" i="2" s="1"/>
  <c r="AA739" i="2" s="1"/>
  <c r="AA740" i="2" s="1"/>
  <c r="AA741" i="2" s="1"/>
  <c r="AA742" i="2" s="1"/>
  <c r="AA743" i="2" s="1"/>
  <c r="AA744" i="2" s="1"/>
  <c r="AA745" i="2"/>
  <c r="AA746" i="2"/>
  <c r="AA747" i="2"/>
  <c r="AA748" i="2"/>
  <c r="AA749" i="2"/>
  <c r="AA750" i="2" s="1"/>
  <c r="AA751" i="2"/>
  <c r="AA752" i="2"/>
  <c r="AA753" i="2"/>
  <c r="AA754" i="2"/>
  <c r="AA755" i="2"/>
  <c r="AA756" i="2" s="1"/>
  <c r="AA757" i="2"/>
  <c r="AA758" i="2"/>
  <c r="AA759" i="2" s="1"/>
  <c r="AA760" i="2"/>
  <c r="AA761" i="2" s="1"/>
  <c r="AA762" i="2"/>
  <c r="AA763" i="2" s="1"/>
  <c r="AA764" i="2"/>
  <c r="AA765" i="2" s="1"/>
  <c r="AA766" i="2" s="1"/>
  <c r="AA767" i="2" s="1"/>
  <c r="AA768" i="2"/>
  <c r="AA769" i="2" s="1"/>
  <c r="AA770" i="2"/>
  <c r="AA771" i="2"/>
  <c r="AA772" i="2"/>
  <c r="AA773" i="2"/>
  <c r="AA774" i="2"/>
  <c r="AA775" i="2"/>
  <c r="AA776" i="2"/>
  <c r="AA777" i="2" s="1"/>
  <c r="AA778" i="2"/>
  <c r="AA779" i="2"/>
  <c r="AA780" i="2"/>
  <c r="AA781" i="2"/>
  <c r="AA782" i="2"/>
  <c r="AA783" i="2" s="1"/>
  <c r="AA784" i="2"/>
  <c r="AA785" i="2"/>
  <c r="AA786" i="2"/>
  <c r="AA787" i="2"/>
  <c r="AA788" i="2"/>
  <c r="AA789" i="2"/>
  <c r="AA790" i="2" s="1"/>
  <c r="AA791" i="2" s="1"/>
  <c r="AA792" i="2" s="1"/>
  <c r="AA793" i="2"/>
  <c r="AA794" i="2"/>
  <c r="AA795" i="2"/>
  <c r="AA796" i="2" s="1"/>
  <c r="AA797" i="2"/>
  <c r="AA798" i="2"/>
  <c r="AA799" i="2" s="1"/>
  <c r="AA800" i="2"/>
  <c r="AA801" i="2"/>
  <c r="AA802" i="2"/>
  <c r="AA803" i="2"/>
  <c r="AA804" i="2" s="1"/>
  <c r="AA805" i="2"/>
  <c r="AA806" i="2"/>
  <c r="AA807" i="2" s="1"/>
  <c r="AA808" i="2"/>
  <c r="AA809" i="2"/>
  <c r="AA810" i="2"/>
  <c r="AA811" i="2"/>
  <c r="AA812" i="2"/>
  <c r="AA813" i="2"/>
  <c r="AA814" i="2" s="1"/>
  <c r="AA815" i="2" s="1"/>
  <c r="AA816" i="2"/>
  <c r="AA817" i="2" s="1"/>
  <c r="AA818" i="2" s="1"/>
  <c r="AA819" i="2" s="1"/>
  <c r="AA820" i="2" s="1"/>
  <c r="AA821" i="2" s="1"/>
  <c r="AA822" i="2" s="1"/>
  <c r="AA823" i="2"/>
  <c r="AA824" i="2"/>
  <c r="AA825" i="2"/>
  <c r="AA826" i="2"/>
  <c r="AA827" i="2"/>
  <c r="AA828" i="2" s="1"/>
  <c r="AA829" i="2"/>
  <c r="AA830" i="2"/>
  <c r="AA831" i="2" s="1"/>
  <c r="AA832" i="2"/>
  <c r="AA833" i="2"/>
  <c r="AA834" i="2"/>
  <c r="AA835" i="2"/>
  <c r="AA836" i="2"/>
  <c r="AA837" i="2"/>
  <c r="AA838" i="2"/>
  <c r="AA839" i="2" s="1"/>
  <c r="AA840" i="2"/>
  <c r="AA841" i="2"/>
  <c r="AA842" i="2"/>
  <c r="AA843" i="2" s="1"/>
  <c r="AA844" i="2" s="1"/>
  <c r="AA845" i="2" s="1"/>
  <c r="AA846" i="2"/>
  <c r="AA847" i="2"/>
  <c r="AA848" i="2"/>
  <c r="AA849" i="2" s="1"/>
  <c r="AA850" i="2"/>
  <c r="AA851" i="2"/>
  <c r="AA852" i="2"/>
  <c r="AA853" i="2" s="1"/>
  <c r="AA854" i="2"/>
  <c r="AA855" i="2" s="1"/>
  <c r="AA856" i="2"/>
  <c r="AA857" i="2"/>
  <c r="AA858" i="2"/>
  <c r="AA859" i="2"/>
  <c r="AA860" i="2"/>
  <c r="AA861" i="2" s="1"/>
  <c r="AA862" i="2" s="1"/>
  <c r="AA863" i="2" s="1"/>
  <c r="AA864" i="2"/>
  <c r="AA865" i="2" s="1"/>
  <c r="AA866" i="2" s="1"/>
  <c r="AA867" i="2" s="1"/>
  <c r="AA868" i="2" s="1"/>
  <c r="AA869" i="2"/>
  <c r="AA870" i="2"/>
  <c r="AA871" i="2" s="1"/>
  <c r="AA872" i="2"/>
  <c r="AA873" i="2"/>
  <c r="AA874" i="2"/>
  <c r="AA875" i="2" s="1"/>
  <c r="AA876" i="2"/>
  <c r="AA877" i="2"/>
  <c r="AA878" i="2"/>
  <c r="AA879" i="2"/>
  <c r="AA880" i="2"/>
  <c r="AA881" i="2"/>
  <c r="AA882" i="2"/>
  <c r="AA883" i="2"/>
  <c r="AA884" i="2"/>
  <c r="AA885" i="2" s="1"/>
  <c r="AA886" i="2"/>
  <c r="AA887" i="2" s="1"/>
  <c r="AA888" i="2"/>
  <c r="AA889" i="2"/>
  <c r="AA890" i="2"/>
  <c r="AA891" i="2"/>
  <c r="AA892" i="2" s="1"/>
  <c r="AA893" i="2"/>
  <c r="AA894" i="2"/>
  <c r="AA895" i="2" s="1"/>
  <c r="AA896" i="2"/>
  <c r="AA897" i="2" s="1"/>
  <c r="AA898" i="2" s="1"/>
  <c r="AA899" i="2"/>
  <c r="AA900" i="2"/>
  <c r="AA901" i="2"/>
  <c r="AA902" i="2" s="1"/>
  <c r="AA903" i="2"/>
  <c r="AA904" i="2" s="1"/>
  <c r="AA905" i="2"/>
  <c r="AA906" i="2" s="1"/>
  <c r="AA907" i="2" s="1"/>
  <c r="AA908" i="2" s="1"/>
  <c r="AA909" i="2"/>
  <c r="AA910" i="2" s="1"/>
  <c r="AA911" i="2"/>
  <c r="AA912" i="2"/>
  <c r="AA913" i="2"/>
  <c r="AA914" i="2"/>
  <c r="AA915" i="2"/>
  <c r="AA916" i="2" s="1"/>
  <c r="AA917" i="2"/>
  <c r="AA918" i="2"/>
  <c r="AA919" i="2"/>
  <c r="AA920" i="2" s="1"/>
  <c r="AA921" i="2"/>
  <c r="AA922" i="2" s="1"/>
  <c r="AA923" i="2"/>
  <c r="AA924" i="2"/>
  <c r="AA925" i="2"/>
  <c r="AA926" i="2"/>
  <c r="AA927" i="2"/>
  <c r="AA928" i="2" s="1"/>
  <c r="AA929" i="2"/>
  <c r="AA930" i="2" s="1"/>
  <c r="AA931" i="2" s="1"/>
  <c r="AA932" i="2"/>
  <c r="AA933" i="2"/>
  <c r="AA934" i="2"/>
  <c r="AA935" i="2"/>
  <c r="AA936" i="2"/>
  <c r="AA937" i="2"/>
  <c r="AA938" i="2"/>
  <c r="AA939" i="2"/>
  <c r="AA940" i="2"/>
  <c r="AA941" i="2"/>
  <c r="AA942" i="2" s="1"/>
  <c r="AA943" i="2" s="1"/>
  <c r="AA944" i="2"/>
  <c r="AA945" i="2"/>
  <c r="AA946" i="2"/>
  <c r="AA947" i="2" s="1"/>
  <c r="AA948" i="2"/>
  <c r="AA949" i="2"/>
  <c r="AA950" i="2"/>
  <c r="AA951" i="2"/>
  <c r="AA952" i="2"/>
  <c r="AA953" i="2"/>
  <c r="AA954" i="2"/>
  <c r="AA955" i="2"/>
  <c r="AA956" i="2" s="1"/>
  <c r="AA957" i="2"/>
  <c r="AA958" i="2"/>
  <c r="AA959" i="2" s="1"/>
  <c r="AA960" i="2"/>
  <c r="AA961" i="2"/>
  <c r="AA962" i="2"/>
  <c r="AA963" i="2" s="1"/>
  <c r="AA964" i="2" s="1"/>
  <c r="AA965" i="2" s="1"/>
  <c r="AA966" i="2"/>
  <c r="AA967" i="2" s="1"/>
  <c r="AA968" i="2"/>
  <c r="AA969" i="2"/>
  <c r="AA970" i="2" s="1"/>
  <c r="AA971" i="2"/>
  <c r="AA972" i="2" s="1"/>
  <c r="AA973" i="2" s="1"/>
  <c r="AA974" i="2"/>
  <c r="AA975" i="2" s="1"/>
  <c r="AA976" i="2"/>
  <c r="AA977" i="2"/>
  <c r="AA978" i="2" s="1"/>
  <c r="AA979" i="2"/>
  <c r="AA980" i="2"/>
  <c r="AA981" i="2" s="1"/>
  <c r="AA982" i="2" s="1"/>
  <c r="AA983" i="2" s="1"/>
  <c r="AA984" i="2" s="1"/>
  <c r="AA985" i="2"/>
  <c r="AA986" i="2" s="1"/>
  <c r="AA987" i="2"/>
  <c r="AA988" i="2"/>
  <c r="AA989" i="2"/>
  <c r="AA990" i="2"/>
  <c r="AA991" i="2"/>
  <c r="AA992" i="2"/>
  <c r="AA993" i="2" s="1"/>
  <c r="AA994" i="2"/>
  <c r="AA995" i="2"/>
  <c r="AA996" i="2" s="1"/>
  <c r="AA997" i="2"/>
  <c r="AA998" i="2"/>
  <c r="AA999" i="2"/>
  <c r="AA1000" i="2"/>
  <c r="AA1001" i="2"/>
  <c r="AA1002" i="2" s="1"/>
  <c r="AA1003" i="2" s="1"/>
  <c r="AA1004" i="2"/>
  <c r="AA1005" i="2" s="1"/>
  <c r="AA1006" i="2"/>
  <c r="AA1007" i="2"/>
  <c r="AA1008" i="2"/>
  <c r="AA1009" i="2"/>
  <c r="AA1010" i="2"/>
  <c r="AA1011" i="2" s="1"/>
  <c r="AA1012" i="2" s="1"/>
  <c r="AA1013" i="2"/>
  <c r="AA1014" i="2"/>
  <c r="AA1015" i="2" s="1"/>
  <c r="AA1016" i="2"/>
  <c r="AA1017" i="2" s="1"/>
  <c r="AA1018" i="2"/>
  <c r="AA1019" i="2"/>
  <c r="AA1020" i="2"/>
  <c r="AA1021" i="2"/>
  <c r="AA1022" i="2"/>
  <c r="AA1023" i="2"/>
  <c r="AA1024" i="2" s="1"/>
  <c r="AA1025" i="2"/>
  <c r="AA1026" i="2" s="1"/>
  <c r="AA1027" i="2"/>
  <c r="AA1028" i="2" s="1"/>
  <c r="AA1029" i="2" s="1"/>
  <c r="AA1030" i="2"/>
  <c r="AA1031" i="2"/>
  <c r="AA1032" i="2"/>
  <c r="AA1033" i="2"/>
  <c r="AA1034" i="2"/>
  <c r="AA1035" i="2"/>
  <c r="AA1036" i="2"/>
  <c r="AA1037" i="2"/>
  <c r="AA1038" i="2" s="1"/>
  <c r="AA1039" i="2"/>
  <c r="AA1040" i="2"/>
  <c r="AA1041" i="2" s="1"/>
  <c r="AA1042" i="2"/>
  <c r="AA1043" i="2"/>
  <c r="AA1044" i="2" s="1"/>
  <c r="AA1045" i="2"/>
  <c r="AA1046" i="2"/>
  <c r="AA1047" i="2"/>
  <c r="AA1048" i="2"/>
  <c r="AA1049" i="2"/>
  <c r="AA1050" i="2"/>
  <c r="AA1051" i="2" s="1"/>
  <c r="AA1052" i="2"/>
  <c r="AA1053" i="2"/>
  <c r="AA1054" i="2"/>
  <c r="AA1055" i="2"/>
  <c r="AA1056" i="2" s="1"/>
  <c r="AA1057" i="2"/>
  <c r="AA1058" i="2"/>
  <c r="AA1059" i="2"/>
  <c r="AA1060" i="2" s="1"/>
  <c r="AA1061" i="2"/>
  <c r="AA1062" i="2"/>
  <c r="AA1063" i="2"/>
  <c r="AA1064" i="2"/>
  <c r="AA1065" i="2" s="1"/>
  <c r="AA1066" i="2" s="1"/>
  <c r="AA1067" i="2"/>
  <c r="AA1068" i="2" s="1"/>
  <c r="AA1069" i="2"/>
  <c r="AA1070" i="2" s="1"/>
  <c r="AA1071" i="2"/>
  <c r="AA1072" i="2"/>
  <c r="AA1073" i="2" s="1"/>
  <c r="AA1074" i="2"/>
  <c r="AA1075" i="2"/>
  <c r="AA1076" i="2" s="1"/>
  <c r="AA1077" i="2" s="1"/>
  <c r="AA1078" i="2" s="1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 s="1"/>
  <c r="AA1094" i="2"/>
  <c r="AA1095" i="2"/>
  <c r="AA1096" i="2" s="1"/>
  <c r="AA1097" i="2" s="1"/>
  <c r="AA1098" i="2" s="1"/>
  <c r="AA1099" i="2" s="1"/>
  <c r="AA1100" i="2"/>
  <c r="AA1101" i="2"/>
  <c r="AA1102" i="2" s="1"/>
  <c r="AA1103" i="2"/>
  <c r="AA1104" i="2" s="1"/>
  <c r="AA1105" i="2"/>
  <c r="AA1106" i="2"/>
  <c r="AA1107" i="2" s="1"/>
  <c r="AA1108" i="2"/>
  <c r="AA1109" i="2"/>
  <c r="AA1110" i="2"/>
  <c r="AA1111" i="2"/>
  <c r="AA1112" i="2"/>
  <c r="AA1113" i="2"/>
  <c r="AA1114" i="2"/>
  <c r="AA1115" i="2" s="1"/>
  <c r="AA1116" i="2"/>
  <c r="AA1117" i="2" s="1"/>
  <c r="AA1118" i="2"/>
  <c r="AA1119" i="2" s="1"/>
  <c r="AA1120" i="2"/>
  <c r="AA1121" i="2"/>
  <c r="AA1122" i="2"/>
  <c r="AA1123" i="2" s="1"/>
  <c r="AA1124" i="2" s="1"/>
  <c r="AA1125" i="2" s="1"/>
  <c r="AA1126" i="2"/>
  <c r="AA1127" i="2"/>
  <c r="AA1128" i="2"/>
  <c r="AA1129" i="2"/>
  <c r="AA1130" i="2"/>
  <c r="AA1131" i="2" s="1"/>
  <c r="AA1132" i="2"/>
  <c r="AA1133" i="2"/>
  <c r="AA1134" i="2"/>
  <c r="AA1135" i="2"/>
  <c r="AA1136" i="2"/>
  <c r="AA1137" i="2"/>
  <c r="AA1138" i="2"/>
  <c r="AA1139" i="2"/>
  <c r="AA1140" i="2"/>
  <c r="AA1141" i="2"/>
  <c r="AA1142" i="2" s="1"/>
  <c r="AA1143" i="2"/>
  <c r="AA1144" i="2"/>
  <c r="AA1145" i="2"/>
  <c r="AA1146" i="2" s="1"/>
  <c r="AA1147" i="2"/>
  <c r="AA1148" i="2" s="1"/>
  <c r="AA1149" i="2" s="1"/>
  <c r="AA1150" i="2"/>
  <c r="AA1151" i="2" s="1"/>
  <c r="AA1152" i="2"/>
  <c r="AA1153" i="2"/>
  <c r="AA1154" i="2" s="1"/>
  <c r="AA1155" i="2"/>
  <c r="AA1156" i="2" s="1"/>
  <c r="AA1157" i="2"/>
  <c r="AA1158" i="2"/>
  <c r="AA1159" i="2"/>
  <c r="AA1160" i="2"/>
  <c r="AA1161" i="2"/>
  <c r="AA1162" i="2" s="1"/>
  <c r="AA1163" i="2"/>
  <c r="AA1164" i="2"/>
  <c r="AA1165" i="2" s="1"/>
  <c r="AA1166" i="2"/>
  <c r="AA1167" i="2"/>
  <c r="AA1168" i="2"/>
  <c r="AA1169" i="2"/>
  <c r="AA1170" i="2"/>
  <c r="AA1171" i="2"/>
  <c r="AA1172" i="2"/>
  <c r="AA1173" i="2"/>
  <c r="AA1174" i="2"/>
  <c r="AA1175" i="2"/>
  <c r="AA1176" i="2" s="1"/>
  <c r="AA1177" i="2"/>
  <c r="AA1178" i="2" s="1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 s="1"/>
  <c r="AA1192" i="2"/>
  <c r="AA1193" i="2" s="1"/>
  <c r="AA1194" i="2" s="1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2" i="2"/>
  <c r="AG3" i="2"/>
  <c r="O3" i="16" s="1"/>
  <c r="AG4" i="2"/>
  <c r="O4" i="16" s="1"/>
  <c r="AG5" i="2"/>
  <c r="O5" i="16" s="1"/>
  <c r="AG6" i="2"/>
  <c r="O6" i="16" s="1"/>
  <c r="AG7" i="2"/>
  <c r="O7" i="16" s="1"/>
  <c r="AG8" i="2"/>
  <c r="O8" i="16" s="1"/>
  <c r="AG9" i="2"/>
  <c r="O9" i="16" s="1"/>
  <c r="AG10" i="2"/>
  <c r="O10" i="16" s="1"/>
  <c r="AG11" i="2"/>
  <c r="O11" i="16" s="1"/>
  <c r="AG12" i="2"/>
  <c r="O12" i="16" s="1"/>
  <c r="AG13" i="2"/>
  <c r="O13" i="16" s="1"/>
  <c r="AG14" i="2"/>
  <c r="O14" i="16" s="1"/>
  <c r="AG15" i="2"/>
  <c r="O15" i="16" s="1"/>
  <c r="AG16" i="2"/>
  <c r="O16" i="16" s="1"/>
  <c r="AG17" i="2"/>
  <c r="O17" i="16" s="1"/>
  <c r="AG18" i="2"/>
  <c r="O18" i="16" s="1"/>
  <c r="AG19" i="2"/>
  <c r="O19" i="16" s="1"/>
  <c r="AG20" i="2"/>
  <c r="O20" i="16" s="1"/>
  <c r="AG21" i="2"/>
  <c r="O21" i="16" s="1"/>
  <c r="AG24" i="2"/>
  <c r="O24" i="16" s="1"/>
  <c r="AG25" i="2"/>
  <c r="O25" i="16" s="1"/>
  <c r="AG26" i="2"/>
  <c r="O26" i="16" s="1"/>
  <c r="AG27" i="2"/>
  <c r="O27" i="16" s="1"/>
  <c r="AG28" i="2"/>
  <c r="O28" i="16" s="1"/>
  <c r="AG29" i="2"/>
  <c r="O29" i="16" s="1"/>
  <c r="AG30" i="2"/>
  <c r="O30" i="16" s="1"/>
  <c r="AG32" i="2"/>
  <c r="O32" i="16" s="1"/>
  <c r="AG33" i="2"/>
  <c r="O33" i="16" s="1"/>
  <c r="AG35" i="2"/>
  <c r="O35" i="16" s="1"/>
  <c r="AG36" i="2"/>
  <c r="O36" i="16" s="1"/>
  <c r="AG37" i="2"/>
  <c r="O37" i="16" s="1"/>
  <c r="AG38" i="2"/>
  <c r="O38" i="16" s="1"/>
  <c r="AG39" i="2"/>
  <c r="O39" i="16" s="1"/>
  <c r="AG40" i="2"/>
  <c r="O40" i="16" s="1"/>
  <c r="AG41" i="2"/>
  <c r="O41" i="16" s="1"/>
  <c r="AG42" i="2"/>
  <c r="O42" i="16" s="1"/>
  <c r="AG43" i="2"/>
  <c r="O43" i="16" s="1"/>
  <c r="AG44" i="2"/>
  <c r="O44" i="16" s="1"/>
  <c r="AG45" i="2"/>
  <c r="O45" i="16" s="1"/>
  <c r="AG46" i="2"/>
  <c r="O46" i="16" s="1"/>
  <c r="AG47" i="2"/>
  <c r="O47" i="16" s="1"/>
  <c r="AG49" i="2"/>
  <c r="O49" i="16" s="1"/>
  <c r="AG50" i="2"/>
  <c r="O50" i="16" s="1"/>
  <c r="AG51" i="2"/>
  <c r="O51" i="16" s="1"/>
  <c r="AG53" i="2"/>
  <c r="O53" i="16" s="1"/>
  <c r="AG54" i="2"/>
  <c r="O54" i="16" s="1"/>
  <c r="AG55" i="2"/>
  <c r="O55" i="16" s="1"/>
  <c r="AG56" i="2"/>
  <c r="O56" i="16" s="1"/>
  <c r="AG57" i="2"/>
  <c r="O57" i="16" s="1"/>
  <c r="AG58" i="2"/>
  <c r="O58" i="16" s="1"/>
  <c r="AG59" i="2"/>
  <c r="O59" i="16" s="1"/>
  <c r="AG60" i="2"/>
  <c r="O60" i="16" s="1"/>
  <c r="AG61" i="2"/>
  <c r="O61" i="16" s="1"/>
  <c r="AG62" i="2"/>
  <c r="O62" i="16" s="1"/>
  <c r="AG63" i="2"/>
  <c r="O63" i="16" s="1"/>
  <c r="AG65" i="2"/>
  <c r="O65" i="16" s="1"/>
  <c r="AG66" i="2"/>
  <c r="O66" i="16" s="1"/>
  <c r="AG67" i="2"/>
  <c r="O67" i="16" s="1"/>
  <c r="AG68" i="2"/>
  <c r="O68" i="16" s="1"/>
  <c r="AG69" i="2"/>
  <c r="O69" i="16" s="1"/>
  <c r="AG70" i="2"/>
  <c r="O70" i="16" s="1"/>
  <c r="AG71" i="2"/>
  <c r="O71" i="16" s="1"/>
  <c r="AG72" i="2"/>
  <c r="O72" i="16" s="1"/>
  <c r="AG73" i="2"/>
  <c r="O73" i="16" s="1"/>
  <c r="AG74" i="2"/>
  <c r="O74" i="16" s="1"/>
  <c r="AG75" i="2"/>
  <c r="O75" i="16" s="1"/>
  <c r="AG76" i="2"/>
  <c r="O76" i="16" s="1"/>
  <c r="AG77" i="2"/>
  <c r="O77" i="16" s="1"/>
  <c r="AG80" i="2"/>
  <c r="O80" i="16" s="1"/>
  <c r="AG82" i="2"/>
  <c r="O82" i="16" s="1"/>
  <c r="AG83" i="2"/>
  <c r="O83" i="16" s="1"/>
  <c r="AG84" i="2"/>
  <c r="O84" i="16" s="1"/>
  <c r="AG85" i="2"/>
  <c r="O85" i="16" s="1"/>
  <c r="AG87" i="2"/>
  <c r="O87" i="16" s="1"/>
  <c r="AG88" i="2"/>
  <c r="O88" i="16" s="1"/>
  <c r="AG89" i="2"/>
  <c r="O89" i="16" s="1"/>
  <c r="AG90" i="2"/>
  <c r="O90" i="16" s="1"/>
  <c r="AG91" i="2"/>
  <c r="O91" i="16" s="1"/>
  <c r="AG92" i="2"/>
  <c r="O92" i="16" s="1"/>
  <c r="AG93" i="2"/>
  <c r="O93" i="16" s="1"/>
  <c r="AG94" i="2"/>
  <c r="O94" i="16" s="1"/>
  <c r="AG95" i="2"/>
  <c r="O95" i="16" s="1"/>
  <c r="AG96" i="2"/>
  <c r="O96" i="16" s="1"/>
  <c r="AG97" i="2"/>
  <c r="O97" i="16" s="1"/>
  <c r="AG99" i="2"/>
  <c r="O99" i="16" s="1"/>
  <c r="AG100" i="2"/>
  <c r="O100" i="16" s="1"/>
  <c r="AG101" i="2"/>
  <c r="O101" i="16" s="1"/>
  <c r="AG102" i="2"/>
  <c r="O102" i="16" s="1"/>
  <c r="AG104" i="2"/>
  <c r="O104" i="16" s="1"/>
  <c r="AG105" i="2"/>
  <c r="O105" i="16" s="1"/>
  <c r="AG106" i="2"/>
  <c r="O106" i="16" s="1"/>
  <c r="AG107" i="2"/>
  <c r="O107" i="16" s="1"/>
  <c r="AG108" i="2"/>
  <c r="O108" i="16" s="1"/>
  <c r="AG109" i="2"/>
  <c r="O109" i="16" s="1"/>
  <c r="AG110" i="2"/>
  <c r="O110" i="16" s="1"/>
  <c r="AG112" i="2"/>
  <c r="O112" i="16" s="1"/>
  <c r="AG114" i="2"/>
  <c r="O114" i="16" s="1"/>
  <c r="AG116" i="2"/>
  <c r="O116" i="16" s="1"/>
  <c r="AG117" i="2"/>
  <c r="O117" i="16" s="1"/>
  <c r="AG118" i="2"/>
  <c r="O118" i="16" s="1"/>
  <c r="AG120" i="2"/>
  <c r="O120" i="16" s="1"/>
  <c r="AG124" i="2"/>
  <c r="O124" i="16" s="1"/>
  <c r="AG125" i="2"/>
  <c r="O125" i="16" s="1"/>
  <c r="AG127" i="2"/>
  <c r="O127" i="16" s="1"/>
  <c r="AG128" i="2"/>
  <c r="O128" i="16" s="1"/>
  <c r="AG129" i="2"/>
  <c r="O129" i="16" s="1"/>
  <c r="AG130" i="2"/>
  <c r="O130" i="16" s="1"/>
  <c r="AG135" i="2"/>
  <c r="O135" i="16" s="1"/>
  <c r="AG136" i="2"/>
  <c r="O136" i="16" s="1"/>
  <c r="AG141" i="2"/>
  <c r="O141" i="16" s="1"/>
  <c r="AG142" i="2"/>
  <c r="O142" i="16" s="1"/>
  <c r="AG144" i="2"/>
  <c r="O144" i="16" s="1"/>
  <c r="AG145" i="2"/>
  <c r="O145" i="16" s="1"/>
  <c r="AG147" i="2"/>
  <c r="O147" i="16" s="1"/>
  <c r="AG148" i="2"/>
  <c r="O148" i="16" s="1"/>
  <c r="AG149" i="2"/>
  <c r="O149" i="16" s="1"/>
  <c r="AG150" i="2"/>
  <c r="O150" i="16" s="1"/>
  <c r="AG151" i="2"/>
  <c r="O151" i="16" s="1"/>
  <c r="AG152" i="2"/>
  <c r="O152" i="16" s="1"/>
  <c r="AG153" i="2"/>
  <c r="O153" i="16" s="1"/>
  <c r="AG154" i="2"/>
  <c r="O154" i="16" s="1"/>
  <c r="AG156" i="2"/>
  <c r="O156" i="16" s="1"/>
  <c r="AG157" i="2"/>
  <c r="O157" i="16" s="1"/>
  <c r="AG158" i="2"/>
  <c r="O158" i="16" s="1"/>
  <c r="AG159" i="2"/>
  <c r="O159" i="16" s="1"/>
  <c r="AG160" i="2"/>
  <c r="O160" i="16" s="1"/>
  <c r="AG162" i="2"/>
  <c r="O162" i="16" s="1"/>
  <c r="AG164" i="2"/>
  <c r="O164" i="16" s="1"/>
  <c r="AG165" i="2"/>
  <c r="O165" i="16" s="1"/>
  <c r="AG166" i="2"/>
  <c r="O166" i="16" s="1"/>
  <c r="AG168" i="2"/>
  <c r="O168" i="16" s="1"/>
  <c r="AG169" i="2"/>
  <c r="O169" i="16" s="1"/>
  <c r="AG170" i="2"/>
  <c r="O170" i="16" s="1"/>
  <c r="AG171" i="2"/>
  <c r="O171" i="16" s="1"/>
  <c r="AG172" i="2"/>
  <c r="O172" i="16" s="1"/>
  <c r="AG173" i="2"/>
  <c r="O173" i="16" s="1"/>
  <c r="AG174" i="2"/>
  <c r="O174" i="16" s="1"/>
  <c r="AG175" i="2"/>
  <c r="O175" i="16" s="1"/>
  <c r="AG178" i="2"/>
  <c r="O178" i="16" s="1"/>
  <c r="AG179" i="2"/>
  <c r="O179" i="16" s="1"/>
  <c r="AG181" i="2"/>
  <c r="O181" i="16" s="1"/>
  <c r="AG182" i="2"/>
  <c r="O182" i="16" s="1"/>
  <c r="AG183" i="2"/>
  <c r="O183" i="16" s="1"/>
  <c r="AG184" i="2"/>
  <c r="O184" i="16" s="1"/>
  <c r="AG185" i="2"/>
  <c r="O185" i="16" s="1"/>
  <c r="AG186" i="2"/>
  <c r="O186" i="16" s="1"/>
  <c r="AG187" i="2"/>
  <c r="O187" i="16" s="1"/>
  <c r="AG188" i="2"/>
  <c r="O188" i="16" s="1"/>
  <c r="AG189" i="2"/>
  <c r="O189" i="16" s="1"/>
  <c r="AG190" i="2"/>
  <c r="O190" i="16" s="1"/>
  <c r="AG191" i="2"/>
  <c r="O191" i="16" s="1"/>
  <c r="AG192" i="2"/>
  <c r="O192" i="16" s="1"/>
  <c r="AG193" i="2"/>
  <c r="O193" i="16" s="1"/>
  <c r="AG194" i="2"/>
  <c r="O194" i="16" s="1"/>
  <c r="AG195" i="2"/>
  <c r="O195" i="16" s="1"/>
  <c r="AG196" i="2"/>
  <c r="O196" i="16" s="1"/>
  <c r="AG197" i="2"/>
  <c r="O197" i="16" s="1"/>
  <c r="AG198" i="2"/>
  <c r="O198" i="16" s="1"/>
  <c r="AG200" i="2"/>
  <c r="O200" i="16" s="1"/>
  <c r="AG201" i="2"/>
  <c r="O201" i="16" s="1"/>
  <c r="AG202" i="2"/>
  <c r="O202" i="16" s="1"/>
  <c r="AG204" i="2"/>
  <c r="O204" i="16" s="1"/>
  <c r="AG205" i="2"/>
  <c r="O205" i="16" s="1"/>
  <c r="AG206" i="2"/>
  <c r="O206" i="16" s="1"/>
  <c r="AG207" i="2"/>
  <c r="O207" i="16" s="1"/>
  <c r="AG208" i="2"/>
  <c r="O208" i="16" s="1"/>
  <c r="AG210" i="2"/>
  <c r="O210" i="16" s="1"/>
  <c r="AG212" i="2"/>
  <c r="O212" i="16" s="1"/>
  <c r="AG213" i="2"/>
  <c r="O213" i="16" s="1"/>
  <c r="AG214" i="2"/>
  <c r="O214" i="16" s="1"/>
  <c r="AG215" i="2"/>
  <c r="O215" i="16" s="1"/>
  <c r="AG216" i="2"/>
  <c r="O216" i="16" s="1"/>
  <c r="AG218" i="2"/>
  <c r="O218" i="16" s="1"/>
  <c r="AG220" i="2"/>
  <c r="O220" i="16" s="1"/>
  <c r="AG221" i="2"/>
  <c r="O221" i="16" s="1"/>
  <c r="AG225" i="2"/>
  <c r="O225" i="16" s="1"/>
  <c r="AG226" i="2"/>
  <c r="O226" i="16" s="1"/>
  <c r="AG227" i="2"/>
  <c r="O227" i="16" s="1"/>
  <c r="AG228" i="2"/>
  <c r="O228" i="16" s="1"/>
  <c r="AG229" i="2"/>
  <c r="O229" i="16" s="1"/>
  <c r="AG231" i="2"/>
  <c r="O231" i="16" s="1"/>
  <c r="AG232" i="2"/>
  <c r="O232" i="16" s="1"/>
  <c r="AG234" i="2"/>
  <c r="O234" i="16" s="1"/>
  <c r="AG235" i="2"/>
  <c r="O235" i="16" s="1"/>
  <c r="AG236" i="2"/>
  <c r="O236" i="16" s="1"/>
  <c r="AG238" i="2"/>
  <c r="O238" i="16" s="1"/>
  <c r="AG239" i="2"/>
  <c r="O239" i="16" s="1"/>
  <c r="AG240" i="2"/>
  <c r="O240" i="16" s="1"/>
  <c r="AG241" i="2"/>
  <c r="O241" i="16" s="1"/>
  <c r="AG242" i="2"/>
  <c r="O242" i="16" s="1"/>
  <c r="AG243" i="2"/>
  <c r="O243" i="16" s="1"/>
  <c r="AG245" i="2"/>
  <c r="O245" i="16" s="1"/>
  <c r="AG246" i="2"/>
  <c r="O246" i="16" s="1"/>
  <c r="AG247" i="2"/>
  <c r="O247" i="16" s="1"/>
  <c r="AG249" i="2"/>
  <c r="O249" i="16" s="1"/>
  <c r="AG250" i="2"/>
  <c r="O250" i="16" s="1"/>
  <c r="AG251" i="2"/>
  <c r="O251" i="16" s="1"/>
  <c r="AG252" i="2"/>
  <c r="O252" i="16" s="1"/>
  <c r="AG253" i="2"/>
  <c r="O253" i="16" s="1"/>
  <c r="AG257" i="2"/>
  <c r="O257" i="16" s="1"/>
  <c r="AG259" i="2"/>
  <c r="O259" i="16" s="1"/>
  <c r="AG260" i="2"/>
  <c r="O260" i="16" s="1"/>
  <c r="AG261" i="2"/>
  <c r="O261" i="16" s="1"/>
  <c r="AG262" i="2"/>
  <c r="O262" i="16" s="1"/>
  <c r="AG264" i="2"/>
  <c r="O264" i="16" s="1"/>
  <c r="AG265" i="2"/>
  <c r="O265" i="16" s="1"/>
  <c r="AG266" i="2"/>
  <c r="O266" i="16" s="1"/>
  <c r="AG269" i="2"/>
  <c r="O269" i="16" s="1"/>
  <c r="AG270" i="2"/>
  <c r="O270" i="16" s="1"/>
  <c r="AG272" i="2"/>
  <c r="O272" i="16" s="1"/>
  <c r="AG274" i="2"/>
  <c r="O274" i="16" s="1"/>
  <c r="AG275" i="2"/>
  <c r="O275" i="16" s="1"/>
  <c r="AG276" i="2"/>
  <c r="O276" i="16" s="1"/>
  <c r="AG278" i="2"/>
  <c r="O278" i="16" s="1"/>
  <c r="AG279" i="2"/>
  <c r="O279" i="16" s="1"/>
  <c r="AG280" i="2"/>
  <c r="O280" i="16" s="1"/>
  <c r="AG282" i="2"/>
  <c r="O282" i="16" s="1"/>
  <c r="AG283" i="2"/>
  <c r="O283" i="16" s="1"/>
  <c r="AG286" i="2"/>
  <c r="O286" i="16" s="1"/>
  <c r="AG287" i="2"/>
  <c r="O287" i="16" s="1"/>
  <c r="AG288" i="2"/>
  <c r="O288" i="16" s="1"/>
  <c r="AG289" i="2"/>
  <c r="O289" i="16" s="1"/>
  <c r="AG290" i="2"/>
  <c r="O290" i="16" s="1"/>
  <c r="AG291" i="2"/>
  <c r="O291" i="16" s="1"/>
  <c r="AG292" i="2"/>
  <c r="O292" i="16" s="1"/>
  <c r="AG293" i="2"/>
  <c r="O293" i="16" s="1"/>
  <c r="AG294" i="2"/>
  <c r="O294" i="16" s="1"/>
  <c r="AG296" i="2"/>
  <c r="O296" i="16" s="1"/>
  <c r="AG297" i="2"/>
  <c r="O297" i="16" s="1"/>
  <c r="AG298" i="2"/>
  <c r="O298" i="16" s="1"/>
  <c r="AG299" i="2"/>
  <c r="O299" i="16" s="1"/>
  <c r="AG300" i="2"/>
  <c r="O300" i="16" s="1"/>
  <c r="AG303" i="2"/>
  <c r="O303" i="16" s="1"/>
  <c r="AG304" i="2"/>
  <c r="O304" i="16" s="1"/>
  <c r="AG305" i="2"/>
  <c r="O305" i="16" s="1"/>
  <c r="AG306" i="2"/>
  <c r="O306" i="16" s="1"/>
  <c r="AG307" i="2"/>
  <c r="O307" i="16" s="1"/>
  <c r="AG308" i="2"/>
  <c r="O308" i="16" s="1"/>
  <c r="AG309" i="2"/>
  <c r="O309" i="16" s="1"/>
  <c r="AG310" i="2"/>
  <c r="O310" i="16" s="1"/>
  <c r="AG311" i="2"/>
  <c r="O311" i="16" s="1"/>
  <c r="AG312" i="2"/>
  <c r="O312" i="16" s="1"/>
  <c r="AG315" i="2"/>
  <c r="O315" i="16" s="1"/>
  <c r="AG316" i="2"/>
  <c r="O316" i="16" s="1"/>
  <c r="AG318" i="2"/>
  <c r="O318" i="16" s="1"/>
  <c r="AG319" i="2"/>
  <c r="O319" i="16" s="1"/>
  <c r="AG321" i="2"/>
  <c r="O321" i="16" s="1"/>
  <c r="AG324" i="2"/>
  <c r="O324" i="16" s="1"/>
  <c r="AG325" i="2"/>
  <c r="O325" i="16" s="1"/>
  <c r="AG328" i="2"/>
  <c r="O328" i="16" s="1"/>
  <c r="AG329" i="2"/>
  <c r="O329" i="16" s="1"/>
  <c r="AG333" i="2"/>
  <c r="O333" i="16" s="1"/>
  <c r="AG334" i="2"/>
  <c r="O334" i="16" s="1"/>
  <c r="AG335" i="2"/>
  <c r="O335" i="16" s="1"/>
  <c r="AG336" i="2"/>
  <c r="O336" i="16" s="1"/>
  <c r="AG337" i="2"/>
  <c r="O337" i="16" s="1"/>
  <c r="AG339" i="2"/>
  <c r="O339" i="16" s="1"/>
  <c r="AG340" i="2"/>
  <c r="O340" i="16" s="1"/>
  <c r="AG343" i="2"/>
  <c r="O343" i="16" s="1"/>
  <c r="AG344" i="2"/>
  <c r="O344" i="16" s="1"/>
  <c r="AG345" i="2"/>
  <c r="O345" i="16" s="1"/>
  <c r="AG346" i="2"/>
  <c r="O346" i="16" s="1"/>
  <c r="AG347" i="2"/>
  <c r="O347" i="16" s="1"/>
  <c r="AG348" i="2"/>
  <c r="O348" i="16" s="1"/>
  <c r="AG349" i="2"/>
  <c r="O349" i="16" s="1"/>
  <c r="AG351" i="2"/>
  <c r="O351" i="16" s="1"/>
  <c r="AG352" i="2"/>
  <c r="O352" i="16" s="1"/>
  <c r="AG354" i="2"/>
  <c r="O354" i="16" s="1"/>
  <c r="AG355" i="2"/>
  <c r="O355" i="16" s="1"/>
  <c r="AG357" i="2"/>
  <c r="O357" i="16" s="1"/>
  <c r="AG359" i="2"/>
  <c r="O359" i="16" s="1"/>
  <c r="AG360" i="2"/>
  <c r="O360" i="16" s="1"/>
  <c r="AG361" i="2"/>
  <c r="O361" i="16" s="1"/>
  <c r="AG362" i="2"/>
  <c r="O362" i="16" s="1"/>
  <c r="AG363" i="2"/>
  <c r="O363" i="16" s="1"/>
  <c r="AG364" i="2"/>
  <c r="O364" i="16" s="1"/>
  <c r="AG366" i="2"/>
  <c r="O366" i="16" s="1"/>
  <c r="AG367" i="2"/>
  <c r="O367" i="16" s="1"/>
  <c r="AG370" i="2"/>
  <c r="O370" i="16" s="1"/>
  <c r="AG371" i="2"/>
  <c r="O371" i="16" s="1"/>
  <c r="AG372" i="2"/>
  <c r="O372" i="16" s="1"/>
  <c r="AG373" i="2"/>
  <c r="O373" i="16" s="1"/>
  <c r="AG374" i="2"/>
  <c r="O374" i="16" s="1"/>
  <c r="AG375" i="2"/>
  <c r="O375" i="16" s="1"/>
  <c r="AG376" i="2"/>
  <c r="O376" i="16" s="1"/>
  <c r="AG377" i="2"/>
  <c r="O377" i="16" s="1"/>
  <c r="AG378" i="2"/>
  <c r="O378" i="16" s="1"/>
  <c r="AG379" i="2"/>
  <c r="O379" i="16" s="1"/>
  <c r="AG381" i="2"/>
  <c r="O381" i="16" s="1"/>
  <c r="AG382" i="2"/>
  <c r="O382" i="16" s="1"/>
  <c r="AG383" i="2"/>
  <c r="O383" i="16" s="1"/>
  <c r="AG384" i="2"/>
  <c r="O384" i="16" s="1"/>
  <c r="AG386" i="2"/>
  <c r="O386" i="16" s="1"/>
  <c r="AG387" i="2"/>
  <c r="O387" i="16" s="1"/>
  <c r="AG388" i="2"/>
  <c r="O388" i="16" s="1"/>
  <c r="AG389" i="2"/>
  <c r="O389" i="16" s="1"/>
  <c r="AG391" i="2"/>
  <c r="O391" i="16" s="1"/>
  <c r="AG392" i="2"/>
  <c r="O392" i="16" s="1"/>
  <c r="AG395" i="2"/>
  <c r="O395" i="16" s="1"/>
  <c r="AG396" i="2"/>
  <c r="O396" i="16" s="1"/>
  <c r="AG397" i="2"/>
  <c r="O397" i="16" s="1"/>
  <c r="AG399" i="2"/>
  <c r="O399" i="16" s="1"/>
  <c r="AG403" i="2"/>
  <c r="O403" i="16" s="1"/>
  <c r="AG404" i="2"/>
  <c r="O404" i="16" s="1"/>
  <c r="AG405" i="2"/>
  <c r="O405" i="16" s="1"/>
  <c r="AG408" i="2"/>
  <c r="O408" i="16" s="1"/>
  <c r="AG409" i="2"/>
  <c r="O409" i="16" s="1"/>
  <c r="AG410" i="2"/>
  <c r="O410" i="16" s="1"/>
  <c r="AG411" i="2"/>
  <c r="O411" i="16" s="1"/>
  <c r="AG412" i="2"/>
  <c r="O412" i="16" s="1"/>
  <c r="AG415" i="2"/>
  <c r="O415" i="16" s="1"/>
  <c r="AG416" i="2"/>
  <c r="O416" i="16" s="1"/>
  <c r="AG417" i="2"/>
  <c r="O417" i="16" s="1"/>
  <c r="AG418" i="2"/>
  <c r="O418" i="16" s="1"/>
  <c r="AG419" i="2"/>
  <c r="O419" i="16" s="1"/>
  <c r="AG420" i="2"/>
  <c r="O420" i="16" s="1"/>
  <c r="AG421" i="2"/>
  <c r="O421" i="16" s="1"/>
  <c r="AG422" i="2"/>
  <c r="O422" i="16" s="1"/>
  <c r="AG423" i="2"/>
  <c r="O423" i="16" s="1"/>
  <c r="AG424" i="2"/>
  <c r="O424" i="16" s="1"/>
  <c r="AG425" i="2"/>
  <c r="O425" i="16" s="1"/>
  <c r="AG426" i="2"/>
  <c r="O426" i="16" s="1"/>
  <c r="AG428" i="2"/>
  <c r="O428" i="16" s="1"/>
  <c r="AG429" i="2"/>
  <c r="O429" i="16" s="1"/>
  <c r="AG430" i="2"/>
  <c r="O430" i="16" s="1"/>
  <c r="AG431" i="2"/>
  <c r="O431" i="16" s="1"/>
  <c r="AG432" i="2"/>
  <c r="O432" i="16" s="1"/>
  <c r="AG434" i="2"/>
  <c r="O434" i="16" s="1"/>
  <c r="AG435" i="2"/>
  <c r="O435" i="16" s="1"/>
  <c r="AG436" i="2"/>
  <c r="O436" i="16" s="1"/>
  <c r="AG438" i="2"/>
  <c r="O438" i="16" s="1"/>
  <c r="AG439" i="2"/>
  <c r="O439" i="16" s="1"/>
  <c r="AG440" i="2"/>
  <c r="O440" i="16" s="1"/>
  <c r="AG441" i="2"/>
  <c r="O441" i="16" s="1"/>
  <c r="AG442" i="2"/>
  <c r="O442" i="16" s="1"/>
  <c r="AG443" i="2"/>
  <c r="O443" i="16" s="1"/>
  <c r="AG444" i="2"/>
  <c r="O444" i="16" s="1"/>
  <c r="AG445" i="2"/>
  <c r="O445" i="16" s="1"/>
  <c r="AG447" i="2"/>
  <c r="O447" i="16" s="1"/>
  <c r="AG448" i="2"/>
  <c r="O448" i="16" s="1"/>
  <c r="AG449" i="2"/>
  <c r="O449" i="16" s="1"/>
  <c r="AG451" i="2"/>
  <c r="O451" i="16" s="1"/>
  <c r="AG452" i="2"/>
  <c r="O452" i="16" s="1"/>
  <c r="AG453" i="2"/>
  <c r="O453" i="16" s="1"/>
  <c r="AG455" i="2"/>
  <c r="O455" i="16" s="1"/>
  <c r="AG456" i="2"/>
  <c r="O456" i="16" s="1"/>
  <c r="AG457" i="2"/>
  <c r="O457" i="16" s="1"/>
  <c r="AG458" i="2"/>
  <c r="O458" i="16" s="1"/>
  <c r="AG460" i="2"/>
  <c r="O460" i="16" s="1"/>
  <c r="AG461" i="2"/>
  <c r="O461" i="16" s="1"/>
  <c r="AG462" i="2"/>
  <c r="O462" i="16" s="1"/>
  <c r="AG463" i="2"/>
  <c r="O463" i="16" s="1"/>
  <c r="AG464" i="2"/>
  <c r="O464" i="16" s="1"/>
  <c r="AG465" i="2"/>
  <c r="O465" i="16" s="1"/>
  <c r="AG466" i="2"/>
  <c r="O466" i="16" s="1"/>
  <c r="AG467" i="2"/>
  <c r="O467" i="16" s="1"/>
  <c r="AG468" i="2"/>
  <c r="O468" i="16" s="1"/>
  <c r="AG470" i="2"/>
  <c r="O470" i="16" s="1"/>
  <c r="AG472" i="2"/>
  <c r="O472" i="16" s="1"/>
  <c r="AG473" i="2"/>
  <c r="O473" i="16" s="1"/>
  <c r="AG475" i="2"/>
  <c r="O475" i="16" s="1"/>
  <c r="AG476" i="2"/>
  <c r="O476" i="16" s="1"/>
  <c r="AG478" i="2"/>
  <c r="O478" i="16" s="1"/>
  <c r="AG481" i="2"/>
  <c r="O481" i="16" s="1"/>
  <c r="AG483" i="2"/>
  <c r="O483" i="16" s="1"/>
  <c r="AG485" i="2"/>
  <c r="O485" i="16" s="1"/>
  <c r="AG487" i="2"/>
  <c r="O487" i="16" s="1"/>
  <c r="AG488" i="2"/>
  <c r="O488" i="16" s="1"/>
  <c r="AG489" i="2"/>
  <c r="O489" i="16" s="1"/>
  <c r="AG490" i="2"/>
  <c r="O490" i="16" s="1"/>
  <c r="AG491" i="2"/>
  <c r="O491" i="16" s="1"/>
  <c r="AG492" i="2"/>
  <c r="O492" i="16" s="1"/>
  <c r="AG493" i="2"/>
  <c r="O493" i="16" s="1"/>
  <c r="AG494" i="2"/>
  <c r="O494" i="16" s="1"/>
  <c r="AG495" i="2"/>
  <c r="O495" i="16" s="1"/>
  <c r="AG496" i="2"/>
  <c r="O496" i="16" s="1"/>
  <c r="AG497" i="2"/>
  <c r="O497" i="16" s="1"/>
  <c r="AG501" i="2"/>
  <c r="O501" i="16" s="1"/>
  <c r="AG502" i="2"/>
  <c r="O502" i="16" s="1"/>
  <c r="AG503" i="2"/>
  <c r="O503" i="16" s="1"/>
  <c r="AG504" i="2"/>
  <c r="O504" i="16" s="1"/>
  <c r="AG505" i="2"/>
  <c r="O505" i="16" s="1"/>
  <c r="AG506" i="2"/>
  <c r="O506" i="16" s="1"/>
  <c r="AG508" i="2"/>
  <c r="O508" i="16" s="1"/>
  <c r="AG509" i="2"/>
  <c r="O509" i="16" s="1"/>
  <c r="AG511" i="2"/>
  <c r="O511" i="16" s="1"/>
  <c r="AG512" i="2"/>
  <c r="O512" i="16" s="1"/>
  <c r="AG514" i="2"/>
  <c r="O514" i="16" s="1"/>
  <c r="AG515" i="2"/>
  <c r="O515" i="16" s="1"/>
  <c r="AG516" i="2"/>
  <c r="O516" i="16" s="1"/>
  <c r="AG519" i="2"/>
  <c r="O519" i="16" s="1"/>
  <c r="AG520" i="2"/>
  <c r="O520" i="16" s="1"/>
  <c r="AG522" i="2"/>
  <c r="O522" i="16" s="1"/>
  <c r="AG524" i="2"/>
  <c r="O524" i="16" s="1"/>
  <c r="AG525" i="2"/>
  <c r="O525" i="16" s="1"/>
  <c r="AG527" i="2"/>
  <c r="O527" i="16" s="1"/>
  <c r="AG528" i="2"/>
  <c r="O528" i="16" s="1"/>
  <c r="AG529" i="2"/>
  <c r="O529" i="16" s="1"/>
  <c r="AG531" i="2"/>
  <c r="O531" i="16" s="1"/>
  <c r="AG532" i="2"/>
  <c r="AG536" i="2"/>
  <c r="O536" i="16" s="1"/>
  <c r="AG537" i="2"/>
  <c r="O537" i="16" s="1"/>
  <c r="AG538" i="2"/>
  <c r="O538" i="16" s="1"/>
  <c r="AG539" i="2"/>
  <c r="O539" i="16" s="1"/>
  <c r="AG540" i="2"/>
  <c r="O540" i="16" s="1"/>
  <c r="AG546" i="2"/>
  <c r="O546" i="16" s="1"/>
  <c r="AG547" i="2"/>
  <c r="O547" i="16" s="1"/>
  <c r="AG548" i="2"/>
  <c r="O548" i="16" s="1"/>
  <c r="AG550" i="2"/>
  <c r="O550" i="16" s="1"/>
  <c r="AG551" i="2"/>
  <c r="O551" i="16" s="1"/>
  <c r="AG552" i="2"/>
  <c r="O552" i="16" s="1"/>
  <c r="AG554" i="2"/>
  <c r="O554" i="16" s="1"/>
  <c r="AG556" i="2"/>
  <c r="O556" i="16" s="1"/>
  <c r="AG557" i="2"/>
  <c r="O557" i="16" s="1"/>
  <c r="AG559" i="2"/>
  <c r="O559" i="16" s="1"/>
  <c r="AG560" i="2"/>
  <c r="O560" i="16" s="1"/>
  <c r="AG561" i="2"/>
  <c r="O561" i="16" s="1"/>
  <c r="AG562" i="2"/>
  <c r="O562" i="16" s="1"/>
  <c r="AG563" i="2"/>
  <c r="O563" i="16" s="1"/>
  <c r="AG566" i="2"/>
  <c r="AG568" i="2"/>
  <c r="AG571" i="2"/>
  <c r="O571" i="16" s="1"/>
  <c r="AG574" i="2"/>
  <c r="O574" i="16" s="1"/>
  <c r="AG575" i="2"/>
  <c r="O575" i="16" s="1"/>
  <c r="AG576" i="2"/>
  <c r="O576" i="16" s="1"/>
  <c r="AG577" i="2"/>
  <c r="O577" i="16" s="1"/>
  <c r="AG578" i="2"/>
  <c r="O578" i="16" s="1"/>
  <c r="AG584" i="2"/>
  <c r="O584" i="16" s="1"/>
  <c r="AG585" i="2"/>
  <c r="O585" i="16" s="1"/>
  <c r="AG586" i="2"/>
  <c r="O586" i="16" s="1"/>
  <c r="AG587" i="2"/>
  <c r="O587" i="16" s="1"/>
  <c r="AG588" i="2"/>
  <c r="O588" i="16" s="1"/>
  <c r="AG589" i="2"/>
  <c r="O589" i="16" s="1"/>
  <c r="AG590" i="2"/>
  <c r="O590" i="16" s="1"/>
  <c r="AG592" i="2"/>
  <c r="O592" i="16" s="1"/>
  <c r="AG593" i="2"/>
  <c r="O593" i="16" s="1"/>
  <c r="AG595" i="2"/>
  <c r="O595" i="16" s="1"/>
  <c r="AG596" i="2"/>
  <c r="O596" i="16" s="1"/>
  <c r="AG598" i="2"/>
  <c r="O598" i="16" s="1"/>
  <c r="AG600" i="2"/>
  <c r="O600" i="16" s="1"/>
  <c r="AG604" i="2"/>
  <c r="O604" i="16" s="1"/>
  <c r="AG605" i="2"/>
  <c r="O605" i="16" s="1"/>
  <c r="AG606" i="2"/>
  <c r="O606" i="16" s="1"/>
  <c r="AG608" i="2"/>
  <c r="O608" i="16" s="1"/>
  <c r="AG609" i="2"/>
  <c r="O609" i="16" s="1"/>
  <c r="AG610" i="2"/>
  <c r="O610" i="16" s="1"/>
  <c r="AG611" i="2"/>
  <c r="O611" i="16" s="1"/>
  <c r="AG614" i="2"/>
  <c r="O614" i="16" s="1"/>
  <c r="AG617" i="2"/>
  <c r="O617" i="16" s="1"/>
  <c r="AG622" i="2"/>
  <c r="O622" i="16" s="1"/>
  <c r="AG623" i="2"/>
  <c r="O623" i="16" s="1"/>
  <c r="AG627" i="2"/>
  <c r="O627" i="16" s="1"/>
  <c r="AG628" i="2"/>
  <c r="O628" i="16" s="1"/>
  <c r="AG629" i="2"/>
  <c r="O629" i="16" s="1"/>
  <c r="AG630" i="2"/>
  <c r="O630" i="16" s="1"/>
  <c r="AG632" i="2"/>
  <c r="O632" i="16" s="1"/>
  <c r="AG633" i="2"/>
  <c r="O633" i="16" s="1"/>
  <c r="AG634" i="2"/>
  <c r="O634" i="16" s="1"/>
  <c r="AG635" i="2"/>
  <c r="O635" i="16" s="1"/>
  <c r="AG638" i="2"/>
  <c r="O638" i="16" s="1"/>
  <c r="AG642" i="2"/>
  <c r="O642" i="16" s="1"/>
  <c r="AG644" i="2"/>
  <c r="O644" i="16" s="1"/>
  <c r="AG646" i="2"/>
  <c r="O646" i="16" s="1"/>
  <c r="AG647" i="2"/>
  <c r="O647" i="16" s="1"/>
  <c r="AG648" i="2"/>
  <c r="O648" i="16" s="1"/>
  <c r="AG649" i="2"/>
  <c r="O649" i="16" s="1"/>
  <c r="AG654" i="2"/>
  <c r="O654" i="16" s="1"/>
  <c r="AG656" i="2"/>
  <c r="O656" i="16" s="1"/>
  <c r="AG657" i="2"/>
  <c r="O657" i="16" s="1"/>
  <c r="AG658" i="2"/>
  <c r="O658" i="16" s="1"/>
  <c r="AG659" i="2"/>
  <c r="O659" i="16" s="1"/>
  <c r="AG661" i="2"/>
  <c r="O661" i="16" s="1"/>
  <c r="AG663" i="2"/>
  <c r="O663" i="16" s="1"/>
  <c r="AG668" i="2"/>
  <c r="O668" i="16" s="1"/>
  <c r="AG669" i="2"/>
  <c r="O669" i="16" s="1"/>
  <c r="AG670" i="2"/>
  <c r="O670" i="16" s="1"/>
  <c r="AG671" i="2"/>
  <c r="O671" i="16" s="1"/>
  <c r="AG677" i="2"/>
  <c r="AG679" i="2"/>
  <c r="O679" i="16" s="1"/>
  <c r="AG681" i="2"/>
  <c r="O681" i="16" s="1"/>
  <c r="AG683" i="2"/>
  <c r="AG685" i="2"/>
  <c r="O685" i="16" s="1"/>
  <c r="AG686" i="2"/>
  <c r="O686" i="16" s="1"/>
  <c r="AG687" i="2"/>
  <c r="O687" i="16" s="1"/>
  <c r="AG688" i="2"/>
  <c r="O688" i="16" s="1"/>
  <c r="AG690" i="2"/>
  <c r="O690" i="16" s="1"/>
  <c r="AG691" i="2"/>
  <c r="O691" i="16" s="1"/>
  <c r="AG692" i="2"/>
  <c r="O692" i="16" s="1"/>
  <c r="AG693" i="2"/>
  <c r="O693" i="16" s="1"/>
  <c r="AG694" i="2"/>
  <c r="O694" i="16" s="1"/>
  <c r="AG695" i="2"/>
  <c r="O695" i="16" s="1"/>
  <c r="AG696" i="2"/>
  <c r="O696" i="16" s="1"/>
  <c r="AG697" i="2"/>
  <c r="O697" i="16" s="1"/>
  <c r="AG698" i="2"/>
  <c r="O698" i="16" s="1"/>
  <c r="AG704" i="2"/>
  <c r="O704" i="16" s="1"/>
  <c r="AG705" i="2"/>
  <c r="O705" i="16" s="1"/>
  <c r="AG706" i="2"/>
  <c r="O706" i="16" s="1"/>
  <c r="AG708" i="2"/>
  <c r="O708" i="16" s="1"/>
  <c r="AG711" i="2"/>
  <c r="O711" i="16" s="1"/>
  <c r="AG713" i="2"/>
  <c r="O713" i="16" s="1"/>
  <c r="AG714" i="2"/>
  <c r="O714" i="16" s="1"/>
  <c r="AG715" i="2"/>
  <c r="O715" i="16" s="1"/>
  <c r="AG716" i="2"/>
  <c r="O716" i="16" s="1"/>
  <c r="AG717" i="2"/>
  <c r="O717" i="16" s="1"/>
  <c r="AG719" i="2"/>
  <c r="AG721" i="2"/>
  <c r="O721" i="16" s="1"/>
  <c r="AG722" i="2"/>
  <c r="O722" i="16" s="1"/>
  <c r="AG726" i="2"/>
  <c r="O726" i="16" s="1"/>
  <c r="AG728" i="2"/>
  <c r="O728" i="16" s="1"/>
  <c r="AG730" i="2"/>
  <c r="O730" i="16" s="1"/>
  <c r="AG732" i="2"/>
  <c r="O732" i="16" s="1"/>
  <c r="AG734" i="2"/>
  <c r="AG736" i="2"/>
  <c r="AG745" i="2"/>
  <c r="O745" i="16" s="1"/>
  <c r="AG746" i="2"/>
  <c r="O746" i="16" s="1"/>
  <c r="AG747" i="2"/>
  <c r="O747" i="16" s="1"/>
  <c r="AG748" i="2"/>
  <c r="O748" i="16" s="1"/>
  <c r="AG749" i="2"/>
  <c r="O749" i="16" s="1"/>
  <c r="AG751" i="2"/>
  <c r="O751" i="16" s="1"/>
  <c r="AG752" i="2"/>
  <c r="O752" i="16" s="1"/>
  <c r="AG753" i="2"/>
  <c r="O753" i="16" s="1"/>
  <c r="AG754" i="2"/>
  <c r="O754" i="16" s="1"/>
  <c r="AG755" i="2"/>
  <c r="O755" i="16" s="1"/>
  <c r="AG757" i="2"/>
  <c r="AG760" i="2"/>
  <c r="AG762" i="2"/>
  <c r="AG764" i="2"/>
  <c r="O764" i="16" s="1"/>
  <c r="AG768" i="2"/>
  <c r="O768" i="16" s="1"/>
  <c r="AG770" i="2"/>
  <c r="O770" i="16" s="1"/>
  <c r="AG771" i="2"/>
  <c r="O771" i="16" s="1"/>
  <c r="AG772" i="2"/>
  <c r="O772" i="16" s="1"/>
  <c r="AG773" i="2"/>
  <c r="O773" i="16" s="1"/>
  <c r="AG774" i="2"/>
  <c r="O774" i="16" s="1"/>
  <c r="AG775" i="2"/>
  <c r="O775" i="16" s="1"/>
  <c r="AG776" i="2"/>
  <c r="O776" i="16" s="1"/>
  <c r="AG778" i="2"/>
  <c r="O778" i="16" s="1"/>
  <c r="AG779" i="2"/>
  <c r="O779" i="16" s="1"/>
  <c r="AG780" i="2"/>
  <c r="O780" i="16" s="1"/>
  <c r="AG781" i="2"/>
  <c r="O781" i="16" s="1"/>
  <c r="AG782" i="2"/>
  <c r="O782" i="16" s="1"/>
  <c r="AG784" i="2"/>
  <c r="O784" i="16" s="1"/>
  <c r="AG786" i="2"/>
  <c r="O786" i="16" s="1"/>
  <c r="AG787" i="2"/>
  <c r="O787" i="16" s="1"/>
  <c r="AG788" i="2"/>
  <c r="O788" i="16" s="1"/>
  <c r="AG789" i="2"/>
  <c r="O789" i="16" s="1"/>
  <c r="AG793" i="2"/>
  <c r="O793" i="16" s="1"/>
  <c r="AG794" i="2"/>
  <c r="O794" i="16" s="1"/>
  <c r="AG795" i="2"/>
  <c r="O795" i="16" s="1"/>
  <c r="AG797" i="2"/>
  <c r="O797" i="16" s="1"/>
  <c r="AG800" i="2"/>
  <c r="O800" i="16" s="1"/>
  <c r="AG801" i="2"/>
  <c r="O801" i="16" s="1"/>
  <c r="AG802" i="2"/>
  <c r="O802" i="16" s="1"/>
  <c r="AG803" i="2"/>
  <c r="O803" i="16" s="1"/>
  <c r="AG805" i="2"/>
  <c r="O805" i="16" s="1"/>
  <c r="AG806" i="2"/>
  <c r="AG808" i="2"/>
  <c r="O808" i="16" s="1"/>
  <c r="AG809" i="2"/>
  <c r="O809" i="16" s="1"/>
  <c r="AG811" i="2"/>
  <c r="O811" i="16" s="1"/>
  <c r="AG812" i="2"/>
  <c r="O812" i="16" s="1"/>
  <c r="AG813" i="2"/>
  <c r="O813" i="16" s="1"/>
  <c r="AG816" i="2"/>
  <c r="AG823" i="2"/>
  <c r="O823" i="16" s="1"/>
  <c r="AG824" i="2"/>
  <c r="O824" i="16" s="1"/>
  <c r="AG825" i="2"/>
  <c r="O825" i="16" s="1"/>
  <c r="AG826" i="2"/>
  <c r="O826" i="16" s="1"/>
  <c r="AG827" i="2"/>
  <c r="AG829" i="2"/>
  <c r="O829" i="16" s="1"/>
  <c r="AG830" i="2"/>
  <c r="O830" i="16" s="1"/>
  <c r="AG831" i="2"/>
  <c r="O831" i="16" s="1"/>
  <c r="AG832" i="2"/>
  <c r="O832" i="16" s="1"/>
  <c r="AG833" i="2"/>
  <c r="O833" i="16" s="1"/>
  <c r="AG834" i="2"/>
  <c r="O834" i="16" s="1"/>
  <c r="AG835" i="2"/>
  <c r="O835" i="16" s="1"/>
  <c r="AG836" i="2"/>
  <c r="O836" i="16" s="1"/>
  <c r="AG837" i="2"/>
  <c r="O837" i="16" s="1"/>
  <c r="AG838" i="2"/>
  <c r="O838" i="16" s="1"/>
  <c r="AG840" i="2"/>
  <c r="O840" i="16" s="1"/>
  <c r="AG841" i="2"/>
  <c r="O841" i="16" s="1"/>
  <c r="AG842" i="2"/>
  <c r="O842" i="16" s="1"/>
  <c r="AG846" i="2"/>
  <c r="O846" i="16" s="1"/>
  <c r="AG847" i="2"/>
  <c r="O847" i="16" s="1"/>
  <c r="AG848" i="2"/>
  <c r="O848" i="16" s="1"/>
  <c r="AG850" i="2"/>
  <c r="O850" i="16" s="1"/>
  <c r="AG851" i="2"/>
  <c r="O851" i="16" s="1"/>
  <c r="AG856" i="2"/>
  <c r="O856" i="16" s="1"/>
  <c r="AG857" i="2"/>
  <c r="O857" i="16" s="1"/>
  <c r="AG858" i="2"/>
  <c r="O858" i="16" s="1"/>
  <c r="AG859" i="2"/>
  <c r="O859" i="16" s="1"/>
  <c r="AG860" i="2"/>
  <c r="AG864" i="2"/>
  <c r="O864" i="16" s="1"/>
  <c r="AG869" i="2"/>
  <c r="O869" i="16" s="1"/>
  <c r="AG870" i="2"/>
  <c r="O870" i="16" s="1"/>
  <c r="AG872" i="2"/>
  <c r="O872" i="16" s="1"/>
  <c r="AG873" i="2"/>
  <c r="O873" i="16" s="1"/>
  <c r="AG874" i="2"/>
  <c r="O874" i="16" s="1"/>
  <c r="AG876" i="2"/>
  <c r="O876" i="16" s="1"/>
  <c r="AG877" i="2"/>
  <c r="O877" i="16" s="1"/>
  <c r="AG878" i="2"/>
  <c r="O878" i="16" s="1"/>
  <c r="AG879" i="2"/>
  <c r="O879" i="16" s="1"/>
  <c r="AG880" i="2"/>
  <c r="O880" i="16" s="1"/>
  <c r="AG881" i="2"/>
  <c r="O881" i="16" s="1"/>
  <c r="AG882" i="2"/>
  <c r="O882" i="16" s="1"/>
  <c r="AG883" i="2"/>
  <c r="O883" i="16" s="1"/>
  <c r="AG884" i="2"/>
  <c r="AG886" i="2"/>
  <c r="O886" i="16" s="1"/>
  <c r="AG888" i="2"/>
  <c r="O888" i="16" s="1"/>
  <c r="AG889" i="2"/>
  <c r="O889" i="16" s="1"/>
  <c r="AG890" i="2"/>
  <c r="O890" i="16" s="1"/>
  <c r="AG891" i="2"/>
  <c r="O891" i="16" s="1"/>
  <c r="AG893" i="2"/>
  <c r="O893" i="16" s="1"/>
  <c r="AG894" i="2"/>
  <c r="O894" i="16" s="1"/>
  <c r="AG896" i="2"/>
  <c r="AG899" i="2"/>
  <c r="O899" i="16" s="1"/>
  <c r="AG900" i="2"/>
  <c r="O900" i="16" s="1"/>
  <c r="AG905" i="2"/>
  <c r="O905" i="16" s="1"/>
  <c r="AG909" i="2"/>
  <c r="O909" i="16" s="1"/>
  <c r="AG911" i="2"/>
  <c r="O911" i="16" s="1"/>
  <c r="AG912" i="2"/>
  <c r="O912" i="16" s="1"/>
  <c r="AG913" i="2"/>
  <c r="O913" i="16" s="1"/>
  <c r="AG914" i="2"/>
  <c r="O914" i="16" s="1"/>
  <c r="AG915" i="2"/>
  <c r="O915" i="16" s="1"/>
  <c r="AG917" i="2"/>
  <c r="O917" i="16" s="1"/>
  <c r="AG918" i="2"/>
  <c r="O918" i="16" s="1"/>
  <c r="AG919" i="2"/>
  <c r="O919" i="16" s="1"/>
  <c r="AG921" i="2"/>
  <c r="AG923" i="2"/>
  <c r="O923" i="16" s="1"/>
  <c r="AG924" i="2"/>
  <c r="O924" i="16" s="1"/>
  <c r="AG925" i="2"/>
  <c r="O925" i="16" s="1"/>
  <c r="AG926" i="2"/>
  <c r="O926" i="16" s="1"/>
  <c r="AG927" i="2"/>
  <c r="O927" i="16" s="1"/>
  <c r="AG929" i="2"/>
  <c r="O929" i="16" s="1"/>
  <c r="AG932" i="2"/>
  <c r="O932" i="16" s="1"/>
  <c r="AG933" i="2"/>
  <c r="O933" i="16" s="1"/>
  <c r="AG934" i="2"/>
  <c r="O934" i="16" s="1"/>
  <c r="AG935" i="2"/>
  <c r="O935" i="16" s="1"/>
  <c r="AG938" i="2"/>
  <c r="O938" i="16" s="1"/>
  <c r="AG939" i="2"/>
  <c r="O939" i="16" s="1"/>
  <c r="AG940" i="2"/>
  <c r="O940" i="16" s="1"/>
  <c r="AG941" i="2"/>
  <c r="O941" i="16" s="1"/>
  <c r="AG944" i="2"/>
  <c r="O944" i="16" s="1"/>
  <c r="AG945" i="2"/>
  <c r="O945" i="16" s="1"/>
  <c r="AG946" i="2"/>
  <c r="O946" i="16" s="1"/>
  <c r="AG948" i="2"/>
  <c r="O948" i="16" s="1"/>
  <c r="AG949" i="2"/>
  <c r="O949" i="16" s="1"/>
  <c r="AG950" i="2"/>
  <c r="O950" i="16" s="1"/>
  <c r="AG951" i="2"/>
  <c r="O951" i="16" s="1"/>
  <c r="AG952" i="2"/>
  <c r="O952" i="16" s="1"/>
  <c r="AG953" i="2"/>
  <c r="O953" i="16" s="1"/>
  <c r="AG954" i="2"/>
  <c r="O954" i="16" s="1"/>
  <c r="AG955" i="2"/>
  <c r="O955" i="16" s="1"/>
  <c r="AG957" i="2"/>
  <c r="O957" i="16" s="1"/>
  <c r="AG958" i="2"/>
  <c r="O958" i="16" s="1"/>
  <c r="AG960" i="2"/>
  <c r="O960" i="16" s="1"/>
  <c r="AG961" i="2"/>
  <c r="O961" i="16" s="1"/>
  <c r="AG962" i="2"/>
  <c r="O962" i="16" s="1"/>
  <c r="AG966" i="2"/>
  <c r="O966" i="16" s="1"/>
  <c r="AG968" i="2"/>
  <c r="O968" i="16" s="1"/>
  <c r="AG969" i="2"/>
  <c r="O969" i="16" s="1"/>
  <c r="AG974" i="2"/>
  <c r="AG976" i="2"/>
  <c r="O976" i="16" s="1"/>
  <c r="AG977" i="2"/>
  <c r="O977" i="16" s="1"/>
  <c r="AG979" i="2"/>
  <c r="O979" i="16" s="1"/>
  <c r="AG980" i="2"/>
  <c r="O980" i="16" s="1"/>
  <c r="AG985" i="2"/>
  <c r="O985" i="16" s="1"/>
  <c r="AG987" i="2"/>
  <c r="O987" i="16" s="1"/>
  <c r="AG988" i="2"/>
  <c r="O988" i="16" s="1"/>
  <c r="AG989" i="2"/>
  <c r="O989" i="16" s="1"/>
  <c r="AG991" i="2"/>
  <c r="AG994" i="2"/>
  <c r="O994" i="16" s="1"/>
  <c r="AG995" i="2"/>
  <c r="O995" i="16" s="1"/>
  <c r="AG997" i="2"/>
  <c r="O997" i="16" s="1"/>
  <c r="AG998" i="2"/>
  <c r="O998" i="16" s="1"/>
  <c r="AG999" i="2"/>
  <c r="O999" i="16" s="1"/>
  <c r="AG1000" i="2"/>
  <c r="O1000" i="16" s="1"/>
  <c r="AG1001" i="2"/>
  <c r="O1001" i="16" s="1"/>
  <c r="AG1004" i="2"/>
  <c r="AG1006" i="2"/>
  <c r="O1006" i="16" s="1"/>
  <c r="AG1007" i="2"/>
  <c r="O1007" i="16" s="1"/>
  <c r="AG1008" i="2"/>
  <c r="O1008" i="16" s="1"/>
  <c r="AG1009" i="2"/>
  <c r="O1009" i="16" s="1"/>
  <c r="AG1010" i="2"/>
  <c r="O1010" i="16" s="1"/>
  <c r="AG1013" i="2"/>
  <c r="O1013" i="16" s="1"/>
  <c r="AG1014" i="2"/>
  <c r="O1014" i="16" s="1"/>
  <c r="AG1016" i="2"/>
  <c r="AG1018" i="2"/>
  <c r="O1018" i="16" s="1"/>
  <c r="AG1019" i="2"/>
  <c r="O1019" i="16" s="1"/>
  <c r="AG1020" i="2"/>
  <c r="AG1022" i="2"/>
  <c r="O1022" i="16" s="1"/>
  <c r="AG1023" i="2"/>
  <c r="O1023" i="16" s="1"/>
  <c r="AG1025" i="2"/>
  <c r="O1025" i="16" s="1"/>
  <c r="AG1027" i="2"/>
  <c r="O1027" i="16" s="1"/>
  <c r="AG1028" i="2"/>
  <c r="AG1030" i="2"/>
  <c r="O1030" i="16" s="1"/>
  <c r="AG1031" i="2"/>
  <c r="O1031" i="16" s="1"/>
  <c r="AG1032" i="2"/>
  <c r="O1032" i="16" s="1"/>
  <c r="AG1033" i="2"/>
  <c r="O1033" i="16" s="1"/>
  <c r="AG1034" i="2"/>
  <c r="O1034" i="16" s="1"/>
  <c r="AG1035" i="2"/>
  <c r="O1035" i="16" s="1"/>
  <c r="AG1036" i="2"/>
  <c r="O1036" i="16" s="1"/>
  <c r="AG1037" i="2"/>
  <c r="O1037" i="16" s="1"/>
  <c r="AG1039" i="2"/>
  <c r="O1039" i="16" s="1"/>
  <c r="AG1040" i="2"/>
  <c r="O1040" i="16" s="1"/>
  <c r="AG1042" i="2"/>
  <c r="O1042" i="16" s="1"/>
  <c r="AG1043" i="2"/>
  <c r="O1043" i="16" s="1"/>
  <c r="AG1045" i="2"/>
  <c r="O1045" i="16" s="1"/>
  <c r="AG1046" i="2"/>
  <c r="O1046" i="16" s="1"/>
  <c r="AG1047" i="2"/>
  <c r="O1047" i="16" s="1"/>
  <c r="AG1048" i="2"/>
  <c r="O1048" i="16" s="1"/>
  <c r="AG1049" i="2"/>
  <c r="O1049" i="16" s="1"/>
  <c r="AG1050" i="2"/>
  <c r="AG1052" i="2"/>
  <c r="O1052" i="16" s="1"/>
  <c r="AG1053" i="2"/>
  <c r="O1053" i="16" s="1"/>
  <c r="AG1054" i="2"/>
  <c r="O1054" i="16" s="1"/>
  <c r="AG1055" i="2"/>
  <c r="AG1057" i="2"/>
  <c r="O1057" i="16" s="1"/>
  <c r="AG1058" i="2"/>
  <c r="O1058" i="16" s="1"/>
  <c r="AG1059" i="2"/>
  <c r="O1059" i="16" s="1"/>
  <c r="AG1061" i="2"/>
  <c r="O1061" i="16" s="1"/>
  <c r="AG1062" i="2"/>
  <c r="O1062" i="16" s="1"/>
  <c r="AG1063" i="2"/>
  <c r="O1063" i="16" s="1"/>
  <c r="AG1064" i="2"/>
  <c r="O1064" i="16" s="1"/>
  <c r="AG1067" i="2"/>
  <c r="O1067" i="16" s="1"/>
  <c r="AG1069" i="2"/>
  <c r="O1069" i="16" s="1"/>
  <c r="AG1071" i="2"/>
  <c r="O1071" i="16" s="1"/>
  <c r="AG1072" i="2"/>
  <c r="AG1074" i="2"/>
  <c r="O1074" i="16" s="1"/>
  <c r="AG1075" i="2"/>
  <c r="O1075" i="16" s="1"/>
  <c r="AG1079" i="2"/>
  <c r="O1079" i="16" s="1"/>
  <c r="AG1080" i="2"/>
  <c r="O1080" i="16" s="1"/>
  <c r="AG1081" i="2"/>
  <c r="O1081" i="16" s="1"/>
  <c r="AG1082" i="2"/>
  <c r="O1082" i="16" s="1"/>
  <c r="AG1083" i="2"/>
  <c r="O1083" i="16" s="1"/>
  <c r="AG1084" i="2"/>
  <c r="O1084" i="16" s="1"/>
  <c r="AG1085" i="2"/>
  <c r="O1085" i="16" s="1"/>
  <c r="AG1086" i="2"/>
  <c r="O1086" i="16" s="1"/>
  <c r="AG1088" i="2"/>
  <c r="O1088" i="16" s="1"/>
  <c r="AG1089" i="2"/>
  <c r="O1089" i="16" s="1"/>
  <c r="AG1090" i="2"/>
  <c r="O1090" i="16" s="1"/>
  <c r="AG1091" i="2"/>
  <c r="O1091" i="16" s="1"/>
  <c r="AG1092" i="2"/>
  <c r="O1092" i="16" s="1"/>
  <c r="AG1094" i="2"/>
  <c r="O1094" i="16" s="1"/>
  <c r="AG1095" i="2"/>
  <c r="O1095" i="16" s="1"/>
  <c r="AG1100" i="2"/>
  <c r="O1100" i="16" s="1"/>
  <c r="AG1101" i="2"/>
  <c r="O1101" i="16" s="1"/>
  <c r="AG1103" i="2"/>
  <c r="O1103" i="16" s="1"/>
  <c r="AG1105" i="2"/>
  <c r="O1105" i="16" s="1"/>
  <c r="AG1106" i="2"/>
  <c r="O1106" i="16" s="1"/>
  <c r="AG1108" i="2"/>
  <c r="O1108" i="16" s="1"/>
  <c r="AG1109" i="2"/>
  <c r="O1109" i="16" s="1"/>
  <c r="AG1110" i="2"/>
  <c r="O1110" i="16" s="1"/>
  <c r="AG1111" i="2"/>
  <c r="O1111" i="16" s="1"/>
  <c r="AG1112" i="2"/>
  <c r="O1112" i="16" s="1"/>
  <c r="AG1113" i="2"/>
  <c r="O1113" i="16" s="1"/>
  <c r="AG1114" i="2"/>
  <c r="AG1116" i="2"/>
  <c r="O1116" i="16" s="1"/>
  <c r="AG1117" i="2"/>
  <c r="O1117" i="16" s="1"/>
  <c r="AG1118" i="2"/>
  <c r="O1118" i="16" s="1"/>
  <c r="AG1120" i="2"/>
  <c r="O1120" i="16" s="1"/>
  <c r="AG1121" i="2"/>
  <c r="O1121" i="16" s="1"/>
  <c r="AG1122" i="2"/>
  <c r="O1122" i="16" s="1"/>
  <c r="AG1126" i="2"/>
  <c r="O1126" i="16" s="1"/>
  <c r="AG1128" i="2"/>
  <c r="O1128" i="16" s="1"/>
  <c r="AG1129" i="2"/>
  <c r="O1129" i="16" s="1"/>
  <c r="AG1130" i="2"/>
  <c r="O1130" i="16" s="1"/>
  <c r="AG1132" i="2"/>
  <c r="O1132" i="16" s="1"/>
  <c r="AG1133" i="2"/>
  <c r="O1133" i="16" s="1"/>
  <c r="AG1134" i="2"/>
  <c r="O1134" i="16" s="1"/>
  <c r="AG1135" i="2"/>
  <c r="O1135" i="16" s="1"/>
  <c r="AG1136" i="2"/>
  <c r="O1136" i="16" s="1"/>
  <c r="AG1137" i="2"/>
  <c r="O1137" i="16" s="1"/>
  <c r="AG1138" i="2"/>
  <c r="O1138" i="16" s="1"/>
  <c r="AG1139" i="2"/>
  <c r="O1139" i="16" s="1"/>
  <c r="AG1140" i="2"/>
  <c r="O1140" i="16" s="1"/>
  <c r="AG1141" i="2"/>
  <c r="O1141" i="16" s="1"/>
  <c r="AG1143" i="2"/>
  <c r="O1143" i="16" s="1"/>
  <c r="AG1144" i="2"/>
  <c r="O1144" i="16" s="1"/>
  <c r="AG1145" i="2"/>
  <c r="O1145" i="16" s="1"/>
  <c r="AG1147" i="2"/>
  <c r="O1147" i="16" s="1"/>
  <c r="AG1150" i="2"/>
  <c r="O1150" i="16" s="1"/>
  <c r="AG1152" i="2"/>
  <c r="O1152" i="16" s="1"/>
  <c r="AG1153" i="2"/>
  <c r="O1153" i="16" s="1"/>
  <c r="AG1155" i="2"/>
  <c r="O1155" i="16" s="1"/>
  <c r="AG1157" i="2"/>
  <c r="O1157" i="16" s="1"/>
  <c r="AG1158" i="2"/>
  <c r="O1158" i="16" s="1"/>
  <c r="AG1159" i="2"/>
  <c r="O1159" i="16" s="1"/>
  <c r="AG1160" i="2"/>
  <c r="O1160" i="16" s="1"/>
  <c r="AG1161" i="2"/>
  <c r="O1161" i="16" s="1"/>
  <c r="AG1162" i="2"/>
  <c r="O1162" i="16" s="1"/>
  <c r="AG1163" i="2"/>
  <c r="O1163" i="16" s="1"/>
  <c r="AG1164" i="2"/>
  <c r="O1164" i="16" s="1"/>
  <c r="AG1165" i="2"/>
  <c r="O1165" i="16" s="1"/>
  <c r="AG1166" i="2"/>
  <c r="O1166" i="16" s="1"/>
  <c r="AG1167" i="2"/>
  <c r="O1167" i="16" s="1"/>
  <c r="AG1168" i="2"/>
  <c r="O1168" i="16" s="1"/>
  <c r="AG1169" i="2"/>
  <c r="O1169" i="16" s="1"/>
  <c r="AG1170" i="2"/>
  <c r="O1170" i="16" s="1"/>
  <c r="AG1171" i="2"/>
  <c r="O1171" i="16" s="1"/>
  <c r="AG1172" i="2"/>
  <c r="O1172" i="16" s="1"/>
  <c r="AG1173" i="2"/>
  <c r="O1173" i="16" s="1"/>
  <c r="AG1174" i="2"/>
  <c r="O1174" i="16" s="1"/>
  <c r="AG1175" i="2"/>
  <c r="O1175" i="16" s="1"/>
  <c r="AG1177" i="2"/>
  <c r="O1177" i="16" s="1"/>
  <c r="AG1178" i="2"/>
  <c r="O1178" i="16" s="1"/>
  <c r="AG1179" i="2"/>
  <c r="O1179" i="16" s="1"/>
  <c r="AG1180" i="2"/>
  <c r="O1180" i="16" s="1"/>
  <c r="AG1181" i="2"/>
  <c r="O1181" i="16" s="1"/>
  <c r="AG1182" i="2"/>
  <c r="O1182" i="16" s="1"/>
  <c r="AG1183" i="2"/>
  <c r="O1183" i="16" s="1"/>
  <c r="AG1184" i="2"/>
  <c r="O1184" i="16" s="1"/>
  <c r="AG1185" i="2"/>
  <c r="O1185" i="16" s="1"/>
  <c r="AG1186" i="2"/>
  <c r="O1186" i="16" s="1"/>
  <c r="AG1187" i="2"/>
  <c r="O1187" i="16" s="1"/>
  <c r="AG1188" i="2"/>
  <c r="O1188" i="16" s="1"/>
  <c r="AG1189" i="2"/>
  <c r="O1189" i="16" s="1"/>
  <c r="AG1190" i="2"/>
  <c r="O1190" i="16" s="1"/>
  <c r="AG1192" i="2"/>
  <c r="O1192" i="16" s="1"/>
  <c r="AG1195" i="2"/>
  <c r="O1195" i="16" s="1"/>
  <c r="AG1196" i="2"/>
  <c r="O1196" i="16" s="1"/>
  <c r="AG1197" i="2"/>
  <c r="O1197" i="16" s="1"/>
  <c r="AG1198" i="2"/>
  <c r="O1198" i="16" s="1"/>
  <c r="AG1199" i="2"/>
  <c r="O1199" i="16" s="1"/>
  <c r="AG1200" i="2"/>
  <c r="O1200" i="16" s="1"/>
  <c r="AG1201" i="2"/>
  <c r="O1201" i="16" s="1"/>
  <c r="AG1202" i="2"/>
  <c r="O1202" i="16" s="1"/>
  <c r="AG1203" i="2"/>
  <c r="O1203" i="16" s="1"/>
  <c r="AG1204" i="2"/>
  <c r="O1204" i="16" s="1"/>
  <c r="AG1205" i="2"/>
  <c r="O1205" i="16" s="1"/>
  <c r="AG1206" i="2"/>
  <c r="O1206" i="16" s="1"/>
  <c r="AG1207" i="2"/>
  <c r="O1207" i="16" s="1"/>
  <c r="AG1208" i="2"/>
  <c r="O1208" i="16" s="1"/>
  <c r="AG1209" i="2"/>
  <c r="O1209" i="16" s="1"/>
  <c r="AG1210" i="2"/>
  <c r="O1210" i="16" s="1"/>
  <c r="AG1211" i="2"/>
  <c r="O1211" i="16" s="1"/>
  <c r="AG2" i="2"/>
  <c r="O2" i="16" s="1"/>
  <c r="U3" i="2"/>
  <c r="H3" i="16" s="1"/>
  <c r="U4" i="2"/>
  <c r="H4" i="16" s="1"/>
  <c r="U5" i="2"/>
  <c r="H5" i="16" s="1"/>
  <c r="U6" i="2"/>
  <c r="H6" i="16" s="1"/>
  <c r="U7" i="2"/>
  <c r="H7" i="16" s="1"/>
  <c r="U8" i="2"/>
  <c r="H8" i="16" s="1"/>
  <c r="U9" i="2"/>
  <c r="H9" i="16" s="1"/>
  <c r="U10" i="2"/>
  <c r="H10" i="16" s="1"/>
  <c r="U11" i="2"/>
  <c r="H11" i="16" s="1"/>
  <c r="U12" i="2"/>
  <c r="H12" i="16" s="1"/>
  <c r="U13" i="2"/>
  <c r="H13" i="16" s="1"/>
  <c r="U14" i="2"/>
  <c r="H14" i="16" s="1"/>
  <c r="U15" i="2"/>
  <c r="H15" i="16" s="1"/>
  <c r="U16" i="2"/>
  <c r="H16" i="16" s="1"/>
  <c r="U17" i="2"/>
  <c r="H17" i="16" s="1"/>
  <c r="U18" i="2"/>
  <c r="H18" i="16" s="1"/>
  <c r="U19" i="2"/>
  <c r="H19" i="16" s="1"/>
  <c r="U20" i="2"/>
  <c r="H20" i="16" s="1"/>
  <c r="U21" i="2"/>
  <c r="H21" i="16" s="1"/>
  <c r="U24" i="2"/>
  <c r="H24" i="16" s="1"/>
  <c r="U25" i="2"/>
  <c r="H25" i="16" s="1"/>
  <c r="U26" i="2"/>
  <c r="H26" i="16" s="1"/>
  <c r="U27" i="2"/>
  <c r="H27" i="16" s="1"/>
  <c r="U28" i="2"/>
  <c r="H28" i="16" s="1"/>
  <c r="U29" i="2"/>
  <c r="H29" i="16" s="1"/>
  <c r="U30" i="2"/>
  <c r="H30" i="16" s="1"/>
  <c r="U32" i="2"/>
  <c r="H32" i="16" s="1"/>
  <c r="U33" i="2"/>
  <c r="H33" i="16" s="1"/>
  <c r="U35" i="2"/>
  <c r="H35" i="16" s="1"/>
  <c r="U36" i="2"/>
  <c r="H36" i="16" s="1"/>
  <c r="U37" i="2"/>
  <c r="H37" i="16" s="1"/>
  <c r="U38" i="2"/>
  <c r="H38" i="16" s="1"/>
  <c r="U39" i="2"/>
  <c r="H39" i="16" s="1"/>
  <c r="U40" i="2"/>
  <c r="H40" i="16" s="1"/>
  <c r="U41" i="2"/>
  <c r="H41" i="16" s="1"/>
  <c r="U42" i="2"/>
  <c r="H42" i="16" s="1"/>
  <c r="U43" i="2"/>
  <c r="H43" i="16" s="1"/>
  <c r="U44" i="2"/>
  <c r="H44" i="16" s="1"/>
  <c r="U45" i="2"/>
  <c r="H45" i="16" s="1"/>
  <c r="U46" i="2"/>
  <c r="H46" i="16" s="1"/>
  <c r="U47" i="2"/>
  <c r="U49" i="2"/>
  <c r="H49" i="16" s="1"/>
  <c r="U50" i="2"/>
  <c r="H50" i="16" s="1"/>
  <c r="U51" i="2"/>
  <c r="U53" i="2"/>
  <c r="H53" i="16" s="1"/>
  <c r="U54" i="2"/>
  <c r="H54" i="16" s="1"/>
  <c r="U55" i="2"/>
  <c r="H55" i="16" s="1"/>
  <c r="U56" i="2"/>
  <c r="H56" i="16" s="1"/>
  <c r="U57" i="2"/>
  <c r="H57" i="16" s="1"/>
  <c r="U58" i="2"/>
  <c r="H58" i="16" s="1"/>
  <c r="U59" i="2"/>
  <c r="H59" i="16" s="1"/>
  <c r="U60" i="2"/>
  <c r="H60" i="16" s="1"/>
  <c r="U61" i="2"/>
  <c r="H61" i="16" s="1"/>
  <c r="U62" i="2"/>
  <c r="H62" i="16" s="1"/>
  <c r="U63" i="2"/>
  <c r="H63" i="16" s="1"/>
  <c r="U65" i="2"/>
  <c r="H65" i="16" s="1"/>
  <c r="U66" i="2"/>
  <c r="H66" i="16" s="1"/>
  <c r="U67" i="2"/>
  <c r="H67" i="16" s="1"/>
  <c r="U68" i="2"/>
  <c r="H68" i="16" s="1"/>
  <c r="U69" i="2"/>
  <c r="H69" i="16" s="1"/>
  <c r="U70" i="2"/>
  <c r="H70" i="16" s="1"/>
  <c r="U71" i="2"/>
  <c r="H71" i="16" s="1"/>
  <c r="U72" i="2"/>
  <c r="H72" i="16" s="1"/>
  <c r="U73" i="2"/>
  <c r="H73" i="16" s="1"/>
  <c r="U74" i="2"/>
  <c r="H74" i="16" s="1"/>
  <c r="U75" i="2"/>
  <c r="H75" i="16" s="1"/>
  <c r="U76" i="2"/>
  <c r="H76" i="16" s="1"/>
  <c r="U77" i="2"/>
  <c r="H77" i="16" s="1"/>
  <c r="U80" i="2"/>
  <c r="H80" i="16" s="1"/>
  <c r="U82" i="2"/>
  <c r="H82" i="16" s="1"/>
  <c r="U83" i="2"/>
  <c r="H83" i="16" s="1"/>
  <c r="U84" i="2"/>
  <c r="H84" i="16" s="1"/>
  <c r="U85" i="2"/>
  <c r="H85" i="16" s="1"/>
  <c r="U87" i="2"/>
  <c r="H87" i="16" s="1"/>
  <c r="U88" i="2"/>
  <c r="H88" i="16" s="1"/>
  <c r="U89" i="2"/>
  <c r="H89" i="16" s="1"/>
  <c r="U90" i="2"/>
  <c r="H90" i="16" s="1"/>
  <c r="U91" i="2"/>
  <c r="H91" i="16" s="1"/>
  <c r="U92" i="2"/>
  <c r="H92" i="16" s="1"/>
  <c r="U93" i="2"/>
  <c r="H93" i="16" s="1"/>
  <c r="U94" i="2"/>
  <c r="H94" i="16" s="1"/>
  <c r="U95" i="2"/>
  <c r="H95" i="16" s="1"/>
  <c r="U96" i="2"/>
  <c r="H96" i="16" s="1"/>
  <c r="U97" i="2"/>
  <c r="H97" i="16" s="1"/>
  <c r="U99" i="2"/>
  <c r="H99" i="16" s="1"/>
  <c r="U100" i="2"/>
  <c r="H100" i="16" s="1"/>
  <c r="U101" i="2"/>
  <c r="H101" i="16" s="1"/>
  <c r="U102" i="2"/>
  <c r="H102" i="16" s="1"/>
  <c r="U104" i="2"/>
  <c r="H104" i="16" s="1"/>
  <c r="U105" i="2"/>
  <c r="H105" i="16" s="1"/>
  <c r="U106" i="2"/>
  <c r="H106" i="16" s="1"/>
  <c r="U107" i="2"/>
  <c r="H107" i="16" s="1"/>
  <c r="U108" i="2"/>
  <c r="H108" i="16" s="1"/>
  <c r="U109" i="2"/>
  <c r="H109" i="16" s="1"/>
  <c r="U110" i="2"/>
  <c r="H110" i="16" s="1"/>
  <c r="U112" i="2"/>
  <c r="H112" i="16" s="1"/>
  <c r="U114" i="2"/>
  <c r="H114" i="16" s="1"/>
  <c r="U116" i="2"/>
  <c r="H116" i="16" s="1"/>
  <c r="U117" i="2"/>
  <c r="H117" i="16" s="1"/>
  <c r="U118" i="2"/>
  <c r="U120" i="2"/>
  <c r="H120" i="16" s="1"/>
  <c r="U124" i="2"/>
  <c r="H124" i="16" s="1"/>
  <c r="U125" i="2"/>
  <c r="H125" i="16" s="1"/>
  <c r="U127" i="2"/>
  <c r="H127" i="16" s="1"/>
  <c r="U128" i="2"/>
  <c r="H128" i="16" s="1"/>
  <c r="U129" i="2"/>
  <c r="H129" i="16" s="1"/>
  <c r="U130" i="2"/>
  <c r="H130" i="16" s="1"/>
  <c r="U135" i="2"/>
  <c r="H135" i="16" s="1"/>
  <c r="U136" i="2"/>
  <c r="H136" i="16" s="1"/>
  <c r="U141" i="2"/>
  <c r="H141" i="16" s="1"/>
  <c r="U142" i="2"/>
  <c r="H142" i="16" s="1"/>
  <c r="U144" i="2"/>
  <c r="H144" i="16" s="1"/>
  <c r="U145" i="2"/>
  <c r="H145" i="16" s="1"/>
  <c r="U147" i="2"/>
  <c r="H147" i="16" s="1"/>
  <c r="U148" i="2"/>
  <c r="H148" i="16" s="1"/>
  <c r="U149" i="2"/>
  <c r="H149" i="16" s="1"/>
  <c r="U150" i="2"/>
  <c r="H150" i="16" s="1"/>
  <c r="U151" i="2"/>
  <c r="H151" i="16" s="1"/>
  <c r="U152" i="2"/>
  <c r="H152" i="16" s="1"/>
  <c r="U153" i="2"/>
  <c r="H153" i="16" s="1"/>
  <c r="U154" i="2"/>
  <c r="H154" i="16" s="1"/>
  <c r="U156" i="2"/>
  <c r="H156" i="16" s="1"/>
  <c r="U157" i="2"/>
  <c r="H157" i="16" s="1"/>
  <c r="U158" i="2"/>
  <c r="H158" i="16" s="1"/>
  <c r="U159" i="2"/>
  <c r="H159" i="16" s="1"/>
  <c r="U160" i="2"/>
  <c r="U162" i="2"/>
  <c r="H162" i="16" s="1"/>
  <c r="U164" i="2"/>
  <c r="H164" i="16" s="1"/>
  <c r="U165" i="2"/>
  <c r="H165" i="16" s="1"/>
  <c r="U166" i="2"/>
  <c r="H166" i="16" s="1"/>
  <c r="U168" i="2"/>
  <c r="H168" i="16" s="1"/>
  <c r="U169" i="2"/>
  <c r="H169" i="16" s="1"/>
  <c r="U170" i="2"/>
  <c r="H170" i="16" s="1"/>
  <c r="U171" i="2"/>
  <c r="H171" i="16" s="1"/>
  <c r="U172" i="2"/>
  <c r="H172" i="16" s="1"/>
  <c r="U173" i="2"/>
  <c r="H173" i="16" s="1"/>
  <c r="U174" i="2"/>
  <c r="H174" i="16" s="1"/>
  <c r="U175" i="2"/>
  <c r="H175" i="16" s="1"/>
  <c r="U178" i="2"/>
  <c r="H178" i="16" s="1"/>
  <c r="U179" i="2"/>
  <c r="H179" i="16" s="1"/>
  <c r="U181" i="2"/>
  <c r="H181" i="16" s="1"/>
  <c r="U182" i="2"/>
  <c r="H182" i="16" s="1"/>
  <c r="U183" i="2"/>
  <c r="H183" i="16" s="1"/>
  <c r="U184" i="2"/>
  <c r="H184" i="16" s="1"/>
  <c r="U185" i="2"/>
  <c r="H185" i="16" s="1"/>
  <c r="U186" i="2"/>
  <c r="H186" i="16" s="1"/>
  <c r="U187" i="2"/>
  <c r="H187" i="16" s="1"/>
  <c r="U188" i="2"/>
  <c r="H188" i="16" s="1"/>
  <c r="U189" i="2"/>
  <c r="H189" i="16" s="1"/>
  <c r="U190" i="2"/>
  <c r="H190" i="16" s="1"/>
  <c r="U191" i="2"/>
  <c r="H191" i="16" s="1"/>
  <c r="U192" i="2"/>
  <c r="H192" i="16" s="1"/>
  <c r="U193" i="2"/>
  <c r="H193" i="16" s="1"/>
  <c r="U194" i="2"/>
  <c r="H194" i="16" s="1"/>
  <c r="U195" i="2"/>
  <c r="H195" i="16" s="1"/>
  <c r="U196" i="2"/>
  <c r="H196" i="16" s="1"/>
  <c r="U197" i="2"/>
  <c r="H197" i="16" s="1"/>
  <c r="U198" i="2"/>
  <c r="H198" i="16" s="1"/>
  <c r="U200" i="2"/>
  <c r="H200" i="16" s="1"/>
  <c r="U201" i="2"/>
  <c r="H201" i="16" s="1"/>
  <c r="U202" i="2"/>
  <c r="H202" i="16" s="1"/>
  <c r="U204" i="2"/>
  <c r="H204" i="16" s="1"/>
  <c r="U205" i="2"/>
  <c r="H205" i="16" s="1"/>
  <c r="U206" i="2"/>
  <c r="H206" i="16" s="1"/>
  <c r="U207" i="2"/>
  <c r="H207" i="16" s="1"/>
  <c r="U208" i="2"/>
  <c r="H208" i="16" s="1"/>
  <c r="U210" i="2"/>
  <c r="H210" i="16" s="1"/>
  <c r="U212" i="2"/>
  <c r="H212" i="16" s="1"/>
  <c r="U213" i="2"/>
  <c r="H213" i="16" s="1"/>
  <c r="U214" i="2"/>
  <c r="H214" i="16" s="1"/>
  <c r="U215" i="2"/>
  <c r="H215" i="16" s="1"/>
  <c r="U216" i="2"/>
  <c r="H216" i="16" s="1"/>
  <c r="U218" i="2"/>
  <c r="U220" i="2"/>
  <c r="H220" i="16" s="1"/>
  <c r="U221" i="2"/>
  <c r="H221" i="16" s="1"/>
  <c r="U225" i="2"/>
  <c r="H225" i="16" s="1"/>
  <c r="U226" i="2"/>
  <c r="H226" i="16" s="1"/>
  <c r="U227" i="2"/>
  <c r="H227" i="16" s="1"/>
  <c r="U228" i="2"/>
  <c r="H228" i="16" s="1"/>
  <c r="U229" i="2"/>
  <c r="H229" i="16" s="1"/>
  <c r="U231" i="2"/>
  <c r="H231" i="16" s="1"/>
  <c r="U232" i="2"/>
  <c r="U234" i="2"/>
  <c r="H234" i="16" s="1"/>
  <c r="U235" i="2"/>
  <c r="H235" i="16" s="1"/>
  <c r="U236" i="2"/>
  <c r="U238" i="2"/>
  <c r="H238" i="16" s="1"/>
  <c r="U239" i="2"/>
  <c r="H239" i="16" s="1"/>
  <c r="U240" i="2"/>
  <c r="H240" i="16" s="1"/>
  <c r="U241" i="2"/>
  <c r="H241" i="16" s="1"/>
  <c r="U242" i="2"/>
  <c r="H242" i="16" s="1"/>
  <c r="U243" i="2"/>
  <c r="U245" i="2"/>
  <c r="H245" i="16" s="1"/>
  <c r="U246" i="2"/>
  <c r="H246" i="16" s="1"/>
  <c r="U247" i="2"/>
  <c r="H247" i="16" s="1"/>
  <c r="U249" i="2"/>
  <c r="H249" i="16" s="1"/>
  <c r="U250" i="2"/>
  <c r="H250" i="16" s="1"/>
  <c r="U251" i="2"/>
  <c r="H251" i="16" s="1"/>
  <c r="U252" i="2"/>
  <c r="H252" i="16" s="1"/>
  <c r="U253" i="2"/>
  <c r="U257" i="2"/>
  <c r="H257" i="16" s="1"/>
  <c r="U259" i="2"/>
  <c r="H259" i="16" s="1"/>
  <c r="U260" i="2"/>
  <c r="H260" i="16" s="1"/>
  <c r="U261" i="2"/>
  <c r="H261" i="16" s="1"/>
  <c r="U262" i="2"/>
  <c r="H262" i="16" s="1"/>
  <c r="U264" i="2"/>
  <c r="H264" i="16" s="1"/>
  <c r="U265" i="2"/>
  <c r="H265" i="16" s="1"/>
  <c r="U266" i="2"/>
  <c r="U269" i="2"/>
  <c r="H269" i="16" s="1"/>
  <c r="U270" i="2"/>
  <c r="H270" i="16" s="1"/>
  <c r="U272" i="2"/>
  <c r="H272" i="16" s="1"/>
  <c r="U274" i="2"/>
  <c r="H274" i="16" s="1"/>
  <c r="U275" i="2"/>
  <c r="H275" i="16" s="1"/>
  <c r="U276" i="2"/>
  <c r="H276" i="16" s="1"/>
  <c r="U278" i="2"/>
  <c r="H278" i="16" s="1"/>
  <c r="U279" i="2"/>
  <c r="H279" i="16" s="1"/>
  <c r="U280" i="2"/>
  <c r="U282" i="2"/>
  <c r="H282" i="16" s="1"/>
  <c r="U283" i="2"/>
  <c r="H283" i="16" s="1"/>
  <c r="U286" i="2"/>
  <c r="H286" i="16" s="1"/>
  <c r="U287" i="2"/>
  <c r="H287" i="16" s="1"/>
  <c r="U288" i="2"/>
  <c r="H288" i="16" s="1"/>
  <c r="U289" i="2"/>
  <c r="H289" i="16" s="1"/>
  <c r="U290" i="2"/>
  <c r="H290" i="16" s="1"/>
  <c r="U291" i="2"/>
  <c r="H291" i="16" s="1"/>
  <c r="U292" i="2"/>
  <c r="H292" i="16" s="1"/>
  <c r="U293" i="2"/>
  <c r="H293" i="16" s="1"/>
  <c r="U294" i="2"/>
  <c r="H294" i="16" s="1"/>
  <c r="U296" i="2"/>
  <c r="H296" i="16" s="1"/>
  <c r="U297" i="2"/>
  <c r="H297" i="16" s="1"/>
  <c r="U298" i="2"/>
  <c r="H298" i="16" s="1"/>
  <c r="U299" i="2"/>
  <c r="H299" i="16" s="1"/>
  <c r="U300" i="2"/>
  <c r="U303" i="2"/>
  <c r="H303" i="16" s="1"/>
  <c r="U304" i="2"/>
  <c r="H304" i="16" s="1"/>
  <c r="U305" i="2"/>
  <c r="H305" i="16" s="1"/>
  <c r="U306" i="2"/>
  <c r="H306" i="16" s="1"/>
  <c r="U307" i="2"/>
  <c r="H307" i="16" s="1"/>
  <c r="U308" i="2"/>
  <c r="H308" i="16" s="1"/>
  <c r="U309" i="2"/>
  <c r="H309" i="16" s="1"/>
  <c r="U310" i="2"/>
  <c r="H310" i="16" s="1"/>
  <c r="U311" i="2"/>
  <c r="H311" i="16" s="1"/>
  <c r="U312" i="2"/>
  <c r="U315" i="2"/>
  <c r="H315" i="16" s="1"/>
  <c r="U316" i="2"/>
  <c r="U318" i="2"/>
  <c r="H318" i="16" s="1"/>
  <c r="U319" i="2"/>
  <c r="H319" i="16" s="1"/>
  <c r="U321" i="2"/>
  <c r="U324" i="2"/>
  <c r="H324" i="16" s="1"/>
  <c r="U325" i="2"/>
  <c r="U328" i="2"/>
  <c r="H328" i="16" s="1"/>
  <c r="U329" i="2"/>
  <c r="U333" i="2"/>
  <c r="H333" i="16" s="1"/>
  <c r="U334" i="2"/>
  <c r="H334" i="16" s="1"/>
  <c r="U335" i="2"/>
  <c r="H335" i="16" s="1"/>
  <c r="U336" i="2"/>
  <c r="H336" i="16" s="1"/>
  <c r="U337" i="2"/>
  <c r="H337" i="16" s="1"/>
  <c r="U339" i="2"/>
  <c r="H339" i="16" s="1"/>
  <c r="U340" i="2"/>
  <c r="H340" i="16" s="1"/>
  <c r="U343" i="2"/>
  <c r="H343" i="16" s="1"/>
  <c r="U344" i="2"/>
  <c r="H344" i="16" s="1"/>
  <c r="U345" i="2"/>
  <c r="H345" i="16" s="1"/>
  <c r="U346" i="2"/>
  <c r="H346" i="16" s="1"/>
  <c r="U347" i="2"/>
  <c r="H347" i="16" s="1"/>
  <c r="U348" i="2"/>
  <c r="H348" i="16" s="1"/>
  <c r="U349" i="2"/>
  <c r="U351" i="2"/>
  <c r="H351" i="16" s="1"/>
  <c r="U352" i="2"/>
  <c r="U354" i="2"/>
  <c r="H354" i="16" s="1"/>
  <c r="U355" i="2"/>
  <c r="H355" i="16" s="1"/>
  <c r="U357" i="2"/>
  <c r="H357" i="16" s="1"/>
  <c r="U359" i="2"/>
  <c r="H359" i="16" s="1"/>
  <c r="U360" i="2"/>
  <c r="H360" i="16" s="1"/>
  <c r="U361" i="2"/>
  <c r="H361" i="16" s="1"/>
  <c r="U362" i="2"/>
  <c r="H362" i="16" s="1"/>
  <c r="U363" i="2"/>
  <c r="H363" i="16" s="1"/>
  <c r="U364" i="2"/>
  <c r="U366" i="2"/>
  <c r="H366" i="16" s="1"/>
  <c r="U367" i="2"/>
  <c r="U370" i="2"/>
  <c r="H370" i="16" s="1"/>
  <c r="U371" i="2"/>
  <c r="H371" i="16" s="1"/>
  <c r="U372" i="2"/>
  <c r="H372" i="16" s="1"/>
  <c r="U373" i="2"/>
  <c r="H373" i="16" s="1"/>
  <c r="U374" i="2"/>
  <c r="H374" i="16" s="1"/>
  <c r="U375" i="2"/>
  <c r="H375" i="16" s="1"/>
  <c r="U376" i="2"/>
  <c r="H376" i="16" s="1"/>
  <c r="U377" i="2"/>
  <c r="H377" i="16" s="1"/>
  <c r="U378" i="2"/>
  <c r="H378" i="16" s="1"/>
  <c r="U379" i="2"/>
  <c r="H379" i="16" s="1"/>
  <c r="U381" i="2"/>
  <c r="H381" i="16" s="1"/>
  <c r="U382" i="2"/>
  <c r="H382" i="16" s="1"/>
  <c r="U383" i="2"/>
  <c r="H383" i="16" s="1"/>
  <c r="U384" i="2"/>
  <c r="H384" i="16" s="1"/>
  <c r="U386" i="2"/>
  <c r="H386" i="16" s="1"/>
  <c r="U387" i="2"/>
  <c r="H387" i="16" s="1"/>
  <c r="U388" i="2"/>
  <c r="H388" i="16" s="1"/>
  <c r="U389" i="2"/>
  <c r="U391" i="2"/>
  <c r="H391" i="16" s="1"/>
  <c r="U392" i="2"/>
  <c r="H392" i="16" s="1"/>
  <c r="U395" i="2"/>
  <c r="H395" i="16" s="1"/>
  <c r="U396" i="2"/>
  <c r="H396" i="16" s="1"/>
  <c r="U397" i="2"/>
  <c r="U399" i="2"/>
  <c r="H399" i="16" s="1"/>
  <c r="U403" i="2"/>
  <c r="H403" i="16" s="1"/>
  <c r="U404" i="2"/>
  <c r="H404" i="16" s="1"/>
  <c r="U405" i="2"/>
  <c r="U408" i="2"/>
  <c r="H408" i="16" s="1"/>
  <c r="U409" i="2"/>
  <c r="H409" i="16" s="1"/>
  <c r="U410" i="2"/>
  <c r="H410" i="16" s="1"/>
  <c r="U411" i="2"/>
  <c r="H411" i="16" s="1"/>
  <c r="U412" i="2"/>
  <c r="H412" i="16" s="1"/>
  <c r="U415" i="2"/>
  <c r="H415" i="16" s="1"/>
  <c r="U416" i="2"/>
  <c r="H416" i="16" s="1"/>
  <c r="U417" i="2"/>
  <c r="H417" i="16" s="1"/>
  <c r="U418" i="2"/>
  <c r="H418" i="16" s="1"/>
  <c r="U419" i="2"/>
  <c r="H419" i="16" s="1"/>
  <c r="U420" i="2"/>
  <c r="H420" i="16" s="1"/>
  <c r="U421" i="2"/>
  <c r="H421" i="16" s="1"/>
  <c r="U422" i="2"/>
  <c r="H422" i="16" s="1"/>
  <c r="U423" i="2"/>
  <c r="H423" i="16" s="1"/>
  <c r="U424" i="2"/>
  <c r="H424" i="16" s="1"/>
  <c r="U425" i="2"/>
  <c r="H425" i="16" s="1"/>
  <c r="U426" i="2"/>
  <c r="H426" i="16" s="1"/>
  <c r="U428" i="2"/>
  <c r="H428" i="16" s="1"/>
  <c r="U429" i="2"/>
  <c r="H429" i="16" s="1"/>
  <c r="U430" i="2"/>
  <c r="H430" i="16" s="1"/>
  <c r="U431" i="2"/>
  <c r="H431" i="16" s="1"/>
  <c r="U432" i="2"/>
  <c r="U434" i="2"/>
  <c r="H434" i="16" s="1"/>
  <c r="U435" i="2"/>
  <c r="H435" i="16" s="1"/>
  <c r="U436" i="2"/>
  <c r="U438" i="2"/>
  <c r="H438" i="16" s="1"/>
  <c r="U439" i="2"/>
  <c r="H439" i="16" s="1"/>
  <c r="U440" i="2"/>
  <c r="H440" i="16" s="1"/>
  <c r="U441" i="2"/>
  <c r="H441" i="16" s="1"/>
  <c r="U442" i="2"/>
  <c r="H442" i="16" s="1"/>
  <c r="U443" i="2"/>
  <c r="H443" i="16" s="1"/>
  <c r="U444" i="2"/>
  <c r="H444" i="16" s="1"/>
  <c r="U445" i="2"/>
  <c r="U447" i="2"/>
  <c r="H447" i="16" s="1"/>
  <c r="U448" i="2"/>
  <c r="H448" i="16" s="1"/>
  <c r="U449" i="2"/>
  <c r="U451" i="2"/>
  <c r="H451" i="16" s="1"/>
  <c r="U452" i="2"/>
  <c r="H452" i="16" s="1"/>
  <c r="U453" i="2"/>
  <c r="U455" i="2"/>
  <c r="H455" i="16" s="1"/>
  <c r="U456" i="2"/>
  <c r="H456" i="16" s="1"/>
  <c r="U457" i="2"/>
  <c r="H457" i="16" s="1"/>
  <c r="U458" i="2"/>
  <c r="U460" i="2"/>
  <c r="H460" i="16" s="1"/>
  <c r="U461" i="2"/>
  <c r="H461" i="16" s="1"/>
  <c r="U462" i="2"/>
  <c r="H462" i="16" s="1"/>
  <c r="U463" i="2"/>
  <c r="H463" i="16" s="1"/>
  <c r="U464" i="2"/>
  <c r="H464" i="16" s="1"/>
  <c r="U465" i="2"/>
  <c r="H465" i="16" s="1"/>
  <c r="U466" i="2"/>
  <c r="H466" i="16" s="1"/>
  <c r="U467" i="2"/>
  <c r="H467" i="16" s="1"/>
  <c r="U468" i="2"/>
  <c r="H468" i="16" s="1"/>
  <c r="U470" i="2"/>
  <c r="H470" i="16" s="1"/>
  <c r="U472" i="2"/>
  <c r="H472" i="16" s="1"/>
  <c r="U473" i="2"/>
  <c r="U475" i="2"/>
  <c r="H475" i="16" s="1"/>
  <c r="U476" i="2"/>
  <c r="U478" i="2"/>
  <c r="U481" i="2"/>
  <c r="U483" i="2"/>
  <c r="U485" i="2"/>
  <c r="U487" i="2"/>
  <c r="H487" i="16" s="1"/>
  <c r="U488" i="2"/>
  <c r="H488" i="16" s="1"/>
  <c r="U489" i="2"/>
  <c r="H489" i="16" s="1"/>
  <c r="U490" i="2"/>
  <c r="H490" i="16" s="1"/>
  <c r="U491" i="2"/>
  <c r="H491" i="16" s="1"/>
  <c r="U492" i="2"/>
  <c r="H492" i="16" s="1"/>
  <c r="U493" i="2"/>
  <c r="H493" i="16" s="1"/>
  <c r="U494" i="2"/>
  <c r="H494" i="16" s="1"/>
  <c r="U495" i="2"/>
  <c r="H495" i="16" s="1"/>
  <c r="U496" i="2"/>
  <c r="H496" i="16" s="1"/>
  <c r="U497" i="2"/>
  <c r="H497" i="16" s="1"/>
  <c r="U501" i="2"/>
  <c r="H501" i="16" s="1"/>
  <c r="U502" i="2"/>
  <c r="H502" i="16" s="1"/>
  <c r="U503" i="2"/>
  <c r="H503" i="16" s="1"/>
  <c r="U504" i="2"/>
  <c r="H504" i="16" s="1"/>
  <c r="U505" i="2"/>
  <c r="H505" i="16" s="1"/>
  <c r="U506" i="2"/>
  <c r="H506" i="16" s="1"/>
  <c r="U508" i="2"/>
  <c r="H508" i="16" s="1"/>
  <c r="U509" i="2"/>
  <c r="U511" i="2"/>
  <c r="H511" i="16" s="1"/>
  <c r="U512" i="2"/>
  <c r="U514" i="2"/>
  <c r="H514" i="16" s="1"/>
  <c r="U515" i="2"/>
  <c r="H515" i="16" s="1"/>
  <c r="U516" i="2"/>
  <c r="U519" i="2"/>
  <c r="H519" i="16" s="1"/>
  <c r="U520" i="2"/>
  <c r="H520" i="16" s="1"/>
  <c r="U522" i="2"/>
  <c r="H522" i="16" s="1"/>
  <c r="U524" i="2"/>
  <c r="H524" i="16" s="1"/>
  <c r="U525" i="2"/>
  <c r="U527" i="2"/>
  <c r="H527" i="16" s="1"/>
  <c r="U528" i="2"/>
  <c r="H528" i="16" s="1"/>
  <c r="U529" i="2"/>
  <c r="U531" i="2"/>
  <c r="H531" i="16" s="1"/>
  <c r="U532" i="2"/>
  <c r="U536" i="2"/>
  <c r="H536" i="16" s="1"/>
  <c r="U537" i="2"/>
  <c r="H537" i="16" s="1"/>
  <c r="U538" i="2"/>
  <c r="H538" i="16" s="1"/>
  <c r="U539" i="2"/>
  <c r="H539" i="16" s="1"/>
  <c r="U540" i="2"/>
  <c r="H540" i="16" s="1"/>
  <c r="U546" i="2"/>
  <c r="H546" i="16" s="1"/>
  <c r="U547" i="2"/>
  <c r="H547" i="16" s="1"/>
  <c r="U548" i="2"/>
  <c r="U550" i="2"/>
  <c r="H550" i="16" s="1"/>
  <c r="U551" i="2"/>
  <c r="H551" i="16" s="1"/>
  <c r="U552" i="2"/>
  <c r="U554" i="2"/>
  <c r="U556" i="2"/>
  <c r="H556" i="16" s="1"/>
  <c r="U557" i="2"/>
  <c r="U559" i="2"/>
  <c r="H559" i="16" s="1"/>
  <c r="U560" i="2"/>
  <c r="H560" i="16" s="1"/>
  <c r="U561" i="2"/>
  <c r="H561" i="16" s="1"/>
  <c r="U562" i="2"/>
  <c r="H562" i="16" s="1"/>
  <c r="U563" i="2"/>
  <c r="U566" i="2"/>
  <c r="H566" i="16" s="1"/>
  <c r="U568" i="2"/>
  <c r="H568" i="16" s="1"/>
  <c r="U571" i="2"/>
  <c r="H571" i="16" s="1"/>
  <c r="U572" i="2"/>
  <c r="U574" i="2"/>
  <c r="H574" i="16" s="1"/>
  <c r="U575" i="2"/>
  <c r="H575" i="16" s="1"/>
  <c r="U576" i="2"/>
  <c r="H576" i="16" s="1"/>
  <c r="U577" i="2"/>
  <c r="H577" i="16" s="1"/>
  <c r="U578" i="2"/>
  <c r="U584" i="2"/>
  <c r="H584" i="16" s="1"/>
  <c r="U585" i="2"/>
  <c r="H585" i="16" s="1"/>
  <c r="U586" i="2"/>
  <c r="H586" i="16" s="1"/>
  <c r="U587" i="2"/>
  <c r="H587" i="16" s="1"/>
  <c r="U588" i="2"/>
  <c r="H588" i="16" s="1"/>
  <c r="U589" i="2"/>
  <c r="H589" i="16" s="1"/>
  <c r="U590" i="2"/>
  <c r="U592" i="2"/>
  <c r="H592" i="16" s="1"/>
  <c r="U593" i="2"/>
  <c r="U595" i="2"/>
  <c r="H595" i="16" s="1"/>
  <c r="U596" i="2"/>
  <c r="H596" i="16" s="1"/>
  <c r="U598" i="2"/>
  <c r="H598" i="16" s="1"/>
  <c r="U600" i="2"/>
  <c r="H600" i="16" s="1"/>
  <c r="U604" i="2"/>
  <c r="H604" i="16" s="1"/>
  <c r="U605" i="2"/>
  <c r="H605" i="16" s="1"/>
  <c r="U606" i="2"/>
  <c r="H606" i="16" s="1"/>
  <c r="U608" i="2"/>
  <c r="H608" i="16" s="1"/>
  <c r="U609" i="2"/>
  <c r="H609" i="16" s="1"/>
  <c r="U610" i="2"/>
  <c r="H610" i="16" s="1"/>
  <c r="U611" i="2"/>
  <c r="U614" i="2"/>
  <c r="U617" i="2"/>
  <c r="H617" i="16" s="1"/>
  <c r="U622" i="2"/>
  <c r="H622" i="16" s="1"/>
  <c r="U623" i="2"/>
  <c r="H623" i="16" s="1"/>
  <c r="U627" i="2"/>
  <c r="H627" i="16" s="1"/>
  <c r="U628" i="2"/>
  <c r="H628" i="16" s="1"/>
  <c r="U629" i="2"/>
  <c r="H629" i="16" s="1"/>
  <c r="U630" i="2"/>
  <c r="U632" i="2"/>
  <c r="H632" i="16" s="1"/>
  <c r="U633" i="2"/>
  <c r="H633" i="16" s="1"/>
  <c r="U634" i="2"/>
  <c r="H634" i="16" s="1"/>
  <c r="U635" i="2"/>
  <c r="U638" i="2"/>
  <c r="H638" i="16" s="1"/>
  <c r="U642" i="2"/>
  <c r="H642" i="16" s="1"/>
  <c r="U644" i="2"/>
  <c r="H644" i="16" s="1"/>
  <c r="U646" i="2"/>
  <c r="H646" i="16" s="1"/>
  <c r="U647" i="2"/>
  <c r="H647" i="16" s="1"/>
  <c r="U648" i="2"/>
  <c r="H648" i="16" s="1"/>
  <c r="U649" i="2"/>
  <c r="H649" i="16" s="1"/>
  <c r="U654" i="2"/>
  <c r="H654" i="16" s="1"/>
  <c r="U655" i="2"/>
  <c r="H655" i="16" s="1"/>
  <c r="U656" i="2"/>
  <c r="H656" i="16" s="1"/>
  <c r="U657" i="2"/>
  <c r="H657" i="16" s="1"/>
  <c r="U658" i="2"/>
  <c r="H658" i="16" s="1"/>
  <c r="U659" i="2"/>
  <c r="H659" i="16" s="1"/>
  <c r="U661" i="2"/>
  <c r="H661" i="16" s="1"/>
  <c r="U663" i="2"/>
  <c r="H663" i="16" s="1"/>
  <c r="U668" i="2"/>
  <c r="H668" i="16" s="1"/>
  <c r="U669" i="2"/>
  <c r="H669" i="16" s="1"/>
  <c r="U670" i="2"/>
  <c r="H670" i="16" s="1"/>
  <c r="U671" i="2"/>
  <c r="U677" i="2"/>
  <c r="H677" i="16" s="1"/>
  <c r="U678" i="2"/>
  <c r="H678" i="16" s="1"/>
  <c r="U679" i="2"/>
  <c r="H679" i="16" s="1"/>
  <c r="U681" i="2"/>
  <c r="H681" i="16" s="1"/>
  <c r="U683" i="2"/>
  <c r="H683" i="16" s="1"/>
  <c r="U685" i="2"/>
  <c r="H685" i="16" s="1"/>
  <c r="U686" i="2"/>
  <c r="H686" i="16" s="1"/>
  <c r="U687" i="2"/>
  <c r="H687" i="16" s="1"/>
  <c r="U688" i="2"/>
  <c r="U690" i="2"/>
  <c r="H690" i="16" s="1"/>
  <c r="U691" i="2"/>
  <c r="H691" i="16" s="1"/>
  <c r="U692" i="2"/>
  <c r="H692" i="16" s="1"/>
  <c r="U693" i="2"/>
  <c r="H693" i="16" s="1"/>
  <c r="U694" i="2"/>
  <c r="H694" i="16" s="1"/>
  <c r="U695" i="2"/>
  <c r="H695" i="16" s="1"/>
  <c r="U696" i="2"/>
  <c r="H696" i="16" s="1"/>
  <c r="U697" i="2"/>
  <c r="H697" i="16" s="1"/>
  <c r="U698" i="2"/>
  <c r="H698" i="16" s="1"/>
  <c r="U704" i="2"/>
  <c r="H704" i="16" s="1"/>
  <c r="U706" i="2"/>
  <c r="H706" i="16" s="1"/>
  <c r="U708" i="2"/>
  <c r="H708" i="16" s="1"/>
  <c r="U709" i="2"/>
  <c r="H709" i="16" s="1"/>
  <c r="U711" i="2"/>
  <c r="U713" i="2"/>
  <c r="H713" i="16" s="1"/>
  <c r="U714" i="2"/>
  <c r="H714" i="16" s="1"/>
  <c r="U715" i="2"/>
  <c r="H715" i="16" s="1"/>
  <c r="U716" i="2"/>
  <c r="H716" i="16" s="1"/>
  <c r="U717" i="2"/>
  <c r="H717" i="16" s="1"/>
  <c r="U719" i="2"/>
  <c r="H719" i="16" s="1"/>
  <c r="U720" i="2"/>
  <c r="H720" i="16" s="1"/>
  <c r="U721" i="2"/>
  <c r="H721" i="16" s="1"/>
  <c r="U722" i="2"/>
  <c r="H722" i="16" s="1"/>
  <c r="U726" i="2"/>
  <c r="H726" i="16" s="1"/>
  <c r="U727" i="2"/>
  <c r="H727" i="16" s="1"/>
  <c r="U728" i="2"/>
  <c r="H728" i="16" s="1"/>
  <c r="U730" i="2"/>
  <c r="H730" i="16" s="1"/>
  <c r="U732" i="2"/>
  <c r="H732" i="16" s="1"/>
  <c r="U734" i="2"/>
  <c r="U736" i="2"/>
  <c r="H736" i="16" s="1"/>
  <c r="U737" i="2"/>
  <c r="H737" i="16" s="1"/>
  <c r="U745" i="2"/>
  <c r="H745" i="16" s="1"/>
  <c r="U746" i="2"/>
  <c r="H746" i="16" s="1"/>
  <c r="U747" i="2"/>
  <c r="H747" i="16" s="1"/>
  <c r="U748" i="2"/>
  <c r="H748" i="16" s="1"/>
  <c r="U749" i="2"/>
  <c r="U751" i="2"/>
  <c r="H751" i="16" s="1"/>
  <c r="U752" i="2"/>
  <c r="H752" i="16" s="1"/>
  <c r="U753" i="2"/>
  <c r="H753" i="16" s="1"/>
  <c r="U754" i="2"/>
  <c r="H754" i="16" s="1"/>
  <c r="U755" i="2"/>
  <c r="H755" i="16" s="1"/>
  <c r="U757" i="2"/>
  <c r="H757" i="16" s="1"/>
  <c r="U758" i="2"/>
  <c r="H758" i="16" s="1"/>
  <c r="U760" i="2"/>
  <c r="U762" i="2"/>
  <c r="H762" i="16" s="1"/>
  <c r="U764" i="2"/>
  <c r="H764" i="16" s="1"/>
  <c r="U768" i="2"/>
  <c r="U770" i="2"/>
  <c r="H770" i="16" s="1"/>
  <c r="U771" i="2"/>
  <c r="H771" i="16" s="1"/>
  <c r="U772" i="2"/>
  <c r="H772" i="16" s="1"/>
  <c r="U773" i="2"/>
  <c r="H773" i="16" s="1"/>
  <c r="U774" i="2"/>
  <c r="H774" i="16" s="1"/>
  <c r="U775" i="2"/>
  <c r="H775" i="16" s="1"/>
  <c r="U776" i="2"/>
  <c r="U778" i="2"/>
  <c r="H778" i="16" s="1"/>
  <c r="U779" i="2"/>
  <c r="H779" i="16" s="1"/>
  <c r="U780" i="2"/>
  <c r="H780" i="16" s="1"/>
  <c r="U781" i="2"/>
  <c r="H781" i="16" s="1"/>
  <c r="U782" i="2"/>
  <c r="H782" i="16" s="1"/>
  <c r="U784" i="2"/>
  <c r="H784" i="16" s="1"/>
  <c r="U786" i="2"/>
  <c r="H786" i="16" s="1"/>
  <c r="U787" i="2"/>
  <c r="H787" i="16" s="1"/>
  <c r="U788" i="2"/>
  <c r="H788" i="16" s="1"/>
  <c r="U789" i="2"/>
  <c r="H789" i="16" s="1"/>
  <c r="U793" i="2"/>
  <c r="H793" i="16" s="1"/>
  <c r="U794" i="2"/>
  <c r="H794" i="16" s="1"/>
  <c r="U795" i="2"/>
  <c r="H795" i="16" s="1"/>
  <c r="U797" i="2"/>
  <c r="H797" i="16" s="1"/>
  <c r="U800" i="2"/>
  <c r="H800" i="16" s="1"/>
  <c r="U801" i="2"/>
  <c r="H801" i="16" s="1"/>
  <c r="U802" i="2"/>
  <c r="H802" i="16" s="1"/>
  <c r="U803" i="2"/>
  <c r="H803" i="16" s="1"/>
  <c r="U805" i="2"/>
  <c r="H805" i="16" s="1"/>
  <c r="U806" i="2"/>
  <c r="H806" i="16" s="1"/>
  <c r="U808" i="2"/>
  <c r="H808" i="16" s="1"/>
  <c r="U809" i="2"/>
  <c r="H809" i="16" s="1"/>
  <c r="U810" i="2"/>
  <c r="H810" i="16" s="1"/>
  <c r="U811" i="2"/>
  <c r="H811" i="16" s="1"/>
  <c r="U812" i="2"/>
  <c r="H812" i="16" s="1"/>
  <c r="U813" i="2"/>
  <c r="U816" i="2"/>
  <c r="H816" i="16" s="1"/>
  <c r="U823" i="2"/>
  <c r="H823" i="16" s="1"/>
  <c r="U824" i="2"/>
  <c r="H824" i="16" s="1"/>
  <c r="U825" i="2"/>
  <c r="H825" i="16" s="1"/>
  <c r="U826" i="2"/>
  <c r="H826" i="16" s="1"/>
  <c r="U827" i="2"/>
  <c r="H827" i="16" s="1"/>
  <c r="U829" i="2"/>
  <c r="H829" i="16" s="1"/>
  <c r="U830" i="2"/>
  <c r="H830" i="16" s="1"/>
  <c r="U832" i="2"/>
  <c r="H832" i="16" s="1"/>
  <c r="U833" i="2"/>
  <c r="H833" i="16" s="1"/>
  <c r="U834" i="2"/>
  <c r="H834" i="16" s="1"/>
  <c r="U835" i="2"/>
  <c r="H835" i="16" s="1"/>
  <c r="U836" i="2"/>
  <c r="H836" i="16" s="1"/>
  <c r="U837" i="2"/>
  <c r="H837" i="16" s="1"/>
  <c r="U838" i="2"/>
  <c r="U840" i="2"/>
  <c r="H840" i="16" s="1"/>
  <c r="U841" i="2"/>
  <c r="H841" i="16" s="1"/>
  <c r="U842" i="2"/>
  <c r="U846" i="2"/>
  <c r="H846" i="16" s="1"/>
  <c r="U847" i="2"/>
  <c r="H847" i="16" s="1"/>
  <c r="U848" i="2"/>
  <c r="H848" i="16" s="1"/>
  <c r="U850" i="2"/>
  <c r="H850" i="16" s="1"/>
  <c r="U851" i="2"/>
  <c r="H851" i="16" s="1"/>
  <c r="U856" i="2"/>
  <c r="H856" i="16" s="1"/>
  <c r="U857" i="2"/>
  <c r="H857" i="16" s="1"/>
  <c r="U858" i="2"/>
  <c r="H858" i="16" s="1"/>
  <c r="U859" i="2"/>
  <c r="H859" i="16" s="1"/>
  <c r="U860" i="2"/>
  <c r="U864" i="2"/>
  <c r="U869" i="2"/>
  <c r="H869" i="16" s="1"/>
  <c r="U870" i="2"/>
  <c r="U872" i="2"/>
  <c r="H872" i="16" s="1"/>
  <c r="U873" i="2"/>
  <c r="H873" i="16" s="1"/>
  <c r="U874" i="2"/>
  <c r="U876" i="2"/>
  <c r="H876" i="16" s="1"/>
  <c r="U877" i="2"/>
  <c r="H877" i="16" s="1"/>
  <c r="U878" i="2"/>
  <c r="H878" i="16" s="1"/>
  <c r="U879" i="2"/>
  <c r="H879" i="16" s="1"/>
  <c r="U880" i="2"/>
  <c r="H880" i="16" s="1"/>
  <c r="U881" i="2"/>
  <c r="H881" i="16" s="1"/>
  <c r="U882" i="2"/>
  <c r="H882" i="16" s="1"/>
  <c r="U883" i="2"/>
  <c r="H883" i="16" s="1"/>
  <c r="U884" i="2"/>
  <c r="H884" i="16" s="1"/>
  <c r="U886" i="2"/>
  <c r="U888" i="2"/>
  <c r="H888" i="16" s="1"/>
  <c r="U889" i="2"/>
  <c r="H889" i="16" s="1"/>
  <c r="U890" i="2"/>
  <c r="H890" i="16" s="1"/>
  <c r="U893" i="2"/>
  <c r="H893" i="16" s="1"/>
  <c r="U894" i="2"/>
  <c r="H894" i="16" s="1"/>
  <c r="U896" i="2"/>
  <c r="H896" i="16" s="1"/>
  <c r="U899" i="2"/>
  <c r="H899" i="16" s="1"/>
  <c r="U900" i="2"/>
  <c r="H900" i="16" s="1"/>
  <c r="U905" i="2"/>
  <c r="U909" i="2"/>
  <c r="H909" i="16" s="1"/>
  <c r="U911" i="2"/>
  <c r="H911" i="16" s="1"/>
  <c r="U912" i="2"/>
  <c r="H912" i="16" s="1"/>
  <c r="U913" i="2"/>
  <c r="H913" i="16" s="1"/>
  <c r="U914" i="2"/>
  <c r="H914" i="16" s="1"/>
  <c r="U915" i="2"/>
  <c r="U917" i="2"/>
  <c r="H917" i="16" s="1"/>
  <c r="U918" i="2"/>
  <c r="H918" i="16" s="1"/>
  <c r="U919" i="2"/>
  <c r="U921" i="2"/>
  <c r="H921" i="16" s="1"/>
  <c r="U923" i="2"/>
  <c r="H923" i="16" s="1"/>
  <c r="U924" i="2"/>
  <c r="H924" i="16" s="1"/>
  <c r="U925" i="2"/>
  <c r="H925" i="16" s="1"/>
  <c r="U926" i="2"/>
  <c r="H926" i="16" s="1"/>
  <c r="U927" i="2"/>
  <c r="H927" i="16" s="1"/>
  <c r="U928" i="2"/>
  <c r="H928" i="16" s="1"/>
  <c r="U929" i="2"/>
  <c r="U932" i="2"/>
  <c r="H932" i="16" s="1"/>
  <c r="U933" i="2"/>
  <c r="H933" i="16" s="1"/>
  <c r="U934" i="2"/>
  <c r="H934" i="16" s="1"/>
  <c r="U935" i="2"/>
  <c r="H935" i="16" s="1"/>
  <c r="U938" i="2"/>
  <c r="H938" i="16" s="1"/>
  <c r="U939" i="2"/>
  <c r="H939" i="16" s="1"/>
  <c r="U940" i="2"/>
  <c r="H940" i="16" s="1"/>
  <c r="U941" i="2"/>
  <c r="U944" i="2"/>
  <c r="H944" i="16" s="1"/>
  <c r="U945" i="2"/>
  <c r="H945" i="16" s="1"/>
  <c r="U946" i="2"/>
  <c r="U948" i="2"/>
  <c r="H948" i="16" s="1"/>
  <c r="U949" i="2"/>
  <c r="H949" i="16" s="1"/>
  <c r="U950" i="2"/>
  <c r="H950" i="16" s="1"/>
  <c r="U951" i="2"/>
  <c r="H951" i="16" s="1"/>
  <c r="U952" i="2"/>
  <c r="H952" i="16" s="1"/>
  <c r="U953" i="2"/>
  <c r="H953" i="16" s="1"/>
  <c r="U954" i="2"/>
  <c r="H954" i="16" s="1"/>
  <c r="U955" i="2"/>
  <c r="U957" i="2"/>
  <c r="H957" i="16" s="1"/>
  <c r="U958" i="2"/>
  <c r="U960" i="2"/>
  <c r="H960" i="16" s="1"/>
  <c r="U961" i="2"/>
  <c r="H961" i="16" s="1"/>
  <c r="U962" i="2"/>
  <c r="H962" i="16" s="1"/>
  <c r="U966" i="2"/>
  <c r="U968" i="2"/>
  <c r="H968" i="16" s="1"/>
  <c r="U969" i="2"/>
  <c r="U974" i="2"/>
  <c r="H974" i="16" s="1"/>
  <c r="U976" i="2"/>
  <c r="H976" i="16" s="1"/>
  <c r="U977" i="2"/>
  <c r="U979" i="2"/>
  <c r="H979" i="16" s="1"/>
  <c r="U980" i="2"/>
  <c r="U985" i="2"/>
  <c r="U987" i="2"/>
  <c r="H987" i="16" s="1"/>
  <c r="U988" i="2"/>
  <c r="H988" i="16" s="1"/>
  <c r="U989" i="2"/>
  <c r="H989" i="16" s="1"/>
  <c r="U990" i="2"/>
  <c r="H990" i="16" s="1"/>
  <c r="U991" i="2"/>
  <c r="H991" i="16" s="1"/>
  <c r="U992" i="2"/>
  <c r="H992" i="16" s="1"/>
  <c r="U994" i="2"/>
  <c r="H994" i="16" s="1"/>
  <c r="U995" i="2"/>
  <c r="H995" i="16" s="1"/>
  <c r="U996" i="2"/>
  <c r="H996" i="16" s="1"/>
  <c r="U997" i="2"/>
  <c r="H997" i="16" s="1"/>
  <c r="U998" i="2"/>
  <c r="H998" i="16" s="1"/>
  <c r="U999" i="2"/>
  <c r="H999" i="16" s="1"/>
  <c r="U1000" i="2"/>
  <c r="H1000" i="16" s="1"/>
  <c r="U1001" i="2"/>
  <c r="H1001" i="16" s="1"/>
  <c r="U1004" i="2"/>
  <c r="H1004" i="16" s="1"/>
  <c r="U1006" i="2"/>
  <c r="H1006" i="16" s="1"/>
  <c r="U1007" i="2"/>
  <c r="H1007" i="16" s="1"/>
  <c r="U1008" i="2"/>
  <c r="H1008" i="16" s="1"/>
  <c r="U1009" i="2"/>
  <c r="H1009" i="16" s="1"/>
  <c r="U1010" i="2"/>
  <c r="U1013" i="2"/>
  <c r="H1013" i="16" s="1"/>
  <c r="U1014" i="2"/>
  <c r="H1014" i="16" s="1"/>
  <c r="U1016" i="2"/>
  <c r="H1016" i="16" s="1"/>
  <c r="U1018" i="2"/>
  <c r="H1018" i="16" s="1"/>
  <c r="U1019" i="2"/>
  <c r="H1019" i="16" s="1"/>
  <c r="U1020" i="2"/>
  <c r="U1022" i="2"/>
  <c r="H1022" i="16" s="1"/>
  <c r="U1023" i="2"/>
  <c r="U1025" i="2"/>
  <c r="U1027" i="2"/>
  <c r="H1027" i="16" s="1"/>
  <c r="U1030" i="2"/>
  <c r="H1030" i="16" s="1"/>
  <c r="U1031" i="2"/>
  <c r="H1031" i="16" s="1"/>
  <c r="U1032" i="2"/>
  <c r="H1032" i="16" s="1"/>
  <c r="U1033" i="2"/>
  <c r="H1033" i="16" s="1"/>
  <c r="U1034" i="2"/>
  <c r="H1034" i="16" s="1"/>
  <c r="U1035" i="2"/>
  <c r="H1035" i="16" s="1"/>
  <c r="U1036" i="2"/>
  <c r="H1036" i="16" s="1"/>
  <c r="U1037" i="2"/>
  <c r="U1039" i="2"/>
  <c r="H1039" i="16" s="1"/>
  <c r="U1040" i="2"/>
  <c r="U1042" i="2"/>
  <c r="H1042" i="16" s="1"/>
  <c r="U1043" i="2"/>
  <c r="U1045" i="2"/>
  <c r="H1045" i="16" s="1"/>
  <c r="U1046" i="2"/>
  <c r="H1046" i="16" s="1"/>
  <c r="U1047" i="2"/>
  <c r="H1047" i="16" s="1"/>
  <c r="U1048" i="2"/>
  <c r="H1048" i="16" s="1"/>
  <c r="U1049" i="2"/>
  <c r="H1049" i="16" s="1"/>
  <c r="U1050" i="2"/>
  <c r="H1050" i="16" s="1"/>
  <c r="U1052" i="2"/>
  <c r="H1052" i="16" s="1"/>
  <c r="U1053" i="2"/>
  <c r="H1053" i="16" s="1"/>
  <c r="U1054" i="2"/>
  <c r="H1054" i="16" s="1"/>
  <c r="U1055" i="2"/>
  <c r="H1055" i="16" s="1"/>
  <c r="U1057" i="2"/>
  <c r="H1057" i="16" s="1"/>
  <c r="U1058" i="2"/>
  <c r="H1058" i="16" s="1"/>
  <c r="U1059" i="2"/>
  <c r="U1061" i="2"/>
  <c r="H1061" i="16" s="1"/>
  <c r="U1062" i="2"/>
  <c r="H1062" i="16" s="1"/>
  <c r="U1063" i="2"/>
  <c r="H1063" i="16" s="1"/>
  <c r="U1064" i="2"/>
  <c r="H1064" i="16" s="1"/>
  <c r="U1067" i="2"/>
  <c r="U1069" i="2"/>
  <c r="U1071" i="2"/>
  <c r="H1071" i="16" s="1"/>
  <c r="U1072" i="2"/>
  <c r="H1072" i="16" s="1"/>
  <c r="U1074" i="2"/>
  <c r="H1074" i="16" s="1"/>
  <c r="U1075" i="2"/>
  <c r="U1079" i="2"/>
  <c r="H1079" i="16" s="1"/>
  <c r="U1080" i="2"/>
  <c r="H1080" i="16" s="1"/>
  <c r="U1081" i="2"/>
  <c r="H1081" i="16" s="1"/>
  <c r="U1082" i="2"/>
  <c r="H1082" i="16" s="1"/>
  <c r="U1083" i="2"/>
  <c r="H1083" i="16" s="1"/>
  <c r="U1084" i="2"/>
  <c r="H1084" i="16" s="1"/>
  <c r="U1085" i="2"/>
  <c r="H1085" i="16" s="1"/>
  <c r="U1086" i="2"/>
  <c r="H1086" i="16" s="1"/>
  <c r="U1087" i="2"/>
  <c r="H1087" i="16" s="1"/>
  <c r="U1088" i="2"/>
  <c r="H1088" i="16" s="1"/>
  <c r="U1089" i="2"/>
  <c r="H1089" i="16" s="1"/>
  <c r="U1090" i="2"/>
  <c r="H1090" i="16" s="1"/>
  <c r="U1091" i="2"/>
  <c r="H1091" i="16" s="1"/>
  <c r="U1092" i="2"/>
  <c r="U1094" i="2"/>
  <c r="H1094" i="16" s="1"/>
  <c r="U1095" i="2"/>
  <c r="U1100" i="2"/>
  <c r="H1100" i="16" s="1"/>
  <c r="U1101" i="2"/>
  <c r="U1103" i="2"/>
  <c r="U1105" i="2"/>
  <c r="H1105" i="16" s="1"/>
  <c r="U1106" i="2"/>
  <c r="U1108" i="2"/>
  <c r="H1108" i="16" s="1"/>
  <c r="U1109" i="2"/>
  <c r="H1109" i="16" s="1"/>
  <c r="U1110" i="2"/>
  <c r="H1110" i="16" s="1"/>
  <c r="U1111" i="2"/>
  <c r="H1111" i="16" s="1"/>
  <c r="U1112" i="2"/>
  <c r="H1112" i="16" s="1"/>
  <c r="U1113" i="2"/>
  <c r="H1113" i="16" s="1"/>
  <c r="U1114" i="2"/>
  <c r="H1114" i="16" s="1"/>
  <c r="U1115" i="2"/>
  <c r="H1115" i="16" s="1"/>
  <c r="U1116" i="2"/>
  <c r="H1116" i="16" s="1"/>
  <c r="U1118" i="2"/>
  <c r="U1120" i="2"/>
  <c r="H1120" i="16" s="1"/>
  <c r="U1121" i="2"/>
  <c r="H1121" i="16" s="1"/>
  <c r="U1122" i="2"/>
  <c r="H1122" i="16" s="1"/>
  <c r="U1126" i="2"/>
  <c r="H1126" i="16" s="1"/>
  <c r="U1127" i="2"/>
  <c r="H1127" i="16" s="1"/>
  <c r="U1128" i="2"/>
  <c r="H1128" i="16" s="1"/>
  <c r="U1129" i="2"/>
  <c r="H1129" i="16" s="1"/>
  <c r="U1130" i="2"/>
  <c r="U1132" i="2"/>
  <c r="H1132" i="16" s="1"/>
  <c r="U1133" i="2"/>
  <c r="H1133" i="16" s="1"/>
  <c r="U1134" i="2"/>
  <c r="H1134" i="16" s="1"/>
  <c r="U1135" i="2"/>
  <c r="H1135" i="16" s="1"/>
  <c r="U1136" i="2"/>
  <c r="H1136" i="16" s="1"/>
  <c r="U1137" i="2"/>
  <c r="H1137" i="16" s="1"/>
  <c r="U1138" i="2"/>
  <c r="H1138" i="16" s="1"/>
  <c r="U1139" i="2"/>
  <c r="H1139" i="16" s="1"/>
  <c r="U1140" i="2"/>
  <c r="H1140" i="16" s="1"/>
  <c r="U1141" i="2"/>
  <c r="H1141" i="16" s="1"/>
  <c r="U1143" i="2"/>
  <c r="H1143" i="16" s="1"/>
  <c r="U1144" i="2"/>
  <c r="H1144" i="16" s="1"/>
  <c r="U1145" i="2"/>
  <c r="H1145" i="16" s="1"/>
  <c r="U1146" i="2"/>
  <c r="H1146" i="16" s="1"/>
  <c r="U1147" i="2"/>
  <c r="U1150" i="2"/>
  <c r="U1152" i="2"/>
  <c r="H1152" i="16" s="1"/>
  <c r="U1153" i="2"/>
  <c r="H1153" i="16" s="1"/>
  <c r="U1155" i="2"/>
  <c r="U1157" i="2"/>
  <c r="H1157" i="16" s="1"/>
  <c r="U1158" i="2"/>
  <c r="H1158" i="16" s="1"/>
  <c r="U1159" i="2"/>
  <c r="H1159" i="16" s="1"/>
  <c r="U1160" i="2"/>
  <c r="H1160" i="16" s="1"/>
  <c r="U1161" i="2"/>
  <c r="H1161" i="16" s="1"/>
  <c r="U1163" i="2"/>
  <c r="H1163" i="16" s="1"/>
  <c r="U1164" i="2"/>
  <c r="H1164" i="16" s="1"/>
  <c r="U1166" i="2"/>
  <c r="H1166" i="16" s="1"/>
  <c r="U1167" i="2"/>
  <c r="H1167" i="16" s="1"/>
  <c r="U1168" i="2"/>
  <c r="H1168" i="16" s="1"/>
  <c r="U1169" i="2"/>
  <c r="H1169" i="16" s="1"/>
  <c r="U1170" i="2"/>
  <c r="H1170" i="16" s="1"/>
  <c r="U1171" i="2"/>
  <c r="H1171" i="16" s="1"/>
  <c r="U1172" i="2"/>
  <c r="H1172" i="16" s="1"/>
  <c r="U1173" i="2"/>
  <c r="H1173" i="16" s="1"/>
  <c r="U1174" i="2"/>
  <c r="H1174" i="16" s="1"/>
  <c r="U1175" i="2"/>
  <c r="U1177" i="2"/>
  <c r="H1177" i="16" s="1"/>
  <c r="U1179" i="2"/>
  <c r="H1179" i="16" s="1"/>
  <c r="U1180" i="2"/>
  <c r="H1180" i="16" s="1"/>
  <c r="U1181" i="2"/>
  <c r="H1181" i="16" s="1"/>
  <c r="U1182" i="2"/>
  <c r="H1182" i="16" s="1"/>
  <c r="U1183" i="2"/>
  <c r="H1183" i="16" s="1"/>
  <c r="U1184" i="2"/>
  <c r="H1184" i="16" s="1"/>
  <c r="U1185" i="2"/>
  <c r="H1185" i="16" s="1"/>
  <c r="U1186" i="2"/>
  <c r="H1186" i="16" s="1"/>
  <c r="U1187" i="2"/>
  <c r="H1187" i="16" s="1"/>
  <c r="U1188" i="2"/>
  <c r="H1188" i="16" s="1"/>
  <c r="U1189" i="2"/>
  <c r="H1189" i="16" s="1"/>
  <c r="U1190" i="2"/>
  <c r="U1192" i="2"/>
  <c r="U1195" i="2"/>
  <c r="H1195" i="16" s="1"/>
  <c r="U1196" i="2"/>
  <c r="H1196" i="16" s="1"/>
  <c r="U1197" i="2"/>
  <c r="H1197" i="16" s="1"/>
  <c r="U1198" i="2"/>
  <c r="H1198" i="16" s="1"/>
  <c r="U1199" i="2"/>
  <c r="H1199" i="16" s="1"/>
  <c r="U1200" i="2"/>
  <c r="H1200" i="16" s="1"/>
  <c r="U1201" i="2"/>
  <c r="H1201" i="16" s="1"/>
  <c r="U1202" i="2"/>
  <c r="H1202" i="16" s="1"/>
  <c r="U1203" i="2"/>
  <c r="H1203" i="16" s="1"/>
  <c r="U1204" i="2"/>
  <c r="H1204" i="16" s="1"/>
  <c r="U1205" i="2"/>
  <c r="H1205" i="16" s="1"/>
  <c r="U1206" i="2"/>
  <c r="H1206" i="16" s="1"/>
  <c r="U1207" i="2"/>
  <c r="H1207" i="16" s="1"/>
  <c r="U1208" i="2"/>
  <c r="H1208" i="16" s="1"/>
  <c r="U1209" i="2"/>
  <c r="H1209" i="16" s="1"/>
  <c r="U1210" i="2"/>
  <c r="H1210" i="16" s="1"/>
  <c r="U1211" i="2"/>
  <c r="H1211" i="16" s="1"/>
  <c r="U2" i="2"/>
  <c r="H2" i="16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J47" i="16" s="1"/>
  <c r="AG47" i="16" s="1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2" i="2"/>
  <c r="T2" i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 s="1"/>
  <c r="Y23" i="2" s="1"/>
  <c r="Y24" i="2"/>
  <c r="Y25" i="2"/>
  <c r="Y26" i="2"/>
  <c r="Y27" i="2"/>
  <c r="Y28" i="2"/>
  <c r="Y29" i="2"/>
  <c r="Y30" i="2"/>
  <c r="Y31" i="2" s="1"/>
  <c r="Y32" i="2"/>
  <c r="Y33" i="2"/>
  <c r="Y34" i="2" s="1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9" i="2"/>
  <c r="Y50" i="2"/>
  <c r="Y51" i="2"/>
  <c r="Y53" i="2"/>
  <c r="Y54" i="2"/>
  <c r="Y55" i="2"/>
  <c r="Y56" i="2"/>
  <c r="Y57" i="2"/>
  <c r="Y58" i="2"/>
  <c r="Y59" i="2"/>
  <c r="Y60" i="2"/>
  <c r="Y61" i="2"/>
  <c r="Y62" i="2" s="1"/>
  <c r="Y63" i="2"/>
  <c r="Y64" i="2" s="1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 s="1"/>
  <c r="Y79" i="2" s="1"/>
  <c r="Y80" i="2"/>
  <c r="Y81" i="2" s="1"/>
  <c r="Y82" i="2"/>
  <c r="Y83" i="2"/>
  <c r="Y84" i="2"/>
  <c r="Y85" i="2"/>
  <c r="Y86" i="2" s="1"/>
  <c r="Y87" i="2"/>
  <c r="Y88" i="2"/>
  <c r="Y89" i="2"/>
  <c r="Y90" i="2"/>
  <c r="Y91" i="2"/>
  <c r="Y92" i="2"/>
  <c r="Y93" i="2"/>
  <c r="Y94" i="2"/>
  <c r="Y95" i="2"/>
  <c r="Y96" i="2"/>
  <c r="Y97" i="2"/>
  <c r="Y98" i="2" s="1"/>
  <c r="Y99" i="2"/>
  <c r="Y100" i="2"/>
  <c r="Y101" i="2"/>
  <c r="Y102" i="2"/>
  <c r="Y103" i="2" s="1"/>
  <c r="Y104" i="2"/>
  <c r="Y105" i="2"/>
  <c r="Y106" i="2"/>
  <c r="Y107" i="2"/>
  <c r="Y108" i="2"/>
  <c r="Y109" i="2"/>
  <c r="Y110" i="2"/>
  <c r="Y111" i="2" s="1"/>
  <c r="Y112" i="2"/>
  <c r="Y113" i="2" s="1"/>
  <c r="Y114" i="2"/>
  <c r="Y115" i="2" s="1"/>
  <c r="Y116" i="2"/>
  <c r="Y117" i="2"/>
  <c r="Y118" i="2"/>
  <c r="Y120" i="2"/>
  <c r="Y121" i="2" s="1"/>
  <c r="Y124" i="2"/>
  <c r="Y125" i="2"/>
  <c r="Y126" i="2" s="1"/>
  <c r="Y128" i="2"/>
  <c r="Y130" i="2"/>
  <c r="Y131" i="2" s="1"/>
  <c r="Y132" i="2" s="1"/>
  <c r="Y133" i="2" s="1"/>
  <c r="Y134" i="2" s="1"/>
  <c r="Y135" i="2"/>
  <c r="Y136" i="2"/>
  <c r="Y141" i="2"/>
  <c r="Y142" i="2"/>
  <c r="Y143" i="2" s="1"/>
  <c r="Y144" i="2"/>
  <c r="Y145" i="2"/>
  <c r="Y146" i="2" s="1"/>
  <c r="Y147" i="2"/>
  <c r="Y148" i="2"/>
  <c r="Y149" i="2"/>
  <c r="Y150" i="2"/>
  <c r="Y151" i="2"/>
  <c r="Y152" i="2"/>
  <c r="Y153" i="2"/>
  <c r="Y154" i="2"/>
  <c r="Y155" i="2" s="1"/>
  <c r="Y156" i="2"/>
  <c r="Y157" i="2"/>
  <c r="Y158" i="2"/>
  <c r="Y159" i="2"/>
  <c r="Y160" i="2"/>
  <c r="Y162" i="2"/>
  <c r="Y163" i="2" s="1"/>
  <c r="Y164" i="2"/>
  <c r="Y165" i="2"/>
  <c r="Y166" i="2"/>
  <c r="Y167" i="2" s="1"/>
  <c r="Y168" i="2"/>
  <c r="Y169" i="2"/>
  <c r="Y170" i="2"/>
  <c r="Y171" i="2"/>
  <c r="Y172" i="2"/>
  <c r="Y173" i="2"/>
  <c r="Y174" i="2"/>
  <c r="Y175" i="2"/>
  <c r="Y176" i="2" s="1"/>
  <c r="Y178" i="2"/>
  <c r="Y179" i="2"/>
  <c r="Y180" i="2" s="1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 s="1"/>
  <c r="Y200" i="2"/>
  <c r="Y201" i="2"/>
  <c r="Y202" i="2"/>
  <c r="Y203" i="2" s="1"/>
  <c r="Y204" i="2"/>
  <c r="Y205" i="2"/>
  <c r="Y206" i="2"/>
  <c r="Y207" i="2"/>
  <c r="Y208" i="2"/>
  <c r="Y209" i="2" s="1"/>
  <c r="Y210" i="2"/>
  <c r="Y211" i="2" s="1"/>
  <c r="Y212" i="2"/>
  <c r="Y213" i="2"/>
  <c r="Y214" i="2"/>
  <c r="Y215" i="2"/>
  <c r="Y216" i="2"/>
  <c r="Y217" i="2" s="1"/>
  <c r="Y218" i="2"/>
  <c r="Y219" i="2" s="1"/>
  <c r="Y220" i="2"/>
  <c r="Y221" i="2"/>
  <c r="Y222" i="2" s="1"/>
  <c r="Y223" i="2" s="1"/>
  <c r="Y224" i="2" s="1"/>
  <c r="Y225" i="2"/>
  <c r="Y226" i="2"/>
  <c r="Y227" i="2"/>
  <c r="Y228" i="2"/>
  <c r="Y231" i="2"/>
  <c r="Y232" i="2"/>
  <c r="Y234" i="2"/>
  <c r="Y235" i="2"/>
  <c r="Y236" i="2"/>
  <c r="Y238" i="2"/>
  <c r="Y239" i="2"/>
  <c r="Y240" i="2"/>
  <c r="Y241" i="2"/>
  <c r="Y242" i="2"/>
  <c r="Y243" i="2"/>
  <c r="Y245" i="2"/>
  <c r="Y246" i="2"/>
  <c r="Y247" i="2"/>
  <c r="Y248" i="2" s="1"/>
  <c r="Y249" i="2"/>
  <c r="Y250" i="2"/>
  <c r="Y251" i="2"/>
  <c r="Y252" i="2"/>
  <c r="Y253" i="2"/>
  <c r="Y257" i="2"/>
  <c r="Y258" i="2" s="1"/>
  <c r="Y259" i="2"/>
  <c r="Y260" i="2"/>
  <c r="Y261" i="2"/>
  <c r="Y262" i="2"/>
  <c r="Y263" i="2" s="1"/>
  <c r="Y264" i="2"/>
  <c r="Y265" i="2"/>
  <c r="Y266" i="2"/>
  <c r="Y267" i="2" s="1"/>
  <c r="Y269" i="2"/>
  <c r="Y270" i="2"/>
  <c r="Y271" i="2" s="1"/>
  <c r="Y272" i="2"/>
  <c r="Y273" i="2" s="1"/>
  <c r="Y275" i="2"/>
  <c r="Y276" i="2"/>
  <c r="Y277" i="2" s="1"/>
  <c r="Y278" i="2"/>
  <c r="Y279" i="2"/>
  <c r="Y280" i="2"/>
  <c r="Y282" i="2"/>
  <c r="Y283" i="2"/>
  <c r="Y286" i="2"/>
  <c r="Y287" i="2"/>
  <c r="Y288" i="2"/>
  <c r="Y289" i="2"/>
  <c r="Y290" i="2"/>
  <c r="Y291" i="2"/>
  <c r="Y292" i="2"/>
  <c r="Y293" i="2"/>
  <c r="Y294" i="2"/>
  <c r="Y295" i="2" s="1"/>
  <c r="Y296" i="2"/>
  <c r="Y297" i="2"/>
  <c r="Y298" i="2"/>
  <c r="Y299" i="2"/>
  <c r="Y300" i="2"/>
  <c r="Y303" i="2"/>
  <c r="Y304" i="2"/>
  <c r="Y305" i="2"/>
  <c r="Y306" i="2"/>
  <c r="Y307" i="2"/>
  <c r="Y308" i="2"/>
  <c r="Y309" i="2"/>
  <c r="Y310" i="2"/>
  <c r="Y311" i="2"/>
  <c r="Y312" i="2"/>
  <c r="Y315" i="2"/>
  <c r="Y316" i="2"/>
  <c r="Y318" i="2"/>
  <c r="Y319" i="2"/>
  <c r="Y320" i="2" s="1"/>
  <c r="Y321" i="2"/>
  <c r="Y324" i="2"/>
  <c r="Y325" i="2"/>
  <c r="Y328" i="2"/>
  <c r="Y329" i="2"/>
  <c r="Y333" i="2"/>
  <c r="Y334" i="2"/>
  <c r="Y335" i="2"/>
  <c r="Y336" i="2"/>
  <c r="Y337" i="2"/>
  <c r="Y338" i="2" s="1"/>
  <c r="Y339" i="2"/>
  <c r="Y340" i="2"/>
  <c r="Y341" i="2" s="1"/>
  <c r="Y343" i="2"/>
  <c r="Y344" i="2"/>
  <c r="Y345" i="2"/>
  <c r="Y346" i="2"/>
  <c r="Y347" i="2"/>
  <c r="Y348" i="2"/>
  <c r="Y351" i="2"/>
  <c r="Y352" i="2"/>
  <c r="Y354" i="2"/>
  <c r="Y355" i="2"/>
  <c r="Y356" i="2" s="1"/>
  <c r="Y357" i="2"/>
  <c r="Y358" i="2" s="1"/>
  <c r="Y359" i="2"/>
  <c r="Y360" i="2"/>
  <c r="Y361" i="2"/>
  <c r="Y362" i="2"/>
  <c r="Y363" i="2"/>
  <c r="Y364" i="2"/>
  <c r="Y366" i="2"/>
  <c r="Y367" i="2"/>
  <c r="Y370" i="2"/>
  <c r="Y371" i="2"/>
  <c r="Y372" i="2"/>
  <c r="Y373" i="2"/>
  <c r="Y374" i="2"/>
  <c r="Y375" i="2"/>
  <c r="Y376" i="2"/>
  <c r="Y377" i="2"/>
  <c r="Y378" i="2"/>
  <c r="Y379" i="2"/>
  <c r="Y380" i="2" s="1"/>
  <c r="Y381" i="2"/>
  <c r="Y382" i="2"/>
  <c r="Y383" i="2"/>
  <c r="Y384" i="2"/>
  <c r="Y385" i="2" s="1"/>
  <c r="Y386" i="2"/>
  <c r="Y387" i="2"/>
  <c r="Y388" i="2"/>
  <c r="Y389" i="2"/>
  <c r="Y391" i="2"/>
  <c r="Y392" i="2"/>
  <c r="Y393" i="2" s="1"/>
  <c r="Y394" i="2" s="1"/>
  <c r="Y395" i="2"/>
  <c r="Y396" i="2"/>
  <c r="Y397" i="2"/>
  <c r="Y398" i="2" s="1"/>
  <c r="Y399" i="2"/>
  <c r="Y400" i="2" s="1"/>
  <c r="Y401" i="2" s="1"/>
  <c r="Y402" i="2" s="1"/>
  <c r="Y403" i="2"/>
  <c r="Y404" i="2"/>
  <c r="Y405" i="2"/>
  <c r="Y408" i="2"/>
  <c r="Y409" i="2"/>
  <c r="Y410" i="2"/>
  <c r="Y411" i="2"/>
  <c r="Y412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 s="1"/>
  <c r="Y428" i="2"/>
  <c r="Y429" i="2"/>
  <c r="Y430" i="2"/>
  <c r="Y431" i="2"/>
  <c r="Y432" i="2"/>
  <c r="Y434" i="2"/>
  <c r="Y435" i="2"/>
  <c r="Y436" i="2"/>
  <c r="Y438" i="2"/>
  <c r="Y439" i="2"/>
  <c r="Y440" i="2"/>
  <c r="Y441" i="2"/>
  <c r="Y442" i="2"/>
  <c r="Y443" i="2"/>
  <c r="Y444" i="2"/>
  <c r="Y445" i="2"/>
  <c r="Y447" i="2"/>
  <c r="Y448" i="2"/>
  <c r="Y449" i="2"/>
  <c r="Y451" i="2"/>
  <c r="Y452" i="2"/>
  <c r="Y453" i="2"/>
  <c r="Y455" i="2"/>
  <c r="Y456" i="2"/>
  <c r="Y457" i="2"/>
  <c r="Y458" i="2"/>
  <c r="Y459" i="2" s="1"/>
  <c r="Y460" i="2"/>
  <c r="Y461" i="2"/>
  <c r="Y462" i="2"/>
  <c r="Y463" i="2"/>
  <c r="Y464" i="2"/>
  <c r="Y465" i="2"/>
  <c r="Y466" i="2"/>
  <c r="Y467" i="2"/>
  <c r="Y468" i="2"/>
  <c r="Y469" i="2" s="1"/>
  <c r="Y470" i="2"/>
  <c r="Y471" i="2" s="1"/>
  <c r="Y472" i="2"/>
  <c r="Y473" i="2"/>
  <c r="Y475" i="2"/>
  <c r="Y476" i="2"/>
  <c r="Y478" i="2"/>
  <c r="Y481" i="2"/>
  <c r="Y482" i="2" s="1"/>
  <c r="Y483" i="2"/>
  <c r="Y485" i="2"/>
  <c r="Y487" i="2"/>
  <c r="Y488" i="2"/>
  <c r="Y489" i="2"/>
  <c r="Y490" i="2"/>
  <c r="Y491" i="2"/>
  <c r="Y492" i="2"/>
  <c r="Y493" i="2"/>
  <c r="Y494" i="2"/>
  <c r="Y495" i="2"/>
  <c r="Y496" i="2"/>
  <c r="Y497" i="2"/>
  <c r="Y498" i="2" s="1"/>
  <c r="Y501" i="2"/>
  <c r="Y502" i="2"/>
  <c r="Y503" i="2"/>
  <c r="Y504" i="2"/>
  <c r="Y505" i="2"/>
  <c r="Y506" i="2"/>
  <c r="Y507" i="2" s="1"/>
  <c r="Y508" i="2"/>
  <c r="Y509" i="2"/>
  <c r="Y511" i="2"/>
  <c r="Y512" i="2"/>
  <c r="Y514" i="2"/>
  <c r="Y515" i="2"/>
  <c r="Y516" i="2"/>
  <c r="Y517" i="2" s="1"/>
  <c r="Y518" i="2" s="1"/>
  <c r="Y519" i="2"/>
  <c r="Y520" i="2"/>
  <c r="Y521" i="2" s="1"/>
  <c r="Y522" i="2"/>
  <c r="Y524" i="2"/>
  <c r="Y525" i="2"/>
  <c r="Y527" i="2"/>
  <c r="Y528" i="2"/>
  <c r="Y529" i="2"/>
  <c r="Y531" i="2"/>
  <c r="Y532" i="2"/>
  <c r="Y536" i="2"/>
  <c r="Y537" i="2"/>
  <c r="Y538" i="2"/>
  <c r="Y539" i="2"/>
  <c r="Y540" i="2"/>
  <c r="Y541" i="2" s="1"/>
  <c r="Y542" i="2" s="1"/>
  <c r="Y543" i="2" s="1"/>
  <c r="Y546" i="2"/>
  <c r="Y547" i="2"/>
  <c r="Y548" i="2"/>
  <c r="Y550" i="2"/>
  <c r="Y551" i="2"/>
  <c r="Y552" i="2"/>
  <c r="Y553" i="2" s="1"/>
  <c r="Y554" i="2"/>
  <c r="Y555" i="2" s="1"/>
  <c r="Y556" i="2"/>
  <c r="Y557" i="2"/>
  <c r="Y559" i="2"/>
  <c r="Y560" i="2"/>
  <c r="Y561" i="2"/>
  <c r="Y562" i="2"/>
  <c r="Y563" i="2"/>
  <c r="Y566" i="2"/>
  <c r="Y567" i="2" s="1"/>
  <c r="Y568" i="2"/>
  <c r="Y569" i="2"/>
  <c r="Y571" i="2"/>
  <c r="Y572" i="2"/>
  <c r="Y574" i="2"/>
  <c r="Y575" i="2"/>
  <c r="Y576" i="2"/>
  <c r="Y577" i="2"/>
  <c r="Y578" i="2"/>
  <c r="Y579" i="2" s="1"/>
  <c r="Y580" i="2" s="1"/>
  <c r="Y584" i="2"/>
  <c r="Y585" i="2"/>
  <c r="Y586" i="2"/>
  <c r="Y587" i="2"/>
  <c r="Y588" i="2"/>
  <c r="Y589" i="2"/>
  <c r="Y590" i="2"/>
  <c r="Y591" i="2" s="1"/>
  <c r="Y592" i="2"/>
  <c r="Y593" i="2"/>
  <c r="Y595" i="2"/>
  <c r="Y596" i="2"/>
  <c r="Y597" i="2" s="1"/>
  <c r="Y598" i="2"/>
  <c r="Y599" i="2" s="1"/>
  <c r="Y600" i="2"/>
  <c r="Y601" i="2" s="1"/>
  <c r="Y604" i="2"/>
  <c r="Y605" i="2"/>
  <c r="Y606" i="2"/>
  <c r="Y607" i="2" s="1"/>
  <c r="Y608" i="2"/>
  <c r="Y609" i="2" s="1"/>
  <c r="Y610" i="2"/>
  <c r="Y611" i="2"/>
  <c r="Y614" i="2"/>
  <c r="Y615" i="2" s="1"/>
  <c r="Y616" i="2" s="1"/>
  <c r="Y617" i="2"/>
  <c r="Y618" i="2" s="1"/>
  <c r="Y619" i="2" s="1"/>
  <c r="Y620" i="2" s="1"/>
  <c r="Y621" i="2" s="1"/>
  <c r="Y622" i="2"/>
  <c r="Y623" i="2"/>
  <c r="Y624" i="2" s="1"/>
  <c r="Y625" i="2" s="1"/>
  <c r="Y626" i="2"/>
  <c r="Y627" i="2"/>
  <c r="Y628" i="2"/>
  <c r="Y629" i="2"/>
  <c r="Y630" i="2"/>
  <c r="Y632" i="2"/>
  <c r="Y633" i="2"/>
  <c r="Y634" i="2"/>
  <c r="Y635" i="2"/>
  <c r="Y638" i="2"/>
  <c r="Y639" i="2" s="1"/>
  <c r="Y640" i="2" s="1"/>
  <c r="Y641" i="2" s="1"/>
  <c r="Y642" i="2"/>
  <c r="Y643" i="2" s="1"/>
  <c r="Y644" i="2"/>
  <c r="Y645" i="2"/>
  <c r="Y646" i="2"/>
  <c r="Y647" i="2"/>
  <c r="Y648" i="2"/>
  <c r="Y649" i="2"/>
  <c r="Y650" i="2" s="1"/>
  <c r="Y651" i="2" s="1"/>
  <c r="Y652" i="2" s="1"/>
  <c r="Y653" i="2" s="1"/>
  <c r="Y654" i="2"/>
  <c r="Y655" i="2"/>
  <c r="Y656" i="2"/>
  <c r="Y657" i="2"/>
  <c r="Y658" i="2"/>
  <c r="Y659" i="2"/>
  <c r="Y660" i="2" s="1"/>
  <c r="Y661" i="2"/>
  <c r="Y662" i="2" s="1"/>
  <c r="Y663" i="2"/>
  <c r="Y664" i="2" s="1"/>
  <c r="Y665" i="2" s="1"/>
  <c r="Y666" i="2" s="1"/>
  <c r="Y668" i="2"/>
  <c r="Y669" i="2"/>
  <c r="Y670" i="2"/>
  <c r="Y671" i="2"/>
  <c r="Y677" i="2"/>
  <c r="Y678" i="2"/>
  <c r="Y679" i="2"/>
  <c r="Y680" i="2" s="1"/>
  <c r="Y681" i="2"/>
  <c r="Y682" i="2" s="1"/>
  <c r="Y683" i="2"/>
  <c r="Y684" i="2" s="1"/>
  <c r="Y685" i="2"/>
  <c r="Y686" i="2" s="1"/>
  <c r="Y687" i="2"/>
  <c r="Y688" i="2"/>
  <c r="Y690" i="2"/>
  <c r="Y691" i="2"/>
  <c r="Y692" i="2"/>
  <c r="Y693" i="2"/>
  <c r="Y694" i="2"/>
  <c r="Y695" i="2"/>
  <c r="Y696" i="2"/>
  <c r="Y697" i="2"/>
  <c r="Y698" i="2"/>
  <c r="Y699" i="2" s="1"/>
  <c r="Y704" i="2"/>
  <c r="Y705" i="2" s="1"/>
  <c r="Y706" i="2"/>
  <c r="Y707" i="2" s="1"/>
  <c r="Y708" i="2"/>
  <c r="Y709" i="2" s="1"/>
  <c r="Y710" i="2" s="1"/>
  <c r="Y711" i="2"/>
  <c r="Y713" i="2"/>
  <c r="Y714" i="2"/>
  <c r="Y715" i="2"/>
  <c r="Y716" i="2"/>
  <c r="Y717" i="2"/>
  <c r="Y718" i="2" s="1"/>
  <c r="Y719" i="2"/>
  <c r="Y720" i="2" s="1"/>
  <c r="Y721" i="2"/>
  <c r="Y722" i="2"/>
  <c r="Y723" i="2" s="1"/>
  <c r="Y726" i="2"/>
  <c r="Y727" i="2"/>
  <c r="Y728" i="2"/>
  <c r="Y729" i="2" s="1"/>
  <c r="Y730" i="2"/>
  <c r="Y731" i="2" s="1"/>
  <c r="Y732" i="2"/>
  <c r="Y733" i="2" s="1"/>
  <c r="Y734" i="2"/>
  <c r="Y736" i="2"/>
  <c r="Y737" i="2" s="1"/>
  <c r="Y738" i="2" s="1"/>
  <c r="Y745" i="2"/>
  <c r="Y746" i="2"/>
  <c r="Y747" i="2"/>
  <c r="Y748" i="2"/>
  <c r="Y749" i="2"/>
  <c r="Y751" i="2"/>
  <c r="Y752" i="2"/>
  <c r="Y753" i="2"/>
  <c r="Y754" i="2"/>
  <c r="Y755" i="2"/>
  <c r="Y756" i="2" s="1"/>
  <c r="Y757" i="2"/>
  <c r="Y758" i="2" s="1"/>
  <c r="Y759" i="2" s="1"/>
  <c r="Y760" i="2"/>
  <c r="Y762" i="2"/>
  <c r="Y763" i="2" s="1"/>
  <c r="Y764" i="2"/>
  <c r="Y765" i="2" s="1"/>
  <c r="Y766" i="2" s="1"/>
  <c r="Y767" i="2" s="1"/>
  <c r="Y768" i="2"/>
  <c r="Y769" i="2" s="1"/>
  <c r="Y770" i="2"/>
  <c r="Y771" i="2"/>
  <c r="Y772" i="2"/>
  <c r="Y773" i="2"/>
  <c r="Y774" i="2"/>
  <c r="Y775" i="2"/>
  <c r="Y776" i="2"/>
  <c r="Y778" i="2"/>
  <c r="Y779" i="2"/>
  <c r="Y780" i="2"/>
  <c r="Y781" i="2"/>
  <c r="Y782" i="2"/>
  <c r="Y783" i="2" s="1"/>
  <c r="Y784" i="2"/>
  <c r="Y785" i="2"/>
  <c r="Y786" i="2"/>
  <c r="Y787" i="2"/>
  <c r="Y788" i="2"/>
  <c r="Y789" i="2"/>
  <c r="Y790" i="2" s="1"/>
  <c r="Y791" i="2" s="1"/>
  <c r="Y792" i="2" s="1"/>
  <c r="Y793" i="2"/>
  <c r="Y794" i="2"/>
  <c r="Y795" i="2"/>
  <c r="Y796" i="2" s="1"/>
  <c r="Y797" i="2"/>
  <c r="Y798" i="2" s="1"/>
  <c r="Y800" i="2"/>
  <c r="Y801" i="2"/>
  <c r="Y802" i="2"/>
  <c r="Y803" i="2"/>
  <c r="Y804" i="2" s="1"/>
  <c r="Y805" i="2"/>
  <c r="Y806" i="2"/>
  <c r="Y807" i="2" s="1"/>
  <c r="Y808" i="2"/>
  <c r="Y809" i="2"/>
  <c r="Y810" i="2" s="1"/>
  <c r="Y811" i="2"/>
  <c r="Y812" i="2"/>
  <c r="Y813" i="2"/>
  <c r="Y816" i="2"/>
  <c r="Y817" i="2" s="1"/>
  <c r="Y818" i="2" s="1"/>
  <c r="Y823" i="2"/>
  <c r="Y824" i="2"/>
  <c r="Y825" i="2"/>
  <c r="Y826" i="2"/>
  <c r="Y827" i="2"/>
  <c r="Y828" i="2" s="1"/>
  <c r="Y829" i="2"/>
  <c r="Y830" i="2"/>
  <c r="Y831" i="2" s="1"/>
  <c r="Y832" i="2" s="1"/>
  <c r="Y833" i="2"/>
  <c r="Y834" i="2"/>
  <c r="Y835" i="2" s="1"/>
  <c r="Y836" i="2"/>
  <c r="Y837" i="2"/>
  <c r="Y838" i="2"/>
  <c r="Y840" i="2"/>
  <c r="Y841" i="2"/>
  <c r="Y842" i="2"/>
  <c r="Y846" i="2"/>
  <c r="Y847" i="2"/>
  <c r="Y848" i="2"/>
  <c r="Y849" i="2" s="1"/>
  <c r="Y850" i="2"/>
  <c r="Y851" i="2"/>
  <c r="Y852" i="2"/>
  <c r="Y853" i="2" s="1"/>
  <c r="Y854" i="2" s="1"/>
  <c r="Y855" i="2" s="1"/>
  <c r="Y856" i="2"/>
  <c r="Y857" i="2"/>
  <c r="Y858" i="2"/>
  <c r="Y859" i="2"/>
  <c r="Y860" i="2"/>
  <c r="Y864" i="2"/>
  <c r="Y865" i="2" s="1"/>
  <c r="Y866" i="2" s="1"/>
  <c r="Y867" i="2" s="1"/>
  <c r="Y868" i="2" s="1"/>
  <c r="Y869" i="2"/>
  <c r="Y870" i="2"/>
  <c r="Y872" i="2"/>
  <c r="Y873" i="2"/>
  <c r="Y874" i="2"/>
  <c r="Y876" i="2"/>
  <c r="Y877" i="2"/>
  <c r="Y878" i="2"/>
  <c r="Y879" i="2"/>
  <c r="Y880" i="2"/>
  <c r="Y881" i="2"/>
  <c r="Y882" i="2"/>
  <c r="Y883" i="2"/>
  <c r="Y884" i="2"/>
  <c r="Y885" i="2" s="1"/>
  <c r="Y886" i="2"/>
  <c r="Y888" i="2"/>
  <c r="Y889" i="2"/>
  <c r="Y890" i="2"/>
  <c r="Y891" i="2" s="1"/>
  <c r="Y893" i="2"/>
  <c r="Y894" i="2"/>
  <c r="Y895" i="2" s="1"/>
  <c r="Y896" i="2" s="1"/>
  <c r="Y897" i="2" s="1"/>
  <c r="Y898" i="2" s="1"/>
  <c r="Y899" i="2"/>
  <c r="Y900" i="2"/>
  <c r="Y901" i="2" s="1"/>
  <c r="Y902" i="2" s="1"/>
  <c r="Y903" i="2" s="1"/>
  <c r="Y904" i="2" s="1"/>
  <c r="Y905" i="2"/>
  <c r="Y909" i="2"/>
  <c r="Y910" i="2" s="1"/>
  <c r="Y911" i="2"/>
  <c r="Y912" i="2"/>
  <c r="Y913" i="2"/>
  <c r="Y914" i="2"/>
  <c r="Y915" i="2"/>
  <c r="Y917" i="2"/>
  <c r="Y918" i="2"/>
  <c r="Y919" i="2"/>
  <c r="Y921" i="2"/>
  <c r="Y922" i="2" s="1"/>
  <c r="Y923" i="2"/>
  <c r="Y924" i="2"/>
  <c r="Y925" i="2"/>
  <c r="Y926" i="2"/>
  <c r="Y927" i="2"/>
  <c r="Y928" i="2"/>
  <c r="Y929" i="2"/>
  <c r="Y932" i="2"/>
  <c r="Y933" i="2"/>
  <c r="Y934" i="2"/>
  <c r="Y935" i="2"/>
  <c r="Y936" i="2" s="1"/>
  <c r="Y937" i="2" s="1"/>
  <c r="Y938" i="2"/>
  <c r="Y939" i="2"/>
  <c r="Y940" i="2"/>
  <c r="Y941" i="2"/>
  <c r="Y944" i="2"/>
  <c r="Y945" i="2"/>
  <c r="Y946" i="2"/>
  <c r="Y948" i="2"/>
  <c r="Y949" i="2"/>
  <c r="Y950" i="2"/>
  <c r="Y951" i="2"/>
  <c r="Y952" i="2"/>
  <c r="Y953" i="2" s="1"/>
  <c r="Y954" i="2"/>
  <c r="Y955" i="2"/>
  <c r="Y957" i="2"/>
  <c r="Y958" i="2"/>
  <c r="Y961" i="2"/>
  <c r="Y962" i="2"/>
  <c r="Y963" i="2" s="1"/>
  <c r="Y964" i="2" s="1"/>
  <c r="Y966" i="2"/>
  <c r="Y969" i="2"/>
  <c r="Y974" i="2"/>
  <c r="Y975" i="2" s="1"/>
  <c r="Y976" i="2"/>
  <c r="Y977" i="2"/>
  <c r="Y979" i="2"/>
  <c r="Y980" i="2"/>
  <c r="Y985" i="2"/>
  <c r="Y987" i="2"/>
  <c r="Y988" i="2"/>
  <c r="Y989" i="2"/>
  <c r="Y990" i="2" s="1"/>
  <c r="Y991" i="2"/>
  <c r="Y992" i="2" s="1"/>
  <c r="Y993" i="2" s="1"/>
  <c r="Y994" i="2"/>
  <c r="Y995" i="2"/>
  <c r="Y996" i="2" s="1"/>
  <c r="Y997" i="2"/>
  <c r="Y998" i="2"/>
  <c r="Y999" i="2"/>
  <c r="Y1000" i="2"/>
  <c r="Y1001" i="2"/>
  <c r="Y1002" i="2" s="1"/>
  <c r="Y1003" i="2" s="1"/>
  <c r="Y1004" i="2"/>
  <c r="Y1005" i="2" s="1"/>
  <c r="Y1006" i="2"/>
  <c r="Y1007" i="2" s="1"/>
  <c r="Y1008" i="2"/>
  <c r="Y1009" i="2"/>
  <c r="Y1010" i="2"/>
  <c r="Y1013" i="2"/>
  <c r="Y1014" i="2"/>
  <c r="Y1015" i="2" s="1"/>
  <c r="Y1016" i="2"/>
  <c r="Y1017" i="2" s="1"/>
  <c r="Y1018" i="2"/>
  <c r="Y1019" i="2"/>
  <c r="Y1020" i="2"/>
  <c r="Y1022" i="2"/>
  <c r="Y1023" i="2"/>
  <c r="Y1025" i="2"/>
  <c r="Y1026" i="2" s="1"/>
  <c r="Y1027" i="2"/>
  <c r="Y1028" i="2" s="1"/>
  <c r="Y1029" i="2" s="1"/>
  <c r="Y1030" i="2"/>
  <c r="Y1031" i="2"/>
  <c r="Y1032" i="2"/>
  <c r="Y1033" i="2"/>
  <c r="Y1034" i="2"/>
  <c r="Y1035" i="2"/>
  <c r="Y1036" i="2"/>
  <c r="Y1037" i="2"/>
  <c r="Y1039" i="2"/>
  <c r="Y1040" i="2"/>
  <c r="Y1041" i="2" s="1"/>
  <c r="Y1042" i="2"/>
  <c r="Y1043" i="2"/>
  <c r="Y1044" i="2" s="1"/>
  <c r="Y1045" i="2"/>
  <c r="Y1046" i="2"/>
  <c r="Y1047" i="2"/>
  <c r="Y1048" i="2"/>
  <c r="Y1049" i="2"/>
  <c r="Y1050" i="2"/>
  <c r="Y1051" i="2" s="1"/>
  <c r="Y1052" i="2"/>
  <c r="Y1053" i="2"/>
  <c r="Y1054" i="2"/>
  <c r="Y1055" i="2"/>
  <c r="Y1056" i="2" s="1"/>
  <c r="Y1057" i="2"/>
  <c r="Y1058" i="2"/>
  <c r="Y1059" i="2"/>
  <c r="Y1061" i="2"/>
  <c r="Y1062" i="2"/>
  <c r="Y1063" i="2"/>
  <c r="Y1064" i="2"/>
  <c r="Y1065" i="2" s="1"/>
  <c r="Y1067" i="2"/>
  <c r="Y1068" i="2" s="1"/>
  <c r="Y1069" i="2"/>
  <c r="Y1071" i="2"/>
  <c r="Y1072" i="2"/>
  <c r="Y1073" i="2" s="1"/>
  <c r="Y1074" i="2"/>
  <c r="Y1075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 s="1"/>
  <c r="Y1094" i="2"/>
  <c r="Y1095" i="2" s="1"/>
  <c r="Y1100" i="2"/>
  <c r="Y1101" i="2"/>
  <c r="Y1103" i="2"/>
  <c r="Y1105" i="2"/>
  <c r="Y1106" i="2"/>
  <c r="Y1107" i="2" s="1"/>
  <c r="Y1108" i="2" s="1"/>
  <c r="Y1109" i="2"/>
  <c r="Y1110" i="2"/>
  <c r="Y1111" i="2"/>
  <c r="Y1112" i="2"/>
  <c r="Y1113" i="2" s="1"/>
  <c r="Y1114" i="2"/>
  <c r="Y1115" i="2" s="1"/>
  <c r="Y1116" i="2"/>
  <c r="Y1117" i="2" s="1"/>
  <c r="Y1118" i="2"/>
  <c r="Y1119" i="2" s="1"/>
  <c r="Y1120" i="2"/>
  <c r="Y1121" i="2"/>
  <c r="Y1122" i="2"/>
  <c r="Y1123" i="2" s="1"/>
  <c r="Y1126" i="2"/>
  <c r="Y1127" i="2" s="1"/>
  <c r="Y1128" i="2" s="1"/>
  <c r="Y1129" i="2"/>
  <c r="Y1130" i="2"/>
  <c r="Y1132" i="2"/>
  <c r="Y1133" i="2"/>
  <c r="Y1134" i="2"/>
  <c r="Y1135" i="2"/>
  <c r="Y1136" i="2"/>
  <c r="Y1137" i="2"/>
  <c r="Y1138" i="2"/>
  <c r="Y1139" i="2"/>
  <c r="Y1140" i="2"/>
  <c r="Y1141" i="2"/>
  <c r="Y1142" i="2" s="1"/>
  <c r="Y1143" i="2"/>
  <c r="Y1144" i="2"/>
  <c r="Y1145" i="2"/>
  <c r="Y1146" i="2" s="1"/>
  <c r="Y1147" i="2"/>
  <c r="Y1148" i="2" s="1"/>
  <c r="Y1150" i="2"/>
  <c r="Y1151" i="2" s="1"/>
  <c r="Y1152" i="2"/>
  <c r="Y1153" i="2"/>
  <c r="Y1154" i="2" s="1"/>
  <c r="Y1155" i="2"/>
  <c r="Y1157" i="2"/>
  <c r="Y1158" i="2"/>
  <c r="Y1159" i="2"/>
  <c r="Y1160" i="2"/>
  <c r="Y1161" i="2"/>
  <c r="Y1162" i="2" s="1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 s="1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2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2" i="2"/>
  <c r="X156" i="2"/>
  <c r="L156" i="16" s="1"/>
  <c r="X195" i="2"/>
  <c r="L195" i="16" s="1"/>
  <c r="X230" i="2"/>
  <c r="L230" i="16" s="1"/>
  <c r="X278" i="2"/>
  <c r="L278" i="16" s="1"/>
  <c r="X282" i="2"/>
  <c r="L282" i="16" s="1"/>
  <c r="X307" i="2"/>
  <c r="L307" i="16" s="1"/>
  <c r="X337" i="2"/>
  <c r="L337" i="16" s="1"/>
  <c r="X393" i="2"/>
  <c r="L393" i="16" s="1"/>
  <c r="X394" i="2"/>
  <c r="L394" i="16" s="1"/>
  <c r="X396" i="2"/>
  <c r="L396" i="16" s="1"/>
  <c r="X400" i="2"/>
  <c r="L400" i="16" s="1"/>
  <c r="X401" i="2"/>
  <c r="L401" i="16" s="1"/>
  <c r="X402" i="2"/>
  <c r="L402" i="16" s="1"/>
  <c r="X411" i="2"/>
  <c r="L411" i="16" s="1"/>
  <c r="X468" i="2"/>
  <c r="L468" i="16" s="1"/>
  <c r="X480" i="2"/>
  <c r="L480" i="16" s="1"/>
  <c r="X483" i="2"/>
  <c r="L483" i="16" s="1"/>
  <c r="X487" i="2"/>
  <c r="L487" i="16" s="1"/>
  <c r="X488" i="2"/>
  <c r="L488" i="16" s="1"/>
  <c r="X516" i="2"/>
  <c r="L516" i="16" s="1"/>
  <c r="X517" i="2"/>
  <c r="L517" i="16" s="1"/>
  <c r="X527" i="2"/>
  <c r="L527" i="16" s="1"/>
  <c r="X532" i="2"/>
  <c r="L532" i="16" s="1"/>
  <c r="X538" i="2"/>
  <c r="L538" i="16" s="1"/>
  <c r="X566" i="2"/>
  <c r="L566" i="16" s="1"/>
  <c r="X578" i="2"/>
  <c r="L578" i="16" s="1"/>
  <c r="X589" i="2"/>
  <c r="L589" i="16" s="1"/>
  <c r="X592" i="2"/>
  <c r="L592" i="16" s="1"/>
  <c r="X595" i="2"/>
  <c r="L595" i="16" s="1"/>
  <c r="X603" i="2"/>
  <c r="L603" i="16" s="1"/>
  <c r="X608" i="2"/>
  <c r="L608" i="16" s="1"/>
  <c r="X610" i="2"/>
  <c r="L610" i="16" s="1"/>
  <c r="X611" i="2"/>
  <c r="L611" i="16" s="1"/>
  <c r="X626" i="2"/>
  <c r="L626" i="16" s="1"/>
  <c r="X656" i="2"/>
  <c r="L656" i="16" s="1"/>
  <c r="X664" i="2"/>
  <c r="L664" i="16" s="1"/>
  <c r="X667" i="2"/>
  <c r="L667" i="16" s="1"/>
  <c r="X683" i="2"/>
  <c r="L683" i="16" s="1"/>
  <c r="X685" i="2"/>
  <c r="L685" i="16" s="1"/>
  <c r="X686" i="2"/>
  <c r="L686" i="16" s="1"/>
  <c r="X687" i="2"/>
  <c r="L687" i="16" s="1"/>
  <c r="X690" i="2"/>
  <c r="L690" i="16" s="1"/>
  <c r="X694" i="2"/>
  <c r="L694" i="16" s="1"/>
  <c r="X718" i="2"/>
  <c r="L718" i="16" s="1"/>
  <c r="X721" i="2"/>
  <c r="L721" i="16" s="1"/>
  <c r="X723" i="2"/>
  <c r="L723" i="16" s="1"/>
  <c r="X727" i="2"/>
  <c r="L727" i="16" s="1"/>
  <c r="X730" i="2"/>
  <c r="L730" i="16" s="1"/>
  <c r="X734" i="2"/>
  <c r="L734" i="16" s="1"/>
  <c r="X735" i="2"/>
  <c r="L735" i="16" s="1"/>
  <c r="X740" i="2"/>
  <c r="L740" i="16" s="1"/>
  <c r="X742" i="2"/>
  <c r="L742" i="16" s="1"/>
  <c r="X743" i="2"/>
  <c r="L743" i="16" s="1"/>
  <c r="X744" i="2"/>
  <c r="L744" i="16" s="1"/>
  <c r="X747" i="2"/>
  <c r="L747" i="16" s="1"/>
  <c r="X760" i="2"/>
  <c r="L760" i="16" s="1"/>
  <c r="X761" i="2"/>
  <c r="L761" i="16" s="1"/>
  <c r="X762" i="2"/>
  <c r="L762" i="16" s="1"/>
  <c r="X767" i="2"/>
  <c r="L767" i="16" s="1"/>
  <c r="X770" i="2"/>
  <c r="L770" i="16" s="1"/>
  <c r="X771" i="2"/>
  <c r="L771" i="16" s="1"/>
  <c r="X778" i="2"/>
  <c r="L778" i="16" s="1"/>
  <c r="X780" i="2"/>
  <c r="L780" i="16" s="1"/>
  <c r="X783" i="2"/>
  <c r="L783" i="16" s="1"/>
  <c r="X788" i="2"/>
  <c r="L788" i="16" s="1"/>
  <c r="X790" i="2"/>
  <c r="L790" i="16" s="1"/>
  <c r="X796" i="2"/>
  <c r="L796" i="16" s="1"/>
  <c r="X798" i="2"/>
  <c r="L798" i="16" s="1"/>
  <c r="X799" i="2"/>
  <c r="L799" i="16" s="1"/>
  <c r="X806" i="2"/>
  <c r="L806" i="16" s="1"/>
  <c r="X808" i="2"/>
  <c r="L808" i="16" s="1"/>
  <c r="X811" i="2"/>
  <c r="L811" i="16" s="1"/>
  <c r="X812" i="2"/>
  <c r="L812" i="16" s="1"/>
  <c r="X815" i="2"/>
  <c r="L815" i="16" s="1"/>
  <c r="X816" i="2"/>
  <c r="L816" i="16" s="1"/>
  <c r="X817" i="2"/>
  <c r="L817" i="16" s="1"/>
  <c r="X818" i="2"/>
  <c r="L818" i="16" s="1"/>
  <c r="X823" i="2"/>
  <c r="L823" i="16" s="1"/>
  <c r="X826" i="2"/>
  <c r="L826" i="16" s="1"/>
  <c r="X827" i="2"/>
  <c r="L827" i="16" s="1"/>
  <c r="X828" i="2"/>
  <c r="L828" i="16" s="1"/>
  <c r="X830" i="2"/>
  <c r="L830" i="16" s="1"/>
  <c r="X832" i="2"/>
  <c r="L832" i="16" s="1"/>
  <c r="X834" i="2"/>
  <c r="L834" i="16" s="1"/>
  <c r="X840" i="2"/>
  <c r="L840" i="16" s="1"/>
  <c r="X846" i="2"/>
  <c r="L846" i="16" s="1"/>
  <c r="X857" i="2"/>
  <c r="L857" i="16" s="1"/>
  <c r="X858" i="2"/>
  <c r="L858" i="16" s="1"/>
  <c r="X860" i="2"/>
  <c r="L860" i="16" s="1"/>
  <c r="X863" i="2"/>
  <c r="L863" i="16" s="1"/>
  <c r="X864" i="2"/>
  <c r="L864" i="16" s="1"/>
  <c r="X871" i="2"/>
  <c r="L871" i="16" s="1"/>
  <c r="X874" i="2"/>
  <c r="L874" i="16" s="1"/>
  <c r="X876" i="2"/>
  <c r="L876" i="16" s="1"/>
  <c r="X878" i="2"/>
  <c r="L878" i="16" s="1"/>
  <c r="X883" i="2"/>
  <c r="L883" i="16" s="1"/>
  <c r="X884" i="2"/>
  <c r="L884" i="16" s="1"/>
  <c r="X885" i="2"/>
  <c r="L885" i="16" s="1"/>
  <c r="X887" i="2"/>
  <c r="L887" i="16" s="1"/>
  <c r="X889" i="2"/>
  <c r="L889" i="16" s="1"/>
  <c r="X892" i="2"/>
  <c r="L892" i="16" s="1"/>
  <c r="X895" i="2"/>
  <c r="L895" i="16" s="1"/>
  <c r="X896" i="2"/>
  <c r="L896" i="16" s="1"/>
  <c r="X897" i="2"/>
  <c r="L897" i="16" s="1"/>
  <c r="X903" i="2"/>
  <c r="L903" i="16" s="1"/>
  <c r="X906" i="2"/>
  <c r="L906" i="16" s="1"/>
  <c r="X907" i="2"/>
  <c r="L907" i="16" s="1"/>
  <c r="X910" i="2"/>
  <c r="L910" i="16" s="1"/>
  <c r="X912" i="2"/>
  <c r="L912" i="16" s="1"/>
  <c r="X913" i="2"/>
  <c r="L913" i="16" s="1"/>
  <c r="X915" i="2"/>
  <c r="L915" i="16" s="1"/>
  <c r="X916" i="2"/>
  <c r="L916" i="16" s="1"/>
  <c r="X917" i="2"/>
  <c r="L917" i="16" s="1"/>
  <c r="X921" i="2"/>
  <c r="L921" i="16" s="1"/>
  <c r="X923" i="2"/>
  <c r="L923" i="16" s="1"/>
  <c r="X924" i="2"/>
  <c r="L924" i="16" s="1"/>
  <c r="X929" i="2"/>
  <c r="L929" i="16" s="1"/>
  <c r="X930" i="2"/>
  <c r="L930" i="16" s="1"/>
  <c r="X931" i="2"/>
  <c r="L931" i="16" s="1"/>
  <c r="X932" i="2"/>
  <c r="L932" i="16" s="1"/>
  <c r="X944" i="2"/>
  <c r="L944" i="16" s="1"/>
  <c r="X949" i="2"/>
  <c r="L949" i="16" s="1"/>
  <c r="X952" i="2"/>
  <c r="L952" i="16" s="1"/>
  <c r="X956" i="2"/>
  <c r="L956" i="16" s="1"/>
  <c r="X960" i="2"/>
  <c r="L960" i="16" s="1"/>
  <c r="X965" i="2"/>
  <c r="L965" i="16" s="1"/>
  <c r="X966" i="2"/>
  <c r="L966" i="16" s="1"/>
  <c r="X969" i="2"/>
  <c r="L969" i="16" s="1"/>
  <c r="X970" i="2"/>
  <c r="L970" i="16" s="1"/>
  <c r="X974" i="2"/>
  <c r="L974" i="16" s="1"/>
  <c r="X975" i="2"/>
  <c r="L975" i="16" s="1"/>
  <c r="X976" i="2"/>
  <c r="L976" i="16" s="1"/>
  <c r="X977" i="2"/>
  <c r="L977" i="16" s="1"/>
  <c r="X979" i="2"/>
  <c r="L979" i="16" s="1"/>
  <c r="X980" i="2"/>
  <c r="L980" i="16" s="1"/>
  <c r="X981" i="2"/>
  <c r="L981" i="16" s="1"/>
  <c r="X982" i="2"/>
  <c r="L982" i="16" s="1"/>
  <c r="X984" i="2"/>
  <c r="L984" i="16" s="1"/>
  <c r="X985" i="2"/>
  <c r="L985" i="16" s="1"/>
  <c r="X986" i="2"/>
  <c r="L986" i="16" s="1"/>
  <c r="X987" i="2"/>
  <c r="L987" i="16" s="1"/>
  <c r="X989" i="2"/>
  <c r="L989" i="16" s="1"/>
  <c r="X991" i="2"/>
  <c r="L991" i="16" s="1"/>
  <c r="X992" i="2"/>
  <c r="L992" i="16" s="1"/>
  <c r="X997" i="2"/>
  <c r="L997" i="16" s="1"/>
  <c r="X998" i="2"/>
  <c r="L998" i="16" s="1"/>
  <c r="X1002" i="2"/>
  <c r="L1002" i="16" s="1"/>
  <c r="X1004" i="2"/>
  <c r="L1004" i="16" s="1"/>
  <c r="X1005" i="2"/>
  <c r="L1005" i="16" s="1"/>
  <c r="X1007" i="2"/>
  <c r="L1007" i="16" s="1"/>
  <c r="X1008" i="2"/>
  <c r="L1008" i="16" s="1"/>
  <c r="X1015" i="2"/>
  <c r="L1015" i="16" s="1"/>
  <c r="X1016" i="2"/>
  <c r="L1016" i="16" s="1"/>
  <c r="X1017" i="2"/>
  <c r="L1017" i="16" s="1"/>
  <c r="X1018" i="2"/>
  <c r="L1018" i="16" s="1"/>
  <c r="X1019" i="2"/>
  <c r="L1019" i="16" s="1"/>
  <c r="X1020" i="2"/>
  <c r="L1020" i="16" s="1"/>
  <c r="X1021" i="2"/>
  <c r="L1021" i="16" s="1"/>
  <c r="X1022" i="2"/>
  <c r="L1022" i="16" s="1"/>
  <c r="X1025" i="2"/>
  <c r="L1025" i="16" s="1"/>
  <c r="X1028" i="2"/>
  <c r="L1028" i="16" s="1"/>
  <c r="X1030" i="2"/>
  <c r="L1030" i="16" s="1"/>
  <c r="X1031" i="2"/>
  <c r="L1031" i="16" s="1"/>
  <c r="X1033" i="2"/>
  <c r="L1033" i="16" s="1"/>
  <c r="X1034" i="2"/>
  <c r="L1034" i="16" s="1"/>
  <c r="X1035" i="2"/>
  <c r="L1035" i="16" s="1"/>
  <c r="X1040" i="2"/>
  <c r="L1040" i="16" s="1"/>
  <c r="X1041" i="2"/>
  <c r="L1041" i="16" s="1"/>
  <c r="X1043" i="2"/>
  <c r="L1043" i="16" s="1"/>
  <c r="X1044" i="2"/>
  <c r="L1044" i="16" s="1"/>
  <c r="X1049" i="2"/>
  <c r="L1049" i="16" s="1"/>
  <c r="X1050" i="2"/>
  <c r="L1050" i="16" s="1"/>
  <c r="X1052" i="2"/>
  <c r="L1052" i="16" s="1"/>
  <c r="X1053" i="2"/>
  <c r="L1053" i="16" s="1"/>
  <c r="X1054" i="2"/>
  <c r="L1054" i="16" s="1"/>
  <c r="X1056" i="2"/>
  <c r="L1056" i="16" s="1"/>
  <c r="X1057" i="2"/>
  <c r="L1057" i="16" s="1"/>
  <c r="X1058" i="2"/>
  <c r="L1058" i="16" s="1"/>
  <c r="X1059" i="2"/>
  <c r="L1059" i="16" s="1"/>
  <c r="X1060" i="2"/>
  <c r="L1060" i="16" s="1"/>
  <c r="X1061" i="2"/>
  <c r="L1061" i="16" s="1"/>
  <c r="X1064" i="2"/>
  <c r="L1064" i="16" s="1"/>
  <c r="X1065" i="2"/>
  <c r="L1065" i="16" s="1"/>
  <c r="X1066" i="2"/>
  <c r="L1066" i="16" s="1"/>
  <c r="X1067" i="2"/>
  <c r="L1067" i="16" s="1"/>
  <c r="X1068" i="2"/>
  <c r="L1068" i="16" s="1"/>
  <c r="X1069" i="2"/>
  <c r="L1069" i="16" s="1"/>
  <c r="X1070" i="2"/>
  <c r="L1070" i="16" s="1"/>
  <c r="X1071" i="2"/>
  <c r="L1071" i="16" s="1"/>
  <c r="X1072" i="2"/>
  <c r="L1072" i="16" s="1"/>
  <c r="X1074" i="2"/>
  <c r="L1074" i="16" s="1"/>
  <c r="X1075" i="2"/>
  <c r="L1075" i="16" s="1"/>
  <c r="X1076" i="2"/>
  <c r="L1076" i="16" s="1"/>
  <c r="X1077" i="2"/>
  <c r="L1077" i="16" s="1"/>
  <c r="X1078" i="2"/>
  <c r="L1078" i="16" s="1"/>
  <c r="X1079" i="2"/>
  <c r="L1079" i="16" s="1"/>
  <c r="X1080" i="2"/>
  <c r="L1080" i="16" s="1"/>
  <c r="X1082" i="2"/>
  <c r="L1082" i="16" s="1"/>
  <c r="X1084" i="2"/>
  <c r="L1084" i="16" s="1"/>
  <c r="X1086" i="2"/>
  <c r="L1086" i="16" s="1"/>
  <c r="X1087" i="2"/>
  <c r="L1087" i="16" s="1"/>
  <c r="X1088" i="2"/>
  <c r="L1088" i="16" s="1"/>
  <c r="X1089" i="2"/>
  <c r="L1089" i="16" s="1"/>
  <c r="X1090" i="2"/>
  <c r="L1090" i="16" s="1"/>
  <c r="X1091" i="2"/>
  <c r="L1091" i="16" s="1"/>
  <c r="X1093" i="2"/>
  <c r="L1093" i="16" s="1"/>
  <c r="X1094" i="2"/>
  <c r="L1094" i="16" s="1"/>
  <c r="X1095" i="2"/>
  <c r="L1095" i="16" s="1"/>
  <c r="X1096" i="2"/>
  <c r="L1096" i="16" s="1"/>
  <c r="X1097" i="2"/>
  <c r="L1097" i="16" s="1"/>
  <c r="X1098" i="2"/>
  <c r="L1098" i="16" s="1"/>
  <c r="X1099" i="2"/>
  <c r="L1099" i="16" s="1"/>
  <c r="X1100" i="2"/>
  <c r="L1100" i="16" s="1"/>
  <c r="X1101" i="2"/>
  <c r="L1101" i="16" s="1"/>
  <c r="X1102" i="2"/>
  <c r="L1102" i="16" s="1"/>
  <c r="X1103" i="2"/>
  <c r="L1103" i="16" s="1"/>
  <c r="X1104" i="2"/>
  <c r="L1104" i="16" s="1"/>
  <c r="X1105" i="2"/>
  <c r="L1105" i="16" s="1"/>
  <c r="X1106" i="2"/>
  <c r="L1106" i="16" s="1"/>
  <c r="X1107" i="2"/>
  <c r="L1107" i="16" s="1"/>
  <c r="X1108" i="2"/>
  <c r="L1108" i="16" s="1"/>
  <c r="X1109" i="2"/>
  <c r="L1109" i="16" s="1"/>
  <c r="X1110" i="2"/>
  <c r="L1110" i="16" s="1"/>
  <c r="X1111" i="2"/>
  <c r="L1111" i="16" s="1"/>
  <c r="X1112" i="2"/>
  <c r="L1112" i="16" s="1"/>
  <c r="X1113" i="2"/>
  <c r="L1113" i="16" s="1"/>
  <c r="X1114" i="2"/>
  <c r="L1114" i="16" s="1"/>
  <c r="X1115" i="2"/>
  <c r="L1115" i="16" s="1"/>
  <c r="X1116" i="2"/>
  <c r="L1116" i="16" s="1"/>
  <c r="X1119" i="2"/>
  <c r="L1119" i="16" s="1"/>
  <c r="X1120" i="2"/>
  <c r="L1120" i="16" s="1"/>
  <c r="X1121" i="2"/>
  <c r="L1121" i="16" s="1"/>
  <c r="X1123" i="2"/>
  <c r="L1123" i="16" s="1"/>
  <c r="X1124" i="2"/>
  <c r="L1124" i="16" s="1"/>
  <c r="X1125" i="2"/>
  <c r="L1125" i="16" s="1"/>
  <c r="X1126" i="2"/>
  <c r="L1126" i="16" s="1"/>
  <c r="X1127" i="2"/>
  <c r="L1127" i="16" s="1"/>
  <c r="X1128" i="2"/>
  <c r="L1128" i="16" s="1"/>
  <c r="X1129" i="2"/>
  <c r="L1129" i="16" s="1"/>
  <c r="X1130" i="2"/>
  <c r="L1130" i="16" s="1"/>
  <c r="X1131" i="2"/>
  <c r="L1131" i="16" s="1"/>
  <c r="X1132" i="2"/>
  <c r="L1132" i="16" s="1"/>
  <c r="X1133" i="2"/>
  <c r="L1133" i="16" s="1"/>
  <c r="X1134" i="2"/>
  <c r="L1134" i="16" s="1"/>
  <c r="X1135" i="2"/>
  <c r="L1135" i="16" s="1"/>
  <c r="X1136" i="2"/>
  <c r="L1136" i="16" s="1"/>
  <c r="X1137" i="2"/>
  <c r="L1137" i="16" s="1"/>
  <c r="X1138" i="2"/>
  <c r="L1138" i="16" s="1"/>
  <c r="X1139" i="2"/>
  <c r="L1139" i="16" s="1"/>
  <c r="X1140" i="2"/>
  <c r="L1140" i="16" s="1"/>
  <c r="X1142" i="2"/>
  <c r="L1142" i="16" s="1"/>
  <c r="X1143" i="2"/>
  <c r="L1143" i="16" s="1"/>
  <c r="X1144" i="2"/>
  <c r="L1144" i="16" s="1"/>
  <c r="X1145" i="2"/>
  <c r="L1145" i="16" s="1"/>
  <c r="X1146" i="2"/>
  <c r="L1146" i="16" s="1"/>
  <c r="X1147" i="2"/>
  <c r="L1147" i="16" s="1"/>
  <c r="X1148" i="2"/>
  <c r="L1148" i="16" s="1"/>
  <c r="X1149" i="2"/>
  <c r="L1149" i="16" s="1"/>
  <c r="X1150" i="2"/>
  <c r="L1150" i="16" s="1"/>
  <c r="X1151" i="2"/>
  <c r="L1151" i="16" s="1"/>
  <c r="X1152" i="2"/>
  <c r="L1152" i="16" s="1"/>
  <c r="X1154" i="2"/>
  <c r="L1154" i="16" s="1"/>
  <c r="X1155" i="2"/>
  <c r="L1155" i="16" s="1"/>
  <c r="X1156" i="2"/>
  <c r="L1156" i="16" s="1"/>
  <c r="X1157" i="2"/>
  <c r="L1157" i="16" s="1"/>
  <c r="X1158" i="2"/>
  <c r="L1158" i="16" s="1"/>
  <c r="X1159" i="2"/>
  <c r="L1159" i="16" s="1"/>
  <c r="X1160" i="2"/>
  <c r="L1160" i="16" s="1"/>
  <c r="X1161" i="2"/>
  <c r="L1161" i="16" s="1"/>
  <c r="X1162" i="2"/>
  <c r="L1162" i="16" s="1"/>
  <c r="X1163" i="2"/>
  <c r="L1163" i="16" s="1"/>
  <c r="X1164" i="2"/>
  <c r="L1164" i="16" s="1"/>
  <c r="X1165" i="2"/>
  <c r="L1165" i="16" s="1"/>
  <c r="X1166" i="2"/>
  <c r="L1166" i="16" s="1"/>
  <c r="X1167" i="2"/>
  <c r="L1167" i="16" s="1"/>
  <c r="X1168" i="2"/>
  <c r="L1168" i="16" s="1"/>
  <c r="X1169" i="2"/>
  <c r="L1169" i="16" s="1"/>
  <c r="X1170" i="2"/>
  <c r="L1170" i="16" s="1"/>
  <c r="X1171" i="2"/>
  <c r="L1171" i="16" s="1"/>
  <c r="X1172" i="2"/>
  <c r="L1172" i="16" s="1"/>
  <c r="X1173" i="2"/>
  <c r="L1173" i="16" s="1"/>
  <c r="X1174" i="2"/>
  <c r="L1174" i="16" s="1"/>
  <c r="X1175" i="2"/>
  <c r="L1175" i="16" s="1"/>
  <c r="X1176" i="2"/>
  <c r="L1176" i="16" s="1"/>
  <c r="X1177" i="2"/>
  <c r="L1177" i="16" s="1"/>
  <c r="X1178" i="2"/>
  <c r="L1178" i="16" s="1"/>
  <c r="X1179" i="2"/>
  <c r="L1179" i="16" s="1"/>
  <c r="X1180" i="2"/>
  <c r="L1180" i="16" s="1"/>
  <c r="X1181" i="2"/>
  <c r="L1181" i="16" s="1"/>
  <c r="X1183" i="2"/>
  <c r="L1183" i="16" s="1"/>
  <c r="X1184" i="2"/>
  <c r="L1184" i="16" s="1"/>
  <c r="X1185" i="2"/>
  <c r="L1185" i="16" s="1"/>
  <c r="X1186" i="2"/>
  <c r="L1186" i="16" s="1"/>
  <c r="X1187" i="2"/>
  <c r="L1187" i="16" s="1"/>
  <c r="X1188" i="2"/>
  <c r="L1188" i="16" s="1"/>
  <c r="X1189" i="2"/>
  <c r="L1189" i="16" s="1"/>
  <c r="X1190" i="2"/>
  <c r="L1190" i="16" s="1"/>
  <c r="X1191" i="2"/>
  <c r="L1191" i="16" s="1"/>
  <c r="X1192" i="2"/>
  <c r="L1192" i="16" s="1"/>
  <c r="X1193" i="2"/>
  <c r="L1193" i="16" s="1"/>
  <c r="X1194" i="2"/>
  <c r="L1194" i="16" s="1"/>
  <c r="X1195" i="2"/>
  <c r="L1195" i="16" s="1"/>
  <c r="X1196" i="2"/>
  <c r="L1196" i="16" s="1"/>
  <c r="X1197" i="2"/>
  <c r="L1197" i="16" s="1"/>
  <c r="X1198" i="2"/>
  <c r="L1198" i="16" s="1"/>
  <c r="X1199" i="2"/>
  <c r="L1199" i="16" s="1"/>
  <c r="X1200" i="2"/>
  <c r="L1200" i="16" s="1"/>
  <c r="X1201" i="2"/>
  <c r="L1201" i="16" s="1"/>
  <c r="X1202" i="2"/>
  <c r="L1202" i="16" s="1"/>
  <c r="X1203" i="2"/>
  <c r="L1203" i="16" s="1"/>
  <c r="X1204" i="2"/>
  <c r="L1204" i="16" s="1"/>
  <c r="X1205" i="2"/>
  <c r="L1205" i="16" s="1"/>
  <c r="X1206" i="2"/>
  <c r="L1206" i="16" s="1"/>
  <c r="X1207" i="2"/>
  <c r="L1207" i="16" s="1"/>
  <c r="X1208" i="2"/>
  <c r="L1208" i="16" s="1"/>
  <c r="X1209" i="2"/>
  <c r="L1209" i="16" s="1"/>
  <c r="X1210" i="2"/>
  <c r="L1210" i="16" s="1"/>
  <c r="X1211" i="2"/>
  <c r="L1211" i="16" s="1"/>
  <c r="Z2" i="2"/>
  <c r="Z3" i="2"/>
  <c r="B3" i="16" s="1"/>
  <c r="Z4" i="2"/>
  <c r="B4" i="16" s="1"/>
  <c r="Z5" i="2"/>
  <c r="B5" i="16" s="1"/>
  <c r="Z6" i="2"/>
  <c r="B6" i="16" s="1"/>
  <c r="Z7" i="2"/>
  <c r="B7" i="16" s="1"/>
  <c r="Z8" i="2"/>
  <c r="B8" i="16" s="1"/>
  <c r="Z9" i="2"/>
  <c r="B9" i="16" s="1"/>
  <c r="Z10" i="2"/>
  <c r="B10" i="16" s="1"/>
  <c r="Z11" i="2"/>
  <c r="B11" i="16" s="1"/>
  <c r="Z12" i="2"/>
  <c r="B12" i="16" s="1"/>
  <c r="Z13" i="2"/>
  <c r="B13" i="16" s="1"/>
  <c r="Z14" i="2"/>
  <c r="B14" i="16" s="1"/>
  <c r="Z15" i="2"/>
  <c r="B15" i="16" s="1"/>
  <c r="Z16" i="2"/>
  <c r="B16" i="16" s="1"/>
  <c r="Z17" i="2"/>
  <c r="B17" i="16" s="1"/>
  <c r="Z18" i="2"/>
  <c r="B18" i="16" s="1"/>
  <c r="Z19" i="2"/>
  <c r="B19" i="16" s="1"/>
  <c r="Z20" i="2"/>
  <c r="B20" i="16" s="1"/>
  <c r="Z21" i="2"/>
  <c r="B21" i="16" s="1"/>
  <c r="Z24" i="2"/>
  <c r="B24" i="16" s="1"/>
  <c r="Z25" i="2"/>
  <c r="B25" i="16" s="1"/>
  <c r="Z26" i="2"/>
  <c r="B26" i="16" s="1"/>
  <c r="Z27" i="2"/>
  <c r="B27" i="16" s="1"/>
  <c r="Z28" i="2"/>
  <c r="B28" i="16" s="1"/>
  <c r="Z29" i="2"/>
  <c r="B29" i="16" s="1"/>
  <c r="Z30" i="2"/>
  <c r="B30" i="16" s="1"/>
  <c r="Z32" i="2"/>
  <c r="B32" i="16" s="1"/>
  <c r="Z33" i="2"/>
  <c r="B33" i="16" s="1"/>
  <c r="Z35" i="2"/>
  <c r="B35" i="16" s="1"/>
  <c r="Z36" i="2"/>
  <c r="B36" i="16" s="1"/>
  <c r="Z37" i="2"/>
  <c r="B37" i="16" s="1"/>
  <c r="Z38" i="2"/>
  <c r="B38" i="16" s="1"/>
  <c r="Z39" i="2"/>
  <c r="B39" i="16" s="1"/>
  <c r="Z40" i="2"/>
  <c r="B40" i="16" s="1"/>
  <c r="Z41" i="2"/>
  <c r="B41" i="16" s="1"/>
  <c r="Z42" i="2"/>
  <c r="B42" i="16" s="1"/>
  <c r="Z43" i="2"/>
  <c r="B43" i="16" s="1"/>
  <c r="Z44" i="2"/>
  <c r="B44" i="16" s="1"/>
  <c r="Z45" i="2"/>
  <c r="B45" i="16" s="1"/>
  <c r="Z46" i="2"/>
  <c r="B46" i="16" s="1"/>
  <c r="Z47" i="2"/>
  <c r="Z49" i="2"/>
  <c r="B49" i="16" s="1"/>
  <c r="Z50" i="2"/>
  <c r="B50" i="16" s="1"/>
  <c r="Z51" i="2"/>
  <c r="Z53" i="2"/>
  <c r="B53" i="16" s="1"/>
  <c r="Z54" i="2"/>
  <c r="B54" i="16" s="1"/>
  <c r="Z55" i="2"/>
  <c r="B55" i="16" s="1"/>
  <c r="Z56" i="2"/>
  <c r="B56" i="16" s="1"/>
  <c r="Z57" i="2"/>
  <c r="B57" i="16" s="1"/>
  <c r="Z58" i="2"/>
  <c r="B58" i="16" s="1"/>
  <c r="Z59" i="2"/>
  <c r="B59" i="16" s="1"/>
  <c r="Z60" i="2"/>
  <c r="B60" i="16" s="1"/>
  <c r="Z61" i="2"/>
  <c r="B61" i="16" s="1"/>
  <c r="Z62" i="2"/>
  <c r="B62" i="16" s="1"/>
  <c r="Z63" i="2"/>
  <c r="B63" i="16" s="1"/>
  <c r="Z65" i="2"/>
  <c r="B65" i="16" s="1"/>
  <c r="Z66" i="2"/>
  <c r="B66" i="16" s="1"/>
  <c r="Z67" i="2"/>
  <c r="B67" i="16" s="1"/>
  <c r="Z68" i="2"/>
  <c r="B68" i="16" s="1"/>
  <c r="Z69" i="2"/>
  <c r="B69" i="16" s="1"/>
  <c r="Z70" i="2"/>
  <c r="B70" i="16" s="1"/>
  <c r="Z71" i="2"/>
  <c r="B71" i="16" s="1"/>
  <c r="Z72" i="2"/>
  <c r="B72" i="16" s="1"/>
  <c r="Z73" i="2"/>
  <c r="B73" i="16" s="1"/>
  <c r="Z74" i="2"/>
  <c r="B74" i="16" s="1"/>
  <c r="Z75" i="2"/>
  <c r="B75" i="16" s="1"/>
  <c r="Z76" i="2"/>
  <c r="B76" i="16" s="1"/>
  <c r="Z77" i="2"/>
  <c r="B77" i="16" s="1"/>
  <c r="Z80" i="2"/>
  <c r="B80" i="16" s="1"/>
  <c r="Z82" i="2"/>
  <c r="B82" i="16" s="1"/>
  <c r="Z83" i="2"/>
  <c r="B83" i="16" s="1"/>
  <c r="Z84" i="2"/>
  <c r="B84" i="16" s="1"/>
  <c r="Z85" i="2"/>
  <c r="Z87" i="2"/>
  <c r="B87" i="16" s="1"/>
  <c r="Z88" i="2"/>
  <c r="B88" i="16" s="1"/>
  <c r="Z89" i="2"/>
  <c r="B89" i="16" s="1"/>
  <c r="Z90" i="2"/>
  <c r="B90" i="16" s="1"/>
  <c r="Z91" i="2"/>
  <c r="B91" i="16" s="1"/>
  <c r="Z92" i="2"/>
  <c r="B92" i="16" s="1"/>
  <c r="Z93" i="2"/>
  <c r="B93" i="16" s="1"/>
  <c r="Z94" i="2"/>
  <c r="B94" i="16" s="1"/>
  <c r="Z95" i="2"/>
  <c r="B95" i="16" s="1"/>
  <c r="Z96" i="2"/>
  <c r="B96" i="16" s="1"/>
  <c r="Z97" i="2"/>
  <c r="Z99" i="2"/>
  <c r="B99" i="16" s="1"/>
  <c r="Z100" i="2"/>
  <c r="B100" i="16" s="1"/>
  <c r="Z101" i="2"/>
  <c r="B101" i="16" s="1"/>
  <c r="Z102" i="2"/>
  <c r="B102" i="16" s="1"/>
  <c r="Z104" i="2"/>
  <c r="B104" i="16" s="1"/>
  <c r="Z105" i="2"/>
  <c r="B105" i="16" s="1"/>
  <c r="Z106" i="2"/>
  <c r="B106" i="16" s="1"/>
  <c r="Z107" i="2"/>
  <c r="B107" i="16" s="1"/>
  <c r="Z108" i="2"/>
  <c r="B108" i="16" s="1"/>
  <c r="Z109" i="2"/>
  <c r="B109" i="16" s="1"/>
  <c r="Z110" i="2"/>
  <c r="B110" i="16" s="1"/>
  <c r="Z112" i="2"/>
  <c r="B112" i="16" s="1"/>
  <c r="Z114" i="2"/>
  <c r="B114" i="16" s="1"/>
  <c r="Z116" i="2"/>
  <c r="B116" i="16" s="1"/>
  <c r="Z117" i="2"/>
  <c r="B117" i="16" s="1"/>
  <c r="Z118" i="2"/>
  <c r="Z120" i="2"/>
  <c r="Z124" i="2"/>
  <c r="B124" i="16" s="1"/>
  <c r="Z125" i="2"/>
  <c r="B125" i="16" s="1"/>
  <c r="Z127" i="2"/>
  <c r="B127" i="16" s="1"/>
  <c r="Z128" i="2"/>
  <c r="B128" i="16" s="1"/>
  <c r="Z129" i="2"/>
  <c r="B129" i="16" s="1"/>
  <c r="Z130" i="2"/>
  <c r="B130" i="16" s="1"/>
  <c r="Z135" i="2"/>
  <c r="B135" i="16" s="1"/>
  <c r="Z136" i="2"/>
  <c r="Z141" i="2"/>
  <c r="B141" i="16" s="1"/>
  <c r="Z142" i="2"/>
  <c r="B142" i="16" s="1"/>
  <c r="Z144" i="2"/>
  <c r="B144" i="16" s="1"/>
  <c r="Z145" i="2"/>
  <c r="B145" i="16" s="1"/>
  <c r="Z146" i="2"/>
  <c r="B146" i="16" s="1"/>
  <c r="Z147" i="2"/>
  <c r="B147" i="16" s="1"/>
  <c r="Z148" i="2"/>
  <c r="B148" i="16" s="1"/>
  <c r="Z149" i="2"/>
  <c r="B149" i="16" s="1"/>
  <c r="Z150" i="2"/>
  <c r="B150" i="16" s="1"/>
  <c r="Z151" i="2"/>
  <c r="B151" i="16" s="1"/>
  <c r="Z152" i="2"/>
  <c r="B152" i="16" s="1"/>
  <c r="Z153" i="2"/>
  <c r="B153" i="16" s="1"/>
  <c r="Z154" i="2"/>
  <c r="B154" i="16" s="1"/>
  <c r="Z156" i="2"/>
  <c r="B156" i="16" s="1"/>
  <c r="Z157" i="2"/>
  <c r="B157" i="16" s="1"/>
  <c r="Z158" i="2"/>
  <c r="B158" i="16" s="1"/>
  <c r="Z159" i="2"/>
  <c r="B159" i="16" s="1"/>
  <c r="Z160" i="2"/>
  <c r="Z162" i="2"/>
  <c r="B162" i="16" s="1"/>
  <c r="Z164" i="2"/>
  <c r="B164" i="16" s="1"/>
  <c r="Z165" i="2"/>
  <c r="B165" i="16" s="1"/>
  <c r="Z166" i="2"/>
  <c r="Z168" i="2"/>
  <c r="B168" i="16" s="1"/>
  <c r="Z169" i="2"/>
  <c r="B169" i="16" s="1"/>
  <c r="Z170" i="2"/>
  <c r="B170" i="16" s="1"/>
  <c r="Z171" i="2"/>
  <c r="B171" i="16" s="1"/>
  <c r="Z172" i="2"/>
  <c r="B172" i="16" s="1"/>
  <c r="Z173" i="2"/>
  <c r="B173" i="16" s="1"/>
  <c r="Z174" i="2"/>
  <c r="B174" i="16" s="1"/>
  <c r="Z175" i="2"/>
  <c r="B175" i="16" s="1"/>
  <c r="Z178" i="2"/>
  <c r="B178" i="16" s="1"/>
  <c r="Z179" i="2"/>
  <c r="Z181" i="2"/>
  <c r="B181" i="16" s="1"/>
  <c r="Z182" i="2"/>
  <c r="B182" i="16" s="1"/>
  <c r="Z183" i="2"/>
  <c r="B183" i="16" s="1"/>
  <c r="Z184" i="2"/>
  <c r="B184" i="16" s="1"/>
  <c r="Z185" i="2"/>
  <c r="B185" i="16" s="1"/>
  <c r="Z186" i="2"/>
  <c r="B186" i="16" s="1"/>
  <c r="Z187" i="2"/>
  <c r="B187" i="16" s="1"/>
  <c r="Z188" i="2"/>
  <c r="B188" i="16" s="1"/>
  <c r="Z189" i="2"/>
  <c r="B189" i="16" s="1"/>
  <c r="Z190" i="2"/>
  <c r="B190" i="16" s="1"/>
  <c r="Z191" i="2"/>
  <c r="B191" i="16" s="1"/>
  <c r="Z192" i="2"/>
  <c r="B192" i="16" s="1"/>
  <c r="Z193" i="2"/>
  <c r="B193" i="16" s="1"/>
  <c r="Z194" i="2"/>
  <c r="B194" i="16" s="1"/>
  <c r="Z195" i="2"/>
  <c r="B195" i="16" s="1"/>
  <c r="Z196" i="2"/>
  <c r="B196" i="16" s="1"/>
  <c r="Z197" i="2"/>
  <c r="B197" i="16" s="1"/>
  <c r="Z198" i="2"/>
  <c r="Z200" i="2"/>
  <c r="B200" i="16" s="1"/>
  <c r="Z201" i="2"/>
  <c r="B201" i="16" s="1"/>
  <c r="Z202" i="2"/>
  <c r="B202" i="16" s="1"/>
  <c r="Z204" i="2"/>
  <c r="B204" i="16" s="1"/>
  <c r="Z205" i="2"/>
  <c r="B205" i="16" s="1"/>
  <c r="Z206" i="2"/>
  <c r="B206" i="16" s="1"/>
  <c r="Z207" i="2"/>
  <c r="B207" i="16" s="1"/>
  <c r="Z208" i="2"/>
  <c r="B208" i="16" s="1"/>
  <c r="Z210" i="2"/>
  <c r="Z212" i="2"/>
  <c r="B212" i="16" s="1"/>
  <c r="Z213" i="2"/>
  <c r="B213" i="16" s="1"/>
  <c r="Z214" i="2"/>
  <c r="B214" i="16" s="1"/>
  <c r="Z215" i="2"/>
  <c r="B215" i="16" s="1"/>
  <c r="Z216" i="2"/>
  <c r="B216" i="16" s="1"/>
  <c r="Z218" i="2"/>
  <c r="Z220" i="2"/>
  <c r="B220" i="16" s="1"/>
  <c r="Z221" i="2"/>
  <c r="B221" i="16" s="1"/>
  <c r="Z225" i="2"/>
  <c r="B225" i="16" s="1"/>
  <c r="Z226" i="2"/>
  <c r="B226" i="16" s="1"/>
  <c r="Z227" i="2"/>
  <c r="B227" i="16" s="1"/>
  <c r="Z228" i="2"/>
  <c r="B228" i="16" s="1"/>
  <c r="Z229" i="2"/>
  <c r="B229" i="16" s="1"/>
  <c r="Z231" i="2"/>
  <c r="B231" i="16" s="1"/>
  <c r="Z232" i="2"/>
  <c r="Z234" i="2"/>
  <c r="B234" i="16" s="1"/>
  <c r="Z235" i="2"/>
  <c r="B235" i="16" s="1"/>
  <c r="Z236" i="2"/>
  <c r="Z238" i="2"/>
  <c r="B238" i="16" s="1"/>
  <c r="Z239" i="2"/>
  <c r="B239" i="16" s="1"/>
  <c r="Z240" i="2"/>
  <c r="B240" i="16" s="1"/>
  <c r="Z241" i="2"/>
  <c r="B241" i="16" s="1"/>
  <c r="Z242" i="2"/>
  <c r="B242" i="16" s="1"/>
  <c r="Z243" i="2"/>
  <c r="Z245" i="2"/>
  <c r="B245" i="16" s="1"/>
  <c r="Z246" i="2"/>
  <c r="B246" i="16" s="1"/>
  <c r="Z247" i="2"/>
  <c r="B247" i="16" s="1"/>
  <c r="Z249" i="2"/>
  <c r="B249" i="16" s="1"/>
  <c r="Z250" i="2"/>
  <c r="B250" i="16" s="1"/>
  <c r="Z251" i="2"/>
  <c r="B251" i="16" s="1"/>
  <c r="Z252" i="2"/>
  <c r="B252" i="16" s="1"/>
  <c r="Z253" i="2"/>
  <c r="Z257" i="2"/>
  <c r="B257" i="16" s="1"/>
  <c r="Z259" i="2"/>
  <c r="B259" i="16" s="1"/>
  <c r="Z260" i="2"/>
  <c r="B260" i="16" s="1"/>
  <c r="Z261" i="2"/>
  <c r="B261" i="16" s="1"/>
  <c r="Z262" i="2"/>
  <c r="B262" i="16" s="1"/>
  <c r="Z264" i="2"/>
  <c r="B264" i="16" s="1"/>
  <c r="Z265" i="2"/>
  <c r="B265" i="16" s="1"/>
  <c r="Z266" i="2"/>
  <c r="Z269" i="2"/>
  <c r="B269" i="16" s="1"/>
  <c r="Z270" i="2"/>
  <c r="Z272" i="2"/>
  <c r="Z274" i="2"/>
  <c r="B274" i="16" s="1"/>
  <c r="Z275" i="2"/>
  <c r="B275" i="16" s="1"/>
  <c r="Z276" i="2"/>
  <c r="B276" i="16" s="1"/>
  <c r="Z278" i="2"/>
  <c r="B278" i="16" s="1"/>
  <c r="Z279" i="2"/>
  <c r="B279" i="16" s="1"/>
  <c r="Z280" i="2"/>
  <c r="Z282" i="2"/>
  <c r="B282" i="16" s="1"/>
  <c r="Z283" i="2"/>
  <c r="Z286" i="2"/>
  <c r="B286" i="16" s="1"/>
  <c r="Z287" i="2"/>
  <c r="B287" i="16" s="1"/>
  <c r="Z288" i="2"/>
  <c r="B288" i="16" s="1"/>
  <c r="Z289" i="2"/>
  <c r="B289" i="16" s="1"/>
  <c r="Z290" i="2"/>
  <c r="B290" i="16" s="1"/>
  <c r="Z291" i="2"/>
  <c r="B291" i="16" s="1"/>
  <c r="Z292" i="2"/>
  <c r="B292" i="16" s="1"/>
  <c r="Z293" i="2"/>
  <c r="B293" i="16" s="1"/>
  <c r="Z294" i="2"/>
  <c r="B294" i="16" s="1"/>
  <c r="Z296" i="2"/>
  <c r="B296" i="16" s="1"/>
  <c r="Z297" i="2"/>
  <c r="B297" i="16" s="1"/>
  <c r="Z298" i="2"/>
  <c r="B298" i="16" s="1"/>
  <c r="Z299" i="2"/>
  <c r="B299" i="16" s="1"/>
  <c r="Z300" i="2"/>
  <c r="Z303" i="2"/>
  <c r="B303" i="16" s="1"/>
  <c r="Z304" i="2"/>
  <c r="B304" i="16" s="1"/>
  <c r="Z305" i="2"/>
  <c r="B305" i="16" s="1"/>
  <c r="Z306" i="2"/>
  <c r="B306" i="16" s="1"/>
  <c r="Z307" i="2"/>
  <c r="B307" i="16" s="1"/>
  <c r="Z308" i="2"/>
  <c r="B308" i="16" s="1"/>
  <c r="Z309" i="2"/>
  <c r="B309" i="16" s="1"/>
  <c r="Z310" i="2"/>
  <c r="B310" i="16" s="1"/>
  <c r="Z311" i="2"/>
  <c r="B311" i="16" s="1"/>
  <c r="Z312" i="2"/>
  <c r="Z315" i="2"/>
  <c r="B315" i="16" s="1"/>
  <c r="Z316" i="2"/>
  <c r="Z318" i="2"/>
  <c r="B318" i="16" s="1"/>
  <c r="Z319" i="2"/>
  <c r="B319" i="16" s="1"/>
  <c r="Z321" i="2"/>
  <c r="Z324" i="2"/>
  <c r="B324" i="16" s="1"/>
  <c r="Z325" i="2"/>
  <c r="Z328" i="2"/>
  <c r="B328" i="16" s="1"/>
  <c r="Z329" i="2"/>
  <c r="Z333" i="2"/>
  <c r="B333" i="16" s="1"/>
  <c r="Z334" i="2"/>
  <c r="B334" i="16" s="1"/>
  <c r="Z335" i="2"/>
  <c r="B335" i="16" s="1"/>
  <c r="Z336" i="2"/>
  <c r="B336" i="16" s="1"/>
  <c r="Z337" i="2"/>
  <c r="B337" i="16" s="1"/>
  <c r="Z339" i="2"/>
  <c r="B339" i="16" s="1"/>
  <c r="Z340" i="2"/>
  <c r="B340" i="16" s="1"/>
  <c r="Z343" i="2"/>
  <c r="B343" i="16" s="1"/>
  <c r="Z344" i="2"/>
  <c r="B344" i="16" s="1"/>
  <c r="Z345" i="2"/>
  <c r="B345" i="16" s="1"/>
  <c r="Z346" i="2"/>
  <c r="B346" i="16" s="1"/>
  <c r="Z347" i="2"/>
  <c r="B347" i="16" s="1"/>
  <c r="Z348" i="2"/>
  <c r="B348" i="16" s="1"/>
  <c r="Z349" i="2"/>
  <c r="Z351" i="2"/>
  <c r="B351" i="16" s="1"/>
  <c r="Z352" i="2"/>
  <c r="Z354" i="2"/>
  <c r="B354" i="16" s="1"/>
  <c r="Z355" i="2"/>
  <c r="B355" i="16" s="1"/>
  <c r="Z357" i="2"/>
  <c r="B357" i="16" s="1"/>
  <c r="Z359" i="2"/>
  <c r="B359" i="16" s="1"/>
  <c r="Z360" i="2"/>
  <c r="B360" i="16" s="1"/>
  <c r="Z361" i="2"/>
  <c r="B361" i="16" s="1"/>
  <c r="Z362" i="2"/>
  <c r="B362" i="16" s="1"/>
  <c r="Z363" i="2"/>
  <c r="B363" i="16" s="1"/>
  <c r="Z364" i="2"/>
  <c r="Z366" i="2"/>
  <c r="B366" i="16" s="1"/>
  <c r="Z367" i="2"/>
  <c r="Z370" i="2"/>
  <c r="B370" i="16" s="1"/>
  <c r="Z371" i="2"/>
  <c r="B371" i="16" s="1"/>
  <c r="Z372" i="2"/>
  <c r="B372" i="16" s="1"/>
  <c r="Z373" i="2"/>
  <c r="B373" i="16" s="1"/>
  <c r="Z374" i="2"/>
  <c r="B374" i="16" s="1"/>
  <c r="Z375" i="2"/>
  <c r="B375" i="16" s="1"/>
  <c r="Z376" i="2"/>
  <c r="B376" i="16" s="1"/>
  <c r="Z377" i="2"/>
  <c r="B377" i="16" s="1"/>
  <c r="Z378" i="2"/>
  <c r="B378" i="16" s="1"/>
  <c r="Z379" i="2"/>
  <c r="B379" i="16" s="1"/>
  <c r="Z381" i="2"/>
  <c r="B381" i="16" s="1"/>
  <c r="Z382" i="2"/>
  <c r="B382" i="16" s="1"/>
  <c r="Z383" i="2"/>
  <c r="B383" i="16" s="1"/>
  <c r="Z384" i="2"/>
  <c r="B384" i="16" s="1"/>
  <c r="Z386" i="2"/>
  <c r="B386" i="16" s="1"/>
  <c r="Z387" i="2"/>
  <c r="B387" i="16" s="1"/>
  <c r="Z388" i="2"/>
  <c r="B388" i="16" s="1"/>
  <c r="Z389" i="2"/>
  <c r="Z391" i="2"/>
  <c r="B391" i="16" s="1"/>
  <c r="Z392" i="2"/>
  <c r="B392" i="16" s="1"/>
  <c r="Z395" i="2"/>
  <c r="B395" i="16" s="1"/>
  <c r="Z396" i="2"/>
  <c r="B396" i="16" s="1"/>
  <c r="Z397" i="2"/>
  <c r="Z399" i="2"/>
  <c r="B399" i="16" s="1"/>
  <c r="Z403" i="2"/>
  <c r="B403" i="16" s="1"/>
  <c r="Z404" i="2"/>
  <c r="B404" i="16" s="1"/>
  <c r="Z405" i="2"/>
  <c r="Z408" i="2"/>
  <c r="B408" i="16" s="1"/>
  <c r="Z409" i="2"/>
  <c r="B409" i="16" s="1"/>
  <c r="Z410" i="2"/>
  <c r="B410" i="16" s="1"/>
  <c r="Z411" i="2"/>
  <c r="B411" i="16" s="1"/>
  <c r="Z412" i="2"/>
  <c r="B412" i="16" s="1"/>
  <c r="Z415" i="2"/>
  <c r="B415" i="16" s="1"/>
  <c r="Z416" i="2"/>
  <c r="B416" i="16" s="1"/>
  <c r="Z417" i="2"/>
  <c r="B417" i="16" s="1"/>
  <c r="Z418" i="2"/>
  <c r="B418" i="16" s="1"/>
  <c r="Z419" i="2"/>
  <c r="B419" i="16" s="1"/>
  <c r="Z420" i="2"/>
  <c r="B420" i="16" s="1"/>
  <c r="Z421" i="2"/>
  <c r="B421" i="16" s="1"/>
  <c r="Z422" i="2"/>
  <c r="B422" i="16" s="1"/>
  <c r="Z423" i="2"/>
  <c r="B423" i="16" s="1"/>
  <c r="Z424" i="2"/>
  <c r="B424" i="16" s="1"/>
  <c r="Z425" i="2"/>
  <c r="B425" i="16" s="1"/>
  <c r="Z426" i="2"/>
  <c r="B426" i="16" s="1"/>
  <c r="Z428" i="2"/>
  <c r="B428" i="16" s="1"/>
  <c r="Z429" i="2"/>
  <c r="B429" i="16" s="1"/>
  <c r="Z430" i="2"/>
  <c r="B430" i="16" s="1"/>
  <c r="Z431" i="2"/>
  <c r="B431" i="16" s="1"/>
  <c r="Z432" i="2"/>
  <c r="Z434" i="2"/>
  <c r="B434" i="16" s="1"/>
  <c r="Z435" i="2"/>
  <c r="B435" i="16" s="1"/>
  <c r="Z436" i="2"/>
  <c r="Z438" i="2"/>
  <c r="B438" i="16" s="1"/>
  <c r="Z439" i="2"/>
  <c r="B439" i="16" s="1"/>
  <c r="Z440" i="2"/>
  <c r="B440" i="16" s="1"/>
  <c r="Z441" i="2"/>
  <c r="B441" i="16" s="1"/>
  <c r="Z442" i="2"/>
  <c r="B442" i="16" s="1"/>
  <c r="Z443" i="2"/>
  <c r="B443" i="16" s="1"/>
  <c r="Z444" i="2"/>
  <c r="B444" i="16" s="1"/>
  <c r="Z445" i="2"/>
  <c r="Z447" i="2"/>
  <c r="B447" i="16" s="1"/>
  <c r="Z448" i="2"/>
  <c r="B448" i="16" s="1"/>
  <c r="Z449" i="2"/>
  <c r="Z451" i="2"/>
  <c r="B451" i="16" s="1"/>
  <c r="Z452" i="2"/>
  <c r="B452" i="16" s="1"/>
  <c r="Z453" i="2"/>
  <c r="Z455" i="2"/>
  <c r="B455" i="16" s="1"/>
  <c r="Z456" i="2"/>
  <c r="B456" i="16" s="1"/>
  <c r="Z457" i="2"/>
  <c r="B457" i="16" s="1"/>
  <c r="Z458" i="2"/>
  <c r="Z460" i="2"/>
  <c r="B460" i="16" s="1"/>
  <c r="Z461" i="2"/>
  <c r="B461" i="16" s="1"/>
  <c r="Z462" i="2"/>
  <c r="B462" i="16" s="1"/>
  <c r="Z463" i="2"/>
  <c r="B463" i="16" s="1"/>
  <c r="Z464" i="2"/>
  <c r="B464" i="16" s="1"/>
  <c r="Z465" i="2"/>
  <c r="B465" i="16" s="1"/>
  <c r="Z466" i="2"/>
  <c r="B466" i="16" s="1"/>
  <c r="Z467" i="2"/>
  <c r="B467" i="16" s="1"/>
  <c r="Z468" i="2"/>
  <c r="B468" i="16" s="1"/>
  <c r="Z470" i="2"/>
  <c r="B470" i="16" s="1"/>
  <c r="Z472" i="2"/>
  <c r="B472" i="16" s="1"/>
  <c r="Z473" i="2"/>
  <c r="Z475" i="2"/>
  <c r="B475" i="16" s="1"/>
  <c r="Z476" i="2"/>
  <c r="Z478" i="2"/>
  <c r="Z481" i="2"/>
  <c r="Z483" i="2"/>
  <c r="Z485" i="2"/>
  <c r="Z487" i="2"/>
  <c r="B487" i="16" s="1"/>
  <c r="Z488" i="2"/>
  <c r="B488" i="16" s="1"/>
  <c r="Z489" i="2"/>
  <c r="B489" i="16" s="1"/>
  <c r="Z490" i="2"/>
  <c r="B490" i="16" s="1"/>
  <c r="Z491" i="2"/>
  <c r="B491" i="16" s="1"/>
  <c r="Z492" i="2"/>
  <c r="B492" i="16" s="1"/>
  <c r="Z493" i="2"/>
  <c r="B493" i="16" s="1"/>
  <c r="Z494" i="2"/>
  <c r="B494" i="16" s="1"/>
  <c r="Z495" i="2"/>
  <c r="B495" i="16" s="1"/>
  <c r="Z496" i="2"/>
  <c r="B496" i="16" s="1"/>
  <c r="Z497" i="2"/>
  <c r="B497" i="16" s="1"/>
  <c r="Z501" i="2"/>
  <c r="B501" i="16" s="1"/>
  <c r="Z502" i="2"/>
  <c r="B502" i="16" s="1"/>
  <c r="Z503" i="2"/>
  <c r="B503" i="16" s="1"/>
  <c r="Z504" i="2"/>
  <c r="B504" i="16" s="1"/>
  <c r="Z505" i="2"/>
  <c r="B505" i="16" s="1"/>
  <c r="Z506" i="2"/>
  <c r="Z508" i="2"/>
  <c r="B508" i="16" s="1"/>
  <c r="Z509" i="2"/>
  <c r="Z511" i="2"/>
  <c r="B511" i="16" s="1"/>
  <c r="Z512" i="2"/>
  <c r="Z514" i="2"/>
  <c r="B514" i="16" s="1"/>
  <c r="Z515" i="2"/>
  <c r="B515" i="16" s="1"/>
  <c r="Z516" i="2"/>
  <c r="Z519" i="2"/>
  <c r="B519" i="16" s="1"/>
  <c r="Z520" i="2"/>
  <c r="B520" i="16" s="1"/>
  <c r="Z522" i="2"/>
  <c r="Z524" i="2"/>
  <c r="B524" i="16" s="1"/>
  <c r="Z525" i="2"/>
  <c r="Z527" i="2"/>
  <c r="B527" i="16" s="1"/>
  <c r="Z528" i="2"/>
  <c r="B528" i="16" s="1"/>
  <c r="Z529" i="2"/>
  <c r="Z531" i="2"/>
  <c r="B531" i="16" s="1"/>
  <c r="Z532" i="2"/>
  <c r="Z536" i="2"/>
  <c r="B536" i="16" s="1"/>
  <c r="Z537" i="2"/>
  <c r="B537" i="16" s="1"/>
  <c r="Z538" i="2"/>
  <c r="B538" i="16" s="1"/>
  <c r="Z539" i="2"/>
  <c r="B539" i="16" s="1"/>
  <c r="Z540" i="2"/>
  <c r="Z546" i="2"/>
  <c r="B546" i="16" s="1"/>
  <c r="Z547" i="2"/>
  <c r="B547" i="16" s="1"/>
  <c r="Z548" i="2"/>
  <c r="Z550" i="2"/>
  <c r="B550" i="16" s="1"/>
  <c r="Z551" i="2"/>
  <c r="B551" i="16" s="1"/>
  <c r="Z552" i="2"/>
  <c r="Z554" i="2"/>
  <c r="Z556" i="2"/>
  <c r="B556" i="16" s="1"/>
  <c r="Z557" i="2"/>
  <c r="Z559" i="2"/>
  <c r="B559" i="16" s="1"/>
  <c r="Z560" i="2"/>
  <c r="B560" i="16" s="1"/>
  <c r="Z561" i="2"/>
  <c r="B561" i="16" s="1"/>
  <c r="Z562" i="2"/>
  <c r="B562" i="16" s="1"/>
  <c r="Z563" i="2"/>
  <c r="Z566" i="2"/>
  <c r="B566" i="16" s="1"/>
  <c r="Z568" i="2"/>
  <c r="B568" i="16" s="1"/>
  <c r="Z571" i="2"/>
  <c r="B571" i="16" s="1"/>
  <c r="Z574" i="2"/>
  <c r="B574" i="16" s="1"/>
  <c r="Z575" i="2"/>
  <c r="B575" i="16" s="1"/>
  <c r="Z576" i="2"/>
  <c r="B576" i="16" s="1"/>
  <c r="Z577" i="2"/>
  <c r="B577" i="16" s="1"/>
  <c r="Z578" i="2"/>
  <c r="Z584" i="2"/>
  <c r="B584" i="16" s="1"/>
  <c r="Z585" i="2"/>
  <c r="B585" i="16" s="1"/>
  <c r="Z586" i="2"/>
  <c r="B586" i="16" s="1"/>
  <c r="Z587" i="2"/>
  <c r="B587" i="16" s="1"/>
  <c r="Z588" i="2"/>
  <c r="B588" i="16" s="1"/>
  <c r="Z589" i="2"/>
  <c r="B589" i="16" s="1"/>
  <c r="Z590" i="2"/>
  <c r="Z592" i="2"/>
  <c r="B592" i="16" s="1"/>
  <c r="Z593" i="2"/>
  <c r="Z595" i="2"/>
  <c r="B595" i="16" s="1"/>
  <c r="Z596" i="2"/>
  <c r="B596" i="16" s="1"/>
  <c r="Z598" i="2"/>
  <c r="B598" i="16" s="1"/>
  <c r="Z600" i="2"/>
  <c r="B600" i="16" s="1"/>
  <c r="Z604" i="2"/>
  <c r="B604" i="16" s="1"/>
  <c r="Z605" i="2"/>
  <c r="B605" i="16" s="1"/>
  <c r="Z606" i="2"/>
  <c r="B606" i="16" s="1"/>
  <c r="Z608" i="2"/>
  <c r="Z610" i="2"/>
  <c r="B610" i="16" s="1"/>
  <c r="Z611" i="2"/>
  <c r="Z614" i="2"/>
  <c r="Z617" i="2"/>
  <c r="B617" i="16" s="1"/>
  <c r="Z622" i="2"/>
  <c r="B622" i="16" s="1"/>
  <c r="Z623" i="2"/>
  <c r="Z627" i="2"/>
  <c r="B627" i="16" s="1"/>
  <c r="Z628" i="2"/>
  <c r="B628" i="16" s="1"/>
  <c r="Z629" i="2"/>
  <c r="B629" i="16" s="1"/>
  <c r="Z630" i="2"/>
  <c r="Z632" i="2"/>
  <c r="B632" i="16" s="1"/>
  <c r="Z633" i="2"/>
  <c r="B633" i="16" s="1"/>
  <c r="Z634" i="2"/>
  <c r="B634" i="16" s="1"/>
  <c r="Z635" i="2"/>
  <c r="Z638" i="2"/>
  <c r="B638" i="16" s="1"/>
  <c r="Z642" i="2"/>
  <c r="B642" i="16" s="1"/>
  <c r="Z644" i="2"/>
  <c r="Z646" i="2"/>
  <c r="B646" i="16" s="1"/>
  <c r="Z647" i="2"/>
  <c r="B647" i="16" s="1"/>
  <c r="Z648" i="2"/>
  <c r="B648" i="16" s="1"/>
  <c r="Z649" i="2"/>
  <c r="B649" i="16" s="1"/>
  <c r="Z654" i="2"/>
  <c r="B654" i="16" s="1"/>
  <c r="Z656" i="2"/>
  <c r="B656" i="16" s="1"/>
  <c r="Z657" i="2"/>
  <c r="B657" i="16" s="1"/>
  <c r="Z658" i="2"/>
  <c r="B658" i="16" s="1"/>
  <c r="Z659" i="2"/>
  <c r="Z661" i="2"/>
  <c r="Z663" i="2"/>
  <c r="B663" i="16" s="1"/>
  <c r="Z668" i="2"/>
  <c r="B668" i="16" s="1"/>
  <c r="Z669" i="2"/>
  <c r="B669" i="16" s="1"/>
  <c r="Z670" i="2"/>
  <c r="B670" i="16" s="1"/>
  <c r="Z671" i="2"/>
  <c r="Z677" i="2"/>
  <c r="B677" i="16" s="1"/>
  <c r="Z679" i="2"/>
  <c r="B679" i="16" s="1"/>
  <c r="Z681" i="2"/>
  <c r="Z683" i="2"/>
  <c r="B683" i="16" s="1"/>
  <c r="Z685" i="2"/>
  <c r="Z687" i="2"/>
  <c r="B687" i="16" s="1"/>
  <c r="Z688" i="2"/>
  <c r="Z690" i="2"/>
  <c r="B690" i="16" s="1"/>
  <c r="Z691" i="2"/>
  <c r="B691" i="16" s="1"/>
  <c r="Z692" i="2"/>
  <c r="B692" i="16" s="1"/>
  <c r="Z693" i="2"/>
  <c r="B693" i="16" s="1"/>
  <c r="Z694" i="2"/>
  <c r="B694" i="16" s="1"/>
  <c r="Z695" i="2"/>
  <c r="B695" i="16" s="1"/>
  <c r="Z696" i="2"/>
  <c r="B696" i="16" s="1"/>
  <c r="Z697" i="2"/>
  <c r="B697" i="16" s="1"/>
  <c r="Z698" i="2"/>
  <c r="B698" i="16" s="1"/>
  <c r="Z704" i="2"/>
  <c r="Z706" i="2"/>
  <c r="B706" i="16" s="1"/>
  <c r="Z708" i="2"/>
  <c r="Z711" i="2"/>
  <c r="Z713" i="2"/>
  <c r="B713" i="16" s="1"/>
  <c r="Z714" i="2"/>
  <c r="B714" i="16" s="1"/>
  <c r="Z715" i="2"/>
  <c r="B715" i="16" s="1"/>
  <c r="Z716" i="2"/>
  <c r="B716" i="16" s="1"/>
  <c r="Z717" i="2"/>
  <c r="Z719" i="2"/>
  <c r="Z721" i="2"/>
  <c r="B721" i="16" s="1"/>
  <c r="Z722" i="2"/>
  <c r="Z726" i="2"/>
  <c r="Z728" i="2"/>
  <c r="Z730" i="2"/>
  <c r="B730" i="16" s="1"/>
  <c r="Z732" i="2"/>
  <c r="B732" i="16" s="1"/>
  <c r="Z734" i="2"/>
  <c r="Z736" i="2"/>
  <c r="Z745" i="2"/>
  <c r="B745" i="16" s="1"/>
  <c r="Z746" i="2"/>
  <c r="B746" i="16" s="1"/>
  <c r="Z747" i="2"/>
  <c r="B747" i="16" s="1"/>
  <c r="Z748" i="2"/>
  <c r="B748" i="16" s="1"/>
  <c r="Z749" i="2"/>
  <c r="Z751" i="2"/>
  <c r="B751" i="16" s="1"/>
  <c r="Z752" i="2"/>
  <c r="B752" i="16" s="1"/>
  <c r="Z753" i="2"/>
  <c r="B753" i="16" s="1"/>
  <c r="Z754" i="2"/>
  <c r="B754" i="16" s="1"/>
  <c r="Z755" i="2"/>
  <c r="Z757" i="2"/>
  <c r="Z760" i="2"/>
  <c r="Z762" i="2"/>
  <c r="B762" i="16" s="1"/>
  <c r="Z764" i="2"/>
  <c r="B764" i="16" s="1"/>
  <c r="Z768" i="2"/>
  <c r="Z770" i="2"/>
  <c r="B770" i="16" s="1"/>
  <c r="Z771" i="2"/>
  <c r="B771" i="16" s="1"/>
  <c r="Z772" i="2"/>
  <c r="B772" i="16" s="1"/>
  <c r="Z773" i="2"/>
  <c r="B773" i="16" s="1"/>
  <c r="Z774" i="2"/>
  <c r="B774" i="16" s="1"/>
  <c r="Z775" i="2"/>
  <c r="B775" i="16" s="1"/>
  <c r="Z776" i="2"/>
  <c r="Z778" i="2"/>
  <c r="B778" i="16" s="1"/>
  <c r="Z779" i="2"/>
  <c r="B779" i="16" s="1"/>
  <c r="Z780" i="2"/>
  <c r="B780" i="16" s="1"/>
  <c r="Z781" i="2"/>
  <c r="B781" i="16" s="1"/>
  <c r="Z782" i="2"/>
  <c r="B782" i="16" s="1"/>
  <c r="Z784" i="2"/>
  <c r="Z786" i="2"/>
  <c r="B786" i="16" s="1"/>
  <c r="Z787" i="2"/>
  <c r="B787" i="16" s="1"/>
  <c r="Z788" i="2"/>
  <c r="B788" i="16" s="1"/>
  <c r="Z789" i="2"/>
  <c r="B789" i="16" s="1"/>
  <c r="Z793" i="2"/>
  <c r="B793" i="16" s="1"/>
  <c r="Z794" i="2"/>
  <c r="B794" i="16" s="1"/>
  <c r="Z795" i="2"/>
  <c r="B795" i="16" s="1"/>
  <c r="Z797" i="2"/>
  <c r="B797" i="16" s="1"/>
  <c r="Z800" i="2"/>
  <c r="B800" i="16" s="1"/>
  <c r="Z801" i="2"/>
  <c r="B801" i="16" s="1"/>
  <c r="Z802" i="2"/>
  <c r="B802" i="16" s="1"/>
  <c r="Z803" i="2"/>
  <c r="B803" i="16" s="1"/>
  <c r="Z805" i="2"/>
  <c r="B805" i="16" s="1"/>
  <c r="Z806" i="2"/>
  <c r="B806" i="16" s="1"/>
  <c r="Z808" i="2"/>
  <c r="B808" i="16" s="1"/>
  <c r="Z809" i="2"/>
  <c r="Z811" i="2"/>
  <c r="B811" i="16" s="1"/>
  <c r="Z812" i="2"/>
  <c r="B812" i="16" s="1"/>
  <c r="Z813" i="2"/>
  <c r="Z816" i="2"/>
  <c r="B816" i="16" s="1"/>
  <c r="Z823" i="2"/>
  <c r="B823" i="16" s="1"/>
  <c r="Z824" i="2"/>
  <c r="B824" i="16" s="1"/>
  <c r="Z825" i="2"/>
  <c r="B825" i="16" s="1"/>
  <c r="Z826" i="2"/>
  <c r="B826" i="16" s="1"/>
  <c r="Z827" i="2"/>
  <c r="B827" i="16" s="1"/>
  <c r="Z829" i="2"/>
  <c r="B829" i="16" s="1"/>
  <c r="Z830" i="2"/>
  <c r="Z832" i="2"/>
  <c r="B832" i="16" s="1"/>
  <c r="Z833" i="2"/>
  <c r="B833" i="16" s="1"/>
  <c r="Z834" i="2"/>
  <c r="B834" i="16" s="1"/>
  <c r="Z835" i="2"/>
  <c r="B835" i="16" s="1"/>
  <c r="Z836" i="2"/>
  <c r="B836" i="16" s="1"/>
  <c r="Z837" i="2"/>
  <c r="B837" i="16" s="1"/>
  <c r="Z838" i="2"/>
  <c r="Z840" i="2"/>
  <c r="B840" i="16" s="1"/>
  <c r="Z841" i="2"/>
  <c r="B841" i="16" s="1"/>
  <c r="Z842" i="2"/>
  <c r="Z846" i="2"/>
  <c r="B846" i="16" s="1"/>
  <c r="Z847" i="2"/>
  <c r="B847" i="16" s="1"/>
  <c r="Z848" i="2"/>
  <c r="B848" i="16" s="1"/>
  <c r="Z850" i="2"/>
  <c r="B850" i="16" s="1"/>
  <c r="Z851" i="2"/>
  <c r="Z856" i="2"/>
  <c r="B856" i="16" s="1"/>
  <c r="Z857" i="2"/>
  <c r="B857" i="16" s="1"/>
  <c r="Z858" i="2"/>
  <c r="B858" i="16" s="1"/>
  <c r="Z859" i="2"/>
  <c r="B859" i="16" s="1"/>
  <c r="Z860" i="2"/>
  <c r="Z864" i="2"/>
  <c r="Z869" i="2"/>
  <c r="B869" i="16" s="1"/>
  <c r="Z870" i="2"/>
  <c r="Z872" i="2"/>
  <c r="B872" i="16" s="1"/>
  <c r="Z873" i="2"/>
  <c r="B873" i="16" s="1"/>
  <c r="Z874" i="2"/>
  <c r="Z876" i="2"/>
  <c r="B876" i="16" s="1"/>
  <c r="Z877" i="2"/>
  <c r="B877" i="16" s="1"/>
  <c r="Z878" i="2"/>
  <c r="B878" i="16" s="1"/>
  <c r="Z879" i="2"/>
  <c r="B879" i="16" s="1"/>
  <c r="Z880" i="2"/>
  <c r="B880" i="16" s="1"/>
  <c r="Z881" i="2"/>
  <c r="B881" i="16" s="1"/>
  <c r="Z882" i="2"/>
  <c r="B882" i="16" s="1"/>
  <c r="Z883" i="2"/>
  <c r="B883" i="16" s="1"/>
  <c r="Z884" i="2"/>
  <c r="B884" i="16" s="1"/>
  <c r="Z886" i="2"/>
  <c r="Z888" i="2"/>
  <c r="B888" i="16" s="1"/>
  <c r="Z889" i="2"/>
  <c r="B889" i="16" s="1"/>
  <c r="Z890" i="2"/>
  <c r="Z893" i="2"/>
  <c r="B893" i="16" s="1"/>
  <c r="Z894" i="2"/>
  <c r="Z896" i="2"/>
  <c r="B896" i="16" s="1"/>
  <c r="Z899" i="2"/>
  <c r="B899" i="16" s="1"/>
  <c r="Z900" i="2"/>
  <c r="Z905" i="2"/>
  <c r="Z909" i="2"/>
  <c r="Z911" i="2"/>
  <c r="B911" i="16" s="1"/>
  <c r="Z912" i="2"/>
  <c r="B912" i="16" s="1"/>
  <c r="Z913" i="2"/>
  <c r="B913" i="16" s="1"/>
  <c r="Z914" i="2"/>
  <c r="B914" i="16" s="1"/>
  <c r="Z915" i="2"/>
  <c r="Z917" i="2"/>
  <c r="B917" i="16" s="1"/>
  <c r="Z918" i="2"/>
  <c r="B918" i="16" s="1"/>
  <c r="Z919" i="2"/>
  <c r="Z921" i="2"/>
  <c r="B921" i="16" s="1"/>
  <c r="Z923" i="2"/>
  <c r="B923" i="16" s="1"/>
  <c r="Z924" i="2"/>
  <c r="B924" i="16" s="1"/>
  <c r="Z925" i="2"/>
  <c r="B925" i="16" s="1"/>
  <c r="Z926" i="2"/>
  <c r="B926" i="16" s="1"/>
  <c r="Z927" i="2"/>
  <c r="B927" i="16" s="1"/>
  <c r="Z929" i="2"/>
  <c r="Z932" i="2"/>
  <c r="B932" i="16" s="1"/>
  <c r="Z933" i="2"/>
  <c r="B933" i="16" s="1"/>
  <c r="Z934" i="2"/>
  <c r="B934" i="16" s="1"/>
  <c r="Z935" i="2"/>
  <c r="Z938" i="2"/>
  <c r="B938" i="16" s="1"/>
  <c r="Z939" i="2"/>
  <c r="B939" i="16" s="1"/>
  <c r="Z940" i="2"/>
  <c r="B940" i="16" s="1"/>
  <c r="Z941" i="2"/>
  <c r="Z944" i="2"/>
  <c r="B944" i="16" s="1"/>
  <c r="Z945" i="2"/>
  <c r="B945" i="16" s="1"/>
  <c r="Z946" i="2"/>
  <c r="Z948" i="2"/>
  <c r="B948" i="16" s="1"/>
  <c r="Z949" i="2"/>
  <c r="B949" i="16" s="1"/>
  <c r="Z950" i="2"/>
  <c r="B950" i="16" s="1"/>
  <c r="Z951" i="2"/>
  <c r="B951" i="16" s="1"/>
  <c r="Z952" i="2"/>
  <c r="B952" i="16" s="1"/>
  <c r="Z953" i="2"/>
  <c r="B953" i="16" s="1"/>
  <c r="Z954" i="2"/>
  <c r="B954" i="16" s="1"/>
  <c r="Z955" i="2"/>
  <c r="Z957" i="2"/>
  <c r="B957" i="16" s="1"/>
  <c r="Z958" i="2"/>
  <c r="Z960" i="2"/>
  <c r="B960" i="16" s="1"/>
  <c r="Z961" i="2"/>
  <c r="B961" i="16" s="1"/>
  <c r="Z962" i="2"/>
  <c r="B962" i="16" s="1"/>
  <c r="Z966" i="2"/>
  <c r="Z968" i="2"/>
  <c r="B968" i="16" s="1"/>
  <c r="Z969" i="2"/>
  <c r="Z974" i="2"/>
  <c r="Z976" i="2"/>
  <c r="B976" i="16" s="1"/>
  <c r="Z977" i="2"/>
  <c r="Z979" i="2"/>
  <c r="B979" i="16" s="1"/>
  <c r="Z980" i="2"/>
  <c r="Z985" i="2"/>
  <c r="Z987" i="2"/>
  <c r="B987" i="16" s="1"/>
  <c r="Z988" i="2"/>
  <c r="B988" i="16" s="1"/>
  <c r="Z989" i="2"/>
  <c r="B989" i="16" s="1"/>
  <c r="Z991" i="2"/>
  <c r="Z994" i="2"/>
  <c r="B994" i="16" s="1"/>
  <c r="Z995" i="2"/>
  <c r="B995" i="16" s="1"/>
  <c r="Z997" i="2"/>
  <c r="B997" i="16" s="1"/>
  <c r="Z998" i="2"/>
  <c r="B998" i="16" s="1"/>
  <c r="Z999" i="2"/>
  <c r="B999" i="16" s="1"/>
  <c r="Z1000" i="2"/>
  <c r="B1000" i="16" s="1"/>
  <c r="Z1001" i="2"/>
  <c r="B1001" i="16" s="1"/>
  <c r="Z1004" i="2"/>
  <c r="B1004" i="16" s="1"/>
  <c r="Z1006" i="2"/>
  <c r="B1006" i="16" s="1"/>
  <c r="Z1007" i="2"/>
  <c r="B1007" i="16" s="1"/>
  <c r="Z1008" i="2"/>
  <c r="B1008" i="16" s="1"/>
  <c r="Z1009" i="2"/>
  <c r="B1009" i="16" s="1"/>
  <c r="Z1010" i="2"/>
  <c r="Z1013" i="2"/>
  <c r="B1013" i="16" s="1"/>
  <c r="Z1014" i="2"/>
  <c r="B1014" i="16" s="1"/>
  <c r="Z1016" i="2"/>
  <c r="B1016" i="16" s="1"/>
  <c r="Z1018" i="2"/>
  <c r="B1018" i="16" s="1"/>
  <c r="Z1019" i="2"/>
  <c r="B1019" i="16" s="1"/>
  <c r="Z1020" i="2"/>
  <c r="Z1022" i="2"/>
  <c r="B1022" i="16" s="1"/>
  <c r="Z1023" i="2"/>
  <c r="Z1025" i="2"/>
  <c r="Z1027" i="2"/>
  <c r="Z1030" i="2"/>
  <c r="B1030" i="16" s="1"/>
  <c r="Z1031" i="2"/>
  <c r="B1031" i="16" s="1"/>
  <c r="Z1032" i="2"/>
  <c r="B1032" i="16" s="1"/>
  <c r="Z1033" i="2"/>
  <c r="B1033" i="16" s="1"/>
  <c r="Z1034" i="2"/>
  <c r="B1034" i="16" s="1"/>
  <c r="Z1035" i="2"/>
  <c r="B1035" i="16" s="1"/>
  <c r="Z1036" i="2"/>
  <c r="B1036" i="16" s="1"/>
  <c r="Z1037" i="2"/>
  <c r="Z1039" i="2"/>
  <c r="B1039" i="16" s="1"/>
  <c r="Z1040" i="2"/>
  <c r="Z1042" i="2"/>
  <c r="B1042" i="16" s="1"/>
  <c r="Z1043" i="2"/>
  <c r="Z1045" i="2"/>
  <c r="B1045" i="16" s="1"/>
  <c r="Z1046" i="2"/>
  <c r="B1046" i="16" s="1"/>
  <c r="Z1047" i="2"/>
  <c r="B1047" i="16" s="1"/>
  <c r="Z1048" i="2"/>
  <c r="B1048" i="16" s="1"/>
  <c r="Z1049" i="2"/>
  <c r="B1049" i="16" s="1"/>
  <c r="Z1050" i="2"/>
  <c r="B1050" i="16" s="1"/>
  <c r="Z1052" i="2"/>
  <c r="B1052" i="16" s="1"/>
  <c r="Z1053" i="2"/>
  <c r="B1053" i="16" s="1"/>
  <c r="Z1054" i="2"/>
  <c r="B1054" i="16" s="1"/>
  <c r="Z1055" i="2"/>
  <c r="Z1057" i="2"/>
  <c r="B1057" i="16" s="1"/>
  <c r="Z1058" i="2"/>
  <c r="B1058" i="16" s="1"/>
  <c r="Z1059" i="2"/>
  <c r="Z1061" i="2"/>
  <c r="B1061" i="16" s="1"/>
  <c r="Z1062" i="2"/>
  <c r="B1062" i="16" s="1"/>
  <c r="Z1063" i="2"/>
  <c r="B1063" i="16" s="1"/>
  <c r="Z1064" i="2"/>
  <c r="Z1067" i="2"/>
  <c r="Z1069" i="2"/>
  <c r="Z1071" i="2"/>
  <c r="B1071" i="16" s="1"/>
  <c r="Z1072" i="2"/>
  <c r="Z1074" i="2"/>
  <c r="B1074" i="16" s="1"/>
  <c r="Z1075" i="2"/>
  <c r="Z1079" i="2"/>
  <c r="B1079" i="16" s="1"/>
  <c r="Z1080" i="2"/>
  <c r="B1080" i="16" s="1"/>
  <c r="Z1081" i="2"/>
  <c r="B1081" i="16" s="1"/>
  <c r="Z1082" i="2"/>
  <c r="B1082" i="16" s="1"/>
  <c r="Z1083" i="2"/>
  <c r="B1083" i="16" s="1"/>
  <c r="Z1084" i="2"/>
  <c r="B1084" i="16" s="1"/>
  <c r="Z1085" i="2"/>
  <c r="B1085" i="16" s="1"/>
  <c r="Z1086" i="2"/>
  <c r="Z1088" i="2"/>
  <c r="B1088" i="16" s="1"/>
  <c r="Z1089" i="2"/>
  <c r="B1089" i="16" s="1"/>
  <c r="Z1090" i="2"/>
  <c r="B1090" i="16" s="1"/>
  <c r="Z1091" i="2"/>
  <c r="B1091" i="16" s="1"/>
  <c r="Z1092" i="2"/>
  <c r="Z1094" i="2"/>
  <c r="B1094" i="16" s="1"/>
  <c r="Z1095" i="2"/>
  <c r="Z1100" i="2"/>
  <c r="B1100" i="16" s="1"/>
  <c r="Z1101" i="2"/>
  <c r="Z1103" i="2"/>
  <c r="Z1105" i="2"/>
  <c r="B1105" i="16" s="1"/>
  <c r="Z1106" i="2"/>
  <c r="Z1108" i="2"/>
  <c r="B1108" i="16" s="1"/>
  <c r="Z1109" i="2"/>
  <c r="B1109" i="16" s="1"/>
  <c r="Z1110" i="2"/>
  <c r="B1110" i="16" s="1"/>
  <c r="Z1111" i="2"/>
  <c r="B1111" i="16" s="1"/>
  <c r="Z1112" i="2"/>
  <c r="B1112" i="16" s="1"/>
  <c r="Z1113" i="2"/>
  <c r="B1113" i="16" s="1"/>
  <c r="Z1114" i="2"/>
  <c r="Z1116" i="2"/>
  <c r="Z1118" i="2"/>
  <c r="Z1120" i="2"/>
  <c r="B1120" i="16" s="1"/>
  <c r="Z1121" i="2"/>
  <c r="B1121" i="16" s="1"/>
  <c r="Z1122" i="2"/>
  <c r="B1122" i="16" s="1"/>
  <c r="Z1126" i="2"/>
  <c r="B1126" i="16" s="1"/>
  <c r="Z1128" i="2"/>
  <c r="B1128" i="16" s="1"/>
  <c r="Z1129" i="2"/>
  <c r="B1129" i="16" s="1"/>
  <c r="Z1130" i="2"/>
  <c r="Z1132" i="2"/>
  <c r="B1132" i="16" s="1"/>
  <c r="Z1133" i="2"/>
  <c r="B1133" i="16" s="1"/>
  <c r="Z1134" i="2"/>
  <c r="B1134" i="16" s="1"/>
  <c r="Z1135" i="2"/>
  <c r="B1135" i="16" s="1"/>
  <c r="Z1136" i="2"/>
  <c r="B1136" i="16" s="1"/>
  <c r="Z1137" i="2"/>
  <c r="B1137" i="16" s="1"/>
  <c r="Z1138" i="2"/>
  <c r="B1138" i="16" s="1"/>
  <c r="Z1139" i="2"/>
  <c r="B1139" i="16" s="1"/>
  <c r="Z1140" i="2"/>
  <c r="B1140" i="16" s="1"/>
  <c r="Z1141" i="2"/>
  <c r="Z1143" i="2"/>
  <c r="B1143" i="16" s="1"/>
  <c r="Z1144" i="2"/>
  <c r="B1144" i="16" s="1"/>
  <c r="Z1145" i="2"/>
  <c r="B1145" i="16" s="1"/>
  <c r="Z1147" i="2"/>
  <c r="Z1150" i="2"/>
  <c r="Z1152" i="2"/>
  <c r="B1152" i="16" s="1"/>
  <c r="Z1153" i="2"/>
  <c r="B1153" i="16" s="1"/>
  <c r="Z1155" i="2"/>
  <c r="Z1157" i="2"/>
  <c r="B1157" i="16" s="1"/>
  <c r="Z1158" i="2"/>
  <c r="B1158" i="16" s="1"/>
  <c r="Z1159" i="2"/>
  <c r="B1159" i="16" s="1"/>
  <c r="Z1160" i="2"/>
  <c r="B1160" i="16" s="1"/>
  <c r="Z1161" i="2"/>
  <c r="Z1163" i="2"/>
  <c r="B1163" i="16" s="1"/>
  <c r="Z1164" i="2"/>
  <c r="Z1166" i="2"/>
  <c r="B1166" i="16" s="1"/>
  <c r="Z1167" i="2"/>
  <c r="B1167" i="16" s="1"/>
  <c r="Z1168" i="2"/>
  <c r="B1168" i="16" s="1"/>
  <c r="Z1169" i="2"/>
  <c r="B1169" i="16" s="1"/>
  <c r="Z1170" i="2"/>
  <c r="B1170" i="16" s="1"/>
  <c r="Z1171" i="2"/>
  <c r="B1171" i="16" s="1"/>
  <c r="Z1172" i="2"/>
  <c r="B1172" i="16" s="1"/>
  <c r="Z1173" i="2"/>
  <c r="B1173" i="16" s="1"/>
  <c r="Z1174" i="2"/>
  <c r="B1174" i="16" s="1"/>
  <c r="Z1175" i="2"/>
  <c r="Z1177" i="2"/>
  <c r="Z1179" i="2"/>
  <c r="B1179" i="16" s="1"/>
  <c r="Z1180" i="2"/>
  <c r="B1180" i="16" s="1"/>
  <c r="Z1181" i="2"/>
  <c r="B1181" i="16" s="1"/>
  <c r="Z1182" i="2"/>
  <c r="B1182" i="16" s="1"/>
  <c r="Z1183" i="2"/>
  <c r="B1183" i="16" s="1"/>
  <c r="Z1184" i="2"/>
  <c r="B1184" i="16" s="1"/>
  <c r="Z1185" i="2"/>
  <c r="B1185" i="16" s="1"/>
  <c r="Z1186" i="2"/>
  <c r="B1186" i="16" s="1"/>
  <c r="Z1187" i="2"/>
  <c r="B1187" i="16" s="1"/>
  <c r="Z1188" i="2"/>
  <c r="B1188" i="16" s="1"/>
  <c r="Z1189" i="2"/>
  <c r="B1189" i="16" s="1"/>
  <c r="Z1190" i="2"/>
  <c r="Z1192" i="2"/>
  <c r="Z1195" i="2"/>
  <c r="B1195" i="16" s="1"/>
  <c r="Z1196" i="2"/>
  <c r="B1196" i="16" s="1"/>
  <c r="Z1197" i="2"/>
  <c r="B1197" i="16" s="1"/>
  <c r="Z1198" i="2"/>
  <c r="B1198" i="16" s="1"/>
  <c r="Z1199" i="2"/>
  <c r="B1199" i="16" s="1"/>
  <c r="Z1200" i="2"/>
  <c r="B1200" i="16" s="1"/>
  <c r="Z1201" i="2"/>
  <c r="B1201" i="16" s="1"/>
  <c r="Z1202" i="2"/>
  <c r="B1202" i="16" s="1"/>
  <c r="Z1203" i="2"/>
  <c r="B1203" i="16" s="1"/>
  <c r="Z1204" i="2"/>
  <c r="B1204" i="16" s="1"/>
  <c r="Z1205" i="2"/>
  <c r="B1205" i="16" s="1"/>
  <c r="Z1206" i="2"/>
  <c r="B1206" i="16" s="1"/>
  <c r="Z1207" i="2"/>
  <c r="B1207" i="16" s="1"/>
  <c r="Z1208" i="2"/>
  <c r="B1208" i="16" s="1"/>
  <c r="Z1209" i="2"/>
  <c r="B1209" i="16" s="1"/>
  <c r="Z1210" i="2"/>
  <c r="B1210" i="16" s="1"/>
  <c r="Z1211" i="2"/>
  <c r="B1211" i="16" s="1"/>
  <c r="S2" i="1"/>
  <c r="O290" i="5" l="1"/>
  <c r="O395" i="5"/>
  <c r="O568" i="16"/>
  <c r="AG569" i="2"/>
  <c r="O569" i="16" s="1"/>
  <c r="O677" i="16"/>
  <c r="AG678" i="2"/>
  <c r="O678" i="16" s="1"/>
  <c r="O719" i="16"/>
  <c r="AG720" i="2"/>
  <c r="O720" i="16" s="1"/>
  <c r="O736" i="16"/>
  <c r="AG737" i="2"/>
  <c r="O737" i="16" s="1"/>
  <c r="O757" i="16"/>
  <c r="AG758" i="2"/>
  <c r="O758" i="16" s="1"/>
  <c r="O991" i="16"/>
  <c r="AG992" i="2"/>
  <c r="O1020" i="16"/>
  <c r="AG1021" i="2"/>
  <c r="O1021" i="16" s="1"/>
  <c r="O1028" i="16"/>
  <c r="AG1029" i="2"/>
  <c r="O1029" i="16" s="1"/>
  <c r="O1055" i="16"/>
  <c r="AG1056" i="2"/>
  <c r="O1056" i="16" s="1"/>
  <c r="H1020" i="16"/>
  <c r="U1021" i="2"/>
  <c r="H1021" i="16" s="1"/>
  <c r="B608" i="16"/>
  <c r="Z609" i="2"/>
  <c r="B609" i="16" s="1"/>
  <c r="B644" i="16"/>
  <c r="Z645" i="2"/>
  <c r="B645" i="16" s="1"/>
  <c r="B757" i="16"/>
  <c r="Z758" i="2"/>
  <c r="B758" i="16" s="1"/>
  <c r="B935" i="16"/>
  <c r="Z936" i="2"/>
  <c r="B936" i="16" s="1"/>
  <c r="B1055" i="16"/>
  <c r="Z1056" i="2"/>
  <c r="B1056" i="16" s="1"/>
  <c r="O363" i="5"/>
  <c r="O414" i="5"/>
  <c r="O360" i="5"/>
  <c r="O348" i="5"/>
  <c r="O442" i="5"/>
  <c r="O398" i="5"/>
  <c r="O314" i="5"/>
  <c r="O33" i="5"/>
  <c r="O366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5" i="5"/>
  <c r="AV3" i="2"/>
  <c r="S3" i="16" s="1"/>
  <c r="AV4" i="2"/>
  <c r="S4" i="16" s="1"/>
  <c r="AV5" i="2"/>
  <c r="S5" i="16" s="1"/>
  <c r="AV6" i="2"/>
  <c r="S6" i="16" s="1"/>
  <c r="AV7" i="2"/>
  <c r="S7" i="16" s="1"/>
  <c r="AV8" i="2"/>
  <c r="S8" i="16" s="1"/>
  <c r="AV9" i="2"/>
  <c r="S9" i="16" s="1"/>
  <c r="AV10" i="2"/>
  <c r="S10" i="16" s="1"/>
  <c r="AV11" i="2"/>
  <c r="S11" i="16" s="1"/>
  <c r="AV12" i="2"/>
  <c r="S12" i="16" s="1"/>
  <c r="AV13" i="2"/>
  <c r="S13" i="16" s="1"/>
  <c r="AV14" i="2"/>
  <c r="S14" i="16" s="1"/>
  <c r="AV15" i="2"/>
  <c r="S15" i="16" s="1"/>
  <c r="AV16" i="2"/>
  <c r="S16" i="16" s="1"/>
  <c r="AV17" i="2"/>
  <c r="S17" i="16" s="1"/>
  <c r="AV18" i="2"/>
  <c r="S18" i="16" s="1"/>
  <c r="AV19" i="2"/>
  <c r="S19" i="16" s="1"/>
  <c r="AV20" i="2"/>
  <c r="S20" i="16" s="1"/>
  <c r="AV21" i="2"/>
  <c r="S21" i="16" s="1"/>
  <c r="AV22" i="2"/>
  <c r="S22" i="16" s="1"/>
  <c r="AV23" i="2"/>
  <c r="S23" i="16" s="1"/>
  <c r="AV24" i="2"/>
  <c r="S24" i="16" s="1"/>
  <c r="AV25" i="2"/>
  <c r="S25" i="16" s="1"/>
  <c r="AV26" i="2"/>
  <c r="S26" i="16" s="1"/>
  <c r="AV27" i="2"/>
  <c r="S27" i="16" s="1"/>
  <c r="AV28" i="2"/>
  <c r="S28" i="16" s="1"/>
  <c r="AV29" i="2"/>
  <c r="S29" i="16" s="1"/>
  <c r="AV30" i="2"/>
  <c r="S30" i="16" s="1"/>
  <c r="AV31" i="2"/>
  <c r="S31" i="16" s="1"/>
  <c r="AV32" i="2"/>
  <c r="S32" i="16" s="1"/>
  <c r="AV33" i="2"/>
  <c r="S33" i="16" s="1"/>
  <c r="AV34" i="2"/>
  <c r="S34" i="16" s="1"/>
  <c r="AV35" i="2"/>
  <c r="S35" i="16" s="1"/>
  <c r="AV36" i="2"/>
  <c r="S36" i="16" s="1"/>
  <c r="AV37" i="2"/>
  <c r="S37" i="16" s="1"/>
  <c r="AV38" i="2"/>
  <c r="S38" i="16" s="1"/>
  <c r="AV39" i="2"/>
  <c r="S39" i="16" s="1"/>
  <c r="AV40" i="2"/>
  <c r="S40" i="16" s="1"/>
  <c r="AV41" i="2"/>
  <c r="S41" i="16" s="1"/>
  <c r="AV42" i="2"/>
  <c r="S42" i="16" s="1"/>
  <c r="AV43" i="2"/>
  <c r="S43" i="16" s="1"/>
  <c r="AV44" i="2"/>
  <c r="S44" i="16" s="1"/>
  <c r="AV45" i="2"/>
  <c r="S45" i="16" s="1"/>
  <c r="AV46" i="2"/>
  <c r="S46" i="16" s="1"/>
  <c r="AV47" i="2"/>
  <c r="S47" i="16" s="1"/>
  <c r="AV48" i="2"/>
  <c r="S48" i="16" s="1"/>
  <c r="AV49" i="2"/>
  <c r="S49" i="16" s="1"/>
  <c r="AV50" i="2"/>
  <c r="S50" i="16" s="1"/>
  <c r="AV51" i="2"/>
  <c r="S51" i="16" s="1"/>
  <c r="AV52" i="2"/>
  <c r="S52" i="16" s="1"/>
  <c r="AV53" i="2"/>
  <c r="S53" i="16" s="1"/>
  <c r="AV54" i="2"/>
  <c r="S54" i="16" s="1"/>
  <c r="AV55" i="2"/>
  <c r="S55" i="16" s="1"/>
  <c r="AV56" i="2"/>
  <c r="S56" i="16" s="1"/>
  <c r="AV57" i="2"/>
  <c r="S57" i="16" s="1"/>
  <c r="AV58" i="2"/>
  <c r="S58" i="16" s="1"/>
  <c r="AV59" i="2"/>
  <c r="S59" i="16" s="1"/>
  <c r="AV60" i="2"/>
  <c r="S60" i="16" s="1"/>
  <c r="AV61" i="2"/>
  <c r="S61" i="16" s="1"/>
  <c r="AV62" i="2"/>
  <c r="S62" i="16" s="1"/>
  <c r="AV63" i="2"/>
  <c r="S63" i="16" s="1"/>
  <c r="AV64" i="2"/>
  <c r="S64" i="16" s="1"/>
  <c r="AV65" i="2"/>
  <c r="S65" i="16" s="1"/>
  <c r="AV66" i="2"/>
  <c r="S66" i="16" s="1"/>
  <c r="AV67" i="2"/>
  <c r="S67" i="16" s="1"/>
  <c r="AV68" i="2"/>
  <c r="S68" i="16" s="1"/>
  <c r="AV69" i="2"/>
  <c r="S69" i="16" s="1"/>
  <c r="AV70" i="2"/>
  <c r="S70" i="16" s="1"/>
  <c r="AV71" i="2"/>
  <c r="S71" i="16" s="1"/>
  <c r="AV72" i="2"/>
  <c r="S72" i="16" s="1"/>
  <c r="AV73" i="2"/>
  <c r="S73" i="16" s="1"/>
  <c r="AV74" i="2"/>
  <c r="S74" i="16" s="1"/>
  <c r="AV75" i="2"/>
  <c r="S75" i="16" s="1"/>
  <c r="AV77" i="2"/>
  <c r="S77" i="16" s="1"/>
  <c r="AV78" i="2"/>
  <c r="S78" i="16" s="1"/>
  <c r="AV79" i="2"/>
  <c r="S79" i="16" s="1"/>
  <c r="AV80" i="2"/>
  <c r="S80" i="16" s="1"/>
  <c r="AV81" i="2"/>
  <c r="S81" i="16" s="1"/>
  <c r="AV82" i="2"/>
  <c r="S82" i="16" s="1"/>
  <c r="AV83" i="2"/>
  <c r="S83" i="16" s="1"/>
  <c r="AV84" i="2"/>
  <c r="S84" i="16" s="1"/>
  <c r="AV85" i="2"/>
  <c r="S85" i="16" s="1"/>
  <c r="AV86" i="2"/>
  <c r="S86" i="16" s="1"/>
  <c r="AV87" i="2"/>
  <c r="S87" i="16" s="1"/>
  <c r="AV88" i="2"/>
  <c r="S88" i="16" s="1"/>
  <c r="AV89" i="2"/>
  <c r="S89" i="16" s="1"/>
  <c r="AV90" i="2"/>
  <c r="S90" i="16" s="1"/>
  <c r="AV91" i="2"/>
  <c r="S91" i="16" s="1"/>
  <c r="AV92" i="2"/>
  <c r="S92" i="16" s="1"/>
  <c r="AV93" i="2"/>
  <c r="S93" i="16" s="1"/>
  <c r="AV94" i="2"/>
  <c r="S94" i="16" s="1"/>
  <c r="AV95" i="2"/>
  <c r="S95" i="16" s="1"/>
  <c r="AV96" i="2"/>
  <c r="S96" i="16" s="1"/>
  <c r="AV97" i="2"/>
  <c r="S97" i="16" s="1"/>
  <c r="AV98" i="2"/>
  <c r="S98" i="16" s="1"/>
  <c r="AV99" i="2"/>
  <c r="S99" i="16" s="1"/>
  <c r="AV100" i="2"/>
  <c r="S100" i="16" s="1"/>
  <c r="AV101" i="2"/>
  <c r="S101" i="16" s="1"/>
  <c r="AV102" i="2"/>
  <c r="S102" i="16" s="1"/>
  <c r="AV103" i="2"/>
  <c r="S103" i="16" s="1"/>
  <c r="AV104" i="2"/>
  <c r="S104" i="16" s="1"/>
  <c r="AV105" i="2"/>
  <c r="S105" i="16" s="1"/>
  <c r="AV106" i="2"/>
  <c r="S106" i="16" s="1"/>
  <c r="AV107" i="2"/>
  <c r="S107" i="16" s="1"/>
  <c r="AV108" i="2"/>
  <c r="S108" i="16" s="1"/>
  <c r="AV109" i="2"/>
  <c r="S109" i="16" s="1"/>
  <c r="AV110" i="2"/>
  <c r="S110" i="16" s="1"/>
  <c r="AV111" i="2"/>
  <c r="S111" i="16" s="1"/>
  <c r="AV112" i="2"/>
  <c r="S112" i="16" s="1"/>
  <c r="AV113" i="2"/>
  <c r="S113" i="16" s="1"/>
  <c r="AV114" i="2"/>
  <c r="S114" i="16" s="1"/>
  <c r="AV115" i="2"/>
  <c r="S115" i="16" s="1"/>
  <c r="AV116" i="2"/>
  <c r="S116" i="16" s="1"/>
  <c r="AV117" i="2"/>
  <c r="S117" i="16" s="1"/>
  <c r="AV118" i="2"/>
  <c r="S118" i="16" s="1"/>
  <c r="AV119" i="2"/>
  <c r="S119" i="16" s="1"/>
  <c r="AV120" i="2"/>
  <c r="S120" i="16" s="1"/>
  <c r="AV121" i="2"/>
  <c r="S121" i="16" s="1"/>
  <c r="AV122" i="2"/>
  <c r="S122" i="16" s="1"/>
  <c r="AV123" i="2"/>
  <c r="S123" i="16" s="1"/>
  <c r="AV124" i="2"/>
  <c r="S124" i="16" s="1"/>
  <c r="AV125" i="2"/>
  <c r="S125" i="16" s="1"/>
  <c r="AV126" i="2"/>
  <c r="S126" i="16" s="1"/>
  <c r="AV127" i="2"/>
  <c r="S127" i="16" s="1"/>
  <c r="AV128" i="2"/>
  <c r="S128" i="16" s="1"/>
  <c r="AV129" i="2"/>
  <c r="S129" i="16" s="1"/>
  <c r="AV130" i="2"/>
  <c r="S130" i="16" s="1"/>
  <c r="AV131" i="2"/>
  <c r="S131" i="16" s="1"/>
  <c r="AV132" i="2"/>
  <c r="S132" i="16" s="1"/>
  <c r="AV133" i="2"/>
  <c r="S133" i="16" s="1"/>
  <c r="AV134" i="2"/>
  <c r="S134" i="16" s="1"/>
  <c r="AV135" i="2"/>
  <c r="S135" i="16" s="1"/>
  <c r="AV136" i="2"/>
  <c r="S136" i="16" s="1"/>
  <c r="AV137" i="2"/>
  <c r="S137" i="16" s="1"/>
  <c r="AV138" i="2"/>
  <c r="S138" i="16" s="1"/>
  <c r="AV139" i="2"/>
  <c r="S139" i="16" s="1"/>
  <c r="AV140" i="2"/>
  <c r="S140" i="16" s="1"/>
  <c r="AV141" i="2"/>
  <c r="S141" i="16" s="1"/>
  <c r="AV142" i="2"/>
  <c r="S142" i="16" s="1"/>
  <c r="AV143" i="2"/>
  <c r="S143" i="16" s="1"/>
  <c r="AV144" i="2"/>
  <c r="S144" i="16" s="1"/>
  <c r="AV145" i="2"/>
  <c r="S145" i="16" s="1"/>
  <c r="AV146" i="2"/>
  <c r="S146" i="16" s="1"/>
  <c r="AV147" i="2"/>
  <c r="S147" i="16" s="1"/>
  <c r="AV148" i="2"/>
  <c r="S148" i="16" s="1"/>
  <c r="AV149" i="2"/>
  <c r="S149" i="16" s="1"/>
  <c r="AV150" i="2"/>
  <c r="S150" i="16" s="1"/>
  <c r="AV151" i="2"/>
  <c r="S151" i="16" s="1"/>
  <c r="AV152" i="2"/>
  <c r="S152" i="16" s="1"/>
  <c r="AV153" i="2"/>
  <c r="S153" i="16" s="1"/>
  <c r="AV154" i="2"/>
  <c r="S154" i="16" s="1"/>
  <c r="AV155" i="2"/>
  <c r="S155" i="16" s="1"/>
  <c r="AV156" i="2"/>
  <c r="S156" i="16" s="1"/>
  <c r="AV157" i="2"/>
  <c r="S157" i="16" s="1"/>
  <c r="AV158" i="2"/>
  <c r="S158" i="16" s="1"/>
  <c r="AV159" i="2"/>
  <c r="S159" i="16" s="1"/>
  <c r="AV160" i="2"/>
  <c r="S160" i="16" s="1"/>
  <c r="AV161" i="2"/>
  <c r="S161" i="16" s="1"/>
  <c r="AV162" i="2"/>
  <c r="S162" i="16" s="1"/>
  <c r="AV163" i="2"/>
  <c r="S163" i="16" s="1"/>
  <c r="AV164" i="2"/>
  <c r="S164" i="16" s="1"/>
  <c r="AV165" i="2"/>
  <c r="S165" i="16" s="1"/>
  <c r="AV166" i="2"/>
  <c r="S166" i="16" s="1"/>
  <c r="AV167" i="2"/>
  <c r="S167" i="16" s="1"/>
  <c r="AV168" i="2"/>
  <c r="S168" i="16" s="1"/>
  <c r="AV169" i="2"/>
  <c r="S169" i="16" s="1"/>
  <c r="AV170" i="2"/>
  <c r="S170" i="16" s="1"/>
  <c r="AV171" i="2"/>
  <c r="S171" i="16" s="1"/>
  <c r="AV172" i="2"/>
  <c r="S172" i="16" s="1"/>
  <c r="AV173" i="2"/>
  <c r="S173" i="16" s="1"/>
  <c r="AV174" i="2"/>
  <c r="S174" i="16" s="1"/>
  <c r="AV175" i="2"/>
  <c r="S175" i="16" s="1"/>
  <c r="AV176" i="2"/>
  <c r="S176" i="16" s="1"/>
  <c r="AV177" i="2"/>
  <c r="S177" i="16" s="1"/>
  <c r="AV178" i="2"/>
  <c r="S178" i="16" s="1"/>
  <c r="AV179" i="2"/>
  <c r="S179" i="16" s="1"/>
  <c r="AV180" i="2"/>
  <c r="S180" i="16" s="1"/>
  <c r="AV181" i="2"/>
  <c r="S181" i="16" s="1"/>
  <c r="AV182" i="2"/>
  <c r="S182" i="16" s="1"/>
  <c r="AV183" i="2"/>
  <c r="S183" i="16" s="1"/>
  <c r="AV184" i="2"/>
  <c r="S184" i="16" s="1"/>
  <c r="AV185" i="2"/>
  <c r="S185" i="16" s="1"/>
  <c r="AV186" i="2"/>
  <c r="S186" i="16" s="1"/>
  <c r="AV187" i="2"/>
  <c r="S187" i="16" s="1"/>
  <c r="AV188" i="2"/>
  <c r="S188" i="16" s="1"/>
  <c r="AV189" i="2"/>
  <c r="S189" i="16" s="1"/>
  <c r="AV190" i="2"/>
  <c r="S190" i="16" s="1"/>
  <c r="AV191" i="2"/>
  <c r="S191" i="16" s="1"/>
  <c r="AV192" i="2"/>
  <c r="S192" i="16" s="1"/>
  <c r="AV193" i="2"/>
  <c r="S193" i="16" s="1"/>
  <c r="AV194" i="2"/>
  <c r="S194" i="16" s="1"/>
  <c r="AV195" i="2"/>
  <c r="S195" i="16" s="1"/>
  <c r="AV196" i="2"/>
  <c r="S196" i="16" s="1"/>
  <c r="AV197" i="2"/>
  <c r="S197" i="16" s="1"/>
  <c r="AV198" i="2"/>
  <c r="S198" i="16" s="1"/>
  <c r="AV199" i="2"/>
  <c r="S199" i="16" s="1"/>
  <c r="AV200" i="2"/>
  <c r="S200" i="16" s="1"/>
  <c r="AV201" i="2"/>
  <c r="S201" i="16" s="1"/>
  <c r="AV202" i="2"/>
  <c r="S202" i="16" s="1"/>
  <c r="AV203" i="2"/>
  <c r="S203" i="16" s="1"/>
  <c r="AV204" i="2"/>
  <c r="S204" i="16" s="1"/>
  <c r="AV205" i="2"/>
  <c r="S205" i="16" s="1"/>
  <c r="AV206" i="2"/>
  <c r="S206" i="16" s="1"/>
  <c r="AV207" i="2"/>
  <c r="S207" i="16" s="1"/>
  <c r="AV208" i="2"/>
  <c r="S208" i="16" s="1"/>
  <c r="AV209" i="2"/>
  <c r="S209" i="16" s="1"/>
  <c r="AV210" i="2"/>
  <c r="S210" i="16" s="1"/>
  <c r="AV211" i="2"/>
  <c r="S211" i="16" s="1"/>
  <c r="AV212" i="2"/>
  <c r="S212" i="16" s="1"/>
  <c r="AV213" i="2"/>
  <c r="S213" i="16" s="1"/>
  <c r="AV214" i="2"/>
  <c r="S214" i="16" s="1"/>
  <c r="AV215" i="2"/>
  <c r="S215" i="16" s="1"/>
  <c r="AV216" i="2"/>
  <c r="S216" i="16" s="1"/>
  <c r="AV217" i="2"/>
  <c r="S217" i="16" s="1"/>
  <c r="AV218" i="2"/>
  <c r="S218" i="16" s="1"/>
  <c r="AV219" i="2"/>
  <c r="S219" i="16" s="1"/>
  <c r="AV220" i="2"/>
  <c r="S220" i="16" s="1"/>
  <c r="AV221" i="2"/>
  <c r="S221" i="16" s="1"/>
  <c r="AV222" i="2"/>
  <c r="S222" i="16" s="1"/>
  <c r="AV223" i="2"/>
  <c r="S223" i="16" s="1"/>
  <c r="AV224" i="2"/>
  <c r="S224" i="16" s="1"/>
  <c r="AV76" i="2"/>
  <c r="S76" i="16" s="1"/>
  <c r="AV225" i="2"/>
  <c r="S225" i="16" s="1"/>
  <c r="AV226" i="2"/>
  <c r="S226" i="16" s="1"/>
  <c r="AV227" i="2"/>
  <c r="S227" i="16" s="1"/>
  <c r="AV228" i="2"/>
  <c r="S228" i="16" s="1"/>
  <c r="AV229" i="2"/>
  <c r="S229" i="16" s="1"/>
  <c r="AV230" i="2"/>
  <c r="S230" i="16" s="1"/>
  <c r="AV231" i="2"/>
  <c r="S231" i="16" s="1"/>
  <c r="AV232" i="2"/>
  <c r="S232" i="16" s="1"/>
  <c r="AV233" i="2"/>
  <c r="S233" i="16" s="1"/>
  <c r="AV234" i="2"/>
  <c r="S234" i="16" s="1"/>
  <c r="AV235" i="2"/>
  <c r="S235" i="16" s="1"/>
  <c r="AV236" i="2"/>
  <c r="S236" i="16" s="1"/>
  <c r="AV237" i="2"/>
  <c r="S237" i="16" s="1"/>
  <c r="AV238" i="2"/>
  <c r="S238" i="16" s="1"/>
  <c r="AV239" i="2"/>
  <c r="S239" i="16" s="1"/>
  <c r="AV240" i="2"/>
  <c r="S240" i="16" s="1"/>
  <c r="AV241" i="2"/>
  <c r="S241" i="16" s="1"/>
  <c r="AV242" i="2"/>
  <c r="S242" i="16" s="1"/>
  <c r="AV243" i="2"/>
  <c r="S243" i="16" s="1"/>
  <c r="AV244" i="2"/>
  <c r="S244" i="16" s="1"/>
  <c r="AV245" i="2"/>
  <c r="S245" i="16" s="1"/>
  <c r="AV246" i="2"/>
  <c r="S246" i="16" s="1"/>
  <c r="AV247" i="2"/>
  <c r="S247" i="16" s="1"/>
  <c r="AV248" i="2"/>
  <c r="S248" i="16" s="1"/>
  <c r="AV249" i="2"/>
  <c r="S249" i="16" s="1"/>
  <c r="AV250" i="2"/>
  <c r="S250" i="16" s="1"/>
  <c r="AV251" i="2"/>
  <c r="S251" i="16" s="1"/>
  <c r="AV252" i="2"/>
  <c r="S252" i="16" s="1"/>
  <c r="AV253" i="2"/>
  <c r="S253" i="16" s="1"/>
  <c r="AV254" i="2"/>
  <c r="S254" i="16" s="1"/>
  <c r="AV255" i="2"/>
  <c r="S255" i="16" s="1"/>
  <c r="AV256" i="2"/>
  <c r="S256" i="16" s="1"/>
  <c r="AV257" i="2"/>
  <c r="S257" i="16" s="1"/>
  <c r="AV258" i="2"/>
  <c r="S258" i="16" s="1"/>
  <c r="AV259" i="2"/>
  <c r="S259" i="16" s="1"/>
  <c r="AV260" i="2"/>
  <c r="S260" i="16" s="1"/>
  <c r="AV261" i="2"/>
  <c r="S261" i="16" s="1"/>
  <c r="AV262" i="2"/>
  <c r="S262" i="16" s="1"/>
  <c r="AV263" i="2"/>
  <c r="S263" i="16" s="1"/>
  <c r="AV264" i="2"/>
  <c r="S264" i="16" s="1"/>
  <c r="AV265" i="2"/>
  <c r="S265" i="16" s="1"/>
  <c r="AV266" i="2"/>
  <c r="S266" i="16" s="1"/>
  <c r="AV267" i="2"/>
  <c r="S267" i="16" s="1"/>
  <c r="AV268" i="2"/>
  <c r="S268" i="16" s="1"/>
  <c r="AV269" i="2"/>
  <c r="S269" i="16" s="1"/>
  <c r="AV270" i="2"/>
  <c r="S270" i="16" s="1"/>
  <c r="AV271" i="2"/>
  <c r="S271" i="16" s="1"/>
  <c r="AV272" i="2"/>
  <c r="S272" i="16" s="1"/>
  <c r="AV273" i="2"/>
  <c r="S273" i="16" s="1"/>
  <c r="AV274" i="2"/>
  <c r="S274" i="16" s="1"/>
  <c r="AV275" i="2"/>
  <c r="S275" i="16" s="1"/>
  <c r="AV276" i="2"/>
  <c r="S276" i="16" s="1"/>
  <c r="AV277" i="2"/>
  <c r="S277" i="16" s="1"/>
  <c r="AV278" i="2"/>
  <c r="S278" i="16" s="1"/>
  <c r="AV279" i="2"/>
  <c r="S279" i="16" s="1"/>
  <c r="AV280" i="2"/>
  <c r="S280" i="16" s="1"/>
  <c r="AV281" i="2"/>
  <c r="S281" i="16" s="1"/>
  <c r="AV282" i="2"/>
  <c r="S282" i="16" s="1"/>
  <c r="AV283" i="2"/>
  <c r="S283" i="16" s="1"/>
  <c r="AV284" i="2"/>
  <c r="S284" i="16" s="1"/>
  <c r="AV285" i="2"/>
  <c r="S285" i="16" s="1"/>
  <c r="AV286" i="2"/>
  <c r="S286" i="16" s="1"/>
  <c r="AV287" i="2"/>
  <c r="S287" i="16" s="1"/>
  <c r="AV288" i="2"/>
  <c r="S288" i="16" s="1"/>
  <c r="AV289" i="2"/>
  <c r="S289" i="16" s="1"/>
  <c r="AV290" i="2"/>
  <c r="S290" i="16" s="1"/>
  <c r="AV291" i="2"/>
  <c r="S291" i="16" s="1"/>
  <c r="AV292" i="2"/>
  <c r="S292" i="16" s="1"/>
  <c r="AV293" i="2"/>
  <c r="S293" i="16" s="1"/>
  <c r="AV294" i="2"/>
  <c r="S294" i="16" s="1"/>
  <c r="AV295" i="2"/>
  <c r="S295" i="16" s="1"/>
  <c r="AV296" i="2"/>
  <c r="S296" i="16" s="1"/>
  <c r="AV297" i="2"/>
  <c r="S297" i="16" s="1"/>
  <c r="AV298" i="2"/>
  <c r="S298" i="16" s="1"/>
  <c r="AV299" i="2"/>
  <c r="S299" i="16" s="1"/>
  <c r="AV300" i="2"/>
  <c r="S300" i="16" s="1"/>
  <c r="AV301" i="2"/>
  <c r="S301" i="16" s="1"/>
  <c r="AV302" i="2"/>
  <c r="S302" i="16" s="1"/>
  <c r="AV303" i="2"/>
  <c r="S303" i="16" s="1"/>
  <c r="AV304" i="2"/>
  <c r="S304" i="16" s="1"/>
  <c r="AV305" i="2"/>
  <c r="S305" i="16" s="1"/>
  <c r="AV306" i="2"/>
  <c r="S306" i="16" s="1"/>
  <c r="AV307" i="2"/>
  <c r="S307" i="16" s="1"/>
  <c r="AV308" i="2"/>
  <c r="S308" i="16" s="1"/>
  <c r="AV309" i="2"/>
  <c r="S309" i="16" s="1"/>
  <c r="AV310" i="2"/>
  <c r="S310" i="16" s="1"/>
  <c r="AV311" i="2"/>
  <c r="S311" i="16" s="1"/>
  <c r="AV312" i="2"/>
  <c r="S312" i="16" s="1"/>
  <c r="AV313" i="2"/>
  <c r="S313" i="16" s="1"/>
  <c r="AV314" i="2"/>
  <c r="S314" i="16" s="1"/>
  <c r="AV315" i="2"/>
  <c r="S315" i="16" s="1"/>
  <c r="AV316" i="2"/>
  <c r="S316" i="16" s="1"/>
  <c r="AV317" i="2"/>
  <c r="S317" i="16" s="1"/>
  <c r="AV318" i="2"/>
  <c r="S318" i="16" s="1"/>
  <c r="AV319" i="2"/>
  <c r="S319" i="16" s="1"/>
  <c r="AV320" i="2"/>
  <c r="S320" i="16" s="1"/>
  <c r="AV321" i="2"/>
  <c r="S321" i="16" s="1"/>
  <c r="AV322" i="2"/>
  <c r="S322" i="16" s="1"/>
  <c r="AV323" i="2"/>
  <c r="S323" i="16" s="1"/>
  <c r="AV324" i="2"/>
  <c r="S324" i="16" s="1"/>
  <c r="AV325" i="2"/>
  <c r="S325" i="16" s="1"/>
  <c r="AV326" i="2"/>
  <c r="S326" i="16" s="1"/>
  <c r="AV327" i="2"/>
  <c r="S327" i="16" s="1"/>
  <c r="AV328" i="2"/>
  <c r="S328" i="16" s="1"/>
  <c r="AV329" i="2"/>
  <c r="S329" i="16" s="1"/>
  <c r="AV330" i="2"/>
  <c r="S330" i="16" s="1"/>
  <c r="AV331" i="2"/>
  <c r="S331" i="16" s="1"/>
  <c r="AV332" i="2"/>
  <c r="S332" i="16" s="1"/>
  <c r="AV333" i="2"/>
  <c r="S333" i="16" s="1"/>
  <c r="AV334" i="2"/>
  <c r="S334" i="16" s="1"/>
  <c r="AV335" i="2"/>
  <c r="S335" i="16" s="1"/>
  <c r="AV336" i="2"/>
  <c r="S336" i="16" s="1"/>
  <c r="AV337" i="2"/>
  <c r="S337" i="16" s="1"/>
  <c r="AV338" i="2"/>
  <c r="S338" i="16" s="1"/>
  <c r="AV339" i="2"/>
  <c r="S339" i="16" s="1"/>
  <c r="AV340" i="2"/>
  <c r="S340" i="16" s="1"/>
  <c r="AV341" i="2"/>
  <c r="S341" i="16" s="1"/>
  <c r="AV342" i="2"/>
  <c r="S342" i="16" s="1"/>
  <c r="AV343" i="2"/>
  <c r="S343" i="16" s="1"/>
  <c r="AV344" i="2"/>
  <c r="S344" i="16" s="1"/>
  <c r="AV345" i="2"/>
  <c r="S345" i="16" s="1"/>
  <c r="AV346" i="2"/>
  <c r="S346" i="16" s="1"/>
  <c r="AV347" i="2"/>
  <c r="S347" i="16" s="1"/>
  <c r="AV348" i="2"/>
  <c r="S348" i="16" s="1"/>
  <c r="AV349" i="2"/>
  <c r="S349" i="16" s="1"/>
  <c r="AV350" i="2"/>
  <c r="S350" i="16" s="1"/>
  <c r="AV351" i="2"/>
  <c r="S351" i="16" s="1"/>
  <c r="AV955" i="2"/>
  <c r="S955" i="16" s="1"/>
  <c r="AV958" i="2"/>
  <c r="S958" i="16" s="1"/>
  <c r="AV961" i="2"/>
  <c r="S961" i="16" s="1"/>
  <c r="AV963" i="2"/>
  <c r="S963" i="16" s="1"/>
  <c r="AV965" i="2"/>
  <c r="S965" i="16" s="1"/>
  <c r="AV967" i="2"/>
  <c r="S967" i="16" s="1"/>
  <c r="AV970" i="2"/>
  <c r="S970" i="16" s="1"/>
  <c r="AV972" i="2"/>
  <c r="S972" i="16" s="1"/>
  <c r="AV352" i="2"/>
  <c r="S352" i="16" s="1"/>
  <c r="AV353" i="2"/>
  <c r="S353" i="16" s="1"/>
  <c r="AV354" i="2"/>
  <c r="S354" i="16" s="1"/>
  <c r="AV355" i="2"/>
  <c r="S355" i="16" s="1"/>
  <c r="AV356" i="2"/>
  <c r="S356" i="16" s="1"/>
  <c r="AV357" i="2"/>
  <c r="S357" i="16" s="1"/>
  <c r="AV358" i="2"/>
  <c r="S358" i="16" s="1"/>
  <c r="AV359" i="2"/>
  <c r="S359" i="16" s="1"/>
  <c r="AV360" i="2"/>
  <c r="S360" i="16" s="1"/>
  <c r="AV361" i="2"/>
  <c r="S361" i="16" s="1"/>
  <c r="AV362" i="2"/>
  <c r="S362" i="16" s="1"/>
  <c r="AV363" i="2"/>
  <c r="S363" i="16" s="1"/>
  <c r="AV364" i="2"/>
  <c r="S364" i="16" s="1"/>
  <c r="AV365" i="2"/>
  <c r="S365" i="16" s="1"/>
  <c r="AV366" i="2"/>
  <c r="S366" i="16" s="1"/>
  <c r="AV367" i="2"/>
  <c r="S367" i="16" s="1"/>
  <c r="AV368" i="2"/>
  <c r="S368" i="16" s="1"/>
  <c r="AV369" i="2"/>
  <c r="S369" i="16" s="1"/>
  <c r="AV370" i="2"/>
  <c r="S370" i="16" s="1"/>
  <c r="AV371" i="2"/>
  <c r="S371" i="16" s="1"/>
  <c r="AV372" i="2"/>
  <c r="S372" i="16" s="1"/>
  <c r="AV373" i="2"/>
  <c r="S373" i="16" s="1"/>
  <c r="AV374" i="2"/>
  <c r="S374" i="16" s="1"/>
  <c r="AV375" i="2"/>
  <c r="S375" i="16" s="1"/>
  <c r="AV376" i="2"/>
  <c r="S376" i="16" s="1"/>
  <c r="AV377" i="2"/>
  <c r="S377" i="16" s="1"/>
  <c r="AV378" i="2"/>
  <c r="S378" i="16" s="1"/>
  <c r="AV379" i="2"/>
  <c r="S379" i="16" s="1"/>
  <c r="AV380" i="2"/>
  <c r="S380" i="16" s="1"/>
  <c r="AV381" i="2"/>
  <c r="S381" i="16" s="1"/>
  <c r="AV382" i="2"/>
  <c r="S382" i="16" s="1"/>
  <c r="AV383" i="2"/>
  <c r="S383" i="16" s="1"/>
  <c r="AV384" i="2"/>
  <c r="S384" i="16" s="1"/>
  <c r="AV385" i="2"/>
  <c r="S385" i="16" s="1"/>
  <c r="AV386" i="2"/>
  <c r="S386" i="16" s="1"/>
  <c r="AV387" i="2"/>
  <c r="S387" i="16" s="1"/>
  <c r="AV388" i="2"/>
  <c r="S388" i="16" s="1"/>
  <c r="AV389" i="2"/>
  <c r="S389" i="16" s="1"/>
  <c r="AV390" i="2"/>
  <c r="S390" i="16" s="1"/>
  <c r="AV391" i="2"/>
  <c r="S391" i="16" s="1"/>
  <c r="AV392" i="2"/>
  <c r="S392" i="16" s="1"/>
  <c r="AV393" i="2"/>
  <c r="S393" i="16" s="1"/>
  <c r="AV394" i="2"/>
  <c r="S394" i="16" s="1"/>
  <c r="AV395" i="2"/>
  <c r="S395" i="16" s="1"/>
  <c r="AV396" i="2"/>
  <c r="S396" i="16" s="1"/>
  <c r="AV397" i="2"/>
  <c r="S397" i="16" s="1"/>
  <c r="AV398" i="2"/>
  <c r="S398" i="16" s="1"/>
  <c r="AV399" i="2"/>
  <c r="S399" i="16" s="1"/>
  <c r="AV400" i="2"/>
  <c r="S400" i="16" s="1"/>
  <c r="AV401" i="2"/>
  <c r="S401" i="16" s="1"/>
  <c r="AV402" i="2"/>
  <c r="S402" i="16" s="1"/>
  <c r="AV403" i="2"/>
  <c r="S403" i="16" s="1"/>
  <c r="AV404" i="2"/>
  <c r="S404" i="16" s="1"/>
  <c r="AV405" i="2"/>
  <c r="S405" i="16" s="1"/>
  <c r="AV406" i="2"/>
  <c r="S406" i="16" s="1"/>
  <c r="AV407" i="2"/>
  <c r="S407" i="16" s="1"/>
  <c r="AV408" i="2"/>
  <c r="S408" i="16" s="1"/>
  <c r="AV409" i="2"/>
  <c r="S409" i="16" s="1"/>
  <c r="AV410" i="2"/>
  <c r="S410" i="16" s="1"/>
  <c r="AV411" i="2"/>
  <c r="S411" i="16" s="1"/>
  <c r="AV412" i="2"/>
  <c r="S412" i="16" s="1"/>
  <c r="AV413" i="2"/>
  <c r="S413" i="16" s="1"/>
  <c r="AV414" i="2"/>
  <c r="S414" i="16" s="1"/>
  <c r="AV415" i="2"/>
  <c r="S415" i="16" s="1"/>
  <c r="AV416" i="2"/>
  <c r="S416" i="16" s="1"/>
  <c r="AV417" i="2"/>
  <c r="S417" i="16" s="1"/>
  <c r="AV418" i="2"/>
  <c r="S418" i="16" s="1"/>
  <c r="AV419" i="2"/>
  <c r="S419" i="16" s="1"/>
  <c r="AV420" i="2"/>
  <c r="S420" i="16" s="1"/>
  <c r="AV421" i="2"/>
  <c r="S421" i="16" s="1"/>
  <c r="AV422" i="2"/>
  <c r="S422" i="16" s="1"/>
  <c r="AV423" i="2"/>
  <c r="S423" i="16" s="1"/>
  <c r="AV424" i="2"/>
  <c r="S424" i="16" s="1"/>
  <c r="AV425" i="2"/>
  <c r="S425" i="16" s="1"/>
  <c r="AV426" i="2"/>
  <c r="S426" i="16" s="1"/>
  <c r="AV427" i="2"/>
  <c r="S427" i="16" s="1"/>
  <c r="AV428" i="2"/>
  <c r="S428" i="16" s="1"/>
  <c r="AV429" i="2"/>
  <c r="S429" i="16" s="1"/>
  <c r="AV430" i="2"/>
  <c r="S430" i="16" s="1"/>
  <c r="AV431" i="2"/>
  <c r="S431" i="16" s="1"/>
  <c r="AV432" i="2"/>
  <c r="S432" i="16" s="1"/>
  <c r="AV433" i="2"/>
  <c r="S433" i="16" s="1"/>
  <c r="AV434" i="2"/>
  <c r="S434" i="16" s="1"/>
  <c r="AV435" i="2"/>
  <c r="S435" i="16" s="1"/>
  <c r="AV436" i="2"/>
  <c r="S436" i="16" s="1"/>
  <c r="AV437" i="2"/>
  <c r="S437" i="16" s="1"/>
  <c r="AV438" i="2"/>
  <c r="S438" i="16" s="1"/>
  <c r="AV439" i="2"/>
  <c r="S439" i="16" s="1"/>
  <c r="AV440" i="2"/>
  <c r="S440" i="16" s="1"/>
  <c r="AV441" i="2"/>
  <c r="S441" i="16" s="1"/>
  <c r="AV442" i="2"/>
  <c r="S442" i="16" s="1"/>
  <c r="AV443" i="2"/>
  <c r="S443" i="16" s="1"/>
  <c r="AV444" i="2"/>
  <c r="S444" i="16" s="1"/>
  <c r="AV445" i="2"/>
  <c r="S445" i="16" s="1"/>
  <c r="AV446" i="2"/>
  <c r="S446" i="16" s="1"/>
  <c r="AV447" i="2"/>
  <c r="S447" i="16" s="1"/>
  <c r="AV448" i="2"/>
  <c r="S448" i="16" s="1"/>
  <c r="AV449" i="2"/>
  <c r="S449" i="16" s="1"/>
  <c r="AV450" i="2"/>
  <c r="S450" i="16" s="1"/>
  <c r="AV451" i="2"/>
  <c r="S451" i="16" s="1"/>
  <c r="AV452" i="2"/>
  <c r="S452" i="16" s="1"/>
  <c r="AV453" i="2"/>
  <c r="S453" i="16" s="1"/>
  <c r="AV454" i="2"/>
  <c r="S454" i="16" s="1"/>
  <c r="AV455" i="2"/>
  <c r="S455" i="16" s="1"/>
  <c r="AV456" i="2"/>
  <c r="S456" i="16" s="1"/>
  <c r="AV457" i="2"/>
  <c r="S457" i="16" s="1"/>
  <c r="AV458" i="2"/>
  <c r="S458" i="16" s="1"/>
  <c r="AV459" i="2"/>
  <c r="S459" i="16" s="1"/>
  <c r="AV460" i="2"/>
  <c r="S460" i="16" s="1"/>
  <c r="AV461" i="2"/>
  <c r="S461" i="16" s="1"/>
  <c r="AV462" i="2"/>
  <c r="S462" i="16" s="1"/>
  <c r="AV463" i="2"/>
  <c r="S463" i="16" s="1"/>
  <c r="AV464" i="2"/>
  <c r="S464" i="16" s="1"/>
  <c r="AV465" i="2"/>
  <c r="S465" i="16" s="1"/>
  <c r="AV466" i="2"/>
  <c r="S466" i="16" s="1"/>
  <c r="AV467" i="2"/>
  <c r="S467" i="16" s="1"/>
  <c r="AV468" i="2"/>
  <c r="S468" i="16" s="1"/>
  <c r="AV469" i="2"/>
  <c r="S469" i="16" s="1"/>
  <c r="AV470" i="2"/>
  <c r="S470" i="16" s="1"/>
  <c r="AV471" i="2"/>
  <c r="S471" i="16" s="1"/>
  <c r="AV472" i="2"/>
  <c r="S472" i="16" s="1"/>
  <c r="AV473" i="2"/>
  <c r="S473" i="16" s="1"/>
  <c r="AV474" i="2"/>
  <c r="S474" i="16" s="1"/>
  <c r="AV475" i="2"/>
  <c r="S475" i="16" s="1"/>
  <c r="AV476" i="2"/>
  <c r="S476" i="16" s="1"/>
  <c r="AV477" i="2"/>
  <c r="S477" i="16" s="1"/>
  <c r="AV478" i="2"/>
  <c r="S478" i="16" s="1"/>
  <c r="AV479" i="2"/>
  <c r="S479" i="16" s="1"/>
  <c r="AV480" i="2"/>
  <c r="S480" i="16" s="1"/>
  <c r="AV481" i="2"/>
  <c r="S481" i="16" s="1"/>
  <c r="AV482" i="2"/>
  <c r="S482" i="16" s="1"/>
  <c r="AV483" i="2"/>
  <c r="S483" i="16" s="1"/>
  <c r="AV484" i="2"/>
  <c r="S484" i="16" s="1"/>
  <c r="AV485" i="2"/>
  <c r="S485" i="16" s="1"/>
  <c r="AV486" i="2"/>
  <c r="S486" i="16" s="1"/>
  <c r="AV487" i="2"/>
  <c r="S487" i="16" s="1"/>
  <c r="AV488" i="2"/>
  <c r="S488" i="16" s="1"/>
  <c r="AV489" i="2"/>
  <c r="S489" i="16" s="1"/>
  <c r="AV490" i="2"/>
  <c r="S490" i="16" s="1"/>
  <c r="AV491" i="2"/>
  <c r="S491" i="16" s="1"/>
  <c r="AV492" i="2"/>
  <c r="S492" i="16" s="1"/>
  <c r="AV493" i="2"/>
  <c r="S493" i="16" s="1"/>
  <c r="AV494" i="2"/>
  <c r="S494" i="16" s="1"/>
  <c r="AV495" i="2"/>
  <c r="S495" i="16" s="1"/>
  <c r="AV496" i="2"/>
  <c r="S496" i="16" s="1"/>
  <c r="AV497" i="2"/>
  <c r="S497" i="16" s="1"/>
  <c r="AV498" i="2"/>
  <c r="S498" i="16" s="1"/>
  <c r="AV499" i="2"/>
  <c r="S499" i="16" s="1"/>
  <c r="AV500" i="2"/>
  <c r="S500" i="16" s="1"/>
  <c r="AV501" i="2"/>
  <c r="S501" i="16" s="1"/>
  <c r="AV502" i="2"/>
  <c r="S502" i="16" s="1"/>
  <c r="AV503" i="2"/>
  <c r="S503" i="16" s="1"/>
  <c r="AV504" i="2"/>
  <c r="S504" i="16" s="1"/>
  <c r="AV505" i="2"/>
  <c r="S505" i="16" s="1"/>
  <c r="AV506" i="2"/>
  <c r="S506" i="16" s="1"/>
  <c r="AV507" i="2"/>
  <c r="S507" i="16" s="1"/>
  <c r="AV508" i="2"/>
  <c r="S508" i="16" s="1"/>
  <c r="AV509" i="2"/>
  <c r="S509" i="16" s="1"/>
  <c r="AV510" i="2"/>
  <c r="S510" i="16" s="1"/>
  <c r="AV511" i="2"/>
  <c r="S511" i="16" s="1"/>
  <c r="AV512" i="2"/>
  <c r="S512" i="16" s="1"/>
  <c r="AV513" i="2"/>
  <c r="S513" i="16" s="1"/>
  <c r="AV514" i="2"/>
  <c r="S514" i="16" s="1"/>
  <c r="AV515" i="2"/>
  <c r="S515" i="16" s="1"/>
  <c r="AV516" i="2"/>
  <c r="S516" i="16" s="1"/>
  <c r="AV517" i="2"/>
  <c r="S517" i="16" s="1"/>
  <c r="AV518" i="2"/>
  <c r="S518" i="16" s="1"/>
  <c r="AV519" i="2"/>
  <c r="S519" i="16" s="1"/>
  <c r="AV520" i="2"/>
  <c r="S520" i="16" s="1"/>
  <c r="AV521" i="2"/>
  <c r="S521" i="16" s="1"/>
  <c r="AV522" i="2"/>
  <c r="S522" i="16" s="1"/>
  <c r="AV523" i="2"/>
  <c r="S523" i="16" s="1"/>
  <c r="AV524" i="2"/>
  <c r="S524" i="16" s="1"/>
  <c r="AV525" i="2"/>
  <c r="S525" i="16" s="1"/>
  <c r="AV526" i="2"/>
  <c r="S526" i="16" s="1"/>
  <c r="AV527" i="2"/>
  <c r="S527" i="16" s="1"/>
  <c r="AV528" i="2"/>
  <c r="S528" i="16" s="1"/>
  <c r="AV529" i="2"/>
  <c r="S529" i="16" s="1"/>
  <c r="AV530" i="2"/>
  <c r="S530" i="16" s="1"/>
  <c r="AV531" i="2"/>
  <c r="S531" i="16" s="1"/>
  <c r="AV532" i="2"/>
  <c r="S532" i="16" s="1"/>
  <c r="AV533" i="2"/>
  <c r="S533" i="16" s="1"/>
  <c r="AV534" i="2"/>
  <c r="S534" i="16" s="1"/>
  <c r="AV535" i="2"/>
  <c r="S535" i="16" s="1"/>
  <c r="AV536" i="2"/>
  <c r="S536" i="16" s="1"/>
  <c r="AV537" i="2"/>
  <c r="S537" i="16" s="1"/>
  <c r="AV538" i="2"/>
  <c r="S538" i="16" s="1"/>
  <c r="AV539" i="2"/>
  <c r="S539" i="16" s="1"/>
  <c r="AV540" i="2"/>
  <c r="S540" i="16" s="1"/>
  <c r="AV541" i="2"/>
  <c r="S541" i="16" s="1"/>
  <c r="AV542" i="2"/>
  <c r="S542" i="16" s="1"/>
  <c r="AV543" i="2"/>
  <c r="S543" i="16" s="1"/>
  <c r="AV544" i="2"/>
  <c r="S544" i="16" s="1"/>
  <c r="AV545" i="2"/>
  <c r="S545" i="16" s="1"/>
  <c r="AV546" i="2"/>
  <c r="S546" i="16" s="1"/>
  <c r="AV547" i="2"/>
  <c r="S547" i="16" s="1"/>
  <c r="AV548" i="2"/>
  <c r="S548" i="16" s="1"/>
  <c r="AV549" i="2"/>
  <c r="S549" i="16" s="1"/>
  <c r="AV550" i="2"/>
  <c r="S550" i="16" s="1"/>
  <c r="AV551" i="2"/>
  <c r="S551" i="16" s="1"/>
  <c r="AV552" i="2"/>
  <c r="S552" i="16" s="1"/>
  <c r="AV553" i="2"/>
  <c r="S553" i="16" s="1"/>
  <c r="AV554" i="2"/>
  <c r="S554" i="16" s="1"/>
  <c r="AV555" i="2"/>
  <c r="S555" i="16" s="1"/>
  <c r="AV556" i="2"/>
  <c r="S556" i="16" s="1"/>
  <c r="AV557" i="2"/>
  <c r="S557" i="16" s="1"/>
  <c r="AV558" i="2"/>
  <c r="S558" i="16" s="1"/>
  <c r="AV559" i="2"/>
  <c r="S559" i="16" s="1"/>
  <c r="AV560" i="2"/>
  <c r="S560" i="16" s="1"/>
  <c r="AV561" i="2"/>
  <c r="S561" i="16" s="1"/>
  <c r="AV562" i="2"/>
  <c r="S562" i="16" s="1"/>
  <c r="AV563" i="2"/>
  <c r="S563" i="16" s="1"/>
  <c r="AV564" i="2"/>
  <c r="S564" i="16" s="1"/>
  <c r="AV565" i="2"/>
  <c r="S565" i="16" s="1"/>
  <c r="AV566" i="2"/>
  <c r="S566" i="16" s="1"/>
  <c r="AV567" i="2"/>
  <c r="S567" i="16" s="1"/>
  <c r="AV568" i="2"/>
  <c r="S568" i="16" s="1"/>
  <c r="AV569" i="2"/>
  <c r="S569" i="16" s="1"/>
  <c r="AV570" i="2"/>
  <c r="S570" i="16" s="1"/>
  <c r="AV571" i="2"/>
  <c r="S571" i="16" s="1"/>
  <c r="AV572" i="2"/>
  <c r="S572" i="16" s="1"/>
  <c r="AV573" i="2"/>
  <c r="S573" i="16" s="1"/>
  <c r="AV574" i="2"/>
  <c r="S574" i="16" s="1"/>
  <c r="AV575" i="2"/>
  <c r="S575" i="16" s="1"/>
  <c r="AV576" i="2"/>
  <c r="S576" i="16" s="1"/>
  <c r="AV577" i="2"/>
  <c r="S577" i="16" s="1"/>
  <c r="AV578" i="2"/>
  <c r="S578" i="16" s="1"/>
  <c r="AV579" i="2"/>
  <c r="S579" i="16" s="1"/>
  <c r="AV580" i="2"/>
  <c r="S580" i="16" s="1"/>
  <c r="AV581" i="2"/>
  <c r="S581" i="16" s="1"/>
  <c r="AV582" i="2"/>
  <c r="S582" i="16" s="1"/>
  <c r="AV583" i="2"/>
  <c r="S583" i="16" s="1"/>
  <c r="AV584" i="2"/>
  <c r="S584" i="16" s="1"/>
  <c r="AV585" i="2"/>
  <c r="S585" i="16" s="1"/>
  <c r="AV586" i="2"/>
  <c r="S586" i="16" s="1"/>
  <c r="AV587" i="2"/>
  <c r="S587" i="16" s="1"/>
  <c r="AV588" i="2"/>
  <c r="S588" i="16" s="1"/>
  <c r="AV589" i="2"/>
  <c r="S589" i="16" s="1"/>
  <c r="AV590" i="2"/>
  <c r="S590" i="16" s="1"/>
  <c r="AV591" i="2"/>
  <c r="S591" i="16" s="1"/>
  <c r="AV592" i="2"/>
  <c r="S592" i="16" s="1"/>
  <c r="AV593" i="2"/>
  <c r="S593" i="16" s="1"/>
  <c r="AV594" i="2"/>
  <c r="S594" i="16" s="1"/>
  <c r="AV595" i="2"/>
  <c r="S595" i="16" s="1"/>
  <c r="AV596" i="2"/>
  <c r="S596" i="16" s="1"/>
  <c r="AV597" i="2"/>
  <c r="S597" i="16" s="1"/>
  <c r="AV598" i="2"/>
  <c r="S598" i="16" s="1"/>
  <c r="AV599" i="2"/>
  <c r="S599" i="16" s="1"/>
  <c r="AV600" i="2"/>
  <c r="S600" i="16" s="1"/>
  <c r="AV601" i="2"/>
  <c r="S601" i="16" s="1"/>
  <c r="AV602" i="2"/>
  <c r="S602" i="16" s="1"/>
  <c r="AV603" i="2"/>
  <c r="S603" i="16" s="1"/>
  <c r="AV604" i="2"/>
  <c r="S604" i="16" s="1"/>
  <c r="AV605" i="2"/>
  <c r="S605" i="16" s="1"/>
  <c r="AV606" i="2"/>
  <c r="S606" i="16" s="1"/>
  <c r="AV607" i="2"/>
  <c r="S607" i="16" s="1"/>
  <c r="AV608" i="2"/>
  <c r="S608" i="16" s="1"/>
  <c r="AV609" i="2"/>
  <c r="S609" i="16" s="1"/>
  <c r="AV610" i="2"/>
  <c r="S610" i="16" s="1"/>
  <c r="AV611" i="2"/>
  <c r="S611" i="16" s="1"/>
  <c r="AV612" i="2"/>
  <c r="S612" i="16" s="1"/>
  <c r="AV613" i="2"/>
  <c r="S613" i="16" s="1"/>
  <c r="AV614" i="2"/>
  <c r="S614" i="16" s="1"/>
  <c r="AV615" i="2"/>
  <c r="S615" i="16" s="1"/>
  <c r="AV616" i="2"/>
  <c r="S616" i="16" s="1"/>
  <c r="AV617" i="2"/>
  <c r="S617" i="16" s="1"/>
  <c r="AV618" i="2"/>
  <c r="S618" i="16" s="1"/>
  <c r="AV619" i="2"/>
  <c r="S619" i="16" s="1"/>
  <c r="AV620" i="2"/>
  <c r="S620" i="16" s="1"/>
  <c r="AV621" i="2"/>
  <c r="S621" i="16" s="1"/>
  <c r="AV622" i="2"/>
  <c r="S622" i="16" s="1"/>
  <c r="AV623" i="2"/>
  <c r="S623" i="16" s="1"/>
  <c r="AV624" i="2"/>
  <c r="S624" i="16" s="1"/>
  <c r="AV625" i="2"/>
  <c r="S625" i="16" s="1"/>
  <c r="AV626" i="2"/>
  <c r="S626" i="16" s="1"/>
  <c r="AV627" i="2"/>
  <c r="S627" i="16" s="1"/>
  <c r="AV628" i="2"/>
  <c r="S628" i="16" s="1"/>
  <c r="AV629" i="2"/>
  <c r="S629" i="16" s="1"/>
  <c r="AV630" i="2"/>
  <c r="S630" i="16" s="1"/>
  <c r="AV631" i="2"/>
  <c r="S631" i="16" s="1"/>
  <c r="AV632" i="2"/>
  <c r="S632" i="16" s="1"/>
  <c r="AV633" i="2"/>
  <c r="S633" i="16" s="1"/>
  <c r="AV634" i="2"/>
  <c r="S634" i="16" s="1"/>
  <c r="AV635" i="2"/>
  <c r="S635" i="16" s="1"/>
  <c r="AV636" i="2"/>
  <c r="S636" i="16" s="1"/>
  <c r="AV637" i="2"/>
  <c r="S637" i="16" s="1"/>
  <c r="AV638" i="2"/>
  <c r="S638" i="16" s="1"/>
  <c r="AV639" i="2"/>
  <c r="S639" i="16" s="1"/>
  <c r="AV640" i="2"/>
  <c r="S640" i="16" s="1"/>
  <c r="AV641" i="2"/>
  <c r="S641" i="16" s="1"/>
  <c r="AV642" i="2"/>
  <c r="S642" i="16" s="1"/>
  <c r="AV643" i="2"/>
  <c r="S643" i="16" s="1"/>
  <c r="AV644" i="2"/>
  <c r="S644" i="16" s="1"/>
  <c r="AV645" i="2"/>
  <c r="S645" i="16" s="1"/>
  <c r="AV646" i="2"/>
  <c r="S646" i="16" s="1"/>
  <c r="AV647" i="2"/>
  <c r="S647" i="16" s="1"/>
  <c r="AV648" i="2"/>
  <c r="S648" i="16" s="1"/>
  <c r="AV649" i="2"/>
  <c r="S649" i="16" s="1"/>
  <c r="AV650" i="2"/>
  <c r="S650" i="16" s="1"/>
  <c r="AV651" i="2"/>
  <c r="S651" i="16" s="1"/>
  <c r="AV652" i="2"/>
  <c r="S652" i="16" s="1"/>
  <c r="AV653" i="2"/>
  <c r="S653" i="16" s="1"/>
  <c r="AV654" i="2"/>
  <c r="S654" i="16" s="1"/>
  <c r="AV655" i="2"/>
  <c r="S655" i="16" s="1"/>
  <c r="AV656" i="2"/>
  <c r="S656" i="16" s="1"/>
  <c r="AV657" i="2"/>
  <c r="S657" i="16" s="1"/>
  <c r="AV658" i="2"/>
  <c r="S658" i="16" s="1"/>
  <c r="AV659" i="2"/>
  <c r="S659" i="16" s="1"/>
  <c r="AV660" i="2"/>
  <c r="S660" i="16" s="1"/>
  <c r="AV661" i="2"/>
  <c r="S661" i="16" s="1"/>
  <c r="AV662" i="2"/>
  <c r="S662" i="16" s="1"/>
  <c r="AV663" i="2"/>
  <c r="S663" i="16" s="1"/>
  <c r="AV664" i="2"/>
  <c r="S664" i="16" s="1"/>
  <c r="AV665" i="2"/>
  <c r="S665" i="16" s="1"/>
  <c r="AV666" i="2"/>
  <c r="S666" i="16" s="1"/>
  <c r="AV667" i="2"/>
  <c r="S667" i="16" s="1"/>
  <c r="AV668" i="2"/>
  <c r="S668" i="16" s="1"/>
  <c r="AV669" i="2"/>
  <c r="S669" i="16" s="1"/>
  <c r="AV670" i="2"/>
  <c r="S670" i="16" s="1"/>
  <c r="AV671" i="2"/>
  <c r="S671" i="16" s="1"/>
  <c r="AV672" i="2"/>
  <c r="S672" i="16" s="1"/>
  <c r="AV673" i="2"/>
  <c r="S673" i="16" s="1"/>
  <c r="AV674" i="2"/>
  <c r="S674" i="16" s="1"/>
  <c r="AV675" i="2"/>
  <c r="S675" i="16" s="1"/>
  <c r="AV676" i="2"/>
  <c r="S676" i="16" s="1"/>
  <c r="AV677" i="2"/>
  <c r="S677" i="16" s="1"/>
  <c r="AV678" i="2"/>
  <c r="S678" i="16" s="1"/>
  <c r="AV679" i="2"/>
  <c r="S679" i="16" s="1"/>
  <c r="AV680" i="2"/>
  <c r="S680" i="16" s="1"/>
  <c r="AV681" i="2"/>
  <c r="S681" i="16" s="1"/>
  <c r="AV682" i="2"/>
  <c r="S682" i="16" s="1"/>
  <c r="AV683" i="2"/>
  <c r="S683" i="16" s="1"/>
  <c r="AV684" i="2"/>
  <c r="S684" i="16" s="1"/>
  <c r="AV685" i="2"/>
  <c r="S685" i="16" s="1"/>
  <c r="AV686" i="2"/>
  <c r="S686" i="16" s="1"/>
  <c r="AV687" i="2"/>
  <c r="S687" i="16" s="1"/>
  <c r="AV688" i="2"/>
  <c r="S688" i="16" s="1"/>
  <c r="AV689" i="2"/>
  <c r="S689" i="16" s="1"/>
  <c r="AV690" i="2"/>
  <c r="S690" i="16" s="1"/>
  <c r="AV691" i="2"/>
  <c r="S691" i="16" s="1"/>
  <c r="AV692" i="2"/>
  <c r="S692" i="16" s="1"/>
  <c r="AV693" i="2"/>
  <c r="S693" i="16" s="1"/>
  <c r="AV694" i="2"/>
  <c r="S694" i="16" s="1"/>
  <c r="AV695" i="2"/>
  <c r="S695" i="16" s="1"/>
  <c r="AV696" i="2"/>
  <c r="S696" i="16" s="1"/>
  <c r="AV697" i="2"/>
  <c r="S697" i="16" s="1"/>
  <c r="AV698" i="2"/>
  <c r="S698" i="16" s="1"/>
  <c r="AV699" i="2"/>
  <c r="S699" i="16" s="1"/>
  <c r="AV700" i="2"/>
  <c r="S700" i="16" s="1"/>
  <c r="AV701" i="2"/>
  <c r="S701" i="16" s="1"/>
  <c r="AV702" i="2"/>
  <c r="S702" i="16" s="1"/>
  <c r="AV703" i="2"/>
  <c r="S703" i="16" s="1"/>
  <c r="AV704" i="2"/>
  <c r="S704" i="16" s="1"/>
  <c r="AV705" i="2"/>
  <c r="S705" i="16" s="1"/>
  <c r="AV706" i="2"/>
  <c r="S706" i="16" s="1"/>
  <c r="AV707" i="2"/>
  <c r="S707" i="16" s="1"/>
  <c r="AV708" i="2"/>
  <c r="S708" i="16" s="1"/>
  <c r="AV709" i="2"/>
  <c r="S709" i="16" s="1"/>
  <c r="AV710" i="2"/>
  <c r="S710" i="16" s="1"/>
  <c r="AV711" i="2"/>
  <c r="S711" i="16" s="1"/>
  <c r="AV712" i="2"/>
  <c r="S712" i="16" s="1"/>
  <c r="AV713" i="2"/>
  <c r="S713" i="16" s="1"/>
  <c r="AV714" i="2"/>
  <c r="S714" i="16" s="1"/>
  <c r="AV715" i="2"/>
  <c r="S715" i="16" s="1"/>
  <c r="AV716" i="2"/>
  <c r="S716" i="16" s="1"/>
  <c r="AV717" i="2"/>
  <c r="S717" i="16" s="1"/>
  <c r="AV718" i="2"/>
  <c r="S718" i="16" s="1"/>
  <c r="AV719" i="2"/>
  <c r="S719" i="16" s="1"/>
  <c r="AV720" i="2"/>
  <c r="S720" i="16" s="1"/>
  <c r="AV721" i="2"/>
  <c r="S721" i="16" s="1"/>
  <c r="AV722" i="2"/>
  <c r="S722" i="16" s="1"/>
  <c r="AV723" i="2"/>
  <c r="S723" i="16" s="1"/>
  <c r="AV724" i="2"/>
  <c r="S724" i="16" s="1"/>
  <c r="AV725" i="2"/>
  <c r="S725" i="16" s="1"/>
  <c r="AV726" i="2"/>
  <c r="S726" i="16" s="1"/>
  <c r="AV727" i="2"/>
  <c r="S727" i="16" s="1"/>
  <c r="AV728" i="2"/>
  <c r="S728" i="16" s="1"/>
  <c r="AV729" i="2"/>
  <c r="S729" i="16" s="1"/>
  <c r="AV730" i="2"/>
  <c r="S730" i="16" s="1"/>
  <c r="AV731" i="2"/>
  <c r="S731" i="16" s="1"/>
  <c r="AV732" i="2"/>
  <c r="S732" i="16" s="1"/>
  <c r="AV733" i="2"/>
  <c r="S733" i="16" s="1"/>
  <c r="AV734" i="2"/>
  <c r="S734" i="16" s="1"/>
  <c r="AV735" i="2"/>
  <c r="S735" i="16" s="1"/>
  <c r="AV736" i="2"/>
  <c r="S736" i="16" s="1"/>
  <c r="AV737" i="2"/>
  <c r="S737" i="16" s="1"/>
  <c r="AV738" i="2"/>
  <c r="S738" i="16" s="1"/>
  <c r="AV739" i="2"/>
  <c r="S739" i="16" s="1"/>
  <c r="AV740" i="2"/>
  <c r="S740" i="16" s="1"/>
  <c r="AV741" i="2"/>
  <c r="S741" i="16" s="1"/>
  <c r="AV742" i="2"/>
  <c r="S742" i="16" s="1"/>
  <c r="AV743" i="2"/>
  <c r="S743" i="16" s="1"/>
  <c r="AV744" i="2"/>
  <c r="S744" i="16" s="1"/>
  <c r="AV745" i="2"/>
  <c r="S745" i="16" s="1"/>
  <c r="AV746" i="2"/>
  <c r="S746" i="16" s="1"/>
  <c r="AV747" i="2"/>
  <c r="S747" i="16" s="1"/>
  <c r="AV748" i="2"/>
  <c r="S748" i="16" s="1"/>
  <c r="AV749" i="2"/>
  <c r="S749" i="16" s="1"/>
  <c r="AV750" i="2"/>
  <c r="S750" i="16" s="1"/>
  <c r="AV751" i="2"/>
  <c r="S751" i="16" s="1"/>
  <c r="AV752" i="2"/>
  <c r="S752" i="16" s="1"/>
  <c r="AV753" i="2"/>
  <c r="S753" i="16" s="1"/>
  <c r="AV754" i="2"/>
  <c r="S754" i="16" s="1"/>
  <c r="AV755" i="2"/>
  <c r="S755" i="16" s="1"/>
  <c r="AV756" i="2"/>
  <c r="S756" i="16" s="1"/>
  <c r="AV757" i="2"/>
  <c r="S757" i="16" s="1"/>
  <c r="AV758" i="2"/>
  <c r="S758" i="16" s="1"/>
  <c r="AV759" i="2"/>
  <c r="S759" i="16" s="1"/>
  <c r="AV760" i="2"/>
  <c r="S760" i="16" s="1"/>
  <c r="AV761" i="2"/>
  <c r="S761" i="16" s="1"/>
  <c r="AV762" i="2"/>
  <c r="S762" i="16" s="1"/>
  <c r="AV763" i="2"/>
  <c r="S763" i="16" s="1"/>
  <c r="AV764" i="2"/>
  <c r="S764" i="16" s="1"/>
  <c r="AV765" i="2"/>
  <c r="S765" i="16" s="1"/>
  <c r="AV766" i="2"/>
  <c r="S766" i="16" s="1"/>
  <c r="AV767" i="2"/>
  <c r="S767" i="16" s="1"/>
  <c r="AV768" i="2"/>
  <c r="S768" i="16" s="1"/>
  <c r="AV769" i="2"/>
  <c r="S769" i="16" s="1"/>
  <c r="AV770" i="2"/>
  <c r="S770" i="16" s="1"/>
  <c r="AV771" i="2"/>
  <c r="S771" i="16" s="1"/>
  <c r="AV772" i="2"/>
  <c r="S772" i="16" s="1"/>
  <c r="AV773" i="2"/>
  <c r="S773" i="16" s="1"/>
  <c r="AV774" i="2"/>
  <c r="S774" i="16" s="1"/>
  <c r="AV775" i="2"/>
  <c r="S775" i="16" s="1"/>
  <c r="AV776" i="2"/>
  <c r="S776" i="16" s="1"/>
  <c r="AV777" i="2"/>
  <c r="S777" i="16" s="1"/>
  <c r="AV778" i="2"/>
  <c r="S778" i="16" s="1"/>
  <c r="AV779" i="2"/>
  <c r="S779" i="16" s="1"/>
  <c r="AV780" i="2"/>
  <c r="S780" i="16" s="1"/>
  <c r="AV781" i="2"/>
  <c r="S781" i="16" s="1"/>
  <c r="AV782" i="2"/>
  <c r="S782" i="16" s="1"/>
  <c r="AV783" i="2"/>
  <c r="S783" i="16" s="1"/>
  <c r="AV784" i="2"/>
  <c r="S784" i="16" s="1"/>
  <c r="AV785" i="2"/>
  <c r="S785" i="16" s="1"/>
  <c r="AV786" i="2"/>
  <c r="S786" i="16" s="1"/>
  <c r="AV787" i="2"/>
  <c r="S787" i="16" s="1"/>
  <c r="AV788" i="2"/>
  <c r="S788" i="16" s="1"/>
  <c r="AV789" i="2"/>
  <c r="S789" i="16" s="1"/>
  <c r="AV790" i="2"/>
  <c r="S790" i="16" s="1"/>
  <c r="AV791" i="2"/>
  <c r="S791" i="16" s="1"/>
  <c r="AV792" i="2"/>
  <c r="S792" i="16" s="1"/>
  <c r="AV793" i="2"/>
  <c r="S793" i="16" s="1"/>
  <c r="AV794" i="2"/>
  <c r="S794" i="16" s="1"/>
  <c r="AV795" i="2"/>
  <c r="S795" i="16" s="1"/>
  <c r="AV796" i="2"/>
  <c r="S796" i="16" s="1"/>
  <c r="AV797" i="2"/>
  <c r="S797" i="16" s="1"/>
  <c r="AV798" i="2"/>
  <c r="S798" i="16" s="1"/>
  <c r="AV799" i="2"/>
  <c r="S799" i="16" s="1"/>
  <c r="AV800" i="2"/>
  <c r="S800" i="16" s="1"/>
  <c r="AV801" i="2"/>
  <c r="S801" i="16" s="1"/>
  <c r="AV802" i="2"/>
  <c r="S802" i="16" s="1"/>
  <c r="AV803" i="2"/>
  <c r="S803" i="16" s="1"/>
  <c r="AV804" i="2"/>
  <c r="S804" i="16" s="1"/>
  <c r="AV805" i="2"/>
  <c r="S805" i="16" s="1"/>
  <c r="AV806" i="2"/>
  <c r="S806" i="16" s="1"/>
  <c r="AV807" i="2"/>
  <c r="S807" i="16" s="1"/>
  <c r="AV808" i="2"/>
  <c r="S808" i="16" s="1"/>
  <c r="AV809" i="2"/>
  <c r="S809" i="16" s="1"/>
  <c r="AV810" i="2"/>
  <c r="S810" i="16" s="1"/>
  <c r="AV811" i="2"/>
  <c r="S811" i="16" s="1"/>
  <c r="AV812" i="2"/>
  <c r="S812" i="16" s="1"/>
  <c r="AV813" i="2"/>
  <c r="S813" i="16" s="1"/>
  <c r="AV814" i="2"/>
  <c r="S814" i="16" s="1"/>
  <c r="AV815" i="2"/>
  <c r="S815" i="16" s="1"/>
  <c r="AV816" i="2"/>
  <c r="S816" i="16" s="1"/>
  <c r="AV817" i="2"/>
  <c r="S817" i="16" s="1"/>
  <c r="AV818" i="2"/>
  <c r="S818" i="16" s="1"/>
  <c r="AV819" i="2"/>
  <c r="S819" i="16" s="1"/>
  <c r="AV820" i="2"/>
  <c r="S820" i="16" s="1"/>
  <c r="AV821" i="2"/>
  <c r="S821" i="16" s="1"/>
  <c r="AV822" i="2"/>
  <c r="S822" i="16" s="1"/>
  <c r="AV823" i="2"/>
  <c r="S823" i="16" s="1"/>
  <c r="AV824" i="2"/>
  <c r="S824" i="16" s="1"/>
  <c r="AV825" i="2"/>
  <c r="S825" i="16" s="1"/>
  <c r="AV826" i="2"/>
  <c r="S826" i="16" s="1"/>
  <c r="AV827" i="2"/>
  <c r="S827" i="16" s="1"/>
  <c r="AV828" i="2"/>
  <c r="S828" i="16" s="1"/>
  <c r="AV829" i="2"/>
  <c r="S829" i="16" s="1"/>
  <c r="AV830" i="2"/>
  <c r="S830" i="16" s="1"/>
  <c r="AV831" i="2"/>
  <c r="S831" i="16" s="1"/>
  <c r="AV832" i="2"/>
  <c r="S832" i="16" s="1"/>
  <c r="AV833" i="2"/>
  <c r="S833" i="16" s="1"/>
  <c r="AV834" i="2"/>
  <c r="S834" i="16" s="1"/>
  <c r="AV835" i="2"/>
  <c r="S835" i="16" s="1"/>
  <c r="AV836" i="2"/>
  <c r="S836" i="16" s="1"/>
  <c r="AV837" i="2"/>
  <c r="S837" i="16" s="1"/>
  <c r="AV838" i="2"/>
  <c r="S838" i="16" s="1"/>
  <c r="AV839" i="2"/>
  <c r="S839" i="16" s="1"/>
  <c r="AV840" i="2"/>
  <c r="S840" i="16" s="1"/>
  <c r="AV841" i="2"/>
  <c r="S841" i="16" s="1"/>
  <c r="AV842" i="2"/>
  <c r="S842" i="16" s="1"/>
  <c r="AV843" i="2"/>
  <c r="S843" i="16" s="1"/>
  <c r="AV844" i="2"/>
  <c r="S844" i="16" s="1"/>
  <c r="AV845" i="2"/>
  <c r="S845" i="16" s="1"/>
  <c r="AV846" i="2"/>
  <c r="S846" i="16" s="1"/>
  <c r="AV847" i="2"/>
  <c r="S847" i="16" s="1"/>
  <c r="AV848" i="2"/>
  <c r="S848" i="16" s="1"/>
  <c r="AV849" i="2"/>
  <c r="S849" i="16" s="1"/>
  <c r="AV850" i="2"/>
  <c r="S850" i="16" s="1"/>
  <c r="AV851" i="2"/>
  <c r="S851" i="16" s="1"/>
  <c r="AV852" i="2"/>
  <c r="S852" i="16" s="1"/>
  <c r="AV853" i="2"/>
  <c r="S853" i="16" s="1"/>
  <c r="AV854" i="2"/>
  <c r="S854" i="16" s="1"/>
  <c r="AV855" i="2"/>
  <c r="S855" i="16" s="1"/>
  <c r="AV856" i="2"/>
  <c r="S856" i="16" s="1"/>
  <c r="AV857" i="2"/>
  <c r="S857" i="16" s="1"/>
  <c r="AV858" i="2"/>
  <c r="S858" i="16" s="1"/>
  <c r="AV859" i="2"/>
  <c r="S859" i="16" s="1"/>
  <c r="AV860" i="2"/>
  <c r="S860" i="16" s="1"/>
  <c r="AV861" i="2"/>
  <c r="S861" i="16" s="1"/>
  <c r="AV862" i="2"/>
  <c r="S862" i="16" s="1"/>
  <c r="AV863" i="2"/>
  <c r="S863" i="16" s="1"/>
  <c r="AV864" i="2"/>
  <c r="S864" i="16" s="1"/>
  <c r="AV865" i="2"/>
  <c r="S865" i="16" s="1"/>
  <c r="AV866" i="2"/>
  <c r="S866" i="16" s="1"/>
  <c r="AV867" i="2"/>
  <c r="S867" i="16" s="1"/>
  <c r="AV868" i="2"/>
  <c r="S868" i="16" s="1"/>
  <c r="AV869" i="2"/>
  <c r="S869" i="16" s="1"/>
  <c r="AV870" i="2"/>
  <c r="S870" i="16" s="1"/>
  <c r="AV871" i="2"/>
  <c r="S871" i="16" s="1"/>
  <c r="AV872" i="2"/>
  <c r="S872" i="16" s="1"/>
  <c r="AV873" i="2"/>
  <c r="S873" i="16" s="1"/>
  <c r="AV874" i="2"/>
  <c r="S874" i="16" s="1"/>
  <c r="AV875" i="2"/>
  <c r="S875" i="16" s="1"/>
  <c r="AV876" i="2"/>
  <c r="S876" i="16" s="1"/>
  <c r="AV877" i="2"/>
  <c r="S877" i="16" s="1"/>
  <c r="AV878" i="2"/>
  <c r="S878" i="16" s="1"/>
  <c r="AV879" i="2"/>
  <c r="S879" i="16" s="1"/>
  <c r="AV880" i="2"/>
  <c r="S880" i="16" s="1"/>
  <c r="AV881" i="2"/>
  <c r="S881" i="16" s="1"/>
  <c r="AV882" i="2"/>
  <c r="S882" i="16" s="1"/>
  <c r="AV883" i="2"/>
  <c r="S883" i="16" s="1"/>
  <c r="AV884" i="2"/>
  <c r="S884" i="16" s="1"/>
  <c r="AV885" i="2"/>
  <c r="S885" i="16" s="1"/>
  <c r="AV886" i="2"/>
  <c r="S886" i="16" s="1"/>
  <c r="AV887" i="2"/>
  <c r="S887" i="16" s="1"/>
  <c r="AV888" i="2"/>
  <c r="S888" i="16" s="1"/>
  <c r="AV889" i="2"/>
  <c r="S889" i="16" s="1"/>
  <c r="AV890" i="2"/>
  <c r="S890" i="16" s="1"/>
  <c r="AV891" i="2"/>
  <c r="S891" i="16" s="1"/>
  <c r="AV892" i="2"/>
  <c r="S892" i="16" s="1"/>
  <c r="AV893" i="2"/>
  <c r="S893" i="16" s="1"/>
  <c r="AV894" i="2"/>
  <c r="S894" i="16" s="1"/>
  <c r="AV895" i="2"/>
  <c r="S895" i="16" s="1"/>
  <c r="AV896" i="2"/>
  <c r="S896" i="16" s="1"/>
  <c r="AV897" i="2"/>
  <c r="S897" i="16" s="1"/>
  <c r="AV898" i="2"/>
  <c r="S898" i="16" s="1"/>
  <c r="AV899" i="2"/>
  <c r="S899" i="16" s="1"/>
  <c r="AV900" i="2"/>
  <c r="S900" i="16" s="1"/>
  <c r="AV901" i="2"/>
  <c r="S901" i="16" s="1"/>
  <c r="AV902" i="2"/>
  <c r="S902" i="16" s="1"/>
  <c r="AV903" i="2"/>
  <c r="S903" i="16" s="1"/>
  <c r="AV904" i="2"/>
  <c r="S904" i="16" s="1"/>
  <c r="AV905" i="2"/>
  <c r="S905" i="16" s="1"/>
  <c r="AV906" i="2"/>
  <c r="S906" i="16" s="1"/>
  <c r="AV907" i="2"/>
  <c r="S907" i="16" s="1"/>
  <c r="AV908" i="2"/>
  <c r="S908" i="16" s="1"/>
  <c r="AV910" i="2"/>
  <c r="S910" i="16" s="1"/>
  <c r="AV911" i="2"/>
  <c r="S911" i="16" s="1"/>
  <c r="AV912" i="2"/>
  <c r="S912" i="16" s="1"/>
  <c r="AV913" i="2"/>
  <c r="S913" i="16" s="1"/>
  <c r="AV914" i="2"/>
  <c r="S914" i="16" s="1"/>
  <c r="AV915" i="2"/>
  <c r="S915" i="16" s="1"/>
  <c r="AV916" i="2"/>
  <c r="S916" i="16" s="1"/>
  <c r="AV917" i="2"/>
  <c r="S917" i="16" s="1"/>
  <c r="AV918" i="2"/>
  <c r="S918" i="16" s="1"/>
  <c r="AV919" i="2"/>
  <c r="S919" i="16" s="1"/>
  <c r="AV920" i="2"/>
  <c r="S920" i="16" s="1"/>
  <c r="AV921" i="2"/>
  <c r="S921" i="16" s="1"/>
  <c r="AV922" i="2"/>
  <c r="S922" i="16" s="1"/>
  <c r="AV923" i="2"/>
  <c r="S923" i="16" s="1"/>
  <c r="AV924" i="2"/>
  <c r="S924" i="16" s="1"/>
  <c r="AV925" i="2"/>
  <c r="S925" i="16" s="1"/>
  <c r="AV926" i="2"/>
  <c r="S926" i="16" s="1"/>
  <c r="AV927" i="2"/>
  <c r="S927" i="16" s="1"/>
  <c r="AV928" i="2"/>
  <c r="S928" i="16" s="1"/>
  <c r="AV929" i="2"/>
  <c r="S929" i="16" s="1"/>
  <c r="AV930" i="2"/>
  <c r="S930" i="16" s="1"/>
  <c r="AV931" i="2"/>
  <c r="S931" i="16" s="1"/>
  <c r="AV932" i="2"/>
  <c r="S932" i="16" s="1"/>
  <c r="AV933" i="2"/>
  <c r="S933" i="16" s="1"/>
  <c r="AV934" i="2"/>
  <c r="S934" i="16" s="1"/>
  <c r="AV935" i="2"/>
  <c r="S935" i="16" s="1"/>
  <c r="AV936" i="2"/>
  <c r="S936" i="16" s="1"/>
  <c r="AV937" i="2"/>
  <c r="S937" i="16" s="1"/>
  <c r="AV938" i="2"/>
  <c r="S938" i="16" s="1"/>
  <c r="AV939" i="2"/>
  <c r="S939" i="16" s="1"/>
  <c r="AV940" i="2"/>
  <c r="S940" i="16" s="1"/>
  <c r="AV941" i="2"/>
  <c r="S941" i="16" s="1"/>
  <c r="AV942" i="2"/>
  <c r="S942" i="16" s="1"/>
  <c r="AV943" i="2"/>
  <c r="S943" i="16" s="1"/>
  <c r="AV944" i="2"/>
  <c r="S944" i="16" s="1"/>
  <c r="AV945" i="2"/>
  <c r="S945" i="16" s="1"/>
  <c r="AV946" i="2"/>
  <c r="S946" i="16" s="1"/>
  <c r="AV947" i="2"/>
  <c r="S947" i="16" s="1"/>
  <c r="AV948" i="2"/>
  <c r="S948" i="16" s="1"/>
  <c r="AV949" i="2"/>
  <c r="S949" i="16" s="1"/>
  <c r="AV950" i="2"/>
  <c r="S950" i="16" s="1"/>
  <c r="AV951" i="2"/>
  <c r="S951" i="16" s="1"/>
  <c r="AV952" i="2"/>
  <c r="S952" i="16" s="1"/>
  <c r="AV953" i="2"/>
  <c r="S953" i="16" s="1"/>
  <c r="AV954" i="2"/>
  <c r="S954" i="16" s="1"/>
  <c r="AV956" i="2"/>
  <c r="S956" i="16" s="1"/>
  <c r="AV957" i="2"/>
  <c r="S957" i="16" s="1"/>
  <c r="AV959" i="2"/>
  <c r="S959" i="16" s="1"/>
  <c r="AV960" i="2"/>
  <c r="S960" i="16" s="1"/>
  <c r="AV962" i="2"/>
  <c r="S962" i="16" s="1"/>
  <c r="AV964" i="2"/>
  <c r="S964" i="16" s="1"/>
  <c r="AV966" i="2"/>
  <c r="S966" i="16" s="1"/>
  <c r="AV968" i="2"/>
  <c r="S968" i="16" s="1"/>
  <c r="AV969" i="2"/>
  <c r="S969" i="16" s="1"/>
  <c r="AV971" i="2"/>
  <c r="S971" i="16" s="1"/>
  <c r="AV973" i="2"/>
  <c r="S973" i="16" s="1"/>
  <c r="AV974" i="2"/>
  <c r="S974" i="16" s="1"/>
  <c r="AV975" i="2"/>
  <c r="S975" i="16" s="1"/>
  <c r="AV976" i="2"/>
  <c r="S976" i="16" s="1"/>
  <c r="AV977" i="2"/>
  <c r="S977" i="16" s="1"/>
  <c r="AV978" i="2"/>
  <c r="S978" i="16" s="1"/>
  <c r="AV979" i="2"/>
  <c r="S979" i="16" s="1"/>
  <c r="AV980" i="2"/>
  <c r="S980" i="16" s="1"/>
  <c r="AV981" i="2"/>
  <c r="S981" i="16" s="1"/>
  <c r="AV982" i="2"/>
  <c r="S982" i="16" s="1"/>
  <c r="AV983" i="2"/>
  <c r="S983" i="16" s="1"/>
  <c r="AV984" i="2"/>
  <c r="S984" i="16" s="1"/>
  <c r="AV985" i="2"/>
  <c r="S985" i="16" s="1"/>
  <c r="AV986" i="2"/>
  <c r="S986" i="16" s="1"/>
  <c r="AV987" i="2"/>
  <c r="S987" i="16" s="1"/>
  <c r="AV988" i="2"/>
  <c r="S988" i="16" s="1"/>
  <c r="AV989" i="2"/>
  <c r="S989" i="16" s="1"/>
  <c r="AV990" i="2"/>
  <c r="S990" i="16" s="1"/>
  <c r="AV991" i="2"/>
  <c r="S991" i="16" s="1"/>
  <c r="AV992" i="2"/>
  <c r="S992" i="16" s="1"/>
  <c r="AV993" i="2"/>
  <c r="S993" i="16" s="1"/>
  <c r="AV994" i="2"/>
  <c r="S994" i="16" s="1"/>
  <c r="AV995" i="2"/>
  <c r="S995" i="16" s="1"/>
  <c r="AV996" i="2"/>
  <c r="S996" i="16" s="1"/>
  <c r="AV997" i="2"/>
  <c r="S997" i="16" s="1"/>
  <c r="AV998" i="2"/>
  <c r="S998" i="16" s="1"/>
  <c r="AV999" i="2"/>
  <c r="S999" i="16" s="1"/>
  <c r="AV1000" i="2"/>
  <c r="S1000" i="16" s="1"/>
  <c r="AV1001" i="2"/>
  <c r="S1001" i="16" s="1"/>
  <c r="AV1002" i="2"/>
  <c r="S1002" i="16" s="1"/>
  <c r="AV1003" i="2"/>
  <c r="S1003" i="16" s="1"/>
  <c r="AV1004" i="2"/>
  <c r="S1004" i="16" s="1"/>
  <c r="AV1005" i="2"/>
  <c r="S1005" i="16" s="1"/>
  <c r="AV1006" i="2"/>
  <c r="S1006" i="16" s="1"/>
  <c r="AV1007" i="2"/>
  <c r="S1007" i="16" s="1"/>
  <c r="AV1008" i="2"/>
  <c r="S1008" i="16" s="1"/>
  <c r="AV1009" i="2"/>
  <c r="S1009" i="16" s="1"/>
  <c r="AV1010" i="2"/>
  <c r="S1010" i="16" s="1"/>
  <c r="AV1011" i="2"/>
  <c r="S1011" i="16" s="1"/>
  <c r="AV1012" i="2"/>
  <c r="S1012" i="16" s="1"/>
  <c r="AV1013" i="2"/>
  <c r="S1013" i="16" s="1"/>
  <c r="AV1014" i="2"/>
  <c r="S1014" i="16" s="1"/>
  <c r="AV1015" i="2"/>
  <c r="S1015" i="16" s="1"/>
  <c r="AV1016" i="2"/>
  <c r="S1016" i="16" s="1"/>
  <c r="AV1017" i="2"/>
  <c r="S1017" i="16" s="1"/>
  <c r="AV1018" i="2"/>
  <c r="S1018" i="16" s="1"/>
  <c r="AV1019" i="2"/>
  <c r="S1019" i="16" s="1"/>
  <c r="AV1020" i="2"/>
  <c r="S1020" i="16" s="1"/>
  <c r="AV1021" i="2"/>
  <c r="S1021" i="16" s="1"/>
  <c r="AV1022" i="2"/>
  <c r="S1022" i="16" s="1"/>
  <c r="AV1023" i="2"/>
  <c r="S1023" i="16" s="1"/>
  <c r="AV1024" i="2"/>
  <c r="S1024" i="16" s="1"/>
  <c r="AV1025" i="2"/>
  <c r="S1025" i="16" s="1"/>
  <c r="AV1026" i="2"/>
  <c r="S1026" i="16" s="1"/>
  <c r="AV1027" i="2"/>
  <c r="S1027" i="16" s="1"/>
  <c r="AV1028" i="2"/>
  <c r="S1028" i="16" s="1"/>
  <c r="AV1029" i="2"/>
  <c r="S1029" i="16" s="1"/>
  <c r="AV1030" i="2"/>
  <c r="S1030" i="16" s="1"/>
  <c r="AV1031" i="2"/>
  <c r="S1031" i="16" s="1"/>
  <c r="AV1032" i="2"/>
  <c r="S1032" i="16" s="1"/>
  <c r="AV1033" i="2"/>
  <c r="S1033" i="16" s="1"/>
  <c r="AV1034" i="2"/>
  <c r="S1034" i="16" s="1"/>
  <c r="AV1035" i="2"/>
  <c r="S1035" i="16" s="1"/>
  <c r="AV1036" i="2"/>
  <c r="S1036" i="16" s="1"/>
  <c r="AV1037" i="2"/>
  <c r="S1037" i="16" s="1"/>
  <c r="AV1038" i="2"/>
  <c r="S1038" i="16" s="1"/>
  <c r="AV1039" i="2"/>
  <c r="S1039" i="16" s="1"/>
  <c r="AV1040" i="2"/>
  <c r="S1040" i="16" s="1"/>
  <c r="AV1041" i="2"/>
  <c r="S1041" i="16" s="1"/>
  <c r="AV1042" i="2"/>
  <c r="S1042" i="16" s="1"/>
  <c r="AV1043" i="2"/>
  <c r="S1043" i="16" s="1"/>
  <c r="AV1044" i="2"/>
  <c r="S1044" i="16" s="1"/>
  <c r="AV1045" i="2"/>
  <c r="S1045" i="16" s="1"/>
  <c r="AV1046" i="2"/>
  <c r="S1046" i="16" s="1"/>
  <c r="AV1047" i="2"/>
  <c r="S1047" i="16" s="1"/>
  <c r="AV1048" i="2"/>
  <c r="S1048" i="16" s="1"/>
  <c r="AV1049" i="2"/>
  <c r="S1049" i="16" s="1"/>
  <c r="AV1050" i="2"/>
  <c r="S1050" i="16" s="1"/>
  <c r="AV1051" i="2"/>
  <c r="S1051" i="16" s="1"/>
  <c r="AV1052" i="2"/>
  <c r="S1052" i="16" s="1"/>
  <c r="AV1053" i="2"/>
  <c r="S1053" i="16" s="1"/>
  <c r="AV1054" i="2"/>
  <c r="S1054" i="16" s="1"/>
  <c r="AV1055" i="2"/>
  <c r="S1055" i="16" s="1"/>
  <c r="AV1056" i="2"/>
  <c r="S1056" i="16" s="1"/>
  <c r="AV1057" i="2"/>
  <c r="S1057" i="16" s="1"/>
  <c r="AV1058" i="2"/>
  <c r="S1058" i="16" s="1"/>
  <c r="AV1059" i="2"/>
  <c r="S1059" i="16" s="1"/>
  <c r="AV1060" i="2"/>
  <c r="S1060" i="16" s="1"/>
  <c r="AV1061" i="2"/>
  <c r="S1061" i="16" s="1"/>
  <c r="AV1062" i="2"/>
  <c r="S1062" i="16" s="1"/>
  <c r="AV1063" i="2"/>
  <c r="S1063" i="16" s="1"/>
  <c r="AV1064" i="2"/>
  <c r="S1064" i="16" s="1"/>
  <c r="AV1065" i="2"/>
  <c r="S1065" i="16" s="1"/>
  <c r="AV1066" i="2"/>
  <c r="S1066" i="16" s="1"/>
  <c r="P106" i="5"/>
  <c r="AV1067" i="2"/>
  <c r="S1067" i="16" s="1"/>
  <c r="AV1068" i="2"/>
  <c r="S1068" i="16" s="1"/>
  <c r="AV1069" i="2"/>
  <c r="S1069" i="16" s="1"/>
  <c r="AV1070" i="2"/>
  <c r="S1070" i="16" s="1"/>
  <c r="AV1071" i="2"/>
  <c r="S1071" i="16" s="1"/>
  <c r="AV1072" i="2"/>
  <c r="S1072" i="16" s="1"/>
  <c r="AV1073" i="2"/>
  <c r="S1073" i="16" s="1"/>
  <c r="AV1074" i="2"/>
  <c r="S1074" i="16" s="1"/>
  <c r="AV1075" i="2"/>
  <c r="S1075" i="16" s="1"/>
  <c r="AV1076" i="2"/>
  <c r="S1076" i="16" s="1"/>
  <c r="AV1077" i="2"/>
  <c r="S1077" i="16" s="1"/>
  <c r="AV1078" i="2"/>
  <c r="S1078" i="16" s="1"/>
  <c r="AV1079" i="2"/>
  <c r="S1079" i="16" s="1"/>
  <c r="AV1080" i="2"/>
  <c r="S1080" i="16" s="1"/>
  <c r="AV1081" i="2"/>
  <c r="S1081" i="16" s="1"/>
  <c r="AV1082" i="2"/>
  <c r="S1082" i="16" s="1"/>
  <c r="AV1083" i="2"/>
  <c r="S1083" i="16" s="1"/>
  <c r="AV1084" i="2"/>
  <c r="S1084" i="16" s="1"/>
  <c r="AV1085" i="2"/>
  <c r="S1085" i="16" s="1"/>
  <c r="AV1086" i="2"/>
  <c r="S1086" i="16" s="1"/>
  <c r="AV1087" i="2"/>
  <c r="S1087" i="16" s="1"/>
  <c r="AV1088" i="2"/>
  <c r="S1088" i="16" s="1"/>
  <c r="AV1089" i="2"/>
  <c r="S1089" i="16" s="1"/>
  <c r="AV1090" i="2"/>
  <c r="S1090" i="16" s="1"/>
  <c r="AV1091" i="2"/>
  <c r="S1091" i="16" s="1"/>
  <c r="AV1092" i="2"/>
  <c r="S1092" i="16" s="1"/>
  <c r="AV1093" i="2"/>
  <c r="S1093" i="16" s="1"/>
  <c r="AV1094" i="2"/>
  <c r="S1094" i="16" s="1"/>
  <c r="AV1095" i="2"/>
  <c r="S1095" i="16" s="1"/>
  <c r="AV1096" i="2"/>
  <c r="S1096" i="16" s="1"/>
  <c r="AV1097" i="2"/>
  <c r="S1097" i="16" s="1"/>
  <c r="AV1098" i="2"/>
  <c r="S1098" i="16" s="1"/>
  <c r="AV1099" i="2"/>
  <c r="S1099" i="16" s="1"/>
  <c r="AV1100" i="2"/>
  <c r="S1100" i="16" s="1"/>
  <c r="AV1101" i="2"/>
  <c r="S1101" i="16" s="1"/>
  <c r="AV1102" i="2"/>
  <c r="S1102" i="16" s="1"/>
  <c r="AV1103" i="2"/>
  <c r="AV1104" i="2"/>
  <c r="AV1105" i="2"/>
  <c r="AV1106" i="2"/>
  <c r="AV1107" i="2"/>
  <c r="AV1108" i="2"/>
  <c r="AV1109" i="2"/>
  <c r="AV1110" i="2"/>
  <c r="AV1111" i="2"/>
  <c r="S1111" i="16" s="1"/>
  <c r="AV1112" i="2"/>
  <c r="S1112" i="16" s="1"/>
  <c r="AV1113" i="2"/>
  <c r="S1113" i="16" s="1"/>
  <c r="AV1114" i="2"/>
  <c r="S1114" i="16" s="1"/>
  <c r="AV1115" i="2"/>
  <c r="S1115" i="16" s="1"/>
  <c r="AV1116" i="2"/>
  <c r="S1116" i="16" s="1"/>
  <c r="AV1117" i="2"/>
  <c r="S1117" i="16" s="1"/>
  <c r="AV1118" i="2"/>
  <c r="S1118" i="16" s="1"/>
  <c r="AV1119" i="2"/>
  <c r="S1119" i="16" s="1"/>
  <c r="AV1120" i="2"/>
  <c r="S1120" i="16" s="1"/>
  <c r="AV1121" i="2"/>
  <c r="S1121" i="16" s="1"/>
  <c r="AV1122" i="2"/>
  <c r="S1122" i="16" s="1"/>
  <c r="AV1123" i="2"/>
  <c r="S1123" i="16" s="1"/>
  <c r="AV1124" i="2"/>
  <c r="S1124" i="16" s="1"/>
  <c r="AV1125" i="2"/>
  <c r="S1125" i="16" s="1"/>
  <c r="AV1126" i="2"/>
  <c r="S1126" i="16" s="1"/>
  <c r="AV1127" i="2"/>
  <c r="S1127" i="16" s="1"/>
  <c r="AV1128" i="2"/>
  <c r="S1128" i="16" s="1"/>
  <c r="AV1129" i="2"/>
  <c r="S1129" i="16" s="1"/>
  <c r="AV1130" i="2"/>
  <c r="S1130" i="16" s="1"/>
  <c r="AV1131" i="2"/>
  <c r="S1131" i="16" s="1"/>
  <c r="AV1132" i="2"/>
  <c r="S1132" i="16" s="1"/>
  <c r="AV1133" i="2"/>
  <c r="S1133" i="16" s="1"/>
  <c r="AV1134" i="2"/>
  <c r="S1134" i="16" s="1"/>
  <c r="AV1135" i="2"/>
  <c r="S1135" i="16" s="1"/>
  <c r="AV1136" i="2"/>
  <c r="S1136" i="16" s="1"/>
  <c r="AV1137" i="2"/>
  <c r="S1137" i="16" s="1"/>
  <c r="AV1138" i="2"/>
  <c r="S1138" i="16" s="1"/>
  <c r="AV1139" i="2"/>
  <c r="S1139" i="16" s="1"/>
  <c r="AV1140" i="2"/>
  <c r="S1140" i="16" s="1"/>
  <c r="AV1141" i="2"/>
  <c r="S1141" i="16" s="1"/>
  <c r="AV1142" i="2"/>
  <c r="S1142" i="16" s="1"/>
  <c r="AV1143" i="2"/>
  <c r="S1143" i="16" s="1"/>
  <c r="AV1144" i="2"/>
  <c r="S1144" i="16" s="1"/>
  <c r="AV1145" i="2"/>
  <c r="S1145" i="16" s="1"/>
  <c r="AV1146" i="2"/>
  <c r="S1146" i="16" s="1"/>
  <c r="AV1147" i="2"/>
  <c r="S1147" i="16" s="1"/>
  <c r="AV1148" i="2"/>
  <c r="S1148" i="16" s="1"/>
  <c r="AV1149" i="2"/>
  <c r="S1149" i="16" s="1"/>
  <c r="AV1150" i="2"/>
  <c r="S1150" i="16" s="1"/>
  <c r="AV1151" i="2"/>
  <c r="S1151" i="16" s="1"/>
  <c r="AV1152" i="2"/>
  <c r="S1152" i="16" s="1"/>
  <c r="AV1153" i="2"/>
  <c r="S1153" i="16" s="1"/>
  <c r="AV1154" i="2"/>
  <c r="S1154" i="16" s="1"/>
  <c r="AV1155" i="2"/>
  <c r="S1155" i="16" s="1"/>
  <c r="AV1156" i="2"/>
  <c r="S1156" i="16" s="1"/>
  <c r="AV1157" i="2"/>
  <c r="S1157" i="16" s="1"/>
  <c r="AV1158" i="2"/>
  <c r="S1158" i="16" s="1"/>
  <c r="AV1159" i="2"/>
  <c r="S1159" i="16" s="1"/>
  <c r="AV1160" i="2"/>
  <c r="S1160" i="16" s="1"/>
  <c r="AV1161" i="2"/>
  <c r="S1161" i="16" s="1"/>
  <c r="AV1162" i="2"/>
  <c r="S1162" i="16" s="1"/>
  <c r="AV1163" i="2"/>
  <c r="S1163" i="16" s="1"/>
  <c r="AV1164" i="2"/>
  <c r="S1164" i="16" s="1"/>
  <c r="AV1165" i="2"/>
  <c r="S1165" i="16" s="1"/>
  <c r="AV1166" i="2"/>
  <c r="S1166" i="16" s="1"/>
  <c r="AV1167" i="2"/>
  <c r="S1167" i="16" s="1"/>
  <c r="AV1168" i="2"/>
  <c r="S1168" i="16" s="1"/>
  <c r="AV1169" i="2"/>
  <c r="S1169" i="16" s="1"/>
  <c r="AV1170" i="2"/>
  <c r="S1170" i="16" s="1"/>
  <c r="AV1171" i="2"/>
  <c r="S1171" i="16" s="1"/>
  <c r="AV1172" i="2"/>
  <c r="S1172" i="16" s="1"/>
  <c r="AV1173" i="2"/>
  <c r="S1173" i="16" s="1"/>
  <c r="AV1174" i="2"/>
  <c r="S1174" i="16" s="1"/>
  <c r="AV1175" i="2"/>
  <c r="S1175" i="16" s="1"/>
  <c r="AV1176" i="2"/>
  <c r="S1176" i="16" s="1"/>
  <c r="AV1177" i="2"/>
  <c r="S1177" i="16" s="1"/>
  <c r="AV1178" i="2"/>
  <c r="S1178" i="16" s="1"/>
  <c r="AV1179" i="2"/>
  <c r="S1179" i="16" s="1"/>
  <c r="AV1180" i="2"/>
  <c r="S1180" i="16" s="1"/>
  <c r="AV1181" i="2"/>
  <c r="S1181" i="16" s="1"/>
  <c r="AV1182" i="2"/>
  <c r="S1182" i="16" s="1"/>
  <c r="AV1183" i="2"/>
  <c r="S1183" i="16" s="1"/>
  <c r="AV1184" i="2"/>
  <c r="S1184" i="16" s="1"/>
  <c r="AV1185" i="2"/>
  <c r="S1185" i="16" s="1"/>
  <c r="AV1186" i="2"/>
  <c r="S1186" i="16" s="1"/>
  <c r="AV1187" i="2"/>
  <c r="S1187" i="16" s="1"/>
  <c r="AV1188" i="2"/>
  <c r="S1188" i="16" s="1"/>
  <c r="AV1189" i="2"/>
  <c r="S1189" i="16" s="1"/>
  <c r="AV1190" i="2"/>
  <c r="S1190" i="16" s="1"/>
  <c r="AV1191" i="2"/>
  <c r="S1191" i="16" s="1"/>
  <c r="AV1192" i="2"/>
  <c r="S1192" i="16" s="1"/>
  <c r="AV1193" i="2"/>
  <c r="S1193" i="16" s="1"/>
  <c r="AV1194" i="2"/>
  <c r="S1194" i="16" s="1"/>
  <c r="AV1195" i="2"/>
  <c r="S1195" i="16" s="1"/>
  <c r="AV1196" i="2"/>
  <c r="S1196" i="16" s="1"/>
  <c r="AV1197" i="2"/>
  <c r="S1197" i="16" s="1"/>
  <c r="AV1198" i="2"/>
  <c r="S1198" i="16" s="1"/>
  <c r="AV1199" i="2"/>
  <c r="S1199" i="16" s="1"/>
  <c r="AV1200" i="2"/>
  <c r="S1200" i="16" s="1"/>
  <c r="AV1201" i="2"/>
  <c r="S1201" i="16" s="1"/>
  <c r="AV1202" i="2"/>
  <c r="S1202" i="16" s="1"/>
  <c r="AV1203" i="2"/>
  <c r="S1203" i="16" s="1"/>
  <c r="AV1204" i="2"/>
  <c r="S1204" i="16" s="1"/>
  <c r="AV1205" i="2"/>
  <c r="S1205" i="16" s="1"/>
  <c r="AV1206" i="2"/>
  <c r="S1206" i="16" s="1"/>
  <c r="AV1207" i="2"/>
  <c r="S1207" i="16" s="1"/>
  <c r="AV1208" i="2"/>
  <c r="S1208" i="16" s="1"/>
  <c r="AV1209" i="2"/>
  <c r="S1209" i="16" s="1"/>
  <c r="AV1210" i="2"/>
  <c r="S1210" i="16" s="1"/>
  <c r="AV1211" i="2"/>
  <c r="S1211" i="16" s="1"/>
  <c r="AV1212" i="2"/>
  <c r="S1212" i="16" s="1"/>
  <c r="AV1213" i="2"/>
  <c r="S1213" i="16" s="1"/>
  <c r="AV1214" i="2"/>
  <c r="S1214" i="16" s="1"/>
  <c r="AV1215" i="2"/>
  <c r="S1215" i="16" s="1"/>
  <c r="AV1216" i="2"/>
  <c r="S1216" i="16" s="1"/>
  <c r="AV1217" i="2"/>
  <c r="S1217" i="16" s="1"/>
  <c r="AV1218" i="2"/>
  <c r="S1218" i="16" s="1"/>
  <c r="AV1219" i="2"/>
  <c r="S1219" i="16" s="1"/>
  <c r="AV1220" i="2"/>
  <c r="S1220" i="16" s="1"/>
  <c r="AV1221" i="2"/>
  <c r="S1221" i="16" s="1"/>
  <c r="AV1222" i="2"/>
  <c r="S1222" i="16" s="1"/>
  <c r="AV1223" i="2"/>
  <c r="S1223" i="16" s="1"/>
  <c r="AV1224" i="2"/>
  <c r="S1224" i="16" s="1"/>
  <c r="AV1225" i="2"/>
  <c r="S1225" i="16" s="1"/>
  <c r="AV1226" i="2"/>
  <c r="S1226" i="16" s="1"/>
  <c r="AV1227" i="2"/>
  <c r="S1227" i="16" s="1"/>
  <c r="AV1228" i="2"/>
  <c r="S1228" i="16" s="1"/>
  <c r="AV1229" i="2"/>
  <c r="S1229" i="16" s="1"/>
  <c r="AV1230" i="2"/>
  <c r="S1230" i="16" s="1"/>
  <c r="AV1231" i="2"/>
  <c r="S1231" i="16" s="1"/>
  <c r="AV1232" i="2"/>
  <c r="S1232" i="16" s="1"/>
  <c r="AV1233" i="2"/>
  <c r="S1233" i="16" s="1"/>
  <c r="AV1234" i="2"/>
  <c r="S1234" i="16" s="1"/>
  <c r="AV1235" i="2"/>
  <c r="S1235" i="16" s="1"/>
  <c r="AV1236" i="2"/>
  <c r="S1236" i="16" s="1"/>
  <c r="AV1237" i="2"/>
  <c r="S1237" i="16" s="1"/>
  <c r="AV1238" i="2"/>
  <c r="S1238" i="16" s="1"/>
  <c r="AV1239" i="2"/>
  <c r="S1239" i="16" s="1"/>
  <c r="AV1240" i="2"/>
  <c r="S1240" i="16" s="1"/>
  <c r="AV1241" i="2"/>
  <c r="S1241" i="16" s="1"/>
  <c r="AV1242" i="2"/>
  <c r="S1242" i="16" s="1"/>
  <c r="AV1243" i="2"/>
  <c r="S1243" i="16" s="1"/>
  <c r="AV1244" i="2"/>
  <c r="S1244" i="16" s="1"/>
  <c r="AV1245" i="2"/>
  <c r="S1245" i="16" s="1"/>
  <c r="AV1246" i="2"/>
  <c r="S1246" i="16" s="1"/>
  <c r="AV1247" i="2"/>
  <c r="S1247" i="16" s="1"/>
  <c r="AV1248" i="2"/>
  <c r="S1248" i="16" s="1"/>
  <c r="AV1249" i="2"/>
  <c r="S1249" i="16" s="1"/>
  <c r="AV1250" i="2"/>
  <c r="S1250" i="16" s="1"/>
  <c r="AV1251" i="2"/>
  <c r="S1251" i="16" s="1"/>
  <c r="AV1252" i="2"/>
  <c r="S1252" i="16" s="1"/>
  <c r="AV1253" i="2"/>
  <c r="S1253" i="16" s="1"/>
  <c r="AV1254" i="2"/>
  <c r="S1254" i="16" s="1"/>
  <c r="AV1255" i="2"/>
  <c r="S1255" i="16" s="1"/>
  <c r="AV1256" i="2"/>
  <c r="S1256" i="16" s="1"/>
  <c r="AV1257" i="2"/>
  <c r="S1257" i="16" s="1"/>
  <c r="AV1258" i="2"/>
  <c r="S1258" i="16" s="1"/>
  <c r="AV1259" i="2"/>
  <c r="S1259" i="16" s="1"/>
  <c r="AV1260" i="2"/>
  <c r="S1260" i="16" s="1"/>
  <c r="AV1261" i="2"/>
  <c r="S1261" i="16" s="1"/>
  <c r="AV1262" i="2"/>
  <c r="S1262" i="16" s="1"/>
  <c r="AV1263" i="2"/>
  <c r="S1263" i="16" s="1"/>
  <c r="AV1264" i="2"/>
  <c r="S1264" i="16" s="1"/>
  <c r="AV1265" i="2"/>
  <c r="S1265" i="16" s="1"/>
  <c r="AV1266" i="2"/>
  <c r="S1266" i="16" s="1"/>
  <c r="AV1267" i="2"/>
  <c r="S1267" i="16" s="1"/>
  <c r="AV1268" i="2"/>
  <c r="S1268" i="16" s="1"/>
  <c r="AV1269" i="2"/>
  <c r="S1269" i="16" s="1"/>
  <c r="AV1270" i="2"/>
  <c r="S1270" i="16" s="1"/>
  <c r="AV1271" i="2"/>
  <c r="S1271" i="16" s="1"/>
  <c r="AV1272" i="2"/>
  <c r="S1272" i="16" s="1"/>
  <c r="AV1273" i="2"/>
  <c r="S1273" i="16" s="1"/>
  <c r="AV1274" i="2"/>
  <c r="S1274" i="16" s="1"/>
  <c r="AV1275" i="2"/>
  <c r="S1275" i="16" s="1"/>
  <c r="AV1276" i="2"/>
  <c r="S1276" i="16" s="1"/>
  <c r="AV1277" i="2"/>
  <c r="S1277" i="16" s="1"/>
  <c r="AV1278" i="2"/>
  <c r="S1278" i="16" s="1"/>
  <c r="AV1279" i="2"/>
  <c r="S1279" i="16" s="1"/>
  <c r="AV1280" i="2"/>
  <c r="S1280" i="16" s="1"/>
  <c r="AV1281" i="2"/>
  <c r="S1281" i="16" s="1"/>
  <c r="AV1282" i="2"/>
  <c r="S1282" i="16" s="1"/>
  <c r="AV1283" i="2"/>
  <c r="S1283" i="16" s="1"/>
  <c r="AV1284" i="2"/>
  <c r="S1284" i="16" s="1"/>
  <c r="AV1285" i="2"/>
  <c r="S1285" i="16" s="1"/>
  <c r="AV1286" i="2"/>
  <c r="S1286" i="16" s="1"/>
  <c r="AV1287" i="2"/>
  <c r="S1287" i="16" s="1"/>
  <c r="AV1288" i="2"/>
  <c r="S1288" i="16" s="1"/>
  <c r="AV1289" i="2"/>
  <c r="S1289" i="16" s="1"/>
  <c r="AV1290" i="2"/>
  <c r="S1290" i="16" s="1"/>
  <c r="AV1291" i="2"/>
  <c r="S1291" i="16" s="1"/>
  <c r="AV1292" i="2"/>
  <c r="S1292" i="16" s="1"/>
  <c r="AV1293" i="2"/>
  <c r="S1293" i="16" s="1"/>
  <c r="AV1294" i="2"/>
  <c r="S1294" i="16" s="1"/>
  <c r="AV1295" i="2"/>
  <c r="S1295" i="16" s="1"/>
  <c r="AV1296" i="2"/>
  <c r="S1296" i="16" s="1"/>
  <c r="AV1297" i="2"/>
  <c r="S1297" i="16" s="1"/>
  <c r="AV1298" i="2"/>
  <c r="S1298" i="16" s="1"/>
  <c r="AV1299" i="2"/>
  <c r="S1299" i="16" s="1"/>
  <c r="AV1300" i="2"/>
  <c r="S1300" i="16" s="1"/>
  <c r="AV1301" i="2"/>
  <c r="S1301" i="16" s="1"/>
  <c r="AV1302" i="2"/>
  <c r="S1302" i="16" s="1"/>
  <c r="AV1303" i="2"/>
  <c r="S1303" i="16" s="1"/>
  <c r="AV1304" i="2"/>
  <c r="S1304" i="16" s="1"/>
  <c r="AV1305" i="2"/>
  <c r="S1305" i="16" s="1"/>
  <c r="AV1306" i="2"/>
  <c r="S1306" i="16" s="1"/>
  <c r="AV1307" i="2"/>
  <c r="S1307" i="16" s="1"/>
  <c r="AV1308" i="2"/>
  <c r="S1308" i="16" s="1"/>
  <c r="AV1309" i="2"/>
  <c r="S1309" i="16" s="1"/>
  <c r="AV1310" i="2"/>
  <c r="S1310" i="16" s="1"/>
  <c r="AV1311" i="2"/>
  <c r="S1311" i="16" s="1"/>
  <c r="AV1312" i="2"/>
  <c r="S1312" i="16" s="1"/>
  <c r="AV1313" i="2"/>
  <c r="S1313" i="16" s="1"/>
  <c r="AV1314" i="2"/>
  <c r="S1314" i="16" s="1"/>
  <c r="AV1315" i="2"/>
  <c r="S1315" i="16" s="1"/>
  <c r="AV1316" i="2"/>
  <c r="S1316" i="16" s="1"/>
  <c r="AV1317" i="2"/>
  <c r="S1317" i="16" s="1"/>
  <c r="AV1318" i="2"/>
  <c r="S1318" i="16" s="1"/>
  <c r="AV1319" i="2"/>
  <c r="S1319" i="16" s="1"/>
  <c r="AV1320" i="2"/>
  <c r="S1320" i="16" s="1"/>
  <c r="AV1321" i="2"/>
  <c r="S1321" i="16" s="1"/>
  <c r="AV1322" i="2"/>
  <c r="S1322" i="16" s="1"/>
  <c r="AV1323" i="2"/>
  <c r="S1323" i="16" s="1"/>
  <c r="AV1324" i="2"/>
  <c r="S1324" i="16" s="1"/>
  <c r="AV1325" i="2"/>
  <c r="S1325" i="16" s="1"/>
  <c r="AV1326" i="2"/>
  <c r="S1326" i="16" s="1"/>
  <c r="AV1327" i="2"/>
  <c r="S1327" i="16" s="1"/>
  <c r="AV1328" i="2"/>
  <c r="S1328" i="16" s="1"/>
  <c r="AV1329" i="2"/>
  <c r="S1329" i="16" s="1"/>
  <c r="AV1330" i="2"/>
  <c r="S1330" i="16" s="1"/>
  <c r="AV1331" i="2"/>
  <c r="S1331" i="16" s="1"/>
  <c r="AV1332" i="2"/>
  <c r="S1332" i="16" s="1"/>
  <c r="AV1333" i="2"/>
  <c r="S1333" i="16" s="1"/>
  <c r="AV1334" i="2"/>
  <c r="S1334" i="16" s="1"/>
  <c r="AV1335" i="2"/>
  <c r="S1335" i="16" s="1"/>
  <c r="AV1336" i="2"/>
  <c r="S1336" i="16" s="1"/>
  <c r="AV1337" i="2"/>
  <c r="S1337" i="16" s="1"/>
  <c r="AV2" i="2"/>
  <c r="S2" i="16" s="1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AV909" i="2"/>
  <c r="S909" i="16" s="1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O1114" i="16"/>
  <c r="AG1115" i="2"/>
  <c r="B661" i="16"/>
  <c r="Z662" i="2"/>
  <c r="B685" i="16"/>
  <c r="Z686" i="2"/>
  <c r="B704" i="16"/>
  <c r="Z705" i="2"/>
  <c r="B708" i="16"/>
  <c r="Z709" i="2"/>
  <c r="B719" i="16"/>
  <c r="Z720" i="2"/>
  <c r="B726" i="16"/>
  <c r="Z727" i="2"/>
  <c r="B736" i="16"/>
  <c r="Z737" i="2"/>
  <c r="B784" i="16"/>
  <c r="Z785" i="2"/>
  <c r="B809" i="16"/>
  <c r="Z810" i="2"/>
  <c r="B830" i="16"/>
  <c r="Z831" i="2"/>
  <c r="B851" i="16"/>
  <c r="Z852" i="2"/>
  <c r="B890" i="16"/>
  <c r="Z891" i="2"/>
  <c r="B900" i="16"/>
  <c r="Z901" i="2"/>
  <c r="B991" i="16"/>
  <c r="Z992" i="2"/>
  <c r="B1020" i="16"/>
  <c r="Z1021" i="2"/>
  <c r="B1027" i="16"/>
  <c r="Z1028" i="2"/>
  <c r="B1064" i="16"/>
  <c r="Z1065" i="2"/>
  <c r="B1086" i="16"/>
  <c r="Z1087" i="2"/>
  <c r="B1114" i="16"/>
  <c r="Z1115" i="2"/>
  <c r="B1116" i="16"/>
  <c r="Z1117" i="2"/>
  <c r="B1161" i="16"/>
  <c r="Z1162" i="2"/>
  <c r="B1164" i="16"/>
  <c r="Z1165" i="2"/>
  <c r="B1177" i="16"/>
  <c r="Z1178" i="2"/>
  <c r="O133" i="5"/>
  <c r="AQ283" i="2" s="1"/>
  <c r="AQ1236" i="2"/>
  <c r="AS1236" i="2" s="1"/>
  <c r="AU1236" i="2" s="1"/>
  <c r="AQ1309" i="2"/>
  <c r="AS1309" i="2" s="1"/>
  <c r="AU1309" i="2" s="1"/>
  <c r="AQ1312" i="2"/>
  <c r="AS1312" i="2" s="1"/>
  <c r="AU1312" i="2" s="1"/>
  <c r="AQ1318" i="2"/>
  <c r="AS1318" i="2" s="1"/>
  <c r="AU1318" i="2" s="1"/>
  <c r="AQ1231" i="2"/>
  <c r="AS1231" i="2" s="1"/>
  <c r="AU1231" i="2" s="1"/>
  <c r="AQ1243" i="2"/>
  <c r="AS1243" i="2" s="1"/>
  <c r="AU1243" i="2" s="1"/>
  <c r="AQ1249" i="2"/>
  <c r="AS1249" i="2" s="1"/>
  <c r="AU1249" i="2" s="1"/>
  <c r="AQ1259" i="2"/>
  <c r="AS1259" i="2" s="1"/>
  <c r="AU1259" i="2" s="1"/>
  <c r="AQ1264" i="2"/>
  <c r="AS1264" i="2" s="1"/>
  <c r="AU1264" i="2" s="1"/>
  <c r="AQ1270" i="2"/>
  <c r="AS1270" i="2" s="1"/>
  <c r="AU1270" i="2" s="1"/>
  <c r="AQ1277" i="2"/>
  <c r="AS1277" i="2" s="1"/>
  <c r="AU1277" i="2" s="1"/>
  <c r="AQ1279" i="2"/>
  <c r="AS1279" i="2" s="1"/>
  <c r="AU1279" i="2" s="1"/>
  <c r="AQ1286" i="2"/>
  <c r="AS1286" i="2" s="1"/>
  <c r="AU1286" i="2" s="1"/>
  <c r="AQ1230" i="2"/>
  <c r="AS1230" i="2" s="1"/>
  <c r="AU1230" i="2" s="1"/>
  <c r="AQ1242" i="2"/>
  <c r="AS1242" i="2" s="1"/>
  <c r="AU1242" i="2" s="1"/>
  <c r="AQ1261" i="2"/>
  <c r="AS1261" i="2" s="1"/>
  <c r="AU1261" i="2" s="1"/>
  <c r="AQ1288" i="2"/>
  <c r="AS1288" i="2" s="1"/>
  <c r="AU1288" i="2" s="1"/>
  <c r="AQ1332" i="2"/>
  <c r="AS1332" i="2" s="1"/>
  <c r="AU1332" i="2" s="1"/>
  <c r="AQ1298" i="2"/>
  <c r="AS1298" i="2" s="1"/>
  <c r="AU1298" i="2" s="1"/>
  <c r="AQ1315" i="2"/>
  <c r="AS1315" i="2" s="1"/>
  <c r="AU1315" i="2" s="1"/>
  <c r="AQ1322" i="2"/>
  <c r="AS1322" i="2" s="1"/>
  <c r="AU1322" i="2" s="1"/>
  <c r="AQ1238" i="2"/>
  <c r="AS1238" i="2" s="1"/>
  <c r="AU1238" i="2" s="1"/>
  <c r="AQ1248" i="2"/>
  <c r="AS1248" i="2" s="1"/>
  <c r="AU1248" i="2" s="1"/>
  <c r="AQ1251" i="2"/>
  <c r="AS1251" i="2" s="1"/>
  <c r="AU1251" i="2" s="1"/>
  <c r="AQ1235" i="2"/>
  <c r="AS1235" i="2" s="1"/>
  <c r="AU1235" i="2" s="1"/>
  <c r="AQ1253" i="2"/>
  <c r="AS1253" i="2" s="1"/>
  <c r="AU1253" i="2" s="1"/>
  <c r="AQ1308" i="2"/>
  <c r="AS1308" i="2" s="1"/>
  <c r="AU1308" i="2" s="1"/>
  <c r="AQ1314" i="2"/>
  <c r="AS1314" i="2" s="1"/>
  <c r="AU1314" i="2" s="1"/>
  <c r="AQ1324" i="2"/>
  <c r="AS1324" i="2" s="1"/>
  <c r="AU1324" i="2" s="1"/>
  <c r="AQ1334" i="2"/>
  <c r="AS1334" i="2" s="1"/>
  <c r="AU1334" i="2" s="1"/>
  <c r="AQ1232" i="2"/>
  <c r="AS1232" i="2" s="1"/>
  <c r="AU1232" i="2" s="1"/>
  <c r="AQ1241" i="2"/>
  <c r="AS1241" i="2" s="1"/>
  <c r="AU1241" i="2" s="1"/>
  <c r="AQ1245" i="2"/>
  <c r="AS1245" i="2" s="1"/>
  <c r="AU1245" i="2" s="1"/>
  <c r="AQ1274" i="2"/>
  <c r="AS1274" i="2" s="1"/>
  <c r="AU1274" i="2" s="1"/>
  <c r="AQ1307" i="2"/>
  <c r="AS1307" i="2" s="1"/>
  <c r="AU1307" i="2" s="1"/>
  <c r="AQ1237" i="2"/>
  <c r="AS1237" i="2" s="1"/>
  <c r="AU1237" i="2" s="1"/>
  <c r="AQ1290" i="2"/>
  <c r="AS1290" i="2" s="1"/>
  <c r="AU1290" i="2" s="1"/>
  <c r="AQ1302" i="2"/>
  <c r="AS1302" i="2" s="1"/>
  <c r="AU1302" i="2" s="1"/>
  <c r="AQ1316" i="2"/>
  <c r="AS1316" i="2" s="1"/>
  <c r="AU1316" i="2" s="1"/>
  <c r="AQ1234" i="2"/>
  <c r="AS1234" i="2" s="1"/>
  <c r="AU1234" i="2" s="1"/>
  <c r="AQ1244" i="2"/>
  <c r="AS1244" i="2" s="1"/>
  <c r="AU1244" i="2" s="1"/>
  <c r="AQ1266" i="2"/>
  <c r="AS1266" i="2" s="1"/>
  <c r="AU1266" i="2" s="1"/>
  <c r="AQ1311" i="2"/>
  <c r="AS1311" i="2" s="1"/>
  <c r="AU1311" i="2" s="1"/>
  <c r="AQ1326" i="2"/>
  <c r="AS1326" i="2" s="1"/>
  <c r="AU1326" i="2" s="1"/>
  <c r="AQ1239" i="2"/>
  <c r="AS1239" i="2" s="1"/>
  <c r="AU1239" i="2" s="1"/>
  <c r="AQ1229" i="2"/>
  <c r="AS1229" i="2" s="1"/>
  <c r="AU1229" i="2" s="1"/>
  <c r="AQ1255" i="2"/>
  <c r="AS1255" i="2" s="1"/>
  <c r="AU1255" i="2" s="1"/>
  <c r="AQ1273" i="2"/>
  <c r="AS1273" i="2" s="1"/>
  <c r="AU1273" i="2" s="1"/>
  <c r="AQ1284" i="2"/>
  <c r="AS1284" i="2" s="1"/>
  <c r="AU1284" i="2" s="1"/>
  <c r="AQ1306" i="2"/>
  <c r="AS1306" i="2" s="1"/>
  <c r="AU1306" i="2" s="1"/>
  <c r="AQ1317" i="2"/>
  <c r="AS1317" i="2" s="1"/>
  <c r="AU1317" i="2" s="1"/>
  <c r="AQ1336" i="2"/>
  <c r="AS1336" i="2" s="1"/>
  <c r="AU1336" i="2" s="1"/>
  <c r="AQ1240" i="2"/>
  <c r="AS1240" i="2" s="1"/>
  <c r="AU1240" i="2" s="1"/>
  <c r="AQ1247" i="2"/>
  <c r="AS1247" i="2" s="1"/>
  <c r="AU1247" i="2" s="1"/>
  <c r="AQ1250" i="2"/>
  <c r="AS1250" i="2" s="1"/>
  <c r="AU1250" i="2" s="1"/>
  <c r="AQ1257" i="2"/>
  <c r="AS1257" i="2" s="1"/>
  <c r="AU1257" i="2" s="1"/>
  <c r="AQ1294" i="2"/>
  <c r="AS1294" i="2" s="1"/>
  <c r="AU1294" i="2" s="1"/>
  <c r="AQ1328" i="2"/>
  <c r="AS1328" i="2" s="1"/>
  <c r="AU1328" i="2" s="1"/>
  <c r="AQ1246" i="2"/>
  <c r="AS1246" i="2" s="1"/>
  <c r="AU1246" i="2" s="1"/>
  <c r="AQ1252" i="2"/>
  <c r="AS1252" i="2" s="1"/>
  <c r="AU1252" i="2" s="1"/>
  <c r="AQ1268" i="2"/>
  <c r="AS1268" i="2" s="1"/>
  <c r="AU1268" i="2" s="1"/>
  <c r="AQ1330" i="2"/>
  <c r="AS1330" i="2" s="1"/>
  <c r="AU1330" i="2" s="1"/>
  <c r="AQ1233" i="2"/>
  <c r="AS1233" i="2" s="1"/>
  <c r="AU1233" i="2" s="1"/>
  <c r="AQ1333" i="2"/>
  <c r="AS1333" i="2" s="1"/>
  <c r="AU1333" i="2" s="1"/>
  <c r="AQ1278" i="2"/>
  <c r="AS1278" i="2" s="1"/>
  <c r="AU1278" i="2" s="1"/>
  <c r="AQ1275" i="2"/>
  <c r="AS1275" i="2" s="1"/>
  <c r="AU1275" i="2" s="1"/>
  <c r="AQ1265" i="2"/>
  <c r="AS1265" i="2" s="1"/>
  <c r="AU1265" i="2" s="1"/>
  <c r="AQ1283" i="2"/>
  <c r="AS1283" i="2" s="1"/>
  <c r="AU1283" i="2" s="1"/>
  <c r="AQ1276" i="2"/>
  <c r="AS1276" i="2" s="1"/>
  <c r="AU1276" i="2" s="1"/>
  <c r="AQ1263" i="2"/>
  <c r="AS1263" i="2" s="1"/>
  <c r="AU1263" i="2" s="1"/>
  <c r="AQ1327" i="2"/>
  <c r="AS1327" i="2" s="1"/>
  <c r="AU1327" i="2" s="1"/>
  <c r="AQ1281" i="2"/>
  <c r="AS1281" i="2" s="1"/>
  <c r="AU1281" i="2" s="1"/>
  <c r="AQ1299" i="2"/>
  <c r="AS1299" i="2" s="1"/>
  <c r="AU1299" i="2" s="1"/>
  <c r="AQ1325" i="2"/>
  <c r="AS1325" i="2" s="1"/>
  <c r="AU1325" i="2" s="1"/>
  <c r="AQ1271" i="2"/>
  <c r="AS1271" i="2" s="1"/>
  <c r="AU1271" i="2" s="1"/>
  <c r="AQ1272" i="2"/>
  <c r="AS1272" i="2" s="1"/>
  <c r="AU1272" i="2" s="1"/>
  <c r="AQ1296" i="2"/>
  <c r="AS1296" i="2" s="1"/>
  <c r="AU1296" i="2" s="1"/>
  <c r="AQ1282" i="2"/>
  <c r="AS1282" i="2" s="1"/>
  <c r="AU1282" i="2" s="1"/>
  <c r="AQ1269" i="2"/>
  <c r="AS1269" i="2" s="1"/>
  <c r="AU1269" i="2" s="1"/>
  <c r="AQ1329" i="2"/>
  <c r="AS1329" i="2" s="1"/>
  <c r="AU1329" i="2" s="1"/>
  <c r="AQ1337" i="2"/>
  <c r="AS1337" i="2" s="1"/>
  <c r="AU1337" i="2" s="1"/>
  <c r="AQ1289" i="2"/>
  <c r="AS1289" i="2" s="1"/>
  <c r="AU1289" i="2" s="1"/>
  <c r="AQ1262" i="2"/>
  <c r="AS1262" i="2" s="1"/>
  <c r="AU1262" i="2" s="1"/>
  <c r="AQ1321" i="2"/>
  <c r="AS1321" i="2" s="1"/>
  <c r="AU1321" i="2" s="1"/>
  <c r="AQ1313" i="2"/>
  <c r="AS1313" i="2" s="1"/>
  <c r="AU1313" i="2" s="1"/>
  <c r="AQ1254" i="2"/>
  <c r="AS1254" i="2" s="1"/>
  <c r="AU1254" i="2" s="1"/>
  <c r="AQ1331" i="2"/>
  <c r="AS1331" i="2" s="1"/>
  <c r="AU1331" i="2" s="1"/>
  <c r="AQ1287" i="2"/>
  <c r="AS1287" i="2" s="1"/>
  <c r="AU1287" i="2" s="1"/>
  <c r="AQ1319" i="2"/>
  <c r="AS1319" i="2" s="1"/>
  <c r="AU1319" i="2" s="1"/>
  <c r="AQ1295" i="2"/>
  <c r="AS1295" i="2" s="1"/>
  <c r="AU1295" i="2" s="1"/>
  <c r="AQ1258" i="2"/>
  <c r="AS1258" i="2" s="1"/>
  <c r="AU1258" i="2" s="1"/>
  <c r="AQ1320" i="2"/>
  <c r="AS1320" i="2" s="1"/>
  <c r="AU1320" i="2" s="1"/>
  <c r="AQ1304" i="2"/>
  <c r="AS1304" i="2" s="1"/>
  <c r="AU1304" i="2" s="1"/>
  <c r="AQ1310" i="2"/>
  <c r="AS1310" i="2" s="1"/>
  <c r="AU1310" i="2" s="1"/>
  <c r="AQ1305" i="2"/>
  <c r="AS1305" i="2" s="1"/>
  <c r="AU1305" i="2" s="1"/>
  <c r="AQ1335" i="2"/>
  <c r="AS1335" i="2" s="1"/>
  <c r="AU1335" i="2" s="1"/>
  <c r="AQ1297" i="2"/>
  <c r="AS1297" i="2" s="1"/>
  <c r="AU1297" i="2" s="1"/>
  <c r="AQ1285" i="2"/>
  <c r="AS1285" i="2" s="1"/>
  <c r="AU1285" i="2" s="1"/>
  <c r="AQ1292" i="2"/>
  <c r="AS1292" i="2" s="1"/>
  <c r="AU1292" i="2" s="1"/>
  <c r="AQ1300" i="2"/>
  <c r="AS1300" i="2" s="1"/>
  <c r="AU1300" i="2" s="1"/>
  <c r="AQ1291" i="2"/>
  <c r="AS1291" i="2" s="1"/>
  <c r="AU1291" i="2" s="1"/>
  <c r="AQ1267" i="2"/>
  <c r="AS1267" i="2" s="1"/>
  <c r="AU1267" i="2" s="1"/>
  <c r="AQ1293" i="2"/>
  <c r="AS1293" i="2" s="1"/>
  <c r="AU1293" i="2" s="1"/>
  <c r="AQ1323" i="2"/>
  <c r="AS1323" i="2" s="1"/>
  <c r="AU1323" i="2" s="1"/>
  <c r="AQ1260" i="2"/>
  <c r="AS1260" i="2" s="1"/>
  <c r="AU1260" i="2" s="1"/>
  <c r="AQ1280" i="2"/>
  <c r="AS1280" i="2" s="1"/>
  <c r="AU1280" i="2" s="1"/>
  <c r="AQ1256" i="2"/>
  <c r="AS1256" i="2" s="1"/>
  <c r="AU1256" i="2" s="1"/>
  <c r="AQ1301" i="2"/>
  <c r="AS1301" i="2" s="1"/>
  <c r="AU1301" i="2" s="1"/>
  <c r="AQ1303" i="2"/>
  <c r="AS1303" i="2" s="1"/>
  <c r="AU1303" i="2" s="1"/>
  <c r="O216" i="5"/>
  <c r="O142" i="5"/>
  <c r="AQ319" i="2" s="1"/>
  <c r="O191" i="5"/>
  <c r="O446" i="5"/>
  <c r="AQ1027" i="2" s="1"/>
  <c r="U1065" i="2"/>
  <c r="H1065" i="16" s="1"/>
  <c r="U705" i="2"/>
  <c r="H705" i="16" s="1"/>
  <c r="AG936" i="2"/>
  <c r="AG901" i="2"/>
  <c r="O884" i="16"/>
  <c r="AK884" i="2"/>
  <c r="AL884" i="2"/>
  <c r="AG852" i="2"/>
  <c r="AG785" i="2"/>
  <c r="O734" i="16"/>
  <c r="AK734" i="2"/>
  <c r="AL734" i="2"/>
  <c r="AG662" i="2"/>
  <c r="O662" i="16" s="1"/>
  <c r="AG645" i="2"/>
  <c r="A902" i="16"/>
  <c r="T903" i="2"/>
  <c r="A903" i="16" s="1"/>
  <c r="A1124" i="16"/>
  <c r="T1125" i="2"/>
  <c r="A1125" i="16" s="1"/>
  <c r="Z1146" i="2"/>
  <c r="Z996" i="2"/>
  <c r="Z928" i="2"/>
  <c r="Z655" i="2"/>
  <c r="O1016" i="16"/>
  <c r="AK1016" i="2"/>
  <c r="AL1016" i="2"/>
  <c r="O816" i="16"/>
  <c r="AL816" i="2"/>
  <c r="AK816" i="2"/>
  <c r="A865" i="16"/>
  <c r="T866" i="2"/>
  <c r="A1002" i="16"/>
  <c r="T1003" i="2"/>
  <c r="A1003" i="16" s="1"/>
  <c r="AG1123" i="2"/>
  <c r="O1123" i="16" s="1"/>
  <c r="AG1015" i="2"/>
  <c r="AG798" i="2"/>
  <c r="AG731" i="2"/>
  <c r="A602" i="16"/>
  <c r="T603" i="2"/>
  <c r="A603" i="16" s="1"/>
  <c r="O566" i="16"/>
  <c r="AK566" i="2"/>
  <c r="AL566" i="2"/>
  <c r="A936" i="16"/>
  <c r="T937" i="2"/>
  <c r="A937" i="16" s="1"/>
  <c r="U936" i="2"/>
  <c r="U901" i="2"/>
  <c r="H901" i="16" s="1"/>
  <c r="U852" i="2"/>
  <c r="H852" i="16" s="1"/>
  <c r="U785" i="2"/>
  <c r="H785" i="16" s="1"/>
  <c r="U662" i="2"/>
  <c r="H662" i="16" s="1"/>
  <c r="U645" i="2"/>
  <c r="H645" i="16" s="1"/>
  <c r="O896" i="16"/>
  <c r="AL896" i="2"/>
  <c r="AK896" i="2"/>
  <c r="A970" i="16"/>
  <c r="T971" i="2"/>
  <c r="U569" i="2"/>
  <c r="AG1087" i="2"/>
  <c r="AG810" i="2"/>
  <c r="AG727" i="2"/>
  <c r="AG709" i="2"/>
  <c r="A625" i="16"/>
  <c r="T626" i="2"/>
  <c r="A626" i="16" s="1"/>
  <c r="Z1127" i="2"/>
  <c r="Z990" i="2"/>
  <c r="Z937" i="2"/>
  <c r="Z572" i="2"/>
  <c r="U1123" i="2"/>
  <c r="U1015" i="2"/>
  <c r="H1015" i="16" s="1"/>
  <c r="U798" i="2"/>
  <c r="U731" i="2"/>
  <c r="H731" i="16" s="1"/>
  <c r="AG1146" i="2"/>
  <c r="AG996" i="2"/>
  <c r="AG928" i="2"/>
  <c r="O860" i="16"/>
  <c r="AL860" i="2"/>
  <c r="AK860" i="2"/>
  <c r="O760" i="16"/>
  <c r="AL760" i="2"/>
  <c r="AK760" i="2"/>
  <c r="AG655" i="2"/>
  <c r="Z569" i="2"/>
  <c r="U1178" i="2"/>
  <c r="H1178" i="16" s="1"/>
  <c r="U1165" i="2"/>
  <c r="H1165" i="16" s="1"/>
  <c r="U1056" i="2"/>
  <c r="H1056" i="16" s="1"/>
  <c r="U1028" i="2"/>
  <c r="U831" i="2"/>
  <c r="AG1065" i="2"/>
  <c r="A619" i="16"/>
  <c r="T620" i="2"/>
  <c r="A1028" i="16"/>
  <c r="T1029" i="2"/>
  <c r="A1029" i="16" s="1"/>
  <c r="Z1123" i="2"/>
  <c r="Z1015" i="2"/>
  <c r="Z798" i="2"/>
  <c r="Z731" i="2"/>
  <c r="O1050" i="16"/>
  <c r="AK1050" i="2"/>
  <c r="AL1050" i="2"/>
  <c r="A700" i="16"/>
  <c r="T701" i="2"/>
  <c r="A701" i="16" s="1"/>
  <c r="A739" i="16"/>
  <c r="T740" i="2"/>
  <c r="A740" i="16" s="1"/>
  <c r="Z678" i="2"/>
  <c r="A853" i="16"/>
  <c r="T854" i="2"/>
  <c r="A854" i="16" s="1"/>
  <c r="U1162" i="2"/>
  <c r="H1162" i="16" s="1"/>
  <c r="U1117" i="2"/>
  <c r="H1117" i="16" s="1"/>
  <c r="U891" i="2"/>
  <c r="AG1127" i="2"/>
  <c r="O1004" i="16"/>
  <c r="AK1004" i="2"/>
  <c r="AL1004" i="2"/>
  <c r="AG990" i="2"/>
  <c r="AG572" i="2"/>
  <c r="A766" i="16"/>
  <c r="T767" i="2"/>
  <c r="A767" i="16" s="1"/>
  <c r="A1011" i="16"/>
  <c r="T1012" i="2"/>
  <c r="A1012" i="16" s="1"/>
  <c r="A897" i="16"/>
  <c r="T898" i="2"/>
  <c r="A898" i="16" s="1"/>
  <c r="O921" i="16"/>
  <c r="AK921" i="2"/>
  <c r="AL921" i="2"/>
  <c r="O683" i="16"/>
  <c r="AK683" i="2"/>
  <c r="AL683" i="2"/>
  <c r="O532" i="16"/>
  <c r="AK532" i="2"/>
  <c r="AL532" i="2"/>
  <c r="O1072" i="16"/>
  <c r="AL1072" i="2"/>
  <c r="AK1072" i="2"/>
  <c r="O762" i="16"/>
  <c r="AK762" i="2"/>
  <c r="AL762" i="2"/>
  <c r="O827" i="16"/>
  <c r="AL827" i="2"/>
  <c r="AK827" i="2"/>
  <c r="O806" i="16"/>
  <c r="AL806" i="2"/>
  <c r="AK806" i="2"/>
  <c r="O992" i="16"/>
  <c r="AL992" i="2"/>
  <c r="AK992" i="2"/>
  <c r="O974" i="16"/>
  <c r="AK974" i="2"/>
  <c r="AL974" i="2"/>
  <c r="AL903" i="2"/>
  <c r="AK903" i="2"/>
  <c r="O243" i="5"/>
  <c r="O129" i="5"/>
  <c r="O419" i="5"/>
  <c r="U993" i="2"/>
  <c r="H993" i="16" s="1"/>
  <c r="U380" i="2"/>
  <c r="H380" i="16" s="1"/>
  <c r="AG904" i="2"/>
  <c r="U902" i="2"/>
  <c r="AG338" i="2"/>
  <c r="Z471" i="2"/>
  <c r="Z885" i="2"/>
  <c r="U904" i="2"/>
  <c r="H904" i="16" s="1"/>
  <c r="U163" i="2"/>
  <c r="H163" i="16" s="1"/>
  <c r="AG664" i="2"/>
  <c r="T394" i="2"/>
  <c r="A394" i="16" s="1"/>
  <c r="Z126" i="2"/>
  <c r="Z78" i="2"/>
  <c r="AQ78" i="2" s="1"/>
  <c r="Z765" i="2"/>
  <c r="Z64" i="2"/>
  <c r="AG765" i="2"/>
  <c r="Z828" i="2"/>
  <c r="Z597" i="2"/>
  <c r="U413" i="2"/>
  <c r="AG115" i="2"/>
  <c r="U804" i="2"/>
  <c r="H804" i="16" s="1"/>
  <c r="U131" i="2"/>
  <c r="AG320" i="2"/>
  <c r="AG180" i="2"/>
  <c r="Z963" i="2"/>
  <c r="Z699" i="2"/>
  <c r="AG400" i="2"/>
  <c r="AH400" i="2" s="1"/>
  <c r="P400" i="16" s="1"/>
  <c r="Z222" i="2"/>
  <c r="Z223" i="2" s="1"/>
  <c r="AQ223" i="2" s="1"/>
  <c r="AG804" i="2"/>
  <c r="U1051" i="2"/>
  <c r="H1051" i="16" s="1"/>
  <c r="U729" i="2"/>
  <c r="H729" i="16" s="1"/>
  <c r="AG902" i="2"/>
  <c r="AG756" i="2"/>
  <c r="AG248" i="2"/>
  <c r="AK248" i="2" s="1"/>
  <c r="U248" i="2"/>
  <c r="H248" i="16" s="1"/>
  <c r="AG984" i="2"/>
  <c r="AG738" i="2"/>
  <c r="Z650" i="2"/>
  <c r="U984" i="2"/>
  <c r="H984" i="16" s="1"/>
  <c r="U660" i="2"/>
  <c r="H660" i="16" s="1"/>
  <c r="AG471" i="2"/>
  <c r="AG380" i="2"/>
  <c r="AG271" i="2"/>
  <c r="U741" i="2"/>
  <c r="AG1073" i="2"/>
  <c r="AG763" i="2"/>
  <c r="AG733" i="2"/>
  <c r="AG718" i="2"/>
  <c r="AG284" i="2"/>
  <c r="AG163" i="2"/>
  <c r="U849" i="2"/>
  <c r="H849" i="16" s="1"/>
  <c r="U738" i="2"/>
  <c r="H738" i="16" s="1"/>
  <c r="AG81" i="2"/>
  <c r="Z796" i="2"/>
  <c r="Z607" i="2"/>
  <c r="Z263" i="2"/>
  <c r="Z248" i="2"/>
  <c r="Z217" i="2"/>
  <c r="Z203" i="2"/>
  <c r="Z176" i="2"/>
  <c r="Z163" i="2"/>
  <c r="U1154" i="2"/>
  <c r="H1154" i="16" s="1"/>
  <c r="U1005" i="2"/>
  <c r="H1005" i="16" s="1"/>
  <c r="U167" i="2"/>
  <c r="H167" i="16" s="1"/>
  <c r="AG963" i="2"/>
  <c r="AG729" i="2"/>
  <c r="U975" i="2"/>
  <c r="U765" i="2"/>
  <c r="H765" i="16" s="1"/>
  <c r="U507" i="2"/>
  <c r="H507" i="16" s="1"/>
  <c r="U320" i="2"/>
  <c r="H320" i="16" s="1"/>
  <c r="U733" i="2"/>
  <c r="H733" i="16" s="1"/>
  <c r="U718" i="2"/>
  <c r="H718" i="16" s="1"/>
  <c r="U273" i="2"/>
  <c r="H273" i="16" s="1"/>
  <c r="AG1051" i="2"/>
  <c r="AG741" i="2"/>
  <c r="AG103" i="2"/>
  <c r="U1073" i="2"/>
  <c r="H1073" i="16" s="1"/>
  <c r="U763" i="2"/>
  <c r="H763" i="16" s="1"/>
  <c r="U664" i="2"/>
  <c r="U471" i="2"/>
  <c r="H471" i="16" s="1"/>
  <c r="U400" i="2"/>
  <c r="AG993" i="2"/>
  <c r="AG849" i="2"/>
  <c r="Z1002" i="2"/>
  <c r="AQ1002" i="2" s="1"/>
  <c r="Z618" i="2"/>
  <c r="Z601" i="2"/>
  <c r="Z356" i="2"/>
  <c r="Z341" i="2"/>
  <c r="Z258" i="2"/>
  <c r="U607" i="2"/>
  <c r="H607" i="16" s="1"/>
  <c r="U469" i="2"/>
  <c r="U427" i="2"/>
  <c r="H427" i="16" s="1"/>
  <c r="AG975" i="2"/>
  <c r="AG507" i="2"/>
  <c r="AG273" i="2"/>
  <c r="AG131" i="2"/>
  <c r="O45" i="5"/>
  <c r="AQ120" i="2" s="1"/>
  <c r="O183" i="5"/>
  <c r="AQ392" i="2" s="1"/>
  <c r="O279" i="5"/>
  <c r="O405" i="5"/>
  <c r="Z676" i="2"/>
  <c r="Z469" i="2"/>
  <c r="Z427" i="2"/>
  <c r="Z320" i="2"/>
  <c r="Z230" i="2"/>
  <c r="A741" i="16"/>
  <c r="T742" i="2"/>
  <c r="Z783" i="2"/>
  <c r="Z738" i="2"/>
  <c r="Z393" i="2"/>
  <c r="Z380" i="2"/>
  <c r="Z338" i="2"/>
  <c r="U756" i="2"/>
  <c r="H756" i="16" s="1"/>
  <c r="U338" i="2"/>
  <c r="H338" i="16" s="1"/>
  <c r="U81" i="2"/>
  <c r="H81" i="16" s="1"/>
  <c r="AG277" i="2"/>
  <c r="AG263" i="2"/>
  <c r="AG146" i="2"/>
  <c r="AG660" i="2"/>
  <c r="AG607" i="2"/>
  <c r="AG469" i="2"/>
  <c r="AG427" i="2"/>
  <c r="Z1017" i="2"/>
  <c r="Z807" i="2"/>
  <c r="Z599" i="2"/>
  <c r="Z155" i="2"/>
  <c r="Z143" i="2"/>
  <c r="U707" i="2"/>
  <c r="H707" i="16" s="1"/>
  <c r="U639" i="2"/>
  <c r="U393" i="2"/>
  <c r="U284" i="2"/>
  <c r="U271" i="2"/>
  <c r="H271" i="16" s="1"/>
  <c r="U180" i="2"/>
  <c r="H180" i="16" s="1"/>
  <c r="U115" i="2"/>
  <c r="H115" i="16" s="1"/>
  <c r="U103" i="2"/>
  <c r="H103" i="16" s="1"/>
  <c r="AG1154" i="2"/>
  <c r="AG1005" i="2"/>
  <c r="AG413" i="2"/>
  <c r="O204" i="5"/>
  <c r="AQ468" i="2" s="1"/>
  <c r="AG167" i="2"/>
  <c r="U113" i="2"/>
  <c r="H113" i="16" s="1"/>
  <c r="AG707" i="2"/>
  <c r="AG639" i="2"/>
  <c r="AG393" i="2"/>
  <c r="AM393" i="2" s="1"/>
  <c r="Z759" i="2"/>
  <c r="Z680" i="2"/>
  <c r="Z385" i="2"/>
  <c r="Z358" i="2"/>
  <c r="Z295" i="2"/>
  <c r="O246" i="5"/>
  <c r="U790" i="2"/>
  <c r="U650" i="2"/>
  <c r="H650" i="16" s="1"/>
  <c r="U111" i="2"/>
  <c r="H111" i="16" s="1"/>
  <c r="U31" i="2"/>
  <c r="H31" i="16" s="1"/>
  <c r="AG113" i="2"/>
  <c r="S1103" i="16"/>
  <c r="S1104" i="16"/>
  <c r="S1105" i="16"/>
  <c r="S1106" i="16"/>
  <c r="S1107" i="16"/>
  <c r="S1108" i="16"/>
  <c r="S1109" i="16"/>
  <c r="S1110" i="16"/>
  <c r="Z741" i="2"/>
  <c r="B741" i="16" s="1"/>
  <c r="Z707" i="2"/>
  <c r="B707" i="16" s="1"/>
  <c r="Z643" i="2"/>
  <c r="B643" i="16" s="1"/>
  <c r="Z277" i="2"/>
  <c r="B277" i="16" s="1"/>
  <c r="Z111" i="2"/>
  <c r="B111" i="16" s="1"/>
  <c r="U963" i="2"/>
  <c r="U277" i="2"/>
  <c r="U263" i="2"/>
  <c r="H263" i="16" s="1"/>
  <c r="U146" i="2"/>
  <c r="H146" i="16" s="1"/>
  <c r="AG790" i="2"/>
  <c r="AG650" i="2"/>
  <c r="AG111" i="2"/>
  <c r="AG31" i="2"/>
  <c r="O118" i="5"/>
  <c r="O270" i="5"/>
  <c r="O396" i="5"/>
  <c r="O48" i="5"/>
  <c r="O30" i="5"/>
  <c r="O106" i="5"/>
  <c r="AQ229" i="2" s="1"/>
  <c r="O24" i="5"/>
  <c r="O249" i="5"/>
  <c r="O304" i="5"/>
  <c r="O158" i="5"/>
  <c r="AQ340" i="2" s="1"/>
  <c r="O195" i="5"/>
  <c r="W1122" i="2"/>
  <c r="K1122" i="16" s="1"/>
  <c r="X1122" i="2"/>
  <c r="L1122" i="16" s="1"/>
  <c r="W1062" i="2"/>
  <c r="K1062" i="16" s="1"/>
  <c r="X1062" i="2"/>
  <c r="L1062" i="16" s="1"/>
  <c r="W102" i="2"/>
  <c r="K102" i="16" s="1"/>
  <c r="X102" i="2"/>
  <c r="L102" i="16" s="1"/>
  <c r="W1085" i="2"/>
  <c r="K1085" i="16" s="1"/>
  <c r="X1085" i="2"/>
  <c r="L1085" i="16" s="1"/>
  <c r="W1073" i="2"/>
  <c r="K1073" i="16" s="1"/>
  <c r="X1073" i="2"/>
  <c r="L1073" i="16" s="1"/>
  <c r="W953" i="2"/>
  <c r="K953" i="16" s="1"/>
  <c r="X953" i="2"/>
  <c r="L953" i="16" s="1"/>
  <c r="W413" i="2"/>
  <c r="K413" i="16" s="1"/>
  <c r="X413" i="2"/>
  <c r="L413" i="16" s="1"/>
  <c r="W197" i="2"/>
  <c r="K197" i="16" s="1"/>
  <c r="X197" i="2"/>
  <c r="L197" i="16" s="1"/>
  <c r="W1048" i="2"/>
  <c r="K1048" i="16" s="1"/>
  <c r="X1048" i="2"/>
  <c r="L1048" i="16" s="1"/>
  <c r="W484" i="2"/>
  <c r="K484" i="16" s="1"/>
  <c r="X484" i="2"/>
  <c r="L484" i="16" s="1"/>
  <c r="W364" i="2"/>
  <c r="K364" i="16" s="1"/>
  <c r="X364" i="2"/>
  <c r="L364" i="16" s="1"/>
  <c r="W232" i="2"/>
  <c r="K232" i="16" s="1"/>
  <c r="X232" i="2"/>
  <c r="L232" i="16" s="1"/>
  <c r="W196" i="2"/>
  <c r="K196" i="16" s="1"/>
  <c r="X196" i="2"/>
  <c r="L196" i="16" s="1"/>
  <c r="W1047" i="2"/>
  <c r="K1047" i="16" s="1"/>
  <c r="X1047" i="2"/>
  <c r="L1047" i="16" s="1"/>
  <c r="W495" i="2"/>
  <c r="K495" i="16" s="1"/>
  <c r="X495" i="2"/>
  <c r="L495" i="16" s="1"/>
  <c r="W1118" i="2"/>
  <c r="K1118" i="16" s="1"/>
  <c r="X1118" i="2"/>
  <c r="L1118" i="16" s="1"/>
  <c r="W1046" i="2"/>
  <c r="K1046" i="16" s="1"/>
  <c r="X1046" i="2"/>
  <c r="L1046" i="16" s="1"/>
  <c r="W1010" i="2"/>
  <c r="K1010" i="16" s="1"/>
  <c r="X1010" i="2"/>
  <c r="L1010" i="16" s="1"/>
  <c r="W170" i="2"/>
  <c r="K170" i="16" s="1"/>
  <c r="X170" i="2"/>
  <c r="L170" i="16" s="1"/>
  <c r="W469" i="2"/>
  <c r="K469" i="16" s="1"/>
  <c r="X469" i="2"/>
  <c r="L469" i="16" s="1"/>
  <c r="W397" i="2"/>
  <c r="K397" i="16" s="1"/>
  <c r="X397" i="2"/>
  <c r="L397" i="16" s="1"/>
  <c r="W289" i="2"/>
  <c r="K289" i="16" s="1"/>
  <c r="X289" i="2"/>
  <c r="L289" i="16" s="1"/>
  <c r="W229" i="2"/>
  <c r="K229" i="16" s="1"/>
  <c r="X229" i="2"/>
  <c r="L229" i="16" s="1"/>
  <c r="W648" i="2"/>
  <c r="K648" i="16" s="1"/>
  <c r="X648" i="2"/>
  <c r="L648" i="16" s="1"/>
  <c r="W971" i="2"/>
  <c r="K971" i="16" s="1"/>
  <c r="X971" i="2"/>
  <c r="L971" i="16" s="1"/>
  <c r="W766" i="2"/>
  <c r="K766" i="16" s="1"/>
  <c r="X766" i="2"/>
  <c r="L766" i="16" s="1"/>
  <c r="W442" i="2"/>
  <c r="K442" i="16" s="1"/>
  <c r="X442" i="2"/>
  <c r="L442" i="16" s="1"/>
  <c r="W178" i="2"/>
  <c r="K178" i="16" s="1"/>
  <c r="X178" i="2"/>
  <c r="L178" i="16" s="1"/>
  <c r="W321" i="2"/>
  <c r="K321" i="16" s="1"/>
  <c r="X321" i="2"/>
  <c r="L321" i="16" s="1"/>
  <c r="W105" i="2"/>
  <c r="K105" i="16" s="1"/>
  <c r="X105" i="2"/>
  <c r="L105" i="16" s="1"/>
  <c r="W200" i="2"/>
  <c r="K200" i="16" s="1"/>
  <c r="X200" i="2"/>
  <c r="L200" i="16" s="1"/>
  <c r="W56" i="2"/>
  <c r="K56" i="16" s="1"/>
  <c r="X56" i="2"/>
  <c r="L56" i="16" s="1"/>
  <c r="W1039" i="2"/>
  <c r="K1039" i="16" s="1"/>
  <c r="X1039" i="2"/>
  <c r="L1039" i="16" s="1"/>
  <c r="W367" i="2"/>
  <c r="K367" i="16" s="1"/>
  <c r="X367" i="2"/>
  <c r="L367" i="16" s="1"/>
  <c r="O381" i="5"/>
  <c r="O198" i="5"/>
  <c r="O372" i="5"/>
  <c r="O362" i="5"/>
  <c r="O36" i="5"/>
  <c r="O51" i="5"/>
  <c r="O252" i="5"/>
  <c r="O347" i="5"/>
  <c r="O434" i="5"/>
  <c r="AQ1016" i="2" s="1"/>
  <c r="O21" i="5"/>
  <c r="O229" i="5"/>
  <c r="AQ532" i="2" s="1"/>
  <c r="O145" i="5"/>
  <c r="O322" i="5"/>
  <c r="O17" i="5"/>
  <c r="O213" i="5"/>
  <c r="O262" i="5"/>
  <c r="O390" i="5"/>
  <c r="O83" i="5"/>
  <c r="O276" i="5"/>
  <c r="O126" i="5"/>
  <c r="O298" i="5"/>
  <c r="AQ683" i="2" s="1"/>
  <c r="O108" i="5"/>
  <c r="O219" i="5"/>
  <c r="AQ506" i="2" s="1"/>
  <c r="AQ1214" i="2"/>
  <c r="AS1214" i="2" s="1"/>
  <c r="AU1214" i="2" s="1"/>
  <c r="AQ1227" i="2"/>
  <c r="AS1227" i="2" s="1"/>
  <c r="AU1227" i="2" s="1"/>
  <c r="AQ1222" i="2"/>
  <c r="AS1222" i="2" s="1"/>
  <c r="AU1222" i="2" s="1"/>
  <c r="AQ1218" i="2"/>
  <c r="AS1218" i="2" s="1"/>
  <c r="AU1218" i="2" s="1"/>
  <c r="AQ1223" i="2"/>
  <c r="AS1223" i="2" s="1"/>
  <c r="AU1223" i="2" s="1"/>
  <c r="AQ1226" i="2"/>
  <c r="AS1226" i="2" s="1"/>
  <c r="AU1226" i="2" s="1"/>
  <c r="AQ1217" i="2"/>
  <c r="AS1217" i="2" s="1"/>
  <c r="AU1217" i="2" s="1"/>
  <c r="AQ1228" i="2"/>
  <c r="AS1228" i="2" s="1"/>
  <c r="AU1228" i="2" s="1"/>
  <c r="AQ1225" i="2"/>
  <c r="AS1225" i="2" s="1"/>
  <c r="AU1225" i="2" s="1"/>
  <c r="AQ1224" i="2"/>
  <c r="AS1224" i="2" s="1"/>
  <c r="AU1224" i="2" s="1"/>
  <c r="AQ1221" i="2"/>
  <c r="AS1221" i="2" s="1"/>
  <c r="AU1221" i="2" s="1"/>
  <c r="AQ1215" i="2"/>
  <c r="AS1215" i="2" s="1"/>
  <c r="AU1215" i="2" s="1"/>
  <c r="AQ1220" i="2"/>
  <c r="AS1220" i="2" s="1"/>
  <c r="AU1220" i="2" s="1"/>
  <c r="AQ1219" i="2"/>
  <c r="AS1219" i="2" s="1"/>
  <c r="AU1219" i="2" s="1"/>
  <c r="AQ1213" i="2"/>
  <c r="AS1213" i="2" s="1"/>
  <c r="AU1213" i="2" s="1"/>
  <c r="AQ1212" i="2"/>
  <c r="AS1212" i="2" s="1"/>
  <c r="AU1212" i="2" s="1"/>
  <c r="AQ1216" i="2"/>
  <c r="AS1216" i="2" s="1"/>
  <c r="AU1216" i="2" s="1"/>
  <c r="AQ2" i="2"/>
  <c r="B1192" i="16"/>
  <c r="B1075" i="16"/>
  <c r="B722" i="16"/>
  <c r="Z723" i="2"/>
  <c r="AQ723" i="2" s="1"/>
  <c r="B614" i="16"/>
  <c r="B458" i="16"/>
  <c r="B349" i="16"/>
  <c r="B166" i="16"/>
  <c r="Z167" i="2"/>
  <c r="B120" i="16"/>
  <c r="Z121" i="2"/>
  <c r="AQ121" i="2" s="1"/>
  <c r="N729" i="16"/>
  <c r="N163" i="16"/>
  <c r="N111" i="16"/>
  <c r="B1190" i="16"/>
  <c r="B974" i="16"/>
  <c r="Z975" i="2"/>
  <c r="B941" i="16"/>
  <c r="Z897" i="2"/>
  <c r="AQ897" i="2" s="1"/>
  <c r="B611" i="16"/>
  <c r="Z567" i="2"/>
  <c r="B232" i="16"/>
  <c r="B179" i="16"/>
  <c r="Z180" i="2"/>
  <c r="B136" i="16"/>
  <c r="Z137" i="2"/>
  <c r="AQ137" i="2" s="1"/>
  <c r="N1051" i="16"/>
  <c r="N664" i="16"/>
  <c r="AF665" i="2"/>
  <c r="AF666" i="2" s="1"/>
  <c r="N31" i="16"/>
  <c r="B1150" i="16"/>
  <c r="B1072" i="16"/>
  <c r="Z1073" i="2"/>
  <c r="B1043" i="16"/>
  <c r="B955" i="16"/>
  <c r="B749" i="16"/>
  <c r="B548" i="16"/>
  <c r="B316" i="16"/>
  <c r="N817" i="16"/>
  <c r="AF818" i="2"/>
  <c r="N818" i="16" s="1"/>
  <c r="B1106" i="16"/>
  <c r="B894" i="16"/>
  <c r="Z895" i="2"/>
  <c r="B895" i="16" s="1"/>
  <c r="Z849" i="2"/>
  <c r="Z804" i="2"/>
  <c r="Z790" i="2"/>
  <c r="AQ790" i="2" s="1"/>
  <c r="Z763" i="2"/>
  <c r="B734" i="16"/>
  <c r="B688" i="16"/>
  <c r="B659" i="16"/>
  <c r="Z660" i="2"/>
  <c r="B300" i="16"/>
  <c r="N993" i="16"/>
  <c r="N680" i="16"/>
  <c r="N400" i="16"/>
  <c r="AF401" i="2"/>
  <c r="N320" i="16"/>
  <c r="N146" i="16"/>
  <c r="B1118" i="16"/>
  <c r="B1069" i="16"/>
  <c r="B1040" i="16"/>
  <c r="B969" i="16"/>
  <c r="B864" i="16"/>
  <c r="Z817" i="2"/>
  <c r="AQ817" i="2" s="1"/>
  <c r="B776" i="16"/>
  <c r="Z733" i="2"/>
  <c r="B717" i="16"/>
  <c r="Z718" i="2"/>
  <c r="B578" i="16"/>
  <c r="Z498" i="2"/>
  <c r="B485" i="16"/>
  <c r="B453" i="16"/>
  <c r="Z413" i="2"/>
  <c r="AQ413" i="2" s="1"/>
  <c r="Z400" i="2"/>
  <c r="AQ400" i="2" s="1"/>
  <c r="B272" i="16"/>
  <c r="Z273" i="2"/>
  <c r="N1005" i="16"/>
  <c r="N975" i="16"/>
  <c r="N660" i="16"/>
  <c r="N81" i="16"/>
  <c r="B1103" i="16"/>
  <c r="B1067" i="16"/>
  <c r="B1025" i="16"/>
  <c r="B909" i="16"/>
  <c r="Z910" i="2"/>
  <c r="B760" i="16"/>
  <c r="B671" i="16"/>
  <c r="B593" i="16"/>
  <c r="B529" i="16"/>
  <c r="B483" i="16"/>
  <c r="B270" i="16"/>
  <c r="Z271" i="2"/>
  <c r="B271" i="16" s="1"/>
  <c r="B160" i="16"/>
  <c r="B85" i="16"/>
  <c r="Z86" i="2"/>
  <c r="N1154" i="16"/>
  <c r="N756" i="16"/>
  <c r="AF742" i="2"/>
  <c r="AF743" i="2" s="1"/>
  <c r="AF744" i="2" s="1"/>
  <c r="N744" i="16" s="1"/>
  <c r="N707" i="16"/>
  <c r="N338" i="16"/>
  <c r="N273" i="16"/>
  <c r="N79" i="16"/>
  <c r="B1130" i="16"/>
  <c r="B1101" i="16"/>
  <c r="B966" i="16"/>
  <c r="B905" i="16"/>
  <c r="B860" i="16"/>
  <c r="B813" i="16"/>
  <c r="B623" i="16"/>
  <c r="Z624" i="2"/>
  <c r="AQ624" i="2" s="1"/>
  <c r="B512" i="16"/>
  <c r="B481" i="16"/>
  <c r="B97" i="16"/>
  <c r="Z98" i="2"/>
  <c r="N507" i="16"/>
  <c r="N380" i="16"/>
  <c r="N271" i="16"/>
  <c r="N209" i="16"/>
  <c r="Z1051" i="2"/>
  <c r="Z984" i="2"/>
  <c r="Z964" i="2"/>
  <c r="Z922" i="2"/>
  <c r="Z904" i="2"/>
  <c r="B904" i="16" s="1"/>
  <c r="Z684" i="2"/>
  <c r="B684" i="16" s="1"/>
  <c r="Z639" i="2"/>
  <c r="AQ639" i="2" s="1"/>
  <c r="B590" i="16"/>
  <c r="B478" i="16"/>
  <c r="B449" i="16"/>
  <c r="B283" i="16"/>
  <c r="Z284" i="2"/>
  <c r="B266" i="16"/>
  <c r="B253" i="16"/>
  <c r="B198" i="16"/>
  <c r="Z199" i="2"/>
  <c r="N922" i="16"/>
  <c r="N904" i="16"/>
  <c r="N471" i="16"/>
  <c r="N427" i="16"/>
  <c r="N413" i="16"/>
  <c r="AF414" i="2"/>
  <c r="N393" i="16"/>
  <c r="AF394" i="2"/>
  <c r="N222" i="16"/>
  <c r="AF223" i="2"/>
  <c r="N103" i="16"/>
  <c r="B1141" i="16"/>
  <c r="Z1142" i="2"/>
  <c r="B1095" i="16"/>
  <c r="B874" i="16"/>
  <c r="B728" i="16"/>
  <c r="Z729" i="2"/>
  <c r="B729" i="16" s="1"/>
  <c r="B325" i="16"/>
  <c r="B210" i="16"/>
  <c r="Z211" i="2"/>
  <c r="N1073" i="16"/>
  <c r="N902" i="16"/>
  <c r="N718" i="16"/>
  <c r="N469" i="16"/>
  <c r="N284" i="16"/>
  <c r="AF285" i="2"/>
  <c r="N138" i="16"/>
  <c r="AF139" i="2"/>
  <c r="N22" i="16"/>
  <c r="AF23" i="2"/>
  <c r="B980" i="16"/>
  <c r="B919" i="16"/>
  <c r="Z902" i="2"/>
  <c r="B755" i="16"/>
  <c r="Z756" i="2"/>
  <c r="B711" i="16"/>
  <c r="B681" i="16"/>
  <c r="Z682" i="2"/>
  <c r="B635" i="16"/>
  <c r="B432" i="16"/>
  <c r="Z394" i="2"/>
  <c r="B367" i="16"/>
  <c r="B280" i="16"/>
  <c r="Z209" i="2"/>
  <c r="N733" i="16"/>
  <c r="N167" i="16"/>
  <c r="B1155" i="16"/>
  <c r="B1092" i="16"/>
  <c r="B838" i="16"/>
  <c r="Z710" i="2"/>
  <c r="Z619" i="2"/>
  <c r="AQ619" i="2" s="1"/>
  <c r="B506" i="16"/>
  <c r="Z507" i="2"/>
  <c r="B507" i="16" s="1"/>
  <c r="B473" i="16"/>
  <c r="B445" i="16"/>
  <c r="B352" i="16"/>
  <c r="B321" i="16"/>
  <c r="B236" i="16"/>
  <c r="N963" i="16"/>
  <c r="AF964" i="2"/>
  <c r="N964" i="16" s="1"/>
  <c r="N619" i="16"/>
  <c r="N180" i="16"/>
  <c r="N115" i="16"/>
  <c r="Z1154" i="2"/>
  <c r="B1059" i="16"/>
  <c r="Z1005" i="2"/>
  <c r="Z993" i="2"/>
  <c r="B977" i="16"/>
  <c r="B870" i="16"/>
  <c r="B768" i="16"/>
  <c r="Z664" i="2"/>
  <c r="AQ664" i="2" s="1"/>
  <c r="B552" i="16"/>
  <c r="Z521" i="2"/>
  <c r="B521" i="16" s="1"/>
  <c r="B405" i="16"/>
  <c r="B364" i="16"/>
  <c r="N248" i="16"/>
  <c r="N131" i="16"/>
  <c r="AF132" i="2"/>
  <c r="N113" i="16"/>
  <c r="N34" i="16"/>
  <c r="J1202" i="16"/>
  <c r="AG1202" i="16" s="1"/>
  <c r="J1190" i="16"/>
  <c r="AG1190" i="16" s="1"/>
  <c r="J1178" i="16"/>
  <c r="AG1178" i="16" s="1"/>
  <c r="J1166" i="16"/>
  <c r="AG1166" i="16" s="1"/>
  <c r="J1154" i="16"/>
  <c r="AG1154" i="16" s="1"/>
  <c r="J1142" i="16"/>
  <c r="AG1142" i="16" s="1"/>
  <c r="J1130" i="16"/>
  <c r="AG1130" i="16" s="1"/>
  <c r="J1118" i="16"/>
  <c r="AG1118" i="16" s="1"/>
  <c r="J1106" i="16"/>
  <c r="AG1106" i="16" s="1"/>
  <c r="J1094" i="16"/>
  <c r="AG1094" i="16" s="1"/>
  <c r="J1082" i="16"/>
  <c r="AG1082" i="16" s="1"/>
  <c r="J1070" i="16"/>
  <c r="AG1070" i="16" s="1"/>
  <c r="J1058" i="16"/>
  <c r="AG1058" i="16" s="1"/>
  <c r="J1046" i="16"/>
  <c r="AG1046" i="16" s="1"/>
  <c r="J1034" i="16"/>
  <c r="AG1034" i="16" s="1"/>
  <c r="J1022" i="16"/>
  <c r="AG1022" i="16" s="1"/>
  <c r="J1010" i="16"/>
  <c r="AG1010" i="16" s="1"/>
  <c r="J998" i="16"/>
  <c r="AG998" i="16" s="1"/>
  <c r="J986" i="16"/>
  <c r="AG986" i="16" s="1"/>
  <c r="J974" i="16"/>
  <c r="AG974" i="16" s="1"/>
  <c r="J962" i="16"/>
  <c r="AG962" i="16" s="1"/>
  <c r="J950" i="16"/>
  <c r="AG950" i="16" s="1"/>
  <c r="J938" i="16"/>
  <c r="AG938" i="16" s="1"/>
  <c r="J926" i="16"/>
  <c r="AG926" i="16" s="1"/>
  <c r="J914" i="16"/>
  <c r="AG914" i="16" s="1"/>
  <c r="J902" i="16"/>
  <c r="AG902" i="16" s="1"/>
  <c r="J890" i="16"/>
  <c r="AG890" i="16" s="1"/>
  <c r="J878" i="16"/>
  <c r="AG878" i="16" s="1"/>
  <c r="J866" i="16"/>
  <c r="AG866" i="16" s="1"/>
  <c r="J854" i="16"/>
  <c r="AG854" i="16" s="1"/>
  <c r="J842" i="16"/>
  <c r="AG842" i="16" s="1"/>
  <c r="J830" i="16"/>
  <c r="AG830" i="16" s="1"/>
  <c r="J818" i="16"/>
  <c r="AG818" i="16" s="1"/>
  <c r="J806" i="16"/>
  <c r="AG806" i="16" s="1"/>
  <c r="J794" i="16"/>
  <c r="AG794" i="16" s="1"/>
  <c r="J782" i="16"/>
  <c r="AG782" i="16" s="1"/>
  <c r="J770" i="16"/>
  <c r="AG770" i="16" s="1"/>
  <c r="J758" i="16"/>
  <c r="AG758" i="16" s="1"/>
  <c r="J746" i="16"/>
  <c r="AG746" i="16" s="1"/>
  <c r="J734" i="16"/>
  <c r="AG734" i="16" s="1"/>
  <c r="J722" i="16"/>
  <c r="AG722" i="16" s="1"/>
  <c r="J710" i="16"/>
  <c r="AG710" i="16" s="1"/>
  <c r="J698" i="16"/>
  <c r="AG698" i="16" s="1"/>
  <c r="J686" i="16"/>
  <c r="AG686" i="16" s="1"/>
  <c r="J674" i="16"/>
  <c r="AG674" i="16" s="1"/>
  <c r="J662" i="16"/>
  <c r="AG662" i="16" s="1"/>
  <c r="J650" i="16"/>
  <c r="AG650" i="16" s="1"/>
  <c r="J638" i="16"/>
  <c r="AG638" i="16" s="1"/>
  <c r="J626" i="16"/>
  <c r="AG626" i="16" s="1"/>
  <c r="J614" i="16"/>
  <c r="AG614" i="16" s="1"/>
  <c r="J602" i="16"/>
  <c r="AG602" i="16" s="1"/>
  <c r="J590" i="16"/>
  <c r="AG590" i="16" s="1"/>
  <c r="J578" i="16"/>
  <c r="AG578" i="16" s="1"/>
  <c r="J566" i="16"/>
  <c r="AG566" i="16" s="1"/>
  <c r="J554" i="16"/>
  <c r="AG554" i="16" s="1"/>
  <c r="J542" i="16"/>
  <c r="AG542" i="16" s="1"/>
  <c r="J530" i="16"/>
  <c r="AG530" i="16" s="1"/>
  <c r="J518" i="16"/>
  <c r="AG518" i="16" s="1"/>
  <c r="J506" i="16"/>
  <c r="AG506" i="16" s="1"/>
  <c r="J494" i="16"/>
  <c r="AG494" i="16" s="1"/>
  <c r="J482" i="16"/>
  <c r="AG482" i="16" s="1"/>
  <c r="J470" i="16"/>
  <c r="AG470" i="16" s="1"/>
  <c r="J458" i="16"/>
  <c r="AG458" i="16" s="1"/>
  <c r="J446" i="16"/>
  <c r="AG446" i="16" s="1"/>
  <c r="J434" i="16"/>
  <c r="AG434" i="16" s="1"/>
  <c r="J422" i="16"/>
  <c r="AG422" i="16" s="1"/>
  <c r="J410" i="16"/>
  <c r="AG410" i="16" s="1"/>
  <c r="J398" i="16"/>
  <c r="AG398" i="16" s="1"/>
  <c r="J386" i="16"/>
  <c r="AG386" i="16" s="1"/>
  <c r="J374" i="16"/>
  <c r="AG374" i="16" s="1"/>
  <c r="J362" i="16"/>
  <c r="AG362" i="16" s="1"/>
  <c r="J350" i="16"/>
  <c r="AG350" i="16" s="1"/>
  <c r="J338" i="16"/>
  <c r="AG338" i="16" s="1"/>
  <c r="J326" i="16"/>
  <c r="AG326" i="16" s="1"/>
  <c r="J314" i="16"/>
  <c r="AG314" i="16" s="1"/>
  <c r="J302" i="16"/>
  <c r="AG302" i="16" s="1"/>
  <c r="J290" i="16"/>
  <c r="AG290" i="16" s="1"/>
  <c r="J278" i="16"/>
  <c r="AG278" i="16" s="1"/>
  <c r="J266" i="16"/>
  <c r="AG266" i="16" s="1"/>
  <c r="J254" i="16"/>
  <c r="AG254" i="16" s="1"/>
  <c r="J242" i="16"/>
  <c r="AG242" i="16" s="1"/>
  <c r="J230" i="16"/>
  <c r="AG230" i="16" s="1"/>
  <c r="J218" i="16"/>
  <c r="AG218" i="16" s="1"/>
  <c r="J206" i="16"/>
  <c r="AG206" i="16" s="1"/>
  <c r="J194" i="16"/>
  <c r="AG194" i="16" s="1"/>
  <c r="J182" i="16"/>
  <c r="AG182" i="16" s="1"/>
  <c r="J170" i="16"/>
  <c r="AG170" i="16" s="1"/>
  <c r="J158" i="16"/>
  <c r="AG158" i="16" s="1"/>
  <c r="J146" i="16"/>
  <c r="AG146" i="16" s="1"/>
  <c r="J134" i="16"/>
  <c r="AG134" i="16" s="1"/>
  <c r="J122" i="16"/>
  <c r="AG122" i="16" s="1"/>
  <c r="J110" i="16"/>
  <c r="AG110" i="16" s="1"/>
  <c r="J98" i="16"/>
  <c r="AG98" i="16" s="1"/>
  <c r="J86" i="16"/>
  <c r="AG86" i="16" s="1"/>
  <c r="J74" i="16"/>
  <c r="AG74" i="16" s="1"/>
  <c r="J62" i="16"/>
  <c r="AG62" i="16" s="1"/>
  <c r="J50" i="16"/>
  <c r="AG50" i="16" s="1"/>
  <c r="J38" i="16"/>
  <c r="AG38" i="16" s="1"/>
  <c r="J26" i="16"/>
  <c r="AG26" i="16" s="1"/>
  <c r="J14" i="16"/>
  <c r="AG14" i="16" s="1"/>
  <c r="U1104" i="2"/>
  <c r="H1104" i="16" s="1"/>
  <c r="H1103" i="16"/>
  <c r="U1070" i="2"/>
  <c r="H1070" i="16" s="1"/>
  <c r="H1069" i="16"/>
  <c r="U1041" i="2"/>
  <c r="H1041" i="16" s="1"/>
  <c r="H1040" i="16"/>
  <c r="U897" i="2"/>
  <c r="U853" i="2"/>
  <c r="U807" i="2"/>
  <c r="H807" i="16" s="1"/>
  <c r="U684" i="2"/>
  <c r="U643" i="2"/>
  <c r="H643" i="16" s="1"/>
  <c r="U597" i="2"/>
  <c r="H597" i="16" s="1"/>
  <c r="U567" i="2"/>
  <c r="H567" i="16" s="1"/>
  <c r="U406" i="2"/>
  <c r="H405" i="16"/>
  <c r="U365" i="2"/>
  <c r="H365" i="16" s="1"/>
  <c r="H364" i="16"/>
  <c r="U322" i="2"/>
  <c r="H321" i="16"/>
  <c r="U281" i="2"/>
  <c r="H281" i="16" s="1"/>
  <c r="H280" i="16"/>
  <c r="U267" i="2"/>
  <c r="H266" i="16"/>
  <c r="U254" i="2"/>
  <c r="H253" i="16"/>
  <c r="U176" i="2"/>
  <c r="U126" i="2"/>
  <c r="U64" i="2"/>
  <c r="H64" i="16" s="1"/>
  <c r="U52" i="2"/>
  <c r="H52" i="16" s="1"/>
  <c r="H51" i="16"/>
  <c r="AG897" i="2"/>
  <c r="AG807" i="2"/>
  <c r="AG684" i="2"/>
  <c r="AG643" i="2"/>
  <c r="AG597" i="2"/>
  <c r="AG567" i="2"/>
  <c r="AG176" i="2"/>
  <c r="AG126" i="2"/>
  <c r="AG64" i="2"/>
  <c r="N1203" i="16"/>
  <c r="N1188" i="16"/>
  <c r="N1163" i="16"/>
  <c r="N1135" i="16"/>
  <c r="N1121" i="16"/>
  <c r="N1108" i="16"/>
  <c r="N1088" i="16"/>
  <c r="N1057" i="16"/>
  <c r="N1045" i="16"/>
  <c r="N1030" i="16"/>
  <c r="N1016" i="16"/>
  <c r="N1003" i="16"/>
  <c r="N991" i="16"/>
  <c r="N944" i="16"/>
  <c r="N900" i="16"/>
  <c r="N873" i="16"/>
  <c r="N857" i="16"/>
  <c r="N840" i="16"/>
  <c r="N827" i="16"/>
  <c r="N810" i="16"/>
  <c r="N797" i="16"/>
  <c r="N784" i="16"/>
  <c r="N771" i="16"/>
  <c r="N716" i="16"/>
  <c r="N687" i="16"/>
  <c r="N646" i="16"/>
  <c r="N617" i="16"/>
  <c r="N600" i="16"/>
  <c r="N586" i="16"/>
  <c r="N571" i="16"/>
  <c r="N538" i="16"/>
  <c r="N493" i="16"/>
  <c r="N463" i="16"/>
  <c r="N448" i="16"/>
  <c r="N434" i="16"/>
  <c r="N421" i="16"/>
  <c r="N409" i="16"/>
  <c r="N395" i="16"/>
  <c r="N382" i="16"/>
  <c r="N370" i="16"/>
  <c r="N355" i="16"/>
  <c r="N340" i="16"/>
  <c r="N310" i="16"/>
  <c r="N296" i="16"/>
  <c r="N257" i="16"/>
  <c r="N229" i="16"/>
  <c r="N216" i="16"/>
  <c r="N204" i="16"/>
  <c r="N192" i="16"/>
  <c r="N154" i="16"/>
  <c r="N142" i="16"/>
  <c r="N129" i="16"/>
  <c r="N91" i="16"/>
  <c r="N67" i="16"/>
  <c r="N55" i="16"/>
  <c r="N41" i="16"/>
  <c r="N29" i="16"/>
  <c r="N17" i="16"/>
  <c r="N5" i="16"/>
  <c r="A131" i="16"/>
  <c r="T132" i="2"/>
  <c r="A22" i="16"/>
  <c r="T23" i="2"/>
  <c r="A23" i="16" s="1"/>
  <c r="B118" i="16"/>
  <c r="J1201" i="16"/>
  <c r="AG1201" i="16" s="1"/>
  <c r="J1189" i="16"/>
  <c r="AG1189" i="16" s="1"/>
  <c r="J1177" i="16"/>
  <c r="AG1177" i="16" s="1"/>
  <c r="J1165" i="16"/>
  <c r="AG1165" i="16" s="1"/>
  <c r="J1153" i="16"/>
  <c r="AG1153" i="16" s="1"/>
  <c r="J1141" i="16"/>
  <c r="AG1141" i="16" s="1"/>
  <c r="J1129" i="16"/>
  <c r="AG1129" i="16" s="1"/>
  <c r="J1117" i="16"/>
  <c r="AG1117" i="16" s="1"/>
  <c r="J1105" i="16"/>
  <c r="AG1105" i="16" s="1"/>
  <c r="J1093" i="16"/>
  <c r="AG1093" i="16" s="1"/>
  <c r="J1081" i="16"/>
  <c r="AG1081" i="16" s="1"/>
  <c r="J1069" i="16"/>
  <c r="AG1069" i="16" s="1"/>
  <c r="J1057" i="16"/>
  <c r="AG1057" i="16" s="1"/>
  <c r="J1045" i="16"/>
  <c r="AG1045" i="16" s="1"/>
  <c r="J1033" i="16"/>
  <c r="AG1033" i="16" s="1"/>
  <c r="J1021" i="16"/>
  <c r="AG1021" i="16" s="1"/>
  <c r="J1009" i="16"/>
  <c r="AG1009" i="16" s="1"/>
  <c r="J997" i="16"/>
  <c r="AG997" i="16" s="1"/>
  <c r="J985" i="16"/>
  <c r="AG985" i="16" s="1"/>
  <c r="J973" i="16"/>
  <c r="AG973" i="16" s="1"/>
  <c r="J961" i="16"/>
  <c r="AG961" i="16" s="1"/>
  <c r="J949" i="16"/>
  <c r="AG949" i="16" s="1"/>
  <c r="J937" i="16"/>
  <c r="AG937" i="16" s="1"/>
  <c r="J925" i="16"/>
  <c r="AG925" i="16" s="1"/>
  <c r="J913" i="16"/>
  <c r="AG913" i="16" s="1"/>
  <c r="J901" i="16"/>
  <c r="AG901" i="16" s="1"/>
  <c r="J889" i="16"/>
  <c r="AG889" i="16" s="1"/>
  <c r="J877" i="16"/>
  <c r="AG877" i="16" s="1"/>
  <c r="J865" i="16"/>
  <c r="AG865" i="16" s="1"/>
  <c r="J853" i="16"/>
  <c r="AG853" i="16" s="1"/>
  <c r="J841" i="16"/>
  <c r="AG841" i="16" s="1"/>
  <c r="J829" i="16"/>
  <c r="AG829" i="16" s="1"/>
  <c r="J817" i="16"/>
  <c r="AG817" i="16" s="1"/>
  <c r="J805" i="16"/>
  <c r="AG805" i="16" s="1"/>
  <c r="J793" i="16"/>
  <c r="AG793" i="16" s="1"/>
  <c r="J781" i="16"/>
  <c r="AG781" i="16" s="1"/>
  <c r="J769" i="16"/>
  <c r="AG769" i="16" s="1"/>
  <c r="J757" i="16"/>
  <c r="AG757" i="16" s="1"/>
  <c r="J745" i="16"/>
  <c r="AG745" i="16" s="1"/>
  <c r="J733" i="16"/>
  <c r="AG733" i="16" s="1"/>
  <c r="J721" i="16"/>
  <c r="AG721" i="16" s="1"/>
  <c r="J709" i="16"/>
  <c r="AG709" i="16" s="1"/>
  <c r="J697" i="16"/>
  <c r="AG697" i="16" s="1"/>
  <c r="J685" i="16"/>
  <c r="AG685" i="16" s="1"/>
  <c r="J673" i="16"/>
  <c r="AG673" i="16" s="1"/>
  <c r="J661" i="16"/>
  <c r="AG661" i="16" s="1"/>
  <c r="J649" i="16"/>
  <c r="AG649" i="16" s="1"/>
  <c r="J637" i="16"/>
  <c r="AG637" i="16" s="1"/>
  <c r="J625" i="16"/>
  <c r="AG625" i="16" s="1"/>
  <c r="J613" i="16"/>
  <c r="AG613" i="16" s="1"/>
  <c r="J601" i="16"/>
  <c r="AG601" i="16" s="1"/>
  <c r="J589" i="16"/>
  <c r="AG589" i="16" s="1"/>
  <c r="J577" i="16"/>
  <c r="AG577" i="16" s="1"/>
  <c r="J565" i="16"/>
  <c r="AG565" i="16" s="1"/>
  <c r="J553" i="16"/>
  <c r="AG553" i="16" s="1"/>
  <c r="J541" i="16"/>
  <c r="AG541" i="16" s="1"/>
  <c r="J529" i="16"/>
  <c r="AG529" i="16" s="1"/>
  <c r="J517" i="16"/>
  <c r="AG517" i="16" s="1"/>
  <c r="J505" i="16"/>
  <c r="AG505" i="16" s="1"/>
  <c r="J493" i="16"/>
  <c r="AG493" i="16" s="1"/>
  <c r="J481" i="16"/>
  <c r="AG481" i="16" s="1"/>
  <c r="J469" i="16"/>
  <c r="AG469" i="16" s="1"/>
  <c r="J457" i="16"/>
  <c r="AG457" i="16" s="1"/>
  <c r="J445" i="16"/>
  <c r="AG445" i="16" s="1"/>
  <c r="J433" i="16"/>
  <c r="AG433" i="16" s="1"/>
  <c r="J421" i="16"/>
  <c r="AG421" i="16" s="1"/>
  <c r="J409" i="16"/>
  <c r="AG409" i="16" s="1"/>
  <c r="J397" i="16"/>
  <c r="AG397" i="16" s="1"/>
  <c r="J385" i="16"/>
  <c r="AG385" i="16" s="1"/>
  <c r="J373" i="16"/>
  <c r="AG373" i="16" s="1"/>
  <c r="J361" i="16"/>
  <c r="AG361" i="16" s="1"/>
  <c r="J349" i="16"/>
  <c r="AG349" i="16" s="1"/>
  <c r="J337" i="16"/>
  <c r="AG337" i="16" s="1"/>
  <c r="J325" i="16"/>
  <c r="AG325" i="16" s="1"/>
  <c r="J313" i="16"/>
  <c r="AG313" i="16" s="1"/>
  <c r="J301" i="16"/>
  <c r="AG301" i="16" s="1"/>
  <c r="J289" i="16"/>
  <c r="AG289" i="16" s="1"/>
  <c r="J277" i="16"/>
  <c r="AG277" i="16" s="1"/>
  <c r="J265" i="16"/>
  <c r="AG265" i="16" s="1"/>
  <c r="J253" i="16"/>
  <c r="AG253" i="16" s="1"/>
  <c r="J241" i="16"/>
  <c r="AG241" i="16" s="1"/>
  <c r="J229" i="16"/>
  <c r="AG229" i="16" s="1"/>
  <c r="J217" i="16"/>
  <c r="AG217" i="16" s="1"/>
  <c r="J205" i="16"/>
  <c r="AG205" i="16" s="1"/>
  <c r="J193" i="16"/>
  <c r="AG193" i="16" s="1"/>
  <c r="J181" i="16"/>
  <c r="AG181" i="16" s="1"/>
  <c r="J169" i="16"/>
  <c r="AG169" i="16" s="1"/>
  <c r="J157" i="16"/>
  <c r="AG157" i="16" s="1"/>
  <c r="J145" i="16"/>
  <c r="AG145" i="16" s="1"/>
  <c r="J133" i="16"/>
  <c r="AG133" i="16" s="1"/>
  <c r="J121" i="16"/>
  <c r="AG121" i="16" s="1"/>
  <c r="J109" i="16"/>
  <c r="AG109" i="16" s="1"/>
  <c r="J97" i="16"/>
  <c r="AG97" i="16" s="1"/>
  <c r="J85" i="16"/>
  <c r="AG85" i="16" s="1"/>
  <c r="J73" i="16"/>
  <c r="AG73" i="16" s="1"/>
  <c r="J61" i="16"/>
  <c r="AG61" i="16" s="1"/>
  <c r="J49" i="16"/>
  <c r="AG49" i="16" s="1"/>
  <c r="J37" i="16"/>
  <c r="AG37" i="16" s="1"/>
  <c r="J25" i="16"/>
  <c r="AG25" i="16" s="1"/>
  <c r="J13" i="16"/>
  <c r="AG13" i="16" s="1"/>
  <c r="U1131" i="2"/>
  <c r="H1131" i="16" s="1"/>
  <c r="H1130" i="16"/>
  <c r="U1102" i="2"/>
  <c r="H1102" i="16" s="1"/>
  <c r="H1101" i="16"/>
  <c r="U1068" i="2"/>
  <c r="H1068" i="16" s="1"/>
  <c r="H1067" i="16"/>
  <c r="U1026" i="2"/>
  <c r="H1026" i="16" s="1"/>
  <c r="H1025" i="16"/>
  <c r="U970" i="2"/>
  <c r="H969" i="16"/>
  <c r="U766" i="2"/>
  <c r="U739" i="2"/>
  <c r="U712" i="2"/>
  <c r="H712" i="16" s="1"/>
  <c r="H711" i="16"/>
  <c r="U549" i="2"/>
  <c r="H549" i="16" s="1"/>
  <c r="H548" i="16"/>
  <c r="U459" i="2"/>
  <c r="H459" i="16" s="1"/>
  <c r="H458" i="16"/>
  <c r="U350" i="2"/>
  <c r="H350" i="16" s="1"/>
  <c r="H349" i="16"/>
  <c r="N1202" i="16"/>
  <c r="N1187" i="16"/>
  <c r="N1174" i="16"/>
  <c r="N1162" i="16"/>
  <c r="N1146" i="16"/>
  <c r="N1134" i="16"/>
  <c r="N1120" i="16"/>
  <c r="N1087" i="16"/>
  <c r="N1072" i="16"/>
  <c r="N1056" i="16"/>
  <c r="N1029" i="16"/>
  <c r="N1015" i="16"/>
  <c r="N1002" i="16"/>
  <c r="N990" i="16"/>
  <c r="N974" i="16"/>
  <c r="N957" i="16"/>
  <c r="N928" i="16"/>
  <c r="N914" i="16"/>
  <c r="N899" i="16"/>
  <c r="N885" i="16"/>
  <c r="N872" i="16"/>
  <c r="N856" i="16"/>
  <c r="N826" i="16"/>
  <c r="N809" i="16"/>
  <c r="N796" i="16"/>
  <c r="N783" i="16"/>
  <c r="N770" i="16"/>
  <c r="N755" i="16"/>
  <c r="N728" i="16"/>
  <c r="N715" i="16"/>
  <c r="N686" i="16"/>
  <c r="N659" i="16"/>
  <c r="N645" i="16"/>
  <c r="N629" i="16"/>
  <c r="N599" i="16"/>
  <c r="N585" i="16"/>
  <c r="N537" i="16"/>
  <c r="N521" i="16"/>
  <c r="N506" i="16"/>
  <c r="N492" i="16"/>
  <c r="N475" i="16"/>
  <c r="N462" i="16"/>
  <c r="N447" i="16"/>
  <c r="N420" i="16"/>
  <c r="N408" i="16"/>
  <c r="N381" i="16"/>
  <c r="N354" i="16"/>
  <c r="N339" i="16"/>
  <c r="N309" i="16"/>
  <c r="N295" i="16"/>
  <c r="N283" i="16"/>
  <c r="N270" i="16"/>
  <c r="N242" i="16"/>
  <c r="N228" i="16"/>
  <c r="N215" i="16"/>
  <c r="N203" i="16"/>
  <c r="N191" i="16"/>
  <c r="N179" i="16"/>
  <c r="N166" i="16"/>
  <c r="N153" i="16"/>
  <c r="N141" i="16"/>
  <c r="N128" i="16"/>
  <c r="N114" i="16"/>
  <c r="N102" i="16"/>
  <c r="N90" i="16"/>
  <c r="N78" i="16"/>
  <c r="N66" i="16"/>
  <c r="N54" i="16"/>
  <c r="N40" i="16"/>
  <c r="N28" i="16"/>
  <c r="N16" i="16"/>
  <c r="N4" i="16"/>
  <c r="A672" i="16"/>
  <c r="T673" i="2"/>
  <c r="A533" i="16"/>
  <c r="T534" i="2"/>
  <c r="B946" i="16"/>
  <c r="B842" i="16"/>
  <c r="B557" i="16"/>
  <c r="B540" i="16"/>
  <c r="B525" i="16"/>
  <c r="B509" i="16"/>
  <c r="B436" i="16"/>
  <c r="B397" i="16"/>
  <c r="B329" i="16"/>
  <c r="B312" i="16"/>
  <c r="B218" i="16"/>
  <c r="Z131" i="2"/>
  <c r="AQ131" i="2" s="1"/>
  <c r="Z81" i="2"/>
  <c r="Z31" i="2"/>
  <c r="J2" i="16"/>
  <c r="AG2" i="16" s="1"/>
  <c r="J1200" i="16"/>
  <c r="AG1200" i="16" s="1"/>
  <c r="J1188" i="16"/>
  <c r="AG1188" i="16" s="1"/>
  <c r="J1176" i="16"/>
  <c r="AG1176" i="16" s="1"/>
  <c r="J1164" i="16"/>
  <c r="AG1164" i="16" s="1"/>
  <c r="J1152" i="16"/>
  <c r="AG1152" i="16" s="1"/>
  <c r="J1140" i="16"/>
  <c r="AG1140" i="16" s="1"/>
  <c r="J1128" i="16"/>
  <c r="AG1128" i="16" s="1"/>
  <c r="J1116" i="16"/>
  <c r="AG1116" i="16" s="1"/>
  <c r="J1104" i="16"/>
  <c r="AG1104" i="16" s="1"/>
  <c r="J1092" i="16"/>
  <c r="AG1092" i="16" s="1"/>
  <c r="J1080" i="16"/>
  <c r="AG1080" i="16" s="1"/>
  <c r="J1068" i="16"/>
  <c r="AG1068" i="16" s="1"/>
  <c r="J1056" i="16"/>
  <c r="AG1056" i="16" s="1"/>
  <c r="J1044" i="16"/>
  <c r="AG1044" i="16" s="1"/>
  <c r="J1032" i="16"/>
  <c r="AG1032" i="16" s="1"/>
  <c r="J1020" i="16"/>
  <c r="AG1020" i="16" s="1"/>
  <c r="J1008" i="16"/>
  <c r="AG1008" i="16" s="1"/>
  <c r="J996" i="16"/>
  <c r="AG996" i="16" s="1"/>
  <c r="J984" i="16"/>
  <c r="AG984" i="16" s="1"/>
  <c r="J972" i="16"/>
  <c r="AG972" i="16" s="1"/>
  <c r="J960" i="16"/>
  <c r="AG960" i="16" s="1"/>
  <c r="J948" i="16"/>
  <c r="AG948" i="16" s="1"/>
  <c r="J936" i="16"/>
  <c r="AG936" i="16" s="1"/>
  <c r="J924" i="16"/>
  <c r="AG924" i="16" s="1"/>
  <c r="J912" i="16"/>
  <c r="AG912" i="16" s="1"/>
  <c r="J900" i="16"/>
  <c r="AG900" i="16" s="1"/>
  <c r="J888" i="16"/>
  <c r="AG888" i="16" s="1"/>
  <c r="J876" i="16"/>
  <c r="AG876" i="16" s="1"/>
  <c r="J864" i="16"/>
  <c r="AG864" i="16" s="1"/>
  <c r="J852" i="16"/>
  <c r="AG852" i="16" s="1"/>
  <c r="J840" i="16"/>
  <c r="AG840" i="16" s="1"/>
  <c r="J828" i="16"/>
  <c r="AG828" i="16" s="1"/>
  <c r="J816" i="16"/>
  <c r="AG816" i="16" s="1"/>
  <c r="J804" i="16"/>
  <c r="AG804" i="16" s="1"/>
  <c r="J792" i="16"/>
  <c r="AG792" i="16" s="1"/>
  <c r="J780" i="16"/>
  <c r="AG780" i="16" s="1"/>
  <c r="J768" i="16"/>
  <c r="AG768" i="16" s="1"/>
  <c r="J756" i="16"/>
  <c r="AG756" i="16" s="1"/>
  <c r="J744" i="16"/>
  <c r="AG744" i="16" s="1"/>
  <c r="J732" i="16"/>
  <c r="AG732" i="16" s="1"/>
  <c r="J720" i="16"/>
  <c r="AG720" i="16" s="1"/>
  <c r="J708" i="16"/>
  <c r="AG708" i="16" s="1"/>
  <c r="J696" i="16"/>
  <c r="AG696" i="16" s="1"/>
  <c r="J684" i="16"/>
  <c r="AG684" i="16" s="1"/>
  <c r="J672" i="16"/>
  <c r="AG672" i="16" s="1"/>
  <c r="J660" i="16"/>
  <c r="AG660" i="16" s="1"/>
  <c r="J648" i="16"/>
  <c r="AG648" i="16" s="1"/>
  <c r="J636" i="16"/>
  <c r="AG636" i="16" s="1"/>
  <c r="J624" i="16"/>
  <c r="AG624" i="16" s="1"/>
  <c r="J612" i="16"/>
  <c r="AG612" i="16" s="1"/>
  <c r="J600" i="16"/>
  <c r="AG600" i="16" s="1"/>
  <c r="J588" i="16"/>
  <c r="AG588" i="16" s="1"/>
  <c r="J576" i="16"/>
  <c r="AG576" i="16" s="1"/>
  <c r="J564" i="16"/>
  <c r="AG564" i="16" s="1"/>
  <c r="J552" i="16"/>
  <c r="AG552" i="16" s="1"/>
  <c r="J540" i="16"/>
  <c r="AG540" i="16" s="1"/>
  <c r="J528" i="16"/>
  <c r="AG528" i="16" s="1"/>
  <c r="J516" i="16"/>
  <c r="AG516" i="16" s="1"/>
  <c r="J504" i="16"/>
  <c r="AG504" i="16" s="1"/>
  <c r="J492" i="16"/>
  <c r="AG492" i="16" s="1"/>
  <c r="J480" i="16"/>
  <c r="AG480" i="16" s="1"/>
  <c r="J468" i="16"/>
  <c r="AG468" i="16" s="1"/>
  <c r="J456" i="16"/>
  <c r="AG456" i="16" s="1"/>
  <c r="J444" i="16"/>
  <c r="AG444" i="16" s="1"/>
  <c r="J432" i="16"/>
  <c r="AG432" i="16" s="1"/>
  <c r="J420" i="16"/>
  <c r="AG420" i="16" s="1"/>
  <c r="J408" i="16"/>
  <c r="AG408" i="16" s="1"/>
  <c r="J396" i="16"/>
  <c r="AG396" i="16" s="1"/>
  <c r="J384" i="16"/>
  <c r="AG384" i="16" s="1"/>
  <c r="J372" i="16"/>
  <c r="AG372" i="16" s="1"/>
  <c r="J360" i="16"/>
  <c r="AG360" i="16" s="1"/>
  <c r="J348" i="16"/>
  <c r="AG348" i="16" s="1"/>
  <c r="J336" i="16"/>
  <c r="AG336" i="16" s="1"/>
  <c r="J324" i="16"/>
  <c r="AG324" i="16" s="1"/>
  <c r="J312" i="16"/>
  <c r="AG312" i="16" s="1"/>
  <c r="J300" i="16"/>
  <c r="AG300" i="16" s="1"/>
  <c r="J288" i="16"/>
  <c r="AG288" i="16" s="1"/>
  <c r="J276" i="16"/>
  <c r="AG276" i="16" s="1"/>
  <c r="J264" i="16"/>
  <c r="AG264" i="16" s="1"/>
  <c r="J252" i="16"/>
  <c r="AG252" i="16" s="1"/>
  <c r="J240" i="16"/>
  <c r="AG240" i="16" s="1"/>
  <c r="J228" i="16"/>
  <c r="AG228" i="16" s="1"/>
  <c r="J216" i="16"/>
  <c r="AG216" i="16" s="1"/>
  <c r="J204" i="16"/>
  <c r="AG204" i="16" s="1"/>
  <c r="J192" i="16"/>
  <c r="AG192" i="16" s="1"/>
  <c r="J180" i="16"/>
  <c r="AG180" i="16" s="1"/>
  <c r="J168" i="16"/>
  <c r="AG168" i="16" s="1"/>
  <c r="J156" i="16"/>
  <c r="AG156" i="16" s="1"/>
  <c r="J144" i="16"/>
  <c r="AG144" i="16" s="1"/>
  <c r="J132" i="16"/>
  <c r="AG132" i="16" s="1"/>
  <c r="J120" i="16"/>
  <c r="AG120" i="16" s="1"/>
  <c r="J108" i="16"/>
  <c r="AG108" i="16" s="1"/>
  <c r="J96" i="16"/>
  <c r="AG96" i="16" s="1"/>
  <c r="J84" i="16"/>
  <c r="AG84" i="16" s="1"/>
  <c r="J72" i="16"/>
  <c r="AG72" i="16" s="1"/>
  <c r="J60" i="16"/>
  <c r="AG60" i="16" s="1"/>
  <c r="J48" i="16"/>
  <c r="AG48" i="16" s="1"/>
  <c r="J36" i="16"/>
  <c r="AG36" i="16" s="1"/>
  <c r="J24" i="16"/>
  <c r="AG24" i="16" s="1"/>
  <c r="J12" i="16"/>
  <c r="AG12" i="16" s="1"/>
  <c r="U1142" i="2"/>
  <c r="U1066" i="2"/>
  <c r="H1066" i="16" s="1"/>
  <c r="U1038" i="2"/>
  <c r="H1038" i="16" s="1"/>
  <c r="H1037" i="16"/>
  <c r="U1024" i="2"/>
  <c r="H1024" i="16" s="1"/>
  <c r="H1023" i="16"/>
  <c r="U1011" i="2"/>
  <c r="H1010" i="16"/>
  <c r="U986" i="2"/>
  <c r="H986" i="16" s="1"/>
  <c r="H985" i="16"/>
  <c r="U910" i="2"/>
  <c r="U895" i="2"/>
  <c r="U822" i="2"/>
  <c r="H822" i="16" s="1"/>
  <c r="U723" i="2"/>
  <c r="U710" i="2"/>
  <c r="H710" i="16" s="1"/>
  <c r="U682" i="2"/>
  <c r="U624" i="2"/>
  <c r="U564" i="2"/>
  <c r="H563" i="16"/>
  <c r="U533" i="2"/>
  <c r="H532" i="16"/>
  <c r="U517" i="2"/>
  <c r="H516" i="16"/>
  <c r="U390" i="2"/>
  <c r="H390" i="16" s="1"/>
  <c r="H389" i="16"/>
  <c r="U211" i="2"/>
  <c r="U199" i="2"/>
  <c r="H199" i="16" s="1"/>
  <c r="U137" i="2"/>
  <c r="U98" i="2"/>
  <c r="H98" i="16" s="1"/>
  <c r="U86" i="2"/>
  <c r="AG1142" i="2"/>
  <c r="AG910" i="2"/>
  <c r="AG895" i="2"/>
  <c r="AG723" i="2"/>
  <c r="AG710" i="2"/>
  <c r="AG682" i="2"/>
  <c r="O682" i="16" s="1"/>
  <c r="AG624" i="2"/>
  <c r="O624" i="16" s="1"/>
  <c r="AG211" i="2"/>
  <c r="O211" i="16" s="1"/>
  <c r="AG199" i="2"/>
  <c r="AG137" i="2"/>
  <c r="AH137" i="2" s="1"/>
  <c r="P137" i="16" s="1"/>
  <c r="AG98" i="2"/>
  <c r="AG86" i="2"/>
  <c r="O86" i="16" s="1"/>
  <c r="N1201" i="16"/>
  <c r="N1186" i="16"/>
  <c r="N1173" i="16"/>
  <c r="N1161" i="16"/>
  <c r="N1145" i="16"/>
  <c r="N1133" i="16"/>
  <c r="N1105" i="16"/>
  <c r="N1086" i="16"/>
  <c r="N1071" i="16"/>
  <c r="N1055" i="16"/>
  <c r="N1042" i="16"/>
  <c r="N1028" i="16"/>
  <c r="N1014" i="16"/>
  <c r="N1001" i="16"/>
  <c r="N989" i="16"/>
  <c r="N940" i="16"/>
  <c r="N927" i="16"/>
  <c r="N913" i="16"/>
  <c r="N898" i="16"/>
  <c r="N884" i="16"/>
  <c r="N837" i="16"/>
  <c r="N825" i="16"/>
  <c r="N808" i="16"/>
  <c r="N795" i="16"/>
  <c r="N782" i="16"/>
  <c r="N754" i="16"/>
  <c r="N727" i="16"/>
  <c r="N714" i="16"/>
  <c r="N698" i="16"/>
  <c r="N685" i="16"/>
  <c r="N658" i="16"/>
  <c r="N644" i="16"/>
  <c r="N628" i="16"/>
  <c r="N598" i="16"/>
  <c r="N584" i="16"/>
  <c r="N568" i="16"/>
  <c r="N551" i="16"/>
  <c r="N536" i="16"/>
  <c r="N520" i="16"/>
  <c r="N505" i="16"/>
  <c r="N491" i="16"/>
  <c r="N461" i="16"/>
  <c r="N431" i="16"/>
  <c r="N419" i="16"/>
  <c r="N366" i="16"/>
  <c r="N324" i="16"/>
  <c r="N308" i="16"/>
  <c r="N294" i="16"/>
  <c r="N282" i="16"/>
  <c r="N269" i="16"/>
  <c r="N241" i="16"/>
  <c r="N227" i="16"/>
  <c r="N214" i="16"/>
  <c r="N202" i="16"/>
  <c r="N190" i="16"/>
  <c r="N178" i="16"/>
  <c r="N165" i="16"/>
  <c r="N152" i="16"/>
  <c r="N127" i="16"/>
  <c r="N101" i="16"/>
  <c r="N89" i="16"/>
  <c r="N77" i="16"/>
  <c r="N65" i="16"/>
  <c r="N53" i="16"/>
  <c r="N39" i="16"/>
  <c r="N27" i="16"/>
  <c r="N15" i="16"/>
  <c r="N3" i="16"/>
  <c r="T791" i="2"/>
  <c r="A790" i="16"/>
  <c r="A139" i="16"/>
  <c r="T140" i="2"/>
  <c r="A140" i="16" s="1"/>
  <c r="J1211" i="16"/>
  <c r="AG1211" i="16" s="1"/>
  <c r="J1199" i="16"/>
  <c r="AG1199" i="16" s="1"/>
  <c r="J1187" i="16"/>
  <c r="AG1187" i="16" s="1"/>
  <c r="J1175" i="16"/>
  <c r="AG1175" i="16" s="1"/>
  <c r="J1163" i="16"/>
  <c r="AG1163" i="16" s="1"/>
  <c r="J1151" i="16"/>
  <c r="AG1151" i="16" s="1"/>
  <c r="J1139" i="16"/>
  <c r="AG1139" i="16" s="1"/>
  <c r="J1127" i="16"/>
  <c r="AG1127" i="16" s="1"/>
  <c r="J1115" i="16"/>
  <c r="AG1115" i="16" s="1"/>
  <c r="J1103" i="16"/>
  <c r="AG1103" i="16" s="1"/>
  <c r="J1091" i="16"/>
  <c r="AG1091" i="16" s="1"/>
  <c r="J1079" i="16"/>
  <c r="AG1079" i="16" s="1"/>
  <c r="J1067" i="16"/>
  <c r="AG1067" i="16" s="1"/>
  <c r="J1055" i="16"/>
  <c r="AG1055" i="16" s="1"/>
  <c r="J1043" i="16"/>
  <c r="AG1043" i="16" s="1"/>
  <c r="J1031" i="16"/>
  <c r="AG1031" i="16" s="1"/>
  <c r="J1019" i="16"/>
  <c r="AG1019" i="16" s="1"/>
  <c r="J1007" i="16"/>
  <c r="AG1007" i="16" s="1"/>
  <c r="J995" i="16"/>
  <c r="AG995" i="16" s="1"/>
  <c r="J983" i="16"/>
  <c r="AG983" i="16" s="1"/>
  <c r="J971" i="16"/>
  <c r="AG971" i="16" s="1"/>
  <c r="J959" i="16"/>
  <c r="AG959" i="16" s="1"/>
  <c r="J947" i="16"/>
  <c r="AG947" i="16" s="1"/>
  <c r="J935" i="16"/>
  <c r="AG935" i="16" s="1"/>
  <c r="J923" i="16"/>
  <c r="AG923" i="16" s="1"/>
  <c r="J911" i="16"/>
  <c r="AG911" i="16" s="1"/>
  <c r="J899" i="16"/>
  <c r="AG899" i="16" s="1"/>
  <c r="J887" i="16"/>
  <c r="AG887" i="16" s="1"/>
  <c r="J875" i="16"/>
  <c r="AG875" i="16" s="1"/>
  <c r="J863" i="16"/>
  <c r="AG863" i="16" s="1"/>
  <c r="J851" i="16"/>
  <c r="AG851" i="16" s="1"/>
  <c r="J839" i="16"/>
  <c r="AG839" i="16" s="1"/>
  <c r="J827" i="16"/>
  <c r="AG827" i="16" s="1"/>
  <c r="J815" i="16"/>
  <c r="AG815" i="16" s="1"/>
  <c r="J803" i="16"/>
  <c r="AG803" i="16" s="1"/>
  <c r="J791" i="16"/>
  <c r="AG791" i="16" s="1"/>
  <c r="J779" i="16"/>
  <c r="AG779" i="16" s="1"/>
  <c r="J767" i="16"/>
  <c r="AG767" i="16" s="1"/>
  <c r="J755" i="16"/>
  <c r="AG755" i="16" s="1"/>
  <c r="J743" i="16"/>
  <c r="AG743" i="16" s="1"/>
  <c r="J731" i="16"/>
  <c r="AG731" i="16" s="1"/>
  <c r="J719" i="16"/>
  <c r="AG719" i="16" s="1"/>
  <c r="J707" i="16"/>
  <c r="AG707" i="16" s="1"/>
  <c r="J695" i="16"/>
  <c r="AG695" i="16" s="1"/>
  <c r="J683" i="16"/>
  <c r="AG683" i="16" s="1"/>
  <c r="J671" i="16"/>
  <c r="AG671" i="16" s="1"/>
  <c r="J659" i="16"/>
  <c r="AG659" i="16" s="1"/>
  <c r="J647" i="16"/>
  <c r="AG647" i="16" s="1"/>
  <c r="J635" i="16"/>
  <c r="AG635" i="16" s="1"/>
  <c r="J623" i="16"/>
  <c r="AG623" i="16" s="1"/>
  <c r="J611" i="16"/>
  <c r="AG611" i="16" s="1"/>
  <c r="J599" i="16"/>
  <c r="AG599" i="16" s="1"/>
  <c r="J587" i="16"/>
  <c r="AG587" i="16" s="1"/>
  <c r="J575" i="16"/>
  <c r="AG575" i="16" s="1"/>
  <c r="J563" i="16"/>
  <c r="AG563" i="16" s="1"/>
  <c r="J551" i="16"/>
  <c r="AG551" i="16" s="1"/>
  <c r="J539" i="16"/>
  <c r="AG539" i="16" s="1"/>
  <c r="J527" i="16"/>
  <c r="AG527" i="16" s="1"/>
  <c r="J515" i="16"/>
  <c r="AG515" i="16" s="1"/>
  <c r="J503" i="16"/>
  <c r="AG503" i="16" s="1"/>
  <c r="J491" i="16"/>
  <c r="AG491" i="16" s="1"/>
  <c r="J479" i="16"/>
  <c r="AG479" i="16" s="1"/>
  <c r="J467" i="16"/>
  <c r="AG467" i="16" s="1"/>
  <c r="J455" i="16"/>
  <c r="AG455" i="16" s="1"/>
  <c r="J443" i="16"/>
  <c r="AG443" i="16" s="1"/>
  <c r="J431" i="16"/>
  <c r="AG431" i="16" s="1"/>
  <c r="J419" i="16"/>
  <c r="AG419" i="16" s="1"/>
  <c r="J407" i="16"/>
  <c r="AG407" i="16" s="1"/>
  <c r="J395" i="16"/>
  <c r="AG395" i="16" s="1"/>
  <c r="J383" i="16"/>
  <c r="AG383" i="16" s="1"/>
  <c r="J371" i="16"/>
  <c r="AG371" i="16" s="1"/>
  <c r="J359" i="16"/>
  <c r="AG359" i="16" s="1"/>
  <c r="J347" i="16"/>
  <c r="AG347" i="16" s="1"/>
  <c r="J335" i="16"/>
  <c r="AG335" i="16" s="1"/>
  <c r="J323" i="16"/>
  <c r="AG323" i="16" s="1"/>
  <c r="J311" i="16"/>
  <c r="AG311" i="16" s="1"/>
  <c r="J299" i="16"/>
  <c r="AG299" i="16" s="1"/>
  <c r="J287" i="16"/>
  <c r="AG287" i="16" s="1"/>
  <c r="J275" i="16"/>
  <c r="AG275" i="16" s="1"/>
  <c r="J263" i="16"/>
  <c r="AG263" i="16" s="1"/>
  <c r="J251" i="16"/>
  <c r="AG251" i="16" s="1"/>
  <c r="J239" i="16"/>
  <c r="AG239" i="16" s="1"/>
  <c r="J227" i="16"/>
  <c r="AG227" i="16" s="1"/>
  <c r="J215" i="16"/>
  <c r="AG215" i="16" s="1"/>
  <c r="J203" i="16"/>
  <c r="AG203" i="16" s="1"/>
  <c r="J191" i="16"/>
  <c r="AG191" i="16" s="1"/>
  <c r="J179" i="16"/>
  <c r="AG179" i="16" s="1"/>
  <c r="J167" i="16"/>
  <c r="AG167" i="16" s="1"/>
  <c r="J155" i="16"/>
  <c r="AG155" i="16" s="1"/>
  <c r="J143" i="16"/>
  <c r="AG143" i="16" s="1"/>
  <c r="J131" i="16"/>
  <c r="AG131" i="16" s="1"/>
  <c r="J119" i="16"/>
  <c r="AG119" i="16" s="1"/>
  <c r="J107" i="16"/>
  <c r="AG107" i="16" s="1"/>
  <c r="J95" i="16"/>
  <c r="AG95" i="16" s="1"/>
  <c r="J83" i="16"/>
  <c r="AG83" i="16" s="1"/>
  <c r="J71" i="16"/>
  <c r="AG71" i="16" s="1"/>
  <c r="J59" i="16"/>
  <c r="AG59" i="16" s="1"/>
  <c r="J35" i="16"/>
  <c r="AG35" i="16" s="1"/>
  <c r="J23" i="16"/>
  <c r="AG23" i="16" s="1"/>
  <c r="J11" i="16"/>
  <c r="AG11" i="16" s="1"/>
  <c r="U1096" i="2"/>
  <c r="H1095" i="16"/>
  <c r="U967" i="2"/>
  <c r="H967" i="16" s="1"/>
  <c r="H966" i="16"/>
  <c r="U791" i="2"/>
  <c r="H790" i="16"/>
  <c r="U750" i="2"/>
  <c r="H750" i="16" s="1"/>
  <c r="H749" i="16"/>
  <c r="U640" i="2"/>
  <c r="H639" i="16"/>
  <c r="U594" i="2"/>
  <c r="H594" i="16" s="1"/>
  <c r="H593" i="16"/>
  <c r="U579" i="2"/>
  <c r="H578" i="16"/>
  <c r="U237" i="2"/>
  <c r="H237" i="16" s="1"/>
  <c r="H236" i="16"/>
  <c r="U161" i="2"/>
  <c r="H161" i="16" s="1"/>
  <c r="H160" i="16"/>
  <c r="U48" i="2"/>
  <c r="H48" i="16" s="1"/>
  <c r="H47" i="16"/>
  <c r="N2" i="16"/>
  <c r="N1200" i="16"/>
  <c r="N1185" i="16"/>
  <c r="N1172" i="16"/>
  <c r="N1160" i="16"/>
  <c r="N1144" i="16"/>
  <c r="N1132" i="16"/>
  <c r="N1117" i="16"/>
  <c r="N1085" i="16"/>
  <c r="N1054" i="16"/>
  <c r="N1027" i="16"/>
  <c r="N1013" i="16"/>
  <c r="N1000" i="16"/>
  <c r="N988" i="16"/>
  <c r="N954" i="16"/>
  <c r="N939" i="16"/>
  <c r="N926" i="16"/>
  <c r="N912" i="16"/>
  <c r="N897" i="16"/>
  <c r="N883" i="16"/>
  <c r="N869" i="16"/>
  <c r="N836" i="16"/>
  <c r="N824" i="16"/>
  <c r="N807" i="16"/>
  <c r="N794" i="16"/>
  <c r="N781" i="16"/>
  <c r="N753" i="16"/>
  <c r="N726" i="16"/>
  <c r="N713" i="16"/>
  <c r="N697" i="16"/>
  <c r="N684" i="16"/>
  <c r="N670" i="16"/>
  <c r="N657" i="16"/>
  <c r="N643" i="16"/>
  <c r="N627" i="16"/>
  <c r="N610" i="16"/>
  <c r="N597" i="16"/>
  <c r="N567" i="16"/>
  <c r="N550" i="16"/>
  <c r="N519" i="16"/>
  <c r="N504" i="16"/>
  <c r="N490" i="16"/>
  <c r="N472" i="16"/>
  <c r="N460" i="16"/>
  <c r="N444" i="16"/>
  <c r="N430" i="16"/>
  <c r="N418" i="16"/>
  <c r="N392" i="16"/>
  <c r="N379" i="16"/>
  <c r="N351" i="16"/>
  <c r="N337" i="16"/>
  <c r="N307" i="16"/>
  <c r="N293" i="16"/>
  <c r="N240" i="16"/>
  <c r="N226" i="16"/>
  <c r="N213" i="16"/>
  <c r="N201" i="16"/>
  <c r="N189" i="16"/>
  <c r="N164" i="16"/>
  <c r="N151" i="16"/>
  <c r="N126" i="16"/>
  <c r="N112" i="16"/>
  <c r="N100" i="16"/>
  <c r="N88" i="16"/>
  <c r="N76" i="16"/>
  <c r="N64" i="16"/>
  <c r="N38" i="16"/>
  <c r="N26" i="16"/>
  <c r="N14" i="16"/>
  <c r="T907" i="2"/>
  <c r="A906" i="16"/>
  <c r="A517" i="16"/>
  <c r="T518" i="2"/>
  <c r="A518" i="16" s="1"/>
  <c r="T565" i="2"/>
  <c r="A565" i="16" s="1"/>
  <c r="A564" i="16"/>
  <c r="T177" i="2"/>
  <c r="A177" i="16" s="1"/>
  <c r="A176" i="16"/>
  <c r="A406" i="16"/>
  <c r="T407" i="2"/>
  <c r="A407" i="16" s="1"/>
  <c r="B1175" i="16"/>
  <c r="B1147" i="16"/>
  <c r="B958" i="16"/>
  <c r="B929" i="16"/>
  <c r="B915" i="16"/>
  <c r="B886" i="16"/>
  <c r="B630" i="16"/>
  <c r="B554" i="16"/>
  <c r="B522" i="16"/>
  <c r="B476" i="16"/>
  <c r="B243" i="16"/>
  <c r="Z115" i="2"/>
  <c r="B115" i="16" s="1"/>
  <c r="Z103" i="2"/>
  <c r="B103" i="16" s="1"/>
  <c r="J1210" i="16"/>
  <c r="AG1210" i="16" s="1"/>
  <c r="J1198" i="16"/>
  <c r="AG1198" i="16" s="1"/>
  <c r="J1186" i="16"/>
  <c r="AG1186" i="16" s="1"/>
  <c r="J1174" i="16"/>
  <c r="AG1174" i="16" s="1"/>
  <c r="J1162" i="16"/>
  <c r="AG1162" i="16" s="1"/>
  <c r="J1150" i="16"/>
  <c r="AG1150" i="16" s="1"/>
  <c r="J1138" i="16"/>
  <c r="AG1138" i="16" s="1"/>
  <c r="J1126" i="16"/>
  <c r="AG1126" i="16" s="1"/>
  <c r="J1114" i="16"/>
  <c r="AG1114" i="16" s="1"/>
  <c r="J1102" i="16"/>
  <c r="AG1102" i="16" s="1"/>
  <c r="J1090" i="16"/>
  <c r="AG1090" i="16" s="1"/>
  <c r="J1078" i="16"/>
  <c r="AG1078" i="16" s="1"/>
  <c r="J1066" i="16"/>
  <c r="AG1066" i="16" s="1"/>
  <c r="J1054" i="16"/>
  <c r="AG1054" i="16" s="1"/>
  <c r="J1042" i="16"/>
  <c r="AG1042" i="16" s="1"/>
  <c r="J1030" i="16"/>
  <c r="AG1030" i="16" s="1"/>
  <c r="J1018" i="16"/>
  <c r="AG1018" i="16" s="1"/>
  <c r="J1006" i="16"/>
  <c r="AG1006" i="16" s="1"/>
  <c r="J994" i="16"/>
  <c r="AG994" i="16" s="1"/>
  <c r="J982" i="16"/>
  <c r="AG982" i="16" s="1"/>
  <c r="J970" i="16"/>
  <c r="AG970" i="16" s="1"/>
  <c r="J958" i="16"/>
  <c r="AG958" i="16" s="1"/>
  <c r="J946" i="16"/>
  <c r="AG946" i="16" s="1"/>
  <c r="J934" i="16"/>
  <c r="AG934" i="16" s="1"/>
  <c r="J922" i="16"/>
  <c r="AG922" i="16" s="1"/>
  <c r="J910" i="16"/>
  <c r="AG910" i="16" s="1"/>
  <c r="J898" i="16"/>
  <c r="AG898" i="16" s="1"/>
  <c r="J886" i="16"/>
  <c r="AG886" i="16" s="1"/>
  <c r="J874" i="16"/>
  <c r="AG874" i="16" s="1"/>
  <c r="J862" i="16"/>
  <c r="AG862" i="16" s="1"/>
  <c r="J850" i="16"/>
  <c r="AG850" i="16" s="1"/>
  <c r="J838" i="16"/>
  <c r="AG838" i="16" s="1"/>
  <c r="J826" i="16"/>
  <c r="AG826" i="16" s="1"/>
  <c r="J814" i="16"/>
  <c r="AG814" i="16" s="1"/>
  <c r="J802" i="16"/>
  <c r="AG802" i="16" s="1"/>
  <c r="J790" i="16"/>
  <c r="AG790" i="16" s="1"/>
  <c r="J778" i="16"/>
  <c r="AG778" i="16" s="1"/>
  <c r="J766" i="16"/>
  <c r="AG766" i="16" s="1"/>
  <c r="J754" i="16"/>
  <c r="AG754" i="16" s="1"/>
  <c r="J742" i="16"/>
  <c r="AG742" i="16" s="1"/>
  <c r="J730" i="16"/>
  <c r="AG730" i="16" s="1"/>
  <c r="J718" i="16"/>
  <c r="AG718" i="16" s="1"/>
  <c r="J706" i="16"/>
  <c r="AG706" i="16" s="1"/>
  <c r="J694" i="16"/>
  <c r="AG694" i="16" s="1"/>
  <c r="J682" i="16"/>
  <c r="AG682" i="16" s="1"/>
  <c r="J670" i="16"/>
  <c r="AG670" i="16" s="1"/>
  <c r="J658" i="16"/>
  <c r="AG658" i="16" s="1"/>
  <c r="J646" i="16"/>
  <c r="AG646" i="16" s="1"/>
  <c r="J634" i="16"/>
  <c r="AG634" i="16" s="1"/>
  <c r="J622" i="16"/>
  <c r="AG622" i="16" s="1"/>
  <c r="J610" i="16"/>
  <c r="AG610" i="16" s="1"/>
  <c r="J598" i="16"/>
  <c r="AG598" i="16" s="1"/>
  <c r="J586" i="16"/>
  <c r="AG586" i="16" s="1"/>
  <c r="J574" i="16"/>
  <c r="AG574" i="16" s="1"/>
  <c r="J562" i="16"/>
  <c r="AG562" i="16" s="1"/>
  <c r="J550" i="16"/>
  <c r="AG550" i="16" s="1"/>
  <c r="J538" i="16"/>
  <c r="AG538" i="16" s="1"/>
  <c r="J526" i="16"/>
  <c r="AG526" i="16" s="1"/>
  <c r="J514" i="16"/>
  <c r="AG514" i="16" s="1"/>
  <c r="J502" i="16"/>
  <c r="AG502" i="16" s="1"/>
  <c r="J490" i="16"/>
  <c r="AG490" i="16" s="1"/>
  <c r="J478" i="16"/>
  <c r="AG478" i="16" s="1"/>
  <c r="J466" i="16"/>
  <c r="AG466" i="16" s="1"/>
  <c r="J454" i="16"/>
  <c r="AG454" i="16" s="1"/>
  <c r="J442" i="16"/>
  <c r="AG442" i="16" s="1"/>
  <c r="J430" i="16"/>
  <c r="AG430" i="16" s="1"/>
  <c r="J418" i="16"/>
  <c r="AG418" i="16" s="1"/>
  <c r="J406" i="16"/>
  <c r="AG406" i="16" s="1"/>
  <c r="J394" i="16"/>
  <c r="AG394" i="16" s="1"/>
  <c r="J382" i="16"/>
  <c r="AG382" i="16" s="1"/>
  <c r="J370" i="16"/>
  <c r="AG370" i="16" s="1"/>
  <c r="J358" i="16"/>
  <c r="AG358" i="16" s="1"/>
  <c r="J346" i="16"/>
  <c r="AG346" i="16" s="1"/>
  <c r="J334" i="16"/>
  <c r="AG334" i="16" s="1"/>
  <c r="J322" i="16"/>
  <c r="AG322" i="16" s="1"/>
  <c r="J310" i="16"/>
  <c r="AG310" i="16" s="1"/>
  <c r="J298" i="16"/>
  <c r="AG298" i="16" s="1"/>
  <c r="J286" i="16"/>
  <c r="AG286" i="16" s="1"/>
  <c r="J274" i="16"/>
  <c r="AG274" i="16" s="1"/>
  <c r="J262" i="16"/>
  <c r="AG262" i="16" s="1"/>
  <c r="J250" i="16"/>
  <c r="AG250" i="16" s="1"/>
  <c r="J238" i="16"/>
  <c r="AG238" i="16" s="1"/>
  <c r="J226" i="16"/>
  <c r="AG226" i="16" s="1"/>
  <c r="J214" i="16"/>
  <c r="AG214" i="16" s="1"/>
  <c r="J202" i="16"/>
  <c r="AG202" i="16" s="1"/>
  <c r="J190" i="16"/>
  <c r="AG190" i="16" s="1"/>
  <c r="J178" i="16"/>
  <c r="AG178" i="16" s="1"/>
  <c r="J166" i="16"/>
  <c r="AG166" i="16" s="1"/>
  <c r="J154" i="16"/>
  <c r="AG154" i="16" s="1"/>
  <c r="J142" i="16"/>
  <c r="AG142" i="16" s="1"/>
  <c r="J130" i="16"/>
  <c r="AG130" i="16" s="1"/>
  <c r="J118" i="16"/>
  <c r="AG118" i="16" s="1"/>
  <c r="J106" i="16"/>
  <c r="AG106" i="16" s="1"/>
  <c r="J94" i="16"/>
  <c r="AG94" i="16" s="1"/>
  <c r="J82" i="16"/>
  <c r="AG82" i="16" s="1"/>
  <c r="J70" i="16"/>
  <c r="AG70" i="16" s="1"/>
  <c r="J58" i="16"/>
  <c r="AG58" i="16" s="1"/>
  <c r="J46" i="16"/>
  <c r="AG46" i="16" s="1"/>
  <c r="J34" i="16"/>
  <c r="AG34" i="16" s="1"/>
  <c r="J22" i="16"/>
  <c r="AG22" i="16" s="1"/>
  <c r="J10" i="16"/>
  <c r="AG10" i="16" s="1"/>
  <c r="U1156" i="2"/>
  <c r="H1156" i="16" s="1"/>
  <c r="H1155" i="16"/>
  <c r="U922" i="2"/>
  <c r="H922" i="16" s="1"/>
  <c r="U906" i="2"/>
  <c r="H906" i="16" s="1"/>
  <c r="H905" i="16"/>
  <c r="U865" i="2"/>
  <c r="H864" i="16"/>
  <c r="U817" i="2"/>
  <c r="U777" i="2"/>
  <c r="H777" i="16" s="1"/>
  <c r="H776" i="16"/>
  <c r="U735" i="2"/>
  <c r="H735" i="16" s="1"/>
  <c r="H734" i="16"/>
  <c r="U680" i="2"/>
  <c r="U530" i="2"/>
  <c r="H530" i="16" s="1"/>
  <c r="H529" i="16"/>
  <c r="U498" i="2"/>
  <c r="U486" i="2"/>
  <c r="H486" i="16" s="1"/>
  <c r="H485" i="16"/>
  <c r="U317" i="2"/>
  <c r="H317" i="16" s="1"/>
  <c r="H316" i="16"/>
  <c r="U222" i="2"/>
  <c r="U209" i="2"/>
  <c r="H209" i="16" s="1"/>
  <c r="U121" i="2"/>
  <c r="U34" i="2"/>
  <c r="H34" i="16" s="1"/>
  <c r="U22" i="2"/>
  <c r="AG922" i="2"/>
  <c r="AG817" i="2"/>
  <c r="AH817" i="2" s="1"/>
  <c r="AG680" i="2"/>
  <c r="AG665" i="2"/>
  <c r="AG498" i="2"/>
  <c r="AG222" i="2"/>
  <c r="AH222" i="2" s="1"/>
  <c r="AG209" i="2"/>
  <c r="AG121" i="2"/>
  <c r="AG34" i="2"/>
  <c r="AG22" i="2"/>
  <c r="N1211" i="16"/>
  <c r="N1199" i="16"/>
  <c r="N1184" i="16"/>
  <c r="N1171" i="16"/>
  <c r="N1159" i="16"/>
  <c r="N1143" i="16"/>
  <c r="N1116" i="16"/>
  <c r="N1084" i="16"/>
  <c r="N1053" i="16"/>
  <c r="N1039" i="16"/>
  <c r="N999" i="16"/>
  <c r="N987" i="16"/>
  <c r="N953" i="16"/>
  <c r="N938" i="16"/>
  <c r="N925" i="16"/>
  <c r="N911" i="16"/>
  <c r="N896" i="16"/>
  <c r="N882" i="16"/>
  <c r="N851" i="16"/>
  <c r="N835" i="16"/>
  <c r="N823" i="16"/>
  <c r="N806" i="16"/>
  <c r="N793" i="16"/>
  <c r="N780" i="16"/>
  <c r="N752" i="16"/>
  <c r="N696" i="16"/>
  <c r="N683" i="16"/>
  <c r="N669" i="16"/>
  <c r="N656" i="16"/>
  <c r="N642" i="16"/>
  <c r="N609" i="16"/>
  <c r="N596" i="16"/>
  <c r="N566" i="16"/>
  <c r="N503" i="16"/>
  <c r="N489" i="16"/>
  <c r="N443" i="16"/>
  <c r="N429" i="16"/>
  <c r="N417" i="16"/>
  <c r="N404" i="16"/>
  <c r="N391" i="16"/>
  <c r="N378" i="16"/>
  <c r="N363" i="16"/>
  <c r="N336" i="16"/>
  <c r="N306" i="16"/>
  <c r="N292" i="16"/>
  <c r="N279" i="16"/>
  <c r="N265" i="16"/>
  <c r="N252" i="16"/>
  <c r="N239" i="16"/>
  <c r="N225" i="16"/>
  <c r="N212" i="16"/>
  <c r="N200" i="16"/>
  <c r="N188" i="16"/>
  <c r="N175" i="16"/>
  <c r="N150" i="16"/>
  <c r="N125" i="16"/>
  <c r="N99" i="16"/>
  <c r="N87" i="16"/>
  <c r="N75" i="16"/>
  <c r="N63" i="16"/>
  <c r="N50" i="16"/>
  <c r="N37" i="16"/>
  <c r="N25" i="16"/>
  <c r="N13" i="16"/>
  <c r="A930" i="16"/>
  <c r="T931" i="2"/>
  <c r="A931" i="16" s="1"/>
  <c r="A963" i="16"/>
  <c r="T964" i="2"/>
  <c r="A579" i="16"/>
  <c r="T580" i="2"/>
  <c r="T819" i="2"/>
  <c r="A818" i="16"/>
  <c r="J1209" i="16"/>
  <c r="AG1209" i="16" s="1"/>
  <c r="J1197" i="16"/>
  <c r="AG1197" i="16" s="1"/>
  <c r="J1185" i="16"/>
  <c r="AG1185" i="16" s="1"/>
  <c r="J1173" i="16"/>
  <c r="AG1173" i="16" s="1"/>
  <c r="J1161" i="16"/>
  <c r="AG1161" i="16" s="1"/>
  <c r="J1149" i="16"/>
  <c r="AG1149" i="16" s="1"/>
  <c r="J1137" i="16"/>
  <c r="AG1137" i="16" s="1"/>
  <c r="J1125" i="16"/>
  <c r="AG1125" i="16" s="1"/>
  <c r="J1113" i="16"/>
  <c r="AG1113" i="16" s="1"/>
  <c r="J1101" i="16"/>
  <c r="AG1101" i="16" s="1"/>
  <c r="J1089" i="16"/>
  <c r="AG1089" i="16" s="1"/>
  <c r="J1077" i="16"/>
  <c r="AG1077" i="16" s="1"/>
  <c r="J1065" i="16"/>
  <c r="AG1065" i="16" s="1"/>
  <c r="J1053" i="16"/>
  <c r="AG1053" i="16" s="1"/>
  <c r="J1041" i="16"/>
  <c r="AG1041" i="16" s="1"/>
  <c r="J1029" i="16"/>
  <c r="AG1029" i="16" s="1"/>
  <c r="J1017" i="16"/>
  <c r="AG1017" i="16" s="1"/>
  <c r="J1005" i="16"/>
  <c r="AG1005" i="16" s="1"/>
  <c r="J993" i="16"/>
  <c r="AG993" i="16" s="1"/>
  <c r="J981" i="16"/>
  <c r="AG981" i="16" s="1"/>
  <c r="J969" i="16"/>
  <c r="AG969" i="16" s="1"/>
  <c r="J957" i="16"/>
  <c r="AG957" i="16" s="1"/>
  <c r="J945" i="16"/>
  <c r="AG945" i="16" s="1"/>
  <c r="J933" i="16"/>
  <c r="AG933" i="16" s="1"/>
  <c r="J921" i="16"/>
  <c r="AG921" i="16" s="1"/>
  <c r="J909" i="16"/>
  <c r="AG909" i="16" s="1"/>
  <c r="J897" i="16"/>
  <c r="AG897" i="16" s="1"/>
  <c r="J885" i="16"/>
  <c r="AG885" i="16" s="1"/>
  <c r="J873" i="16"/>
  <c r="AG873" i="16" s="1"/>
  <c r="J861" i="16"/>
  <c r="AG861" i="16" s="1"/>
  <c r="J849" i="16"/>
  <c r="AG849" i="16" s="1"/>
  <c r="J837" i="16"/>
  <c r="AG837" i="16" s="1"/>
  <c r="J825" i="16"/>
  <c r="AG825" i="16" s="1"/>
  <c r="J813" i="16"/>
  <c r="AG813" i="16" s="1"/>
  <c r="J801" i="16"/>
  <c r="AG801" i="16" s="1"/>
  <c r="J789" i="16"/>
  <c r="AG789" i="16" s="1"/>
  <c r="J777" i="16"/>
  <c r="AG777" i="16" s="1"/>
  <c r="J765" i="16"/>
  <c r="AG765" i="16" s="1"/>
  <c r="J753" i="16"/>
  <c r="AG753" i="16" s="1"/>
  <c r="J741" i="16"/>
  <c r="AG741" i="16" s="1"/>
  <c r="J729" i="16"/>
  <c r="AG729" i="16" s="1"/>
  <c r="J717" i="16"/>
  <c r="AG717" i="16" s="1"/>
  <c r="J705" i="16"/>
  <c r="AG705" i="16" s="1"/>
  <c r="J693" i="16"/>
  <c r="AG693" i="16" s="1"/>
  <c r="J681" i="16"/>
  <c r="AG681" i="16" s="1"/>
  <c r="J669" i="16"/>
  <c r="AG669" i="16" s="1"/>
  <c r="J657" i="16"/>
  <c r="AG657" i="16" s="1"/>
  <c r="J645" i="16"/>
  <c r="AG645" i="16" s="1"/>
  <c r="J633" i="16"/>
  <c r="AG633" i="16" s="1"/>
  <c r="J621" i="16"/>
  <c r="AG621" i="16" s="1"/>
  <c r="J609" i="16"/>
  <c r="AG609" i="16" s="1"/>
  <c r="J597" i="16"/>
  <c r="AG597" i="16" s="1"/>
  <c r="J585" i="16"/>
  <c r="AG585" i="16" s="1"/>
  <c r="J573" i="16"/>
  <c r="AG573" i="16" s="1"/>
  <c r="J561" i="16"/>
  <c r="AG561" i="16" s="1"/>
  <c r="J549" i="16"/>
  <c r="AG549" i="16" s="1"/>
  <c r="J537" i="16"/>
  <c r="AG537" i="16" s="1"/>
  <c r="J525" i="16"/>
  <c r="AG525" i="16" s="1"/>
  <c r="J513" i="16"/>
  <c r="AG513" i="16" s="1"/>
  <c r="J501" i="16"/>
  <c r="AG501" i="16" s="1"/>
  <c r="J489" i="16"/>
  <c r="AG489" i="16" s="1"/>
  <c r="J477" i="16"/>
  <c r="AG477" i="16" s="1"/>
  <c r="J465" i="16"/>
  <c r="AG465" i="16" s="1"/>
  <c r="J453" i="16"/>
  <c r="AG453" i="16" s="1"/>
  <c r="J441" i="16"/>
  <c r="AG441" i="16" s="1"/>
  <c r="J429" i="16"/>
  <c r="AG429" i="16" s="1"/>
  <c r="J417" i="16"/>
  <c r="AG417" i="16" s="1"/>
  <c r="J405" i="16"/>
  <c r="AG405" i="16" s="1"/>
  <c r="J393" i="16"/>
  <c r="AG393" i="16" s="1"/>
  <c r="J381" i="16"/>
  <c r="AG381" i="16" s="1"/>
  <c r="J369" i="16"/>
  <c r="AG369" i="16" s="1"/>
  <c r="J357" i="16"/>
  <c r="AG357" i="16" s="1"/>
  <c r="J345" i="16"/>
  <c r="AG345" i="16" s="1"/>
  <c r="J333" i="16"/>
  <c r="AG333" i="16" s="1"/>
  <c r="J321" i="16"/>
  <c r="AG321" i="16" s="1"/>
  <c r="J309" i="16"/>
  <c r="AG309" i="16" s="1"/>
  <c r="J297" i="16"/>
  <c r="AG297" i="16" s="1"/>
  <c r="J285" i="16"/>
  <c r="AG285" i="16" s="1"/>
  <c r="J273" i="16"/>
  <c r="AG273" i="16" s="1"/>
  <c r="J261" i="16"/>
  <c r="AG261" i="16" s="1"/>
  <c r="J249" i="16"/>
  <c r="AG249" i="16" s="1"/>
  <c r="J237" i="16"/>
  <c r="AG237" i="16" s="1"/>
  <c r="J225" i="16"/>
  <c r="AG225" i="16" s="1"/>
  <c r="J213" i="16"/>
  <c r="AG213" i="16" s="1"/>
  <c r="J201" i="16"/>
  <c r="AG201" i="16" s="1"/>
  <c r="J189" i="16"/>
  <c r="AG189" i="16" s="1"/>
  <c r="J177" i="16"/>
  <c r="AG177" i="16" s="1"/>
  <c r="J165" i="16"/>
  <c r="AG165" i="16" s="1"/>
  <c r="J153" i="16"/>
  <c r="AG153" i="16" s="1"/>
  <c r="J141" i="16"/>
  <c r="AG141" i="16" s="1"/>
  <c r="J129" i="16"/>
  <c r="AG129" i="16" s="1"/>
  <c r="J117" i="16"/>
  <c r="AG117" i="16" s="1"/>
  <c r="J105" i="16"/>
  <c r="AG105" i="16" s="1"/>
  <c r="J93" i="16"/>
  <c r="AG93" i="16" s="1"/>
  <c r="J81" i="16"/>
  <c r="AG81" i="16" s="1"/>
  <c r="J69" i="16"/>
  <c r="AG69" i="16" s="1"/>
  <c r="J57" i="16"/>
  <c r="AG57" i="16" s="1"/>
  <c r="J45" i="16"/>
  <c r="AG45" i="16" s="1"/>
  <c r="J33" i="16"/>
  <c r="AG33" i="16" s="1"/>
  <c r="J21" i="16"/>
  <c r="AG21" i="16" s="1"/>
  <c r="J9" i="16"/>
  <c r="AG9" i="16" s="1"/>
  <c r="U1093" i="2"/>
  <c r="H1093" i="16" s="1"/>
  <c r="H1092" i="16"/>
  <c r="U981" i="2"/>
  <c r="H980" i="16"/>
  <c r="U892" i="2"/>
  <c r="H892" i="16" s="1"/>
  <c r="U761" i="2"/>
  <c r="H761" i="16" s="1"/>
  <c r="H760" i="16"/>
  <c r="U651" i="2"/>
  <c r="H651" i="16" s="1"/>
  <c r="U636" i="2"/>
  <c r="H635" i="16"/>
  <c r="U591" i="2"/>
  <c r="H591" i="16" s="1"/>
  <c r="H590" i="16"/>
  <c r="U513" i="2"/>
  <c r="H513" i="16" s="1"/>
  <c r="H512" i="16"/>
  <c r="U484" i="2"/>
  <c r="H484" i="16" s="1"/>
  <c r="H483" i="16"/>
  <c r="U454" i="2"/>
  <c r="H454" i="16" s="1"/>
  <c r="H453" i="16"/>
  <c r="U301" i="2"/>
  <c r="H301" i="16" s="1"/>
  <c r="H300" i="16"/>
  <c r="N1210" i="16"/>
  <c r="N1198" i="16"/>
  <c r="N1183" i="16"/>
  <c r="N1170" i="16"/>
  <c r="N1158" i="16"/>
  <c r="N1142" i="16"/>
  <c r="N1129" i="16"/>
  <c r="N1115" i="16"/>
  <c r="N1100" i="16"/>
  <c r="N1083" i="16"/>
  <c r="N1052" i="16"/>
  <c r="N998" i="16"/>
  <c r="N968" i="16"/>
  <c r="N952" i="16"/>
  <c r="N937" i="16"/>
  <c r="N924" i="16"/>
  <c r="N910" i="16"/>
  <c r="N895" i="16"/>
  <c r="N881" i="16"/>
  <c r="N850" i="16"/>
  <c r="N834" i="16"/>
  <c r="N805" i="16"/>
  <c r="N779" i="16"/>
  <c r="N764" i="16"/>
  <c r="N751" i="16"/>
  <c r="N737" i="16"/>
  <c r="N710" i="16"/>
  <c r="N695" i="16"/>
  <c r="N682" i="16"/>
  <c r="N668" i="16"/>
  <c r="N655" i="16"/>
  <c r="N608" i="16"/>
  <c r="N595" i="16"/>
  <c r="N547" i="16"/>
  <c r="N502" i="16"/>
  <c r="N488" i="16"/>
  <c r="N470" i="16"/>
  <c r="N457" i="16"/>
  <c r="N442" i="16"/>
  <c r="N428" i="16"/>
  <c r="N416" i="16"/>
  <c r="N403" i="16"/>
  <c r="N377" i="16"/>
  <c r="N362" i="16"/>
  <c r="N348" i="16"/>
  <c r="N335" i="16"/>
  <c r="N319" i="16"/>
  <c r="N305" i="16"/>
  <c r="N291" i="16"/>
  <c r="N278" i="16"/>
  <c r="N264" i="16"/>
  <c r="N251" i="16"/>
  <c r="N238" i="16"/>
  <c r="N211" i="16"/>
  <c r="N199" i="16"/>
  <c r="N187" i="16"/>
  <c r="N174" i="16"/>
  <c r="N162" i="16"/>
  <c r="N149" i="16"/>
  <c r="N137" i="16"/>
  <c r="N124" i="16"/>
  <c r="N110" i="16"/>
  <c r="N98" i="16"/>
  <c r="N86" i="16"/>
  <c r="N74" i="16"/>
  <c r="N62" i="16"/>
  <c r="N49" i="16"/>
  <c r="N36" i="16"/>
  <c r="N24" i="16"/>
  <c r="N12" i="16"/>
  <c r="A326" i="16"/>
  <c r="T327" i="2"/>
  <c r="A327" i="16" s="1"/>
  <c r="A313" i="16"/>
  <c r="T314" i="2"/>
  <c r="A314" i="16" s="1"/>
  <c r="A541" i="16"/>
  <c r="T542" i="2"/>
  <c r="T815" i="2"/>
  <c r="A815" i="16" s="1"/>
  <c r="A814" i="16"/>
  <c r="A122" i="16"/>
  <c r="T123" i="2"/>
  <c r="A123" i="16" s="1"/>
  <c r="A254" i="16"/>
  <c r="T255" i="2"/>
  <c r="Z113" i="2"/>
  <c r="B113" i="16" s="1"/>
  <c r="J1208" i="16"/>
  <c r="AG1208" i="16" s="1"/>
  <c r="J1196" i="16"/>
  <c r="AG1196" i="16" s="1"/>
  <c r="J1184" i="16"/>
  <c r="AG1184" i="16" s="1"/>
  <c r="J1172" i="16"/>
  <c r="AG1172" i="16" s="1"/>
  <c r="J1160" i="16"/>
  <c r="AG1160" i="16" s="1"/>
  <c r="J1148" i="16"/>
  <c r="AG1148" i="16" s="1"/>
  <c r="J1136" i="16"/>
  <c r="AG1136" i="16" s="1"/>
  <c r="J1124" i="16"/>
  <c r="AG1124" i="16" s="1"/>
  <c r="J1112" i="16"/>
  <c r="AG1112" i="16" s="1"/>
  <c r="J1100" i="16"/>
  <c r="AG1100" i="16" s="1"/>
  <c r="J1088" i="16"/>
  <c r="AG1088" i="16" s="1"/>
  <c r="J1076" i="16"/>
  <c r="AG1076" i="16" s="1"/>
  <c r="J1064" i="16"/>
  <c r="AG1064" i="16" s="1"/>
  <c r="J1052" i="16"/>
  <c r="AG1052" i="16" s="1"/>
  <c r="J1040" i="16"/>
  <c r="AG1040" i="16" s="1"/>
  <c r="J1028" i="16"/>
  <c r="AG1028" i="16" s="1"/>
  <c r="J1016" i="16"/>
  <c r="AG1016" i="16" s="1"/>
  <c r="J1004" i="16"/>
  <c r="AG1004" i="16" s="1"/>
  <c r="J992" i="16"/>
  <c r="AG992" i="16" s="1"/>
  <c r="J980" i="16"/>
  <c r="AG980" i="16" s="1"/>
  <c r="J968" i="16"/>
  <c r="AG968" i="16" s="1"/>
  <c r="J956" i="16"/>
  <c r="AG956" i="16" s="1"/>
  <c r="J944" i="16"/>
  <c r="AG944" i="16" s="1"/>
  <c r="J932" i="16"/>
  <c r="AG932" i="16" s="1"/>
  <c r="J920" i="16"/>
  <c r="AG920" i="16" s="1"/>
  <c r="J908" i="16"/>
  <c r="AG908" i="16" s="1"/>
  <c r="J896" i="16"/>
  <c r="AG896" i="16" s="1"/>
  <c r="J884" i="16"/>
  <c r="AG884" i="16" s="1"/>
  <c r="J872" i="16"/>
  <c r="AG872" i="16" s="1"/>
  <c r="J860" i="16"/>
  <c r="AG860" i="16" s="1"/>
  <c r="J848" i="16"/>
  <c r="AG848" i="16" s="1"/>
  <c r="J836" i="16"/>
  <c r="AG836" i="16" s="1"/>
  <c r="J824" i="16"/>
  <c r="AG824" i="16" s="1"/>
  <c r="J812" i="16"/>
  <c r="AG812" i="16" s="1"/>
  <c r="J800" i="16"/>
  <c r="AG800" i="16" s="1"/>
  <c r="J788" i="16"/>
  <c r="AG788" i="16" s="1"/>
  <c r="J776" i="16"/>
  <c r="AG776" i="16" s="1"/>
  <c r="J764" i="16"/>
  <c r="AG764" i="16" s="1"/>
  <c r="J752" i="16"/>
  <c r="AG752" i="16" s="1"/>
  <c r="J740" i="16"/>
  <c r="AG740" i="16" s="1"/>
  <c r="J728" i="16"/>
  <c r="AG728" i="16" s="1"/>
  <c r="J716" i="16"/>
  <c r="AG716" i="16" s="1"/>
  <c r="J704" i="16"/>
  <c r="AG704" i="16" s="1"/>
  <c r="J692" i="16"/>
  <c r="AG692" i="16" s="1"/>
  <c r="J680" i="16"/>
  <c r="AG680" i="16" s="1"/>
  <c r="J668" i="16"/>
  <c r="AG668" i="16" s="1"/>
  <c r="J656" i="16"/>
  <c r="AG656" i="16" s="1"/>
  <c r="J644" i="16"/>
  <c r="AG644" i="16" s="1"/>
  <c r="J632" i="16"/>
  <c r="AG632" i="16" s="1"/>
  <c r="J620" i="16"/>
  <c r="AG620" i="16" s="1"/>
  <c r="J608" i="16"/>
  <c r="AG608" i="16" s="1"/>
  <c r="J596" i="16"/>
  <c r="AG596" i="16" s="1"/>
  <c r="J584" i="16"/>
  <c r="AG584" i="16" s="1"/>
  <c r="J572" i="16"/>
  <c r="AG572" i="16" s="1"/>
  <c r="J560" i="16"/>
  <c r="AG560" i="16" s="1"/>
  <c r="J548" i="16"/>
  <c r="AG548" i="16" s="1"/>
  <c r="J536" i="16"/>
  <c r="AG536" i="16" s="1"/>
  <c r="J524" i="16"/>
  <c r="AG524" i="16" s="1"/>
  <c r="J512" i="16"/>
  <c r="AG512" i="16" s="1"/>
  <c r="J500" i="16"/>
  <c r="AG500" i="16" s="1"/>
  <c r="J488" i="16"/>
  <c r="AG488" i="16" s="1"/>
  <c r="J476" i="16"/>
  <c r="AG476" i="16" s="1"/>
  <c r="J464" i="16"/>
  <c r="AG464" i="16" s="1"/>
  <c r="J452" i="16"/>
  <c r="AG452" i="16" s="1"/>
  <c r="J440" i="16"/>
  <c r="AG440" i="16" s="1"/>
  <c r="J428" i="16"/>
  <c r="AG428" i="16" s="1"/>
  <c r="J416" i="16"/>
  <c r="AG416" i="16" s="1"/>
  <c r="J404" i="16"/>
  <c r="AG404" i="16" s="1"/>
  <c r="J392" i="16"/>
  <c r="AG392" i="16" s="1"/>
  <c r="J380" i="16"/>
  <c r="AG380" i="16" s="1"/>
  <c r="J368" i="16"/>
  <c r="AG368" i="16" s="1"/>
  <c r="J356" i="16"/>
  <c r="AG356" i="16" s="1"/>
  <c r="J344" i="16"/>
  <c r="AG344" i="16" s="1"/>
  <c r="J332" i="16"/>
  <c r="AG332" i="16" s="1"/>
  <c r="J320" i="16"/>
  <c r="AG320" i="16" s="1"/>
  <c r="J308" i="16"/>
  <c r="AG308" i="16" s="1"/>
  <c r="J296" i="16"/>
  <c r="AG296" i="16" s="1"/>
  <c r="J284" i="16"/>
  <c r="AG284" i="16" s="1"/>
  <c r="J272" i="16"/>
  <c r="AG272" i="16" s="1"/>
  <c r="J260" i="16"/>
  <c r="AG260" i="16" s="1"/>
  <c r="J248" i="16"/>
  <c r="AG248" i="16" s="1"/>
  <c r="J236" i="16"/>
  <c r="AG236" i="16" s="1"/>
  <c r="J224" i="16"/>
  <c r="AG224" i="16" s="1"/>
  <c r="J212" i="16"/>
  <c r="AG212" i="16" s="1"/>
  <c r="J200" i="16"/>
  <c r="AG200" i="16" s="1"/>
  <c r="J188" i="16"/>
  <c r="AG188" i="16" s="1"/>
  <c r="J176" i="16"/>
  <c r="AG176" i="16" s="1"/>
  <c r="J164" i="16"/>
  <c r="AG164" i="16" s="1"/>
  <c r="J152" i="16"/>
  <c r="AG152" i="16" s="1"/>
  <c r="J140" i="16"/>
  <c r="AG140" i="16" s="1"/>
  <c r="J128" i="16"/>
  <c r="AG128" i="16" s="1"/>
  <c r="J116" i="16"/>
  <c r="AG116" i="16" s="1"/>
  <c r="J104" i="16"/>
  <c r="AG104" i="16" s="1"/>
  <c r="J92" i="16"/>
  <c r="AG92" i="16" s="1"/>
  <c r="J80" i="16"/>
  <c r="AG80" i="16" s="1"/>
  <c r="J68" i="16"/>
  <c r="AG68" i="16" s="1"/>
  <c r="J56" i="16"/>
  <c r="AG56" i="16" s="1"/>
  <c r="J44" i="16"/>
  <c r="AG44" i="16" s="1"/>
  <c r="J32" i="16"/>
  <c r="AG32" i="16" s="1"/>
  <c r="J20" i="16"/>
  <c r="AG20" i="16" s="1"/>
  <c r="J8" i="16"/>
  <c r="AG8" i="16" s="1"/>
  <c r="U1193" i="2"/>
  <c r="H1192" i="16"/>
  <c r="U920" i="2"/>
  <c r="H920" i="16" s="1"/>
  <c r="H919" i="16"/>
  <c r="U861" i="2"/>
  <c r="H860" i="16"/>
  <c r="U814" i="2"/>
  <c r="H813" i="16"/>
  <c r="U759" i="2"/>
  <c r="H759" i="16" s="1"/>
  <c r="U482" i="2"/>
  <c r="H482" i="16" s="1"/>
  <c r="H481" i="16"/>
  <c r="U385" i="2"/>
  <c r="H385" i="16" s="1"/>
  <c r="U358" i="2"/>
  <c r="H358" i="16" s="1"/>
  <c r="U233" i="2"/>
  <c r="H233" i="16" s="1"/>
  <c r="H232" i="16"/>
  <c r="U119" i="2"/>
  <c r="H119" i="16" s="1"/>
  <c r="H118" i="16"/>
  <c r="AG759" i="2"/>
  <c r="AG385" i="2"/>
  <c r="AG358" i="2"/>
  <c r="N1209" i="16"/>
  <c r="N1197" i="16"/>
  <c r="N1182" i="16"/>
  <c r="N1169" i="16"/>
  <c r="N1157" i="16"/>
  <c r="N1141" i="16"/>
  <c r="N1128" i="16"/>
  <c r="N1114" i="16"/>
  <c r="N1082" i="16"/>
  <c r="N1064" i="16"/>
  <c r="N1036" i="16"/>
  <c r="N1022" i="16"/>
  <c r="N1009" i="16"/>
  <c r="N997" i="16"/>
  <c r="N951" i="16"/>
  <c r="N936" i="16"/>
  <c r="N923" i="16"/>
  <c r="N909" i="16"/>
  <c r="N894" i="16"/>
  <c r="N880" i="16"/>
  <c r="N849" i="16"/>
  <c r="N833" i="16"/>
  <c r="N804" i="16"/>
  <c r="N778" i="16"/>
  <c r="N763" i="16"/>
  <c r="N736" i="16"/>
  <c r="N722" i="16"/>
  <c r="N709" i="16"/>
  <c r="N694" i="16"/>
  <c r="N681" i="16"/>
  <c r="N654" i="16"/>
  <c r="N623" i="16"/>
  <c r="N607" i="16"/>
  <c r="N562" i="16"/>
  <c r="N546" i="16"/>
  <c r="N531" i="16"/>
  <c r="N515" i="16"/>
  <c r="N501" i="16"/>
  <c r="N487" i="16"/>
  <c r="N456" i="16"/>
  <c r="N441" i="16"/>
  <c r="N415" i="16"/>
  <c r="N388" i="16"/>
  <c r="N376" i="16"/>
  <c r="N361" i="16"/>
  <c r="N347" i="16"/>
  <c r="N334" i="16"/>
  <c r="N318" i="16"/>
  <c r="N304" i="16"/>
  <c r="N290" i="16"/>
  <c r="N277" i="16"/>
  <c r="N263" i="16"/>
  <c r="N250" i="16"/>
  <c r="N210" i="16"/>
  <c r="N198" i="16"/>
  <c r="N186" i="16"/>
  <c r="N173" i="16"/>
  <c r="N148" i="16"/>
  <c r="N136" i="16"/>
  <c r="N109" i="16"/>
  <c r="N97" i="16"/>
  <c r="N85" i="16"/>
  <c r="N73" i="16"/>
  <c r="N61" i="16"/>
  <c r="N35" i="16"/>
  <c r="N11" i="16"/>
  <c r="T302" i="2"/>
  <c r="A302" i="16" s="1"/>
  <c r="A301" i="16"/>
  <c r="T637" i="2"/>
  <c r="A637" i="16" s="1"/>
  <c r="A636" i="16"/>
  <c r="T982" i="2"/>
  <c r="A981" i="16"/>
  <c r="B51" i="16"/>
  <c r="B2" i="16"/>
  <c r="J1207" i="16"/>
  <c r="AG1207" i="16" s="1"/>
  <c r="J1195" i="16"/>
  <c r="AG1195" i="16" s="1"/>
  <c r="J1183" i="16"/>
  <c r="AG1183" i="16" s="1"/>
  <c r="J1171" i="16"/>
  <c r="AG1171" i="16" s="1"/>
  <c r="J1159" i="16"/>
  <c r="AG1159" i="16" s="1"/>
  <c r="J1147" i="16"/>
  <c r="AG1147" i="16" s="1"/>
  <c r="J1135" i="16"/>
  <c r="AG1135" i="16" s="1"/>
  <c r="J1123" i="16"/>
  <c r="AG1123" i="16" s="1"/>
  <c r="J1111" i="16"/>
  <c r="AG1111" i="16" s="1"/>
  <c r="J1099" i="16"/>
  <c r="AG1099" i="16" s="1"/>
  <c r="J1087" i="16"/>
  <c r="AG1087" i="16" s="1"/>
  <c r="J1075" i="16"/>
  <c r="AG1075" i="16" s="1"/>
  <c r="J1063" i="16"/>
  <c r="AG1063" i="16" s="1"/>
  <c r="J1051" i="16"/>
  <c r="AG1051" i="16" s="1"/>
  <c r="J1039" i="16"/>
  <c r="AG1039" i="16" s="1"/>
  <c r="J1027" i="16"/>
  <c r="AG1027" i="16" s="1"/>
  <c r="J1015" i="16"/>
  <c r="AG1015" i="16" s="1"/>
  <c r="J1003" i="16"/>
  <c r="AG1003" i="16" s="1"/>
  <c r="J991" i="16"/>
  <c r="AG991" i="16" s="1"/>
  <c r="J979" i="16"/>
  <c r="AG979" i="16" s="1"/>
  <c r="J967" i="16"/>
  <c r="AG967" i="16" s="1"/>
  <c r="J955" i="16"/>
  <c r="AG955" i="16" s="1"/>
  <c r="J943" i="16"/>
  <c r="AG943" i="16" s="1"/>
  <c r="J931" i="16"/>
  <c r="AG931" i="16" s="1"/>
  <c r="J919" i="16"/>
  <c r="AG919" i="16" s="1"/>
  <c r="J907" i="16"/>
  <c r="AG907" i="16" s="1"/>
  <c r="J895" i="16"/>
  <c r="AG895" i="16" s="1"/>
  <c r="J883" i="16"/>
  <c r="AG883" i="16" s="1"/>
  <c r="J871" i="16"/>
  <c r="AG871" i="16" s="1"/>
  <c r="J859" i="16"/>
  <c r="AG859" i="16" s="1"/>
  <c r="J847" i="16"/>
  <c r="AG847" i="16" s="1"/>
  <c r="J835" i="16"/>
  <c r="AG835" i="16" s="1"/>
  <c r="J823" i="16"/>
  <c r="AG823" i="16" s="1"/>
  <c r="J811" i="16"/>
  <c r="AG811" i="16" s="1"/>
  <c r="J799" i="16"/>
  <c r="AG799" i="16" s="1"/>
  <c r="J787" i="16"/>
  <c r="AG787" i="16" s="1"/>
  <c r="J775" i="16"/>
  <c r="AG775" i="16" s="1"/>
  <c r="J763" i="16"/>
  <c r="AG763" i="16" s="1"/>
  <c r="J751" i="16"/>
  <c r="AG751" i="16" s="1"/>
  <c r="J739" i="16"/>
  <c r="AG739" i="16" s="1"/>
  <c r="J727" i="16"/>
  <c r="AG727" i="16" s="1"/>
  <c r="J715" i="16"/>
  <c r="AG715" i="16" s="1"/>
  <c r="J703" i="16"/>
  <c r="AG703" i="16" s="1"/>
  <c r="J691" i="16"/>
  <c r="AG691" i="16" s="1"/>
  <c r="J679" i="16"/>
  <c r="AG679" i="16" s="1"/>
  <c r="J667" i="16"/>
  <c r="AG667" i="16" s="1"/>
  <c r="J655" i="16"/>
  <c r="AG655" i="16" s="1"/>
  <c r="J643" i="16"/>
  <c r="AG643" i="16" s="1"/>
  <c r="J631" i="16"/>
  <c r="AG631" i="16" s="1"/>
  <c r="J619" i="16"/>
  <c r="AG619" i="16" s="1"/>
  <c r="J607" i="16"/>
  <c r="AG607" i="16" s="1"/>
  <c r="J595" i="16"/>
  <c r="AG595" i="16" s="1"/>
  <c r="J583" i="16"/>
  <c r="AG583" i="16" s="1"/>
  <c r="J571" i="16"/>
  <c r="AG571" i="16" s="1"/>
  <c r="J559" i="16"/>
  <c r="AG559" i="16" s="1"/>
  <c r="J547" i="16"/>
  <c r="AG547" i="16" s="1"/>
  <c r="J535" i="16"/>
  <c r="AG535" i="16" s="1"/>
  <c r="J523" i="16"/>
  <c r="AG523" i="16" s="1"/>
  <c r="J511" i="16"/>
  <c r="AG511" i="16" s="1"/>
  <c r="J499" i="16"/>
  <c r="AG499" i="16" s="1"/>
  <c r="J487" i="16"/>
  <c r="AG487" i="16" s="1"/>
  <c r="J475" i="16"/>
  <c r="AG475" i="16" s="1"/>
  <c r="J463" i="16"/>
  <c r="AG463" i="16" s="1"/>
  <c r="J451" i="16"/>
  <c r="AG451" i="16" s="1"/>
  <c r="J439" i="16"/>
  <c r="AG439" i="16" s="1"/>
  <c r="J427" i="16"/>
  <c r="AG427" i="16" s="1"/>
  <c r="J415" i="16"/>
  <c r="AG415" i="16" s="1"/>
  <c r="J403" i="16"/>
  <c r="AG403" i="16" s="1"/>
  <c r="J391" i="16"/>
  <c r="AG391" i="16" s="1"/>
  <c r="J379" i="16"/>
  <c r="AG379" i="16" s="1"/>
  <c r="J367" i="16"/>
  <c r="AG367" i="16" s="1"/>
  <c r="J355" i="16"/>
  <c r="AG355" i="16" s="1"/>
  <c r="J343" i="16"/>
  <c r="AG343" i="16" s="1"/>
  <c r="J331" i="16"/>
  <c r="AG331" i="16" s="1"/>
  <c r="J319" i="16"/>
  <c r="AG319" i="16" s="1"/>
  <c r="J307" i="16"/>
  <c r="AG307" i="16" s="1"/>
  <c r="J295" i="16"/>
  <c r="AG295" i="16" s="1"/>
  <c r="J283" i="16"/>
  <c r="AG283" i="16" s="1"/>
  <c r="J271" i="16"/>
  <c r="AG271" i="16" s="1"/>
  <c r="J259" i="16"/>
  <c r="AG259" i="16" s="1"/>
  <c r="J247" i="16"/>
  <c r="AG247" i="16" s="1"/>
  <c r="J235" i="16"/>
  <c r="AG235" i="16" s="1"/>
  <c r="J223" i="16"/>
  <c r="AG223" i="16" s="1"/>
  <c r="J211" i="16"/>
  <c r="AG211" i="16" s="1"/>
  <c r="J199" i="16"/>
  <c r="AG199" i="16" s="1"/>
  <c r="J187" i="16"/>
  <c r="AG187" i="16" s="1"/>
  <c r="J175" i="16"/>
  <c r="AG175" i="16" s="1"/>
  <c r="J163" i="16"/>
  <c r="AG163" i="16" s="1"/>
  <c r="J151" i="16"/>
  <c r="AG151" i="16" s="1"/>
  <c r="J139" i="16"/>
  <c r="AG139" i="16" s="1"/>
  <c r="J127" i="16"/>
  <c r="AG127" i="16" s="1"/>
  <c r="J115" i="16"/>
  <c r="AG115" i="16" s="1"/>
  <c r="J103" i="16"/>
  <c r="AG103" i="16" s="1"/>
  <c r="J91" i="16"/>
  <c r="AG91" i="16" s="1"/>
  <c r="J79" i="16"/>
  <c r="AG79" i="16" s="1"/>
  <c r="J67" i="16"/>
  <c r="AG67" i="16" s="1"/>
  <c r="J55" i="16"/>
  <c r="AG55" i="16" s="1"/>
  <c r="J43" i="16"/>
  <c r="AG43" i="16" s="1"/>
  <c r="J31" i="16"/>
  <c r="AG31" i="16" s="1"/>
  <c r="J19" i="16"/>
  <c r="AG19" i="16" s="1"/>
  <c r="J7" i="16"/>
  <c r="AG7" i="16" s="1"/>
  <c r="U1191" i="2"/>
  <c r="H1191" i="16" s="1"/>
  <c r="H1190" i="16"/>
  <c r="U1124" i="2"/>
  <c r="U1076" i="2"/>
  <c r="H1076" i="16" s="1"/>
  <c r="H1075" i="16"/>
  <c r="U1060" i="2"/>
  <c r="H1060" i="16" s="1"/>
  <c r="H1059" i="16"/>
  <c r="U978" i="2"/>
  <c r="H978" i="16" s="1"/>
  <c r="H977" i="16"/>
  <c r="U947" i="2"/>
  <c r="H947" i="16" s="1"/>
  <c r="H946" i="16"/>
  <c r="U843" i="2"/>
  <c r="H843" i="16" s="1"/>
  <c r="H842" i="16"/>
  <c r="U558" i="2"/>
  <c r="H558" i="16" s="1"/>
  <c r="H557" i="16"/>
  <c r="U526" i="2"/>
  <c r="H526" i="16" s="1"/>
  <c r="H525" i="16"/>
  <c r="U510" i="2"/>
  <c r="H510" i="16" s="1"/>
  <c r="H509" i="16"/>
  <c r="U437" i="2"/>
  <c r="H437" i="16" s="1"/>
  <c r="H436" i="16"/>
  <c r="U398" i="2"/>
  <c r="H398" i="16" s="1"/>
  <c r="H397" i="16"/>
  <c r="U330" i="2"/>
  <c r="H329" i="16"/>
  <c r="U313" i="2"/>
  <c r="H312" i="16"/>
  <c r="U219" i="2"/>
  <c r="H219" i="16" s="1"/>
  <c r="H218" i="16"/>
  <c r="N1208" i="16"/>
  <c r="N1196" i="16"/>
  <c r="N1181" i="16"/>
  <c r="N1168" i="16"/>
  <c r="N1140" i="16"/>
  <c r="N1127" i="16"/>
  <c r="N1113" i="16"/>
  <c r="N1094" i="16"/>
  <c r="N1081" i="16"/>
  <c r="N1063" i="16"/>
  <c r="N1050" i="16"/>
  <c r="N1035" i="16"/>
  <c r="N1021" i="16"/>
  <c r="N1008" i="16"/>
  <c r="N996" i="16"/>
  <c r="N950" i="16"/>
  <c r="N935" i="16"/>
  <c r="N893" i="16"/>
  <c r="N879" i="16"/>
  <c r="N848" i="16"/>
  <c r="N832" i="16"/>
  <c r="N803" i="16"/>
  <c r="N789" i="16"/>
  <c r="N762" i="16"/>
  <c r="N748" i="16"/>
  <c r="N721" i="16"/>
  <c r="N708" i="16"/>
  <c r="N693" i="16"/>
  <c r="N638" i="16"/>
  <c r="N622" i="16"/>
  <c r="N606" i="16"/>
  <c r="N592" i="16"/>
  <c r="N577" i="16"/>
  <c r="N561" i="16"/>
  <c r="N514" i="16"/>
  <c r="N468" i="16"/>
  <c r="N455" i="16"/>
  <c r="N440" i="16"/>
  <c r="N426" i="16"/>
  <c r="N387" i="16"/>
  <c r="N375" i="16"/>
  <c r="N360" i="16"/>
  <c r="N346" i="16"/>
  <c r="N333" i="16"/>
  <c r="N303" i="16"/>
  <c r="N289" i="16"/>
  <c r="N276" i="16"/>
  <c r="N262" i="16"/>
  <c r="N249" i="16"/>
  <c r="N235" i="16"/>
  <c r="N197" i="16"/>
  <c r="N185" i="16"/>
  <c r="N172" i="16"/>
  <c r="N159" i="16"/>
  <c r="N147" i="16"/>
  <c r="N135" i="16"/>
  <c r="N108" i="16"/>
  <c r="N96" i="16"/>
  <c r="N84" i="16"/>
  <c r="N72" i="16"/>
  <c r="N60" i="16"/>
  <c r="N46" i="16"/>
  <c r="N10" i="16"/>
  <c r="T616" i="2"/>
  <c r="A616" i="16" s="1"/>
  <c r="A615" i="16"/>
  <c r="T369" i="2"/>
  <c r="A369" i="16" s="1"/>
  <c r="A368" i="16"/>
  <c r="A330" i="16"/>
  <c r="T331" i="2"/>
  <c r="A861" i="16"/>
  <c r="T862" i="2"/>
  <c r="A400" i="16"/>
  <c r="T401" i="2"/>
  <c r="T651" i="2"/>
  <c r="A650" i="16"/>
  <c r="A724" i="16"/>
  <c r="T725" i="2"/>
  <c r="A725" i="16" s="1"/>
  <c r="T268" i="2"/>
  <c r="A268" i="16" s="1"/>
  <c r="A267" i="16"/>
  <c r="J1206" i="16"/>
  <c r="AG1206" i="16" s="1"/>
  <c r="J1194" i="16"/>
  <c r="AG1194" i="16" s="1"/>
  <c r="J1182" i="16"/>
  <c r="AG1182" i="16" s="1"/>
  <c r="J1170" i="16"/>
  <c r="AG1170" i="16" s="1"/>
  <c r="J1158" i="16"/>
  <c r="AG1158" i="16" s="1"/>
  <c r="J1146" i="16"/>
  <c r="AG1146" i="16" s="1"/>
  <c r="J1134" i="16"/>
  <c r="AG1134" i="16" s="1"/>
  <c r="J1122" i="16"/>
  <c r="AG1122" i="16" s="1"/>
  <c r="J1110" i="16"/>
  <c r="AG1110" i="16" s="1"/>
  <c r="J1098" i="16"/>
  <c r="AG1098" i="16" s="1"/>
  <c r="J1086" i="16"/>
  <c r="AG1086" i="16" s="1"/>
  <c r="J1074" i="16"/>
  <c r="AG1074" i="16" s="1"/>
  <c r="J1062" i="16"/>
  <c r="AG1062" i="16" s="1"/>
  <c r="J1050" i="16"/>
  <c r="AG1050" i="16" s="1"/>
  <c r="J1038" i="16"/>
  <c r="AG1038" i="16" s="1"/>
  <c r="J1026" i="16"/>
  <c r="AG1026" i="16" s="1"/>
  <c r="J1014" i="16"/>
  <c r="AG1014" i="16" s="1"/>
  <c r="J1002" i="16"/>
  <c r="AG1002" i="16" s="1"/>
  <c r="J990" i="16"/>
  <c r="AG990" i="16" s="1"/>
  <c r="J978" i="16"/>
  <c r="AG978" i="16" s="1"/>
  <c r="J966" i="16"/>
  <c r="AG966" i="16" s="1"/>
  <c r="J954" i="16"/>
  <c r="AG954" i="16" s="1"/>
  <c r="J942" i="16"/>
  <c r="AG942" i="16" s="1"/>
  <c r="J930" i="16"/>
  <c r="AG930" i="16" s="1"/>
  <c r="J918" i="16"/>
  <c r="AG918" i="16" s="1"/>
  <c r="J906" i="16"/>
  <c r="AG906" i="16" s="1"/>
  <c r="J894" i="16"/>
  <c r="AG894" i="16" s="1"/>
  <c r="J882" i="16"/>
  <c r="AG882" i="16" s="1"/>
  <c r="J870" i="16"/>
  <c r="AG870" i="16" s="1"/>
  <c r="J858" i="16"/>
  <c r="AG858" i="16" s="1"/>
  <c r="J846" i="16"/>
  <c r="AG846" i="16" s="1"/>
  <c r="J834" i="16"/>
  <c r="AG834" i="16" s="1"/>
  <c r="J822" i="16"/>
  <c r="AG822" i="16" s="1"/>
  <c r="J810" i="16"/>
  <c r="AG810" i="16" s="1"/>
  <c r="J798" i="16"/>
  <c r="AG798" i="16" s="1"/>
  <c r="J786" i="16"/>
  <c r="AG786" i="16" s="1"/>
  <c r="J774" i="16"/>
  <c r="AG774" i="16" s="1"/>
  <c r="J762" i="16"/>
  <c r="AG762" i="16" s="1"/>
  <c r="J750" i="16"/>
  <c r="AG750" i="16" s="1"/>
  <c r="J738" i="16"/>
  <c r="AG738" i="16" s="1"/>
  <c r="J726" i="16"/>
  <c r="AG726" i="16" s="1"/>
  <c r="J714" i="16"/>
  <c r="AG714" i="16" s="1"/>
  <c r="J702" i="16"/>
  <c r="AG702" i="16" s="1"/>
  <c r="J690" i="16"/>
  <c r="AG690" i="16" s="1"/>
  <c r="J678" i="16"/>
  <c r="AG678" i="16" s="1"/>
  <c r="J666" i="16"/>
  <c r="AG666" i="16" s="1"/>
  <c r="J654" i="16"/>
  <c r="AG654" i="16" s="1"/>
  <c r="J642" i="16"/>
  <c r="AG642" i="16" s="1"/>
  <c r="J630" i="16"/>
  <c r="AG630" i="16" s="1"/>
  <c r="J618" i="16"/>
  <c r="AG618" i="16" s="1"/>
  <c r="J606" i="16"/>
  <c r="AG606" i="16" s="1"/>
  <c r="J594" i="16"/>
  <c r="AG594" i="16" s="1"/>
  <c r="J582" i="16"/>
  <c r="AG582" i="16" s="1"/>
  <c r="J570" i="16"/>
  <c r="AG570" i="16" s="1"/>
  <c r="J558" i="16"/>
  <c r="AG558" i="16" s="1"/>
  <c r="J546" i="16"/>
  <c r="AG546" i="16" s="1"/>
  <c r="J534" i="16"/>
  <c r="AG534" i="16" s="1"/>
  <c r="J522" i="16"/>
  <c r="AG522" i="16" s="1"/>
  <c r="J510" i="16"/>
  <c r="AG510" i="16" s="1"/>
  <c r="J498" i="16"/>
  <c r="AG498" i="16" s="1"/>
  <c r="J486" i="16"/>
  <c r="AG486" i="16" s="1"/>
  <c r="J474" i="16"/>
  <c r="AG474" i="16" s="1"/>
  <c r="J462" i="16"/>
  <c r="AG462" i="16" s="1"/>
  <c r="J450" i="16"/>
  <c r="AG450" i="16" s="1"/>
  <c r="J438" i="16"/>
  <c r="AG438" i="16" s="1"/>
  <c r="J426" i="16"/>
  <c r="AG426" i="16" s="1"/>
  <c r="J414" i="16"/>
  <c r="AG414" i="16" s="1"/>
  <c r="J402" i="16"/>
  <c r="AG402" i="16" s="1"/>
  <c r="J390" i="16"/>
  <c r="AG390" i="16" s="1"/>
  <c r="J378" i="16"/>
  <c r="AG378" i="16" s="1"/>
  <c r="J366" i="16"/>
  <c r="AG366" i="16" s="1"/>
  <c r="J354" i="16"/>
  <c r="AG354" i="16" s="1"/>
  <c r="J342" i="16"/>
  <c r="AG342" i="16" s="1"/>
  <c r="J330" i="16"/>
  <c r="AG330" i="16" s="1"/>
  <c r="J318" i="16"/>
  <c r="AG318" i="16" s="1"/>
  <c r="J306" i="16"/>
  <c r="AG306" i="16" s="1"/>
  <c r="J294" i="16"/>
  <c r="AG294" i="16" s="1"/>
  <c r="J282" i="16"/>
  <c r="AG282" i="16" s="1"/>
  <c r="J270" i="16"/>
  <c r="AG270" i="16" s="1"/>
  <c r="J258" i="16"/>
  <c r="AG258" i="16" s="1"/>
  <c r="J246" i="16"/>
  <c r="AG246" i="16" s="1"/>
  <c r="J234" i="16"/>
  <c r="AG234" i="16" s="1"/>
  <c r="J222" i="16"/>
  <c r="AG222" i="16" s="1"/>
  <c r="J210" i="16"/>
  <c r="AG210" i="16" s="1"/>
  <c r="J198" i="16"/>
  <c r="AG198" i="16" s="1"/>
  <c r="J186" i="16"/>
  <c r="AG186" i="16" s="1"/>
  <c r="J174" i="16"/>
  <c r="AG174" i="16" s="1"/>
  <c r="J162" i="16"/>
  <c r="AG162" i="16" s="1"/>
  <c r="J150" i="16"/>
  <c r="AG150" i="16" s="1"/>
  <c r="J138" i="16"/>
  <c r="AG138" i="16" s="1"/>
  <c r="J126" i="16"/>
  <c r="AG126" i="16" s="1"/>
  <c r="J114" i="16"/>
  <c r="AG114" i="16" s="1"/>
  <c r="J102" i="16"/>
  <c r="AG102" i="16" s="1"/>
  <c r="J90" i="16"/>
  <c r="AG90" i="16" s="1"/>
  <c r="J78" i="16"/>
  <c r="AG78" i="16" s="1"/>
  <c r="J66" i="16"/>
  <c r="AG66" i="16" s="1"/>
  <c r="J54" i="16"/>
  <c r="AG54" i="16" s="1"/>
  <c r="J42" i="16"/>
  <c r="AG42" i="16" s="1"/>
  <c r="J30" i="16"/>
  <c r="AG30" i="16" s="1"/>
  <c r="J18" i="16"/>
  <c r="AG18" i="16" s="1"/>
  <c r="J6" i="16"/>
  <c r="AG6" i="16" s="1"/>
  <c r="U1151" i="2"/>
  <c r="H1151" i="16" s="1"/>
  <c r="H1150" i="16"/>
  <c r="U1017" i="2"/>
  <c r="U875" i="2"/>
  <c r="H875" i="16" s="1"/>
  <c r="H874" i="16"/>
  <c r="U828" i="2"/>
  <c r="H828" i="16" s="1"/>
  <c r="U799" i="2"/>
  <c r="H799" i="16" s="1"/>
  <c r="U689" i="2"/>
  <c r="H689" i="16" s="1"/>
  <c r="H688" i="16"/>
  <c r="U676" i="2"/>
  <c r="H676" i="16" s="1"/>
  <c r="U618" i="2"/>
  <c r="U601" i="2"/>
  <c r="U573" i="2"/>
  <c r="H573" i="16" s="1"/>
  <c r="H572" i="16"/>
  <c r="U479" i="2"/>
  <c r="H478" i="16"/>
  <c r="U450" i="2"/>
  <c r="H450" i="16" s="1"/>
  <c r="H449" i="16"/>
  <c r="U356" i="2"/>
  <c r="H356" i="16" s="1"/>
  <c r="U341" i="2"/>
  <c r="U258" i="2"/>
  <c r="U230" i="2"/>
  <c r="H230" i="16" s="1"/>
  <c r="U217" i="2"/>
  <c r="U155" i="2"/>
  <c r="H155" i="16" s="1"/>
  <c r="U143" i="2"/>
  <c r="H143" i="16" s="1"/>
  <c r="AG1017" i="2"/>
  <c r="AH1017" i="2" s="1"/>
  <c r="P1017" i="16" s="1"/>
  <c r="AG828" i="2"/>
  <c r="AG676" i="2"/>
  <c r="AG618" i="2"/>
  <c r="AG601" i="2"/>
  <c r="AL601" i="2" s="1"/>
  <c r="AG356" i="2"/>
  <c r="AG341" i="2"/>
  <c r="AG258" i="2"/>
  <c r="AG230" i="2"/>
  <c r="AG217" i="2"/>
  <c r="AG155" i="2"/>
  <c r="AG143" i="2"/>
  <c r="N1207" i="16"/>
  <c r="N1195" i="16"/>
  <c r="N1180" i="16"/>
  <c r="N1167" i="16"/>
  <c r="N1139" i="16"/>
  <c r="N1126" i="16"/>
  <c r="N1112" i="16"/>
  <c r="N1080" i="16"/>
  <c r="N1062" i="16"/>
  <c r="N1049" i="16"/>
  <c r="N1034" i="16"/>
  <c r="N1020" i="16"/>
  <c r="N1007" i="16"/>
  <c r="N995" i="16"/>
  <c r="N949" i="16"/>
  <c r="N934" i="16"/>
  <c r="N921" i="16"/>
  <c r="N878" i="16"/>
  <c r="N847" i="16"/>
  <c r="N831" i="16"/>
  <c r="N816" i="16"/>
  <c r="N802" i="16"/>
  <c r="N788" i="16"/>
  <c r="N775" i="16"/>
  <c r="N747" i="16"/>
  <c r="N720" i="16"/>
  <c r="N692" i="16"/>
  <c r="N679" i="16"/>
  <c r="N621" i="16"/>
  <c r="N605" i="16"/>
  <c r="N576" i="16"/>
  <c r="N560" i="16"/>
  <c r="N528" i="16"/>
  <c r="N497" i="16"/>
  <c r="N467" i="16"/>
  <c r="N439" i="16"/>
  <c r="N425" i="16"/>
  <c r="N386" i="16"/>
  <c r="N374" i="16"/>
  <c r="N359" i="16"/>
  <c r="N345" i="16"/>
  <c r="N315" i="16"/>
  <c r="N288" i="16"/>
  <c r="N275" i="16"/>
  <c r="N261" i="16"/>
  <c r="N234" i="16"/>
  <c r="N221" i="16"/>
  <c r="N208" i="16"/>
  <c r="N196" i="16"/>
  <c r="N184" i="16"/>
  <c r="N171" i="16"/>
  <c r="N158" i="16"/>
  <c r="N120" i="16"/>
  <c r="N107" i="16"/>
  <c r="N95" i="16"/>
  <c r="N83" i="16"/>
  <c r="N71" i="16"/>
  <c r="N59" i="16"/>
  <c r="N45" i="16"/>
  <c r="N33" i="16"/>
  <c r="N21" i="16"/>
  <c r="N9" i="16"/>
  <c r="A284" i="16"/>
  <c r="T285" i="2"/>
  <c r="A285" i="16" s="1"/>
  <c r="T703" i="2"/>
  <c r="A703" i="16" s="1"/>
  <c r="A702" i="16"/>
  <c r="A413" i="16"/>
  <c r="T414" i="2"/>
  <c r="A414" i="16" s="1"/>
  <c r="A664" i="16"/>
  <c r="T665" i="2"/>
  <c r="A223" i="16"/>
  <c r="T224" i="2"/>
  <c r="A224" i="16" s="1"/>
  <c r="T640" i="2"/>
  <c r="A639" i="16"/>
  <c r="B1037" i="16"/>
  <c r="B1023" i="16"/>
  <c r="B1010" i="16"/>
  <c r="B985" i="16"/>
  <c r="B563" i="16"/>
  <c r="B532" i="16"/>
  <c r="B516" i="16"/>
  <c r="B389" i="16"/>
  <c r="J1205" i="16"/>
  <c r="AG1205" i="16" s="1"/>
  <c r="J1193" i="16"/>
  <c r="AG1193" i="16" s="1"/>
  <c r="J1181" i="16"/>
  <c r="AG1181" i="16" s="1"/>
  <c r="J1169" i="16"/>
  <c r="AG1169" i="16" s="1"/>
  <c r="J1157" i="16"/>
  <c r="AG1157" i="16" s="1"/>
  <c r="J1145" i="16"/>
  <c r="AG1145" i="16" s="1"/>
  <c r="J1133" i="16"/>
  <c r="AG1133" i="16" s="1"/>
  <c r="J1121" i="16"/>
  <c r="AG1121" i="16" s="1"/>
  <c r="J1109" i="16"/>
  <c r="AG1109" i="16" s="1"/>
  <c r="J1097" i="16"/>
  <c r="AG1097" i="16" s="1"/>
  <c r="J1085" i="16"/>
  <c r="AG1085" i="16" s="1"/>
  <c r="J1073" i="16"/>
  <c r="AG1073" i="16" s="1"/>
  <c r="J1061" i="16"/>
  <c r="AG1061" i="16" s="1"/>
  <c r="J1049" i="16"/>
  <c r="AG1049" i="16" s="1"/>
  <c r="J1037" i="16"/>
  <c r="AG1037" i="16" s="1"/>
  <c r="J1025" i="16"/>
  <c r="AG1025" i="16" s="1"/>
  <c r="J1013" i="16"/>
  <c r="AG1013" i="16" s="1"/>
  <c r="J1001" i="16"/>
  <c r="AG1001" i="16" s="1"/>
  <c r="J989" i="16"/>
  <c r="AG989" i="16" s="1"/>
  <c r="J977" i="16"/>
  <c r="AG977" i="16" s="1"/>
  <c r="J965" i="16"/>
  <c r="AG965" i="16" s="1"/>
  <c r="J953" i="16"/>
  <c r="AG953" i="16" s="1"/>
  <c r="J941" i="16"/>
  <c r="AG941" i="16" s="1"/>
  <c r="J929" i="16"/>
  <c r="AG929" i="16" s="1"/>
  <c r="J917" i="16"/>
  <c r="AG917" i="16" s="1"/>
  <c r="J905" i="16"/>
  <c r="AG905" i="16" s="1"/>
  <c r="J893" i="16"/>
  <c r="AG893" i="16" s="1"/>
  <c r="J881" i="16"/>
  <c r="AG881" i="16" s="1"/>
  <c r="J869" i="16"/>
  <c r="AG869" i="16" s="1"/>
  <c r="J857" i="16"/>
  <c r="AG857" i="16" s="1"/>
  <c r="J845" i="16"/>
  <c r="AG845" i="16" s="1"/>
  <c r="J833" i="16"/>
  <c r="AG833" i="16" s="1"/>
  <c r="J821" i="16"/>
  <c r="AG821" i="16" s="1"/>
  <c r="J809" i="16"/>
  <c r="AG809" i="16" s="1"/>
  <c r="J797" i="16"/>
  <c r="AG797" i="16" s="1"/>
  <c r="J785" i="16"/>
  <c r="AG785" i="16" s="1"/>
  <c r="J773" i="16"/>
  <c r="AG773" i="16" s="1"/>
  <c r="J761" i="16"/>
  <c r="AG761" i="16" s="1"/>
  <c r="J749" i="16"/>
  <c r="AG749" i="16" s="1"/>
  <c r="J737" i="16"/>
  <c r="AG737" i="16" s="1"/>
  <c r="J725" i="16"/>
  <c r="AG725" i="16" s="1"/>
  <c r="J713" i="16"/>
  <c r="AG713" i="16" s="1"/>
  <c r="J701" i="16"/>
  <c r="AG701" i="16" s="1"/>
  <c r="J689" i="16"/>
  <c r="AG689" i="16" s="1"/>
  <c r="J677" i="16"/>
  <c r="AG677" i="16" s="1"/>
  <c r="J665" i="16"/>
  <c r="AG665" i="16" s="1"/>
  <c r="J653" i="16"/>
  <c r="AG653" i="16" s="1"/>
  <c r="J641" i="16"/>
  <c r="AG641" i="16" s="1"/>
  <c r="J629" i="16"/>
  <c r="AG629" i="16" s="1"/>
  <c r="J617" i="16"/>
  <c r="AG617" i="16" s="1"/>
  <c r="J605" i="16"/>
  <c r="AG605" i="16" s="1"/>
  <c r="J593" i="16"/>
  <c r="AG593" i="16" s="1"/>
  <c r="J581" i="16"/>
  <c r="AG581" i="16" s="1"/>
  <c r="J569" i="16"/>
  <c r="AG569" i="16" s="1"/>
  <c r="J557" i="16"/>
  <c r="AG557" i="16" s="1"/>
  <c r="J545" i="16"/>
  <c r="AG545" i="16" s="1"/>
  <c r="J533" i="16"/>
  <c r="AG533" i="16" s="1"/>
  <c r="J521" i="16"/>
  <c r="AG521" i="16" s="1"/>
  <c r="J509" i="16"/>
  <c r="AG509" i="16" s="1"/>
  <c r="J497" i="16"/>
  <c r="AG497" i="16" s="1"/>
  <c r="J485" i="16"/>
  <c r="AG485" i="16" s="1"/>
  <c r="J473" i="16"/>
  <c r="AG473" i="16" s="1"/>
  <c r="J461" i="16"/>
  <c r="AG461" i="16" s="1"/>
  <c r="J449" i="16"/>
  <c r="AG449" i="16" s="1"/>
  <c r="J437" i="16"/>
  <c r="AG437" i="16" s="1"/>
  <c r="J425" i="16"/>
  <c r="AG425" i="16" s="1"/>
  <c r="J413" i="16"/>
  <c r="AG413" i="16" s="1"/>
  <c r="J401" i="16"/>
  <c r="AG401" i="16" s="1"/>
  <c r="J389" i="16"/>
  <c r="AG389" i="16" s="1"/>
  <c r="J377" i="16"/>
  <c r="AG377" i="16" s="1"/>
  <c r="J365" i="16"/>
  <c r="AG365" i="16" s="1"/>
  <c r="J353" i="16"/>
  <c r="AG353" i="16" s="1"/>
  <c r="J341" i="16"/>
  <c r="AG341" i="16" s="1"/>
  <c r="J329" i="16"/>
  <c r="AG329" i="16" s="1"/>
  <c r="J317" i="16"/>
  <c r="AG317" i="16" s="1"/>
  <c r="J305" i="16"/>
  <c r="AG305" i="16" s="1"/>
  <c r="J293" i="16"/>
  <c r="AG293" i="16" s="1"/>
  <c r="J281" i="16"/>
  <c r="AG281" i="16" s="1"/>
  <c r="J269" i="16"/>
  <c r="AG269" i="16" s="1"/>
  <c r="J257" i="16"/>
  <c r="AG257" i="16" s="1"/>
  <c r="J245" i="16"/>
  <c r="AG245" i="16" s="1"/>
  <c r="J233" i="16"/>
  <c r="AG233" i="16" s="1"/>
  <c r="J221" i="16"/>
  <c r="AG221" i="16" s="1"/>
  <c r="J209" i="16"/>
  <c r="AG209" i="16" s="1"/>
  <c r="J197" i="16"/>
  <c r="AG197" i="16" s="1"/>
  <c r="J185" i="16"/>
  <c r="AG185" i="16" s="1"/>
  <c r="J173" i="16"/>
  <c r="AG173" i="16" s="1"/>
  <c r="J161" i="16"/>
  <c r="AG161" i="16" s="1"/>
  <c r="J149" i="16"/>
  <c r="AG149" i="16" s="1"/>
  <c r="J137" i="16"/>
  <c r="AG137" i="16" s="1"/>
  <c r="J125" i="16"/>
  <c r="AG125" i="16" s="1"/>
  <c r="J113" i="16"/>
  <c r="AG113" i="16" s="1"/>
  <c r="J101" i="16"/>
  <c r="AG101" i="16" s="1"/>
  <c r="J89" i="16"/>
  <c r="AG89" i="16" s="1"/>
  <c r="J77" i="16"/>
  <c r="AG77" i="16" s="1"/>
  <c r="J65" i="16"/>
  <c r="AG65" i="16" s="1"/>
  <c r="J53" i="16"/>
  <c r="AG53" i="16" s="1"/>
  <c r="J41" i="16"/>
  <c r="AG41" i="16" s="1"/>
  <c r="J29" i="16"/>
  <c r="AG29" i="16" s="1"/>
  <c r="J17" i="16"/>
  <c r="AG17" i="16" s="1"/>
  <c r="J5" i="16"/>
  <c r="AG5" i="16" s="1"/>
  <c r="U1176" i="2"/>
  <c r="H1176" i="16" s="1"/>
  <c r="H1175" i="16"/>
  <c r="U1148" i="2"/>
  <c r="H1148" i="16" s="1"/>
  <c r="H1147" i="16"/>
  <c r="U959" i="2"/>
  <c r="H959" i="16" s="1"/>
  <c r="H958" i="16"/>
  <c r="U930" i="2"/>
  <c r="H929" i="16"/>
  <c r="U916" i="2"/>
  <c r="H916" i="16" s="1"/>
  <c r="H915" i="16"/>
  <c r="U887" i="2"/>
  <c r="H887" i="16" s="1"/>
  <c r="H886" i="16"/>
  <c r="U702" i="2"/>
  <c r="U631" i="2"/>
  <c r="H631" i="16" s="1"/>
  <c r="H630" i="16"/>
  <c r="U555" i="2"/>
  <c r="H555" i="16" s="1"/>
  <c r="H554" i="16"/>
  <c r="U477" i="2"/>
  <c r="H477" i="16" s="1"/>
  <c r="H476" i="16"/>
  <c r="U244" i="2"/>
  <c r="H244" i="16" s="1"/>
  <c r="H243" i="16"/>
  <c r="N1206" i="16"/>
  <c r="N1179" i="16"/>
  <c r="N1166" i="16"/>
  <c r="N1153" i="16"/>
  <c r="N1138" i="16"/>
  <c r="N1111" i="16"/>
  <c r="N1091" i="16"/>
  <c r="N1079" i="16"/>
  <c r="N1061" i="16"/>
  <c r="N1048" i="16"/>
  <c r="N1033" i="16"/>
  <c r="N1019" i="16"/>
  <c r="N1006" i="16"/>
  <c r="N994" i="16"/>
  <c r="N979" i="16"/>
  <c r="N962" i="16"/>
  <c r="N948" i="16"/>
  <c r="N933" i="16"/>
  <c r="N903" i="16"/>
  <c r="N890" i="16"/>
  <c r="N877" i="16"/>
  <c r="N846" i="16"/>
  <c r="N830" i="16"/>
  <c r="N801" i="16"/>
  <c r="N787" i="16"/>
  <c r="N774" i="16"/>
  <c r="N759" i="16"/>
  <c r="N746" i="16"/>
  <c r="N732" i="16"/>
  <c r="N719" i="16"/>
  <c r="N706" i="16"/>
  <c r="N691" i="16"/>
  <c r="N678" i="16"/>
  <c r="N663" i="16"/>
  <c r="N649" i="16"/>
  <c r="N634" i="16"/>
  <c r="N620" i="16"/>
  <c r="N604" i="16"/>
  <c r="N589" i="16"/>
  <c r="N575" i="16"/>
  <c r="N559" i="16"/>
  <c r="N527" i="16"/>
  <c r="N511" i="16"/>
  <c r="N496" i="16"/>
  <c r="N466" i="16"/>
  <c r="N452" i="16"/>
  <c r="N438" i="16"/>
  <c r="N424" i="16"/>
  <c r="N412" i="16"/>
  <c r="N399" i="16"/>
  <c r="N385" i="16"/>
  <c r="N373" i="16"/>
  <c r="N358" i="16"/>
  <c r="N344" i="16"/>
  <c r="N299" i="16"/>
  <c r="N287" i="16"/>
  <c r="N274" i="16"/>
  <c r="N260" i="16"/>
  <c r="N247" i="16"/>
  <c r="N220" i="16"/>
  <c r="N207" i="16"/>
  <c r="N195" i="16"/>
  <c r="N183" i="16"/>
  <c r="N170" i="16"/>
  <c r="N157" i="16"/>
  <c r="N145" i="16"/>
  <c r="N106" i="16"/>
  <c r="N94" i="16"/>
  <c r="N82" i="16"/>
  <c r="N70" i="16"/>
  <c r="N58" i="16"/>
  <c r="N44" i="16"/>
  <c r="N32" i="16"/>
  <c r="N20" i="16"/>
  <c r="N8" i="16"/>
  <c r="T943" i="2"/>
  <c r="A943" i="16" s="1"/>
  <c r="A942" i="16"/>
  <c r="T500" i="2"/>
  <c r="A500" i="16" s="1"/>
  <c r="A499" i="16"/>
  <c r="B47" i="16"/>
  <c r="J1204" i="16"/>
  <c r="AG1204" i="16" s="1"/>
  <c r="J1192" i="16"/>
  <c r="AG1192" i="16" s="1"/>
  <c r="J1180" i="16"/>
  <c r="AG1180" i="16" s="1"/>
  <c r="J1168" i="16"/>
  <c r="AG1168" i="16" s="1"/>
  <c r="J1156" i="16"/>
  <c r="AG1156" i="16" s="1"/>
  <c r="J1144" i="16"/>
  <c r="AG1144" i="16" s="1"/>
  <c r="J1132" i="16"/>
  <c r="AG1132" i="16" s="1"/>
  <c r="J1120" i="16"/>
  <c r="AG1120" i="16" s="1"/>
  <c r="J1108" i="16"/>
  <c r="AG1108" i="16" s="1"/>
  <c r="J1096" i="16"/>
  <c r="AG1096" i="16" s="1"/>
  <c r="J1084" i="16"/>
  <c r="AG1084" i="16" s="1"/>
  <c r="J1072" i="16"/>
  <c r="AG1072" i="16" s="1"/>
  <c r="J1060" i="16"/>
  <c r="AG1060" i="16" s="1"/>
  <c r="J1048" i="16"/>
  <c r="AG1048" i="16" s="1"/>
  <c r="J1036" i="16"/>
  <c r="AG1036" i="16" s="1"/>
  <c r="J1024" i="16"/>
  <c r="AG1024" i="16" s="1"/>
  <c r="J1012" i="16"/>
  <c r="AG1012" i="16" s="1"/>
  <c r="J1000" i="16"/>
  <c r="AG1000" i="16" s="1"/>
  <c r="J988" i="16"/>
  <c r="AG988" i="16" s="1"/>
  <c r="J976" i="16"/>
  <c r="AG976" i="16" s="1"/>
  <c r="J964" i="16"/>
  <c r="AG964" i="16" s="1"/>
  <c r="J952" i="16"/>
  <c r="AG952" i="16" s="1"/>
  <c r="J940" i="16"/>
  <c r="AG940" i="16" s="1"/>
  <c r="J928" i="16"/>
  <c r="AG928" i="16" s="1"/>
  <c r="J916" i="16"/>
  <c r="AG916" i="16" s="1"/>
  <c r="J904" i="16"/>
  <c r="AG904" i="16" s="1"/>
  <c r="J892" i="16"/>
  <c r="AG892" i="16" s="1"/>
  <c r="J880" i="16"/>
  <c r="AG880" i="16" s="1"/>
  <c r="J868" i="16"/>
  <c r="AG868" i="16" s="1"/>
  <c r="J856" i="16"/>
  <c r="AG856" i="16" s="1"/>
  <c r="J844" i="16"/>
  <c r="AG844" i="16" s="1"/>
  <c r="J832" i="16"/>
  <c r="AG832" i="16" s="1"/>
  <c r="J820" i="16"/>
  <c r="AG820" i="16" s="1"/>
  <c r="J808" i="16"/>
  <c r="AG808" i="16" s="1"/>
  <c r="J796" i="16"/>
  <c r="AG796" i="16" s="1"/>
  <c r="J784" i="16"/>
  <c r="AG784" i="16" s="1"/>
  <c r="J772" i="16"/>
  <c r="AG772" i="16" s="1"/>
  <c r="J760" i="16"/>
  <c r="AG760" i="16" s="1"/>
  <c r="J748" i="16"/>
  <c r="AG748" i="16" s="1"/>
  <c r="J736" i="16"/>
  <c r="AG736" i="16" s="1"/>
  <c r="J724" i="16"/>
  <c r="AG724" i="16" s="1"/>
  <c r="J712" i="16"/>
  <c r="AG712" i="16" s="1"/>
  <c r="J700" i="16"/>
  <c r="AG700" i="16" s="1"/>
  <c r="J688" i="16"/>
  <c r="AG688" i="16" s="1"/>
  <c r="J676" i="16"/>
  <c r="AG676" i="16" s="1"/>
  <c r="J664" i="16"/>
  <c r="AG664" i="16" s="1"/>
  <c r="J652" i="16"/>
  <c r="AG652" i="16" s="1"/>
  <c r="J640" i="16"/>
  <c r="AG640" i="16" s="1"/>
  <c r="J628" i="16"/>
  <c r="AG628" i="16" s="1"/>
  <c r="J616" i="16"/>
  <c r="AG616" i="16" s="1"/>
  <c r="J604" i="16"/>
  <c r="AG604" i="16" s="1"/>
  <c r="J592" i="16"/>
  <c r="AG592" i="16" s="1"/>
  <c r="J580" i="16"/>
  <c r="AG580" i="16" s="1"/>
  <c r="J568" i="16"/>
  <c r="AG568" i="16" s="1"/>
  <c r="J556" i="16"/>
  <c r="AG556" i="16" s="1"/>
  <c r="J544" i="16"/>
  <c r="AG544" i="16" s="1"/>
  <c r="J532" i="16"/>
  <c r="AG532" i="16" s="1"/>
  <c r="J520" i="16"/>
  <c r="AG520" i="16" s="1"/>
  <c r="J508" i="16"/>
  <c r="AG508" i="16" s="1"/>
  <c r="J496" i="16"/>
  <c r="AG496" i="16" s="1"/>
  <c r="J484" i="16"/>
  <c r="AG484" i="16" s="1"/>
  <c r="J472" i="16"/>
  <c r="AG472" i="16" s="1"/>
  <c r="J460" i="16"/>
  <c r="AG460" i="16" s="1"/>
  <c r="J448" i="16"/>
  <c r="AG448" i="16" s="1"/>
  <c r="J436" i="16"/>
  <c r="AG436" i="16" s="1"/>
  <c r="J424" i="16"/>
  <c r="AG424" i="16" s="1"/>
  <c r="J412" i="16"/>
  <c r="AG412" i="16" s="1"/>
  <c r="J400" i="16"/>
  <c r="AG400" i="16" s="1"/>
  <c r="J388" i="16"/>
  <c r="AG388" i="16" s="1"/>
  <c r="J376" i="16"/>
  <c r="AG376" i="16" s="1"/>
  <c r="J364" i="16"/>
  <c r="AG364" i="16" s="1"/>
  <c r="J352" i="16"/>
  <c r="AG352" i="16" s="1"/>
  <c r="J340" i="16"/>
  <c r="AG340" i="16" s="1"/>
  <c r="J328" i="16"/>
  <c r="AG328" i="16" s="1"/>
  <c r="J316" i="16"/>
  <c r="AG316" i="16" s="1"/>
  <c r="J304" i="16"/>
  <c r="AG304" i="16" s="1"/>
  <c r="J292" i="16"/>
  <c r="AG292" i="16" s="1"/>
  <c r="J280" i="16"/>
  <c r="AG280" i="16" s="1"/>
  <c r="J268" i="16"/>
  <c r="AG268" i="16" s="1"/>
  <c r="J256" i="16"/>
  <c r="AG256" i="16" s="1"/>
  <c r="J244" i="16"/>
  <c r="AG244" i="16" s="1"/>
  <c r="J232" i="16"/>
  <c r="AG232" i="16" s="1"/>
  <c r="J220" i="16"/>
  <c r="AG220" i="16" s="1"/>
  <c r="J208" i="16"/>
  <c r="AG208" i="16" s="1"/>
  <c r="J196" i="16"/>
  <c r="AG196" i="16" s="1"/>
  <c r="J184" i="16"/>
  <c r="AG184" i="16" s="1"/>
  <c r="J172" i="16"/>
  <c r="AG172" i="16" s="1"/>
  <c r="J160" i="16"/>
  <c r="AG160" i="16" s="1"/>
  <c r="J148" i="16"/>
  <c r="AG148" i="16" s="1"/>
  <c r="J136" i="16"/>
  <c r="AG136" i="16" s="1"/>
  <c r="J124" i="16"/>
  <c r="AG124" i="16" s="1"/>
  <c r="J112" i="16"/>
  <c r="AG112" i="16" s="1"/>
  <c r="J100" i="16"/>
  <c r="AG100" i="16" s="1"/>
  <c r="J88" i="16"/>
  <c r="AG88" i="16" s="1"/>
  <c r="J76" i="16"/>
  <c r="AG76" i="16" s="1"/>
  <c r="J64" i="16"/>
  <c r="AG64" i="16" s="1"/>
  <c r="J52" i="16"/>
  <c r="AG52" i="16" s="1"/>
  <c r="J40" i="16"/>
  <c r="AG40" i="16" s="1"/>
  <c r="J28" i="16"/>
  <c r="AG28" i="16" s="1"/>
  <c r="J16" i="16"/>
  <c r="AG16" i="16" s="1"/>
  <c r="J4" i="16"/>
  <c r="AG4" i="16" s="1"/>
  <c r="U1107" i="2"/>
  <c r="H1107" i="16" s="1"/>
  <c r="H1106" i="16"/>
  <c r="U1044" i="2"/>
  <c r="H1044" i="16" s="1"/>
  <c r="H1043" i="16"/>
  <c r="U1002" i="2"/>
  <c r="U942" i="2"/>
  <c r="H942" i="16" s="1"/>
  <c r="H941" i="16"/>
  <c r="U885" i="2"/>
  <c r="H885" i="16" s="1"/>
  <c r="U839" i="2"/>
  <c r="H839" i="16" s="1"/>
  <c r="H838" i="16"/>
  <c r="U796" i="2"/>
  <c r="H796" i="16" s="1"/>
  <c r="U783" i="2"/>
  <c r="H783" i="16" s="1"/>
  <c r="U699" i="2"/>
  <c r="U615" i="2"/>
  <c r="H615" i="16" s="1"/>
  <c r="H614" i="16"/>
  <c r="U599" i="2"/>
  <c r="H599" i="16" s="1"/>
  <c r="U570" i="2"/>
  <c r="H570" i="16" s="1"/>
  <c r="U553" i="2"/>
  <c r="H553" i="16" s="1"/>
  <c r="H552" i="16"/>
  <c r="U521" i="2"/>
  <c r="H521" i="16" s="1"/>
  <c r="U433" i="2"/>
  <c r="H433" i="16" s="1"/>
  <c r="H432" i="16"/>
  <c r="U368" i="2"/>
  <c r="H367" i="16"/>
  <c r="U326" i="2"/>
  <c r="H325" i="16"/>
  <c r="U295" i="2"/>
  <c r="H295" i="16" s="1"/>
  <c r="U203" i="2"/>
  <c r="H203" i="16" s="1"/>
  <c r="U78" i="2"/>
  <c r="AG1002" i="2"/>
  <c r="AG885" i="2"/>
  <c r="AH885" i="2" s="1"/>
  <c r="P885" i="16" s="1"/>
  <c r="AG796" i="2"/>
  <c r="AH796" i="2" s="1"/>
  <c r="P796" i="16" s="1"/>
  <c r="AG783" i="2"/>
  <c r="AH783" i="2" s="1"/>
  <c r="P783" i="16" s="1"/>
  <c r="AG699" i="2"/>
  <c r="AG599" i="2"/>
  <c r="AG521" i="2"/>
  <c r="AG295" i="2"/>
  <c r="AG203" i="2"/>
  <c r="AG78" i="2"/>
  <c r="N1205" i="16"/>
  <c r="N1178" i="16"/>
  <c r="N1165" i="16"/>
  <c r="N1152" i="16"/>
  <c r="N1137" i="16"/>
  <c r="N1110" i="16"/>
  <c r="N1090" i="16"/>
  <c r="N1047" i="16"/>
  <c r="N1032" i="16"/>
  <c r="N1018" i="16"/>
  <c r="N961" i="16"/>
  <c r="N932" i="16"/>
  <c r="N918" i="16"/>
  <c r="N889" i="16"/>
  <c r="N876" i="16"/>
  <c r="N859" i="16"/>
  <c r="N829" i="16"/>
  <c r="N812" i="16"/>
  <c r="N800" i="16"/>
  <c r="N786" i="16"/>
  <c r="N773" i="16"/>
  <c r="N758" i="16"/>
  <c r="N745" i="16"/>
  <c r="N731" i="16"/>
  <c r="N705" i="16"/>
  <c r="N690" i="16"/>
  <c r="N677" i="16"/>
  <c r="N662" i="16"/>
  <c r="N648" i="16"/>
  <c r="N633" i="16"/>
  <c r="N588" i="16"/>
  <c r="N574" i="16"/>
  <c r="N495" i="16"/>
  <c r="N465" i="16"/>
  <c r="N451" i="16"/>
  <c r="N423" i="16"/>
  <c r="N411" i="16"/>
  <c r="N384" i="16"/>
  <c r="N372" i="16"/>
  <c r="N357" i="16"/>
  <c r="N343" i="16"/>
  <c r="N298" i="16"/>
  <c r="N286" i="16"/>
  <c r="N259" i="16"/>
  <c r="N246" i="16"/>
  <c r="N231" i="16"/>
  <c r="N206" i="16"/>
  <c r="N194" i="16"/>
  <c r="N182" i="16"/>
  <c r="N169" i="16"/>
  <c r="N156" i="16"/>
  <c r="N144" i="16"/>
  <c r="N117" i="16"/>
  <c r="N105" i="16"/>
  <c r="N93" i="16"/>
  <c r="N69" i="16"/>
  <c r="N57" i="16"/>
  <c r="N43" i="16"/>
  <c r="N19" i="16"/>
  <c r="N7" i="16"/>
  <c r="T1149" i="2"/>
  <c r="A1149" i="16" s="1"/>
  <c r="A1148" i="16"/>
  <c r="A479" i="16"/>
  <c r="T480" i="2"/>
  <c r="A480" i="16" s="1"/>
  <c r="T1077" i="2"/>
  <c r="A1076" i="16"/>
  <c r="Z34" i="2"/>
  <c r="Z22" i="2"/>
  <c r="AQ22" i="2" s="1"/>
  <c r="J1203" i="16"/>
  <c r="AG1203" i="16" s="1"/>
  <c r="J1191" i="16"/>
  <c r="AG1191" i="16" s="1"/>
  <c r="J1179" i="16"/>
  <c r="AG1179" i="16" s="1"/>
  <c r="J1167" i="16"/>
  <c r="AG1167" i="16" s="1"/>
  <c r="J1155" i="16"/>
  <c r="AG1155" i="16" s="1"/>
  <c r="J1143" i="16"/>
  <c r="AG1143" i="16" s="1"/>
  <c r="J1131" i="16"/>
  <c r="AG1131" i="16" s="1"/>
  <c r="J1119" i="16"/>
  <c r="AG1119" i="16" s="1"/>
  <c r="J1107" i="16"/>
  <c r="AG1107" i="16" s="1"/>
  <c r="J1095" i="16"/>
  <c r="AG1095" i="16" s="1"/>
  <c r="J1083" i="16"/>
  <c r="AG1083" i="16" s="1"/>
  <c r="J1071" i="16"/>
  <c r="AG1071" i="16" s="1"/>
  <c r="J1059" i="16"/>
  <c r="AG1059" i="16" s="1"/>
  <c r="J1047" i="16"/>
  <c r="AG1047" i="16" s="1"/>
  <c r="J1035" i="16"/>
  <c r="AG1035" i="16" s="1"/>
  <c r="J1023" i="16"/>
  <c r="AG1023" i="16" s="1"/>
  <c r="J1011" i="16"/>
  <c r="AG1011" i="16" s="1"/>
  <c r="J999" i="16"/>
  <c r="AG999" i="16" s="1"/>
  <c r="J987" i="16"/>
  <c r="AG987" i="16" s="1"/>
  <c r="J975" i="16"/>
  <c r="AG975" i="16" s="1"/>
  <c r="J963" i="16"/>
  <c r="AG963" i="16" s="1"/>
  <c r="J951" i="16"/>
  <c r="AG951" i="16" s="1"/>
  <c r="J939" i="16"/>
  <c r="AG939" i="16" s="1"/>
  <c r="J927" i="16"/>
  <c r="AG927" i="16" s="1"/>
  <c r="J915" i="16"/>
  <c r="AG915" i="16" s="1"/>
  <c r="J903" i="16"/>
  <c r="AG903" i="16" s="1"/>
  <c r="J891" i="16"/>
  <c r="AG891" i="16" s="1"/>
  <c r="J879" i="16"/>
  <c r="AG879" i="16" s="1"/>
  <c r="J867" i="16"/>
  <c r="AG867" i="16" s="1"/>
  <c r="J855" i="16"/>
  <c r="AG855" i="16" s="1"/>
  <c r="J843" i="16"/>
  <c r="AG843" i="16" s="1"/>
  <c r="J831" i="16"/>
  <c r="AG831" i="16" s="1"/>
  <c r="J819" i="16"/>
  <c r="AG819" i="16" s="1"/>
  <c r="J807" i="16"/>
  <c r="AG807" i="16" s="1"/>
  <c r="J795" i="16"/>
  <c r="AG795" i="16" s="1"/>
  <c r="J783" i="16"/>
  <c r="AG783" i="16" s="1"/>
  <c r="J771" i="16"/>
  <c r="AG771" i="16" s="1"/>
  <c r="J759" i="16"/>
  <c r="AG759" i="16" s="1"/>
  <c r="J747" i="16"/>
  <c r="AG747" i="16" s="1"/>
  <c r="J735" i="16"/>
  <c r="AG735" i="16" s="1"/>
  <c r="J723" i="16"/>
  <c r="AG723" i="16" s="1"/>
  <c r="J711" i="16"/>
  <c r="AG711" i="16" s="1"/>
  <c r="J699" i="16"/>
  <c r="AG699" i="16" s="1"/>
  <c r="J687" i="16"/>
  <c r="AG687" i="16" s="1"/>
  <c r="J675" i="16"/>
  <c r="AG675" i="16" s="1"/>
  <c r="J663" i="16"/>
  <c r="AG663" i="16" s="1"/>
  <c r="J651" i="16"/>
  <c r="AG651" i="16" s="1"/>
  <c r="J639" i="16"/>
  <c r="AG639" i="16" s="1"/>
  <c r="J627" i="16"/>
  <c r="AG627" i="16" s="1"/>
  <c r="J615" i="16"/>
  <c r="AG615" i="16" s="1"/>
  <c r="J603" i="16"/>
  <c r="AG603" i="16" s="1"/>
  <c r="J591" i="16"/>
  <c r="AG591" i="16" s="1"/>
  <c r="J579" i="16"/>
  <c r="AG579" i="16" s="1"/>
  <c r="J567" i="16"/>
  <c r="AG567" i="16" s="1"/>
  <c r="J555" i="16"/>
  <c r="AG555" i="16" s="1"/>
  <c r="J543" i="16"/>
  <c r="AG543" i="16" s="1"/>
  <c r="J531" i="16"/>
  <c r="AG531" i="16" s="1"/>
  <c r="J519" i="16"/>
  <c r="AG519" i="16" s="1"/>
  <c r="J507" i="16"/>
  <c r="AG507" i="16" s="1"/>
  <c r="J495" i="16"/>
  <c r="AG495" i="16" s="1"/>
  <c r="J483" i="16"/>
  <c r="AG483" i="16" s="1"/>
  <c r="J471" i="16"/>
  <c r="AG471" i="16" s="1"/>
  <c r="J459" i="16"/>
  <c r="AG459" i="16" s="1"/>
  <c r="J447" i="16"/>
  <c r="AG447" i="16" s="1"/>
  <c r="J435" i="16"/>
  <c r="AG435" i="16" s="1"/>
  <c r="J423" i="16"/>
  <c r="AG423" i="16" s="1"/>
  <c r="J411" i="16"/>
  <c r="AG411" i="16" s="1"/>
  <c r="J399" i="16"/>
  <c r="AG399" i="16" s="1"/>
  <c r="J387" i="16"/>
  <c r="AG387" i="16" s="1"/>
  <c r="J375" i="16"/>
  <c r="AG375" i="16" s="1"/>
  <c r="J363" i="16"/>
  <c r="AG363" i="16" s="1"/>
  <c r="J351" i="16"/>
  <c r="AG351" i="16" s="1"/>
  <c r="J339" i="16"/>
  <c r="AG339" i="16" s="1"/>
  <c r="J327" i="16"/>
  <c r="AG327" i="16" s="1"/>
  <c r="J315" i="16"/>
  <c r="AG315" i="16" s="1"/>
  <c r="J303" i="16"/>
  <c r="AG303" i="16" s="1"/>
  <c r="J291" i="16"/>
  <c r="AG291" i="16" s="1"/>
  <c r="J279" i="16"/>
  <c r="AG279" i="16" s="1"/>
  <c r="J267" i="16"/>
  <c r="AG267" i="16" s="1"/>
  <c r="J255" i="16"/>
  <c r="AG255" i="16" s="1"/>
  <c r="J243" i="16"/>
  <c r="AG243" i="16" s="1"/>
  <c r="J231" i="16"/>
  <c r="AG231" i="16" s="1"/>
  <c r="J219" i="16"/>
  <c r="AG219" i="16" s="1"/>
  <c r="J207" i="16"/>
  <c r="AG207" i="16" s="1"/>
  <c r="J195" i="16"/>
  <c r="AG195" i="16" s="1"/>
  <c r="J183" i="16"/>
  <c r="AG183" i="16" s="1"/>
  <c r="J171" i="16"/>
  <c r="AG171" i="16" s="1"/>
  <c r="J159" i="16"/>
  <c r="AG159" i="16" s="1"/>
  <c r="J147" i="16"/>
  <c r="AG147" i="16" s="1"/>
  <c r="J135" i="16"/>
  <c r="AG135" i="16" s="1"/>
  <c r="J123" i="16"/>
  <c r="AG123" i="16" s="1"/>
  <c r="J111" i="16"/>
  <c r="AG111" i="16" s="1"/>
  <c r="J99" i="16"/>
  <c r="AG99" i="16" s="1"/>
  <c r="J87" i="16"/>
  <c r="AG87" i="16" s="1"/>
  <c r="J75" i="16"/>
  <c r="AG75" i="16" s="1"/>
  <c r="J63" i="16"/>
  <c r="AG63" i="16" s="1"/>
  <c r="J51" i="16"/>
  <c r="AG51" i="16" s="1"/>
  <c r="J39" i="16"/>
  <c r="AG39" i="16" s="1"/>
  <c r="J27" i="16"/>
  <c r="AG27" i="16" s="1"/>
  <c r="J15" i="16"/>
  <c r="AG15" i="16" s="1"/>
  <c r="J3" i="16"/>
  <c r="AG3" i="16" s="1"/>
  <c r="U1119" i="2"/>
  <c r="H1119" i="16" s="1"/>
  <c r="H1118" i="16"/>
  <c r="U973" i="2"/>
  <c r="H973" i="16" s="1"/>
  <c r="U956" i="2"/>
  <c r="H956" i="16" s="1"/>
  <c r="H955" i="16"/>
  <c r="U871" i="2"/>
  <c r="H871" i="16" s="1"/>
  <c r="H870" i="16"/>
  <c r="U855" i="2"/>
  <c r="H855" i="16" s="1"/>
  <c r="U769" i="2"/>
  <c r="H769" i="16" s="1"/>
  <c r="H768" i="16"/>
  <c r="U672" i="2"/>
  <c r="H671" i="16"/>
  <c r="U612" i="2"/>
  <c r="H611" i="16"/>
  <c r="U474" i="2"/>
  <c r="H474" i="16" s="1"/>
  <c r="H473" i="16"/>
  <c r="U446" i="2"/>
  <c r="H446" i="16" s="1"/>
  <c r="H445" i="16"/>
  <c r="U353" i="2"/>
  <c r="H353" i="16" s="1"/>
  <c r="H352" i="16"/>
  <c r="N1204" i="16"/>
  <c r="N1189" i="16"/>
  <c r="N1177" i="16"/>
  <c r="N1164" i="16"/>
  <c r="N1136" i="16"/>
  <c r="N1122" i="16"/>
  <c r="N1109" i="16"/>
  <c r="N1089" i="16"/>
  <c r="N1074" i="16"/>
  <c r="N1058" i="16"/>
  <c r="N1046" i="16"/>
  <c r="N1031" i="16"/>
  <c r="N1017" i="16"/>
  <c r="N1004" i="16"/>
  <c r="N992" i="16"/>
  <c r="N976" i="16"/>
  <c r="N960" i="16"/>
  <c r="N945" i="16"/>
  <c r="N917" i="16"/>
  <c r="N901" i="16"/>
  <c r="N888" i="16"/>
  <c r="N858" i="16"/>
  <c r="N841" i="16"/>
  <c r="N828" i="16"/>
  <c r="N811" i="16"/>
  <c r="N785" i="16"/>
  <c r="N772" i="16"/>
  <c r="N757" i="16"/>
  <c r="N730" i="16"/>
  <c r="N717" i="16"/>
  <c r="N704" i="16"/>
  <c r="N661" i="16"/>
  <c r="N647" i="16"/>
  <c r="N632" i="16"/>
  <c r="N618" i="16"/>
  <c r="N587" i="16"/>
  <c r="N556" i="16"/>
  <c r="N539" i="16"/>
  <c r="N524" i="16"/>
  <c r="N508" i="16"/>
  <c r="N494" i="16"/>
  <c r="N464" i="16"/>
  <c r="N435" i="16"/>
  <c r="N422" i="16"/>
  <c r="N410" i="16"/>
  <c r="N396" i="16"/>
  <c r="N383" i="16"/>
  <c r="N371" i="16"/>
  <c r="N356" i="16"/>
  <c r="N328" i="16"/>
  <c r="N311" i="16"/>
  <c r="N297" i="16"/>
  <c r="N272" i="16"/>
  <c r="N258" i="16"/>
  <c r="N245" i="16"/>
  <c r="N230" i="16"/>
  <c r="N217" i="16"/>
  <c r="N205" i="16"/>
  <c r="N193" i="16"/>
  <c r="N181" i="16"/>
  <c r="N168" i="16"/>
  <c r="N155" i="16"/>
  <c r="N143" i="16"/>
  <c r="N130" i="16"/>
  <c r="N116" i="16"/>
  <c r="N104" i="16"/>
  <c r="N92" i="16"/>
  <c r="N80" i="16"/>
  <c r="N68" i="16"/>
  <c r="N56" i="16"/>
  <c r="N42" i="16"/>
  <c r="N30" i="16"/>
  <c r="N18" i="16"/>
  <c r="N6" i="16"/>
  <c r="T613" i="2"/>
  <c r="A613" i="16" s="1"/>
  <c r="A612" i="16"/>
  <c r="T844" i="2"/>
  <c r="A843" i="16"/>
  <c r="T1194" i="2"/>
  <c r="A1194" i="16" s="1"/>
  <c r="A1193" i="16"/>
  <c r="T1097" i="2"/>
  <c r="A1096" i="16"/>
  <c r="T323" i="2"/>
  <c r="A323" i="16" s="1"/>
  <c r="A322" i="16"/>
  <c r="AQ1203" i="2"/>
  <c r="AQ1188" i="2"/>
  <c r="AQ1163" i="2"/>
  <c r="AQ1135" i="2"/>
  <c r="AQ1121" i="2"/>
  <c r="AQ1108" i="2"/>
  <c r="AQ1088" i="2"/>
  <c r="AQ1057" i="2"/>
  <c r="AQ1045" i="2"/>
  <c r="AQ1030" i="2"/>
  <c r="AQ991" i="2"/>
  <c r="AQ944" i="2"/>
  <c r="AQ900" i="2"/>
  <c r="AQ873" i="2"/>
  <c r="AQ857" i="2"/>
  <c r="AQ840" i="2"/>
  <c r="AQ827" i="2"/>
  <c r="AQ797" i="2"/>
  <c r="AQ784" i="2"/>
  <c r="AQ771" i="2"/>
  <c r="AQ716" i="2"/>
  <c r="AQ687" i="2"/>
  <c r="AQ646" i="2"/>
  <c r="AQ617" i="2"/>
  <c r="AQ600" i="2"/>
  <c r="AQ586" i="2"/>
  <c r="AQ571" i="2"/>
  <c r="AQ538" i="2"/>
  <c r="AQ493" i="2"/>
  <c r="AQ463" i="2"/>
  <c r="AQ448" i="2"/>
  <c r="AQ434" i="2"/>
  <c r="AQ421" i="2"/>
  <c r="AQ409" i="2"/>
  <c r="AQ395" i="2"/>
  <c r="AQ382" i="2"/>
  <c r="AQ370" i="2"/>
  <c r="AQ355" i="2"/>
  <c r="AQ310" i="2"/>
  <c r="AQ296" i="2"/>
  <c r="AQ257" i="2"/>
  <c r="AQ216" i="2"/>
  <c r="AQ204" i="2"/>
  <c r="AQ192" i="2"/>
  <c r="AQ154" i="2"/>
  <c r="AQ142" i="2"/>
  <c r="AQ129" i="2"/>
  <c r="AQ91" i="2"/>
  <c r="AQ67" i="2"/>
  <c r="AQ55" i="2"/>
  <c r="AQ41" i="2"/>
  <c r="AQ29" i="2"/>
  <c r="AQ17" i="2"/>
  <c r="AQ5" i="2"/>
  <c r="AF1131" i="2"/>
  <c r="AF1102" i="2"/>
  <c r="AF1068" i="2"/>
  <c r="AF1026" i="2"/>
  <c r="AF970" i="2"/>
  <c r="AF971" i="2" s="1"/>
  <c r="AF972" i="2" s="1"/>
  <c r="N972" i="16" s="1"/>
  <c r="AF766" i="2"/>
  <c r="AF767" i="2" s="1"/>
  <c r="N767" i="16" s="1"/>
  <c r="AF739" i="2"/>
  <c r="AF740" i="2" s="1"/>
  <c r="AF741" i="2" s="1"/>
  <c r="N741" i="16" s="1"/>
  <c r="AF712" i="2"/>
  <c r="AF549" i="2"/>
  <c r="AF459" i="2"/>
  <c r="AF350" i="2"/>
  <c r="AQ1202" i="2"/>
  <c r="AQ1187" i="2"/>
  <c r="AQ1174" i="2"/>
  <c r="AQ1134" i="2"/>
  <c r="AQ1120" i="2"/>
  <c r="AQ1072" i="2"/>
  <c r="AQ1056" i="2"/>
  <c r="AQ974" i="2"/>
  <c r="AQ957" i="2"/>
  <c r="AQ914" i="2"/>
  <c r="AQ899" i="2"/>
  <c r="AQ872" i="2"/>
  <c r="AQ856" i="2"/>
  <c r="AQ826" i="2"/>
  <c r="AQ809" i="2"/>
  <c r="AQ770" i="2"/>
  <c r="AQ755" i="2"/>
  <c r="AQ728" i="2"/>
  <c r="AQ715" i="2"/>
  <c r="AQ659" i="2"/>
  <c r="AQ645" i="2"/>
  <c r="AQ629" i="2"/>
  <c r="AQ585" i="2"/>
  <c r="AQ537" i="2"/>
  <c r="AQ492" i="2"/>
  <c r="AQ475" i="2"/>
  <c r="AQ462" i="2"/>
  <c r="AQ447" i="2"/>
  <c r="AQ420" i="2"/>
  <c r="AQ408" i="2"/>
  <c r="AQ381" i="2"/>
  <c r="AQ354" i="2"/>
  <c r="AQ339" i="2"/>
  <c r="AQ309" i="2"/>
  <c r="AQ270" i="2"/>
  <c r="AQ242" i="2"/>
  <c r="AQ228" i="2"/>
  <c r="AQ215" i="2"/>
  <c r="AQ191" i="2"/>
  <c r="AQ179" i="2"/>
  <c r="AQ166" i="2"/>
  <c r="AQ153" i="2"/>
  <c r="AQ141" i="2"/>
  <c r="AQ128" i="2"/>
  <c r="AQ114" i="2"/>
  <c r="AQ102" i="2"/>
  <c r="AQ90" i="2"/>
  <c r="AQ66" i="2"/>
  <c r="AQ54" i="2"/>
  <c r="AQ40" i="2"/>
  <c r="AQ28" i="2"/>
  <c r="AQ16" i="2"/>
  <c r="AQ4" i="2"/>
  <c r="AF1066" i="2"/>
  <c r="AF1038" i="2"/>
  <c r="AF1024" i="2"/>
  <c r="AF1011" i="2"/>
  <c r="AF1012" i="2" s="1"/>
  <c r="N1012" i="16" s="1"/>
  <c r="AF986" i="2"/>
  <c r="AF822" i="2"/>
  <c r="AF724" i="2"/>
  <c r="AF625" i="2"/>
  <c r="AF626" i="2" s="1"/>
  <c r="N626" i="16" s="1"/>
  <c r="AF564" i="2"/>
  <c r="N564" i="16" s="1"/>
  <c r="AF533" i="2"/>
  <c r="AF517" i="2"/>
  <c r="AF390" i="2"/>
  <c r="AQ1201" i="2"/>
  <c r="AQ1186" i="2"/>
  <c r="AQ1173" i="2"/>
  <c r="AQ1161" i="2"/>
  <c r="AQ1145" i="2"/>
  <c r="AQ1133" i="2"/>
  <c r="AQ1105" i="2"/>
  <c r="AQ1086" i="2"/>
  <c r="AQ1071" i="2"/>
  <c r="AQ1055" i="2"/>
  <c r="AQ1042" i="2"/>
  <c r="AQ1014" i="2"/>
  <c r="AQ1001" i="2"/>
  <c r="AQ989" i="2"/>
  <c r="AQ940" i="2"/>
  <c r="AQ927" i="2"/>
  <c r="AQ913" i="2"/>
  <c r="AQ884" i="2"/>
  <c r="AQ837" i="2"/>
  <c r="AQ825" i="2"/>
  <c r="AQ808" i="2"/>
  <c r="AQ795" i="2"/>
  <c r="AQ782" i="2"/>
  <c r="AQ754" i="2"/>
  <c r="AQ741" i="2"/>
  <c r="AQ714" i="2"/>
  <c r="AQ698" i="2"/>
  <c r="AQ685" i="2"/>
  <c r="AQ658" i="2"/>
  <c r="AQ644" i="2"/>
  <c r="AQ628" i="2"/>
  <c r="AQ598" i="2"/>
  <c r="AQ584" i="2"/>
  <c r="AQ568" i="2"/>
  <c r="AQ551" i="2"/>
  <c r="AQ536" i="2"/>
  <c r="AQ520" i="2"/>
  <c r="AQ505" i="2"/>
  <c r="AQ491" i="2"/>
  <c r="AQ461" i="2"/>
  <c r="AQ431" i="2"/>
  <c r="AQ419" i="2"/>
  <c r="AQ366" i="2"/>
  <c r="AQ324" i="2"/>
  <c r="AQ308" i="2"/>
  <c r="AQ294" i="2"/>
  <c r="AQ282" i="2"/>
  <c r="AQ269" i="2"/>
  <c r="AQ241" i="2"/>
  <c r="AQ227" i="2"/>
  <c r="AQ214" i="2"/>
  <c r="AQ202" i="2"/>
  <c r="AQ190" i="2"/>
  <c r="AQ178" i="2"/>
  <c r="AQ165" i="2"/>
  <c r="AQ152" i="2"/>
  <c r="AQ127" i="2"/>
  <c r="AQ101" i="2"/>
  <c r="AQ89" i="2"/>
  <c r="AQ77" i="2"/>
  <c r="AQ65" i="2"/>
  <c r="AQ53" i="2"/>
  <c r="AQ39" i="2"/>
  <c r="AQ27" i="2"/>
  <c r="AQ15" i="2"/>
  <c r="AQ3" i="2"/>
  <c r="AF1096" i="2"/>
  <c r="N1096" i="16" s="1"/>
  <c r="AF967" i="2"/>
  <c r="AF819" i="2"/>
  <c r="N819" i="16" s="1"/>
  <c r="AF791" i="2"/>
  <c r="AF792" i="2" s="1"/>
  <c r="N792" i="16" s="1"/>
  <c r="AF750" i="2"/>
  <c r="AF640" i="2"/>
  <c r="AF594" i="2"/>
  <c r="AF579" i="2"/>
  <c r="AF237" i="2"/>
  <c r="AF161" i="2"/>
  <c r="AF48" i="2"/>
  <c r="AQ1200" i="2"/>
  <c r="AQ1185" i="2"/>
  <c r="AQ1172" i="2"/>
  <c r="AQ1160" i="2"/>
  <c r="AQ1144" i="2"/>
  <c r="AQ1132" i="2"/>
  <c r="AQ1085" i="2"/>
  <c r="AQ1054" i="2"/>
  <c r="AQ1013" i="2"/>
  <c r="AQ1000" i="2"/>
  <c r="AQ988" i="2"/>
  <c r="AQ954" i="2"/>
  <c r="AQ939" i="2"/>
  <c r="AQ926" i="2"/>
  <c r="AQ912" i="2"/>
  <c r="AQ883" i="2"/>
  <c r="AQ869" i="2"/>
  <c r="AQ836" i="2"/>
  <c r="AQ824" i="2"/>
  <c r="AQ794" i="2"/>
  <c r="AQ781" i="2"/>
  <c r="AQ753" i="2"/>
  <c r="AQ726" i="2"/>
  <c r="AQ713" i="2"/>
  <c r="AQ697" i="2"/>
  <c r="AQ670" i="2"/>
  <c r="AQ657" i="2"/>
  <c r="AQ643" i="2"/>
  <c r="AQ627" i="2"/>
  <c r="AQ610" i="2"/>
  <c r="AQ550" i="2"/>
  <c r="AQ519" i="2"/>
  <c r="AQ504" i="2"/>
  <c r="AQ490" i="2"/>
  <c r="AQ472" i="2"/>
  <c r="AQ460" i="2"/>
  <c r="AQ444" i="2"/>
  <c r="AQ430" i="2"/>
  <c r="AQ418" i="2"/>
  <c r="AQ379" i="2"/>
  <c r="AQ351" i="2"/>
  <c r="AQ337" i="2"/>
  <c r="AQ307" i="2"/>
  <c r="AQ293" i="2"/>
  <c r="AQ240" i="2"/>
  <c r="AQ226" i="2"/>
  <c r="AQ213" i="2"/>
  <c r="AQ201" i="2"/>
  <c r="AQ189" i="2"/>
  <c r="AQ164" i="2"/>
  <c r="AQ151" i="2"/>
  <c r="AQ112" i="2"/>
  <c r="AQ100" i="2"/>
  <c r="AQ88" i="2"/>
  <c r="AQ76" i="2"/>
  <c r="AQ38" i="2"/>
  <c r="AQ26" i="2"/>
  <c r="AQ14" i="2"/>
  <c r="AF1156" i="2"/>
  <c r="AF965" i="2"/>
  <c r="AF906" i="2"/>
  <c r="N906" i="16" s="1"/>
  <c r="AF865" i="2"/>
  <c r="AF866" i="2" s="1"/>
  <c r="AF867" i="2" s="1"/>
  <c r="AF868" i="2" s="1"/>
  <c r="N868" i="16" s="1"/>
  <c r="AF777" i="2"/>
  <c r="AF735" i="2"/>
  <c r="AF530" i="2"/>
  <c r="AF499" i="2"/>
  <c r="N499" i="16" s="1"/>
  <c r="AF486" i="2"/>
  <c r="AF317" i="2"/>
  <c r="AF122" i="2"/>
  <c r="AQ1211" i="2"/>
  <c r="AQ1199" i="2"/>
  <c r="AQ1184" i="2"/>
  <c r="AQ1171" i="2"/>
  <c r="AQ1159" i="2"/>
  <c r="AQ1143" i="2"/>
  <c r="AQ1116" i="2"/>
  <c r="AQ1084" i="2"/>
  <c r="AQ1053" i="2"/>
  <c r="AQ1039" i="2"/>
  <c r="AQ999" i="2"/>
  <c r="AQ987" i="2"/>
  <c r="AQ953" i="2"/>
  <c r="AQ938" i="2"/>
  <c r="AQ925" i="2"/>
  <c r="AQ911" i="2"/>
  <c r="AQ896" i="2"/>
  <c r="AQ882" i="2"/>
  <c r="AQ851" i="2"/>
  <c r="AQ835" i="2"/>
  <c r="AQ823" i="2"/>
  <c r="AQ806" i="2"/>
  <c r="AQ793" i="2"/>
  <c r="AQ780" i="2"/>
  <c r="AQ752" i="2"/>
  <c r="AQ696" i="2"/>
  <c r="AQ669" i="2"/>
  <c r="AQ656" i="2"/>
  <c r="AQ642" i="2"/>
  <c r="AQ609" i="2"/>
  <c r="AQ596" i="2"/>
  <c r="AQ566" i="2"/>
  <c r="AQ503" i="2"/>
  <c r="AQ489" i="2"/>
  <c r="AQ443" i="2"/>
  <c r="AQ429" i="2"/>
  <c r="AQ417" i="2"/>
  <c r="AQ404" i="2"/>
  <c r="AQ391" i="2"/>
  <c r="AQ378" i="2"/>
  <c r="AQ363" i="2"/>
  <c r="AQ336" i="2"/>
  <c r="AQ306" i="2"/>
  <c r="AQ292" i="2"/>
  <c r="AQ279" i="2"/>
  <c r="AQ265" i="2"/>
  <c r="AQ252" i="2"/>
  <c r="AQ239" i="2"/>
  <c r="AQ225" i="2"/>
  <c r="AQ212" i="2"/>
  <c r="AQ200" i="2"/>
  <c r="AQ188" i="2"/>
  <c r="AQ175" i="2"/>
  <c r="AQ150" i="2"/>
  <c r="AQ125" i="2"/>
  <c r="AQ111" i="2"/>
  <c r="AQ99" i="2"/>
  <c r="AQ87" i="2"/>
  <c r="AQ75" i="2"/>
  <c r="AQ63" i="2"/>
  <c r="AQ50" i="2"/>
  <c r="AQ37" i="2"/>
  <c r="AQ25" i="2"/>
  <c r="AQ13" i="2"/>
  <c r="AF1093" i="2"/>
  <c r="AF981" i="2"/>
  <c r="N981" i="16" s="1"/>
  <c r="AF892" i="2"/>
  <c r="AF863" i="2"/>
  <c r="AF761" i="2"/>
  <c r="AF651" i="2"/>
  <c r="N651" i="16" s="1"/>
  <c r="AF636" i="2"/>
  <c r="N636" i="16" s="1"/>
  <c r="AF591" i="2"/>
  <c r="AF513" i="2"/>
  <c r="AF484" i="2"/>
  <c r="AF454" i="2"/>
  <c r="AF301" i="2"/>
  <c r="N301" i="16" s="1"/>
  <c r="AF134" i="2"/>
  <c r="AQ1210" i="2"/>
  <c r="AQ1198" i="2"/>
  <c r="AQ1183" i="2"/>
  <c r="AQ1170" i="2"/>
  <c r="AQ1158" i="2"/>
  <c r="AQ1129" i="2"/>
  <c r="AQ1100" i="2"/>
  <c r="AQ1083" i="2"/>
  <c r="AQ1052" i="2"/>
  <c r="AQ998" i="2"/>
  <c r="AQ968" i="2"/>
  <c r="AQ952" i="2"/>
  <c r="AQ924" i="2"/>
  <c r="AQ881" i="2"/>
  <c r="AQ850" i="2"/>
  <c r="AQ834" i="2"/>
  <c r="AQ805" i="2"/>
  <c r="AQ779" i="2"/>
  <c r="AQ764" i="2"/>
  <c r="AQ751" i="2"/>
  <c r="AQ695" i="2"/>
  <c r="AQ668" i="2"/>
  <c r="AQ608" i="2"/>
  <c r="AQ595" i="2"/>
  <c r="AQ547" i="2"/>
  <c r="AQ502" i="2"/>
  <c r="AQ488" i="2"/>
  <c r="AQ470" i="2"/>
  <c r="AQ457" i="2"/>
  <c r="AQ442" i="2"/>
  <c r="AQ428" i="2"/>
  <c r="AQ416" i="2"/>
  <c r="AQ403" i="2"/>
  <c r="AQ377" i="2"/>
  <c r="AQ362" i="2"/>
  <c r="AQ348" i="2"/>
  <c r="AQ335" i="2"/>
  <c r="AQ305" i="2"/>
  <c r="AQ291" i="2"/>
  <c r="AQ278" i="2"/>
  <c r="AQ264" i="2"/>
  <c r="AQ251" i="2"/>
  <c r="AQ238" i="2"/>
  <c r="AQ187" i="2"/>
  <c r="AQ174" i="2"/>
  <c r="AQ162" i="2"/>
  <c r="AQ149" i="2"/>
  <c r="AQ124" i="2"/>
  <c r="AQ110" i="2"/>
  <c r="AQ74" i="2"/>
  <c r="AQ62" i="2"/>
  <c r="AQ49" i="2"/>
  <c r="AQ36" i="2"/>
  <c r="AQ24" i="2"/>
  <c r="AQ12" i="2"/>
  <c r="AF1193" i="2"/>
  <c r="N1193" i="16" s="1"/>
  <c r="AF920" i="2"/>
  <c r="AF861" i="2"/>
  <c r="AF814" i="2"/>
  <c r="N814" i="16" s="1"/>
  <c r="AF482" i="2"/>
  <c r="AF233" i="2"/>
  <c r="AF119" i="2"/>
  <c r="AQ1209" i="2"/>
  <c r="AQ1197" i="2"/>
  <c r="AQ1182" i="2"/>
  <c r="AQ1169" i="2"/>
  <c r="AQ1157" i="2"/>
  <c r="AQ1141" i="2"/>
  <c r="AQ1128" i="2"/>
  <c r="AQ1114" i="2"/>
  <c r="AQ1082" i="2"/>
  <c r="AQ1064" i="2"/>
  <c r="AQ1036" i="2"/>
  <c r="AQ1022" i="2"/>
  <c r="AQ1009" i="2"/>
  <c r="AQ997" i="2"/>
  <c r="AQ951" i="2"/>
  <c r="AQ936" i="2"/>
  <c r="AQ923" i="2"/>
  <c r="AQ909" i="2"/>
  <c r="AQ894" i="2"/>
  <c r="AQ880" i="2"/>
  <c r="AQ833" i="2"/>
  <c r="AQ778" i="2"/>
  <c r="AQ736" i="2"/>
  <c r="AQ722" i="2"/>
  <c r="AQ694" i="2"/>
  <c r="AQ681" i="2"/>
  <c r="AQ654" i="2"/>
  <c r="AQ623" i="2"/>
  <c r="AQ562" i="2"/>
  <c r="AQ546" i="2"/>
  <c r="AQ531" i="2"/>
  <c r="AQ515" i="2"/>
  <c r="AQ501" i="2"/>
  <c r="AQ487" i="2"/>
  <c r="AQ456" i="2"/>
  <c r="AQ441" i="2"/>
  <c r="AQ415" i="2"/>
  <c r="AQ388" i="2"/>
  <c r="AQ376" i="2"/>
  <c r="AQ361" i="2"/>
  <c r="AQ347" i="2"/>
  <c r="AQ334" i="2"/>
  <c r="AQ318" i="2"/>
  <c r="AQ304" i="2"/>
  <c r="AQ290" i="2"/>
  <c r="AQ250" i="2"/>
  <c r="AQ210" i="2"/>
  <c r="AQ198" i="2"/>
  <c r="AQ186" i="2"/>
  <c r="AQ173" i="2"/>
  <c r="AQ148" i="2"/>
  <c r="AQ136" i="2"/>
  <c r="AQ109" i="2"/>
  <c r="AQ97" i="2"/>
  <c r="AQ85" i="2"/>
  <c r="AQ73" i="2"/>
  <c r="AQ61" i="2"/>
  <c r="AQ35" i="2"/>
  <c r="AQ11" i="2"/>
  <c r="AF1191" i="2"/>
  <c r="AF1124" i="2"/>
  <c r="AF1125" i="2" s="1"/>
  <c r="N1125" i="16" s="1"/>
  <c r="AF1076" i="2"/>
  <c r="N1076" i="16" s="1"/>
  <c r="AF1060" i="2"/>
  <c r="AF978" i="2"/>
  <c r="AF947" i="2"/>
  <c r="AF843" i="2"/>
  <c r="N843" i="16" s="1"/>
  <c r="AF558" i="2"/>
  <c r="AF541" i="2"/>
  <c r="AF526" i="2"/>
  <c r="AF510" i="2"/>
  <c r="AF437" i="2"/>
  <c r="AF398" i="2"/>
  <c r="AF330" i="2"/>
  <c r="AF313" i="2"/>
  <c r="AF219" i="2"/>
  <c r="AQ1208" i="2"/>
  <c r="AQ1196" i="2"/>
  <c r="AQ1181" i="2"/>
  <c r="AQ1168" i="2"/>
  <c r="AQ1140" i="2"/>
  <c r="AQ1113" i="2"/>
  <c r="AQ1094" i="2"/>
  <c r="AQ1081" i="2"/>
  <c r="AQ1063" i="2"/>
  <c r="AQ1050" i="2"/>
  <c r="AQ1035" i="2"/>
  <c r="AQ1008" i="2"/>
  <c r="AQ950" i="2"/>
  <c r="AQ935" i="2"/>
  <c r="AQ893" i="2"/>
  <c r="AQ879" i="2"/>
  <c r="AQ848" i="2"/>
  <c r="AQ832" i="2"/>
  <c r="AQ803" i="2"/>
  <c r="AQ789" i="2"/>
  <c r="AQ762" i="2"/>
  <c r="AQ748" i="2"/>
  <c r="AQ721" i="2"/>
  <c r="AQ708" i="2"/>
  <c r="AQ693" i="2"/>
  <c r="AQ638" i="2"/>
  <c r="AQ622" i="2"/>
  <c r="AQ606" i="2"/>
  <c r="AQ592" i="2"/>
  <c r="AQ577" i="2"/>
  <c r="AQ561" i="2"/>
  <c r="AQ514" i="2"/>
  <c r="AQ455" i="2"/>
  <c r="AQ440" i="2"/>
  <c r="AQ426" i="2"/>
  <c r="AQ387" i="2"/>
  <c r="AQ375" i="2"/>
  <c r="AQ360" i="2"/>
  <c r="AQ346" i="2"/>
  <c r="AQ333" i="2"/>
  <c r="AQ303" i="2"/>
  <c r="AQ289" i="2"/>
  <c r="AQ262" i="2"/>
  <c r="AQ249" i="2"/>
  <c r="AQ235" i="2"/>
  <c r="AQ197" i="2"/>
  <c r="AQ185" i="2"/>
  <c r="AQ172" i="2"/>
  <c r="AQ159" i="2"/>
  <c r="AQ147" i="2"/>
  <c r="AQ135" i="2"/>
  <c r="AQ108" i="2"/>
  <c r="AQ96" i="2"/>
  <c r="AQ84" i="2"/>
  <c r="AQ72" i="2"/>
  <c r="AQ60" i="2"/>
  <c r="AQ46" i="2"/>
  <c r="AQ10" i="2"/>
  <c r="AF1151" i="2"/>
  <c r="AF875" i="2"/>
  <c r="AF799" i="2"/>
  <c r="AF689" i="2"/>
  <c r="AF602" i="2"/>
  <c r="AF603" i="2" s="1"/>
  <c r="N603" i="16" s="1"/>
  <c r="AF573" i="2"/>
  <c r="AF479" i="2"/>
  <c r="AF450" i="2"/>
  <c r="AF342" i="2"/>
  <c r="AQ1207" i="2"/>
  <c r="AQ1195" i="2"/>
  <c r="AQ1180" i="2"/>
  <c r="AQ1167" i="2"/>
  <c r="AQ1139" i="2"/>
  <c r="AQ1126" i="2"/>
  <c r="AQ1112" i="2"/>
  <c r="AQ1080" i="2"/>
  <c r="AQ1062" i="2"/>
  <c r="AQ1049" i="2"/>
  <c r="AQ1034" i="2"/>
  <c r="AQ1020" i="2"/>
  <c r="AQ1007" i="2"/>
  <c r="AQ995" i="2"/>
  <c r="AQ949" i="2"/>
  <c r="AQ934" i="2"/>
  <c r="AQ921" i="2"/>
  <c r="AQ878" i="2"/>
  <c r="AQ847" i="2"/>
  <c r="AQ816" i="2"/>
  <c r="AQ802" i="2"/>
  <c r="AQ788" i="2"/>
  <c r="AQ775" i="2"/>
  <c r="AQ747" i="2"/>
  <c r="AQ707" i="2"/>
  <c r="AQ692" i="2"/>
  <c r="AQ679" i="2"/>
  <c r="AQ605" i="2"/>
  <c r="AQ576" i="2"/>
  <c r="AQ560" i="2"/>
  <c r="AQ528" i="2"/>
  <c r="AQ497" i="2"/>
  <c r="AQ467" i="2"/>
  <c r="AQ439" i="2"/>
  <c r="AQ425" i="2"/>
  <c r="AQ386" i="2"/>
  <c r="AQ374" i="2"/>
  <c r="AQ359" i="2"/>
  <c r="AQ345" i="2"/>
  <c r="AQ315" i="2"/>
  <c r="AQ288" i="2"/>
  <c r="AQ275" i="2"/>
  <c r="AQ261" i="2"/>
  <c r="AQ234" i="2"/>
  <c r="AQ221" i="2"/>
  <c r="AQ208" i="2"/>
  <c r="AQ196" i="2"/>
  <c r="AQ184" i="2"/>
  <c r="AQ171" i="2"/>
  <c r="AQ158" i="2"/>
  <c r="AQ146" i="2"/>
  <c r="AQ107" i="2"/>
  <c r="AQ95" i="2"/>
  <c r="AQ83" i="2"/>
  <c r="AQ71" i="2"/>
  <c r="AQ59" i="2"/>
  <c r="AQ45" i="2"/>
  <c r="AQ33" i="2"/>
  <c r="AQ21" i="2"/>
  <c r="AQ9" i="2"/>
  <c r="AF1176" i="2"/>
  <c r="AF1148" i="2"/>
  <c r="N1148" i="16" s="1"/>
  <c r="AF959" i="2"/>
  <c r="AF930" i="2"/>
  <c r="AF916" i="2"/>
  <c r="AF887" i="2"/>
  <c r="AF702" i="2"/>
  <c r="N702" i="16" s="1"/>
  <c r="AF631" i="2"/>
  <c r="AF555" i="2"/>
  <c r="AF523" i="2"/>
  <c r="AF477" i="2"/>
  <c r="AF244" i="2"/>
  <c r="AQ1206" i="2"/>
  <c r="AQ1179" i="2"/>
  <c r="AQ1166" i="2"/>
  <c r="AQ1153" i="2"/>
  <c r="AQ1138" i="2"/>
  <c r="AQ1111" i="2"/>
  <c r="AQ1091" i="2"/>
  <c r="AQ1079" i="2"/>
  <c r="AQ1061" i="2"/>
  <c r="AQ1048" i="2"/>
  <c r="AQ1033" i="2"/>
  <c r="AQ1019" i="2"/>
  <c r="AQ1006" i="2"/>
  <c r="AQ994" i="2"/>
  <c r="AQ979" i="2"/>
  <c r="AQ962" i="2"/>
  <c r="AQ948" i="2"/>
  <c r="AQ933" i="2"/>
  <c r="AQ890" i="2"/>
  <c r="AQ877" i="2"/>
  <c r="AQ846" i="2"/>
  <c r="AQ830" i="2"/>
  <c r="AQ801" i="2"/>
  <c r="AQ787" i="2"/>
  <c r="AQ774" i="2"/>
  <c r="AQ746" i="2"/>
  <c r="AQ732" i="2"/>
  <c r="AQ719" i="2"/>
  <c r="AQ706" i="2"/>
  <c r="AQ691" i="2"/>
  <c r="AQ663" i="2"/>
  <c r="AQ649" i="2"/>
  <c r="AQ634" i="2"/>
  <c r="AQ604" i="2"/>
  <c r="AQ589" i="2"/>
  <c r="AQ575" i="2"/>
  <c r="AQ559" i="2"/>
  <c r="AQ527" i="2"/>
  <c r="AQ511" i="2"/>
  <c r="AQ496" i="2"/>
  <c r="AQ466" i="2"/>
  <c r="AQ452" i="2"/>
  <c r="AQ438" i="2"/>
  <c r="AQ424" i="2"/>
  <c r="AQ412" i="2"/>
  <c r="AQ399" i="2"/>
  <c r="AQ373" i="2"/>
  <c r="AQ344" i="2"/>
  <c r="AQ299" i="2"/>
  <c r="AQ287" i="2"/>
  <c r="AQ274" i="2"/>
  <c r="AQ260" i="2"/>
  <c r="AQ247" i="2"/>
  <c r="AQ220" i="2"/>
  <c r="AQ207" i="2"/>
  <c r="AQ195" i="2"/>
  <c r="AQ183" i="2"/>
  <c r="AQ170" i="2"/>
  <c r="AQ157" i="2"/>
  <c r="AQ145" i="2"/>
  <c r="AQ106" i="2"/>
  <c r="AQ94" i="2"/>
  <c r="AQ82" i="2"/>
  <c r="AQ70" i="2"/>
  <c r="AQ58" i="2"/>
  <c r="AQ44" i="2"/>
  <c r="AQ32" i="2"/>
  <c r="AQ20" i="2"/>
  <c r="AQ8" i="2"/>
  <c r="AF1107" i="2"/>
  <c r="AF1044" i="2"/>
  <c r="AF942" i="2"/>
  <c r="N942" i="16" s="1"/>
  <c r="AF839" i="2"/>
  <c r="AF700" i="2"/>
  <c r="AF701" i="2" s="1"/>
  <c r="N701" i="16" s="1"/>
  <c r="AF674" i="2"/>
  <c r="AF675" i="2" s="1"/>
  <c r="AF676" i="2" s="1"/>
  <c r="N676" i="16" s="1"/>
  <c r="AF615" i="2"/>
  <c r="N615" i="16" s="1"/>
  <c r="AF570" i="2"/>
  <c r="AF553" i="2"/>
  <c r="AF433" i="2"/>
  <c r="AF368" i="2"/>
  <c r="N368" i="16" s="1"/>
  <c r="AF326" i="2"/>
  <c r="AQ1205" i="2"/>
  <c r="AQ1152" i="2"/>
  <c r="AQ1137" i="2"/>
  <c r="AQ1110" i="2"/>
  <c r="AQ1090" i="2"/>
  <c r="AQ1047" i="2"/>
  <c r="AQ1032" i="2"/>
  <c r="AQ1018" i="2"/>
  <c r="AQ961" i="2"/>
  <c r="AQ932" i="2"/>
  <c r="AQ918" i="2"/>
  <c r="AQ889" i="2"/>
  <c r="AQ876" i="2"/>
  <c r="AQ859" i="2"/>
  <c r="AQ829" i="2"/>
  <c r="AQ812" i="2"/>
  <c r="AQ800" i="2"/>
  <c r="AQ786" i="2"/>
  <c r="AQ773" i="2"/>
  <c r="AQ758" i="2"/>
  <c r="AQ745" i="2"/>
  <c r="AQ690" i="2"/>
  <c r="AQ677" i="2"/>
  <c r="AQ648" i="2"/>
  <c r="AQ633" i="2"/>
  <c r="AQ588" i="2"/>
  <c r="AQ574" i="2"/>
  <c r="AQ495" i="2"/>
  <c r="AQ465" i="2"/>
  <c r="AQ451" i="2"/>
  <c r="AQ423" i="2"/>
  <c r="AQ411" i="2"/>
  <c r="AQ384" i="2"/>
  <c r="AQ372" i="2"/>
  <c r="AQ357" i="2"/>
  <c r="AQ343" i="2"/>
  <c r="AQ298" i="2"/>
  <c r="AQ286" i="2"/>
  <c r="AQ259" i="2"/>
  <c r="AQ246" i="2"/>
  <c r="AQ231" i="2"/>
  <c r="AQ206" i="2"/>
  <c r="AQ194" i="2"/>
  <c r="AQ182" i="2"/>
  <c r="AQ169" i="2"/>
  <c r="AQ156" i="2"/>
  <c r="AQ144" i="2"/>
  <c r="AQ117" i="2"/>
  <c r="AQ105" i="2"/>
  <c r="AQ93" i="2"/>
  <c r="AQ69" i="2"/>
  <c r="AQ57" i="2"/>
  <c r="AQ43" i="2"/>
  <c r="AQ19" i="2"/>
  <c r="AQ7" i="2"/>
  <c r="AF1119" i="2"/>
  <c r="AF973" i="2"/>
  <c r="AF956" i="2"/>
  <c r="AF871" i="2"/>
  <c r="AF855" i="2"/>
  <c r="AF769" i="2"/>
  <c r="AF672" i="2"/>
  <c r="AF612" i="2"/>
  <c r="N612" i="16" s="1"/>
  <c r="AF474" i="2"/>
  <c r="AF446" i="2"/>
  <c r="AF353" i="2"/>
  <c r="AQ1204" i="2"/>
  <c r="AQ1189" i="2"/>
  <c r="AQ1177" i="2"/>
  <c r="AQ1164" i="2"/>
  <c r="AQ1136" i="2"/>
  <c r="AQ1122" i="2"/>
  <c r="AQ1109" i="2"/>
  <c r="AQ1089" i="2"/>
  <c r="AQ1074" i="2"/>
  <c r="AQ1058" i="2"/>
  <c r="AQ1046" i="2"/>
  <c r="AQ1031" i="2"/>
  <c r="AQ1004" i="2"/>
  <c r="AQ976" i="2"/>
  <c r="AQ960" i="2"/>
  <c r="AQ945" i="2"/>
  <c r="AQ917" i="2"/>
  <c r="AQ888" i="2"/>
  <c r="AQ858" i="2"/>
  <c r="AQ841" i="2"/>
  <c r="AQ811" i="2"/>
  <c r="AQ772" i="2"/>
  <c r="AQ757" i="2"/>
  <c r="AQ730" i="2"/>
  <c r="AQ717" i="2"/>
  <c r="AQ704" i="2"/>
  <c r="AQ661" i="2"/>
  <c r="AQ647" i="2"/>
  <c r="AQ632" i="2"/>
  <c r="AQ587" i="2"/>
  <c r="AQ556" i="2"/>
  <c r="AQ539" i="2"/>
  <c r="AQ524" i="2"/>
  <c r="AQ508" i="2"/>
  <c r="AQ494" i="2"/>
  <c r="AQ464" i="2"/>
  <c r="AQ435" i="2"/>
  <c r="AQ422" i="2"/>
  <c r="AQ410" i="2"/>
  <c r="AQ396" i="2"/>
  <c r="AQ383" i="2"/>
  <c r="AQ371" i="2"/>
  <c r="AQ328" i="2"/>
  <c r="AQ311" i="2"/>
  <c r="AQ297" i="2"/>
  <c r="AQ272" i="2"/>
  <c r="AQ245" i="2"/>
  <c r="AQ205" i="2"/>
  <c r="AQ193" i="2"/>
  <c r="AQ181" i="2"/>
  <c r="AQ168" i="2"/>
  <c r="AQ130" i="2"/>
  <c r="AQ116" i="2"/>
  <c r="AQ104" i="2"/>
  <c r="AQ92" i="2"/>
  <c r="AQ80" i="2"/>
  <c r="AQ68" i="2"/>
  <c r="AQ56" i="2"/>
  <c r="AQ42" i="2"/>
  <c r="AQ30" i="2"/>
  <c r="AQ18" i="2"/>
  <c r="AQ6" i="2"/>
  <c r="AF1104" i="2"/>
  <c r="AF1070" i="2"/>
  <c r="AF1041" i="2"/>
  <c r="AF853" i="2"/>
  <c r="AF854" i="2" s="1"/>
  <c r="N854" i="16" s="1"/>
  <c r="AF406" i="2"/>
  <c r="AF365" i="2"/>
  <c r="AF322" i="2"/>
  <c r="N322" i="16" s="1"/>
  <c r="AF281" i="2"/>
  <c r="AF267" i="2"/>
  <c r="N267" i="16" s="1"/>
  <c r="AF254" i="2"/>
  <c r="AF177" i="2"/>
  <c r="AF52" i="2"/>
  <c r="Z1107" i="2"/>
  <c r="B1107" i="16" s="1"/>
  <c r="AQ1106" i="2"/>
  <c r="Z1044" i="2"/>
  <c r="B1044" i="16" s="1"/>
  <c r="AQ1043" i="2"/>
  <c r="Z942" i="2"/>
  <c r="AQ941" i="2"/>
  <c r="Z839" i="2"/>
  <c r="B839" i="16" s="1"/>
  <c r="AQ838" i="2"/>
  <c r="Z700" i="2"/>
  <c r="Z674" i="2"/>
  <c r="Z615" i="2"/>
  <c r="AQ614" i="2"/>
  <c r="Z570" i="2"/>
  <c r="B570" i="16" s="1"/>
  <c r="Z553" i="2"/>
  <c r="B553" i="16" s="1"/>
  <c r="AQ552" i="2"/>
  <c r="Z433" i="2"/>
  <c r="B433" i="16" s="1"/>
  <c r="AQ432" i="2"/>
  <c r="Z368" i="2"/>
  <c r="AQ367" i="2"/>
  <c r="Z326" i="2"/>
  <c r="AQ325" i="2"/>
  <c r="Z1119" i="2"/>
  <c r="B1119" i="16" s="1"/>
  <c r="AQ1118" i="2"/>
  <c r="Z973" i="2"/>
  <c r="B973" i="16" s="1"/>
  <c r="Z956" i="2"/>
  <c r="B956" i="16" s="1"/>
  <c r="AQ955" i="2"/>
  <c r="Z871" i="2"/>
  <c r="B871" i="16" s="1"/>
  <c r="AQ870" i="2"/>
  <c r="Z855" i="2"/>
  <c r="B855" i="16" s="1"/>
  <c r="Z769" i="2"/>
  <c r="B769" i="16" s="1"/>
  <c r="AQ768" i="2"/>
  <c r="Z672" i="2"/>
  <c r="AQ671" i="2"/>
  <c r="Z612" i="2"/>
  <c r="AQ611" i="2"/>
  <c r="Z474" i="2"/>
  <c r="B474" i="16" s="1"/>
  <c r="AQ473" i="2"/>
  <c r="Z446" i="2"/>
  <c r="B446" i="16" s="1"/>
  <c r="AQ445" i="2"/>
  <c r="Z353" i="2"/>
  <c r="B353" i="16" s="1"/>
  <c r="AQ352" i="2"/>
  <c r="Z1104" i="2"/>
  <c r="B1104" i="16" s="1"/>
  <c r="AQ1103" i="2"/>
  <c r="Z1070" i="2"/>
  <c r="B1070" i="16" s="1"/>
  <c r="AQ1069" i="2"/>
  <c r="Z1041" i="2"/>
  <c r="B1041" i="16" s="1"/>
  <c r="AQ1040" i="2"/>
  <c r="Z853" i="2"/>
  <c r="Z406" i="2"/>
  <c r="AQ405" i="2"/>
  <c r="Z365" i="2"/>
  <c r="B365" i="16" s="1"/>
  <c r="AQ364" i="2"/>
  <c r="Z322" i="2"/>
  <c r="AQ321" i="2"/>
  <c r="Z281" i="2"/>
  <c r="B281" i="16" s="1"/>
  <c r="AQ280" i="2"/>
  <c r="Z267" i="2"/>
  <c r="AQ266" i="2"/>
  <c r="Z254" i="2"/>
  <c r="AQ253" i="2"/>
  <c r="Z177" i="2"/>
  <c r="B177" i="16" s="1"/>
  <c r="Z52" i="2"/>
  <c r="B52" i="16" s="1"/>
  <c r="AQ51" i="2"/>
  <c r="Z1131" i="2"/>
  <c r="B1131" i="16" s="1"/>
  <c r="AQ1130" i="2"/>
  <c r="Z1102" i="2"/>
  <c r="B1102" i="16" s="1"/>
  <c r="AQ1101" i="2"/>
  <c r="Z1068" i="2"/>
  <c r="B1068" i="16" s="1"/>
  <c r="AQ1067" i="2"/>
  <c r="Z1026" i="2"/>
  <c r="B1026" i="16" s="1"/>
  <c r="AQ1025" i="2"/>
  <c r="Z970" i="2"/>
  <c r="AQ969" i="2"/>
  <c r="Z766" i="2"/>
  <c r="Z739" i="2"/>
  <c r="Z712" i="2"/>
  <c r="B712" i="16" s="1"/>
  <c r="AQ711" i="2"/>
  <c r="Z549" i="2"/>
  <c r="B549" i="16" s="1"/>
  <c r="AQ548" i="2"/>
  <c r="Z459" i="2"/>
  <c r="B459" i="16" s="1"/>
  <c r="AQ458" i="2"/>
  <c r="Z350" i="2"/>
  <c r="B350" i="16" s="1"/>
  <c r="AQ349" i="2"/>
  <c r="Z1066" i="2"/>
  <c r="B1066" i="16" s="1"/>
  <c r="Z1038" i="2"/>
  <c r="B1038" i="16" s="1"/>
  <c r="AQ1037" i="2"/>
  <c r="Z1024" i="2"/>
  <c r="B1024" i="16" s="1"/>
  <c r="AQ1023" i="2"/>
  <c r="Z1011" i="2"/>
  <c r="AQ1010" i="2"/>
  <c r="Z986" i="2"/>
  <c r="B986" i="16" s="1"/>
  <c r="AQ985" i="2"/>
  <c r="Z822" i="2"/>
  <c r="B822" i="16" s="1"/>
  <c r="Z724" i="2"/>
  <c r="Z625" i="2"/>
  <c r="Z564" i="2"/>
  <c r="AQ563" i="2"/>
  <c r="Z533" i="2"/>
  <c r="Z517" i="2"/>
  <c r="AQ516" i="2"/>
  <c r="Z390" i="2"/>
  <c r="B390" i="16" s="1"/>
  <c r="AQ389" i="2"/>
  <c r="Z1096" i="2"/>
  <c r="AQ1095" i="2"/>
  <c r="Z967" i="2"/>
  <c r="B967" i="16" s="1"/>
  <c r="AQ966" i="2"/>
  <c r="Z819" i="2"/>
  <c r="Z791" i="2"/>
  <c r="Z750" i="2"/>
  <c r="B750" i="16" s="1"/>
  <c r="AQ749" i="2"/>
  <c r="Z640" i="2"/>
  <c r="Z594" i="2"/>
  <c r="B594" i="16" s="1"/>
  <c r="AQ593" i="2"/>
  <c r="Z579" i="2"/>
  <c r="AQ578" i="2"/>
  <c r="Z237" i="2"/>
  <c r="B237" i="16" s="1"/>
  <c r="AQ236" i="2"/>
  <c r="Z161" i="2"/>
  <c r="B161" i="16" s="1"/>
  <c r="AQ160" i="2"/>
  <c r="Z48" i="2"/>
  <c r="B48" i="16" s="1"/>
  <c r="AQ47" i="2"/>
  <c r="Z1156" i="2"/>
  <c r="B1156" i="16" s="1"/>
  <c r="AQ1155" i="2"/>
  <c r="Z965" i="2"/>
  <c r="B965" i="16" s="1"/>
  <c r="AQ964" i="2"/>
  <c r="Z906" i="2"/>
  <c r="AQ905" i="2"/>
  <c r="Z865" i="2"/>
  <c r="AQ864" i="2"/>
  <c r="Z777" i="2"/>
  <c r="B777" i="16" s="1"/>
  <c r="AQ776" i="2"/>
  <c r="Z735" i="2"/>
  <c r="B735" i="16" s="1"/>
  <c r="AQ734" i="2"/>
  <c r="Z530" i="2"/>
  <c r="B530" i="16" s="1"/>
  <c r="AQ529" i="2"/>
  <c r="Z499" i="2"/>
  <c r="AQ498" i="2"/>
  <c r="Z486" i="2"/>
  <c r="B486" i="16" s="1"/>
  <c r="AQ485" i="2"/>
  <c r="Z317" i="2"/>
  <c r="B317" i="16" s="1"/>
  <c r="AQ316" i="2"/>
  <c r="Z122" i="2"/>
  <c r="Z1093" i="2"/>
  <c r="B1093" i="16" s="1"/>
  <c r="AQ1092" i="2"/>
  <c r="Z981" i="2"/>
  <c r="AQ980" i="2"/>
  <c r="Z892" i="2"/>
  <c r="B892" i="16" s="1"/>
  <c r="Z863" i="2"/>
  <c r="B863" i="16" s="1"/>
  <c r="Z761" i="2"/>
  <c r="B761" i="16" s="1"/>
  <c r="AQ760" i="2"/>
  <c r="Z651" i="2"/>
  <c r="Z636" i="2"/>
  <c r="AQ635" i="2"/>
  <c r="Z591" i="2"/>
  <c r="B591" i="16" s="1"/>
  <c r="AQ590" i="2"/>
  <c r="Z513" i="2"/>
  <c r="B513" i="16" s="1"/>
  <c r="AQ512" i="2"/>
  <c r="Z484" i="2"/>
  <c r="B484" i="16" s="1"/>
  <c r="AQ483" i="2"/>
  <c r="Z454" i="2"/>
  <c r="B454" i="16" s="1"/>
  <c r="AQ453" i="2"/>
  <c r="Z301" i="2"/>
  <c r="AQ300" i="2"/>
  <c r="Z134" i="2"/>
  <c r="B134" i="16" s="1"/>
  <c r="Z1193" i="2"/>
  <c r="AQ1192" i="2"/>
  <c r="Z920" i="2"/>
  <c r="B920" i="16" s="1"/>
  <c r="AQ919" i="2"/>
  <c r="Z861" i="2"/>
  <c r="AQ860" i="2"/>
  <c r="Z814" i="2"/>
  <c r="AQ813" i="2"/>
  <c r="Z482" i="2"/>
  <c r="B482" i="16" s="1"/>
  <c r="AQ481" i="2"/>
  <c r="Z233" i="2"/>
  <c r="B233" i="16" s="1"/>
  <c r="AQ232" i="2"/>
  <c r="Z119" i="2"/>
  <c r="B119" i="16" s="1"/>
  <c r="AQ118" i="2"/>
  <c r="Z1191" i="2"/>
  <c r="B1191" i="16" s="1"/>
  <c r="AQ1190" i="2"/>
  <c r="Z1124" i="2"/>
  <c r="Z1076" i="2"/>
  <c r="AQ1075" i="2"/>
  <c r="Z1060" i="2"/>
  <c r="B1060" i="16" s="1"/>
  <c r="AQ1059" i="2"/>
  <c r="Z978" i="2"/>
  <c r="B978" i="16" s="1"/>
  <c r="AQ977" i="2"/>
  <c r="Z947" i="2"/>
  <c r="B947" i="16" s="1"/>
  <c r="AQ946" i="2"/>
  <c r="Z843" i="2"/>
  <c r="AQ842" i="2"/>
  <c r="Z558" i="2"/>
  <c r="B558" i="16" s="1"/>
  <c r="AQ557" i="2"/>
  <c r="Z541" i="2"/>
  <c r="AQ540" i="2"/>
  <c r="Z526" i="2"/>
  <c r="B526" i="16" s="1"/>
  <c r="AQ525" i="2"/>
  <c r="Z510" i="2"/>
  <c r="B510" i="16" s="1"/>
  <c r="AQ509" i="2"/>
  <c r="Z437" i="2"/>
  <c r="B437" i="16" s="1"/>
  <c r="AQ436" i="2"/>
  <c r="Z398" i="2"/>
  <c r="B398" i="16" s="1"/>
  <c r="AQ397" i="2"/>
  <c r="Z330" i="2"/>
  <c r="AQ329" i="2"/>
  <c r="Z313" i="2"/>
  <c r="AQ312" i="2"/>
  <c r="Z219" i="2"/>
  <c r="B219" i="16" s="1"/>
  <c r="AQ218" i="2"/>
  <c r="Z1151" i="2"/>
  <c r="B1151" i="16" s="1"/>
  <c r="AQ1150" i="2"/>
  <c r="Z875" i="2"/>
  <c r="B875" i="16" s="1"/>
  <c r="AQ874" i="2"/>
  <c r="Z799" i="2"/>
  <c r="B799" i="16" s="1"/>
  <c r="Z689" i="2"/>
  <c r="B689" i="16" s="1"/>
  <c r="AQ688" i="2"/>
  <c r="Z602" i="2"/>
  <c r="Z573" i="2"/>
  <c r="B573" i="16" s="1"/>
  <c r="Z479" i="2"/>
  <c r="AQ478" i="2"/>
  <c r="Z450" i="2"/>
  <c r="B450" i="16" s="1"/>
  <c r="AQ449" i="2"/>
  <c r="Z342" i="2"/>
  <c r="B342" i="16" s="1"/>
  <c r="Z1176" i="2"/>
  <c r="B1176" i="16" s="1"/>
  <c r="AQ1175" i="2"/>
  <c r="Z1148" i="2"/>
  <c r="AQ1147" i="2"/>
  <c r="Z959" i="2"/>
  <c r="B959" i="16" s="1"/>
  <c r="AQ958" i="2"/>
  <c r="Z930" i="2"/>
  <c r="AQ929" i="2"/>
  <c r="Z916" i="2"/>
  <c r="B916" i="16" s="1"/>
  <c r="AQ915" i="2"/>
  <c r="Z887" i="2"/>
  <c r="B887" i="16" s="1"/>
  <c r="AQ886" i="2"/>
  <c r="Z702" i="2"/>
  <c r="Z631" i="2"/>
  <c r="B631" i="16" s="1"/>
  <c r="AQ630" i="2"/>
  <c r="Z555" i="2"/>
  <c r="B555" i="16" s="1"/>
  <c r="AQ554" i="2"/>
  <c r="Z523" i="2"/>
  <c r="B523" i="16" s="1"/>
  <c r="AQ522" i="2"/>
  <c r="Z477" i="2"/>
  <c r="B477" i="16" s="1"/>
  <c r="AQ476" i="2"/>
  <c r="Z244" i="2"/>
  <c r="B244" i="16" s="1"/>
  <c r="AQ243" i="2"/>
  <c r="AH1210" i="2"/>
  <c r="P1210" i="16" s="1"/>
  <c r="AN1210" i="2"/>
  <c r="AK1210" i="2"/>
  <c r="AL1210" i="2"/>
  <c r="AK1198" i="2"/>
  <c r="AL1198" i="2"/>
  <c r="AK1183" i="2"/>
  <c r="AL1183" i="2"/>
  <c r="AL1170" i="2"/>
  <c r="AK1170" i="2"/>
  <c r="AK1158" i="2"/>
  <c r="AL1158" i="2"/>
  <c r="AN1158" i="2"/>
  <c r="AH1142" i="2"/>
  <c r="P1142" i="16" s="1"/>
  <c r="AN1142" i="2"/>
  <c r="AL1129" i="2"/>
  <c r="AK1129" i="2"/>
  <c r="AK1100" i="2"/>
  <c r="AL1100" i="2"/>
  <c r="AM1100" i="2"/>
  <c r="AH1083" i="2"/>
  <c r="AL1083" i="2"/>
  <c r="AK1083" i="2"/>
  <c r="AN1083" i="2"/>
  <c r="AH1052" i="2"/>
  <c r="AK1052" i="2"/>
  <c r="AL1052" i="2"/>
  <c r="AN1052" i="2"/>
  <c r="AH1037" i="2"/>
  <c r="AK1037" i="2"/>
  <c r="AL1037" i="2"/>
  <c r="AH1023" i="2"/>
  <c r="P1023" i="16" s="1"/>
  <c r="AK1023" i="2"/>
  <c r="AL1023" i="2"/>
  <c r="AN1023" i="2"/>
  <c r="AK1010" i="2"/>
  <c r="AL1010" i="2"/>
  <c r="AH998" i="2"/>
  <c r="AK998" i="2"/>
  <c r="AL998" i="2"/>
  <c r="AN998" i="2"/>
  <c r="AI985" i="2"/>
  <c r="Q985" i="16" s="1"/>
  <c r="AL985" i="2"/>
  <c r="AM985" i="2"/>
  <c r="AK985" i="2"/>
  <c r="AH968" i="2"/>
  <c r="P968" i="16" s="1"/>
  <c r="AK968" i="2"/>
  <c r="AL968" i="2"/>
  <c r="AH952" i="2"/>
  <c r="AK952" i="2"/>
  <c r="AL952" i="2"/>
  <c r="AN952" i="2"/>
  <c r="AH924" i="2"/>
  <c r="AK924" i="2"/>
  <c r="AM924" i="2" s="1"/>
  <c r="AL924" i="2"/>
  <c r="AH910" i="2"/>
  <c r="P910" i="16" s="1"/>
  <c r="AH895" i="2"/>
  <c r="P895" i="16" s="1"/>
  <c r="AK881" i="2"/>
  <c r="AL881" i="2"/>
  <c r="AH850" i="2"/>
  <c r="P850" i="16" s="1"/>
  <c r="AK850" i="2"/>
  <c r="AL850" i="2"/>
  <c r="AH834" i="2"/>
  <c r="P834" i="16" s="1"/>
  <c r="AL834" i="2"/>
  <c r="AK834" i="2"/>
  <c r="AK805" i="2"/>
  <c r="AL805" i="2"/>
  <c r="AH779" i="2"/>
  <c r="AK779" i="2"/>
  <c r="AL779" i="2"/>
  <c r="AK764" i="2"/>
  <c r="AL764" i="2"/>
  <c r="AK751" i="2"/>
  <c r="AL751" i="2"/>
  <c r="AN751" i="2"/>
  <c r="AL737" i="2"/>
  <c r="AK737" i="2"/>
  <c r="AM723" i="2"/>
  <c r="AN710" i="2"/>
  <c r="AK710" i="2"/>
  <c r="AH695" i="2"/>
  <c r="P695" i="16" s="1"/>
  <c r="AK695" i="2"/>
  <c r="AL695" i="2"/>
  <c r="AH682" i="2"/>
  <c r="P682" i="16" s="1"/>
  <c r="AK682" i="2"/>
  <c r="AL682" i="2"/>
  <c r="AK668" i="2"/>
  <c r="AL668" i="2"/>
  <c r="AN668" i="2"/>
  <c r="AK624" i="2"/>
  <c r="AH608" i="2"/>
  <c r="P608" i="16" s="1"/>
  <c r="AK608" i="2"/>
  <c r="AL608" i="2"/>
  <c r="AN608" i="2"/>
  <c r="AH595" i="2"/>
  <c r="AK595" i="2"/>
  <c r="AM595" i="2" s="1"/>
  <c r="AL595" i="2"/>
  <c r="AH563" i="2"/>
  <c r="AK563" i="2"/>
  <c r="AL563" i="2"/>
  <c r="AN563" i="2"/>
  <c r="AH547" i="2"/>
  <c r="AL547" i="2"/>
  <c r="AK547" i="2"/>
  <c r="AM532" i="2"/>
  <c r="AH516" i="2"/>
  <c r="P516" i="16" s="1"/>
  <c r="AL516" i="2"/>
  <c r="AK516" i="2"/>
  <c r="AH502" i="2"/>
  <c r="P502" i="16" s="1"/>
  <c r="AK502" i="2"/>
  <c r="AM502" i="2" s="1"/>
  <c r="AL502" i="2"/>
  <c r="AH488" i="2"/>
  <c r="AN488" i="2"/>
  <c r="AK488" i="2"/>
  <c r="AL488" i="2"/>
  <c r="AH470" i="2"/>
  <c r="AK470" i="2"/>
  <c r="AL470" i="2"/>
  <c r="AN470" i="2"/>
  <c r="AH457" i="2"/>
  <c r="AK457" i="2"/>
  <c r="AL457" i="2"/>
  <c r="AN457" i="2"/>
  <c r="AK442" i="2"/>
  <c r="AM442" i="2"/>
  <c r="AL442" i="2"/>
  <c r="AH428" i="2"/>
  <c r="P428" i="16" s="1"/>
  <c r="AK428" i="2"/>
  <c r="AL428" i="2"/>
  <c r="AN428" i="2"/>
  <c r="AK416" i="2"/>
  <c r="AL416" i="2"/>
  <c r="AN416" i="2"/>
  <c r="AK403" i="2"/>
  <c r="AL403" i="2"/>
  <c r="AN403" i="2"/>
  <c r="AK389" i="2"/>
  <c r="AM389" i="2"/>
  <c r="AL389" i="2"/>
  <c r="AH377" i="2"/>
  <c r="P377" i="16" s="1"/>
  <c r="AK377" i="2"/>
  <c r="AL377" i="2"/>
  <c r="AL362" i="2"/>
  <c r="AM362" i="2"/>
  <c r="AK362" i="2"/>
  <c r="AL348" i="2"/>
  <c r="AK348" i="2"/>
  <c r="AH335" i="2"/>
  <c r="AK335" i="2"/>
  <c r="AN335" i="2"/>
  <c r="AL335" i="2"/>
  <c r="AK319" i="2"/>
  <c r="AL319" i="2"/>
  <c r="AM319" i="2"/>
  <c r="AL305" i="2"/>
  <c r="AN305" i="2"/>
  <c r="AK305" i="2"/>
  <c r="AK291" i="2"/>
  <c r="AL291" i="2"/>
  <c r="AN291" i="2"/>
  <c r="AK278" i="2"/>
  <c r="AL278" i="2"/>
  <c r="AH264" i="2"/>
  <c r="P264" i="16" s="1"/>
  <c r="AK264" i="2"/>
  <c r="AL264" i="2"/>
  <c r="AN264" i="2"/>
  <c r="AK251" i="2"/>
  <c r="AL251" i="2"/>
  <c r="AK238" i="2"/>
  <c r="AL238" i="2"/>
  <c r="AN238" i="2"/>
  <c r="AH211" i="2"/>
  <c r="P211" i="16" s="1"/>
  <c r="AL211" i="2"/>
  <c r="AN211" i="2"/>
  <c r="AK211" i="2"/>
  <c r="AL199" i="2"/>
  <c r="AK199" i="2"/>
  <c r="AH187" i="2"/>
  <c r="P187" i="16" s="1"/>
  <c r="AL187" i="2"/>
  <c r="AN187" i="2"/>
  <c r="AK187" i="2"/>
  <c r="AH174" i="2"/>
  <c r="P174" i="16" s="1"/>
  <c r="AK174" i="2"/>
  <c r="AL174" i="2"/>
  <c r="AK162" i="2"/>
  <c r="AL162" i="2"/>
  <c r="AN162" i="2"/>
  <c r="AK149" i="2"/>
  <c r="AL149" i="2"/>
  <c r="AK137" i="2"/>
  <c r="AL137" i="2"/>
  <c r="AM137" i="2"/>
  <c r="AK124" i="2"/>
  <c r="AL124" i="2"/>
  <c r="AK110" i="2"/>
  <c r="AL110" i="2"/>
  <c r="AN110" i="2"/>
  <c r="AK98" i="2"/>
  <c r="AL98" i="2"/>
  <c r="AN98" i="2"/>
  <c r="AH86" i="2"/>
  <c r="P86" i="16" s="1"/>
  <c r="AK86" i="2"/>
  <c r="AL86" i="2"/>
  <c r="AN86" i="2"/>
  <c r="AK74" i="2"/>
  <c r="AL74" i="2"/>
  <c r="AK62" i="2"/>
  <c r="AL62" i="2"/>
  <c r="AH49" i="2"/>
  <c r="AK49" i="2"/>
  <c r="AL49" i="2"/>
  <c r="AM49" i="2"/>
  <c r="AK36" i="2"/>
  <c r="AL36" i="2"/>
  <c r="AH24" i="2"/>
  <c r="AK24" i="2"/>
  <c r="AL24" i="2"/>
  <c r="AN24" i="2"/>
  <c r="AK12" i="2"/>
  <c r="AL12" i="2"/>
  <c r="AN12" i="2"/>
  <c r="AM1209" i="2"/>
  <c r="AL1209" i="2"/>
  <c r="AK1209" i="2"/>
  <c r="AH1197" i="2"/>
  <c r="AK1197" i="2"/>
  <c r="AL1197" i="2"/>
  <c r="AN1197" i="2"/>
  <c r="AK1182" i="2"/>
  <c r="AL1182" i="2"/>
  <c r="AH1169" i="2"/>
  <c r="AK1169" i="2"/>
  <c r="AL1169" i="2"/>
  <c r="AH1157" i="2"/>
  <c r="AK1157" i="2"/>
  <c r="AL1157" i="2"/>
  <c r="AN1157" i="2"/>
  <c r="AH1141" i="2"/>
  <c r="P1141" i="16" s="1"/>
  <c r="AL1141" i="2"/>
  <c r="AK1141" i="2"/>
  <c r="AH1128" i="2"/>
  <c r="P1128" i="16" s="1"/>
  <c r="AL1128" i="2"/>
  <c r="AK1128" i="2"/>
  <c r="AK1114" i="2"/>
  <c r="AL1114" i="2"/>
  <c r="AK1095" i="2"/>
  <c r="AL1095" i="2"/>
  <c r="AH1082" i="2"/>
  <c r="AK1082" i="2"/>
  <c r="AN1082" i="2"/>
  <c r="AL1082" i="2"/>
  <c r="AH1064" i="2"/>
  <c r="AK1064" i="2"/>
  <c r="AL1064" i="2"/>
  <c r="AN1064" i="2"/>
  <c r="AH1036" i="2"/>
  <c r="AL1036" i="2"/>
  <c r="AK1036" i="2"/>
  <c r="AN1036" i="2"/>
  <c r="AH1022" i="2"/>
  <c r="P1022" i="16" s="1"/>
  <c r="AL1022" i="2"/>
  <c r="AN1022" i="2"/>
  <c r="AK1022" i="2"/>
  <c r="AH1009" i="2"/>
  <c r="AK1009" i="2"/>
  <c r="AL1009" i="2"/>
  <c r="AL997" i="2"/>
  <c r="AK997" i="2"/>
  <c r="AK966" i="2"/>
  <c r="AL966" i="2"/>
  <c r="AK951" i="2"/>
  <c r="AL951" i="2"/>
  <c r="AH923" i="2"/>
  <c r="AL923" i="2"/>
  <c r="AK923" i="2"/>
  <c r="AH909" i="2"/>
  <c r="P909" i="16" s="1"/>
  <c r="AK909" i="2"/>
  <c r="AL909" i="2"/>
  <c r="AK894" i="2"/>
  <c r="AL894" i="2"/>
  <c r="AN894" i="2"/>
  <c r="AK880" i="2"/>
  <c r="AL880" i="2"/>
  <c r="AH833" i="2"/>
  <c r="AK833" i="2"/>
  <c r="AL833" i="2"/>
  <c r="AH778" i="2"/>
  <c r="P778" i="16" s="1"/>
  <c r="AK778" i="2"/>
  <c r="AL778" i="2"/>
  <c r="AK749" i="2"/>
  <c r="AL749" i="2"/>
  <c r="AL736" i="2"/>
  <c r="AM736" i="2"/>
  <c r="AK736" i="2"/>
  <c r="AH722" i="2"/>
  <c r="P722" i="16" s="1"/>
  <c r="AK722" i="2"/>
  <c r="AL722" i="2"/>
  <c r="AK694" i="2"/>
  <c r="AL694" i="2"/>
  <c r="AM694" i="2"/>
  <c r="AK681" i="2"/>
  <c r="AL681" i="2"/>
  <c r="AK654" i="2"/>
  <c r="AL654" i="2"/>
  <c r="AH623" i="2"/>
  <c r="P623" i="16" s="1"/>
  <c r="AK623" i="2"/>
  <c r="AL623" i="2"/>
  <c r="AH593" i="2"/>
  <c r="AK593" i="2"/>
  <c r="AL593" i="2"/>
  <c r="AK578" i="2"/>
  <c r="AL578" i="2"/>
  <c r="AH562" i="2"/>
  <c r="P562" i="16" s="1"/>
  <c r="AK562" i="2"/>
  <c r="AL562" i="2"/>
  <c r="AK546" i="2"/>
  <c r="AL546" i="2"/>
  <c r="AN546" i="2"/>
  <c r="AH531" i="2"/>
  <c r="AK531" i="2"/>
  <c r="AL531" i="2"/>
  <c r="AN531" i="2"/>
  <c r="AH515" i="2"/>
  <c r="AK515" i="2"/>
  <c r="AL515" i="2"/>
  <c r="AN515" i="2"/>
  <c r="AL501" i="2"/>
  <c r="AK501" i="2"/>
  <c r="AK487" i="2"/>
  <c r="AL487" i="2"/>
  <c r="AM487" i="2"/>
  <c r="AH456" i="2"/>
  <c r="P456" i="16" s="1"/>
  <c r="AK456" i="2"/>
  <c r="AL456" i="2"/>
  <c r="AN456" i="2"/>
  <c r="AL441" i="2"/>
  <c r="AN441" i="2"/>
  <c r="AK441" i="2"/>
  <c r="AL415" i="2"/>
  <c r="AK415" i="2"/>
  <c r="AH388" i="2"/>
  <c r="AK388" i="2"/>
  <c r="AL388" i="2"/>
  <c r="AN388" i="2"/>
  <c r="AH376" i="2"/>
  <c r="AK376" i="2"/>
  <c r="AL376" i="2"/>
  <c r="AN376" i="2"/>
  <c r="AH361" i="2"/>
  <c r="AK361" i="2"/>
  <c r="AL361" i="2"/>
  <c r="AN361" i="2"/>
  <c r="AK347" i="2"/>
  <c r="AL347" i="2"/>
  <c r="AK334" i="2"/>
  <c r="AL334" i="2"/>
  <c r="AH318" i="2"/>
  <c r="AK318" i="2"/>
  <c r="AL318" i="2"/>
  <c r="AN318" i="2"/>
  <c r="AH304" i="2"/>
  <c r="AK304" i="2"/>
  <c r="AN304" i="2"/>
  <c r="AL304" i="2"/>
  <c r="AH290" i="2"/>
  <c r="P290" i="16" s="1"/>
  <c r="AK290" i="2"/>
  <c r="AL290" i="2"/>
  <c r="AN290" i="2"/>
  <c r="AK250" i="2"/>
  <c r="AL250" i="2"/>
  <c r="AN250" i="2"/>
  <c r="AK236" i="2"/>
  <c r="AL236" i="2"/>
  <c r="AL210" i="2"/>
  <c r="AN210" i="2"/>
  <c r="AK210" i="2"/>
  <c r="AK198" i="2"/>
  <c r="AL198" i="2"/>
  <c r="AN198" i="2"/>
  <c r="AK186" i="2"/>
  <c r="AL186" i="2"/>
  <c r="AN186" i="2"/>
  <c r="AK173" i="2"/>
  <c r="AL173" i="2"/>
  <c r="AN173" i="2"/>
  <c r="AH160" i="2"/>
  <c r="AK160" i="2"/>
  <c r="AL160" i="2"/>
  <c r="AN160" i="2"/>
  <c r="AL148" i="2"/>
  <c r="AM148" i="2"/>
  <c r="AK148" i="2"/>
  <c r="AH136" i="2"/>
  <c r="P136" i="16" s="1"/>
  <c r="AK136" i="2"/>
  <c r="AL136" i="2"/>
  <c r="AK109" i="2"/>
  <c r="AL109" i="2"/>
  <c r="AN109" i="2"/>
  <c r="AK97" i="2"/>
  <c r="AL97" i="2"/>
  <c r="AN97" i="2"/>
  <c r="AK85" i="2"/>
  <c r="AL85" i="2"/>
  <c r="AN85" i="2"/>
  <c r="AH73" i="2"/>
  <c r="AK73" i="2"/>
  <c r="AL73" i="2"/>
  <c r="AK61" i="2"/>
  <c r="AL61" i="2"/>
  <c r="AM61" i="2"/>
  <c r="AL47" i="2"/>
  <c r="AK47" i="2"/>
  <c r="AK35" i="2"/>
  <c r="AL35" i="2"/>
  <c r="AK11" i="2"/>
  <c r="AL11" i="2"/>
  <c r="AH1208" i="2"/>
  <c r="AK1208" i="2"/>
  <c r="AL1208" i="2"/>
  <c r="AN1208" i="2"/>
  <c r="AL1196" i="2"/>
  <c r="AK1196" i="2"/>
  <c r="AH1181" i="2"/>
  <c r="P1181" i="16" s="1"/>
  <c r="AK1181" i="2"/>
  <c r="AL1181" i="2"/>
  <c r="AL1168" i="2"/>
  <c r="AK1168" i="2"/>
  <c r="AH1155" i="2"/>
  <c r="P1155" i="16" s="1"/>
  <c r="AL1155" i="2"/>
  <c r="AK1155" i="2"/>
  <c r="AN1155" i="2"/>
  <c r="AK1140" i="2"/>
  <c r="AL1140" i="2"/>
  <c r="AN1140" i="2"/>
  <c r="AK1113" i="2"/>
  <c r="AL1113" i="2"/>
  <c r="AH1094" i="2"/>
  <c r="AK1094" i="2"/>
  <c r="AL1094" i="2"/>
  <c r="AN1094" i="2"/>
  <c r="AH1081" i="2"/>
  <c r="P1081" i="16" s="1"/>
  <c r="AK1081" i="2"/>
  <c r="AN1081" i="2"/>
  <c r="AL1081" i="2"/>
  <c r="AK1063" i="2"/>
  <c r="AL1063" i="2"/>
  <c r="AN1050" i="2"/>
  <c r="AK1035" i="2"/>
  <c r="AL1035" i="2"/>
  <c r="AL1021" i="2"/>
  <c r="AK1021" i="2"/>
  <c r="AH1008" i="2"/>
  <c r="AK1008" i="2"/>
  <c r="AL1008" i="2"/>
  <c r="AK950" i="2"/>
  <c r="AL950" i="2"/>
  <c r="AM950" i="2"/>
  <c r="AH935" i="2"/>
  <c r="AK935" i="2"/>
  <c r="AL935" i="2"/>
  <c r="AK905" i="2"/>
  <c r="AL905" i="2"/>
  <c r="AH893" i="2"/>
  <c r="AK893" i="2"/>
  <c r="AL893" i="2"/>
  <c r="AK879" i="2"/>
  <c r="AL879" i="2"/>
  <c r="AK864" i="2"/>
  <c r="AL864" i="2"/>
  <c r="AL848" i="2"/>
  <c r="AK848" i="2"/>
  <c r="AK832" i="2"/>
  <c r="AL832" i="2"/>
  <c r="AH803" i="2"/>
  <c r="AK803" i="2"/>
  <c r="AL803" i="2"/>
  <c r="AK789" i="2"/>
  <c r="AN789" i="2"/>
  <c r="AL789" i="2"/>
  <c r="AK776" i="2"/>
  <c r="AL776" i="2"/>
  <c r="AH762" i="2"/>
  <c r="AH748" i="2"/>
  <c r="P748" i="16" s="1"/>
  <c r="AK748" i="2"/>
  <c r="AL748" i="2"/>
  <c r="AN748" i="2"/>
  <c r="AK721" i="2"/>
  <c r="AL721" i="2"/>
  <c r="AM721" i="2"/>
  <c r="AK708" i="2"/>
  <c r="AL708" i="2"/>
  <c r="AK693" i="2"/>
  <c r="AL693" i="2"/>
  <c r="AH638" i="2"/>
  <c r="P638" i="16" s="1"/>
  <c r="AL638" i="2"/>
  <c r="AK638" i="2"/>
  <c r="AH622" i="2"/>
  <c r="AK622" i="2"/>
  <c r="AL622" i="2"/>
  <c r="AL606" i="2"/>
  <c r="AK606" i="2"/>
  <c r="AL592" i="2"/>
  <c r="AK592" i="2"/>
  <c r="AH577" i="2"/>
  <c r="AK577" i="2"/>
  <c r="AL577" i="2"/>
  <c r="AK561" i="2"/>
  <c r="AL561" i="2"/>
  <c r="AN561" i="2"/>
  <c r="AK529" i="2"/>
  <c r="AL529" i="2"/>
  <c r="AK514" i="2"/>
  <c r="AL514" i="2"/>
  <c r="AM514" i="2"/>
  <c r="AG499" i="2"/>
  <c r="AK485" i="2"/>
  <c r="AL485" i="2"/>
  <c r="AN485" i="2"/>
  <c r="AM468" i="2"/>
  <c r="AH455" i="2"/>
  <c r="P455" i="16" s="1"/>
  <c r="AK455" i="2"/>
  <c r="AL455" i="2"/>
  <c r="AK440" i="2"/>
  <c r="AL440" i="2"/>
  <c r="AH426" i="2"/>
  <c r="AL426" i="2"/>
  <c r="AN426" i="2"/>
  <c r="AK426" i="2"/>
  <c r="AH387" i="2"/>
  <c r="P387" i="16" s="1"/>
  <c r="AL387" i="2"/>
  <c r="AK387" i="2"/>
  <c r="AK375" i="2"/>
  <c r="AL375" i="2"/>
  <c r="AH360" i="2"/>
  <c r="P360" i="16" s="1"/>
  <c r="AL360" i="2"/>
  <c r="AN360" i="2"/>
  <c r="AK360" i="2"/>
  <c r="AL346" i="2"/>
  <c r="AM346" i="2"/>
  <c r="AK346" i="2"/>
  <c r="AK333" i="2"/>
  <c r="AL333" i="2"/>
  <c r="AK316" i="2"/>
  <c r="AL316" i="2"/>
  <c r="AH303" i="2"/>
  <c r="AL303" i="2"/>
  <c r="AN303" i="2"/>
  <c r="AK303" i="2"/>
  <c r="AK289" i="2"/>
  <c r="AL289" i="2"/>
  <c r="AM289" i="2"/>
  <c r="AK276" i="2"/>
  <c r="AL276" i="2"/>
  <c r="AL262" i="2"/>
  <c r="AN262" i="2"/>
  <c r="AK262" i="2"/>
  <c r="AK249" i="2"/>
  <c r="AL249" i="2"/>
  <c r="AN249" i="2"/>
  <c r="AL235" i="2"/>
  <c r="AK235" i="2"/>
  <c r="AK222" i="2"/>
  <c r="AL222" i="2"/>
  <c r="AK209" i="2"/>
  <c r="AN209" i="2"/>
  <c r="AK197" i="2"/>
  <c r="AL197" i="2"/>
  <c r="AH185" i="2"/>
  <c r="P185" i="16" s="1"/>
  <c r="AK185" i="2"/>
  <c r="AL185" i="2"/>
  <c r="AN185" i="2"/>
  <c r="AH172" i="2"/>
  <c r="P172" i="16" s="1"/>
  <c r="AK172" i="2"/>
  <c r="AL172" i="2"/>
  <c r="AN172" i="2"/>
  <c r="AK159" i="2"/>
  <c r="AL159" i="2"/>
  <c r="AN159" i="2"/>
  <c r="AL147" i="2"/>
  <c r="AN147" i="2"/>
  <c r="AK147" i="2"/>
  <c r="AK135" i="2"/>
  <c r="AL135" i="2"/>
  <c r="AN135" i="2"/>
  <c r="AK121" i="2"/>
  <c r="AK108" i="2"/>
  <c r="AL108" i="2"/>
  <c r="AL96" i="2"/>
  <c r="AN96" i="2"/>
  <c r="AK96" i="2"/>
  <c r="AH84" i="2"/>
  <c r="P84" i="16" s="1"/>
  <c r="AL84" i="2"/>
  <c r="AN84" i="2"/>
  <c r="AK84" i="2"/>
  <c r="AH72" i="2"/>
  <c r="AK72" i="2"/>
  <c r="AL72" i="2"/>
  <c r="AN72" i="2"/>
  <c r="AK60" i="2"/>
  <c r="AL60" i="2"/>
  <c r="AK46" i="2"/>
  <c r="AL46" i="2"/>
  <c r="AN46" i="2"/>
  <c r="AN34" i="2"/>
  <c r="AK34" i="2"/>
  <c r="AL34" i="2"/>
  <c r="AK22" i="2"/>
  <c r="AL22" i="2"/>
  <c r="AK10" i="2"/>
  <c r="AL10" i="2"/>
  <c r="AH1207" i="2"/>
  <c r="AK1207" i="2"/>
  <c r="AL1207" i="2"/>
  <c r="AH1195" i="2"/>
  <c r="AL1195" i="2"/>
  <c r="AK1195" i="2"/>
  <c r="AH1180" i="2"/>
  <c r="AK1180" i="2"/>
  <c r="AL1180" i="2"/>
  <c r="AH1167" i="2"/>
  <c r="AL1167" i="2"/>
  <c r="AN1167" i="2"/>
  <c r="AK1167" i="2"/>
  <c r="AH1139" i="2"/>
  <c r="AK1139" i="2"/>
  <c r="AL1139" i="2"/>
  <c r="AH1126" i="2"/>
  <c r="AL1126" i="2"/>
  <c r="AK1126" i="2"/>
  <c r="AH1112" i="2"/>
  <c r="AK1112" i="2"/>
  <c r="AL1112" i="2"/>
  <c r="AL1092" i="2"/>
  <c r="AK1092" i="2"/>
  <c r="AH1080" i="2"/>
  <c r="P1080" i="16" s="1"/>
  <c r="AN1080" i="2"/>
  <c r="AK1080" i="2"/>
  <c r="AL1080" i="2"/>
  <c r="AH1062" i="2"/>
  <c r="AK1062" i="2"/>
  <c r="AL1062" i="2"/>
  <c r="AH1049" i="2"/>
  <c r="AK1049" i="2"/>
  <c r="AL1049" i="2"/>
  <c r="AH1034" i="2"/>
  <c r="AN1034" i="2"/>
  <c r="AL1034" i="2"/>
  <c r="AK1034" i="2"/>
  <c r="AH1020" i="2"/>
  <c r="AK1020" i="2"/>
  <c r="AL1020" i="2"/>
  <c r="AK1007" i="2"/>
  <c r="AL1007" i="2"/>
  <c r="AM1007" i="2"/>
  <c r="AH995" i="2"/>
  <c r="P995" i="16" s="1"/>
  <c r="AL995" i="2"/>
  <c r="AN995" i="2"/>
  <c r="AK995" i="2"/>
  <c r="AK980" i="2"/>
  <c r="AL980" i="2"/>
  <c r="AN980" i="2"/>
  <c r="AH949" i="2"/>
  <c r="AK949" i="2"/>
  <c r="AL949" i="2"/>
  <c r="AK934" i="2"/>
  <c r="AL934" i="2"/>
  <c r="AN934" i="2"/>
  <c r="AH921" i="2"/>
  <c r="P921" i="16" s="1"/>
  <c r="AN921" i="2"/>
  <c r="AM891" i="2"/>
  <c r="AK891" i="2"/>
  <c r="AL891" i="2"/>
  <c r="AH878" i="2"/>
  <c r="P878" i="16" s="1"/>
  <c r="AK878" i="2"/>
  <c r="AL878" i="2"/>
  <c r="AN878" i="2"/>
  <c r="AK847" i="2"/>
  <c r="AL847" i="2"/>
  <c r="AH831" i="2"/>
  <c r="P831" i="16" s="1"/>
  <c r="AK831" i="2"/>
  <c r="AM831" i="2" s="1"/>
  <c r="AL831" i="2"/>
  <c r="AH816" i="2"/>
  <c r="P816" i="16" s="1"/>
  <c r="AH802" i="2"/>
  <c r="AL802" i="2"/>
  <c r="AK802" i="2"/>
  <c r="AK788" i="2"/>
  <c r="AL788" i="2"/>
  <c r="AN788" i="2"/>
  <c r="AL775" i="2"/>
  <c r="AK775" i="2"/>
  <c r="AH760" i="2"/>
  <c r="AN760" i="2"/>
  <c r="AH747" i="2"/>
  <c r="AK747" i="2"/>
  <c r="AL747" i="2"/>
  <c r="AH720" i="2"/>
  <c r="AK720" i="2"/>
  <c r="AL720" i="2"/>
  <c r="AH692" i="2"/>
  <c r="P692" i="16" s="1"/>
  <c r="AK692" i="2"/>
  <c r="AL692" i="2"/>
  <c r="AK679" i="2"/>
  <c r="AL679" i="2"/>
  <c r="AM679" i="2"/>
  <c r="AK650" i="2"/>
  <c r="AL650" i="2"/>
  <c r="AH635" i="2"/>
  <c r="P635" i="16" s="1"/>
  <c r="AK635" i="2"/>
  <c r="AL635" i="2"/>
  <c r="AL605" i="2"/>
  <c r="AK605" i="2"/>
  <c r="AH590" i="2"/>
  <c r="AK590" i="2"/>
  <c r="AL590" i="2"/>
  <c r="AK576" i="2"/>
  <c r="AL576" i="2"/>
  <c r="AN576" i="2"/>
  <c r="AL560" i="2"/>
  <c r="AK560" i="2"/>
  <c r="AH528" i="2"/>
  <c r="P528" i="16" s="1"/>
  <c r="AK528" i="2"/>
  <c r="AL528" i="2"/>
  <c r="AK512" i="2"/>
  <c r="AL512" i="2"/>
  <c r="AK497" i="2"/>
  <c r="AM497" i="2"/>
  <c r="AL497" i="2"/>
  <c r="AL483" i="2"/>
  <c r="AK483" i="2"/>
  <c r="AK467" i="2"/>
  <c r="AL467" i="2"/>
  <c r="AM467" i="2"/>
  <c r="AL453" i="2"/>
  <c r="AN453" i="2"/>
  <c r="AK453" i="2"/>
  <c r="AH439" i="2"/>
  <c r="P439" i="16" s="1"/>
  <c r="AK439" i="2"/>
  <c r="AL439" i="2"/>
  <c r="AN439" i="2"/>
  <c r="AK425" i="2"/>
  <c r="AL425" i="2"/>
  <c r="AM425" i="2"/>
  <c r="AK386" i="2"/>
  <c r="AL386" i="2"/>
  <c r="AN386" i="2"/>
  <c r="AL374" i="2"/>
  <c r="AK374" i="2"/>
  <c r="AH359" i="2"/>
  <c r="AK359" i="2"/>
  <c r="AL359" i="2"/>
  <c r="AN359" i="2"/>
  <c r="AK345" i="2"/>
  <c r="AL345" i="2"/>
  <c r="AM345" i="2"/>
  <c r="AK315" i="2"/>
  <c r="AL315" i="2"/>
  <c r="AK300" i="2"/>
  <c r="AL300" i="2"/>
  <c r="AH288" i="2"/>
  <c r="AK288" i="2"/>
  <c r="AL288" i="2"/>
  <c r="AN288" i="2"/>
  <c r="AH275" i="2"/>
  <c r="AL275" i="2"/>
  <c r="AN275" i="2"/>
  <c r="AK275" i="2"/>
  <c r="AK261" i="2"/>
  <c r="AL261" i="2"/>
  <c r="AL234" i="2"/>
  <c r="AK234" i="2"/>
  <c r="AH221" i="2"/>
  <c r="P221" i="16" s="1"/>
  <c r="AL221" i="2"/>
  <c r="AK221" i="2"/>
  <c r="AH208" i="2"/>
  <c r="AK208" i="2"/>
  <c r="AL208" i="2"/>
  <c r="AN208" i="2"/>
  <c r="AH196" i="2"/>
  <c r="P196" i="16" s="1"/>
  <c r="AK196" i="2"/>
  <c r="AL196" i="2"/>
  <c r="AK184" i="2"/>
  <c r="AL184" i="2"/>
  <c r="AM184" i="2"/>
  <c r="AH171" i="2"/>
  <c r="AK171" i="2"/>
  <c r="AL171" i="2"/>
  <c r="AK158" i="2"/>
  <c r="AL158" i="2"/>
  <c r="AN158" i="2"/>
  <c r="AK120" i="2"/>
  <c r="AL120" i="2"/>
  <c r="AK107" i="2"/>
  <c r="AL107" i="2"/>
  <c r="AK95" i="2"/>
  <c r="AL95" i="2"/>
  <c r="AN95" i="2"/>
  <c r="AL83" i="2"/>
  <c r="AN83" i="2"/>
  <c r="AK83" i="2"/>
  <c r="AL71" i="2"/>
  <c r="AK71" i="2"/>
  <c r="AL59" i="2"/>
  <c r="AK59" i="2"/>
  <c r="AK45" i="2"/>
  <c r="AL45" i="2"/>
  <c r="AK33" i="2"/>
  <c r="AL33" i="2"/>
  <c r="AN33" i="2"/>
  <c r="AL21" i="2"/>
  <c r="AN21" i="2"/>
  <c r="AK21" i="2"/>
  <c r="AK9" i="2"/>
  <c r="AN9" i="2"/>
  <c r="AL9" i="2"/>
  <c r="AH1206" i="2"/>
  <c r="AK1206" i="2"/>
  <c r="AL1206" i="2"/>
  <c r="AH1192" i="2"/>
  <c r="AK1192" i="2"/>
  <c r="AL1192" i="2"/>
  <c r="AH1179" i="2"/>
  <c r="P1179" i="16" s="1"/>
  <c r="AK1179" i="2"/>
  <c r="AL1179" i="2"/>
  <c r="AH1166" i="2"/>
  <c r="P1166" i="16" s="1"/>
  <c r="AL1166" i="2"/>
  <c r="AK1166" i="2"/>
  <c r="AH1153" i="2"/>
  <c r="AL1153" i="2"/>
  <c r="AK1153" i="2"/>
  <c r="AK1138" i="2"/>
  <c r="AL1138" i="2"/>
  <c r="AH1111" i="2"/>
  <c r="AL1111" i="2"/>
  <c r="AK1111" i="2"/>
  <c r="AL1091" i="2"/>
  <c r="AK1091" i="2"/>
  <c r="AH1079" i="2"/>
  <c r="AK1079" i="2"/>
  <c r="AL1079" i="2"/>
  <c r="AK1061" i="2"/>
  <c r="AL1061" i="2"/>
  <c r="AL1048" i="2"/>
  <c r="AK1048" i="2"/>
  <c r="AL1033" i="2"/>
  <c r="AK1033" i="2"/>
  <c r="AH1019" i="2"/>
  <c r="P1019" i="16" s="1"/>
  <c r="AL1019" i="2"/>
  <c r="AN1019" i="2"/>
  <c r="AK1019" i="2"/>
  <c r="AH1006" i="2"/>
  <c r="AK1006" i="2"/>
  <c r="AL1006" i="2"/>
  <c r="AN1006" i="2"/>
  <c r="AK994" i="2"/>
  <c r="AL994" i="2"/>
  <c r="AH979" i="2"/>
  <c r="AK979" i="2"/>
  <c r="AL979" i="2"/>
  <c r="AH962" i="2"/>
  <c r="P962" i="16" s="1"/>
  <c r="AK962" i="2"/>
  <c r="AL962" i="2"/>
  <c r="AH948" i="2"/>
  <c r="P948" i="16" s="1"/>
  <c r="AK948" i="2"/>
  <c r="AL948" i="2"/>
  <c r="AN948" i="2"/>
  <c r="AL933" i="2"/>
  <c r="AN933" i="2"/>
  <c r="AK933" i="2"/>
  <c r="AH919" i="2"/>
  <c r="AK919" i="2"/>
  <c r="AL919" i="2"/>
  <c r="AK890" i="2"/>
  <c r="AL890" i="2"/>
  <c r="AH877" i="2"/>
  <c r="P877" i="16" s="1"/>
  <c r="AK877" i="2"/>
  <c r="AL877" i="2"/>
  <c r="AH846" i="2"/>
  <c r="AK846" i="2"/>
  <c r="AM846" i="2" s="1"/>
  <c r="AL846" i="2"/>
  <c r="AH830" i="2"/>
  <c r="AN830" i="2"/>
  <c r="AK830" i="2"/>
  <c r="AL830" i="2"/>
  <c r="AK813" i="2"/>
  <c r="AL813" i="2"/>
  <c r="AM801" i="2"/>
  <c r="AK801" i="2"/>
  <c r="AL801" i="2"/>
  <c r="AH787" i="2"/>
  <c r="P787" i="16" s="1"/>
  <c r="AL787" i="2"/>
  <c r="AK787" i="2"/>
  <c r="AK774" i="2"/>
  <c r="AL774" i="2"/>
  <c r="AK746" i="2"/>
  <c r="AL746" i="2"/>
  <c r="AH732" i="2"/>
  <c r="P732" i="16" s="1"/>
  <c r="AK732" i="2"/>
  <c r="AL732" i="2"/>
  <c r="AN732" i="2"/>
  <c r="AK719" i="2"/>
  <c r="AL719" i="2"/>
  <c r="AK706" i="2"/>
  <c r="AL706" i="2"/>
  <c r="AK691" i="2"/>
  <c r="AL691" i="2"/>
  <c r="AL678" i="2"/>
  <c r="AK678" i="2"/>
  <c r="AL663" i="2"/>
  <c r="AK663" i="2"/>
  <c r="AK649" i="2"/>
  <c r="AL649" i="2"/>
  <c r="AH634" i="2"/>
  <c r="P634" i="16" s="1"/>
  <c r="AL634" i="2"/>
  <c r="AN634" i="2"/>
  <c r="AK634" i="2"/>
  <c r="AH604" i="2"/>
  <c r="P604" i="16" s="1"/>
  <c r="AK604" i="2"/>
  <c r="AL604" i="2"/>
  <c r="AN604" i="2"/>
  <c r="AK589" i="2"/>
  <c r="AL589" i="2"/>
  <c r="AK575" i="2"/>
  <c r="AL575" i="2"/>
  <c r="AH559" i="2"/>
  <c r="AK559" i="2"/>
  <c r="AL559" i="2"/>
  <c r="AN559" i="2"/>
  <c r="AK527" i="2"/>
  <c r="AL527" i="2"/>
  <c r="AM527" i="2"/>
  <c r="AL511" i="2"/>
  <c r="AN511" i="2"/>
  <c r="AK511" i="2"/>
  <c r="AL496" i="2"/>
  <c r="AK496" i="2"/>
  <c r="AK481" i="2"/>
  <c r="AL481" i="2"/>
  <c r="AH466" i="2"/>
  <c r="P466" i="16" s="1"/>
  <c r="AK466" i="2"/>
  <c r="AL466" i="2"/>
  <c r="AN466" i="2"/>
  <c r="AK452" i="2"/>
  <c r="AL452" i="2"/>
  <c r="AM452" i="2"/>
  <c r="AH438" i="2"/>
  <c r="AK438" i="2"/>
  <c r="AL438" i="2"/>
  <c r="AN438" i="2"/>
  <c r="AK424" i="2"/>
  <c r="AL424" i="2"/>
  <c r="AK412" i="2"/>
  <c r="AL412" i="2"/>
  <c r="AK399" i="2"/>
  <c r="AL399" i="2"/>
  <c r="AM399" i="2"/>
  <c r="AK385" i="2"/>
  <c r="AN385" i="2"/>
  <c r="AK373" i="2"/>
  <c r="AL373" i="2"/>
  <c r="AN373" i="2"/>
  <c r="AL358" i="2"/>
  <c r="AK358" i="2"/>
  <c r="AH344" i="2"/>
  <c r="P344" i="16" s="1"/>
  <c r="AN344" i="2"/>
  <c r="AK344" i="2"/>
  <c r="AL344" i="2"/>
  <c r="AH299" i="2"/>
  <c r="AK299" i="2"/>
  <c r="AL299" i="2"/>
  <c r="AK287" i="2"/>
  <c r="AL287" i="2"/>
  <c r="AN287" i="2"/>
  <c r="AK274" i="2"/>
  <c r="AL274" i="2"/>
  <c r="AL260" i="2"/>
  <c r="AK260" i="2"/>
  <c r="AH247" i="2"/>
  <c r="P247" i="16" s="1"/>
  <c r="AK247" i="2"/>
  <c r="AL247" i="2"/>
  <c r="AK232" i="2"/>
  <c r="AL232" i="2"/>
  <c r="AM232" i="2"/>
  <c r="AK220" i="2"/>
  <c r="AL220" i="2"/>
  <c r="AL207" i="2"/>
  <c r="AK207" i="2"/>
  <c r="AH195" i="2"/>
  <c r="AL195" i="2"/>
  <c r="AK195" i="2"/>
  <c r="AL183" i="2"/>
  <c r="AM183" i="2"/>
  <c r="AK183" i="2"/>
  <c r="AH170" i="2"/>
  <c r="P170" i="16" s="1"/>
  <c r="AK170" i="2"/>
  <c r="AL170" i="2"/>
  <c r="AK157" i="2"/>
  <c r="AL157" i="2"/>
  <c r="AN157" i="2"/>
  <c r="AK145" i="2"/>
  <c r="AL145" i="2"/>
  <c r="AN145" i="2"/>
  <c r="AK118" i="2"/>
  <c r="AL118" i="2"/>
  <c r="AH106" i="2"/>
  <c r="AK106" i="2"/>
  <c r="AL106" i="2"/>
  <c r="AK94" i="2"/>
  <c r="AL94" i="2"/>
  <c r="AN94" i="2"/>
  <c r="AK82" i="2"/>
  <c r="AL82" i="2"/>
  <c r="AH70" i="2"/>
  <c r="P70" i="16" s="1"/>
  <c r="AK70" i="2"/>
  <c r="AL70" i="2"/>
  <c r="AL58" i="2"/>
  <c r="AK58" i="2"/>
  <c r="AK44" i="2"/>
  <c r="AL44" i="2"/>
  <c r="AK32" i="2"/>
  <c r="AL32" i="2"/>
  <c r="AN32" i="2"/>
  <c r="AK20" i="2"/>
  <c r="AL20" i="2"/>
  <c r="AN20" i="2"/>
  <c r="AN8" i="2"/>
  <c r="AK8" i="2"/>
  <c r="AL8" i="2"/>
  <c r="AH1205" i="2"/>
  <c r="AK1205" i="2"/>
  <c r="AL1205" i="2"/>
  <c r="AN1205" i="2"/>
  <c r="AH1190" i="2"/>
  <c r="AL1190" i="2"/>
  <c r="AK1190" i="2"/>
  <c r="AH1178" i="2"/>
  <c r="AK1178" i="2"/>
  <c r="AL1178" i="2"/>
  <c r="AN1178" i="2"/>
  <c r="AH1165" i="2"/>
  <c r="AK1165" i="2"/>
  <c r="AL1165" i="2"/>
  <c r="AN1165" i="2"/>
  <c r="AL1152" i="2"/>
  <c r="AK1152" i="2"/>
  <c r="AH1137" i="2"/>
  <c r="AK1137" i="2"/>
  <c r="AL1137" i="2"/>
  <c r="AN1137" i="2"/>
  <c r="AH1123" i="2"/>
  <c r="P1123" i="16" s="1"/>
  <c r="AK1123" i="2"/>
  <c r="AL1123" i="2"/>
  <c r="AH1110" i="2"/>
  <c r="AL1110" i="2"/>
  <c r="AK1110" i="2"/>
  <c r="AM1110" i="2" s="1"/>
  <c r="AK1090" i="2"/>
  <c r="AL1090" i="2"/>
  <c r="AK1075" i="2"/>
  <c r="AL1075" i="2"/>
  <c r="AH1059" i="2"/>
  <c r="AK1059" i="2"/>
  <c r="AL1059" i="2"/>
  <c r="AK1047" i="2"/>
  <c r="AL1047" i="2"/>
  <c r="AH1032" i="2"/>
  <c r="P1032" i="16" s="1"/>
  <c r="AK1032" i="2"/>
  <c r="AN1032" i="2"/>
  <c r="AL1032" i="2"/>
  <c r="AL1018" i="2"/>
  <c r="AK1018" i="2"/>
  <c r="AM1018" i="2"/>
  <c r="AH977" i="2"/>
  <c r="AL977" i="2"/>
  <c r="AK977" i="2"/>
  <c r="AK961" i="2"/>
  <c r="AL961" i="2"/>
  <c r="AN961" i="2"/>
  <c r="AK946" i="2"/>
  <c r="AL946" i="2"/>
  <c r="AK932" i="2"/>
  <c r="AL932" i="2"/>
  <c r="AN932" i="2"/>
  <c r="AH918" i="2"/>
  <c r="P918" i="16" s="1"/>
  <c r="AK918" i="2"/>
  <c r="AL918" i="2"/>
  <c r="AN918" i="2"/>
  <c r="AK889" i="2"/>
  <c r="AL889" i="2"/>
  <c r="AK876" i="2"/>
  <c r="AL876" i="2"/>
  <c r="AK859" i="2"/>
  <c r="AL859" i="2"/>
  <c r="AN859" i="2"/>
  <c r="AL842" i="2"/>
  <c r="AK842" i="2"/>
  <c r="AL829" i="2"/>
  <c r="AK829" i="2"/>
  <c r="AH812" i="2"/>
  <c r="AK812" i="2"/>
  <c r="AL812" i="2"/>
  <c r="AK800" i="2"/>
  <c r="AL800" i="2"/>
  <c r="AK786" i="2"/>
  <c r="AL786" i="2"/>
  <c r="AH773" i="2"/>
  <c r="AK773" i="2"/>
  <c r="AL773" i="2"/>
  <c r="AK758" i="2"/>
  <c r="AL758" i="2"/>
  <c r="AN758" i="2"/>
  <c r="AK745" i="2"/>
  <c r="AL745" i="2"/>
  <c r="AK731" i="2"/>
  <c r="AL731" i="2"/>
  <c r="AK705" i="2"/>
  <c r="AL705" i="2"/>
  <c r="AK690" i="2"/>
  <c r="AL690" i="2"/>
  <c r="AM690" i="2"/>
  <c r="AH677" i="2"/>
  <c r="AK677" i="2"/>
  <c r="AL677" i="2"/>
  <c r="AH662" i="2"/>
  <c r="AK662" i="2"/>
  <c r="AL662" i="2"/>
  <c r="AH648" i="2"/>
  <c r="AK648" i="2"/>
  <c r="AL648" i="2"/>
  <c r="AN648" i="2"/>
  <c r="AK633" i="2"/>
  <c r="AL633" i="2"/>
  <c r="AH588" i="2"/>
  <c r="AK588" i="2"/>
  <c r="AL588" i="2"/>
  <c r="AK574" i="2"/>
  <c r="AL574" i="2"/>
  <c r="AK557" i="2"/>
  <c r="AL557" i="2"/>
  <c r="AK540" i="2"/>
  <c r="AL540" i="2"/>
  <c r="AN540" i="2"/>
  <c r="AH525" i="2"/>
  <c r="P525" i="16" s="1"/>
  <c r="AK525" i="2"/>
  <c r="AL525" i="2"/>
  <c r="AH509" i="2"/>
  <c r="P509" i="16" s="1"/>
  <c r="AK509" i="2"/>
  <c r="AL509" i="2"/>
  <c r="AM509" i="2"/>
  <c r="AK495" i="2"/>
  <c r="AL495" i="2"/>
  <c r="AM495" i="2"/>
  <c r="AH465" i="2"/>
  <c r="P465" i="16" s="1"/>
  <c r="AK465" i="2"/>
  <c r="AL465" i="2"/>
  <c r="AK451" i="2"/>
  <c r="AL451" i="2"/>
  <c r="AH436" i="2"/>
  <c r="P436" i="16" s="1"/>
  <c r="AK436" i="2"/>
  <c r="AL436" i="2"/>
  <c r="AH423" i="2"/>
  <c r="AK423" i="2"/>
  <c r="AM423" i="2" s="1"/>
  <c r="AL423" i="2"/>
  <c r="AK411" i="2"/>
  <c r="AL411" i="2"/>
  <c r="AH397" i="2"/>
  <c r="AN397" i="2"/>
  <c r="AK397" i="2"/>
  <c r="AL397" i="2"/>
  <c r="AK384" i="2"/>
  <c r="AL384" i="2"/>
  <c r="AH372" i="2"/>
  <c r="AK372" i="2"/>
  <c r="AL372" i="2"/>
  <c r="AN372" i="2"/>
  <c r="AK357" i="2"/>
  <c r="AL357" i="2"/>
  <c r="AH343" i="2"/>
  <c r="AK343" i="2"/>
  <c r="AL343" i="2"/>
  <c r="AK329" i="2"/>
  <c r="AL329" i="2"/>
  <c r="AN329" i="2"/>
  <c r="AH312" i="2"/>
  <c r="P312" i="16" s="1"/>
  <c r="AK312" i="2"/>
  <c r="AL312" i="2"/>
  <c r="AN312" i="2"/>
  <c r="AH298" i="2"/>
  <c r="P298" i="16" s="1"/>
  <c r="AK298" i="2"/>
  <c r="AL298" i="2"/>
  <c r="AK286" i="2"/>
  <c r="AL286" i="2"/>
  <c r="AN286" i="2"/>
  <c r="AK259" i="2"/>
  <c r="AL259" i="2"/>
  <c r="AK246" i="2"/>
  <c r="AL246" i="2"/>
  <c r="AN246" i="2"/>
  <c r="AL231" i="2"/>
  <c r="AK231" i="2"/>
  <c r="AK218" i="2"/>
  <c r="AL218" i="2"/>
  <c r="AM218" i="2"/>
  <c r="AK206" i="2"/>
  <c r="AL206" i="2"/>
  <c r="AN206" i="2"/>
  <c r="AH194" i="2"/>
  <c r="AL194" i="2"/>
  <c r="AN194" i="2"/>
  <c r="AK194" i="2"/>
  <c r="AK182" i="2"/>
  <c r="AL182" i="2"/>
  <c r="AK169" i="2"/>
  <c r="AL169" i="2"/>
  <c r="AN169" i="2"/>
  <c r="AK156" i="2"/>
  <c r="AL156" i="2"/>
  <c r="AH144" i="2"/>
  <c r="AL144" i="2"/>
  <c r="AN144" i="2"/>
  <c r="AK144" i="2"/>
  <c r="AK117" i="2"/>
  <c r="AL117" i="2"/>
  <c r="AK105" i="2"/>
  <c r="AL105" i="2"/>
  <c r="AM105" i="2"/>
  <c r="AH93" i="2"/>
  <c r="AK93" i="2"/>
  <c r="AL93" i="2"/>
  <c r="AN93" i="2"/>
  <c r="AK69" i="2"/>
  <c r="AL69" i="2"/>
  <c r="AH57" i="2"/>
  <c r="P57" i="16" s="1"/>
  <c r="AK57" i="2"/>
  <c r="AL57" i="2"/>
  <c r="AN57" i="2"/>
  <c r="AH43" i="2"/>
  <c r="P43" i="16" s="1"/>
  <c r="AL43" i="2"/>
  <c r="AM43" i="2"/>
  <c r="AK43" i="2"/>
  <c r="AH19" i="2"/>
  <c r="AK19" i="2"/>
  <c r="AL19" i="2"/>
  <c r="AN19" i="2"/>
  <c r="AH7" i="2"/>
  <c r="P7" i="16" s="1"/>
  <c r="AK7" i="2"/>
  <c r="AL7" i="2"/>
  <c r="AN7" i="2"/>
  <c r="AK1204" i="2"/>
  <c r="AL1204" i="2"/>
  <c r="AH1189" i="2"/>
  <c r="P1189" i="16" s="1"/>
  <c r="AN1189" i="2"/>
  <c r="AK1189" i="2"/>
  <c r="AL1189" i="2"/>
  <c r="AH1177" i="2"/>
  <c r="AK1177" i="2"/>
  <c r="AL1177" i="2"/>
  <c r="AN1177" i="2"/>
  <c r="AH1164" i="2"/>
  <c r="AK1164" i="2"/>
  <c r="AL1164" i="2"/>
  <c r="AN1164" i="2"/>
  <c r="AH1150" i="2"/>
  <c r="AL1150" i="2"/>
  <c r="AN1150" i="2"/>
  <c r="AK1150" i="2"/>
  <c r="AK1136" i="2"/>
  <c r="AL1136" i="2"/>
  <c r="AK1122" i="2"/>
  <c r="AL1122" i="2"/>
  <c r="AL1109" i="2"/>
  <c r="AK1109" i="2"/>
  <c r="AK1089" i="2"/>
  <c r="AL1089" i="2"/>
  <c r="AL1074" i="2"/>
  <c r="AK1074" i="2"/>
  <c r="AH1058" i="2"/>
  <c r="AK1058" i="2"/>
  <c r="AN1058" i="2"/>
  <c r="AL1058" i="2"/>
  <c r="AK1046" i="2"/>
  <c r="AL1046" i="2"/>
  <c r="AK1031" i="2"/>
  <c r="AL1031" i="2"/>
  <c r="AN992" i="2"/>
  <c r="AK976" i="2"/>
  <c r="AN976" i="2"/>
  <c r="AL976" i="2"/>
  <c r="AK960" i="2"/>
  <c r="AL960" i="2"/>
  <c r="AK945" i="2"/>
  <c r="AL945" i="2"/>
  <c r="AK917" i="2"/>
  <c r="AL917" i="2"/>
  <c r="AK888" i="2"/>
  <c r="AL888" i="2"/>
  <c r="AH874" i="2"/>
  <c r="P874" i="16" s="1"/>
  <c r="AK874" i="2"/>
  <c r="AL874" i="2"/>
  <c r="AH858" i="2"/>
  <c r="AK858" i="2"/>
  <c r="AL858" i="2"/>
  <c r="AN858" i="2"/>
  <c r="AL841" i="2"/>
  <c r="AK841" i="2"/>
  <c r="AN841" i="2"/>
  <c r="AK811" i="2"/>
  <c r="AL811" i="2"/>
  <c r="AL772" i="2"/>
  <c r="AK772" i="2"/>
  <c r="AH757" i="2"/>
  <c r="AL757" i="2"/>
  <c r="AN757" i="2"/>
  <c r="AK757" i="2"/>
  <c r="AH730" i="2"/>
  <c r="AL730" i="2"/>
  <c r="AN730" i="2"/>
  <c r="AK730" i="2"/>
  <c r="AK717" i="2"/>
  <c r="AL717" i="2"/>
  <c r="AH704" i="2"/>
  <c r="P704" i="16" s="1"/>
  <c r="AK704" i="2"/>
  <c r="AL704" i="2"/>
  <c r="AH688" i="2"/>
  <c r="AK688" i="2"/>
  <c r="AL688" i="2"/>
  <c r="AK661" i="2"/>
  <c r="AL661" i="2"/>
  <c r="AH647" i="2"/>
  <c r="P647" i="16" s="1"/>
  <c r="AL647" i="2"/>
  <c r="AK647" i="2"/>
  <c r="AN647" i="2"/>
  <c r="AK632" i="2"/>
  <c r="AL632" i="2"/>
  <c r="AN632" i="2"/>
  <c r="AK587" i="2"/>
  <c r="AL587" i="2"/>
  <c r="AN587" i="2"/>
  <c r="AH556" i="2"/>
  <c r="P556" i="16" s="1"/>
  <c r="AK556" i="2"/>
  <c r="AL556" i="2"/>
  <c r="AK539" i="2"/>
  <c r="AL539" i="2"/>
  <c r="AH524" i="2"/>
  <c r="AK524" i="2"/>
  <c r="AL524" i="2"/>
  <c r="AN524" i="2"/>
  <c r="AH508" i="2"/>
  <c r="AK508" i="2"/>
  <c r="AM508" i="2" s="1"/>
  <c r="AL508" i="2"/>
  <c r="AK494" i="2"/>
  <c r="AL494" i="2"/>
  <c r="AH478" i="2"/>
  <c r="AK478" i="2"/>
  <c r="AL478" i="2"/>
  <c r="AN478" i="2"/>
  <c r="AH464" i="2"/>
  <c r="AK464" i="2"/>
  <c r="AL464" i="2"/>
  <c r="AH449" i="2"/>
  <c r="P449" i="16" s="1"/>
  <c r="AL449" i="2"/>
  <c r="AK449" i="2"/>
  <c r="AK435" i="2"/>
  <c r="AN435" i="2"/>
  <c r="AL435" i="2"/>
  <c r="AL422" i="2"/>
  <c r="AK422" i="2"/>
  <c r="AK410" i="2"/>
  <c r="AL410" i="2"/>
  <c r="AH396" i="2"/>
  <c r="P396" i="16" s="1"/>
  <c r="AK396" i="2"/>
  <c r="AL396" i="2"/>
  <c r="AL383" i="2"/>
  <c r="AK383" i="2"/>
  <c r="AK371" i="2"/>
  <c r="AL371" i="2"/>
  <c r="AK328" i="2"/>
  <c r="AL328" i="2"/>
  <c r="AL311" i="2"/>
  <c r="AK311" i="2"/>
  <c r="AN297" i="2"/>
  <c r="AK297" i="2"/>
  <c r="AL297" i="2"/>
  <c r="AK272" i="2"/>
  <c r="AL272" i="2"/>
  <c r="AK245" i="2"/>
  <c r="AL245" i="2"/>
  <c r="AN245" i="2"/>
  <c r="AL205" i="2"/>
  <c r="AK205" i="2"/>
  <c r="AK193" i="2"/>
  <c r="AL193" i="2"/>
  <c r="AN193" i="2"/>
  <c r="AL181" i="2"/>
  <c r="AN181" i="2"/>
  <c r="AK181" i="2"/>
  <c r="AK168" i="2"/>
  <c r="AL168" i="2"/>
  <c r="AK130" i="2"/>
  <c r="AL130" i="2"/>
  <c r="AH116" i="2"/>
  <c r="P116" i="16" s="1"/>
  <c r="AL116" i="2"/>
  <c r="AK116" i="2"/>
  <c r="AH104" i="2"/>
  <c r="AN104" i="2"/>
  <c r="AK104" i="2"/>
  <c r="AL104" i="2"/>
  <c r="AK92" i="2"/>
  <c r="AL92" i="2"/>
  <c r="AK80" i="2"/>
  <c r="AL80" i="2"/>
  <c r="AN80" i="2"/>
  <c r="AK68" i="2"/>
  <c r="AN68" i="2"/>
  <c r="AL68" i="2"/>
  <c r="AH56" i="2"/>
  <c r="AK56" i="2"/>
  <c r="AN56" i="2"/>
  <c r="AL56" i="2"/>
  <c r="AK42" i="2"/>
  <c r="AL42" i="2"/>
  <c r="AK30" i="2"/>
  <c r="AL30" i="2"/>
  <c r="AK18" i="2"/>
  <c r="AL18" i="2"/>
  <c r="AH6" i="2"/>
  <c r="P6" i="16" s="1"/>
  <c r="AK6" i="2"/>
  <c r="AL6" i="2"/>
  <c r="AH1203" i="2"/>
  <c r="AL1203" i="2"/>
  <c r="AN1203" i="2"/>
  <c r="AK1203" i="2"/>
  <c r="AH1188" i="2"/>
  <c r="AK1188" i="2"/>
  <c r="AL1188" i="2"/>
  <c r="AN1175" i="2"/>
  <c r="AL1175" i="2"/>
  <c r="AK1175" i="2"/>
  <c r="AK1163" i="2"/>
  <c r="AL1163" i="2"/>
  <c r="AN1163" i="2"/>
  <c r="AK1147" i="2"/>
  <c r="AL1147" i="2"/>
  <c r="AK1135" i="2"/>
  <c r="AL1135" i="2"/>
  <c r="AL1121" i="2"/>
  <c r="AN1121" i="2"/>
  <c r="AK1121" i="2"/>
  <c r="AL1108" i="2"/>
  <c r="AK1108" i="2"/>
  <c r="AK1088" i="2"/>
  <c r="AL1088" i="2"/>
  <c r="AK1057" i="2"/>
  <c r="AL1057" i="2"/>
  <c r="AN1057" i="2"/>
  <c r="AL1045" i="2"/>
  <c r="AN1045" i="2"/>
  <c r="AK1045" i="2"/>
  <c r="AK1030" i="2"/>
  <c r="AL1030" i="2"/>
  <c r="AH991" i="2"/>
  <c r="P991" i="16" s="1"/>
  <c r="AK991" i="2"/>
  <c r="AL991" i="2"/>
  <c r="AN991" i="2"/>
  <c r="AK958" i="2"/>
  <c r="AL958" i="2"/>
  <c r="AH944" i="2"/>
  <c r="P944" i="16" s="1"/>
  <c r="AK944" i="2"/>
  <c r="AL944" i="2"/>
  <c r="AH929" i="2"/>
  <c r="AN915" i="2"/>
  <c r="AK915" i="2"/>
  <c r="AL915" i="2"/>
  <c r="AH900" i="2"/>
  <c r="AK900" i="2"/>
  <c r="AL900" i="2"/>
  <c r="AH886" i="2"/>
  <c r="P886" i="16" s="1"/>
  <c r="AK886" i="2"/>
  <c r="AL886" i="2"/>
  <c r="AN886" i="2"/>
  <c r="AK873" i="2"/>
  <c r="AL873" i="2"/>
  <c r="AH857" i="2"/>
  <c r="AK857" i="2"/>
  <c r="AL857" i="2"/>
  <c r="AN857" i="2"/>
  <c r="AK840" i="2"/>
  <c r="AL840" i="2"/>
  <c r="AH827" i="2"/>
  <c r="AN827" i="2"/>
  <c r="AK797" i="2"/>
  <c r="AL797" i="2"/>
  <c r="AN797" i="2"/>
  <c r="AK784" i="2"/>
  <c r="AL784" i="2"/>
  <c r="AH771" i="2"/>
  <c r="AK771" i="2"/>
  <c r="AL771" i="2"/>
  <c r="AH716" i="2"/>
  <c r="AK716" i="2"/>
  <c r="AL716" i="2"/>
  <c r="AN716" i="2"/>
  <c r="AH687" i="2"/>
  <c r="P687" i="16" s="1"/>
  <c r="AK687" i="2"/>
  <c r="AL687" i="2"/>
  <c r="AK646" i="2"/>
  <c r="AL646" i="2"/>
  <c r="AH630" i="2"/>
  <c r="AL630" i="2"/>
  <c r="AN630" i="2"/>
  <c r="AK630" i="2"/>
  <c r="AK617" i="2"/>
  <c r="AL617" i="2"/>
  <c r="AN617" i="2"/>
  <c r="AH600" i="2"/>
  <c r="AL600" i="2"/>
  <c r="AK600" i="2"/>
  <c r="AK586" i="2"/>
  <c r="AN586" i="2"/>
  <c r="AL586" i="2"/>
  <c r="AL571" i="2"/>
  <c r="AK571" i="2"/>
  <c r="AH554" i="2"/>
  <c r="AK554" i="2"/>
  <c r="AL554" i="2"/>
  <c r="AM538" i="2"/>
  <c r="AK538" i="2"/>
  <c r="AL538" i="2"/>
  <c r="AH522" i="2"/>
  <c r="P522" i="16" s="1"/>
  <c r="AN522" i="2"/>
  <c r="AK522" i="2"/>
  <c r="AL522" i="2"/>
  <c r="AH493" i="2"/>
  <c r="AK493" i="2"/>
  <c r="AL493" i="2"/>
  <c r="AN493" i="2"/>
  <c r="AH476" i="2"/>
  <c r="AN476" i="2"/>
  <c r="AK476" i="2"/>
  <c r="AL476" i="2"/>
  <c r="AH463" i="2"/>
  <c r="AK463" i="2"/>
  <c r="AL463" i="2"/>
  <c r="AN463" i="2"/>
  <c r="AH448" i="2"/>
  <c r="P448" i="16" s="1"/>
  <c r="AK448" i="2"/>
  <c r="AL448" i="2"/>
  <c r="AN448" i="2"/>
  <c r="AL434" i="2"/>
  <c r="AK434" i="2"/>
  <c r="AH421" i="2"/>
  <c r="P421" i="16" s="1"/>
  <c r="AK421" i="2"/>
  <c r="AL421" i="2"/>
  <c r="AM421" i="2"/>
  <c r="AH409" i="2"/>
  <c r="AK409" i="2"/>
  <c r="AN409" i="2"/>
  <c r="AL409" i="2"/>
  <c r="AH395" i="2"/>
  <c r="P395" i="16" s="1"/>
  <c r="AL395" i="2"/>
  <c r="AM395" i="2"/>
  <c r="AK395" i="2"/>
  <c r="AN382" i="2"/>
  <c r="AL382" i="2"/>
  <c r="AK382" i="2"/>
  <c r="AK370" i="2"/>
  <c r="AL370" i="2"/>
  <c r="AN370" i="2"/>
  <c r="AK355" i="2"/>
  <c r="AM355" i="2"/>
  <c r="AL355" i="2"/>
  <c r="AI340" i="2"/>
  <c r="Q340" i="16" s="1"/>
  <c r="AM340" i="2"/>
  <c r="AK340" i="2"/>
  <c r="AL340" i="2"/>
  <c r="AK310" i="2"/>
  <c r="AL310" i="2"/>
  <c r="AH296" i="2"/>
  <c r="P296" i="16" s="1"/>
  <c r="AK296" i="2"/>
  <c r="AL296" i="2"/>
  <c r="AK257" i="2"/>
  <c r="AL257" i="2"/>
  <c r="AM257" i="2"/>
  <c r="AK243" i="2"/>
  <c r="AL243" i="2"/>
  <c r="AN243" i="2"/>
  <c r="AI229" i="2"/>
  <c r="Q229" i="16" s="1"/>
  <c r="AM229" i="2"/>
  <c r="AH216" i="2"/>
  <c r="P216" i="16" s="1"/>
  <c r="AK216" i="2"/>
  <c r="AL216" i="2"/>
  <c r="AK204" i="2"/>
  <c r="AL204" i="2"/>
  <c r="AN204" i="2"/>
  <c r="AH192" i="2"/>
  <c r="P192" i="16" s="1"/>
  <c r="AK192" i="2"/>
  <c r="AL192" i="2"/>
  <c r="AL154" i="2"/>
  <c r="AK154" i="2"/>
  <c r="AK142" i="2"/>
  <c r="AL142" i="2"/>
  <c r="AM142" i="2"/>
  <c r="AK129" i="2"/>
  <c r="AL129" i="2"/>
  <c r="AH91" i="2"/>
  <c r="P91" i="16" s="1"/>
  <c r="AN91" i="2"/>
  <c r="AK91" i="2"/>
  <c r="AL91" i="2"/>
  <c r="AL67" i="2"/>
  <c r="AN67" i="2"/>
  <c r="AK67" i="2"/>
  <c r="AL55" i="2"/>
  <c r="AN55" i="2"/>
  <c r="AK55" i="2"/>
  <c r="AK41" i="2"/>
  <c r="AN41" i="2"/>
  <c r="AL41" i="2"/>
  <c r="AK29" i="2"/>
  <c r="AL29" i="2"/>
  <c r="AN29" i="2"/>
  <c r="AL17" i="2"/>
  <c r="AK17" i="2"/>
  <c r="AK5" i="2"/>
  <c r="AL5" i="2"/>
  <c r="AN5" i="2"/>
  <c r="AH1202" i="2"/>
  <c r="P1202" i="16" s="1"/>
  <c r="AL1202" i="2"/>
  <c r="AK1202" i="2"/>
  <c r="AH1187" i="2"/>
  <c r="AL1187" i="2"/>
  <c r="AN1187" i="2"/>
  <c r="AK1187" i="2"/>
  <c r="AK1174" i="2"/>
  <c r="AL1174" i="2"/>
  <c r="AH1162" i="2"/>
  <c r="AK1162" i="2"/>
  <c r="AL1162" i="2"/>
  <c r="AH1134" i="2"/>
  <c r="P1134" i="16" s="1"/>
  <c r="AN1134" i="2"/>
  <c r="AK1134" i="2"/>
  <c r="AL1134" i="2"/>
  <c r="AH1120" i="2"/>
  <c r="AK1120" i="2"/>
  <c r="AL1120" i="2"/>
  <c r="AL1106" i="2"/>
  <c r="AK1106" i="2"/>
  <c r="AH1072" i="2"/>
  <c r="P1072" i="16" s="1"/>
  <c r="AN1072" i="2"/>
  <c r="AH1056" i="2"/>
  <c r="P1056" i="16" s="1"/>
  <c r="AL1056" i="2"/>
  <c r="AK1056" i="2"/>
  <c r="AH1043" i="2"/>
  <c r="P1043" i="16" s="1"/>
  <c r="AK1043" i="2"/>
  <c r="AL1043" i="2"/>
  <c r="AN1043" i="2"/>
  <c r="AH1029" i="2"/>
  <c r="P1029" i="16" s="1"/>
  <c r="AK1029" i="2"/>
  <c r="AL1029" i="2"/>
  <c r="AH957" i="2"/>
  <c r="P957" i="16" s="1"/>
  <c r="AK957" i="2"/>
  <c r="AL957" i="2"/>
  <c r="AH941" i="2"/>
  <c r="P941" i="16" s="1"/>
  <c r="AK941" i="2"/>
  <c r="AL941" i="2"/>
  <c r="AN941" i="2"/>
  <c r="AH914" i="2"/>
  <c r="P914" i="16" s="1"/>
  <c r="AK914" i="2"/>
  <c r="AL914" i="2"/>
  <c r="AH899" i="2"/>
  <c r="P899" i="16" s="1"/>
  <c r="AK899" i="2"/>
  <c r="AL899" i="2"/>
  <c r="AN899" i="2"/>
  <c r="AK872" i="2"/>
  <c r="AL872" i="2"/>
  <c r="AH856" i="2"/>
  <c r="AN856" i="2"/>
  <c r="AK856" i="2"/>
  <c r="AL856" i="2"/>
  <c r="AH838" i="2"/>
  <c r="P838" i="16" s="1"/>
  <c r="AL838" i="2"/>
  <c r="AN838" i="2"/>
  <c r="AK838" i="2"/>
  <c r="AK826" i="2"/>
  <c r="AL826" i="2"/>
  <c r="AL809" i="2"/>
  <c r="AK809" i="2"/>
  <c r="AH770" i="2"/>
  <c r="AK770" i="2"/>
  <c r="AL770" i="2"/>
  <c r="AK755" i="2"/>
  <c r="AL755" i="2"/>
  <c r="AK728" i="2"/>
  <c r="AL728" i="2"/>
  <c r="AH715" i="2"/>
  <c r="AL715" i="2"/>
  <c r="AK715" i="2"/>
  <c r="AH686" i="2"/>
  <c r="AK686" i="2"/>
  <c r="AL686" i="2"/>
  <c r="AH659" i="2"/>
  <c r="P659" i="16" s="1"/>
  <c r="AK659" i="2"/>
  <c r="AL659" i="2"/>
  <c r="AK629" i="2"/>
  <c r="AL629" i="2"/>
  <c r="AH614" i="2"/>
  <c r="AK614" i="2"/>
  <c r="AL614" i="2"/>
  <c r="AL585" i="2"/>
  <c r="AK585" i="2"/>
  <c r="AK569" i="2"/>
  <c r="AL569" i="2"/>
  <c r="AL552" i="2"/>
  <c r="AK552" i="2"/>
  <c r="AK537" i="2"/>
  <c r="AL537" i="2"/>
  <c r="AK506" i="2"/>
  <c r="AL506" i="2"/>
  <c r="AM506" i="2"/>
  <c r="AH492" i="2"/>
  <c r="AN492" i="2"/>
  <c r="AK492" i="2"/>
  <c r="AL492" i="2"/>
  <c r="AH475" i="2"/>
  <c r="AK475" i="2"/>
  <c r="AL475" i="2"/>
  <c r="AN475" i="2"/>
  <c r="AH462" i="2"/>
  <c r="AK462" i="2"/>
  <c r="AL462" i="2"/>
  <c r="AN462" i="2"/>
  <c r="AH447" i="2"/>
  <c r="AK447" i="2"/>
  <c r="AL447" i="2"/>
  <c r="AN447" i="2"/>
  <c r="AK432" i="2"/>
  <c r="AL432" i="2"/>
  <c r="AH420" i="2"/>
  <c r="AK420" i="2"/>
  <c r="AL420" i="2"/>
  <c r="AN420" i="2"/>
  <c r="AH408" i="2"/>
  <c r="P408" i="16" s="1"/>
  <c r="AL408" i="2"/>
  <c r="AN408" i="2"/>
  <c r="AK408" i="2"/>
  <c r="AH381" i="2"/>
  <c r="AL381" i="2"/>
  <c r="AK381" i="2"/>
  <c r="AK367" i="2"/>
  <c r="AL367" i="2"/>
  <c r="AM367" i="2"/>
  <c r="AH354" i="2"/>
  <c r="P354" i="16" s="1"/>
  <c r="AL354" i="2"/>
  <c r="AN354" i="2"/>
  <c r="AK354" i="2"/>
  <c r="AK339" i="2"/>
  <c r="AL339" i="2"/>
  <c r="AH325" i="2"/>
  <c r="P325" i="16" s="1"/>
  <c r="AK325" i="2"/>
  <c r="AL325" i="2"/>
  <c r="AN325" i="2"/>
  <c r="AL309" i="2"/>
  <c r="AN309" i="2"/>
  <c r="AK309" i="2"/>
  <c r="AH283" i="2"/>
  <c r="P283" i="16" s="1"/>
  <c r="AK283" i="2"/>
  <c r="AL283" i="2"/>
  <c r="AN283" i="2"/>
  <c r="AK270" i="2"/>
  <c r="AL270" i="2"/>
  <c r="AH242" i="2"/>
  <c r="AK242" i="2"/>
  <c r="AL242" i="2"/>
  <c r="AN242" i="2"/>
  <c r="AH228" i="2"/>
  <c r="AK228" i="2"/>
  <c r="AL228" i="2"/>
  <c r="AN228" i="2"/>
  <c r="AH215" i="2"/>
  <c r="P215" i="16" s="1"/>
  <c r="AL215" i="2"/>
  <c r="AK215" i="2"/>
  <c r="AH191" i="2"/>
  <c r="AL191" i="2"/>
  <c r="AN191" i="2"/>
  <c r="AK191" i="2"/>
  <c r="AH179" i="2"/>
  <c r="AL179" i="2"/>
  <c r="AK179" i="2"/>
  <c r="AK166" i="2"/>
  <c r="AL166" i="2"/>
  <c r="AK153" i="2"/>
  <c r="AL153" i="2"/>
  <c r="AN153" i="2"/>
  <c r="AH141" i="2"/>
  <c r="AK141" i="2"/>
  <c r="AL141" i="2"/>
  <c r="AK128" i="2"/>
  <c r="AL128" i="2"/>
  <c r="AK114" i="2"/>
  <c r="AL114" i="2"/>
  <c r="AN114" i="2"/>
  <c r="AH90" i="2"/>
  <c r="AK90" i="2"/>
  <c r="AL90" i="2"/>
  <c r="AK66" i="2"/>
  <c r="AL66" i="2"/>
  <c r="AK54" i="2"/>
  <c r="AL54" i="2"/>
  <c r="AH40" i="2"/>
  <c r="AK40" i="2"/>
  <c r="AN40" i="2"/>
  <c r="AL40" i="2"/>
  <c r="AK28" i="2"/>
  <c r="AL28" i="2"/>
  <c r="AN28" i="2"/>
  <c r="AK16" i="2"/>
  <c r="AL16" i="2"/>
  <c r="AN16" i="2"/>
  <c r="AN4" i="2"/>
  <c r="AK4" i="2"/>
  <c r="AL4" i="2"/>
  <c r="AH1201" i="2"/>
  <c r="P1201" i="16" s="1"/>
  <c r="AK1201" i="2"/>
  <c r="AL1201" i="2"/>
  <c r="AH1186" i="2"/>
  <c r="P1186" i="16" s="1"/>
  <c r="AL1186" i="2"/>
  <c r="AK1186" i="2"/>
  <c r="AH1173" i="2"/>
  <c r="P1173" i="16" s="1"/>
  <c r="AK1173" i="2"/>
  <c r="AL1173" i="2"/>
  <c r="AH1161" i="2"/>
  <c r="AK1161" i="2"/>
  <c r="AL1161" i="2"/>
  <c r="AK1145" i="2"/>
  <c r="AL1145" i="2"/>
  <c r="AH1133" i="2"/>
  <c r="P1133" i="16" s="1"/>
  <c r="AL1133" i="2"/>
  <c r="AK1133" i="2"/>
  <c r="AH1118" i="2"/>
  <c r="AK1118" i="2"/>
  <c r="AL1118" i="2"/>
  <c r="AH1105" i="2"/>
  <c r="P1105" i="16" s="1"/>
  <c r="AK1105" i="2"/>
  <c r="AL1105" i="2"/>
  <c r="AL1086" i="2"/>
  <c r="AK1086" i="2"/>
  <c r="AN1086" i="2"/>
  <c r="AL1071" i="2"/>
  <c r="AK1071" i="2"/>
  <c r="AH1055" i="2"/>
  <c r="AL1055" i="2"/>
  <c r="AK1055" i="2"/>
  <c r="AH1042" i="2"/>
  <c r="AK1042" i="2"/>
  <c r="AL1042" i="2"/>
  <c r="AK1028" i="2"/>
  <c r="AL1028" i="2"/>
  <c r="AL1014" i="2"/>
  <c r="AK1014" i="2"/>
  <c r="AL1001" i="2"/>
  <c r="AK1001" i="2"/>
  <c r="AH989" i="2"/>
  <c r="P989" i="16" s="1"/>
  <c r="AL989" i="2"/>
  <c r="AK989" i="2"/>
  <c r="AH955" i="2"/>
  <c r="AK955" i="2"/>
  <c r="AL955" i="2"/>
  <c r="AN955" i="2"/>
  <c r="AK940" i="2"/>
  <c r="AL940" i="2"/>
  <c r="AK927" i="2"/>
  <c r="AL927" i="2"/>
  <c r="AH913" i="2"/>
  <c r="P913" i="16" s="1"/>
  <c r="AK913" i="2"/>
  <c r="AL913" i="2"/>
  <c r="AH884" i="2"/>
  <c r="AK870" i="2"/>
  <c r="AL870" i="2"/>
  <c r="AK837" i="2"/>
  <c r="AL837" i="2"/>
  <c r="AK825" i="2"/>
  <c r="AL825" i="2"/>
  <c r="AK808" i="2"/>
  <c r="AL808" i="2"/>
  <c r="AN808" i="2"/>
  <c r="AL795" i="2"/>
  <c r="AK795" i="2"/>
  <c r="AH782" i="2"/>
  <c r="P782" i="16" s="1"/>
  <c r="AK782" i="2"/>
  <c r="AL782" i="2"/>
  <c r="AK768" i="2"/>
  <c r="AN768" i="2"/>
  <c r="AL768" i="2"/>
  <c r="AH754" i="2"/>
  <c r="AK754" i="2"/>
  <c r="AL754" i="2"/>
  <c r="AH714" i="2"/>
  <c r="AK714" i="2"/>
  <c r="AL714" i="2"/>
  <c r="AN714" i="2"/>
  <c r="AK698" i="2"/>
  <c r="AL698" i="2"/>
  <c r="AL685" i="2"/>
  <c r="AK685" i="2"/>
  <c r="AH671" i="2"/>
  <c r="P671" i="16" s="1"/>
  <c r="AK671" i="2"/>
  <c r="AL671" i="2"/>
  <c r="AN671" i="2"/>
  <c r="AK658" i="2"/>
  <c r="AL658" i="2"/>
  <c r="AH644" i="2"/>
  <c r="P644" i="16" s="1"/>
  <c r="AK644" i="2"/>
  <c r="AL644" i="2"/>
  <c r="AH628" i="2"/>
  <c r="AK628" i="2"/>
  <c r="AL628" i="2"/>
  <c r="AH611" i="2"/>
  <c r="AK611" i="2"/>
  <c r="AL611" i="2"/>
  <c r="AH598" i="2"/>
  <c r="AK598" i="2"/>
  <c r="AL598" i="2"/>
  <c r="AH584" i="2"/>
  <c r="AK584" i="2"/>
  <c r="AL584" i="2"/>
  <c r="AH568" i="2"/>
  <c r="AK568" i="2"/>
  <c r="AL568" i="2"/>
  <c r="AK551" i="2"/>
  <c r="AL551" i="2"/>
  <c r="AM551" i="2"/>
  <c r="AK536" i="2"/>
  <c r="AL536" i="2"/>
  <c r="AH520" i="2"/>
  <c r="AK520" i="2"/>
  <c r="AL520" i="2"/>
  <c r="AK505" i="2"/>
  <c r="AL505" i="2"/>
  <c r="AM505" i="2"/>
  <c r="AH491" i="2"/>
  <c r="P491" i="16" s="1"/>
  <c r="AK491" i="2"/>
  <c r="AL491" i="2"/>
  <c r="AN491" i="2"/>
  <c r="AK473" i="2"/>
  <c r="AL473" i="2"/>
  <c r="AH461" i="2"/>
  <c r="AK461" i="2"/>
  <c r="AL461" i="2"/>
  <c r="AH445" i="2"/>
  <c r="AL445" i="2"/>
  <c r="AN445" i="2"/>
  <c r="AK445" i="2"/>
  <c r="AH431" i="2"/>
  <c r="AK431" i="2"/>
  <c r="AN431" i="2"/>
  <c r="AL431" i="2"/>
  <c r="AH419" i="2"/>
  <c r="AK419" i="2"/>
  <c r="AN419" i="2"/>
  <c r="AL419" i="2"/>
  <c r="AH366" i="2"/>
  <c r="P366" i="16" s="1"/>
  <c r="AK366" i="2"/>
  <c r="AL366" i="2"/>
  <c r="AN366" i="2"/>
  <c r="AH352" i="2"/>
  <c r="P352" i="16" s="1"/>
  <c r="AL352" i="2"/>
  <c r="AK352" i="2"/>
  <c r="AI324" i="2"/>
  <c r="Q324" i="16" s="1"/>
  <c r="AK324" i="2"/>
  <c r="AL324" i="2"/>
  <c r="AM324" i="2"/>
  <c r="AK308" i="2"/>
  <c r="AN308" i="2"/>
  <c r="AL308" i="2"/>
  <c r="AH294" i="2"/>
  <c r="P294" i="16" s="1"/>
  <c r="AK294" i="2"/>
  <c r="AL294" i="2"/>
  <c r="AH282" i="2"/>
  <c r="P282" i="16" s="1"/>
  <c r="AK282" i="2"/>
  <c r="AL282" i="2"/>
  <c r="AN282" i="2"/>
  <c r="AH269" i="2"/>
  <c r="AK269" i="2"/>
  <c r="AL269" i="2"/>
  <c r="AN269" i="2"/>
  <c r="AH241" i="2"/>
  <c r="P241" i="16" s="1"/>
  <c r="AL241" i="2"/>
  <c r="AN241" i="2"/>
  <c r="AK241" i="2"/>
  <c r="AL227" i="2"/>
  <c r="AK227" i="2"/>
  <c r="AH214" i="2"/>
  <c r="P214" i="16" s="1"/>
  <c r="AK214" i="2"/>
  <c r="AL214" i="2"/>
  <c r="AK202" i="2"/>
  <c r="AL202" i="2"/>
  <c r="AH190" i="2"/>
  <c r="P190" i="16" s="1"/>
  <c r="AN190" i="2"/>
  <c r="AK190" i="2"/>
  <c r="AL190" i="2"/>
  <c r="AK178" i="2"/>
  <c r="AL178" i="2"/>
  <c r="AH165" i="2"/>
  <c r="AK165" i="2"/>
  <c r="AL165" i="2"/>
  <c r="AH152" i="2"/>
  <c r="P152" i="16" s="1"/>
  <c r="AL152" i="2"/>
  <c r="AN152" i="2"/>
  <c r="AK152" i="2"/>
  <c r="AK127" i="2"/>
  <c r="AL127" i="2"/>
  <c r="AK101" i="2"/>
  <c r="AL101" i="2"/>
  <c r="AN101" i="2"/>
  <c r="AH89" i="2"/>
  <c r="AK89" i="2"/>
  <c r="AL89" i="2"/>
  <c r="AN89" i="2"/>
  <c r="AK77" i="2"/>
  <c r="AL77" i="2"/>
  <c r="AN77" i="2"/>
  <c r="AK65" i="2"/>
  <c r="AL65" i="2"/>
  <c r="AN65" i="2"/>
  <c r="AK53" i="2"/>
  <c r="AL53" i="2"/>
  <c r="AN53" i="2"/>
  <c r="AH39" i="2"/>
  <c r="AL39" i="2"/>
  <c r="AK39" i="2"/>
  <c r="AL27" i="2"/>
  <c r="AK27" i="2"/>
  <c r="AH15" i="2"/>
  <c r="P15" i="16" s="1"/>
  <c r="AK15" i="2"/>
  <c r="AL15" i="2"/>
  <c r="AN15" i="2"/>
  <c r="AK3" i="2"/>
  <c r="AL3" i="2"/>
  <c r="AH2" i="2"/>
  <c r="AN2" i="2"/>
  <c r="AK2" i="2"/>
  <c r="AL2" i="2"/>
  <c r="AK1200" i="2"/>
  <c r="AL1200" i="2"/>
  <c r="AN1200" i="2"/>
  <c r="AK1185" i="2"/>
  <c r="AL1185" i="2"/>
  <c r="AN1185" i="2"/>
  <c r="AH1172" i="2"/>
  <c r="P1172" i="16" s="1"/>
  <c r="AK1172" i="2"/>
  <c r="AL1172" i="2"/>
  <c r="AH1160" i="2"/>
  <c r="AK1160" i="2"/>
  <c r="AL1160" i="2"/>
  <c r="AK1144" i="2"/>
  <c r="AL1144" i="2"/>
  <c r="AK1132" i="2"/>
  <c r="AL1132" i="2"/>
  <c r="AH1117" i="2"/>
  <c r="P1117" i="16" s="1"/>
  <c r="AK1117" i="2"/>
  <c r="AL1117" i="2"/>
  <c r="AH1103" i="2"/>
  <c r="AK1103" i="2"/>
  <c r="AL1103" i="2"/>
  <c r="AL1085" i="2"/>
  <c r="AK1085" i="2"/>
  <c r="AL1069" i="2"/>
  <c r="AN1069" i="2"/>
  <c r="AK1069" i="2"/>
  <c r="AK1054" i="2"/>
  <c r="AL1054" i="2"/>
  <c r="AL1040" i="2"/>
  <c r="AK1040" i="2"/>
  <c r="AK1027" i="2"/>
  <c r="AL1027" i="2"/>
  <c r="AK1013" i="2"/>
  <c r="AL1013" i="2"/>
  <c r="AK1000" i="2"/>
  <c r="AL1000" i="2"/>
  <c r="AH988" i="2"/>
  <c r="AK988" i="2"/>
  <c r="AN988" i="2"/>
  <c r="AL988" i="2"/>
  <c r="AH954" i="2"/>
  <c r="P954" i="16" s="1"/>
  <c r="AL954" i="2"/>
  <c r="AK954" i="2"/>
  <c r="AH939" i="2"/>
  <c r="P939" i="16" s="1"/>
  <c r="AK939" i="2"/>
  <c r="AL939" i="2"/>
  <c r="AN939" i="2"/>
  <c r="AH926" i="2"/>
  <c r="AN926" i="2"/>
  <c r="AL926" i="2"/>
  <c r="AK926" i="2"/>
  <c r="AH912" i="2"/>
  <c r="AL912" i="2"/>
  <c r="AK912" i="2"/>
  <c r="AH883" i="2"/>
  <c r="AK883" i="2"/>
  <c r="AL883" i="2"/>
  <c r="AH869" i="2"/>
  <c r="AN869" i="2"/>
  <c r="AL869" i="2"/>
  <c r="AK869" i="2"/>
  <c r="AK836" i="2"/>
  <c r="AL836" i="2"/>
  <c r="AK824" i="2"/>
  <c r="AL824" i="2"/>
  <c r="AK794" i="2"/>
  <c r="AL794" i="2"/>
  <c r="AK781" i="2"/>
  <c r="AN781" i="2"/>
  <c r="AL781" i="2"/>
  <c r="AH753" i="2"/>
  <c r="AK753" i="2"/>
  <c r="AL753" i="2"/>
  <c r="AN753" i="2"/>
  <c r="AL726" i="2"/>
  <c r="AK726" i="2"/>
  <c r="AK713" i="2"/>
  <c r="AL713" i="2"/>
  <c r="AK697" i="2"/>
  <c r="AL697" i="2"/>
  <c r="AM697" i="2"/>
  <c r="AH670" i="2"/>
  <c r="AN670" i="2"/>
  <c r="AK670" i="2"/>
  <c r="AL670" i="2"/>
  <c r="AK657" i="2"/>
  <c r="AL657" i="2"/>
  <c r="AM657" i="2"/>
  <c r="AH627" i="2"/>
  <c r="P627" i="16" s="1"/>
  <c r="AL627" i="2"/>
  <c r="AN627" i="2"/>
  <c r="AK627" i="2"/>
  <c r="AH610" i="2"/>
  <c r="AK610" i="2"/>
  <c r="AL610" i="2"/>
  <c r="AH550" i="2"/>
  <c r="P550" i="16" s="1"/>
  <c r="AK550" i="2"/>
  <c r="AL550" i="2"/>
  <c r="AM550" i="2"/>
  <c r="AK519" i="2"/>
  <c r="AL519" i="2"/>
  <c r="AH504" i="2"/>
  <c r="AK504" i="2"/>
  <c r="AL504" i="2"/>
  <c r="AK490" i="2"/>
  <c r="AL490" i="2"/>
  <c r="AM472" i="2"/>
  <c r="AK472" i="2"/>
  <c r="AL472" i="2"/>
  <c r="AH460" i="2"/>
  <c r="P460" i="16" s="1"/>
  <c r="AN460" i="2"/>
  <c r="AK460" i="2"/>
  <c r="AL460" i="2"/>
  <c r="AK444" i="2"/>
  <c r="AL444" i="2"/>
  <c r="AL430" i="2"/>
  <c r="AK430" i="2"/>
  <c r="AM418" i="2"/>
  <c r="AK418" i="2"/>
  <c r="AL418" i="2"/>
  <c r="AH405" i="2"/>
  <c r="P405" i="16" s="1"/>
  <c r="AK405" i="2"/>
  <c r="AL405" i="2"/>
  <c r="AM405" i="2"/>
  <c r="AK392" i="2"/>
  <c r="AL392" i="2"/>
  <c r="AM392" i="2"/>
  <c r="AH379" i="2"/>
  <c r="AK379" i="2"/>
  <c r="AL379" i="2"/>
  <c r="AM364" i="2"/>
  <c r="AK351" i="2"/>
  <c r="AL351" i="2"/>
  <c r="AK321" i="2"/>
  <c r="AL321" i="2"/>
  <c r="AM321" i="2"/>
  <c r="AH307" i="2"/>
  <c r="P307" i="16" s="1"/>
  <c r="AL307" i="2"/>
  <c r="AK307" i="2"/>
  <c r="AL293" i="2"/>
  <c r="AM293" i="2"/>
  <c r="AK293" i="2"/>
  <c r="AK280" i="2"/>
  <c r="AL280" i="2"/>
  <c r="AN280" i="2"/>
  <c r="AH266" i="2"/>
  <c r="P266" i="16" s="1"/>
  <c r="AK266" i="2"/>
  <c r="AL266" i="2"/>
  <c r="AN266" i="2"/>
  <c r="AK253" i="2"/>
  <c r="AL253" i="2"/>
  <c r="AN253" i="2"/>
  <c r="AK240" i="2"/>
  <c r="AL240" i="2"/>
  <c r="AL226" i="2"/>
  <c r="AN226" i="2"/>
  <c r="AK226" i="2"/>
  <c r="AK213" i="2"/>
  <c r="AN213" i="2"/>
  <c r="AL213" i="2"/>
  <c r="AN201" i="2"/>
  <c r="AL201" i="2"/>
  <c r="AK201" i="2"/>
  <c r="AK189" i="2"/>
  <c r="AL189" i="2"/>
  <c r="AN189" i="2"/>
  <c r="AK164" i="2"/>
  <c r="AL164" i="2"/>
  <c r="AN164" i="2"/>
  <c r="AK151" i="2"/>
  <c r="AL151" i="2"/>
  <c r="AN151" i="2"/>
  <c r="AN112" i="2"/>
  <c r="AK112" i="2"/>
  <c r="AL112" i="2"/>
  <c r="AH100" i="2"/>
  <c r="AK100" i="2"/>
  <c r="AL100" i="2"/>
  <c r="AN100" i="2"/>
  <c r="AK88" i="2"/>
  <c r="AL88" i="2"/>
  <c r="AM88" i="2"/>
  <c r="AH76" i="2"/>
  <c r="P76" i="16" s="1"/>
  <c r="AK76" i="2"/>
  <c r="AL76" i="2"/>
  <c r="AN76" i="2"/>
  <c r="AL51" i="2"/>
  <c r="AN51" i="2"/>
  <c r="AK51" i="2"/>
  <c r="AK38" i="2"/>
  <c r="AL38" i="2"/>
  <c r="AM38" i="2"/>
  <c r="AH26" i="2"/>
  <c r="AK26" i="2"/>
  <c r="AL26" i="2"/>
  <c r="AK14" i="2"/>
  <c r="AL14" i="2"/>
  <c r="AH1211" i="2"/>
  <c r="AK1211" i="2"/>
  <c r="AL1211" i="2"/>
  <c r="AK1199" i="2"/>
  <c r="AL1199" i="2"/>
  <c r="AH1184" i="2"/>
  <c r="AK1184" i="2"/>
  <c r="AM1184" i="2" s="1"/>
  <c r="AL1184" i="2"/>
  <c r="AH1171" i="2"/>
  <c r="AK1171" i="2"/>
  <c r="AL1171" i="2"/>
  <c r="AK1159" i="2"/>
  <c r="AL1159" i="2"/>
  <c r="AH1143" i="2"/>
  <c r="P1143" i="16" s="1"/>
  <c r="AL1143" i="2"/>
  <c r="AK1143" i="2"/>
  <c r="AH1130" i="2"/>
  <c r="P1130" i="16" s="1"/>
  <c r="AK1130" i="2"/>
  <c r="AL1130" i="2"/>
  <c r="AK1116" i="2"/>
  <c r="AL1116" i="2"/>
  <c r="AH1101" i="2"/>
  <c r="P1101" i="16" s="1"/>
  <c r="AK1101" i="2"/>
  <c r="AL1101" i="2"/>
  <c r="AH1084" i="2"/>
  <c r="AL1084" i="2"/>
  <c r="AK1084" i="2"/>
  <c r="AL1067" i="2"/>
  <c r="AN1067" i="2"/>
  <c r="AK1067" i="2"/>
  <c r="AH1053" i="2"/>
  <c r="AK1053" i="2"/>
  <c r="AL1053" i="2"/>
  <c r="AH1039" i="2"/>
  <c r="P1039" i="16" s="1"/>
  <c r="AK1039" i="2"/>
  <c r="AL1039" i="2"/>
  <c r="AH1025" i="2"/>
  <c r="AK1025" i="2"/>
  <c r="AL1025" i="2"/>
  <c r="AN1025" i="2"/>
  <c r="AK999" i="2"/>
  <c r="AL999" i="2"/>
  <c r="AH987" i="2"/>
  <c r="P987" i="16" s="1"/>
  <c r="AK987" i="2"/>
  <c r="AL987" i="2"/>
  <c r="AN969" i="2"/>
  <c r="AK969" i="2"/>
  <c r="AL969" i="2"/>
  <c r="AK953" i="2"/>
  <c r="AL953" i="2"/>
  <c r="AH938" i="2"/>
  <c r="AK938" i="2"/>
  <c r="AL938" i="2"/>
  <c r="AL925" i="2"/>
  <c r="AK925" i="2"/>
  <c r="AN925" i="2"/>
  <c r="AK911" i="2"/>
  <c r="AL911" i="2"/>
  <c r="AH896" i="2"/>
  <c r="P896" i="16" s="1"/>
  <c r="AH882" i="2"/>
  <c r="P882" i="16" s="1"/>
  <c r="AK882" i="2"/>
  <c r="AL882" i="2"/>
  <c r="AN882" i="2"/>
  <c r="AH851" i="2"/>
  <c r="P851" i="16" s="1"/>
  <c r="AK851" i="2"/>
  <c r="AL851" i="2"/>
  <c r="AK835" i="2"/>
  <c r="AL835" i="2"/>
  <c r="AH823" i="2"/>
  <c r="P823" i="16" s="1"/>
  <c r="AK823" i="2"/>
  <c r="AL823" i="2"/>
  <c r="AH806" i="2"/>
  <c r="AK793" i="2"/>
  <c r="AL793" i="2"/>
  <c r="AK780" i="2"/>
  <c r="AL780" i="2"/>
  <c r="AM780" i="2"/>
  <c r="AK752" i="2"/>
  <c r="AL752" i="2"/>
  <c r="AM752" i="2"/>
  <c r="AL711" i="2"/>
  <c r="AK711" i="2"/>
  <c r="AM711" i="2" s="1"/>
  <c r="AH696" i="2"/>
  <c r="P696" i="16" s="1"/>
  <c r="AL696" i="2"/>
  <c r="AK696" i="2"/>
  <c r="AH683" i="2"/>
  <c r="P683" i="16" s="1"/>
  <c r="AN683" i="2"/>
  <c r="AK669" i="2"/>
  <c r="AL669" i="2"/>
  <c r="AL656" i="2"/>
  <c r="AK656" i="2"/>
  <c r="AK642" i="2"/>
  <c r="AL642" i="2"/>
  <c r="AH609" i="2"/>
  <c r="AK609" i="2"/>
  <c r="AL609" i="2"/>
  <c r="AN609" i="2"/>
  <c r="AH596" i="2"/>
  <c r="AL596" i="2"/>
  <c r="AN596" i="2"/>
  <c r="AK596" i="2"/>
  <c r="AH566" i="2"/>
  <c r="AN566" i="2"/>
  <c r="AK548" i="2"/>
  <c r="AL548" i="2"/>
  <c r="AK503" i="2"/>
  <c r="AL503" i="2"/>
  <c r="AK489" i="2"/>
  <c r="AL489" i="2"/>
  <c r="AN489" i="2"/>
  <c r="AK458" i="2"/>
  <c r="AL458" i="2"/>
  <c r="AN458" i="2"/>
  <c r="AK443" i="2"/>
  <c r="AL443" i="2"/>
  <c r="AL429" i="2"/>
  <c r="AN429" i="2"/>
  <c r="AK429" i="2"/>
  <c r="AK417" i="2"/>
  <c r="AL417" i="2"/>
  <c r="AN417" i="2"/>
  <c r="AH404" i="2"/>
  <c r="P404" i="16" s="1"/>
  <c r="AK404" i="2"/>
  <c r="AL404" i="2"/>
  <c r="AL391" i="2"/>
  <c r="AK391" i="2"/>
  <c r="AK378" i="2"/>
  <c r="AL378" i="2"/>
  <c r="AH363" i="2"/>
  <c r="AK363" i="2"/>
  <c r="AL363" i="2"/>
  <c r="AN363" i="2"/>
  <c r="AK349" i="2"/>
  <c r="AL349" i="2"/>
  <c r="AK336" i="2"/>
  <c r="AL336" i="2"/>
  <c r="AH306" i="2"/>
  <c r="AK306" i="2"/>
  <c r="AN306" i="2"/>
  <c r="AL306" i="2"/>
  <c r="AK292" i="2"/>
  <c r="AL292" i="2"/>
  <c r="AN292" i="2"/>
  <c r="AK279" i="2"/>
  <c r="AL279" i="2"/>
  <c r="AN265" i="2"/>
  <c r="AK265" i="2"/>
  <c r="AL265" i="2"/>
  <c r="AK252" i="2"/>
  <c r="AL252" i="2"/>
  <c r="AN252" i="2"/>
  <c r="AK239" i="2"/>
  <c r="AL239" i="2"/>
  <c r="AN239" i="2"/>
  <c r="AK225" i="2"/>
  <c r="AL225" i="2"/>
  <c r="AM225" i="2"/>
  <c r="AK212" i="2"/>
  <c r="AL212" i="2"/>
  <c r="AN212" i="2"/>
  <c r="AK200" i="2"/>
  <c r="AL200" i="2"/>
  <c r="AM200" i="2"/>
  <c r="AK188" i="2"/>
  <c r="AL188" i="2"/>
  <c r="AM188" i="2"/>
  <c r="AL175" i="2"/>
  <c r="AM175" i="2"/>
  <c r="AK175" i="2"/>
  <c r="AK150" i="2"/>
  <c r="AL150" i="2"/>
  <c r="AN150" i="2"/>
  <c r="AK125" i="2"/>
  <c r="AL125" i="2"/>
  <c r="AN111" i="2"/>
  <c r="AK111" i="2"/>
  <c r="AL111" i="2"/>
  <c r="AK99" i="2"/>
  <c r="AL99" i="2"/>
  <c r="AK87" i="2"/>
  <c r="AL87" i="2"/>
  <c r="AN87" i="2"/>
  <c r="AH75" i="2"/>
  <c r="P75" i="16" s="1"/>
  <c r="AK75" i="2"/>
  <c r="AL75" i="2"/>
  <c r="AN75" i="2"/>
  <c r="AL63" i="2"/>
  <c r="AN63" i="2"/>
  <c r="AK63" i="2"/>
  <c r="AK50" i="2"/>
  <c r="AL50" i="2"/>
  <c r="AK37" i="2"/>
  <c r="AL37" i="2"/>
  <c r="AK25" i="2"/>
  <c r="AL25" i="2"/>
  <c r="AL13" i="2"/>
  <c r="AN13" i="2"/>
  <c r="AK13" i="2"/>
  <c r="X110" i="2"/>
  <c r="L110" i="16" s="1"/>
  <c r="X49" i="2"/>
  <c r="L49" i="16" s="1"/>
  <c r="AH229" i="2"/>
  <c r="AI43" i="2"/>
  <c r="AH1047" i="2"/>
  <c r="AH751" i="2"/>
  <c r="AH734" i="2"/>
  <c r="P734" i="16" s="1"/>
  <c r="AH1116" i="2"/>
  <c r="P1116" i="16" s="1"/>
  <c r="AH324" i="2"/>
  <c r="AH1071" i="2"/>
  <c r="P1071" i="16" s="1"/>
  <c r="AI550" i="2"/>
  <c r="Q550" i="16" s="1"/>
  <c r="AH961" i="2"/>
  <c r="AH432" i="2"/>
  <c r="P432" i="16" s="1"/>
  <c r="AH1144" i="2"/>
  <c r="AH391" i="2"/>
  <c r="P391" i="16" s="1"/>
  <c r="AH1122" i="2"/>
  <c r="P1122" i="16" s="1"/>
  <c r="AI1201" i="2"/>
  <c r="AI778" i="2"/>
  <c r="AI722" i="2"/>
  <c r="AI623" i="2"/>
  <c r="AI562" i="2"/>
  <c r="AI455" i="2"/>
  <c r="AI387" i="2"/>
  <c r="AI816" i="2"/>
  <c r="AI692" i="2"/>
  <c r="AI528" i="2"/>
  <c r="AI516" i="2"/>
  <c r="AI913" i="2"/>
  <c r="AI874" i="2"/>
  <c r="AO1204" i="2"/>
  <c r="AP1204" i="2" s="1"/>
  <c r="AO1192" i="2"/>
  <c r="AP1192" i="2" s="1"/>
  <c r="AO1180" i="2"/>
  <c r="AP1180" i="2" s="1"/>
  <c r="AO1168" i="2"/>
  <c r="AP1168" i="2" s="1"/>
  <c r="AO1156" i="2"/>
  <c r="AP1156" i="2" s="1"/>
  <c r="AO1144" i="2"/>
  <c r="AP1144" i="2" s="1"/>
  <c r="AO1132" i="2"/>
  <c r="AP1132" i="2" s="1"/>
  <c r="AO1120" i="2"/>
  <c r="AP1120" i="2" s="1"/>
  <c r="AO1108" i="2"/>
  <c r="AP1108" i="2" s="1"/>
  <c r="AO1096" i="2"/>
  <c r="AP1096" i="2" s="1"/>
  <c r="AO1084" i="2"/>
  <c r="AP1084" i="2" s="1"/>
  <c r="AO1072" i="2"/>
  <c r="AP1072" i="2" s="1"/>
  <c r="AO1060" i="2"/>
  <c r="AP1060" i="2" s="1"/>
  <c r="AO1048" i="2"/>
  <c r="AP1048" i="2" s="1"/>
  <c r="X1036" i="2"/>
  <c r="L1036" i="16" s="1"/>
  <c r="AO1036" i="2"/>
  <c r="AP1036" i="2" s="1"/>
  <c r="X1024" i="2"/>
  <c r="L1024" i="16" s="1"/>
  <c r="AO1024" i="2"/>
  <c r="AP1024" i="2" s="1"/>
  <c r="X1012" i="2"/>
  <c r="L1012" i="16" s="1"/>
  <c r="AO1012" i="2"/>
  <c r="X1000" i="2"/>
  <c r="L1000" i="16" s="1"/>
  <c r="AO1000" i="2"/>
  <c r="AP1000" i="2" s="1"/>
  <c r="X988" i="2"/>
  <c r="L988" i="16" s="1"/>
  <c r="AO988" i="2"/>
  <c r="AP988" i="2" s="1"/>
  <c r="AO976" i="2"/>
  <c r="AP976" i="2" s="1"/>
  <c r="X964" i="2"/>
  <c r="L964" i="16" s="1"/>
  <c r="AO964" i="2"/>
  <c r="AP964" i="2" s="1"/>
  <c r="AO952" i="2"/>
  <c r="AP952" i="2" s="1"/>
  <c r="X940" i="2"/>
  <c r="L940" i="16" s="1"/>
  <c r="AO940" i="2"/>
  <c r="AP940" i="2" s="1"/>
  <c r="X928" i="2"/>
  <c r="L928" i="16" s="1"/>
  <c r="AO928" i="2"/>
  <c r="AP928" i="2" s="1"/>
  <c r="AO916" i="2"/>
  <c r="AP916" i="2" s="1"/>
  <c r="X904" i="2"/>
  <c r="L904" i="16" s="1"/>
  <c r="AO904" i="2"/>
  <c r="AP904" i="2" s="1"/>
  <c r="AO892" i="2"/>
  <c r="AP892" i="2" s="1"/>
  <c r="X880" i="2"/>
  <c r="L880" i="16" s="1"/>
  <c r="AO880" i="2"/>
  <c r="AP880" i="2" s="1"/>
  <c r="X868" i="2"/>
  <c r="L868" i="16" s="1"/>
  <c r="AO868" i="2"/>
  <c r="X856" i="2"/>
  <c r="L856" i="16" s="1"/>
  <c r="AO856" i="2"/>
  <c r="AP856" i="2" s="1"/>
  <c r="X844" i="2"/>
  <c r="L844" i="16" s="1"/>
  <c r="AO844" i="2"/>
  <c r="AO832" i="2"/>
  <c r="AP832" i="2" s="1"/>
  <c r="X820" i="2"/>
  <c r="L820" i="16" s="1"/>
  <c r="AO820" i="2"/>
  <c r="AO1203" i="2"/>
  <c r="AP1203" i="2" s="1"/>
  <c r="AO1191" i="2"/>
  <c r="AP1191" i="2" s="1"/>
  <c r="AO1179" i="2"/>
  <c r="AP1179" i="2" s="1"/>
  <c r="AO1167" i="2"/>
  <c r="AP1167" i="2" s="1"/>
  <c r="AO1155" i="2"/>
  <c r="AP1155" i="2" s="1"/>
  <c r="AO1143" i="2"/>
  <c r="AP1143" i="2" s="1"/>
  <c r="AO1131" i="2"/>
  <c r="AP1131" i="2" s="1"/>
  <c r="AO1119" i="2"/>
  <c r="AP1119" i="2" s="1"/>
  <c r="AO1107" i="2"/>
  <c r="AP1107" i="2" s="1"/>
  <c r="AO1095" i="2"/>
  <c r="AP1095" i="2" s="1"/>
  <c r="X1083" i="2"/>
  <c r="L1083" i="16" s="1"/>
  <c r="AO1083" i="2"/>
  <c r="AP1083" i="2" s="1"/>
  <c r="AO1071" i="2"/>
  <c r="AP1071" i="2" s="1"/>
  <c r="AO1059" i="2"/>
  <c r="AP1059" i="2" s="1"/>
  <c r="AO1047" i="2"/>
  <c r="AP1047" i="2" s="1"/>
  <c r="AO1035" i="2"/>
  <c r="AP1035" i="2" s="1"/>
  <c r="X1023" i="2"/>
  <c r="L1023" i="16" s="1"/>
  <c r="AO1023" i="2"/>
  <c r="AP1023" i="2" s="1"/>
  <c r="X1011" i="2"/>
  <c r="L1011" i="16" s="1"/>
  <c r="AO1011" i="2"/>
  <c r="AP1011" i="2" s="1"/>
  <c r="X999" i="2"/>
  <c r="L999" i="16" s="1"/>
  <c r="AO999" i="2"/>
  <c r="AP999" i="2" s="1"/>
  <c r="AO987" i="2"/>
  <c r="AP987" i="2" s="1"/>
  <c r="AO975" i="2"/>
  <c r="AP975" i="2" s="1"/>
  <c r="X963" i="2"/>
  <c r="L963" i="16" s="1"/>
  <c r="AO963" i="2"/>
  <c r="AP963" i="2" s="1"/>
  <c r="X951" i="2"/>
  <c r="L951" i="16" s="1"/>
  <c r="AO951" i="2"/>
  <c r="AP951" i="2" s="1"/>
  <c r="X939" i="2"/>
  <c r="L939" i="16" s="1"/>
  <c r="AO939" i="2"/>
  <c r="AP939" i="2" s="1"/>
  <c r="X927" i="2"/>
  <c r="L927" i="16" s="1"/>
  <c r="AO927" i="2"/>
  <c r="AP927" i="2" s="1"/>
  <c r="AO915" i="2"/>
  <c r="AP915" i="2" s="1"/>
  <c r="AO1201" i="2"/>
  <c r="AP1201" i="2" s="1"/>
  <c r="AO1189" i="2"/>
  <c r="AP1189" i="2" s="1"/>
  <c r="AO1177" i="2"/>
  <c r="AP1177" i="2" s="1"/>
  <c r="AO1165" i="2"/>
  <c r="AP1165" i="2" s="1"/>
  <c r="X1153" i="2"/>
  <c r="L1153" i="16" s="1"/>
  <c r="AO1153" i="2"/>
  <c r="AP1153" i="2" s="1"/>
  <c r="X1141" i="2"/>
  <c r="L1141" i="16" s="1"/>
  <c r="AO1141" i="2"/>
  <c r="AP1141" i="2" s="1"/>
  <c r="AO1129" i="2"/>
  <c r="AP1129" i="2" s="1"/>
  <c r="X1117" i="2"/>
  <c r="L1117" i="16" s="1"/>
  <c r="AO1117" i="2"/>
  <c r="AP1117" i="2" s="1"/>
  <c r="AO1105" i="2"/>
  <c r="AP1105" i="2" s="1"/>
  <c r="AO1093" i="2"/>
  <c r="AP1093" i="2" s="1"/>
  <c r="X1081" i="2"/>
  <c r="L1081" i="16" s="1"/>
  <c r="AO1081" i="2"/>
  <c r="AP1081" i="2" s="1"/>
  <c r="AO1069" i="2"/>
  <c r="AP1069" i="2" s="1"/>
  <c r="AO1057" i="2"/>
  <c r="AP1057" i="2" s="1"/>
  <c r="X1045" i="2"/>
  <c r="L1045" i="16" s="1"/>
  <c r="AO1045" i="2"/>
  <c r="AP1045" i="2" s="1"/>
  <c r="AO1033" i="2"/>
  <c r="AP1033" i="2" s="1"/>
  <c r="AO1021" i="2"/>
  <c r="AP1021" i="2" s="1"/>
  <c r="X1009" i="2"/>
  <c r="L1009" i="16" s="1"/>
  <c r="AO1009" i="2"/>
  <c r="AP1009" i="2" s="1"/>
  <c r="AO997" i="2"/>
  <c r="AP997" i="2" s="1"/>
  <c r="AO985" i="2"/>
  <c r="AP985" i="2" s="1"/>
  <c r="X973" i="2"/>
  <c r="L973" i="16" s="1"/>
  <c r="AO973" i="2"/>
  <c r="AP973" i="2" s="1"/>
  <c r="X961" i="2"/>
  <c r="L961" i="16" s="1"/>
  <c r="AO961" i="2"/>
  <c r="AP961" i="2" s="1"/>
  <c r="AO949" i="2"/>
  <c r="AP949" i="2" s="1"/>
  <c r="X937" i="2"/>
  <c r="L937" i="16" s="1"/>
  <c r="AO937" i="2"/>
  <c r="X925" i="2"/>
  <c r="L925" i="16" s="1"/>
  <c r="AO925" i="2"/>
  <c r="AP925" i="2" s="1"/>
  <c r="AO913" i="2"/>
  <c r="AP913" i="2" s="1"/>
  <c r="X901" i="2"/>
  <c r="L901" i="16" s="1"/>
  <c r="AO901" i="2"/>
  <c r="AP901" i="2" s="1"/>
  <c r="AO889" i="2"/>
  <c r="AP889" i="2" s="1"/>
  <c r="X877" i="2"/>
  <c r="L877" i="16" s="1"/>
  <c r="AO877" i="2"/>
  <c r="AP877" i="2" s="1"/>
  <c r="X865" i="2"/>
  <c r="L865" i="16" s="1"/>
  <c r="AO865" i="2"/>
  <c r="AP865" i="2" s="1"/>
  <c r="X853" i="2"/>
  <c r="L853" i="16" s="1"/>
  <c r="AO853" i="2"/>
  <c r="AP853" i="2" s="1"/>
  <c r="X841" i="2"/>
  <c r="L841" i="16" s="1"/>
  <c r="AO841" i="2"/>
  <c r="AP841" i="2" s="1"/>
  <c r="X829" i="2"/>
  <c r="L829" i="16" s="1"/>
  <c r="AO829" i="2"/>
  <c r="AP829" i="2" s="1"/>
  <c r="AO817" i="2"/>
  <c r="AP817" i="2" s="1"/>
  <c r="X2" i="2"/>
  <c r="L2" i="16" s="1"/>
  <c r="AO2" i="2"/>
  <c r="AP2" i="2" s="1"/>
  <c r="AO1200" i="2"/>
  <c r="AP1200" i="2" s="1"/>
  <c r="AO1188" i="2"/>
  <c r="AP1188" i="2" s="1"/>
  <c r="AO1176" i="2"/>
  <c r="AP1176" i="2" s="1"/>
  <c r="AO1164" i="2"/>
  <c r="AP1164" i="2" s="1"/>
  <c r="AO1152" i="2"/>
  <c r="AP1152" i="2" s="1"/>
  <c r="AO1140" i="2"/>
  <c r="AP1140" i="2" s="1"/>
  <c r="AO1128" i="2"/>
  <c r="AP1128" i="2" s="1"/>
  <c r="AO1116" i="2"/>
  <c r="AP1116" i="2" s="1"/>
  <c r="AO1104" i="2"/>
  <c r="AP1104" i="2" s="1"/>
  <c r="X1092" i="2"/>
  <c r="L1092" i="16" s="1"/>
  <c r="AO1092" i="2"/>
  <c r="AP1092" i="2" s="1"/>
  <c r="AO1080" i="2"/>
  <c r="AP1080" i="2" s="1"/>
  <c r="AO1068" i="2"/>
  <c r="AP1068" i="2" s="1"/>
  <c r="AO1056" i="2"/>
  <c r="AP1056" i="2" s="1"/>
  <c r="AO1044" i="2"/>
  <c r="AP1044" i="2" s="1"/>
  <c r="X1032" i="2"/>
  <c r="L1032" i="16" s="1"/>
  <c r="AO1032" i="2"/>
  <c r="AP1032" i="2" s="1"/>
  <c r="AO1020" i="2"/>
  <c r="AP1020" i="2" s="1"/>
  <c r="AO1008" i="2"/>
  <c r="AP1008" i="2" s="1"/>
  <c r="X996" i="2"/>
  <c r="L996" i="16" s="1"/>
  <c r="AO996" i="2"/>
  <c r="AP996" i="2" s="1"/>
  <c r="AO984" i="2"/>
  <c r="AP984" i="2" s="1"/>
  <c r="X972" i="2"/>
  <c r="L972" i="16" s="1"/>
  <c r="AO972" i="2"/>
  <c r="AO960" i="2"/>
  <c r="AP960" i="2" s="1"/>
  <c r="X948" i="2"/>
  <c r="L948" i="16" s="1"/>
  <c r="AO948" i="2"/>
  <c r="AP948" i="2" s="1"/>
  <c r="AO1211" i="2"/>
  <c r="AP1211" i="2" s="1"/>
  <c r="AO1199" i="2"/>
  <c r="AP1199" i="2" s="1"/>
  <c r="AO1187" i="2"/>
  <c r="AP1187" i="2" s="1"/>
  <c r="AO1175" i="2"/>
  <c r="AP1175" i="2" s="1"/>
  <c r="AO1163" i="2"/>
  <c r="AP1163" i="2" s="1"/>
  <c r="AO1151" i="2"/>
  <c r="AP1151" i="2" s="1"/>
  <c r="AO1139" i="2"/>
  <c r="AP1139" i="2" s="1"/>
  <c r="AO1127" i="2"/>
  <c r="AP1127" i="2" s="1"/>
  <c r="AO1115" i="2"/>
  <c r="AP1115" i="2" s="1"/>
  <c r="AO1103" i="2"/>
  <c r="AP1103" i="2" s="1"/>
  <c r="AO1091" i="2"/>
  <c r="AP1091" i="2" s="1"/>
  <c r="AO1079" i="2"/>
  <c r="AP1079" i="2" s="1"/>
  <c r="AO1067" i="2"/>
  <c r="AP1067" i="2" s="1"/>
  <c r="X1055" i="2"/>
  <c r="L1055" i="16" s="1"/>
  <c r="AO1055" i="2"/>
  <c r="AP1055" i="2" s="1"/>
  <c r="AO1043" i="2"/>
  <c r="AP1043" i="2" s="1"/>
  <c r="AO1031" i="2"/>
  <c r="AP1031" i="2" s="1"/>
  <c r="AO1019" i="2"/>
  <c r="AP1019" i="2" s="1"/>
  <c r="AO1007" i="2"/>
  <c r="AP1007" i="2" s="1"/>
  <c r="X995" i="2"/>
  <c r="L995" i="16" s="1"/>
  <c r="AO995" i="2"/>
  <c r="AP995" i="2" s="1"/>
  <c r="X983" i="2"/>
  <c r="L983" i="16" s="1"/>
  <c r="AO983" i="2"/>
  <c r="AO971" i="2"/>
  <c r="X959" i="2"/>
  <c r="L959" i="16" s="1"/>
  <c r="AO959" i="2"/>
  <c r="AP959" i="2" s="1"/>
  <c r="X947" i="2"/>
  <c r="L947" i="16" s="1"/>
  <c r="AO947" i="2"/>
  <c r="AP947" i="2" s="1"/>
  <c r="X935" i="2"/>
  <c r="L935" i="16" s="1"/>
  <c r="AO935" i="2"/>
  <c r="AP935" i="2" s="1"/>
  <c r="AO923" i="2"/>
  <c r="AP923" i="2" s="1"/>
  <c r="X911" i="2"/>
  <c r="L911" i="16" s="1"/>
  <c r="AO911" i="2"/>
  <c r="AP911" i="2" s="1"/>
  <c r="X899" i="2"/>
  <c r="L899" i="16" s="1"/>
  <c r="AO899" i="2"/>
  <c r="AP899" i="2" s="1"/>
  <c r="AO887" i="2"/>
  <c r="AP887" i="2" s="1"/>
  <c r="X875" i="2"/>
  <c r="L875" i="16" s="1"/>
  <c r="AO875" i="2"/>
  <c r="AP875" i="2" s="1"/>
  <c r="AO863" i="2"/>
  <c r="X851" i="2"/>
  <c r="L851" i="16" s="1"/>
  <c r="AO851" i="2"/>
  <c r="AP851" i="2" s="1"/>
  <c r="X839" i="2"/>
  <c r="L839" i="16" s="1"/>
  <c r="AO839" i="2"/>
  <c r="AP839" i="2" s="1"/>
  <c r="AO1210" i="2"/>
  <c r="AP1210" i="2" s="1"/>
  <c r="AO1198" i="2"/>
  <c r="AP1198" i="2" s="1"/>
  <c r="AO1186" i="2"/>
  <c r="AP1186" i="2" s="1"/>
  <c r="AO1174" i="2"/>
  <c r="AP1174" i="2" s="1"/>
  <c r="AO1162" i="2"/>
  <c r="AP1162" i="2" s="1"/>
  <c r="AO1150" i="2"/>
  <c r="AP1150" i="2" s="1"/>
  <c r="AO1138" i="2"/>
  <c r="AP1138" i="2" s="1"/>
  <c r="AO1126" i="2"/>
  <c r="AP1126" i="2" s="1"/>
  <c r="AO1114" i="2"/>
  <c r="AP1114" i="2" s="1"/>
  <c r="AO1102" i="2"/>
  <c r="AP1102" i="2" s="1"/>
  <c r="AO1090" i="2"/>
  <c r="AP1090" i="2" s="1"/>
  <c r="AO1078" i="2"/>
  <c r="AO1066" i="2"/>
  <c r="AP1066" i="2" s="1"/>
  <c r="AO1054" i="2"/>
  <c r="AP1054" i="2" s="1"/>
  <c r="X1042" i="2"/>
  <c r="L1042" i="16" s="1"/>
  <c r="AO1042" i="2"/>
  <c r="AP1042" i="2" s="1"/>
  <c r="AO1030" i="2"/>
  <c r="AP1030" i="2" s="1"/>
  <c r="AO1018" i="2"/>
  <c r="AP1018" i="2" s="1"/>
  <c r="X1006" i="2"/>
  <c r="L1006" i="16" s="1"/>
  <c r="AO1006" i="2"/>
  <c r="AP1006" i="2" s="1"/>
  <c r="X994" i="2"/>
  <c r="L994" i="16" s="1"/>
  <c r="AO994" i="2"/>
  <c r="AP994" i="2" s="1"/>
  <c r="AO982" i="2"/>
  <c r="AO970" i="2"/>
  <c r="AP970" i="2" s="1"/>
  <c r="X958" i="2"/>
  <c r="L958" i="16" s="1"/>
  <c r="AO958" i="2"/>
  <c r="AP958" i="2" s="1"/>
  <c r="X946" i="2"/>
  <c r="L946" i="16" s="1"/>
  <c r="AO946" i="2"/>
  <c r="AP946" i="2" s="1"/>
  <c r="X934" i="2"/>
  <c r="L934" i="16" s="1"/>
  <c r="AO934" i="2"/>
  <c r="AP934" i="2" s="1"/>
  <c r="X922" i="2"/>
  <c r="L922" i="16" s="1"/>
  <c r="AO922" i="2"/>
  <c r="AP922" i="2" s="1"/>
  <c r="AO910" i="2"/>
  <c r="AP910" i="2" s="1"/>
  <c r="X898" i="2"/>
  <c r="L898" i="16" s="1"/>
  <c r="AO898" i="2"/>
  <c r="X886" i="2"/>
  <c r="L886" i="16" s="1"/>
  <c r="AO886" i="2"/>
  <c r="AP886" i="2" s="1"/>
  <c r="AO874" i="2"/>
  <c r="AP874" i="2" s="1"/>
  <c r="X862" i="2"/>
  <c r="L862" i="16" s="1"/>
  <c r="AO862" i="2"/>
  <c r="X850" i="2"/>
  <c r="L850" i="16" s="1"/>
  <c r="AO850" i="2"/>
  <c r="AP850" i="2" s="1"/>
  <c r="X838" i="2"/>
  <c r="L838" i="16" s="1"/>
  <c r="AO838" i="2"/>
  <c r="AP838" i="2" s="1"/>
  <c r="AO826" i="2"/>
  <c r="AP826" i="2" s="1"/>
  <c r="X814" i="2"/>
  <c r="L814" i="16" s="1"/>
  <c r="AO814" i="2"/>
  <c r="AP814" i="2" s="1"/>
  <c r="X802" i="2"/>
  <c r="L802" i="16" s="1"/>
  <c r="AO802" i="2"/>
  <c r="AP802" i="2" s="1"/>
  <c r="AO790" i="2"/>
  <c r="AP790" i="2" s="1"/>
  <c r="AO778" i="2"/>
  <c r="AP778" i="2" s="1"/>
  <c r="AO1209" i="2"/>
  <c r="AP1209" i="2" s="1"/>
  <c r="AO1197" i="2"/>
  <c r="AP1197" i="2" s="1"/>
  <c r="AO1185" i="2"/>
  <c r="AP1185" i="2" s="1"/>
  <c r="AO1173" i="2"/>
  <c r="AP1173" i="2" s="1"/>
  <c r="AO1161" i="2"/>
  <c r="AP1161" i="2" s="1"/>
  <c r="AO1149" i="2"/>
  <c r="AO1137" i="2"/>
  <c r="AP1137" i="2" s="1"/>
  <c r="AO1125" i="2"/>
  <c r="AO1113" i="2"/>
  <c r="AP1113" i="2" s="1"/>
  <c r="AO1101" i="2"/>
  <c r="AP1101" i="2" s="1"/>
  <c r="AO1089" i="2"/>
  <c r="AP1089" i="2" s="1"/>
  <c r="AO1077" i="2"/>
  <c r="AO1065" i="2"/>
  <c r="AP1065" i="2" s="1"/>
  <c r="AO1053" i="2"/>
  <c r="AP1053" i="2" s="1"/>
  <c r="AO1041" i="2"/>
  <c r="AP1041" i="2" s="1"/>
  <c r="X1029" i="2"/>
  <c r="L1029" i="16" s="1"/>
  <c r="AO1029" i="2"/>
  <c r="AO1017" i="2"/>
  <c r="AP1017" i="2" s="1"/>
  <c r="AO1005" i="2"/>
  <c r="AP1005" i="2" s="1"/>
  <c r="X993" i="2"/>
  <c r="L993" i="16" s="1"/>
  <c r="AO993" i="2"/>
  <c r="AP993" i="2" s="1"/>
  <c r="AO981" i="2"/>
  <c r="AP981" i="2" s="1"/>
  <c r="AO969" i="2"/>
  <c r="AP969" i="2" s="1"/>
  <c r="X957" i="2"/>
  <c r="L957" i="16" s="1"/>
  <c r="AO957" i="2"/>
  <c r="AP957" i="2" s="1"/>
  <c r="X945" i="2"/>
  <c r="L945" i="16" s="1"/>
  <c r="AO945" i="2"/>
  <c r="AP945" i="2" s="1"/>
  <c r="X933" i="2"/>
  <c r="L933" i="16" s="1"/>
  <c r="AO933" i="2"/>
  <c r="AP933" i="2" s="1"/>
  <c r="AO921" i="2"/>
  <c r="AP921" i="2" s="1"/>
  <c r="X909" i="2"/>
  <c r="L909" i="16" s="1"/>
  <c r="AO909" i="2"/>
  <c r="AP909" i="2" s="1"/>
  <c r="AO897" i="2"/>
  <c r="AP897" i="2" s="1"/>
  <c r="AO885" i="2"/>
  <c r="AP885" i="2" s="1"/>
  <c r="X873" i="2"/>
  <c r="L873" i="16" s="1"/>
  <c r="AO873" i="2"/>
  <c r="AP873" i="2" s="1"/>
  <c r="X861" i="2"/>
  <c r="L861" i="16" s="1"/>
  <c r="AO861" i="2"/>
  <c r="AP861" i="2" s="1"/>
  <c r="X849" i="2"/>
  <c r="L849" i="16" s="1"/>
  <c r="AO849" i="2"/>
  <c r="AP849" i="2" s="1"/>
  <c r="X837" i="2"/>
  <c r="L837" i="16" s="1"/>
  <c r="AO837" i="2"/>
  <c r="AP837" i="2" s="1"/>
  <c r="X825" i="2"/>
  <c r="L825" i="16" s="1"/>
  <c r="AO825" i="2"/>
  <c r="AP825" i="2" s="1"/>
  <c r="X813" i="2"/>
  <c r="L813" i="16" s="1"/>
  <c r="AO813" i="2"/>
  <c r="AP813" i="2" s="1"/>
  <c r="X801" i="2"/>
  <c r="L801" i="16" s="1"/>
  <c r="AO801" i="2"/>
  <c r="AP801" i="2" s="1"/>
  <c r="X789" i="2"/>
  <c r="L789" i="16" s="1"/>
  <c r="AO789" i="2"/>
  <c r="AP789" i="2" s="1"/>
  <c r="AO1208" i="2"/>
  <c r="AP1208" i="2" s="1"/>
  <c r="AO1196" i="2"/>
  <c r="AP1196" i="2" s="1"/>
  <c r="AO1184" i="2"/>
  <c r="AP1184" i="2" s="1"/>
  <c r="AO1172" i="2"/>
  <c r="AP1172" i="2" s="1"/>
  <c r="AO1160" i="2"/>
  <c r="AP1160" i="2" s="1"/>
  <c r="AO1148" i="2"/>
  <c r="AP1148" i="2" s="1"/>
  <c r="AO1136" i="2"/>
  <c r="AP1136" i="2" s="1"/>
  <c r="AO1124" i="2"/>
  <c r="AP1124" i="2" s="1"/>
  <c r="AO1112" i="2"/>
  <c r="AP1112" i="2" s="1"/>
  <c r="AO1100" i="2"/>
  <c r="AP1100" i="2" s="1"/>
  <c r="AO1088" i="2"/>
  <c r="AP1088" i="2" s="1"/>
  <c r="AO1076" i="2"/>
  <c r="AP1076" i="2" s="1"/>
  <c r="AO1064" i="2"/>
  <c r="AP1064" i="2" s="1"/>
  <c r="AO1052" i="2"/>
  <c r="AP1052" i="2" s="1"/>
  <c r="AO1040" i="2"/>
  <c r="AP1040" i="2" s="1"/>
  <c r="AO1028" i="2"/>
  <c r="AP1028" i="2" s="1"/>
  <c r="AO1016" i="2"/>
  <c r="AP1016" i="2" s="1"/>
  <c r="AO1004" i="2"/>
  <c r="AP1004" i="2" s="1"/>
  <c r="AO992" i="2"/>
  <c r="AP992" i="2" s="1"/>
  <c r="AO980" i="2"/>
  <c r="AP980" i="2" s="1"/>
  <c r="X968" i="2"/>
  <c r="L968" i="16" s="1"/>
  <c r="AO968" i="2"/>
  <c r="AP968" i="2" s="1"/>
  <c r="AO956" i="2"/>
  <c r="AP956" i="2" s="1"/>
  <c r="AO944" i="2"/>
  <c r="AP944" i="2" s="1"/>
  <c r="AO932" i="2"/>
  <c r="AP932" i="2" s="1"/>
  <c r="X920" i="2"/>
  <c r="L920" i="16" s="1"/>
  <c r="AO920" i="2"/>
  <c r="AP920" i="2" s="1"/>
  <c r="X908" i="2"/>
  <c r="L908" i="16" s="1"/>
  <c r="AO908" i="2"/>
  <c r="AO896" i="2"/>
  <c r="AP896" i="2" s="1"/>
  <c r="AO884" i="2"/>
  <c r="AP884" i="2" s="1"/>
  <c r="X872" i="2"/>
  <c r="L872" i="16" s="1"/>
  <c r="AO872" i="2"/>
  <c r="AP872" i="2" s="1"/>
  <c r="AO860" i="2"/>
  <c r="AP860" i="2" s="1"/>
  <c r="X848" i="2"/>
  <c r="L848" i="16" s="1"/>
  <c r="AO848" i="2"/>
  <c r="AP848" i="2" s="1"/>
  <c r="X836" i="2"/>
  <c r="L836" i="16" s="1"/>
  <c r="AO836" i="2"/>
  <c r="AP836" i="2" s="1"/>
  <c r="X824" i="2"/>
  <c r="L824" i="16" s="1"/>
  <c r="AO824" i="2"/>
  <c r="AP824" i="2" s="1"/>
  <c r="AO812" i="2"/>
  <c r="AP812" i="2" s="1"/>
  <c r="X800" i="2"/>
  <c r="L800" i="16" s="1"/>
  <c r="AO800" i="2"/>
  <c r="AP800" i="2" s="1"/>
  <c r="AO788" i="2"/>
  <c r="AP788" i="2" s="1"/>
  <c r="X776" i="2"/>
  <c r="L776" i="16" s="1"/>
  <c r="AO776" i="2"/>
  <c r="AP776" i="2" s="1"/>
  <c r="X764" i="2"/>
  <c r="L764" i="16" s="1"/>
  <c r="AO764" i="2"/>
  <c r="AP764" i="2" s="1"/>
  <c r="X752" i="2"/>
  <c r="L752" i="16" s="1"/>
  <c r="AO752" i="2"/>
  <c r="AP752" i="2" s="1"/>
  <c r="AO1207" i="2"/>
  <c r="AP1207" i="2" s="1"/>
  <c r="AO1195" i="2"/>
  <c r="AP1195" i="2" s="1"/>
  <c r="AO1183" i="2"/>
  <c r="AP1183" i="2" s="1"/>
  <c r="AO1171" i="2"/>
  <c r="AP1171" i="2" s="1"/>
  <c r="AO1159" i="2"/>
  <c r="AP1159" i="2" s="1"/>
  <c r="AO1147" i="2"/>
  <c r="AP1147" i="2" s="1"/>
  <c r="AO1135" i="2"/>
  <c r="AP1135" i="2" s="1"/>
  <c r="AO1123" i="2"/>
  <c r="AP1123" i="2" s="1"/>
  <c r="AO1111" i="2"/>
  <c r="AP1111" i="2" s="1"/>
  <c r="AO1099" i="2"/>
  <c r="AO1087" i="2"/>
  <c r="AP1087" i="2" s="1"/>
  <c r="AO1075" i="2"/>
  <c r="AP1075" i="2" s="1"/>
  <c r="X1063" i="2"/>
  <c r="L1063" i="16" s="1"/>
  <c r="AO1063" i="2"/>
  <c r="AP1063" i="2" s="1"/>
  <c r="X1051" i="2"/>
  <c r="L1051" i="16" s="1"/>
  <c r="AO1051" i="2"/>
  <c r="AP1051" i="2" s="1"/>
  <c r="AO1039" i="2"/>
  <c r="AP1039" i="2" s="1"/>
  <c r="X1027" i="2"/>
  <c r="L1027" i="16" s="1"/>
  <c r="AO1027" i="2"/>
  <c r="AP1027" i="2" s="1"/>
  <c r="AO1015" i="2"/>
  <c r="AP1015" i="2" s="1"/>
  <c r="X1003" i="2"/>
  <c r="L1003" i="16" s="1"/>
  <c r="AO1003" i="2"/>
  <c r="AO991" i="2"/>
  <c r="AP991" i="2" s="1"/>
  <c r="AO979" i="2"/>
  <c r="AP979" i="2" s="1"/>
  <c r="X967" i="2"/>
  <c r="L967" i="16" s="1"/>
  <c r="AO967" i="2"/>
  <c r="AP967" i="2" s="1"/>
  <c r="X955" i="2"/>
  <c r="L955" i="16" s="1"/>
  <c r="AO955" i="2"/>
  <c r="AP955" i="2" s="1"/>
  <c r="AO1206" i="2"/>
  <c r="AP1206" i="2" s="1"/>
  <c r="AO1194" i="2"/>
  <c r="X1182" i="2"/>
  <c r="L1182" i="16" s="1"/>
  <c r="AO1182" i="2"/>
  <c r="AP1182" i="2" s="1"/>
  <c r="AO1170" i="2"/>
  <c r="AP1170" i="2" s="1"/>
  <c r="AO1158" i="2"/>
  <c r="AP1158" i="2" s="1"/>
  <c r="AO1146" i="2"/>
  <c r="AP1146" i="2" s="1"/>
  <c r="AO1134" i="2"/>
  <c r="AP1134" i="2" s="1"/>
  <c r="AO1122" i="2"/>
  <c r="AP1122" i="2" s="1"/>
  <c r="AO1110" i="2"/>
  <c r="AP1110" i="2" s="1"/>
  <c r="AO1098" i="2"/>
  <c r="AO1086" i="2"/>
  <c r="AP1086" i="2" s="1"/>
  <c r="AO1074" i="2"/>
  <c r="AP1074" i="2" s="1"/>
  <c r="AO1062" i="2"/>
  <c r="AP1062" i="2" s="1"/>
  <c r="AO1050" i="2"/>
  <c r="AP1050" i="2" s="1"/>
  <c r="X1038" i="2"/>
  <c r="L1038" i="16" s="1"/>
  <c r="AO1038" i="2"/>
  <c r="AP1038" i="2" s="1"/>
  <c r="X1026" i="2"/>
  <c r="L1026" i="16" s="1"/>
  <c r="AO1026" i="2"/>
  <c r="AP1026" i="2" s="1"/>
  <c r="X1014" i="2"/>
  <c r="L1014" i="16" s="1"/>
  <c r="AO1014" i="2"/>
  <c r="AP1014" i="2" s="1"/>
  <c r="AO1002" i="2"/>
  <c r="AP1002" i="2" s="1"/>
  <c r="X990" i="2"/>
  <c r="L990" i="16" s="1"/>
  <c r="AO990" i="2"/>
  <c r="AP990" i="2" s="1"/>
  <c r="X978" i="2"/>
  <c r="L978" i="16" s="1"/>
  <c r="AO978" i="2"/>
  <c r="AP978" i="2" s="1"/>
  <c r="AO966" i="2"/>
  <c r="AP966" i="2" s="1"/>
  <c r="X954" i="2"/>
  <c r="L954" i="16" s="1"/>
  <c r="AO954" i="2"/>
  <c r="AP954" i="2" s="1"/>
  <c r="X942" i="2"/>
  <c r="L942" i="16" s="1"/>
  <c r="AO942" i="2"/>
  <c r="AP942" i="2" s="1"/>
  <c r="AO930" i="2"/>
  <c r="AP930" i="2" s="1"/>
  <c r="X918" i="2"/>
  <c r="L918" i="16" s="1"/>
  <c r="AO918" i="2"/>
  <c r="AP918" i="2" s="1"/>
  <c r="AO906" i="2"/>
  <c r="AP906" i="2" s="1"/>
  <c r="X894" i="2"/>
  <c r="L894" i="16" s="1"/>
  <c r="AO894" i="2"/>
  <c r="AP894" i="2" s="1"/>
  <c r="X882" i="2"/>
  <c r="L882" i="16" s="1"/>
  <c r="AO882" i="2"/>
  <c r="AP882" i="2" s="1"/>
  <c r="X870" i="2"/>
  <c r="L870" i="16" s="1"/>
  <c r="AO870" i="2"/>
  <c r="AP870" i="2" s="1"/>
  <c r="AO858" i="2"/>
  <c r="AP858" i="2" s="1"/>
  <c r="AO846" i="2"/>
  <c r="AP846" i="2" s="1"/>
  <c r="AO1205" i="2"/>
  <c r="AP1205" i="2" s="1"/>
  <c r="AO1193" i="2"/>
  <c r="AP1193" i="2" s="1"/>
  <c r="AO1181" i="2"/>
  <c r="AP1181" i="2" s="1"/>
  <c r="AO1169" i="2"/>
  <c r="AP1169" i="2" s="1"/>
  <c r="AO1157" i="2"/>
  <c r="AP1157" i="2" s="1"/>
  <c r="AO1145" i="2"/>
  <c r="AP1145" i="2" s="1"/>
  <c r="AO1133" i="2"/>
  <c r="AP1133" i="2" s="1"/>
  <c r="AO1121" i="2"/>
  <c r="AP1121" i="2" s="1"/>
  <c r="AO1109" i="2"/>
  <c r="AP1109" i="2" s="1"/>
  <c r="AO1097" i="2"/>
  <c r="AO1085" i="2"/>
  <c r="AP1085" i="2" s="1"/>
  <c r="AO1073" i="2"/>
  <c r="AP1073" i="2" s="1"/>
  <c r="AO1061" i="2"/>
  <c r="AP1061" i="2" s="1"/>
  <c r="AO1049" i="2"/>
  <c r="AP1049" i="2" s="1"/>
  <c r="X1037" i="2"/>
  <c r="L1037" i="16" s="1"/>
  <c r="AO1037" i="2"/>
  <c r="AP1037" i="2" s="1"/>
  <c r="AO1025" i="2"/>
  <c r="AP1025" i="2" s="1"/>
  <c r="X1013" i="2"/>
  <c r="L1013" i="16" s="1"/>
  <c r="AO1013" i="2"/>
  <c r="AP1013" i="2" s="1"/>
  <c r="X1001" i="2"/>
  <c r="L1001" i="16" s="1"/>
  <c r="AO1001" i="2"/>
  <c r="AP1001" i="2" s="1"/>
  <c r="AO989" i="2"/>
  <c r="AP989" i="2" s="1"/>
  <c r="AO977" i="2"/>
  <c r="AP977" i="2" s="1"/>
  <c r="AO965" i="2"/>
  <c r="AO953" i="2"/>
  <c r="AP953" i="2" s="1"/>
  <c r="X941" i="2"/>
  <c r="L941" i="16" s="1"/>
  <c r="AO941" i="2"/>
  <c r="AP941" i="2" s="1"/>
  <c r="AO929" i="2"/>
  <c r="AP929" i="2" s="1"/>
  <c r="AO917" i="2"/>
  <c r="AP917" i="2" s="1"/>
  <c r="X905" i="2"/>
  <c r="L905" i="16" s="1"/>
  <c r="AO905" i="2"/>
  <c r="AP905" i="2" s="1"/>
  <c r="AO766" i="2"/>
  <c r="AP766" i="2" s="1"/>
  <c r="X754" i="2"/>
  <c r="L754" i="16" s="1"/>
  <c r="AO754" i="2"/>
  <c r="AP754" i="2" s="1"/>
  <c r="AO742" i="2"/>
  <c r="AO730" i="2"/>
  <c r="AP730" i="2" s="1"/>
  <c r="AO718" i="2"/>
  <c r="AP718" i="2" s="1"/>
  <c r="X706" i="2"/>
  <c r="L706" i="16" s="1"/>
  <c r="AO706" i="2"/>
  <c r="AP706" i="2" s="1"/>
  <c r="AO694" i="2"/>
  <c r="AP694" i="2" s="1"/>
  <c r="X682" i="2"/>
  <c r="L682" i="16" s="1"/>
  <c r="AO682" i="2"/>
  <c r="AP682" i="2" s="1"/>
  <c r="X670" i="2"/>
  <c r="L670" i="16" s="1"/>
  <c r="AO670" i="2"/>
  <c r="AP670" i="2" s="1"/>
  <c r="X658" i="2"/>
  <c r="L658" i="16" s="1"/>
  <c r="AO658" i="2"/>
  <c r="AP658" i="2" s="1"/>
  <c r="X646" i="2"/>
  <c r="L646" i="16" s="1"/>
  <c r="AO646" i="2"/>
  <c r="AP646" i="2" s="1"/>
  <c r="X634" i="2"/>
  <c r="L634" i="16" s="1"/>
  <c r="AO634" i="2"/>
  <c r="AP634" i="2" s="1"/>
  <c r="X622" i="2"/>
  <c r="L622" i="16" s="1"/>
  <c r="AO622" i="2"/>
  <c r="AP622" i="2" s="1"/>
  <c r="AO610" i="2"/>
  <c r="AP610" i="2" s="1"/>
  <c r="X598" i="2"/>
  <c r="L598" i="16" s="1"/>
  <c r="AO598" i="2"/>
  <c r="AP598" i="2" s="1"/>
  <c r="X586" i="2"/>
  <c r="L586" i="16" s="1"/>
  <c r="AO586" i="2"/>
  <c r="AP586" i="2" s="1"/>
  <c r="X574" i="2"/>
  <c r="L574" i="16" s="1"/>
  <c r="AO574" i="2"/>
  <c r="AP574" i="2" s="1"/>
  <c r="X562" i="2"/>
  <c r="L562" i="16" s="1"/>
  <c r="AO562" i="2"/>
  <c r="AP562" i="2" s="1"/>
  <c r="X550" i="2"/>
  <c r="L550" i="16" s="1"/>
  <c r="AO550" i="2"/>
  <c r="AP550" i="2" s="1"/>
  <c r="AO538" i="2"/>
  <c r="AP538" i="2" s="1"/>
  <c r="X526" i="2"/>
  <c r="L526" i="16" s="1"/>
  <c r="AO526" i="2"/>
  <c r="AP526" i="2" s="1"/>
  <c r="X514" i="2"/>
  <c r="L514" i="16" s="1"/>
  <c r="AO514" i="2"/>
  <c r="AP514" i="2" s="1"/>
  <c r="X502" i="2"/>
  <c r="L502" i="16" s="1"/>
  <c r="AO502" i="2"/>
  <c r="AP502" i="2" s="1"/>
  <c r="X490" i="2"/>
  <c r="L490" i="16" s="1"/>
  <c r="AO490" i="2"/>
  <c r="AP490" i="2" s="1"/>
  <c r="X478" i="2"/>
  <c r="L478" i="16" s="1"/>
  <c r="AO478" i="2"/>
  <c r="AP478" i="2" s="1"/>
  <c r="X466" i="2"/>
  <c r="L466" i="16" s="1"/>
  <c r="AO466" i="2"/>
  <c r="AP466" i="2" s="1"/>
  <c r="X454" i="2"/>
  <c r="L454" i="16" s="1"/>
  <c r="AO454" i="2"/>
  <c r="AP454" i="2" s="1"/>
  <c r="AO442" i="2"/>
  <c r="AP442" i="2" s="1"/>
  <c r="X430" i="2"/>
  <c r="L430" i="16" s="1"/>
  <c r="AO430" i="2"/>
  <c r="AP430" i="2" s="1"/>
  <c r="X418" i="2"/>
  <c r="L418" i="16" s="1"/>
  <c r="AO418" i="2"/>
  <c r="AP418" i="2" s="1"/>
  <c r="X406" i="2"/>
  <c r="L406" i="16" s="1"/>
  <c r="AO406" i="2"/>
  <c r="AP406" i="2" s="1"/>
  <c r="AO394" i="2"/>
  <c r="X382" i="2"/>
  <c r="L382" i="16" s="1"/>
  <c r="AO382" i="2"/>
  <c r="AP382" i="2" s="1"/>
  <c r="X370" i="2"/>
  <c r="L370" i="16" s="1"/>
  <c r="AO370" i="2"/>
  <c r="AP370" i="2" s="1"/>
  <c r="X358" i="2"/>
  <c r="L358" i="16" s="1"/>
  <c r="AO358" i="2"/>
  <c r="AP358" i="2" s="1"/>
  <c r="X346" i="2"/>
  <c r="L346" i="16" s="1"/>
  <c r="AO346" i="2"/>
  <c r="AP346" i="2" s="1"/>
  <c r="X334" i="2"/>
  <c r="L334" i="16" s="1"/>
  <c r="AO334" i="2"/>
  <c r="AP334" i="2" s="1"/>
  <c r="X322" i="2"/>
  <c r="L322" i="16" s="1"/>
  <c r="AO322" i="2"/>
  <c r="AP322" i="2" s="1"/>
  <c r="X310" i="2"/>
  <c r="L310" i="16" s="1"/>
  <c r="AO310" i="2"/>
  <c r="AP310" i="2" s="1"/>
  <c r="X298" i="2"/>
  <c r="L298" i="16" s="1"/>
  <c r="AO298" i="2"/>
  <c r="AP298" i="2" s="1"/>
  <c r="X286" i="2"/>
  <c r="L286" i="16" s="1"/>
  <c r="AO286" i="2"/>
  <c r="AP286" i="2" s="1"/>
  <c r="X274" i="2"/>
  <c r="L274" i="16" s="1"/>
  <c r="AO274" i="2"/>
  <c r="AP274" i="2" s="1"/>
  <c r="X262" i="2"/>
  <c r="L262" i="16" s="1"/>
  <c r="AO262" i="2"/>
  <c r="AP262" i="2" s="1"/>
  <c r="X250" i="2"/>
  <c r="L250" i="16" s="1"/>
  <c r="AO250" i="2"/>
  <c r="AP250" i="2" s="1"/>
  <c r="X238" i="2"/>
  <c r="L238" i="16" s="1"/>
  <c r="AO238" i="2"/>
  <c r="AP238" i="2" s="1"/>
  <c r="X226" i="2"/>
  <c r="L226" i="16" s="1"/>
  <c r="AO226" i="2"/>
  <c r="AP226" i="2" s="1"/>
  <c r="X214" i="2"/>
  <c r="L214" i="16" s="1"/>
  <c r="AO214" i="2"/>
  <c r="AP214" i="2" s="1"/>
  <c r="X202" i="2"/>
  <c r="L202" i="16" s="1"/>
  <c r="AO202" i="2"/>
  <c r="AP202" i="2" s="1"/>
  <c r="X190" i="2"/>
  <c r="L190" i="16" s="1"/>
  <c r="AO190" i="2"/>
  <c r="AP190" i="2" s="1"/>
  <c r="AO178" i="2"/>
  <c r="AP178" i="2" s="1"/>
  <c r="X166" i="2"/>
  <c r="L166" i="16" s="1"/>
  <c r="AO166" i="2"/>
  <c r="AP166" i="2" s="1"/>
  <c r="X154" i="2"/>
  <c r="L154" i="16" s="1"/>
  <c r="AO154" i="2"/>
  <c r="AP154" i="2" s="1"/>
  <c r="X142" i="2"/>
  <c r="L142" i="16" s="1"/>
  <c r="AO142" i="2"/>
  <c r="AP142" i="2" s="1"/>
  <c r="X130" i="2"/>
  <c r="L130" i="16" s="1"/>
  <c r="AO130" i="2"/>
  <c r="AP130" i="2" s="1"/>
  <c r="X118" i="2"/>
  <c r="L118" i="16" s="1"/>
  <c r="AO118" i="2"/>
  <c r="AP118" i="2" s="1"/>
  <c r="X106" i="2"/>
  <c r="L106" i="16" s="1"/>
  <c r="AO106" i="2"/>
  <c r="AP106" i="2" s="1"/>
  <c r="X94" i="2"/>
  <c r="L94" i="16" s="1"/>
  <c r="AO94" i="2"/>
  <c r="AP94" i="2" s="1"/>
  <c r="X82" i="2"/>
  <c r="L82" i="16" s="1"/>
  <c r="AO82" i="2"/>
  <c r="AP82" i="2" s="1"/>
  <c r="X70" i="2"/>
  <c r="L70" i="16" s="1"/>
  <c r="AO70" i="2"/>
  <c r="AP70" i="2" s="1"/>
  <c r="X58" i="2"/>
  <c r="L58" i="16" s="1"/>
  <c r="AO58" i="2"/>
  <c r="AP58" i="2" s="1"/>
  <c r="X46" i="2"/>
  <c r="L46" i="16" s="1"/>
  <c r="AO46" i="2"/>
  <c r="AP46" i="2" s="1"/>
  <c r="X34" i="2"/>
  <c r="L34" i="16" s="1"/>
  <c r="AO34" i="2"/>
  <c r="AP34" i="2" s="1"/>
  <c r="X22" i="2"/>
  <c r="L22" i="16" s="1"/>
  <c r="AO22" i="2"/>
  <c r="AP22" i="2" s="1"/>
  <c r="X10" i="2"/>
  <c r="L10" i="16" s="1"/>
  <c r="AO10" i="2"/>
  <c r="AP10" i="2" s="1"/>
  <c r="AH1182" i="2"/>
  <c r="P1182" i="16" s="1"/>
  <c r="AH1095" i="2"/>
  <c r="P1095" i="16" s="1"/>
  <c r="AI1095" i="2"/>
  <c r="AH966" i="2"/>
  <c r="P966" i="16" s="1"/>
  <c r="AH880" i="2"/>
  <c r="AH749" i="2"/>
  <c r="P749" i="16" s="1"/>
  <c r="AH736" i="2"/>
  <c r="AI736" i="2" s="1"/>
  <c r="Q736" i="16" s="1"/>
  <c r="AH694" i="2"/>
  <c r="P694" i="16" s="1"/>
  <c r="AI694" i="2"/>
  <c r="Q694" i="16" s="1"/>
  <c r="AH681" i="2"/>
  <c r="P681" i="16" s="1"/>
  <c r="X777" i="2"/>
  <c r="L777" i="16" s="1"/>
  <c r="AO777" i="2"/>
  <c r="AP777" i="2" s="1"/>
  <c r="X765" i="2"/>
  <c r="L765" i="16" s="1"/>
  <c r="AO765" i="2"/>
  <c r="AP765" i="2" s="1"/>
  <c r="X753" i="2"/>
  <c r="L753" i="16" s="1"/>
  <c r="AO753" i="2"/>
  <c r="AP753" i="2" s="1"/>
  <c r="X741" i="2"/>
  <c r="L741" i="16" s="1"/>
  <c r="AO741" i="2"/>
  <c r="AP741" i="2" s="1"/>
  <c r="X729" i="2"/>
  <c r="L729" i="16" s="1"/>
  <c r="AO729" i="2"/>
  <c r="AP729" i="2" s="1"/>
  <c r="X717" i="2"/>
  <c r="L717" i="16" s="1"/>
  <c r="AO717" i="2"/>
  <c r="AP717" i="2" s="1"/>
  <c r="X705" i="2"/>
  <c r="L705" i="16" s="1"/>
  <c r="AO705" i="2"/>
  <c r="AP705" i="2" s="1"/>
  <c r="X693" i="2"/>
  <c r="L693" i="16" s="1"/>
  <c r="AO693" i="2"/>
  <c r="AP693" i="2" s="1"/>
  <c r="X681" i="2"/>
  <c r="L681" i="16" s="1"/>
  <c r="AO681" i="2"/>
  <c r="AP681" i="2" s="1"/>
  <c r="X669" i="2"/>
  <c r="L669" i="16" s="1"/>
  <c r="AO669" i="2"/>
  <c r="AP669" i="2" s="1"/>
  <c r="X657" i="2"/>
  <c r="L657" i="16" s="1"/>
  <c r="AO657" i="2"/>
  <c r="AP657" i="2" s="1"/>
  <c r="X645" i="2"/>
  <c r="L645" i="16" s="1"/>
  <c r="AO645" i="2"/>
  <c r="AP645" i="2" s="1"/>
  <c r="X633" i="2"/>
  <c r="L633" i="16" s="1"/>
  <c r="AO633" i="2"/>
  <c r="AP633" i="2" s="1"/>
  <c r="X621" i="2"/>
  <c r="L621" i="16" s="1"/>
  <c r="AO621" i="2"/>
  <c r="X609" i="2"/>
  <c r="L609" i="16" s="1"/>
  <c r="AO609" i="2"/>
  <c r="AP609" i="2" s="1"/>
  <c r="X597" i="2"/>
  <c r="L597" i="16" s="1"/>
  <c r="AO597" i="2"/>
  <c r="AP597" i="2" s="1"/>
  <c r="X585" i="2"/>
  <c r="L585" i="16" s="1"/>
  <c r="AO585" i="2"/>
  <c r="AP585" i="2" s="1"/>
  <c r="X573" i="2"/>
  <c r="L573" i="16" s="1"/>
  <c r="AO573" i="2"/>
  <c r="AP573" i="2" s="1"/>
  <c r="X561" i="2"/>
  <c r="L561" i="16" s="1"/>
  <c r="AO561" i="2"/>
  <c r="AP561" i="2" s="1"/>
  <c r="X549" i="2"/>
  <c r="L549" i="16" s="1"/>
  <c r="AO549" i="2"/>
  <c r="AP549" i="2" s="1"/>
  <c r="X537" i="2"/>
  <c r="L537" i="16" s="1"/>
  <c r="AO537" i="2"/>
  <c r="AP537" i="2" s="1"/>
  <c r="X525" i="2"/>
  <c r="L525" i="16" s="1"/>
  <c r="AO525" i="2"/>
  <c r="AP525" i="2" s="1"/>
  <c r="X513" i="2"/>
  <c r="L513" i="16" s="1"/>
  <c r="AO513" i="2"/>
  <c r="AP513" i="2" s="1"/>
  <c r="X501" i="2"/>
  <c r="L501" i="16" s="1"/>
  <c r="AO501" i="2"/>
  <c r="AP501" i="2" s="1"/>
  <c r="X489" i="2"/>
  <c r="L489" i="16" s="1"/>
  <c r="AO489" i="2"/>
  <c r="AP489" i="2" s="1"/>
  <c r="X477" i="2"/>
  <c r="L477" i="16" s="1"/>
  <c r="AO477" i="2"/>
  <c r="AP477" i="2" s="1"/>
  <c r="X465" i="2"/>
  <c r="L465" i="16" s="1"/>
  <c r="AO465" i="2"/>
  <c r="AP465" i="2" s="1"/>
  <c r="X453" i="2"/>
  <c r="L453" i="16" s="1"/>
  <c r="AO453" i="2"/>
  <c r="AP453" i="2" s="1"/>
  <c r="X441" i="2"/>
  <c r="L441" i="16" s="1"/>
  <c r="AO441" i="2"/>
  <c r="AP441" i="2" s="1"/>
  <c r="X429" i="2"/>
  <c r="L429" i="16" s="1"/>
  <c r="AO429" i="2"/>
  <c r="AP429" i="2" s="1"/>
  <c r="X417" i="2"/>
  <c r="L417" i="16" s="1"/>
  <c r="AO417" i="2"/>
  <c r="AP417" i="2" s="1"/>
  <c r="X405" i="2"/>
  <c r="L405" i="16" s="1"/>
  <c r="AO405" i="2"/>
  <c r="AP405" i="2" s="1"/>
  <c r="AO393" i="2"/>
  <c r="AP393" i="2" s="1"/>
  <c r="X381" i="2"/>
  <c r="L381" i="16" s="1"/>
  <c r="AO381" i="2"/>
  <c r="AP381" i="2" s="1"/>
  <c r="X369" i="2"/>
  <c r="L369" i="16" s="1"/>
  <c r="AO369" i="2"/>
  <c r="X357" i="2"/>
  <c r="L357" i="16" s="1"/>
  <c r="AO357" i="2"/>
  <c r="AP357" i="2" s="1"/>
  <c r="X345" i="2"/>
  <c r="L345" i="16" s="1"/>
  <c r="AO345" i="2"/>
  <c r="AP345" i="2" s="1"/>
  <c r="X333" i="2"/>
  <c r="L333" i="16" s="1"/>
  <c r="AO333" i="2"/>
  <c r="AP333" i="2" s="1"/>
  <c r="AO321" i="2"/>
  <c r="AP321" i="2" s="1"/>
  <c r="X309" i="2"/>
  <c r="L309" i="16" s="1"/>
  <c r="AO309" i="2"/>
  <c r="AP309" i="2" s="1"/>
  <c r="X297" i="2"/>
  <c r="L297" i="16" s="1"/>
  <c r="AO297" i="2"/>
  <c r="AP297" i="2" s="1"/>
  <c r="X285" i="2"/>
  <c r="L285" i="16" s="1"/>
  <c r="AO285" i="2"/>
  <c r="X273" i="2"/>
  <c r="L273" i="16" s="1"/>
  <c r="AO273" i="2"/>
  <c r="AP273" i="2" s="1"/>
  <c r="X261" i="2"/>
  <c r="L261" i="16" s="1"/>
  <c r="AO261" i="2"/>
  <c r="AP261" i="2" s="1"/>
  <c r="X249" i="2"/>
  <c r="L249" i="16" s="1"/>
  <c r="AO249" i="2"/>
  <c r="AP249" i="2" s="1"/>
  <c r="X237" i="2"/>
  <c r="L237" i="16" s="1"/>
  <c r="AO237" i="2"/>
  <c r="AP237" i="2" s="1"/>
  <c r="X225" i="2"/>
  <c r="L225" i="16" s="1"/>
  <c r="AO225" i="2"/>
  <c r="AP225" i="2" s="1"/>
  <c r="X213" i="2"/>
  <c r="L213" i="16" s="1"/>
  <c r="AO213" i="2"/>
  <c r="AP213" i="2" s="1"/>
  <c r="X201" i="2"/>
  <c r="L201" i="16" s="1"/>
  <c r="AO201" i="2"/>
  <c r="AP201" i="2" s="1"/>
  <c r="X189" i="2"/>
  <c r="L189" i="16" s="1"/>
  <c r="AO189" i="2"/>
  <c r="AP189" i="2" s="1"/>
  <c r="X177" i="2"/>
  <c r="L177" i="16" s="1"/>
  <c r="AO177" i="2"/>
  <c r="X165" i="2"/>
  <c r="L165" i="16" s="1"/>
  <c r="AO165" i="2"/>
  <c r="AP165" i="2" s="1"/>
  <c r="X153" i="2"/>
  <c r="L153" i="16" s="1"/>
  <c r="AO153" i="2"/>
  <c r="AP153" i="2" s="1"/>
  <c r="X141" i="2"/>
  <c r="L141" i="16" s="1"/>
  <c r="AO141" i="2"/>
  <c r="AP141" i="2" s="1"/>
  <c r="X129" i="2"/>
  <c r="L129" i="16" s="1"/>
  <c r="AO129" i="2"/>
  <c r="AP129" i="2" s="1"/>
  <c r="X117" i="2"/>
  <c r="L117" i="16" s="1"/>
  <c r="AO117" i="2"/>
  <c r="AP117" i="2" s="1"/>
  <c r="AO105" i="2"/>
  <c r="AP105" i="2" s="1"/>
  <c r="X93" i="2"/>
  <c r="L93" i="16" s="1"/>
  <c r="AO93" i="2"/>
  <c r="AP93" i="2" s="1"/>
  <c r="X81" i="2"/>
  <c r="L81" i="16" s="1"/>
  <c r="AO81" i="2"/>
  <c r="AP81" i="2" s="1"/>
  <c r="X69" i="2"/>
  <c r="L69" i="16" s="1"/>
  <c r="AO69" i="2"/>
  <c r="AP69" i="2" s="1"/>
  <c r="X57" i="2"/>
  <c r="L57" i="16" s="1"/>
  <c r="AO57" i="2"/>
  <c r="AP57" i="2" s="1"/>
  <c r="X45" i="2"/>
  <c r="L45" i="16" s="1"/>
  <c r="AO45" i="2"/>
  <c r="AP45" i="2" s="1"/>
  <c r="X33" i="2"/>
  <c r="L33" i="16" s="1"/>
  <c r="AO33" i="2"/>
  <c r="AP33" i="2" s="1"/>
  <c r="X21" i="2"/>
  <c r="L21" i="16" s="1"/>
  <c r="AO21" i="2"/>
  <c r="AP21" i="2" s="1"/>
  <c r="X9" i="2"/>
  <c r="L9" i="16" s="1"/>
  <c r="AO9" i="2"/>
  <c r="AP9" i="2" s="1"/>
  <c r="AH1168" i="2"/>
  <c r="P1168" i="16" s="1"/>
  <c r="AH1063" i="2"/>
  <c r="AH1050" i="2"/>
  <c r="AH1021" i="2"/>
  <c r="P1021" i="16" s="1"/>
  <c r="AH950" i="2"/>
  <c r="P950" i="16" s="1"/>
  <c r="AI950" i="2"/>
  <c r="Q950" i="16" s="1"/>
  <c r="AH905" i="2"/>
  <c r="P905" i="16" s="1"/>
  <c r="AH879" i="2"/>
  <c r="P879" i="16" s="1"/>
  <c r="AH864" i="2"/>
  <c r="P864" i="16" s="1"/>
  <c r="AH848" i="2"/>
  <c r="AH832" i="2"/>
  <c r="P832" i="16" s="1"/>
  <c r="AH789" i="2"/>
  <c r="AH776" i="2"/>
  <c r="P776" i="16" s="1"/>
  <c r="AI776" i="2"/>
  <c r="Q776" i="16" s="1"/>
  <c r="AI721" i="2"/>
  <c r="Q721" i="16" s="1"/>
  <c r="AH721" i="2"/>
  <c r="P721" i="16" s="1"/>
  <c r="AH708" i="2"/>
  <c r="P708" i="16" s="1"/>
  <c r="AH693" i="2"/>
  <c r="AI638" i="2"/>
  <c r="AH606" i="2"/>
  <c r="P606" i="16" s="1"/>
  <c r="AH592" i="2"/>
  <c r="P592" i="16" s="1"/>
  <c r="AH561" i="2"/>
  <c r="P561" i="16" s="1"/>
  <c r="AH529" i="2"/>
  <c r="AI514" i="2"/>
  <c r="Q514" i="16" s="1"/>
  <c r="AH514" i="2"/>
  <c r="P514" i="16" s="1"/>
  <c r="AH487" i="2"/>
  <c r="P487" i="16" s="1"/>
  <c r="AI487" i="2"/>
  <c r="Q487" i="16" s="1"/>
  <c r="AH1196" i="2"/>
  <c r="P1196" i="16" s="1"/>
  <c r="AI1172" i="2"/>
  <c r="AH1045" i="2"/>
  <c r="AH654" i="2"/>
  <c r="P654" i="16" s="1"/>
  <c r="AO740" i="2"/>
  <c r="X728" i="2"/>
  <c r="L728" i="16" s="1"/>
  <c r="AO728" i="2"/>
  <c r="AP728" i="2" s="1"/>
  <c r="X716" i="2"/>
  <c r="L716" i="16" s="1"/>
  <c r="AO716" i="2"/>
  <c r="AP716" i="2" s="1"/>
  <c r="X704" i="2"/>
  <c r="L704" i="16" s="1"/>
  <c r="AO704" i="2"/>
  <c r="AP704" i="2" s="1"/>
  <c r="X692" i="2"/>
  <c r="L692" i="16" s="1"/>
  <c r="AO692" i="2"/>
  <c r="AP692" i="2" s="1"/>
  <c r="X680" i="2"/>
  <c r="L680" i="16" s="1"/>
  <c r="AO680" i="2"/>
  <c r="AP680" i="2" s="1"/>
  <c r="X668" i="2"/>
  <c r="L668" i="16" s="1"/>
  <c r="AO668" i="2"/>
  <c r="AP668" i="2" s="1"/>
  <c r="AO656" i="2"/>
  <c r="AP656" i="2" s="1"/>
  <c r="X644" i="2"/>
  <c r="L644" i="16" s="1"/>
  <c r="AO644" i="2"/>
  <c r="AP644" i="2" s="1"/>
  <c r="X632" i="2"/>
  <c r="L632" i="16" s="1"/>
  <c r="AO632" i="2"/>
  <c r="AP632" i="2" s="1"/>
  <c r="X620" i="2"/>
  <c r="L620" i="16" s="1"/>
  <c r="AO620" i="2"/>
  <c r="AO608" i="2"/>
  <c r="AP608" i="2" s="1"/>
  <c r="X596" i="2"/>
  <c r="L596" i="16" s="1"/>
  <c r="AO596" i="2"/>
  <c r="AP596" i="2" s="1"/>
  <c r="X584" i="2"/>
  <c r="L584" i="16" s="1"/>
  <c r="AO584" i="2"/>
  <c r="AP584" i="2" s="1"/>
  <c r="X572" i="2"/>
  <c r="L572" i="16" s="1"/>
  <c r="AO572" i="2"/>
  <c r="AP572" i="2" s="1"/>
  <c r="X560" i="2"/>
  <c r="L560" i="16" s="1"/>
  <c r="AO560" i="2"/>
  <c r="AP560" i="2" s="1"/>
  <c r="X548" i="2"/>
  <c r="L548" i="16" s="1"/>
  <c r="AO548" i="2"/>
  <c r="AP548" i="2" s="1"/>
  <c r="X536" i="2"/>
  <c r="L536" i="16" s="1"/>
  <c r="AO536" i="2"/>
  <c r="AP536" i="2" s="1"/>
  <c r="X524" i="2"/>
  <c r="L524" i="16" s="1"/>
  <c r="AO524" i="2"/>
  <c r="AP524" i="2" s="1"/>
  <c r="X512" i="2"/>
  <c r="L512" i="16" s="1"/>
  <c r="AO512" i="2"/>
  <c r="AP512" i="2" s="1"/>
  <c r="X500" i="2"/>
  <c r="L500" i="16" s="1"/>
  <c r="AO500" i="2"/>
  <c r="AO488" i="2"/>
  <c r="AP488" i="2" s="1"/>
  <c r="X476" i="2"/>
  <c r="L476" i="16" s="1"/>
  <c r="AO476" i="2"/>
  <c r="AP476" i="2" s="1"/>
  <c r="X464" i="2"/>
  <c r="L464" i="16" s="1"/>
  <c r="AO464" i="2"/>
  <c r="AP464" i="2" s="1"/>
  <c r="X452" i="2"/>
  <c r="L452" i="16" s="1"/>
  <c r="AO452" i="2"/>
  <c r="AP452" i="2" s="1"/>
  <c r="X440" i="2"/>
  <c r="L440" i="16" s="1"/>
  <c r="AO440" i="2"/>
  <c r="AP440" i="2" s="1"/>
  <c r="X428" i="2"/>
  <c r="L428" i="16" s="1"/>
  <c r="AO428" i="2"/>
  <c r="AP428" i="2" s="1"/>
  <c r="X416" i="2"/>
  <c r="L416" i="16" s="1"/>
  <c r="AO416" i="2"/>
  <c r="AP416" i="2" s="1"/>
  <c r="X404" i="2"/>
  <c r="L404" i="16" s="1"/>
  <c r="AO404" i="2"/>
  <c r="AP404" i="2" s="1"/>
  <c r="X392" i="2"/>
  <c r="L392" i="16" s="1"/>
  <c r="AO392" i="2"/>
  <c r="AP392" i="2" s="1"/>
  <c r="X380" i="2"/>
  <c r="L380" i="16" s="1"/>
  <c r="AO380" i="2"/>
  <c r="AP380" i="2" s="1"/>
  <c r="X368" i="2"/>
  <c r="L368" i="16" s="1"/>
  <c r="AO368" i="2"/>
  <c r="AP368" i="2" s="1"/>
  <c r="X356" i="2"/>
  <c r="L356" i="16" s="1"/>
  <c r="AO356" i="2"/>
  <c r="AP356" i="2" s="1"/>
  <c r="X344" i="2"/>
  <c r="L344" i="16" s="1"/>
  <c r="AO344" i="2"/>
  <c r="AP344" i="2" s="1"/>
  <c r="X332" i="2"/>
  <c r="L332" i="16" s="1"/>
  <c r="AO332" i="2"/>
  <c r="X320" i="2"/>
  <c r="L320" i="16" s="1"/>
  <c r="AO320" i="2"/>
  <c r="AP320" i="2" s="1"/>
  <c r="X308" i="2"/>
  <c r="L308" i="16" s="1"/>
  <c r="AO308" i="2"/>
  <c r="AP308" i="2" s="1"/>
  <c r="X296" i="2"/>
  <c r="L296" i="16" s="1"/>
  <c r="AO296" i="2"/>
  <c r="AP296" i="2" s="1"/>
  <c r="X284" i="2"/>
  <c r="L284" i="16" s="1"/>
  <c r="AO284" i="2"/>
  <c r="AP284" i="2" s="1"/>
  <c r="X272" i="2"/>
  <c r="L272" i="16" s="1"/>
  <c r="AO272" i="2"/>
  <c r="AP272" i="2" s="1"/>
  <c r="X260" i="2"/>
  <c r="L260" i="16" s="1"/>
  <c r="AO260" i="2"/>
  <c r="AP260" i="2" s="1"/>
  <c r="X248" i="2"/>
  <c r="L248" i="16" s="1"/>
  <c r="AO248" i="2"/>
  <c r="AP248" i="2" s="1"/>
  <c r="X236" i="2"/>
  <c r="L236" i="16" s="1"/>
  <c r="AO236" i="2"/>
  <c r="AP236" i="2" s="1"/>
  <c r="X224" i="2"/>
  <c r="L224" i="16" s="1"/>
  <c r="AO224" i="2"/>
  <c r="X212" i="2"/>
  <c r="L212" i="16" s="1"/>
  <c r="AO212" i="2"/>
  <c r="AP212" i="2" s="1"/>
  <c r="AO200" i="2"/>
  <c r="AP200" i="2" s="1"/>
  <c r="X188" i="2"/>
  <c r="L188" i="16" s="1"/>
  <c r="AO188" i="2"/>
  <c r="AP188" i="2" s="1"/>
  <c r="X176" i="2"/>
  <c r="L176" i="16" s="1"/>
  <c r="AO176" i="2"/>
  <c r="AP176" i="2" s="1"/>
  <c r="X164" i="2"/>
  <c r="L164" i="16" s="1"/>
  <c r="AO164" i="2"/>
  <c r="AP164" i="2" s="1"/>
  <c r="X152" i="2"/>
  <c r="L152" i="16" s="1"/>
  <c r="AO152" i="2"/>
  <c r="AP152" i="2" s="1"/>
  <c r="X140" i="2"/>
  <c r="L140" i="16" s="1"/>
  <c r="AO140" i="2"/>
  <c r="X128" i="2"/>
  <c r="L128" i="16" s="1"/>
  <c r="AO128" i="2"/>
  <c r="AP128" i="2" s="1"/>
  <c r="X116" i="2"/>
  <c r="L116" i="16" s="1"/>
  <c r="AO116" i="2"/>
  <c r="AP116" i="2" s="1"/>
  <c r="X104" i="2"/>
  <c r="L104" i="16" s="1"/>
  <c r="AO104" i="2"/>
  <c r="AP104" i="2" s="1"/>
  <c r="X92" i="2"/>
  <c r="L92" i="16" s="1"/>
  <c r="AO92" i="2"/>
  <c r="AP92" i="2" s="1"/>
  <c r="X80" i="2"/>
  <c r="L80" i="16" s="1"/>
  <c r="AO80" i="2"/>
  <c r="AP80" i="2" s="1"/>
  <c r="X68" i="2"/>
  <c r="L68" i="16" s="1"/>
  <c r="AO68" i="2"/>
  <c r="AP68" i="2" s="1"/>
  <c r="AO56" i="2"/>
  <c r="AP56" i="2" s="1"/>
  <c r="X44" i="2"/>
  <c r="L44" i="16" s="1"/>
  <c r="AO44" i="2"/>
  <c r="AP44" i="2" s="1"/>
  <c r="X32" i="2"/>
  <c r="L32" i="16" s="1"/>
  <c r="AO32" i="2"/>
  <c r="AP32" i="2" s="1"/>
  <c r="X20" i="2"/>
  <c r="L20" i="16" s="1"/>
  <c r="AO20" i="2"/>
  <c r="AP20" i="2" s="1"/>
  <c r="X8" i="2"/>
  <c r="L8" i="16" s="1"/>
  <c r="AO8" i="2"/>
  <c r="AP8" i="2" s="1"/>
  <c r="AI1007" i="2"/>
  <c r="Q1007" i="16" s="1"/>
  <c r="AH1007" i="2"/>
  <c r="P1007" i="16" s="1"/>
  <c r="AH980" i="2"/>
  <c r="AH934" i="2"/>
  <c r="AH891" i="2"/>
  <c r="P891" i="16" s="1"/>
  <c r="AH847" i="2"/>
  <c r="AH788" i="2"/>
  <c r="AH775" i="2"/>
  <c r="P775" i="16" s="1"/>
  <c r="AI679" i="2"/>
  <c r="Q679" i="16" s="1"/>
  <c r="AH679" i="2"/>
  <c r="P679" i="16" s="1"/>
  <c r="AH605" i="2"/>
  <c r="AH576" i="2"/>
  <c r="P576" i="16" s="1"/>
  <c r="AH560" i="2"/>
  <c r="P560" i="16" s="1"/>
  <c r="AH512" i="2"/>
  <c r="AH485" i="2"/>
  <c r="AI468" i="2"/>
  <c r="Q468" i="16" s="1"/>
  <c r="AH468" i="2"/>
  <c r="P468" i="16" s="1"/>
  <c r="AH440" i="2"/>
  <c r="P440" i="16" s="1"/>
  <c r="AH375" i="2"/>
  <c r="P375" i="16" s="1"/>
  <c r="AH346" i="2"/>
  <c r="P346" i="16" s="1"/>
  <c r="AI346" i="2"/>
  <c r="Q346" i="16" s="1"/>
  <c r="AH333" i="2"/>
  <c r="P333" i="16" s="1"/>
  <c r="AH316" i="2"/>
  <c r="AH289" i="2"/>
  <c r="P289" i="16" s="1"/>
  <c r="AI289" i="2"/>
  <c r="Q289" i="16" s="1"/>
  <c r="AH276" i="2"/>
  <c r="P276" i="16" s="1"/>
  <c r="AH262" i="2"/>
  <c r="AH249" i="2"/>
  <c r="AH235" i="2"/>
  <c r="AH197" i="2"/>
  <c r="AH159" i="2"/>
  <c r="AH147" i="2"/>
  <c r="AH135" i="2"/>
  <c r="AH108" i="2"/>
  <c r="AH96" i="2"/>
  <c r="AH60" i="2"/>
  <c r="P60" i="16" s="1"/>
  <c r="AH46" i="2"/>
  <c r="AH10" i="2"/>
  <c r="P10" i="16" s="1"/>
  <c r="AH1092" i="2"/>
  <c r="X943" i="2"/>
  <c r="L943" i="16" s="1"/>
  <c r="AO943" i="2"/>
  <c r="AO931" i="2"/>
  <c r="X919" i="2"/>
  <c r="L919" i="16" s="1"/>
  <c r="AO919" i="2"/>
  <c r="AP919" i="2" s="1"/>
  <c r="AO907" i="2"/>
  <c r="AO895" i="2"/>
  <c r="AP895" i="2" s="1"/>
  <c r="AO883" i="2"/>
  <c r="AP883" i="2" s="1"/>
  <c r="AO871" i="2"/>
  <c r="AP871" i="2" s="1"/>
  <c r="X859" i="2"/>
  <c r="L859" i="16" s="1"/>
  <c r="AO859" i="2"/>
  <c r="AP859" i="2" s="1"/>
  <c r="X847" i="2"/>
  <c r="L847" i="16" s="1"/>
  <c r="AO847" i="2"/>
  <c r="AP847" i="2" s="1"/>
  <c r="X835" i="2"/>
  <c r="L835" i="16" s="1"/>
  <c r="AO835" i="2"/>
  <c r="AP835" i="2" s="1"/>
  <c r="AO823" i="2"/>
  <c r="AP823" i="2" s="1"/>
  <c r="AO811" i="2"/>
  <c r="AP811" i="2" s="1"/>
  <c r="AO799" i="2"/>
  <c r="AP799" i="2" s="1"/>
  <c r="X787" i="2"/>
  <c r="L787" i="16" s="1"/>
  <c r="AO787" i="2"/>
  <c r="AP787" i="2" s="1"/>
  <c r="X775" i="2"/>
  <c r="L775" i="16" s="1"/>
  <c r="AO775" i="2"/>
  <c r="AP775" i="2" s="1"/>
  <c r="X763" i="2"/>
  <c r="L763" i="16" s="1"/>
  <c r="AO763" i="2"/>
  <c r="AP763" i="2" s="1"/>
  <c r="X751" i="2"/>
  <c r="L751" i="16" s="1"/>
  <c r="AO751" i="2"/>
  <c r="AP751" i="2" s="1"/>
  <c r="X739" i="2"/>
  <c r="L739" i="16" s="1"/>
  <c r="AO739" i="2"/>
  <c r="AP739" i="2" s="1"/>
  <c r="AO727" i="2"/>
  <c r="AP727" i="2" s="1"/>
  <c r="X715" i="2"/>
  <c r="L715" i="16" s="1"/>
  <c r="AO715" i="2"/>
  <c r="AP715" i="2" s="1"/>
  <c r="X703" i="2"/>
  <c r="L703" i="16" s="1"/>
  <c r="AO703" i="2"/>
  <c r="X691" i="2"/>
  <c r="L691" i="16" s="1"/>
  <c r="AO691" i="2"/>
  <c r="AP691" i="2" s="1"/>
  <c r="X679" i="2"/>
  <c r="L679" i="16" s="1"/>
  <c r="AO679" i="2"/>
  <c r="AP679" i="2" s="1"/>
  <c r="AO667" i="2"/>
  <c r="X655" i="2"/>
  <c r="L655" i="16" s="1"/>
  <c r="AO655" i="2"/>
  <c r="AP655" i="2" s="1"/>
  <c r="X643" i="2"/>
  <c r="L643" i="16" s="1"/>
  <c r="AO643" i="2"/>
  <c r="AP643" i="2" s="1"/>
  <c r="X631" i="2"/>
  <c r="L631" i="16" s="1"/>
  <c r="AO631" i="2"/>
  <c r="AP631" i="2" s="1"/>
  <c r="X619" i="2"/>
  <c r="L619" i="16" s="1"/>
  <c r="AO619" i="2"/>
  <c r="AP619" i="2" s="1"/>
  <c r="X607" i="2"/>
  <c r="L607" i="16" s="1"/>
  <c r="AO607" i="2"/>
  <c r="AP607" i="2" s="1"/>
  <c r="AO595" i="2"/>
  <c r="AP595" i="2" s="1"/>
  <c r="X583" i="2"/>
  <c r="L583" i="16" s="1"/>
  <c r="AO583" i="2"/>
  <c r="X571" i="2"/>
  <c r="L571" i="16" s="1"/>
  <c r="AO571" i="2"/>
  <c r="AP571" i="2" s="1"/>
  <c r="X559" i="2"/>
  <c r="L559" i="16" s="1"/>
  <c r="AO559" i="2"/>
  <c r="AP559" i="2" s="1"/>
  <c r="X547" i="2"/>
  <c r="L547" i="16" s="1"/>
  <c r="AO547" i="2"/>
  <c r="AP547" i="2" s="1"/>
  <c r="X535" i="2"/>
  <c r="L535" i="16" s="1"/>
  <c r="AO535" i="2"/>
  <c r="X523" i="2"/>
  <c r="L523" i="16" s="1"/>
  <c r="AO523" i="2"/>
  <c r="AP523" i="2" s="1"/>
  <c r="X511" i="2"/>
  <c r="L511" i="16" s="1"/>
  <c r="AO511" i="2"/>
  <c r="AP511" i="2" s="1"/>
  <c r="X499" i="2"/>
  <c r="L499" i="16" s="1"/>
  <c r="AO499" i="2"/>
  <c r="AP499" i="2" s="1"/>
  <c r="AO487" i="2"/>
  <c r="AP487" i="2" s="1"/>
  <c r="X475" i="2"/>
  <c r="L475" i="16" s="1"/>
  <c r="AO475" i="2"/>
  <c r="AP475" i="2" s="1"/>
  <c r="X463" i="2"/>
  <c r="L463" i="16" s="1"/>
  <c r="AO463" i="2"/>
  <c r="AP463" i="2" s="1"/>
  <c r="X451" i="2"/>
  <c r="L451" i="16" s="1"/>
  <c r="AO451" i="2"/>
  <c r="AP451" i="2" s="1"/>
  <c r="X439" i="2"/>
  <c r="L439" i="16" s="1"/>
  <c r="AO439" i="2"/>
  <c r="AP439" i="2" s="1"/>
  <c r="X427" i="2"/>
  <c r="L427" i="16" s="1"/>
  <c r="AO427" i="2"/>
  <c r="AP427" i="2" s="1"/>
  <c r="X415" i="2"/>
  <c r="L415" i="16" s="1"/>
  <c r="AO415" i="2"/>
  <c r="AP415" i="2" s="1"/>
  <c r="X403" i="2"/>
  <c r="L403" i="16" s="1"/>
  <c r="AO403" i="2"/>
  <c r="AP403" i="2" s="1"/>
  <c r="X391" i="2"/>
  <c r="L391" i="16" s="1"/>
  <c r="AO391" i="2"/>
  <c r="AP391" i="2" s="1"/>
  <c r="X379" i="2"/>
  <c r="L379" i="16" s="1"/>
  <c r="AO379" i="2"/>
  <c r="AP379" i="2" s="1"/>
  <c r="AO367" i="2"/>
  <c r="AP367" i="2" s="1"/>
  <c r="X355" i="2"/>
  <c r="L355" i="16" s="1"/>
  <c r="AO355" i="2"/>
  <c r="AP355" i="2" s="1"/>
  <c r="X343" i="2"/>
  <c r="L343" i="16" s="1"/>
  <c r="AO343" i="2"/>
  <c r="AP343" i="2" s="1"/>
  <c r="X331" i="2"/>
  <c r="L331" i="16" s="1"/>
  <c r="AO331" i="2"/>
  <c r="X319" i="2"/>
  <c r="L319" i="16" s="1"/>
  <c r="AO319" i="2"/>
  <c r="AP319" i="2" s="1"/>
  <c r="AO307" i="2"/>
  <c r="AP307" i="2" s="1"/>
  <c r="X295" i="2"/>
  <c r="L295" i="16" s="1"/>
  <c r="AO295" i="2"/>
  <c r="AP295" i="2" s="1"/>
  <c r="X283" i="2"/>
  <c r="L283" i="16" s="1"/>
  <c r="AO283" i="2"/>
  <c r="AP283" i="2" s="1"/>
  <c r="X271" i="2"/>
  <c r="L271" i="16" s="1"/>
  <c r="AO271" i="2"/>
  <c r="AP271" i="2" s="1"/>
  <c r="X259" i="2"/>
  <c r="L259" i="16" s="1"/>
  <c r="AO259" i="2"/>
  <c r="AP259" i="2" s="1"/>
  <c r="X247" i="2"/>
  <c r="L247" i="16" s="1"/>
  <c r="AO247" i="2"/>
  <c r="AP247" i="2" s="1"/>
  <c r="X235" i="2"/>
  <c r="L235" i="16" s="1"/>
  <c r="AO235" i="2"/>
  <c r="AP235" i="2" s="1"/>
  <c r="X223" i="2"/>
  <c r="L223" i="16" s="1"/>
  <c r="AO223" i="2"/>
  <c r="AP223" i="2" s="1"/>
  <c r="X211" i="2"/>
  <c r="L211" i="16" s="1"/>
  <c r="AO211" i="2"/>
  <c r="AP211" i="2" s="1"/>
  <c r="X199" i="2"/>
  <c r="L199" i="16" s="1"/>
  <c r="AO199" i="2"/>
  <c r="AP199" i="2" s="1"/>
  <c r="X187" i="2"/>
  <c r="L187" i="16" s="1"/>
  <c r="AO187" i="2"/>
  <c r="AP187" i="2" s="1"/>
  <c r="X175" i="2"/>
  <c r="L175" i="16" s="1"/>
  <c r="AO175" i="2"/>
  <c r="AP175" i="2" s="1"/>
  <c r="X163" i="2"/>
  <c r="L163" i="16" s="1"/>
  <c r="AO163" i="2"/>
  <c r="AP163" i="2" s="1"/>
  <c r="X151" i="2"/>
  <c r="L151" i="16" s="1"/>
  <c r="AO151" i="2"/>
  <c r="AP151" i="2" s="1"/>
  <c r="X139" i="2"/>
  <c r="L139" i="16" s="1"/>
  <c r="AO139" i="2"/>
  <c r="AP139" i="2" s="1"/>
  <c r="X127" i="2"/>
  <c r="L127" i="16" s="1"/>
  <c r="AO127" i="2"/>
  <c r="AP127" i="2" s="1"/>
  <c r="X115" i="2"/>
  <c r="L115" i="16" s="1"/>
  <c r="AO115" i="2"/>
  <c r="AP115" i="2" s="1"/>
  <c r="X103" i="2"/>
  <c r="L103" i="16" s="1"/>
  <c r="AO103" i="2"/>
  <c r="AP103" i="2" s="1"/>
  <c r="X91" i="2"/>
  <c r="L91" i="16" s="1"/>
  <c r="AO91" i="2"/>
  <c r="AP91" i="2" s="1"/>
  <c r="X79" i="2"/>
  <c r="L79" i="16" s="1"/>
  <c r="AO79" i="2"/>
  <c r="AP79" i="2" s="1"/>
  <c r="X67" i="2"/>
  <c r="L67" i="16" s="1"/>
  <c r="AO67" i="2"/>
  <c r="AP67" i="2" s="1"/>
  <c r="X55" i="2"/>
  <c r="L55" i="16" s="1"/>
  <c r="AO55" i="2"/>
  <c r="AP55" i="2" s="1"/>
  <c r="X43" i="2"/>
  <c r="L43" i="16" s="1"/>
  <c r="AO43" i="2"/>
  <c r="AP43" i="2" s="1"/>
  <c r="X31" i="2"/>
  <c r="L31" i="16" s="1"/>
  <c r="AO31" i="2"/>
  <c r="AP31" i="2" s="1"/>
  <c r="X19" i="2"/>
  <c r="L19" i="16" s="1"/>
  <c r="AO19" i="2"/>
  <c r="AP19" i="2" s="1"/>
  <c r="X7" i="2"/>
  <c r="L7" i="16" s="1"/>
  <c r="AO7" i="2"/>
  <c r="AP7" i="2" s="1"/>
  <c r="AI170" i="2"/>
  <c r="AH1138" i="2"/>
  <c r="P1138" i="16" s="1"/>
  <c r="AH1091" i="2"/>
  <c r="AH1061" i="2"/>
  <c r="P1061" i="16" s="1"/>
  <c r="AH1048" i="2"/>
  <c r="P1048" i="16" s="1"/>
  <c r="AH1033" i="2"/>
  <c r="P1033" i="16" s="1"/>
  <c r="AI1033" i="2"/>
  <c r="Q1033" i="16" s="1"/>
  <c r="AH994" i="2"/>
  <c r="AH933" i="2"/>
  <c r="P933" i="16" s="1"/>
  <c r="AH890" i="2"/>
  <c r="AH860" i="2"/>
  <c r="P860" i="16" s="1"/>
  <c r="AI860" i="2"/>
  <c r="AH813" i="2"/>
  <c r="P813" i="16" s="1"/>
  <c r="AI813" i="2"/>
  <c r="Q813" i="16" s="1"/>
  <c r="AI801" i="2"/>
  <c r="AH801" i="2"/>
  <c r="P801" i="16" s="1"/>
  <c r="AH774" i="2"/>
  <c r="P774" i="16" s="1"/>
  <c r="AH746" i="2"/>
  <c r="AH706" i="2"/>
  <c r="AH691" i="2"/>
  <c r="P691" i="16" s="1"/>
  <c r="AH678" i="2"/>
  <c r="P678" i="16" s="1"/>
  <c r="AH663" i="2"/>
  <c r="P663" i="16" s="1"/>
  <c r="AH649" i="2"/>
  <c r="P649" i="16" s="1"/>
  <c r="AH589" i="2"/>
  <c r="P589" i="16" s="1"/>
  <c r="AH575" i="2"/>
  <c r="P575" i="16" s="1"/>
  <c r="AH527" i="2"/>
  <c r="P527" i="16" s="1"/>
  <c r="AI527" i="2"/>
  <c r="Q527" i="16" s="1"/>
  <c r="AH511" i="2"/>
  <c r="AH497" i="2"/>
  <c r="P497" i="16" s="1"/>
  <c r="AI497" i="2"/>
  <c r="AH483" i="2"/>
  <c r="P483" i="16" s="1"/>
  <c r="AH467" i="2"/>
  <c r="P467" i="16" s="1"/>
  <c r="AI467" i="2"/>
  <c r="Q467" i="16" s="1"/>
  <c r="AH453" i="2"/>
  <c r="AH425" i="2"/>
  <c r="P425" i="16" s="1"/>
  <c r="AI425" i="2"/>
  <c r="Q425" i="16" s="1"/>
  <c r="AH386" i="2"/>
  <c r="AH374" i="2"/>
  <c r="P374" i="16" s="1"/>
  <c r="AH345" i="2"/>
  <c r="P345" i="16" s="1"/>
  <c r="AI345" i="2"/>
  <c r="Q345" i="16" s="1"/>
  <c r="AH300" i="2"/>
  <c r="P300" i="16" s="1"/>
  <c r="AH234" i="2"/>
  <c r="AI221" i="2"/>
  <c r="AI196" i="2"/>
  <c r="AI184" i="2"/>
  <c r="Q184" i="16" s="1"/>
  <c r="AH184" i="2"/>
  <c r="P184" i="16" s="1"/>
  <c r="AH158" i="2"/>
  <c r="AH120" i="2"/>
  <c r="AH107" i="2"/>
  <c r="AH95" i="2"/>
  <c r="AH83" i="2"/>
  <c r="AH71" i="2"/>
  <c r="AH59" i="2"/>
  <c r="P59" i="16" s="1"/>
  <c r="AH45" i="2"/>
  <c r="P45" i="16" s="1"/>
  <c r="AH33" i="2"/>
  <c r="AH21" i="2"/>
  <c r="AH9" i="2"/>
  <c r="AH1140" i="2"/>
  <c r="P1140" i="16" s="1"/>
  <c r="AH1114" i="2"/>
  <c r="AI1114" i="2" s="1"/>
  <c r="Q1114" i="16" s="1"/>
  <c r="AH1089" i="2"/>
  <c r="P1089" i="16" s="1"/>
  <c r="AH800" i="2"/>
  <c r="AI509" i="2"/>
  <c r="AO834" i="2"/>
  <c r="AP834" i="2" s="1"/>
  <c r="X822" i="2"/>
  <c r="L822" i="16" s="1"/>
  <c r="AO822" i="2"/>
  <c r="AP822" i="2" s="1"/>
  <c r="X810" i="2"/>
  <c r="L810" i="16" s="1"/>
  <c r="AO810" i="2"/>
  <c r="AP810" i="2" s="1"/>
  <c r="AO798" i="2"/>
  <c r="AP798" i="2" s="1"/>
  <c r="X786" i="2"/>
  <c r="L786" i="16" s="1"/>
  <c r="AO786" i="2"/>
  <c r="AP786" i="2" s="1"/>
  <c r="X774" i="2"/>
  <c r="L774" i="16" s="1"/>
  <c r="AO774" i="2"/>
  <c r="AP774" i="2" s="1"/>
  <c r="AO762" i="2"/>
  <c r="AP762" i="2" s="1"/>
  <c r="X750" i="2"/>
  <c r="L750" i="16" s="1"/>
  <c r="AO750" i="2"/>
  <c r="AP750" i="2" s="1"/>
  <c r="X738" i="2"/>
  <c r="L738" i="16" s="1"/>
  <c r="AO738" i="2"/>
  <c r="AP738" i="2" s="1"/>
  <c r="X726" i="2"/>
  <c r="L726" i="16" s="1"/>
  <c r="AO726" i="2"/>
  <c r="AP726" i="2" s="1"/>
  <c r="X714" i="2"/>
  <c r="L714" i="16" s="1"/>
  <c r="AO714" i="2"/>
  <c r="AP714" i="2" s="1"/>
  <c r="X702" i="2"/>
  <c r="L702" i="16" s="1"/>
  <c r="AO702" i="2"/>
  <c r="AP702" i="2" s="1"/>
  <c r="AO690" i="2"/>
  <c r="AP690" i="2" s="1"/>
  <c r="X678" i="2"/>
  <c r="L678" i="16" s="1"/>
  <c r="AO678" i="2"/>
  <c r="AP678" i="2" s="1"/>
  <c r="X666" i="2"/>
  <c r="L666" i="16" s="1"/>
  <c r="AO666" i="2"/>
  <c r="X654" i="2"/>
  <c r="L654" i="16" s="1"/>
  <c r="AO654" i="2"/>
  <c r="AP654" i="2" s="1"/>
  <c r="X642" i="2"/>
  <c r="L642" i="16" s="1"/>
  <c r="AO642" i="2"/>
  <c r="AP642" i="2" s="1"/>
  <c r="X630" i="2"/>
  <c r="L630" i="16" s="1"/>
  <c r="AO630" i="2"/>
  <c r="AP630" i="2" s="1"/>
  <c r="X618" i="2"/>
  <c r="L618" i="16" s="1"/>
  <c r="AO618" i="2"/>
  <c r="AP618" i="2" s="1"/>
  <c r="X606" i="2"/>
  <c r="L606" i="16" s="1"/>
  <c r="AO606" i="2"/>
  <c r="AP606" i="2" s="1"/>
  <c r="X594" i="2"/>
  <c r="L594" i="16" s="1"/>
  <c r="AO594" i="2"/>
  <c r="AP594" i="2" s="1"/>
  <c r="X582" i="2"/>
  <c r="L582" i="16" s="1"/>
  <c r="AO582" i="2"/>
  <c r="X570" i="2"/>
  <c r="L570" i="16" s="1"/>
  <c r="AO570" i="2"/>
  <c r="AP570" i="2" s="1"/>
  <c r="X558" i="2"/>
  <c r="L558" i="16" s="1"/>
  <c r="AO558" i="2"/>
  <c r="AP558" i="2" s="1"/>
  <c r="X546" i="2"/>
  <c r="L546" i="16" s="1"/>
  <c r="AO546" i="2"/>
  <c r="AP546" i="2" s="1"/>
  <c r="X534" i="2"/>
  <c r="L534" i="16" s="1"/>
  <c r="AO534" i="2"/>
  <c r="X522" i="2"/>
  <c r="L522" i="16" s="1"/>
  <c r="AO522" i="2"/>
  <c r="AP522" i="2" s="1"/>
  <c r="X510" i="2"/>
  <c r="L510" i="16" s="1"/>
  <c r="AO510" i="2"/>
  <c r="AP510" i="2" s="1"/>
  <c r="X498" i="2"/>
  <c r="L498" i="16" s="1"/>
  <c r="AO498" i="2"/>
  <c r="AP498" i="2" s="1"/>
  <c r="X486" i="2"/>
  <c r="L486" i="16" s="1"/>
  <c r="AO486" i="2"/>
  <c r="AP486" i="2" s="1"/>
  <c r="X474" i="2"/>
  <c r="L474" i="16" s="1"/>
  <c r="AO474" i="2"/>
  <c r="AP474" i="2" s="1"/>
  <c r="X462" i="2"/>
  <c r="L462" i="16" s="1"/>
  <c r="AO462" i="2"/>
  <c r="AP462" i="2" s="1"/>
  <c r="X450" i="2"/>
  <c r="L450" i="16" s="1"/>
  <c r="AO450" i="2"/>
  <c r="AP450" i="2" s="1"/>
  <c r="X438" i="2"/>
  <c r="L438" i="16" s="1"/>
  <c r="AO438" i="2"/>
  <c r="AP438" i="2" s="1"/>
  <c r="X426" i="2"/>
  <c r="L426" i="16" s="1"/>
  <c r="AO426" i="2"/>
  <c r="AP426" i="2" s="1"/>
  <c r="X414" i="2"/>
  <c r="L414" i="16" s="1"/>
  <c r="AO414" i="2"/>
  <c r="AO402" i="2"/>
  <c r="X390" i="2"/>
  <c r="L390" i="16" s="1"/>
  <c r="AO390" i="2"/>
  <c r="AP390" i="2" s="1"/>
  <c r="X378" i="2"/>
  <c r="L378" i="16" s="1"/>
  <c r="AO378" i="2"/>
  <c r="AP378" i="2" s="1"/>
  <c r="X366" i="2"/>
  <c r="L366" i="16" s="1"/>
  <c r="AO366" i="2"/>
  <c r="AP366" i="2" s="1"/>
  <c r="X354" i="2"/>
  <c r="L354" i="16" s="1"/>
  <c r="AO354" i="2"/>
  <c r="AP354" i="2" s="1"/>
  <c r="X342" i="2"/>
  <c r="L342" i="16" s="1"/>
  <c r="AO342" i="2"/>
  <c r="AP342" i="2" s="1"/>
  <c r="X330" i="2"/>
  <c r="L330" i="16" s="1"/>
  <c r="AO330" i="2"/>
  <c r="AP330" i="2" s="1"/>
  <c r="X318" i="2"/>
  <c r="L318" i="16" s="1"/>
  <c r="AO318" i="2"/>
  <c r="AP318" i="2" s="1"/>
  <c r="X306" i="2"/>
  <c r="L306" i="16" s="1"/>
  <c r="AO306" i="2"/>
  <c r="AP306" i="2" s="1"/>
  <c r="X294" i="2"/>
  <c r="L294" i="16" s="1"/>
  <c r="AO294" i="2"/>
  <c r="AP294" i="2" s="1"/>
  <c r="AO282" i="2"/>
  <c r="AP282" i="2" s="1"/>
  <c r="X270" i="2"/>
  <c r="L270" i="16" s="1"/>
  <c r="AO270" i="2"/>
  <c r="AP270" i="2" s="1"/>
  <c r="X258" i="2"/>
  <c r="L258" i="16" s="1"/>
  <c r="AO258" i="2"/>
  <c r="AP258" i="2" s="1"/>
  <c r="X246" i="2"/>
  <c r="L246" i="16" s="1"/>
  <c r="AO246" i="2"/>
  <c r="AP246" i="2" s="1"/>
  <c r="X234" i="2"/>
  <c r="L234" i="16" s="1"/>
  <c r="AO234" i="2"/>
  <c r="AP234" i="2" s="1"/>
  <c r="X222" i="2"/>
  <c r="L222" i="16" s="1"/>
  <c r="AO222" i="2"/>
  <c r="AP222" i="2" s="1"/>
  <c r="X210" i="2"/>
  <c r="L210" i="16" s="1"/>
  <c r="AO210" i="2"/>
  <c r="AP210" i="2" s="1"/>
  <c r="X198" i="2"/>
  <c r="L198" i="16" s="1"/>
  <c r="AO198" i="2"/>
  <c r="AP198" i="2" s="1"/>
  <c r="X186" i="2"/>
  <c r="L186" i="16" s="1"/>
  <c r="AO186" i="2"/>
  <c r="AP186" i="2" s="1"/>
  <c r="X174" i="2"/>
  <c r="L174" i="16" s="1"/>
  <c r="AO174" i="2"/>
  <c r="AP174" i="2" s="1"/>
  <c r="X162" i="2"/>
  <c r="L162" i="16" s="1"/>
  <c r="AO162" i="2"/>
  <c r="AP162" i="2" s="1"/>
  <c r="X150" i="2"/>
  <c r="L150" i="16" s="1"/>
  <c r="AO150" i="2"/>
  <c r="AP150" i="2" s="1"/>
  <c r="X138" i="2"/>
  <c r="L138" i="16" s="1"/>
  <c r="AO138" i="2"/>
  <c r="AP138" i="2" s="1"/>
  <c r="X126" i="2"/>
  <c r="L126" i="16" s="1"/>
  <c r="AO126" i="2"/>
  <c r="AP126" i="2" s="1"/>
  <c r="X114" i="2"/>
  <c r="L114" i="16" s="1"/>
  <c r="AO114" i="2"/>
  <c r="AP114" i="2" s="1"/>
  <c r="AO102" i="2"/>
  <c r="AP102" i="2" s="1"/>
  <c r="X90" i="2"/>
  <c r="L90" i="16" s="1"/>
  <c r="AO90" i="2"/>
  <c r="AP90" i="2" s="1"/>
  <c r="X78" i="2"/>
  <c r="L78" i="16" s="1"/>
  <c r="AO78" i="2"/>
  <c r="AP78" i="2" s="1"/>
  <c r="X66" i="2"/>
  <c r="L66" i="16" s="1"/>
  <c r="AO66" i="2"/>
  <c r="AP66" i="2" s="1"/>
  <c r="X54" i="2"/>
  <c r="L54" i="16" s="1"/>
  <c r="AO54" i="2"/>
  <c r="AP54" i="2" s="1"/>
  <c r="X42" i="2"/>
  <c r="L42" i="16" s="1"/>
  <c r="AO42" i="2"/>
  <c r="AP42" i="2" s="1"/>
  <c r="X30" i="2"/>
  <c r="L30" i="16" s="1"/>
  <c r="AO30" i="2"/>
  <c r="AP30" i="2" s="1"/>
  <c r="X18" i="2"/>
  <c r="L18" i="16" s="1"/>
  <c r="AO18" i="2"/>
  <c r="AP18" i="2" s="1"/>
  <c r="X6" i="2"/>
  <c r="L6" i="16" s="1"/>
  <c r="AO6" i="2"/>
  <c r="AP6" i="2" s="1"/>
  <c r="U541" i="2"/>
  <c r="AH1152" i="2"/>
  <c r="P1152" i="16" s="1"/>
  <c r="AI1152" i="2"/>
  <c r="Q1152" i="16" s="1"/>
  <c r="AH1090" i="2"/>
  <c r="P1090" i="16" s="1"/>
  <c r="AI1018" i="2"/>
  <c r="Q1018" i="16" s="1"/>
  <c r="AH1018" i="2"/>
  <c r="P1018" i="16" s="1"/>
  <c r="AH946" i="2"/>
  <c r="P946" i="16" s="1"/>
  <c r="AH876" i="2"/>
  <c r="AH859" i="2"/>
  <c r="AH842" i="2"/>
  <c r="P842" i="16" s="1"/>
  <c r="AH829" i="2"/>
  <c r="P829" i="16" s="1"/>
  <c r="AH786" i="2"/>
  <c r="P786" i="16" s="1"/>
  <c r="AH758" i="2"/>
  <c r="AH745" i="2"/>
  <c r="AH705" i="2"/>
  <c r="P705" i="16" s="1"/>
  <c r="AH690" i="2"/>
  <c r="P690" i="16" s="1"/>
  <c r="AH633" i="2"/>
  <c r="P633" i="16" s="1"/>
  <c r="AI633" i="2"/>
  <c r="Q633" i="16" s="1"/>
  <c r="AH574" i="2"/>
  <c r="P574" i="16" s="1"/>
  <c r="AH540" i="2"/>
  <c r="P540" i="16" s="1"/>
  <c r="AI525" i="2"/>
  <c r="AH496" i="2"/>
  <c r="P496" i="16" s="1"/>
  <c r="AH481" i="2"/>
  <c r="P481" i="16" s="1"/>
  <c r="AH452" i="2"/>
  <c r="P452" i="16" s="1"/>
  <c r="AI452" i="2"/>
  <c r="Q452" i="16" s="1"/>
  <c r="AH424" i="2"/>
  <c r="P424" i="16" s="1"/>
  <c r="AH412" i="2"/>
  <c r="P412" i="16" s="1"/>
  <c r="AI399" i="2"/>
  <c r="Q399" i="16" s="1"/>
  <c r="AH399" i="2"/>
  <c r="P399" i="16" s="1"/>
  <c r="AH373" i="2"/>
  <c r="AH287" i="2"/>
  <c r="AH274" i="2"/>
  <c r="P274" i="16" s="1"/>
  <c r="AH260" i="2"/>
  <c r="AI247" i="2"/>
  <c r="AI232" i="2"/>
  <c r="Q232" i="16" s="1"/>
  <c r="AH232" i="2"/>
  <c r="P232" i="16" s="1"/>
  <c r="AH220" i="2"/>
  <c r="P220" i="16" s="1"/>
  <c r="AH1113" i="2"/>
  <c r="AH1004" i="2"/>
  <c r="AI1004" i="2" s="1"/>
  <c r="Q1004" i="16" s="1"/>
  <c r="AH719" i="2"/>
  <c r="AO110" i="2"/>
  <c r="AP110" i="2" s="1"/>
  <c r="X893" i="2"/>
  <c r="L893" i="16" s="1"/>
  <c r="AO893" i="2"/>
  <c r="AP893" i="2" s="1"/>
  <c r="X881" i="2"/>
  <c r="L881" i="16" s="1"/>
  <c r="AO881" i="2"/>
  <c r="AP881" i="2" s="1"/>
  <c r="X869" i="2"/>
  <c r="L869" i="16" s="1"/>
  <c r="AO869" i="2"/>
  <c r="AP869" i="2" s="1"/>
  <c r="AO857" i="2"/>
  <c r="AP857" i="2" s="1"/>
  <c r="X845" i="2"/>
  <c r="L845" i="16" s="1"/>
  <c r="AO845" i="2"/>
  <c r="X833" i="2"/>
  <c r="L833" i="16" s="1"/>
  <c r="AO833" i="2"/>
  <c r="AP833" i="2" s="1"/>
  <c r="X821" i="2"/>
  <c r="L821" i="16" s="1"/>
  <c r="AO821" i="2"/>
  <c r="X809" i="2"/>
  <c r="L809" i="16" s="1"/>
  <c r="AO809" i="2"/>
  <c r="AP809" i="2" s="1"/>
  <c r="X797" i="2"/>
  <c r="L797" i="16" s="1"/>
  <c r="AO797" i="2"/>
  <c r="AP797" i="2" s="1"/>
  <c r="X785" i="2"/>
  <c r="L785" i="16" s="1"/>
  <c r="AO785" i="2"/>
  <c r="AP785" i="2" s="1"/>
  <c r="X773" i="2"/>
  <c r="L773" i="16" s="1"/>
  <c r="AO773" i="2"/>
  <c r="AP773" i="2" s="1"/>
  <c r="AO761" i="2"/>
  <c r="AP761" i="2" s="1"/>
  <c r="X749" i="2"/>
  <c r="L749" i="16" s="1"/>
  <c r="AO749" i="2"/>
  <c r="AP749" i="2" s="1"/>
  <c r="X737" i="2"/>
  <c r="L737" i="16" s="1"/>
  <c r="AO737" i="2"/>
  <c r="AP737" i="2" s="1"/>
  <c r="X725" i="2"/>
  <c r="L725" i="16" s="1"/>
  <c r="AO725" i="2"/>
  <c r="X713" i="2"/>
  <c r="L713" i="16" s="1"/>
  <c r="AO713" i="2"/>
  <c r="AP713" i="2" s="1"/>
  <c r="X701" i="2"/>
  <c r="L701" i="16" s="1"/>
  <c r="AO701" i="2"/>
  <c r="X689" i="2"/>
  <c r="L689" i="16" s="1"/>
  <c r="AO689" i="2"/>
  <c r="AP689" i="2" s="1"/>
  <c r="X677" i="2"/>
  <c r="L677" i="16" s="1"/>
  <c r="AO677" i="2"/>
  <c r="AP677" i="2" s="1"/>
  <c r="X665" i="2"/>
  <c r="L665" i="16" s="1"/>
  <c r="AO665" i="2"/>
  <c r="X653" i="2"/>
  <c r="L653" i="16" s="1"/>
  <c r="AO653" i="2"/>
  <c r="X641" i="2"/>
  <c r="L641" i="16" s="1"/>
  <c r="AO641" i="2"/>
  <c r="X629" i="2"/>
  <c r="L629" i="16" s="1"/>
  <c r="AO629" i="2"/>
  <c r="AP629" i="2" s="1"/>
  <c r="X617" i="2"/>
  <c r="L617" i="16" s="1"/>
  <c r="AO617" i="2"/>
  <c r="AP617" i="2" s="1"/>
  <c r="X605" i="2"/>
  <c r="L605" i="16" s="1"/>
  <c r="AO605" i="2"/>
  <c r="AP605" i="2" s="1"/>
  <c r="X593" i="2"/>
  <c r="L593" i="16" s="1"/>
  <c r="AO593" i="2"/>
  <c r="AP593" i="2" s="1"/>
  <c r="X581" i="2"/>
  <c r="L581" i="16" s="1"/>
  <c r="AO581" i="2"/>
  <c r="X569" i="2"/>
  <c r="L569" i="16" s="1"/>
  <c r="AO569" i="2"/>
  <c r="AP569" i="2" s="1"/>
  <c r="X557" i="2"/>
  <c r="L557" i="16" s="1"/>
  <c r="AO557" i="2"/>
  <c r="AP557" i="2" s="1"/>
  <c r="X545" i="2"/>
  <c r="L545" i="16" s="1"/>
  <c r="AO545" i="2"/>
  <c r="X533" i="2"/>
  <c r="L533" i="16" s="1"/>
  <c r="AO533" i="2"/>
  <c r="AP533" i="2" s="1"/>
  <c r="X521" i="2"/>
  <c r="L521" i="16" s="1"/>
  <c r="AO521" i="2"/>
  <c r="AP521" i="2" s="1"/>
  <c r="X509" i="2"/>
  <c r="L509" i="16" s="1"/>
  <c r="AO509" i="2"/>
  <c r="AP509" i="2" s="1"/>
  <c r="X497" i="2"/>
  <c r="L497" i="16" s="1"/>
  <c r="AO497" i="2"/>
  <c r="AP497" i="2" s="1"/>
  <c r="X485" i="2"/>
  <c r="L485" i="16" s="1"/>
  <c r="AO485" i="2"/>
  <c r="AP485" i="2" s="1"/>
  <c r="X473" i="2"/>
  <c r="L473" i="16" s="1"/>
  <c r="AO473" i="2"/>
  <c r="AP473" i="2" s="1"/>
  <c r="X461" i="2"/>
  <c r="L461" i="16" s="1"/>
  <c r="AO461" i="2"/>
  <c r="AP461" i="2" s="1"/>
  <c r="X449" i="2"/>
  <c r="L449" i="16" s="1"/>
  <c r="AO449" i="2"/>
  <c r="AP449" i="2" s="1"/>
  <c r="X437" i="2"/>
  <c r="L437" i="16" s="1"/>
  <c r="AO437" i="2"/>
  <c r="AP437" i="2" s="1"/>
  <c r="X425" i="2"/>
  <c r="L425" i="16" s="1"/>
  <c r="AO425" i="2"/>
  <c r="AP425" i="2" s="1"/>
  <c r="AO413" i="2"/>
  <c r="AP413" i="2" s="1"/>
  <c r="AO401" i="2"/>
  <c r="X389" i="2"/>
  <c r="L389" i="16" s="1"/>
  <c r="AO389" i="2"/>
  <c r="AP389" i="2" s="1"/>
  <c r="X377" i="2"/>
  <c r="L377" i="16" s="1"/>
  <c r="AO377" i="2"/>
  <c r="AP377" i="2" s="1"/>
  <c r="X365" i="2"/>
  <c r="L365" i="16" s="1"/>
  <c r="AO365" i="2"/>
  <c r="AP365" i="2" s="1"/>
  <c r="X353" i="2"/>
  <c r="L353" i="16" s="1"/>
  <c r="AO353" i="2"/>
  <c r="AP353" i="2" s="1"/>
  <c r="X341" i="2"/>
  <c r="L341" i="16" s="1"/>
  <c r="AO341" i="2"/>
  <c r="AP341" i="2" s="1"/>
  <c r="X329" i="2"/>
  <c r="L329" i="16" s="1"/>
  <c r="AO329" i="2"/>
  <c r="AP329" i="2" s="1"/>
  <c r="X317" i="2"/>
  <c r="L317" i="16" s="1"/>
  <c r="AO317" i="2"/>
  <c r="AP317" i="2" s="1"/>
  <c r="X305" i="2"/>
  <c r="L305" i="16" s="1"/>
  <c r="AO305" i="2"/>
  <c r="AP305" i="2" s="1"/>
  <c r="X293" i="2"/>
  <c r="L293" i="16" s="1"/>
  <c r="AO293" i="2"/>
  <c r="AP293" i="2" s="1"/>
  <c r="X281" i="2"/>
  <c r="L281" i="16" s="1"/>
  <c r="AO281" i="2"/>
  <c r="AP281" i="2" s="1"/>
  <c r="X269" i="2"/>
  <c r="L269" i="16" s="1"/>
  <c r="AO269" i="2"/>
  <c r="AP269" i="2" s="1"/>
  <c r="X257" i="2"/>
  <c r="L257" i="16" s="1"/>
  <c r="AO257" i="2"/>
  <c r="AP257" i="2" s="1"/>
  <c r="X245" i="2"/>
  <c r="L245" i="16" s="1"/>
  <c r="AO245" i="2"/>
  <c r="AP245" i="2" s="1"/>
  <c r="X233" i="2"/>
  <c r="L233" i="16" s="1"/>
  <c r="AO233" i="2"/>
  <c r="AP233" i="2" s="1"/>
  <c r="X221" i="2"/>
  <c r="L221" i="16" s="1"/>
  <c r="AO221" i="2"/>
  <c r="AP221" i="2" s="1"/>
  <c r="X209" i="2"/>
  <c r="L209" i="16" s="1"/>
  <c r="AO209" i="2"/>
  <c r="AP209" i="2" s="1"/>
  <c r="AO197" i="2"/>
  <c r="AP197" i="2" s="1"/>
  <c r="X185" i="2"/>
  <c r="L185" i="16" s="1"/>
  <c r="AO185" i="2"/>
  <c r="AP185" i="2" s="1"/>
  <c r="X173" i="2"/>
  <c r="L173" i="16" s="1"/>
  <c r="AO173" i="2"/>
  <c r="AP173" i="2" s="1"/>
  <c r="X161" i="2"/>
  <c r="L161" i="16" s="1"/>
  <c r="AO161" i="2"/>
  <c r="AP161" i="2" s="1"/>
  <c r="X149" i="2"/>
  <c r="L149" i="16" s="1"/>
  <c r="AO149" i="2"/>
  <c r="AP149" i="2" s="1"/>
  <c r="X137" i="2"/>
  <c r="L137" i="16" s="1"/>
  <c r="AO137" i="2"/>
  <c r="AP137" i="2" s="1"/>
  <c r="X125" i="2"/>
  <c r="L125" i="16" s="1"/>
  <c r="AO125" i="2"/>
  <c r="AP125" i="2" s="1"/>
  <c r="X113" i="2"/>
  <c r="L113" i="16" s="1"/>
  <c r="AO113" i="2"/>
  <c r="AP113" i="2" s="1"/>
  <c r="X101" i="2"/>
  <c r="L101" i="16" s="1"/>
  <c r="AO101" i="2"/>
  <c r="AP101" i="2" s="1"/>
  <c r="X89" i="2"/>
  <c r="L89" i="16" s="1"/>
  <c r="AO89" i="2"/>
  <c r="AP89" i="2" s="1"/>
  <c r="X77" i="2"/>
  <c r="L77" i="16" s="1"/>
  <c r="AO77" i="2"/>
  <c r="AP77" i="2" s="1"/>
  <c r="X65" i="2"/>
  <c r="L65" i="16" s="1"/>
  <c r="AO65" i="2"/>
  <c r="AP65" i="2" s="1"/>
  <c r="X53" i="2"/>
  <c r="L53" i="16" s="1"/>
  <c r="AO53" i="2"/>
  <c r="AP53" i="2" s="1"/>
  <c r="X41" i="2"/>
  <c r="L41" i="16" s="1"/>
  <c r="AO41" i="2"/>
  <c r="AP41" i="2" s="1"/>
  <c r="X29" i="2"/>
  <c r="L29" i="16" s="1"/>
  <c r="AO29" i="2"/>
  <c r="AP29" i="2" s="1"/>
  <c r="X17" i="2"/>
  <c r="L17" i="16" s="1"/>
  <c r="AO17" i="2"/>
  <c r="AP17" i="2" s="1"/>
  <c r="X5" i="2"/>
  <c r="L5" i="16" s="1"/>
  <c r="AO5" i="2"/>
  <c r="AP5" i="2" s="1"/>
  <c r="AH1136" i="2"/>
  <c r="P1136" i="16" s="1"/>
  <c r="AH1109" i="2"/>
  <c r="AH1074" i="2"/>
  <c r="P1074" i="16" s="1"/>
  <c r="AH1046" i="2"/>
  <c r="P1046" i="16" s="1"/>
  <c r="AH992" i="2"/>
  <c r="AH976" i="2"/>
  <c r="AH960" i="2"/>
  <c r="AH945" i="2"/>
  <c r="P945" i="16" s="1"/>
  <c r="AH917" i="2"/>
  <c r="P917" i="16" s="1"/>
  <c r="AH888" i="2"/>
  <c r="P888" i="16" s="1"/>
  <c r="AH841" i="2"/>
  <c r="AH811" i="2"/>
  <c r="P811" i="16" s="1"/>
  <c r="AH772" i="2"/>
  <c r="P772" i="16" s="1"/>
  <c r="AH717" i="2"/>
  <c r="P717" i="16" s="1"/>
  <c r="AI704" i="2"/>
  <c r="AH661" i="2"/>
  <c r="P661" i="16" s="1"/>
  <c r="AH632" i="2"/>
  <c r="AH1086" i="2"/>
  <c r="AH951" i="2"/>
  <c r="AO808" i="2"/>
  <c r="AP808" i="2" s="1"/>
  <c r="AO796" i="2"/>
  <c r="AP796" i="2" s="1"/>
  <c r="X784" i="2"/>
  <c r="L784" i="16" s="1"/>
  <c r="AO784" i="2"/>
  <c r="AP784" i="2" s="1"/>
  <c r="X772" i="2"/>
  <c r="L772" i="16" s="1"/>
  <c r="AO772" i="2"/>
  <c r="AP772" i="2" s="1"/>
  <c r="AO760" i="2"/>
  <c r="AP760" i="2" s="1"/>
  <c r="X748" i="2"/>
  <c r="L748" i="16" s="1"/>
  <c r="AO748" i="2"/>
  <c r="AP748" i="2" s="1"/>
  <c r="X736" i="2"/>
  <c r="L736" i="16" s="1"/>
  <c r="AO736" i="2"/>
  <c r="AP736" i="2" s="1"/>
  <c r="X724" i="2"/>
  <c r="L724" i="16" s="1"/>
  <c r="AO724" i="2"/>
  <c r="AP724" i="2" s="1"/>
  <c r="X712" i="2"/>
  <c r="L712" i="16" s="1"/>
  <c r="AO712" i="2"/>
  <c r="AP712" i="2" s="1"/>
  <c r="X700" i="2"/>
  <c r="L700" i="16" s="1"/>
  <c r="AO700" i="2"/>
  <c r="AP700" i="2" s="1"/>
  <c r="X688" i="2"/>
  <c r="L688" i="16" s="1"/>
  <c r="AO688" i="2"/>
  <c r="AP688" i="2" s="1"/>
  <c r="X676" i="2"/>
  <c r="L676" i="16" s="1"/>
  <c r="AO676" i="2"/>
  <c r="AP676" i="2" s="1"/>
  <c r="AO664" i="2"/>
  <c r="AP664" i="2" s="1"/>
  <c r="X652" i="2"/>
  <c r="L652" i="16" s="1"/>
  <c r="AO652" i="2"/>
  <c r="X640" i="2"/>
  <c r="L640" i="16" s="1"/>
  <c r="AO640" i="2"/>
  <c r="X628" i="2"/>
  <c r="L628" i="16" s="1"/>
  <c r="AO628" i="2"/>
  <c r="AP628" i="2" s="1"/>
  <c r="X616" i="2"/>
  <c r="L616" i="16" s="1"/>
  <c r="AO616" i="2"/>
  <c r="X604" i="2"/>
  <c r="L604" i="16" s="1"/>
  <c r="AO604" i="2"/>
  <c r="AP604" i="2" s="1"/>
  <c r="AO592" i="2"/>
  <c r="AP592" i="2" s="1"/>
  <c r="X580" i="2"/>
  <c r="L580" i="16" s="1"/>
  <c r="AO580" i="2"/>
  <c r="X568" i="2"/>
  <c r="L568" i="16" s="1"/>
  <c r="AO568" i="2"/>
  <c r="AP568" i="2" s="1"/>
  <c r="X556" i="2"/>
  <c r="L556" i="16" s="1"/>
  <c r="AO556" i="2"/>
  <c r="AP556" i="2" s="1"/>
  <c r="X544" i="2"/>
  <c r="L544" i="16" s="1"/>
  <c r="AO544" i="2"/>
  <c r="AO532" i="2"/>
  <c r="AP532" i="2" s="1"/>
  <c r="X520" i="2"/>
  <c r="L520" i="16" s="1"/>
  <c r="AO520" i="2"/>
  <c r="AP520" i="2" s="1"/>
  <c r="X508" i="2"/>
  <c r="L508" i="16" s="1"/>
  <c r="AO508" i="2"/>
  <c r="AP508" i="2" s="1"/>
  <c r="X496" i="2"/>
  <c r="L496" i="16" s="1"/>
  <c r="AO496" i="2"/>
  <c r="AP496" i="2" s="1"/>
  <c r="AO484" i="2"/>
  <c r="AP484" i="2" s="1"/>
  <c r="X472" i="2"/>
  <c r="L472" i="16" s="1"/>
  <c r="AO472" i="2"/>
  <c r="AP472" i="2" s="1"/>
  <c r="X460" i="2"/>
  <c r="L460" i="16" s="1"/>
  <c r="AO460" i="2"/>
  <c r="AP460" i="2" s="1"/>
  <c r="X448" i="2"/>
  <c r="L448" i="16" s="1"/>
  <c r="AO448" i="2"/>
  <c r="AP448" i="2" s="1"/>
  <c r="X436" i="2"/>
  <c r="L436" i="16" s="1"/>
  <c r="AO436" i="2"/>
  <c r="AP436" i="2" s="1"/>
  <c r="X424" i="2"/>
  <c r="L424" i="16" s="1"/>
  <c r="AO424" i="2"/>
  <c r="AP424" i="2" s="1"/>
  <c r="X412" i="2"/>
  <c r="L412" i="16" s="1"/>
  <c r="AO412" i="2"/>
  <c r="AP412" i="2" s="1"/>
  <c r="AO400" i="2"/>
  <c r="AP400" i="2" s="1"/>
  <c r="X388" i="2"/>
  <c r="L388" i="16" s="1"/>
  <c r="AO388" i="2"/>
  <c r="AP388" i="2" s="1"/>
  <c r="X376" i="2"/>
  <c r="L376" i="16" s="1"/>
  <c r="AO376" i="2"/>
  <c r="AP376" i="2" s="1"/>
  <c r="AO364" i="2"/>
  <c r="AP364" i="2" s="1"/>
  <c r="X352" i="2"/>
  <c r="L352" i="16" s="1"/>
  <c r="AO352" i="2"/>
  <c r="AP352" i="2" s="1"/>
  <c r="X340" i="2"/>
  <c r="L340" i="16" s="1"/>
  <c r="AO340" i="2"/>
  <c r="AP340" i="2" s="1"/>
  <c r="X328" i="2"/>
  <c r="L328" i="16" s="1"/>
  <c r="AO328" i="2"/>
  <c r="AP328" i="2" s="1"/>
  <c r="X316" i="2"/>
  <c r="L316" i="16" s="1"/>
  <c r="AO316" i="2"/>
  <c r="AP316" i="2" s="1"/>
  <c r="X304" i="2"/>
  <c r="L304" i="16" s="1"/>
  <c r="AO304" i="2"/>
  <c r="AP304" i="2" s="1"/>
  <c r="X292" i="2"/>
  <c r="L292" i="16" s="1"/>
  <c r="AO292" i="2"/>
  <c r="AP292" i="2" s="1"/>
  <c r="X280" i="2"/>
  <c r="L280" i="16" s="1"/>
  <c r="AO280" i="2"/>
  <c r="AP280" i="2" s="1"/>
  <c r="X268" i="2"/>
  <c r="L268" i="16" s="1"/>
  <c r="AO268" i="2"/>
  <c r="X256" i="2"/>
  <c r="L256" i="16" s="1"/>
  <c r="AO256" i="2"/>
  <c r="X244" i="2"/>
  <c r="L244" i="16" s="1"/>
  <c r="AO244" i="2"/>
  <c r="AP244" i="2" s="1"/>
  <c r="AO232" i="2"/>
  <c r="AP232" i="2" s="1"/>
  <c r="X220" i="2"/>
  <c r="L220" i="16" s="1"/>
  <c r="AO220" i="2"/>
  <c r="AP220" i="2" s="1"/>
  <c r="X208" i="2"/>
  <c r="L208" i="16" s="1"/>
  <c r="AO208" i="2"/>
  <c r="AP208" i="2" s="1"/>
  <c r="AO196" i="2"/>
  <c r="AP196" i="2" s="1"/>
  <c r="X184" i="2"/>
  <c r="L184" i="16" s="1"/>
  <c r="AO184" i="2"/>
  <c r="AP184" i="2" s="1"/>
  <c r="X172" i="2"/>
  <c r="L172" i="16" s="1"/>
  <c r="AO172" i="2"/>
  <c r="AP172" i="2" s="1"/>
  <c r="X160" i="2"/>
  <c r="L160" i="16" s="1"/>
  <c r="AO160" i="2"/>
  <c r="AP160" i="2" s="1"/>
  <c r="X148" i="2"/>
  <c r="L148" i="16" s="1"/>
  <c r="AO148" i="2"/>
  <c r="AP148" i="2" s="1"/>
  <c r="X136" i="2"/>
  <c r="L136" i="16" s="1"/>
  <c r="AO136" i="2"/>
  <c r="AP136" i="2" s="1"/>
  <c r="X124" i="2"/>
  <c r="L124" i="16" s="1"/>
  <c r="AO124" i="2"/>
  <c r="AP124" i="2" s="1"/>
  <c r="X112" i="2"/>
  <c r="L112" i="16" s="1"/>
  <c r="AO112" i="2"/>
  <c r="AP112" i="2" s="1"/>
  <c r="X100" i="2"/>
  <c r="L100" i="16" s="1"/>
  <c r="AO100" i="2"/>
  <c r="AP100" i="2" s="1"/>
  <c r="X88" i="2"/>
  <c r="L88" i="16" s="1"/>
  <c r="AO88" i="2"/>
  <c r="AP88" i="2" s="1"/>
  <c r="X76" i="2"/>
  <c r="L76" i="16" s="1"/>
  <c r="AO76" i="2"/>
  <c r="AP76" i="2" s="1"/>
  <c r="X64" i="2"/>
  <c r="L64" i="16" s="1"/>
  <c r="AO64" i="2"/>
  <c r="AP64" i="2" s="1"/>
  <c r="X52" i="2"/>
  <c r="L52" i="16" s="1"/>
  <c r="AO52" i="2"/>
  <c r="AP52" i="2" s="1"/>
  <c r="X40" i="2"/>
  <c r="L40" i="16" s="1"/>
  <c r="AO40" i="2"/>
  <c r="AP40" i="2" s="1"/>
  <c r="X28" i="2"/>
  <c r="L28" i="16" s="1"/>
  <c r="AO28" i="2"/>
  <c r="AP28" i="2" s="1"/>
  <c r="X16" i="2"/>
  <c r="L16" i="16" s="1"/>
  <c r="AO16" i="2"/>
  <c r="AP16" i="2" s="1"/>
  <c r="X4" i="2"/>
  <c r="L4" i="16" s="1"/>
  <c r="AO4" i="2"/>
  <c r="AP4" i="2" s="1"/>
  <c r="U523" i="2"/>
  <c r="H523" i="16" s="1"/>
  <c r="AH1175" i="2"/>
  <c r="P1175" i="16" s="1"/>
  <c r="AH1163" i="2"/>
  <c r="P1163" i="16" s="1"/>
  <c r="AH1147" i="2"/>
  <c r="AH1121" i="2"/>
  <c r="P1121" i="16" s="1"/>
  <c r="AH1088" i="2"/>
  <c r="AH1057" i="2"/>
  <c r="AH1016" i="2"/>
  <c r="P1016" i="16" s="1"/>
  <c r="AI1016" i="2"/>
  <c r="Q1016" i="16" s="1"/>
  <c r="AH958" i="2"/>
  <c r="P958" i="16" s="1"/>
  <c r="AI944" i="2"/>
  <c r="AG916" i="2"/>
  <c r="O916" i="16" s="1"/>
  <c r="AH915" i="2"/>
  <c r="AH873" i="2"/>
  <c r="P873" i="16" s="1"/>
  <c r="AH840" i="2"/>
  <c r="AH797" i="2"/>
  <c r="AH784" i="2"/>
  <c r="P784" i="16" s="1"/>
  <c r="AH646" i="2"/>
  <c r="P646" i="16" s="1"/>
  <c r="AH617" i="2"/>
  <c r="AH586" i="2"/>
  <c r="AH571" i="2"/>
  <c r="P571" i="16" s="1"/>
  <c r="AI538" i="2"/>
  <c r="Q538" i="16" s="1"/>
  <c r="AH538" i="2"/>
  <c r="P538" i="16" s="1"/>
  <c r="AH494" i="2"/>
  <c r="P494" i="16" s="1"/>
  <c r="AI449" i="2"/>
  <c r="AH435" i="2"/>
  <c r="P435" i="16" s="1"/>
  <c r="AH422" i="2"/>
  <c r="P422" i="16" s="1"/>
  <c r="AH410" i="2"/>
  <c r="P410" i="16" s="1"/>
  <c r="AI396" i="2"/>
  <c r="AH383" i="2"/>
  <c r="P383" i="16" s="1"/>
  <c r="AH371" i="2"/>
  <c r="P371" i="16" s="1"/>
  <c r="AH328" i="2"/>
  <c r="P328" i="16" s="1"/>
  <c r="AH311" i="2"/>
  <c r="P311" i="16" s="1"/>
  <c r="AH297" i="2"/>
  <c r="AH272" i="2"/>
  <c r="AH245" i="2"/>
  <c r="AH205" i="2"/>
  <c r="AH193" i="2"/>
  <c r="AH181" i="2"/>
  <c r="AH168" i="2"/>
  <c r="AH130" i="2"/>
  <c r="AI116" i="2"/>
  <c r="AH92" i="2"/>
  <c r="P92" i="16" s="1"/>
  <c r="AH80" i="2"/>
  <c r="AH68" i="2"/>
  <c r="AH42" i="2"/>
  <c r="P42" i="16" s="1"/>
  <c r="AH30" i="2"/>
  <c r="P30" i="16" s="1"/>
  <c r="AH18" i="2"/>
  <c r="P18" i="16" s="1"/>
  <c r="AI6" i="2"/>
  <c r="AH1209" i="2"/>
  <c r="AI1209" i="2" s="1"/>
  <c r="Q1209" i="16" s="1"/>
  <c r="AH1135" i="2"/>
  <c r="P1135" i="16" s="1"/>
  <c r="AH1108" i="2"/>
  <c r="AH1035" i="2"/>
  <c r="AH997" i="2"/>
  <c r="AH315" i="2"/>
  <c r="AO903" i="2"/>
  <c r="X891" i="2"/>
  <c r="L891" i="16" s="1"/>
  <c r="AO891" i="2"/>
  <c r="AP891" i="2" s="1"/>
  <c r="X879" i="2"/>
  <c r="L879" i="16" s="1"/>
  <c r="AO879" i="2"/>
  <c r="AP879" i="2" s="1"/>
  <c r="X867" i="2"/>
  <c r="L867" i="16" s="1"/>
  <c r="AO867" i="2"/>
  <c r="X855" i="2"/>
  <c r="L855" i="16" s="1"/>
  <c r="AO855" i="2"/>
  <c r="AP855" i="2" s="1"/>
  <c r="X843" i="2"/>
  <c r="L843" i="16" s="1"/>
  <c r="AO843" i="2"/>
  <c r="AP843" i="2" s="1"/>
  <c r="X831" i="2"/>
  <c r="L831" i="16" s="1"/>
  <c r="AO831" i="2"/>
  <c r="AP831" i="2" s="1"/>
  <c r="X819" i="2"/>
  <c r="L819" i="16" s="1"/>
  <c r="AO819" i="2"/>
  <c r="X807" i="2"/>
  <c r="L807" i="16" s="1"/>
  <c r="AO807" i="2"/>
  <c r="AP807" i="2" s="1"/>
  <c r="X795" i="2"/>
  <c r="L795" i="16" s="1"/>
  <c r="AO795" i="2"/>
  <c r="AP795" i="2" s="1"/>
  <c r="AO783" i="2"/>
  <c r="AP783" i="2" s="1"/>
  <c r="AO771" i="2"/>
  <c r="AP771" i="2" s="1"/>
  <c r="X759" i="2"/>
  <c r="L759" i="16" s="1"/>
  <c r="AO759" i="2"/>
  <c r="AP759" i="2" s="1"/>
  <c r="AO747" i="2"/>
  <c r="AP747" i="2" s="1"/>
  <c r="AO735" i="2"/>
  <c r="AP735" i="2" s="1"/>
  <c r="AO723" i="2"/>
  <c r="AP723" i="2" s="1"/>
  <c r="X711" i="2"/>
  <c r="L711" i="16" s="1"/>
  <c r="AO711" i="2"/>
  <c r="AP711" i="2" s="1"/>
  <c r="X699" i="2"/>
  <c r="L699" i="16" s="1"/>
  <c r="AO699" i="2"/>
  <c r="AP699" i="2" s="1"/>
  <c r="AO687" i="2"/>
  <c r="AP687" i="2" s="1"/>
  <c r="X675" i="2"/>
  <c r="L675" i="16" s="1"/>
  <c r="AO675" i="2"/>
  <c r="X663" i="2"/>
  <c r="L663" i="16" s="1"/>
  <c r="AO663" i="2"/>
  <c r="AP663" i="2" s="1"/>
  <c r="X651" i="2"/>
  <c r="L651" i="16" s="1"/>
  <c r="AO651" i="2"/>
  <c r="X639" i="2"/>
  <c r="L639" i="16" s="1"/>
  <c r="AO639" i="2"/>
  <c r="AP639" i="2" s="1"/>
  <c r="X627" i="2"/>
  <c r="L627" i="16" s="1"/>
  <c r="AO627" i="2"/>
  <c r="AP627" i="2" s="1"/>
  <c r="X615" i="2"/>
  <c r="L615" i="16" s="1"/>
  <c r="AO615" i="2"/>
  <c r="AP615" i="2" s="1"/>
  <c r="AO603" i="2"/>
  <c r="X591" i="2"/>
  <c r="L591" i="16" s="1"/>
  <c r="AO591" i="2"/>
  <c r="AP591" i="2" s="1"/>
  <c r="X579" i="2"/>
  <c r="L579" i="16" s="1"/>
  <c r="AO579" i="2"/>
  <c r="AP579" i="2" s="1"/>
  <c r="X567" i="2"/>
  <c r="L567" i="16" s="1"/>
  <c r="AO567" i="2"/>
  <c r="AP567" i="2" s="1"/>
  <c r="X555" i="2"/>
  <c r="L555" i="16" s="1"/>
  <c r="AO555" i="2"/>
  <c r="AP555" i="2" s="1"/>
  <c r="X543" i="2"/>
  <c r="L543" i="16" s="1"/>
  <c r="AO543" i="2"/>
  <c r="X531" i="2"/>
  <c r="L531" i="16" s="1"/>
  <c r="AO531" i="2"/>
  <c r="AP531" i="2" s="1"/>
  <c r="X519" i="2"/>
  <c r="L519" i="16" s="1"/>
  <c r="AO519" i="2"/>
  <c r="AP519" i="2" s="1"/>
  <c r="X507" i="2"/>
  <c r="L507" i="16" s="1"/>
  <c r="AO507" i="2"/>
  <c r="AP507" i="2" s="1"/>
  <c r="AO495" i="2"/>
  <c r="AP495" i="2" s="1"/>
  <c r="AO483" i="2"/>
  <c r="AP483" i="2" s="1"/>
  <c r="X471" i="2"/>
  <c r="L471" i="16" s="1"/>
  <c r="AO471" i="2"/>
  <c r="AP471" i="2" s="1"/>
  <c r="X459" i="2"/>
  <c r="L459" i="16" s="1"/>
  <c r="AO459" i="2"/>
  <c r="AP459" i="2" s="1"/>
  <c r="X447" i="2"/>
  <c r="L447" i="16" s="1"/>
  <c r="AO447" i="2"/>
  <c r="AP447" i="2" s="1"/>
  <c r="X435" i="2"/>
  <c r="L435" i="16" s="1"/>
  <c r="AO435" i="2"/>
  <c r="AP435" i="2" s="1"/>
  <c r="X423" i="2"/>
  <c r="L423" i="16" s="1"/>
  <c r="AO423" i="2"/>
  <c r="AP423" i="2" s="1"/>
  <c r="AO411" i="2"/>
  <c r="AP411" i="2" s="1"/>
  <c r="X399" i="2"/>
  <c r="L399" i="16" s="1"/>
  <c r="AO399" i="2"/>
  <c r="AP399" i="2" s="1"/>
  <c r="X387" i="2"/>
  <c r="L387" i="16" s="1"/>
  <c r="AO387" i="2"/>
  <c r="AP387" i="2" s="1"/>
  <c r="X375" i="2"/>
  <c r="L375" i="16" s="1"/>
  <c r="AO375" i="2"/>
  <c r="AP375" i="2" s="1"/>
  <c r="X363" i="2"/>
  <c r="L363" i="16" s="1"/>
  <c r="AO363" i="2"/>
  <c r="AP363" i="2" s="1"/>
  <c r="X351" i="2"/>
  <c r="L351" i="16" s="1"/>
  <c r="AO351" i="2"/>
  <c r="AP351" i="2" s="1"/>
  <c r="X339" i="2"/>
  <c r="L339" i="16" s="1"/>
  <c r="AO339" i="2"/>
  <c r="AP339" i="2" s="1"/>
  <c r="X327" i="2"/>
  <c r="L327" i="16" s="1"/>
  <c r="AO327" i="2"/>
  <c r="X315" i="2"/>
  <c r="L315" i="16" s="1"/>
  <c r="AO315" i="2"/>
  <c r="AP315" i="2" s="1"/>
  <c r="X303" i="2"/>
  <c r="L303" i="16" s="1"/>
  <c r="AO303" i="2"/>
  <c r="AP303" i="2" s="1"/>
  <c r="X291" i="2"/>
  <c r="L291" i="16" s="1"/>
  <c r="AO291" i="2"/>
  <c r="AP291" i="2" s="1"/>
  <c r="X279" i="2"/>
  <c r="L279" i="16" s="1"/>
  <c r="AO279" i="2"/>
  <c r="AP279" i="2" s="1"/>
  <c r="X267" i="2"/>
  <c r="L267" i="16" s="1"/>
  <c r="AO267" i="2"/>
  <c r="AP267" i="2" s="1"/>
  <c r="X255" i="2"/>
  <c r="L255" i="16" s="1"/>
  <c r="AO255" i="2"/>
  <c r="X243" i="2"/>
  <c r="L243" i="16" s="1"/>
  <c r="AO243" i="2"/>
  <c r="AP243" i="2" s="1"/>
  <c r="X231" i="2"/>
  <c r="L231" i="16" s="1"/>
  <c r="AO231" i="2"/>
  <c r="AP231" i="2" s="1"/>
  <c r="X219" i="2"/>
  <c r="L219" i="16" s="1"/>
  <c r="AO219" i="2"/>
  <c r="AP219" i="2" s="1"/>
  <c r="X207" i="2"/>
  <c r="L207" i="16" s="1"/>
  <c r="AO207" i="2"/>
  <c r="AP207" i="2" s="1"/>
  <c r="AO195" i="2"/>
  <c r="AP195" i="2" s="1"/>
  <c r="X183" i="2"/>
  <c r="L183" i="16" s="1"/>
  <c r="AO183" i="2"/>
  <c r="AP183" i="2" s="1"/>
  <c r="X171" i="2"/>
  <c r="L171" i="16" s="1"/>
  <c r="AO171" i="2"/>
  <c r="AP171" i="2" s="1"/>
  <c r="X159" i="2"/>
  <c r="L159" i="16" s="1"/>
  <c r="AO159" i="2"/>
  <c r="AP159" i="2" s="1"/>
  <c r="X147" i="2"/>
  <c r="L147" i="16" s="1"/>
  <c r="AO147" i="2"/>
  <c r="AP147" i="2" s="1"/>
  <c r="X135" i="2"/>
  <c r="L135" i="16" s="1"/>
  <c r="AO135" i="2"/>
  <c r="AP135" i="2" s="1"/>
  <c r="X123" i="2"/>
  <c r="L123" i="16" s="1"/>
  <c r="AO123" i="2"/>
  <c r="X111" i="2"/>
  <c r="L111" i="16" s="1"/>
  <c r="AO111" i="2"/>
  <c r="AP111" i="2" s="1"/>
  <c r="X99" i="2"/>
  <c r="L99" i="16" s="1"/>
  <c r="AO99" i="2"/>
  <c r="AP99" i="2" s="1"/>
  <c r="X87" i="2"/>
  <c r="L87" i="16" s="1"/>
  <c r="AO87" i="2"/>
  <c r="AP87" i="2" s="1"/>
  <c r="X75" i="2"/>
  <c r="L75" i="16" s="1"/>
  <c r="AO75" i="2"/>
  <c r="AP75" i="2" s="1"/>
  <c r="X63" i="2"/>
  <c r="L63" i="16" s="1"/>
  <c r="AO63" i="2"/>
  <c r="AP63" i="2" s="1"/>
  <c r="X51" i="2"/>
  <c r="L51" i="16" s="1"/>
  <c r="AO51" i="2"/>
  <c r="AP51" i="2" s="1"/>
  <c r="X39" i="2"/>
  <c r="L39" i="16" s="1"/>
  <c r="AO39" i="2"/>
  <c r="AP39" i="2" s="1"/>
  <c r="X27" i="2"/>
  <c r="L27" i="16" s="1"/>
  <c r="AO27" i="2"/>
  <c r="AP27" i="2" s="1"/>
  <c r="X15" i="2"/>
  <c r="L15" i="16" s="1"/>
  <c r="AO15" i="2"/>
  <c r="AP15" i="2" s="1"/>
  <c r="X3" i="2"/>
  <c r="L3" i="16" s="1"/>
  <c r="AO3" i="2"/>
  <c r="AP3" i="2" s="1"/>
  <c r="AH1106" i="2"/>
  <c r="P1106" i="16" s="1"/>
  <c r="AH974" i="2"/>
  <c r="P974" i="16" s="1"/>
  <c r="AI914" i="2"/>
  <c r="AH872" i="2"/>
  <c r="P872" i="16" s="1"/>
  <c r="AH826" i="2"/>
  <c r="P826" i="16" s="1"/>
  <c r="AH809" i="2"/>
  <c r="AH728" i="2"/>
  <c r="P728" i="16" s="1"/>
  <c r="AI216" i="2"/>
  <c r="AH1159" i="2"/>
  <c r="P1159" i="16" s="1"/>
  <c r="AH1132" i="2"/>
  <c r="P1132" i="16" s="1"/>
  <c r="AH1031" i="2"/>
  <c r="AO1202" i="2"/>
  <c r="AP1202" i="2" s="1"/>
  <c r="AO1190" i="2"/>
  <c r="AP1190" i="2" s="1"/>
  <c r="AO1178" i="2"/>
  <c r="AP1178" i="2" s="1"/>
  <c r="AO1166" i="2"/>
  <c r="AP1166" i="2" s="1"/>
  <c r="AO1154" i="2"/>
  <c r="AP1154" i="2" s="1"/>
  <c r="AO1142" i="2"/>
  <c r="AP1142" i="2" s="1"/>
  <c r="AO1130" i="2"/>
  <c r="AP1130" i="2" s="1"/>
  <c r="AO1118" i="2"/>
  <c r="AP1118" i="2" s="1"/>
  <c r="AO1106" i="2"/>
  <c r="AP1106" i="2" s="1"/>
  <c r="AO1094" i="2"/>
  <c r="AP1094" i="2" s="1"/>
  <c r="AO1082" i="2"/>
  <c r="AP1082" i="2" s="1"/>
  <c r="AO1070" i="2"/>
  <c r="AP1070" i="2" s="1"/>
  <c r="AO1058" i="2"/>
  <c r="AP1058" i="2" s="1"/>
  <c r="AO1046" i="2"/>
  <c r="AP1046" i="2" s="1"/>
  <c r="AO1034" i="2"/>
  <c r="AP1034" i="2" s="1"/>
  <c r="AO1022" i="2"/>
  <c r="AP1022" i="2" s="1"/>
  <c r="AO1010" i="2"/>
  <c r="AP1010" i="2" s="1"/>
  <c r="AO998" i="2"/>
  <c r="AP998" i="2" s="1"/>
  <c r="AO986" i="2"/>
  <c r="AP986" i="2" s="1"/>
  <c r="AO974" i="2"/>
  <c r="AP974" i="2" s="1"/>
  <c r="X962" i="2"/>
  <c r="L962" i="16" s="1"/>
  <c r="AO962" i="2"/>
  <c r="AP962" i="2" s="1"/>
  <c r="X950" i="2"/>
  <c r="L950" i="16" s="1"/>
  <c r="AO950" i="2"/>
  <c r="AP950" i="2" s="1"/>
  <c r="X938" i="2"/>
  <c r="L938" i="16" s="1"/>
  <c r="AO938" i="2"/>
  <c r="AP938" i="2" s="1"/>
  <c r="X926" i="2"/>
  <c r="L926" i="16" s="1"/>
  <c r="AO926" i="2"/>
  <c r="AP926" i="2" s="1"/>
  <c r="X914" i="2"/>
  <c r="L914" i="16" s="1"/>
  <c r="AO914" i="2"/>
  <c r="AP914" i="2" s="1"/>
  <c r="X902" i="2"/>
  <c r="L902" i="16" s="1"/>
  <c r="AO902" i="2"/>
  <c r="AP902" i="2" s="1"/>
  <c r="X890" i="2"/>
  <c r="L890" i="16" s="1"/>
  <c r="AO890" i="2"/>
  <c r="AP890" i="2" s="1"/>
  <c r="AO878" i="2"/>
  <c r="AP878" i="2" s="1"/>
  <c r="X866" i="2"/>
  <c r="L866" i="16" s="1"/>
  <c r="AO866" i="2"/>
  <c r="X854" i="2"/>
  <c r="L854" i="16" s="1"/>
  <c r="AO854" i="2"/>
  <c r="X842" i="2"/>
  <c r="L842" i="16" s="1"/>
  <c r="AO842" i="2"/>
  <c r="AP842" i="2" s="1"/>
  <c r="AO830" i="2"/>
  <c r="AP830" i="2" s="1"/>
  <c r="AO818" i="2"/>
  <c r="AP818" i="2" s="1"/>
  <c r="AO806" i="2"/>
  <c r="AP806" i="2" s="1"/>
  <c r="X794" i="2"/>
  <c r="L794" i="16" s="1"/>
  <c r="AO794" i="2"/>
  <c r="AP794" i="2" s="1"/>
  <c r="X782" i="2"/>
  <c r="L782" i="16" s="1"/>
  <c r="AO782" i="2"/>
  <c r="AP782" i="2" s="1"/>
  <c r="AO770" i="2"/>
  <c r="AP770" i="2" s="1"/>
  <c r="X758" i="2"/>
  <c r="L758" i="16" s="1"/>
  <c r="AO758" i="2"/>
  <c r="AP758" i="2" s="1"/>
  <c r="X746" i="2"/>
  <c r="L746" i="16" s="1"/>
  <c r="AO746" i="2"/>
  <c r="AP746" i="2" s="1"/>
  <c r="AO734" i="2"/>
  <c r="AP734" i="2" s="1"/>
  <c r="X722" i="2"/>
  <c r="L722" i="16" s="1"/>
  <c r="AO722" i="2"/>
  <c r="AP722" i="2" s="1"/>
  <c r="X710" i="2"/>
  <c r="L710" i="16" s="1"/>
  <c r="AO710" i="2"/>
  <c r="AP710" i="2" s="1"/>
  <c r="X698" i="2"/>
  <c r="L698" i="16" s="1"/>
  <c r="AO698" i="2"/>
  <c r="AP698" i="2" s="1"/>
  <c r="AO686" i="2"/>
  <c r="AP686" i="2" s="1"/>
  <c r="X674" i="2"/>
  <c r="L674" i="16" s="1"/>
  <c r="AO674" i="2"/>
  <c r="X662" i="2"/>
  <c r="L662" i="16" s="1"/>
  <c r="AO662" i="2"/>
  <c r="AP662" i="2" s="1"/>
  <c r="X650" i="2"/>
  <c r="L650" i="16" s="1"/>
  <c r="AO650" i="2"/>
  <c r="AP650" i="2" s="1"/>
  <c r="X638" i="2"/>
  <c r="L638" i="16" s="1"/>
  <c r="AO638" i="2"/>
  <c r="AP638" i="2" s="1"/>
  <c r="AO626" i="2"/>
  <c r="X614" i="2"/>
  <c r="L614" i="16" s="1"/>
  <c r="AO614" i="2"/>
  <c r="AP614" i="2" s="1"/>
  <c r="X602" i="2"/>
  <c r="L602" i="16" s="1"/>
  <c r="AO602" i="2"/>
  <c r="AP602" i="2" s="1"/>
  <c r="X590" i="2"/>
  <c r="L590" i="16" s="1"/>
  <c r="AO590" i="2"/>
  <c r="AP590" i="2" s="1"/>
  <c r="AO578" i="2"/>
  <c r="AP578" i="2" s="1"/>
  <c r="AO566" i="2"/>
  <c r="AP566" i="2" s="1"/>
  <c r="X554" i="2"/>
  <c r="L554" i="16" s="1"/>
  <c r="AO554" i="2"/>
  <c r="AP554" i="2" s="1"/>
  <c r="X542" i="2"/>
  <c r="L542" i="16" s="1"/>
  <c r="AO542" i="2"/>
  <c r="X530" i="2"/>
  <c r="L530" i="16" s="1"/>
  <c r="AO530" i="2"/>
  <c r="AP530" i="2" s="1"/>
  <c r="X518" i="2"/>
  <c r="L518" i="16" s="1"/>
  <c r="AO518" i="2"/>
  <c r="X506" i="2"/>
  <c r="L506" i="16" s="1"/>
  <c r="AO506" i="2"/>
  <c r="AP506" i="2" s="1"/>
  <c r="X494" i="2"/>
  <c r="L494" i="16" s="1"/>
  <c r="AO494" i="2"/>
  <c r="AP494" i="2" s="1"/>
  <c r="X482" i="2"/>
  <c r="L482" i="16" s="1"/>
  <c r="AO482" i="2"/>
  <c r="AP482" i="2" s="1"/>
  <c r="X470" i="2"/>
  <c r="L470" i="16" s="1"/>
  <c r="AO470" i="2"/>
  <c r="AP470" i="2" s="1"/>
  <c r="X458" i="2"/>
  <c r="L458" i="16" s="1"/>
  <c r="AO458" i="2"/>
  <c r="AP458" i="2" s="1"/>
  <c r="X446" i="2"/>
  <c r="L446" i="16" s="1"/>
  <c r="AO446" i="2"/>
  <c r="AP446" i="2" s="1"/>
  <c r="X434" i="2"/>
  <c r="L434" i="16" s="1"/>
  <c r="AO434" i="2"/>
  <c r="AP434" i="2" s="1"/>
  <c r="X422" i="2"/>
  <c r="L422" i="16" s="1"/>
  <c r="AO422" i="2"/>
  <c r="AP422" i="2" s="1"/>
  <c r="X410" i="2"/>
  <c r="L410" i="16" s="1"/>
  <c r="AO410" i="2"/>
  <c r="AP410" i="2" s="1"/>
  <c r="X398" i="2"/>
  <c r="L398" i="16" s="1"/>
  <c r="AO398" i="2"/>
  <c r="AP398" i="2" s="1"/>
  <c r="X386" i="2"/>
  <c r="L386" i="16" s="1"/>
  <c r="AO386" i="2"/>
  <c r="AP386" i="2" s="1"/>
  <c r="X374" i="2"/>
  <c r="L374" i="16" s="1"/>
  <c r="AO374" i="2"/>
  <c r="AP374" i="2" s="1"/>
  <c r="X362" i="2"/>
  <c r="L362" i="16" s="1"/>
  <c r="AO362" i="2"/>
  <c r="AP362" i="2" s="1"/>
  <c r="X350" i="2"/>
  <c r="L350" i="16" s="1"/>
  <c r="AO350" i="2"/>
  <c r="AP350" i="2" s="1"/>
  <c r="X338" i="2"/>
  <c r="L338" i="16" s="1"/>
  <c r="AO338" i="2"/>
  <c r="AP338" i="2" s="1"/>
  <c r="X326" i="2"/>
  <c r="L326" i="16" s="1"/>
  <c r="AO326" i="2"/>
  <c r="AP326" i="2" s="1"/>
  <c r="X314" i="2"/>
  <c r="L314" i="16" s="1"/>
  <c r="AO314" i="2"/>
  <c r="X302" i="2"/>
  <c r="L302" i="16" s="1"/>
  <c r="AO302" i="2"/>
  <c r="X290" i="2"/>
  <c r="L290" i="16" s="1"/>
  <c r="AO290" i="2"/>
  <c r="AP290" i="2" s="1"/>
  <c r="AO278" i="2"/>
  <c r="AP278" i="2" s="1"/>
  <c r="X266" i="2"/>
  <c r="L266" i="16" s="1"/>
  <c r="AO266" i="2"/>
  <c r="AP266" i="2" s="1"/>
  <c r="X254" i="2"/>
  <c r="L254" i="16" s="1"/>
  <c r="AO254" i="2"/>
  <c r="AP254" i="2" s="1"/>
  <c r="X242" i="2"/>
  <c r="L242" i="16" s="1"/>
  <c r="AO242" i="2"/>
  <c r="AP242" i="2" s="1"/>
  <c r="AO230" i="2"/>
  <c r="AP230" i="2" s="1"/>
  <c r="X218" i="2"/>
  <c r="L218" i="16" s="1"/>
  <c r="AO218" i="2"/>
  <c r="AP218" i="2" s="1"/>
  <c r="X206" i="2"/>
  <c r="L206" i="16" s="1"/>
  <c r="AO206" i="2"/>
  <c r="AP206" i="2" s="1"/>
  <c r="X194" i="2"/>
  <c r="L194" i="16" s="1"/>
  <c r="AO194" i="2"/>
  <c r="AP194" i="2" s="1"/>
  <c r="X182" i="2"/>
  <c r="L182" i="16" s="1"/>
  <c r="AO182" i="2"/>
  <c r="AP182" i="2" s="1"/>
  <c r="AO170" i="2"/>
  <c r="AP170" i="2" s="1"/>
  <c r="X158" i="2"/>
  <c r="L158" i="16" s="1"/>
  <c r="AO158" i="2"/>
  <c r="AP158" i="2" s="1"/>
  <c r="X146" i="2"/>
  <c r="L146" i="16" s="1"/>
  <c r="AO146" i="2"/>
  <c r="AP146" i="2" s="1"/>
  <c r="X134" i="2"/>
  <c r="L134" i="16" s="1"/>
  <c r="AO134" i="2"/>
  <c r="X122" i="2"/>
  <c r="L122" i="16" s="1"/>
  <c r="AO122" i="2"/>
  <c r="AP122" i="2" s="1"/>
  <c r="X98" i="2"/>
  <c r="L98" i="16" s="1"/>
  <c r="AO98" i="2"/>
  <c r="AP98" i="2" s="1"/>
  <c r="X86" i="2"/>
  <c r="L86" i="16" s="1"/>
  <c r="AO86" i="2"/>
  <c r="AP86" i="2" s="1"/>
  <c r="X74" i="2"/>
  <c r="L74" i="16" s="1"/>
  <c r="AO74" i="2"/>
  <c r="AP74" i="2" s="1"/>
  <c r="X62" i="2"/>
  <c r="L62" i="16" s="1"/>
  <c r="AO62" i="2"/>
  <c r="AP62" i="2" s="1"/>
  <c r="X50" i="2"/>
  <c r="L50" i="16" s="1"/>
  <c r="AO50" i="2"/>
  <c r="AP50" i="2" s="1"/>
  <c r="X38" i="2"/>
  <c r="L38" i="16" s="1"/>
  <c r="AO38" i="2"/>
  <c r="AP38" i="2" s="1"/>
  <c r="X26" i="2"/>
  <c r="L26" i="16" s="1"/>
  <c r="AO26" i="2"/>
  <c r="AP26" i="2" s="1"/>
  <c r="X14" i="2"/>
  <c r="L14" i="16" s="1"/>
  <c r="AO14" i="2"/>
  <c r="AP14" i="2" s="1"/>
  <c r="AH1145" i="2"/>
  <c r="AH1028" i="2"/>
  <c r="AH1014" i="2"/>
  <c r="P1014" i="16" s="1"/>
  <c r="AH1001" i="2"/>
  <c r="P1001" i="16" s="1"/>
  <c r="AH940" i="2"/>
  <c r="P940" i="16" s="1"/>
  <c r="AH927" i="2"/>
  <c r="P927" i="16" s="1"/>
  <c r="AH870" i="2"/>
  <c r="P870" i="16" s="1"/>
  <c r="AI870" i="2"/>
  <c r="Q870" i="16" s="1"/>
  <c r="AH837" i="2"/>
  <c r="AH825" i="2"/>
  <c r="AH808" i="2"/>
  <c r="AH795" i="2"/>
  <c r="P795" i="16" s="1"/>
  <c r="AH768" i="2"/>
  <c r="P768" i="16" s="1"/>
  <c r="AH698" i="2"/>
  <c r="P698" i="16" s="1"/>
  <c r="AH685" i="2"/>
  <c r="AH658" i="2"/>
  <c r="P658" i="16" s="1"/>
  <c r="AI658" i="2"/>
  <c r="Q658" i="16" s="1"/>
  <c r="AH1158" i="2"/>
  <c r="P1158" i="16" s="1"/>
  <c r="AH1030" i="2"/>
  <c r="AH894" i="2"/>
  <c r="X805" i="2"/>
  <c r="L805" i="16" s="1"/>
  <c r="AO805" i="2"/>
  <c r="AP805" i="2" s="1"/>
  <c r="X793" i="2"/>
  <c r="L793" i="16" s="1"/>
  <c r="AO793" i="2"/>
  <c r="AP793" i="2" s="1"/>
  <c r="X781" i="2"/>
  <c r="L781" i="16" s="1"/>
  <c r="AO781" i="2"/>
  <c r="AP781" i="2" s="1"/>
  <c r="X769" i="2"/>
  <c r="L769" i="16" s="1"/>
  <c r="AO769" i="2"/>
  <c r="AP769" i="2" s="1"/>
  <c r="X757" i="2"/>
  <c r="L757" i="16" s="1"/>
  <c r="AO757" i="2"/>
  <c r="AP757" i="2" s="1"/>
  <c r="X745" i="2"/>
  <c r="L745" i="16" s="1"/>
  <c r="AO745" i="2"/>
  <c r="AP745" i="2" s="1"/>
  <c r="X733" i="2"/>
  <c r="L733" i="16" s="1"/>
  <c r="AO733" i="2"/>
  <c r="AP733" i="2" s="1"/>
  <c r="AO721" i="2"/>
  <c r="AP721" i="2" s="1"/>
  <c r="X709" i="2"/>
  <c r="L709" i="16" s="1"/>
  <c r="AO709" i="2"/>
  <c r="AP709" i="2" s="1"/>
  <c r="X697" i="2"/>
  <c r="L697" i="16" s="1"/>
  <c r="AO697" i="2"/>
  <c r="AP697" i="2" s="1"/>
  <c r="AO685" i="2"/>
  <c r="AP685" i="2" s="1"/>
  <c r="X673" i="2"/>
  <c r="L673" i="16" s="1"/>
  <c r="AO673" i="2"/>
  <c r="X661" i="2"/>
  <c r="L661" i="16" s="1"/>
  <c r="AO661" i="2"/>
  <c r="AP661" i="2" s="1"/>
  <c r="X649" i="2"/>
  <c r="L649" i="16" s="1"/>
  <c r="AO649" i="2"/>
  <c r="AP649" i="2" s="1"/>
  <c r="X637" i="2"/>
  <c r="L637" i="16" s="1"/>
  <c r="AO637" i="2"/>
  <c r="X625" i="2"/>
  <c r="L625" i="16" s="1"/>
  <c r="AO625" i="2"/>
  <c r="AP625" i="2" s="1"/>
  <c r="X613" i="2"/>
  <c r="L613" i="16" s="1"/>
  <c r="AO613" i="2"/>
  <c r="X601" i="2"/>
  <c r="L601" i="16" s="1"/>
  <c r="AO601" i="2"/>
  <c r="AP601" i="2" s="1"/>
  <c r="AO589" i="2"/>
  <c r="AP589" i="2" s="1"/>
  <c r="X577" i="2"/>
  <c r="L577" i="16" s="1"/>
  <c r="AO577" i="2"/>
  <c r="AP577" i="2" s="1"/>
  <c r="X565" i="2"/>
  <c r="L565" i="16" s="1"/>
  <c r="AO565" i="2"/>
  <c r="X553" i="2"/>
  <c r="L553" i="16" s="1"/>
  <c r="AO553" i="2"/>
  <c r="AP553" i="2" s="1"/>
  <c r="X541" i="2"/>
  <c r="L541" i="16" s="1"/>
  <c r="AO541" i="2"/>
  <c r="AP541" i="2" s="1"/>
  <c r="X529" i="2"/>
  <c r="L529" i="16" s="1"/>
  <c r="AO529" i="2"/>
  <c r="AP529" i="2" s="1"/>
  <c r="AO517" i="2"/>
  <c r="AP517" i="2" s="1"/>
  <c r="X505" i="2"/>
  <c r="L505" i="16" s="1"/>
  <c r="AO505" i="2"/>
  <c r="AP505" i="2" s="1"/>
  <c r="X493" i="2"/>
  <c r="L493" i="16" s="1"/>
  <c r="AO493" i="2"/>
  <c r="AP493" i="2" s="1"/>
  <c r="X481" i="2"/>
  <c r="L481" i="16" s="1"/>
  <c r="AO481" i="2"/>
  <c r="AP481" i="2" s="1"/>
  <c r="AO469" i="2"/>
  <c r="AP469" i="2" s="1"/>
  <c r="X457" i="2"/>
  <c r="L457" i="16" s="1"/>
  <c r="AO457" i="2"/>
  <c r="AP457" i="2" s="1"/>
  <c r="X445" i="2"/>
  <c r="L445" i="16" s="1"/>
  <c r="AO445" i="2"/>
  <c r="AP445" i="2" s="1"/>
  <c r="X433" i="2"/>
  <c r="L433" i="16" s="1"/>
  <c r="AO433" i="2"/>
  <c r="AP433" i="2" s="1"/>
  <c r="X421" i="2"/>
  <c r="L421" i="16" s="1"/>
  <c r="AO421" i="2"/>
  <c r="AP421" i="2" s="1"/>
  <c r="X409" i="2"/>
  <c r="L409" i="16" s="1"/>
  <c r="AO409" i="2"/>
  <c r="AP409" i="2" s="1"/>
  <c r="AO397" i="2"/>
  <c r="AP397" i="2" s="1"/>
  <c r="X385" i="2"/>
  <c r="L385" i="16" s="1"/>
  <c r="AO385" i="2"/>
  <c r="AP385" i="2" s="1"/>
  <c r="X373" i="2"/>
  <c r="L373" i="16" s="1"/>
  <c r="AO373" i="2"/>
  <c r="AP373" i="2" s="1"/>
  <c r="X361" i="2"/>
  <c r="L361" i="16" s="1"/>
  <c r="AO361" i="2"/>
  <c r="AP361" i="2" s="1"/>
  <c r="X349" i="2"/>
  <c r="L349" i="16" s="1"/>
  <c r="AO349" i="2"/>
  <c r="AP349" i="2" s="1"/>
  <c r="AO337" i="2"/>
  <c r="AP337" i="2" s="1"/>
  <c r="X325" i="2"/>
  <c r="L325" i="16" s="1"/>
  <c r="AO325" i="2"/>
  <c r="AP325" i="2" s="1"/>
  <c r="X313" i="2"/>
  <c r="L313" i="16" s="1"/>
  <c r="AO313" i="2"/>
  <c r="AP313" i="2" s="1"/>
  <c r="X301" i="2"/>
  <c r="L301" i="16" s="1"/>
  <c r="AO301" i="2"/>
  <c r="AP301" i="2" s="1"/>
  <c r="AO289" i="2"/>
  <c r="AP289" i="2" s="1"/>
  <c r="X277" i="2"/>
  <c r="L277" i="16" s="1"/>
  <c r="AO277" i="2"/>
  <c r="AP277" i="2" s="1"/>
  <c r="X265" i="2"/>
  <c r="L265" i="16" s="1"/>
  <c r="AO265" i="2"/>
  <c r="AP265" i="2" s="1"/>
  <c r="X253" i="2"/>
  <c r="L253" i="16" s="1"/>
  <c r="AO253" i="2"/>
  <c r="AP253" i="2" s="1"/>
  <c r="X241" i="2"/>
  <c r="L241" i="16" s="1"/>
  <c r="AO241" i="2"/>
  <c r="AP241" i="2" s="1"/>
  <c r="AO229" i="2"/>
  <c r="AP229" i="2" s="1"/>
  <c r="X217" i="2"/>
  <c r="L217" i="16" s="1"/>
  <c r="AO217" i="2"/>
  <c r="AP217" i="2" s="1"/>
  <c r="X205" i="2"/>
  <c r="L205" i="16" s="1"/>
  <c r="AO205" i="2"/>
  <c r="AP205" i="2" s="1"/>
  <c r="X193" i="2"/>
  <c r="L193" i="16" s="1"/>
  <c r="AO193" i="2"/>
  <c r="AP193" i="2" s="1"/>
  <c r="X181" i="2"/>
  <c r="L181" i="16" s="1"/>
  <c r="AO181" i="2"/>
  <c r="AP181" i="2" s="1"/>
  <c r="X169" i="2"/>
  <c r="L169" i="16" s="1"/>
  <c r="AO169" i="2"/>
  <c r="AP169" i="2" s="1"/>
  <c r="X157" i="2"/>
  <c r="L157" i="16" s="1"/>
  <c r="AO157" i="2"/>
  <c r="AP157" i="2" s="1"/>
  <c r="X145" i="2"/>
  <c r="L145" i="16" s="1"/>
  <c r="AO145" i="2"/>
  <c r="AP145" i="2" s="1"/>
  <c r="X133" i="2"/>
  <c r="L133" i="16" s="1"/>
  <c r="AO133" i="2"/>
  <c r="X121" i="2"/>
  <c r="L121" i="16" s="1"/>
  <c r="AO121" i="2"/>
  <c r="AP121" i="2" s="1"/>
  <c r="X109" i="2"/>
  <c r="L109" i="16" s="1"/>
  <c r="AO109" i="2"/>
  <c r="AP109" i="2" s="1"/>
  <c r="X97" i="2"/>
  <c r="L97" i="16" s="1"/>
  <c r="AO97" i="2"/>
  <c r="AP97" i="2" s="1"/>
  <c r="X85" i="2"/>
  <c r="L85" i="16" s="1"/>
  <c r="AO85" i="2"/>
  <c r="AP85" i="2" s="1"/>
  <c r="X73" i="2"/>
  <c r="L73" i="16" s="1"/>
  <c r="AO73" i="2"/>
  <c r="AP73" i="2" s="1"/>
  <c r="X61" i="2"/>
  <c r="L61" i="16" s="1"/>
  <c r="AO61" i="2"/>
  <c r="AP61" i="2" s="1"/>
  <c r="AO49" i="2"/>
  <c r="AP49" i="2" s="1"/>
  <c r="X37" i="2"/>
  <c r="L37" i="16" s="1"/>
  <c r="AO37" i="2"/>
  <c r="AP37" i="2" s="1"/>
  <c r="X25" i="2"/>
  <c r="L25" i="16" s="1"/>
  <c r="AO25" i="2"/>
  <c r="AP25" i="2" s="1"/>
  <c r="X13" i="2"/>
  <c r="L13" i="16" s="1"/>
  <c r="AO13" i="2"/>
  <c r="AP13" i="2" s="1"/>
  <c r="AH1200" i="2"/>
  <c r="P1200" i="16" s="1"/>
  <c r="AH1185" i="2"/>
  <c r="P1185" i="16" s="1"/>
  <c r="AH1085" i="2"/>
  <c r="P1085" i="16" s="1"/>
  <c r="AH1069" i="2"/>
  <c r="AH1054" i="2"/>
  <c r="P1054" i="16" s="1"/>
  <c r="AI1054" i="2"/>
  <c r="Q1054" i="16" s="1"/>
  <c r="AH1040" i="2"/>
  <c r="P1040" i="16" s="1"/>
  <c r="AI1040" i="2"/>
  <c r="AH1013" i="2"/>
  <c r="P1013" i="16" s="1"/>
  <c r="AH1000" i="2"/>
  <c r="P1000" i="16" s="1"/>
  <c r="AH836" i="2"/>
  <c r="P836" i="16" s="1"/>
  <c r="AH824" i="2"/>
  <c r="P824" i="16" s="1"/>
  <c r="AH794" i="2"/>
  <c r="P794" i="16" s="1"/>
  <c r="AH781" i="2"/>
  <c r="AH726" i="2"/>
  <c r="P726" i="16" s="1"/>
  <c r="AH713" i="2"/>
  <c r="P713" i="16" s="1"/>
  <c r="AH697" i="2"/>
  <c r="P697" i="16" s="1"/>
  <c r="AI697" i="2"/>
  <c r="Q697" i="16" s="1"/>
  <c r="AH657" i="2"/>
  <c r="P657" i="16" s="1"/>
  <c r="AI657" i="2"/>
  <c r="Q657" i="16" s="1"/>
  <c r="AH1204" i="2"/>
  <c r="AI1204" i="2" s="1"/>
  <c r="Q1204" i="16" s="1"/>
  <c r="AH1027" i="2"/>
  <c r="AH985" i="2"/>
  <c r="AH889" i="2"/>
  <c r="X936" i="2"/>
  <c r="L936" i="16" s="1"/>
  <c r="AO936" i="2"/>
  <c r="AP936" i="2" s="1"/>
  <c r="AO924" i="2"/>
  <c r="AP924" i="2" s="1"/>
  <c r="AO912" i="2"/>
  <c r="AP912" i="2" s="1"/>
  <c r="X900" i="2"/>
  <c r="L900" i="16" s="1"/>
  <c r="AO900" i="2"/>
  <c r="AP900" i="2" s="1"/>
  <c r="X888" i="2"/>
  <c r="L888" i="16" s="1"/>
  <c r="AO888" i="2"/>
  <c r="AP888" i="2" s="1"/>
  <c r="AO876" i="2"/>
  <c r="AP876" i="2" s="1"/>
  <c r="AO864" i="2"/>
  <c r="AP864" i="2" s="1"/>
  <c r="X852" i="2"/>
  <c r="L852" i="16" s="1"/>
  <c r="AO852" i="2"/>
  <c r="AP852" i="2" s="1"/>
  <c r="AO840" i="2"/>
  <c r="AP840" i="2" s="1"/>
  <c r="AO828" i="2"/>
  <c r="AP828" i="2" s="1"/>
  <c r="AO816" i="2"/>
  <c r="AP816" i="2" s="1"/>
  <c r="X804" i="2"/>
  <c r="L804" i="16" s="1"/>
  <c r="AO804" i="2"/>
  <c r="AP804" i="2" s="1"/>
  <c r="X792" i="2"/>
  <c r="L792" i="16" s="1"/>
  <c r="AO792" i="2"/>
  <c r="AO780" i="2"/>
  <c r="AP780" i="2" s="1"/>
  <c r="X768" i="2"/>
  <c r="L768" i="16" s="1"/>
  <c r="AO768" i="2"/>
  <c r="AP768" i="2" s="1"/>
  <c r="X756" i="2"/>
  <c r="L756" i="16" s="1"/>
  <c r="AO756" i="2"/>
  <c r="AP756" i="2" s="1"/>
  <c r="AO744" i="2"/>
  <c r="X732" i="2"/>
  <c r="L732" i="16" s="1"/>
  <c r="AO732" i="2"/>
  <c r="AP732" i="2" s="1"/>
  <c r="X720" i="2"/>
  <c r="L720" i="16" s="1"/>
  <c r="AO720" i="2"/>
  <c r="AP720" i="2" s="1"/>
  <c r="X708" i="2"/>
  <c r="L708" i="16" s="1"/>
  <c r="AO708" i="2"/>
  <c r="AP708" i="2" s="1"/>
  <c r="X696" i="2"/>
  <c r="L696" i="16" s="1"/>
  <c r="AO696" i="2"/>
  <c r="AP696" i="2" s="1"/>
  <c r="X684" i="2"/>
  <c r="L684" i="16" s="1"/>
  <c r="AO684" i="2"/>
  <c r="AP684" i="2" s="1"/>
  <c r="X672" i="2"/>
  <c r="L672" i="16" s="1"/>
  <c r="AO672" i="2"/>
  <c r="AP672" i="2" s="1"/>
  <c r="X660" i="2"/>
  <c r="L660" i="16" s="1"/>
  <c r="AO660" i="2"/>
  <c r="AP660" i="2" s="1"/>
  <c r="AO648" i="2"/>
  <c r="AP648" i="2" s="1"/>
  <c r="X636" i="2"/>
  <c r="L636" i="16" s="1"/>
  <c r="AO636" i="2"/>
  <c r="AP636" i="2" s="1"/>
  <c r="X624" i="2"/>
  <c r="L624" i="16" s="1"/>
  <c r="AO624" i="2"/>
  <c r="AP624" i="2" s="1"/>
  <c r="X612" i="2"/>
  <c r="L612" i="16" s="1"/>
  <c r="AO612" i="2"/>
  <c r="AP612" i="2" s="1"/>
  <c r="X600" i="2"/>
  <c r="L600" i="16" s="1"/>
  <c r="AO600" i="2"/>
  <c r="AP600" i="2" s="1"/>
  <c r="X588" i="2"/>
  <c r="L588" i="16" s="1"/>
  <c r="AO588" i="2"/>
  <c r="AP588" i="2" s="1"/>
  <c r="X576" i="2"/>
  <c r="L576" i="16" s="1"/>
  <c r="AO576" i="2"/>
  <c r="AP576" i="2" s="1"/>
  <c r="X564" i="2"/>
  <c r="L564" i="16" s="1"/>
  <c r="AO564" i="2"/>
  <c r="AP564" i="2" s="1"/>
  <c r="X552" i="2"/>
  <c r="L552" i="16" s="1"/>
  <c r="AO552" i="2"/>
  <c r="AP552" i="2" s="1"/>
  <c r="X540" i="2"/>
  <c r="L540" i="16" s="1"/>
  <c r="AO540" i="2"/>
  <c r="AP540" i="2" s="1"/>
  <c r="X528" i="2"/>
  <c r="L528" i="16" s="1"/>
  <c r="AO528" i="2"/>
  <c r="AP528" i="2" s="1"/>
  <c r="AO516" i="2"/>
  <c r="AP516" i="2" s="1"/>
  <c r="X504" i="2"/>
  <c r="L504" i="16" s="1"/>
  <c r="AO504" i="2"/>
  <c r="AP504" i="2" s="1"/>
  <c r="X492" i="2"/>
  <c r="L492" i="16" s="1"/>
  <c r="AO492" i="2"/>
  <c r="AP492" i="2" s="1"/>
  <c r="AO480" i="2"/>
  <c r="AO468" i="2"/>
  <c r="AP468" i="2" s="1"/>
  <c r="X456" i="2"/>
  <c r="L456" i="16" s="1"/>
  <c r="AO456" i="2"/>
  <c r="AP456" i="2" s="1"/>
  <c r="X444" i="2"/>
  <c r="L444" i="16" s="1"/>
  <c r="AO444" i="2"/>
  <c r="AP444" i="2" s="1"/>
  <c r="X432" i="2"/>
  <c r="L432" i="16" s="1"/>
  <c r="AO432" i="2"/>
  <c r="AP432" i="2" s="1"/>
  <c r="X420" i="2"/>
  <c r="L420" i="16" s="1"/>
  <c r="AO420" i="2"/>
  <c r="AP420" i="2" s="1"/>
  <c r="X408" i="2"/>
  <c r="L408" i="16" s="1"/>
  <c r="AO408" i="2"/>
  <c r="AP408" i="2" s="1"/>
  <c r="AO396" i="2"/>
  <c r="AP396" i="2" s="1"/>
  <c r="X384" i="2"/>
  <c r="L384" i="16" s="1"/>
  <c r="AO384" i="2"/>
  <c r="AP384" i="2" s="1"/>
  <c r="X372" i="2"/>
  <c r="L372" i="16" s="1"/>
  <c r="AO372" i="2"/>
  <c r="AP372" i="2" s="1"/>
  <c r="X360" i="2"/>
  <c r="L360" i="16" s="1"/>
  <c r="AO360" i="2"/>
  <c r="AP360" i="2" s="1"/>
  <c r="X348" i="2"/>
  <c r="L348" i="16" s="1"/>
  <c r="AO348" i="2"/>
  <c r="AP348" i="2" s="1"/>
  <c r="X336" i="2"/>
  <c r="L336" i="16" s="1"/>
  <c r="AO336" i="2"/>
  <c r="AP336" i="2" s="1"/>
  <c r="X324" i="2"/>
  <c r="L324" i="16" s="1"/>
  <c r="AO324" i="2"/>
  <c r="AP324" i="2" s="1"/>
  <c r="X312" i="2"/>
  <c r="L312" i="16" s="1"/>
  <c r="AO312" i="2"/>
  <c r="AP312" i="2" s="1"/>
  <c r="X300" i="2"/>
  <c r="L300" i="16" s="1"/>
  <c r="AO300" i="2"/>
  <c r="AP300" i="2" s="1"/>
  <c r="X288" i="2"/>
  <c r="L288" i="16" s="1"/>
  <c r="AO288" i="2"/>
  <c r="AP288" i="2" s="1"/>
  <c r="X276" i="2"/>
  <c r="L276" i="16" s="1"/>
  <c r="AO276" i="2"/>
  <c r="AP276" i="2" s="1"/>
  <c r="X264" i="2"/>
  <c r="L264" i="16" s="1"/>
  <c r="AO264" i="2"/>
  <c r="AP264" i="2" s="1"/>
  <c r="X252" i="2"/>
  <c r="L252" i="16" s="1"/>
  <c r="AO252" i="2"/>
  <c r="AP252" i="2" s="1"/>
  <c r="X240" i="2"/>
  <c r="L240" i="16" s="1"/>
  <c r="AO240" i="2"/>
  <c r="AP240" i="2" s="1"/>
  <c r="X228" i="2"/>
  <c r="L228" i="16" s="1"/>
  <c r="AO228" i="2"/>
  <c r="AP228" i="2" s="1"/>
  <c r="X216" i="2"/>
  <c r="L216" i="16" s="1"/>
  <c r="AO216" i="2"/>
  <c r="AP216" i="2" s="1"/>
  <c r="X204" i="2"/>
  <c r="L204" i="16" s="1"/>
  <c r="AO204" i="2"/>
  <c r="AP204" i="2" s="1"/>
  <c r="X192" i="2"/>
  <c r="L192" i="16" s="1"/>
  <c r="AO192" i="2"/>
  <c r="AP192" i="2" s="1"/>
  <c r="X180" i="2"/>
  <c r="L180" i="16" s="1"/>
  <c r="AO180" i="2"/>
  <c r="AP180" i="2" s="1"/>
  <c r="X168" i="2"/>
  <c r="L168" i="16" s="1"/>
  <c r="AO168" i="2"/>
  <c r="AP168" i="2" s="1"/>
  <c r="AO156" i="2"/>
  <c r="AP156" i="2" s="1"/>
  <c r="X144" i="2"/>
  <c r="L144" i="16" s="1"/>
  <c r="AO144" i="2"/>
  <c r="AP144" i="2" s="1"/>
  <c r="X132" i="2"/>
  <c r="L132" i="16" s="1"/>
  <c r="AO132" i="2"/>
  <c r="X120" i="2"/>
  <c r="L120" i="16" s="1"/>
  <c r="AO120" i="2"/>
  <c r="AP120" i="2" s="1"/>
  <c r="X108" i="2"/>
  <c r="L108" i="16" s="1"/>
  <c r="AO108" i="2"/>
  <c r="AP108" i="2" s="1"/>
  <c r="X96" i="2"/>
  <c r="L96" i="16" s="1"/>
  <c r="AO96" i="2"/>
  <c r="AP96" i="2" s="1"/>
  <c r="X84" i="2"/>
  <c r="L84" i="16" s="1"/>
  <c r="AO84" i="2"/>
  <c r="AP84" i="2" s="1"/>
  <c r="X72" i="2"/>
  <c r="L72" i="16" s="1"/>
  <c r="AO72" i="2"/>
  <c r="AP72" i="2" s="1"/>
  <c r="X60" i="2"/>
  <c r="L60" i="16" s="1"/>
  <c r="AO60" i="2"/>
  <c r="AP60" i="2" s="1"/>
  <c r="X48" i="2"/>
  <c r="L48" i="16" s="1"/>
  <c r="AO48" i="2"/>
  <c r="AP48" i="2" s="1"/>
  <c r="X36" i="2"/>
  <c r="L36" i="16" s="1"/>
  <c r="AO36" i="2"/>
  <c r="AP36" i="2" s="1"/>
  <c r="X24" i="2"/>
  <c r="L24" i="16" s="1"/>
  <c r="AO24" i="2"/>
  <c r="AP24" i="2" s="1"/>
  <c r="X12" i="2"/>
  <c r="L12" i="16" s="1"/>
  <c r="AO12" i="2"/>
  <c r="AP12" i="2" s="1"/>
  <c r="AH1199" i="2"/>
  <c r="AH1067" i="2"/>
  <c r="AH999" i="2"/>
  <c r="P999" i="16" s="1"/>
  <c r="AH969" i="2"/>
  <c r="P969" i="16" s="1"/>
  <c r="AH953" i="2"/>
  <c r="P953" i="16" s="1"/>
  <c r="AH911" i="2"/>
  <c r="P911" i="16" s="1"/>
  <c r="AH835" i="2"/>
  <c r="P835" i="16" s="1"/>
  <c r="AI823" i="2"/>
  <c r="AH793" i="2"/>
  <c r="AI780" i="2"/>
  <c r="Q780" i="16" s="1"/>
  <c r="AH780" i="2"/>
  <c r="P780" i="16" s="1"/>
  <c r="AH752" i="2"/>
  <c r="P752" i="16" s="1"/>
  <c r="AI752" i="2"/>
  <c r="Q752" i="16" s="1"/>
  <c r="AH711" i="2"/>
  <c r="P711" i="16" s="1"/>
  <c r="AH669" i="2"/>
  <c r="AH656" i="2"/>
  <c r="P656" i="16" s="1"/>
  <c r="AH642" i="2"/>
  <c r="P642" i="16" s="1"/>
  <c r="AI642" i="2"/>
  <c r="Q642" i="16" s="1"/>
  <c r="AH548" i="2"/>
  <c r="AH503" i="2"/>
  <c r="P503" i="16" s="1"/>
  <c r="AH490" i="2"/>
  <c r="P490" i="16" s="1"/>
  <c r="AH472" i="2"/>
  <c r="P472" i="16" s="1"/>
  <c r="AI472" i="2"/>
  <c r="Q472" i="16" s="1"/>
  <c r="AH444" i="2"/>
  <c r="P444" i="16" s="1"/>
  <c r="AH430" i="2"/>
  <c r="AH418" i="2"/>
  <c r="P418" i="16" s="1"/>
  <c r="AI418" i="2"/>
  <c r="Q418" i="16" s="1"/>
  <c r="AH392" i="2"/>
  <c r="P392" i="16" s="1"/>
  <c r="AI392" i="2"/>
  <c r="Q392" i="16" s="1"/>
  <c r="AI364" i="2"/>
  <c r="Q364" i="16" s="1"/>
  <c r="AH364" i="2"/>
  <c r="P364" i="16" s="1"/>
  <c r="AH351" i="2"/>
  <c r="P351" i="16" s="1"/>
  <c r="AH337" i="2"/>
  <c r="P337" i="16" s="1"/>
  <c r="AI321" i="2"/>
  <c r="Q321" i="16" s="1"/>
  <c r="AH321" i="2"/>
  <c r="P321" i="16" s="1"/>
  <c r="AI307" i="2"/>
  <c r="AI293" i="2"/>
  <c r="Q293" i="16" s="1"/>
  <c r="AH293" i="2"/>
  <c r="P293" i="16" s="1"/>
  <c r="AH280" i="2"/>
  <c r="AH253" i="2"/>
  <c r="AH240" i="2"/>
  <c r="AH226" i="2"/>
  <c r="AH213" i="2"/>
  <c r="AH201" i="2"/>
  <c r="AH189" i="2"/>
  <c r="AH164" i="2"/>
  <c r="AH151" i="2"/>
  <c r="AH112" i="2"/>
  <c r="AI88" i="2"/>
  <c r="Q88" i="16" s="1"/>
  <c r="AH88" i="2"/>
  <c r="P88" i="16" s="1"/>
  <c r="AH51" i="2"/>
  <c r="AH38" i="2"/>
  <c r="P38" i="16" s="1"/>
  <c r="AI38" i="2"/>
  <c r="Q38" i="16" s="1"/>
  <c r="AH14" i="2"/>
  <c r="P14" i="16" s="1"/>
  <c r="AH1075" i="2"/>
  <c r="AI1075" i="2" s="1"/>
  <c r="Q1075" i="16" s="1"/>
  <c r="AH932" i="2"/>
  <c r="P932" i="16" s="1"/>
  <c r="AH755" i="2"/>
  <c r="AH557" i="2"/>
  <c r="AI405" i="2"/>
  <c r="AH261" i="2"/>
  <c r="AO827" i="2"/>
  <c r="AP827" i="2" s="1"/>
  <c r="AO815" i="2"/>
  <c r="X803" i="2"/>
  <c r="L803" i="16" s="1"/>
  <c r="AO803" i="2"/>
  <c r="AP803" i="2" s="1"/>
  <c r="X791" i="2"/>
  <c r="L791" i="16" s="1"/>
  <c r="AO791" i="2"/>
  <c r="X779" i="2"/>
  <c r="L779" i="16" s="1"/>
  <c r="AO779" i="2"/>
  <c r="AP779" i="2" s="1"/>
  <c r="AO767" i="2"/>
  <c r="X755" i="2"/>
  <c r="L755" i="16" s="1"/>
  <c r="AO755" i="2"/>
  <c r="AP755" i="2" s="1"/>
  <c r="AO743" i="2"/>
  <c r="X731" i="2"/>
  <c r="L731" i="16" s="1"/>
  <c r="AO731" i="2"/>
  <c r="AP731" i="2" s="1"/>
  <c r="X719" i="2"/>
  <c r="L719" i="16" s="1"/>
  <c r="AO719" i="2"/>
  <c r="AP719" i="2" s="1"/>
  <c r="X707" i="2"/>
  <c r="L707" i="16" s="1"/>
  <c r="AO707" i="2"/>
  <c r="AP707" i="2" s="1"/>
  <c r="X695" i="2"/>
  <c r="L695" i="16" s="1"/>
  <c r="AO695" i="2"/>
  <c r="AP695" i="2" s="1"/>
  <c r="AO683" i="2"/>
  <c r="AP683" i="2" s="1"/>
  <c r="X671" i="2"/>
  <c r="L671" i="16" s="1"/>
  <c r="AO671" i="2"/>
  <c r="AP671" i="2" s="1"/>
  <c r="X659" i="2"/>
  <c r="L659" i="16" s="1"/>
  <c r="AO659" i="2"/>
  <c r="AP659" i="2" s="1"/>
  <c r="X647" i="2"/>
  <c r="L647" i="16" s="1"/>
  <c r="AO647" i="2"/>
  <c r="AP647" i="2" s="1"/>
  <c r="X635" i="2"/>
  <c r="L635" i="16" s="1"/>
  <c r="AO635" i="2"/>
  <c r="AP635" i="2" s="1"/>
  <c r="X623" i="2"/>
  <c r="L623" i="16" s="1"/>
  <c r="AO623" i="2"/>
  <c r="AP623" i="2" s="1"/>
  <c r="AO611" i="2"/>
  <c r="AP611" i="2" s="1"/>
  <c r="X599" i="2"/>
  <c r="L599" i="16" s="1"/>
  <c r="AO599" i="2"/>
  <c r="AP599" i="2" s="1"/>
  <c r="X587" i="2"/>
  <c r="L587" i="16" s="1"/>
  <c r="AO587" i="2"/>
  <c r="AP587" i="2" s="1"/>
  <c r="X575" i="2"/>
  <c r="L575" i="16" s="1"/>
  <c r="AO575" i="2"/>
  <c r="AP575" i="2" s="1"/>
  <c r="X563" i="2"/>
  <c r="L563" i="16" s="1"/>
  <c r="AO563" i="2"/>
  <c r="AP563" i="2" s="1"/>
  <c r="X551" i="2"/>
  <c r="L551" i="16" s="1"/>
  <c r="AO551" i="2"/>
  <c r="AP551" i="2" s="1"/>
  <c r="X539" i="2"/>
  <c r="L539" i="16" s="1"/>
  <c r="AO539" i="2"/>
  <c r="AP539" i="2" s="1"/>
  <c r="AO527" i="2"/>
  <c r="AP527" i="2" s="1"/>
  <c r="X515" i="2"/>
  <c r="L515" i="16" s="1"/>
  <c r="AO515" i="2"/>
  <c r="AP515" i="2" s="1"/>
  <c r="X503" i="2"/>
  <c r="L503" i="16" s="1"/>
  <c r="AO503" i="2"/>
  <c r="AP503" i="2" s="1"/>
  <c r="X491" i="2"/>
  <c r="L491" i="16" s="1"/>
  <c r="AO491" i="2"/>
  <c r="AP491" i="2" s="1"/>
  <c r="X479" i="2"/>
  <c r="L479" i="16" s="1"/>
  <c r="AO479" i="2"/>
  <c r="AP479" i="2" s="1"/>
  <c r="X467" i="2"/>
  <c r="L467" i="16" s="1"/>
  <c r="AO467" i="2"/>
  <c r="AP467" i="2" s="1"/>
  <c r="X455" i="2"/>
  <c r="L455" i="16" s="1"/>
  <c r="AO455" i="2"/>
  <c r="AP455" i="2" s="1"/>
  <c r="X443" i="2"/>
  <c r="L443" i="16" s="1"/>
  <c r="AO443" i="2"/>
  <c r="AP443" i="2" s="1"/>
  <c r="X431" i="2"/>
  <c r="L431" i="16" s="1"/>
  <c r="AO431" i="2"/>
  <c r="AP431" i="2" s="1"/>
  <c r="X419" i="2"/>
  <c r="L419" i="16" s="1"/>
  <c r="AO419" i="2"/>
  <c r="AP419" i="2" s="1"/>
  <c r="X407" i="2"/>
  <c r="L407" i="16" s="1"/>
  <c r="AO407" i="2"/>
  <c r="X395" i="2"/>
  <c r="L395" i="16" s="1"/>
  <c r="AO395" i="2"/>
  <c r="AP395" i="2" s="1"/>
  <c r="X383" i="2"/>
  <c r="L383" i="16" s="1"/>
  <c r="AO383" i="2"/>
  <c r="AP383" i="2" s="1"/>
  <c r="X371" i="2"/>
  <c r="L371" i="16" s="1"/>
  <c r="AO371" i="2"/>
  <c r="AP371" i="2" s="1"/>
  <c r="X359" i="2"/>
  <c r="L359" i="16" s="1"/>
  <c r="AO359" i="2"/>
  <c r="AP359" i="2" s="1"/>
  <c r="X347" i="2"/>
  <c r="L347" i="16" s="1"/>
  <c r="AO347" i="2"/>
  <c r="AP347" i="2" s="1"/>
  <c r="X335" i="2"/>
  <c r="L335" i="16" s="1"/>
  <c r="AO335" i="2"/>
  <c r="AP335" i="2" s="1"/>
  <c r="X323" i="2"/>
  <c r="L323" i="16" s="1"/>
  <c r="AO323" i="2"/>
  <c r="X311" i="2"/>
  <c r="L311" i="16" s="1"/>
  <c r="AO311" i="2"/>
  <c r="AP311" i="2" s="1"/>
  <c r="X299" i="2"/>
  <c r="L299" i="16" s="1"/>
  <c r="AO299" i="2"/>
  <c r="AP299" i="2" s="1"/>
  <c r="X287" i="2"/>
  <c r="L287" i="16" s="1"/>
  <c r="AO287" i="2"/>
  <c r="AP287" i="2" s="1"/>
  <c r="X275" i="2"/>
  <c r="L275" i="16" s="1"/>
  <c r="AO275" i="2"/>
  <c r="AP275" i="2" s="1"/>
  <c r="X263" i="2"/>
  <c r="L263" i="16" s="1"/>
  <c r="AO263" i="2"/>
  <c r="AP263" i="2" s="1"/>
  <c r="X251" i="2"/>
  <c r="L251" i="16" s="1"/>
  <c r="AO251" i="2"/>
  <c r="AP251" i="2" s="1"/>
  <c r="X239" i="2"/>
  <c r="L239" i="16" s="1"/>
  <c r="AO239" i="2"/>
  <c r="AP239" i="2" s="1"/>
  <c r="X227" i="2"/>
  <c r="L227" i="16" s="1"/>
  <c r="AO227" i="2"/>
  <c r="AP227" i="2" s="1"/>
  <c r="X215" i="2"/>
  <c r="L215" i="16" s="1"/>
  <c r="AO215" i="2"/>
  <c r="AP215" i="2" s="1"/>
  <c r="X203" i="2"/>
  <c r="L203" i="16" s="1"/>
  <c r="AO203" i="2"/>
  <c r="AP203" i="2" s="1"/>
  <c r="X191" i="2"/>
  <c r="L191" i="16" s="1"/>
  <c r="AO191" i="2"/>
  <c r="AP191" i="2" s="1"/>
  <c r="X179" i="2"/>
  <c r="L179" i="16" s="1"/>
  <c r="AO179" i="2"/>
  <c r="AP179" i="2" s="1"/>
  <c r="X167" i="2"/>
  <c r="L167" i="16" s="1"/>
  <c r="AO167" i="2"/>
  <c r="AP167" i="2" s="1"/>
  <c r="X155" i="2"/>
  <c r="L155" i="16" s="1"/>
  <c r="AO155" i="2"/>
  <c r="AP155" i="2" s="1"/>
  <c r="X143" i="2"/>
  <c r="L143" i="16" s="1"/>
  <c r="AO143" i="2"/>
  <c r="AP143" i="2" s="1"/>
  <c r="X131" i="2"/>
  <c r="L131" i="16" s="1"/>
  <c r="AO131" i="2"/>
  <c r="AP131" i="2" s="1"/>
  <c r="X119" i="2"/>
  <c r="L119" i="16" s="1"/>
  <c r="AO119" i="2"/>
  <c r="AP119" i="2" s="1"/>
  <c r="X107" i="2"/>
  <c r="L107" i="16" s="1"/>
  <c r="AO107" i="2"/>
  <c r="AP107" i="2" s="1"/>
  <c r="X95" i="2"/>
  <c r="L95" i="16" s="1"/>
  <c r="AO95" i="2"/>
  <c r="AP95" i="2" s="1"/>
  <c r="X83" i="2"/>
  <c r="L83" i="16" s="1"/>
  <c r="AO83" i="2"/>
  <c r="AP83" i="2" s="1"/>
  <c r="X71" i="2"/>
  <c r="L71" i="16" s="1"/>
  <c r="AO71" i="2"/>
  <c r="AP71" i="2" s="1"/>
  <c r="X59" i="2"/>
  <c r="L59" i="16" s="1"/>
  <c r="AO59" i="2"/>
  <c r="AP59" i="2" s="1"/>
  <c r="X47" i="2"/>
  <c r="L47" i="16" s="1"/>
  <c r="AO47" i="2"/>
  <c r="AP47" i="2" s="1"/>
  <c r="X35" i="2"/>
  <c r="L35" i="16" s="1"/>
  <c r="AO35" i="2"/>
  <c r="AP35" i="2" s="1"/>
  <c r="X23" i="2"/>
  <c r="L23" i="16" s="1"/>
  <c r="AO23" i="2"/>
  <c r="X11" i="2"/>
  <c r="L11" i="16" s="1"/>
  <c r="AO11" i="2"/>
  <c r="AP11" i="2" s="1"/>
  <c r="AH1198" i="2"/>
  <c r="AH1183" i="2"/>
  <c r="AH1170" i="2"/>
  <c r="P1170" i="16" s="1"/>
  <c r="AH1129" i="2"/>
  <c r="P1129" i="16" s="1"/>
  <c r="AH1100" i="2"/>
  <c r="P1100" i="16" s="1"/>
  <c r="AI1100" i="2"/>
  <c r="Q1100" i="16" s="1"/>
  <c r="AH1010" i="2"/>
  <c r="P1010" i="16" s="1"/>
  <c r="AH881" i="2"/>
  <c r="AI850" i="2"/>
  <c r="AI834" i="2"/>
  <c r="AH805" i="2"/>
  <c r="P805" i="16" s="1"/>
  <c r="AH764" i="2"/>
  <c r="AH737" i="2"/>
  <c r="P737" i="16" s="1"/>
  <c r="AI695" i="2"/>
  <c r="AH668" i="2"/>
  <c r="AH532" i="2"/>
  <c r="P532" i="16" s="1"/>
  <c r="AI532" i="2"/>
  <c r="Q532" i="16" s="1"/>
  <c r="AI502" i="2"/>
  <c r="AH489" i="2"/>
  <c r="AH458" i="2"/>
  <c r="AH443" i="2"/>
  <c r="P443" i="16" s="1"/>
  <c r="AH429" i="2"/>
  <c r="AH417" i="2"/>
  <c r="AI404" i="2"/>
  <c r="AH378" i="2"/>
  <c r="AH349" i="2"/>
  <c r="P349" i="16" s="1"/>
  <c r="AH336" i="2"/>
  <c r="P336" i="16" s="1"/>
  <c r="AI336" i="2"/>
  <c r="Q336" i="16" s="1"/>
  <c r="AH292" i="2"/>
  <c r="AH279" i="2"/>
  <c r="P279" i="16" s="1"/>
  <c r="AH265" i="2"/>
  <c r="AH252" i="2"/>
  <c r="AH239" i="2"/>
  <c r="AH225" i="2"/>
  <c r="P225" i="16" s="1"/>
  <c r="AI225" i="2"/>
  <c r="Q225" i="16" s="1"/>
  <c r="AH212" i="2"/>
  <c r="AH200" i="2"/>
  <c r="P200" i="16" s="1"/>
  <c r="AI200" i="2"/>
  <c r="Q200" i="16" s="1"/>
  <c r="AH188" i="2"/>
  <c r="P188" i="16" s="1"/>
  <c r="AI188" i="2"/>
  <c r="Q188" i="16" s="1"/>
  <c r="AH175" i="2"/>
  <c r="P175" i="16" s="1"/>
  <c r="AI175" i="2"/>
  <c r="Q175" i="16" s="1"/>
  <c r="AH150" i="2"/>
  <c r="AH125" i="2"/>
  <c r="P125" i="16" s="1"/>
  <c r="AH99" i="2"/>
  <c r="AH87" i="2"/>
  <c r="AH63" i="2"/>
  <c r="AH50" i="2"/>
  <c r="P50" i="16" s="1"/>
  <c r="AH37" i="2"/>
  <c r="AH25" i="2"/>
  <c r="AH13" i="2"/>
  <c r="AH1174" i="2"/>
  <c r="AH925" i="2"/>
  <c r="AH578" i="2"/>
  <c r="P578" i="16" s="1"/>
  <c r="AI578" i="2"/>
  <c r="AH546" i="2"/>
  <c r="AH442" i="2"/>
  <c r="P442" i="16" s="1"/>
  <c r="AI442" i="2"/>
  <c r="Q442" i="16" s="1"/>
  <c r="AH416" i="2"/>
  <c r="AH403" i="2"/>
  <c r="P403" i="16" s="1"/>
  <c r="AH389" i="2"/>
  <c r="P389" i="16" s="1"/>
  <c r="AI389" i="2"/>
  <c r="Q389" i="16" s="1"/>
  <c r="AI377" i="2"/>
  <c r="AH362" i="2"/>
  <c r="P362" i="16" s="1"/>
  <c r="AI362" i="2"/>
  <c r="Q362" i="16" s="1"/>
  <c r="AH348" i="2"/>
  <c r="P348" i="16" s="1"/>
  <c r="AH319" i="2"/>
  <c r="P319" i="16" s="1"/>
  <c r="AI319" i="2"/>
  <c r="Q319" i="16" s="1"/>
  <c r="AH305" i="2"/>
  <c r="AH291" i="2"/>
  <c r="AH278" i="2"/>
  <c r="AH251" i="2"/>
  <c r="P251" i="16" s="1"/>
  <c r="AH238" i="2"/>
  <c r="AI174" i="2"/>
  <c r="AH162" i="2"/>
  <c r="AH149" i="2"/>
  <c r="AH124" i="2"/>
  <c r="P124" i="16" s="1"/>
  <c r="AH110" i="2"/>
  <c r="P110" i="16" s="1"/>
  <c r="AH74" i="2"/>
  <c r="P74" i="16" s="1"/>
  <c r="AH62" i="2"/>
  <c r="AH36" i="2"/>
  <c r="P36" i="16" s="1"/>
  <c r="AH12" i="2"/>
  <c r="AI436" i="2"/>
  <c r="AH441" i="2"/>
  <c r="AH415" i="2"/>
  <c r="AH347" i="2"/>
  <c r="P347" i="16" s="1"/>
  <c r="AH334" i="2"/>
  <c r="P334" i="16" s="1"/>
  <c r="AH250" i="2"/>
  <c r="AH236" i="2"/>
  <c r="P236" i="16" s="1"/>
  <c r="AH210" i="2"/>
  <c r="AH198" i="2"/>
  <c r="AH186" i="2"/>
  <c r="AH173" i="2"/>
  <c r="P173" i="16" s="1"/>
  <c r="AH148" i="2"/>
  <c r="P148" i="16" s="1"/>
  <c r="AI148" i="2"/>
  <c r="Q148" i="16" s="1"/>
  <c r="AI136" i="2"/>
  <c r="AH109" i="2"/>
  <c r="AH97" i="2"/>
  <c r="AH85" i="2"/>
  <c r="AH61" i="2"/>
  <c r="P61" i="16" s="1"/>
  <c r="AI61" i="2"/>
  <c r="Q61" i="16" s="1"/>
  <c r="AH47" i="2"/>
  <c r="AH35" i="2"/>
  <c r="P35" i="16" s="1"/>
  <c r="AH11" i="2"/>
  <c r="P11" i="16" s="1"/>
  <c r="AI395" i="2"/>
  <c r="AH207" i="2"/>
  <c r="P207" i="16" s="1"/>
  <c r="AH183" i="2"/>
  <c r="P183" i="16" s="1"/>
  <c r="AI183" i="2"/>
  <c r="Q183" i="16" s="1"/>
  <c r="AH157" i="2"/>
  <c r="AH145" i="2"/>
  <c r="AH118" i="2"/>
  <c r="P118" i="16" s="1"/>
  <c r="AH94" i="2"/>
  <c r="AH82" i="2"/>
  <c r="P82" i="16" s="1"/>
  <c r="AI70" i="2"/>
  <c r="AH58" i="2"/>
  <c r="AH44" i="2"/>
  <c r="AH32" i="2"/>
  <c r="AH8" i="2"/>
  <c r="P8" i="16" s="1"/>
  <c r="AH501" i="2"/>
  <c r="AH340" i="2"/>
  <c r="AH587" i="2"/>
  <c r="P587" i="16" s="1"/>
  <c r="AH539" i="2"/>
  <c r="AH495" i="2"/>
  <c r="P495" i="16" s="1"/>
  <c r="AI495" i="2"/>
  <c r="Q495" i="16" s="1"/>
  <c r="AH451" i="2"/>
  <c r="P451" i="16" s="1"/>
  <c r="AH384" i="2"/>
  <c r="P384" i="16" s="1"/>
  <c r="AH357" i="2"/>
  <c r="AH329" i="2"/>
  <c r="P329" i="16" s="1"/>
  <c r="AI298" i="2"/>
  <c r="AH286" i="2"/>
  <c r="AH259" i="2"/>
  <c r="P259" i="16" s="1"/>
  <c r="AH246" i="2"/>
  <c r="AH231" i="2"/>
  <c r="P231" i="16" s="1"/>
  <c r="AI218" i="2"/>
  <c r="Q218" i="16" s="1"/>
  <c r="AH218" i="2"/>
  <c r="P218" i="16" s="1"/>
  <c r="AH206" i="2"/>
  <c r="AH169" i="2"/>
  <c r="AH156" i="2"/>
  <c r="AH117" i="2"/>
  <c r="P117" i="16" s="1"/>
  <c r="AH105" i="2"/>
  <c r="P105" i="16" s="1"/>
  <c r="AI105" i="2"/>
  <c r="Q105" i="16" s="1"/>
  <c r="AH69" i="2"/>
  <c r="AI421" i="2"/>
  <c r="AH20" i="2"/>
  <c r="AG674" i="2"/>
  <c r="AI659" i="2"/>
  <c r="AH629" i="2"/>
  <c r="P629" i="16" s="1"/>
  <c r="AH585" i="2"/>
  <c r="P585" i="16" s="1"/>
  <c r="AH569" i="2"/>
  <c r="P569" i="16" s="1"/>
  <c r="AH552" i="2"/>
  <c r="P552" i="16" s="1"/>
  <c r="AH537" i="2"/>
  <c r="AI506" i="2"/>
  <c r="AH506" i="2"/>
  <c r="P506" i="16" s="1"/>
  <c r="AH434" i="2"/>
  <c r="P434" i="16" s="1"/>
  <c r="AH382" i="2"/>
  <c r="P382" i="16" s="1"/>
  <c r="AH355" i="2"/>
  <c r="P355" i="16" s="1"/>
  <c r="AI355" i="2"/>
  <c r="Q355" i="16" s="1"/>
  <c r="AH310" i="2"/>
  <c r="P310" i="16" s="1"/>
  <c r="AI296" i="2"/>
  <c r="AI257" i="2"/>
  <c r="Q257" i="16" s="1"/>
  <c r="AH257" i="2"/>
  <c r="P257" i="16" s="1"/>
  <c r="AH243" i="2"/>
  <c r="AH204" i="2"/>
  <c r="AI192" i="2"/>
  <c r="AH154" i="2"/>
  <c r="AI142" i="2"/>
  <c r="Q142" i="16" s="1"/>
  <c r="AH142" i="2"/>
  <c r="P142" i="16" s="1"/>
  <c r="AH129" i="2"/>
  <c r="P129" i="16" s="1"/>
  <c r="AH67" i="2"/>
  <c r="AH55" i="2"/>
  <c r="AH41" i="2"/>
  <c r="AH29" i="2"/>
  <c r="AH17" i="2"/>
  <c r="P17" i="16" s="1"/>
  <c r="AH5" i="2"/>
  <c r="AH370" i="2"/>
  <c r="AH182" i="2"/>
  <c r="AH551" i="2"/>
  <c r="P551" i="16" s="1"/>
  <c r="AI551" i="2"/>
  <c r="Q551" i="16" s="1"/>
  <c r="AH536" i="2"/>
  <c r="P536" i="16" s="1"/>
  <c r="AH505" i="2"/>
  <c r="P505" i="16" s="1"/>
  <c r="AI505" i="2"/>
  <c r="Q505" i="16" s="1"/>
  <c r="AI367" i="2"/>
  <c r="Q367" i="16" s="1"/>
  <c r="AH367" i="2"/>
  <c r="P367" i="16" s="1"/>
  <c r="AH339" i="2"/>
  <c r="AH309" i="2"/>
  <c r="AH270" i="2"/>
  <c r="P270" i="16" s="1"/>
  <c r="AI215" i="2"/>
  <c r="AH166" i="2"/>
  <c r="AH153" i="2"/>
  <c r="AH128" i="2"/>
  <c r="AH114" i="2"/>
  <c r="AH102" i="2"/>
  <c r="P102" i="16" s="1"/>
  <c r="AH66" i="2"/>
  <c r="P66" i="16" s="1"/>
  <c r="AH54" i="2"/>
  <c r="P54" i="16" s="1"/>
  <c r="AH28" i="2"/>
  <c r="AH16" i="2"/>
  <c r="AH4" i="2"/>
  <c r="AH411" i="2"/>
  <c r="AH519" i="2"/>
  <c r="P519" i="16" s="1"/>
  <c r="AH473" i="2"/>
  <c r="AH308" i="2"/>
  <c r="AI294" i="2"/>
  <c r="AH227" i="2"/>
  <c r="P227" i="16" s="1"/>
  <c r="AI214" i="2"/>
  <c r="AH202" i="2"/>
  <c r="AH178" i="2"/>
  <c r="AH127" i="2"/>
  <c r="P127" i="16" s="1"/>
  <c r="AH101" i="2"/>
  <c r="AH77" i="2"/>
  <c r="AH65" i="2"/>
  <c r="AH53" i="2"/>
  <c r="AH27" i="2"/>
  <c r="P27" i="16" s="1"/>
  <c r="AH3" i="2"/>
  <c r="AG1096" i="2"/>
  <c r="AG739" i="2"/>
  <c r="AG1060" i="2"/>
  <c r="O1060" i="16" s="1"/>
  <c r="AG892" i="2"/>
  <c r="AG799" i="2"/>
  <c r="O799" i="16" s="1"/>
  <c r="AG700" i="2"/>
  <c r="AG244" i="2"/>
  <c r="O244" i="16" s="1"/>
  <c r="AG1024" i="2"/>
  <c r="O1024" i="16" s="1"/>
  <c r="AG967" i="2"/>
  <c r="O967" i="16" s="1"/>
  <c r="AG365" i="2"/>
  <c r="O365" i="16" s="1"/>
  <c r="AG52" i="2"/>
  <c r="O52" i="16" s="1"/>
  <c r="AG533" i="2"/>
  <c r="AG161" i="2"/>
  <c r="O161" i="16" s="1"/>
  <c r="AG317" i="2"/>
  <c r="O317" i="16" s="1"/>
  <c r="AG122" i="2"/>
  <c r="AG134" i="2"/>
  <c r="O134" i="16" s="1"/>
  <c r="AG602" i="2"/>
  <c r="AG1076" i="2"/>
  <c r="O1076" i="16" s="1"/>
  <c r="AG761" i="2"/>
  <c r="AG1193" i="2"/>
  <c r="O1193" i="16" s="1"/>
  <c r="AG1093" i="2"/>
  <c r="O1093" i="16" s="1"/>
  <c r="AG1011" i="2"/>
  <c r="AG986" i="2"/>
  <c r="O986" i="16" s="1"/>
  <c r="AG871" i="2"/>
  <c r="O871" i="16" s="1"/>
  <c r="AG839" i="2"/>
  <c r="O839" i="16" s="1"/>
  <c r="AG594" i="2"/>
  <c r="O594" i="16" s="1"/>
  <c r="AG564" i="2"/>
  <c r="O564" i="16" s="1"/>
  <c r="AG474" i="2"/>
  <c r="O474" i="16" s="1"/>
  <c r="AG446" i="2"/>
  <c r="O446" i="16" s="1"/>
  <c r="AG1124" i="2"/>
  <c r="AG855" i="2"/>
  <c r="O855" i="16" s="1"/>
  <c r="AG636" i="2"/>
  <c r="O636" i="16" s="1"/>
  <c r="AG579" i="2"/>
  <c r="AG406" i="2"/>
  <c r="AG353" i="2"/>
  <c r="O353" i="16" s="1"/>
  <c r="AG326" i="2"/>
  <c r="AG48" i="2"/>
  <c r="O48" i="16" s="1"/>
  <c r="AG1151" i="2"/>
  <c r="O1151" i="16" s="1"/>
  <c r="AG853" i="2"/>
  <c r="AG769" i="2"/>
  <c r="O769" i="16" s="1"/>
  <c r="AG702" i="2"/>
  <c r="O702" i="16" s="1"/>
  <c r="AG689" i="2"/>
  <c r="O689" i="16" s="1"/>
  <c r="AG591" i="2"/>
  <c r="O591" i="16" s="1"/>
  <c r="AG517" i="2"/>
  <c r="AG1176" i="2"/>
  <c r="O1176" i="16" s="1"/>
  <c r="AG1148" i="2"/>
  <c r="O1148" i="16" s="1"/>
  <c r="AG981" i="2"/>
  <c r="AG390" i="2"/>
  <c r="O390" i="16" s="1"/>
  <c r="AG322" i="2"/>
  <c r="O322" i="16" s="1"/>
  <c r="AG119" i="2"/>
  <c r="O119" i="16" s="1"/>
  <c r="AG1107" i="2"/>
  <c r="O1107" i="16" s="1"/>
  <c r="AG906" i="2"/>
  <c r="O906" i="16" s="1"/>
  <c r="AG822" i="2"/>
  <c r="O822" i="16" s="1"/>
  <c r="AG766" i="2"/>
  <c r="AG530" i="2"/>
  <c r="O530" i="16" s="1"/>
  <c r="AG350" i="2"/>
  <c r="O350" i="16" s="1"/>
  <c r="AG1119" i="2"/>
  <c r="O1119" i="16" s="1"/>
  <c r="AG978" i="2"/>
  <c r="O978" i="16" s="1"/>
  <c r="AG920" i="2"/>
  <c r="O920" i="16" s="1"/>
  <c r="AG819" i="2"/>
  <c r="O819" i="16" s="1"/>
  <c r="AG1104" i="2"/>
  <c r="O1104" i="16" s="1"/>
  <c r="AG947" i="2"/>
  <c r="O947" i="16" s="1"/>
  <c r="AG865" i="2"/>
  <c r="AG791" i="2"/>
  <c r="AG712" i="2"/>
  <c r="O712" i="16" s="1"/>
  <c r="AG672" i="2"/>
  <c r="AG573" i="2"/>
  <c r="O573" i="16" s="1"/>
  <c r="AG541" i="2"/>
  <c r="AG484" i="2"/>
  <c r="O484" i="16" s="1"/>
  <c r="AG454" i="2"/>
  <c r="O454" i="16" s="1"/>
  <c r="AG177" i="2"/>
  <c r="O177" i="16" s="1"/>
  <c r="AG1131" i="2"/>
  <c r="O1131" i="16" s="1"/>
  <c r="AG1102" i="2"/>
  <c r="O1102" i="16" s="1"/>
  <c r="AG1044" i="2"/>
  <c r="O1044" i="16" s="1"/>
  <c r="AG863" i="2"/>
  <c r="O863" i="16" s="1"/>
  <c r="AG777" i="2"/>
  <c r="O777" i="16" s="1"/>
  <c r="AG750" i="2"/>
  <c r="O750" i="16" s="1"/>
  <c r="AG724" i="2"/>
  <c r="AG612" i="2"/>
  <c r="O612" i="16" s="1"/>
  <c r="AG555" i="2"/>
  <c r="O555" i="16" s="1"/>
  <c r="AG526" i="2"/>
  <c r="O526" i="16" s="1"/>
  <c r="AG510" i="2"/>
  <c r="O510" i="16" s="1"/>
  <c r="AG482" i="2"/>
  <c r="O482" i="16" s="1"/>
  <c r="AG1070" i="2"/>
  <c r="O1070" i="16" s="1"/>
  <c r="AG959" i="2"/>
  <c r="O959" i="16" s="1"/>
  <c r="AG930" i="2"/>
  <c r="AG861" i="2"/>
  <c r="AG814" i="2"/>
  <c r="O814" i="16" s="1"/>
  <c r="AG570" i="2"/>
  <c r="O570" i="16" s="1"/>
  <c r="AG553" i="2"/>
  <c r="O553" i="16" s="1"/>
  <c r="AG437" i="2"/>
  <c r="O437" i="16" s="1"/>
  <c r="AG398" i="2"/>
  <c r="O398" i="16" s="1"/>
  <c r="AG1068" i="2"/>
  <c r="O1068" i="16" s="1"/>
  <c r="AG1041" i="2"/>
  <c r="O1041" i="16" s="1"/>
  <c r="AG973" i="2"/>
  <c r="O973" i="16" s="1"/>
  <c r="AG942" i="2"/>
  <c r="O942" i="16" s="1"/>
  <c r="AG875" i="2"/>
  <c r="O875" i="16" s="1"/>
  <c r="AG735" i="2"/>
  <c r="AG523" i="2"/>
  <c r="O523" i="16" s="1"/>
  <c r="AG479" i="2"/>
  <c r="AG450" i="2"/>
  <c r="O450" i="16" s="1"/>
  <c r="AG301" i="2"/>
  <c r="O301" i="16" s="1"/>
  <c r="AG237" i="2"/>
  <c r="O237" i="16" s="1"/>
  <c r="AG1156" i="2"/>
  <c r="O1156" i="16" s="1"/>
  <c r="AG1066" i="2"/>
  <c r="O1066" i="16" s="1"/>
  <c r="AG1026" i="2"/>
  <c r="O1026" i="16" s="1"/>
  <c r="AG956" i="2"/>
  <c r="O956" i="16" s="1"/>
  <c r="AG887" i="2"/>
  <c r="O887" i="16" s="1"/>
  <c r="AG625" i="2"/>
  <c r="AG477" i="2"/>
  <c r="O477" i="16" s="1"/>
  <c r="AG330" i="2"/>
  <c r="AG1038" i="2"/>
  <c r="O1038" i="16" s="1"/>
  <c r="AG970" i="2"/>
  <c r="AG640" i="2"/>
  <c r="AG549" i="2"/>
  <c r="O549" i="16" s="1"/>
  <c r="AG433" i="2"/>
  <c r="O433" i="16" s="1"/>
  <c r="AG368" i="2"/>
  <c r="O368" i="16" s="1"/>
  <c r="AG342" i="2"/>
  <c r="O342" i="16" s="1"/>
  <c r="AG313" i="2"/>
  <c r="AG631" i="2"/>
  <c r="O631" i="16" s="1"/>
  <c r="AG558" i="2"/>
  <c r="O558" i="16" s="1"/>
  <c r="AG486" i="2"/>
  <c r="O486" i="16" s="1"/>
  <c r="AG281" i="2"/>
  <c r="O281" i="16" s="1"/>
  <c r="AG254" i="2"/>
  <c r="AG965" i="2"/>
  <c r="O965" i="16" s="1"/>
  <c r="AG513" i="2"/>
  <c r="O513" i="16" s="1"/>
  <c r="AG233" i="2"/>
  <c r="O233" i="16" s="1"/>
  <c r="AG459" i="2"/>
  <c r="O459" i="16" s="1"/>
  <c r="AG219" i="2"/>
  <c r="O219" i="16" s="1"/>
  <c r="AG843" i="2"/>
  <c r="O843" i="16" s="1"/>
  <c r="AG267" i="2"/>
  <c r="O267" i="16" s="1"/>
  <c r="AG1191" i="2"/>
  <c r="O1191" i="16" s="1"/>
  <c r="AG615" i="2"/>
  <c r="O615" i="16" s="1"/>
  <c r="AG651" i="2"/>
  <c r="O651" i="16" s="1"/>
  <c r="U652" i="2"/>
  <c r="U616" i="2"/>
  <c r="H616" i="16" s="1"/>
  <c r="U907" i="2"/>
  <c r="H907" i="16" s="1"/>
  <c r="U844" i="2"/>
  <c r="H844" i="16" s="1"/>
  <c r="U302" i="2"/>
  <c r="H302" i="16" s="1"/>
  <c r="U943" i="2"/>
  <c r="H943" i="16" s="1"/>
  <c r="U1149" i="2"/>
  <c r="H1149" i="16" s="1"/>
  <c r="U1077" i="2"/>
  <c r="H1077" i="16" s="1"/>
  <c r="Y479" i="2"/>
  <c r="Y480" i="2" s="1"/>
  <c r="Y1021" i="2"/>
  <c r="Y700" i="2"/>
  <c r="Y701" i="2" s="1"/>
  <c r="Y1193" i="2"/>
  <c r="Y1194" i="2" s="1"/>
  <c r="Y887" i="2"/>
  <c r="Y875" i="2"/>
  <c r="Y544" i="2"/>
  <c r="Y545" i="2" s="1"/>
  <c r="Y499" i="2"/>
  <c r="Y500" i="2" s="1"/>
  <c r="Y739" i="2"/>
  <c r="Y740" i="2" s="1"/>
  <c r="Y741" i="2" s="1"/>
  <c r="Y742" i="2" s="1"/>
  <c r="Y743" i="2" s="1"/>
  <c r="Y744" i="2" s="1"/>
  <c r="Y947" i="2"/>
  <c r="Y920" i="2"/>
  <c r="Y446" i="2"/>
  <c r="Y322" i="2"/>
  <c r="Y724" i="2"/>
  <c r="Y725" i="2" s="1"/>
  <c r="Y712" i="2"/>
  <c r="Y612" i="2"/>
  <c r="Y613" i="2" s="1"/>
  <c r="Y523" i="2"/>
  <c r="Y916" i="2"/>
  <c r="Y814" i="2"/>
  <c r="Y815" i="2" s="1"/>
  <c r="Y437" i="2"/>
  <c r="Y564" i="2"/>
  <c r="Y565" i="2" s="1"/>
  <c r="Y127" i="2"/>
  <c r="Y368" i="2"/>
  <c r="Y369" i="2" s="1"/>
  <c r="Y1156" i="2"/>
  <c r="Y406" i="2"/>
  <c r="Y407" i="2" s="1"/>
  <c r="Y254" i="2"/>
  <c r="Y255" i="2" s="1"/>
  <c r="Y256" i="2" s="1"/>
  <c r="Y1096" i="2"/>
  <c r="Y1097" i="2" s="1"/>
  <c r="Y819" i="2"/>
  <c r="Y820" i="2" s="1"/>
  <c r="Y821" i="2" s="1"/>
  <c r="Y1011" i="2"/>
  <c r="Y1012" i="2" s="1"/>
  <c r="Y530" i="2"/>
  <c r="Y1191" i="2"/>
  <c r="Y1038" i="2"/>
  <c r="Y1024" i="2"/>
  <c r="Y967" i="2"/>
  <c r="Y968" i="2" s="1"/>
  <c r="Y674" i="2"/>
  <c r="Y675" i="2" s="1"/>
  <c r="Y676" i="2" s="1"/>
  <c r="Y602" i="2"/>
  <c r="Y603" i="2" s="1"/>
  <c r="Y843" i="2"/>
  <c r="Y1076" i="2"/>
  <c r="Y1077" i="2" s="1"/>
  <c r="Y1078" i="2" s="1"/>
  <c r="Y965" i="2"/>
  <c r="Y761" i="2"/>
  <c r="Y735" i="2"/>
  <c r="Y1060" i="2"/>
  <c r="Y839" i="2"/>
  <c r="Y799" i="2"/>
  <c r="Y317" i="2"/>
  <c r="Y667" i="2"/>
  <c r="Y581" i="2"/>
  <c r="Y582" i="2" s="1"/>
  <c r="Y583" i="2" s="1"/>
  <c r="Y1131" i="2"/>
  <c r="Y1070" i="2"/>
  <c r="Y959" i="2"/>
  <c r="Y960" i="2" s="1"/>
  <c r="Y892" i="2"/>
  <c r="Y526" i="2"/>
  <c r="Y484" i="2"/>
  <c r="Y122" i="2"/>
  <c r="Y123" i="2" s="1"/>
  <c r="Y48" i="2"/>
  <c r="Y1149" i="2"/>
  <c r="Y513" i="2"/>
  <c r="Y268" i="2"/>
  <c r="Y229" i="2"/>
  <c r="Y230" i="2" s="1"/>
  <c r="Y1066" i="2"/>
  <c r="Y871" i="2"/>
  <c r="Y777" i="2"/>
  <c r="Y636" i="2"/>
  <c r="Y486" i="2"/>
  <c r="Y433" i="2"/>
  <c r="Y129" i="2"/>
  <c r="Y750" i="2"/>
  <c r="Y510" i="2"/>
  <c r="Y330" i="2"/>
  <c r="Y331" i="2" s="1"/>
  <c r="Y332" i="2" s="1"/>
  <c r="Y177" i="2"/>
  <c r="Y906" i="2"/>
  <c r="Y594" i="2"/>
  <c r="Y549" i="2"/>
  <c r="Y342" i="2"/>
  <c r="Y1104" i="2"/>
  <c r="Y986" i="2"/>
  <c r="Y970" i="2"/>
  <c r="Y971" i="2" s="1"/>
  <c r="Y972" i="2" s="1"/>
  <c r="Y973" i="2" s="1"/>
  <c r="Y672" i="2"/>
  <c r="Y673" i="2" s="1"/>
  <c r="Y301" i="2"/>
  <c r="Y533" i="2"/>
  <c r="Y534" i="2" s="1"/>
  <c r="Y535" i="2" s="1"/>
  <c r="Y454" i="2"/>
  <c r="Y326" i="2"/>
  <c r="Y327" i="2" s="1"/>
  <c r="Y237" i="2"/>
  <c r="Y161" i="2"/>
  <c r="Y137" i="2"/>
  <c r="Y138" i="2" s="1"/>
  <c r="Y139" i="2" s="1"/>
  <c r="Y140" i="2" s="1"/>
  <c r="Y52" i="2"/>
  <c r="Y1102" i="2"/>
  <c r="Y956" i="2"/>
  <c r="Y930" i="2"/>
  <c r="Y931" i="2" s="1"/>
  <c r="Y631" i="2"/>
  <c r="Y365" i="2"/>
  <c r="Y353" i="2"/>
  <c r="Y313" i="2"/>
  <c r="Y314" i="2" s="1"/>
  <c r="Y274" i="2"/>
  <c r="Y942" i="2"/>
  <c r="Y822" i="2"/>
  <c r="Y390" i="2"/>
  <c r="Y981" i="2"/>
  <c r="Y863" i="2"/>
  <c r="Y413" i="2"/>
  <c r="Y414" i="2" s="1"/>
  <c r="Y284" i="2"/>
  <c r="Y285" i="2" s="1"/>
  <c r="Y233" i="2"/>
  <c r="Y573" i="2"/>
  <c r="Y558" i="2"/>
  <c r="Y477" i="2"/>
  <c r="Y450" i="2"/>
  <c r="Y349" i="2"/>
  <c r="Y1124" i="2"/>
  <c r="Y1125" i="2" s="1"/>
  <c r="Y978" i="2"/>
  <c r="Y861" i="2"/>
  <c r="Y862" i="2" s="1"/>
  <c r="Y244" i="2"/>
  <c r="Y119" i="2"/>
  <c r="Y702" i="2"/>
  <c r="Y689" i="2"/>
  <c r="Y570" i="2"/>
  <c r="Y474" i="2"/>
  <c r="Y281" i="2"/>
  <c r="AQ284" i="2" l="1"/>
  <c r="AP1012" i="2"/>
  <c r="AP937" i="2"/>
  <c r="AP971" i="2"/>
  <c r="AP898" i="2"/>
  <c r="AP1125" i="2"/>
  <c r="AP1029" i="2"/>
  <c r="AP903" i="2"/>
  <c r="AP603" i="2"/>
  <c r="AP866" i="2"/>
  <c r="AL1115" i="2"/>
  <c r="AK1115" i="2"/>
  <c r="B662" i="16"/>
  <c r="AQ662" i="2"/>
  <c r="B705" i="16"/>
  <c r="AQ705" i="2"/>
  <c r="AQ709" i="2"/>
  <c r="B709" i="16"/>
  <c r="B720" i="16"/>
  <c r="AQ720" i="2"/>
  <c r="B785" i="16"/>
  <c r="AQ785" i="2"/>
  <c r="B831" i="16"/>
  <c r="AQ831" i="2"/>
  <c r="B852" i="16"/>
  <c r="AQ852" i="2"/>
  <c r="AQ891" i="2"/>
  <c r="B891" i="16"/>
  <c r="AQ901" i="2"/>
  <c r="B901" i="16"/>
  <c r="B992" i="16"/>
  <c r="AQ992" i="2"/>
  <c r="B1065" i="16"/>
  <c r="AQ1065" i="2"/>
  <c r="B1162" i="16"/>
  <c r="AQ1162" i="2"/>
  <c r="B1165" i="16"/>
  <c r="AQ1165" i="2"/>
  <c r="B1178" i="16"/>
  <c r="AQ1178" i="2"/>
  <c r="O852" i="16"/>
  <c r="AK852" i="2"/>
  <c r="AL852" i="2"/>
  <c r="AH852" i="2"/>
  <c r="O785" i="16"/>
  <c r="AN785" i="2"/>
  <c r="AL785" i="2"/>
  <c r="AK785" i="2"/>
  <c r="AH785" i="2"/>
  <c r="O645" i="16"/>
  <c r="AL645" i="2"/>
  <c r="AK645" i="2"/>
  <c r="AH645" i="2"/>
  <c r="B1146" i="16"/>
  <c r="AQ1146" i="2"/>
  <c r="AS1146" i="2" s="1"/>
  <c r="AU1146" i="2" s="1"/>
  <c r="R1146" i="16" s="1"/>
  <c r="B996" i="16"/>
  <c r="AQ996" i="2"/>
  <c r="AS996" i="2" s="1"/>
  <c r="AU996" i="2" s="1"/>
  <c r="B928" i="16"/>
  <c r="AQ928" i="2"/>
  <c r="AS928" i="2" s="1"/>
  <c r="AU928" i="2" s="1"/>
  <c r="B655" i="16"/>
  <c r="AQ655" i="2"/>
  <c r="AS655" i="2" s="1"/>
  <c r="AU655" i="2" s="1"/>
  <c r="O1015" i="16"/>
  <c r="AL1015" i="2"/>
  <c r="AK1015" i="2"/>
  <c r="AH1015" i="2"/>
  <c r="O798" i="16"/>
  <c r="AK798" i="2"/>
  <c r="AH798" i="2"/>
  <c r="AL798" i="2"/>
  <c r="AI569" i="2"/>
  <c r="H569" i="16"/>
  <c r="AL1087" i="2"/>
  <c r="AK1087" i="2"/>
  <c r="AL810" i="2"/>
  <c r="AK810" i="2"/>
  <c r="O727" i="16"/>
  <c r="AH727" i="2"/>
  <c r="AL727" i="2"/>
  <c r="AK727" i="2"/>
  <c r="AQ572" i="2"/>
  <c r="AS572" i="2" s="1"/>
  <c r="AU572" i="2" s="1"/>
  <c r="R572" i="16" s="1"/>
  <c r="AT572" i="16" s="1"/>
  <c r="B572" i="16"/>
  <c r="H1123" i="16"/>
  <c r="AI1123" i="2"/>
  <c r="AL1146" i="2"/>
  <c r="AK1146" i="2"/>
  <c r="O928" i="16"/>
  <c r="AL928" i="2"/>
  <c r="AK928" i="2"/>
  <c r="AH928" i="2"/>
  <c r="AN928" i="2"/>
  <c r="AK655" i="2"/>
  <c r="AL655" i="2"/>
  <c r="AM655" i="2"/>
  <c r="AQ569" i="2"/>
  <c r="AS569" i="2" s="1"/>
  <c r="AU569" i="2" s="1"/>
  <c r="B569" i="16"/>
  <c r="AL1065" i="2"/>
  <c r="AK1065" i="2"/>
  <c r="B1123" i="16"/>
  <c r="AQ1123" i="2"/>
  <c r="AS1123" i="2" s="1"/>
  <c r="AU1123" i="2" s="1"/>
  <c r="AQ798" i="2"/>
  <c r="AS798" i="2" s="1"/>
  <c r="AU798" i="2" s="1"/>
  <c r="R798" i="16" s="1"/>
  <c r="B798" i="16"/>
  <c r="O990" i="16"/>
  <c r="AL990" i="2"/>
  <c r="AK990" i="2"/>
  <c r="AH990" i="2"/>
  <c r="O572" i="16"/>
  <c r="AL572" i="2"/>
  <c r="AH572" i="2"/>
  <c r="AK572" i="2"/>
  <c r="O338" i="16"/>
  <c r="AH338" i="2"/>
  <c r="AK338" i="2"/>
  <c r="AL338" i="2"/>
  <c r="B765" i="16"/>
  <c r="AQ765" i="2"/>
  <c r="AS765" i="2" s="1"/>
  <c r="AU765" i="2" s="1"/>
  <c r="AK765" i="2"/>
  <c r="AL765" i="2"/>
  <c r="AN765" i="2" s="1"/>
  <c r="O320" i="16"/>
  <c r="AH320" i="2"/>
  <c r="AK320" i="2"/>
  <c r="AL320" i="2"/>
  <c r="AM320" i="2"/>
  <c r="AQ699" i="2"/>
  <c r="B699" i="16"/>
  <c r="B650" i="16"/>
  <c r="AQ650" i="2"/>
  <c r="AS650" i="2" s="1"/>
  <c r="AU650" i="2" s="1"/>
  <c r="AQ176" i="2"/>
  <c r="B176" i="16"/>
  <c r="AQ618" i="2"/>
  <c r="B618" i="16"/>
  <c r="B601" i="16"/>
  <c r="AQ601" i="2"/>
  <c r="AS601" i="2" s="1"/>
  <c r="AU601" i="2" s="1"/>
  <c r="B341" i="16"/>
  <c r="AQ341" i="2"/>
  <c r="AS341" i="2" s="1"/>
  <c r="AU341" i="2" s="1"/>
  <c r="O31" i="16"/>
  <c r="AL31" i="2"/>
  <c r="AK31" i="2"/>
  <c r="AN31" i="2"/>
  <c r="AH31" i="2"/>
  <c r="O676" i="16"/>
  <c r="AH676" i="2"/>
  <c r="AK676" i="2"/>
  <c r="AL676" i="2"/>
  <c r="AN676" i="2"/>
  <c r="AK618" i="2"/>
  <c r="AH618" i="2"/>
  <c r="AL618" i="2"/>
  <c r="AN618" i="2"/>
  <c r="AL356" i="2"/>
  <c r="AK356" i="2"/>
  <c r="AK341" i="2"/>
  <c r="AL341" i="2"/>
  <c r="AM341" i="2"/>
  <c r="O258" i="16"/>
  <c r="AK258" i="2"/>
  <c r="AH258" i="2"/>
  <c r="AL258" i="2"/>
  <c r="O217" i="16"/>
  <c r="AL217" i="2"/>
  <c r="AK217" i="2"/>
  <c r="AH217" i="2"/>
  <c r="AL155" i="2"/>
  <c r="AK155" i="2"/>
  <c r="O143" i="16"/>
  <c r="AL143" i="2"/>
  <c r="AK143" i="2"/>
  <c r="AH143" i="2"/>
  <c r="P1180" i="16"/>
  <c r="AI1180" i="2"/>
  <c r="P1139" i="16"/>
  <c r="AI1139" i="2"/>
  <c r="P1126" i="16"/>
  <c r="AI1126" i="2"/>
  <c r="P1049" i="16"/>
  <c r="AI1049" i="2"/>
  <c r="P747" i="16"/>
  <c r="AI747" i="2"/>
  <c r="P720" i="16"/>
  <c r="AI720" i="2"/>
  <c r="P1190" i="16"/>
  <c r="AI1190" i="2"/>
  <c r="P1059" i="16"/>
  <c r="AI1059" i="2"/>
  <c r="P977" i="16"/>
  <c r="AI977" i="2"/>
  <c r="P588" i="16"/>
  <c r="AI588" i="2"/>
  <c r="AQ1253" i="16"/>
  <c r="AM1344" i="16"/>
  <c r="AP1357" i="16"/>
  <c r="AO1389" i="16"/>
  <c r="AM1419" i="16"/>
  <c r="AP1363" i="16"/>
  <c r="AP1349" i="16"/>
  <c r="AN1362" i="16"/>
  <c r="AO1386" i="16"/>
  <c r="AO1414" i="16"/>
  <c r="AO1340" i="16"/>
  <c r="AO1366" i="16"/>
  <c r="AO1338" i="16"/>
  <c r="AM1403" i="16"/>
  <c r="AP1430" i="16"/>
  <c r="AM1371" i="16"/>
  <c r="AP1360" i="16"/>
  <c r="AO1378" i="16"/>
  <c r="AO1400" i="16"/>
  <c r="AP1420" i="16"/>
  <c r="AQ1167" i="16"/>
  <c r="AQ1184" i="16"/>
  <c r="AO1594" i="16"/>
  <c r="AN1597" i="16"/>
  <c r="AO1600" i="16"/>
  <c r="AQ1198" i="16"/>
  <c r="AQ1206" i="16"/>
  <c r="AQ1216" i="16"/>
  <c r="AQ1227" i="16"/>
  <c r="AM1363" i="16"/>
  <c r="AM1394" i="16"/>
  <c r="AN1424" i="16"/>
  <c r="AP1345" i="16"/>
  <c r="AN1365" i="16"/>
  <c r="AN1392" i="16"/>
  <c r="AO1424" i="16"/>
  <c r="AM1351" i="16"/>
  <c r="AO1373" i="16"/>
  <c r="AO1360" i="16"/>
  <c r="AN1343" i="16"/>
  <c r="AN1348" i="16"/>
  <c r="AP1353" i="16"/>
  <c r="AM1385" i="16"/>
  <c r="AN1417" i="16"/>
  <c r="AN1344" i="16"/>
  <c r="AM1366" i="16"/>
  <c r="AN1377" i="16"/>
  <c r="AM1391" i="16"/>
  <c r="AM1417" i="16"/>
  <c r="AO1342" i="16"/>
  <c r="AQ1170" i="16"/>
  <c r="AQ1191" i="16"/>
  <c r="AQ1197" i="16"/>
  <c r="AQ1205" i="16"/>
  <c r="AQ1212" i="16"/>
  <c r="AQ1222" i="16"/>
  <c r="AQ1229" i="16"/>
  <c r="AM1347" i="16"/>
  <c r="AN1369" i="16"/>
  <c r="AP1399" i="16"/>
  <c r="AN1370" i="16"/>
  <c r="AN1374" i="16"/>
  <c r="AM1428" i="16"/>
  <c r="AM1353" i="16"/>
  <c r="AP1376" i="16"/>
  <c r="AO1401" i="16"/>
  <c r="AP1428" i="16"/>
  <c r="AM1354" i="16"/>
  <c r="AM1376" i="16"/>
  <c r="AN1381" i="16"/>
  <c r="AM1374" i="16"/>
  <c r="AO1418" i="16"/>
  <c r="AQ1242" i="16"/>
  <c r="AO1596" i="16"/>
  <c r="AQ1162" i="16"/>
  <c r="AO1355" i="16"/>
  <c r="AQ1176" i="16"/>
  <c r="AQ1235" i="16"/>
  <c r="AQ1201" i="16"/>
  <c r="AQ1209" i="16"/>
  <c r="AQ1213" i="16"/>
  <c r="AQ1223" i="16"/>
  <c r="AQ1237" i="16"/>
  <c r="AP1373" i="16"/>
  <c r="AM1400" i="16"/>
  <c r="AN1429" i="16"/>
  <c r="AP1354" i="16"/>
  <c r="AN1376" i="16"/>
  <c r="AP1411" i="16"/>
  <c r="AN1357" i="16"/>
  <c r="AM1356" i="16"/>
  <c r="AM1370" i="16"/>
  <c r="AO1395" i="16"/>
  <c r="AP1426" i="16"/>
  <c r="AO1353" i="16"/>
  <c r="AQ1165" i="16"/>
  <c r="AP1355" i="16"/>
  <c r="AM1396" i="16"/>
  <c r="AM1339" i="16"/>
  <c r="AP1344" i="16"/>
  <c r="AO1370" i="16"/>
  <c r="AO1396" i="16"/>
  <c r="AN1422" i="16"/>
  <c r="AO1348" i="16"/>
  <c r="AN1390" i="16"/>
  <c r="AP1415" i="16"/>
  <c r="AN1364" i="16"/>
  <c r="AO1599" i="16"/>
  <c r="AQ1164" i="16"/>
  <c r="AM1360" i="16"/>
  <c r="AN1354" i="16"/>
  <c r="AM1368" i="16"/>
  <c r="AN1380" i="16"/>
  <c r="AP1393" i="16"/>
  <c r="AO1411" i="16"/>
  <c r="AN1371" i="16"/>
  <c r="AM1384" i="16"/>
  <c r="AM1397" i="16"/>
  <c r="AN1423" i="16"/>
  <c r="AN1349" i="16"/>
  <c r="AQ1173" i="16"/>
  <c r="AQ1194" i="16"/>
  <c r="AQ1200" i="16"/>
  <c r="AQ1208" i="16"/>
  <c r="AQ1214" i="16"/>
  <c r="AQ1225" i="16"/>
  <c r="AQ1233" i="16"/>
  <c r="AQ1251" i="16"/>
  <c r="AQ1166" i="16"/>
  <c r="AM1340" i="16"/>
  <c r="AO1351" i="16"/>
  <c r="AN1375" i="16"/>
  <c r="AM1406" i="16"/>
  <c r="AN1338" i="16"/>
  <c r="AN1372" i="16"/>
  <c r="AM1388" i="16"/>
  <c r="AO1416" i="16"/>
  <c r="AP1339" i="16"/>
  <c r="AM1358" i="16"/>
  <c r="AM1357" i="16"/>
  <c r="AO1383" i="16"/>
  <c r="AO1408" i="16"/>
  <c r="AN1367" i="16"/>
  <c r="AO1358" i="16"/>
  <c r="AQ1270" i="16"/>
  <c r="AP1367" i="16"/>
  <c r="AN1351" i="16"/>
  <c r="AM1372" i="16"/>
  <c r="AM1395" i="16"/>
  <c r="AM1413" i="16"/>
  <c r="AQ1169" i="16"/>
  <c r="AQ1188" i="16"/>
  <c r="AQ1219" i="16"/>
  <c r="AQ1228" i="16"/>
  <c r="AP1596" i="16"/>
  <c r="AM1600" i="16"/>
  <c r="AO1382" i="16"/>
  <c r="AP1413" i="16"/>
  <c r="AM1345" i="16"/>
  <c r="AN1345" i="16"/>
  <c r="AM1355" i="16"/>
  <c r="AO1380" i="16"/>
  <c r="AP1406" i="16"/>
  <c r="AP1359" i="16"/>
  <c r="AM1342" i="16"/>
  <c r="AO1359" i="16"/>
  <c r="AM1377" i="16"/>
  <c r="AM1404" i="16"/>
  <c r="AP1368" i="16"/>
  <c r="AP1382" i="16"/>
  <c r="AN1409" i="16"/>
  <c r="AP1365" i="16"/>
  <c r="AN1339" i="16"/>
  <c r="AQ1232" i="16"/>
  <c r="AO1367" i="16"/>
  <c r="AO1372" i="16"/>
  <c r="AO1379" i="16"/>
  <c r="AP1385" i="16"/>
  <c r="AP1392" i="16"/>
  <c r="AO1399" i="16"/>
  <c r="AN1405" i="16"/>
  <c r="AM1412" i="16"/>
  <c r="AP1419" i="16"/>
  <c r="AN1427" i="16"/>
  <c r="AO1343" i="16"/>
  <c r="AO1350" i="16"/>
  <c r="AP1356" i="16"/>
  <c r="AO1362" i="16"/>
  <c r="AN1368" i="16"/>
  <c r="AP1372" i="16"/>
  <c r="AN1378" i="16"/>
  <c r="AP1342" i="16"/>
  <c r="AP1350" i="16"/>
  <c r="AP1369" i="16"/>
  <c r="AP1409" i="16"/>
  <c r="AM1346" i="16"/>
  <c r="AP1404" i="16"/>
  <c r="AQ1236" i="16"/>
  <c r="AM1598" i="16"/>
  <c r="AQ1163" i="16"/>
  <c r="AO1410" i="16"/>
  <c r="AO1377" i="16"/>
  <c r="AP1366" i="16"/>
  <c r="AN1388" i="16"/>
  <c r="AO1407" i="16"/>
  <c r="AN1426" i="16"/>
  <c r="AQ1168" i="16"/>
  <c r="AQ1181" i="16"/>
  <c r="AQ1241" i="16"/>
  <c r="AQ1204" i="16"/>
  <c r="AQ1211" i="16"/>
  <c r="AQ1220" i="16"/>
  <c r="AQ1230" i="16"/>
  <c r="AN1341" i="16"/>
  <c r="AO1368" i="16"/>
  <c r="AP1394" i="16"/>
  <c r="AM1420" i="16"/>
  <c r="AO1347" i="16"/>
  <c r="AP1370" i="16"/>
  <c r="AP1422" i="16"/>
  <c r="AM1369" i="16"/>
  <c r="AO1369" i="16"/>
  <c r="AO1352" i="16"/>
  <c r="AP1371" i="16"/>
  <c r="AP1397" i="16"/>
  <c r="AM1430" i="16"/>
  <c r="AO1363" i="16"/>
  <c r="AN1350" i="16"/>
  <c r="AP1364" i="16"/>
  <c r="AP1375" i="16"/>
  <c r="AP1402" i="16"/>
  <c r="AN1421" i="16"/>
  <c r="AP1346" i="16"/>
  <c r="AM1375" i="16"/>
  <c r="AP1340" i="16"/>
  <c r="AM1348" i="16"/>
  <c r="AO1364" i="16"/>
  <c r="AP1390" i="16"/>
  <c r="AN1415" i="16"/>
  <c r="AO1341" i="16"/>
  <c r="AO1371" i="16"/>
  <c r="AO1346" i="16"/>
  <c r="AM1362" i="16"/>
  <c r="AM1402" i="16"/>
  <c r="AN1352" i="16"/>
  <c r="AQ1238" i="16"/>
  <c r="Z1035" i="16"/>
  <c r="Z1049" i="16"/>
  <c r="Z1050" i="16"/>
  <c r="Z1100" i="16"/>
  <c r="Z1135" i="16"/>
  <c r="AN1361" i="16"/>
  <c r="AM1373" i="16"/>
  <c r="AN1387" i="16"/>
  <c r="AO1398" i="16"/>
  <c r="AP1425" i="16"/>
  <c r="Z957" i="16"/>
  <c r="Z961" i="16"/>
  <c r="Z1036" i="16"/>
  <c r="AQ1258" i="16"/>
  <c r="AQ1234" i="16"/>
  <c r="AO1595" i="16"/>
  <c r="AQ1161" i="16"/>
  <c r="Z1006" i="16"/>
  <c r="Z1022" i="16"/>
  <c r="Z1042" i="16"/>
  <c r="Z1166" i="16"/>
  <c r="AO1361" i="16"/>
  <c r="AQ1179" i="16"/>
  <c r="AQ1231" i="16"/>
  <c r="AQ1203" i="16"/>
  <c r="AQ1210" i="16"/>
  <c r="AQ1217" i="16"/>
  <c r="AQ1226" i="16"/>
  <c r="AQ1246" i="16"/>
  <c r="AQ1140" i="16"/>
  <c r="AM1434" i="16"/>
  <c r="AM1441" i="16"/>
  <c r="AO1539" i="16"/>
  <c r="AP1587" i="16"/>
  <c r="AQ1129" i="16"/>
  <c r="AP1463" i="16"/>
  <c r="AQ1084" i="16"/>
  <c r="AM1440" i="16"/>
  <c r="AN1588" i="16"/>
  <c r="AQ996" i="16"/>
  <c r="AM1487" i="16"/>
  <c r="AP1338" i="16"/>
  <c r="AM1436" i="16"/>
  <c r="AP1384" i="16"/>
  <c r="AO1475" i="16"/>
  <c r="AM1555" i="16"/>
  <c r="AQ968" i="16"/>
  <c r="AO1387" i="16"/>
  <c r="AM1495" i="16"/>
  <c r="AM1467" i="16"/>
  <c r="AM1536" i="16"/>
  <c r="AQ1043" i="16"/>
  <c r="AO1523" i="16"/>
  <c r="AQ980" i="16"/>
  <c r="AP1496" i="16"/>
  <c r="AM1527" i="16"/>
  <c r="AQ1009" i="16"/>
  <c r="AM1437" i="16"/>
  <c r="AN1558" i="16"/>
  <c r="AQ1086" i="16"/>
  <c r="AO1486" i="16"/>
  <c r="AQ961" i="16"/>
  <c r="AN1470" i="16"/>
  <c r="AO1344" i="16"/>
  <c r="AO1413" i="16"/>
  <c r="AN1554" i="16"/>
  <c r="AM1435" i="16"/>
  <c r="AO1489" i="16"/>
  <c r="AN1358" i="16"/>
  <c r="AP1389" i="16"/>
  <c r="AO1511" i="16"/>
  <c r="AN1443" i="16"/>
  <c r="AO1546" i="16"/>
  <c r="AN1593" i="16"/>
  <c r="AQ1153" i="16"/>
  <c r="AM1503" i="16"/>
  <c r="AP1527" i="16"/>
  <c r="AQ959" i="16"/>
  <c r="AM1458" i="16"/>
  <c r="AM1501" i="16"/>
  <c r="AP1574" i="16"/>
  <c r="AQ1175" i="16"/>
  <c r="AN1385" i="16"/>
  <c r="AM1444" i="16"/>
  <c r="AO1554" i="16"/>
  <c r="AP1433" i="16"/>
  <c r="AP1485" i="16"/>
  <c r="AP1504" i="16"/>
  <c r="AO1552" i="16"/>
  <c r="AQ1131" i="16"/>
  <c r="AO1446" i="16"/>
  <c r="AO1542" i="16"/>
  <c r="AQ1069" i="16"/>
  <c r="AP1454" i="16"/>
  <c r="AO1403" i="16"/>
  <c r="AO1503" i="16"/>
  <c r="AP1526" i="16"/>
  <c r="AP1572" i="16"/>
  <c r="AQ967" i="16"/>
  <c r="AM1418" i="16"/>
  <c r="AN1549" i="16"/>
  <c r="AQ1122" i="16"/>
  <c r="AP1561" i="16"/>
  <c r="AQ1104" i="16"/>
  <c r="AO1432" i="16"/>
  <c r="AN1560" i="16"/>
  <c r="AQ1128" i="16"/>
  <c r="AP1519" i="16"/>
  <c r="AQ978" i="16"/>
  <c r="AM1361" i="16"/>
  <c r="AO1451" i="16"/>
  <c r="AN1398" i="16"/>
  <c r="AN1506" i="16"/>
  <c r="AP1583" i="16"/>
  <c r="AP1442" i="16"/>
  <c r="AO1431" i="16"/>
  <c r="AO1530" i="16"/>
  <c r="AN1583" i="16"/>
  <c r="AQ1114" i="16"/>
  <c r="AO1498" i="16"/>
  <c r="AN1534" i="16"/>
  <c r="AN1600" i="16"/>
  <c r="AP1352" i="16"/>
  <c r="AM1476" i="16"/>
  <c r="AM1584" i="16"/>
  <c r="AQ1024" i="16"/>
  <c r="AM1529" i="16"/>
  <c r="AQ973" i="16"/>
  <c r="AO1434" i="16"/>
  <c r="AN1503" i="16"/>
  <c r="AQ1037" i="16"/>
  <c r="AM1517" i="16"/>
  <c r="AQ1034" i="16"/>
  <c r="AO1339" i="16"/>
  <c r="AP1478" i="16"/>
  <c r="AN1436" i="16"/>
  <c r="AO1564" i="16"/>
  <c r="AP1381" i="16"/>
  <c r="AM1525" i="16"/>
  <c r="AO1582" i="16"/>
  <c r="AQ1144" i="16"/>
  <c r="AN1514" i="16"/>
  <c r="AQ1014" i="16"/>
  <c r="AN1379" i="16"/>
  <c r="AO1464" i="16"/>
  <c r="AQ1082" i="16"/>
  <c r="AP1343" i="16"/>
  <c r="AO1516" i="16"/>
  <c r="AQ1117" i="16"/>
  <c r="AQ965" i="16"/>
  <c r="AP1472" i="16"/>
  <c r="AN1511" i="16"/>
  <c r="AN1410" i="16"/>
  <c r="AN1544" i="16"/>
  <c r="AP1598" i="16"/>
  <c r="AQ1150" i="16"/>
  <c r="AP1543" i="16"/>
  <c r="AQ998" i="16"/>
  <c r="AP1507" i="16"/>
  <c r="AP1525" i="16"/>
  <c r="AQ1186" i="16"/>
  <c r="AN1587" i="16"/>
  <c r="AM1454" i="16"/>
  <c r="AM1577" i="16"/>
  <c r="AP1560" i="16"/>
  <c r="AO1445" i="16"/>
  <c r="AN1592" i="16"/>
  <c r="AP1591" i="16"/>
  <c r="AQ979" i="16"/>
  <c r="AQ1050" i="16"/>
  <c r="AQ1033" i="16"/>
  <c r="AQ1093" i="16"/>
  <c r="AQ1147" i="16"/>
  <c r="AP1499" i="16"/>
  <c r="AP1429" i="16"/>
  <c r="AM1499" i="16"/>
  <c r="AP1567" i="16"/>
  <c r="AO1581" i="16"/>
  <c r="AQ1120" i="16"/>
  <c r="AQ1083" i="16"/>
  <c r="AQ1097" i="16"/>
  <c r="AQ1172" i="16"/>
  <c r="AM1426" i="16"/>
  <c r="AM1439" i="16"/>
  <c r="AM1450" i="16"/>
  <c r="AP1459" i="16"/>
  <c r="AO1469" i="16"/>
  <c r="AO1479" i="16"/>
  <c r="AP1483" i="16"/>
  <c r="AM1500" i="16"/>
  <c r="AO1508" i="16"/>
  <c r="AN1397" i="16"/>
  <c r="AP1434" i="16"/>
  <c r="AO1465" i="16"/>
  <c r="AO1491" i="16"/>
  <c r="AM1520" i="16"/>
  <c r="AN1530" i="16"/>
  <c r="AN1541" i="16"/>
  <c r="AN1550" i="16"/>
  <c r="AM1558" i="16"/>
  <c r="AM1570" i="16"/>
  <c r="AM1586" i="16"/>
  <c r="AQ1262" i="16"/>
  <c r="AQ1003" i="16"/>
  <c r="AQ1059" i="16"/>
  <c r="AQ1115" i="16"/>
  <c r="AQ1151" i="16"/>
  <c r="AQ1196" i="16"/>
  <c r="AM1393" i="16"/>
  <c r="AM1411" i="16"/>
  <c r="AO1430" i="16"/>
  <c r="AO1449" i="16"/>
  <c r="AN1465" i="16"/>
  <c r="AO1483" i="16"/>
  <c r="AP1515" i="16"/>
  <c r="AP1511" i="16"/>
  <c r="AP1401" i="16"/>
  <c r="AO1427" i="16"/>
  <c r="AM1447" i="16"/>
  <c r="AP1474" i="16"/>
  <c r="AM1489" i="16"/>
  <c r="AN1517" i="16"/>
  <c r="AN1526" i="16"/>
  <c r="AM1533" i="16"/>
  <c r="AM1540" i="16"/>
  <c r="AN1548" i="16"/>
  <c r="AO1557" i="16"/>
  <c r="AO1565" i="16"/>
  <c r="AO1573" i="16"/>
  <c r="AM1581" i="16"/>
  <c r="AM1590" i="16"/>
  <c r="AP1599" i="16"/>
  <c r="AQ1039" i="16"/>
  <c r="AM1594" i="16"/>
  <c r="AQ1127" i="16"/>
  <c r="AQ1178" i="16"/>
  <c r="AM1466" i="16"/>
  <c r="AN1491" i="16"/>
  <c r="AN1500" i="16"/>
  <c r="AM1514" i="16"/>
  <c r="AM1341" i="16"/>
  <c r="AP1348" i="16"/>
  <c r="AN1360" i="16"/>
  <c r="AN1382" i="16"/>
  <c r="AO1394" i="16"/>
  <c r="AO1406" i="16"/>
  <c r="AO1421" i="16"/>
  <c r="AN1497" i="16"/>
  <c r="AM1550" i="16"/>
  <c r="AQ991" i="16"/>
  <c r="AN1581" i="16"/>
  <c r="AM1463" i="16"/>
  <c r="AM1408" i="16"/>
  <c r="AM1580" i="16"/>
  <c r="AM1449" i="16"/>
  <c r="AN1450" i="16"/>
  <c r="AM1573" i="16"/>
  <c r="AO1515" i="16"/>
  <c r="AN1458" i="16"/>
  <c r="AP1541" i="16"/>
  <c r="AN1596" i="16"/>
  <c r="AO1417" i="16"/>
  <c r="AM1532" i="16"/>
  <c r="AQ1051" i="16"/>
  <c r="AP1410" i="16"/>
  <c r="AN1525" i="16"/>
  <c r="AQ956" i="16"/>
  <c r="AP1362" i="16"/>
  <c r="AM1483" i="16"/>
  <c r="AP1446" i="16"/>
  <c r="AP1449" i="16"/>
  <c r="AP1497" i="16"/>
  <c r="AN1584" i="16"/>
  <c r="AP1566" i="16"/>
  <c r="AO1597" i="16"/>
  <c r="AO1555" i="16"/>
  <c r="AP1481" i="16"/>
  <c r="AQ1019" i="16"/>
  <c r="AN1496" i="16"/>
  <c r="AQ976" i="16"/>
  <c r="AO1510" i="16"/>
  <c r="AN1442" i="16"/>
  <c r="AM1481" i="16"/>
  <c r="AM1576" i="16"/>
  <c r="AQ1123" i="16"/>
  <c r="AP1388" i="16"/>
  <c r="AM1416" i="16"/>
  <c r="AP1553" i="16"/>
  <c r="AQ994" i="16"/>
  <c r="AN1404" i="16"/>
  <c r="AM1462" i="16"/>
  <c r="AQ1182" i="16"/>
  <c r="AM1431" i="16"/>
  <c r="AN1461" i="16"/>
  <c r="AM1445" i="16"/>
  <c r="AP1534" i="16"/>
  <c r="AN1586" i="16"/>
  <c r="AQ1017" i="16"/>
  <c r="AN1383" i="16"/>
  <c r="AN1485" i="16"/>
  <c r="AQ975" i="16"/>
  <c r="AN1452" i="16"/>
  <c r="AM1401" i="16"/>
  <c r="AM1541" i="16"/>
  <c r="AQ1252" i="16"/>
  <c r="AO1499" i="16"/>
  <c r="AO1544" i="16"/>
  <c r="AQ1025" i="16"/>
  <c r="AQ1040" i="16"/>
  <c r="AN1522" i="16"/>
  <c r="AM1591" i="16"/>
  <c r="AO1524" i="16"/>
  <c r="AO1587" i="16"/>
  <c r="AM1338" i="16"/>
  <c r="AP1424" i="16"/>
  <c r="AM1544" i="16"/>
  <c r="AN1591" i="16"/>
  <c r="AQ1195" i="16"/>
  <c r="AQ992" i="16"/>
  <c r="AO1405" i="16"/>
  <c r="AO1457" i="16"/>
  <c r="AN1481" i="16"/>
  <c r="AM1559" i="16"/>
  <c r="AQ1045" i="16"/>
  <c r="AQ1240" i="16"/>
  <c r="AQ1248" i="16"/>
  <c r="AN1513" i="16"/>
  <c r="AM1548" i="16"/>
  <c r="AN1535" i="16"/>
  <c r="AQ1141" i="16"/>
  <c r="AM1407" i="16"/>
  <c r="AN1527" i="16"/>
  <c r="AN1574" i="16"/>
  <c r="AQ1078" i="16"/>
  <c r="AP1556" i="16"/>
  <c r="AQ1259" i="16"/>
  <c r="AN1373" i="16"/>
  <c r="AN1347" i="16"/>
  <c r="AO1443" i="16"/>
  <c r="AP1545" i="16"/>
  <c r="AQ1126" i="16"/>
  <c r="AN1393" i="16"/>
  <c r="AP1509" i="16"/>
  <c r="AQ1261" i="16"/>
  <c r="AP1569" i="16"/>
  <c r="AP1351" i="16"/>
  <c r="AN1504" i="16"/>
  <c r="AQ1032" i="16"/>
  <c r="AO1490" i="16"/>
  <c r="AO1494" i="16"/>
  <c r="AO1519" i="16"/>
  <c r="AQ1035" i="16"/>
  <c r="AN1472" i="16"/>
  <c r="AQ1137" i="16"/>
  <c r="AQ963" i="16"/>
  <c r="AO1472" i="16"/>
  <c r="AP1492" i="16"/>
  <c r="AO1422" i="16"/>
  <c r="AP1441" i="16"/>
  <c r="AO1560" i="16"/>
  <c r="AQ1000" i="16"/>
  <c r="AM1448" i="16"/>
  <c r="AO1585" i="16"/>
  <c r="AP1377" i="16"/>
  <c r="AN1467" i="16"/>
  <c r="AN1536" i="16"/>
  <c r="AQ1044" i="16"/>
  <c r="AN1419" i="16"/>
  <c r="AN1556" i="16"/>
  <c r="AQ1143" i="16"/>
  <c r="AP1383" i="16"/>
  <c r="AN1484" i="16"/>
  <c r="AM1442" i="16"/>
  <c r="AN1543" i="16"/>
  <c r="AQ974" i="16"/>
  <c r="AQ1190" i="16"/>
  <c r="AO1450" i="16"/>
  <c r="AP1508" i="16"/>
  <c r="AO1376" i="16"/>
  <c r="AP1484" i="16"/>
  <c r="AP1395" i="16"/>
  <c r="AO1537" i="16"/>
  <c r="AP1435" i="16"/>
  <c r="AO1477" i="16"/>
  <c r="AP1374" i="16"/>
  <c r="AO1533" i="16"/>
  <c r="AN1547" i="16"/>
  <c r="AQ1130" i="16"/>
  <c r="AN1488" i="16"/>
  <c r="AP1564" i="16"/>
  <c r="AQ1154" i="16"/>
  <c r="AP1427" i="16"/>
  <c r="AP1580" i="16"/>
  <c r="AN1444" i="16"/>
  <c r="AM1390" i="16"/>
  <c r="AM1534" i="16"/>
  <c r="AO1402" i="16"/>
  <c r="AM1502" i="16"/>
  <c r="AQ1247" i="16"/>
  <c r="AN1439" i="16"/>
  <c r="AO1548" i="16"/>
  <c r="AQ1052" i="16"/>
  <c r="AN1346" i="16"/>
  <c r="AP1341" i="16"/>
  <c r="AO1426" i="16"/>
  <c r="AO1534" i="16"/>
  <c r="AQ1076" i="16"/>
  <c r="AM1410" i="16"/>
  <c r="AN1518" i="16"/>
  <c r="AP1467" i="16"/>
  <c r="AN1576" i="16"/>
  <c r="AQ1053" i="16"/>
  <c r="AN1455" i="16"/>
  <c r="AM1552" i="16"/>
  <c r="AP1407" i="16"/>
  <c r="AO1388" i="16"/>
  <c r="AM1545" i="16"/>
  <c r="AQ1099" i="16"/>
  <c r="AP1502" i="16"/>
  <c r="AN1519" i="16"/>
  <c r="AP1588" i="16"/>
  <c r="AO1504" i="16"/>
  <c r="AM1478" i="16"/>
  <c r="AP1532" i="16"/>
  <c r="AQ1101" i="16"/>
  <c r="AQ1074" i="16"/>
  <c r="AP1531" i="16"/>
  <c r="AQ1077" i="16"/>
  <c r="AM1352" i="16"/>
  <c r="AN1487" i="16"/>
  <c r="AO1529" i="16"/>
  <c r="AQ1061" i="16"/>
  <c r="AN1512" i="16"/>
  <c r="AM1523" i="16"/>
  <c r="AQ1081" i="16"/>
  <c r="AP1468" i="16"/>
  <c r="AN1459" i="16"/>
  <c r="AM1554" i="16"/>
  <c r="AP1469" i="16"/>
  <c r="AO1390" i="16"/>
  <c r="AO1583" i="16"/>
  <c r="AQ997" i="16"/>
  <c r="AP1444" i="16"/>
  <c r="AM1575" i="16"/>
  <c r="AN1595" i="16"/>
  <c r="AQ1071" i="16"/>
  <c r="AN1502" i="16"/>
  <c r="AM1349" i="16"/>
  <c r="AM1472" i="16"/>
  <c r="AN1407" i="16"/>
  <c r="AO1525" i="16"/>
  <c r="AM1579" i="16"/>
  <c r="AP1396" i="16"/>
  <c r="AN1411" i="16"/>
  <c r="AP1562" i="16"/>
  <c r="AQ1111" i="16"/>
  <c r="AN1568" i="16"/>
  <c r="AQ1159" i="16"/>
  <c r="AN1394" i="16"/>
  <c r="AM1513" i="16"/>
  <c r="AN1471" i="16"/>
  <c r="AP1550" i="16"/>
  <c r="AP1480" i="16"/>
  <c r="AQ1058" i="16"/>
  <c r="AQ1142" i="16"/>
  <c r="AN1448" i="16"/>
  <c r="AP1503" i="16"/>
  <c r="AN1363" i="16"/>
  <c r="AO1428" i="16"/>
  <c r="AP1549" i="16"/>
  <c r="AP1486" i="16"/>
  <c r="AP1471" i="16"/>
  <c r="AN1428" i="16"/>
  <c r="AO1517" i="16"/>
  <c r="AP1512" i="16"/>
  <c r="AP1400" i="16"/>
  <c r="AO1538" i="16"/>
  <c r="AQ1067" i="16"/>
  <c r="AN1478" i="16"/>
  <c r="AM1568" i="16"/>
  <c r="AM1526" i="16"/>
  <c r="AP1595" i="16"/>
  <c r="AM1432" i="16"/>
  <c r="AM1475" i="16"/>
  <c r="AP1590" i="16"/>
  <c r="AQ1088" i="16"/>
  <c r="AM1504" i="16"/>
  <c r="AM1482" i="16"/>
  <c r="AP1546" i="16"/>
  <c r="AQ1160" i="16"/>
  <c r="AQ1063" i="16"/>
  <c r="AP1464" i="16"/>
  <c r="AO1448" i="16"/>
  <c r="AN1538" i="16"/>
  <c r="AM1585" i="16"/>
  <c r="AQ1094" i="16"/>
  <c r="AO1481" i="16"/>
  <c r="AM1461" i="16"/>
  <c r="AP1575" i="16"/>
  <c r="AP1437" i="16"/>
  <c r="AM1553" i="16"/>
  <c r="AQ1041" i="16"/>
  <c r="AN1366" i="16"/>
  <c r="AM1528" i="16"/>
  <c r="AP1440" i="16"/>
  <c r="AP1533" i="16"/>
  <c r="AQ1013" i="16"/>
  <c r="AP1505" i="16"/>
  <c r="AO1357" i="16"/>
  <c r="AM1480" i="16"/>
  <c r="AP1423" i="16"/>
  <c r="AP1523" i="16"/>
  <c r="AM1574" i="16"/>
  <c r="AO1433" i="16"/>
  <c r="AN1468" i="16"/>
  <c r="AN1482" i="16"/>
  <c r="AM1389" i="16"/>
  <c r="AQ982" i="16"/>
  <c r="AM1443" i="16"/>
  <c r="AP1379" i="16"/>
  <c r="AP1477" i="16"/>
  <c r="AN1498" i="16"/>
  <c r="AP1557" i="16"/>
  <c r="AM1599" i="16"/>
  <c r="AQ1072" i="16"/>
  <c r="AM1452" i="16"/>
  <c r="AP1593" i="16"/>
  <c r="AN1463" i="16"/>
  <c r="AN1509" i="16"/>
  <c r="AM1531" i="16"/>
  <c r="AQ995" i="16"/>
  <c r="AM1414" i="16"/>
  <c r="AN1520" i="16"/>
  <c r="AO1571" i="16"/>
  <c r="AP1490" i="16"/>
  <c r="AM1537" i="16"/>
  <c r="AQ990" i="16"/>
  <c r="AO1467" i="16"/>
  <c r="AO1420" i="16"/>
  <c r="AP1537" i="16"/>
  <c r="AN1569" i="16"/>
  <c r="AQ1068" i="16"/>
  <c r="AN1451" i="16"/>
  <c r="AN1566" i="16"/>
  <c r="AQ1192" i="16"/>
  <c r="AQ1020" i="16"/>
  <c r="AO1345" i="16"/>
  <c r="AO1460" i="16"/>
  <c r="AN1449" i="16"/>
  <c r="AO1356" i="16"/>
  <c r="AO1453" i="16"/>
  <c r="AN1559" i="16"/>
  <c r="AN1438" i="16"/>
  <c r="AQ960" i="16"/>
  <c r="AN1565" i="16"/>
  <c r="AM1506" i="16"/>
  <c r="AN1456" i="16"/>
  <c r="AN1572" i="16"/>
  <c r="AO1471" i="16"/>
  <c r="AP1418" i="16"/>
  <c r="AO1556" i="16"/>
  <c r="AP1544" i="16"/>
  <c r="AQ1096" i="16"/>
  <c r="AO1391" i="16"/>
  <c r="AO1507" i="16"/>
  <c r="AN1479" i="16"/>
  <c r="AM1572" i="16"/>
  <c r="AP1398" i="16"/>
  <c r="AO1514" i="16"/>
  <c r="AO1468" i="16"/>
  <c r="AP1559" i="16"/>
  <c r="AQ981" i="16"/>
  <c r="AN1406" i="16"/>
  <c r="AO1540" i="16"/>
  <c r="AN1553" i="16"/>
  <c r="AQ1021" i="16"/>
  <c r="AO1381" i="16"/>
  <c r="AM1457" i="16"/>
  <c r="AP1456" i="16"/>
  <c r="AP1458" i="16"/>
  <c r="AM1477" i="16"/>
  <c r="AM1561" i="16"/>
  <c r="AQ1157" i="16"/>
  <c r="AM1560" i="16"/>
  <c r="AQ1066" i="16"/>
  <c r="AN1408" i="16"/>
  <c r="AN1540" i="16"/>
  <c r="AM1364" i="16"/>
  <c r="AP1448" i="16"/>
  <c r="AQ1087" i="16"/>
  <c r="AO1440" i="16"/>
  <c r="AO1572" i="16"/>
  <c r="AP1466" i="16"/>
  <c r="AQ1158" i="16"/>
  <c r="AO1568" i="16"/>
  <c r="AO1365" i="16"/>
  <c r="AP1380" i="16"/>
  <c r="AN1391" i="16"/>
  <c r="AP1516" i="16"/>
  <c r="AM1567" i="16"/>
  <c r="AQ1012" i="16"/>
  <c r="AO1551" i="16"/>
  <c r="AQ1136" i="16"/>
  <c r="AM1465" i="16"/>
  <c r="AQ1146" i="16"/>
  <c r="AQ971" i="16"/>
  <c r="AN1447" i="16"/>
  <c r="AN1402" i="16"/>
  <c r="AM1518" i="16"/>
  <c r="AM1571" i="16"/>
  <c r="AN1516" i="16"/>
  <c r="AO1478" i="16"/>
  <c r="AP1570" i="16"/>
  <c r="AQ1042" i="16"/>
  <c r="AP1521" i="16"/>
  <c r="AQ1266" i="16"/>
  <c r="AN1386" i="16"/>
  <c r="AN1523" i="16"/>
  <c r="AO1592" i="16"/>
  <c r="AQ1183" i="16"/>
  <c r="AM1595" i="16"/>
  <c r="AO1559" i="16"/>
  <c r="AN1435" i="16"/>
  <c r="AM1486" i="16"/>
  <c r="AN1524" i="16"/>
  <c r="AQ987" i="16"/>
  <c r="AO1480" i="16"/>
  <c r="AN1564" i="16"/>
  <c r="AO1425" i="16"/>
  <c r="AM1383" i="16"/>
  <c r="AN1494" i="16"/>
  <c r="AO1580" i="16"/>
  <c r="AM1365" i="16"/>
  <c r="AN1489" i="16"/>
  <c r="AM1387" i="16"/>
  <c r="AN1469" i="16"/>
  <c r="AO1569" i="16"/>
  <c r="AO1374" i="16"/>
  <c r="AO1452" i="16"/>
  <c r="AN1589" i="16"/>
  <c r="AQ1124" i="16"/>
  <c r="AM1497" i="16"/>
  <c r="AP1482" i="16"/>
  <c r="AN1573" i="16"/>
  <c r="AM1597" i="16"/>
  <c r="AM1578" i="16"/>
  <c r="AP1513" i="16"/>
  <c r="AM1592" i="16"/>
  <c r="AP1500" i="16"/>
  <c r="AQ1028" i="16"/>
  <c r="AO1513" i="16"/>
  <c r="AN1474" i="16"/>
  <c r="AO1438" i="16"/>
  <c r="AM1524" i="16"/>
  <c r="AN1578" i="16"/>
  <c r="AO1462" i="16"/>
  <c r="AM1569" i="16"/>
  <c r="AQ1152" i="16"/>
  <c r="AQ1148" i="16"/>
  <c r="AM1456" i="16"/>
  <c r="AP1431" i="16"/>
  <c r="AO1521" i="16"/>
  <c r="AO1578" i="16"/>
  <c r="AQ986" i="16"/>
  <c r="AM1378" i="16"/>
  <c r="AO1591" i="16"/>
  <c r="AO1447" i="16"/>
  <c r="AM1563" i="16"/>
  <c r="AQ1098" i="16"/>
  <c r="AM1359" i="16"/>
  <c r="AO1473" i="16"/>
  <c r="AM1522" i="16"/>
  <c r="AQ977" i="16"/>
  <c r="AP1451" i="16"/>
  <c r="AO1584" i="16"/>
  <c r="AP1443" i="16"/>
  <c r="AM1464" i="16"/>
  <c r="AP1408" i="16"/>
  <c r="AO1531" i="16"/>
  <c r="AM1589" i="16"/>
  <c r="AM1509" i="16"/>
  <c r="AM1566" i="16"/>
  <c r="AO1459" i="16"/>
  <c r="AN1340" i="16"/>
  <c r="AN1477" i="16"/>
  <c r="AQ1006" i="16"/>
  <c r="AQ1057" i="16"/>
  <c r="AN1434" i="16"/>
  <c r="AM1493" i="16"/>
  <c r="AM1350" i="16"/>
  <c r="AP1417" i="16"/>
  <c r="AM1542" i="16"/>
  <c r="AQ1106" i="16"/>
  <c r="AQ1113" i="16"/>
  <c r="AN1570" i="16"/>
  <c r="AM1508" i="16"/>
  <c r="AN1546" i="16"/>
  <c r="AQ1102" i="16"/>
  <c r="AP1347" i="16"/>
  <c r="AM1433" i="16"/>
  <c r="AN1551" i="16"/>
  <c r="AQ1010" i="16"/>
  <c r="AP1438" i="16"/>
  <c r="AP1432" i="16"/>
  <c r="AO1535" i="16"/>
  <c r="AN1356" i="16"/>
  <c r="AM1479" i="16"/>
  <c r="AP1520" i="16"/>
  <c r="AO1577" i="16"/>
  <c r="AQ1060" i="16"/>
  <c r="AM1474" i="16"/>
  <c r="AN1499" i="16"/>
  <c r="AN1577" i="16"/>
  <c r="AQ1171" i="16"/>
  <c r="AN1454" i="16"/>
  <c r="AP1568" i="16"/>
  <c r="AQ1100" i="16"/>
  <c r="AM1516" i="16"/>
  <c r="AM1549" i="16"/>
  <c r="AQ1116" i="16"/>
  <c r="AN1475" i="16"/>
  <c r="AO1586" i="16"/>
  <c r="AP1554" i="16"/>
  <c r="AQ1189" i="16"/>
  <c r="AO1375" i="16"/>
  <c r="AP1510" i="16"/>
  <c r="AN1413" i="16"/>
  <c r="AO1549" i="16"/>
  <c r="AQ966" i="16"/>
  <c r="AN1399" i="16"/>
  <c r="AN1483" i="16"/>
  <c r="AO1575" i="16"/>
  <c r="AQ1239" i="16"/>
  <c r="AM1429" i="16"/>
  <c r="AP1358" i="16"/>
  <c r="AP1416" i="16"/>
  <c r="AP1576" i="16"/>
  <c r="AM1515" i="16"/>
  <c r="AO1354" i="16"/>
  <c r="AM1425" i="16"/>
  <c r="AQ1062" i="16"/>
  <c r="AP1592" i="16"/>
  <c r="AQ1109" i="16"/>
  <c r="AO1476" i="16"/>
  <c r="AP1577" i="16"/>
  <c r="AN1414" i="16"/>
  <c r="AP1528" i="16"/>
  <c r="AO1435" i="16"/>
  <c r="AM1535" i="16"/>
  <c r="AO1441" i="16"/>
  <c r="AM1492" i="16"/>
  <c r="AQ985" i="16"/>
  <c r="AN1431" i="16"/>
  <c r="AQ1027" i="16"/>
  <c r="AM1405" i="16"/>
  <c r="AO1522" i="16"/>
  <c r="AQ1022" i="16"/>
  <c r="AP1387" i="16"/>
  <c r="AN1545" i="16"/>
  <c r="AN1579" i="16"/>
  <c r="AQ1134" i="16"/>
  <c r="AQ1007" i="16"/>
  <c r="AO1437" i="16"/>
  <c r="AQ1193" i="16"/>
  <c r="AN1420" i="16"/>
  <c r="AP1506" i="16"/>
  <c r="AO1385" i="16"/>
  <c r="AO1485" i="16"/>
  <c r="AN1561" i="16"/>
  <c r="AQ1015" i="16"/>
  <c r="AO1496" i="16"/>
  <c r="AO1423" i="16"/>
  <c r="AO1567" i="16"/>
  <c r="AQ1257" i="16"/>
  <c r="AN1432" i="16"/>
  <c r="AQ1080" i="16"/>
  <c r="AN1441" i="16"/>
  <c r="AP1386" i="16"/>
  <c r="AM1496" i="16"/>
  <c r="AP1452" i="16"/>
  <c r="AP1547" i="16"/>
  <c r="AP1571" i="16"/>
  <c r="AM1399" i="16"/>
  <c r="AN1598" i="16"/>
  <c r="AP1493" i="16"/>
  <c r="AO1590" i="16"/>
  <c r="AN1539" i="16"/>
  <c r="AQ1133" i="16"/>
  <c r="AP1470" i="16"/>
  <c r="AN1521" i="16"/>
  <c r="AO1429" i="16"/>
  <c r="AO1532" i="16"/>
  <c r="AO1482" i="16"/>
  <c r="AO1512" i="16"/>
  <c r="AO1384" i="16"/>
  <c r="AO1474" i="16"/>
  <c r="AN1531" i="16"/>
  <c r="AP1581" i="16"/>
  <c r="AQ1023" i="16"/>
  <c r="AO1487" i="16"/>
  <c r="AM1583" i="16"/>
  <c r="AQ1110" i="16"/>
  <c r="AN1493" i="16"/>
  <c r="AN1594" i="16"/>
  <c r="AQ1105" i="16"/>
  <c r="AP1414" i="16"/>
  <c r="AO1545" i="16"/>
  <c r="AQ1004" i="16"/>
  <c r="AM1510" i="16"/>
  <c r="AO1547" i="16"/>
  <c r="AQ1155" i="16"/>
  <c r="AN1480" i="16"/>
  <c r="AM1565" i="16"/>
  <c r="AQ1103" i="16"/>
  <c r="AN1464" i="16"/>
  <c r="AO1574" i="16"/>
  <c r="AO1442" i="16"/>
  <c r="AN1396" i="16"/>
  <c r="AN1505" i="16"/>
  <c r="AN1562" i="16"/>
  <c r="AN1460" i="16"/>
  <c r="AN1453" i="16"/>
  <c r="AM1491" i="16"/>
  <c r="AP1563" i="16"/>
  <c r="AP1586" i="16"/>
  <c r="AO1458" i="16"/>
  <c r="AO1500" i="16"/>
  <c r="AQ1135" i="16"/>
  <c r="AO1444" i="16"/>
  <c r="AO1412" i="16"/>
  <c r="AP1479" i="16"/>
  <c r="AM1564" i="16"/>
  <c r="AP1487" i="16"/>
  <c r="AO1561" i="16"/>
  <c r="AQ1119" i="16"/>
  <c r="AN1433" i="16"/>
  <c r="AN1533" i="16"/>
  <c r="AP1600" i="16"/>
  <c r="AN1418" i="16"/>
  <c r="AO1495" i="16"/>
  <c r="AP1584" i="16"/>
  <c r="AO1436" i="16"/>
  <c r="AP1461" i="16"/>
  <c r="AP1412" i="16"/>
  <c r="AP1542" i="16"/>
  <c r="AQ1048" i="16"/>
  <c r="AM1490" i="16"/>
  <c r="AN1342" i="16"/>
  <c r="AM1427" i="16"/>
  <c r="AN1537" i="16"/>
  <c r="AM1582" i="16"/>
  <c r="AQ1011" i="16"/>
  <c r="AQ988" i="16"/>
  <c r="AQ1026" i="16"/>
  <c r="AM1343" i="16"/>
  <c r="AP1436" i="16"/>
  <c r="AQ1112" i="16"/>
  <c r="AM1438" i="16"/>
  <c r="AM1471" i="16"/>
  <c r="AP1462" i="16"/>
  <c r="AP1565" i="16"/>
  <c r="AQ972" i="16"/>
  <c r="AO1579" i="16"/>
  <c r="AQ1073" i="16"/>
  <c r="AP1460" i="16"/>
  <c r="AP1518" i="16"/>
  <c r="AQ1008" i="16"/>
  <c r="AN1400" i="16"/>
  <c r="AN1490" i="16"/>
  <c r="AP1582" i="16"/>
  <c r="AO1484" i="16"/>
  <c r="AN1582" i="16"/>
  <c r="AN1416" i="16"/>
  <c r="AM1530" i="16"/>
  <c r="AN1575" i="16"/>
  <c r="AO1553" i="16"/>
  <c r="AQ1092" i="16"/>
  <c r="AN1384" i="16"/>
  <c r="AN1510" i="16"/>
  <c r="AO1492" i="16"/>
  <c r="AM1562" i="16"/>
  <c r="AQ1250" i="16"/>
  <c r="AO1393" i="16"/>
  <c r="AM1415" i="16"/>
  <c r="AM1543" i="16"/>
  <c r="AQ1108" i="16"/>
  <c r="AN1437" i="16"/>
  <c r="AO1501" i="16"/>
  <c r="AO1541" i="16"/>
  <c r="AQ1047" i="16"/>
  <c r="AP1538" i="16"/>
  <c r="AQ1070" i="16"/>
  <c r="AQ1046" i="16"/>
  <c r="AM1519" i="16"/>
  <c r="AM1588" i="16"/>
  <c r="AP1457" i="16"/>
  <c r="AM1485" i="16"/>
  <c r="AP1589" i="16"/>
  <c r="AN1492" i="16"/>
  <c r="AM1424" i="16"/>
  <c r="AP1536" i="16"/>
  <c r="AQ1064" i="16"/>
  <c r="AM1379" i="16"/>
  <c r="AP1453" i="16"/>
  <c r="AN1563" i="16"/>
  <c r="AQ1030" i="16"/>
  <c r="AM1398" i="16"/>
  <c r="AP1585" i="16"/>
  <c r="AQ1095" i="16"/>
  <c r="AO1466" i="16"/>
  <c r="AP1555" i="16"/>
  <c r="AN1440" i="16"/>
  <c r="AM1423" i="16"/>
  <c r="AQ958" i="16"/>
  <c r="AQ1149" i="16"/>
  <c r="AO1502" i="16"/>
  <c r="AM1386" i="16"/>
  <c r="AN1528" i="16"/>
  <c r="AO1404" i="16"/>
  <c r="AM1473" i="16"/>
  <c r="AN1476" i="16"/>
  <c r="AP1573" i="16"/>
  <c r="AN1599" i="16"/>
  <c r="AP1403" i="16"/>
  <c r="AP1473" i="16"/>
  <c r="AO1415" i="16"/>
  <c r="AQ983" i="16"/>
  <c r="AO1588" i="16"/>
  <c r="AO1455" i="16"/>
  <c r="AN1585" i="16"/>
  <c r="AO1550" i="16"/>
  <c r="AQ993" i="16"/>
  <c r="AP1455" i="16"/>
  <c r="AQ1125" i="16"/>
  <c r="AM1381" i="16"/>
  <c r="AN1425" i="16"/>
  <c r="AM1547" i="16"/>
  <c r="AM1451" i="16"/>
  <c r="AP1361" i="16"/>
  <c r="AQ1002" i="16"/>
  <c r="AQ1031" i="16"/>
  <c r="AP1578" i="16"/>
  <c r="AQ1249" i="16"/>
  <c r="AO1419" i="16"/>
  <c r="AP1539" i="16"/>
  <c r="AQ1139" i="16"/>
  <c r="AN1359" i="16"/>
  <c r="AO1439" i="16"/>
  <c r="AO1570" i="16"/>
  <c r="AP1450" i="16"/>
  <c r="AO1397" i="16"/>
  <c r="AM1512" i="16"/>
  <c r="AM1488" i="16"/>
  <c r="AP1558" i="16"/>
  <c r="AQ1054" i="16"/>
  <c r="AN1457" i="16"/>
  <c r="AN1430" i="16"/>
  <c r="AP1530" i="16"/>
  <c r="AQ1018" i="16"/>
  <c r="AN1557" i="16"/>
  <c r="AP1488" i="16"/>
  <c r="AO1509" i="16"/>
  <c r="AN1542" i="16"/>
  <c r="AP1445" i="16"/>
  <c r="AP1594" i="16"/>
  <c r="AQ1180" i="16"/>
  <c r="AM1380" i="16"/>
  <c r="AQ1156" i="16"/>
  <c r="AN1353" i="16"/>
  <c r="AO1488" i="16"/>
  <c r="AN1446" i="16"/>
  <c r="AO1527" i="16"/>
  <c r="AN1412" i="16"/>
  <c r="AM1468" i="16"/>
  <c r="AM1557" i="16"/>
  <c r="AQ1145" i="16"/>
  <c r="AM1511" i="16"/>
  <c r="AO1456" i="16"/>
  <c r="AQ964" i="16"/>
  <c r="AP1579" i="16"/>
  <c r="AQ1187" i="16"/>
  <c r="AM1507" i="16"/>
  <c r="AQ1085" i="16"/>
  <c r="AN1495" i="16"/>
  <c r="AM1498" i="16"/>
  <c r="AN1466" i="16"/>
  <c r="AM1539" i="16"/>
  <c r="AQ1121" i="16"/>
  <c r="AN1532" i="16"/>
  <c r="AQ970" i="16"/>
  <c r="AQ1075" i="16"/>
  <c r="AP1439" i="16"/>
  <c r="AQ1118" i="16"/>
  <c r="AP1495" i="16"/>
  <c r="AP1465" i="16"/>
  <c r="AN1389" i="16"/>
  <c r="AO1463" i="16"/>
  <c r="AN1555" i="16"/>
  <c r="AP1517" i="16"/>
  <c r="AQ1016" i="16"/>
  <c r="AP1498" i="16"/>
  <c r="AN1473" i="16"/>
  <c r="AO1589" i="16"/>
  <c r="AN1507" i="16"/>
  <c r="AO1349" i="16"/>
  <c r="AO1506" i="16"/>
  <c r="AM1538" i="16"/>
  <c r="AQ999" i="16"/>
  <c r="AP1494" i="16"/>
  <c r="AP1476" i="16"/>
  <c r="AO1562" i="16"/>
  <c r="AQ1065" i="16"/>
  <c r="AN1462" i="16"/>
  <c r="AN1403" i="16"/>
  <c r="AN1486" i="16"/>
  <c r="AO1558" i="16"/>
  <c r="AN1401" i="16"/>
  <c r="AP1514" i="16"/>
  <c r="AM1421" i="16"/>
  <c r="AN1529" i="16"/>
  <c r="AN1571" i="16"/>
  <c r="AQ1036" i="16"/>
  <c r="AP1447" i="16"/>
  <c r="AM1422" i="16"/>
  <c r="AQ1132" i="16"/>
  <c r="AM1459" i="16"/>
  <c r="AM1392" i="16"/>
  <c r="AO1505" i="16"/>
  <c r="AP1522" i="16"/>
  <c r="AN1580" i="16"/>
  <c r="AP1597" i="16"/>
  <c r="AO1563" i="16"/>
  <c r="AQ1029" i="16"/>
  <c r="AP1551" i="16"/>
  <c r="AQ1185" i="16"/>
  <c r="AO1392" i="16"/>
  <c r="AN1552" i="16"/>
  <c r="AO1528" i="16"/>
  <c r="AM1494" i="16"/>
  <c r="AM1484" i="16"/>
  <c r="AN1567" i="16"/>
  <c r="AO1536" i="16"/>
  <c r="AQ1049" i="16"/>
  <c r="AO1543" i="16"/>
  <c r="AQ989" i="16"/>
  <c r="AP1405" i="16"/>
  <c r="AM1470" i="16"/>
  <c r="AM1546" i="16"/>
  <c r="AM1409" i="16"/>
  <c r="AP1552" i="16"/>
  <c r="AQ1243" i="16"/>
  <c r="AP1529" i="16"/>
  <c r="AQ1055" i="16"/>
  <c r="AP1421" i="16"/>
  <c r="AP1475" i="16"/>
  <c r="AN1508" i="16"/>
  <c r="AO1576" i="16"/>
  <c r="AQ1079" i="16"/>
  <c r="AM1521" i="16"/>
  <c r="AM1596" i="16"/>
  <c r="AP1540" i="16"/>
  <c r="AQ1090" i="16"/>
  <c r="AO1526" i="16"/>
  <c r="AQ984" i="16"/>
  <c r="AN1355" i="16"/>
  <c r="AO1461" i="16"/>
  <c r="AM1460" i="16"/>
  <c r="AM1556" i="16"/>
  <c r="AQ1056" i="16"/>
  <c r="AP1501" i="16"/>
  <c r="AN1445" i="16"/>
  <c r="AP1524" i="16"/>
  <c r="AM1453" i="16"/>
  <c r="AM1382" i="16"/>
  <c r="AO1518" i="16"/>
  <c r="AN1590" i="16"/>
  <c r="AP1491" i="16"/>
  <c r="AM1469" i="16"/>
  <c r="AQ1005" i="16"/>
  <c r="AN1395" i="16"/>
  <c r="AO1493" i="16"/>
  <c r="AO1593" i="16"/>
  <c r="AP1489" i="16"/>
  <c r="AQ1267" i="16"/>
  <c r="AO1497" i="16"/>
  <c r="AO1520" i="16"/>
  <c r="AM1593" i="16"/>
  <c r="AP1378" i="16"/>
  <c r="AM1505" i="16"/>
  <c r="AM1446" i="16"/>
  <c r="AN1515" i="16"/>
  <c r="AO1566" i="16"/>
  <c r="AO1470" i="16"/>
  <c r="AM1455" i="16"/>
  <c r="AO1454" i="16"/>
  <c r="AM1551" i="16"/>
  <c r="AQ969" i="16"/>
  <c r="AM1587" i="16"/>
  <c r="AP1391" i="16"/>
  <c r="AQ1138" i="16"/>
  <c r="AP1548" i="16"/>
  <c r="AQ1177" i="16"/>
  <c r="AM1367" i="16"/>
  <c r="AN1501" i="16"/>
  <c r="AP1535" i="16"/>
  <c r="AQ957" i="16"/>
  <c r="AO1409" i="16"/>
  <c r="AO1598" i="16"/>
  <c r="Z1020" i="16"/>
  <c r="Z1027" i="16"/>
  <c r="Z1177" i="16"/>
  <c r="Z1178" i="16"/>
  <c r="AP1149" i="2"/>
  <c r="AP1077" i="2"/>
  <c r="AP1003" i="2"/>
  <c r="AP394" i="2"/>
  <c r="AS394" i="2" s="1"/>
  <c r="AU394" i="2" s="1"/>
  <c r="AP177" i="2"/>
  <c r="AP740" i="2"/>
  <c r="AP620" i="2"/>
  <c r="AP907" i="2"/>
  <c r="AP701" i="2"/>
  <c r="AM1108" i="2"/>
  <c r="AM1031" i="2"/>
  <c r="AP854" i="2"/>
  <c r="AP626" i="2"/>
  <c r="AP518" i="2"/>
  <c r="AP565" i="2"/>
  <c r="AP767" i="2"/>
  <c r="AP407" i="2"/>
  <c r="O1115" i="16"/>
  <c r="AH1115" i="2"/>
  <c r="AI1115" i="2" s="1"/>
  <c r="B686" i="16"/>
  <c r="AQ686" i="2"/>
  <c r="AS686" i="2" s="1"/>
  <c r="AU686" i="2" s="1"/>
  <c r="B727" i="16"/>
  <c r="AQ727" i="2"/>
  <c r="AS727" i="2" s="1"/>
  <c r="AU727" i="2" s="1"/>
  <c r="B737" i="16"/>
  <c r="AQ737" i="2"/>
  <c r="AS737" i="2" s="1"/>
  <c r="AU737" i="2" s="1"/>
  <c r="R737" i="16" s="1"/>
  <c r="AT737" i="16" s="1"/>
  <c r="B810" i="16"/>
  <c r="AQ810" i="2"/>
  <c r="AS810" i="2" s="1"/>
  <c r="AU810" i="2" s="1"/>
  <c r="B1021" i="16"/>
  <c r="AQ1021" i="2"/>
  <c r="B1028" i="16"/>
  <c r="Z1029" i="2"/>
  <c r="AQ1028" i="2"/>
  <c r="AS1028" i="2" s="1"/>
  <c r="AU1028" i="2" s="1"/>
  <c r="B1087" i="16"/>
  <c r="AQ1087" i="2"/>
  <c r="AS1087" i="2" s="1"/>
  <c r="AU1087" i="2" s="1"/>
  <c r="R1087" i="16" s="1"/>
  <c r="B1115" i="16"/>
  <c r="AQ1115" i="2"/>
  <c r="B1117" i="16"/>
  <c r="AQ1117" i="2"/>
  <c r="AS1117" i="2" s="1"/>
  <c r="AU1117" i="2" s="1"/>
  <c r="R1117" i="16" s="1"/>
  <c r="AL936" i="2"/>
  <c r="AK936" i="2"/>
  <c r="AH936" i="2"/>
  <c r="O901" i="16"/>
  <c r="AL901" i="2"/>
  <c r="AK901" i="2"/>
  <c r="AH901" i="2"/>
  <c r="O731" i="16"/>
  <c r="AH731" i="2"/>
  <c r="O1087" i="16"/>
  <c r="AH1087" i="2"/>
  <c r="O810" i="16"/>
  <c r="AH810" i="2"/>
  <c r="O709" i="16"/>
  <c r="AK709" i="2"/>
  <c r="AL709" i="2"/>
  <c r="AH709" i="2"/>
  <c r="B1127" i="16"/>
  <c r="AQ1127" i="2"/>
  <c r="AS1127" i="2" s="1"/>
  <c r="AU1127" i="2" s="1"/>
  <c r="B990" i="16"/>
  <c r="AQ990" i="2"/>
  <c r="AS990" i="2" s="1"/>
  <c r="AU990" i="2" s="1"/>
  <c r="B937" i="16"/>
  <c r="AQ937" i="2"/>
  <c r="AS937" i="2" s="1"/>
  <c r="AU937" i="2" s="1"/>
  <c r="H798" i="16"/>
  <c r="AI798" i="2"/>
  <c r="O1146" i="16"/>
  <c r="AH1146" i="2"/>
  <c r="O996" i="16"/>
  <c r="AK996" i="2"/>
  <c r="AH996" i="2"/>
  <c r="AN996" i="2"/>
  <c r="AL996" i="2"/>
  <c r="O655" i="16"/>
  <c r="AH655" i="2"/>
  <c r="H831" i="16"/>
  <c r="AI831" i="2"/>
  <c r="O1065" i="16"/>
  <c r="AH1065" i="2"/>
  <c r="B1015" i="16"/>
  <c r="AQ1015" i="2"/>
  <c r="AS1015" i="2" s="1"/>
  <c r="AU1015" i="2" s="1"/>
  <c r="B731" i="16"/>
  <c r="AQ731" i="2"/>
  <c r="AS731" i="2" s="1"/>
  <c r="AU731" i="2" s="1"/>
  <c r="B678" i="16"/>
  <c r="AQ678" i="2"/>
  <c r="AS678" i="2" s="1"/>
  <c r="AU678" i="2" s="1"/>
  <c r="R678" i="16" s="1"/>
  <c r="AT678" i="16" s="1"/>
  <c r="H891" i="16"/>
  <c r="AI891" i="2"/>
  <c r="O1127" i="16"/>
  <c r="AL1127" i="2"/>
  <c r="AK1127" i="2"/>
  <c r="AH1127" i="2"/>
  <c r="AQ277" i="2"/>
  <c r="AS277" i="2" s="1"/>
  <c r="AU277" i="2" s="1"/>
  <c r="AQ276" i="2"/>
  <c r="AS276" i="2" s="1"/>
  <c r="AU276" i="2" s="1"/>
  <c r="R276" i="16" s="1"/>
  <c r="AT276" i="16" s="1"/>
  <c r="O904" i="16"/>
  <c r="AH904" i="2"/>
  <c r="P904" i="16" s="1"/>
  <c r="AL904" i="2"/>
  <c r="AK904" i="2"/>
  <c r="B471" i="16"/>
  <c r="AQ471" i="2"/>
  <c r="AS471" i="2" s="1"/>
  <c r="AU471" i="2" s="1"/>
  <c r="B885" i="16"/>
  <c r="AQ885" i="2"/>
  <c r="AS885" i="2" s="1"/>
  <c r="AU885" i="2" s="1"/>
  <c r="AH664" i="2"/>
  <c r="AN664" i="2"/>
  <c r="B126" i="16"/>
  <c r="AQ126" i="2"/>
  <c r="AS126" i="2" s="1"/>
  <c r="AU126" i="2" s="1"/>
  <c r="B64" i="16"/>
  <c r="AQ64" i="2"/>
  <c r="AS64" i="2" s="1"/>
  <c r="AU64" i="2" s="1"/>
  <c r="B828" i="16"/>
  <c r="AQ828" i="2"/>
  <c r="AS828" i="2" s="1"/>
  <c r="AU828" i="2" s="1"/>
  <c r="B597" i="16"/>
  <c r="AQ597" i="2"/>
  <c r="AS597" i="2" s="1"/>
  <c r="AU597" i="2" s="1"/>
  <c r="AK115" i="2"/>
  <c r="AL115" i="2"/>
  <c r="H131" i="16"/>
  <c r="U132" i="2"/>
  <c r="AL180" i="2"/>
  <c r="AN180" i="2"/>
  <c r="AK180" i="2"/>
  <c r="AM180" i="2" s="1"/>
  <c r="B963" i="16"/>
  <c r="AQ963" i="2"/>
  <c r="AS963" i="2" s="1"/>
  <c r="AU963" i="2" s="1"/>
  <c r="B222" i="16"/>
  <c r="AQ222" i="2"/>
  <c r="AS222" i="2" s="1"/>
  <c r="AU222" i="2" s="1"/>
  <c r="AK804" i="2"/>
  <c r="AL804" i="2"/>
  <c r="AK902" i="2"/>
  <c r="AH902" i="2"/>
  <c r="P902" i="16" s="1"/>
  <c r="AL902" i="2"/>
  <c r="O756" i="16"/>
  <c r="AL756" i="2"/>
  <c r="AH756" i="2"/>
  <c r="AN756" i="2"/>
  <c r="AK756" i="2"/>
  <c r="AH984" i="2"/>
  <c r="AN984" i="2"/>
  <c r="AK738" i="2"/>
  <c r="AL738" i="2"/>
  <c r="AK471" i="2"/>
  <c r="AL471" i="2"/>
  <c r="O380" i="16"/>
  <c r="AH380" i="2"/>
  <c r="AK380" i="2"/>
  <c r="AL380" i="2"/>
  <c r="AK271" i="2"/>
  <c r="AM271" i="2" s="1"/>
  <c r="AL271" i="2"/>
  <c r="AN271" i="2"/>
  <c r="AL763" i="2"/>
  <c r="AK763" i="2"/>
  <c r="AM763" i="2" s="1"/>
  <c r="AL733" i="2"/>
  <c r="AK733" i="2"/>
  <c r="AG285" i="2"/>
  <c r="AL284" i="2"/>
  <c r="AK284" i="2"/>
  <c r="AN163" i="2"/>
  <c r="AL163" i="2"/>
  <c r="AK163" i="2"/>
  <c r="AM163" i="2" s="1"/>
  <c r="AK81" i="2"/>
  <c r="AL81" i="2"/>
  <c r="B796" i="16"/>
  <c r="AQ796" i="2"/>
  <c r="AS796" i="2" s="1"/>
  <c r="AU796" i="2" s="1"/>
  <c r="B607" i="16"/>
  <c r="AQ607" i="2"/>
  <c r="AS607" i="2" s="1"/>
  <c r="AU607" i="2" s="1"/>
  <c r="B263" i="16"/>
  <c r="AQ263" i="2"/>
  <c r="AS263" i="2" s="1"/>
  <c r="AU263" i="2" s="1"/>
  <c r="B248" i="16"/>
  <c r="AQ248" i="2"/>
  <c r="AS248" i="2" s="1"/>
  <c r="AU248" i="2" s="1"/>
  <c r="B217" i="16"/>
  <c r="AQ217" i="2"/>
  <c r="AS217" i="2" s="1"/>
  <c r="AU217" i="2" s="1"/>
  <c r="B203" i="16"/>
  <c r="AQ203" i="2"/>
  <c r="AS203" i="2" s="1"/>
  <c r="AU203" i="2" s="1"/>
  <c r="B163" i="16"/>
  <c r="AQ163" i="2"/>
  <c r="AS163" i="2" s="1"/>
  <c r="AU163" i="2" s="1"/>
  <c r="R163" i="16" s="1"/>
  <c r="AT163" i="16" s="1"/>
  <c r="AK963" i="2"/>
  <c r="AL963" i="2"/>
  <c r="AH963" i="2"/>
  <c r="AN963" i="2"/>
  <c r="AL729" i="2"/>
  <c r="AN729" i="2" s="1"/>
  <c r="AK729" i="2"/>
  <c r="O1051" i="16"/>
  <c r="AK1051" i="2"/>
  <c r="AN1051" i="2"/>
  <c r="AL1051" i="2"/>
  <c r="AH1051" i="2"/>
  <c r="AL741" i="2"/>
  <c r="AK741" i="2"/>
  <c r="AM741" i="2" s="1"/>
  <c r="O103" i="16"/>
  <c r="AL103" i="2"/>
  <c r="AK103" i="2"/>
  <c r="AN103" i="2"/>
  <c r="AH103" i="2"/>
  <c r="O993" i="16"/>
  <c r="AL993" i="2"/>
  <c r="AH993" i="2"/>
  <c r="P993" i="16" s="1"/>
  <c r="AK993" i="2"/>
  <c r="AL849" i="2"/>
  <c r="AK849" i="2"/>
  <c r="AM849" i="2" s="1"/>
  <c r="B356" i="16"/>
  <c r="AQ356" i="2"/>
  <c r="AS356" i="2" s="1"/>
  <c r="AU356" i="2" s="1"/>
  <c r="B258" i="16"/>
  <c r="AQ258" i="2"/>
  <c r="AS258" i="2" s="1"/>
  <c r="AU258" i="2" s="1"/>
  <c r="AH975" i="2"/>
  <c r="AN975" i="2"/>
  <c r="AK507" i="2"/>
  <c r="AL507" i="2"/>
  <c r="AL273" i="2"/>
  <c r="AK273" i="2"/>
  <c r="AG132" i="2"/>
  <c r="AK131" i="2"/>
  <c r="AL131" i="2"/>
  <c r="AM131" i="2"/>
  <c r="B676" i="16"/>
  <c r="AQ676" i="2"/>
  <c r="AS676" i="2" s="1"/>
  <c r="AU676" i="2" s="1"/>
  <c r="B469" i="16"/>
  <c r="AQ469" i="2"/>
  <c r="AS469" i="2" s="1"/>
  <c r="AU469" i="2" s="1"/>
  <c r="B427" i="16"/>
  <c r="AQ427" i="2"/>
  <c r="AS427" i="2" s="1"/>
  <c r="AU427" i="2" s="1"/>
  <c r="B320" i="16"/>
  <c r="AQ320" i="2"/>
  <c r="AS320" i="2" s="1"/>
  <c r="AU320" i="2" s="1"/>
  <c r="AW320" i="2" s="1"/>
  <c r="B230" i="16"/>
  <c r="AQ230" i="2"/>
  <c r="AS230" i="2" s="1"/>
  <c r="AU230" i="2" s="1"/>
  <c r="B783" i="16"/>
  <c r="AQ783" i="2"/>
  <c r="AS783" i="2" s="1"/>
  <c r="AU783" i="2" s="1"/>
  <c r="AQ738" i="2"/>
  <c r="AS738" i="2" s="1"/>
  <c r="AU738" i="2" s="1"/>
  <c r="B738" i="16"/>
  <c r="B393" i="16"/>
  <c r="AQ393" i="2"/>
  <c r="AS393" i="2" s="1"/>
  <c r="AU393" i="2" s="1"/>
  <c r="B380" i="16"/>
  <c r="AQ380" i="2"/>
  <c r="AS380" i="2" s="1"/>
  <c r="AU380" i="2" s="1"/>
  <c r="B338" i="16"/>
  <c r="AQ338" i="2"/>
  <c r="AS338" i="2" s="1"/>
  <c r="AU338" i="2" s="1"/>
  <c r="AW338" i="2" s="1"/>
  <c r="O277" i="16"/>
  <c r="AN277" i="2"/>
  <c r="AL277" i="2"/>
  <c r="AK277" i="2"/>
  <c r="AH277" i="2"/>
  <c r="AK263" i="2"/>
  <c r="AM263" i="2" s="1"/>
  <c r="AL263" i="2"/>
  <c r="AN263" i="2"/>
  <c r="AK146" i="2"/>
  <c r="AL146" i="2"/>
  <c r="O660" i="16"/>
  <c r="AL660" i="2"/>
  <c r="AK660" i="2"/>
  <c r="AH660" i="2"/>
  <c r="P660" i="16" s="1"/>
  <c r="AK607" i="2"/>
  <c r="AL607" i="2"/>
  <c r="O469" i="16"/>
  <c r="AH469" i="2"/>
  <c r="AK427" i="2"/>
  <c r="AL427" i="2"/>
  <c r="B1017" i="16"/>
  <c r="AQ1017" i="2"/>
  <c r="AS1017" i="2" s="1"/>
  <c r="AU1017" i="2" s="1"/>
  <c r="B807" i="16"/>
  <c r="AQ807" i="2"/>
  <c r="AS807" i="2" s="1"/>
  <c r="AU807" i="2" s="1"/>
  <c r="R807" i="16" s="1"/>
  <c r="AT808" i="16" s="1"/>
  <c r="B599" i="16"/>
  <c r="AQ599" i="2"/>
  <c r="AS599" i="2" s="1"/>
  <c r="AU599" i="2" s="1"/>
  <c r="B155" i="16"/>
  <c r="AQ155" i="2"/>
  <c r="AS155" i="2" s="1"/>
  <c r="AU155" i="2" s="1"/>
  <c r="B143" i="16"/>
  <c r="AQ143" i="2"/>
  <c r="AS143" i="2" s="1"/>
  <c r="AU143" i="2" s="1"/>
  <c r="H284" i="16"/>
  <c r="U285" i="2"/>
  <c r="H285" i="16" s="1"/>
  <c r="AK167" i="2"/>
  <c r="AL167" i="2"/>
  <c r="AK707" i="2"/>
  <c r="AL707" i="2"/>
  <c r="O639" i="16"/>
  <c r="AK639" i="2"/>
  <c r="AH639" i="2"/>
  <c r="AL639" i="2"/>
  <c r="B759" i="16"/>
  <c r="AQ759" i="2"/>
  <c r="AS759" i="2" s="1"/>
  <c r="AU759" i="2" s="1"/>
  <c r="B680" i="16"/>
  <c r="AQ680" i="2"/>
  <c r="AS680" i="2" s="1"/>
  <c r="AU680" i="2" s="1"/>
  <c r="B385" i="16"/>
  <c r="AQ385" i="2"/>
  <c r="AS385" i="2" s="1"/>
  <c r="AU385" i="2" s="1"/>
  <c r="B358" i="16"/>
  <c r="AQ358" i="2"/>
  <c r="AS358" i="2" s="1"/>
  <c r="AU358" i="2" s="1"/>
  <c r="B295" i="16"/>
  <c r="AQ295" i="2"/>
  <c r="AS295" i="2" s="1"/>
  <c r="AU295" i="2" s="1"/>
  <c r="B167" i="16"/>
  <c r="AQ167" i="2"/>
  <c r="AS167" i="2" s="1"/>
  <c r="AU167" i="2" s="1"/>
  <c r="B975" i="16"/>
  <c r="AQ975" i="2"/>
  <c r="AS975" i="2" s="1"/>
  <c r="AU975" i="2" s="1"/>
  <c r="B567" i="16"/>
  <c r="AQ567" i="2"/>
  <c r="AS567" i="2" s="1"/>
  <c r="AU567" i="2" s="1"/>
  <c r="B180" i="16"/>
  <c r="AQ180" i="2"/>
  <c r="AS180" i="2" s="1"/>
  <c r="AU180" i="2" s="1"/>
  <c r="N666" i="16"/>
  <c r="AF667" i="2"/>
  <c r="N667" i="16" s="1"/>
  <c r="B1073" i="16"/>
  <c r="AQ1073" i="2"/>
  <c r="AS1073" i="2" s="1"/>
  <c r="AU1073" i="2" s="1"/>
  <c r="AW1073" i="2" s="1"/>
  <c r="Z955" i="16"/>
  <c r="AQ955" i="16"/>
  <c r="B849" i="16"/>
  <c r="AQ849" i="2"/>
  <c r="AS849" i="2" s="1"/>
  <c r="AU849" i="2" s="1"/>
  <c r="B804" i="16"/>
  <c r="AQ804" i="2"/>
  <c r="AS804" i="2" s="1"/>
  <c r="AU804" i="2" s="1"/>
  <c r="B763" i="16"/>
  <c r="AQ763" i="2"/>
  <c r="AS763" i="2" s="1"/>
  <c r="AU763" i="2" s="1"/>
  <c r="B660" i="16"/>
  <c r="AQ660" i="2"/>
  <c r="AS660" i="2" s="1"/>
  <c r="AU660" i="2" s="1"/>
  <c r="Z1069" i="16"/>
  <c r="Z969" i="16"/>
  <c r="B733" i="16"/>
  <c r="AQ733" i="2"/>
  <c r="AS733" i="2" s="1"/>
  <c r="AU733" i="2" s="1"/>
  <c r="B718" i="16"/>
  <c r="AQ718" i="2"/>
  <c r="AS718" i="2" s="1"/>
  <c r="AU718" i="2" s="1"/>
  <c r="B273" i="16"/>
  <c r="AQ273" i="2"/>
  <c r="AS273" i="2" s="1"/>
  <c r="AU273" i="2" s="1"/>
  <c r="Z1025" i="16"/>
  <c r="B910" i="16"/>
  <c r="AQ910" i="2"/>
  <c r="AS910" i="2" s="1"/>
  <c r="AU910" i="2" s="1"/>
  <c r="B86" i="16"/>
  <c r="AQ86" i="2"/>
  <c r="AS86" i="2" s="1"/>
  <c r="AU86" i="2" s="1"/>
  <c r="B98" i="16"/>
  <c r="AQ98" i="2"/>
  <c r="AS98" i="2" s="1"/>
  <c r="AU98" i="2" s="1"/>
  <c r="B1051" i="16"/>
  <c r="AQ1051" i="2"/>
  <c r="AS1051" i="2" s="1"/>
  <c r="AU1051" i="2" s="1"/>
  <c r="B984" i="16"/>
  <c r="AQ984" i="2"/>
  <c r="AS984" i="2" s="1"/>
  <c r="AU984" i="2" s="1"/>
  <c r="B922" i="16"/>
  <c r="AQ922" i="2"/>
  <c r="AS922" i="2" s="1"/>
  <c r="AU922" i="2" s="1"/>
  <c r="B199" i="16"/>
  <c r="AQ199" i="2"/>
  <c r="AS199" i="2" s="1"/>
  <c r="AU199" i="2" s="1"/>
  <c r="B1142" i="16"/>
  <c r="AQ1142" i="2"/>
  <c r="AS1142" i="2" s="1"/>
  <c r="AU1142" i="2" s="1"/>
  <c r="R1142" i="16" s="1"/>
  <c r="B211" i="16"/>
  <c r="AQ211" i="2"/>
  <c r="AS211" i="2" s="1"/>
  <c r="AU211" i="2" s="1"/>
  <c r="Z980" i="16"/>
  <c r="B756" i="16"/>
  <c r="AQ756" i="2"/>
  <c r="AS756" i="2" s="1"/>
  <c r="AU756" i="2" s="1"/>
  <c r="B682" i="16"/>
  <c r="AQ682" i="2"/>
  <c r="B394" i="16"/>
  <c r="AQ394" i="2"/>
  <c r="B209" i="16"/>
  <c r="AQ209" i="2"/>
  <c r="AS209" i="2" s="1"/>
  <c r="AU209" i="2" s="1"/>
  <c r="B710" i="16"/>
  <c r="AQ710" i="2"/>
  <c r="AS710" i="2" s="1"/>
  <c r="AU710" i="2" s="1"/>
  <c r="B1154" i="16"/>
  <c r="AQ1154" i="2"/>
  <c r="AS1154" i="2" s="1"/>
  <c r="AU1154" i="2" s="1"/>
  <c r="Z1059" i="16"/>
  <c r="B1005" i="16"/>
  <c r="AQ1005" i="2"/>
  <c r="AS1005" i="2" s="1"/>
  <c r="AU1005" i="2" s="1"/>
  <c r="B993" i="16"/>
  <c r="AQ993" i="2"/>
  <c r="AS993" i="2" s="1"/>
  <c r="AU993" i="2" s="1"/>
  <c r="B81" i="16"/>
  <c r="AQ81" i="2"/>
  <c r="AS81" i="2" s="1"/>
  <c r="AU81" i="2" s="1"/>
  <c r="AW81" i="2" s="1"/>
  <c r="B31" i="16"/>
  <c r="AQ31" i="2"/>
  <c r="AS31" i="2" s="1"/>
  <c r="AU31" i="2" s="1"/>
  <c r="AK922" i="2"/>
  <c r="AL922" i="2"/>
  <c r="O680" i="16"/>
  <c r="AK680" i="2"/>
  <c r="AH680" i="2"/>
  <c r="P680" i="16" s="1"/>
  <c r="AG666" i="2"/>
  <c r="AN665" i="2"/>
  <c r="AK665" i="2"/>
  <c r="AL665" i="2"/>
  <c r="AL498" i="2"/>
  <c r="AK498" i="2"/>
  <c r="AM498" i="2"/>
  <c r="Z1010" i="16"/>
  <c r="AN1002" i="2"/>
  <c r="AH1002" i="2"/>
  <c r="O699" i="16"/>
  <c r="AH699" i="2"/>
  <c r="P699" i="16" s="1"/>
  <c r="AK699" i="2"/>
  <c r="AL699" i="2"/>
  <c r="O599" i="16"/>
  <c r="AH599" i="2"/>
  <c r="AL599" i="2"/>
  <c r="AK599" i="2"/>
  <c r="O521" i="16"/>
  <c r="AL521" i="2"/>
  <c r="AK521" i="2"/>
  <c r="AH521" i="2"/>
  <c r="O295" i="16"/>
  <c r="AL295" i="2"/>
  <c r="AH295" i="2"/>
  <c r="AK295" i="2"/>
  <c r="O203" i="16"/>
  <c r="AK203" i="2"/>
  <c r="AL203" i="2"/>
  <c r="AH203" i="2"/>
  <c r="AK78" i="2"/>
  <c r="AH78" i="2"/>
  <c r="AN78" i="2"/>
  <c r="AL78" i="2"/>
  <c r="B34" i="16"/>
  <c r="AQ34" i="2"/>
  <c r="AS34" i="2" s="1"/>
  <c r="AU34" i="2" s="1"/>
  <c r="Z1024" i="16"/>
  <c r="Z986" i="16"/>
  <c r="AA967" i="16"/>
  <c r="Z965" i="16"/>
  <c r="P924" i="16"/>
  <c r="AI924" i="2"/>
  <c r="P595" i="16"/>
  <c r="AI595" i="2"/>
  <c r="P547" i="16"/>
  <c r="AI547" i="2"/>
  <c r="P833" i="16"/>
  <c r="AI833" i="2"/>
  <c r="P1008" i="16"/>
  <c r="AI1008" i="2"/>
  <c r="P762" i="16"/>
  <c r="AI762" i="2"/>
  <c r="P1112" i="16"/>
  <c r="AI1112" i="2"/>
  <c r="P949" i="16"/>
  <c r="AI949" i="2"/>
  <c r="P1111" i="16"/>
  <c r="AI1111" i="2"/>
  <c r="P979" i="16"/>
  <c r="AI979" i="2"/>
  <c r="P846" i="16"/>
  <c r="AI846" i="2"/>
  <c r="P1110" i="16"/>
  <c r="AI1110" i="2"/>
  <c r="P812" i="16"/>
  <c r="AI812" i="2"/>
  <c r="P677" i="16"/>
  <c r="AI677" i="2"/>
  <c r="P1188" i="16"/>
  <c r="AI1188" i="2"/>
  <c r="P929" i="16"/>
  <c r="AI929" i="2"/>
  <c r="P900" i="16"/>
  <c r="AI900" i="2"/>
  <c r="P554" i="16"/>
  <c r="AI554" i="2"/>
  <c r="P1120" i="16"/>
  <c r="AI1120" i="2"/>
  <c r="P770" i="16"/>
  <c r="AI770" i="2"/>
  <c r="P715" i="16"/>
  <c r="AI715" i="2"/>
  <c r="P686" i="16"/>
  <c r="AI686" i="2"/>
  <c r="P884" i="16"/>
  <c r="AI884" i="2"/>
  <c r="P611" i="16"/>
  <c r="AI611" i="2"/>
  <c r="P598" i="16"/>
  <c r="AI598" i="2"/>
  <c r="P568" i="16"/>
  <c r="AI568" i="2"/>
  <c r="P1160" i="16"/>
  <c r="AI1160" i="2"/>
  <c r="P883" i="16"/>
  <c r="AI883" i="2"/>
  <c r="P610" i="16"/>
  <c r="AI610" i="2"/>
  <c r="P938" i="16"/>
  <c r="AI938" i="2"/>
  <c r="P806" i="16"/>
  <c r="AI806" i="2"/>
  <c r="AW1256" i="2"/>
  <c r="T1256" i="16" s="1"/>
  <c r="R1256" i="16"/>
  <c r="AW1305" i="2"/>
  <c r="T1305" i="16" s="1"/>
  <c r="R1305" i="16"/>
  <c r="AW1262" i="2"/>
  <c r="T1262" i="16" s="1"/>
  <c r="R1262" i="16"/>
  <c r="AW1327" i="2"/>
  <c r="T1327" i="16" s="1"/>
  <c r="R1327" i="16"/>
  <c r="AW1246" i="2"/>
  <c r="T1246" i="16" s="1"/>
  <c r="R1246" i="16"/>
  <c r="AW1255" i="2"/>
  <c r="T1255" i="16" s="1"/>
  <c r="R1255" i="16"/>
  <c r="AW1307" i="2"/>
  <c r="T1307" i="16" s="1"/>
  <c r="R1307" i="16"/>
  <c r="AW1248" i="2"/>
  <c r="T1248" i="16" s="1"/>
  <c r="R1248" i="16"/>
  <c r="AW1277" i="2"/>
  <c r="T1277" i="16" s="1"/>
  <c r="R1277" i="16"/>
  <c r="AW1280" i="2"/>
  <c r="T1280" i="16" s="1"/>
  <c r="R1280" i="16"/>
  <c r="AW1310" i="2"/>
  <c r="T1310" i="16" s="1"/>
  <c r="R1310" i="16"/>
  <c r="AW1289" i="2"/>
  <c r="T1289" i="16" s="1"/>
  <c r="R1289" i="16"/>
  <c r="AW1263" i="2"/>
  <c r="T1263" i="16" s="1"/>
  <c r="R1263" i="16"/>
  <c r="AW1328" i="2"/>
  <c r="T1328" i="16" s="1"/>
  <c r="R1328" i="16"/>
  <c r="AW1229" i="2"/>
  <c r="T1229" i="16" s="1"/>
  <c r="R1229" i="16"/>
  <c r="AW1274" i="2"/>
  <c r="T1274" i="16" s="1"/>
  <c r="R1274" i="16"/>
  <c r="AW1238" i="2"/>
  <c r="T1238" i="16" s="1"/>
  <c r="R1238" i="16"/>
  <c r="AW1270" i="2"/>
  <c r="T1270" i="16" s="1"/>
  <c r="R1270" i="16"/>
  <c r="AW1260" i="2"/>
  <c r="T1260" i="16" s="1"/>
  <c r="R1260" i="16"/>
  <c r="AW1304" i="2"/>
  <c r="T1304" i="16" s="1"/>
  <c r="R1304" i="16"/>
  <c r="AW1337" i="2"/>
  <c r="T1337" i="16" s="1"/>
  <c r="R1337" i="16"/>
  <c r="AW1276" i="2"/>
  <c r="T1276" i="16" s="1"/>
  <c r="R1276" i="16"/>
  <c r="AW1294" i="2"/>
  <c r="T1294" i="16" s="1"/>
  <c r="R1294" i="16"/>
  <c r="AW1239" i="2"/>
  <c r="T1239" i="16" s="1"/>
  <c r="R1239" i="16"/>
  <c r="AW1245" i="2"/>
  <c r="T1245" i="16" s="1"/>
  <c r="R1245" i="16"/>
  <c r="AW1322" i="2"/>
  <c r="T1322" i="16" s="1"/>
  <c r="R1322" i="16"/>
  <c r="AW1264" i="2"/>
  <c r="T1264" i="16" s="1"/>
  <c r="R1264" i="16"/>
  <c r="AW1323" i="2"/>
  <c r="T1323" i="16" s="1"/>
  <c r="R1323" i="16"/>
  <c r="AW1320" i="2"/>
  <c r="T1320" i="16" s="1"/>
  <c r="R1320" i="16"/>
  <c r="AW1329" i="2"/>
  <c r="T1329" i="16" s="1"/>
  <c r="R1329" i="16"/>
  <c r="AW1283" i="2"/>
  <c r="T1283" i="16" s="1"/>
  <c r="R1283" i="16"/>
  <c r="AW1257" i="2"/>
  <c r="T1257" i="16" s="1"/>
  <c r="R1257" i="16"/>
  <c r="AW1326" i="2"/>
  <c r="T1326" i="16" s="1"/>
  <c r="R1326" i="16"/>
  <c r="AW1241" i="2"/>
  <c r="T1241" i="16" s="1"/>
  <c r="R1241" i="16"/>
  <c r="AW1315" i="2"/>
  <c r="T1315" i="16" s="1"/>
  <c r="R1315" i="16"/>
  <c r="AW1259" i="2"/>
  <c r="T1259" i="16" s="1"/>
  <c r="R1259" i="16"/>
  <c r="AQ507" i="2"/>
  <c r="AS507" i="2" s="1"/>
  <c r="AU507" i="2" s="1"/>
  <c r="AW1293" i="2"/>
  <c r="T1293" i="16" s="1"/>
  <c r="R1293" i="16"/>
  <c r="AW1258" i="2"/>
  <c r="T1258" i="16" s="1"/>
  <c r="R1258" i="16"/>
  <c r="AW1269" i="2"/>
  <c r="T1269" i="16" s="1"/>
  <c r="R1269" i="16"/>
  <c r="AW1265" i="2"/>
  <c r="T1265" i="16" s="1"/>
  <c r="R1265" i="16"/>
  <c r="AW1250" i="2"/>
  <c r="T1250" i="16" s="1"/>
  <c r="R1250" i="16"/>
  <c r="AW1311" i="2"/>
  <c r="T1311" i="16" s="1"/>
  <c r="R1311" i="16"/>
  <c r="AW1232" i="2"/>
  <c r="T1232" i="16" s="1"/>
  <c r="R1232" i="16"/>
  <c r="AW1298" i="2"/>
  <c r="T1298" i="16" s="1"/>
  <c r="R1298" i="16"/>
  <c r="AW1249" i="2"/>
  <c r="T1249" i="16" s="1"/>
  <c r="R1249" i="16"/>
  <c r="AW1267" i="2"/>
  <c r="T1267" i="16" s="1"/>
  <c r="R1267" i="16"/>
  <c r="AW1295" i="2"/>
  <c r="T1295" i="16" s="1"/>
  <c r="R1295" i="16"/>
  <c r="AW1282" i="2"/>
  <c r="T1282" i="16" s="1"/>
  <c r="R1282" i="16"/>
  <c r="AW1275" i="2"/>
  <c r="T1275" i="16" s="1"/>
  <c r="R1275" i="16"/>
  <c r="AW1247" i="2"/>
  <c r="T1247" i="16" s="1"/>
  <c r="R1247" i="16"/>
  <c r="AW1266" i="2"/>
  <c r="T1266" i="16" s="1"/>
  <c r="R1266" i="16"/>
  <c r="AW1334" i="2"/>
  <c r="T1334" i="16" s="1"/>
  <c r="R1334" i="16"/>
  <c r="AW1332" i="2"/>
  <c r="T1332" i="16" s="1"/>
  <c r="R1332" i="16"/>
  <c r="AW1243" i="2"/>
  <c r="T1243" i="16" s="1"/>
  <c r="R1243" i="16"/>
  <c r="AW1291" i="2"/>
  <c r="T1291" i="16" s="1"/>
  <c r="R1291" i="16"/>
  <c r="AW1319" i="2"/>
  <c r="T1319" i="16" s="1"/>
  <c r="R1319" i="16"/>
  <c r="AW1296" i="2"/>
  <c r="T1296" i="16" s="1"/>
  <c r="R1296" i="16"/>
  <c r="AW1278" i="2"/>
  <c r="T1278" i="16" s="1"/>
  <c r="R1278" i="16"/>
  <c r="AW1240" i="2"/>
  <c r="T1240" i="16" s="1"/>
  <c r="R1240" i="16"/>
  <c r="AW1244" i="2"/>
  <c r="T1244" i="16" s="1"/>
  <c r="R1244" i="16"/>
  <c r="AW1324" i="2"/>
  <c r="T1324" i="16" s="1"/>
  <c r="R1324" i="16"/>
  <c r="AW1288" i="2"/>
  <c r="T1288" i="16" s="1"/>
  <c r="R1288" i="16"/>
  <c r="AW1231" i="2"/>
  <c r="T1231" i="16" s="1"/>
  <c r="R1231" i="16"/>
  <c r="AW1300" i="2"/>
  <c r="T1300" i="16" s="1"/>
  <c r="R1300" i="16"/>
  <c r="AW1287" i="2"/>
  <c r="T1287" i="16" s="1"/>
  <c r="R1287" i="16"/>
  <c r="AW1272" i="2"/>
  <c r="T1272" i="16" s="1"/>
  <c r="R1272" i="16"/>
  <c r="AW1333" i="2"/>
  <c r="T1333" i="16" s="1"/>
  <c r="R1333" i="16"/>
  <c r="AW1336" i="2"/>
  <c r="T1336" i="16" s="1"/>
  <c r="R1336" i="16"/>
  <c r="AW1234" i="2"/>
  <c r="T1234" i="16" s="1"/>
  <c r="R1234" i="16"/>
  <c r="AW1314" i="2"/>
  <c r="T1314" i="16" s="1"/>
  <c r="R1314" i="16"/>
  <c r="AW1261" i="2"/>
  <c r="T1261" i="16" s="1"/>
  <c r="R1261" i="16"/>
  <c r="AW1318" i="2"/>
  <c r="T1318" i="16" s="1"/>
  <c r="R1318" i="16"/>
  <c r="AW1292" i="2"/>
  <c r="T1292" i="16" s="1"/>
  <c r="R1292" i="16"/>
  <c r="AW1331" i="2"/>
  <c r="T1331" i="16" s="1"/>
  <c r="R1331" i="16"/>
  <c r="AW1271" i="2"/>
  <c r="T1271" i="16" s="1"/>
  <c r="R1271" i="16"/>
  <c r="AW1233" i="2"/>
  <c r="T1233" i="16" s="1"/>
  <c r="R1233" i="16"/>
  <c r="AW1317" i="2"/>
  <c r="T1317" i="16" s="1"/>
  <c r="R1317" i="16"/>
  <c r="AW1316" i="2"/>
  <c r="T1316" i="16" s="1"/>
  <c r="R1316" i="16"/>
  <c r="AW1308" i="2"/>
  <c r="T1308" i="16" s="1"/>
  <c r="R1308" i="16"/>
  <c r="AW1242" i="2"/>
  <c r="T1242" i="16" s="1"/>
  <c r="R1242" i="16"/>
  <c r="AW1312" i="2"/>
  <c r="T1312" i="16" s="1"/>
  <c r="R1312" i="16"/>
  <c r="AW1285" i="2"/>
  <c r="T1285" i="16" s="1"/>
  <c r="R1285" i="16"/>
  <c r="AW1254" i="2"/>
  <c r="T1254" i="16" s="1"/>
  <c r="R1254" i="16"/>
  <c r="AW1325" i="2"/>
  <c r="T1325" i="16" s="1"/>
  <c r="R1325" i="16"/>
  <c r="AW1330" i="2"/>
  <c r="T1330" i="16" s="1"/>
  <c r="R1330" i="16"/>
  <c r="AW1306" i="2"/>
  <c r="T1306" i="16" s="1"/>
  <c r="R1306" i="16"/>
  <c r="AW1302" i="2"/>
  <c r="T1302" i="16" s="1"/>
  <c r="R1302" i="16"/>
  <c r="AW1253" i="2"/>
  <c r="T1253" i="16" s="1"/>
  <c r="R1253" i="16"/>
  <c r="AW1230" i="2"/>
  <c r="T1230" i="16" s="1"/>
  <c r="R1230" i="16"/>
  <c r="AW1309" i="2"/>
  <c r="T1309" i="16" s="1"/>
  <c r="R1309" i="16"/>
  <c r="AW1303" i="2"/>
  <c r="T1303" i="16" s="1"/>
  <c r="R1303" i="16"/>
  <c r="AW1297" i="2"/>
  <c r="T1297" i="16" s="1"/>
  <c r="R1297" i="16"/>
  <c r="AW1313" i="2"/>
  <c r="T1313" i="16" s="1"/>
  <c r="R1313" i="16"/>
  <c r="AW1299" i="2"/>
  <c r="T1299" i="16" s="1"/>
  <c r="R1299" i="16"/>
  <c r="AW1268" i="2"/>
  <c r="T1268" i="16" s="1"/>
  <c r="R1268" i="16"/>
  <c r="AW1284" i="2"/>
  <c r="T1284" i="16" s="1"/>
  <c r="R1284" i="16"/>
  <c r="AW1290" i="2"/>
  <c r="T1290" i="16" s="1"/>
  <c r="R1290" i="16"/>
  <c r="AW1235" i="2"/>
  <c r="T1235" i="16" s="1"/>
  <c r="R1235" i="16"/>
  <c r="AW1286" i="2"/>
  <c r="T1286" i="16" s="1"/>
  <c r="R1286" i="16"/>
  <c r="AW1236" i="2"/>
  <c r="T1236" i="16" s="1"/>
  <c r="R1236" i="16"/>
  <c r="AW1301" i="2"/>
  <c r="T1301" i="16" s="1"/>
  <c r="R1301" i="16"/>
  <c r="AW1335" i="2"/>
  <c r="T1335" i="16" s="1"/>
  <c r="R1335" i="16"/>
  <c r="AW1321" i="2"/>
  <c r="T1321" i="16" s="1"/>
  <c r="R1321" i="16"/>
  <c r="AW1281" i="2"/>
  <c r="T1281" i="16" s="1"/>
  <c r="R1281" i="16"/>
  <c r="AW1252" i="2"/>
  <c r="T1252" i="16" s="1"/>
  <c r="R1252" i="16"/>
  <c r="AW1273" i="2"/>
  <c r="T1273" i="16" s="1"/>
  <c r="R1273" i="16"/>
  <c r="AW1237" i="2"/>
  <c r="T1237" i="16" s="1"/>
  <c r="R1237" i="16"/>
  <c r="AW1251" i="2"/>
  <c r="T1251" i="16" s="1"/>
  <c r="R1251" i="16"/>
  <c r="AW1279" i="2"/>
  <c r="T1279" i="16" s="1"/>
  <c r="R1279" i="16"/>
  <c r="AM1040" i="2"/>
  <c r="AM905" i="2"/>
  <c r="B602" i="16"/>
  <c r="Z603" i="2"/>
  <c r="N867" i="16"/>
  <c r="B1002" i="16"/>
  <c r="Z1003" i="2"/>
  <c r="O984" i="16"/>
  <c r="AL984" i="2"/>
  <c r="AK984" i="2"/>
  <c r="H1028" i="16"/>
  <c r="U1029" i="2"/>
  <c r="AM569" i="2"/>
  <c r="AI1108" i="2"/>
  <c r="AM1114" i="2"/>
  <c r="B970" i="16"/>
  <c r="Z971" i="2"/>
  <c r="A742" i="16"/>
  <c r="T743" i="2"/>
  <c r="AI1031" i="2"/>
  <c r="B1124" i="16"/>
  <c r="Z1125" i="2"/>
  <c r="B853" i="16"/>
  <c r="Z854" i="2"/>
  <c r="H791" i="16"/>
  <c r="U792" i="2"/>
  <c r="H792" i="16" s="1"/>
  <c r="A791" i="16"/>
  <c r="T792" i="2"/>
  <c r="A792" i="16" s="1"/>
  <c r="A534" i="16"/>
  <c r="T535" i="2"/>
  <c r="A535" i="16" s="1"/>
  <c r="N743" i="16"/>
  <c r="O664" i="16"/>
  <c r="AK664" i="2"/>
  <c r="AL664" i="2"/>
  <c r="AM1159" i="2"/>
  <c r="AI575" i="2"/>
  <c r="O791" i="16"/>
  <c r="AG792" i="2"/>
  <c r="AP792" i="2"/>
  <c r="AI690" i="2"/>
  <c r="AI832" i="2"/>
  <c r="AM633" i="2"/>
  <c r="AM560" i="2"/>
  <c r="A982" i="16"/>
  <c r="T983" i="2"/>
  <c r="A983" i="16" s="1"/>
  <c r="N740" i="16"/>
  <c r="H739" i="16"/>
  <c r="U740" i="2"/>
  <c r="AI1159" i="2"/>
  <c r="AM870" i="2"/>
  <c r="AM734" i="2"/>
  <c r="AM547" i="2"/>
  <c r="H1124" i="16"/>
  <c r="U1125" i="2"/>
  <c r="O902" i="16"/>
  <c r="AG903" i="2"/>
  <c r="H936" i="16"/>
  <c r="U937" i="2"/>
  <c r="H937" i="16" s="1"/>
  <c r="O602" i="16"/>
  <c r="AG603" i="2"/>
  <c r="AM953" i="2"/>
  <c r="AM811" i="2"/>
  <c r="AM842" i="2"/>
  <c r="AI734" i="2"/>
  <c r="B1011" i="16"/>
  <c r="Z1012" i="2"/>
  <c r="O796" i="16"/>
  <c r="AL796" i="2"/>
  <c r="AK796" i="2"/>
  <c r="AM796" i="2" s="1"/>
  <c r="H766" i="16"/>
  <c r="U767" i="2"/>
  <c r="O970" i="16"/>
  <c r="AG971" i="2"/>
  <c r="AN971" i="2" s="1"/>
  <c r="O1124" i="16"/>
  <c r="AG1125" i="2"/>
  <c r="AM1125" i="2" s="1"/>
  <c r="O739" i="16"/>
  <c r="AG740" i="2"/>
  <c r="AN740" i="2" s="1"/>
  <c r="AP743" i="2"/>
  <c r="AI711" i="2"/>
  <c r="AI953" i="2"/>
  <c r="AI678" i="2"/>
  <c r="O885" i="16"/>
  <c r="AK885" i="2"/>
  <c r="AL885" i="2"/>
  <c r="N866" i="16"/>
  <c r="N971" i="16"/>
  <c r="B619" i="16"/>
  <c r="Z620" i="2"/>
  <c r="B902" i="16"/>
  <c r="Z903" i="2"/>
  <c r="A971" i="16"/>
  <c r="T972" i="2"/>
  <c r="A972" i="16" s="1"/>
  <c r="A866" i="16"/>
  <c r="T867" i="2"/>
  <c r="O892" i="16"/>
  <c r="AK892" i="2"/>
  <c r="AL892" i="2"/>
  <c r="O735" i="16"/>
  <c r="AK735" i="2"/>
  <c r="AL735" i="2"/>
  <c r="AM860" i="2"/>
  <c r="AM879" i="2"/>
  <c r="AM1010" i="2"/>
  <c r="B674" i="16"/>
  <c r="Z675" i="2"/>
  <c r="O1002" i="16"/>
  <c r="AL1002" i="2"/>
  <c r="AK1002" i="2"/>
  <c r="AM1002" i="2" s="1"/>
  <c r="AG1003" i="2"/>
  <c r="AN1003" i="2" s="1"/>
  <c r="H970" i="16"/>
  <c r="U971" i="2"/>
  <c r="B897" i="16"/>
  <c r="Z898" i="2"/>
  <c r="AK1005" i="2"/>
  <c r="AL1005" i="2"/>
  <c r="O865" i="16"/>
  <c r="AG866" i="2"/>
  <c r="AM866" i="2" s="1"/>
  <c r="AP867" i="2"/>
  <c r="AM658" i="2"/>
  <c r="AM1004" i="2"/>
  <c r="AM1152" i="2"/>
  <c r="AM678" i="2"/>
  <c r="AM813" i="2"/>
  <c r="AM578" i="2"/>
  <c r="H865" i="16"/>
  <c r="U866" i="2"/>
  <c r="AL790" i="2"/>
  <c r="AK790" i="2"/>
  <c r="H902" i="16"/>
  <c r="U903" i="2"/>
  <c r="A620" i="16"/>
  <c r="T621" i="2"/>
  <c r="A621" i="16" s="1"/>
  <c r="AL1096" i="2"/>
  <c r="AK1096" i="2"/>
  <c r="O981" i="16"/>
  <c r="AL981" i="2"/>
  <c r="AK981" i="2"/>
  <c r="O1011" i="16"/>
  <c r="AG1012" i="2"/>
  <c r="AM1033" i="2"/>
  <c r="AM1095" i="2"/>
  <c r="AM1182" i="2"/>
  <c r="B791" i="16"/>
  <c r="Z792" i="2"/>
  <c r="B739" i="16"/>
  <c r="Z740" i="2"/>
  <c r="B700" i="16"/>
  <c r="Z701" i="2"/>
  <c r="H1002" i="16"/>
  <c r="U1003" i="2"/>
  <c r="A665" i="16"/>
  <c r="T666" i="2"/>
  <c r="O936" i="16"/>
  <c r="AG937" i="2"/>
  <c r="AM937" i="2" s="1"/>
  <c r="O766" i="16"/>
  <c r="AG767" i="2"/>
  <c r="AN767" i="2" s="1"/>
  <c r="O700" i="16"/>
  <c r="AG701" i="2"/>
  <c r="O625" i="16"/>
  <c r="AG626" i="2"/>
  <c r="AM626" i="2" s="1"/>
  <c r="AM1016" i="2"/>
  <c r="AM832" i="2"/>
  <c r="B625" i="16"/>
  <c r="Z626" i="2"/>
  <c r="O1142" i="16"/>
  <c r="AL1142" i="2"/>
  <c r="AK1142" i="2"/>
  <c r="AM1142" i="2" s="1"/>
  <c r="AL897" i="2"/>
  <c r="AK897" i="2"/>
  <c r="AG898" i="2"/>
  <c r="H853" i="16"/>
  <c r="U854" i="2"/>
  <c r="H854" i="16" s="1"/>
  <c r="O761" i="16"/>
  <c r="AK761" i="2"/>
  <c r="AL761" i="2"/>
  <c r="O853" i="16"/>
  <c r="AG854" i="2"/>
  <c r="AM854" i="2" s="1"/>
  <c r="AI879" i="2"/>
  <c r="O674" i="16"/>
  <c r="AG675" i="2"/>
  <c r="AI1010" i="2"/>
  <c r="AP535" i="2"/>
  <c r="AI905" i="2"/>
  <c r="AM642" i="2"/>
  <c r="AI1143" i="2"/>
  <c r="AI811" i="2"/>
  <c r="AI842" i="2"/>
  <c r="AI560" i="2"/>
  <c r="AP621" i="2"/>
  <c r="AI1105" i="2"/>
  <c r="AM575" i="2"/>
  <c r="AM776" i="2"/>
  <c r="B865" i="16"/>
  <c r="Z866" i="2"/>
  <c r="B766" i="16"/>
  <c r="Z767" i="2"/>
  <c r="H1011" i="16"/>
  <c r="U1012" i="2"/>
  <c r="H1012" i="16" s="1"/>
  <c r="N675" i="16"/>
  <c r="H897" i="16"/>
  <c r="U898" i="2"/>
  <c r="AI190" i="2"/>
  <c r="AL718" i="2"/>
  <c r="AK718" i="2"/>
  <c r="AM718" i="2" s="1"/>
  <c r="O975" i="16"/>
  <c r="AL975" i="2"/>
  <c r="AK975" i="2"/>
  <c r="O783" i="16"/>
  <c r="AL783" i="2"/>
  <c r="AK783" i="2"/>
  <c r="AM783" i="2" s="1"/>
  <c r="AK828" i="2"/>
  <c r="AL828" i="2"/>
  <c r="O1017" i="16"/>
  <c r="AK1017" i="2"/>
  <c r="AL1017" i="2"/>
  <c r="AQ103" i="2"/>
  <c r="AS103" i="2" s="1"/>
  <c r="AU103" i="2" s="1"/>
  <c r="AW103" i="2" s="1"/>
  <c r="O895" i="16"/>
  <c r="AL895" i="2"/>
  <c r="AK895" i="2"/>
  <c r="AM895" i="2" s="1"/>
  <c r="O910" i="16"/>
  <c r="AL910" i="2"/>
  <c r="AK910" i="2"/>
  <c r="AQ113" i="2"/>
  <c r="AS113" i="2" s="1"/>
  <c r="AU113" i="2" s="1"/>
  <c r="AL817" i="2"/>
  <c r="AK817" i="2"/>
  <c r="AM817" i="2" s="1"/>
  <c r="AS2" i="2"/>
  <c r="AU2" i="2" s="1"/>
  <c r="R2" i="16" s="1"/>
  <c r="AT2" i="16" s="1"/>
  <c r="AN455" i="2"/>
  <c r="AN692" i="2"/>
  <c r="AN1059" i="2"/>
  <c r="AN977" i="2"/>
  <c r="AN874" i="2"/>
  <c r="AS1168" i="2"/>
  <c r="AU1168" i="2" s="1"/>
  <c r="R1168" i="16" s="1"/>
  <c r="AS1144" i="2"/>
  <c r="AU1144" i="2" s="1"/>
  <c r="AS1120" i="2"/>
  <c r="AU1120" i="2" s="1"/>
  <c r="AS1108" i="2"/>
  <c r="AU1108" i="2" s="1"/>
  <c r="AS1084" i="2"/>
  <c r="AU1084" i="2" s="1"/>
  <c r="AS988" i="2"/>
  <c r="AU988" i="2" s="1"/>
  <c r="R988" i="16" s="1"/>
  <c r="AS940" i="2"/>
  <c r="AU940" i="2" s="1"/>
  <c r="R940" i="16" s="1"/>
  <c r="AT944" i="16" s="1"/>
  <c r="AS856" i="2"/>
  <c r="AU856" i="2" s="1"/>
  <c r="AS832" i="2"/>
  <c r="AU832" i="2" s="1"/>
  <c r="AS1167" i="2"/>
  <c r="AU1167" i="2" s="1"/>
  <c r="AS1071" i="2"/>
  <c r="AU1071" i="2" s="1"/>
  <c r="AS951" i="2"/>
  <c r="AU951" i="2" s="1"/>
  <c r="R951" i="16" s="1"/>
  <c r="AS939" i="2"/>
  <c r="AU939" i="2" s="1"/>
  <c r="R939" i="16" s="1"/>
  <c r="AT943" i="16" s="1"/>
  <c r="AS927" i="2"/>
  <c r="AU927" i="2" s="1"/>
  <c r="AS1177" i="2"/>
  <c r="AU1177" i="2" s="1"/>
  <c r="R1177" i="16" s="1"/>
  <c r="AS1129" i="2"/>
  <c r="AU1129" i="2" s="1"/>
  <c r="R1129" i="16" s="1"/>
  <c r="AS1057" i="2"/>
  <c r="AU1057" i="2" s="1"/>
  <c r="AS1045" i="2"/>
  <c r="AU1045" i="2" s="1"/>
  <c r="AS1021" i="2"/>
  <c r="AU1021" i="2" s="1"/>
  <c r="AS1009" i="2"/>
  <c r="AU1009" i="2" s="1"/>
  <c r="R1009" i="16" s="1"/>
  <c r="AS949" i="2"/>
  <c r="AU949" i="2" s="1"/>
  <c r="AS925" i="2"/>
  <c r="AU925" i="2" s="1"/>
  <c r="AS913" i="2"/>
  <c r="AU913" i="2" s="1"/>
  <c r="AS1200" i="2"/>
  <c r="AU1200" i="2" s="1"/>
  <c r="R1200" i="16" s="1"/>
  <c r="AS1152" i="2"/>
  <c r="AU1152" i="2" s="1"/>
  <c r="R1152" i="16" s="1"/>
  <c r="AS1140" i="2"/>
  <c r="AU1140" i="2" s="1"/>
  <c r="R1140" i="16" s="1"/>
  <c r="AS1128" i="2"/>
  <c r="AU1128" i="2" s="1"/>
  <c r="AS1056" i="2"/>
  <c r="AU1056" i="2" s="1"/>
  <c r="AS1020" i="2"/>
  <c r="AU1020" i="2" s="1"/>
  <c r="AS1008" i="2"/>
  <c r="AU1008" i="2" s="1"/>
  <c r="AS1199" i="2"/>
  <c r="AU1199" i="2" s="1"/>
  <c r="AS1187" i="2"/>
  <c r="AU1187" i="2" s="1"/>
  <c r="AS1163" i="2"/>
  <c r="AU1163" i="2" s="1"/>
  <c r="R1163" i="16" s="1"/>
  <c r="AS1115" i="2"/>
  <c r="AU1115" i="2" s="1"/>
  <c r="AS1091" i="2"/>
  <c r="AU1091" i="2" s="1"/>
  <c r="AS1055" i="2"/>
  <c r="AU1055" i="2" s="1"/>
  <c r="R1055" i="16" s="1"/>
  <c r="AS923" i="2"/>
  <c r="AU923" i="2" s="1"/>
  <c r="R923" i="16" s="1"/>
  <c r="AT927" i="16" s="1"/>
  <c r="AS911" i="2"/>
  <c r="AU911" i="2" s="1"/>
  <c r="R911" i="16" s="1"/>
  <c r="AT915" i="16" s="1"/>
  <c r="AS899" i="2"/>
  <c r="AU899" i="2" s="1"/>
  <c r="AS851" i="2"/>
  <c r="AU851" i="2" s="1"/>
  <c r="AS1198" i="2"/>
  <c r="AU1198" i="2" s="1"/>
  <c r="AS1186" i="2"/>
  <c r="AU1186" i="2" s="1"/>
  <c r="AS1162" i="2"/>
  <c r="AU1162" i="2" s="1"/>
  <c r="AS1126" i="2"/>
  <c r="AU1126" i="2" s="1"/>
  <c r="AS1114" i="2"/>
  <c r="AU1114" i="2" s="1"/>
  <c r="AS1054" i="2"/>
  <c r="AU1054" i="2" s="1"/>
  <c r="AS1042" i="2"/>
  <c r="AU1042" i="2" s="1"/>
  <c r="AS1030" i="2"/>
  <c r="AU1030" i="2" s="1"/>
  <c r="AS1006" i="2"/>
  <c r="AU1006" i="2" s="1"/>
  <c r="R1006" i="16" s="1"/>
  <c r="AS994" i="2"/>
  <c r="AU994" i="2" s="1"/>
  <c r="R994" i="16" s="1"/>
  <c r="AP862" i="2"/>
  <c r="AS850" i="2"/>
  <c r="AU850" i="2" s="1"/>
  <c r="AS826" i="2"/>
  <c r="AU826" i="2" s="1"/>
  <c r="AS778" i="2"/>
  <c r="AU778" i="2" s="1"/>
  <c r="AS1209" i="2"/>
  <c r="AU1209" i="2" s="1"/>
  <c r="AS1197" i="2"/>
  <c r="AU1197" i="2" s="1"/>
  <c r="AS1185" i="2"/>
  <c r="AU1185" i="2" s="1"/>
  <c r="R1185" i="16" s="1"/>
  <c r="AS1173" i="2"/>
  <c r="AU1173" i="2" s="1"/>
  <c r="AS1161" i="2"/>
  <c r="AU1161" i="2" s="1"/>
  <c r="R1161" i="16" s="1"/>
  <c r="AS1137" i="2"/>
  <c r="AU1137" i="2" s="1"/>
  <c r="AS1113" i="2"/>
  <c r="AU1113" i="2" s="1"/>
  <c r="AS1053" i="2"/>
  <c r="AU1053" i="2" s="1"/>
  <c r="AS957" i="2"/>
  <c r="AU957" i="2" s="1"/>
  <c r="R957" i="16" s="1"/>
  <c r="AS921" i="2"/>
  <c r="AU921" i="2" s="1"/>
  <c r="AS909" i="2"/>
  <c r="AU909" i="2" s="1"/>
  <c r="AS897" i="2"/>
  <c r="AU897" i="2" s="1"/>
  <c r="R897" i="16" s="1"/>
  <c r="AS873" i="2"/>
  <c r="AU873" i="2" s="1"/>
  <c r="AS837" i="2"/>
  <c r="AU837" i="2" s="1"/>
  <c r="R837" i="16" s="1"/>
  <c r="AT838" i="16" s="1"/>
  <c r="AS801" i="2"/>
  <c r="AU801" i="2" s="1"/>
  <c r="AS1208" i="2"/>
  <c r="AU1208" i="2" s="1"/>
  <c r="AS1184" i="2"/>
  <c r="AU1184" i="2" s="1"/>
  <c r="AS1172" i="2"/>
  <c r="AU1172" i="2" s="1"/>
  <c r="AS1160" i="2"/>
  <c r="AU1160" i="2" s="1"/>
  <c r="AS1100" i="2"/>
  <c r="AU1100" i="2" s="1"/>
  <c r="AS1088" i="2"/>
  <c r="AU1088" i="2" s="1"/>
  <c r="AS968" i="2"/>
  <c r="AU968" i="2" s="1"/>
  <c r="AS944" i="2"/>
  <c r="AU944" i="2" s="1"/>
  <c r="AS932" i="2"/>
  <c r="AU932" i="2" s="1"/>
  <c r="R932" i="16" s="1"/>
  <c r="AT936" i="16" s="1"/>
  <c r="AS884" i="2"/>
  <c r="AU884" i="2" s="1"/>
  <c r="R884" i="16" s="1"/>
  <c r="AT888" i="16" s="1"/>
  <c r="AS848" i="2"/>
  <c r="AU848" i="2" s="1"/>
  <c r="R848" i="16" s="1"/>
  <c r="AT850" i="16" s="1"/>
  <c r="AS824" i="2"/>
  <c r="AU824" i="2" s="1"/>
  <c r="R824" i="16" s="1"/>
  <c r="AT825" i="16" s="1"/>
  <c r="AS764" i="2"/>
  <c r="AU764" i="2" s="1"/>
  <c r="R764" i="16" s="1"/>
  <c r="AT764" i="16" s="1"/>
  <c r="AS1207" i="2"/>
  <c r="AU1207" i="2" s="1"/>
  <c r="AS1195" i="2"/>
  <c r="AU1195" i="2" s="1"/>
  <c r="AS1183" i="2"/>
  <c r="AU1183" i="2" s="1"/>
  <c r="AS1159" i="2"/>
  <c r="AU1159" i="2" s="1"/>
  <c r="AS1135" i="2"/>
  <c r="AU1135" i="2" s="1"/>
  <c r="R1135" i="16" s="1"/>
  <c r="AS1063" i="2"/>
  <c r="AU1063" i="2" s="1"/>
  <c r="R1063" i="16" s="1"/>
  <c r="AS1039" i="2"/>
  <c r="AU1039" i="2" s="1"/>
  <c r="AS1027" i="2"/>
  <c r="AU1027" i="2" s="1"/>
  <c r="R1027" i="16" s="1"/>
  <c r="AS1206" i="2"/>
  <c r="AU1206" i="2" s="1"/>
  <c r="AP1194" i="2"/>
  <c r="AS1182" i="2"/>
  <c r="AU1182" i="2" s="1"/>
  <c r="R1182" i="16" s="1"/>
  <c r="AS1158" i="2"/>
  <c r="AU1158" i="2" s="1"/>
  <c r="R1158" i="16" s="1"/>
  <c r="AS1050" i="2"/>
  <c r="AU1050" i="2" s="1"/>
  <c r="AS1002" i="2"/>
  <c r="AU1002" i="2" s="1"/>
  <c r="AS954" i="2"/>
  <c r="AU954" i="2" s="1"/>
  <c r="R954" i="16" s="1"/>
  <c r="AS894" i="2"/>
  <c r="AU894" i="2" s="1"/>
  <c r="R894" i="16" s="1"/>
  <c r="AT898" i="16" s="1"/>
  <c r="AS1181" i="2"/>
  <c r="AU1181" i="2" s="1"/>
  <c r="AS1157" i="2"/>
  <c r="AU1157" i="2" s="1"/>
  <c r="R1157" i="16" s="1"/>
  <c r="AS1145" i="2"/>
  <c r="AU1145" i="2" s="1"/>
  <c r="R1145" i="16" s="1"/>
  <c r="AS1133" i="2"/>
  <c r="AU1133" i="2" s="1"/>
  <c r="AS1121" i="2"/>
  <c r="AU1121" i="2" s="1"/>
  <c r="R1121" i="16" s="1"/>
  <c r="AS1109" i="2"/>
  <c r="AU1109" i="2" s="1"/>
  <c r="AP1097" i="2"/>
  <c r="AS1085" i="2"/>
  <c r="AU1085" i="2" s="1"/>
  <c r="AS1061" i="2"/>
  <c r="AU1061" i="2" s="1"/>
  <c r="AS1049" i="2"/>
  <c r="AU1049" i="2" s="1"/>
  <c r="AS1001" i="2"/>
  <c r="AU1001" i="2" s="1"/>
  <c r="AS989" i="2"/>
  <c r="AU989" i="2" s="1"/>
  <c r="AS953" i="2"/>
  <c r="AU953" i="2" s="1"/>
  <c r="AS754" i="2"/>
  <c r="AU754" i="2" s="1"/>
  <c r="R754" i="16" s="1"/>
  <c r="AT754" i="16" s="1"/>
  <c r="AP742" i="2"/>
  <c r="AS706" i="2"/>
  <c r="AU706" i="2" s="1"/>
  <c r="R706" i="16" s="1"/>
  <c r="AT706" i="16" s="1"/>
  <c r="AS694" i="2"/>
  <c r="AU694" i="2" s="1"/>
  <c r="AS682" i="2"/>
  <c r="AU682" i="2" s="1"/>
  <c r="AS670" i="2"/>
  <c r="AU670" i="2" s="1"/>
  <c r="R670" i="16" s="1"/>
  <c r="AT670" i="16" s="1"/>
  <c r="AS658" i="2"/>
  <c r="AU658" i="2" s="1"/>
  <c r="AS646" i="2"/>
  <c r="AU646" i="2" s="1"/>
  <c r="AS622" i="2"/>
  <c r="AU622" i="2" s="1"/>
  <c r="R622" i="16" s="1"/>
  <c r="AT622" i="16" s="1"/>
  <c r="AS610" i="2"/>
  <c r="AU610" i="2" s="1"/>
  <c r="AS586" i="2"/>
  <c r="AU586" i="2" s="1"/>
  <c r="AS514" i="2"/>
  <c r="AU514" i="2" s="1"/>
  <c r="AS502" i="2"/>
  <c r="AU502" i="2" s="1"/>
  <c r="R502" i="16" s="1"/>
  <c r="AT502" i="16" s="1"/>
  <c r="AS490" i="2"/>
  <c r="AU490" i="2" s="1"/>
  <c r="R490" i="16" s="1"/>
  <c r="AT490" i="16" s="1"/>
  <c r="AS430" i="2"/>
  <c r="AU430" i="2" s="1"/>
  <c r="AS418" i="2"/>
  <c r="AU418" i="2" s="1"/>
  <c r="AS382" i="2"/>
  <c r="AU382" i="2" s="1"/>
  <c r="R382" i="16" s="1"/>
  <c r="AT382" i="16" s="1"/>
  <c r="AS370" i="2"/>
  <c r="AU370" i="2" s="1"/>
  <c r="R370" i="16" s="1"/>
  <c r="AT370" i="16" s="1"/>
  <c r="AS262" i="2"/>
  <c r="AU262" i="2" s="1"/>
  <c r="R262" i="16" s="1"/>
  <c r="AT262" i="16" s="1"/>
  <c r="AS238" i="2"/>
  <c r="AU238" i="2" s="1"/>
  <c r="R238" i="16" s="1"/>
  <c r="AT238" i="16" s="1"/>
  <c r="AS226" i="2"/>
  <c r="AU226" i="2" s="1"/>
  <c r="R226" i="16" s="1"/>
  <c r="AT226" i="16" s="1"/>
  <c r="AS214" i="2"/>
  <c r="AU214" i="2" s="1"/>
  <c r="AS202" i="2"/>
  <c r="AU202" i="2" s="1"/>
  <c r="R202" i="16" s="1"/>
  <c r="AT202" i="16" s="1"/>
  <c r="AS190" i="2"/>
  <c r="AU190" i="2" s="1"/>
  <c r="AS166" i="2"/>
  <c r="AU166" i="2" s="1"/>
  <c r="R166" i="16" s="1"/>
  <c r="AT166" i="16" s="1"/>
  <c r="AS106" i="2"/>
  <c r="AU106" i="2" s="1"/>
  <c r="R106" i="16" s="1"/>
  <c r="AT106" i="16" s="1"/>
  <c r="AS58" i="2"/>
  <c r="AU58" i="2" s="1"/>
  <c r="R58" i="16" s="1"/>
  <c r="AT58" i="16" s="1"/>
  <c r="AS22" i="2"/>
  <c r="AU22" i="2" s="1"/>
  <c r="AS753" i="2"/>
  <c r="AU753" i="2" s="1"/>
  <c r="R753" i="16" s="1"/>
  <c r="AT753" i="16" s="1"/>
  <c r="AS741" i="2"/>
  <c r="AU741" i="2" s="1"/>
  <c r="AS705" i="2"/>
  <c r="AU705" i="2" s="1"/>
  <c r="R705" i="16" s="1"/>
  <c r="AT705" i="16" s="1"/>
  <c r="AS693" i="2"/>
  <c r="AU693" i="2" s="1"/>
  <c r="R693" i="16" s="1"/>
  <c r="AT693" i="16" s="1"/>
  <c r="AS681" i="2"/>
  <c r="AU681" i="2" s="1"/>
  <c r="AS657" i="2"/>
  <c r="AU657" i="2" s="1"/>
  <c r="AS645" i="2"/>
  <c r="AU645" i="2" s="1"/>
  <c r="R645" i="16" s="1"/>
  <c r="AT645" i="16" s="1"/>
  <c r="AS609" i="2"/>
  <c r="AU609" i="2" s="1"/>
  <c r="R609" i="16" s="1"/>
  <c r="AT609" i="16" s="1"/>
  <c r="AS585" i="2"/>
  <c r="AU585" i="2" s="1"/>
  <c r="R585" i="16" s="1"/>
  <c r="AT585" i="16" s="1"/>
  <c r="AS537" i="2"/>
  <c r="AU537" i="2" s="1"/>
  <c r="AS501" i="2"/>
  <c r="AU501" i="2" s="1"/>
  <c r="R501" i="16" s="1"/>
  <c r="AT501" i="16" s="1"/>
  <c r="AS489" i="2"/>
  <c r="AU489" i="2" s="1"/>
  <c r="AS441" i="2"/>
  <c r="AU441" i="2" s="1"/>
  <c r="AS381" i="2"/>
  <c r="AU381" i="2" s="1"/>
  <c r="R381" i="16" s="1"/>
  <c r="AT381" i="16" s="1"/>
  <c r="AP369" i="2"/>
  <c r="AS333" i="2"/>
  <c r="AU333" i="2" s="1"/>
  <c r="R333" i="16" s="1"/>
  <c r="AT333" i="16" s="1"/>
  <c r="AP285" i="2"/>
  <c r="AS261" i="2"/>
  <c r="AU261" i="2" s="1"/>
  <c r="R261" i="16" s="1"/>
  <c r="AT261" i="16" s="1"/>
  <c r="AS225" i="2"/>
  <c r="AU225" i="2" s="1"/>
  <c r="AS189" i="2"/>
  <c r="AU189" i="2" s="1"/>
  <c r="AS153" i="2"/>
  <c r="AU153" i="2" s="1"/>
  <c r="R153" i="16" s="1"/>
  <c r="AT153" i="16" s="1"/>
  <c r="AS129" i="2"/>
  <c r="AU129" i="2" s="1"/>
  <c r="AS728" i="2"/>
  <c r="AU728" i="2" s="1"/>
  <c r="R728" i="16" s="1"/>
  <c r="AT728" i="16" s="1"/>
  <c r="AS716" i="2"/>
  <c r="AU716" i="2" s="1"/>
  <c r="R716" i="16" s="1"/>
  <c r="AT716" i="16" s="1"/>
  <c r="AS692" i="2"/>
  <c r="AU692" i="2" s="1"/>
  <c r="AS668" i="2"/>
  <c r="AU668" i="2" s="1"/>
  <c r="R668" i="16" s="1"/>
  <c r="AT668" i="16" s="1"/>
  <c r="AS644" i="2"/>
  <c r="AU644" i="2" s="1"/>
  <c r="R644" i="16" s="1"/>
  <c r="AT644" i="16" s="1"/>
  <c r="AS608" i="2"/>
  <c r="AU608" i="2" s="1"/>
  <c r="AS596" i="2"/>
  <c r="AU596" i="2" s="1"/>
  <c r="R596" i="16" s="1"/>
  <c r="AT596" i="16" s="1"/>
  <c r="AS584" i="2"/>
  <c r="AU584" i="2" s="1"/>
  <c r="R584" i="16" s="1"/>
  <c r="AT584" i="16" s="1"/>
  <c r="AS560" i="2"/>
  <c r="AU560" i="2" s="1"/>
  <c r="AS548" i="2"/>
  <c r="AU548" i="2" s="1"/>
  <c r="R548" i="16" s="1"/>
  <c r="AT548" i="16" s="1"/>
  <c r="AS536" i="2"/>
  <c r="AU536" i="2" s="1"/>
  <c r="R536" i="16" s="1"/>
  <c r="AT536" i="16" s="1"/>
  <c r="AP500" i="2"/>
  <c r="AS404" i="2"/>
  <c r="AU404" i="2" s="1"/>
  <c r="AS308" i="2"/>
  <c r="AU308" i="2" s="1"/>
  <c r="R308" i="16" s="1"/>
  <c r="AT308" i="16" s="1"/>
  <c r="AS296" i="2"/>
  <c r="AU296" i="2" s="1"/>
  <c r="AS284" i="2"/>
  <c r="AU284" i="2" s="1"/>
  <c r="AP224" i="2"/>
  <c r="AS212" i="2"/>
  <c r="AU212" i="2" s="1"/>
  <c r="R212" i="16" s="1"/>
  <c r="AT212" i="16" s="1"/>
  <c r="AS200" i="2"/>
  <c r="AU200" i="2" s="1"/>
  <c r="AS188" i="2"/>
  <c r="AU188" i="2" s="1"/>
  <c r="AS164" i="2"/>
  <c r="AU164" i="2" s="1"/>
  <c r="AS152" i="2"/>
  <c r="AU152" i="2" s="1"/>
  <c r="R152" i="16" s="1"/>
  <c r="AT152" i="16" s="1"/>
  <c r="AP140" i="2"/>
  <c r="AS128" i="2"/>
  <c r="AU128" i="2" s="1"/>
  <c r="R128" i="16" s="1"/>
  <c r="AT128" i="16" s="1"/>
  <c r="AS32" i="2"/>
  <c r="AU32" i="2" s="1"/>
  <c r="R32" i="16" s="1"/>
  <c r="AT32" i="16" s="1"/>
  <c r="AP943" i="2"/>
  <c r="AP931" i="2"/>
  <c r="AS89" i="2"/>
  <c r="AU89" i="2" s="1"/>
  <c r="R89" i="16" s="1"/>
  <c r="AT89" i="16" s="1"/>
  <c r="AS65" i="2"/>
  <c r="AU65" i="2" s="1"/>
  <c r="R65" i="16" s="1"/>
  <c r="AT65" i="16" s="1"/>
  <c r="AS41" i="2"/>
  <c r="AU41" i="2" s="1"/>
  <c r="R41" i="16" s="1"/>
  <c r="AT41" i="16" s="1"/>
  <c r="AS17" i="2"/>
  <c r="AU17" i="2" s="1"/>
  <c r="R17" i="16" s="1"/>
  <c r="AT17" i="16" s="1"/>
  <c r="AN798" i="2"/>
  <c r="AS808" i="2"/>
  <c r="AU808" i="2" s="1"/>
  <c r="AS748" i="2"/>
  <c r="AU748" i="2" s="1"/>
  <c r="R748" i="16" s="1"/>
  <c r="AT748" i="16" s="1"/>
  <c r="AP616" i="2"/>
  <c r="AS604" i="2"/>
  <c r="AU604" i="2" s="1"/>
  <c r="AP580" i="2"/>
  <c r="AS520" i="2"/>
  <c r="AU520" i="2" s="1"/>
  <c r="AS400" i="2"/>
  <c r="AU400" i="2" s="1"/>
  <c r="AS376" i="2"/>
  <c r="AU376" i="2" s="1"/>
  <c r="R376" i="16" s="1"/>
  <c r="AT376" i="16" s="1"/>
  <c r="AS292" i="2"/>
  <c r="AU292" i="2" s="1"/>
  <c r="AS97" i="2"/>
  <c r="AU97" i="2" s="1"/>
  <c r="R97" i="16" s="1"/>
  <c r="AT97" i="16" s="1"/>
  <c r="AS900" i="2"/>
  <c r="AU900" i="2" s="1"/>
  <c r="AS768" i="2"/>
  <c r="AU768" i="2" s="1"/>
  <c r="R768" i="16" s="1"/>
  <c r="AT768" i="16" s="1"/>
  <c r="AS588" i="2"/>
  <c r="AU588" i="2" s="1"/>
  <c r="AS528" i="2"/>
  <c r="AU528" i="2" s="1"/>
  <c r="AS883" i="2"/>
  <c r="AU883" i="2" s="1"/>
  <c r="R883" i="16" s="1"/>
  <c r="AT887" i="16" s="1"/>
  <c r="AS835" i="2"/>
  <c r="AU835" i="2" s="1"/>
  <c r="AS823" i="2"/>
  <c r="AU823" i="2" s="1"/>
  <c r="R823" i="16" s="1"/>
  <c r="AT824" i="16" s="1"/>
  <c r="AS775" i="2"/>
  <c r="AU775" i="2" s="1"/>
  <c r="R775" i="16" s="1"/>
  <c r="AT775" i="16" s="1"/>
  <c r="AS751" i="2"/>
  <c r="AU751" i="2" s="1"/>
  <c r="R751" i="16" s="1"/>
  <c r="AT751" i="16" s="1"/>
  <c r="AP703" i="2"/>
  <c r="AS511" i="2"/>
  <c r="AU511" i="2" s="1"/>
  <c r="AS475" i="2"/>
  <c r="AU475" i="2" s="1"/>
  <c r="AS463" i="2"/>
  <c r="AU463" i="2" s="1"/>
  <c r="AS415" i="2"/>
  <c r="AU415" i="2" s="1"/>
  <c r="R415" i="16" s="1"/>
  <c r="AT415" i="16" s="1"/>
  <c r="AS403" i="2"/>
  <c r="AU403" i="2" s="1"/>
  <c r="R403" i="16" s="1"/>
  <c r="AT403" i="16" s="1"/>
  <c r="AS391" i="2"/>
  <c r="AU391" i="2" s="1"/>
  <c r="AS379" i="2"/>
  <c r="AU379" i="2" s="1"/>
  <c r="AS355" i="2"/>
  <c r="AU355" i="2" s="1"/>
  <c r="AP331" i="2"/>
  <c r="AS319" i="2"/>
  <c r="AU319" i="2" s="1"/>
  <c r="AS307" i="2"/>
  <c r="AU307" i="2" s="1"/>
  <c r="AS283" i="2"/>
  <c r="AU283" i="2" s="1"/>
  <c r="AS223" i="2"/>
  <c r="AU223" i="2" s="1"/>
  <c r="AS187" i="2"/>
  <c r="AU187" i="2" s="1"/>
  <c r="R187" i="16" s="1"/>
  <c r="AT187" i="16" s="1"/>
  <c r="AS151" i="2"/>
  <c r="AU151" i="2" s="1"/>
  <c r="R151" i="16" s="1"/>
  <c r="AT151" i="16" s="1"/>
  <c r="AS127" i="2"/>
  <c r="AU127" i="2" s="1"/>
  <c r="R127" i="16" s="1"/>
  <c r="AT127" i="16" s="1"/>
  <c r="AS91" i="2"/>
  <c r="AU91" i="2" s="1"/>
  <c r="AS67" i="2"/>
  <c r="AU67" i="2" s="1"/>
  <c r="R67" i="16" s="1"/>
  <c r="AT67" i="16" s="1"/>
  <c r="AS43" i="2"/>
  <c r="AU43" i="2" s="1"/>
  <c r="AS19" i="2"/>
  <c r="AU19" i="2" s="1"/>
  <c r="AS7" i="2"/>
  <c r="AU7" i="2" s="1"/>
  <c r="AN1111" i="2"/>
  <c r="AN221" i="2"/>
  <c r="AS834" i="2"/>
  <c r="AU834" i="2" s="1"/>
  <c r="AS786" i="2"/>
  <c r="AU786" i="2" s="1"/>
  <c r="R786" i="16" s="1"/>
  <c r="AT786" i="16" s="1"/>
  <c r="AS774" i="2"/>
  <c r="AU774" i="2" s="1"/>
  <c r="R774" i="16" s="1"/>
  <c r="AT774" i="16" s="1"/>
  <c r="AS762" i="2"/>
  <c r="AU762" i="2" s="1"/>
  <c r="AS726" i="2"/>
  <c r="AU726" i="2" s="1"/>
  <c r="R726" i="16" s="1"/>
  <c r="AT726" i="16" s="1"/>
  <c r="AS714" i="2"/>
  <c r="AU714" i="2" s="1"/>
  <c r="AS642" i="2"/>
  <c r="AU642" i="2" s="1"/>
  <c r="AS546" i="2"/>
  <c r="AU546" i="2" s="1"/>
  <c r="R546" i="16" s="1"/>
  <c r="AT546" i="16" s="1"/>
  <c r="AP534" i="2"/>
  <c r="AP414" i="2"/>
  <c r="AS378" i="2"/>
  <c r="AU378" i="2" s="1"/>
  <c r="AS366" i="2"/>
  <c r="AU366" i="2" s="1"/>
  <c r="AS354" i="2"/>
  <c r="AU354" i="2" s="1"/>
  <c r="AS318" i="2"/>
  <c r="AU318" i="2" s="1"/>
  <c r="AS306" i="2"/>
  <c r="AU306" i="2" s="1"/>
  <c r="R306" i="16" s="1"/>
  <c r="AT306" i="16" s="1"/>
  <c r="AS294" i="2"/>
  <c r="AU294" i="2" s="1"/>
  <c r="AS234" i="2"/>
  <c r="AU234" i="2" s="1"/>
  <c r="R234" i="16" s="1"/>
  <c r="AT234" i="16" s="1"/>
  <c r="AS186" i="2"/>
  <c r="AU186" i="2" s="1"/>
  <c r="R186" i="16" s="1"/>
  <c r="AT186" i="16" s="1"/>
  <c r="AS150" i="2"/>
  <c r="AU150" i="2" s="1"/>
  <c r="R150" i="16" s="1"/>
  <c r="AT150" i="16" s="1"/>
  <c r="AS114" i="2"/>
  <c r="AU114" i="2" s="1"/>
  <c r="R114" i="16" s="1"/>
  <c r="AT114" i="16" s="1"/>
  <c r="AS102" i="2"/>
  <c r="AU102" i="2" s="1"/>
  <c r="AS90" i="2"/>
  <c r="AU90" i="2" s="1"/>
  <c r="R90" i="16" s="1"/>
  <c r="AT90" i="16" s="1"/>
  <c r="AS78" i="2"/>
  <c r="AU78" i="2" s="1"/>
  <c r="AS54" i="2"/>
  <c r="AU54" i="2" s="1"/>
  <c r="R54" i="16" s="1"/>
  <c r="AT54" i="16" s="1"/>
  <c r="AS18" i="2"/>
  <c r="AU18" i="2" s="1"/>
  <c r="R18" i="16" s="1"/>
  <c r="AT18" i="16" s="1"/>
  <c r="AS110" i="2"/>
  <c r="AU110" i="2" s="1"/>
  <c r="R110" i="16" s="1"/>
  <c r="AT110" i="16" s="1"/>
  <c r="AS869" i="2"/>
  <c r="AU869" i="2" s="1"/>
  <c r="AS857" i="2"/>
  <c r="AU857" i="2" s="1"/>
  <c r="AS833" i="2"/>
  <c r="AU833" i="2" s="1"/>
  <c r="AS809" i="2"/>
  <c r="AU809" i="2" s="1"/>
  <c r="R809" i="16" s="1"/>
  <c r="AT810" i="16" s="1"/>
  <c r="AS797" i="2"/>
  <c r="AU797" i="2" s="1"/>
  <c r="R797" i="16" s="1"/>
  <c r="AT797" i="16" s="1"/>
  <c r="AP725" i="2"/>
  <c r="AS713" i="2"/>
  <c r="AU713" i="2" s="1"/>
  <c r="AP665" i="2"/>
  <c r="AS617" i="2"/>
  <c r="AU617" i="2" s="1"/>
  <c r="R617" i="16" s="1"/>
  <c r="AT617" i="16" s="1"/>
  <c r="AS425" i="2"/>
  <c r="AU425" i="2" s="1"/>
  <c r="AS413" i="2"/>
  <c r="AU413" i="2" s="1"/>
  <c r="AP401" i="2"/>
  <c r="AS377" i="2"/>
  <c r="AU377" i="2" s="1"/>
  <c r="AS305" i="2"/>
  <c r="AU305" i="2" s="1"/>
  <c r="R305" i="16" s="1"/>
  <c r="AT305" i="16" s="1"/>
  <c r="AS293" i="2"/>
  <c r="AU293" i="2" s="1"/>
  <c r="AS269" i="2"/>
  <c r="AU269" i="2" s="1"/>
  <c r="R269" i="16" s="1"/>
  <c r="AT269" i="16" s="1"/>
  <c r="AS221" i="2"/>
  <c r="AU221" i="2" s="1"/>
  <c r="AS197" i="2"/>
  <c r="AU197" i="2" s="1"/>
  <c r="AS185" i="2"/>
  <c r="AU185" i="2" s="1"/>
  <c r="AS173" i="2"/>
  <c r="AU173" i="2" s="1"/>
  <c r="R173" i="16" s="1"/>
  <c r="AT173" i="16" s="1"/>
  <c r="AS149" i="2"/>
  <c r="AU149" i="2" s="1"/>
  <c r="AS137" i="2"/>
  <c r="AU137" i="2" s="1"/>
  <c r="AS125" i="2"/>
  <c r="AU125" i="2" s="1"/>
  <c r="R125" i="16" s="1"/>
  <c r="AT125" i="16" s="1"/>
  <c r="AS101" i="2"/>
  <c r="AU101" i="2" s="1"/>
  <c r="R101" i="16" s="1"/>
  <c r="AT101" i="16" s="1"/>
  <c r="AS53" i="2"/>
  <c r="AU53" i="2" s="1"/>
  <c r="R53" i="16" s="1"/>
  <c r="AT53" i="16" s="1"/>
  <c r="AS29" i="2"/>
  <c r="AU29" i="2" s="1"/>
  <c r="R29" i="16" s="1"/>
  <c r="AT29" i="16" s="1"/>
  <c r="AS5" i="2"/>
  <c r="AU5" i="2" s="1"/>
  <c r="R5" i="16" s="1"/>
  <c r="AT5" i="16" s="1"/>
  <c r="AS772" i="2"/>
  <c r="AU772" i="2" s="1"/>
  <c r="AS736" i="2"/>
  <c r="AU736" i="2" s="1"/>
  <c r="AP640" i="2"/>
  <c r="AS592" i="2"/>
  <c r="AU592" i="2" s="1"/>
  <c r="AS472" i="2"/>
  <c r="AU472" i="2" s="1"/>
  <c r="AS448" i="2"/>
  <c r="AU448" i="2" s="1"/>
  <c r="AP268" i="2"/>
  <c r="AS208" i="2"/>
  <c r="AU208" i="2" s="1"/>
  <c r="AS361" i="2"/>
  <c r="AU361" i="2" s="1"/>
  <c r="AS265" i="2"/>
  <c r="AU265" i="2" s="1"/>
  <c r="R265" i="16" s="1"/>
  <c r="AT265" i="16" s="1"/>
  <c r="AS109" i="2"/>
  <c r="AU109" i="2" s="1"/>
  <c r="R109" i="16" s="1"/>
  <c r="AT109" i="16" s="1"/>
  <c r="AS85" i="2"/>
  <c r="AU85" i="2" s="1"/>
  <c r="R85" i="16" s="1"/>
  <c r="AT85" i="16" s="1"/>
  <c r="AS600" i="2"/>
  <c r="AU600" i="2" s="1"/>
  <c r="AS576" i="2"/>
  <c r="AU576" i="2" s="1"/>
  <c r="R576" i="16" s="1"/>
  <c r="AT576" i="16" s="1"/>
  <c r="AS136" i="2"/>
  <c r="AU136" i="2" s="1"/>
  <c r="AS124" i="2"/>
  <c r="AU124" i="2" s="1"/>
  <c r="AS88" i="2"/>
  <c r="AU88" i="2" s="1"/>
  <c r="AS76" i="2"/>
  <c r="AU76" i="2" s="1"/>
  <c r="AS40" i="2"/>
  <c r="AU40" i="2" s="1"/>
  <c r="AS28" i="2"/>
  <c r="AU28" i="2" s="1"/>
  <c r="R28" i="16" s="1"/>
  <c r="AT28" i="16" s="1"/>
  <c r="AS16" i="2"/>
  <c r="AU16" i="2" s="1"/>
  <c r="R16" i="16" s="1"/>
  <c r="AT16" i="16" s="1"/>
  <c r="AS4" i="2"/>
  <c r="AU4" i="2" s="1"/>
  <c r="R4" i="16" s="1"/>
  <c r="AT4" i="16" s="1"/>
  <c r="AN6" i="2"/>
  <c r="AM315" i="2"/>
  <c r="AP819" i="2"/>
  <c r="AS795" i="2"/>
  <c r="AU795" i="2" s="1"/>
  <c r="AS771" i="2"/>
  <c r="AU771" i="2" s="1"/>
  <c r="AS687" i="2"/>
  <c r="AU687" i="2" s="1"/>
  <c r="AP651" i="2"/>
  <c r="AS531" i="2"/>
  <c r="AU531" i="2" s="1"/>
  <c r="AS519" i="2"/>
  <c r="AU519" i="2" s="1"/>
  <c r="AS447" i="2"/>
  <c r="AU447" i="2" s="1"/>
  <c r="AS399" i="2"/>
  <c r="AU399" i="2" s="1"/>
  <c r="AS375" i="2"/>
  <c r="AU375" i="2" s="1"/>
  <c r="AS363" i="2"/>
  <c r="AU363" i="2" s="1"/>
  <c r="AS339" i="2"/>
  <c r="AU339" i="2" s="1"/>
  <c r="R339" i="16" s="1"/>
  <c r="AT339" i="16" s="1"/>
  <c r="AP327" i="2"/>
  <c r="AS315" i="2"/>
  <c r="AU315" i="2" s="1"/>
  <c r="R315" i="16" s="1"/>
  <c r="AT315" i="16" s="1"/>
  <c r="AS291" i="2"/>
  <c r="AU291" i="2" s="1"/>
  <c r="AS279" i="2"/>
  <c r="AU279" i="2" s="1"/>
  <c r="AP255" i="2"/>
  <c r="AS195" i="2"/>
  <c r="AU195" i="2" s="1"/>
  <c r="AS159" i="2"/>
  <c r="AU159" i="2" s="1"/>
  <c r="R159" i="16" s="1"/>
  <c r="AT159" i="16" s="1"/>
  <c r="AS135" i="2"/>
  <c r="AU135" i="2" s="1"/>
  <c r="R135" i="16" s="1"/>
  <c r="AT135" i="16" s="1"/>
  <c r="AP123" i="2"/>
  <c r="AS99" i="2"/>
  <c r="AU99" i="2" s="1"/>
  <c r="R99" i="16" s="1"/>
  <c r="AT99" i="16" s="1"/>
  <c r="AS63" i="2"/>
  <c r="AU63" i="2" s="1"/>
  <c r="R63" i="16" s="1"/>
  <c r="AT63" i="16" s="1"/>
  <c r="AS27" i="2"/>
  <c r="AU27" i="2" s="1"/>
  <c r="AS1202" i="2"/>
  <c r="AU1202" i="2" s="1"/>
  <c r="AS1178" i="2"/>
  <c r="AU1178" i="2" s="1"/>
  <c r="AS1082" i="2"/>
  <c r="AU1082" i="2" s="1"/>
  <c r="AS962" i="2"/>
  <c r="AU962" i="2" s="1"/>
  <c r="AS950" i="2"/>
  <c r="AU950" i="2" s="1"/>
  <c r="AS938" i="2"/>
  <c r="AU938" i="2" s="1"/>
  <c r="AS926" i="2"/>
  <c r="AU926" i="2" s="1"/>
  <c r="AS890" i="2"/>
  <c r="AU890" i="2" s="1"/>
  <c r="AS794" i="2"/>
  <c r="AU794" i="2" s="1"/>
  <c r="AS746" i="2"/>
  <c r="AU746" i="2" s="1"/>
  <c r="R746" i="16" s="1"/>
  <c r="AT746" i="16" s="1"/>
  <c r="AS698" i="2"/>
  <c r="AU698" i="2" s="1"/>
  <c r="R698" i="16" s="1"/>
  <c r="AT698" i="16" s="1"/>
  <c r="AS638" i="2"/>
  <c r="AU638" i="2" s="1"/>
  <c r="AS578" i="2"/>
  <c r="AU578" i="2" s="1"/>
  <c r="AP542" i="2"/>
  <c r="AS494" i="2"/>
  <c r="AU494" i="2" s="1"/>
  <c r="R494" i="16" s="1"/>
  <c r="AT494" i="16" s="1"/>
  <c r="AS470" i="2"/>
  <c r="AU470" i="2" s="1"/>
  <c r="R470" i="16" s="1"/>
  <c r="AT470" i="16" s="1"/>
  <c r="AS434" i="2"/>
  <c r="AU434" i="2" s="1"/>
  <c r="R434" i="16" s="1"/>
  <c r="AT434" i="16" s="1"/>
  <c r="AP314" i="2"/>
  <c r="AP302" i="2"/>
  <c r="AS278" i="2"/>
  <c r="AU278" i="2" s="1"/>
  <c r="AS242" i="2"/>
  <c r="AU242" i="2" s="1"/>
  <c r="R242" i="16" s="1"/>
  <c r="AT242" i="16" s="1"/>
  <c r="AS206" i="2"/>
  <c r="AU206" i="2" s="1"/>
  <c r="R206" i="16" s="1"/>
  <c r="AT206" i="16" s="1"/>
  <c r="AS62" i="2"/>
  <c r="AU62" i="2" s="1"/>
  <c r="R62" i="16" s="1"/>
  <c r="AT62" i="16" s="1"/>
  <c r="AS50" i="2"/>
  <c r="AU50" i="2" s="1"/>
  <c r="R50" i="16" s="1"/>
  <c r="AT50" i="16" s="1"/>
  <c r="AS38" i="2"/>
  <c r="AU38" i="2" s="1"/>
  <c r="AN727" i="2"/>
  <c r="AS781" i="2"/>
  <c r="AU781" i="2" s="1"/>
  <c r="R781" i="16" s="1"/>
  <c r="AT781" i="16" s="1"/>
  <c r="AS721" i="2"/>
  <c r="AU721" i="2" s="1"/>
  <c r="AS709" i="2"/>
  <c r="AU709" i="2" s="1"/>
  <c r="AS697" i="2"/>
  <c r="AU697" i="2" s="1"/>
  <c r="AP673" i="2"/>
  <c r="AP637" i="2"/>
  <c r="AP613" i="2"/>
  <c r="AS577" i="2"/>
  <c r="AU577" i="2" s="1"/>
  <c r="R577" i="16" s="1"/>
  <c r="AT577" i="16" s="1"/>
  <c r="AS493" i="2"/>
  <c r="AU493" i="2" s="1"/>
  <c r="R493" i="16" s="1"/>
  <c r="AT493" i="16" s="1"/>
  <c r="AS457" i="2"/>
  <c r="AU457" i="2" s="1"/>
  <c r="R457" i="16" s="1"/>
  <c r="AT457" i="16" s="1"/>
  <c r="AS421" i="2"/>
  <c r="AU421" i="2" s="1"/>
  <c r="AS409" i="2"/>
  <c r="AU409" i="2" s="1"/>
  <c r="AS73" i="2"/>
  <c r="AU73" i="2" s="1"/>
  <c r="R73" i="16" s="1"/>
  <c r="AT73" i="16" s="1"/>
  <c r="AS49" i="2"/>
  <c r="AU49" i="2" s="1"/>
  <c r="R49" i="16" s="1"/>
  <c r="AT49" i="16" s="1"/>
  <c r="AS25" i="2"/>
  <c r="AU25" i="2" s="1"/>
  <c r="R25" i="16" s="1"/>
  <c r="AT25" i="16" s="1"/>
  <c r="AS876" i="2"/>
  <c r="AU876" i="2" s="1"/>
  <c r="AS780" i="2"/>
  <c r="AU780" i="2" s="1"/>
  <c r="AS696" i="2"/>
  <c r="AU696" i="2" s="1"/>
  <c r="R696" i="16" s="1"/>
  <c r="AT696" i="16" s="1"/>
  <c r="AS492" i="2"/>
  <c r="AU492" i="2" s="1"/>
  <c r="R492" i="16" s="1"/>
  <c r="AT492" i="16" s="1"/>
  <c r="AP480" i="2"/>
  <c r="AS468" i="2"/>
  <c r="AU468" i="2" s="1"/>
  <c r="AS456" i="2"/>
  <c r="AU456" i="2" s="1"/>
  <c r="AS408" i="2"/>
  <c r="AU408" i="2" s="1"/>
  <c r="R408" i="16" s="1"/>
  <c r="AT408" i="16" s="1"/>
  <c r="AS360" i="2"/>
  <c r="AU360" i="2" s="1"/>
  <c r="AS348" i="2"/>
  <c r="AU348" i="2" s="1"/>
  <c r="R348" i="16" s="1"/>
  <c r="AT348" i="16" s="1"/>
  <c r="AS324" i="2"/>
  <c r="AU324" i="2" s="1"/>
  <c r="AS288" i="2"/>
  <c r="AU288" i="2" s="1"/>
  <c r="R288" i="16" s="1"/>
  <c r="AT288" i="16" s="1"/>
  <c r="AS240" i="2"/>
  <c r="AU240" i="2" s="1"/>
  <c r="R240" i="16" s="1"/>
  <c r="AT240" i="16" s="1"/>
  <c r="AS228" i="2"/>
  <c r="AU228" i="2" s="1"/>
  <c r="R228" i="16" s="1"/>
  <c r="AT228" i="16" s="1"/>
  <c r="AS204" i="2"/>
  <c r="AU204" i="2" s="1"/>
  <c r="R204" i="16" s="1"/>
  <c r="AT204" i="16" s="1"/>
  <c r="AS192" i="2"/>
  <c r="AU192" i="2" s="1"/>
  <c r="AP132" i="2"/>
  <c r="AS108" i="2"/>
  <c r="AU108" i="2" s="1"/>
  <c r="R108" i="16" s="1"/>
  <c r="AT108" i="16" s="1"/>
  <c r="AS96" i="2"/>
  <c r="AU96" i="2" s="1"/>
  <c r="R96" i="16" s="1"/>
  <c r="AT96" i="16" s="1"/>
  <c r="AS72" i="2"/>
  <c r="AU72" i="2" s="1"/>
  <c r="AS36" i="2"/>
  <c r="AU36" i="2" s="1"/>
  <c r="R36" i="16" s="1"/>
  <c r="AT36" i="16" s="1"/>
  <c r="AS12" i="2"/>
  <c r="AU12" i="2" s="1"/>
  <c r="R12" i="16" s="1"/>
  <c r="AT12" i="16" s="1"/>
  <c r="AS827" i="2"/>
  <c r="AU827" i="2" s="1"/>
  <c r="AP815" i="2"/>
  <c r="AS803" i="2"/>
  <c r="AU803" i="2" s="1"/>
  <c r="R803" i="16" s="1"/>
  <c r="AT804" i="16" s="1"/>
  <c r="AP791" i="2"/>
  <c r="AS779" i="2"/>
  <c r="AU779" i="2" s="1"/>
  <c r="AS755" i="2"/>
  <c r="AU755" i="2" s="1"/>
  <c r="R755" i="16" s="1"/>
  <c r="AT755" i="16" s="1"/>
  <c r="AS707" i="2"/>
  <c r="AU707" i="2" s="1"/>
  <c r="AS695" i="2"/>
  <c r="AU695" i="2" s="1"/>
  <c r="AS623" i="2"/>
  <c r="AU623" i="2" s="1"/>
  <c r="AS551" i="2"/>
  <c r="AU551" i="2" s="1"/>
  <c r="AS503" i="2"/>
  <c r="AU503" i="2" s="1"/>
  <c r="AS491" i="2"/>
  <c r="AU491" i="2" s="1"/>
  <c r="R491" i="16" s="1"/>
  <c r="AT491" i="16" s="1"/>
  <c r="AS467" i="2"/>
  <c r="AU467" i="2" s="1"/>
  <c r="AS443" i="2"/>
  <c r="AU443" i="2" s="1"/>
  <c r="R443" i="16" s="1"/>
  <c r="AT443" i="16" s="1"/>
  <c r="AS431" i="2"/>
  <c r="AU431" i="2" s="1"/>
  <c r="R431" i="16" s="1"/>
  <c r="AT431" i="16" s="1"/>
  <c r="AS419" i="2"/>
  <c r="AU419" i="2" s="1"/>
  <c r="AS395" i="2"/>
  <c r="AU395" i="2" s="1"/>
  <c r="AS347" i="2"/>
  <c r="AU347" i="2" s="1"/>
  <c r="R347" i="16" s="1"/>
  <c r="AT347" i="16" s="1"/>
  <c r="AS335" i="2"/>
  <c r="AU335" i="2" s="1"/>
  <c r="AP323" i="2"/>
  <c r="AS299" i="2"/>
  <c r="AU299" i="2" s="1"/>
  <c r="R299" i="16" s="1"/>
  <c r="AT299" i="16" s="1"/>
  <c r="AS227" i="2"/>
  <c r="AU227" i="2" s="1"/>
  <c r="AS191" i="2"/>
  <c r="AU191" i="2" s="1"/>
  <c r="R191" i="16" s="1"/>
  <c r="AT191" i="16" s="1"/>
  <c r="AS179" i="2"/>
  <c r="AU179" i="2" s="1"/>
  <c r="R179" i="16" s="1"/>
  <c r="AT179" i="16" s="1"/>
  <c r="AS131" i="2"/>
  <c r="AU131" i="2" s="1"/>
  <c r="AS71" i="2"/>
  <c r="AU71" i="2" s="1"/>
  <c r="R71" i="16" s="1"/>
  <c r="AT71" i="16" s="1"/>
  <c r="AS59" i="2"/>
  <c r="AU59" i="2" s="1"/>
  <c r="R59" i="16" s="1"/>
  <c r="AT59" i="16" s="1"/>
  <c r="AS35" i="2"/>
  <c r="AU35" i="2" s="1"/>
  <c r="R35" i="16" s="1"/>
  <c r="AT35" i="16" s="1"/>
  <c r="AP23" i="2"/>
  <c r="AN502" i="2"/>
  <c r="AN377" i="2"/>
  <c r="AN174" i="2"/>
  <c r="AN298" i="2"/>
  <c r="AN296" i="2"/>
  <c r="AN192" i="2"/>
  <c r="AN598" i="2"/>
  <c r="B78" i="16"/>
  <c r="Z79" i="2"/>
  <c r="B79" i="16" s="1"/>
  <c r="O765" i="16"/>
  <c r="AH765" i="2"/>
  <c r="AI765" i="2" s="1"/>
  <c r="H413" i="16"/>
  <c r="U414" i="2"/>
  <c r="O115" i="16"/>
  <c r="AH115" i="2"/>
  <c r="O180" i="16"/>
  <c r="AH180" i="2"/>
  <c r="O400" i="16"/>
  <c r="AG401" i="2"/>
  <c r="O804" i="16"/>
  <c r="AH804" i="2"/>
  <c r="P804" i="16" s="1"/>
  <c r="O248" i="16"/>
  <c r="AH248" i="2"/>
  <c r="O738" i="16"/>
  <c r="AH738" i="2"/>
  <c r="P738" i="16" s="1"/>
  <c r="O471" i="16"/>
  <c r="AH471" i="2"/>
  <c r="O271" i="16"/>
  <c r="AH271" i="2"/>
  <c r="H741" i="16"/>
  <c r="U742" i="2"/>
  <c r="O1073" i="16"/>
  <c r="AH1073" i="2"/>
  <c r="P1073" i="16" s="1"/>
  <c r="O763" i="16"/>
  <c r="AH763" i="2"/>
  <c r="O733" i="16"/>
  <c r="AH733" i="2"/>
  <c r="O718" i="16"/>
  <c r="AH718" i="2"/>
  <c r="P718" i="16" s="1"/>
  <c r="O284" i="16"/>
  <c r="AH284" i="2"/>
  <c r="AI284" i="2" s="1"/>
  <c r="O163" i="16"/>
  <c r="AH163" i="2"/>
  <c r="O81" i="16"/>
  <c r="AH81" i="2"/>
  <c r="AI81" i="2" s="1"/>
  <c r="O963" i="16"/>
  <c r="AG964" i="2"/>
  <c r="AL964" i="2" s="1"/>
  <c r="O729" i="16"/>
  <c r="AH729" i="2"/>
  <c r="P729" i="16" s="1"/>
  <c r="H975" i="16"/>
  <c r="O741" i="16"/>
  <c r="AG742" i="2"/>
  <c r="AG743" i="2" s="1"/>
  <c r="AH741" i="2"/>
  <c r="H664" i="16"/>
  <c r="U665" i="2"/>
  <c r="U666" i="2" s="1"/>
  <c r="H400" i="16"/>
  <c r="U401" i="2"/>
  <c r="O849" i="16"/>
  <c r="AH849" i="2"/>
  <c r="H469" i="16"/>
  <c r="O507" i="16"/>
  <c r="AH507" i="2"/>
  <c r="O273" i="16"/>
  <c r="AH273" i="2"/>
  <c r="O131" i="16"/>
  <c r="AH131" i="2"/>
  <c r="O263" i="16"/>
  <c r="AH263" i="2"/>
  <c r="P263" i="16" s="1"/>
  <c r="O146" i="16"/>
  <c r="AH146" i="2"/>
  <c r="O607" i="16"/>
  <c r="AH607" i="2"/>
  <c r="P607" i="16" s="1"/>
  <c r="O427" i="16"/>
  <c r="AH427" i="2"/>
  <c r="H393" i="16"/>
  <c r="U394" i="2"/>
  <c r="H394" i="16" s="1"/>
  <c r="O1154" i="16"/>
  <c r="AH1154" i="2"/>
  <c r="AM1154" i="2" s="1"/>
  <c r="O1005" i="16"/>
  <c r="AH1005" i="2"/>
  <c r="P1005" i="16" s="1"/>
  <c r="O413" i="16"/>
  <c r="AG414" i="2"/>
  <c r="AH413" i="2"/>
  <c r="AI413" i="2" s="1"/>
  <c r="O167" i="16"/>
  <c r="AH167" i="2"/>
  <c r="O707" i="16"/>
  <c r="AH707" i="2"/>
  <c r="AI707" i="2" s="1"/>
  <c r="O393" i="16"/>
  <c r="AH393" i="2"/>
  <c r="AG394" i="2"/>
  <c r="O113" i="16"/>
  <c r="AN113" i="2"/>
  <c r="AL113" i="2"/>
  <c r="AK113" i="2"/>
  <c r="AH113" i="2"/>
  <c r="H963" i="16"/>
  <c r="U964" i="2"/>
  <c r="H964" i="16" s="1"/>
  <c r="H277" i="16"/>
  <c r="O790" i="16"/>
  <c r="AH790" i="2"/>
  <c r="AI790" i="2" s="1"/>
  <c r="O650" i="16"/>
  <c r="AH650" i="2"/>
  <c r="O111" i="16"/>
  <c r="AH111" i="2"/>
  <c r="H684" i="16"/>
  <c r="H267" i="16"/>
  <c r="U268" i="2"/>
  <c r="H268" i="16" s="1"/>
  <c r="H126" i="16"/>
  <c r="O897" i="16"/>
  <c r="AH897" i="2"/>
  <c r="P897" i="16" s="1"/>
  <c r="O807" i="16"/>
  <c r="AL807" i="2"/>
  <c r="AK807" i="2"/>
  <c r="AH807" i="2"/>
  <c r="P807" i="16" s="1"/>
  <c r="O684" i="16"/>
  <c r="AL684" i="2"/>
  <c r="AK684" i="2"/>
  <c r="AH684" i="2"/>
  <c r="AN684" i="2"/>
  <c r="O643" i="16"/>
  <c r="AL643" i="2"/>
  <c r="AK643" i="2"/>
  <c r="O597" i="16"/>
  <c r="AH597" i="2"/>
  <c r="AK597" i="2"/>
  <c r="O567" i="16"/>
  <c r="AH567" i="2"/>
  <c r="AI567" i="2" s="1"/>
  <c r="AN567" i="2"/>
  <c r="AK567" i="2"/>
  <c r="AL567" i="2"/>
  <c r="O176" i="16"/>
  <c r="AH176" i="2"/>
  <c r="AL176" i="2"/>
  <c r="O126" i="16"/>
  <c r="AH126" i="2"/>
  <c r="AK126" i="2"/>
  <c r="AL126" i="2"/>
  <c r="O64" i="16"/>
  <c r="AH64" i="2"/>
  <c r="AK64" i="2"/>
  <c r="AL64" i="2"/>
  <c r="H1142" i="16"/>
  <c r="AI1142" i="2"/>
  <c r="H910" i="16"/>
  <c r="AI910" i="2"/>
  <c r="H895" i="16"/>
  <c r="AI895" i="2"/>
  <c r="H682" i="16"/>
  <c r="AI682" i="2"/>
  <c r="AN682" i="2" s="1"/>
  <c r="H211" i="16"/>
  <c r="AI211" i="2"/>
  <c r="H86" i="16"/>
  <c r="AI86" i="2"/>
  <c r="O723" i="16"/>
  <c r="AH723" i="2"/>
  <c r="O710" i="16"/>
  <c r="AH710" i="2"/>
  <c r="O199" i="16"/>
  <c r="AH199" i="2"/>
  <c r="O98" i="16"/>
  <c r="AH98" i="2"/>
  <c r="H1096" i="16"/>
  <c r="U1097" i="2"/>
  <c r="H1097" i="16" s="1"/>
  <c r="H680" i="16"/>
  <c r="AI680" i="2"/>
  <c r="O922" i="16"/>
  <c r="AH922" i="2"/>
  <c r="O665" i="16"/>
  <c r="AH665" i="2"/>
  <c r="O498" i="16"/>
  <c r="AH498" i="2"/>
  <c r="P498" i="16" s="1"/>
  <c r="O209" i="16"/>
  <c r="AH209" i="2"/>
  <c r="O121" i="16"/>
  <c r="AH121" i="2"/>
  <c r="O34" i="16"/>
  <c r="AH34" i="2"/>
  <c r="AN22" i="2"/>
  <c r="AH22" i="2"/>
  <c r="H981" i="16"/>
  <c r="U982" i="2"/>
  <c r="O759" i="16"/>
  <c r="AL759" i="2"/>
  <c r="AN759" i="2"/>
  <c r="AK759" i="2"/>
  <c r="AH759" i="2"/>
  <c r="O385" i="16"/>
  <c r="AH385" i="2"/>
  <c r="O358" i="16"/>
  <c r="AH358" i="2"/>
  <c r="H1017" i="16"/>
  <c r="AI1017" i="2"/>
  <c r="H258" i="16"/>
  <c r="H217" i="16"/>
  <c r="O828" i="16"/>
  <c r="AH828" i="2"/>
  <c r="O601" i="16"/>
  <c r="AH601" i="2"/>
  <c r="O356" i="16"/>
  <c r="AH356" i="2"/>
  <c r="O341" i="16"/>
  <c r="AH341" i="2"/>
  <c r="O230" i="16"/>
  <c r="AH230" i="2"/>
  <c r="O155" i="16"/>
  <c r="AH155" i="2"/>
  <c r="H702" i="16"/>
  <c r="U703" i="2"/>
  <c r="H703" i="16" s="1"/>
  <c r="P1083" i="16"/>
  <c r="AI1083" i="2"/>
  <c r="P1052" i="16"/>
  <c r="AI1052" i="2"/>
  <c r="P1037" i="16"/>
  <c r="AI1037" i="2"/>
  <c r="P998" i="16"/>
  <c r="AI998" i="2"/>
  <c r="P952" i="16"/>
  <c r="AI952" i="2"/>
  <c r="P779" i="16"/>
  <c r="AI779" i="2"/>
  <c r="AN779" i="2" s="1"/>
  <c r="P563" i="16"/>
  <c r="AI563" i="2"/>
  <c r="P488" i="16"/>
  <c r="AI488" i="2"/>
  <c r="P470" i="16"/>
  <c r="AI470" i="2"/>
  <c r="P457" i="16"/>
  <c r="AI457" i="2"/>
  <c r="P335" i="16"/>
  <c r="AI335" i="2"/>
  <c r="P24" i="16"/>
  <c r="AI24" i="2"/>
  <c r="P1197" i="16"/>
  <c r="AI1197" i="2"/>
  <c r="P1169" i="16"/>
  <c r="AI1169" i="2"/>
  <c r="P1157" i="16"/>
  <c r="AI1157" i="2"/>
  <c r="P1082" i="16"/>
  <c r="AI1082" i="2"/>
  <c r="P1064" i="16"/>
  <c r="AI1064" i="2"/>
  <c r="P1036" i="16"/>
  <c r="AI1036" i="2"/>
  <c r="P1009" i="16"/>
  <c r="AI1009" i="2"/>
  <c r="P923" i="16"/>
  <c r="AI923" i="2"/>
  <c r="P593" i="16"/>
  <c r="AI593" i="2"/>
  <c r="P531" i="16"/>
  <c r="AI531" i="2"/>
  <c r="P515" i="16"/>
  <c r="AI515" i="2"/>
  <c r="P388" i="16"/>
  <c r="AI388" i="2"/>
  <c r="P376" i="16"/>
  <c r="AI376" i="2"/>
  <c r="P361" i="16"/>
  <c r="AI361" i="2"/>
  <c r="P318" i="16"/>
  <c r="AI318" i="2"/>
  <c r="P304" i="16"/>
  <c r="AI304" i="2"/>
  <c r="P160" i="16"/>
  <c r="AI160" i="2"/>
  <c r="P73" i="16"/>
  <c r="AI73" i="2"/>
  <c r="P1208" i="16"/>
  <c r="AI1208" i="2"/>
  <c r="P1094" i="16"/>
  <c r="AI1094" i="2"/>
  <c r="P935" i="16"/>
  <c r="AI935" i="2"/>
  <c r="AN935" i="2" s="1"/>
  <c r="P893" i="16"/>
  <c r="AI893" i="2"/>
  <c r="AN893" i="2" s="1"/>
  <c r="P803" i="16"/>
  <c r="AI803" i="2"/>
  <c r="AN803" i="2" s="1"/>
  <c r="P622" i="16"/>
  <c r="AI622" i="2"/>
  <c r="AN622" i="2" s="1"/>
  <c r="P577" i="16"/>
  <c r="AI577" i="2"/>
  <c r="AN577" i="2" s="1"/>
  <c r="O499" i="16"/>
  <c r="AG500" i="2"/>
  <c r="P426" i="16"/>
  <c r="AI426" i="2"/>
  <c r="P303" i="16"/>
  <c r="AI303" i="2"/>
  <c r="P72" i="16"/>
  <c r="AI72" i="2"/>
  <c r="P1207" i="16"/>
  <c r="AI1207" i="2"/>
  <c r="AN1207" i="2" s="1"/>
  <c r="P1195" i="16"/>
  <c r="AI1195" i="2"/>
  <c r="AN1195" i="2" s="1"/>
  <c r="P1167" i="16"/>
  <c r="AI1167" i="2"/>
  <c r="P1062" i="16"/>
  <c r="AI1062" i="2"/>
  <c r="P1034" i="16"/>
  <c r="AI1034" i="2"/>
  <c r="P1020" i="16"/>
  <c r="AI1020" i="2"/>
  <c r="AN1020" i="2" s="1"/>
  <c r="AI904" i="2"/>
  <c r="P802" i="16"/>
  <c r="AI802" i="2"/>
  <c r="AN802" i="2" s="1"/>
  <c r="P760" i="16"/>
  <c r="AI760" i="2"/>
  <c r="P590" i="16"/>
  <c r="AI590" i="2"/>
  <c r="AN590" i="2" s="1"/>
  <c r="P359" i="16"/>
  <c r="AI359" i="2"/>
  <c r="P288" i="16"/>
  <c r="AI288" i="2"/>
  <c r="P275" i="16"/>
  <c r="AI275" i="2"/>
  <c r="P208" i="16"/>
  <c r="AI208" i="2"/>
  <c r="P1206" i="16"/>
  <c r="AI1206" i="2"/>
  <c r="AN1206" i="2" s="1"/>
  <c r="P1192" i="16"/>
  <c r="AI1192" i="2"/>
  <c r="AN1192" i="2" s="1"/>
  <c r="P1153" i="16"/>
  <c r="AI1153" i="2"/>
  <c r="P1079" i="16"/>
  <c r="AI1079" i="2"/>
  <c r="P1006" i="16"/>
  <c r="AI1006" i="2"/>
  <c r="P919" i="16"/>
  <c r="AI919" i="2"/>
  <c r="AN919" i="2" s="1"/>
  <c r="P830" i="16"/>
  <c r="AI830" i="2"/>
  <c r="P559" i="16"/>
  <c r="AI559" i="2"/>
  <c r="P438" i="16"/>
  <c r="AI438" i="2"/>
  <c r="P106" i="16"/>
  <c r="AI106" i="2"/>
  <c r="P1205" i="16"/>
  <c r="AI1205" i="2"/>
  <c r="P1178" i="16"/>
  <c r="AI1178" i="2"/>
  <c r="P1165" i="16"/>
  <c r="AI1165" i="2"/>
  <c r="P1137" i="16"/>
  <c r="AI1137" i="2"/>
  <c r="AI993" i="2"/>
  <c r="AI902" i="2"/>
  <c r="P773" i="16"/>
  <c r="AI773" i="2"/>
  <c r="P662" i="16"/>
  <c r="AI662" i="2"/>
  <c r="AN662" i="2" s="1"/>
  <c r="P648" i="16"/>
  <c r="AI648" i="2"/>
  <c r="P397" i="16"/>
  <c r="AI397" i="2"/>
  <c r="P372" i="16"/>
  <c r="AI372" i="2"/>
  <c r="P343" i="16"/>
  <c r="AI343" i="2"/>
  <c r="P19" i="16"/>
  <c r="AI19" i="2"/>
  <c r="P1177" i="16"/>
  <c r="AI1177" i="2"/>
  <c r="P1164" i="16"/>
  <c r="AI1164" i="2"/>
  <c r="P1150" i="16"/>
  <c r="AI1150" i="2"/>
  <c r="P1058" i="16"/>
  <c r="AI1058" i="2"/>
  <c r="P858" i="16"/>
  <c r="AI858" i="2"/>
  <c r="P730" i="16"/>
  <c r="AI730" i="2"/>
  <c r="P688" i="16"/>
  <c r="AI688" i="2"/>
  <c r="P508" i="16"/>
  <c r="AI508" i="2"/>
  <c r="P478" i="16"/>
  <c r="AI478" i="2"/>
  <c r="P104" i="16"/>
  <c r="AI104" i="2"/>
  <c r="P56" i="16"/>
  <c r="AI56" i="2"/>
  <c r="P1203" i="16"/>
  <c r="AI1203" i="2"/>
  <c r="P827" i="16"/>
  <c r="AI827" i="2"/>
  <c r="P716" i="16"/>
  <c r="AI716" i="2"/>
  <c r="P630" i="16"/>
  <c r="AI630" i="2"/>
  <c r="P600" i="16"/>
  <c r="AI600" i="2"/>
  <c r="AN600" i="2" s="1"/>
  <c r="P409" i="16"/>
  <c r="AI409" i="2"/>
  <c r="P1187" i="16"/>
  <c r="AI1187" i="2"/>
  <c r="P1162" i="16"/>
  <c r="AI1162" i="2"/>
  <c r="AN1162" i="2" s="1"/>
  <c r="AI699" i="2"/>
  <c r="P614" i="16"/>
  <c r="AI614" i="2"/>
  <c r="P492" i="16"/>
  <c r="AI492" i="2"/>
  <c r="P475" i="16"/>
  <c r="AI475" i="2"/>
  <c r="P447" i="16"/>
  <c r="AI447" i="2"/>
  <c r="P420" i="16"/>
  <c r="AI420" i="2"/>
  <c r="P381" i="16"/>
  <c r="AI381" i="2"/>
  <c r="P242" i="16"/>
  <c r="AI242" i="2"/>
  <c r="P228" i="16"/>
  <c r="AI228" i="2"/>
  <c r="P179" i="16"/>
  <c r="AI179" i="2"/>
  <c r="P40" i="16"/>
  <c r="AI40" i="2"/>
  <c r="P1161" i="16"/>
  <c r="AI1161" i="2"/>
  <c r="P1118" i="16"/>
  <c r="AI1118" i="2"/>
  <c r="AN1118" i="2" s="1"/>
  <c r="P754" i="16"/>
  <c r="AI754" i="2"/>
  <c r="AN754" i="2" s="1"/>
  <c r="P714" i="16"/>
  <c r="AI714" i="2"/>
  <c r="P628" i="16"/>
  <c r="AI628" i="2"/>
  <c r="AN628" i="2" s="1"/>
  <c r="P584" i="16"/>
  <c r="AI584" i="2"/>
  <c r="AN584" i="2" s="1"/>
  <c r="P431" i="16"/>
  <c r="AI431" i="2"/>
  <c r="P419" i="16"/>
  <c r="AI419" i="2"/>
  <c r="P2" i="16"/>
  <c r="AI2" i="2"/>
  <c r="P1103" i="16"/>
  <c r="AI1103" i="2"/>
  <c r="AN1103" i="2" s="1"/>
  <c r="P926" i="16"/>
  <c r="AI926" i="2"/>
  <c r="P912" i="16"/>
  <c r="AI912" i="2"/>
  <c r="AN912" i="2" s="1"/>
  <c r="P869" i="16"/>
  <c r="AI869" i="2"/>
  <c r="P100" i="16"/>
  <c r="AI100" i="2"/>
  <c r="P1184" i="16"/>
  <c r="AI1184" i="2"/>
  <c r="AS1169" i="2"/>
  <c r="AU1169" i="2" s="1"/>
  <c r="AS1016" i="2"/>
  <c r="AU1016" i="2" s="1"/>
  <c r="AS758" i="2"/>
  <c r="AU758" i="2" s="1"/>
  <c r="AS760" i="2"/>
  <c r="AU760" i="2" s="1"/>
  <c r="AS175" i="2"/>
  <c r="AU175" i="2" s="1"/>
  <c r="AS515" i="2"/>
  <c r="AU515" i="2" s="1"/>
  <c r="AS117" i="2"/>
  <c r="AU117" i="2" s="1"/>
  <c r="R117" i="16" s="1"/>
  <c r="AT117" i="16" s="1"/>
  <c r="AQ684" i="2"/>
  <c r="AS684" i="2" s="1"/>
  <c r="AU684" i="2" s="1"/>
  <c r="AS13" i="2"/>
  <c r="AU13" i="2" s="1"/>
  <c r="R13" i="16" s="1"/>
  <c r="AT13" i="16" s="1"/>
  <c r="AS148" i="2"/>
  <c r="AU148" i="2" s="1"/>
  <c r="AS460" i="2"/>
  <c r="AU460" i="2" s="1"/>
  <c r="AS643" i="2"/>
  <c r="AU643" i="2" s="1"/>
  <c r="AS979" i="2"/>
  <c r="AU979" i="2" s="1"/>
  <c r="AS174" i="2"/>
  <c r="AU174" i="2" s="1"/>
  <c r="AS1035" i="2"/>
  <c r="AU1035" i="2" s="1"/>
  <c r="AS1180" i="2"/>
  <c r="AU1180" i="2" s="1"/>
  <c r="AS183" i="2"/>
  <c r="AU183" i="2" s="1"/>
  <c r="AS107" i="2"/>
  <c r="AU107" i="2" s="1"/>
  <c r="R107" i="16" s="1"/>
  <c r="AT107" i="16" s="1"/>
  <c r="AS312" i="2"/>
  <c r="AU312" i="2" s="1"/>
  <c r="AS805" i="2"/>
  <c r="AU805" i="2" s="1"/>
  <c r="AS747" i="2"/>
  <c r="AU747" i="2" s="1"/>
  <c r="AS213" i="2"/>
  <c r="AU213" i="2" s="1"/>
  <c r="AS346" i="2"/>
  <c r="AU346" i="2" s="1"/>
  <c r="AS976" i="2"/>
  <c r="AU976" i="2" s="1"/>
  <c r="AS683" i="2"/>
  <c r="AU683" i="2" s="1"/>
  <c r="R683" i="16" s="1"/>
  <c r="AT683" i="16" s="1"/>
  <c r="AS539" i="2"/>
  <c r="AU539" i="2" s="1"/>
  <c r="R539" i="16" s="1"/>
  <c r="AT539" i="16" s="1"/>
  <c r="AS334" i="2"/>
  <c r="AU334" i="2" s="1"/>
  <c r="R334" i="16" s="1"/>
  <c r="AT334" i="16" s="1"/>
  <c r="AS563" i="2"/>
  <c r="AU563" i="2" s="1"/>
  <c r="AS172" i="2"/>
  <c r="AU172" i="2" s="1"/>
  <c r="AS540" i="2"/>
  <c r="AU540" i="2" s="1"/>
  <c r="R540" i="16" s="1"/>
  <c r="AT540" i="16" s="1"/>
  <c r="AS275" i="2"/>
  <c r="AU275" i="2" s="1"/>
  <c r="AS589" i="2"/>
  <c r="AU589" i="2" s="1"/>
  <c r="AS806" i="2"/>
  <c r="AU806" i="2" s="1"/>
  <c r="AS3" i="2"/>
  <c r="AU3" i="2" s="1"/>
  <c r="R3" i="16" s="1"/>
  <c r="AT3" i="16" s="1"/>
  <c r="AS286" i="2"/>
  <c r="AU286" i="2" s="1"/>
  <c r="AS995" i="2"/>
  <c r="AU995" i="2" s="1"/>
  <c r="AS1083" i="2"/>
  <c r="AU1083" i="2" s="1"/>
  <c r="AS336" i="2"/>
  <c r="AU336" i="2" s="1"/>
  <c r="AS26" i="2"/>
  <c r="AU26" i="2" s="1"/>
  <c r="AS497" i="2"/>
  <c r="AU497" i="2" s="1"/>
  <c r="AS817" i="2"/>
  <c r="AU817" i="2" s="1"/>
  <c r="AS999" i="2"/>
  <c r="AU999" i="2" s="1"/>
  <c r="AI351" i="2"/>
  <c r="AI325" i="2"/>
  <c r="AI231" i="2"/>
  <c r="AI451" i="2"/>
  <c r="AI59" i="2"/>
  <c r="AM755" i="2"/>
  <c r="AI311" i="2"/>
  <c r="AI241" i="2"/>
  <c r="AI443" i="2"/>
  <c r="AI1048" i="2"/>
  <c r="AI434" i="2"/>
  <c r="AI536" i="2"/>
  <c r="AI829" i="2"/>
  <c r="AS264" i="2"/>
  <c r="AU264" i="2" s="1"/>
  <c r="R264" i="16" s="1"/>
  <c r="AT264" i="16" s="1"/>
  <c r="AS912" i="2"/>
  <c r="AU912" i="2" s="1"/>
  <c r="AS1064" i="2"/>
  <c r="AU1064" i="2" s="1"/>
  <c r="AS182" i="2"/>
  <c r="AU182" i="2" s="1"/>
  <c r="R182" i="16" s="1"/>
  <c r="AT182" i="16" s="1"/>
  <c r="AS410" i="2"/>
  <c r="AU410" i="2" s="1"/>
  <c r="AS68" i="2"/>
  <c r="AU68" i="2" s="1"/>
  <c r="R68" i="16" s="1"/>
  <c r="AT68" i="16" s="1"/>
  <c r="AS429" i="2"/>
  <c r="AU429" i="2" s="1"/>
  <c r="R429" i="16" s="1"/>
  <c r="AT429" i="16" s="1"/>
  <c r="AS846" i="2"/>
  <c r="AU846" i="2" s="1"/>
  <c r="R846" i="16" s="1"/>
  <c r="AT847" i="16" s="1"/>
  <c r="AS924" i="2"/>
  <c r="AU924" i="2" s="1"/>
  <c r="AS66" i="2"/>
  <c r="AU66" i="2" s="1"/>
  <c r="R66" i="16" s="1"/>
  <c r="AT66" i="16" s="1"/>
  <c r="AS440" i="2"/>
  <c r="AU440" i="2" s="1"/>
  <c r="AS880" i="2"/>
  <c r="AU880" i="2" s="1"/>
  <c r="R880" i="16" s="1"/>
  <c r="AT884" i="16" s="1"/>
  <c r="AS1048" i="2"/>
  <c r="AU1048" i="2" s="1"/>
  <c r="AS61" i="2"/>
  <c r="AU61" i="2" s="1"/>
  <c r="AS194" i="2"/>
  <c r="AU194" i="2" s="1"/>
  <c r="R194" i="16" s="1"/>
  <c r="AT194" i="16" s="1"/>
  <c r="AS422" i="2"/>
  <c r="AU422" i="2" s="1"/>
  <c r="R422" i="16" s="1"/>
  <c r="AT422" i="16" s="1"/>
  <c r="AS914" i="2"/>
  <c r="AU914" i="2" s="1"/>
  <c r="AS87" i="2"/>
  <c r="AU87" i="2" s="1"/>
  <c r="R87" i="16" s="1"/>
  <c r="AT87" i="16" s="1"/>
  <c r="AS112" i="2"/>
  <c r="AU112" i="2" s="1"/>
  <c r="R112" i="16" s="1"/>
  <c r="AT112" i="16" s="1"/>
  <c r="AS184" i="2"/>
  <c r="AU184" i="2" s="1"/>
  <c r="AS1170" i="2"/>
  <c r="AU1170" i="2" s="1"/>
  <c r="R1170" i="16" s="1"/>
  <c r="AS664" i="2"/>
  <c r="AU664" i="2" s="1"/>
  <c r="AS877" i="2"/>
  <c r="AU877" i="2" s="1"/>
  <c r="R877" i="16" s="1"/>
  <c r="AT881" i="16" s="1"/>
  <c r="AS1203" i="2"/>
  <c r="AU1203" i="2" s="1"/>
  <c r="AS455" i="2"/>
  <c r="AU455" i="2" s="1"/>
  <c r="AS847" i="2"/>
  <c r="AU847" i="2" s="1"/>
  <c r="R847" i="16" s="1"/>
  <c r="AT848" i="16" s="1"/>
  <c r="AS669" i="2"/>
  <c r="AU669" i="2" s="1"/>
  <c r="R669" i="16" s="1"/>
  <c r="AT669" i="16" s="1"/>
  <c r="AS1080" i="2"/>
  <c r="AU1080" i="2" s="1"/>
  <c r="R1080" i="16" s="1"/>
  <c r="AS1062" i="2"/>
  <c r="AU1062" i="2" s="1"/>
  <c r="AW1062" i="2" s="1"/>
  <c r="AS196" i="2"/>
  <c r="AU196" i="2" s="1"/>
  <c r="AS374" i="2"/>
  <c r="AU374" i="2" s="1"/>
  <c r="R374" i="16" s="1"/>
  <c r="AT374" i="16" s="1"/>
  <c r="AS859" i="2"/>
  <c r="AU859" i="2" s="1"/>
  <c r="R859" i="16" s="1"/>
  <c r="AT862" i="16" s="1"/>
  <c r="AS84" i="2"/>
  <c r="AU84" i="2" s="1"/>
  <c r="R84" i="16" s="1"/>
  <c r="AT84" i="16" s="1"/>
  <c r="AS411" i="2"/>
  <c r="AU411" i="2" s="1"/>
  <c r="R411" i="16" s="1"/>
  <c r="AS831" i="2"/>
  <c r="AU831" i="2" s="1"/>
  <c r="AS235" i="2"/>
  <c r="AU235" i="2" s="1"/>
  <c r="R235" i="16" s="1"/>
  <c r="AT235" i="16" s="1"/>
  <c r="AS260" i="2"/>
  <c r="AU260" i="2" s="1"/>
  <c r="R260" i="16" s="1"/>
  <c r="AT260" i="16" s="1"/>
  <c r="AS21" i="2"/>
  <c r="AU21" i="2" s="1"/>
  <c r="R21" i="16" s="1"/>
  <c r="AT21" i="16" s="1"/>
  <c r="AS82" i="2"/>
  <c r="AU82" i="2" s="1"/>
  <c r="R82" i="16" s="1"/>
  <c r="AT82" i="16" s="1"/>
  <c r="AS896" i="2"/>
  <c r="AU896" i="2" s="1"/>
  <c r="R896" i="16" s="1"/>
  <c r="AS386" i="2"/>
  <c r="AU386" i="2" s="1"/>
  <c r="R386" i="16" s="1"/>
  <c r="AT386" i="16" s="1"/>
  <c r="AS77" i="2"/>
  <c r="AU77" i="2" s="1"/>
  <c r="R77" i="16" s="1"/>
  <c r="AT77" i="16" s="1"/>
  <c r="AS249" i="2"/>
  <c r="AU249" i="2" s="1"/>
  <c r="R249" i="16" s="1"/>
  <c r="AT249" i="16" s="1"/>
  <c r="AS310" i="2"/>
  <c r="AU310" i="2" s="1"/>
  <c r="R310" i="16" s="1"/>
  <c r="AT310" i="16" s="1"/>
  <c r="AS538" i="2"/>
  <c r="AU538" i="2" s="1"/>
  <c r="AS1132" i="2"/>
  <c r="AU1132" i="2" s="1"/>
  <c r="R1132" i="16" s="1"/>
  <c r="AS685" i="2"/>
  <c r="AU685" i="2" s="1"/>
  <c r="AS351" i="2"/>
  <c r="AU351" i="2" s="1"/>
  <c r="R351" i="16" s="1"/>
  <c r="AT351" i="16" s="1"/>
  <c r="AS663" i="2"/>
  <c r="AU663" i="2" s="1"/>
  <c r="R663" i="16" s="1"/>
  <c r="AT663" i="16" s="1"/>
  <c r="AS677" i="2"/>
  <c r="AU677" i="2" s="1"/>
  <c r="R677" i="16" s="1"/>
  <c r="AT677" i="16" s="1"/>
  <c r="AS33" i="2"/>
  <c r="AU33" i="2" s="1"/>
  <c r="R33" i="16" s="1"/>
  <c r="AT33" i="16" s="1"/>
  <c r="AS550" i="2"/>
  <c r="AU550" i="2" s="1"/>
  <c r="AS1110" i="2"/>
  <c r="AU1110" i="2" s="1"/>
  <c r="AS252" i="2"/>
  <c r="AU252" i="2" s="1"/>
  <c r="R252" i="16" s="1"/>
  <c r="AT252" i="16" s="1"/>
  <c r="AS715" i="2"/>
  <c r="AU715" i="2" s="1"/>
  <c r="AS250" i="2"/>
  <c r="AU250" i="2" s="1"/>
  <c r="AS1143" i="2"/>
  <c r="AU1143" i="2" s="1"/>
  <c r="AQ115" i="2"/>
  <c r="AS115" i="2" s="1"/>
  <c r="AU115" i="2" s="1"/>
  <c r="AI1170" i="2"/>
  <c r="Q1170" i="16" s="1"/>
  <c r="AI794" i="2"/>
  <c r="AI328" i="2"/>
  <c r="Q328" i="16" s="1"/>
  <c r="AI958" i="2"/>
  <c r="Q958" i="16" s="1"/>
  <c r="AQ521" i="2"/>
  <c r="AS521" i="2" s="1"/>
  <c r="AU521" i="2" s="1"/>
  <c r="R521" i="16" s="1"/>
  <c r="AT521" i="16" s="1"/>
  <c r="AI1061" i="2"/>
  <c r="Q1061" i="16" s="1"/>
  <c r="AQ271" i="2"/>
  <c r="AS271" i="2" s="1"/>
  <c r="AU271" i="2" s="1"/>
  <c r="AI1014" i="2"/>
  <c r="Q1014" i="16" s="1"/>
  <c r="AI1106" i="2"/>
  <c r="Q1106" i="16" s="1"/>
  <c r="AI27" i="2"/>
  <c r="Q27" i="16" s="1"/>
  <c r="AI129" i="2"/>
  <c r="Q129" i="16" s="1"/>
  <c r="AI481" i="2"/>
  <c r="Q481" i="16" s="1"/>
  <c r="AI873" i="2"/>
  <c r="Q873" i="16" s="1"/>
  <c r="AM1101" i="2"/>
  <c r="AI460" i="2"/>
  <c r="AI851" i="2"/>
  <c r="AI974" i="2"/>
  <c r="Q974" i="16" s="1"/>
  <c r="AI383" i="2"/>
  <c r="AM343" i="2"/>
  <c r="AI882" i="2"/>
  <c r="AI227" i="2"/>
  <c r="Q227" i="16" s="1"/>
  <c r="AI50" i="2"/>
  <c r="Q50" i="16" s="1"/>
  <c r="AI663" i="2"/>
  <c r="AI606" i="2"/>
  <c r="AM699" i="2"/>
  <c r="AI1116" i="2"/>
  <c r="AI826" i="2"/>
  <c r="Q826" i="16" s="1"/>
  <c r="AI45" i="2"/>
  <c r="Q45" i="16" s="1"/>
  <c r="AI60" i="2"/>
  <c r="Q60" i="16" s="1"/>
  <c r="AI276" i="2"/>
  <c r="AI835" i="2"/>
  <c r="Q835" i="16" s="1"/>
  <c r="AS287" i="2"/>
  <c r="AU287" i="2" s="1"/>
  <c r="R287" i="16" s="1"/>
  <c r="AT287" i="16" s="1"/>
  <c r="AS168" i="2"/>
  <c r="AU168" i="2" s="1"/>
  <c r="AS624" i="2"/>
  <c r="AU624" i="2" s="1"/>
  <c r="AS888" i="2"/>
  <c r="AU888" i="2" s="1"/>
  <c r="R888" i="16" s="1"/>
  <c r="AT892" i="16" s="1"/>
  <c r="AS556" i="2"/>
  <c r="AU556" i="2" s="1"/>
  <c r="R556" i="16" s="1"/>
  <c r="AT556" i="16" s="1"/>
  <c r="AS524" i="2"/>
  <c r="AU524" i="2" s="1"/>
  <c r="R524" i="16" s="1"/>
  <c r="AT524" i="16" s="1"/>
  <c r="AS57" i="2"/>
  <c r="AU57" i="2" s="1"/>
  <c r="R57" i="16" s="1"/>
  <c r="AT57" i="16" s="1"/>
  <c r="AS325" i="2"/>
  <c r="AU325" i="2" s="1"/>
  <c r="AS574" i="2"/>
  <c r="AU574" i="2" s="1"/>
  <c r="R574" i="16" s="1"/>
  <c r="AT574" i="16" s="1"/>
  <c r="AS1079" i="2"/>
  <c r="AU1079" i="2" s="1"/>
  <c r="R1079" i="16" s="1"/>
  <c r="AS773" i="2"/>
  <c r="AU773" i="2" s="1"/>
  <c r="R773" i="16" s="1"/>
  <c r="AT773" i="16" s="1"/>
  <c r="AS961" i="2"/>
  <c r="AU961" i="2" s="1"/>
  <c r="R961" i="16" s="1"/>
  <c r="AS691" i="2"/>
  <c r="AU691" i="2" s="1"/>
  <c r="R691" i="16" s="1"/>
  <c r="AT691" i="16" s="1"/>
  <c r="AS671" i="2"/>
  <c r="AU671" i="2" s="1"/>
  <c r="R671" i="16" s="1"/>
  <c r="AT671" i="16" s="1"/>
  <c r="AS95" i="2"/>
  <c r="AU95" i="2" s="1"/>
  <c r="R95" i="16" s="1"/>
  <c r="AT95" i="16" s="1"/>
  <c r="AS311" i="2"/>
  <c r="AU311" i="2" s="1"/>
  <c r="R311" i="16" s="1"/>
  <c r="AT311" i="16" s="1"/>
  <c r="AS878" i="2"/>
  <c r="AU878" i="2" s="1"/>
  <c r="AS960" i="2"/>
  <c r="AU960" i="2" s="1"/>
  <c r="R960" i="16" s="1"/>
  <c r="AS170" i="2"/>
  <c r="AU170" i="2" s="1"/>
  <c r="AS423" i="2"/>
  <c r="AU423" i="2" s="1"/>
  <c r="R423" i="16" s="1"/>
  <c r="AT423" i="16" s="1"/>
  <c r="AS280" i="2"/>
  <c r="AU280" i="2" s="1"/>
  <c r="R280" i="16" s="1"/>
  <c r="AT280" i="16" s="1"/>
  <c r="AS1118" i="2"/>
  <c r="AU1118" i="2" s="1"/>
  <c r="AS298" i="2"/>
  <c r="AU298" i="2" s="1"/>
  <c r="AS1074" i="2"/>
  <c r="AU1074" i="2" s="1"/>
  <c r="AS992" i="2"/>
  <c r="AU992" i="2" s="1"/>
  <c r="AS1136" i="2"/>
  <c r="AU1136" i="2" s="1"/>
  <c r="AS1130" i="2"/>
  <c r="AU1130" i="2" s="1"/>
  <c r="R1130" i="16" s="1"/>
  <c r="AS435" i="2"/>
  <c r="AU435" i="2" s="1"/>
  <c r="R435" i="16" s="1"/>
  <c r="AT435" i="16" s="1"/>
  <c r="AS321" i="2"/>
  <c r="AU321" i="2" s="1"/>
  <c r="AS690" i="2"/>
  <c r="AU690" i="2" s="1"/>
  <c r="R690" i="16" s="1"/>
  <c r="AT690" i="16" s="1"/>
  <c r="AS94" i="2"/>
  <c r="AU94" i="2" s="1"/>
  <c r="R94" i="16" s="1"/>
  <c r="AT94" i="16" s="1"/>
  <c r="AS1103" i="2"/>
  <c r="AU1103" i="2" s="1"/>
  <c r="AS1018" i="2"/>
  <c r="AU1018" i="2" s="1"/>
  <c r="AS146" i="2"/>
  <c r="AU146" i="2" s="1"/>
  <c r="AS412" i="2"/>
  <c r="AU412" i="2" s="1"/>
  <c r="R412" i="16" s="1"/>
  <c r="AT412" i="16" s="1"/>
  <c r="AS245" i="2"/>
  <c r="AU245" i="2" s="1"/>
  <c r="R245" i="16" s="1"/>
  <c r="AT245" i="16" s="1"/>
  <c r="AS92" i="2"/>
  <c r="AU92" i="2" s="1"/>
  <c r="R92" i="16" s="1"/>
  <c r="AT92" i="16" s="1"/>
  <c r="AS1179" i="2"/>
  <c r="AU1179" i="2" s="1"/>
  <c r="AS787" i="2"/>
  <c r="AU787" i="2" s="1"/>
  <c r="R787" i="16" s="1"/>
  <c r="AT787" i="16" s="1"/>
  <c r="AS1069" i="2"/>
  <c r="AU1069" i="2" s="1"/>
  <c r="AS352" i="2"/>
  <c r="AU352" i="2" s="1"/>
  <c r="R352" i="16" s="1"/>
  <c r="AT352" i="16" s="1"/>
  <c r="AS207" i="2"/>
  <c r="AU207" i="2" s="1"/>
  <c r="R207" i="16" s="1"/>
  <c r="AT207" i="16" s="1"/>
  <c r="AS364" i="2"/>
  <c r="AU364" i="2" s="1"/>
  <c r="AS688" i="2"/>
  <c r="AU688" i="2" s="1"/>
  <c r="R688" i="16" s="1"/>
  <c r="AT688" i="16" s="1"/>
  <c r="AS130" i="2"/>
  <c r="AU130" i="2" s="1"/>
  <c r="R130" i="16" s="1"/>
  <c r="AT130" i="16" s="1"/>
  <c r="AI30" i="2"/>
  <c r="Q30" i="16" s="1"/>
  <c r="AI783" i="2"/>
  <c r="Q783" i="16" s="1"/>
  <c r="AI366" i="2"/>
  <c r="AI264" i="2"/>
  <c r="AI522" i="2"/>
  <c r="AI1186" i="2"/>
  <c r="AI344" i="2"/>
  <c r="AI251" i="2"/>
  <c r="AI878" i="2"/>
  <c r="AI172" i="2"/>
  <c r="AM794" i="2"/>
  <c r="AI448" i="2"/>
  <c r="AJ448" i="2" s="1"/>
  <c r="AI456" i="2"/>
  <c r="AI644" i="2"/>
  <c r="AI312" i="2"/>
  <c r="AI787" i="2"/>
  <c r="AI1090" i="2"/>
  <c r="Q1090" i="16" s="1"/>
  <c r="AS198" i="2"/>
  <c r="AU198" i="2" s="1"/>
  <c r="AS270" i="2"/>
  <c r="AU270" i="2" s="1"/>
  <c r="R270" i="16" s="1"/>
  <c r="AT270" i="16" s="1"/>
  <c r="AS426" i="2"/>
  <c r="AU426" i="2" s="1"/>
  <c r="R426" i="16" s="1"/>
  <c r="AT426" i="16" s="1"/>
  <c r="AI604" i="2"/>
  <c r="AI440" i="2"/>
  <c r="Q440" i="16" s="1"/>
  <c r="AS452" i="2"/>
  <c r="AU452" i="2" s="1"/>
  <c r="R452" i="16" s="1"/>
  <c r="AT452" i="16" s="1"/>
  <c r="AI968" i="2"/>
  <c r="AN968" i="2" s="1"/>
  <c r="AI748" i="2"/>
  <c r="AJ748" i="2" s="1"/>
  <c r="AS105" i="2"/>
  <c r="AU105" i="2" s="1"/>
  <c r="AI1141" i="2"/>
  <c r="AN1141" i="2" s="1"/>
  <c r="AS70" i="2"/>
  <c r="AU70" i="2" s="1"/>
  <c r="AS442" i="2"/>
  <c r="AU442" i="2" s="1"/>
  <c r="AS598" i="2"/>
  <c r="AU598" i="2" s="1"/>
  <c r="AS905" i="2"/>
  <c r="AU905" i="2" s="1"/>
  <c r="AS1013" i="2"/>
  <c r="AU1013" i="2" s="1"/>
  <c r="R1013" i="16" s="1"/>
  <c r="AS788" i="2"/>
  <c r="AU788" i="2" s="1"/>
  <c r="AS1210" i="2"/>
  <c r="AU1210" i="2" s="1"/>
  <c r="R1210" i="16" s="1"/>
  <c r="AS1189" i="2"/>
  <c r="AU1189" i="2" s="1"/>
  <c r="R1189" i="16" s="1"/>
  <c r="AI921" i="2"/>
  <c r="AI185" i="2"/>
  <c r="AI909" i="2"/>
  <c r="Q909" i="16" s="1"/>
  <c r="AI1072" i="2"/>
  <c r="AJ1072" i="2" s="1"/>
  <c r="AI948" i="2"/>
  <c r="Q948" i="16" s="1"/>
  <c r="AM391" i="2"/>
  <c r="AM503" i="2"/>
  <c r="AK176" i="2"/>
  <c r="AM1079" i="2"/>
  <c r="AM1062" i="2"/>
  <c r="AL209" i="2"/>
  <c r="AL624" i="2"/>
  <c r="AQ895" i="2"/>
  <c r="AS895" i="2" s="1"/>
  <c r="AU895" i="2" s="1"/>
  <c r="R895" i="16" s="1"/>
  <c r="AT899" i="16" s="1"/>
  <c r="AI503" i="2"/>
  <c r="Q503" i="16" s="1"/>
  <c r="AI732" i="2"/>
  <c r="AI375" i="2"/>
  <c r="Q375" i="16" s="1"/>
  <c r="AN136" i="2"/>
  <c r="AI57" i="2"/>
  <c r="AN404" i="2"/>
  <c r="AI687" i="2"/>
  <c r="AN687" i="2" s="1"/>
  <c r="AI634" i="2"/>
  <c r="AI259" i="2"/>
  <c r="Q259" i="16" s="1"/>
  <c r="AS229" i="2"/>
  <c r="AU229" i="2" s="1"/>
  <c r="AI1039" i="2"/>
  <c r="AI84" i="2"/>
  <c r="AI152" i="2"/>
  <c r="AI556" i="2"/>
  <c r="AN556" i="2" s="1"/>
  <c r="AI782" i="2"/>
  <c r="AN782" i="2" s="1"/>
  <c r="AI1202" i="2"/>
  <c r="AN1202" i="2" s="1"/>
  <c r="AI660" i="2"/>
  <c r="AI354" i="2"/>
  <c r="AM835" i="2"/>
  <c r="AI290" i="2"/>
  <c r="AI465" i="2"/>
  <c r="AI124" i="2"/>
  <c r="Q124" i="16" s="1"/>
  <c r="AI608" i="2"/>
  <c r="AI911" i="2"/>
  <c r="AI1181" i="2"/>
  <c r="AI360" i="2"/>
  <c r="AN1105" i="2"/>
  <c r="AI1166" i="2"/>
  <c r="AN1166" i="2" s="1"/>
  <c r="AM1153" i="2"/>
  <c r="AI274" i="2"/>
  <c r="Q274" i="16" s="1"/>
  <c r="AI15" i="2"/>
  <c r="AI491" i="2"/>
  <c r="AN215" i="2"/>
  <c r="AI7" i="2"/>
  <c r="AI805" i="2"/>
  <c r="Q805" i="16" s="1"/>
  <c r="AI1023" i="2"/>
  <c r="AI1210" i="2"/>
  <c r="AS575" i="2"/>
  <c r="AU575" i="2" s="1"/>
  <c r="AN938" i="2"/>
  <c r="AS24" i="2"/>
  <c r="AU24" i="2" s="1"/>
  <c r="AS708" i="2"/>
  <c r="AU708" i="2" s="1"/>
  <c r="R708" i="16" s="1"/>
  <c r="AT708" i="16" s="1"/>
  <c r="AI1101" i="2"/>
  <c r="AI713" i="2"/>
  <c r="Q713" i="16" s="1"/>
  <c r="AN883" i="2"/>
  <c r="AS37" i="2"/>
  <c r="AU37" i="2" s="1"/>
  <c r="R37" i="16" s="1"/>
  <c r="AT37" i="16" s="1"/>
  <c r="AS505" i="2"/>
  <c r="AU505" i="2" s="1"/>
  <c r="AS745" i="2"/>
  <c r="AU745" i="2" s="1"/>
  <c r="R745" i="16" s="1"/>
  <c r="AT745" i="16" s="1"/>
  <c r="AS290" i="2"/>
  <c r="AU290" i="2" s="1"/>
  <c r="AS362" i="2"/>
  <c r="AU362" i="2" s="1"/>
  <c r="R362" i="16" s="1"/>
  <c r="AT362" i="16" s="1"/>
  <c r="AS1022" i="2"/>
  <c r="AU1022" i="2" s="1"/>
  <c r="AS1166" i="2"/>
  <c r="AU1166" i="2" s="1"/>
  <c r="R1166" i="16" s="1"/>
  <c r="AS15" i="2"/>
  <c r="AU15" i="2" s="1"/>
  <c r="AI371" i="2"/>
  <c r="Q371" i="16" s="1"/>
  <c r="AI729" i="2"/>
  <c r="Q729" i="16" s="1"/>
  <c r="AI886" i="2"/>
  <c r="AS628" i="2"/>
  <c r="AU628" i="2" s="1"/>
  <c r="AS784" i="2"/>
  <c r="AU784" i="2" s="1"/>
  <c r="AI647" i="2"/>
  <c r="AS257" i="2"/>
  <c r="AU257" i="2" s="1"/>
  <c r="AS485" i="2"/>
  <c r="AU485" i="2" s="1"/>
  <c r="R485" i="16" s="1"/>
  <c r="AT485" i="16" s="1"/>
  <c r="AS629" i="2"/>
  <c r="AU629" i="2" s="1"/>
  <c r="R629" i="16" s="1"/>
  <c r="AT629" i="16" s="1"/>
  <c r="AI496" i="2"/>
  <c r="Q496" i="16" s="1"/>
  <c r="AI705" i="2"/>
  <c r="AS210" i="2"/>
  <c r="AU210" i="2" s="1"/>
  <c r="R210" i="16" s="1"/>
  <c r="AT210" i="16" s="1"/>
  <c r="AS282" i="2"/>
  <c r="AU282" i="2" s="1"/>
  <c r="AS654" i="2"/>
  <c r="AU654" i="2" s="1"/>
  <c r="R654" i="16" s="1"/>
  <c r="AT654" i="16" s="1"/>
  <c r="AI483" i="2"/>
  <c r="Q483" i="16" s="1"/>
  <c r="AI962" i="2"/>
  <c r="AN962" i="2" s="1"/>
  <c r="AS571" i="2"/>
  <c r="AU571" i="2" s="1"/>
  <c r="R571" i="16" s="1"/>
  <c r="AT571" i="16" s="1"/>
  <c r="AS20" i="2"/>
  <c r="AU20" i="2" s="1"/>
  <c r="AS392" i="2"/>
  <c r="AU392" i="2" s="1"/>
  <c r="AI1081" i="2"/>
  <c r="AS45" i="2"/>
  <c r="AU45" i="2" s="1"/>
  <c r="AS345" i="2"/>
  <c r="AU345" i="2" s="1"/>
  <c r="AS10" i="2"/>
  <c r="AU10" i="2" s="1"/>
  <c r="R10" i="16" s="1"/>
  <c r="AT10" i="16" s="1"/>
  <c r="AS154" i="2"/>
  <c r="AU154" i="2" s="1"/>
  <c r="R154" i="16" s="1"/>
  <c r="AT154" i="16" s="1"/>
  <c r="AS1086" i="2"/>
  <c r="AU1086" i="2" s="1"/>
  <c r="AS1171" i="2"/>
  <c r="AU1171" i="2" s="1"/>
  <c r="AS825" i="2"/>
  <c r="AU825" i="2" s="1"/>
  <c r="R825" i="16" s="1"/>
  <c r="AT826" i="16" s="1"/>
  <c r="AP982" i="2"/>
  <c r="AS1090" i="2"/>
  <c r="AU1090" i="2" s="1"/>
  <c r="R1090" i="16" s="1"/>
  <c r="AS935" i="2"/>
  <c r="AU935" i="2" s="1"/>
  <c r="AS1019" i="2"/>
  <c r="AU1019" i="2" s="1"/>
  <c r="AS997" i="2"/>
  <c r="AU997" i="2" s="1"/>
  <c r="AP844" i="2"/>
  <c r="AI1189" i="2"/>
  <c r="AI995" i="2"/>
  <c r="AN387" i="2"/>
  <c r="AI1022" i="2"/>
  <c r="AI1173" i="2"/>
  <c r="AI391" i="2"/>
  <c r="AL597" i="2"/>
  <c r="AH643" i="2"/>
  <c r="AM643" i="2" s="1"/>
  <c r="AM179" i="2"/>
  <c r="AM432" i="2"/>
  <c r="AL385" i="2"/>
  <c r="AL121" i="2"/>
  <c r="AH624" i="2"/>
  <c r="AQ902" i="2"/>
  <c r="AS902" i="2" s="1"/>
  <c r="AU902" i="2" s="1"/>
  <c r="AQ904" i="2"/>
  <c r="AS904" i="2" s="1"/>
  <c r="AU904" i="2" s="1"/>
  <c r="AN568" i="2"/>
  <c r="AI266" i="2"/>
  <c r="AN778" i="2"/>
  <c r="AI91" i="2"/>
  <c r="AI42" i="2"/>
  <c r="Q42" i="16" s="1"/>
  <c r="AI991" i="2"/>
  <c r="AI466" i="2"/>
  <c r="AI1032" i="2"/>
  <c r="AN214" i="2"/>
  <c r="AI519" i="2"/>
  <c r="AI408" i="2"/>
  <c r="AI118" i="2"/>
  <c r="AI428" i="2"/>
  <c r="AI877" i="2"/>
  <c r="AI444" i="2"/>
  <c r="AI656" i="2"/>
  <c r="AI1179" i="2"/>
  <c r="Q1179" i="16" s="1"/>
  <c r="AI439" i="2"/>
  <c r="AI671" i="2"/>
  <c r="AI838" i="2"/>
  <c r="AI1043" i="2"/>
  <c r="AJ1043" i="2" s="1"/>
  <c r="AI661" i="2"/>
  <c r="AI1074" i="2"/>
  <c r="AN949" i="2"/>
  <c r="AN1049" i="2"/>
  <c r="AI1056" i="2"/>
  <c r="AN1056" i="2" s="1"/>
  <c r="AN1139" i="2"/>
  <c r="AI957" i="2"/>
  <c r="AN957" i="2" s="1"/>
  <c r="AM1173" i="2"/>
  <c r="AM877" i="2"/>
  <c r="AM1020" i="2"/>
  <c r="AM1009" i="2"/>
  <c r="AI691" i="2"/>
  <c r="AM738" i="2"/>
  <c r="AI1117" i="2"/>
  <c r="AN1117" i="2" s="1"/>
  <c r="Z742" i="2"/>
  <c r="Z743" i="2" s="1"/>
  <c r="AI635" i="2"/>
  <c r="AN635" i="2" s="1"/>
  <c r="AI1080" i="2"/>
  <c r="AN806" i="2"/>
  <c r="AI282" i="2"/>
  <c r="AJ282" i="2" s="1"/>
  <c r="AI885" i="2"/>
  <c r="AN396" i="2"/>
  <c r="AI918" i="2"/>
  <c r="AM1186" i="2"/>
  <c r="AJ550" i="2"/>
  <c r="AI283" i="2"/>
  <c r="AI36" i="2"/>
  <c r="AI187" i="2"/>
  <c r="AJ187" i="2" s="1"/>
  <c r="AI348" i="2"/>
  <c r="AI76" i="2"/>
  <c r="AI999" i="2"/>
  <c r="AS120" i="2"/>
  <c r="AU120" i="2" s="1"/>
  <c r="R120" i="16" s="1"/>
  <c r="AT120" i="16" s="1"/>
  <c r="AS504" i="2"/>
  <c r="AU504" i="2" s="1"/>
  <c r="R504" i="16" s="1"/>
  <c r="AT504" i="16" s="1"/>
  <c r="AI627" i="2"/>
  <c r="AI954" i="2"/>
  <c r="AN954" i="2" s="1"/>
  <c r="AS289" i="2"/>
  <c r="AU289" i="2" s="1"/>
  <c r="AS373" i="2"/>
  <c r="AU373" i="2" s="1"/>
  <c r="R373" i="16" s="1"/>
  <c r="AT373" i="16" s="1"/>
  <c r="AI1133" i="2"/>
  <c r="AS614" i="2"/>
  <c r="AU614" i="2" s="1"/>
  <c r="R614" i="16" s="1"/>
  <c r="AT614" i="16" s="1"/>
  <c r="AI899" i="2"/>
  <c r="AS39" i="2"/>
  <c r="AU39" i="2" s="1"/>
  <c r="R39" i="16" s="1"/>
  <c r="AT39" i="16" s="1"/>
  <c r="AS111" i="2"/>
  <c r="AU111" i="2" s="1"/>
  <c r="AS483" i="2"/>
  <c r="AU483" i="2" s="1"/>
  <c r="AI410" i="2"/>
  <c r="AI784" i="2"/>
  <c r="AS496" i="2"/>
  <c r="AU496" i="2" s="1"/>
  <c r="R496" i="16" s="1"/>
  <c r="AT496" i="16" s="1"/>
  <c r="AI888" i="2"/>
  <c r="AS881" i="2"/>
  <c r="AU881" i="2" s="1"/>
  <c r="R881" i="16" s="1"/>
  <c r="AT885" i="16" s="1"/>
  <c r="AI424" i="2"/>
  <c r="AI574" i="2"/>
  <c r="AI946" i="2"/>
  <c r="AS462" i="2"/>
  <c r="AU462" i="2" s="1"/>
  <c r="R462" i="16" s="1"/>
  <c r="AT462" i="16" s="1"/>
  <c r="AS606" i="2"/>
  <c r="AU606" i="2" s="1"/>
  <c r="AI400" i="2"/>
  <c r="AI1019" i="2"/>
  <c r="AN170" i="2"/>
  <c r="AS367" i="2"/>
  <c r="AU367" i="2" s="1"/>
  <c r="AS595" i="2"/>
  <c r="AU595" i="2" s="1"/>
  <c r="AS679" i="2"/>
  <c r="AU679" i="2" s="1"/>
  <c r="AS416" i="2"/>
  <c r="AU416" i="2" s="1"/>
  <c r="R416" i="16" s="1"/>
  <c r="AT416" i="16" s="1"/>
  <c r="AS488" i="2"/>
  <c r="AU488" i="2" s="1"/>
  <c r="AS178" i="2"/>
  <c r="AU178" i="2" s="1"/>
  <c r="AS562" i="2"/>
  <c r="AU562" i="2" s="1"/>
  <c r="AS1205" i="2"/>
  <c r="AU1205" i="2" s="1"/>
  <c r="R1205" i="16" s="1"/>
  <c r="AS1134" i="2"/>
  <c r="AU1134" i="2" s="1"/>
  <c r="AS752" i="2"/>
  <c r="AU752" i="2" s="1"/>
  <c r="AS836" i="2"/>
  <c r="AU836" i="2" s="1"/>
  <c r="R836" i="16" s="1"/>
  <c r="AT837" i="16" s="1"/>
  <c r="AS1052" i="2"/>
  <c r="AU1052" i="2" s="1"/>
  <c r="R1052" i="16" s="1"/>
  <c r="AS1138" i="2"/>
  <c r="AU1138" i="2" s="1"/>
  <c r="AS952" i="2"/>
  <c r="AU952" i="2" s="1"/>
  <c r="R952" i="16" s="1"/>
  <c r="AN1180" i="2"/>
  <c r="AI1155" i="2"/>
  <c r="AI1128" i="2"/>
  <c r="AN1128" i="2" s="1"/>
  <c r="AM295" i="2"/>
  <c r="AK601" i="2"/>
  <c r="AM465" i="2"/>
  <c r="AL680" i="2"/>
  <c r="AL710" i="2"/>
  <c r="AM1037" i="2"/>
  <c r="AM488" i="2"/>
  <c r="AS46" i="2"/>
  <c r="AU46" i="2" s="1"/>
  <c r="R46" i="16" s="1"/>
  <c r="AT46" i="16" s="1"/>
  <c r="AS1047" i="2"/>
  <c r="AU1047" i="2" s="1"/>
  <c r="AS1081" i="2"/>
  <c r="AU1081" i="2" s="1"/>
  <c r="AS647" i="2"/>
  <c r="AU647" i="2" s="1"/>
  <c r="AS384" i="2"/>
  <c r="AU384" i="2" s="1"/>
  <c r="R384" i="16" s="1"/>
  <c r="AT384" i="16" s="1"/>
  <c r="AS662" i="2"/>
  <c r="AU662" i="2" s="1"/>
  <c r="R662" i="16" s="1"/>
  <c r="AT662" i="16" s="1"/>
  <c r="AS829" i="2"/>
  <c r="AU829" i="2" s="1"/>
  <c r="AS396" i="2"/>
  <c r="AU396" i="2" s="1"/>
  <c r="AW396" i="2" s="1"/>
  <c r="AS387" i="2"/>
  <c r="AU387" i="2" s="1"/>
  <c r="AS879" i="2"/>
  <c r="AU879" i="2" s="1"/>
  <c r="AS176" i="2"/>
  <c r="AU176" i="2" s="1"/>
  <c r="AS841" i="2"/>
  <c r="AU841" i="2" s="1"/>
  <c r="AS1046" i="2"/>
  <c r="AU1046" i="2" s="1"/>
  <c r="AS445" i="2"/>
  <c r="AU445" i="2" s="1"/>
  <c r="R445" i="16" s="1"/>
  <c r="AT445" i="16" s="1"/>
  <c r="AS529" i="2"/>
  <c r="AU529" i="2" s="1"/>
  <c r="R529" i="16" s="1"/>
  <c r="AT529" i="16" s="1"/>
  <c r="AS639" i="2"/>
  <c r="AU639" i="2" s="1"/>
  <c r="AS838" i="2"/>
  <c r="AU838" i="2" s="1"/>
  <c r="AS1033" i="2"/>
  <c r="AU1033" i="2" s="1"/>
  <c r="R1033" i="16" s="1"/>
  <c r="AS340" i="2"/>
  <c r="AU340" i="2" s="1"/>
  <c r="AW340" i="2" s="1"/>
  <c r="W110" i="2"/>
  <c r="K110" i="16" s="1"/>
  <c r="AN1201" i="2"/>
  <c r="AS800" i="2"/>
  <c r="AU800" i="2" s="1"/>
  <c r="R800" i="16" s="1"/>
  <c r="AT801" i="16" s="1"/>
  <c r="AS552" i="2"/>
  <c r="AU552" i="2" s="1"/>
  <c r="AS633" i="2"/>
  <c r="AU633" i="2" s="1"/>
  <c r="AS1004" i="2"/>
  <c r="AU1004" i="2" s="1"/>
  <c r="AS464" i="2"/>
  <c r="AU464" i="2" s="1"/>
  <c r="R464" i="16" s="1"/>
  <c r="AT464" i="16" s="1"/>
  <c r="AS785" i="2"/>
  <c r="AU785" i="2" s="1"/>
  <c r="R785" i="16" s="1"/>
  <c r="AT785" i="16" s="1"/>
  <c r="AS1089" i="2"/>
  <c r="AU1089" i="2" s="1"/>
  <c r="R1089" i="16" s="1"/>
  <c r="AN1172" i="2"/>
  <c r="AN913" i="2"/>
  <c r="AN1160" i="2"/>
  <c r="AS47" i="2"/>
  <c r="AU47" i="2" s="1"/>
  <c r="R47" i="16" s="1"/>
  <c r="AT47" i="16" s="1"/>
  <c r="AS181" i="2"/>
  <c r="AU181" i="2" s="1"/>
  <c r="R181" i="16" s="1"/>
  <c r="AT181" i="16" s="1"/>
  <c r="AS253" i="2"/>
  <c r="AU253" i="2" s="1"/>
  <c r="R253" i="16" s="1"/>
  <c r="AT253" i="16" s="1"/>
  <c r="AS465" i="2"/>
  <c r="AU465" i="2" s="1"/>
  <c r="R465" i="16" s="1"/>
  <c r="AT465" i="16" s="1"/>
  <c r="AS635" i="2"/>
  <c r="AU635" i="2" s="1"/>
  <c r="AS704" i="2"/>
  <c r="AU704" i="2" s="1"/>
  <c r="AS734" i="2"/>
  <c r="AU734" i="2" s="1"/>
  <c r="AS901" i="2"/>
  <c r="AU901" i="2" s="1"/>
  <c r="R901" i="16" s="1"/>
  <c r="AT905" i="16" s="1"/>
  <c r="AS852" i="2"/>
  <c r="AU852" i="2" s="1"/>
  <c r="R852" i="16" s="1"/>
  <c r="AT855" i="16" s="1"/>
  <c r="AS104" i="2"/>
  <c r="AU104" i="2" s="1"/>
  <c r="AS371" i="2"/>
  <c r="AU371" i="2" s="1"/>
  <c r="AS587" i="2"/>
  <c r="AU587" i="2" s="1"/>
  <c r="R587" i="16" s="1"/>
  <c r="AT587" i="16" s="1"/>
  <c r="AS30" i="2"/>
  <c r="AU30" i="2" s="1"/>
  <c r="AS246" i="2"/>
  <c r="AU246" i="2" s="1"/>
  <c r="R246" i="16" s="1"/>
  <c r="AT246" i="16" s="1"/>
  <c r="AS69" i="2"/>
  <c r="AU69" i="2" s="1"/>
  <c r="R69" i="16" s="1"/>
  <c r="AT69" i="16" s="1"/>
  <c r="AS357" i="2"/>
  <c r="AU357" i="2" s="1"/>
  <c r="R357" i="16" s="1"/>
  <c r="AT357" i="16" s="1"/>
  <c r="AS458" i="2"/>
  <c r="AU458" i="2" s="1"/>
  <c r="AS473" i="2"/>
  <c r="AU473" i="2" s="1"/>
  <c r="AS941" i="2"/>
  <c r="AU941" i="2" s="1"/>
  <c r="R941" i="16" s="1"/>
  <c r="AT945" i="16" s="1"/>
  <c r="AS955" i="2"/>
  <c r="AU955" i="2" s="1"/>
  <c r="R955" i="16" s="1"/>
  <c r="AS156" i="2"/>
  <c r="AU156" i="2" s="1"/>
  <c r="AS516" i="2"/>
  <c r="AU516" i="2" s="1"/>
  <c r="R516" i="16" s="1"/>
  <c r="AS232" i="2"/>
  <c r="AU232" i="2" s="1"/>
  <c r="AS757" i="2"/>
  <c r="AU757" i="2" s="1"/>
  <c r="R757" i="16" s="1"/>
  <c r="AT757" i="16" s="1"/>
  <c r="AS328" i="2"/>
  <c r="AU328" i="2" s="1"/>
  <c r="AS498" i="2"/>
  <c r="AU498" i="2" s="1"/>
  <c r="AS44" i="2"/>
  <c r="AU44" i="2" s="1"/>
  <c r="R44" i="16" s="1"/>
  <c r="AT44" i="16" s="1"/>
  <c r="AS506" i="2"/>
  <c r="AU506" i="2" s="1"/>
  <c r="R506" i="16" s="1"/>
  <c r="AT506" i="16" s="1"/>
  <c r="AS699" i="2"/>
  <c r="AU699" i="2" s="1"/>
  <c r="AS274" i="2"/>
  <c r="AU274" i="2" s="1"/>
  <c r="AS1101" i="2"/>
  <c r="AU1101" i="2" s="1"/>
  <c r="AS802" i="2"/>
  <c r="AU802" i="2" s="1"/>
  <c r="R802" i="16" s="1"/>
  <c r="AT803" i="16" s="1"/>
  <c r="AS6" i="2"/>
  <c r="AU6" i="2" s="1"/>
  <c r="AS344" i="2"/>
  <c r="AU344" i="2" s="1"/>
  <c r="R344" i="16" s="1"/>
  <c r="AT344" i="16" s="1"/>
  <c r="AS158" i="2"/>
  <c r="AU158" i="2" s="1"/>
  <c r="R158" i="16" s="1"/>
  <c r="AT158" i="16" s="1"/>
  <c r="AS593" i="2"/>
  <c r="AU593" i="2" s="1"/>
  <c r="AS1164" i="2"/>
  <c r="AU1164" i="2" s="1"/>
  <c r="AS719" i="2"/>
  <c r="AU719" i="2" s="1"/>
  <c r="R719" i="16" s="1"/>
  <c r="AT719" i="16" s="1"/>
  <c r="AS424" i="2"/>
  <c r="AU424" i="2" s="1"/>
  <c r="R424" i="16" s="1"/>
  <c r="AT424" i="16" s="1"/>
  <c r="AS8" i="2"/>
  <c r="AU8" i="2" s="1"/>
  <c r="R8" i="16" s="1"/>
  <c r="AT8" i="16" s="1"/>
  <c r="AS80" i="2"/>
  <c r="AU80" i="2" s="1"/>
  <c r="R80" i="16" s="1"/>
  <c r="AT80" i="16" s="1"/>
  <c r="AS512" i="2"/>
  <c r="AU512" i="2" s="1"/>
  <c r="R512" i="16" s="1"/>
  <c r="AT512" i="16" s="1"/>
  <c r="AS858" i="2"/>
  <c r="AU858" i="2" s="1"/>
  <c r="R858" i="16" s="1"/>
  <c r="AT861" i="16" s="1"/>
  <c r="AS383" i="2"/>
  <c r="AU383" i="2" s="1"/>
  <c r="R383" i="16" s="1"/>
  <c r="AT383" i="16" s="1"/>
  <c r="AS300" i="2"/>
  <c r="AU300" i="2" s="1"/>
  <c r="AS160" i="2"/>
  <c r="AU160" i="2" s="1"/>
  <c r="R160" i="16" s="1"/>
  <c r="AT160" i="16" s="1"/>
  <c r="AS527" i="2"/>
  <c r="AU527" i="2" s="1"/>
  <c r="AS661" i="2"/>
  <c r="AU661" i="2" s="1"/>
  <c r="R661" i="16" s="1"/>
  <c r="AT661" i="16" s="1"/>
  <c r="AS42" i="2"/>
  <c r="AU42" i="2" s="1"/>
  <c r="AS618" i="2"/>
  <c r="AU618" i="2" s="1"/>
  <c r="AS1058" i="2"/>
  <c r="AU1058" i="2" s="1"/>
  <c r="AS891" i="2"/>
  <c r="AU891" i="2" s="1"/>
  <c r="R891" i="16" s="1"/>
  <c r="AT895" i="16" s="1"/>
  <c r="AS466" i="2"/>
  <c r="AU466" i="2" s="1"/>
  <c r="R466" i="16" s="1"/>
  <c r="AT466" i="16" s="1"/>
  <c r="AS1153" i="2"/>
  <c r="AU1153" i="2" s="1"/>
  <c r="AS634" i="2"/>
  <c r="AU634" i="2" s="1"/>
  <c r="R634" i="16" s="1"/>
  <c r="AT634" i="16" s="1"/>
  <c r="AS349" i="2"/>
  <c r="AU349" i="2" s="1"/>
  <c r="R349" i="16" s="1"/>
  <c r="AT349" i="16" s="1"/>
  <c r="AS145" i="2"/>
  <c r="AU145" i="2" s="1"/>
  <c r="R145" i="16" s="1"/>
  <c r="AT145" i="16" s="1"/>
  <c r="AS220" i="2"/>
  <c r="AU220" i="2" s="1"/>
  <c r="R220" i="16" s="1"/>
  <c r="AT220" i="16" s="1"/>
  <c r="AS1111" i="2"/>
  <c r="AU1111" i="2" s="1"/>
  <c r="AS933" i="2"/>
  <c r="AU933" i="2" s="1"/>
  <c r="R933" i="16" s="1"/>
  <c r="AT937" i="16" s="1"/>
  <c r="AS51" i="2"/>
  <c r="AU51" i="2" s="1"/>
  <c r="AS1095" i="2"/>
  <c r="AU1095" i="2" s="1"/>
  <c r="R1095" i="16" s="1"/>
  <c r="AS397" i="2"/>
  <c r="AU397" i="2" s="1"/>
  <c r="AS723" i="2"/>
  <c r="AU723" i="2" s="1"/>
  <c r="AW723" i="2" s="1"/>
  <c r="AS1190" i="2"/>
  <c r="AU1190" i="2" s="1"/>
  <c r="AS919" i="2"/>
  <c r="AU919" i="2" s="1"/>
  <c r="R919" i="16" s="1"/>
  <c r="AT923" i="16" s="1"/>
  <c r="AS1065" i="2"/>
  <c r="AU1065" i="2" s="1"/>
  <c r="AW1065" i="2" s="1"/>
  <c r="AS842" i="2"/>
  <c r="AU842" i="2" s="1"/>
  <c r="AS243" i="2"/>
  <c r="AU243" i="2" s="1"/>
  <c r="R243" i="16" s="1"/>
  <c r="AT243" i="16" s="1"/>
  <c r="AS964" i="2"/>
  <c r="AU964" i="2" s="1"/>
  <c r="AS812" i="2"/>
  <c r="AU812" i="2" s="1"/>
  <c r="AS444" i="2"/>
  <c r="AU444" i="2" s="1"/>
  <c r="R444" i="16" s="1"/>
  <c r="AT444" i="16" s="1"/>
  <c r="AS251" i="2"/>
  <c r="AU251" i="2" s="1"/>
  <c r="R251" i="16" s="1"/>
  <c r="AT251" i="16" s="1"/>
  <c r="AS169" i="2"/>
  <c r="AU169" i="2" s="1"/>
  <c r="R169" i="16" s="1"/>
  <c r="AT169" i="16" s="1"/>
  <c r="AS241" i="2"/>
  <c r="AU241" i="2" s="1"/>
  <c r="AS100" i="2"/>
  <c r="AU100" i="2" s="1"/>
  <c r="AS316" i="2"/>
  <c r="AU316" i="2" s="1"/>
  <c r="AS532" i="2"/>
  <c r="AU532" i="2" s="1"/>
  <c r="AS93" i="2"/>
  <c r="AU93" i="2" s="1"/>
  <c r="R93" i="16" s="1"/>
  <c r="AT93" i="16" s="1"/>
  <c r="AS165" i="2"/>
  <c r="AU165" i="2" s="1"/>
  <c r="R165" i="16" s="1"/>
  <c r="AT165" i="16" s="1"/>
  <c r="AS309" i="2"/>
  <c r="AU309" i="2" s="1"/>
  <c r="R309" i="16" s="1"/>
  <c r="AT309" i="16" s="1"/>
  <c r="AS453" i="2"/>
  <c r="AU453" i="2" s="1"/>
  <c r="AS566" i="2"/>
  <c r="AU566" i="2" s="1"/>
  <c r="AS782" i="2"/>
  <c r="AU782" i="2" s="1"/>
  <c r="AS998" i="2"/>
  <c r="AU998" i="2" s="1"/>
  <c r="AS439" i="2"/>
  <c r="AU439" i="2" s="1"/>
  <c r="R439" i="16" s="1"/>
  <c r="AT439" i="16" s="1"/>
  <c r="AS882" i="2"/>
  <c r="AU882" i="2" s="1"/>
  <c r="R882" i="16" s="1"/>
  <c r="AT886" i="16" s="1"/>
  <c r="AS872" i="2"/>
  <c r="AU872" i="2" s="1"/>
  <c r="AS945" i="2"/>
  <c r="AU945" i="2" s="1"/>
  <c r="R945" i="16" s="1"/>
  <c r="AT949" i="16" s="1"/>
  <c r="AS790" i="2"/>
  <c r="AU790" i="2" s="1"/>
  <c r="AS934" i="2"/>
  <c r="AU934" i="2" s="1"/>
  <c r="R934" i="16" s="1"/>
  <c r="AT938" i="16" s="1"/>
  <c r="AS1165" i="2"/>
  <c r="AU1165" i="2" s="1"/>
  <c r="AS722" i="2"/>
  <c r="AU722" i="2" s="1"/>
  <c r="AW722" i="2" s="1"/>
  <c r="AS1211" i="2"/>
  <c r="AU1211" i="2" s="1"/>
  <c r="AS438" i="2"/>
  <c r="AU438" i="2" s="1"/>
  <c r="R438" i="16" s="1"/>
  <c r="AT438" i="16" s="1"/>
  <c r="AS56" i="2"/>
  <c r="AU56" i="2" s="1"/>
  <c r="AW56" i="2" s="1"/>
  <c r="AS632" i="2"/>
  <c r="AU632" i="2" s="1"/>
  <c r="R632" i="16" s="1"/>
  <c r="AT632" i="16" s="1"/>
  <c r="AS840" i="2"/>
  <c r="AU840" i="2" s="1"/>
  <c r="AS481" i="2"/>
  <c r="AU481" i="2" s="1"/>
  <c r="AS74" i="2"/>
  <c r="AU74" i="2" s="1"/>
  <c r="R74" i="16" s="1"/>
  <c r="AT74" i="16" s="1"/>
  <c r="AS1094" i="2"/>
  <c r="AU1094" i="2" s="1"/>
  <c r="AS495" i="2"/>
  <c r="AU495" i="2" s="1"/>
  <c r="AW495" i="2" s="1"/>
  <c r="AS247" i="2"/>
  <c r="AU247" i="2" s="1"/>
  <c r="AW247" i="2" s="1"/>
  <c r="AS142" i="2"/>
  <c r="AU142" i="2" s="1"/>
  <c r="AS1122" i="2"/>
  <c r="AU1122" i="2" s="1"/>
  <c r="R1122" i="16" s="1"/>
  <c r="AS1174" i="2"/>
  <c r="AU1174" i="2" s="1"/>
  <c r="R1174" i="16" s="1"/>
  <c r="AS948" i="2"/>
  <c r="AU948" i="2" s="1"/>
  <c r="AS1092" i="2"/>
  <c r="AU1092" i="2" s="1"/>
  <c r="R1092" i="16" s="1"/>
  <c r="AS1000" i="2"/>
  <c r="AU1000" i="2" s="1"/>
  <c r="R1000" i="16" s="1"/>
  <c r="AS1072" i="2"/>
  <c r="AU1072" i="2" s="1"/>
  <c r="R1072" i="16" s="1"/>
  <c r="AS991" i="2"/>
  <c r="AU991" i="2" s="1"/>
  <c r="R991" i="16" s="1"/>
  <c r="AS420" i="2"/>
  <c r="AU420" i="2" s="1"/>
  <c r="R420" i="16" s="1"/>
  <c r="AT420" i="16" s="1"/>
  <c r="AS428" i="2"/>
  <c r="AU428" i="2" s="1"/>
  <c r="R428" i="16" s="1"/>
  <c r="AT428" i="16" s="1"/>
  <c r="AS417" i="2"/>
  <c r="AU417" i="2" s="1"/>
  <c r="R417" i="16" s="1"/>
  <c r="AT417" i="16" s="1"/>
  <c r="AS561" i="2"/>
  <c r="AU561" i="2" s="1"/>
  <c r="R561" i="16" s="1"/>
  <c r="AT561" i="16" s="1"/>
  <c r="AS1105" i="2"/>
  <c r="AU1105" i="2" s="1"/>
  <c r="AS337" i="2"/>
  <c r="AU337" i="2" s="1"/>
  <c r="AW337" i="2" s="1"/>
  <c r="AS14" i="2"/>
  <c r="AU14" i="2" s="1"/>
  <c r="R14" i="16" s="1"/>
  <c r="AT14" i="16" s="1"/>
  <c r="AS1034" i="2"/>
  <c r="AU1034" i="2" s="1"/>
  <c r="AS1106" i="2"/>
  <c r="AU1106" i="2" s="1"/>
  <c r="R1106" i="16" s="1"/>
  <c r="AS75" i="2"/>
  <c r="AU75" i="2" s="1"/>
  <c r="R75" i="16" s="1"/>
  <c r="AT75" i="16" s="1"/>
  <c r="AS147" i="2"/>
  <c r="AU147" i="2" s="1"/>
  <c r="R147" i="16" s="1"/>
  <c r="AT147" i="16" s="1"/>
  <c r="AS461" i="2"/>
  <c r="AU461" i="2" s="1"/>
  <c r="R461" i="16" s="1"/>
  <c r="AT461" i="16" s="1"/>
  <c r="AS605" i="2"/>
  <c r="AU605" i="2" s="1"/>
  <c r="R605" i="16" s="1"/>
  <c r="AT605" i="16" s="1"/>
  <c r="AS893" i="2"/>
  <c r="AU893" i="2" s="1"/>
  <c r="R893" i="16" s="1"/>
  <c r="AT897" i="16" s="1"/>
  <c r="AS259" i="2"/>
  <c r="AU259" i="2" s="1"/>
  <c r="AS547" i="2"/>
  <c r="AU547" i="2" s="1"/>
  <c r="AS730" i="2"/>
  <c r="AU730" i="2" s="1"/>
  <c r="AS918" i="2"/>
  <c r="AU918" i="2" s="1"/>
  <c r="R918" i="16" s="1"/>
  <c r="AT922" i="16" s="1"/>
  <c r="AS1196" i="2"/>
  <c r="AU1196" i="2" s="1"/>
  <c r="R1196" i="16" s="1"/>
  <c r="AS1032" i="2"/>
  <c r="AU1032" i="2" s="1"/>
  <c r="R1032" i="16" s="1"/>
  <c r="AS1201" i="2"/>
  <c r="AU1201" i="2" s="1"/>
  <c r="R1201" i="16" s="1"/>
  <c r="AS1139" i="2"/>
  <c r="AU1139" i="2" s="1"/>
  <c r="AS60" i="2"/>
  <c r="AU60" i="2" s="1"/>
  <c r="AS162" i="2"/>
  <c r="AU162" i="2" s="1"/>
  <c r="AS659" i="2"/>
  <c r="AU659" i="2" s="1"/>
  <c r="AS648" i="2"/>
  <c r="AU648" i="2" s="1"/>
  <c r="AS649" i="2"/>
  <c r="AU649" i="2" s="1"/>
  <c r="R649" i="16" s="1"/>
  <c r="AT649" i="16" s="1"/>
  <c r="AS656" i="2"/>
  <c r="AU656" i="2" s="1"/>
  <c r="AS141" i="2"/>
  <c r="AU141" i="2" s="1"/>
  <c r="R141" i="16" s="1"/>
  <c r="AT141" i="16" s="1"/>
  <c r="AS215" i="2"/>
  <c r="AU215" i="2" s="1"/>
  <c r="R215" i="16" s="1"/>
  <c r="AT215" i="16" s="1"/>
  <c r="AS359" i="2"/>
  <c r="AU359" i="2" s="1"/>
  <c r="R359" i="16" s="1"/>
  <c r="AT359" i="16" s="1"/>
  <c r="AS205" i="2"/>
  <c r="AU205" i="2" s="1"/>
  <c r="AS568" i="2"/>
  <c r="AU568" i="2" s="1"/>
  <c r="AS201" i="2"/>
  <c r="AU201" i="2" s="1"/>
  <c r="R201" i="16" s="1"/>
  <c r="AT201" i="16" s="1"/>
  <c r="AS11" i="2"/>
  <c r="AU11" i="2" s="1"/>
  <c r="R11" i="16" s="1"/>
  <c r="AT11" i="16" s="1"/>
  <c r="AS83" i="2"/>
  <c r="AU83" i="2" s="1"/>
  <c r="R83" i="16" s="1"/>
  <c r="AT83" i="16" s="1"/>
  <c r="AS216" i="2"/>
  <c r="AU216" i="2" s="1"/>
  <c r="R216" i="16" s="1"/>
  <c r="AT216" i="16" s="1"/>
  <c r="AS720" i="2"/>
  <c r="AU720" i="2" s="1"/>
  <c r="AS864" i="2"/>
  <c r="AU864" i="2" s="1"/>
  <c r="AS936" i="2"/>
  <c r="AU936" i="2" s="1"/>
  <c r="AS793" i="2"/>
  <c r="AU793" i="2" s="1"/>
  <c r="R793" i="16" s="1"/>
  <c r="AT793" i="16" s="1"/>
  <c r="AS508" i="2"/>
  <c r="AU508" i="2" s="1"/>
  <c r="R508" i="16" s="1"/>
  <c r="AT508" i="16" s="1"/>
  <c r="AS830" i="2"/>
  <c r="AU830" i="2" s="1"/>
  <c r="R830" i="16" s="1"/>
  <c r="AT831" i="16" s="1"/>
  <c r="AS974" i="2"/>
  <c r="AU974" i="2" s="1"/>
  <c r="AS303" i="2"/>
  <c r="AU303" i="2" s="1"/>
  <c r="R303" i="16" s="1"/>
  <c r="AT303" i="16" s="1"/>
  <c r="AS55" i="2"/>
  <c r="AU55" i="2" s="1"/>
  <c r="R55" i="16" s="1"/>
  <c r="AT55" i="16" s="1"/>
  <c r="AS487" i="2"/>
  <c r="AU487" i="2" s="1"/>
  <c r="AS559" i="2"/>
  <c r="AU559" i="2" s="1"/>
  <c r="R559" i="16" s="1"/>
  <c r="AT559" i="16" s="1"/>
  <c r="AS1031" i="2"/>
  <c r="AU1031" i="2" s="1"/>
  <c r="AS1116" i="2"/>
  <c r="AU1116" i="2" s="1"/>
  <c r="R1116" i="16" s="1"/>
  <c r="AS1188" i="2"/>
  <c r="AU1188" i="2" s="1"/>
  <c r="R1188" i="16" s="1"/>
  <c r="AS1141" i="2"/>
  <c r="AU1141" i="2" s="1"/>
  <c r="AS987" i="2"/>
  <c r="AU987" i="2" s="1"/>
  <c r="AS157" i="2"/>
  <c r="AU157" i="2" s="1"/>
  <c r="R157" i="16" s="1"/>
  <c r="AT157" i="16" s="1"/>
  <c r="AS304" i="2"/>
  <c r="AU304" i="2" s="1"/>
  <c r="R304" i="16" s="1"/>
  <c r="AT304" i="16" s="1"/>
  <c r="AS236" i="2"/>
  <c r="AU236" i="2" s="1"/>
  <c r="R236" i="16" s="1"/>
  <c r="AT236" i="16" s="1"/>
  <c r="AS9" i="2"/>
  <c r="AU9" i="2" s="1"/>
  <c r="AS297" i="2"/>
  <c r="AU297" i="2" s="1"/>
  <c r="R297" i="16" s="1"/>
  <c r="AT297" i="16" s="1"/>
  <c r="AS372" i="2"/>
  <c r="AU372" i="2" s="1"/>
  <c r="R372" i="16" s="1"/>
  <c r="AT372" i="16" s="1"/>
  <c r="AS732" i="2"/>
  <c r="AU732" i="2" s="1"/>
  <c r="R732" i="16" s="1"/>
  <c r="AT732" i="16" s="1"/>
  <c r="AS266" i="2"/>
  <c r="AU266" i="2" s="1"/>
  <c r="AS770" i="2"/>
  <c r="AU770" i="2" s="1"/>
  <c r="R770" i="16" s="1"/>
  <c r="AS171" i="2"/>
  <c r="AU171" i="2" s="1"/>
  <c r="R171" i="16" s="1"/>
  <c r="AT171" i="16" s="1"/>
  <c r="AS1014" i="2"/>
  <c r="AU1014" i="2" s="1"/>
  <c r="AS789" i="2"/>
  <c r="AU789" i="2" s="1"/>
  <c r="AS1036" i="2"/>
  <c r="AU1036" i="2" s="1"/>
  <c r="R1036" i="16" s="1"/>
  <c r="AS627" i="2"/>
  <c r="AU627" i="2" s="1"/>
  <c r="R627" i="16" s="1"/>
  <c r="AT627" i="16" s="1"/>
  <c r="AS239" i="2"/>
  <c r="AU239" i="2" s="1"/>
  <c r="AS611" i="2"/>
  <c r="AU611" i="2" s="1"/>
  <c r="R611" i="16" s="1"/>
  <c r="AT611" i="16" s="1"/>
  <c r="AS816" i="2"/>
  <c r="AU816" i="2" s="1"/>
  <c r="AS388" i="2"/>
  <c r="AU388" i="2" s="1"/>
  <c r="R388" i="16" s="1"/>
  <c r="AT388" i="16" s="1"/>
  <c r="AS476" i="2"/>
  <c r="AU476" i="2" s="1"/>
  <c r="R476" i="16" s="1"/>
  <c r="AT476" i="16" s="1"/>
  <c r="AS1010" i="2"/>
  <c r="AU1010" i="2" s="1"/>
  <c r="R1010" i="16" s="1"/>
  <c r="AS509" i="2"/>
  <c r="AU509" i="2" s="1"/>
  <c r="R509" i="16" s="1"/>
  <c r="AT509" i="16" s="1"/>
  <c r="AS451" i="2"/>
  <c r="AU451" i="2" s="1"/>
  <c r="R451" i="16" s="1"/>
  <c r="AT451" i="16" s="1"/>
  <c r="AS811" i="2"/>
  <c r="AU811" i="2" s="1"/>
  <c r="AS977" i="2"/>
  <c r="AU977" i="2" s="1"/>
  <c r="R977" i="16" s="1"/>
  <c r="AS966" i="2"/>
  <c r="AU966" i="2" s="1"/>
  <c r="R966" i="16" s="1"/>
  <c r="AS889" i="2"/>
  <c r="AU889" i="2" s="1"/>
  <c r="AS1204" i="2"/>
  <c r="AU1204" i="2" s="1"/>
  <c r="AW1204" i="2" s="1"/>
  <c r="AS405" i="2"/>
  <c r="AU405" i="2" s="1"/>
  <c r="AS116" i="2"/>
  <c r="AU116" i="2" s="1"/>
  <c r="AS121" i="2"/>
  <c r="AU121" i="2" s="1"/>
  <c r="AW121" i="2" s="1"/>
  <c r="AS193" i="2"/>
  <c r="AU193" i="2" s="1"/>
  <c r="R193" i="16" s="1"/>
  <c r="AT193" i="16" s="1"/>
  <c r="AS272" i="2"/>
  <c r="AU272" i="2" s="1"/>
  <c r="R272" i="16" s="1"/>
  <c r="AT272" i="16" s="1"/>
  <c r="AS917" i="2"/>
  <c r="AU917" i="2" s="1"/>
  <c r="R917" i="16" s="1"/>
  <c r="AS1112" i="2"/>
  <c r="AU1112" i="2" s="1"/>
  <c r="AS1007" i="2"/>
  <c r="AU1007" i="2" s="1"/>
  <c r="AS522" i="2"/>
  <c r="AU522" i="2" s="1"/>
  <c r="AS749" i="2"/>
  <c r="AU749" i="2" s="1"/>
  <c r="R749" i="16" s="1"/>
  <c r="AT749" i="16" s="1"/>
  <c r="AS619" i="2"/>
  <c r="AU619" i="2" s="1"/>
  <c r="AS144" i="2"/>
  <c r="AU144" i="2" s="1"/>
  <c r="R144" i="16" s="1"/>
  <c r="AT144" i="16" s="1"/>
  <c r="AS432" i="2"/>
  <c r="AU432" i="2" s="1"/>
  <c r="R432" i="16" s="1"/>
  <c r="AT432" i="16" s="1"/>
  <c r="AS717" i="2"/>
  <c r="AU717" i="2" s="1"/>
  <c r="R717" i="16" s="1"/>
  <c r="AT717" i="16" s="1"/>
  <c r="AS231" i="2"/>
  <c r="AU231" i="2" s="1"/>
  <c r="R231" i="16" s="1"/>
  <c r="AT231" i="16" s="1"/>
  <c r="AS329" i="2"/>
  <c r="AU329" i="2" s="1"/>
  <c r="R329" i="16" s="1"/>
  <c r="AT329" i="16" s="1"/>
  <c r="AS343" i="2"/>
  <c r="AU343" i="2" s="1"/>
  <c r="R343" i="16" s="1"/>
  <c r="AT343" i="16" s="1"/>
  <c r="AS776" i="2"/>
  <c r="AU776" i="2" s="1"/>
  <c r="R776" i="16" s="1"/>
  <c r="AT776" i="16" s="1"/>
  <c r="AS1043" i="2"/>
  <c r="AU1043" i="2" s="1"/>
  <c r="AS630" i="2"/>
  <c r="AU630" i="2" s="1"/>
  <c r="R630" i="16" s="1"/>
  <c r="AT630" i="16" s="1"/>
  <c r="AS118" i="2"/>
  <c r="AU118" i="2" s="1"/>
  <c r="R118" i="16" s="1"/>
  <c r="AT118" i="16" s="1"/>
  <c r="AS478" i="2"/>
  <c r="AU478" i="2" s="1"/>
  <c r="R478" i="16" s="1"/>
  <c r="AT478" i="16" s="1"/>
  <c r="AS1037" i="2"/>
  <c r="AU1037" i="2" s="1"/>
  <c r="R1037" i="16" s="1"/>
  <c r="AS1150" i="2"/>
  <c r="AU1150" i="2" s="1"/>
  <c r="AS1155" i="2"/>
  <c r="AU1155" i="2" s="1"/>
  <c r="R1155" i="16" s="1"/>
  <c r="AS1192" i="2"/>
  <c r="AU1192" i="2" s="1"/>
  <c r="R1215" i="16"/>
  <c r="AW1215" i="2"/>
  <c r="AW1221" i="2"/>
  <c r="R1221" i="16"/>
  <c r="AS218" i="2"/>
  <c r="AU218" i="2" s="1"/>
  <c r="AW218" i="2" s="1"/>
  <c r="AS813" i="2"/>
  <c r="AU813" i="2" s="1"/>
  <c r="AS874" i="2"/>
  <c r="AU874" i="2" s="1"/>
  <c r="AW874" i="2" s="1"/>
  <c r="AS946" i="2"/>
  <c r="AU946" i="2" s="1"/>
  <c r="R946" i="16" s="1"/>
  <c r="AT950" i="16" s="1"/>
  <c r="AS1067" i="2"/>
  <c r="AU1067" i="2" s="1"/>
  <c r="AS1023" i="2"/>
  <c r="AU1023" i="2" s="1"/>
  <c r="R1023" i="16" s="1"/>
  <c r="R1224" i="16"/>
  <c r="AW1224" i="2"/>
  <c r="R1225" i="16"/>
  <c r="AW1225" i="2"/>
  <c r="AS590" i="2"/>
  <c r="AU590" i="2" s="1"/>
  <c r="AS711" i="2"/>
  <c r="AU711" i="2" s="1"/>
  <c r="AS449" i="2"/>
  <c r="AU449" i="2" s="1"/>
  <c r="AW449" i="2" s="1"/>
  <c r="AS1075" i="2"/>
  <c r="AU1075" i="2" s="1"/>
  <c r="AS1147" i="2"/>
  <c r="AU1147" i="2" s="1"/>
  <c r="AS1040" i="2"/>
  <c r="AU1040" i="2" s="1"/>
  <c r="AS969" i="2"/>
  <c r="AU969" i="2" s="1"/>
  <c r="R969" i="16" s="1"/>
  <c r="AS886" i="2"/>
  <c r="AU886" i="2" s="1"/>
  <c r="R886" i="16" s="1"/>
  <c r="AT890" i="16" s="1"/>
  <c r="AS958" i="2"/>
  <c r="AU958" i="2" s="1"/>
  <c r="R1228" i="16"/>
  <c r="AW1228" i="2"/>
  <c r="R1217" i="16"/>
  <c r="AW1217" i="2"/>
  <c r="AS389" i="2"/>
  <c r="AU389" i="2" s="1"/>
  <c r="AW389" i="2" s="1"/>
  <c r="AS929" i="2"/>
  <c r="AU929" i="2" s="1"/>
  <c r="AS980" i="2"/>
  <c r="AU980" i="2" s="1"/>
  <c r="AS985" i="2"/>
  <c r="AU985" i="2" s="1"/>
  <c r="AW985" i="2" s="1"/>
  <c r="R1226" i="16"/>
  <c r="AW1226" i="2"/>
  <c r="AS436" i="2"/>
  <c r="AU436" i="2" s="1"/>
  <c r="R436" i="16" s="1"/>
  <c r="AT436" i="16" s="1"/>
  <c r="AW1216" i="2"/>
  <c r="R1216" i="16"/>
  <c r="AW1223" i="2"/>
  <c r="R1223" i="16"/>
  <c r="AS1175" i="2"/>
  <c r="AU1175" i="2" s="1"/>
  <c r="R1175" i="16" s="1"/>
  <c r="AS915" i="2"/>
  <c r="AU915" i="2" s="1"/>
  <c r="AS1059" i="2"/>
  <c r="AU1059" i="2" s="1"/>
  <c r="R1212" i="16"/>
  <c r="AW1212" i="2"/>
  <c r="R1218" i="16"/>
  <c r="AW1218" i="2"/>
  <c r="R1213" i="16"/>
  <c r="AW1213" i="2"/>
  <c r="R1222" i="16"/>
  <c r="AW1222" i="2"/>
  <c r="AS554" i="2"/>
  <c r="AU554" i="2" s="1"/>
  <c r="AS557" i="2"/>
  <c r="AU557" i="2" s="1"/>
  <c r="AS1025" i="2"/>
  <c r="AU1025" i="2" s="1"/>
  <c r="AS870" i="2"/>
  <c r="AU870" i="2" s="1"/>
  <c r="R870" i="16" s="1"/>
  <c r="AT874" i="16" s="1"/>
  <c r="AS860" i="2"/>
  <c r="AU860" i="2" s="1"/>
  <c r="R1219" i="16"/>
  <c r="AW1219" i="2"/>
  <c r="R1227" i="16"/>
  <c r="AW1227" i="2"/>
  <c r="AS525" i="2"/>
  <c r="AU525" i="2" s="1"/>
  <c r="R525" i="16" s="1"/>
  <c r="AT525" i="16" s="1"/>
  <c r="AW1220" i="2"/>
  <c r="R1220" i="16"/>
  <c r="AW1214" i="2"/>
  <c r="R1214" i="16"/>
  <c r="W275" i="2"/>
  <c r="K275" i="16" s="1"/>
  <c r="W299" i="2"/>
  <c r="K299" i="16" s="1"/>
  <c r="W539" i="2"/>
  <c r="K539" i="16" s="1"/>
  <c r="W683" i="2"/>
  <c r="K683" i="16" s="1"/>
  <c r="W827" i="2"/>
  <c r="K827" i="16" s="1"/>
  <c r="AN503" i="2"/>
  <c r="W842" i="2"/>
  <c r="K842" i="16" s="1"/>
  <c r="W986" i="2"/>
  <c r="K986" i="16" s="1"/>
  <c r="W1202" i="2"/>
  <c r="K1202" i="16" s="1"/>
  <c r="AI168" i="2"/>
  <c r="P168" i="16"/>
  <c r="W148" i="2"/>
  <c r="K148" i="16" s="1"/>
  <c r="W292" i="2"/>
  <c r="K292" i="16" s="1"/>
  <c r="W580" i="2"/>
  <c r="K580" i="16" s="1"/>
  <c r="W652" i="2"/>
  <c r="K652" i="16" s="1"/>
  <c r="W221" i="2"/>
  <c r="K221" i="16" s="1"/>
  <c r="W653" i="2"/>
  <c r="K653" i="16" s="1"/>
  <c r="W797" i="2"/>
  <c r="K797" i="16" s="1"/>
  <c r="W234" i="2"/>
  <c r="K234" i="16" s="1"/>
  <c r="W306" i="2"/>
  <c r="K306" i="16" s="1"/>
  <c r="W522" i="2"/>
  <c r="K522" i="16" s="1"/>
  <c r="W594" i="2"/>
  <c r="K594" i="16" s="1"/>
  <c r="W810" i="2"/>
  <c r="K810" i="16" s="1"/>
  <c r="AI120" i="2"/>
  <c r="P120" i="16"/>
  <c r="W271" i="2"/>
  <c r="K271" i="16" s="1"/>
  <c r="W343" i="2"/>
  <c r="K343" i="16" s="1"/>
  <c r="W631" i="2"/>
  <c r="K631" i="16" s="1"/>
  <c r="W703" i="2"/>
  <c r="K703" i="16" s="1"/>
  <c r="W847" i="2"/>
  <c r="K847" i="16" s="1"/>
  <c r="W332" i="2"/>
  <c r="K332" i="16" s="1"/>
  <c r="W548" i="2"/>
  <c r="K548" i="16" s="1"/>
  <c r="W620" i="2"/>
  <c r="K620" i="16" s="1"/>
  <c r="W273" i="2"/>
  <c r="K273" i="16" s="1"/>
  <c r="W417" i="2"/>
  <c r="K417" i="16" s="1"/>
  <c r="W561" i="2"/>
  <c r="K561" i="16" s="1"/>
  <c r="W705" i="2"/>
  <c r="K705" i="16" s="1"/>
  <c r="W478" i="2"/>
  <c r="K478" i="16" s="1"/>
  <c r="W1037" i="2"/>
  <c r="K1037" i="16" s="1"/>
  <c r="W1109" i="2"/>
  <c r="K1109" i="16" s="1"/>
  <c r="W1181" i="2"/>
  <c r="K1181" i="16" s="1"/>
  <c r="W954" i="2"/>
  <c r="K954" i="16" s="1"/>
  <c r="W1051" i="2"/>
  <c r="K1051" i="16" s="1"/>
  <c r="W1123" i="2"/>
  <c r="K1123" i="16" s="1"/>
  <c r="W1195" i="2"/>
  <c r="K1195" i="16" s="1"/>
  <c r="W872" i="2"/>
  <c r="K872" i="16" s="1"/>
  <c r="W944" i="2"/>
  <c r="K944" i="16" s="1"/>
  <c r="W1016" i="2"/>
  <c r="K1016" i="16" s="1"/>
  <c r="W1088" i="2"/>
  <c r="K1088" i="16" s="1"/>
  <c r="W1160" i="2"/>
  <c r="K1160" i="16" s="1"/>
  <c r="W945" i="2"/>
  <c r="K945" i="16" s="1"/>
  <c r="W1017" i="2"/>
  <c r="K1017" i="16" s="1"/>
  <c r="W1089" i="2"/>
  <c r="K1089" i="16" s="1"/>
  <c r="W1161" i="2"/>
  <c r="K1161" i="16" s="1"/>
  <c r="W790" i="2"/>
  <c r="K790" i="16" s="1"/>
  <c r="W934" i="2"/>
  <c r="K934" i="16" s="1"/>
  <c r="W839" i="2"/>
  <c r="K839" i="16" s="1"/>
  <c r="W983" i="2"/>
  <c r="K983" i="16" s="1"/>
  <c r="W996" i="2"/>
  <c r="K996" i="16" s="1"/>
  <c r="W1068" i="2"/>
  <c r="K1068" i="16" s="1"/>
  <c r="W1140" i="2"/>
  <c r="K1140" i="16" s="1"/>
  <c r="W939" i="2"/>
  <c r="K939" i="16" s="1"/>
  <c r="W1083" i="2"/>
  <c r="K1083" i="16" s="1"/>
  <c r="W1155" i="2"/>
  <c r="K1155" i="16" s="1"/>
  <c r="W832" i="2"/>
  <c r="K832" i="16" s="1"/>
  <c r="O326" i="16"/>
  <c r="AG327" i="2"/>
  <c r="AI3" i="2"/>
  <c r="P3" i="16"/>
  <c r="AI66" i="2"/>
  <c r="Q66" i="16" s="1"/>
  <c r="AI370" i="2"/>
  <c r="P370" i="16"/>
  <c r="AI384" i="2"/>
  <c r="Q384" i="16" s="1"/>
  <c r="AI82" i="2"/>
  <c r="Q82" i="16" s="1"/>
  <c r="AI207" i="2"/>
  <c r="AI12" i="2"/>
  <c r="P12" i="16"/>
  <c r="AI137" i="2"/>
  <c r="Q137" i="16" s="1"/>
  <c r="AN578" i="2"/>
  <c r="Q578" i="16"/>
  <c r="AI279" i="2"/>
  <c r="Q279" i="16" s="1"/>
  <c r="AI764" i="2"/>
  <c r="P764" i="16"/>
  <c r="P261" i="16"/>
  <c r="AI151" i="2"/>
  <c r="P151" i="16"/>
  <c r="AJ823" i="2"/>
  <c r="Q823" i="16"/>
  <c r="AI987" i="2"/>
  <c r="AN987" i="2" s="1"/>
  <c r="W324" i="2"/>
  <c r="K324" i="16" s="1"/>
  <c r="W396" i="2"/>
  <c r="K396" i="16" s="1"/>
  <c r="W468" i="2"/>
  <c r="K468" i="16" s="1"/>
  <c r="W612" i="2"/>
  <c r="K612" i="16" s="1"/>
  <c r="W684" i="2"/>
  <c r="K684" i="16" s="1"/>
  <c r="W756" i="2"/>
  <c r="K756" i="16" s="1"/>
  <c r="W828" i="2"/>
  <c r="K828" i="16" s="1"/>
  <c r="W900" i="2"/>
  <c r="K900" i="16" s="1"/>
  <c r="AI1027" i="2"/>
  <c r="P1027" i="16"/>
  <c r="AI836" i="2"/>
  <c r="Q836" i="16" s="1"/>
  <c r="W217" i="2"/>
  <c r="K217" i="16" s="1"/>
  <c r="W361" i="2"/>
  <c r="K361" i="16" s="1"/>
  <c r="W433" i="2"/>
  <c r="K433" i="16" s="1"/>
  <c r="W505" i="2"/>
  <c r="K505" i="16" s="1"/>
  <c r="W649" i="2"/>
  <c r="K649" i="16" s="1"/>
  <c r="W721" i="2"/>
  <c r="K721" i="16" s="1"/>
  <c r="W793" i="2"/>
  <c r="K793" i="16" s="1"/>
  <c r="AI1028" i="2"/>
  <c r="AN1028" i="2" s="1"/>
  <c r="P1028" i="16"/>
  <c r="W279" i="2"/>
  <c r="K279" i="16" s="1"/>
  <c r="W423" i="2"/>
  <c r="K423" i="16" s="1"/>
  <c r="W567" i="2"/>
  <c r="K567" i="16" s="1"/>
  <c r="W639" i="2"/>
  <c r="K639" i="16" s="1"/>
  <c r="W711" i="2"/>
  <c r="K711" i="16" s="1"/>
  <c r="W783" i="2"/>
  <c r="K783" i="16" s="1"/>
  <c r="W855" i="2"/>
  <c r="K855" i="16" s="1"/>
  <c r="AI181" i="2"/>
  <c r="P181" i="16"/>
  <c r="AI571" i="2"/>
  <c r="Q571" i="16" s="1"/>
  <c r="AI1057" i="2"/>
  <c r="P1057" i="16"/>
  <c r="AI1046" i="2"/>
  <c r="AI9" i="2"/>
  <c r="P9" i="16"/>
  <c r="AI300" i="2"/>
  <c r="Q300" i="16" s="1"/>
  <c r="AI96" i="2"/>
  <c r="P96" i="16"/>
  <c r="AI788" i="2"/>
  <c r="P788" i="16"/>
  <c r="AI1045" i="2"/>
  <c r="P1045" i="16"/>
  <c r="AI592" i="2"/>
  <c r="Q592" i="16" s="1"/>
  <c r="AJ562" i="2"/>
  <c r="Q562" i="16"/>
  <c r="AM911" i="2"/>
  <c r="AM27" i="2"/>
  <c r="AM127" i="2"/>
  <c r="AI461" i="2"/>
  <c r="P461" i="16"/>
  <c r="AM1071" i="2"/>
  <c r="AI432" i="2"/>
  <c r="AN900" i="2"/>
  <c r="AM422" i="2"/>
  <c r="AI464" i="2"/>
  <c r="P464" i="16"/>
  <c r="AN812" i="2"/>
  <c r="AM82" i="2"/>
  <c r="AM412" i="2"/>
  <c r="AM1179" i="2"/>
  <c r="AM483" i="2"/>
  <c r="AM592" i="2"/>
  <c r="AM74" i="2"/>
  <c r="B843" i="16"/>
  <c r="B906" i="16"/>
  <c r="B579" i="16"/>
  <c r="Z580" i="2"/>
  <c r="B819" i="16"/>
  <c r="B564" i="16"/>
  <c r="B267" i="16"/>
  <c r="B612" i="16"/>
  <c r="N281" i="16"/>
  <c r="N1070" i="16"/>
  <c r="W122" i="2"/>
  <c r="K122" i="16" s="1"/>
  <c r="W410" i="2"/>
  <c r="K410" i="16" s="1"/>
  <c r="U369" i="2"/>
  <c r="H369" i="16" s="1"/>
  <c r="H368" i="16"/>
  <c r="U700" i="2"/>
  <c r="H699" i="16"/>
  <c r="W3" i="2"/>
  <c r="K3" i="16" s="1"/>
  <c r="W159" i="2"/>
  <c r="K159" i="16" s="1"/>
  <c r="W471" i="2"/>
  <c r="K471" i="16" s="1"/>
  <c r="W76" i="2"/>
  <c r="K76" i="16" s="1"/>
  <c r="W340" i="2"/>
  <c r="K340" i="16" s="1"/>
  <c r="W5" i="2"/>
  <c r="K5" i="16" s="1"/>
  <c r="W149" i="2"/>
  <c r="K149" i="16" s="1"/>
  <c r="W497" i="2"/>
  <c r="K497" i="16" s="1"/>
  <c r="A401" i="16"/>
  <c r="T402" i="2"/>
  <c r="A402" i="16" s="1"/>
  <c r="W6" i="2"/>
  <c r="K6" i="16" s="1"/>
  <c r="W174" i="2"/>
  <c r="K174" i="16" s="1"/>
  <c r="W43" i="2"/>
  <c r="K43" i="16" s="1"/>
  <c r="W187" i="2"/>
  <c r="K187" i="16" s="1"/>
  <c r="A255" i="16"/>
  <c r="T256" i="2"/>
  <c r="A256" i="16" s="1"/>
  <c r="W68" i="2"/>
  <c r="K68" i="16" s="1"/>
  <c r="W284" i="2"/>
  <c r="K284" i="16" s="1"/>
  <c r="U122" i="2"/>
  <c r="H121" i="16"/>
  <c r="U965" i="2"/>
  <c r="H965" i="16" s="1"/>
  <c r="W153" i="2"/>
  <c r="K153" i="16" s="1"/>
  <c r="W777" i="2"/>
  <c r="K777" i="16" s="1"/>
  <c r="W130" i="2"/>
  <c r="K130" i="16" s="1"/>
  <c r="W598" i="2"/>
  <c r="K598" i="16" s="1"/>
  <c r="U565" i="2"/>
  <c r="H565" i="16" s="1"/>
  <c r="H564" i="16"/>
  <c r="W95" i="2"/>
  <c r="K95" i="16" s="1"/>
  <c r="W431" i="2"/>
  <c r="K431" i="16" s="1"/>
  <c r="W108" i="2"/>
  <c r="K108" i="16" s="1"/>
  <c r="W360" i="2"/>
  <c r="K360" i="16" s="1"/>
  <c r="W109" i="2"/>
  <c r="K109" i="16" s="1"/>
  <c r="W409" i="2"/>
  <c r="K409" i="16" s="1"/>
  <c r="B498" i="16"/>
  <c r="B723" i="16"/>
  <c r="W215" i="2"/>
  <c r="K215" i="16" s="1"/>
  <c r="AI166" i="2"/>
  <c r="P166" i="16"/>
  <c r="AI286" i="2"/>
  <c r="P286" i="16"/>
  <c r="AI441" i="2"/>
  <c r="P441" i="16"/>
  <c r="P1174" i="16"/>
  <c r="AI378" i="2"/>
  <c r="P378" i="16"/>
  <c r="W395" i="2"/>
  <c r="K395" i="16" s="1"/>
  <c r="W698" i="2"/>
  <c r="K698" i="16" s="1"/>
  <c r="O533" i="16"/>
  <c r="AG534" i="2"/>
  <c r="AG535" i="2" s="1"/>
  <c r="AG1097" i="2"/>
  <c r="O1096" i="16"/>
  <c r="AI178" i="2"/>
  <c r="P178" i="16"/>
  <c r="AJ659" i="2"/>
  <c r="Q659" i="16"/>
  <c r="AI85" i="2"/>
  <c r="P85" i="16"/>
  <c r="AI278" i="2"/>
  <c r="P278" i="16"/>
  <c r="AI63" i="2"/>
  <c r="P63" i="16"/>
  <c r="AI458" i="2"/>
  <c r="P458" i="16"/>
  <c r="AI1183" i="2"/>
  <c r="AN1183" i="2" s="1"/>
  <c r="P1183" i="16"/>
  <c r="W47" i="2"/>
  <c r="K47" i="16" s="1"/>
  <c r="W407" i="2"/>
  <c r="K407" i="16" s="1"/>
  <c r="W551" i="2"/>
  <c r="K551" i="16" s="1"/>
  <c r="W623" i="2"/>
  <c r="K623" i="16" s="1"/>
  <c r="AI51" i="2"/>
  <c r="P51" i="16"/>
  <c r="W638" i="2"/>
  <c r="K638" i="16" s="1"/>
  <c r="W782" i="2"/>
  <c r="K782" i="16" s="1"/>
  <c r="W854" i="2"/>
  <c r="K854" i="16" s="1"/>
  <c r="W1070" i="2"/>
  <c r="K1070" i="16" s="1"/>
  <c r="AI997" i="2"/>
  <c r="P997" i="16"/>
  <c r="W304" i="2"/>
  <c r="K304" i="16" s="1"/>
  <c r="W376" i="2"/>
  <c r="K376" i="16" s="1"/>
  <c r="W520" i="2"/>
  <c r="K520" i="16" s="1"/>
  <c r="W592" i="2"/>
  <c r="K592" i="16" s="1"/>
  <c r="W664" i="2"/>
  <c r="K664" i="16" s="1"/>
  <c r="W377" i="2"/>
  <c r="K377" i="16" s="1"/>
  <c r="W593" i="2"/>
  <c r="K593" i="16" s="1"/>
  <c r="W665" i="2"/>
  <c r="K665" i="16" s="1"/>
  <c r="W881" i="2"/>
  <c r="K881" i="16" s="1"/>
  <c r="W534" i="2"/>
  <c r="K534" i="16" s="1"/>
  <c r="W606" i="2"/>
  <c r="K606" i="16" s="1"/>
  <c r="W750" i="2"/>
  <c r="K750" i="16" s="1"/>
  <c r="W715" i="2"/>
  <c r="K715" i="16" s="1"/>
  <c r="W787" i="2"/>
  <c r="K787" i="16" s="1"/>
  <c r="W344" i="2"/>
  <c r="K344" i="16" s="1"/>
  <c r="W632" i="2"/>
  <c r="K632" i="16" s="1"/>
  <c r="W285" i="2"/>
  <c r="K285" i="16" s="1"/>
  <c r="W573" i="2"/>
  <c r="K573" i="16" s="1"/>
  <c r="W717" i="2"/>
  <c r="K717" i="16" s="1"/>
  <c r="AN666" i="2"/>
  <c r="W418" i="2"/>
  <c r="K418" i="16" s="1"/>
  <c r="W562" i="2"/>
  <c r="K562" i="16" s="1"/>
  <c r="W706" i="2"/>
  <c r="K706" i="16" s="1"/>
  <c r="W1038" i="2"/>
  <c r="K1038" i="16" s="1"/>
  <c r="W1110" i="2"/>
  <c r="K1110" i="16" s="1"/>
  <c r="W1063" i="2"/>
  <c r="K1063" i="16" s="1"/>
  <c r="W1135" i="2"/>
  <c r="K1135" i="16" s="1"/>
  <c r="W1207" i="2"/>
  <c r="K1207" i="16" s="1"/>
  <c r="W812" i="2"/>
  <c r="K812" i="16" s="1"/>
  <c r="W884" i="2"/>
  <c r="K884" i="16" s="1"/>
  <c r="W956" i="2"/>
  <c r="K956" i="16" s="1"/>
  <c r="W1028" i="2"/>
  <c r="K1028" i="16" s="1"/>
  <c r="W1100" i="2"/>
  <c r="K1100" i="16" s="1"/>
  <c r="W1172" i="2"/>
  <c r="K1172" i="16" s="1"/>
  <c r="W802" i="2"/>
  <c r="K802" i="16" s="1"/>
  <c r="W874" i="2"/>
  <c r="K874" i="16" s="1"/>
  <c r="W851" i="2"/>
  <c r="K851" i="16" s="1"/>
  <c r="W923" i="2"/>
  <c r="K923" i="16" s="1"/>
  <c r="W961" i="2"/>
  <c r="K961" i="16" s="1"/>
  <c r="W1033" i="2"/>
  <c r="K1033" i="16" s="1"/>
  <c r="W1105" i="2"/>
  <c r="K1105" i="16" s="1"/>
  <c r="W1177" i="2"/>
  <c r="K1177" i="16" s="1"/>
  <c r="W951" i="2"/>
  <c r="K951" i="16" s="1"/>
  <c r="W916" i="2"/>
  <c r="K916" i="16" s="1"/>
  <c r="W988" i="2"/>
  <c r="K988" i="16" s="1"/>
  <c r="W1060" i="2"/>
  <c r="K1060" i="16" s="1"/>
  <c r="W1132" i="2"/>
  <c r="K1132" i="16" s="1"/>
  <c r="W1204" i="2"/>
  <c r="K1204" i="16" s="1"/>
  <c r="AJ623" i="2"/>
  <c r="Q623" i="16"/>
  <c r="AN823" i="2"/>
  <c r="AI1053" i="2"/>
  <c r="AN1053" i="2" s="1"/>
  <c r="P1053" i="16"/>
  <c r="AM824" i="2"/>
  <c r="AM927" i="2"/>
  <c r="AM1174" i="2"/>
  <c r="AI463" i="2"/>
  <c r="P463" i="16"/>
  <c r="AM571" i="2"/>
  <c r="AM42" i="2"/>
  <c r="AI757" i="2"/>
  <c r="P757" i="16"/>
  <c r="AM1074" i="2"/>
  <c r="AI1122" i="2"/>
  <c r="AM220" i="2"/>
  <c r="AM274" i="2"/>
  <c r="AM424" i="2"/>
  <c r="AM59" i="2"/>
  <c r="AM805" i="2"/>
  <c r="N672" i="16"/>
  <c r="AF673" i="2"/>
  <c r="N1119" i="16"/>
  <c r="N326" i="16"/>
  <c r="AF327" i="2"/>
  <c r="N674" i="16"/>
  <c r="N631" i="16"/>
  <c r="N573" i="16"/>
  <c r="N330" i="16"/>
  <c r="AF331" i="2"/>
  <c r="N558" i="16"/>
  <c r="N1124" i="16"/>
  <c r="N233" i="16"/>
  <c r="N513" i="16"/>
  <c r="N863" i="16"/>
  <c r="N530" i="16"/>
  <c r="N1156" i="16"/>
  <c r="N579" i="16"/>
  <c r="AF580" i="2"/>
  <c r="N625" i="16"/>
  <c r="N1038" i="16"/>
  <c r="N459" i="16"/>
  <c r="N1026" i="16"/>
  <c r="W134" i="2"/>
  <c r="K134" i="16" s="1"/>
  <c r="W434" i="2"/>
  <c r="K434" i="16" s="1"/>
  <c r="W15" i="2"/>
  <c r="K15" i="16" s="1"/>
  <c r="W171" i="2"/>
  <c r="K171" i="16" s="1"/>
  <c r="W507" i="2"/>
  <c r="K507" i="16" s="1"/>
  <c r="H930" i="16"/>
  <c r="U931" i="2"/>
  <c r="H931" i="16" s="1"/>
  <c r="W88" i="2"/>
  <c r="K88" i="16" s="1"/>
  <c r="W412" i="2"/>
  <c r="K412" i="16" s="1"/>
  <c r="U602" i="2"/>
  <c r="H601" i="16"/>
  <c r="W17" i="2"/>
  <c r="K17" i="16" s="1"/>
  <c r="W161" i="2"/>
  <c r="K161" i="16" s="1"/>
  <c r="W509" i="2"/>
  <c r="K509" i="16" s="1"/>
  <c r="H330" i="16"/>
  <c r="U331" i="2"/>
  <c r="W18" i="2"/>
  <c r="K18" i="16" s="1"/>
  <c r="W186" i="2"/>
  <c r="K186" i="16" s="1"/>
  <c r="W55" i="2"/>
  <c r="K55" i="16" s="1"/>
  <c r="W199" i="2"/>
  <c r="K199" i="16" s="1"/>
  <c r="W80" i="2"/>
  <c r="K80" i="16" s="1"/>
  <c r="W308" i="2"/>
  <c r="K308" i="16" s="1"/>
  <c r="T965" i="2"/>
  <c r="A964" i="16"/>
  <c r="O222" i="16"/>
  <c r="AG223" i="2"/>
  <c r="W9" i="2"/>
  <c r="K9" i="16" s="1"/>
  <c r="W165" i="2"/>
  <c r="K165" i="16" s="1"/>
  <c r="W801" i="2"/>
  <c r="K801" i="16" s="1"/>
  <c r="W142" i="2"/>
  <c r="K142" i="16" s="1"/>
  <c r="W658" i="2"/>
  <c r="K658" i="16" s="1"/>
  <c r="U625" i="2"/>
  <c r="H624" i="16"/>
  <c r="W107" i="2"/>
  <c r="K107" i="16" s="1"/>
  <c r="W443" i="2"/>
  <c r="K443" i="16" s="1"/>
  <c r="W120" i="2"/>
  <c r="K120" i="16" s="1"/>
  <c r="W432" i="2"/>
  <c r="K432" i="16" s="1"/>
  <c r="A132" i="16"/>
  <c r="T133" i="2"/>
  <c r="AP133" i="2" s="1"/>
  <c r="W121" i="2"/>
  <c r="K121" i="16" s="1"/>
  <c r="W457" i="2"/>
  <c r="K457" i="16" s="1"/>
  <c r="W419" i="2"/>
  <c r="K419" i="16" s="1"/>
  <c r="O672" i="16"/>
  <c r="AG673" i="2"/>
  <c r="AI473" i="2"/>
  <c r="P473" i="16"/>
  <c r="AI20" i="2"/>
  <c r="P20" i="16"/>
  <c r="AJ395" i="2"/>
  <c r="Q395" i="16"/>
  <c r="AI925" i="2"/>
  <c r="P925" i="16"/>
  <c r="W587" i="2"/>
  <c r="K587" i="16" s="1"/>
  <c r="O313" i="16"/>
  <c r="AG314" i="2"/>
  <c r="AI182" i="2"/>
  <c r="P182" i="16"/>
  <c r="AI69" i="2"/>
  <c r="P69" i="16"/>
  <c r="AJ70" i="2"/>
  <c r="Q70" i="16"/>
  <c r="AI210" i="2"/>
  <c r="P210" i="16"/>
  <c r="AJ436" i="2"/>
  <c r="Q436" i="16"/>
  <c r="AI546" i="2"/>
  <c r="P546" i="16"/>
  <c r="AJ985" i="2"/>
  <c r="P985" i="16"/>
  <c r="W266" i="2"/>
  <c r="K266" i="16" s="1"/>
  <c r="W914" i="2"/>
  <c r="K914" i="16" s="1"/>
  <c r="W1130" i="2"/>
  <c r="K1130" i="16" s="1"/>
  <c r="W191" i="2"/>
  <c r="K191" i="16" s="1"/>
  <c r="W335" i="2"/>
  <c r="K335" i="16" s="1"/>
  <c r="W479" i="2"/>
  <c r="K479" i="16" s="1"/>
  <c r="W695" i="2"/>
  <c r="K695" i="16" s="1"/>
  <c r="W767" i="2"/>
  <c r="K767" i="16" s="1"/>
  <c r="AJ405" i="2"/>
  <c r="Q405" i="16"/>
  <c r="AI164" i="2"/>
  <c r="P164" i="16"/>
  <c r="AJ307" i="2"/>
  <c r="Q307" i="16"/>
  <c r="AN1040" i="2"/>
  <c r="Q1040" i="16"/>
  <c r="W206" i="2"/>
  <c r="K206" i="16" s="1"/>
  <c r="W278" i="2"/>
  <c r="K278" i="16" s="1"/>
  <c r="W422" i="2"/>
  <c r="K422" i="16" s="1"/>
  <c r="W566" i="2"/>
  <c r="K566" i="16" s="1"/>
  <c r="W710" i="2"/>
  <c r="K710" i="16" s="1"/>
  <c r="W926" i="2"/>
  <c r="K926" i="16" s="1"/>
  <c r="W998" i="2"/>
  <c r="K998" i="16" s="1"/>
  <c r="W1142" i="2"/>
  <c r="K1142" i="16" s="1"/>
  <c r="AI193" i="2"/>
  <c r="P193" i="16"/>
  <c r="AI915" i="2"/>
  <c r="P915" i="16"/>
  <c r="P1088" i="16"/>
  <c r="W448" i="2"/>
  <c r="K448" i="16" s="1"/>
  <c r="W736" i="2"/>
  <c r="K736" i="16" s="1"/>
  <c r="W808" i="2"/>
  <c r="K808" i="16" s="1"/>
  <c r="W305" i="2"/>
  <c r="K305" i="16" s="1"/>
  <c r="W449" i="2"/>
  <c r="K449" i="16" s="1"/>
  <c r="W521" i="2"/>
  <c r="K521" i="16" s="1"/>
  <c r="W737" i="2"/>
  <c r="K737" i="16" s="1"/>
  <c r="W809" i="2"/>
  <c r="K809" i="16" s="1"/>
  <c r="W246" i="2"/>
  <c r="K246" i="16" s="1"/>
  <c r="W390" i="2"/>
  <c r="K390" i="16" s="1"/>
  <c r="W462" i="2"/>
  <c r="K462" i="16" s="1"/>
  <c r="W678" i="2"/>
  <c r="K678" i="16" s="1"/>
  <c r="W822" i="2"/>
  <c r="K822" i="16" s="1"/>
  <c r="AI21" i="2"/>
  <c r="P21" i="16"/>
  <c r="AI453" i="2"/>
  <c r="P453" i="16"/>
  <c r="AN575" i="2"/>
  <c r="AJ860" i="2"/>
  <c r="Q860" i="16"/>
  <c r="AJ170" i="2"/>
  <c r="Q170" i="16"/>
  <c r="W283" i="2"/>
  <c r="K283" i="16" s="1"/>
  <c r="W427" i="2"/>
  <c r="K427" i="16" s="1"/>
  <c r="W571" i="2"/>
  <c r="K571" i="16" s="1"/>
  <c r="W643" i="2"/>
  <c r="K643" i="16" s="1"/>
  <c r="W859" i="2"/>
  <c r="K859" i="16" s="1"/>
  <c r="W931" i="2"/>
  <c r="K931" i="16" s="1"/>
  <c r="AI108" i="2"/>
  <c r="P108" i="16"/>
  <c r="AI847" i="2"/>
  <c r="P847" i="16"/>
  <c r="W272" i="2"/>
  <c r="K272" i="16" s="1"/>
  <c r="W416" i="2"/>
  <c r="K416" i="16" s="1"/>
  <c r="W488" i="2"/>
  <c r="K488" i="16" s="1"/>
  <c r="W704" i="2"/>
  <c r="K704" i="16" s="1"/>
  <c r="AJ1172" i="2"/>
  <c r="Q1172" i="16"/>
  <c r="W213" i="2"/>
  <c r="K213" i="16" s="1"/>
  <c r="W429" i="2"/>
  <c r="K429" i="16" s="1"/>
  <c r="W645" i="2"/>
  <c r="K645" i="16" s="1"/>
  <c r="W346" i="2"/>
  <c r="K346" i="16" s="1"/>
  <c r="W490" i="2"/>
  <c r="K490" i="16" s="1"/>
  <c r="W634" i="2"/>
  <c r="K634" i="16" s="1"/>
  <c r="W905" i="2"/>
  <c r="K905" i="16" s="1"/>
  <c r="W977" i="2"/>
  <c r="K977" i="16" s="1"/>
  <c r="W1049" i="2"/>
  <c r="K1049" i="16" s="1"/>
  <c r="W1121" i="2"/>
  <c r="K1121" i="16" s="1"/>
  <c r="W1193" i="2"/>
  <c r="K1193" i="16" s="1"/>
  <c r="W894" i="2"/>
  <c r="K894" i="16" s="1"/>
  <c r="W966" i="2"/>
  <c r="K966" i="16" s="1"/>
  <c r="W1182" i="2"/>
  <c r="K1182" i="16" s="1"/>
  <c r="W991" i="2"/>
  <c r="K991" i="16" s="1"/>
  <c r="W813" i="2"/>
  <c r="K813" i="16" s="1"/>
  <c r="W885" i="2"/>
  <c r="K885" i="16" s="1"/>
  <c r="W1029" i="2"/>
  <c r="K1029" i="16" s="1"/>
  <c r="W1101" i="2"/>
  <c r="K1101" i="16" s="1"/>
  <c r="W1173" i="2"/>
  <c r="K1173" i="16" s="1"/>
  <c r="W946" i="2"/>
  <c r="K946" i="16" s="1"/>
  <c r="W1018" i="2"/>
  <c r="K1018" i="16" s="1"/>
  <c r="W1090" i="2"/>
  <c r="K1090" i="16" s="1"/>
  <c r="W1162" i="2"/>
  <c r="K1162" i="16" s="1"/>
  <c r="W995" i="2"/>
  <c r="K995" i="16" s="1"/>
  <c r="W1067" i="2"/>
  <c r="K1067" i="16" s="1"/>
  <c r="W1139" i="2"/>
  <c r="K1139" i="16" s="1"/>
  <c r="W1211" i="2"/>
  <c r="K1211" i="16" s="1"/>
  <c r="W1008" i="2"/>
  <c r="K1008" i="16" s="1"/>
  <c r="W1080" i="2"/>
  <c r="K1080" i="16" s="1"/>
  <c r="W1152" i="2"/>
  <c r="K1152" i="16" s="1"/>
  <c r="W817" i="2"/>
  <c r="K817" i="16" s="1"/>
  <c r="W889" i="2"/>
  <c r="K889" i="16" s="1"/>
  <c r="W1023" i="2"/>
  <c r="K1023" i="16" s="1"/>
  <c r="W1095" i="2"/>
  <c r="K1095" i="16" s="1"/>
  <c r="W1167" i="2"/>
  <c r="K1167" i="16" s="1"/>
  <c r="O406" i="16"/>
  <c r="AG407" i="2"/>
  <c r="AI102" i="2"/>
  <c r="Q102" i="16" s="1"/>
  <c r="AI270" i="2"/>
  <c r="AI5" i="2"/>
  <c r="P5" i="16"/>
  <c r="AN506" i="2"/>
  <c r="Q506" i="16"/>
  <c r="AI94" i="2"/>
  <c r="P94" i="16"/>
  <c r="AI97" i="2"/>
  <c r="P97" i="16"/>
  <c r="AI250" i="2"/>
  <c r="P250" i="16"/>
  <c r="AI149" i="2"/>
  <c r="P149" i="16"/>
  <c r="AI291" i="2"/>
  <c r="P291" i="16"/>
  <c r="AI607" i="2"/>
  <c r="AI75" i="2"/>
  <c r="AI292" i="2"/>
  <c r="P292" i="16"/>
  <c r="AI489" i="2"/>
  <c r="P489" i="16"/>
  <c r="P1198" i="16"/>
  <c r="P557" i="16"/>
  <c r="AI430" i="2"/>
  <c r="P430" i="16"/>
  <c r="W192" i="2"/>
  <c r="K192" i="16" s="1"/>
  <c r="W336" i="2"/>
  <c r="K336" i="16" s="1"/>
  <c r="W408" i="2"/>
  <c r="K408" i="16" s="1"/>
  <c r="W480" i="2"/>
  <c r="K480" i="16" s="1"/>
  <c r="W552" i="2"/>
  <c r="K552" i="16" s="1"/>
  <c r="W624" i="2"/>
  <c r="K624" i="16" s="1"/>
  <c r="W696" i="2"/>
  <c r="K696" i="16" s="1"/>
  <c r="W768" i="2"/>
  <c r="K768" i="16" s="1"/>
  <c r="W840" i="2"/>
  <c r="K840" i="16" s="1"/>
  <c r="W912" i="2"/>
  <c r="K912" i="16" s="1"/>
  <c r="AI726" i="2"/>
  <c r="Q726" i="16" s="1"/>
  <c r="W373" i="2"/>
  <c r="K373" i="16" s="1"/>
  <c r="W445" i="2"/>
  <c r="K445" i="16" s="1"/>
  <c r="W517" i="2"/>
  <c r="K517" i="16" s="1"/>
  <c r="W589" i="2"/>
  <c r="K589" i="16" s="1"/>
  <c r="W661" i="2"/>
  <c r="K661" i="16" s="1"/>
  <c r="W733" i="2"/>
  <c r="K733" i="16" s="1"/>
  <c r="W805" i="2"/>
  <c r="K805" i="16" s="1"/>
  <c r="AI795" i="2"/>
  <c r="Q795" i="16" s="1"/>
  <c r="AI927" i="2"/>
  <c r="Q927" i="16" s="1"/>
  <c r="AI728" i="2"/>
  <c r="Q728" i="16" s="1"/>
  <c r="AI872" i="2"/>
  <c r="AJ872" i="2" s="1"/>
  <c r="W291" i="2"/>
  <c r="K291" i="16" s="1"/>
  <c r="W363" i="2"/>
  <c r="K363" i="16" s="1"/>
  <c r="W435" i="2"/>
  <c r="K435" i="16" s="1"/>
  <c r="W579" i="2"/>
  <c r="K579" i="16" s="1"/>
  <c r="W651" i="2"/>
  <c r="K651" i="16" s="1"/>
  <c r="W723" i="2"/>
  <c r="K723" i="16" s="1"/>
  <c r="W795" i="2"/>
  <c r="K795" i="16" s="1"/>
  <c r="W867" i="2"/>
  <c r="K867" i="16" s="1"/>
  <c r="P1035" i="16"/>
  <c r="AI205" i="2"/>
  <c r="P205" i="16"/>
  <c r="AI422" i="2"/>
  <c r="Q422" i="16" s="1"/>
  <c r="AI586" i="2"/>
  <c r="P586" i="16"/>
  <c r="P951" i="16"/>
  <c r="AI841" i="2"/>
  <c r="P841" i="16"/>
  <c r="AJ247" i="2"/>
  <c r="Q247" i="16"/>
  <c r="AI33" i="2"/>
  <c r="P33" i="16"/>
  <c r="AI589" i="2"/>
  <c r="Q589" i="16" s="1"/>
  <c r="AI706" i="2"/>
  <c r="AN706" i="2" s="1"/>
  <c r="P706" i="16"/>
  <c r="AI681" i="2"/>
  <c r="Q681" i="16" s="1"/>
  <c r="AI1182" i="2"/>
  <c r="Q1182" i="16" s="1"/>
  <c r="AJ874" i="2"/>
  <c r="Q874" i="16"/>
  <c r="AJ816" i="2"/>
  <c r="Q816" i="16"/>
  <c r="AJ722" i="2"/>
  <c r="Q722" i="16"/>
  <c r="AI1144" i="2"/>
  <c r="AN1144" i="2" s="1"/>
  <c r="P1144" i="16"/>
  <c r="AI751" i="2"/>
  <c r="P751" i="16"/>
  <c r="AI306" i="2"/>
  <c r="P306" i="16"/>
  <c r="AI566" i="2"/>
  <c r="P566" i="16"/>
  <c r="AI609" i="2"/>
  <c r="P609" i="16"/>
  <c r="AM1116" i="2"/>
  <c r="AI26" i="2"/>
  <c r="P26" i="16"/>
  <c r="AI670" i="2"/>
  <c r="P670" i="16"/>
  <c r="AM726" i="2"/>
  <c r="AI165" i="2"/>
  <c r="P165" i="16"/>
  <c r="AI520" i="2"/>
  <c r="P520" i="16"/>
  <c r="AN884" i="2"/>
  <c r="AI1071" i="2"/>
  <c r="AI857" i="2"/>
  <c r="P857" i="16"/>
  <c r="AM92" i="2"/>
  <c r="AM328" i="2"/>
  <c r="AM383" i="2"/>
  <c r="AI557" i="2"/>
  <c r="Q557" i="16" s="1"/>
  <c r="AM773" i="2"/>
  <c r="AM589" i="2"/>
  <c r="AM691" i="2"/>
  <c r="AM787" i="2"/>
  <c r="AM288" i="2"/>
  <c r="AM10" i="2"/>
  <c r="AM440" i="2"/>
  <c r="AM708" i="2"/>
  <c r="AM748" i="2"/>
  <c r="AN722" i="2"/>
  <c r="AM1157" i="2"/>
  <c r="AM457" i="2"/>
  <c r="B1193" i="16"/>
  <c r="B499" i="16"/>
  <c r="B672" i="16"/>
  <c r="Z673" i="2"/>
  <c r="B615" i="16"/>
  <c r="N1104" i="16"/>
  <c r="W146" i="2"/>
  <c r="K146" i="16" s="1"/>
  <c r="W446" i="2"/>
  <c r="K446" i="16" s="1"/>
  <c r="W27" i="2"/>
  <c r="K27" i="16" s="1"/>
  <c r="W183" i="2"/>
  <c r="K183" i="16" s="1"/>
  <c r="W519" i="2"/>
  <c r="K519" i="16" s="1"/>
  <c r="W100" i="2"/>
  <c r="K100" i="16" s="1"/>
  <c r="W424" i="2"/>
  <c r="K424" i="16" s="1"/>
  <c r="H618" i="16"/>
  <c r="U619" i="2"/>
  <c r="U620" i="2" s="1"/>
  <c r="W29" i="2"/>
  <c r="K29" i="16" s="1"/>
  <c r="W173" i="2"/>
  <c r="K173" i="16" s="1"/>
  <c r="W545" i="2"/>
  <c r="K545" i="16" s="1"/>
  <c r="T863" i="2"/>
  <c r="A863" i="16" s="1"/>
  <c r="A862" i="16"/>
  <c r="W30" i="2"/>
  <c r="K30" i="16" s="1"/>
  <c r="W210" i="2"/>
  <c r="K210" i="16" s="1"/>
  <c r="W67" i="2"/>
  <c r="K67" i="16" s="1"/>
  <c r="W211" i="2"/>
  <c r="K211" i="16" s="1"/>
  <c r="W92" i="2"/>
  <c r="K92" i="16" s="1"/>
  <c r="W320" i="2"/>
  <c r="K320" i="16" s="1"/>
  <c r="H222" i="16"/>
  <c r="U223" i="2"/>
  <c r="W21" i="2"/>
  <c r="K21" i="16" s="1"/>
  <c r="W189" i="2"/>
  <c r="K189" i="16" s="1"/>
  <c r="W957" i="2"/>
  <c r="K957" i="16" s="1"/>
  <c r="W10" i="2"/>
  <c r="K10" i="16" s="1"/>
  <c r="W166" i="2"/>
  <c r="K166" i="16" s="1"/>
  <c r="W754" i="2"/>
  <c r="K754" i="16" s="1"/>
  <c r="O137" i="16"/>
  <c r="AG138" i="2"/>
  <c r="H137" i="16"/>
  <c r="U138" i="2"/>
  <c r="W119" i="2"/>
  <c r="K119" i="16" s="1"/>
  <c r="W671" i="2"/>
  <c r="K671" i="16" s="1"/>
  <c r="W132" i="2"/>
  <c r="K132" i="16" s="1"/>
  <c r="W444" i="2"/>
  <c r="K444" i="16" s="1"/>
  <c r="U323" i="2"/>
  <c r="H323" i="16" s="1"/>
  <c r="H322" i="16"/>
  <c r="W133" i="2"/>
  <c r="K133" i="16" s="1"/>
  <c r="W577" i="2"/>
  <c r="K577" i="16" s="1"/>
  <c r="N285" i="16"/>
  <c r="B639" i="16"/>
  <c r="B137" i="16"/>
  <c r="Z138" i="2"/>
  <c r="B121" i="16"/>
  <c r="O541" i="16"/>
  <c r="AG542" i="2"/>
  <c r="W635" i="2"/>
  <c r="K635" i="16" s="1"/>
  <c r="W290" i="2"/>
  <c r="K290" i="16" s="1"/>
  <c r="W578" i="2"/>
  <c r="K578" i="16" s="1"/>
  <c r="W722" i="2"/>
  <c r="K722" i="16" s="1"/>
  <c r="W938" i="2"/>
  <c r="K938" i="16" s="1"/>
  <c r="W1082" i="2"/>
  <c r="K1082" i="16" s="1"/>
  <c r="W244" i="2"/>
  <c r="K244" i="16" s="1"/>
  <c r="W460" i="2"/>
  <c r="K460" i="16" s="1"/>
  <c r="W532" i="2"/>
  <c r="K532" i="16" s="1"/>
  <c r="W676" i="2"/>
  <c r="K676" i="16" s="1"/>
  <c r="W317" i="2"/>
  <c r="K317" i="16" s="1"/>
  <c r="W461" i="2"/>
  <c r="K461" i="16" s="1"/>
  <c r="W605" i="2"/>
  <c r="K605" i="16" s="1"/>
  <c r="W749" i="2"/>
  <c r="K749" i="16" s="1"/>
  <c r="W893" i="2"/>
  <c r="K893" i="16" s="1"/>
  <c r="AI260" i="2"/>
  <c r="P260" i="16"/>
  <c r="AJ525" i="2"/>
  <c r="Q525" i="16"/>
  <c r="AN842" i="2"/>
  <c r="W474" i="2"/>
  <c r="K474" i="16" s="1"/>
  <c r="W546" i="2"/>
  <c r="K546" i="16" s="1"/>
  <c r="W439" i="2"/>
  <c r="K439" i="16" s="1"/>
  <c r="W511" i="2"/>
  <c r="K511" i="16" s="1"/>
  <c r="W655" i="2"/>
  <c r="K655" i="16" s="1"/>
  <c r="W727" i="2"/>
  <c r="K727" i="16" s="1"/>
  <c r="W799" i="2"/>
  <c r="K799" i="16" s="1"/>
  <c r="W871" i="2"/>
  <c r="K871" i="16" s="1"/>
  <c r="W428" i="2"/>
  <c r="K428" i="16" s="1"/>
  <c r="W572" i="2"/>
  <c r="K572" i="16" s="1"/>
  <c r="W716" i="2"/>
  <c r="K716" i="16" s="1"/>
  <c r="W441" i="2"/>
  <c r="K441" i="16" s="1"/>
  <c r="W657" i="2"/>
  <c r="K657" i="16" s="1"/>
  <c r="W214" i="2"/>
  <c r="K214" i="16" s="1"/>
  <c r="W286" i="2"/>
  <c r="K286" i="16" s="1"/>
  <c r="W430" i="2"/>
  <c r="K430" i="16" s="1"/>
  <c r="W574" i="2"/>
  <c r="K574" i="16" s="1"/>
  <c r="W978" i="2"/>
  <c r="K978" i="16" s="1"/>
  <c r="W1050" i="2"/>
  <c r="K1050" i="16" s="1"/>
  <c r="W1194" i="2"/>
  <c r="K1194" i="16" s="1"/>
  <c r="W968" i="2"/>
  <c r="K968" i="16" s="1"/>
  <c r="W1040" i="2"/>
  <c r="K1040" i="16" s="1"/>
  <c r="W1112" i="2"/>
  <c r="K1112" i="16" s="1"/>
  <c r="W1184" i="2"/>
  <c r="K1184" i="16" s="1"/>
  <c r="W814" i="2"/>
  <c r="K814" i="16" s="1"/>
  <c r="W958" i="2"/>
  <c r="K958" i="16" s="1"/>
  <c r="W1030" i="2"/>
  <c r="K1030" i="16" s="1"/>
  <c r="W1102" i="2"/>
  <c r="K1102" i="16" s="1"/>
  <c r="W1174" i="2"/>
  <c r="K1174" i="16" s="1"/>
  <c r="W863" i="2"/>
  <c r="K863" i="16" s="1"/>
  <c r="W948" i="2"/>
  <c r="K948" i="16" s="1"/>
  <c r="W1020" i="2"/>
  <c r="K1020" i="16" s="1"/>
  <c r="W829" i="2"/>
  <c r="K829" i="16" s="1"/>
  <c r="W901" i="2"/>
  <c r="K901" i="16" s="1"/>
  <c r="W1045" i="2"/>
  <c r="K1045" i="16" s="1"/>
  <c r="W1117" i="2"/>
  <c r="K1117" i="16" s="1"/>
  <c r="W1189" i="2"/>
  <c r="K1189" i="16" s="1"/>
  <c r="W963" i="2"/>
  <c r="K963" i="16" s="1"/>
  <c r="W1035" i="2"/>
  <c r="K1035" i="16" s="1"/>
  <c r="W1107" i="2"/>
  <c r="K1107" i="16" s="1"/>
  <c r="W1179" i="2"/>
  <c r="K1179" i="16" s="1"/>
  <c r="W856" i="2"/>
  <c r="K856" i="16" s="1"/>
  <c r="W928" i="2"/>
  <c r="K928" i="16" s="1"/>
  <c r="W1000" i="2"/>
  <c r="K1000" i="16" s="1"/>
  <c r="W1072" i="2"/>
  <c r="K1072" i="16" s="1"/>
  <c r="W1144" i="2"/>
  <c r="K1144" i="16" s="1"/>
  <c r="AJ516" i="2"/>
  <c r="Q516" i="16"/>
  <c r="AJ778" i="2"/>
  <c r="Q778" i="16"/>
  <c r="P817" i="16"/>
  <c r="AM352" i="2"/>
  <c r="AM536" i="2"/>
  <c r="AI90" i="2"/>
  <c r="P90" i="16"/>
  <c r="AM270" i="2"/>
  <c r="AM873" i="2"/>
  <c r="AM958" i="2"/>
  <c r="AI524" i="2"/>
  <c r="P524" i="16"/>
  <c r="AM772" i="2"/>
  <c r="AM1136" i="2"/>
  <c r="AM1075" i="2"/>
  <c r="AM481" i="2"/>
  <c r="AM1138" i="2"/>
  <c r="AM60" i="2"/>
  <c r="AM606" i="2"/>
  <c r="AN1008" i="2"/>
  <c r="AN623" i="2"/>
  <c r="AN833" i="2"/>
  <c r="AM36" i="2"/>
  <c r="AM124" i="2"/>
  <c r="N769" i="16"/>
  <c r="N700" i="16"/>
  <c r="N1176" i="16"/>
  <c r="N602" i="16"/>
  <c r="N398" i="16"/>
  <c r="N1191" i="16"/>
  <c r="N482" i="16"/>
  <c r="N892" i="16"/>
  <c r="N735" i="16"/>
  <c r="N594" i="16"/>
  <c r="N967" i="16"/>
  <c r="N390" i="16"/>
  <c r="N724" i="16"/>
  <c r="AF725" i="2"/>
  <c r="N1066" i="16"/>
  <c r="N549" i="16"/>
  <c r="N1068" i="16"/>
  <c r="U613" i="2"/>
  <c r="H613" i="16" s="1"/>
  <c r="H612" i="16"/>
  <c r="W182" i="2"/>
  <c r="K182" i="16" s="1"/>
  <c r="W482" i="2"/>
  <c r="K482" i="16" s="1"/>
  <c r="W39" i="2"/>
  <c r="K39" i="16" s="1"/>
  <c r="W207" i="2"/>
  <c r="K207" i="16" s="1"/>
  <c r="W615" i="2"/>
  <c r="K615" i="16" s="1"/>
  <c r="W124" i="2"/>
  <c r="K124" i="16" s="1"/>
  <c r="W472" i="2"/>
  <c r="K472" i="16" s="1"/>
  <c r="W41" i="2"/>
  <c r="K41" i="16" s="1"/>
  <c r="W185" i="2"/>
  <c r="K185" i="16" s="1"/>
  <c r="W629" i="2"/>
  <c r="K629" i="16" s="1"/>
  <c r="W42" i="2"/>
  <c r="K42" i="16" s="1"/>
  <c r="W270" i="2"/>
  <c r="K270" i="16" s="1"/>
  <c r="W79" i="2"/>
  <c r="K79" i="16" s="1"/>
  <c r="W223" i="2"/>
  <c r="K223" i="16" s="1"/>
  <c r="W104" i="2"/>
  <c r="K104" i="16" s="1"/>
  <c r="W368" i="2"/>
  <c r="K368" i="16" s="1"/>
  <c r="W33" i="2"/>
  <c r="K33" i="16" s="1"/>
  <c r="W201" i="2"/>
  <c r="K201" i="16" s="1"/>
  <c r="T908" i="2"/>
  <c r="A908" i="16" s="1"/>
  <c r="A907" i="16"/>
  <c r="H579" i="16"/>
  <c r="U580" i="2"/>
  <c r="W22" i="2"/>
  <c r="K22" i="16" s="1"/>
  <c r="W190" i="2"/>
  <c r="K190" i="16" s="1"/>
  <c r="W922" i="2"/>
  <c r="K922" i="16" s="1"/>
  <c r="W131" i="2"/>
  <c r="K131" i="16" s="1"/>
  <c r="W707" i="2"/>
  <c r="K707" i="16" s="1"/>
  <c r="W144" i="2"/>
  <c r="K144" i="16" s="1"/>
  <c r="W540" i="2"/>
  <c r="K540" i="16" s="1"/>
  <c r="W145" i="2"/>
  <c r="K145" i="16" s="1"/>
  <c r="W673" i="2"/>
  <c r="K673" i="16" s="1"/>
  <c r="W563" i="2"/>
  <c r="K563" i="16" s="1"/>
  <c r="W779" i="2"/>
  <c r="K779" i="16" s="1"/>
  <c r="AI189" i="2"/>
  <c r="P189" i="16"/>
  <c r="AI548" i="2"/>
  <c r="P548" i="16"/>
  <c r="AI1067" i="2"/>
  <c r="P1067" i="16"/>
  <c r="AJ1204" i="2"/>
  <c r="P1204" i="16"/>
  <c r="W362" i="2"/>
  <c r="K362" i="16" s="1"/>
  <c r="W794" i="2"/>
  <c r="K794" i="16" s="1"/>
  <c r="W866" i="2"/>
  <c r="K866" i="16" s="1"/>
  <c r="W1154" i="2"/>
  <c r="K1154" i="16" s="1"/>
  <c r="P1108" i="16"/>
  <c r="AI68" i="2"/>
  <c r="P68" i="16"/>
  <c r="AI1147" i="2"/>
  <c r="P1147" i="16"/>
  <c r="W388" i="2"/>
  <c r="K388" i="16" s="1"/>
  <c r="W604" i="2"/>
  <c r="K604" i="16" s="1"/>
  <c r="W748" i="2"/>
  <c r="K748" i="16" s="1"/>
  <c r="AJ704" i="2"/>
  <c r="Q704" i="16"/>
  <c r="W389" i="2"/>
  <c r="K389" i="16" s="1"/>
  <c r="W533" i="2"/>
  <c r="K533" i="16" s="1"/>
  <c r="W677" i="2"/>
  <c r="K677" i="16" s="1"/>
  <c r="W821" i="2"/>
  <c r="K821" i="16" s="1"/>
  <c r="W258" i="2"/>
  <c r="K258" i="16" s="1"/>
  <c r="W330" i="2"/>
  <c r="K330" i="16" s="1"/>
  <c r="W402" i="2"/>
  <c r="K402" i="16" s="1"/>
  <c r="W618" i="2"/>
  <c r="K618" i="16" s="1"/>
  <c r="W690" i="2"/>
  <c r="K690" i="16" s="1"/>
  <c r="W762" i="2"/>
  <c r="K762" i="16" s="1"/>
  <c r="W834" i="2"/>
  <c r="K834" i="16" s="1"/>
  <c r="AI158" i="2"/>
  <c r="P158" i="16"/>
  <c r="AI890" i="2"/>
  <c r="AN890" i="2" s="1"/>
  <c r="P890" i="16"/>
  <c r="W295" i="2"/>
  <c r="K295" i="16" s="1"/>
  <c r="W583" i="2"/>
  <c r="K583" i="16" s="1"/>
  <c r="W943" i="2"/>
  <c r="K943" i="16" s="1"/>
  <c r="AI135" i="2"/>
  <c r="P135" i="16"/>
  <c r="AI316" i="2"/>
  <c r="P316" i="16"/>
  <c r="AI485" i="2"/>
  <c r="P485" i="16"/>
  <c r="W356" i="2"/>
  <c r="K356" i="16" s="1"/>
  <c r="W500" i="2"/>
  <c r="K500" i="16" s="1"/>
  <c r="W225" i="2"/>
  <c r="K225" i="16" s="1"/>
  <c r="W513" i="2"/>
  <c r="K513" i="16" s="1"/>
  <c r="W729" i="2"/>
  <c r="K729" i="16" s="1"/>
  <c r="AI804" i="2"/>
  <c r="W358" i="2"/>
  <c r="K358" i="16" s="1"/>
  <c r="W502" i="2"/>
  <c r="K502" i="16" s="1"/>
  <c r="W646" i="2"/>
  <c r="K646" i="16" s="1"/>
  <c r="W718" i="2"/>
  <c r="K718" i="16" s="1"/>
  <c r="W917" i="2"/>
  <c r="K917" i="16" s="1"/>
  <c r="W989" i="2"/>
  <c r="K989" i="16" s="1"/>
  <c r="W1061" i="2"/>
  <c r="K1061" i="16" s="1"/>
  <c r="W1133" i="2"/>
  <c r="K1133" i="16" s="1"/>
  <c r="W1205" i="2"/>
  <c r="K1205" i="16" s="1"/>
  <c r="W906" i="2"/>
  <c r="K906" i="16" s="1"/>
  <c r="W1003" i="2"/>
  <c r="K1003" i="16" s="1"/>
  <c r="W1075" i="2"/>
  <c r="K1075" i="16" s="1"/>
  <c r="W1147" i="2"/>
  <c r="K1147" i="16" s="1"/>
  <c r="W824" i="2"/>
  <c r="K824" i="16" s="1"/>
  <c r="W896" i="2"/>
  <c r="K896" i="16" s="1"/>
  <c r="W825" i="2"/>
  <c r="K825" i="16" s="1"/>
  <c r="W897" i="2"/>
  <c r="K897" i="16" s="1"/>
  <c r="W969" i="2"/>
  <c r="K969" i="16" s="1"/>
  <c r="W1041" i="2"/>
  <c r="K1041" i="16" s="1"/>
  <c r="W1113" i="2"/>
  <c r="K1113" i="16" s="1"/>
  <c r="W1185" i="2"/>
  <c r="K1185" i="16" s="1"/>
  <c r="W886" i="2"/>
  <c r="K886" i="16" s="1"/>
  <c r="W935" i="2"/>
  <c r="K935" i="16" s="1"/>
  <c r="W1007" i="2"/>
  <c r="K1007" i="16" s="1"/>
  <c r="W1079" i="2"/>
  <c r="K1079" i="16" s="1"/>
  <c r="W1151" i="2"/>
  <c r="K1151" i="16" s="1"/>
  <c r="W1092" i="2"/>
  <c r="K1092" i="16" s="1"/>
  <c r="W1164" i="2"/>
  <c r="K1164" i="16" s="1"/>
  <c r="W973" i="2"/>
  <c r="K973" i="16" s="1"/>
  <c r="O640" i="16"/>
  <c r="AG641" i="2"/>
  <c r="O517" i="16"/>
  <c r="AG518" i="2"/>
  <c r="AI53" i="2"/>
  <c r="P53" i="16"/>
  <c r="AJ214" i="2"/>
  <c r="Q214" i="16"/>
  <c r="AI114" i="2"/>
  <c r="P114" i="16"/>
  <c r="AI17" i="2"/>
  <c r="Q17" i="16" s="1"/>
  <c r="AJ296" i="2"/>
  <c r="Q296" i="16"/>
  <c r="AI552" i="2"/>
  <c r="Q552" i="16" s="1"/>
  <c r="AI117" i="2"/>
  <c r="Q117" i="16" s="1"/>
  <c r="AJ340" i="2"/>
  <c r="P340" i="16"/>
  <c r="AJ136" i="2"/>
  <c r="Q136" i="16"/>
  <c r="AI415" i="2"/>
  <c r="P415" i="16"/>
  <c r="AI62" i="2"/>
  <c r="P62" i="16"/>
  <c r="AJ174" i="2"/>
  <c r="Q174" i="16"/>
  <c r="AI99" i="2"/>
  <c r="P99" i="16"/>
  <c r="AI668" i="2"/>
  <c r="P668" i="16"/>
  <c r="P755" i="16"/>
  <c r="AI201" i="2"/>
  <c r="P201" i="16"/>
  <c r="AI337" i="2"/>
  <c r="Q337" i="16" s="1"/>
  <c r="W348" i="2"/>
  <c r="K348" i="16" s="1"/>
  <c r="W420" i="2"/>
  <c r="K420" i="16" s="1"/>
  <c r="W492" i="2"/>
  <c r="K492" i="16" s="1"/>
  <c r="W636" i="2"/>
  <c r="K636" i="16" s="1"/>
  <c r="W708" i="2"/>
  <c r="K708" i="16" s="1"/>
  <c r="W780" i="2"/>
  <c r="K780" i="16" s="1"/>
  <c r="W852" i="2"/>
  <c r="K852" i="16" s="1"/>
  <c r="W924" i="2"/>
  <c r="K924" i="16" s="1"/>
  <c r="W385" i="2"/>
  <c r="K385" i="16" s="1"/>
  <c r="W529" i="2"/>
  <c r="K529" i="16" s="1"/>
  <c r="W601" i="2"/>
  <c r="K601" i="16" s="1"/>
  <c r="W745" i="2"/>
  <c r="K745" i="16" s="1"/>
  <c r="AI808" i="2"/>
  <c r="P808" i="16"/>
  <c r="AI940" i="2"/>
  <c r="Q940" i="16" s="1"/>
  <c r="AI1145" i="2"/>
  <c r="P1145" i="16"/>
  <c r="P1031" i="16"/>
  <c r="W303" i="2"/>
  <c r="K303" i="16" s="1"/>
  <c r="W375" i="2"/>
  <c r="K375" i="16" s="1"/>
  <c r="W447" i="2"/>
  <c r="K447" i="16" s="1"/>
  <c r="W591" i="2"/>
  <c r="K591" i="16" s="1"/>
  <c r="W663" i="2"/>
  <c r="K663" i="16" s="1"/>
  <c r="W735" i="2"/>
  <c r="K735" i="16" s="1"/>
  <c r="W807" i="2"/>
  <c r="K807" i="16" s="1"/>
  <c r="W879" i="2"/>
  <c r="K879" i="16" s="1"/>
  <c r="AI80" i="2"/>
  <c r="P80" i="16"/>
  <c r="AJ449" i="2"/>
  <c r="Q449" i="16"/>
  <c r="AI617" i="2"/>
  <c r="P617" i="16"/>
  <c r="AJ944" i="2"/>
  <c r="Q944" i="16"/>
  <c r="AI412" i="2"/>
  <c r="Q412" i="16" s="1"/>
  <c r="AJ509" i="2"/>
  <c r="Q509" i="16"/>
  <c r="AI746" i="2"/>
  <c r="AN746" i="2" s="1"/>
  <c r="P746" i="16"/>
  <c r="P1092" i="16"/>
  <c r="AI147" i="2"/>
  <c r="P147" i="16"/>
  <c r="AI333" i="2"/>
  <c r="Q333" i="16" s="1"/>
  <c r="AI1021" i="2"/>
  <c r="Q1021" i="16" s="1"/>
  <c r="AJ913" i="2"/>
  <c r="Q913" i="16"/>
  <c r="P1047" i="16"/>
  <c r="AI363" i="2"/>
  <c r="P363" i="16"/>
  <c r="AM337" i="2"/>
  <c r="AI379" i="2"/>
  <c r="P379" i="16"/>
  <c r="AM490" i="2"/>
  <c r="AI39" i="2"/>
  <c r="P39" i="16"/>
  <c r="AM940" i="2"/>
  <c r="AM54" i="2"/>
  <c r="AM102" i="2"/>
  <c r="AI141" i="2"/>
  <c r="P141" i="16"/>
  <c r="AM552" i="2"/>
  <c r="AM614" i="2"/>
  <c r="AN659" i="2"/>
  <c r="AI1174" i="2"/>
  <c r="AM434" i="2"/>
  <c r="AM729" i="2"/>
  <c r="AM144" i="2"/>
  <c r="AM231" i="2"/>
  <c r="AN525" i="2"/>
  <c r="AM300" i="2"/>
  <c r="AM1092" i="2"/>
  <c r="AN762" i="2"/>
  <c r="AM803" i="2"/>
  <c r="AM864" i="2"/>
  <c r="AM1169" i="2"/>
  <c r="AM264" i="2"/>
  <c r="B930" i="16"/>
  <c r="Z931" i="2"/>
  <c r="B479" i="16"/>
  <c r="Z480" i="2"/>
  <c r="B981" i="16"/>
  <c r="B640" i="16"/>
  <c r="Z641" i="2"/>
  <c r="B1096" i="16"/>
  <c r="B322" i="16"/>
  <c r="B326" i="16"/>
  <c r="Z327" i="2"/>
  <c r="N52" i="16"/>
  <c r="N365" i="16"/>
  <c r="W14" i="2"/>
  <c r="K14" i="16" s="1"/>
  <c r="W218" i="2"/>
  <c r="K218" i="16" s="1"/>
  <c r="W494" i="2"/>
  <c r="K494" i="16" s="1"/>
  <c r="W63" i="2"/>
  <c r="K63" i="16" s="1"/>
  <c r="W219" i="2"/>
  <c r="K219" i="16" s="1"/>
  <c r="W831" i="2"/>
  <c r="K831" i="16" s="1"/>
  <c r="W136" i="2"/>
  <c r="K136" i="16" s="1"/>
  <c r="W496" i="2"/>
  <c r="K496" i="16" s="1"/>
  <c r="W53" i="2"/>
  <c r="K53" i="16" s="1"/>
  <c r="W233" i="2"/>
  <c r="K233" i="16" s="1"/>
  <c r="W713" i="2"/>
  <c r="K713" i="16" s="1"/>
  <c r="A331" i="16"/>
  <c r="T332" i="2"/>
  <c r="A332" i="16" s="1"/>
  <c r="W54" i="2"/>
  <c r="K54" i="16" s="1"/>
  <c r="W318" i="2"/>
  <c r="K318" i="16" s="1"/>
  <c r="U815" i="2"/>
  <c r="H815" i="16" s="1"/>
  <c r="H814" i="16"/>
  <c r="W91" i="2"/>
  <c r="K91" i="16" s="1"/>
  <c r="W247" i="2"/>
  <c r="K247" i="16" s="1"/>
  <c r="W116" i="2"/>
  <c r="K116" i="16" s="1"/>
  <c r="W560" i="2"/>
  <c r="K560" i="16" s="1"/>
  <c r="W45" i="2"/>
  <c r="K45" i="16" s="1"/>
  <c r="W237" i="2"/>
  <c r="K237" i="16" s="1"/>
  <c r="W34" i="2"/>
  <c r="K34" i="16" s="1"/>
  <c r="W202" i="2"/>
  <c r="K202" i="16" s="1"/>
  <c r="U724" i="2"/>
  <c r="H723" i="16"/>
  <c r="W143" i="2"/>
  <c r="K143" i="16" s="1"/>
  <c r="W755" i="2"/>
  <c r="K755" i="16" s="1"/>
  <c r="W12" i="2"/>
  <c r="K12" i="16" s="1"/>
  <c r="W180" i="2"/>
  <c r="K180" i="16" s="1"/>
  <c r="W564" i="2"/>
  <c r="K564" i="16" s="1"/>
  <c r="W157" i="2"/>
  <c r="K157" i="16" s="1"/>
  <c r="W1009" i="2"/>
  <c r="K1009" i="16" s="1"/>
  <c r="B284" i="16"/>
  <c r="Z285" i="2"/>
  <c r="W575" i="2"/>
  <c r="K575" i="16" s="1"/>
  <c r="W791" i="2"/>
  <c r="K791" i="16" s="1"/>
  <c r="AI1069" i="2"/>
  <c r="P1069" i="16"/>
  <c r="AI685" i="2"/>
  <c r="P685" i="16"/>
  <c r="AI825" i="2"/>
  <c r="AN825" i="2" s="1"/>
  <c r="P825" i="16"/>
  <c r="W158" i="2"/>
  <c r="K158" i="16" s="1"/>
  <c r="W230" i="2"/>
  <c r="K230" i="16" s="1"/>
  <c r="W374" i="2"/>
  <c r="K374" i="16" s="1"/>
  <c r="W518" i="2"/>
  <c r="K518" i="16" s="1"/>
  <c r="W662" i="2"/>
  <c r="K662" i="16" s="1"/>
  <c r="W734" i="2"/>
  <c r="K734" i="16" s="1"/>
  <c r="W806" i="2"/>
  <c r="K806" i="16" s="1"/>
  <c r="W878" i="2"/>
  <c r="K878" i="16" s="1"/>
  <c r="W1094" i="2"/>
  <c r="K1094" i="16" s="1"/>
  <c r="AI245" i="2"/>
  <c r="P245" i="16"/>
  <c r="AI797" i="2"/>
  <c r="P797" i="16"/>
  <c r="W112" i="2"/>
  <c r="K112" i="16" s="1"/>
  <c r="W473" i="2"/>
  <c r="K473" i="16" s="1"/>
  <c r="W689" i="2"/>
  <c r="K689" i="16" s="1"/>
  <c r="W761" i="2"/>
  <c r="K761" i="16" s="1"/>
  <c r="W414" i="2"/>
  <c r="K414" i="16" s="1"/>
  <c r="W558" i="2"/>
  <c r="K558" i="16" s="1"/>
  <c r="W702" i="2"/>
  <c r="K702" i="16" s="1"/>
  <c r="W379" i="2"/>
  <c r="K379" i="16" s="1"/>
  <c r="W523" i="2"/>
  <c r="K523" i="16" s="1"/>
  <c r="W595" i="2"/>
  <c r="K595" i="16" s="1"/>
  <c r="W667" i="2"/>
  <c r="K667" i="16" s="1"/>
  <c r="W512" i="2"/>
  <c r="K512" i="16" s="1"/>
  <c r="W728" i="2"/>
  <c r="K728" i="16" s="1"/>
  <c r="AJ638" i="2"/>
  <c r="Q638" i="16"/>
  <c r="AI1050" i="2"/>
  <c r="P1050" i="16"/>
  <c r="W309" i="2"/>
  <c r="K309" i="16" s="1"/>
  <c r="W381" i="2"/>
  <c r="K381" i="16" s="1"/>
  <c r="W597" i="2"/>
  <c r="K597" i="16" s="1"/>
  <c r="W741" i="2"/>
  <c r="K741" i="16" s="1"/>
  <c r="AI880" i="2"/>
  <c r="AN880" i="2" s="1"/>
  <c r="P880" i="16"/>
  <c r="W226" i="2"/>
  <c r="K226" i="16" s="1"/>
  <c r="W298" i="2"/>
  <c r="K298" i="16" s="1"/>
  <c r="W370" i="2"/>
  <c r="K370" i="16" s="1"/>
  <c r="W586" i="2"/>
  <c r="K586" i="16" s="1"/>
  <c r="W1001" i="2"/>
  <c r="K1001" i="16" s="1"/>
  <c r="W1145" i="2"/>
  <c r="K1145" i="16" s="1"/>
  <c r="W846" i="2"/>
  <c r="K846" i="16" s="1"/>
  <c r="W990" i="2"/>
  <c r="K990" i="16" s="1"/>
  <c r="W1134" i="2"/>
  <c r="K1134" i="16" s="1"/>
  <c r="W1206" i="2"/>
  <c r="K1206" i="16" s="1"/>
  <c r="W1015" i="2"/>
  <c r="K1015" i="16" s="1"/>
  <c r="W1087" i="2"/>
  <c r="K1087" i="16" s="1"/>
  <c r="W1159" i="2"/>
  <c r="K1159" i="16" s="1"/>
  <c r="W909" i="2"/>
  <c r="K909" i="16" s="1"/>
  <c r="W981" i="2"/>
  <c r="K981" i="16" s="1"/>
  <c r="W1053" i="2"/>
  <c r="K1053" i="16" s="1"/>
  <c r="W1125" i="2"/>
  <c r="K1125" i="16" s="1"/>
  <c r="W1197" i="2"/>
  <c r="K1197" i="16" s="1"/>
  <c r="W826" i="2"/>
  <c r="K826" i="16" s="1"/>
  <c r="W1042" i="2"/>
  <c r="K1042" i="16" s="1"/>
  <c r="W1114" i="2"/>
  <c r="K1114" i="16" s="1"/>
  <c r="W1186" i="2"/>
  <c r="K1186" i="16" s="1"/>
  <c r="W947" i="2"/>
  <c r="K947" i="16" s="1"/>
  <c r="W1019" i="2"/>
  <c r="K1019" i="16" s="1"/>
  <c r="W1091" i="2"/>
  <c r="K1091" i="16" s="1"/>
  <c r="W1163" i="2"/>
  <c r="K1163" i="16" s="1"/>
  <c r="W960" i="2"/>
  <c r="K960" i="16" s="1"/>
  <c r="W841" i="2"/>
  <c r="K841" i="16" s="1"/>
  <c r="W913" i="2"/>
  <c r="K913" i="16" s="1"/>
  <c r="W985" i="2"/>
  <c r="K985" i="16" s="1"/>
  <c r="W1057" i="2"/>
  <c r="K1057" i="16" s="1"/>
  <c r="W1129" i="2"/>
  <c r="K1129" i="16" s="1"/>
  <c r="W1201" i="2"/>
  <c r="K1201" i="16" s="1"/>
  <c r="W975" i="2"/>
  <c r="K975" i="16" s="1"/>
  <c r="W1119" i="2"/>
  <c r="K1119" i="16" s="1"/>
  <c r="W1191" i="2"/>
  <c r="K1191" i="16" s="1"/>
  <c r="W868" i="2"/>
  <c r="K868" i="16" s="1"/>
  <c r="W1012" i="2"/>
  <c r="K1012" i="16" s="1"/>
  <c r="W1084" i="2"/>
  <c r="K1084" i="16" s="1"/>
  <c r="W1156" i="2"/>
  <c r="K1156" i="16" s="1"/>
  <c r="AM125" i="2"/>
  <c r="AI1025" i="2"/>
  <c r="P1025" i="16"/>
  <c r="AM1085" i="2"/>
  <c r="AI89" i="2"/>
  <c r="P89" i="16"/>
  <c r="AM66" i="2"/>
  <c r="AM17" i="2"/>
  <c r="AI476" i="2"/>
  <c r="P476" i="16"/>
  <c r="AM646" i="2"/>
  <c r="AM494" i="2"/>
  <c r="AM888" i="2"/>
  <c r="AM384" i="2"/>
  <c r="AI423" i="2"/>
  <c r="P423" i="16"/>
  <c r="AM574" i="2"/>
  <c r="AM649" i="2"/>
  <c r="AM261" i="2"/>
  <c r="AN816" i="2"/>
  <c r="AM334" i="2"/>
  <c r="AM681" i="2"/>
  <c r="AN516" i="2"/>
  <c r="AM1198" i="2"/>
  <c r="N353" i="16"/>
  <c r="N855" i="16"/>
  <c r="N433" i="16"/>
  <c r="N839" i="16"/>
  <c r="N244" i="16"/>
  <c r="N887" i="16"/>
  <c r="N689" i="16"/>
  <c r="N437" i="16"/>
  <c r="N947" i="16"/>
  <c r="N134" i="16"/>
  <c r="N591" i="16"/>
  <c r="N122" i="16"/>
  <c r="AF123" i="2"/>
  <c r="N777" i="16"/>
  <c r="N640" i="16"/>
  <c r="AF641" i="2"/>
  <c r="N517" i="16"/>
  <c r="AF518" i="2"/>
  <c r="N822" i="16"/>
  <c r="N712" i="16"/>
  <c r="N1102" i="16"/>
  <c r="T1098" i="2"/>
  <c r="AP1098" i="2" s="1"/>
  <c r="A1097" i="16"/>
  <c r="H672" i="16"/>
  <c r="U673" i="2"/>
  <c r="W26" i="2"/>
  <c r="K26" i="16" s="1"/>
  <c r="W242" i="2"/>
  <c r="K242" i="16" s="1"/>
  <c r="W506" i="2"/>
  <c r="K506" i="16" s="1"/>
  <c r="W75" i="2"/>
  <c r="K75" i="16" s="1"/>
  <c r="W231" i="2"/>
  <c r="K231" i="16" s="1"/>
  <c r="W843" i="2"/>
  <c r="K843" i="16" s="1"/>
  <c r="W160" i="2"/>
  <c r="K160" i="16" s="1"/>
  <c r="W616" i="2"/>
  <c r="K616" i="16" s="1"/>
  <c r="U342" i="2"/>
  <c r="H342" i="16" s="1"/>
  <c r="H341" i="16"/>
  <c r="W65" i="2"/>
  <c r="K65" i="16" s="1"/>
  <c r="W245" i="2"/>
  <c r="K245" i="16" s="1"/>
  <c r="W845" i="2"/>
  <c r="K845" i="16" s="1"/>
  <c r="W66" i="2"/>
  <c r="K66" i="16" s="1"/>
  <c r="W366" i="2"/>
  <c r="K366" i="16" s="1"/>
  <c r="W103" i="2"/>
  <c r="K103" i="16" s="1"/>
  <c r="W259" i="2"/>
  <c r="K259" i="16" s="1"/>
  <c r="W128" i="2"/>
  <c r="K128" i="16" s="1"/>
  <c r="W644" i="2"/>
  <c r="K644" i="16" s="1"/>
  <c r="W57" i="2"/>
  <c r="K57" i="16" s="1"/>
  <c r="W297" i="2"/>
  <c r="K297" i="16" s="1"/>
  <c r="W46" i="2"/>
  <c r="K46" i="16" s="1"/>
  <c r="W238" i="2"/>
  <c r="K238" i="16" s="1"/>
  <c r="W155" i="2"/>
  <c r="K155" i="16" s="1"/>
  <c r="W24" i="2"/>
  <c r="K24" i="16" s="1"/>
  <c r="W204" i="2"/>
  <c r="K204" i="16" s="1"/>
  <c r="W576" i="2"/>
  <c r="K576" i="16" s="1"/>
  <c r="W13" i="2"/>
  <c r="K13" i="16" s="1"/>
  <c r="W169" i="2"/>
  <c r="K169" i="16" s="1"/>
  <c r="B223" i="16"/>
  <c r="Z224" i="2"/>
  <c r="N223" i="16"/>
  <c r="AF224" i="2"/>
  <c r="B790" i="16"/>
  <c r="O579" i="16"/>
  <c r="AG580" i="2"/>
  <c r="AI537" i="2"/>
  <c r="P537" i="16"/>
  <c r="AI246" i="2"/>
  <c r="P246" i="16"/>
  <c r="AI162" i="2"/>
  <c r="P162" i="16"/>
  <c r="AI416" i="2"/>
  <c r="P416" i="16"/>
  <c r="AI87" i="2"/>
  <c r="P87" i="16"/>
  <c r="W503" i="2"/>
  <c r="K503" i="16" s="1"/>
  <c r="W647" i="2"/>
  <c r="K647" i="16" s="1"/>
  <c r="W719" i="2"/>
  <c r="K719" i="16" s="1"/>
  <c r="AI213" i="2"/>
  <c r="P213" i="16"/>
  <c r="W590" i="2"/>
  <c r="K590" i="16" s="1"/>
  <c r="W950" i="2"/>
  <c r="K950" i="16" s="1"/>
  <c r="W1022" i="2"/>
  <c r="K1022" i="16" s="1"/>
  <c r="W1166" i="2"/>
  <c r="K1166" i="16" s="1"/>
  <c r="W184" i="2"/>
  <c r="K184" i="16" s="1"/>
  <c r="W400" i="2"/>
  <c r="K400" i="16" s="1"/>
  <c r="W544" i="2"/>
  <c r="K544" i="16" s="1"/>
  <c r="W760" i="2"/>
  <c r="K760" i="16" s="1"/>
  <c r="AI1086" i="2"/>
  <c r="P1086" i="16"/>
  <c r="AI1109" i="2"/>
  <c r="P1109" i="16"/>
  <c r="W329" i="2"/>
  <c r="K329" i="16" s="1"/>
  <c r="W401" i="2"/>
  <c r="K401" i="16" s="1"/>
  <c r="W617" i="2"/>
  <c r="K617" i="16" s="1"/>
  <c r="W833" i="2"/>
  <c r="K833" i="16" s="1"/>
  <c r="AI719" i="2"/>
  <c r="P719" i="16"/>
  <c r="AI859" i="2"/>
  <c r="P859" i="16"/>
  <c r="W198" i="2"/>
  <c r="K198" i="16" s="1"/>
  <c r="W342" i="2"/>
  <c r="K342" i="16" s="1"/>
  <c r="W486" i="2"/>
  <c r="K486" i="16" s="1"/>
  <c r="W630" i="2"/>
  <c r="K630" i="16" s="1"/>
  <c r="W774" i="2"/>
  <c r="K774" i="16" s="1"/>
  <c r="AI800" i="2"/>
  <c r="P800" i="16"/>
  <c r="W235" i="2"/>
  <c r="K235" i="16" s="1"/>
  <c r="W307" i="2"/>
  <c r="K307" i="16" s="1"/>
  <c r="W451" i="2"/>
  <c r="K451" i="16" s="1"/>
  <c r="W739" i="2"/>
  <c r="K739" i="16" s="1"/>
  <c r="W811" i="2"/>
  <c r="K811" i="16" s="1"/>
  <c r="W883" i="2"/>
  <c r="K883" i="16" s="1"/>
  <c r="AI159" i="2"/>
  <c r="P159" i="16"/>
  <c r="W152" i="2"/>
  <c r="K152" i="16" s="1"/>
  <c r="W296" i="2"/>
  <c r="K296" i="16" s="1"/>
  <c r="W440" i="2"/>
  <c r="K440" i="16" s="1"/>
  <c r="W584" i="2"/>
  <c r="K584" i="16" s="1"/>
  <c r="W656" i="2"/>
  <c r="K656" i="16" s="1"/>
  <c r="W453" i="2"/>
  <c r="K453" i="16" s="1"/>
  <c r="W525" i="2"/>
  <c r="K525" i="16" s="1"/>
  <c r="W669" i="2"/>
  <c r="K669" i="16" s="1"/>
  <c r="W154" i="2"/>
  <c r="K154" i="16" s="1"/>
  <c r="W514" i="2"/>
  <c r="K514" i="16" s="1"/>
  <c r="W730" i="2"/>
  <c r="K730" i="16" s="1"/>
  <c r="W929" i="2"/>
  <c r="K929" i="16" s="1"/>
  <c r="W918" i="2"/>
  <c r="K918" i="16" s="1"/>
  <c r="W764" i="2"/>
  <c r="K764" i="16" s="1"/>
  <c r="W908" i="2"/>
  <c r="K908" i="16" s="1"/>
  <c r="W980" i="2"/>
  <c r="K980" i="16" s="1"/>
  <c r="W1052" i="2"/>
  <c r="K1052" i="16" s="1"/>
  <c r="W1124" i="2"/>
  <c r="K1124" i="16" s="1"/>
  <c r="W1196" i="2"/>
  <c r="K1196" i="16" s="1"/>
  <c r="W837" i="2"/>
  <c r="K837" i="16" s="1"/>
  <c r="W898" i="2"/>
  <c r="K898" i="16" s="1"/>
  <c r="W970" i="2"/>
  <c r="K970" i="16" s="1"/>
  <c r="W875" i="2"/>
  <c r="K875" i="16" s="1"/>
  <c r="W1032" i="2"/>
  <c r="K1032" i="16" s="1"/>
  <c r="W1104" i="2"/>
  <c r="K1104" i="16" s="1"/>
  <c r="W1176" i="2"/>
  <c r="K1176" i="16" s="1"/>
  <c r="W940" i="2"/>
  <c r="K940" i="16" s="1"/>
  <c r="O254" i="16"/>
  <c r="AG255" i="2"/>
  <c r="AI77" i="2"/>
  <c r="P77" i="16"/>
  <c r="AI16" i="2"/>
  <c r="P16" i="16"/>
  <c r="AI153" i="2"/>
  <c r="P153" i="16"/>
  <c r="AI309" i="2"/>
  <c r="P309" i="16"/>
  <c r="AI41" i="2"/>
  <c r="P41" i="16"/>
  <c r="AI310" i="2"/>
  <c r="Q310" i="16" s="1"/>
  <c r="AN569" i="2"/>
  <c r="Q569" i="16"/>
  <c r="P501" i="16"/>
  <c r="AI74" i="2"/>
  <c r="Q74" i="16" s="1"/>
  <c r="AI125" i="2"/>
  <c r="Q125" i="16" s="1"/>
  <c r="AI212" i="2"/>
  <c r="P212" i="16"/>
  <c r="AI349" i="2"/>
  <c r="Q349" i="16" s="1"/>
  <c r="AJ695" i="2"/>
  <c r="Q695" i="16"/>
  <c r="AJ834" i="2"/>
  <c r="Q834" i="16"/>
  <c r="AI226" i="2"/>
  <c r="P226" i="16"/>
  <c r="AI1199" i="2"/>
  <c r="AN1199" i="2" s="1"/>
  <c r="P1199" i="16"/>
  <c r="W216" i="2"/>
  <c r="K216" i="16" s="1"/>
  <c r="W288" i="2"/>
  <c r="K288" i="16" s="1"/>
  <c r="W504" i="2"/>
  <c r="K504" i="16" s="1"/>
  <c r="W720" i="2"/>
  <c r="K720" i="16" s="1"/>
  <c r="W792" i="2"/>
  <c r="K792" i="16" s="1"/>
  <c r="W864" i="2"/>
  <c r="K864" i="16" s="1"/>
  <c r="AI781" i="2"/>
  <c r="P781" i="16"/>
  <c r="AI1085" i="2"/>
  <c r="Q1085" i="16" s="1"/>
  <c r="W181" i="2"/>
  <c r="K181" i="16" s="1"/>
  <c r="W253" i="2"/>
  <c r="K253" i="16" s="1"/>
  <c r="W325" i="2"/>
  <c r="K325" i="16" s="1"/>
  <c r="W541" i="2"/>
  <c r="K541" i="16" s="1"/>
  <c r="W613" i="2"/>
  <c r="K613" i="16" s="1"/>
  <c r="W685" i="2"/>
  <c r="K685" i="16" s="1"/>
  <c r="W757" i="2"/>
  <c r="K757" i="16" s="1"/>
  <c r="AI894" i="2"/>
  <c r="P894" i="16"/>
  <c r="AI698" i="2"/>
  <c r="Q698" i="16" s="1"/>
  <c r="AI837" i="2"/>
  <c r="AN837" i="2" s="1"/>
  <c r="P837" i="16"/>
  <c r="AJ914" i="2"/>
  <c r="Q914" i="16"/>
  <c r="W459" i="2"/>
  <c r="K459" i="16" s="1"/>
  <c r="W531" i="2"/>
  <c r="K531" i="16" s="1"/>
  <c r="W603" i="2"/>
  <c r="K603" i="16" s="1"/>
  <c r="W675" i="2"/>
  <c r="K675" i="16" s="1"/>
  <c r="W747" i="2"/>
  <c r="K747" i="16" s="1"/>
  <c r="W819" i="2"/>
  <c r="K819" i="16" s="1"/>
  <c r="AJ1209" i="2"/>
  <c r="P1209" i="16"/>
  <c r="AI92" i="2"/>
  <c r="Q92" i="16" s="1"/>
  <c r="AI494" i="2"/>
  <c r="Q494" i="16" s="1"/>
  <c r="AI646" i="2"/>
  <c r="Q646" i="16" s="1"/>
  <c r="AI1136" i="2"/>
  <c r="Q1136" i="16" s="1"/>
  <c r="AI287" i="2"/>
  <c r="P287" i="16"/>
  <c r="AI876" i="2"/>
  <c r="AN876" i="2" s="1"/>
  <c r="P876" i="16"/>
  <c r="AJ196" i="2"/>
  <c r="Q196" i="16"/>
  <c r="AN497" i="2"/>
  <c r="Q497" i="16"/>
  <c r="AI649" i="2"/>
  <c r="Q649" i="16" s="1"/>
  <c r="AI774" i="2"/>
  <c r="AJ774" i="2" s="1"/>
  <c r="AI10" i="2"/>
  <c r="Q10" i="16" s="1"/>
  <c r="AI197" i="2"/>
  <c r="P197" i="16"/>
  <c r="AI512" i="2"/>
  <c r="P512" i="16"/>
  <c r="AI934" i="2"/>
  <c r="P934" i="16"/>
  <c r="AI789" i="2"/>
  <c r="P789" i="16"/>
  <c r="AI1063" i="2"/>
  <c r="AN1063" i="2" s="1"/>
  <c r="P1063" i="16"/>
  <c r="AJ528" i="2"/>
  <c r="Q528" i="16"/>
  <c r="AI939" i="2"/>
  <c r="AM1039" i="2"/>
  <c r="AM836" i="2"/>
  <c r="AM227" i="2"/>
  <c r="AI269" i="2"/>
  <c r="P269" i="16"/>
  <c r="AI1042" i="2"/>
  <c r="P1042" i="16"/>
  <c r="AI191" i="2"/>
  <c r="P191" i="16"/>
  <c r="AM325" i="2"/>
  <c r="AN715" i="2"/>
  <c r="AI755" i="2"/>
  <c r="Q755" i="16" s="1"/>
  <c r="AI856" i="2"/>
  <c r="P856" i="16"/>
  <c r="AM1043" i="2"/>
  <c r="AI771" i="2"/>
  <c r="P771" i="16"/>
  <c r="AN449" i="2"/>
  <c r="AM945" i="2"/>
  <c r="AM1046" i="2"/>
  <c r="AI93" i="2"/>
  <c r="P93" i="16"/>
  <c r="AN436" i="2"/>
  <c r="AN677" i="2"/>
  <c r="AM786" i="2"/>
  <c r="AM829" i="2"/>
  <c r="AM106" i="2"/>
  <c r="AN247" i="2"/>
  <c r="AM1048" i="2"/>
  <c r="AI171" i="2"/>
  <c r="P171" i="16"/>
  <c r="AI1092" i="2"/>
  <c r="Q1092" i="16" s="1"/>
  <c r="AM1021" i="2"/>
  <c r="AM1181" i="2"/>
  <c r="AM347" i="2"/>
  <c r="AM936" i="2"/>
  <c r="AN924" i="2"/>
  <c r="AI1198" i="2"/>
  <c r="Q1198" i="16" s="1"/>
  <c r="B301" i="16"/>
  <c r="B636" i="16"/>
  <c r="B724" i="16"/>
  <c r="Z725" i="2"/>
  <c r="B368" i="16"/>
  <c r="N177" i="16"/>
  <c r="N406" i="16"/>
  <c r="AF407" i="2"/>
  <c r="W38" i="2"/>
  <c r="K38" i="16" s="1"/>
  <c r="W254" i="2"/>
  <c r="K254" i="16" s="1"/>
  <c r="W542" i="2"/>
  <c r="K542" i="16" s="1"/>
  <c r="O78" i="16"/>
  <c r="AG79" i="2"/>
  <c r="H78" i="16"/>
  <c r="U79" i="2"/>
  <c r="H79" i="16" s="1"/>
  <c r="W87" i="2"/>
  <c r="K87" i="16" s="1"/>
  <c r="W243" i="2"/>
  <c r="K243" i="16" s="1"/>
  <c r="W891" i="2"/>
  <c r="K891" i="16" s="1"/>
  <c r="W4" i="2"/>
  <c r="K4" i="16" s="1"/>
  <c r="W172" i="2"/>
  <c r="K172" i="16" s="1"/>
  <c r="W628" i="2"/>
  <c r="K628" i="16" s="1"/>
  <c r="W77" i="2"/>
  <c r="K77" i="16" s="1"/>
  <c r="W257" i="2"/>
  <c r="K257" i="16" s="1"/>
  <c r="W78" i="2"/>
  <c r="K78" i="16" s="1"/>
  <c r="W450" i="2"/>
  <c r="K450" i="16" s="1"/>
  <c r="H861" i="16"/>
  <c r="U862" i="2"/>
  <c r="W115" i="2"/>
  <c r="K115" i="16" s="1"/>
  <c r="W319" i="2"/>
  <c r="K319" i="16" s="1"/>
  <c r="A542" i="16"/>
  <c r="T543" i="2"/>
  <c r="AP543" i="2" s="1"/>
  <c r="W140" i="2"/>
  <c r="K140" i="16" s="1"/>
  <c r="W752" i="2"/>
  <c r="K752" i="16" s="1"/>
  <c r="H817" i="16"/>
  <c r="U818" i="2"/>
  <c r="W69" i="2"/>
  <c r="K69" i="16" s="1"/>
  <c r="W333" i="2"/>
  <c r="K333" i="16" s="1"/>
  <c r="W58" i="2"/>
  <c r="K58" i="16" s="1"/>
  <c r="W250" i="2"/>
  <c r="K250" i="16" s="1"/>
  <c r="W11" i="2"/>
  <c r="K11" i="16" s="1"/>
  <c r="W167" i="2"/>
  <c r="K167" i="16" s="1"/>
  <c r="W36" i="2"/>
  <c r="K36" i="16" s="1"/>
  <c r="W228" i="2"/>
  <c r="K228" i="16" s="1"/>
  <c r="W888" i="2"/>
  <c r="K888" i="16" s="1"/>
  <c r="U177" i="2"/>
  <c r="H177" i="16" s="1"/>
  <c r="H176" i="16"/>
  <c r="H406" i="16"/>
  <c r="U407" i="2"/>
  <c r="W25" i="2"/>
  <c r="K25" i="16" s="1"/>
  <c r="W193" i="2"/>
  <c r="K193" i="16" s="1"/>
  <c r="B964" i="16"/>
  <c r="B400" i="16"/>
  <c r="Z401" i="2"/>
  <c r="W347" i="2"/>
  <c r="K347" i="16" s="1"/>
  <c r="AI65" i="2"/>
  <c r="P65" i="16"/>
  <c r="AI128" i="2"/>
  <c r="P128" i="16"/>
  <c r="AI154" i="2"/>
  <c r="P154" i="16"/>
  <c r="AI101" i="2"/>
  <c r="P101" i="16"/>
  <c r="AJ850" i="2"/>
  <c r="Q850" i="16"/>
  <c r="W371" i="2"/>
  <c r="K371" i="16" s="1"/>
  <c r="W803" i="2"/>
  <c r="K803" i="16" s="1"/>
  <c r="AI1030" i="2"/>
  <c r="AN1030" i="2" s="1"/>
  <c r="P1030" i="16"/>
  <c r="W458" i="2"/>
  <c r="K458" i="16" s="1"/>
  <c r="W602" i="2"/>
  <c r="K602" i="16" s="1"/>
  <c r="W746" i="2"/>
  <c r="K746" i="16" s="1"/>
  <c r="W818" i="2"/>
  <c r="K818" i="16" s="1"/>
  <c r="W890" i="2"/>
  <c r="K890" i="16" s="1"/>
  <c r="W1034" i="2"/>
  <c r="K1034" i="16" s="1"/>
  <c r="W1178" i="2"/>
  <c r="K1178" i="16" s="1"/>
  <c r="AJ6" i="2"/>
  <c r="Q6" i="16"/>
  <c r="AI272" i="2"/>
  <c r="P272" i="16"/>
  <c r="W772" i="2"/>
  <c r="K772" i="16" s="1"/>
  <c r="W557" i="2"/>
  <c r="K557" i="16" s="1"/>
  <c r="W701" i="2"/>
  <c r="K701" i="16" s="1"/>
  <c r="W773" i="2"/>
  <c r="K773" i="16" s="1"/>
  <c r="W282" i="2"/>
  <c r="K282" i="16" s="1"/>
  <c r="W354" i="2"/>
  <c r="K354" i="16" s="1"/>
  <c r="W786" i="2"/>
  <c r="K786" i="16" s="1"/>
  <c r="AI71" i="2"/>
  <c r="P71" i="16"/>
  <c r="AI386" i="2"/>
  <c r="P386" i="16"/>
  <c r="AI1091" i="2"/>
  <c r="AN1091" i="2" s="1"/>
  <c r="P1091" i="16"/>
  <c r="W463" i="2"/>
  <c r="K463" i="16" s="1"/>
  <c r="W535" i="2"/>
  <c r="K535" i="16" s="1"/>
  <c r="W679" i="2"/>
  <c r="K679" i="16" s="1"/>
  <c r="W823" i="2"/>
  <c r="K823" i="16" s="1"/>
  <c r="AI222" i="2"/>
  <c r="P222" i="16"/>
  <c r="AN560" i="2"/>
  <c r="W236" i="2"/>
  <c r="K236" i="16" s="1"/>
  <c r="W452" i="2"/>
  <c r="K452" i="16" s="1"/>
  <c r="W668" i="2"/>
  <c r="K668" i="16" s="1"/>
  <c r="W740" i="2"/>
  <c r="K740" i="16" s="1"/>
  <c r="W177" i="2"/>
  <c r="K177" i="16" s="1"/>
  <c r="W465" i="2"/>
  <c r="K465" i="16" s="1"/>
  <c r="W537" i="2"/>
  <c r="K537" i="16" s="1"/>
  <c r="W681" i="2"/>
  <c r="K681" i="16" s="1"/>
  <c r="W382" i="2"/>
  <c r="K382" i="16" s="1"/>
  <c r="W526" i="2"/>
  <c r="K526" i="16" s="1"/>
  <c r="W670" i="2"/>
  <c r="K670" i="16" s="1"/>
  <c r="W742" i="2"/>
  <c r="K742" i="16" s="1"/>
  <c r="W941" i="2"/>
  <c r="K941" i="16" s="1"/>
  <c r="W1157" i="2"/>
  <c r="K1157" i="16" s="1"/>
  <c r="W858" i="2"/>
  <c r="K858" i="16" s="1"/>
  <c r="W930" i="2"/>
  <c r="K930" i="16" s="1"/>
  <c r="W1002" i="2"/>
  <c r="K1002" i="16" s="1"/>
  <c r="W1074" i="2"/>
  <c r="K1074" i="16" s="1"/>
  <c r="W1146" i="2"/>
  <c r="K1146" i="16" s="1"/>
  <c r="W1027" i="2"/>
  <c r="K1027" i="16" s="1"/>
  <c r="W1099" i="2"/>
  <c r="K1099" i="16" s="1"/>
  <c r="W1171" i="2"/>
  <c r="K1171" i="16" s="1"/>
  <c r="W848" i="2"/>
  <c r="K848" i="16" s="1"/>
  <c r="W920" i="2"/>
  <c r="K920" i="16" s="1"/>
  <c r="W992" i="2"/>
  <c r="K992" i="16" s="1"/>
  <c r="W1064" i="2"/>
  <c r="K1064" i="16" s="1"/>
  <c r="W1136" i="2"/>
  <c r="K1136" i="16" s="1"/>
  <c r="W1208" i="2"/>
  <c r="K1208" i="16" s="1"/>
  <c r="W993" i="2"/>
  <c r="K993" i="16" s="1"/>
  <c r="W1065" i="2"/>
  <c r="K1065" i="16" s="1"/>
  <c r="W1137" i="2"/>
  <c r="K1137" i="16" s="1"/>
  <c r="W1209" i="2"/>
  <c r="K1209" i="16" s="1"/>
  <c r="W959" i="2"/>
  <c r="K959" i="16" s="1"/>
  <c r="W1031" i="2"/>
  <c r="K1031" i="16" s="1"/>
  <c r="W1103" i="2"/>
  <c r="K1103" i="16" s="1"/>
  <c r="W1175" i="2"/>
  <c r="K1175" i="16" s="1"/>
  <c r="W853" i="2"/>
  <c r="K853" i="16" s="1"/>
  <c r="W925" i="2"/>
  <c r="K925" i="16" s="1"/>
  <c r="W997" i="2"/>
  <c r="K997" i="16" s="1"/>
  <c r="W1069" i="2"/>
  <c r="K1069" i="16" s="1"/>
  <c r="W880" i="2"/>
  <c r="K880" i="16" s="1"/>
  <c r="W952" i="2"/>
  <c r="K952" i="16" s="1"/>
  <c r="AI1211" i="2"/>
  <c r="P1211" i="16"/>
  <c r="AM351" i="2"/>
  <c r="AM698" i="2"/>
  <c r="AM1001" i="2"/>
  <c r="AM381" i="2"/>
  <c r="AN770" i="2"/>
  <c r="AM872" i="2"/>
  <c r="AN914" i="2"/>
  <c r="AM310" i="2"/>
  <c r="AM784" i="2"/>
  <c r="AN1188" i="2"/>
  <c r="AM18" i="2"/>
  <c r="AN704" i="2"/>
  <c r="AI144" i="2"/>
  <c r="P144" i="16"/>
  <c r="AM1047" i="2"/>
  <c r="AM1090" i="2"/>
  <c r="AM496" i="2"/>
  <c r="AM1061" i="2"/>
  <c r="AI261" i="2"/>
  <c r="Q261" i="16" s="1"/>
  <c r="AN1112" i="2"/>
  <c r="AM593" i="2"/>
  <c r="AM749" i="2"/>
  <c r="AM951" i="2"/>
  <c r="N446" i="16"/>
  <c r="N871" i="16"/>
  <c r="N553" i="16"/>
  <c r="N477" i="16"/>
  <c r="N916" i="16"/>
  <c r="N342" i="16"/>
  <c r="N799" i="16"/>
  <c r="N510" i="16"/>
  <c r="N978" i="16"/>
  <c r="N861" i="16"/>
  <c r="AF862" i="2"/>
  <c r="N1093" i="16"/>
  <c r="N317" i="16"/>
  <c r="N865" i="16"/>
  <c r="N48" i="16"/>
  <c r="N533" i="16"/>
  <c r="AF534" i="2"/>
  <c r="AF535" i="2" s="1"/>
  <c r="N535" i="16" s="1"/>
  <c r="N986" i="16"/>
  <c r="N739" i="16"/>
  <c r="N1131" i="16"/>
  <c r="AQ729" i="2"/>
  <c r="AS729" i="2" s="1"/>
  <c r="AU729" i="2" s="1"/>
  <c r="W50" i="2"/>
  <c r="K50" i="16" s="1"/>
  <c r="W302" i="2"/>
  <c r="K302" i="16" s="1"/>
  <c r="W650" i="2"/>
  <c r="K650" i="16" s="1"/>
  <c r="W99" i="2"/>
  <c r="K99" i="16" s="1"/>
  <c r="W255" i="2"/>
  <c r="K255" i="16" s="1"/>
  <c r="W1011" i="2"/>
  <c r="K1011" i="16" s="1"/>
  <c r="W16" i="2"/>
  <c r="K16" i="16" s="1"/>
  <c r="W208" i="2"/>
  <c r="K208" i="16" s="1"/>
  <c r="W688" i="2"/>
  <c r="K688" i="16" s="1"/>
  <c r="A640" i="16"/>
  <c r="T641" i="2"/>
  <c r="A641" i="16" s="1"/>
  <c r="O618" i="16"/>
  <c r="AG619" i="2"/>
  <c r="AG620" i="2" s="1"/>
  <c r="AN620" i="2" s="1"/>
  <c r="W89" i="2"/>
  <c r="K89" i="16" s="1"/>
  <c r="W281" i="2"/>
  <c r="K281" i="16" s="1"/>
  <c r="W90" i="2"/>
  <c r="K90" i="16" s="1"/>
  <c r="W498" i="2"/>
  <c r="K498" i="16" s="1"/>
  <c r="W127" i="2"/>
  <c r="K127" i="16" s="1"/>
  <c r="W355" i="2"/>
  <c r="K355" i="16" s="1"/>
  <c r="W164" i="2"/>
  <c r="K164" i="16" s="1"/>
  <c r="W776" i="2"/>
  <c r="K776" i="16" s="1"/>
  <c r="O817" i="16"/>
  <c r="AG818" i="2"/>
  <c r="W81" i="2"/>
  <c r="K81" i="16" s="1"/>
  <c r="W357" i="2"/>
  <c r="K357" i="16" s="1"/>
  <c r="H640" i="16"/>
  <c r="U641" i="2"/>
  <c r="W70" i="2"/>
  <c r="K70" i="16" s="1"/>
  <c r="W262" i="2"/>
  <c r="K262" i="16" s="1"/>
  <c r="W23" i="2"/>
  <c r="K23" i="16" s="1"/>
  <c r="W179" i="2"/>
  <c r="K179" i="16" s="1"/>
  <c r="B131" i="16"/>
  <c r="Z132" i="2"/>
  <c r="W48" i="2"/>
  <c r="K48" i="16" s="1"/>
  <c r="W252" i="2"/>
  <c r="K252" i="16" s="1"/>
  <c r="W936" i="2"/>
  <c r="K936" i="16" s="1"/>
  <c r="W37" i="2"/>
  <c r="K37" i="16" s="1"/>
  <c r="W241" i="2"/>
  <c r="K241" i="16" s="1"/>
  <c r="B413" i="16"/>
  <c r="Z414" i="2"/>
  <c r="W731" i="2"/>
  <c r="K731" i="16" s="1"/>
  <c r="AJ1075" i="2"/>
  <c r="P1075" i="16"/>
  <c r="AI240" i="2"/>
  <c r="P240" i="16"/>
  <c r="W314" i="2"/>
  <c r="K314" i="16" s="1"/>
  <c r="W386" i="2"/>
  <c r="K386" i="16" s="1"/>
  <c r="W530" i="2"/>
  <c r="K530" i="16" s="1"/>
  <c r="W674" i="2"/>
  <c r="K674" i="16" s="1"/>
  <c r="W962" i="2"/>
  <c r="K962" i="16" s="1"/>
  <c r="W1106" i="2"/>
  <c r="K1106" i="16" s="1"/>
  <c r="W268" i="2"/>
  <c r="K268" i="16" s="1"/>
  <c r="W556" i="2"/>
  <c r="K556" i="16" s="1"/>
  <c r="W700" i="2"/>
  <c r="K700" i="16" s="1"/>
  <c r="W269" i="2"/>
  <c r="K269" i="16" s="1"/>
  <c r="W485" i="2"/>
  <c r="K485" i="16" s="1"/>
  <c r="H541" i="16"/>
  <c r="U542" i="2"/>
  <c r="W426" i="2"/>
  <c r="K426" i="16" s="1"/>
  <c r="W570" i="2"/>
  <c r="K570" i="16" s="1"/>
  <c r="W714" i="2"/>
  <c r="K714" i="16" s="1"/>
  <c r="W607" i="2"/>
  <c r="K607" i="16" s="1"/>
  <c r="W751" i="2"/>
  <c r="K751" i="16" s="1"/>
  <c r="W895" i="2"/>
  <c r="K895" i="16" s="1"/>
  <c r="W380" i="2"/>
  <c r="K380" i="16" s="1"/>
  <c r="W524" i="2"/>
  <c r="K524" i="16" s="1"/>
  <c r="W596" i="2"/>
  <c r="K596" i="16" s="1"/>
  <c r="W249" i="2"/>
  <c r="K249" i="16" s="1"/>
  <c r="W393" i="2"/>
  <c r="K393" i="16" s="1"/>
  <c r="W609" i="2"/>
  <c r="K609" i="16" s="1"/>
  <c r="W753" i="2"/>
  <c r="K753" i="16" s="1"/>
  <c r="W310" i="2"/>
  <c r="K310" i="16" s="1"/>
  <c r="W1013" i="2"/>
  <c r="K1013" i="16" s="1"/>
  <c r="W955" i="2"/>
  <c r="K955" i="16" s="1"/>
  <c r="W849" i="2"/>
  <c r="K849" i="16" s="1"/>
  <c r="W921" i="2"/>
  <c r="K921" i="16" s="1"/>
  <c r="W838" i="2"/>
  <c r="K838" i="16" s="1"/>
  <c r="W910" i="2"/>
  <c r="K910" i="16" s="1"/>
  <c r="W982" i="2"/>
  <c r="K982" i="16" s="1"/>
  <c r="W1054" i="2"/>
  <c r="K1054" i="16" s="1"/>
  <c r="W1126" i="2"/>
  <c r="K1126" i="16" s="1"/>
  <c r="W1198" i="2"/>
  <c r="K1198" i="16" s="1"/>
  <c r="W887" i="2"/>
  <c r="K887" i="16" s="1"/>
  <c r="W972" i="2"/>
  <c r="K972" i="16" s="1"/>
  <c r="W1044" i="2"/>
  <c r="K1044" i="16" s="1"/>
  <c r="W1116" i="2"/>
  <c r="K1116" i="16" s="1"/>
  <c r="W1188" i="2"/>
  <c r="K1188" i="16" s="1"/>
  <c r="W1141" i="2"/>
  <c r="K1141" i="16" s="1"/>
  <c r="W915" i="2"/>
  <c r="K915" i="16" s="1"/>
  <c r="W987" i="2"/>
  <c r="K987" i="16" s="1"/>
  <c r="W1059" i="2"/>
  <c r="K1059" i="16" s="1"/>
  <c r="W1131" i="2"/>
  <c r="K1131" i="16" s="1"/>
  <c r="W1203" i="2"/>
  <c r="K1203" i="16" s="1"/>
  <c r="W1024" i="2"/>
  <c r="K1024" i="16" s="1"/>
  <c r="W1096" i="2"/>
  <c r="K1096" i="16" s="1"/>
  <c r="W1168" i="2"/>
  <c r="K1168" i="16" s="1"/>
  <c r="AJ387" i="2"/>
  <c r="Q387" i="16"/>
  <c r="Q1072" i="16"/>
  <c r="AM961" i="2"/>
  <c r="P961" i="16"/>
  <c r="AM279" i="2"/>
  <c r="O861" i="16"/>
  <c r="AG862" i="2"/>
  <c r="AI339" i="2"/>
  <c r="P339" i="16"/>
  <c r="AI67" i="2"/>
  <c r="P67" i="16"/>
  <c r="AJ192" i="2"/>
  <c r="Q192" i="16"/>
  <c r="AI585" i="2"/>
  <c r="Q585" i="16" s="1"/>
  <c r="AI156" i="2"/>
  <c r="P156" i="16"/>
  <c r="AJ298" i="2"/>
  <c r="Q298" i="16"/>
  <c r="AI32" i="2"/>
  <c r="P32" i="16"/>
  <c r="AI157" i="2"/>
  <c r="P157" i="16"/>
  <c r="AI334" i="2"/>
  <c r="Q334" i="16" s="1"/>
  <c r="AI13" i="2"/>
  <c r="P13" i="16"/>
  <c r="AJ404" i="2"/>
  <c r="Q404" i="16"/>
  <c r="AI112" i="2"/>
  <c r="P112" i="16"/>
  <c r="AI253" i="2"/>
  <c r="P253" i="16"/>
  <c r="AI490" i="2"/>
  <c r="Q490" i="16" s="1"/>
  <c r="W156" i="2"/>
  <c r="K156" i="16" s="1"/>
  <c r="W372" i="2"/>
  <c r="K372" i="16" s="1"/>
  <c r="W516" i="2"/>
  <c r="K516" i="16" s="1"/>
  <c r="W588" i="2"/>
  <c r="K588" i="16" s="1"/>
  <c r="W660" i="2"/>
  <c r="K660" i="16" s="1"/>
  <c r="W732" i="2"/>
  <c r="K732" i="16" s="1"/>
  <c r="W804" i="2"/>
  <c r="K804" i="16" s="1"/>
  <c r="W876" i="2"/>
  <c r="K876" i="16" s="1"/>
  <c r="AI696" i="2"/>
  <c r="W337" i="2"/>
  <c r="K337" i="16" s="1"/>
  <c r="W481" i="2"/>
  <c r="K481" i="16" s="1"/>
  <c r="W553" i="2"/>
  <c r="K553" i="16" s="1"/>
  <c r="W625" i="2"/>
  <c r="K625" i="16" s="1"/>
  <c r="W697" i="2"/>
  <c r="K697" i="16" s="1"/>
  <c r="W769" i="2"/>
  <c r="K769" i="16" s="1"/>
  <c r="AI1001" i="2"/>
  <c r="Q1001" i="16" s="1"/>
  <c r="AJ216" i="2"/>
  <c r="Q216" i="16"/>
  <c r="AI796" i="2"/>
  <c r="Q796" i="16" s="1"/>
  <c r="AI941" i="2"/>
  <c r="AI1134" i="2"/>
  <c r="W327" i="2"/>
  <c r="K327" i="16" s="1"/>
  <c r="W543" i="2"/>
  <c r="K543" i="16" s="1"/>
  <c r="W687" i="2"/>
  <c r="K687" i="16" s="1"/>
  <c r="W759" i="2"/>
  <c r="K759" i="16" s="1"/>
  <c r="W903" i="2"/>
  <c r="K903" i="16" s="1"/>
  <c r="AI18" i="2"/>
  <c r="Q18" i="16" s="1"/>
  <c r="AJ116" i="2"/>
  <c r="Q116" i="16"/>
  <c r="AI840" i="2"/>
  <c r="P840" i="16"/>
  <c r="AI772" i="2"/>
  <c r="Q772" i="16" s="1"/>
  <c r="AI945" i="2"/>
  <c r="Q945" i="16" s="1"/>
  <c r="AJ1004" i="2"/>
  <c r="P1004" i="16"/>
  <c r="AI745" i="2"/>
  <c r="AN745" i="2" s="1"/>
  <c r="P745" i="16"/>
  <c r="AI83" i="2"/>
  <c r="P83" i="16"/>
  <c r="AJ221" i="2"/>
  <c r="Q221" i="16"/>
  <c r="AI511" i="2"/>
  <c r="P511" i="16"/>
  <c r="AI235" i="2"/>
  <c r="P235" i="16"/>
  <c r="AI980" i="2"/>
  <c r="P980" i="16"/>
  <c r="AI529" i="2"/>
  <c r="P529" i="16"/>
  <c r="AI989" i="2"/>
  <c r="AN989" i="2" s="1"/>
  <c r="AJ948" i="2"/>
  <c r="AJ43" i="2"/>
  <c r="Q43" i="16"/>
  <c r="AI1084" i="2"/>
  <c r="P1084" i="16"/>
  <c r="AI1171" i="2"/>
  <c r="P1171" i="16"/>
  <c r="AM444" i="2"/>
  <c r="AN610" i="2"/>
  <c r="AI445" i="2"/>
  <c r="P445" i="16"/>
  <c r="AI462" i="2"/>
  <c r="P462" i="16"/>
  <c r="AM629" i="2"/>
  <c r="AM1106" i="2"/>
  <c r="AN216" i="2"/>
  <c r="AN554" i="2"/>
  <c r="AM410" i="2"/>
  <c r="AM661" i="2"/>
  <c r="AI194" i="2"/>
  <c r="P194" i="16"/>
  <c r="AN588" i="2"/>
  <c r="AM946" i="2"/>
  <c r="AN70" i="2"/>
  <c r="AI195" i="2"/>
  <c r="P195" i="16"/>
  <c r="AN528" i="2"/>
  <c r="AM1035" i="2"/>
  <c r="AM73" i="2"/>
  <c r="AI49" i="2"/>
  <c r="P49" i="16"/>
  <c r="AN834" i="2"/>
  <c r="B1148" i="16"/>
  <c r="B313" i="16"/>
  <c r="Z314" i="2"/>
  <c r="B541" i="16"/>
  <c r="Z542" i="2"/>
  <c r="B1076" i="16"/>
  <c r="B814" i="16"/>
  <c r="B651" i="16"/>
  <c r="B122" i="16"/>
  <c r="Z123" i="2"/>
  <c r="B517" i="16"/>
  <c r="Z518" i="2"/>
  <c r="B406" i="16"/>
  <c r="Z407" i="2"/>
  <c r="N254" i="16"/>
  <c r="AF255" i="2"/>
  <c r="N853" i="16"/>
  <c r="W62" i="2"/>
  <c r="K62" i="16" s="1"/>
  <c r="W326" i="2"/>
  <c r="K326" i="16" s="1"/>
  <c r="B22" i="16"/>
  <c r="Z23" i="2"/>
  <c r="W111" i="2"/>
  <c r="K111" i="16" s="1"/>
  <c r="W315" i="2"/>
  <c r="K315" i="16" s="1"/>
  <c r="W28" i="2"/>
  <c r="K28" i="16" s="1"/>
  <c r="W220" i="2"/>
  <c r="K220" i="16" s="1"/>
  <c r="W820" i="2"/>
  <c r="K820" i="16" s="1"/>
  <c r="W101" i="2"/>
  <c r="K101" i="16" s="1"/>
  <c r="W341" i="2"/>
  <c r="K341" i="16" s="1"/>
  <c r="W114" i="2"/>
  <c r="K114" i="16" s="1"/>
  <c r="W510" i="2"/>
  <c r="K510" i="16" s="1"/>
  <c r="W139" i="2"/>
  <c r="K139" i="16" s="1"/>
  <c r="W391" i="2"/>
  <c r="K391" i="16" s="1"/>
  <c r="W8" i="2"/>
  <c r="K8" i="16" s="1"/>
  <c r="W176" i="2"/>
  <c r="K176" i="16" s="1"/>
  <c r="W836" i="2"/>
  <c r="K836" i="16" s="1"/>
  <c r="W93" i="2"/>
  <c r="K93" i="16" s="1"/>
  <c r="W369" i="2"/>
  <c r="K369" i="16" s="1"/>
  <c r="W82" i="2"/>
  <c r="K82" i="16" s="1"/>
  <c r="W274" i="2"/>
  <c r="K274" i="16" s="1"/>
  <c r="H517" i="16"/>
  <c r="U518" i="2"/>
  <c r="W35" i="2"/>
  <c r="K35" i="16" s="1"/>
  <c r="W227" i="2"/>
  <c r="K227" i="16" s="1"/>
  <c r="T674" i="2"/>
  <c r="A673" i="16"/>
  <c r="W60" i="2"/>
  <c r="K60" i="16" s="1"/>
  <c r="W264" i="2"/>
  <c r="K264" i="16" s="1"/>
  <c r="W2" i="2"/>
  <c r="K2" i="16" s="1"/>
  <c r="H254" i="16"/>
  <c r="U255" i="2"/>
  <c r="W61" i="2"/>
  <c r="K61" i="16" s="1"/>
  <c r="W265" i="2"/>
  <c r="K265" i="16" s="1"/>
  <c r="N23" i="16"/>
  <c r="N394" i="16"/>
  <c r="B817" i="16"/>
  <c r="Z818" i="2"/>
  <c r="W491" i="2"/>
  <c r="K491" i="16" s="1"/>
  <c r="H652" i="16"/>
  <c r="U653" i="2"/>
  <c r="H653" i="16" s="1"/>
  <c r="O724" i="16"/>
  <c r="AG725" i="2"/>
  <c r="AI4" i="2"/>
  <c r="P4" i="16"/>
  <c r="AI29" i="2"/>
  <c r="P29" i="16"/>
  <c r="W659" i="2"/>
  <c r="K659" i="16" s="1"/>
  <c r="O930" i="16"/>
  <c r="AG931" i="2"/>
  <c r="O122" i="16"/>
  <c r="AG123" i="2"/>
  <c r="AJ215" i="2"/>
  <c r="Q215" i="16"/>
  <c r="AI204" i="2"/>
  <c r="P204" i="16"/>
  <c r="AI169" i="2"/>
  <c r="P169" i="16"/>
  <c r="AI539" i="2"/>
  <c r="AN539" i="2" s="1"/>
  <c r="P539" i="16"/>
  <c r="AI44" i="2"/>
  <c r="P44" i="16"/>
  <c r="AI186" i="2"/>
  <c r="P186" i="16"/>
  <c r="AI238" i="2"/>
  <c r="P238" i="16"/>
  <c r="AI25" i="2"/>
  <c r="P25" i="16"/>
  <c r="AI239" i="2"/>
  <c r="P239" i="16"/>
  <c r="AI417" i="2"/>
  <c r="P417" i="16"/>
  <c r="AI881" i="2"/>
  <c r="P881" i="16"/>
  <c r="W455" i="2"/>
  <c r="K455" i="16" s="1"/>
  <c r="W527" i="2"/>
  <c r="K527" i="16" s="1"/>
  <c r="W743" i="2"/>
  <c r="K743" i="16" s="1"/>
  <c r="W902" i="2"/>
  <c r="K902" i="16" s="1"/>
  <c r="W974" i="2"/>
  <c r="K974" i="16" s="1"/>
  <c r="W1190" i="2"/>
  <c r="K1190" i="16" s="1"/>
  <c r="P315" i="16"/>
  <c r="AI130" i="2"/>
  <c r="P130" i="16"/>
  <c r="W352" i="2"/>
  <c r="K352" i="16" s="1"/>
  <c r="W640" i="2"/>
  <c r="K640" i="16" s="1"/>
  <c r="W712" i="2"/>
  <c r="K712" i="16" s="1"/>
  <c r="W209" i="2"/>
  <c r="K209" i="16" s="1"/>
  <c r="W641" i="2"/>
  <c r="K641" i="16" s="1"/>
  <c r="W150" i="2"/>
  <c r="K150" i="16" s="1"/>
  <c r="W222" i="2"/>
  <c r="K222" i="16" s="1"/>
  <c r="W438" i="2"/>
  <c r="K438" i="16" s="1"/>
  <c r="W582" i="2"/>
  <c r="K582" i="16" s="1"/>
  <c r="W798" i="2"/>
  <c r="K798" i="16" s="1"/>
  <c r="AI95" i="2"/>
  <c r="P95" i="16"/>
  <c r="AI234" i="2"/>
  <c r="P234" i="16"/>
  <c r="AN801" i="2"/>
  <c r="Q801" i="16"/>
  <c r="W403" i="2"/>
  <c r="K403" i="16" s="1"/>
  <c r="W475" i="2"/>
  <c r="K475" i="16" s="1"/>
  <c r="W691" i="2"/>
  <c r="K691" i="16" s="1"/>
  <c r="W835" i="2"/>
  <c r="K835" i="16" s="1"/>
  <c r="W907" i="2"/>
  <c r="K907" i="16" s="1"/>
  <c r="AI46" i="2"/>
  <c r="P46" i="16"/>
  <c r="AI249" i="2"/>
  <c r="P249" i="16"/>
  <c r="W464" i="2"/>
  <c r="K464" i="16" s="1"/>
  <c r="W680" i="2"/>
  <c r="K680" i="16" s="1"/>
  <c r="AI693" i="2"/>
  <c r="P693" i="16"/>
  <c r="AI848" i="2"/>
  <c r="P848" i="16"/>
  <c r="W261" i="2"/>
  <c r="K261" i="16" s="1"/>
  <c r="W621" i="2"/>
  <c r="K621" i="16" s="1"/>
  <c r="W693" i="2"/>
  <c r="K693" i="16" s="1"/>
  <c r="W322" i="2"/>
  <c r="K322" i="16" s="1"/>
  <c r="W394" i="2"/>
  <c r="K394" i="16" s="1"/>
  <c r="W682" i="2"/>
  <c r="K682" i="16" s="1"/>
  <c r="W870" i="2"/>
  <c r="K870" i="16" s="1"/>
  <c r="W1014" i="2"/>
  <c r="K1014" i="16" s="1"/>
  <c r="W1086" i="2"/>
  <c r="K1086" i="16" s="1"/>
  <c r="W1158" i="2"/>
  <c r="K1158" i="16" s="1"/>
  <c r="W861" i="2"/>
  <c r="K861" i="16" s="1"/>
  <c r="W850" i="2"/>
  <c r="K850" i="16" s="1"/>
  <c r="W994" i="2"/>
  <c r="K994" i="16" s="1"/>
  <c r="W1066" i="2"/>
  <c r="K1066" i="16" s="1"/>
  <c r="W1138" i="2"/>
  <c r="K1138" i="16" s="1"/>
  <c r="W1210" i="2"/>
  <c r="K1210" i="16" s="1"/>
  <c r="W865" i="2"/>
  <c r="K865" i="16" s="1"/>
  <c r="W1153" i="2"/>
  <c r="K1153" i="16" s="1"/>
  <c r="W999" i="2"/>
  <c r="K999" i="16" s="1"/>
  <c r="W1071" i="2"/>
  <c r="K1071" i="16" s="1"/>
  <c r="W1143" i="2"/>
  <c r="K1143" i="16" s="1"/>
  <c r="W964" i="2"/>
  <c r="K964" i="16" s="1"/>
  <c r="AN1143" i="2"/>
  <c r="AI988" i="2"/>
  <c r="P988" i="16"/>
  <c r="AM795" i="2"/>
  <c r="AN686" i="2"/>
  <c r="AM728" i="2"/>
  <c r="AM129" i="2"/>
  <c r="AI493" i="2"/>
  <c r="P493" i="16"/>
  <c r="AN944" i="2"/>
  <c r="AM1088" i="2"/>
  <c r="AM1204" i="2"/>
  <c r="AM663" i="2"/>
  <c r="AM45" i="2"/>
  <c r="AM775" i="2"/>
  <c r="AM276" i="2"/>
  <c r="AI817" i="2"/>
  <c r="Q817" i="16" s="1"/>
  <c r="AM501" i="2"/>
  <c r="N474" i="16"/>
  <c r="N956" i="16"/>
  <c r="N570" i="16"/>
  <c r="N1044" i="16"/>
  <c r="N523" i="16"/>
  <c r="N930" i="16"/>
  <c r="AF931" i="2"/>
  <c r="N450" i="16"/>
  <c r="N875" i="16"/>
  <c r="N219" i="16"/>
  <c r="N526" i="16"/>
  <c r="N1060" i="16"/>
  <c r="N920" i="16"/>
  <c r="N454" i="16"/>
  <c r="N486" i="16"/>
  <c r="N161" i="16"/>
  <c r="N750" i="16"/>
  <c r="N1011" i="16"/>
  <c r="N766" i="16"/>
  <c r="T845" i="2"/>
  <c r="A845" i="16" s="1"/>
  <c r="A844" i="16"/>
  <c r="W74" i="2"/>
  <c r="K74" i="16" s="1"/>
  <c r="W338" i="2"/>
  <c r="K338" i="16" s="1"/>
  <c r="W123" i="2"/>
  <c r="K123" i="16" s="1"/>
  <c r="W351" i="2"/>
  <c r="K351" i="16" s="1"/>
  <c r="W40" i="2"/>
  <c r="K40" i="16" s="1"/>
  <c r="W256" i="2"/>
  <c r="K256" i="16" s="1"/>
  <c r="W844" i="2"/>
  <c r="K844" i="16" s="1"/>
  <c r="W113" i="2"/>
  <c r="K113" i="16" s="1"/>
  <c r="W353" i="2"/>
  <c r="K353" i="16" s="1"/>
  <c r="W126" i="2"/>
  <c r="K126" i="16" s="1"/>
  <c r="W642" i="2"/>
  <c r="K642" i="16" s="1"/>
  <c r="W7" i="2"/>
  <c r="K7" i="16" s="1"/>
  <c r="W151" i="2"/>
  <c r="K151" i="16" s="1"/>
  <c r="W415" i="2"/>
  <c r="K415" i="16" s="1"/>
  <c r="W20" i="2"/>
  <c r="K20" i="16" s="1"/>
  <c r="W188" i="2"/>
  <c r="K188" i="16" s="1"/>
  <c r="O22" i="16"/>
  <c r="AG23" i="2"/>
  <c r="U499" i="2"/>
  <c r="H498" i="16"/>
  <c r="W117" i="2"/>
  <c r="K117" i="16" s="1"/>
  <c r="W405" i="2"/>
  <c r="K405" i="16" s="1"/>
  <c r="W94" i="2"/>
  <c r="K94" i="16" s="1"/>
  <c r="W334" i="2"/>
  <c r="K334" i="16" s="1"/>
  <c r="W59" i="2"/>
  <c r="K59" i="16" s="1"/>
  <c r="W251" i="2"/>
  <c r="K251" i="16" s="1"/>
  <c r="W72" i="2"/>
  <c r="K72" i="16" s="1"/>
  <c r="W276" i="2"/>
  <c r="K276" i="16" s="1"/>
  <c r="W73" i="2"/>
  <c r="K73" i="16" s="1"/>
  <c r="W301" i="2"/>
  <c r="K301" i="16" s="1"/>
  <c r="N132" i="16"/>
  <c r="AF133" i="2"/>
  <c r="N742" i="16"/>
  <c r="N665" i="16"/>
  <c r="W203" i="2"/>
  <c r="K203" i="16" s="1"/>
  <c r="W287" i="2"/>
  <c r="K287" i="16" s="1"/>
  <c r="AJ421" i="2"/>
  <c r="Q421" i="16"/>
  <c r="W239" i="2"/>
  <c r="K239" i="16" s="1"/>
  <c r="W383" i="2"/>
  <c r="K383" i="16" s="1"/>
  <c r="W599" i="2"/>
  <c r="K599" i="16" s="1"/>
  <c r="W815" i="2"/>
  <c r="K815" i="16" s="1"/>
  <c r="AI669" i="2"/>
  <c r="AN669" i="2" s="1"/>
  <c r="P669" i="16"/>
  <c r="W470" i="2"/>
  <c r="K470" i="16" s="1"/>
  <c r="W614" i="2"/>
  <c r="K614" i="16" s="1"/>
  <c r="W686" i="2"/>
  <c r="K686" i="16" s="1"/>
  <c r="W758" i="2"/>
  <c r="K758" i="16" s="1"/>
  <c r="W830" i="2"/>
  <c r="K830" i="16" s="1"/>
  <c r="W280" i="2"/>
  <c r="K280" i="16" s="1"/>
  <c r="W568" i="2"/>
  <c r="K568" i="16" s="1"/>
  <c r="W784" i="2"/>
  <c r="K784" i="16" s="1"/>
  <c r="AI632" i="2"/>
  <c r="P632" i="16"/>
  <c r="AI960" i="2"/>
  <c r="P960" i="16"/>
  <c r="W569" i="2"/>
  <c r="K569" i="16" s="1"/>
  <c r="W785" i="2"/>
  <c r="K785" i="16" s="1"/>
  <c r="W857" i="2"/>
  <c r="K857" i="16" s="1"/>
  <c r="AI1113" i="2"/>
  <c r="AN1113" i="2" s="1"/>
  <c r="P1113" i="16"/>
  <c r="AI758" i="2"/>
  <c r="P758" i="16"/>
  <c r="W294" i="2"/>
  <c r="K294" i="16" s="1"/>
  <c r="W654" i="2"/>
  <c r="K654" i="16" s="1"/>
  <c r="W331" i="2"/>
  <c r="K331" i="16" s="1"/>
  <c r="W547" i="2"/>
  <c r="K547" i="16" s="1"/>
  <c r="W619" i="2"/>
  <c r="K619" i="16" s="1"/>
  <c r="W763" i="2"/>
  <c r="K763" i="16" s="1"/>
  <c r="W248" i="2"/>
  <c r="K248" i="16" s="1"/>
  <c r="W392" i="2"/>
  <c r="K392" i="16" s="1"/>
  <c r="W536" i="2"/>
  <c r="K536" i="16" s="1"/>
  <c r="W608" i="2"/>
  <c r="K608" i="16" s="1"/>
  <c r="W477" i="2"/>
  <c r="K477" i="16" s="1"/>
  <c r="W549" i="2"/>
  <c r="K549" i="16" s="1"/>
  <c r="W765" i="2"/>
  <c r="K765" i="16" s="1"/>
  <c r="AJ736" i="2"/>
  <c r="P736" i="16"/>
  <c r="W466" i="2"/>
  <c r="K466" i="16" s="1"/>
  <c r="W538" i="2"/>
  <c r="K538" i="16" s="1"/>
  <c r="W610" i="2"/>
  <c r="K610" i="16" s="1"/>
  <c r="W1025" i="2"/>
  <c r="K1025" i="16" s="1"/>
  <c r="W1097" i="2"/>
  <c r="K1097" i="16" s="1"/>
  <c r="W1169" i="2"/>
  <c r="K1169" i="16" s="1"/>
  <c r="W942" i="2"/>
  <c r="K942" i="16" s="1"/>
  <c r="W967" i="2"/>
  <c r="K967" i="16" s="1"/>
  <c r="W1111" i="2"/>
  <c r="K1111" i="16" s="1"/>
  <c r="W1183" i="2"/>
  <c r="K1183" i="16" s="1"/>
  <c r="W788" i="2"/>
  <c r="K788" i="16" s="1"/>
  <c r="W860" i="2"/>
  <c r="K860" i="16" s="1"/>
  <c r="W932" i="2"/>
  <c r="K932" i="16" s="1"/>
  <c r="W1004" i="2"/>
  <c r="K1004" i="16" s="1"/>
  <c r="W1076" i="2"/>
  <c r="K1076" i="16" s="1"/>
  <c r="W1148" i="2"/>
  <c r="K1148" i="16" s="1"/>
  <c r="W789" i="2"/>
  <c r="K789" i="16" s="1"/>
  <c r="W933" i="2"/>
  <c r="K933" i="16" s="1"/>
  <c r="W1005" i="2"/>
  <c r="K1005" i="16" s="1"/>
  <c r="W1077" i="2"/>
  <c r="K1077" i="16" s="1"/>
  <c r="W1149" i="2"/>
  <c r="K1149" i="16" s="1"/>
  <c r="W778" i="2"/>
  <c r="K778" i="16" s="1"/>
  <c r="W899" i="2"/>
  <c r="K899" i="16" s="1"/>
  <c r="W1043" i="2"/>
  <c r="K1043" i="16" s="1"/>
  <c r="W1115" i="2"/>
  <c r="K1115" i="16" s="1"/>
  <c r="W1187" i="2"/>
  <c r="K1187" i="16" s="1"/>
  <c r="W984" i="2"/>
  <c r="K984" i="16" s="1"/>
  <c r="W1056" i="2"/>
  <c r="K1056" i="16" s="1"/>
  <c r="W1128" i="2"/>
  <c r="K1128" i="16" s="1"/>
  <c r="W1200" i="2"/>
  <c r="K1200" i="16" s="1"/>
  <c r="W937" i="2"/>
  <c r="K937" i="16" s="1"/>
  <c r="W1081" i="2"/>
  <c r="K1081" i="16" s="1"/>
  <c r="W927" i="2"/>
  <c r="K927" i="16" s="1"/>
  <c r="W892" i="2"/>
  <c r="K892" i="16" s="1"/>
  <c r="W1036" i="2"/>
  <c r="K1036" i="16" s="1"/>
  <c r="W1108" i="2"/>
  <c r="K1108" i="16" s="1"/>
  <c r="W1180" i="2"/>
  <c r="K1180" i="16" s="1"/>
  <c r="AJ455" i="2"/>
  <c r="Q455" i="16"/>
  <c r="AJ324" i="2"/>
  <c r="P324" i="16"/>
  <c r="AJ229" i="2"/>
  <c r="P229" i="16"/>
  <c r="AM336" i="2"/>
  <c r="AI127" i="2"/>
  <c r="Q127" i="16" s="1"/>
  <c r="AJ294" i="2"/>
  <c r="Q294" i="16"/>
  <c r="AI54" i="2"/>
  <c r="Q54" i="16" s="1"/>
  <c r="AI243" i="2"/>
  <c r="P243" i="16"/>
  <c r="AI629" i="2"/>
  <c r="Q629" i="16" s="1"/>
  <c r="AI206" i="2"/>
  <c r="P206" i="16"/>
  <c r="AI357" i="2"/>
  <c r="P357" i="16"/>
  <c r="AI58" i="2"/>
  <c r="P58" i="16"/>
  <c r="AI47" i="2"/>
  <c r="P47" i="16"/>
  <c r="AI198" i="2"/>
  <c r="P198" i="16"/>
  <c r="AI347" i="2"/>
  <c r="Q347" i="16" s="1"/>
  <c r="AI352" i="2"/>
  <c r="AI37" i="2"/>
  <c r="P37" i="16"/>
  <c r="AI150" i="2"/>
  <c r="P150" i="16"/>
  <c r="AI252" i="2"/>
  <c r="P252" i="16"/>
  <c r="AI429" i="2"/>
  <c r="P429" i="16"/>
  <c r="AI737" i="2"/>
  <c r="Q737" i="16" s="1"/>
  <c r="AI14" i="2"/>
  <c r="Q14" i="16" s="1"/>
  <c r="AI280" i="2"/>
  <c r="P280" i="16"/>
  <c r="AI683" i="2"/>
  <c r="AI793" i="2"/>
  <c r="P793" i="16"/>
  <c r="W168" i="2"/>
  <c r="K168" i="16" s="1"/>
  <c r="W240" i="2"/>
  <c r="K240" i="16" s="1"/>
  <c r="W384" i="2"/>
  <c r="K384" i="16" s="1"/>
  <c r="W456" i="2"/>
  <c r="K456" i="16" s="1"/>
  <c r="W528" i="2"/>
  <c r="K528" i="16" s="1"/>
  <c r="W600" i="2"/>
  <c r="K600" i="16" s="1"/>
  <c r="W672" i="2"/>
  <c r="K672" i="16" s="1"/>
  <c r="W744" i="2"/>
  <c r="K744" i="16" s="1"/>
  <c r="W816" i="2"/>
  <c r="K816" i="16" s="1"/>
  <c r="AI889" i="2"/>
  <c r="AN889" i="2" s="1"/>
  <c r="P889" i="16"/>
  <c r="AI824" i="2"/>
  <c r="Q824" i="16" s="1"/>
  <c r="AI1000" i="2"/>
  <c r="Q1000" i="16" s="1"/>
  <c r="W205" i="2"/>
  <c r="K205" i="16" s="1"/>
  <c r="W277" i="2"/>
  <c r="K277" i="16" s="1"/>
  <c r="W421" i="2"/>
  <c r="K421" i="16" s="1"/>
  <c r="W493" i="2"/>
  <c r="K493" i="16" s="1"/>
  <c r="W565" i="2"/>
  <c r="K565" i="16" s="1"/>
  <c r="W637" i="2"/>
  <c r="K637" i="16" s="1"/>
  <c r="W709" i="2"/>
  <c r="K709" i="16" s="1"/>
  <c r="W781" i="2"/>
  <c r="K781" i="16" s="1"/>
  <c r="AI809" i="2"/>
  <c r="AN809" i="2" s="1"/>
  <c r="P809" i="16"/>
  <c r="W51" i="2"/>
  <c r="K51" i="16" s="1"/>
  <c r="W195" i="2"/>
  <c r="K195" i="16" s="1"/>
  <c r="W267" i="2"/>
  <c r="K267" i="16" s="1"/>
  <c r="W339" i="2"/>
  <c r="K339" i="16" s="1"/>
  <c r="W411" i="2"/>
  <c r="K411" i="16" s="1"/>
  <c r="W483" i="2"/>
  <c r="K483" i="16" s="1"/>
  <c r="W555" i="2"/>
  <c r="K555" i="16" s="1"/>
  <c r="W627" i="2"/>
  <c r="K627" i="16" s="1"/>
  <c r="W699" i="2"/>
  <c r="K699" i="16" s="1"/>
  <c r="W771" i="2"/>
  <c r="K771" i="16" s="1"/>
  <c r="AI297" i="2"/>
  <c r="P297" i="16"/>
  <c r="AJ396" i="2"/>
  <c r="Q396" i="16"/>
  <c r="AI976" i="2"/>
  <c r="P976" i="16"/>
  <c r="AI220" i="2"/>
  <c r="Q220" i="16" s="1"/>
  <c r="AI786" i="2"/>
  <c r="Q786" i="16" s="1"/>
  <c r="AJ1114" i="2"/>
  <c r="P1114" i="16"/>
  <c r="AI107" i="2"/>
  <c r="P107" i="16"/>
  <c r="AN678" i="2"/>
  <c r="AI994" i="2"/>
  <c r="AN994" i="2" s="1"/>
  <c r="P994" i="16"/>
  <c r="AI1138" i="2"/>
  <c r="Q1138" i="16" s="1"/>
  <c r="AI262" i="2"/>
  <c r="P262" i="16"/>
  <c r="AI605" i="2"/>
  <c r="P605" i="16"/>
  <c r="AI775" i="2"/>
  <c r="Q775" i="16" s="1"/>
  <c r="AI708" i="2"/>
  <c r="Q708" i="16" s="1"/>
  <c r="AI864" i="2"/>
  <c r="Q864" i="16" s="1"/>
  <c r="AI749" i="2"/>
  <c r="Q749" i="16" s="1"/>
  <c r="AJ692" i="2"/>
  <c r="Q692" i="16"/>
  <c r="AJ1201" i="2"/>
  <c r="Q1201" i="16"/>
  <c r="W49" i="2"/>
  <c r="K49" i="16" s="1"/>
  <c r="AM50" i="2"/>
  <c r="AM349" i="2"/>
  <c r="AM443" i="2"/>
  <c r="AI596" i="2"/>
  <c r="P596" i="16"/>
  <c r="AM696" i="2"/>
  <c r="AM999" i="2"/>
  <c r="AM14" i="2"/>
  <c r="AN307" i="2"/>
  <c r="AI504" i="2"/>
  <c r="P504" i="16"/>
  <c r="AM713" i="2"/>
  <c r="AM1054" i="2"/>
  <c r="AI955" i="2"/>
  <c r="P955" i="16"/>
  <c r="AM1014" i="2"/>
  <c r="AI1055" i="2"/>
  <c r="AN1055" i="2" s="1"/>
  <c r="P1055" i="16"/>
  <c r="AM1161" i="2"/>
  <c r="AM585" i="2"/>
  <c r="AM826" i="2"/>
  <c r="AM974" i="2"/>
  <c r="AN1120" i="2"/>
  <c r="AM30" i="2"/>
  <c r="AM371" i="2"/>
  <c r="AM1122" i="2"/>
  <c r="AM117" i="2"/>
  <c r="AM259" i="2"/>
  <c r="AM451" i="2"/>
  <c r="AI1047" i="2"/>
  <c r="Q1047" i="16" s="1"/>
  <c r="AN1190" i="2"/>
  <c r="AM118" i="2"/>
  <c r="AM207" i="2"/>
  <c r="AI299" i="2"/>
  <c r="P299" i="16"/>
  <c r="AN979" i="2"/>
  <c r="AN196" i="2"/>
  <c r="AI315" i="2"/>
  <c r="Q315" i="16" s="1"/>
  <c r="AM333" i="2"/>
  <c r="AM375" i="2"/>
  <c r="AN638" i="2"/>
  <c r="AM680" i="2"/>
  <c r="AI951" i="2"/>
  <c r="Q951" i="16" s="1"/>
  <c r="AN595" i="2"/>
  <c r="AM737" i="2"/>
  <c r="AM1170" i="2"/>
  <c r="B702" i="16"/>
  <c r="B330" i="16"/>
  <c r="Z331" i="2"/>
  <c r="B861" i="16"/>
  <c r="Z862" i="2"/>
  <c r="B533" i="16"/>
  <c r="Z534" i="2"/>
  <c r="Z535" i="2" s="1"/>
  <c r="B254" i="16"/>
  <c r="Z255" i="2"/>
  <c r="B942" i="16"/>
  <c r="N1041" i="16"/>
  <c r="W86" i="2"/>
  <c r="K86" i="16" s="1"/>
  <c r="W350" i="2"/>
  <c r="K350" i="16" s="1"/>
  <c r="H326" i="16"/>
  <c r="U327" i="2"/>
  <c r="W135" i="2"/>
  <c r="K135" i="16" s="1"/>
  <c r="W387" i="2"/>
  <c r="K387" i="16" s="1"/>
  <c r="W52" i="2"/>
  <c r="K52" i="16" s="1"/>
  <c r="W316" i="2"/>
  <c r="K316" i="16" s="1"/>
  <c r="H479" i="16"/>
  <c r="U480" i="2"/>
  <c r="W125" i="2"/>
  <c r="K125" i="16" s="1"/>
  <c r="W365" i="2"/>
  <c r="K365" i="16" s="1"/>
  <c r="W138" i="2"/>
  <c r="K138" i="16" s="1"/>
  <c r="W726" i="2"/>
  <c r="K726" i="16" s="1"/>
  <c r="U1194" i="2"/>
  <c r="H1194" i="16" s="1"/>
  <c r="H1193" i="16"/>
  <c r="W19" i="2"/>
  <c r="K19" i="16" s="1"/>
  <c r="W163" i="2"/>
  <c r="K163" i="16" s="1"/>
  <c r="W499" i="2"/>
  <c r="K499" i="16" s="1"/>
  <c r="W32" i="2"/>
  <c r="K32" i="16" s="1"/>
  <c r="W212" i="2"/>
  <c r="K212" i="16" s="1"/>
  <c r="T820" i="2"/>
  <c r="A819" i="16"/>
  <c r="H22" i="16"/>
  <c r="U23" i="2"/>
  <c r="H23" i="16" s="1"/>
  <c r="W129" i="2"/>
  <c r="K129" i="16" s="1"/>
  <c r="W501" i="2"/>
  <c r="K501" i="16" s="1"/>
  <c r="W106" i="2"/>
  <c r="K106" i="16" s="1"/>
  <c r="W454" i="2"/>
  <c r="K454" i="16" s="1"/>
  <c r="H533" i="16"/>
  <c r="U534" i="2"/>
  <c r="W71" i="2"/>
  <c r="K71" i="16" s="1"/>
  <c r="W263" i="2"/>
  <c r="K263" i="16" s="1"/>
  <c r="W84" i="2"/>
  <c r="K84" i="16" s="1"/>
  <c r="W300" i="2"/>
  <c r="K300" i="16" s="1"/>
  <c r="W85" i="2"/>
  <c r="K85" i="16" s="1"/>
  <c r="W313" i="2"/>
  <c r="K313" i="16" s="1"/>
  <c r="AI202" i="2"/>
  <c r="P202" i="16"/>
  <c r="AI411" i="2"/>
  <c r="P411" i="16"/>
  <c r="AI109" i="2"/>
  <c r="P109" i="16"/>
  <c r="AI305" i="2"/>
  <c r="P305" i="16"/>
  <c r="AJ502" i="2"/>
  <c r="Q502" i="16"/>
  <c r="W359" i="2"/>
  <c r="K359" i="16" s="1"/>
  <c r="O330" i="16"/>
  <c r="AG331" i="2"/>
  <c r="O479" i="16"/>
  <c r="AG480" i="2"/>
  <c r="AI28" i="2"/>
  <c r="P28" i="16"/>
  <c r="AI55" i="2"/>
  <c r="P55" i="16"/>
  <c r="AI145" i="2"/>
  <c r="P145" i="16"/>
  <c r="W515" i="2"/>
  <c r="K515" i="16" s="1"/>
  <c r="AI308" i="2"/>
  <c r="P308" i="16"/>
  <c r="AJ377" i="2"/>
  <c r="Q377" i="16"/>
  <c r="AI265" i="2"/>
  <c r="P265" i="16"/>
  <c r="W323" i="2"/>
  <c r="K323" i="16" s="1"/>
  <c r="W467" i="2"/>
  <c r="K467" i="16" s="1"/>
  <c r="W611" i="2"/>
  <c r="K611" i="16" s="1"/>
  <c r="W194" i="2"/>
  <c r="K194" i="16" s="1"/>
  <c r="W554" i="2"/>
  <c r="K554" i="16" s="1"/>
  <c r="W626" i="2"/>
  <c r="K626" i="16" s="1"/>
  <c r="W770" i="2"/>
  <c r="K770" i="16" s="1"/>
  <c r="W1058" i="2"/>
  <c r="K1058" i="16" s="1"/>
  <c r="W436" i="2"/>
  <c r="K436" i="16" s="1"/>
  <c r="W508" i="2"/>
  <c r="K508" i="16" s="1"/>
  <c r="W724" i="2"/>
  <c r="K724" i="16" s="1"/>
  <c r="W796" i="2"/>
  <c r="K796" i="16" s="1"/>
  <c r="AI992" i="2"/>
  <c r="P992" i="16"/>
  <c r="W293" i="2"/>
  <c r="K293" i="16" s="1"/>
  <c r="W437" i="2"/>
  <c r="K437" i="16" s="1"/>
  <c r="W581" i="2"/>
  <c r="K581" i="16" s="1"/>
  <c r="W725" i="2"/>
  <c r="K725" i="16" s="1"/>
  <c r="W869" i="2"/>
  <c r="K869" i="16" s="1"/>
  <c r="AI373" i="2"/>
  <c r="P373" i="16"/>
  <c r="W378" i="2"/>
  <c r="K378" i="16" s="1"/>
  <c r="W666" i="2"/>
  <c r="K666" i="16" s="1"/>
  <c r="W738" i="2"/>
  <c r="K738" i="16" s="1"/>
  <c r="W487" i="2"/>
  <c r="K487" i="16" s="1"/>
  <c r="W559" i="2"/>
  <c r="K559" i="16" s="1"/>
  <c r="W775" i="2"/>
  <c r="K775" i="16" s="1"/>
  <c r="W919" i="2"/>
  <c r="K919" i="16" s="1"/>
  <c r="W260" i="2"/>
  <c r="K260" i="16" s="1"/>
  <c r="W404" i="2"/>
  <c r="K404" i="16" s="1"/>
  <c r="W476" i="2"/>
  <c r="K476" i="16" s="1"/>
  <c r="W692" i="2"/>
  <c r="K692" i="16" s="1"/>
  <c r="W345" i="2"/>
  <c r="K345" i="16" s="1"/>
  <c r="W489" i="2"/>
  <c r="K489" i="16" s="1"/>
  <c r="W633" i="2"/>
  <c r="K633" i="16" s="1"/>
  <c r="AJ1095" i="2"/>
  <c r="Q1095" i="16"/>
  <c r="W406" i="2"/>
  <c r="K406" i="16" s="1"/>
  <c r="W622" i="2"/>
  <c r="K622" i="16" s="1"/>
  <c r="W694" i="2"/>
  <c r="K694" i="16" s="1"/>
  <c r="W965" i="2"/>
  <c r="K965" i="16" s="1"/>
  <c r="W882" i="2"/>
  <c r="K882" i="16" s="1"/>
  <c r="W1026" i="2"/>
  <c r="K1026" i="16" s="1"/>
  <c r="W1098" i="2"/>
  <c r="K1098" i="16" s="1"/>
  <c r="W1170" i="2"/>
  <c r="K1170" i="16" s="1"/>
  <c r="W979" i="2"/>
  <c r="K979" i="16" s="1"/>
  <c r="W800" i="2"/>
  <c r="K800" i="16" s="1"/>
  <c r="W873" i="2"/>
  <c r="K873" i="16" s="1"/>
  <c r="W862" i="2"/>
  <c r="K862" i="16" s="1"/>
  <c r="W1006" i="2"/>
  <c r="K1006" i="16" s="1"/>
  <c r="W1078" i="2"/>
  <c r="K1078" i="16" s="1"/>
  <c r="W1150" i="2"/>
  <c r="K1150" i="16" s="1"/>
  <c r="W911" i="2"/>
  <c r="K911" i="16" s="1"/>
  <c r="W1055" i="2"/>
  <c r="K1055" i="16" s="1"/>
  <c r="W1127" i="2"/>
  <c r="K1127" i="16" s="1"/>
  <c r="W1199" i="2"/>
  <c r="K1199" i="16" s="1"/>
  <c r="W877" i="2"/>
  <c r="K877" i="16" s="1"/>
  <c r="W949" i="2"/>
  <c r="K949" i="16" s="1"/>
  <c r="W1021" i="2"/>
  <c r="K1021" i="16" s="1"/>
  <c r="W1093" i="2"/>
  <c r="K1093" i="16" s="1"/>
  <c r="W1165" i="2"/>
  <c r="K1165" i="16" s="1"/>
  <c r="W904" i="2"/>
  <c r="K904" i="16" s="1"/>
  <c r="W976" i="2"/>
  <c r="K976" i="16" s="1"/>
  <c r="W1120" i="2"/>
  <c r="K1120" i="16" s="1"/>
  <c r="W1192" i="2"/>
  <c r="K1192" i="16" s="1"/>
  <c r="AM656" i="2"/>
  <c r="AM519" i="2"/>
  <c r="AI753" i="2"/>
  <c r="P753" i="16"/>
  <c r="AM1000" i="2"/>
  <c r="AN294" i="2"/>
  <c r="AN611" i="2"/>
  <c r="AI1088" i="2"/>
  <c r="Q1088" i="16" s="1"/>
  <c r="AN116" i="2"/>
  <c r="AM311" i="2"/>
  <c r="AM557" i="2"/>
  <c r="AM705" i="2"/>
  <c r="AM774" i="2"/>
  <c r="AN747" i="2"/>
  <c r="AN1126" i="2"/>
  <c r="AI1035" i="2"/>
  <c r="Q1035" i="16" s="1"/>
  <c r="AI501" i="2"/>
  <c r="Q501" i="16" s="1"/>
  <c r="AN562" i="2"/>
  <c r="AM251" i="2"/>
  <c r="AM348" i="2"/>
  <c r="AN695" i="2"/>
  <c r="AN850" i="2"/>
  <c r="N973" i="16"/>
  <c r="N1107" i="16"/>
  <c r="N555" i="16"/>
  <c r="N959" i="16"/>
  <c r="N479" i="16"/>
  <c r="AF480" i="2"/>
  <c r="N1151" i="16"/>
  <c r="N313" i="16"/>
  <c r="AF314" i="2"/>
  <c r="N541" i="16"/>
  <c r="AF542" i="2"/>
  <c r="N119" i="16"/>
  <c r="N484" i="16"/>
  <c r="N761" i="16"/>
  <c r="N965" i="16"/>
  <c r="N237" i="16"/>
  <c r="N791" i="16"/>
  <c r="N1024" i="16"/>
  <c r="N350" i="16"/>
  <c r="N970" i="16"/>
  <c r="W98" i="2"/>
  <c r="K98" i="16" s="1"/>
  <c r="W398" i="2"/>
  <c r="K398" i="16" s="1"/>
  <c r="T1078" i="2"/>
  <c r="A1078" i="16" s="1"/>
  <c r="A1077" i="16"/>
  <c r="W147" i="2"/>
  <c r="K147" i="16" s="1"/>
  <c r="W399" i="2"/>
  <c r="K399" i="16" s="1"/>
  <c r="W64" i="2"/>
  <c r="K64" i="16" s="1"/>
  <c r="W328" i="2"/>
  <c r="K328" i="16" s="1"/>
  <c r="W137" i="2"/>
  <c r="K137" i="16" s="1"/>
  <c r="W425" i="2"/>
  <c r="K425" i="16" s="1"/>
  <c r="T652" i="2"/>
  <c r="AP652" i="2" s="1"/>
  <c r="A651" i="16"/>
  <c r="H313" i="16"/>
  <c r="U314" i="2"/>
  <c r="W162" i="2"/>
  <c r="K162" i="16" s="1"/>
  <c r="W31" i="2"/>
  <c r="K31" i="16" s="1"/>
  <c r="W175" i="2"/>
  <c r="K175" i="16" s="1"/>
  <c r="U637" i="2"/>
  <c r="H637" i="16" s="1"/>
  <c r="H636" i="16"/>
  <c r="W44" i="2"/>
  <c r="K44" i="16" s="1"/>
  <c r="W224" i="2"/>
  <c r="K224" i="16" s="1"/>
  <c r="T581" i="2"/>
  <c r="A580" i="16"/>
  <c r="W141" i="2"/>
  <c r="K141" i="16" s="1"/>
  <c r="W585" i="2"/>
  <c r="K585" i="16" s="1"/>
  <c r="W118" i="2"/>
  <c r="K118" i="16" s="1"/>
  <c r="W550" i="2"/>
  <c r="K550" i="16" s="1"/>
  <c r="W83" i="2"/>
  <c r="K83" i="16" s="1"/>
  <c r="W311" i="2"/>
  <c r="K311" i="16" s="1"/>
  <c r="W96" i="2"/>
  <c r="K96" i="16" s="1"/>
  <c r="W312" i="2"/>
  <c r="K312" i="16" s="1"/>
  <c r="W97" i="2"/>
  <c r="K97" i="16" s="1"/>
  <c r="W349" i="2"/>
  <c r="K349" i="16" s="1"/>
  <c r="B664" i="16"/>
  <c r="Z665" i="2"/>
  <c r="Z666" i="2" s="1"/>
  <c r="N139" i="16"/>
  <c r="AF140" i="2"/>
  <c r="N414" i="16"/>
  <c r="B624" i="16"/>
  <c r="N401" i="16"/>
  <c r="AF402" i="2"/>
  <c r="AM919" i="2"/>
  <c r="AQ523" i="2"/>
  <c r="AS523" i="2" s="1"/>
  <c r="AU523" i="2" s="1"/>
  <c r="AQ930" i="2"/>
  <c r="AS930" i="2" s="1"/>
  <c r="AU930" i="2" s="1"/>
  <c r="AQ479" i="2"/>
  <c r="AS479" i="2" s="1"/>
  <c r="AU479" i="2" s="1"/>
  <c r="AQ1151" i="2"/>
  <c r="AS1151" i="2" s="1"/>
  <c r="AU1151" i="2" s="1"/>
  <c r="AQ510" i="2"/>
  <c r="AS510" i="2" s="1"/>
  <c r="AU510" i="2" s="1"/>
  <c r="AQ978" i="2"/>
  <c r="AS978" i="2" s="1"/>
  <c r="AU978" i="2" s="1"/>
  <c r="AQ233" i="2"/>
  <c r="AS233" i="2" s="1"/>
  <c r="AU233" i="2" s="1"/>
  <c r="AQ134" i="2"/>
  <c r="AQ591" i="2"/>
  <c r="AS591" i="2" s="1"/>
  <c r="AU591" i="2" s="1"/>
  <c r="AQ530" i="2"/>
  <c r="AS530" i="2" s="1"/>
  <c r="AU530" i="2" s="1"/>
  <c r="AQ1156" i="2"/>
  <c r="AS1156" i="2" s="1"/>
  <c r="AU1156" i="2" s="1"/>
  <c r="AQ640" i="2"/>
  <c r="AQ625" i="2"/>
  <c r="AS625" i="2" s="1"/>
  <c r="AU625" i="2" s="1"/>
  <c r="AQ1038" i="2"/>
  <c r="AS1038" i="2" s="1"/>
  <c r="AU1038" i="2" s="1"/>
  <c r="AQ739" i="2"/>
  <c r="AS739" i="2" s="1"/>
  <c r="AU739" i="2" s="1"/>
  <c r="AQ1131" i="2"/>
  <c r="AS1131" i="2" s="1"/>
  <c r="AU1131" i="2" s="1"/>
  <c r="AQ1104" i="2"/>
  <c r="AS1104" i="2" s="1"/>
  <c r="AU1104" i="2" s="1"/>
  <c r="AQ769" i="2"/>
  <c r="AS769" i="2" s="1"/>
  <c r="AU769" i="2" s="1"/>
  <c r="AQ326" i="2"/>
  <c r="AS326" i="2" s="1"/>
  <c r="AU326" i="2" s="1"/>
  <c r="AQ674" i="2"/>
  <c r="AF369" i="2"/>
  <c r="AF703" i="2"/>
  <c r="AF844" i="2"/>
  <c r="N844" i="16" s="1"/>
  <c r="AM86" i="2"/>
  <c r="AQ555" i="2"/>
  <c r="AS555" i="2" s="1"/>
  <c r="AU555" i="2" s="1"/>
  <c r="AQ959" i="2"/>
  <c r="AS959" i="2" s="1"/>
  <c r="AU959" i="2" s="1"/>
  <c r="AQ573" i="2"/>
  <c r="AS573" i="2" s="1"/>
  <c r="AU573" i="2" s="1"/>
  <c r="AQ219" i="2"/>
  <c r="AS219" i="2" s="1"/>
  <c r="AU219" i="2" s="1"/>
  <c r="AQ526" i="2"/>
  <c r="AS526" i="2" s="1"/>
  <c r="AU526" i="2" s="1"/>
  <c r="AQ1060" i="2"/>
  <c r="AS1060" i="2" s="1"/>
  <c r="AU1060" i="2" s="1"/>
  <c r="AQ482" i="2"/>
  <c r="AS482" i="2" s="1"/>
  <c r="AU482" i="2" s="1"/>
  <c r="AQ1093" i="2"/>
  <c r="AS1093" i="2" s="1"/>
  <c r="AU1093" i="2" s="1"/>
  <c r="AQ735" i="2"/>
  <c r="AS735" i="2" s="1"/>
  <c r="AU735" i="2" s="1"/>
  <c r="AQ48" i="2"/>
  <c r="AS48" i="2" s="1"/>
  <c r="AU48" i="2" s="1"/>
  <c r="AQ390" i="2"/>
  <c r="AS390" i="2" s="1"/>
  <c r="AU390" i="2" s="1"/>
  <c r="AQ724" i="2"/>
  <c r="AS724" i="2" s="1"/>
  <c r="AU724" i="2" s="1"/>
  <c r="AQ1066" i="2"/>
  <c r="AS1066" i="2" s="1"/>
  <c r="AU1066" i="2" s="1"/>
  <c r="AQ766" i="2"/>
  <c r="AS766" i="2" s="1"/>
  <c r="AU766" i="2" s="1"/>
  <c r="AQ52" i="2"/>
  <c r="AS52" i="2" s="1"/>
  <c r="AU52" i="2" s="1"/>
  <c r="AQ365" i="2"/>
  <c r="AS365" i="2" s="1"/>
  <c r="AU365" i="2" s="1"/>
  <c r="AQ353" i="2"/>
  <c r="AS353" i="2" s="1"/>
  <c r="AU353" i="2" s="1"/>
  <c r="AQ855" i="2"/>
  <c r="AS855" i="2" s="1"/>
  <c r="AU855" i="2" s="1"/>
  <c r="AQ700" i="2"/>
  <c r="AS700" i="2" s="1"/>
  <c r="AU700" i="2" s="1"/>
  <c r="AF815" i="2"/>
  <c r="AF982" i="2"/>
  <c r="AF983" i="2" s="1"/>
  <c r="AF1097" i="2"/>
  <c r="N1097" i="16" s="1"/>
  <c r="AM344" i="2"/>
  <c r="AQ631" i="2"/>
  <c r="AS631" i="2" s="1"/>
  <c r="AU631" i="2" s="1"/>
  <c r="AQ602" i="2"/>
  <c r="AS602" i="2" s="1"/>
  <c r="AU602" i="2" s="1"/>
  <c r="AQ313" i="2"/>
  <c r="AS313" i="2" s="1"/>
  <c r="AU313" i="2" s="1"/>
  <c r="AQ541" i="2"/>
  <c r="AS541" i="2" s="1"/>
  <c r="AU541" i="2" s="1"/>
  <c r="AQ454" i="2"/>
  <c r="AS454" i="2" s="1"/>
  <c r="AU454" i="2" s="1"/>
  <c r="AQ122" i="2"/>
  <c r="AS122" i="2" s="1"/>
  <c r="AU122" i="2" s="1"/>
  <c r="AQ777" i="2"/>
  <c r="AS777" i="2" s="1"/>
  <c r="AU777" i="2" s="1"/>
  <c r="AQ161" i="2"/>
  <c r="AS161" i="2" s="1"/>
  <c r="AU161" i="2" s="1"/>
  <c r="AQ750" i="2"/>
  <c r="AS750" i="2" s="1"/>
  <c r="AU750" i="2" s="1"/>
  <c r="AQ517" i="2"/>
  <c r="AS517" i="2" s="1"/>
  <c r="AU517" i="2" s="1"/>
  <c r="AQ822" i="2"/>
  <c r="AS822" i="2" s="1"/>
  <c r="AU822" i="2" s="1"/>
  <c r="AQ350" i="2"/>
  <c r="AS350" i="2" s="1"/>
  <c r="AU350" i="2" s="1"/>
  <c r="AQ970" i="2"/>
  <c r="AS970" i="2" s="1"/>
  <c r="AU970" i="2" s="1"/>
  <c r="AQ177" i="2"/>
  <c r="AQ406" i="2"/>
  <c r="AS406" i="2" s="1"/>
  <c r="AU406" i="2" s="1"/>
  <c r="AQ446" i="2"/>
  <c r="AS446" i="2" s="1"/>
  <c r="AU446" i="2" s="1"/>
  <c r="AQ871" i="2"/>
  <c r="AS871" i="2" s="1"/>
  <c r="AU871" i="2" s="1"/>
  <c r="AQ433" i="2"/>
  <c r="AS433" i="2" s="1"/>
  <c r="AU433" i="2" s="1"/>
  <c r="AQ839" i="2"/>
  <c r="AS839" i="2" s="1"/>
  <c r="AU839" i="2" s="1"/>
  <c r="AF943" i="2"/>
  <c r="AF302" i="2"/>
  <c r="AF637" i="2"/>
  <c r="AN698" i="2"/>
  <c r="AM84" i="2"/>
  <c r="AQ1176" i="2"/>
  <c r="AS1176" i="2" s="1"/>
  <c r="AU1176" i="2" s="1"/>
  <c r="AQ689" i="2"/>
  <c r="AS689" i="2" s="1"/>
  <c r="AU689" i="2" s="1"/>
  <c r="AQ330" i="2"/>
  <c r="AS330" i="2" s="1"/>
  <c r="AU330" i="2" s="1"/>
  <c r="AQ558" i="2"/>
  <c r="AS558" i="2" s="1"/>
  <c r="AU558" i="2" s="1"/>
  <c r="AQ1124" i="2"/>
  <c r="AS1124" i="2" s="1"/>
  <c r="AU1124" i="2" s="1"/>
  <c r="AQ861" i="2"/>
  <c r="AS861" i="2" s="1"/>
  <c r="AU861" i="2" s="1"/>
  <c r="AQ484" i="2"/>
  <c r="AS484" i="2" s="1"/>
  <c r="AU484" i="2" s="1"/>
  <c r="AQ761" i="2"/>
  <c r="AS761" i="2" s="1"/>
  <c r="AU761" i="2" s="1"/>
  <c r="AQ317" i="2"/>
  <c r="AS317" i="2" s="1"/>
  <c r="AU317" i="2" s="1"/>
  <c r="AQ865" i="2"/>
  <c r="AS865" i="2" s="1"/>
  <c r="AU865" i="2" s="1"/>
  <c r="AQ237" i="2"/>
  <c r="AS237" i="2" s="1"/>
  <c r="AU237" i="2" s="1"/>
  <c r="AQ791" i="2"/>
  <c r="AQ533" i="2"/>
  <c r="AS533" i="2" s="1"/>
  <c r="AU533" i="2" s="1"/>
  <c r="AQ986" i="2"/>
  <c r="AS986" i="2" s="1"/>
  <c r="AU986" i="2" s="1"/>
  <c r="AQ459" i="2"/>
  <c r="AS459" i="2" s="1"/>
  <c r="AU459" i="2" s="1"/>
  <c r="AQ1026" i="2"/>
  <c r="AS1026" i="2" s="1"/>
  <c r="AU1026" i="2" s="1"/>
  <c r="AQ254" i="2"/>
  <c r="AS254" i="2" s="1"/>
  <c r="AU254" i="2" s="1"/>
  <c r="AQ853" i="2"/>
  <c r="AS853" i="2" s="1"/>
  <c r="AU853" i="2" s="1"/>
  <c r="AQ474" i="2"/>
  <c r="AS474" i="2" s="1"/>
  <c r="AU474" i="2" s="1"/>
  <c r="AQ956" i="2"/>
  <c r="AS956" i="2" s="1"/>
  <c r="AU956" i="2" s="1"/>
  <c r="AQ553" i="2"/>
  <c r="AS553" i="2" s="1"/>
  <c r="AU553" i="2" s="1"/>
  <c r="AF268" i="2"/>
  <c r="AF652" i="2"/>
  <c r="AF907" i="2"/>
  <c r="N907" i="16" s="1"/>
  <c r="AF565" i="2"/>
  <c r="AQ244" i="2"/>
  <c r="AS244" i="2" s="1"/>
  <c r="AU244" i="2" s="1"/>
  <c r="AQ887" i="2"/>
  <c r="AS887" i="2" s="1"/>
  <c r="AU887" i="2" s="1"/>
  <c r="AQ342" i="2"/>
  <c r="AS342" i="2" s="1"/>
  <c r="AU342" i="2" s="1"/>
  <c r="AQ799" i="2"/>
  <c r="AS799" i="2" s="1"/>
  <c r="AU799" i="2" s="1"/>
  <c r="AQ398" i="2"/>
  <c r="AS398" i="2" s="1"/>
  <c r="AU398" i="2" s="1"/>
  <c r="AQ1191" i="2"/>
  <c r="AS1191" i="2" s="1"/>
  <c r="AU1191" i="2" s="1"/>
  <c r="AQ920" i="2"/>
  <c r="AS920" i="2" s="1"/>
  <c r="AU920" i="2" s="1"/>
  <c r="AQ513" i="2"/>
  <c r="AS513" i="2" s="1"/>
  <c r="AU513" i="2" s="1"/>
  <c r="AQ863" i="2"/>
  <c r="AQ486" i="2"/>
  <c r="AS486" i="2" s="1"/>
  <c r="AU486" i="2" s="1"/>
  <c r="AQ579" i="2"/>
  <c r="AS579" i="2" s="1"/>
  <c r="AU579" i="2" s="1"/>
  <c r="AQ1011" i="2"/>
  <c r="AS1011" i="2" s="1"/>
  <c r="AU1011" i="2" s="1"/>
  <c r="AQ549" i="2"/>
  <c r="AS549" i="2" s="1"/>
  <c r="AU549" i="2" s="1"/>
  <c r="AQ1068" i="2"/>
  <c r="AS1068" i="2" s="1"/>
  <c r="AU1068" i="2" s="1"/>
  <c r="AQ1041" i="2"/>
  <c r="AS1041" i="2" s="1"/>
  <c r="AU1041" i="2" s="1"/>
  <c r="AQ973" i="2"/>
  <c r="AS973" i="2" s="1"/>
  <c r="AU973" i="2" s="1"/>
  <c r="AQ570" i="2"/>
  <c r="AS570" i="2" s="1"/>
  <c r="AU570" i="2" s="1"/>
  <c r="AQ1044" i="2"/>
  <c r="AS1044" i="2" s="1"/>
  <c r="AU1044" i="2" s="1"/>
  <c r="AF613" i="2"/>
  <c r="AF616" i="2"/>
  <c r="AF1077" i="2"/>
  <c r="N1077" i="16" s="1"/>
  <c r="AF1194" i="2"/>
  <c r="AF500" i="2"/>
  <c r="AM857" i="2"/>
  <c r="AM918" i="2"/>
  <c r="AQ477" i="2"/>
  <c r="AS477" i="2" s="1"/>
  <c r="AU477" i="2" s="1"/>
  <c r="AQ916" i="2"/>
  <c r="AS916" i="2" s="1"/>
  <c r="AU916" i="2" s="1"/>
  <c r="AQ450" i="2"/>
  <c r="AS450" i="2" s="1"/>
  <c r="AU450" i="2" s="1"/>
  <c r="AQ875" i="2"/>
  <c r="AS875" i="2" s="1"/>
  <c r="AU875" i="2" s="1"/>
  <c r="AQ437" i="2"/>
  <c r="AS437" i="2" s="1"/>
  <c r="AU437" i="2" s="1"/>
  <c r="AQ947" i="2"/>
  <c r="AS947" i="2" s="1"/>
  <c r="AU947" i="2" s="1"/>
  <c r="AQ119" i="2"/>
  <c r="AS119" i="2" s="1"/>
  <c r="AU119" i="2" s="1"/>
  <c r="AQ892" i="2"/>
  <c r="AS892" i="2" s="1"/>
  <c r="AU892" i="2" s="1"/>
  <c r="AQ965" i="2"/>
  <c r="AQ594" i="2"/>
  <c r="AS594" i="2" s="1"/>
  <c r="AU594" i="2" s="1"/>
  <c r="AQ967" i="2"/>
  <c r="AS967" i="2" s="1"/>
  <c r="AU967" i="2" s="1"/>
  <c r="AQ1024" i="2"/>
  <c r="AS1024" i="2" s="1"/>
  <c r="AU1024" i="2" s="1"/>
  <c r="AQ712" i="2"/>
  <c r="AS712" i="2" s="1"/>
  <c r="AU712" i="2" s="1"/>
  <c r="AQ1102" i="2"/>
  <c r="AS1102" i="2" s="1"/>
  <c r="AU1102" i="2" s="1"/>
  <c r="AQ281" i="2"/>
  <c r="AS281" i="2" s="1"/>
  <c r="AU281" i="2" s="1"/>
  <c r="AQ1070" i="2"/>
  <c r="AS1070" i="2" s="1"/>
  <c r="AU1070" i="2" s="1"/>
  <c r="AQ672" i="2"/>
  <c r="AS672" i="2" s="1"/>
  <c r="AU672" i="2" s="1"/>
  <c r="AQ1119" i="2"/>
  <c r="AS1119" i="2" s="1"/>
  <c r="AU1119" i="2" s="1"/>
  <c r="AQ1107" i="2"/>
  <c r="AS1107" i="2" s="1"/>
  <c r="AU1107" i="2" s="1"/>
  <c r="AF323" i="2"/>
  <c r="AF1149" i="2"/>
  <c r="AF820" i="2"/>
  <c r="AF821" i="2" s="1"/>
  <c r="N821" i="16" s="1"/>
  <c r="AM303" i="2"/>
  <c r="AM449" i="2"/>
  <c r="AM93" i="2"/>
  <c r="AM910" i="2"/>
  <c r="AM282" i="2"/>
  <c r="AN1122" i="2"/>
  <c r="AM170" i="2"/>
  <c r="AM1207" i="2"/>
  <c r="AW411" i="2"/>
  <c r="AW1170" i="2"/>
  <c r="AM535" i="2"/>
  <c r="AM884" i="2"/>
  <c r="AM1150" i="2"/>
  <c r="AM194" i="2"/>
  <c r="AM56" i="2"/>
  <c r="AM1049" i="2"/>
  <c r="AM1130" i="2"/>
  <c r="AM897" i="2"/>
  <c r="AM1111" i="2"/>
  <c r="AM152" i="2"/>
  <c r="AM638" i="2"/>
  <c r="AM554" i="2"/>
  <c r="AW823" i="2"/>
  <c r="AM830" i="2"/>
  <c r="AM1034" i="2"/>
  <c r="AM476" i="2"/>
  <c r="AM662" i="2"/>
  <c r="AN315" i="2"/>
  <c r="AM1195" i="2"/>
  <c r="AM1080" i="2"/>
  <c r="AM1160" i="2"/>
  <c r="AM588" i="2"/>
  <c r="AM896" i="2"/>
  <c r="AM704" i="2"/>
  <c r="AM436" i="2"/>
  <c r="AI1130" i="2"/>
  <c r="AN1130" i="2" s="1"/>
  <c r="AM714" i="2"/>
  <c r="AM1162" i="2"/>
  <c r="AM1058" i="2"/>
  <c r="AM70" i="2"/>
  <c r="AM388" i="2"/>
  <c r="AM670" i="2"/>
  <c r="AM671" i="2"/>
  <c r="AM522" i="2"/>
  <c r="AM572" i="2"/>
  <c r="AM312" i="2"/>
  <c r="AM1084" i="2"/>
  <c r="AM882" i="2"/>
  <c r="AM782" i="2"/>
  <c r="AM771" i="2"/>
  <c r="AM1008" i="2"/>
  <c r="AM307" i="2"/>
  <c r="AM939" i="2"/>
  <c r="AM493" i="2"/>
  <c r="AM687" i="2"/>
  <c r="AM376" i="2"/>
  <c r="AM116" i="2"/>
  <c r="AM397" i="2"/>
  <c r="AM221" i="2"/>
  <c r="AM921" i="2"/>
  <c r="AM608" i="2"/>
  <c r="AN1198" i="2"/>
  <c r="AM823" i="2"/>
  <c r="AM2" i="2"/>
  <c r="AN229" i="2"/>
  <c r="AM1188" i="2"/>
  <c r="AN1204" i="2"/>
  <c r="AN1047" i="2"/>
  <c r="AM1178" i="2"/>
  <c r="AM1192" i="2"/>
  <c r="Z982" i="2"/>
  <c r="AQ981" i="2"/>
  <c r="AS981" i="2" s="1"/>
  <c r="AU981" i="2" s="1"/>
  <c r="Z1097" i="2"/>
  <c r="AQ1096" i="2"/>
  <c r="AS1096" i="2" s="1"/>
  <c r="AU1096" i="2" s="1"/>
  <c r="Z323" i="2"/>
  <c r="B323" i="16" s="1"/>
  <c r="AQ322" i="2"/>
  <c r="AS322" i="2" s="1"/>
  <c r="AU322" i="2" s="1"/>
  <c r="AI961" i="2"/>
  <c r="AM1164" i="2"/>
  <c r="AM902" i="2"/>
  <c r="AM1036" i="2"/>
  <c r="AM559" i="2"/>
  <c r="AM962" i="2"/>
  <c r="Z302" i="2"/>
  <c r="B302" i="16" s="1"/>
  <c r="AQ301" i="2"/>
  <c r="AS301" i="2" s="1"/>
  <c r="AU301" i="2" s="1"/>
  <c r="Z637" i="2"/>
  <c r="B637" i="16" s="1"/>
  <c r="AQ636" i="2"/>
  <c r="AS636" i="2" s="1"/>
  <c r="AU636" i="2" s="1"/>
  <c r="Z369" i="2"/>
  <c r="B369" i="16" s="1"/>
  <c r="AQ368" i="2"/>
  <c r="AS368" i="2" s="1"/>
  <c r="AU368" i="2" s="1"/>
  <c r="AM577" i="2"/>
  <c r="AM1042" i="2"/>
  <c r="AM1133" i="2"/>
  <c r="AN1108" i="2"/>
  <c r="AM1203" i="2"/>
  <c r="AM524" i="2"/>
  <c r="AM730" i="2"/>
  <c r="AM1112" i="2"/>
  <c r="AM1167" i="2"/>
  <c r="AM426" i="2"/>
  <c r="Z1149" i="2"/>
  <c r="B1149" i="16" s="1"/>
  <c r="AQ1148" i="2"/>
  <c r="AS1148" i="2" s="1"/>
  <c r="AU1148" i="2" s="1"/>
  <c r="Z1077" i="2"/>
  <c r="AQ1076" i="2"/>
  <c r="AS1076" i="2" s="1"/>
  <c r="AU1076" i="2" s="1"/>
  <c r="Z815" i="2"/>
  <c r="B815" i="16" s="1"/>
  <c r="AQ814" i="2"/>
  <c r="AS814" i="2" s="1"/>
  <c r="AU814" i="2" s="1"/>
  <c r="Z652" i="2"/>
  <c r="AQ651" i="2"/>
  <c r="AM909" i="2"/>
  <c r="AM598" i="2"/>
  <c r="AM644" i="2"/>
  <c r="AM812" i="2"/>
  <c r="AM634" i="2"/>
  <c r="AM935" i="2"/>
  <c r="Z703" i="2"/>
  <c r="B703" i="16" s="1"/>
  <c r="AQ702" i="2"/>
  <c r="AS702" i="2" s="1"/>
  <c r="AU702" i="2" s="1"/>
  <c r="Z943" i="2"/>
  <c r="B943" i="16" s="1"/>
  <c r="AQ942" i="2"/>
  <c r="AS942" i="2" s="1"/>
  <c r="AU942" i="2" s="1"/>
  <c r="AN391" i="2"/>
  <c r="AM851" i="2"/>
  <c r="AM610" i="2"/>
  <c r="AM1103" i="2"/>
  <c r="AM283" i="2"/>
  <c r="AM1165" i="2"/>
  <c r="AM949" i="2"/>
  <c r="AM1094" i="2"/>
  <c r="AN985" i="2"/>
  <c r="Z844" i="2"/>
  <c r="AQ843" i="2"/>
  <c r="AS843" i="2" s="1"/>
  <c r="AU843" i="2" s="1"/>
  <c r="Z907" i="2"/>
  <c r="AQ906" i="2"/>
  <c r="AS906" i="2" s="1"/>
  <c r="AU906" i="2" s="1"/>
  <c r="Z820" i="2"/>
  <c r="AQ819" i="2"/>
  <c r="Z565" i="2"/>
  <c r="B565" i="16" s="1"/>
  <c r="AQ564" i="2"/>
  <c r="AS564" i="2" s="1"/>
  <c r="AU564" i="2" s="1"/>
  <c r="Z268" i="2"/>
  <c r="B268" i="16" s="1"/>
  <c r="AQ267" i="2"/>
  <c r="AS267" i="2" s="1"/>
  <c r="AU267" i="2" s="1"/>
  <c r="Z613" i="2"/>
  <c r="B613" i="16" s="1"/>
  <c r="AQ612" i="2"/>
  <c r="AS612" i="2" s="1"/>
  <c r="AU612" i="2" s="1"/>
  <c r="AI896" i="2"/>
  <c r="AM770" i="2"/>
  <c r="AM409" i="2"/>
  <c r="AM1155" i="2"/>
  <c r="AM623" i="2"/>
  <c r="AM1197" i="2"/>
  <c r="AM695" i="2"/>
  <c r="AM306" i="2"/>
  <c r="AM419" i="2"/>
  <c r="AM461" i="2"/>
  <c r="AM568" i="2"/>
  <c r="AM754" i="2"/>
  <c r="AM913" i="2"/>
  <c r="AM1201" i="2"/>
  <c r="AM686" i="2"/>
  <c r="AM929" i="2"/>
  <c r="AN1088" i="2"/>
  <c r="AM469" i="2"/>
  <c r="AM778" i="2"/>
  <c r="Z1194" i="2"/>
  <c r="B1194" i="16" s="1"/>
  <c r="AQ1193" i="2"/>
  <c r="AS1193" i="2" s="1"/>
  <c r="AU1193" i="2" s="1"/>
  <c r="Z500" i="2"/>
  <c r="B500" i="16" s="1"/>
  <c r="AQ499" i="2"/>
  <c r="AS499" i="2" s="1"/>
  <c r="AU499" i="2" s="1"/>
  <c r="Z616" i="2"/>
  <c r="B616" i="16" s="1"/>
  <c r="AQ615" i="2"/>
  <c r="AS615" i="2" s="1"/>
  <c r="AU615" i="2" s="1"/>
  <c r="AM1019" i="2"/>
  <c r="AM359" i="2"/>
  <c r="AM816" i="2"/>
  <c r="AM1180" i="2"/>
  <c r="AM143" i="2"/>
  <c r="AM396" i="2"/>
  <c r="AM647" i="2"/>
  <c r="AM1190" i="2"/>
  <c r="AM460" i="2"/>
  <c r="AM988" i="2"/>
  <c r="AM491" i="2"/>
  <c r="AM659" i="2"/>
  <c r="AM941" i="2"/>
  <c r="AM1072" i="2"/>
  <c r="AM192" i="2"/>
  <c r="AM1189" i="2"/>
  <c r="AM1166" i="2"/>
  <c r="AM1206" i="2"/>
  <c r="AM923" i="2"/>
  <c r="AM1064" i="2"/>
  <c r="AM1143" i="2"/>
  <c r="AN901" i="2"/>
  <c r="AM732" i="2"/>
  <c r="AM72" i="2"/>
  <c r="AM455" i="2"/>
  <c r="AM241" i="2"/>
  <c r="AM1105" i="2"/>
  <c r="AM203" i="2"/>
  <c r="AM420" i="2"/>
  <c r="AM462" i="2"/>
  <c r="AM1187" i="2"/>
  <c r="AM630" i="2"/>
  <c r="AM757" i="2"/>
  <c r="AM833" i="2"/>
  <c r="AM187" i="2"/>
  <c r="AM563" i="2"/>
  <c r="AM1083" i="2"/>
  <c r="AM1025" i="2"/>
  <c r="AM76" i="2"/>
  <c r="AM869" i="2"/>
  <c r="AM914" i="2"/>
  <c r="AM957" i="2"/>
  <c r="AM716" i="2"/>
  <c r="AM195" i="2"/>
  <c r="AM948" i="2"/>
  <c r="AM590" i="2"/>
  <c r="AM747" i="2"/>
  <c r="AN1035" i="2"/>
  <c r="AM1082" i="2"/>
  <c r="AM779" i="2"/>
  <c r="AM834" i="2"/>
  <c r="AJ514" i="2"/>
  <c r="AM1137" i="2"/>
  <c r="AM160" i="2"/>
  <c r="AN951" i="2"/>
  <c r="AM1141" i="2"/>
  <c r="AM335" i="2"/>
  <c r="AM1171" i="2"/>
  <c r="AM215" i="2"/>
  <c r="AM354" i="2"/>
  <c r="AM1202" i="2"/>
  <c r="AM682" i="2"/>
  <c r="AM1052" i="2"/>
  <c r="AM596" i="2"/>
  <c r="AN1071" i="2"/>
  <c r="AM1118" i="2"/>
  <c r="AM40" i="2"/>
  <c r="AM448" i="2"/>
  <c r="AM600" i="2"/>
  <c r="AM874" i="2"/>
  <c r="AN1031" i="2"/>
  <c r="AM604" i="2"/>
  <c r="AM439" i="2"/>
  <c r="AM893" i="2"/>
  <c r="AM361" i="2"/>
  <c r="AM456" i="2"/>
  <c r="AM938" i="2"/>
  <c r="AM214" i="2"/>
  <c r="AM584" i="2"/>
  <c r="AM628" i="2"/>
  <c r="AM408" i="2"/>
  <c r="AM885" i="2"/>
  <c r="AM827" i="2"/>
  <c r="AM89" i="2"/>
  <c r="AM431" i="2"/>
  <c r="AM6" i="2"/>
  <c r="AM136" i="2"/>
  <c r="AM1210" i="2"/>
  <c r="AH1097" i="2"/>
  <c r="P1097" i="16" s="1"/>
  <c r="AH965" i="2"/>
  <c r="AK965" i="2"/>
  <c r="AL965" i="2"/>
  <c r="AN965" i="2" s="1"/>
  <c r="AH970" i="2"/>
  <c r="AK970" i="2"/>
  <c r="AL970" i="2"/>
  <c r="AN970" i="2"/>
  <c r="AH301" i="2"/>
  <c r="AM301" i="2"/>
  <c r="AK301" i="2"/>
  <c r="AL301" i="2"/>
  <c r="AH553" i="2"/>
  <c r="AM553" i="2"/>
  <c r="AK553" i="2"/>
  <c r="AL553" i="2"/>
  <c r="AH724" i="2"/>
  <c r="AL724" i="2"/>
  <c r="AK724" i="2"/>
  <c r="AH672" i="2"/>
  <c r="AK672" i="2"/>
  <c r="AL672" i="2"/>
  <c r="AN672" i="2"/>
  <c r="AH530" i="2"/>
  <c r="AK530" i="2"/>
  <c r="AM530" i="2" s="1"/>
  <c r="AL530" i="2"/>
  <c r="AH591" i="2"/>
  <c r="AN591" i="2"/>
  <c r="AK591" i="2"/>
  <c r="AL591" i="2"/>
  <c r="AH855" i="2"/>
  <c r="AK855" i="2"/>
  <c r="AL855" i="2"/>
  <c r="AH365" i="2"/>
  <c r="AK365" i="2"/>
  <c r="AL365" i="2"/>
  <c r="AM365" i="2"/>
  <c r="AI236" i="2"/>
  <c r="AM236" i="2"/>
  <c r="AH916" i="2"/>
  <c r="AK916" i="2"/>
  <c r="AL916" i="2"/>
  <c r="AI1121" i="2"/>
  <c r="AM1121" i="2"/>
  <c r="AI1168" i="2"/>
  <c r="AM1168" i="2"/>
  <c r="AM378" i="2"/>
  <c r="AM429" i="2"/>
  <c r="AM683" i="2"/>
  <c r="AN795" i="2"/>
  <c r="AM16" i="2"/>
  <c r="AN66" i="2"/>
  <c r="AN494" i="2"/>
  <c r="AM539" i="2"/>
  <c r="AH459" i="2"/>
  <c r="AL459" i="2"/>
  <c r="AN459" i="2"/>
  <c r="AK459" i="2"/>
  <c r="AI1132" i="2"/>
  <c r="AM1132" i="2"/>
  <c r="AI435" i="2"/>
  <c r="AM435" i="2"/>
  <c r="AM37" i="2"/>
  <c r="AN188" i="2"/>
  <c r="AN642" i="2"/>
  <c r="AN38" i="2"/>
  <c r="AM176" i="2"/>
  <c r="AM153" i="2"/>
  <c r="AN231" i="2"/>
  <c r="AM286" i="2"/>
  <c r="AH433" i="2"/>
  <c r="AK433" i="2"/>
  <c r="AL433" i="2"/>
  <c r="AN433" i="2" s="1"/>
  <c r="AH1068" i="2"/>
  <c r="AL1068" i="2"/>
  <c r="AN1068" i="2"/>
  <c r="AK1068" i="2"/>
  <c r="AH526" i="2"/>
  <c r="AN526" i="2"/>
  <c r="AK526" i="2"/>
  <c r="AL526" i="2"/>
  <c r="AH1119" i="2"/>
  <c r="AL1119" i="2"/>
  <c r="AK1119" i="2"/>
  <c r="AN1119" i="2"/>
  <c r="AH406" i="2"/>
  <c r="AL406" i="2"/>
  <c r="AK406" i="2"/>
  <c r="AH533" i="2"/>
  <c r="AK533" i="2"/>
  <c r="AL533" i="2"/>
  <c r="AM533" i="2"/>
  <c r="AH281" i="2"/>
  <c r="AK281" i="2"/>
  <c r="AM281" i="2" s="1"/>
  <c r="AL281" i="2"/>
  <c r="AH330" i="2"/>
  <c r="AK330" i="2"/>
  <c r="AM330" i="2" s="1"/>
  <c r="AL330" i="2"/>
  <c r="AH479" i="2"/>
  <c r="AK479" i="2"/>
  <c r="AL479" i="2"/>
  <c r="AH814" i="2"/>
  <c r="AL814" i="2"/>
  <c r="AK814" i="2"/>
  <c r="AH777" i="2"/>
  <c r="AK777" i="2"/>
  <c r="AM777" i="2" s="1"/>
  <c r="AL777" i="2"/>
  <c r="AH791" i="2"/>
  <c r="AK791" i="2"/>
  <c r="AL791" i="2"/>
  <c r="AH822" i="2"/>
  <c r="AL822" i="2"/>
  <c r="AK822" i="2"/>
  <c r="AM822" i="2" s="1"/>
  <c r="AH702" i="2"/>
  <c r="AK702" i="2"/>
  <c r="AL702" i="2"/>
  <c r="AH446" i="2"/>
  <c r="AK446" i="2"/>
  <c r="AN446" i="2"/>
  <c r="AL446" i="2"/>
  <c r="AH1076" i="2"/>
  <c r="AL1076" i="2"/>
  <c r="AK1076" i="2"/>
  <c r="AM1076" i="2" s="1"/>
  <c r="AH1024" i="2"/>
  <c r="AK1024" i="2"/>
  <c r="AN1024" i="2"/>
  <c r="AL1024" i="2"/>
  <c r="AH674" i="2"/>
  <c r="AL674" i="2"/>
  <c r="AN674" i="2"/>
  <c r="AK674" i="2"/>
  <c r="AI263" i="2"/>
  <c r="AI1135" i="2"/>
  <c r="AN1135" i="2" s="1"/>
  <c r="AM1135" i="2"/>
  <c r="AI1163" i="2"/>
  <c r="AM1163" i="2"/>
  <c r="AI717" i="2"/>
  <c r="AM717" i="2"/>
  <c r="AI540" i="2"/>
  <c r="AM540" i="2"/>
  <c r="AI1196" i="2"/>
  <c r="AN1196" i="2" s="1"/>
  <c r="AM1196" i="2"/>
  <c r="AM87" i="2"/>
  <c r="AM239" i="2"/>
  <c r="AM292" i="2"/>
  <c r="AN1039" i="2"/>
  <c r="AN88" i="2"/>
  <c r="AM280" i="2"/>
  <c r="AN337" i="2"/>
  <c r="AN490" i="2"/>
  <c r="AN836" i="2"/>
  <c r="AM1069" i="2"/>
  <c r="AM205" i="2"/>
  <c r="AM245" i="2"/>
  <c r="AM297" i="2"/>
  <c r="AH513" i="2"/>
  <c r="AK513" i="2"/>
  <c r="AL513" i="2"/>
  <c r="AH237" i="2"/>
  <c r="AK237" i="2"/>
  <c r="AL237" i="2"/>
  <c r="AN237" i="2"/>
  <c r="AH612" i="2"/>
  <c r="AK612" i="2"/>
  <c r="AL612" i="2"/>
  <c r="AH517" i="2"/>
  <c r="AN517" i="2"/>
  <c r="AH636" i="2"/>
  <c r="AL636" i="2"/>
  <c r="AK636" i="2"/>
  <c r="AH52" i="2"/>
  <c r="AK52" i="2"/>
  <c r="AN52" i="2"/>
  <c r="AL52" i="2"/>
  <c r="AM645" i="2"/>
  <c r="AI587" i="2"/>
  <c r="AM587" i="2"/>
  <c r="AH1038" i="2"/>
  <c r="AL1038" i="2"/>
  <c r="AK1038" i="2"/>
  <c r="AH570" i="2"/>
  <c r="AK570" i="2"/>
  <c r="AL570" i="2"/>
  <c r="AM570" i="2"/>
  <c r="AH712" i="2"/>
  <c r="AK712" i="2"/>
  <c r="AL712" i="2"/>
  <c r="AH1124" i="2"/>
  <c r="AK1124" i="2"/>
  <c r="AL1124" i="2"/>
  <c r="AH865" i="2"/>
  <c r="AK865" i="2"/>
  <c r="AL865" i="2"/>
  <c r="AM865" i="2"/>
  <c r="AI1158" i="2"/>
  <c r="AM1158" i="2"/>
  <c r="AI917" i="2"/>
  <c r="AM917" i="2"/>
  <c r="AN50" i="2"/>
  <c r="AN349" i="2"/>
  <c r="AM489" i="2"/>
  <c r="AM926" i="2"/>
  <c r="AN395" i="2"/>
  <c r="AM617" i="2"/>
  <c r="AI1175" i="2"/>
  <c r="AM1175" i="2"/>
  <c r="AH615" i="2"/>
  <c r="AK615" i="2"/>
  <c r="AL615" i="2"/>
  <c r="AH558" i="2"/>
  <c r="AL558" i="2"/>
  <c r="AK558" i="2"/>
  <c r="AH625" i="2"/>
  <c r="AK625" i="2"/>
  <c r="AL625" i="2"/>
  <c r="AH735" i="2"/>
  <c r="AH930" i="2"/>
  <c r="AH1044" i="2"/>
  <c r="AK1044" i="2"/>
  <c r="AL1044" i="2"/>
  <c r="AH947" i="2"/>
  <c r="AK947" i="2"/>
  <c r="AL947" i="2"/>
  <c r="AH1107" i="2"/>
  <c r="AL1107" i="2"/>
  <c r="AM1107" i="2"/>
  <c r="AK1107" i="2"/>
  <c r="AH853" i="2"/>
  <c r="AK853" i="2"/>
  <c r="AL853" i="2"/>
  <c r="AH564" i="2"/>
  <c r="AL564" i="2"/>
  <c r="AK564" i="2"/>
  <c r="AH134" i="2"/>
  <c r="AK134" i="2"/>
  <c r="AN134" i="2"/>
  <c r="AL134" i="2"/>
  <c r="AH700" i="2"/>
  <c r="AL700" i="2"/>
  <c r="AN700" i="2" s="1"/>
  <c r="AK700" i="2"/>
  <c r="AI969" i="2"/>
  <c r="AM969" i="2"/>
  <c r="AI374" i="2"/>
  <c r="AM374" i="2"/>
  <c r="AJ1021" i="2"/>
  <c r="AN200" i="2"/>
  <c r="AN443" i="2"/>
  <c r="AM1211" i="2"/>
  <c r="AM13" i="2"/>
  <c r="AM63" i="2"/>
  <c r="AM99" i="2"/>
  <c r="AM150" i="2"/>
  <c r="AM252" i="2"/>
  <c r="AN752" i="2"/>
  <c r="AN1101" i="2"/>
  <c r="AM473" i="2"/>
  <c r="AN115" i="2"/>
  <c r="AM167" i="2"/>
  <c r="AM204" i="2"/>
  <c r="AM296" i="2"/>
  <c r="AH1191" i="2"/>
  <c r="AK1191" i="2"/>
  <c r="AL1191" i="2"/>
  <c r="AH631" i="2"/>
  <c r="AK631" i="2"/>
  <c r="AL631" i="2"/>
  <c r="AN631" i="2"/>
  <c r="AH875" i="2"/>
  <c r="AL875" i="2"/>
  <c r="AN875" i="2"/>
  <c r="AK875" i="2"/>
  <c r="AH959" i="2"/>
  <c r="AK959" i="2"/>
  <c r="AL959" i="2"/>
  <c r="AH1102" i="2"/>
  <c r="AL1102" i="2"/>
  <c r="AK1102" i="2"/>
  <c r="AH1104" i="2"/>
  <c r="AK1104" i="2"/>
  <c r="AL1104" i="2"/>
  <c r="AH119" i="2"/>
  <c r="AK119" i="2"/>
  <c r="AL119" i="2"/>
  <c r="AM119" i="2"/>
  <c r="AH1151" i="2"/>
  <c r="AL1151" i="2"/>
  <c r="AK1151" i="2"/>
  <c r="AN1151" i="2"/>
  <c r="AH594" i="2"/>
  <c r="AK594" i="2"/>
  <c r="AL594" i="2"/>
  <c r="AH122" i="2"/>
  <c r="AK122" i="2"/>
  <c r="AL122" i="2"/>
  <c r="AH799" i="2"/>
  <c r="AL799" i="2"/>
  <c r="AK799" i="2"/>
  <c r="AI932" i="2"/>
  <c r="AM932" i="2"/>
  <c r="AI1185" i="2"/>
  <c r="AM1185" i="2"/>
  <c r="AI933" i="2"/>
  <c r="AM933" i="2"/>
  <c r="AH267" i="2"/>
  <c r="AK267" i="2"/>
  <c r="AL267" i="2"/>
  <c r="AH313" i="2"/>
  <c r="AL313" i="2"/>
  <c r="AN313" i="2"/>
  <c r="AK313" i="2"/>
  <c r="AH887" i="2"/>
  <c r="AL887" i="2"/>
  <c r="AK887" i="2"/>
  <c r="AM887" i="2" s="1"/>
  <c r="AH942" i="2"/>
  <c r="AL942" i="2"/>
  <c r="AN942" i="2"/>
  <c r="AK942" i="2"/>
  <c r="AH1070" i="2"/>
  <c r="AK1070" i="2"/>
  <c r="AL1070" i="2"/>
  <c r="AN1070" i="2"/>
  <c r="AH1131" i="2"/>
  <c r="AK1131" i="2"/>
  <c r="AL1131" i="2"/>
  <c r="AH819" i="2"/>
  <c r="AK819" i="2"/>
  <c r="AL819" i="2"/>
  <c r="AH322" i="2"/>
  <c r="AL322" i="2"/>
  <c r="AN322" i="2" s="1"/>
  <c r="AK322" i="2"/>
  <c r="AH48" i="2"/>
  <c r="AK48" i="2"/>
  <c r="AM48" i="2" s="1"/>
  <c r="AL48" i="2"/>
  <c r="AH839" i="2"/>
  <c r="AK839" i="2"/>
  <c r="AL839" i="2"/>
  <c r="AN839" i="2"/>
  <c r="AH317" i="2"/>
  <c r="AK317" i="2"/>
  <c r="AL317" i="2"/>
  <c r="AN317" i="2"/>
  <c r="AH892" i="2"/>
  <c r="AI8" i="2"/>
  <c r="AM8" i="2"/>
  <c r="AI11" i="2"/>
  <c r="AM11" i="2"/>
  <c r="AI1013" i="2"/>
  <c r="AN1013" i="2" s="1"/>
  <c r="AM1013" i="2"/>
  <c r="AI1200" i="2"/>
  <c r="AM1200" i="2"/>
  <c r="AI768" i="2"/>
  <c r="AM768" i="2"/>
  <c r="AJ1014" i="2"/>
  <c r="AM1146" i="2"/>
  <c r="AM363" i="2"/>
  <c r="AN953" i="2"/>
  <c r="AN64" i="2"/>
  <c r="AM100" i="2"/>
  <c r="AN405" i="2"/>
  <c r="AM825" i="2"/>
  <c r="AM394" i="2"/>
  <c r="AH640" i="2"/>
  <c r="AK640" i="2"/>
  <c r="AL640" i="2"/>
  <c r="AH437" i="2"/>
  <c r="AN437" i="2"/>
  <c r="AK437" i="2"/>
  <c r="AL437" i="2"/>
  <c r="AH573" i="2"/>
  <c r="AN573" i="2"/>
  <c r="AK573" i="2"/>
  <c r="AL573" i="2"/>
  <c r="AH1193" i="2"/>
  <c r="AL1193" i="2"/>
  <c r="AN1193" i="2"/>
  <c r="AK1193" i="2"/>
  <c r="AH254" i="2"/>
  <c r="AK254" i="2"/>
  <c r="AL254" i="2"/>
  <c r="AN254" i="2"/>
  <c r="AH450" i="2"/>
  <c r="AK450" i="2"/>
  <c r="AL450" i="2"/>
  <c r="AH750" i="2"/>
  <c r="AK750" i="2"/>
  <c r="AL750" i="2"/>
  <c r="AH766" i="2"/>
  <c r="AK766" i="2"/>
  <c r="AL766" i="2"/>
  <c r="AN766" i="2" s="1"/>
  <c r="AH689" i="2"/>
  <c r="AK689" i="2"/>
  <c r="AL689" i="2"/>
  <c r="AN689" i="2"/>
  <c r="AH761" i="2"/>
  <c r="AN761" i="2"/>
  <c r="AH967" i="2"/>
  <c r="AK967" i="2"/>
  <c r="AL967" i="2"/>
  <c r="AN967" i="2"/>
  <c r="AI403" i="2"/>
  <c r="AM403" i="2"/>
  <c r="AH651" i="2"/>
  <c r="AK651" i="2"/>
  <c r="AL651" i="2"/>
  <c r="AH486" i="2"/>
  <c r="AK486" i="2"/>
  <c r="AL486" i="2"/>
  <c r="AN486" i="2"/>
  <c r="AH477" i="2"/>
  <c r="AK477" i="2"/>
  <c r="AL477" i="2"/>
  <c r="AN477" i="2"/>
  <c r="AH523" i="2"/>
  <c r="P523" i="16" s="1"/>
  <c r="AK523" i="2"/>
  <c r="AL523" i="2"/>
  <c r="AN523" i="2"/>
  <c r="AH861" i="2"/>
  <c r="AL861" i="2"/>
  <c r="AK861" i="2"/>
  <c r="AH863" i="2"/>
  <c r="AK863" i="2"/>
  <c r="AL863" i="2"/>
  <c r="AH906" i="2"/>
  <c r="AK906" i="2"/>
  <c r="AL906" i="2"/>
  <c r="AM906" i="2"/>
  <c r="AH769" i="2"/>
  <c r="AL769" i="2"/>
  <c r="AK769" i="2"/>
  <c r="AH474" i="2"/>
  <c r="AK474" i="2"/>
  <c r="AL474" i="2"/>
  <c r="AN474" i="2"/>
  <c r="AH602" i="2"/>
  <c r="AK602" i="2"/>
  <c r="AL602" i="2"/>
  <c r="AH244" i="2"/>
  <c r="AK244" i="2"/>
  <c r="AL244" i="2"/>
  <c r="AH843" i="2"/>
  <c r="AK843" i="2"/>
  <c r="AL843" i="2"/>
  <c r="AH342" i="2"/>
  <c r="AM342" i="2"/>
  <c r="AL342" i="2"/>
  <c r="AK342" i="2"/>
  <c r="AH956" i="2"/>
  <c r="AK956" i="2"/>
  <c r="AL956" i="2"/>
  <c r="AH973" i="2"/>
  <c r="AL973" i="2"/>
  <c r="AK973" i="2"/>
  <c r="AH482" i="2"/>
  <c r="AK482" i="2"/>
  <c r="AL482" i="2"/>
  <c r="AH177" i="2"/>
  <c r="AN177" i="2"/>
  <c r="AL177" i="2"/>
  <c r="AK177" i="2"/>
  <c r="AH920" i="2"/>
  <c r="AK920" i="2"/>
  <c r="AL920" i="2"/>
  <c r="AH390" i="2"/>
  <c r="AK390" i="2"/>
  <c r="AL390" i="2"/>
  <c r="AM390" i="2"/>
  <c r="AH326" i="2"/>
  <c r="AN326" i="2"/>
  <c r="AK326" i="2"/>
  <c r="AL326" i="2"/>
  <c r="AH871" i="2"/>
  <c r="AK871" i="2"/>
  <c r="AL871" i="2"/>
  <c r="AM871" i="2"/>
  <c r="AH1060" i="2"/>
  <c r="AN1060" i="2"/>
  <c r="AL1060" i="2"/>
  <c r="AK1060" i="2"/>
  <c r="AI382" i="2"/>
  <c r="AM382" i="2"/>
  <c r="AI173" i="2"/>
  <c r="AM173" i="2"/>
  <c r="AI1089" i="2"/>
  <c r="AN1089" i="2" s="1"/>
  <c r="AM1089" i="2"/>
  <c r="AM111" i="2"/>
  <c r="AM265" i="2"/>
  <c r="AM404" i="2"/>
  <c r="AN518" i="2"/>
  <c r="AM151" i="2"/>
  <c r="AM253" i="2"/>
  <c r="AN657" i="2"/>
  <c r="AM852" i="2"/>
  <c r="AN940" i="2"/>
  <c r="AM1086" i="2"/>
  <c r="AM810" i="2"/>
  <c r="AM915" i="2"/>
  <c r="AM1017" i="2"/>
  <c r="AH219" i="2"/>
  <c r="AL219" i="2"/>
  <c r="AM219" i="2"/>
  <c r="AK219" i="2"/>
  <c r="AH368" i="2"/>
  <c r="AK368" i="2"/>
  <c r="AL368" i="2"/>
  <c r="AH1026" i="2"/>
  <c r="AK1026" i="2"/>
  <c r="AL1026" i="2"/>
  <c r="AH1041" i="2"/>
  <c r="AK1041" i="2"/>
  <c r="AL1041" i="2"/>
  <c r="AH510" i="2"/>
  <c r="AK510" i="2"/>
  <c r="AL510" i="2"/>
  <c r="AM510" i="2"/>
  <c r="AH454" i="2"/>
  <c r="AK454" i="2"/>
  <c r="AL454" i="2"/>
  <c r="AH978" i="2"/>
  <c r="AK978" i="2"/>
  <c r="AL978" i="2"/>
  <c r="AN978" i="2"/>
  <c r="AH981" i="2"/>
  <c r="AH353" i="2"/>
  <c r="AK353" i="2"/>
  <c r="AL353" i="2"/>
  <c r="AH986" i="2"/>
  <c r="AK986" i="2"/>
  <c r="AM986" i="2" s="1"/>
  <c r="AL986" i="2"/>
  <c r="AH161" i="2"/>
  <c r="AK161" i="2"/>
  <c r="AL161" i="2"/>
  <c r="AN161" i="2"/>
  <c r="AH739" i="2"/>
  <c r="AK739" i="2"/>
  <c r="AL739" i="2"/>
  <c r="AI329" i="2"/>
  <c r="AM329" i="2"/>
  <c r="AI35" i="2"/>
  <c r="AM35" i="2"/>
  <c r="AI110" i="2"/>
  <c r="AM110" i="2"/>
  <c r="AI576" i="2"/>
  <c r="AW576" i="2" s="1"/>
  <c r="AM576" i="2"/>
  <c r="AM212" i="2"/>
  <c r="AM458" i="2"/>
  <c r="AN711" i="2"/>
  <c r="AN364" i="2"/>
  <c r="AM1144" i="2"/>
  <c r="AM181" i="2"/>
  <c r="AH1066" i="2"/>
  <c r="AK1066" i="2"/>
  <c r="AM1066" i="2" s="1"/>
  <c r="AL1066" i="2"/>
  <c r="AH484" i="2"/>
  <c r="AM484" i="2"/>
  <c r="AL484" i="2"/>
  <c r="AK484" i="2"/>
  <c r="AH1148" i="2"/>
  <c r="AK1148" i="2"/>
  <c r="AL1148" i="2"/>
  <c r="AH1011" i="2"/>
  <c r="AK1011" i="2"/>
  <c r="AL1011" i="2"/>
  <c r="AN1011" i="2" s="1"/>
  <c r="AH1096" i="2"/>
  <c r="AI1129" i="2"/>
  <c r="AN1129" i="2" s="1"/>
  <c r="AM1129" i="2"/>
  <c r="AI1140" i="2"/>
  <c r="AM1140" i="2"/>
  <c r="AN279" i="2"/>
  <c r="AM1067" i="2"/>
  <c r="AN646" i="2"/>
  <c r="AN92" i="2"/>
  <c r="AM130" i="2"/>
  <c r="AI654" i="2"/>
  <c r="AM654" i="2"/>
  <c r="AH233" i="2"/>
  <c r="AK233" i="2"/>
  <c r="AL233" i="2"/>
  <c r="AH549" i="2"/>
  <c r="AK549" i="2"/>
  <c r="AL549" i="2"/>
  <c r="AH1156" i="2"/>
  <c r="AK1156" i="2"/>
  <c r="AL1156" i="2"/>
  <c r="AN1156" i="2"/>
  <c r="AH398" i="2"/>
  <c r="AN398" i="2"/>
  <c r="AK398" i="2"/>
  <c r="AL398" i="2"/>
  <c r="AH555" i="2"/>
  <c r="AK555" i="2"/>
  <c r="AL555" i="2"/>
  <c r="AH541" i="2"/>
  <c r="AK541" i="2"/>
  <c r="AL541" i="2"/>
  <c r="AN541" i="2"/>
  <c r="AH350" i="2"/>
  <c r="AL350" i="2"/>
  <c r="AK350" i="2"/>
  <c r="AH1176" i="2"/>
  <c r="AL1176" i="2"/>
  <c r="AK1176" i="2"/>
  <c r="AH579" i="2"/>
  <c r="AK579" i="2"/>
  <c r="AL579" i="2"/>
  <c r="AH1093" i="2"/>
  <c r="AL1093" i="2"/>
  <c r="AK1093" i="2"/>
  <c r="AJ728" i="2"/>
  <c r="AM25" i="2"/>
  <c r="AM75" i="2"/>
  <c r="AN125" i="2"/>
  <c r="AN225" i="2"/>
  <c r="AN1159" i="2"/>
  <c r="AM26" i="2"/>
  <c r="AM164" i="2"/>
  <c r="AM213" i="2"/>
  <c r="AM366" i="2"/>
  <c r="AM370" i="2"/>
  <c r="AN773" i="2"/>
  <c r="AI561" i="2"/>
  <c r="AM561" i="2"/>
  <c r="AI966" i="2"/>
  <c r="AM966" i="2"/>
  <c r="AN175" i="2"/>
  <c r="AN336" i="2"/>
  <c r="AM417" i="2"/>
  <c r="AM534" i="2"/>
  <c r="AN780" i="2"/>
  <c r="AM925" i="2"/>
  <c r="AM226" i="2"/>
  <c r="AN321" i="2"/>
  <c r="AM65" i="2"/>
  <c r="AN505" i="2"/>
  <c r="AN552" i="2"/>
  <c r="AM55" i="2"/>
  <c r="AN142" i="2"/>
  <c r="AM504" i="2"/>
  <c r="AN824" i="2"/>
  <c r="AN1000" i="2"/>
  <c r="AM165" i="2"/>
  <c r="AN255" i="2"/>
  <c r="AM294" i="2"/>
  <c r="AM520" i="2"/>
  <c r="AM955" i="2"/>
  <c r="AM128" i="2"/>
  <c r="AM475" i="2"/>
  <c r="AN629" i="2"/>
  <c r="AM809" i="2"/>
  <c r="AM899" i="2"/>
  <c r="AM990" i="2"/>
  <c r="AM1120" i="2"/>
  <c r="AN17" i="2"/>
  <c r="AM243" i="2"/>
  <c r="AM743" i="2"/>
  <c r="AN784" i="2"/>
  <c r="AM886" i="2"/>
  <c r="AN18" i="2"/>
  <c r="AM193" i="2"/>
  <c r="AM356" i="2"/>
  <c r="AM632" i="2"/>
  <c r="AN811" i="2"/>
  <c r="AM182" i="2"/>
  <c r="AN465" i="2"/>
  <c r="AM745" i="2"/>
  <c r="AM1205" i="2"/>
  <c r="AM157" i="2"/>
  <c r="AN649" i="2"/>
  <c r="AM746" i="2"/>
  <c r="AN846" i="2"/>
  <c r="AM890" i="2"/>
  <c r="AM83" i="2"/>
  <c r="AM400" i="2"/>
  <c r="AM692" i="2"/>
  <c r="AN831" i="2"/>
  <c r="AN1062" i="2"/>
  <c r="AN60" i="2"/>
  <c r="AM485" i="2"/>
  <c r="AN592" i="2"/>
  <c r="AN832" i="2"/>
  <c r="AN501" i="2"/>
  <c r="AM546" i="2"/>
  <c r="AN736" i="2"/>
  <c r="AN790" i="2"/>
  <c r="AM24" i="2"/>
  <c r="AN199" i="2"/>
  <c r="AM291" i="2"/>
  <c r="AN532" i="2"/>
  <c r="AM624" i="2"/>
  <c r="AM952" i="2"/>
  <c r="AM998" i="2"/>
  <c r="AM1183" i="2"/>
  <c r="AN384" i="2"/>
  <c r="AM20" i="2"/>
  <c r="AM260" i="2"/>
  <c r="AN399" i="2"/>
  <c r="AN496" i="2"/>
  <c r="AM1091" i="2"/>
  <c r="AM453" i="2"/>
  <c r="AM788" i="2"/>
  <c r="AM980" i="2"/>
  <c r="AN10" i="2"/>
  <c r="AN346" i="2"/>
  <c r="AN440" i="2"/>
  <c r="AM47" i="2"/>
  <c r="AM85" i="2"/>
  <c r="AN694" i="2"/>
  <c r="AN74" i="2"/>
  <c r="AM162" i="2"/>
  <c r="AN251" i="2"/>
  <c r="AM305" i="2"/>
  <c r="AN348" i="2"/>
  <c r="AN179" i="2"/>
  <c r="AM309" i="2"/>
  <c r="AN585" i="2"/>
  <c r="AN257" i="2"/>
  <c r="AN355" i="2"/>
  <c r="AM840" i="2"/>
  <c r="AM68" i="2"/>
  <c r="AN828" i="2"/>
  <c r="AM976" i="2"/>
  <c r="AN574" i="2"/>
  <c r="AN705" i="2"/>
  <c r="AM800" i="2"/>
  <c r="AN1090" i="2"/>
  <c r="AN118" i="2"/>
  <c r="AN207" i="2"/>
  <c r="AN452" i="2"/>
  <c r="AM511" i="2"/>
  <c r="AM706" i="2"/>
  <c r="AN1033" i="2"/>
  <c r="AN1138" i="2"/>
  <c r="AM33" i="2"/>
  <c r="AN184" i="2"/>
  <c r="AM275" i="2"/>
  <c r="AN650" i="2"/>
  <c r="AM802" i="2"/>
  <c r="AM934" i="2"/>
  <c r="AM995" i="2"/>
  <c r="AM360" i="2"/>
  <c r="AM401" i="2"/>
  <c r="AM693" i="2"/>
  <c r="AM789" i="2"/>
  <c r="AM848" i="2"/>
  <c r="AN1181" i="2"/>
  <c r="AM415" i="2"/>
  <c r="AN749" i="2"/>
  <c r="AN36" i="2"/>
  <c r="AN124" i="2"/>
  <c r="AM211" i="2"/>
  <c r="AM548" i="2"/>
  <c r="AN696" i="2"/>
  <c r="AM793" i="2"/>
  <c r="AM987" i="2"/>
  <c r="AM1199" i="2"/>
  <c r="AM112" i="2"/>
  <c r="AN418" i="2"/>
  <c r="AN519" i="2"/>
  <c r="AN697" i="2"/>
  <c r="AM781" i="2"/>
  <c r="AM883" i="2"/>
  <c r="AN1054" i="2"/>
  <c r="AM3" i="2"/>
  <c r="AN352" i="2"/>
  <c r="AN536" i="2"/>
  <c r="AN870" i="2"/>
  <c r="AM1145" i="2"/>
  <c r="AN1186" i="2"/>
  <c r="AM4" i="2"/>
  <c r="AN54" i="2"/>
  <c r="AM90" i="2"/>
  <c r="AM492" i="2"/>
  <c r="AN826" i="2"/>
  <c r="AM1134" i="2"/>
  <c r="AM29" i="2"/>
  <c r="AN571" i="2"/>
  <c r="AM900" i="2"/>
  <c r="AM991" i="2"/>
  <c r="AM1030" i="2"/>
  <c r="AN30" i="2"/>
  <c r="AM155" i="2"/>
  <c r="AN410" i="2"/>
  <c r="AN508" i="2"/>
  <c r="AM688" i="2"/>
  <c r="AN772" i="2"/>
  <c r="AM19" i="2"/>
  <c r="AM57" i="2"/>
  <c r="AN343" i="2"/>
  <c r="AN619" i="2"/>
  <c r="AM758" i="2"/>
  <c r="AN220" i="2"/>
  <c r="AM358" i="2"/>
  <c r="AN412" i="2"/>
  <c r="AM994" i="2"/>
  <c r="AN1179" i="2"/>
  <c r="AN413" i="2"/>
  <c r="AM605" i="2"/>
  <c r="AN707" i="2"/>
  <c r="AM197" i="2"/>
  <c r="AM249" i="2"/>
  <c r="AN606" i="2"/>
  <c r="AN950" i="2"/>
  <c r="AM318" i="2"/>
  <c r="AM562" i="2"/>
  <c r="AM607" i="2"/>
  <c r="AM894" i="2"/>
  <c r="AM1128" i="2"/>
  <c r="AM881" i="2"/>
  <c r="AN1010" i="2"/>
  <c r="AN1100" i="2"/>
  <c r="AM266" i="2"/>
  <c r="AN472" i="2"/>
  <c r="AM627" i="2"/>
  <c r="AM178" i="2"/>
  <c r="AM269" i="2"/>
  <c r="AM308" i="2"/>
  <c r="AM445" i="2"/>
  <c r="AM685" i="2"/>
  <c r="AM808" i="2"/>
  <c r="AM141" i="2"/>
  <c r="AM191" i="2"/>
  <c r="AM447" i="2"/>
  <c r="AM537" i="2"/>
  <c r="AN728" i="2"/>
  <c r="AN129" i="2"/>
  <c r="AM216" i="2"/>
  <c r="AN310" i="2"/>
  <c r="AN434" i="2"/>
  <c r="AM797" i="2"/>
  <c r="AM944" i="2"/>
  <c r="AM1045" i="2"/>
  <c r="AM258" i="2"/>
  <c r="AN371" i="2"/>
  <c r="AM556" i="2"/>
  <c r="AN105" i="2"/>
  <c r="AM246" i="2"/>
  <c r="AM298" i="2"/>
  <c r="AM525" i="2"/>
  <c r="AM859" i="2"/>
  <c r="AM32" i="2"/>
  <c r="AN82" i="2"/>
  <c r="AN663" i="2"/>
  <c r="AN860" i="2"/>
  <c r="AN1048" i="2"/>
  <c r="AN45" i="2"/>
  <c r="AN146" i="2"/>
  <c r="AM234" i="2"/>
  <c r="AM512" i="2"/>
  <c r="AM904" i="2"/>
  <c r="AM108" i="2"/>
  <c r="AM159" i="2"/>
  <c r="AM262" i="2"/>
  <c r="AH499" i="2"/>
  <c r="AK499" i="2"/>
  <c r="AL499" i="2"/>
  <c r="AM499" i="2"/>
  <c r="AN708" i="2"/>
  <c r="AN905" i="2"/>
  <c r="AM97" i="2"/>
  <c r="AM186" i="2"/>
  <c r="AM515" i="2"/>
  <c r="AN709" i="2"/>
  <c r="AM804" i="2"/>
  <c r="AM997" i="2"/>
  <c r="AN1169" i="2"/>
  <c r="AN1209" i="2"/>
  <c r="AM174" i="2"/>
  <c r="AN362" i="2"/>
  <c r="AN547" i="2"/>
  <c r="AM968" i="2"/>
  <c r="AM379" i="2"/>
  <c r="AM1117" i="2"/>
  <c r="AM53" i="2"/>
  <c r="AN407" i="2"/>
  <c r="AN927" i="2"/>
  <c r="AM989" i="2"/>
  <c r="AN1161" i="2"/>
  <c r="AN270" i="2"/>
  <c r="AN367" i="2"/>
  <c r="AM91" i="2"/>
  <c r="AN538" i="2"/>
  <c r="AM80" i="2"/>
  <c r="AN311" i="2"/>
  <c r="AM464" i="2"/>
  <c r="AN888" i="2"/>
  <c r="AM992" i="2"/>
  <c r="AN1074" i="2"/>
  <c r="AN1136" i="2"/>
  <c r="AN259" i="2"/>
  <c r="AN274" i="2"/>
  <c r="AM719" i="2"/>
  <c r="AN813" i="2"/>
  <c r="AM95" i="2"/>
  <c r="AN467" i="2"/>
  <c r="AM847" i="2"/>
  <c r="AM1050" i="2"/>
  <c r="AN61" i="2"/>
  <c r="AN148" i="2"/>
  <c r="AN334" i="2"/>
  <c r="AN427" i="2"/>
  <c r="AN319" i="2"/>
  <c r="AN737" i="2"/>
  <c r="AN895" i="2"/>
  <c r="AN1115" i="2"/>
  <c r="AM566" i="2"/>
  <c r="AM609" i="2"/>
  <c r="AM806" i="2"/>
  <c r="AN999" i="2"/>
  <c r="AN126" i="2"/>
  <c r="AM430" i="2"/>
  <c r="AM753" i="2"/>
  <c r="AM15" i="2"/>
  <c r="AM101" i="2"/>
  <c r="AM190" i="2"/>
  <c r="AN227" i="2"/>
  <c r="AN324" i="2"/>
  <c r="AN551" i="2"/>
  <c r="AM1028" i="2"/>
  <c r="AN102" i="2"/>
  <c r="AM228" i="2"/>
  <c r="AN783" i="2"/>
  <c r="AM838" i="2"/>
  <c r="AM1015" i="2"/>
  <c r="AM1056" i="2"/>
  <c r="AM41" i="2"/>
  <c r="AM586" i="2"/>
  <c r="AN958" i="2"/>
  <c r="AN42" i="2"/>
  <c r="AM168" i="2"/>
  <c r="AM217" i="2"/>
  <c r="AN328" i="2"/>
  <c r="AM841" i="2"/>
  <c r="AN1004" i="2"/>
  <c r="AM1177" i="2"/>
  <c r="AM156" i="2"/>
  <c r="AN633" i="2"/>
  <c r="AM977" i="2"/>
  <c r="AN1110" i="2"/>
  <c r="AN1152" i="2"/>
  <c r="AM466" i="2"/>
  <c r="AN527" i="2"/>
  <c r="AM1006" i="2"/>
  <c r="AM196" i="2"/>
  <c r="AN425" i="2"/>
  <c r="AM760" i="2"/>
  <c r="AM1126" i="2"/>
  <c r="AN375" i="2"/>
  <c r="AN514" i="2"/>
  <c r="AM622" i="2"/>
  <c r="AN864" i="2"/>
  <c r="AN964" i="2"/>
  <c r="AN137" i="2"/>
  <c r="AM377" i="2"/>
  <c r="AM416" i="2"/>
  <c r="AN1065" i="2"/>
  <c r="AN422" i="2"/>
  <c r="AN661" i="2"/>
  <c r="AN945" i="2"/>
  <c r="AM69" i="2"/>
  <c r="AN117" i="2"/>
  <c r="AM206" i="2"/>
  <c r="AM677" i="2"/>
  <c r="AM876" i="2"/>
  <c r="AM1059" i="2"/>
  <c r="AM44" i="2"/>
  <c r="AN183" i="2"/>
  <c r="AN232" i="2"/>
  <c r="AN424" i="2"/>
  <c r="AN877" i="2"/>
  <c r="AN1061" i="2"/>
  <c r="AN1153" i="2"/>
  <c r="AM528" i="2"/>
  <c r="AM720" i="2"/>
  <c r="AN1007" i="2"/>
  <c r="AM34" i="2"/>
  <c r="AM121" i="2"/>
  <c r="AM172" i="2"/>
  <c r="AM316" i="2"/>
  <c r="AN468" i="2"/>
  <c r="AN721" i="2"/>
  <c r="AM762" i="2"/>
  <c r="AM1113" i="2"/>
  <c r="AM109" i="2"/>
  <c r="AM198" i="2"/>
  <c r="AM290" i="2"/>
  <c r="AM722" i="2"/>
  <c r="AN1182" i="2"/>
  <c r="AM516" i="2"/>
  <c r="AM850" i="2"/>
  <c r="AM1023" i="2"/>
  <c r="AN614" i="2"/>
  <c r="AN699" i="2"/>
  <c r="AN974" i="2"/>
  <c r="AN284" i="2"/>
  <c r="AN873" i="2"/>
  <c r="AM1147" i="2"/>
  <c r="AM230" i="2"/>
  <c r="AM272" i="2"/>
  <c r="AN383" i="2"/>
  <c r="AM357" i="2"/>
  <c r="AN495" i="2"/>
  <c r="AN731" i="2"/>
  <c r="AN829" i="2"/>
  <c r="AN1018" i="2"/>
  <c r="AM58" i="2"/>
  <c r="AM94" i="2"/>
  <c r="AM373" i="2"/>
  <c r="AM9" i="2"/>
  <c r="AN59" i="2"/>
  <c r="AM107" i="2"/>
  <c r="AM158" i="2"/>
  <c r="AN679" i="2"/>
  <c r="AN276" i="2"/>
  <c r="AN879" i="2"/>
  <c r="AM1063" i="2"/>
  <c r="AN73" i="2"/>
  <c r="AM210" i="2"/>
  <c r="AM250" i="2"/>
  <c r="AM441" i="2"/>
  <c r="AN487" i="2"/>
  <c r="AM531" i="2"/>
  <c r="AN1009" i="2"/>
  <c r="AM710" i="2"/>
  <c r="AM751" i="2"/>
  <c r="AN805" i="2"/>
  <c r="AN471" i="2"/>
  <c r="AM669" i="2"/>
  <c r="AN911" i="2"/>
  <c r="AM51" i="2"/>
  <c r="AN392" i="2"/>
  <c r="AN444" i="2"/>
  <c r="AM912" i="2"/>
  <c r="AM1027" i="2"/>
  <c r="AM1172" i="2"/>
  <c r="AN27" i="2"/>
  <c r="AM113" i="2"/>
  <c r="AN338" i="2"/>
  <c r="AN381" i="2"/>
  <c r="AN1106" i="2"/>
  <c r="AM5" i="2"/>
  <c r="AM154" i="2"/>
  <c r="AM1057" i="2"/>
  <c r="AN81" i="2"/>
  <c r="AM169" i="2"/>
  <c r="AN218" i="2"/>
  <c r="AN451" i="2"/>
  <c r="AM145" i="2"/>
  <c r="AM287" i="2"/>
  <c r="AM331" i="2"/>
  <c r="AN481" i="2"/>
  <c r="AN589" i="2"/>
  <c r="AN787" i="2"/>
  <c r="AN1079" i="2"/>
  <c r="AM21" i="2"/>
  <c r="AM71" i="2"/>
  <c r="AM248" i="2"/>
  <c r="AN345" i="2"/>
  <c r="AM386" i="2"/>
  <c r="AN483" i="2"/>
  <c r="AN775" i="2"/>
  <c r="AM222" i="2"/>
  <c r="AN333" i="2"/>
  <c r="AM387" i="2"/>
  <c r="AN1127" i="2"/>
  <c r="AM123" i="2"/>
  <c r="AN347" i="2"/>
  <c r="AN593" i="2"/>
  <c r="AN681" i="2"/>
  <c r="AN1095" i="2"/>
  <c r="AM12" i="2"/>
  <c r="AM98" i="2"/>
  <c r="AM278" i="2"/>
  <c r="AN389" i="2"/>
  <c r="AM428" i="2"/>
  <c r="AM470" i="2"/>
  <c r="AM1053" i="2"/>
  <c r="AM189" i="2"/>
  <c r="AM240" i="2"/>
  <c r="AN550" i="2"/>
  <c r="AM807" i="2"/>
  <c r="AM611" i="2"/>
  <c r="AN658" i="2"/>
  <c r="AM837" i="2"/>
  <c r="AN1173" i="2"/>
  <c r="AM28" i="2"/>
  <c r="AM114" i="2"/>
  <c r="AM166" i="2"/>
  <c r="AM242" i="2"/>
  <c r="AN755" i="2"/>
  <c r="AN796" i="2"/>
  <c r="AM67" i="2"/>
  <c r="AN340" i="2"/>
  <c r="AM507" i="2"/>
  <c r="AM104" i="2"/>
  <c r="AM478" i="2"/>
  <c r="AM858" i="2"/>
  <c r="AM1109" i="2"/>
  <c r="AM273" i="2"/>
  <c r="AM411" i="2"/>
  <c r="AN786" i="2"/>
  <c r="AM889" i="2"/>
  <c r="AM993" i="2"/>
  <c r="AN1075" i="2"/>
  <c r="AM1123" i="2"/>
  <c r="AN106" i="2"/>
  <c r="AN691" i="2"/>
  <c r="AM120" i="2"/>
  <c r="AM171" i="2"/>
  <c r="AM208" i="2"/>
  <c r="AN261" i="2"/>
  <c r="AN733" i="2"/>
  <c r="AN1092" i="2"/>
  <c r="AM135" i="2"/>
  <c r="AM235" i="2"/>
  <c r="AM529" i="2"/>
  <c r="AN776" i="2"/>
  <c r="AN1021" i="2"/>
  <c r="AM149" i="2"/>
  <c r="AM668" i="2"/>
  <c r="AM764" i="2"/>
  <c r="AN1037" i="2"/>
  <c r="AN1170" i="2"/>
  <c r="AN1116" i="2"/>
  <c r="AN1184" i="2"/>
  <c r="AN14" i="2"/>
  <c r="AM201" i="2"/>
  <c r="AN293" i="2"/>
  <c r="AN351" i="2"/>
  <c r="AM597" i="2"/>
  <c r="AN726" i="2"/>
  <c r="AM954" i="2"/>
  <c r="AN1085" i="2"/>
  <c r="AM39" i="2"/>
  <c r="AM77" i="2"/>
  <c r="AN127" i="2"/>
  <c r="AM202" i="2"/>
  <c r="AM380" i="2"/>
  <c r="AN1001" i="2"/>
  <c r="AM1055" i="2"/>
  <c r="AM339" i="2"/>
  <c r="AN432" i="2"/>
  <c r="AM521" i="2"/>
  <c r="AM715" i="2"/>
  <c r="AM856" i="2"/>
  <c r="AM1029" i="2"/>
  <c r="AN421" i="2"/>
  <c r="AM463" i="2"/>
  <c r="AM660" i="2"/>
  <c r="AN1016" i="2"/>
  <c r="AM960" i="2"/>
  <c r="AM7" i="2"/>
  <c r="AN43" i="2"/>
  <c r="AM372" i="2"/>
  <c r="AN509" i="2"/>
  <c r="AN557" i="2"/>
  <c r="AM648" i="2"/>
  <c r="AN946" i="2"/>
  <c r="AM1032" i="2"/>
  <c r="AM247" i="2"/>
  <c r="AM299" i="2"/>
  <c r="AM385" i="2"/>
  <c r="AM438" i="2"/>
  <c r="AM979" i="2"/>
  <c r="AN300" i="2"/>
  <c r="AM635" i="2"/>
  <c r="AM878" i="2"/>
  <c r="AM1139" i="2"/>
  <c r="AM46" i="2"/>
  <c r="AM96" i="2"/>
  <c r="AM147" i="2"/>
  <c r="AM185" i="2"/>
  <c r="AN289" i="2"/>
  <c r="AN734" i="2"/>
  <c r="AM1081" i="2"/>
  <c r="AM1208" i="2"/>
  <c r="AM223" i="2"/>
  <c r="AM304" i="2"/>
  <c r="AM880" i="2"/>
  <c r="AM1022" i="2"/>
  <c r="AN1114" i="2"/>
  <c r="AM62" i="2"/>
  <c r="AM238" i="2"/>
  <c r="AN442" i="2"/>
  <c r="AJ334" i="2"/>
  <c r="AJ148" i="2"/>
  <c r="AJ124" i="2"/>
  <c r="AJ1090" i="2"/>
  <c r="AJ490" i="2"/>
  <c r="AJ503" i="2"/>
  <c r="AJ1000" i="2"/>
  <c r="AJ795" i="2"/>
  <c r="AJ958" i="2"/>
  <c r="AJ399" i="2"/>
  <c r="AJ496" i="2"/>
  <c r="AJ786" i="2"/>
  <c r="AJ54" i="2"/>
  <c r="AJ1106" i="2"/>
  <c r="AJ705" i="2"/>
  <c r="AJ66" i="2"/>
  <c r="AJ974" i="2"/>
  <c r="AJ328" i="2"/>
  <c r="AJ571" i="2"/>
  <c r="AJ873" i="2"/>
  <c r="AJ102" i="2"/>
  <c r="AJ551" i="2"/>
  <c r="AJ1054" i="2"/>
  <c r="AJ422" i="2"/>
  <c r="AJ1016" i="2"/>
  <c r="AJ452" i="2"/>
  <c r="AJ345" i="2"/>
  <c r="AJ1100" i="2"/>
  <c r="AJ60" i="2"/>
  <c r="AJ346" i="2"/>
  <c r="AJ319" i="2"/>
  <c r="AJ425" i="2"/>
  <c r="AJ1061" i="2"/>
  <c r="AJ375" i="2"/>
  <c r="AJ259" i="2"/>
  <c r="AJ1136" i="2"/>
  <c r="AJ184" i="2"/>
  <c r="AJ92" i="2"/>
  <c r="AJ289" i="2"/>
  <c r="AJ45" i="2"/>
  <c r="AJ483" i="2"/>
  <c r="AJ468" i="2"/>
  <c r="AJ389" i="2"/>
  <c r="AJ1033" i="2"/>
  <c r="AJ333" i="2"/>
  <c r="AJ61" i="2"/>
  <c r="AJ794" i="2"/>
  <c r="AJ481" i="2"/>
  <c r="AJ589" i="2"/>
  <c r="AJ10" i="2"/>
  <c r="AJ440" i="2"/>
  <c r="AJ721" i="2"/>
  <c r="AJ227" i="2"/>
  <c r="AJ532" i="2"/>
  <c r="AJ658" i="2"/>
  <c r="AJ310" i="2"/>
  <c r="AJ552" i="2"/>
  <c r="AJ105" i="2"/>
  <c r="AJ183" i="2"/>
  <c r="AJ578" i="2"/>
  <c r="AJ125" i="2"/>
  <c r="AJ279" i="2"/>
  <c r="AJ88" i="2"/>
  <c r="AJ713" i="2"/>
  <c r="AJ649" i="2"/>
  <c r="AJ355" i="2"/>
  <c r="AJ569" i="2"/>
  <c r="AJ117" i="2"/>
  <c r="AJ218" i="2"/>
  <c r="AJ384" i="2"/>
  <c r="AJ137" i="2"/>
  <c r="AJ14" i="2"/>
  <c r="AJ726" i="2"/>
  <c r="AJ836" i="2"/>
  <c r="AJ367" i="2"/>
  <c r="AJ585" i="2"/>
  <c r="AJ207" i="2"/>
  <c r="AJ38" i="2"/>
  <c r="AJ642" i="2"/>
  <c r="AJ835" i="2"/>
  <c r="AJ371" i="2"/>
  <c r="AJ232" i="2"/>
  <c r="AJ142" i="2"/>
  <c r="AJ336" i="2"/>
  <c r="AJ737" i="2"/>
  <c r="AJ293" i="2"/>
  <c r="AJ940" i="2"/>
  <c r="AJ826" i="2"/>
  <c r="AJ945" i="2"/>
  <c r="AJ801" i="2"/>
  <c r="AJ698" i="2"/>
  <c r="AJ364" i="2"/>
  <c r="AJ1046" i="2"/>
  <c r="AJ392" i="2"/>
  <c r="AJ950" i="2"/>
  <c r="AJ270" i="2"/>
  <c r="AJ679" i="2"/>
  <c r="AJ1040" i="2"/>
  <c r="AJ349" i="2"/>
  <c r="AJ780" i="2"/>
  <c r="AJ1085" i="2"/>
  <c r="AJ1138" i="2"/>
  <c r="AJ1170" i="2"/>
  <c r="AJ1152" i="2"/>
  <c r="AJ129" i="2"/>
  <c r="AJ506" i="2"/>
  <c r="AJ82" i="2"/>
  <c r="AJ347" i="2"/>
  <c r="AJ805" i="2"/>
  <c r="AJ472" i="2"/>
  <c r="AJ697" i="2"/>
  <c r="AJ729" i="2"/>
  <c r="AJ220" i="2"/>
  <c r="AJ412" i="2"/>
  <c r="AJ74" i="2"/>
  <c r="AJ175" i="2"/>
  <c r="AJ927" i="2"/>
  <c r="AJ497" i="2"/>
  <c r="AJ1007" i="2"/>
  <c r="AJ487" i="2"/>
  <c r="AJ1182" i="2"/>
  <c r="AJ18" i="2"/>
  <c r="AJ118" i="2"/>
  <c r="AJ251" i="2"/>
  <c r="AJ442" i="2"/>
  <c r="AJ50" i="2"/>
  <c r="AJ188" i="2"/>
  <c r="AJ418" i="2"/>
  <c r="AJ494" i="2"/>
  <c r="AJ1018" i="2"/>
  <c r="AJ300" i="2"/>
  <c r="AJ783" i="2"/>
  <c r="AJ27" i="2"/>
  <c r="AJ127" i="2"/>
  <c r="AJ257" i="2"/>
  <c r="AJ362" i="2"/>
  <c r="AJ200" i="2"/>
  <c r="AJ321" i="2"/>
  <c r="AJ656" i="2"/>
  <c r="AJ752" i="2"/>
  <c r="AJ796" i="2"/>
  <c r="AJ30" i="2"/>
  <c r="AJ383" i="2"/>
  <c r="AJ527" i="2"/>
  <c r="AJ663" i="2"/>
  <c r="AG1077" i="2"/>
  <c r="O1077" i="16" s="1"/>
  <c r="AI1097" i="2"/>
  <c r="AJ505" i="2"/>
  <c r="AJ495" i="2"/>
  <c r="AJ657" i="2"/>
  <c r="AJ42" i="2"/>
  <c r="AJ538" i="2"/>
  <c r="AJ646" i="2"/>
  <c r="AJ772" i="2"/>
  <c r="AJ274" i="2"/>
  <c r="AJ633" i="2"/>
  <c r="AJ776" i="2"/>
  <c r="AJ681" i="2"/>
  <c r="AJ17" i="2"/>
  <c r="AJ629" i="2"/>
  <c r="AJ225" i="2"/>
  <c r="AJ911" i="2"/>
  <c r="AJ870" i="2"/>
  <c r="AJ1001" i="2"/>
  <c r="AJ467" i="2"/>
  <c r="AJ813" i="2"/>
  <c r="AJ775" i="2"/>
  <c r="AJ694" i="2"/>
  <c r="AG323" i="2"/>
  <c r="O323" i="16" s="1"/>
  <c r="AG1194" i="2"/>
  <c r="O1194" i="16" s="1"/>
  <c r="AG302" i="2"/>
  <c r="O302" i="16" s="1"/>
  <c r="AG820" i="2"/>
  <c r="AG637" i="2"/>
  <c r="O637" i="16" s="1"/>
  <c r="AG815" i="2"/>
  <c r="O815" i="16" s="1"/>
  <c r="AG613" i="2"/>
  <c r="O613" i="16" s="1"/>
  <c r="AG1149" i="2"/>
  <c r="O1149" i="16" s="1"/>
  <c r="AG268" i="2"/>
  <c r="O268" i="16" s="1"/>
  <c r="AG982" i="2"/>
  <c r="AG565" i="2"/>
  <c r="O565" i="16" s="1"/>
  <c r="AG844" i="2"/>
  <c r="O844" i="16" s="1"/>
  <c r="AG943" i="2"/>
  <c r="O943" i="16" s="1"/>
  <c r="AG907" i="2"/>
  <c r="O907" i="16" s="1"/>
  <c r="AG703" i="2"/>
  <c r="O703" i="16" s="1"/>
  <c r="AG1098" i="2"/>
  <c r="O1098" i="16" s="1"/>
  <c r="AG369" i="2"/>
  <c r="O369" i="16" s="1"/>
  <c r="AG616" i="2"/>
  <c r="O616" i="16" s="1"/>
  <c r="AG652" i="2"/>
  <c r="U908" i="2"/>
  <c r="H908" i="16" s="1"/>
  <c r="U1098" i="2"/>
  <c r="H1098" i="16" s="1"/>
  <c r="U845" i="2"/>
  <c r="H845" i="16" s="1"/>
  <c r="U1078" i="2"/>
  <c r="H1078" i="16" s="1"/>
  <c r="Y323" i="2"/>
  <c r="Y844" i="2"/>
  <c r="Y1098" i="2"/>
  <c r="Y703" i="2"/>
  <c r="Y907" i="2"/>
  <c r="Y350" i="2"/>
  <c r="Y637" i="2"/>
  <c r="Y943" i="2"/>
  <c r="Y982" i="2"/>
  <c r="Y983" i="2" s="1"/>
  <c r="Y984" i="2" s="1"/>
  <c r="Y302" i="2"/>
  <c r="AM892" i="2" l="1"/>
  <c r="AM115" i="2"/>
  <c r="AM427" i="2"/>
  <c r="AM861" i="2"/>
  <c r="AW751" i="2"/>
  <c r="T751" i="16" s="1"/>
  <c r="AW859" i="2"/>
  <c r="T859" i="16" s="1"/>
  <c r="AW386" i="2"/>
  <c r="T386" i="16" s="1"/>
  <c r="AI852" i="2"/>
  <c r="P852" i="16"/>
  <c r="AI785" i="2"/>
  <c r="AM785" i="2"/>
  <c r="P785" i="16"/>
  <c r="P645" i="16"/>
  <c r="AI645" i="2"/>
  <c r="AI1015" i="2"/>
  <c r="P1015" i="16"/>
  <c r="P798" i="16"/>
  <c r="AM798" i="2"/>
  <c r="AI727" i="2"/>
  <c r="P727" i="16"/>
  <c r="AM727" i="2"/>
  <c r="AN1123" i="2"/>
  <c r="Q1123" i="16"/>
  <c r="AJ1123" i="2"/>
  <c r="AM928" i="2"/>
  <c r="AI928" i="2"/>
  <c r="P928" i="16"/>
  <c r="P990" i="16"/>
  <c r="AI990" i="2"/>
  <c r="P572" i="16"/>
  <c r="AI572" i="2"/>
  <c r="P338" i="16"/>
  <c r="AM338" i="2"/>
  <c r="AI338" i="2"/>
  <c r="AI320" i="2"/>
  <c r="P320" i="16"/>
  <c r="P31" i="16"/>
  <c r="AM31" i="2"/>
  <c r="AI31" i="2"/>
  <c r="P676" i="16"/>
  <c r="AM676" i="2"/>
  <c r="AI676" i="2"/>
  <c r="P618" i="16"/>
  <c r="AI618" i="2"/>
  <c r="AM618" i="2"/>
  <c r="P258" i="16"/>
  <c r="AI258" i="2"/>
  <c r="P217" i="16"/>
  <c r="AI217" i="2"/>
  <c r="P143" i="16"/>
  <c r="AI143" i="2"/>
  <c r="AJ1180" i="2"/>
  <c r="Q1180" i="16"/>
  <c r="Q1139" i="16"/>
  <c r="AJ1139" i="2"/>
  <c r="AJ1126" i="2"/>
  <c r="Q1126" i="16"/>
  <c r="AJ1049" i="2"/>
  <c r="Q1049" i="16"/>
  <c r="AJ747" i="2"/>
  <c r="Q747" i="16"/>
  <c r="AJ720" i="2"/>
  <c r="Q720" i="16"/>
  <c r="AN720" i="2"/>
  <c r="Q1190" i="16"/>
  <c r="AJ1190" i="2"/>
  <c r="AJ1059" i="2"/>
  <c r="Q1059" i="16"/>
  <c r="AJ977" i="2"/>
  <c r="Q977" i="16"/>
  <c r="Q588" i="16"/>
  <c r="AJ588" i="2"/>
  <c r="AS1263" i="16"/>
  <c r="AF1256" i="16"/>
  <c r="AP1256" i="16" s="1"/>
  <c r="AE1256" i="16"/>
  <c r="AO1256" i="16" s="1"/>
  <c r="AD1256" i="16"/>
  <c r="AN1256" i="16" s="1"/>
  <c r="AC1256" i="16"/>
  <c r="AM1256" i="16" s="1"/>
  <c r="AS1312" i="16"/>
  <c r="AE1305" i="16"/>
  <c r="AO1305" i="16" s="1"/>
  <c r="AF1305" i="16"/>
  <c r="AP1305" i="16" s="1"/>
  <c r="AD1305" i="16"/>
  <c r="AN1305" i="16" s="1"/>
  <c r="AC1305" i="16"/>
  <c r="AM1305" i="16" s="1"/>
  <c r="AS1269" i="16"/>
  <c r="AF1262" i="16"/>
  <c r="AP1262" i="16" s="1"/>
  <c r="AC1262" i="16"/>
  <c r="AM1262" i="16" s="1"/>
  <c r="AE1262" i="16"/>
  <c r="AO1262" i="16" s="1"/>
  <c r="AD1262" i="16"/>
  <c r="AN1262" i="16" s="1"/>
  <c r="AS1334" i="16"/>
  <c r="AF1327" i="16"/>
  <c r="AP1327" i="16" s="1"/>
  <c r="AD1327" i="16"/>
  <c r="AN1327" i="16" s="1"/>
  <c r="AC1327" i="16"/>
  <c r="AM1327" i="16" s="1"/>
  <c r="AE1327" i="16"/>
  <c r="AO1327" i="16" s="1"/>
  <c r="AS1253" i="16"/>
  <c r="AF1246" i="16"/>
  <c r="AP1246" i="16" s="1"/>
  <c r="AC1246" i="16"/>
  <c r="AM1246" i="16" s="1"/>
  <c r="AE1246" i="16"/>
  <c r="AO1246" i="16" s="1"/>
  <c r="AD1246" i="16"/>
  <c r="AN1246" i="16" s="1"/>
  <c r="AS1262" i="16"/>
  <c r="AD1255" i="16"/>
  <c r="AN1255" i="16" s="1"/>
  <c r="AF1255" i="16"/>
  <c r="AP1255" i="16" s="1"/>
  <c r="AE1255" i="16"/>
  <c r="AO1255" i="16" s="1"/>
  <c r="AC1255" i="16"/>
  <c r="AM1255" i="16" s="1"/>
  <c r="AS1314" i="16"/>
  <c r="AD1307" i="16"/>
  <c r="AN1307" i="16" s="1"/>
  <c r="AF1307" i="16"/>
  <c r="AP1307" i="16" s="1"/>
  <c r="AC1307" i="16"/>
  <c r="AM1307" i="16" s="1"/>
  <c r="AE1307" i="16"/>
  <c r="AO1307" i="16" s="1"/>
  <c r="AS1255" i="16"/>
  <c r="AD1248" i="16"/>
  <c r="AN1248" i="16" s="1"/>
  <c r="AF1248" i="16"/>
  <c r="AP1248" i="16" s="1"/>
  <c r="AC1248" i="16"/>
  <c r="AM1248" i="16" s="1"/>
  <c r="AE1248" i="16"/>
  <c r="AO1248" i="16" s="1"/>
  <c r="AS1284" i="16"/>
  <c r="AF1277" i="16"/>
  <c r="AP1277" i="16" s="1"/>
  <c r="AD1277" i="16"/>
  <c r="AN1277" i="16" s="1"/>
  <c r="AE1277" i="16"/>
  <c r="AO1277" i="16" s="1"/>
  <c r="AC1277" i="16"/>
  <c r="AM1277" i="16" s="1"/>
  <c r="AS1287" i="16"/>
  <c r="AD1280" i="16"/>
  <c r="AN1280" i="16" s="1"/>
  <c r="AC1280" i="16"/>
  <c r="AM1280" i="16" s="1"/>
  <c r="AE1280" i="16"/>
  <c r="AO1280" i="16" s="1"/>
  <c r="AF1280" i="16"/>
  <c r="AP1280" i="16" s="1"/>
  <c r="AS1317" i="16"/>
  <c r="AE1310" i="16"/>
  <c r="AO1310" i="16" s="1"/>
  <c r="AF1310" i="16"/>
  <c r="AP1310" i="16" s="1"/>
  <c r="AD1310" i="16"/>
  <c r="AN1310" i="16" s="1"/>
  <c r="AC1310" i="16"/>
  <c r="AM1310" i="16" s="1"/>
  <c r="AS1296" i="16"/>
  <c r="AD1289" i="16"/>
  <c r="AN1289" i="16" s="1"/>
  <c r="AC1289" i="16"/>
  <c r="AM1289" i="16" s="1"/>
  <c r="AE1289" i="16"/>
  <c r="AO1289" i="16" s="1"/>
  <c r="AF1289" i="16"/>
  <c r="AP1289" i="16" s="1"/>
  <c r="AS1270" i="16"/>
  <c r="AE1263" i="16"/>
  <c r="AO1263" i="16" s="1"/>
  <c r="AD1263" i="16"/>
  <c r="AN1263" i="16" s="1"/>
  <c r="AF1263" i="16"/>
  <c r="AP1263" i="16" s="1"/>
  <c r="AC1263" i="16"/>
  <c r="AM1263" i="16" s="1"/>
  <c r="AS1335" i="16"/>
  <c r="AE1328" i="16"/>
  <c r="AO1328" i="16" s="1"/>
  <c r="AD1328" i="16"/>
  <c r="AN1328" i="16" s="1"/>
  <c r="AC1328" i="16"/>
  <c r="AM1328" i="16" s="1"/>
  <c r="AF1328" i="16"/>
  <c r="AP1328" i="16" s="1"/>
  <c r="AS1236" i="16"/>
  <c r="AE1229" i="16"/>
  <c r="AO1229" i="16" s="1"/>
  <c r="AC1229" i="16"/>
  <c r="AM1229" i="16" s="1"/>
  <c r="AD1229" i="16"/>
  <c r="AN1229" i="16" s="1"/>
  <c r="AF1229" i="16"/>
  <c r="AP1229" i="16" s="1"/>
  <c r="AS1281" i="16"/>
  <c r="AF1274" i="16"/>
  <c r="AP1274" i="16" s="1"/>
  <c r="AC1274" i="16"/>
  <c r="AM1274" i="16" s="1"/>
  <c r="AE1274" i="16"/>
  <c r="AO1274" i="16" s="1"/>
  <c r="AD1274" i="16"/>
  <c r="AN1274" i="16" s="1"/>
  <c r="AS1245" i="16"/>
  <c r="AE1238" i="16"/>
  <c r="AO1238" i="16" s="1"/>
  <c r="AC1238" i="16"/>
  <c r="AM1238" i="16" s="1"/>
  <c r="AF1238" i="16"/>
  <c r="AP1238" i="16" s="1"/>
  <c r="AD1238" i="16"/>
  <c r="AN1238" i="16" s="1"/>
  <c r="AS1277" i="16"/>
  <c r="AC1270" i="16"/>
  <c r="AM1270" i="16" s="1"/>
  <c r="AF1270" i="16"/>
  <c r="AP1270" i="16" s="1"/>
  <c r="AD1270" i="16"/>
  <c r="AN1270" i="16" s="1"/>
  <c r="AE1270" i="16"/>
  <c r="AO1270" i="16" s="1"/>
  <c r="AS1267" i="16"/>
  <c r="AD1260" i="16"/>
  <c r="AN1260" i="16" s="1"/>
  <c r="AE1260" i="16"/>
  <c r="AO1260" i="16" s="1"/>
  <c r="AC1260" i="16"/>
  <c r="AM1260" i="16" s="1"/>
  <c r="AF1260" i="16"/>
  <c r="AP1260" i="16" s="1"/>
  <c r="AS1311" i="16"/>
  <c r="AE1304" i="16"/>
  <c r="AO1304" i="16" s="1"/>
  <c r="AD1304" i="16"/>
  <c r="AN1304" i="16" s="1"/>
  <c r="AF1304" i="16"/>
  <c r="AP1304" i="16" s="1"/>
  <c r="AC1304" i="16"/>
  <c r="AM1304" i="16" s="1"/>
  <c r="AC1337" i="16"/>
  <c r="AM1337" i="16" s="1"/>
  <c r="AD1337" i="16"/>
  <c r="AN1337" i="16" s="1"/>
  <c r="AF1337" i="16"/>
  <c r="AP1337" i="16" s="1"/>
  <c r="AE1337" i="16"/>
  <c r="AO1337" i="16" s="1"/>
  <c r="AS1283" i="16"/>
  <c r="AF1276" i="16"/>
  <c r="AP1276" i="16" s="1"/>
  <c r="AC1276" i="16"/>
  <c r="AM1276" i="16" s="1"/>
  <c r="AD1276" i="16"/>
  <c r="AN1276" i="16" s="1"/>
  <c r="AE1276" i="16"/>
  <c r="AO1276" i="16" s="1"/>
  <c r="AS1301" i="16"/>
  <c r="AD1294" i="16"/>
  <c r="AN1294" i="16" s="1"/>
  <c r="AF1294" i="16"/>
  <c r="AP1294" i="16" s="1"/>
  <c r="AE1294" i="16"/>
  <c r="AO1294" i="16" s="1"/>
  <c r="AC1294" i="16"/>
  <c r="AM1294" i="16" s="1"/>
  <c r="AS1246" i="16"/>
  <c r="AF1239" i="16"/>
  <c r="AP1239" i="16" s="1"/>
  <c r="AE1239" i="16"/>
  <c r="AO1239" i="16" s="1"/>
  <c r="AC1239" i="16"/>
  <c r="AM1239" i="16" s="1"/>
  <c r="AD1239" i="16"/>
  <c r="AN1239" i="16" s="1"/>
  <c r="AS1252" i="16"/>
  <c r="AE1245" i="16"/>
  <c r="AO1245" i="16" s="1"/>
  <c r="AC1245" i="16"/>
  <c r="AM1245" i="16" s="1"/>
  <c r="AD1245" i="16"/>
  <c r="AN1245" i="16" s="1"/>
  <c r="AF1245" i="16"/>
  <c r="AP1245" i="16" s="1"/>
  <c r="AS1329" i="16"/>
  <c r="AC1322" i="16"/>
  <c r="AM1322" i="16" s="1"/>
  <c r="AE1322" i="16"/>
  <c r="AO1322" i="16" s="1"/>
  <c r="AF1322" i="16"/>
  <c r="AP1322" i="16" s="1"/>
  <c r="AD1322" i="16"/>
  <c r="AN1322" i="16" s="1"/>
  <c r="AS1271" i="16"/>
  <c r="AF1264" i="16"/>
  <c r="AP1264" i="16" s="1"/>
  <c r="AC1264" i="16"/>
  <c r="AM1264" i="16" s="1"/>
  <c r="AD1264" i="16"/>
  <c r="AN1264" i="16" s="1"/>
  <c r="AE1264" i="16"/>
  <c r="AO1264" i="16" s="1"/>
  <c r="AS1330" i="16"/>
  <c r="AE1323" i="16"/>
  <c r="AO1323" i="16" s="1"/>
  <c r="AF1323" i="16"/>
  <c r="AP1323" i="16" s="1"/>
  <c r="AC1323" i="16"/>
  <c r="AM1323" i="16" s="1"/>
  <c r="AD1323" i="16"/>
  <c r="AN1323" i="16" s="1"/>
  <c r="AS1327" i="16"/>
  <c r="AF1320" i="16"/>
  <c r="AP1320" i="16" s="1"/>
  <c r="AC1320" i="16"/>
  <c r="AM1320" i="16" s="1"/>
  <c r="AD1320" i="16"/>
  <c r="AN1320" i="16" s="1"/>
  <c r="AE1320" i="16"/>
  <c r="AO1320" i="16" s="1"/>
  <c r="AS1336" i="16"/>
  <c r="AC1329" i="16"/>
  <c r="AM1329" i="16" s="1"/>
  <c r="AE1329" i="16"/>
  <c r="AO1329" i="16" s="1"/>
  <c r="AF1329" i="16"/>
  <c r="AP1329" i="16" s="1"/>
  <c r="AD1329" i="16"/>
  <c r="AN1329" i="16" s="1"/>
  <c r="AS1290" i="16"/>
  <c r="AF1283" i="16"/>
  <c r="AP1283" i="16" s="1"/>
  <c r="AE1283" i="16"/>
  <c r="AO1283" i="16" s="1"/>
  <c r="AD1283" i="16"/>
  <c r="AN1283" i="16" s="1"/>
  <c r="AC1283" i="16"/>
  <c r="AM1283" i="16" s="1"/>
  <c r="AS1264" i="16"/>
  <c r="AE1257" i="16"/>
  <c r="AO1257" i="16" s="1"/>
  <c r="AD1257" i="16"/>
  <c r="AN1257" i="16" s="1"/>
  <c r="AC1257" i="16"/>
  <c r="AM1257" i="16" s="1"/>
  <c r="AF1257" i="16"/>
  <c r="AP1257" i="16" s="1"/>
  <c r="AS1333" i="16"/>
  <c r="AE1326" i="16"/>
  <c r="AO1326" i="16" s="1"/>
  <c r="AD1326" i="16"/>
  <c r="AN1326" i="16" s="1"/>
  <c r="AC1326" i="16"/>
  <c r="AM1326" i="16" s="1"/>
  <c r="AF1326" i="16"/>
  <c r="AP1326" i="16" s="1"/>
  <c r="AS1248" i="16"/>
  <c r="AE1241" i="16"/>
  <c r="AO1241" i="16" s="1"/>
  <c r="AD1241" i="16"/>
  <c r="AN1241" i="16" s="1"/>
  <c r="AF1241" i="16"/>
  <c r="AP1241" i="16" s="1"/>
  <c r="AC1241" i="16"/>
  <c r="AM1241" i="16" s="1"/>
  <c r="AS1322" i="16"/>
  <c r="AC1315" i="16"/>
  <c r="AM1315" i="16" s="1"/>
  <c r="AF1315" i="16"/>
  <c r="AP1315" i="16" s="1"/>
  <c r="AD1315" i="16"/>
  <c r="AN1315" i="16" s="1"/>
  <c r="AE1315" i="16"/>
  <c r="AO1315" i="16" s="1"/>
  <c r="AS1266" i="16"/>
  <c r="AF1259" i="16"/>
  <c r="AP1259" i="16" s="1"/>
  <c r="AE1259" i="16"/>
  <c r="AO1259" i="16" s="1"/>
  <c r="AD1259" i="16"/>
  <c r="AN1259" i="16" s="1"/>
  <c r="AC1259" i="16"/>
  <c r="AM1259" i="16" s="1"/>
  <c r="AS1300" i="16"/>
  <c r="AD1293" i="16"/>
  <c r="AN1293" i="16" s="1"/>
  <c r="AC1293" i="16"/>
  <c r="AM1293" i="16" s="1"/>
  <c r="AF1293" i="16"/>
  <c r="AP1293" i="16" s="1"/>
  <c r="AE1293" i="16"/>
  <c r="AO1293" i="16" s="1"/>
  <c r="AS1265" i="16"/>
  <c r="AF1258" i="16"/>
  <c r="AP1258" i="16" s="1"/>
  <c r="AD1258" i="16"/>
  <c r="AN1258" i="16" s="1"/>
  <c r="AE1258" i="16"/>
  <c r="AO1258" i="16" s="1"/>
  <c r="AC1258" i="16"/>
  <c r="AM1258" i="16" s="1"/>
  <c r="AS1276" i="16"/>
  <c r="AE1269" i="16"/>
  <c r="AO1269" i="16" s="1"/>
  <c r="AC1269" i="16"/>
  <c r="AM1269" i="16" s="1"/>
  <c r="AD1269" i="16"/>
  <c r="AN1269" i="16" s="1"/>
  <c r="AF1269" i="16"/>
  <c r="AP1269" i="16" s="1"/>
  <c r="AS1272" i="16"/>
  <c r="AF1265" i="16"/>
  <c r="AP1265" i="16" s="1"/>
  <c r="AE1265" i="16"/>
  <c r="AO1265" i="16" s="1"/>
  <c r="AC1265" i="16"/>
  <c r="AM1265" i="16" s="1"/>
  <c r="AD1265" i="16"/>
  <c r="AN1265" i="16" s="1"/>
  <c r="AS1257" i="16"/>
  <c r="AD1250" i="16"/>
  <c r="AN1250" i="16" s="1"/>
  <c r="AF1250" i="16"/>
  <c r="AP1250" i="16" s="1"/>
  <c r="AE1250" i="16"/>
  <c r="AO1250" i="16" s="1"/>
  <c r="AC1250" i="16"/>
  <c r="AM1250" i="16" s="1"/>
  <c r="AS1318" i="16"/>
  <c r="AD1311" i="16"/>
  <c r="AN1311" i="16" s="1"/>
  <c r="AF1311" i="16"/>
  <c r="AP1311" i="16" s="1"/>
  <c r="AE1311" i="16"/>
  <c r="AO1311" i="16" s="1"/>
  <c r="AC1311" i="16"/>
  <c r="AM1311" i="16" s="1"/>
  <c r="AS1239" i="16"/>
  <c r="AC1232" i="16"/>
  <c r="AM1232" i="16" s="1"/>
  <c r="AF1232" i="16"/>
  <c r="AP1232" i="16" s="1"/>
  <c r="AE1232" i="16"/>
  <c r="AO1232" i="16" s="1"/>
  <c r="AD1232" i="16"/>
  <c r="AN1232" i="16" s="1"/>
  <c r="AS1305" i="16"/>
  <c r="AF1298" i="16"/>
  <c r="AP1298" i="16" s="1"/>
  <c r="AE1298" i="16"/>
  <c r="AO1298" i="16" s="1"/>
  <c r="AC1298" i="16"/>
  <c r="AM1298" i="16" s="1"/>
  <c r="AD1298" i="16"/>
  <c r="AN1298" i="16" s="1"/>
  <c r="AS1256" i="16"/>
  <c r="AD1249" i="16"/>
  <c r="AN1249" i="16" s="1"/>
  <c r="AC1249" i="16"/>
  <c r="AM1249" i="16" s="1"/>
  <c r="AE1249" i="16"/>
  <c r="AO1249" i="16" s="1"/>
  <c r="AF1249" i="16"/>
  <c r="AP1249" i="16" s="1"/>
  <c r="AS1274" i="16"/>
  <c r="AC1267" i="16"/>
  <c r="AM1267" i="16" s="1"/>
  <c r="AF1267" i="16"/>
  <c r="AP1267" i="16" s="1"/>
  <c r="AD1267" i="16"/>
  <c r="AN1267" i="16" s="1"/>
  <c r="AE1267" i="16"/>
  <c r="AO1267" i="16" s="1"/>
  <c r="AS1302" i="16"/>
  <c r="AC1295" i="16"/>
  <c r="AM1295" i="16" s="1"/>
  <c r="AF1295" i="16"/>
  <c r="AP1295" i="16" s="1"/>
  <c r="AE1295" i="16"/>
  <c r="AO1295" i="16" s="1"/>
  <c r="AD1295" i="16"/>
  <c r="AN1295" i="16" s="1"/>
  <c r="AS1289" i="16"/>
  <c r="AE1282" i="16"/>
  <c r="AO1282" i="16" s="1"/>
  <c r="AD1282" i="16"/>
  <c r="AN1282" i="16" s="1"/>
  <c r="AF1282" i="16"/>
  <c r="AP1282" i="16" s="1"/>
  <c r="AC1282" i="16"/>
  <c r="AM1282" i="16" s="1"/>
  <c r="AS1282" i="16"/>
  <c r="AC1275" i="16"/>
  <c r="AM1275" i="16" s="1"/>
  <c r="AE1275" i="16"/>
  <c r="AO1275" i="16" s="1"/>
  <c r="AD1275" i="16"/>
  <c r="AN1275" i="16" s="1"/>
  <c r="AF1275" i="16"/>
  <c r="AP1275" i="16" s="1"/>
  <c r="AS1254" i="16"/>
  <c r="AF1247" i="16"/>
  <c r="AP1247" i="16" s="1"/>
  <c r="AD1247" i="16"/>
  <c r="AN1247" i="16" s="1"/>
  <c r="AC1247" i="16"/>
  <c r="AM1247" i="16" s="1"/>
  <c r="AE1247" i="16"/>
  <c r="AO1247" i="16" s="1"/>
  <c r="AS1273" i="16"/>
  <c r="AC1266" i="16"/>
  <c r="AM1266" i="16" s="1"/>
  <c r="AF1266" i="16"/>
  <c r="AP1266" i="16" s="1"/>
  <c r="AD1266" i="16"/>
  <c r="AN1266" i="16" s="1"/>
  <c r="AE1266" i="16"/>
  <c r="AO1266" i="16" s="1"/>
  <c r="AF1334" i="16"/>
  <c r="AP1334" i="16" s="1"/>
  <c r="AC1334" i="16"/>
  <c r="AM1334" i="16" s="1"/>
  <c r="AE1334" i="16"/>
  <c r="AO1334" i="16" s="1"/>
  <c r="AD1334" i="16"/>
  <c r="AN1334" i="16" s="1"/>
  <c r="AC1332" i="16"/>
  <c r="AM1332" i="16" s="1"/>
  <c r="AE1332" i="16"/>
  <c r="AO1332" i="16" s="1"/>
  <c r="AF1332" i="16"/>
  <c r="AP1332" i="16" s="1"/>
  <c r="AD1332" i="16"/>
  <c r="AN1332" i="16" s="1"/>
  <c r="AS1250" i="16"/>
  <c r="AE1243" i="16"/>
  <c r="AO1243" i="16" s="1"/>
  <c r="AD1243" i="16"/>
  <c r="AN1243" i="16" s="1"/>
  <c r="AF1243" i="16"/>
  <c r="AP1243" i="16" s="1"/>
  <c r="AC1243" i="16"/>
  <c r="AM1243" i="16" s="1"/>
  <c r="AS1298" i="16"/>
  <c r="AC1291" i="16"/>
  <c r="AM1291" i="16" s="1"/>
  <c r="AF1291" i="16"/>
  <c r="AP1291" i="16" s="1"/>
  <c r="AD1291" i="16"/>
  <c r="AN1291" i="16" s="1"/>
  <c r="AE1291" i="16"/>
  <c r="AO1291" i="16" s="1"/>
  <c r="AS1326" i="16"/>
  <c r="AD1319" i="16"/>
  <c r="AN1319" i="16" s="1"/>
  <c r="AF1319" i="16"/>
  <c r="AP1319" i="16" s="1"/>
  <c r="AC1319" i="16"/>
  <c r="AM1319" i="16" s="1"/>
  <c r="AE1319" i="16"/>
  <c r="AO1319" i="16" s="1"/>
  <c r="AS1303" i="16"/>
  <c r="AC1296" i="16"/>
  <c r="AM1296" i="16" s="1"/>
  <c r="AE1296" i="16"/>
  <c r="AO1296" i="16" s="1"/>
  <c r="AF1296" i="16"/>
  <c r="AP1296" i="16" s="1"/>
  <c r="AD1296" i="16"/>
  <c r="AN1296" i="16" s="1"/>
  <c r="AS1285" i="16"/>
  <c r="AD1278" i="16"/>
  <c r="AN1278" i="16" s="1"/>
  <c r="AF1278" i="16"/>
  <c r="AP1278" i="16" s="1"/>
  <c r="AC1278" i="16"/>
  <c r="AM1278" i="16" s="1"/>
  <c r="AE1278" i="16"/>
  <c r="AO1278" i="16" s="1"/>
  <c r="AS1247" i="16"/>
  <c r="AE1240" i="16"/>
  <c r="AO1240" i="16" s="1"/>
  <c r="AF1240" i="16"/>
  <c r="AP1240" i="16" s="1"/>
  <c r="AD1240" i="16"/>
  <c r="AN1240" i="16" s="1"/>
  <c r="AC1240" i="16"/>
  <c r="AM1240" i="16" s="1"/>
  <c r="AS1251" i="16"/>
  <c r="AC1244" i="16"/>
  <c r="AM1244" i="16" s="1"/>
  <c r="AF1244" i="16"/>
  <c r="AP1244" i="16" s="1"/>
  <c r="AD1244" i="16"/>
  <c r="AN1244" i="16" s="1"/>
  <c r="AE1244" i="16"/>
  <c r="AO1244" i="16" s="1"/>
  <c r="AS1331" i="16"/>
  <c r="AE1324" i="16"/>
  <c r="AO1324" i="16" s="1"/>
  <c r="AF1324" i="16"/>
  <c r="AP1324" i="16" s="1"/>
  <c r="AD1324" i="16"/>
  <c r="AN1324" i="16" s="1"/>
  <c r="AC1324" i="16"/>
  <c r="AM1324" i="16" s="1"/>
  <c r="AS1295" i="16"/>
  <c r="AC1288" i="16"/>
  <c r="AM1288" i="16" s="1"/>
  <c r="AD1288" i="16"/>
  <c r="AN1288" i="16" s="1"/>
  <c r="AF1288" i="16"/>
  <c r="AP1288" i="16" s="1"/>
  <c r="AE1288" i="16"/>
  <c r="AO1288" i="16" s="1"/>
  <c r="AS1238" i="16"/>
  <c r="AE1231" i="16"/>
  <c r="AO1231" i="16" s="1"/>
  <c r="AC1231" i="16"/>
  <c r="AM1231" i="16" s="1"/>
  <c r="AF1231" i="16"/>
  <c r="AP1231" i="16" s="1"/>
  <c r="AD1231" i="16"/>
  <c r="AN1231" i="16" s="1"/>
  <c r="AS1307" i="16"/>
  <c r="AC1300" i="16"/>
  <c r="AM1300" i="16" s="1"/>
  <c r="AE1300" i="16"/>
  <c r="AO1300" i="16" s="1"/>
  <c r="AD1300" i="16"/>
  <c r="AN1300" i="16" s="1"/>
  <c r="AF1300" i="16"/>
  <c r="AP1300" i="16" s="1"/>
  <c r="AS1294" i="16"/>
  <c r="AC1287" i="16"/>
  <c r="AM1287" i="16" s="1"/>
  <c r="AD1287" i="16"/>
  <c r="AN1287" i="16" s="1"/>
  <c r="AE1287" i="16"/>
  <c r="AO1287" i="16" s="1"/>
  <c r="AF1287" i="16"/>
  <c r="AP1287" i="16" s="1"/>
  <c r="AS1279" i="16"/>
  <c r="AE1272" i="16"/>
  <c r="AO1272" i="16" s="1"/>
  <c r="AD1272" i="16"/>
  <c r="AN1272" i="16" s="1"/>
  <c r="AC1272" i="16"/>
  <c r="AM1272" i="16" s="1"/>
  <c r="AF1272" i="16"/>
  <c r="AP1272" i="16" s="1"/>
  <c r="AD1333" i="16"/>
  <c r="AN1333" i="16" s="1"/>
  <c r="AE1333" i="16"/>
  <c r="AO1333" i="16" s="1"/>
  <c r="AC1333" i="16"/>
  <c r="AM1333" i="16" s="1"/>
  <c r="AF1333" i="16"/>
  <c r="AP1333" i="16" s="1"/>
  <c r="AD1336" i="16"/>
  <c r="AN1336" i="16" s="1"/>
  <c r="AC1336" i="16"/>
  <c r="AM1336" i="16" s="1"/>
  <c r="AF1336" i="16"/>
  <c r="AP1336" i="16" s="1"/>
  <c r="AE1336" i="16"/>
  <c r="AO1336" i="16" s="1"/>
  <c r="AS1241" i="16"/>
  <c r="AD1234" i="16"/>
  <c r="AN1234" i="16" s="1"/>
  <c r="AE1234" i="16"/>
  <c r="AO1234" i="16" s="1"/>
  <c r="AF1234" i="16"/>
  <c r="AP1234" i="16" s="1"/>
  <c r="AC1234" i="16"/>
  <c r="AM1234" i="16" s="1"/>
  <c r="AS1321" i="16"/>
  <c r="AF1314" i="16"/>
  <c r="AP1314" i="16" s="1"/>
  <c r="AD1314" i="16"/>
  <c r="AN1314" i="16" s="1"/>
  <c r="AE1314" i="16"/>
  <c r="AO1314" i="16" s="1"/>
  <c r="AC1314" i="16"/>
  <c r="AM1314" i="16" s="1"/>
  <c r="AS1268" i="16"/>
  <c r="AD1261" i="16"/>
  <c r="AN1261" i="16" s="1"/>
  <c r="AC1261" i="16"/>
  <c r="AM1261" i="16" s="1"/>
  <c r="AE1261" i="16"/>
  <c r="AO1261" i="16" s="1"/>
  <c r="AF1261" i="16"/>
  <c r="AP1261" i="16" s="1"/>
  <c r="AS1325" i="16"/>
  <c r="AF1318" i="16"/>
  <c r="AP1318" i="16" s="1"/>
  <c r="AC1318" i="16"/>
  <c r="AM1318" i="16" s="1"/>
  <c r="AE1318" i="16"/>
  <c r="AO1318" i="16" s="1"/>
  <c r="AD1318" i="16"/>
  <c r="AN1318" i="16" s="1"/>
  <c r="AS1299" i="16"/>
  <c r="AF1292" i="16"/>
  <c r="AP1292" i="16" s="1"/>
  <c r="AC1292" i="16"/>
  <c r="AM1292" i="16" s="1"/>
  <c r="AD1292" i="16"/>
  <c r="AN1292" i="16" s="1"/>
  <c r="AE1292" i="16"/>
  <c r="AO1292" i="16" s="1"/>
  <c r="AD1331" i="16"/>
  <c r="AN1331" i="16" s="1"/>
  <c r="AE1331" i="16"/>
  <c r="AO1331" i="16" s="1"/>
  <c r="AC1331" i="16"/>
  <c r="AM1331" i="16" s="1"/>
  <c r="AF1331" i="16"/>
  <c r="AP1331" i="16" s="1"/>
  <c r="AS1278" i="16"/>
  <c r="AC1271" i="16"/>
  <c r="AM1271" i="16" s="1"/>
  <c r="AE1271" i="16"/>
  <c r="AO1271" i="16" s="1"/>
  <c r="AD1271" i="16"/>
  <c r="AN1271" i="16" s="1"/>
  <c r="AF1271" i="16"/>
  <c r="AP1271" i="16" s="1"/>
  <c r="AS1240" i="16"/>
  <c r="AC1233" i="16"/>
  <c r="AM1233" i="16" s="1"/>
  <c r="AF1233" i="16"/>
  <c r="AP1233" i="16" s="1"/>
  <c r="AE1233" i="16"/>
  <c r="AO1233" i="16" s="1"/>
  <c r="AD1233" i="16"/>
  <c r="AN1233" i="16" s="1"/>
  <c r="AS1324" i="16"/>
  <c r="AC1317" i="16"/>
  <c r="AM1317" i="16" s="1"/>
  <c r="AD1317" i="16"/>
  <c r="AN1317" i="16" s="1"/>
  <c r="AE1317" i="16"/>
  <c r="AO1317" i="16" s="1"/>
  <c r="AF1317" i="16"/>
  <c r="AP1317" i="16" s="1"/>
  <c r="AS1323" i="16"/>
  <c r="AC1316" i="16"/>
  <c r="AM1316" i="16" s="1"/>
  <c r="AE1316" i="16"/>
  <c r="AO1316" i="16" s="1"/>
  <c r="AF1316" i="16"/>
  <c r="AP1316" i="16" s="1"/>
  <c r="AD1316" i="16"/>
  <c r="AN1316" i="16" s="1"/>
  <c r="AS1315" i="16"/>
  <c r="AE1308" i="16"/>
  <c r="AO1308" i="16" s="1"/>
  <c r="AF1308" i="16"/>
  <c r="AP1308" i="16" s="1"/>
  <c r="AD1308" i="16"/>
  <c r="AN1308" i="16" s="1"/>
  <c r="AC1308" i="16"/>
  <c r="AM1308" i="16" s="1"/>
  <c r="AS1249" i="16"/>
  <c r="AC1242" i="16"/>
  <c r="AM1242" i="16" s="1"/>
  <c r="AF1242" i="16"/>
  <c r="AP1242" i="16" s="1"/>
  <c r="AD1242" i="16"/>
  <c r="AN1242" i="16" s="1"/>
  <c r="AE1242" i="16"/>
  <c r="AO1242" i="16" s="1"/>
  <c r="AS1319" i="16"/>
  <c r="AC1312" i="16"/>
  <c r="AM1312" i="16" s="1"/>
  <c r="AD1312" i="16"/>
  <c r="AN1312" i="16" s="1"/>
  <c r="AF1312" i="16"/>
  <c r="AP1312" i="16" s="1"/>
  <c r="AE1312" i="16"/>
  <c r="AO1312" i="16" s="1"/>
  <c r="AS1292" i="16"/>
  <c r="AD1285" i="16"/>
  <c r="AN1285" i="16" s="1"/>
  <c r="AC1285" i="16"/>
  <c r="AM1285" i="16" s="1"/>
  <c r="AF1285" i="16"/>
  <c r="AP1285" i="16" s="1"/>
  <c r="AE1285" i="16"/>
  <c r="AO1285" i="16" s="1"/>
  <c r="AS1261" i="16"/>
  <c r="AE1254" i="16"/>
  <c r="AO1254" i="16" s="1"/>
  <c r="AC1254" i="16"/>
  <c r="AM1254" i="16" s="1"/>
  <c r="AD1254" i="16"/>
  <c r="AN1254" i="16" s="1"/>
  <c r="AF1254" i="16"/>
  <c r="AP1254" i="16" s="1"/>
  <c r="AS1332" i="16"/>
  <c r="AF1325" i="16"/>
  <c r="AP1325" i="16" s="1"/>
  <c r="AC1325" i="16"/>
  <c r="AM1325" i="16" s="1"/>
  <c r="AD1325" i="16"/>
  <c r="AN1325" i="16" s="1"/>
  <c r="AE1325" i="16"/>
  <c r="AO1325" i="16" s="1"/>
  <c r="AS1337" i="16"/>
  <c r="AD1330" i="16"/>
  <c r="AN1330" i="16" s="1"/>
  <c r="AF1330" i="16"/>
  <c r="AP1330" i="16" s="1"/>
  <c r="AE1330" i="16"/>
  <c r="AO1330" i="16" s="1"/>
  <c r="AC1330" i="16"/>
  <c r="AM1330" i="16" s="1"/>
  <c r="AS1313" i="16"/>
  <c r="AC1306" i="16"/>
  <c r="AM1306" i="16" s="1"/>
  <c r="AD1306" i="16"/>
  <c r="AN1306" i="16" s="1"/>
  <c r="AF1306" i="16"/>
  <c r="AP1306" i="16" s="1"/>
  <c r="AE1306" i="16"/>
  <c r="AO1306" i="16" s="1"/>
  <c r="AS1309" i="16"/>
  <c r="AE1302" i="16"/>
  <c r="AO1302" i="16" s="1"/>
  <c r="AD1302" i="16"/>
  <c r="AN1302" i="16" s="1"/>
  <c r="AC1302" i="16"/>
  <c r="AM1302" i="16" s="1"/>
  <c r="AF1302" i="16"/>
  <c r="AP1302" i="16" s="1"/>
  <c r="AS1260" i="16"/>
  <c r="AC1253" i="16"/>
  <c r="AM1253" i="16" s="1"/>
  <c r="AD1253" i="16"/>
  <c r="AN1253" i="16" s="1"/>
  <c r="AF1253" i="16"/>
  <c r="AP1253" i="16" s="1"/>
  <c r="AE1253" i="16"/>
  <c r="AO1253" i="16" s="1"/>
  <c r="AS1237" i="16"/>
  <c r="AE1230" i="16"/>
  <c r="AO1230" i="16" s="1"/>
  <c r="AC1230" i="16"/>
  <c r="AM1230" i="16" s="1"/>
  <c r="AF1230" i="16"/>
  <c r="AP1230" i="16" s="1"/>
  <c r="AD1230" i="16"/>
  <c r="AN1230" i="16" s="1"/>
  <c r="AS1316" i="16"/>
  <c r="AD1309" i="16"/>
  <c r="AN1309" i="16" s="1"/>
  <c r="AF1309" i="16"/>
  <c r="AP1309" i="16" s="1"/>
  <c r="AC1309" i="16"/>
  <c r="AM1309" i="16" s="1"/>
  <c r="AE1309" i="16"/>
  <c r="AO1309" i="16" s="1"/>
  <c r="AS1310" i="16"/>
  <c r="AF1303" i="16"/>
  <c r="AP1303" i="16" s="1"/>
  <c r="AE1303" i="16"/>
  <c r="AO1303" i="16" s="1"/>
  <c r="AC1303" i="16"/>
  <c r="AM1303" i="16" s="1"/>
  <c r="AD1303" i="16"/>
  <c r="AN1303" i="16" s="1"/>
  <c r="AS1304" i="16"/>
  <c r="AC1297" i="16"/>
  <c r="AM1297" i="16" s="1"/>
  <c r="AD1297" i="16"/>
  <c r="AN1297" i="16" s="1"/>
  <c r="AE1297" i="16"/>
  <c r="AO1297" i="16" s="1"/>
  <c r="AF1297" i="16"/>
  <c r="AP1297" i="16" s="1"/>
  <c r="AS1320" i="16"/>
  <c r="AC1313" i="16"/>
  <c r="AM1313" i="16" s="1"/>
  <c r="AD1313" i="16"/>
  <c r="AN1313" i="16" s="1"/>
  <c r="AE1313" i="16"/>
  <c r="AO1313" i="16" s="1"/>
  <c r="AF1313" i="16"/>
  <c r="AP1313" i="16" s="1"/>
  <c r="AS1306" i="16"/>
  <c r="AE1299" i="16"/>
  <c r="AO1299" i="16" s="1"/>
  <c r="AD1299" i="16"/>
  <c r="AN1299" i="16" s="1"/>
  <c r="AF1299" i="16"/>
  <c r="AP1299" i="16" s="1"/>
  <c r="AC1299" i="16"/>
  <c r="AM1299" i="16" s="1"/>
  <c r="AS1275" i="16"/>
  <c r="AD1268" i="16"/>
  <c r="AN1268" i="16" s="1"/>
  <c r="AC1268" i="16"/>
  <c r="AM1268" i="16" s="1"/>
  <c r="AF1268" i="16"/>
  <c r="AP1268" i="16" s="1"/>
  <c r="AE1268" i="16"/>
  <c r="AO1268" i="16" s="1"/>
  <c r="AS1291" i="16"/>
  <c r="AE1284" i="16"/>
  <c r="AO1284" i="16" s="1"/>
  <c r="AF1284" i="16"/>
  <c r="AP1284" i="16" s="1"/>
  <c r="AC1284" i="16"/>
  <c r="AM1284" i="16" s="1"/>
  <c r="AD1284" i="16"/>
  <c r="AN1284" i="16" s="1"/>
  <c r="AS1297" i="16"/>
  <c r="AF1290" i="16"/>
  <c r="AP1290" i="16" s="1"/>
  <c r="AC1290" i="16"/>
  <c r="AM1290" i="16" s="1"/>
  <c r="AE1290" i="16"/>
  <c r="AO1290" i="16" s="1"/>
  <c r="AD1290" i="16"/>
  <c r="AN1290" i="16" s="1"/>
  <c r="AS1242" i="16"/>
  <c r="AC1235" i="16"/>
  <c r="AM1235" i="16" s="1"/>
  <c r="AE1235" i="16"/>
  <c r="AO1235" i="16" s="1"/>
  <c r="AF1235" i="16"/>
  <c r="AP1235" i="16" s="1"/>
  <c r="AD1235" i="16"/>
  <c r="AN1235" i="16" s="1"/>
  <c r="AS1293" i="16"/>
  <c r="AD1286" i="16"/>
  <c r="AN1286" i="16" s="1"/>
  <c r="AC1286" i="16"/>
  <c r="AM1286" i="16" s="1"/>
  <c r="AF1286" i="16"/>
  <c r="AP1286" i="16" s="1"/>
  <c r="AE1286" i="16"/>
  <c r="AO1286" i="16" s="1"/>
  <c r="AS1243" i="16"/>
  <c r="AF1236" i="16"/>
  <c r="AP1236" i="16" s="1"/>
  <c r="AD1236" i="16"/>
  <c r="AN1236" i="16" s="1"/>
  <c r="AC1236" i="16"/>
  <c r="AM1236" i="16" s="1"/>
  <c r="AE1236" i="16"/>
  <c r="AO1236" i="16" s="1"/>
  <c r="AS1308" i="16"/>
  <c r="AF1301" i="16"/>
  <c r="AP1301" i="16" s="1"/>
  <c r="AD1301" i="16"/>
  <c r="AN1301" i="16" s="1"/>
  <c r="AC1301" i="16"/>
  <c r="AM1301" i="16" s="1"/>
  <c r="AE1301" i="16"/>
  <c r="AO1301" i="16" s="1"/>
  <c r="AF1335" i="16"/>
  <c r="AP1335" i="16" s="1"/>
  <c r="AD1335" i="16"/>
  <c r="AN1335" i="16" s="1"/>
  <c r="AE1335" i="16"/>
  <c r="AO1335" i="16" s="1"/>
  <c r="AC1335" i="16"/>
  <c r="AM1335" i="16" s="1"/>
  <c r="AS1328" i="16"/>
  <c r="AC1321" i="16"/>
  <c r="AM1321" i="16" s="1"/>
  <c r="AE1321" i="16"/>
  <c r="AO1321" i="16" s="1"/>
  <c r="AF1321" i="16"/>
  <c r="AP1321" i="16" s="1"/>
  <c r="AD1321" i="16"/>
  <c r="AN1321" i="16" s="1"/>
  <c r="AS1288" i="16"/>
  <c r="AF1281" i="16"/>
  <c r="AP1281" i="16" s="1"/>
  <c r="AC1281" i="16"/>
  <c r="AM1281" i="16" s="1"/>
  <c r="AD1281" i="16"/>
  <c r="AN1281" i="16" s="1"/>
  <c r="AE1281" i="16"/>
  <c r="AO1281" i="16" s="1"/>
  <c r="AS1259" i="16"/>
  <c r="AD1252" i="16"/>
  <c r="AN1252" i="16" s="1"/>
  <c r="AF1252" i="16"/>
  <c r="AP1252" i="16" s="1"/>
  <c r="AE1252" i="16"/>
  <c r="AO1252" i="16" s="1"/>
  <c r="AC1252" i="16"/>
  <c r="AM1252" i="16" s="1"/>
  <c r="AS1280" i="16"/>
  <c r="AC1273" i="16"/>
  <c r="AM1273" i="16" s="1"/>
  <c r="AE1273" i="16"/>
  <c r="AO1273" i="16" s="1"/>
  <c r="AF1273" i="16"/>
  <c r="AP1273" i="16" s="1"/>
  <c r="AD1273" i="16"/>
  <c r="AN1273" i="16" s="1"/>
  <c r="AS1244" i="16"/>
  <c r="AD1237" i="16"/>
  <c r="AN1237" i="16" s="1"/>
  <c r="AC1237" i="16"/>
  <c r="AM1237" i="16" s="1"/>
  <c r="AE1237" i="16"/>
  <c r="AO1237" i="16" s="1"/>
  <c r="AF1237" i="16"/>
  <c r="AP1237" i="16" s="1"/>
  <c r="AS1258" i="16"/>
  <c r="AC1251" i="16"/>
  <c r="AM1251" i="16" s="1"/>
  <c r="AD1251" i="16"/>
  <c r="AN1251" i="16" s="1"/>
  <c r="AF1251" i="16"/>
  <c r="AP1251" i="16" s="1"/>
  <c r="AE1251" i="16"/>
  <c r="AO1251" i="16" s="1"/>
  <c r="AS1286" i="16"/>
  <c r="AF1279" i="16"/>
  <c r="AP1279" i="16" s="1"/>
  <c r="AD1279" i="16"/>
  <c r="AN1279" i="16" s="1"/>
  <c r="AE1279" i="16"/>
  <c r="AO1279" i="16" s="1"/>
  <c r="AC1279" i="16"/>
  <c r="AM1279" i="16" s="1"/>
  <c r="Q794" i="16"/>
  <c r="AN794" i="2"/>
  <c r="Q882" i="16"/>
  <c r="AJ882" i="2"/>
  <c r="Q366" i="16"/>
  <c r="AJ366" i="2"/>
  <c r="AJ522" i="2"/>
  <c r="Q522" i="16"/>
  <c r="Q456" i="16"/>
  <c r="AJ456" i="2"/>
  <c r="AJ312" i="2"/>
  <c r="Q312" i="16"/>
  <c r="Z1021" i="16"/>
  <c r="AD1021" i="16" s="1"/>
  <c r="AN1021" i="16" s="1"/>
  <c r="Z1028" i="16"/>
  <c r="AD1028" i="16" s="1"/>
  <c r="AN1028" i="16" s="1"/>
  <c r="AQ1029" i="2"/>
  <c r="AS1029" i="2" s="1"/>
  <c r="AU1029" i="2" s="1"/>
  <c r="B1029" i="16"/>
  <c r="AI655" i="2"/>
  <c r="P655" i="16"/>
  <c r="Z963" i="16"/>
  <c r="AL285" i="2"/>
  <c r="AK285" i="2"/>
  <c r="AK132" i="2"/>
  <c r="AM132" i="2"/>
  <c r="Z1051" i="16"/>
  <c r="Z1005" i="16"/>
  <c r="AG667" i="2"/>
  <c r="AK666" i="2"/>
  <c r="AH666" i="2"/>
  <c r="AL666" i="2"/>
  <c r="O666" i="16"/>
  <c r="AN910" i="2"/>
  <c r="AN993" i="2"/>
  <c r="AN902" i="2"/>
  <c r="AN680" i="2"/>
  <c r="AW734" i="2"/>
  <c r="T734" i="16" s="1"/>
  <c r="AW1101" i="2"/>
  <c r="T1101" i="16" s="1"/>
  <c r="AM1041" i="2"/>
  <c r="AW370" i="2"/>
  <c r="T370" i="16" s="1"/>
  <c r="AN607" i="2"/>
  <c r="AW670" i="2"/>
  <c r="T670" i="16" s="1"/>
  <c r="AS177" i="2"/>
  <c r="AU177" i="2" s="1"/>
  <c r="R177" i="16" s="1"/>
  <c r="AT177" i="16" s="1"/>
  <c r="AM651" i="2"/>
  <c r="AN804" i="2"/>
  <c r="AW668" i="2"/>
  <c r="T668" i="16" s="1"/>
  <c r="AW848" i="2"/>
  <c r="T848" i="16" s="1"/>
  <c r="AM735" i="2"/>
  <c r="AW226" i="2"/>
  <c r="T226" i="16" s="1"/>
  <c r="AI984" i="2"/>
  <c r="AS791" i="2"/>
  <c r="AU791" i="2" s="1"/>
  <c r="R791" i="16" s="1"/>
  <c r="AT791" i="16" s="1"/>
  <c r="P1115" i="16"/>
  <c r="AM1115" i="2"/>
  <c r="AW686" i="2"/>
  <c r="T686" i="16" s="1"/>
  <c r="R686" i="16"/>
  <c r="P936" i="16"/>
  <c r="AI936" i="2"/>
  <c r="AI901" i="2"/>
  <c r="AM901" i="2"/>
  <c r="P901" i="16"/>
  <c r="P731" i="16"/>
  <c r="AI731" i="2"/>
  <c r="AM731" i="2"/>
  <c r="P1087" i="16"/>
  <c r="AM1087" i="2"/>
  <c r="AI1087" i="2"/>
  <c r="AI810" i="2"/>
  <c r="P810" i="16"/>
  <c r="P709" i="16"/>
  <c r="AI709" i="2"/>
  <c r="AM709" i="2"/>
  <c r="AJ798" i="2"/>
  <c r="Q798" i="16"/>
  <c r="P1146" i="16"/>
  <c r="AI1146" i="2"/>
  <c r="AM996" i="2"/>
  <c r="P996" i="16"/>
  <c r="AI996" i="2"/>
  <c r="AJ831" i="2"/>
  <c r="Q831" i="16"/>
  <c r="AI1065" i="2"/>
  <c r="AM1065" i="2"/>
  <c r="P1065" i="16"/>
  <c r="Q891" i="16"/>
  <c r="AJ891" i="2"/>
  <c r="AN891" i="2"/>
  <c r="P1127" i="16"/>
  <c r="AI1127" i="2"/>
  <c r="AM1127" i="2"/>
  <c r="P664" i="16"/>
  <c r="AM664" i="2"/>
  <c r="AI664" i="2"/>
  <c r="U133" i="2"/>
  <c r="H133" i="16" s="1"/>
  <c r="H132" i="16"/>
  <c r="P756" i="16"/>
  <c r="AM756" i="2"/>
  <c r="AI756" i="2"/>
  <c r="P984" i="16"/>
  <c r="AM984" i="2"/>
  <c r="P380" i="16"/>
  <c r="AI380" i="2"/>
  <c r="AN285" i="2"/>
  <c r="AH285" i="2"/>
  <c r="O285" i="16"/>
  <c r="P963" i="16"/>
  <c r="AM963" i="2"/>
  <c r="AI963" i="2"/>
  <c r="P1051" i="16"/>
  <c r="AM1051" i="2"/>
  <c r="AI1051" i="2"/>
  <c r="P103" i="16"/>
  <c r="AM103" i="2"/>
  <c r="AI103" i="2"/>
  <c r="P975" i="16"/>
  <c r="AM975" i="2"/>
  <c r="AI975" i="2"/>
  <c r="AW975" i="2" s="1"/>
  <c r="T975" i="16" s="1"/>
  <c r="O132" i="16"/>
  <c r="AG133" i="2"/>
  <c r="AH132" i="2"/>
  <c r="AL132" i="2"/>
  <c r="P277" i="16"/>
  <c r="AI277" i="2"/>
  <c r="AM277" i="2"/>
  <c r="P469" i="16"/>
  <c r="AI469" i="2"/>
  <c r="P639" i="16"/>
  <c r="AI639" i="2"/>
  <c r="AM639" i="2"/>
  <c r="P1002" i="16"/>
  <c r="AI1002" i="2"/>
  <c r="AW1002" i="2" s="1"/>
  <c r="T1002" i="16" s="1"/>
  <c r="P599" i="16"/>
  <c r="AI599" i="2"/>
  <c r="AM599" i="2"/>
  <c r="P521" i="16"/>
  <c r="AI521" i="2"/>
  <c r="P295" i="16"/>
  <c r="AI295" i="2"/>
  <c r="P203" i="16"/>
  <c r="AI203" i="2"/>
  <c r="AM78" i="2"/>
  <c r="P78" i="16"/>
  <c r="AI78" i="2"/>
  <c r="Q924" i="16"/>
  <c r="AJ924" i="2"/>
  <c r="AJ595" i="2"/>
  <c r="Q595" i="16"/>
  <c r="Q547" i="16"/>
  <c r="AJ547" i="2"/>
  <c r="Q833" i="16"/>
  <c r="AJ833" i="2"/>
  <c r="AJ1008" i="2"/>
  <c r="Q1008" i="16"/>
  <c r="AJ762" i="2"/>
  <c r="Q762" i="16"/>
  <c r="AJ1112" i="2"/>
  <c r="Q1112" i="16"/>
  <c r="AJ949" i="2"/>
  <c r="Q949" i="16"/>
  <c r="Q1111" i="16"/>
  <c r="AJ1111" i="2"/>
  <c r="Q979" i="16"/>
  <c r="AJ979" i="2"/>
  <c r="AJ846" i="2"/>
  <c r="Q846" i="16"/>
  <c r="AJ1110" i="2"/>
  <c r="Q1110" i="16"/>
  <c r="AJ812" i="2"/>
  <c r="Q812" i="16"/>
  <c r="AJ677" i="2"/>
  <c r="Q677" i="16"/>
  <c r="AJ1188" i="2"/>
  <c r="Q1188" i="16"/>
  <c r="Q929" i="16"/>
  <c r="AN929" i="2"/>
  <c r="AJ929" i="2"/>
  <c r="Q900" i="16"/>
  <c r="AJ900" i="2"/>
  <c r="Q554" i="16"/>
  <c r="AJ554" i="2"/>
  <c r="Q1120" i="16"/>
  <c r="AJ1120" i="2"/>
  <c r="AJ770" i="2"/>
  <c r="Q770" i="16"/>
  <c r="AJ715" i="2"/>
  <c r="Q715" i="16"/>
  <c r="AJ686" i="2"/>
  <c r="Q686" i="16"/>
  <c r="AJ884" i="2"/>
  <c r="Q884" i="16"/>
  <c r="AJ727" i="2"/>
  <c r="Q727" i="16"/>
  <c r="Q611" i="16"/>
  <c r="AJ611" i="2"/>
  <c r="AJ598" i="2"/>
  <c r="Q598" i="16"/>
  <c r="AJ568" i="2"/>
  <c r="Q568" i="16"/>
  <c r="AJ1160" i="2"/>
  <c r="Q1160" i="16"/>
  <c r="Q883" i="16"/>
  <c r="AJ883" i="2"/>
  <c r="AW883" i="2"/>
  <c r="T883" i="16" s="1"/>
  <c r="Q610" i="16"/>
  <c r="AJ610" i="2"/>
  <c r="Q938" i="16"/>
  <c r="AJ938" i="2"/>
  <c r="Q806" i="16"/>
  <c r="AJ806" i="2"/>
  <c r="Z1002" i="16"/>
  <c r="H1029" i="16"/>
  <c r="AI1029" i="2"/>
  <c r="Q1108" i="16"/>
  <c r="AJ1108" i="2"/>
  <c r="Q1031" i="16"/>
  <c r="AJ1031" i="2"/>
  <c r="Q575" i="16"/>
  <c r="AJ575" i="2"/>
  <c r="Q690" i="16"/>
  <c r="AJ690" i="2"/>
  <c r="AN690" i="2"/>
  <c r="Q832" i="16"/>
  <c r="AJ832" i="2"/>
  <c r="Q1159" i="16"/>
  <c r="AJ1159" i="2"/>
  <c r="AJ734" i="2"/>
  <c r="Q734" i="16"/>
  <c r="Q711" i="16"/>
  <c r="AJ711" i="2"/>
  <c r="Q953" i="16"/>
  <c r="AJ953" i="2"/>
  <c r="AJ678" i="2"/>
  <c r="Q678" i="16"/>
  <c r="Q879" i="16"/>
  <c r="AJ879" i="2"/>
  <c r="Q1010" i="16"/>
  <c r="AJ1010" i="2"/>
  <c r="Q905" i="16"/>
  <c r="AJ905" i="2"/>
  <c r="Q1143" i="16"/>
  <c r="AJ1143" i="2"/>
  <c r="Q811" i="16"/>
  <c r="AJ811" i="2"/>
  <c r="Q842" i="16"/>
  <c r="AJ842" i="2"/>
  <c r="AJ560" i="2"/>
  <c r="Q560" i="16"/>
  <c r="Q1105" i="16"/>
  <c r="AJ1105" i="2"/>
  <c r="Q190" i="16"/>
  <c r="AJ190" i="2"/>
  <c r="R1144" i="16"/>
  <c r="AW1144" i="2"/>
  <c r="T1144" i="16" s="1"/>
  <c r="R1120" i="16"/>
  <c r="AW1120" i="2"/>
  <c r="T1120" i="16" s="1"/>
  <c r="R1084" i="16"/>
  <c r="AW1084" i="2"/>
  <c r="T1084" i="16" s="1"/>
  <c r="R856" i="16"/>
  <c r="AT859" i="16" s="1"/>
  <c r="AW856" i="2"/>
  <c r="T856" i="16" s="1"/>
  <c r="R832" i="16"/>
  <c r="AW832" i="2"/>
  <c r="T832" i="16" s="1"/>
  <c r="R1167" i="16"/>
  <c r="AW1167" i="2"/>
  <c r="T1167" i="16" s="1"/>
  <c r="R975" i="16"/>
  <c r="R1057" i="16"/>
  <c r="AW1057" i="2"/>
  <c r="T1057" i="16" s="1"/>
  <c r="R1045" i="16"/>
  <c r="AW1045" i="2"/>
  <c r="T1045" i="16" s="1"/>
  <c r="R1021" i="16"/>
  <c r="AW1021" i="2"/>
  <c r="T1021" i="16" s="1"/>
  <c r="R949" i="16"/>
  <c r="AT953" i="16" s="1"/>
  <c r="AW949" i="2"/>
  <c r="T949" i="16" s="1"/>
  <c r="R925" i="16"/>
  <c r="AT929" i="16" s="1"/>
  <c r="AW925" i="2"/>
  <c r="T925" i="16" s="1"/>
  <c r="R1128" i="16"/>
  <c r="AW1128" i="2"/>
  <c r="T1128" i="16" s="1"/>
  <c r="R1020" i="16"/>
  <c r="AW1020" i="2"/>
  <c r="T1020" i="16" s="1"/>
  <c r="R1199" i="16"/>
  <c r="AW1199" i="2"/>
  <c r="T1199" i="16" s="1"/>
  <c r="R1091" i="16"/>
  <c r="AW1091" i="2"/>
  <c r="T1091" i="16" s="1"/>
  <c r="R851" i="16"/>
  <c r="AT854" i="16" s="1"/>
  <c r="AW851" i="2"/>
  <c r="T851" i="16" s="1"/>
  <c r="R1186" i="16"/>
  <c r="AW1186" i="2"/>
  <c r="T1186" i="16" s="1"/>
  <c r="R1162" i="16"/>
  <c r="AW1162" i="2"/>
  <c r="T1162" i="16" s="1"/>
  <c r="R1126" i="16"/>
  <c r="AW1126" i="2"/>
  <c r="T1126" i="16" s="1"/>
  <c r="R1054" i="16"/>
  <c r="AW1054" i="2"/>
  <c r="T1054" i="16" s="1"/>
  <c r="R1042" i="16"/>
  <c r="AW1042" i="2"/>
  <c r="T1042" i="16" s="1"/>
  <c r="R1030" i="16"/>
  <c r="AW1030" i="2"/>
  <c r="T1030" i="16" s="1"/>
  <c r="R910" i="16"/>
  <c r="AT914" i="16" s="1"/>
  <c r="AW910" i="2"/>
  <c r="T910" i="16" s="1"/>
  <c r="R826" i="16"/>
  <c r="AT827" i="16" s="1"/>
  <c r="AW826" i="2"/>
  <c r="T826" i="16" s="1"/>
  <c r="R1173" i="16"/>
  <c r="AW1173" i="2"/>
  <c r="T1173" i="16" s="1"/>
  <c r="R1137" i="16"/>
  <c r="AW1137" i="2"/>
  <c r="T1137" i="16" s="1"/>
  <c r="R1113" i="16"/>
  <c r="AW1113" i="2"/>
  <c r="T1113" i="16" s="1"/>
  <c r="R1053" i="16"/>
  <c r="AW1053" i="2"/>
  <c r="T1053" i="16" s="1"/>
  <c r="R1017" i="16"/>
  <c r="AW1017" i="2"/>
  <c r="T1017" i="16" s="1"/>
  <c r="R921" i="16"/>
  <c r="AT925" i="16" s="1"/>
  <c r="AW921" i="2"/>
  <c r="T921" i="16" s="1"/>
  <c r="R909" i="16"/>
  <c r="AT913" i="16" s="1"/>
  <c r="AW909" i="2"/>
  <c r="T909" i="16" s="1"/>
  <c r="R885" i="16"/>
  <c r="AT889" i="16" s="1"/>
  <c r="AW885" i="2"/>
  <c r="T885" i="16" s="1"/>
  <c r="R873" i="16"/>
  <c r="AT877" i="16" s="1"/>
  <c r="AW873" i="2"/>
  <c r="T873" i="16" s="1"/>
  <c r="R1208" i="16"/>
  <c r="AW1208" i="2"/>
  <c r="T1208" i="16" s="1"/>
  <c r="R1184" i="16"/>
  <c r="AW1184" i="2"/>
  <c r="T1184" i="16" s="1"/>
  <c r="R1172" i="16"/>
  <c r="AW1172" i="2"/>
  <c r="T1172" i="16" s="1"/>
  <c r="R1160" i="16"/>
  <c r="AW1160" i="2"/>
  <c r="T1160" i="16" s="1"/>
  <c r="R1100" i="16"/>
  <c r="AW1100" i="2"/>
  <c r="T1100" i="16" s="1"/>
  <c r="R1028" i="16"/>
  <c r="AW1028" i="2"/>
  <c r="T1028" i="16" s="1"/>
  <c r="R968" i="16"/>
  <c r="AW968" i="2"/>
  <c r="T968" i="16" s="1"/>
  <c r="R944" i="16"/>
  <c r="AW944" i="2"/>
  <c r="T944" i="16" s="1"/>
  <c r="R1207" i="16"/>
  <c r="AW1207" i="2"/>
  <c r="T1207" i="16" s="1"/>
  <c r="R1159" i="16"/>
  <c r="AW1159" i="2"/>
  <c r="T1159" i="16" s="1"/>
  <c r="R1015" i="16"/>
  <c r="AW1015" i="2"/>
  <c r="T1015" i="16" s="1"/>
  <c r="R1206" i="16"/>
  <c r="AW1206" i="2"/>
  <c r="T1206" i="16" s="1"/>
  <c r="R1050" i="16"/>
  <c r="AW1050" i="2"/>
  <c r="T1050" i="16" s="1"/>
  <c r="R1002" i="16"/>
  <c r="R1181" i="16"/>
  <c r="AW1181" i="2"/>
  <c r="T1181" i="16" s="1"/>
  <c r="R1133" i="16"/>
  <c r="AW1133" i="2"/>
  <c r="R1109" i="16"/>
  <c r="AW1109" i="2"/>
  <c r="R1061" i="16"/>
  <c r="AW1061" i="2"/>
  <c r="T1061" i="16" s="1"/>
  <c r="R1001" i="16"/>
  <c r="AW1001" i="2"/>
  <c r="R989" i="16"/>
  <c r="AW989" i="2"/>
  <c r="R694" i="16"/>
  <c r="AT694" i="16" s="1"/>
  <c r="AW694" i="2"/>
  <c r="T694" i="16" s="1"/>
  <c r="R646" i="16"/>
  <c r="AT646" i="16" s="1"/>
  <c r="AW646" i="2"/>
  <c r="R586" i="16"/>
  <c r="AT586" i="16" s="1"/>
  <c r="AW586" i="2"/>
  <c r="T586" i="16" s="1"/>
  <c r="R514" i="16"/>
  <c r="AT514" i="16" s="1"/>
  <c r="AW514" i="2"/>
  <c r="R430" i="16"/>
  <c r="AT430" i="16" s="1"/>
  <c r="AW430" i="2"/>
  <c r="T430" i="16" s="1"/>
  <c r="R418" i="16"/>
  <c r="AT418" i="16" s="1"/>
  <c r="AW418" i="2"/>
  <c r="R214" i="16"/>
  <c r="AT214" i="16" s="1"/>
  <c r="AW214" i="2"/>
  <c r="T214" i="16" s="1"/>
  <c r="R741" i="16"/>
  <c r="AT741" i="16" s="1"/>
  <c r="R681" i="16"/>
  <c r="AT681" i="16" s="1"/>
  <c r="AW681" i="2"/>
  <c r="R657" i="16"/>
  <c r="AT657" i="16" s="1"/>
  <c r="AW657" i="2"/>
  <c r="R597" i="16"/>
  <c r="AT597" i="16" s="1"/>
  <c r="AW597" i="2"/>
  <c r="R537" i="16"/>
  <c r="AT537" i="16" s="1"/>
  <c r="AW537" i="2"/>
  <c r="T537" i="16" s="1"/>
  <c r="R489" i="16"/>
  <c r="AT489" i="16" s="1"/>
  <c r="AW489" i="2"/>
  <c r="R441" i="16"/>
  <c r="AT441" i="16" s="1"/>
  <c r="AW441" i="2"/>
  <c r="R393" i="16"/>
  <c r="AT393" i="16" s="1"/>
  <c r="AW393" i="2"/>
  <c r="R225" i="16"/>
  <c r="AT225" i="16" s="1"/>
  <c r="AW225" i="2"/>
  <c r="T225" i="16" s="1"/>
  <c r="R608" i="16"/>
  <c r="AT608" i="16" s="1"/>
  <c r="AW608" i="2"/>
  <c r="R404" i="16"/>
  <c r="AT404" i="16" s="1"/>
  <c r="AW404" i="2"/>
  <c r="T404" i="16" s="1"/>
  <c r="R356" i="16"/>
  <c r="AT356" i="16" s="1"/>
  <c r="AW356" i="2"/>
  <c r="R296" i="16"/>
  <c r="AT296" i="16" s="1"/>
  <c r="AW296" i="2"/>
  <c r="R808" i="16"/>
  <c r="AT809" i="16" s="1"/>
  <c r="AW808" i="2"/>
  <c r="T808" i="16" s="1"/>
  <c r="R604" i="16"/>
  <c r="AT604" i="16" s="1"/>
  <c r="AW604" i="2"/>
  <c r="R292" i="16"/>
  <c r="AT292" i="16" s="1"/>
  <c r="AW292" i="2"/>
  <c r="T292" i="16" s="1"/>
  <c r="AI248" i="2"/>
  <c r="P248" i="16"/>
  <c r="AI471" i="2"/>
  <c r="AM471" i="2"/>
  <c r="P471" i="16"/>
  <c r="P733" i="16"/>
  <c r="AM733" i="2"/>
  <c r="AI733" i="2"/>
  <c r="AI163" i="2"/>
  <c r="P163" i="16"/>
  <c r="AI741" i="2"/>
  <c r="P741" i="16"/>
  <c r="P849" i="16"/>
  <c r="AI849" i="2"/>
  <c r="P507" i="16"/>
  <c r="AI507" i="2"/>
  <c r="P273" i="16"/>
  <c r="AI273" i="2"/>
  <c r="P131" i="16"/>
  <c r="AI131" i="2"/>
  <c r="AJ413" i="2"/>
  <c r="Q413" i="16"/>
  <c r="AI167" i="2"/>
  <c r="P167" i="16"/>
  <c r="AJ707" i="2"/>
  <c r="Q707" i="16"/>
  <c r="P393" i="16"/>
  <c r="AI393" i="2"/>
  <c r="P113" i="16"/>
  <c r="AI113" i="2"/>
  <c r="AI111" i="2"/>
  <c r="P111" i="16"/>
  <c r="AN851" i="2"/>
  <c r="Q851" i="16"/>
  <c r="AJ851" i="2"/>
  <c r="Q663" i="16"/>
  <c r="AW663" i="2"/>
  <c r="Q172" i="16"/>
  <c r="AJ172" i="2"/>
  <c r="AJ787" i="2"/>
  <c r="Q787" i="16"/>
  <c r="Q604" i="16"/>
  <c r="AJ604" i="2"/>
  <c r="Q656" i="16"/>
  <c r="AN656" i="2"/>
  <c r="Q1174" i="16"/>
  <c r="AN1174" i="2"/>
  <c r="Z981" i="16"/>
  <c r="AW884" i="2"/>
  <c r="AW1161" i="2"/>
  <c r="T1161" i="16" s="1"/>
  <c r="AS1342" i="16"/>
  <c r="AW260" i="2"/>
  <c r="AS1339" i="16"/>
  <c r="AW1157" i="2"/>
  <c r="T1157" i="16" s="1"/>
  <c r="AW502" i="2"/>
  <c r="T502" i="16" s="1"/>
  <c r="AW1177" i="2"/>
  <c r="T1177" i="16" s="1"/>
  <c r="AW923" i="2"/>
  <c r="T923" i="16" s="1"/>
  <c r="AS1341" i="16"/>
  <c r="AW609" i="2"/>
  <c r="T609" i="16" s="1"/>
  <c r="AW1152" i="2"/>
  <c r="T1152" i="16" s="1"/>
  <c r="AS1344" i="16"/>
  <c r="AS1338" i="16"/>
  <c r="AS1343" i="16"/>
  <c r="AS1340" i="16"/>
  <c r="AW837" i="2"/>
  <c r="Q81" i="16"/>
  <c r="AJ81" i="2"/>
  <c r="AK931" i="2"/>
  <c r="AL931" i="2"/>
  <c r="H866" i="16"/>
  <c r="U867" i="2"/>
  <c r="Q448" i="16"/>
  <c r="O898" i="16"/>
  <c r="AK898" i="2"/>
  <c r="AL898" i="2"/>
  <c r="AH898" i="2"/>
  <c r="P898" i="16" s="1"/>
  <c r="AM898" i="2"/>
  <c r="O701" i="16"/>
  <c r="AH701" i="2"/>
  <c r="AK701" i="2"/>
  <c r="AL701" i="2"/>
  <c r="AN701" i="2"/>
  <c r="B740" i="16"/>
  <c r="AQ740" i="2"/>
  <c r="AS740" i="2" s="1"/>
  <c r="AU740" i="2" s="1"/>
  <c r="B898" i="16"/>
  <c r="AQ898" i="2"/>
  <c r="AS898" i="2" s="1"/>
  <c r="AU898" i="2" s="1"/>
  <c r="R898" i="16" s="1"/>
  <c r="AT902" i="16" s="1"/>
  <c r="B903" i="16"/>
  <c r="AQ903" i="2"/>
  <c r="AS903" i="2" s="1"/>
  <c r="AU903" i="2" s="1"/>
  <c r="AH903" i="2"/>
  <c r="O903" i="16"/>
  <c r="AM903" i="2"/>
  <c r="B1125" i="16"/>
  <c r="AQ1125" i="2"/>
  <c r="AS1125" i="2" s="1"/>
  <c r="AU1125" i="2" s="1"/>
  <c r="O820" i="16"/>
  <c r="AG821" i="2"/>
  <c r="AN835" i="2"/>
  <c r="B982" i="16"/>
  <c r="Z983" i="2"/>
  <c r="AI807" i="2"/>
  <c r="H700" i="16"/>
  <c r="U701" i="2"/>
  <c r="AJ1133" i="2"/>
  <c r="AN1133" i="2"/>
  <c r="AJ909" i="2"/>
  <c r="AN909" i="2"/>
  <c r="AI1005" i="2"/>
  <c r="AJ1005" i="2" s="1"/>
  <c r="AM1005" i="2"/>
  <c r="O675" i="16"/>
  <c r="AN675" i="2"/>
  <c r="AH675" i="2"/>
  <c r="AK675" i="2"/>
  <c r="AL675" i="2"/>
  <c r="AF984" i="2"/>
  <c r="N984" i="16" s="1"/>
  <c r="N983" i="16"/>
  <c r="O620" i="16"/>
  <c r="AG621" i="2"/>
  <c r="AN621" i="2" s="1"/>
  <c r="AH620" i="2"/>
  <c r="P620" i="16" s="1"/>
  <c r="AK620" i="2"/>
  <c r="AL620" i="2"/>
  <c r="AW1027" i="2"/>
  <c r="T1027" i="16" s="1"/>
  <c r="AN1027" i="2"/>
  <c r="B743" i="16"/>
  <c r="Z744" i="2"/>
  <c r="AQ743" i="2"/>
  <c r="AS743" i="2" s="1"/>
  <c r="AU743" i="2" s="1"/>
  <c r="H898" i="16"/>
  <c r="AI898" i="2"/>
  <c r="AP983" i="2"/>
  <c r="O767" i="16"/>
  <c r="AL767" i="2"/>
  <c r="AH767" i="2"/>
  <c r="AK767" i="2"/>
  <c r="B792" i="16"/>
  <c r="AQ792" i="2"/>
  <c r="AS792" i="2" s="1"/>
  <c r="AU792" i="2" s="1"/>
  <c r="R792" i="16" s="1"/>
  <c r="AT792" i="16" s="1"/>
  <c r="H971" i="16"/>
  <c r="U972" i="2"/>
  <c r="B620" i="16"/>
  <c r="Z621" i="2"/>
  <c r="AQ620" i="2"/>
  <c r="AS620" i="2" s="1"/>
  <c r="AU620" i="2" s="1"/>
  <c r="B1012" i="16"/>
  <c r="AQ1012" i="2"/>
  <c r="AS1012" i="2" s="1"/>
  <c r="AU1012" i="2" s="1"/>
  <c r="H1125" i="16"/>
  <c r="A674" i="16"/>
  <c r="T675" i="2"/>
  <c r="U667" i="2"/>
  <c r="H666" i="16"/>
  <c r="O740" i="16"/>
  <c r="AL740" i="2"/>
  <c r="AK740" i="2"/>
  <c r="AH740" i="2"/>
  <c r="A743" i="16"/>
  <c r="T744" i="2"/>
  <c r="B1003" i="16"/>
  <c r="AQ1003" i="2"/>
  <c r="AS1003" i="2" s="1"/>
  <c r="AU1003" i="2" s="1"/>
  <c r="AN713" i="2"/>
  <c r="H742" i="16"/>
  <c r="U743" i="2"/>
  <c r="O937" i="16"/>
  <c r="AH937" i="2"/>
  <c r="AK937" i="2"/>
  <c r="AL937" i="2"/>
  <c r="O1003" i="16"/>
  <c r="AH1003" i="2"/>
  <c r="AI1003" i="2" s="1"/>
  <c r="AK1003" i="2"/>
  <c r="AL1003" i="2"/>
  <c r="H625" i="16"/>
  <c r="U626" i="2"/>
  <c r="H602" i="16"/>
  <c r="U603" i="2"/>
  <c r="AW840" i="2"/>
  <c r="T840" i="16" s="1"/>
  <c r="AJ644" i="2"/>
  <c r="AN644" i="2"/>
  <c r="O854" i="16"/>
  <c r="AH854" i="2"/>
  <c r="AK854" i="2"/>
  <c r="AL854" i="2"/>
  <c r="O1125" i="16"/>
  <c r="AH1125" i="2"/>
  <c r="AK1125" i="2"/>
  <c r="AL1125" i="2"/>
  <c r="B971" i="16"/>
  <c r="Z972" i="2"/>
  <c r="AQ971" i="2"/>
  <c r="AS971" i="2" s="1"/>
  <c r="AU971" i="2" s="1"/>
  <c r="A820" i="16"/>
  <c r="T821" i="2"/>
  <c r="AW764" i="2"/>
  <c r="T764" i="16" s="1"/>
  <c r="AN764" i="2"/>
  <c r="H982" i="16"/>
  <c r="U983" i="2"/>
  <c r="O743" i="16"/>
  <c r="AG744" i="2"/>
  <c r="AH743" i="2"/>
  <c r="P743" i="16" s="1"/>
  <c r="AK743" i="2"/>
  <c r="AL743" i="2"/>
  <c r="B626" i="16"/>
  <c r="AQ626" i="2"/>
  <c r="AS626" i="2" s="1"/>
  <c r="AU626" i="2" s="1"/>
  <c r="AW626" i="2" s="1"/>
  <c r="T626" i="16" s="1"/>
  <c r="T667" i="2"/>
  <c r="A666" i="16"/>
  <c r="B603" i="16"/>
  <c r="AQ603" i="2"/>
  <c r="AS603" i="2" s="1"/>
  <c r="AU603" i="2" s="1"/>
  <c r="AN1014" i="2"/>
  <c r="B767" i="16"/>
  <c r="AQ767" i="2"/>
  <c r="AS767" i="2" s="1"/>
  <c r="AU767" i="2" s="1"/>
  <c r="AP666" i="2"/>
  <c r="H903" i="16"/>
  <c r="O971" i="16"/>
  <c r="AG972" i="2"/>
  <c r="AK971" i="2"/>
  <c r="AL971" i="2"/>
  <c r="AH971" i="2"/>
  <c r="O792" i="16"/>
  <c r="AL792" i="2"/>
  <c r="AH792" i="2"/>
  <c r="AK792" i="2"/>
  <c r="B820" i="16"/>
  <c r="Z821" i="2"/>
  <c r="B535" i="16"/>
  <c r="AQ535" i="2"/>
  <c r="AS535" i="2" s="1"/>
  <c r="AU535" i="2" s="1"/>
  <c r="H620" i="16"/>
  <c r="U621" i="2"/>
  <c r="AI620" i="2"/>
  <c r="H1003" i="16"/>
  <c r="O866" i="16"/>
  <c r="AG867" i="2"/>
  <c r="AH866" i="2"/>
  <c r="AK866" i="2"/>
  <c r="AL866" i="2"/>
  <c r="B675" i="16"/>
  <c r="AQ675" i="2"/>
  <c r="A867" i="16"/>
  <c r="T868" i="2"/>
  <c r="O603" i="16"/>
  <c r="AK603" i="2"/>
  <c r="AN603" i="2"/>
  <c r="AL603" i="2"/>
  <c r="AH603" i="2"/>
  <c r="AP972" i="2"/>
  <c r="AM620" i="2"/>
  <c r="AW847" i="2"/>
  <c r="T847" i="16" s="1"/>
  <c r="Z667" i="2"/>
  <c r="AQ666" i="2"/>
  <c r="B666" i="16"/>
  <c r="H534" i="16"/>
  <c r="U535" i="2"/>
  <c r="AI718" i="2"/>
  <c r="AW1145" i="2"/>
  <c r="T1145" i="16" s="1"/>
  <c r="AN1145" i="2"/>
  <c r="O535" i="16"/>
  <c r="AH535" i="2"/>
  <c r="P535" i="16" s="1"/>
  <c r="AK535" i="2"/>
  <c r="AL535" i="2"/>
  <c r="B866" i="16"/>
  <c r="Z867" i="2"/>
  <c r="AQ866" i="2"/>
  <c r="AS866" i="2" s="1"/>
  <c r="AU866" i="2" s="1"/>
  <c r="O1012" i="16"/>
  <c r="AL1012" i="2"/>
  <c r="AH1012" i="2"/>
  <c r="AN1012" i="2"/>
  <c r="AK1012" i="2"/>
  <c r="H767" i="16"/>
  <c r="AI767" i="2"/>
  <c r="H740" i="16"/>
  <c r="AI740" i="2"/>
  <c r="O982" i="16"/>
  <c r="AL982" i="2"/>
  <c r="AK982" i="2"/>
  <c r="AG983" i="2"/>
  <c r="A581" i="16"/>
  <c r="T582" i="2"/>
  <c r="AQ79" i="2"/>
  <c r="AS79" i="2" s="1"/>
  <c r="AU79" i="2" s="1"/>
  <c r="O626" i="16"/>
  <c r="AH626" i="2"/>
  <c r="P626" i="16" s="1"/>
  <c r="AK626" i="2"/>
  <c r="AL626" i="2"/>
  <c r="B701" i="16"/>
  <c r="AQ701" i="2"/>
  <c r="AS701" i="2" s="1"/>
  <c r="AU701" i="2" s="1"/>
  <c r="R701" i="16" s="1"/>
  <c r="AT701" i="16" s="1"/>
  <c r="B854" i="16"/>
  <c r="AQ854" i="2"/>
  <c r="AS854" i="2" s="1"/>
  <c r="AU854" i="2" s="1"/>
  <c r="R854" i="16" s="1"/>
  <c r="AT857" i="16" s="1"/>
  <c r="Q765" i="16"/>
  <c r="AJ765" i="2"/>
  <c r="AP256" i="2"/>
  <c r="Q644" i="16"/>
  <c r="AI738" i="2"/>
  <c r="AN738" i="2" s="1"/>
  <c r="AI498" i="2"/>
  <c r="AW1058" i="2"/>
  <c r="T1058" i="16" s="1"/>
  <c r="AW728" i="2"/>
  <c r="T728" i="16" s="1"/>
  <c r="Q284" i="16"/>
  <c r="AJ284" i="2"/>
  <c r="O1097" i="16"/>
  <c r="AL1097" i="2"/>
  <c r="AK1097" i="2"/>
  <c r="AM1097" i="2" s="1"/>
  <c r="AW824" i="2"/>
  <c r="T824" i="16" s="1"/>
  <c r="AW677" i="2"/>
  <c r="T677" i="16" s="1"/>
  <c r="AI897" i="2"/>
  <c r="AK394" i="2"/>
  <c r="AL394" i="2"/>
  <c r="AK818" i="2"/>
  <c r="AL818" i="2"/>
  <c r="AL742" i="2"/>
  <c r="AK742" i="2"/>
  <c r="AW104" i="2"/>
  <c r="T104" i="16" s="1"/>
  <c r="AJ824" i="2"/>
  <c r="AJ337" i="2"/>
  <c r="AM368" i="2"/>
  <c r="AW1080" i="2"/>
  <c r="T1080" i="16" s="1"/>
  <c r="R958" i="16"/>
  <c r="AW958" i="2"/>
  <c r="T958" i="16" s="1"/>
  <c r="R929" i="16"/>
  <c r="AT933" i="16" s="1"/>
  <c r="AW929" i="2"/>
  <c r="T929" i="16" s="1"/>
  <c r="R980" i="16"/>
  <c r="AW980" i="2"/>
  <c r="T980" i="16" s="1"/>
  <c r="R554" i="16"/>
  <c r="AT554" i="16" s="1"/>
  <c r="AW554" i="2"/>
  <c r="T554" i="16" s="1"/>
  <c r="R1108" i="16"/>
  <c r="AW1108" i="2"/>
  <c r="T1108" i="16" s="1"/>
  <c r="R890" i="16"/>
  <c r="AT894" i="16" s="1"/>
  <c r="AW890" i="2"/>
  <c r="T890" i="16" s="1"/>
  <c r="R794" i="16"/>
  <c r="AT794" i="16" s="1"/>
  <c r="AW794" i="2"/>
  <c r="T794" i="16" s="1"/>
  <c r="R638" i="16"/>
  <c r="AT638" i="16" s="1"/>
  <c r="AW638" i="2"/>
  <c r="T638" i="16" s="1"/>
  <c r="R578" i="16"/>
  <c r="AW578" i="2"/>
  <c r="T578" i="16" s="1"/>
  <c r="R278" i="16"/>
  <c r="AW278" i="2"/>
  <c r="T278" i="16" s="1"/>
  <c r="R421" i="16"/>
  <c r="AT421" i="16" s="1"/>
  <c r="AW421" i="2"/>
  <c r="T421" i="16" s="1"/>
  <c r="R828" i="16"/>
  <c r="AT829" i="16" s="1"/>
  <c r="R1110" i="16"/>
  <c r="AW1110" i="2"/>
  <c r="T1110" i="16" s="1"/>
  <c r="R710" i="16"/>
  <c r="AT710" i="16" s="1"/>
  <c r="R715" i="16"/>
  <c r="AT715" i="16" s="1"/>
  <c r="AW715" i="2"/>
  <c r="T715" i="16" s="1"/>
  <c r="R156" i="16"/>
  <c r="AW156" i="2"/>
  <c r="T156" i="16" s="1"/>
  <c r="R232" i="16"/>
  <c r="AW232" i="2"/>
  <c r="T232" i="16" s="1"/>
  <c r="R258" i="16"/>
  <c r="AT258" i="16" s="1"/>
  <c r="AW258" i="2"/>
  <c r="T258" i="16" s="1"/>
  <c r="R498" i="16"/>
  <c r="AT498" i="16" s="1"/>
  <c r="AW498" i="2"/>
  <c r="T498" i="16" s="1"/>
  <c r="R230" i="16"/>
  <c r="AW230" i="2"/>
  <c r="T230" i="16" s="1"/>
  <c r="R1164" i="16"/>
  <c r="AW1164" i="2"/>
  <c r="T1164" i="16" s="1"/>
  <c r="R618" i="16"/>
  <c r="AT618" i="16" s="1"/>
  <c r="AW12" i="2"/>
  <c r="T12" i="16" s="1"/>
  <c r="AW757" i="2"/>
  <c r="T757" i="16" s="1"/>
  <c r="AW94" i="2"/>
  <c r="T94" i="16" s="1"/>
  <c r="AW62" i="2"/>
  <c r="T62" i="16" s="1"/>
  <c r="AW191" i="2"/>
  <c r="T191" i="16" s="1"/>
  <c r="AW746" i="2"/>
  <c r="T746" i="16" s="1"/>
  <c r="AW719" i="2"/>
  <c r="T719" i="16" s="1"/>
  <c r="AW77" i="2"/>
  <c r="T77" i="16" s="1"/>
  <c r="AW781" i="2"/>
  <c r="T781" i="16" s="1"/>
  <c r="AW894" i="2"/>
  <c r="T894" i="16" s="1"/>
  <c r="AW512" i="2"/>
  <c r="T512" i="16" s="1"/>
  <c r="AW1063" i="2"/>
  <c r="T1063" i="16" s="1"/>
  <c r="AW939" i="2"/>
  <c r="T939" i="16" s="1"/>
  <c r="AW240" i="2"/>
  <c r="T240" i="16" s="1"/>
  <c r="AW157" i="2"/>
  <c r="T157" i="16" s="1"/>
  <c r="AW696" i="2"/>
  <c r="T696" i="16" s="1"/>
  <c r="AW49" i="2"/>
  <c r="T49" i="16" s="1"/>
  <c r="AW44" i="2"/>
  <c r="T44" i="16" s="1"/>
  <c r="AW238" i="2"/>
  <c r="T238" i="16" s="1"/>
  <c r="AW25" i="2"/>
  <c r="T25" i="16" s="1"/>
  <c r="AW669" i="2"/>
  <c r="T669" i="16" s="1"/>
  <c r="AW632" i="2"/>
  <c r="T632" i="16" s="1"/>
  <c r="AW243" i="2"/>
  <c r="T243" i="16" s="1"/>
  <c r="AW206" i="2"/>
  <c r="T206" i="16" s="1"/>
  <c r="AW252" i="2"/>
  <c r="T252" i="16" s="1"/>
  <c r="AW280" i="2"/>
  <c r="T280" i="16" s="1"/>
  <c r="AW994" i="2"/>
  <c r="T994" i="16" s="1"/>
  <c r="AW605" i="2"/>
  <c r="T605" i="16" s="1"/>
  <c r="AW1055" i="2"/>
  <c r="T1055" i="16" s="1"/>
  <c r="AW202" i="2"/>
  <c r="T202" i="16" s="1"/>
  <c r="AW55" i="2"/>
  <c r="T55" i="16" s="1"/>
  <c r="AW145" i="2"/>
  <c r="T145" i="16" s="1"/>
  <c r="AW35" i="2"/>
  <c r="T35" i="16" s="1"/>
  <c r="AW110" i="2"/>
  <c r="T110" i="16" s="1"/>
  <c r="R1071" i="16"/>
  <c r="AW1071" i="2"/>
  <c r="T1071" i="16" s="1"/>
  <c r="AW913" i="2"/>
  <c r="T913" i="16" s="1"/>
  <c r="R913" i="16"/>
  <c r="AW1198" i="2"/>
  <c r="T1198" i="16" s="1"/>
  <c r="R1198" i="16"/>
  <c r="R1114" i="16"/>
  <c r="AW1114" i="2"/>
  <c r="T1114" i="16" s="1"/>
  <c r="R922" i="16"/>
  <c r="AT926" i="16" s="1"/>
  <c r="AW922" i="2"/>
  <c r="T922" i="16" s="1"/>
  <c r="R1209" i="16"/>
  <c r="AW1209" i="2"/>
  <c r="T1209" i="16" s="1"/>
  <c r="AW1197" i="2"/>
  <c r="T1197" i="16" s="1"/>
  <c r="R1197" i="16"/>
  <c r="R801" i="16"/>
  <c r="AT802" i="16" s="1"/>
  <c r="AW801" i="2"/>
  <c r="T801" i="16" s="1"/>
  <c r="R1088" i="16"/>
  <c r="AW1088" i="2"/>
  <c r="T1088" i="16" s="1"/>
  <c r="AW1195" i="2"/>
  <c r="T1195" i="16" s="1"/>
  <c r="R1195" i="16"/>
  <c r="AW1039" i="2"/>
  <c r="T1039" i="16" s="1"/>
  <c r="R1039" i="16"/>
  <c r="R1085" i="16"/>
  <c r="AW1085" i="2"/>
  <c r="T1085" i="16" s="1"/>
  <c r="AW953" i="2"/>
  <c r="T953" i="16" s="1"/>
  <c r="R953" i="16"/>
  <c r="R658" i="16"/>
  <c r="AT658" i="16" s="1"/>
  <c r="AW658" i="2"/>
  <c r="T658" i="16" s="1"/>
  <c r="R22" i="16"/>
  <c r="AT22" i="16" s="1"/>
  <c r="AW22" i="2"/>
  <c r="T22" i="16" s="1"/>
  <c r="AW189" i="2"/>
  <c r="T189" i="16" s="1"/>
  <c r="R189" i="16"/>
  <c r="AT189" i="16" s="1"/>
  <c r="R528" i="16"/>
  <c r="AT528" i="16" s="1"/>
  <c r="AW528" i="2"/>
  <c r="T528" i="16" s="1"/>
  <c r="R835" i="16"/>
  <c r="AT836" i="16" s="1"/>
  <c r="AW835" i="2"/>
  <c r="T835" i="16" s="1"/>
  <c r="AW86" i="2"/>
  <c r="T86" i="16" s="1"/>
  <c r="R86" i="16"/>
  <c r="AT86" i="16" s="1"/>
  <c r="R38" i="16"/>
  <c r="AT38" i="16" s="1"/>
  <c r="AW38" i="2"/>
  <c r="T38" i="16" s="1"/>
  <c r="AW721" i="2"/>
  <c r="T721" i="16" s="1"/>
  <c r="R721" i="16"/>
  <c r="AT721" i="16" s="1"/>
  <c r="AW709" i="2"/>
  <c r="T709" i="16" s="1"/>
  <c r="R709" i="16"/>
  <c r="AT709" i="16" s="1"/>
  <c r="R876" i="16"/>
  <c r="AT880" i="16" s="1"/>
  <c r="AW876" i="2"/>
  <c r="T876" i="16" s="1"/>
  <c r="R804" i="16"/>
  <c r="AT805" i="16" s="1"/>
  <c r="AW804" i="2"/>
  <c r="T804" i="16" s="1"/>
  <c r="R468" i="16"/>
  <c r="AW468" i="2"/>
  <c r="T468" i="16" s="1"/>
  <c r="R456" i="16"/>
  <c r="AT456" i="16" s="1"/>
  <c r="AW456" i="2"/>
  <c r="T456" i="16" s="1"/>
  <c r="R324" i="16"/>
  <c r="AT324" i="16" s="1"/>
  <c r="AW324" i="2"/>
  <c r="T324" i="16" s="1"/>
  <c r="R192" i="16"/>
  <c r="AT192" i="16" s="1"/>
  <c r="AW192" i="2"/>
  <c r="T192" i="16" s="1"/>
  <c r="AW180" i="2"/>
  <c r="T180" i="16" s="1"/>
  <c r="R180" i="16"/>
  <c r="AT180" i="16" s="1"/>
  <c r="R707" i="16"/>
  <c r="AT707" i="16" s="1"/>
  <c r="AW707" i="2"/>
  <c r="T707" i="16" s="1"/>
  <c r="R467" i="16"/>
  <c r="AT467" i="16" s="1"/>
  <c r="AW467" i="2"/>
  <c r="T467" i="16" s="1"/>
  <c r="R395" i="16"/>
  <c r="AT395" i="16" s="1"/>
  <c r="AW395" i="2"/>
  <c r="T395" i="16" s="1"/>
  <c r="AW227" i="2"/>
  <c r="T227" i="16" s="1"/>
  <c r="R227" i="16"/>
  <c r="AT227" i="16" s="1"/>
  <c r="R203" i="16"/>
  <c r="AT203" i="16" s="1"/>
  <c r="AW203" i="2"/>
  <c r="T203" i="16" s="1"/>
  <c r="AW167" i="2"/>
  <c r="T167" i="16" s="1"/>
  <c r="R167" i="16"/>
  <c r="AT167" i="16" s="1"/>
  <c r="R131" i="16"/>
  <c r="AT131" i="16" s="1"/>
  <c r="AW131" i="2"/>
  <c r="T131" i="16" s="1"/>
  <c r="R455" i="16"/>
  <c r="AT455" i="16" s="1"/>
  <c r="AW455" i="2"/>
  <c r="T455" i="16" s="1"/>
  <c r="AW196" i="2"/>
  <c r="T196" i="16" s="1"/>
  <c r="R196" i="16"/>
  <c r="AW831" i="2"/>
  <c r="T831" i="16" s="1"/>
  <c r="R831" i="16"/>
  <c r="AT832" i="16" s="1"/>
  <c r="R1051" i="16"/>
  <c r="R550" i="16"/>
  <c r="AT550" i="16" s="1"/>
  <c r="AW550" i="2"/>
  <c r="T550" i="16" s="1"/>
  <c r="AW250" i="2"/>
  <c r="T250" i="16" s="1"/>
  <c r="R250" i="16"/>
  <c r="AT250" i="16" s="1"/>
  <c r="R143" i="16"/>
  <c r="AT143" i="16" s="1"/>
  <c r="AW143" i="2"/>
  <c r="T143" i="16" s="1"/>
  <c r="R168" i="16"/>
  <c r="AT168" i="16" s="1"/>
  <c r="AW168" i="2"/>
  <c r="T168" i="16" s="1"/>
  <c r="R624" i="16"/>
  <c r="AT624" i="16" s="1"/>
  <c r="R273" i="16"/>
  <c r="AT273" i="16" s="1"/>
  <c r="AW273" i="2"/>
  <c r="T273" i="16" s="1"/>
  <c r="AW733" i="2"/>
  <c r="T733" i="16" s="1"/>
  <c r="R733" i="16"/>
  <c r="AT733" i="16" s="1"/>
  <c r="R963" i="16"/>
  <c r="R878" i="16"/>
  <c r="AT882" i="16" s="1"/>
  <c r="AW878" i="2"/>
  <c r="T878" i="16" s="1"/>
  <c r="R170" i="16"/>
  <c r="AW170" i="2"/>
  <c r="T170" i="16" s="1"/>
  <c r="R676" i="16"/>
  <c r="AT676" i="16" s="1"/>
  <c r="AW1118" i="2"/>
  <c r="T1118" i="16" s="1"/>
  <c r="R1118" i="16"/>
  <c r="R298" i="16"/>
  <c r="AT298" i="16" s="1"/>
  <c r="AW298" i="2"/>
  <c r="T298" i="16" s="1"/>
  <c r="R1074" i="16"/>
  <c r="AW1074" i="2"/>
  <c r="T1074" i="16" s="1"/>
  <c r="R992" i="16"/>
  <c r="AW992" i="2"/>
  <c r="T992" i="16" s="1"/>
  <c r="R1136" i="16"/>
  <c r="AW1136" i="2"/>
  <c r="T1136" i="16" s="1"/>
  <c r="R321" i="16"/>
  <c r="AW321" i="2"/>
  <c r="T321" i="16" s="1"/>
  <c r="R1103" i="16"/>
  <c r="AW1103" i="2"/>
  <c r="T1103" i="16" s="1"/>
  <c r="R601" i="16"/>
  <c r="AT601" i="16" s="1"/>
  <c r="AW601" i="2"/>
  <c r="T601" i="16" s="1"/>
  <c r="R1018" i="16"/>
  <c r="AW1018" i="2"/>
  <c r="T1018" i="16" s="1"/>
  <c r="R146" i="16"/>
  <c r="AT146" i="16" s="1"/>
  <c r="AW146" i="2"/>
  <c r="T146" i="16" s="1"/>
  <c r="R1179" i="16"/>
  <c r="AW1179" i="2"/>
  <c r="T1179" i="16" s="1"/>
  <c r="R364" i="16"/>
  <c r="AT364" i="16" s="1"/>
  <c r="AW364" i="2"/>
  <c r="T364" i="16" s="1"/>
  <c r="R198" i="16"/>
  <c r="AT198" i="16" s="1"/>
  <c r="AW198" i="2"/>
  <c r="T198" i="16" s="1"/>
  <c r="R380" i="16"/>
  <c r="AT380" i="16" s="1"/>
  <c r="AW380" i="2"/>
  <c r="T380" i="16" s="1"/>
  <c r="R105" i="16"/>
  <c r="AW105" i="2"/>
  <c r="T105" i="16" s="1"/>
  <c r="AW442" i="2"/>
  <c r="T442" i="16" s="1"/>
  <c r="R442" i="16"/>
  <c r="AW598" i="2"/>
  <c r="T598" i="16" s="1"/>
  <c r="R598" i="16"/>
  <c r="AT598" i="16" s="1"/>
  <c r="R905" i="16"/>
  <c r="AT909" i="16" s="1"/>
  <c r="AW905" i="2"/>
  <c r="T905" i="16" s="1"/>
  <c r="R1127" i="16"/>
  <c r="AW1127" i="2"/>
  <c r="T1127" i="16" s="1"/>
  <c r="AW699" i="2"/>
  <c r="T699" i="16" s="1"/>
  <c r="R699" i="16"/>
  <c r="AT699" i="16" s="1"/>
  <c r="R6" i="16"/>
  <c r="AT6" i="16" s="1"/>
  <c r="AW6" i="2"/>
  <c r="T6" i="16" s="1"/>
  <c r="AW155" i="2"/>
  <c r="T155" i="16" s="1"/>
  <c r="R155" i="16"/>
  <c r="AT155" i="16" s="1"/>
  <c r="R527" i="16"/>
  <c r="AW527" i="2"/>
  <c r="T527" i="16" s="1"/>
  <c r="R51" i="16"/>
  <c r="AT51" i="16" s="1"/>
  <c r="AW51" i="2"/>
  <c r="T51" i="16" s="1"/>
  <c r="R397" i="16"/>
  <c r="AT397" i="16" s="1"/>
  <c r="AW397" i="2"/>
  <c r="T397" i="16" s="1"/>
  <c r="R765" i="16"/>
  <c r="AT765" i="16" s="1"/>
  <c r="AW765" i="2"/>
  <c r="T765" i="16" s="1"/>
  <c r="R1190" i="16"/>
  <c r="AW1190" i="2"/>
  <c r="T1190" i="16" s="1"/>
  <c r="R842" i="16"/>
  <c r="AT843" i="16" s="1"/>
  <c r="AW842" i="2"/>
  <c r="T842" i="16" s="1"/>
  <c r="R341" i="16"/>
  <c r="AT341" i="16" s="1"/>
  <c r="AW341" i="2"/>
  <c r="T341" i="16" s="1"/>
  <c r="R964" i="16"/>
  <c r="AW964" i="2"/>
  <c r="T964" i="16" s="1"/>
  <c r="R812" i="16"/>
  <c r="AW812" i="2"/>
  <c r="T812" i="16" s="1"/>
  <c r="R316" i="16"/>
  <c r="AT316" i="16" s="1"/>
  <c r="AW316" i="2"/>
  <c r="T316" i="16" s="1"/>
  <c r="R532" i="16"/>
  <c r="AT532" i="16" s="1"/>
  <c r="AW532" i="2"/>
  <c r="T532" i="16" s="1"/>
  <c r="R248" i="16"/>
  <c r="AT248" i="16" s="1"/>
  <c r="AW248" i="2"/>
  <c r="T248" i="16" s="1"/>
  <c r="AW680" i="2"/>
  <c r="T680" i="16" s="1"/>
  <c r="R680" i="16"/>
  <c r="AT680" i="16" s="1"/>
  <c r="R453" i="16"/>
  <c r="AT453" i="16" s="1"/>
  <c r="AW453" i="2"/>
  <c r="T453" i="16" s="1"/>
  <c r="R566" i="16"/>
  <c r="AT566" i="16" s="1"/>
  <c r="AW566" i="2"/>
  <c r="T566" i="16" s="1"/>
  <c r="R782" i="16"/>
  <c r="AT782" i="16" s="1"/>
  <c r="AW782" i="2"/>
  <c r="T782" i="16" s="1"/>
  <c r="R998" i="16"/>
  <c r="AW998" i="2"/>
  <c r="T998" i="16" s="1"/>
  <c r="R569" i="16"/>
  <c r="AT569" i="16" s="1"/>
  <c r="AW569" i="2"/>
  <c r="T569" i="16" s="1"/>
  <c r="R872" i="16"/>
  <c r="AT876" i="16" s="1"/>
  <c r="AW872" i="2"/>
  <c r="T872" i="16" s="1"/>
  <c r="R790" i="16"/>
  <c r="AT790" i="16" s="1"/>
  <c r="AW790" i="2"/>
  <c r="T790" i="16" s="1"/>
  <c r="R1165" i="16"/>
  <c r="AW1165" i="2"/>
  <c r="T1165" i="16" s="1"/>
  <c r="R1211" i="16"/>
  <c r="AW1211" i="2"/>
  <c r="T1211" i="16" s="1"/>
  <c r="R222" i="16"/>
  <c r="AT222" i="16" s="1"/>
  <c r="AW222" i="2"/>
  <c r="T222" i="16" s="1"/>
  <c r="R1094" i="16"/>
  <c r="AW1094" i="2"/>
  <c r="T1094" i="16" s="1"/>
  <c r="R607" i="16"/>
  <c r="AT607" i="16" s="1"/>
  <c r="AW607" i="2"/>
  <c r="T607" i="16" s="1"/>
  <c r="R358" i="16"/>
  <c r="AT358" i="16" s="1"/>
  <c r="AW358" i="2"/>
  <c r="T358" i="16" s="1"/>
  <c r="R948" i="16"/>
  <c r="AT952" i="16" s="1"/>
  <c r="AW948" i="2"/>
  <c r="T948" i="16" s="1"/>
  <c r="R1105" i="16"/>
  <c r="AW1105" i="2"/>
  <c r="T1105" i="16" s="1"/>
  <c r="R1034" i="16"/>
  <c r="AW1034" i="2"/>
  <c r="T1034" i="16" s="1"/>
  <c r="R547" i="16"/>
  <c r="AT547" i="16" s="1"/>
  <c r="AW547" i="2"/>
  <c r="T547" i="16" s="1"/>
  <c r="R730" i="16"/>
  <c r="AT730" i="16" s="1"/>
  <c r="AW730" i="2"/>
  <c r="T730" i="16" s="1"/>
  <c r="R1139" i="16"/>
  <c r="AW1139" i="2"/>
  <c r="T1139" i="16" s="1"/>
  <c r="R659" i="16"/>
  <c r="AT659" i="16" s="1"/>
  <c r="AW659" i="2"/>
  <c r="T659" i="16" s="1"/>
  <c r="R656" i="16"/>
  <c r="AT656" i="16" s="1"/>
  <c r="AW656" i="2"/>
  <c r="T656" i="16" s="1"/>
  <c r="R568" i="16"/>
  <c r="AT568" i="16" s="1"/>
  <c r="AW568" i="2"/>
  <c r="T568" i="16" s="1"/>
  <c r="R720" i="16"/>
  <c r="AT720" i="16" s="1"/>
  <c r="AW720" i="2"/>
  <c r="T720" i="16" s="1"/>
  <c r="AW864" i="2"/>
  <c r="T864" i="16" s="1"/>
  <c r="R864" i="16"/>
  <c r="AT867" i="16" s="1"/>
  <c r="R974" i="16"/>
  <c r="AW974" i="2"/>
  <c r="T974" i="16" s="1"/>
  <c r="R849" i="16"/>
  <c r="AT851" i="16" s="1"/>
  <c r="AW849" i="2"/>
  <c r="T849" i="16" s="1"/>
  <c r="R1031" i="16"/>
  <c r="AW1031" i="2"/>
  <c r="T1031" i="16" s="1"/>
  <c r="R789" i="16"/>
  <c r="AT789" i="16" s="1"/>
  <c r="AW789" i="2"/>
  <c r="T789" i="16" s="1"/>
  <c r="R239" i="16"/>
  <c r="AT239" i="16" s="1"/>
  <c r="AW239" i="2"/>
  <c r="T239" i="16" s="1"/>
  <c r="AW816" i="2"/>
  <c r="T816" i="16" s="1"/>
  <c r="R816" i="16"/>
  <c r="AT817" i="16" s="1"/>
  <c r="R811" i="16"/>
  <c r="AW811" i="2"/>
  <c r="T811" i="16" s="1"/>
  <c r="R889" i="16"/>
  <c r="AT893" i="16" s="1"/>
  <c r="AW889" i="2"/>
  <c r="T889" i="16" s="1"/>
  <c r="R405" i="16"/>
  <c r="AT405" i="16" s="1"/>
  <c r="AW405" i="2"/>
  <c r="T405" i="16" s="1"/>
  <c r="AW116" i="2"/>
  <c r="T116" i="16" s="1"/>
  <c r="R116" i="16"/>
  <c r="AT116" i="16" s="1"/>
  <c r="R1112" i="16"/>
  <c r="AW1112" i="2"/>
  <c r="T1112" i="16" s="1"/>
  <c r="R1007" i="16"/>
  <c r="AW1007" i="2"/>
  <c r="T1007" i="16" s="1"/>
  <c r="R619" i="16"/>
  <c r="AT619" i="16" s="1"/>
  <c r="R1005" i="16"/>
  <c r="R1123" i="16"/>
  <c r="AW1123" i="2"/>
  <c r="T1123" i="16" s="1"/>
  <c r="R1150" i="16"/>
  <c r="AW1150" i="2"/>
  <c r="T1150" i="16" s="1"/>
  <c r="R1192" i="16"/>
  <c r="AW1192" i="2"/>
  <c r="T1192" i="16" s="1"/>
  <c r="R813" i="16"/>
  <c r="AT814" i="16" s="1"/>
  <c r="AW813" i="2"/>
  <c r="T813" i="16" s="1"/>
  <c r="R1067" i="16"/>
  <c r="AW1067" i="2"/>
  <c r="T1067" i="16" s="1"/>
  <c r="R711" i="16"/>
  <c r="AT711" i="16" s="1"/>
  <c r="AW711" i="2"/>
  <c r="T711" i="16" s="1"/>
  <c r="R1147" i="16"/>
  <c r="AW1147" i="2"/>
  <c r="T1147" i="16" s="1"/>
  <c r="R1040" i="16"/>
  <c r="AW1040" i="2"/>
  <c r="T1040" i="16" s="1"/>
  <c r="H414" i="16"/>
  <c r="AH964" i="2"/>
  <c r="AK964" i="2"/>
  <c r="O964" i="16"/>
  <c r="AH742" i="2"/>
  <c r="AM742" i="2"/>
  <c r="O742" i="16"/>
  <c r="AN414" i="2"/>
  <c r="AL414" i="2"/>
  <c r="AK414" i="2"/>
  <c r="AH414" i="2"/>
  <c r="AI414" i="2" s="1"/>
  <c r="O414" i="16"/>
  <c r="AH394" i="2"/>
  <c r="O394" i="16"/>
  <c r="AW325" i="2"/>
  <c r="T325" i="16" s="1"/>
  <c r="AW264" i="2"/>
  <c r="T264" i="16" s="1"/>
  <c r="AW274" i="2"/>
  <c r="T274" i="16" s="1"/>
  <c r="AW593" i="2"/>
  <c r="T593" i="16" s="1"/>
  <c r="AW241" i="2"/>
  <c r="T241" i="16" s="1"/>
  <c r="AW893" i="2"/>
  <c r="T893" i="16" s="1"/>
  <c r="AW936" i="2"/>
  <c r="T936" i="16" s="1"/>
  <c r="AW266" i="2"/>
  <c r="T266" i="16" s="1"/>
  <c r="AW590" i="2"/>
  <c r="T590" i="16" s="1"/>
  <c r="AW3" i="2"/>
  <c r="T3" i="16" s="1"/>
  <c r="AW5" i="2"/>
  <c r="T5" i="16" s="1"/>
  <c r="AW154" i="2"/>
  <c r="T154" i="16" s="1"/>
  <c r="AW4" i="2"/>
  <c r="T4" i="16" s="1"/>
  <c r="AW151" i="2"/>
  <c r="T151" i="16" s="1"/>
  <c r="AW181" i="2"/>
  <c r="T181" i="16" s="1"/>
  <c r="AW96" i="2"/>
  <c r="T96" i="16" s="1"/>
  <c r="AW432" i="2"/>
  <c r="T432" i="16" s="1"/>
  <c r="AW166" i="2"/>
  <c r="T166" i="16" s="1"/>
  <c r="AW85" i="2"/>
  <c r="T85" i="16" s="1"/>
  <c r="AW182" i="2"/>
  <c r="T182" i="16" s="1"/>
  <c r="AW210" i="2"/>
  <c r="T210" i="16" s="1"/>
  <c r="AW546" i="2"/>
  <c r="T546" i="16" s="1"/>
  <c r="AW101" i="2"/>
  <c r="T101" i="16" s="1"/>
  <c r="AW445" i="2"/>
  <c r="T445" i="16" s="1"/>
  <c r="AW33" i="2"/>
  <c r="T33" i="16" s="1"/>
  <c r="AW306" i="2"/>
  <c r="T306" i="16" s="1"/>
  <c r="AW90" i="2"/>
  <c r="T90" i="16" s="1"/>
  <c r="AW524" i="2"/>
  <c r="T524" i="16" s="1"/>
  <c r="AW548" i="2"/>
  <c r="T548" i="16" s="1"/>
  <c r="AW415" i="2"/>
  <c r="T415" i="16" s="1"/>
  <c r="AW99" i="2"/>
  <c r="T99" i="16" s="1"/>
  <c r="AW617" i="2"/>
  <c r="T617" i="16" s="1"/>
  <c r="AW39" i="2"/>
  <c r="T39" i="16" s="1"/>
  <c r="AW65" i="2"/>
  <c r="T65" i="16" s="1"/>
  <c r="AW32" i="2"/>
  <c r="T32" i="16" s="1"/>
  <c r="AW112" i="2"/>
  <c r="T112" i="16" s="1"/>
  <c r="AW941" i="2"/>
  <c r="T941" i="16" s="1"/>
  <c r="AW245" i="2"/>
  <c r="T245" i="16" s="1"/>
  <c r="AW797" i="2"/>
  <c r="T797" i="16" s="1"/>
  <c r="AW880" i="2"/>
  <c r="T880" i="16" s="1"/>
  <c r="AW89" i="2"/>
  <c r="T89" i="16" s="1"/>
  <c r="AW246" i="2"/>
  <c r="T246" i="16" s="1"/>
  <c r="AW87" i="2"/>
  <c r="T87" i="16" s="1"/>
  <c r="AW800" i="2"/>
  <c r="T800" i="16" s="1"/>
  <c r="AW16" i="2"/>
  <c r="T16" i="16" s="1"/>
  <c r="AW153" i="2"/>
  <c r="T153" i="16" s="1"/>
  <c r="AW41" i="2"/>
  <c r="T41" i="16" s="1"/>
  <c r="AW269" i="2"/>
  <c r="T269" i="16" s="1"/>
  <c r="AW339" i="2"/>
  <c r="T339" i="16" s="1"/>
  <c r="AW253" i="2"/>
  <c r="T253" i="16" s="1"/>
  <c r="AW462" i="2"/>
  <c r="T462" i="16" s="1"/>
  <c r="AW539" i="2"/>
  <c r="T539" i="16" s="1"/>
  <c r="AW95" i="2"/>
  <c r="T95" i="16" s="1"/>
  <c r="AW234" i="2"/>
  <c r="T234" i="16" s="1"/>
  <c r="AW46" i="2"/>
  <c r="T46" i="16" s="1"/>
  <c r="AW693" i="2"/>
  <c r="T693" i="16" s="1"/>
  <c r="AW357" i="2"/>
  <c r="T357" i="16" s="1"/>
  <c r="AW47" i="2"/>
  <c r="T47" i="16" s="1"/>
  <c r="AW37" i="2"/>
  <c r="T37" i="16" s="1"/>
  <c r="AW429" i="2"/>
  <c r="T429" i="16" s="1"/>
  <c r="AW683" i="2"/>
  <c r="T683" i="16" s="1"/>
  <c r="AW809" i="2"/>
  <c r="T809" i="16" s="1"/>
  <c r="AW107" i="2"/>
  <c r="T107" i="16" s="1"/>
  <c r="AW262" i="2"/>
  <c r="T262" i="16" s="1"/>
  <c r="AW596" i="2"/>
  <c r="T596" i="16" s="1"/>
  <c r="AW504" i="2"/>
  <c r="T504" i="16" s="1"/>
  <c r="AW305" i="2"/>
  <c r="T305" i="16" s="1"/>
  <c r="AW28" i="2"/>
  <c r="T28" i="16" s="1"/>
  <c r="AW373" i="2"/>
  <c r="T373" i="16" s="1"/>
  <c r="AW753" i="2"/>
  <c r="T753" i="16" s="1"/>
  <c r="AS640" i="2"/>
  <c r="AU640" i="2" s="1"/>
  <c r="R640" i="16" s="1"/>
  <c r="AT640" i="16" s="1"/>
  <c r="AS651" i="2"/>
  <c r="AU651" i="2" s="1"/>
  <c r="R651" i="16" s="1"/>
  <c r="AT651" i="16" s="1"/>
  <c r="AS819" i="2"/>
  <c r="AU819" i="2" s="1"/>
  <c r="R819" i="16" s="1"/>
  <c r="AT820" i="16" s="1"/>
  <c r="R927" i="16"/>
  <c r="AT931" i="16" s="1"/>
  <c r="AW927" i="2"/>
  <c r="T927" i="16" s="1"/>
  <c r="R937" i="16"/>
  <c r="AT941" i="16" s="1"/>
  <c r="AW937" i="2"/>
  <c r="T937" i="16" s="1"/>
  <c r="R1056" i="16"/>
  <c r="AW1056" i="2"/>
  <c r="T1056" i="16" s="1"/>
  <c r="R1008" i="16"/>
  <c r="AW1008" i="2"/>
  <c r="T1008" i="16" s="1"/>
  <c r="R1187" i="16"/>
  <c r="AW1187" i="2"/>
  <c r="T1187" i="16" s="1"/>
  <c r="R1115" i="16"/>
  <c r="AW1115" i="2"/>
  <c r="T1115" i="16" s="1"/>
  <c r="R899" i="16"/>
  <c r="AT903" i="16" s="1"/>
  <c r="AW899" i="2"/>
  <c r="T899" i="16" s="1"/>
  <c r="R850" i="16"/>
  <c r="AT853" i="16" s="1"/>
  <c r="AW850" i="2"/>
  <c r="T850" i="16" s="1"/>
  <c r="R778" i="16"/>
  <c r="AT778" i="16" s="1"/>
  <c r="AW778" i="2"/>
  <c r="T778" i="16" s="1"/>
  <c r="R1183" i="16"/>
  <c r="AW1183" i="2"/>
  <c r="T1183" i="16" s="1"/>
  <c r="R1049" i="16"/>
  <c r="AW1049" i="2"/>
  <c r="T1049" i="16" s="1"/>
  <c r="R682" i="16"/>
  <c r="AT682" i="16" s="1"/>
  <c r="AW682" i="2"/>
  <c r="T682" i="16" s="1"/>
  <c r="R610" i="16"/>
  <c r="AW610" i="2"/>
  <c r="T610" i="16" s="1"/>
  <c r="R394" i="16"/>
  <c r="AT394" i="16" s="1"/>
  <c r="AW394" i="2"/>
  <c r="T394" i="16" s="1"/>
  <c r="R190" i="16"/>
  <c r="AT190" i="16" s="1"/>
  <c r="AW190" i="2"/>
  <c r="T190" i="16" s="1"/>
  <c r="R129" i="16"/>
  <c r="AT129" i="16" s="1"/>
  <c r="AW129" i="2"/>
  <c r="T129" i="16" s="1"/>
  <c r="AW692" i="2"/>
  <c r="T692" i="16" s="1"/>
  <c r="R692" i="16"/>
  <c r="AT692" i="16" s="1"/>
  <c r="R560" i="16"/>
  <c r="AT560" i="16" s="1"/>
  <c r="AW560" i="2"/>
  <c r="T560" i="16" s="1"/>
  <c r="AW284" i="2"/>
  <c r="T284" i="16" s="1"/>
  <c r="R284" i="16"/>
  <c r="AT284" i="16" s="1"/>
  <c r="R200" i="16"/>
  <c r="AW200" i="2"/>
  <c r="T200" i="16" s="1"/>
  <c r="AW188" i="2"/>
  <c r="T188" i="16" s="1"/>
  <c r="R188" i="16"/>
  <c r="AT188" i="16" s="1"/>
  <c r="AW164" i="2"/>
  <c r="T164" i="16" s="1"/>
  <c r="R164" i="16"/>
  <c r="AT164" i="16" s="1"/>
  <c r="R520" i="16"/>
  <c r="AT520" i="16" s="1"/>
  <c r="AW520" i="2"/>
  <c r="T520" i="16" s="1"/>
  <c r="R400" i="16"/>
  <c r="AT400" i="16" s="1"/>
  <c r="AW400" i="2"/>
  <c r="T400" i="16" s="1"/>
  <c r="R900" i="16"/>
  <c r="AT904" i="16" s="1"/>
  <c r="AW900" i="2"/>
  <c r="T900" i="16" s="1"/>
  <c r="R588" i="16"/>
  <c r="AT588" i="16" s="1"/>
  <c r="AW588" i="2"/>
  <c r="T588" i="16" s="1"/>
  <c r="R655" i="16"/>
  <c r="AT655" i="16" s="1"/>
  <c r="AW655" i="2"/>
  <c r="T655" i="16" s="1"/>
  <c r="R511" i="16"/>
  <c r="AT511" i="16" s="1"/>
  <c r="AW511" i="2"/>
  <c r="T511" i="16" s="1"/>
  <c r="R475" i="16"/>
  <c r="AT475" i="16" s="1"/>
  <c r="AW475" i="2"/>
  <c r="T475" i="16" s="1"/>
  <c r="AW463" i="2"/>
  <c r="T463" i="16" s="1"/>
  <c r="R463" i="16"/>
  <c r="AT463" i="16" s="1"/>
  <c r="AW391" i="2"/>
  <c r="T391" i="16" s="1"/>
  <c r="R391" i="16"/>
  <c r="AT391" i="16" s="1"/>
  <c r="R379" i="16"/>
  <c r="AT379" i="16" s="1"/>
  <c r="AW379" i="2"/>
  <c r="T379" i="16" s="1"/>
  <c r="R355" i="16"/>
  <c r="AT355" i="16" s="1"/>
  <c r="AW355" i="2"/>
  <c r="T355" i="16" s="1"/>
  <c r="AW319" i="2"/>
  <c r="T319" i="16" s="1"/>
  <c r="R319" i="16"/>
  <c r="AT319" i="16" s="1"/>
  <c r="R307" i="16"/>
  <c r="AW307" i="2"/>
  <c r="T307" i="16" s="1"/>
  <c r="R295" i="16"/>
  <c r="AT295" i="16" s="1"/>
  <c r="AW295" i="2"/>
  <c r="T295" i="16" s="1"/>
  <c r="R283" i="16"/>
  <c r="AT283" i="16" s="1"/>
  <c r="AW283" i="2"/>
  <c r="T283" i="16" s="1"/>
  <c r="R223" i="16"/>
  <c r="AT223" i="16" s="1"/>
  <c r="AW223" i="2"/>
  <c r="T223" i="16" s="1"/>
  <c r="R211" i="16"/>
  <c r="AT211" i="16" s="1"/>
  <c r="AW211" i="2"/>
  <c r="T211" i="16" s="1"/>
  <c r="R199" i="16"/>
  <c r="AT199" i="16" s="1"/>
  <c r="AW199" i="2"/>
  <c r="T199" i="16" s="1"/>
  <c r="AW91" i="2"/>
  <c r="T91" i="16" s="1"/>
  <c r="R91" i="16"/>
  <c r="AT91" i="16" s="1"/>
  <c r="AW43" i="2"/>
  <c r="T43" i="16" s="1"/>
  <c r="R43" i="16"/>
  <c r="AT43" i="16" s="1"/>
  <c r="AW19" i="2"/>
  <c r="T19" i="16" s="1"/>
  <c r="R19" i="16"/>
  <c r="AT19" i="16" s="1"/>
  <c r="R7" i="16"/>
  <c r="AT7" i="16" s="1"/>
  <c r="AW7" i="2"/>
  <c r="T7" i="16" s="1"/>
  <c r="R834" i="16"/>
  <c r="AT835" i="16" s="1"/>
  <c r="AW834" i="2"/>
  <c r="T834" i="16" s="1"/>
  <c r="R810" i="16"/>
  <c r="AT811" i="16" s="1"/>
  <c r="AW810" i="2"/>
  <c r="T810" i="16" s="1"/>
  <c r="R762" i="16"/>
  <c r="AT762" i="16" s="1"/>
  <c r="AW762" i="2"/>
  <c r="T762" i="16" s="1"/>
  <c r="R738" i="16"/>
  <c r="AT738" i="16" s="1"/>
  <c r="R714" i="16"/>
  <c r="AT714" i="16" s="1"/>
  <c r="AW714" i="2"/>
  <c r="T714" i="16" s="1"/>
  <c r="R642" i="16"/>
  <c r="AT642" i="16" s="1"/>
  <c r="AW642" i="2"/>
  <c r="T642" i="16" s="1"/>
  <c r="R378" i="16"/>
  <c r="AT378" i="16" s="1"/>
  <c r="AW378" i="2"/>
  <c r="T378" i="16" s="1"/>
  <c r="R366" i="16"/>
  <c r="AT366" i="16" s="1"/>
  <c r="AW366" i="2"/>
  <c r="T366" i="16" s="1"/>
  <c r="R354" i="16"/>
  <c r="AT354" i="16" s="1"/>
  <c r="AW354" i="2"/>
  <c r="T354" i="16" s="1"/>
  <c r="R318" i="16"/>
  <c r="AT318" i="16" s="1"/>
  <c r="AW318" i="2"/>
  <c r="T318" i="16" s="1"/>
  <c r="R294" i="16"/>
  <c r="AT294" i="16" s="1"/>
  <c r="AW294" i="2"/>
  <c r="T294" i="16" s="1"/>
  <c r="R126" i="16"/>
  <c r="AT126" i="16" s="1"/>
  <c r="AW126" i="2"/>
  <c r="T126" i="16" s="1"/>
  <c r="R102" i="16"/>
  <c r="AT102" i="16" s="1"/>
  <c r="AW102" i="2"/>
  <c r="T102" i="16" s="1"/>
  <c r="AW78" i="2"/>
  <c r="T78" i="16" s="1"/>
  <c r="R78" i="16"/>
  <c r="AT78" i="16" s="1"/>
  <c r="R869" i="16"/>
  <c r="AT873" i="16" s="1"/>
  <c r="AW869" i="2"/>
  <c r="T869" i="16" s="1"/>
  <c r="AW857" i="2"/>
  <c r="T857" i="16" s="1"/>
  <c r="R857" i="16"/>
  <c r="AT860" i="16" s="1"/>
  <c r="R833" i="16"/>
  <c r="AT834" i="16" s="1"/>
  <c r="AW833" i="2"/>
  <c r="T833" i="16" s="1"/>
  <c r="R713" i="16"/>
  <c r="AT713" i="16" s="1"/>
  <c r="AW713" i="2"/>
  <c r="T713" i="16" s="1"/>
  <c r="R425" i="16"/>
  <c r="AT425" i="16" s="1"/>
  <c r="AW425" i="2"/>
  <c r="T425" i="16" s="1"/>
  <c r="AW413" i="2"/>
  <c r="T413" i="16" s="1"/>
  <c r="R413" i="16"/>
  <c r="AT413" i="16" s="1"/>
  <c r="R377" i="16"/>
  <c r="AT377" i="16" s="1"/>
  <c r="AW377" i="2"/>
  <c r="T377" i="16" s="1"/>
  <c r="R293" i="16"/>
  <c r="AT293" i="16" s="1"/>
  <c r="AW293" i="2"/>
  <c r="T293" i="16" s="1"/>
  <c r="AW221" i="2"/>
  <c r="T221" i="16" s="1"/>
  <c r="R221" i="16"/>
  <c r="AT221" i="16" s="1"/>
  <c r="R197" i="16"/>
  <c r="AW197" i="2"/>
  <c r="T197" i="16" s="1"/>
  <c r="AW185" i="2"/>
  <c r="T185" i="16" s="1"/>
  <c r="R185" i="16"/>
  <c r="AT185" i="16" s="1"/>
  <c r="R149" i="16"/>
  <c r="AT149" i="16" s="1"/>
  <c r="AW149" i="2"/>
  <c r="T149" i="16" s="1"/>
  <c r="R137" i="16"/>
  <c r="AT137" i="16" s="1"/>
  <c r="AW137" i="2"/>
  <c r="T137" i="16" s="1"/>
  <c r="R113" i="16"/>
  <c r="AT113" i="16" s="1"/>
  <c r="AW113" i="2"/>
  <c r="T113" i="16" s="1"/>
  <c r="R796" i="16"/>
  <c r="AT796" i="16" s="1"/>
  <c r="AW796" i="2"/>
  <c r="T796" i="16" s="1"/>
  <c r="R772" i="16"/>
  <c r="AT772" i="16" s="1"/>
  <c r="AW772" i="2"/>
  <c r="T772" i="16" s="1"/>
  <c r="R736" i="16"/>
  <c r="AT736" i="16" s="1"/>
  <c r="AW736" i="2"/>
  <c r="T736" i="16" s="1"/>
  <c r="R592" i="16"/>
  <c r="AT592" i="16" s="1"/>
  <c r="AW592" i="2"/>
  <c r="T592" i="16" s="1"/>
  <c r="AW472" i="2"/>
  <c r="T472" i="16" s="1"/>
  <c r="R472" i="16"/>
  <c r="AT472" i="16" s="1"/>
  <c r="R448" i="16"/>
  <c r="AT448" i="16" s="1"/>
  <c r="AW448" i="2"/>
  <c r="T448" i="16" s="1"/>
  <c r="AW208" i="2"/>
  <c r="T208" i="16" s="1"/>
  <c r="R208" i="16"/>
  <c r="AT208" i="16" s="1"/>
  <c r="R361" i="16"/>
  <c r="AT361" i="16" s="1"/>
  <c r="AW361" i="2"/>
  <c r="T361" i="16" s="1"/>
  <c r="R756" i="16"/>
  <c r="AT756" i="16" s="1"/>
  <c r="AW660" i="2"/>
  <c r="T660" i="16" s="1"/>
  <c r="R660" i="16"/>
  <c r="AT660" i="16" s="1"/>
  <c r="R600" i="16"/>
  <c r="AT600" i="16" s="1"/>
  <c r="AW600" i="2"/>
  <c r="T600" i="16" s="1"/>
  <c r="AW136" i="2"/>
  <c r="T136" i="16" s="1"/>
  <c r="R136" i="16"/>
  <c r="AT136" i="16" s="1"/>
  <c r="R124" i="16"/>
  <c r="AT124" i="16" s="1"/>
  <c r="AW124" i="2"/>
  <c r="T124" i="16" s="1"/>
  <c r="AW88" i="2"/>
  <c r="T88" i="16" s="1"/>
  <c r="R88" i="16"/>
  <c r="AT88" i="16" s="1"/>
  <c r="AW76" i="2"/>
  <c r="T76" i="16" s="1"/>
  <c r="R76" i="16"/>
  <c r="AT76" i="16" s="1"/>
  <c r="R64" i="16"/>
  <c r="AT64" i="16" s="1"/>
  <c r="AW64" i="2"/>
  <c r="T64" i="16" s="1"/>
  <c r="R40" i="16"/>
  <c r="AT40" i="16" s="1"/>
  <c r="AW40" i="2"/>
  <c r="T40" i="16" s="1"/>
  <c r="R795" i="16"/>
  <c r="AT795" i="16" s="1"/>
  <c r="AW795" i="2"/>
  <c r="T795" i="16" s="1"/>
  <c r="R783" i="16"/>
  <c r="AT783" i="16" s="1"/>
  <c r="AW783" i="2"/>
  <c r="T783" i="16" s="1"/>
  <c r="R771" i="16"/>
  <c r="AW771" i="2"/>
  <c r="T771" i="16" s="1"/>
  <c r="R687" i="16"/>
  <c r="AT687" i="16" s="1"/>
  <c r="AW687" i="2"/>
  <c r="T687" i="16" s="1"/>
  <c r="R567" i="16"/>
  <c r="AT567" i="16" s="1"/>
  <c r="AW567" i="2"/>
  <c r="T567" i="16" s="1"/>
  <c r="R531" i="16"/>
  <c r="AT531" i="16" s="1"/>
  <c r="AW531" i="2"/>
  <c r="T531" i="16" s="1"/>
  <c r="R519" i="16"/>
  <c r="AT519" i="16" s="1"/>
  <c r="AW519" i="2"/>
  <c r="T519" i="16" s="1"/>
  <c r="R507" i="16"/>
  <c r="AT507" i="16" s="1"/>
  <c r="AW507" i="2"/>
  <c r="T507" i="16" s="1"/>
  <c r="AW471" i="2"/>
  <c r="T471" i="16" s="1"/>
  <c r="R471" i="16"/>
  <c r="AT471" i="16" s="1"/>
  <c r="R447" i="16"/>
  <c r="AT447" i="16" s="1"/>
  <c r="AW447" i="2"/>
  <c r="T447" i="16" s="1"/>
  <c r="AW399" i="2"/>
  <c r="T399" i="16" s="1"/>
  <c r="R399" i="16"/>
  <c r="AT399" i="16" s="1"/>
  <c r="R375" i="16"/>
  <c r="AT375" i="16" s="1"/>
  <c r="AW375" i="2"/>
  <c r="T375" i="16" s="1"/>
  <c r="R363" i="16"/>
  <c r="AT363" i="16" s="1"/>
  <c r="AW363" i="2"/>
  <c r="T363" i="16" s="1"/>
  <c r="R291" i="16"/>
  <c r="AT291" i="16" s="1"/>
  <c r="AW291" i="2"/>
  <c r="T291" i="16" s="1"/>
  <c r="R279" i="16"/>
  <c r="AT279" i="16" s="1"/>
  <c r="AW279" i="2"/>
  <c r="T279" i="16" s="1"/>
  <c r="AW195" i="2"/>
  <c r="T195" i="16" s="1"/>
  <c r="R195" i="16"/>
  <c r="AW27" i="2"/>
  <c r="T27" i="16" s="1"/>
  <c r="R27" i="16"/>
  <c r="AT27" i="16" s="1"/>
  <c r="R1202" i="16"/>
  <c r="AW1202" i="2"/>
  <c r="T1202" i="16" s="1"/>
  <c r="R1178" i="16"/>
  <c r="AW1178" i="2"/>
  <c r="T1178" i="16" s="1"/>
  <c r="R1154" i="16"/>
  <c r="AW1154" i="2"/>
  <c r="T1154" i="16" s="1"/>
  <c r="R1082" i="16"/>
  <c r="AW1082" i="2"/>
  <c r="T1082" i="16" s="1"/>
  <c r="R962" i="16"/>
  <c r="AW962" i="2"/>
  <c r="T962" i="16" s="1"/>
  <c r="R950" i="16"/>
  <c r="AW950" i="2"/>
  <c r="T950" i="16" s="1"/>
  <c r="R938" i="16"/>
  <c r="AT942" i="16" s="1"/>
  <c r="AW938" i="2"/>
  <c r="T938" i="16" s="1"/>
  <c r="R926" i="16"/>
  <c r="AT930" i="16" s="1"/>
  <c r="AW926" i="2"/>
  <c r="T926" i="16" s="1"/>
  <c r="AW697" i="2"/>
  <c r="T697" i="16" s="1"/>
  <c r="R697" i="16"/>
  <c r="AT697" i="16" s="1"/>
  <c r="AW469" i="2"/>
  <c r="T469" i="16" s="1"/>
  <c r="R469" i="16"/>
  <c r="AW409" i="2"/>
  <c r="T409" i="16" s="1"/>
  <c r="R409" i="16"/>
  <c r="AT409" i="16" s="1"/>
  <c r="R277" i="16"/>
  <c r="AT277" i="16" s="1"/>
  <c r="AW277" i="2"/>
  <c r="T277" i="16" s="1"/>
  <c r="R780" i="16"/>
  <c r="AT780" i="16" s="1"/>
  <c r="AW780" i="2"/>
  <c r="T780" i="16" s="1"/>
  <c r="R360" i="16"/>
  <c r="AT360" i="16" s="1"/>
  <c r="AW360" i="2"/>
  <c r="T360" i="16" s="1"/>
  <c r="AW72" i="2"/>
  <c r="T72" i="16" s="1"/>
  <c r="R72" i="16"/>
  <c r="AT72" i="16" s="1"/>
  <c r="R827" i="16"/>
  <c r="AT828" i="16" s="1"/>
  <c r="AW827" i="2"/>
  <c r="T827" i="16" s="1"/>
  <c r="R779" i="16"/>
  <c r="AT779" i="16" s="1"/>
  <c r="AW779" i="2"/>
  <c r="T779" i="16" s="1"/>
  <c r="R695" i="16"/>
  <c r="AT695" i="16" s="1"/>
  <c r="AW695" i="2"/>
  <c r="T695" i="16" s="1"/>
  <c r="R623" i="16"/>
  <c r="AT623" i="16" s="1"/>
  <c r="AW623" i="2"/>
  <c r="T623" i="16" s="1"/>
  <c r="R599" i="16"/>
  <c r="AT599" i="16" s="1"/>
  <c r="AW599" i="2"/>
  <c r="T599" i="16" s="1"/>
  <c r="R551" i="16"/>
  <c r="AT551" i="16" s="1"/>
  <c r="AW551" i="2"/>
  <c r="T551" i="16" s="1"/>
  <c r="R503" i="16"/>
  <c r="AT503" i="16" s="1"/>
  <c r="AW503" i="2"/>
  <c r="T503" i="16" s="1"/>
  <c r="R419" i="16"/>
  <c r="AT419" i="16" s="1"/>
  <c r="AW419" i="2"/>
  <c r="T419" i="16" s="1"/>
  <c r="R335" i="16"/>
  <c r="AT335" i="16" s="1"/>
  <c r="AW335" i="2"/>
  <c r="T335" i="16" s="1"/>
  <c r="R263" i="16"/>
  <c r="AT263" i="16" s="1"/>
  <c r="AW263" i="2"/>
  <c r="T263" i="16" s="1"/>
  <c r="P765" i="16"/>
  <c r="AM765" i="2"/>
  <c r="P115" i="16"/>
  <c r="AI115" i="2"/>
  <c r="P180" i="16"/>
  <c r="AI180" i="2"/>
  <c r="AH401" i="2"/>
  <c r="AG402" i="2"/>
  <c r="O401" i="16"/>
  <c r="AI271" i="2"/>
  <c r="P271" i="16"/>
  <c r="AM1073" i="2"/>
  <c r="AI1073" i="2"/>
  <c r="AN1073" i="2" s="1"/>
  <c r="AI763" i="2"/>
  <c r="P763" i="16"/>
  <c r="P284" i="16"/>
  <c r="AM284" i="2"/>
  <c r="P81" i="16"/>
  <c r="AM81" i="2"/>
  <c r="H665" i="16"/>
  <c r="AI665" i="2"/>
  <c r="U402" i="2"/>
  <c r="H402" i="16" s="1"/>
  <c r="H401" i="16"/>
  <c r="P146" i="16"/>
  <c r="AI146" i="2"/>
  <c r="AM146" i="2"/>
  <c r="P427" i="16"/>
  <c r="AI427" i="2"/>
  <c r="P1154" i="16"/>
  <c r="AI1154" i="2"/>
  <c r="AN1154" i="2" s="1"/>
  <c r="AN1005" i="2"/>
  <c r="P413" i="16"/>
  <c r="AM413" i="2"/>
  <c r="P707" i="16"/>
  <c r="AM707" i="2"/>
  <c r="P790" i="16"/>
  <c r="AM790" i="2"/>
  <c r="P650" i="16"/>
  <c r="AI650" i="2"/>
  <c r="AW650" i="2" s="1"/>
  <c r="T650" i="16" s="1"/>
  <c r="AM650" i="2"/>
  <c r="P684" i="16"/>
  <c r="AM684" i="2"/>
  <c r="AI684" i="2"/>
  <c r="AI597" i="2"/>
  <c r="AN597" i="2" s="1"/>
  <c r="P597" i="16"/>
  <c r="P567" i="16"/>
  <c r="AM567" i="2"/>
  <c r="AI176" i="2"/>
  <c r="P176" i="16"/>
  <c r="P126" i="16"/>
  <c r="AI126" i="2"/>
  <c r="AM126" i="2"/>
  <c r="P64" i="16"/>
  <c r="AM64" i="2"/>
  <c r="AI64" i="2"/>
  <c r="Q1142" i="16"/>
  <c r="AJ1142" i="2"/>
  <c r="AJ910" i="2"/>
  <c r="Q910" i="16"/>
  <c r="AJ895" i="2"/>
  <c r="Q895" i="16"/>
  <c r="Q682" i="16"/>
  <c r="AJ682" i="2"/>
  <c r="Q211" i="16"/>
  <c r="AJ211" i="2"/>
  <c r="AJ86" i="2"/>
  <c r="Q86" i="16"/>
  <c r="P723" i="16"/>
  <c r="AI723" i="2"/>
  <c r="P710" i="16"/>
  <c r="AI710" i="2"/>
  <c r="AW710" i="2" s="1"/>
  <c r="T710" i="16" s="1"/>
  <c r="AI199" i="2"/>
  <c r="AM199" i="2"/>
  <c r="P199" i="16"/>
  <c r="AI98" i="2"/>
  <c r="P98" i="16"/>
  <c r="Q680" i="16"/>
  <c r="AJ680" i="2"/>
  <c r="P922" i="16"/>
  <c r="AM922" i="2"/>
  <c r="AI922" i="2"/>
  <c r="AN922" i="2" s="1"/>
  <c r="P665" i="16"/>
  <c r="AM665" i="2"/>
  <c r="AI209" i="2"/>
  <c r="P209" i="16"/>
  <c r="AM209" i="2"/>
  <c r="AI121" i="2"/>
  <c r="P121" i="16"/>
  <c r="AI34" i="2"/>
  <c r="P34" i="16"/>
  <c r="AI22" i="2"/>
  <c r="AM22" i="2"/>
  <c r="P22" i="16"/>
  <c r="P759" i="16"/>
  <c r="AM759" i="2"/>
  <c r="AI759" i="2"/>
  <c r="AW759" i="2" s="1"/>
  <c r="T759" i="16" s="1"/>
  <c r="P385" i="16"/>
  <c r="AI385" i="2"/>
  <c r="AJ385" i="2" s="1"/>
  <c r="AI358" i="2"/>
  <c r="P358" i="16"/>
  <c r="AN1017" i="2"/>
  <c r="Q1017" i="16"/>
  <c r="AJ1017" i="2"/>
  <c r="P828" i="16"/>
  <c r="AM828" i="2"/>
  <c r="AI828" i="2"/>
  <c r="AW828" i="2" s="1"/>
  <c r="T828" i="16" s="1"/>
  <c r="P601" i="16"/>
  <c r="AI601" i="2"/>
  <c r="AN601" i="2" s="1"/>
  <c r="AM601" i="2"/>
  <c r="AI356" i="2"/>
  <c r="AJ356" i="2" s="1"/>
  <c r="P356" i="16"/>
  <c r="AI341" i="2"/>
  <c r="AJ341" i="2" s="1"/>
  <c r="P341" i="16"/>
  <c r="AI230" i="2"/>
  <c r="P230" i="16"/>
  <c r="P155" i="16"/>
  <c r="AI155" i="2"/>
  <c r="AJ155" i="2" s="1"/>
  <c r="AJ1083" i="2"/>
  <c r="Q1083" i="16"/>
  <c r="Q1052" i="16"/>
  <c r="AJ1052" i="2"/>
  <c r="Q1037" i="16"/>
  <c r="AJ1037" i="2"/>
  <c r="AW1037" i="2"/>
  <c r="T1037" i="16" s="1"/>
  <c r="Q998" i="16"/>
  <c r="AJ998" i="2"/>
  <c r="AJ952" i="2"/>
  <c r="Q952" i="16"/>
  <c r="AJ779" i="2"/>
  <c r="Q779" i="16"/>
  <c r="AJ563" i="2"/>
  <c r="Q563" i="16"/>
  <c r="AJ488" i="2"/>
  <c r="Q488" i="16"/>
  <c r="Q470" i="16"/>
  <c r="AJ470" i="2"/>
  <c r="AW470" i="2"/>
  <c r="T470" i="16" s="1"/>
  <c r="Q457" i="16"/>
  <c r="AJ457" i="2"/>
  <c r="AW457" i="2"/>
  <c r="T457" i="16" s="1"/>
  <c r="Q335" i="16"/>
  <c r="AJ335" i="2"/>
  <c r="AJ24" i="2"/>
  <c r="Q24" i="16"/>
  <c r="Q1197" i="16"/>
  <c r="AJ1197" i="2"/>
  <c r="Q1169" i="16"/>
  <c r="AJ1169" i="2"/>
  <c r="Q1157" i="16"/>
  <c r="AJ1157" i="2"/>
  <c r="AJ1082" i="2"/>
  <c r="Q1082" i="16"/>
  <c r="AJ1064" i="2"/>
  <c r="Q1064" i="16"/>
  <c r="AJ1036" i="2"/>
  <c r="Q1036" i="16"/>
  <c r="Q1009" i="16"/>
  <c r="AW1009" i="2"/>
  <c r="T1009" i="16" s="1"/>
  <c r="AJ1009" i="2"/>
  <c r="AN923" i="2"/>
  <c r="AJ923" i="2"/>
  <c r="Q923" i="16"/>
  <c r="Q593" i="16"/>
  <c r="AJ593" i="2"/>
  <c r="Q531" i="16"/>
  <c r="AJ531" i="2"/>
  <c r="AJ515" i="2"/>
  <c r="Q515" i="16"/>
  <c r="AJ388" i="2"/>
  <c r="Q388" i="16"/>
  <c r="AW388" i="2"/>
  <c r="T388" i="16" s="1"/>
  <c r="AJ376" i="2"/>
  <c r="AW376" i="2"/>
  <c r="T376" i="16" s="1"/>
  <c r="Q376" i="16"/>
  <c r="AJ361" i="2"/>
  <c r="Q361" i="16"/>
  <c r="Q318" i="16"/>
  <c r="AJ318" i="2"/>
  <c r="Q304" i="16"/>
  <c r="AJ304" i="2"/>
  <c r="AJ160" i="2"/>
  <c r="Q160" i="16"/>
  <c r="AW73" i="2"/>
  <c r="T73" i="16" s="1"/>
  <c r="Q73" i="16"/>
  <c r="AJ73" i="2"/>
  <c r="AJ1208" i="2"/>
  <c r="Q1208" i="16"/>
  <c r="Q1094" i="16"/>
  <c r="AJ1094" i="2"/>
  <c r="Q935" i="16"/>
  <c r="AJ935" i="2"/>
  <c r="Q893" i="16"/>
  <c r="AJ893" i="2"/>
  <c r="AJ803" i="2"/>
  <c r="Q803" i="16"/>
  <c r="AW803" i="2"/>
  <c r="T803" i="16" s="1"/>
  <c r="Q622" i="16"/>
  <c r="AW622" i="2"/>
  <c r="T622" i="16" s="1"/>
  <c r="AJ622" i="2"/>
  <c r="Q577" i="16"/>
  <c r="AJ577" i="2"/>
  <c r="AW577" i="2"/>
  <c r="T577" i="16" s="1"/>
  <c r="O500" i="16"/>
  <c r="AK500" i="2"/>
  <c r="AL500" i="2"/>
  <c r="AM500" i="2"/>
  <c r="AH500" i="2"/>
  <c r="P500" i="16" s="1"/>
  <c r="AJ426" i="2"/>
  <c r="Q426" i="16"/>
  <c r="AW426" i="2"/>
  <c r="T426" i="16" s="1"/>
  <c r="Q303" i="16"/>
  <c r="AJ303" i="2"/>
  <c r="AW303" i="2"/>
  <c r="T303" i="16" s="1"/>
  <c r="Q72" i="16"/>
  <c r="AJ72" i="2"/>
  <c r="Q1207" i="16"/>
  <c r="AJ1207" i="2"/>
  <c r="Q1195" i="16"/>
  <c r="AJ1195" i="2"/>
  <c r="Q1167" i="16"/>
  <c r="AJ1167" i="2"/>
  <c r="AJ1062" i="2"/>
  <c r="Q1062" i="16"/>
  <c r="Q1034" i="16"/>
  <c r="AJ1034" i="2"/>
  <c r="Q1020" i="16"/>
  <c r="AJ1020" i="2"/>
  <c r="AJ904" i="2"/>
  <c r="AN904" i="2"/>
  <c r="Q904" i="16"/>
  <c r="AJ802" i="2"/>
  <c r="Q802" i="16"/>
  <c r="Q760" i="16"/>
  <c r="AJ760" i="2"/>
  <c r="AJ590" i="2"/>
  <c r="Q590" i="16"/>
  <c r="Q359" i="16"/>
  <c r="AJ359" i="2"/>
  <c r="AW288" i="2"/>
  <c r="T288" i="16" s="1"/>
  <c r="AJ288" i="2"/>
  <c r="Q288" i="16"/>
  <c r="AJ275" i="2"/>
  <c r="Q275" i="16"/>
  <c r="Q208" i="16"/>
  <c r="AJ208" i="2"/>
  <c r="AJ1206" i="2"/>
  <c r="Q1206" i="16"/>
  <c r="AJ1192" i="2"/>
  <c r="Q1192" i="16"/>
  <c r="AJ1153" i="2"/>
  <c r="Q1153" i="16"/>
  <c r="Q1079" i="16"/>
  <c r="AJ1079" i="2"/>
  <c r="AW1006" i="2"/>
  <c r="T1006" i="16" s="1"/>
  <c r="AJ1006" i="2"/>
  <c r="Q1006" i="16"/>
  <c r="AJ919" i="2"/>
  <c r="Q919" i="16"/>
  <c r="AW919" i="2"/>
  <c r="T919" i="16" s="1"/>
  <c r="AJ830" i="2"/>
  <c r="Q830" i="16"/>
  <c r="AJ559" i="2"/>
  <c r="Q559" i="16"/>
  <c r="Q438" i="16"/>
  <c r="AJ438" i="2"/>
  <c r="AW106" i="2"/>
  <c r="T106" i="16" s="1"/>
  <c r="AJ106" i="2"/>
  <c r="Q106" i="16"/>
  <c r="Q1205" i="16"/>
  <c r="AJ1205" i="2"/>
  <c r="AJ1178" i="2"/>
  <c r="Q1178" i="16"/>
  <c r="AJ1165" i="2"/>
  <c r="Q1165" i="16"/>
  <c r="AJ1137" i="2"/>
  <c r="Q1137" i="16"/>
  <c r="Q993" i="16"/>
  <c r="AJ993" i="2"/>
  <c r="AJ902" i="2"/>
  <c r="Q902" i="16"/>
  <c r="Q773" i="16"/>
  <c r="AJ773" i="2"/>
  <c r="AW773" i="2"/>
  <c r="T773" i="16" s="1"/>
  <c r="Q662" i="16"/>
  <c r="AJ662" i="2"/>
  <c r="AJ648" i="2"/>
  <c r="Q648" i="16"/>
  <c r="AJ397" i="2"/>
  <c r="Q397" i="16"/>
  <c r="AW372" i="2"/>
  <c r="T372" i="16" s="1"/>
  <c r="AJ372" i="2"/>
  <c r="Q372" i="16"/>
  <c r="Q343" i="16"/>
  <c r="AJ343" i="2"/>
  <c r="Q19" i="16"/>
  <c r="AJ19" i="2"/>
  <c r="Q1177" i="16"/>
  <c r="AJ1177" i="2"/>
  <c r="AJ1164" i="2"/>
  <c r="Q1164" i="16"/>
  <c r="Q1150" i="16"/>
  <c r="AJ1150" i="2"/>
  <c r="Q1058" i="16"/>
  <c r="AJ1058" i="2"/>
  <c r="Q858" i="16"/>
  <c r="AJ858" i="2"/>
  <c r="AJ730" i="2"/>
  <c r="Q730" i="16"/>
  <c r="AN688" i="2"/>
  <c r="AW688" i="2"/>
  <c r="T688" i="16" s="1"/>
  <c r="Q688" i="16"/>
  <c r="AJ688" i="2"/>
  <c r="AJ508" i="2"/>
  <c r="Q508" i="16"/>
  <c r="Q478" i="16"/>
  <c r="AW478" i="2"/>
  <c r="T478" i="16" s="1"/>
  <c r="AJ478" i="2"/>
  <c r="AJ104" i="2"/>
  <c r="Q104" i="16"/>
  <c r="AJ56" i="2"/>
  <c r="Q56" i="16"/>
  <c r="Q1203" i="16"/>
  <c r="AJ1203" i="2"/>
  <c r="AJ827" i="2"/>
  <c r="Q827" i="16"/>
  <c r="AW716" i="2"/>
  <c r="T716" i="16" s="1"/>
  <c r="Q716" i="16"/>
  <c r="AJ716" i="2"/>
  <c r="AW630" i="2"/>
  <c r="T630" i="16" s="1"/>
  <c r="AJ630" i="2"/>
  <c r="Q630" i="16"/>
  <c r="AJ600" i="2"/>
  <c r="Q600" i="16"/>
  <c r="AJ409" i="2"/>
  <c r="Q409" i="16"/>
  <c r="Q1187" i="16"/>
  <c r="AJ1187" i="2"/>
  <c r="AJ1162" i="2"/>
  <c r="Q1162" i="16"/>
  <c r="Q699" i="16"/>
  <c r="AJ699" i="2"/>
  <c r="AJ614" i="2"/>
  <c r="Q614" i="16"/>
  <c r="Q492" i="16"/>
  <c r="AJ492" i="2"/>
  <c r="AW492" i="2"/>
  <c r="T492" i="16" s="1"/>
  <c r="Q475" i="16"/>
  <c r="AJ475" i="2"/>
  <c r="AJ447" i="2"/>
  <c r="Q447" i="16"/>
  <c r="AJ420" i="2"/>
  <c r="AW420" i="2"/>
  <c r="T420" i="16" s="1"/>
  <c r="Q420" i="16"/>
  <c r="AJ381" i="2"/>
  <c r="AW381" i="2"/>
  <c r="T381" i="16" s="1"/>
  <c r="Q381" i="16"/>
  <c r="AJ242" i="2"/>
  <c r="AW242" i="2"/>
  <c r="T242" i="16" s="1"/>
  <c r="Q242" i="16"/>
  <c r="AJ228" i="2"/>
  <c r="Q228" i="16"/>
  <c r="AW228" i="2"/>
  <c r="T228" i="16" s="1"/>
  <c r="AJ179" i="2"/>
  <c r="AW179" i="2"/>
  <c r="T179" i="16" s="1"/>
  <c r="Q179" i="16"/>
  <c r="Q40" i="16"/>
  <c r="AJ40" i="2"/>
  <c r="AJ1161" i="2"/>
  <c r="Q1161" i="16"/>
  <c r="AJ1118" i="2"/>
  <c r="Q1118" i="16"/>
  <c r="Q754" i="16"/>
  <c r="AJ754" i="2"/>
  <c r="AW754" i="2"/>
  <c r="T754" i="16" s="1"/>
  <c r="AJ714" i="2"/>
  <c r="Q714" i="16"/>
  <c r="AJ628" i="2"/>
  <c r="Q628" i="16"/>
  <c r="AJ584" i="2"/>
  <c r="Q584" i="16"/>
  <c r="AW584" i="2"/>
  <c r="T584" i="16" s="1"/>
  <c r="Q431" i="16"/>
  <c r="AJ431" i="2"/>
  <c r="AW431" i="2"/>
  <c r="T431" i="16" s="1"/>
  <c r="Q419" i="16"/>
  <c r="AJ419" i="2"/>
  <c r="Q2" i="16"/>
  <c r="AJ2" i="2"/>
  <c r="AW2" i="2"/>
  <c r="T2" i="16" s="1"/>
  <c r="AS2" i="16" s="1"/>
  <c r="AJ1103" i="2"/>
  <c r="Q1103" i="16"/>
  <c r="Q926" i="16"/>
  <c r="AJ926" i="2"/>
  <c r="Q912" i="16"/>
  <c r="AJ912" i="2"/>
  <c r="AJ869" i="2"/>
  <c r="Q869" i="16"/>
  <c r="Q100" i="16"/>
  <c r="AJ100" i="2"/>
  <c r="Q1184" i="16"/>
  <c r="AJ1184" i="2"/>
  <c r="R1169" i="16"/>
  <c r="AW1169" i="2"/>
  <c r="T1169" i="16" s="1"/>
  <c r="R1016" i="16"/>
  <c r="AW1016" i="2"/>
  <c r="T1016" i="16" s="1"/>
  <c r="AW385" i="2"/>
  <c r="T385" i="16" s="1"/>
  <c r="R385" i="16"/>
  <c r="AT385" i="16" s="1"/>
  <c r="R758" i="16"/>
  <c r="AT758" i="16" s="1"/>
  <c r="AW758" i="2"/>
  <c r="T758" i="16" s="1"/>
  <c r="R760" i="16"/>
  <c r="AT760" i="16" s="1"/>
  <c r="AW760" i="2"/>
  <c r="T760" i="16" s="1"/>
  <c r="AW175" i="2"/>
  <c r="T175" i="16" s="1"/>
  <c r="R175" i="16"/>
  <c r="AT175" i="16" s="1"/>
  <c r="R515" i="16"/>
  <c r="AT515" i="16" s="1"/>
  <c r="AW515" i="2"/>
  <c r="T515" i="16" s="1"/>
  <c r="R148" i="16"/>
  <c r="AT148" i="16" s="1"/>
  <c r="AW148" i="2"/>
  <c r="T148" i="16" s="1"/>
  <c r="R460" i="16"/>
  <c r="AT460" i="16" s="1"/>
  <c r="AW460" i="2"/>
  <c r="T460" i="16" s="1"/>
  <c r="R643" i="16"/>
  <c r="AT643" i="16" s="1"/>
  <c r="AW643" i="2"/>
  <c r="T643" i="16" s="1"/>
  <c r="R979" i="16"/>
  <c r="AW979" i="2"/>
  <c r="T979" i="16" s="1"/>
  <c r="R174" i="16"/>
  <c r="AT174" i="16" s="1"/>
  <c r="AW174" i="2"/>
  <c r="T174" i="16" s="1"/>
  <c r="R1035" i="16"/>
  <c r="AW1035" i="2"/>
  <c r="T1035" i="16" s="1"/>
  <c r="R1180" i="16"/>
  <c r="AW1180" i="2"/>
  <c r="T1180" i="16" s="1"/>
  <c r="R183" i="16"/>
  <c r="AT183" i="16" s="1"/>
  <c r="AW183" i="2"/>
  <c r="T183" i="16" s="1"/>
  <c r="AW312" i="2"/>
  <c r="T312" i="16" s="1"/>
  <c r="R312" i="16"/>
  <c r="AT312" i="16" s="1"/>
  <c r="R805" i="16"/>
  <c r="AT806" i="16" s="1"/>
  <c r="AW805" i="2"/>
  <c r="T805" i="16" s="1"/>
  <c r="R759" i="16"/>
  <c r="AT759" i="16" s="1"/>
  <c r="R747" i="16"/>
  <c r="AW747" i="2"/>
  <c r="T747" i="16" s="1"/>
  <c r="R213" i="16"/>
  <c r="AT213" i="16" s="1"/>
  <c r="AW213" i="2"/>
  <c r="T213" i="16" s="1"/>
  <c r="R346" i="16"/>
  <c r="AT346" i="16" s="1"/>
  <c r="AW346" i="2"/>
  <c r="T346" i="16" s="1"/>
  <c r="R976" i="16"/>
  <c r="AW976" i="2"/>
  <c r="T976" i="16" s="1"/>
  <c r="R563" i="16"/>
  <c r="AT563" i="16" s="1"/>
  <c r="AW563" i="2"/>
  <c r="T563" i="16" s="1"/>
  <c r="R172" i="16"/>
  <c r="AT172" i="16" s="1"/>
  <c r="AW172" i="2"/>
  <c r="T172" i="16" s="1"/>
  <c r="R275" i="16"/>
  <c r="AT275" i="16" s="1"/>
  <c r="AW275" i="2"/>
  <c r="T275" i="16" s="1"/>
  <c r="AW589" i="2"/>
  <c r="T589" i="16" s="1"/>
  <c r="R589" i="16"/>
  <c r="AT589" i="16" s="1"/>
  <c r="R806" i="16"/>
  <c r="AT807" i="16" s="1"/>
  <c r="AW806" i="2"/>
  <c r="T806" i="16" s="1"/>
  <c r="R286" i="16"/>
  <c r="AT286" i="16" s="1"/>
  <c r="AW286" i="2"/>
  <c r="T286" i="16" s="1"/>
  <c r="R995" i="16"/>
  <c r="AW995" i="2"/>
  <c r="T995" i="16" s="1"/>
  <c r="R1083" i="16"/>
  <c r="AW1083" i="2"/>
  <c r="T1083" i="16" s="1"/>
  <c r="R336" i="16"/>
  <c r="AT336" i="16" s="1"/>
  <c r="AW336" i="2"/>
  <c r="T336" i="16" s="1"/>
  <c r="AW26" i="2"/>
  <c r="T26" i="16" s="1"/>
  <c r="R26" i="16"/>
  <c r="AT26" i="16" s="1"/>
  <c r="R763" i="16"/>
  <c r="AT763" i="16" s="1"/>
  <c r="AW763" i="2"/>
  <c r="T763" i="16" s="1"/>
  <c r="AW497" i="2"/>
  <c r="T497" i="16" s="1"/>
  <c r="R497" i="16"/>
  <c r="AT497" i="16" s="1"/>
  <c r="R993" i="16"/>
  <c r="AW993" i="2"/>
  <c r="T993" i="16" s="1"/>
  <c r="R984" i="16"/>
  <c r="AW817" i="2"/>
  <c r="T817" i="16" s="1"/>
  <c r="R817" i="16"/>
  <c r="AT818" i="16" s="1"/>
  <c r="R999" i="16"/>
  <c r="AW999" i="2"/>
  <c r="T999" i="16" s="1"/>
  <c r="Q351" i="16"/>
  <c r="AW351" i="2"/>
  <c r="T351" i="16" s="1"/>
  <c r="AJ351" i="2"/>
  <c r="AJ325" i="2"/>
  <c r="Q325" i="16"/>
  <c r="Q231" i="16"/>
  <c r="AJ231" i="2"/>
  <c r="Q451" i="16"/>
  <c r="AW451" i="2"/>
  <c r="T451" i="16" s="1"/>
  <c r="AJ451" i="2"/>
  <c r="Q59" i="16"/>
  <c r="AJ59" i="2"/>
  <c r="AW59" i="2"/>
  <c r="T59" i="16" s="1"/>
  <c r="Q311" i="16"/>
  <c r="AJ311" i="2"/>
  <c r="AW311" i="2"/>
  <c r="T311" i="16" s="1"/>
  <c r="Q241" i="16"/>
  <c r="AJ241" i="2"/>
  <c r="Q443" i="16"/>
  <c r="AJ443" i="2"/>
  <c r="Q1048" i="16"/>
  <c r="AJ1048" i="2"/>
  <c r="Q434" i="16"/>
  <c r="AJ434" i="2"/>
  <c r="Q536" i="16"/>
  <c r="AJ536" i="2"/>
  <c r="AW536" i="2"/>
  <c r="T536" i="16" s="1"/>
  <c r="Q829" i="16"/>
  <c r="AJ829" i="2"/>
  <c r="R912" i="16"/>
  <c r="AT916" i="16" s="1"/>
  <c r="AW912" i="2"/>
  <c r="T912" i="16" s="1"/>
  <c r="R1064" i="16"/>
  <c r="AW1064" i="2"/>
  <c r="T1064" i="16" s="1"/>
  <c r="R410" i="16"/>
  <c r="AT410" i="16" s="1"/>
  <c r="AW410" i="2"/>
  <c r="T410" i="16" s="1"/>
  <c r="AW924" i="2"/>
  <c r="T924" i="16" s="1"/>
  <c r="R924" i="16"/>
  <c r="AT928" i="16" s="1"/>
  <c r="AW98" i="2"/>
  <c r="T98" i="16" s="1"/>
  <c r="R98" i="16"/>
  <c r="AT98" i="16" s="1"/>
  <c r="R427" i="16"/>
  <c r="AT427" i="16" s="1"/>
  <c r="AW427" i="2"/>
  <c r="T427" i="16" s="1"/>
  <c r="R440" i="16"/>
  <c r="AT440" i="16" s="1"/>
  <c r="AW440" i="2"/>
  <c r="T440" i="16" s="1"/>
  <c r="AW1048" i="2"/>
  <c r="T1048" i="16" s="1"/>
  <c r="R1048" i="16"/>
  <c r="AW61" i="2"/>
  <c r="T61" i="16" s="1"/>
  <c r="R61" i="16"/>
  <c r="AT61" i="16" s="1"/>
  <c r="R914" i="16"/>
  <c r="AT918" i="16" s="1"/>
  <c r="AW914" i="2"/>
  <c r="T914" i="16" s="1"/>
  <c r="R184" i="16"/>
  <c r="AT184" i="16" s="1"/>
  <c r="AW184" i="2"/>
  <c r="T184" i="16" s="1"/>
  <c r="R664" i="16"/>
  <c r="AT664" i="16" s="1"/>
  <c r="R1203" i="16"/>
  <c r="AW1203" i="2"/>
  <c r="T1203" i="16" s="1"/>
  <c r="R538" i="16"/>
  <c r="AW538" i="2"/>
  <c r="T538" i="16" s="1"/>
  <c r="AW685" i="2"/>
  <c r="T685" i="16" s="1"/>
  <c r="R685" i="16"/>
  <c r="AT685" i="16" s="1"/>
  <c r="R1143" i="16"/>
  <c r="AW1143" i="2"/>
  <c r="T1143" i="16" s="1"/>
  <c r="AJ460" i="2"/>
  <c r="Q460" i="16"/>
  <c r="Q383" i="16"/>
  <c r="AW383" i="2"/>
  <c r="T383" i="16" s="1"/>
  <c r="Q606" i="16"/>
  <c r="AJ606" i="2"/>
  <c r="Q276" i="16"/>
  <c r="AJ276" i="2"/>
  <c r="R1069" i="16"/>
  <c r="AW1069" i="2"/>
  <c r="T1069" i="16" s="1"/>
  <c r="Q1186" i="16"/>
  <c r="AJ1186" i="2"/>
  <c r="Q344" i="16"/>
  <c r="AJ344" i="2"/>
  <c r="Q251" i="16"/>
  <c r="AW251" i="2"/>
  <c r="T251" i="16" s="1"/>
  <c r="AJ878" i="2"/>
  <c r="Q878" i="16"/>
  <c r="Q968" i="16"/>
  <c r="AJ968" i="2"/>
  <c r="AJ790" i="2"/>
  <c r="Q790" i="16"/>
  <c r="AJ1141" i="2"/>
  <c r="Q1141" i="16"/>
  <c r="R70" i="16"/>
  <c r="AT70" i="16" s="1"/>
  <c r="AW70" i="2"/>
  <c r="T70" i="16" s="1"/>
  <c r="R788" i="16"/>
  <c r="AT788" i="16" s="1"/>
  <c r="AW788" i="2"/>
  <c r="T788" i="16" s="1"/>
  <c r="AJ921" i="2"/>
  <c r="Q921" i="16"/>
  <c r="AJ185" i="2"/>
  <c r="Q185" i="16"/>
  <c r="AJ732" i="2"/>
  <c r="Q732" i="16"/>
  <c r="AW732" i="2"/>
  <c r="T732" i="16" s="1"/>
  <c r="Q57" i="16"/>
  <c r="AJ57" i="2"/>
  <c r="AW57" i="2"/>
  <c r="T57" i="16" s="1"/>
  <c r="AJ687" i="2"/>
  <c r="Q687" i="16"/>
  <c r="Q634" i="16"/>
  <c r="AJ634" i="2"/>
  <c r="R229" i="16"/>
  <c r="AW229" i="2"/>
  <c r="T229" i="16" s="1"/>
  <c r="Q1039" i="16"/>
  <c r="AJ1039" i="2"/>
  <c r="AW84" i="2"/>
  <c r="T84" i="16" s="1"/>
  <c r="AJ84" i="2"/>
  <c r="Q84" i="16"/>
  <c r="Q152" i="16"/>
  <c r="AJ152" i="2"/>
  <c r="AW152" i="2"/>
  <c r="T152" i="16" s="1"/>
  <c r="AJ556" i="2"/>
  <c r="AW556" i="2"/>
  <c r="T556" i="16" s="1"/>
  <c r="Q556" i="16"/>
  <c r="AJ782" i="2"/>
  <c r="Q782" i="16"/>
  <c r="AJ1202" i="2"/>
  <c r="Q1202" i="16"/>
  <c r="AJ660" i="2"/>
  <c r="AN660" i="2"/>
  <c r="Q660" i="16"/>
  <c r="AJ354" i="2"/>
  <c r="Q354" i="16"/>
  <c r="AJ290" i="2"/>
  <c r="Q290" i="16"/>
  <c r="AJ465" i="2"/>
  <c r="Q465" i="16"/>
  <c r="AJ608" i="2"/>
  <c r="Q608" i="16"/>
  <c r="Q911" i="16"/>
  <c r="AW911" i="2"/>
  <c r="T911" i="16" s="1"/>
  <c r="AJ1181" i="2"/>
  <c r="Q1181" i="16"/>
  <c r="AJ360" i="2"/>
  <c r="Q360" i="16"/>
  <c r="Q1166" i="16"/>
  <c r="AJ1166" i="2"/>
  <c r="AJ15" i="2"/>
  <c r="Q15" i="16"/>
  <c r="AJ491" i="2"/>
  <c r="Q491" i="16"/>
  <c r="AW491" i="2"/>
  <c r="T491" i="16" s="1"/>
  <c r="AJ7" i="2"/>
  <c r="Q7" i="16"/>
  <c r="AN639" i="2"/>
  <c r="AW1023" i="2"/>
  <c r="T1023" i="16" s="1"/>
  <c r="AJ1023" i="2"/>
  <c r="Q1023" i="16"/>
  <c r="Q1210" i="16"/>
  <c r="AJ1210" i="2"/>
  <c r="R575" i="16"/>
  <c r="AT575" i="16" s="1"/>
  <c r="AW575" i="2"/>
  <c r="T575" i="16" s="1"/>
  <c r="R24" i="16"/>
  <c r="AT24" i="16" s="1"/>
  <c r="AW24" i="2"/>
  <c r="T24" i="16" s="1"/>
  <c r="AJ1101" i="2"/>
  <c r="Q1101" i="16"/>
  <c r="R505" i="16"/>
  <c r="AT505" i="16" s="1"/>
  <c r="AW505" i="2"/>
  <c r="T505" i="16" s="1"/>
  <c r="R290" i="16"/>
  <c r="AT290" i="16" s="1"/>
  <c r="AW290" i="2"/>
  <c r="T290" i="16" s="1"/>
  <c r="R1022" i="16"/>
  <c r="AW1022" i="2"/>
  <c r="T1022" i="16" s="1"/>
  <c r="AW15" i="2"/>
  <c r="T15" i="16" s="1"/>
  <c r="R15" i="16"/>
  <c r="AT15" i="16" s="1"/>
  <c r="Q886" i="16"/>
  <c r="AJ886" i="2"/>
  <c r="AW886" i="2"/>
  <c r="T886" i="16" s="1"/>
  <c r="AW628" i="2"/>
  <c r="T628" i="16" s="1"/>
  <c r="R628" i="16"/>
  <c r="AT628" i="16" s="1"/>
  <c r="R784" i="16"/>
  <c r="AT784" i="16" s="1"/>
  <c r="AW784" i="2"/>
  <c r="T784" i="16" s="1"/>
  <c r="Q647" i="16"/>
  <c r="AJ647" i="2"/>
  <c r="R257" i="16"/>
  <c r="AT257" i="16" s="1"/>
  <c r="AW257" i="2"/>
  <c r="T257" i="16" s="1"/>
  <c r="Q705" i="16"/>
  <c r="AW705" i="2"/>
  <c r="T705" i="16" s="1"/>
  <c r="R282" i="16"/>
  <c r="AT282" i="16" s="1"/>
  <c r="AW282" i="2"/>
  <c r="T282" i="16" s="1"/>
  <c r="Q962" i="16"/>
  <c r="AJ962" i="2"/>
  <c r="R727" i="16"/>
  <c r="AW727" i="2"/>
  <c r="T727" i="16" s="1"/>
  <c r="R392" i="16"/>
  <c r="AT392" i="16" s="1"/>
  <c r="AW392" i="2"/>
  <c r="T392" i="16" s="1"/>
  <c r="AJ1081" i="2"/>
  <c r="Q1081" i="16"/>
  <c r="AW45" i="2"/>
  <c r="T45" i="16" s="1"/>
  <c r="R45" i="16"/>
  <c r="AT45" i="16" s="1"/>
  <c r="R345" i="16"/>
  <c r="AT345" i="16" s="1"/>
  <c r="AW345" i="2"/>
  <c r="T345" i="16" s="1"/>
  <c r="R990" i="16"/>
  <c r="AW990" i="2"/>
  <c r="T990" i="16" s="1"/>
  <c r="R1086" i="16"/>
  <c r="AW1086" i="2"/>
  <c r="T1086" i="16" s="1"/>
  <c r="R1171" i="16"/>
  <c r="AW1171" i="2"/>
  <c r="T1171" i="16" s="1"/>
  <c r="R935" i="16"/>
  <c r="AT939" i="16" s="1"/>
  <c r="AW935" i="2"/>
  <c r="T935" i="16" s="1"/>
  <c r="R1019" i="16"/>
  <c r="AW1019" i="2"/>
  <c r="T1019" i="16" s="1"/>
  <c r="R996" i="16"/>
  <c r="AW996" i="2"/>
  <c r="T996" i="16" s="1"/>
  <c r="R997" i="16"/>
  <c r="AW997" i="2"/>
  <c r="T997" i="16" s="1"/>
  <c r="R928" i="16"/>
  <c r="AT932" i="16" s="1"/>
  <c r="AW928" i="2"/>
  <c r="T928" i="16" s="1"/>
  <c r="Q1189" i="16"/>
  <c r="AJ1189" i="2"/>
  <c r="AJ995" i="2"/>
  <c r="Q995" i="16"/>
  <c r="Q1022" i="16"/>
  <c r="AJ1022" i="2"/>
  <c r="Q266" i="16"/>
  <c r="AJ266" i="2"/>
  <c r="Q91" i="16"/>
  <c r="AJ91" i="2"/>
  <c r="AJ991" i="2"/>
  <c r="Q991" i="16"/>
  <c r="AJ466" i="2"/>
  <c r="Q466" i="16"/>
  <c r="AJ1032" i="2"/>
  <c r="Q1032" i="16"/>
  <c r="Q519" i="16"/>
  <c r="AJ519" i="2"/>
  <c r="Q408" i="16"/>
  <c r="AW408" i="2"/>
  <c r="T408" i="16" s="1"/>
  <c r="Q118" i="16"/>
  <c r="AW118" i="2"/>
  <c r="T118" i="16" s="1"/>
  <c r="AW428" i="2"/>
  <c r="T428" i="16" s="1"/>
  <c r="AJ428" i="2"/>
  <c r="Q428" i="16"/>
  <c r="Q877" i="16"/>
  <c r="AJ877" i="2"/>
  <c r="AW877" i="2"/>
  <c r="T877" i="16" s="1"/>
  <c r="Q444" i="16"/>
  <c r="AJ444" i="2"/>
  <c r="Q439" i="16"/>
  <c r="AJ439" i="2"/>
  <c r="AW439" i="2"/>
  <c r="T439" i="16" s="1"/>
  <c r="AW671" i="2"/>
  <c r="AJ671" i="2"/>
  <c r="Q671" i="16"/>
  <c r="AJ838" i="2"/>
  <c r="Q838" i="16"/>
  <c r="Q661" i="16"/>
  <c r="AJ661" i="2"/>
  <c r="AW661" i="2"/>
  <c r="T661" i="16" s="1"/>
  <c r="Q1074" i="16"/>
  <c r="AJ1074" i="2"/>
  <c r="Q1056" i="16"/>
  <c r="AJ1056" i="2"/>
  <c r="AW957" i="2"/>
  <c r="Q957" i="16"/>
  <c r="AJ957" i="2"/>
  <c r="Q691" i="16"/>
  <c r="AJ691" i="2"/>
  <c r="AW691" i="2"/>
  <c r="T691" i="16" s="1"/>
  <c r="AJ567" i="2"/>
  <c r="Q567" i="16"/>
  <c r="AJ1117" i="2"/>
  <c r="AW1117" i="2"/>
  <c r="T1117" i="16" s="1"/>
  <c r="Q1117" i="16"/>
  <c r="Q635" i="16"/>
  <c r="AJ635" i="2"/>
  <c r="Q1080" i="16"/>
  <c r="AJ1080" i="2"/>
  <c r="AJ885" i="2"/>
  <c r="AN885" i="2"/>
  <c r="Q885" i="16"/>
  <c r="AW918" i="2"/>
  <c r="T918" i="16" s="1"/>
  <c r="Q918" i="16"/>
  <c r="AJ918" i="2"/>
  <c r="AJ283" i="2"/>
  <c r="Q283" i="16"/>
  <c r="Q36" i="16"/>
  <c r="AJ36" i="2"/>
  <c r="Q348" i="16"/>
  <c r="AJ348" i="2"/>
  <c r="AW348" i="2"/>
  <c r="T348" i="16" s="1"/>
  <c r="Q1115" i="16"/>
  <c r="AJ1115" i="2"/>
  <c r="Q76" i="16"/>
  <c r="AJ76" i="2"/>
  <c r="Q999" i="16"/>
  <c r="AJ999" i="2"/>
  <c r="AW627" i="2"/>
  <c r="T627" i="16" s="1"/>
  <c r="AJ627" i="2"/>
  <c r="Q627" i="16"/>
  <c r="AW954" i="2"/>
  <c r="T954" i="16" s="1"/>
  <c r="Q954" i="16"/>
  <c r="AJ954" i="2"/>
  <c r="R289" i="16"/>
  <c r="AW289" i="2"/>
  <c r="T289" i="16" s="1"/>
  <c r="Q899" i="16"/>
  <c r="AJ899" i="2"/>
  <c r="AW111" i="2"/>
  <c r="T111" i="16" s="1"/>
  <c r="R111" i="16"/>
  <c r="AT111" i="16" s="1"/>
  <c r="R483" i="16"/>
  <c r="AT483" i="16" s="1"/>
  <c r="AW483" i="2"/>
  <c r="T483" i="16" s="1"/>
  <c r="Q410" i="16"/>
  <c r="AJ410" i="2"/>
  <c r="Q784" i="16"/>
  <c r="AJ784" i="2"/>
  <c r="Q888" i="16"/>
  <c r="AW888" i="2"/>
  <c r="T888" i="16" s="1"/>
  <c r="AJ888" i="2"/>
  <c r="R209" i="16"/>
  <c r="AT209" i="16" s="1"/>
  <c r="AW209" i="2"/>
  <c r="T209" i="16" s="1"/>
  <c r="Q424" i="16"/>
  <c r="AW424" i="2"/>
  <c r="T424" i="16" s="1"/>
  <c r="AJ424" i="2"/>
  <c r="Q574" i="16"/>
  <c r="AJ574" i="2"/>
  <c r="AW574" i="2"/>
  <c r="T574" i="16" s="1"/>
  <c r="Q946" i="16"/>
  <c r="AW946" i="2"/>
  <c r="T946" i="16" s="1"/>
  <c r="AJ946" i="2"/>
  <c r="R606" i="16"/>
  <c r="AT606" i="16" s="1"/>
  <c r="AW606" i="2"/>
  <c r="T606" i="16" s="1"/>
  <c r="AN400" i="2"/>
  <c r="AJ400" i="2"/>
  <c r="Q400" i="16"/>
  <c r="Q1019" i="16"/>
  <c r="AJ1019" i="2"/>
  <c r="R367" i="16"/>
  <c r="AW367" i="2"/>
  <c r="T367" i="16" s="1"/>
  <c r="R595" i="16"/>
  <c r="AW595" i="2"/>
  <c r="T595" i="16" s="1"/>
  <c r="R679" i="16"/>
  <c r="AT679" i="16" s="1"/>
  <c r="AW679" i="2"/>
  <c r="T679" i="16" s="1"/>
  <c r="Q733" i="16"/>
  <c r="AJ733" i="2"/>
  <c r="R488" i="16"/>
  <c r="AT488" i="16" s="1"/>
  <c r="AW488" i="2"/>
  <c r="T488" i="16" s="1"/>
  <c r="AW34" i="2"/>
  <c r="T34" i="16" s="1"/>
  <c r="R34" i="16"/>
  <c r="AT34" i="16" s="1"/>
  <c r="AW178" i="2"/>
  <c r="T178" i="16" s="1"/>
  <c r="R178" i="16"/>
  <c r="AT178" i="16" s="1"/>
  <c r="AW562" i="2"/>
  <c r="T562" i="16" s="1"/>
  <c r="R562" i="16"/>
  <c r="AT562" i="16" s="1"/>
  <c r="R1134" i="16"/>
  <c r="AW1134" i="2"/>
  <c r="T1134" i="16" s="1"/>
  <c r="R752" i="16"/>
  <c r="AT752" i="16" s="1"/>
  <c r="AW752" i="2"/>
  <c r="T752" i="16" s="1"/>
  <c r="R1138" i="16"/>
  <c r="AW1138" i="2"/>
  <c r="T1138" i="16" s="1"/>
  <c r="AJ1155" i="2"/>
  <c r="Q1155" i="16"/>
  <c r="AJ1128" i="2"/>
  <c r="Q1128" i="16"/>
  <c r="AW1047" i="2"/>
  <c r="T1047" i="16" s="1"/>
  <c r="R1047" i="16"/>
  <c r="R31" i="16"/>
  <c r="AT31" i="16" s="1"/>
  <c r="AW31" i="2"/>
  <c r="T31" i="16" s="1"/>
  <c r="R1081" i="16"/>
  <c r="AW1081" i="2"/>
  <c r="T1081" i="16" s="1"/>
  <c r="AW647" i="2"/>
  <c r="R647" i="16"/>
  <c r="AT647" i="16" s="1"/>
  <c r="R829" i="16"/>
  <c r="AT830" i="16" s="1"/>
  <c r="AW829" i="2"/>
  <c r="T829" i="16" s="1"/>
  <c r="R387" i="16"/>
  <c r="AT387" i="16" s="1"/>
  <c r="AW387" i="2"/>
  <c r="T387" i="16" s="1"/>
  <c r="R879" i="16"/>
  <c r="AT883" i="16" s="1"/>
  <c r="AW879" i="2"/>
  <c r="T879" i="16" s="1"/>
  <c r="R176" i="16"/>
  <c r="AT176" i="16" s="1"/>
  <c r="AW176" i="2"/>
  <c r="T176" i="16" s="1"/>
  <c r="R841" i="16"/>
  <c r="AT842" i="16" s="1"/>
  <c r="AW841" i="2"/>
  <c r="T841" i="16" s="1"/>
  <c r="R1046" i="16"/>
  <c r="AW1046" i="2"/>
  <c r="T1046" i="16" s="1"/>
  <c r="R639" i="16"/>
  <c r="AT639" i="16" s="1"/>
  <c r="R838" i="16"/>
  <c r="AT839" i="16" s="1"/>
  <c r="AW838" i="2"/>
  <c r="T838" i="16" s="1"/>
  <c r="R217" i="16"/>
  <c r="AT217" i="16" s="1"/>
  <c r="AW217" i="2"/>
  <c r="T217" i="16" s="1"/>
  <c r="R552" i="16"/>
  <c r="AT552" i="16" s="1"/>
  <c r="AW552" i="2"/>
  <c r="T552" i="16" s="1"/>
  <c r="R718" i="16"/>
  <c r="AT718" i="16" s="1"/>
  <c r="R633" i="16"/>
  <c r="AT633" i="16" s="1"/>
  <c r="AW633" i="2"/>
  <c r="T633" i="16" s="1"/>
  <c r="R1004" i="16"/>
  <c r="AW1004" i="2"/>
  <c r="T1004" i="16" s="1"/>
  <c r="R635" i="16"/>
  <c r="AT635" i="16" s="1"/>
  <c r="AW635" i="2"/>
  <c r="T635" i="16" s="1"/>
  <c r="R704" i="16"/>
  <c r="AT704" i="16" s="1"/>
  <c r="AW704" i="2"/>
  <c r="T704" i="16" s="1"/>
  <c r="R371" i="16"/>
  <c r="AT371" i="16" s="1"/>
  <c r="AW371" i="2"/>
  <c r="T371" i="16" s="1"/>
  <c r="R30" i="16"/>
  <c r="AT30" i="16" s="1"/>
  <c r="AW30" i="2"/>
  <c r="T30" i="16" s="1"/>
  <c r="R458" i="16"/>
  <c r="AT458" i="16" s="1"/>
  <c r="AW458" i="2"/>
  <c r="T458" i="16" s="1"/>
  <c r="R473" i="16"/>
  <c r="AT473" i="16" s="1"/>
  <c r="AW473" i="2"/>
  <c r="T473" i="16" s="1"/>
  <c r="R300" i="16"/>
  <c r="AT300" i="16" s="1"/>
  <c r="AW300" i="2"/>
  <c r="T300" i="16" s="1"/>
  <c r="R1153" i="16"/>
  <c r="AW1153" i="2"/>
  <c r="T1153" i="16" s="1"/>
  <c r="R1111" i="16"/>
  <c r="AW1111" i="2"/>
  <c r="T1111" i="16" s="1"/>
  <c r="R100" i="16"/>
  <c r="AT100" i="16" s="1"/>
  <c r="AW100" i="2"/>
  <c r="T100" i="16" s="1"/>
  <c r="R481" i="16"/>
  <c r="AT481" i="16" s="1"/>
  <c r="AW481" i="2"/>
  <c r="T481" i="16" s="1"/>
  <c r="AW142" i="2"/>
  <c r="T142" i="16" s="1"/>
  <c r="R142" i="16"/>
  <c r="AT142" i="16" s="1"/>
  <c r="AW60" i="2"/>
  <c r="T60" i="16" s="1"/>
  <c r="R60" i="16"/>
  <c r="AT60" i="16" s="1"/>
  <c r="R648" i="16"/>
  <c r="AT648" i="16" s="1"/>
  <c r="AW648" i="2"/>
  <c r="T648" i="16" s="1"/>
  <c r="R487" i="16"/>
  <c r="AW487" i="2"/>
  <c r="T487" i="16" s="1"/>
  <c r="R1141" i="16"/>
  <c r="AW1141" i="2"/>
  <c r="T1141" i="16" s="1"/>
  <c r="R987" i="16"/>
  <c r="AW987" i="2"/>
  <c r="T987" i="16" s="1"/>
  <c r="R1014" i="16"/>
  <c r="AW1014" i="2"/>
  <c r="T1014" i="16" s="1"/>
  <c r="R1043" i="16"/>
  <c r="AW1043" i="2"/>
  <c r="T1043" i="16" s="1"/>
  <c r="AW1075" i="2"/>
  <c r="T1075" i="16" s="1"/>
  <c r="R1075" i="16"/>
  <c r="R915" i="16"/>
  <c r="AT919" i="16" s="1"/>
  <c r="AW915" i="2"/>
  <c r="T915" i="16" s="1"/>
  <c r="R1059" i="16"/>
  <c r="AW1059" i="2"/>
  <c r="T1059" i="16" s="1"/>
  <c r="R1025" i="16"/>
  <c r="AW1025" i="2"/>
  <c r="T1025" i="16" s="1"/>
  <c r="R860" i="16"/>
  <c r="AT863" i="16" s="1"/>
  <c r="AW860" i="2"/>
  <c r="T860" i="16" s="1"/>
  <c r="Q207" i="16"/>
  <c r="AW207" i="2"/>
  <c r="T207" i="16" s="1"/>
  <c r="A965" i="16"/>
  <c r="AP965" i="2"/>
  <c r="AS965" i="2" s="1"/>
  <c r="AU965" i="2" s="1"/>
  <c r="Q270" i="16"/>
  <c r="AW270" i="2"/>
  <c r="T270" i="16" s="1"/>
  <c r="R684" i="16"/>
  <c r="AT684" i="16" s="1"/>
  <c r="AW684" i="2"/>
  <c r="T684" i="16" s="1"/>
  <c r="AW698" i="2"/>
  <c r="T698" i="16" s="1"/>
  <c r="AW891" i="2"/>
  <c r="T891" i="16" s="1"/>
  <c r="AW20" i="2"/>
  <c r="T20" i="16" s="1"/>
  <c r="AW82" i="2"/>
  <c r="T82" i="16" s="1"/>
  <c r="AW726" i="2"/>
  <c r="T726" i="16" s="1"/>
  <c r="AW836" i="2"/>
  <c r="T836" i="16" s="1"/>
  <c r="AW793" i="2"/>
  <c r="T793" i="16" s="1"/>
  <c r="AW187" i="2"/>
  <c r="T187" i="16" s="1"/>
  <c r="AW644" i="2"/>
  <c r="T644" i="16" s="1"/>
  <c r="Q264" i="16"/>
  <c r="AW496" i="2"/>
  <c r="T496" i="16" s="1"/>
  <c r="R1062" i="16"/>
  <c r="AW276" i="2"/>
  <c r="T276" i="16" s="1"/>
  <c r="AW748" i="2"/>
  <c r="T748" i="16" s="1"/>
  <c r="AJ264" i="2"/>
  <c r="AJ408" i="2"/>
  <c r="AW42" i="2"/>
  <c r="T42" i="16" s="1"/>
  <c r="AW328" i="2"/>
  <c r="T328" i="16" s="1"/>
  <c r="AJ592" i="2"/>
  <c r="AW522" i="2"/>
  <c r="T522" i="16" s="1"/>
  <c r="Q187" i="16"/>
  <c r="AW50" i="2"/>
  <c r="T50" i="16" s="1"/>
  <c r="AW443" i="2"/>
  <c r="T443" i="16" s="1"/>
  <c r="Q748" i="16"/>
  <c r="AM1011" i="2"/>
  <c r="AW571" i="2"/>
  <c r="T571" i="16" s="1"/>
  <c r="AW18" i="2"/>
  <c r="T18" i="16" s="1"/>
  <c r="AW434" i="2"/>
  <c r="T434" i="16" s="1"/>
  <c r="AW945" i="2"/>
  <c r="T945" i="16" s="1"/>
  <c r="AW846" i="2"/>
  <c r="T846" i="16" s="1"/>
  <c r="AW662" i="2"/>
  <c r="T662" i="16" s="1"/>
  <c r="R1058" i="16"/>
  <c r="AW1052" i="2"/>
  <c r="T1052" i="16" s="1"/>
  <c r="AW1210" i="2"/>
  <c r="T1210" i="16" s="1"/>
  <c r="AW1155" i="2"/>
  <c r="T1155" i="16" s="1"/>
  <c r="AW881" i="2"/>
  <c r="T881" i="16" s="1"/>
  <c r="R103" i="16"/>
  <c r="AT103" i="16" s="1"/>
  <c r="AW362" i="2"/>
  <c r="T362" i="16" s="1"/>
  <c r="AW163" i="2"/>
  <c r="T163" i="16" s="1"/>
  <c r="AW1095" i="2"/>
  <c r="T1095" i="16" s="1"/>
  <c r="AW678" i="2"/>
  <c r="T678" i="16" s="1"/>
  <c r="AW1106" i="2"/>
  <c r="T1106" i="16" s="1"/>
  <c r="R266" i="16"/>
  <c r="AT266" i="16" s="1"/>
  <c r="AW572" i="2"/>
  <c r="T572" i="16" s="1"/>
  <c r="AW960" i="2"/>
  <c r="T960" i="16" s="1"/>
  <c r="AW485" i="2"/>
  <c r="T485" i="16" s="1"/>
  <c r="AW614" i="2"/>
  <c r="T614" i="16" s="1"/>
  <c r="AW825" i="2"/>
  <c r="T825" i="16" s="1"/>
  <c r="AW1033" i="2"/>
  <c r="T1033" i="16" s="1"/>
  <c r="AW787" i="2"/>
  <c r="T787" i="16" s="1"/>
  <c r="R20" i="16"/>
  <c r="AT20" i="16" s="1"/>
  <c r="AW955" i="2"/>
  <c r="T955" i="16" s="1"/>
  <c r="R325" i="16"/>
  <c r="AT325" i="16" s="1"/>
  <c r="AW452" i="2"/>
  <c r="T452" i="16" s="1"/>
  <c r="AW115" i="2"/>
  <c r="T115" i="16" s="1"/>
  <c r="R115" i="16"/>
  <c r="AT115" i="16" s="1"/>
  <c r="AM602" i="2"/>
  <c r="AM573" i="2"/>
  <c r="AW940" i="2"/>
  <c r="T940" i="16" s="1"/>
  <c r="AW476" i="2"/>
  <c r="T476" i="16" s="1"/>
  <c r="AM750" i="2"/>
  <c r="AM594" i="2"/>
  <c r="AJ1179" i="2"/>
  <c r="R271" i="16"/>
  <c r="AT271" i="16" s="1"/>
  <c r="AW271" i="2"/>
  <c r="T271" i="16" s="1"/>
  <c r="AI523" i="2"/>
  <c r="AW93" i="2"/>
  <c r="T93" i="16" s="1"/>
  <c r="AM700" i="2"/>
  <c r="AM406" i="2"/>
  <c r="AW165" i="2"/>
  <c r="AM724" i="2"/>
  <c r="AW92" i="2"/>
  <c r="AW1205" i="2"/>
  <c r="T1205" i="16" s="1"/>
  <c r="AM978" i="2"/>
  <c r="AW231" i="2"/>
  <c r="T231" i="16" s="1"/>
  <c r="R1101" i="16"/>
  <c r="R121" i="16"/>
  <c r="AT121" i="16" s="1"/>
  <c r="Q282" i="16"/>
  <c r="AP863" i="2"/>
  <c r="AS863" i="2" s="1"/>
  <c r="AU863" i="2" s="1"/>
  <c r="R56" i="16"/>
  <c r="AT56" i="16" s="1"/>
  <c r="AW117" i="2"/>
  <c r="T117" i="16" s="1"/>
  <c r="AW1174" i="2"/>
  <c r="T1174" i="16" s="1"/>
  <c r="AW755" i="2"/>
  <c r="T755" i="16" s="1"/>
  <c r="AW852" i="2"/>
  <c r="T852" i="16" s="1"/>
  <c r="AM482" i="2"/>
  <c r="AM967" i="2"/>
  <c r="AJ864" i="2"/>
  <c r="Q1043" i="16"/>
  <c r="Q1116" i="16"/>
  <c r="AJ1116" i="2"/>
  <c r="AP402" i="2"/>
  <c r="AM1102" i="2"/>
  <c r="AP332" i="2"/>
  <c r="R274" i="16"/>
  <c r="AT274" i="16" s="1"/>
  <c r="R936" i="16"/>
  <c r="AT940" i="16" s="1"/>
  <c r="AW690" i="2"/>
  <c r="T690" i="16" s="1"/>
  <c r="AW1090" i="2"/>
  <c r="T1090" i="16" s="1"/>
  <c r="AW1189" i="2"/>
  <c r="T1189" i="16" s="1"/>
  <c r="AW1166" i="2"/>
  <c r="T1166" i="16" s="1"/>
  <c r="R396" i="16"/>
  <c r="AT396" i="16" s="1"/>
  <c r="AW1188" i="2"/>
  <c r="T1188" i="16" s="1"/>
  <c r="AW1079" i="2"/>
  <c r="T1079" i="16" s="1"/>
  <c r="AW309" i="2"/>
  <c r="T309" i="16" s="1"/>
  <c r="AW1010" i="2"/>
  <c r="T1010" i="16" s="1"/>
  <c r="AW770" i="2"/>
  <c r="T770" i="16" s="1"/>
  <c r="AW508" i="2"/>
  <c r="T508" i="16" s="1"/>
  <c r="AW352" i="2"/>
  <c r="T352" i="16" s="1"/>
  <c r="AW272" i="2"/>
  <c r="T272" i="16" s="1"/>
  <c r="R340" i="16"/>
  <c r="AT340" i="16" s="1"/>
  <c r="AW952" i="2"/>
  <c r="T952" i="16" s="1"/>
  <c r="AW1072" i="2"/>
  <c r="T1072" i="16" s="1"/>
  <c r="AW1032" i="2"/>
  <c r="T1032" i="16" s="1"/>
  <c r="AW359" i="2"/>
  <c r="T359" i="16" s="1"/>
  <c r="AW343" i="2"/>
  <c r="T343" i="16" s="1"/>
  <c r="AW120" i="2"/>
  <c r="T120" i="16" s="1"/>
  <c r="R904" i="16"/>
  <c r="AT908" i="16" s="1"/>
  <c r="AW904" i="2"/>
  <c r="T904" i="16" s="1"/>
  <c r="R902" i="16"/>
  <c r="AT906" i="16" s="1"/>
  <c r="AW902" i="2"/>
  <c r="T902" i="16" s="1"/>
  <c r="AJ708" i="2"/>
  <c r="AM446" i="2"/>
  <c r="R734" i="16"/>
  <c r="AW506" i="2"/>
  <c r="T506" i="16" s="1"/>
  <c r="Q391" i="16"/>
  <c r="AJ391" i="2"/>
  <c r="AW1122" i="2"/>
  <c r="T1122" i="16" s="1"/>
  <c r="AW464" i="2"/>
  <c r="T464" i="16" s="1"/>
  <c r="Q1173" i="16"/>
  <c r="AJ1173" i="2"/>
  <c r="R1204" i="16"/>
  <c r="Q1133" i="16"/>
  <c r="B742" i="16"/>
  <c r="AQ742" i="2"/>
  <c r="AS742" i="2" s="1"/>
  <c r="AU742" i="2" s="1"/>
  <c r="P624" i="16"/>
  <c r="AI624" i="2"/>
  <c r="AW624" i="2" s="1"/>
  <c r="T624" i="16" s="1"/>
  <c r="AM350" i="2"/>
  <c r="AM739" i="2"/>
  <c r="AM313" i="2"/>
  <c r="AW36" i="2"/>
  <c r="T36" i="16" s="1"/>
  <c r="AM1096" i="2"/>
  <c r="AM1068" i="2"/>
  <c r="AW259" i="2"/>
  <c r="T259" i="16" s="1"/>
  <c r="R42" i="16"/>
  <c r="AT42" i="16" s="1"/>
  <c r="AM317" i="2"/>
  <c r="AM558" i="2"/>
  <c r="AM674" i="2"/>
  <c r="AM591" i="2"/>
  <c r="AP1078" i="2"/>
  <c r="AP641" i="2"/>
  <c r="AW66" i="2"/>
  <c r="T66" i="16" s="1"/>
  <c r="P643" i="16"/>
  <c r="AI643" i="2"/>
  <c r="AN49" i="2"/>
  <c r="AM1119" i="2"/>
  <c r="R81" i="16"/>
  <c r="AT81" i="16" s="1"/>
  <c r="AW158" i="2"/>
  <c r="T158" i="16" s="1"/>
  <c r="AW310" i="2"/>
  <c r="T310" i="16" s="1"/>
  <c r="AW334" i="2"/>
  <c r="T334" i="16" s="1"/>
  <c r="AW557" i="2"/>
  <c r="T557" i="16" s="1"/>
  <c r="AW162" i="2"/>
  <c r="T162" i="16" s="1"/>
  <c r="AJ749" i="2"/>
  <c r="AW521" i="2"/>
  <c r="T521" i="16" s="1"/>
  <c r="AW465" i="2"/>
  <c r="T465" i="16" s="1"/>
  <c r="AW417" i="2"/>
  <c r="T417" i="16" s="1"/>
  <c r="R522" i="16"/>
  <c r="AT522" i="16" s="1"/>
  <c r="AW438" i="2"/>
  <c r="T438" i="16" s="1"/>
  <c r="R162" i="16"/>
  <c r="AT162" i="16" s="1"/>
  <c r="AW807" i="2"/>
  <c r="T807" i="16" s="1"/>
  <c r="AW1036" i="2"/>
  <c r="T1036" i="16" s="1"/>
  <c r="AW304" i="2"/>
  <c r="T304" i="16" s="1"/>
  <c r="AW1142" i="2"/>
  <c r="AW11" i="2"/>
  <c r="AW895" i="2"/>
  <c r="T895" i="16" s="1"/>
  <c r="AW160" i="2"/>
  <c r="T160" i="16" s="1"/>
  <c r="AW977" i="2"/>
  <c r="T977" i="16" s="1"/>
  <c r="R1065" i="16"/>
  <c r="R328" i="16"/>
  <c r="AT328" i="16" s="1"/>
  <c r="R259" i="16"/>
  <c r="AT259" i="16" s="1"/>
  <c r="R218" i="16"/>
  <c r="AT218" i="16" s="1"/>
  <c r="R593" i="16"/>
  <c r="AT593" i="16" s="1"/>
  <c r="R557" i="16"/>
  <c r="AT557" i="16" s="1"/>
  <c r="AM353" i="2"/>
  <c r="AM1093" i="2"/>
  <c r="AW412" i="2"/>
  <c r="AM1038" i="2"/>
  <c r="AW737" i="2"/>
  <c r="T737" i="16" s="1"/>
  <c r="AM233" i="2"/>
  <c r="AW347" i="2"/>
  <c r="T347" i="16" s="1"/>
  <c r="AM322" i="2"/>
  <c r="AM855" i="2"/>
  <c r="AM791" i="2"/>
  <c r="AW749" i="2"/>
  <c r="AW220" i="2"/>
  <c r="T220" i="16" s="1"/>
  <c r="AW349" i="2"/>
  <c r="T349" i="16" s="1"/>
  <c r="AW333" i="2"/>
  <c r="AW490" i="2"/>
  <c r="T490" i="16" s="1"/>
  <c r="AW261" i="2"/>
  <c r="T261" i="16" s="1"/>
  <c r="AW9" i="2"/>
  <c r="AW731" i="2"/>
  <c r="T731" i="16" s="1"/>
  <c r="AM965" i="2"/>
  <c r="AW54" i="2"/>
  <c r="T54" i="16" s="1"/>
  <c r="AM579" i="2"/>
  <c r="AW205" i="2"/>
  <c r="T205" i="16" s="1"/>
  <c r="AJ261" i="2"/>
  <c r="AW436" i="2"/>
  <c r="T436" i="16" s="1"/>
  <c r="AW466" i="2"/>
  <c r="T466" i="16" s="1"/>
  <c r="AW1116" i="2"/>
  <c r="T1116" i="16" s="1"/>
  <c r="AW802" i="2"/>
  <c r="AW1000" i="2"/>
  <c r="T1000" i="16" s="1"/>
  <c r="AW934" i="2"/>
  <c r="T934" i="16" s="1"/>
  <c r="R104" i="16"/>
  <c r="AT104" i="16" s="1"/>
  <c r="AW516" i="2"/>
  <c r="T516" i="16" s="1"/>
  <c r="AW444" i="2"/>
  <c r="T444" i="16" s="1"/>
  <c r="R338" i="16"/>
  <c r="AT338" i="16" s="1"/>
  <c r="AW798" i="2"/>
  <c r="T798" i="16" s="1"/>
  <c r="AW215" i="2"/>
  <c r="T215" i="16" s="1"/>
  <c r="AW509" i="2"/>
  <c r="AW169" i="2"/>
  <c r="AW858" i="2"/>
  <c r="R247" i="16"/>
  <c r="AT247" i="16" s="1"/>
  <c r="AW461" i="2"/>
  <c r="T461" i="16" s="1"/>
  <c r="R722" i="16"/>
  <c r="AT722" i="16" s="1"/>
  <c r="AW344" i="2"/>
  <c r="T344" i="16" s="1"/>
  <c r="AW525" i="2"/>
  <c r="T525" i="16" s="1"/>
  <c r="R650" i="16"/>
  <c r="AT650" i="16" s="1"/>
  <c r="AW991" i="2"/>
  <c r="T991" i="16" s="1"/>
  <c r="AW1201" i="2"/>
  <c r="T1201" i="16" s="1"/>
  <c r="R205" i="16"/>
  <c r="AT205" i="16" s="1"/>
  <c r="AW830" i="2"/>
  <c r="T830" i="16" s="1"/>
  <c r="R495" i="16"/>
  <c r="AT495" i="16" s="1"/>
  <c r="R241" i="16"/>
  <c r="AT241" i="16" s="1"/>
  <c r="R723" i="16"/>
  <c r="AT723" i="16" s="1"/>
  <c r="AW776" i="2"/>
  <c r="T776" i="16" s="1"/>
  <c r="AW634" i="2"/>
  <c r="T634" i="16" s="1"/>
  <c r="R590" i="16"/>
  <c r="AT590" i="16" s="1"/>
  <c r="R389" i="16"/>
  <c r="AT389" i="16" s="1"/>
  <c r="R449" i="16"/>
  <c r="AT449" i="16" s="1"/>
  <c r="AW611" i="2"/>
  <c r="R731" i="16"/>
  <c r="AT731" i="16" s="1"/>
  <c r="R9" i="16"/>
  <c r="AT9" i="16" s="1"/>
  <c r="AW870" i="2"/>
  <c r="AW559" i="2"/>
  <c r="R320" i="16"/>
  <c r="AT320" i="16" s="1"/>
  <c r="R337" i="16"/>
  <c r="AT337" i="16" s="1"/>
  <c r="R840" i="16"/>
  <c r="AT841" i="16" s="1"/>
  <c r="AW216" i="2"/>
  <c r="AW882" i="2"/>
  <c r="T882" i="16" s="1"/>
  <c r="R985" i="16"/>
  <c r="R1073" i="16"/>
  <c r="R874" i="16"/>
  <c r="AT878" i="16" s="1"/>
  <c r="T1220" i="16"/>
  <c r="T1222" i="16"/>
  <c r="T1223" i="16"/>
  <c r="T1217" i="16"/>
  <c r="T1221" i="16"/>
  <c r="T1225" i="16"/>
  <c r="T1215" i="16"/>
  <c r="T1227" i="16"/>
  <c r="T1213" i="16"/>
  <c r="T1216" i="16"/>
  <c r="T1228" i="16"/>
  <c r="T1224" i="16"/>
  <c r="T1219" i="16"/>
  <c r="T1218" i="16"/>
  <c r="T1226" i="16"/>
  <c r="T1212" i="16"/>
  <c r="T1214" i="16"/>
  <c r="R486" i="16"/>
  <c r="AT486" i="16" s="1"/>
  <c r="R729" i="16"/>
  <c r="AT729" i="16" s="1"/>
  <c r="AW729" i="2"/>
  <c r="AW735" i="2"/>
  <c r="R735" i="16"/>
  <c r="R454" i="16"/>
  <c r="AT454" i="16" s="1"/>
  <c r="R700" i="16"/>
  <c r="AT700" i="16" s="1"/>
  <c r="R739" i="16"/>
  <c r="AT739" i="16" s="1"/>
  <c r="R591" i="16"/>
  <c r="AT591" i="16" s="1"/>
  <c r="AW446" i="2"/>
  <c r="R446" i="16"/>
  <c r="AT446" i="16" s="1"/>
  <c r="AW484" i="2"/>
  <c r="R484" i="16"/>
  <c r="R406" i="16"/>
  <c r="AT406" i="16" s="1"/>
  <c r="AW1060" i="2"/>
  <c r="R1060" i="16"/>
  <c r="T576" i="16"/>
  <c r="R254" i="16"/>
  <c r="AT254" i="16" s="1"/>
  <c r="R1124" i="16"/>
  <c r="AJ933" i="2"/>
  <c r="Q933" i="16"/>
  <c r="AI122" i="2"/>
  <c r="P122" i="16"/>
  <c r="AI119" i="2"/>
  <c r="AW119" i="2" s="1"/>
  <c r="P119" i="16"/>
  <c r="AI959" i="2"/>
  <c r="P959" i="16"/>
  <c r="AI631" i="2"/>
  <c r="AW631" i="2" s="1"/>
  <c r="P631" i="16"/>
  <c r="AJ969" i="2"/>
  <c r="Q969" i="16"/>
  <c r="AI564" i="2"/>
  <c r="P564" i="16"/>
  <c r="AI947" i="2"/>
  <c r="AW947" i="2" s="1"/>
  <c r="P947" i="16"/>
  <c r="AI735" i="2"/>
  <c r="P735" i="16"/>
  <c r="AI615" i="2"/>
  <c r="AW615" i="2" s="1"/>
  <c r="P615" i="16"/>
  <c r="AJ1158" i="2"/>
  <c r="Q1158" i="16"/>
  <c r="AI712" i="2"/>
  <c r="AW712" i="2" s="1"/>
  <c r="P712" i="16"/>
  <c r="AI517" i="2"/>
  <c r="P517" i="16"/>
  <c r="AI513" i="2"/>
  <c r="P513" i="16"/>
  <c r="AJ1135" i="2"/>
  <c r="Q1135" i="16"/>
  <c r="AI986" i="2"/>
  <c r="AN986" i="2" s="1"/>
  <c r="P986" i="16"/>
  <c r="AI978" i="2"/>
  <c r="AW978" i="2" s="1"/>
  <c r="P978" i="16"/>
  <c r="AI1041" i="2"/>
  <c r="AW1041" i="2" s="1"/>
  <c r="P1041" i="16"/>
  <c r="AI219" i="2"/>
  <c r="AW219" i="2" s="1"/>
  <c r="P219" i="16"/>
  <c r="AI967" i="2"/>
  <c r="P967" i="16"/>
  <c r="AI766" i="2"/>
  <c r="AW766" i="2" s="1"/>
  <c r="P766" i="16"/>
  <c r="AI254" i="2"/>
  <c r="AW254" i="2" s="1"/>
  <c r="P254" i="16"/>
  <c r="AI573" i="2"/>
  <c r="AW573" i="2" s="1"/>
  <c r="P573" i="16"/>
  <c r="AJ1200" i="2"/>
  <c r="Q1200" i="16"/>
  <c r="AI892" i="2"/>
  <c r="AW892" i="2" s="1"/>
  <c r="P892" i="16"/>
  <c r="AI48" i="2"/>
  <c r="AW48" i="2" s="1"/>
  <c r="P48" i="16"/>
  <c r="AI1131" i="2"/>
  <c r="AN1131" i="2" s="1"/>
  <c r="P1131" i="16"/>
  <c r="AI887" i="2"/>
  <c r="AW887" i="2" s="1"/>
  <c r="P887" i="16"/>
  <c r="AJ1185" i="2"/>
  <c r="Q1185" i="16"/>
  <c r="AJ1175" i="2"/>
  <c r="Q1175" i="16"/>
  <c r="AJ263" i="2"/>
  <c r="Q263" i="16"/>
  <c r="AI1076" i="2"/>
  <c r="P1076" i="16"/>
  <c r="AI822" i="2"/>
  <c r="AW822" i="2" s="1"/>
  <c r="P822" i="16"/>
  <c r="AI814" i="2"/>
  <c r="AN814" i="2" s="1"/>
  <c r="P814" i="16"/>
  <c r="AI281" i="2"/>
  <c r="AW281" i="2" s="1"/>
  <c r="P281" i="16"/>
  <c r="AI1119" i="2"/>
  <c r="P1119" i="16"/>
  <c r="AI433" i="2"/>
  <c r="AW433" i="2" s="1"/>
  <c r="P433" i="16"/>
  <c r="R615" i="16"/>
  <c r="AT615" i="16" s="1"/>
  <c r="R843" i="16"/>
  <c r="AT844" i="16" s="1"/>
  <c r="R942" i="16"/>
  <c r="AT946" i="16" s="1"/>
  <c r="B652" i="16"/>
  <c r="Z653" i="2"/>
  <c r="R301" i="16"/>
  <c r="AT301" i="16" s="1"/>
  <c r="B1097" i="16"/>
  <c r="T514" i="16"/>
  <c r="R920" i="16"/>
  <c r="AT924" i="16" s="1"/>
  <c r="N1194" i="16"/>
  <c r="R973" i="16"/>
  <c r="AW799" i="2"/>
  <c r="R799" i="16"/>
  <c r="AW1104" i="2"/>
  <c r="R1104" i="16"/>
  <c r="N637" i="16"/>
  <c r="AW517" i="2"/>
  <c r="R517" i="16"/>
  <c r="AT517" i="16" s="1"/>
  <c r="AJ308" i="2"/>
  <c r="Q308" i="16"/>
  <c r="AJ305" i="2"/>
  <c r="Q305" i="16"/>
  <c r="H480" i="16"/>
  <c r="AJ248" i="2"/>
  <c r="Q248" i="16"/>
  <c r="AN248" i="2"/>
  <c r="O931" i="16"/>
  <c r="AH931" i="2"/>
  <c r="AM931" i="2" s="1"/>
  <c r="B123" i="16"/>
  <c r="AQ123" i="2"/>
  <c r="AS123" i="2" s="1"/>
  <c r="AU123" i="2" s="1"/>
  <c r="AJ1084" i="2"/>
  <c r="Q1084" i="16"/>
  <c r="AN1084" i="2"/>
  <c r="AJ529" i="2"/>
  <c r="Q529" i="16"/>
  <c r="AN529" i="2"/>
  <c r="AJ507" i="2"/>
  <c r="Q507" i="16"/>
  <c r="AN507" i="2"/>
  <c r="AJ13" i="2"/>
  <c r="Q13" i="16"/>
  <c r="AJ67" i="2"/>
  <c r="Q67" i="16"/>
  <c r="H542" i="16"/>
  <c r="U543" i="2"/>
  <c r="AJ128" i="2"/>
  <c r="Q128" i="16"/>
  <c r="AN128" i="2"/>
  <c r="U819" i="2"/>
  <c r="H818" i="16"/>
  <c r="AJ171" i="2"/>
  <c r="Q171" i="16"/>
  <c r="AN171" i="2"/>
  <c r="AJ789" i="2"/>
  <c r="Q789" i="16"/>
  <c r="N123" i="16"/>
  <c r="AJ685" i="2"/>
  <c r="Q685" i="16"/>
  <c r="AN685" i="2"/>
  <c r="AJ1067" i="2"/>
  <c r="Q1067" i="16"/>
  <c r="AJ524" i="2"/>
  <c r="Q524" i="16"/>
  <c r="B138" i="16"/>
  <c r="Z139" i="2"/>
  <c r="AQ138" i="2"/>
  <c r="AS138" i="2" s="1"/>
  <c r="AU138" i="2" s="1"/>
  <c r="H223" i="16"/>
  <c r="U224" i="2"/>
  <c r="AJ706" i="2"/>
  <c r="Q706" i="16"/>
  <c r="AJ292" i="2"/>
  <c r="Q292" i="16"/>
  <c r="AJ5" i="2"/>
  <c r="Q5" i="16"/>
  <c r="AJ473" i="2"/>
  <c r="Q473" i="16"/>
  <c r="AN473" i="2"/>
  <c r="AW706" i="2"/>
  <c r="T56" i="16"/>
  <c r="AJ9" i="2"/>
  <c r="Q9" i="16"/>
  <c r="AW494" i="2"/>
  <c r="AJ764" i="2"/>
  <c r="Q764" i="16"/>
  <c r="AJ435" i="2"/>
  <c r="Q435" i="16"/>
  <c r="AI916" i="2"/>
  <c r="P916" i="16"/>
  <c r="AJ896" i="2"/>
  <c r="Q896" i="16"/>
  <c r="AN896" i="2"/>
  <c r="B844" i="16"/>
  <c r="AW814" i="2"/>
  <c r="R814" i="16"/>
  <c r="AT815" i="16" s="1"/>
  <c r="R981" i="16"/>
  <c r="AW1107" i="2"/>
  <c r="R1107" i="16"/>
  <c r="R712" i="16"/>
  <c r="AT712" i="16" s="1"/>
  <c r="R892" i="16"/>
  <c r="AT896" i="16" s="1"/>
  <c r="R450" i="16"/>
  <c r="AT450" i="16" s="1"/>
  <c r="AW930" i="2"/>
  <c r="R930" i="16"/>
  <c r="AT934" i="16" s="1"/>
  <c r="AW970" i="2"/>
  <c r="R970" i="16"/>
  <c r="R853" i="16"/>
  <c r="AT856" i="16" s="1"/>
  <c r="R861" i="16"/>
  <c r="AT864" i="16" s="1"/>
  <c r="R978" i="16"/>
  <c r="R219" i="16"/>
  <c r="AT219" i="16" s="1"/>
  <c r="R855" i="16"/>
  <c r="AT858" i="16" s="1"/>
  <c r="R724" i="16"/>
  <c r="AT724" i="16" s="1"/>
  <c r="R482" i="16"/>
  <c r="AT482" i="16" s="1"/>
  <c r="R555" i="16"/>
  <c r="AT555" i="16" s="1"/>
  <c r="N369" i="16"/>
  <c r="R479" i="16"/>
  <c r="AT479" i="16" s="1"/>
  <c r="R967" i="16"/>
  <c r="N542" i="16"/>
  <c r="AF543" i="2"/>
  <c r="AF544" i="2" s="1"/>
  <c r="O480" i="16"/>
  <c r="AH480" i="2"/>
  <c r="P480" i="16" s="1"/>
  <c r="AJ297" i="2"/>
  <c r="Q297" i="16"/>
  <c r="AJ150" i="2"/>
  <c r="Q150" i="16"/>
  <c r="AJ58" i="2"/>
  <c r="Q58" i="16"/>
  <c r="AN58" i="2"/>
  <c r="AJ249" i="2"/>
  <c r="Q249" i="16"/>
  <c r="AJ130" i="2"/>
  <c r="Q130" i="16"/>
  <c r="AN130" i="2"/>
  <c r="AJ204" i="2"/>
  <c r="Q204" i="16"/>
  <c r="AJ29" i="2"/>
  <c r="Q29" i="16"/>
  <c r="AJ71" i="2"/>
  <c r="Q71" i="16"/>
  <c r="AN71" i="2"/>
  <c r="AJ1042" i="2"/>
  <c r="Q1042" i="16"/>
  <c r="AN1042" i="2"/>
  <c r="AN774" i="2"/>
  <c r="Q774" i="16"/>
  <c r="AW629" i="2"/>
  <c r="AJ226" i="2"/>
  <c r="Q226" i="16"/>
  <c r="AJ159" i="2"/>
  <c r="Q159" i="16"/>
  <c r="AJ719" i="2"/>
  <c r="Q719" i="16"/>
  <c r="AN719" i="2"/>
  <c r="AJ416" i="2"/>
  <c r="Q416" i="16"/>
  <c r="AJ423" i="2"/>
  <c r="Q423" i="16"/>
  <c r="AN423" i="2"/>
  <c r="B285" i="16"/>
  <c r="AQ285" i="2"/>
  <c r="AS285" i="2" s="1"/>
  <c r="AU285" i="2" s="1"/>
  <c r="AJ379" i="2"/>
  <c r="Q379" i="16"/>
  <c r="AN379" i="2"/>
  <c r="AJ1145" i="2"/>
  <c r="Q1145" i="16"/>
  <c r="AJ201" i="2"/>
  <c r="Q201" i="16"/>
  <c r="O641" i="16"/>
  <c r="AK641" i="2"/>
  <c r="AL641" i="2"/>
  <c r="AH641" i="2"/>
  <c r="AJ520" i="2"/>
  <c r="Q520" i="16"/>
  <c r="AN520" i="2"/>
  <c r="AJ609" i="2"/>
  <c r="Q609" i="16"/>
  <c r="AW901" i="2"/>
  <c r="AW297" i="2"/>
  <c r="AN872" i="2"/>
  <c r="Q872" i="16"/>
  <c r="AJ75" i="2"/>
  <c r="Q75" i="16"/>
  <c r="AJ97" i="2"/>
  <c r="Q97" i="16"/>
  <c r="AJ847" i="2"/>
  <c r="Q847" i="16"/>
  <c r="AN847" i="2"/>
  <c r="AJ21" i="2"/>
  <c r="Q21" i="16"/>
  <c r="AJ193" i="2"/>
  <c r="Q193" i="16"/>
  <c r="O673" i="16"/>
  <c r="AL673" i="2"/>
  <c r="AN673" i="2"/>
  <c r="AK673" i="2"/>
  <c r="AH673" i="2"/>
  <c r="N331" i="16"/>
  <c r="AF332" i="2"/>
  <c r="Q1122" i="16"/>
  <c r="AJ1122" i="2"/>
  <c r="AJ63" i="2"/>
  <c r="Q63" i="16"/>
  <c r="AJ378" i="2"/>
  <c r="Q378" i="16"/>
  <c r="AN378" i="2"/>
  <c r="AI499" i="2"/>
  <c r="AN499" i="2" s="1"/>
  <c r="P499" i="16"/>
  <c r="AJ1129" i="2"/>
  <c r="Q1129" i="16"/>
  <c r="AI1148" i="2"/>
  <c r="AN1148" i="2" s="1"/>
  <c r="P1148" i="16"/>
  <c r="AJ382" i="2"/>
  <c r="Q382" i="16"/>
  <c r="AI474" i="2"/>
  <c r="AW474" i="2" s="1"/>
  <c r="P474" i="16"/>
  <c r="AI1096" i="2"/>
  <c r="AW1096" i="2" s="1"/>
  <c r="P1096" i="16"/>
  <c r="AI484" i="2"/>
  <c r="P484" i="16"/>
  <c r="AI1060" i="2"/>
  <c r="P1060" i="16"/>
  <c r="AI326" i="2"/>
  <c r="AW326" i="2" s="1"/>
  <c r="P326" i="16"/>
  <c r="AI177" i="2"/>
  <c r="P177" i="16"/>
  <c r="AI956" i="2"/>
  <c r="AN956" i="2" s="1"/>
  <c r="P956" i="16"/>
  <c r="AI244" i="2"/>
  <c r="P244" i="16"/>
  <c r="AI769" i="2"/>
  <c r="AW769" i="2" s="1"/>
  <c r="P769" i="16"/>
  <c r="AI861" i="2"/>
  <c r="AW861" i="2" s="1"/>
  <c r="P861" i="16"/>
  <c r="AI486" i="2"/>
  <c r="AW486" i="2" s="1"/>
  <c r="P486" i="16"/>
  <c r="AJ1013" i="2"/>
  <c r="Q1013" i="16"/>
  <c r="AJ932" i="2"/>
  <c r="Q932" i="16"/>
  <c r="AI594" i="2"/>
  <c r="AW594" i="2" s="1"/>
  <c r="P594" i="16"/>
  <c r="AI1104" i="2"/>
  <c r="P1104" i="16"/>
  <c r="AI875" i="2"/>
  <c r="AW875" i="2" s="1"/>
  <c r="P875" i="16"/>
  <c r="AI1191" i="2"/>
  <c r="AW1191" i="2" s="1"/>
  <c r="P1191" i="16"/>
  <c r="AI700" i="2"/>
  <c r="AW700" i="2" s="1"/>
  <c r="P700" i="16"/>
  <c r="AI853" i="2"/>
  <c r="P853" i="16"/>
  <c r="AI1044" i="2"/>
  <c r="AN1044" i="2" s="1"/>
  <c r="P1044" i="16"/>
  <c r="AI625" i="2"/>
  <c r="P625" i="16"/>
  <c r="AI865" i="2"/>
  <c r="AW865" i="2" s="1"/>
  <c r="P865" i="16"/>
  <c r="AI570" i="2"/>
  <c r="P570" i="16"/>
  <c r="AI52" i="2"/>
  <c r="P52" i="16"/>
  <c r="AI612" i="2"/>
  <c r="P612" i="16"/>
  <c r="AJ1196" i="2"/>
  <c r="Q1196" i="16"/>
  <c r="AW499" i="2"/>
  <c r="R499" i="16"/>
  <c r="AT499" i="16" s="1"/>
  <c r="R612" i="16"/>
  <c r="AT612" i="16" s="1"/>
  <c r="R702" i="16"/>
  <c r="AT702" i="16" s="1"/>
  <c r="AW416" i="2"/>
  <c r="R1041" i="16"/>
  <c r="R342" i="16"/>
  <c r="AT342" i="16" s="1"/>
  <c r="N302" i="16"/>
  <c r="R750" i="16"/>
  <c r="AT750" i="16" s="1"/>
  <c r="AJ373" i="2"/>
  <c r="Q373" i="16"/>
  <c r="AJ992" i="2"/>
  <c r="Q992" i="16"/>
  <c r="T495" i="16"/>
  <c r="AJ109" i="2"/>
  <c r="Q109" i="16"/>
  <c r="AJ955" i="2"/>
  <c r="Q955" i="16"/>
  <c r="AJ596" i="2"/>
  <c r="Q596" i="16"/>
  <c r="AW201" i="2"/>
  <c r="AJ605" i="2"/>
  <c r="Q605" i="16"/>
  <c r="AN605" i="2"/>
  <c r="AW127" i="2"/>
  <c r="AJ107" i="2"/>
  <c r="Q107" i="16"/>
  <c r="AN107" i="2"/>
  <c r="T338" i="16"/>
  <c r="AJ243" i="2"/>
  <c r="Q243" i="16"/>
  <c r="AJ462" i="2"/>
  <c r="Q462" i="16"/>
  <c r="AJ980" i="2"/>
  <c r="Q980" i="16"/>
  <c r="AJ339" i="2"/>
  <c r="Q339" i="16"/>
  <c r="AN339" i="2"/>
  <c r="T337" i="16"/>
  <c r="AJ65" i="2"/>
  <c r="Q65" i="16"/>
  <c r="AJ771" i="2"/>
  <c r="Q771" i="16"/>
  <c r="AN771" i="2"/>
  <c r="AJ934" i="2"/>
  <c r="Q934" i="16"/>
  <c r="AJ212" i="2"/>
  <c r="Q212" i="16"/>
  <c r="O580" i="16"/>
  <c r="AL580" i="2"/>
  <c r="AH580" i="2"/>
  <c r="P580" i="16" s="1"/>
  <c r="AK580" i="2"/>
  <c r="AG581" i="2"/>
  <c r="AJ89" i="2"/>
  <c r="Q89" i="16"/>
  <c r="AJ797" i="2"/>
  <c r="Q797" i="16"/>
  <c r="AW109" i="2"/>
  <c r="AJ147" i="2"/>
  <c r="Q147" i="16"/>
  <c r="AJ746" i="2"/>
  <c r="Q746" i="16"/>
  <c r="AJ114" i="2"/>
  <c r="Q114" i="16"/>
  <c r="AJ804" i="2"/>
  <c r="Q804" i="16"/>
  <c r="H138" i="16"/>
  <c r="U139" i="2"/>
  <c r="AJ205" i="2"/>
  <c r="Q205" i="16"/>
  <c r="AN205" i="2"/>
  <c r="T218" i="16"/>
  <c r="AW13" i="2"/>
  <c r="AJ164" i="2"/>
  <c r="Q164" i="16"/>
  <c r="AJ163" i="2"/>
  <c r="Q163" i="16"/>
  <c r="AJ69" i="2"/>
  <c r="Q69" i="16"/>
  <c r="AN69" i="2"/>
  <c r="AJ1053" i="2"/>
  <c r="Q1053" i="16"/>
  <c r="AW501" i="2"/>
  <c r="AW17" i="2"/>
  <c r="AW422" i="2"/>
  <c r="AJ1027" i="2"/>
  <c r="Q1027" i="16"/>
  <c r="AJ35" i="2"/>
  <c r="Q35" i="16"/>
  <c r="AN35" i="2"/>
  <c r="AI579" i="2"/>
  <c r="AW579" i="2" s="1"/>
  <c r="P579" i="16"/>
  <c r="AN1087" i="2"/>
  <c r="AJ236" i="2"/>
  <c r="Q236" i="16"/>
  <c r="AN236" i="2"/>
  <c r="AI591" i="2"/>
  <c r="P591" i="16"/>
  <c r="AI724" i="2"/>
  <c r="AW724" i="2" s="1"/>
  <c r="P724" i="16"/>
  <c r="AI970" i="2"/>
  <c r="P970" i="16"/>
  <c r="AW1076" i="2"/>
  <c r="R1076" i="16"/>
  <c r="AN817" i="2"/>
  <c r="T393" i="16"/>
  <c r="T657" i="16"/>
  <c r="T1109" i="16"/>
  <c r="T296" i="16"/>
  <c r="T646" i="16"/>
  <c r="AW1119" i="2"/>
  <c r="R1119" i="16"/>
  <c r="R1024" i="16"/>
  <c r="AW916" i="2"/>
  <c r="R916" i="16"/>
  <c r="AT920" i="16" s="1"/>
  <c r="N652" i="16"/>
  <c r="AF653" i="2"/>
  <c r="R237" i="16"/>
  <c r="AT237" i="16" s="1"/>
  <c r="R353" i="16"/>
  <c r="AT353" i="16" s="1"/>
  <c r="AW390" i="2"/>
  <c r="R390" i="16"/>
  <c r="AT390" i="16" s="1"/>
  <c r="O331" i="16"/>
  <c r="AG332" i="2"/>
  <c r="AH331" i="2"/>
  <c r="AK331" i="2"/>
  <c r="AL331" i="2"/>
  <c r="B255" i="16"/>
  <c r="Z256" i="2"/>
  <c r="AQ255" i="2"/>
  <c r="AS255" i="2" s="1"/>
  <c r="AU255" i="2" s="1"/>
  <c r="AJ37" i="2"/>
  <c r="Q37" i="16"/>
  <c r="AN37" i="2"/>
  <c r="AJ758" i="2"/>
  <c r="Q758" i="16"/>
  <c r="AJ669" i="2"/>
  <c r="Q669" i="16"/>
  <c r="AJ848" i="2"/>
  <c r="Q848" i="16"/>
  <c r="AN848" i="2"/>
  <c r="AJ46" i="2"/>
  <c r="Q46" i="16"/>
  <c r="AJ315" i="2"/>
  <c r="AJ417" i="2"/>
  <c r="Q417" i="16"/>
  <c r="AJ186" i="2"/>
  <c r="Q186" i="16"/>
  <c r="AJ4" i="2"/>
  <c r="Q4" i="16"/>
  <c r="H518" i="16"/>
  <c r="AJ83" i="2"/>
  <c r="Q83" i="16"/>
  <c r="AJ1134" i="2"/>
  <c r="Q1134" i="16"/>
  <c r="U134" i="2"/>
  <c r="H134" i="16" s="1"/>
  <c r="AJ144" i="2"/>
  <c r="Q144" i="16"/>
  <c r="AJ272" i="2"/>
  <c r="Q272" i="16"/>
  <c r="AN272" i="2"/>
  <c r="N407" i="16"/>
  <c r="AJ269" i="2"/>
  <c r="Q269" i="16"/>
  <c r="AW83" i="2"/>
  <c r="AJ167" i="2"/>
  <c r="Q167" i="16"/>
  <c r="AN167" i="2"/>
  <c r="AJ77" i="2"/>
  <c r="Q77" i="16"/>
  <c r="AJ759" i="2"/>
  <c r="Q759" i="16"/>
  <c r="AJ1086" i="2"/>
  <c r="Q1086" i="16"/>
  <c r="AJ162" i="2"/>
  <c r="Q162" i="16"/>
  <c r="B480" i="16"/>
  <c r="AQ480" i="2"/>
  <c r="AS480" i="2" s="1"/>
  <c r="AU480" i="2" s="1"/>
  <c r="AW21" i="2"/>
  <c r="AW71" i="2"/>
  <c r="AW159" i="2"/>
  <c r="H619" i="16"/>
  <c r="AJ165" i="2"/>
  <c r="Q165" i="16"/>
  <c r="AN165" i="2"/>
  <c r="AJ566" i="2"/>
  <c r="Q566" i="16"/>
  <c r="AW1092" i="2"/>
  <c r="AW29" i="2"/>
  <c r="AJ607" i="2"/>
  <c r="Q607" i="16"/>
  <c r="AJ108" i="2"/>
  <c r="Q108" i="16"/>
  <c r="AN108" i="2"/>
  <c r="T723" i="16"/>
  <c r="N673" i="16"/>
  <c r="AJ278" i="2"/>
  <c r="Q278" i="16"/>
  <c r="AN278" i="2"/>
  <c r="AJ1174" i="2"/>
  <c r="AW67" i="2"/>
  <c r="AN1046" i="2"/>
  <c r="Q1046" i="16"/>
  <c r="AJ1057" i="2"/>
  <c r="Q1057" i="16"/>
  <c r="AJ3" i="2"/>
  <c r="Q3" i="16"/>
  <c r="AN3" i="2"/>
  <c r="AI871" i="2"/>
  <c r="AN871" i="2" s="1"/>
  <c r="P871" i="16"/>
  <c r="AI920" i="2"/>
  <c r="AN920" i="2" s="1"/>
  <c r="P920" i="16"/>
  <c r="AI973" i="2"/>
  <c r="P973" i="16"/>
  <c r="AI843" i="2"/>
  <c r="AN843" i="2" s="1"/>
  <c r="P843" i="16"/>
  <c r="AI863" i="2"/>
  <c r="P863" i="16"/>
  <c r="AI477" i="2"/>
  <c r="AW477" i="2" s="1"/>
  <c r="P477" i="16"/>
  <c r="AJ768" i="2"/>
  <c r="Q768" i="16"/>
  <c r="AJ1097" i="2"/>
  <c r="Q1097" i="16"/>
  <c r="AI739" i="2"/>
  <c r="AW739" i="2" s="1"/>
  <c r="P739" i="16"/>
  <c r="AI353" i="2"/>
  <c r="P353" i="16"/>
  <c r="AI454" i="2"/>
  <c r="P454" i="16"/>
  <c r="AI1026" i="2"/>
  <c r="AW1026" i="2" s="1"/>
  <c r="P1026" i="16"/>
  <c r="AJ1089" i="2"/>
  <c r="Q1089" i="16"/>
  <c r="AI761" i="2"/>
  <c r="P761" i="16"/>
  <c r="AI750" i="2"/>
  <c r="AW750" i="2" s="1"/>
  <c r="P750" i="16"/>
  <c r="AI1193" i="2"/>
  <c r="AW1193" i="2" s="1"/>
  <c r="P1193" i="16"/>
  <c r="AI437" i="2"/>
  <c r="AW437" i="2" s="1"/>
  <c r="P437" i="16"/>
  <c r="AI317" i="2"/>
  <c r="AW317" i="2" s="1"/>
  <c r="P317" i="16"/>
  <c r="AI322" i="2"/>
  <c r="AW322" i="2" s="1"/>
  <c r="P322" i="16"/>
  <c r="AI1070" i="2"/>
  <c r="P1070" i="16"/>
  <c r="AI313" i="2"/>
  <c r="P313" i="16"/>
  <c r="AJ540" i="2"/>
  <c r="Q540" i="16"/>
  <c r="AI674" i="2"/>
  <c r="P674" i="16"/>
  <c r="AI446" i="2"/>
  <c r="P446" i="16"/>
  <c r="AI791" i="2"/>
  <c r="P791" i="16"/>
  <c r="AI479" i="2"/>
  <c r="P479" i="16"/>
  <c r="AI533" i="2"/>
  <c r="AN533" i="2" s="1"/>
  <c r="P533" i="16"/>
  <c r="AI526" i="2"/>
  <c r="AW526" i="2" s="1"/>
  <c r="P526" i="16"/>
  <c r="R1193" i="16"/>
  <c r="R267" i="16"/>
  <c r="AT267" i="16" s="1"/>
  <c r="B1077" i="16"/>
  <c r="AW249" i="2"/>
  <c r="AW786" i="2"/>
  <c r="T1133" i="16"/>
  <c r="T441" i="16"/>
  <c r="T604" i="16"/>
  <c r="T608" i="16"/>
  <c r="AW774" i="2"/>
  <c r="N616" i="16"/>
  <c r="R1068" i="16"/>
  <c r="AW513" i="2"/>
  <c r="R513" i="16"/>
  <c r="AT513" i="16" s="1"/>
  <c r="N943" i="16"/>
  <c r="R161" i="16"/>
  <c r="AT161" i="16" s="1"/>
  <c r="N314" i="16"/>
  <c r="AJ265" i="2"/>
  <c r="Q265" i="16"/>
  <c r="AJ988" i="2"/>
  <c r="Q988" i="16"/>
  <c r="O725" i="16"/>
  <c r="AK725" i="2"/>
  <c r="AL725" i="2"/>
  <c r="AH725" i="2"/>
  <c r="AJ49" i="2"/>
  <c r="Q49" i="16"/>
  <c r="AJ194" i="2"/>
  <c r="Q194" i="16"/>
  <c r="AJ235" i="2"/>
  <c r="Q235" i="16"/>
  <c r="AN235" i="2"/>
  <c r="AJ941" i="2"/>
  <c r="Q941" i="16"/>
  <c r="AJ253" i="2"/>
  <c r="Q253" i="16"/>
  <c r="B414" i="16"/>
  <c r="AQ414" i="2"/>
  <c r="AS414" i="2" s="1"/>
  <c r="AU414" i="2" s="1"/>
  <c r="AW265" i="2"/>
  <c r="T544" i="2"/>
  <c r="T545" i="2" s="1"/>
  <c r="A543" i="16"/>
  <c r="AJ939" i="2"/>
  <c r="Q939" i="16"/>
  <c r="AW308" i="2"/>
  <c r="T247" i="16"/>
  <c r="AW14" i="2"/>
  <c r="O255" i="16"/>
  <c r="AG256" i="2"/>
  <c r="AH255" i="2"/>
  <c r="P255" i="16" s="1"/>
  <c r="AK255" i="2"/>
  <c r="AL255" i="2"/>
  <c r="N518" i="16"/>
  <c r="AJ1069" i="2"/>
  <c r="Q1069" i="16"/>
  <c r="AJ141" i="2"/>
  <c r="Q141" i="16"/>
  <c r="AN141" i="2"/>
  <c r="AJ363" i="2"/>
  <c r="Q363" i="16"/>
  <c r="AJ1092" i="2"/>
  <c r="AJ80" i="2"/>
  <c r="Q80" i="16"/>
  <c r="AJ808" i="2"/>
  <c r="Q808" i="16"/>
  <c r="AJ485" i="2"/>
  <c r="Q485" i="16"/>
  <c r="AJ890" i="2"/>
  <c r="Q890" i="16"/>
  <c r="AJ548" i="2"/>
  <c r="Q548" i="16"/>
  <c r="AN548" i="2"/>
  <c r="N725" i="16"/>
  <c r="O138" i="16"/>
  <c r="AG139" i="2"/>
  <c r="AK138" i="2"/>
  <c r="AL138" i="2"/>
  <c r="AH138" i="2"/>
  <c r="P138" i="16" s="1"/>
  <c r="AM138" i="2"/>
  <c r="AJ33" i="2"/>
  <c r="Q33" i="16"/>
  <c r="AW63" i="2"/>
  <c r="AJ546" i="2"/>
  <c r="Q546" i="16"/>
  <c r="AJ182" i="2"/>
  <c r="Q182" i="16"/>
  <c r="AN182" i="2"/>
  <c r="AJ925" i="2"/>
  <c r="Q925" i="16"/>
  <c r="AJ757" i="2"/>
  <c r="Q757" i="16"/>
  <c r="O534" i="16"/>
  <c r="AK534" i="2"/>
  <c r="AL534" i="2"/>
  <c r="AH534" i="2"/>
  <c r="AJ464" i="2"/>
  <c r="Q464" i="16"/>
  <c r="AN464" i="2"/>
  <c r="T874" i="16"/>
  <c r="AJ1045" i="2"/>
  <c r="Q1045" i="16"/>
  <c r="AJ788" i="2"/>
  <c r="Q788" i="16"/>
  <c r="AJ370" i="2"/>
  <c r="Q370" i="16"/>
  <c r="O327" i="16"/>
  <c r="AL327" i="2"/>
  <c r="AN327" i="2"/>
  <c r="AH327" i="2"/>
  <c r="AI327" i="2" s="1"/>
  <c r="AK327" i="2"/>
  <c r="AI1156" i="2"/>
  <c r="AW1156" i="2" s="1"/>
  <c r="P1156" i="16"/>
  <c r="AJ576" i="2"/>
  <c r="Q576" i="16"/>
  <c r="AJ1132" i="2"/>
  <c r="Q1132" i="16"/>
  <c r="AN1132" i="2"/>
  <c r="AW1148" i="2"/>
  <c r="R1148" i="16"/>
  <c r="T411" i="16"/>
  <c r="R672" i="16"/>
  <c r="AT672" i="16" s="1"/>
  <c r="R119" i="16"/>
  <c r="AT119" i="16" s="1"/>
  <c r="R477" i="16"/>
  <c r="AT477" i="16" s="1"/>
  <c r="N268" i="16"/>
  <c r="R1026" i="16"/>
  <c r="R865" i="16"/>
  <c r="AT869" i="16" s="1"/>
  <c r="R558" i="16"/>
  <c r="AT558" i="16" s="1"/>
  <c r="AW365" i="2"/>
  <c r="R365" i="16"/>
  <c r="AT365" i="16" s="1"/>
  <c r="R526" i="16"/>
  <c r="AT526" i="16" s="1"/>
  <c r="R326" i="16"/>
  <c r="AT326" i="16" s="1"/>
  <c r="R625" i="16"/>
  <c r="AT625" i="16" s="1"/>
  <c r="R233" i="16"/>
  <c r="AT233" i="16" s="1"/>
  <c r="R523" i="16"/>
  <c r="AT523" i="16" s="1"/>
  <c r="N140" i="16"/>
  <c r="H314" i="16"/>
  <c r="B534" i="16"/>
  <c r="AQ534" i="2"/>
  <c r="AS534" i="2" s="1"/>
  <c r="AU534" i="2" s="1"/>
  <c r="AJ299" i="2"/>
  <c r="Q299" i="16"/>
  <c r="AN299" i="2"/>
  <c r="AJ809" i="2"/>
  <c r="Q809" i="16"/>
  <c r="AJ357" i="2"/>
  <c r="Q357" i="16"/>
  <c r="AN357" i="2"/>
  <c r="AJ960" i="2"/>
  <c r="Q960" i="16"/>
  <c r="AN960" i="2"/>
  <c r="N931" i="16"/>
  <c r="AJ693" i="2"/>
  <c r="Q693" i="16"/>
  <c r="AN693" i="2"/>
  <c r="AJ239" i="2"/>
  <c r="Q239" i="16"/>
  <c r="AJ44" i="2"/>
  <c r="Q44" i="16"/>
  <c r="AN44" i="2"/>
  <c r="N255" i="16"/>
  <c r="AF256" i="2"/>
  <c r="AJ989" i="2"/>
  <c r="Q989" i="16"/>
  <c r="AJ745" i="2"/>
  <c r="Q745" i="16"/>
  <c r="AJ156" i="2"/>
  <c r="Q156" i="16"/>
  <c r="AN156" i="2"/>
  <c r="H641" i="16"/>
  <c r="N534" i="16"/>
  <c r="B401" i="16"/>
  <c r="Z402" i="2"/>
  <c r="AQ401" i="2"/>
  <c r="AS401" i="2" s="1"/>
  <c r="AU401" i="2" s="1"/>
  <c r="AJ512" i="2"/>
  <c r="Q512" i="16"/>
  <c r="AN512" i="2"/>
  <c r="AJ876" i="2"/>
  <c r="Q876" i="16"/>
  <c r="AJ501" i="2"/>
  <c r="AJ41" i="2"/>
  <c r="Q41" i="16"/>
  <c r="AJ1025" i="2"/>
  <c r="Q1025" i="16"/>
  <c r="B327" i="16"/>
  <c r="AQ327" i="2"/>
  <c r="AS327" i="2" s="1"/>
  <c r="AU327" i="2" s="1"/>
  <c r="B931" i="16"/>
  <c r="AQ931" i="2"/>
  <c r="AS931" i="2" s="1"/>
  <c r="AU931" i="2" s="1"/>
  <c r="AP908" i="2"/>
  <c r="AJ755" i="2"/>
  <c r="AW708" i="2"/>
  <c r="AJ90" i="2"/>
  <c r="Q90" i="16"/>
  <c r="AN90" i="2"/>
  <c r="AJ306" i="2"/>
  <c r="Q306" i="16"/>
  <c r="T81" i="16"/>
  <c r="AJ430" i="2"/>
  <c r="Q430" i="16"/>
  <c r="AN430" i="2"/>
  <c r="AJ291" i="2"/>
  <c r="Q291" i="16"/>
  <c r="AJ94" i="2"/>
  <c r="Q94" i="16"/>
  <c r="AW147" i="2"/>
  <c r="AJ441" i="2"/>
  <c r="Q441" i="16"/>
  <c r="AJ168" i="2"/>
  <c r="Q168" i="16"/>
  <c r="AN168" i="2"/>
  <c r="AI541" i="2"/>
  <c r="P541" i="16"/>
  <c r="AI1011" i="2"/>
  <c r="P1011" i="16"/>
  <c r="AI1066" i="2"/>
  <c r="AW1066" i="2" s="1"/>
  <c r="P1066" i="16"/>
  <c r="AJ173" i="2"/>
  <c r="Q173" i="16"/>
  <c r="AI390" i="2"/>
  <c r="AN390" i="2" s="1"/>
  <c r="P390" i="16"/>
  <c r="AI482" i="2"/>
  <c r="AW482" i="2" s="1"/>
  <c r="P482" i="16"/>
  <c r="AI342" i="2"/>
  <c r="AN342" i="2" s="1"/>
  <c r="P342" i="16"/>
  <c r="AI602" i="2"/>
  <c r="P602" i="16"/>
  <c r="AI906" i="2"/>
  <c r="P906" i="16"/>
  <c r="AI651" i="2"/>
  <c r="P651" i="16"/>
  <c r="AJ11" i="2"/>
  <c r="Q11" i="16"/>
  <c r="AN11" i="2"/>
  <c r="AI799" i="2"/>
  <c r="P799" i="16"/>
  <c r="AI1151" i="2"/>
  <c r="AW1151" i="2" s="1"/>
  <c r="P1151" i="16"/>
  <c r="AI1102" i="2"/>
  <c r="P1102" i="16"/>
  <c r="AI134" i="2"/>
  <c r="P134" i="16"/>
  <c r="AI1107" i="2"/>
  <c r="P1107" i="16"/>
  <c r="AI930" i="2"/>
  <c r="P930" i="16"/>
  <c r="AI558" i="2"/>
  <c r="AW558" i="2" s="1"/>
  <c r="P558" i="16"/>
  <c r="AI1124" i="2"/>
  <c r="AW1124" i="2" s="1"/>
  <c r="P1124" i="16"/>
  <c r="AI1038" i="2"/>
  <c r="AW1038" i="2" s="1"/>
  <c r="P1038" i="16"/>
  <c r="AI636" i="2"/>
  <c r="AW636" i="2" s="1"/>
  <c r="P636" i="16"/>
  <c r="AI237" i="2"/>
  <c r="P237" i="16"/>
  <c r="AJ717" i="2"/>
  <c r="Q717" i="16"/>
  <c r="AN717" i="2"/>
  <c r="AM480" i="2"/>
  <c r="R564" i="16"/>
  <c r="AT564" i="16" s="1"/>
  <c r="T989" i="16"/>
  <c r="T597" i="16"/>
  <c r="R52" i="16"/>
  <c r="AT52" i="16" s="1"/>
  <c r="N613" i="16"/>
  <c r="R549" i="16"/>
  <c r="AT549" i="16" s="1"/>
  <c r="R244" i="16"/>
  <c r="AT244" i="16" s="1"/>
  <c r="R839" i="16"/>
  <c r="AT840" i="16" s="1"/>
  <c r="R777" i="16"/>
  <c r="AT777" i="16" s="1"/>
  <c r="R631" i="16"/>
  <c r="AT631" i="16" s="1"/>
  <c r="AJ145" i="2"/>
  <c r="Q145" i="16"/>
  <c r="AJ411" i="2"/>
  <c r="Q411" i="16"/>
  <c r="AN411" i="2"/>
  <c r="H327" i="16"/>
  <c r="AJ262" i="2"/>
  <c r="Q262" i="16"/>
  <c r="AN599" i="2"/>
  <c r="AW194" i="2"/>
  <c r="AJ793" i="2"/>
  <c r="Q793" i="16"/>
  <c r="AN793" i="2"/>
  <c r="AJ352" i="2"/>
  <c r="Q352" i="16"/>
  <c r="N133" i="16"/>
  <c r="H255" i="16"/>
  <c r="U256" i="2"/>
  <c r="AJ445" i="2"/>
  <c r="Q445" i="16"/>
  <c r="AJ112" i="2"/>
  <c r="Q112" i="16"/>
  <c r="N862" i="16"/>
  <c r="AJ1030" i="2"/>
  <c r="Q1030" i="16"/>
  <c r="AW193" i="2"/>
  <c r="AJ856" i="2"/>
  <c r="Q856" i="16"/>
  <c r="AW236" i="2"/>
  <c r="N224" i="16"/>
  <c r="U674" i="2"/>
  <c r="H673" i="16"/>
  <c r="AW315" i="2"/>
  <c r="AJ1047" i="2"/>
  <c r="AW235" i="2"/>
  <c r="AJ316" i="2"/>
  <c r="Q316" i="16"/>
  <c r="AN316" i="2"/>
  <c r="AJ1147" i="2"/>
  <c r="Q1147" i="16"/>
  <c r="AN1147" i="2"/>
  <c r="AW745" i="2"/>
  <c r="AJ189" i="2"/>
  <c r="Q189" i="16"/>
  <c r="AJ670" i="2"/>
  <c r="Q670" i="16"/>
  <c r="AJ1035" i="2"/>
  <c r="T722" i="16"/>
  <c r="AJ1198" i="2"/>
  <c r="T396" i="16"/>
  <c r="T1204" i="16"/>
  <c r="AM843" i="2"/>
  <c r="AM863" i="2"/>
  <c r="AM712" i="2"/>
  <c r="AJ1168" i="2"/>
  <c r="Q1168" i="16"/>
  <c r="AN1168" i="2"/>
  <c r="AI365" i="2"/>
  <c r="AN365" i="2" s="1"/>
  <c r="P365" i="16"/>
  <c r="AI530" i="2"/>
  <c r="AW530" i="2" s="1"/>
  <c r="P530" i="16"/>
  <c r="AI553" i="2"/>
  <c r="AN553" i="2" s="1"/>
  <c r="P553" i="16"/>
  <c r="AI965" i="2"/>
  <c r="P965" i="16"/>
  <c r="T418" i="16"/>
  <c r="AW150" i="2"/>
  <c r="N820" i="16"/>
  <c r="AW1070" i="2"/>
  <c r="R1070" i="16"/>
  <c r="R947" i="16"/>
  <c r="AT951" i="16" s="1"/>
  <c r="R553" i="16"/>
  <c r="AT553" i="16" s="1"/>
  <c r="R459" i="16"/>
  <c r="AT459" i="16" s="1"/>
  <c r="R317" i="16"/>
  <c r="AT317" i="16" s="1"/>
  <c r="R330" i="16"/>
  <c r="AT330" i="16" s="1"/>
  <c r="N982" i="16"/>
  <c r="R48" i="16"/>
  <c r="AT48" i="16" s="1"/>
  <c r="R769" i="16"/>
  <c r="AT769" i="16" s="1"/>
  <c r="B862" i="16"/>
  <c r="AQ862" i="2"/>
  <c r="AS862" i="2" s="1"/>
  <c r="AU862" i="2" s="1"/>
  <c r="AJ504" i="2"/>
  <c r="Q504" i="16"/>
  <c r="AN504" i="2"/>
  <c r="AJ994" i="2"/>
  <c r="Q994" i="16"/>
  <c r="AJ976" i="2"/>
  <c r="Q976" i="16"/>
  <c r="AJ683" i="2"/>
  <c r="Q683" i="16"/>
  <c r="AJ206" i="2"/>
  <c r="Q206" i="16"/>
  <c r="AJ1113" i="2"/>
  <c r="Q1113" i="16"/>
  <c r="AW384" i="2"/>
  <c r="AJ25" i="2"/>
  <c r="Q25" i="16"/>
  <c r="AN25" i="2"/>
  <c r="AJ539" i="2"/>
  <c r="Q539" i="16"/>
  <c r="AJ111" i="2"/>
  <c r="Q111" i="16"/>
  <c r="AJ696" i="2"/>
  <c r="Q696" i="16"/>
  <c r="AJ1091" i="2"/>
  <c r="Q1091" i="16"/>
  <c r="AJ197" i="2"/>
  <c r="Q197" i="16"/>
  <c r="AN197" i="2"/>
  <c r="AP674" i="2"/>
  <c r="AS674" i="2" s="1"/>
  <c r="AU674" i="2" s="1"/>
  <c r="AJ837" i="2"/>
  <c r="Q837" i="16"/>
  <c r="AJ781" i="2"/>
  <c r="Q781" i="16"/>
  <c r="AJ273" i="2"/>
  <c r="Q273" i="16"/>
  <c r="AN273" i="2"/>
  <c r="AJ309" i="2"/>
  <c r="Q309" i="16"/>
  <c r="AW144" i="2"/>
  <c r="N641" i="16"/>
  <c r="AW10" i="2"/>
  <c r="T647" i="16"/>
  <c r="AJ62" i="2"/>
  <c r="Q62" i="16"/>
  <c r="AN62" i="2"/>
  <c r="AW97" i="2"/>
  <c r="AJ260" i="2"/>
  <c r="Q260" i="16"/>
  <c r="AN260" i="2"/>
  <c r="AJ751" i="2"/>
  <c r="Q751" i="16"/>
  <c r="AW212" i="2"/>
  <c r="AW186" i="2"/>
  <c r="T389" i="16"/>
  <c r="AJ841" i="2"/>
  <c r="Q841" i="16"/>
  <c r="AJ149" i="2"/>
  <c r="Q149" i="16"/>
  <c r="AN149" i="2"/>
  <c r="AJ1088" i="2"/>
  <c r="AW75" i="2"/>
  <c r="O314" i="16"/>
  <c r="AN314" i="2"/>
  <c r="AH314" i="2"/>
  <c r="AI314" i="2" s="1"/>
  <c r="AK314" i="2"/>
  <c r="AL314" i="2"/>
  <c r="T134" i="2"/>
  <c r="A133" i="16"/>
  <c r="AJ997" i="2"/>
  <c r="Q997" i="16"/>
  <c r="AN997" i="2"/>
  <c r="AJ1183" i="2"/>
  <c r="Q1183" i="16"/>
  <c r="AJ286" i="2"/>
  <c r="Q286" i="16"/>
  <c r="H122" i="16"/>
  <c r="U123" i="2"/>
  <c r="H123" i="16" s="1"/>
  <c r="AW141" i="2"/>
  <c r="AJ96" i="2"/>
  <c r="Q96" i="16"/>
  <c r="AJ1028" i="2"/>
  <c r="Q1028" i="16"/>
  <c r="AJ987" i="2"/>
  <c r="Q987" i="16"/>
  <c r="AW423" i="2"/>
  <c r="O652" i="16"/>
  <c r="AG653" i="2"/>
  <c r="AJ561" i="2"/>
  <c r="Q561" i="16"/>
  <c r="AJ654" i="2"/>
  <c r="Q654" i="16"/>
  <c r="AN654" i="2"/>
  <c r="AI1176" i="2"/>
  <c r="AN1176" i="2" s="1"/>
  <c r="P1176" i="16"/>
  <c r="AI555" i="2"/>
  <c r="P555" i="16"/>
  <c r="AI549" i="2"/>
  <c r="P549" i="16"/>
  <c r="AJ110" i="2"/>
  <c r="Q110" i="16"/>
  <c r="AJ1140" i="2"/>
  <c r="Q1140" i="16"/>
  <c r="AI161" i="2"/>
  <c r="AW161" i="2" s="1"/>
  <c r="P161" i="16"/>
  <c r="AI981" i="2"/>
  <c r="P981" i="16"/>
  <c r="AI510" i="2"/>
  <c r="AW510" i="2" s="1"/>
  <c r="P510" i="16"/>
  <c r="AI368" i="2"/>
  <c r="AW368" i="2" s="1"/>
  <c r="P368" i="16"/>
  <c r="AM973" i="2"/>
  <c r="AJ403" i="2"/>
  <c r="Q403" i="16"/>
  <c r="AI689" i="2"/>
  <c r="AW689" i="2" s="1"/>
  <c r="P689" i="16"/>
  <c r="AI450" i="2"/>
  <c r="P450" i="16"/>
  <c r="AI640" i="2"/>
  <c r="AN640" i="2" s="1"/>
  <c r="P640" i="16"/>
  <c r="AJ8" i="2"/>
  <c r="Q8" i="16"/>
  <c r="AI839" i="2"/>
  <c r="AW839" i="2" s="1"/>
  <c r="P839" i="16"/>
  <c r="AI819" i="2"/>
  <c r="AN819" i="2" s="1"/>
  <c r="P819" i="16"/>
  <c r="AI942" i="2"/>
  <c r="P942" i="16"/>
  <c r="AI267" i="2"/>
  <c r="P267" i="16"/>
  <c r="AJ374" i="2"/>
  <c r="Q374" i="16"/>
  <c r="AN374" i="2"/>
  <c r="AJ917" i="2"/>
  <c r="Q917" i="16"/>
  <c r="AN917" i="2"/>
  <c r="AJ587" i="2"/>
  <c r="Q587" i="16"/>
  <c r="AJ1163" i="2"/>
  <c r="Q1163" i="16"/>
  <c r="AI1024" i="2"/>
  <c r="P1024" i="16"/>
  <c r="AI702" i="2"/>
  <c r="P702" i="16"/>
  <c r="AI777" i="2"/>
  <c r="AW777" i="2" s="1"/>
  <c r="P777" i="16"/>
  <c r="AI330" i="2"/>
  <c r="AW330" i="2" s="1"/>
  <c r="P330" i="16"/>
  <c r="AI406" i="2"/>
  <c r="AW406" i="2" s="1"/>
  <c r="P406" i="16"/>
  <c r="AI1068" i="2"/>
  <c r="AW1068" i="2" s="1"/>
  <c r="P1068" i="16"/>
  <c r="R368" i="16"/>
  <c r="AT368" i="16" s="1"/>
  <c r="AJ961" i="2"/>
  <c r="Q961" i="16"/>
  <c r="AJ1130" i="2"/>
  <c r="Q1130" i="16"/>
  <c r="AW785" i="2"/>
  <c r="R313" i="16"/>
  <c r="AT313" i="16" s="1"/>
  <c r="AW1044" i="2"/>
  <c r="R1044" i="16"/>
  <c r="R1011" i="16"/>
  <c r="R1191" i="16"/>
  <c r="R433" i="16"/>
  <c r="AT433" i="16" s="1"/>
  <c r="R350" i="16"/>
  <c r="AT350" i="16" s="1"/>
  <c r="AW122" i="2"/>
  <c r="R122" i="16"/>
  <c r="AT122" i="16" s="1"/>
  <c r="B665" i="16"/>
  <c r="AQ665" i="2"/>
  <c r="AS665" i="2" s="1"/>
  <c r="AU665" i="2" s="1"/>
  <c r="A652" i="16"/>
  <c r="T653" i="2"/>
  <c r="AJ55" i="2"/>
  <c r="Q55" i="16"/>
  <c r="AJ202" i="2"/>
  <c r="Q202" i="16"/>
  <c r="AN202" i="2"/>
  <c r="AW775" i="2"/>
  <c r="H499" i="16"/>
  <c r="U500" i="2"/>
  <c r="B407" i="16"/>
  <c r="AQ407" i="2"/>
  <c r="AS407" i="2" s="1"/>
  <c r="AU407" i="2" s="1"/>
  <c r="B542" i="16"/>
  <c r="Z543" i="2"/>
  <c r="Z544" i="2" s="1"/>
  <c r="AQ542" i="2"/>
  <c r="AS542" i="2" s="1"/>
  <c r="AU542" i="2" s="1"/>
  <c r="AP820" i="2"/>
  <c r="T320" i="16"/>
  <c r="AJ840" i="2"/>
  <c r="Q840" i="16"/>
  <c r="AN840" i="2"/>
  <c r="AJ113" i="2"/>
  <c r="Q113" i="16"/>
  <c r="T121" i="16"/>
  <c r="AJ101" i="2"/>
  <c r="Q101" i="16"/>
  <c r="U863" i="2"/>
  <c r="H863" i="16" s="1"/>
  <c r="H862" i="16"/>
  <c r="T103" i="16"/>
  <c r="AJ287" i="2"/>
  <c r="Q287" i="16"/>
  <c r="AJ476" i="2"/>
  <c r="Q476" i="16"/>
  <c r="AJ1050" i="2"/>
  <c r="Q1050" i="16"/>
  <c r="Q356" i="16"/>
  <c r="AW171" i="2"/>
  <c r="AJ135" i="2"/>
  <c r="Q135" i="16"/>
  <c r="AJ158" i="2"/>
  <c r="Q158" i="16"/>
  <c r="AJ68" i="2"/>
  <c r="Q68" i="16"/>
  <c r="O542" i="16"/>
  <c r="AG543" i="2"/>
  <c r="AG544" i="2" s="1"/>
  <c r="AH542" i="2"/>
  <c r="AL542" i="2"/>
  <c r="AN542" i="2"/>
  <c r="AK542" i="2"/>
  <c r="B673" i="16"/>
  <c r="AQ673" i="2"/>
  <c r="AS673" i="2" s="1"/>
  <c r="AU673" i="2" s="1"/>
  <c r="AJ857" i="2"/>
  <c r="Q857" i="16"/>
  <c r="AN792" i="2"/>
  <c r="AJ210" i="2"/>
  <c r="Q210" i="16"/>
  <c r="O223" i="16"/>
  <c r="AG224" i="2"/>
  <c r="AK223" i="2"/>
  <c r="AL223" i="2"/>
  <c r="AH223" i="2"/>
  <c r="H331" i="16"/>
  <c r="U332" i="2"/>
  <c r="H332" i="16" s="1"/>
  <c r="N580" i="16"/>
  <c r="AF581" i="2"/>
  <c r="AF582" i="2" s="1"/>
  <c r="AJ463" i="2"/>
  <c r="Q463" i="16"/>
  <c r="Q432" i="16"/>
  <c r="AJ432" i="2"/>
  <c r="AW988" i="2"/>
  <c r="T957" i="16"/>
  <c r="AW130" i="2"/>
  <c r="AJ181" i="2"/>
  <c r="Q181" i="16"/>
  <c r="AJ12" i="2"/>
  <c r="Q12" i="16"/>
  <c r="AM766" i="2"/>
  <c r="AN892" i="2"/>
  <c r="AM959" i="2"/>
  <c r="AM947" i="2"/>
  <c r="AM615" i="2"/>
  <c r="AM814" i="2"/>
  <c r="AM433" i="2"/>
  <c r="AI459" i="2"/>
  <c r="AW459" i="2" s="1"/>
  <c r="P459" i="16"/>
  <c r="AJ1121" i="2"/>
  <c r="Q1121" i="16"/>
  <c r="R322" i="16"/>
  <c r="AT322" i="16" s="1"/>
  <c r="T356" i="16"/>
  <c r="T1001" i="16"/>
  <c r="T837" i="16"/>
  <c r="N1149" i="16"/>
  <c r="R281" i="16"/>
  <c r="AT281" i="16" s="1"/>
  <c r="R594" i="16"/>
  <c r="AT594" i="16" s="1"/>
  <c r="R437" i="16"/>
  <c r="AT437" i="16" s="1"/>
  <c r="AW1131" i="2"/>
  <c r="R1131" i="16"/>
  <c r="R602" i="16"/>
  <c r="AT602" i="16" s="1"/>
  <c r="AW956" i="2"/>
  <c r="R956" i="16"/>
  <c r="AW986" i="2"/>
  <c r="R986" i="16"/>
  <c r="AW761" i="2"/>
  <c r="R761" i="16"/>
  <c r="AT761" i="16" s="1"/>
  <c r="R689" i="16"/>
  <c r="AT689" i="16" s="1"/>
  <c r="R1038" i="16"/>
  <c r="N815" i="16"/>
  <c r="R766" i="16"/>
  <c r="AT766" i="16" s="1"/>
  <c r="R510" i="16"/>
  <c r="AT510" i="16" s="1"/>
  <c r="N480" i="16"/>
  <c r="B331" i="16"/>
  <c r="Z332" i="2"/>
  <c r="AQ331" i="2"/>
  <c r="AS331" i="2" s="1"/>
  <c r="AU331" i="2" s="1"/>
  <c r="AP581" i="2"/>
  <c r="AJ280" i="2"/>
  <c r="Q280" i="16"/>
  <c r="AJ429" i="2"/>
  <c r="Q429" i="16"/>
  <c r="AJ198" i="2"/>
  <c r="Q198" i="16"/>
  <c r="AJ632" i="2"/>
  <c r="Q632" i="16"/>
  <c r="O23" i="16"/>
  <c r="AN23" i="2"/>
  <c r="AK23" i="2"/>
  <c r="AL23" i="2"/>
  <c r="AH23" i="2"/>
  <c r="AJ234" i="2"/>
  <c r="Q234" i="16"/>
  <c r="AN234" i="2"/>
  <c r="AN807" i="2"/>
  <c r="AJ169" i="2"/>
  <c r="Q169" i="16"/>
  <c r="AJ511" i="2"/>
  <c r="Q511" i="16"/>
  <c r="AJ157" i="2"/>
  <c r="Q157" i="16"/>
  <c r="O862" i="16"/>
  <c r="AK862" i="2"/>
  <c r="AL862" i="2"/>
  <c r="AH862" i="2"/>
  <c r="P862" i="16" s="1"/>
  <c r="O818" i="16"/>
  <c r="AH818" i="2"/>
  <c r="P818" i="16" s="1"/>
  <c r="O619" i="16"/>
  <c r="AH619" i="2"/>
  <c r="P619" i="16" s="1"/>
  <c r="AK619" i="2"/>
  <c r="AL619" i="2"/>
  <c r="AJ1211" i="2"/>
  <c r="Q1211" i="16"/>
  <c r="AN1211" i="2"/>
  <c r="AJ222" i="2"/>
  <c r="Q222" i="16"/>
  <c r="AN222" i="2"/>
  <c r="AJ386" i="2"/>
  <c r="Q386" i="16"/>
  <c r="AJ93" i="2"/>
  <c r="Q93" i="16"/>
  <c r="AW125" i="2"/>
  <c r="AW299" i="2"/>
  <c r="AJ153" i="2"/>
  <c r="Q153" i="16"/>
  <c r="AJ800" i="2"/>
  <c r="Q800" i="16"/>
  <c r="AN800" i="2"/>
  <c r="AJ859" i="2"/>
  <c r="Q859" i="16"/>
  <c r="AJ246" i="2"/>
  <c r="Q246" i="16"/>
  <c r="B224" i="16"/>
  <c r="AQ224" i="2"/>
  <c r="AS224" i="2" s="1"/>
  <c r="AU224" i="2" s="1"/>
  <c r="T1099" i="2"/>
  <c r="A1098" i="16"/>
  <c r="AJ39" i="2"/>
  <c r="Q39" i="16"/>
  <c r="AN39" i="2"/>
  <c r="T1062" i="16"/>
  <c r="AN849" i="2"/>
  <c r="AW80" i="2"/>
  <c r="AJ617" i="2"/>
  <c r="Q617" i="16"/>
  <c r="AJ668" i="2"/>
  <c r="Q668" i="16"/>
  <c r="AJ415" i="2"/>
  <c r="Q415" i="16"/>
  <c r="AN415" i="2"/>
  <c r="AW529" i="2"/>
  <c r="AW204" i="2"/>
  <c r="AJ817" i="2"/>
  <c r="AJ1144" i="2"/>
  <c r="Q1144" i="16"/>
  <c r="AW114" i="2"/>
  <c r="AJ915" i="2"/>
  <c r="Q915" i="16"/>
  <c r="AJ51" i="2"/>
  <c r="Q51" i="16"/>
  <c r="AJ85" i="2"/>
  <c r="Q85" i="16"/>
  <c r="AJ166" i="2"/>
  <c r="Q166" i="16"/>
  <c r="AN166" i="2"/>
  <c r="AW69" i="2"/>
  <c r="AW135" i="2"/>
  <c r="R906" i="16"/>
  <c r="AT910" i="16" s="1"/>
  <c r="R636" i="16"/>
  <c r="AT636" i="16" s="1"/>
  <c r="AW959" i="2"/>
  <c r="R959" i="16"/>
  <c r="N500" i="16"/>
  <c r="R570" i="16"/>
  <c r="AT570" i="16" s="1"/>
  <c r="R579" i="16"/>
  <c r="AT579" i="16" s="1"/>
  <c r="R398" i="16"/>
  <c r="AT398" i="16" s="1"/>
  <c r="R1156" i="16"/>
  <c r="R541" i="16"/>
  <c r="AT541" i="16" s="1"/>
  <c r="R871" i="16"/>
  <c r="AT875" i="16" s="1"/>
  <c r="R822" i="16"/>
  <c r="AT823" i="16" s="1"/>
  <c r="R573" i="16"/>
  <c r="AT573" i="16" s="1"/>
  <c r="N402" i="16"/>
  <c r="AJ753" i="2"/>
  <c r="Q753" i="16"/>
  <c r="AJ28" i="2"/>
  <c r="Q28" i="16"/>
  <c r="AN741" i="2"/>
  <c r="AJ889" i="2"/>
  <c r="Q889" i="16"/>
  <c r="AJ493" i="2"/>
  <c r="Q493" i="16"/>
  <c r="AW493" i="2"/>
  <c r="O123" i="16"/>
  <c r="AK123" i="2"/>
  <c r="AL123" i="2"/>
  <c r="AH123" i="2"/>
  <c r="B818" i="16"/>
  <c r="AQ818" i="2"/>
  <c r="AS818" i="2" s="1"/>
  <c r="AU818" i="2" s="1"/>
  <c r="B518" i="16"/>
  <c r="AQ518" i="2"/>
  <c r="AS518" i="2" s="1"/>
  <c r="AU518" i="2" s="1"/>
  <c r="B314" i="16"/>
  <c r="AQ314" i="2"/>
  <c r="AS314" i="2" s="1"/>
  <c r="AU314" i="2" s="1"/>
  <c r="AJ1171" i="2"/>
  <c r="Q1171" i="16"/>
  <c r="AN1171" i="2"/>
  <c r="T671" i="16"/>
  <c r="AJ154" i="2"/>
  <c r="Q154" i="16"/>
  <c r="AN154" i="2"/>
  <c r="O79" i="16"/>
  <c r="AK79" i="2"/>
  <c r="AH79" i="2"/>
  <c r="AL79" i="2"/>
  <c r="AN79" i="2"/>
  <c r="B725" i="16"/>
  <c r="AQ725" i="2"/>
  <c r="AS725" i="2" s="1"/>
  <c r="AU725" i="2" s="1"/>
  <c r="T1065" i="16"/>
  <c r="AJ1063" i="2"/>
  <c r="Q1063" i="16"/>
  <c r="T92" i="16"/>
  <c r="T340" i="16"/>
  <c r="AJ894" i="2"/>
  <c r="Q894" i="16"/>
  <c r="AJ880" i="2"/>
  <c r="Q880" i="16"/>
  <c r="AJ245" i="2"/>
  <c r="Q245" i="16"/>
  <c r="AJ825" i="2"/>
  <c r="Q825" i="16"/>
  <c r="T985" i="16"/>
  <c r="AJ53" i="2"/>
  <c r="Q53" i="16"/>
  <c r="U581" i="2"/>
  <c r="H580" i="16"/>
  <c r="Q1071" i="16"/>
  <c r="AJ1071" i="2"/>
  <c r="AJ26" i="2"/>
  <c r="Q26" i="16"/>
  <c r="AN26" i="2"/>
  <c r="AW68" i="2"/>
  <c r="AJ557" i="2"/>
  <c r="AJ489" i="2"/>
  <c r="Q489" i="16"/>
  <c r="O407" i="16"/>
  <c r="AH407" i="2"/>
  <c r="AK407" i="2"/>
  <c r="AL407" i="2"/>
  <c r="AW649" i="2"/>
  <c r="AJ20" i="2"/>
  <c r="Q20" i="16"/>
  <c r="N327" i="16"/>
  <c r="AW951" i="2"/>
  <c r="AW1182" i="2"/>
  <c r="AW58" i="2"/>
  <c r="AW128" i="2"/>
  <c r="T449" i="16"/>
  <c r="AW854" i="2"/>
  <c r="AJ966" i="2"/>
  <c r="Q966" i="16"/>
  <c r="AN966" i="2"/>
  <c r="AI1093" i="2"/>
  <c r="AW1093" i="2" s="1"/>
  <c r="P1093" i="16"/>
  <c r="AI350" i="2"/>
  <c r="AW350" i="2" s="1"/>
  <c r="P350" i="16"/>
  <c r="AI398" i="2"/>
  <c r="AW398" i="2" s="1"/>
  <c r="P398" i="16"/>
  <c r="AI233" i="2"/>
  <c r="P233" i="16"/>
  <c r="AJ329" i="2"/>
  <c r="Q329" i="16"/>
  <c r="AM254" i="2"/>
  <c r="AI855" i="2"/>
  <c r="P855" i="16"/>
  <c r="AI672" i="2"/>
  <c r="AW672" i="2" s="1"/>
  <c r="P672" i="16"/>
  <c r="AI301" i="2"/>
  <c r="P301" i="16"/>
  <c r="B907" i="16"/>
  <c r="R1096" i="16"/>
  <c r="T681" i="16"/>
  <c r="T823" i="16"/>
  <c r="T663" i="16"/>
  <c r="T884" i="16"/>
  <c r="T1170" i="16"/>
  <c r="T489" i="16"/>
  <c r="T260" i="16"/>
  <c r="N323" i="16"/>
  <c r="AW1102" i="2"/>
  <c r="R1102" i="16"/>
  <c r="R875" i="16"/>
  <c r="AT879" i="16" s="1"/>
  <c r="R887" i="16"/>
  <c r="AT891" i="16" s="1"/>
  <c r="N565" i="16"/>
  <c r="R474" i="16"/>
  <c r="AT474" i="16" s="1"/>
  <c r="AW533" i="2"/>
  <c r="R533" i="16"/>
  <c r="AT533" i="16" s="1"/>
  <c r="AW1176" i="2"/>
  <c r="R1176" i="16"/>
  <c r="R1066" i="16"/>
  <c r="R1093" i="16"/>
  <c r="N703" i="16"/>
  <c r="R530" i="16"/>
  <c r="AT530" i="16" s="1"/>
  <c r="R1151" i="16"/>
  <c r="AJ1055" i="2"/>
  <c r="Q1055" i="16"/>
  <c r="AJ252" i="2"/>
  <c r="Q252" i="16"/>
  <c r="AJ47" i="2"/>
  <c r="Q47" i="16"/>
  <c r="AN47" i="2"/>
  <c r="AJ95" i="2"/>
  <c r="Q95" i="16"/>
  <c r="AJ881" i="2"/>
  <c r="Q881" i="16"/>
  <c r="AN881" i="2"/>
  <c r="AJ238" i="2"/>
  <c r="Q238" i="16"/>
  <c r="B23" i="16"/>
  <c r="AQ23" i="2"/>
  <c r="AS23" i="2" s="1"/>
  <c r="AU23" i="2" s="1"/>
  <c r="AJ195" i="2"/>
  <c r="Q195" i="16"/>
  <c r="AN195" i="2"/>
  <c r="AJ32" i="2"/>
  <c r="Q32" i="16"/>
  <c r="AJ240" i="2"/>
  <c r="Q240" i="16"/>
  <c r="AN240" i="2"/>
  <c r="B132" i="16"/>
  <c r="Z133" i="2"/>
  <c r="AQ132" i="2"/>
  <c r="AS132" i="2" s="1"/>
  <c r="AU132" i="2" s="1"/>
  <c r="H407" i="16"/>
  <c r="AJ191" i="2"/>
  <c r="Q191" i="16"/>
  <c r="AP845" i="2"/>
  <c r="AW53" i="2"/>
  <c r="AJ1199" i="2"/>
  <c r="Q1199" i="16"/>
  <c r="AJ16" i="2"/>
  <c r="Q16" i="16"/>
  <c r="AN718" i="2"/>
  <c r="AJ1109" i="2"/>
  <c r="Q1109" i="16"/>
  <c r="AN1109" i="2"/>
  <c r="AJ213" i="2"/>
  <c r="Q213" i="16"/>
  <c r="AJ87" i="2"/>
  <c r="Q87" i="16"/>
  <c r="AJ537" i="2"/>
  <c r="Q537" i="16"/>
  <c r="AN537" i="2"/>
  <c r="H724" i="16"/>
  <c r="U725" i="2"/>
  <c r="H725" i="16" s="1"/>
  <c r="B641" i="16"/>
  <c r="AQ641" i="2"/>
  <c r="AS641" i="2" s="1"/>
  <c r="AU641" i="2" s="1"/>
  <c r="T1073" i="16"/>
  <c r="T165" i="16"/>
  <c r="AW8" i="2"/>
  <c r="AW74" i="2"/>
  <c r="AW287" i="2"/>
  <c r="AJ99" i="2"/>
  <c r="Q99" i="16"/>
  <c r="AN99" i="2"/>
  <c r="O518" i="16"/>
  <c r="AK518" i="2"/>
  <c r="AL518" i="2"/>
  <c r="AH518" i="2"/>
  <c r="P518" i="16" s="1"/>
  <c r="AW585" i="2"/>
  <c r="AW173" i="2"/>
  <c r="AJ951" i="2"/>
  <c r="AJ586" i="2"/>
  <c r="Q586" i="16"/>
  <c r="AJ250" i="2"/>
  <c r="Q250" i="16"/>
  <c r="AJ453" i="2"/>
  <c r="Q453" i="16"/>
  <c r="AJ458" i="2"/>
  <c r="Q458" i="16"/>
  <c r="AJ178" i="2"/>
  <c r="Q178" i="16"/>
  <c r="AN178" i="2"/>
  <c r="B580" i="16"/>
  <c r="Z581" i="2"/>
  <c r="Z582" i="2" s="1"/>
  <c r="AQ580" i="2"/>
  <c r="AS580" i="2" s="1"/>
  <c r="AU580" i="2" s="1"/>
  <c r="AJ461" i="2"/>
  <c r="Q461" i="16"/>
  <c r="AN461" i="2"/>
  <c r="AJ151" i="2"/>
  <c r="Q151" i="16"/>
  <c r="AJ120" i="2"/>
  <c r="Q120" i="16"/>
  <c r="AN120" i="2"/>
  <c r="AW108" i="2"/>
  <c r="AM541" i="2"/>
  <c r="AN350" i="2"/>
  <c r="AM122" i="2"/>
  <c r="AM513" i="2"/>
  <c r="AQ820" i="2"/>
  <c r="AQ369" i="2"/>
  <c r="AS369" i="2" s="1"/>
  <c r="AU369" i="2" s="1"/>
  <c r="AQ323" i="2"/>
  <c r="AS323" i="2" s="1"/>
  <c r="AU323" i="2" s="1"/>
  <c r="AF1078" i="2"/>
  <c r="AQ637" i="2"/>
  <c r="AS637" i="2" s="1"/>
  <c r="AU637" i="2" s="1"/>
  <c r="AQ652" i="2"/>
  <c r="AS652" i="2" s="1"/>
  <c r="AU652" i="2" s="1"/>
  <c r="AN791" i="2"/>
  <c r="AQ616" i="2"/>
  <c r="AS616" i="2" s="1"/>
  <c r="AU616" i="2" s="1"/>
  <c r="AQ943" i="2"/>
  <c r="AS943" i="2" s="1"/>
  <c r="AU943" i="2" s="1"/>
  <c r="AQ302" i="2"/>
  <c r="AS302" i="2" s="1"/>
  <c r="AU302" i="2" s="1"/>
  <c r="AF908" i="2"/>
  <c r="AM526" i="2"/>
  <c r="AQ815" i="2"/>
  <c r="AS815" i="2" s="1"/>
  <c r="AU815" i="2" s="1"/>
  <c r="AQ982" i="2"/>
  <c r="AS982" i="2" s="1"/>
  <c r="AU982" i="2" s="1"/>
  <c r="AF845" i="2"/>
  <c r="AQ500" i="2"/>
  <c r="AS500" i="2" s="1"/>
  <c r="AU500" i="2" s="1"/>
  <c r="AQ613" i="2"/>
  <c r="AS613" i="2" s="1"/>
  <c r="AU613" i="2" s="1"/>
  <c r="AQ703" i="2"/>
  <c r="AS703" i="2" s="1"/>
  <c r="AU703" i="2" s="1"/>
  <c r="AF1098" i="2"/>
  <c r="N1098" i="16" s="1"/>
  <c r="AQ1194" i="2"/>
  <c r="AS1194" i="2" s="1"/>
  <c r="AU1194" i="2" s="1"/>
  <c r="AQ268" i="2"/>
  <c r="AS268" i="2" s="1"/>
  <c r="AU268" i="2" s="1"/>
  <c r="AQ1149" i="2"/>
  <c r="AS1149" i="2" s="1"/>
  <c r="AU1149" i="2" s="1"/>
  <c r="AQ565" i="2"/>
  <c r="AS565" i="2" s="1"/>
  <c r="AU565" i="2" s="1"/>
  <c r="AM398" i="2"/>
  <c r="AN119" i="2"/>
  <c r="AM437" i="2"/>
  <c r="AM1070" i="2"/>
  <c r="AW1175" i="2"/>
  <c r="AW1013" i="2"/>
  <c r="AW374" i="2"/>
  <c r="AW1185" i="2"/>
  <c r="AW717" i="2"/>
  <c r="AW540" i="2"/>
  <c r="AW654" i="2"/>
  <c r="AW768" i="2"/>
  <c r="AW645" i="2"/>
  <c r="AW933" i="2"/>
  <c r="AW969" i="2"/>
  <c r="AW1200" i="2"/>
  <c r="AW932" i="2"/>
  <c r="AW382" i="2"/>
  <c r="AW961" i="2"/>
  <c r="AW1135" i="2"/>
  <c r="AW1196" i="2"/>
  <c r="AW917" i="2"/>
  <c r="AW966" i="2"/>
  <c r="AW329" i="2"/>
  <c r="AW587" i="2"/>
  <c r="AW1146" i="2"/>
  <c r="AW1129" i="2"/>
  <c r="AW1087" i="2"/>
  <c r="AW1130" i="2"/>
  <c r="AW1121" i="2"/>
  <c r="AW561" i="2"/>
  <c r="AW1158" i="2"/>
  <c r="AW1168" i="2"/>
  <c r="AW896" i="2"/>
  <c r="AW1132" i="2"/>
  <c r="AW1089" i="2"/>
  <c r="AW1163" i="2"/>
  <c r="AW403" i="2"/>
  <c r="AW1140" i="2"/>
  <c r="AW435" i="2"/>
  <c r="AM1131" i="2"/>
  <c r="AM549" i="2"/>
  <c r="AM523" i="2"/>
  <c r="Z908" i="2"/>
  <c r="B908" i="16" s="1"/>
  <c r="AQ907" i="2"/>
  <c r="AS907" i="2" s="1"/>
  <c r="AU907" i="2" s="1"/>
  <c r="Z1078" i="2"/>
  <c r="B1078" i="16" s="1"/>
  <c r="AQ1077" i="2"/>
  <c r="AS1077" i="2" s="1"/>
  <c r="AU1077" i="2" s="1"/>
  <c r="AM161" i="2"/>
  <c r="AM689" i="2"/>
  <c r="AM450" i="2"/>
  <c r="Z845" i="2"/>
  <c r="B845" i="16" s="1"/>
  <c r="AQ844" i="2"/>
  <c r="AS844" i="2" s="1"/>
  <c r="AU844" i="2" s="1"/>
  <c r="Z1098" i="2"/>
  <c r="AQ1097" i="2"/>
  <c r="AS1097" i="2" s="1"/>
  <c r="AU1097" i="2" s="1"/>
  <c r="AM920" i="2"/>
  <c r="AN973" i="2"/>
  <c r="AM474" i="2"/>
  <c r="AM769" i="2"/>
  <c r="AM177" i="2"/>
  <c r="AN1096" i="2"/>
  <c r="AM1151" i="2"/>
  <c r="AN1102" i="2"/>
  <c r="AM52" i="2"/>
  <c r="AM916" i="2"/>
  <c r="AN368" i="2"/>
  <c r="AN233" i="2"/>
  <c r="AM930" i="2"/>
  <c r="AM1148" i="2"/>
  <c r="AN863" i="2"/>
  <c r="AN959" i="2"/>
  <c r="AM479" i="2"/>
  <c r="AN558" i="2"/>
  <c r="AN1038" i="2"/>
  <c r="AN615" i="2"/>
  <c r="AM459" i="2"/>
  <c r="AM1176" i="2"/>
  <c r="AN353" i="2"/>
  <c r="AM326" i="2"/>
  <c r="AN735" i="2"/>
  <c r="AN712" i="2"/>
  <c r="AM517" i="2"/>
  <c r="AM555" i="2"/>
  <c r="AN739" i="2"/>
  <c r="AM956" i="2"/>
  <c r="AM244" i="2"/>
  <c r="AN861" i="2"/>
  <c r="AM1191" i="2"/>
  <c r="AM1044" i="2"/>
  <c r="AM454" i="2"/>
  <c r="AM1026" i="2"/>
  <c r="AM799" i="2"/>
  <c r="AH943" i="2"/>
  <c r="AK943" i="2"/>
  <c r="AM943" i="2" s="1"/>
  <c r="AL943" i="2"/>
  <c r="AN943" i="2"/>
  <c r="AH982" i="2"/>
  <c r="AM982" i="2" s="1"/>
  <c r="AM981" i="2"/>
  <c r="AM1104" i="2"/>
  <c r="AM564" i="2"/>
  <c r="AH565" i="2"/>
  <c r="AL565" i="2"/>
  <c r="AN565" i="2"/>
  <c r="AK565" i="2"/>
  <c r="AH268" i="2"/>
  <c r="AK268" i="2"/>
  <c r="AM268" i="2" s="1"/>
  <c r="AL268" i="2"/>
  <c r="AN1093" i="2"/>
  <c r="AN482" i="2"/>
  <c r="AN602" i="2"/>
  <c r="AN750" i="2"/>
  <c r="AN594" i="2"/>
  <c r="AM875" i="2"/>
  <c r="AM761" i="2"/>
  <c r="AM1193" i="2"/>
  <c r="AM237" i="2"/>
  <c r="AH613" i="2"/>
  <c r="AK613" i="2"/>
  <c r="AL613" i="2"/>
  <c r="AN579" i="2"/>
  <c r="AH820" i="2"/>
  <c r="AK820" i="2"/>
  <c r="AM820" i="2" s="1"/>
  <c r="AL820" i="2"/>
  <c r="AH907" i="2"/>
  <c r="AK907" i="2"/>
  <c r="AL907" i="2"/>
  <c r="AH1194" i="2"/>
  <c r="AK1194" i="2"/>
  <c r="AL1194" i="2"/>
  <c r="AH323" i="2"/>
  <c r="AK323" i="2"/>
  <c r="AL323" i="2"/>
  <c r="AN323" i="2" s="1"/>
  <c r="AH1149" i="2"/>
  <c r="AK1149" i="2"/>
  <c r="AL1149" i="2"/>
  <c r="AH652" i="2"/>
  <c r="AK652" i="2"/>
  <c r="AM652" i="2" s="1"/>
  <c r="AL652" i="2"/>
  <c r="AH616" i="2"/>
  <c r="AK616" i="2"/>
  <c r="AL616" i="2"/>
  <c r="AN616" i="2" s="1"/>
  <c r="AH815" i="2"/>
  <c r="AH369" i="2"/>
  <c r="AL369" i="2"/>
  <c r="AN369" i="2" s="1"/>
  <c r="AK369" i="2"/>
  <c r="AH637" i="2"/>
  <c r="AK637" i="2"/>
  <c r="AL637" i="2"/>
  <c r="AN637" i="2"/>
  <c r="AN1041" i="2"/>
  <c r="AM853" i="2"/>
  <c r="AM1024" i="2"/>
  <c r="AM702" i="2"/>
  <c r="AN406" i="2"/>
  <c r="AH1098" i="2"/>
  <c r="AM1098" i="2" s="1"/>
  <c r="AM942" i="2"/>
  <c r="AM625" i="2"/>
  <c r="AH703" i="2"/>
  <c r="AL703" i="2"/>
  <c r="AK703" i="2"/>
  <c r="AH302" i="2"/>
  <c r="AK302" i="2"/>
  <c r="AL302" i="2"/>
  <c r="AN302" i="2" s="1"/>
  <c r="AH1077" i="2"/>
  <c r="AK1077" i="2"/>
  <c r="AL1077" i="2"/>
  <c r="AM1156" i="2"/>
  <c r="AN484" i="2"/>
  <c r="AN219" i="2"/>
  <c r="AM1060" i="2"/>
  <c r="AM477" i="2"/>
  <c r="AM640" i="2"/>
  <c r="AN865" i="2"/>
  <c r="AN855" i="2"/>
  <c r="AM839" i="2"/>
  <c r="AM819" i="2"/>
  <c r="AM267" i="2"/>
  <c r="AM134" i="2"/>
  <c r="AM672" i="2"/>
  <c r="AN1097" i="2"/>
  <c r="AM1124" i="2"/>
  <c r="AM612" i="2"/>
  <c r="AK844" i="2"/>
  <c r="AL844" i="2"/>
  <c r="AN1066" i="2"/>
  <c r="AM486" i="2"/>
  <c r="AM631" i="2"/>
  <c r="AN947" i="2"/>
  <c r="AM636" i="2"/>
  <c r="AM970" i="2"/>
  <c r="AG1078" i="2"/>
  <c r="O1078" i="16" s="1"/>
  <c r="AG845" i="2"/>
  <c r="O845" i="16" s="1"/>
  <c r="AH844" i="2"/>
  <c r="AG1099" i="2"/>
  <c r="AG908" i="2"/>
  <c r="O908" i="16" s="1"/>
  <c r="U1099" i="2"/>
  <c r="H1099" i="16" s="1"/>
  <c r="Y845" i="2"/>
  <c r="Y908" i="2"/>
  <c r="Y1099" i="2"/>
  <c r="AM862" i="2" l="1"/>
  <c r="AM844" i="2"/>
  <c r="AC751" i="16"/>
  <c r="AM751" i="16" s="1"/>
  <c r="AD751" i="16"/>
  <c r="AE751" i="16"/>
  <c r="AO751" i="16" s="1"/>
  <c r="AF751" i="16"/>
  <c r="AP751" i="16" s="1"/>
  <c r="AS753" i="16"/>
  <c r="AE859" i="16"/>
  <c r="AO859" i="16" s="1"/>
  <c r="AD859" i="16"/>
  <c r="AC859" i="16"/>
  <c r="AM859" i="16" s="1"/>
  <c r="AF859" i="16"/>
  <c r="AP859" i="16" s="1"/>
  <c r="AS864" i="16"/>
  <c r="AE386" i="16"/>
  <c r="AO386" i="16" s="1"/>
  <c r="AC386" i="16"/>
  <c r="AM386" i="16" s="1"/>
  <c r="AD386" i="16"/>
  <c r="AN386" i="16" s="1"/>
  <c r="AF386" i="16"/>
  <c r="AP386" i="16" s="1"/>
  <c r="AS386" i="16"/>
  <c r="AN852" i="2"/>
  <c r="AJ852" i="2"/>
  <c r="Q852" i="16"/>
  <c r="AJ785" i="2"/>
  <c r="Q785" i="16"/>
  <c r="AN645" i="2"/>
  <c r="Q645" i="16"/>
  <c r="AJ645" i="2"/>
  <c r="Q1015" i="16"/>
  <c r="AJ1015" i="2"/>
  <c r="AN1015" i="2"/>
  <c r="Q928" i="16"/>
  <c r="AJ928" i="2"/>
  <c r="AN990" i="2"/>
  <c r="AJ990" i="2"/>
  <c r="Q990" i="16"/>
  <c r="AN572" i="2"/>
  <c r="AJ572" i="2"/>
  <c r="Q572" i="16"/>
  <c r="AJ338" i="2"/>
  <c r="Q338" i="16"/>
  <c r="AN320" i="2"/>
  <c r="Q320" i="16"/>
  <c r="AJ320" i="2"/>
  <c r="Q31" i="16"/>
  <c r="AJ31" i="2"/>
  <c r="AW676" i="2"/>
  <c r="T676" i="16" s="1"/>
  <c r="AJ676" i="2"/>
  <c r="Q676" i="16"/>
  <c r="AJ618" i="2"/>
  <c r="Q618" i="16"/>
  <c r="AW618" i="2"/>
  <c r="T618" i="16" s="1"/>
  <c r="Q258" i="16"/>
  <c r="AN258" i="2"/>
  <c r="AJ258" i="2"/>
  <c r="AJ217" i="2"/>
  <c r="AN217" i="2"/>
  <c r="Q217" i="16"/>
  <c r="AJ143" i="2"/>
  <c r="AN143" i="2"/>
  <c r="Q143" i="16"/>
  <c r="AS736" i="16"/>
  <c r="AF734" i="16"/>
  <c r="AP734" i="16" s="1"/>
  <c r="AE734" i="16"/>
  <c r="AO734" i="16" s="1"/>
  <c r="AD734" i="16"/>
  <c r="AN734" i="16" s="1"/>
  <c r="AC734" i="16"/>
  <c r="AM734" i="16" s="1"/>
  <c r="AS1108" i="16"/>
  <c r="AE1101" i="16"/>
  <c r="AO1101" i="16" s="1"/>
  <c r="AF1101" i="16"/>
  <c r="AP1101" i="16" s="1"/>
  <c r="AC1101" i="16"/>
  <c r="AM1101" i="16" s="1"/>
  <c r="AD1101" i="16"/>
  <c r="AN1101" i="16" s="1"/>
  <c r="AS370" i="16"/>
  <c r="AD370" i="16"/>
  <c r="AN370" i="16" s="1"/>
  <c r="AF370" i="16"/>
  <c r="AP370" i="16" s="1"/>
  <c r="AE370" i="16"/>
  <c r="AO370" i="16" s="1"/>
  <c r="AC370" i="16"/>
  <c r="AM370" i="16" s="1"/>
  <c r="AS672" i="16"/>
  <c r="AE670" i="16"/>
  <c r="AO670" i="16" s="1"/>
  <c r="AC670" i="16"/>
  <c r="AM670" i="16" s="1"/>
  <c r="AD670" i="16"/>
  <c r="AF670" i="16"/>
  <c r="AP670" i="16" s="1"/>
  <c r="AS670" i="16"/>
  <c r="AE668" i="16"/>
  <c r="AO668" i="16" s="1"/>
  <c r="AD668" i="16"/>
  <c r="AF668" i="16"/>
  <c r="AP668" i="16" s="1"/>
  <c r="AC668" i="16"/>
  <c r="AM668" i="16" s="1"/>
  <c r="AS853" i="16"/>
  <c r="AD848" i="16"/>
  <c r="AN848" i="16" s="1"/>
  <c r="AC848" i="16"/>
  <c r="AM848" i="16" s="1"/>
  <c r="AE848" i="16"/>
  <c r="AO848" i="16" s="1"/>
  <c r="AF848" i="16"/>
  <c r="AP848" i="16" s="1"/>
  <c r="AS226" i="16"/>
  <c r="AC226" i="16"/>
  <c r="AM226" i="16" s="1"/>
  <c r="AF226" i="16"/>
  <c r="AP226" i="16" s="1"/>
  <c r="AE226" i="16"/>
  <c r="AO226" i="16" s="1"/>
  <c r="AD226" i="16"/>
  <c r="AN226" i="16" s="1"/>
  <c r="AS688" i="16"/>
  <c r="AE686" i="16"/>
  <c r="AO686" i="16" s="1"/>
  <c r="AD686" i="16"/>
  <c r="AN686" i="16" s="1"/>
  <c r="AC686" i="16"/>
  <c r="AM686" i="16" s="1"/>
  <c r="AF686" i="16"/>
  <c r="AP686" i="16" s="1"/>
  <c r="AF975" i="16"/>
  <c r="AP975" i="16" s="1"/>
  <c r="AE975" i="16"/>
  <c r="AO975" i="16" s="1"/>
  <c r="AD975" i="16"/>
  <c r="AN975" i="16" s="1"/>
  <c r="AC975" i="16"/>
  <c r="AM975" i="16" s="1"/>
  <c r="AS982" i="16"/>
  <c r="AE1002" i="16"/>
  <c r="AO1002" i="16" s="1"/>
  <c r="AF1002" i="16"/>
  <c r="AP1002" i="16" s="1"/>
  <c r="AC1002" i="16"/>
  <c r="AM1002" i="16" s="1"/>
  <c r="AD1002" i="16"/>
  <c r="AN1002" i="16" s="1"/>
  <c r="AS1009" i="16"/>
  <c r="AS889" i="16"/>
  <c r="AF883" i="16"/>
  <c r="AP883" i="16" s="1"/>
  <c r="AD883" i="16"/>
  <c r="AN883" i="16" s="1"/>
  <c r="AC883" i="16"/>
  <c r="AM883" i="16" s="1"/>
  <c r="AE883" i="16"/>
  <c r="AO883" i="16" s="1"/>
  <c r="AS1151" i="16"/>
  <c r="AD1144" i="16"/>
  <c r="AN1144" i="16" s="1"/>
  <c r="AC1144" i="16"/>
  <c r="AM1144" i="16" s="1"/>
  <c r="AF1144" i="16"/>
  <c r="AP1144" i="16" s="1"/>
  <c r="AE1144" i="16"/>
  <c r="AO1144" i="16" s="1"/>
  <c r="AS1127" i="16"/>
  <c r="AF1120" i="16"/>
  <c r="AP1120" i="16" s="1"/>
  <c r="AD1120" i="16"/>
  <c r="AN1120" i="16" s="1"/>
  <c r="AC1120" i="16"/>
  <c r="AM1120" i="16" s="1"/>
  <c r="AE1120" i="16"/>
  <c r="AO1120" i="16" s="1"/>
  <c r="AS1091" i="16"/>
  <c r="AF1084" i="16"/>
  <c r="AP1084" i="16" s="1"/>
  <c r="AC1084" i="16"/>
  <c r="AM1084" i="16" s="1"/>
  <c r="AE1084" i="16"/>
  <c r="AO1084" i="16" s="1"/>
  <c r="AD1084" i="16"/>
  <c r="AN1084" i="16" s="1"/>
  <c r="AS861" i="16"/>
  <c r="AC856" i="16"/>
  <c r="AM856" i="16" s="1"/>
  <c r="AD856" i="16"/>
  <c r="AN856" i="16" s="1"/>
  <c r="AF856" i="16"/>
  <c r="AP856" i="16" s="1"/>
  <c r="AE856" i="16"/>
  <c r="AO856" i="16" s="1"/>
  <c r="AS835" i="16"/>
  <c r="AE832" i="16"/>
  <c r="AO832" i="16" s="1"/>
  <c r="AC832" i="16"/>
  <c r="AM832" i="16" s="1"/>
  <c r="AD832" i="16"/>
  <c r="AN832" i="16" s="1"/>
  <c r="AF832" i="16"/>
  <c r="AP832" i="16" s="1"/>
  <c r="AS1174" i="16"/>
  <c r="AC1167" i="16"/>
  <c r="AM1167" i="16" s="1"/>
  <c r="AF1167" i="16"/>
  <c r="AP1167" i="16" s="1"/>
  <c r="AE1167" i="16"/>
  <c r="AO1167" i="16" s="1"/>
  <c r="AD1167" i="16"/>
  <c r="AN1167" i="16" s="1"/>
  <c r="AS1064" i="16"/>
  <c r="AD1057" i="16"/>
  <c r="AN1057" i="16" s="1"/>
  <c r="AE1057" i="16"/>
  <c r="AO1057" i="16" s="1"/>
  <c r="AC1057" i="16"/>
  <c r="AM1057" i="16" s="1"/>
  <c r="AF1057" i="16"/>
  <c r="AP1057" i="16" s="1"/>
  <c r="AS1052" i="16"/>
  <c r="AE1045" i="16"/>
  <c r="AO1045" i="16" s="1"/>
  <c r="AD1045" i="16"/>
  <c r="AN1045" i="16" s="1"/>
  <c r="AF1045" i="16"/>
  <c r="AP1045" i="16" s="1"/>
  <c r="AC1045" i="16"/>
  <c r="AM1045" i="16" s="1"/>
  <c r="AS1028" i="16"/>
  <c r="AE1021" i="16"/>
  <c r="AO1021" i="16" s="1"/>
  <c r="AC1021" i="16"/>
  <c r="AM1021" i="16" s="1"/>
  <c r="AF1021" i="16"/>
  <c r="AP1021" i="16" s="1"/>
  <c r="AS956" i="16"/>
  <c r="AC949" i="16"/>
  <c r="AM949" i="16" s="1"/>
  <c r="AF949" i="16"/>
  <c r="AP949" i="16" s="1"/>
  <c r="AD949" i="16"/>
  <c r="AN949" i="16" s="1"/>
  <c r="AE949" i="16"/>
  <c r="AO949" i="16" s="1"/>
  <c r="AS931" i="16"/>
  <c r="AD925" i="16"/>
  <c r="AN925" i="16" s="1"/>
  <c r="AF925" i="16"/>
  <c r="AP925" i="16" s="1"/>
  <c r="AE925" i="16"/>
  <c r="AO925" i="16" s="1"/>
  <c r="AC925" i="16"/>
  <c r="AM925" i="16" s="1"/>
  <c r="AS1135" i="16"/>
  <c r="AD1128" i="16"/>
  <c r="AN1128" i="16" s="1"/>
  <c r="AF1128" i="16"/>
  <c r="AP1128" i="16" s="1"/>
  <c r="AE1128" i="16"/>
  <c r="AO1128" i="16" s="1"/>
  <c r="AC1128" i="16"/>
  <c r="AM1128" i="16" s="1"/>
  <c r="AS1027" i="16"/>
  <c r="AD1020" i="16"/>
  <c r="AN1020" i="16" s="1"/>
  <c r="AE1020" i="16"/>
  <c r="AO1020" i="16" s="1"/>
  <c r="AF1020" i="16"/>
  <c r="AP1020" i="16" s="1"/>
  <c r="AC1020" i="16"/>
  <c r="AM1020" i="16" s="1"/>
  <c r="AS1206" i="16"/>
  <c r="AD1199" i="16"/>
  <c r="AN1199" i="16" s="1"/>
  <c r="AF1199" i="16"/>
  <c r="AP1199" i="16" s="1"/>
  <c r="AE1199" i="16"/>
  <c r="AO1199" i="16" s="1"/>
  <c r="AC1199" i="16"/>
  <c r="AM1199" i="16" s="1"/>
  <c r="AS1098" i="16"/>
  <c r="AF1091" i="16"/>
  <c r="AP1091" i="16" s="1"/>
  <c r="AE1091" i="16"/>
  <c r="AO1091" i="16" s="1"/>
  <c r="AD1091" i="16"/>
  <c r="AN1091" i="16" s="1"/>
  <c r="AC1091" i="16"/>
  <c r="AM1091" i="16" s="1"/>
  <c r="AS856" i="16"/>
  <c r="AF851" i="16"/>
  <c r="AP851" i="16" s="1"/>
  <c r="AD851" i="16"/>
  <c r="AN851" i="16" s="1"/>
  <c r="AE851" i="16"/>
  <c r="AO851" i="16" s="1"/>
  <c r="AC851" i="16"/>
  <c r="AM851" i="16" s="1"/>
  <c r="AS1193" i="16"/>
  <c r="AE1186" i="16"/>
  <c r="AO1186" i="16" s="1"/>
  <c r="AF1186" i="16"/>
  <c r="AP1186" i="16" s="1"/>
  <c r="AD1186" i="16"/>
  <c r="AN1186" i="16" s="1"/>
  <c r="AC1186" i="16"/>
  <c r="AM1186" i="16" s="1"/>
  <c r="AS1169" i="16"/>
  <c r="AE1162" i="16"/>
  <c r="AO1162" i="16" s="1"/>
  <c r="AF1162" i="16"/>
  <c r="AP1162" i="16" s="1"/>
  <c r="AC1162" i="16"/>
  <c r="AM1162" i="16" s="1"/>
  <c r="AD1162" i="16"/>
  <c r="AN1162" i="16" s="1"/>
  <c r="AS1133" i="16"/>
  <c r="AD1126" i="16"/>
  <c r="AN1126" i="16" s="1"/>
  <c r="AE1126" i="16"/>
  <c r="AO1126" i="16" s="1"/>
  <c r="AF1126" i="16"/>
  <c r="AP1126" i="16" s="1"/>
  <c r="AC1126" i="16"/>
  <c r="AM1126" i="16" s="1"/>
  <c r="AS1061" i="16"/>
  <c r="AF1054" i="16"/>
  <c r="AP1054" i="16" s="1"/>
  <c r="AC1054" i="16"/>
  <c r="AM1054" i="16" s="1"/>
  <c r="AE1054" i="16"/>
  <c r="AO1054" i="16" s="1"/>
  <c r="AD1054" i="16"/>
  <c r="AN1054" i="16" s="1"/>
  <c r="AS1049" i="16"/>
  <c r="AE1042" i="16"/>
  <c r="AO1042" i="16" s="1"/>
  <c r="AD1042" i="16"/>
  <c r="AN1042" i="16" s="1"/>
  <c r="AF1042" i="16"/>
  <c r="AP1042" i="16" s="1"/>
  <c r="AC1042" i="16"/>
  <c r="AM1042" i="16" s="1"/>
  <c r="AS1037" i="16"/>
  <c r="AE1030" i="16"/>
  <c r="AO1030" i="16" s="1"/>
  <c r="AD1030" i="16"/>
  <c r="AN1030" i="16" s="1"/>
  <c r="AF1030" i="16"/>
  <c r="AP1030" i="16" s="1"/>
  <c r="AC1030" i="16"/>
  <c r="AM1030" i="16" s="1"/>
  <c r="AS916" i="16"/>
  <c r="AC910" i="16"/>
  <c r="AM910" i="16" s="1"/>
  <c r="AD910" i="16"/>
  <c r="AN910" i="16" s="1"/>
  <c r="AF910" i="16"/>
  <c r="AP910" i="16" s="1"/>
  <c r="AE910" i="16"/>
  <c r="AO910" i="16" s="1"/>
  <c r="AS829" i="16"/>
  <c r="AC826" i="16"/>
  <c r="AM826" i="16" s="1"/>
  <c r="AE826" i="16"/>
  <c r="AO826" i="16" s="1"/>
  <c r="AD826" i="16"/>
  <c r="AN826" i="16" s="1"/>
  <c r="AF826" i="16"/>
  <c r="AP826" i="16" s="1"/>
  <c r="AS1180" i="16"/>
  <c r="AF1173" i="16"/>
  <c r="AP1173" i="16" s="1"/>
  <c r="AC1173" i="16"/>
  <c r="AM1173" i="16" s="1"/>
  <c r="AD1173" i="16"/>
  <c r="AN1173" i="16" s="1"/>
  <c r="AE1173" i="16"/>
  <c r="AO1173" i="16" s="1"/>
  <c r="AS1144" i="16"/>
  <c r="AF1137" i="16"/>
  <c r="AP1137" i="16" s="1"/>
  <c r="AE1137" i="16"/>
  <c r="AO1137" i="16" s="1"/>
  <c r="AD1137" i="16"/>
  <c r="AN1137" i="16" s="1"/>
  <c r="AC1137" i="16"/>
  <c r="AM1137" i="16" s="1"/>
  <c r="AS1120" i="16"/>
  <c r="AF1113" i="16"/>
  <c r="AP1113" i="16" s="1"/>
  <c r="AD1113" i="16"/>
  <c r="AN1113" i="16" s="1"/>
  <c r="AE1113" i="16"/>
  <c r="AO1113" i="16" s="1"/>
  <c r="AC1113" i="16"/>
  <c r="AM1113" i="16" s="1"/>
  <c r="AS1060" i="16"/>
  <c r="AD1053" i="16"/>
  <c r="AN1053" i="16" s="1"/>
  <c r="AC1053" i="16"/>
  <c r="AM1053" i="16" s="1"/>
  <c r="AE1053" i="16"/>
  <c r="AO1053" i="16" s="1"/>
  <c r="AF1053" i="16"/>
  <c r="AP1053" i="16" s="1"/>
  <c r="AS1024" i="16"/>
  <c r="AF1017" i="16"/>
  <c r="AP1017" i="16" s="1"/>
  <c r="AD1017" i="16"/>
  <c r="AN1017" i="16" s="1"/>
  <c r="AE1017" i="16"/>
  <c r="AO1017" i="16" s="1"/>
  <c r="AC1017" i="16"/>
  <c r="AM1017" i="16" s="1"/>
  <c r="AS927" i="16"/>
  <c r="AC921" i="16"/>
  <c r="AM921" i="16" s="1"/>
  <c r="AE921" i="16"/>
  <c r="AO921" i="16" s="1"/>
  <c r="AF921" i="16"/>
  <c r="AP921" i="16" s="1"/>
  <c r="AD921" i="16"/>
  <c r="AN921" i="16" s="1"/>
  <c r="AS915" i="16"/>
  <c r="AF909" i="16"/>
  <c r="AP909" i="16" s="1"/>
  <c r="AE909" i="16"/>
  <c r="AO909" i="16" s="1"/>
  <c r="AD909" i="16"/>
  <c r="AN909" i="16" s="1"/>
  <c r="AC909" i="16"/>
  <c r="AM909" i="16" s="1"/>
  <c r="AS891" i="16"/>
  <c r="AD885" i="16"/>
  <c r="AN885" i="16" s="1"/>
  <c r="AF885" i="16"/>
  <c r="AP885" i="16" s="1"/>
  <c r="AE885" i="16"/>
  <c r="AO885" i="16" s="1"/>
  <c r="AC885" i="16"/>
  <c r="AM885" i="16" s="1"/>
  <c r="AS879" i="16"/>
  <c r="AD873" i="16"/>
  <c r="AN873" i="16" s="1"/>
  <c r="AC873" i="16"/>
  <c r="AM873" i="16" s="1"/>
  <c r="AE873" i="16"/>
  <c r="AO873" i="16" s="1"/>
  <c r="AF873" i="16"/>
  <c r="AP873" i="16" s="1"/>
  <c r="AS1215" i="16"/>
  <c r="AF1208" i="16"/>
  <c r="AP1208" i="16" s="1"/>
  <c r="AD1208" i="16"/>
  <c r="AN1208" i="16" s="1"/>
  <c r="AC1208" i="16"/>
  <c r="AM1208" i="16" s="1"/>
  <c r="AE1208" i="16"/>
  <c r="AO1208" i="16" s="1"/>
  <c r="AS1191" i="16"/>
  <c r="AF1184" i="16"/>
  <c r="AP1184" i="16" s="1"/>
  <c r="AD1184" i="16"/>
  <c r="AN1184" i="16" s="1"/>
  <c r="AC1184" i="16"/>
  <c r="AM1184" i="16" s="1"/>
  <c r="AE1184" i="16"/>
  <c r="AO1184" i="16" s="1"/>
  <c r="AS1179" i="16"/>
  <c r="AC1172" i="16"/>
  <c r="AM1172" i="16" s="1"/>
  <c r="AD1172" i="16"/>
  <c r="AN1172" i="16" s="1"/>
  <c r="AE1172" i="16"/>
  <c r="AO1172" i="16" s="1"/>
  <c r="AF1172" i="16"/>
  <c r="AP1172" i="16" s="1"/>
  <c r="AS1167" i="16"/>
  <c r="AD1160" i="16"/>
  <c r="AN1160" i="16" s="1"/>
  <c r="AC1160" i="16"/>
  <c r="AM1160" i="16" s="1"/>
  <c r="AF1160" i="16"/>
  <c r="AP1160" i="16" s="1"/>
  <c r="AE1160" i="16"/>
  <c r="AO1160" i="16" s="1"/>
  <c r="AS1107" i="16"/>
  <c r="AE1100" i="16"/>
  <c r="AO1100" i="16" s="1"/>
  <c r="AD1100" i="16"/>
  <c r="AN1100" i="16" s="1"/>
  <c r="AF1100" i="16"/>
  <c r="AP1100" i="16" s="1"/>
  <c r="AC1100" i="16"/>
  <c r="AM1100" i="16" s="1"/>
  <c r="AS1035" i="16"/>
  <c r="AE1028" i="16"/>
  <c r="AO1028" i="16" s="1"/>
  <c r="AF1028" i="16"/>
  <c r="AP1028" i="16" s="1"/>
  <c r="AC1028" i="16"/>
  <c r="AM1028" i="16" s="1"/>
  <c r="AS975" i="16"/>
  <c r="AC968" i="16"/>
  <c r="AM968" i="16" s="1"/>
  <c r="AF968" i="16"/>
  <c r="AP968" i="16" s="1"/>
  <c r="AD968" i="16"/>
  <c r="AN968" i="16" s="1"/>
  <c r="AE968" i="16"/>
  <c r="AO968" i="16" s="1"/>
  <c r="AS950" i="16"/>
  <c r="AF944" i="16"/>
  <c r="AP944" i="16" s="1"/>
  <c r="AC944" i="16"/>
  <c r="AM944" i="16" s="1"/>
  <c r="AD944" i="16"/>
  <c r="AN944" i="16" s="1"/>
  <c r="AE944" i="16"/>
  <c r="AO944" i="16" s="1"/>
  <c r="AS1214" i="16"/>
  <c r="AD1207" i="16"/>
  <c r="AN1207" i="16" s="1"/>
  <c r="AE1207" i="16"/>
  <c r="AO1207" i="16" s="1"/>
  <c r="AC1207" i="16"/>
  <c r="AM1207" i="16" s="1"/>
  <c r="AF1207" i="16"/>
  <c r="AP1207" i="16" s="1"/>
  <c r="AS1166" i="16"/>
  <c r="AE1159" i="16"/>
  <c r="AO1159" i="16" s="1"/>
  <c r="AC1159" i="16"/>
  <c r="AM1159" i="16" s="1"/>
  <c r="AF1159" i="16"/>
  <c r="AP1159" i="16" s="1"/>
  <c r="AD1159" i="16"/>
  <c r="AN1159" i="16" s="1"/>
  <c r="AS1022" i="16"/>
  <c r="AE1015" i="16"/>
  <c r="AO1015" i="16" s="1"/>
  <c r="AC1015" i="16"/>
  <c r="AM1015" i="16" s="1"/>
  <c r="AD1015" i="16"/>
  <c r="AN1015" i="16" s="1"/>
  <c r="AF1015" i="16"/>
  <c r="AP1015" i="16" s="1"/>
  <c r="AS1213" i="16"/>
  <c r="AE1206" i="16"/>
  <c r="AO1206" i="16" s="1"/>
  <c r="AF1206" i="16"/>
  <c r="AP1206" i="16" s="1"/>
  <c r="AC1206" i="16"/>
  <c r="AM1206" i="16" s="1"/>
  <c r="AD1206" i="16"/>
  <c r="AN1206" i="16" s="1"/>
  <c r="AS1057" i="16"/>
  <c r="AD1050" i="16"/>
  <c r="AN1050" i="16" s="1"/>
  <c r="AC1050" i="16"/>
  <c r="AM1050" i="16" s="1"/>
  <c r="AE1050" i="16"/>
  <c r="AO1050" i="16" s="1"/>
  <c r="AF1050" i="16"/>
  <c r="AP1050" i="16" s="1"/>
  <c r="AS1188" i="16"/>
  <c r="AD1181" i="16"/>
  <c r="AN1181" i="16" s="1"/>
  <c r="AE1181" i="16"/>
  <c r="AO1181" i="16" s="1"/>
  <c r="AF1181" i="16"/>
  <c r="AP1181" i="16" s="1"/>
  <c r="AC1181" i="16"/>
  <c r="AM1181" i="16" s="1"/>
  <c r="AD1061" i="16"/>
  <c r="AN1061" i="16" s="1"/>
  <c r="AE1061" i="16"/>
  <c r="AO1061" i="16" s="1"/>
  <c r="AF1061" i="16"/>
  <c r="AP1061" i="16" s="1"/>
  <c r="AC1061" i="16"/>
  <c r="AM1061" i="16" s="1"/>
  <c r="AS1068" i="16"/>
  <c r="AD694" i="16"/>
  <c r="AN694" i="16" s="1"/>
  <c r="AC694" i="16"/>
  <c r="AM694" i="16" s="1"/>
  <c r="AF694" i="16"/>
  <c r="AP694" i="16" s="1"/>
  <c r="AE694" i="16"/>
  <c r="AO694" i="16" s="1"/>
  <c r="AS696" i="16"/>
  <c r="AF586" i="16"/>
  <c r="AP586" i="16" s="1"/>
  <c r="AC586" i="16"/>
  <c r="AM586" i="16" s="1"/>
  <c r="AD586" i="16"/>
  <c r="AN586" i="16" s="1"/>
  <c r="AE586" i="16"/>
  <c r="AO586" i="16" s="1"/>
  <c r="AS588" i="16"/>
  <c r="AC430" i="16"/>
  <c r="AM430" i="16" s="1"/>
  <c r="AD430" i="16"/>
  <c r="AN430" i="16" s="1"/>
  <c r="AE430" i="16"/>
  <c r="AO430" i="16" s="1"/>
  <c r="AF430" i="16"/>
  <c r="AP430" i="16" s="1"/>
  <c r="AS430" i="16"/>
  <c r="AD214" i="16"/>
  <c r="AN214" i="16" s="1"/>
  <c r="AC214" i="16"/>
  <c r="AM214" i="16" s="1"/>
  <c r="AE214" i="16"/>
  <c r="AO214" i="16" s="1"/>
  <c r="AF214" i="16"/>
  <c r="AP214" i="16" s="1"/>
  <c r="AS214" i="16"/>
  <c r="AD537" i="16"/>
  <c r="AN537" i="16" s="1"/>
  <c r="AF537" i="16"/>
  <c r="AP537" i="16" s="1"/>
  <c r="AE537" i="16"/>
  <c r="AO537" i="16" s="1"/>
  <c r="AC537" i="16"/>
  <c r="AM537" i="16" s="1"/>
  <c r="AS537" i="16"/>
  <c r="AD225" i="16"/>
  <c r="AN225" i="16" s="1"/>
  <c r="AF225" i="16"/>
  <c r="AP225" i="16" s="1"/>
  <c r="AC225" i="16"/>
  <c r="AM225" i="16" s="1"/>
  <c r="AE225" i="16"/>
  <c r="AS225" i="16"/>
  <c r="AC404" i="16"/>
  <c r="AM404" i="16" s="1"/>
  <c r="AD404" i="16"/>
  <c r="AN404" i="16" s="1"/>
  <c r="AE404" i="16"/>
  <c r="AO404" i="16" s="1"/>
  <c r="AF404" i="16"/>
  <c r="AP404" i="16" s="1"/>
  <c r="AS404" i="16"/>
  <c r="AC808" i="16"/>
  <c r="AM808" i="16" s="1"/>
  <c r="AD808" i="16"/>
  <c r="AE808" i="16"/>
  <c r="AO808" i="16" s="1"/>
  <c r="AF808" i="16"/>
  <c r="AP808" i="16" s="1"/>
  <c r="AS811" i="16"/>
  <c r="AF292" i="16"/>
  <c r="AP292" i="16" s="1"/>
  <c r="AD292" i="16"/>
  <c r="AN292" i="16" s="1"/>
  <c r="AC292" i="16"/>
  <c r="AM292" i="16" s="1"/>
  <c r="AE292" i="16"/>
  <c r="AO292" i="16" s="1"/>
  <c r="AS292" i="16"/>
  <c r="AW741" i="2"/>
  <c r="T741" i="16" s="1"/>
  <c r="Q741" i="16"/>
  <c r="AJ741" i="2"/>
  <c r="Q849" i="16"/>
  <c r="AJ849" i="2"/>
  <c r="AS1168" i="16"/>
  <c r="AD1161" i="16"/>
  <c r="AN1161" i="16" s="1"/>
  <c r="AC1161" i="16"/>
  <c r="AM1161" i="16" s="1"/>
  <c r="AF1161" i="16"/>
  <c r="AP1161" i="16" s="1"/>
  <c r="AE1161" i="16"/>
  <c r="AO1161" i="16" s="1"/>
  <c r="AS1164" i="16"/>
  <c r="AC1157" i="16"/>
  <c r="AM1157" i="16" s="1"/>
  <c r="AD1157" i="16"/>
  <c r="AN1157" i="16" s="1"/>
  <c r="AF1157" i="16"/>
  <c r="AP1157" i="16" s="1"/>
  <c r="AE1157" i="16"/>
  <c r="AO1157" i="16" s="1"/>
  <c r="AS502" i="16"/>
  <c r="AE502" i="16"/>
  <c r="AO502" i="16" s="1"/>
  <c r="AF502" i="16"/>
  <c r="AP502" i="16" s="1"/>
  <c r="AC502" i="16"/>
  <c r="AM502" i="16" s="1"/>
  <c r="AD502" i="16"/>
  <c r="AN502" i="16" s="1"/>
  <c r="AS1184" i="16"/>
  <c r="AE1177" i="16"/>
  <c r="AO1177" i="16" s="1"/>
  <c r="AF1177" i="16"/>
  <c r="AP1177" i="16" s="1"/>
  <c r="AC1177" i="16"/>
  <c r="AM1177" i="16" s="1"/>
  <c r="AD1177" i="16"/>
  <c r="AN1177" i="16" s="1"/>
  <c r="AS929" i="16"/>
  <c r="AF923" i="16"/>
  <c r="AP923" i="16" s="1"/>
  <c r="AE923" i="16"/>
  <c r="AO923" i="16" s="1"/>
  <c r="AC923" i="16"/>
  <c r="AM923" i="16" s="1"/>
  <c r="AD923" i="16"/>
  <c r="AN923" i="16" s="1"/>
  <c r="AS611" i="16"/>
  <c r="AF609" i="16"/>
  <c r="AP609" i="16" s="1"/>
  <c r="AE609" i="16"/>
  <c r="AO609" i="16" s="1"/>
  <c r="AC609" i="16"/>
  <c r="AM609" i="16" s="1"/>
  <c r="AD609" i="16"/>
  <c r="AN609" i="16" s="1"/>
  <c r="AS1159" i="16"/>
  <c r="AE1152" i="16"/>
  <c r="AO1152" i="16" s="1"/>
  <c r="AF1152" i="16"/>
  <c r="AP1152" i="16" s="1"/>
  <c r="AD1152" i="16"/>
  <c r="AN1152" i="16" s="1"/>
  <c r="AC1152" i="16"/>
  <c r="AM1152" i="16" s="1"/>
  <c r="Q807" i="16"/>
  <c r="AJ807" i="2"/>
  <c r="AS1034" i="16"/>
  <c r="AF1027" i="16"/>
  <c r="AP1027" i="16" s="1"/>
  <c r="AD1027" i="16"/>
  <c r="AN1027" i="16" s="1"/>
  <c r="AC1027" i="16"/>
  <c r="AM1027" i="16" s="1"/>
  <c r="AE1027" i="16"/>
  <c r="AO1027" i="16" s="1"/>
  <c r="AS843" i="16"/>
  <c r="AE840" i="16"/>
  <c r="AO840" i="16" s="1"/>
  <c r="AC840" i="16"/>
  <c r="AM840" i="16" s="1"/>
  <c r="AD840" i="16"/>
  <c r="AN840" i="16" s="1"/>
  <c r="AF840" i="16"/>
  <c r="AP840" i="16" s="1"/>
  <c r="AW971" i="2"/>
  <c r="T971" i="16" s="1"/>
  <c r="R971" i="16"/>
  <c r="AS766" i="16"/>
  <c r="AC764" i="16"/>
  <c r="AM764" i="16" s="1"/>
  <c r="AD764" i="16"/>
  <c r="AN764" i="16" s="1"/>
  <c r="AE764" i="16"/>
  <c r="AO764" i="16" s="1"/>
  <c r="AF764" i="16"/>
  <c r="AP764" i="16" s="1"/>
  <c r="AS628" i="16"/>
  <c r="AC626" i="16"/>
  <c r="AM626" i="16" s="1"/>
  <c r="AF626" i="16"/>
  <c r="AP626" i="16" s="1"/>
  <c r="AE626" i="16"/>
  <c r="AO626" i="16" s="1"/>
  <c r="AD626" i="16"/>
  <c r="AN626" i="16" s="1"/>
  <c r="R767" i="16"/>
  <c r="AW767" i="2"/>
  <c r="T767" i="16" s="1"/>
  <c r="AS851" i="16"/>
  <c r="AE847" i="16"/>
  <c r="AO847" i="16" s="1"/>
  <c r="AF847" i="16"/>
  <c r="AP847" i="16" s="1"/>
  <c r="AC847" i="16"/>
  <c r="AM847" i="16" s="1"/>
  <c r="AD847" i="16"/>
  <c r="AN847" i="16" s="1"/>
  <c r="AW718" i="2"/>
  <c r="T718" i="16" s="1"/>
  <c r="AJ718" i="2"/>
  <c r="Q718" i="16"/>
  <c r="AS1152" i="16"/>
  <c r="AC1145" i="16"/>
  <c r="AM1145" i="16" s="1"/>
  <c r="AD1145" i="16"/>
  <c r="AN1145" i="16" s="1"/>
  <c r="AF1145" i="16"/>
  <c r="AP1145" i="16" s="1"/>
  <c r="AE1145" i="16"/>
  <c r="AO1145" i="16" s="1"/>
  <c r="AS1065" i="16"/>
  <c r="AE1058" i="16"/>
  <c r="AO1058" i="16" s="1"/>
  <c r="AD1058" i="16"/>
  <c r="AN1058" i="16" s="1"/>
  <c r="AC1058" i="16"/>
  <c r="AM1058" i="16" s="1"/>
  <c r="AF1058" i="16"/>
  <c r="AP1058" i="16" s="1"/>
  <c r="AS730" i="16"/>
  <c r="AE728" i="16"/>
  <c r="AO728" i="16" s="1"/>
  <c r="AF728" i="16"/>
  <c r="AP728" i="16" s="1"/>
  <c r="AC728" i="16"/>
  <c r="AM728" i="16" s="1"/>
  <c r="AD728" i="16"/>
  <c r="AN728" i="16" s="1"/>
  <c r="AS827" i="16"/>
  <c r="AF824" i="16"/>
  <c r="AP824" i="16" s="1"/>
  <c r="AC824" i="16"/>
  <c r="AM824" i="16" s="1"/>
  <c r="AE824" i="16"/>
  <c r="AO824" i="16" s="1"/>
  <c r="AD824" i="16"/>
  <c r="AN824" i="16" s="1"/>
  <c r="AS679" i="16"/>
  <c r="AD677" i="16"/>
  <c r="AN677" i="16" s="1"/>
  <c r="AE677" i="16"/>
  <c r="AO677" i="16" s="1"/>
  <c r="AC677" i="16"/>
  <c r="AM677" i="16" s="1"/>
  <c r="AF677" i="16"/>
  <c r="AP677" i="16" s="1"/>
  <c r="AS104" i="16"/>
  <c r="AD104" i="16"/>
  <c r="AN104" i="16" s="1"/>
  <c r="AE104" i="16"/>
  <c r="AO104" i="16" s="1"/>
  <c r="AF104" i="16"/>
  <c r="AP104" i="16" s="1"/>
  <c r="AC104" i="16"/>
  <c r="AM104" i="16" s="1"/>
  <c r="AS1087" i="16"/>
  <c r="AF1080" i="16"/>
  <c r="AP1080" i="16" s="1"/>
  <c r="AE1080" i="16"/>
  <c r="AO1080" i="16" s="1"/>
  <c r="AC1080" i="16"/>
  <c r="AM1080" i="16" s="1"/>
  <c r="AD1080" i="16"/>
  <c r="AN1080" i="16" s="1"/>
  <c r="AS965" i="16"/>
  <c r="AC958" i="16"/>
  <c r="AM958" i="16" s="1"/>
  <c r="AD958" i="16"/>
  <c r="AN958" i="16" s="1"/>
  <c r="AF958" i="16"/>
  <c r="AP958" i="16" s="1"/>
  <c r="AE958" i="16"/>
  <c r="AO958" i="16" s="1"/>
  <c r="AS935" i="16"/>
  <c r="AD929" i="16"/>
  <c r="AN929" i="16" s="1"/>
  <c r="AC929" i="16"/>
  <c r="AM929" i="16" s="1"/>
  <c r="AE929" i="16"/>
  <c r="AO929" i="16" s="1"/>
  <c r="AF929" i="16"/>
  <c r="AP929" i="16" s="1"/>
  <c r="AS987" i="16"/>
  <c r="AF980" i="16"/>
  <c r="AP980" i="16" s="1"/>
  <c r="AC980" i="16"/>
  <c r="AM980" i="16" s="1"/>
  <c r="AD980" i="16"/>
  <c r="AN980" i="16" s="1"/>
  <c r="AE980" i="16"/>
  <c r="AO980" i="16" s="1"/>
  <c r="AS556" i="16"/>
  <c r="AD554" i="16"/>
  <c r="AN554" i="16" s="1"/>
  <c r="AF554" i="16"/>
  <c r="AP554" i="16" s="1"/>
  <c r="AE554" i="16"/>
  <c r="AO554" i="16" s="1"/>
  <c r="AC554" i="16"/>
  <c r="AM554" i="16" s="1"/>
  <c r="AS1115" i="16"/>
  <c r="AC1108" i="16"/>
  <c r="AM1108" i="16" s="1"/>
  <c r="AD1108" i="16"/>
  <c r="AN1108" i="16" s="1"/>
  <c r="AE1108" i="16"/>
  <c r="AO1108" i="16" s="1"/>
  <c r="AF1108" i="16"/>
  <c r="AP1108" i="16" s="1"/>
  <c r="AS896" i="16"/>
  <c r="AE890" i="16"/>
  <c r="AO890" i="16" s="1"/>
  <c r="AC890" i="16"/>
  <c r="AM890" i="16" s="1"/>
  <c r="AD890" i="16"/>
  <c r="AN890" i="16" s="1"/>
  <c r="AF890" i="16"/>
  <c r="AP890" i="16" s="1"/>
  <c r="AS796" i="16"/>
  <c r="AD794" i="16"/>
  <c r="AN794" i="16" s="1"/>
  <c r="AF794" i="16"/>
  <c r="AP794" i="16" s="1"/>
  <c r="AC794" i="16"/>
  <c r="AM794" i="16" s="1"/>
  <c r="AE794" i="16"/>
  <c r="AO794" i="16" s="1"/>
  <c r="AS640" i="16"/>
  <c r="AC638" i="16"/>
  <c r="AM638" i="16" s="1"/>
  <c r="AE638" i="16"/>
  <c r="AO638" i="16" s="1"/>
  <c r="AF638" i="16"/>
  <c r="AP638" i="16" s="1"/>
  <c r="AD638" i="16"/>
  <c r="AN638" i="16" s="1"/>
  <c r="AS580" i="16"/>
  <c r="AE578" i="16"/>
  <c r="AO578" i="16" s="1"/>
  <c r="AC578" i="16"/>
  <c r="AM578" i="16" s="1"/>
  <c r="AD578" i="16"/>
  <c r="AN578" i="16" s="1"/>
  <c r="AF578" i="16"/>
  <c r="AP578" i="16" s="1"/>
  <c r="AS278" i="16"/>
  <c r="AC278" i="16"/>
  <c r="AM278" i="16" s="1"/>
  <c r="AF278" i="16"/>
  <c r="AP278" i="16" s="1"/>
  <c r="AE278" i="16"/>
  <c r="AO278" i="16" s="1"/>
  <c r="AD278" i="16"/>
  <c r="AN278" i="16" s="1"/>
  <c r="AS421" i="16"/>
  <c r="AF421" i="16"/>
  <c r="AP421" i="16" s="1"/>
  <c r="AE421" i="16"/>
  <c r="AO421" i="16" s="1"/>
  <c r="AD421" i="16"/>
  <c r="AN421" i="16" s="1"/>
  <c r="AC421" i="16"/>
  <c r="AM421" i="16" s="1"/>
  <c r="AS1117" i="16"/>
  <c r="AF1110" i="16"/>
  <c r="AP1110" i="16" s="1"/>
  <c r="AD1110" i="16"/>
  <c r="AN1110" i="16" s="1"/>
  <c r="AE1110" i="16"/>
  <c r="AO1110" i="16" s="1"/>
  <c r="AC1110" i="16"/>
  <c r="AM1110" i="16" s="1"/>
  <c r="AS717" i="16"/>
  <c r="AE715" i="16"/>
  <c r="AO715" i="16" s="1"/>
  <c r="AF715" i="16"/>
  <c r="AP715" i="16" s="1"/>
  <c r="AD715" i="16"/>
  <c r="AN715" i="16" s="1"/>
  <c r="AC715" i="16"/>
  <c r="AM715" i="16" s="1"/>
  <c r="AS156" i="16"/>
  <c r="AF156" i="16"/>
  <c r="AP156" i="16" s="1"/>
  <c r="AE156" i="16"/>
  <c r="AO156" i="16" s="1"/>
  <c r="AD156" i="16"/>
  <c r="AN156" i="16" s="1"/>
  <c r="AC156" i="16"/>
  <c r="AM156" i="16" s="1"/>
  <c r="AS232" i="16"/>
  <c r="AF232" i="16"/>
  <c r="AP232" i="16" s="1"/>
  <c r="AC232" i="16"/>
  <c r="AM232" i="16" s="1"/>
  <c r="AE232" i="16"/>
  <c r="AO232" i="16" s="1"/>
  <c r="AD232" i="16"/>
  <c r="AN232" i="16" s="1"/>
  <c r="AS258" i="16"/>
  <c r="AC258" i="16"/>
  <c r="AM258" i="16" s="1"/>
  <c r="AD258" i="16"/>
  <c r="AN258" i="16" s="1"/>
  <c r="AF258" i="16"/>
  <c r="AP258" i="16" s="1"/>
  <c r="AE258" i="16"/>
  <c r="AO258" i="16" s="1"/>
  <c r="AS498" i="16"/>
  <c r="AF498" i="16"/>
  <c r="AP498" i="16" s="1"/>
  <c r="AE498" i="16"/>
  <c r="AO498" i="16" s="1"/>
  <c r="AD498" i="16"/>
  <c r="AN498" i="16" s="1"/>
  <c r="AC498" i="16"/>
  <c r="AM498" i="16" s="1"/>
  <c r="AS230" i="16"/>
  <c r="AD230" i="16"/>
  <c r="AN230" i="16" s="1"/>
  <c r="AE230" i="16"/>
  <c r="AO230" i="16" s="1"/>
  <c r="AC230" i="16"/>
  <c r="AM230" i="16" s="1"/>
  <c r="AF230" i="16"/>
  <c r="AP230" i="16" s="1"/>
  <c r="AS1171" i="16"/>
  <c r="AE1164" i="16"/>
  <c r="AO1164" i="16" s="1"/>
  <c r="AC1164" i="16"/>
  <c r="AM1164" i="16" s="1"/>
  <c r="AF1164" i="16"/>
  <c r="AP1164" i="16" s="1"/>
  <c r="AD1164" i="16"/>
  <c r="AN1164" i="16" s="1"/>
  <c r="AS12" i="16"/>
  <c r="AF12" i="16"/>
  <c r="AP12" i="16" s="1"/>
  <c r="AC12" i="16"/>
  <c r="AM12" i="16" s="1"/>
  <c r="AD12" i="16"/>
  <c r="AN12" i="16" s="1"/>
  <c r="AE12" i="16"/>
  <c r="AO12" i="16" s="1"/>
  <c r="AS759" i="16"/>
  <c r="AE757" i="16"/>
  <c r="AO757" i="16" s="1"/>
  <c r="AC757" i="16"/>
  <c r="AM757" i="16" s="1"/>
  <c r="AD757" i="16"/>
  <c r="AF757" i="16"/>
  <c r="AP757" i="16" s="1"/>
  <c r="AS94" i="16"/>
  <c r="AF94" i="16"/>
  <c r="AP94" i="16" s="1"/>
  <c r="AD94" i="16"/>
  <c r="AN94" i="16" s="1"/>
  <c r="AC94" i="16"/>
  <c r="AM94" i="16" s="1"/>
  <c r="AE94" i="16"/>
  <c r="AO94" i="16" s="1"/>
  <c r="AS62" i="16"/>
  <c r="AE62" i="16"/>
  <c r="AO62" i="16" s="1"/>
  <c r="AF62" i="16"/>
  <c r="AP62" i="16" s="1"/>
  <c r="AC62" i="16"/>
  <c r="AM62" i="16" s="1"/>
  <c r="AD62" i="16"/>
  <c r="AN62" i="16" s="1"/>
  <c r="AS191" i="16"/>
  <c r="AE191" i="16"/>
  <c r="AO191" i="16" s="1"/>
  <c r="AD191" i="16"/>
  <c r="AN191" i="16" s="1"/>
  <c r="AC191" i="16"/>
  <c r="AM191" i="16" s="1"/>
  <c r="AF191" i="16"/>
  <c r="AP191" i="16" s="1"/>
  <c r="AS748" i="16"/>
  <c r="AF746" i="16"/>
  <c r="AP746" i="16" s="1"/>
  <c r="AE746" i="16"/>
  <c r="AO746" i="16" s="1"/>
  <c r="AD746" i="16"/>
  <c r="AN746" i="16" s="1"/>
  <c r="AC746" i="16"/>
  <c r="AM746" i="16" s="1"/>
  <c r="AS721" i="16"/>
  <c r="AE719" i="16"/>
  <c r="AO719" i="16" s="1"/>
  <c r="AD719" i="16"/>
  <c r="AN719" i="16" s="1"/>
  <c r="AC719" i="16"/>
  <c r="AM719" i="16" s="1"/>
  <c r="AF719" i="16"/>
  <c r="AP719" i="16" s="1"/>
  <c r="AS77" i="16"/>
  <c r="AC77" i="16"/>
  <c r="AM77" i="16" s="1"/>
  <c r="AD77" i="16"/>
  <c r="AN77" i="16" s="1"/>
  <c r="AE77" i="16"/>
  <c r="AO77" i="16" s="1"/>
  <c r="AF77" i="16"/>
  <c r="AP77" i="16" s="1"/>
  <c r="AS783" i="16"/>
  <c r="AE781" i="16"/>
  <c r="AO781" i="16" s="1"/>
  <c r="AC781" i="16"/>
  <c r="AM781" i="16" s="1"/>
  <c r="AD781" i="16"/>
  <c r="AN781" i="16" s="1"/>
  <c r="AF781" i="16"/>
  <c r="AP781" i="16" s="1"/>
  <c r="AS900" i="16"/>
  <c r="AE894" i="16"/>
  <c r="AO894" i="16" s="1"/>
  <c r="AD894" i="16"/>
  <c r="AN894" i="16" s="1"/>
  <c r="AC894" i="16"/>
  <c r="AM894" i="16" s="1"/>
  <c r="AF894" i="16"/>
  <c r="AP894" i="16" s="1"/>
  <c r="AS512" i="16"/>
  <c r="AC512" i="16"/>
  <c r="AM512" i="16" s="1"/>
  <c r="AF512" i="16"/>
  <c r="AP512" i="16" s="1"/>
  <c r="AE512" i="16"/>
  <c r="AO512" i="16" s="1"/>
  <c r="AD512" i="16"/>
  <c r="AN512" i="16" s="1"/>
  <c r="AS1070" i="16"/>
  <c r="AF1063" i="16"/>
  <c r="AP1063" i="16" s="1"/>
  <c r="AC1063" i="16"/>
  <c r="AM1063" i="16" s="1"/>
  <c r="AD1063" i="16"/>
  <c r="AN1063" i="16" s="1"/>
  <c r="AE1063" i="16"/>
  <c r="AO1063" i="16" s="1"/>
  <c r="AS945" i="16"/>
  <c r="AD939" i="16"/>
  <c r="AN939" i="16" s="1"/>
  <c r="AC939" i="16"/>
  <c r="AM939" i="16" s="1"/>
  <c r="AE939" i="16"/>
  <c r="AO939" i="16" s="1"/>
  <c r="AF939" i="16"/>
  <c r="AP939" i="16" s="1"/>
  <c r="AS240" i="16"/>
  <c r="AC240" i="16"/>
  <c r="AM240" i="16" s="1"/>
  <c r="AD240" i="16"/>
  <c r="AN240" i="16" s="1"/>
  <c r="AE240" i="16"/>
  <c r="AO240" i="16" s="1"/>
  <c r="AF240" i="16"/>
  <c r="AP240" i="16" s="1"/>
  <c r="AS157" i="16"/>
  <c r="AF157" i="16"/>
  <c r="AP157" i="16" s="1"/>
  <c r="AD157" i="16"/>
  <c r="AN157" i="16" s="1"/>
  <c r="AC157" i="16"/>
  <c r="AM157" i="16" s="1"/>
  <c r="AE157" i="16"/>
  <c r="AO157" i="16" s="1"/>
  <c r="AS698" i="16"/>
  <c r="AE696" i="16"/>
  <c r="AO696" i="16" s="1"/>
  <c r="AC696" i="16"/>
  <c r="AM696" i="16" s="1"/>
  <c r="AD696" i="16"/>
  <c r="AN696" i="16" s="1"/>
  <c r="AF696" i="16"/>
  <c r="AP696" i="16" s="1"/>
  <c r="AS49" i="16"/>
  <c r="AE49" i="16"/>
  <c r="AO49" i="16" s="1"/>
  <c r="AF49" i="16"/>
  <c r="AP49" i="16" s="1"/>
  <c r="AC49" i="16"/>
  <c r="AM49" i="16" s="1"/>
  <c r="AD49" i="16"/>
  <c r="AN49" i="16" s="1"/>
  <c r="AS44" i="16"/>
  <c r="AE44" i="16"/>
  <c r="AO44" i="16" s="1"/>
  <c r="AC44" i="16"/>
  <c r="AM44" i="16" s="1"/>
  <c r="AD44" i="16"/>
  <c r="AN44" i="16" s="1"/>
  <c r="AF44" i="16"/>
  <c r="AP44" i="16" s="1"/>
  <c r="AS238" i="16"/>
  <c r="AE238" i="16"/>
  <c r="AO238" i="16" s="1"/>
  <c r="AD238" i="16"/>
  <c r="AN238" i="16" s="1"/>
  <c r="AF238" i="16"/>
  <c r="AP238" i="16" s="1"/>
  <c r="AC238" i="16"/>
  <c r="AM238" i="16" s="1"/>
  <c r="AS25" i="16"/>
  <c r="AD25" i="16"/>
  <c r="AN25" i="16" s="1"/>
  <c r="AF25" i="16"/>
  <c r="AP25" i="16" s="1"/>
  <c r="AE25" i="16"/>
  <c r="AO25" i="16" s="1"/>
  <c r="AC25" i="16"/>
  <c r="AM25" i="16" s="1"/>
  <c r="AS671" i="16"/>
  <c r="AF669" i="16"/>
  <c r="AP669" i="16" s="1"/>
  <c r="AE669" i="16"/>
  <c r="AO669" i="16" s="1"/>
  <c r="AD669" i="16"/>
  <c r="AN669" i="16" s="1"/>
  <c r="AC669" i="16"/>
  <c r="AM669" i="16" s="1"/>
  <c r="AS634" i="16"/>
  <c r="AF632" i="16"/>
  <c r="AP632" i="16" s="1"/>
  <c r="AD632" i="16"/>
  <c r="AN632" i="16" s="1"/>
  <c r="AC632" i="16"/>
  <c r="AM632" i="16" s="1"/>
  <c r="AE632" i="16"/>
  <c r="AO632" i="16" s="1"/>
  <c r="AS243" i="16"/>
  <c r="AD243" i="16"/>
  <c r="AN243" i="16" s="1"/>
  <c r="AF243" i="16"/>
  <c r="AP243" i="16" s="1"/>
  <c r="AC243" i="16"/>
  <c r="AM243" i="16" s="1"/>
  <c r="AE243" i="16"/>
  <c r="AO243" i="16" s="1"/>
  <c r="AS206" i="16"/>
  <c r="AC206" i="16"/>
  <c r="AM206" i="16" s="1"/>
  <c r="AF206" i="16"/>
  <c r="AP206" i="16" s="1"/>
  <c r="AE206" i="16"/>
  <c r="AO206" i="16" s="1"/>
  <c r="AD206" i="16"/>
  <c r="AN206" i="16" s="1"/>
  <c r="AS252" i="16"/>
  <c r="AC252" i="16"/>
  <c r="AM252" i="16" s="1"/>
  <c r="AE252" i="16"/>
  <c r="AO252" i="16" s="1"/>
  <c r="AD252" i="16"/>
  <c r="AN252" i="16" s="1"/>
  <c r="AF252" i="16"/>
  <c r="AP252" i="16" s="1"/>
  <c r="AS280" i="16"/>
  <c r="AC280" i="16"/>
  <c r="AM280" i="16" s="1"/>
  <c r="AF280" i="16"/>
  <c r="AP280" i="16" s="1"/>
  <c r="AD280" i="16"/>
  <c r="AN280" i="16" s="1"/>
  <c r="AE280" i="16"/>
  <c r="AO280" i="16" s="1"/>
  <c r="AS1001" i="16"/>
  <c r="AC994" i="16"/>
  <c r="AM994" i="16" s="1"/>
  <c r="AD994" i="16"/>
  <c r="AN994" i="16" s="1"/>
  <c r="AE994" i="16"/>
  <c r="AO994" i="16" s="1"/>
  <c r="AF994" i="16"/>
  <c r="AP994" i="16" s="1"/>
  <c r="AS607" i="16"/>
  <c r="AE605" i="16"/>
  <c r="AO605" i="16" s="1"/>
  <c r="AF605" i="16"/>
  <c r="AP605" i="16" s="1"/>
  <c r="AD605" i="16"/>
  <c r="AN605" i="16" s="1"/>
  <c r="AC605" i="16"/>
  <c r="AM605" i="16" s="1"/>
  <c r="AS1062" i="16"/>
  <c r="AE1055" i="16"/>
  <c r="AO1055" i="16" s="1"/>
  <c r="AC1055" i="16"/>
  <c r="AM1055" i="16" s="1"/>
  <c r="AF1055" i="16"/>
  <c r="AP1055" i="16" s="1"/>
  <c r="AD1055" i="16"/>
  <c r="AN1055" i="16" s="1"/>
  <c r="AS55" i="16"/>
  <c r="AC55" i="16"/>
  <c r="AM55" i="16" s="1"/>
  <c r="AF55" i="16"/>
  <c r="AP55" i="16" s="1"/>
  <c r="AE55" i="16"/>
  <c r="AO55" i="16" s="1"/>
  <c r="AD55" i="16"/>
  <c r="AN55" i="16" s="1"/>
  <c r="AS145" i="16"/>
  <c r="AF145" i="16"/>
  <c r="AP145" i="16" s="1"/>
  <c r="AD145" i="16"/>
  <c r="AN145" i="16" s="1"/>
  <c r="AC145" i="16"/>
  <c r="AM145" i="16" s="1"/>
  <c r="AE145" i="16"/>
  <c r="AO145" i="16" s="1"/>
  <c r="AS35" i="16"/>
  <c r="AF35" i="16"/>
  <c r="AP35" i="16" s="1"/>
  <c r="AD35" i="16"/>
  <c r="AN35" i="16" s="1"/>
  <c r="AE35" i="16"/>
  <c r="AO35" i="16" s="1"/>
  <c r="AC35" i="16"/>
  <c r="AM35" i="16" s="1"/>
  <c r="AS110" i="16"/>
  <c r="AD110" i="16"/>
  <c r="AN110" i="16" s="1"/>
  <c r="AC110" i="16"/>
  <c r="AM110" i="16" s="1"/>
  <c r="AF110" i="16"/>
  <c r="AP110" i="16" s="1"/>
  <c r="AE110" i="16"/>
  <c r="AO110" i="16" s="1"/>
  <c r="AS1078" i="16"/>
  <c r="AD1071" i="16"/>
  <c r="AN1071" i="16" s="1"/>
  <c r="AF1071" i="16"/>
  <c r="AP1071" i="16" s="1"/>
  <c r="AC1071" i="16"/>
  <c r="AM1071" i="16" s="1"/>
  <c r="AE1071" i="16"/>
  <c r="AO1071" i="16" s="1"/>
  <c r="AS919" i="16"/>
  <c r="AC913" i="16"/>
  <c r="AM913" i="16" s="1"/>
  <c r="AD913" i="16"/>
  <c r="AN913" i="16" s="1"/>
  <c r="AE913" i="16"/>
  <c r="AO913" i="16" s="1"/>
  <c r="AF913" i="16"/>
  <c r="AP913" i="16" s="1"/>
  <c r="AS1205" i="16"/>
  <c r="AC1198" i="16"/>
  <c r="AM1198" i="16" s="1"/>
  <c r="AF1198" i="16"/>
  <c r="AP1198" i="16" s="1"/>
  <c r="AE1198" i="16"/>
  <c r="AO1198" i="16" s="1"/>
  <c r="AD1198" i="16"/>
  <c r="AN1198" i="16" s="1"/>
  <c r="AS1121" i="16"/>
  <c r="AF1114" i="16"/>
  <c r="AP1114" i="16" s="1"/>
  <c r="AE1114" i="16"/>
  <c r="AO1114" i="16" s="1"/>
  <c r="AD1114" i="16"/>
  <c r="AN1114" i="16" s="1"/>
  <c r="AC1114" i="16"/>
  <c r="AM1114" i="16" s="1"/>
  <c r="AS928" i="16"/>
  <c r="AD922" i="16"/>
  <c r="AN922" i="16" s="1"/>
  <c r="AC922" i="16"/>
  <c r="AM922" i="16" s="1"/>
  <c r="AF922" i="16"/>
  <c r="AP922" i="16" s="1"/>
  <c r="AE922" i="16"/>
  <c r="AO922" i="16" s="1"/>
  <c r="AS1216" i="16"/>
  <c r="AF1209" i="16"/>
  <c r="AP1209" i="16" s="1"/>
  <c r="AC1209" i="16"/>
  <c r="AM1209" i="16" s="1"/>
  <c r="AE1209" i="16"/>
  <c r="AO1209" i="16" s="1"/>
  <c r="AD1209" i="16"/>
  <c r="AN1209" i="16" s="1"/>
  <c r="AS1204" i="16"/>
  <c r="AF1197" i="16"/>
  <c r="AP1197" i="16" s="1"/>
  <c r="AE1197" i="16"/>
  <c r="AO1197" i="16" s="1"/>
  <c r="AC1197" i="16"/>
  <c r="AM1197" i="16" s="1"/>
  <c r="AD1197" i="16"/>
  <c r="AN1197" i="16" s="1"/>
  <c r="AS804" i="16"/>
  <c r="AD801" i="16"/>
  <c r="AN801" i="16" s="1"/>
  <c r="AE801" i="16"/>
  <c r="AO801" i="16" s="1"/>
  <c r="AF801" i="16"/>
  <c r="AP801" i="16" s="1"/>
  <c r="AC801" i="16"/>
  <c r="AM801" i="16" s="1"/>
  <c r="AS1095" i="16"/>
  <c r="AE1088" i="16"/>
  <c r="AO1088" i="16" s="1"/>
  <c r="AC1088" i="16"/>
  <c r="AM1088" i="16" s="1"/>
  <c r="AF1088" i="16"/>
  <c r="AP1088" i="16" s="1"/>
  <c r="AD1088" i="16"/>
  <c r="AN1088" i="16" s="1"/>
  <c r="AS1202" i="16"/>
  <c r="AE1195" i="16"/>
  <c r="AO1195" i="16" s="1"/>
  <c r="AD1195" i="16"/>
  <c r="AN1195" i="16" s="1"/>
  <c r="AC1195" i="16"/>
  <c r="AM1195" i="16" s="1"/>
  <c r="AF1195" i="16"/>
  <c r="AP1195" i="16" s="1"/>
  <c r="AS1046" i="16"/>
  <c r="AE1039" i="16"/>
  <c r="AO1039" i="16" s="1"/>
  <c r="AC1039" i="16"/>
  <c r="AM1039" i="16" s="1"/>
  <c r="AF1039" i="16"/>
  <c r="AP1039" i="16" s="1"/>
  <c r="AD1039" i="16"/>
  <c r="AN1039" i="16" s="1"/>
  <c r="AS1092" i="16"/>
  <c r="AE1085" i="16"/>
  <c r="AO1085" i="16" s="1"/>
  <c r="AC1085" i="16"/>
  <c r="AM1085" i="16" s="1"/>
  <c r="AD1085" i="16"/>
  <c r="AN1085" i="16" s="1"/>
  <c r="AF1085" i="16"/>
  <c r="AP1085" i="16" s="1"/>
  <c r="AS960" i="16"/>
  <c r="AF953" i="16"/>
  <c r="AP953" i="16" s="1"/>
  <c r="AE953" i="16"/>
  <c r="AO953" i="16" s="1"/>
  <c r="AD953" i="16"/>
  <c r="AN953" i="16" s="1"/>
  <c r="AC953" i="16"/>
  <c r="AM953" i="16" s="1"/>
  <c r="AS660" i="16"/>
  <c r="AF658" i="16"/>
  <c r="AP658" i="16" s="1"/>
  <c r="AE658" i="16"/>
  <c r="AO658" i="16" s="1"/>
  <c r="AD658" i="16"/>
  <c r="AN658" i="16" s="1"/>
  <c r="AC658" i="16"/>
  <c r="AM658" i="16" s="1"/>
  <c r="AS22" i="16"/>
  <c r="AF22" i="16"/>
  <c r="AP22" i="16" s="1"/>
  <c r="AE22" i="16"/>
  <c r="AO22" i="16" s="1"/>
  <c r="AD22" i="16"/>
  <c r="AN22" i="16" s="1"/>
  <c r="AC22" i="16"/>
  <c r="AM22" i="16" s="1"/>
  <c r="AS189" i="16"/>
  <c r="AE189" i="16"/>
  <c r="AO189" i="16" s="1"/>
  <c r="AF189" i="16"/>
  <c r="AP189" i="16" s="1"/>
  <c r="AC189" i="16"/>
  <c r="AM189" i="16" s="1"/>
  <c r="AD189" i="16"/>
  <c r="AN189" i="16" s="1"/>
  <c r="AS528" i="16"/>
  <c r="AF528" i="16"/>
  <c r="AP528" i="16" s="1"/>
  <c r="AE528" i="16"/>
  <c r="AO528" i="16" s="1"/>
  <c r="AC528" i="16"/>
  <c r="AM528" i="16" s="1"/>
  <c r="AD528" i="16"/>
  <c r="AN528" i="16" s="1"/>
  <c r="AS838" i="16"/>
  <c r="AF835" i="16"/>
  <c r="AP835" i="16" s="1"/>
  <c r="AE835" i="16"/>
  <c r="AO835" i="16" s="1"/>
  <c r="AC835" i="16"/>
  <c r="AM835" i="16" s="1"/>
  <c r="AD835" i="16"/>
  <c r="AN835" i="16" s="1"/>
  <c r="AS86" i="16"/>
  <c r="AC86" i="16"/>
  <c r="AM86" i="16" s="1"/>
  <c r="AD86" i="16"/>
  <c r="AN86" i="16" s="1"/>
  <c r="AE86" i="16"/>
  <c r="AO86" i="16" s="1"/>
  <c r="AF86" i="16"/>
  <c r="AP86" i="16" s="1"/>
  <c r="AS38" i="16"/>
  <c r="AF38" i="16"/>
  <c r="AP38" i="16" s="1"/>
  <c r="AE38" i="16"/>
  <c r="AO38" i="16" s="1"/>
  <c r="AD38" i="16"/>
  <c r="AN38" i="16" s="1"/>
  <c r="AC38" i="16"/>
  <c r="AM38" i="16" s="1"/>
  <c r="AS723" i="16"/>
  <c r="AC721" i="16"/>
  <c r="AM721" i="16" s="1"/>
  <c r="AD721" i="16"/>
  <c r="AN721" i="16" s="1"/>
  <c r="AE721" i="16"/>
  <c r="AO721" i="16" s="1"/>
  <c r="AF721" i="16"/>
  <c r="AP721" i="16" s="1"/>
  <c r="AS711" i="16"/>
  <c r="AF709" i="16"/>
  <c r="AP709" i="16" s="1"/>
  <c r="AE709" i="16"/>
  <c r="AO709" i="16" s="1"/>
  <c r="AC709" i="16"/>
  <c r="AM709" i="16" s="1"/>
  <c r="AD709" i="16"/>
  <c r="AS882" i="16"/>
  <c r="AF876" i="16"/>
  <c r="AP876" i="16" s="1"/>
  <c r="AC876" i="16"/>
  <c r="AM876" i="16" s="1"/>
  <c r="AE876" i="16"/>
  <c r="AO876" i="16" s="1"/>
  <c r="AD876" i="16"/>
  <c r="AN876" i="16" s="1"/>
  <c r="AS807" i="16"/>
  <c r="AD804" i="16"/>
  <c r="AN804" i="16" s="1"/>
  <c r="AC804" i="16"/>
  <c r="AM804" i="16" s="1"/>
  <c r="AE804" i="16"/>
  <c r="AO804" i="16" s="1"/>
  <c r="AF804" i="16"/>
  <c r="AP804" i="16" s="1"/>
  <c r="AS468" i="16"/>
  <c r="AF468" i="16"/>
  <c r="AP468" i="16" s="1"/>
  <c r="AE468" i="16"/>
  <c r="AO468" i="16" s="1"/>
  <c r="AD468" i="16"/>
  <c r="AN468" i="16" s="1"/>
  <c r="AC468" i="16"/>
  <c r="AM468" i="16" s="1"/>
  <c r="AS456" i="16"/>
  <c r="AD456" i="16"/>
  <c r="AN456" i="16" s="1"/>
  <c r="AC456" i="16"/>
  <c r="AM456" i="16" s="1"/>
  <c r="AF456" i="16"/>
  <c r="AP456" i="16" s="1"/>
  <c r="AE456" i="16"/>
  <c r="AO456" i="16" s="1"/>
  <c r="AS324" i="16"/>
  <c r="AC324" i="16"/>
  <c r="AM324" i="16" s="1"/>
  <c r="AF324" i="16"/>
  <c r="AP324" i="16" s="1"/>
  <c r="AE324" i="16"/>
  <c r="AO324" i="16" s="1"/>
  <c r="AD324" i="16"/>
  <c r="AN324" i="16" s="1"/>
  <c r="AS192" i="16"/>
  <c r="AD192" i="16"/>
  <c r="AN192" i="16" s="1"/>
  <c r="AE192" i="16"/>
  <c r="AO192" i="16" s="1"/>
  <c r="AF192" i="16"/>
  <c r="AP192" i="16" s="1"/>
  <c r="AC192" i="16"/>
  <c r="AM192" i="16" s="1"/>
  <c r="AS180" i="16"/>
  <c r="AF180" i="16"/>
  <c r="AP180" i="16" s="1"/>
  <c r="AE180" i="16"/>
  <c r="AO180" i="16" s="1"/>
  <c r="AD180" i="16"/>
  <c r="AN180" i="16" s="1"/>
  <c r="AC180" i="16"/>
  <c r="AM180" i="16" s="1"/>
  <c r="AS709" i="16"/>
  <c r="AC707" i="16"/>
  <c r="AM707" i="16" s="1"/>
  <c r="AE707" i="16"/>
  <c r="AO707" i="16" s="1"/>
  <c r="AF707" i="16"/>
  <c r="AP707" i="16" s="1"/>
  <c r="AD707" i="16"/>
  <c r="AN707" i="16" s="1"/>
  <c r="AS467" i="16"/>
  <c r="AD467" i="16"/>
  <c r="AN467" i="16" s="1"/>
  <c r="AC467" i="16"/>
  <c r="AM467" i="16" s="1"/>
  <c r="AF467" i="16"/>
  <c r="AP467" i="16" s="1"/>
  <c r="AE467" i="16"/>
  <c r="AO467" i="16" s="1"/>
  <c r="AS395" i="16"/>
  <c r="AC395" i="16"/>
  <c r="AM395" i="16" s="1"/>
  <c r="AF395" i="16"/>
  <c r="AP395" i="16" s="1"/>
  <c r="AD395" i="16"/>
  <c r="AE395" i="16"/>
  <c r="AO395" i="16" s="1"/>
  <c r="AS227" i="16"/>
  <c r="AE227" i="16"/>
  <c r="AO227" i="16" s="1"/>
  <c r="AF227" i="16"/>
  <c r="AP227" i="16" s="1"/>
  <c r="AC227" i="16"/>
  <c r="AM227" i="16" s="1"/>
  <c r="AD227" i="16"/>
  <c r="AN227" i="16" s="1"/>
  <c r="AS203" i="16"/>
  <c r="AC203" i="16"/>
  <c r="AM203" i="16" s="1"/>
  <c r="AF203" i="16"/>
  <c r="AP203" i="16" s="1"/>
  <c r="AD203" i="16"/>
  <c r="AE203" i="16"/>
  <c r="AO203" i="16" s="1"/>
  <c r="AS167" i="16"/>
  <c r="AF167" i="16"/>
  <c r="AP167" i="16" s="1"/>
  <c r="AE167" i="16"/>
  <c r="AO167" i="16" s="1"/>
  <c r="AD167" i="16"/>
  <c r="AN167" i="16" s="1"/>
  <c r="AC167" i="16"/>
  <c r="AM167" i="16" s="1"/>
  <c r="AS131" i="16"/>
  <c r="AD131" i="16"/>
  <c r="AN131" i="16" s="1"/>
  <c r="AC131" i="16"/>
  <c r="AM131" i="16" s="1"/>
  <c r="AF131" i="16"/>
  <c r="AP131" i="16" s="1"/>
  <c r="AE131" i="16"/>
  <c r="AO131" i="16" s="1"/>
  <c r="AS455" i="16"/>
  <c r="AC455" i="16"/>
  <c r="AM455" i="16" s="1"/>
  <c r="AE455" i="16"/>
  <c r="AO455" i="16" s="1"/>
  <c r="AD455" i="16"/>
  <c r="AN455" i="16" s="1"/>
  <c r="AF455" i="16"/>
  <c r="AP455" i="16" s="1"/>
  <c r="AS196" i="16"/>
  <c r="AF196" i="16"/>
  <c r="AP196" i="16" s="1"/>
  <c r="AD196" i="16"/>
  <c r="AN196" i="16" s="1"/>
  <c r="AC196" i="16"/>
  <c r="AM196" i="16" s="1"/>
  <c r="AE196" i="16"/>
  <c r="AO196" i="16" s="1"/>
  <c r="AS834" i="16"/>
  <c r="AE831" i="16"/>
  <c r="AO831" i="16" s="1"/>
  <c r="AF831" i="16"/>
  <c r="AP831" i="16" s="1"/>
  <c r="AD831" i="16"/>
  <c r="AN831" i="16" s="1"/>
  <c r="AC831" i="16"/>
  <c r="AM831" i="16" s="1"/>
  <c r="AS552" i="16"/>
  <c r="AD550" i="16"/>
  <c r="AN550" i="16" s="1"/>
  <c r="AF550" i="16"/>
  <c r="AP550" i="16" s="1"/>
  <c r="AE550" i="16"/>
  <c r="AO550" i="16" s="1"/>
  <c r="AC550" i="16"/>
  <c r="AM550" i="16" s="1"/>
  <c r="AS250" i="16"/>
  <c r="AD250" i="16"/>
  <c r="AN250" i="16" s="1"/>
  <c r="AF250" i="16"/>
  <c r="AP250" i="16" s="1"/>
  <c r="AC250" i="16"/>
  <c r="AM250" i="16" s="1"/>
  <c r="AE250" i="16"/>
  <c r="AO250" i="16" s="1"/>
  <c r="AS143" i="16"/>
  <c r="AC143" i="16"/>
  <c r="AM143" i="16" s="1"/>
  <c r="AE143" i="16"/>
  <c r="AO143" i="16" s="1"/>
  <c r="AF143" i="16"/>
  <c r="AP143" i="16" s="1"/>
  <c r="AD143" i="16"/>
  <c r="AN143" i="16" s="1"/>
  <c r="AS168" i="16"/>
  <c r="AE168" i="16"/>
  <c r="AO168" i="16" s="1"/>
  <c r="AC168" i="16"/>
  <c r="AM168" i="16" s="1"/>
  <c r="AF168" i="16"/>
  <c r="AP168" i="16" s="1"/>
  <c r="AD168" i="16"/>
  <c r="AN168" i="16" s="1"/>
  <c r="AS273" i="16"/>
  <c r="AE273" i="16"/>
  <c r="AO273" i="16" s="1"/>
  <c r="AF273" i="16"/>
  <c r="AP273" i="16" s="1"/>
  <c r="AD273" i="16"/>
  <c r="AN273" i="16" s="1"/>
  <c r="AC273" i="16"/>
  <c r="AM273" i="16" s="1"/>
  <c r="AS735" i="16"/>
  <c r="AD733" i="16"/>
  <c r="AN733" i="16" s="1"/>
  <c r="AC733" i="16"/>
  <c r="AM733" i="16" s="1"/>
  <c r="AF733" i="16"/>
  <c r="AP733" i="16" s="1"/>
  <c r="AE733" i="16"/>
  <c r="AO733" i="16" s="1"/>
  <c r="AS884" i="16"/>
  <c r="AC878" i="16"/>
  <c r="AM878" i="16" s="1"/>
  <c r="AD878" i="16"/>
  <c r="AN878" i="16" s="1"/>
  <c r="AE878" i="16"/>
  <c r="AO878" i="16" s="1"/>
  <c r="AF878" i="16"/>
  <c r="AP878" i="16" s="1"/>
  <c r="AS170" i="16"/>
  <c r="AC170" i="16"/>
  <c r="AM170" i="16" s="1"/>
  <c r="AD170" i="16"/>
  <c r="AN170" i="16" s="1"/>
  <c r="AE170" i="16"/>
  <c r="AO170" i="16" s="1"/>
  <c r="AF170" i="16"/>
  <c r="AP170" i="16" s="1"/>
  <c r="AS1125" i="16"/>
  <c r="AF1118" i="16"/>
  <c r="AP1118" i="16" s="1"/>
  <c r="AD1118" i="16"/>
  <c r="AN1118" i="16" s="1"/>
  <c r="AC1118" i="16"/>
  <c r="AM1118" i="16" s="1"/>
  <c r="AE1118" i="16"/>
  <c r="AO1118" i="16" s="1"/>
  <c r="AS298" i="16"/>
  <c r="AE298" i="16"/>
  <c r="AO298" i="16" s="1"/>
  <c r="AF298" i="16"/>
  <c r="AP298" i="16" s="1"/>
  <c r="AC298" i="16"/>
  <c r="AM298" i="16" s="1"/>
  <c r="AD298" i="16"/>
  <c r="AN298" i="16" s="1"/>
  <c r="AS1081" i="16"/>
  <c r="AC1074" i="16"/>
  <c r="AM1074" i="16" s="1"/>
  <c r="AE1074" i="16"/>
  <c r="AO1074" i="16" s="1"/>
  <c r="AF1074" i="16"/>
  <c r="AP1074" i="16" s="1"/>
  <c r="AD1074" i="16"/>
  <c r="AN1074" i="16" s="1"/>
  <c r="AS999" i="16"/>
  <c r="AF992" i="16"/>
  <c r="AP992" i="16" s="1"/>
  <c r="AC992" i="16"/>
  <c r="AM992" i="16" s="1"/>
  <c r="AE992" i="16"/>
  <c r="AO992" i="16" s="1"/>
  <c r="AD992" i="16"/>
  <c r="AN992" i="16" s="1"/>
  <c r="AS1143" i="16"/>
  <c r="AE1136" i="16"/>
  <c r="AO1136" i="16" s="1"/>
  <c r="AD1136" i="16"/>
  <c r="AN1136" i="16" s="1"/>
  <c r="AC1136" i="16"/>
  <c r="AM1136" i="16" s="1"/>
  <c r="AF1136" i="16"/>
  <c r="AP1136" i="16" s="1"/>
  <c r="AS321" i="16"/>
  <c r="AE321" i="16"/>
  <c r="AO321" i="16" s="1"/>
  <c r="AD321" i="16"/>
  <c r="AN321" i="16" s="1"/>
  <c r="AF321" i="16"/>
  <c r="AP321" i="16" s="1"/>
  <c r="AC321" i="16"/>
  <c r="AM321" i="16" s="1"/>
  <c r="AS1110" i="16"/>
  <c r="AC1103" i="16"/>
  <c r="AM1103" i="16" s="1"/>
  <c r="AD1103" i="16"/>
  <c r="AN1103" i="16" s="1"/>
  <c r="AF1103" i="16"/>
  <c r="AP1103" i="16" s="1"/>
  <c r="AE1103" i="16"/>
  <c r="AO1103" i="16" s="1"/>
  <c r="AS603" i="16"/>
  <c r="AC601" i="16"/>
  <c r="AM601" i="16" s="1"/>
  <c r="AE601" i="16"/>
  <c r="AO601" i="16" s="1"/>
  <c r="AF601" i="16"/>
  <c r="AP601" i="16" s="1"/>
  <c r="AD601" i="16"/>
  <c r="AN601" i="16" s="1"/>
  <c r="AS1025" i="16"/>
  <c r="AE1018" i="16"/>
  <c r="AO1018" i="16" s="1"/>
  <c r="AD1018" i="16"/>
  <c r="AN1018" i="16" s="1"/>
  <c r="AF1018" i="16"/>
  <c r="AP1018" i="16" s="1"/>
  <c r="AC1018" i="16"/>
  <c r="AM1018" i="16" s="1"/>
  <c r="AS146" i="16"/>
  <c r="AE146" i="16"/>
  <c r="AO146" i="16" s="1"/>
  <c r="AF146" i="16"/>
  <c r="AP146" i="16" s="1"/>
  <c r="AC146" i="16"/>
  <c r="AM146" i="16" s="1"/>
  <c r="AD146" i="16"/>
  <c r="AN146" i="16" s="1"/>
  <c r="AS1186" i="16"/>
  <c r="AF1179" i="16"/>
  <c r="AP1179" i="16" s="1"/>
  <c r="AE1179" i="16"/>
  <c r="AO1179" i="16" s="1"/>
  <c r="AD1179" i="16"/>
  <c r="AN1179" i="16" s="1"/>
  <c r="AC1179" i="16"/>
  <c r="AM1179" i="16" s="1"/>
  <c r="AS364" i="16"/>
  <c r="AE364" i="16"/>
  <c r="AO364" i="16" s="1"/>
  <c r="AD364" i="16"/>
  <c r="AN364" i="16" s="1"/>
  <c r="AC364" i="16"/>
  <c r="AM364" i="16" s="1"/>
  <c r="AF364" i="16"/>
  <c r="AP364" i="16" s="1"/>
  <c r="AS198" i="16"/>
  <c r="AD198" i="16"/>
  <c r="AN198" i="16" s="1"/>
  <c r="AF198" i="16"/>
  <c r="AP198" i="16" s="1"/>
  <c r="AC198" i="16"/>
  <c r="AM198" i="16" s="1"/>
  <c r="AE198" i="16"/>
  <c r="AO198" i="16" s="1"/>
  <c r="AS380" i="16"/>
  <c r="AE380" i="16"/>
  <c r="AO380" i="16" s="1"/>
  <c r="AC380" i="16"/>
  <c r="AM380" i="16" s="1"/>
  <c r="AD380" i="16"/>
  <c r="AN380" i="16" s="1"/>
  <c r="AF380" i="16"/>
  <c r="AP380" i="16" s="1"/>
  <c r="AS105" i="16"/>
  <c r="AC105" i="16"/>
  <c r="AM105" i="16" s="1"/>
  <c r="AD105" i="16"/>
  <c r="AN105" i="16" s="1"/>
  <c r="AE105" i="16"/>
  <c r="AO105" i="16" s="1"/>
  <c r="AF105" i="16"/>
  <c r="AP105" i="16" s="1"/>
  <c r="AS442" i="16"/>
  <c r="AF442" i="16"/>
  <c r="AP442" i="16" s="1"/>
  <c r="AE442" i="16"/>
  <c r="AO442" i="16" s="1"/>
  <c r="AD442" i="16"/>
  <c r="AN442" i="16" s="1"/>
  <c r="AC442" i="16"/>
  <c r="AM442" i="16" s="1"/>
  <c r="AS600" i="16"/>
  <c r="AE598" i="16"/>
  <c r="AO598" i="16" s="1"/>
  <c r="AD598" i="16"/>
  <c r="AN598" i="16" s="1"/>
  <c r="AC598" i="16"/>
  <c r="AM598" i="16" s="1"/>
  <c r="AF598" i="16"/>
  <c r="AP598" i="16" s="1"/>
  <c r="AS911" i="16"/>
  <c r="AD905" i="16"/>
  <c r="AN905" i="16" s="1"/>
  <c r="AE905" i="16"/>
  <c r="AO905" i="16" s="1"/>
  <c r="AC905" i="16"/>
  <c r="AM905" i="16" s="1"/>
  <c r="AF905" i="16"/>
  <c r="AP905" i="16" s="1"/>
  <c r="AS1134" i="16"/>
  <c r="AC1127" i="16"/>
  <c r="AM1127" i="16" s="1"/>
  <c r="AD1127" i="16"/>
  <c r="AN1127" i="16" s="1"/>
  <c r="AE1127" i="16"/>
  <c r="AO1127" i="16" s="1"/>
  <c r="AF1127" i="16"/>
  <c r="AP1127" i="16" s="1"/>
  <c r="AS701" i="16"/>
  <c r="AC699" i="16"/>
  <c r="AM699" i="16" s="1"/>
  <c r="AF699" i="16"/>
  <c r="AP699" i="16" s="1"/>
  <c r="AE699" i="16"/>
  <c r="AO699" i="16" s="1"/>
  <c r="AD699" i="16"/>
  <c r="AN699" i="16" s="1"/>
  <c r="AS6" i="16"/>
  <c r="AE6" i="16"/>
  <c r="AO6" i="16" s="1"/>
  <c r="AC6" i="16"/>
  <c r="AM6" i="16" s="1"/>
  <c r="AD6" i="16"/>
  <c r="AN6" i="16" s="1"/>
  <c r="AF6" i="16"/>
  <c r="AP6" i="16" s="1"/>
  <c r="AS155" i="16"/>
  <c r="AE155" i="16"/>
  <c r="AO155" i="16" s="1"/>
  <c r="AF155" i="16"/>
  <c r="AP155" i="16" s="1"/>
  <c r="AC155" i="16"/>
  <c r="AM155" i="16" s="1"/>
  <c r="AD155" i="16"/>
  <c r="AN155" i="16" s="1"/>
  <c r="AS527" i="16"/>
  <c r="AC527" i="16"/>
  <c r="AM527" i="16" s="1"/>
  <c r="AE527" i="16"/>
  <c r="AO527" i="16" s="1"/>
  <c r="AF527" i="16"/>
  <c r="AP527" i="16" s="1"/>
  <c r="AD527" i="16"/>
  <c r="AN527" i="16" s="1"/>
  <c r="AS51" i="16"/>
  <c r="AF51" i="16"/>
  <c r="AP51" i="16" s="1"/>
  <c r="AC51" i="16"/>
  <c r="AM51" i="16" s="1"/>
  <c r="AD51" i="16"/>
  <c r="AN51" i="16" s="1"/>
  <c r="AE51" i="16"/>
  <c r="AO51" i="16" s="1"/>
  <c r="AS397" i="16"/>
  <c r="AE397" i="16"/>
  <c r="AO397" i="16" s="1"/>
  <c r="AC397" i="16"/>
  <c r="AM397" i="16" s="1"/>
  <c r="AD397" i="16"/>
  <c r="AN397" i="16" s="1"/>
  <c r="AF397" i="16"/>
  <c r="AP397" i="16" s="1"/>
  <c r="AS767" i="16"/>
  <c r="AF765" i="16"/>
  <c r="AP765" i="16" s="1"/>
  <c r="AE765" i="16"/>
  <c r="AO765" i="16" s="1"/>
  <c r="AD765" i="16"/>
  <c r="AN765" i="16" s="1"/>
  <c r="AC765" i="16"/>
  <c r="AM765" i="16" s="1"/>
  <c r="AS1197" i="16"/>
  <c r="AE1190" i="16"/>
  <c r="AO1190" i="16" s="1"/>
  <c r="AC1190" i="16"/>
  <c r="AM1190" i="16" s="1"/>
  <c r="AD1190" i="16"/>
  <c r="AN1190" i="16" s="1"/>
  <c r="AF1190" i="16"/>
  <c r="AP1190" i="16" s="1"/>
  <c r="AS845" i="16"/>
  <c r="AD842" i="16"/>
  <c r="AN842" i="16" s="1"/>
  <c r="AC842" i="16"/>
  <c r="AM842" i="16" s="1"/>
  <c r="AF842" i="16"/>
  <c r="AP842" i="16" s="1"/>
  <c r="AE842" i="16"/>
  <c r="AO842" i="16" s="1"/>
  <c r="AS341" i="16"/>
  <c r="AD341" i="16"/>
  <c r="AN341" i="16" s="1"/>
  <c r="AC341" i="16"/>
  <c r="AM341" i="16" s="1"/>
  <c r="AE341" i="16"/>
  <c r="AF341" i="16"/>
  <c r="AP341" i="16" s="1"/>
  <c r="AS971" i="16"/>
  <c r="AC964" i="16"/>
  <c r="AM964" i="16" s="1"/>
  <c r="AE964" i="16"/>
  <c r="AO964" i="16" s="1"/>
  <c r="AD964" i="16"/>
  <c r="AN964" i="16" s="1"/>
  <c r="AF964" i="16"/>
  <c r="AP964" i="16" s="1"/>
  <c r="AS815" i="16"/>
  <c r="AD812" i="16"/>
  <c r="AC812" i="16"/>
  <c r="AM812" i="16" s="1"/>
  <c r="AE812" i="16"/>
  <c r="AO812" i="16" s="1"/>
  <c r="AF812" i="16"/>
  <c r="AP812" i="16" s="1"/>
  <c r="AS316" i="16"/>
  <c r="AE316" i="16"/>
  <c r="AO316" i="16" s="1"/>
  <c r="AD316" i="16"/>
  <c r="AN316" i="16" s="1"/>
  <c r="AF316" i="16"/>
  <c r="AP316" i="16" s="1"/>
  <c r="AC316" i="16"/>
  <c r="AM316" i="16" s="1"/>
  <c r="AS532" i="16"/>
  <c r="AF532" i="16"/>
  <c r="AP532" i="16" s="1"/>
  <c r="AD532" i="16"/>
  <c r="AN532" i="16" s="1"/>
  <c r="AE532" i="16"/>
  <c r="AO532" i="16" s="1"/>
  <c r="AC532" i="16"/>
  <c r="AM532" i="16" s="1"/>
  <c r="AS248" i="16"/>
  <c r="AD248" i="16"/>
  <c r="AN248" i="16" s="1"/>
  <c r="AE248" i="16"/>
  <c r="AO248" i="16" s="1"/>
  <c r="AC248" i="16"/>
  <c r="AM248" i="16" s="1"/>
  <c r="AF248" i="16"/>
  <c r="AP248" i="16" s="1"/>
  <c r="AS682" i="16"/>
  <c r="AF680" i="16"/>
  <c r="AP680" i="16" s="1"/>
  <c r="AE680" i="16"/>
  <c r="AO680" i="16" s="1"/>
  <c r="AD680" i="16"/>
  <c r="AN680" i="16" s="1"/>
  <c r="AC680" i="16"/>
  <c r="AM680" i="16" s="1"/>
  <c r="AS453" i="16"/>
  <c r="AF453" i="16"/>
  <c r="AP453" i="16" s="1"/>
  <c r="AE453" i="16"/>
  <c r="AO453" i="16" s="1"/>
  <c r="AD453" i="16"/>
  <c r="AN453" i="16" s="1"/>
  <c r="AC453" i="16"/>
  <c r="AM453" i="16" s="1"/>
  <c r="AS568" i="16"/>
  <c r="AD566" i="16"/>
  <c r="AN566" i="16" s="1"/>
  <c r="AF566" i="16"/>
  <c r="AP566" i="16" s="1"/>
  <c r="AC566" i="16"/>
  <c r="AM566" i="16" s="1"/>
  <c r="AE566" i="16"/>
  <c r="AO566" i="16" s="1"/>
  <c r="AS784" i="16"/>
  <c r="AF782" i="16"/>
  <c r="AP782" i="16" s="1"/>
  <c r="AE782" i="16"/>
  <c r="AO782" i="16" s="1"/>
  <c r="AD782" i="16"/>
  <c r="AN782" i="16" s="1"/>
  <c r="AC782" i="16"/>
  <c r="AM782" i="16" s="1"/>
  <c r="AS1005" i="16"/>
  <c r="AD998" i="16"/>
  <c r="AN998" i="16" s="1"/>
  <c r="AE998" i="16"/>
  <c r="AO998" i="16" s="1"/>
  <c r="AC998" i="16"/>
  <c r="AM998" i="16" s="1"/>
  <c r="AF998" i="16"/>
  <c r="AP998" i="16" s="1"/>
  <c r="AS571" i="16"/>
  <c r="AD569" i="16"/>
  <c r="AN569" i="16" s="1"/>
  <c r="AF569" i="16"/>
  <c r="AP569" i="16" s="1"/>
  <c r="AC569" i="16"/>
  <c r="AM569" i="16" s="1"/>
  <c r="AE569" i="16"/>
  <c r="AO569" i="16" s="1"/>
  <c r="AS878" i="16"/>
  <c r="AF872" i="16"/>
  <c r="AP872" i="16" s="1"/>
  <c r="AD872" i="16"/>
  <c r="AN872" i="16" s="1"/>
  <c r="AC872" i="16"/>
  <c r="AM872" i="16" s="1"/>
  <c r="AE872" i="16"/>
  <c r="AO872" i="16" s="1"/>
  <c r="AS792" i="16"/>
  <c r="AE790" i="16"/>
  <c r="AO790" i="16" s="1"/>
  <c r="AC790" i="16"/>
  <c r="AM790" i="16" s="1"/>
  <c r="AF790" i="16"/>
  <c r="AP790" i="16" s="1"/>
  <c r="AD790" i="16"/>
  <c r="AN790" i="16" s="1"/>
  <c r="AS1172" i="16"/>
  <c r="AC1165" i="16"/>
  <c r="AM1165" i="16" s="1"/>
  <c r="AD1165" i="16"/>
  <c r="AN1165" i="16" s="1"/>
  <c r="AE1165" i="16"/>
  <c r="AO1165" i="16" s="1"/>
  <c r="AF1165" i="16"/>
  <c r="AP1165" i="16" s="1"/>
  <c r="AS1218" i="16"/>
  <c r="AF1211" i="16"/>
  <c r="AP1211" i="16" s="1"/>
  <c r="AD1211" i="16"/>
  <c r="AN1211" i="16" s="1"/>
  <c r="AE1211" i="16"/>
  <c r="AO1211" i="16" s="1"/>
  <c r="AC1211" i="16"/>
  <c r="AM1211" i="16" s="1"/>
  <c r="AS222" i="16"/>
  <c r="AD222" i="16"/>
  <c r="AN222" i="16" s="1"/>
  <c r="AE222" i="16"/>
  <c r="AC222" i="16"/>
  <c r="AM222" i="16" s="1"/>
  <c r="AF222" i="16"/>
  <c r="AP222" i="16" s="1"/>
  <c r="AS1101" i="16"/>
  <c r="AD1094" i="16"/>
  <c r="AN1094" i="16" s="1"/>
  <c r="AF1094" i="16"/>
  <c r="AP1094" i="16" s="1"/>
  <c r="AE1094" i="16"/>
  <c r="AO1094" i="16" s="1"/>
  <c r="AC1094" i="16"/>
  <c r="AM1094" i="16" s="1"/>
  <c r="AS609" i="16"/>
  <c r="AF607" i="16"/>
  <c r="AP607" i="16" s="1"/>
  <c r="AC607" i="16"/>
  <c r="AM607" i="16" s="1"/>
  <c r="AE607" i="16"/>
  <c r="AO607" i="16" s="1"/>
  <c r="AD607" i="16"/>
  <c r="AN607" i="16" s="1"/>
  <c r="AS358" i="16"/>
  <c r="AE358" i="16"/>
  <c r="AO358" i="16" s="1"/>
  <c r="AD358" i="16"/>
  <c r="AN358" i="16" s="1"/>
  <c r="AF358" i="16"/>
  <c r="AP358" i="16" s="1"/>
  <c r="AC358" i="16"/>
  <c r="AM358" i="16" s="1"/>
  <c r="AS955" i="16"/>
  <c r="AE948" i="16"/>
  <c r="AO948" i="16" s="1"/>
  <c r="AF948" i="16"/>
  <c r="AP948" i="16" s="1"/>
  <c r="AD948" i="16"/>
  <c r="AN948" i="16" s="1"/>
  <c r="AC948" i="16"/>
  <c r="AM948" i="16" s="1"/>
  <c r="AS1112" i="16"/>
  <c r="AE1105" i="16"/>
  <c r="AO1105" i="16" s="1"/>
  <c r="AF1105" i="16"/>
  <c r="AP1105" i="16" s="1"/>
  <c r="AC1105" i="16"/>
  <c r="AM1105" i="16" s="1"/>
  <c r="AD1105" i="16"/>
  <c r="AN1105" i="16" s="1"/>
  <c r="AS1041" i="16"/>
  <c r="AC1034" i="16"/>
  <c r="AM1034" i="16" s="1"/>
  <c r="AD1034" i="16"/>
  <c r="AN1034" i="16" s="1"/>
  <c r="AF1034" i="16"/>
  <c r="AP1034" i="16" s="1"/>
  <c r="AE1034" i="16"/>
  <c r="AO1034" i="16" s="1"/>
  <c r="AS549" i="16"/>
  <c r="AF547" i="16"/>
  <c r="AP547" i="16" s="1"/>
  <c r="AD547" i="16"/>
  <c r="AN547" i="16" s="1"/>
  <c r="AE547" i="16"/>
  <c r="AO547" i="16" s="1"/>
  <c r="AC547" i="16"/>
  <c r="AM547" i="16" s="1"/>
  <c r="AS732" i="16"/>
  <c r="AD730" i="16"/>
  <c r="AN730" i="16" s="1"/>
  <c r="AC730" i="16"/>
  <c r="AM730" i="16" s="1"/>
  <c r="AF730" i="16"/>
  <c r="AP730" i="16" s="1"/>
  <c r="AE730" i="16"/>
  <c r="AO730" i="16" s="1"/>
  <c r="AS1146" i="16"/>
  <c r="AE1139" i="16"/>
  <c r="AO1139" i="16" s="1"/>
  <c r="AD1139" i="16"/>
  <c r="AN1139" i="16" s="1"/>
  <c r="AF1139" i="16"/>
  <c r="AP1139" i="16" s="1"/>
  <c r="AC1139" i="16"/>
  <c r="AM1139" i="16" s="1"/>
  <c r="AS661" i="16"/>
  <c r="AC659" i="16"/>
  <c r="AM659" i="16" s="1"/>
  <c r="AF659" i="16"/>
  <c r="AP659" i="16" s="1"/>
  <c r="AE659" i="16"/>
  <c r="AO659" i="16" s="1"/>
  <c r="AD659" i="16"/>
  <c r="AN659" i="16" s="1"/>
  <c r="AS658" i="16"/>
  <c r="AD656" i="16"/>
  <c r="AN656" i="16" s="1"/>
  <c r="AC656" i="16"/>
  <c r="AM656" i="16" s="1"/>
  <c r="AE656" i="16"/>
  <c r="AO656" i="16" s="1"/>
  <c r="AF656" i="16"/>
  <c r="AP656" i="16" s="1"/>
  <c r="AS570" i="16"/>
  <c r="AE568" i="16"/>
  <c r="AO568" i="16" s="1"/>
  <c r="AD568" i="16"/>
  <c r="AN568" i="16" s="1"/>
  <c r="AC568" i="16"/>
  <c r="AM568" i="16" s="1"/>
  <c r="AF568" i="16"/>
  <c r="AP568" i="16" s="1"/>
  <c r="AS722" i="16"/>
  <c r="AF720" i="16"/>
  <c r="AP720" i="16" s="1"/>
  <c r="AC720" i="16"/>
  <c r="AM720" i="16" s="1"/>
  <c r="AD720" i="16"/>
  <c r="AN720" i="16" s="1"/>
  <c r="AE720" i="16"/>
  <c r="AO720" i="16" s="1"/>
  <c r="AS870" i="16"/>
  <c r="AC864" i="16"/>
  <c r="AM864" i="16" s="1"/>
  <c r="AD864" i="16"/>
  <c r="AN864" i="16" s="1"/>
  <c r="AE864" i="16"/>
  <c r="AO864" i="16" s="1"/>
  <c r="AF864" i="16"/>
  <c r="AP864" i="16" s="1"/>
  <c r="AS981" i="16"/>
  <c r="AD974" i="16"/>
  <c r="AN974" i="16" s="1"/>
  <c r="AE974" i="16"/>
  <c r="AO974" i="16" s="1"/>
  <c r="AC974" i="16"/>
  <c r="AM974" i="16" s="1"/>
  <c r="AF974" i="16"/>
  <c r="AP974" i="16" s="1"/>
  <c r="AS854" i="16"/>
  <c r="AD849" i="16"/>
  <c r="AN849" i="16" s="1"/>
  <c r="AE849" i="16"/>
  <c r="AO849" i="16" s="1"/>
  <c r="AF849" i="16"/>
  <c r="AP849" i="16" s="1"/>
  <c r="AC849" i="16"/>
  <c r="AM849" i="16" s="1"/>
  <c r="AS1038" i="16"/>
  <c r="AF1031" i="16"/>
  <c r="AP1031" i="16" s="1"/>
  <c r="AC1031" i="16"/>
  <c r="AM1031" i="16" s="1"/>
  <c r="AD1031" i="16"/>
  <c r="AN1031" i="16" s="1"/>
  <c r="AE1031" i="16"/>
  <c r="AO1031" i="16" s="1"/>
  <c r="AS791" i="16"/>
  <c r="AF789" i="16"/>
  <c r="AP789" i="16" s="1"/>
  <c r="AE789" i="16"/>
  <c r="AO789" i="16" s="1"/>
  <c r="AD789" i="16"/>
  <c r="AN789" i="16" s="1"/>
  <c r="AC789" i="16"/>
  <c r="AM789" i="16" s="1"/>
  <c r="AS239" i="16"/>
  <c r="AE239" i="16"/>
  <c r="AO239" i="16" s="1"/>
  <c r="AC239" i="16"/>
  <c r="AM239" i="16" s="1"/>
  <c r="AF239" i="16"/>
  <c r="AP239" i="16" s="1"/>
  <c r="AD239" i="16"/>
  <c r="AN239" i="16" s="1"/>
  <c r="AS819" i="16"/>
  <c r="AD816" i="16"/>
  <c r="AN816" i="16" s="1"/>
  <c r="AE816" i="16"/>
  <c r="AO816" i="16" s="1"/>
  <c r="AF816" i="16"/>
  <c r="AP816" i="16" s="1"/>
  <c r="AC816" i="16"/>
  <c r="AM816" i="16" s="1"/>
  <c r="AS814" i="16"/>
  <c r="AC811" i="16"/>
  <c r="AM811" i="16" s="1"/>
  <c r="AE811" i="16"/>
  <c r="AO811" i="16" s="1"/>
  <c r="AF811" i="16"/>
  <c r="AP811" i="16" s="1"/>
  <c r="AD811" i="16"/>
  <c r="AN811" i="16" s="1"/>
  <c r="AS895" i="16"/>
  <c r="AE889" i="16"/>
  <c r="AO889" i="16" s="1"/>
  <c r="AD889" i="16"/>
  <c r="AN889" i="16" s="1"/>
  <c r="AF889" i="16"/>
  <c r="AP889" i="16" s="1"/>
  <c r="AC889" i="16"/>
  <c r="AM889" i="16" s="1"/>
  <c r="AS405" i="16"/>
  <c r="AF405" i="16"/>
  <c r="AP405" i="16" s="1"/>
  <c r="AE405" i="16"/>
  <c r="AO405" i="16" s="1"/>
  <c r="AD405" i="16"/>
  <c r="AN405" i="16" s="1"/>
  <c r="AC405" i="16"/>
  <c r="AM405" i="16" s="1"/>
  <c r="AS116" i="16"/>
  <c r="AD116" i="16"/>
  <c r="AN116" i="16" s="1"/>
  <c r="AC116" i="16"/>
  <c r="AM116" i="16" s="1"/>
  <c r="AF116" i="16"/>
  <c r="AP116" i="16" s="1"/>
  <c r="AE116" i="16"/>
  <c r="AO116" i="16" s="1"/>
  <c r="AS1119" i="16"/>
  <c r="AF1112" i="16"/>
  <c r="AP1112" i="16" s="1"/>
  <c r="AE1112" i="16"/>
  <c r="AO1112" i="16" s="1"/>
  <c r="AC1112" i="16"/>
  <c r="AM1112" i="16" s="1"/>
  <c r="AD1112" i="16"/>
  <c r="AN1112" i="16" s="1"/>
  <c r="AS1014" i="16"/>
  <c r="AF1007" i="16"/>
  <c r="AP1007" i="16" s="1"/>
  <c r="AD1007" i="16"/>
  <c r="AN1007" i="16" s="1"/>
  <c r="AC1007" i="16"/>
  <c r="AM1007" i="16" s="1"/>
  <c r="AE1007" i="16"/>
  <c r="AO1007" i="16" s="1"/>
  <c r="AS1130" i="16"/>
  <c r="AD1123" i="16"/>
  <c r="AN1123" i="16" s="1"/>
  <c r="AE1123" i="16"/>
  <c r="AO1123" i="16" s="1"/>
  <c r="AF1123" i="16"/>
  <c r="AP1123" i="16" s="1"/>
  <c r="AC1123" i="16"/>
  <c r="AM1123" i="16" s="1"/>
  <c r="AS1157" i="16"/>
  <c r="AF1150" i="16"/>
  <c r="AP1150" i="16" s="1"/>
  <c r="AE1150" i="16"/>
  <c r="AO1150" i="16" s="1"/>
  <c r="AC1150" i="16"/>
  <c r="AM1150" i="16" s="1"/>
  <c r="AD1150" i="16"/>
  <c r="AN1150" i="16" s="1"/>
  <c r="AS1199" i="16"/>
  <c r="AC1192" i="16"/>
  <c r="AM1192" i="16" s="1"/>
  <c r="AE1192" i="16"/>
  <c r="AO1192" i="16" s="1"/>
  <c r="AD1192" i="16"/>
  <c r="AN1192" i="16" s="1"/>
  <c r="AF1192" i="16"/>
  <c r="AP1192" i="16" s="1"/>
  <c r="AS816" i="16"/>
  <c r="AF813" i="16"/>
  <c r="AP813" i="16" s="1"/>
  <c r="AE813" i="16"/>
  <c r="AO813" i="16" s="1"/>
  <c r="AD813" i="16"/>
  <c r="AC813" i="16"/>
  <c r="AM813" i="16" s="1"/>
  <c r="AS1074" i="16"/>
  <c r="AE1067" i="16"/>
  <c r="AO1067" i="16" s="1"/>
  <c r="AF1067" i="16"/>
  <c r="AP1067" i="16" s="1"/>
  <c r="AD1067" i="16"/>
  <c r="AN1067" i="16" s="1"/>
  <c r="AC1067" i="16"/>
  <c r="AM1067" i="16" s="1"/>
  <c r="AS713" i="16"/>
  <c r="AC711" i="16"/>
  <c r="AM711" i="16" s="1"/>
  <c r="AD711" i="16"/>
  <c r="AN711" i="16" s="1"/>
  <c r="AE711" i="16"/>
  <c r="AO711" i="16" s="1"/>
  <c r="AF711" i="16"/>
  <c r="AP711" i="16" s="1"/>
  <c r="AS1154" i="16"/>
  <c r="AF1147" i="16"/>
  <c r="AP1147" i="16" s="1"/>
  <c r="AE1147" i="16"/>
  <c r="AO1147" i="16" s="1"/>
  <c r="AD1147" i="16"/>
  <c r="AN1147" i="16" s="1"/>
  <c r="AC1147" i="16"/>
  <c r="AM1147" i="16" s="1"/>
  <c r="AS1047" i="16"/>
  <c r="AC1040" i="16"/>
  <c r="AM1040" i="16" s="1"/>
  <c r="AD1040" i="16"/>
  <c r="AN1040" i="16" s="1"/>
  <c r="AE1040" i="16"/>
  <c r="AO1040" i="16" s="1"/>
  <c r="AF1040" i="16"/>
  <c r="AP1040" i="16" s="1"/>
  <c r="AS325" i="16"/>
  <c r="AD325" i="16"/>
  <c r="AN325" i="16" s="1"/>
  <c r="AE325" i="16"/>
  <c r="AO325" i="16" s="1"/>
  <c r="AF325" i="16"/>
  <c r="AP325" i="16" s="1"/>
  <c r="AC325" i="16"/>
  <c r="AM325" i="16" s="1"/>
  <c r="AS264" i="16"/>
  <c r="AE264" i="16"/>
  <c r="AO264" i="16" s="1"/>
  <c r="AC264" i="16"/>
  <c r="AM264" i="16" s="1"/>
  <c r="AF264" i="16"/>
  <c r="AP264" i="16" s="1"/>
  <c r="AD264" i="16"/>
  <c r="AN264" i="16" s="1"/>
  <c r="AS274" i="16"/>
  <c r="AD274" i="16"/>
  <c r="AN274" i="16" s="1"/>
  <c r="AE274" i="16"/>
  <c r="AO274" i="16" s="1"/>
  <c r="AF274" i="16"/>
  <c r="AP274" i="16" s="1"/>
  <c r="AC274" i="16"/>
  <c r="AM274" i="16" s="1"/>
  <c r="AS595" i="16"/>
  <c r="AF593" i="16"/>
  <c r="AP593" i="16" s="1"/>
  <c r="AE593" i="16"/>
  <c r="AO593" i="16" s="1"/>
  <c r="AD593" i="16"/>
  <c r="AN593" i="16" s="1"/>
  <c r="AC593" i="16"/>
  <c r="AM593" i="16" s="1"/>
  <c r="AS241" i="16"/>
  <c r="AF241" i="16"/>
  <c r="AP241" i="16" s="1"/>
  <c r="AD241" i="16"/>
  <c r="AN241" i="16" s="1"/>
  <c r="AE241" i="16"/>
  <c r="AO241" i="16" s="1"/>
  <c r="AC241" i="16"/>
  <c r="AM241" i="16" s="1"/>
  <c r="AS899" i="16"/>
  <c r="AC893" i="16"/>
  <c r="AM893" i="16" s="1"/>
  <c r="AF893" i="16"/>
  <c r="AP893" i="16" s="1"/>
  <c r="AD893" i="16"/>
  <c r="AN893" i="16" s="1"/>
  <c r="AE893" i="16"/>
  <c r="AO893" i="16" s="1"/>
  <c r="AS942" i="16"/>
  <c r="AC936" i="16"/>
  <c r="AM936" i="16" s="1"/>
  <c r="AD936" i="16"/>
  <c r="AN936" i="16" s="1"/>
  <c r="AF936" i="16"/>
  <c r="AP936" i="16" s="1"/>
  <c r="AE936" i="16"/>
  <c r="AO936" i="16" s="1"/>
  <c r="AS266" i="16"/>
  <c r="AE266" i="16"/>
  <c r="AO266" i="16" s="1"/>
  <c r="AF266" i="16"/>
  <c r="AP266" i="16" s="1"/>
  <c r="AC266" i="16"/>
  <c r="AM266" i="16" s="1"/>
  <c r="AD266" i="16"/>
  <c r="AN266" i="16" s="1"/>
  <c r="AS592" i="16"/>
  <c r="AE590" i="16"/>
  <c r="AO590" i="16" s="1"/>
  <c r="AC590" i="16"/>
  <c r="AM590" i="16" s="1"/>
  <c r="AF590" i="16"/>
  <c r="AP590" i="16" s="1"/>
  <c r="AD590" i="16"/>
  <c r="AN590" i="16" s="1"/>
  <c r="AS3" i="16"/>
  <c r="AF3" i="16"/>
  <c r="AP3" i="16" s="1"/>
  <c r="AE3" i="16"/>
  <c r="AD3" i="16"/>
  <c r="AN3" i="16" s="1"/>
  <c r="AC3" i="16"/>
  <c r="AM3" i="16" s="1"/>
  <c r="AS5" i="16"/>
  <c r="AD5" i="16"/>
  <c r="AN5" i="16" s="1"/>
  <c r="AF5" i="16"/>
  <c r="AP5" i="16" s="1"/>
  <c r="AC5" i="16"/>
  <c r="AM5" i="16" s="1"/>
  <c r="AE5" i="16"/>
  <c r="AO5" i="16" s="1"/>
  <c r="AS154" i="16"/>
  <c r="AE154" i="16"/>
  <c r="AO154" i="16" s="1"/>
  <c r="AF154" i="16"/>
  <c r="AP154" i="16" s="1"/>
  <c r="AD154" i="16"/>
  <c r="AN154" i="16" s="1"/>
  <c r="AC154" i="16"/>
  <c r="AM154" i="16" s="1"/>
  <c r="AS4" i="16"/>
  <c r="AC4" i="16"/>
  <c r="AM4" i="16" s="1"/>
  <c r="AF4" i="16"/>
  <c r="AP4" i="16" s="1"/>
  <c r="AE4" i="16"/>
  <c r="AO4" i="16" s="1"/>
  <c r="AD4" i="16"/>
  <c r="AN4" i="16" s="1"/>
  <c r="AS151" i="16"/>
  <c r="AC151" i="16"/>
  <c r="AM151" i="16" s="1"/>
  <c r="AF151" i="16"/>
  <c r="AP151" i="16" s="1"/>
  <c r="AD151" i="16"/>
  <c r="AN151" i="16" s="1"/>
  <c r="AE151" i="16"/>
  <c r="AO151" i="16" s="1"/>
  <c r="AS181" i="16"/>
  <c r="AF181" i="16"/>
  <c r="AP181" i="16" s="1"/>
  <c r="AE181" i="16"/>
  <c r="AO181" i="16" s="1"/>
  <c r="AD181" i="16"/>
  <c r="AN181" i="16" s="1"/>
  <c r="AC181" i="16"/>
  <c r="AM181" i="16" s="1"/>
  <c r="AS96" i="16"/>
  <c r="AF96" i="16"/>
  <c r="AP96" i="16" s="1"/>
  <c r="AE96" i="16"/>
  <c r="AO96" i="16" s="1"/>
  <c r="AD96" i="16"/>
  <c r="AN96" i="16" s="1"/>
  <c r="AC96" i="16"/>
  <c r="AM96" i="16" s="1"/>
  <c r="AS432" i="16"/>
  <c r="AC432" i="16"/>
  <c r="AM432" i="16" s="1"/>
  <c r="AE432" i="16"/>
  <c r="AO432" i="16" s="1"/>
  <c r="AD432" i="16"/>
  <c r="AN432" i="16" s="1"/>
  <c r="AF432" i="16"/>
  <c r="AP432" i="16" s="1"/>
  <c r="AS166" i="16"/>
  <c r="AE166" i="16"/>
  <c r="AO166" i="16" s="1"/>
  <c r="AD166" i="16"/>
  <c r="AN166" i="16" s="1"/>
  <c r="AC166" i="16"/>
  <c r="AM166" i="16" s="1"/>
  <c r="AF166" i="16"/>
  <c r="AP166" i="16" s="1"/>
  <c r="AS85" i="16"/>
  <c r="AC85" i="16"/>
  <c r="AM85" i="16" s="1"/>
  <c r="AD85" i="16"/>
  <c r="AN85" i="16" s="1"/>
  <c r="AF85" i="16"/>
  <c r="AP85" i="16" s="1"/>
  <c r="AE85" i="16"/>
  <c r="AO85" i="16" s="1"/>
  <c r="AS182" i="16"/>
  <c r="AE182" i="16"/>
  <c r="AO182" i="16" s="1"/>
  <c r="AF182" i="16"/>
  <c r="AP182" i="16" s="1"/>
  <c r="AD182" i="16"/>
  <c r="AN182" i="16" s="1"/>
  <c r="AC182" i="16"/>
  <c r="AM182" i="16" s="1"/>
  <c r="AS210" i="16"/>
  <c r="AD210" i="16"/>
  <c r="AN210" i="16" s="1"/>
  <c r="AF210" i="16"/>
  <c r="AP210" i="16" s="1"/>
  <c r="AE210" i="16"/>
  <c r="AO210" i="16" s="1"/>
  <c r="AC210" i="16"/>
  <c r="AM210" i="16" s="1"/>
  <c r="AS548" i="16"/>
  <c r="AC546" i="16"/>
  <c r="AM546" i="16" s="1"/>
  <c r="AE546" i="16"/>
  <c r="AO546" i="16" s="1"/>
  <c r="AF546" i="16"/>
  <c r="AP546" i="16" s="1"/>
  <c r="AD546" i="16"/>
  <c r="AN546" i="16" s="1"/>
  <c r="AS101" i="16"/>
  <c r="AE101" i="16"/>
  <c r="AO101" i="16" s="1"/>
  <c r="AF101" i="16"/>
  <c r="AP101" i="16" s="1"/>
  <c r="AC101" i="16"/>
  <c r="AM101" i="16" s="1"/>
  <c r="AD101" i="16"/>
  <c r="AN101" i="16" s="1"/>
  <c r="AS445" i="16"/>
  <c r="AF445" i="16"/>
  <c r="AP445" i="16" s="1"/>
  <c r="AE445" i="16"/>
  <c r="AO445" i="16" s="1"/>
  <c r="AD445" i="16"/>
  <c r="AN445" i="16" s="1"/>
  <c r="AC445" i="16"/>
  <c r="AM445" i="16" s="1"/>
  <c r="AS33" i="16"/>
  <c r="AC33" i="16"/>
  <c r="AM33" i="16" s="1"/>
  <c r="AE33" i="16"/>
  <c r="AO33" i="16" s="1"/>
  <c r="AD33" i="16"/>
  <c r="AN33" i="16" s="1"/>
  <c r="AF33" i="16"/>
  <c r="AP33" i="16" s="1"/>
  <c r="AS306" i="16"/>
  <c r="AC306" i="16"/>
  <c r="AM306" i="16" s="1"/>
  <c r="AE306" i="16"/>
  <c r="AO306" i="16" s="1"/>
  <c r="AF306" i="16"/>
  <c r="AP306" i="16" s="1"/>
  <c r="AD306" i="16"/>
  <c r="AN306" i="16" s="1"/>
  <c r="AS90" i="16"/>
  <c r="AF90" i="16"/>
  <c r="AP90" i="16" s="1"/>
  <c r="AE90" i="16"/>
  <c r="AO90" i="16" s="1"/>
  <c r="AD90" i="16"/>
  <c r="AN90" i="16" s="1"/>
  <c r="AC90" i="16"/>
  <c r="AM90" i="16" s="1"/>
  <c r="AS524" i="16"/>
  <c r="AF524" i="16"/>
  <c r="AP524" i="16" s="1"/>
  <c r="AC524" i="16"/>
  <c r="AM524" i="16" s="1"/>
  <c r="AE524" i="16"/>
  <c r="AO524" i="16" s="1"/>
  <c r="AD524" i="16"/>
  <c r="AN524" i="16" s="1"/>
  <c r="AS550" i="16"/>
  <c r="AF548" i="16"/>
  <c r="AP548" i="16" s="1"/>
  <c r="AD548" i="16"/>
  <c r="AN548" i="16" s="1"/>
  <c r="AE548" i="16"/>
  <c r="AO548" i="16" s="1"/>
  <c r="AC548" i="16"/>
  <c r="AM548" i="16" s="1"/>
  <c r="AS415" i="16"/>
  <c r="AF415" i="16"/>
  <c r="AP415" i="16" s="1"/>
  <c r="AD415" i="16"/>
  <c r="AN415" i="16" s="1"/>
  <c r="AE415" i="16"/>
  <c r="AO415" i="16" s="1"/>
  <c r="AC415" i="16"/>
  <c r="AM415" i="16" s="1"/>
  <c r="AS99" i="16"/>
  <c r="AD99" i="16"/>
  <c r="AN99" i="16" s="1"/>
  <c r="AC99" i="16"/>
  <c r="AM99" i="16" s="1"/>
  <c r="AE99" i="16"/>
  <c r="AO99" i="16" s="1"/>
  <c r="AF99" i="16"/>
  <c r="AP99" i="16" s="1"/>
  <c r="AS619" i="16"/>
  <c r="AF617" i="16"/>
  <c r="AP617" i="16" s="1"/>
  <c r="AE617" i="16"/>
  <c r="AO617" i="16" s="1"/>
  <c r="AC617" i="16"/>
  <c r="AM617" i="16" s="1"/>
  <c r="AD617" i="16"/>
  <c r="AN617" i="16" s="1"/>
  <c r="AS39" i="16"/>
  <c r="AC39" i="16"/>
  <c r="AM39" i="16" s="1"/>
  <c r="AF39" i="16"/>
  <c r="AP39" i="16" s="1"/>
  <c r="AE39" i="16"/>
  <c r="AO39" i="16" s="1"/>
  <c r="AD39" i="16"/>
  <c r="AN39" i="16" s="1"/>
  <c r="AS65" i="16"/>
  <c r="AF65" i="16"/>
  <c r="AP65" i="16" s="1"/>
  <c r="AC65" i="16"/>
  <c r="AM65" i="16" s="1"/>
  <c r="AD65" i="16"/>
  <c r="AN65" i="16" s="1"/>
  <c r="AE65" i="16"/>
  <c r="AO65" i="16" s="1"/>
  <c r="AS32" i="16"/>
  <c r="AD32" i="16"/>
  <c r="AN32" i="16" s="1"/>
  <c r="AE32" i="16"/>
  <c r="AO32" i="16" s="1"/>
  <c r="AF32" i="16"/>
  <c r="AP32" i="16" s="1"/>
  <c r="AC32" i="16"/>
  <c r="AM32" i="16" s="1"/>
  <c r="AS112" i="16"/>
  <c r="AE112" i="16"/>
  <c r="AO112" i="16" s="1"/>
  <c r="AC112" i="16"/>
  <c r="AM112" i="16" s="1"/>
  <c r="AD112" i="16"/>
  <c r="AN112" i="16" s="1"/>
  <c r="AF112" i="16"/>
  <c r="AP112" i="16" s="1"/>
  <c r="AS947" i="16"/>
  <c r="AF941" i="16"/>
  <c r="AP941" i="16" s="1"/>
  <c r="AD941" i="16"/>
  <c r="AN941" i="16" s="1"/>
  <c r="AE941" i="16"/>
  <c r="AO941" i="16" s="1"/>
  <c r="AC941" i="16"/>
  <c r="AM941" i="16" s="1"/>
  <c r="AS245" i="16"/>
  <c r="AC245" i="16"/>
  <c r="AM245" i="16" s="1"/>
  <c r="AD245" i="16"/>
  <c r="AN245" i="16" s="1"/>
  <c r="AF245" i="16"/>
  <c r="AP245" i="16" s="1"/>
  <c r="AE245" i="16"/>
  <c r="AO245" i="16" s="1"/>
  <c r="AS800" i="16"/>
  <c r="AC797" i="16"/>
  <c r="AM797" i="16" s="1"/>
  <c r="AD797" i="16"/>
  <c r="AN797" i="16" s="1"/>
  <c r="AE797" i="16"/>
  <c r="AO797" i="16" s="1"/>
  <c r="AF797" i="16"/>
  <c r="AP797" i="16" s="1"/>
  <c r="AS886" i="16"/>
  <c r="AF880" i="16"/>
  <c r="AP880" i="16" s="1"/>
  <c r="AC880" i="16"/>
  <c r="AM880" i="16" s="1"/>
  <c r="AE880" i="16"/>
  <c r="AO880" i="16" s="1"/>
  <c r="AD880" i="16"/>
  <c r="AN880" i="16" s="1"/>
  <c r="AS89" i="16"/>
  <c r="AE89" i="16"/>
  <c r="AO89" i="16" s="1"/>
  <c r="AF89" i="16"/>
  <c r="AP89" i="16" s="1"/>
  <c r="AD89" i="16"/>
  <c r="AN89" i="16" s="1"/>
  <c r="AC89" i="16"/>
  <c r="AM89" i="16" s="1"/>
  <c r="AS246" i="16"/>
  <c r="AE246" i="16"/>
  <c r="AO246" i="16" s="1"/>
  <c r="AF246" i="16"/>
  <c r="AP246" i="16" s="1"/>
  <c r="AC246" i="16"/>
  <c r="AM246" i="16" s="1"/>
  <c r="AD246" i="16"/>
  <c r="AN246" i="16" s="1"/>
  <c r="AS87" i="16"/>
  <c r="AC87" i="16"/>
  <c r="AM87" i="16" s="1"/>
  <c r="AD87" i="16"/>
  <c r="AN87" i="16" s="1"/>
  <c r="AE87" i="16"/>
  <c r="AO87" i="16" s="1"/>
  <c r="AF87" i="16"/>
  <c r="AP87" i="16" s="1"/>
  <c r="AS803" i="16"/>
  <c r="AE800" i="16"/>
  <c r="AO800" i="16" s="1"/>
  <c r="AD800" i="16"/>
  <c r="AN800" i="16" s="1"/>
  <c r="AC800" i="16"/>
  <c r="AM800" i="16" s="1"/>
  <c r="AF800" i="16"/>
  <c r="AP800" i="16" s="1"/>
  <c r="AS16" i="16"/>
  <c r="AF16" i="16"/>
  <c r="AP16" i="16" s="1"/>
  <c r="AE16" i="16"/>
  <c r="AO16" i="16" s="1"/>
  <c r="AD16" i="16"/>
  <c r="AN16" i="16" s="1"/>
  <c r="AC16" i="16"/>
  <c r="AM16" i="16" s="1"/>
  <c r="AS153" i="16"/>
  <c r="AC153" i="16"/>
  <c r="AM153" i="16" s="1"/>
  <c r="AD153" i="16"/>
  <c r="AN153" i="16" s="1"/>
  <c r="AE153" i="16"/>
  <c r="AO153" i="16" s="1"/>
  <c r="AF153" i="16"/>
  <c r="AP153" i="16" s="1"/>
  <c r="AS41" i="16"/>
  <c r="AF41" i="16"/>
  <c r="AP41" i="16" s="1"/>
  <c r="AC41" i="16"/>
  <c r="AM41" i="16" s="1"/>
  <c r="AD41" i="16"/>
  <c r="AN41" i="16" s="1"/>
  <c r="AE41" i="16"/>
  <c r="AO41" i="16" s="1"/>
  <c r="AS269" i="16"/>
  <c r="AF269" i="16"/>
  <c r="AP269" i="16" s="1"/>
  <c r="AD269" i="16"/>
  <c r="AN269" i="16" s="1"/>
  <c r="AE269" i="16"/>
  <c r="AO269" i="16" s="1"/>
  <c r="AC269" i="16"/>
  <c r="AM269" i="16" s="1"/>
  <c r="AS339" i="16"/>
  <c r="AD339" i="16"/>
  <c r="AN339" i="16" s="1"/>
  <c r="AF339" i="16"/>
  <c r="AP339" i="16" s="1"/>
  <c r="AE339" i="16"/>
  <c r="AO339" i="16" s="1"/>
  <c r="AC339" i="16"/>
  <c r="AM339" i="16" s="1"/>
  <c r="AS253" i="16"/>
  <c r="AE253" i="16"/>
  <c r="AO253" i="16" s="1"/>
  <c r="AF253" i="16"/>
  <c r="AP253" i="16" s="1"/>
  <c r="AD253" i="16"/>
  <c r="AN253" i="16" s="1"/>
  <c r="AC253" i="16"/>
  <c r="AM253" i="16" s="1"/>
  <c r="AS462" i="16"/>
  <c r="AC462" i="16"/>
  <c r="AM462" i="16" s="1"/>
  <c r="AF462" i="16"/>
  <c r="AP462" i="16" s="1"/>
  <c r="AD462" i="16"/>
  <c r="AN462" i="16" s="1"/>
  <c r="AE462" i="16"/>
  <c r="AO462" i="16" s="1"/>
  <c r="AS539" i="16"/>
  <c r="AC539" i="16"/>
  <c r="AM539" i="16" s="1"/>
  <c r="AE539" i="16"/>
  <c r="AO539" i="16" s="1"/>
  <c r="AF539" i="16"/>
  <c r="AP539" i="16" s="1"/>
  <c r="AD539" i="16"/>
  <c r="AN539" i="16" s="1"/>
  <c r="AS95" i="16"/>
  <c r="AF95" i="16"/>
  <c r="AP95" i="16" s="1"/>
  <c r="AE95" i="16"/>
  <c r="AO95" i="16" s="1"/>
  <c r="AD95" i="16"/>
  <c r="AN95" i="16" s="1"/>
  <c r="AC95" i="16"/>
  <c r="AM95" i="16" s="1"/>
  <c r="AS234" i="16"/>
  <c r="AD234" i="16"/>
  <c r="AN234" i="16" s="1"/>
  <c r="AC234" i="16"/>
  <c r="AM234" i="16" s="1"/>
  <c r="AE234" i="16"/>
  <c r="AO234" i="16" s="1"/>
  <c r="AF234" i="16"/>
  <c r="AP234" i="16" s="1"/>
  <c r="AS46" i="16"/>
  <c r="AE46" i="16"/>
  <c r="AO46" i="16" s="1"/>
  <c r="AF46" i="16"/>
  <c r="AP46" i="16" s="1"/>
  <c r="AC46" i="16"/>
  <c r="AM46" i="16" s="1"/>
  <c r="AD46" i="16"/>
  <c r="AN46" i="16" s="1"/>
  <c r="AS695" i="16"/>
  <c r="AE693" i="16"/>
  <c r="AO693" i="16" s="1"/>
  <c r="AF693" i="16"/>
  <c r="AP693" i="16" s="1"/>
  <c r="AD693" i="16"/>
  <c r="AC693" i="16"/>
  <c r="AM693" i="16" s="1"/>
  <c r="AS357" i="16"/>
  <c r="AF357" i="16"/>
  <c r="AP357" i="16" s="1"/>
  <c r="AC357" i="16"/>
  <c r="AM357" i="16" s="1"/>
  <c r="AD357" i="16"/>
  <c r="AN357" i="16" s="1"/>
  <c r="AE357" i="16"/>
  <c r="AO357" i="16" s="1"/>
  <c r="AS47" i="16"/>
  <c r="AC47" i="16"/>
  <c r="AM47" i="16" s="1"/>
  <c r="AE47" i="16"/>
  <c r="AO47" i="16" s="1"/>
  <c r="AD47" i="16"/>
  <c r="AN47" i="16" s="1"/>
  <c r="AF47" i="16"/>
  <c r="AP47" i="16" s="1"/>
  <c r="AS37" i="16"/>
  <c r="AF37" i="16"/>
  <c r="AP37" i="16" s="1"/>
  <c r="AE37" i="16"/>
  <c r="AO37" i="16" s="1"/>
  <c r="AC37" i="16"/>
  <c r="AM37" i="16" s="1"/>
  <c r="AD37" i="16"/>
  <c r="AN37" i="16" s="1"/>
  <c r="AS429" i="16"/>
  <c r="AC429" i="16"/>
  <c r="AM429" i="16" s="1"/>
  <c r="AF429" i="16"/>
  <c r="AP429" i="16" s="1"/>
  <c r="AE429" i="16"/>
  <c r="AO429" i="16" s="1"/>
  <c r="AD429" i="16"/>
  <c r="AN429" i="16" s="1"/>
  <c r="AS685" i="16"/>
  <c r="AC683" i="16"/>
  <c r="AM683" i="16" s="1"/>
  <c r="AF683" i="16"/>
  <c r="AP683" i="16" s="1"/>
  <c r="AD683" i="16"/>
  <c r="AN683" i="16" s="1"/>
  <c r="AE683" i="16"/>
  <c r="AO683" i="16" s="1"/>
  <c r="AS812" i="16"/>
  <c r="AD809" i="16"/>
  <c r="AN809" i="16" s="1"/>
  <c r="AF809" i="16"/>
  <c r="AP809" i="16" s="1"/>
  <c r="AE809" i="16"/>
  <c r="AO809" i="16" s="1"/>
  <c r="AC809" i="16"/>
  <c r="AM809" i="16" s="1"/>
  <c r="AS107" i="16"/>
  <c r="AE107" i="16"/>
  <c r="AO107" i="16" s="1"/>
  <c r="AF107" i="16"/>
  <c r="AP107" i="16" s="1"/>
  <c r="AC107" i="16"/>
  <c r="AM107" i="16" s="1"/>
  <c r="AD107" i="16"/>
  <c r="AN107" i="16" s="1"/>
  <c r="AS262" i="16"/>
  <c r="AD262" i="16"/>
  <c r="AN262" i="16" s="1"/>
  <c r="AC262" i="16"/>
  <c r="AM262" i="16" s="1"/>
  <c r="AF262" i="16"/>
  <c r="AP262" i="16" s="1"/>
  <c r="AE262" i="16"/>
  <c r="AO262" i="16" s="1"/>
  <c r="AS598" i="16"/>
  <c r="AD596" i="16"/>
  <c r="AN596" i="16" s="1"/>
  <c r="AE596" i="16"/>
  <c r="AO596" i="16" s="1"/>
  <c r="AF596" i="16"/>
  <c r="AP596" i="16" s="1"/>
  <c r="AC596" i="16"/>
  <c r="AM596" i="16" s="1"/>
  <c r="AS504" i="16"/>
  <c r="AC504" i="16"/>
  <c r="AM504" i="16" s="1"/>
  <c r="AF504" i="16"/>
  <c r="AP504" i="16" s="1"/>
  <c r="AE504" i="16"/>
  <c r="AO504" i="16" s="1"/>
  <c r="AD504" i="16"/>
  <c r="AN504" i="16" s="1"/>
  <c r="AS305" i="16"/>
  <c r="AC305" i="16"/>
  <c r="AM305" i="16" s="1"/>
  <c r="AE305" i="16"/>
  <c r="AO305" i="16" s="1"/>
  <c r="AD305" i="16"/>
  <c r="AN305" i="16" s="1"/>
  <c r="AF305" i="16"/>
  <c r="AP305" i="16" s="1"/>
  <c r="AS28" i="16"/>
  <c r="AF28" i="16"/>
  <c r="AP28" i="16" s="1"/>
  <c r="AE28" i="16"/>
  <c r="AO28" i="16" s="1"/>
  <c r="AD28" i="16"/>
  <c r="AN28" i="16" s="1"/>
  <c r="AC28" i="16"/>
  <c r="AM28" i="16" s="1"/>
  <c r="AS373" i="16"/>
  <c r="AE373" i="16"/>
  <c r="AO373" i="16" s="1"/>
  <c r="AF373" i="16"/>
  <c r="AP373" i="16" s="1"/>
  <c r="AD373" i="16"/>
  <c r="AN373" i="16" s="1"/>
  <c r="AC373" i="16"/>
  <c r="AM373" i="16" s="1"/>
  <c r="AS755" i="16"/>
  <c r="AF753" i="16"/>
  <c r="AP753" i="16" s="1"/>
  <c r="AD753" i="16"/>
  <c r="AE753" i="16"/>
  <c r="AO753" i="16" s="1"/>
  <c r="AC753" i="16"/>
  <c r="AM753" i="16" s="1"/>
  <c r="AS933" i="16"/>
  <c r="AD927" i="16"/>
  <c r="AN927" i="16" s="1"/>
  <c r="AF927" i="16"/>
  <c r="AP927" i="16" s="1"/>
  <c r="AC927" i="16"/>
  <c r="AM927" i="16" s="1"/>
  <c r="AE927" i="16"/>
  <c r="AO927" i="16" s="1"/>
  <c r="AS943" i="16"/>
  <c r="AE937" i="16"/>
  <c r="AO937" i="16" s="1"/>
  <c r="AD937" i="16"/>
  <c r="AN937" i="16" s="1"/>
  <c r="AF937" i="16"/>
  <c r="AP937" i="16" s="1"/>
  <c r="AC937" i="16"/>
  <c r="AM937" i="16" s="1"/>
  <c r="AS1063" i="16"/>
  <c r="AC1056" i="16"/>
  <c r="AM1056" i="16" s="1"/>
  <c r="AF1056" i="16"/>
  <c r="AP1056" i="16" s="1"/>
  <c r="AD1056" i="16"/>
  <c r="AN1056" i="16" s="1"/>
  <c r="AE1056" i="16"/>
  <c r="AO1056" i="16" s="1"/>
  <c r="AS1015" i="16"/>
  <c r="AF1008" i="16"/>
  <c r="AP1008" i="16" s="1"/>
  <c r="AD1008" i="16"/>
  <c r="AN1008" i="16" s="1"/>
  <c r="AE1008" i="16"/>
  <c r="AO1008" i="16" s="1"/>
  <c r="AC1008" i="16"/>
  <c r="AM1008" i="16" s="1"/>
  <c r="AS1194" i="16"/>
  <c r="AF1187" i="16"/>
  <c r="AP1187" i="16" s="1"/>
  <c r="AD1187" i="16"/>
  <c r="AN1187" i="16" s="1"/>
  <c r="AC1187" i="16"/>
  <c r="AM1187" i="16" s="1"/>
  <c r="AE1187" i="16"/>
  <c r="AO1187" i="16" s="1"/>
  <c r="AS1122" i="16"/>
  <c r="AE1115" i="16"/>
  <c r="AO1115" i="16" s="1"/>
  <c r="AF1115" i="16"/>
  <c r="AP1115" i="16" s="1"/>
  <c r="AD1115" i="16"/>
  <c r="AN1115" i="16" s="1"/>
  <c r="AC1115" i="16"/>
  <c r="AM1115" i="16" s="1"/>
  <c r="AS905" i="16"/>
  <c r="AD899" i="16"/>
  <c r="AN899" i="16" s="1"/>
  <c r="AC899" i="16"/>
  <c r="AM899" i="16" s="1"/>
  <c r="AE899" i="16"/>
  <c r="AO899" i="16" s="1"/>
  <c r="AF899" i="16"/>
  <c r="AP899" i="16" s="1"/>
  <c r="AS855" i="16"/>
  <c r="AC850" i="16"/>
  <c r="AM850" i="16" s="1"/>
  <c r="AF850" i="16"/>
  <c r="AP850" i="16" s="1"/>
  <c r="AE850" i="16"/>
  <c r="AO850" i="16" s="1"/>
  <c r="AD850" i="16"/>
  <c r="AN850" i="16" s="1"/>
  <c r="AS780" i="16"/>
  <c r="AC778" i="16"/>
  <c r="AM778" i="16" s="1"/>
  <c r="AD778" i="16"/>
  <c r="AN778" i="16" s="1"/>
  <c r="AE778" i="16"/>
  <c r="AO778" i="16" s="1"/>
  <c r="AF778" i="16"/>
  <c r="AP778" i="16" s="1"/>
  <c r="AS1190" i="16"/>
  <c r="AD1183" i="16"/>
  <c r="AN1183" i="16" s="1"/>
  <c r="AF1183" i="16"/>
  <c r="AP1183" i="16" s="1"/>
  <c r="AE1183" i="16"/>
  <c r="AO1183" i="16" s="1"/>
  <c r="AC1183" i="16"/>
  <c r="AM1183" i="16" s="1"/>
  <c r="AS1056" i="16"/>
  <c r="AD1049" i="16"/>
  <c r="AN1049" i="16" s="1"/>
  <c r="AE1049" i="16"/>
  <c r="AO1049" i="16" s="1"/>
  <c r="AC1049" i="16"/>
  <c r="AM1049" i="16" s="1"/>
  <c r="AF1049" i="16"/>
  <c r="AP1049" i="16" s="1"/>
  <c r="AS684" i="16"/>
  <c r="AD682" i="16"/>
  <c r="AN682" i="16" s="1"/>
  <c r="AE682" i="16"/>
  <c r="AO682" i="16" s="1"/>
  <c r="AF682" i="16"/>
  <c r="AP682" i="16" s="1"/>
  <c r="AC682" i="16"/>
  <c r="AM682" i="16" s="1"/>
  <c r="AS612" i="16"/>
  <c r="AC610" i="16"/>
  <c r="AM610" i="16" s="1"/>
  <c r="AE610" i="16"/>
  <c r="AO610" i="16" s="1"/>
  <c r="AF610" i="16"/>
  <c r="AP610" i="16" s="1"/>
  <c r="AD610" i="16"/>
  <c r="AN610" i="16" s="1"/>
  <c r="AS394" i="16"/>
  <c r="AC394" i="16"/>
  <c r="AM394" i="16" s="1"/>
  <c r="AF394" i="16"/>
  <c r="AP394" i="16" s="1"/>
  <c r="AD394" i="16"/>
  <c r="AN394" i="16" s="1"/>
  <c r="AE394" i="16"/>
  <c r="AO394" i="16" s="1"/>
  <c r="AS190" i="16"/>
  <c r="AC190" i="16"/>
  <c r="AM190" i="16" s="1"/>
  <c r="AD190" i="16"/>
  <c r="AN190" i="16" s="1"/>
  <c r="AE190" i="16"/>
  <c r="AO190" i="16" s="1"/>
  <c r="AF190" i="16"/>
  <c r="AP190" i="16" s="1"/>
  <c r="AS129" i="16"/>
  <c r="AD129" i="16"/>
  <c r="AN129" i="16" s="1"/>
  <c r="AC129" i="16"/>
  <c r="AM129" i="16" s="1"/>
  <c r="AF129" i="16"/>
  <c r="AP129" i="16" s="1"/>
  <c r="AE129" i="16"/>
  <c r="AO129" i="16" s="1"/>
  <c r="AS694" i="16"/>
  <c r="AC692" i="16"/>
  <c r="AM692" i="16" s="1"/>
  <c r="AF692" i="16"/>
  <c r="AP692" i="16" s="1"/>
  <c r="AD692" i="16"/>
  <c r="AN692" i="16" s="1"/>
  <c r="AE692" i="16"/>
  <c r="AO692" i="16" s="1"/>
  <c r="AS562" i="16"/>
  <c r="AF560" i="16"/>
  <c r="AP560" i="16" s="1"/>
  <c r="AE560" i="16"/>
  <c r="AO560" i="16" s="1"/>
  <c r="AC560" i="16"/>
  <c r="AM560" i="16" s="1"/>
  <c r="AD560" i="16"/>
  <c r="AN560" i="16" s="1"/>
  <c r="AS284" i="16"/>
  <c r="AD284" i="16"/>
  <c r="AN284" i="16" s="1"/>
  <c r="AF284" i="16"/>
  <c r="AP284" i="16" s="1"/>
  <c r="AE284" i="16"/>
  <c r="AO284" i="16" s="1"/>
  <c r="AC284" i="16"/>
  <c r="AM284" i="16" s="1"/>
  <c r="AS200" i="16"/>
  <c r="AD200" i="16"/>
  <c r="AN200" i="16" s="1"/>
  <c r="AC200" i="16"/>
  <c r="AM200" i="16" s="1"/>
  <c r="AF200" i="16"/>
  <c r="AP200" i="16" s="1"/>
  <c r="AE200" i="16"/>
  <c r="AO200" i="16" s="1"/>
  <c r="AS188" i="16"/>
  <c r="AC188" i="16"/>
  <c r="AM188" i="16" s="1"/>
  <c r="AF188" i="16"/>
  <c r="AP188" i="16" s="1"/>
  <c r="AE188" i="16"/>
  <c r="AO188" i="16" s="1"/>
  <c r="AD188" i="16"/>
  <c r="AN188" i="16" s="1"/>
  <c r="AS164" i="16"/>
  <c r="AF164" i="16"/>
  <c r="AP164" i="16" s="1"/>
  <c r="AE164" i="16"/>
  <c r="AO164" i="16" s="1"/>
  <c r="AD164" i="16"/>
  <c r="AN164" i="16" s="1"/>
  <c r="AC164" i="16"/>
  <c r="AM164" i="16" s="1"/>
  <c r="AS520" i="16"/>
  <c r="AF520" i="16"/>
  <c r="AP520" i="16" s="1"/>
  <c r="AD520" i="16"/>
  <c r="AN520" i="16" s="1"/>
  <c r="AC520" i="16"/>
  <c r="AM520" i="16" s="1"/>
  <c r="AE520" i="16"/>
  <c r="AO520" i="16" s="1"/>
  <c r="AS400" i="16"/>
  <c r="AD400" i="16"/>
  <c r="AN400" i="16" s="1"/>
  <c r="AC400" i="16"/>
  <c r="AM400" i="16" s="1"/>
  <c r="AE400" i="16"/>
  <c r="AO400" i="16" s="1"/>
  <c r="AF400" i="16"/>
  <c r="AP400" i="16" s="1"/>
  <c r="AS906" i="16"/>
  <c r="AF900" i="16"/>
  <c r="AP900" i="16" s="1"/>
  <c r="AE900" i="16"/>
  <c r="AO900" i="16" s="1"/>
  <c r="AD900" i="16"/>
  <c r="AN900" i="16" s="1"/>
  <c r="AC900" i="16"/>
  <c r="AM900" i="16" s="1"/>
  <c r="AS590" i="16"/>
  <c r="AE588" i="16"/>
  <c r="AO588" i="16" s="1"/>
  <c r="AF588" i="16"/>
  <c r="AP588" i="16" s="1"/>
  <c r="AC588" i="16"/>
  <c r="AM588" i="16" s="1"/>
  <c r="AD588" i="16"/>
  <c r="AN588" i="16" s="1"/>
  <c r="AS657" i="16"/>
  <c r="AF655" i="16"/>
  <c r="AP655" i="16" s="1"/>
  <c r="AE655" i="16"/>
  <c r="AO655" i="16" s="1"/>
  <c r="AD655" i="16"/>
  <c r="AN655" i="16" s="1"/>
  <c r="AC655" i="16"/>
  <c r="AM655" i="16" s="1"/>
  <c r="AS511" i="16"/>
  <c r="AD511" i="16"/>
  <c r="AN511" i="16" s="1"/>
  <c r="AC511" i="16"/>
  <c r="AM511" i="16" s="1"/>
  <c r="AF511" i="16"/>
  <c r="AP511" i="16" s="1"/>
  <c r="AE511" i="16"/>
  <c r="AO511" i="16" s="1"/>
  <c r="AS475" i="16"/>
  <c r="AE475" i="16"/>
  <c r="AO475" i="16" s="1"/>
  <c r="AD475" i="16"/>
  <c r="AN475" i="16" s="1"/>
  <c r="AC475" i="16"/>
  <c r="AM475" i="16" s="1"/>
  <c r="AF475" i="16"/>
  <c r="AP475" i="16" s="1"/>
  <c r="AS463" i="16"/>
  <c r="AD463" i="16"/>
  <c r="AN463" i="16" s="1"/>
  <c r="AF463" i="16"/>
  <c r="AP463" i="16" s="1"/>
  <c r="AC463" i="16"/>
  <c r="AM463" i="16" s="1"/>
  <c r="AE463" i="16"/>
  <c r="AO463" i="16" s="1"/>
  <c r="AS391" i="16"/>
  <c r="AF391" i="16"/>
  <c r="AP391" i="16" s="1"/>
  <c r="AE391" i="16"/>
  <c r="AO391" i="16" s="1"/>
  <c r="AD391" i="16"/>
  <c r="AN391" i="16" s="1"/>
  <c r="AC391" i="16"/>
  <c r="AM391" i="16" s="1"/>
  <c r="AS379" i="16"/>
  <c r="AC379" i="16"/>
  <c r="AM379" i="16" s="1"/>
  <c r="AD379" i="16"/>
  <c r="AN379" i="16" s="1"/>
  <c r="AE379" i="16"/>
  <c r="AO379" i="16" s="1"/>
  <c r="AF379" i="16"/>
  <c r="AP379" i="16" s="1"/>
  <c r="AS355" i="16"/>
  <c r="AD355" i="16"/>
  <c r="AF355" i="16"/>
  <c r="AP355" i="16" s="1"/>
  <c r="AE355" i="16"/>
  <c r="AO355" i="16" s="1"/>
  <c r="AC355" i="16"/>
  <c r="AM355" i="16" s="1"/>
  <c r="AS319" i="16"/>
  <c r="AF319" i="16"/>
  <c r="AP319" i="16" s="1"/>
  <c r="AE319" i="16"/>
  <c r="AO319" i="16" s="1"/>
  <c r="AC319" i="16"/>
  <c r="AM319" i="16" s="1"/>
  <c r="AD319" i="16"/>
  <c r="AN319" i="16" s="1"/>
  <c r="AS307" i="16"/>
  <c r="AE307" i="16"/>
  <c r="AO307" i="16" s="1"/>
  <c r="AC307" i="16"/>
  <c r="AM307" i="16" s="1"/>
  <c r="AD307" i="16"/>
  <c r="AN307" i="16" s="1"/>
  <c r="AF307" i="16"/>
  <c r="AP307" i="16" s="1"/>
  <c r="AS295" i="16"/>
  <c r="AC295" i="16"/>
  <c r="AM295" i="16" s="1"/>
  <c r="AF295" i="16"/>
  <c r="AP295" i="16" s="1"/>
  <c r="AE295" i="16"/>
  <c r="AO295" i="16" s="1"/>
  <c r="AD295" i="16"/>
  <c r="AN295" i="16" s="1"/>
  <c r="AS283" i="16"/>
  <c r="AE283" i="16"/>
  <c r="AO283" i="16" s="1"/>
  <c r="AF283" i="16"/>
  <c r="AP283" i="16" s="1"/>
  <c r="AC283" i="16"/>
  <c r="AM283" i="16" s="1"/>
  <c r="AD283" i="16"/>
  <c r="AN283" i="16" s="1"/>
  <c r="AS223" i="16"/>
  <c r="AE223" i="16"/>
  <c r="AD223" i="16"/>
  <c r="AN223" i="16" s="1"/>
  <c r="AC223" i="16"/>
  <c r="AM223" i="16" s="1"/>
  <c r="AF223" i="16"/>
  <c r="AP223" i="16" s="1"/>
  <c r="AS211" i="16"/>
  <c r="AF211" i="16"/>
  <c r="AP211" i="16" s="1"/>
  <c r="AC211" i="16"/>
  <c r="AM211" i="16" s="1"/>
  <c r="AD211" i="16"/>
  <c r="AN211" i="16" s="1"/>
  <c r="AE211" i="16"/>
  <c r="AO211" i="16" s="1"/>
  <c r="AS199" i="16"/>
  <c r="AE199" i="16"/>
  <c r="AO199" i="16" s="1"/>
  <c r="AD199" i="16"/>
  <c r="AN199" i="16" s="1"/>
  <c r="AF199" i="16"/>
  <c r="AP199" i="16" s="1"/>
  <c r="AC199" i="16"/>
  <c r="AM199" i="16" s="1"/>
  <c r="AS91" i="16"/>
  <c r="AD91" i="16"/>
  <c r="AN91" i="16" s="1"/>
  <c r="AE91" i="16"/>
  <c r="AO91" i="16" s="1"/>
  <c r="AF91" i="16"/>
  <c r="AP91" i="16" s="1"/>
  <c r="AC91" i="16"/>
  <c r="AM91" i="16" s="1"/>
  <c r="AS43" i="16"/>
  <c r="AC43" i="16"/>
  <c r="AM43" i="16" s="1"/>
  <c r="AF43" i="16"/>
  <c r="AP43" i="16" s="1"/>
  <c r="AD43" i="16"/>
  <c r="AN43" i="16" s="1"/>
  <c r="AE43" i="16"/>
  <c r="AO43" i="16" s="1"/>
  <c r="AS19" i="16"/>
  <c r="AC19" i="16"/>
  <c r="AM19" i="16" s="1"/>
  <c r="AE19" i="16"/>
  <c r="AO19" i="16" s="1"/>
  <c r="AF19" i="16"/>
  <c r="AP19" i="16" s="1"/>
  <c r="AD19" i="16"/>
  <c r="AN19" i="16" s="1"/>
  <c r="AS7" i="16"/>
  <c r="AF7" i="16"/>
  <c r="AP7" i="16" s="1"/>
  <c r="AC7" i="16"/>
  <c r="AM7" i="16" s="1"/>
  <c r="AE7" i="16"/>
  <c r="AO7" i="16" s="1"/>
  <c r="AD7" i="16"/>
  <c r="AN7" i="16" s="1"/>
  <c r="AS837" i="16"/>
  <c r="AF834" i="16"/>
  <c r="AP834" i="16" s="1"/>
  <c r="AC834" i="16"/>
  <c r="AM834" i="16" s="1"/>
  <c r="AD834" i="16"/>
  <c r="AN834" i="16" s="1"/>
  <c r="AE834" i="16"/>
  <c r="AO834" i="16" s="1"/>
  <c r="AS813" i="16"/>
  <c r="AF810" i="16"/>
  <c r="AP810" i="16" s="1"/>
  <c r="AE810" i="16"/>
  <c r="AO810" i="16" s="1"/>
  <c r="AD810" i="16"/>
  <c r="AN810" i="16" s="1"/>
  <c r="AC810" i="16"/>
  <c r="AM810" i="16" s="1"/>
  <c r="AS764" i="16"/>
  <c r="AF762" i="16"/>
  <c r="AP762" i="16" s="1"/>
  <c r="AE762" i="16"/>
  <c r="AO762" i="16" s="1"/>
  <c r="AD762" i="16"/>
  <c r="AN762" i="16" s="1"/>
  <c r="AC762" i="16"/>
  <c r="AM762" i="16" s="1"/>
  <c r="AS716" i="16"/>
  <c r="AD714" i="16"/>
  <c r="AE714" i="16"/>
  <c r="AO714" i="16" s="1"/>
  <c r="AC714" i="16"/>
  <c r="AM714" i="16" s="1"/>
  <c r="AF714" i="16"/>
  <c r="AP714" i="16" s="1"/>
  <c r="AS644" i="16"/>
  <c r="AF642" i="16"/>
  <c r="AP642" i="16" s="1"/>
  <c r="AD642" i="16"/>
  <c r="AN642" i="16" s="1"/>
  <c r="AE642" i="16"/>
  <c r="AO642" i="16" s="1"/>
  <c r="AC642" i="16"/>
  <c r="AM642" i="16" s="1"/>
  <c r="AS378" i="16"/>
  <c r="AE378" i="16"/>
  <c r="AO378" i="16" s="1"/>
  <c r="AD378" i="16"/>
  <c r="AN378" i="16" s="1"/>
  <c r="AC378" i="16"/>
  <c r="AM378" i="16" s="1"/>
  <c r="AF378" i="16"/>
  <c r="AP378" i="16" s="1"/>
  <c r="AS366" i="16"/>
  <c r="AD366" i="16"/>
  <c r="AN366" i="16" s="1"/>
  <c r="AC366" i="16"/>
  <c r="AM366" i="16" s="1"/>
  <c r="AE366" i="16"/>
  <c r="AO366" i="16" s="1"/>
  <c r="AF366" i="16"/>
  <c r="AP366" i="16" s="1"/>
  <c r="AS354" i="16"/>
  <c r="AF354" i="16"/>
  <c r="AP354" i="16" s="1"/>
  <c r="AC354" i="16"/>
  <c r="AM354" i="16" s="1"/>
  <c r="AD354" i="16"/>
  <c r="AN354" i="16" s="1"/>
  <c r="AE354" i="16"/>
  <c r="AO354" i="16" s="1"/>
  <c r="AS318" i="16"/>
  <c r="AE318" i="16"/>
  <c r="AO318" i="16" s="1"/>
  <c r="AF318" i="16"/>
  <c r="AP318" i="16" s="1"/>
  <c r="AD318" i="16"/>
  <c r="AN318" i="16" s="1"/>
  <c r="AC318" i="16"/>
  <c r="AM318" i="16" s="1"/>
  <c r="AS294" i="16"/>
  <c r="AF294" i="16"/>
  <c r="AP294" i="16" s="1"/>
  <c r="AE294" i="16"/>
  <c r="AO294" i="16" s="1"/>
  <c r="AC294" i="16"/>
  <c r="AM294" i="16" s="1"/>
  <c r="AD294" i="16"/>
  <c r="AN294" i="16" s="1"/>
  <c r="AS126" i="16"/>
  <c r="AE126" i="16"/>
  <c r="AO126" i="16" s="1"/>
  <c r="AF126" i="16"/>
  <c r="AP126" i="16" s="1"/>
  <c r="AC126" i="16"/>
  <c r="AM126" i="16" s="1"/>
  <c r="AD126" i="16"/>
  <c r="AN126" i="16" s="1"/>
  <c r="AS102" i="16"/>
  <c r="AF102" i="16"/>
  <c r="AP102" i="16" s="1"/>
  <c r="AD102" i="16"/>
  <c r="AN102" i="16" s="1"/>
  <c r="AC102" i="16"/>
  <c r="AM102" i="16" s="1"/>
  <c r="AE102" i="16"/>
  <c r="AO102" i="16" s="1"/>
  <c r="AS78" i="16"/>
  <c r="AC78" i="16"/>
  <c r="AM78" i="16" s="1"/>
  <c r="AD78" i="16"/>
  <c r="AN78" i="16" s="1"/>
  <c r="AE78" i="16"/>
  <c r="AO78" i="16" s="1"/>
  <c r="AF78" i="16"/>
  <c r="AP78" i="16" s="1"/>
  <c r="AS875" i="16"/>
  <c r="AF869" i="16"/>
  <c r="AP869" i="16" s="1"/>
  <c r="AC869" i="16"/>
  <c r="AM869" i="16" s="1"/>
  <c r="AE869" i="16"/>
  <c r="AO869" i="16" s="1"/>
  <c r="AD869" i="16"/>
  <c r="AN869" i="16" s="1"/>
  <c r="AS862" i="16"/>
  <c r="AC857" i="16"/>
  <c r="AM857" i="16" s="1"/>
  <c r="AF857" i="16"/>
  <c r="AP857" i="16" s="1"/>
  <c r="AE857" i="16"/>
  <c r="AO857" i="16" s="1"/>
  <c r="AD857" i="16"/>
  <c r="AN857" i="16" s="1"/>
  <c r="AS836" i="16"/>
  <c r="AC833" i="16"/>
  <c r="AM833" i="16" s="1"/>
  <c r="AF833" i="16"/>
  <c r="AP833" i="16" s="1"/>
  <c r="AD833" i="16"/>
  <c r="AN833" i="16" s="1"/>
  <c r="AE833" i="16"/>
  <c r="AO833" i="16" s="1"/>
  <c r="AS715" i="16"/>
  <c r="AE713" i="16"/>
  <c r="AO713" i="16" s="1"/>
  <c r="AF713" i="16"/>
  <c r="AP713" i="16" s="1"/>
  <c r="AC713" i="16"/>
  <c r="AM713" i="16" s="1"/>
  <c r="AD713" i="16"/>
  <c r="AS425" i="16"/>
  <c r="AD425" i="16"/>
  <c r="AN425" i="16" s="1"/>
  <c r="AC425" i="16"/>
  <c r="AM425" i="16" s="1"/>
  <c r="AE425" i="16"/>
  <c r="AO425" i="16" s="1"/>
  <c r="AF425" i="16"/>
  <c r="AP425" i="16" s="1"/>
  <c r="AS413" i="16"/>
  <c r="AC413" i="16"/>
  <c r="AM413" i="16" s="1"/>
  <c r="AF413" i="16"/>
  <c r="AP413" i="16" s="1"/>
  <c r="AD413" i="16"/>
  <c r="AN413" i="16" s="1"/>
  <c r="AE413" i="16"/>
  <c r="AO413" i="16" s="1"/>
  <c r="AS377" i="16"/>
  <c r="AE377" i="16"/>
  <c r="AO377" i="16" s="1"/>
  <c r="AC377" i="16"/>
  <c r="AM377" i="16" s="1"/>
  <c r="AF377" i="16"/>
  <c r="AP377" i="16" s="1"/>
  <c r="AD377" i="16"/>
  <c r="AN377" i="16" s="1"/>
  <c r="AS293" i="16"/>
  <c r="AF293" i="16"/>
  <c r="AP293" i="16" s="1"/>
  <c r="AC293" i="16"/>
  <c r="AM293" i="16" s="1"/>
  <c r="AE293" i="16"/>
  <c r="AO293" i="16" s="1"/>
  <c r="AD293" i="16"/>
  <c r="AN293" i="16" s="1"/>
  <c r="AS221" i="16"/>
  <c r="AE221" i="16"/>
  <c r="AC221" i="16"/>
  <c r="AM221" i="16" s="1"/>
  <c r="AD221" i="16"/>
  <c r="AN221" i="16" s="1"/>
  <c r="AF221" i="16"/>
  <c r="AP221" i="16" s="1"/>
  <c r="AS197" i="16"/>
  <c r="AE197" i="16"/>
  <c r="AO197" i="16" s="1"/>
  <c r="AD197" i="16"/>
  <c r="AN197" i="16" s="1"/>
  <c r="AF197" i="16"/>
  <c r="AP197" i="16" s="1"/>
  <c r="AC197" i="16"/>
  <c r="AM197" i="16" s="1"/>
  <c r="AS185" i="16"/>
  <c r="AE185" i="16"/>
  <c r="AO185" i="16" s="1"/>
  <c r="AD185" i="16"/>
  <c r="AN185" i="16" s="1"/>
  <c r="AC185" i="16"/>
  <c r="AM185" i="16" s="1"/>
  <c r="AF185" i="16"/>
  <c r="AP185" i="16" s="1"/>
  <c r="AS149" i="16"/>
  <c r="AF149" i="16"/>
  <c r="AP149" i="16" s="1"/>
  <c r="AD149" i="16"/>
  <c r="AN149" i="16" s="1"/>
  <c r="AE149" i="16"/>
  <c r="AO149" i="16" s="1"/>
  <c r="AC149" i="16"/>
  <c r="AM149" i="16" s="1"/>
  <c r="AS137" i="16"/>
  <c r="AF137" i="16"/>
  <c r="AP137" i="16" s="1"/>
  <c r="AE137" i="16"/>
  <c r="AO137" i="16" s="1"/>
  <c r="AD137" i="16"/>
  <c r="AN137" i="16" s="1"/>
  <c r="AC137" i="16"/>
  <c r="AM137" i="16" s="1"/>
  <c r="AS113" i="16"/>
  <c r="AE113" i="16"/>
  <c r="AO113" i="16" s="1"/>
  <c r="AD113" i="16"/>
  <c r="AN113" i="16" s="1"/>
  <c r="AC113" i="16"/>
  <c r="AM113" i="16" s="1"/>
  <c r="AF113" i="16"/>
  <c r="AP113" i="16" s="1"/>
  <c r="AS798" i="16"/>
  <c r="AF796" i="16"/>
  <c r="AP796" i="16" s="1"/>
  <c r="AE796" i="16"/>
  <c r="AO796" i="16" s="1"/>
  <c r="AD796" i="16"/>
  <c r="AC796" i="16"/>
  <c r="AM796" i="16" s="1"/>
  <c r="AS774" i="16"/>
  <c r="AC772" i="16"/>
  <c r="AM772" i="16" s="1"/>
  <c r="AD772" i="16"/>
  <c r="AN772" i="16" s="1"/>
  <c r="AE772" i="16"/>
  <c r="AO772" i="16" s="1"/>
  <c r="AF772" i="16"/>
  <c r="AP772" i="16" s="1"/>
  <c r="AS738" i="16"/>
  <c r="AC736" i="16"/>
  <c r="AM736" i="16" s="1"/>
  <c r="AD736" i="16"/>
  <c r="AN736" i="16" s="1"/>
  <c r="AE736" i="16"/>
  <c r="AO736" i="16" s="1"/>
  <c r="AF736" i="16"/>
  <c r="AP736" i="16" s="1"/>
  <c r="AS594" i="16"/>
  <c r="AC592" i="16"/>
  <c r="AM592" i="16" s="1"/>
  <c r="AE592" i="16"/>
  <c r="AO592" i="16" s="1"/>
  <c r="AF592" i="16"/>
  <c r="AP592" i="16" s="1"/>
  <c r="AD592" i="16"/>
  <c r="AN592" i="16" s="1"/>
  <c r="AS472" i="16"/>
  <c r="AC472" i="16"/>
  <c r="AM472" i="16" s="1"/>
  <c r="AF472" i="16"/>
  <c r="AP472" i="16" s="1"/>
  <c r="AD472" i="16"/>
  <c r="AN472" i="16" s="1"/>
  <c r="AE472" i="16"/>
  <c r="AO472" i="16" s="1"/>
  <c r="AS448" i="16"/>
  <c r="AF448" i="16"/>
  <c r="AP448" i="16" s="1"/>
  <c r="AE448" i="16"/>
  <c r="AO448" i="16" s="1"/>
  <c r="AD448" i="16"/>
  <c r="AN448" i="16" s="1"/>
  <c r="AC448" i="16"/>
  <c r="AM448" i="16" s="1"/>
  <c r="AS208" i="16"/>
  <c r="AF208" i="16"/>
  <c r="AP208" i="16" s="1"/>
  <c r="AC208" i="16"/>
  <c r="AM208" i="16" s="1"/>
  <c r="AD208" i="16"/>
  <c r="AN208" i="16" s="1"/>
  <c r="AE208" i="16"/>
  <c r="AO208" i="16" s="1"/>
  <c r="AS361" i="16"/>
  <c r="AE361" i="16"/>
  <c r="AO361" i="16" s="1"/>
  <c r="AC361" i="16"/>
  <c r="AM361" i="16" s="1"/>
  <c r="AF361" i="16"/>
  <c r="AP361" i="16" s="1"/>
  <c r="AD361" i="16"/>
  <c r="AN361" i="16" s="1"/>
  <c r="AS662" i="16"/>
  <c r="AF660" i="16"/>
  <c r="AP660" i="16" s="1"/>
  <c r="AE660" i="16"/>
  <c r="AO660" i="16" s="1"/>
  <c r="AD660" i="16"/>
  <c r="AC660" i="16"/>
  <c r="AM660" i="16" s="1"/>
  <c r="AS602" i="16"/>
  <c r="AD600" i="16"/>
  <c r="AN600" i="16" s="1"/>
  <c r="AC600" i="16"/>
  <c r="AM600" i="16" s="1"/>
  <c r="AE600" i="16"/>
  <c r="AO600" i="16" s="1"/>
  <c r="AF600" i="16"/>
  <c r="AP600" i="16" s="1"/>
  <c r="AS136" i="16"/>
  <c r="AE136" i="16"/>
  <c r="AO136" i="16" s="1"/>
  <c r="AD136" i="16"/>
  <c r="AN136" i="16" s="1"/>
  <c r="AC136" i="16"/>
  <c r="AM136" i="16" s="1"/>
  <c r="AF136" i="16"/>
  <c r="AP136" i="16" s="1"/>
  <c r="AS124" i="16"/>
  <c r="AD124" i="16"/>
  <c r="AN124" i="16" s="1"/>
  <c r="AE124" i="16"/>
  <c r="AO124" i="16" s="1"/>
  <c r="AF124" i="16"/>
  <c r="AP124" i="16" s="1"/>
  <c r="AC124" i="16"/>
  <c r="AM124" i="16" s="1"/>
  <c r="AS88" i="16"/>
  <c r="AF88" i="16"/>
  <c r="AP88" i="16" s="1"/>
  <c r="AE88" i="16"/>
  <c r="AO88" i="16" s="1"/>
  <c r="AC88" i="16"/>
  <c r="AM88" i="16" s="1"/>
  <c r="AD88" i="16"/>
  <c r="AN88" i="16" s="1"/>
  <c r="AS76" i="16"/>
  <c r="AC76" i="16"/>
  <c r="AM76" i="16" s="1"/>
  <c r="AF76" i="16"/>
  <c r="AP76" i="16" s="1"/>
  <c r="AD76" i="16"/>
  <c r="AN76" i="16" s="1"/>
  <c r="AE76" i="16"/>
  <c r="AO76" i="16" s="1"/>
  <c r="AS64" i="16"/>
  <c r="AD64" i="16"/>
  <c r="AN64" i="16" s="1"/>
  <c r="AF64" i="16"/>
  <c r="AP64" i="16" s="1"/>
  <c r="AE64" i="16"/>
  <c r="AO64" i="16" s="1"/>
  <c r="AC64" i="16"/>
  <c r="AM64" i="16" s="1"/>
  <c r="AS40" i="16"/>
  <c r="AF40" i="16"/>
  <c r="AP40" i="16" s="1"/>
  <c r="AE40" i="16"/>
  <c r="AO40" i="16" s="1"/>
  <c r="AD40" i="16"/>
  <c r="AN40" i="16" s="1"/>
  <c r="AC40" i="16"/>
  <c r="AM40" i="16" s="1"/>
  <c r="AS797" i="16"/>
  <c r="AF795" i="16"/>
  <c r="AP795" i="16" s="1"/>
  <c r="AD795" i="16"/>
  <c r="AN795" i="16" s="1"/>
  <c r="AC795" i="16"/>
  <c r="AM795" i="16" s="1"/>
  <c r="AE795" i="16"/>
  <c r="AO795" i="16" s="1"/>
  <c r="AS785" i="16"/>
  <c r="AC783" i="16"/>
  <c r="AM783" i="16" s="1"/>
  <c r="AD783" i="16"/>
  <c r="AE783" i="16"/>
  <c r="AO783" i="16" s="1"/>
  <c r="AF783" i="16"/>
  <c r="AP783" i="16" s="1"/>
  <c r="AS773" i="16"/>
  <c r="AD771" i="16"/>
  <c r="AN771" i="16" s="1"/>
  <c r="AF771" i="16"/>
  <c r="AP771" i="16" s="1"/>
  <c r="AC771" i="16"/>
  <c r="AM771" i="16" s="1"/>
  <c r="AE771" i="16"/>
  <c r="AO771" i="16" s="1"/>
  <c r="AS689" i="16"/>
  <c r="AE687" i="16"/>
  <c r="AO687" i="16" s="1"/>
  <c r="AC687" i="16"/>
  <c r="AM687" i="16" s="1"/>
  <c r="AF687" i="16"/>
  <c r="AP687" i="16" s="1"/>
  <c r="AD687" i="16"/>
  <c r="AN687" i="16" s="1"/>
  <c r="AS569" i="16"/>
  <c r="AE567" i="16"/>
  <c r="AO567" i="16" s="1"/>
  <c r="AD567" i="16"/>
  <c r="AN567" i="16" s="1"/>
  <c r="AF567" i="16"/>
  <c r="AP567" i="16" s="1"/>
  <c r="AC567" i="16"/>
  <c r="AM567" i="16" s="1"/>
  <c r="AS531" i="16"/>
  <c r="AD531" i="16"/>
  <c r="AN531" i="16" s="1"/>
  <c r="AF531" i="16"/>
  <c r="AP531" i="16" s="1"/>
  <c r="AC531" i="16"/>
  <c r="AM531" i="16" s="1"/>
  <c r="AE531" i="16"/>
  <c r="AO531" i="16" s="1"/>
  <c r="AS519" i="16"/>
  <c r="AD519" i="16"/>
  <c r="AN519" i="16" s="1"/>
  <c r="AC519" i="16"/>
  <c r="AM519" i="16" s="1"/>
  <c r="AE519" i="16"/>
  <c r="AO519" i="16" s="1"/>
  <c r="AF519" i="16"/>
  <c r="AP519" i="16" s="1"/>
  <c r="AS507" i="16"/>
  <c r="AD507" i="16"/>
  <c r="AN507" i="16" s="1"/>
  <c r="AF507" i="16"/>
  <c r="AP507" i="16" s="1"/>
  <c r="AE507" i="16"/>
  <c r="AO507" i="16" s="1"/>
  <c r="AC507" i="16"/>
  <c r="AM507" i="16" s="1"/>
  <c r="AS471" i="16"/>
  <c r="AD471" i="16"/>
  <c r="AN471" i="16" s="1"/>
  <c r="AE471" i="16"/>
  <c r="AO471" i="16" s="1"/>
  <c r="AF471" i="16"/>
  <c r="AP471" i="16" s="1"/>
  <c r="AC471" i="16"/>
  <c r="AM471" i="16" s="1"/>
  <c r="AS447" i="16"/>
  <c r="AC447" i="16"/>
  <c r="AM447" i="16" s="1"/>
  <c r="AD447" i="16"/>
  <c r="AN447" i="16" s="1"/>
  <c r="AE447" i="16"/>
  <c r="AO447" i="16" s="1"/>
  <c r="AF447" i="16"/>
  <c r="AP447" i="16" s="1"/>
  <c r="AS399" i="16"/>
  <c r="AE399" i="16"/>
  <c r="AO399" i="16" s="1"/>
  <c r="AD399" i="16"/>
  <c r="AN399" i="16" s="1"/>
  <c r="AF399" i="16"/>
  <c r="AP399" i="16" s="1"/>
  <c r="AC399" i="16"/>
  <c r="AM399" i="16" s="1"/>
  <c r="AS375" i="16"/>
  <c r="AC375" i="16"/>
  <c r="AM375" i="16" s="1"/>
  <c r="AE375" i="16"/>
  <c r="AO375" i="16" s="1"/>
  <c r="AF375" i="16"/>
  <c r="AP375" i="16" s="1"/>
  <c r="AD375" i="16"/>
  <c r="AN375" i="16" s="1"/>
  <c r="AS363" i="16"/>
  <c r="AD363" i="16"/>
  <c r="AN363" i="16" s="1"/>
  <c r="AF363" i="16"/>
  <c r="AP363" i="16" s="1"/>
  <c r="AE363" i="16"/>
  <c r="AO363" i="16" s="1"/>
  <c r="AC363" i="16"/>
  <c r="AM363" i="16" s="1"/>
  <c r="AS291" i="16"/>
  <c r="AE291" i="16"/>
  <c r="AO291" i="16" s="1"/>
  <c r="AC291" i="16"/>
  <c r="AM291" i="16" s="1"/>
  <c r="AD291" i="16"/>
  <c r="AN291" i="16" s="1"/>
  <c r="AF291" i="16"/>
  <c r="AP291" i="16" s="1"/>
  <c r="AS279" i="16"/>
  <c r="AD279" i="16"/>
  <c r="AN279" i="16" s="1"/>
  <c r="AE279" i="16"/>
  <c r="AO279" i="16" s="1"/>
  <c r="AC279" i="16"/>
  <c r="AM279" i="16" s="1"/>
  <c r="AF279" i="16"/>
  <c r="AP279" i="16" s="1"/>
  <c r="AS195" i="16"/>
  <c r="AE195" i="16"/>
  <c r="AO195" i="16" s="1"/>
  <c r="AD195" i="16"/>
  <c r="AN195" i="16" s="1"/>
  <c r="AF195" i="16"/>
  <c r="AP195" i="16" s="1"/>
  <c r="AC195" i="16"/>
  <c r="AM195" i="16" s="1"/>
  <c r="AS27" i="16"/>
  <c r="AF27" i="16"/>
  <c r="AP27" i="16" s="1"/>
  <c r="AE27" i="16"/>
  <c r="AO27" i="16" s="1"/>
  <c r="AC27" i="16"/>
  <c r="AM27" i="16" s="1"/>
  <c r="AD27" i="16"/>
  <c r="AN27" i="16" s="1"/>
  <c r="AS1209" i="16"/>
  <c r="AD1202" i="16"/>
  <c r="AN1202" i="16" s="1"/>
  <c r="AC1202" i="16"/>
  <c r="AM1202" i="16" s="1"/>
  <c r="AF1202" i="16"/>
  <c r="AP1202" i="16" s="1"/>
  <c r="AE1202" i="16"/>
  <c r="AO1202" i="16" s="1"/>
  <c r="AS1185" i="16"/>
  <c r="AF1178" i="16"/>
  <c r="AP1178" i="16" s="1"/>
  <c r="AC1178" i="16"/>
  <c r="AM1178" i="16" s="1"/>
  <c r="AD1178" i="16"/>
  <c r="AN1178" i="16" s="1"/>
  <c r="AE1178" i="16"/>
  <c r="AO1178" i="16" s="1"/>
  <c r="AS1161" i="16"/>
  <c r="AC1154" i="16"/>
  <c r="AM1154" i="16" s="1"/>
  <c r="AF1154" i="16"/>
  <c r="AP1154" i="16" s="1"/>
  <c r="AE1154" i="16"/>
  <c r="AO1154" i="16" s="1"/>
  <c r="AD1154" i="16"/>
  <c r="AN1154" i="16" s="1"/>
  <c r="AS1089" i="16"/>
  <c r="AC1082" i="16"/>
  <c r="AM1082" i="16" s="1"/>
  <c r="AE1082" i="16"/>
  <c r="AO1082" i="16" s="1"/>
  <c r="AF1082" i="16"/>
  <c r="AP1082" i="16" s="1"/>
  <c r="AD1082" i="16"/>
  <c r="AN1082" i="16" s="1"/>
  <c r="AS969" i="16"/>
  <c r="AC962" i="16"/>
  <c r="AM962" i="16" s="1"/>
  <c r="AD962" i="16"/>
  <c r="AN962" i="16" s="1"/>
  <c r="AF962" i="16"/>
  <c r="AP962" i="16" s="1"/>
  <c r="AE962" i="16"/>
  <c r="AO962" i="16" s="1"/>
  <c r="AS957" i="16"/>
  <c r="AD950" i="16"/>
  <c r="AN950" i="16" s="1"/>
  <c r="AC950" i="16"/>
  <c r="AM950" i="16" s="1"/>
  <c r="AF950" i="16"/>
  <c r="AP950" i="16" s="1"/>
  <c r="AE950" i="16"/>
  <c r="AO950" i="16" s="1"/>
  <c r="AS944" i="16"/>
  <c r="AE938" i="16"/>
  <c r="AO938" i="16" s="1"/>
  <c r="AD938" i="16"/>
  <c r="AN938" i="16" s="1"/>
  <c r="AC938" i="16"/>
  <c r="AM938" i="16" s="1"/>
  <c r="AF938" i="16"/>
  <c r="AP938" i="16" s="1"/>
  <c r="AS932" i="16"/>
  <c r="AF926" i="16"/>
  <c r="AP926" i="16" s="1"/>
  <c r="AD926" i="16"/>
  <c r="AN926" i="16" s="1"/>
  <c r="AC926" i="16"/>
  <c r="AM926" i="16" s="1"/>
  <c r="AE926" i="16"/>
  <c r="AO926" i="16" s="1"/>
  <c r="AS699" i="16"/>
  <c r="AF697" i="16"/>
  <c r="AP697" i="16" s="1"/>
  <c r="AD697" i="16"/>
  <c r="AN697" i="16" s="1"/>
  <c r="AC697" i="16"/>
  <c r="AM697" i="16" s="1"/>
  <c r="AE697" i="16"/>
  <c r="AO697" i="16" s="1"/>
  <c r="AS469" i="16"/>
  <c r="AD469" i="16"/>
  <c r="AN469" i="16" s="1"/>
  <c r="AE469" i="16"/>
  <c r="AO469" i="16" s="1"/>
  <c r="AF469" i="16"/>
  <c r="AP469" i="16" s="1"/>
  <c r="AC469" i="16"/>
  <c r="AM469" i="16" s="1"/>
  <c r="AS409" i="16"/>
  <c r="AF409" i="16"/>
  <c r="AP409" i="16" s="1"/>
  <c r="AE409" i="16"/>
  <c r="AO409" i="16" s="1"/>
  <c r="AC409" i="16"/>
  <c r="AM409" i="16" s="1"/>
  <c r="AD409" i="16"/>
  <c r="AN409" i="16" s="1"/>
  <c r="AS277" i="16"/>
  <c r="AC277" i="16"/>
  <c r="AM277" i="16" s="1"/>
  <c r="AF277" i="16"/>
  <c r="AP277" i="16" s="1"/>
  <c r="AE277" i="16"/>
  <c r="AO277" i="16" s="1"/>
  <c r="AD277" i="16"/>
  <c r="AN277" i="16" s="1"/>
  <c r="AS782" i="16"/>
  <c r="AC780" i="16"/>
  <c r="AM780" i="16" s="1"/>
  <c r="AD780" i="16"/>
  <c r="AN780" i="16" s="1"/>
  <c r="AE780" i="16"/>
  <c r="AO780" i="16" s="1"/>
  <c r="AF780" i="16"/>
  <c r="AP780" i="16" s="1"/>
  <c r="AS360" i="16"/>
  <c r="AE360" i="16"/>
  <c r="AO360" i="16" s="1"/>
  <c r="AC360" i="16"/>
  <c r="AM360" i="16" s="1"/>
  <c r="AD360" i="16"/>
  <c r="AN360" i="16" s="1"/>
  <c r="AF360" i="16"/>
  <c r="AP360" i="16" s="1"/>
  <c r="AS72" i="16"/>
  <c r="AE72" i="16"/>
  <c r="AO72" i="16" s="1"/>
  <c r="AC72" i="16"/>
  <c r="AM72" i="16" s="1"/>
  <c r="AF72" i="16"/>
  <c r="AP72" i="16" s="1"/>
  <c r="AD72" i="16"/>
  <c r="AN72" i="16" s="1"/>
  <c r="AS830" i="16"/>
  <c r="AE827" i="16"/>
  <c r="AO827" i="16" s="1"/>
  <c r="AD827" i="16"/>
  <c r="AC827" i="16"/>
  <c r="AM827" i="16" s="1"/>
  <c r="AF827" i="16"/>
  <c r="AP827" i="16" s="1"/>
  <c r="AS781" i="16"/>
  <c r="AD779" i="16"/>
  <c r="AN779" i="16" s="1"/>
  <c r="AE779" i="16"/>
  <c r="AO779" i="16" s="1"/>
  <c r="AF779" i="16"/>
  <c r="AP779" i="16" s="1"/>
  <c r="AC779" i="16"/>
  <c r="AM779" i="16" s="1"/>
  <c r="AS697" i="16"/>
  <c r="AE695" i="16"/>
  <c r="AO695" i="16" s="1"/>
  <c r="AC695" i="16"/>
  <c r="AM695" i="16" s="1"/>
  <c r="AD695" i="16"/>
  <c r="AN695" i="16" s="1"/>
  <c r="AF695" i="16"/>
  <c r="AP695" i="16" s="1"/>
  <c r="AS625" i="16"/>
  <c r="AD623" i="16"/>
  <c r="AN623" i="16" s="1"/>
  <c r="AF623" i="16"/>
  <c r="AP623" i="16" s="1"/>
  <c r="AC623" i="16"/>
  <c r="AM623" i="16" s="1"/>
  <c r="AE623" i="16"/>
  <c r="AO623" i="16" s="1"/>
  <c r="AS601" i="16"/>
  <c r="AF599" i="16"/>
  <c r="AP599" i="16" s="1"/>
  <c r="AD599" i="16"/>
  <c r="AN599" i="16" s="1"/>
  <c r="AE599" i="16"/>
  <c r="AO599" i="16" s="1"/>
  <c r="AC599" i="16"/>
  <c r="AM599" i="16" s="1"/>
  <c r="AS553" i="16"/>
  <c r="AD551" i="16"/>
  <c r="AN551" i="16" s="1"/>
  <c r="AF551" i="16"/>
  <c r="AP551" i="16" s="1"/>
  <c r="AC551" i="16"/>
  <c r="AM551" i="16" s="1"/>
  <c r="AE551" i="16"/>
  <c r="AO551" i="16" s="1"/>
  <c r="AS503" i="16"/>
  <c r="AF503" i="16"/>
  <c r="AP503" i="16" s="1"/>
  <c r="AE503" i="16"/>
  <c r="AO503" i="16" s="1"/>
  <c r="AD503" i="16"/>
  <c r="AN503" i="16" s="1"/>
  <c r="AC503" i="16"/>
  <c r="AM503" i="16" s="1"/>
  <c r="AS419" i="16"/>
  <c r="AE419" i="16"/>
  <c r="AO419" i="16" s="1"/>
  <c r="AF419" i="16"/>
  <c r="AP419" i="16" s="1"/>
  <c r="AC419" i="16"/>
  <c r="AM419" i="16" s="1"/>
  <c r="AD419" i="16"/>
  <c r="AN419" i="16" s="1"/>
  <c r="AS335" i="16"/>
  <c r="AE335" i="16"/>
  <c r="AO335" i="16" s="1"/>
  <c r="AD335" i="16"/>
  <c r="AN335" i="16" s="1"/>
  <c r="AF335" i="16"/>
  <c r="AP335" i="16" s="1"/>
  <c r="AC335" i="16"/>
  <c r="AM335" i="16" s="1"/>
  <c r="AS263" i="16"/>
  <c r="AC263" i="16"/>
  <c r="AM263" i="16" s="1"/>
  <c r="AF263" i="16"/>
  <c r="AP263" i="16" s="1"/>
  <c r="AE263" i="16"/>
  <c r="AO263" i="16" s="1"/>
  <c r="AD263" i="16"/>
  <c r="AN263" i="16" s="1"/>
  <c r="AS652" i="16"/>
  <c r="AD650" i="16"/>
  <c r="AN650" i="16" s="1"/>
  <c r="AE650" i="16"/>
  <c r="AO650" i="16" s="1"/>
  <c r="AF650" i="16"/>
  <c r="AP650" i="16" s="1"/>
  <c r="AC650" i="16"/>
  <c r="AM650" i="16" s="1"/>
  <c r="AS712" i="16"/>
  <c r="AD710" i="16"/>
  <c r="AN710" i="16" s="1"/>
  <c r="AC710" i="16"/>
  <c r="AM710" i="16" s="1"/>
  <c r="AF710" i="16"/>
  <c r="AP710" i="16" s="1"/>
  <c r="AE710" i="16"/>
  <c r="AO710" i="16" s="1"/>
  <c r="Q209" i="16"/>
  <c r="AJ209" i="2"/>
  <c r="AN121" i="2"/>
  <c r="Q121" i="16"/>
  <c r="AJ121" i="2"/>
  <c r="Q22" i="16"/>
  <c r="AJ22" i="2"/>
  <c r="AS761" i="16"/>
  <c r="AC759" i="16"/>
  <c r="AM759" i="16" s="1"/>
  <c r="AF759" i="16"/>
  <c r="AP759" i="16" s="1"/>
  <c r="AE759" i="16"/>
  <c r="AO759" i="16" s="1"/>
  <c r="AD759" i="16"/>
  <c r="AN759" i="16" s="1"/>
  <c r="AS831" i="16"/>
  <c r="AF828" i="16"/>
  <c r="AP828" i="16" s="1"/>
  <c r="AE828" i="16"/>
  <c r="AO828" i="16" s="1"/>
  <c r="AC828" i="16"/>
  <c r="AM828" i="16" s="1"/>
  <c r="AD828" i="16"/>
  <c r="AJ230" i="2"/>
  <c r="Q230" i="16"/>
  <c r="AS1044" i="16"/>
  <c r="AD1037" i="16"/>
  <c r="AN1037" i="16" s="1"/>
  <c r="AE1037" i="16"/>
  <c r="AO1037" i="16" s="1"/>
  <c r="AF1037" i="16"/>
  <c r="AP1037" i="16" s="1"/>
  <c r="AC1037" i="16"/>
  <c r="AM1037" i="16" s="1"/>
  <c r="AS470" i="16"/>
  <c r="AE470" i="16"/>
  <c r="AO470" i="16" s="1"/>
  <c r="AF470" i="16"/>
  <c r="AP470" i="16" s="1"/>
  <c r="AD470" i="16"/>
  <c r="AN470" i="16" s="1"/>
  <c r="AC470" i="16"/>
  <c r="AM470" i="16" s="1"/>
  <c r="AS457" i="16"/>
  <c r="AD457" i="16"/>
  <c r="AN457" i="16" s="1"/>
  <c r="AC457" i="16"/>
  <c r="AM457" i="16" s="1"/>
  <c r="AF457" i="16"/>
  <c r="AP457" i="16" s="1"/>
  <c r="AE457" i="16"/>
  <c r="AO457" i="16" s="1"/>
  <c r="AS1016" i="16"/>
  <c r="AD1009" i="16"/>
  <c r="AN1009" i="16" s="1"/>
  <c r="AF1009" i="16"/>
  <c r="AP1009" i="16" s="1"/>
  <c r="AC1009" i="16"/>
  <c r="AM1009" i="16" s="1"/>
  <c r="AE1009" i="16"/>
  <c r="AO1009" i="16" s="1"/>
  <c r="AS388" i="16"/>
  <c r="AC388" i="16"/>
  <c r="AM388" i="16" s="1"/>
  <c r="AE388" i="16"/>
  <c r="AO388" i="16" s="1"/>
  <c r="AD388" i="16"/>
  <c r="AN388" i="16" s="1"/>
  <c r="AF388" i="16"/>
  <c r="AP388" i="16" s="1"/>
  <c r="AS376" i="16"/>
  <c r="AD376" i="16"/>
  <c r="AN376" i="16" s="1"/>
  <c r="AF376" i="16"/>
  <c r="AP376" i="16" s="1"/>
  <c r="AE376" i="16"/>
  <c r="AO376" i="16" s="1"/>
  <c r="AC376" i="16"/>
  <c r="AM376" i="16" s="1"/>
  <c r="AS73" i="16"/>
  <c r="AC73" i="16"/>
  <c r="AM73" i="16" s="1"/>
  <c r="AD73" i="16"/>
  <c r="AN73" i="16" s="1"/>
  <c r="AF73" i="16"/>
  <c r="AP73" i="16" s="1"/>
  <c r="AE73" i="16"/>
  <c r="AO73" i="16" s="1"/>
  <c r="AS806" i="16"/>
  <c r="AE803" i="16"/>
  <c r="AO803" i="16" s="1"/>
  <c r="AD803" i="16"/>
  <c r="AN803" i="16" s="1"/>
  <c r="AC803" i="16"/>
  <c r="AM803" i="16" s="1"/>
  <c r="AF803" i="16"/>
  <c r="AP803" i="16" s="1"/>
  <c r="AS624" i="16"/>
  <c r="AD622" i="16"/>
  <c r="AF622" i="16"/>
  <c r="AP622" i="16" s="1"/>
  <c r="AE622" i="16"/>
  <c r="AO622" i="16" s="1"/>
  <c r="AC622" i="16"/>
  <c r="AM622" i="16" s="1"/>
  <c r="AS579" i="16"/>
  <c r="AC577" i="16"/>
  <c r="AM577" i="16" s="1"/>
  <c r="AF577" i="16"/>
  <c r="AP577" i="16" s="1"/>
  <c r="AD577" i="16"/>
  <c r="AN577" i="16" s="1"/>
  <c r="AE577" i="16"/>
  <c r="AO577" i="16" s="1"/>
  <c r="AS426" i="16"/>
  <c r="AC426" i="16"/>
  <c r="AM426" i="16" s="1"/>
  <c r="AD426" i="16"/>
  <c r="AN426" i="16" s="1"/>
  <c r="AE426" i="16"/>
  <c r="AO426" i="16" s="1"/>
  <c r="AF426" i="16"/>
  <c r="AP426" i="16" s="1"/>
  <c r="AS303" i="16"/>
  <c r="AD303" i="16"/>
  <c r="AN303" i="16" s="1"/>
  <c r="AF303" i="16"/>
  <c r="AP303" i="16" s="1"/>
  <c r="AC303" i="16"/>
  <c r="AM303" i="16" s="1"/>
  <c r="AE303" i="16"/>
  <c r="AO303" i="16" s="1"/>
  <c r="AS288" i="16"/>
  <c r="AF288" i="16"/>
  <c r="AP288" i="16" s="1"/>
  <c r="AE288" i="16"/>
  <c r="AO288" i="16" s="1"/>
  <c r="AC288" i="16"/>
  <c r="AM288" i="16" s="1"/>
  <c r="AD288" i="16"/>
  <c r="AN288" i="16" s="1"/>
  <c r="AS1013" i="16"/>
  <c r="AC1006" i="16"/>
  <c r="AM1006" i="16" s="1"/>
  <c r="AD1006" i="16"/>
  <c r="AN1006" i="16" s="1"/>
  <c r="AE1006" i="16"/>
  <c r="AO1006" i="16" s="1"/>
  <c r="AF1006" i="16"/>
  <c r="AP1006" i="16" s="1"/>
  <c r="AS925" i="16"/>
  <c r="AC919" i="16"/>
  <c r="AM919" i="16" s="1"/>
  <c r="AD919" i="16"/>
  <c r="AN919" i="16" s="1"/>
  <c r="AF919" i="16"/>
  <c r="AP919" i="16" s="1"/>
  <c r="AE919" i="16"/>
  <c r="AO919" i="16" s="1"/>
  <c r="AS106" i="16"/>
  <c r="AC106" i="16"/>
  <c r="AM106" i="16" s="1"/>
  <c r="AD106" i="16"/>
  <c r="AN106" i="16" s="1"/>
  <c r="AF106" i="16"/>
  <c r="AP106" i="16" s="1"/>
  <c r="AE106" i="16"/>
  <c r="AO106" i="16" s="1"/>
  <c r="AS775" i="16"/>
  <c r="AF773" i="16"/>
  <c r="AP773" i="16" s="1"/>
  <c r="AE773" i="16"/>
  <c r="AO773" i="16" s="1"/>
  <c r="AD773" i="16"/>
  <c r="AN773" i="16" s="1"/>
  <c r="AC773" i="16"/>
  <c r="AM773" i="16" s="1"/>
  <c r="AS372" i="16"/>
  <c r="AD372" i="16"/>
  <c r="AN372" i="16" s="1"/>
  <c r="AE372" i="16"/>
  <c r="AO372" i="16" s="1"/>
  <c r="AC372" i="16"/>
  <c r="AM372" i="16" s="1"/>
  <c r="AF372" i="16"/>
  <c r="AP372" i="16" s="1"/>
  <c r="AS690" i="16"/>
  <c r="AE688" i="16"/>
  <c r="AO688" i="16" s="1"/>
  <c r="AF688" i="16"/>
  <c r="AP688" i="16" s="1"/>
  <c r="AC688" i="16"/>
  <c r="AM688" i="16" s="1"/>
  <c r="AD688" i="16"/>
  <c r="AN688" i="16" s="1"/>
  <c r="AS478" i="16"/>
  <c r="AF478" i="16"/>
  <c r="AP478" i="16" s="1"/>
  <c r="AD478" i="16"/>
  <c r="AN478" i="16" s="1"/>
  <c r="AC478" i="16"/>
  <c r="AM478" i="16" s="1"/>
  <c r="AE478" i="16"/>
  <c r="AO478" i="16" s="1"/>
  <c r="AS718" i="16"/>
  <c r="AC716" i="16"/>
  <c r="AM716" i="16" s="1"/>
  <c r="AF716" i="16"/>
  <c r="AP716" i="16" s="1"/>
  <c r="AE716" i="16"/>
  <c r="AO716" i="16" s="1"/>
  <c r="AD716" i="16"/>
  <c r="AN716" i="16" s="1"/>
  <c r="AS632" i="16"/>
  <c r="AC630" i="16"/>
  <c r="AM630" i="16" s="1"/>
  <c r="AF630" i="16"/>
  <c r="AP630" i="16" s="1"/>
  <c r="AD630" i="16"/>
  <c r="AN630" i="16" s="1"/>
  <c r="AE630" i="16"/>
  <c r="AO630" i="16" s="1"/>
  <c r="AS492" i="16"/>
  <c r="AE492" i="16"/>
  <c r="AO492" i="16" s="1"/>
  <c r="AF492" i="16"/>
  <c r="AP492" i="16" s="1"/>
  <c r="AD492" i="16"/>
  <c r="AN492" i="16" s="1"/>
  <c r="AC492" i="16"/>
  <c r="AM492" i="16" s="1"/>
  <c r="AS420" i="16"/>
  <c r="AE420" i="16"/>
  <c r="AO420" i="16" s="1"/>
  <c r="AC420" i="16"/>
  <c r="AM420" i="16" s="1"/>
  <c r="AD420" i="16"/>
  <c r="AN420" i="16" s="1"/>
  <c r="AF420" i="16"/>
  <c r="AP420" i="16" s="1"/>
  <c r="AS381" i="16"/>
  <c r="AF381" i="16"/>
  <c r="AP381" i="16" s="1"/>
  <c r="AC381" i="16"/>
  <c r="AM381" i="16" s="1"/>
  <c r="AE381" i="16"/>
  <c r="AO381" i="16" s="1"/>
  <c r="AD381" i="16"/>
  <c r="AN381" i="16" s="1"/>
  <c r="AS242" i="16"/>
  <c r="AC242" i="16"/>
  <c r="AM242" i="16" s="1"/>
  <c r="AE242" i="16"/>
  <c r="AO242" i="16" s="1"/>
  <c r="AF242" i="16"/>
  <c r="AP242" i="16" s="1"/>
  <c r="AD242" i="16"/>
  <c r="AN242" i="16" s="1"/>
  <c r="AS228" i="16"/>
  <c r="AF228" i="16"/>
  <c r="AP228" i="16" s="1"/>
  <c r="AC228" i="16"/>
  <c r="AM228" i="16" s="1"/>
  <c r="AD228" i="16"/>
  <c r="AN228" i="16" s="1"/>
  <c r="AE228" i="16"/>
  <c r="AO228" i="16" s="1"/>
  <c r="AS179" i="16"/>
  <c r="AD179" i="16"/>
  <c r="AN179" i="16" s="1"/>
  <c r="AC179" i="16"/>
  <c r="AM179" i="16" s="1"/>
  <c r="AF179" i="16"/>
  <c r="AP179" i="16" s="1"/>
  <c r="AE179" i="16"/>
  <c r="AO179" i="16" s="1"/>
  <c r="AS756" i="16"/>
  <c r="AE754" i="16"/>
  <c r="AO754" i="16" s="1"/>
  <c r="AD754" i="16"/>
  <c r="AC754" i="16"/>
  <c r="AM754" i="16" s="1"/>
  <c r="AF754" i="16"/>
  <c r="AP754" i="16" s="1"/>
  <c r="AS586" i="16"/>
  <c r="AE584" i="16"/>
  <c r="AO584" i="16" s="1"/>
  <c r="AD584" i="16"/>
  <c r="AN584" i="16" s="1"/>
  <c r="AF584" i="16"/>
  <c r="AP584" i="16" s="1"/>
  <c r="AC584" i="16"/>
  <c r="AM584" i="16" s="1"/>
  <c r="AS431" i="16"/>
  <c r="AD431" i="16"/>
  <c r="AN431" i="16" s="1"/>
  <c r="AF431" i="16"/>
  <c r="AP431" i="16" s="1"/>
  <c r="AC431" i="16"/>
  <c r="AM431" i="16" s="1"/>
  <c r="AE431" i="16"/>
  <c r="AO431" i="16" s="1"/>
  <c r="AS1176" i="16"/>
  <c r="AD1169" i="16"/>
  <c r="AN1169" i="16" s="1"/>
  <c r="AF1169" i="16"/>
  <c r="AP1169" i="16" s="1"/>
  <c r="AE1169" i="16"/>
  <c r="AO1169" i="16" s="1"/>
  <c r="AC1169" i="16"/>
  <c r="AM1169" i="16" s="1"/>
  <c r="AS1023" i="16"/>
  <c r="AF1016" i="16"/>
  <c r="AP1016" i="16" s="1"/>
  <c r="AE1016" i="16"/>
  <c r="AO1016" i="16" s="1"/>
  <c r="AD1016" i="16"/>
  <c r="AN1016" i="16" s="1"/>
  <c r="AC1016" i="16"/>
  <c r="AM1016" i="16" s="1"/>
  <c r="AS385" i="16"/>
  <c r="AE385" i="16"/>
  <c r="AO385" i="16" s="1"/>
  <c r="AD385" i="16"/>
  <c r="AN385" i="16" s="1"/>
  <c r="AC385" i="16"/>
  <c r="AM385" i="16" s="1"/>
  <c r="AF385" i="16"/>
  <c r="AP385" i="16" s="1"/>
  <c r="AS760" i="16"/>
  <c r="AE758" i="16"/>
  <c r="AO758" i="16" s="1"/>
  <c r="AC758" i="16"/>
  <c r="AM758" i="16" s="1"/>
  <c r="AD758" i="16"/>
  <c r="AF758" i="16"/>
  <c r="AP758" i="16" s="1"/>
  <c r="AS762" i="16"/>
  <c r="AF760" i="16"/>
  <c r="AP760" i="16" s="1"/>
  <c r="AE760" i="16"/>
  <c r="AO760" i="16" s="1"/>
  <c r="AD760" i="16"/>
  <c r="AN760" i="16" s="1"/>
  <c r="AC760" i="16"/>
  <c r="AM760" i="16" s="1"/>
  <c r="AS175" i="16"/>
  <c r="AE175" i="16"/>
  <c r="AF175" i="16"/>
  <c r="AP175" i="16" s="1"/>
  <c r="AD175" i="16"/>
  <c r="AN175" i="16" s="1"/>
  <c r="AC175" i="16"/>
  <c r="AM175" i="16" s="1"/>
  <c r="AS515" i="16"/>
  <c r="AE515" i="16"/>
  <c r="AO515" i="16" s="1"/>
  <c r="AC515" i="16"/>
  <c r="AM515" i="16" s="1"/>
  <c r="AF515" i="16"/>
  <c r="AP515" i="16" s="1"/>
  <c r="AD515" i="16"/>
  <c r="AN515" i="16" s="1"/>
  <c r="AS148" i="16"/>
  <c r="AF148" i="16"/>
  <c r="AP148" i="16" s="1"/>
  <c r="AE148" i="16"/>
  <c r="AO148" i="16" s="1"/>
  <c r="AD148" i="16"/>
  <c r="AN148" i="16" s="1"/>
  <c r="AC148" i="16"/>
  <c r="AM148" i="16" s="1"/>
  <c r="AS460" i="16"/>
  <c r="AD460" i="16"/>
  <c r="AN460" i="16" s="1"/>
  <c r="AE460" i="16"/>
  <c r="AO460" i="16" s="1"/>
  <c r="AF460" i="16"/>
  <c r="AP460" i="16" s="1"/>
  <c r="AC460" i="16"/>
  <c r="AM460" i="16" s="1"/>
  <c r="AS645" i="16"/>
  <c r="AD643" i="16"/>
  <c r="AN643" i="16" s="1"/>
  <c r="AF643" i="16"/>
  <c r="AP643" i="16" s="1"/>
  <c r="AC643" i="16"/>
  <c r="AM643" i="16" s="1"/>
  <c r="AE643" i="16"/>
  <c r="AO643" i="16" s="1"/>
  <c r="AS986" i="16"/>
  <c r="AF979" i="16"/>
  <c r="AP979" i="16" s="1"/>
  <c r="AD979" i="16"/>
  <c r="AN979" i="16" s="1"/>
  <c r="AE979" i="16"/>
  <c r="AO979" i="16" s="1"/>
  <c r="AC979" i="16"/>
  <c r="AM979" i="16" s="1"/>
  <c r="AS174" i="16"/>
  <c r="AD174" i="16"/>
  <c r="AE174" i="16"/>
  <c r="AO174" i="16" s="1"/>
  <c r="AF174" i="16"/>
  <c r="AP174" i="16" s="1"/>
  <c r="AC174" i="16"/>
  <c r="AM174" i="16" s="1"/>
  <c r="AS1042" i="16"/>
  <c r="AF1035" i="16"/>
  <c r="AP1035" i="16" s="1"/>
  <c r="AC1035" i="16"/>
  <c r="AM1035" i="16" s="1"/>
  <c r="AE1035" i="16"/>
  <c r="AO1035" i="16" s="1"/>
  <c r="AD1035" i="16"/>
  <c r="AN1035" i="16" s="1"/>
  <c r="AS1187" i="16"/>
  <c r="AE1180" i="16"/>
  <c r="AO1180" i="16" s="1"/>
  <c r="AF1180" i="16"/>
  <c r="AP1180" i="16" s="1"/>
  <c r="AC1180" i="16"/>
  <c r="AM1180" i="16" s="1"/>
  <c r="AD1180" i="16"/>
  <c r="AN1180" i="16" s="1"/>
  <c r="AS183" i="16"/>
  <c r="AE183" i="16"/>
  <c r="AC183" i="16"/>
  <c r="AM183" i="16" s="1"/>
  <c r="AD183" i="16"/>
  <c r="AN183" i="16" s="1"/>
  <c r="AF183" i="16"/>
  <c r="AP183" i="16" s="1"/>
  <c r="AS312" i="16"/>
  <c r="AC312" i="16"/>
  <c r="AM312" i="16" s="1"/>
  <c r="AF312" i="16"/>
  <c r="AP312" i="16" s="1"/>
  <c r="AD312" i="16"/>
  <c r="AN312" i="16" s="1"/>
  <c r="AE312" i="16"/>
  <c r="AO312" i="16" s="1"/>
  <c r="AS808" i="16"/>
  <c r="AF805" i="16"/>
  <c r="AP805" i="16" s="1"/>
  <c r="AE805" i="16"/>
  <c r="AO805" i="16" s="1"/>
  <c r="AD805" i="16"/>
  <c r="AC805" i="16"/>
  <c r="AM805" i="16" s="1"/>
  <c r="AS749" i="16"/>
  <c r="AF747" i="16"/>
  <c r="AP747" i="16" s="1"/>
  <c r="AE747" i="16"/>
  <c r="AO747" i="16" s="1"/>
  <c r="AD747" i="16"/>
  <c r="AN747" i="16" s="1"/>
  <c r="AC747" i="16"/>
  <c r="AM747" i="16" s="1"/>
  <c r="AS213" i="16"/>
  <c r="AE213" i="16"/>
  <c r="AO213" i="16" s="1"/>
  <c r="AD213" i="16"/>
  <c r="AN213" i="16" s="1"/>
  <c r="AC213" i="16"/>
  <c r="AM213" i="16" s="1"/>
  <c r="AF213" i="16"/>
  <c r="AP213" i="16" s="1"/>
  <c r="AS346" i="16"/>
  <c r="AD346" i="16"/>
  <c r="AN346" i="16" s="1"/>
  <c r="AF346" i="16"/>
  <c r="AP346" i="16" s="1"/>
  <c r="AC346" i="16"/>
  <c r="AM346" i="16" s="1"/>
  <c r="AE346" i="16"/>
  <c r="AO346" i="16" s="1"/>
  <c r="AS983" i="16"/>
  <c r="AD976" i="16"/>
  <c r="AN976" i="16" s="1"/>
  <c r="AC976" i="16"/>
  <c r="AM976" i="16" s="1"/>
  <c r="AF976" i="16"/>
  <c r="AP976" i="16" s="1"/>
  <c r="AE976" i="16"/>
  <c r="AO976" i="16" s="1"/>
  <c r="AS565" i="16"/>
  <c r="AD563" i="16"/>
  <c r="AN563" i="16" s="1"/>
  <c r="AC563" i="16"/>
  <c r="AM563" i="16" s="1"/>
  <c r="AF563" i="16"/>
  <c r="AP563" i="16" s="1"/>
  <c r="AE563" i="16"/>
  <c r="AO563" i="16" s="1"/>
  <c r="AS172" i="16"/>
  <c r="AF172" i="16"/>
  <c r="AP172" i="16" s="1"/>
  <c r="AC172" i="16"/>
  <c r="AM172" i="16" s="1"/>
  <c r="AE172" i="16"/>
  <c r="AO172" i="16" s="1"/>
  <c r="AD172" i="16"/>
  <c r="AN172" i="16" s="1"/>
  <c r="AS275" i="16"/>
  <c r="AF275" i="16"/>
  <c r="AP275" i="16" s="1"/>
  <c r="AD275" i="16"/>
  <c r="AN275" i="16" s="1"/>
  <c r="AC275" i="16"/>
  <c r="AM275" i="16" s="1"/>
  <c r="AE275" i="16"/>
  <c r="AO275" i="16" s="1"/>
  <c r="AS591" i="16"/>
  <c r="AC589" i="16"/>
  <c r="AM589" i="16" s="1"/>
  <c r="AF589" i="16"/>
  <c r="AP589" i="16" s="1"/>
  <c r="AE589" i="16"/>
  <c r="AO589" i="16" s="1"/>
  <c r="AD589" i="16"/>
  <c r="AN589" i="16" s="1"/>
  <c r="AS809" i="16"/>
  <c r="AF806" i="16"/>
  <c r="AP806" i="16" s="1"/>
  <c r="AE806" i="16"/>
  <c r="AO806" i="16" s="1"/>
  <c r="AD806" i="16"/>
  <c r="AC806" i="16"/>
  <c r="AM806" i="16" s="1"/>
  <c r="AS286" i="16"/>
  <c r="AD286" i="16"/>
  <c r="AN286" i="16" s="1"/>
  <c r="AF286" i="16"/>
  <c r="AP286" i="16" s="1"/>
  <c r="AC286" i="16"/>
  <c r="AM286" i="16" s="1"/>
  <c r="AE286" i="16"/>
  <c r="AO286" i="16" s="1"/>
  <c r="AS1002" i="16"/>
  <c r="AD995" i="16"/>
  <c r="AN995" i="16" s="1"/>
  <c r="AC995" i="16"/>
  <c r="AM995" i="16" s="1"/>
  <c r="AE995" i="16"/>
  <c r="AO995" i="16" s="1"/>
  <c r="AF995" i="16"/>
  <c r="AP995" i="16" s="1"/>
  <c r="AS1090" i="16"/>
  <c r="AC1083" i="16"/>
  <c r="AM1083" i="16" s="1"/>
  <c r="AE1083" i="16"/>
  <c r="AO1083" i="16" s="1"/>
  <c r="AF1083" i="16"/>
  <c r="AP1083" i="16" s="1"/>
  <c r="AD1083" i="16"/>
  <c r="AN1083" i="16" s="1"/>
  <c r="AS336" i="16"/>
  <c r="AD336" i="16"/>
  <c r="AN336" i="16" s="1"/>
  <c r="AE336" i="16"/>
  <c r="AO336" i="16" s="1"/>
  <c r="AF336" i="16"/>
  <c r="AP336" i="16" s="1"/>
  <c r="AC336" i="16"/>
  <c r="AM336" i="16" s="1"/>
  <c r="AS26" i="16"/>
  <c r="AF26" i="16"/>
  <c r="AP26" i="16" s="1"/>
  <c r="AE26" i="16"/>
  <c r="AO26" i="16" s="1"/>
  <c r="AD26" i="16"/>
  <c r="AN26" i="16" s="1"/>
  <c r="AC26" i="16"/>
  <c r="AM26" i="16" s="1"/>
  <c r="AS765" i="16"/>
  <c r="AC763" i="16"/>
  <c r="AM763" i="16" s="1"/>
  <c r="AE763" i="16"/>
  <c r="AO763" i="16" s="1"/>
  <c r="AF763" i="16"/>
  <c r="AP763" i="16" s="1"/>
  <c r="AD763" i="16"/>
  <c r="AN763" i="16" s="1"/>
  <c r="AS497" i="16"/>
  <c r="AF497" i="16"/>
  <c r="AP497" i="16" s="1"/>
  <c r="AE497" i="16"/>
  <c r="AO497" i="16" s="1"/>
  <c r="AD497" i="16"/>
  <c r="AN497" i="16" s="1"/>
  <c r="AC497" i="16"/>
  <c r="AM497" i="16" s="1"/>
  <c r="AS1000" i="16"/>
  <c r="AE993" i="16"/>
  <c r="AO993" i="16" s="1"/>
  <c r="AC993" i="16"/>
  <c r="AM993" i="16" s="1"/>
  <c r="AF993" i="16"/>
  <c r="AP993" i="16" s="1"/>
  <c r="AD993" i="16"/>
  <c r="AN993" i="16" s="1"/>
  <c r="AS820" i="16"/>
  <c r="AD817" i="16"/>
  <c r="AN817" i="16" s="1"/>
  <c r="AC817" i="16"/>
  <c r="AM817" i="16" s="1"/>
  <c r="AF817" i="16"/>
  <c r="AP817" i="16" s="1"/>
  <c r="AE817" i="16"/>
  <c r="AO817" i="16" s="1"/>
  <c r="AS1006" i="16"/>
  <c r="AF999" i="16"/>
  <c r="AP999" i="16" s="1"/>
  <c r="AE999" i="16"/>
  <c r="AO999" i="16" s="1"/>
  <c r="AC999" i="16"/>
  <c r="AM999" i="16" s="1"/>
  <c r="AD999" i="16"/>
  <c r="AN999" i="16" s="1"/>
  <c r="AS351" i="16"/>
  <c r="AC351" i="16"/>
  <c r="AM351" i="16" s="1"/>
  <c r="AF351" i="16"/>
  <c r="AP351" i="16" s="1"/>
  <c r="AE351" i="16"/>
  <c r="AO351" i="16" s="1"/>
  <c r="AD351" i="16"/>
  <c r="AN351" i="16" s="1"/>
  <c r="AS451" i="16"/>
  <c r="AF451" i="16"/>
  <c r="AP451" i="16" s="1"/>
  <c r="AE451" i="16"/>
  <c r="AO451" i="16" s="1"/>
  <c r="AC451" i="16"/>
  <c r="AM451" i="16" s="1"/>
  <c r="AD451" i="16"/>
  <c r="AN451" i="16" s="1"/>
  <c r="AS59" i="16"/>
  <c r="AD59" i="16"/>
  <c r="AN59" i="16" s="1"/>
  <c r="AE59" i="16"/>
  <c r="AO59" i="16" s="1"/>
  <c r="AF59" i="16"/>
  <c r="AP59" i="16" s="1"/>
  <c r="AC59" i="16"/>
  <c r="AM59" i="16" s="1"/>
  <c r="AS311" i="16"/>
  <c r="AF311" i="16"/>
  <c r="AP311" i="16" s="1"/>
  <c r="AD311" i="16"/>
  <c r="AN311" i="16" s="1"/>
  <c r="AE311" i="16"/>
  <c r="AO311" i="16" s="1"/>
  <c r="AC311" i="16"/>
  <c r="AM311" i="16" s="1"/>
  <c r="AS536" i="16"/>
  <c r="AC536" i="16"/>
  <c r="AM536" i="16" s="1"/>
  <c r="AF536" i="16"/>
  <c r="AP536" i="16" s="1"/>
  <c r="AE536" i="16"/>
  <c r="AO536" i="16" s="1"/>
  <c r="AD536" i="16"/>
  <c r="AN536" i="16" s="1"/>
  <c r="AS918" i="16"/>
  <c r="AD912" i="16"/>
  <c r="AN912" i="16" s="1"/>
  <c r="AF912" i="16"/>
  <c r="AP912" i="16" s="1"/>
  <c r="AC912" i="16"/>
  <c r="AM912" i="16" s="1"/>
  <c r="AE912" i="16"/>
  <c r="AO912" i="16" s="1"/>
  <c r="AS1071" i="16"/>
  <c r="AC1064" i="16"/>
  <c r="AM1064" i="16" s="1"/>
  <c r="AF1064" i="16"/>
  <c r="AP1064" i="16" s="1"/>
  <c r="AE1064" i="16"/>
  <c r="AO1064" i="16" s="1"/>
  <c r="AD1064" i="16"/>
  <c r="AN1064" i="16" s="1"/>
  <c r="AS410" i="16"/>
  <c r="AF410" i="16"/>
  <c r="AP410" i="16" s="1"/>
  <c r="AE410" i="16"/>
  <c r="AO410" i="16" s="1"/>
  <c r="AD410" i="16"/>
  <c r="AN410" i="16" s="1"/>
  <c r="AC410" i="16"/>
  <c r="AM410" i="16" s="1"/>
  <c r="AS930" i="16"/>
  <c r="AC924" i="16"/>
  <c r="AM924" i="16" s="1"/>
  <c r="AE924" i="16"/>
  <c r="AO924" i="16" s="1"/>
  <c r="AD924" i="16"/>
  <c r="AN924" i="16" s="1"/>
  <c r="AF924" i="16"/>
  <c r="AP924" i="16" s="1"/>
  <c r="AS98" i="16"/>
  <c r="AD98" i="16"/>
  <c r="AN98" i="16" s="1"/>
  <c r="AC98" i="16"/>
  <c r="AM98" i="16" s="1"/>
  <c r="AE98" i="16"/>
  <c r="AO98" i="16" s="1"/>
  <c r="AF98" i="16"/>
  <c r="AP98" i="16" s="1"/>
  <c r="AS427" i="16"/>
  <c r="AF427" i="16"/>
  <c r="AP427" i="16" s="1"/>
  <c r="AC427" i="16"/>
  <c r="AM427" i="16" s="1"/>
  <c r="AD427" i="16"/>
  <c r="AN427" i="16" s="1"/>
  <c r="AE427" i="16"/>
  <c r="AO427" i="16" s="1"/>
  <c r="AS440" i="16"/>
  <c r="AE440" i="16"/>
  <c r="AO440" i="16" s="1"/>
  <c r="AC440" i="16"/>
  <c r="AM440" i="16" s="1"/>
  <c r="AF440" i="16"/>
  <c r="AP440" i="16" s="1"/>
  <c r="AD440" i="16"/>
  <c r="AN440" i="16" s="1"/>
  <c r="AS1055" i="16"/>
  <c r="AE1048" i="16"/>
  <c r="AO1048" i="16" s="1"/>
  <c r="AF1048" i="16"/>
  <c r="AP1048" i="16" s="1"/>
  <c r="AC1048" i="16"/>
  <c r="AM1048" i="16" s="1"/>
  <c r="AD1048" i="16"/>
  <c r="AN1048" i="16" s="1"/>
  <c r="AS61" i="16"/>
  <c r="AD61" i="16"/>
  <c r="AN61" i="16" s="1"/>
  <c r="AC61" i="16"/>
  <c r="AM61" i="16" s="1"/>
  <c r="AE61" i="16"/>
  <c r="AO61" i="16" s="1"/>
  <c r="AF61" i="16"/>
  <c r="AP61" i="16" s="1"/>
  <c r="AS920" i="16"/>
  <c r="AE914" i="16"/>
  <c r="AO914" i="16" s="1"/>
  <c r="AC914" i="16"/>
  <c r="AM914" i="16" s="1"/>
  <c r="AF914" i="16"/>
  <c r="AP914" i="16" s="1"/>
  <c r="AD914" i="16"/>
  <c r="AN914" i="16" s="1"/>
  <c r="AS184" i="16"/>
  <c r="AC184" i="16"/>
  <c r="AM184" i="16" s="1"/>
  <c r="AD184" i="16"/>
  <c r="AN184" i="16" s="1"/>
  <c r="AE184" i="16"/>
  <c r="AO184" i="16" s="1"/>
  <c r="AF184" i="16"/>
  <c r="AP184" i="16" s="1"/>
  <c r="AS1210" i="16"/>
  <c r="AF1203" i="16"/>
  <c r="AP1203" i="16" s="1"/>
  <c r="AE1203" i="16"/>
  <c r="AO1203" i="16" s="1"/>
  <c r="AD1203" i="16"/>
  <c r="AN1203" i="16" s="1"/>
  <c r="AC1203" i="16"/>
  <c r="AM1203" i="16" s="1"/>
  <c r="AS538" i="16"/>
  <c r="AD538" i="16"/>
  <c r="AN538" i="16" s="1"/>
  <c r="AF538" i="16"/>
  <c r="AP538" i="16" s="1"/>
  <c r="AC538" i="16"/>
  <c r="AM538" i="16" s="1"/>
  <c r="AE538" i="16"/>
  <c r="AO538" i="16" s="1"/>
  <c r="AS687" i="16"/>
  <c r="AD685" i="16"/>
  <c r="AN685" i="16" s="1"/>
  <c r="AC685" i="16"/>
  <c r="AM685" i="16" s="1"/>
  <c r="AE685" i="16"/>
  <c r="AO685" i="16" s="1"/>
  <c r="AF685" i="16"/>
  <c r="AP685" i="16" s="1"/>
  <c r="AS1150" i="16"/>
  <c r="AE1143" i="16"/>
  <c r="AO1143" i="16" s="1"/>
  <c r="AF1143" i="16"/>
  <c r="AP1143" i="16" s="1"/>
  <c r="AC1143" i="16"/>
  <c r="AM1143" i="16" s="1"/>
  <c r="AD1143" i="16"/>
  <c r="AN1143" i="16" s="1"/>
  <c r="AS383" i="16"/>
  <c r="AD383" i="16"/>
  <c r="AN383" i="16" s="1"/>
  <c r="AC383" i="16"/>
  <c r="AM383" i="16" s="1"/>
  <c r="AF383" i="16"/>
  <c r="AP383" i="16" s="1"/>
  <c r="AE383" i="16"/>
  <c r="AO383" i="16" s="1"/>
  <c r="AS1076" i="16"/>
  <c r="AC1069" i="16"/>
  <c r="AM1069" i="16" s="1"/>
  <c r="AE1069" i="16"/>
  <c r="AO1069" i="16" s="1"/>
  <c r="AD1069" i="16"/>
  <c r="AN1069" i="16" s="1"/>
  <c r="AF1069" i="16"/>
  <c r="AP1069" i="16" s="1"/>
  <c r="AS251" i="16"/>
  <c r="AD251" i="16"/>
  <c r="AN251" i="16" s="1"/>
  <c r="AC251" i="16"/>
  <c r="AM251" i="16" s="1"/>
  <c r="AE251" i="16"/>
  <c r="AO251" i="16" s="1"/>
  <c r="AF251" i="16"/>
  <c r="AP251" i="16" s="1"/>
  <c r="AS70" i="16"/>
  <c r="AC70" i="16"/>
  <c r="AM70" i="16" s="1"/>
  <c r="AD70" i="16"/>
  <c r="AN70" i="16" s="1"/>
  <c r="AE70" i="16"/>
  <c r="AO70" i="16" s="1"/>
  <c r="AF70" i="16"/>
  <c r="AP70" i="16" s="1"/>
  <c r="AS790" i="16"/>
  <c r="AC788" i="16"/>
  <c r="AM788" i="16" s="1"/>
  <c r="AD788" i="16"/>
  <c r="AN788" i="16" s="1"/>
  <c r="AF788" i="16"/>
  <c r="AP788" i="16" s="1"/>
  <c r="AE788" i="16"/>
  <c r="AO788" i="16" s="1"/>
  <c r="AS734" i="16"/>
  <c r="AD732" i="16"/>
  <c r="AN732" i="16" s="1"/>
  <c r="AF732" i="16"/>
  <c r="AP732" i="16" s="1"/>
  <c r="AE732" i="16"/>
  <c r="AO732" i="16" s="1"/>
  <c r="AC732" i="16"/>
  <c r="AM732" i="16" s="1"/>
  <c r="AS57" i="16"/>
  <c r="AC57" i="16"/>
  <c r="AM57" i="16" s="1"/>
  <c r="AE57" i="16"/>
  <c r="AO57" i="16" s="1"/>
  <c r="AF57" i="16"/>
  <c r="AP57" i="16" s="1"/>
  <c r="AD57" i="16"/>
  <c r="AN57" i="16" s="1"/>
  <c r="AS229" i="16"/>
  <c r="AC229" i="16"/>
  <c r="AM229" i="16" s="1"/>
  <c r="AF229" i="16"/>
  <c r="AP229" i="16" s="1"/>
  <c r="AE229" i="16"/>
  <c r="AO229" i="16" s="1"/>
  <c r="AD229" i="16"/>
  <c r="AN229" i="16" s="1"/>
  <c r="AS84" i="16"/>
  <c r="AC84" i="16"/>
  <c r="AM84" i="16" s="1"/>
  <c r="AD84" i="16"/>
  <c r="AN84" i="16" s="1"/>
  <c r="AE84" i="16"/>
  <c r="AO84" i="16" s="1"/>
  <c r="AF84" i="16"/>
  <c r="AP84" i="16" s="1"/>
  <c r="AS152" i="16"/>
  <c r="AC152" i="16"/>
  <c r="AM152" i="16" s="1"/>
  <c r="AD152" i="16"/>
  <c r="AN152" i="16" s="1"/>
  <c r="AE152" i="16"/>
  <c r="AO152" i="16" s="1"/>
  <c r="AF152" i="16"/>
  <c r="AP152" i="16" s="1"/>
  <c r="AS558" i="16"/>
  <c r="AC556" i="16"/>
  <c r="AM556" i="16" s="1"/>
  <c r="AF556" i="16"/>
  <c r="AP556" i="16" s="1"/>
  <c r="AE556" i="16"/>
  <c r="AO556" i="16" s="1"/>
  <c r="AD556" i="16"/>
  <c r="AN556" i="16" s="1"/>
  <c r="AS917" i="16"/>
  <c r="AD911" i="16"/>
  <c r="AN911" i="16" s="1"/>
  <c r="AC911" i="16"/>
  <c r="AM911" i="16" s="1"/>
  <c r="AF911" i="16"/>
  <c r="AP911" i="16" s="1"/>
  <c r="AE911" i="16"/>
  <c r="AO911" i="16" s="1"/>
  <c r="AS491" i="16"/>
  <c r="AE491" i="16"/>
  <c r="AO491" i="16" s="1"/>
  <c r="AC491" i="16"/>
  <c r="AM491" i="16" s="1"/>
  <c r="AF491" i="16"/>
  <c r="AP491" i="16" s="1"/>
  <c r="AD491" i="16"/>
  <c r="AN491" i="16" s="1"/>
  <c r="AS1030" i="16"/>
  <c r="AD1023" i="16"/>
  <c r="AN1023" i="16" s="1"/>
  <c r="AF1023" i="16"/>
  <c r="AP1023" i="16" s="1"/>
  <c r="AE1023" i="16"/>
  <c r="AO1023" i="16" s="1"/>
  <c r="AC1023" i="16"/>
  <c r="AM1023" i="16" s="1"/>
  <c r="AS577" i="16"/>
  <c r="AD575" i="16"/>
  <c r="AN575" i="16" s="1"/>
  <c r="AC575" i="16"/>
  <c r="AM575" i="16" s="1"/>
  <c r="AF575" i="16"/>
  <c r="AP575" i="16" s="1"/>
  <c r="AE575" i="16"/>
  <c r="AO575" i="16" s="1"/>
  <c r="AS24" i="16"/>
  <c r="AC24" i="16"/>
  <c r="AM24" i="16" s="1"/>
  <c r="AE24" i="16"/>
  <c r="AO24" i="16" s="1"/>
  <c r="AF24" i="16"/>
  <c r="AP24" i="16" s="1"/>
  <c r="AD24" i="16"/>
  <c r="AN24" i="16" s="1"/>
  <c r="AS505" i="16"/>
  <c r="AF505" i="16"/>
  <c r="AP505" i="16" s="1"/>
  <c r="AE505" i="16"/>
  <c r="AO505" i="16" s="1"/>
  <c r="AD505" i="16"/>
  <c r="AN505" i="16" s="1"/>
  <c r="AC505" i="16"/>
  <c r="AM505" i="16" s="1"/>
  <c r="AS290" i="16"/>
  <c r="AE290" i="16"/>
  <c r="AO290" i="16" s="1"/>
  <c r="AC290" i="16"/>
  <c r="AM290" i="16" s="1"/>
  <c r="AD290" i="16"/>
  <c r="AN290" i="16" s="1"/>
  <c r="AF290" i="16"/>
  <c r="AP290" i="16" s="1"/>
  <c r="AS1029" i="16"/>
  <c r="AD1022" i="16"/>
  <c r="AN1022" i="16" s="1"/>
  <c r="AE1022" i="16"/>
  <c r="AO1022" i="16" s="1"/>
  <c r="AF1022" i="16"/>
  <c r="AP1022" i="16" s="1"/>
  <c r="AC1022" i="16"/>
  <c r="AM1022" i="16" s="1"/>
  <c r="AS15" i="16"/>
  <c r="AC15" i="16"/>
  <c r="AM15" i="16" s="1"/>
  <c r="AE15" i="16"/>
  <c r="AO15" i="16" s="1"/>
  <c r="AF15" i="16"/>
  <c r="AP15" i="16" s="1"/>
  <c r="AD15" i="16"/>
  <c r="AN15" i="16" s="1"/>
  <c r="AS892" i="16"/>
  <c r="AD886" i="16"/>
  <c r="AN886" i="16" s="1"/>
  <c r="AE886" i="16"/>
  <c r="AO886" i="16" s="1"/>
  <c r="AC886" i="16"/>
  <c r="AM886" i="16" s="1"/>
  <c r="AF886" i="16"/>
  <c r="AP886" i="16" s="1"/>
  <c r="AS630" i="16"/>
  <c r="AC628" i="16"/>
  <c r="AM628" i="16" s="1"/>
  <c r="AE628" i="16"/>
  <c r="AO628" i="16" s="1"/>
  <c r="AD628" i="16"/>
  <c r="AN628" i="16" s="1"/>
  <c r="AF628" i="16"/>
  <c r="AP628" i="16" s="1"/>
  <c r="AS786" i="16"/>
  <c r="AF784" i="16"/>
  <c r="AP784" i="16" s="1"/>
  <c r="AD784" i="16"/>
  <c r="AN784" i="16" s="1"/>
  <c r="AE784" i="16"/>
  <c r="AO784" i="16" s="1"/>
  <c r="AC784" i="16"/>
  <c r="AM784" i="16" s="1"/>
  <c r="AS257" i="16"/>
  <c r="AE257" i="16"/>
  <c r="AO257" i="16" s="1"/>
  <c r="AF257" i="16"/>
  <c r="AP257" i="16" s="1"/>
  <c r="AC257" i="16"/>
  <c r="AM257" i="16" s="1"/>
  <c r="AD257" i="16"/>
  <c r="AN257" i="16" s="1"/>
  <c r="AS707" i="16"/>
  <c r="AC705" i="16"/>
  <c r="AM705" i="16" s="1"/>
  <c r="AE705" i="16"/>
  <c r="AO705" i="16" s="1"/>
  <c r="AF705" i="16"/>
  <c r="AP705" i="16" s="1"/>
  <c r="AD705" i="16"/>
  <c r="AS282" i="16"/>
  <c r="AE282" i="16"/>
  <c r="AO282" i="16" s="1"/>
  <c r="AD282" i="16"/>
  <c r="AN282" i="16" s="1"/>
  <c r="AC282" i="16"/>
  <c r="AM282" i="16" s="1"/>
  <c r="AF282" i="16"/>
  <c r="AP282" i="16" s="1"/>
  <c r="AS729" i="16"/>
  <c r="AC727" i="16"/>
  <c r="AM727" i="16" s="1"/>
  <c r="AD727" i="16"/>
  <c r="AN727" i="16" s="1"/>
  <c r="AE727" i="16"/>
  <c r="AO727" i="16" s="1"/>
  <c r="AF727" i="16"/>
  <c r="AP727" i="16" s="1"/>
  <c r="AS392" i="16"/>
  <c r="AC392" i="16"/>
  <c r="AM392" i="16" s="1"/>
  <c r="AD392" i="16"/>
  <c r="AN392" i="16" s="1"/>
  <c r="AE392" i="16"/>
  <c r="AO392" i="16" s="1"/>
  <c r="AF392" i="16"/>
  <c r="AP392" i="16" s="1"/>
  <c r="AS45" i="16"/>
  <c r="AC45" i="16"/>
  <c r="AM45" i="16" s="1"/>
  <c r="AD45" i="16"/>
  <c r="AN45" i="16" s="1"/>
  <c r="AE45" i="16"/>
  <c r="AO45" i="16" s="1"/>
  <c r="AF45" i="16"/>
  <c r="AP45" i="16" s="1"/>
  <c r="AS345" i="16"/>
  <c r="AD345" i="16"/>
  <c r="AN345" i="16" s="1"/>
  <c r="AE345" i="16"/>
  <c r="AO345" i="16" s="1"/>
  <c r="AF345" i="16"/>
  <c r="AP345" i="16" s="1"/>
  <c r="AC345" i="16"/>
  <c r="AM345" i="16" s="1"/>
  <c r="AS997" i="16"/>
  <c r="AE990" i="16"/>
  <c r="AO990" i="16" s="1"/>
  <c r="AD990" i="16"/>
  <c r="AN990" i="16" s="1"/>
  <c r="AC990" i="16"/>
  <c r="AM990" i="16" s="1"/>
  <c r="AF990" i="16"/>
  <c r="AP990" i="16" s="1"/>
  <c r="AS1093" i="16"/>
  <c r="AC1086" i="16"/>
  <c r="AM1086" i="16" s="1"/>
  <c r="AD1086" i="16"/>
  <c r="AN1086" i="16" s="1"/>
  <c r="AE1086" i="16"/>
  <c r="AO1086" i="16" s="1"/>
  <c r="AF1086" i="16"/>
  <c r="AP1086" i="16" s="1"/>
  <c r="AS1178" i="16"/>
  <c r="AD1171" i="16"/>
  <c r="AN1171" i="16" s="1"/>
  <c r="AE1171" i="16"/>
  <c r="AO1171" i="16" s="1"/>
  <c r="AC1171" i="16"/>
  <c r="AM1171" i="16" s="1"/>
  <c r="AF1171" i="16"/>
  <c r="AP1171" i="16" s="1"/>
  <c r="AS941" i="16"/>
  <c r="AD935" i="16"/>
  <c r="AN935" i="16" s="1"/>
  <c r="AE935" i="16"/>
  <c r="AO935" i="16" s="1"/>
  <c r="AC935" i="16"/>
  <c r="AM935" i="16" s="1"/>
  <c r="AF935" i="16"/>
  <c r="AP935" i="16" s="1"/>
  <c r="AS1026" i="16"/>
  <c r="AC1019" i="16"/>
  <c r="AM1019" i="16" s="1"/>
  <c r="AF1019" i="16"/>
  <c r="AP1019" i="16" s="1"/>
  <c r="AD1019" i="16"/>
  <c r="AN1019" i="16" s="1"/>
  <c r="AE1019" i="16"/>
  <c r="AO1019" i="16" s="1"/>
  <c r="AS1003" i="16"/>
  <c r="AE996" i="16"/>
  <c r="AO996" i="16" s="1"/>
  <c r="AF996" i="16"/>
  <c r="AP996" i="16" s="1"/>
  <c r="AD996" i="16"/>
  <c r="AN996" i="16" s="1"/>
  <c r="AC996" i="16"/>
  <c r="AM996" i="16" s="1"/>
  <c r="AS1004" i="16"/>
  <c r="AD997" i="16"/>
  <c r="AN997" i="16" s="1"/>
  <c r="AE997" i="16"/>
  <c r="AO997" i="16" s="1"/>
  <c r="AC997" i="16"/>
  <c r="AM997" i="16" s="1"/>
  <c r="AF997" i="16"/>
  <c r="AP997" i="16" s="1"/>
  <c r="AS934" i="16"/>
  <c r="AD928" i="16"/>
  <c r="AN928" i="16" s="1"/>
  <c r="AE928" i="16"/>
  <c r="AO928" i="16" s="1"/>
  <c r="AF928" i="16"/>
  <c r="AP928" i="16" s="1"/>
  <c r="AC928" i="16"/>
  <c r="AM928" i="16" s="1"/>
  <c r="AS408" i="16"/>
  <c r="AC408" i="16"/>
  <c r="AM408" i="16" s="1"/>
  <c r="AF408" i="16"/>
  <c r="AP408" i="16" s="1"/>
  <c r="AE408" i="16"/>
  <c r="AO408" i="16" s="1"/>
  <c r="AD408" i="16"/>
  <c r="AN408" i="16" s="1"/>
  <c r="AS118" i="16"/>
  <c r="AF118" i="16"/>
  <c r="AP118" i="16" s="1"/>
  <c r="AE118" i="16"/>
  <c r="AO118" i="16" s="1"/>
  <c r="AC118" i="16"/>
  <c r="AM118" i="16" s="1"/>
  <c r="AD118" i="16"/>
  <c r="AN118" i="16" s="1"/>
  <c r="AS428" i="16"/>
  <c r="AE428" i="16"/>
  <c r="AO428" i="16" s="1"/>
  <c r="AD428" i="16"/>
  <c r="AN428" i="16" s="1"/>
  <c r="AC428" i="16"/>
  <c r="AM428" i="16" s="1"/>
  <c r="AF428" i="16"/>
  <c r="AP428" i="16" s="1"/>
  <c r="AS883" i="16"/>
  <c r="AF877" i="16"/>
  <c r="AP877" i="16" s="1"/>
  <c r="AC877" i="16"/>
  <c r="AM877" i="16" s="1"/>
  <c r="AD877" i="16"/>
  <c r="AN877" i="16" s="1"/>
  <c r="AE877" i="16"/>
  <c r="AO877" i="16" s="1"/>
  <c r="AS439" i="16"/>
  <c r="AF439" i="16"/>
  <c r="AP439" i="16" s="1"/>
  <c r="AE439" i="16"/>
  <c r="AO439" i="16" s="1"/>
  <c r="AD439" i="16"/>
  <c r="AN439" i="16" s="1"/>
  <c r="AC439" i="16"/>
  <c r="AM439" i="16" s="1"/>
  <c r="AS663" i="16"/>
  <c r="AF661" i="16"/>
  <c r="AP661" i="16" s="1"/>
  <c r="AD661" i="16"/>
  <c r="AC661" i="16"/>
  <c r="AM661" i="16" s="1"/>
  <c r="AE661" i="16"/>
  <c r="AO661" i="16" s="1"/>
  <c r="AS693" i="16"/>
  <c r="AC691" i="16"/>
  <c r="AM691" i="16" s="1"/>
  <c r="AD691" i="16"/>
  <c r="AF691" i="16"/>
  <c r="AP691" i="16" s="1"/>
  <c r="AE691" i="16"/>
  <c r="AO691" i="16" s="1"/>
  <c r="AS1124" i="16"/>
  <c r="AD1117" i="16"/>
  <c r="AN1117" i="16" s="1"/>
  <c r="AE1117" i="16"/>
  <c r="AO1117" i="16" s="1"/>
  <c r="AF1117" i="16"/>
  <c r="AP1117" i="16" s="1"/>
  <c r="AC1117" i="16"/>
  <c r="AM1117" i="16" s="1"/>
  <c r="AS924" i="16"/>
  <c r="AD918" i="16"/>
  <c r="AN918" i="16" s="1"/>
  <c r="AE918" i="16"/>
  <c r="AO918" i="16" s="1"/>
  <c r="AF918" i="16"/>
  <c r="AP918" i="16" s="1"/>
  <c r="AC918" i="16"/>
  <c r="AM918" i="16" s="1"/>
  <c r="AS348" i="16"/>
  <c r="AC348" i="16"/>
  <c r="AM348" i="16" s="1"/>
  <c r="AE348" i="16"/>
  <c r="AO348" i="16" s="1"/>
  <c r="AD348" i="16"/>
  <c r="AN348" i="16" s="1"/>
  <c r="AF348" i="16"/>
  <c r="AP348" i="16" s="1"/>
  <c r="AS629" i="16"/>
  <c r="AD627" i="16"/>
  <c r="AN627" i="16" s="1"/>
  <c r="AC627" i="16"/>
  <c r="AM627" i="16" s="1"/>
  <c r="AE627" i="16"/>
  <c r="AO627" i="16" s="1"/>
  <c r="AF627" i="16"/>
  <c r="AP627" i="16" s="1"/>
  <c r="AS961" i="16"/>
  <c r="AD954" i="16"/>
  <c r="AN954" i="16" s="1"/>
  <c r="AE954" i="16"/>
  <c r="AO954" i="16" s="1"/>
  <c r="AF954" i="16"/>
  <c r="AP954" i="16" s="1"/>
  <c r="AC954" i="16"/>
  <c r="AM954" i="16" s="1"/>
  <c r="AS289" i="16"/>
  <c r="AC289" i="16"/>
  <c r="AM289" i="16" s="1"/>
  <c r="AE289" i="16"/>
  <c r="AO289" i="16" s="1"/>
  <c r="AD289" i="16"/>
  <c r="AN289" i="16" s="1"/>
  <c r="AF289" i="16"/>
  <c r="AP289" i="16" s="1"/>
  <c r="AS111" i="16"/>
  <c r="AF111" i="16"/>
  <c r="AP111" i="16" s="1"/>
  <c r="AE111" i="16"/>
  <c r="AO111" i="16" s="1"/>
  <c r="AD111" i="16"/>
  <c r="AN111" i="16" s="1"/>
  <c r="AC111" i="16"/>
  <c r="AM111" i="16" s="1"/>
  <c r="AS483" i="16"/>
  <c r="AD483" i="16"/>
  <c r="AN483" i="16" s="1"/>
  <c r="AE483" i="16"/>
  <c r="AO483" i="16" s="1"/>
  <c r="AF483" i="16"/>
  <c r="AP483" i="16" s="1"/>
  <c r="AC483" i="16"/>
  <c r="AM483" i="16" s="1"/>
  <c r="AS894" i="16"/>
  <c r="AF888" i="16"/>
  <c r="AP888" i="16" s="1"/>
  <c r="AC888" i="16"/>
  <c r="AM888" i="16" s="1"/>
  <c r="AD888" i="16"/>
  <c r="AN888" i="16" s="1"/>
  <c r="AE888" i="16"/>
  <c r="AO888" i="16" s="1"/>
  <c r="AS209" i="16"/>
  <c r="AE209" i="16"/>
  <c r="AO209" i="16" s="1"/>
  <c r="AF209" i="16"/>
  <c r="AP209" i="16" s="1"/>
  <c r="AD209" i="16"/>
  <c r="AN209" i="16" s="1"/>
  <c r="AC209" i="16"/>
  <c r="AM209" i="16" s="1"/>
  <c r="AS424" i="16"/>
  <c r="AC424" i="16"/>
  <c r="AM424" i="16" s="1"/>
  <c r="AD424" i="16"/>
  <c r="AN424" i="16" s="1"/>
  <c r="AF424" i="16"/>
  <c r="AP424" i="16" s="1"/>
  <c r="AE424" i="16"/>
  <c r="AO424" i="16" s="1"/>
  <c r="AS576" i="16"/>
  <c r="AF574" i="16"/>
  <c r="AP574" i="16" s="1"/>
  <c r="AC574" i="16"/>
  <c r="AM574" i="16" s="1"/>
  <c r="AD574" i="16"/>
  <c r="AE574" i="16"/>
  <c r="AO574" i="16" s="1"/>
  <c r="AS952" i="16"/>
  <c r="AF946" i="16"/>
  <c r="AP946" i="16" s="1"/>
  <c r="AC946" i="16"/>
  <c r="AM946" i="16" s="1"/>
  <c r="AD946" i="16"/>
  <c r="AN946" i="16" s="1"/>
  <c r="AE946" i="16"/>
  <c r="AO946" i="16" s="1"/>
  <c r="AS608" i="16"/>
  <c r="AE606" i="16"/>
  <c r="AO606" i="16" s="1"/>
  <c r="AC606" i="16"/>
  <c r="AM606" i="16" s="1"/>
  <c r="AD606" i="16"/>
  <c r="AN606" i="16" s="1"/>
  <c r="AF606" i="16"/>
  <c r="AP606" i="16" s="1"/>
  <c r="AS367" i="16"/>
  <c r="AF367" i="16"/>
  <c r="AP367" i="16" s="1"/>
  <c r="AD367" i="16"/>
  <c r="AN367" i="16" s="1"/>
  <c r="AE367" i="16"/>
  <c r="AO367" i="16" s="1"/>
  <c r="AC367" i="16"/>
  <c r="AM367" i="16" s="1"/>
  <c r="AS597" i="16"/>
  <c r="AC595" i="16"/>
  <c r="AM595" i="16" s="1"/>
  <c r="AF595" i="16"/>
  <c r="AP595" i="16" s="1"/>
  <c r="AE595" i="16"/>
  <c r="AO595" i="16" s="1"/>
  <c r="AD595" i="16"/>
  <c r="AN595" i="16" s="1"/>
  <c r="AS681" i="16"/>
  <c r="AC679" i="16"/>
  <c r="AM679" i="16" s="1"/>
  <c r="AD679" i="16"/>
  <c r="AN679" i="16" s="1"/>
  <c r="AE679" i="16"/>
  <c r="AO679" i="16" s="1"/>
  <c r="AF679" i="16"/>
  <c r="AP679" i="16" s="1"/>
  <c r="AS488" i="16"/>
  <c r="AC488" i="16"/>
  <c r="AM488" i="16" s="1"/>
  <c r="AE488" i="16"/>
  <c r="AO488" i="16" s="1"/>
  <c r="AD488" i="16"/>
  <c r="AN488" i="16" s="1"/>
  <c r="AF488" i="16"/>
  <c r="AP488" i="16" s="1"/>
  <c r="AS34" i="16"/>
  <c r="AC34" i="16"/>
  <c r="AM34" i="16" s="1"/>
  <c r="AF34" i="16"/>
  <c r="AP34" i="16" s="1"/>
  <c r="AE34" i="16"/>
  <c r="AO34" i="16" s="1"/>
  <c r="AD34" i="16"/>
  <c r="AN34" i="16" s="1"/>
  <c r="AS178" i="16"/>
  <c r="AF178" i="16"/>
  <c r="AP178" i="16" s="1"/>
  <c r="AD178" i="16"/>
  <c r="AN178" i="16" s="1"/>
  <c r="AC178" i="16"/>
  <c r="AM178" i="16" s="1"/>
  <c r="AE178" i="16"/>
  <c r="AO178" i="16" s="1"/>
  <c r="AS564" i="16"/>
  <c r="AF562" i="16"/>
  <c r="AP562" i="16" s="1"/>
  <c r="AE562" i="16"/>
  <c r="AO562" i="16" s="1"/>
  <c r="AD562" i="16"/>
  <c r="AN562" i="16" s="1"/>
  <c r="AC562" i="16"/>
  <c r="AM562" i="16" s="1"/>
  <c r="AS1141" i="16"/>
  <c r="AD1134" i="16"/>
  <c r="AN1134" i="16" s="1"/>
  <c r="AC1134" i="16"/>
  <c r="AM1134" i="16" s="1"/>
  <c r="AE1134" i="16"/>
  <c r="AO1134" i="16" s="1"/>
  <c r="AF1134" i="16"/>
  <c r="AP1134" i="16" s="1"/>
  <c r="AS754" i="16"/>
  <c r="AC752" i="16"/>
  <c r="AM752" i="16" s="1"/>
  <c r="AF752" i="16"/>
  <c r="AP752" i="16" s="1"/>
  <c r="AD752" i="16"/>
  <c r="AN752" i="16" s="1"/>
  <c r="AE752" i="16"/>
  <c r="AO752" i="16" s="1"/>
  <c r="AS1145" i="16"/>
  <c r="AE1138" i="16"/>
  <c r="AO1138" i="16" s="1"/>
  <c r="AD1138" i="16"/>
  <c r="AN1138" i="16" s="1"/>
  <c r="AC1138" i="16"/>
  <c r="AM1138" i="16" s="1"/>
  <c r="AF1138" i="16"/>
  <c r="AP1138" i="16" s="1"/>
  <c r="AS1054" i="16"/>
  <c r="AD1047" i="16"/>
  <c r="AN1047" i="16" s="1"/>
  <c r="AE1047" i="16"/>
  <c r="AO1047" i="16" s="1"/>
  <c r="AF1047" i="16"/>
  <c r="AP1047" i="16" s="1"/>
  <c r="AC1047" i="16"/>
  <c r="AM1047" i="16" s="1"/>
  <c r="AS31" i="16"/>
  <c r="AC31" i="16"/>
  <c r="AM31" i="16" s="1"/>
  <c r="AD31" i="16"/>
  <c r="AN31" i="16" s="1"/>
  <c r="AE31" i="16"/>
  <c r="AO31" i="16" s="1"/>
  <c r="AF31" i="16"/>
  <c r="AP31" i="16" s="1"/>
  <c r="AS1088" i="16"/>
  <c r="AC1081" i="16"/>
  <c r="AM1081" i="16" s="1"/>
  <c r="AE1081" i="16"/>
  <c r="AO1081" i="16" s="1"/>
  <c r="AF1081" i="16"/>
  <c r="AP1081" i="16" s="1"/>
  <c r="AD1081" i="16"/>
  <c r="AN1081" i="16" s="1"/>
  <c r="AS832" i="16"/>
  <c r="AE829" i="16"/>
  <c r="AO829" i="16" s="1"/>
  <c r="AD829" i="16"/>
  <c r="AN829" i="16" s="1"/>
  <c r="AC829" i="16"/>
  <c r="AM829" i="16" s="1"/>
  <c r="AF829" i="16"/>
  <c r="AP829" i="16" s="1"/>
  <c r="AS387" i="16"/>
  <c r="AC387" i="16"/>
  <c r="AM387" i="16" s="1"/>
  <c r="AD387" i="16"/>
  <c r="AN387" i="16" s="1"/>
  <c r="AE387" i="16"/>
  <c r="AO387" i="16" s="1"/>
  <c r="AF387" i="16"/>
  <c r="AP387" i="16" s="1"/>
  <c r="AS885" i="16"/>
  <c r="AC879" i="16"/>
  <c r="AM879" i="16" s="1"/>
  <c r="AF879" i="16"/>
  <c r="AP879" i="16" s="1"/>
  <c r="AD879" i="16"/>
  <c r="AN879" i="16" s="1"/>
  <c r="AE879" i="16"/>
  <c r="AO879" i="16" s="1"/>
  <c r="AS176" i="16"/>
  <c r="AF176" i="16"/>
  <c r="AP176" i="16" s="1"/>
  <c r="AE176" i="16"/>
  <c r="AC176" i="16"/>
  <c r="AM176" i="16" s="1"/>
  <c r="AD176" i="16"/>
  <c r="AN176" i="16" s="1"/>
  <c r="AS844" i="16"/>
  <c r="AD841" i="16"/>
  <c r="AC841" i="16"/>
  <c r="AM841" i="16" s="1"/>
  <c r="AF841" i="16"/>
  <c r="AP841" i="16" s="1"/>
  <c r="AE841" i="16"/>
  <c r="AO841" i="16" s="1"/>
  <c r="AS1053" i="16"/>
  <c r="AF1046" i="16"/>
  <c r="AP1046" i="16" s="1"/>
  <c r="AE1046" i="16"/>
  <c r="AO1046" i="16" s="1"/>
  <c r="AD1046" i="16"/>
  <c r="AN1046" i="16" s="1"/>
  <c r="AC1046" i="16"/>
  <c r="AM1046" i="16" s="1"/>
  <c r="AS841" i="16"/>
  <c r="AD838" i="16"/>
  <c r="AE838" i="16"/>
  <c r="AO838" i="16" s="1"/>
  <c r="AC838" i="16"/>
  <c r="AM838" i="16" s="1"/>
  <c r="AF838" i="16"/>
  <c r="AP838" i="16" s="1"/>
  <c r="AS217" i="16"/>
  <c r="AE217" i="16"/>
  <c r="AO217" i="16" s="1"/>
  <c r="AF217" i="16"/>
  <c r="AP217" i="16" s="1"/>
  <c r="AD217" i="16"/>
  <c r="AN217" i="16" s="1"/>
  <c r="AC217" i="16"/>
  <c r="AM217" i="16" s="1"/>
  <c r="AS554" i="16"/>
  <c r="AE552" i="16"/>
  <c r="AO552" i="16" s="1"/>
  <c r="AF552" i="16"/>
  <c r="AP552" i="16" s="1"/>
  <c r="AD552" i="16"/>
  <c r="AN552" i="16" s="1"/>
  <c r="AC552" i="16"/>
  <c r="AM552" i="16" s="1"/>
  <c r="AS635" i="16"/>
  <c r="AC633" i="16"/>
  <c r="AM633" i="16" s="1"/>
  <c r="AF633" i="16"/>
  <c r="AP633" i="16" s="1"/>
  <c r="AD633" i="16"/>
  <c r="AN633" i="16" s="1"/>
  <c r="AE633" i="16"/>
  <c r="AO633" i="16" s="1"/>
  <c r="AS1011" i="16"/>
  <c r="AE1004" i="16"/>
  <c r="AO1004" i="16" s="1"/>
  <c r="AF1004" i="16"/>
  <c r="AP1004" i="16" s="1"/>
  <c r="AD1004" i="16"/>
  <c r="AN1004" i="16" s="1"/>
  <c r="AC1004" i="16"/>
  <c r="AM1004" i="16" s="1"/>
  <c r="AS637" i="16"/>
  <c r="AF635" i="16"/>
  <c r="AP635" i="16" s="1"/>
  <c r="AD635" i="16"/>
  <c r="AE635" i="16"/>
  <c r="AO635" i="16" s="1"/>
  <c r="AC635" i="16"/>
  <c r="AM635" i="16" s="1"/>
  <c r="AS706" i="16"/>
  <c r="AD704" i="16"/>
  <c r="AC704" i="16"/>
  <c r="AM704" i="16" s="1"/>
  <c r="AF704" i="16"/>
  <c r="AP704" i="16" s="1"/>
  <c r="AE704" i="16"/>
  <c r="AO704" i="16" s="1"/>
  <c r="AS371" i="16"/>
  <c r="AC371" i="16"/>
  <c r="AM371" i="16" s="1"/>
  <c r="AE371" i="16"/>
  <c r="AO371" i="16" s="1"/>
  <c r="AD371" i="16"/>
  <c r="AN371" i="16" s="1"/>
  <c r="AF371" i="16"/>
  <c r="AP371" i="16" s="1"/>
  <c r="AS30" i="16"/>
  <c r="AC30" i="16"/>
  <c r="AM30" i="16" s="1"/>
  <c r="AD30" i="16"/>
  <c r="AN30" i="16" s="1"/>
  <c r="AE30" i="16"/>
  <c r="AO30" i="16" s="1"/>
  <c r="AF30" i="16"/>
  <c r="AP30" i="16" s="1"/>
  <c r="AS458" i="16"/>
  <c r="AF458" i="16"/>
  <c r="AP458" i="16" s="1"/>
  <c r="AE458" i="16"/>
  <c r="AO458" i="16" s="1"/>
  <c r="AD458" i="16"/>
  <c r="AN458" i="16" s="1"/>
  <c r="AC458" i="16"/>
  <c r="AM458" i="16" s="1"/>
  <c r="AS473" i="16"/>
  <c r="AD473" i="16"/>
  <c r="AC473" i="16"/>
  <c r="AM473" i="16" s="1"/>
  <c r="AE473" i="16"/>
  <c r="AO473" i="16" s="1"/>
  <c r="AF473" i="16"/>
  <c r="AP473" i="16" s="1"/>
  <c r="AS300" i="16"/>
  <c r="AD300" i="16"/>
  <c r="AN300" i="16" s="1"/>
  <c r="AE300" i="16"/>
  <c r="AO300" i="16" s="1"/>
  <c r="AC300" i="16"/>
  <c r="AM300" i="16" s="1"/>
  <c r="AF300" i="16"/>
  <c r="AP300" i="16" s="1"/>
  <c r="AS1160" i="16"/>
  <c r="AD1153" i="16"/>
  <c r="AN1153" i="16" s="1"/>
  <c r="AC1153" i="16"/>
  <c r="AM1153" i="16" s="1"/>
  <c r="AF1153" i="16"/>
  <c r="AP1153" i="16" s="1"/>
  <c r="AE1153" i="16"/>
  <c r="AO1153" i="16" s="1"/>
  <c r="AS1118" i="16"/>
  <c r="AC1111" i="16"/>
  <c r="AM1111" i="16" s="1"/>
  <c r="AF1111" i="16"/>
  <c r="AP1111" i="16" s="1"/>
  <c r="AE1111" i="16"/>
  <c r="AO1111" i="16" s="1"/>
  <c r="AD1111" i="16"/>
  <c r="AN1111" i="16" s="1"/>
  <c r="AS100" i="16"/>
  <c r="AC100" i="16"/>
  <c r="AM100" i="16" s="1"/>
  <c r="AF100" i="16"/>
  <c r="AP100" i="16" s="1"/>
  <c r="AE100" i="16"/>
  <c r="AO100" i="16" s="1"/>
  <c r="AD100" i="16"/>
  <c r="AN100" i="16" s="1"/>
  <c r="AS481" i="16"/>
  <c r="AC481" i="16"/>
  <c r="AM481" i="16" s="1"/>
  <c r="AF481" i="16"/>
  <c r="AP481" i="16" s="1"/>
  <c r="AE481" i="16"/>
  <c r="AO481" i="16" s="1"/>
  <c r="AD481" i="16"/>
  <c r="AN481" i="16" s="1"/>
  <c r="AS142" i="16"/>
  <c r="AF142" i="16"/>
  <c r="AP142" i="16" s="1"/>
  <c r="AC142" i="16"/>
  <c r="AM142" i="16" s="1"/>
  <c r="AD142" i="16"/>
  <c r="AN142" i="16" s="1"/>
  <c r="AE142" i="16"/>
  <c r="AO142" i="16" s="1"/>
  <c r="AS60" i="16"/>
  <c r="AD60" i="16"/>
  <c r="AN60" i="16" s="1"/>
  <c r="AC60" i="16"/>
  <c r="AM60" i="16" s="1"/>
  <c r="AE60" i="16"/>
  <c r="AO60" i="16" s="1"/>
  <c r="AF60" i="16"/>
  <c r="AP60" i="16" s="1"/>
  <c r="AS650" i="16"/>
  <c r="AD648" i="16"/>
  <c r="AN648" i="16" s="1"/>
  <c r="AE648" i="16"/>
  <c r="AO648" i="16" s="1"/>
  <c r="AC648" i="16"/>
  <c r="AM648" i="16" s="1"/>
  <c r="AF648" i="16"/>
  <c r="AP648" i="16" s="1"/>
  <c r="AS487" i="16"/>
  <c r="AC487" i="16"/>
  <c r="AM487" i="16" s="1"/>
  <c r="AE487" i="16"/>
  <c r="AO487" i="16" s="1"/>
  <c r="AD487" i="16"/>
  <c r="AN487" i="16" s="1"/>
  <c r="AF487" i="16"/>
  <c r="AP487" i="16" s="1"/>
  <c r="AS1148" i="16"/>
  <c r="AC1141" i="16"/>
  <c r="AM1141" i="16" s="1"/>
  <c r="AF1141" i="16"/>
  <c r="AP1141" i="16" s="1"/>
  <c r="AE1141" i="16"/>
  <c r="AO1141" i="16" s="1"/>
  <c r="AD1141" i="16"/>
  <c r="AN1141" i="16" s="1"/>
  <c r="AS994" i="16"/>
  <c r="AE987" i="16"/>
  <c r="AO987" i="16" s="1"/>
  <c r="AF987" i="16"/>
  <c r="AP987" i="16" s="1"/>
  <c r="AC987" i="16"/>
  <c r="AM987" i="16" s="1"/>
  <c r="AD987" i="16"/>
  <c r="AN987" i="16" s="1"/>
  <c r="AS1021" i="16"/>
  <c r="AF1014" i="16"/>
  <c r="AP1014" i="16" s="1"/>
  <c r="AD1014" i="16"/>
  <c r="AN1014" i="16" s="1"/>
  <c r="AE1014" i="16"/>
  <c r="AO1014" i="16" s="1"/>
  <c r="AC1014" i="16"/>
  <c r="AM1014" i="16" s="1"/>
  <c r="AS1050" i="16"/>
  <c r="AD1043" i="16"/>
  <c r="AN1043" i="16" s="1"/>
  <c r="AF1043" i="16"/>
  <c r="AP1043" i="16" s="1"/>
  <c r="AE1043" i="16"/>
  <c r="AO1043" i="16" s="1"/>
  <c r="AC1043" i="16"/>
  <c r="AM1043" i="16" s="1"/>
  <c r="AS1082" i="16"/>
  <c r="AF1075" i="16"/>
  <c r="AP1075" i="16" s="1"/>
  <c r="AD1075" i="16"/>
  <c r="AN1075" i="16" s="1"/>
  <c r="AE1075" i="16"/>
  <c r="AO1075" i="16" s="1"/>
  <c r="AC1075" i="16"/>
  <c r="AM1075" i="16" s="1"/>
  <c r="AS921" i="16"/>
  <c r="AD915" i="16"/>
  <c r="AN915" i="16" s="1"/>
  <c r="AE915" i="16"/>
  <c r="AO915" i="16" s="1"/>
  <c r="AF915" i="16"/>
  <c r="AP915" i="16" s="1"/>
  <c r="AC915" i="16"/>
  <c r="AM915" i="16" s="1"/>
  <c r="AS1066" i="16"/>
  <c r="AD1059" i="16"/>
  <c r="AN1059" i="16" s="1"/>
  <c r="AF1059" i="16"/>
  <c r="AP1059" i="16" s="1"/>
  <c r="AE1059" i="16"/>
  <c r="AO1059" i="16" s="1"/>
  <c r="AC1059" i="16"/>
  <c r="AM1059" i="16" s="1"/>
  <c r="AS1032" i="16"/>
  <c r="AF1025" i="16"/>
  <c r="AP1025" i="16" s="1"/>
  <c r="AC1025" i="16"/>
  <c r="AM1025" i="16" s="1"/>
  <c r="AD1025" i="16"/>
  <c r="AN1025" i="16" s="1"/>
  <c r="AE1025" i="16"/>
  <c r="AO1025" i="16" s="1"/>
  <c r="AS865" i="16"/>
  <c r="AD860" i="16"/>
  <c r="AF860" i="16"/>
  <c r="AP860" i="16" s="1"/>
  <c r="AE860" i="16"/>
  <c r="AO860" i="16" s="1"/>
  <c r="AC860" i="16"/>
  <c r="AM860" i="16" s="1"/>
  <c r="AS207" i="16"/>
  <c r="AF207" i="16"/>
  <c r="AP207" i="16" s="1"/>
  <c r="AC207" i="16"/>
  <c r="AM207" i="16" s="1"/>
  <c r="AE207" i="16"/>
  <c r="AO207" i="16" s="1"/>
  <c r="AD207" i="16"/>
  <c r="AN207" i="16" s="1"/>
  <c r="AF270" i="16"/>
  <c r="AP270" i="16" s="1"/>
  <c r="AC270" i="16"/>
  <c r="AM270" i="16" s="1"/>
  <c r="AD270" i="16"/>
  <c r="AN270" i="16" s="1"/>
  <c r="AE270" i="16"/>
  <c r="AO270" i="16" s="1"/>
  <c r="AS270" i="16"/>
  <c r="AS686" i="16"/>
  <c r="AD684" i="16"/>
  <c r="AN684" i="16" s="1"/>
  <c r="AE684" i="16"/>
  <c r="AO684" i="16" s="1"/>
  <c r="AC684" i="16"/>
  <c r="AM684" i="16" s="1"/>
  <c r="AF684" i="16"/>
  <c r="AP684" i="16" s="1"/>
  <c r="AS700" i="16"/>
  <c r="AC698" i="16"/>
  <c r="AM698" i="16" s="1"/>
  <c r="AF698" i="16"/>
  <c r="AP698" i="16" s="1"/>
  <c r="AE698" i="16"/>
  <c r="AO698" i="16" s="1"/>
  <c r="AD698" i="16"/>
  <c r="AS897" i="16"/>
  <c r="AC891" i="16"/>
  <c r="AM891" i="16" s="1"/>
  <c r="AD891" i="16"/>
  <c r="AN891" i="16" s="1"/>
  <c r="AE891" i="16"/>
  <c r="AO891" i="16" s="1"/>
  <c r="AF891" i="16"/>
  <c r="AP891" i="16" s="1"/>
  <c r="AS20" i="16"/>
  <c r="AC20" i="16"/>
  <c r="AM20" i="16" s="1"/>
  <c r="AE20" i="16"/>
  <c r="AO20" i="16" s="1"/>
  <c r="AF20" i="16"/>
  <c r="AP20" i="16" s="1"/>
  <c r="AD20" i="16"/>
  <c r="AN20" i="16" s="1"/>
  <c r="AS82" i="16"/>
  <c r="AF82" i="16"/>
  <c r="AP82" i="16" s="1"/>
  <c r="AE82" i="16"/>
  <c r="AO82" i="16" s="1"/>
  <c r="AD82" i="16"/>
  <c r="AN82" i="16" s="1"/>
  <c r="AC82" i="16"/>
  <c r="AM82" i="16" s="1"/>
  <c r="AS728" i="16"/>
  <c r="AE726" i="16"/>
  <c r="AO726" i="16" s="1"/>
  <c r="AD726" i="16"/>
  <c r="AN726" i="16" s="1"/>
  <c r="AC726" i="16"/>
  <c r="AM726" i="16" s="1"/>
  <c r="AF726" i="16"/>
  <c r="AP726" i="16" s="1"/>
  <c r="AS839" i="16"/>
  <c r="AE836" i="16"/>
  <c r="AO836" i="16" s="1"/>
  <c r="AD836" i="16"/>
  <c r="AN836" i="16" s="1"/>
  <c r="AC836" i="16"/>
  <c r="AM836" i="16" s="1"/>
  <c r="AF836" i="16"/>
  <c r="AP836" i="16" s="1"/>
  <c r="AS795" i="16"/>
  <c r="AF793" i="16"/>
  <c r="AP793" i="16" s="1"/>
  <c r="AC793" i="16"/>
  <c r="AM793" i="16" s="1"/>
  <c r="AD793" i="16"/>
  <c r="AN793" i="16" s="1"/>
  <c r="AE793" i="16"/>
  <c r="AO793" i="16" s="1"/>
  <c r="AS187" i="16"/>
  <c r="AC187" i="16"/>
  <c r="AM187" i="16" s="1"/>
  <c r="AD187" i="16"/>
  <c r="AN187" i="16" s="1"/>
  <c r="AE187" i="16"/>
  <c r="AO187" i="16" s="1"/>
  <c r="AF187" i="16"/>
  <c r="AP187" i="16" s="1"/>
  <c r="AS646" i="16"/>
  <c r="AD644" i="16"/>
  <c r="AN644" i="16" s="1"/>
  <c r="AF644" i="16"/>
  <c r="AP644" i="16" s="1"/>
  <c r="AE644" i="16"/>
  <c r="AO644" i="16" s="1"/>
  <c r="AC644" i="16"/>
  <c r="AM644" i="16" s="1"/>
  <c r="AS496" i="16"/>
  <c r="AF496" i="16"/>
  <c r="AP496" i="16" s="1"/>
  <c r="AD496" i="16"/>
  <c r="AN496" i="16" s="1"/>
  <c r="AE496" i="16"/>
  <c r="AO496" i="16" s="1"/>
  <c r="AC496" i="16"/>
  <c r="AM496" i="16" s="1"/>
  <c r="AS276" i="16"/>
  <c r="AF276" i="16"/>
  <c r="AP276" i="16" s="1"/>
  <c r="AD276" i="16"/>
  <c r="AN276" i="16" s="1"/>
  <c r="AC276" i="16"/>
  <c r="AM276" i="16" s="1"/>
  <c r="AE276" i="16"/>
  <c r="AO276" i="16" s="1"/>
  <c r="AS750" i="16"/>
  <c r="AE748" i="16"/>
  <c r="AO748" i="16" s="1"/>
  <c r="AD748" i="16"/>
  <c r="AN748" i="16" s="1"/>
  <c r="AC748" i="16"/>
  <c r="AM748" i="16" s="1"/>
  <c r="AF748" i="16"/>
  <c r="AP748" i="16" s="1"/>
  <c r="AS42" i="16"/>
  <c r="AC42" i="16"/>
  <c r="AM42" i="16" s="1"/>
  <c r="AD42" i="16"/>
  <c r="AN42" i="16" s="1"/>
  <c r="AE42" i="16"/>
  <c r="AO42" i="16" s="1"/>
  <c r="AF42" i="16"/>
  <c r="AP42" i="16" s="1"/>
  <c r="AS328" i="16"/>
  <c r="AC328" i="16"/>
  <c r="AM328" i="16" s="1"/>
  <c r="AF328" i="16"/>
  <c r="AP328" i="16" s="1"/>
  <c r="AD328" i="16"/>
  <c r="AN328" i="16" s="1"/>
  <c r="AE328" i="16"/>
  <c r="AO328" i="16" s="1"/>
  <c r="AS522" i="16"/>
  <c r="AF522" i="16"/>
  <c r="AP522" i="16" s="1"/>
  <c r="AD522" i="16"/>
  <c r="AN522" i="16" s="1"/>
  <c r="AE522" i="16"/>
  <c r="AO522" i="16" s="1"/>
  <c r="AC522" i="16"/>
  <c r="AM522" i="16" s="1"/>
  <c r="AS50" i="16"/>
  <c r="AD50" i="16"/>
  <c r="AN50" i="16" s="1"/>
  <c r="AE50" i="16"/>
  <c r="AO50" i="16" s="1"/>
  <c r="AF50" i="16"/>
  <c r="AP50" i="16" s="1"/>
  <c r="AC50" i="16"/>
  <c r="AM50" i="16" s="1"/>
  <c r="AS443" i="16"/>
  <c r="AE443" i="16"/>
  <c r="AO443" i="16" s="1"/>
  <c r="AD443" i="16"/>
  <c r="AN443" i="16" s="1"/>
  <c r="AC443" i="16"/>
  <c r="AM443" i="16" s="1"/>
  <c r="AF443" i="16"/>
  <c r="AP443" i="16" s="1"/>
  <c r="AS573" i="16"/>
  <c r="AE571" i="16"/>
  <c r="AO571" i="16" s="1"/>
  <c r="AD571" i="16"/>
  <c r="AN571" i="16" s="1"/>
  <c r="AF571" i="16"/>
  <c r="AP571" i="16" s="1"/>
  <c r="AC571" i="16"/>
  <c r="AM571" i="16" s="1"/>
  <c r="AS18" i="16"/>
  <c r="AE18" i="16"/>
  <c r="AO18" i="16" s="1"/>
  <c r="AD18" i="16"/>
  <c r="AN18" i="16" s="1"/>
  <c r="AF18" i="16"/>
  <c r="AP18" i="16" s="1"/>
  <c r="AC18" i="16"/>
  <c r="AM18" i="16" s="1"/>
  <c r="AS434" i="16"/>
  <c r="AD434" i="16"/>
  <c r="AN434" i="16" s="1"/>
  <c r="AE434" i="16"/>
  <c r="AO434" i="16" s="1"/>
  <c r="AC434" i="16"/>
  <c r="AM434" i="16" s="1"/>
  <c r="AF434" i="16"/>
  <c r="AP434" i="16" s="1"/>
  <c r="AS951" i="16"/>
  <c r="AF945" i="16"/>
  <c r="AP945" i="16" s="1"/>
  <c r="AC945" i="16"/>
  <c r="AM945" i="16" s="1"/>
  <c r="AD945" i="16"/>
  <c r="AN945" i="16" s="1"/>
  <c r="AE945" i="16"/>
  <c r="AO945" i="16" s="1"/>
  <c r="AS850" i="16"/>
  <c r="AF846" i="16"/>
  <c r="AP846" i="16" s="1"/>
  <c r="AE846" i="16"/>
  <c r="AO846" i="16" s="1"/>
  <c r="AD846" i="16"/>
  <c r="AN846" i="16" s="1"/>
  <c r="AC846" i="16"/>
  <c r="AM846" i="16" s="1"/>
  <c r="AS664" i="16"/>
  <c r="AC662" i="16"/>
  <c r="AM662" i="16" s="1"/>
  <c r="AD662" i="16"/>
  <c r="AE662" i="16"/>
  <c r="AO662" i="16" s="1"/>
  <c r="AF662" i="16"/>
  <c r="AP662" i="16" s="1"/>
  <c r="AS1059" i="16"/>
  <c r="AD1052" i="16"/>
  <c r="AN1052" i="16" s="1"/>
  <c r="AC1052" i="16"/>
  <c r="AM1052" i="16" s="1"/>
  <c r="AF1052" i="16"/>
  <c r="AP1052" i="16" s="1"/>
  <c r="AE1052" i="16"/>
  <c r="AO1052" i="16" s="1"/>
  <c r="AS1217" i="16"/>
  <c r="AD1210" i="16"/>
  <c r="AN1210" i="16" s="1"/>
  <c r="AE1210" i="16"/>
  <c r="AO1210" i="16" s="1"/>
  <c r="AC1210" i="16"/>
  <c r="AM1210" i="16" s="1"/>
  <c r="AF1210" i="16"/>
  <c r="AP1210" i="16" s="1"/>
  <c r="AF1155" i="16"/>
  <c r="AP1155" i="16" s="1"/>
  <c r="AE1155" i="16"/>
  <c r="AO1155" i="16" s="1"/>
  <c r="AD1155" i="16"/>
  <c r="AN1155" i="16" s="1"/>
  <c r="AC1155" i="16"/>
  <c r="AM1155" i="16" s="1"/>
  <c r="AS1162" i="16"/>
  <c r="AS887" i="16"/>
  <c r="AE881" i="16"/>
  <c r="AO881" i="16" s="1"/>
  <c r="AD881" i="16"/>
  <c r="AN881" i="16" s="1"/>
  <c r="AF881" i="16"/>
  <c r="AP881" i="16" s="1"/>
  <c r="AC881" i="16"/>
  <c r="AM881" i="16" s="1"/>
  <c r="AS362" i="16"/>
  <c r="AD362" i="16"/>
  <c r="AN362" i="16" s="1"/>
  <c r="AF362" i="16"/>
  <c r="AP362" i="16" s="1"/>
  <c r="AE362" i="16"/>
  <c r="AO362" i="16" s="1"/>
  <c r="AC362" i="16"/>
  <c r="AM362" i="16" s="1"/>
  <c r="AS163" i="16"/>
  <c r="AD163" i="16"/>
  <c r="AN163" i="16" s="1"/>
  <c r="AC163" i="16"/>
  <c r="AM163" i="16" s="1"/>
  <c r="AE163" i="16"/>
  <c r="AO163" i="16" s="1"/>
  <c r="AF163" i="16"/>
  <c r="AP163" i="16" s="1"/>
  <c r="AS1102" i="16"/>
  <c r="AE1095" i="16"/>
  <c r="AO1095" i="16" s="1"/>
  <c r="AD1095" i="16"/>
  <c r="AN1095" i="16" s="1"/>
  <c r="AF1095" i="16"/>
  <c r="AP1095" i="16" s="1"/>
  <c r="AC1095" i="16"/>
  <c r="AM1095" i="16" s="1"/>
  <c r="AS680" i="16"/>
  <c r="AC678" i="16"/>
  <c r="AM678" i="16" s="1"/>
  <c r="AD678" i="16"/>
  <c r="AN678" i="16" s="1"/>
  <c r="AF678" i="16"/>
  <c r="AP678" i="16" s="1"/>
  <c r="AE678" i="16"/>
  <c r="AO678" i="16" s="1"/>
  <c r="AS1113" i="16"/>
  <c r="AF1106" i="16"/>
  <c r="AP1106" i="16" s="1"/>
  <c r="AE1106" i="16"/>
  <c r="AO1106" i="16" s="1"/>
  <c r="AD1106" i="16"/>
  <c r="AN1106" i="16" s="1"/>
  <c r="AC1106" i="16"/>
  <c r="AM1106" i="16" s="1"/>
  <c r="AS574" i="16"/>
  <c r="AD572" i="16"/>
  <c r="AN572" i="16" s="1"/>
  <c r="AE572" i="16"/>
  <c r="AO572" i="16" s="1"/>
  <c r="AC572" i="16"/>
  <c r="AM572" i="16" s="1"/>
  <c r="AF572" i="16"/>
  <c r="AP572" i="16" s="1"/>
  <c r="AS967" i="16"/>
  <c r="AF960" i="16"/>
  <c r="AP960" i="16" s="1"/>
  <c r="AD960" i="16"/>
  <c r="AN960" i="16" s="1"/>
  <c r="AC960" i="16"/>
  <c r="AM960" i="16" s="1"/>
  <c r="AE960" i="16"/>
  <c r="AO960" i="16" s="1"/>
  <c r="AS485" i="16"/>
  <c r="AD485" i="16"/>
  <c r="AN485" i="16" s="1"/>
  <c r="AE485" i="16"/>
  <c r="AO485" i="16" s="1"/>
  <c r="AF485" i="16"/>
  <c r="AP485" i="16" s="1"/>
  <c r="AC485" i="16"/>
  <c r="AM485" i="16" s="1"/>
  <c r="AS616" i="16"/>
  <c r="AC614" i="16"/>
  <c r="AM614" i="16" s="1"/>
  <c r="AD614" i="16"/>
  <c r="AN614" i="16" s="1"/>
  <c r="AE614" i="16"/>
  <c r="AO614" i="16" s="1"/>
  <c r="AF614" i="16"/>
  <c r="AP614" i="16" s="1"/>
  <c r="AS828" i="16"/>
  <c r="AD825" i="16"/>
  <c r="AN825" i="16" s="1"/>
  <c r="AC825" i="16"/>
  <c r="AM825" i="16" s="1"/>
  <c r="AF825" i="16"/>
  <c r="AP825" i="16" s="1"/>
  <c r="AE825" i="16"/>
  <c r="AO825" i="16" s="1"/>
  <c r="AS1040" i="16"/>
  <c r="AF1033" i="16"/>
  <c r="AP1033" i="16" s="1"/>
  <c r="AC1033" i="16"/>
  <c r="AM1033" i="16" s="1"/>
  <c r="AE1033" i="16"/>
  <c r="AO1033" i="16" s="1"/>
  <c r="AD1033" i="16"/>
  <c r="AN1033" i="16" s="1"/>
  <c r="AS789" i="16"/>
  <c r="AC787" i="16"/>
  <c r="AM787" i="16" s="1"/>
  <c r="AF787" i="16"/>
  <c r="AP787" i="16" s="1"/>
  <c r="AD787" i="16"/>
  <c r="AE787" i="16"/>
  <c r="AO787" i="16" s="1"/>
  <c r="AS962" i="16"/>
  <c r="AE955" i="16"/>
  <c r="AO955" i="16" s="1"/>
  <c r="AF955" i="16"/>
  <c r="AP955" i="16" s="1"/>
  <c r="AC955" i="16"/>
  <c r="AM955" i="16" s="1"/>
  <c r="AD955" i="16"/>
  <c r="AN955" i="16" s="1"/>
  <c r="AS452" i="16"/>
  <c r="AE452" i="16"/>
  <c r="AO452" i="16" s="1"/>
  <c r="AC452" i="16"/>
  <c r="AM452" i="16" s="1"/>
  <c r="AF452" i="16"/>
  <c r="AP452" i="16" s="1"/>
  <c r="AD452" i="16"/>
  <c r="AN452" i="16" s="1"/>
  <c r="AS115" i="16"/>
  <c r="AC115" i="16"/>
  <c r="AM115" i="16" s="1"/>
  <c r="AD115" i="16"/>
  <c r="AN115" i="16" s="1"/>
  <c r="AE115" i="16"/>
  <c r="AO115" i="16" s="1"/>
  <c r="AF115" i="16"/>
  <c r="AP115" i="16" s="1"/>
  <c r="AS946" i="16"/>
  <c r="AF940" i="16"/>
  <c r="AP940" i="16" s="1"/>
  <c r="AD940" i="16"/>
  <c r="AN940" i="16" s="1"/>
  <c r="AE940" i="16"/>
  <c r="AO940" i="16" s="1"/>
  <c r="AC940" i="16"/>
  <c r="AM940" i="16" s="1"/>
  <c r="AS476" i="16"/>
  <c r="AF476" i="16"/>
  <c r="AP476" i="16" s="1"/>
  <c r="AD476" i="16"/>
  <c r="AN476" i="16" s="1"/>
  <c r="AC476" i="16"/>
  <c r="AM476" i="16" s="1"/>
  <c r="AE476" i="16"/>
  <c r="AO476" i="16" s="1"/>
  <c r="AS271" i="16"/>
  <c r="AD271" i="16"/>
  <c r="AN271" i="16" s="1"/>
  <c r="AF271" i="16"/>
  <c r="AP271" i="16" s="1"/>
  <c r="AE271" i="16"/>
  <c r="AO271" i="16" s="1"/>
  <c r="AC271" i="16"/>
  <c r="AM271" i="16" s="1"/>
  <c r="AS93" i="16"/>
  <c r="AD93" i="16"/>
  <c r="AN93" i="16" s="1"/>
  <c r="AC93" i="16"/>
  <c r="AM93" i="16" s="1"/>
  <c r="AF93" i="16"/>
  <c r="AP93" i="16" s="1"/>
  <c r="AE93" i="16"/>
  <c r="AO93" i="16" s="1"/>
  <c r="AS1212" i="16"/>
  <c r="AF1205" i="16"/>
  <c r="AP1205" i="16" s="1"/>
  <c r="AD1205" i="16"/>
  <c r="AN1205" i="16" s="1"/>
  <c r="AC1205" i="16"/>
  <c r="AM1205" i="16" s="1"/>
  <c r="AE1205" i="16"/>
  <c r="AO1205" i="16" s="1"/>
  <c r="AS231" i="16"/>
  <c r="AE231" i="16"/>
  <c r="AO231" i="16" s="1"/>
  <c r="AD231" i="16"/>
  <c r="AN231" i="16" s="1"/>
  <c r="AC231" i="16"/>
  <c r="AM231" i="16" s="1"/>
  <c r="AF231" i="16"/>
  <c r="AP231" i="16" s="1"/>
  <c r="AS117" i="16"/>
  <c r="AE117" i="16"/>
  <c r="AO117" i="16" s="1"/>
  <c r="AF117" i="16"/>
  <c r="AP117" i="16" s="1"/>
  <c r="AD117" i="16"/>
  <c r="AN117" i="16" s="1"/>
  <c r="AC117" i="16"/>
  <c r="AM117" i="16" s="1"/>
  <c r="AS1181" i="16"/>
  <c r="AE1174" i="16"/>
  <c r="AO1174" i="16" s="1"/>
  <c r="AD1174" i="16"/>
  <c r="AN1174" i="16" s="1"/>
  <c r="AC1174" i="16"/>
  <c r="AM1174" i="16" s="1"/>
  <c r="AF1174" i="16"/>
  <c r="AP1174" i="16" s="1"/>
  <c r="AS757" i="16"/>
  <c r="AC755" i="16"/>
  <c r="AM755" i="16" s="1"/>
  <c r="AD755" i="16"/>
  <c r="AN755" i="16" s="1"/>
  <c r="AE755" i="16"/>
  <c r="AO755" i="16" s="1"/>
  <c r="AF755" i="16"/>
  <c r="AP755" i="16" s="1"/>
  <c r="AS857" i="16"/>
  <c r="AE852" i="16"/>
  <c r="AO852" i="16" s="1"/>
  <c r="AD852" i="16"/>
  <c r="AN852" i="16" s="1"/>
  <c r="AF852" i="16"/>
  <c r="AP852" i="16" s="1"/>
  <c r="AC852" i="16"/>
  <c r="AM852" i="16" s="1"/>
  <c r="AS692" i="16"/>
  <c r="AE690" i="16"/>
  <c r="AO690" i="16" s="1"/>
  <c r="AC690" i="16"/>
  <c r="AM690" i="16" s="1"/>
  <c r="AF690" i="16"/>
  <c r="AP690" i="16" s="1"/>
  <c r="AD690" i="16"/>
  <c r="AN690" i="16" s="1"/>
  <c r="AS1097" i="16"/>
  <c r="AD1090" i="16"/>
  <c r="AN1090" i="16" s="1"/>
  <c r="AE1090" i="16"/>
  <c r="AO1090" i="16" s="1"/>
  <c r="AF1090" i="16"/>
  <c r="AP1090" i="16" s="1"/>
  <c r="AC1090" i="16"/>
  <c r="AM1090" i="16" s="1"/>
  <c r="AS1196" i="16"/>
  <c r="AD1189" i="16"/>
  <c r="AN1189" i="16" s="1"/>
  <c r="AC1189" i="16"/>
  <c r="AM1189" i="16" s="1"/>
  <c r="AE1189" i="16"/>
  <c r="AO1189" i="16" s="1"/>
  <c r="AF1189" i="16"/>
  <c r="AP1189" i="16" s="1"/>
  <c r="AS1173" i="16"/>
  <c r="AF1166" i="16"/>
  <c r="AP1166" i="16" s="1"/>
  <c r="AD1166" i="16"/>
  <c r="AN1166" i="16" s="1"/>
  <c r="AC1166" i="16"/>
  <c r="AM1166" i="16" s="1"/>
  <c r="AE1166" i="16"/>
  <c r="AO1166" i="16" s="1"/>
  <c r="AS1195" i="16"/>
  <c r="AC1188" i="16"/>
  <c r="AM1188" i="16" s="1"/>
  <c r="AF1188" i="16"/>
  <c r="AP1188" i="16" s="1"/>
  <c r="AE1188" i="16"/>
  <c r="AO1188" i="16" s="1"/>
  <c r="AD1188" i="16"/>
  <c r="AN1188" i="16" s="1"/>
  <c r="AS1086" i="16"/>
  <c r="AE1079" i="16"/>
  <c r="AO1079" i="16" s="1"/>
  <c r="AD1079" i="16"/>
  <c r="AN1079" i="16" s="1"/>
  <c r="AC1079" i="16"/>
  <c r="AM1079" i="16" s="1"/>
  <c r="AF1079" i="16"/>
  <c r="AP1079" i="16" s="1"/>
  <c r="AS309" i="16"/>
  <c r="AE309" i="16"/>
  <c r="AO309" i="16" s="1"/>
  <c r="AC309" i="16"/>
  <c r="AM309" i="16" s="1"/>
  <c r="AD309" i="16"/>
  <c r="AN309" i="16" s="1"/>
  <c r="AF309" i="16"/>
  <c r="AP309" i="16" s="1"/>
  <c r="AS1017" i="16"/>
  <c r="AD1010" i="16"/>
  <c r="AN1010" i="16" s="1"/>
  <c r="AF1010" i="16"/>
  <c r="AP1010" i="16" s="1"/>
  <c r="AC1010" i="16"/>
  <c r="AM1010" i="16" s="1"/>
  <c r="AE1010" i="16"/>
  <c r="AO1010" i="16" s="1"/>
  <c r="AS772" i="16"/>
  <c r="AF770" i="16"/>
  <c r="AP770" i="16" s="1"/>
  <c r="AE770" i="16"/>
  <c r="AO770" i="16" s="1"/>
  <c r="AD770" i="16"/>
  <c r="AN770" i="16" s="1"/>
  <c r="AC770" i="16"/>
  <c r="AM770" i="16" s="1"/>
  <c r="AS508" i="16"/>
  <c r="AE508" i="16"/>
  <c r="AO508" i="16" s="1"/>
  <c r="AC508" i="16"/>
  <c r="AM508" i="16" s="1"/>
  <c r="AF508" i="16"/>
  <c r="AP508" i="16" s="1"/>
  <c r="AD508" i="16"/>
  <c r="AN508" i="16" s="1"/>
  <c r="AS352" i="16"/>
  <c r="AE352" i="16"/>
  <c r="AO352" i="16" s="1"/>
  <c r="AD352" i="16"/>
  <c r="AN352" i="16" s="1"/>
  <c r="AC352" i="16"/>
  <c r="AM352" i="16" s="1"/>
  <c r="AF352" i="16"/>
  <c r="AP352" i="16" s="1"/>
  <c r="AS272" i="16"/>
  <c r="AC272" i="16"/>
  <c r="AM272" i="16" s="1"/>
  <c r="AE272" i="16"/>
  <c r="AO272" i="16" s="1"/>
  <c r="AF272" i="16"/>
  <c r="AP272" i="16" s="1"/>
  <c r="AD272" i="16"/>
  <c r="AN272" i="16" s="1"/>
  <c r="AS959" i="16"/>
  <c r="AD952" i="16"/>
  <c r="AN952" i="16" s="1"/>
  <c r="AC952" i="16"/>
  <c r="AM952" i="16" s="1"/>
  <c r="AE952" i="16"/>
  <c r="AO952" i="16" s="1"/>
  <c r="AF952" i="16"/>
  <c r="AP952" i="16" s="1"/>
  <c r="AS1079" i="16"/>
  <c r="AF1072" i="16"/>
  <c r="AP1072" i="16" s="1"/>
  <c r="AD1072" i="16"/>
  <c r="AN1072" i="16" s="1"/>
  <c r="AE1072" i="16"/>
  <c r="AO1072" i="16" s="1"/>
  <c r="AC1072" i="16"/>
  <c r="AM1072" i="16" s="1"/>
  <c r="AS1039" i="16"/>
  <c r="AE1032" i="16"/>
  <c r="AO1032" i="16" s="1"/>
  <c r="AC1032" i="16"/>
  <c r="AM1032" i="16" s="1"/>
  <c r="AF1032" i="16"/>
  <c r="AP1032" i="16" s="1"/>
  <c r="AD1032" i="16"/>
  <c r="AN1032" i="16" s="1"/>
  <c r="AS359" i="16"/>
  <c r="AF359" i="16"/>
  <c r="AP359" i="16" s="1"/>
  <c r="AD359" i="16"/>
  <c r="AN359" i="16" s="1"/>
  <c r="AC359" i="16"/>
  <c r="AM359" i="16" s="1"/>
  <c r="AE359" i="16"/>
  <c r="AO359" i="16" s="1"/>
  <c r="AS343" i="16"/>
  <c r="AE343" i="16"/>
  <c r="AO343" i="16" s="1"/>
  <c r="AC343" i="16"/>
  <c r="AM343" i="16" s="1"/>
  <c r="AF343" i="16"/>
  <c r="AP343" i="16" s="1"/>
  <c r="AD343" i="16"/>
  <c r="AN343" i="16" s="1"/>
  <c r="AS120" i="16"/>
  <c r="AD120" i="16"/>
  <c r="AN120" i="16" s="1"/>
  <c r="AE120" i="16"/>
  <c r="AO120" i="16" s="1"/>
  <c r="AF120" i="16"/>
  <c r="AP120" i="16" s="1"/>
  <c r="AC120" i="16"/>
  <c r="AM120" i="16" s="1"/>
  <c r="AS910" i="16"/>
  <c r="AD904" i="16"/>
  <c r="AN904" i="16" s="1"/>
  <c r="AC904" i="16"/>
  <c r="AM904" i="16" s="1"/>
  <c r="AF904" i="16"/>
  <c r="AP904" i="16" s="1"/>
  <c r="AE904" i="16"/>
  <c r="AO904" i="16" s="1"/>
  <c r="AS908" i="16"/>
  <c r="AE902" i="16"/>
  <c r="AO902" i="16" s="1"/>
  <c r="AF902" i="16"/>
  <c r="AP902" i="16" s="1"/>
  <c r="AC902" i="16"/>
  <c r="AM902" i="16" s="1"/>
  <c r="AD902" i="16"/>
  <c r="AN902" i="16" s="1"/>
  <c r="AS506" i="16"/>
  <c r="AF506" i="16"/>
  <c r="AP506" i="16" s="1"/>
  <c r="AE506" i="16"/>
  <c r="AO506" i="16" s="1"/>
  <c r="AC506" i="16"/>
  <c r="AM506" i="16" s="1"/>
  <c r="AD506" i="16"/>
  <c r="AN506" i="16" s="1"/>
  <c r="AS1129" i="16"/>
  <c r="AF1122" i="16"/>
  <c r="AP1122" i="16" s="1"/>
  <c r="AE1122" i="16"/>
  <c r="AO1122" i="16" s="1"/>
  <c r="AC1122" i="16"/>
  <c r="AM1122" i="16" s="1"/>
  <c r="AD1122" i="16"/>
  <c r="AN1122" i="16" s="1"/>
  <c r="AS464" i="16"/>
  <c r="AF464" i="16"/>
  <c r="AP464" i="16" s="1"/>
  <c r="AE464" i="16"/>
  <c r="AO464" i="16" s="1"/>
  <c r="AC464" i="16"/>
  <c r="AM464" i="16" s="1"/>
  <c r="AD464" i="16"/>
  <c r="AN464" i="16" s="1"/>
  <c r="AS626" i="16"/>
  <c r="AE624" i="16"/>
  <c r="AO624" i="16" s="1"/>
  <c r="AD624" i="16"/>
  <c r="AC624" i="16"/>
  <c r="AM624" i="16" s="1"/>
  <c r="AF624" i="16"/>
  <c r="AP624" i="16" s="1"/>
  <c r="AS36" i="16"/>
  <c r="AF36" i="16"/>
  <c r="AP36" i="16" s="1"/>
  <c r="AE36" i="16"/>
  <c r="AO36" i="16" s="1"/>
  <c r="AD36" i="16"/>
  <c r="AN36" i="16" s="1"/>
  <c r="AC36" i="16"/>
  <c r="AM36" i="16" s="1"/>
  <c r="AS259" i="16"/>
  <c r="AF259" i="16"/>
  <c r="AP259" i="16" s="1"/>
  <c r="AD259" i="16"/>
  <c r="AN259" i="16" s="1"/>
  <c r="AC259" i="16"/>
  <c r="AM259" i="16" s="1"/>
  <c r="AE259" i="16"/>
  <c r="AO259" i="16" s="1"/>
  <c r="AS66" i="16"/>
  <c r="AF66" i="16"/>
  <c r="AP66" i="16" s="1"/>
  <c r="AD66" i="16"/>
  <c r="AN66" i="16" s="1"/>
  <c r="AE66" i="16"/>
  <c r="AO66" i="16" s="1"/>
  <c r="AC66" i="16"/>
  <c r="AM66" i="16" s="1"/>
  <c r="AS158" i="16"/>
  <c r="AD158" i="16"/>
  <c r="AN158" i="16" s="1"/>
  <c r="AF158" i="16"/>
  <c r="AP158" i="16" s="1"/>
  <c r="AC158" i="16"/>
  <c r="AM158" i="16" s="1"/>
  <c r="AE158" i="16"/>
  <c r="AO158" i="16" s="1"/>
  <c r="AS310" i="16"/>
  <c r="AC310" i="16"/>
  <c r="AM310" i="16" s="1"/>
  <c r="AF310" i="16"/>
  <c r="AP310" i="16" s="1"/>
  <c r="AD310" i="16"/>
  <c r="AN310" i="16" s="1"/>
  <c r="AE310" i="16"/>
  <c r="AO310" i="16" s="1"/>
  <c r="AS334" i="16"/>
  <c r="AD334" i="16"/>
  <c r="AN334" i="16" s="1"/>
  <c r="AE334" i="16"/>
  <c r="AO334" i="16" s="1"/>
  <c r="AF334" i="16"/>
  <c r="AP334" i="16" s="1"/>
  <c r="AC334" i="16"/>
  <c r="AM334" i="16" s="1"/>
  <c r="AS559" i="16"/>
  <c r="AF557" i="16"/>
  <c r="AP557" i="16" s="1"/>
  <c r="AE557" i="16"/>
  <c r="AO557" i="16" s="1"/>
  <c r="AD557" i="16"/>
  <c r="AN557" i="16" s="1"/>
  <c r="AC557" i="16"/>
  <c r="AM557" i="16" s="1"/>
  <c r="AS162" i="16"/>
  <c r="AF162" i="16"/>
  <c r="AP162" i="16" s="1"/>
  <c r="AC162" i="16"/>
  <c r="AM162" i="16" s="1"/>
  <c r="AE162" i="16"/>
  <c r="AO162" i="16" s="1"/>
  <c r="AD162" i="16"/>
  <c r="AN162" i="16" s="1"/>
  <c r="AS521" i="16"/>
  <c r="AC521" i="16"/>
  <c r="AM521" i="16" s="1"/>
  <c r="AF521" i="16"/>
  <c r="AP521" i="16" s="1"/>
  <c r="AD521" i="16"/>
  <c r="AN521" i="16" s="1"/>
  <c r="AE521" i="16"/>
  <c r="AO521" i="16" s="1"/>
  <c r="AS465" i="16"/>
  <c r="AE465" i="16"/>
  <c r="AO465" i="16" s="1"/>
  <c r="AD465" i="16"/>
  <c r="AN465" i="16" s="1"/>
  <c r="AC465" i="16"/>
  <c r="AM465" i="16" s="1"/>
  <c r="AF465" i="16"/>
  <c r="AP465" i="16" s="1"/>
  <c r="AS417" i="16"/>
  <c r="AF417" i="16"/>
  <c r="AP417" i="16" s="1"/>
  <c r="AE417" i="16"/>
  <c r="AO417" i="16" s="1"/>
  <c r="AD417" i="16"/>
  <c r="AN417" i="16" s="1"/>
  <c r="AC417" i="16"/>
  <c r="AM417" i="16" s="1"/>
  <c r="AS438" i="16"/>
  <c r="AE438" i="16"/>
  <c r="AO438" i="16" s="1"/>
  <c r="AF438" i="16"/>
  <c r="AP438" i="16" s="1"/>
  <c r="AD438" i="16"/>
  <c r="AN438" i="16" s="1"/>
  <c r="AC438" i="16"/>
  <c r="AM438" i="16" s="1"/>
  <c r="AS810" i="16"/>
  <c r="AC807" i="16"/>
  <c r="AM807" i="16" s="1"/>
  <c r="AD807" i="16"/>
  <c r="AE807" i="16"/>
  <c r="AO807" i="16" s="1"/>
  <c r="AF807" i="16"/>
  <c r="AP807" i="16" s="1"/>
  <c r="AS1043" i="16"/>
  <c r="AE1036" i="16"/>
  <c r="AO1036" i="16" s="1"/>
  <c r="AF1036" i="16"/>
  <c r="AP1036" i="16" s="1"/>
  <c r="AD1036" i="16"/>
  <c r="AN1036" i="16" s="1"/>
  <c r="AC1036" i="16"/>
  <c r="AM1036" i="16" s="1"/>
  <c r="AS304" i="16"/>
  <c r="AC304" i="16"/>
  <c r="AM304" i="16" s="1"/>
  <c r="AF304" i="16"/>
  <c r="AP304" i="16" s="1"/>
  <c r="AD304" i="16"/>
  <c r="AN304" i="16" s="1"/>
  <c r="AE304" i="16"/>
  <c r="AO304" i="16" s="1"/>
  <c r="AS901" i="16"/>
  <c r="AF895" i="16"/>
  <c r="AP895" i="16" s="1"/>
  <c r="AD895" i="16"/>
  <c r="AN895" i="16" s="1"/>
  <c r="AE895" i="16"/>
  <c r="AO895" i="16" s="1"/>
  <c r="AC895" i="16"/>
  <c r="AM895" i="16" s="1"/>
  <c r="AS160" i="16"/>
  <c r="AE160" i="16"/>
  <c r="AO160" i="16" s="1"/>
  <c r="AD160" i="16"/>
  <c r="AN160" i="16" s="1"/>
  <c r="AC160" i="16"/>
  <c r="AM160" i="16" s="1"/>
  <c r="AF160" i="16"/>
  <c r="AP160" i="16" s="1"/>
  <c r="AS984" i="16"/>
  <c r="AF977" i="16"/>
  <c r="AP977" i="16" s="1"/>
  <c r="AE977" i="16"/>
  <c r="AO977" i="16" s="1"/>
  <c r="AD977" i="16"/>
  <c r="AN977" i="16" s="1"/>
  <c r="AC977" i="16"/>
  <c r="AM977" i="16" s="1"/>
  <c r="AS739" i="16"/>
  <c r="AD737" i="16"/>
  <c r="AN737" i="16" s="1"/>
  <c r="AE737" i="16"/>
  <c r="AO737" i="16" s="1"/>
  <c r="AF737" i="16"/>
  <c r="AP737" i="16" s="1"/>
  <c r="AC737" i="16"/>
  <c r="AM737" i="16" s="1"/>
  <c r="AS347" i="16"/>
  <c r="AF347" i="16"/>
  <c r="AP347" i="16" s="1"/>
  <c r="AE347" i="16"/>
  <c r="AO347" i="16" s="1"/>
  <c r="AD347" i="16"/>
  <c r="AN347" i="16" s="1"/>
  <c r="AC347" i="16"/>
  <c r="AM347" i="16" s="1"/>
  <c r="AS220" i="16"/>
  <c r="AE220" i="16"/>
  <c r="AO220" i="16" s="1"/>
  <c r="AC220" i="16"/>
  <c r="AM220" i="16" s="1"/>
  <c r="AD220" i="16"/>
  <c r="AN220" i="16" s="1"/>
  <c r="AF220" i="16"/>
  <c r="AP220" i="16" s="1"/>
  <c r="AS349" i="16"/>
  <c r="AC349" i="16"/>
  <c r="AM349" i="16" s="1"/>
  <c r="AD349" i="16"/>
  <c r="AN349" i="16" s="1"/>
  <c r="AE349" i="16"/>
  <c r="AO349" i="16" s="1"/>
  <c r="AF349" i="16"/>
  <c r="AP349" i="16" s="1"/>
  <c r="AS490" i="16"/>
  <c r="AC490" i="16"/>
  <c r="AM490" i="16" s="1"/>
  <c r="AD490" i="16"/>
  <c r="AN490" i="16" s="1"/>
  <c r="AE490" i="16"/>
  <c r="AO490" i="16" s="1"/>
  <c r="AF490" i="16"/>
  <c r="AP490" i="16" s="1"/>
  <c r="AS261" i="16"/>
  <c r="AD261" i="16"/>
  <c r="AN261" i="16" s="1"/>
  <c r="AE261" i="16"/>
  <c r="AO261" i="16" s="1"/>
  <c r="AC261" i="16"/>
  <c r="AM261" i="16" s="1"/>
  <c r="AF261" i="16"/>
  <c r="AP261" i="16" s="1"/>
  <c r="AS733" i="16"/>
  <c r="AD731" i="16"/>
  <c r="AN731" i="16" s="1"/>
  <c r="AE731" i="16"/>
  <c r="AO731" i="16" s="1"/>
  <c r="AC731" i="16"/>
  <c r="AM731" i="16" s="1"/>
  <c r="AF731" i="16"/>
  <c r="AP731" i="16" s="1"/>
  <c r="AS54" i="16"/>
  <c r="AC54" i="16"/>
  <c r="AM54" i="16" s="1"/>
  <c r="AF54" i="16"/>
  <c r="AP54" i="16" s="1"/>
  <c r="AE54" i="16"/>
  <c r="AO54" i="16" s="1"/>
  <c r="AD54" i="16"/>
  <c r="AN54" i="16" s="1"/>
  <c r="AS205" i="16"/>
  <c r="AD205" i="16"/>
  <c r="AN205" i="16" s="1"/>
  <c r="AF205" i="16"/>
  <c r="AP205" i="16" s="1"/>
  <c r="AE205" i="16"/>
  <c r="AO205" i="16" s="1"/>
  <c r="AC205" i="16"/>
  <c r="AM205" i="16" s="1"/>
  <c r="AS436" i="16"/>
  <c r="AE436" i="16"/>
  <c r="AO436" i="16" s="1"/>
  <c r="AC436" i="16"/>
  <c r="AM436" i="16" s="1"/>
  <c r="AD436" i="16"/>
  <c r="AN436" i="16" s="1"/>
  <c r="AF436" i="16"/>
  <c r="AP436" i="16" s="1"/>
  <c r="AS466" i="16"/>
  <c r="AF466" i="16"/>
  <c r="AP466" i="16" s="1"/>
  <c r="AE466" i="16"/>
  <c r="AO466" i="16" s="1"/>
  <c r="AC466" i="16"/>
  <c r="AM466" i="16" s="1"/>
  <c r="AD466" i="16"/>
  <c r="AN466" i="16" s="1"/>
  <c r="AS1123" i="16"/>
  <c r="AC1116" i="16"/>
  <c r="AM1116" i="16" s="1"/>
  <c r="AD1116" i="16"/>
  <c r="AN1116" i="16" s="1"/>
  <c r="AE1116" i="16"/>
  <c r="AO1116" i="16" s="1"/>
  <c r="AF1116" i="16"/>
  <c r="AP1116" i="16" s="1"/>
  <c r="AS1007" i="16"/>
  <c r="AE1000" i="16"/>
  <c r="AO1000" i="16" s="1"/>
  <c r="AF1000" i="16"/>
  <c r="AP1000" i="16" s="1"/>
  <c r="AC1000" i="16"/>
  <c r="AM1000" i="16" s="1"/>
  <c r="AD1000" i="16"/>
  <c r="AN1000" i="16" s="1"/>
  <c r="AS940" i="16"/>
  <c r="AC934" i="16"/>
  <c r="AM934" i="16" s="1"/>
  <c r="AF934" i="16"/>
  <c r="AP934" i="16" s="1"/>
  <c r="AD934" i="16"/>
  <c r="AN934" i="16" s="1"/>
  <c r="AE934" i="16"/>
  <c r="AO934" i="16" s="1"/>
  <c r="AS516" i="16"/>
  <c r="AC516" i="16"/>
  <c r="AM516" i="16" s="1"/>
  <c r="AE516" i="16"/>
  <c r="AO516" i="16" s="1"/>
  <c r="AD516" i="16"/>
  <c r="AN516" i="16" s="1"/>
  <c r="AF516" i="16"/>
  <c r="AP516" i="16" s="1"/>
  <c r="AS444" i="16"/>
  <c r="AF444" i="16"/>
  <c r="AP444" i="16" s="1"/>
  <c r="AD444" i="16"/>
  <c r="AN444" i="16" s="1"/>
  <c r="AC444" i="16"/>
  <c r="AM444" i="16" s="1"/>
  <c r="AE444" i="16"/>
  <c r="AO444" i="16" s="1"/>
  <c r="AS801" i="16"/>
  <c r="AF798" i="16"/>
  <c r="AP798" i="16" s="1"/>
  <c r="AC798" i="16"/>
  <c r="AM798" i="16" s="1"/>
  <c r="AD798" i="16"/>
  <c r="AN798" i="16" s="1"/>
  <c r="AE798" i="16"/>
  <c r="AO798" i="16" s="1"/>
  <c r="AS215" i="16"/>
  <c r="AF215" i="16"/>
  <c r="AP215" i="16" s="1"/>
  <c r="AE215" i="16"/>
  <c r="AO215" i="16" s="1"/>
  <c r="AD215" i="16"/>
  <c r="AN215" i="16" s="1"/>
  <c r="AC215" i="16"/>
  <c r="AM215" i="16" s="1"/>
  <c r="AS461" i="16"/>
  <c r="AE461" i="16"/>
  <c r="AO461" i="16" s="1"/>
  <c r="AC461" i="16"/>
  <c r="AM461" i="16" s="1"/>
  <c r="AF461" i="16"/>
  <c r="AP461" i="16" s="1"/>
  <c r="AD461" i="16"/>
  <c r="AN461" i="16" s="1"/>
  <c r="AS344" i="16"/>
  <c r="AE344" i="16"/>
  <c r="AO344" i="16" s="1"/>
  <c r="AC344" i="16"/>
  <c r="AM344" i="16" s="1"/>
  <c r="AD344" i="16"/>
  <c r="AN344" i="16" s="1"/>
  <c r="AF344" i="16"/>
  <c r="AP344" i="16" s="1"/>
  <c r="AS525" i="16"/>
  <c r="AD525" i="16"/>
  <c r="AN525" i="16" s="1"/>
  <c r="AF525" i="16"/>
  <c r="AP525" i="16" s="1"/>
  <c r="AC525" i="16"/>
  <c r="AM525" i="16" s="1"/>
  <c r="AE525" i="16"/>
  <c r="AO525" i="16" s="1"/>
  <c r="AS998" i="16"/>
  <c r="AD991" i="16"/>
  <c r="AN991" i="16" s="1"/>
  <c r="AE991" i="16"/>
  <c r="AO991" i="16" s="1"/>
  <c r="AF991" i="16"/>
  <c r="AP991" i="16" s="1"/>
  <c r="AC991" i="16"/>
  <c r="AM991" i="16" s="1"/>
  <c r="AS1208" i="16"/>
  <c r="AD1201" i="16"/>
  <c r="AN1201" i="16" s="1"/>
  <c r="AE1201" i="16"/>
  <c r="AO1201" i="16" s="1"/>
  <c r="AF1201" i="16"/>
  <c r="AP1201" i="16" s="1"/>
  <c r="AC1201" i="16"/>
  <c r="AM1201" i="16" s="1"/>
  <c r="AS833" i="16"/>
  <c r="AE830" i="16"/>
  <c r="AO830" i="16" s="1"/>
  <c r="AF830" i="16"/>
  <c r="AP830" i="16" s="1"/>
  <c r="AC830" i="16"/>
  <c r="AM830" i="16" s="1"/>
  <c r="AD830" i="16"/>
  <c r="AN830" i="16" s="1"/>
  <c r="AS778" i="16"/>
  <c r="AF776" i="16"/>
  <c r="AP776" i="16" s="1"/>
  <c r="AD776" i="16"/>
  <c r="AN776" i="16" s="1"/>
  <c r="AC776" i="16"/>
  <c r="AM776" i="16" s="1"/>
  <c r="AE776" i="16"/>
  <c r="AO776" i="16" s="1"/>
  <c r="AS636" i="16"/>
  <c r="AE634" i="16"/>
  <c r="AO634" i="16" s="1"/>
  <c r="AF634" i="16"/>
  <c r="AP634" i="16" s="1"/>
  <c r="AC634" i="16"/>
  <c r="AM634" i="16" s="1"/>
  <c r="AD634" i="16"/>
  <c r="AS888" i="16"/>
  <c r="AD882" i="16"/>
  <c r="AN882" i="16" s="1"/>
  <c r="AC882" i="16"/>
  <c r="AM882" i="16" s="1"/>
  <c r="AF882" i="16"/>
  <c r="AP882" i="16" s="1"/>
  <c r="AE882" i="16"/>
  <c r="AO882" i="16" s="1"/>
  <c r="AS1227" i="16"/>
  <c r="AD1220" i="16"/>
  <c r="AN1220" i="16" s="1"/>
  <c r="AC1220" i="16"/>
  <c r="AM1220" i="16" s="1"/>
  <c r="AE1220" i="16"/>
  <c r="AO1220" i="16" s="1"/>
  <c r="AF1220" i="16"/>
  <c r="AP1220" i="16" s="1"/>
  <c r="AS1229" i="16"/>
  <c r="AF1222" i="16"/>
  <c r="AP1222" i="16" s="1"/>
  <c r="AE1222" i="16"/>
  <c r="AO1222" i="16" s="1"/>
  <c r="AD1222" i="16"/>
  <c r="AN1222" i="16" s="1"/>
  <c r="AC1222" i="16"/>
  <c r="AM1222" i="16" s="1"/>
  <c r="AS1230" i="16"/>
  <c r="AE1223" i="16"/>
  <c r="AO1223" i="16" s="1"/>
  <c r="AD1223" i="16"/>
  <c r="AN1223" i="16" s="1"/>
  <c r="AF1223" i="16"/>
  <c r="AP1223" i="16" s="1"/>
  <c r="AC1223" i="16"/>
  <c r="AM1223" i="16" s="1"/>
  <c r="AS1224" i="16"/>
  <c r="AC1217" i="16"/>
  <c r="AM1217" i="16" s="1"/>
  <c r="AE1217" i="16"/>
  <c r="AO1217" i="16" s="1"/>
  <c r="AF1217" i="16"/>
  <c r="AP1217" i="16" s="1"/>
  <c r="AD1217" i="16"/>
  <c r="AN1217" i="16" s="1"/>
  <c r="AS1228" i="16"/>
  <c r="AE1221" i="16"/>
  <c r="AO1221" i="16" s="1"/>
  <c r="AC1221" i="16"/>
  <c r="AM1221" i="16" s="1"/>
  <c r="AD1221" i="16"/>
  <c r="AN1221" i="16" s="1"/>
  <c r="AF1221" i="16"/>
  <c r="AP1221" i="16" s="1"/>
  <c r="AS1232" i="16"/>
  <c r="AD1225" i="16"/>
  <c r="AN1225" i="16" s="1"/>
  <c r="AE1225" i="16"/>
  <c r="AO1225" i="16" s="1"/>
  <c r="AF1225" i="16"/>
  <c r="AP1225" i="16" s="1"/>
  <c r="AC1225" i="16"/>
  <c r="AM1225" i="16" s="1"/>
  <c r="AS1222" i="16"/>
  <c r="AF1215" i="16"/>
  <c r="AP1215" i="16" s="1"/>
  <c r="AC1215" i="16"/>
  <c r="AM1215" i="16" s="1"/>
  <c r="AD1215" i="16"/>
  <c r="AN1215" i="16" s="1"/>
  <c r="AE1215" i="16"/>
  <c r="AO1215" i="16" s="1"/>
  <c r="AS1234" i="16"/>
  <c r="AE1227" i="16"/>
  <c r="AO1227" i="16" s="1"/>
  <c r="AD1227" i="16"/>
  <c r="AN1227" i="16" s="1"/>
  <c r="AF1227" i="16"/>
  <c r="AP1227" i="16" s="1"/>
  <c r="AC1227" i="16"/>
  <c r="AM1227" i="16" s="1"/>
  <c r="AS1220" i="16"/>
  <c r="AC1213" i="16"/>
  <c r="AM1213" i="16" s="1"/>
  <c r="AE1213" i="16"/>
  <c r="AO1213" i="16" s="1"/>
  <c r="AD1213" i="16"/>
  <c r="AN1213" i="16" s="1"/>
  <c r="AF1213" i="16"/>
  <c r="AP1213" i="16" s="1"/>
  <c r="AS1223" i="16"/>
  <c r="AE1216" i="16"/>
  <c r="AO1216" i="16" s="1"/>
  <c r="AC1216" i="16"/>
  <c r="AM1216" i="16" s="1"/>
  <c r="AD1216" i="16"/>
  <c r="AN1216" i="16" s="1"/>
  <c r="AF1216" i="16"/>
  <c r="AP1216" i="16" s="1"/>
  <c r="AS1235" i="16"/>
  <c r="AE1228" i="16"/>
  <c r="AO1228" i="16" s="1"/>
  <c r="AF1228" i="16"/>
  <c r="AP1228" i="16" s="1"/>
  <c r="AD1228" i="16"/>
  <c r="AN1228" i="16" s="1"/>
  <c r="AC1228" i="16"/>
  <c r="AM1228" i="16" s="1"/>
  <c r="AS1231" i="16"/>
  <c r="AD1224" i="16"/>
  <c r="AN1224" i="16" s="1"/>
  <c r="AF1224" i="16"/>
  <c r="AP1224" i="16" s="1"/>
  <c r="AC1224" i="16"/>
  <c r="AM1224" i="16" s="1"/>
  <c r="AE1224" i="16"/>
  <c r="AO1224" i="16" s="1"/>
  <c r="AS1226" i="16"/>
  <c r="AC1219" i="16"/>
  <c r="AM1219" i="16" s="1"/>
  <c r="AF1219" i="16"/>
  <c r="AP1219" i="16" s="1"/>
  <c r="AD1219" i="16"/>
  <c r="AN1219" i="16" s="1"/>
  <c r="AE1219" i="16"/>
  <c r="AO1219" i="16" s="1"/>
  <c r="AS1225" i="16"/>
  <c r="AD1218" i="16"/>
  <c r="AN1218" i="16" s="1"/>
  <c r="AC1218" i="16"/>
  <c r="AM1218" i="16" s="1"/>
  <c r="AF1218" i="16"/>
  <c r="AP1218" i="16" s="1"/>
  <c r="AE1218" i="16"/>
  <c r="AO1218" i="16" s="1"/>
  <c r="AS1233" i="16"/>
  <c r="AC1226" i="16"/>
  <c r="AM1226" i="16" s="1"/>
  <c r="AE1226" i="16"/>
  <c r="AO1226" i="16" s="1"/>
  <c r="AD1226" i="16"/>
  <c r="AN1226" i="16" s="1"/>
  <c r="AF1226" i="16"/>
  <c r="AP1226" i="16" s="1"/>
  <c r="AS1219" i="16"/>
  <c r="AD1212" i="16"/>
  <c r="AN1212" i="16" s="1"/>
  <c r="AE1212" i="16"/>
  <c r="AO1212" i="16" s="1"/>
  <c r="AF1212" i="16"/>
  <c r="AP1212" i="16" s="1"/>
  <c r="AC1212" i="16"/>
  <c r="AM1212" i="16" s="1"/>
  <c r="AS1221" i="16"/>
  <c r="AD1214" i="16"/>
  <c r="AN1214" i="16" s="1"/>
  <c r="AF1214" i="16"/>
  <c r="AP1214" i="16" s="1"/>
  <c r="AC1214" i="16"/>
  <c r="AM1214" i="16" s="1"/>
  <c r="AE1214" i="16"/>
  <c r="AO1214" i="16" s="1"/>
  <c r="AS578" i="16"/>
  <c r="AF576" i="16"/>
  <c r="AP576" i="16" s="1"/>
  <c r="AE576" i="16"/>
  <c r="AO576" i="16" s="1"/>
  <c r="AC576" i="16"/>
  <c r="AM576" i="16" s="1"/>
  <c r="AD576" i="16"/>
  <c r="AS514" i="16"/>
  <c r="AD514" i="16"/>
  <c r="AN514" i="16" s="1"/>
  <c r="AF514" i="16"/>
  <c r="AP514" i="16" s="1"/>
  <c r="AC514" i="16"/>
  <c r="AM514" i="16" s="1"/>
  <c r="AE514" i="16"/>
  <c r="AO514" i="16" s="1"/>
  <c r="AS56" i="16"/>
  <c r="AD56" i="16"/>
  <c r="AN56" i="16" s="1"/>
  <c r="AE56" i="16"/>
  <c r="AO56" i="16" s="1"/>
  <c r="AF56" i="16"/>
  <c r="AP56" i="16" s="1"/>
  <c r="AC56" i="16"/>
  <c r="AM56" i="16" s="1"/>
  <c r="AN570" i="2"/>
  <c r="AW570" i="2"/>
  <c r="AS495" i="16"/>
  <c r="AC495" i="16"/>
  <c r="AM495" i="16" s="1"/>
  <c r="AF495" i="16"/>
  <c r="AP495" i="16" s="1"/>
  <c r="AD495" i="16"/>
  <c r="AN495" i="16" s="1"/>
  <c r="AE495" i="16"/>
  <c r="AO495" i="16" s="1"/>
  <c r="AS338" i="16"/>
  <c r="AD338" i="16"/>
  <c r="AN338" i="16" s="1"/>
  <c r="AE338" i="16"/>
  <c r="AO338" i="16" s="1"/>
  <c r="AC338" i="16"/>
  <c r="AM338" i="16" s="1"/>
  <c r="AF338" i="16"/>
  <c r="AP338" i="16" s="1"/>
  <c r="AS337" i="16"/>
  <c r="AF337" i="16"/>
  <c r="AP337" i="16" s="1"/>
  <c r="AE337" i="16"/>
  <c r="AO337" i="16" s="1"/>
  <c r="AC337" i="16"/>
  <c r="AM337" i="16" s="1"/>
  <c r="AD337" i="16"/>
  <c r="AN337" i="16" s="1"/>
  <c r="AS218" i="16"/>
  <c r="AE218" i="16"/>
  <c r="AO218" i="16" s="1"/>
  <c r="AD218" i="16"/>
  <c r="AN218" i="16" s="1"/>
  <c r="AC218" i="16"/>
  <c r="AM218" i="16" s="1"/>
  <c r="AF218" i="16"/>
  <c r="AP218" i="16" s="1"/>
  <c r="AS393" i="16"/>
  <c r="AF393" i="16"/>
  <c r="AP393" i="16" s="1"/>
  <c r="AD393" i="16"/>
  <c r="AN393" i="16" s="1"/>
  <c r="AC393" i="16"/>
  <c r="AM393" i="16" s="1"/>
  <c r="AE393" i="16"/>
  <c r="AO393" i="16" s="1"/>
  <c r="AS659" i="16"/>
  <c r="AC657" i="16"/>
  <c r="AM657" i="16" s="1"/>
  <c r="AF657" i="16"/>
  <c r="AP657" i="16" s="1"/>
  <c r="AE657" i="16"/>
  <c r="AO657" i="16" s="1"/>
  <c r="AD657" i="16"/>
  <c r="AN657" i="16" s="1"/>
  <c r="AS1116" i="16"/>
  <c r="AD1109" i="16"/>
  <c r="AN1109" i="16" s="1"/>
  <c r="AF1109" i="16"/>
  <c r="AP1109" i="16" s="1"/>
  <c r="AC1109" i="16"/>
  <c r="AM1109" i="16" s="1"/>
  <c r="AE1109" i="16"/>
  <c r="AO1109" i="16" s="1"/>
  <c r="AS296" i="16"/>
  <c r="AF296" i="16"/>
  <c r="AP296" i="16" s="1"/>
  <c r="AD296" i="16"/>
  <c r="AN296" i="16" s="1"/>
  <c r="AC296" i="16"/>
  <c r="AM296" i="16" s="1"/>
  <c r="AE296" i="16"/>
  <c r="AO296" i="16" s="1"/>
  <c r="AS648" i="16"/>
  <c r="AD646" i="16"/>
  <c r="AN646" i="16" s="1"/>
  <c r="AC646" i="16"/>
  <c r="AM646" i="16" s="1"/>
  <c r="AE646" i="16"/>
  <c r="AO646" i="16" s="1"/>
  <c r="AF646" i="16"/>
  <c r="AP646" i="16" s="1"/>
  <c r="AS725" i="16"/>
  <c r="AC723" i="16"/>
  <c r="AM723" i="16" s="1"/>
  <c r="AD723" i="16"/>
  <c r="AN723" i="16" s="1"/>
  <c r="AF723" i="16"/>
  <c r="AP723" i="16" s="1"/>
  <c r="AE723" i="16"/>
  <c r="AO723" i="16" s="1"/>
  <c r="AS1140" i="16"/>
  <c r="AF1133" i="16"/>
  <c r="AP1133" i="16" s="1"/>
  <c r="AC1133" i="16"/>
  <c r="AM1133" i="16" s="1"/>
  <c r="AE1133" i="16"/>
  <c r="AO1133" i="16" s="1"/>
  <c r="AD1133" i="16"/>
  <c r="AN1133" i="16" s="1"/>
  <c r="AS441" i="16"/>
  <c r="AD441" i="16"/>
  <c r="AF441" i="16"/>
  <c r="AP441" i="16" s="1"/>
  <c r="AC441" i="16"/>
  <c r="AM441" i="16" s="1"/>
  <c r="AE441" i="16"/>
  <c r="AO441" i="16" s="1"/>
  <c r="AS606" i="16"/>
  <c r="AF604" i="16"/>
  <c r="AP604" i="16" s="1"/>
  <c r="AC604" i="16"/>
  <c r="AM604" i="16" s="1"/>
  <c r="AD604" i="16"/>
  <c r="AN604" i="16" s="1"/>
  <c r="AE604" i="16"/>
  <c r="AO604" i="16" s="1"/>
  <c r="AS610" i="16"/>
  <c r="AE608" i="16"/>
  <c r="AO608" i="16" s="1"/>
  <c r="AD608" i="16"/>
  <c r="AN608" i="16" s="1"/>
  <c r="AF608" i="16"/>
  <c r="AP608" i="16" s="1"/>
  <c r="AC608" i="16"/>
  <c r="AM608" i="16" s="1"/>
  <c r="AS247" i="16"/>
  <c r="AD247" i="16"/>
  <c r="AN247" i="16" s="1"/>
  <c r="AC247" i="16"/>
  <c r="AM247" i="16" s="1"/>
  <c r="AF247" i="16"/>
  <c r="AP247" i="16" s="1"/>
  <c r="AE247" i="16"/>
  <c r="AO247" i="16" s="1"/>
  <c r="AS880" i="16"/>
  <c r="AE874" i="16"/>
  <c r="AO874" i="16" s="1"/>
  <c r="AF874" i="16"/>
  <c r="AP874" i="16" s="1"/>
  <c r="AD874" i="16"/>
  <c r="AC874" i="16"/>
  <c r="AM874" i="16" s="1"/>
  <c r="AS411" i="16"/>
  <c r="AF411" i="16"/>
  <c r="AP411" i="16" s="1"/>
  <c r="AE411" i="16"/>
  <c r="AO411" i="16" s="1"/>
  <c r="AD411" i="16"/>
  <c r="AN411" i="16" s="1"/>
  <c r="AC411" i="16"/>
  <c r="AM411" i="16" s="1"/>
  <c r="AS81" i="16"/>
  <c r="AE81" i="16"/>
  <c r="AO81" i="16" s="1"/>
  <c r="AF81" i="16"/>
  <c r="AP81" i="16" s="1"/>
  <c r="AC81" i="16"/>
  <c r="AM81" i="16" s="1"/>
  <c r="AD81" i="16"/>
  <c r="AN81" i="16" s="1"/>
  <c r="AN906" i="2"/>
  <c r="AW906" i="2"/>
  <c r="T906" i="16" s="1"/>
  <c r="AS996" i="16"/>
  <c r="AC989" i="16"/>
  <c r="AM989" i="16" s="1"/>
  <c r="AD989" i="16"/>
  <c r="AN989" i="16" s="1"/>
  <c r="AE989" i="16"/>
  <c r="AO989" i="16" s="1"/>
  <c r="AF989" i="16"/>
  <c r="AP989" i="16" s="1"/>
  <c r="AS599" i="16"/>
  <c r="AC597" i="16"/>
  <c r="AM597" i="16" s="1"/>
  <c r="AF597" i="16"/>
  <c r="AP597" i="16" s="1"/>
  <c r="AD597" i="16"/>
  <c r="AN597" i="16" s="1"/>
  <c r="AE597" i="16"/>
  <c r="AO597" i="16" s="1"/>
  <c r="AS724" i="16"/>
  <c r="AE722" i="16"/>
  <c r="AO722" i="16" s="1"/>
  <c r="AC722" i="16"/>
  <c r="AM722" i="16" s="1"/>
  <c r="AD722" i="16"/>
  <c r="AN722" i="16" s="1"/>
  <c r="AF722" i="16"/>
  <c r="AP722" i="16" s="1"/>
  <c r="AS396" i="16"/>
  <c r="AE396" i="16"/>
  <c r="AO396" i="16" s="1"/>
  <c r="AD396" i="16"/>
  <c r="AN396" i="16" s="1"/>
  <c r="AF396" i="16"/>
  <c r="AP396" i="16" s="1"/>
  <c r="AC396" i="16"/>
  <c r="AM396" i="16" s="1"/>
  <c r="AS1211" i="16"/>
  <c r="AE1204" i="16"/>
  <c r="AO1204" i="16" s="1"/>
  <c r="AC1204" i="16"/>
  <c r="AM1204" i="16" s="1"/>
  <c r="AD1204" i="16"/>
  <c r="AN1204" i="16" s="1"/>
  <c r="AF1204" i="16"/>
  <c r="AP1204" i="16" s="1"/>
  <c r="AS418" i="16"/>
  <c r="AC418" i="16"/>
  <c r="AM418" i="16" s="1"/>
  <c r="AE418" i="16"/>
  <c r="AO418" i="16" s="1"/>
  <c r="AD418" i="16"/>
  <c r="AN418" i="16" s="1"/>
  <c r="AF418" i="16"/>
  <c r="AP418" i="16" s="1"/>
  <c r="AS649" i="16"/>
  <c r="AD647" i="16"/>
  <c r="AN647" i="16" s="1"/>
  <c r="AF647" i="16"/>
  <c r="AP647" i="16" s="1"/>
  <c r="AE647" i="16"/>
  <c r="AO647" i="16" s="1"/>
  <c r="AC647" i="16"/>
  <c r="AM647" i="16" s="1"/>
  <c r="AS389" i="16"/>
  <c r="AD389" i="16"/>
  <c r="AN389" i="16" s="1"/>
  <c r="AE389" i="16"/>
  <c r="AO389" i="16" s="1"/>
  <c r="AC389" i="16"/>
  <c r="AM389" i="16" s="1"/>
  <c r="AF389" i="16"/>
  <c r="AP389" i="16" s="1"/>
  <c r="AS320" i="16"/>
  <c r="AC320" i="16"/>
  <c r="AM320" i="16" s="1"/>
  <c r="AE320" i="16"/>
  <c r="AO320" i="16" s="1"/>
  <c r="AD320" i="16"/>
  <c r="AN320" i="16" s="1"/>
  <c r="AF320" i="16"/>
  <c r="AP320" i="16" s="1"/>
  <c r="AS121" i="16"/>
  <c r="AD121" i="16"/>
  <c r="AN121" i="16" s="1"/>
  <c r="AE121" i="16"/>
  <c r="AO121" i="16" s="1"/>
  <c r="AC121" i="16"/>
  <c r="AM121" i="16" s="1"/>
  <c r="AF121" i="16"/>
  <c r="AP121" i="16" s="1"/>
  <c r="AS103" i="16"/>
  <c r="AF103" i="16"/>
  <c r="AP103" i="16" s="1"/>
  <c r="AC103" i="16"/>
  <c r="AM103" i="16" s="1"/>
  <c r="AE103" i="16"/>
  <c r="AO103" i="16" s="1"/>
  <c r="AD103" i="16"/>
  <c r="AN103" i="16" s="1"/>
  <c r="AS964" i="16"/>
  <c r="AF957" i="16"/>
  <c r="AP957" i="16" s="1"/>
  <c r="AC957" i="16"/>
  <c r="AM957" i="16" s="1"/>
  <c r="AE957" i="16"/>
  <c r="AO957" i="16" s="1"/>
  <c r="AD957" i="16"/>
  <c r="AN957" i="16" s="1"/>
  <c r="AS356" i="16"/>
  <c r="AD356" i="16"/>
  <c r="AF356" i="16"/>
  <c r="AP356" i="16" s="1"/>
  <c r="AE356" i="16"/>
  <c r="AO356" i="16" s="1"/>
  <c r="AC356" i="16"/>
  <c r="AM356" i="16" s="1"/>
  <c r="AS1008" i="16"/>
  <c r="AD1001" i="16"/>
  <c r="AN1001" i="16" s="1"/>
  <c r="AC1001" i="16"/>
  <c r="AM1001" i="16" s="1"/>
  <c r="AF1001" i="16"/>
  <c r="AP1001" i="16" s="1"/>
  <c r="AE1001" i="16"/>
  <c r="AO1001" i="16" s="1"/>
  <c r="AS840" i="16"/>
  <c r="AC837" i="16"/>
  <c r="AM837" i="16" s="1"/>
  <c r="AF837" i="16"/>
  <c r="AP837" i="16" s="1"/>
  <c r="AE837" i="16"/>
  <c r="AO837" i="16" s="1"/>
  <c r="AD837" i="16"/>
  <c r="AN837" i="16" s="1"/>
  <c r="AS1069" i="16"/>
  <c r="AC1062" i="16"/>
  <c r="AM1062" i="16" s="1"/>
  <c r="AD1062" i="16"/>
  <c r="AN1062" i="16" s="1"/>
  <c r="AF1062" i="16"/>
  <c r="AP1062" i="16" s="1"/>
  <c r="AE1062" i="16"/>
  <c r="AO1062" i="16" s="1"/>
  <c r="AS673" i="16"/>
  <c r="AC671" i="16"/>
  <c r="AM671" i="16" s="1"/>
  <c r="AF671" i="16"/>
  <c r="AP671" i="16" s="1"/>
  <c r="AE671" i="16"/>
  <c r="AO671" i="16" s="1"/>
  <c r="AD671" i="16"/>
  <c r="AS1072" i="16"/>
  <c r="AF1065" i="16"/>
  <c r="AP1065" i="16" s="1"/>
  <c r="AE1065" i="16"/>
  <c r="AO1065" i="16" s="1"/>
  <c r="AC1065" i="16"/>
  <c r="AM1065" i="16" s="1"/>
  <c r="AD1065" i="16"/>
  <c r="AN1065" i="16" s="1"/>
  <c r="AS92" i="16"/>
  <c r="AF92" i="16"/>
  <c r="AP92" i="16" s="1"/>
  <c r="AE92" i="16"/>
  <c r="AO92" i="16" s="1"/>
  <c r="AC92" i="16"/>
  <c r="AM92" i="16" s="1"/>
  <c r="AD92" i="16"/>
  <c r="AN92" i="16" s="1"/>
  <c r="AS340" i="16"/>
  <c r="AC340" i="16"/>
  <c r="AM340" i="16" s="1"/>
  <c r="AD340" i="16"/>
  <c r="AN340" i="16" s="1"/>
  <c r="AE340" i="16"/>
  <c r="AF340" i="16"/>
  <c r="AP340" i="16" s="1"/>
  <c r="AS992" i="16"/>
  <c r="AD985" i="16"/>
  <c r="AN985" i="16" s="1"/>
  <c r="AC985" i="16"/>
  <c r="AM985" i="16" s="1"/>
  <c r="AE985" i="16"/>
  <c r="AO985" i="16" s="1"/>
  <c r="AF985" i="16"/>
  <c r="AP985" i="16" s="1"/>
  <c r="AS449" i="16"/>
  <c r="AF449" i="16"/>
  <c r="AP449" i="16" s="1"/>
  <c r="AC449" i="16"/>
  <c r="AM449" i="16" s="1"/>
  <c r="AE449" i="16"/>
  <c r="AO449" i="16" s="1"/>
  <c r="AD449" i="16"/>
  <c r="AS683" i="16"/>
  <c r="AE681" i="16"/>
  <c r="AO681" i="16" s="1"/>
  <c r="AF681" i="16"/>
  <c r="AP681" i="16" s="1"/>
  <c r="AD681" i="16"/>
  <c r="AN681" i="16" s="1"/>
  <c r="AC681" i="16"/>
  <c r="AM681" i="16" s="1"/>
  <c r="AS826" i="16"/>
  <c r="AE823" i="16"/>
  <c r="AO823" i="16" s="1"/>
  <c r="AC823" i="16"/>
  <c r="AM823" i="16" s="1"/>
  <c r="AF823" i="16"/>
  <c r="AP823" i="16" s="1"/>
  <c r="AD823" i="16"/>
  <c r="AN823" i="16" s="1"/>
  <c r="AS665" i="16"/>
  <c r="AE663" i="16"/>
  <c r="AO663" i="16" s="1"/>
  <c r="AC663" i="16"/>
  <c r="AM663" i="16" s="1"/>
  <c r="AF663" i="16"/>
  <c r="AP663" i="16" s="1"/>
  <c r="AD663" i="16"/>
  <c r="AN663" i="16" s="1"/>
  <c r="AS890" i="16"/>
  <c r="AD884" i="16"/>
  <c r="AN884" i="16" s="1"/>
  <c r="AC884" i="16"/>
  <c r="AM884" i="16" s="1"/>
  <c r="AF884" i="16"/>
  <c r="AP884" i="16" s="1"/>
  <c r="AE884" i="16"/>
  <c r="AO884" i="16" s="1"/>
  <c r="AS1177" i="16"/>
  <c r="AE1170" i="16"/>
  <c r="AO1170" i="16" s="1"/>
  <c r="AD1170" i="16"/>
  <c r="AN1170" i="16" s="1"/>
  <c r="AC1170" i="16"/>
  <c r="AM1170" i="16" s="1"/>
  <c r="AF1170" i="16"/>
  <c r="AP1170" i="16" s="1"/>
  <c r="AS489" i="16"/>
  <c r="AE489" i="16"/>
  <c r="AO489" i="16" s="1"/>
  <c r="AC489" i="16"/>
  <c r="AM489" i="16" s="1"/>
  <c r="AF489" i="16"/>
  <c r="AP489" i="16" s="1"/>
  <c r="AD489" i="16"/>
  <c r="AN489" i="16" s="1"/>
  <c r="AS260" i="16"/>
  <c r="AE260" i="16"/>
  <c r="AO260" i="16" s="1"/>
  <c r="AF260" i="16"/>
  <c r="AP260" i="16" s="1"/>
  <c r="AD260" i="16"/>
  <c r="AN260" i="16" s="1"/>
  <c r="AC260" i="16"/>
  <c r="AM260" i="16" s="1"/>
  <c r="AS1080" i="16"/>
  <c r="AE1073" i="16"/>
  <c r="AO1073" i="16" s="1"/>
  <c r="AD1073" i="16"/>
  <c r="AN1073" i="16" s="1"/>
  <c r="AF1073" i="16"/>
  <c r="AP1073" i="16" s="1"/>
  <c r="AC1073" i="16"/>
  <c r="AM1073" i="16" s="1"/>
  <c r="AS165" i="16"/>
  <c r="AC165" i="16"/>
  <c r="AM165" i="16" s="1"/>
  <c r="AF165" i="16"/>
  <c r="AP165" i="16" s="1"/>
  <c r="AD165" i="16"/>
  <c r="AN165" i="16" s="1"/>
  <c r="AE165" i="16"/>
  <c r="AO165" i="16" s="1"/>
  <c r="AS202" i="16"/>
  <c r="AF202" i="16"/>
  <c r="AP202" i="16" s="1"/>
  <c r="AE202" i="16"/>
  <c r="AO202" i="16" s="1"/>
  <c r="AD202" i="16"/>
  <c r="AC202" i="16"/>
  <c r="AM202" i="16" s="1"/>
  <c r="Z1029" i="16"/>
  <c r="AJ655" i="2"/>
  <c r="AN655" i="2"/>
  <c r="Q655" i="16"/>
  <c r="AL667" i="2"/>
  <c r="AK667" i="2"/>
  <c r="AH667" i="2"/>
  <c r="AI667" i="2" s="1"/>
  <c r="O667" i="16"/>
  <c r="AM666" i="2"/>
  <c r="AI666" i="2"/>
  <c r="P666" i="16"/>
  <c r="AJ731" i="2"/>
  <c r="Q731" i="16"/>
  <c r="AJ709" i="2"/>
  <c r="Q709" i="16"/>
  <c r="AJ1065" i="2"/>
  <c r="Q1065" i="16"/>
  <c r="AJ1127" i="2"/>
  <c r="Q1127" i="16"/>
  <c r="Q277" i="16"/>
  <c r="AJ277" i="2"/>
  <c r="AJ295" i="2"/>
  <c r="AN295" i="2"/>
  <c r="Q295" i="16"/>
  <c r="AJ471" i="2"/>
  <c r="Q471" i="16"/>
  <c r="AJ131" i="2"/>
  <c r="AN131" i="2"/>
  <c r="Q131" i="16"/>
  <c r="AN393" i="2"/>
  <c r="AJ393" i="2"/>
  <c r="Q393" i="16"/>
  <c r="AM907" i="2"/>
  <c r="AW177" i="2"/>
  <c r="T177" i="16" s="1"/>
  <c r="AW791" i="2"/>
  <c r="T791" i="16" s="1"/>
  <c r="R1029" i="16"/>
  <c r="AW1029" i="2"/>
  <c r="T1029" i="16" s="1"/>
  <c r="AW984" i="2"/>
  <c r="T984" i="16" s="1"/>
  <c r="Q984" i="16"/>
  <c r="AJ984" i="2"/>
  <c r="AN936" i="2"/>
  <c r="Q936" i="16"/>
  <c r="AJ936" i="2"/>
  <c r="Q901" i="16"/>
  <c r="AJ901" i="2"/>
  <c r="Q1087" i="16"/>
  <c r="AJ1087" i="2"/>
  <c r="AN810" i="2"/>
  <c r="AJ810" i="2"/>
  <c r="Q810" i="16"/>
  <c r="AN1146" i="2"/>
  <c r="AJ1146" i="2"/>
  <c r="Q1146" i="16"/>
  <c r="AJ996" i="2"/>
  <c r="Q996" i="16"/>
  <c r="AJ664" i="2"/>
  <c r="Q664" i="16"/>
  <c r="AW664" i="2"/>
  <c r="T664" i="16" s="1"/>
  <c r="AW756" i="2"/>
  <c r="T756" i="16" s="1"/>
  <c r="AJ756" i="2"/>
  <c r="Q756" i="16"/>
  <c r="AN380" i="2"/>
  <c r="Q380" i="16"/>
  <c r="AJ380" i="2"/>
  <c r="P285" i="16"/>
  <c r="AM285" i="2"/>
  <c r="AI285" i="2"/>
  <c r="AW963" i="2"/>
  <c r="T963" i="16" s="1"/>
  <c r="AJ963" i="2"/>
  <c r="Q963" i="16"/>
  <c r="AW1051" i="2"/>
  <c r="T1051" i="16" s="1"/>
  <c r="AJ1051" i="2"/>
  <c r="Q1051" i="16"/>
  <c r="Q103" i="16"/>
  <c r="AJ103" i="2"/>
  <c r="Q975" i="16"/>
  <c r="AJ975" i="2"/>
  <c r="AM133" i="2"/>
  <c r="O133" i="16"/>
  <c r="AL133" i="2"/>
  <c r="AK133" i="2"/>
  <c r="AH133" i="2"/>
  <c r="AI132" i="2"/>
  <c r="P132" i="16"/>
  <c r="AN469" i="2"/>
  <c r="Q469" i="16"/>
  <c r="AJ469" i="2"/>
  <c r="Q639" i="16"/>
  <c r="AW639" i="2"/>
  <c r="T639" i="16" s="1"/>
  <c r="AJ639" i="2"/>
  <c r="Q1002" i="16"/>
  <c r="AJ1002" i="2"/>
  <c r="AJ599" i="2"/>
  <c r="Q599" i="16"/>
  <c r="Q521" i="16"/>
  <c r="AJ521" i="2"/>
  <c r="AN521" i="2"/>
  <c r="AJ203" i="2"/>
  <c r="Q203" i="16"/>
  <c r="AN203" i="2"/>
  <c r="Q78" i="16"/>
  <c r="AJ78" i="2"/>
  <c r="AN1029" i="2"/>
  <c r="Q1029" i="16"/>
  <c r="AJ1029" i="2"/>
  <c r="R903" i="16"/>
  <c r="AT907" i="16" s="1"/>
  <c r="AW903" i="2"/>
  <c r="T903" i="16" s="1"/>
  <c r="P903" i="16"/>
  <c r="AI903" i="2"/>
  <c r="R1125" i="16"/>
  <c r="AW1125" i="2"/>
  <c r="T1125" i="16" s="1"/>
  <c r="AW1005" i="2"/>
  <c r="T1005" i="16" s="1"/>
  <c r="Q1005" i="16"/>
  <c r="R743" i="16"/>
  <c r="AW743" i="2"/>
  <c r="T743" i="16" s="1"/>
  <c r="R620" i="16"/>
  <c r="AT620" i="16" s="1"/>
  <c r="AW620" i="2"/>
  <c r="T620" i="16" s="1"/>
  <c r="R1012" i="16"/>
  <c r="AW1012" i="2"/>
  <c r="T1012" i="16" s="1"/>
  <c r="H667" i="16"/>
  <c r="Z1003" i="16"/>
  <c r="R1003" i="16"/>
  <c r="AW1003" i="2"/>
  <c r="T1003" i="16" s="1"/>
  <c r="P1125" i="16"/>
  <c r="AI1125" i="2"/>
  <c r="AW603" i="2"/>
  <c r="T603" i="16" s="1"/>
  <c r="R603" i="16"/>
  <c r="AT603" i="16" s="1"/>
  <c r="R535" i="16"/>
  <c r="AW535" i="2"/>
  <c r="T535" i="16" s="1"/>
  <c r="R866" i="16"/>
  <c r="AT870" i="16" s="1"/>
  <c r="AW866" i="2"/>
  <c r="T866" i="16" s="1"/>
  <c r="AW79" i="2"/>
  <c r="T79" i="16" s="1"/>
  <c r="R79" i="16"/>
  <c r="AT79" i="16" s="1"/>
  <c r="AN498" i="2"/>
  <c r="Q498" i="16"/>
  <c r="AJ498" i="2"/>
  <c r="AW897" i="2"/>
  <c r="T897" i="16" s="1"/>
  <c r="AN897" i="2"/>
  <c r="AJ897" i="2"/>
  <c r="Q897" i="16"/>
  <c r="Q34" i="16"/>
  <c r="AJ34" i="2"/>
  <c r="AJ358" i="2"/>
  <c r="Q358" i="16"/>
  <c r="AN358" i="2"/>
  <c r="Q523" i="16"/>
  <c r="AJ523" i="2"/>
  <c r="AW898" i="2"/>
  <c r="T898" i="16" s="1"/>
  <c r="R626" i="16"/>
  <c r="AT626" i="16" s="1"/>
  <c r="AW792" i="2"/>
  <c r="T792" i="16" s="1"/>
  <c r="AF583" i="2"/>
  <c r="N583" i="16" s="1"/>
  <c r="N582" i="16"/>
  <c r="O544" i="16"/>
  <c r="AG545" i="2"/>
  <c r="AK544" i="2"/>
  <c r="AL544" i="2"/>
  <c r="AN544" i="2"/>
  <c r="AH544" i="2"/>
  <c r="AI1012" i="2"/>
  <c r="P1012" i="16"/>
  <c r="AM1012" i="2"/>
  <c r="H983" i="16"/>
  <c r="AW612" i="2"/>
  <c r="T612" i="16" s="1"/>
  <c r="AN612" i="2"/>
  <c r="AW853" i="2"/>
  <c r="T853" i="16" s="1"/>
  <c r="AN853" i="2"/>
  <c r="AJ1003" i="2"/>
  <c r="Q1003" i="16"/>
  <c r="AN724" i="2"/>
  <c r="R740" i="16"/>
  <c r="AT740" i="16" s="1"/>
  <c r="AW740" i="2"/>
  <c r="T740" i="16" s="1"/>
  <c r="Q385" i="16"/>
  <c r="AN155" i="2"/>
  <c r="AF545" i="2"/>
  <c r="N545" i="16" s="1"/>
  <c r="N544" i="16"/>
  <c r="O983" i="16"/>
  <c r="AH983" i="2"/>
  <c r="P983" i="16" s="1"/>
  <c r="AL983" i="2"/>
  <c r="AN983" i="2"/>
  <c r="AK983" i="2"/>
  <c r="AM983" i="2" s="1"/>
  <c r="H535" i="16"/>
  <c r="AI535" i="2"/>
  <c r="P971" i="16"/>
  <c r="AI971" i="2"/>
  <c r="AM971" i="2"/>
  <c r="P1003" i="16"/>
  <c r="AM1003" i="2"/>
  <c r="A744" i="16"/>
  <c r="AP744" i="2"/>
  <c r="AJ1125" i="2"/>
  <c r="Q1125" i="16"/>
  <c r="AN1125" i="2"/>
  <c r="P767" i="16"/>
  <c r="AM767" i="2"/>
  <c r="O821" i="16"/>
  <c r="AH821" i="2"/>
  <c r="P821" i="16" s="1"/>
  <c r="AL821" i="2"/>
  <c r="AK821" i="2"/>
  <c r="AM821" i="2"/>
  <c r="H867" i="16"/>
  <c r="U868" i="2"/>
  <c r="AW920" i="2"/>
  <c r="T920" i="16" s="1"/>
  <c r="A868" i="16"/>
  <c r="AP868" i="2"/>
  <c r="AJ620" i="2"/>
  <c r="Q620" i="16"/>
  <c r="P854" i="16"/>
  <c r="AI854" i="2"/>
  <c r="B867" i="16"/>
  <c r="Z868" i="2"/>
  <c r="AQ867" i="2"/>
  <c r="AS867" i="2" s="1"/>
  <c r="AU867" i="2" s="1"/>
  <c r="H621" i="16"/>
  <c r="A667" i="16"/>
  <c r="AP667" i="2"/>
  <c r="A821" i="16"/>
  <c r="AP821" i="2"/>
  <c r="P740" i="16"/>
  <c r="AM740" i="2"/>
  <c r="O621" i="16"/>
  <c r="AK621" i="2"/>
  <c r="AH621" i="2"/>
  <c r="AL621" i="2"/>
  <c r="AW555" i="2"/>
  <c r="T555" i="16" s="1"/>
  <c r="AN555" i="2"/>
  <c r="H674" i="16"/>
  <c r="U675" i="2"/>
  <c r="B582" i="16"/>
  <c r="Z583" i="2"/>
  <c r="AQ582" i="2"/>
  <c r="AM818" i="2"/>
  <c r="O972" i="16"/>
  <c r="AK972" i="2"/>
  <c r="AL972" i="2"/>
  <c r="AH972" i="2"/>
  <c r="P972" i="16" s="1"/>
  <c r="AN972" i="2"/>
  <c r="O1099" i="16"/>
  <c r="AK1099" i="2"/>
  <c r="AL1099" i="2"/>
  <c r="AJ740" i="2"/>
  <c r="Q740" i="16"/>
  <c r="B667" i="16"/>
  <c r="AQ667" i="2"/>
  <c r="AS667" i="2" s="1"/>
  <c r="AU667" i="2" s="1"/>
  <c r="P937" i="16"/>
  <c r="AI937" i="2"/>
  <c r="Q898" i="16"/>
  <c r="AJ898" i="2"/>
  <c r="AN898" i="2"/>
  <c r="P701" i="16"/>
  <c r="AM701" i="2"/>
  <c r="Q903" i="16"/>
  <c r="AJ903" i="2"/>
  <c r="AN903" i="2"/>
  <c r="AQ972" i="2"/>
  <c r="AS972" i="2" s="1"/>
  <c r="AU972" i="2" s="1"/>
  <c r="B972" i="16"/>
  <c r="B621" i="16"/>
  <c r="AQ621" i="2"/>
  <c r="AS621" i="2" s="1"/>
  <c r="AU621" i="2" s="1"/>
  <c r="H701" i="16"/>
  <c r="AI701" i="2"/>
  <c r="A545" i="16"/>
  <c r="AP545" i="2"/>
  <c r="H819" i="16"/>
  <c r="U820" i="2"/>
  <c r="AI820" i="2" s="1"/>
  <c r="AW701" i="2"/>
  <c r="T701" i="16" s="1"/>
  <c r="AJ767" i="2"/>
  <c r="Q767" i="16"/>
  <c r="B821" i="16"/>
  <c r="AQ821" i="2"/>
  <c r="H603" i="16"/>
  <c r="AI603" i="2"/>
  <c r="AN356" i="2"/>
  <c r="B544" i="16"/>
  <c r="Z545" i="2"/>
  <c r="AQ544" i="2"/>
  <c r="AN581" i="2"/>
  <c r="AG582" i="2"/>
  <c r="AW625" i="2"/>
  <c r="T625" i="16" s="1"/>
  <c r="AN625" i="2"/>
  <c r="AS666" i="2"/>
  <c r="AU666" i="2" s="1"/>
  <c r="H743" i="16"/>
  <c r="U744" i="2"/>
  <c r="AI743" i="2"/>
  <c r="H972" i="16"/>
  <c r="B744" i="16"/>
  <c r="AQ744" i="2"/>
  <c r="H581" i="16"/>
  <c r="U582" i="2"/>
  <c r="P603" i="16"/>
  <c r="AM603" i="2"/>
  <c r="P866" i="16"/>
  <c r="AI866" i="2"/>
  <c r="O744" i="16"/>
  <c r="AH744" i="2"/>
  <c r="P744" i="16" s="1"/>
  <c r="AL744" i="2"/>
  <c r="AK744" i="2"/>
  <c r="AM744" i="2"/>
  <c r="H626" i="16"/>
  <c r="AI626" i="2"/>
  <c r="P675" i="16"/>
  <c r="AM675" i="2"/>
  <c r="AW871" i="2"/>
  <c r="T871" i="16" s="1"/>
  <c r="AW564" i="2"/>
  <c r="T564" i="16" s="1"/>
  <c r="AN564" i="2"/>
  <c r="AW738" i="2"/>
  <c r="T738" i="16" s="1"/>
  <c r="A582" i="16"/>
  <c r="T583" i="2"/>
  <c r="AP582" i="2"/>
  <c r="O867" i="16"/>
  <c r="AG868" i="2"/>
  <c r="AH867" i="2"/>
  <c r="P867" i="16" s="1"/>
  <c r="AK867" i="2"/>
  <c r="AL867" i="2"/>
  <c r="AM867" i="2"/>
  <c r="AM792" i="2"/>
  <c r="AI792" i="2"/>
  <c r="P792" i="16"/>
  <c r="A675" i="16"/>
  <c r="AP675" i="2"/>
  <c r="AS675" i="2" s="1"/>
  <c r="AU675" i="2" s="1"/>
  <c r="B983" i="16"/>
  <c r="AQ983" i="2"/>
  <c r="AS983" i="2" s="1"/>
  <c r="AU983" i="2" s="1"/>
  <c r="Q738" i="16"/>
  <c r="AJ738" i="2"/>
  <c r="AI401" i="2"/>
  <c r="P401" i="16"/>
  <c r="AN230" i="2"/>
  <c r="AW523" i="2"/>
  <c r="T523" i="16" s="1"/>
  <c r="Q155" i="16"/>
  <c r="AJ414" i="2"/>
  <c r="Q414" i="16"/>
  <c r="AM964" i="2"/>
  <c r="AI964" i="2"/>
  <c r="P964" i="16"/>
  <c r="AI742" i="2"/>
  <c r="P742" i="16"/>
  <c r="AM414" i="2"/>
  <c r="P414" i="16"/>
  <c r="P394" i="16"/>
  <c r="AI394" i="2"/>
  <c r="AJ115" i="2"/>
  <c r="Q115" i="16"/>
  <c r="AJ146" i="2"/>
  <c r="Q146" i="16"/>
  <c r="AJ427" i="2"/>
  <c r="Q427" i="16"/>
  <c r="AJ1154" i="2"/>
  <c r="Q1154" i="16"/>
  <c r="AJ650" i="2"/>
  <c r="Q650" i="16"/>
  <c r="AJ684" i="2"/>
  <c r="Q684" i="16"/>
  <c r="AJ126" i="2"/>
  <c r="Q126" i="16"/>
  <c r="AJ64" i="2"/>
  <c r="Q64" i="16"/>
  <c r="AJ199" i="2"/>
  <c r="Q199" i="16"/>
  <c r="AJ922" i="2"/>
  <c r="Q922" i="16"/>
  <c r="AJ132" i="2"/>
  <c r="AN132" i="2"/>
  <c r="Q132" i="16"/>
  <c r="AJ828" i="2"/>
  <c r="Q828" i="16"/>
  <c r="AJ601" i="2"/>
  <c r="Q601" i="16"/>
  <c r="AN341" i="2"/>
  <c r="Q341" i="16"/>
  <c r="AW651" i="2"/>
  <c r="T651" i="16" s="1"/>
  <c r="AW819" i="2"/>
  <c r="T819" i="16" s="1"/>
  <c r="AJ180" i="2"/>
  <c r="Q180" i="16"/>
  <c r="AM402" i="2"/>
  <c r="O402" i="16"/>
  <c r="AH402" i="2"/>
  <c r="AJ271" i="2"/>
  <c r="Q271" i="16"/>
  <c r="Q1073" i="16"/>
  <c r="AJ1073" i="2"/>
  <c r="Q763" i="16"/>
  <c r="AJ763" i="2"/>
  <c r="AN763" i="2"/>
  <c r="Q665" i="16"/>
  <c r="AJ665" i="2"/>
  <c r="AJ597" i="2"/>
  <c r="Q597" i="16"/>
  <c r="Q176" i="16"/>
  <c r="AN176" i="2"/>
  <c r="AJ176" i="2"/>
  <c r="AJ723" i="2"/>
  <c r="Q723" i="16"/>
  <c r="AN723" i="2"/>
  <c r="AJ710" i="2"/>
  <c r="Q710" i="16"/>
  <c r="AJ98" i="2"/>
  <c r="Q98" i="16"/>
  <c r="R965" i="16"/>
  <c r="AW965" i="2"/>
  <c r="T965" i="16" s="1"/>
  <c r="P641" i="16"/>
  <c r="AI641" i="2"/>
  <c r="AJ641" i="2" s="1"/>
  <c r="AM369" i="2"/>
  <c r="AM580" i="2"/>
  <c r="AW863" i="2"/>
  <c r="T863" i="16" s="1"/>
  <c r="R863" i="16"/>
  <c r="AT866" i="16" s="1"/>
  <c r="AM565" i="2"/>
  <c r="AN510" i="2"/>
  <c r="AM637" i="2"/>
  <c r="AI255" i="2"/>
  <c r="AI518" i="2"/>
  <c r="AN624" i="2"/>
  <c r="AJ624" i="2"/>
  <c r="Q624" i="16"/>
  <c r="R742" i="16"/>
  <c r="AT742" i="16" s="1"/>
  <c r="AW742" i="2"/>
  <c r="T742" i="16" s="1"/>
  <c r="AI862" i="2"/>
  <c r="AN643" i="2"/>
  <c r="AJ643" i="2"/>
  <c r="Q643" i="16"/>
  <c r="AI580" i="2"/>
  <c r="AM302" i="2"/>
  <c r="AM815" i="2"/>
  <c r="AN651" i="2"/>
  <c r="T333" i="16"/>
  <c r="T1142" i="16"/>
  <c r="T559" i="16"/>
  <c r="T858" i="16"/>
  <c r="T412" i="16"/>
  <c r="T802" i="16"/>
  <c r="T11" i="16"/>
  <c r="T9" i="16"/>
  <c r="T169" i="16"/>
  <c r="AW553" i="2"/>
  <c r="T553" i="16" s="1"/>
  <c r="T749" i="16"/>
  <c r="AN777" i="2"/>
  <c r="T509" i="16"/>
  <c r="T870" i="16"/>
  <c r="T611" i="16"/>
  <c r="T216" i="16"/>
  <c r="T482" i="16"/>
  <c r="T672" i="16"/>
  <c r="T636" i="16"/>
  <c r="T477" i="16"/>
  <c r="T579" i="16"/>
  <c r="AJ314" i="2"/>
  <c r="Q314" i="16"/>
  <c r="T1038" i="16"/>
  <c r="T724" i="16"/>
  <c r="T350" i="16"/>
  <c r="T322" i="16"/>
  <c r="T406" i="16"/>
  <c r="R641" i="16"/>
  <c r="AT641" i="16" s="1"/>
  <c r="AW641" i="2"/>
  <c r="T750" i="16"/>
  <c r="T739" i="16"/>
  <c r="T700" i="16"/>
  <c r="T459" i="16"/>
  <c r="T368" i="16"/>
  <c r="T486" i="16"/>
  <c r="T326" i="16"/>
  <c r="R844" i="16"/>
  <c r="AT845" i="16" s="1"/>
  <c r="T1121" i="16"/>
  <c r="T961" i="16"/>
  <c r="T374" i="16"/>
  <c r="R943" i="16"/>
  <c r="AT947" i="16" s="1"/>
  <c r="T74" i="16"/>
  <c r="T53" i="16"/>
  <c r="T1066" i="16"/>
  <c r="AJ855" i="2"/>
  <c r="Q855" i="16"/>
  <c r="T951" i="16"/>
  <c r="R725" i="16"/>
  <c r="AT725" i="16" s="1"/>
  <c r="AW725" i="2"/>
  <c r="R518" i="16"/>
  <c r="AT518" i="16" s="1"/>
  <c r="AW518" i="2"/>
  <c r="T956" i="16"/>
  <c r="T281" i="16"/>
  <c r="R673" i="16"/>
  <c r="AT673" i="16" s="1"/>
  <c r="AJ510" i="2"/>
  <c r="Q510" i="16"/>
  <c r="AJ965" i="2"/>
  <c r="Q965" i="16"/>
  <c r="AJ1124" i="2"/>
  <c r="Q1124" i="16"/>
  <c r="AN1124" i="2"/>
  <c r="AJ1102" i="2"/>
  <c r="Q1102" i="16"/>
  <c r="T147" i="16"/>
  <c r="B402" i="16"/>
  <c r="AQ402" i="2"/>
  <c r="AS402" i="2" s="1"/>
  <c r="AU402" i="2" s="1"/>
  <c r="R534" i="16"/>
  <c r="AT534" i="16" s="1"/>
  <c r="AW534" i="2"/>
  <c r="T308" i="16"/>
  <c r="AJ674" i="2"/>
  <c r="Q674" i="16"/>
  <c r="AJ437" i="2"/>
  <c r="Q437" i="16"/>
  <c r="AJ454" i="2"/>
  <c r="Q454" i="16"/>
  <c r="AN454" i="2"/>
  <c r="AJ863" i="2"/>
  <c r="Q863" i="16"/>
  <c r="N653" i="16"/>
  <c r="AJ591" i="2"/>
  <c r="Q591" i="16"/>
  <c r="AI138" i="2"/>
  <c r="AJ865" i="2"/>
  <c r="Q865" i="16"/>
  <c r="AJ875" i="2"/>
  <c r="Q875" i="16"/>
  <c r="AJ861" i="2"/>
  <c r="Q861" i="16"/>
  <c r="AJ1060" i="2"/>
  <c r="Q1060" i="16"/>
  <c r="B139" i="16"/>
  <c r="Z140" i="2"/>
  <c r="AQ139" i="2"/>
  <c r="AS139" i="2" s="1"/>
  <c r="AU139" i="2" s="1"/>
  <c r="AI818" i="2"/>
  <c r="AI931" i="2"/>
  <c r="AW931" i="2" s="1"/>
  <c r="P931" i="16"/>
  <c r="T615" i="16"/>
  <c r="AJ1076" i="2"/>
  <c r="Q1076" i="16"/>
  <c r="AJ48" i="2"/>
  <c r="Q48" i="16"/>
  <c r="AN48" i="2"/>
  <c r="AJ967" i="2"/>
  <c r="Q967" i="16"/>
  <c r="T729" i="16"/>
  <c r="T966" i="16"/>
  <c r="N908" i="16"/>
  <c r="T108" i="16"/>
  <c r="T585" i="16"/>
  <c r="T1102" i="16"/>
  <c r="AJ301" i="2"/>
  <c r="Q301" i="16"/>
  <c r="AJ702" i="2"/>
  <c r="Q702" i="16"/>
  <c r="AN702" i="2"/>
  <c r="AJ640" i="2"/>
  <c r="Q640" i="16"/>
  <c r="AJ549" i="2"/>
  <c r="Q549" i="16"/>
  <c r="AN549" i="2"/>
  <c r="A134" i="16"/>
  <c r="AP134" i="2"/>
  <c r="AS134" i="2" s="1"/>
  <c r="AU134" i="2" s="1"/>
  <c r="T384" i="16"/>
  <c r="R862" i="16"/>
  <c r="AT865" i="16" s="1"/>
  <c r="AW862" i="2"/>
  <c r="T317" i="16"/>
  <c r="T777" i="16"/>
  <c r="AJ602" i="2"/>
  <c r="Q602" i="16"/>
  <c r="AJ1066" i="2"/>
  <c r="Q1066" i="16"/>
  <c r="R327" i="16"/>
  <c r="AT327" i="16" s="1"/>
  <c r="AW327" i="2"/>
  <c r="T526" i="16"/>
  <c r="T1026" i="16"/>
  <c r="T774" i="16"/>
  <c r="T1119" i="16"/>
  <c r="H139" i="16"/>
  <c r="U140" i="2"/>
  <c r="T499" i="16"/>
  <c r="T861" i="16"/>
  <c r="T892" i="16"/>
  <c r="AJ513" i="2"/>
  <c r="Q513" i="16"/>
  <c r="AN513" i="2"/>
  <c r="AJ735" i="2"/>
  <c r="Q735" i="16"/>
  <c r="AJ119" i="2"/>
  <c r="Q119" i="16"/>
  <c r="T254" i="16"/>
  <c r="AI565" i="2"/>
  <c r="AW565" i="2" s="1"/>
  <c r="P565" i="16"/>
  <c r="AI943" i="2"/>
  <c r="AW943" i="2" s="1"/>
  <c r="P943" i="16"/>
  <c r="T435" i="16"/>
  <c r="T1087" i="16"/>
  <c r="T932" i="16"/>
  <c r="T1175" i="16"/>
  <c r="R616" i="16"/>
  <c r="AT616" i="16" s="1"/>
  <c r="T887" i="16"/>
  <c r="T1096" i="16"/>
  <c r="R818" i="16"/>
  <c r="AT819" i="16" s="1"/>
  <c r="AW818" i="2"/>
  <c r="T204" i="16"/>
  <c r="AM619" i="2"/>
  <c r="AW602" i="2"/>
  <c r="AW407" i="2"/>
  <c r="R407" i="16"/>
  <c r="AT407" i="16" s="1"/>
  <c r="AJ981" i="2"/>
  <c r="Q981" i="16"/>
  <c r="AN981" i="2"/>
  <c r="T141" i="16"/>
  <c r="T150" i="16"/>
  <c r="AJ553" i="2"/>
  <c r="Q553" i="16"/>
  <c r="AJ558" i="2"/>
  <c r="Q558" i="16"/>
  <c r="AJ1151" i="2"/>
  <c r="Q1151" i="16"/>
  <c r="T708" i="16"/>
  <c r="AI534" i="2"/>
  <c r="P534" i="16"/>
  <c r="AJ526" i="2"/>
  <c r="Q526" i="16"/>
  <c r="AJ1193" i="2"/>
  <c r="Q1193" i="16"/>
  <c r="AJ353" i="2"/>
  <c r="Q353" i="16"/>
  <c r="AJ843" i="2"/>
  <c r="Q843" i="16"/>
  <c r="AI619" i="2"/>
  <c r="AW619" i="2" s="1"/>
  <c r="T619" i="16" s="1"/>
  <c r="AI331" i="2"/>
  <c r="P331" i="16"/>
  <c r="T422" i="16"/>
  <c r="T201" i="16"/>
  <c r="AJ625" i="2"/>
  <c r="Q625" i="16"/>
  <c r="AJ1104" i="2"/>
  <c r="Q1104" i="16"/>
  <c r="AN1104" i="2"/>
  <c r="AJ769" i="2"/>
  <c r="Q769" i="16"/>
  <c r="AN769" i="2"/>
  <c r="AJ484" i="2"/>
  <c r="Q484" i="16"/>
  <c r="AJ499" i="2"/>
  <c r="Q499" i="16"/>
  <c r="U544" i="2"/>
  <c r="H543" i="16"/>
  <c r="T1104" i="16"/>
  <c r="AJ433" i="2"/>
  <c r="Q433" i="16"/>
  <c r="AJ892" i="2"/>
  <c r="Q892" i="16"/>
  <c r="AJ219" i="2"/>
  <c r="Q219" i="16"/>
  <c r="T1130" i="16"/>
  <c r="T382" i="16"/>
  <c r="T1013" i="16"/>
  <c r="AW369" i="2"/>
  <c r="R369" i="16"/>
  <c r="AT369" i="16" s="1"/>
  <c r="P407" i="16"/>
  <c r="T1156" i="16"/>
  <c r="AW1194" i="2"/>
  <c r="R1194" i="16"/>
  <c r="AS820" i="2"/>
  <c r="AU820" i="2" s="1"/>
  <c r="AF2" i="16"/>
  <c r="AP2" i="16" s="1"/>
  <c r="AE2" i="16"/>
  <c r="AO2" i="16" s="1"/>
  <c r="AD2" i="16"/>
  <c r="AN2" i="16" s="1"/>
  <c r="AC2" i="16"/>
  <c r="AM2" i="16" s="1"/>
  <c r="T854" i="16"/>
  <c r="T398" i="16"/>
  <c r="T529" i="16"/>
  <c r="O224" i="16"/>
  <c r="AK224" i="2"/>
  <c r="AH224" i="2"/>
  <c r="AL224" i="2"/>
  <c r="AM224" i="2"/>
  <c r="A653" i="16"/>
  <c r="AP653" i="2"/>
  <c r="T1191" i="16"/>
  <c r="AJ1024" i="2"/>
  <c r="Q1024" i="16"/>
  <c r="AJ267" i="2"/>
  <c r="Q267" i="16"/>
  <c r="AN267" i="2"/>
  <c r="AJ450" i="2"/>
  <c r="Q450" i="16"/>
  <c r="AN450" i="2"/>
  <c r="AJ555" i="2"/>
  <c r="Q555" i="16"/>
  <c r="T423" i="16"/>
  <c r="AW640" i="2"/>
  <c r="T839" i="16"/>
  <c r="AJ342" i="2"/>
  <c r="Q342" i="16"/>
  <c r="AJ1011" i="2"/>
  <c r="Q1011" i="16"/>
  <c r="AM255" i="2"/>
  <c r="R480" i="16"/>
  <c r="AT480" i="16" s="1"/>
  <c r="AW480" i="2"/>
  <c r="O332" i="16"/>
  <c r="AL332" i="2"/>
  <c r="AH332" i="2"/>
  <c r="AK332" i="2"/>
  <c r="AM332" i="2"/>
  <c r="T17" i="16"/>
  <c r="T712" i="16"/>
  <c r="AI480" i="2"/>
  <c r="AJ517" i="2"/>
  <c r="Q517" i="16"/>
  <c r="AJ947" i="2"/>
  <c r="Q947" i="16"/>
  <c r="AJ122" i="2"/>
  <c r="Q122" i="16"/>
  <c r="AN122" i="2"/>
  <c r="T484" i="16"/>
  <c r="AI1077" i="2"/>
  <c r="AW1077" i="2" s="1"/>
  <c r="P1077" i="16"/>
  <c r="AI637" i="2"/>
  <c r="P637" i="16"/>
  <c r="AI616" i="2"/>
  <c r="P616" i="16"/>
  <c r="AI323" i="2"/>
  <c r="P323" i="16"/>
  <c r="P820" i="16"/>
  <c r="AW268" i="2"/>
  <c r="R268" i="16"/>
  <c r="AT268" i="16" s="1"/>
  <c r="N845" i="16"/>
  <c r="T403" i="16"/>
  <c r="T969" i="16"/>
  <c r="T1151" i="16"/>
  <c r="AJ459" i="2"/>
  <c r="Q459" i="16"/>
  <c r="T775" i="16"/>
  <c r="AJ161" i="2"/>
  <c r="Q161" i="16"/>
  <c r="P314" i="16"/>
  <c r="AM314" i="2"/>
  <c r="AJ530" i="2"/>
  <c r="Q530" i="16"/>
  <c r="AN530" i="2"/>
  <c r="T235" i="16"/>
  <c r="T193" i="16"/>
  <c r="AJ930" i="2"/>
  <c r="Q930" i="16"/>
  <c r="AN930" i="2"/>
  <c r="AJ799" i="2"/>
  <c r="Q799" i="16"/>
  <c r="AN799" i="2"/>
  <c r="O139" i="16"/>
  <c r="AG140" i="2"/>
  <c r="AK139" i="2"/>
  <c r="AL139" i="2"/>
  <c r="AH139" i="2"/>
  <c r="AM139" i="2"/>
  <c r="AI725" i="2"/>
  <c r="AN725" i="2" s="1"/>
  <c r="P725" i="16"/>
  <c r="AM725" i="2"/>
  <c r="T513" i="16"/>
  <c r="AJ533" i="2"/>
  <c r="Q533" i="16"/>
  <c r="AJ313" i="2"/>
  <c r="Q313" i="16"/>
  <c r="AJ750" i="2"/>
  <c r="Q750" i="16"/>
  <c r="AJ739" i="2"/>
  <c r="Q739" i="16"/>
  <c r="AJ973" i="2"/>
  <c r="Q973" i="16"/>
  <c r="T159" i="16"/>
  <c r="T83" i="16"/>
  <c r="T501" i="16"/>
  <c r="AJ1044" i="2"/>
  <c r="Q1044" i="16"/>
  <c r="AJ594" i="2"/>
  <c r="Q594" i="16"/>
  <c r="AJ244" i="2"/>
  <c r="Q244" i="16"/>
  <c r="AN244" i="2"/>
  <c r="AJ1096" i="2"/>
  <c r="Q1096" i="16"/>
  <c r="N332" i="16"/>
  <c r="T799" i="16"/>
  <c r="AW301" i="2"/>
  <c r="AJ1119" i="2"/>
  <c r="Q1119" i="16"/>
  <c r="AJ1041" i="2"/>
  <c r="Q1041" i="16"/>
  <c r="B1098" i="16"/>
  <c r="T561" i="16"/>
  <c r="T1135" i="16"/>
  <c r="T1185" i="16"/>
  <c r="T988" i="16"/>
  <c r="T1140" i="16"/>
  <c r="T1129" i="16"/>
  <c r="T1200" i="16"/>
  <c r="R982" i="16"/>
  <c r="AI1098" i="2"/>
  <c r="P1098" i="16"/>
  <c r="T1146" i="16"/>
  <c r="R1077" i="16"/>
  <c r="T1163" i="16"/>
  <c r="T587" i="16"/>
  <c r="T933" i="16"/>
  <c r="AN301" i="2"/>
  <c r="R652" i="16"/>
  <c r="AT652" i="16" s="1"/>
  <c r="T173" i="16"/>
  <c r="T8" i="16"/>
  <c r="AJ233" i="2"/>
  <c r="Q233" i="16"/>
  <c r="AI123" i="2"/>
  <c r="P123" i="16"/>
  <c r="T573" i="16"/>
  <c r="T69" i="16"/>
  <c r="A1099" i="16"/>
  <c r="AP1099" i="2"/>
  <c r="P23" i="16"/>
  <c r="AI23" i="2"/>
  <c r="AM23" i="2"/>
  <c r="T122" i="16"/>
  <c r="AW1011" i="2"/>
  <c r="AJ1068" i="2"/>
  <c r="Q1068" i="16"/>
  <c r="AJ942" i="2"/>
  <c r="Q942" i="16"/>
  <c r="AJ689" i="2"/>
  <c r="Q689" i="16"/>
  <c r="AJ1176" i="2"/>
  <c r="Q1176" i="16"/>
  <c r="T10" i="16"/>
  <c r="T769" i="16"/>
  <c r="AJ327" i="2"/>
  <c r="Q327" i="16"/>
  <c r="AW244" i="2"/>
  <c r="AJ482" i="2"/>
  <c r="Q482" i="16"/>
  <c r="N256" i="16"/>
  <c r="AW233" i="2"/>
  <c r="T365" i="16"/>
  <c r="T29" i="16"/>
  <c r="T390" i="16"/>
  <c r="O581" i="16"/>
  <c r="AH581" i="2"/>
  <c r="AK581" i="2"/>
  <c r="AL581" i="2"/>
  <c r="T416" i="16"/>
  <c r="T297" i="16"/>
  <c r="R285" i="16"/>
  <c r="AT285" i="16" s="1"/>
  <c r="AW285" i="2"/>
  <c r="T1107" i="16"/>
  <c r="B653" i="16"/>
  <c r="AQ653" i="2"/>
  <c r="AJ564" i="2"/>
  <c r="Q564" i="16"/>
  <c r="AW454" i="2"/>
  <c r="AW500" i="2"/>
  <c r="R500" i="16"/>
  <c r="AT500" i="16" s="1"/>
  <c r="AW323" i="2"/>
  <c r="R323" i="16"/>
  <c r="AT323" i="16" s="1"/>
  <c r="T287" i="16"/>
  <c r="T1176" i="16"/>
  <c r="T875" i="16"/>
  <c r="AI79" i="2"/>
  <c r="P79" i="16"/>
  <c r="AM79" i="2"/>
  <c r="AI302" i="2"/>
  <c r="AW302" i="2" s="1"/>
  <c r="P302" i="16"/>
  <c r="AI369" i="2"/>
  <c r="P369" i="16"/>
  <c r="AI652" i="2"/>
  <c r="AN652" i="2" s="1"/>
  <c r="P652" i="16"/>
  <c r="AI1194" i="2"/>
  <c r="P1194" i="16"/>
  <c r="AW815" i="2"/>
  <c r="R815" i="16"/>
  <c r="AT816" i="16" s="1"/>
  <c r="AI844" i="2"/>
  <c r="AW844" i="2" s="1"/>
  <c r="P844" i="16"/>
  <c r="AM613" i="2"/>
  <c r="T1089" i="16"/>
  <c r="T645" i="16"/>
  <c r="AM518" i="2"/>
  <c r="AI407" i="2"/>
  <c r="Q407" i="16" s="1"/>
  <c r="T530" i="16"/>
  <c r="T533" i="16"/>
  <c r="T299" i="16"/>
  <c r="R331" i="16"/>
  <c r="AT331" i="16" s="1"/>
  <c r="AW331" i="2"/>
  <c r="T689" i="16"/>
  <c r="T1131" i="16"/>
  <c r="AI542" i="2"/>
  <c r="AW542" i="2" s="1"/>
  <c r="P542" i="16"/>
  <c r="AM542" i="2"/>
  <c r="AN862" i="2"/>
  <c r="H500" i="16"/>
  <c r="AI500" i="2"/>
  <c r="R665" i="16"/>
  <c r="AT665" i="16" s="1"/>
  <c r="AW665" i="2"/>
  <c r="AJ365" i="2"/>
  <c r="Q365" i="16"/>
  <c r="T745" i="16"/>
  <c r="H256" i="16"/>
  <c r="AJ237" i="2"/>
  <c r="Q237" i="16"/>
  <c r="AJ1107" i="2"/>
  <c r="Q1107" i="16"/>
  <c r="AN1107" i="2"/>
  <c r="T1068" i="16"/>
  <c r="T786" i="16"/>
  <c r="AJ479" i="2"/>
  <c r="Q479" i="16"/>
  <c r="AN479" i="2"/>
  <c r="AJ1070" i="2"/>
  <c r="Q1070" i="16"/>
  <c r="AJ761" i="2"/>
  <c r="Q761" i="16"/>
  <c r="AJ920" i="2"/>
  <c r="Q920" i="16"/>
  <c r="T1076" i="16"/>
  <c r="AW342" i="2"/>
  <c r="AJ612" i="2"/>
  <c r="Q612" i="16"/>
  <c r="AJ853" i="2"/>
  <c r="Q853" i="16"/>
  <c r="AJ956" i="2"/>
  <c r="Q956" i="16"/>
  <c r="AJ474" i="2"/>
  <c r="Q474" i="16"/>
  <c r="T901" i="16"/>
  <c r="AM641" i="2"/>
  <c r="AJ916" i="2"/>
  <c r="Q916" i="16"/>
  <c r="AN916" i="2"/>
  <c r="AW973" i="2"/>
  <c r="AJ281" i="2"/>
  <c r="Q281" i="16"/>
  <c r="AN281" i="2"/>
  <c r="AJ573" i="2"/>
  <c r="Q573" i="16"/>
  <c r="AJ978" i="2"/>
  <c r="Q978" i="16"/>
  <c r="AI613" i="2"/>
  <c r="P613" i="16"/>
  <c r="R907" i="16"/>
  <c r="AT911" i="16" s="1"/>
  <c r="T1132" i="16"/>
  <c r="T329" i="16"/>
  <c r="T768" i="16"/>
  <c r="R703" i="16"/>
  <c r="AT703" i="16" s="1"/>
  <c r="AW637" i="2"/>
  <c r="R637" i="16"/>
  <c r="AT637" i="16" s="1"/>
  <c r="AW23" i="2"/>
  <c r="R23" i="16"/>
  <c r="AT23" i="16" s="1"/>
  <c r="AJ398" i="2"/>
  <c r="Q398" i="16"/>
  <c r="T649" i="16"/>
  <c r="T822" i="16"/>
  <c r="T570" i="16"/>
  <c r="T80" i="16"/>
  <c r="AW224" i="2"/>
  <c r="R224" i="16"/>
  <c r="AT224" i="16" s="1"/>
  <c r="T125" i="16"/>
  <c r="B332" i="16"/>
  <c r="AQ332" i="2"/>
  <c r="AS332" i="2" s="1"/>
  <c r="AU332" i="2" s="1"/>
  <c r="N581" i="16"/>
  <c r="O543" i="16"/>
  <c r="AH543" i="2"/>
  <c r="P543" i="16" s="1"/>
  <c r="AK543" i="2"/>
  <c r="AN543" i="2"/>
  <c r="AL543" i="2"/>
  <c r="T1044" i="16"/>
  <c r="AJ406" i="2"/>
  <c r="Q406" i="16"/>
  <c r="AJ819" i="2"/>
  <c r="Q819" i="16"/>
  <c r="T48" i="16"/>
  <c r="T194" i="16"/>
  <c r="AW549" i="2"/>
  <c r="AJ390" i="2"/>
  <c r="Q390" i="16"/>
  <c r="T119" i="16"/>
  <c r="AJ1156" i="2"/>
  <c r="Q1156" i="16"/>
  <c r="O256" i="16"/>
  <c r="AN256" i="2"/>
  <c r="AH256" i="2"/>
  <c r="P256" i="16" s="1"/>
  <c r="AK256" i="2"/>
  <c r="AL256" i="2"/>
  <c r="T249" i="16"/>
  <c r="AW353" i="2"/>
  <c r="AI673" i="2"/>
  <c r="AW673" i="2" s="1"/>
  <c r="P673" i="16"/>
  <c r="AM673" i="2"/>
  <c r="AW967" i="2"/>
  <c r="AW855" i="2"/>
  <c r="T970" i="16"/>
  <c r="AW123" i="2"/>
  <c r="R123" i="16"/>
  <c r="AT123" i="16" s="1"/>
  <c r="AJ712" i="2"/>
  <c r="Q712" i="16"/>
  <c r="T735" i="16"/>
  <c r="T510" i="16"/>
  <c r="T761" i="16"/>
  <c r="T437" i="16"/>
  <c r="AJ636" i="2"/>
  <c r="Q636" i="16"/>
  <c r="AN636" i="2"/>
  <c r="AJ134" i="2"/>
  <c r="Q134" i="16"/>
  <c r="AJ541" i="2"/>
  <c r="Q541" i="16"/>
  <c r="H224" i="16"/>
  <c r="AW942" i="2"/>
  <c r="AJ814" i="2"/>
  <c r="Q814" i="16"/>
  <c r="AJ887" i="2"/>
  <c r="Q887" i="16"/>
  <c r="AN887" i="2"/>
  <c r="AJ254" i="2"/>
  <c r="Q254" i="16"/>
  <c r="AJ986" i="2"/>
  <c r="Q986" i="16"/>
  <c r="A544" i="16"/>
  <c r="AP544" i="2"/>
  <c r="T161" i="16"/>
  <c r="AJ791" i="2"/>
  <c r="Q791" i="16"/>
  <c r="AJ322" i="2"/>
  <c r="Q322" i="16"/>
  <c r="AJ871" i="2"/>
  <c r="Q871" i="16"/>
  <c r="T1092" i="16"/>
  <c r="AW255" i="2"/>
  <c r="R255" i="16"/>
  <c r="AT255" i="16" s="1"/>
  <c r="T916" i="16"/>
  <c r="AJ970" i="2"/>
  <c r="Q970" i="16"/>
  <c r="AJ579" i="2"/>
  <c r="Q579" i="16"/>
  <c r="T13" i="16"/>
  <c r="AJ52" i="2"/>
  <c r="Q52" i="16"/>
  <c r="AJ700" i="2"/>
  <c r="Q700" i="16"/>
  <c r="AJ177" i="2"/>
  <c r="Q177" i="16"/>
  <c r="AI703" i="2"/>
  <c r="AW703" i="2" s="1"/>
  <c r="P703" i="16"/>
  <c r="AI815" i="2"/>
  <c r="P815" i="16"/>
  <c r="AI1149" i="2"/>
  <c r="AW1149" i="2" s="1"/>
  <c r="P1149" i="16"/>
  <c r="AI907" i="2"/>
  <c r="AN907" i="2" s="1"/>
  <c r="P907" i="16"/>
  <c r="T1168" i="16"/>
  <c r="T917" i="16"/>
  <c r="T540" i="16"/>
  <c r="R565" i="16"/>
  <c r="AT565" i="16" s="1"/>
  <c r="R613" i="16"/>
  <c r="AT613" i="16" s="1"/>
  <c r="N1078" i="16"/>
  <c r="R580" i="16"/>
  <c r="AT580" i="16" s="1"/>
  <c r="AW580" i="2"/>
  <c r="AW132" i="2"/>
  <c r="R132" i="16"/>
  <c r="AT132" i="16" s="1"/>
  <c r="AJ350" i="2"/>
  <c r="Q350" i="16"/>
  <c r="T128" i="16"/>
  <c r="R314" i="16"/>
  <c r="AT314" i="16" s="1"/>
  <c r="AW314" i="2"/>
  <c r="T171" i="16"/>
  <c r="T433" i="16"/>
  <c r="AW313" i="2"/>
  <c r="AJ330" i="2"/>
  <c r="Q330" i="16"/>
  <c r="AN330" i="2"/>
  <c r="AJ839" i="2"/>
  <c r="Q839" i="16"/>
  <c r="T75" i="16"/>
  <c r="T186" i="16"/>
  <c r="T97" i="16"/>
  <c r="T947" i="16"/>
  <c r="T236" i="16"/>
  <c r="AJ651" i="2"/>
  <c r="Q651" i="16"/>
  <c r="T558" i="16"/>
  <c r="P327" i="16"/>
  <c r="AM327" i="2"/>
  <c r="AI133" i="2"/>
  <c r="P133" i="16"/>
  <c r="T14" i="16"/>
  <c r="T265" i="16"/>
  <c r="AW267" i="2"/>
  <c r="T71" i="16"/>
  <c r="B256" i="16"/>
  <c r="AQ256" i="2"/>
  <c r="AS256" i="2" s="1"/>
  <c r="AU256" i="2" s="1"/>
  <c r="AW702" i="2"/>
  <c r="N543" i="16"/>
  <c r="AW479" i="2"/>
  <c r="T219" i="16"/>
  <c r="T930" i="16"/>
  <c r="AW981" i="2"/>
  <c r="T706" i="16"/>
  <c r="AN1076" i="2"/>
  <c r="AJ631" i="2"/>
  <c r="Q631" i="16"/>
  <c r="T474" i="16"/>
  <c r="T127" i="16"/>
  <c r="AM1077" i="2"/>
  <c r="AM616" i="2"/>
  <c r="AM323" i="2"/>
  <c r="AI268" i="2"/>
  <c r="P268" i="16"/>
  <c r="AI982" i="2"/>
  <c r="AW982" i="2" s="1"/>
  <c r="P982" i="16"/>
  <c r="AW1097" i="2"/>
  <c r="R1097" i="16"/>
  <c r="T1158" i="16"/>
  <c r="T1196" i="16"/>
  <c r="T717" i="16"/>
  <c r="R302" i="16"/>
  <c r="AT302" i="16" s="1"/>
  <c r="B581" i="16"/>
  <c r="AQ581" i="2"/>
  <c r="AS581" i="2" s="1"/>
  <c r="AU581" i="2" s="1"/>
  <c r="B133" i="16"/>
  <c r="AQ133" i="2"/>
  <c r="AS133" i="2" s="1"/>
  <c r="AU133" i="2" s="1"/>
  <c r="T1093" i="16"/>
  <c r="AJ672" i="2"/>
  <c r="Q672" i="16"/>
  <c r="T58" i="16"/>
  <c r="AM407" i="2"/>
  <c r="T68" i="16"/>
  <c r="T493" i="16"/>
  <c r="T135" i="16"/>
  <c r="T114" i="16"/>
  <c r="T766" i="16"/>
  <c r="T986" i="16"/>
  <c r="T594" i="16"/>
  <c r="T130" i="16"/>
  <c r="R542" i="16"/>
  <c r="AT542" i="16" s="1"/>
  <c r="T785" i="16"/>
  <c r="AJ368" i="2"/>
  <c r="Q368" i="16"/>
  <c r="T212" i="16"/>
  <c r="T144" i="16"/>
  <c r="AW674" i="2"/>
  <c r="R674" i="16"/>
  <c r="AT674" i="16" s="1"/>
  <c r="T315" i="16"/>
  <c r="AJ1038" i="2"/>
  <c r="Q1038" i="16"/>
  <c r="R931" i="16"/>
  <c r="AT935" i="16" s="1"/>
  <c r="AJ446" i="2"/>
  <c r="Q446" i="16"/>
  <c r="AJ317" i="2"/>
  <c r="Q317" i="16"/>
  <c r="AJ1026" i="2"/>
  <c r="Q1026" i="16"/>
  <c r="AN1026" i="2"/>
  <c r="AJ477" i="2"/>
  <c r="Q477" i="16"/>
  <c r="AJ724" i="2"/>
  <c r="Q724" i="16"/>
  <c r="T109" i="16"/>
  <c r="T1041" i="16"/>
  <c r="AJ570" i="2"/>
  <c r="Q570" i="16"/>
  <c r="AJ1191" i="2"/>
  <c r="Q1191" i="16"/>
  <c r="AN1191" i="2"/>
  <c r="AJ486" i="2"/>
  <c r="Q486" i="16"/>
  <c r="AJ326" i="2"/>
  <c r="Q326" i="16"/>
  <c r="AJ1148" i="2"/>
  <c r="Q1148" i="16"/>
  <c r="T517" i="16"/>
  <c r="AW843" i="2"/>
  <c r="AJ822" i="2"/>
  <c r="Q822" i="16"/>
  <c r="AN822" i="2"/>
  <c r="AJ1131" i="2"/>
  <c r="Q1131" i="16"/>
  <c r="AJ766" i="2"/>
  <c r="Q766" i="16"/>
  <c r="T896" i="16"/>
  <c r="T654" i="16"/>
  <c r="R1149" i="16"/>
  <c r="AJ1093" i="2"/>
  <c r="Q1093" i="16"/>
  <c r="T1182" i="16"/>
  <c r="AW541" i="2"/>
  <c r="T959" i="16"/>
  <c r="AI223" i="2"/>
  <c r="P223" i="16"/>
  <c r="B543" i="16"/>
  <c r="AQ543" i="2"/>
  <c r="AS543" i="2" s="1"/>
  <c r="AU543" i="2" s="1"/>
  <c r="AJ777" i="2"/>
  <c r="Q777" i="16"/>
  <c r="O653" i="16"/>
  <c r="AH653" i="2"/>
  <c r="AK653" i="2"/>
  <c r="AL653" i="2"/>
  <c r="AM653" i="2"/>
  <c r="T330" i="16"/>
  <c r="T1070" i="16"/>
  <c r="T631" i="16"/>
  <c r="AW52" i="2"/>
  <c r="AJ906" i="2"/>
  <c r="Q906" i="16"/>
  <c r="R401" i="16"/>
  <c r="AT401" i="16" s="1"/>
  <c r="AW401" i="2"/>
  <c r="T865" i="16"/>
  <c r="T1148" i="16"/>
  <c r="T63" i="16"/>
  <c r="AW414" i="2"/>
  <c r="R414" i="16"/>
  <c r="AT414" i="16" s="1"/>
  <c r="T1193" i="16"/>
  <c r="T67" i="16"/>
  <c r="T21" i="16"/>
  <c r="AW237" i="2"/>
  <c r="AW1024" i="2"/>
  <c r="T629" i="16"/>
  <c r="T978" i="16"/>
  <c r="AW450" i="2"/>
  <c r="T814" i="16"/>
  <c r="T494" i="16"/>
  <c r="AW138" i="2"/>
  <c r="R138" i="16"/>
  <c r="AT138" i="16" s="1"/>
  <c r="AJ615" i="2"/>
  <c r="Q615" i="16"/>
  <c r="AJ959" i="2"/>
  <c r="Q959" i="16"/>
  <c r="T1124" i="16"/>
  <c r="T1060" i="16"/>
  <c r="T446" i="16"/>
  <c r="AW591" i="2"/>
  <c r="AN815" i="2"/>
  <c r="AM703" i="2"/>
  <c r="AQ908" i="2"/>
  <c r="AS908" i="2" s="1"/>
  <c r="AU908" i="2" s="1"/>
  <c r="AQ845" i="2"/>
  <c r="AS845" i="2" s="1"/>
  <c r="AU845" i="2" s="1"/>
  <c r="AF1099" i="2"/>
  <c r="AQ1078" i="2"/>
  <c r="AS1078" i="2" s="1"/>
  <c r="AU1078" i="2" s="1"/>
  <c r="Z1099" i="2"/>
  <c r="B1099" i="16" s="1"/>
  <c r="AQ1098" i="2"/>
  <c r="AS1098" i="2" s="1"/>
  <c r="AU1098" i="2" s="1"/>
  <c r="AN1098" i="2"/>
  <c r="AM1149" i="2"/>
  <c r="AH845" i="2"/>
  <c r="AK845" i="2"/>
  <c r="AL845" i="2"/>
  <c r="AM845" i="2"/>
  <c r="AH908" i="2"/>
  <c r="AK908" i="2"/>
  <c r="AL908" i="2"/>
  <c r="AH1078" i="2"/>
  <c r="AK1078" i="2"/>
  <c r="AL1078" i="2"/>
  <c r="AN1078" i="2" s="1"/>
  <c r="AN1077" i="2"/>
  <c r="AH1099" i="2"/>
  <c r="P1099" i="16" s="1"/>
  <c r="AM1194" i="2"/>
  <c r="AC676" i="16" l="1"/>
  <c r="AM676" i="16" s="1"/>
  <c r="AD676" i="16"/>
  <c r="AE676" i="16"/>
  <c r="AO676" i="16" s="1"/>
  <c r="AF676" i="16"/>
  <c r="AP676" i="16" s="1"/>
  <c r="AS678" i="16"/>
  <c r="AE618" i="16"/>
  <c r="AO618" i="16" s="1"/>
  <c r="AC618" i="16"/>
  <c r="AM618" i="16" s="1"/>
  <c r="AF618" i="16"/>
  <c r="AP618" i="16" s="1"/>
  <c r="AD618" i="16"/>
  <c r="AN618" i="16" s="1"/>
  <c r="AS620" i="16"/>
  <c r="AE741" i="16"/>
  <c r="AO741" i="16" s="1"/>
  <c r="AF741" i="16"/>
  <c r="AP741" i="16" s="1"/>
  <c r="AC741" i="16"/>
  <c r="AM741" i="16" s="1"/>
  <c r="AD741" i="16"/>
  <c r="AN741" i="16" s="1"/>
  <c r="AS743" i="16"/>
  <c r="AC971" i="16"/>
  <c r="AM971" i="16" s="1"/>
  <c r="AF971" i="16"/>
  <c r="AP971" i="16" s="1"/>
  <c r="AD971" i="16"/>
  <c r="AN971" i="16" s="1"/>
  <c r="AE971" i="16"/>
  <c r="AO971" i="16" s="1"/>
  <c r="AS978" i="16"/>
  <c r="AC767" i="16"/>
  <c r="AM767" i="16" s="1"/>
  <c r="AD767" i="16"/>
  <c r="AN767" i="16" s="1"/>
  <c r="AE767" i="16"/>
  <c r="AO767" i="16" s="1"/>
  <c r="AF767" i="16"/>
  <c r="AP767" i="16" s="1"/>
  <c r="AS769" i="16"/>
  <c r="AF718" i="16"/>
  <c r="AP718" i="16" s="1"/>
  <c r="AC718" i="16"/>
  <c r="AM718" i="16" s="1"/>
  <c r="AD718" i="16"/>
  <c r="AE718" i="16"/>
  <c r="AO718" i="16" s="1"/>
  <c r="AS720" i="16"/>
  <c r="AD1029" i="16"/>
  <c r="AN1029" i="16" s="1"/>
  <c r="AD1003" i="16"/>
  <c r="AN1003" i="16" s="1"/>
  <c r="AM621" i="2"/>
  <c r="AC906" i="16"/>
  <c r="AM906" i="16" s="1"/>
  <c r="AF906" i="16"/>
  <c r="AP906" i="16" s="1"/>
  <c r="AD906" i="16"/>
  <c r="AN906" i="16" s="1"/>
  <c r="AE906" i="16"/>
  <c r="AO906" i="16" s="1"/>
  <c r="AS912" i="16"/>
  <c r="Q667" i="16"/>
  <c r="AJ667" i="2"/>
  <c r="AN667" i="2"/>
  <c r="AC177" i="16"/>
  <c r="AM177" i="16" s="1"/>
  <c r="AD177" i="16"/>
  <c r="AN177" i="16" s="1"/>
  <c r="AE177" i="16"/>
  <c r="AO177" i="16" s="1"/>
  <c r="AF177" i="16"/>
  <c r="AP177" i="16" s="1"/>
  <c r="AS177" i="16"/>
  <c r="AC791" i="16"/>
  <c r="AM791" i="16" s="1"/>
  <c r="AD791" i="16"/>
  <c r="AN791" i="16" s="1"/>
  <c r="AE791" i="16"/>
  <c r="AO791" i="16" s="1"/>
  <c r="AF791" i="16"/>
  <c r="AP791" i="16" s="1"/>
  <c r="AS793" i="16"/>
  <c r="AS1036" i="16"/>
  <c r="AC1029" i="16"/>
  <c r="AM1029" i="16" s="1"/>
  <c r="AF1029" i="16"/>
  <c r="AP1029" i="16" s="1"/>
  <c r="AE1029" i="16"/>
  <c r="AO1029" i="16" s="1"/>
  <c r="AS991" i="16"/>
  <c r="AD984" i="16"/>
  <c r="AN984" i="16" s="1"/>
  <c r="AF984" i="16"/>
  <c r="AP984" i="16" s="1"/>
  <c r="AC984" i="16"/>
  <c r="AM984" i="16" s="1"/>
  <c r="AE984" i="16"/>
  <c r="AO984" i="16" s="1"/>
  <c r="AS666" i="16"/>
  <c r="AF664" i="16"/>
  <c r="AP664" i="16" s="1"/>
  <c r="AC664" i="16"/>
  <c r="AM664" i="16" s="1"/>
  <c r="AE664" i="16"/>
  <c r="AO664" i="16" s="1"/>
  <c r="AD664" i="16"/>
  <c r="AS758" i="16"/>
  <c r="AD756" i="16"/>
  <c r="AN756" i="16" s="1"/>
  <c r="AE756" i="16"/>
  <c r="AO756" i="16" s="1"/>
  <c r="AF756" i="16"/>
  <c r="AP756" i="16" s="1"/>
  <c r="AC756" i="16"/>
  <c r="AM756" i="16" s="1"/>
  <c r="AJ285" i="2"/>
  <c r="Q285" i="16"/>
  <c r="AS970" i="16"/>
  <c r="AD963" i="16"/>
  <c r="AN963" i="16" s="1"/>
  <c r="AF963" i="16"/>
  <c r="AP963" i="16" s="1"/>
  <c r="AC963" i="16"/>
  <c r="AM963" i="16" s="1"/>
  <c r="AE963" i="16"/>
  <c r="AO963" i="16" s="1"/>
  <c r="AS1058" i="16"/>
  <c r="AD1051" i="16"/>
  <c r="AN1051" i="16" s="1"/>
  <c r="AE1051" i="16"/>
  <c r="AO1051" i="16" s="1"/>
  <c r="AC1051" i="16"/>
  <c r="AM1051" i="16" s="1"/>
  <c r="AF1051" i="16"/>
  <c r="AP1051" i="16" s="1"/>
  <c r="AS641" i="16"/>
  <c r="AD639" i="16"/>
  <c r="AE639" i="16"/>
  <c r="AO639" i="16" s="1"/>
  <c r="AC639" i="16"/>
  <c r="AM639" i="16" s="1"/>
  <c r="AF639" i="16"/>
  <c r="AP639" i="16" s="1"/>
  <c r="AS909" i="16"/>
  <c r="AC903" i="16"/>
  <c r="AM903" i="16" s="1"/>
  <c r="AE903" i="16"/>
  <c r="AO903" i="16" s="1"/>
  <c r="AF903" i="16"/>
  <c r="AP903" i="16" s="1"/>
  <c r="AD903" i="16"/>
  <c r="AN903" i="16" s="1"/>
  <c r="AC1125" i="16"/>
  <c r="AM1125" i="16" s="1"/>
  <c r="AE1125" i="16"/>
  <c r="AO1125" i="16" s="1"/>
  <c r="AF1125" i="16"/>
  <c r="AP1125" i="16" s="1"/>
  <c r="AD1125" i="16"/>
  <c r="AN1125" i="16" s="1"/>
  <c r="AS1012" i="16"/>
  <c r="AF1005" i="16"/>
  <c r="AP1005" i="16" s="1"/>
  <c r="AE1005" i="16"/>
  <c r="AO1005" i="16" s="1"/>
  <c r="AD1005" i="16"/>
  <c r="AN1005" i="16" s="1"/>
  <c r="AC1005" i="16"/>
  <c r="AM1005" i="16" s="1"/>
  <c r="AS745" i="16"/>
  <c r="AF743" i="16"/>
  <c r="AP743" i="16" s="1"/>
  <c r="AC743" i="16"/>
  <c r="AM743" i="16" s="1"/>
  <c r="AE743" i="16"/>
  <c r="AO743" i="16" s="1"/>
  <c r="AD743" i="16"/>
  <c r="AN743" i="16" s="1"/>
  <c r="AE620" i="16"/>
  <c r="AO620" i="16" s="1"/>
  <c r="AD620" i="16"/>
  <c r="AN620" i="16" s="1"/>
  <c r="AF620" i="16"/>
  <c r="AP620" i="16" s="1"/>
  <c r="AC620" i="16"/>
  <c r="AM620" i="16" s="1"/>
  <c r="AS1019" i="16"/>
  <c r="AF1012" i="16"/>
  <c r="AP1012" i="16" s="1"/>
  <c r="AD1012" i="16"/>
  <c r="AN1012" i="16" s="1"/>
  <c r="AE1012" i="16"/>
  <c r="AO1012" i="16" s="1"/>
  <c r="AC1012" i="16"/>
  <c r="AM1012" i="16" s="1"/>
  <c r="AS1010" i="16"/>
  <c r="AE1003" i="16"/>
  <c r="AO1003" i="16" s="1"/>
  <c r="AC1003" i="16"/>
  <c r="AM1003" i="16" s="1"/>
  <c r="AF1003" i="16"/>
  <c r="AP1003" i="16" s="1"/>
  <c r="AS605" i="16"/>
  <c r="AE603" i="16"/>
  <c r="AO603" i="16" s="1"/>
  <c r="AC603" i="16"/>
  <c r="AM603" i="16" s="1"/>
  <c r="AD603" i="16"/>
  <c r="AN603" i="16" s="1"/>
  <c r="AF603" i="16"/>
  <c r="AP603" i="16" s="1"/>
  <c r="AS535" i="16"/>
  <c r="AD535" i="16"/>
  <c r="AN535" i="16" s="1"/>
  <c r="AF535" i="16"/>
  <c r="AP535" i="16" s="1"/>
  <c r="AE535" i="16"/>
  <c r="AO535" i="16" s="1"/>
  <c r="AC535" i="16"/>
  <c r="AM535" i="16" s="1"/>
  <c r="AD866" i="16"/>
  <c r="AN866" i="16" s="1"/>
  <c r="AF866" i="16"/>
  <c r="AP866" i="16" s="1"/>
  <c r="AE866" i="16"/>
  <c r="AO866" i="16" s="1"/>
  <c r="AC866" i="16"/>
  <c r="AM866" i="16" s="1"/>
  <c r="AS79" i="16"/>
  <c r="AE79" i="16"/>
  <c r="AO79" i="16" s="1"/>
  <c r="AF79" i="16"/>
  <c r="AP79" i="16" s="1"/>
  <c r="AC79" i="16"/>
  <c r="AD79" i="16"/>
  <c r="AN79" i="16" s="1"/>
  <c r="AD897" i="16"/>
  <c r="AN897" i="16" s="1"/>
  <c r="AC897" i="16"/>
  <c r="AM897" i="16" s="1"/>
  <c r="AF897" i="16"/>
  <c r="AP897" i="16" s="1"/>
  <c r="AE897" i="16"/>
  <c r="AO897" i="16" s="1"/>
  <c r="AC898" i="16"/>
  <c r="AM898" i="16" s="1"/>
  <c r="AF898" i="16"/>
  <c r="AP898" i="16" s="1"/>
  <c r="AD898" i="16"/>
  <c r="AN898" i="16" s="1"/>
  <c r="AE898" i="16"/>
  <c r="AO898" i="16" s="1"/>
  <c r="AC792" i="16"/>
  <c r="AM792" i="16" s="1"/>
  <c r="AD792" i="16"/>
  <c r="AN792" i="16" s="1"/>
  <c r="AF792" i="16"/>
  <c r="AP792" i="16" s="1"/>
  <c r="AE792" i="16"/>
  <c r="AO792" i="16" s="1"/>
  <c r="AS614" i="16"/>
  <c r="AF612" i="16"/>
  <c r="AP612" i="16" s="1"/>
  <c r="AC612" i="16"/>
  <c r="AM612" i="16" s="1"/>
  <c r="AE612" i="16"/>
  <c r="AO612" i="16" s="1"/>
  <c r="AD612" i="16"/>
  <c r="AN612" i="16" s="1"/>
  <c r="AS858" i="16"/>
  <c r="AD853" i="16"/>
  <c r="AN853" i="16" s="1"/>
  <c r="AE853" i="16"/>
  <c r="AO853" i="16" s="1"/>
  <c r="AC853" i="16"/>
  <c r="AM853" i="16" s="1"/>
  <c r="AF853" i="16"/>
  <c r="AP853" i="16" s="1"/>
  <c r="AC740" i="16"/>
  <c r="AM740" i="16" s="1"/>
  <c r="AD740" i="16"/>
  <c r="AE740" i="16"/>
  <c r="AO740" i="16" s="1"/>
  <c r="AF740" i="16"/>
  <c r="AP740" i="16" s="1"/>
  <c r="AS926" i="16"/>
  <c r="AD920" i="16"/>
  <c r="AN920" i="16" s="1"/>
  <c r="AF920" i="16"/>
  <c r="AP920" i="16" s="1"/>
  <c r="AE920" i="16"/>
  <c r="AO920" i="16" s="1"/>
  <c r="AC920" i="16"/>
  <c r="AM920" i="16" s="1"/>
  <c r="AS557" i="16"/>
  <c r="AF555" i="16"/>
  <c r="AP555" i="16" s="1"/>
  <c r="AE555" i="16"/>
  <c r="AO555" i="16" s="1"/>
  <c r="AD555" i="16"/>
  <c r="AN555" i="16" s="1"/>
  <c r="AC555" i="16"/>
  <c r="AM555" i="16" s="1"/>
  <c r="AS703" i="16"/>
  <c r="AE701" i="16"/>
  <c r="AO701" i="16" s="1"/>
  <c r="AC701" i="16"/>
  <c r="AM701" i="16" s="1"/>
  <c r="AF701" i="16"/>
  <c r="AP701" i="16" s="1"/>
  <c r="AD701" i="16"/>
  <c r="AN701" i="16" s="1"/>
  <c r="AS627" i="16"/>
  <c r="AF625" i="16"/>
  <c r="AP625" i="16" s="1"/>
  <c r="AC625" i="16"/>
  <c r="AM625" i="16" s="1"/>
  <c r="AD625" i="16"/>
  <c r="AN625" i="16" s="1"/>
  <c r="AE625" i="16"/>
  <c r="AO625" i="16" s="1"/>
  <c r="AS877" i="16"/>
  <c r="AF871" i="16"/>
  <c r="AP871" i="16" s="1"/>
  <c r="AE871" i="16"/>
  <c r="AO871" i="16" s="1"/>
  <c r="AC871" i="16"/>
  <c r="AM871" i="16" s="1"/>
  <c r="AD871" i="16"/>
  <c r="AN871" i="16" s="1"/>
  <c r="AS566" i="16"/>
  <c r="AE564" i="16"/>
  <c r="AO564" i="16" s="1"/>
  <c r="AC564" i="16"/>
  <c r="AM564" i="16" s="1"/>
  <c r="AD564" i="16"/>
  <c r="AN564" i="16" s="1"/>
  <c r="AF564" i="16"/>
  <c r="AP564" i="16" s="1"/>
  <c r="AD738" i="16"/>
  <c r="AN738" i="16" s="1"/>
  <c r="AE738" i="16"/>
  <c r="AO738" i="16" s="1"/>
  <c r="AF738" i="16"/>
  <c r="AP738" i="16" s="1"/>
  <c r="AC738" i="16"/>
  <c r="AM738" i="16" s="1"/>
  <c r="AS523" i="16"/>
  <c r="AF523" i="16"/>
  <c r="AP523" i="16" s="1"/>
  <c r="AE523" i="16"/>
  <c r="AO523" i="16" s="1"/>
  <c r="AC523" i="16"/>
  <c r="AM523" i="16" s="1"/>
  <c r="AD523" i="16"/>
  <c r="AN523" i="16" s="1"/>
  <c r="AS653" i="16"/>
  <c r="AF651" i="16"/>
  <c r="AP651" i="16" s="1"/>
  <c r="AE651" i="16"/>
  <c r="AO651" i="16" s="1"/>
  <c r="AD651" i="16"/>
  <c r="AC651" i="16"/>
  <c r="AM651" i="16" s="1"/>
  <c r="AS822" i="16"/>
  <c r="AF819" i="16"/>
  <c r="AP819" i="16" s="1"/>
  <c r="AC819" i="16"/>
  <c r="AM819" i="16" s="1"/>
  <c r="AD819" i="16"/>
  <c r="AN819" i="16" s="1"/>
  <c r="AE819" i="16"/>
  <c r="AO819" i="16" s="1"/>
  <c r="AS972" i="16"/>
  <c r="AE965" i="16"/>
  <c r="AO965" i="16" s="1"/>
  <c r="AC965" i="16"/>
  <c r="AM965" i="16" s="1"/>
  <c r="AD965" i="16"/>
  <c r="AN965" i="16" s="1"/>
  <c r="AF965" i="16"/>
  <c r="AP965" i="16" s="1"/>
  <c r="AS869" i="16"/>
  <c r="AD863" i="16"/>
  <c r="AN863" i="16" s="1"/>
  <c r="AF863" i="16"/>
  <c r="AP863" i="16" s="1"/>
  <c r="AC863" i="16"/>
  <c r="AM863" i="16" s="1"/>
  <c r="AE863" i="16"/>
  <c r="AO863" i="16" s="1"/>
  <c r="AS744" i="16"/>
  <c r="AC742" i="16"/>
  <c r="AM742" i="16" s="1"/>
  <c r="AF742" i="16"/>
  <c r="AP742" i="16" s="1"/>
  <c r="AE742" i="16"/>
  <c r="AO742" i="16" s="1"/>
  <c r="AD742" i="16"/>
  <c r="AN742" i="16" s="1"/>
  <c r="AE333" i="16"/>
  <c r="AO333" i="16" s="1"/>
  <c r="AF333" i="16"/>
  <c r="AP333" i="16" s="1"/>
  <c r="AC333" i="16"/>
  <c r="AM333" i="16" s="1"/>
  <c r="AD333" i="16"/>
  <c r="AN333" i="16" s="1"/>
  <c r="AS1149" i="16"/>
  <c r="AE1142" i="16"/>
  <c r="AO1142" i="16" s="1"/>
  <c r="AD1142" i="16"/>
  <c r="AN1142" i="16" s="1"/>
  <c r="AC1142" i="16"/>
  <c r="AM1142" i="16" s="1"/>
  <c r="AF1142" i="16"/>
  <c r="AP1142" i="16" s="1"/>
  <c r="AS561" i="16"/>
  <c r="AD559" i="16"/>
  <c r="AN559" i="16" s="1"/>
  <c r="AF559" i="16"/>
  <c r="AP559" i="16" s="1"/>
  <c r="AE559" i="16"/>
  <c r="AO559" i="16" s="1"/>
  <c r="AC559" i="16"/>
  <c r="AM559" i="16" s="1"/>
  <c r="AS863" i="16"/>
  <c r="AE858" i="16"/>
  <c r="AO858" i="16" s="1"/>
  <c r="AC858" i="16"/>
  <c r="AM858" i="16" s="1"/>
  <c r="AF858" i="16"/>
  <c r="AP858" i="16" s="1"/>
  <c r="AD858" i="16"/>
  <c r="AC412" i="16"/>
  <c r="AM412" i="16" s="1"/>
  <c r="AF412" i="16"/>
  <c r="AP412" i="16" s="1"/>
  <c r="AE412" i="16"/>
  <c r="AO412" i="16" s="1"/>
  <c r="AD412" i="16"/>
  <c r="AN412" i="16" s="1"/>
  <c r="AS805" i="16"/>
  <c r="AF802" i="16"/>
  <c r="AP802" i="16" s="1"/>
  <c r="AE802" i="16"/>
  <c r="AO802" i="16" s="1"/>
  <c r="AD802" i="16"/>
  <c r="AN802" i="16" s="1"/>
  <c r="AC802" i="16"/>
  <c r="AM802" i="16" s="1"/>
  <c r="AC11" i="16"/>
  <c r="AM11" i="16" s="1"/>
  <c r="AF11" i="16"/>
  <c r="AP11" i="16" s="1"/>
  <c r="AE11" i="16"/>
  <c r="AO11" i="16" s="1"/>
  <c r="AD11" i="16"/>
  <c r="AN11" i="16" s="1"/>
  <c r="AD9" i="16"/>
  <c r="AN9" i="16" s="1"/>
  <c r="AE9" i="16"/>
  <c r="AO9" i="16" s="1"/>
  <c r="AC9" i="16"/>
  <c r="AM9" i="16" s="1"/>
  <c r="AF9" i="16"/>
  <c r="AP9" i="16" s="1"/>
  <c r="AE169" i="16"/>
  <c r="AO169" i="16" s="1"/>
  <c r="AD169" i="16"/>
  <c r="AN169" i="16" s="1"/>
  <c r="AC169" i="16"/>
  <c r="AM169" i="16" s="1"/>
  <c r="AF169" i="16"/>
  <c r="AP169" i="16" s="1"/>
  <c r="AS555" i="16"/>
  <c r="AC553" i="16"/>
  <c r="AM553" i="16" s="1"/>
  <c r="AF553" i="16"/>
  <c r="AP553" i="16" s="1"/>
  <c r="AD553" i="16"/>
  <c r="AN553" i="16" s="1"/>
  <c r="AE553" i="16"/>
  <c r="AO553" i="16" s="1"/>
  <c r="AS751" i="16"/>
  <c r="AE749" i="16"/>
  <c r="AO749" i="16" s="1"/>
  <c r="AD749" i="16"/>
  <c r="AN749" i="16" s="1"/>
  <c r="AC749" i="16"/>
  <c r="AM749" i="16" s="1"/>
  <c r="AF749" i="16"/>
  <c r="AP749" i="16" s="1"/>
  <c r="AF509" i="16"/>
  <c r="AP509" i="16" s="1"/>
  <c r="AC509" i="16"/>
  <c r="AM509" i="16" s="1"/>
  <c r="AE509" i="16"/>
  <c r="AD509" i="16"/>
  <c r="AN509" i="16" s="1"/>
  <c r="AS876" i="16"/>
  <c r="AF870" i="16"/>
  <c r="AP870" i="16" s="1"/>
  <c r="AD870" i="16"/>
  <c r="AN870" i="16" s="1"/>
  <c r="AC870" i="16"/>
  <c r="AM870" i="16" s="1"/>
  <c r="AE870" i="16"/>
  <c r="AO870" i="16" s="1"/>
  <c r="AS613" i="16"/>
  <c r="AF611" i="16"/>
  <c r="AP611" i="16" s="1"/>
  <c r="AC611" i="16"/>
  <c r="AM611" i="16" s="1"/>
  <c r="AE611" i="16"/>
  <c r="AO611" i="16" s="1"/>
  <c r="AD611" i="16"/>
  <c r="AN611" i="16" s="1"/>
  <c r="AE216" i="16"/>
  <c r="AO216" i="16" s="1"/>
  <c r="AD216" i="16"/>
  <c r="AN216" i="16" s="1"/>
  <c r="AF216" i="16"/>
  <c r="AP216" i="16" s="1"/>
  <c r="AC216" i="16"/>
  <c r="AM216" i="16" s="1"/>
  <c r="AS482" i="16"/>
  <c r="AF482" i="16"/>
  <c r="AP482" i="16" s="1"/>
  <c r="AC482" i="16"/>
  <c r="AM482" i="16" s="1"/>
  <c r="AD482" i="16"/>
  <c r="AN482" i="16" s="1"/>
  <c r="AE482" i="16"/>
  <c r="AO482" i="16" s="1"/>
  <c r="AS674" i="16"/>
  <c r="AD672" i="16"/>
  <c r="AE672" i="16"/>
  <c r="AO672" i="16" s="1"/>
  <c r="AC672" i="16"/>
  <c r="AM672" i="16" s="1"/>
  <c r="AF672" i="16"/>
  <c r="AP672" i="16" s="1"/>
  <c r="AS638" i="16"/>
  <c r="AD636" i="16"/>
  <c r="AN636" i="16" s="1"/>
  <c r="AC636" i="16"/>
  <c r="AM636" i="16" s="1"/>
  <c r="AE636" i="16"/>
  <c r="AO636" i="16" s="1"/>
  <c r="AF636" i="16"/>
  <c r="AP636" i="16" s="1"/>
  <c r="AS477" i="16"/>
  <c r="AD477" i="16"/>
  <c r="AN477" i="16" s="1"/>
  <c r="AF477" i="16"/>
  <c r="AP477" i="16" s="1"/>
  <c r="AE477" i="16"/>
  <c r="AO477" i="16" s="1"/>
  <c r="AC477" i="16"/>
  <c r="AM477" i="16" s="1"/>
  <c r="AS581" i="16"/>
  <c r="AF579" i="16"/>
  <c r="AP579" i="16" s="1"/>
  <c r="AD579" i="16"/>
  <c r="AN579" i="16" s="1"/>
  <c r="AE579" i="16"/>
  <c r="AO579" i="16" s="1"/>
  <c r="AC579" i="16"/>
  <c r="AM579" i="16" s="1"/>
  <c r="AS1045" i="16"/>
  <c r="AC1038" i="16"/>
  <c r="AM1038" i="16" s="1"/>
  <c r="AF1038" i="16"/>
  <c r="AP1038" i="16" s="1"/>
  <c r="AD1038" i="16"/>
  <c r="AN1038" i="16" s="1"/>
  <c r="AE1038" i="16"/>
  <c r="AO1038" i="16" s="1"/>
  <c r="AS726" i="16"/>
  <c r="AC724" i="16"/>
  <c r="AM724" i="16" s="1"/>
  <c r="AD724" i="16"/>
  <c r="AN724" i="16" s="1"/>
  <c r="AE724" i="16"/>
  <c r="AO724" i="16" s="1"/>
  <c r="AF724" i="16"/>
  <c r="AP724" i="16" s="1"/>
  <c r="AS350" i="16"/>
  <c r="AE350" i="16"/>
  <c r="AO350" i="16" s="1"/>
  <c r="AD350" i="16"/>
  <c r="AN350" i="16" s="1"/>
  <c r="AF350" i="16"/>
  <c r="AP350" i="16" s="1"/>
  <c r="AC350" i="16"/>
  <c r="AM350" i="16" s="1"/>
  <c r="AS322" i="16"/>
  <c r="AE322" i="16"/>
  <c r="AO322" i="16" s="1"/>
  <c r="AD322" i="16"/>
  <c r="AN322" i="16" s="1"/>
  <c r="AF322" i="16"/>
  <c r="AP322" i="16" s="1"/>
  <c r="AC322" i="16"/>
  <c r="AM322" i="16" s="1"/>
  <c r="AS406" i="16"/>
  <c r="AC406" i="16"/>
  <c r="AM406" i="16" s="1"/>
  <c r="AE406" i="16"/>
  <c r="AO406" i="16" s="1"/>
  <c r="AF406" i="16"/>
  <c r="AP406" i="16" s="1"/>
  <c r="AD406" i="16"/>
  <c r="AN406" i="16" s="1"/>
  <c r="AS752" i="16"/>
  <c r="AD750" i="16"/>
  <c r="AF750" i="16"/>
  <c r="AP750" i="16" s="1"/>
  <c r="AE750" i="16"/>
  <c r="AO750" i="16" s="1"/>
  <c r="AC750" i="16"/>
  <c r="AM750" i="16" s="1"/>
  <c r="AS741" i="16"/>
  <c r="AF739" i="16"/>
  <c r="AP739" i="16" s="1"/>
  <c r="AC739" i="16"/>
  <c r="AM739" i="16" s="1"/>
  <c r="AE739" i="16"/>
  <c r="AO739" i="16" s="1"/>
  <c r="AD739" i="16"/>
  <c r="AS702" i="16"/>
  <c r="AC700" i="16"/>
  <c r="AM700" i="16" s="1"/>
  <c r="AF700" i="16"/>
  <c r="AP700" i="16" s="1"/>
  <c r="AD700" i="16"/>
  <c r="AN700" i="16" s="1"/>
  <c r="AE700" i="16"/>
  <c r="AO700" i="16" s="1"/>
  <c r="AS459" i="16"/>
  <c r="AC459" i="16"/>
  <c r="AM459" i="16" s="1"/>
  <c r="AD459" i="16"/>
  <c r="AN459" i="16" s="1"/>
  <c r="AE459" i="16"/>
  <c r="AO459" i="16" s="1"/>
  <c r="AF459" i="16"/>
  <c r="AP459" i="16" s="1"/>
  <c r="AS368" i="16"/>
  <c r="AE368" i="16"/>
  <c r="AO368" i="16" s="1"/>
  <c r="AD368" i="16"/>
  <c r="AN368" i="16" s="1"/>
  <c r="AC368" i="16"/>
  <c r="AM368" i="16" s="1"/>
  <c r="AF368" i="16"/>
  <c r="AP368" i="16" s="1"/>
  <c r="AS486" i="16"/>
  <c r="AC486" i="16"/>
  <c r="AM486" i="16" s="1"/>
  <c r="AD486" i="16"/>
  <c r="AN486" i="16" s="1"/>
  <c r="AF486" i="16"/>
  <c r="AP486" i="16" s="1"/>
  <c r="AE486" i="16"/>
  <c r="AO486" i="16" s="1"/>
  <c r="AS326" i="16"/>
  <c r="AD326" i="16"/>
  <c r="AN326" i="16" s="1"/>
  <c r="AF326" i="16"/>
  <c r="AP326" i="16" s="1"/>
  <c r="AC326" i="16"/>
  <c r="AM326" i="16" s="1"/>
  <c r="AE326" i="16"/>
  <c r="AO326" i="16" s="1"/>
  <c r="AS1128" i="16"/>
  <c r="AF1121" i="16"/>
  <c r="AP1121" i="16" s="1"/>
  <c r="AE1121" i="16"/>
  <c r="AO1121" i="16" s="1"/>
  <c r="AD1121" i="16"/>
  <c r="AN1121" i="16" s="1"/>
  <c r="AC1121" i="16"/>
  <c r="AM1121" i="16" s="1"/>
  <c r="AS968" i="16"/>
  <c r="AC961" i="16"/>
  <c r="AM961" i="16" s="1"/>
  <c r="AD961" i="16"/>
  <c r="AN961" i="16" s="1"/>
  <c r="AF961" i="16"/>
  <c r="AP961" i="16" s="1"/>
  <c r="AE961" i="16"/>
  <c r="AO961" i="16" s="1"/>
  <c r="AS374" i="16"/>
  <c r="AE374" i="16"/>
  <c r="AO374" i="16" s="1"/>
  <c r="AD374" i="16"/>
  <c r="AN374" i="16" s="1"/>
  <c r="AF374" i="16"/>
  <c r="AP374" i="16" s="1"/>
  <c r="AC374" i="16"/>
  <c r="AM374" i="16" s="1"/>
  <c r="AS74" i="16"/>
  <c r="AF74" i="16"/>
  <c r="AP74" i="16" s="1"/>
  <c r="AC74" i="16"/>
  <c r="AM74" i="16" s="1"/>
  <c r="AD74" i="16"/>
  <c r="AN74" i="16" s="1"/>
  <c r="AE74" i="16"/>
  <c r="AO74" i="16" s="1"/>
  <c r="AS53" i="16"/>
  <c r="AC53" i="16"/>
  <c r="AM53" i="16" s="1"/>
  <c r="AE53" i="16"/>
  <c r="AO53" i="16" s="1"/>
  <c r="AF53" i="16"/>
  <c r="AP53" i="16" s="1"/>
  <c r="AD53" i="16"/>
  <c r="AN53" i="16" s="1"/>
  <c r="AS1073" i="16"/>
  <c r="AC1066" i="16"/>
  <c r="AM1066" i="16" s="1"/>
  <c r="AD1066" i="16"/>
  <c r="AN1066" i="16" s="1"/>
  <c r="AE1066" i="16"/>
  <c r="AO1066" i="16" s="1"/>
  <c r="AF1066" i="16"/>
  <c r="AP1066" i="16" s="1"/>
  <c r="AS958" i="16"/>
  <c r="AD951" i="16"/>
  <c r="AN951" i="16" s="1"/>
  <c r="AF951" i="16"/>
  <c r="AP951" i="16" s="1"/>
  <c r="AC951" i="16"/>
  <c r="AM951" i="16" s="1"/>
  <c r="AE951" i="16"/>
  <c r="AO951" i="16" s="1"/>
  <c r="AS963" i="16"/>
  <c r="AC956" i="16"/>
  <c r="AM956" i="16" s="1"/>
  <c r="AF956" i="16"/>
  <c r="AP956" i="16" s="1"/>
  <c r="AD956" i="16"/>
  <c r="AN956" i="16" s="1"/>
  <c r="AE956" i="16"/>
  <c r="AO956" i="16" s="1"/>
  <c r="AS281" i="16"/>
  <c r="AD281" i="16"/>
  <c r="AN281" i="16" s="1"/>
  <c r="AC281" i="16"/>
  <c r="AM281" i="16" s="1"/>
  <c r="AE281" i="16"/>
  <c r="AO281" i="16" s="1"/>
  <c r="AF281" i="16"/>
  <c r="AP281" i="16" s="1"/>
  <c r="AS147" i="16"/>
  <c r="AF147" i="16"/>
  <c r="AP147" i="16" s="1"/>
  <c r="AD147" i="16"/>
  <c r="AN147" i="16" s="1"/>
  <c r="AE147" i="16"/>
  <c r="AO147" i="16" s="1"/>
  <c r="AC147" i="16"/>
  <c r="AM147" i="16" s="1"/>
  <c r="AS308" i="16"/>
  <c r="AF308" i="16"/>
  <c r="AP308" i="16" s="1"/>
  <c r="AD308" i="16"/>
  <c r="AN308" i="16" s="1"/>
  <c r="AC308" i="16"/>
  <c r="AM308" i="16" s="1"/>
  <c r="AE308" i="16"/>
  <c r="AO308" i="16" s="1"/>
  <c r="AS617" i="16"/>
  <c r="AD615" i="16"/>
  <c r="AN615" i="16" s="1"/>
  <c r="AF615" i="16"/>
  <c r="AP615" i="16" s="1"/>
  <c r="AC615" i="16"/>
  <c r="AM615" i="16" s="1"/>
  <c r="AE615" i="16"/>
  <c r="AO615" i="16" s="1"/>
  <c r="AS731" i="16"/>
  <c r="AF729" i="16"/>
  <c r="AP729" i="16" s="1"/>
  <c r="AE729" i="16"/>
  <c r="AO729" i="16" s="1"/>
  <c r="AD729" i="16"/>
  <c r="AN729" i="16" s="1"/>
  <c r="AC729" i="16"/>
  <c r="AM729" i="16" s="1"/>
  <c r="AS973" i="16"/>
  <c r="AD966" i="16"/>
  <c r="AN966" i="16" s="1"/>
  <c r="AE966" i="16"/>
  <c r="AO966" i="16" s="1"/>
  <c r="AF966" i="16"/>
  <c r="AP966" i="16" s="1"/>
  <c r="AC966" i="16"/>
  <c r="AM966" i="16" s="1"/>
  <c r="AS108" i="16"/>
  <c r="AC108" i="16"/>
  <c r="AM108" i="16" s="1"/>
  <c r="AF108" i="16"/>
  <c r="AP108" i="16" s="1"/>
  <c r="AD108" i="16"/>
  <c r="AN108" i="16" s="1"/>
  <c r="AE108" i="16"/>
  <c r="AO108" i="16" s="1"/>
  <c r="AS587" i="16"/>
  <c r="AF585" i="16"/>
  <c r="AP585" i="16" s="1"/>
  <c r="AD585" i="16"/>
  <c r="AN585" i="16" s="1"/>
  <c r="AC585" i="16"/>
  <c r="AM585" i="16" s="1"/>
  <c r="AE585" i="16"/>
  <c r="AO585" i="16" s="1"/>
  <c r="AS1109" i="16"/>
  <c r="AD1102" i="16"/>
  <c r="AN1102" i="16" s="1"/>
  <c r="AF1102" i="16"/>
  <c r="AP1102" i="16" s="1"/>
  <c r="AE1102" i="16"/>
  <c r="AO1102" i="16" s="1"/>
  <c r="AC1102" i="16"/>
  <c r="AM1102" i="16" s="1"/>
  <c r="AS384" i="16"/>
  <c r="AC384" i="16"/>
  <c r="AM384" i="16" s="1"/>
  <c r="AF384" i="16"/>
  <c r="AP384" i="16" s="1"/>
  <c r="AE384" i="16"/>
  <c r="AO384" i="16" s="1"/>
  <c r="AD384" i="16"/>
  <c r="AN384" i="16" s="1"/>
  <c r="AS317" i="16"/>
  <c r="AE317" i="16"/>
  <c r="AO317" i="16" s="1"/>
  <c r="AC317" i="16"/>
  <c r="AM317" i="16" s="1"/>
  <c r="AF317" i="16"/>
  <c r="AP317" i="16" s="1"/>
  <c r="AD317" i="16"/>
  <c r="AN317" i="16" s="1"/>
  <c r="AS779" i="16"/>
  <c r="AD777" i="16"/>
  <c r="AC777" i="16"/>
  <c r="AM777" i="16" s="1"/>
  <c r="AE777" i="16"/>
  <c r="AO777" i="16" s="1"/>
  <c r="AF777" i="16"/>
  <c r="AP777" i="16" s="1"/>
  <c r="AS526" i="16"/>
  <c r="AC526" i="16"/>
  <c r="AM526" i="16" s="1"/>
  <c r="AD526" i="16"/>
  <c r="AN526" i="16" s="1"/>
  <c r="AE526" i="16"/>
  <c r="AO526" i="16" s="1"/>
  <c r="AF526" i="16"/>
  <c r="AP526" i="16" s="1"/>
  <c r="AS1033" i="16"/>
  <c r="AF1026" i="16"/>
  <c r="AP1026" i="16" s="1"/>
  <c r="AD1026" i="16"/>
  <c r="AN1026" i="16" s="1"/>
  <c r="AC1026" i="16"/>
  <c r="AM1026" i="16" s="1"/>
  <c r="AE1026" i="16"/>
  <c r="AO1026" i="16" s="1"/>
  <c r="AS776" i="16"/>
  <c r="AE774" i="16"/>
  <c r="AO774" i="16" s="1"/>
  <c r="AD774" i="16"/>
  <c r="AC774" i="16"/>
  <c r="AM774" i="16" s="1"/>
  <c r="AF774" i="16"/>
  <c r="AP774" i="16" s="1"/>
  <c r="AS1126" i="16"/>
  <c r="AC1119" i="16"/>
  <c r="AM1119" i="16" s="1"/>
  <c r="AD1119" i="16"/>
  <c r="AN1119" i="16" s="1"/>
  <c r="AE1119" i="16"/>
  <c r="AO1119" i="16" s="1"/>
  <c r="AF1119" i="16"/>
  <c r="AP1119" i="16" s="1"/>
  <c r="AS499" i="16"/>
  <c r="AD499" i="16"/>
  <c r="AN499" i="16" s="1"/>
  <c r="AE499" i="16"/>
  <c r="AO499" i="16" s="1"/>
  <c r="AF499" i="16"/>
  <c r="AP499" i="16" s="1"/>
  <c r="AC499" i="16"/>
  <c r="AM499" i="16" s="1"/>
  <c r="AS866" i="16"/>
  <c r="AE861" i="16"/>
  <c r="AO861" i="16" s="1"/>
  <c r="AF861" i="16"/>
  <c r="AP861" i="16" s="1"/>
  <c r="AC861" i="16"/>
  <c r="AM861" i="16" s="1"/>
  <c r="AD861" i="16"/>
  <c r="AS898" i="16"/>
  <c r="AD892" i="16"/>
  <c r="AN892" i="16" s="1"/>
  <c r="AE892" i="16"/>
  <c r="AO892" i="16" s="1"/>
  <c r="AF892" i="16"/>
  <c r="AP892" i="16" s="1"/>
  <c r="AC892" i="16"/>
  <c r="AM892" i="16" s="1"/>
  <c r="AS254" i="16"/>
  <c r="AD254" i="16"/>
  <c r="AN254" i="16" s="1"/>
  <c r="AE254" i="16"/>
  <c r="AO254" i="16" s="1"/>
  <c r="AF254" i="16"/>
  <c r="AP254" i="16" s="1"/>
  <c r="AC254" i="16"/>
  <c r="AM254" i="16" s="1"/>
  <c r="AS435" i="16"/>
  <c r="AE435" i="16"/>
  <c r="AO435" i="16" s="1"/>
  <c r="AD435" i="16"/>
  <c r="AN435" i="16" s="1"/>
  <c r="AC435" i="16"/>
  <c r="AM435" i="16" s="1"/>
  <c r="AF435" i="16"/>
  <c r="AP435" i="16" s="1"/>
  <c r="AS1094" i="16"/>
  <c r="AF1087" i="16"/>
  <c r="AP1087" i="16" s="1"/>
  <c r="AC1087" i="16"/>
  <c r="AM1087" i="16" s="1"/>
  <c r="AE1087" i="16"/>
  <c r="AO1087" i="16" s="1"/>
  <c r="AD1087" i="16"/>
  <c r="AN1087" i="16" s="1"/>
  <c r="AS938" i="16"/>
  <c r="AE932" i="16"/>
  <c r="AO932" i="16" s="1"/>
  <c r="AF932" i="16"/>
  <c r="AP932" i="16" s="1"/>
  <c r="AD932" i="16"/>
  <c r="AN932" i="16" s="1"/>
  <c r="AC932" i="16"/>
  <c r="AM932" i="16" s="1"/>
  <c r="AS1182" i="16"/>
  <c r="AE1175" i="16"/>
  <c r="AO1175" i="16" s="1"/>
  <c r="AC1175" i="16"/>
  <c r="AM1175" i="16" s="1"/>
  <c r="AF1175" i="16"/>
  <c r="AP1175" i="16" s="1"/>
  <c r="AD1175" i="16"/>
  <c r="AN1175" i="16" s="1"/>
  <c r="AS893" i="16"/>
  <c r="AD887" i="16"/>
  <c r="AN887" i="16" s="1"/>
  <c r="AF887" i="16"/>
  <c r="AP887" i="16" s="1"/>
  <c r="AE887" i="16"/>
  <c r="AO887" i="16" s="1"/>
  <c r="AC887" i="16"/>
  <c r="AM887" i="16" s="1"/>
  <c r="AS1103" i="16"/>
  <c r="AE1096" i="16"/>
  <c r="AO1096" i="16" s="1"/>
  <c r="AD1096" i="16"/>
  <c r="AN1096" i="16" s="1"/>
  <c r="AF1096" i="16"/>
  <c r="AP1096" i="16" s="1"/>
  <c r="AC1096" i="16"/>
  <c r="AM1096" i="16" s="1"/>
  <c r="AS204" i="16"/>
  <c r="AF204" i="16"/>
  <c r="AP204" i="16" s="1"/>
  <c r="AC204" i="16"/>
  <c r="AM204" i="16" s="1"/>
  <c r="AE204" i="16"/>
  <c r="AO204" i="16" s="1"/>
  <c r="AD204" i="16"/>
  <c r="AN204" i="16" s="1"/>
  <c r="AS141" i="16"/>
  <c r="AF141" i="16"/>
  <c r="AP141" i="16" s="1"/>
  <c r="AD141" i="16"/>
  <c r="AN141" i="16" s="1"/>
  <c r="AC141" i="16"/>
  <c r="AM141" i="16" s="1"/>
  <c r="AE141" i="16"/>
  <c r="AO141" i="16" s="1"/>
  <c r="AS150" i="16"/>
  <c r="AD150" i="16"/>
  <c r="AN150" i="16" s="1"/>
  <c r="AE150" i="16"/>
  <c r="AO150" i="16" s="1"/>
  <c r="AF150" i="16"/>
  <c r="AP150" i="16" s="1"/>
  <c r="AC150" i="16"/>
  <c r="AM150" i="16" s="1"/>
  <c r="AS710" i="16"/>
  <c r="AF708" i="16"/>
  <c r="AP708" i="16" s="1"/>
  <c r="AE708" i="16"/>
  <c r="AO708" i="16" s="1"/>
  <c r="AD708" i="16"/>
  <c r="AC708" i="16"/>
  <c r="AM708" i="16" s="1"/>
  <c r="AS621" i="16"/>
  <c r="AD619" i="16"/>
  <c r="AN619" i="16" s="1"/>
  <c r="AF619" i="16"/>
  <c r="AP619" i="16" s="1"/>
  <c r="AE619" i="16"/>
  <c r="AO619" i="16" s="1"/>
  <c r="AC619" i="16"/>
  <c r="AM619" i="16" s="1"/>
  <c r="AS422" i="16"/>
  <c r="AE422" i="16"/>
  <c r="AO422" i="16" s="1"/>
  <c r="AD422" i="16"/>
  <c r="AN422" i="16" s="1"/>
  <c r="AC422" i="16"/>
  <c r="AM422" i="16" s="1"/>
  <c r="AF422" i="16"/>
  <c r="AP422" i="16" s="1"/>
  <c r="AS201" i="16"/>
  <c r="AC201" i="16"/>
  <c r="AM201" i="16" s="1"/>
  <c r="AF201" i="16"/>
  <c r="AP201" i="16" s="1"/>
  <c r="AD201" i="16"/>
  <c r="AN201" i="16" s="1"/>
  <c r="AE201" i="16"/>
  <c r="AO201" i="16" s="1"/>
  <c r="AS1111" i="16"/>
  <c r="AD1104" i="16"/>
  <c r="AN1104" i="16" s="1"/>
  <c r="AF1104" i="16"/>
  <c r="AP1104" i="16" s="1"/>
  <c r="AE1104" i="16"/>
  <c r="AO1104" i="16" s="1"/>
  <c r="AC1104" i="16"/>
  <c r="AM1104" i="16" s="1"/>
  <c r="AS1137" i="16"/>
  <c r="AC1130" i="16"/>
  <c r="AM1130" i="16" s="1"/>
  <c r="AF1130" i="16"/>
  <c r="AP1130" i="16" s="1"/>
  <c r="AE1130" i="16"/>
  <c r="AO1130" i="16" s="1"/>
  <c r="AD1130" i="16"/>
  <c r="AN1130" i="16" s="1"/>
  <c r="AS382" i="16"/>
  <c r="AE382" i="16"/>
  <c r="AO382" i="16" s="1"/>
  <c r="AF382" i="16"/>
  <c r="AP382" i="16" s="1"/>
  <c r="AD382" i="16"/>
  <c r="AN382" i="16" s="1"/>
  <c r="AC382" i="16"/>
  <c r="AM382" i="16" s="1"/>
  <c r="AS1020" i="16"/>
  <c r="AF1013" i="16"/>
  <c r="AP1013" i="16" s="1"/>
  <c r="AC1013" i="16"/>
  <c r="AM1013" i="16" s="1"/>
  <c r="AE1013" i="16"/>
  <c r="AO1013" i="16" s="1"/>
  <c r="AD1013" i="16"/>
  <c r="AN1013" i="16" s="1"/>
  <c r="AS1163" i="16"/>
  <c r="AF1156" i="16"/>
  <c r="AP1156" i="16" s="1"/>
  <c r="AC1156" i="16"/>
  <c r="AM1156" i="16" s="1"/>
  <c r="AD1156" i="16"/>
  <c r="AN1156" i="16" s="1"/>
  <c r="AE1156" i="16"/>
  <c r="AO1156" i="16" s="1"/>
  <c r="AS859" i="16"/>
  <c r="AC854" i="16"/>
  <c r="AM854" i="16" s="1"/>
  <c r="AF854" i="16"/>
  <c r="AP854" i="16" s="1"/>
  <c r="AD854" i="16"/>
  <c r="AN854" i="16" s="1"/>
  <c r="AE854" i="16"/>
  <c r="AO854" i="16" s="1"/>
  <c r="AS398" i="16"/>
  <c r="AC398" i="16"/>
  <c r="AM398" i="16" s="1"/>
  <c r="AF398" i="16"/>
  <c r="AP398" i="16" s="1"/>
  <c r="AD398" i="16"/>
  <c r="AN398" i="16" s="1"/>
  <c r="AE398" i="16"/>
  <c r="AO398" i="16" s="1"/>
  <c r="AS529" i="16"/>
  <c r="AD529" i="16"/>
  <c r="AN529" i="16" s="1"/>
  <c r="AF529" i="16"/>
  <c r="AP529" i="16" s="1"/>
  <c r="AC529" i="16"/>
  <c r="AM529" i="16" s="1"/>
  <c r="AE529" i="16"/>
  <c r="AO529" i="16" s="1"/>
  <c r="AS1198" i="16"/>
  <c r="AE1191" i="16"/>
  <c r="AO1191" i="16" s="1"/>
  <c r="AF1191" i="16"/>
  <c r="AP1191" i="16" s="1"/>
  <c r="AD1191" i="16"/>
  <c r="AN1191" i="16" s="1"/>
  <c r="AC1191" i="16"/>
  <c r="AM1191" i="16" s="1"/>
  <c r="AS423" i="16"/>
  <c r="AD423" i="16"/>
  <c r="AF423" i="16"/>
  <c r="AP423" i="16" s="1"/>
  <c r="AC423" i="16"/>
  <c r="AM423" i="16" s="1"/>
  <c r="AE423" i="16"/>
  <c r="AO423" i="16" s="1"/>
  <c r="AS842" i="16"/>
  <c r="AD839" i="16"/>
  <c r="AN839" i="16" s="1"/>
  <c r="AE839" i="16"/>
  <c r="AO839" i="16" s="1"/>
  <c r="AF839" i="16"/>
  <c r="AP839" i="16" s="1"/>
  <c r="AC839" i="16"/>
  <c r="AM839" i="16" s="1"/>
  <c r="AS17" i="16"/>
  <c r="AC17" i="16"/>
  <c r="AM17" i="16" s="1"/>
  <c r="AE17" i="16"/>
  <c r="AO17" i="16" s="1"/>
  <c r="AF17" i="16"/>
  <c r="AP17" i="16" s="1"/>
  <c r="AD17" i="16"/>
  <c r="AN17" i="16" s="1"/>
  <c r="AS714" i="16"/>
  <c r="AF712" i="16"/>
  <c r="AP712" i="16" s="1"/>
  <c r="AC712" i="16"/>
  <c r="AM712" i="16" s="1"/>
  <c r="AE712" i="16"/>
  <c r="AO712" i="16" s="1"/>
  <c r="AD712" i="16"/>
  <c r="AN712" i="16" s="1"/>
  <c r="AS484" i="16"/>
  <c r="AD484" i="16"/>
  <c r="AN484" i="16" s="1"/>
  <c r="AC484" i="16"/>
  <c r="AM484" i="16" s="1"/>
  <c r="AF484" i="16"/>
  <c r="AP484" i="16" s="1"/>
  <c r="AE484" i="16"/>
  <c r="AO484" i="16" s="1"/>
  <c r="AS403" i="16"/>
  <c r="AD403" i="16"/>
  <c r="AN403" i="16" s="1"/>
  <c r="AC403" i="16"/>
  <c r="AM403" i="16" s="1"/>
  <c r="AF403" i="16"/>
  <c r="AP403" i="16" s="1"/>
  <c r="AE403" i="16"/>
  <c r="AO403" i="16" s="1"/>
  <c r="AS976" i="16"/>
  <c r="AD969" i="16"/>
  <c r="AN969" i="16" s="1"/>
  <c r="AF969" i="16"/>
  <c r="AP969" i="16" s="1"/>
  <c r="AC969" i="16"/>
  <c r="AM969" i="16" s="1"/>
  <c r="AE969" i="16"/>
  <c r="AO969" i="16" s="1"/>
  <c r="AS1158" i="16"/>
  <c r="AF1151" i="16"/>
  <c r="AP1151" i="16" s="1"/>
  <c r="AD1151" i="16"/>
  <c r="AN1151" i="16" s="1"/>
  <c r="AC1151" i="16"/>
  <c r="AM1151" i="16" s="1"/>
  <c r="AE1151" i="16"/>
  <c r="AO1151" i="16" s="1"/>
  <c r="AS777" i="16"/>
  <c r="AC775" i="16"/>
  <c r="AM775" i="16" s="1"/>
  <c r="AE775" i="16"/>
  <c r="AO775" i="16" s="1"/>
  <c r="AF775" i="16"/>
  <c r="AP775" i="16" s="1"/>
  <c r="AD775" i="16"/>
  <c r="AN775" i="16" s="1"/>
  <c r="AS235" i="16"/>
  <c r="AC235" i="16"/>
  <c r="AM235" i="16" s="1"/>
  <c r="AE235" i="16"/>
  <c r="AO235" i="16" s="1"/>
  <c r="AF235" i="16"/>
  <c r="AP235" i="16" s="1"/>
  <c r="AD235" i="16"/>
  <c r="AN235" i="16" s="1"/>
  <c r="AS193" i="16"/>
  <c r="AC193" i="16"/>
  <c r="AM193" i="16" s="1"/>
  <c r="AF193" i="16"/>
  <c r="AP193" i="16" s="1"/>
  <c r="AE193" i="16"/>
  <c r="AO193" i="16" s="1"/>
  <c r="AD193" i="16"/>
  <c r="AN193" i="16" s="1"/>
  <c r="AS513" i="16"/>
  <c r="AE513" i="16"/>
  <c r="AO513" i="16" s="1"/>
  <c r="AC513" i="16"/>
  <c r="AM513" i="16" s="1"/>
  <c r="AD513" i="16"/>
  <c r="AN513" i="16" s="1"/>
  <c r="AF513" i="16"/>
  <c r="AP513" i="16" s="1"/>
  <c r="AS159" i="16"/>
  <c r="AE159" i="16"/>
  <c r="AO159" i="16" s="1"/>
  <c r="AD159" i="16"/>
  <c r="AN159" i="16" s="1"/>
  <c r="AF159" i="16"/>
  <c r="AP159" i="16" s="1"/>
  <c r="AC159" i="16"/>
  <c r="AM159" i="16" s="1"/>
  <c r="AS83" i="16"/>
  <c r="AD83" i="16"/>
  <c r="AN83" i="16" s="1"/>
  <c r="AE83" i="16"/>
  <c r="AO83" i="16" s="1"/>
  <c r="AF83" i="16"/>
  <c r="AP83" i="16" s="1"/>
  <c r="AC83" i="16"/>
  <c r="AM83" i="16" s="1"/>
  <c r="AS501" i="16"/>
  <c r="AD501" i="16"/>
  <c r="AN501" i="16" s="1"/>
  <c r="AC501" i="16"/>
  <c r="AM501" i="16" s="1"/>
  <c r="AE501" i="16"/>
  <c r="AO501" i="16" s="1"/>
  <c r="AF501" i="16"/>
  <c r="AP501" i="16" s="1"/>
  <c r="AS802" i="16"/>
  <c r="AE799" i="16"/>
  <c r="AO799" i="16" s="1"/>
  <c r="AD799" i="16"/>
  <c r="AN799" i="16" s="1"/>
  <c r="AC799" i="16"/>
  <c r="AM799" i="16" s="1"/>
  <c r="AF799" i="16"/>
  <c r="AP799" i="16" s="1"/>
  <c r="AS563" i="16"/>
  <c r="AF561" i="16"/>
  <c r="AP561" i="16" s="1"/>
  <c r="AC561" i="16"/>
  <c r="AM561" i="16" s="1"/>
  <c r="AD561" i="16"/>
  <c r="AN561" i="16" s="1"/>
  <c r="AE561" i="16"/>
  <c r="AO561" i="16" s="1"/>
  <c r="AS1142" i="16"/>
  <c r="AD1135" i="16"/>
  <c r="AN1135" i="16" s="1"/>
  <c r="AE1135" i="16"/>
  <c r="AO1135" i="16" s="1"/>
  <c r="AC1135" i="16"/>
  <c r="AM1135" i="16" s="1"/>
  <c r="AF1135" i="16"/>
  <c r="AP1135" i="16" s="1"/>
  <c r="AS1192" i="16"/>
  <c r="AD1185" i="16"/>
  <c r="AN1185" i="16" s="1"/>
  <c r="AE1185" i="16"/>
  <c r="AO1185" i="16" s="1"/>
  <c r="AF1185" i="16"/>
  <c r="AP1185" i="16" s="1"/>
  <c r="AC1185" i="16"/>
  <c r="AM1185" i="16" s="1"/>
  <c r="AS995" i="16"/>
  <c r="AC988" i="16"/>
  <c r="AM988" i="16" s="1"/>
  <c r="AE988" i="16"/>
  <c r="AO988" i="16" s="1"/>
  <c r="AF988" i="16"/>
  <c r="AP988" i="16" s="1"/>
  <c r="AD988" i="16"/>
  <c r="AN988" i="16" s="1"/>
  <c r="AS1147" i="16"/>
  <c r="AE1140" i="16"/>
  <c r="AO1140" i="16" s="1"/>
  <c r="AC1140" i="16"/>
  <c r="AM1140" i="16" s="1"/>
  <c r="AD1140" i="16"/>
  <c r="AN1140" i="16" s="1"/>
  <c r="AF1140" i="16"/>
  <c r="AP1140" i="16" s="1"/>
  <c r="AS1136" i="16"/>
  <c r="AF1129" i="16"/>
  <c r="AP1129" i="16" s="1"/>
  <c r="AE1129" i="16"/>
  <c r="AO1129" i="16" s="1"/>
  <c r="AD1129" i="16"/>
  <c r="AN1129" i="16" s="1"/>
  <c r="AC1129" i="16"/>
  <c r="AM1129" i="16" s="1"/>
  <c r="AS1207" i="16"/>
  <c r="AE1200" i="16"/>
  <c r="AO1200" i="16" s="1"/>
  <c r="AD1200" i="16"/>
  <c r="AN1200" i="16" s="1"/>
  <c r="AF1200" i="16"/>
  <c r="AP1200" i="16" s="1"/>
  <c r="AC1200" i="16"/>
  <c r="AM1200" i="16" s="1"/>
  <c r="AS1153" i="16"/>
  <c r="AE1146" i="16"/>
  <c r="AO1146" i="16" s="1"/>
  <c r="AF1146" i="16"/>
  <c r="AP1146" i="16" s="1"/>
  <c r="AC1146" i="16"/>
  <c r="AM1146" i="16" s="1"/>
  <c r="AD1146" i="16"/>
  <c r="AN1146" i="16" s="1"/>
  <c r="AS1170" i="16"/>
  <c r="AD1163" i="16"/>
  <c r="AN1163" i="16" s="1"/>
  <c r="AF1163" i="16"/>
  <c r="AP1163" i="16" s="1"/>
  <c r="AC1163" i="16"/>
  <c r="AM1163" i="16" s="1"/>
  <c r="AE1163" i="16"/>
  <c r="AO1163" i="16" s="1"/>
  <c r="AS589" i="16"/>
  <c r="AC587" i="16"/>
  <c r="AM587" i="16" s="1"/>
  <c r="AF587" i="16"/>
  <c r="AP587" i="16" s="1"/>
  <c r="AD587" i="16"/>
  <c r="AN587" i="16" s="1"/>
  <c r="AE587" i="16"/>
  <c r="AO587" i="16" s="1"/>
  <c r="AS939" i="16"/>
  <c r="AE933" i="16"/>
  <c r="AO933" i="16" s="1"/>
  <c r="AF933" i="16"/>
  <c r="AP933" i="16" s="1"/>
  <c r="AC933" i="16"/>
  <c r="AM933" i="16" s="1"/>
  <c r="AD933" i="16"/>
  <c r="AN933" i="16" s="1"/>
  <c r="AS173" i="16"/>
  <c r="AC173" i="16"/>
  <c r="AM173" i="16" s="1"/>
  <c r="AE173" i="16"/>
  <c r="AO173" i="16" s="1"/>
  <c r="AD173" i="16"/>
  <c r="AN173" i="16" s="1"/>
  <c r="AF173" i="16"/>
  <c r="AP173" i="16" s="1"/>
  <c r="AS8" i="16"/>
  <c r="AC8" i="16"/>
  <c r="AM8" i="16" s="1"/>
  <c r="AF8" i="16"/>
  <c r="AP8" i="16" s="1"/>
  <c r="AD8" i="16"/>
  <c r="AN8" i="16" s="1"/>
  <c r="AE8" i="16"/>
  <c r="AO8" i="16" s="1"/>
  <c r="AS575" i="16"/>
  <c r="AE573" i="16"/>
  <c r="AO573" i="16" s="1"/>
  <c r="AC573" i="16"/>
  <c r="AM573" i="16" s="1"/>
  <c r="AF573" i="16"/>
  <c r="AP573" i="16" s="1"/>
  <c r="AD573" i="16"/>
  <c r="AN573" i="16" s="1"/>
  <c r="AS69" i="16"/>
  <c r="AF69" i="16"/>
  <c r="AP69" i="16" s="1"/>
  <c r="AE69" i="16"/>
  <c r="AO69" i="16" s="1"/>
  <c r="AD69" i="16"/>
  <c r="AN69" i="16" s="1"/>
  <c r="AC69" i="16"/>
  <c r="AM69" i="16" s="1"/>
  <c r="AS122" i="16"/>
  <c r="AF122" i="16"/>
  <c r="AP122" i="16" s="1"/>
  <c r="AC122" i="16"/>
  <c r="AM122" i="16" s="1"/>
  <c r="AD122" i="16"/>
  <c r="AN122" i="16" s="1"/>
  <c r="AE122" i="16"/>
  <c r="AO122" i="16" s="1"/>
  <c r="AS10" i="16"/>
  <c r="AC10" i="16"/>
  <c r="AM10" i="16" s="1"/>
  <c r="AE10" i="16"/>
  <c r="AO10" i="16" s="1"/>
  <c r="AF10" i="16"/>
  <c r="AP10" i="16" s="1"/>
  <c r="AD10" i="16"/>
  <c r="AN10" i="16" s="1"/>
  <c r="AS771" i="16"/>
  <c r="AC769" i="16"/>
  <c r="AM769" i="16" s="1"/>
  <c r="AE769" i="16"/>
  <c r="AO769" i="16" s="1"/>
  <c r="AF769" i="16"/>
  <c r="AP769" i="16" s="1"/>
  <c r="AD769" i="16"/>
  <c r="AN769" i="16" s="1"/>
  <c r="AS365" i="16"/>
  <c r="AE365" i="16"/>
  <c r="AO365" i="16" s="1"/>
  <c r="AD365" i="16"/>
  <c r="AN365" i="16" s="1"/>
  <c r="AC365" i="16"/>
  <c r="AM365" i="16" s="1"/>
  <c r="AF365" i="16"/>
  <c r="AP365" i="16" s="1"/>
  <c r="AS29" i="16"/>
  <c r="AF29" i="16"/>
  <c r="AP29" i="16" s="1"/>
  <c r="AE29" i="16"/>
  <c r="AO29" i="16" s="1"/>
  <c r="AD29" i="16"/>
  <c r="AN29" i="16" s="1"/>
  <c r="AC29" i="16"/>
  <c r="AM29" i="16" s="1"/>
  <c r="AS390" i="16"/>
  <c r="AC390" i="16"/>
  <c r="AM390" i="16" s="1"/>
  <c r="AF390" i="16"/>
  <c r="AP390" i="16" s="1"/>
  <c r="AE390" i="16"/>
  <c r="AO390" i="16" s="1"/>
  <c r="AD390" i="16"/>
  <c r="AN390" i="16" s="1"/>
  <c r="AS416" i="16"/>
  <c r="AC416" i="16"/>
  <c r="AM416" i="16" s="1"/>
  <c r="AD416" i="16"/>
  <c r="AN416" i="16" s="1"/>
  <c r="AE416" i="16"/>
  <c r="AO416" i="16" s="1"/>
  <c r="AF416" i="16"/>
  <c r="AP416" i="16" s="1"/>
  <c r="AS297" i="16"/>
  <c r="AF297" i="16"/>
  <c r="AP297" i="16" s="1"/>
  <c r="AC297" i="16"/>
  <c r="AM297" i="16" s="1"/>
  <c r="AD297" i="16"/>
  <c r="AN297" i="16" s="1"/>
  <c r="AE297" i="16"/>
  <c r="AO297" i="16" s="1"/>
  <c r="AS1114" i="16"/>
  <c r="AC1107" i="16"/>
  <c r="AM1107" i="16" s="1"/>
  <c r="AF1107" i="16"/>
  <c r="AP1107" i="16" s="1"/>
  <c r="AE1107" i="16"/>
  <c r="AO1107" i="16" s="1"/>
  <c r="AD1107" i="16"/>
  <c r="AN1107" i="16" s="1"/>
  <c r="AS287" i="16"/>
  <c r="AF287" i="16"/>
  <c r="AP287" i="16" s="1"/>
  <c r="AE287" i="16"/>
  <c r="AO287" i="16" s="1"/>
  <c r="AC287" i="16"/>
  <c r="AM287" i="16" s="1"/>
  <c r="AD287" i="16"/>
  <c r="AN287" i="16" s="1"/>
  <c r="AS1183" i="16"/>
  <c r="AC1176" i="16"/>
  <c r="AM1176" i="16" s="1"/>
  <c r="AE1176" i="16"/>
  <c r="AO1176" i="16" s="1"/>
  <c r="AD1176" i="16"/>
  <c r="AN1176" i="16" s="1"/>
  <c r="AF1176" i="16"/>
  <c r="AP1176" i="16" s="1"/>
  <c r="AS881" i="16"/>
  <c r="AE875" i="16"/>
  <c r="AO875" i="16" s="1"/>
  <c r="AF875" i="16"/>
  <c r="AP875" i="16" s="1"/>
  <c r="AC875" i="16"/>
  <c r="AM875" i="16" s="1"/>
  <c r="AD875" i="16"/>
  <c r="AN875" i="16" s="1"/>
  <c r="AS1096" i="16"/>
  <c r="AD1089" i="16"/>
  <c r="AN1089" i="16" s="1"/>
  <c r="AF1089" i="16"/>
  <c r="AP1089" i="16" s="1"/>
  <c r="AC1089" i="16"/>
  <c r="AM1089" i="16" s="1"/>
  <c r="AE1089" i="16"/>
  <c r="AO1089" i="16" s="1"/>
  <c r="AS647" i="16"/>
  <c r="AF645" i="16"/>
  <c r="AP645" i="16" s="1"/>
  <c r="AC645" i="16"/>
  <c r="AM645" i="16" s="1"/>
  <c r="AE645" i="16"/>
  <c r="AO645" i="16" s="1"/>
  <c r="AD645" i="16"/>
  <c r="AN645" i="16" s="1"/>
  <c r="AS530" i="16"/>
  <c r="AC530" i="16"/>
  <c r="AM530" i="16" s="1"/>
  <c r="AF530" i="16"/>
  <c r="AP530" i="16" s="1"/>
  <c r="AE530" i="16"/>
  <c r="AO530" i="16" s="1"/>
  <c r="AD530" i="16"/>
  <c r="AN530" i="16" s="1"/>
  <c r="AS533" i="16"/>
  <c r="AD533" i="16"/>
  <c r="AN533" i="16" s="1"/>
  <c r="AC533" i="16"/>
  <c r="AM533" i="16" s="1"/>
  <c r="AE533" i="16"/>
  <c r="AO533" i="16" s="1"/>
  <c r="AF533" i="16"/>
  <c r="AP533" i="16" s="1"/>
  <c r="AS299" i="16"/>
  <c r="AD299" i="16"/>
  <c r="AN299" i="16" s="1"/>
  <c r="AE299" i="16"/>
  <c r="AC299" i="16"/>
  <c r="AM299" i="16" s="1"/>
  <c r="AF299" i="16"/>
  <c r="AP299" i="16" s="1"/>
  <c r="AS691" i="16"/>
  <c r="AF689" i="16"/>
  <c r="AP689" i="16" s="1"/>
  <c r="AC689" i="16"/>
  <c r="AM689" i="16" s="1"/>
  <c r="AD689" i="16"/>
  <c r="AN689" i="16" s="1"/>
  <c r="AE689" i="16"/>
  <c r="AO689" i="16" s="1"/>
  <c r="AS1138" i="16"/>
  <c r="AD1131" i="16"/>
  <c r="AN1131" i="16" s="1"/>
  <c r="AE1131" i="16"/>
  <c r="AO1131" i="16" s="1"/>
  <c r="AF1131" i="16"/>
  <c r="AP1131" i="16" s="1"/>
  <c r="AC1131" i="16"/>
  <c r="AM1131" i="16" s="1"/>
  <c r="AS747" i="16"/>
  <c r="AF745" i="16"/>
  <c r="AP745" i="16" s="1"/>
  <c r="AE745" i="16"/>
  <c r="AO745" i="16" s="1"/>
  <c r="AD745" i="16"/>
  <c r="AN745" i="16" s="1"/>
  <c r="AC745" i="16"/>
  <c r="AM745" i="16" s="1"/>
  <c r="AS1075" i="16"/>
  <c r="AE1068" i="16"/>
  <c r="AO1068" i="16" s="1"/>
  <c r="AD1068" i="16"/>
  <c r="AN1068" i="16" s="1"/>
  <c r="AC1068" i="16"/>
  <c r="AM1068" i="16" s="1"/>
  <c r="AF1068" i="16"/>
  <c r="AP1068" i="16" s="1"/>
  <c r="AS788" i="16"/>
  <c r="AC786" i="16"/>
  <c r="AM786" i="16" s="1"/>
  <c r="AD786" i="16"/>
  <c r="AN786" i="16" s="1"/>
  <c r="AE786" i="16"/>
  <c r="AO786" i="16" s="1"/>
  <c r="AF786" i="16"/>
  <c r="AP786" i="16" s="1"/>
  <c r="AS1083" i="16"/>
  <c r="AF1076" i="16"/>
  <c r="AP1076" i="16" s="1"/>
  <c r="AC1076" i="16"/>
  <c r="AM1076" i="16" s="1"/>
  <c r="AD1076" i="16"/>
  <c r="AN1076" i="16" s="1"/>
  <c r="AE1076" i="16"/>
  <c r="AO1076" i="16" s="1"/>
  <c r="AS907" i="16"/>
  <c r="AE901" i="16"/>
  <c r="AO901" i="16" s="1"/>
  <c r="AF901" i="16"/>
  <c r="AP901" i="16" s="1"/>
  <c r="AC901" i="16"/>
  <c r="AM901" i="16" s="1"/>
  <c r="AD901" i="16"/>
  <c r="AN901" i="16" s="1"/>
  <c r="AS1139" i="16"/>
  <c r="AD1132" i="16"/>
  <c r="AN1132" i="16" s="1"/>
  <c r="AE1132" i="16"/>
  <c r="AO1132" i="16" s="1"/>
  <c r="AF1132" i="16"/>
  <c r="AP1132" i="16" s="1"/>
  <c r="AC1132" i="16"/>
  <c r="AM1132" i="16" s="1"/>
  <c r="AS329" i="16"/>
  <c r="AD329" i="16"/>
  <c r="AN329" i="16" s="1"/>
  <c r="AC329" i="16"/>
  <c r="AM329" i="16" s="1"/>
  <c r="AF329" i="16"/>
  <c r="AP329" i="16" s="1"/>
  <c r="AE329" i="16"/>
  <c r="AO329" i="16" s="1"/>
  <c r="AS770" i="16"/>
  <c r="AD768" i="16"/>
  <c r="AN768" i="16" s="1"/>
  <c r="AF768" i="16"/>
  <c r="AP768" i="16" s="1"/>
  <c r="AE768" i="16"/>
  <c r="AO768" i="16" s="1"/>
  <c r="AC768" i="16"/>
  <c r="AM768" i="16" s="1"/>
  <c r="AS651" i="16"/>
  <c r="AE649" i="16"/>
  <c r="AO649" i="16" s="1"/>
  <c r="AD649" i="16"/>
  <c r="AC649" i="16"/>
  <c r="AM649" i="16" s="1"/>
  <c r="AF649" i="16"/>
  <c r="AP649" i="16" s="1"/>
  <c r="AS825" i="16"/>
  <c r="AC822" i="16"/>
  <c r="AM822" i="16" s="1"/>
  <c r="AE822" i="16"/>
  <c r="AO822" i="16" s="1"/>
  <c r="AD822" i="16"/>
  <c r="AF822" i="16"/>
  <c r="AP822" i="16" s="1"/>
  <c r="AS572" i="16"/>
  <c r="AD570" i="16"/>
  <c r="AF570" i="16"/>
  <c r="AP570" i="16" s="1"/>
  <c r="AE570" i="16"/>
  <c r="AO570" i="16" s="1"/>
  <c r="AC570" i="16"/>
  <c r="AM570" i="16" s="1"/>
  <c r="AS80" i="16"/>
  <c r="AE80" i="16"/>
  <c r="AO80" i="16" s="1"/>
  <c r="AD80" i="16"/>
  <c r="AN80" i="16" s="1"/>
  <c r="AC80" i="16"/>
  <c r="AM80" i="16" s="1"/>
  <c r="AF80" i="16"/>
  <c r="AP80" i="16" s="1"/>
  <c r="AS125" i="16"/>
  <c r="AE125" i="16"/>
  <c r="AO125" i="16" s="1"/>
  <c r="AF125" i="16"/>
  <c r="AP125" i="16" s="1"/>
  <c r="AD125" i="16"/>
  <c r="AN125" i="16" s="1"/>
  <c r="AC125" i="16"/>
  <c r="AM125" i="16" s="1"/>
  <c r="AS1051" i="16"/>
  <c r="AF1044" i="16"/>
  <c r="AP1044" i="16" s="1"/>
  <c r="AC1044" i="16"/>
  <c r="AM1044" i="16" s="1"/>
  <c r="AD1044" i="16"/>
  <c r="AN1044" i="16" s="1"/>
  <c r="AE1044" i="16"/>
  <c r="AO1044" i="16" s="1"/>
  <c r="AS48" i="16"/>
  <c r="AF48" i="16"/>
  <c r="AP48" i="16" s="1"/>
  <c r="AC48" i="16"/>
  <c r="AM48" i="16" s="1"/>
  <c r="AE48" i="16"/>
  <c r="AO48" i="16" s="1"/>
  <c r="AD48" i="16"/>
  <c r="AN48" i="16" s="1"/>
  <c r="AS194" i="16"/>
  <c r="AD194" i="16"/>
  <c r="AN194" i="16" s="1"/>
  <c r="AC194" i="16"/>
  <c r="AM194" i="16" s="1"/>
  <c r="AE194" i="16"/>
  <c r="AO194" i="16" s="1"/>
  <c r="AF194" i="16"/>
  <c r="AP194" i="16" s="1"/>
  <c r="AS119" i="16"/>
  <c r="AF119" i="16"/>
  <c r="AP119" i="16" s="1"/>
  <c r="AD119" i="16"/>
  <c r="AN119" i="16" s="1"/>
  <c r="AC119" i="16"/>
  <c r="AM119" i="16" s="1"/>
  <c r="AE119" i="16"/>
  <c r="AO119" i="16" s="1"/>
  <c r="AS249" i="16"/>
  <c r="AE249" i="16"/>
  <c r="AO249" i="16" s="1"/>
  <c r="AF249" i="16"/>
  <c r="AP249" i="16" s="1"/>
  <c r="AC249" i="16"/>
  <c r="AM249" i="16" s="1"/>
  <c r="AD249" i="16"/>
  <c r="AN249" i="16" s="1"/>
  <c r="AS977" i="16"/>
  <c r="AE970" i="16"/>
  <c r="AO970" i="16" s="1"/>
  <c r="AC970" i="16"/>
  <c r="AM970" i="16" s="1"/>
  <c r="AD970" i="16"/>
  <c r="AN970" i="16" s="1"/>
  <c r="AF970" i="16"/>
  <c r="AP970" i="16" s="1"/>
  <c r="AS737" i="16"/>
  <c r="AD735" i="16"/>
  <c r="AN735" i="16" s="1"/>
  <c r="AE735" i="16"/>
  <c r="AO735" i="16" s="1"/>
  <c r="AF735" i="16"/>
  <c r="AP735" i="16" s="1"/>
  <c r="AC735" i="16"/>
  <c r="AM735" i="16" s="1"/>
  <c r="AS510" i="16"/>
  <c r="AD510" i="16"/>
  <c r="AN510" i="16" s="1"/>
  <c r="AE510" i="16"/>
  <c r="AO510" i="16" s="1"/>
  <c r="AF510" i="16"/>
  <c r="AP510" i="16" s="1"/>
  <c r="AC510" i="16"/>
  <c r="AM510" i="16" s="1"/>
  <c r="AS763" i="16"/>
  <c r="AE761" i="16"/>
  <c r="AO761" i="16" s="1"/>
  <c r="AC761" i="16"/>
  <c r="AM761" i="16" s="1"/>
  <c r="AD761" i="16"/>
  <c r="AN761" i="16" s="1"/>
  <c r="AF761" i="16"/>
  <c r="AP761" i="16" s="1"/>
  <c r="AS437" i="16"/>
  <c r="AF437" i="16"/>
  <c r="AP437" i="16" s="1"/>
  <c r="AD437" i="16"/>
  <c r="AN437" i="16" s="1"/>
  <c r="AE437" i="16"/>
  <c r="AO437" i="16" s="1"/>
  <c r="AC437" i="16"/>
  <c r="AM437" i="16" s="1"/>
  <c r="AS161" i="16"/>
  <c r="AC161" i="16"/>
  <c r="AM161" i="16" s="1"/>
  <c r="AD161" i="16"/>
  <c r="AN161" i="16" s="1"/>
  <c r="AE161" i="16"/>
  <c r="AO161" i="16" s="1"/>
  <c r="AF161" i="16"/>
  <c r="AP161" i="16" s="1"/>
  <c r="AS1099" i="16"/>
  <c r="AD1092" i="16"/>
  <c r="AN1092" i="16" s="1"/>
  <c r="AC1092" i="16"/>
  <c r="AM1092" i="16" s="1"/>
  <c r="AF1092" i="16"/>
  <c r="AP1092" i="16" s="1"/>
  <c r="AE1092" i="16"/>
  <c r="AO1092" i="16" s="1"/>
  <c r="AS922" i="16"/>
  <c r="AC916" i="16"/>
  <c r="AM916" i="16" s="1"/>
  <c r="AF916" i="16"/>
  <c r="AP916" i="16" s="1"/>
  <c r="AE916" i="16"/>
  <c r="AO916" i="16" s="1"/>
  <c r="AD916" i="16"/>
  <c r="AN916" i="16" s="1"/>
  <c r="AS13" i="16"/>
  <c r="AF13" i="16"/>
  <c r="AP13" i="16" s="1"/>
  <c r="AE13" i="16"/>
  <c r="AO13" i="16" s="1"/>
  <c r="AD13" i="16"/>
  <c r="AN13" i="16" s="1"/>
  <c r="AC13" i="16"/>
  <c r="AM13" i="16" s="1"/>
  <c r="AS1175" i="16"/>
  <c r="AF1168" i="16"/>
  <c r="AP1168" i="16" s="1"/>
  <c r="AC1168" i="16"/>
  <c r="AM1168" i="16" s="1"/>
  <c r="AD1168" i="16"/>
  <c r="AN1168" i="16" s="1"/>
  <c r="AE1168" i="16"/>
  <c r="AO1168" i="16" s="1"/>
  <c r="AS923" i="16"/>
  <c r="AE917" i="16"/>
  <c r="AO917" i="16" s="1"/>
  <c r="AD917" i="16"/>
  <c r="AN917" i="16" s="1"/>
  <c r="AF917" i="16"/>
  <c r="AP917" i="16" s="1"/>
  <c r="AC917" i="16"/>
  <c r="AM917" i="16" s="1"/>
  <c r="AE540" i="16"/>
  <c r="AO540" i="16" s="1"/>
  <c r="AD540" i="16"/>
  <c r="AN540" i="16" s="1"/>
  <c r="AC540" i="16"/>
  <c r="AM540" i="16" s="1"/>
  <c r="AF540" i="16"/>
  <c r="AP540" i="16" s="1"/>
  <c r="AS128" i="16"/>
  <c r="AE128" i="16"/>
  <c r="AO128" i="16" s="1"/>
  <c r="AC128" i="16"/>
  <c r="AM128" i="16" s="1"/>
  <c r="AD128" i="16"/>
  <c r="AN128" i="16" s="1"/>
  <c r="AF128" i="16"/>
  <c r="AP128" i="16" s="1"/>
  <c r="AS171" i="16"/>
  <c r="AD171" i="16"/>
  <c r="AN171" i="16" s="1"/>
  <c r="AC171" i="16"/>
  <c r="AM171" i="16" s="1"/>
  <c r="AF171" i="16"/>
  <c r="AP171" i="16" s="1"/>
  <c r="AE171" i="16"/>
  <c r="AO171" i="16" s="1"/>
  <c r="AS433" i="16"/>
  <c r="AF433" i="16"/>
  <c r="AP433" i="16" s="1"/>
  <c r="AE433" i="16"/>
  <c r="AO433" i="16" s="1"/>
  <c r="AC433" i="16"/>
  <c r="AM433" i="16" s="1"/>
  <c r="AD433" i="16"/>
  <c r="AN433" i="16" s="1"/>
  <c r="AS75" i="16"/>
  <c r="AE75" i="16"/>
  <c r="AO75" i="16" s="1"/>
  <c r="AF75" i="16"/>
  <c r="AP75" i="16" s="1"/>
  <c r="AD75" i="16"/>
  <c r="AN75" i="16" s="1"/>
  <c r="AC75" i="16"/>
  <c r="AM75" i="16" s="1"/>
  <c r="AS186" i="16"/>
  <c r="AE186" i="16"/>
  <c r="AO186" i="16" s="1"/>
  <c r="AF186" i="16"/>
  <c r="AP186" i="16" s="1"/>
  <c r="AC186" i="16"/>
  <c r="AM186" i="16" s="1"/>
  <c r="AD186" i="16"/>
  <c r="AN186" i="16" s="1"/>
  <c r="AS97" i="16"/>
  <c r="AC97" i="16"/>
  <c r="AM97" i="16" s="1"/>
  <c r="AF97" i="16"/>
  <c r="AP97" i="16" s="1"/>
  <c r="AD97" i="16"/>
  <c r="AN97" i="16" s="1"/>
  <c r="AE97" i="16"/>
  <c r="AO97" i="16" s="1"/>
  <c r="AS953" i="16"/>
  <c r="AE947" i="16"/>
  <c r="AO947" i="16" s="1"/>
  <c r="AF947" i="16"/>
  <c r="AP947" i="16" s="1"/>
  <c r="AD947" i="16"/>
  <c r="AN947" i="16" s="1"/>
  <c r="AC947" i="16"/>
  <c r="AM947" i="16" s="1"/>
  <c r="AS236" i="16"/>
  <c r="AF236" i="16"/>
  <c r="AP236" i="16" s="1"/>
  <c r="AD236" i="16"/>
  <c r="AN236" i="16" s="1"/>
  <c r="AE236" i="16"/>
  <c r="AO236" i="16" s="1"/>
  <c r="AC236" i="16"/>
  <c r="AM236" i="16" s="1"/>
  <c r="AS560" i="16"/>
  <c r="AC558" i="16"/>
  <c r="AM558" i="16" s="1"/>
  <c r="AD558" i="16"/>
  <c r="AN558" i="16" s="1"/>
  <c r="AE558" i="16"/>
  <c r="AO558" i="16" s="1"/>
  <c r="AF558" i="16"/>
  <c r="AP558" i="16" s="1"/>
  <c r="AS14" i="16"/>
  <c r="AE14" i="16"/>
  <c r="AO14" i="16" s="1"/>
  <c r="AD14" i="16"/>
  <c r="AN14" i="16" s="1"/>
  <c r="AF14" i="16"/>
  <c r="AP14" i="16" s="1"/>
  <c r="AC14" i="16"/>
  <c r="AM14" i="16" s="1"/>
  <c r="AS265" i="16"/>
  <c r="AE265" i="16"/>
  <c r="AO265" i="16" s="1"/>
  <c r="AD265" i="16"/>
  <c r="AN265" i="16" s="1"/>
  <c r="AC265" i="16"/>
  <c r="AM265" i="16" s="1"/>
  <c r="AF265" i="16"/>
  <c r="AP265" i="16" s="1"/>
  <c r="AS71" i="16"/>
  <c r="AF71" i="16"/>
  <c r="AP71" i="16" s="1"/>
  <c r="AE71" i="16"/>
  <c r="AO71" i="16" s="1"/>
  <c r="AD71" i="16"/>
  <c r="AN71" i="16" s="1"/>
  <c r="AC71" i="16"/>
  <c r="AM71" i="16" s="1"/>
  <c r="AS219" i="16"/>
  <c r="AD219" i="16"/>
  <c r="AN219" i="16" s="1"/>
  <c r="AF219" i="16"/>
  <c r="AP219" i="16" s="1"/>
  <c r="AC219" i="16"/>
  <c r="AM219" i="16" s="1"/>
  <c r="AE219" i="16"/>
  <c r="AO219" i="16" s="1"/>
  <c r="AS936" i="16"/>
  <c r="AF930" i="16"/>
  <c r="AP930" i="16" s="1"/>
  <c r="AC930" i="16"/>
  <c r="AM930" i="16" s="1"/>
  <c r="AE930" i="16"/>
  <c r="AO930" i="16" s="1"/>
  <c r="AD930" i="16"/>
  <c r="AN930" i="16" s="1"/>
  <c r="AS708" i="16"/>
  <c r="AC706" i="16"/>
  <c r="AM706" i="16" s="1"/>
  <c r="AD706" i="16"/>
  <c r="AN706" i="16" s="1"/>
  <c r="AE706" i="16"/>
  <c r="AO706" i="16" s="1"/>
  <c r="AF706" i="16"/>
  <c r="AP706" i="16" s="1"/>
  <c r="AS474" i="16"/>
  <c r="AD474" i="16"/>
  <c r="AN474" i="16" s="1"/>
  <c r="AC474" i="16"/>
  <c r="AM474" i="16" s="1"/>
  <c r="AE474" i="16"/>
  <c r="AO474" i="16" s="1"/>
  <c r="AF474" i="16"/>
  <c r="AP474" i="16" s="1"/>
  <c r="AS127" i="16"/>
  <c r="AD127" i="16"/>
  <c r="AN127" i="16" s="1"/>
  <c r="AC127" i="16"/>
  <c r="AM127" i="16" s="1"/>
  <c r="AE127" i="16"/>
  <c r="AO127" i="16" s="1"/>
  <c r="AF127" i="16"/>
  <c r="AP127" i="16" s="1"/>
  <c r="AS1165" i="16"/>
  <c r="AF1158" i="16"/>
  <c r="AP1158" i="16" s="1"/>
  <c r="AD1158" i="16"/>
  <c r="AN1158" i="16" s="1"/>
  <c r="AC1158" i="16"/>
  <c r="AM1158" i="16" s="1"/>
  <c r="AE1158" i="16"/>
  <c r="AO1158" i="16" s="1"/>
  <c r="AS1203" i="16"/>
  <c r="AE1196" i="16"/>
  <c r="AO1196" i="16" s="1"/>
  <c r="AD1196" i="16"/>
  <c r="AN1196" i="16" s="1"/>
  <c r="AC1196" i="16"/>
  <c r="AM1196" i="16" s="1"/>
  <c r="AF1196" i="16"/>
  <c r="AP1196" i="16" s="1"/>
  <c r="AS719" i="16"/>
  <c r="AC717" i="16"/>
  <c r="AM717" i="16" s="1"/>
  <c r="AD717" i="16"/>
  <c r="AN717" i="16" s="1"/>
  <c r="AE717" i="16"/>
  <c r="AO717" i="16" s="1"/>
  <c r="AF717" i="16"/>
  <c r="AP717" i="16" s="1"/>
  <c r="AS1100" i="16"/>
  <c r="AD1093" i="16"/>
  <c r="AN1093" i="16" s="1"/>
  <c r="AF1093" i="16"/>
  <c r="AP1093" i="16" s="1"/>
  <c r="AE1093" i="16"/>
  <c r="AO1093" i="16" s="1"/>
  <c r="AC1093" i="16"/>
  <c r="AM1093" i="16" s="1"/>
  <c r="AS58" i="16"/>
  <c r="AD58" i="16"/>
  <c r="AN58" i="16" s="1"/>
  <c r="AE58" i="16"/>
  <c r="AO58" i="16" s="1"/>
  <c r="AF58" i="16"/>
  <c r="AP58" i="16" s="1"/>
  <c r="AC58" i="16"/>
  <c r="AM58" i="16" s="1"/>
  <c r="AS68" i="16"/>
  <c r="AE68" i="16"/>
  <c r="AO68" i="16" s="1"/>
  <c r="AD68" i="16"/>
  <c r="AN68" i="16" s="1"/>
  <c r="AC68" i="16"/>
  <c r="AM68" i="16" s="1"/>
  <c r="AF68" i="16"/>
  <c r="AP68" i="16" s="1"/>
  <c r="AS493" i="16"/>
  <c r="AE493" i="16"/>
  <c r="AO493" i="16" s="1"/>
  <c r="AD493" i="16"/>
  <c r="AN493" i="16" s="1"/>
  <c r="AF493" i="16"/>
  <c r="AP493" i="16" s="1"/>
  <c r="AC493" i="16"/>
  <c r="AM493" i="16" s="1"/>
  <c r="AS135" i="16"/>
  <c r="AD135" i="16"/>
  <c r="AN135" i="16" s="1"/>
  <c r="AE135" i="16"/>
  <c r="AO135" i="16" s="1"/>
  <c r="AC135" i="16"/>
  <c r="AM135" i="16" s="1"/>
  <c r="AF135" i="16"/>
  <c r="AP135" i="16" s="1"/>
  <c r="AS114" i="16"/>
  <c r="AF114" i="16"/>
  <c r="AP114" i="16" s="1"/>
  <c r="AC114" i="16"/>
  <c r="AM114" i="16" s="1"/>
  <c r="AD114" i="16"/>
  <c r="AN114" i="16" s="1"/>
  <c r="AE114" i="16"/>
  <c r="AO114" i="16" s="1"/>
  <c r="AS768" i="16"/>
  <c r="AC766" i="16"/>
  <c r="AM766" i="16" s="1"/>
  <c r="AD766" i="16"/>
  <c r="AN766" i="16" s="1"/>
  <c r="AE766" i="16"/>
  <c r="AO766" i="16" s="1"/>
  <c r="AF766" i="16"/>
  <c r="AP766" i="16" s="1"/>
  <c r="AS993" i="16"/>
  <c r="AF986" i="16"/>
  <c r="AP986" i="16" s="1"/>
  <c r="AD986" i="16"/>
  <c r="AN986" i="16" s="1"/>
  <c r="AE986" i="16"/>
  <c r="AO986" i="16" s="1"/>
  <c r="AC986" i="16"/>
  <c r="AM986" i="16" s="1"/>
  <c r="AS596" i="16"/>
  <c r="AC594" i="16"/>
  <c r="AM594" i="16" s="1"/>
  <c r="AE594" i="16"/>
  <c r="AO594" i="16" s="1"/>
  <c r="AD594" i="16"/>
  <c r="AN594" i="16" s="1"/>
  <c r="AF594" i="16"/>
  <c r="AP594" i="16" s="1"/>
  <c r="AS130" i="16"/>
  <c r="AD130" i="16"/>
  <c r="AN130" i="16" s="1"/>
  <c r="AE130" i="16"/>
  <c r="AO130" i="16" s="1"/>
  <c r="AC130" i="16"/>
  <c r="AM130" i="16" s="1"/>
  <c r="AF130" i="16"/>
  <c r="AP130" i="16" s="1"/>
  <c r="AS787" i="16"/>
  <c r="AD785" i="16"/>
  <c r="AN785" i="16" s="1"/>
  <c r="AC785" i="16"/>
  <c r="AM785" i="16" s="1"/>
  <c r="AF785" i="16"/>
  <c r="AP785" i="16" s="1"/>
  <c r="AE785" i="16"/>
  <c r="AO785" i="16" s="1"/>
  <c r="AS212" i="16"/>
  <c r="AD212" i="16"/>
  <c r="AN212" i="16" s="1"/>
  <c r="AC212" i="16"/>
  <c r="AM212" i="16" s="1"/>
  <c r="AF212" i="16"/>
  <c r="AP212" i="16" s="1"/>
  <c r="AE212" i="16"/>
  <c r="AO212" i="16" s="1"/>
  <c r="AS144" i="16"/>
  <c r="AC144" i="16"/>
  <c r="AM144" i="16" s="1"/>
  <c r="AD144" i="16"/>
  <c r="AN144" i="16" s="1"/>
  <c r="AE144" i="16"/>
  <c r="AO144" i="16" s="1"/>
  <c r="AF144" i="16"/>
  <c r="AP144" i="16" s="1"/>
  <c r="AS315" i="16"/>
  <c r="AE315" i="16"/>
  <c r="AO315" i="16" s="1"/>
  <c r="AC315" i="16"/>
  <c r="AM315" i="16" s="1"/>
  <c r="AF315" i="16"/>
  <c r="AP315" i="16" s="1"/>
  <c r="AD315" i="16"/>
  <c r="AN315" i="16" s="1"/>
  <c r="AS109" i="16"/>
  <c r="AC109" i="16"/>
  <c r="AM109" i="16" s="1"/>
  <c r="AE109" i="16"/>
  <c r="AO109" i="16" s="1"/>
  <c r="AF109" i="16"/>
  <c r="AP109" i="16" s="1"/>
  <c r="AD109" i="16"/>
  <c r="AN109" i="16" s="1"/>
  <c r="AS1048" i="16"/>
  <c r="AE1041" i="16"/>
  <c r="AO1041" i="16" s="1"/>
  <c r="AF1041" i="16"/>
  <c r="AP1041" i="16" s="1"/>
  <c r="AC1041" i="16"/>
  <c r="AM1041" i="16" s="1"/>
  <c r="AD1041" i="16"/>
  <c r="AN1041" i="16" s="1"/>
  <c r="AS517" i="16"/>
  <c r="AE517" i="16"/>
  <c r="AO517" i="16" s="1"/>
  <c r="AF517" i="16"/>
  <c r="AP517" i="16" s="1"/>
  <c r="AD517" i="16"/>
  <c r="AN517" i="16" s="1"/>
  <c r="AC517" i="16"/>
  <c r="AM517" i="16" s="1"/>
  <c r="AS902" i="16"/>
  <c r="AD896" i="16"/>
  <c r="AF896" i="16"/>
  <c r="AP896" i="16" s="1"/>
  <c r="AE896" i="16"/>
  <c r="AO896" i="16" s="1"/>
  <c r="AC896" i="16"/>
  <c r="AM896" i="16" s="1"/>
  <c r="AS656" i="16"/>
  <c r="AF654" i="16"/>
  <c r="AP654" i="16" s="1"/>
  <c r="AD654" i="16"/>
  <c r="AN654" i="16" s="1"/>
  <c r="AE654" i="16"/>
  <c r="AO654" i="16" s="1"/>
  <c r="AC654" i="16"/>
  <c r="AM654" i="16" s="1"/>
  <c r="AS1189" i="16"/>
  <c r="AC1182" i="16"/>
  <c r="AM1182" i="16" s="1"/>
  <c r="AD1182" i="16"/>
  <c r="AN1182" i="16" s="1"/>
  <c r="AF1182" i="16"/>
  <c r="AP1182" i="16" s="1"/>
  <c r="AE1182" i="16"/>
  <c r="AO1182" i="16" s="1"/>
  <c r="AS966" i="16"/>
  <c r="AD959" i="16"/>
  <c r="AN959" i="16" s="1"/>
  <c r="AF959" i="16"/>
  <c r="AP959" i="16" s="1"/>
  <c r="AE959" i="16"/>
  <c r="AO959" i="16" s="1"/>
  <c r="AC959" i="16"/>
  <c r="AM959" i="16" s="1"/>
  <c r="AS330" i="16"/>
  <c r="AF330" i="16"/>
  <c r="AP330" i="16" s="1"/>
  <c r="AE330" i="16"/>
  <c r="AO330" i="16" s="1"/>
  <c r="AC330" i="16"/>
  <c r="AM330" i="16" s="1"/>
  <c r="AD330" i="16"/>
  <c r="AN330" i="16" s="1"/>
  <c r="AS1077" i="16"/>
  <c r="AC1070" i="16"/>
  <c r="AM1070" i="16" s="1"/>
  <c r="AF1070" i="16"/>
  <c r="AP1070" i="16" s="1"/>
  <c r="AD1070" i="16"/>
  <c r="AN1070" i="16" s="1"/>
  <c r="AE1070" i="16"/>
  <c r="AO1070" i="16" s="1"/>
  <c r="AS633" i="16"/>
  <c r="AC631" i="16"/>
  <c r="AM631" i="16" s="1"/>
  <c r="AE631" i="16"/>
  <c r="AO631" i="16" s="1"/>
  <c r="AD631" i="16"/>
  <c r="AN631" i="16" s="1"/>
  <c r="AF631" i="16"/>
  <c r="AP631" i="16" s="1"/>
  <c r="AS871" i="16"/>
  <c r="AC865" i="16"/>
  <c r="AM865" i="16" s="1"/>
  <c r="AE865" i="16"/>
  <c r="AO865" i="16" s="1"/>
  <c r="AF865" i="16"/>
  <c r="AP865" i="16" s="1"/>
  <c r="AD865" i="16"/>
  <c r="AN865" i="16" s="1"/>
  <c r="AS1155" i="16"/>
  <c r="AD1148" i="16"/>
  <c r="AN1148" i="16" s="1"/>
  <c r="AE1148" i="16"/>
  <c r="AO1148" i="16" s="1"/>
  <c r="AF1148" i="16"/>
  <c r="AP1148" i="16" s="1"/>
  <c r="AC1148" i="16"/>
  <c r="AM1148" i="16" s="1"/>
  <c r="AS63" i="16"/>
  <c r="AD63" i="16"/>
  <c r="AN63" i="16" s="1"/>
  <c r="AC63" i="16"/>
  <c r="AM63" i="16" s="1"/>
  <c r="AE63" i="16"/>
  <c r="AO63" i="16" s="1"/>
  <c r="AF63" i="16"/>
  <c r="AP63" i="16" s="1"/>
  <c r="AS1200" i="16"/>
  <c r="AD1193" i="16"/>
  <c r="AN1193" i="16" s="1"/>
  <c r="AC1193" i="16"/>
  <c r="AM1193" i="16" s="1"/>
  <c r="AF1193" i="16"/>
  <c r="AP1193" i="16" s="1"/>
  <c r="AE1193" i="16"/>
  <c r="AO1193" i="16" s="1"/>
  <c r="AS67" i="16"/>
  <c r="AF67" i="16"/>
  <c r="AP67" i="16" s="1"/>
  <c r="AE67" i="16"/>
  <c r="AO67" i="16" s="1"/>
  <c r="AD67" i="16"/>
  <c r="AN67" i="16" s="1"/>
  <c r="AC67" i="16"/>
  <c r="AM67" i="16" s="1"/>
  <c r="AS21" i="16"/>
  <c r="AE21" i="16"/>
  <c r="AO21" i="16" s="1"/>
  <c r="AC21" i="16"/>
  <c r="AM21" i="16" s="1"/>
  <c r="AF21" i="16"/>
  <c r="AP21" i="16" s="1"/>
  <c r="AD21" i="16"/>
  <c r="AN21" i="16" s="1"/>
  <c r="AS631" i="16"/>
  <c r="AC629" i="16"/>
  <c r="AM629" i="16" s="1"/>
  <c r="AE629" i="16"/>
  <c r="AO629" i="16" s="1"/>
  <c r="AD629" i="16"/>
  <c r="AN629" i="16" s="1"/>
  <c r="AF629" i="16"/>
  <c r="AP629" i="16" s="1"/>
  <c r="AS985" i="16"/>
  <c r="AD978" i="16"/>
  <c r="AN978" i="16" s="1"/>
  <c r="AC978" i="16"/>
  <c r="AM978" i="16" s="1"/>
  <c r="AF978" i="16"/>
  <c r="AP978" i="16" s="1"/>
  <c r="AE978" i="16"/>
  <c r="AO978" i="16" s="1"/>
  <c r="AS817" i="16"/>
  <c r="AC814" i="16"/>
  <c r="AM814" i="16" s="1"/>
  <c r="AD814" i="16"/>
  <c r="AN814" i="16" s="1"/>
  <c r="AE814" i="16"/>
  <c r="AO814" i="16" s="1"/>
  <c r="AF814" i="16"/>
  <c r="AP814" i="16" s="1"/>
  <c r="AS494" i="16"/>
  <c r="AF494" i="16"/>
  <c r="AP494" i="16" s="1"/>
  <c r="AE494" i="16"/>
  <c r="AO494" i="16" s="1"/>
  <c r="AD494" i="16"/>
  <c r="AN494" i="16" s="1"/>
  <c r="AC494" i="16"/>
  <c r="AM494" i="16" s="1"/>
  <c r="AS1131" i="16"/>
  <c r="AF1124" i="16"/>
  <c r="AP1124" i="16" s="1"/>
  <c r="AD1124" i="16"/>
  <c r="AN1124" i="16" s="1"/>
  <c r="AE1124" i="16"/>
  <c r="AO1124" i="16" s="1"/>
  <c r="AC1124" i="16"/>
  <c r="AM1124" i="16" s="1"/>
  <c r="AS1067" i="16"/>
  <c r="AE1060" i="16"/>
  <c r="AO1060" i="16" s="1"/>
  <c r="AC1060" i="16"/>
  <c r="AM1060" i="16" s="1"/>
  <c r="AF1060" i="16"/>
  <c r="AP1060" i="16" s="1"/>
  <c r="AD1060" i="16"/>
  <c r="AN1060" i="16" s="1"/>
  <c r="AS446" i="16"/>
  <c r="AC446" i="16"/>
  <c r="AM446" i="16" s="1"/>
  <c r="AE446" i="16"/>
  <c r="AO446" i="16" s="1"/>
  <c r="AD446" i="16"/>
  <c r="AN446" i="16" s="1"/>
  <c r="AF446" i="16"/>
  <c r="AP446" i="16" s="1"/>
  <c r="P667" i="16"/>
  <c r="AM667" i="2"/>
  <c r="AJ666" i="2"/>
  <c r="Q666" i="16"/>
  <c r="AS544" i="2"/>
  <c r="AU544" i="2" s="1"/>
  <c r="AM908" i="2"/>
  <c r="AS1132" i="16"/>
  <c r="AS622" i="16"/>
  <c r="AS872" i="16"/>
  <c r="AS903" i="16"/>
  <c r="AS904" i="16"/>
  <c r="AS794" i="16"/>
  <c r="AS742" i="16"/>
  <c r="P621" i="16"/>
  <c r="AI621" i="2"/>
  <c r="AS740" i="16"/>
  <c r="AI402" i="2"/>
  <c r="P402" i="16"/>
  <c r="Q255" i="16"/>
  <c r="AJ255" i="2"/>
  <c r="Q518" i="16"/>
  <c r="AJ518" i="2"/>
  <c r="Q862" i="16"/>
  <c r="AJ862" i="2"/>
  <c r="AN580" i="2"/>
  <c r="Q580" i="16"/>
  <c r="AJ580" i="2"/>
  <c r="Z1099" i="16"/>
  <c r="AS542" i="16"/>
  <c r="AS540" i="16"/>
  <c r="AS582" i="2"/>
  <c r="AU582" i="2" s="1"/>
  <c r="R582" i="16" s="1"/>
  <c r="AT582" i="16" s="1"/>
  <c r="R983" i="16"/>
  <c r="AW983" i="2"/>
  <c r="T983" i="16" s="1"/>
  <c r="O868" i="16"/>
  <c r="AH868" i="2"/>
  <c r="P868" i="16" s="1"/>
  <c r="AL868" i="2"/>
  <c r="AK868" i="2"/>
  <c r="AM868" i="2"/>
  <c r="O582" i="16"/>
  <c r="AG583" i="2"/>
  <c r="AK582" i="2"/>
  <c r="AH582" i="2"/>
  <c r="P582" i="16" s="1"/>
  <c r="AL582" i="2"/>
  <c r="AN582" i="2"/>
  <c r="Q971" i="16"/>
  <c r="AJ971" i="2"/>
  <c r="AW675" i="2"/>
  <c r="T675" i="16" s="1"/>
  <c r="R675" i="16"/>
  <c r="AT675" i="16" s="1"/>
  <c r="AS821" i="2"/>
  <c r="AU821" i="2" s="1"/>
  <c r="AN535" i="2"/>
  <c r="Q535" i="16"/>
  <c r="AJ535" i="2"/>
  <c r="H820" i="16"/>
  <c r="U821" i="2"/>
  <c r="B583" i="16"/>
  <c r="AQ583" i="2"/>
  <c r="A583" i="16"/>
  <c r="AP583" i="2"/>
  <c r="AI972" i="2"/>
  <c r="B545" i="16"/>
  <c r="AQ545" i="2"/>
  <c r="AS545" i="2" s="1"/>
  <c r="AU545" i="2" s="1"/>
  <c r="H675" i="16"/>
  <c r="AI675" i="2"/>
  <c r="AJ1012" i="2"/>
  <c r="Q1012" i="16"/>
  <c r="AW613" i="2"/>
  <c r="T613" i="16" s="1"/>
  <c r="AN613" i="2"/>
  <c r="P544" i="16"/>
  <c r="AM544" i="2"/>
  <c r="AJ792" i="2"/>
  <c r="Q792" i="16"/>
  <c r="AN743" i="2"/>
  <c r="AJ743" i="2"/>
  <c r="Q743" i="16"/>
  <c r="AJ701" i="2"/>
  <c r="Q701" i="16"/>
  <c r="H744" i="16"/>
  <c r="AI744" i="2"/>
  <c r="AJ603" i="2"/>
  <c r="Q603" i="16"/>
  <c r="AM972" i="2"/>
  <c r="Q621" i="16"/>
  <c r="AJ621" i="2"/>
  <c r="AI867" i="2"/>
  <c r="AM1099" i="2"/>
  <c r="H544" i="16"/>
  <c r="U545" i="2"/>
  <c r="AI544" i="2"/>
  <c r="AJ866" i="2"/>
  <c r="Q866" i="16"/>
  <c r="AN866" i="2"/>
  <c r="R621" i="16"/>
  <c r="AT621" i="16" s="1"/>
  <c r="AW621" i="2"/>
  <c r="T621" i="16" s="1"/>
  <c r="AJ937" i="2"/>
  <c r="AN937" i="2"/>
  <c r="Q937" i="16"/>
  <c r="H868" i="16"/>
  <c r="AI868" i="2"/>
  <c r="AN868" i="2" s="1"/>
  <c r="AS744" i="2"/>
  <c r="AU744" i="2" s="1"/>
  <c r="R666" i="16"/>
  <c r="AT666" i="16" s="1"/>
  <c r="AW666" i="2"/>
  <c r="T666" i="16" s="1"/>
  <c r="R867" i="16"/>
  <c r="AT871" i="16" s="1"/>
  <c r="AW867" i="2"/>
  <c r="T867" i="16" s="1"/>
  <c r="O545" i="16"/>
  <c r="AK545" i="2"/>
  <c r="AL545" i="2"/>
  <c r="AH545" i="2"/>
  <c r="P545" i="16" s="1"/>
  <c r="AN545" i="2"/>
  <c r="R972" i="16"/>
  <c r="AW972" i="2"/>
  <c r="T972" i="16" s="1"/>
  <c r="AW667" i="2"/>
  <c r="T667" i="16" s="1"/>
  <c r="R667" i="16"/>
  <c r="AT667" i="16" s="1"/>
  <c r="B868" i="16"/>
  <c r="AQ868" i="2"/>
  <c r="AS868" i="2" s="1"/>
  <c r="AU868" i="2" s="1"/>
  <c r="Q641" i="16"/>
  <c r="AN641" i="2"/>
  <c r="AN626" i="2"/>
  <c r="AJ626" i="2"/>
  <c r="Q626" i="16"/>
  <c r="H582" i="16"/>
  <c r="U583" i="2"/>
  <c r="Q854" i="16"/>
  <c r="AN854" i="2"/>
  <c r="AJ854" i="2"/>
  <c r="AI983" i="2"/>
  <c r="AW907" i="2"/>
  <c r="T907" i="16" s="1"/>
  <c r="AM256" i="2"/>
  <c r="AM543" i="2"/>
  <c r="AJ401" i="2"/>
  <c r="Q401" i="16"/>
  <c r="AN401" i="2"/>
  <c r="AS333" i="16"/>
  <c r="AS412" i="16"/>
  <c r="AS9" i="16"/>
  <c r="AS509" i="16"/>
  <c r="AJ964" i="2"/>
  <c r="Q964" i="16"/>
  <c r="AN742" i="2"/>
  <c r="AJ742" i="2"/>
  <c r="Q742" i="16"/>
  <c r="AN394" i="2"/>
  <c r="Q394" i="16"/>
  <c r="AJ394" i="2"/>
  <c r="P224" i="16"/>
  <c r="AI224" i="2"/>
  <c r="AM581" i="2"/>
  <c r="AS169" i="16"/>
  <c r="AS11" i="16"/>
  <c r="AS216" i="16"/>
  <c r="AH279" i="16"/>
  <c r="AH567" i="16"/>
  <c r="AH531" i="16"/>
  <c r="AH554" i="16"/>
  <c r="AH536" i="16"/>
  <c r="AH262" i="16"/>
  <c r="AH528" i="16"/>
  <c r="AH492" i="16"/>
  <c r="AH692" i="16"/>
  <c r="AH246" i="16"/>
  <c r="AH502" i="16"/>
  <c r="AH634" i="16"/>
  <c r="AH597" i="16"/>
  <c r="AH519" i="16"/>
  <c r="AH455" i="16"/>
  <c r="AH420" i="16"/>
  <c r="AH576" i="16"/>
  <c r="AH604" i="16"/>
  <c r="AH655" i="16"/>
  <c r="AH575" i="16"/>
  <c r="AH588" i="16"/>
  <c r="AH661" i="16"/>
  <c r="AH548" i="16"/>
  <c r="AH522" i="16"/>
  <c r="AH427" i="16"/>
  <c r="AH444" i="16"/>
  <c r="AH426" i="16"/>
  <c r="AH525" i="16"/>
  <c r="AH389" i="16"/>
  <c r="AH630" i="16"/>
  <c r="AH263" i="16"/>
  <c r="AH577" i="16"/>
  <c r="AH586" i="16"/>
  <c r="AH596" i="16"/>
  <c r="AH571" i="16"/>
  <c r="AH713" i="16"/>
  <c r="AH644" i="16"/>
  <c r="AH628" i="16"/>
  <c r="AH405" i="16"/>
  <c r="AH552" i="16"/>
  <c r="AH508" i="16"/>
  <c r="AH714" i="16"/>
  <c r="AH241" i="16"/>
  <c r="AH563" i="16"/>
  <c r="AH503" i="16"/>
  <c r="AH618" i="16"/>
  <c r="AH705" i="16"/>
  <c r="AH550" i="16"/>
  <c r="AH590" i="16"/>
  <c r="AH584" i="16"/>
  <c r="AH515" i="16"/>
  <c r="AH773" i="16"/>
  <c r="AH556" i="16"/>
  <c r="AH726" i="16"/>
  <c r="AH504" i="16"/>
  <c r="AH566" i="16"/>
  <c r="AH445" i="16"/>
  <c r="AH787" i="16"/>
  <c r="AH380" i="16"/>
  <c r="AH379" i="16"/>
  <c r="AH551" i="16"/>
  <c r="AH617" i="16"/>
  <c r="AH512" i="16"/>
  <c r="AH415" i="16"/>
  <c r="AH418" i="16"/>
  <c r="AH296" i="16"/>
  <c r="AH720" i="16"/>
  <c r="AH697" i="16"/>
  <c r="AH657" i="16"/>
  <c r="AH395" i="16"/>
  <c r="AH568" i="16"/>
  <c r="AH716" i="16"/>
  <c r="AH574" i="16"/>
  <c r="AM1078" i="2"/>
  <c r="AJ407" i="2"/>
  <c r="AN844" i="2"/>
  <c r="AH121" i="16"/>
  <c r="AH107" i="16"/>
  <c r="AH187" i="16"/>
  <c r="AH35" i="16"/>
  <c r="AH115" i="16"/>
  <c r="AH111" i="16"/>
  <c r="AH88" i="16"/>
  <c r="AH44" i="16"/>
  <c r="AH27" i="16"/>
  <c r="AH110" i="16"/>
  <c r="AH24" i="16"/>
  <c r="AH191" i="16"/>
  <c r="AH162" i="16"/>
  <c r="AH185" i="16"/>
  <c r="AH2" i="16"/>
  <c r="AH176" i="16"/>
  <c r="AH5" i="16"/>
  <c r="AH4" i="16"/>
  <c r="AH51" i="16"/>
  <c r="AH12" i="16"/>
  <c r="AH179" i="16"/>
  <c r="AH64" i="16"/>
  <c r="AH164" i="16"/>
  <c r="AH30" i="16"/>
  <c r="AH145" i="16"/>
  <c r="AH211" i="16"/>
  <c r="AH22" i="16"/>
  <c r="AH189" i="16"/>
  <c r="AH45" i="16"/>
  <c r="AH41" i="16"/>
  <c r="AH218" i="16"/>
  <c r="AH214" i="16"/>
  <c r="AH197" i="16"/>
  <c r="AH168" i="16"/>
  <c r="AH3" i="16"/>
  <c r="AH149" i="16"/>
  <c r="AH87" i="16"/>
  <c r="AH50" i="16"/>
  <c r="AH46" i="16"/>
  <c r="AH129" i="16"/>
  <c r="AH148" i="16"/>
  <c r="T943" i="16"/>
  <c r="T302" i="16"/>
  <c r="T844" i="16"/>
  <c r="R845" i="16"/>
  <c r="AT846" i="16" s="1"/>
  <c r="AH153" i="16"/>
  <c r="AJ268" i="2"/>
  <c r="Q268" i="16"/>
  <c r="AN268" i="2"/>
  <c r="AH156" i="16"/>
  <c r="T314" i="16"/>
  <c r="AH76" i="16"/>
  <c r="AH155" i="16"/>
  <c r="AH192" i="16"/>
  <c r="AJ1194" i="2"/>
  <c r="Q1194" i="16"/>
  <c r="AN1194" i="2"/>
  <c r="T500" i="16"/>
  <c r="T1011" i="16"/>
  <c r="T982" i="16"/>
  <c r="AH32" i="16"/>
  <c r="AH146" i="16"/>
  <c r="AH31" i="16"/>
  <c r="AH157" i="16"/>
  <c r="Q619" i="16"/>
  <c r="AJ619" i="2"/>
  <c r="T602" i="16"/>
  <c r="AH167" i="16"/>
  <c r="AH28" i="16"/>
  <c r="AJ931" i="2"/>
  <c r="Q931" i="16"/>
  <c r="AN931" i="2"/>
  <c r="B140" i="16"/>
  <c r="AQ140" i="2"/>
  <c r="AS140" i="2" s="1"/>
  <c r="AU140" i="2" s="1"/>
  <c r="T518" i="16"/>
  <c r="T401" i="16"/>
  <c r="T454" i="16"/>
  <c r="AJ123" i="2"/>
  <c r="Q123" i="16"/>
  <c r="AN123" i="2"/>
  <c r="AJ480" i="2"/>
  <c r="Q480" i="16"/>
  <c r="AN480" i="2"/>
  <c r="P653" i="16"/>
  <c r="AI653" i="2"/>
  <c r="T23" i="16"/>
  <c r="AH131" i="16"/>
  <c r="T665" i="16"/>
  <c r="AJ652" i="2"/>
  <c r="Q652" i="16"/>
  <c r="AH16" i="16"/>
  <c r="AH57" i="16"/>
  <c r="AH163" i="16"/>
  <c r="AH112" i="16"/>
  <c r="T862" i="16"/>
  <c r="AH118" i="16"/>
  <c r="T534" i="16"/>
  <c r="AH158" i="16"/>
  <c r="T843" i="16"/>
  <c r="AH70" i="16"/>
  <c r="AH66" i="16"/>
  <c r="AH15" i="16"/>
  <c r="T942" i="16"/>
  <c r="AH25" i="16"/>
  <c r="T342" i="16"/>
  <c r="AJ542" i="2"/>
  <c r="Q542" i="16"/>
  <c r="AH165" i="16"/>
  <c r="T285" i="16"/>
  <c r="AH208" i="16"/>
  <c r="AH152" i="16"/>
  <c r="AH188" i="16"/>
  <c r="AJ616" i="2"/>
  <c r="Q616" i="16"/>
  <c r="AH55" i="16"/>
  <c r="T640" i="16"/>
  <c r="AH203" i="16"/>
  <c r="AH126" i="16"/>
  <c r="AI543" i="2"/>
  <c r="AW543" i="2" s="1"/>
  <c r="AH198" i="16"/>
  <c r="AH217" i="16"/>
  <c r="T479" i="16"/>
  <c r="T353" i="16"/>
  <c r="AH60" i="16"/>
  <c r="AH180" i="16"/>
  <c r="AH65" i="16"/>
  <c r="AH103" i="16"/>
  <c r="AH84" i="16"/>
  <c r="AH99" i="16"/>
  <c r="T580" i="16"/>
  <c r="AH94" i="16"/>
  <c r="AH100" i="16"/>
  <c r="AH222" i="16"/>
  <c r="T123" i="16"/>
  <c r="AH54" i="16"/>
  <c r="AH175" i="16"/>
  <c r="T224" i="16"/>
  <c r="T973" i="16"/>
  <c r="AI256" i="2"/>
  <c r="AH190" i="16"/>
  <c r="AJ500" i="2"/>
  <c r="Q500" i="16"/>
  <c r="AN500" i="2"/>
  <c r="T331" i="16"/>
  <c r="AJ369" i="2"/>
  <c r="Q369" i="16"/>
  <c r="T233" i="16"/>
  <c r="AH202" i="16"/>
  <c r="AH40" i="16"/>
  <c r="AH182" i="16"/>
  <c r="T480" i="16"/>
  <c r="AW820" i="2"/>
  <c r="R820" i="16"/>
  <c r="AT821" i="16" s="1"/>
  <c r="T369" i="16"/>
  <c r="AH184" i="16"/>
  <c r="AH96" i="16"/>
  <c r="AH136" i="16"/>
  <c r="T327" i="16"/>
  <c r="AW1098" i="2"/>
  <c r="R1098" i="16"/>
  <c r="T591" i="16"/>
  <c r="AH78" i="16"/>
  <c r="AH220" i="16"/>
  <c r="AH170" i="16"/>
  <c r="AJ133" i="2"/>
  <c r="Q133" i="16"/>
  <c r="AN133" i="2"/>
  <c r="T313" i="16"/>
  <c r="AH104" i="16"/>
  <c r="AH178" i="16"/>
  <c r="AH18" i="16"/>
  <c r="AH19" i="16"/>
  <c r="AH200" i="16"/>
  <c r="AH20" i="16"/>
  <c r="T244" i="16"/>
  <c r="AH36" i="16"/>
  <c r="T301" i="16"/>
  <c r="AI139" i="2"/>
  <c r="P139" i="16"/>
  <c r="AH73" i="16"/>
  <c r="AJ637" i="2"/>
  <c r="Q637" i="16"/>
  <c r="AH81" i="16"/>
  <c r="AH86" i="16"/>
  <c r="AJ818" i="2"/>
  <c r="Q818" i="16"/>
  <c r="AN818" i="2"/>
  <c r="AH59" i="16"/>
  <c r="R402" i="16"/>
  <c r="AT402" i="16" s="1"/>
  <c r="AW402" i="2"/>
  <c r="AH137" i="16"/>
  <c r="T1077" i="16"/>
  <c r="T1194" i="16"/>
  <c r="AJ534" i="2"/>
  <c r="Q534" i="16"/>
  <c r="AN534" i="2"/>
  <c r="H140" i="16"/>
  <c r="AH7" i="16"/>
  <c r="T725" i="16"/>
  <c r="AH196" i="16"/>
  <c r="T1149" i="16"/>
  <c r="AH102" i="16"/>
  <c r="AH38" i="16"/>
  <c r="AH181" i="16"/>
  <c r="AH93" i="16"/>
  <c r="AH205" i="16"/>
  <c r="AJ907" i="2"/>
  <c r="Q907" i="16"/>
  <c r="T255" i="16"/>
  <c r="T855" i="16"/>
  <c r="AJ673" i="2"/>
  <c r="Q673" i="16"/>
  <c r="T549" i="16"/>
  <c r="AH49" i="16"/>
  <c r="AH56" i="16"/>
  <c r="AJ1077" i="2"/>
  <c r="Q1077" i="16"/>
  <c r="AH33" i="16"/>
  <c r="T450" i="16"/>
  <c r="T414" i="16"/>
  <c r="AI1078" i="2"/>
  <c r="AW1078" i="2" s="1"/>
  <c r="P1078" i="16"/>
  <c r="AJ302" i="2"/>
  <c r="Q302" i="16"/>
  <c r="AI1099" i="2"/>
  <c r="AN1099" i="2" s="1"/>
  <c r="R1078" i="16"/>
  <c r="AH106" i="16"/>
  <c r="AH227" i="16"/>
  <c r="AH105" i="16"/>
  <c r="T1097" i="16"/>
  <c r="AW544" i="2"/>
  <c r="R544" i="16"/>
  <c r="AT544" i="16" s="1"/>
  <c r="AH151" i="16"/>
  <c r="T967" i="16"/>
  <c r="AH98" i="16"/>
  <c r="AH85" i="16"/>
  <c r="T637" i="16"/>
  <c r="AJ613" i="2"/>
  <c r="Q613" i="16"/>
  <c r="AH117" i="16"/>
  <c r="AH82" i="16"/>
  <c r="AJ844" i="2"/>
  <c r="Q844" i="16"/>
  <c r="AH113" i="16"/>
  <c r="AI581" i="2"/>
  <c r="AW581" i="2" s="1"/>
  <c r="P581" i="16"/>
  <c r="AH206" i="16"/>
  <c r="AJ23" i="2"/>
  <c r="Q23" i="16"/>
  <c r="AH47" i="16"/>
  <c r="AH34" i="16"/>
  <c r="AH172" i="16"/>
  <c r="AH95" i="16"/>
  <c r="AH209" i="16"/>
  <c r="T818" i="16"/>
  <c r="AH226" i="16"/>
  <c r="T641" i="16"/>
  <c r="AW133" i="2"/>
  <c r="R133" i="16"/>
  <c r="AT133" i="16" s="1"/>
  <c r="AJ703" i="2"/>
  <c r="Q703" i="16"/>
  <c r="AN703" i="2"/>
  <c r="R908" i="16"/>
  <c r="AT912" i="16" s="1"/>
  <c r="R543" i="16"/>
  <c r="AT543" i="16" s="1"/>
  <c r="R581" i="16"/>
  <c r="AT581" i="16" s="1"/>
  <c r="T702" i="16"/>
  <c r="AH116" i="16"/>
  <c r="AH72" i="16"/>
  <c r="AH42" i="16"/>
  <c r="AJ79" i="2"/>
  <c r="Q79" i="16"/>
  <c r="AH92" i="16"/>
  <c r="AW652" i="2"/>
  <c r="AH89" i="16"/>
  <c r="AH154" i="16"/>
  <c r="O140" i="16"/>
  <c r="AH140" i="2"/>
  <c r="P140" i="16" s="1"/>
  <c r="AL140" i="2"/>
  <c r="AK140" i="2"/>
  <c r="AM140" i="2"/>
  <c r="T268" i="16"/>
  <c r="AH101" i="16"/>
  <c r="AI332" i="2"/>
  <c r="P332" i="16"/>
  <c r="AH61" i="16"/>
  <c r="AH160" i="16"/>
  <c r="AH213" i="16"/>
  <c r="AJ943" i="2"/>
  <c r="Q943" i="16"/>
  <c r="AH199" i="16"/>
  <c r="AH210" i="16"/>
  <c r="AI908" i="2"/>
  <c r="AN908" i="2" s="1"/>
  <c r="P908" i="16"/>
  <c r="AH183" i="16"/>
  <c r="AJ982" i="2"/>
  <c r="Q982" i="16"/>
  <c r="AN982" i="2"/>
  <c r="AH37" i="16"/>
  <c r="AH225" i="16"/>
  <c r="T703" i="16"/>
  <c r="AH43" i="16"/>
  <c r="T815" i="16"/>
  <c r="T323" i="16"/>
  <c r="AJ1098" i="2"/>
  <c r="Q1098" i="16"/>
  <c r="AH166" i="16"/>
  <c r="AS653" i="2"/>
  <c r="AU653" i="2" s="1"/>
  <c r="AH91" i="16"/>
  <c r="AH62" i="16"/>
  <c r="AH195" i="16"/>
  <c r="AH77" i="16"/>
  <c r="AW134" i="2"/>
  <c r="R134" i="16"/>
  <c r="AT134" i="16" s="1"/>
  <c r="Q138" i="16"/>
  <c r="AN138" i="2"/>
  <c r="AJ138" i="2"/>
  <c r="AH207" i="16"/>
  <c r="T673" i="16"/>
  <c r="AJ323" i="2"/>
  <c r="Q323" i="16"/>
  <c r="AI845" i="2"/>
  <c r="AN845" i="2" s="1"/>
  <c r="P845" i="16"/>
  <c r="AJ223" i="2"/>
  <c r="Q223" i="16"/>
  <c r="AN223" i="2"/>
  <c r="T931" i="16"/>
  <c r="T138" i="16"/>
  <c r="T1024" i="16"/>
  <c r="T541" i="16"/>
  <c r="T542" i="16"/>
  <c r="AH90" i="16"/>
  <c r="T981" i="16"/>
  <c r="AJ1149" i="2"/>
  <c r="Q1149" i="16"/>
  <c r="AN1149" i="2"/>
  <c r="N1099" i="16"/>
  <c r="T237" i="16"/>
  <c r="AH143" i="16"/>
  <c r="T52" i="16"/>
  <c r="AH26" i="16"/>
  <c r="AH221" i="16"/>
  <c r="AH6" i="16"/>
  <c r="AH142" i="16"/>
  <c r="T674" i="16"/>
  <c r="AW256" i="2"/>
  <c r="R256" i="16"/>
  <c r="AT256" i="16" s="1"/>
  <c r="T267" i="16"/>
  <c r="T132" i="16"/>
  <c r="T565" i="16"/>
  <c r="AJ815" i="2"/>
  <c r="Q815" i="16"/>
  <c r="AH39" i="16"/>
  <c r="AH223" i="16"/>
  <c r="AH215" i="16"/>
  <c r="AW332" i="2"/>
  <c r="R332" i="16"/>
  <c r="AT332" i="16" s="1"/>
  <c r="AH174" i="16"/>
  <c r="AJ725" i="2"/>
  <c r="Q725" i="16"/>
  <c r="AJ820" i="2"/>
  <c r="Q820" i="16"/>
  <c r="AN820" i="2"/>
  <c r="AH124" i="16"/>
  <c r="AJ331" i="2"/>
  <c r="Q331" i="16"/>
  <c r="AN331" i="2"/>
  <c r="T407" i="16"/>
  <c r="AW616" i="2"/>
  <c r="AJ565" i="2"/>
  <c r="Q565" i="16"/>
  <c r="AH120" i="16"/>
  <c r="AW139" i="2"/>
  <c r="R139" i="16"/>
  <c r="AT139" i="16" s="1"/>
  <c r="AQ1099" i="2"/>
  <c r="AS1099" i="2" s="1"/>
  <c r="AU1099" i="2" s="1"/>
  <c r="AM79" i="16" l="1"/>
  <c r="AH79" i="16"/>
  <c r="AS990" i="16"/>
  <c r="AF983" i="16"/>
  <c r="AP983" i="16" s="1"/>
  <c r="AE983" i="16"/>
  <c r="AO983" i="16" s="1"/>
  <c r="AC983" i="16"/>
  <c r="AM983" i="16" s="1"/>
  <c r="AD983" i="16"/>
  <c r="AN983" i="16" s="1"/>
  <c r="AS677" i="16"/>
  <c r="AE675" i="16"/>
  <c r="AO675" i="16" s="1"/>
  <c r="AD675" i="16"/>
  <c r="AN675" i="16" s="1"/>
  <c r="AF675" i="16"/>
  <c r="AP675" i="16" s="1"/>
  <c r="AC675" i="16"/>
  <c r="AM675" i="16" s="1"/>
  <c r="AS615" i="16"/>
  <c r="AE613" i="16"/>
  <c r="AO613" i="16" s="1"/>
  <c r="AD613" i="16"/>
  <c r="AN613" i="16" s="1"/>
  <c r="AC613" i="16"/>
  <c r="AM613" i="16" s="1"/>
  <c r="AF613" i="16"/>
  <c r="AP613" i="16" s="1"/>
  <c r="AS623" i="16"/>
  <c r="AD621" i="16"/>
  <c r="AN621" i="16" s="1"/>
  <c r="AF621" i="16"/>
  <c r="AP621" i="16" s="1"/>
  <c r="AC621" i="16"/>
  <c r="AM621" i="16" s="1"/>
  <c r="AE621" i="16"/>
  <c r="AO621" i="16" s="1"/>
  <c r="AS668" i="16"/>
  <c r="AE666" i="16"/>
  <c r="AO666" i="16" s="1"/>
  <c r="AD666" i="16"/>
  <c r="AF666" i="16"/>
  <c r="AP666" i="16" s="1"/>
  <c r="AC666" i="16"/>
  <c r="AM666" i="16" s="1"/>
  <c r="AS873" i="16"/>
  <c r="AF867" i="16"/>
  <c r="AP867" i="16" s="1"/>
  <c r="AC867" i="16"/>
  <c r="AM867" i="16" s="1"/>
  <c r="AD867" i="16"/>
  <c r="AN867" i="16" s="1"/>
  <c r="AE867" i="16"/>
  <c r="AO867" i="16" s="1"/>
  <c r="AS979" i="16"/>
  <c r="AC972" i="16"/>
  <c r="AM972" i="16" s="1"/>
  <c r="AF972" i="16"/>
  <c r="AP972" i="16" s="1"/>
  <c r="AE972" i="16"/>
  <c r="AO972" i="16" s="1"/>
  <c r="AD972" i="16"/>
  <c r="AN972" i="16" s="1"/>
  <c r="AS669" i="16"/>
  <c r="AC667" i="16"/>
  <c r="AM667" i="16" s="1"/>
  <c r="AE667" i="16"/>
  <c r="AO667" i="16" s="1"/>
  <c r="AF667" i="16"/>
  <c r="AP667" i="16" s="1"/>
  <c r="AD667" i="16"/>
  <c r="AS913" i="16"/>
  <c r="AE907" i="16"/>
  <c r="AO907" i="16" s="1"/>
  <c r="AC907" i="16"/>
  <c r="AM907" i="16" s="1"/>
  <c r="AD907" i="16"/>
  <c r="AN907" i="16" s="1"/>
  <c r="AF907" i="16"/>
  <c r="AP907" i="16" s="1"/>
  <c r="AS949" i="16"/>
  <c r="AC943" i="16"/>
  <c r="AM943" i="16" s="1"/>
  <c r="AD943" i="16"/>
  <c r="AN943" i="16" s="1"/>
  <c r="AE943" i="16"/>
  <c r="AO943" i="16" s="1"/>
  <c r="AF943" i="16"/>
  <c r="AP943" i="16" s="1"/>
  <c r="AS302" i="16"/>
  <c r="AD302" i="16"/>
  <c r="AN302" i="16" s="1"/>
  <c r="AE302" i="16"/>
  <c r="AO302" i="16" s="1"/>
  <c r="AC302" i="16"/>
  <c r="AM302" i="16" s="1"/>
  <c r="AF302" i="16"/>
  <c r="AP302" i="16" s="1"/>
  <c r="AS847" i="16"/>
  <c r="AC844" i="16"/>
  <c r="AM844" i="16" s="1"/>
  <c r="AF844" i="16"/>
  <c r="AP844" i="16" s="1"/>
  <c r="AE844" i="16"/>
  <c r="AO844" i="16" s="1"/>
  <c r="AD844" i="16"/>
  <c r="AS314" i="16"/>
  <c r="AD314" i="16"/>
  <c r="AN314" i="16" s="1"/>
  <c r="AE314" i="16"/>
  <c r="AO314" i="16" s="1"/>
  <c r="AC314" i="16"/>
  <c r="AM314" i="16" s="1"/>
  <c r="AF314" i="16"/>
  <c r="AP314" i="16" s="1"/>
  <c r="AS500" i="16"/>
  <c r="AF500" i="16"/>
  <c r="AP500" i="16" s="1"/>
  <c r="AC500" i="16"/>
  <c r="AM500" i="16" s="1"/>
  <c r="AD500" i="16"/>
  <c r="AN500" i="16" s="1"/>
  <c r="AE500" i="16"/>
  <c r="AO500" i="16" s="1"/>
  <c r="AS1018" i="16"/>
  <c r="AF1011" i="16"/>
  <c r="AP1011" i="16" s="1"/>
  <c r="AC1011" i="16"/>
  <c r="AM1011" i="16" s="1"/>
  <c r="AD1011" i="16"/>
  <c r="AN1011" i="16" s="1"/>
  <c r="AE1011" i="16"/>
  <c r="AO1011" i="16" s="1"/>
  <c r="AS989" i="16"/>
  <c r="AD982" i="16"/>
  <c r="AN982" i="16" s="1"/>
  <c r="AC982" i="16"/>
  <c r="AM982" i="16" s="1"/>
  <c r="AE982" i="16"/>
  <c r="AO982" i="16" s="1"/>
  <c r="AF982" i="16"/>
  <c r="AP982" i="16" s="1"/>
  <c r="AS604" i="16"/>
  <c r="AE602" i="16"/>
  <c r="AO602" i="16" s="1"/>
  <c r="AC602" i="16"/>
  <c r="AM602" i="16" s="1"/>
  <c r="AD602" i="16"/>
  <c r="AN602" i="16" s="1"/>
  <c r="AF602" i="16"/>
  <c r="AP602" i="16" s="1"/>
  <c r="AS518" i="16"/>
  <c r="AF518" i="16"/>
  <c r="AP518" i="16" s="1"/>
  <c r="AD518" i="16"/>
  <c r="AN518" i="16" s="1"/>
  <c r="AC518" i="16"/>
  <c r="AM518" i="16" s="1"/>
  <c r="AE518" i="16"/>
  <c r="AO518" i="16" s="1"/>
  <c r="AS401" i="16"/>
  <c r="AC401" i="16"/>
  <c r="AM401" i="16" s="1"/>
  <c r="AD401" i="16"/>
  <c r="AN401" i="16" s="1"/>
  <c r="AF401" i="16"/>
  <c r="AP401" i="16" s="1"/>
  <c r="AE401" i="16"/>
  <c r="AO401" i="16" s="1"/>
  <c r="AS454" i="16"/>
  <c r="AF454" i="16"/>
  <c r="AP454" i="16" s="1"/>
  <c r="AE454" i="16"/>
  <c r="AO454" i="16" s="1"/>
  <c r="AC454" i="16"/>
  <c r="AM454" i="16" s="1"/>
  <c r="AD454" i="16"/>
  <c r="AN454" i="16" s="1"/>
  <c r="AS23" i="16"/>
  <c r="AF23" i="16"/>
  <c r="AP23" i="16" s="1"/>
  <c r="AC23" i="16"/>
  <c r="AM23" i="16" s="1"/>
  <c r="AD23" i="16"/>
  <c r="AN23" i="16" s="1"/>
  <c r="AE23" i="16"/>
  <c r="AO23" i="16" s="1"/>
  <c r="AS667" i="16"/>
  <c r="AD665" i="16"/>
  <c r="AC665" i="16"/>
  <c r="AM665" i="16" s="1"/>
  <c r="AE665" i="16"/>
  <c r="AO665" i="16" s="1"/>
  <c r="AF665" i="16"/>
  <c r="AP665" i="16" s="1"/>
  <c r="AS867" i="16"/>
  <c r="AD862" i="16"/>
  <c r="AN862" i="16" s="1"/>
  <c r="AE862" i="16"/>
  <c r="AO862" i="16" s="1"/>
  <c r="AC862" i="16"/>
  <c r="AM862" i="16" s="1"/>
  <c r="AF862" i="16"/>
  <c r="AP862" i="16" s="1"/>
  <c r="AS534" i="16"/>
  <c r="AC534" i="16"/>
  <c r="AM534" i="16" s="1"/>
  <c r="AE534" i="16"/>
  <c r="AO534" i="16" s="1"/>
  <c r="AF534" i="16"/>
  <c r="AP534" i="16" s="1"/>
  <c r="AD534" i="16"/>
  <c r="AN534" i="16" s="1"/>
  <c r="AS846" i="16"/>
  <c r="AF843" i="16"/>
  <c r="AP843" i="16" s="1"/>
  <c r="AC843" i="16"/>
  <c r="AM843" i="16" s="1"/>
  <c r="AE843" i="16"/>
  <c r="AO843" i="16" s="1"/>
  <c r="AD843" i="16"/>
  <c r="AN843" i="16" s="1"/>
  <c r="AS948" i="16"/>
  <c r="AC942" i="16"/>
  <c r="AM942" i="16" s="1"/>
  <c r="AF942" i="16"/>
  <c r="AP942" i="16" s="1"/>
  <c r="AE942" i="16"/>
  <c r="AO942" i="16" s="1"/>
  <c r="AD942" i="16"/>
  <c r="AN942" i="16" s="1"/>
  <c r="AS342" i="16"/>
  <c r="AF342" i="16"/>
  <c r="AP342" i="16" s="1"/>
  <c r="AE342" i="16"/>
  <c r="AO342" i="16" s="1"/>
  <c r="AD342" i="16"/>
  <c r="AN342" i="16" s="1"/>
  <c r="AC342" i="16"/>
  <c r="AM342" i="16" s="1"/>
  <c r="AS285" i="16"/>
  <c r="AC285" i="16"/>
  <c r="AM285" i="16" s="1"/>
  <c r="AF285" i="16"/>
  <c r="AP285" i="16" s="1"/>
  <c r="AE285" i="16"/>
  <c r="AO285" i="16" s="1"/>
  <c r="AD285" i="16"/>
  <c r="AN285" i="16" s="1"/>
  <c r="AS642" i="16"/>
  <c r="AF640" i="16"/>
  <c r="AP640" i="16" s="1"/>
  <c r="AD640" i="16"/>
  <c r="AN640" i="16" s="1"/>
  <c r="AC640" i="16"/>
  <c r="AM640" i="16" s="1"/>
  <c r="AE640" i="16"/>
  <c r="AO640" i="16" s="1"/>
  <c r="AS479" i="16"/>
  <c r="AF479" i="16"/>
  <c r="AP479" i="16" s="1"/>
  <c r="AE479" i="16"/>
  <c r="AO479" i="16" s="1"/>
  <c r="AD479" i="16"/>
  <c r="AN479" i="16" s="1"/>
  <c r="AC479" i="16"/>
  <c r="AM479" i="16" s="1"/>
  <c r="AS353" i="16"/>
  <c r="AD353" i="16"/>
  <c r="AN353" i="16" s="1"/>
  <c r="AF353" i="16"/>
  <c r="AP353" i="16" s="1"/>
  <c r="AE353" i="16"/>
  <c r="AO353" i="16" s="1"/>
  <c r="AC353" i="16"/>
  <c r="AM353" i="16" s="1"/>
  <c r="AS582" i="16"/>
  <c r="AD580" i="16"/>
  <c r="AN580" i="16" s="1"/>
  <c r="AC580" i="16"/>
  <c r="AM580" i="16" s="1"/>
  <c r="AE580" i="16"/>
  <c r="AO580" i="16" s="1"/>
  <c r="AF580" i="16"/>
  <c r="AP580" i="16" s="1"/>
  <c r="AS123" i="16"/>
  <c r="AD123" i="16"/>
  <c r="AN123" i="16" s="1"/>
  <c r="AC123" i="16"/>
  <c r="AM123" i="16" s="1"/>
  <c r="AF123" i="16"/>
  <c r="AP123" i="16" s="1"/>
  <c r="AE123" i="16"/>
  <c r="AO123" i="16" s="1"/>
  <c r="AS224" i="16"/>
  <c r="AF224" i="16"/>
  <c r="AP224" i="16" s="1"/>
  <c r="AD224" i="16"/>
  <c r="AN224" i="16" s="1"/>
  <c r="AC224" i="16"/>
  <c r="AM224" i="16" s="1"/>
  <c r="AE224" i="16"/>
  <c r="AS980" i="16"/>
  <c r="AC973" i="16"/>
  <c r="AM973" i="16" s="1"/>
  <c r="AF973" i="16"/>
  <c r="AP973" i="16" s="1"/>
  <c r="AD973" i="16"/>
  <c r="AN973" i="16" s="1"/>
  <c r="AE973" i="16"/>
  <c r="AO973" i="16" s="1"/>
  <c r="AS331" i="16"/>
  <c r="AC331" i="16"/>
  <c r="AM331" i="16" s="1"/>
  <c r="AD331" i="16"/>
  <c r="AN331" i="16" s="1"/>
  <c r="AF331" i="16"/>
  <c r="AP331" i="16" s="1"/>
  <c r="AE331" i="16"/>
  <c r="AO331" i="16" s="1"/>
  <c r="AS233" i="16"/>
  <c r="AC233" i="16"/>
  <c r="AM233" i="16" s="1"/>
  <c r="AE233" i="16"/>
  <c r="AO233" i="16" s="1"/>
  <c r="AD233" i="16"/>
  <c r="AN233" i="16" s="1"/>
  <c r="AF233" i="16"/>
  <c r="AP233" i="16" s="1"/>
  <c r="AS480" i="16"/>
  <c r="AF480" i="16"/>
  <c r="AP480" i="16" s="1"/>
  <c r="AE480" i="16"/>
  <c r="AO480" i="16" s="1"/>
  <c r="AD480" i="16"/>
  <c r="AN480" i="16" s="1"/>
  <c r="AC480" i="16"/>
  <c r="AM480" i="16" s="1"/>
  <c r="AS369" i="16"/>
  <c r="AD369" i="16"/>
  <c r="AN369" i="16" s="1"/>
  <c r="AF369" i="16"/>
  <c r="AP369" i="16" s="1"/>
  <c r="AC369" i="16"/>
  <c r="AM369" i="16" s="1"/>
  <c r="AE369" i="16"/>
  <c r="AO369" i="16" s="1"/>
  <c r="AS327" i="16"/>
  <c r="AF327" i="16"/>
  <c r="AP327" i="16" s="1"/>
  <c r="AE327" i="16"/>
  <c r="AO327" i="16" s="1"/>
  <c r="AD327" i="16"/>
  <c r="AN327" i="16" s="1"/>
  <c r="AC327" i="16"/>
  <c r="AM327" i="16" s="1"/>
  <c r="AS593" i="16"/>
  <c r="AD591" i="16"/>
  <c r="AN591" i="16" s="1"/>
  <c r="AC591" i="16"/>
  <c r="AM591" i="16" s="1"/>
  <c r="AE591" i="16"/>
  <c r="AO591" i="16" s="1"/>
  <c r="AF591" i="16"/>
  <c r="AP591" i="16" s="1"/>
  <c r="AS313" i="16"/>
  <c r="AD313" i="16"/>
  <c r="AN313" i="16" s="1"/>
  <c r="AE313" i="16"/>
  <c r="AO313" i="16" s="1"/>
  <c r="AF313" i="16"/>
  <c r="AP313" i="16" s="1"/>
  <c r="AC313" i="16"/>
  <c r="AM313" i="16" s="1"/>
  <c r="AS244" i="16"/>
  <c r="AD244" i="16"/>
  <c r="AN244" i="16" s="1"/>
  <c r="AF244" i="16"/>
  <c r="AP244" i="16" s="1"/>
  <c r="AE244" i="16"/>
  <c r="AO244" i="16" s="1"/>
  <c r="AC244" i="16"/>
  <c r="AM244" i="16" s="1"/>
  <c r="AS301" i="16"/>
  <c r="AE301" i="16"/>
  <c r="AO301" i="16" s="1"/>
  <c r="AF301" i="16"/>
  <c r="AP301" i="16" s="1"/>
  <c r="AD301" i="16"/>
  <c r="AN301" i="16" s="1"/>
  <c r="AC301" i="16"/>
  <c r="AM301" i="16" s="1"/>
  <c r="AS1084" i="16"/>
  <c r="AC1077" i="16"/>
  <c r="AM1077" i="16" s="1"/>
  <c r="AF1077" i="16"/>
  <c r="AP1077" i="16" s="1"/>
  <c r="AE1077" i="16"/>
  <c r="AO1077" i="16" s="1"/>
  <c r="AD1077" i="16"/>
  <c r="AN1077" i="16" s="1"/>
  <c r="AS1201" i="16"/>
  <c r="AC1194" i="16"/>
  <c r="AM1194" i="16" s="1"/>
  <c r="AE1194" i="16"/>
  <c r="AO1194" i="16" s="1"/>
  <c r="AD1194" i="16"/>
  <c r="AN1194" i="16" s="1"/>
  <c r="AF1194" i="16"/>
  <c r="AP1194" i="16" s="1"/>
  <c r="AS727" i="16"/>
  <c r="AF725" i="16"/>
  <c r="AP725" i="16" s="1"/>
  <c r="AE725" i="16"/>
  <c r="AO725" i="16" s="1"/>
  <c r="AC725" i="16"/>
  <c r="AM725" i="16" s="1"/>
  <c r="AD725" i="16"/>
  <c r="AN725" i="16" s="1"/>
  <c r="AS1156" i="16"/>
  <c r="AF1149" i="16"/>
  <c r="AP1149" i="16" s="1"/>
  <c r="AC1149" i="16"/>
  <c r="AM1149" i="16" s="1"/>
  <c r="AD1149" i="16"/>
  <c r="AN1149" i="16" s="1"/>
  <c r="AE1149" i="16"/>
  <c r="AO1149" i="16" s="1"/>
  <c r="AS255" i="16"/>
  <c r="AC255" i="16"/>
  <c r="AM255" i="16" s="1"/>
  <c r="AF255" i="16"/>
  <c r="AP255" i="16" s="1"/>
  <c r="AD255" i="16"/>
  <c r="AN255" i="16" s="1"/>
  <c r="AE255" i="16"/>
  <c r="AO255" i="16" s="1"/>
  <c r="AS860" i="16"/>
  <c r="AD855" i="16"/>
  <c r="AN855" i="16" s="1"/>
  <c r="AE855" i="16"/>
  <c r="AO855" i="16" s="1"/>
  <c r="AF855" i="16"/>
  <c r="AP855" i="16" s="1"/>
  <c r="AC855" i="16"/>
  <c r="AM855" i="16" s="1"/>
  <c r="AS551" i="16"/>
  <c r="AC549" i="16"/>
  <c r="AM549" i="16" s="1"/>
  <c r="AE549" i="16"/>
  <c r="AO549" i="16" s="1"/>
  <c r="AD549" i="16"/>
  <c r="AN549" i="16" s="1"/>
  <c r="AF549" i="16"/>
  <c r="AP549" i="16" s="1"/>
  <c r="AS450" i="16"/>
  <c r="AF450" i="16"/>
  <c r="AP450" i="16" s="1"/>
  <c r="AE450" i="16"/>
  <c r="AO450" i="16" s="1"/>
  <c r="AD450" i="16"/>
  <c r="AN450" i="16" s="1"/>
  <c r="AC450" i="16"/>
  <c r="AM450" i="16" s="1"/>
  <c r="AS414" i="16"/>
  <c r="AE414" i="16"/>
  <c r="AO414" i="16" s="1"/>
  <c r="AD414" i="16"/>
  <c r="AN414" i="16" s="1"/>
  <c r="AC414" i="16"/>
  <c r="AM414" i="16" s="1"/>
  <c r="AF414" i="16"/>
  <c r="AP414" i="16" s="1"/>
  <c r="AS1104" i="16"/>
  <c r="AD1097" i="16"/>
  <c r="AN1097" i="16" s="1"/>
  <c r="AC1097" i="16"/>
  <c r="AM1097" i="16" s="1"/>
  <c r="AF1097" i="16"/>
  <c r="AP1097" i="16" s="1"/>
  <c r="AE1097" i="16"/>
  <c r="AO1097" i="16" s="1"/>
  <c r="AS974" i="16"/>
  <c r="AF967" i="16"/>
  <c r="AP967" i="16" s="1"/>
  <c r="AE967" i="16"/>
  <c r="AO967" i="16" s="1"/>
  <c r="AD967" i="16"/>
  <c r="AN967" i="16" s="1"/>
  <c r="AC967" i="16"/>
  <c r="AM967" i="16" s="1"/>
  <c r="AS639" i="16"/>
  <c r="AC637" i="16"/>
  <c r="AM637" i="16" s="1"/>
  <c r="AF637" i="16"/>
  <c r="AP637" i="16" s="1"/>
  <c r="AE637" i="16"/>
  <c r="AO637" i="16" s="1"/>
  <c r="AD637" i="16"/>
  <c r="AS821" i="16"/>
  <c r="AC818" i="16"/>
  <c r="AM818" i="16" s="1"/>
  <c r="AD818" i="16"/>
  <c r="AN818" i="16" s="1"/>
  <c r="AE818" i="16"/>
  <c r="AO818" i="16" s="1"/>
  <c r="AF818" i="16"/>
  <c r="AP818" i="16" s="1"/>
  <c r="AS643" i="16"/>
  <c r="AF641" i="16"/>
  <c r="AP641" i="16" s="1"/>
  <c r="AC641" i="16"/>
  <c r="AM641" i="16" s="1"/>
  <c r="AE641" i="16"/>
  <c r="AO641" i="16" s="1"/>
  <c r="AD641" i="16"/>
  <c r="AN641" i="16" s="1"/>
  <c r="AS704" i="16"/>
  <c r="AF702" i="16"/>
  <c r="AP702" i="16" s="1"/>
  <c r="AE702" i="16"/>
  <c r="AO702" i="16" s="1"/>
  <c r="AD702" i="16"/>
  <c r="AN702" i="16" s="1"/>
  <c r="AC702" i="16"/>
  <c r="AM702" i="16" s="1"/>
  <c r="AS268" i="16"/>
  <c r="AE268" i="16"/>
  <c r="AO268" i="16" s="1"/>
  <c r="AD268" i="16"/>
  <c r="AN268" i="16" s="1"/>
  <c r="AC268" i="16"/>
  <c r="AM268" i="16" s="1"/>
  <c r="AF268" i="16"/>
  <c r="AP268" i="16" s="1"/>
  <c r="AS705" i="16"/>
  <c r="AC703" i="16"/>
  <c r="AM703" i="16" s="1"/>
  <c r="AD703" i="16"/>
  <c r="AN703" i="16" s="1"/>
  <c r="AE703" i="16"/>
  <c r="AO703" i="16" s="1"/>
  <c r="AF703" i="16"/>
  <c r="AP703" i="16" s="1"/>
  <c r="AS818" i="16"/>
  <c r="AC815" i="16"/>
  <c r="AM815" i="16" s="1"/>
  <c r="AD815" i="16"/>
  <c r="AN815" i="16" s="1"/>
  <c r="AE815" i="16"/>
  <c r="AO815" i="16" s="1"/>
  <c r="AF815" i="16"/>
  <c r="AP815" i="16" s="1"/>
  <c r="AS323" i="16"/>
  <c r="AE323" i="16"/>
  <c r="AO323" i="16" s="1"/>
  <c r="AD323" i="16"/>
  <c r="AN323" i="16" s="1"/>
  <c r="AC323" i="16"/>
  <c r="AM323" i="16" s="1"/>
  <c r="AF323" i="16"/>
  <c r="AP323" i="16" s="1"/>
  <c r="AS675" i="16"/>
  <c r="AE673" i="16"/>
  <c r="AO673" i="16" s="1"/>
  <c r="AC673" i="16"/>
  <c r="AM673" i="16" s="1"/>
  <c r="AF673" i="16"/>
  <c r="AP673" i="16" s="1"/>
  <c r="AD673" i="16"/>
  <c r="AS937" i="16"/>
  <c r="AE931" i="16"/>
  <c r="AO931" i="16" s="1"/>
  <c r="AF931" i="16"/>
  <c r="AP931" i="16" s="1"/>
  <c r="AC931" i="16"/>
  <c r="AM931" i="16" s="1"/>
  <c r="AD931" i="16"/>
  <c r="AN931" i="16" s="1"/>
  <c r="AS138" i="16"/>
  <c r="AC138" i="16"/>
  <c r="AM138" i="16" s="1"/>
  <c r="AD138" i="16"/>
  <c r="AN138" i="16" s="1"/>
  <c r="AE138" i="16"/>
  <c r="AO138" i="16" s="1"/>
  <c r="AF138" i="16"/>
  <c r="AP138" i="16" s="1"/>
  <c r="AS1031" i="16"/>
  <c r="AC1024" i="16"/>
  <c r="AM1024" i="16" s="1"/>
  <c r="AE1024" i="16"/>
  <c r="AO1024" i="16" s="1"/>
  <c r="AF1024" i="16"/>
  <c r="AP1024" i="16" s="1"/>
  <c r="AD1024" i="16"/>
  <c r="AN1024" i="16" s="1"/>
  <c r="AS543" i="16"/>
  <c r="AD541" i="16"/>
  <c r="AN541" i="16" s="1"/>
  <c r="AF541" i="16"/>
  <c r="AP541" i="16" s="1"/>
  <c r="AE541" i="16"/>
  <c r="AO541" i="16" s="1"/>
  <c r="AC541" i="16"/>
  <c r="AM541" i="16" s="1"/>
  <c r="AS544" i="16"/>
  <c r="AF542" i="16"/>
  <c r="AP542" i="16" s="1"/>
  <c r="AD542" i="16"/>
  <c r="AN542" i="16" s="1"/>
  <c r="AE542" i="16"/>
  <c r="AO542" i="16" s="1"/>
  <c r="AC542" i="16"/>
  <c r="AM542" i="16" s="1"/>
  <c r="AS988" i="16"/>
  <c r="AE981" i="16"/>
  <c r="AO981" i="16" s="1"/>
  <c r="AC981" i="16"/>
  <c r="AM981" i="16" s="1"/>
  <c r="AD981" i="16"/>
  <c r="AN981" i="16" s="1"/>
  <c r="AF981" i="16"/>
  <c r="AP981" i="16" s="1"/>
  <c r="AS237" i="16"/>
  <c r="AC237" i="16"/>
  <c r="AM237" i="16" s="1"/>
  <c r="AE237" i="16"/>
  <c r="AO237" i="16" s="1"/>
  <c r="AF237" i="16"/>
  <c r="AP237" i="16" s="1"/>
  <c r="AD237" i="16"/>
  <c r="AN237" i="16" s="1"/>
  <c r="AS52" i="16"/>
  <c r="AF52" i="16"/>
  <c r="AP52" i="16" s="1"/>
  <c r="AD52" i="16"/>
  <c r="AN52" i="16" s="1"/>
  <c r="AE52" i="16"/>
  <c r="AO52" i="16" s="1"/>
  <c r="AC52" i="16"/>
  <c r="AM52" i="16" s="1"/>
  <c r="AS676" i="16"/>
  <c r="AE674" i="16"/>
  <c r="AO674" i="16" s="1"/>
  <c r="AC674" i="16"/>
  <c r="AM674" i="16" s="1"/>
  <c r="AD674" i="16"/>
  <c r="AN674" i="16" s="1"/>
  <c r="AF674" i="16"/>
  <c r="AP674" i="16" s="1"/>
  <c r="AS267" i="16"/>
  <c r="AD267" i="16"/>
  <c r="AN267" i="16" s="1"/>
  <c r="AF267" i="16"/>
  <c r="AP267" i="16" s="1"/>
  <c r="AE267" i="16"/>
  <c r="AO267" i="16" s="1"/>
  <c r="AC267" i="16"/>
  <c r="AM267" i="16" s="1"/>
  <c r="AS132" i="16"/>
  <c r="AC132" i="16"/>
  <c r="AM132" i="16" s="1"/>
  <c r="AF132" i="16"/>
  <c r="AP132" i="16" s="1"/>
  <c r="AE132" i="16"/>
  <c r="AO132" i="16" s="1"/>
  <c r="AD132" i="16"/>
  <c r="AN132" i="16" s="1"/>
  <c r="AS567" i="16"/>
  <c r="AE565" i="16"/>
  <c r="AO565" i="16" s="1"/>
  <c r="AC565" i="16"/>
  <c r="AM565" i="16" s="1"/>
  <c r="AD565" i="16"/>
  <c r="AN565" i="16" s="1"/>
  <c r="AF565" i="16"/>
  <c r="AP565" i="16" s="1"/>
  <c r="AS407" i="16"/>
  <c r="AF407" i="16"/>
  <c r="AP407" i="16" s="1"/>
  <c r="AD407" i="16"/>
  <c r="AN407" i="16" s="1"/>
  <c r="AC407" i="16"/>
  <c r="AM407" i="16" s="1"/>
  <c r="AE407" i="16"/>
  <c r="AO407" i="16" s="1"/>
  <c r="AJ402" i="2"/>
  <c r="Q402" i="16"/>
  <c r="AN402" i="2"/>
  <c r="AN224" i="2"/>
  <c r="AJ224" i="2"/>
  <c r="AH619" i="16"/>
  <c r="AW582" i="2"/>
  <c r="T582" i="16" s="1"/>
  <c r="R868" i="16"/>
  <c r="AT872" i="16" s="1"/>
  <c r="AW868" i="2"/>
  <c r="T868" i="16" s="1"/>
  <c r="AM545" i="2"/>
  <c r="R821" i="16"/>
  <c r="AT822" i="16" s="1"/>
  <c r="AW821" i="2"/>
  <c r="T821" i="16" s="1"/>
  <c r="O583" i="16"/>
  <c r="AH583" i="2"/>
  <c r="AK583" i="2"/>
  <c r="AM583" i="2" s="1"/>
  <c r="AL583" i="2"/>
  <c r="AN583" i="2"/>
  <c r="AJ867" i="2"/>
  <c r="Q867" i="16"/>
  <c r="AN867" i="2"/>
  <c r="R545" i="16"/>
  <c r="AT545" i="16" s="1"/>
  <c r="AW545" i="2"/>
  <c r="T545" i="16" s="1"/>
  <c r="Q972" i="16"/>
  <c r="AJ972" i="2"/>
  <c r="Q224" i="16"/>
  <c r="AS583" i="2"/>
  <c r="AU583" i="2" s="1"/>
  <c r="AJ983" i="2"/>
  <c r="Q983" i="16"/>
  <c r="AJ544" i="2"/>
  <c r="Q544" i="16"/>
  <c r="H821" i="16"/>
  <c r="AI821" i="2"/>
  <c r="AJ744" i="2"/>
  <c r="Q744" i="16"/>
  <c r="AN744" i="2"/>
  <c r="AI582" i="2"/>
  <c r="R744" i="16"/>
  <c r="AW744" i="2"/>
  <c r="T744" i="16" s="1"/>
  <c r="H545" i="16"/>
  <c r="AI545" i="2"/>
  <c r="AM582" i="2"/>
  <c r="H583" i="16"/>
  <c r="Q868" i="16"/>
  <c r="AJ868" i="2"/>
  <c r="AJ675" i="2"/>
  <c r="Q675" i="16"/>
  <c r="AH9" i="16"/>
  <c r="AH559" i="16"/>
  <c r="AH585" i="16"/>
  <c r="AH774" i="16"/>
  <c r="AH317" i="16"/>
  <c r="AH786" i="16"/>
  <c r="AH750" i="16"/>
  <c r="AH561" i="16"/>
  <c r="AH330" i="16"/>
  <c r="AH446" i="16"/>
  <c r="AH564" i="16"/>
  <c r="AH745" i="16"/>
  <c r="AH390" i="16"/>
  <c r="AH540" i="16"/>
  <c r="AH493" i="16"/>
  <c r="AH587" i="16"/>
  <c r="AH645" i="16"/>
  <c r="AH555" i="16"/>
  <c r="AH437" i="16"/>
  <c r="AH724" i="16"/>
  <c r="AH459" i="16"/>
  <c r="AH579" i="16"/>
  <c r="AH769" i="16"/>
  <c r="AH494" i="16"/>
  <c r="AH594" i="16"/>
  <c r="AH523" i="16"/>
  <c r="AH654" i="16"/>
  <c r="AH612" i="16"/>
  <c r="AH558" i="16"/>
  <c r="AH403" i="16"/>
  <c r="AH326" i="16"/>
  <c r="AH423" i="16"/>
  <c r="AH169" i="16"/>
  <c r="AH11" i="16"/>
  <c r="AH216" i="16"/>
  <c r="AH159" i="16"/>
  <c r="AH68" i="16"/>
  <c r="AH83" i="16"/>
  <c r="AH161" i="16"/>
  <c r="AH119" i="16"/>
  <c r="AH69" i="16"/>
  <c r="AH194" i="16"/>
  <c r="AH10" i="16"/>
  <c r="AH17" i="16"/>
  <c r="AH204" i="16"/>
  <c r="AH212" i="16"/>
  <c r="AH108" i="16"/>
  <c r="AH135" i="16"/>
  <c r="AH193" i="16"/>
  <c r="AH201" i="16"/>
  <c r="AH127" i="16"/>
  <c r="AH13" i="16"/>
  <c r="AH130" i="16"/>
  <c r="AW1099" i="2"/>
  <c r="R1099" i="16"/>
  <c r="T139" i="16"/>
  <c r="T652" i="16"/>
  <c r="T133" i="16"/>
  <c r="AH14" i="16"/>
  <c r="AH150" i="16"/>
  <c r="AH125" i="16"/>
  <c r="AW140" i="2"/>
  <c r="R140" i="16"/>
  <c r="AT140" i="16" s="1"/>
  <c r="T1078" i="16"/>
  <c r="T332" i="16"/>
  <c r="AH48" i="16"/>
  <c r="AJ908" i="2"/>
  <c r="Q908" i="16"/>
  <c r="AJ1099" i="2"/>
  <c r="Q1099" i="16"/>
  <c r="T1098" i="16"/>
  <c r="AJ543" i="2"/>
  <c r="Q543" i="16"/>
  <c r="AH109" i="16"/>
  <c r="AH114" i="16"/>
  <c r="AJ581" i="2"/>
  <c r="Q581" i="16"/>
  <c r="AH128" i="16"/>
  <c r="AH53" i="16"/>
  <c r="AH29" i="16"/>
  <c r="R653" i="16"/>
  <c r="AT653" i="16" s="1"/>
  <c r="AW653" i="2"/>
  <c r="AJ332" i="2"/>
  <c r="Q332" i="16"/>
  <c r="AN332" i="2"/>
  <c r="T543" i="16"/>
  <c r="AH67" i="16"/>
  <c r="AI140" i="2"/>
  <c r="AH173" i="16"/>
  <c r="AH80" i="16"/>
  <c r="AH177" i="16"/>
  <c r="AW845" i="2"/>
  <c r="T544" i="16"/>
  <c r="T616" i="16"/>
  <c r="AH97" i="16"/>
  <c r="AH8" i="16"/>
  <c r="AW908" i="2"/>
  <c r="AH147" i="16"/>
  <c r="T820" i="16"/>
  <c r="AH122" i="16"/>
  <c r="AJ1078" i="2"/>
  <c r="Q1078" i="16"/>
  <c r="AH141" i="16"/>
  <c r="AH219" i="16"/>
  <c r="AJ845" i="2"/>
  <c r="Q845" i="16"/>
  <c r="AH58" i="16"/>
  <c r="AH63" i="16"/>
  <c r="AH71" i="16"/>
  <c r="AJ653" i="2"/>
  <c r="Q653" i="16"/>
  <c r="AN653" i="2"/>
  <c r="AH144" i="16"/>
  <c r="T402" i="16"/>
  <c r="AJ139" i="2"/>
  <c r="Q139" i="16"/>
  <c r="AN139" i="2"/>
  <c r="AH74" i="16"/>
  <c r="AH75" i="16"/>
  <c r="T256" i="16"/>
  <c r="AH21" i="16"/>
  <c r="T134" i="16"/>
  <c r="T581" i="16"/>
  <c r="AH171" i="16"/>
  <c r="AJ256" i="2"/>
  <c r="Q256" i="16"/>
  <c r="AH186" i="16"/>
  <c r="AE582" i="16" l="1"/>
  <c r="AO582" i="16" s="1"/>
  <c r="AC582" i="16"/>
  <c r="AM582" i="16" s="1"/>
  <c r="AD582" i="16"/>
  <c r="AN582" i="16" s="1"/>
  <c r="AF582" i="16"/>
  <c r="AP582" i="16" s="1"/>
  <c r="AS874" i="16"/>
  <c r="AD868" i="16"/>
  <c r="AN868" i="16" s="1"/>
  <c r="AF868" i="16"/>
  <c r="AP868" i="16" s="1"/>
  <c r="AC868" i="16"/>
  <c r="AM868" i="16" s="1"/>
  <c r="AE868" i="16"/>
  <c r="AO868" i="16" s="1"/>
  <c r="AS824" i="16"/>
  <c r="AF821" i="16"/>
  <c r="AP821" i="16" s="1"/>
  <c r="AC821" i="16"/>
  <c r="AM821" i="16" s="1"/>
  <c r="AD821" i="16"/>
  <c r="AN821" i="16" s="1"/>
  <c r="AE821" i="16"/>
  <c r="AO821" i="16" s="1"/>
  <c r="P583" i="16"/>
  <c r="AI583" i="2"/>
  <c r="AS547" i="16"/>
  <c r="AE545" i="16"/>
  <c r="AO545" i="16" s="1"/>
  <c r="AC545" i="16"/>
  <c r="AM545" i="16" s="1"/>
  <c r="AF545" i="16"/>
  <c r="AP545" i="16" s="1"/>
  <c r="AD545" i="16"/>
  <c r="AN545" i="16" s="1"/>
  <c r="AS746" i="16"/>
  <c r="AD744" i="16"/>
  <c r="AN744" i="16" s="1"/>
  <c r="AC744" i="16"/>
  <c r="AM744" i="16" s="1"/>
  <c r="AE744" i="16"/>
  <c r="AO744" i="16" s="1"/>
  <c r="AF744" i="16"/>
  <c r="AP744" i="16" s="1"/>
  <c r="AS139" i="16"/>
  <c r="AC139" i="16"/>
  <c r="AM139" i="16" s="1"/>
  <c r="AD139" i="16"/>
  <c r="AN139" i="16" s="1"/>
  <c r="AE139" i="16"/>
  <c r="AO139" i="16" s="1"/>
  <c r="AF139" i="16"/>
  <c r="AP139" i="16" s="1"/>
  <c r="AS654" i="16"/>
  <c r="AD652" i="16"/>
  <c r="AE652" i="16"/>
  <c r="AO652" i="16" s="1"/>
  <c r="AC652" i="16"/>
  <c r="AM652" i="16" s="1"/>
  <c r="AF652" i="16"/>
  <c r="AP652" i="16" s="1"/>
  <c r="AS133" i="16"/>
  <c r="AD133" i="16"/>
  <c r="AN133" i="16" s="1"/>
  <c r="AE133" i="16"/>
  <c r="AO133" i="16" s="1"/>
  <c r="AF133" i="16"/>
  <c r="AP133" i="16" s="1"/>
  <c r="AC133" i="16"/>
  <c r="AM133" i="16" s="1"/>
  <c r="AS1085" i="16"/>
  <c r="AC1078" i="16"/>
  <c r="AM1078" i="16" s="1"/>
  <c r="AD1078" i="16"/>
  <c r="AN1078" i="16" s="1"/>
  <c r="AF1078" i="16"/>
  <c r="AP1078" i="16" s="1"/>
  <c r="AE1078" i="16"/>
  <c r="AO1078" i="16" s="1"/>
  <c r="AS332" i="16"/>
  <c r="AC332" i="16"/>
  <c r="AM332" i="16" s="1"/>
  <c r="AE332" i="16"/>
  <c r="AO332" i="16" s="1"/>
  <c r="AD332" i="16"/>
  <c r="AN332" i="16" s="1"/>
  <c r="AF332" i="16"/>
  <c r="AP332" i="16" s="1"/>
  <c r="AS1105" i="16"/>
  <c r="AF1098" i="16"/>
  <c r="AP1098" i="16" s="1"/>
  <c r="AC1098" i="16"/>
  <c r="AM1098" i="16" s="1"/>
  <c r="AD1098" i="16"/>
  <c r="AN1098" i="16" s="1"/>
  <c r="AE1098" i="16"/>
  <c r="AO1098" i="16" s="1"/>
  <c r="AS545" i="16"/>
  <c r="AF543" i="16"/>
  <c r="AP543" i="16" s="1"/>
  <c r="AD543" i="16"/>
  <c r="AN543" i="16" s="1"/>
  <c r="AE543" i="16"/>
  <c r="AO543" i="16" s="1"/>
  <c r="AC543" i="16"/>
  <c r="AM543" i="16" s="1"/>
  <c r="AS546" i="16"/>
  <c r="AF544" i="16"/>
  <c r="AP544" i="16" s="1"/>
  <c r="AE544" i="16"/>
  <c r="AO544" i="16" s="1"/>
  <c r="AD544" i="16"/>
  <c r="AN544" i="16" s="1"/>
  <c r="AC544" i="16"/>
  <c r="AM544" i="16" s="1"/>
  <c r="AS618" i="16"/>
  <c r="AC616" i="16"/>
  <c r="AM616" i="16" s="1"/>
  <c r="AD616" i="16"/>
  <c r="AN616" i="16" s="1"/>
  <c r="AF616" i="16"/>
  <c r="AP616" i="16" s="1"/>
  <c r="AE616" i="16"/>
  <c r="AO616" i="16" s="1"/>
  <c r="AS823" i="16"/>
  <c r="AD820" i="16"/>
  <c r="AN820" i="16" s="1"/>
  <c r="AE820" i="16"/>
  <c r="AO820" i="16" s="1"/>
  <c r="AF820" i="16"/>
  <c r="AP820" i="16" s="1"/>
  <c r="AC820" i="16"/>
  <c r="AM820" i="16" s="1"/>
  <c r="AS402" i="16"/>
  <c r="AD402" i="16"/>
  <c r="AN402" i="16" s="1"/>
  <c r="AC402" i="16"/>
  <c r="AM402" i="16" s="1"/>
  <c r="AF402" i="16"/>
  <c r="AP402" i="16" s="1"/>
  <c r="AE402" i="16"/>
  <c r="AO402" i="16" s="1"/>
  <c r="AS256" i="16"/>
  <c r="AE256" i="16"/>
  <c r="AO256" i="16" s="1"/>
  <c r="AF256" i="16"/>
  <c r="AP256" i="16" s="1"/>
  <c r="AD256" i="16"/>
  <c r="AN256" i="16" s="1"/>
  <c r="AC256" i="16"/>
  <c r="AM256" i="16" s="1"/>
  <c r="AS134" i="16"/>
  <c r="AC134" i="16"/>
  <c r="AM134" i="16" s="1"/>
  <c r="AE134" i="16"/>
  <c r="AO134" i="16" s="1"/>
  <c r="AF134" i="16"/>
  <c r="AP134" i="16" s="1"/>
  <c r="AD134" i="16"/>
  <c r="AN134" i="16" s="1"/>
  <c r="AS583" i="16"/>
  <c r="AD581" i="16"/>
  <c r="AN581" i="16" s="1"/>
  <c r="AF581" i="16"/>
  <c r="AP581" i="16" s="1"/>
  <c r="AC581" i="16"/>
  <c r="AM581" i="16" s="1"/>
  <c r="AE581" i="16"/>
  <c r="AO581" i="16" s="1"/>
  <c r="AS584" i="16"/>
  <c r="Q583" i="16"/>
  <c r="AJ583" i="2"/>
  <c r="Q582" i="16"/>
  <c r="AJ582" i="2"/>
  <c r="R583" i="16"/>
  <c r="AT583" i="16" s="1"/>
  <c r="AW583" i="2"/>
  <c r="T583" i="16" s="1"/>
  <c r="Q545" i="16"/>
  <c r="AJ545" i="2"/>
  <c r="AJ821" i="2"/>
  <c r="Q821" i="16"/>
  <c r="AN821" i="2"/>
  <c r="AH549" i="16"/>
  <c r="AH641" i="16"/>
  <c r="AH331" i="16"/>
  <c r="AH565" i="16"/>
  <c r="AH580" i="16"/>
  <c r="AH725" i="16"/>
  <c r="AH602" i="16"/>
  <c r="AH613" i="16"/>
  <c r="AH591" i="16"/>
  <c r="AH640" i="16"/>
  <c r="AH454" i="16"/>
  <c r="AH327" i="16"/>
  <c r="AH123" i="16"/>
  <c r="AH138" i="16"/>
  <c r="AH52" i="16"/>
  <c r="T140" i="16"/>
  <c r="T908" i="16"/>
  <c r="AH224" i="16"/>
  <c r="AH132" i="16"/>
  <c r="T845" i="16"/>
  <c r="T653" i="16"/>
  <c r="AJ140" i="2"/>
  <c r="Q140" i="16"/>
  <c r="AN140" i="2"/>
  <c r="AH23" i="16"/>
  <c r="T1099" i="16"/>
  <c r="AS585" i="16" l="1"/>
  <c r="AD583" i="16"/>
  <c r="AN583" i="16" s="1"/>
  <c r="AC583" i="16"/>
  <c r="AM583" i="16" s="1"/>
  <c r="AF583" i="16"/>
  <c r="AP583" i="16" s="1"/>
  <c r="AE583" i="16"/>
  <c r="AO583" i="16" s="1"/>
  <c r="AS140" i="16"/>
  <c r="AF140" i="16"/>
  <c r="AP140" i="16" s="1"/>
  <c r="AE140" i="16"/>
  <c r="AO140" i="16" s="1"/>
  <c r="AD140" i="16"/>
  <c r="AN140" i="16" s="1"/>
  <c r="AC140" i="16"/>
  <c r="AM140" i="16" s="1"/>
  <c r="AS914" i="16"/>
  <c r="AD908" i="16"/>
  <c r="AN908" i="16" s="1"/>
  <c r="AE908" i="16"/>
  <c r="AO908" i="16" s="1"/>
  <c r="AF908" i="16"/>
  <c r="AP908" i="16" s="1"/>
  <c r="AC908" i="16"/>
  <c r="AM908" i="16" s="1"/>
  <c r="AS848" i="16"/>
  <c r="AC845" i="16"/>
  <c r="AM845" i="16" s="1"/>
  <c r="AE845" i="16"/>
  <c r="AO845" i="16" s="1"/>
  <c r="AD845" i="16"/>
  <c r="AN845" i="16" s="1"/>
  <c r="AF845" i="16"/>
  <c r="AP845" i="16" s="1"/>
  <c r="AS655" i="16"/>
  <c r="AD653" i="16"/>
  <c r="AN653" i="16" s="1"/>
  <c r="AF653" i="16"/>
  <c r="AP653" i="16" s="1"/>
  <c r="AE653" i="16"/>
  <c r="AO653" i="16" s="1"/>
  <c r="AC653" i="16"/>
  <c r="AM653" i="16" s="1"/>
  <c r="AS1106" i="16"/>
  <c r="AF1099" i="16"/>
  <c r="AP1099" i="16" s="1"/>
  <c r="AC1099" i="16"/>
  <c r="AM1099" i="16" s="1"/>
  <c r="AE1099" i="16"/>
  <c r="AO1099" i="16" s="1"/>
  <c r="AD1099" i="16"/>
  <c r="AN1099" i="16" s="1"/>
  <c r="AH545" i="16"/>
  <c r="AH616" i="16"/>
  <c r="AH581" i="16"/>
  <c r="AH332" i="16"/>
  <c r="AH134" i="16"/>
  <c r="AH139" i="16"/>
  <c r="AH133" i="16"/>
  <c r="AH140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Carrion Alveo</author>
  </authors>
  <commentList>
    <comment ref="C3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Commission acording file was $723.44, but Marlen duduct $21.50 due to some SO where Alexis only did 50% of the job. 17491 17630 17573 17719 17812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Carrion Alveo</author>
  </authors>
  <commentList>
    <comment ref="R247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Fue pagado al 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7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Fue pagado al 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733" authorId="0" shapeId="0" xr:uid="{00000000-0006-0000-0B00-000003000000}">
      <text>
        <r>
          <rPr>
            <b/>
            <sz val="9"/>
            <color indexed="81"/>
            <rFont val="Tahoma"/>
            <charset val="1"/>
          </rPr>
          <t>Marlene duduct $21.50 due to some SO where Alexis only did 50% of the job. 17491 17630 17573 17719 17812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759" authorId="0" shapeId="0" xr:uid="{00000000-0006-0000-0B00-000004000000}">
      <text>
        <r>
          <rPr>
            <b/>
            <sz val="9"/>
            <color indexed="81"/>
            <rFont val="Tahoma"/>
            <charset val="1"/>
          </rPr>
          <t>Marlene duduct $21.50 due to some SO where Alexis only did 50% of the job. 17491 17630 17573 17719 17812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793" authorId="0" shapeId="0" xr:uid="{00000000-0006-0000-0B00-000005000000}">
      <text>
        <r>
          <rPr>
            <b/>
            <sz val="9"/>
            <color indexed="81"/>
            <rFont val="Tahoma"/>
            <charset val="1"/>
          </rPr>
          <t>Marlene duduct $21.50 due to some SO where Alexis only did 50% of the job. 17491 17630 17573 17719 17812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881" authorId="0" shapeId="0" xr:uid="{00000000-0006-0000-0B00-000006000000}">
      <text>
        <r>
          <rPr>
            <b/>
            <sz val="9"/>
            <color indexed="81"/>
            <rFont val="Tahoma"/>
            <charset val="1"/>
          </rPr>
          <t>Marlene duduct $21.50 due to some SO where Alexis only did 50% of the job. 17491 17630 17573 17719 17812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939" authorId="0" shapeId="0" xr:uid="{00000000-0006-0000-0B00-000007000000}">
      <text>
        <r>
          <rPr>
            <b/>
            <sz val="9"/>
            <color indexed="81"/>
            <rFont val="Tahoma"/>
            <charset val="1"/>
          </rPr>
          <t>Marlene duduct $21.50 due to some SO where Alexis only did 50% of the job. 17491 17630 17573 17719 17812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<sst xmlns="http://schemas.openxmlformats.org/spreadsheetml/2006/main" count="54943" uniqueCount="6353">
  <si>
    <t>Número de facturas</t>
  </si>
  <si>
    <t>Referencia de la orden</t>
  </si>
  <si>
    <t>Reference</t>
  </si>
  <si>
    <t>Cliente</t>
  </si>
  <si>
    <t>Fecha de creación</t>
  </si>
  <si>
    <t>Fecha de la orden</t>
  </si>
  <si>
    <t>Shipping Date</t>
  </si>
  <si>
    <t>Vendedor</t>
  </si>
  <si>
    <t>Divisa</t>
  </si>
  <si>
    <t>Tasa de divisa</t>
  </si>
  <si>
    <t>Total CAD</t>
  </si>
  <si>
    <t>Total MXP</t>
  </si>
  <si>
    <t>Total USD</t>
  </si>
  <si>
    <t>Importe sin impuestos</t>
  </si>
  <si>
    <t>Impuestos</t>
  </si>
  <si>
    <t>Total</t>
  </si>
  <si>
    <t>Delivery Status</t>
  </si>
  <si>
    <t>Hubspot Deal Owner</t>
  </si>
  <si>
    <t>SO18329</t>
  </si>
  <si>
    <t>4500624287</t>
  </si>
  <si>
    <t>Resolute Forest Products - Saint-Felicien</t>
  </si>
  <si>
    <t>Ian Trottier</t>
  </si>
  <si>
    <t>CAD</t>
  </si>
  <si>
    <t>To Deliver</t>
  </si>
  <si>
    <t>SO18179</t>
  </si>
  <si>
    <t>4500624028</t>
  </si>
  <si>
    <t>Resolute Forest Products - Clermont</t>
  </si>
  <si>
    <t>SO18242</t>
  </si>
  <si>
    <t>4500624264</t>
  </si>
  <si>
    <t>Processing</t>
  </si>
  <si>
    <t>SO18297</t>
  </si>
  <si>
    <t>4500919990</t>
  </si>
  <si>
    <t>Cameco Corporation - Blind River Refinery</t>
  </si>
  <si>
    <t>SO18311</t>
  </si>
  <si>
    <t>PO14241</t>
  </si>
  <si>
    <t>Manufacture Sling-Choker (Val-d’Or) Ltée</t>
  </si>
  <si>
    <t>Alexis Gil Lamadrid</t>
  </si>
  <si>
    <t>SO18302</t>
  </si>
  <si>
    <t>BC65-00082530</t>
  </si>
  <si>
    <t>Motion Industries Inc. (Canada) - Prince George</t>
  </si>
  <si>
    <t>Wilka Nuñez</t>
  </si>
  <si>
    <t>SO18325</t>
  </si>
  <si>
    <t>L68485-DS</t>
  </si>
  <si>
    <t>Wild Rows Pump &amp; Compression, Wild Rows Pump &amp; Compression</t>
  </si>
  <si>
    <t>Delivered</t>
  </si>
  <si>
    <t>SO18326</t>
  </si>
  <si>
    <t>03R20852</t>
  </si>
  <si>
    <t>Moffatt Supply &amp; Specialties - Red Lake</t>
  </si>
  <si>
    <t>SO17902</t>
  </si>
  <si>
    <t>PO003525</t>
  </si>
  <si>
    <t>Eleazar General &amp; Industrial Supplies Limited</t>
  </si>
  <si>
    <t>USD</t>
  </si>
  <si>
    <t>SO18320</t>
  </si>
  <si>
    <t>3413</t>
  </si>
  <si>
    <t>Les Pompes du St-Laurent Inc.</t>
  </si>
  <si>
    <t>SO18323</t>
  </si>
  <si>
    <t>3414</t>
  </si>
  <si>
    <t>SO18316</t>
  </si>
  <si>
    <t>4500919708</t>
  </si>
  <si>
    <t>SO18313</t>
  </si>
  <si>
    <t>PONV-25-2326</t>
  </si>
  <si>
    <t>Tech-Flow</t>
  </si>
  <si>
    <t>SO18308</t>
  </si>
  <si>
    <t>607975</t>
  </si>
  <si>
    <t>Sealtrac Inc.</t>
  </si>
  <si>
    <t>SO18267</t>
  </si>
  <si>
    <t>PO 607078</t>
  </si>
  <si>
    <t>Leriel Reyes</t>
  </si>
  <si>
    <t>SO18315</t>
  </si>
  <si>
    <t>P371256</t>
  </si>
  <si>
    <t>Covia Corp - Junction City</t>
  </si>
  <si>
    <t>Marlen Martinez</t>
  </si>
  <si>
    <t>SO18250</t>
  </si>
  <si>
    <t>P371254</t>
  </si>
  <si>
    <t>Aleksandar Stankovic</t>
  </si>
  <si>
    <t>SO18314</t>
  </si>
  <si>
    <t>PO-40-1019510</t>
  </si>
  <si>
    <t>Canadian Bearings Ltd.</t>
  </si>
  <si>
    <t>SO18259</t>
  </si>
  <si>
    <t>4500623851</t>
  </si>
  <si>
    <t>Resolute Forest Products - Dolbeau</t>
  </si>
  <si>
    <t>SO18264</t>
  </si>
  <si>
    <t>6500024345</t>
  </si>
  <si>
    <t>Wesdome Gold Mines Ltd - Eagle River Mine</t>
  </si>
  <si>
    <t>SO18245</t>
  </si>
  <si>
    <t>MB21-00194995</t>
  </si>
  <si>
    <t>Motion Industries Inc. (Canada) - Winnipeg</t>
  </si>
  <si>
    <t>SO18271</t>
  </si>
  <si>
    <t>SUD1006067</t>
  </si>
  <si>
    <t>Process and Steam Specialties</t>
  </si>
  <si>
    <t>SO18305</t>
  </si>
  <si>
    <t>4560073333</t>
  </si>
  <si>
    <t>Alamos Gold Inc</t>
  </si>
  <si>
    <t>SO18214</t>
  </si>
  <si>
    <t>326767</t>
  </si>
  <si>
    <t>Gibraltar Mine (Canada)</t>
  </si>
  <si>
    <t>SO18307</t>
  </si>
  <si>
    <t>PO-008461</t>
  </si>
  <si>
    <t>Sling-Choker Manufacturing - Timmins</t>
  </si>
  <si>
    <t>SO18150</t>
  </si>
  <si>
    <t>PO# 2658</t>
  </si>
  <si>
    <t>AGREGATEC, SRL</t>
  </si>
  <si>
    <t>SO18300</t>
  </si>
  <si>
    <t>2100700060</t>
  </si>
  <si>
    <t>Wajax Limited - Noranda, Wajax Limited - Noranda</t>
  </si>
  <si>
    <t>SO18301</t>
  </si>
  <si>
    <t>PO-008456</t>
  </si>
  <si>
    <t>SO18298</t>
  </si>
  <si>
    <t>4394</t>
  </si>
  <si>
    <t>Middle Georgia Fluid Sealing LLC</t>
  </si>
  <si>
    <t>SO18296</t>
  </si>
  <si>
    <t>607081</t>
  </si>
  <si>
    <t>SO18281</t>
  </si>
  <si>
    <t>66821</t>
  </si>
  <si>
    <t>Harvey Bearings, Harvey Bearings</t>
  </si>
  <si>
    <t>SO18293</t>
  </si>
  <si>
    <t>4500623507</t>
  </si>
  <si>
    <t>SO18292</t>
  </si>
  <si>
    <t>4500623506</t>
  </si>
  <si>
    <t>SO18289</t>
  </si>
  <si>
    <t>C003711363</t>
  </si>
  <si>
    <t>Glencore Canada Corporation - Rouyn-Noranda</t>
  </si>
  <si>
    <t>SO18154</t>
  </si>
  <si>
    <t>PO003520</t>
  </si>
  <si>
    <t>SO18265</t>
  </si>
  <si>
    <t>PO-008449</t>
  </si>
  <si>
    <t>Partially Delivered</t>
  </si>
  <si>
    <t>SO18287</t>
  </si>
  <si>
    <t>OC00231</t>
  </si>
  <si>
    <t>Dynapro Pumps México S de RL de CV</t>
  </si>
  <si>
    <t>Yannett Yeomans</t>
  </si>
  <si>
    <t>SO18285</t>
  </si>
  <si>
    <t>C003711361</t>
  </si>
  <si>
    <t>SO18275</t>
  </si>
  <si>
    <t>1035349</t>
  </si>
  <si>
    <t>Thunder Bay Pulp and Paper Inc</t>
  </si>
  <si>
    <t>SO18249</t>
  </si>
  <si>
    <t>PO14217</t>
  </si>
  <si>
    <t>Manufacture Sling-Choker (Val-d’Or) Ltée, Manufacture Sling-Choker (Val-d’Or) Ltée</t>
  </si>
  <si>
    <t>SO18276</t>
  </si>
  <si>
    <t>4512534698</t>
  </si>
  <si>
    <t>PT Vale Indonesia Tbk.</t>
  </si>
  <si>
    <t>SO18272</t>
  </si>
  <si>
    <t>4380</t>
  </si>
  <si>
    <t>SO18241</t>
  </si>
  <si>
    <t>8035</t>
  </si>
  <si>
    <t>Hyperflo</t>
  </si>
  <si>
    <t>SO18188</t>
  </si>
  <si>
    <t>PO-0021256</t>
  </si>
  <si>
    <t>MAB Equipment Company Inc.</t>
  </si>
  <si>
    <t>SO18262</t>
  </si>
  <si>
    <t>326566</t>
  </si>
  <si>
    <t>SO18180</t>
  </si>
  <si>
    <t>815762</t>
  </si>
  <si>
    <t>Diamond Equipment Group Inc</t>
  </si>
  <si>
    <t>SO18260</t>
  </si>
  <si>
    <t>Warranty Replacment</t>
  </si>
  <si>
    <t>SO18080</t>
  </si>
  <si>
    <t>4501336391</t>
  </si>
  <si>
    <t>Barrick Gold - Pueblo Viejo Dominicana Corporation</t>
  </si>
  <si>
    <t>SO18204</t>
  </si>
  <si>
    <t>815748</t>
  </si>
  <si>
    <t>SO18247</t>
  </si>
  <si>
    <t>4560073057</t>
  </si>
  <si>
    <t>SO18066</t>
  </si>
  <si>
    <t>1229</t>
  </si>
  <si>
    <t>Beaudoin Protective Coating &amp; Fabrication</t>
  </si>
  <si>
    <t>SO18192</t>
  </si>
  <si>
    <t>4500622668</t>
  </si>
  <si>
    <t>SO18228</t>
  </si>
  <si>
    <t>2370</t>
  </si>
  <si>
    <t>FMI Products</t>
  </si>
  <si>
    <t>SO18238</t>
  </si>
  <si>
    <t>4500622393</t>
  </si>
  <si>
    <t>SO18233</t>
  </si>
  <si>
    <t>P11252964</t>
  </si>
  <si>
    <t>Industrial Pump Repair Canada</t>
  </si>
  <si>
    <t>SO18232</t>
  </si>
  <si>
    <t>Sump Pump repair 6"</t>
  </si>
  <si>
    <t>Dynapro Pumps</t>
  </si>
  <si>
    <t>Amanda Qiao</t>
  </si>
  <si>
    <t>SO18231</t>
  </si>
  <si>
    <t>TEST BY YANNETT</t>
  </si>
  <si>
    <t>Nothing to Deliver</t>
  </si>
  <si>
    <t>SO18181</t>
  </si>
  <si>
    <t>4501327269</t>
  </si>
  <si>
    <t>SO18221</t>
  </si>
  <si>
    <t>4500621924</t>
  </si>
  <si>
    <t>SO18230</t>
  </si>
  <si>
    <t>4500622134</t>
  </si>
  <si>
    <t>SO18227</t>
  </si>
  <si>
    <t>PO-043662</t>
  </si>
  <si>
    <t>Southeast Pump Specialist, Inc.</t>
  </si>
  <si>
    <t>SO18027</t>
  </si>
  <si>
    <t>4500622088</t>
  </si>
  <si>
    <t>Resolute Forest Products - Gatineau</t>
  </si>
  <si>
    <t>SO18153</t>
  </si>
  <si>
    <t>T197971</t>
  </si>
  <si>
    <t>Tencarva Machinery Company</t>
  </si>
  <si>
    <t>SO17539</t>
  </si>
  <si>
    <t>2200115440</t>
  </si>
  <si>
    <t>Wajax Limited - Val D'Or, Composants Industriels Wajax SC -57</t>
  </si>
  <si>
    <t>SO18225</t>
  </si>
  <si>
    <t>C003680502</t>
  </si>
  <si>
    <t>SO18224</t>
  </si>
  <si>
    <t>C003679551</t>
  </si>
  <si>
    <t>SO18222</t>
  </si>
  <si>
    <t>C003679489</t>
  </si>
  <si>
    <t>SO18223</t>
  </si>
  <si>
    <t>C003679975</t>
  </si>
  <si>
    <t>SO18211</t>
  </si>
  <si>
    <t>4500621522</t>
  </si>
  <si>
    <t>SO18212</t>
  </si>
  <si>
    <t>Sump Pump Repair # 1</t>
  </si>
  <si>
    <t>SO18213</t>
  </si>
  <si>
    <t>Sump Pump Repair # 2</t>
  </si>
  <si>
    <t>SO18173</t>
  </si>
  <si>
    <t>607071</t>
  </si>
  <si>
    <t>SO18186</t>
  </si>
  <si>
    <t>2377</t>
  </si>
  <si>
    <t>SO18210</t>
  </si>
  <si>
    <t>607075</t>
  </si>
  <si>
    <t>SO18209</t>
  </si>
  <si>
    <t>326286</t>
  </si>
  <si>
    <t>SO18045</t>
  </si>
  <si>
    <t>253135</t>
  </si>
  <si>
    <t>Nord-Flo Inc.</t>
  </si>
  <si>
    <t>SO18206</t>
  </si>
  <si>
    <t>2200115002</t>
  </si>
  <si>
    <t>Wajax Limited - Lachine</t>
  </si>
  <si>
    <t>SO18191</t>
  </si>
  <si>
    <t>2258683</t>
  </si>
  <si>
    <t>Zijin Mining - Rosebel Goldmines N.V.</t>
  </si>
  <si>
    <t>SO18200</t>
  </si>
  <si>
    <t>P370544</t>
  </si>
  <si>
    <t>SO18199</t>
  </si>
  <si>
    <t>607073</t>
  </si>
  <si>
    <t>SO18189</t>
  </si>
  <si>
    <t>1064</t>
  </si>
  <si>
    <t>Mill-Right Mine Services Inc.</t>
  </si>
  <si>
    <t>SO18167</t>
  </si>
  <si>
    <t>2100687350</t>
  </si>
  <si>
    <t>Wajax Limited - Noranda</t>
  </si>
  <si>
    <t>SO18084</t>
  </si>
  <si>
    <t>21914</t>
  </si>
  <si>
    <t>DRN Industriel</t>
  </si>
  <si>
    <t>SO18175</t>
  </si>
  <si>
    <t>3032084</t>
  </si>
  <si>
    <t>Flowstar Industrial Inc</t>
  </si>
  <si>
    <t>SO18176</t>
  </si>
  <si>
    <t>P370432</t>
  </si>
  <si>
    <t>SO17903</t>
  </si>
  <si>
    <t>3384</t>
  </si>
  <si>
    <t>SO18184</t>
  </si>
  <si>
    <t>3383</t>
  </si>
  <si>
    <t>SO18109</t>
  </si>
  <si>
    <t>3032076</t>
  </si>
  <si>
    <t>SO18131</t>
  </si>
  <si>
    <t>4501327275</t>
  </si>
  <si>
    <t>SO18138</t>
  </si>
  <si>
    <t>PO-40-1019041</t>
  </si>
  <si>
    <t>SO18187</t>
  </si>
  <si>
    <t>607072</t>
  </si>
  <si>
    <t>SO18159</t>
  </si>
  <si>
    <t>6500023665</t>
  </si>
  <si>
    <t>SO18160</t>
  </si>
  <si>
    <t>3032052</t>
  </si>
  <si>
    <t>SO18161</t>
  </si>
  <si>
    <t>6500023664</t>
  </si>
  <si>
    <t>SO18322</t>
  </si>
  <si>
    <t>7945</t>
  </si>
  <si>
    <t>Hyperflo, Hyperflo</t>
  </si>
  <si>
    <t>SO18172</t>
  </si>
  <si>
    <t>2100686594</t>
  </si>
  <si>
    <t>SO18170</t>
  </si>
  <si>
    <t>PO-008410</t>
  </si>
  <si>
    <t>SO18165</t>
  </si>
  <si>
    <t>607069</t>
  </si>
  <si>
    <t>SO18164</t>
  </si>
  <si>
    <t>OC00224</t>
  </si>
  <si>
    <t>SO18163</t>
  </si>
  <si>
    <t>4500620284</t>
  </si>
  <si>
    <t>SO18158</t>
  </si>
  <si>
    <t>PO-008403</t>
  </si>
  <si>
    <t>SO18156</t>
  </si>
  <si>
    <t>4512502588</t>
  </si>
  <si>
    <t>SO18155</t>
  </si>
  <si>
    <t>4512502587</t>
  </si>
  <si>
    <t>SO18152</t>
  </si>
  <si>
    <t>4500620079</t>
  </si>
  <si>
    <t>Resolute Forest Products - Kenogami</t>
  </si>
  <si>
    <t>SO18151</t>
  </si>
  <si>
    <t>607067</t>
  </si>
  <si>
    <t>SO18140</t>
  </si>
  <si>
    <t>PO-40-1018891</t>
  </si>
  <si>
    <t>SO16430</t>
  </si>
  <si>
    <t>3374</t>
  </si>
  <si>
    <t>SO18123</t>
  </si>
  <si>
    <t>3364</t>
  </si>
  <si>
    <t>SO18107</t>
  </si>
  <si>
    <t>2378</t>
  </si>
  <si>
    <t>SO18143</t>
  </si>
  <si>
    <t>4500619617</t>
  </si>
  <si>
    <t>SO18142</t>
  </si>
  <si>
    <t>BC65-00082252</t>
  </si>
  <si>
    <t>SO18116</t>
  </si>
  <si>
    <t>10017456</t>
  </si>
  <si>
    <t>DXP Enterprises, Inc. - Grand Prairie</t>
  </si>
  <si>
    <t>SO18145</t>
  </si>
  <si>
    <t>SO18137</t>
  </si>
  <si>
    <t>4501321096</t>
  </si>
  <si>
    <t>SO18115</t>
  </si>
  <si>
    <t>5414497</t>
  </si>
  <si>
    <t>Pierce Pump Company</t>
  </si>
  <si>
    <t>SO18136</t>
  </si>
  <si>
    <t>10677</t>
  </si>
  <si>
    <t>Canadian Industrial Pumps Ltd</t>
  </si>
  <si>
    <t>SO17892</t>
  </si>
  <si>
    <t>10676</t>
  </si>
  <si>
    <t>SO18095</t>
  </si>
  <si>
    <t>PO-40-1018838</t>
  </si>
  <si>
    <t>SO18135</t>
  </si>
  <si>
    <t>4512484821</t>
  </si>
  <si>
    <t>SO18134</t>
  </si>
  <si>
    <t>4512484820</t>
  </si>
  <si>
    <t>SO18133</t>
  </si>
  <si>
    <t>4512484819</t>
  </si>
  <si>
    <t>SO18128</t>
  </si>
  <si>
    <t>Carlos Leon</t>
  </si>
  <si>
    <t>SO18122</t>
  </si>
  <si>
    <t>607048</t>
  </si>
  <si>
    <t>SO18127</t>
  </si>
  <si>
    <t>SO18126</t>
  </si>
  <si>
    <t>PO-008387</t>
  </si>
  <si>
    <t>SO18125</t>
  </si>
  <si>
    <t>4512474160</t>
  </si>
  <si>
    <t>SO18124</t>
  </si>
  <si>
    <t>4512474161</t>
  </si>
  <si>
    <t>SO18112</t>
  </si>
  <si>
    <t>4500618974</t>
  </si>
  <si>
    <t>SO18014</t>
  </si>
  <si>
    <t>7885</t>
  </si>
  <si>
    <t>SO18073</t>
  </si>
  <si>
    <t>2100680197</t>
  </si>
  <si>
    <t>SO18110</t>
  </si>
  <si>
    <t>SO17953</t>
  </si>
  <si>
    <t>PO003505</t>
  </si>
  <si>
    <t>SO18108</t>
  </si>
  <si>
    <t>2100678961</t>
  </si>
  <si>
    <t>SO18081</t>
  </si>
  <si>
    <t>607065</t>
  </si>
  <si>
    <t>SO18106</t>
  </si>
  <si>
    <t>PO6601</t>
  </si>
  <si>
    <t>ProPart Pompes du Canada 9425-4380 Quebec Inc</t>
  </si>
  <si>
    <t>SO18089</t>
  </si>
  <si>
    <t>P369494</t>
  </si>
  <si>
    <t>SO18104</t>
  </si>
  <si>
    <t>4500618721</t>
  </si>
  <si>
    <t>SO18096</t>
  </si>
  <si>
    <t>4500618504</t>
  </si>
  <si>
    <t>SO18068</t>
  </si>
  <si>
    <t>10662</t>
  </si>
  <si>
    <t>SO17939</t>
  </si>
  <si>
    <t>4501315104</t>
  </si>
  <si>
    <t>SO18072</t>
  </si>
  <si>
    <t>PO#5314</t>
  </si>
  <si>
    <t>TC Industries of Canada Co., TC Industries of Canada Co.</t>
  </si>
  <si>
    <t>SO17999</t>
  </si>
  <si>
    <t>RJSUP/IPO/2526/00090</t>
  </si>
  <si>
    <t>Jindal Drilling &amp; Industries Limited</t>
  </si>
  <si>
    <t>SO18062</t>
  </si>
  <si>
    <t>133169</t>
  </si>
  <si>
    <t>Cypress Sales Partnership</t>
  </si>
  <si>
    <t>SO18079</t>
  </si>
  <si>
    <t>PO-008367</t>
  </si>
  <si>
    <t>SO18028</t>
  </si>
  <si>
    <t>PO-10-1080033</t>
  </si>
  <si>
    <t>SO17285</t>
  </si>
  <si>
    <t>21868</t>
  </si>
  <si>
    <t>SO18078</t>
  </si>
  <si>
    <t>4500589465</t>
  </si>
  <si>
    <t>SO18076</t>
  </si>
  <si>
    <t>607062</t>
  </si>
  <si>
    <t>SO18069</t>
  </si>
  <si>
    <t>2200111610</t>
  </si>
  <si>
    <t>SO18024</t>
  </si>
  <si>
    <t>2100674278</t>
  </si>
  <si>
    <t>Wajax Limited - Thunder Bay, Wajax Limited - Thunder Bay</t>
  </si>
  <si>
    <t>SO17985</t>
  </si>
  <si>
    <t>2100673685</t>
  </si>
  <si>
    <t>SO17923</t>
  </si>
  <si>
    <t>PO2265</t>
  </si>
  <si>
    <t>SO18058</t>
  </si>
  <si>
    <t>4500617676</t>
  </si>
  <si>
    <t>SO18057</t>
  </si>
  <si>
    <t>4500617811</t>
  </si>
  <si>
    <t>SO18056</t>
  </si>
  <si>
    <t>4500617812</t>
  </si>
  <si>
    <t>SO18055</t>
  </si>
  <si>
    <t>4500617789</t>
  </si>
  <si>
    <t>SO18053</t>
  </si>
  <si>
    <t>4500617791</t>
  </si>
  <si>
    <t>SO18054</t>
  </si>
  <si>
    <t>MTL34770</t>
  </si>
  <si>
    <t>Conval Quebec</t>
  </si>
  <si>
    <t>SO18052</t>
  </si>
  <si>
    <t>PO 4500617769</t>
  </si>
  <si>
    <t>Resolute Forest Products - Fibrek, Resolute Forest Products - Fibrek</t>
  </si>
  <si>
    <t>SO18051</t>
  </si>
  <si>
    <t>4500617764</t>
  </si>
  <si>
    <t>SO18047</t>
  </si>
  <si>
    <t>7844</t>
  </si>
  <si>
    <t>SO18049</t>
  </si>
  <si>
    <t>4500617755</t>
  </si>
  <si>
    <t>SO18048</t>
  </si>
  <si>
    <t>2100672932</t>
  </si>
  <si>
    <t>SO18010</t>
  </si>
  <si>
    <t>4500617746</t>
  </si>
  <si>
    <t>SO18042</t>
  </si>
  <si>
    <t>4500617289</t>
  </si>
  <si>
    <t>SO18040</t>
  </si>
  <si>
    <t>325176</t>
  </si>
  <si>
    <t>SO18017</t>
  </si>
  <si>
    <t>L67665-DS</t>
  </si>
  <si>
    <t>SO18036</t>
  </si>
  <si>
    <t>4501309832</t>
  </si>
  <si>
    <t>Jeff Bell</t>
  </si>
  <si>
    <t>SO18013</t>
  </si>
  <si>
    <t>66071</t>
  </si>
  <si>
    <t>Harvey Bearings</t>
  </si>
  <si>
    <t>SO18030</t>
  </si>
  <si>
    <t>4500616757</t>
  </si>
  <si>
    <t>SO17996</t>
  </si>
  <si>
    <t>P368732</t>
  </si>
  <si>
    <t>SO17910</t>
  </si>
  <si>
    <t>4500617120</t>
  </si>
  <si>
    <t>SO17988</t>
  </si>
  <si>
    <t>BC65-00082047</t>
  </si>
  <si>
    <t>SO17700</t>
  </si>
  <si>
    <t>1061</t>
  </si>
  <si>
    <t>SO17997</t>
  </si>
  <si>
    <t>P368642</t>
  </si>
  <si>
    <t>Covia Corp - Guion</t>
  </si>
  <si>
    <t>SO17966</t>
  </si>
  <si>
    <t>25-3035</t>
  </si>
  <si>
    <t>Rueck Company Inc.</t>
  </si>
  <si>
    <t>SO18016</t>
  </si>
  <si>
    <t>4500617055</t>
  </si>
  <si>
    <t>SO18001</t>
  </si>
  <si>
    <t>A20251012</t>
  </si>
  <si>
    <t>Alpha Industrial &amp; Mining Supplies Limited</t>
  </si>
  <si>
    <t>SO18009</t>
  </si>
  <si>
    <t>4500616836</t>
  </si>
  <si>
    <t>SO18012</t>
  </si>
  <si>
    <t>4512412211</t>
  </si>
  <si>
    <t>SO18008</t>
  </si>
  <si>
    <t>4500588834</t>
  </si>
  <si>
    <t>SO18002</t>
  </si>
  <si>
    <t>4500616629</t>
  </si>
  <si>
    <t>SO18004</t>
  </si>
  <si>
    <t>2100669071</t>
  </si>
  <si>
    <t>SO17978</t>
  </si>
  <si>
    <t>607059</t>
  </si>
  <si>
    <t>SO17987</t>
  </si>
  <si>
    <t>M-084131</t>
  </si>
  <si>
    <t>Grant Aggregate</t>
  </si>
  <si>
    <t>SO17991</t>
  </si>
  <si>
    <t>2241</t>
  </si>
  <si>
    <t>SO17990</t>
  </si>
  <si>
    <t>A20251008</t>
  </si>
  <si>
    <t>SO17721</t>
  </si>
  <si>
    <t>12160</t>
  </si>
  <si>
    <t>Les Pompes Diaspec Inc.</t>
  </si>
  <si>
    <t>SO17993</t>
  </si>
  <si>
    <t>4500616451</t>
  </si>
  <si>
    <t>SO17982</t>
  </si>
  <si>
    <t>PO-008330</t>
  </si>
  <si>
    <t>SO17983</t>
  </si>
  <si>
    <t>4512404006</t>
  </si>
  <si>
    <t>SO17981</t>
  </si>
  <si>
    <t>4512404066</t>
  </si>
  <si>
    <t>SO17980</t>
  </si>
  <si>
    <t>4500588431</t>
  </si>
  <si>
    <t>SO17969</t>
  </si>
  <si>
    <t>4500616255</t>
  </si>
  <si>
    <t>SO17968</t>
  </si>
  <si>
    <t>607051</t>
  </si>
  <si>
    <t>SO17964</t>
  </si>
  <si>
    <t>M-084123</t>
  </si>
  <si>
    <t>SO17944</t>
  </si>
  <si>
    <t>BC65-00081961</t>
  </si>
  <si>
    <t>SO17962</t>
  </si>
  <si>
    <t>10619</t>
  </si>
  <si>
    <t>SO17921</t>
  </si>
  <si>
    <t>P368033</t>
  </si>
  <si>
    <t>Covia Corp - Fort Smith</t>
  </si>
  <si>
    <t>SO17956</t>
  </si>
  <si>
    <t>M-084122</t>
  </si>
  <si>
    <t>SO17959</t>
  </si>
  <si>
    <t>SUD1006057</t>
  </si>
  <si>
    <t>SO17958</t>
  </si>
  <si>
    <t>4500588194</t>
  </si>
  <si>
    <t>Glencore Canada Corporation - Rouyn-Noranda, Glencore Canada Corp.</t>
  </si>
  <si>
    <t>SO17957</t>
  </si>
  <si>
    <t>4500588251</t>
  </si>
  <si>
    <t>SO17954</t>
  </si>
  <si>
    <t>2100667015</t>
  </si>
  <si>
    <t>SO17862</t>
  </si>
  <si>
    <t>PO10007</t>
  </si>
  <si>
    <t>Tantalum Mining Corporation of Canada</t>
  </si>
  <si>
    <t>SO17942</t>
  </si>
  <si>
    <t>2100664302</t>
  </si>
  <si>
    <t>SO17880</t>
  </si>
  <si>
    <t>4500613640</t>
  </si>
  <si>
    <t>SO17938</t>
  </si>
  <si>
    <t>3326</t>
  </si>
  <si>
    <t>SO17916</t>
  </si>
  <si>
    <t>SUD1006055</t>
  </si>
  <si>
    <t>Process and Steam Specialties, Process and Steam Specialties</t>
  </si>
  <si>
    <t>SO17947</t>
  </si>
  <si>
    <t>4501270322</t>
  </si>
  <si>
    <t>SO17946</t>
  </si>
  <si>
    <t>OC00214</t>
  </si>
  <si>
    <t>SO17945</t>
  </si>
  <si>
    <t>4500615207</t>
  </si>
  <si>
    <t>SO17941</t>
  </si>
  <si>
    <t>2100662768</t>
  </si>
  <si>
    <t>SO17856</t>
  </si>
  <si>
    <t>6500022682</t>
  </si>
  <si>
    <t>SO17937</t>
  </si>
  <si>
    <t>OC00213</t>
  </si>
  <si>
    <t>SO17928</t>
  </si>
  <si>
    <t>4107</t>
  </si>
  <si>
    <t>SO17462</t>
  </si>
  <si>
    <t>607053</t>
  </si>
  <si>
    <t>SO17130</t>
  </si>
  <si>
    <t>4511879334</t>
  </si>
  <si>
    <t>SO17922</t>
  </si>
  <si>
    <t>3317</t>
  </si>
  <si>
    <t>SO17932</t>
  </si>
  <si>
    <t>SO17931</t>
  </si>
  <si>
    <t>3318</t>
  </si>
  <si>
    <t>SO17930</t>
  </si>
  <si>
    <t>OC00210</t>
  </si>
  <si>
    <t>SO17899</t>
  </si>
  <si>
    <t>P367830</t>
  </si>
  <si>
    <t>SO17896</t>
  </si>
  <si>
    <t>2100661342</t>
  </si>
  <si>
    <t>SO17925</t>
  </si>
  <si>
    <t>7728</t>
  </si>
  <si>
    <t>SO17926</t>
  </si>
  <si>
    <t>4500587758</t>
  </si>
  <si>
    <t>SO17893</t>
  </si>
  <si>
    <t>BC65-00081890</t>
  </si>
  <si>
    <t>SO17920</t>
  </si>
  <si>
    <t>187213</t>
  </si>
  <si>
    <t>Fabrene Inc.</t>
  </si>
  <si>
    <t>SO17917</t>
  </si>
  <si>
    <t>4500587687</t>
  </si>
  <si>
    <t>SO17870</t>
  </si>
  <si>
    <t>3316</t>
  </si>
  <si>
    <t>SO17794</t>
  </si>
  <si>
    <t>2223</t>
  </si>
  <si>
    <t>SO17914</t>
  </si>
  <si>
    <t>2100660152</t>
  </si>
  <si>
    <t>SO17437</t>
  </si>
  <si>
    <t>231167</t>
  </si>
  <si>
    <t>Burlington Pump Inc.</t>
  </si>
  <si>
    <t>SO17906</t>
  </si>
  <si>
    <t>4500587501</t>
  </si>
  <si>
    <t>SO17905</t>
  </si>
  <si>
    <t>PO-40-1018016</t>
  </si>
  <si>
    <t>SO17904</t>
  </si>
  <si>
    <t>7704</t>
  </si>
  <si>
    <t>SO17854</t>
  </si>
  <si>
    <t>10603</t>
  </si>
  <si>
    <t>Canadian Industrial Pumps Ltd, Canadian Industrial Pumps Ltd</t>
  </si>
  <si>
    <t>SO17692</t>
  </si>
  <si>
    <t>3313</t>
  </si>
  <si>
    <t>SO17901</t>
  </si>
  <si>
    <t>54074193</t>
  </si>
  <si>
    <t>Corrosion Fluid Products Corp.</t>
  </si>
  <si>
    <t>SO17898</t>
  </si>
  <si>
    <t>PO324623</t>
  </si>
  <si>
    <t>SO17900</t>
  </si>
  <si>
    <t>PO2100658530</t>
  </si>
  <si>
    <t>SO17897</t>
  </si>
  <si>
    <t>OC00209</t>
  </si>
  <si>
    <t>SO17879</t>
  </si>
  <si>
    <t>SO17895</t>
  </si>
  <si>
    <t>1060 Ship to PO# 2256099</t>
  </si>
  <si>
    <t>SO17876</t>
  </si>
  <si>
    <t>7698</t>
  </si>
  <si>
    <t>SO17845</t>
  </si>
  <si>
    <t>P367532</t>
  </si>
  <si>
    <t>SO17889</t>
  </si>
  <si>
    <t>7696</t>
  </si>
  <si>
    <t>SO17593</t>
  </si>
  <si>
    <t>PO2517723-250985</t>
  </si>
  <si>
    <t>CK Loosbrock USA LLC</t>
  </si>
  <si>
    <t>SO17877</t>
  </si>
  <si>
    <t>ON50-00003207</t>
  </si>
  <si>
    <t>Motion Industries Inc. (Canada) - Thunder Bay</t>
  </si>
  <si>
    <t>SO17848</t>
  </si>
  <si>
    <t>PO14009</t>
  </si>
  <si>
    <t>SO17878</t>
  </si>
  <si>
    <t>3102228</t>
  </si>
  <si>
    <t>Lantic Inc.</t>
  </si>
  <si>
    <t>SO17781</t>
  </si>
  <si>
    <t>BC65-00081824</t>
  </si>
  <si>
    <t>SO17868</t>
  </si>
  <si>
    <t>5296</t>
  </si>
  <si>
    <t>TC Industries of Canada Co.</t>
  </si>
  <si>
    <t>SO17874</t>
  </si>
  <si>
    <t>324501</t>
  </si>
  <si>
    <t>SO17873</t>
  </si>
  <si>
    <t>4512339725</t>
  </si>
  <si>
    <t>SO17858</t>
  </si>
  <si>
    <t>2100654949</t>
  </si>
  <si>
    <t>SO17844</t>
  </si>
  <si>
    <t>PO-40-1017858</t>
  </si>
  <si>
    <t>SO17864</t>
  </si>
  <si>
    <t>7687</t>
  </si>
  <si>
    <t>SO17863</t>
  </si>
  <si>
    <t>SO17860</t>
  </si>
  <si>
    <t>3304</t>
  </si>
  <si>
    <t>SO17744</t>
  </si>
  <si>
    <t>PO# 1059 Ship to PO# 2255391</t>
  </si>
  <si>
    <t>SO17847</t>
  </si>
  <si>
    <t>63-02846</t>
  </si>
  <si>
    <t>Quality Concrete Inc.</t>
  </si>
  <si>
    <t>SO17838</t>
  </si>
  <si>
    <t>PO 607046</t>
  </si>
  <si>
    <t>SO17783</t>
  </si>
  <si>
    <t>4501285694</t>
  </si>
  <si>
    <t>SO17778</t>
  </si>
  <si>
    <t>10588</t>
  </si>
  <si>
    <t>SO17850</t>
  </si>
  <si>
    <t>4500613310</t>
  </si>
  <si>
    <t>SO17837</t>
  </si>
  <si>
    <t>4500613133</t>
  </si>
  <si>
    <t>SO17849</t>
  </si>
  <si>
    <t>SO17846</t>
  </si>
  <si>
    <t>P-91625</t>
  </si>
  <si>
    <t>Cartledge &amp; Associates Inc.</t>
  </si>
  <si>
    <t>SO17803</t>
  </si>
  <si>
    <t>7667</t>
  </si>
  <si>
    <t>SO17828</t>
  </si>
  <si>
    <t>2100651726</t>
  </si>
  <si>
    <t>SO17836</t>
  </si>
  <si>
    <t>7660</t>
  </si>
  <si>
    <t>SO17835</t>
  </si>
  <si>
    <t>OC00206</t>
  </si>
  <si>
    <t>SO17834</t>
  </si>
  <si>
    <t>4500586645</t>
  </si>
  <si>
    <t>SO17833</t>
  </si>
  <si>
    <t>BC65-00081753</t>
  </si>
  <si>
    <t>Eduardo Talamantes</t>
  </si>
  <si>
    <t>SO17813</t>
  </si>
  <si>
    <t>7658</t>
  </si>
  <si>
    <t>SO17457</t>
  </si>
  <si>
    <t>PO003472</t>
  </si>
  <si>
    <t>SO17827</t>
  </si>
  <si>
    <t>4500586497</t>
  </si>
  <si>
    <t>SO17824</t>
  </si>
  <si>
    <t>PO-042473</t>
  </si>
  <si>
    <t>SO17826</t>
  </si>
  <si>
    <t>3301</t>
  </si>
  <si>
    <t>SO17809</t>
  </si>
  <si>
    <t>4500612757</t>
  </si>
  <si>
    <t>SO17818</t>
  </si>
  <si>
    <t>PO-008243</t>
  </si>
  <si>
    <t>SO17812</t>
  </si>
  <si>
    <t>4500612693</t>
  </si>
  <si>
    <t>SO17806</t>
  </si>
  <si>
    <t>P366673</t>
  </si>
  <si>
    <t>SO17817</t>
  </si>
  <si>
    <t>2227</t>
  </si>
  <si>
    <t>SO17814</t>
  </si>
  <si>
    <t>PO-008239</t>
  </si>
  <si>
    <t>SO17758</t>
  </si>
  <si>
    <t>PO-40-1017598</t>
  </si>
  <si>
    <t>SO17801</t>
  </si>
  <si>
    <t>4500612015</t>
  </si>
  <si>
    <t>Resolute Forest Products - Fibrek</t>
  </si>
  <si>
    <t>SO17787</t>
  </si>
  <si>
    <t>MB21-00192787</t>
  </si>
  <si>
    <t>SO17489</t>
  </si>
  <si>
    <t>2100611083</t>
  </si>
  <si>
    <t>Wajax Limited - Timmins</t>
  </si>
  <si>
    <t>SO17804</t>
  </si>
  <si>
    <t>2100646837</t>
  </si>
  <si>
    <t>SO17729</t>
  </si>
  <si>
    <t>0207927 - JRF</t>
  </si>
  <si>
    <t>Electric Pump</t>
  </si>
  <si>
    <t>SO17679</t>
  </si>
  <si>
    <t>P-90425</t>
  </si>
  <si>
    <t>SO17759</t>
  </si>
  <si>
    <t>BC65-00081681</t>
  </si>
  <si>
    <t>SO17800</t>
  </si>
  <si>
    <t>7640</t>
  </si>
  <si>
    <t>SO17799</t>
  </si>
  <si>
    <t>PONV-25-1796</t>
  </si>
  <si>
    <t>SO17796</t>
  </si>
  <si>
    <t>607926</t>
  </si>
  <si>
    <t>SO17784</t>
  </si>
  <si>
    <t>2100645192</t>
  </si>
  <si>
    <t>SO17785</t>
  </si>
  <si>
    <t>PONV-25-1788</t>
  </si>
  <si>
    <t>SO17797</t>
  </si>
  <si>
    <t>Sample</t>
  </si>
  <si>
    <t>Super Cast Limited</t>
  </si>
  <si>
    <t>SO17696</t>
  </si>
  <si>
    <t>S309683</t>
  </si>
  <si>
    <t>Kumtor Gold Company</t>
  </si>
  <si>
    <t>SO17681</t>
  </si>
  <si>
    <t>S309770</t>
  </si>
  <si>
    <t>SO17621</t>
  </si>
  <si>
    <t>10572</t>
  </si>
  <si>
    <t>SO17788</t>
  </si>
  <si>
    <t>607922</t>
  </si>
  <si>
    <t>SO17776</t>
  </si>
  <si>
    <t>P366236</t>
  </si>
  <si>
    <t>Covia Corp - Blue Mountain</t>
  </si>
  <si>
    <t>SO17768</t>
  </si>
  <si>
    <t>6500021909</t>
  </si>
  <si>
    <t>SO17763</t>
  </si>
  <si>
    <t>ON08-00285245</t>
  </si>
  <si>
    <t>Motion Industries Inc. (Canada) - North Bay, Motion Industries Canada</t>
  </si>
  <si>
    <t>SO17709</t>
  </si>
  <si>
    <t>7623</t>
  </si>
  <si>
    <t>SO17786</t>
  </si>
  <si>
    <t>OC00201</t>
  </si>
  <si>
    <t>SO17782</t>
  </si>
  <si>
    <t>OC00204</t>
  </si>
  <si>
    <t>SO17779</t>
  </si>
  <si>
    <t>4500611308</t>
  </si>
  <si>
    <t>SO17774</t>
  </si>
  <si>
    <t>FL06-00052065</t>
  </si>
  <si>
    <t>Motion Industries Inc. (U.S.) - Clewiston</t>
  </si>
  <si>
    <t>SO17777</t>
  </si>
  <si>
    <t>054868-00</t>
  </si>
  <si>
    <t>F H Pumps, Inc., F H Pumps, Inc</t>
  </si>
  <si>
    <t>SO17775</t>
  </si>
  <si>
    <t>4512273854</t>
  </si>
  <si>
    <t>SO17742</t>
  </si>
  <si>
    <t>BC65-00081630</t>
  </si>
  <si>
    <t>SO17718</t>
  </si>
  <si>
    <t>4501270309</t>
  </si>
  <si>
    <t>SO17769</t>
  </si>
  <si>
    <t>4501270800</t>
  </si>
  <si>
    <t>SO17358</t>
  </si>
  <si>
    <t>2254977</t>
  </si>
  <si>
    <t>SO17739</t>
  </si>
  <si>
    <t>7603</t>
  </si>
  <si>
    <t>SO17574</t>
  </si>
  <si>
    <t>80238 - Paid in full on Sept 23rd 2025, as per Margarita. $1,719.8 USD</t>
  </si>
  <si>
    <t>Irathane Systems Inc, Irathane Systems LLC</t>
  </si>
  <si>
    <t>SO17765</t>
  </si>
  <si>
    <t>3970</t>
  </si>
  <si>
    <t>SO17761</t>
  </si>
  <si>
    <t>4501270341</t>
  </si>
  <si>
    <t>SO17701</t>
  </si>
  <si>
    <t>4501270327</t>
  </si>
  <si>
    <t>SO17760</t>
  </si>
  <si>
    <t>SO17712</t>
  </si>
  <si>
    <t>5397796</t>
  </si>
  <si>
    <t>Corrosion Fluid Products Corp., Corrosion Fluid Products Corp. - Chicago</t>
  </si>
  <si>
    <t>SO17756</t>
  </si>
  <si>
    <t>PO-042213</t>
  </si>
  <si>
    <t>SO17753</t>
  </si>
  <si>
    <t>A20250826</t>
  </si>
  <si>
    <t>SO17740</t>
  </si>
  <si>
    <t>CO81-00108962</t>
  </si>
  <si>
    <t>Motion Industries Inc. (U.S.) - Pueblo</t>
  </si>
  <si>
    <t>SO17372</t>
  </si>
  <si>
    <t>3283</t>
  </si>
  <si>
    <t>SO17749</t>
  </si>
  <si>
    <t>4500617962</t>
  </si>
  <si>
    <t>SO17731</t>
  </si>
  <si>
    <t>PO6529</t>
  </si>
  <si>
    <t>SO17747</t>
  </si>
  <si>
    <t>4500610533</t>
  </si>
  <si>
    <t>SO17698</t>
  </si>
  <si>
    <t>21776 R1</t>
  </si>
  <si>
    <t>SO17723</t>
  </si>
  <si>
    <t>7578</t>
  </si>
  <si>
    <t>SO17737</t>
  </si>
  <si>
    <t>P-82225</t>
  </si>
  <si>
    <t>SO17719</t>
  </si>
  <si>
    <t>4500610655</t>
  </si>
  <si>
    <t>SO17741</t>
  </si>
  <si>
    <t>4512247470</t>
  </si>
  <si>
    <t>SO17727</t>
  </si>
  <si>
    <t>21768 R1</t>
  </si>
  <si>
    <t>SO17625</t>
  </si>
  <si>
    <t>4501259937</t>
  </si>
  <si>
    <t>SO17715</t>
  </si>
  <si>
    <t>4850011463</t>
  </si>
  <si>
    <t>Dome Mine Ltd</t>
  </si>
  <si>
    <t>SO17710</t>
  </si>
  <si>
    <t>PO-0020757</t>
  </si>
  <si>
    <t>SO17714</t>
  </si>
  <si>
    <t>PO-008196</t>
  </si>
  <si>
    <t>SO17707</t>
  </si>
  <si>
    <t>PO13911</t>
  </si>
  <si>
    <t>SO17684</t>
  </si>
  <si>
    <t>4500609591</t>
  </si>
  <si>
    <t>SO17651</t>
  </si>
  <si>
    <t>4512238268</t>
  </si>
  <si>
    <t>SO17704</t>
  </si>
  <si>
    <t>4500609960</t>
  </si>
  <si>
    <t>SO17674</t>
  </si>
  <si>
    <t>10545</t>
  </si>
  <si>
    <t>SO17695</t>
  </si>
  <si>
    <t>3031307</t>
  </si>
  <si>
    <t>SO17685</t>
  </si>
  <si>
    <t>2100635190</t>
  </si>
  <si>
    <t>Wajax Limited - Pointe-aux-Trembles, Wajax Limited</t>
  </si>
  <si>
    <t>SO17703</t>
  </si>
  <si>
    <t>4500609934</t>
  </si>
  <si>
    <t>SO17628</t>
  </si>
  <si>
    <t>4501262572</t>
  </si>
  <si>
    <t>SO17690</t>
  </si>
  <si>
    <t>A20250809</t>
  </si>
  <si>
    <t>SO17472</t>
  </si>
  <si>
    <t>PO003448</t>
  </si>
  <si>
    <t>SO17683</t>
  </si>
  <si>
    <t>PO-0020723</t>
  </si>
  <si>
    <t>SO17691</t>
  </si>
  <si>
    <t>2202</t>
  </si>
  <si>
    <t>SO17686</t>
  </si>
  <si>
    <t>2201</t>
  </si>
  <si>
    <t>SO17693</t>
  </si>
  <si>
    <t>1029134</t>
  </si>
  <si>
    <t>SO17689</t>
  </si>
  <si>
    <t>MB21-00192256</t>
  </si>
  <si>
    <t>SO17682</t>
  </si>
  <si>
    <t>PO# 1058</t>
  </si>
  <si>
    <t>SO17664</t>
  </si>
  <si>
    <t>P365091</t>
  </si>
  <si>
    <t>SO17677</t>
  </si>
  <si>
    <t>4512224278</t>
  </si>
  <si>
    <t>SO17676</t>
  </si>
  <si>
    <t>4512224031</t>
  </si>
  <si>
    <t>SO17516</t>
  </si>
  <si>
    <t>2100615718</t>
  </si>
  <si>
    <t>SO17673</t>
  </si>
  <si>
    <t>4512219234</t>
  </si>
  <si>
    <t>SO17670</t>
  </si>
  <si>
    <t>PO-40-1017155</t>
  </si>
  <si>
    <t>SO17644</t>
  </si>
  <si>
    <t>1028955</t>
  </si>
  <si>
    <t>SO17558</t>
  </si>
  <si>
    <t>19097</t>
  </si>
  <si>
    <t>Adriatic Metals plc - Eastern Mining d.o.o.</t>
  </si>
  <si>
    <t>SO17560</t>
  </si>
  <si>
    <t>2100631540</t>
  </si>
  <si>
    <t>SO17660</t>
  </si>
  <si>
    <t>3275</t>
  </si>
  <si>
    <t>SO17661</t>
  </si>
  <si>
    <t>PO13889</t>
  </si>
  <si>
    <t>SO17659</t>
  </si>
  <si>
    <t>2100630473</t>
  </si>
  <si>
    <t>Wajax Limited - Pointe-aux-Trembles</t>
  </si>
  <si>
    <t>SO17662</t>
  </si>
  <si>
    <t>4500608996</t>
  </si>
  <si>
    <t>SO17535</t>
  </si>
  <si>
    <t>1080562</t>
  </si>
  <si>
    <t>Hisco Pump Inc.</t>
  </si>
  <si>
    <t>SO17653</t>
  </si>
  <si>
    <t>P-81125</t>
  </si>
  <si>
    <t>SO17656</t>
  </si>
  <si>
    <t>MB21-00192067</t>
  </si>
  <si>
    <t>SO17648</t>
  </si>
  <si>
    <t>68-01017</t>
  </si>
  <si>
    <t>SO17636</t>
  </si>
  <si>
    <t>9886237</t>
  </si>
  <si>
    <t>DXP Enterprises, Inc. - Phoenix</t>
  </si>
  <si>
    <t>SO17640</t>
  </si>
  <si>
    <t>PO13881</t>
  </si>
  <si>
    <t>SO17655</t>
  </si>
  <si>
    <t>PO# 1057</t>
  </si>
  <si>
    <t>SO17652</t>
  </si>
  <si>
    <t>SO17645</t>
  </si>
  <si>
    <t>4500607957</t>
  </si>
  <si>
    <t>SO17643</t>
  </si>
  <si>
    <t>3267</t>
  </si>
  <si>
    <t>SO17063</t>
  </si>
  <si>
    <t>3263</t>
  </si>
  <si>
    <t>SO17626</t>
  </si>
  <si>
    <t>7514</t>
  </si>
  <si>
    <t>SO17630</t>
  </si>
  <si>
    <t>P364562</t>
  </si>
  <si>
    <t>SO17637</t>
  </si>
  <si>
    <t>7504</t>
  </si>
  <si>
    <t>SO17008</t>
  </si>
  <si>
    <t>5518 - Paid in full on August 6th 2025</t>
  </si>
  <si>
    <t>MJR Admin</t>
  </si>
  <si>
    <t>SO17575</t>
  </si>
  <si>
    <t>4500836869</t>
  </si>
  <si>
    <t>AGM Inc.</t>
  </si>
  <si>
    <t>SO17627</t>
  </si>
  <si>
    <t>4501263629</t>
  </si>
  <si>
    <t>SO17525</t>
  </si>
  <si>
    <t>2100625314</t>
  </si>
  <si>
    <t>SO17613</t>
  </si>
  <si>
    <t>OC00194</t>
  </si>
  <si>
    <t>SO17612</t>
  </si>
  <si>
    <t>OC00193</t>
  </si>
  <si>
    <t>SO17598</t>
  </si>
  <si>
    <t>PO-008147</t>
  </si>
  <si>
    <t>SO17615</t>
  </si>
  <si>
    <t>PONV-25-1555</t>
  </si>
  <si>
    <t>SO17563</t>
  </si>
  <si>
    <t>BC65-00081338</t>
  </si>
  <si>
    <t>SO17610</t>
  </si>
  <si>
    <t>7501</t>
  </si>
  <si>
    <t>SO17608</t>
  </si>
  <si>
    <t>7473</t>
  </si>
  <si>
    <t>SO17604</t>
  </si>
  <si>
    <t>2100623714</t>
  </si>
  <si>
    <t>SO17603</t>
  </si>
  <si>
    <t>3821</t>
  </si>
  <si>
    <t>SO17432</t>
  </si>
  <si>
    <t>1056</t>
  </si>
  <si>
    <t>SO17567</t>
  </si>
  <si>
    <t>3259</t>
  </si>
  <si>
    <t>SO17597</t>
  </si>
  <si>
    <t>L66377-T</t>
  </si>
  <si>
    <t>SO17596</t>
  </si>
  <si>
    <t>2100622308</t>
  </si>
  <si>
    <t>SO17588</t>
  </si>
  <si>
    <t>4500606894</t>
  </si>
  <si>
    <t>SO17595</t>
  </si>
  <si>
    <t>P363948</t>
  </si>
  <si>
    <t>SO17568</t>
  </si>
  <si>
    <t>10496</t>
  </si>
  <si>
    <t>SO17590</t>
  </si>
  <si>
    <t>OC00191</t>
  </si>
  <si>
    <t>SO17562</t>
  </si>
  <si>
    <t>FL06-00051881</t>
  </si>
  <si>
    <t>SO17589</t>
  </si>
  <si>
    <t>OC00190</t>
  </si>
  <si>
    <t>SO17564</t>
  </si>
  <si>
    <t>BC65-00081266</t>
  </si>
  <si>
    <t>SO17553</t>
  </si>
  <si>
    <t>PO13837</t>
  </si>
  <si>
    <t>SO17515</t>
  </si>
  <si>
    <t>4500061809</t>
  </si>
  <si>
    <t>SO17578</t>
  </si>
  <si>
    <t>L66299-DS</t>
  </si>
  <si>
    <t>Wild Rows Pump &amp; Compression</t>
  </si>
  <si>
    <t>SO17422</t>
  </si>
  <si>
    <t>PONV-25-1491</t>
  </si>
  <si>
    <t>SO17555</t>
  </si>
  <si>
    <t>P363766</t>
  </si>
  <si>
    <t>SO17571</t>
  </si>
  <si>
    <t>M-083951</t>
  </si>
  <si>
    <t>SO17576</t>
  </si>
  <si>
    <t>PO-008136</t>
  </si>
  <si>
    <t>SO17573</t>
  </si>
  <si>
    <t>4500606522</t>
  </si>
  <si>
    <t>SO17570</t>
  </si>
  <si>
    <t>4500606536</t>
  </si>
  <si>
    <t>SO17529</t>
  </si>
  <si>
    <t>7445</t>
  </si>
  <si>
    <t>SO17566</t>
  </si>
  <si>
    <t>7442</t>
  </si>
  <si>
    <t>SO17565</t>
  </si>
  <si>
    <t>7440</t>
  </si>
  <si>
    <t>SO17530</t>
  </si>
  <si>
    <t>4500606394</t>
  </si>
  <si>
    <t>SO17475</t>
  </si>
  <si>
    <t>1055</t>
  </si>
  <si>
    <t>SO17550</t>
  </si>
  <si>
    <t>7433</t>
  </si>
  <si>
    <t>SO17547</t>
  </si>
  <si>
    <t>3767</t>
  </si>
  <si>
    <t>SO17552</t>
  </si>
  <si>
    <t>4560068337</t>
  </si>
  <si>
    <t>Alamos Gold Inc, Alamos Gold Inc Island Gold Division</t>
  </si>
  <si>
    <t>SO17554</t>
  </si>
  <si>
    <t>PO# 1053</t>
  </si>
  <si>
    <t>SO16653</t>
  </si>
  <si>
    <t>30862</t>
  </si>
  <si>
    <t>First Bauxite Inc.</t>
  </si>
  <si>
    <t>SO17532</t>
  </si>
  <si>
    <t>3250</t>
  </si>
  <si>
    <t>SO17551</t>
  </si>
  <si>
    <t>3252</t>
  </si>
  <si>
    <t>SO17549</t>
  </si>
  <si>
    <t>OC00189</t>
  </si>
  <si>
    <t>SO17548</t>
  </si>
  <si>
    <t>OC00187</t>
  </si>
  <si>
    <t>SO17536</t>
  </si>
  <si>
    <t>322573</t>
  </si>
  <si>
    <t>SO17544</t>
  </si>
  <si>
    <t>607030</t>
  </si>
  <si>
    <t>SO17506</t>
  </si>
  <si>
    <t>4500605118</t>
  </si>
  <si>
    <t>SO17488</t>
  </si>
  <si>
    <t>PO-40-1016737</t>
  </si>
  <si>
    <t>SO17520</t>
  </si>
  <si>
    <t>7411</t>
  </si>
  <si>
    <t>SO17477</t>
  </si>
  <si>
    <t>4501234300</t>
  </si>
  <si>
    <t>SO17483</t>
  </si>
  <si>
    <t>4501236472</t>
  </si>
  <si>
    <t>SO17531</t>
  </si>
  <si>
    <t>PO-40-1016692</t>
  </si>
  <si>
    <t>SO17444</t>
  </si>
  <si>
    <t>5387042</t>
  </si>
  <si>
    <t>SO17524</t>
  </si>
  <si>
    <t>3247</t>
  </si>
  <si>
    <t>SO17521</t>
  </si>
  <si>
    <t>3246</t>
  </si>
  <si>
    <t>SO17523</t>
  </si>
  <si>
    <t>PO 	4501238214</t>
  </si>
  <si>
    <t>SO17507</t>
  </si>
  <si>
    <t>PO-008114</t>
  </si>
  <si>
    <t>SO17522</t>
  </si>
  <si>
    <t>4500605498</t>
  </si>
  <si>
    <t>SO17519</t>
  </si>
  <si>
    <t>186672</t>
  </si>
  <si>
    <t>SO17518</t>
  </si>
  <si>
    <t>OC00185</t>
  </si>
  <si>
    <t>SO17513</t>
  </si>
  <si>
    <t>OC00184</t>
  </si>
  <si>
    <t>SO17512</t>
  </si>
  <si>
    <t>OC00183</t>
  </si>
  <si>
    <t>SO17482</t>
  </si>
  <si>
    <t>PO-041381</t>
  </si>
  <si>
    <t>SO17509</t>
  </si>
  <si>
    <t>3732</t>
  </si>
  <si>
    <t>SO17334</t>
  </si>
  <si>
    <t>2252777</t>
  </si>
  <si>
    <t>SO17491</t>
  </si>
  <si>
    <t>4500605083</t>
  </si>
  <si>
    <t>Resolute Forest Products - Alma</t>
  </si>
  <si>
    <t>SO17450</t>
  </si>
  <si>
    <t>P362998</t>
  </si>
  <si>
    <t>SO17009</t>
  </si>
  <si>
    <t>PO-007930</t>
  </si>
  <si>
    <t>SO17481</t>
  </si>
  <si>
    <t>PO-041427</t>
  </si>
  <si>
    <t>SO17446</t>
  </si>
  <si>
    <t>1054</t>
  </si>
  <si>
    <t>SO16932</t>
  </si>
  <si>
    <t>SUD1006029</t>
  </si>
  <si>
    <t>SO17497</t>
  </si>
  <si>
    <t>S306876 Replacement</t>
  </si>
  <si>
    <t>SO17496</t>
  </si>
  <si>
    <t>OC00181</t>
  </si>
  <si>
    <t>SO17468</t>
  </si>
  <si>
    <t>4500604485</t>
  </si>
  <si>
    <t>SO17494</t>
  </si>
  <si>
    <t>PO-40-1016782</t>
  </si>
  <si>
    <t>SO17452</t>
  </si>
  <si>
    <t>3724</t>
  </si>
  <si>
    <t>SO17485</t>
  </si>
  <si>
    <t>3255</t>
  </si>
  <si>
    <t>SO17464</t>
  </si>
  <si>
    <t>PO-40-1016572</t>
  </si>
  <si>
    <t>SO17478</t>
  </si>
  <si>
    <t>6961401 - Paid in full on July 11th 2025</t>
  </si>
  <si>
    <t>Stroudsburg Electric Motor Service/BDS</t>
  </si>
  <si>
    <t>SO17486</t>
  </si>
  <si>
    <t>OC00180</t>
  </si>
  <si>
    <t>SO17395</t>
  </si>
  <si>
    <t>3233</t>
  </si>
  <si>
    <t>SO17471</t>
  </si>
  <si>
    <t>607024</t>
  </si>
  <si>
    <t>SO17484</t>
  </si>
  <si>
    <t>607025</t>
  </si>
  <si>
    <t>SO17467</t>
  </si>
  <si>
    <t>7369</t>
  </si>
  <si>
    <t>SO17461</t>
  </si>
  <si>
    <t>2100610848</t>
  </si>
  <si>
    <t>SO17466</t>
  </si>
  <si>
    <t>4500604516</t>
  </si>
  <si>
    <t>SO17459</t>
  </si>
  <si>
    <t>2100609815</t>
  </si>
  <si>
    <t>SO17453</t>
  </si>
  <si>
    <t>4500604129</t>
  </si>
  <si>
    <t>SO17451</t>
  </si>
  <si>
    <t>PO13590</t>
  </si>
  <si>
    <t>SO17456</t>
  </si>
  <si>
    <t>4512094907</t>
  </si>
  <si>
    <t>SO17442</t>
  </si>
  <si>
    <t>4500125407</t>
  </si>
  <si>
    <t>Agnico Eagle Mines Ltd. - Cochrane</t>
  </si>
  <si>
    <t>SO17404</t>
  </si>
  <si>
    <t>P07252737</t>
  </si>
  <si>
    <t>SO17443</t>
  </si>
  <si>
    <t>P-70825</t>
  </si>
  <si>
    <t>SO17454</t>
  </si>
  <si>
    <t>4500603419</t>
  </si>
  <si>
    <t>SO17389</t>
  </si>
  <si>
    <t>SC02-00230914</t>
  </si>
  <si>
    <t>Motion Industries Inc. (U.S.) - Greer</t>
  </si>
  <si>
    <t>SO17455</t>
  </si>
  <si>
    <t>4500582108</t>
  </si>
  <si>
    <t>SO17431</t>
  </si>
  <si>
    <t>PO # 59484</t>
  </si>
  <si>
    <t>Lake Shore Gold Corp</t>
  </si>
  <si>
    <t>SO17388</t>
  </si>
  <si>
    <t>PO#  M-083882</t>
  </si>
  <si>
    <t>SO17410</t>
  </si>
  <si>
    <t>PO-40-1016426</t>
  </si>
  <si>
    <t>SO17441</t>
  </si>
  <si>
    <t>2252118</t>
  </si>
  <si>
    <t>SO17440</t>
  </si>
  <si>
    <t>4500603259</t>
  </si>
  <si>
    <t>SO17439</t>
  </si>
  <si>
    <t>S303734 Replacement</t>
  </si>
  <si>
    <t>SO17430</t>
  </si>
  <si>
    <t>PO# 008082</t>
  </si>
  <si>
    <t>SO17434</t>
  </si>
  <si>
    <t>OC00177</t>
  </si>
  <si>
    <t>SO17423</t>
  </si>
  <si>
    <t>PONV-25-1341</t>
  </si>
  <si>
    <t>SO17368</t>
  </si>
  <si>
    <t>4501226064</t>
  </si>
  <si>
    <t>SO17421</t>
  </si>
  <si>
    <t>7326</t>
  </si>
  <si>
    <t>SO17407</t>
  </si>
  <si>
    <t>ON50-00002822</t>
  </si>
  <si>
    <t>SO17425</t>
  </si>
  <si>
    <t>2251978</t>
  </si>
  <si>
    <t>SO17337</t>
  </si>
  <si>
    <t>10450</t>
  </si>
  <si>
    <t>Taylor Cook</t>
  </si>
  <si>
    <t>SO17400</t>
  </si>
  <si>
    <t>U-2251977</t>
  </si>
  <si>
    <t>SO17413</t>
  </si>
  <si>
    <t>C-3016862763</t>
  </si>
  <si>
    <t>Vallen Canada Inc. - IS Div</t>
  </si>
  <si>
    <t>SO17408</t>
  </si>
  <si>
    <t>BC65-00080989</t>
  </si>
  <si>
    <t>SO17397</t>
  </si>
  <si>
    <t>PO-008073</t>
  </si>
  <si>
    <t>SO17398</t>
  </si>
  <si>
    <t>AB05-00302890</t>
  </si>
  <si>
    <t>Motion Industries Inc. (Canada) - Edmonton</t>
  </si>
  <si>
    <t>SO17402</t>
  </si>
  <si>
    <t>186477</t>
  </si>
  <si>
    <t>SO17396</t>
  </si>
  <si>
    <t>3030808</t>
  </si>
  <si>
    <t>SO17391</t>
  </si>
  <si>
    <t>4512036946</t>
  </si>
  <si>
    <t>SO17390</t>
  </si>
  <si>
    <t>4512036945</t>
  </si>
  <si>
    <t>SO17382</t>
  </si>
  <si>
    <t>A20250624</t>
  </si>
  <si>
    <t>SO17386</t>
  </si>
  <si>
    <t>4512028738</t>
  </si>
  <si>
    <t>SO17385</t>
  </si>
  <si>
    <t>4512028739</t>
  </si>
  <si>
    <t>SO17298</t>
  </si>
  <si>
    <t>4500896245</t>
  </si>
  <si>
    <t>SO17379</t>
  </si>
  <si>
    <t>4500602254</t>
  </si>
  <si>
    <t>SO17384</t>
  </si>
  <si>
    <t>RJEDD/lPO/2526/00062</t>
  </si>
  <si>
    <t>SO17293</t>
  </si>
  <si>
    <t>RJEDD/IPO/2526/00076</t>
  </si>
  <si>
    <t>SO17383</t>
  </si>
  <si>
    <t>RJEDD/lPO/2526/00070</t>
  </si>
  <si>
    <t>SO16947</t>
  </si>
  <si>
    <t>PO-041091</t>
  </si>
  <si>
    <t>SO17375</t>
  </si>
  <si>
    <t>186419</t>
  </si>
  <si>
    <t>SO17315</t>
  </si>
  <si>
    <t>1052, ship to PO# 2251390</t>
  </si>
  <si>
    <t>SO17369</t>
  </si>
  <si>
    <t>4500581058</t>
  </si>
  <si>
    <t>SO17370</t>
  </si>
  <si>
    <t>3007134</t>
  </si>
  <si>
    <t>SCG Process, SCG Process</t>
  </si>
  <si>
    <t>SO17360</t>
  </si>
  <si>
    <t>A20250620</t>
  </si>
  <si>
    <t>SO17163</t>
  </si>
  <si>
    <t>NC07-00334898</t>
  </si>
  <si>
    <t>Motion Industries Inc. (U.S.) - Charleston</t>
  </si>
  <si>
    <t>SO17367</t>
  </si>
  <si>
    <t>40-1016149</t>
  </si>
  <si>
    <t>SO17355</t>
  </si>
  <si>
    <t>WV70-00220419</t>
  </si>
  <si>
    <t>Motion Industries Inc. (U.S.) - Huntington, Motion Industries, Inc.</t>
  </si>
  <si>
    <t>SO17366</t>
  </si>
  <si>
    <t>PO# 1051, Ship to PO# 2251356</t>
  </si>
  <si>
    <t>SO17357</t>
  </si>
  <si>
    <t>186395</t>
  </si>
  <si>
    <t>SO17356</t>
  </si>
  <si>
    <t>4009449</t>
  </si>
  <si>
    <t>John Brooks Company Limited</t>
  </si>
  <si>
    <t>SO17353</t>
  </si>
  <si>
    <t>2100596118</t>
  </si>
  <si>
    <t>SO17311</t>
  </si>
  <si>
    <t>1024866</t>
  </si>
  <si>
    <t>SO17349</t>
  </si>
  <si>
    <t>PO09675</t>
  </si>
  <si>
    <t>SO17338</t>
  </si>
  <si>
    <t>M-083855</t>
  </si>
  <si>
    <t>SO17332</t>
  </si>
  <si>
    <t>PO-0020398</t>
  </si>
  <si>
    <t>SO17346</t>
  </si>
  <si>
    <t>PO-008046</t>
  </si>
  <si>
    <t>SO17345</t>
  </si>
  <si>
    <t>4500601157</t>
  </si>
  <si>
    <t>SO17329</t>
  </si>
  <si>
    <t>BC65-00080832</t>
  </si>
  <si>
    <t>SO17325</t>
  </si>
  <si>
    <t>3577 - Paid in Full on June 25th via wire transfer.</t>
  </si>
  <si>
    <t>SO17297</t>
  </si>
  <si>
    <t>2100594711</t>
  </si>
  <si>
    <t>SO17333</t>
  </si>
  <si>
    <t>2100594387</t>
  </si>
  <si>
    <t>SO17318</t>
  </si>
  <si>
    <t>2100594290</t>
  </si>
  <si>
    <t>SO17316</t>
  </si>
  <si>
    <t>2100592601</t>
  </si>
  <si>
    <t>SO17321</t>
  </si>
  <si>
    <t>A20250612</t>
  </si>
  <si>
    <t>SO16918</t>
  </si>
  <si>
    <t>4501209613</t>
  </si>
  <si>
    <t>SO17320</t>
  </si>
  <si>
    <t>7247</t>
  </si>
  <si>
    <t>SO17312</t>
  </si>
  <si>
    <t>0005999</t>
  </si>
  <si>
    <t>QI Supply Limited</t>
  </si>
  <si>
    <t>SO17322</t>
  </si>
  <si>
    <t>4501209961</t>
  </si>
  <si>
    <t>SO17262</t>
  </si>
  <si>
    <t>BC78-00053939</t>
  </si>
  <si>
    <t>Motion Industries Inc. (Canada) - Quesnel</t>
  </si>
  <si>
    <t>SO17319</t>
  </si>
  <si>
    <t>Purchase Order no. 7269 | Steve</t>
  </si>
  <si>
    <t>SO17317</t>
  </si>
  <si>
    <t>4500600624</t>
  </si>
  <si>
    <t>SO17276</t>
  </si>
  <si>
    <t>3202</t>
  </si>
  <si>
    <t>SO17294</t>
  </si>
  <si>
    <t>4500600086</t>
  </si>
  <si>
    <t>SO17299</t>
  </si>
  <si>
    <t>PO 4500600220</t>
  </si>
  <si>
    <t>SO17243</t>
  </si>
  <si>
    <t>3203</t>
  </si>
  <si>
    <t>SO17105</t>
  </si>
  <si>
    <t>2100591554</t>
  </si>
  <si>
    <t>SO17313</t>
  </si>
  <si>
    <t>OC00174</t>
  </si>
  <si>
    <t>SO17304</t>
  </si>
  <si>
    <t>PO-008029</t>
  </si>
  <si>
    <t>SO17286</t>
  </si>
  <si>
    <t>2100590458</t>
  </si>
  <si>
    <t>SO17300</t>
  </si>
  <si>
    <t>4501206829</t>
  </si>
  <si>
    <t>SO17269</t>
  </si>
  <si>
    <t>PSI15784</t>
  </si>
  <si>
    <t>Progressive Sealing Inc.</t>
  </si>
  <si>
    <t>SO17264</t>
  </si>
  <si>
    <t>BC65-00080743</t>
  </si>
  <si>
    <t>SO17283</t>
  </si>
  <si>
    <t>4500599579</t>
  </si>
  <si>
    <t>SO17291</t>
  </si>
  <si>
    <t>PO-1813</t>
  </si>
  <si>
    <t>EcoVac Solutions Ltd.</t>
  </si>
  <si>
    <t>SO17242</t>
  </si>
  <si>
    <t>1050 Ship to PO# 2250701</t>
  </si>
  <si>
    <t>SO17289</t>
  </si>
  <si>
    <t>OC00172</t>
  </si>
  <si>
    <t>SO17274</t>
  </si>
  <si>
    <t>4505731755-X46</t>
  </si>
  <si>
    <t>BDI Canada Inc - Saskatoon</t>
  </si>
  <si>
    <t>SO17284</t>
  </si>
  <si>
    <t>4500586136-Replacment</t>
  </si>
  <si>
    <t>SO17267</t>
  </si>
  <si>
    <t>1024377</t>
  </si>
  <si>
    <t>SO17260</t>
  </si>
  <si>
    <t>P-60225</t>
  </si>
  <si>
    <t>SO17282</t>
  </si>
  <si>
    <t>4500599628</t>
  </si>
  <si>
    <t>SO17278</t>
  </si>
  <si>
    <t>4500586136 Replacement</t>
  </si>
  <si>
    <t>SO17277</t>
  </si>
  <si>
    <t>AZ52-00112386</t>
  </si>
  <si>
    <t>Motion Industries Inc. (U.S.) - Tucson</t>
  </si>
  <si>
    <t>SO17201</t>
  </si>
  <si>
    <t>4501202872</t>
  </si>
  <si>
    <t>SO17271</t>
  </si>
  <si>
    <t>4500599181</t>
  </si>
  <si>
    <t>SO17256</t>
  </si>
  <si>
    <t>BC78-00053869</t>
  </si>
  <si>
    <t>SO17051</t>
  </si>
  <si>
    <t>RJEDD/IPO/2526/00046 - paid in full on June 6th 2025. $20,808.13</t>
  </si>
  <si>
    <t>SO17159</t>
  </si>
  <si>
    <t>PO# 70300</t>
  </si>
  <si>
    <t>SRM Materials</t>
  </si>
  <si>
    <t>SO17265</t>
  </si>
  <si>
    <t>1049 Ship to PO# 2250529</t>
  </si>
  <si>
    <t>SO17263</t>
  </si>
  <si>
    <t>OC00171</t>
  </si>
  <si>
    <t>SO17261</t>
  </si>
  <si>
    <t>03R19899</t>
  </si>
  <si>
    <t>SO17259</t>
  </si>
  <si>
    <t>4500598769</t>
  </si>
  <si>
    <t>SO17250</t>
  </si>
  <si>
    <t>4500598918</t>
  </si>
  <si>
    <t>SO17257</t>
  </si>
  <si>
    <t>PO 137523</t>
  </si>
  <si>
    <t>SO17199</t>
  </si>
  <si>
    <t>054561-00 - Paid in full on June 3rd</t>
  </si>
  <si>
    <t>SO17254</t>
  </si>
  <si>
    <t>BC65-00080665</t>
  </si>
  <si>
    <t>SO17246</t>
  </si>
  <si>
    <t>2100583535</t>
  </si>
  <si>
    <t>SO17253</t>
  </si>
  <si>
    <t>4501197712</t>
  </si>
  <si>
    <t>SO17218</t>
  </si>
  <si>
    <t>PO-40-1015625</t>
  </si>
  <si>
    <t>Canadian Bearings Ltd., Canadian Bearings Ltd. - Quebec City</t>
  </si>
  <si>
    <t>SO17216</t>
  </si>
  <si>
    <t>4500597713</t>
  </si>
  <si>
    <t>SO17241</t>
  </si>
  <si>
    <t>2100582744</t>
  </si>
  <si>
    <t>SO17169</t>
  </si>
  <si>
    <t>21599</t>
  </si>
  <si>
    <t>SO17249</t>
  </si>
  <si>
    <t>PO-008006</t>
  </si>
  <si>
    <t>SO17205</t>
  </si>
  <si>
    <t>QC10-00126625</t>
  </si>
  <si>
    <t>Motion Industries Inc. (Canada) - Chicoutimi, Motion Industries Inc. (Canada) - Chicoutimi</t>
  </si>
  <si>
    <t>SO17245</t>
  </si>
  <si>
    <t>MB21-00189885</t>
  </si>
  <si>
    <t>SO17234</t>
  </si>
  <si>
    <t>MB21-00189855</t>
  </si>
  <si>
    <t>SO17197</t>
  </si>
  <si>
    <t>P359876</t>
  </si>
  <si>
    <t>SO17153</t>
  </si>
  <si>
    <t>PO-0020310</t>
  </si>
  <si>
    <t>SO17237</t>
  </si>
  <si>
    <t>7191</t>
  </si>
  <si>
    <t>SO17238</t>
  </si>
  <si>
    <t>1048 / Ship to PO# 2250165</t>
  </si>
  <si>
    <t>SO17235</t>
  </si>
  <si>
    <t>7183</t>
  </si>
  <si>
    <t>SO17129</t>
  </si>
  <si>
    <t>2100580915</t>
  </si>
  <si>
    <t>SO17230</t>
  </si>
  <si>
    <t>4500598086</t>
  </si>
  <si>
    <t>SO17229</t>
  </si>
  <si>
    <t>3006737</t>
  </si>
  <si>
    <t>SO17219</t>
  </si>
  <si>
    <t>2112</t>
  </si>
  <si>
    <t>SO17225</t>
  </si>
  <si>
    <t>2100580158</t>
  </si>
  <si>
    <t>SO16809</t>
  </si>
  <si>
    <t>2100579915</t>
  </si>
  <si>
    <t>SO17227</t>
  </si>
  <si>
    <t>4511929373</t>
  </si>
  <si>
    <t>SO17220</t>
  </si>
  <si>
    <t>4501195681</t>
  </si>
  <si>
    <t>SO17212</t>
  </si>
  <si>
    <t>4500891930</t>
  </si>
  <si>
    <t>SO17202</t>
  </si>
  <si>
    <t>11888</t>
  </si>
  <si>
    <t>SO17224</t>
  </si>
  <si>
    <t>4511929370</t>
  </si>
  <si>
    <t>SO17176</t>
  </si>
  <si>
    <t>2100579622</t>
  </si>
  <si>
    <t>SO17223</t>
  </si>
  <si>
    <t>4511929372</t>
  </si>
  <si>
    <t>SO17222</t>
  </si>
  <si>
    <t>4511929371</t>
  </si>
  <si>
    <t>SO17221</t>
  </si>
  <si>
    <t>4511929374</t>
  </si>
  <si>
    <t>SO16679</t>
  </si>
  <si>
    <t>4501409436</t>
  </si>
  <si>
    <t>ARYA OILFIELD AND NATURAL GAS EQUIPMENT AND SPARE PARTS TRADING L.L.C</t>
  </si>
  <si>
    <t>SO17214</t>
  </si>
  <si>
    <t>PO-007990</t>
  </si>
  <si>
    <t>SO17210</t>
  </si>
  <si>
    <t>L65270-DS</t>
  </si>
  <si>
    <t>SO17194</t>
  </si>
  <si>
    <t>PO-0020292</t>
  </si>
  <si>
    <t>SO17200</t>
  </si>
  <si>
    <t>P-05252647</t>
  </si>
  <si>
    <t>SO17209</t>
  </si>
  <si>
    <t>OC00169</t>
  </si>
  <si>
    <t>SO16923</t>
  </si>
  <si>
    <t>2249920</t>
  </si>
  <si>
    <t>SO17207</t>
  </si>
  <si>
    <t>4501193354</t>
  </si>
  <si>
    <t>SO16677</t>
  </si>
  <si>
    <t>4500583340</t>
  </si>
  <si>
    <t>SO17134</t>
  </si>
  <si>
    <t>P359291</t>
  </si>
  <si>
    <t>SO17193</t>
  </si>
  <si>
    <t>OC00168</t>
  </si>
  <si>
    <t>SO17175</t>
  </si>
  <si>
    <t>4500596465</t>
  </si>
  <si>
    <t>SO17180</t>
  </si>
  <si>
    <t>186096</t>
  </si>
  <si>
    <t>SO17191</t>
  </si>
  <si>
    <t>SUD1006011</t>
  </si>
  <si>
    <t>SO17143</t>
  </si>
  <si>
    <t>4500595680</t>
  </si>
  <si>
    <t>SO17164</t>
  </si>
  <si>
    <t>029766</t>
  </si>
  <si>
    <t>Windsor Pump Company, Ltd.</t>
  </si>
  <si>
    <t>SO16680</t>
  </si>
  <si>
    <t>2083</t>
  </si>
  <si>
    <t>SO16737</t>
  </si>
  <si>
    <t>10372</t>
  </si>
  <si>
    <t>SO17190</t>
  </si>
  <si>
    <t>4511902588</t>
  </si>
  <si>
    <t>SO17103</t>
  </si>
  <si>
    <t>5400233536</t>
  </si>
  <si>
    <t>Algoma Steel Inc.</t>
  </si>
  <si>
    <t>SO17172</t>
  </si>
  <si>
    <t>P359867</t>
  </si>
  <si>
    <t>Covia Corp - Camden</t>
  </si>
  <si>
    <t>SO17170</t>
  </si>
  <si>
    <t>7133</t>
  </si>
  <si>
    <t>SO17165</t>
  </si>
  <si>
    <t>OC00167</t>
  </si>
  <si>
    <t>SO17148</t>
  </si>
  <si>
    <t>2100573830</t>
  </si>
  <si>
    <t>Wajax Limited - Témiscaming</t>
  </si>
  <si>
    <t>SO17226</t>
  </si>
  <si>
    <t>4501185837</t>
  </si>
  <si>
    <t>SO17144</t>
  </si>
  <si>
    <t>AZ52-00111768</t>
  </si>
  <si>
    <t>SO17119</t>
  </si>
  <si>
    <t>7128</t>
  </si>
  <si>
    <t>SO17151</t>
  </si>
  <si>
    <t>4501184153</t>
  </si>
  <si>
    <t>SO17152</t>
  </si>
  <si>
    <t>PSI15675</t>
  </si>
  <si>
    <t>SO17149</t>
  </si>
  <si>
    <t>4500805495</t>
  </si>
  <si>
    <t>SO17146</t>
  </si>
  <si>
    <t>4501185524</t>
  </si>
  <si>
    <t>SO17145</t>
  </si>
  <si>
    <t>4501185388</t>
  </si>
  <si>
    <t>SO17142</t>
  </si>
  <si>
    <t>4511884651</t>
  </si>
  <si>
    <t>SO17139</t>
  </si>
  <si>
    <t>4501184273</t>
  </si>
  <si>
    <t>SO17140</t>
  </si>
  <si>
    <t>4500575219</t>
  </si>
  <si>
    <t>SO17133</t>
  </si>
  <si>
    <t>2100570535</t>
  </si>
  <si>
    <t>SO16976</t>
  </si>
  <si>
    <t>4500804288</t>
  </si>
  <si>
    <t>SO17126</t>
  </si>
  <si>
    <t>Darren - PO Email Confirmation</t>
  </si>
  <si>
    <t>SO17095</t>
  </si>
  <si>
    <t>10352</t>
  </si>
  <si>
    <t>SO17082</t>
  </si>
  <si>
    <t>7116</t>
  </si>
  <si>
    <t>SO17044</t>
  </si>
  <si>
    <t>4500595256</t>
  </si>
  <si>
    <t>SO17116</t>
  </si>
  <si>
    <t>5285 - Paid in full on May 7th 2025</t>
  </si>
  <si>
    <t>SO17114</t>
  </si>
  <si>
    <t>PO13564</t>
  </si>
  <si>
    <t>SO16874</t>
  </si>
  <si>
    <t>PO-0020176</t>
  </si>
  <si>
    <t>SO17102</t>
  </si>
  <si>
    <t>7108</t>
  </si>
  <si>
    <t>SO17104</t>
  </si>
  <si>
    <t>OC00164</t>
  </si>
  <si>
    <t>SO17106</t>
  </si>
  <si>
    <t>M-083739</t>
  </si>
  <si>
    <t>SO17100</t>
  </si>
  <si>
    <t>4500593300</t>
  </si>
  <si>
    <t>SO17101</t>
  </si>
  <si>
    <t>OC00166</t>
  </si>
  <si>
    <t>SO16967</t>
  </si>
  <si>
    <t>4500593166</t>
  </si>
  <si>
    <t>SO17073</t>
  </si>
  <si>
    <t>2088</t>
  </si>
  <si>
    <t>SO17099</t>
  </si>
  <si>
    <t>4500574169</t>
  </si>
  <si>
    <t>SO17033</t>
  </si>
  <si>
    <t>PO09506</t>
  </si>
  <si>
    <t>SO17060</t>
  </si>
  <si>
    <t>PO-007949</t>
  </si>
  <si>
    <t>SO17031</t>
  </si>
  <si>
    <t>40-1015050</t>
  </si>
  <si>
    <t>SO17079</t>
  </si>
  <si>
    <t>PO13559</t>
  </si>
  <si>
    <t>SO17080</t>
  </si>
  <si>
    <t>7100</t>
  </si>
  <si>
    <t>SO17086</t>
  </si>
  <si>
    <t>31072</t>
  </si>
  <si>
    <t>SO16822</t>
  </si>
  <si>
    <t>606884</t>
  </si>
  <si>
    <t>SO16544</t>
  </si>
  <si>
    <t>MB21-00189084</t>
  </si>
  <si>
    <t>SO17037</t>
  </si>
  <si>
    <t>SUD1006009</t>
  </si>
  <si>
    <t>SO17049</t>
  </si>
  <si>
    <t>4560065429</t>
  </si>
  <si>
    <t>SO17062</t>
  </si>
  <si>
    <t>4501175680</t>
  </si>
  <si>
    <t>SO17061</t>
  </si>
  <si>
    <t>LA73-00118858</t>
  </si>
  <si>
    <t>Motion Industries Inc. (U.S.) - Westlake</t>
  </si>
  <si>
    <t>SO17047</t>
  </si>
  <si>
    <t>040201</t>
  </si>
  <si>
    <t>SO17055</t>
  </si>
  <si>
    <t>PONV-25-0896</t>
  </si>
  <si>
    <t>SO17059</t>
  </si>
  <si>
    <t>OC00165</t>
  </si>
  <si>
    <t>SO17054</t>
  </si>
  <si>
    <t>185850</t>
  </si>
  <si>
    <t>SO17053</t>
  </si>
  <si>
    <t>185878</t>
  </si>
  <si>
    <t>SO16817</t>
  </si>
  <si>
    <t>1079674</t>
  </si>
  <si>
    <t>SO17048</t>
  </si>
  <si>
    <t>607001</t>
  </si>
  <si>
    <t>SO17046</t>
  </si>
  <si>
    <t>4500573136</t>
  </si>
  <si>
    <t>SO17029</t>
  </si>
  <si>
    <t>PO-040164</t>
  </si>
  <si>
    <t>SO16646</t>
  </si>
  <si>
    <t>MAB15259</t>
  </si>
  <si>
    <t>SO17022</t>
  </si>
  <si>
    <t>P-04252593</t>
  </si>
  <si>
    <t>SO17030</t>
  </si>
  <si>
    <t>4511832963</t>
  </si>
  <si>
    <t>SO16884</t>
  </si>
  <si>
    <t>4501168541</t>
  </si>
  <si>
    <t>SO17015</t>
  </si>
  <si>
    <t>BC65-00080320</t>
  </si>
  <si>
    <t>SO17005</t>
  </si>
  <si>
    <t>2100560502</t>
  </si>
  <si>
    <t>SO16581</t>
  </si>
  <si>
    <t>4500788353</t>
  </si>
  <si>
    <t>SO17028</t>
  </si>
  <si>
    <t>3145</t>
  </si>
  <si>
    <t>SO17026</t>
  </si>
  <si>
    <t>2100560417</t>
  </si>
  <si>
    <t>SO17027</t>
  </si>
  <si>
    <t>4501171906</t>
  </si>
  <si>
    <t>SO17025</t>
  </si>
  <si>
    <t>4501171770</t>
  </si>
  <si>
    <t>SO17024</t>
  </si>
  <si>
    <t>4501182469</t>
  </si>
  <si>
    <t>SO17020</t>
  </si>
  <si>
    <t>4500592998</t>
  </si>
  <si>
    <t>SO17017</t>
  </si>
  <si>
    <t>4500572502</t>
  </si>
  <si>
    <t>SO17013</t>
  </si>
  <si>
    <t>4500572350</t>
  </si>
  <si>
    <t>SO17010</t>
  </si>
  <si>
    <t>OC00163</t>
  </si>
  <si>
    <t>SO17006</t>
  </si>
  <si>
    <t>PO13510</t>
  </si>
  <si>
    <t>SO16983</t>
  </si>
  <si>
    <t>MB21-00188690</t>
  </si>
  <si>
    <t>SO17004</t>
  </si>
  <si>
    <t>Darren Approved PO</t>
  </si>
  <si>
    <t>SO17003</t>
  </si>
  <si>
    <t>4511811410</t>
  </si>
  <si>
    <t>SO17001</t>
  </si>
  <si>
    <t>4500571675</t>
  </si>
  <si>
    <t>SO16994</t>
  </si>
  <si>
    <t>2100554981</t>
  </si>
  <si>
    <t>SO16995</t>
  </si>
  <si>
    <t>PO13501</t>
  </si>
  <si>
    <t>SO17000</t>
  </si>
  <si>
    <t>4500571170</t>
  </si>
  <si>
    <t>SO16996</t>
  </si>
  <si>
    <t>L64691-DS</t>
  </si>
  <si>
    <t>SO16992</t>
  </si>
  <si>
    <t>KS10-01410312</t>
  </si>
  <si>
    <t>Motion Industries Inc. (U.S.) - Wichita, Motion Industries Inc. (U.S.) - Wichita</t>
  </si>
  <si>
    <t>SO16990</t>
  </si>
  <si>
    <t>7025</t>
  </si>
  <si>
    <t>SO16798</t>
  </si>
  <si>
    <t>S306876</t>
  </si>
  <si>
    <t>SO16991</t>
  </si>
  <si>
    <t>4500591694</t>
  </si>
  <si>
    <t>SO16751</t>
  </si>
  <si>
    <t>T161567DS</t>
  </si>
  <si>
    <t>SO16957</t>
  </si>
  <si>
    <t>PO-007902</t>
  </si>
  <si>
    <t>SO16989</t>
  </si>
  <si>
    <t>BC65-00080260</t>
  </si>
  <si>
    <t>SO16766</t>
  </si>
  <si>
    <t>4500586022</t>
  </si>
  <si>
    <t>SO16985</t>
  </si>
  <si>
    <t>P357437</t>
  </si>
  <si>
    <t>SO16952</t>
  </si>
  <si>
    <t>2100552642</t>
  </si>
  <si>
    <t>SO16958</t>
  </si>
  <si>
    <t>PONV-25-0782</t>
  </si>
  <si>
    <t>SO16965</t>
  </si>
  <si>
    <t>7017</t>
  </si>
  <si>
    <t>SO16968</t>
  </si>
  <si>
    <t>5362319</t>
  </si>
  <si>
    <t>Pierce Pump Company, Pierce Pump Company</t>
  </si>
  <si>
    <t>SO16812</t>
  </si>
  <si>
    <t>1079552</t>
  </si>
  <si>
    <t>SO16970</t>
  </si>
  <si>
    <t>4500591345</t>
  </si>
  <si>
    <t>SO16931</t>
  </si>
  <si>
    <t>1046</t>
  </si>
  <si>
    <t>SO16964</t>
  </si>
  <si>
    <t>PONV-25-0777</t>
  </si>
  <si>
    <t>SO16962</t>
  </si>
  <si>
    <t>AB09-000290234</t>
  </si>
  <si>
    <t>Motion Industries Inc. (Canada) - Calgary</t>
  </si>
  <si>
    <t>SO16963</t>
  </si>
  <si>
    <t>2100551604</t>
  </si>
  <si>
    <t>SO16727</t>
  </si>
  <si>
    <t>MPO-1008</t>
  </si>
  <si>
    <t>SO16953</t>
  </si>
  <si>
    <t>OC00161</t>
  </si>
  <si>
    <t>SO16951</t>
  </si>
  <si>
    <t>4500590836</t>
  </si>
  <si>
    <t>SO16948</t>
  </si>
  <si>
    <t>2100550517</t>
  </si>
  <si>
    <t>SO16949</t>
  </si>
  <si>
    <t>4500564942</t>
  </si>
  <si>
    <t>SO16941</t>
  </si>
  <si>
    <t>606890</t>
  </si>
  <si>
    <t>SO16939</t>
  </si>
  <si>
    <t>P-40925</t>
  </si>
  <si>
    <t>SO16942</t>
  </si>
  <si>
    <t>4511783974</t>
  </si>
  <si>
    <t>SO16866</t>
  </si>
  <si>
    <t>4500588862</t>
  </si>
  <si>
    <t>SO16803</t>
  </si>
  <si>
    <t>4500587186</t>
  </si>
  <si>
    <t>SO16934</t>
  </si>
  <si>
    <t>4500590642</t>
  </si>
  <si>
    <t>SO16903</t>
  </si>
  <si>
    <t>ON33-00092152</t>
  </si>
  <si>
    <t>Motion Industries Inc. (Canada) - Scarborough</t>
  </si>
  <si>
    <t>SO16885</t>
  </si>
  <si>
    <t>1019583  - REV3</t>
  </si>
  <si>
    <t>SO16881</t>
  </si>
  <si>
    <t>PO-007886</t>
  </si>
  <si>
    <t>SO16888</t>
  </si>
  <si>
    <t>25326-5789</t>
  </si>
  <si>
    <t>Mertec Engineering</t>
  </si>
  <si>
    <t>SO16860</t>
  </si>
  <si>
    <t>QC10-00125571</t>
  </si>
  <si>
    <t>SO16850</t>
  </si>
  <si>
    <t>BC65-00080086</t>
  </si>
  <si>
    <t>SO16882</t>
  </si>
  <si>
    <t>4500884428</t>
  </si>
  <si>
    <t>SO16879</t>
  </si>
  <si>
    <t>ON19-00093241</t>
  </si>
  <si>
    <t>Motion Industries Inc. (Canada) - Ottawa</t>
  </si>
  <si>
    <t>SO16834</t>
  </si>
  <si>
    <t>4501151823</t>
  </si>
  <si>
    <t>SO16835</t>
  </si>
  <si>
    <t>MAB15243 - Paid in full on April 3rd</t>
  </si>
  <si>
    <t>SO16783</t>
  </si>
  <si>
    <t>S306621</t>
  </si>
  <si>
    <t>SO16875</t>
  </si>
  <si>
    <t>POMPA-CA112182 - Paid in full</t>
  </si>
  <si>
    <t>Pompaction Inc.</t>
  </si>
  <si>
    <t>SO16846</t>
  </si>
  <si>
    <t>PO-40-1014238</t>
  </si>
  <si>
    <t>SO16876</t>
  </si>
  <si>
    <t>03R19644</t>
  </si>
  <si>
    <t>SO16769</t>
  </si>
  <si>
    <t>4500586136</t>
  </si>
  <si>
    <t>SO16813</t>
  </si>
  <si>
    <t>4500792148</t>
  </si>
  <si>
    <t>SO16870</t>
  </si>
  <si>
    <t>1045</t>
  </si>
  <si>
    <t>SO16750</t>
  </si>
  <si>
    <t>PONV-25-0706</t>
  </si>
  <si>
    <t>SO16513</t>
  </si>
  <si>
    <t>3113</t>
  </si>
  <si>
    <t>SO16772</t>
  </si>
  <si>
    <t>4500586282</t>
  </si>
  <si>
    <t>SO16865</t>
  </si>
  <si>
    <t>PONV-25-0705</t>
  </si>
  <si>
    <t>SO16842</t>
  </si>
  <si>
    <t>PO09308</t>
  </si>
  <si>
    <t>SO16868</t>
  </si>
  <si>
    <t>4511745974</t>
  </si>
  <si>
    <t>SO16821</t>
  </si>
  <si>
    <t>PO-40-1014161</t>
  </si>
  <si>
    <t>SO16867</t>
  </si>
  <si>
    <t>4500588906</t>
  </si>
  <si>
    <t>SO16853</t>
  </si>
  <si>
    <t>PO-007868</t>
  </si>
  <si>
    <t>SO16856</t>
  </si>
  <si>
    <t>ON50-00002317</t>
  </si>
  <si>
    <t>SO16829</t>
  </si>
  <si>
    <t>BC65-00080002</t>
  </si>
  <si>
    <t>SO16824</t>
  </si>
  <si>
    <t>ON50-00002306</t>
  </si>
  <si>
    <t>Motion Industries Inc. (Canada) - Thunder Bay, Motion Industries Canada</t>
  </si>
  <si>
    <t>SO16848</t>
  </si>
  <si>
    <t>PO-007864</t>
  </si>
  <si>
    <t>SO16847</t>
  </si>
  <si>
    <t>OC00160</t>
  </si>
  <si>
    <t>SO16815</t>
  </si>
  <si>
    <t>PO-40-1014081</t>
  </si>
  <si>
    <t>SO16839</t>
  </si>
  <si>
    <t>6951</t>
  </si>
  <si>
    <t>SO16844</t>
  </si>
  <si>
    <t>S306532</t>
  </si>
  <si>
    <t>SO16836</t>
  </si>
  <si>
    <t>2100540513</t>
  </si>
  <si>
    <t>SO16805</t>
  </si>
  <si>
    <t>5400231028</t>
  </si>
  <si>
    <t>SO16840</t>
  </si>
  <si>
    <t>4501142021</t>
  </si>
  <si>
    <t>SO16837</t>
  </si>
  <si>
    <t>2100540142</t>
  </si>
  <si>
    <t>SO16833</t>
  </si>
  <si>
    <t>6944</t>
  </si>
  <si>
    <t>SO16814</t>
  </si>
  <si>
    <t>S306482</t>
  </si>
  <si>
    <t>SO16827</t>
  </si>
  <si>
    <t>03R19616</t>
  </si>
  <si>
    <t>SO16830</t>
  </si>
  <si>
    <t>6943</t>
  </si>
  <si>
    <t>SO16792</t>
  </si>
  <si>
    <t>P355611</t>
  </si>
  <si>
    <t>SO16826</t>
  </si>
  <si>
    <t>2100538961</t>
  </si>
  <si>
    <t>SO16819</t>
  </si>
  <si>
    <t>4501139731</t>
  </si>
  <si>
    <t>SO16816</t>
  </si>
  <si>
    <t>PO-40-1013960</t>
  </si>
  <si>
    <t>SO16651</t>
  </si>
  <si>
    <t>4500788354</t>
  </si>
  <si>
    <t>SO16778</t>
  </si>
  <si>
    <t>AB39-00081077</t>
  </si>
  <si>
    <t>Motion Industries Inc. (Canada) - Red Deer</t>
  </si>
  <si>
    <t>SO16804</t>
  </si>
  <si>
    <t>4500587239</t>
  </si>
  <si>
    <t>SO16696</t>
  </si>
  <si>
    <t>5355643</t>
  </si>
  <si>
    <t>SO16797</t>
  </si>
  <si>
    <t>M-083636</t>
  </si>
  <si>
    <t>SO16799</t>
  </si>
  <si>
    <t>4500567408</t>
  </si>
  <si>
    <t>SO16796</t>
  </si>
  <si>
    <t>2100534732</t>
  </si>
  <si>
    <t>SO16794</t>
  </si>
  <si>
    <t>PO-007838</t>
  </si>
  <si>
    <t>SO16793</t>
  </si>
  <si>
    <t>SUD1005997</t>
  </si>
  <si>
    <t>SO16762</t>
  </si>
  <si>
    <t>2100533807</t>
  </si>
  <si>
    <t>SO16788</t>
  </si>
  <si>
    <t>4500567129</t>
  </si>
  <si>
    <t>SO16706</t>
  </si>
  <si>
    <t>6911</t>
  </si>
  <si>
    <t>SO16787</t>
  </si>
  <si>
    <t>OC00156</t>
  </si>
  <si>
    <t>SO16775</t>
  </si>
  <si>
    <t>130080</t>
  </si>
  <si>
    <t>SO16754</t>
  </si>
  <si>
    <t>4500585797</t>
  </si>
  <si>
    <t>SO16687</t>
  </si>
  <si>
    <t>Cory Brown -  Order - Paid in full on March 14th</t>
  </si>
  <si>
    <t>Norsearch Industries (2002)Ltd</t>
  </si>
  <si>
    <t>SO16764</t>
  </si>
  <si>
    <t>2100531829</t>
  </si>
  <si>
    <t>SO16774</t>
  </si>
  <si>
    <t>25-30654</t>
  </si>
  <si>
    <t>Advanced Engineered Pump Inc.</t>
  </si>
  <si>
    <t>SO16749</t>
  </si>
  <si>
    <t>2100531214</t>
  </si>
  <si>
    <t>SO16770</t>
  </si>
  <si>
    <t>4500566720</t>
  </si>
  <si>
    <t>SO16756</t>
  </si>
  <si>
    <t>PO-007824</t>
  </si>
  <si>
    <t>SO16765</t>
  </si>
  <si>
    <t>4500566464</t>
  </si>
  <si>
    <t>SO16742</t>
  </si>
  <si>
    <t>2100527126</t>
  </si>
  <si>
    <t>SO16740</t>
  </si>
  <si>
    <t>03R19523</t>
  </si>
  <si>
    <t>SO16760</t>
  </si>
  <si>
    <t>2100476726</t>
  </si>
  <si>
    <t>SO16761</t>
  </si>
  <si>
    <t>OC00157</t>
  </si>
  <si>
    <t>SO16698</t>
  </si>
  <si>
    <t>C002967100</t>
  </si>
  <si>
    <t>Glencore Canada Corporation Closed Sites</t>
  </si>
  <si>
    <t>SO16757</t>
  </si>
  <si>
    <t>4500566265</t>
  </si>
  <si>
    <t>SO16755</t>
  </si>
  <si>
    <t>4500585840</t>
  </si>
  <si>
    <t>SO16753</t>
  </si>
  <si>
    <t>P-31125</t>
  </si>
  <si>
    <t>SO16733</t>
  </si>
  <si>
    <t>PO-007818</t>
  </si>
  <si>
    <t>SO16752</t>
  </si>
  <si>
    <t>M-083615</t>
  </si>
  <si>
    <t>SO16747</t>
  </si>
  <si>
    <t>PO-039348</t>
  </si>
  <si>
    <t>SO16746</t>
  </si>
  <si>
    <t>S306168</t>
  </si>
  <si>
    <t>SO16739</t>
  </si>
  <si>
    <t>SO16734</t>
  </si>
  <si>
    <t>2200076047</t>
  </si>
  <si>
    <t>SO16744</t>
  </si>
  <si>
    <t>4501129262</t>
  </si>
  <si>
    <t>SO16604</t>
  </si>
  <si>
    <t>5352366</t>
  </si>
  <si>
    <t>SO16715</t>
  </si>
  <si>
    <t>2100526890</t>
  </si>
  <si>
    <t>SO16738</t>
  </si>
  <si>
    <t>OC00155</t>
  </si>
  <si>
    <t>SO16736</t>
  </si>
  <si>
    <t>185533</t>
  </si>
  <si>
    <t>SO16586</t>
  </si>
  <si>
    <t>MB21-00186901</t>
  </si>
  <si>
    <t>SO16732</t>
  </si>
  <si>
    <t>007750 Replacement</t>
  </si>
  <si>
    <t>SO16645</t>
  </si>
  <si>
    <t>5351972</t>
  </si>
  <si>
    <t>SO16682</t>
  </si>
  <si>
    <t>PO09111</t>
  </si>
  <si>
    <t>SO16708</t>
  </si>
  <si>
    <t>3005395</t>
  </si>
  <si>
    <t>SCG Process</t>
  </si>
  <si>
    <t>SO16725</t>
  </si>
  <si>
    <t>2100524851</t>
  </si>
  <si>
    <t>SO16714</t>
  </si>
  <si>
    <t>2100524786</t>
  </si>
  <si>
    <t>SO16712</t>
  </si>
  <si>
    <t>30783</t>
  </si>
  <si>
    <t>SO16711</t>
  </si>
  <si>
    <t>2200075271</t>
  </si>
  <si>
    <t>SO16720</t>
  </si>
  <si>
    <t>6863</t>
  </si>
  <si>
    <t>SO16718</t>
  </si>
  <si>
    <t>3077</t>
  </si>
  <si>
    <t>SO16719</t>
  </si>
  <si>
    <t>OC00154</t>
  </si>
  <si>
    <t>SO16707</t>
  </si>
  <si>
    <t>Melissa Rosier - PO - Email Confirmation - Paid in Full on March 5th 2025</t>
  </si>
  <si>
    <t>D&amp;H Materials Inc</t>
  </si>
  <si>
    <t>SO16397</t>
  </si>
  <si>
    <t>5345945</t>
  </si>
  <si>
    <t>SO16705</t>
  </si>
  <si>
    <t>PO-40-1013419</t>
  </si>
  <si>
    <t>SO16704</t>
  </si>
  <si>
    <t>Replacement Part for 63-01537</t>
  </si>
  <si>
    <t>SO16703</t>
  </si>
  <si>
    <t>6847</t>
  </si>
  <si>
    <t>SO16618</t>
  </si>
  <si>
    <t>MB21-00187300</t>
  </si>
  <si>
    <t>SO16692</t>
  </si>
  <si>
    <t>PO-007796</t>
  </si>
  <si>
    <t>SO16637</t>
  </si>
  <si>
    <t>4500582497</t>
  </si>
  <si>
    <t>SO16694</t>
  </si>
  <si>
    <t>4500583779</t>
  </si>
  <si>
    <t>SO16693</t>
  </si>
  <si>
    <t>P354000</t>
  </si>
  <si>
    <t>SO16683</t>
  </si>
  <si>
    <t>4500583568</t>
  </si>
  <si>
    <t>SO16662</t>
  </si>
  <si>
    <t>BC78-00052744</t>
  </si>
  <si>
    <t>SO16648</t>
  </si>
  <si>
    <t>BC65-00079680</t>
  </si>
  <si>
    <t>SO16676</t>
  </si>
  <si>
    <t>4500057458</t>
  </si>
  <si>
    <t>SO16426</t>
  </si>
  <si>
    <t>16114 - Paid in Full $956.16 on February 28th 2025.</t>
  </si>
  <si>
    <t>Industrial Rigging &amp; Supply</t>
  </si>
  <si>
    <t>SO16671</t>
  </si>
  <si>
    <t>129836</t>
  </si>
  <si>
    <t>SO16685</t>
  </si>
  <si>
    <t>4500564240</t>
  </si>
  <si>
    <t>Glencore Canada Corporation</t>
  </si>
  <si>
    <t>SO16462</t>
  </si>
  <si>
    <t>3071</t>
  </si>
  <si>
    <t>SO16568</t>
  </si>
  <si>
    <t>3069</t>
  </si>
  <si>
    <t>SO16666</t>
  </si>
  <si>
    <t>6824</t>
  </si>
  <si>
    <t>SO16673</t>
  </si>
  <si>
    <t>2100518557</t>
  </si>
  <si>
    <t>SO16668</t>
  </si>
  <si>
    <t>PO-007788</t>
  </si>
  <si>
    <t>SO16664</t>
  </si>
  <si>
    <t>PO-039100</t>
  </si>
  <si>
    <t>SO16674</t>
  </si>
  <si>
    <t>4501119302</t>
  </si>
  <si>
    <t>SO16592</t>
  </si>
  <si>
    <t>2245686</t>
  </si>
  <si>
    <t>SO16672</t>
  </si>
  <si>
    <t>4500583205</t>
  </si>
  <si>
    <t>SO16667</t>
  </si>
  <si>
    <t>M-083580</t>
  </si>
  <si>
    <t>SO16669</t>
  </si>
  <si>
    <t>4501118996</t>
  </si>
  <si>
    <t>SO16665</t>
  </si>
  <si>
    <t>4501118327</t>
  </si>
  <si>
    <t>SO16657</t>
  </si>
  <si>
    <t>PO-007775</t>
  </si>
  <si>
    <t>SO16663</t>
  </si>
  <si>
    <t>P-22425</t>
  </si>
  <si>
    <t>SO16659</t>
  </si>
  <si>
    <t>PO-007778</t>
  </si>
  <si>
    <t>SO16660</t>
  </si>
  <si>
    <t>OC00151</t>
  </si>
  <si>
    <t>SO16658</t>
  </si>
  <si>
    <t>OC00150</t>
  </si>
  <si>
    <t>SO16656</t>
  </si>
  <si>
    <t>4560062740</t>
  </si>
  <si>
    <t>SO16654</t>
  </si>
  <si>
    <t>4500563473</t>
  </si>
  <si>
    <t>SO16647</t>
  </si>
  <si>
    <t>P353469</t>
  </si>
  <si>
    <t>Covia Corp - Roff</t>
  </si>
  <si>
    <t>SO16626</t>
  </si>
  <si>
    <t>2100515134</t>
  </si>
  <si>
    <t>SO16642</t>
  </si>
  <si>
    <t>4501116468</t>
  </si>
  <si>
    <t>SO16578</t>
  </si>
  <si>
    <t>606873</t>
  </si>
  <si>
    <t>SO16640</t>
  </si>
  <si>
    <t>P-22025</t>
  </si>
  <si>
    <t>SO16636</t>
  </si>
  <si>
    <t>185393</t>
  </si>
  <si>
    <t>SO16598</t>
  </si>
  <si>
    <t>25-30598</t>
  </si>
  <si>
    <t>SO16437</t>
  </si>
  <si>
    <t>Maham LLC</t>
  </si>
  <si>
    <t>SO16607</t>
  </si>
  <si>
    <t>PSI15322</t>
  </si>
  <si>
    <t>SO16628</t>
  </si>
  <si>
    <t>185323</t>
  </si>
  <si>
    <t>SO16630</t>
  </si>
  <si>
    <t>BC65-00079605</t>
  </si>
  <si>
    <t>SO16533</t>
  </si>
  <si>
    <t>PO-40-1013133</t>
  </si>
  <si>
    <t>SO16623</t>
  </si>
  <si>
    <t>62435</t>
  </si>
  <si>
    <t>SO16615</t>
  </si>
  <si>
    <t>2100512815</t>
  </si>
  <si>
    <t>SO16561</t>
  </si>
  <si>
    <t>606867</t>
  </si>
  <si>
    <t>SO16529</t>
  </si>
  <si>
    <t>S305369</t>
  </si>
  <si>
    <t>SO16528</t>
  </si>
  <si>
    <t>PO-40-1013109</t>
  </si>
  <si>
    <t>SO16619</t>
  </si>
  <si>
    <t>4501112337</t>
  </si>
  <si>
    <t>SO16599</t>
  </si>
  <si>
    <t>4500581272</t>
  </si>
  <si>
    <t>Resolute Forest Products - Clermont, Resolute Forest Products - Clermont</t>
  </si>
  <si>
    <t>SO16589</t>
  </si>
  <si>
    <t>P-21825</t>
  </si>
  <si>
    <t>SO16605</t>
  </si>
  <si>
    <t>M-083565</t>
  </si>
  <si>
    <t>SO16570</t>
  </si>
  <si>
    <t>PO003287</t>
  </si>
  <si>
    <t>SO16613</t>
  </si>
  <si>
    <t>OC00148</t>
  </si>
  <si>
    <t>SO16617</t>
  </si>
  <si>
    <t>PO-038899</t>
  </si>
  <si>
    <t>SO16559</t>
  </si>
  <si>
    <t>PO09020</t>
  </si>
  <si>
    <t>SO16612</t>
  </si>
  <si>
    <t>2067</t>
  </si>
  <si>
    <t>SO16597</t>
  </si>
  <si>
    <t>13300</t>
  </si>
  <si>
    <t>SO16611</t>
  </si>
  <si>
    <t>OC00145</t>
  </si>
  <si>
    <t>SO16610</t>
  </si>
  <si>
    <t>OC00147</t>
  </si>
  <si>
    <t>SO16609</t>
  </si>
  <si>
    <t>OC00146</t>
  </si>
  <si>
    <t>SO16557</t>
  </si>
  <si>
    <t>40-1013039</t>
  </si>
  <si>
    <t>SO16601</t>
  </si>
  <si>
    <t>2100510660</t>
  </si>
  <si>
    <t>SO16603</t>
  </si>
  <si>
    <t>00079542</t>
  </si>
  <si>
    <t>SO16595</t>
  </si>
  <si>
    <t>3055</t>
  </si>
  <si>
    <t>SO16588</t>
  </si>
  <si>
    <t>4500581569</t>
  </si>
  <si>
    <t>SO16593</t>
  </si>
  <si>
    <t>4501110739</t>
  </si>
  <si>
    <t>SO16596</t>
  </si>
  <si>
    <t>3054</t>
  </si>
  <si>
    <t>SO16485</t>
  </si>
  <si>
    <t>3053</t>
  </si>
  <si>
    <t>SO16532</t>
  </si>
  <si>
    <t>4004044</t>
  </si>
  <si>
    <t>SO16560</t>
  </si>
  <si>
    <t>4500580330</t>
  </si>
  <si>
    <t>SO16527</t>
  </si>
  <si>
    <t>4500579111</t>
  </si>
  <si>
    <t>SO16580</t>
  </si>
  <si>
    <t>2245211</t>
  </si>
  <si>
    <t>SO16584</t>
  </si>
  <si>
    <t>P353307</t>
  </si>
  <si>
    <t>SO16579</t>
  </si>
  <si>
    <t>4500580734</t>
  </si>
  <si>
    <t>SO16583</t>
  </si>
  <si>
    <t>3048</t>
  </si>
  <si>
    <t>SO16554</t>
  </si>
  <si>
    <t>4501106578</t>
  </si>
  <si>
    <t>SO16516</t>
  </si>
  <si>
    <t>40-1012965</t>
  </si>
  <si>
    <t>SO16564</t>
  </si>
  <si>
    <t>007750</t>
  </si>
  <si>
    <t>SO16577</t>
  </si>
  <si>
    <t>4501108170</t>
  </si>
  <si>
    <t>SO16572</t>
  </si>
  <si>
    <t>6767</t>
  </si>
  <si>
    <t>SO16574</t>
  </si>
  <si>
    <t>OC00144</t>
  </si>
  <si>
    <t>SO16571</t>
  </si>
  <si>
    <t>P352424</t>
  </si>
  <si>
    <t>Covia Corp - Tunnel City</t>
  </si>
  <si>
    <t>SO16531</t>
  </si>
  <si>
    <t>S305276</t>
  </si>
  <si>
    <t>SO16569</t>
  </si>
  <si>
    <t>4501107274</t>
  </si>
  <si>
    <t>SO16424</t>
  </si>
  <si>
    <t>M-083550</t>
  </si>
  <si>
    <t>SO16549</t>
  </si>
  <si>
    <t>4500580004</t>
  </si>
  <si>
    <t>SO16551</t>
  </si>
  <si>
    <t>4500580445</t>
  </si>
  <si>
    <t>SO16526</t>
  </si>
  <si>
    <t>4500579153</t>
  </si>
  <si>
    <t>SO16558</t>
  </si>
  <si>
    <t>2851</t>
  </si>
  <si>
    <t>SO16556</t>
  </si>
  <si>
    <t>OC00143</t>
  </si>
  <si>
    <t>SO16552</t>
  </si>
  <si>
    <t>6752</t>
  </si>
  <si>
    <t>SO16550</t>
  </si>
  <si>
    <t>2100504291</t>
  </si>
  <si>
    <t>SO16546</t>
  </si>
  <si>
    <t>4501102834</t>
  </si>
  <si>
    <t>SO16545</t>
  </si>
  <si>
    <t>21316</t>
  </si>
  <si>
    <t>SO16547</t>
  </si>
  <si>
    <t>P352270</t>
  </si>
  <si>
    <t>SO16519</t>
  </si>
  <si>
    <t>4500578527</t>
  </si>
  <si>
    <t>SO16537</t>
  </si>
  <si>
    <t>P-20525</t>
  </si>
  <si>
    <t>SO16539</t>
  </si>
  <si>
    <t>068612</t>
  </si>
  <si>
    <t>SO16534</t>
  </si>
  <si>
    <t>S305039</t>
  </si>
  <si>
    <t>SO16535</t>
  </si>
  <si>
    <t>4501101861</t>
  </si>
  <si>
    <t>SO16525</t>
  </si>
  <si>
    <t>P-20325</t>
  </si>
  <si>
    <t>SO16515</t>
  </si>
  <si>
    <t>40-1012759</t>
  </si>
  <si>
    <t>SO16530</t>
  </si>
  <si>
    <t>11667</t>
  </si>
  <si>
    <t>SO16522</t>
  </si>
  <si>
    <t>Melissa Rosier - PO</t>
  </si>
  <si>
    <t>SO16521</t>
  </si>
  <si>
    <t>4511559088</t>
  </si>
  <si>
    <t>SO16520</t>
  </si>
  <si>
    <t>BC65-00079399</t>
  </si>
  <si>
    <t>SO16517</t>
  </si>
  <si>
    <t>AZ52-00109170</t>
  </si>
  <si>
    <t>SO16512</t>
  </si>
  <si>
    <t>M-083523</t>
  </si>
  <si>
    <t>SO16477</t>
  </si>
  <si>
    <t>10223</t>
  </si>
  <si>
    <t>SO16499</t>
  </si>
  <si>
    <t>6500016472</t>
  </si>
  <si>
    <t>SO16497</t>
  </si>
  <si>
    <t>PONV-25-0210</t>
  </si>
  <si>
    <t>SO16511</t>
  </si>
  <si>
    <t>P351588</t>
  </si>
  <si>
    <t>SO16509</t>
  </si>
  <si>
    <t>P351539</t>
  </si>
  <si>
    <t>SO16385</t>
  </si>
  <si>
    <t>11627</t>
  </si>
  <si>
    <t>SO16501</t>
  </si>
  <si>
    <t>M-083516</t>
  </si>
  <si>
    <t>SO16503</t>
  </si>
  <si>
    <t>MB21-00186347</t>
  </si>
  <si>
    <t>SO16505</t>
  </si>
  <si>
    <t>21292</t>
  </si>
  <si>
    <t>SO16504</t>
  </si>
  <si>
    <t>OC00142</t>
  </si>
  <si>
    <t>SO16476</t>
  </si>
  <si>
    <t>40-1012558</t>
  </si>
  <si>
    <t>SO16498</t>
  </si>
  <si>
    <t>007708</t>
  </si>
  <si>
    <t>SO16495</t>
  </si>
  <si>
    <t>2056</t>
  </si>
  <si>
    <t>SO16433</t>
  </si>
  <si>
    <t>03260</t>
  </si>
  <si>
    <t>SO16486</t>
  </si>
  <si>
    <t>607548</t>
  </si>
  <si>
    <t>SO16434</t>
  </si>
  <si>
    <t>6335</t>
  </si>
  <si>
    <t>SO16496</t>
  </si>
  <si>
    <t>6336</t>
  </si>
  <si>
    <t>SO16492</t>
  </si>
  <si>
    <t>4500577484</t>
  </si>
  <si>
    <t>SO16481</t>
  </si>
  <si>
    <t>2200067803</t>
  </si>
  <si>
    <t>SO16488</t>
  </si>
  <si>
    <t>2100495165</t>
  </si>
  <si>
    <t>SO16494</t>
  </si>
  <si>
    <t>21276</t>
  </si>
  <si>
    <t>SO16482</t>
  </si>
  <si>
    <t>P-12425</t>
  </si>
  <si>
    <t>SO16449</t>
  </si>
  <si>
    <t>BC65-00079319</t>
  </si>
  <si>
    <t>SO16479</t>
  </si>
  <si>
    <t>P351540</t>
  </si>
  <si>
    <t>SO16466</t>
  </si>
  <si>
    <t>107881</t>
  </si>
  <si>
    <t>Allen Bearings &amp; Technologies Ltd.</t>
  </si>
  <si>
    <t>SO16455</t>
  </si>
  <si>
    <t>63-02681</t>
  </si>
  <si>
    <t>SO16475</t>
  </si>
  <si>
    <t>MB21-00186141</t>
  </si>
  <si>
    <t>SO16474</t>
  </si>
  <si>
    <t>MB21-00186138</t>
  </si>
  <si>
    <t>Motion Industries Inc. (Canada) - Winnipeg, Motion Industries Inc. (Canada) - Winnipeg</t>
  </si>
  <si>
    <t>SO16432</t>
  </si>
  <si>
    <t>OP-1500441</t>
  </si>
  <si>
    <t>Agnico Eagle Mines Ltd. - Rouyn-Noranda, LaRonde secteur Penna (11102)</t>
  </si>
  <si>
    <t>SO16457</t>
  </si>
  <si>
    <t>2100491932</t>
  </si>
  <si>
    <t>SO16464</t>
  </si>
  <si>
    <t>6686</t>
  </si>
  <si>
    <t>SO16471</t>
  </si>
  <si>
    <t>007693</t>
  </si>
  <si>
    <t>SO16467</t>
  </si>
  <si>
    <t>L63301-DS</t>
  </si>
  <si>
    <t>SO16470</t>
  </si>
  <si>
    <t>4500574503</t>
  </si>
  <si>
    <t>SO16453</t>
  </si>
  <si>
    <t>4511512959</t>
  </si>
  <si>
    <t>SO16452</t>
  </si>
  <si>
    <t>4511512957</t>
  </si>
  <si>
    <t>SO16451</t>
  </si>
  <si>
    <t>4511512958</t>
  </si>
  <si>
    <t>SO16438</t>
  </si>
  <si>
    <t>40-1012291</t>
  </si>
  <si>
    <t>SO16440</t>
  </si>
  <si>
    <t>SUD1005983</t>
  </si>
  <si>
    <t>SO16448</t>
  </si>
  <si>
    <t>2885</t>
  </si>
  <si>
    <t>SO16436</t>
  </si>
  <si>
    <t>5337984</t>
  </si>
  <si>
    <t>SO16446</t>
  </si>
  <si>
    <t>2100488794</t>
  </si>
  <si>
    <t>SO16414</t>
  </si>
  <si>
    <t>0203793 - JRF</t>
  </si>
  <si>
    <t>SO16423</t>
  </si>
  <si>
    <t>P350633</t>
  </si>
  <si>
    <t>SO16372</t>
  </si>
  <si>
    <t>2991</t>
  </si>
  <si>
    <t>SO16361</t>
  </si>
  <si>
    <t>007673</t>
  </si>
  <si>
    <t>SO16435</t>
  </si>
  <si>
    <t>2100393819</t>
  </si>
  <si>
    <t>SO16429</t>
  </si>
  <si>
    <t>13188</t>
  </si>
  <si>
    <t>SO16399</t>
  </si>
  <si>
    <t>08840</t>
  </si>
  <si>
    <t>SO16427</t>
  </si>
  <si>
    <t>6662</t>
  </si>
  <si>
    <t>SO16400</t>
  </si>
  <si>
    <t>9569096</t>
  </si>
  <si>
    <t>DXP Enterprises, Inc. - Pumping Solutions, Inc. - Hayward California</t>
  </si>
  <si>
    <t>SO16417</t>
  </si>
  <si>
    <t>1042</t>
  </si>
  <si>
    <t>SO16422</t>
  </si>
  <si>
    <t>316424</t>
  </si>
  <si>
    <t>SO16392</t>
  </si>
  <si>
    <t>4500574897</t>
  </si>
  <si>
    <t>SO16408</t>
  </si>
  <si>
    <t>P-11425</t>
  </si>
  <si>
    <t>SO16413</t>
  </si>
  <si>
    <t>AZ52-00108614</t>
  </si>
  <si>
    <t>SO16393</t>
  </si>
  <si>
    <t>2051</t>
  </si>
  <si>
    <t>SO16411</t>
  </si>
  <si>
    <t>2982</t>
  </si>
  <si>
    <t>SO16406</t>
  </si>
  <si>
    <t>2981</t>
  </si>
  <si>
    <t>SO16401</t>
  </si>
  <si>
    <t>FC10-00114698</t>
  </si>
  <si>
    <t>Motion Industries Inc. (U.S.) - Lakeland</t>
  </si>
  <si>
    <t>SO16412</t>
  </si>
  <si>
    <t>4500554481</t>
  </si>
  <si>
    <t>SO16402</t>
  </si>
  <si>
    <t>2243614</t>
  </si>
  <si>
    <t>SO16409</t>
  </si>
  <si>
    <t>PO-038220</t>
  </si>
  <si>
    <t>SO16405</t>
  </si>
  <si>
    <t>2100484115</t>
  </si>
  <si>
    <t>Wajax Limited - Sorel-Tracy</t>
  </si>
  <si>
    <t>SO16364</t>
  </si>
  <si>
    <t>003247</t>
  </si>
  <si>
    <t>SO16403</t>
  </si>
  <si>
    <t>MB21-00185834</t>
  </si>
  <si>
    <t>SO16383</t>
  </si>
  <si>
    <t>4501080579</t>
  </si>
  <si>
    <t>SO16368</t>
  </si>
  <si>
    <t>M-083469</t>
  </si>
  <si>
    <t>SO16384</t>
  </si>
  <si>
    <t>2968</t>
  </si>
  <si>
    <t>SO16374</t>
  </si>
  <si>
    <t>2967</t>
  </si>
  <si>
    <t>SO16390</t>
  </si>
  <si>
    <t>2969</t>
  </si>
  <si>
    <t>SO16380</t>
  </si>
  <si>
    <t>L63079-DS</t>
  </si>
  <si>
    <t>SO16389</t>
  </si>
  <si>
    <t>6645</t>
  </si>
  <si>
    <t>SO16375</t>
  </si>
  <si>
    <t>P349794</t>
  </si>
  <si>
    <t>SO16381</t>
  </si>
  <si>
    <t>6642</t>
  </si>
  <si>
    <t>SO16382</t>
  </si>
  <si>
    <t>071736</t>
  </si>
  <si>
    <t>Hoffman-Kane Distributors, Inc.</t>
  </si>
  <si>
    <t>SO16378</t>
  </si>
  <si>
    <t>BC78-00052101</t>
  </si>
  <si>
    <t>SO16379</t>
  </si>
  <si>
    <t>PO-007657</t>
  </si>
  <si>
    <t>SO16377</t>
  </si>
  <si>
    <t>316223</t>
  </si>
  <si>
    <t>SO16376</t>
  </si>
  <si>
    <t>007656</t>
  </si>
  <si>
    <t>SO16369</t>
  </si>
  <si>
    <t>PO13146</t>
  </si>
  <si>
    <t>SO16359</t>
  </si>
  <si>
    <t>5334612</t>
  </si>
  <si>
    <t>SO16362</t>
  </si>
  <si>
    <t>P349617</t>
  </si>
  <si>
    <t>SO16348</t>
  </si>
  <si>
    <t>6500015792</t>
  </si>
  <si>
    <t>SO16360</t>
  </si>
  <si>
    <t>6633</t>
  </si>
  <si>
    <t>SO16363</t>
  </si>
  <si>
    <t>2961</t>
  </si>
  <si>
    <t>SO16349</t>
  </si>
  <si>
    <t>2243313</t>
  </si>
  <si>
    <t>SO16353</t>
  </si>
  <si>
    <t>PO-007646</t>
  </si>
  <si>
    <t>SO16350</t>
  </si>
  <si>
    <t>4560061462</t>
  </si>
  <si>
    <t>CASOPOInv</t>
  </si>
  <si>
    <t>INV12497</t>
  </si>
  <si>
    <t>INV12591</t>
  </si>
  <si>
    <t>INV12951</t>
  </si>
  <si>
    <t>INV12685</t>
  </si>
  <si>
    <t>INV12492</t>
  </si>
  <si>
    <t>INV12491</t>
  </si>
  <si>
    <t>INV12503</t>
  </si>
  <si>
    <t>INV12502</t>
  </si>
  <si>
    <t>INV12493</t>
  </si>
  <si>
    <t>INV12592</t>
  </si>
  <si>
    <t>INV12597</t>
  </si>
  <si>
    <t>INV12494</t>
  </si>
  <si>
    <t>INV12543</t>
  </si>
  <si>
    <t>INV12495</t>
  </si>
  <si>
    <t>INV12500</t>
  </si>
  <si>
    <t>INV12504</t>
  </si>
  <si>
    <t>INV12501</t>
  </si>
  <si>
    <t>INV12953</t>
  </si>
  <si>
    <t>INV12584</t>
  </si>
  <si>
    <t>INV12496</t>
  </si>
  <si>
    <t>INV12506</t>
  </si>
  <si>
    <t>INV12631</t>
  </si>
  <si>
    <t>INV12505</t>
  </si>
  <si>
    <t>INV13051</t>
  </si>
  <si>
    <t>INV12509</t>
  </si>
  <si>
    <t>INV12761</t>
  </si>
  <si>
    <t>INV12508</t>
  </si>
  <si>
    <t>INV12837</t>
  </si>
  <si>
    <t>INV12513</t>
  </si>
  <si>
    <t>INV12515</t>
  </si>
  <si>
    <t>INV12530</t>
  </si>
  <si>
    <t>INV12539</t>
  </si>
  <si>
    <t>INV12574</t>
  </si>
  <si>
    <t>INV12635</t>
  </si>
  <si>
    <t>INV12535</t>
  </si>
  <si>
    <t>INV12541</t>
  </si>
  <si>
    <t>INV12704</t>
  </si>
  <si>
    <t>INV12516</t>
  </si>
  <si>
    <t>INV12519</t>
  </si>
  <si>
    <t>INV12706</t>
  </si>
  <si>
    <t>INV12701</t>
  </si>
  <si>
    <t>INV12872</t>
  </si>
  <si>
    <t>INV12662</t>
  </si>
  <si>
    <t>INV12811</t>
  </si>
  <si>
    <t>INV12536</t>
  </si>
  <si>
    <t>INV12538</t>
  </si>
  <si>
    <t>INV12551</t>
  </si>
  <si>
    <t>INV12901</t>
  </si>
  <si>
    <t>INV12779</t>
  </si>
  <si>
    <t>INV12544</t>
  </si>
  <si>
    <t>INV12626</t>
  </si>
  <si>
    <t>INV12610</t>
  </si>
  <si>
    <t>INV12545</t>
  </si>
  <si>
    <t>INV12683</t>
  </si>
  <si>
    <t>INV12653</t>
  </si>
  <si>
    <t>INV12677</t>
  </si>
  <si>
    <t>INV12550</t>
  </si>
  <si>
    <t>INV12556</t>
  </si>
  <si>
    <t>INV12557</t>
  </si>
  <si>
    <t>INV12558</t>
  </si>
  <si>
    <t>INV12697</t>
  </si>
  <si>
    <t>INV12549</t>
  </si>
  <si>
    <t>INV12585</t>
  </si>
  <si>
    <t>INV12582</t>
  </si>
  <si>
    <t>INV12954</t>
  </si>
  <si>
    <t>INV12593</t>
  </si>
  <si>
    <t>INV12553</t>
  </si>
  <si>
    <t>INV12559</t>
  </si>
  <si>
    <t>INV12563</t>
  </si>
  <si>
    <t>INV12562</t>
  </si>
  <si>
    <t>INV12776</t>
  </si>
  <si>
    <t>INV13057</t>
  </si>
  <si>
    <t>INV12561</t>
  </si>
  <si>
    <t>INV12599</t>
  </si>
  <si>
    <t>INV12572</t>
  </si>
  <si>
    <t>INV12564</t>
  </si>
  <si>
    <t>INV12567</t>
  </si>
  <si>
    <t>INV12568</t>
  </si>
  <si>
    <t>INV12566</t>
  </si>
  <si>
    <t>INV13050</t>
  </si>
  <si>
    <t>INV12620</t>
  </si>
  <si>
    <t>INV12596</t>
  </si>
  <si>
    <t>INV12595</t>
  </si>
  <si>
    <t>INV12573</t>
  </si>
  <si>
    <t>INV12602</t>
  </si>
  <si>
    <t>INV12570</t>
  </si>
  <si>
    <t>INV12594</t>
  </si>
  <si>
    <t>INV12578</t>
  </si>
  <si>
    <t>INV12614</t>
  </si>
  <si>
    <t>INV12864</t>
  </si>
  <si>
    <t>INV12577</t>
  </si>
  <si>
    <t>INV12576</t>
  </si>
  <si>
    <t>INV12581</t>
  </si>
  <si>
    <t>RINV/2025/00001 (Reversal of: INV12581)</t>
  </si>
  <si>
    <t>INV12579</t>
  </si>
  <si>
    <t>INV12600</t>
  </si>
  <si>
    <t>INV12970</t>
  </si>
  <si>
    <t>INV12856</t>
  </si>
  <si>
    <t>INV12580</t>
  </si>
  <si>
    <t>INV12589</t>
  </si>
  <si>
    <t>INV12642</t>
  </si>
  <si>
    <t>INV12587</t>
  </si>
  <si>
    <t>INV12586</t>
  </si>
  <si>
    <t>INV12772</t>
  </si>
  <si>
    <t>INV12921</t>
  </si>
  <si>
    <t>INV12625</t>
  </si>
  <si>
    <t>INV12696</t>
  </si>
  <si>
    <t>INV12676</t>
  </si>
  <si>
    <t>INV12615</t>
  </si>
  <si>
    <t>INV12604</t>
  </si>
  <si>
    <t>INV12830</t>
  </si>
  <si>
    <t>INV12644</t>
  </si>
  <si>
    <t>INV12747</t>
  </si>
  <si>
    <t>INV12840</t>
  </si>
  <si>
    <t>INV12860</t>
  </si>
  <si>
    <t>INV13074</t>
  </si>
  <si>
    <t>INV12618</t>
  </si>
  <si>
    <t>INV12603</t>
  </si>
  <si>
    <t>INV12605</t>
  </si>
  <si>
    <t>INV12832</t>
  </si>
  <si>
    <t>INV12828</t>
  </si>
  <si>
    <t>INV12962</t>
  </si>
  <si>
    <t>INV13030</t>
  </si>
  <si>
    <t>INV12646</t>
  </si>
  <si>
    <t>INV12607</t>
  </si>
  <si>
    <t>INV12757</t>
  </si>
  <si>
    <t>INV12867</t>
  </si>
  <si>
    <t>INV12977</t>
  </si>
  <si>
    <t>INV12612</t>
  </si>
  <si>
    <t>INV12743</t>
  </si>
  <si>
    <t>INV12613</t>
  </si>
  <si>
    <t>INV12643</t>
  </si>
  <si>
    <t>INV12645</t>
  </si>
  <si>
    <t>INV12822</t>
  </si>
  <si>
    <t>INV12782</t>
  </si>
  <si>
    <t>INV13035</t>
  </si>
  <si>
    <t>INV12749</t>
  </si>
  <si>
    <t>INV12619</t>
  </si>
  <si>
    <t>INV13016</t>
  </si>
  <si>
    <t>INV12616</t>
  </si>
  <si>
    <t>INV12647</t>
  </si>
  <si>
    <t>INV12664</t>
  </si>
  <si>
    <t>INV12880</t>
  </si>
  <si>
    <t>INV12675</t>
  </si>
  <si>
    <t>INV12638</t>
  </si>
  <si>
    <t>INV12765</t>
  </si>
  <si>
    <t>INV13151</t>
  </si>
  <si>
    <t>INV12632</t>
  </si>
  <si>
    <t>INV12623</t>
  </si>
  <si>
    <t>Borrador de factura INV12661</t>
  </si>
  <si>
    <t>INV12712</t>
  </si>
  <si>
    <t>INV12624</t>
  </si>
  <si>
    <t>INV13100</t>
  </si>
  <si>
    <t>INV12622</t>
  </si>
  <si>
    <t>INV12898</t>
  </si>
  <si>
    <t>INV12686</t>
  </si>
  <si>
    <t>INV12634</t>
  </si>
  <si>
    <t>INV13152</t>
  </si>
  <si>
    <t>INV12879</t>
  </si>
  <si>
    <t>INV12633</t>
  </si>
  <si>
    <t>INV12629</t>
  </si>
  <si>
    <t>INV13505</t>
  </si>
  <si>
    <t>INV12636</t>
  </si>
  <si>
    <t>INV13017</t>
  </si>
  <si>
    <t>INV12863</t>
  </si>
  <si>
    <t>INV12942</t>
  </si>
  <si>
    <t>INV12655</t>
  </si>
  <si>
    <t>INV13052</t>
  </si>
  <si>
    <t>INV12705</t>
  </si>
  <si>
    <t>INV12640</t>
  </si>
  <si>
    <t>INV12965</t>
  </si>
  <si>
    <t>INV12680</t>
  </si>
  <si>
    <t>INV13018</t>
  </si>
  <si>
    <t>INV12836</t>
  </si>
  <si>
    <t>INV12628</t>
  </si>
  <si>
    <t>INV12641</t>
  </si>
  <si>
    <t>INV12672</t>
  </si>
  <si>
    <t>INV12639</t>
  </si>
  <si>
    <t>INV12768</t>
  </si>
  <si>
    <t>INV12637</t>
  </si>
  <si>
    <t>INV12744</t>
  </si>
  <si>
    <t>INV12693</t>
  </si>
  <si>
    <t>INV12658</t>
  </si>
  <si>
    <t>INV12670</t>
  </si>
  <si>
    <t>INV12756</t>
  </si>
  <si>
    <t>INV12671</t>
  </si>
  <si>
    <t>INV12952</t>
  </si>
  <si>
    <t>INV12724</t>
  </si>
  <si>
    <t>INV12668</t>
  </si>
  <si>
    <t>INV12657</t>
  </si>
  <si>
    <t>INV12649</t>
  </si>
  <si>
    <t>INV12648</t>
  </si>
  <si>
    <t>INV12651</t>
  </si>
  <si>
    <t>INV12831</t>
  </si>
  <si>
    <t>INV12692</t>
  </si>
  <si>
    <t>INV12766</t>
  </si>
  <si>
    <t>INV12659</t>
  </si>
  <si>
    <t>INV12681</t>
  </si>
  <si>
    <t>INV12669</t>
  </si>
  <si>
    <t>INV12714</t>
  </si>
  <si>
    <t>INV12887</t>
  </si>
  <si>
    <t>INV12888</t>
  </si>
  <si>
    <t>INV12866</t>
  </si>
  <si>
    <t>INV12667</t>
  </si>
  <si>
    <t>INV12855</t>
  </si>
  <si>
    <t>INV12665</t>
  </si>
  <si>
    <t>INV12760</t>
  </si>
  <si>
    <t>INV12764</t>
  </si>
  <si>
    <t>INV12673</t>
  </si>
  <si>
    <t>INV12678</t>
  </si>
  <si>
    <t>INV12943</t>
  </si>
  <si>
    <t>INV12763</t>
  </si>
  <si>
    <t>INV12821</t>
  </si>
  <si>
    <t>INV12792</t>
  </si>
  <si>
    <t>INV12716</t>
  </si>
  <si>
    <t>INV12687</t>
  </si>
  <si>
    <t>INV12741</t>
  </si>
  <si>
    <t>INV12684</t>
  </si>
  <si>
    <t>INV12709</t>
  </si>
  <si>
    <t>INV13192</t>
  </si>
  <si>
    <t>INV12695</t>
  </si>
  <si>
    <t>INV12727</t>
  </si>
  <si>
    <t>INV12777</t>
  </si>
  <si>
    <t>INV12689</t>
  </si>
  <si>
    <t>INV12698</t>
  </si>
  <si>
    <t>INV13075</t>
  </si>
  <si>
    <t>INV12734</t>
  </si>
  <si>
    <t>INV12775</t>
  </si>
  <si>
    <t>INV12694</t>
  </si>
  <si>
    <t>INV12853</t>
  </si>
  <si>
    <t>INV12793</t>
  </si>
  <si>
    <t>INV12807</t>
  </si>
  <si>
    <t>INV12700</t>
  </si>
  <si>
    <t>INV12721</t>
  </si>
  <si>
    <t>INV13091</t>
  </si>
  <si>
    <t>INV12702</t>
  </si>
  <si>
    <t>INV12699</t>
  </si>
  <si>
    <t>INV12846</t>
  </si>
  <si>
    <t>INV12946</t>
  </si>
  <si>
    <t>INV12803</t>
  </si>
  <si>
    <t>INV12889</t>
  </si>
  <si>
    <t>INV12780</t>
  </si>
  <si>
    <t>INV12710</t>
  </si>
  <si>
    <t>INV13090</t>
  </si>
  <si>
    <t>INV12817</t>
  </si>
  <si>
    <t>INV12750</t>
  </si>
  <si>
    <t>INV12703</t>
  </si>
  <si>
    <t>INV12715</t>
  </si>
  <si>
    <t>INV12718</t>
  </si>
  <si>
    <t>INV12713</t>
  </si>
  <si>
    <t>INV12719</t>
  </si>
  <si>
    <t>INV13247</t>
  </si>
  <si>
    <t>INV13221</t>
  </si>
  <si>
    <t>INV12971</t>
  </si>
  <si>
    <t>INV12717</t>
  </si>
  <si>
    <t>INV12904</t>
  </si>
  <si>
    <t>INV12720</t>
  </si>
  <si>
    <t>INV12865</t>
  </si>
  <si>
    <t>INV12725</t>
  </si>
  <si>
    <t>INV13207</t>
  </si>
  <si>
    <t>INV12762</t>
  </si>
  <si>
    <t>INV12736</t>
  </si>
  <si>
    <t>INV12737</t>
  </si>
  <si>
    <t>INV12748</t>
  </si>
  <si>
    <t>INV13036</t>
  </si>
  <si>
    <t>INV13095</t>
  </si>
  <si>
    <t>INV12726</t>
  </si>
  <si>
    <t>INV12794</t>
  </si>
  <si>
    <t>INV12852</t>
  </si>
  <si>
    <t>INV12804</t>
  </si>
  <si>
    <t>INV12854</t>
  </si>
  <si>
    <t>INV12729</t>
  </si>
  <si>
    <t>INV12740</t>
  </si>
  <si>
    <t>INV12730</t>
  </si>
  <si>
    <t>INV13019</t>
  </si>
  <si>
    <t>INV12728</t>
  </si>
  <si>
    <t>INV12742</t>
  </si>
  <si>
    <t>INV12731</t>
  </si>
  <si>
    <t>INV12738</t>
  </si>
  <si>
    <t>INV12796</t>
  </si>
  <si>
    <t>INV12787</t>
  </si>
  <si>
    <t>INV12739</t>
  </si>
  <si>
    <t>INV12732</t>
  </si>
  <si>
    <t>INV12733</t>
  </si>
  <si>
    <t>INV12735</t>
  </si>
  <si>
    <t>INV12896</t>
  </si>
  <si>
    <t>INV12753</t>
  </si>
  <si>
    <t>INV13191</t>
  </si>
  <si>
    <t>INV12958</t>
  </si>
  <si>
    <t>INV12755</t>
  </si>
  <si>
    <t>INV12813</t>
  </si>
  <si>
    <t>INV12799</t>
  </si>
  <si>
    <t>INV12751</t>
  </si>
  <si>
    <t>INV12752</t>
  </si>
  <si>
    <t>INV13161</t>
  </si>
  <si>
    <t>INV12795</t>
  </si>
  <si>
    <t>INV12754</t>
  </si>
  <si>
    <t>INV12788</t>
  </si>
  <si>
    <t>INV12826</t>
  </si>
  <si>
    <t>INV12767</t>
  </si>
  <si>
    <t>INV12758</t>
  </si>
  <si>
    <t>INV12759</t>
  </si>
  <si>
    <t>INV12886</t>
  </si>
  <si>
    <t>INV12985</t>
  </si>
  <si>
    <t>INV13215</t>
  </si>
  <si>
    <t>INV13189</t>
  </si>
  <si>
    <t>INV12778</t>
  </si>
  <si>
    <t>INV12835</t>
  </si>
  <si>
    <t>INV12784</t>
  </si>
  <si>
    <t>INV12802</t>
  </si>
  <si>
    <t>INV12786</t>
  </si>
  <si>
    <t>INV12791</t>
  </si>
  <si>
    <t>INV12781</t>
  </si>
  <si>
    <t>INV12785</t>
  </si>
  <si>
    <t>INV12789</t>
  </si>
  <si>
    <t>INV12834</t>
  </si>
  <si>
    <t>INV13049</t>
  </si>
  <si>
    <t>INV12790</t>
  </si>
  <si>
    <t>INV12918</t>
  </si>
  <si>
    <t>INV12824</t>
  </si>
  <si>
    <t>INV12927</t>
  </si>
  <si>
    <t>INV12814</t>
  </si>
  <si>
    <t>INV13115</t>
  </si>
  <si>
    <t>INV12900</t>
  </si>
  <si>
    <t>INV12805</t>
  </si>
  <si>
    <t>INV12798</t>
  </si>
  <si>
    <t>INV12797</t>
  </si>
  <si>
    <t>INV12893</t>
  </si>
  <si>
    <t>INV12806</t>
  </si>
  <si>
    <t>INV12809</t>
  </si>
  <si>
    <t>INV12976</t>
  </si>
  <si>
    <t>INV12885</t>
  </si>
  <si>
    <t>INV12810</t>
  </si>
  <si>
    <t>INV12857</t>
  </si>
  <si>
    <t>INV12812</t>
  </si>
  <si>
    <t>INV12833</t>
  </si>
  <si>
    <t>INV12915</t>
  </si>
  <si>
    <t>INV12808</t>
  </si>
  <si>
    <t>INV12871</t>
  </si>
  <si>
    <t>INV12845</t>
  </si>
  <si>
    <t>INV12986</t>
  </si>
  <si>
    <t>INV12975</t>
  </si>
  <si>
    <t>INV12815</t>
  </si>
  <si>
    <t>INV12974</t>
  </si>
  <si>
    <t>INV12906</t>
  </si>
  <si>
    <t>INV12823</t>
  </si>
  <si>
    <t>INV12917</t>
  </si>
  <si>
    <t>INV13129</t>
  </si>
  <si>
    <t>INV12825</t>
  </si>
  <si>
    <t>INV12982</t>
  </si>
  <si>
    <t>INV12908</t>
  </si>
  <si>
    <t>INV12894</t>
  </si>
  <si>
    <t>INV12819</t>
  </si>
  <si>
    <t>INV12818</t>
  </si>
  <si>
    <t>INV12827</t>
  </si>
  <si>
    <t>INV13216</t>
  </si>
  <si>
    <t>INV12829</t>
  </si>
  <si>
    <t>INV13022</t>
  </si>
  <si>
    <t>INV12881</t>
  </si>
  <si>
    <t>INV13098</t>
  </si>
  <si>
    <t>INV12843</t>
  </si>
  <si>
    <t>INV12842</t>
  </si>
  <si>
    <t>INV12848</t>
  </si>
  <si>
    <t>INV12882</t>
  </si>
  <si>
    <t>INV12884</t>
  </si>
  <si>
    <t>(* 72154)</t>
  </si>
  <si>
    <t>INV12838</t>
  </si>
  <si>
    <t>INV12839</t>
  </si>
  <si>
    <t>INV12841</t>
  </si>
  <si>
    <t>INV13135</t>
  </si>
  <si>
    <t>INV12847</t>
  </si>
  <si>
    <t>INV12851</t>
  </si>
  <si>
    <t>INV12913</t>
  </si>
  <si>
    <t>INV12874</t>
  </si>
  <si>
    <t>INV13204</t>
  </si>
  <si>
    <t>INV12862</t>
  </si>
  <si>
    <t>INV12868</t>
  </si>
  <si>
    <t>INV12861</t>
  </si>
  <si>
    <t>INV13001</t>
  </si>
  <si>
    <t>INV13234</t>
  </si>
  <si>
    <t>INV12877</t>
  </si>
  <si>
    <t>INV12869</t>
  </si>
  <si>
    <t>INV12870</t>
  </si>
  <si>
    <t>INV12873</t>
  </si>
  <si>
    <t>INV12999</t>
  </si>
  <si>
    <t>INV12925</t>
  </si>
  <si>
    <t>INV12903</t>
  </si>
  <si>
    <t>INV12883</t>
  </si>
  <si>
    <t>INV13125</t>
  </si>
  <si>
    <t>INV12923</t>
  </si>
  <si>
    <t>INV12973</t>
  </si>
  <si>
    <t>INV13008</t>
  </si>
  <si>
    <t>INV12902</t>
  </si>
  <si>
    <t>INV13179</t>
  </si>
  <si>
    <t>INV12876</t>
  </si>
  <si>
    <t>INV13275</t>
  </si>
  <si>
    <t>INV12916</t>
  </si>
  <si>
    <t>INV12968</t>
  </si>
  <si>
    <t>INV12878</t>
  </si>
  <si>
    <t>INV12984</t>
  </si>
  <si>
    <t>INV12966</t>
  </si>
  <si>
    <t>INV12875</t>
  </si>
  <si>
    <t>INV12895</t>
  </si>
  <si>
    <t>INV12912</t>
  </si>
  <si>
    <t>INV12932</t>
  </si>
  <si>
    <t>INV12891</t>
  </si>
  <si>
    <t>INV13056</t>
  </si>
  <si>
    <t>INV12890</t>
  </si>
  <si>
    <t>INV12892</t>
  </si>
  <si>
    <t>INV13272</t>
  </si>
  <si>
    <t>INV12905</t>
  </si>
  <si>
    <t>INV13032</t>
  </si>
  <si>
    <t>INV12914</t>
  </si>
  <si>
    <t>INV12911</t>
  </si>
  <si>
    <t>INV13067</t>
  </si>
  <si>
    <t>INV12909</t>
  </si>
  <si>
    <t>INV12910</t>
  </si>
  <si>
    <t>INV12931</t>
  </si>
  <si>
    <t>INV12933</t>
  </si>
  <si>
    <t>INV13188</t>
  </si>
  <si>
    <t>INV13214</t>
  </si>
  <si>
    <t>INV12930</t>
  </si>
  <si>
    <t>INV13105</t>
  </si>
  <si>
    <t>INV13122</t>
  </si>
  <si>
    <t>INV12922</t>
  </si>
  <si>
    <t>INV12926</t>
  </si>
  <si>
    <t>INV12920</t>
  </si>
  <si>
    <t>INV12919</t>
  </si>
  <si>
    <t>INV12956</t>
  </si>
  <si>
    <t>INV12936</t>
  </si>
  <si>
    <t>INV13007</t>
  </si>
  <si>
    <t>INV12934</t>
  </si>
  <si>
    <t>INV12924</t>
  </si>
  <si>
    <t>INV13273</t>
  </si>
  <si>
    <t>INV13394</t>
  </si>
  <si>
    <t>INV12928</t>
  </si>
  <si>
    <t>INV12929</t>
  </si>
  <si>
    <t>INV12995</t>
  </si>
  <si>
    <t>INV13187</t>
  </si>
  <si>
    <t>INV12938</t>
  </si>
  <si>
    <t>INV12939</t>
  </si>
  <si>
    <t>INV13261</t>
  </si>
  <si>
    <t>INV12940</t>
  </si>
  <si>
    <t>INV12937</t>
  </si>
  <si>
    <t>INV12935</t>
  </si>
  <si>
    <t>INV13109</t>
  </si>
  <si>
    <t>INV12941</t>
  </si>
  <si>
    <t>INV12944</t>
  </si>
  <si>
    <t>INV12945</t>
  </si>
  <si>
    <t>INV13114</t>
  </si>
  <si>
    <t>INV13021</t>
  </si>
  <si>
    <t>INV12948</t>
  </si>
  <si>
    <t>INV12950</t>
  </si>
  <si>
    <t>INV12949</t>
  </si>
  <si>
    <t>INV13141</t>
  </si>
  <si>
    <t>INV13206</t>
  </si>
  <si>
    <t>INV13099</t>
  </si>
  <si>
    <t>INV12955</t>
  </si>
  <si>
    <t>INV13116</t>
  </si>
  <si>
    <t>INV12947</t>
  </si>
  <si>
    <t>INV13301</t>
  </si>
  <si>
    <t>INV12963</t>
  </si>
  <si>
    <t>INV12957</t>
  </si>
  <si>
    <t>INV12959</t>
  </si>
  <si>
    <t>INV13088</t>
  </si>
  <si>
    <t>INV12961</t>
  </si>
  <si>
    <t>INV12960</t>
  </si>
  <si>
    <t>INV13058</t>
  </si>
  <si>
    <t>INV12969</t>
  </si>
  <si>
    <t>INV12964</t>
  </si>
  <si>
    <t>INV12967</t>
  </si>
  <si>
    <t>INV13066</t>
  </si>
  <si>
    <t>INV12978</t>
  </si>
  <si>
    <t>INV13015</t>
  </si>
  <si>
    <t>INV12981</t>
  </si>
  <si>
    <t>INV13068</t>
  </si>
  <si>
    <t>INV12980</t>
  </si>
  <si>
    <t>INV13190</t>
  </si>
  <si>
    <t>INV12991</t>
  </si>
  <si>
    <t>INV12983</t>
  </si>
  <si>
    <t>INV13089</t>
  </si>
  <si>
    <t>INV13084</t>
  </si>
  <si>
    <t>INV13186</t>
  </si>
  <si>
    <t>INV13086</t>
  </si>
  <si>
    <t>INV13347</t>
  </si>
  <si>
    <t>INV12990</t>
  </si>
  <si>
    <t>INV13037</t>
  </si>
  <si>
    <t>INV13305</t>
  </si>
  <si>
    <t>INV12987</t>
  </si>
  <si>
    <t>INV13014</t>
  </si>
  <si>
    <t>INV12988</t>
  </si>
  <si>
    <t>INV12989</t>
  </si>
  <si>
    <t>INV12997</t>
  </si>
  <si>
    <t>INV12993</t>
  </si>
  <si>
    <t>INV12994</t>
  </si>
  <si>
    <t>INV12992</t>
  </si>
  <si>
    <t>INV12998</t>
  </si>
  <si>
    <t>INV13205</t>
  </si>
  <si>
    <t>INV12996</t>
  </si>
  <si>
    <t>INV13063</t>
  </si>
  <si>
    <t>INV13004</t>
  </si>
  <si>
    <t>INV13069</t>
  </si>
  <si>
    <t>INV13044</t>
  </si>
  <si>
    <t>INV13322</t>
  </si>
  <si>
    <t>INV13160</t>
  </si>
  <si>
    <t>INV13000</t>
  </si>
  <si>
    <t>INV13005</t>
  </si>
  <si>
    <t>INV13388</t>
  </si>
  <si>
    <t>INV13163</t>
  </si>
  <si>
    <t>INV13020</t>
  </si>
  <si>
    <t>INV13003</t>
  </si>
  <si>
    <t>INV13013</t>
  </si>
  <si>
    <t>INV13012</t>
  </si>
  <si>
    <t>INV13011</t>
  </si>
  <si>
    <t>INV13006</t>
  </si>
  <si>
    <t>INV13010</t>
  </si>
  <si>
    <t>INV13002</t>
  </si>
  <si>
    <t>INV13055</t>
  </si>
  <si>
    <t>INV13070</t>
  </si>
  <si>
    <t>INV13009</t>
  </si>
  <si>
    <t>INV13026</t>
  </si>
  <si>
    <t>INV13438</t>
  </si>
  <si>
    <t>INV13025</t>
  </si>
  <si>
    <t>INV13024</t>
  </si>
  <si>
    <t>INV13023</t>
  </si>
  <si>
    <t>INV13027</t>
  </si>
  <si>
    <t>INV13028</t>
  </si>
  <si>
    <t>INV13079</t>
  </si>
  <si>
    <t>INV13045</t>
  </si>
  <si>
    <t>INV13029</t>
  </si>
  <si>
    <t>INV13302</t>
  </si>
  <si>
    <t>INV13033</t>
  </si>
  <si>
    <t>INV13031</t>
  </si>
  <si>
    <t>INV13269</t>
  </si>
  <si>
    <t>INV13047</t>
  </si>
  <si>
    <t>INV13112</t>
  </si>
  <si>
    <t>(* 77703)</t>
  </si>
  <si>
    <t>INV13213</t>
  </si>
  <si>
    <t>INV13445</t>
  </si>
  <si>
    <t>INV13041</t>
  </si>
  <si>
    <t>INV13040</t>
  </si>
  <si>
    <t>INV13118</t>
  </si>
  <si>
    <t>INV13477</t>
  </si>
  <si>
    <t>INV13071</t>
  </si>
  <si>
    <t>INV13042</t>
  </si>
  <si>
    <t>INV13046</t>
  </si>
  <si>
    <t>INV13073</t>
  </si>
  <si>
    <t>INV13077</t>
  </si>
  <si>
    <t>INV13048</t>
  </si>
  <si>
    <t>INV13059</t>
  </si>
  <si>
    <t>INV13053</t>
  </si>
  <si>
    <t>INV13315</t>
  </si>
  <si>
    <t>INV13043</t>
  </si>
  <si>
    <t>INV13340</t>
  </si>
  <si>
    <t>INV13133</t>
  </si>
  <si>
    <t>INV13061</t>
  </si>
  <si>
    <t>INV13060</t>
  </si>
  <si>
    <t>INV13250</t>
  </si>
  <si>
    <t>INV13476</t>
  </si>
  <si>
    <t>INV13644</t>
  </si>
  <si>
    <t>INV13054</t>
  </si>
  <si>
    <t>INV13131</t>
  </si>
  <si>
    <t>INV13087</t>
  </si>
  <si>
    <t>INV13064</t>
  </si>
  <si>
    <t>INV13603</t>
  </si>
  <si>
    <t>INV13132</t>
  </si>
  <si>
    <t>INV13065</t>
  </si>
  <si>
    <t>INV13316</t>
  </si>
  <si>
    <t>INV13482</t>
  </si>
  <si>
    <t>INV13311</t>
  </si>
  <si>
    <t>INV13138</t>
  </si>
  <si>
    <t>INV13076</t>
  </si>
  <si>
    <t>INV13197</t>
  </si>
  <si>
    <t>INV13094</t>
  </si>
  <si>
    <t>INV13126</t>
  </si>
  <si>
    <t>INV13260</t>
  </si>
  <si>
    <t>INV13072</t>
  </si>
  <si>
    <t>INV13078</t>
  </si>
  <si>
    <t>INV13164</t>
  </si>
  <si>
    <t>INV13330</t>
  </si>
  <si>
    <t>INV13346</t>
  </si>
  <si>
    <t>INV13436</t>
  </si>
  <si>
    <t>INV13338</t>
  </si>
  <si>
    <t>INV13080</t>
  </si>
  <si>
    <t>INV13257</t>
  </si>
  <si>
    <t>INV13082</t>
  </si>
  <si>
    <t>INV13081</t>
  </si>
  <si>
    <t>INV13083</t>
  </si>
  <si>
    <t>INV13102</t>
  </si>
  <si>
    <t>INV13085</t>
  </si>
  <si>
    <t>INV13120</t>
  </si>
  <si>
    <t>INV13490</t>
  </si>
  <si>
    <t>INV13218</t>
  </si>
  <si>
    <t>INV13475</t>
  </si>
  <si>
    <t>INV13251</t>
  </si>
  <si>
    <t>INV13121</t>
  </si>
  <si>
    <t>INV13142</t>
  </si>
  <si>
    <t>INV13170</t>
  </si>
  <si>
    <t>INV13284</t>
  </si>
  <si>
    <t>INV13092</t>
  </si>
  <si>
    <t>INV13093</t>
  </si>
  <si>
    <t>INV13157</t>
  </si>
  <si>
    <t>INV13097</t>
  </si>
  <si>
    <t>INV13139</t>
  </si>
  <si>
    <t>INV13096</t>
  </si>
  <si>
    <t>INV13258</t>
  </si>
  <si>
    <t>INV13113</t>
  </si>
  <si>
    <t>INV13414</t>
  </si>
  <si>
    <t>INV13130</t>
  </si>
  <si>
    <t>INV13101</t>
  </si>
  <si>
    <t>INV13107</t>
  </si>
  <si>
    <t>INV13585</t>
  </si>
  <si>
    <t>INV13103</t>
  </si>
  <si>
    <t>INV13287</t>
  </si>
  <si>
    <t>INV13106</t>
  </si>
  <si>
    <t>INV13145</t>
  </si>
  <si>
    <t>INV13104</t>
  </si>
  <si>
    <t>INV13159</t>
  </si>
  <si>
    <t>INV13117</t>
  </si>
  <si>
    <t>INV13440</t>
  </si>
  <si>
    <t>INV13228</t>
  </si>
  <si>
    <t>INV13110</t>
  </si>
  <si>
    <t>INV13111</t>
  </si>
  <si>
    <t>INV13535</t>
  </si>
  <si>
    <t>INV13124</t>
  </si>
  <si>
    <t>INV13123</t>
  </si>
  <si>
    <t>INV13526</t>
  </si>
  <si>
    <t>INV13289</t>
  </si>
  <si>
    <t>INV13147</t>
  </si>
  <si>
    <t>INV13290</t>
  </si>
  <si>
    <t>INV13148</t>
  </si>
  <si>
    <t>INV13503</t>
  </si>
  <si>
    <t>INV13622</t>
  </si>
  <si>
    <t>INV13127</t>
  </si>
  <si>
    <t>INV13128</t>
  </si>
  <si>
    <t>INV13169</t>
  </si>
  <si>
    <t>INV13227</t>
  </si>
  <si>
    <t>INV13177</t>
  </si>
  <si>
    <t>INV13136</t>
  </si>
  <si>
    <t>INV13203</t>
  </si>
  <si>
    <t>INV13180</t>
  </si>
  <si>
    <t>INV13175</t>
  </si>
  <si>
    <t>INV13134</t>
  </si>
  <si>
    <t>INV13231</t>
  </si>
  <si>
    <t>(* 78441)</t>
  </si>
  <si>
    <t>INV13162</t>
  </si>
  <si>
    <t>INV13140</t>
  </si>
  <si>
    <t>INV13154</t>
  </si>
  <si>
    <t>INV13587</t>
  </si>
  <si>
    <t>INV13235</t>
  </si>
  <si>
    <t>INV13193</t>
  </si>
  <si>
    <t>INV13379</t>
  </si>
  <si>
    <t>INV13143</t>
  </si>
  <si>
    <t>INV13502</t>
  </si>
  <si>
    <t>INV13149</t>
  </si>
  <si>
    <t>INV13248</t>
  </si>
  <si>
    <t>INV13185</t>
  </si>
  <si>
    <t>INV13456</t>
  </si>
  <si>
    <t>INV13358</t>
  </si>
  <si>
    <t>INV13326</t>
  </si>
  <si>
    <t>INV13523</t>
  </si>
  <si>
    <t>INV13146</t>
  </si>
  <si>
    <t>INV13150</t>
  </si>
  <si>
    <t>INV13586</t>
  </si>
  <si>
    <t>INV13259</t>
  </si>
  <si>
    <t>INV13153</t>
  </si>
  <si>
    <t>INV13497</t>
  </si>
  <si>
    <t>INV13156</t>
  </si>
  <si>
    <t>INV13496</t>
  </si>
  <si>
    <t>INV13323</t>
  </si>
  <si>
    <t>INV13155</t>
  </si>
  <si>
    <t>INV13266</t>
  </si>
  <si>
    <t>INV13178</t>
  </si>
  <si>
    <t>INV13268</t>
  </si>
  <si>
    <t>INV13278</t>
  </si>
  <si>
    <t>INV13176</t>
  </si>
  <si>
    <t>INV13276</t>
  </si>
  <si>
    <t>INV13183</t>
  </si>
  <si>
    <t>INV13158</t>
  </si>
  <si>
    <t>INV13267</t>
  </si>
  <si>
    <t>INV13173</t>
  </si>
  <si>
    <t>INV13167</t>
  </si>
  <si>
    <t>INV13174</t>
  </si>
  <si>
    <t>INV13201</t>
  </si>
  <si>
    <t>INV13166</t>
  </si>
  <si>
    <t>INV13168</t>
  </si>
  <si>
    <t>INV13303</t>
  </si>
  <si>
    <t>INV13304</t>
  </si>
  <si>
    <t>INV13172</t>
  </si>
  <si>
    <t>INV13355</t>
  </si>
  <si>
    <t>INV13165</t>
  </si>
  <si>
    <t>INV13271</t>
  </si>
  <si>
    <t>INV13181</t>
  </si>
  <si>
    <t>INV13171</t>
  </si>
  <si>
    <t>INV13239</t>
  </si>
  <si>
    <t>INV13382</t>
  </si>
  <si>
    <t>INV13245</t>
  </si>
  <si>
    <t>INV13182</t>
  </si>
  <si>
    <t>INV13369</t>
  </si>
  <si>
    <t>INV13682</t>
  </si>
  <si>
    <t>INV13352</t>
  </si>
  <si>
    <t>INV13407</t>
  </si>
  <si>
    <t>INV13229</t>
  </si>
  <si>
    <t>INV13230</t>
  </si>
  <si>
    <t>INV13184</t>
  </si>
  <si>
    <t>INV13401</t>
  </si>
  <si>
    <t>INV13223</t>
  </si>
  <si>
    <t>INV13238</t>
  </si>
  <si>
    <t>INV13681</t>
  </si>
  <si>
    <t>INV13671</t>
  </si>
  <si>
    <t>INV13668</t>
  </si>
  <si>
    <t>INV13317</t>
  </si>
  <si>
    <t>INV13458</t>
  </si>
  <si>
    <t>INV13469</t>
  </si>
  <si>
    <t>INV13198</t>
  </si>
  <si>
    <t>INV13209</t>
  </si>
  <si>
    <t>INV13329</t>
  </si>
  <si>
    <t>INV13253</t>
  </si>
  <si>
    <t>INV13200</t>
  </si>
  <si>
    <t>INV13404</t>
  </si>
  <si>
    <t>INV13451</t>
  </si>
  <si>
    <t>INV13270</t>
  </si>
  <si>
    <t>INV13196</t>
  </si>
  <si>
    <t>INV13576</t>
  </si>
  <si>
    <t>INV13249</t>
  </si>
  <si>
    <t>INV13574</t>
  </si>
  <si>
    <t>INV13252</t>
  </si>
  <si>
    <t>INV13217</t>
  </si>
  <si>
    <t>INV13310</t>
  </si>
  <si>
    <t>INV13208</t>
  </si>
  <si>
    <t>INV13233</t>
  </si>
  <si>
    <t>INV13210</t>
  </si>
  <si>
    <t>INV13199</t>
  </si>
  <si>
    <t>INV13491</t>
  </si>
  <si>
    <t>INV13325</t>
  </si>
  <si>
    <t>INV13356</t>
  </si>
  <si>
    <t>INV13371</t>
  </si>
  <si>
    <t>INV13212</t>
  </si>
  <si>
    <t>INV13511</t>
  </si>
  <si>
    <t>INV13374</t>
  </si>
  <si>
    <t>INV13222</t>
  </si>
  <si>
    <t>INV13277</t>
  </si>
  <si>
    <t>INV13240</t>
  </si>
  <si>
    <t>INV13219</t>
  </si>
  <si>
    <t>INV13220</t>
  </si>
  <si>
    <t>INV13461</t>
  </si>
  <si>
    <t>INV13226</t>
  </si>
  <si>
    <t>INV13224</t>
  </si>
  <si>
    <t>INV13243</t>
  </si>
  <si>
    <t>INV13225</t>
  </si>
  <si>
    <t>INV13506</t>
  </si>
  <si>
    <t>INV13431</t>
  </si>
  <si>
    <t>INV13328</t>
  </si>
  <si>
    <t>(* 78449)</t>
  </si>
  <si>
    <t>INV13232</t>
  </si>
  <si>
    <t>INV13242</t>
  </si>
  <si>
    <t>INV13455</t>
  </si>
  <si>
    <t>INV13265</t>
  </si>
  <si>
    <t>INV13314</t>
  </si>
  <si>
    <t>INV13299</t>
  </si>
  <si>
    <t>INV13237</t>
  </si>
  <si>
    <t>INV13495</t>
  </si>
  <si>
    <t>INV13262</t>
  </si>
  <si>
    <t>INV13370</t>
  </si>
  <si>
    <t>INV13274</t>
  </si>
  <si>
    <t>INV13470</t>
  </si>
  <si>
    <t>INV13236</t>
  </si>
  <si>
    <t>INV13241</t>
  </si>
  <si>
    <t>INV13427</t>
  </si>
  <si>
    <t>INV13246</t>
  </si>
  <si>
    <t>INV13264</t>
  </si>
  <si>
    <t>INV13313</t>
  </si>
  <si>
    <t>INV13244</t>
  </si>
  <si>
    <t>INV13534</t>
  </si>
  <si>
    <t>INV13254</t>
  </si>
  <si>
    <t>INV13670</t>
  </si>
  <si>
    <t>INV13437</t>
  </si>
  <si>
    <t>INV13255</t>
  </si>
  <si>
    <t>INV13281</t>
  </si>
  <si>
    <t>INV13263</t>
  </si>
  <si>
    <t>INV13363</t>
  </si>
  <si>
    <t>INV13327</t>
  </si>
  <si>
    <t>INV13459</t>
  </si>
  <si>
    <t>INV13357</t>
  </si>
  <si>
    <t>INV13256</t>
  </si>
  <si>
    <t>INV13333</t>
  </si>
  <si>
    <t>INV13433</t>
  </si>
  <si>
    <t>INV13372</t>
  </si>
  <si>
    <t>INV13279</t>
  </si>
  <si>
    <t>INV13282</t>
  </si>
  <si>
    <t>INV13280</t>
  </si>
  <si>
    <t>INV13386</t>
  </si>
  <si>
    <t>INV13558</t>
  </si>
  <si>
    <t>INV13341</t>
  </si>
  <si>
    <t>INV13285</t>
  </si>
  <si>
    <t>INV13434</t>
  </si>
  <si>
    <t>INV13286</t>
  </si>
  <si>
    <t>INV13444</t>
  </si>
  <si>
    <t>INV13293</t>
  </si>
  <si>
    <t>INV13291</t>
  </si>
  <si>
    <t>INV13288</t>
  </si>
  <si>
    <t>INV13555</t>
  </si>
  <si>
    <t>INV13292</t>
  </si>
  <si>
    <t>INV13294</t>
  </si>
  <si>
    <t>INV13295</t>
  </si>
  <si>
    <t>INV13297</t>
  </si>
  <si>
    <t>INV13296</t>
  </si>
  <si>
    <t>INV13674</t>
  </si>
  <si>
    <t>INV13507</t>
  </si>
  <si>
    <t>INV13529</t>
  </si>
  <si>
    <t>INV13298</t>
  </si>
  <si>
    <t>INV13308</t>
  </si>
  <si>
    <t>INV13300</t>
  </si>
  <si>
    <t>INV13309</t>
  </si>
  <si>
    <t>INV13307</t>
  </si>
  <si>
    <t>INV13660</t>
  </si>
  <si>
    <t>INV13306</t>
  </si>
  <si>
    <t>INV13312</t>
  </si>
  <si>
    <t>INV13528</t>
  </si>
  <si>
    <t>INV13319</t>
  </si>
  <si>
    <t>INV13320</t>
  </si>
  <si>
    <t>INV13332</t>
  </si>
  <si>
    <t>INV13331</t>
  </si>
  <si>
    <t>INV13318</t>
  </si>
  <si>
    <t>INV13334</t>
  </si>
  <si>
    <t>INV13324</t>
  </si>
  <si>
    <t>INV13336</t>
  </si>
  <si>
    <t>INV13344</t>
  </si>
  <si>
    <t>INV13366</t>
  </si>
  <si>
    <t>INV13337</t>
  </si>
  <si>
    <t>INV13321</t>
  </si>
  <si>
    <t>INV13432</t>
  </si>
  <si>
    <t>INV13343</t>
  </si>
  <si>
    <t>INV13387</t>
  </si>
  <si>
    <t>INV13413</t>
  </si>
  <si>
    <t>INV13385</t>
  </si>
  <si>
    <t>INV13573</t>
  </si>
  <si>
    <t>INV13335</t>
  </si>
  <si>
    <t>INV13478</t>
  </si>
  <si>
    <t>INV13635</t>
  </si>
  <si>
    <t>INV13690</t>
  </si>
  <si>
    <t>INV13452</t>
  </si>
  <si>
    <t>INV13342</t>
  </si>
  <si>
    <t>INV13339</t>
  </si>
  <si>
    <t>INV13350</t>
  </si>
  <si>
    <t>INV13354</t>
  </si>
  <si>
    <t>INV13348</t>
  </si>
  <si>
    <t>INV13349</t>
  </si>
  <si>
    <t>INV13406</t>
  </si>
  <si>
    <t>INV13367</t>
  </si>
  <si>
    <t>(* 79207)</t>
  </si>
  <si>
    <t>INV13353</t>
  </si>
  <si>
    <t>INV13673</t>
  </si>
  <si>
    <t>INV13686</t>
  </si>
  <si>
    <t>INV13376</t>
  </si>
  <si>
    <t>INV13378</t>
  </si>
  <si>
    <t>INV13384</t>
  </si>
  <si>
    <t>INV13551</t>
  </si>
  <si>
    <t>INV13359</t>
  </si>
  <si>
    <t>INV13380</t>
  </si>
  <si>
    <t>INV13377</t>
  </si>
  <si>
    <t>INV13643</t>
  </si>
  <si>
    <t>INV13364</t>
  </si>
  <si>
    <t>INV13409</t>
  </si>
  <si>
    <t>INV13362</t>
  </si>
  <si>
    <t>INV13430</t>
  </si>
  <si>
    <t>INV13687</t>
  </si>
  <si>
    <t>INV13375</t>
  </si>
  <si>
    <t>INV13365</t>
  </si>
  <si>
    <t>INV13417</t>
  </si>
  <si>
    <t>INV13426</t>
  </si>
  <si>
    <t>INV13383</t>
  </si>
  <si>
    <t>INV13368</t>
  </si>
  <si>
    <t>INV13360</t>
  </si>
  <si>
    <t>Borrador de nota de crédito RINV/2025/00003</t>
  </si>
  <si>
    <t>INV13392</t>
  </si>
  <si>
    <t>INV13422</t>
  </si>
  <si>
    <t>INV13423</t>
  </si>
  <si>
    <t>INV13499</t>
  </si>
  <si>
    <t>(* 80548)</t>
  </si>
  <si>
    <t>INV13665</t>
  </si>
  <si>
    <t>INV13361</t>
  </si>
  <si>
    <t>INV13416</t>
  </si>
  <si>
    <t>INV13579</t>
  </si>
  <si>
    <t>INV13664</t>
  </si>
  <si>
    <t>INV13373</t>
  </si>
  <si>
    <t>INV13636</t>
  </si>
  <si>
    <t>INV13584</t>
  </si>
  <si>
    <t>INV13628</t>
  </si>
  <si>
    <t>INV13403</t>
  </si>
  <si>
    <t>INV13381</t>
  </si>
  <si>
    <t>INV13397</t>
  </si>
  <si>
    <t>INV13396</t>
  </si>
  <si>
    <t>INV13391</t>
  </si>
  <si>
    <t>INV13389</t>
  </si>
  <si>
    <t>INV13447</t>
  </si>
  <si>
    <t>INV13678</t>
  </si>
  <si>
    <t>INV13533</t>
  </si>
  <si>
    <t>INV13552</t>
  </si>
  <si>
    <t>INV13390</t>
  </si>
  <si>
    <t>INV13400</t>
  </si>
  <si>
    <t>INV13442</t>
  </si>
  <si>
    <t>INV13405</t>
  </si>
  <si>
    <t>INV13395</t>
  </si>
  <si>
    <t>INV13428</t>
  </si>
  <si>
    <t>INV13393</t>
  </si>
  <si>
    <t>INV13399</t>
  </si>
  <si>
    <t>INV13448</t>
  </si>
  <si>
    <t>INV13429</t>
  </si>
  <si>
    <t>INV13688</t>
  </si>
  <si>
    <t>INV13398</t>
  </si>
  <si>
    <t>INV13408</t>
  </si>
  <si>
    <t>INV13410</t>
  </si>
  <si>
    <t>INV13446</t>
  </si>
  <si>
    <t>INV13685</t>
  </si>
  <si>
    <t>INV13419</t>
  </si>
  <si>
    <t>INV13418</t>
  </si>
  <si>
    <t>INV13541</t>
  </si>
  <si>
    <t>INV13513</t>
  </si>
  <si>
    <t>INV13479</t>
  </si>
  <si>
    <t>INV13415</t>
  </si>
  <si>
    <t>INV13402</t>
  </si>
  <si>
    <t>INV13412</t>
  </si>
  <si>
    <t>INV13684</t>
  </si>
  <si>
    <t>INV13411</t>
  </si>
  <si>
    <t>INV13421</t>
  </si>
  <si>
    <t>INV13420</t>
  </si>
  <si>
    <t>INV13453</t>
  </si>
  <si>
    <t>INV13494</t>
  </si>
  <si>
    <t>INV13580</t>
  </si>
  <si>
    <t>INV13563</t>
  </si>
  <si>
    <t>INV13540</t>
  </si>
  <si>
    <t>INV13441</t>
  </si>
  <si>
    <t>INV13435</t>
  </si>
  <si>
    <t>INV13493</t>
  </si>
  <si>
    <t>INV13588</t>
  </si>
  <si>
    <t>INV13424</t>
  </si>
  <si>
    <t>INV13454</t>
  </si>
  <si>
    <t>INV13425</t>
  </si>
  <si>
    <t>INV13520</t>
  </si>
  <si>
    <t>INV13633</t>
  </si>
  <si>
    <t>INV13517</t>
  </si>
  <si>
    <t>INV13659</t>
  </si>
  <si>
    <t>INV13439</t>
  </si>
  <si>
    <t>INV13472</t>
  </si>
  <si>
    <t>INV13464</t>
  </si>
  <si>
    <t>INV13443</t>
  </si>
  <si>
    <t>INV13449</t>
  </si>
  <si>
    <t>INV13486</t>
  </si>
  <si>
    <t>INV13631</t>
  </si>
  <si>
    <t>INV13545</t>
  </si>
  <si>
    <t>INV13567</t>
  </si>
  <si>
    <t>INV13463</t>
  </si>
  <si>
    <t>INV13462</t>
  </si>
  <si>
    <t>INV13498</t>
  </si>
  <si>
    <t>INV13550</t>
  </si>
  <si>
    <t>INV13450</t>
  </si>
  <si>
    <t>INV13465</t>
  </si>
  <si>
    <t>INV13485</t>
  </si>
  <si>
    <t>INV13553</t>
  </si>
  <si>
    <t>INV13532</t>
  </si>
  <si>
    <t>INV13683</t>
  </si>
  <si>
    <t>INV13468</t>
  </si>
  <si>
    <t>INV13672</t>
  </si>
  <si>
    <t>INV13626</t>
  </si>
  <si>
    <t>INV13595</t>
  </si>
  <si>
    <t>INV13466</t>
  </si>
  <si>
    <t>INV13460</t>
  </si>
  <si>
    <t>INV13613</t>
  </si>
  <si>
    <t>INV13484</t>
  </si>
  <si>
    <t>INV13474</t>
  </si>
  <si>
    <t>INV13471</t>
  </si>
  <si>
    <t>INV13572</t>
  </si>
  <si>
    <t>INV13480</t>
  </si>
  <si>
    <t>INV13647</t>
  </si>
  <si>
    <t>INV13467</t>
  </si>
  <si>
    <t>INV13473</t>
  </si>
  <si>
    <t>INV13487</t>
  </si>
  <si>
    <t>INV13538</t>
  </si>
  <si>
    <t>INV13489</t>
  </si>
  <si>
    <t>INV13488</t>
  </si>
  <si>
    <t>INV13508</t>
  </si>
  <si>
    <t>INV13570</t>
  </si>
  <si>
    <t>INV13661</t>
  </si>
  <si>
    <t>INV13481</t>
  </si>
  <si>
    <t>INV13492</t>
  </si>
  <si>
    <t>INV13501</t>
  </si>
  <si>
    <t>INV13500</t>
  </si>
  <si>
    <t>INV13578</t>
  </si>
  <si>
    <t>INV13504</t>
  </si>
  <si>
    <t>INV13483</t>
  </si>
  <si>
    <t>INV13596</t>
  </si>
  <si>
    <t>INV13522</t>
  </si>
  <si>
    <t>INV13612</t>
  </si>
  <si>
    <t>INV13606</t>
  </si>
  <si>
    <t>INV13509</t>
  </si>
  <si>
    <t>INV13527</t>
  </si>
  <si>
    <t>INV13510</t>
  </si>
  <si>
    <t>INV13514</t>
  </si>
  <si>
    <t>INV13516</t>
  </si>
  <si>
    <t>INV13524</t>
  </si>
  <si>
    <t>INV13512</t>
  </si>
  <si>
    <t>INV13594</t>
  </si>
  <si>
    <t>INV13518</t>
  </si>
  <si>
    <t>INV13597</t>
  </si>
  <si>
    <t>INV13515</t>
  </si>
  <si>
    <t>INV13521</t>
  </si>
  <si>
    <t>INV13525</t>
  </si>
  <si>
    <t>INV13519</t>
  </si>
  <si>
    <t>INV13531</t>
  </si>
  <si>
    <t>INV13581</t>
  </si>
  <si>
    <t>INV13530</t>
  </si>
  <si>
    <t>Borrador de factura (* 80533)</t>
  </si>
  <si>
    <t>INV13583</t>
  </si>
  <si>
    <t>INV13537</t>
  </si>
  <si>
    <t>INV13616</t>
  </si>
  <si>
    <t>INV13611</t>
  </si>
  <si>
    <t>INV13542</t>
  </si>
  <si>
    <t>INV13701</t>
  </si>
  <si>
    <t>INV13655</t>
  </si>
  <si>
    <t>INV13549</t>
  </si>
  <si>
    <t>INV13546</t>
  </si>
  <si>
    <t>INV13539</t>
  </si>
  <si>
    <t>INV13582</t>
  </si>
  <si>
    <t>INV13543</t>
  </si>
  <si>
    <t>INV13634</t>
  </si>
  <si>
    <t>INV13548</t>
  </si>
  <si>
    <t>INV13560</t>
  </si>
  <si>
    <t>INV13544</t>
  </si>
  <si>
    <t>INV13547</t>
  </si>
  <si>
    <t>INV13557</t>
  </si>
  <si>
    <t>INV13536</t>
  </si>
  <si>
    <t>INV13575</t>
  </si>
  <si>
    <t>INV13562</t>
  </si>
  <si>
    <t>INV13559</t>
  </si>
  <si>
    <t>INV13554</t>
  </si>
  <si>
    <t>INV13564</t>
  </si>
  <si>
    <t>INV13568</t>
  </si>
  <si>
    <t>INV13566</t>
  </si>
  <si>
    <t>INV13565</t>
  </si>
  <si>
    <t>INV13561</t>
  </si>
  <si>
    <t>INV13569</t>
  </si>
  <si>
    <t>INV13632</t>
  </si>
  <si>
    <t>INV13592</t>
  </si>
  <si>
    <t>INV13593</t>
  </si>
  <si>
    <t>INV13704</t>
  </si>
  <si>
    <t>INV13608</t>
  </si>
  <si>
    <t>INV13590</t>
  </si>
  <si>
    <t>INV13591</t>
  </si>
  <si>
    <t>INV13589</t>
  </si>
  <si>
    <t>INV13571</t>
  </si>
  <si>
    <t>INV13598</t>
  </si>
  <si>
    <t>INV13577</t>
  </si>
  <si>
    <t>INV13615</t>
  </si>
  <si>
    <t>INV13666</t>
  </si>
  <si>
    <t>INV13642</t>
  </si>
  <si>
    <t>INV13607</t>
  </si>
  <si>
    <t>INV13605</t>
  </si>
  <si>
    <t>INV13601</t>
  </si>
  <si>
    <t>INV13600</t>
  </si>
  <si>
    <t>INV13602</t>
  </si>
  <si>
    <t>INV13617</t>
  </si>
  <si>
    <t>INV13614</t>
  </si>
  <si>
    <t>INV13599</t>
  </si>
  <si>
    <t>INV13691</t>
  </si>
  <si>
    <t>INV13692</t>
  </si>
  <si>
    <t>INV13705</t>
  </si>
  <si>
    <t>INV13604</t>
  </si>
  <si>
    <t>INV13630</t>
  </si>
  <si>
    <t>INV13609</t>
  </si>
  <si>
    <t>INV13706</t>
  </si>
  <si>
    <t>INV13610</t>
  </si>
  <si>
    <t>INV13623</t>
  </si>
  <si>
    <t>INV13619</t>
  </si>
  <si>
    <t>INV13618</t>
  </si>
  <si>
    <t>INV13646</t>
  </si>
  <si>
    <t>INV13624</t>
  </si>
  <si>
    <t>INV13627</t>
  </si>
  <si>
    <t>INV13625</t>
  </si>
  <si>
    <t>INV13677</t>
  </si>
  <si>
    <t>INV13621</t>
  </si>
  <si>
    <t>INV13629</t>
  </si>
  <si>
    <t>INV13637</t>
  </si>
  <si>
    <t>INV13620</t>
  </si>
  <si>
    <t>INV13676</t>
  </si>
  <si>
    <t>INV13658</t>
  </si>
  <si>
    <t>INV13648</t>
  </si>
  <si>
    <t>INV13652</t>
  </si>
  <si>
    <t>INV13639</t>
  </si>
  <si>
    <t>INV13640</t>
  </si>
  <si>
    <t>INV13638</t>
  </si>
  <si>
    <t>INV13650</t>
  </si>
  <si>
    <t>INV13653</t>
  </si>
  <si>
    <t>INV13649</t>
  </si>
  <si>
    <t>INV13651</t>
  </si>
  <si>
    <t>INV13693</t>
  </si>
  <si>
    <t>INV13675</t>
  </si>
  <si>
    <t>INV13641</t>
  </si>
  <si>
    <t>INV13654</t>
  </si>
  <si>
    <t>INV13656</t>
  </si>
  <si>
    <t>INV13645</t>
  </si>
  <si>
    <t>INV13657</t>
  </si>
  <si>
    <t>INV13669</t>
  </si>
  <si>
    <t>INV13663</t>
  </si>
  <si>
    <t>INV13695</t>
  </si>
  <si>
    <t>INV13679</t>
  </si>
  <si>
    <t>INV13662</t>
  </si>
  <si>
    <t>INV13694</t>
  </si>
  <si>
    <t>INV13689</t>
  </si>
  <si>
    <t>INV13667</t>
  </si>
  <si>
    <t>INV13698</t>
  </si>
  <si>
    <t>INV13702</t>
  </si>
  <si>
    <t>INV13699</t>
  </si>
  <si>
    <t>INV13697</t>
  </si>
  <si>
    <t>INV13700</t>
  </si>
  <si>
    <t>INV13680</t>
  </si>
  <si>
    <t>INV13703</t>
  </si>
  <si>
    <t>INV13696</t>
  </si>
  <si>
    <t>INV13708</t>
  </si>
  <si>
    <t>INV13707</t>
  </si>
  <si>
    <t>SO</t>
  </si>
  <si>
    <t>Facturas</t>
  </si>
  <si>
    <t>INV</t>
  </si>
  <si>
    <t>Invoice</t>
  </si>
  <si>
    <t>Sent</t>
  </si>
  <si>
    <t>Receivable Invoice</t>
  </si>
  <si>
    <t>Approved</t>
  </si>
  <si>
    <t>Not sent</t>
  </si>
  <si>
    <t>Receivable Credit Note</t>
  </si>
  <si>
    <t>Paid</t>
  </si>
  <si>
    <t>CN-0422</t>
  </si>
  <si>
    <t>[FX]</t>
  </si>
  <si>
    <t>0021256</t>
  </si>
  <si>
    <t>OC00210/PO08325</t>
  </si>
  <si>
    <t>AGREGATEC. SRL</t>
  </si>
  <si>
    <t>INV-0421</t>
  </si>
  <si>
    <t>OC00207/PO08288</t>
  </si>
  <si>
    <t>OC00200/PO08247</t>
  </si>
  <si>
    <t>Warranty Replacement</t>
  </si>
  <si>
    <t>PO08259/PO08259</t>
  </si>
  <si>
    <t>Wajax Limited - Val D'Or</t>
  </si>
  <si>
    <t>OC00181/PO08141</t>
  </si>
  <si>
    <t>Horne</t>
  </si>
  <si>
    <t>OC00206/PO08284</t>
  </si>
  <si>
    <t>OC00208/PO08298</t>
  </si>
  <si>
    <t>OC00211/PO08326</t>
  </si>
  <si>
    <t>PO PONV-25-1788</t>
  </si>
  <si>
    <t>INV13662-1</t>
  </si>
  <si>
    <t>INV13663-1</t>
  </si>
  <si>
    <t>PO10588</t>
  </si>
  <si>
    <t>CN-0416</t>
  </si>
  <si>
    <t>OC00213/PO08332</t>
  </si>
  <si>
    <t>DXP Enterprises, Inc. - Shreveport</t>
  </si>
  <si>
    <t>Receivable Overpayment</t>
  </si>
  <si>
    <t>Eleazar General &amp; Industrial Supplies</t>
  </si>
  <si>
    <t>4560061217</t>
  </si>
  <si>
    <t>Alamos Gold - Young-Davidson Mine</t>
  </si>
  <si>
    <t>INV13556</t>
  </si>
  <si>
    <t>80238</t>
  </si>
  <si>
    <t>IRACORE INTERNATIONAL LLC</t>
  </si>
  <si>
    <t>Wajax Limited - Thunder Bay</t>
  </si>
  <si>
    <t>1052</t>
  </si>
  <si>
    <t>PO1050</t>
  </si>
  <si>
    <t>OC00185/PO08150</t>
  </si>
  <si>
    <t>PO# M-083882</t>
  </si>
  <si>
    <t>OC00191/PO08184</t>
  </si>
  <si>
    <t>OC00184/PO08149</t>
  </si>
  <si>
    <t>Q2 - 2025/2026 sales tax refund</t>
  </si>
  <si>
    <t>Receiver General for Canada</t>
  </si>
  <si>
    <t>INV-0414</t>
  </si>
  <si>
    <t>OC00193/PO08199</t>
  </si>
  <si>
    <t>PO# W50 2083564</t>
  </si>
  <si>
    <t>Northern Star (Pogo) LLC</t>
  </si>
  <si>
    <t>INV13351</t>
  </si>
  <si>
    <t>INV13283-11</t>
  </si>
  <si>
    <t>INV13283-10</t>
  </si>
  <si>
    <t>INV13283-9</t>
  </si>
  <si>
    <t>Motion Industries Inc.</t>
  </si>
  <si>
    <t>INV13283-8</t>
  </si>
  <si>
    <t>INV13283-6</t>
  </si>
  <si>
    <t>1058</t>
  </si>
  <si>
    <t>INV13283-3</t>
  </si>
  <si>
    <t>INV13283-4</t>
  </si>
  <si>
    <t>INV13283-5</t>
  </si>
  <si>
    <t>INV13234-1</t>
  </si>
  <si>
    <t>INV13283-1</t>
  </si>
  <si>
    <t>INV13283-2</t>
  </si>
  <si>
    <t>Motion Industries Inc. (Canada) - North Bay</t>
  </si>
  <si>
    <t>PO#054868-00</t>
  </si>
  <si>
    <t>F H Pumps, Inc</t>
  </si>
  <si>
    <t>OC00165/PO08002</t>
  </si>
  <si>
    <t>Goldcorp Canada Ltd.(Porcupine)</t>
  </si>
  <si>
    <t>INV-0412</t>
  </si>
  <si>
    <t>PO# 5518</t>
  </si>
  <si>
    <t>First Bauxite</t>
  </si>
  <si>
    <t>OC00190/PO08182</t>
  </si>
  <si>
    <t>OC00189/PO08165</t>
  </si>
  <si>
    <t>Motion Industries Inc. (U.S.)-LAFAYETTE</t>
  </si>
  <si>
    <t>1043</t>
  </si>
  <si>
    <t>INV13144</t>
  </si>
  <si>
    <t>1051</t>
  </si>
  <si>
    <t>OC00177 / PO08118</t>
  </si>
  <si>
    <t>OC00180 / PO08136</t>
  </si>
  <si>
    <t>OC00194 / PO08200</t>
  </si>
  <si>
    <t>OC00187 / PO08163</t>
  </si>
  <si>
    <t>S306876 replacement Parts</t>
  </si>
  <si>
    <t>OC00167/PO08027</t>
  </si>
  <si>
    <t>OC00174/PO08071</t>
  </si>
  <si>
    <t>W50 2083564</t>
  </si>
  <si>
    <t>INV13345</t>
  </si>
  <si>
    <t>70300</t>
  </si>
  <si>
    <t>OC00169/PO08034</t>
  </si>
  <si>
    <t>OC00772/PO08065</t>
  </si>
  <si>
    <t>OC00171/PO08051</t>
  </si>
  <si>
    <t>OC00183/PO08146</t>
  </si>
  <si>
    <t>Alamos Gold Inc Island Gold Division</t>
  </si>
  <si>
    <t>Agnico Eagle Mines Ltd.</t>
  </si>
  <si>
    <t>OC00163/PO07992</t>
  </si>
  <si>
    <t>3821c</t>
  </si>
  <si>
    <t>4501238214</t>
  </si>
  <si>
    <t>W502082650</t>
  </si>
  <si>
    <t>INV13202</t>
  </si>
  <si>
    <t>116/25</t>
  </si>
  <si>
    <t>Binemikom d.o.o.</t>
  </si>
  <si>
    <t>INV12979</t>
  </si>
  <si>
    <t>INV13194</t>
  </si>
  <si>
    <t>PO# M-083951</t>
  </si>
  <si>
    <t>1053</t>
  </si>
  <si>
    <t>3245</t>
  </si>
  <si>
    <t>INV13211</t>
  </si>
  <si>
    <t>OC00161/PO07973</t>
  </si>
  <si>
    <t>OC00168/PO08031</t>
  </si>
  <si>
    <t>CN-0410</t>
  </si>
  <si>
    <t>PO# 607030</t>
  </si>
  <si>
    <t>INV13195</t>
  </si>
  <si>
    <t>6961401</t>
  </si>
  <si>
    <t>PO#59484</t>
  </si>
  <si>
    <t>RJEDD/BO/2526/00161 - Spares for Cement Unit</t>
  </si>
  <si>
    <t>S303734 Replacement Parts</t>
  </si>
  <si>
    <t>3577</t>
  </si>
  <si>
    <t xml:space="preserve">SO17293, SO17383, SO17384 </t>
  </si>
  <si>
    <t>MAB15243</t>
  </si>
  <si>
    <t>RJEDD/IPO/2526/00046</t>
  </si>
  <si>
    <t>S305078</t>
  </si>
  <si>
    <t>INV13119</t>
  </si>
  <si>
    <t>OC00164/PO08013</t>
  </si>
  <si>
    <t>OC00160/PO07940</t>
  </si>
  <si>
    <t>PO30914</t>
  </si>
  <si>
    <t>INV13108</t>
  </si>
  <si>
    <t>CN-0408</t>
  </si>
  <si>
    <t>30914</t>
  </si>
  <si>
    <t>CN-0407</t>
  </si>
  <si>
    <t>PO31072</t>
  </si>
  <si>
    <t>Motion Industries Inc. (U.S.) - Huntington</t>
  </si>
  <si>
    <t>7269</t>
  </si>
  <si>
    <t>SO17321/A20250612</t>
  </si>
  <si>
    <t>1019583  -  REV3</t>
  </si>
  <si>
    <t>INV12801</t>
  </si>
  <si>
    <t>Wajax Industrial Components - Témiscaming</t>
  </si>
  <si>
    <t>4500600220</t>
  </si>
  <si>
    <t>054561-00</t>
  </si>
  <si>
    <t>137523</t>
  </si>
  <si>
    <t>BDI Canada Inc.</t>
  </si>
  <si>
    <t>2250165</t>
  </si>
  <si>
    <t>2250529</t>
  </si>
  <si>
    <t>0005905</t>
  </si>
  <si>
    <t>INV13062</t>
  </si>
  <si>
    <t>Motion Industries Inc. (Canada) - Chicoutimi</t>
  </si>
  <si>
    <t>Admin fee - Q1 2025/2026</t>
  </si>
  <si>
    <t>INV-0397</t>
  </si>
  <si>
    <t>Q1 - 2025/2026 sales tax refund</t>
  </si>
  <si>
    <t>INV-0399</t>
  </si>
  <si>
    <t>2517386-250290</t>
  </si>
  <si>
    <t>INV13039</t>
  </si>
  <si>
    <t>P359868</t>
  </si>
  <si>
    <t>S300885</t>
  </si>
  <si>
    <t>INV13034</t>
  </si>
  <si>
    <t>607375</t>
  </si>
  <si>
    <t>INV13038</t>
  </si>
  <si>
    <t>BC78-00050821</t>
  </si>
  <si>
    <t>CN-0394</t>
  </si>
  <si>
    <t>OC00148/PO07863</t>
  </si>
  <si>
    <t>OC00146/PO07859</t>
  </si>
  <si>
    <t>OC00144/PO07841</t>
  </si>
  <si>
    <t>OC00157/PO07915</t>
  </si>
  <si>
    <t>Motion Industries Inc. (U.S.) -Westlake</t>
  </si>
  <si>
    <t>Motion Industries Inc. (U.S.) - Wichita</t>
  </si>
  <si>
    <t>OC00156/PO07912</t>
  </si>
  <si>
    <t>5285</t>
  </si>
  <si>
    <t>PO:7116</t>
  </si>
  <si>
    <t>PO:L63301-DS</t>
  </si>
  <si>
    <t>OC00145/PO07858</t>
  </si>
  <si>
    <t>SO15951</t>
  </si>
  <si>
    <t>PO-040201</t>
  </si>
  <si>
    <t>PO# P-04252593</t>
  </si>
  <si>
    <t>PO# 185850</t>
  </si>
  <si>
    <t>PO# 6951</t>
  </si>
  <si>
    <t>1041</t>
  </si>
  <si>
    <t>INV12907</t>
  </si>
  <si>
    <t>PO007186</t>
  </si>
  <si>
    <t>INV12899</t>
  </si>
  <si>
    <t>POMPA-CA112182</t>
  </si>
  <si>
    <t>4501104593</t>
  </si>
  <si>
    <t>INV12897</t>
  </si>
  <si>
    <t>PO-007673</t>
  </si>
  <si>
    <t>Cory Brown -  Order</t>
  </si>
  <si>
    <t>OC00150/PO07875</t>
  </si>
  <si>
    <t>OC00154/PO07896</t>
  </si>
  <si>
    <t>OC00147/PO07860</t>
  </si>
  <si>
    <t>OC00152/PO07876</t>
  </si>
  <si>
    <t>S302946</t>
  </si>
  <si>
    <t>INV12859</t>
  </si>
  <si>
    <t>OC00155/PO07902</t>
  </si>
  <si>
    <t>S304072</t>
  </si>
  <si>
    <t>INV12858</t>
  </si>
  <si>
    <t>OC00142/PO07819</t>
  </si>
  <si>
    <t>4500772630</t>
  </si>
  <si>
    <t>INV12849</t>
  </si>
  <si>
    <t>INV12850</t>
  </si>
  <si>
    <t>PO: 007750</t>
  </si>
  <si>
    <t>2239680</t>
  </si>
  <si>
    <t>INV12844</t>
  </si>
  <si>
    <t>INV12824/1</t>
  </si>
  <si>
    <t>PO003247</t>
  </si>
  <si>
    <t>1009830</t>
  </si>
  <si>
    <t>INV12820</t>
  </si>
  <si>
    <t>2200055257</t>
  </si>
  <si>
    <t>INV12816</t>
  </si>
  <si>
    <t>Melissa Rosier - PO - Email Confirmation</t>
  </si>
  <si>
    <t>5338202</t>
  </si>
  <si>
    <t>INV12800</t>
  </si>
  <si>
    <t>S303734</t>
  </si>
  <si>
    <t>INV12783</t>
  </si>
  <si>
    <t>4511206745</t>
  </si>
  <si>
    <t>INV12773</t>
  </si>
  <si>
    <t>4511201363</t>
  </si>
  <si>
    <t>INV12770</t>
  </si>
  <si>
    <t>4511277302</t>
  </si>
  <si>
    <t>INV12771</t>
  </si>
  <si>
    <t>4500566968</t>
  </si>
  <si>
    <t>INV12774</t>
  </si>
  <si>
    <t>2903</t>
  </si>
  <si>
    <t>INV12769</t>
  </si>
  <si>
    <t>SO16303</t>
  </si>
  <si>
    <t>INV12745</t>
  </si>
  <si>
    <t>INV12746</t>
  </si>
  <si>
    <t>INV12723</t>
  </si>
  <si>
    <t>RMA # WH/RET/00095</t>
  </si>
  <si>
    <t>RINV/2025/00001</t>
  </si>
  <si>
    <t>PONV-24-5596</t>
  </si>
  <si>
    <t>INV12722</t>
  </si>
  <si>
    <t>P350391</t>
  </si>
  <si>
    <t>Covia Corp - Thompson</t>
  </si>
  <si>
    <t>INV12708</t>
  </si>
  <si>
    <t>PO2051</t>
  </si>
  <si>
    <t>6625</t>
  </si>
  <si>
    <t>INV12711</t>
  </si>
  <si>
    <t>4500574124</t>
  </si>
  <si>
    <t>INV12707</t>
  </si>
  <si>
    <t>OC00138/PO07745</t>
  </si>
  <si>
    <t>INV12691</t>
  </si>
  <si>
    <t>16114</t>
  </si>
  <si>
    <t>Industrial Rigging &amp; Supply Inc.</t>
  </si>
  <si>
    <t>TX70-00281294</t>
  </si>
  <si>
    <t>Motion Industries Inc. (U.S.) - San Antonio</t>
  </si>
  <si>
    <t>INV12690</t>
  </si>
  <si>
    <t>INV-0386</t>
  </si>
  <si>
    <t>INV12688</t>
  </si>
  <si>
    <t>Admin fee - Q4 2024/2025</t>
  </si>
  <si>
    <t>INV-0387</t>
  </si>
  <si>
    <t>SC17-00315866</t>
  </si>
  <si>
    <t>Motion Industries Inc. (U.S.) - Greenville</t>
  </si>
  <si>
    <t>INV-0389</t>
  </si>
  <si>
    <t>Q4 - 2024/2025 sales tax refund</t>
  </si>
  <si>
    <t>INV-0388</t>
  </si>
  <si>
    <t>INV12682</t>
  </si>
  <si>
    <t>4500573654</t>
  </si>
  <si>
    <t>INV12674</t>
  </si>
  <si>
    <t>MB21-00184788</t>
  </si>
  <si>
    <t>INV12679</t>
  </si>
  <si>
    <t>PO-40-1012965</t>
  </si>
  <si>
    <t>INV12661</t>
  </si>
  <si>
    <t>007558</t>
  </si>
  <si>
    <t>INV12663</t>
  </si>
  <si>
    <t>DXP Enterprises, Inc. - Pumping Solutions, Inc. - Ontario California</t>
  </si>
  <si>
    <t>007149</t>
  </si>
  <si>
    <t>INV12666</t>
  </si>
  <si>
    <t>OP-1497253</t>
  </si>
  <si>
    <t>Agnico Eagle Mines Ltd. - Rouyn-Noranda</t>
  </si>
  <si>
    <t>INV12656</t>
  </si>
  <si>
    <t>313587</t>
  </si>
  <si>
    <t>INV12650</t>
  </si>
  <si>
    <t>PO13300</t>
  </si>
  <si>
    <t>PO13024</t>
  </si>
  <si>
    <t>INV12654</t>
  </si>
  <si>
    <t>2100455507</t>
  </si>
  <si>
    <t>INV12660</t>
  </si>
  <si>
    <t>MB21-000182712</t>
  </si>
  <si>
    <t>INV12652</t>
  </si>
  <si>
    <t>40-1013109</t>
  </si>
  <si>
    <t>INV12627</t>
  </si>
  <si>
    <t>INV12630</t>
  </si>
  <si>
    <t>BC65-00079542</t>
  </si>
  <si>
    <t>6500015826</t>
  </si>
  <si>
    <t>INV12621</t>
  </si>
  <si>
    <t>053978-00</t>
  </si>
  <si>
    <t>INV12609</t>
  </si>
  <si>
    <t>OC00128/PO07613</t>
  </si>
  <si>
    <t>INV12608</t>
  </si>
  <si>
    <t>SUD1005970</t>
  </si>
  <si>
    <t>INV12606</t>
  </si>
  <si>
    <t>INV12611</t>
  </si>
  <si>
    <t>P342852</t>
  </si>
  <si>
    <t>Covia Corp - Kermit</t>
  </si>
  <si>
    <t>INV12601</t>
  </si>
  <si>
    <t>INV12598</t>
  </si>
  <si>
    <t>OC00136/PO07743</t>
  </si>
  <si>
    <t>INV12588</t>
  </si>
  <si>
    <t>27397</t>
  </si>
  <si>
    <t>VMI Inc</t>
  </si>
  <si>
    <t>CN-0385</t>
  </si>
  <si>
    <t>PO-007622</t>
  </si>
  <si>
    <t>INV12590</t>
  </si>
  <si>
    <t>INV12521</t>
  </si>
  <si>
    <t>4500949975</t>
  </si>
  <si>
    <t>INV12434</t>
  </si>
  <si>
    <t>4500997662</t>
  </si>
  <si>
    <t>INV12435</t>
  </si>
  <si>
    <t>SO15999</t>
  </si>
  <si>
    <t>L61529-DS</t>
  </si>
  <si>
    <t>INV12583</t>
  </si>
  <si>
    <t>P341916</t>
  </si>
  <si>
    <t>INV12575</t>
  </si>
  <si>
    <t>4500570745</t>
  </si>
  <si>
    <t>INV12571</t>
  </si>
  <si>
    <t>OC00130/PO07626</t>
  </si>
  <si>
    <t>INV12565</t>
  </si>
  <si>
    <t>INV12569</t>
  </si>
  <si>
    <t>WH/RET/00093 (BC78-00050821)</t>
  </si>
  <si>
    <t>CN-0386 - SO15661</t>
  </si>
  <si>
    <t>2100476483</t>
  </si>
  <si>
    <t>INV12560</t>
  </si>
  <si>
    <t>4500990108</t>
  </si>
  <si>
    <t>INV12554</t>
  </si>
  <si>
    <t>4501071483</t>
  </si>
  <si>
    <t>INV12555</t>
  </si>
  <si>
    <t>BC78-00052152</t>
  </si>
  <si>
    <t>INV12552</t>
  </si>
  <si>
    <t>6500016006</t>
  </si>
  <si>
    <t>INV12548</t>
  </si>
  <si>
    <t>4500572704</t>
  </si>
  <si>
    <t>INV12546</t>
  </si>
  <si>
    <t>302752 OP</t>
  </si>
  <si>
    <t>INV12547</t>
  </si>
  <si>
    <t>2100486495</t>
  </si>
  <si>
    <t>INV12542</t>
  </si>
  <si>
    <t>2862</t>
  </si>
  <si>
    <t>INV12532</t>
  </si>
  <si>
    <t>4500560754</t>
  </si>
  <si>
    <t>INV12537</t>
  </si>
  <si>
    <t>2045</t>
  </si>
  <si>
    <t>INV12540</t>
  </si>
  <si>
    <t>SO16308</t>
  </si>
  <si>
    <t>606807</t>
  </si>
  <si>
    <t>INV12531</t>
  </si>
  <si>
    <t>2938</t>
  </si>
  <si>
    <t>INV12534</t>
  </si>
  <si>
    <t>INV12533</t>
  </si>
  <si>
    <t>2242868</t>
  </si>
  <si>
    <t>INV12528</t>
  </si>
  <si>
    <t>2242601</t>
  </si>
  <si>
    <t>INV12527</t>
  </si>
  <si>
    <t>2243160</t>
  </si>
  <si>
    <t>INV12529</t>
  </si>
  <si>
    <t>4510912399</t>
  </si>
  <si>
    <t>INV12517</t>
  </si>
  <si>
    <t>INV12523</t>
  </si>
  <si>
    <t>4500868463</t>
  </si>
  <si>
    <t>INV12525</t>
  </si>
  <si>
    <t>4500559740</t>
  </si>
  <si>
    <t>INV12526</t>
  </si>
  <si>
    <t>4511386064</t>
  </si>
  <si>
    <t>INV12518</t>
  </si>
  <si>
    <t>4500569923</t>
  </si>
  <si>
    <t>INV12522</t>
  </si>
  <si>
    <t>4500865121</t>
  </si>
  <si>
    <t>INV12524</t>
  </si>
  <si>
    <t>INV12520</t>
  </si>
  <si>
    <t>T145614</t>
  </si>
  <si>
    <t>INV12514</t>
  </si>
  <si>
    <t>PONV-24-5338</t>
  </si>
  <si>
    <t>INV12507</t>
  </si>
  <si>
    <t>MTL32619</t>
  </si>
  <si>
    <t>INV12511</t>
  </si>
  <si>
    <t>PO13168</t>
  </si>
  <si>
    <t>INV12510</t>
  </si>
  <si>
    <t>BC65-00079141</t>
  </si>
  <si>
    <t>INV12512</t>
  </si>
  <si>
    <t>4500563436</t>
  </si>
  <si>
    <t>INV12498</t>
  </si>
  <si>
    <t>PO# 071736</t>
  </si>
  <si>
    <t>INV12499</t>
  </si>
  <si>
    <t>4501071218</t>
  </si>
  <si>
    <t>INV12486</t>
  </si>
  <si>
    <t>4501071114</t>
  </si>
  <si>
    <t>INV12487</t>
  </si>
  <si>
    <t>4501071470</t>
  </si>
  <si>
    <t>INV12488</t>
  </si>
  <si>
    <t>4501069783</t>
  </si>
  <si>
    <t>INV12490</t>
  </si>
  <si>
    <t>4501074526</t>
  </si>
  <si>
    <t>INV12489</t>
  </si>
  <si>
    <t>INV12485</t>
  </si>
  <si>
    <t>25-0018</t>
  </si>
  <si>
    <t>INV12484</t>
  </si>
  <si>
    <t>OC00132/PO07635</t>
  </si>
  <si>
    <t>INV12480</t>
  </si>
  <si>
    <t>2100477242</t>
  </si>
  <si>
    <t>INV12483</t>
  </si>
  <si>
    <t>OC00131/PO07634</t>
  </si>
  <si>
    <t>INV12479</t>
  </si>
  <si>
    <t>INV12481</t>
  </si>
  <si>
    <t>INV12482</t>
  </si>
  <si>
    <t>606818</t>
  </si>
  <si>
    <t>INV12478</t>
  </si>
  <si>
    <t>PO-40-1011916</t>
  </si>
  <si>
    <t>INV12477</t>
  </si>
  <si>
    <t>4500552099</t>
  </si>
  <si>
    <t>INV12475</t>
  </si>
  <si>
    <t>4500552508</t>
  </si>
  <si>
    <t>INV12476</t>
  </si>
  <si>
    <t>03R19232</t>
  </si>
  <si>
    <t>INV12474</t>
  </si>
  <si>
    <t>Branding</t>
  </si>
  <si>
    <t>Invoice Sent</t>
  </si>
  <si>
    <t>Source</t>
  </si>
  <si>
    <t>Status</t>
  </si>
  <si>
    <t>Balance (CAD)</t>
  </si>
  <si>
    <t>Payments / Credits (CAD)</t>
  </si>
  <si>
    <t>Tax (CAD)</t>
  </si>
  <si>
    <t>Gross (CAD)</t>
  </si>
  <si>
    <t>Net (CAD)</t>
  </si>
  <si>
    <t>Balance (Source)</t>
  </si>
  <si>
    <t>Payments / Credits (Source)</t>
  </si>
  <si>
    <t>Tax (Source)</t>
  </si>
  <si>
    <t>Gross (Source)</t>
  </si>
  <si>
    <t>Net (Source)</t>
  </si>
  <si>
    <t>Currency Rate</t>
  </si>
  <si>
    <t>Original Currency</t>
  </si>
  <si>
    <t>Created Date</t>
  </si>
  <si>
    <t>Last Payment Date</t>
  </si>
  <si>
    <t>Expected Date</t>
  </si>
  <si>
    <t>Due Date</t>
  </si>
  <si>
    <t>Invoice Date</t>
  </si>
  <si>
    <t>Contact</t>
  </si>
  <si>
    <t>Invoice Number</t>
  </si>
  <si>
    <t>INVStatus</t>
  </si>
  <si>
    <t>PO</t>
  </si>
  <si>
    <t>Client</t>
  </si>
  <si>
    <t>Date Paid</t>
  </si>
  <si>
    <t>SODate</t>
  </si>
  <si>
    <t>Curr</t>
  </si>
  <si>
    <t>Month Created</t>
  </si>
  <si>
    <t>Row Labels</t>
  </si>
  <si>
    <t>Grand Total</t>
  </si>
  <si>
    <t>Average of Tasa de divisa</t>
  </si>
  <si>
    <t>Dif CAD</t>
  </si>
  <si>
    <t>Dif USD</t>
  </si>
  <si>
    <t>Xero CAD</t>
  </si>
  <si>
    <t>Xero USD</t>
  </si>
  <si>
    <t>Values</t>
  </si>
  <si>
    <t>Zero</t>
  </si>
  <si>
    <t>One</t>
  </si>
  <si>
    <t>Publicado</t>
  </si>
  <si>
    <t>Sin pagar</t>
  </si>
  <si>
    <t>SO15589</t>
  </si>
  <si>
    <t>INV12232</t>
  </si>
  <si>
    <t>SO15106</t>
  </si>
  <si>
    <t>INV12304</t>
  </si>
  <si>
    <t>SO15491</t>
  </si>
  <si>
    <t>INV12305</t>
  </si>
  <si>
    <t>SO16105</t>
  </si>
  <si>
    <t>INV12312</t>
  </si>
  <si>
    <t>SO16094</t>
  </si>
  <si>
    <t>INV12317</t>
  </si>
  <si>
    <t>SO16121</t>
  </si>
  <si>
    <t>INV12321</t>
  </si>
  <si>
    <t>SO15811</t>
  </si>
  <si>
    <t>INV12322</t>
  </si>
  <si>
    <t>SO16144</t>
  </si>
  <si>
    <t>INV12344</t>
  </si>
  <si>
    <t>SO16138</t>
  </si>
  <si>
    <t>INV12345</t>
  </si>
  <si>
    <t>SO16116</t>
  </si>
  <si>
    <t>INV12348</t>
  </si>
  <si>
    <t>SO16153</t>
  </si>
  <si>
    <t>INV12349</t>
  </si>
  <si>
    <t>SO15728</t>
  </si>
  <si>
    <t>Thunder Bay Pulp and Paper Inc, Thunder Bay Pulp and Paper Inc</t>
  </si>
  <si>
    <t>INV12357</t>
  </si>
  <si>
    <t>SO16088</t>
  </si>
  <si>
    <t>INV12358</t>
  </si>
  <si>
    <t>SO16166</t>
  </si>
  <si>
    <t>INV12360</t>
  </si>
  <si>
    <t>SO16167</t>
  </si>
  <si>
    <t>INV12361</t>
  </si>
  <si>
    <t>SO15656</t>
  </si>
  <si>
    <t>Covia Corp - Cleburne</t>
  </si>
  <si>
    <t>INV12365</t>
  </si>
  <si>
    <t>SO16125</t>
  </si>
  <si>
    <t>Lake Shore Gold Corp, Dirección de factura</t>
  </si>
  <si>
    <t>INV12369</t>
  </si>
  <si>
    <t>Reversal of: INV12304</t>
  </si>
  <si>
    <t>RINV/2024/00004</t>
  </si>
  <si>
    <t>SO16203</t>
  </si>
  <si>
    <t>INV12377</t>
  </si>
  <si>
    <t>SO16204</t>
  </si>
  <si>
    <t>INV12378</t>
  </si>
  <si>
    <t>SO16224</t>
  </si>
  <si>
    <t>INV12389</t>
  </si>
  <si>
    <t>SO16222</t>
  </si>
  <si>
    <t>INV12390</t>
  </si>
  <si>
    <t>SO16232</t>
  </si>
  <si>
    <t>INV12391</t>
  </si>
  <si>
    <t>SO15582</t>
  </si>
  <si>
    <t>INV12392</t>
  </si>
  <si>
    <t>SO16130</t>
  </si>
  <si>
    <t>INV12393</t>
  </si>
  <si>
    <t>SO16220</t>
  </si>
  <si>
    <t>Windsor Pump Company, Ltd., Windsor Pump Company, Ltd.</t>
  </si>
  <si>
    <t>INV12394</t>
  </si>
  <si>
    <t>SO15856</t>
  </si>
  <si>
    <t>INV12395</t>
  </si>
  <si>
    <t>SO15792</t>
  </si>
  <si>
    <t>INV12396</t>
  </si>
  <si>
    <t>SO16021</t>
  </si>
  <si>
    <t>INV12397</t>
  </si>
  <si>
    <t>SO16226</t>
  </si>
  <si>
    <t>FMI Products, FMI Products</t>
  </si>
  <si>
    <t>INV12399</t>
  </si>
  <si>
    <t>SO15769</t>
  </si>
  <si>
    <t>INV12400</t>
  </si>
  <si>
    <t>SO16073</t>
  </si>
  <si>
    <t>INV12401</t>
  </si>
  <si>
    <t>SO16112</t>
  </si>
  <si>
    <t>INV12402</t>
  </si>
  <si>
    <t>SO16239</t>
  </si>
  <si>
    <t>INV12403</t>
  </si>
  <si>
    <t>SO16249</t>
  </si>
  <si>
    <t>INV12404</t>
  </si>
  <si>
    <t>SO15702</t>
  </si>
  <si>
    <t>INV12405</t>
  </si>
  <si>
    <t>SO15814</t>
  </si>
  <si>
    <t>INV12406</t>
  </si>
  <si>
    <t>SO15790</t>
  </si>
  <si>
    <t>INV12407</t>
  </si>
  <si>
    <t>SO16223</t>
  </si>
  <si>
    <t>Resolute Forest Products - Dolbeau, Resolute Forest Products - Dolbeau</t>
  </si>
  <si>
    <t>INV12409</t>
  </si>
  <si>
    <t>SO16238</t>
  </si>
  <si>
    <t>INV12410</t>
  </si>
  <si>
    <t>SO15960</t>
  </si>
  <si>
    <t>INV12413</t>
  </si>
  <si>
    <t>SO16095</t>
  </si>
  <si>
    <t>DRN Industriel, Dirección de factura</t>
  </si>
  <si>
    <t>INV12414</t>
  </si>
  <si>
    <t>SO15897</t>
  </si>
  <si>
    <t>INV12415</t>
  </si>
  <si>
    <t>SO16188</t>
  </si>
  <si>
    <t>INV12416</t>
  </si>
  <si>
    <t>SO15834</t>
  </si>
  <si>
    <t>INV12417</t>
  </si>
  <si>
    <t>SO16265</t>
  </si>
  <si>
    <t>INV12418</t>
  </si>
  <si>
    <t>SO16260</t>
  </si>
  <si>
    <t>INV12419</t>
  </si>
  <si>
    <t>SO16261</t>
  </si>
  <si>
    <t>INV12420</t>
  </si>
  <si>
    <t>SO15607</t>
  </si>
  <si>
    <t>INV12316</t>
  </si>
  <si>
    <t>SO16274</t>
  </si>
  <si>
    <t>Motion Industries Inc. (U.S.) - Tucson, Motion Industries Inc. (U.S.) - Tucson</t>
  </si>
  <si>
    <t>INV12421</t>
  </si>
  <si>
    <t>INV12422</t>
  </si>
  <si>
    <t>SO16042</t>
  </si>
  <si>
    <t>Wajax Limited - Concord, Invoice Address</t>
  </si>
  <si>
    <t>INV12423</t>
  </si>
  <si>
    <t>SO16216</t>
  </si>
  <si>
    <t>Motion Industries Inc. (Canada) - Quesnel, Motion Industries Canada</t>
  </si>
  <si>
    <t>INV12424</t>
  </si>
  <si>
    <t>SO16148</t>
  </si>
  <si>
    <t>INV12425</t>
  </si>
  <si>
    <t>SO16192</t>
  </si>
  <si>
    <t>INV12426</t>
  </si>
  <si>
    <t>INV12427</t>
  </si>
  <si>
    <t>SO16066</t>
  </si>
  <si>
    <t>INV12428</t>
  </si>
  <si>
    <t>SO16122</t>
  </si>
  <si>
    <t>INV12429</t>
  </si>
  <si>
    <t>SO16133</t>
  </si>
  <si>
    <t>INV12430</t>
  </si>
  <si>
    <t>SO16164</t>
  </si>
  <si>
    <t>INV12431</t>
  </si>
  <si>
    <t>SO16033</t>
  </si>
  <si>
    <t>Cameco Corporation - Blind River Refinery, Cameco Corporation - Blind River Refinery</t>
  </si>
  <si>
    <t>INV12433</t>
  </si>
  <si>
    <t>SO16281</t>
  </si>
  <si>
    <t>INV12461</t>
  </si>
  <si>
    <t>Cancelado</t>
  </si>
  <si>
    <t>SO15453</t>
  </si>
  <si>
    <t>SO15764</t>
  </si>
  <si>
    <t>SO16286</t>
  </si>
  <si>
    <t>INV12436</t>
  </si>
  <si>
    <t>SO16266</t>
  </si>
  <si>
    <t>INV12437</t>
  </si>
  <si>
    <t>SO16180</t>
  </si>
  <si>
    <t>Wesdome Gold Mines Ltd - Eagle River Mine, Wesdome Gold Mines Ltd - Eagle River Mine</t>
  </si>
  <si>
    <t>INV12438</t>
  </si>
  <si>
    <t>SO16217</t>
  </si>
  <si>
    <t>INV12439</t>
  </si>
  <si>
    <t>SO16297</t>
  </si>
  <si>
    <t>INV12440</t>
  </si>
  <si>
    <t>SO15655</t>
  </si>
  <si>
    <t>INV12441</t>
  </si>
  <si>
    <t>SO16228</t>
  </si>
  <si>
    <t>INV12442</t>
  </si>
  <si>
    <t>SO16098</t>
  </si>
  <si>
    <t>INV12443</t>
  </si>
  <si>
    <t>INV12444</t>
  </si>
  <si>
    <t>SO16235</t>
  </si>
  <si>
    <t>INV12445</t>
  </si>
  <si>
    <t>SO15695</t>
  </si>
  <si>
    <t>INV12446</t>
  </si>
  <si>
    <t>INV12447</t>
  </si>
  <si>
    <t>SO16245</t>
  </si>
  <si>
    <t>INV12448</t>
  </si>
  <si>
    <t>SO16272</t>
  </si>
  <si>
    <t>INV12449</t>
  </si>
  <si>
    <t>SO16300</t>
  </si>
  <si>
    <t>INV12450</t>
  </si>
  <si>
    <t>SO16291</t>
  </si>
  <si>
    <t>INV12451</t>
  </si>
  <si>
    <t>SO16015</t>
  </si>
  <si>
    <t>INV12452</t>
  </si>
  <si>
    <t>SO14977</t>
  </si>
  <si>
    <t>INV12290</t>
  </si>
  <si>
    <t>SO15507</t>
  </si>
  <si>
    <t>INV12291</t>
  </si>
  <si>
    <t>SO16277</t>
  </si>
  <si>
    <t>Wajax Limited - Sorel-Tracy, Wajax Limited</t>
  </si>
  <si>
    <t>INV12453</t>
  </si>
  <si>
    <t>INV12454</t>
  </si>
  <si>
    <t>SO16309</t>
  </si>
  <si>
    <t>INV12455</t>
  </si>
  <si>
    <t>SO15755</t>
  </si>
  <si>
    <t>INV12292</t>
  </si>
  <si>
    <t>INV12456</t>
  </si>
  <si>
    <t>SO16320</t>
  </si>
  <si>
    <t>INV12457</t>
  </si>
  <si>
    <t>SO16299</t>
  </si>
  <si>
    <t>INV12458</t>
  </si>
  <si>
    <t>Pagado</t>
  </si>
  <si>
    <t>SO16305</t>
  </si>
  <si>
    <t>Wajax Limited - Valleyfield</t>
  </si>
  <si>
    <t>INV12459</t>
  </si>
  <si>
    <t>SO16322</t>
  </si>
  <si>
    <t>INV12460</t>
  </si>
  <si>
    <t>SO15835</t>
  </si>
  <si>
    <t>INV12462</t>
  </si>
  <si>
    <t>SO16087</t>
  </si>
  <si>
    <t>INV12463</t>
  </si>
  <si>
    <t>SO16311</t>
  </si>
  <si>
    <t>INV12464</t>
  </si>
  <si>
    <t>SO16333</t>
  </si>
  <si>
    <t>INV12465</t>
  </si>
  <si>
    <t>SO16328</t>
  </si>
  <si>
    <t>INV12466</t>
  </si>
  <si>
    <t>SO16013</t>
  </si>
  <si>
    <t>INV12467</t>
  </si>
  <si>
    <t>SO16201</t>
  </si>
  <si>
    <t>INV12468</t>
  </si>
  <si>
    <t>SO16246</t>
  </si>
  <si>
    <t>INV12469</t>
  </si>
  <si>
    <t>SO16263</t>
  </si>
  <si>
    <t>INV12470</t>
  </si>
  <si>
    <t>SO16313</t>
  </si>
  <si>
    <t>INV12471</t>
  </si>
  <si>
    <t>SO16093</t>
  </si>
  <si>
    <t>INV12472</t>
  </si>
  <si>
    <t>SO15713</t>
  </si>
  <si>
    <t>INV12473</t>
  </si>
  <si>
    <t>SO16307</t>
  </si>
  <si>
    <t>SO16334</t>
  </si>
  <si>
    <t>SO16341</t>
  </si>
  <si>
    <t>SO16336</t>
  </si>
  <si>
    <t>SO16340</t>
  </si>
  <si>
    <t>SO16050</t>
  </si>
  <si>
    <t>SO16051</t>
  </si>
  <si>
    <t>SO16298</t>
  </si>
  <si>
    <t>SO16326</t>
  </si>
  <si>
    <t>SO16339</t>
  </si>
  <si>
    <t>SO16150</t>
  </si>
  <si>
    <t>Rueck Company Inc., Dirección de factura</t>
  </si>
  <si>
    <t>SO16327</t>
  </si>
  <si>
    <t>SO16323</t>
  </si>
  <si>
    <t>SO16331</t>
  </si>
  <si>
    <t>SO16345</t>
  </si>
  <si>
    <t>SO16318</t>
  </si>
  <si>
    <t>SO16008</t>
  </si>
  <si>
    <t>SO16315</t>
  </si>
  <si>
    <t>Corrosion Fluid Products Corp., Invoice Address</t>
  </si>
  <si>
    <t>SO16061</t>
  </si>
  <si>
    <t>SO16335</t>
  </si>
  <si>
    <t>SO16252</t>
  </si>
  <si>
    <t>SO16346</t>
  </si>
  <si>
    <t>SO16296</t>
  </si>
  <si>
    <t>SO15531</t>
  </si>
  <si>
    <t>SO16255</t>
  </si>
  <si>
    <t>Cartledge &amp; Associates Inc., Dirección de factura</t>
  </si>
  <si>
    <t>VMI Inc, VMI Inc</t>
  </si>
  <si>
    <t>SO16251</t>
  </si>
  <si>
    <t>SO16173</t>
  </si>
  <si>
    <t>SO16290</t>
  </si>
  <si>
    <t>SO15893</t>
  </si>
  <si>
    <t>SO16284</t>
  </si>
  <si>
    <t>Zijin Mining - Rosebel Goldmines N.V., ROSEBEL GOLD MINES N.V. C/O Bertling Logistics, Inc.</t>
  </si>
  <si>
    <t>SO16319</t>
  </si>
  <si>
    <t>SO16343</t>
  </si>
  <si>
    <t>SO15794</t>
  </si>
  <si>
    <t>SO15964</t>
  </si>
  <si>
    <t>SO16037</t>
  </si>
  <si>
    <t>SO16267</t>
  </si>
  <si>
    <t>Tantalum Mining Corporation of Canada, Tantalum Mining Corporation of Canada</t>
  </si>
  <si>
    <t>SO15908</t>
  </si>
  <si>
    <t>Resolute Forest Products - Alma, Resolute Forest Products - Alma Division</t>
  </si>
  <si>
    <t>SO16288</t>
  </si>
  <si>
    <t>SO16131</t>
  </si>
  <si>
    <t>SO16312</t>
  </si>
  <si>
    <t>SO16134</t>
  </si>
  <si>
    <t>John Brooks Company Limited, John Brooks Company Limited</t>
  </si>
  <si>
    <t>SO16337</t>
  </si>
  <si>
    <t>SO16329</t>
  </si>
  <si>
    <t>SO15700</t>
  </si>
  <si>
    <t>SO16330</t>
  </si>
  <si>
    <t>Allen Bearings &amp; Technologies Ltd., Allen Bearings &amp; Technologies Ltd.</t>
  </si>
  <si>
    <t>Agnico Eagle Mines Ltd. - Rouyn-Noranda, Mines Agnico Eagle Ltée</t>
  </si>
  <si>
    <t>SO16026</t>
  </si>
  <si>
    <t>Wajax Limited - Val D'Or, Wajax Limited - Val D'Or</t>
  </si>
  <si>
    <t>SO16132</t>
  </si>
  <si>
    <t>SO16262</t>
  </si>
  <si>
    <t>Motion Industries Inc. (U.S.) - Lakeland, Motion Industries - AP</t>
  </si>
  <si>
    <t>SO15820</t>
  </si>
  <si>
    <t>Revertido</t>
  </si>
  <si>
    <t>SO15910</t>
  </si>
  <si>
    <t>Gibraltar Mine (Canada), Dirección de factura</t>
  </si>
  <si>
    <t>SO16338</t>
  </si>
  <si>
    <t>SO15819</t>
  </si>
  <si>
    <t>Eleazar General &amp; Industrial Supplies Limited, Eleazar General &amp; Industrial Supplies Limited</t>
  </si>
  <si>
    <t>SO16194</t>
  </si>
  <si>
    <t>SO15996</t>
  </si>
  <si>
    <t>SO16208</t>
  </si>
  <si>
    <t>INV12617</t>
  </si>
  <si>
    <t>D&amp;H Materials Inc, D&amp;H Materials Inc</t>
  </si>
  <si>
    <t>QI Supply Limited, QI Supply Limited</t>
  </si>
  <si>
    <t>Maham LLC, Maham LLC</t>
  </si>
  <si>
    <t>SO15987</t>
  </si>
  <si>
    <t>SO15271</t>
  </si>
  <si>
    <t>SO16174</t>
  </si>
  <si>
    <t>SO16241</t>
  </si>
  <si>
    <t>Progressive Sealing Inc., Progressive Sealing Inc.</t>
  </si>
  <si>
    <t>SO16193</t>
  </si>
  <si>
    <t>Borrador</t>
  </si>
  <si>
    <t>DXP Enterprises, Inc. - Pumping Solutions, Inc. - Hayward California, DXP Enterprises, Inc. - Pumping Solutions, Inc. - Ontario California</t>
  </si>
  <si>
    <t>SO15537</t>
  </si>
  <si>
    <t>SO16342</t>
  </si>
  <si>
    <t>SO16170</t>
  </si>
  <si>
    <t>SO16230</t>
  </si>
  <si>
    <t>SO16016</t>
  </si>
  <si>
    <t>Motion Industries Inc. (U.S.) - San Antonio, Motion Industries Inc.</t>
  </si>
  <si>
    <t>SO16314</t>
  </si>
  <si>
    <t>SO16332</t>
  </si>
  <si>
    <t>First Bauxite Inc., First Bauxite Inc.</t>
  </si>
  <si>
    <t>SO16316</t>
  </si>
  <si>
    <t>SO16344</t>
  </si>
  <si>
    <t>Reversal of: INV12581</t>
  </si>
  <si>
    <t>SO16292</t>
  </si>
  <si>
    <t>Glencore Canada Corporation Closed Sites, Glencore Canada Corporation Closed Sites</t>
  </si>
  <si>
    <t>Motion Industries Inc. (Canada) - Red Deer, Motion Industries Canada</t>
  </si>
  <si>
    <t>SO15939</t>
  </si>
  <si>
    <t>SO16075</t>
  </si>
  <si>
    <t>SO15927</t>
  </si>
  <si>
    <t>SO16141</t>
  </si>
  <si>
    <t>SO15985</t>
  </si>
  <si>
    <t>Tech-Flow, Tech-Flow</t>
  </si>
  <si>
    <t>SO16137</t>
  </si>
  <si>
    <t>Wajax Limited - Lachine, Invoice Address</t>
  </si>
  <si>
    <t>Mertec Engineering, CMP Sales Corp DBA Mertec Engineering</t>
  </si>
  <si>
    <t>/</t>
  </si>
  <si>
    <t>SO15977</t>
  </si>
  <si>
    <t>SO16199</t>
  </si>
  <si>
    <t>Motion Industries Inc. (Canada) - Calgary, Motion Industries Inc. (Canada) - Calgary</t>
  </si>
  <si>
    <t>Mill-Right Mine Services Inc., Mill-Right Mine Services Inc.</t>
  </si>
  <si>
    <t>AGM Inc., AGM Inc</t>
  </si>
  <si>
    <t>Motion Industries Inc. (Canada) - Ottawa, Motion Industries Canada</t>
  </si>
  <si>
    <t>SO16279</t>
  </si>
  <si>
    <t>SO15645</t>
  </si>
  <si>
    <t>Pompaction Inc. - Montreal, Pompaction inc.</t>
  </si>
  <si>
    <t>SO16089</t>
  </si>
  <si>
    <t>Jelena Stojkovic</t>
  </si>
  <si>
    <t>SO16211</t>
  </si>
  <si>
    <t>Motion Industries Inc. (U.S.) - Wichita, Motion Industries, Inc.</t>
  </si>
  <si>
    <t>Algoma Steel Inc., Algoma Steel Inc.</t>
  </si>
  <si>
    <t>Motion Industries Inc. (U.S.) - Westlake, Motion Industries Inc. (U.S.) -Westlake</t>
  </si>
  <si>
    <t>MAB Equipment Company Inc., MAB Equipment</t>
  </si>
  <si>
    <t>SO15954</t>
  </si>
  <si>
    <t>SO15766</t>
  </si>
  <si>
    <t>En proceso de pago</t>
  </si>
  <si>
    <t>BDI Canada Inc - Saskatoon, BDI Canada Inc.</t>
  </si>
  <si>
    <t>TC Industries of Canada Co., Invoice Address</t>
  </si>
  <si>
    <t>Wajax Limited - Témiscaming, Invoice Address</t>
  </si>
  <si>
    <t>Motion Industries Inc. (Canada) - Edmonton, Motion Industries</t>
  </si>
  <si>
    <t>INV13137</t>
  </si>
  <si>
    <t>Middle Georgia Fluid Sealing LLC, Middle Georgia Fluid Sealing LLC</t>
  </si>
  <si>
    <t>SO16287</t>
  </si>
  <si>
    <t>Gerardo Hernandez</t>
  </si>
  <si>
    <t>Stroudsburg Electric Motor Service/BDS, Stroudsburg Electric Motor Service/BDS</t>
  </si>
  <si>
    <t>Cypress Sales Partnership, Dirección de factura</t>
  </si>
  <si>
    <t>RINV/2025/00002</t>
  </si>
  <si>
    <t>SO16108</t>
  </si>
  <si>
    <t>SO15965</t>
  </si>
  <si>
    <t>Wajax Limited - Lachine, Wajax Limited - Lachine</t>
  </si>
  <si>
    <t>Motion Industries Inc. (U.S.) - Lafayette, Motion Industries Inc. (U.S.)-LAFAYETTE</t>
  </si>
  <si>
    <t>Agnico Eagle Mines Ltd. - Cochrane, Agnico Eagle Mines Ltd.</t>
  </si>
  <si>
    <t>INV13283</t>
  </si>
  <si>
    <t>Wajax Limited - Pointe-aux-Trembles, Wajax Industrial Components - Pointe-aux-Tremble</t>
  </si>
  <si>
    <t>SO16090</t>
  </si>
  <si>
    <t>Wajax Limited - Lachine, Wajax Limited</t>
  </si>
  <si>
    <t>Dome Mine Ltd, Dome Mine Ltd</t>
  </si>
  <si>
    <t>Motion Industries Inc. (Canada) - North Bay, Motion Industries Canada - Billing</t>
  </si>
  <si>
    <t>AGM Inc., AGM Inc.</t>
  </si>
  <si>
    <t>Lantic Inc., Lantic Inc.</t>
  </si>
  <si>
    <t>Motion Industries Inc. (U.S.) - Charleston, Motion Industries Inc.</t>
  </si>
  <si>
    <t>INV13457</t>
  </si>
  <si>
    <t>RINV/2025/00003</t>
  </si>
  <si>
    <t>Wajax Limited - Thunder Bay, Wajax Limitée - Comptes fournisseurs</t>
  </si>
  <si>
    <t>Irathane Systems Inc, Irathane Systems Inc</t>
  </si>
  <si>
    <t>SO16253</t>
  </si>
  <si>
    <t>Alamos Gold Inc - Young-Davidson, Alamos Gold - Young-Davidson Mine</t>
  </si>
  <si>
    <t>Resolute Forest Products - Invoice</t>
  </si>
  <si>
    <t>CK Loosbrock USA LLC, CK Loosbrock USA LLC</t>
  </si>
  <si>
    <t>DXP Enterprises, Inc. - Grand Prairie, DXP Enterprises, Inc. - Shreveport</t>
  </si>
  <si>
    <t>Conval Quebec, Dirección de factura</t>
  </si>
  <si>
    <t>DYNAPRO CARIBE SRL</t>
  </si>
  <si>
    <t>Estado</t>
  </si>
  <si>
    <t>Estado de pago</t>
  </si>
  <si>
    <t>Total en divisa firmado</t>
  </si>
  <si>
    <t>Total firmado</t>
  </si>
  <si>
    <t>Impuesto firmado</t>
  </si>
  <si>
    <t>Importe sin impuestos firmado</t>
  </si>
  <si>
    <t>Referencia</t>
  </si>
  <si>
    <t>Origen</t>
  </si>
  <si>
    <t>Fecha de vencimiento</t>
  </si>
  <si>
    <t>Fecha de factura</t>
  </si>
  <si>
    <t>Nombre del partner para mostrar en la factura.</t>
  </si>
  <si>
    <t>Número</t>
  </si>
  <si>
    <t>Odoo CAD</t>
  </si>
  <si>
    <t>Odoo USA</t>
  </si>
  <si>
    <t>Rate 1</t>
  </si>
  <si>
    <t>Rate 2</t>
  </si>
  <si>
    <t>Cant de Fact</t>
  </si>
  <si>
    <t>Month Paid</t>
  </si>
  <si>
    <t>XX</t>
  </si>
  <si>
    <t xml:space="preserve"> Odoo CAD</t>
  </si>
  <si>
    <t xml:space="preserve"> Odoo USA</t>
  </si>
  <si>
    <t xml:space="preserve"> Xero CAD</t>
  </si>
  <si>
    <t xml:space="preserve"> Xero USD</t>
  </si>
  <si>
    <t>SO16380 Total</t>
  </si>
  <si>
    <t>SO16390 Total</t>
  </si>
  <si>
    <t>SO16393 Total</t>
  </si>
  <si>
    <t>SO16438 Total</t>
  </si>
  <si>
    <t>SO16467 Total</t>
  </si>
  <si>
    <t>SO16470 Total</t>
  </si>
  <si>
    <t>SO16476 Total</t>
  </si>
  <si>
    <t>SO16496 Total</t>
  </si>
  <si>
    <t>SO16501 Total</t>
  </si>
  <si>
    <t>SO16513 Total</t>
  </si>
  <si>
    <t>SO16515 Total</t>
  </si>
  <si>
    <t>SO16516 Total</t>
  </si>
  <si>
    <t>SO16522 Total</t>
  </si>
  <si>
    <t>SO16525 Total</t>
  </si>
  <si>
    <t>SO16527 Total</t>
  </si>
  <si>
    <t>SO16531 Total</t>
  </si>
  <si>
    <t>SO16534 Total</t>
  </si>
  <si>
    <t>SO16537 Total</t>
  </si>
  <si>
    <t>SO16544 Total</t>
  </si>
  <si>
    <t>SO16554 Total</t>
  </si>
  <si>
    <t>SO16564 Total</t>
  </si>
  <si>
    <t>SO16570 Total</t>
  </si>
  <si>
    <t>SO16581 Total</t>
  </si>
  <si>
    <t>SO16586 Total</t>
  </si>
  <si>
    <t>SO16612 Total</t>
  </si>
  <si>
    <t>SO16617 Total</t>
  </si>
  <si>
    <t>SO16628 Total</t>
  </si>
  <si>
    <t>SO16630 Total</t>
  </si>
  <si>
    <t>SO16645 Total</t>
  </si>
  <si>
    <t>SO16651 Total</t>
  </si>
  <si>
    <t>SO16658 Total</t>
  </si>
  <si>
    <t>SO16679 Total</t>
  </si>
  <si>
    <t>SO16692 Total</t>
  </si>
  <si>
    <t>SO16693 Total</t>
  </si>
  <si>
    <t>SO16703 Total</t>
  </si>
  <si>
    <t>SO16707 Total</t>
  </si>
  <si>
    <t>SO16711 Total</t>
  </si>
  <si>
    <t>SO16712 Total</t>
  </si>
  <si>
    <t>SO16718 Total</t>
  </si>
  <si>
    <t>SO16733 Total</t>
  </si>
  <si>
    <t>SO16746 Total</t>
  </si>
  <si>
    <t>SO16770 Total</t>
  </si>
  <si>
    <t>SO16783 Total</t>
  </si>
  <si>
    <t>SO16788 Total</t>
  </si>
  <si>
    <t>SO16794 Total</t>
  </si>
  <si>
    <t>SO16798 Total</t>
  </si>
  <si>
    <t>SO16809 Total</t>
  </si>
  <si>
    <t>SO16813 Total</t>
  </si>
  <si>
    <t>SO16834 Total</t>
  </si>
  <si>
    <t>SO16835 Total</t>
  </si>
  <si>
    <t>SO16844 Total</t>
  </si>
  <si>
    <t>SO16848 Total</t>
  </si>
  <si>
    <t>SO16874 Total</t>
  </si>
  <si>
    <t>SO16881 Total</t>
  </si>
  <si>
    <t>SO16888 Total</t>
  </si>
  <si>
    <t>SO16918 Total</t>
  </si>
  <si>
    <t>SO16939 Total</t>
  </si>
  <si>
    <t>SO16948 Total</t>
  </si>
  <si>
    <t>SO16957 Total</t>
  </si>
  <si>
    <t>SO16989 Total</t>
  </si>
  <si>
    <t>SO17017 Total</t>
  </si>
  <si>
    <t>SO17059 Total</t>
  </si>
  <si>
    <t>SO17060 Total</t>
  </si>
  <si>
    <t>SO17086 Total</t>
  </si>
  <si>
    <t>SO17134 Total</t>
  </si>
  <si>
    <t>SO17139 Total</t>
  </si>
  <si>
    <t>SO17146 Total</t>
  </si>
  <si>
    <t>SO17169 Total</t>
  </si>
  <si>
    <t>SO17172 Total</t>
  </si>
  <si>
    <t>SO17201 Total</t>
  </si>
  <si>
    <t>SO17214 Total</t>
  </si>
  <si>
    <t>SO17249 Total</t>
  </si>
  <si>
    <t>SO17253 Total</t>
  </si>
  <si>
    <t>SO17264 Total</t>
  </si>
  <si>
    <t>SO17291 Total</t>
  </si>
  <si>
    <t>SO17293 Total</t>
  </si>
  <si>
    <t>SO17294 Total</t>
  </si>
  <si>
    <t>SO17304 Total</t>
  </si>
  <si>
    <t>SO17321 Total</t>
  </si>
  <si>
    <t>SO17332 Total</t>
  </si>
  <si>
    <t>SO17366 Total</t>
  </si>
  <si>
    <t>SO17367 Total</t>
  </si>
  <si>
    <t>SO17368 Total</t>
  </si>
  <si>
    <t>SO17382 Total</t>
  </si>
  <si>
    <t>SO17384 Total</t>
  </si>
  <si>
    <t>SO17391 Total</t>
  </si>
  <si>
    <t>SO17397 Total</t>
  </si>
  <si>
    <t>SO17410 Total</t>
  </si>
  <si>
    <t>SO17421 Total</t>
  </si>
  <si>
    <t>SO17425 Total</t>
  </si>
  <si>
    <t>SO17430 Total</t>
  </si>
  <si>
    <t>SO17431 Total</t>
  </si>
  <si>
    <t>SO17453 Total</t>
  </si>
  <si>
    <t>SO17456 Total</t>
  </si>
  <si>
    <t>SO17461 Total</t>
  </si>
  <si>
    <t>SO17464 Total</t>
  </si>
  <si>
    <t>SO17477 Total</t>
  </si>
  <si>
    <t>SO17483 Total</t>
  </si>
  <si>
    <t>SO17484 Total</t>
  </si>
  <si>
    <t>SO17488 Total</t>
  </si>
  <si>
    <t>SO17494 Total</t>
  </si>
  <si>
    <t>SO17496 Total</t>
  </si>
  <si>
    <t>SO17506 Total</t>
  </si>
  <si>
    <t>SO17509 Total</t>
  </si>
  <si>
    <t>SO17529 Total</t>
  </si>
  <si>
    <t>SO17531 Total</t>
  </si>
  <si>
    <t>SO17535 Total</t>
  </si>
  <si>
    <t>SO17536 Total</t>
  </si>
  <si>
    <t>SO17564 Total</t>
  </si>
  <si>
    <t>SO17571 Total</t>
  </si>
  <si>
    <t>SO17578 Total</t>
  </si>
  <si>
    <t>SO17597 Total</t>
  </si>
  <si>
    <t>SO17603 Total</t>
  </si>
  <si>
    <t>SO17621 Total</t>
  </si>
  <si>
    <t>SO17625 Total</t>
  </si>
  <si>
    <t>SO17644 Total</t>
  </si>
  <si>
    <t>SO17682 Total</t>
  </si>
  <si>
    <t>SO17696 Total</t>
  </si>
  <si>
    <t>SO17741 Total</t>
  </si>
  <si>
    <t>SO17756 Total</t>
  </si>
  <si>
    <t>SO17759 Total</t>
  </si>
  <si>
    <t>SO17760 Total</t>
  </si>
  <si>
    <t>SO17768 Total</t>
  </si>
  <si>
    <t>SO17769 Total</t>
  </si>
  <si>
    <t>SO17778 Total</t>
  </si>
  <si>
    <t>SO17796 Total</t>
  </si>
  <si>
    <t>SO17806 Total</t>
  </si>
  <si>
    <t>SO17868 Total</t>
  </si>
  <si>
    <t>SO17892 Total</t>
  </si>
  <si>
    <t>SO17899 Total</t>
  </si>
  <si>
    <t>SO17900 Total</t>
  </si>
  <si>
    <t>SO17914 Total</t>
  </si>
  <si>
    <t>SO17926 Total</t>
  </si>
  <si>
    <t>SO17947 Total</t>
  </si>
  <si>
    <t>SO18013 Total</t>
  </si>
  <si>
    <t>SO18057 Total</t>
  </si>
  <si>
    <t>SO18112 Total</t>
  </si>
  <si>
    <t>SO18115 Total</t>
  </si>
  <si>
    <t>SO18180 Total</t>
  </si>
  <si>
    <t>SO18204 Total</t>
  </si>
  <si>
    <t>Len</t>
  </si>
  <si>
    <t>SO 1</t>
  </si>
  <si>
    <t>Yes</t>
  </si>
  <si>
    <t>Pend</t>
  </si>
  <si>
    <t>Freight</t>
  </si>
  <si>
    <t>Fully Paid</t>
  </si>
  <si>
    <t>Two</t>
  </si>
  <si>
    <t>Freight Charged</t>
  </si>
  <si>
    <t>4412</t>
  </si>
  <si>
    <t>INV13714</t>
  </si>
  <si>
    <t>[D-1J2311-14] Suction Cover, 2x3-11, Goulds JC, Frame 1J, High Chrome, OEM# 050387G0001228</t>
  </si>
  <si>
    <t>[AC-98-331-932-501] Shaft Assembly, 5x4-14 SRL-C &amp; 5x5-14 SRL, 1045 Steel</t>
  </si>
  <si>
    <t>INV13716</t>
  </si>
  <si>
    <t>[AC-98-431-799-001] Suction Side Casing, 5x4-14 SRL-C, Cast Iron</t>
  </si>
  <si>
    <t>INV13715</t>
  </si>
  <si>
    <t>Return of sales parts from PO#2223</t>
  </si>
  <si>
    <t>CN-0423</t>
  </si>
  <si>
    <t>[10365/1501] Common base XS500-10, Carbon Steel</t>
  </si>
  <si>
    <t>OC00186/PO08161</t>
  </si>
  <si>
    <t>INV13709</t>
  </si>
  <si>
    <t>[10364/2001] Set of Coupling and Coupling Guard XS500-10, Cast Iron</t>
  </si>
  <si>
    <t>[XS500-710] Horizontal Split Case Pump 24/20, 420SS</t>
  </si>
  <si>
    <t>[W-F111] Premium Slurry Packing (Single Piece), 8/6 F-AH, Kevlar Fiber w/Silicon Core</t>
  </si>
  <si>
    <t>INV13711</t>
  </si>
  <si>
    <t>[D-500S-98B-04/C21] Shaft, 500S-98B, 420SS</t>
  </si>
  <si>
    <t>INV13710</t>
  </si>
  <si>
    <t>CREDIT NOTE FOR UPFRONT PAYMENT DONE TO INVOICE 13662-1</t>
  </si>
  <si>
    <t>[AC-98-432-037-001] Bearing Cylinder Strap (Set of 2), 8x6/10x8 SRL-C, Cast Iron</t>
  </si>
  <si>
    <t>[AC-98-236-104-004] Shaft Sleeve, 8x6-18 &amp; 10x8-21 SRL-C, 420SS Heat Treated, Hardened</t>
  </si>
  <si>
    <t>[AC-98-231-123-501] Gland Side Liner, 8x6-18 SRL-C, Natural Rubber</t>
  </si>
  <si>
    <t>[AC-98-431-651-501] Impeller (Closed), 8x6-18 SRL-C, Natural Rubber</t>
  </si>
  <si>
    <t>[AC-98-231-121-501] Suction Side Plate, 8x6-18 SRL-C, Natural Rubber</t>
  </si>
  <si>
    <t>[AC-98-231-120-501] Suction Side Liner, 8x6-18 SRL-C, Natural Rubber</t>
  </si>
  <si>
    <t>[G-252-821 1101] Impeller, 6x8-22DV, 3405-L, Bronze, 5-Vane</t>
  </si>
  <si>
    <t>[504874] Gland Side Liner, 8x6-18, Denver SRL-C, Natural Rubber</t>
  </si>
  <si>
    <t>[504889] Impeller, 8x6, Denver SRL, Natural Rubber</t>
  </si>
  <si>
    <t>[AC-98-236-104-002] Shaft Sleeve, 8x6-18 &amp; 10X8-21 SRL-C, 316SS</t>
  </si>
  <si>
    <t>[G-67868-211-212 5108] Gasket Material (2 Piece Set), Armstrong Syntheseal N-8090, 16" x 17 3/4"</t>
  </si>
  <si>
    <t>[AC-98-231-116-501] Gland Side Liner, 5x4-14 SRL-C, Natural Rubber</t>
  </si>
  <si>
    <t>[AC-98-231-115-501] Suction Side Liner, 5x4-14 SRL-C, Natural Rubber</t>
  </si>
  <si>
    <t>[AC-98-233-815-001] Half Seal Cage, 5x4/5x5/6x6 SRL &amp; SRL-C, Steel</t>
  </si>
  <si>
    <t>[AC-98-­236-­426-­001] Waterseal Bushing, 6x6-21 SRL-XT, Steel</t>
  </si>
  <si>
    <t>[AC-98-233-992-001] Half Seal Cage, 3x3-10 SRL &amp; SRL-C, Cast Iron</t>
  </si>
  <si>
    <t>[G-76230X 2229] Shaft Sleeve, 13" and 15", 3196 XLT, 316SS</t>
  </si>
  <si>
    <t>[W-SP65041/A05] Back Liner, 65QV-SP, High Chrome</t>
  </si>
  <si>
    <t>[AC-98-131-246-504  AC-52-108-475-009] Deflector (Water Slinger), 3x3-10 SRL/SRL-C, Neoprene/Steel</t>
  </si>
  <si>
    <t>[W-SP65206A/A05] Impeller, 65QV-SP, High Chrome, 5-Vane</t>
  </si>
  <si>
    <t>[G-R196-MKL13] Maintenance Kit, 13", 3196 LTX</t>
  </si>
  <si>
    <t>[WO-2114552-316] Impeller, Worthington 6-FRBH-223, 316SS</t>
  </si>
  <si>
    <t>[G-R100-534 1012] Stuffing Box Cover, 13 ", 3196 LTX, Ductile Iron, Standard Bore, Non-Jacketed</t>
  </si>
  <si>
    <t>[G-91967X 2229] Shaft Sleeve, 3196 LTX, 316SS</t>
  </si>
  <si>
    <t>[G-R76295] Lantern Ring, 3196 LTX, Teflon</t>
  </si>
  <si>
    <t>[G-70782 28 5127] Casing Gasket, 13", 3196 MTX/LTX/XLT, Durlon 8500</t>
  </si>
  <si>
    <t>[AC-98-233-700-001] Bearing Cover Gasket (Inboard &amp; Outboard), 8x6-18 &amp; 10x8-21 SRL-C</t>
  </si>
  <si>
    <t>[AC-98-434-116-501] Gland Side Liner, 12x10-25 SRL-C, Natural Rubber</t>
  </si>
  <si>
    <t>[AC-98-332-251-501] Suction Side Plate, 12x10-25 SRL-C, Natural Rubber</t>
  </si>
  <si>
    <t>[AC-98-434-117-501] Suction Side Liner, 12x10-25 SRL-C, Natural Rubber</t>
  </si>
  <si>
    <t>[AC-98-431-641-501] Impeller (Closed), 10x8-21 SRL-C, Natural Rubber</t>
  </si>
  <si>
    <t>[AC-98-231-136-501] Gland Side Liner, 10x8-21 SRL-C, Natural Rubber</t>
  </si>
  <si>
    <t>[AC-98-231-135-501] Suction Side Plate, 10x8-21 SRL-C, Natural Rubber</t>
  </si>
  <si>
    <t>[AC-98-231-134-501] Suction Side Liner, 10x8-21 SRL-C, Natural Rubber</t>
  </si>
  <si>
    <t>[W-F108H/D21] Piston Ring, Ductile Iron</t>
  </si>
  <si>
    <t>[AC-98-330-289-501] Impeller (Open), 5x5-14 SRL, Natural Rubber</t>
  </si>
  <si>
    <t>[AC-98-231-079-501] Gland Side Liner, 5x5-14 SRL, Natural Rubber</t>
  </si>
  <si>
    <t>[AC-98-231-081-501] Suction Side Liner, 5x5-14 SRL, Natural Rubber</t>
  </si>
  <si>
    <t>[150SV-SP] Vertical Sump Pump, 150SV-SP, High Chrome</t>
  </si>
  <si>
    <t>[10251/0505] Impeller, 12RJHC-8, 316SS</t>
  </si>
  <si>
    <t>[468441/5001] Suction Bowl Bearing, Vertical Turbine Pump, 18DMC 2-Stages, Teflon</t>
  </si>
  <si>
    <t>[10045/5001] Bowl Bearing, 12RJHC-8, Teflon</t>
  </si>
  <si>
    <t>[10046/5001] Suction Bell Bearing, 12RJHC-8, Teflon</t>
  </si>
  <si>
    <t>[W-E028/A05] Expeller, 6/4 E-AH, High Chrome</t>
  </si>
  <si>
    <t>[D-2J15214-14] Suction Cover, 1.5x2-14, Goulds JC Frame 2J, High Chrome, OEM# 050049G0001228</t>
  </si>
  <si>
    <t>[D-1J2311-2] Casing, 2x3-11, Goulds JC, Frame 1J, High Chrome, OEM# 055891G0001228</t>
  </si>
  <si>
    <t>Freight Charged - Covia</t>
  </si>
  <si>
    <t>[W-S30122/S01] Seal Ring, 300 RSL, EPDM Rubber</t>
  </si>
  <si>
    <t>Impeller, HR150, Natural Rubber</t>
  </si>
  <si>
    <t>Back Liner, HR150, Natural Rubber</t>
  </si>
  <si>
    <t>ME-PDCH1990 Case Liner, HR150, Natural Rubber</t>
  </si>
  <si>
    <t>ME-PDCH1988 Inlet Liner, HR150, Natural Rubber</t>
  </si>
  <si>
    <t>[D-500S-98B-03/C21] Wear Ring, 500S-98B, 420SS</t>
  </si>
  <si>
    <t>[SZ-3822790584] Static Seal, Sulzer</t>
  </si>
  <si>
    <t>[SZ-EL1208506M] Deflector, Sulzer</t>
  </si>
  <si>
    <t>Bearing Washer, SM203-640, Carbon Steel</t>
  </si>
  <si>
    <t>Bearing Nut, SM203-640, Carbon Steel</t>
  </si>
  <si>
    <t>[21501008108] O-Ring, SM203-640, item 430.01</t>
  </si>
  <si>
    <t>Screw M6X16, 316SS, SM203-640</t>
  </si>
  <si>
    <t>[17742003151] Roller Bearing, SM203-640</t>
  </si>
  <si>
    <t>[17733615315] Ball Bearing, SM203-640</t>
  </si>
  <si>
    <t>[104046378001] Packing Ring, SM203-640, 316SS</t>
  </si>
  <si>
    <t>[104046387001] Sleeve of protection, SM203-640, 316SS</t>
  </si>
  <si>
    <t>Adjustment Sleeve(DE), 316SS, SM203-640</t>
  </si>
  <si>
    <t>Stud M24x160 (Gland), Carbon Steel, SM203-640</t>
  </si>
  <si>
    <t>[21703015008] O-Ring, SM203-640, item 430</t>
  </si>
  <si>
    <t>Screw M16X14, SM203-640</t>
  </si>
  <si>
    <t>Nut M12 (Gland), SM203-640</t>
  </si>
  <si>
    <t>Key 20x125 (Impeller), SM203-640</t>
  </si>
  <si>
    <t>[104061065002] Lantern Ring, SM203-640</t>
  </si>
  <si>
    <t>Gland, item 330, Sulzer SM203-640</t>
  </si>
  <si>
    <t>[104049442001] Sleeve of protection (Packing), SM203-640, 316SS</t>
  </si>
  <si>
    <t>[104049446001] Sleeve of protection (Packing), SM203-640, 316SS</t>
  </si>
  <si>
    <t>[104088166003] Sleeve of protection, SM203-640, 316SS</t>
  </si>
  <si>
    <t>[104085725202] Impeller Wear Ring, SM203-640, 316SS</t>
  </si>
  <si>
    <t>[104083471002] Fixed Wear Ring, SM203-640, 316SS</t>
  </si>
  <si>
    <t>[104081872203] Shaft, SM203-640, 316SS</t>
  </si>
  <si>
    <t>[104081867006] Impeller, SM203-640, 316SS</t>
  </si>
  <si>
    <t>[W-FH4110/A05] Volute Liner, 6/4 F-HH, High Chrome</t>
  </si>
  <si>
    <t>[W-R067/C02] Neck Ring, 300 RSL, Ni-Resist</t>
  </si>
  <si>
    <t>[G-R104-707 1216] Stuffing Box Cover, 13", 3196 XLT, CD4MCu, Standard Bore, Non-Jacketed</t>
  </si>
  <si>
    <t>[G-254-50 1216] Casing, 6x8-13, 3196 XLT, CD4MCu</t>
  </si>
  <si>
    <t>[G-73705X 2229] Shaft Sleeve, 3196 MTX, 316SS</t>
  </si>
  <si>
    <t>[AC-98-431-882-501] Gland Side Casing, 2x2-10 SRL, Cast Iron</t>
  </si>
  <si>
    <t>[G-00-737-851-110] Sight Glass (Press-In), PWO Frame 2</t>
  </si>
  <si>
    <t>[AC-98-130-366-001] Shaft Sleeve, PWO Frame 1, 316SS</t>
  </si>
  <si>
    <t>[AC-98-431-884-001] Suction Side Casing, 2x2-10 SRL, Cast Iron</t>
  </si>
  <si>
    <t>[W-E089-10/S10] Bearing Seal Ring, 6/4 &amp; 8/6 E-AH or 150 to 300 Type L, Natural Rubber</t>
  </si>
  <si>
    <t>[W-E108/G01] Piston Ring, 6/4 or 8/6 E-AH and 10/8 FF-AH</t>
  </si>
  <si>
    <t>[W-E025] End Cover Shim Set, 6/4 or 8/6 E-AH</t>
  </si>
  <si>
    <t>[D-500S-98B-20/E05] Key, 500S-98B, C28x160, 1045 Steel</t>
  </si>
  <si>
    <t>[10253/1001] Intermediate Bowl, 12RJHC-8, Ductile Iron</t>
  </si>
  <si>
    <t>[10275/0505] Drive Shaft &amp; Coupling, 18BHC-1, 316SS</t>
  </si>
  <si>
    <t>[DC-MS000021] Mechanical Seal, Dynapro Vertical Turbine, 12RJHC-8, A20</t>
  </si>
  <si>
    <t>[G-1.5x2-14-JC-HC] Pump, 1.5x2-14, Dynapro DC, Frame 2J, High Chrome</t>
  </si>
  <si>
    <t>[D-WE1J-8] Stuffing Box Cover, Goulds JC, Frame 1J, High Chrome, OEM# 048945G0001228</t>
  </si>
  <si>
    <t>[D-2J15214-6] Suction Cover Liner, 1.5x2-14, Goulds JC Frame 2J, High Chrome, OEM# 048938G0001228</t>
  </si>
  <si>
    <t>[D-2J15214-2] Casing, 1.5x2-14, Goulds JC, Frame 2J, High Chrome, OEM# 055892G0001228</t>
  </si>
  <si>
    <t>Voided</t>
  </si>
  <si>
    <t>Down payment of 100.0%</t>
  </si>
  <si>
    <t>CN-0417</t>
  </si>
  <si>
    <t>[D1J2311-6] Suction Cover Liner, 2x3-11, Goulds JC, Frame 1J, High Chrome, OEM# 048940G0001228</t>
  </si>
  <si>
    <t>Deleted</t>
  </si>
  <si>
    <t>INV-0420</t>
  </si>
  <si>
    <t>[NSK-22318EAE4  or FAG 22318 EAS M C3  or SKF 22318CC/W33, AC-00-813-261-541] Roller Bearing (Outboard), 8x6-18 &amp; 10x8-21 SRL-C</t>
  </si>
  <si>
    <t>[NSK-22218EAE4, AC-00-813-261-537] Roller Bearing (Inboard), 8x6-18 &amp; 10x8-21 SRL-C</t>
  </si>
  <si>
    <t>[RX-ES40] Coupling, ES40, Rexnord Omega, Elastomeric</t>
  </si>
  <si>
    <t>[MBK400350-S625] PoxyBlock Motor Mounting Blocks, ANSI (A90, A100, A110, A120), 14.50" Centerline</t>
  </si>
  <si>
    <t>[P398] Baseplate, P398, PoxyBase Frame Mounted, Black Zanite, ANSI Group 3</t>
  </si>
  <si>
    <t>[D07090A 3201 - KIT-GUARD-XLTX-B] Coupling Guard, 3196 XLTX, Base #398, Frame 444T to 449T/TS, Fabricated Steel, Drum Style</t>
  </si>
  <si>
    <t>[D-196 8x10-15G XLT CD4MCu] Pump D-196 XLTX 8x10-15G All CD4MCu</t>
  </si>
  <si>
    <t>[SA-013733-M2] Wear Disc, 44 WFR, Sala STGVA-180, High Chrome</t>
  </si>
  <si>
    <t>[JC-SCS-13/4-5610-MTX-SB] Single Cartridge Seal, 1 3/4", D-196 MTX, Standard Bore, Carbon vs Silicon Carbide, 316SS Gland w/Aflas Elastomers</t>
  </si>
  <si>
    <t>Sump Pump, W-Series, 100RV-SPR, Natural Rubber, 1500mm Column</t>
  </si>
  <si>
    <t>UPFRONT PAYMENT</t>
  </si>
  <si>
    <t>DOWN PAYMENT OF 100%</t>
  </si>
  <si>
    <t>Shaft, 500S-35, 4340 Steel</t>
  </si>
  <si>
    <t>[G-R104-435 2229] Shaft (Sleeve Type), 3196 STX, 316SS</t>
  </si>
  <si>
    <t>[AC-98-331-931-801] Bearing Cylinder, 5x4-14 SRL-C, Cast Iron</t>
  </si>
  <si>
    <t>[AC-52-050-313-000] Shim Kit, Allis Chalmers CSO, Frame F4D1/F4B5</t>
  </si>
  <si>
    <t>[G-RD04540AA 1216] Bearing Frame, 3196 MTX, CD4MCu, Includes Sight Glass and Plugs</t>
  </si>
  <si>
    <t>[G-P1600M0S00 X050 1204] Power End, 3196 MTX, Oil Lubed, Alloy 20 Solid Shaft (Less Sleeve), Oil Lubed</t>
  </si>
  <si>
    <t>[G-R104-731 2230] Shaft (Less Sleeve), 3196 MTX, Alloy 20</t>
  </si>
  <si>
    <t>[G-262-92 1216] Frame Adapter, 7" or 8", 3196 MTX, CD4MCu</t>
  </si>
  <si>
    <t>[G-R100-788 1204] Stuffing Box Cover, 7" &amp; 8", 3196 MTX, Alloy 20, Standard Bore, Non-Jacketed</t>
  </si>
  <si>
    <t>[G-0100-165 1204] Impeller, 3x4-8G, 3196 MTX, Alloy 20, 5-Vane</t>
  </si>
  <si>
    <t>[G-247-45 1204] Casing, 3x4-8G, 3196 MTX, Alloy 20</t>
  </si>
  <si>
    <t>[AC-98-331-910-801] Bearing Cylinder, 8x6-18 &amp; 10x8-21 SRL-C, Cast Iron</t>
  </si>
  <si>
    <t>[W-SP25092/A05] Casing, 250SV-SP, High Chrome</t>
  </si>
  <si>
    <t>[W-DH2125/R55] Volute Frame Seal, 150SV-SP, Natural Rubber</t>
  </si>
  <si>
    <t>[W-SP15204/R55] Discharge Pipe Gasket, 150SV-SP, Natural Rubber</t>
  </si>
  <si>
    <t>[W-SP15206A/A05] Impeller, 150SV-SP, High Chrome</t>
  </si>
  <si>
    <t>[W-SP15092/A05] Casing w/Flange, 150SV-SP, High Chrome</t>
  </si>
  <si>
    <t>[D-2001408-2507] Impeller Wear Ring, 10JKH/M, 5.12x5.48x0.88, Duplex SS 2507 w/Ion Nitriding</t>
  </si>
  <si>
    <t>[D-500S-35-IMP-CD4] Impeller, 500S-35, CD4MCu</t>
  </si>
  <si>
    <t>[AC-98-233-993-001] Water Seal Bushing, 3x3-10 SRL-C, Cast Iron</t>
  </si>
  <si>
    <t>[SA-134422-1] Gland, Sala STHM-33WFR, Cast Iron</t>
  </si>
  <si>
    <t>[G-R104-733 2238] Shaft (Sleeve Type), 3196 MTX, 4140</t>
  </si>
  <si>
    <t>[AC-98-330-286-501] Impeller (Open), 3x3-10 SRL, Natural Rubber</t>
  </si>
  <si>
    <t>[AC-98-233-700-003] Bearing End Cover Gasket, 3x3-10 SRL &amp; SRL-C</t>
  </si>
  <si>
    <t>[AC-98-330-307-501] Impeller (Closed), 3x3-10 SRL-C, Natural Rubber</t>
  </si>
  <si>
    <t>[AC-98-231-108-501] Suction Side Liner, 3x3-10 SRL-C, Natural Rubber</t>
  </si>
  <si>
    <t>[AC-98-331-958-804] Shaft Sleeve, 3x3-10 SRL, Steel</t>
  </si>
  <si>
    <t>[AC-98-236-245-002] Premium Slurry Packing (5 Piece Set), 3x3-10 SRL and SRL-C, Kevlar Fiber w/Silicon Core</t>
  </si>
  <si>
    <t>[G-RD04540AA 1001] Bearing Frame, 3196 MTX, Cast Iron, Includes Sight Glass and Plugs</t>
  </si>
  <si>
    <t>[OLPWZ011009B, G-A04951A222] Bearing Isolator (Inboard), 3196 XLT/XLTi, 303SS Rotor / Bronze Stator w/Viton</t>
  </si>
  <si>
    <t>[AC-98-431-849-001] Suction Side Casing, 3x3-10 SRL, Cast Iron</t>
  </si>
  <si>
    <t>[G-D02451A 1012] Casing, 2x3-13, 3196 MTX, Ductile Iron</t>
  </si>
  <si>
    <t>[DAE-339, DE-521017] O-Ring (Sleeve), 10x8-21 Denver SRL-C, Buna</t>
  </si>
  <si>
    <t>[DE-503455] Lantern Ring, 8x6-18 &amp; 10x8-21 SRL-C, Denver, 316SS</t>
  </si>
  <si>
    <t>[DE-503541] Shaft Sleeve, Denver, 8x6-18 &amp; 10x8-21 SRL-C, 316SS</t>
  </si>
  <si>
    <t>[GA-15DELSLV] Valve (Sleeve), 1.5" G-Series VSP, Delta Series, Natural Rubber</t>
  </si>
  <si>
    <t>[GA-20DELSLV] Valve (Sleeve), 2" G-Series VSP, Delta Series, Natural Rubber</t>
  </si>
  <si>
    <t>[W-QV064/S10] Impeller Sealing O-Ring, 65QV-SP, Nitrile</t>
  </si>
  <si>
    <t>[W-SP65125/R55] Casing Seal, 65QV-SP, Natural Rubber</t>
  </si>
  <si>
    <t>[GO351-9607-NSN, G-70782 49 5127] Casing Gasket, 15", 3196 XLT</t>
  </si>
  <si>
    <t>[W-D3110/A05] Volute Liner, 4/3 C or D-AH, High Chrome</t>
  </si>
  <si>
    <t>[W-M200482D-1] Bearing Isolator (Drive End), 650 MCR, 200mm</t>
  </si>
  <si>
    <t>[W-FAHF6056QU1/A05] Impeller, 6" E, EE or F-AHF, 4VOG, Flow Inducer, High Chrome</t>
  </si>
  <si>
    <t xml:space="preserve">SO17778 - customer's PO # 10588 shipping expenses refund </t>
  </si>
  <si>
    <t>[G-D04872A 1000] Thrust Bearing Housing, 3196 MTX, Cast Iron</t>
  </si>
  <si>
    <t>[G-B02092A 1001] Frame Foot, 3196 MTX, 8.25" Centerline</t>
  </si>
  <si>
    <t>[DU-MY49112A130-CD4] Impeller, 3x2-13, Durco Mark 2&amp;3 Group 2, CD4MCu, Reverse Vane</t>
  </si>
  <si>
    <t>[DU-SA3210AA00-TFR] Impeller Gasket, Durco Mark 2&amp;3 Group 2, Teflon/Rubber</t>
  </si>
  <si>
    <t>[G-249-61 1216] Casing, 2x3-10, 3196 MTX, CD4MCu</t>
  </si>
  <si>
    <t>[OLPWZ011214B, DU-AY55122A-BZV] Bearing Isolator (Inboard), Durco Mark 3 Group 1, 303SS Rotor / Bronze Stator w/Viton</t>
  </si>
  <si>
    <t>[DU-AY51803A-TFR] Impeller Gasket, Durco Mark 3 Group 1, Teflon/Rubber</t>
  </si>
  <si>
    <t>[152 BUNA, DU-AY50971E-NBR] Bearing Carrier O-Ring, Durco Mark 3 Group 1, Buna-N</t>
  </si>
  <si>
    <t>[REM - W 06, G-8910-0006] Bearing Lock Washer, Steel</t>
  </si>
  <si>
    <t>[G-102-828 1001] Thrust Bearing End Cover, 3196 XLT, Cast Iron</t>
  </si>
  <si>
    <t>[G-D04871A 1001] Thrust Bearing Housing, 3196 XLT, Cast Iron</t>
  </si>
  <si>
    <t>[G-259-84 1216] Impeller, 10x12-18, 3175-M, CD4MCu</t>
  </si>
  <si>
    <t>[52-108-475-015] Deflector (Inboard), Allis-Chalmers PWO, Group 3</t>
  </si>
  <si>
    <t>[G-262-93 1013] Frame Adapter, 10", 3196 MTX/LTX, Ductile Iron</t>
  </si>
  <si>
    <t>[SKF-34886, G-8690-23660] Oil Seal (Inboard), 8x6-18 &amp; 10x8-21 SRL-C</t>
  </si>
  <si>
    <t>[SKF-33700, G-8690-10164] Oil Seal (Outboard), 8x6-18 &amp; 10x8-21 SRL-C</t>
  </si>
  <si>
    <t>[AC-98-8618-HC7] Suction Side Plate Gasket, 8x6-18 SRL-C, Rubber, 3-Piece Design</t>
  </si>
  <si>
    <t>[AC-98-8618-HC6] Stuffing Box Casing Gasket, 8x6-18 SRL-C, Rubber, 3-Piece Design</t>
  </si>
  <si>
    <t>[AC-98-233-733-513] Deflector (Water Slinger), 8x6-18 &amp; 10x8-21 SRL-C, Neoprene/Steel</t>
  </si>
  <si>
    <t>[DU-MY50798A62-CD4] Impeller, 1.5x1-62, Durco Mark 3 Group 1, CD4MCu, Reverse Vane</t>
  </si>
  <si>
    <t>[AC-98-130-367-001] Shaft Sleeve, PWO Frame 2, 316SS</t>
  </si>
  <si>
    <t>[AC-98-232-857-801] Shim Set, A-C PWO-C Group 1, Plastic</t>
  </si>
  <si>
    <t>Impeller, Worthington 14-FRBH-183, 316SS</t>
  </si>
  <si>
    <t>[GB276] Single Row Radial Ball Bearing 6322, XS500-710</t>
  </si>
  <si>
    <t>[B1205I-76-110-03] Bearing Cover, XS500-710, HT250</t>
  </si>
  <si>
    <t>[B1205I-76-110-05] End Cover, XS500-710, Carbon Steel</t>
  </si>
  <si>
    <t>[G-76772X 2229] Shaft Sleeve, 3196 STX, 316SS</t>
  </si>
  <si>
    <t>[AC-98-431-768-501] Shaft Assembly, 8x6-18 SRL-C, 1045 Steel</t>
  </si>
  <si>
    <t>[D-TAG2X4] Dynapro Pump Tag, 2" x 4"</t>
  </si>
  <si>
    <t>[DU-AY38913AA-316] Shaft Sleeve, Durco Mark 2&amp;3 Group 2, 316SS</t>
  </si>
  <si>
    <t>[SA-115473-1] Spacer (Outer), Sala VSP 3 &amp; 4, Steel</t>
  </si>
  <si>
    <t>[G-R196-MKS8] Maintenance Kit, 8", 3196 STX</t>
  </si>
  <si>
    <t>[W-S239M/C21] Release Collar Assembly, 10/8 to 14/12 ST-AH, 420SS, Metric</t>
  </si>
  <si>
    <t>[G-0C01360A 1203] Flush Gland, 3196 STX, 316SS, Big Bore</t>
  </si>
  <si>
    <t>[AC-52-430-298-006] Seal Cage (Lantern Ring), Allis Chalmers PWO, Group 2</t>
  </si>
  <si>
    <t>[AC-98-331-595-806] Stuffing Box Cover, 17", PWO, Frame 2, 317L</t>
  </si>
  <si>
    <t>[AC-98-236-257-501] Packing Gland (2 Half/Set), Allis Chalmers PWO, Group 2, 316SS</t>
  </si>
  <si>
    <t>[G-R100-111 1012] Stuffing Box Cover, 7" &amp; 8", 3196 MTX, Ductile Iron, Standard Bore, Non-Jacketed</t>
  </si>
  <si>
    <t>[G-71224-1001] Casing Wear Ring 3405-M, 4x6-17G, Cast Iron</t>
  </si>
  <si>
    <t>[G-D08717A03 6241] Labyrinth Seal (Outboard), 3196 MTX, Carbon Teflon</t>
  </si>
  <si>
    <t>[W-B073M/E05] Shaft, 1.5/1 or 2/1.5 B-AH, 1045 Steel, Metric</t>
  </si>
  <si>
    <t>[AC-52-127-508-001] Casing Wear Ring,  Allis Chalmers 9100-M Series 14x10-20L, Bronze</t>
  </si>
  <si>
    <t>[028-Teflon, G-C02495A28 6359] Impeller O-Ring, 3196 MTX, Teflon</t>
  </si>
  <si>
    <t>[AC-52-430-298-007] Seal Cage (Lantern Ring), Allis Chalmers PWO, Group 3</t>
  </si>
  <si>
    <t>[CR11138, G-8690-93353] Bearing Seal (Outboard), 2x2-10 SRL, Neoprene/Steel</t>
  </si>
  <si>
    <t>[Alternate OEM P/N: 567428-PS, SA-14007-M4] Shaft, 22/33/44 WFR, Sala STGVA-180, 1045 Steel</t>
  </si>
  <si>
    <t>[SA-138414-M1] Inlet Door, Sala VT50, Natural Rubber</t>
  </si>
  <si>
    <t>[SA-234602-M1] Impeller, VT50, Natural Rubber</t>
  </si>
  <si>
    <t>[SA-138413-M1] Casing, Sala 2", SPV, VT50, Rubber Lined</t>
  </si>
  <si>
    <t>[W-U111-TEFKVSC-PIECE] Premium Slurry Packing (Single Piece), 20/18 U-AH, PTFE Lubricated Kevlar w/Silicon Core</t>
  </si>
  <si>
    <t>[GA-17359] Suction Side Liner, 3x4 G-Series Vacseal Horizontal, Natural Rubber</t>
  </si>
  <si>
    <t>[GA-17370] Gland Side Liner, 3x4 G-Series Vacseal Horizontal, Natural Rubber</t>
  </si>
  <si>
    <t>[GA-16983] Impeller, 3x4 G-Series Vacseal Horizontal, Natural Rubber</t>
  </si>
  <si>
    <t>[D-196 LF 1.5x3-13 LTX DI/316] Pump, 1.5x3-13, D-196 Low-Flow LTX, Ductile Iron w/316SS Impeller</t>
  </si>
  <si>
    <t>[G-R175MKM18] Maintenance Kit, 18", 3175-M</t>
  </si>
  <si>
    <t>[W-RV10154L/C41-CC] Discharge Pipe, 100ZJL-RV, 1800mm, 316L-SS, Ceramic Coated</t>
  </si>
  <si>
    <t>[37230] Sleeve Bearing (Bowl), ThorPlas-Blue, HPCW</t>
  </si>
  <si>
    <t>10JKM, 6-Vane Impeller, CD4] Impeller, 10JKM, Double Keyed, w/Wear Ring</t>
  </si>
  <si>
    <t>[D-2001407-2507] Bowl Wear Ring, 10JKH/M, 05.50x05.88x0.88, Duplex SS 2507 w/Ion Nitriding</t>
  </si>
  <si>
    <t>[W-RV10005L/0512] Bearing Assembly, 100ZJL-RV, 316L-SS Bearing Cylinder, 1800mm 316SS Shaft</t>
  </si>
  <si>
    <t>[37231] Sleeve Bearing (Suction Bell), ThorPlas-Blue, HPCW</t>
  </si>
  <si>
    <t>[37229] Sleeve Bearing (Stuffing Box), ThorPlas-Blue, HPCW</t>
  </si>
  <si>
    <t>Back Pullout, Worthington FRBH, Frame 2, 316SS</t>
  </si>
  <si>
    <t>[G-B00294A 6956] Shaft Sleeve, 3175-S, 316SS, Ni-Chrome Boron</t>
  </si>
  <si>
    <t>[CR16084, G-8690-93760] Bearing Seal, 3x3-10 SRL &amp; SRL-C (Outboard) &amp; 2x2-10 (Inboard), Neoprene/Steel</t>
  </si>
  <si>
    <t>[SKF 6306, G-8050-30660] Bearing (Inboard &amp; Outboard), 2X2-10 SRL, Steel</t>
  </si>
  <si>
    <t>[AC-98-234-109-001] Sleeve Spacer, 2x2-10 SRL, Steel</t>
  </si>
  <si>
    <t>[AC-98-331-958-823] Shaft Sleeve, 2x2-10 SRL, 420SS Heat Treated, Hardened</t>
  </si>
  <si>
    <t>[AC-98-5414-HC6] Stuffing Box Gasket, 5x4-14 SRL-C, Rubber, 3-Piece Design</t>
  </si>
  <si>
    <t>[AC-98-5414-HC7] Suction Side Plate Gasket, 5x4-14 SRL-C, Rubber, 3-Piece Design</t>
  </si>
  <si>
    <t>[WO-9090140-183] Impeller Nut, Worthington, 8FRBH152 316SS</t>
  </si>
  <si>
    <t>[G-R104-731 2229] Shaft (Less Sleeve), 3196 MTX, 316SS</t>
  </si>
  <si>
    <t>overpayment</t>
  </si>
  <si>
    <t>[G-0D02490A02 1216] Impeller, 8x10-13, 3196 XLT, CD4MCu, 5-Vane</t>
  </si>
  <si>
    <t>[AC-98-330-286-503] Impeller (Open), 3x3-10 SRL, Neoprene</t>
  </si>
  <si>
    <t>[AC-98-232-857-802] Shim Set, A-C PWO-C Group 2, Plastic</t>
  </si>
  <si>
    <t>Credit on PO 0303 PATTERN 1 $ 989.50 $ 989.50
We received a 50% advance payment for PO0303 in December 2023, amounting to $989.50. As the project has been closed and the order cancelled, the amount of $989.50 will be
applied as a credit against future orders.</t>
  </si>
  <si>
    <t>CN-FK5</t>
  </si>
  <si>
    <t>[AC-52-217-769-504] Rear Wear Plate, 10x8-17, Allis Chalmers CW, High Chrome</t>
  </si>
  <si>
    <t>[W-F075/C21] Shaft Sleeve, 8/6 F-AH, 420SS Heat Treated, Hardened</t>
  </si>
  <si>
    <t>[W-F6041/A05] Frame Plate Liner Insert, 8/6 E, F or R-AH, High Chrome</t>
  </si>
  <si>
    <t>[W-F6083/A05] Throatbush, 8/6 E, F or R-AH, High Chrome</t>
  </si>
  <si>
    <t>[W-F6110/A05] Volute Liner, 8/6 E, F or R-AH, High Chrome</t>
  </si>
  <si>
    <t>[W-F6147/A05] Impeller, 8/6 E, F or R-AH, High Chrome</t>
  </si>
  <si>
    <t>[W-S30060/S01] Intake Joint Ring, 300 RSL, EPDM</t>
  </si>
  <si>
    <t>[W-R109/S50] Shaft O-Ring, 300 RSL, Viton</t>
  </si>
  <si>
    <t>[W-E10026M/E62] Liner Stud w/Nut, 8/6 E-AH, Metric</t>
  </si>
  <si>
    <t>[W-G122/S01] Seal Ring, 10/8 to 14/12, EPDM Rubber</t>
  </si>
  <si>
    <t>[W-G10124/S01] Volute Liner Seal, 12/10 F, G or ST-AH, EPDM</t>
  </si>
  <si>
    <t>[W-G109/S50] Shaft Seal O-Ring, 10/8 to 14/12, Viton</t>
  </si>
  <si>
    <t>[W-G029/A05] Expeller Ring, 10/8 to 14/12, High Chrome</t>
  </si>
  <si>
    <t>[W-G067/C23] Neck Ring, 10/8 to 14/12</t>
  </si>
  <si>
    <t>[W-F062-10/D81] Labyrinth, 8/6 to 14/12 F-AH, Zinc Plated</t>
  </si>
  <si>
    <t>[W-S30124/S01] Volute Liner Seal, 300 RSL, EPDM</t>
  </si>
  <si>
    <t>[W-E4132H/S01] Discharge Joint Ring, 6/4 F-HH, EPDM</t>
  </si>
  <si>
    <t>[W-E044/C23] Gland Split w/Bolt &amp; Nut, 6/4 or 8/6 E-AH, 316SS</t>
  </si>
  <si>
    <t>[AC-98-232-892-006] Casing, 8x6-17, PWO, 316SS</t>
  </si>
  <si>
    <t>[AC-98-233-979-003] Sleeve Washer (Impeller), 5x5/5x4/6x6 SRL &amp; SRL-C</t>
  </si>
  <si>
    <t>[AC-98-233-700-002] Bearing Cover Gasket (Inboard &amp; Outboard), 5x4/5x5/6x6 SRL &amp; SRL-C</t>
  </si>
  <si>
    <t>[SKF-22340] Bearing Seal (Inboard &amp; Outboard), 5x4-14 SRL/SRL-C, 6x6-15 SRL</t>
  </si>
  <si>
    <t>[AC-98-131-246-511] Deflector (Water Slinger), 5x5/5x4/6x6 SRL &amp; SRL-C, Neoprene/Steel</t>
  </si>
  <si>
    <t>[22312 EAE4C3, G-8061-62312] Bearing (Outboard), 5x4-14 SRL/SRL-C &amp; 6x6-15 SRL, Steel</t>
  </si>
  <si>
    <t>[22212 EAE4C3, G-8061-22212] Bearing (Inboard), 5x4-14 SRL/SRL-C &amp; 6x6-15 SRL, Steel</t>
  </si>
  <si>
    <t>[AC-98-331-958-831] Shaft Sleeve, 5x4/5x5/6X6 SRL-C &amp; SRL, 420SS Heat Treated, Hardened</t>
  </si>
  <si>
    <t>[AC-98-431-676-501] Gland Side Casing, 10x8-21 SRL-C, Cast Iron</t>
  </si>
  <si>
    <t>[G-R100-788 1216] Stuffing Box Cover, 7" &amp; 8", 3196 MTX, CD4MCu, Standard Bore, Non-Jacketed</t>
  </si>
  <si>
    <t>[G-0100-163 1216] Impeller, 3x4-8, 3196 MTX, CD4MCu, 4-Vane</t>
  </si>
  <si>
    <t>[W-D3041/A05] Frame Plate Liner Insert, 4/3 C or D-AH, High Chrome</t>
  </si>
  <si>
    <t>[AC-98-234-271-001] Waterseal Bushing, 3x3 SRL-C, 316SS</t>
  </si>
  <si>
    <t>[SA-57396] Casing, Sala VT40, Natural Rubber</t>
  </si>
  <si>
    <t>[AC-52-118-634-007] Deflector (Water Slinger), 12x10-25 SRL-C, Neoprene/Steel</t>
  </si>
  <si>
    <t>[AC-98-130-364-006] Bearing Cover Gasket (Inboard), 12x10-25 SRL-C</t>
  </si>
  <si>
    <t>[AC-98-039-047-501] Impeller (Closed), 5x4-14 SRL-C, Natural Rubber</t>
  </si>
  <si>
    <t>[AC-98-236-245-003] Premium Slurry Packing (5 Piece Set), 5x4/5x5/6x6 SRL &amp; SRL-C, Kevlar Fiber w/Silicon Core</t>
  </si>
  <si>
    <t>[AC-98-233-346-807] Stuffing Box Cover, 14", PWO, Frame 1, 316SS</t>
  </si>
  <si>
    <t>[52-231-883-001 52-110-878-001(aluminum version), AC-98-131-579-501] Slinger Assembly, PWO Frame 1, Oil</t>
  </si>
  <si>
    <t>[G-101-26 1216] Suction Cover, 6x8-13, 3171-L, CD4MCu</t>
  </si>
  <si>
    <t>[G-243-90 1216] Impeller, 6x8-13, 3171-L, CD4MCu</t>
  </si>
  <si>
    <t>[G-D06611A 3201] Coupling Guard, 3196 STX, Fabricated Steel, Drum Style</t>
  </si>
  <si>
    <t>[AC-52-431-816-007] Casing Gasket, 10",  Allis Chalmers CSO</t>
  </si>
  <si>
    <t>[W-G045M/C23] Gland Bolt w/Nut &amp; Washer, 10/8 to 14/12</t>
  </si>
  <si>
    <t>[AC-98-200-038-501] Bearing Cylinder Assembly, 5x4 SRL, 1045 Steel Shaft</t>
  </si>
  <si>
    <t>[AC-98-431-577-501] Frame, 14", Allis Chalmers PWO, Frame A1, Oil-Lubed, Cast Iron</t>
  </si>
  <si>
    <t>[10SVR50] Repair Stacker Kit, Goulds 10SV, 5-Stage, Stainless Steel</t>
  </si>
  <si>
    <t>[W-Q009D-1, TIM H913849  BDI $188] Bearing (Drive End), 65QV-SP</t>
  </si>
  <si>
    <t>[W-Q009.  SKF NU313ECM BDI $331.40, FAG - NU313E.M1.C3  $275.53] Bearing, 65QV-SP</t>
  </si>
  <si>
    <t>[W-SPR65041/S42] Back Liner, 65QV-SPR, Neoprene</t>
  </si>
  <si>
    <t>[W-SPR65206A/S42] Impeller, 65QV-SPR, Neoprene</t>
  </si>
  <si>
    <t>[W-SPR65092/S42] Casing, 65QV-SPR, Neoprene</t>
  </si>
  <si>
    <t>[W-SPR65116L/S44] Lower Strainer, 65QV-SPR, Neoprene</t>
  </si>
  <si>
    <t>[W-SPR65116/S44] Upper Strainer, 65QV-SPR, Neoprene</t>
  </si>
  <si>
    <t>[W-SV024L-1/HT200] Lower End Cover, 150SV-SP or 200SV-SP, Cast Iron</t>
  </si>
  <si>
    <t>[AC-98-332-134-802] Side Plate, 12x10-21, PWO, 316SS</t>
  </si>
  <si>
    <t>[AC-98-431-743-501] Shaft Assembly, 10x8-21 SRL-C, 1045 Steel</t>
  </si>
  <si>
    <t>[AC-52-107-413-001] Oil Slinger Collar, Allis Chalmers CW, Steel</t>
  </si>
  <si>
    <t>[AC-52-108-076-001] Packing Base Ring, 10x8-17, Allis-Chalmers CW, Cast Iron</t>
  </si>
  <si>
    <t>[AC-52-214-515-501] Packing Gland, Allis-Chalmers CW &amp; PWO, F6E2 Frame, Cast Iron</t>
  </si>
  <si>
    <t>[AC-52-105-597-001] Suction Wear Plate Gasket, 10x8-17, Allis-Chalmers CW</t>
  </si>
  <si>
    <t>[AC-52-108-832-011] Rear Wear Plate Gasket, 10x8-17, Allis-Chalmers CW, For Stuffing Box Cover</t>
  </si>
  <si>
    <t>[AC-52-431-816-031] Casing Gasket, 12x10-17, Allis Chalmers CW</t>
  </si>
  <si>
    <t>[GA-27769] Impeller, G-Series 2.5" VSP, 1000 Series, 316SS</t>
  </si>
  <si>
    <t>[AC-98-235-087-806] Fastener Kit (Suction Side Liner), 12x10-25 SRL C</t>
  </si>
  <si>
    <t>[W-SL30083M/A05] Throatbush, 300 RSL, High Chrome</t>
  </si>
  <si>
    <t>[W-G10060/S01] Intake Joint Ring, 12/10 F, G or ST-AH, EPDM</t>
  </si>
  <si>
    <t>[W-FH4041M/A05] Frame Plate Liner Insert, 6/4 F-HH, High Chrome</t>
  </si>
  <si>
    <t>[W-E4132L/S01] Discharge Joint Ring, 6/4 D or E-AH, EPDM Rubber</t>
  </si>
  <si>
    <t>[W-G8124/S01] Volute Liner Seal, 10/8 ST, FF or F-AH, EPDM Rubber</t>
  </si>
  <si>
    <t>[G-056185G180 1228] Casing, 4x6-14, Goulds JC, Frame 3J, High Chrome, OEM# 056185G1801228</t>
  </si>
  <si>
    <t>[AC-98-233-404-001] Shaft Sleeve, 10x8-21 SRL-C (Old Style), Steel</t>
  </si>
  <si>
    <t>[W-F6147/R55] Impeller, 8/6 E, F or R-AH, Natural Rubber</t>
  </si>
  <si>
    <t>[AC-98-431-614-007] Impeller, 6x3-14, PWO, 317SS</t>
  </si>
  <si>
    <t>[AC-98-530-742-501] Impeller (Closed),12x10-25 SRL-C, Natural Rubber</t>
  </si>
  <si>
    <t>[AC-52-226-071-229] Impeller, 3x2.5-9, Allis Chalmers 2000 Series, Cast Iron</t>
  </si>
  <si>
    <t>[G-B00296A 6956] Shaft Sleeve, 3175-L, 316SS, Ni-Chrome Boron</t>
  </si>
  <si>
    <t>[M74-140] Mechanical Seal, XS500-710</t>
  </si>
  <si>
    <t>[M48x200MM 8.8GR] Throatbush Set Screw - Pusher, 650 MCR</t>
  </si>
  <si>
    <t>[029V, G-C02495A029 5304] Shaft Sleeve O-Ring, 3x3-10 SRL, Viton</t>
  </si>
  <si>
    <t>[G-70782 81 5117] Casing Gasket, 6", 3196 STX, Teflon</t>
  </si>
  <si>
    <t>[AC-98-431-743-503] Shaft, 10x8-21 SRL-C, 316SS</t>
  </si>
  <si>
    <t>[AC-98-233-732-001] Waterseal Bushing, 8x6-18 &amp; 10x8-21 SRL-C, Steel</t>
  </si>
  <si>
    <t>[AC-98-233-731-001] Half Seal Cage, 8x6-18 &amp; 10x8-21 SRL-C,  Steel</t>
  </si>
  <si>
    <t>[AN18] Bearing Lock Nut, 8x6-18 &amp; 10x8-21 SRL-C, Steel</t>
  </si>
  <si>
    <t>[W18] Bearing Lock Washer, 8x6-18 &amp; 10x8-21 SRL-C, Steel</t>
  </si>
  <si>
    <t>[AC-98-234-268-001-SS] Waterseal Bushing, 5x4/5x5/6x6 SRL, 316SS</t>
  </si>
  <si>
    <t>[AC-98-236-360-501] Gland Assembly, 8x6-18 &amp; 10x8-21 SRL-C, 316SS</t>
  </si>
  <si>
    <t>[AC-98-234-265-001] Waterseal Bushing, 8x6-18 &amp; 10x8-21 SRL-C, 316SS</t>
  </si>
  <si>
    <t>[AC-52-108-475-013] Deflector (Outboard), Allis-Chalmers PWO, Group 2</t>
  </si>
  <si>
    <t>[AC-52-108-475-012] Deflector (Inboard), Allis-Chalmers PWO, Group 2</t>
  </si>
  <si>
    <t>[SA-013733-M1] Wear Disc, 44 WFR, Sala STGVA-180, Steel, Rubber Lined</t>
  </si>
  <si>
    <t>[SA-013826-1] Shaft Sleeve, Sala STGVA-33-WFR, Steel</t>
  </si>
  <si>
    <t>[GA-556540] Impeller, G-Series 6" VSP, 8100 Series, High Chrome</t>
  </si>
  <si>
    <t>[AC-SRL 2x2-10] Pump, AC-SRL 2x2-10, Natural Rubber Lined, Motor Mounting Plate, Belt Guard</t>
  </si>
  <si>
    <t>[AC-98-231-134-507] Suction Side Liner, 10x8-21 SRL-C, Urethane</t>
  </si>
  <si>
    <t>[G-C02495A032 5302] Shaft Sleeve O-Ring, 5x4-14 SRL-C, Buna</t>
  </si>
  <si>
    <t>[G-67868-205-206 5108] Gasket Material, Garlock 3000, 1/64" Thick, 24" x 36"</t>
  </si>
  <si>
    <t>[AC-98-530-477-006] Impeller, 10x8-17, PWO, 317SS</t>
  </si>
  <si>
    <t>[SA-573563PS-329] Casing Cover, Sala STHM 5x4, 329SS</t>
  </si>
  <si>
    <t>[M&amp;N # 75] Impeller, 12x10-17, PWO, 4-Vane, 316SS</t>
  </si>
  <si>
    <t>[AC-98-236-245-004] Premium Slurry Packing (5 Piece Set), 8x6-18 &amp; 10x8-21 SRL-C, Kevlar Fiber w/Silicon Core</t>
  </si>
  <si>
    <t>[AC-98-236-256-501] Gland Assembly, 5x4-14 SRL-C, 316SS</t>
  </si>
  <si>
    <t>[10JKM, 6-Vane Impeller, CD4] Impeller, 10JKM, Double Keyed, w/Wear Ring</t>
  </si>
  <si>
    <t>[G-D04872A 1216] Thrust Bearing Housing, 3196 MTX, CD4MCu</t>
  </si>
  <si>
    <t>[W-D111] Premium Slurry Packing (Single Piece), 4/3 or 6/4 DH, Kevlar Fiber w/Silicon Core</t>
  </si>
  <si>
    <t>[GA-20442] Discharge Pipe, 60", G-Series 2.5" VSP, 1000 Series, Rubber Lined Inside</t>
  </si>
  <si>
    <t>[DE-503628] Bearing Assembly, 10x8-21 SRL-C, Denver</t>
  </si>
  <si>
    <t>AM-HH200C21-11] Gasket, Casing, DW-AE8/6-21W, Aramid Fiber</t>
  </si>
  <si>
    <t>[AM-HH200C21-SBLT] Synchronous Belt, VCM-405H, DW-AE8/6-21W</t>
  </si>
  <si>
    <t>[AM-HH200C21-BLT] Diesel Engine Belt, QSC8.3-C260, DW-AE8/6-21W</t>
  </si>
  <si>
    <t>[D-2001416-174PH] Hex-Head Socket Cap Screw, 10JKH/M, 0.31-18NCx0.750, 17-4PH SS</t>
  </si>
  <si>
    <t>[D-2001417-CD4] Bell,10JKH/M, BW-FLG-STD-STEP-CUT_NR, CD4MCu</t>
  </si>
  <si>
    <t>[2-432V700 (black)] O-Ring, 10JKH/M, 5.38IDx0.25RD, Viton</t>
  </si>
  <si>
    <t>[D-2001414-2507] Key (Square), 10JKH/M, 0.38x1.13LG, Duplex SS 2507</t>
  </si>
  <si>
    <t>[10JKH, 7-Vane Impeller, CD4MCu] Impeller, 10JKH, Double Keyed, w/Wear Ring</t>
  </si>
  <si>
    <t>[D-2001434-CD4] Bowl (Top),10JKH/M, CD4MCu</t>
  </si>
  <si>
    <t>[D-2001405-CD4] Bowl,10JKH/M, BW-INT-STEP-NO-SL-SP, CD4MCu</t>
  </si>
  <si>
    <t>[AC-52-214-728-003] Packing Gland, Allis Chalmers CSO, Frame F4B3/F4B5/F4D1, 316SS</t>
  </si>
  <si>
    <t>[OLPWZ011003B, G-A04951A216] Bearing Isolator (Inboard), 3196 STX/STi, 303SS Rotor / Bronze Stator w/Viton</t>
  </si>
  <si>
    <t>[AC-52-319-367-100] Impeller, 3x1.5-8.5, Allis Chalmers CSO, 316SS</t>
  </si>
  <si>
    <t>[D-2J3411-12] Impeller, 3x4-11, Goulds JC, Frame 2J, CD4MCu, OEM# 056185G4201247</t>
  </si>
  <si>
    <t>Misc Payment Q.I. SUPPLY LTD</t>
  </si>
  <si>
    <t>[D-PE1J-100] Power End, Goulds JC, Frame 1J, Grease-Lubed, SKF Bearings, 4140 Steel Shaft</t>
  </si>
  <si>
    <t>[GA-24043] Casing, G-Series 2.5" VSP, 1000 Series, Urethane</t>
  </si>
  <si>
    <t>[GA-25237] Cover Plate, G-Series 2.5" VSP, 1000 Series, Urethane</t>
  </si>
  <si>
    <t>[GA-23965] Impeller, G-Series 2.5" VSP, 1000 Series, Urethane</t>
  </si>
  <si>
    <t>[DU-DY21855A/CBS-CD4] Rear Cover, 13", Durco Mark 2&amp;3 Group 2, CD4MCu, Small Bore</t>
  </si>
  <si>
    <t>[AC-52-423-692-016] Stuffing Box Cover, 11", CSO F4D1, 317SS</t>
  </si>
  <si>
    <t>[SH675] Submersible Sewage Pump D-SS, SH675</t>
  </si>
  <si>
    <t>[JC-SCS-1 3/4-4610-MT-SB] Single Cartridge Seal, 1 3/4", D-196 MT, Standard Bore, Carbon vs Silicon Carbide 316SS Gland</t>
  </si>
  <si>
    <t>[AC-98-037-796-501] Impeller (Open), 6x6-15 AC SRL, Natural Rubber</t>
  </si>
  <si>
    <t>[AC-52-118-013-001] Shaft Sleeve, Allis Chalmers 2000 Series, 316SS</t>
  </si>
  <si>
    <t>[W-2/1.5BAH] Pump, W-Series 2/1.5 B-AH, High Chrome, Gland Seal</t>
  </si>
  <si>
    <t>[SA-11177-M1] Casing, Type C, Natural Rubber Lined, VASA G 253-3</t>
  </si>
  <si>
    <t>[SA-128456-M1] Inlet, Open, Sala VT80, Natural Rubber</t>
  </si>
  <si>
    <t>[SA-10237M1] Impeller, Sala Vasa G 253-3, Natural Rubber</t>
  </si>
  <si>
    <t>M&amp;E adjustment (50% of HST)</t>
  </si>
  <si>
    <t>Lease adjustment (Non-deductible HST on auto leases)</t>
  </si>
  <si>
    <t>Sales tax</t>
  </si>
  <si>
    <t>[W-E109/S50] Shaft Sleeve O-Ring, 6/4 E-AH or 8/6 E,R or F-AH, Viton</t>
  </si>
  <si>
    <t>[W-E4147/R55] Impeller, 6/4 DH, Natural Rubber</t>
  </si>
  <si>
    <t>[W-E4083/R55] Throatbush, 6/4 DH, Natural Rubber</t>
  </si>
  <si>
    <t>[G-RD04573A01 1216] Stuffing Box Cover, 17", 3196 X17, CD4MCu, Standard Bore, Non-Jacketed</t>
  </si>
  <si>
    <t>[W-G8083M/R55] Throatbush, 10/8 G, ST, FF or F-AH, Natural Rubber, Metric</t>
  </si>
  <si>
    <t>[W-G8060/S01] Intake Joint Ring, 10/8 ST, FF or F-AH, EPDM Rubber</t>
  </si>
  <si>
    <t>[G-R238-33 2249] Shaft, 3405-L, Steel</t>
  </si>
  <si>
    <t>[G-R72489 6956] Shaft Sleeve, 3405-L, Ni-Chrome Boron On 316SS, Locking</t>
  </si>
  <si>
    <t>Pump, W-Series, 250 FF-MCU, Hyperchrome</t>
  </si>
  <si>
    <t>[GA-25131] Cap Nut, 3/8", G-Series VSP, 5000 Series, Neoprene Covered</t>
  </si>
  <si>
    <t>[GA-19228] Cap Nut, 5/8", G-Series VSP, 5000 Series, Neoprene Covered</t>
  </si>
  <si>
    <t>[SKF-15004 or 63x646, GA-05537] Lip Seal (Upper), G-Series 1.5" or 2" VSP, 5000 Series, #1 Drive</t>
  </si>
  <si>
    <t>[SKF-26190 or 63x1939, GA-05515] Lip Seal (Lower), G-Series 1.5" or 2" VSP, 5000 Series, #1 Drive</t>
  </si>
  <si>
    <t>[GA-22041] Roller Bearing, G-Series 1.5", 5100 Series, Bearing Frame Size 1</t>
  </si>
  <si>
    <t>[462-902A1-462D] Lower Bearing, 1.5" VSP, 5100 Series, Drive #1</t>
  </si>
  <si>
    <t>[AC-98-332-013-806] Fastener Kit (Gland and/or Suction Side Liner), 3x3/5x4/5x5</t>
  </si>
  <si>
    <t>[AC-98-332-013-811] Fastener Kit (Suction Side Liner), 5x4-14 SRL-C or 6x6-15 SRL</t>
  </si>
  <si>
    <t>[D-196S2x3-64W-1] Pump, 2x3-6, D-196 STX, All WCB w/CD4 Impeller</t>
  </si>
  <si>
    <t>INV-0413</t>
  </si>
  <si>
    <t>[GA-21288] Shaft, 48", G-Series 3.5" VSP, 1000 Series, Steel</t>
  </si>
  <si>
    <t>[GA-22702] Impeller, G-Series 3.5" VSP, High Chrome</t>
  </si>
  <si>
    <t>[DE-503508] Pedestal, 8x6-18 &amp; 10x8-21 Denver SRL-C, Cast Iron</t>
  </si>
  <si>
    <t>[AC-98-234-274-001] Waterseal Bushing, 3x3-10 SRL, 316SS, Open Style</t>
  </si>
  <si>
    <t>[AC-98-331-983-801] Bearing Cylinder, 3x3-10 SRL &amp; SRL-C, Cast Iron</t>
  </si>
  <si>
    <t>[AC-98-5414-HC5] Stuffing Box, 5x4-14 SRL-C, Cast Iron, 3-Piece Design</t>
  </si>
  <si>
    <t>Freight Charged - DPM</t>
  </si>
  <si>
    <t>[W-RV10073G/E05] Shaft, 100RV-SP, 1200mm, 1045 Steel</t>
  </si>
  <si>
    <t>[FS58979M4] Single Cartridge Mechanical Seal, 1 7/8", VBRB3, Big Bore, Carbon vs Silicon Carbide, TFEP, A276 Bellows, 316SS</t>
  </si>
  <si>
    <t>[D-III 1.5x1-82 G1 CD4] Pump, 1.5x1-82, D-III Mark 3 Group 1, All CD4MCu</t>
  </si>
  <si>
    <t>[G-104-557 1216] Casing, 1.5x3-8, 3196 STX, CD4MCu</t>
  </si>
  <si>
    <t>[G-249-65 1216] Casing, 3x4-13, 3196 MTX, CD4MCu</t>
  </si>
  <si>
    <t>[AC-98-5414-HC1] Volute Casing, 5x4-14 SRL-C, High Chrome, 3-Piece Design</t>
  </si>
  <si>
    <t>[AC-98-231-070-501] Gland Side Liner, 3x3-10 SRL, Natural Rubber</t>
  </si>
  <si>
    <t>[52-321-237-100] Impeller, 2x1-10, Allis-Chalmers CSO, 317SS</t>
  </si>
  <si>
    <t>[G-75752 1203] Shaft Sleeve, 3175-L, 316SS</t>
  </si>
  <si>
    <t>[AC-98-332-015-815] Fastener Kit (Suction Side Plate), 8x6-18 SRL-C</t>
  </si>
  <si>
    <t>[AC-98-332-015-808] Fastener Kit (Gland Side Liner), 8x6-18 &amp; 10x8-21 SRL-C</t>
  </si>
  <si>
    <t>[AC-98-233-733-514] Deflector (Water Slinger), 2x2-10 SRL, Neoprene/Steel</t>
  </si>
  <si>
    <t>[SA-128214-1] Inlet, Sala VS150, High Chrome</t>
  </si>
  <si>
    <t>[571638] Casing, Sala VS150, High Chrome</t>
  </si>
  <si>
    <t>[SA-202316-M1] Impeller (Agitator), Sala VS150, High Chrome</t>
  </si>
  <si>
    <t>[W-C117/C21] Shaft Spacer, 3/2 C-AH, 420SS</t>
  </si>
  <si>
    <t>[SA-14707-M1] Shaft End, Sala Vasa G-335-4, 4140 Steel</t>
  </si>
  <si>
    <t>[SA-115292-M1] Casing, Sala VS80, High Chrome</t>
  </si>
  <si>
    <t>[Alternate P/N 567453] Impeller, Sala VS50, Chlorobutyl Rubber</t>
  </si>
  <si>
    <t>[5200-3/8IN] Packing, 3/8" x 3/8", Expanded Graphite, PTFE, 12.5 lbs. Spool</t>
  </si>
  <si>
    <t>[Alternate P/N 567426, SA-013732-1 , 100518-1] Gland Side Casing, Sala STHM-33-WFR, Cast Iron</t>
  </si>
  <si>
    <t>[AC-98-333-030-010] Shaft Sleeve, 16x14-34 SRL-C, 420SS Heat Treated, Hardened</t>
  </si>
  <si>
    <t>[AC-98-234-674-001] Shaft Sleeve, 16x14-34 SRL, Carbon Steel</t>
  </si>
  <si>
    <t>[SKF - 49251 - 53x2894  - #7144*LPD, G-8690-71440] Oil Seal (Outboard), 10x10-28 SRL- XT or 16x14-34 SRL-C, Neoprene/Steel</t>
  </si>
  <si>
    <t>[98-235-364-001] Seal Cage, 16x14-34 SRL-C, Low Dillusion, 1045 Steel</t>
  </si>
  <si>
    <t>[AC-98-236-018-001] Seal Cage, 10x10-28 SRL-XT, 1045 Steel, Low Dillusion</t>
  </si>
  <si>
    <t>[AC-98-236-197-002] Shaft Sleeve, 10x10-28 SRL-XT, 420SS Heat Treated, Hardened</t>
  </si>
  <si>
    <t>[AC-98-331-958-822] Shaft Sleeve, 3x3-10 SRL &amp; SRL-C, 420SS Heat Treated, Hardened</t>
  </si>
  <si>
    <t>[AC-98-431-651-507] Impeller (Closed), 8x6-18 SRL-C, Urethane</t>
  </si>
  <si>
    <t>Barrick overpayment</t>
  </si>
  <si>
    <t>spend money</t>
  </si>
  <si>
    <t>[W-DAM078HS1/D21] Stuffing Box (High-Seal), 6/4 D-AH, Ductile Iron</t>
  </si>
  <si>
    <t>[G-70782 82 5127] Casing Gasket, 8", 3196 STX, Durlon 8500</t>
  </si>
  <si>
    <t>[OLPWZ011006B, G-A04951A219] Bearing Isolator (Outboard), 3196 MTX/MTi, 303SS Rotor / Bronze Stator w/Viton</t>
  </si>
  <si>
    <t>[OLPWZ011005B, G-A04951A218] Bearing Isolator (Inboard), 3196 MTX/MTi, 303SS Rotor / Bronze Stator w/Viton</t>
  </si>
  <si>
    <t>[DU-CY21693AB-BBC8] Shaft (Solid), 3x2-8, Durco Mark 2 Group 2, 1144 Material w/BBC8 Sleeve</t>
  </si>
  <si>
    <t>[SKF or NSK 6309, G-8050-30960] Bearing (Inboard), 3196 and 3996 MTX Deep Groove, Single Row</t>
  </si>
  <si>
    <t>[SKF or NSK 3309 BTNC3, G-8049-30900] Bearing (Outboard), 3196 MTX, Deep Groove, Double Row</t>
  </si>
  <si>
    <t>[G-70782 29 5117] Casing Gasket, 10", 3196 MTX, Teflon</t>
  </si>
  <si>
    <t>[AC-98-236-198-801] Shaft Collar, 8x8-25 SRL-XT, Steel</t>
  </si>
  <si>
    <t>[AC-98-331-606-808] Suction Side Plate, 8x4(5)(6)-17, PWO, CD4MCu</t>
  </si>
  <si>
    <t>[W-F078/D21] Stuffing Box, 8/6 F-AH, Ductile Iron</t>
  </si>
  <si>
    <t>Impeller, 2x3-13, 3196 MTX, Alloy-20, 5-Vane</t>
  </si>
  <si>
    <t>[DU-MY36847AA130-A20] Impeller, 4x3-13, Durco Mark 2&amp;3 Group 2, Alloy 20, Reverse Vane</t>
  </si>
  <si>
    <t>[G-71940 2229] Shaft Sleeve, 3138-M, 316SS</t>
  </si>
  <si>
    <t>[SA-079571-M1] Inlet Door, Sala VT80, Natural Rubber</t>
  </si>
  <si>
    <t>[SA-058180-M1] Impeller, VTP3, VT-80, Natural Rubber.</t>
  </si>
  <si>
    <t>[SA-055496-M1] Casing, Sala VT80, Rubber Lined</t>
  </si>
  <si>
    <t>[AC-98-332-015-816] Fastener Kit (Suction Side Plate), 12x10-25 SRL-C</t>
  </si>
  <si>
    <t>[ARR-N1300-0625, G-58101 625] Bearing Housing Retaining Ring, PWO-C Group 2, Carbon Steel</t>
  </si>
  <si>
    <t>[WO-390009-10] Gasket Case, Worthington D800/D1000/D-1011, Frame 3</t>
  </si>
  <si>
    <t>[AC-98-432-884-801] Bearing Housing, PWO, Frame 2, Oil</t>
  </si>
  <si>
    <t>[6254C-00-0028G] Pump Casing, Dynapro 6X8 MDX-025, High Chrome</t>
  </si>
  <si>
    <t>[AC-98-131-246-504] Deflector (Water Slinger), 3x3-10 SRL/SRL-C, Neoprene/Steel</t>
  </si>
  <si>
    <t>[AC-98-431-858-501] Shaft Assembly, 3x3-10 SRL &amp; SRL-C, 1045 Steel</t>
  </si>
  <si>
    <t>[W-PVR4005E] Bearing Assembly, 40 PV-SP, Rubber, 900mm</t>
  </si>
  <si>
    <t>[G-0B10588 1216] Impeller, 2x3-13, 3196 LTX, CD4MCu, 5-Vane</t>
  </si>
  <si>
    <t>[G-R76298] Lantern Ring, 3196 XLT, Teflon</t>
  </si>
  <si>
    <t>Shaft Sleeve, 3196 XLT, 316SS, NCB Hardcoated</t>
  </si>
  <si>
    <t>[G-RC03355A 1203] Plain Gland Assembly, 3196 XLT, 316SS</t>
  </si>
  <si>
    <t>[G-D08717A06 6241] Thrust Bearing Labyrinth Seal (Inboard) w/O-Rings, 3196 LTX, Carbon Teflon w/Viton</t>
  </si>
  <si>
    <t>[G-R100-529 1216] Stuffing Box Cover, 13", 3196 MTX, CD4MCu, Standard Bore, Non-Jacketed</t>
  </si>
  <si>
    <t>[G-0100-537 1216] Impeller, 1.5x3-13, 3196 MTX, CD4MCu, 5-Vane</t>
  </si>
  <si>
    <t>[G-249-63 1216] Casing, 1.5x3-13, 3196 MTX, CD4MCu</t>
  </si>
  <si>
    <t>[W-C109/S50] Shaft O-Ring, 3/2 or 4/3 C-AH, Viton</t>
  </si>
  <si>
    <t>[W-C217/S10] O-Ring Impeller Seal, 3/2 C-AH, Nitrile</t>
  </si>
  <si>
    <t>[M12Z3-40VV] Stud &amp; Lock Nut &amp; Washer, 12x40mm, Zinc</t>
  </si>
  <si>
    <t>[W-C026M/E62] Liner Stud w/Nut, 3/2 C-AH or 250 and 350 Type L</t>
  </si>
  <si>
    <t>[W-C2060/S01] Intake Joint Ring, 3/2 C-AH, EPDM</t>
  </si>
  <si>
    <t>Freight charge</t>
  </si>
  <si>
    <t>Misc Payment ALPHA INDUSTRIA 11252OD16647616</t>
  </si>
  <si>
    <t>[AC105-CS01-TEN, AC-52-430-298-002] Seal Cage (Lantern Ring), Allis Chalmers CSO, Frame F4B3/F4B5/F4D1, Teflon</t>
  </si>
  <si>
    <t>[AC-52-320-795-003] Stuffing Box Cover, 13", Allis Chalmers CSO, Frame F4B, 316SS</t>
  </si>
  <si>
    <t>[DU-PE2YRB-LHS-4140-H] Power End, Durco Mark 3 Group 2, 4140 Steel Shaft (Hook Sleeve), 316SS Sleeve</t>
  </si>
  <si>
    <t>[D-2001412-4PHSS] Hex Cap Screw, 10JKH/M, 0.44-14NCx1.50, 17-4PH SS</t>
  </si>
  <si>
    <t>[AC-98-331-958-803] Shaft Sleeve, 5x4/5x5/6x6 SRL &amp; SRL-C, Steel</t>
  </si>
  <si>
    <t>[D-65QW24-CI] Pump, Submersible, 65QW24, Cast Iron w/316SS Impeller</t>
  </si>
  <si>
    <t>[AC-98-211-426-501] Impeller, 2x2-10 SRL, Natural Rubber</t>
  </si>
  <si>
    <t>[D-500S-98B-17/E05] Right Round Nut, 500S-98B, M105x2 RH, 1045 Steel</t>
  </si>
  <si>
    <t>[W-F063/P50] Lantern Ring, 6/4 FFY-HH, Ryton</t>
  </si>
  <si>
    <t>[W-F067/C02] Neck Ring, Ni-Resist</t>
  </si>
  <si>
    <t>[W-E090SQ/S10] Lip Seal, 8/6 E-AH, Nitrile</t>
  </si>
  <si>
    <t>[18021020286] Lubrication Ring, SM203-640</t>
  </si>
  <si>
    <t>[104046384201] Deflector, SM203-640, HT250</t>
  </si>
  <si>
    <t>[104046395001] Sleeve of protection, SM203-640, 316SS</t>
  </si>
  <si>
    <t>[104046394001] Sleeve of protection, SM203-640, 316SS</t>
  </si>
  <si>
    <t>Key, item 444.02, Sulzer SM203-640</t>
  </si>
  <si>
    <t>Key, item 444, Sulzer SM203-640</t>
  </si>
  <si>
    <t>[DAE-125, material: 17896680, W-B109/S50] Shaft O-Ring, 1.5/1 or 2/1.5 B-AH, Viton</t>
  </si>
  <si>
    <t>[W-B15036M/R55] Frame Plate Liner, 2/1.5 B-AH, Natural Rubber</t>
  </si>
  <si>
    <t>[W-B005M] Bearing Assembly w/Shaft, 1.5/1 or 2/1.5 B-AH, Metric</t>
  </si>
  <si>
    <t>[W-B118/C23] Lantern Restrictor, 1.5/1 or 2/1.5 B-AH, 316SS</t>
  </si>
  <si>
    <t>[W-B15127/R55] Impeller, 2/1.5 B-AH, Natural Rubber</t>
  </si>
  <si>
    <t>[W-B15032/D21] Frame Plate, 2/1.5 B-AH, Ductile Iron</t>
  </si>
  <si>
    <t>[W-B044/C23] Gland Split w/Bolt &amp; Nut, 1.5/1 or 2/1.5 B-AH, 316SS</t>
  </si>
  <si>
    <t>[W-B075/C21] Shaft Sleeve, 1.5/1 or 2/1.5 B-AH, 420SS Heat Treated, Hardened</t>
  </si>
  <si>
    <t>[W-B217/S50] O-Ring Impeller Seal, 1.5/1 or 2/1.5 B-AH, Viton</t>
  </si>
  <si>
    <t>[W-B117/C21] Shaft Spacer, 1.5/1 or 2/1.5 B-AH, 420SS</t>
  </si>
  <si>
    <t>[SA-134427-2] Lantern Ring, Sala STGVA STD33, 316SS</t>
  </si>
  <si>
    <t>[AC-98-332-762-801] Stuffing Box, 12x10-25 or 14x12-29 SRL-C, Cast Iron</t>
  </si>
  <si>
    <t>[SA-567243] Wear Disc, Sala 6x5 VSP-VF, High Chrome</t>
  </si>
  <si>
    <t>[OLPWZ011010B, G-A04951A223] Bearing Isolator (Outboard), 3196 XLT/XLTi, 303SS Rotor / Bronze Stator w/Viton</t>
  </si>
  <si>
    <t>[W-B111] Premium Slurry Packing (Single Piece), 1.5/1 or 2/1.5 B-AH, Kevlar Fiber w/Silicon Core</t>
  </si>
  <si>
    <t>[DU-CY21361AB-316] Shaft (Solid), Durco Mark 2&amp;3 Group 2, 316SS</t>
  </si>
  <si>
    <t>[AC-98-234-808-501] Gland Assembly, 12x10-25 SRL-C, Cast Iron</t>
  </si>
  <si>
    <t>Sump Pump, W-Series, 100RV-SP, CD4MCu, 900mm Column</t>
  </si>
  <si>
    <t>[D-2J3411-1] Casing, 3x4-11, Goulds JC, Frame 2J, Cast Iron, OEM#056185G4011002</t>
  </si>
  <si>
    <t>[W-SPR10092/R55] Casing, 100RV-SP, Natural Rubber</t>
  </si>
  <si>
    <t>[W-SPR10206A/R55] Impeller, 100RV-SP, 5-Vane, Natural Rubber</t>
  </si>
  <si>
    <t>[W-RVR10102L/R55] Column 1800mm, 100RV-SPR, Natural Rubber</t>
  </si>
  <si>
    <t>[W-RVR10154L/R55] Discharge Pipe 1800mm, 100RV-SPR, Natural Rubber</t>
  </si>
  <si>
    <t>[M&amp;N # 7346] Casing, 4x3-11, Worthington 3M111, High Chrome</t>
  </si>
  <si>
    <t>[HT150404NPRBW22] 150 HP, 1800 RPM, 460/3/60, 444/5T Frame, WEG - TEFC - W22 Severe Duty NEMA Premium Electric Motor, Roller Bearing</t>
  </si>
  <si>
    <t>[CB22-140] Mechanical Seal Cover - Bolts &amp; Nuts, XS500-710, 2Cr13</t>
  </si>
  <si>
    <t>[GB/T3452.1] O-Ring 185x3.55, XS500-710, NBR</t>
  </si>
  <si>
    <t>[GB858] Tab Washer 110, XS500-710, Carbon Steel</t>
  </si>
  <si>
    <t>[GB812] Round Nut M110x2, XS500-710, 1045</t>
  </si>
  <si>
    <t>[JB/T7940.2-1995] Oil Cup 45° M10, XS500-710</t>
  </si>
  <si>
    <t>[10452/5013] Paper Pad 0.3, XS500-710, Fishpaper</t>
  </si>
  <si>
    <t>[GB283] Cylindrical Roller Bearing NU322, XS500-710</t>
  </si>
  <si>
    <t>[B1205I-76-110-06] Bearing Locating Ring, XS500-710, Carbon Steel</t>
  </si>
  <si>
    <t>[S633-0106a] Shaft Sleeve Nut, XS500-710, 2Cr13</t>
  </si>
  <si>
    <t>[GB/T1096] Key 10x40, XS500-710, 1045</t>
  </si>
  <si>
    <t>[S623-0101-S] Shaft, XS500-710, 2Cr13</t>
  </si>
  <si>
    <t>[S623-0103-A] Impeller, XS500-710, 2Cr13</t>
  </si>
  <si>
    <t>[GB/T1096] Key 32x280, XS500-710, 1045</t>
  </si>
  <si>
    <t>[S623-0003-A] Double Suction Wear Ring, XS500-710, 2Cr13</t>
  </si>
  <si>
    <t>[S633-0104-A] Impeller Retainer Sleeve, XS500-710, 2Cr13</t>
  </si>
  <si>
    <t>[10435] Paper Pad 0.25, XS500-710, Fishpaper</t>
  </si>
  <si>
    <t>[S623-0102-T] Shaft Sleeve, XS500-710, 2Cr13</t>
  </si>
  <si>
    <t>[GB/T3452.1] O-Ring 125x3.55, XS500-710</t>
  </si>
  <si>
    <t>[S413-0104b] Shaft Sleeve, XS500-710, 2Cr13</t>
  </si>
  <si>
    <t>[S633-0106b] Shaft Sleeve Nut, XS500-710, 2Cr13</t>
  </si>
  <si>
    <t>[10430] V-Ring VD120A, XS500-710</t>
  </si>
  <si>
    <t>[S633-0106c] Shaft Sleeve Nut, XS500-710, 2Cr13</t>
  </si>
  <si>
    <t>[GB/T1096] Key 28x180, XS500-710, 1045</t>
  </si>
  <si>
    <t>[CB38-83-185-105] Pump Coupling, XS500-710, Cast Iron</t>
  </si>
  <si>
    <t>[D-JC20-CS-1/2-316SS] Cyclone Separator, 1/2" NPT, 316SS, Female Connections, JC Type 20</t>
  </si>
  <si>
    <t>[AC-98-430-807-010] Bearing Cover Gasket (Inboard &amp; Outboard), 10x8-21 SRL-C OLD STYLE</t>
  </si>
  <si>
    <t>[5530] Impeller (Closed), Ahlstrom APT 53-8, CD4MCu</t>
  </si>
  <si>
    <t>[M12*45, W-D045M] Gland Bolt w/Nut &amp; Washer, 4/3 or 6/4 D-AH</t>
  </si>
  <si>
    <t>[W-E4083/A05] Throatbush, 6/4 D or E-AH, High Chrome</t>
  </si>
  <si>
    <t>[OLPWZ011007B, G-A04951A220] Bearing Isolator (Inboard), 3196 LTX/LTi, 303SS Rotor / Bronze Stator w/Viton</t>
  </si>
  <si>
    <t>[AC-98-431-797-501] Gland Side Casing, 5x4-14 SRL-C, Cast Iron</t>
  </si>
  <si>
    <t>[AC-98-530-594-001] Pedestal, 5x4/5x5/6x6 SRL &amp; SRL-C, Cast Iron</t>
  </si>
  <si>
    <t>[G-0C02705A 1203] Impeller, 4x6-19, 3180-M, 316SS, 5-Vane</t>
  </si>
  <si>
    <t>[D-WE1J-4] Shaft Sleeve, Goulds JC Frame 1J, 420SS Heat Treated, Hardened</t>
  </si>
  <si>
    <t>[G-70782 29 5127] Casing Gasket, 10", 3196 MTX, Durlon 8500</t>
  </si>
  <si>
    <t>[G-R76293] Lantern Ring, 3196 MTX, Teflon</t>
  </si>
  <si>
    <t>[G-P9610M0R000050] Power End, 3996 MT, 10 Inch, Grease Lube, 4140 Shaft</t>
  </si>
  <si>
    <t>[G-A01081A06] Premium Packing, 3196 MTX, 5 Pre-Cut Rings, Graphite</t>
  </si>
  <si>
    <t>[G-70782 20 5127] Casing Gasket, 7/8", 3196 MTX, Durlon 8500</t>
  </si>
  <si>
    <t>[G-247-42 1012] Casing, 2x3-8, 3196 MTX, Ductile Iron</t>
  </si>
  <si>
    <t>[10060/5001] Stuffing Box Bearing, 18BHC-1, Teflon</t>
  </si>
  <si>
    <t>[10059/5001] Suction Bell Bearing, 18BHC-1, Teflon</t>
  </si>
  <si>
    <t>[10058/5001] Bowl Bearing, 18BHC-1, Teflon</t>
  </si>
  <si>
    <t>[10048/5001] Stuffing Box Bearing, 12RJHC-8, Teflon</t>
  </si>
  <si>
    <t>[10039/5001] Bowl Bearing, 11CLC-1, Teflon</t>
  </si>
  <si>
    <t>[10258/0505] Drive Shaft &amp; Coupling, 11CLC-7, 316SS</t>
  </si>
  <si>
    <t>[10257/1501] Adjusting Nut, 11CLC-7, Carbon Steel</t>
  </si>
  <si>
    <t>[10279/1501] Bowl Bolts &amp; Washers, 18BHC-1, Carbon Steel</t>
  </si>
  <si>
    <t>[10267/1501] Bowl Bolts &amp; Washers, 11CLC-7, Carbon Steel</t>
  </si>
  <si>
    <t>[10252/1501] Bowl Bolts &amp; Washers, 12RJHC-8, Carbon Steel</t>
  </si>
  <si>
    <t>[10242/1501] Bowl Bolts &amp; Washers, 12RJMC-2, Carbon Steel</t>
  </si>
  <si>
    <t>[10233/1501] Bowl Bolts &amp; Washers, 11CLC-1, Carbon Steel</t>
  </si>
  <si>
    <t>[10282/0505] Male Plug, 18BHC-1, 316SS</t>
  </si>
  <si>
    <t>[10366/0505] Lineshaft, 18BHC-1, 316SS</t>
  </si>
  <si>
    <t>[10278/0505] Impeller, 18BHC-1, 316SS</t>
  </si>
  <si>
    <t>[10274/1501] Ajusting Nut, 18BHC-1, Carbon Steel</t>
  </si>
  <si>
    <t>[10272/0505] Male Plug, 11CLC-7, 316SS</t>
  </si>
  <si>
    <t>[10270/5001] Suction Bowl Bearing Bushing, 11CLC-7, Teflon</t>
  </si>
  <si>
    <t>[10268/5001] Intermediate Bowl Bearing Bushing, 11CLC-7, Teflon</t>
  </si>
  <si>
    <t>[10266/0505] Impeller, 11CLC-7, 316SS</t>
  </si>
  <si>
    <t>[10265/0505] Impeller Collect, 11CLC-7, 316SS</t>
  </si>
  <si>
    <t>[10264/0505] Lineshaft Coupling, 11CLC-7, 316SS</t>
  </si>
  <si>
    <t>[10262/0505] Bowl Shaft, 11CLC-7, 316SS</t>
  </si>
  <si>
    <t>[10260/5001] Stuffing Box Bearing Bushing, 11CLC-7, Teflon</t>
  </si>
  <si>
    <t>[10255/0505] Male Plug, 12RJHC-8, 316SS</t>
  </si>
  <si>
    <t>[10248/0505] Drive Shaft, 12RJHC-8, 316SS</t>
  </si>
  <si>
    <t>[10245/0505] Male Plug, 12RJMC-2, 316SS</t>
  </si>
  <si>
    <t>[10240/2001] Stuffing Box, 12RJMC-2, Cast Iron</t>
  </si>
  <si>
    <t>[10236/0505] Male Plug, 11CLC-1, 316SS</t>
  </si>
  <si>
    <t>[10232/0505] Impeller, 11CLC-1, 316SS</t>
  </si>
  <si>
    <t>[10229/2001] Stuffing Box, 11CLC-1, Cast Iron</t>
  </si>
  <si>
    <t>[DC-MS000022] Mechanical Seal, Dynapro Vertical Turbine, 12RJMC-2, A20</t>
  </si>
  <si>
    <t>[10062/0505] Impeller Collect, 18BHC-1, 316SS</t>
  </si>
  <si>
    <t>[W-C2017M/U38] Suction Plate Liner, Urethane</t>
  </si>
  <si>
    <t>[W-C2036M/U38] Frame Plate Liner, Urethane</t>
  </si>
  <si>
    <t>[W-EAM029/R55] Expeller Ring, 8/6 E or R-AH, Natural Rubber</t>
  </si>
  <si>
    <t>[W-C2036M/U38] Frame Plate Liner, 3/2C-AH, Urethane</t>
  </si>
  <si>
    <t>[2Z104-GA, DU-AY33867K-GTB] Impeller Gasket, Durco Mark 2 Group 2, Grafoil</t>
  </si>
  <si>
    <t>[DU-SA3211AA00-TFR] Impeller Gasket, Durco Mark 2 Group 1, Teflon/Rubber</t>
  </si>
  <si>
    <t>[W-EAM028HS1/A05] Expeller (Hi-Seal), 8/6 E or R-AH, High Chrome</t>
  </si>
  <si>
    <t>[W-EAM029HS1/A05] Expeller Ring (Hi-Seal), 8/6 E or R-AH, High Chrome</t>
  </si>
  <si>
    <t>[W-E063HS1/P05] Lantern Ring (Hi-Seal), 6/4 to 8/6 E-AH, Ryton</t>
  </si>
  <si>
    <t>[AC-52-320-812-101] Impeller, 3x2-13, Allis Chalmers CSO, 316SS</t>
  </si>
  <si>
    <t>[AC-52-321-368-101] Impeller, 3x1.5-13, Allis Chalmers CSO, 316SS</t>
  </si>
  <si>
    <t>[W-F076/C21] Shaft Sleeve (Long), 8/6 F-AH, 420SS Heat Treated, Hardened</t>
  </si>
  <si>
    <t>[W-F6036M/U38] Frame Plate Liner, 8/6 E or F-AH, Urethane</t>
  </si>
  <si>
    <t>[W-F6018/U38] Cover Plate Liner, 8/6 E or F-AH, Urethane</t>
  </si>
  <si>
    <t>[W-F6147/U38] Impeller, 8/6 E, F or R-AH, Urethane</t>
  </si>
  <si>
    <t>[W-C111] Premium Slurry Packing (Single Piece), 3/2 C-AH, Kevlar Fiber w/Silicon Core</t>
  </si>
  <si>
    <t>[W-D3147/S31] Impeller, 4/3 C or D-AH, Hypalon</t>
  </si>
  <si>
    <t>[W-D3036/S31] Frame Plate Liner, 4/3 C-AH or 4/3 D-AH, Hypalon</t>
  </si>
  <si>
    <t>[W-D3017/S31] Cover Plate Liner, 4/3 C or D-AH, Hypalon</t>
  </si>
  <si>
    <t>[W-C076/C21] Shaft Sleeve (Long), 4/3 C-AH, 420SS</t>
  </si>
  <si>
    <t>[DU-BY26972AB-A20] Mechanical Seal Gland, Durco Mark 2&amp;3 Group 2, Alloy 20, Standard Bore</t>
  </si>
  <si>
    <t>[G-70782 28 5117] Casing Gasket, 13", 3196 MTX, Teflon</t>
  </si>
  <si>
    <t>[W-SPR65092/R55] Casing, 65QV-SPR, Natural Rubber</t>
  </si>
  <si>
    <t>[FS-58969M2  28VBSMS3-04S2VS2-6] Single Cartridge Seal, 1 3/4", VBSMS, Big/Taper Bore, Silicon Carbide vs Silicon Carbide / FKM</t>
  </si>
  <si>
    <t>[G-0B10009 1216] Impeller, 1x2-10, 3196 MTX, CD4MCu, 5-Vane</t>
  </si>
  <si>
    <t>[G-R196-MKM10] Maintenance Kit, 10", 3196 MTX</t>
  </si>
  <si>
    <t>[G-P1600M0S00 X050] Power End, 3196 MTX, Oil Lubed, 4140 Shaft (Sleeved Type), 316SS Shaft Sleeve</t>
  </si>
  <si>
    <t>[G-0C00143A02 1216] Impeller, 3x4-7, 3196 MTX, CD4MCu</t>
  </si>
  <si>
    <t>[G-R196-MKM8] Maintenance Kit, 8", 3196 MTX</t>
  </si>
  <si>
    <t>[N1300-0393, G-58101 393] Bearing Housing Retaining Ring, 3196 MTX, Carbon Steel</t>
  </si>
  <si>
    <t>[AC-98-430-807-163] Casing Gasket, 21", PWO Frame 3</t>
  </si>
  <si>
    <t>[AC-98-131-246-509  -  52-108-475-014] Deflector (Outboard), Allis-Chalmers PWO, Group 3</t>
  </si>
  <si>
    <t>[AC-52-108-475-010] Deflector (Inboard), Allis Chalmers CSO, Frame F4D1, Steel</t>
  </si>
  <si>
    <t>[AC-52-108-475-007] Deflector (Outboard), Allis Chalmers CSO, Frame F4D1, Steel</t>
  </si>
  <si>
    <t>[G-R102-871 2238] Shaft (Sleeve Type), 3175-S, 4140 Steel</t>
  </si>
  <si>
    <t>[AC-98-331-958-808] Shaft Sleeve, 5x4/5x5/6x6 SRL, 316SS</t>
  </si>
  <si>
    <t>[Timken National 416271] Oil Seal, Goulds JC, Frame 3J</t>
  </si>
  <si>
    <t>[W-EAM117/C21] Shaft Spacer, 8/6 E or R-AH, 420SS</t>
  </si>
  <si>
    <t>[GASKET 11"OD x 9-17/32"ID x 0.0625"] Gasket (Casing to Stuffing Box), Goulds JC, Frame 2J &amp; 3J, Neoprene</t>
  </si>
  <si>
    <t>[DAE 383 or AS 568-383] O-Ring (Suction Cover to Casing), Goulds JC, 14" Impeller Size, Nitrile</t>
  </si>
  <si>
    <t>[D-3J4614-6] Suction Cover Liner, 4x6-14, Goulds JC, Frame 3J, High Chrome, OEM# 048944G0001228</t>
  </si>
  <si>
    <t>[M&amp;N# 72] Impeller, 8x5-17, PWO, 3-Vane, 317SS</t>
  </si>
  <si>
    <t>Misc Payment ALPHA INDUSTRIA 47219OD16469189</t>
  </si>
  <si>
    <t>[W-S30132/S01] Discharge Joint Ring, EPDM</t>
  </si>
  <si>
    <t>[100225-1, SA-567129PS] Bearing End Cover, Sala STHM, 22/33/44 WFR, Cast Iron</t>
  </si>
  <si>
    <t>[SA-100025-1] Top Cover, Sala Vasa-G-161-70L-1", Cast Iron</t>
  </si>
  <si>
    <t>[SA-567450] Bearing Housing, Sala STHM-33WFR, Cast Iron</t>
  </si>
  <si>
    <t>BR TO BR - 1678</t>
  </si>
  <si>
    <t>[FAS-10570, FASM-2157] Mechanical Seal, Ingersoll Dresser, 40-25CPX200 &amp; 65-40CPX160, Sil-Carb vs' Sil-Carb, Viton Bellows</t>
  </si>
  <si>
    <t>[AC-98-332-013-813] Fastener Kit (Gland Side Liner), 6x6-15 SRL</t>
  </si>
  <si>
    <t>[AC-98-132-163-001] Spacer, 10x10-28 SRL-XT</t>
  </si>
  <si>
    <t>[G-RC01298A 1203] Gland Assembly, 3196 LTX, 316SS</t>
  </si>
  <si>
    <t>[G-RC03238A 2255] Shaft Assembly, w/Key, Locknut &amp; Lockwasher</t>
  </si>
  <si>
    <t>[G-A03190A01 2255] Impeller Key</t>
  </si>
  <si>
    <t>[G-B02151A03 1203] Impeller Nut, 3180-S, 316SS</t>
  </si>
  <si>
    <t>[G-0C03124A 1203] Impeller 4-Vane Open 316SS</t>
  </si>
  <si>
    <t>[G-76772X 2156] Shaft Sleeve, 3196 STX, Titanium</t>
  </si>
  <si>
    <t>[AC-52-231-827-009] Shaft (Sleeve Type), Allis-Chalmers CSO, Frame F4D1, 4140 Steel</t>
  </si>
  <si>
    <t>[WO-960617-00] Impeller Washer, Worthington D1011/D1012, Frame 5, 316SS</t>
  </si>
  <si>
    <t>[WO-4670386] Impeller Washer, Worthington D-1011, Frame 3, Steel.</t>
  </si>
  <si>
    <t>[W-C2132L/S01] Discharge Joint Ring, 3/2 C-AH, EPDM Rubber</t>
  </si>
  <si>
    <t>[W-C217/S50] O-Ring Impeller Seal, 3/2 C-AH, Viton</t>
  </si>
  <si>
    <t>[W-C2147/A61] Impeller, 3/2 C-AH, Hyperchrome</t>
  </si>
  <si>
    <t>[W-E4041M/A05] Frame Plate Liner Insert, 6/4 D or E-AH, High Chrome</t>
  </si>
  <si>
    <t>[W-F6018/R55] Cover Plate Liner, 8/6 E or F-AH, Natural Rubber</t>
  </si>
  <si>
    <t>[W-FAHF6060/S01] Intake Joint Ring, 6" E, EE or F-AHF, EPDM Rubber</t>
  </si>
  <si>
    <t>[W-F064/S50] O-Ring Impeller Seal, 6/4 to 8/6 AH and 150 to 200 SV-SP, Viton</t>
  </si>
  <si>
    <t>[W-EE062-10/D81] Labyrinth, 6/4 &amp; 8/6 EE-AH or 250 Type L, Ductile Iron</t>
  </si>
  <si>
    <t>[W-F6036M/R55] Frame Plate Liner, 8/6 E or F-AH, Natural Rubber</t>
  </si>
  <si>
    <t>[W-E4147/A05] Impeller, 6/4 D or E-AH, High Chrome</t>
  </si>
  <si>
    <t>[W-E4124/S01] Volute Liner Seal, 6/4 D or E-AH, EPDM Rubber</t>
  </si>
  <si>
    <t>[W-E4110/A05] Volute Liner, 6/4 D or E-AH, High Chrome</t>
  </si>
  <si>
    <t>[W-E4060/S01] Intake Joint Ring, 6/4 D or E-AH, EPDM Rubber</t>
  </si>
  <si>
    <t>[W-E111] Premium Slurry Packing (Single Piece), 6/4 or 8/6 E, R-AH, Kevlar Fiber w/Silicon Core</t>
  </si>
  <si>
    <t>[M&amp;N# 5693] Impeller, Worthington 10-FRBH-182, CD4MCu</t>
  </si>
  <si>
    <t>[WO-2114547-CD4] Impeller, Worthington 8-FRBH-152, CD4MCu</t>
  </si>
  <si>
    <t>[AC-98-236-348-501] Packing Gland (2 Half/Set), Allis Chalmers PWO, Group 3 &amp; 4, 316SS</t>
  </si>
  <si>
    <t>[G-RC04057A01 1204] Stuffing Box Cover, 8", 3196 STX, Alloy 20, Big Bore, Non-Jacketed</t>
  </si>
  <si>
    <t>Impeller, 1x1.5-8, 3196 STX, Titanium, 5-Vane</t>
  </si>
  <si>
    <t>SO16653 po 30862</t>
  </si>
  <si>
    <t>CN-0411</t>
  </si>
  <si>
    <t>[D-2J3411-6] Suction Cover Liner, 3x4-11, Goulds JC, Frame 2J, High Chrome, OEM# 048824G0001228</t>
  </si>
  <si>
    <t>[D-2J3411-2] Casing, 3x4-11, Goulds JC, Frame 2J, High Chrome, OEM# 056185G4001228</t>
  </si>
  <si>
    <t>[D-WE2J-8] Stuffing Box Cover, Goulds JC, Frame 2J, High Chrome, OEM# 048877G0001228</t>
  </si>
  <si>
    <t>[W-SP15041/A05] Back Liner, 150SV-SP, High Chrome</t>
  </si>
  <si>
    <t>[D-2001410-2205] Sleeve Bearing (Stuffing Box), HPCW</t>
  </si>
  <si>
    <t>[D-2001411-2205] Sleeve Bearing (Suction Bell), HPCW</t>
  </si>
  <si>
    <t>[W-E4124/S44] Casing Liner Seal, 100ZJL-RV, Neoprene</t>
  </si>
  <si>
    <t>[109470/0512] Agitator Shaft, 100ZJL-RV, 316L-SS</t>
  </si>
  <si>
    <t>[109458/0512] Lower Strainer Base, 100ZJL-RV, 316L-SS</t>
  </si>
  <si>
    <t>[106345/6516] Upper Strainer, 100ZJL-RV, Neoprene</t>
  </si>
  <si>
    <t>[AM-HH200C21-11] Gasket, Casing, DW-AE8/6-21W, Aramid Fiber</t>
  </si>
  <si>
    <t>[28VSMS3-04C4VS4] Single Cartridge Seal, 1 3/4", VSMS, Standard Bore, Carbon vs Silicon Carbide / TFEP</t>
  </si>
  <si>
    <t>[W-SP10204/S51] Discharge Pipe Gasket, 100RV-SP, Viton</t>
  </si>
  <si>
    <t>[W-ZAG65482/A05] Agitator, 100 to 200 SP, High Chrome</t>
  </si>
  <si>
    <t>[W-SP10206A70800, W-SP10206B/A05] Impeller (Agitator), 100RV-SP, High Chrome</t>
  </si>
  <si>
    <t>[W-SP10041/A05] Back Liner, 100RV-SP, High Chrome</t>
  </si>
  <si>
    <t>[W-SP10092/A05] Casing w/Flange, 100RV-SP, High Chrome</t>
  </si>
  <si>
    <t>[W-FF073-2M/E05] Shaft, 8/6 FF-AH, 1045 Steel</t>
  </si>
  <si>
    <t>[W-EEAM073M/E05] Shaft, 8/6 EE-AH, 1045 Steel, Metric</t>
  </si>
  <si>
    <t>[W-F6110/A05] Volute Liner, 8/6 DH, High Chrome</t>
  </si>
  <si>
    <t>[W-F6041/A05] Frame Plate Liner Insert, 8/6 DH, High Chrome</t>
  </si>
  <si>
    <t>[W-F6147/A05] Impeller, 8/6 DH, High Chrome</t>
  </si>
  <si>
    <t>[W-F6083/A05] Throatbush, 8/6 DH, High Chrome</t>
  </si>
  <si>
    <t>150 HP, 1200 RPM, 460/3/60, 445/7T Frame, WEG - TEFC - W22 Severe Duty NEMA Premium Electric Motor</t>
  </si>
  <si>
    <t>Pump, 200M-MSR, W-Series, Natural Rubber</t>
  </si>
  <si>
    <t>[SHEBELTS] Sheaves and Belts</t>
  </si>
  <si>
    <t>[W-RSL30147/A05] Impeller, 300 RSL, High Chrome, 5-Vane</t>
  </si>
  <si>
    <t>[W-R063/C23] Lantern Ring, 300 RSL, 316SS</t>
  </si>
  <si>
    <t>[D-WE2J-10] Stuffing Box Cover, Goulds JC, Frame 2J, CD4MCu, OEM# 048877G0001247</t>
  </si>
  <si>
    <t>[D-2J15214-16] Suction Cover, 1.5x2-14, Goulds JC Frame 2J, CD4MCu, OEM# 050049G0001247</t>
  </si>
  <si>
    <t>[D-2J15214-8] Suction Cover Liner, 1.5x2-14, Goulds JC Frame 2J, CD4MCu, OEM# 048938G0001247</t>
  </si>
  <si>
    <t>[D-2J15214-12] Impeller, 1.5x2-14, Goulds JC, Frame 2J, CD4MCu, OEM# 056189G2501247</t>
  </si>
  <si>
    <t>[D-2J15214-4] Casing, 1.5x2-14, Goulds JC, Frame 2J, CD4MCu, OEM# 055892G0001247</t>
  </si>
  <si>
    <t>[D-WE2J-4] Shaft Sleeve, Goulds JC Frame 2J, 420SS Heat Treated, Hardened</t>
  </si>
  <si>
    <t>[D-2J15214-10] Impeller, 1.5x2-14, Goulds JC, Frame 2J, High Chrome, OEM# 056189G2501228</t>
  </si>
  <si>
    <t>[G-249-60 1216] Casing, 1.5x3-10, 3196 MTX, CD4MCu</t>
  </si>
  <si>
    <t>[AC-98-131-583-001] Bearing Cover Gasket (Outboard), 12x10-25 SRL-C</t>
  </si>
  <si>
    <t>[53x2630, G-8690-75326] Oil Seal (Outboard), 12x10-25 SRL-C, Neoprene/Steel</t>
  </si>
  <si>
    <t>[53x2684, G-8690-75384] Oil Seal (Inboard), 12x10-25 SRL-C, Neoprene/Steel</t>
  </si>
  <si>
    <t>[AC-98-432-126-501] Bearing Cover (Inboard), 12x10-25 SRL-C, Cast Iron</t>
  </si>
  <si>
    <t>[AC-98-431-971-501] Bearing Cover (Outboard), 12x10-25 SRL-C, Cast Iron</t>
  </si>
  <si>
    <t>[AC-52-118-681-804] Mechanical Seal, CSO, Type-9T, Carbon vs' Ceramic/Viton, O-Ring seat</t>
  </si>
  <si>
    <t>[SA-567046] Impeller Washer, 33/44 WFR, Sala STGVA-180, 316SS</t>
  </si>
  <si>
    <t>[AC-98-332-013-820] Fastener Kit (Suction Side Liner), 8x8/10x10/14x12 SRL-XT</t>
  </si>
  <si>
    <t>[W-SP15206A/76564] Impeller (Agitator), 150SV-SP, High Chrome</t>
  </si>
  <si>
    <t>[GA-4SR4*5100x72] Sump Pump, G-Series 4" VSP, 5000 Series, 72" Column, Bearing Frame 4, Acid-Proof, Neoprene Covered</t>
  </si>
  <si>
    <t>[W-ZAS65813] Agitator Shaft, 100 to 200 SP, 420SS</t>
  </si>
  <si>
    <t>[AC-98-332-625-504] Gland Side Liner, 12x10-25 SRL-C, Urethane</t>
  </si>
  <si>
    <t>[AC-98-234-903-504] Suction Side Liner, 12x10-25 SRL-C, Urethane</t>
  </si>
  <si>
    <t>[DU-DY52981A-CD4] Casing, 1.5x1-82, Durco Mark 3 Group 1, CD4MCu</t>
  </si>
  <si>
    <t>[DU-CY53429A/FML-CD4] Rear Cover, 6" &amp; 8", Durco Mark 3 Group 1, CD4MCu, Flow Modifier Large Bore</t>
  </si>
  <si>
    <t>[81708064] Single Cartridge Seal, 1 3/8", John Crane 4600 Series, 3196 STX or Durco Mark 3 Group 1, Standard Bore, Carbon vs Silicon Carbide w/Viton Elastomers</t>
  </si>
  <si>
    <t>[AC100-CS10-DRS, AC-52-425-728-003] Casing, 2x1-10, Allis-Chalmers CSO, Frame F4B3/F4B5/F4D1, Cast Iron</t>
  </si>
  <si>
    <t>[AC-98-231-054-501] Suction Side Liner, 2x2-10 SRL, Natural Rubber</t>
  </si>
  <si>
    <t>[AC-98-231-055-501] Gland Side Liner, 2x2-10 SRL, Natural Rubber</t>
  </si>
  <si>
    <t>[M/G - E 2 3/8 - BDI MATERIAL: 608205] Bushing QD, E 2 3/8"</t>
  </si>
  <si>
    <t>[SF-1 7/8] Bushing QD, SF 1 7/8"</t>
  </si>
  <si>
    <t>[HCQDS-45V750, BDI MATERIAL: 619347] Hi-Cap QD Sheave, 4 5V 750 SF</t>
  </si>
  <si>
    <t>[BDI MATERIAL: 619311] Hi-Cap QD Sheave, 4 5V 1090 E</t>
  </si>
  <si>
    <t>[D-5VX750] V-Belt, 5 VX-750, G-Series</t>
  </si>
  <si>
    <t>Belt Guard, G-Series 3", 4" or 6" VSP, 5000 Series, #4 Drive, Steel Fabricated</t>
  </si>
  <si>
    <t>[GA-24024] Cap Nut, 1/2", G-Series VSP, 1000/5000 Series, Butyl</t>
  </si>
  <si>
    <t>[GA-24573] Cap Nut, 3/4", G-Series VSP, Neoprene</t>
  </si>
  <si>
    <t>[GA-24369] Impeller Washer, G-Series 3.5" VSP, 1000 Series or 3" &amp; 4" 5000 Series, Teflon</t>
  </si>
  <si>
    <t>[DAE - 264-Viton] O-Ring (Upper), G-Series 3", 4" or 6" VSP, 5000 Series, #4 Drive, Viton</t>
  </si>
  <si>
    <t>[DAE - VA65] V-Ring, G-Series 3", 4" or 6" VSP, 5000 Series, #4 Drive</t>
  </si>
  <si>
    <t>[GA-05652] V-Ring Dust Seal, G-Series 3", 4" or 6" VSP, 5000 Series, #4 Drive</t>
  </si>
  <si>
    <t>[DAE-363-Viton] O-Ring (Lower), G-Series 3", 4" or 6" VSP, 5000 Series, #4 Drive, Viton</t>
  </si>
  <si>
    <t>[AN-20] Lock Nut, G-Series 3", 4" or 6" VSP, 5000 Series, #4 Drive</t>
  </si>
  <si>
    <t>[REM-WH-20] Lock Washer, G-Series 3", 4" or 6" VSP, 5000 Series, #4 Drive</t>
  </si>
  <si>
    <t>[GA-24545] Flinger, G-Series, 3", 4" or 6" VSP, 5000 Series, #4 Drive, Neoprene</t>
  </si>
  <si>
    <t>[GA-05655] Lip Seal, G-Series 3", 4" or 6" VSP, 5000 Series, #4 Drive</t>
  </si>
  <si>
    <t>[GA-05651, Garlock - 53x2753] Lip Seal, G-Series 3", 4" or 6" VSP, 5000 Series, #4 Drive</t>
  </si>
  <si>
    <t>[FAG - NU415M1, GA-05653] Bearing (Upper), G-Series 3" to 8" VSP, 5000 Series, #4 Drive</t>
  </si>
  <si>
    <t>[TIM - 687 90065, GA-05186] Bearing (Lower), G-Series 3" to 8" VSP, 5000 Series, #4 Drive</t>
  </si>
  <si>
    <t>[GA-21910] Shaft, 72", G-Series 4" VSP, 5000 Series, #4 Drive, Neoprene Covered</t>
  </si>
  <si>
    <t>[GA-40DELSLV] Valve (Sleeve), 4" G-Series VSP, Delta Series, Natural Rubber</t>
  </si>
  <si>
    <t>[DU-CY55742AP-CI] Bearing Carrier, Durco Mark 3 Group 2, Cast Iron</t>
  </si>
  <si>
    <t>[DU-DY55718A-CI] Bearing Housing, Durco Mark 3 Group 2, Cast Iron</t>
  </si>
  <si>
    <t>[G-B04553A 2229] Shaft Sleeve, 3196 X17, 316SS, Mechanical Seal (2.5")</t>
  </si>
  <si>
    <t>[G-70782 182 5127] Casing Gasket, 17", 3196 X17, Durlon 8500</t>
  </si>
  <si>
    <t>[G-R196-MKX17] Maintenance Kit, 17", 3196 XLT</t>
  </si>
  <si>
    <t>[G-RD04560A01 1013] Frame Adapter, 17", 3196 XLT, Ductile Iron</t>
  </si>
  <si>
    <t>[AC-98-233-193-501] Slinger Assembly, PWO Frame 2, Oil</t>
  </si>
  <si>
    <t>[AC-52-431-816-011] Casing Gasket, 8x6-13, Allis Chalmers CSO</t>
  </si>
  <si>
    <t>[10259/2001] Stuffing Box 11CLC-7, Cast Iron</t>
  </si>
  <si>
    <t>[10276/2001] Stuffing Box 18BHC-1, Cast Iron</t>
  </si>
  <si>
    <t>[10249/2001] Stuffing Box 12RJHC-8, Cast Iron</t>
  </si>
  <si>
    <t>[10049/0505] Impeller Shaft, 12RJHC-8, 316SS</t>
  </si>
  <si>
    <t>[10374/0505] Lineshaft, 316SS, 45MM, 12RJHC-8</t>
  </si>
  <si>
    <t>[10064/2001] Spider w/Bearing, 18BHC-1, Cast Iron/Teflon</t>
  </si>
  <si>
    <t xml:space="preserve">Credit note for incorrect price SO16449 Motion
PO#BC65-00079319 </t>
  </si>
  <si>
    <t>[DU-MY36847AA130-CD4] Impeller, 4x3-13, Durco Mark 2&amp;3 Group 2, CD4MCu, Reverse Vane</t>
  </si>
  <si>
    <t>[W- FP6110/A05] Volute Liner, 8/6 EE-AH, High Chrome</t>
  </si>
  <si>
    <t>[W-F6041HS1/A05] Frame Plate Liner Insert (Hi-Seal), 8/6 EE-AH, High Chrome</t>
  </si>
  <si>
    <t>[AC-52-118-634-001] Deflector (Inboard), Allis-Chalmers CSO, Frame F4C1</t>
  </si>
  <si>
    <t>[AC-52-109-019-003] Shaft Sleeve, Allis-Chalmers CSO, Frame F4B3/F4B5/F4D1, 316SS</t>
  </si>
  <si>
    <t>[DU-CY21853A-CD4] Casing, 3x1.5-13, Durco Mark 2&amp;3 Group 2, CD4MCu , #300 Flat Face Flanges</t>
  </si>
  <si>
    <t>[D-7J] 7JE EPDM Sleeve</t>
  </si>
  <si>
    <t>[85449] Service Kit, Micropump GLH-H25, Gears on Shafts, Bushings and Seals</t>
  </si>
  <si>
    <t>Mag Drive Gear Pump, Micropump GLH-H25, With Motor</t>
  </si>
  <si>
    <t>[D-6J] Spacer, Coupling, 3×2-10, 6J SURE-FLEX</t>
  </si>
  <si>
    <t>INV-0409</t>
  </si>
  <si>
    <t>[TB-5SCE-35-SF-CPLG] SureFlex Coupling 5SCE 35</t>
  </si>
  <si>
    <t>[W-SH075/C21] Shaft Sleeve, 10/8 to 14/12 ST-AH, 420SS Heat Treated, Hardened</t>
  </si>
  <si>
    <t>104233/6502Volute Liner Seal, 14/12 F, G or ST-AH, EPDM Rubber</t>
  </si>
  <si>
    <t>[AC-98-200-025-511] Bearing Cylinder Assembly, 10x8-21 SRL</t>
  </si>
  <si>
    <t>[AC-98-234-802-001] Water Seal Bushing, 12x10-25 SRL-C, One-Piece, Steel</t>
  </si>
  <si>
    <t>[OLPWZ011004B, G-A04951A217] Bearing Isolator (Outboard), 3196 STX/STi, 303SS Rotor / Bronze Stator w/Viton</t>
  </si>
  <si>
    <t>[AC-98-331-958-805] Shaft Sleeve, 2x2-10 SRL, Steel</t>
  </si>
  <si>
    <t>[W-65QVSPR-1500-RBR] Sump Pump, W-Series, 65QV-SPR, Natural Rubber, 1500mm Column</t>
  </si>
  <si>
    <t>[AC-98-432-883-501] Shaft (Fine Thread), PWO, Frame 3, 1045 Steel</t>
  </si>
  <si>
    <t>[G-70782 81 5127] Casing Gasket, 6", 3196 STX, Durlon 8500</t>
  </si>
  <si>
    <t>[AC-98-233-813-001] Neck Bushing, 5x4/5x5/6x6 SRL &amp; SRL-C</t>
  </si>
  <si>
    <t>[G-0100-161 1216] Impeller, 2x3-8, 3196 MTX, CD4MCu, 5-Vane</t>
  </si>
  <si>
    <t>[SA-567162] Shaft Sleeve, Sala STHM-22/33/44WFR, 316SS</t>
  </si>
  <si>
    <t>[WO-2114552-317] Impeller, Worthington 6-FRBH-223, 317SS</t>
  </si>
  <si>
    <t>[G-C02495A258 5302] O-Ring, Buna-N</t>
  </si>
  <si>
    <t>[G-C02495A271 5304] O-Ring, Viton</t>
  </si>
  <si>
    <t>[G-A03189A04 5127] Gasket, Side Plate, 3180 M, L &amp; XL</t>
  </si>
  <si>
    <t>[G-B02151A04 1203] Impeller Nut, 3180-M, 316SS</t>
  </si>
  <si>
    <t>[G-A03190A02 2213] Impeller Key, 3180-M, Steel</t>
  </si>
  <si>
    <t>[G-B02191A02 3211] Throttle Bushing, 3180-M, 316SS</t>
  </si>
  <si>
    <t>[1/2" Key, G-49568 302 2213] Key Stock, 3196 LTX, Steel</t>
  </si>
  <si>
    <t>[D-196 2x3-13 LTX CD4MCu] Pump, 2x3-13, D-196 LTX, CD4MCu</t>
  </si>
  <si>
    <t>[G-262-94 1013] Frame Adapter, 13", 3196 MTX/LTX, Ductile Iron</t>
  </si>
  <si>
    <t>Pump, 2x3-14, Dynapro DC, Frame 2J, High Chrome</t>
  </si>
  <si>
    <t>[AC-52-431-816-003] Casing Gasket, 8", Allis Chalmers CSO &amp; 731+</t>
  </si>
  <si>
    <t>[AC-98-233-017-003] Shaft Sleeve, PWO Frame 3&amp;4, 316SS</t>
  </si>
  <si>
    <t>[W-SH076/C21] Shaft Sleeve (Long), 10/8 to 14/12 ST-AH, 420SS</t>
  </si>
  <si>
    <t>[PX0404] 40 HP, 1800 RPM, 230/460/3/60, 324T Frame, Premium Efficiency TEFC, Teco-Westinghouse Motor</t>
  </si>
  <si>
    <t>Pump, 3/3, Dynapro CVD, High Chrome</t>
  </si>
  <si>
    <t>[AC-98-231-136-507] Gland Side Liner, 10x8-21 SRL-C, Urethane</t>
  </si>
  <si>
    <t>[G-Z00056E] Premium Slurry Packing (5 Piece Set), Goulds JC, Frame 3J</t>
  </si>
  <si>
    <t>[C02495A 258 5302] O-Ring (Bearing Housing), Goulds JC, Frame 3J, Nitrile</t>
  </si>
  <si>
    <t>[D-WE3J-3] Gland, Goulds JC, Frame 3J, 316SS</t>
  </si>
  <si>
    <t>[ARCON N1300-550 or WALDES N5002-550] Retaining Ring, Goulds JC, Frame 3J, Steel</t>
  </si>
  <si>
    <t>[MRC-313-M] Radial Bearing, Goulds JC, Frame 3J, Steel, Grease Lubricated</t>
  </si>
  <si>
    <t>[1/16" x 1.8" ID x 2-47/64" OD] Impeller Gasket, Goulds JC, Frame 3J, Garlock</t>
  </si>
  <si>
    <t>[D-3J4614-10] Impeller, 4x6-14, Goulds JC, Frame 3J, High Chrome, OEM# 056185G14A1228</t>
  </si>
  <si>
    <t>[REM - N 13, G-8601-0013] Bearing Lock Nut, Steel</t>
  </si>
  <si>
    <t>[SKF-5313A] Thrust Bearing, Goulds JC, Frame 3J, Steel, Grease Lubricated</t>
  </si>
  <si>
    <t>[D-PE3J-306] Bearing Housing (Outboard), Goulds JC, Frame 3J, Cast Iron</t>
  </si>
  <si>
    <t>[D-WE3J-4] Shaft Sleeve, Goulds JC Frame 3J, 420SS Heat Treated, Hardened</t>
  </si>
  <si>
    <t>[D-PE3J-304] Shaft, Goulds JC Frame 3J, 4140 Steel</t>
  </si>
  <si>
    <t>Gland, Goulds JC, Frame 3J, 316SS</t>
  </si>
  <si>
    <t>[D-3J4614-10] Impeller, 4x6-14, Goulds JC, Frame 3J, High Chrome, OEM# 056185G1401228</t>
  </si>
  <si>
    <t>[REM - N 13, G-8601-0013] Bearing Lock Nut, Stainless Steel</t>
  </si>
  <si>
    <t>Shaft Sleeve, Goulds JC Frame 3J, 420SS Heat Treated, Hardened</t>
  </si>
  <si>
    <t>[SA-567131] Labyrinth Ring, Sala STHM-33WFR, Steel</t>
  </si>
  <si>
    <t>[G-RC04063A03 1220] Stuffing Box Cover, 13", 3196 XLT, Titanium, Big Bore, Non-Jacketed</t>
  </si>
  <si>
    <t>SO17293, SO17383, SO17384</t>
  </si>
  <si>
    <t>[M16x55, W-E045M/C23] Gland Bolt w/Nut &amp; Washer, 6/4 or 8/6 E-AH and 8/6 R-AH, 316SS</t>
  </si>
  <si>
    <t>[W-F109/S10] Shaft Sleeve O-Ring, 8/6 to 14/12 F-AH, Nitrile</t>
  </si>
  <si>
    <t>[W-F6085/E02] Cotter, 8/6 E or F-AH, Carbon Steel</t>
  </si>
  <si>
    <t>[W-F6083/R55] Throatbush, 8/6 E, F or R-AH, Natural Rubber</t>
  </si>
  <si>
    <t>[W-F6018TL1/R55] Cover Plate Liner (Thick), 8/6 F-AH, Natural Rubber</t>
  </si>
  <si>
    <t>[W-F064/S10] O-Ring Impeller Seal, 6/4 to 8/6 AH and 150 to 200 SV-SP, Nitrile</t>
  </si>
  <si>
    <t>[G-22BF1JAA0] Pump, 1x2-7, 3656-S, Gould's, Closed Coupled, Cast Iron, Bronze Fitted</t>
  </si>
  <si>
    <t>[W-E118/C02] Lantern Restrictor, 6/4 or 8/6 E-AH and 8/6 R-AH, Ni Resist</t>
  </si>
  <si>
    <t>[W-D3147/U38] Impeller, 4/3 C or D-AH, Urethane</t>
  </si>
  <si>
    <t xml:space="preserve">SO17312 - 50% down-payment </t>
  </si>
  <si>
    <t>Radial Bearing, Goulds JC, Frame 3J, Steel, Grease Lubricated</t>
  </si>
  <si>
    <t>Thrust Bearing, Goulds JC, Frame 3J, Steel, Grease Lubricated</t>
  </si>
  <si>
    <t>Lantern Ring, Goulds JC, Frame 3J, Teflon</t>
  </si>
  <si>
    <t>Suction Cover Liner, 4x6-14, Goulds JC, Frame 3J, High Chrome, OEM# 048944G0001228</t>
  </si>
  <si>
    <t>[AC-98-433-326-501] Suction Side Liner, 10x10-28 SRL-XT, Natural Rubber</t>
  </si>
  <si>
    <t>[AC-98-433-327-501] Gland Side Liner, 10x10-28 SRL-XT, Natural Rubber</t>
  </si>
  <si>
    <t>[AC-98-332-794-501] Suction Side Plate, 10x10-28 SRL-XT, Natural Rubber</t>
  </si>
  <si>
    <t>[AC-98-131-246-509] Deflector (Outboard), Allis-Chalmers PWO, Group 3</t>
  </si>
  <si>
    <t>[AM-HH200C21-OWS] Oil-Water Separator, QSC8.3-C260, DW-AE8/6-21W</t>
  </si>
  <si>
    <t>[AM-HH200C21-AIRFLT] Air Filter Element, QSC8.3-C260, DW-AE8/6-21W</t>
  </si>
  <si>
    <t>[AM-HH200C21-OILFLT] Engine Oil Filter, QSC8.3-C260, DW-AE8/6-21W</t>
  </si>
  <si>
    <t>[AM-HH200C21-FUELFLT] Engine Fuel Filter, QSC8.3-C260, DW-AE8/6-21W</t>
  </si>
  <si>
    <t>[AM-HH200C21-34-S-W-FKM-CD4] Mechanical Seal, DW-AE8/6-21W, S-W-FKM-CD4MCu</t>
  </si>
  <si>
    <t>[AM-HH200C21-25] Lip Seal, DW-AE8/6-21W, Steel &amp; Rubber</t>
  </si>
  <si>
    <t>[AM-HH200C21-22-CD4] Shaft, DW-AE8/6-21W, CD4MCu</t>
  </si>
  <si>
    <t>[AM-HH200C-19] Outboard Bearing, DW-AE8/6-21W, SKF</t>
  </si>
  <si>
    <t>[AM-HH200C-17] Inboard Bearing, DW-AE8/6-21W, SKF</t>
  </si>
  <si>
    <t>[AM-HH200C21-08] Abutment Ring, DW-AE8/6-21W, 304SS</t>
  </si>
  <si>
    <t>[AM-HH200C21-07-316SS] Wear Ring, DW-AE8/6-21W, 316SS</t>
  </si>
  <si>
    <t>[AM-HH200C21-09-CD4] Impeller, DW-AE8/6-21W, CD4MCu</t>
  </si>
  <si>
    <t>[W-M48H5-V] Hex Nut, M48, Zinc Plated</t>
  </si>
  <si>
    <t>[G-77225 6956] Shaft Sleeve, 3196 STX, 316SS, NCB Hardcoated</t>
  </si>
  <si>
    <t>SA-567046 Impeller Washer, 33/44 WFR, Sala STGVA-180, 316SS</t>
  </si>
  <si>
    <t>INV-0406</t>
  </si>
  <si>
    <t>D-PE3J-310 Oil Seal, Goulds JC, Frame 3J</t>
  </si>
  <si>
    <t>INV-0405</t>
  </si>
  <si>
    <t>D-PE3J-313 O-Ring (Bearing Housing), Goulds JC, Frame 3J, Nitrile</t>
  </si>
  <si>
    <t>D-WE-14-OR
O-Ring (Suction Cover to Casing), Goulds JC, 14" Impeller Size, Nitrile</t>
  </si>
  <si>
    <t>D-WE3J-3 Gland, Goulds JC, Frame 3J, 316SS</t>
  </si>
  <si>
    <t>D-3J4614-10
Impeller, 4x6-14, Goulds JC, Frame 3J, High Chrome, OEM#
056185G1401228</t>
  </si>
  <si>
    <t>N-13 Bearing Lock Nut, Stainless Steel</t>
  </si>
  <si>
    <t>D-PE3J-306 Bearing Housing (Outboard), Goulds JC, Frame 3J, Cast Iron</t>
  </si>
  <si>
    <t>D-WE3J-4 Shaft Sleeve, Goulds JC Frame 3J, 420SS Heat Treated, Hardened</t>
  </si>
  <si>
    <t>D-3J4614-2 Casing, 4x6-14, Goulds JC, Frame 3J, High Chrome, OEM#
056185G1801228</t>
  </si>
  <si>
    <t>D-PE3J-304 Shaft, Goulds JC Frame 3J, 4140 Steel</t>
  </si>
  <si>
    <t>D-3J4614-2
Casing, 4x6-14, Goulds JC, Frame 3J, High Chrome, OEM#
056185G1801228</t>
  </si>
  <si>
    <t>INV-0404</t>
  </si>
  <si>
    <t>D-PE3J310
Oil Seal, Goulds JC, Frame 3J</t>
  </si>
  <si>
    <t>INV-0403</t>
  </si>
  <si>
    <t>GZ00056E
Premium Slurry Packing (5 Piece Set), Goulds JC, Frame 3J</t>
  </si>
  <si>
    <t>D-PE3J313
O-Ring (Bearing Housing), Goulds JC, Frame 3J, Nitrile</t>
  </si>
  <si>
    <t>D-3J4614-6
Suction Cover Liner, 4x6-14, Goulds JC, Frame 3J, High Chrome, OEM#
048944G0001228</t>
  </si>
  <si>
    <t>D-PE3J311
Retaining Ring, Goulds JC, Frame 3J, Steel</t>
  </si>
  <si>
    <t>D-PE3J308
Radial Bearing, Goulds JC, Frame 3J, Steel</t>
  </si>
  <si>
    <t>D-WE3J38
Impeller Gasket, Goulds JC, Frame 3J, Garlock</t>
  </si>
  <si>
    <t>D-PE3J302
Thrust Bearing, Goulds JC, Frame 3J, Steel</t>
  </si>
  <si>
    <t>D-PE3J306
Bearing Housing (Outboard), Goulds JC, Frame 3J, Cast Iron</t>
  </si>
  <si>
    <t>D-PE3J304 Shaft, Goulds JC Frame 3J, 4140 Steel</t>
  </si>
  <si>
    <t>[AC-52-425-821-006] Casing, 3x1.5-13, Allis Chalmers CSO, 316SS</t>
  </si>
  <si>
    <t>[W-S108H/G01] Piston Ring Hook Style, Cast Iron</t>
  </si>
  <si>
    <t>[W-SV15073G/E05] Shaft 150SV-SP, 1200mm, Steel 1045</t>
  </si>
  <si>
    <t>[W-SV024/G01] End Cover, 150SV-SP or 200SV-SP</t>
  </si>
  <si>
    <t>[W-S009D-1] Bearing (Drive End), 150 or 200 SV-SVP</t>
  </si>
  <si>
    <t>[W-S009] Bearing, 10/8 to 14/12 ST, FF-AH or 150/200 SV-SP or 300/350 Type L</t>
  </si>
  <si>
    <t>[W-SV024L-1/G01] Lower End Cover, 150 or 200 SV-SP</t>
  </si>
  <si>
    <t>[W-SV062/G01] Labyrinth, 150 or 200 SV-SP</t>
  </si>
  <si>
    <t>[W-SV025/S14] End Cover Gasket, 150 SV-SP</t>
  </si>
  <si>
    <t>[W-SV008/E02] Bearing Sleeve, 150 or 200SV-SP, Carbon Steel</t>
  </si>
  <si>
    <t>[W-SV15154G/E02] Discharge Pipe, 150SV-SP, 1200mm, Carbon Steel</t>
  </si>
  <si>
    <t>[W-SV217/S10] O-Ring End Cover, 150SV-SP, Nitrile</t>
  </si>
  <si>
    <t>[W-SV089/S10] Bearing Seal, 150SV-SP, Nitrile</t>
  </si>
  <si>
    <t>[W-SV077/C21] Shaft Sleeve Ejector, 150 or 200 SV-SP</t>
  </si>
  <si>
    <t>[W-SV184-1/R55] Flinger 150SV-SP, Natural Rubber</t>
  </si>
  <si>
    <t>[W-SP15116-1/R55] Upper Strainer, 150 or 200 SV-SP, Natural Rubber</t>
  </si>
  <si>
    <t>[W-SP15116L/D21] Lower Strainer, 150 or 200 SV-SP, Ductile Iron</t>
  </si>
  <si>
    <t>[W-SPR10041/R55] Back Liner, 100RV-SP, Natural Rubber</t>
  </si>
  <si>
    <t>[W-SPR10116L/R55] Lower Strainer, 100RV-SPR, Natural Rubber</t>
  </si>
  <si>
    <t>[W-RVR10073L] Shaft 1800mm, 100RV-SP, 1045</t>
  </si>
  <si>
    <t>[W-SP10116-1/R55] Upper Strainer, 100RV-SP, Natural Rubber</t>
  </si>
  <si>
    <t>Wire fee charged by RBC</t>
  </si>
  <si>
    <t>[D-MCL-108S17-DC] Drive Coupling, MCL-108S17</t>
  </si>
  <si>
    <t>[D-MCL-108S17-2024-26] Suction Cover, MCL-108S17, CD4Mcu</t>
  </si>
  <si>
    <t>[G-RC03132A 2229] Shaft (Less Sleeve), 3196 LTX, 316SS</t>
  </si>
  <si>
    <t>[AC-98-432-133-501] Shaft Assembly, 12x10-25 SRL-C, 1045 Steel</t>
  </si>
  <si>
    <t>[AC-98-431-857-501] Gland Side Casing, 3x3-10 SRL-C, Cast Iron</t>
  </si>
  <si>
    <t>[AC-98-231-115-503] Suction Side Liner, 5X4-14 SRL-C, Neoprene</t>
  </si>
  <si>
    <t>[AC-98-231-116-503] Gland Side Liner, 5X4-14 SRL-C, Neoprene</t>
  </si>
  <si>
    <t>[AC-98-039-047-503] Impeller (Closed), 5x4-14 SRL-C, Neoprene</t>
  </si>
  <si>
    <t>Shaft, 22/33/44 WFR, Sala STGVA-180, 
1045 Steel 
(SA-14007-M4)</t>
  </si>
  <si>
    <t>PO 20250620</t>
  </si>
  <si>
    <t>INV-0402</t>
  </si>
  <si>
    <t>[AC-98-231-109-501] Gland Side Liner, 3x3-10 SRL-C, Natural Rubber</t>
  </si>
  <si>
    <t>[G-C03340A 1000] Thrust Bearing Housing, 3196 STX, Cast Iron</t>
  </si>
  <si>
    <t>[W-G12083M/R55] Throatbush, 14/12 ST, G or F-AH, Natural Rubber, Metric</t>
  </si>
  <si>
    <t>[W-G12041M/R55] Frame Plate Liner Insert, 14/12 ST-AH, Natural Rubber</t>
  </si>
  <si>
    <t>[W-G12043TL1M/R55] Frame Plate Liner (Thick), 14/12 ST-AH, Natural Rubber, Metric</t>
  </si>
  <si>
    <t>D-WE2J-8 Stuffing Box Cover, Goulds JC, Frame 2J, High Chrome, OEM# 048877G0001228</t>
  </si>
  <si>
    <t>INV-0401</t>
  </si>
  <si>
    <t>D-WE1J-8 Stuffing Box Cover, Goulds JC, Frame 1J, High Chrome, OEM# 048945G0001228</t>
  </si>
  <si>
    <t>G-1.5x2-14-JC-
HC Pump, 1.5x2-14, Dynapro DC, Frame 2J, High Chrome</t>
  </si>
  <si>
    <t>[D-MCL-108S17-2024-44] Mechanical Seal, MCL-108S17, S-W-FKM-CD4MCu</t>
  </si>
  <si>
    <t>[D-MCL-108S17-2024-14] Lip Seal, MCL-108S17, Steel</t>
  </si>
  <si>
    <t>[D-MCL-108S17-6] Lip Oil Seal, MCL-108S17, Steel/Nitrile</t>
  </si>
  <si>
    <t>[G-A01081A12] Premium Packing, 3196 XLT, 5 Pre-Cut Rings, Graphite</t>
  </si>
  <si>
    <t>[AC-52-053-163-000] Frame Assembly, F4D1, Allis-Chalmers CSO, c/w 316SS Shaft</t>
  </si>
  <si>
    <t>[AC-98-431-321-006] Impeller, 8x6-17, PWO, 3-Vane, 317SS</t>
  </si>
  <si>
    <t>[AC-98-432-073-005P] Impeller, 12x10-17, PWO, 4-Vane, 317SS</t>
  </si>
  <si>
    <t>[W-B15132L/S01] Discharge Joint Ring, 2/1.5 B-AH, EPDM Rubber</t>
  </si>
  <si>
    <t>[W-E122/S44] Seal Ring, 6/4 D or E-AH, Neoprene</t>
  </si>
  <si>
    <t>[IR-1895A162X18W004-379] Shaft Sleeve, Ingersoll-Rand, HOC-2, 316SS</t>
  </si>
  <si>
    <t>[AC125A-CS02-3SS, AC-52-108-364-003] Gland Base Ring, 8.5", Allis Chalmers CSO, Frame F4B3/F4B5/F4D1, 316SS</t>
  </si>
  <si>
    <t>[AC125-CS02-3SS, AC-52-108-789-004] Packing Base Ring, Allis Chalmers CSO, Frame F4B3/F4B5/F4D1, 316SS</t>
  </si>
  <si>
    <t>[G-9008-31365] Breather, 3196 MTX, Carbon Steel</t>
  </si>
  <si>
    <t>[G-A02827A04 2156] Impeller Nut &amp; Washer, 3196 XLT, Titanium</t>
  </si>
  <si>
    <t>[WO-9070000-012] Casing Gasket, 18", Worthington FRBH</t>
  </si>
  <si>
    <t>INV-0400</t>
  </si>
  <si>
    <t>[SA-12660-2] Casing Cover, 22/33, Sala STHM, 316SS</t>
  </si>
  <si>
    <t>[SA-12648-2] Impeller, 22/33/44 WFR, Sala ST, 316SS</t>
  </si>
  <si>
    <t>[SA-134421-2] Sleeve, Sala 3x3 STHM, 316SS</t>
  </si>
  <si>
    <t>[G-D04928A 1012] Casing, 4x6-13, 3196 MTX, Ductile Iron</t>
  </si>
  <si>
    <t>[G-70782 28 5127] Casing Gasket, 13", 3196 MTX/LTX, Durlon 8500</t>
  </si>
  <si>
    <t>100413/1002Cover Plate, 2/1.5 B-AH, Ductile Iron</t>
  </si>
  <si>
    <t>100425/1002Frame Plate, 2/1.5 B-AH, Ductile Iron</t>
  </si>
  <si>
    <t>[AC-98-332-783-801] Bearing Housing Assembly, PWO Frame 1, Cast Iron</t>
  </si>
  <si>
    <t>DE-503628 Bearing Assembly, 10x8-21 SRL-C, Denver</t>
  </si>
  <si>
    <t>INV-0398</t>
  </si>
  <si>
    <t>INV-0396</t>
  </si>
  <si>
    <t>[AC-98-200-025-501] Bearing Cylinder Assembly, 8x6-18 SRL</t>
  </si>
  <si>
    <t>[AC-98-331-958-810] Shaft Sleeve, 2x2-10 SRL, 316SS</t>
  </si>
  <si>
    <t>[AC-98-331-926-801] Bearing Cover (Outboard), 5x4/5x5/6x6 SRL &amp; SRL-C, Cast Iron</t>
  </si>
  <si>
    <t>[AC-98-331-954-801] Bearing Cover (Inboard), 5x4/5x5/6x6 SRL &amp; SRL-C, Cast Iron</t>
  </si>
  <si>
    <t>[DVT‐GV16D20‐4/0503-LR] Lantern Ring, Dynapro Vertical Turbine Pump, 16DMC 4-Stages, Teflon</t>
  </si>
  <si>
    <t>[AC-52-327-083-251] Packing (4 Piece Set), 10x8-17, Allis-Chalmers CW</t>
  </si>
  <si>
    <t>[G-A01075A268 5026] Packing (5 Piece Set), 3175-M, Teflon Impregnated Kevlar</t>
  </si>
  <si>
    <t>Freight Charged - COVIA</t>
  </si>
  <si>
    <t>106804/6502Discharge Joint Ring, EPDM</t>
  </si>
  <si>
    <t>[LX-4533-1-6] Gland Seal, Linatex SRL, Linatex Red Rubber</t>
  </si>
  <si>
    <t>[261 Buna, G-C02495A261 5302] Bearing Housing O-Ring, 3196 XLT, Buna-N</t>
  </si>
  <si>
    <t>[T-034, G-C02495A34 6359] Impeller O-Ring, 3196 XLT, Teflon</t>
  </si>
  <si>
    <t>[W-86EDH/R55] Pump, 8/6 E-DH, W-Series, Natural Rubber</t>
  </si>
  <si>
    <t>[RDNPRO159] REPAIR - P/N 4533-1AL - 8X6 LINATEX OLD STYLE IMPELLER, RUBBER LINED, REMOVE OLD RUBBER AND REBUILD BACK TO OEM SPEC USING LINATEX RED RUBBER.</t>
  </si>
  <si>
    <t>[G-259-63 01 1203] Casing, 10x12-18, 3175-M, 316SS</t>
  </si>
  <si>
    <t>Freight charged</t>
  </si>
  <si>
    <t>Freight Charge</t>
  </si>
  <si>
    <t>[DU-DY53443A/FML-CD4] Rear Cover, 13", Durco Mark 2&amp;3 Group 2, CD4MCu, Flow Modifier Large Bore</t>
  </si>
  <si>
    <t>[W-SPR65153/R55] Column Clamp, 65QV-SPR, Natural Rubber</t>
  </si>
  <si>
    <t>[156 Teflon, G-C02495A998 6359] Shaft Sleeve O-Ring, 3175-L, Teflon</t>
  </si>
  <si>
    <t>[G-076794 1204] Impeller, 1.5x3-8, 3196 STX, Alloy 20, 5-Vane</t>
  </si>
  <si>
    <t>[G-C03061A01 1001] Suction Side Plate, 18x18-22XL, 3180-XL, Ductile Iron</t>
  </si>
  <si>
    <t>[AC-52-235-695-005] Oil Slinger, Allis Chalmers CSO, Steel</t>
  </si>
  <si>
    <t>INV-0395</t>
  </si>
  <si>
    <t>D-PE3J308
Radial Bearing, Goulds JC, Frame 3J, Steel, Grease Lubricated</t>
  </si>
  <si>
    <t>N-13 Bearing Lock Nut, Steel</t>
  </si>
  <si>
    <t>D-PE3J304
Shaft, Goulds JC Frame 3J, 4140 Steel</t>
  </si>
  <si>
    <t>D-PE3J302
Thrust Bearing, Goulds JC, Frame 3J, Steel, Grease Lubricated</t>
  </si>
  <si>
    <t>D-WE3J36
Lantern Ring, Goulds JC, Frame 3J, Teflon</t>
  </si>
  <si>
    <t>D-3J4614-10
Impeller, 4x6-14, Goulds JC, Frame 3J, High Chrome, OEM#
056185G14A1228</t>
  </si>
  <si>
    <t>Procurement and Administrative (freight) support Fee = $10,095.00 CAD per transfer pricing calculation (March 2025 - May 2025) 1 CAD = 0.727813 USD; Mark up on cost = 8%</t>
  </si>
  <si>
    <t>102392/6504 Lip Seal, 8/6 E-AH, Nitrile</t>
  </si>
  <si>
    <t>101881/6007 Expeller Ring, 8/6 E or R-AH, Natural Rubber</t>
  </si>
  <si>
    <t>Pedestal, 12x10-25 SRL-C &amp; 8x8-25 SRL-XT, Cast Iron</t>
  </si>
  <si>
    <t>106163/0003Volute Liner, 300 RSL, High Chrome</t>
  </si>
  <si>
    <t>[GA-2.5*1100x60-CI] Sump Pump, G-Series 2.5" VSP, 1000 Series, 60" Column, Cast Iron</t>
  </si>
  <si>
    <t>Credit note for the invoice INV-0386</t>
  </si>
  <si>
    <t>[AC-98-431-641-503] Impeller (Closed), 10x8-21 SRL-C, Neoprene</t>
  </si>
  <si>
    <t>[AC-98-231-135-503] Suction Side Plate, 10x8-21 SRL-C, Neoprene</t>
  </si>
  <si>
    <t>[AC-98-231-136-503] Gland Side Liner, 10x8-21 SRL-C, Neoprene</t>
  </si>
  <si>
    <t>[AC-98-231-134-503] Suction Side Liner, 10x8-21 SRL-C, Neoprene</t>
  </si>
  <si>
    <t>[G-A01154A04] Sight Glass, 3/4", Goulds, Bronze, Threaded</t>
  </si>
  <si>
    <t>[468440/6505] Intermediate Bowl Bushing (Bearing), Vertical Turbine Pump, 18DMC 2-Stages, NBR</t>
  </si>
  <si>
    <t>[10009/0512] Shaft, 150FY-40, 316LSS</t>
  </si>
  <si>
    <t>[1010-11/0512] Deep Groove Ball Bearing, 150FY-40</t>
  </si>
  <si>
    <t>[10003/0512] Impeller, 150FY-40, 316LSS</t>
  </si>
  <si>
    <t>[10002/0512] Impeller Nut, 150FY-40, 316LSS</t>
  </si>
  <si>
    <t>[10001/0512] Impeller Bolt, 150FY-40, 316LSS</t>
  </si>
  <si>
    <t>[10023/0523] Guide Bearing Body, 150FY-40, 316LSS with Nitrile</t>
  </si>
  <si>
    <t>[468436] Plug, Vertical Turbine Pump, 18DMC-2</t>
  </si>
  <si>
    <t>[468426/0503] Impeller, Vertical Turbine Pump, 18DMC 2-Stages, 420SS</t>
  </si>
  <si>
    <t>[468424/0503] Impeller Shaft, Vertical Turbine Pump, 18DMC 2-Stages, 420SS</t>
  </si>
  <si>
    <t>[468437/0503] Impeller Collect w/Bolts, Vertical Turbine Pump, 18DMC 2-Stages, 420SS</t>
  </si>
  <si>
    <t>[10055/0505] Bowl Shaft, 12RJMC-2, 316SS</t>
  </si>
  <si>
    <t>[10052/5001] Bowl Bearing, 12RJMC-2, Teflon</t>
  </si>
  <si>
    <t>[468427/0503] Suction Bowl, Vertical Turbine Pump, 18DMC-2, 420SS</t>
  </si>
  <si>
    <t>[468425/0503] Intermediate Bowl, Vertical Turbine Pump, 18DMC-2, 420SS</t>
  </si>
  <si>
    <t>[AC-98-236-570-001] Sleeve Washer (Impeller), 16x14-34 SRL-C</t>
  </si>
  <si>
    <t>[AC-98-230-834-001] Water Seal Bushing, 16x14-34 SRL-C</t>
  </si>
  <si>
    <t>[SA-13168-M1] Bearing Cylinder Assembly, Sala STHM 22WFR, 1045 Steel Shaft</t>
  </si>
  <si>
    <t>[W-D3017M/R55] Cover Plate Liner, 4/3 C or D-AH, Natural Rubber</t>
  </si>
  <si>
    <t>[SA-100201-2] Stud 5/8 UNC X 3-1/16 GR 5</t>
  </si>
  <si>
    <t>[SA-100201-1] Stud 5/8 UNC X 3-1/4 GR 5</t>
  </si>
  <si>
    <t>106154/0003 Throatbush, 300 RSL, High Chrome</t>
  </si>
  <si>
    <t>[AC-52-118-010-002] Shaft Sleeve, Allis Chalmers 2000 Series, 330 Frame, Bronze</t>
  </si>
  <si>
    <t>Frame, 17"/18", Allis Chalmers PWO, Frame A2, Oil-Lubed, Cast Iron</t>
  </si>
  <si>
    <t>[TSSC-J01-1.75(BIG BORE)-00] Single Cartridge Seal, 1 3/4", D-196 MTX, Big Bore, Carbon vs Silicon Carbide w/Aflas Elastomers</t>
  </si>
  <si>
    <t>[TSSC-J01-1.375(BIG BORE)-00] Single Cartridge Seal, 1 3/8", D-196 STX or D-III Group 1, Big Bore, Carbon vs Silicon Carbide w/Aflas Elastomers</t>
  </si>
  <si>
    <t>[023-Teflon, G-C02495A23 6359] Impeller O-Ring, 3196 STX, Teflon</t>
  </si>
  <si>
    <t>[AM-MH150S12-06-CD4, L-P 6614S G0904 CD4 ZD] Shaft, DW-ME6/6-12S, CD4MCu</t>
  </si>
  <si>
    <t>[2-170V70B (brown)] O-Ring, 10JKH/M, 07.75IDx.09RD, Viton</t>
  </si>
  <si>
    <t>102917/0003Volute Liner, 6/4 F-HH, High Chrome</t>
  </si>
  <si>
    <t>[W-G078/G01] Stuffing Box, 10/8 to 14/12, Cast Iron</t>
  </si>
  <si>
    <t>[W-C118/C23] Lantern Restrictor, 3/2 or 4/3 C-AH, 316SS</t>
  </si>
  <si>
    <t>[W-D3013/D21] Cover Plate, 4/3 C or D-AH, Ductile Iron</t>
  </si>
  <si>
    <t>[W-D359/C23] Impeller Boss Cap, 316SS</t>
  </si>
  <si>
    <t>[W-D064/S10] O-Ring Impeller Seal, 4/3 C-AH, Nitrile</t>
  </si>
  <si>
    <t>[W-C044/C23] Gland Split w/Bolt &amp; Nut, 3/2 or 4/3 C-AH, 316SS</t>
  </si>
  <si>
    <t>[AC707 ET62(M10X40), W-C045M/E62] Gland Bolt w/Nut &amp; Washer, 3/2 or 4/3 C-AH</t>
  </si>
  <si>
    <t>[W-D026M/E62] Liner Stud w/Nut, 4/3 C or D-AH, Metric</t>
  </si>
  <si>
    <t>[W-E034M/E62] Frame Plate Bolt - 1 nut, 8/6 AH</t>
  </si>
  <si>
    <t>[W-C2060/R26] Intake Joint Ring, 3/2 C-AH, Natural Rubber</t>
  </si>
  <si>
    <t>[W-C2017/U38] Cover Plate Liner, 3/2 C-AH, Urethane</t>
  </si>
  <si>
    <t>[AC-98-431-775-001] Suction Side Casing, 8x6-18 SRL-C, Cast Iron</t>
  </si>
  <si>
    <t>[MD-E-255SSE- 6V48AYB-S] DYNAPRO MAGNETIC PUMP</t>
  </si>
  <si>
    <t>[W-0352] DYNAPRO SUBMERGED PUMP, 316SS</t>
  </si>
  <si>
    <t>[100HP-1800-VHS] 100 HP, 1800 RPM, 460/3/60, 404TP Frame, TEFC, NEMA Standard, BMR USA VHS Motor</t>
  </si>
  <si>
    <t>[W-C2036/U38] Frame Plate Liner, 3/2 C-AH, Urethane</t>
  </si>
  <si>
    <t>[W-M30H5-V] Hex Nut, M30, Zinc Plated</t>
  </si>
  <si>
    <t>[DE-503453] Lantern Ring, 8x6-18 SRL-C, Denver, Steel</t>
  </si>
  <si>
    <t>[D-825-521-011-MS] Mechanical Seal, NM053BY01L06B</t>
  </si>
  <si>
    <t>[825-521-011-Stator] Stator, NM053BY01L06B</t>
  </si>
  <si>
    <t>[825-521-011] Pump, NM053BY01L06B with motor</t>
  </si>
  <si>
    <t>[G-0256-122 1216] Impeller, 8x10-15G, 3196 XLT, CD4MCu</t>
  </si>
  <si>
    <t>[G-256-64 1012] Casing, 8x10-15G, 3196 XLT, Ductile Iron</t>
  </si>
  <si>
    <t>[G-D07090A] Baseplate, XLT, 398 Carbon Steel</t>
  </si>
  <si>
    <t>[G-D04628A 1000] Thrust Bearing Housing, 3196 LTX, Cast Iron</t>
  </si>
  <si>
    <t>[DU-CY32768AA-316] Shaft (Hook Sleeve), Durco Mark 2&amp;3 Group 2, 316SS</t>
  </si>
  <si>
    <t>[G-C04677A 3201] Coupling Guard, 3196 MTX/LTX, Fabricated Steel, Drum Style</t>
  </si>
  <si>
    <t>[W-SV089/S10] Bearing Seal, 150 SV-SP</t>
  </si>
  <si>
    <t>[SA-016628-M1] Casing, 44 WFR, Sala ST, Rubber Lined</t>
  </si>
  <si>
    <t>[DU-DY21806ACP-DI] Adapter (Bearing Housing), 10", Durco Mark 2&amp;3 Group 2, Ductile Iron</t>
  </si>
  <si>
    <t>[DU-CY21805A/CBS-DC20] Rear Cover, 10", Durco Mark 2&amp;3 Group 2, Alloy 20, Small Bore</t>
  </si>
  <si>
    <t>[W-FAM075/C21] Shaft Sleeve, 10/8 to 14/12 F-AH, 420SS, Heat Treated, Hardened</t>
  </si>
  <si>
    <t>[W-F078/A05] Stuffing Box, High Chrome</t>
  </si>
  <si>
    <t>[W-G039M/E62] Frame Plate Stud w/2 Nuts, 10/8 to 14/12, Metric</t>
  </si>
  <si>
    <t>[DU-CY50682AA-316] Shaft (Solid), Durco Mark 3 Group 1, 316SS</t>
  </si>
  <si>
    <t>[W-C2036HS1/R55] Frame Plate Liner (Hi-Seal), 3/2 C-AH, Natural Rubber</t>
  </si>
  <si>
    <t>[D-196 1x1.5-8 STX CD4MCu] Pump, 1x1.5-8, D-196 STX, All CD4MCu</t>
  </si>
  <si>
    <t>[AM-MH150S12-CD4-PUMP ONLY] Self-Priming Pump, DW-ME6/6-12S, CD4MCu, Pump Only</t>
  </si>
  <si>
    <t>[AM-MH150S12-OK] O-Ring Kit (4 Piece), DW-ME6/6-12S, NBR</t>
  </si>
  <si>
    <t>[AM-MH150S12-OILFLT, QSB5.9-C160 Oil Filter] Engine Oil Filter, QSB5.9-C180, DW-ME6/6-12S</t>
  </si>
  <si>
    <t>[AM-MH150S12-CVG] Check Valve Gasket, DW-ME6/6-12S, Rubber</t>
  </si>
  <si>
    <t>[AM-MH150S12-01-SKF] Bearing Kit (2 Piece), DW-ME6/6-12S, Steel</t>
  </si>
  <si>
    <t>[AM-MH150S12-AIRFLT] Air Filter Element, QSB5.9-C160, DW-ME6/6-12S</t>
  </si>
  <si>
    <t>[AM-MH150S12-17-CD4] Impeller, DW-ME6/6-12S, CD4MCu</t>
  </si>
  <si>
    <t>[AM-MH150S12-LSK-NBR] Lip Seal Kit (3 Piece), DW-ME6/6-12S, NBR</t>
  </si>
  <si>
    <t>[AM-MH150S12-27-CD4] Mechanical Seal, DW-ME6/6-12S, CD4MCu</t>
  </si>
  <si>
    <t>[AM-MH150S12-18-CD4] Suction flange, DW-ME6/6-12S, CD4MCu</t>
  </si>
  <si>
    <t>[AM-MH150S12-15-CD4] Backplate, DW-ME6/6-12S, CD4MCu</t>
  </si>
  <si>
    <t>INV-0393</t>
  </si>
  <si>
    <t>Pump, 3x2-10A, D-III Mark 3 Group 2, All CD4MCu</t>
  </si>
  <si>
    <t>Pump, 4/4, Dynapro CVD, High Chrome</t>
  </si>
  <si>
    <t>106003/0505 Lantern Ring, 300 RSL, 316SS</t>
  </si>
  <si>
    <t>[W-QV024L-1/G01] End Cover (Lower), 65QV-SP, Cast Iron</t>
  </si>
  <si>
    <t>[W-QV024/G01] End Cover, 65QV-SP, Cast Iron</t>
  </si>
  <si>
    <t>[AN-26, G-8601-3026, 17199147] Bearing Lock Nut, 10x10-28 SRL-XT, Steel</t>
  </si>
  <si>
    <t>[G-D03046A01 1203] Impeller (Less Rings), 6x8-22, 3410-M, 316SS</t>
  </si>
  <si>
    <t>[AC-52-431-816-110] Casing Gasket, 19", Goulds PS+, F23A1</t>
  </si>
  <si>
    <t>[G-0C03147A 1000] Stuffing Box Cover, 19", 3180-M, Cast Iron</t>
  </si>
  <si>
    <t>[G-RC04059A01 1216] Stuffing Box Cover, 10", 3196 MTX, CD4MCu, Big Bore, Non-Jacketed</t>
  </si>
  <si>
    <t>[G-C06349A 1216] Impeller, 4x6-10G, 3196 MTX, CD4, 6-Vane</t>
  </si>
  <si>
    <t>[G-D08742A 1216] Casing, 4x6-10G, 3196 MTX/LTX, CD4MCu</t>
  </si>
  <si>
    <t>[DU-MY50754A82-CD4] Impeller, 1.5x1-82, Durco Mark 3 Group 1, CD4MCu, Reverse Vane</t>
  </si>
  <si>
    <t>[DU-BY50424B-TSSR] Oil Seal (Outboard), Durco Mark 2&amp;3 Group 1, Teflon/Stainless Steel/Rubber</t>
  </si>
  <si>
    <t>[G-C04110A01 1203] Stuffing Box Cover, 10", 3196 MTX, 316SS, VPE Enlarged Taper Bore</t>
  </si>
  <si>
    <t>[WO-390078-00] Seal Ring, Worthington FRBH, Frame Size 5, Rubber</t>
  </si>
  <si>
    <t>Seal Guard Top A388509-01</t>
  </si>
  <si>
    <t>[G-735192] Deflector, 3196 MTX, Plastic</t>
  </si>
  <si>
    <t>[REM - W 09, G-8910-0009] Bearing Lock Washer, Steel</t>
  </si>
  <si>
    <t>[CR 17386, G-8690-93904] Bearing Seal (Inboard), 3x3-10 SRL &amp; SRL-C, Neoprene/Steel</t>
  </si>
  <si>
    <t>[AC-52-321-473-250, M&amp;N's part # 189] Impeller (Open), 4x3-13, Allis Chalmers CSO, 316SS, 6 Vanes</t>
  </si>
  <si>
    <t>[AC-98-233-979-004] Sleeve Washer (Impeller), 3x3-10 SRL &amp; SRL-C, Steel</t>
  </si>
  <si>
    <t>[W-RVR10102G/R55] Column 1200mm, 100RV-SPR, Natural Rubber</t>
  </si>
  <si>
    <t>[W-RVR10154G/R55] Discharge Pipe 1200mm, 100RV-SPR, Natural Rubber</t>
  </si>
  <si>
    <t>[W-RVR10073G] Shaft 1200mm, 100RV-SPR, 1045</t>
  </si>
  <si>
    <t>[10247/1501] Adjusting Nut w/Bolts, 12RJHC-8, Carbon Steel</t>
  </si>
  <si>
    <t>[W-E108H/D21] Piston Ring (Hook Style), Ductile Iron</t>
  </si>
  <si>
    <t>[W-E024-10/D81] End Cover, 6/4 or 8/6 E-AH, Ductile Iron</t>
  </si>
  <si>
    <t>[W-E062-10/D81] Labyrinth, 6/4 &amp; 8/6 E-AH or 150/200/250 Type L, Ductile Iron</t>
  </si>
  <si>
    <t>[V-95A, W-D089-10/S10] Bearing Seal Ring, 4/3 or 6/4 D-AH, Nitrile</t>
  </si>
  <si>
    <t>[W-D024-10/D81] End Cover, 4/3 or 6/4 D-AH, Ductile Iron</t>
  </si>
  <si>
    <t>Labyrinth, 4/3 or 6/4 D-AH, Ductile Iron</t>
  </si>
  <si>
    <t>[W-E4036M/R55] Frame Plate Liner, 6/4 DH, Natural Rubber</t>
  </si>
  <si>
    <t>[SZ-2837900133-1] Shaft, Sulzer</t>
  </si>
  <si>
    <t>[SZ-9268290131] Labyrinth Ring, Sulzer</t>
  </si>
  <si>
    <t>[SZ-9321480153] Bearing Housing, Sulzer</t>
  </si>
  <si>
    <t>[W-E063/P50] Lantern Ring</t>
  </si>
  <si>
    <t>[D-250ZJ-I-A103-Rear liner plate] Rear Liner Plate, 250ZJ, Chrome</t>
  </si>
  <si>
    <t>[D-250ZJ-103-7] Stuffing Box, 250ZJ-I-A103, High Chrome</t>
  </si>
  <si>
    <t>[D-250ZJ-I-A103-Front liner plate] Front Liner Plate, 250ZJ, Chrome</t>
  </si>
  <si>
    <t>[D-250ZJ-103-1] Impeller, 250ZJ-I-A103, High Chrome</t>
  </si>
  <si>
    <t>[D-250ZJ-103-2] Volute Casing, 250ZJ-I-A103, High Chrome</t>
  </si>
  <si>
    <t>[D-250ZJ-16] Coupling, 250ZJ-I-A103</t>
  </si>
  <si>
    <t>[D-250ZJ-RHB] Rear Housing Bearing, 250ZJ-I-A103</t>
  </si>
  <si>
    <t>Front Housing Bearing, 250ZJ-I-A103</t>
  </si>
  <si>
    <t>[D-250ZJ-103-8] Shaft Sleeve, 250ZJ-I-A103, 420SS, Heat Treated, Hardened</t>
  </si>
  <si>
    <t>[683 (Outside Diameter)x 6 (Cross-Section), Rubber] O-Ring (Rear Plate to Stuffing Box), 250ZJ-I-A103, Natural Rubber</t>
  </si>
  <si>
    <t>[1048 (Outside Diameter)x 6 (Cross-Section), Rubber] O-Ring (Front Plate to Volute), 250ZJ-I-A103, Natural Rubber</t>
  </si>
  <si>
    <t>[D-250ZJ-103-6] Rear Casing, 250ZJ-I-A103, Ductile Iron</t>
  </si>
  <si>
    <t>[D-250ZJ-103-5] Front Casing, 250ZJ-I-A103, Ductile Iron</t>
  </si>
  <si>
    <t>[D-250ZJ-96-12] Discharge Pipe, 250ZJ-I-A103, Ductile Iron</t>
  </si>
  <si>
    <t>[D-250ZJ-96-11] Suction Pipe, 250ZJ-I-A103, Ductile Iron</t>
  </si>
  <si>
    <t>[D-250ZJ-85-14] Packing Gland, 250ZJ-I-A103, 316SS</t>
  </si>
  <si>
    <t>[D-250ZJ-RBC-CI] Bearing Cover (Rear), 250ZJ-I-A103, Cast Iron</t>
  </si>
  <si>
    <t>[D-250ZJ-BRB-CI] Bracket Body w/Cover, 250ZJ-I-A103, Cast Iron</t>
  </si>
  <si>
    <t>[D-250ZJ-BHO-CI] Bearing Housing, 250ZJ-I-A103, Cast Iron</t>
  </si>
  <si>
    <t>[D-250ZJ-RET-420] Retaining Sleeve, 250ZJ-I-A103, 420SS</t>
  </si>
  <si>
    <t>[D-250ZJ-85-10] Water Sealing Ring, 250ZJ-I-A103, 316SS</t>
  </si>
  <si>
    <t>[D-250ZJ-DIS-420] Disassembly Ring, 250ZJ-I-A103, 420SS</t>
  </si>
  <si>
    <t>[D-250ZJ-FBC-CI] Bearing Cover (Front), 250ZJ-I-A103, Cast Iron</t>
  </si>
  <si>
    <t>[825-521-027-M] 4P-5.5KW, 480V/3PH/60HZ Motor</t>
  </si>
  <si>
    <t>[825-521-027] Pump, 25I-MSR</t>
  </si>
  <si>
    <t>[GA-24059] Flinger, 2.5", G-Series VSP, 2.5" 1000 Series or 1.5" 5000 Series, Neoprene</t>
  </si>
  <si>
    <t>[GA-22141,TIM-477-90268] Bearing (Tapered Roller), G-Series 2" VSP, Steel, #2 Drive</t>
  </si>
  <si>
    <t>[GA-05498,WTW - NU 409 M1 C3] Bearing (Cylinder Roller), G-Series 2" VSP, Steel, #2 Drive</t>
  </si>
  <si>
    <t>[W-PVR184/S44] Flinger, 40PV-SP, Neoprene</t>
  </si>
  <si>
    <t>[G-0C02706A02 1203] Suction Side Plate, 4x6-19, 3180-M, 316SS</t>
  </si>
  <si>
    <t>[DE-504978] Impeller, 10x8, Denver SRL, Natural Rubber</t>
  </si>
  <si>
    <t>[W-C2127/R55] Impeller, 3/2 C-AH, Natural Rubber</t>
  </si>
  <si>
    <t>SO16835 - freight</t>
  </si>
  <si>
    <t xml:space="preserve">SO16835 - freight </t>
  </si>
  <si>
    <t>[AC-98-332-251-504] Suction Wear Plate, 12x10-25 SRL-C, Urethane</t>
  </si>
  <si>
    <t>[AC-98-037-796-503] Impeller (Open), 6x6-15 SRL, Neoprene</t>
  </si>
  <si>
    <t>[AC-98-039-047-506] Impeller (Closed), 5x4-14 SRL-C, Urethane</t>
  </si>
  <si>
    <t>[PM 2083] Impeller, Worthington 4-FRBH-182, 316SS</t>
  </si>
  <si>
    <t>[W-CAM005M] Bearing Assembly w/Shaft, 4/3 C-AH</t>
  </si>
  <si>
    <t>[W-F6015M/E62] Cover Plate Bolt w/2 Nuts Metric, 8/6 E, F or R-AH</t>
  </si>
  <si>
    <t>[AC-98-232-674-801] Bearing Cover (Inboard), Allis Chalmers PWO, Frame A2, Oil, Cast Iron</t>
  </si>
  <si>
    <t>[ML2225-7/8] Packing 7/8" x 7/8", Synthetic Filament w/PTFE Lubricant, 10 lbs.</t>
  </si>
  <si>
    <t>AC-98-332-625-504 Gland Side Liner, 12x10-25 SRL-C, Urethane</t>
  </si>
  <si>
    <t>INV-0391</t>
  </si>
  <si>
    <t>AC-98-234-903-504 Suction Side Liner, 12x10-25 SRL-C, Urethane</t>
  </si>
  <si>
    <t>AC-98-332-251-504 Suction Wear Plate, 12x10-25 SRL-C, Urethane</t>
  </si>
  <si>
    <t>[AC-98-331-617-806] Side Plate, 12x10-17, PWO, 317SS</t>
  </si>
  <si>
    <t>Bank fee</t>
  </si>
  <si>
    <t>CN-0390</t>
  </si>
  <si>
    <t>[W-B1060/S01] Intake Joint Ring, 1.5/1 B-AH, EPDM Rubber</t>
  </si>
  <si>
    <t>[AC-98-131-936-001] Bearing Spacer, 14x12 SRL-XT</t>
  </si>
  <si>
    <t>[AC-98-234-108-001] Half Seal Cage, 2x2-10 SRL, Cast Iron</t>
  </si>
  <si>
    <t xml:space="preserve"> SO16875</t>
  </si>
  <si>
    <t>[DU-MY36862A100-HAST-C] Impeller, 3x2-10, Durco Mark 2 Group 2, Hastelloy C, Reverse Vane</t>
  </si>
  <si>
    <t>[DAE-260, DE-521007] O-Ring (Stuffing Box), 10x8-21 Denver SRL-C, Buna</t>
  </si>
  <si>
    <t>[DE-503562 Packing Set, (5 Pre-Cut Rings), 10x8-21 Denver SRL-C, Premium Kevlar Slurry Packing</t>
  </si>
  <si>
    <t>[AC-98-236-104-001] Shaft Sleeve, 8x6-18 &amp; 10x8-21 SRL-C, Steel</t>
  </si>
  <si>
    <t>[DE-503191] Expeller, 5x4, 5x5, 6x6, D-SRL, Cast Steel</t>
  </si>
  <si>
    <t>[AC-98-332-013-806] Fastener Kit (Gland &amp; Suction Side Liner), 3x3-10 SRL-C</t>
  </si>
  <si>
    <t>105814/0003 Expeller Ring, 300 RSL, High Chrome</t>
  </si>
  <si>
    <t>106793/0003 Frame Plate Liner Insert, 300 RSL, High Chrome</t>
  </si>
  <si>
    <t>105811/0003 Expeller, 300 RSL, High Chrome</t>
  </si>
  <si>
    <t>106080/0503 Shaft Sleeve (Long), 10/8 to 14/12 ST-AH, 420SS</t>
  </si>
  <si>
    <t>104126/6518 Shaft Seal O-Ring, 10/8 to 14/12, Viton</t>
  </si>
  <si>
    <t>104008/1512 Liner Stud w/Nut, 12/10 or 14/12 F, T or STAH, Metric</t>
  </si>
  <si>
    <t>103090/5004 End Cover Shim Set, 8/6 to 14/12 F-AH, PVC</t>
  </si>
  <si>
    <t>102811/1003 End Cover, 8/6 to 14/12 F-AH</t>
  </si>
  <si>
    <t>102813/1003 Labyrinth, 8/6 to 14/12 F-AH, Zinc Plated</t>
  </si>
  <si>
    <t>[GA-25233] Cover Plate, G-Series 2.5" VSP, 1000 Series, Neoprene</t>
  </si>
  <si>
    <t>[GA-24073] Discharge Pipe, 48", G-Series 2.5" VSP, 1000 Series, Neoprene Lined Inside and Out</t>
  </si>
  <si>
    <t>[GA-24040] Casing, G-Series 2.5" VSP, 1000 Series, Neoprene</t>
  </si>
  <si>
    <t>[GA-24003] Upper Screen, G-Series 2.5" or 3.5" VSP, 1000 Series, Neoprene</t>
  </si>
  <si>
    <t>[GA-23974] Impeller, G-Series 2.5" VSP, 1000 Series, Neoprene</t>
  </si>
  <si>
    <t>[GA-23988] Lower Screen, G-Series 1.5" VSP, 5000 Series and 2.5" or 3.5" VSP, 1000 Series, Neoprene</t>
  </si>
  <si>
    <t>[AC-98-234-013-001] Waterseal Bushing, 3x3-10 SRL, Cast Iron</t>
  </si>
  <si>
    <t>[AC-98-331-634-801] Suction Side Plate, 10x8-21, Allis-Chalmers PWO-C, Cast Iron</t>
  </si>
  <si>
    <t>[AC-98-530-586-001] Pedestal, 8x6-18 &amp; 10x8-21 SRL-C, Cast Iron</t>
  </si>
  <si>
    <t>[AC-98-331-596-801] Stuffing Box Cover, 21", PWO, Frame 3,  Cast Iron</t>
  </si>
  <si>
    <t>[G-R102-871 2229] Shaft (Sleeve Type), 3175-S, 316SS</t>
  </si>
  <si>
    <t>Maintenance Kit, 18", 3175-M</t>
  </si>
  <si>
    <t>[WO-2113808-183] Stuffing Box Head, Worthington FRB, FRBH 14(15)" Frame 2, CD4MCu</t>
  </si>
  <si>
    <t>[AC-52-430-274-501] Frame, Allis-Chalmers CSO, F4D1, Cast Iron</t>
  </si>
  <si>
    <t>[GATES - XPC2240] V-Belt, Wedge, Gates, SPC 2240mm, Synthetic Rubber</t>
  </si>
  <si>
    <t>Shaft, HPCW, 17-4PH SS</t>
  </si>
  <si>
    <t>[FS-60361M3-01  165MMRKCS-02G2AS2-2Z1-RW/LU] RKCS, 165mm, Slurry Cartridge Seal, Heavy Duty Stationary, Multi-Spring, SC vs SC</t>
  </si>
  <si>
    <t>TT 1/FIRST BAUX - SO16712</t>
  </si>
  <si>
    <t>[AC-98-431-831-501] Gland Side Casing, 5x5-14 SRL, Cast Iron</t>
  </si>
  <si>
    <t>[AC-98-431-833-001] Suction Side Casing, 5x5-14 SRL, Cast Iron</t>
  </si>
  <si>
    <t>[AC-98-331-901-801] Bearing Cover (Outboard), 8x6-18 &amp; 10x8-21 SRL-C, Cast Iron</t>
  </si>
  <si>
    <t>[AC-98-230-968-001] Shaft Sleeve Nut, 16x14-34 SRL-C, Cast Iron</t>
  </si>
  <si>
    <t>[AC-98-331-936-801] Bearing Cover (Inboard), 8x6-18 &amp; 10x8-21 SRL-C, Cast Iron</t>
  </si>
  <si>
    <t>[AC-98-231-121-507] Suction Side Plate, 8x6-18 SRL-C, Urethane</t>
  </si>
  <si>
    <t>[W-B1052/R55] Impeller, 1.5/1 B-AH, Natural Rubber</t>
  </si>
  <si>
    <t>[SA-134246-M1] Casing, Sala VS50, Natural Rubber</t>
  </si>
  <si>
    <t>[AC-98-432-883-502] Shaft (Fine Thread), PWO, Frame 3, 316SS</t>
  </si>
  <si>
    <t>100365/6518 Shaft O-Ring, 1.5/1 or 2/1.5 B-AH, Viton</t>
  </si>
  <si>
    <t>100495/6007 Impeller, 2/1.5 B-AH, Natural Rubber</t>
  </si>
  <si>
    <t>100416/6007 Cover Plate Liner, 2/1.5 B-AH, Natural Rubber</t>
  </si>
  <si>
    <t>100439/6007 Frame Plate Liner, 2/1.5 B-AH, Natural Rubber</t>
  </si>
  <si>
    <t>100413/1002 Cover Plate, 2/1.5 B-AH, Ductile Iron</t>
  </si>
  <si>
    <t>100425/1002 Frame Plate, 2/1.5 B-AH, Ductile Iron</t>
  </si>
  <si>
    <t>100512/6518 O-Ring Impeller Seal, 1.5/1 or 2/1.5 B-AH, Viton</t>
  </si>
  <si>
    <t>[FS-58960] Single Cartridge Mechanical Seal w/F-V-D Gland, 1 3/8", VSM3, Standard Bore, Carbon vs Silicon/FKM, 316ss Gland, Hasteloy-C Springs</t>
  </si>
  <si>
    <t>[SA-138623-2] Shaft Sleeve, Sala STGVA 65W, 316SS</t>
  </si>
  <si>
    <t>[GA-24563] Impeller Nut, 4", G-Series VSP, Natural Rubber</t>
  </si>
  <si>
    <t>Gaskets &amp; Seals Set, 65QV-SP</t>
  </si>
  <si>
    <t>[AC-52-425-753-005] Stuffing Box Cover, 10", CSO F4B3, Cast Iron</t>
  </si>
  <si>
    <t>[WO-959678-316] Casing, 3x4-10, Worthington D-1011, 316SS</t>
  </si>
  <si>
    <t>[AC-52-430-482-001-SS] Impeller, 4x3-11.5, Allis Chalmers CW, 316SS</t>
  </si>
  <si>
    <t>[58-950-883-001] Stuffing Box Cover, F-6D2 Frame, Allis Chalmers CW, Cast Iron</t>
  </si>
  <si>
    <t>[DU-DY21857ABP-DI] Adapter (Bearing Housing), 13", Durco Mark 2&amp;3 Group 2, Ductile Iron</t>
  </si>
  <si>
    <t>[AC-52-320-079-100] Impeller, 3x2-8.5, Allis Chalmers CSO, 316SS</t>
  </si>
  <si>
    <t>[W-C005XLM] Bearing Assembly w/X-Large Shaft, 3/2 C-AH, Metric</t>
  </si>
  <si>
    <t>Restocking fee - 25% 
RMA# WH/RET/00093</t>
  </si>
  <si>
    <t>Posted to clear credit note #CN-0330</t>
  </si>
  <si>
    <t>[TSSC-J01-2.5(BIG BORE)-00] Single Cartridge Seal, 2 1/2", D-196 XLT, Big Bore, Carbon vs Silicon Carbide w/Aflas Elastomers</t>
  </si>
  <si>
    <t>Procurement and Administrative (freight) support Fee = $11,161.00 CAD per transfer pricing calculation (December 2024 - February 2025) 1 CAD = 0.691884 USD; Mark up on cost = 8%</t>
  </si>
  <si>
    <t>Tariffs</t>
  </si>
  <si>
    <t>[Y22793A-SR] Outboard Bearing Shim Set, Durco Mark 2 Group 2, Steel</t>
  </si>
  <si>
    <t>[DU-Y19848A-SR] Bearing Shim Kit (3 Piece), Durco Mark 2 Group 1, Steel</t>
  </si>
  <si>
    <t>[Y19847A-CK] Bearing Gasket Kit (3-Piece), Durco Mark 2 Group 1, Cork</t>
  </si>
  <si>
    <t>[G-C03174A 1226] Shaft Sleeve, 3180-M, 316SS, Packed Box</t>
  </si>
  <si>
    <t>[G-RC03239A 2249] Shaft Assembly, 3180-M, Alloy Steel 4340, w/Key, Locknut &amp; Lockwasher</t>
  </si>
  <si>
    <t>[AC-98-231-085-501] Suction Side Liner, 6X6-15 SRL, Natural Rubber</t>
  </si>
  <si>
    <t>[WO-9901615-001, WO-2116818-001] Lantern Ring, Worthington FRBH, Frame 1, Teflon</t>
  </si>
  <si>
    <t>[DE-520995] O-Ring, 5x4, 5x5, D-SRL-C, Nitrile</t>
  </si>
  <si>
    <t>[WO-2104504-001] Stuffing Box, Worthington 3FRB101, 3FRB121 or 4FRB111, 316SS</t>
  </si>
  <si>
    <t>[AC126-CS02-XHN, AC-52-224-289-005] Shaft Sleeve, Allis-Chalmers CSO, Frame F4B3/F4B5/F4D1, XH-800</t>
  </si>
  <si>
    <t>[W-MS-43DWX-TT] Single Cartridge Slurry Mechanical Seal w/Flush Gland, Tungsten vs Tungsten w/EPDM Elastomers, 316SS Gland</t>
  </si>
  <si>
    <t>106154/0003Throatbush, 300 RSL, High Chrome</t>
  </si>
  <si>
    <t>[G-A01075A338 5026] Premium Slurry Packing (5 Piece Set), 3180-M</t>
  </si>
  <si>
    <t>[G-70782 176 5127] Casing Gasket, 4x6-19, 3180-M</t>
  </si>
  <si>
    <t>PayPal fee charge</t>
  </si>
  <si>
    <t>[G-8x10-18-JC-HC] Pump, 8x10-18, Dynapro DC, Frame 4J, High Chrome</t>
  </si>
  <si>
    <t>[1758] Impeller, Worthington 3-FRBH-141, CD4MCu</t>
  </si>
  <si>
    <t>[AC-98-5414-HC3] Suction Side Plate, 5x4-14 SRL-C, High Chrome, 3-Piece Design</t>
  </si>
  <si>
    <t>[AC-98-5414-HC2] Impeller (Nesting Design), 5x4-14 SRL-C, High Chrome, 3-Piece Design</t>
  </si>
  <si>
    <t>[AC-98-431-766-501] Gland Side Casing, 8x6-18 SRL-C, Cast Iron</t>
  </si>
  <si>
    <t>[AC-98-530-665-004] Impeller, 10x8-21 SRL-C, High Chrome</t>
  </si>
  <si>
    <t>[SA-582399-PS] Replacement Stud, Sala STHM-33WFR</t>
  </si>
  <si>
    <t>[G-D02488A02 1216] Casing, 8x10-13, 3196 XLT, CD4MCu</t>
  </si>
  <si>
    <t>[DE-503275] Shaft Sleeve, 5x4/5x5/6x6, Denver SRL, 420SS Heat Treated, Hardened</t>
  </si>
  <si>
    <t>[DE-503562] Packing Set, (5 Pre-Cut Rings), 10x8-21 Denver SRL-C, Premium Kevlar Slurry Packing</t>
  </si>
  <si>
    <t>[G-R100-585 1216] Stuffing Box Cover, 10", 3196 MTX, CD4MCu, Standard Bore, Non-Jacketed</t>
  </si>
  <si>
    <t>[G-104-556 1216] Casing, 1x1.5-8, 3196 STX, CD4MCu</t>
  </si>
  <si>
    <t>[G-R104-562 1216] Stuffing Box Cover, 6", 3196 STX, CD4MCu, Standard Bore, Non-Jacketed</t>
  </si>
  <si>
    <t>[G-0100-595 1216] Impeller, 2x3-10, 3196 MTX, CD4MCu, 5-Vane</t>
  </si>
  <si>
    <t>[G-R100-533 1216] Stuffing Box Cover, 13", 3196 LTX, CD4MCu, Standard Bore, Non-Jacketed</t>
  </si>
  <si>
    <t>[G-0100-593 1216] Impeller, 1.5x3-10, 3196 MTX, CD4MCu, 5-Vane</t>
  </si>
  <si>
    <t>102693 Bearing Assembly w/Shaft, 10/8 to 14/12 F-AH, Metric</t>
  </si>
  <si>
    <t>[AC-98-431-855-001] Suction Side Casing, 3x3-10 SRL-C, Cast Iron</t>
  </si>
  <si>
    <t>[AC-98-231-084-503] Gland Side Liner, 6x6-15 SRL, Neoprene</t>
  </si>
  <si>
    <t>[AC-98-110-455-501] Gland Assembly, 10x8-21 SRL-C (Old Style), 1045 Steel</t>
  </si>
  <si>
    <t>Performance Test</t>
  </si>
  <si>
    <t>138610/1002 Frame Plate, 3/2 C-AH, Ductile Iron</t>
  </si>
  <si>
    <t>100524/1001 Cover Plate, Ductile Iron</t>
  </si>
  <si>
    <t>W-C109/S50 Shaft O-Ring, 3/2 or 4/3 C-AH, Viton</t>
  </si>
  <si>
    <t>104788 Stud &amp; Lock Nut, 10x55mm</t>
  </si>
  <si>
    <t>100526/6502 Intake Joint Ring</t>
  </si>
  <si>
    <t>100983/5008 Lantern Restrictor, 3/2 or 4/3 C-AH, Ryton</t>
  </si>
  <si>
    <t>138611/0505 Gland Split w/Bolt &amp; Nut, 3/2 or 4/3 C-AH, 316SS</t>
  </si>
  <si>
    <t>104004/1512 Liner Stud w/Nut, 12/10 F-AH, Metric</t>
  </si>
  <si>
    <t>103982/6007 Cover Plate Liner, 12/10 F or ST-AH, Natural Rubber</t>
  </si>
  <si>
    <t>105825/0003 Impeller, 300 RSL, High Chrome, 5-Vane</t>
  </si>
  <si>
    <t>[GA-24315] Casing, G-Series 3.5" VSP, 1000 Series, Urethane</t>
  </si>
  <si>
    <t>[GA-24263] Impeller, 3.5" G-Series VSP, 1000 Series, Urethane</t>
  </si>
  <si>
    <t>[AC-98-110-406-001] Slinger, Water Ring, 10x8 SRL-C (Old Style)</t>
  </si>
  <si>
    <t>Wire fee</t>
  </si>
  <si>
    <t>[G-1ST1F6C4] Pump, 1x1.25-6, Goulds NPE, SS Wet-End, Close-Coupled</t>
  </si>
  <si>
    <t>[W-E029/A05] Expeller Ring, 6/4 E-AH, High Chrome</t>
  </si>
  <si>
    <t>SO15999 -100% for the first 2 items; 50% on the 3rd one</t>
  </si>
  <si>
    <t>Impeller, 10x12-22, Goulds JC, Frame 5J, High Chrome</t>
  </si>
  <si>
    <t>[W-M100KSS-TVB-1800/0507] Sump Pump, M100KSS-TVB, 1800mm Column, CD4MCu</t>
  </si>
  <si>
    <t>[W-RV10154L/C41] Discharge Pipe, 100ZJL-RV, 1800mm, 316L-SS</t>
  </si>
  <si>
    <t>[D-2x3-11-JC-HC] Pump, 2x3-11, Dynapro DC, Frame 1J, High Chrome</t>
  </si>
  <si>
    <t>101852 Bearing Assembly w/Shaft, 8/6 E-AH, Metric</t>
  </si>
  <si>
    <t>[AC-98-231-108-503] Suction Side Liner, 3x3-10 SRL-C, Neoprene</t>
  </si>
  <si>
    <t>INV-0384</t>
  </si>
  <si>
    <t>DE-503275 Shaft Sleeve, 5x4/5x5/6x6, Denver SRL, 420SS Heat Treated, Hardened</t>
  </si>
  <si>
    <t>DE-520995 O-Ring, 5x4, 5x5, D-SRL-C, Nitrile</t>
  </si>
  <si>
    <t>[W-E118-1/P50] Lantern Restrictor, 6/4 or 8/6 E-AH and 8/6 R-AH, Ryton</t>
  </si>
  <si>
    <t>[W-E075/C21] Shaft Sleeve, 6/4 or 8/6 DH, 420SS Heat Treated, Hardened</t>
  </si>
  <si>
    <t>[W-E4013/D21] Cover Plate, 6/4 D or E-AH, Ductile Iron</t>
  </si>
  <si>
    <t>[AC-98-231-109-503] Gland Side Liner, 3x3-10 SRL-C, Neoprene</t>
  </si>
  <si>
    <t>Support Cover, SM203-640, 316SS, item 340.01</t>
  </si>
  <si>
    <t>Support Cover, SM203-640, 316SS,  item 340</t>
  </si>
  <si>
    <t>Upper Bearing Support, SM203-640, Ductile Iron, item 106.03</t>
  </si>
  <si>
    <t>Lower Bearing Support, SM203-640, item 106.02,  Ductile Iron</t>
  </si>
  <si>
    <t>Upper Bearing Support, SM203-640, Ductile Iron, item 106.01</t>
  </si>
  <si>
    <t>Lower Bearing Support, SM203-640, item 106,  Ductile Iron</t>
  </si>
  <si>
    <t>[17779900159] Labyrinth Ring, SM203-640</t>
  </si>
  <si>
    <t>Lubrication Ring, SM203-640</t>
  </si>
  <si>
    <t>[G-73707 6956] Shaft Sleeve, 3196 MTX, Ni-Chrome Boron On 316SS</t>
  </si>
  <si>
    <t>[G-R196-MKM13] Maintenance Kit, 13", 3196 MTX</t>
  </si>
  <si>
    <t>[G-C04677A 3201] Coupling Guard, 3196 MTX, Fabricated Steel, Drum Style</t>
  </si>
  <si>
    <t>[AC-98-231-071-501] Suction Side Liner, 3x3-10 SRL, Natural Rubber</t>
  </si>
  <si>
    <t>[W-TC3075/C21] Shaft Sleeve, 3/3 TC</t>
  </si>
  <si>
    <t>Motor Pulley, 3/3 TC</t>
  </si>
  <si>
    <t>Pump Pulley, 3/3 TC</t>
  </si>
  <si>
    <t>Mechanical Seal, 3/3 TC, 316SS</t>
  </si>
  <si>
    <t>Belts, 500 GPM, 3/3 TC</t>
  </si>
  <si>
    <t>[W-TC3092-1/A05] Casing, 3/3 TC, High Chrome</t>
  </si>
  <si>
    <t>[FS-58992M3] Single Cartridge Seal, 2 1/2", D-196 XLT,  Standard Bore, Carbon vs Silicon Carbide w/TEFP Elastomers, 316SS</t>
  </si>
  <si>
    <t>[22309EAE4] Bearing (Outboard), 3x3-10 SRL &amp; SRL-C, Steel</t>
  </si>
  <si>
    <t>[22209EAE4] Bearing (Inboard), 3x3-10 SRL &amp; SRL-C, Steel</t>
  </si>
  <si>
    <t>102345/0503 Shaft Sleeve, 6/4 or 8/6 DH, 420SS Heat Treated, Hardened</t>
  </si>
  <si>
    <t>Impeller, 3x4-10, Worthington D-1011, 316SS</t>
  </si>
  <si>
    <t>TT VMI INC - SO16308</t>
  </si>
  <si>
    <t>[JC-BF5011-1C1-MTX] Component Seal, 1 3/4",  3196 MTX, Carbon vs Silicon Carbide w/Viton</t>
  </si>
  <si>
    <t>[G-70782 20 5117] Casing Gasket, 8", 3196 MTX, Teflon</t>
  </si>
  <si>
    <t>Shaft Sleeve, 3196 MTX, Alloy 254 SMO</t>
  </si>
  <si>
    <t>[G-0101-500 1216] Impeller, 4x6-13, 3196 MTX, CD4MCu, 6-Vane</t>
  </si>
  <si>
    <t>[AC-98-233-404-010] Shaft Sleeve, 10x8-21 SRL-C (Old Style), 420SS Heat Treated, Hardened</t>
  </si>
  <si>
    <t>[AC-98-236-245-001] Premium Slurry Packing (5 Piece Set), 2x2-10 SRL, Kevlar Fiber w/Silicon Core</t>
  </si>
  <si>
    <t>[AC-98-234-128-001] Bearing Gasket Cover (Inboard), 2x2-10 SRL</t>
  </si>
  <si>
    <t>Shaft Assembly, 3138-S, 316SS</t>
  </si>
  <si>
    <t>[DU-DY52981A-TI] Casing, 1.5x1-82, Durco Mark 3 Group 1, Titanium</t>
  </si>
  <si>
    <t>[DU-CY50617A/CBS-TI] Rear Cover, 6" &amp; 8", Durco Mark 3 Group 1, Titanium, Small Bore</t>
  </si>
  <si>
    <t>[DU-MY50754A82-TI] Impeller, 1.5x1-82, Durco Mark 3 Group 1, Titanium, Reverse Vane</t>
  </si>
  <si>
    <t>[DU-MY50798A62-TI] Impeller, 1.5x1-62, Durco Mark 3 Group 1, Titanium, Reverse Vane</t>
  </si>
  <si>
    <t>[DU-DY52026A/CBL-CD4] Rear Cover, 10", Durco Mark 2&amp;3 Group 2, CD4MCu, Large Bore</t>
  </si>
  <si>
    <t>[DU-CY55736AK-CI] Bearing Housing Foot, 8" &amp; 10" Pump, Durco Mark 3 Group 2, Cast Iron</t>
  </si>
  <si>
    <t>[DU-Y22774B-TM] Rear Cover/Casing Gasket, 10", Durco Mark 2&amp;3 Group 2, Teflon</t>
  </si>
  <si>
    <t>[DU-MY51049A100-CD4] Impeller, 3x2-10A, Durco Mark 2&amp;3 Group 2, CD4MCu, Reverse Vane</t>
  </si>
  <si>
    <t>[DU-DY51040A-CD4] Casing, 3x2-10A, Durco Mark 2&amp;3 Group 2, CD4MCu</t>
  </si>
  <si>
    <t>Casing Bolt w/Nut, 65QV-SP, 316SS</t>
  </si>
  <si>
    <t>[W-QVR65073E/S40] Shaft, 65QV-SPR, 900mm, Neoprene</t>
  </si>
  <si>
    <t>[LPE-0875-1250-B48, G-D08717A01 6241] Thrust Bearing Labyrinth Seal (Outboard) w/O-Rings, 3196 STX, Carbon Teflon w/Viton</t>
  </si>
  <si>
    <t>[G-B10051-14 1204] Casing, 1.5x3-8, 3196 STX, Alloy-20</t>
  </si>
  <si>
    <t>[AC-52-224-289-005] Shaft Sleeve, Allis-Chalmers CSO, Frame F4B3/F4B5/F4D1, XH-800</t>
  </si>
  <si>
    <t>[WO-2112515-1] Wear Plate, Worthington 4-FRBH-182, 316SS</t>
  </si>
  <si>
    <t>[G-R76292] Lantern Ring, 3755 M, Teflon</t>
  </si>
  <si>
    <t>[W-E061M/E62] Labyrinth Lock Nut, 6/4 or 8/6 E-AH</t>
  </si>
  <si>
    <t>[SA-128488-M1] Casing, Sala VS100, Type-C, High Chrome</t>
  </si>
  <si>
    <t>[SA-148491-M1] Cover Bolt, Sala VSP-3, Rubber Covered</t>
  </si>
  <si>
    <t>[G-249-55 1012] Casing, 2x3-10, 3196 MTX, Ductile Iron</t>
  </si>
  <si>
    <t>[W-E4018/R55] Cover Plate Liner, 6/4 DH, Natural Rubber</t>
  </si>
  <si>
    <t>102917/0003 Volute Liner, 6/4 F-HH, High Chrome</t>
  </si>
  <si>
    <t>104069/6007 Throatbush, 12/10 ST, G or F-AH, Natural Rubber, Metric</t>
  </si>
  <si>
    <t>[G-R104-564 1216] Stuffing Box Cover, 8", 3196 STX, CD4MCu, Standard Bore, Non-Jacketed</t>
  </si>
  <si>
    <t>[AC-52-109-019-018] Shaft Sleeve, Allis-Chalmers CSO, Frame F4B3/F4B5/F4D1, Monel</t>
  </si>
  <si>
    <t>[W-C2013/D21] Cover Plate, 3/2 C-AH, Ductile Iron</t>
  </si>
  <si>
    <t>[TW-PX0504] 50 HP, 1800 RPM, 230/460/3/60, 326T Frame, TEFC, Teco-Westinghouse Motor</t>
  </si>
  <si>
    <t>[AC-98-236-325-001] Shaft Sleeve, 12x10-25 or 14x12-29 SRL-C, 420SS Heat Treated, Hardened</t>
  </si>
  <si>
    <t>[W-E109/S10] Shaft Sleeve O-Ring, 6/4 E-AH or 8/6 E,R or F-AH, Nitrile</t>
  </si>
  <si>
    <t>[G-SKF7318] Angular Contact Ball Bearing, SKF 7318 BECBM</t>
  </si>
  <si>
    <t>[NUP317EM] Medium Cylindrical Roller Bearing, NUP317EM</t>
  </si>
  <si>
    <t>Invoice Total (CAD)</t>
  </si>
  <si>
    <t>Discount (ex) (CAD)</t>
  </si>
  <si>
    <t>Unit Price (ex) (CAD)</t>
  </si>
  <si>
    <t>Invoice Total (Source)</t>
  </si>
  <si>
    <t>Discount (ex) (Source)</t>
  </si>
  <si>
    <t>Unit Price (ex) (Source)</t>
  </si>
  <si>
    <t>Quantity</t>
  </si>
  <si>
    <t>Description</t>
  </si>
  <si>
    <t>Item Code</t>
  </si>
  <si>
    <t>Find</t>
  </si>
  <si>
    <t>Freight Inv</t>
  </si>
  <si>
    <t>Cur</t>
  </si>
  <si>
    <t>Sales P</t>
  </si>
  <si>
    <t>KAS P</t>
  </si>
  <si>
    <t>AE P</t>
  </si>
  <si>
    <t>FST P</t>
  </si>
  <si>
    <t>Odoo Sales Person</t>
  </si>
  <si>
    <t>INVOICE</t>
  </si>
  <si>
    <t>TO be Paid</t>
  </si>
  <si>
    <t>Commissionable amount in USD</t>
  </si>
  <si>
    <t>Deal Sales</t>
  </si>
  <si>
    <t>Deal KAS</t>
  </si>
  <si>
    <t>Deal AE</t>
  </si>
  <si>
    <t>Deal FST</t>
  </si>
  <si>
    <t>Sales %</t>
  </si>
  <si>
    <t>KAS %</t>
  </si>
  <si>
    <t>AE %</t>
  </si>
  <si>
    <t>FST %</t>
  </si>
  <si>
    <t>Sales</t>
  </si>
  <si>
    <t>KAS</t>
  </si>
  <si>
    <t>AE</t>
  </si>
  <si>
    <t>FST</t>
  </si>
  <si>
    <t>Líneas de la orden/Producto/Nombre</t>
  </si>
  <si>
    <t>Renewal</t>
  </si>
  <si>
    <t>New Opportunity</t>
  </si>
  <si>
    <t>Other</t>
  </si>
  <si>
    <t>Contract</t>
  </si>
  <si>
    <t>Delv and Paid</t>
  </si>
  <si>
    <t>SO Mth</t>
  </si>
  <si>
    <t>Inv Mth Paid</t>
  </si>
  <si>
    <t>Self-Prospected</t>
  </si>
  <si>
    <t>Reorder/resupply</t>
  </si>
  <si>
    <t>Commercial Director</t>
  </si>
  <si>
    <t>Gerardo Garcia</t>
  </si>
  <si>
    <t>Sales Engineer</t>
  </si>
  <si>
    <t>Carlos Tarazon</t>
  </si>
  <si>
    <t>Diego Martinez</t>
  </si>
  <si>
    <t>Sales Rep</t>
  </si>
  <si>
    <t>Client/Team</t>
  </si>
  <si>
    <t>Dulce Ramirez</t>
  </si>
  <si>
    <t>Oziel Garcia</t>
  </si>
  <si>
    <t>App Eng (AE)</t>
  </si>
  <si>
    <t>Over 10% net Profit</t>
  </si>
  <si>
    <t>Application Manager</t>
  </si>
  <si>
    <t>Applications Engineer/Site Manager</t>
  </si>
  <si>
    <t>Amanda Quiao</t>
  </si>
  <si>
    <t>Applications Engineer</t>
  </si>
  <si>
    <t>Field Application Engineer</t>
  </si>
  <si>
    <t>Vacancy</t>
  </si>
  <si>
    <t>total Sales</t>
  </si>
  <si>
    <t>New Companies 2025</t>
  </si>
  <si>
    <t>mgr</t>
  </si>
  <si>
    <t>SALES</t>
  </si>
  <si>
    <t>Sales Fullfilment Manager</t>
  </si>
  <si>
    <t>Marlene Martinez</t>
  </si>
  <si>
    <t>Service Technician</t>
  </si>
  <si>
    <t>Martin Calderon</t>
  </si>
  <si>
    <t>Freight Revenue</t>
  </si>
  <si>
    <t>Key Account Specialist</t>
  </si>
  <si>
    <t>Alexis Gil</t>
  </si>
  <si>
    <t>APP</t>
  </si>
  <si>
    <t>Wilka Nunez</t>
  </si>
  <si>
    <t>Mariela de Jesus</t>
  </si>
  <si>
    <t>Field Service Engineer</t>
  </si>
  <si>
    <t>Pierre Dupuis</t>
  </si>
  <si>
    <t>Dynapro_Commission_Policies_Slides.pptx</t>
  </si>
  <si>
    <t>Carlos T</t>
  </si>
  <si>
    <t>Diego M</t>
  </si>
  <si>
    <t>Dulce R</t>
  </si>
  <si>
    <t>Oziel G</t>
  </si>
  <si>
    <t>Amanda Q</t>
  </si>
  <si>
    <t>Leriel R</t>
  </si>
  <si>
    <t>Eduardo T</t>
  </si>
  <si>
    <t>Martin C</t>
  </si>
  <si>
    <t>Alexis G</t>
  </si>
  <si>
    <t>Aleksandar S</t>
  </si>
  <si>
    <t>Pierre D</t>
  </si>
  <si>
    <t>No.Inv</t>
  </si>
  <si>
    <t>PQ KAS</t>
  </si>
  <si>
    <t>PQ Sales</t>
  </si>
  <si>
    <t>PQ AE</t>
  </si>
  <si>
    <t>PQ FST</t>
  </si>
  <si>
    <t>SO17543</t>
  </si>
  <si>
    <t>OC00186</t>
  </si>
  <si>
    <t>SO18120</t>
  </si>
  <si>
    <t>3421</t>
  </si>
  <si>
    <t>SO18226</t>
  </si>
  <si>
    <t>2371</t>
  </si>
  <si>
    <t>4380 Order switched from Qty 3 to 1 as per Bobby.</t>
  </si>
  <si>
    <t>SO18295</t>
  </si>
  <si>
    <t>1066</t>
  </si>
  <si>
    <t>SO18324</t>
  </si>
  <si>
    <t>PO-40-1019694</t>
  </si>
  <si>
    <t>SO18327</t>
  </si>
  <si>
    <t>PO003528</t>
  </si>
  <si>
    <t>SO18337</t>
  </si>
  <si>
    <t>3418</t>
  </si>
  <si>
    <t>SO18339</t>
  </si>
  <si>
    <t>SO18340</t>
  </si>
  <si>
    <t>PO14253</t>
  </si>
  <si>
    <t>SO18344</t>
  </si>
  <si>
    <t>OC00235</t>
  </si>
  <si>
    <t>SO18345</t>
  </si>
  <si>
    <t>C003744426</t>
  </si>
  <si>
    <t>SO18349</t>
  </si>
  <si>
    <t>PO-008485</t>
  </si>
  <si>
    <t>SO18350</t>
  </si>
  <si>
    <t>C003744417</t>
  </si>
  <si>
    <t>SO18356</t>
  </si>
  <si>
    <t>4500624263</t>
  </si>
  <si>
    <t>INV13719</t>
  </si>
  <si>
    <t>INV13713</t>
  </si>
  <si>
    <t>INV13718</t>
  </si>
  <si>
    <t>INV13712</t>
  </si>
  <si>
    <t>INV13720</t>
  </si>
  <si>
    <t>INV13717</t>
  </si>
  <si>
    <t>SO17532 Total</t>
  </si>
  <si>
    <t>SO17930 Total</t>
  </si>
  <si>
    <t>Stat Sales</t>
  </si>
  <si>
    <t>Stat KAS</t>
  </si>
  <si>
    <t>Stat AE</t>
  </si>
  <si>
    <t>Stat FST</t>
  </si>
  <si>
    <t>Q1 2025</t>
  </si>
  <si>
    <t>Q1 2026</t>
  </si>
  <si>
    <t>Q2 2025</t>
  </si>
  <si>
    <t>Q3 2025</t>
  </si>
  <si>
    <t>Q4 2025</t>
  </si>
  <si>
    <t>Q2 2026</t>
  </si>
  <si>
    <t>Q3 2026</t>
  </si>
  <si>
    <t>Q4 2026</t>
  </si>
  <si>
    <t>Year Created</t>
  </si>
  <si>
    <t>Year Paid</t>
  </si>
  <si>
    <t>SO Year</t>
  </si>
  <si>
    <t>Inv Year Paid</t>
  </si>
  <si>
    <t>Yes Two</t>
  </si>
  <si>
    <t>Reason</t>
  </si>
  <si>
    <t>Inv</t>
  </si>
  <si>
    <t>Qtr</t>
  </si>
  <si>
    <t>Wilka N</t>
  </si>
  <si>
    <t>(blank)</t>
  </si>
  <si>
    <t>Column Labels</t>
  </si>
  <si>
    <t xml:space="preserve"> KAS</t>
  </si>
  <si>
    <t xml:space="preserve"> AE</t>
  </si>
  <si>
    <t>Amanda</t>
  </si>
  <si>
    <t>Amanda Q P</t>
  </si>
  <si>
    <t xml:space="preserve"> Stat KAS</t>
  </si>
  <si>
    <t>Wilka N P</t>
  </si>
  <si>
    <t xml:space="preserve"> Stat AE</t>
  </si>
  <si>
    <t>Ian T</t>
  </si>
  <si>
    <t xml:space="preserve"> Total</t>
  </si>
  <si>
    <t>2503 Total</t>
  </si>
  <si>
    <t>2504 Total</t>
  </si>
  <si>
    <t>Manager</t>
  </si>
  <si>
    <t>%</t>
  </si>
  <si>
    <t>Marlen</t>
  </si>
  <si>
    <t>IAN</t>
  </si>
  <si>
    <t>Maria</t>
  </si>
  <si>
    <t>Peter</t>
  </si>
  <si>
    <t>QTR M</t>
  </si>
  <si>
    <t xml:space="preserve">YES </t>
  </si>
  <si>
    <t>2502 Total</t>
  </si>
  <si>
    <t>Marlen M</t>
  </si>
  <si>
    <t>Marlen Odoo</t>
  </si>
  <si>
    <t>MEX</t>
  </si>
  <si>
    <t>(Multiple Items)</t>
  </si>
  <si>
    <t>Sum of USD</t>
  </si>
  <si>
    <t>Marlen Odoo A</t>
  </si>
  <si>
    <t>Total2</t>
  </si>
  <si>
    <t/>
  </si>
  <si>
    <t>Details for  Total - Manager: Marlen, QTR M: 2504, Delv and Paid: Yes, KAS P: Marlen M</t>
  </si>
  <si>
    <t>Details for  Total - Manager: Marlen, QTR M: 2504, Delv and Paid: Yes, KAS P: Aleksandar S</t>
  </si>
  <si>
    <t>Leriel</t>
  </si>
  <si>
    <t>Eduardo</t>
  </si>
  <si>
    <t>Sum of %</t>
  </si>
  <si>
    <t>WHO</t>
  </si>
  <si>
    <t>INV13728</t>
  </si>
  <si>
    <t>INV13729</t>
  </si>
  <si>
    <t>INV13721</t>
  </si>
  <si>
    <t>INV13722</t>
  </si>
  <si>
    <t>INV13723</t>
  </si>
  <si>
    <t>INV13724</t>
  </si>
  <si>
    <t>INV13725</t>
  </si>
  <si>
    <t>INV13726</t>
  </si>
  <si>
    <t>INV13727</t>
  </si>
  <si>
    <t>INV13732</t>
  </si>
  <si>
    <t>INV13733</t>
  </si>
  <si>
    <t>8109</t>
  </si>
  <si>
    <t>INV13734</t>
  </si>
  <si>
    <t>INV13735</t>
  </si>
  <si>
    <t>INV13736</t>
  </si>
  <si>
    <t>4500909582</t>
  </si>
  <si>
    <t>INV13737</t>
  </si>
  <si>
    <t>INV13738</t>
  </si>
  <si>
    <t>INV13739</t>
  </si>
  <si>
    <t>INV13740</t>
  </si>
  <si>
    <t>INV13741</t>
  </si>
  <si>
    <t>INV13742</t>
  </si>
  <si>
    <t>INV13743</t>
  </si>
  <si>
    <t>PO-0021326</t>
  </si>
  <si>
    <t>INV13744</t>
  </si>
  <si>
    <t>QC10-00127942</t>
  </si>
  <si>
    <t>INV13745</t>
  </si>
  <si>
    <t>INV13746</t>
  </si>
  <si>
    <t>INV13747</t>
  </si>
  <si>
    <t>C003756451</t>
  </si>
  <si>
    <t>INV13748</t>
  </si>
  <si>
    <t>PO - 67000</t>
  </si>
  <si>
    <t>INV13749</t>
  </si>
  <si>
    <t>INV13758</t>
  </si>
  <si>
    <t>PO-40-1019795</t>
  </si>
  <si>
    <t>INV13759</t>
  </si>
  <si>
    <t>607083</t>
  </si>
  <si>
    <t>INV13760</t>
  </si>
  <si>
    <t>INV13750</t>
  </si>
  <si>
    <t>P371718</t>
  </si>
  <si>
    <t>INV13751</t>
  </si>
  <si>
    <t>INV13752</t>
  </si>
  <si>
    <t>INV13753</t>
  </si>
  <si>
    <t>INV13754</t>
  </si>
  <si>
    <t>P371534</t>
  </si>
  <si>
    <t>INV13761</t>
  </si>
  <si>
    <t>INV13764</t>
  </si>
  <si>
    <t>INV13755</t>
  </si>
  <si>
    <t>4487</t>
  </si>
  <si>
    <t>INV13756</t>
  </si>
  <si>
    <t>INV13757</t>
  </si>
  <si>
    <t>INV13766</t>
  </si>
  <si>
    <t>PO14275</t>
  </si>
  <si>
    <t>INV13767</t>
  </si>
  <si>
    <t>PO14273</t>
  </si>
  <si>
    <t>INV13765</t>
  </si>
  <si>
    <t>INV13768</t>
  </si>
  <si>
    <t>4500625971</t>
  </si>
  <si>
    <t>INV13769</t>
  </si>
  <si>
    <t>3437</t>
  </si>
  <si>
    <t>INV13770</t>
  </si>
  <si>
    <t>INV13771</t>
  </si>
  <si>
    <t>INV13772</t>
  </si>
  <si>
    <t>INV13773</t>
  </si>
  <si>
    <t>INV13774</t>
  </si>
  <si>
    <t>PO - 3009833</t>
  </si>
  <si>
    <t>INV13775</t>
  </si>
  <si>
    <t>INV13776</t>
  </si>
  <si>
    <t>INV13777</t>
  </si>
  <si>
    <t>INV13778</t>
  </si>
  <si>
    <t>INV13782</t>
  </si>
  <si>
    <t>PO-40-1019953</t>
  </si>
  <si>
    <t>INV13783</t>
  </si>
  <si>
    <t>PO14284</t>
  </si>
  <si>
    <t>INV13784</t>
  </si>
  <si>
    <t>INV13779</t>
  </si>
  <si>
    <t>P372041</t>
  </si>
  <si>
    <t>INV13780</t>
  </si>
  <si>
    <t>5314</t>
  </si>
  <si>
    <t>INV13781</t>
  </si>
  <si>
    <t>INV13785</t>
  </si>
  <si>
    <t>M-084226</t>
  </si>
  <si>
    <t>INV13786</t>
  </si>
  <si>
    <t>PO-40-1020047</t>
  </si>
  <si>
    <t>INV13787</t>
  </si>
  <si>
    <t>2100713917</t>
  </si>
  <si>
    <t>INV13788</t>
  </si>
  <si>
    <t>INV13792</t>
  </si>
  <si>
    <t>6500024645</t>
  </si>
  <si>
    <t>INV13789</t>
  </si>
  <si>
    <t>Freight - C003711361</t>
  </si>
  <si>
    <t>INV13790</t>
  </si>
  <si>
    <t>Freight - C003756451</t>
  </si>
  <si>
    <t>INV13793</t>
  </si>
  <si>
    <t>BC65-00082673</t>
  </si>
  <si>
    <t>INV13791</t>
  </si>
  <si>
    <t>INV13794</t>
  </si>
  <si>
    <t>144241</t>
  </si>
  <si>
    <t>INV13795</t>
  </si>
  <si>
    <t>2100718534</t>
  </si>
  <si>
    <t>INV13796</t>
  </si>
  <si>
    <t>INV13797</t>
  </si>
  <si>
    <t>INV13798</t>
  </si>
  <si>
    <t>8196</t>
  </si>
  <si>
    <t>INV13799</t>
  </si>
  <si>
    <t>INV13800</t>
  </si>
  <si>
    <t>4500923304</t>
  </si>
  <si>
    <t>INV13801</t>
  </si>
  <si>
    <t>#17183</t>
  </si>
  <si>
    <t>INV13802</t>
  </si>
  <si>
    <t>PO 2410</t>
  </si>
  <si>
    <t>INV13803</t>
  </si>
  <si>
    <t>PO14293</t>
  </si>
  <si>
    <t>INV13804</t>
  </si>
  <si>
    <t>PO-3010045</t>
  </si>
  <si>
    <t>INV13805</t>
  </si>
  <si>
    <t>INV13806</t>
  </si>
  <si>
    <t>INV13807</t>
  </si>
  <si>
    <t>INV13808</t>
  </si>
  <si>
    <t>INV13809</t>
  </si>
  <si>
    <t>PO-008523</t>
  </si>
  <si>
    <t>INV13810</t>
  </si>
  <si>
    <t>PO10260</t>
  </si>
  <si>
    <t>INV13811</t>
  </si>
  <si>
    <t>PO-10-1087024</t>
  </si>
  <si>
    <t>INV13812</t>
  </si>
  <si>
    <t>Yossi Avisar Technologies Ltd.</t>
  </si>
  <si>
    <t>2004-10223058/335</t>
  </si>
  <si>
    <t>INV13813</t>
  </si>
  <si>
    <t>PO-044181</t>
  </si>
  <si>
    <t>INV13814</t>
  </si>
  <si>
    <t>PO-044166</t>
  </si>
  <si>
    <t>INV13815</t>
  </si>
  <si>
    <t>INV13816</t>
  </si>
  <si>
    <t>discount</t>
  </si>
  <si>
    <t>discount for advance payment</t>
  </si>
  <si>
    <t>Rear Cover, 13", Durco Mark 2&amp;3 Group 2, Hastelloy-C, Small Bore</t>
  </si>
  <si>
    <t>[W-F8147/R55] Impeller, 10/8 E-M, Natural Rubber</t>
  </si>
  <si>
    <t>[SKF-34886, G-8690-23660] Oil Seal (Inboard), 8x6-18 &amp; 10x8-21 SRL-C, Nitrile</t>
  </si>
  <si>
    <t>[SKF-33700, G-8690-10164] Oil Seal (Outboard), 8x6-18 &amp; 10x8-21 SRL-C, Nitrile</t>
  </si>
  <si>
    <t>[G-RD04539AA 1013] Frame, 3196 STX, Cast Iron, Includes Sight Glass and Plugs</t>
  </si>
  <si>
    <t>[G-104-555 1216] Casing, 1.5x3-6, 3196 STX, CD4MCu</t>
  </si>
  <si>
    <t>[AC-98-236-360-501-CI] Gland Assembly, 8x6-18 &amp; 10x8-21 SRL-C, Cast Iron</t>
  </si>
  <si>
    <t>[G-RC03044A 2238] Shaft (Sleeve Type), 3196 LTX, 4140 Steel</t>
  </si>
  <si>
    <t>[FS-58961M3] Single Cartridge Mechanical Seal w/Big Bore Flush Gland, 1 3/8", SMSX1, Carbon vs Silicon Carbide, Viton O-Rings</t>
  </si>
  <si>
    <t>Impeller, 12x14-22, 3175-L, 316SS, 4-Vane</t>
  </si>
  <si>
    <t>[G-D08717A02 6241] Radial Bearing Labyrinth Seal (Inboard) w/O-Rings, 3196 STX, Carbon Teflon w/Viton</t>
  </si>
  <si>
    <t>[AC-52-126-488-803] Mechanical Seal, Type-21, Allis-Chalmers 8000 Series, Carbon vs' Ni-Resist w/EPR Elastom</t>
  </si>
  <si>
    <t>[AC-98-231-070-504] Gland Side Liner, 3x3-10 SRL, Hypalon</t>
  </si>
  <si>
    <t>[AC-98-231-071-504] Suction Side Liner, 3x3-10 SRL, Hypalon</t>
  </si>
  <si>
    <t>[AC-98-330-286-504] Open Impeller 3x3-10 SRL</t>
  </si>
  <si>
    <t>[W-G111] Premium Slurry Packing (Single Piece), 10/8 to 14/12, Kevlar Fiber w/Silicon Core</t>
  </si>
  <si>
    <t>[W-G8018/R55] Cover Plate Liner, 10/8 F or ST-AH, Natural Rubber</t>
  </si>
  <si>
    <t>[SA-13576-M1] Casing, Sala STHM, 33-WFR, High Chrome</t>
  </si>
  <si>
    <t>[W-TL40018M/R55] Cover Plate Liner w/T40023ME62, 400 STL, Natural Rubber</t>
  </si>
  <si>
    <t>[W-F061M/E62] Labyrinth Lock Nut, 8/6 to 14/12 F-AH, Metric</t>
  </si>
  <si>
    <t>[W-32CWXR] Pump, W-Series 3/2 C-DHR, Natural Rubber</t>
  </si>
  <si>
    <t>[PA00545] 5 HP, 1800 RPM, 575/3/60, Premium Efficiency TEFC, Teco-Westinghouse Motor</t>
  </si>
  <si>
    <t>[W-P009] Bearing, 40PV-SP</t>
  </si>
  <si>
    <t>[W-P009D-1] Bearing (Drive End), 40PV-SP</t>
  </si>
  <si>
    <t>Gaskets &amp; Seals Set, 40PV-SP</t>
  </si>
  <si>
    <t>[GA-5502, CHECK SEAL 9155-0075-981] Lip Seal (Upper), G-Series VSP</t>
  </si>
  <si>
    <t>Pump, 4x6-14, Dynapro DC, Frame 3J, High Chrome</t>
  </si>
  <si>
    <t>[G-R102-872 2238] Shaft (Sleeve Type), 3175-M, 4140 Steel</t>
  </si>
  <si>
    <t>[G-77-59 1001] Bearing Housing, 3405-M, Cast Iron</t>
  </si>
  <si>
    <t>[G-R72350 6956] Shaft Sleeve, 3405-M, 316SS NCB Hardcoated</t>
  </si>
  <si>
    <t>[G-R72360 6956] Shaft Sleeve, 3405-M, Ni-Chrome Boron On 316SS</t>
  </si>
  <si>
    <t>[G-90285-1203] Stuffing Box Bushing, 3405-LM &amp; 3316-M, 316SS</t>
  </si>
  <si>
    <t>[DU-DY43289A-CD4] Casing, (Recessed), 3x3R-10, Durco Mark 2&amp;3, Group 2, CD4MCu</t>
  </si>
  <si>
    <t>[G-RC04053A 1012] Stuffing Box Cover, 17", 3196 X17, Ductile Iron, Taper Bore Plus</t>
  </si>
  <si>
    <t>[AC-98-233-212-501] Slinger Assembly, PWO Frame 3, Oil</t>
  </si>
  <si>
    <t>[AC-98-234-111-801] Bearing Cover (Inboard), 2x2-10 SRL, Cast Iron</t>
  </si>
  <si>
    <t>[AC-98-234-113-801] Bearing Housing, 2x2-10-SRL, Cast Iron</t>
  </si>
  <si>
    <t>[N1300-0281, G-58101-281] Bearing Housing Retaining Ring, 3196 STX, Carbon Steel</t>
  </si>
  <si>
    <t>[N1400-0118, G-58102 118 2210] Bearing Retaining Ring (Shaft), 2x2-10 SRL, Steel</t>
  </si>
  <si>
    <t>[AC-00-733-467-305] Oil Filler Cap (Old Style), 1/2" Gits, 2x2-10 up to 6x6-15 SRL/SRL-C</t>
  </si>
  <si>
    <t>[AC-98-236-259-501] Gland Assembly, 2x2-10 SRL, 316SS</t>
  </si>
  <si>
    <t>[AC-98-234-104-001] Waterseal Bushing, 2x2-10 SRL, Cast Iron</t>
  </si>
  <si>
    <t>[023-Viton, G-C02495A24 5304] Shaft Sleeve O-Ring, 2x2-10 SRL, Viton</t>
  </si>
  <si>
    <t>[AC-98-431-851-501] Gland Side Casing, 3x3-10 SRL, Cast Iron</t>
  </si>
  <si>
    <t>[REM - N 09, G-8601-0009] Bearing Lock Nut, Steel</t>
  </si>
  <si>
    <t>[AC-98-236-255-501] Gland Assembly, 3x3-10 SRL &amp; SRL-C, 316SS</t>
  </si>
  <si>
    <t>[245 BUNA, G-C02495A245 5302] Bearing Housing O-Ring, 3196 MTX, Buna-N</t>
  </si>
  <si>
    <t>[SA-567160] Gasket, Sala STHM-33WFR, Rubber</t>
  </si>
  <si>
    <t>[W-G8036M/R55] Frame Plate Liner, 10/8 F or ST-AH, Natural Rubber</t>
  </si>
  <si>
    <t>[W-FAM8147/R55] Impeller, 10/8 F-AH, Natural Rubber, 5-Vane</t>
  </si>
  <si>
    <t>[D-196 3x4-8 MTX CD4MCu] Pump, 3x4-8, D-196 MTX, All CD4MCu</t>
  </si>
  <si>
    <t>[B00049A] Baseplate, 3196 MTX, Cast Iron, Frame 213T</t>
  </si>
  <si>
    <t>[ES4-R] Coupling, Rexnord ES4-R, Omega Elastomeric</t>
  </si>
  <si>
    <t>[AC-98-110-406-001] Slinger, Water Ring, 10x8 SRL-C (Old Style), Steel</t>
  </si>
  <si>
    <t>[M&amp;N# 57] Impeller, 10x12-22, 3175-L, 316SS, 4-Vane</t>
  </si>
  <si>
    <t>[BG-A-402V] Mechanical Seal, Bell &amp; Gossett, E-80 4x4-7B, Carbon/Ceramic/304SS</t>
  </si>
  <si>
    <t>[G-R76498] Lantern Ring, 3175-M, Teflon</t>
  </si>
  <si>
    <t>[AC-98-332-015-804] Fastener Kit (Casing Side Plate), 10x8-21 SRL-C</t>
  </si>
  <si>
    <t>[G-B02301A-6956] Shaft Sleeve, 3196 X-17, 316SS, NCB Hard Coated</t>
  </si>
  <si>
    <t>[G-76782 1013] Adapter Ring, 3196 STX, 8" Pumps, Cast Iron</t>
  </si>
  <si>
    <t>INV13824</t>
  </si>
  <si>
    <t>Draft</t>
  </si>
  <si>
    <t>[REM - N 12, G-8601-0012] Bearing Lock Nut, Steel</t>
  </si>
  <si>
    <t>[REM - W 12, G-8910-0012] Bearing Lock Washer, Steel</t>
  </si>
  <si>
    <t>[G-0B10592 1216] Impeller, 3x4-13, 3196 LTX, CD4MCu, 6-Vane</t>
  </si>
  <si>
    <t>[G-A01081A07] Stuffing Box Packing (5 Piece Set), 3/8", 3196 LTX, Graphite Impregnated</t>
  </si>
  <si>
    <t>INV13825</t>
  </si>
  <si>
    <t>[G-0D04563A02 1216] Impeller, 4x6-17, 3196 X17, CD4MCu</t>
  </si>
  <si>
    <t>INV13826</t>
  </si>
  <si>
    <t>2100719117</t>
  </si>
  <si>
    <t>INV13827</t>
  </si>
  <si>
    <t>2200120407</t>
  </si>
  <si>
    <t>INV13828</t>
  </si>
  <si>
    <t>4500626351</t>
  </si>
  <si>
    <t>INV13829</t>
  </si>
  <si>
    <t>MB21-00195697</t>
  </si>
  <si>
    <t>AC-98-431-651-503</t>
  </si>
  <si>
    <t>Impeller (Closed), 8x6-18 SRL-C, Neoprene</t>
  </si>
  <si>
    <t>Wild Rows Pump &amp; Compression LTD.</t>
  </si>
  <si>
    <t>Wild Rows Pump &amp; Compression LTD., Wild Rows Pump &amp; Compression LTD.</t>
  </si>
  <si>
    <t>SO17211</t>
  </si>
  <si>
    <t>4500141767</t>
  </si>
  <si>
    <t>SO17581</t>
  </si>
  <si>
    <t>4500882717</t>
  </si>
  <si>
    <t>SO17678</t>
  </si>
  <si>
    <t>SO17839</t>
  </si>
  <si>
    <t>4500882138</t>
  </si>
  <si>
    <t>SO17851</t>
  </si>
  <si>
    <t>2258361</t>
  </si>
  <si>
    <t>SO17911</t>
  </si>
  <si>
    <t>SO17965</t>
  </si>
  <si>
    <t>4512433925</t>
  </si>
  <si>
    <t>SO18059</t>
  </si>
  <si>
    <t>OC00216</t>
  </si>
  <si>
    <t>SO18065</t>
  </si>
  <si>
    <t>OC00217</t>
  </si>
  <si>
    <t>SO18103</t>
  </si>
  <si>
    <t>4500879146</t>
  </si>
  <si>
    <t>OC00223</t>
  </si>
  <si>
    <t>SO18198</t>
  </si>
  <si>
    <t>M25-1321-1</t>
  </si>
  <si>
    <t>SO18240</t>
  </si>
  <si>
    <t>1067</t>
  </si>
  <si>
    <t>SO18243</t>
  </si>
  <si>
    <t>2259803</t>
  </si>
  <si>
    <t>Zijin Mining - Rosebel Goldmines N.V., Rosebel Gold Mines N.V.</t>
  </si>
  <si>
    <t>SO18255</t>
  </si>
  <si>
    <t>SO18270</t>
  </si>
  <si>
    <t>OC00229</t>
  </si>
  <si>
    <t>SO18274</t>
  </si>
  <si>
    <t>SO18280</t>
  </si>
  <si>
    <t>SO18286</t>
  </si>
  <si>
    <t>4512704234</t>
  </si>
  <si>
    <t>SO18318</t>
  </si>
  <si>
    <t>SO18330</t>
  </si>
  <si>
    <t>SO18331</t>
  </si>
  <si>
    <t>IA07-00008870</t>
  </si>
  <si>
    <t>Motion Industries Inc. (U.S.) - Mason City</t>
  </si>
  <si>
    <t>SO18335</t>
  </si>
  <si>
    <t>2259921</t>
  </si>
  <si>
    <t>SO18341</t>
  </si>
  <si>
    <t>BC65-00082608</t>
  </si>
  <si>
    <t>SO18346</t>
  </si>
  <si>
    <t>SO18347</t>
  </si>
  <si>
    <t>SO18351</t>
  </si>
  <si>
    <t>SO18354</t>
  </si>
  <si>
    <t>4501356558</t>
  </si>
  <si>
    <t>SO18357</t>
  </si>
  <si>
    <t>SO18358</t>
  </si>
  <si>
    <t>SO18360</t>
  </si>
  <si>
    <t>OC00236</t>
  </si>
  <si>
    <t>SO18361</t>
  </si>
  <si>
    <t>OC00237</t>
  </si>
  <si>
    <t>SO18363</t>
  </si>
  <si>
    <t>4501367820</t>
  </si>
  <si>
    <t>SO18365</t>
  </si>
  <si>
    <t>PO 6500024702</t>
  </si>
  <si>
    <t>SO18366</t>
  </si>
  <si>
    <t>SO18367</t>
  </si>
  <si>
    <t>SO18368</t>
  </si>
  <si>
    <t>OC00239</t>
  </si>
  <si>
    <t>SO18369</t>
  </si>
  <si>
    <t>PO#6500024885</t>
  </si>
  <si>
    <t>SO18371</t>
  </si>
  <si>
    <t>SO18372</t>
  </si>
  <si>
    <t>SO18373</t>
  </si>
  <si>
    <t>SO18374</t>
  </si>
  <si>
    <t>SO18375</t>
  </si>
  <si>
    <t>SO18377</t>
  </si>
  <si>
    <t>2100709518</t>
  </si>
  <si>
    <t>SO18378</t>
  </si>
  <si>
    <t>SO18380</t>
  </si>
  <si>
    <t>2100713583</t>
  </si>
  <si>
    <t>SO18381</t>
  </si>
  <si>
    <t>8147</t>
  </si>
  <si>
    <t>SO18383</t>
  </si>
  <si>
    <t>SO18384</t>
  </si>
  <si>
    <t>PO-008497</t>
  </si>
  <si>
    <t>SO18385</t>
  </si>
  <si>
    <t>SO18388</t>
  </si>
  <si>
    <t>4500625954</t>
  </si>
  <si>
    <t>SO18389</t>
  </si>
  <si>
    <t>SO18392</t>
  </si>
  <si>
    <t>SO18395</t>
  </si>
  <si>
    <t>OC00241</t>
  </si>
  <si>
    <t>SO18402</t>
  </si>
  <si>
    <t>SO18411</t>
  </si>
  <si>
    <t>8151</t>
  </si>
  <si>
    <t>SO18413</t>
  </si>
  <si>
    <t>SO18416</t>
  </si>
  <si>
    <t>2100715890</t>
  </si>
  <si>
    <t>SO18417</t>
  </si>
  <si>
    <t>SO18419</t>
  </si>
  <si>
    <t>4501355648</t>
  </si>
  <si>
    <t>SO18420</t>
  </si>
  <si>
    <t>SO18423</t>
  </si>
  <si>
    <t>607089</t>
  </si>
  <si>
    <t>SO18424</t>
  </si>
  <si>
    <t>SO18425</t>
  </si>
  <si>
    <t>SO18429</t>
  </si>
  <si>
    <t>SO18431</t>
  </si>
  <si>
    <t>SO18432</t>
  </si>
  <si>
    <t>SO18433</t>
  </si>
  <si>
    <t>4500626853</t>
  </si>
  <si>
    <t>SO18434</t>
  </si>
  <si>
    <t>2004-10223058/335 - Paid in full on Jan 5th 2026</t>
  </si>
  <si>
    <t>SO18435</t>
  </si>
  <si>
    <t>2100716052</t>
  </si>
  <si>
    <t>SO18436</t>
  </si>
  <si>
    <t>4512632354</t>
  </si>
  <si>
    <t>SO18437</t>
  </si>
  <si>
    <t>4512632355</t>
  </si>
  <si>
    <t>SO18440</t>
  </si>
  <si>
    <t>AZ52-00117403</t>
  </si>
  <si>
    <t>SO18444</t>
  </si>
  <si>
    <t>SO18445</t>
  </si>
  <si>
    <t>SO18446</t>
  </si>
  <si>
    <t>4500627804</t>
  </si>
  <si>
    <t>SO18452</t>
  </si>
  <si>
    <t>SO18453</t>
  </si>
  <si>
    <t>PO-40-1020263</t>
  </si>
  <si>
    <t>SO18454</t>
  </si>
  <si>
    <t>4501362599</t>
  </si>
  <si>
    <t>SO18455</t>
  </si>
  <si>
    <t>PO -  BC65-00082779</t>
  </si>
  <si>
    <t>SO18456</t>
  </si>
  <si>
    <t>OC00242</t>
  </si>
  <si>
    <t>SO18460</t>
  </si>
  <si>
    <t>PONV-25-2458</t>
  </si>
  <si>
    <t>SO18461</t>
  </si>
  <si>
    <t>SO18465</t>
  </si>
  <si>
    <t>SO18466</t>
  </si>
  <si>
    <t>4500628246</t>
  </si>
  <si>
    <t>SO18467</t>
  </si>
  <si>
    <t>SO18468</t>
  </si>
  <si>
    <t>1068</t>
  </si>
  <si>
    <t>SO18471</t>
  </si>
  <si>
    <t>4500924335</t>
  </si>
  <si>
    <t>SO18472</t>
  </si>
  <si>
    <t>SO18477</t>
  </si>
  <si>
    <t>PO# 8210</t>
  </si>
  <si>
    <t>SO18479</t>
  </si>
  <si>
    <t>PONV-25-2472</t>
  </si>
  <si>
    <t>SO18482</t>
  </si>
  <si>
    <t>8213</t>
  </si>
  <si>
    <t>SO18484</t>
  </si>
  <si>
    <t>P-123125</t>
  </si>
  <si>
    <t>INV13817</t>
  </si>
  <si>
    <t>INV13763</t>
  </si>
  <si>
    <t>INV13836</t>
  </si>
  <si>
    <t>INV13833</t>
  </si>
  <si>
    <t>INV13831</t>
  </si>
  <si>
    <t>INV13835</t>
  </si>
  <si>
    <t>INV13821</t>
  </si>
  <si>
    <t>INV13822</t>
  </si>
  <si>
    <t>INV13838</t>
  </si>
  <si>
    <t>INV13818</t>
  </si>
  <si>
    <t>INV13762</t>
  </si>
  <si>
    <t>INV13823</t>
  </si>
  <si>
    <t>INV13840</t>
  </si>
  <si>
    <t>INV13731</t>
  </si>
  <si>
    <t>INV13730</t>
  </si>
  <si>
    <t>INV13819</t>
  </si>
  <si>
    <t>INV13834</t>
  </si>
  <si>
    <t>INV13839</t>
  </si>
  <si>
    <t>INV13820</t>
  </si>
  <si>
    <t>INV13832</t>
  </si>
  <si>
    <t>INV13837</t>
  </si>
  <si>
    <t>INV13830</t>
  </si>
  <si>
    <t>SO17681 Total</t>
  </si>
  <si>
    <t>SO17903 Total</t>
  </si>
  <si>
    <t>SO17939 Total</t>
  </si>
  <si>
    <t>SO17999 Total</t>
  </si>
  <si>
    <t>SO18089 Total</t>
  </si>
  <si>
    <t>SO18124 Total</t>
  </si>
  <si>
    <t>SO18125 Total</t>
  </si>
  <si>
    <t>SO18126 Total</t>
  </si>
  <si>
    <t>SO18154 Total</t>
  </si>
  <si>
    <t>SO18176 Total</t>
  </si>
  <si>
    <t>SO18265 Total</t>
  </si>
  <si>
    <t>SO18318 Total</t>
  </si>
  <si>
    <t>SO18347 Total</t>
  </si>
  <si>
    <t>SO18372 Total</t>
  </si>
  <si>
    <t>SO18434 Total</t>
  </si>
  <si>
    <t>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</si>
</sst>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yyyy\-mm\-dd\ hh:mm:ss"/>
    <numFmt numFmtId="165" formatCode="yyyy\-mm\-dd"/>
    <numFmt numFmtId="166" formatCode="#,##0.00;\(#,##0.00\)"/>
    <numFmt numFmtId="167" formatCode="#,##0.000000;\(#,##0.000000\)"/>
    <numFmt numFmtId="168" formatCode="dd\ mmm\ yyyy"/>
    <numFmt numFmtId="169" formatCode="#,##0.00_ ;[Red]\-#,##0.00\ "/>
    <numFmt numFmtId="170" formatCode="#,##0.0000;\(#,##0.0000\)"/>
    <numFmt numFmtId="171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EBEBEB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" fontId="0" fillId="0" borderId="0" xfId="0" applyNumberFormat="1"/>
    <xf numFmtId="0" fontId="3" fillId="0" borderId="0" xfId="2"/>
    <xf numFmtId="0" fontId="3" fillId="0" borderId="0" xfId="2" applyAlignment="1">
      <alignment vertical="center"/>
    </xf>
    <xf numFmtId="0" fontId="5" fillId="0" borderId="0" xfId="2" applyFont="1"/>
    <xf numFmtId="0" fontId="6" fillId="0" borderId="2" xfId="2" applyFont="1" applyBorder="1" applyAlignment="1">
      <alignment horizontal="left" vertical="center"/>
    </xf>
    <xf numFmtId="0" fontId="6" fillId="0" borderId="2" xfId="2" applyFont="1" applyBorder="1" applyAlignment="1">
      <alignment horizontal="right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4" fontId="0" fillId="2" borderId="0" xfId="0" applyNumberFormat="1" applyFill="1" applyAlignment="1">
      <alignment wrapText="1"/>
    </xf>
    <xf numFmtId="3" fontId="0" fillId="0" borderId="0" xfId="0" applyNumberFormat="1" applyAlignment="1">
      <alignment wrapText="1"/>
    </xf>
    <xf numFmtId="4" fontId="0" fillId="2" borderId="0" xfId="0" applyNumberFormat="1" applyFill="1"/>
    <xf numFmtId="0" fontId="0" fillId="2" borderId="0" xfId="0" applyFill="1"/>
    <xf numFmtId="3" fontId="0" fillId="2" borderId="0" xfId="0" applyNumberFormat="1" applyFill="1" applyAlignment="1">
      <alignment wrapText="1"/>
    </xf>
    <xf numFmtId="43" fontId="0" fillId="0" borderId="0" xfId="1" applyFont="1" applyFill="1"/>
    <xf numFmtId="0" fontId="0" fillId="3" borderId="0" xfId="0" applyFill="1"/>
    <xf numFmtId="169" fontId="0" fillId="3" borderId="0" xfId="0" applyNumberFormat="1" applyFill="1"/>
    <xf numFmtId="166" fontId="3" fillId="0" borderId="0" xfId="2" applyNumberFormat="1"/>
    <xf numFmtId="0" fontId="7" fillId="2" borderId="0" xfId="0" applyFont="1" applyFill="1" applyAlignment="1">
      <alignment horizontal="center"/>
    </xf>
    <xf numFmtId="0" fontId="1" fillId="4" borderId="0" xfId="0" applyFont="1" applyFill="1"/>
    <xf numFmtId="0" fontId="8" fillId="2" borderId="0" xfId="0" applyFont="1" applyFill="1" applyAlignment="1">
      <alignment horizontal="center"/>
    </xf>
    <xf numFmtId="171" fontId="0" fillId="0" borderId="0" xfId="3" applyNumberFormat="1" applyFont="1"/>
    <xf numFmtId="0" fontId="1" fillId="4" borderId="0" xfId="0" applyFont="1" applyFill="1" applyAlignment="1">
      <alignment horizontal="center" vertical="center" wrapText="1"/>
    </xf>
    <xf numFmtId="3" fontId="0" fillId="0" borderId="0" xfId="0" applyNumberFormat="1"/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9" fontId="0" fillId="0" borderId="0" xfId="0" applyNumberFormat="1"/>
    <xf numFmtId="171" fontId="0" fillId="0" borderId="0" xfId="0" applyNumberFormat="1"/>
    <xf numFmtId="9" fontId="0" fillId="0" borderId="0" xfId="3" applyFont="1"/>
    <xf numFmtId="10" fontId="0" fillId="0" borderId="0" xfId="0" applyNumberFormat="1"/>
    <xf numFmtId="0" fontId="12" fillId="0" borderId="0" xfId="4"/>
    <xf numFmtId="3" fontId="0" fillId="0" borderId="0" xfId="0" applyNumberFormat="1" applyAlignment="1">
      <alignment horizontal="center"/>
    </xf>
    <xf numFmtId="0" fontId="9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 wrapText="1"/>
    </xf>
    <xf numFmtId="43" fontId="1" fillId="5" borderId="0" xfId="1" applyFont="1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3" fillId="5" borderId="0" xfId="2" applyFont="1" applyFill="1" applyAlignment="1">
      <alignment horizontal="left" vertical="center"/>
    </xf>
    <xf numFmtId="0" fontId="13" fillId="5" borderId="0" xfId="2" applyFont="1" applyFill="1"/>
    <xf numFmtId="0" fontId="0" fillId="6" borderId="0" xfId="0" applyFill="1"/>
    <xf numFmtId="0" fontId="8" fillId="4" borderId="0" xfId="0" applyFont="1" applyFill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right" vertical="center"/>
    </xf>
    <xf numFmtId="169" fontId="0" fillId="7" borderId="0" xfId="0" applyNumberFormat="1" applyFill="1" applyAlignment="1">
      <alignment horizontal="center"/>
    </xf>
    <xf numFmtId="0" fontId="0" fillId="7" borderId="0" xfId="0" applyFill="1"/>
    <xf numFmtId="169" fontId="0" fillId="8" borderId="0" xfId="0" applyNumberFormat="1" applyFill="1"/>
    <xf numFmtId="0" fontId="1" fillId="4" borderId="0" xfId="0" applyFont="1" applyFill="1" applyAlignment="1">
      <alignment horizontal="center"/>
    </xf>
    <xf numFmtId="0" fontId="0" fillId="8" borderId="0" xfId="0" applyFill="1"/>
    <xf numFmtId="43" fontId="0" fillId="8" borderId="0" xfId="1" applyFont="1" applyFill="1"/>
    <xf numFmtId="43" fontId="0" fillId="3" borderId="0" xfId="0" applyNumberFormat="1" applyFill="1"/>
    <xf numFmtId="3" fontId="0" fillId="7" borderId="0" xfId="0" applyNumberFormat="1" applyFill="1"/>
    <xf numFmtId="0" fontId="8" fillId="8" borderId="0" xfId="0" applyFont="1" applyFill="1" applyAlignment="1">
      <alignment horizontal="center"/>
    </xf>
    <xf numFmtId="0" fontId="0" fillId="0" borderId="0" xfId="1" applyNumberFormat="1" applyFont="1"/>
    <xf numFmtId="43" fontId="0" fillId="9" borderId="0" xfId="0" applyNumberFormat="1" applyFill="1"/>
    <xf numFmtId="169" fontId="0" fillId="9" borderId="0" xfId="0" applyNumberFormat="1" applyFill="1" applyAlignment="1">
      <alignment horizontal="center"/>
    </xf>
    <xf numFmtId="3" fontId="0" fillId="9" borderId="0" xfId="0" applyNumberFormat="1" applyFill="1"/>
    <xf numFmtId="169" fontId="0" fillId="8" borderId="0" xfId="0" applyNumberFormat="1" applyFill="1" applyAlignment="1">
      <alignment horizontal="center"/>
    </xf>
    <xf numFmtId="43" fontId="0" fillId="7" borderId="0" xfId="1" applyFont="1" applyFill="1"/>
    <xf numFmtId="3" fontId="0" fillId="8" borderId="0" xfId="0" applyNumberFormat="1" applyFill="1"/>
    <xf numFmtId="43" fontId="0" fillId="3" borderId="0" xfId="1" applyFont="1" applyFill="1"/>
    <xf numFmtId="0" fontId="0" fillId="10" borderId="0" xfId="0" applyFill="1"/>
    <xf numFmtId="4" fontId="0" fillId="3" borderId="0" xfId="0" applyNumberFormat="1" applyFill="1"/>
    <xf numFmtId="0" fontId="0" fillId="11" borderId="0" xfId="0" applyFill="1"/>
    <xf numFmtId="0" fontId="0" fillId="11" borderId="0" xfId="1" applyNumberFormat="1" applyFont="1" applyFill="1"/>
    <xf numFmtId="0" fontId="0" fillId="12" borderId="0" xfId="0" applyFill="1"/>
    <xf numFmtId="3" fontId="0" fillId="11" borderId="0" xfId="0" applyNumberFormat="1" applyFill="1" applyAlignment="1">
      <alignment horizont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horizontal="left" vertical="center"/>
    </xf>
    <xf numFmtId="167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170" fontId="4" fillId="0" borderId="1" xfId="0" applyNumberFormat="1" applyFont="1" applyBorder="1" applyAlignment="1">
      <alignment horizontal="right" vertical="center"/>
    </xf>
    <xf numFmtId="3" fontId="0" fillId="3" borderId="0" xfId="0" applyNumberFormat="1" applyFill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12" borderId="4" xfId="0" applyFill="1" applyBorder="1"/>
    <xf numFmtId="3" fontId="0" fillId="7" borderId="0" xfId="0" applyNumberFormat="1" applyFill="1" applyAlignment="1">
      <alignment horizontal="center"/>
    </xf>
    <xf numFmtId="0" fontId="0" fillId="8" borderId="0" xfId="1" applyNumberFormat="1" applyFont="1" applyFill="1"/>
    <xf numFmtId="169" fontId="0" fillId="9" borderId="0" xfId="0" applyNumberFormat="1" applyFill="1"/>
    <xf numFmtId="43" fontId="0" fillId="9" borderId="0" xfId="1" applyFont="1" applyFill="1"/>
  </cellXfs>
  <cellStyles count="5">
    <cellStyle name="Comma" xfId="1" builtinId="3"/>
    <cellStyle name="Hyperlink" xfId="4" builtinId="8"/>
    <cellStyle name="Normal" xfId="0" builtinId="0"/>
    <cellStyle name="Normal 2" xfId="2" xr:uid="{00000000-0005-0000-0000-000003000000}"/>
    <cellStyle name="Percent" xfId="3" builtinId="5"/>
  </cellStyles>
  <dxfs count="15">
    <dxf>
      <numFmt numFmtId="169" formatCode="#,##0.00_ ;[Red]\-#,##0.00\ 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9" formatCode="#,##0.00_ ;[Red]\-#,##0.00\ "/>
    </dxf>
    <dxf>
      <fill>
        <patternFill patternType="solid">
          <bgColor rgb="FFFFC000"/>
        </patternFill>
      </fill>
    </dxf>
    <dxf>
      <numFmt numFmtId="169" formatCode="#,##0.00_ ;[Red]\-#,##0.00\ 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9" formatCode="#,##0.00_ ;[Red]\-#,##0.00\ "/>
    </dxf>
    <dxf>
      <fill>
        <patternFill patternType="solid"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838200</xdr:colOff>
      <xdr:row>19</xdr:row>
      <xdr:rowOff>28575</xdr:rowOff>
    </xdr:from>
    <xdr:to>
      <xdr:col>15</xdr:col>
      <xdr:colOff>10797</xdr:colOff>
      <xdr:row>36</xdr:row>
      <xdr:rowOff>57814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3648075"/>
          <a:ext cx="10278747" cy="32677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arrion Alveo" refreshedDate="46015.677768055553" createdVersion="5" refreshedVersion="8" minRefreshableVersion="3" recordCount="1599" xr:uid="{00000000-000A-0000-FFFF-FFFF0A000000}">
  <cacheSource type="worksheet">
    <worksheetSource ref="A1:AT1600" sheet="ComTack"/>
  </cacheSource>
  <cacheFields count="46">
    <cacheField name="No.Inv" numFmtId="3">
      <sharedItems containsSemiMixedTypes="0" containsString="0" containsNumber="1" containsInteger="1" minValue="0" maxValue="5"/>
    </cacheField>
    <cacheField name="SO" numFmtId="0">
      <sharedItems containsMixedTypes="1" containsNumber="1" containsInteger="1" minValue="0" maxValue="0"/>
    </cacheField>
    <cacheField name="Sales P" numFmtId="0">
      <sharedItems containsBlank="1"/>
    </cacheField>
    <cacheField name="KAS P" numFmtId="0">
      <sharedItems containsBlank="1" count="7">
        <m/>
        <s v="Marlen M"/>
        <s v="Ian Trottier"/>
        <s v="Amanda Q"/>
        <s v="Alexis G"/>
        <s v="Wilka N"/>
        <s v="Aleksandar S"/>
      </sharedItems>
    </cacheField>
    <cacheField name="AE P" numFmtId="0">
      <sharedItems containsBlank="1"/>
    </cacheField>
    <cacheField name="FST P" numFmtId="0">
      <sharedItems containsNonDate="0" containsString="0" containsBlank="1"/>
    </cacheField>
    <cacheField name="Odoo Sales Person" numFmtId="4">
      <sharedItems containsMixedTypes="1" containsNumber="1" containsInteger="1" minValue="0" maxValue="0"/>
    </cacheField>
    <cacheField name="SO Mth" numFmtId="3">
      <sharedItems containsSemiMixedTypes="0" containsString="0" containsNumber="1" containsInteger="1" minValue="0" maxValue="12"/>
    </cacheField>
    <cacheField name="SO Year" numFmtId="3">
      <sharedItems containsSemiMixedTypes="0" containsString="0" containsNumber="1" containsInteger="1" minValue="0" maxValue="2025"/>
    </cacheField>
    <cacheField name="INVOICE" numFmtId="4">
      <sharedItems containsMixedTypes="1" containsNumber="1" containsInteger="1" minValue="0" maxValue="0"/>
    </cacheField>
    <cacheField name="Inv Mth Paid" numFmtId="3">
      <sharedItems containsMixedTypes="1" containsNumber="1" containsInteger="1" minValue="0" maxValue="12"/>
    </cacheField>
    <cacheField name="Inv Year Paid" numFmtId="3">
      <sharedItems containsMixedTypes="1" containsNumber="1" containsInteger="1" minValue="0" maxValue="2025"/>
    </cacheField>
    <cacheField name="Qtr" numFmtId="0">
      <sharedItems containsString="0" containsBlank="1" containsNumber="1" containsInteger="1" minValue="2502" maxValue="2504"/>
    </cacheField>
    <cacheField name="Contact" numFmtId="4">
      <sharedItems containsMixedTypes="1" containsNumber="1" containsInteger="1" minValue="0" maxValue="0"/>
    </cacheField>
    <cacheField name="Curr" numFmtId="169">
      <sharedItems containsMixedTypes="1" containsNumber="1" containsInteger="1" minValue="0" maxValue="0"/>
    </cacheField>
    <cacheField name="CAD" numFmtId="169">
      <sharedItems containsSemiMixedTypes="0" containsString="0" containsNumber="1" minValue="0" maxValue="343554.47137796431"/>
    </cacheField>
    <cacheField name="USD" numFmtId="169">
      <sharedItems containsSemiMixedTypes="0" containsString="0" containsNumber="1" minValue="0" maxValue="247074.32"/>
    </cacheField>
    <cacheField name="Delv and Paid" numFmtId="169">
      <sharedItems containsMixedTypes="1" containsNumber="1" containsInteger="1" minValue="0" maxValue="0" count="3">
        <s v="Yes"/>
        <s v=""/>
        <n v="0"/>
      </sharedItems>
    </cacheField>
    <cacheField name="Freight" numFmtId="169">
      <sharedItems containsSemiMixedTypes="0" containsString="0" containsNumber="1" minValue="0" maxValue="1250"/>
    </cacheField>
    <cacheField name="Total" numFmtId="169">
      <sharedItems containsSemiMixedTypes="0" containsString="0" containsNumber="1" minValue="0" maxValue="149743.1"/>
    </cacheField>
    <cacheField name="Deal Sales" numFmtId="0">
      <sharedItems containsNonDate="0" containsString="0" containsBlank="1"/>
    </cacheField>
    <cacheField name="Deal KAS" numFmtId="0">
      <sharedItems containsBlank="1"/>
    </cacheField>
    <cacheField name="Deal AE" numFmtId="0">
      <sharedItems containsBlank="1"/>
    </cacheField>
    <cacheField name="Deal FST" numFmtId="0">
      <sharedItems containsNonDate="0" containsString="0" containsBlank="1"/>
    </cacheField>
    <cacheField name="Sales %" numFmtId="171">
      <sharedItems/>
    </cacheField>
    <cacheField name="KAS %" numFmtId="171">
      <sharedItems containsMixedTypes="1" containsNumber="1" minValue="0" maxValue="0.02"/>
    </cacheField>
    <cacheField name="AE %" numFmtId="171">
      <sharedItems containsMixedTypes="1" containsNumber="1" minValue="0.01" maxValue="0.02"/>
    </cacheField>
    <cacheField name="FST %" numFmtId="171">
      <sharedItems/>
    </cacheField>
    <cacheField name="Sales" numFmtId="43">
      <sharedItems/>
    </cacheField>
    <cacheField name="KAS" numFmtId="43">
      <sharedItems containsMixedTypes="1" containsNumber="1" minValue="0" maxValue="372.78800000000001"/>
    </cacheField>
    <cacheField name="AE" numFmtId="43">
      <sharedItems containsMixedTypes="1" containsNumber="1" minValue="0" maxValue="857.46759999999995"/>
    </cacheField>
    <cacheField name="FST" numFmtId="43">
      <sharedItems/>
    </cacheField>
    <cacheField name="Líneas de la orden/Producto/Nombre" numFmtId="0">
      <sharedItems containsBlank="1"/>
    </cacheField>
    <cacheField name="Total2" numFmtId="0">
      <sharedItems containsString="0" containsBlank="1" containsNumber="1" minValue="0" maxValue="857.46759999999995"/>
    </cacheField>
    <cacheField name="PQ Sales" numFmtId="0">
      <sharedItems containsNonDate="0" containsString="0" containsBlank="1"/>
    </cacheField>
    <cacheField name="PQ KAS" numFmtId="0">
      <sharedItems containsString="0" containsBlank="1" containsNumber="1" containsInteger="1" minValue="2503" maxValue="2503"/>
    </cacheField>
    <cacheField name="PQ AE" numFmtId="0">
      <sharedItems containsString="0" containsBlank="1" containsNumber="1" containsInteger="1" minValue="2503" maxValue="2503"/>
    </cacheField>
    <cacheField name="PQ FST" numFmtId="0">
      <sharedItems containsNonDate="0" containsString="0" containsBlank="1"/>
    </cacheField>
    <cacheField name="Stat Sales" numFmtId="43">
      <sharedItems/>
    </cacheField>
    <cacheField name="Stat KAS" numFmtId="43">
      <sharedItems containsMixedTypes="1" containsNumber="1" minValue="0" maxValue="297.57959999999997"/>
    </cacheField>
    <cacheField name="Stat AE" numFmtId="43">
      <sharedItems containsMixedTypes="1" containsNumber="1" minValue="0" maxValue="443.57300000000004"/>
    </cacheField>
    <cacheField name="Stat FST" numFmtId="43">
      <sharedItems/>
    </cacheField>
    <cacheField name="QTR M" numFmtId="0">
      <sharedItems containsString="0" containsBlank="1" containsNumber="1" containsInteger="1" minValue="0" maxValue="2504" count="5">
        <m/>
        <n v="2503"/>
        <n v="0"/>
        <n v="2504"/>
        <n v="2502"/>
      </sharedItems>
    </cacheField>
    <cacheField name="Manager" numFmtId="0">
      <sharedItems containsBlank="1" count="12">
        <m/>
        <s v="IAN"/>
        <s v="Marlen Odoo"/>
        <s v="Peter"/>
        <s v="MEX"/>
        <s v="Marlen"/>
        <s v="Maria"/>
        <s v="WHO"/>
        <s v="Marlen Odoo A"/>
        <s v="Jeff Bell"/>
        <s v="Amanda Q" u="1"/>
        <e v="#N/A" u="1"/>
      </sharedItems>
    </cacheField>
    <cacheField name="%" numFmtId="43">
      <sharedItems containsSemiMixedTypes="0" containsString="0" containsNumber="1" minValue="0" maxValue="2246.1464999999998"/>
    </cacheField>
    <cacheField name="YES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arrion Alveo" refreshedDate="46028.788828240744" createdVersion="5" refreshedVersion="5" minRefreshableVersion="3" recordCount="1337" xr:uid="{00000000-000A-0000-FFFF-FFFF0B000000}">
  <cacheSource type="worksheet">
    <worksheetSource ref="A1:AR1600" sheet="CASOPOInvCL"/>
  </cacheSource>
  <cacheFields count="44">
    <cacheField name="Número de facturas" numFmtId="0">
      <sharedItems containsString="0" containsBlank="1" containsNumber="1" containsInteger="1" minValue="0" maxValue="5"/>
    </cacheField>
    <cacheField name="Referencia de la orden" numFmtId="0">
      <sharedItems containsBlank="1"/>
    </cacheField>
    <cacheField name="Reference" numFmtId="0">
      <sharedItems containsBlank="1"/>
    </cacheField>
    <cacheField name="Facturas" numFmtId="0">
      <sharedItems containsBlank="1"/>
    </cacheField>
    <cacheField name="Cliente" numFmtId="0">
      <sharedItems containsBlank="1"/>
    </cacheField>
    <cacheField name="Fecha de creación" numFmtId="0">
      <sharedItems containsNonDate="0" containsDate="1" containsString="0" containsBlank="1" minDate="2025-01-02T09:36:36" maxDate="2025-12-31T12:18:17"/>
    </cacheField>
    <cacheField name="Fecha de la orden" numFmtId="0">
      <sharedItems containsNonDate="0" containsDate="1" containsString="0" containsBlank="1" minDate="2025-01-02T10:32:39" maxDate="2026-01-06T12:29:47"/>
    </cacheField>
    <cacheField name="Shipping Date" numFmtId="0">
      <sharedItems containsNonDate="0" containsDate="1" containsString="0" containsBlank="1" minDate="2023-03-11T00:00:00" maxDate="2026-04-28T00:00:00"/>
    </cacheField>
    <cacheField name="Vendedor" numFmtId="0">
      <sharedItems containsBlank="1"/>
    </cacheField>
    <cacheField name="Divisa" numFmtId="0">
      <sharedItems containsBlank="1"/>
    </cacheField>
    <cacheField name="Tasa de divisa" numFmtId="0">
      <sharedItems containsString="0" containsBlank="1" containsNumber="1" minValue="0.68489392782051961" maxValue="1"/>
    </cacheField>
    <cacheField name="Total CAD" numFmtId="0">
      <sharedItems containsString="0" containsBlank="1" containsNumber="1" minValue="0" maxValue="343554.47137796431"/>
    </cacheField>
    <cacheField name="Total MXP" numFmtId="0">
      <sharedItems containsString="0" containsBlank="1" containsNumber="1" minValue="0" maxValue="25712.400000000001"/>
    </cacheField>
    <cacheField name="Total USD" numFmtId="0">
      <sharedItems containsString="0" containsBlank="1" containsNumber="1" minValue="0" maxValue="247074.32"/>
    </cacheField>
    <cacheField name="Importe sin impuestos" numFmtId="0">
      <sharedItems containsString="0" containsBlank="1" containsNumber="1" minValue="0.01" maxValue="247074.32"/>
    </cacheField>
    <cacheField name="Impuestos" numFmtId="0">
      <sharedItems containsString="0" containsBlank="1" containsNumber="1" minValue="0.13" maxValue="5684.96"/>
    </cacheField>
    <cacheField name="Total" numFmtId="0">
      <sharedItems containsString="0" containsBlank="1" containsNumber="1" minValue="0.01" maxValue="247074.32"/>
    </cacheField>
    <cacheField name="Delivery Status" numFmtId="0">
      <sharedItems containsBlank="1"/>
    </cacheField>
    <cacheField name="Hubspot Deal Owner" numFmtId="0">
      <sharedItems containsNonDate="0" containsString="0" containsBlank="1"/>
    </cacheField>
    <cacheField name="Cant de Fact" numFmtId="0">
      <sharedItems containsString="0" containsBlank="1" containsNumber="1" containsInteger="1" minValue="0" maxValue="5"/>
    </cacheField>
    <cacheField name="Month Created" numFmtId="0">
      <sharedItems containsString="0" containsBlank="1" containsNumber="1" containsInteger="1" minValue="1" maxValue="12"/>
    </cacheField>
    <cacheField name="Year Created" numFmtId="0">
      <sharedItems containsString="0" containsBlank="1" containsNumber="1" containsInteger="1" minValue="2025" maxValue="2025"/>
    </cacheField>
    <cacheField name="Month Paid" numFmtId="0">
      <sharedItems containsBlank="1" containsMixedTypes="1" containsNumber="1" containsInteger="1" minValue="1" maxValue="12"/>
    </cacheField>
    <cacheField name="Year Paid" numFmtId="0">
      <sharedItems containsBlank="1" containsMixedTypes="1" containsNumber="1" containsInteger="1" minValue="1900" maxValue="2026"/>
    </cacheField>
    <cacheField name="Rate 1" numFmtId="0">
      <sharedItems containsBlank="1" containsMixedTypes="1" containsNumber="1" minValue="0.6848939278205195" maxValue="1"/>
    </cacheField>
    <cacheField name="SO" numFmtId="0">
      <sharedItems containsBlank="1" count="1152">
        <s v="SO16348"/>
        <s v="SO16349"/>
        <s v="SO16350"/>
        <s v="SO16353"/>
        <s v="SO16359"/>
        <s v="SO16360"/>
        <s v="SO16361"/>
        <s v="SO16362"/>
        <s v="SO16363"/>
        <s v="SO16364"/>
        <s v="SO16368"/>
        <s v="SO16369"/>
        <s v="SO16372"/>
        <s v="SO16374"/>
        <s v="SO16375"/>
        <s v="SO16376"/>
        <s v="SO16377"/>
        <s v="SO16378"/>
        <s v="SO16379"/>
        <s v="SO16380"/>
        <s v="SO16381"/>
        <s v="SO16382"/>
        <s v="SO16383"/>
        <s v="SO16384"/>
        <s v="SO16385"/>
        <s v="SO16389"/>
        <s v="SO16390"/>
        <s v="SO16392"/>
        <s v="SO16393"/>
        <s v="SO16397"/>
        <s v="SO16399"/>
        <s v="SO16400"/>
        <s v="SO16401"/>
        <s v="SO16402"/>
        <s v="SO16403"/>
        <s v="SO16405"/>
        <s v="SO16406"/>
        <s v="SO16408"/>
        <s v="SO16409"/>
        <s v="SO16411"/>
        <s v="SO16412"/>
        <s v="SO16413"/>
        <s v="SO16414"/>
        <s v="SO16417"/>
        <s v="SO16422"/>
        <s v="SO16423"/>
        <s v="SO16424"/>
        <s v="SO16426"/>
        <s v="SO16427"/>
        <s v="SO16429"/>
        <s v="SO16430"/>
        <s v="SO16432"/>
        <s v="SO16433"/>
        <s v="SO16434"/>
        <s v="SO16435"/>
        <s v="SO16436"/>
        <s v="SO16437"/>
        <s v="SO16438"/>
        <s v="SO16440"/>
        <s v="SO16446"/>
        <s v="SO16448"/>
        <s v="SO16449"/>
        <s v="SO16451"/>
        <s v="SO16452"/>
        <s v="SO16453"/>
        <s v="SO16455"/>
        <s v="SO16457"/>
        <s v="SO16462"/>
        <s v="SO16464"/>
        <s v="SO16466"/>
        <s v="SO16467"/>
        <s v="SO16470"/>
        <s v="SO16471"/>
        <s v="SO16474"/>
        <s v="SO16475"/>
        <s v="SO16476"/>
        <s v="SO16477"/>
        <s v="SO16479"/>
        <s v="SO16481"/>
        <s v="SO16482"/>
        <s v="SO16485"/>
        <s v="SO16486"/>
        <s v="SO16488"/>
        <s v="SO16492"/>
        <s v="SO16494"/>
        <s v="SO16495"/>
        <s v="SO16496"/>
        <s v="SO16497"/>
        <s v="SO16498"/>
        <s v="SO16499"/>
        <s v="SO16501"/>
        <s v="SO16503"/>
        <s v="SO16504"/>
        <s v="SO16505"/>
        <s v="SO16509"/>
        <s v="SO16511"/>
        <s v="SO16512"/>
        <s v="SO16513"/>
        <s v="SO16515"/>
        <s v="SO16516"/>
        <s v="SO16517"/>
        <s v="SO16519"/>
        <s v="SO16520"/>
        <s v="SO16521"/>
        <s v="SO16522"/>
        <s v="SO16525"/>
        <s v="SO16526"/>
        <s v="SO16527"/>
        <s v="SO16528"/>
        <s v="SO16529"/>
        <s v="SO16530"/>
        <s v="SO16531"/>
        <s v="SO16532"/>
        <s v="SO16533"/>
        <s v="SO16534"/>
        <s v="SO16535"/>
        <s v="SO16537"/>
        <s v="SO16539"/>
        <s v="SO16544"/>
        <s v="SO16545"/>
        <s v="SO16546"/>
        <s v="SO16547"/>
        <s v="SO16549"/>
        <s v="SO16550"/>
        <s v="SO16551"/>
        <s v="SO16552"/>
        <s v="SO16554"/>
        <s v="SO16556"/>
        <s v="SO16557"/>
        <s v="SO16558"/>
        <s v="SO16559"/>
        <s v="SO16560"/>
        <s v="SO16561"/>
        <s v="SO16564"/>
        <s v="SO16568"/>
        <s v="SO16569"/>
        <s v="SO16570"/>
        <s v="SO16571"/>
        <s v="SO16572"/>
        <s v="SO16574"/>
        <s v="SO16577"/>
        <s v="SO16578"/>
        <s v="SO16579"/>
        <s v="SO16580"/>
        <s v="SO16581"/>
        <s v="SO16583"/>
        <s v="SO16584"/>
        <s v="SO16586"/>
        <s v="SO16588"/>
        <s v="SO16589"/>
        <s v="SO16592"/>
        <s v="SO16593"/>
        <s v="SO16595"/>
        <s v="SO16596"/>
        <s v="SO16597"/>
        <s v="SO16598"/>
        <s v="SO16599"/>
        <s v="SO16601"/>
        <s v="SO16603"/>
        <s v="SO16604"/>
        <s v="SO16605"/>
        <s v="SO16607"/>
        <s v="SO16609"/>
        <s v="SO16610"/>
        <s v="SO16611"/>
        <s v="SO16612"/>
        <s v="SO16613"/>
        <s v="SO16615"/>
        <s v="SO16617"/>
        <s v="SO16618"/>
        <s v="SO16619"/>
        <s v="SO16623"/>
        <s v="SO16626"/>
        <s v="SO16628"/>
        <s v="SO16630"/>
        <s v="SO16636"/>
        <s v="SO16637"/>
        <s v="SO16640"/>
        <s v="SO16642"/>
        <s v="SO16645"/>
        <s v="SO16646"/>
        <s v="SO16647"/>
        <s v="SO16648"/>
        <s v="SO16651"/>
        <s v="SO16653"/>
        <s v="SO16654"/>
        <s v="SO16656"/>
        <s v="SO16657"/>
        <s v="SO16658"/>
        <s v="SO16659"/>
        <s v="SO16660"/>
        <s v="SO16662"/>
        <s v="SO16663"/>
        <s v="SO16664"/>
        <s v="SO16665"/>
        <s v="SO16666"/>
        <s v="SO16667"/>
        <s v="SO16668"/>
        <s v="SO16669"/>
        <s v="SO16671"/>
        <s v="SO16672"/>
        <s v="SO16673"/>
        <s v="SO16674"/>
        <s v="SO16676"/>
        <s v="SO16677"/>
        <s v="SO16679"/>
        <s v="SO16680"/>
        <s v="SO16682"/>
        <s v="SO16683"/>
        <s v="SO16685"/>
        <s v="SO16687"/>
        <s v="SO16692"/>
        <s v="SO16693"/>
        <s v="SO16694"/>
        <s v="SO16696"/>
        <s v="SO16698"/>
        <s v="SO16703"/>
        <s v="SO16704"/>
        <s v="SO16705"/>
        <s v="SO16706"/>
        <s v="SO16707"/>
        <s v="SO16708"/>
        <s v="SO16711"/>
        <s v="SO16712"/>
        <s v="SO16714"/>
        <s v="SO16715"/>
        <s v="SO16718"/>
        <s v="SO16719"/>
        <s v="SO16720"/>
        <s v="SO16725"/>
        <s v="SO16727"/>
        <s v="SO16732"/>
        <s v="SO16733"/>
        <s v="SO16734"/>
        <s v="SO16736"/>
        <s v="SO16737"/>
        <s v="SO16738"/>
        <s v="SO16739"/>
        <s v="SO16740"/>
        <s v="SO16742"/>
        <s v="SO16744"/>
        <s v="SO16746"/>
        <s v="SO16747"/>
        <s v="SO16749"/>
        <s v="SO16750"/>
        <s v="SO16751"/>
        <s v="SO16752"/>
        <s v="SO16753"/>
        <s v="SO16754"/>
        <s v="SO16755"/>
        <s v="SO16756"/>
        <s v="SO16757"/>
        <s v="SO16760"/>
        <s v="SO16761"/>
        <s v="SO16762"/>
        <s v="SO16764"/>
        <s v="SO16765"/>
        <s v="SO16766"/>
        <s v="SO16769"/>
        <s v="SO16770"/>
        <s v="SO16772"/>
        <s v="SO16774"/>
        <s v="SO16775"/>
        <s v="SO16778"/>
        <s v="SO16783"/>
        <s v="SO16787"/>
        <s v="SO16788"/>
        <s v="SO16792"/>
        <s v="SO16793"/>
        <s v="SO16794"/>
        <s v="SO16796"/>
        <s v="SO16797"/>
        <s v="SO16798"/>
        <s v="SO16799"/>
        <s v="SO16803"/>
        <s v="SO16804"/>
        <s v="SO16805"/>
        <s v="SO16809"/>
        <s v="SO16812"/>
        <s v="SO16813"/>
        <s v="SO16814"/>
        <s v="SO16815"/>
        <s v="SO16816"/>
        <s v="SO16817"/>
        <s v="SO16819"/>
        <s v="SO16821"/>
        <s v="SO16822"/>
        <s v="SO16824"/>
        <s v="SO16826"/>
        <s v="SO16827"/>
        <s v="SO16829"/>
        <s v="SO16830"/>
        <s v="SO16833"/>
        <s v="SO16834"/>
        <s v="SO16835"/>
        <s v="SO16836"/>
        <s v="SO16837"/>
        <s v="SO16839"/>
        <s v="SO16840"/>
        <s v="SO16842"/>
        <s v="SO16844"/>
        <s v="SO16846"/>
        <s v="SO16847"/>
        <s v="SO16848"/>
        <s v="SO16850"/>
        <s v="SO16853"/>
        <s v="SO16856"/>
        <s v="SO16860"/>
        <s v="SO16865"/>
        <s v="SO16866"/>
        <s v="SO16867"/>
        <s v="SO16868"/>
        <s v="SO16870"/>
        <s v="SO16874"/>
        <s v="SO16875"/>
        <s v="SO16876"/>
        <s v="SO16879"/>
        <s v="SO16881"/>
        <s v="SO16882"/>
        <s v="SO16884"/>
        <s v="SO16885"/>
        <s v="SO16888"/>
        <s v="SO16903"/>
        <s v="SO16918"/>
        <s v="SO16923"/>
        <s v="SO16931"/>
        <s v="SO16932"/>
        <s v="SO16934"/>
        <s v="SO16939"/>
        <s v="SO16941"/>
        <s v="SO16942"/>
        <s v="SO16947"/>
        <s v="SO16948"/>
        <s v="SO16949"/>
        <s v="SO16951"/>
        <s v="SO16952"/>
        <s v="SO16953"/>
        <s v="SO16957"/>
        <s v="SO16958"/>
        <s v="SO16962"/>
        <s v="SO16963"/>
        <s v="SO16964"/>
        <s v="SO16965"/>
        <s v="SO16967"/>
        <s v="SO16968"/>
        <s v="SO16970"/>
        <s v="SO16976"/>
        <s v="SO16983"/>
        <s v="SO16985"/>
        <s v="SO16989"/>
        <s v="SO16990"/>
        <s v="SO16991"/>
        <s v="SO16992"/>
        <s v="SO16994"/>
        <s v="SO16995"/>
        <s v="SO16996"/>
        <s v="SO17000"/>
        <s v="SO17001"/>
        <s v="SO17003"/>
        <s v="SO17004"/>
        <s v="SO17005"/>
        <s v="SO17006"/>
        <s v="SO17008"/>
        <s v="SO17009"/>
        <s v="SO17010"/>
        <s v="SO17013"/>
        <s v="SO17015"/>
        <s v="SO17017"/>
        <s v="SO17020"/>
        <s v="SO17022"/>
        <s v="SO17024"/>
        <s v="SO17025"/>
        <s v="SO17026"/>
        <s v="SO17027"/>
        <s v="SO17028"/>
        <s v="SO17029"/>
        <s v="SO17030"/>
        <s v="SO17031"/>
        <s v="SO17033"/>
        <s v="SO17037"/>
        <s v="SO17044"/>
        <s v="SO17046"/>
        <s v="SO17047"/>
        <s v="SO17048"/>
        <s v="SO17049"/>
        <s v="SO17051"/>
        <s v="SO17053"/>
        <s v="SO17054"/>
        <s v="SO17055"/>
        <s v="SO17059"/>
        <s v="SO17060"/>
        <s v="SO17061"/>
        <s v="SO17062"/>
        <s v="SO17063"/>
        <s v="SO17073"/>
        <s v="SO17079"/>
        <s v="SO17080"/>
        <s v="SO17082"/>
        <s v="SO17086"/>
        <s v="SO17095"/>
        <s v="SO17099"/>
        <s v="SO17100"/>
        <s v="SO17101"/>
        <s v="SO17102"/>
        <s v="SO17103"/>
        <s v="SO17104"/>
        <s v="SO17105"/>
        <s v="SO17106"/>
        <s v="SO17114"/>
        <s v="SO17116"/>
        <s v="SO17119"/>
        <s v="SO17126"/>
        <s v="SO17129"/>
        <s v="SO17130"/>
        <s v="SO17133"/>
        <s v="SO17134"/>
        <s v="SO17139"/>
        <s v="SO17140"/>
        <s v="SO17142"/>
        <s v="SO17143"/>
        <s v="SO17144"/>
        <s v="SO17145"/>
        <s v="SO17146"/>
        <s v="SO17148"/>
        <s v="SO17149"/>
        <s v="SO17151"/>
        <s v="SO17152"/>
        <s v="SO17153"/>
        <s v="SO17159"/>
        <s v="SO17163"/>
        <s v="SO17164"/>
        <s v="SO17165"/>
        <s v="SO17169"/>
        <s v="SO17170"/>
        <s v="SO17172"/>
        <s v="SO17175"/>
        <s v="SO17176"/>
        <s v="SO17180"/>
        <s v="SO17190"/>
        <s v="SO17191"/>
        <s v="SO17193"/>
        <s v="SO17194"/>
        <s v="SO17197"/>
        <s v="SO17199"/>
        <s v="SO17200"/>
        <s v="SO17201"/>
        <s v="SO17202"/>
        <s v="SO17205"/>
        <s v="SO17207"/>
        <s v="SO17209"/>
        <s v="SO17210"/>
        <s v="SO17211"/>
        <s v="SO17212"/>
        <s v="SO17214"/>
        <s v="SO17216"/>
        <s v="SO17218"/>
        <s v="SO17219"/>
        <s v="SO17220"/>
        <s v="SO17221"/>
        <s v="SO17222"/>
        <s v="SO17223"/>
        <s v="SO17224"/>
        <s v="SO17225"/>
        <s v="SO17226"/>
        <s v="SO17227"/>
        <s v="SO17229"/>
        <s v="SO17230"/>
        <s v="SO17234"/>
        <s v="SO17235"/>
        <s v="SO17237"/>
        <s v="SO17238"/>
        <s v="SO17241"/>
        <s v="SO17242"/>
        <s v="SO17243"/>
        <s v="SO17245"/>
        <s v="SO17246"/>
        <s v="SO17249"/>
        <s v="SO17250"/>
        <s v="SO17253"/>
        <s v="SO17254"/>
        <s v="SO17256"/>
        <s v="SO17257"/>
        <s v="SO17259"/>
        <s v="SO17260"/>
        <s v="SO17261"/>
        <s v="SO17262"/>
        <s v="SO17263"/>
        <s v="SO17264"/>
        <s v="SO17265"/>
        <s v="SO17267"/>
        <s v="SO17269"/>
        <s v="SO17271"/>
        <s v="SO17274"/>
        <s v="SO17276"/>
        <s v="SO17277"/>
        <s v="SO17278"/>
        <s v="SO17282"/>
        <s v="SO17283"/>
        <s v="SO17284"/>
        <s v="SO17285"/>
        <s v="SO17286"/>
        <s v="SO17289"/>
        <s v="SO17291"/>
        <s v="SO17293"/>
        <s v="SO17294"/>
        <s v="SO17297"/>
        <s v="SO17298"/>
        <s v="SO17299"/>
        <s v="SO17300"/>
        <s v="SO17304"/>
        <s v="SO17311"/>
        <s v="SO17312"/>
        <s v="SO17313"/>
        <s v="SO17315"/>
        <s v="SO17316"/>
        <s v="SO17317"/>
        <s v="SO17318"/>
        <s v="SO17319"/>
        <s v="SO17320"/>
        <s v="SO17321"/>
        <s v="SO17322"/>
        <s v="SO17325"/>
        <s v="SO17329"/>
        <s v="SO17332"/>
        <s v="SO17333"/>
        <s v="SO17334"/>
        <s v="SO17337"/>
        <s v="SO17338"/>
        <s v="SO17345"/>
        <s v="SO17346"/>
        <s v="SO17349"/>
        <s v="SO17353"/>
        <s v="SO17355"/>
        <s v="SO17356"/>
        <s v="SO17357"/>
        <s v="SO17358"/>
        <s v="SO17360"/>
        <s v="SO17366"/>
        <s v="SO17367"/>
        <s v="SO17368"/>
        <s v="SO17369"/>
        <s v="SO17370"/>
        <s v="SO17372"/>
        <s v="SO17375"/>
        <s v="SO17379"/>
        <s v="SO17382"/>
        <s v="SO17383"/>
        <s v="SO17384"/>
        <s v="SO17385"/>
        <s v="SO17386"/>
        <s v="SO17388"/>
        <s v="SO17389"/>
        <s v="SO17390"/>
        <s v="SO17391"/>
        <s v="SO17395"/>
        <s v="SO17396"/>
        <s v="SO17397"/>
        <s v="SO17398"/>
        <s v="SO17400"/>
        <s v="SO17402"/>
        <s v="SO17404"/>
        <s v="SO17407"/>
        <s v="SO17408"/>
        <s v="SO17410"/>
        <s v="SO17413"/>
        <s v="SO17421"/>
        <s v="SO17422"/>
        <s v="SO17423"/>
        <s v="SO17425"/>
        <s v="SO17430"/>
        <s v="SO17431"/>
        <s v="SO17432"/>
        <s v="SO17434"/>
        <s v="SO17437"/>
        <s v="SO17439"/>
        <s v="SO17440"/>
        <s v="SO17441"/>
        <s v="SO17442"/>
        <s v="SO17443"/>
        <s v="SO17444"/>
        <s v="SO17446"/>
        <s v="SO17450"/>
        <s v="SO17451"/>
        <s v="SO17452"/>
        <s v="SO17453"/>
        <s v="SO17454"/>
        <s v="SO17455"/>
        <s v="SO17456"/>
        <s v="SO17457"/>
        <s v="SO17459"/>
        <s v="SO17461"/>
        <s v="SO17462"/>
        <s v="SO17464"/>
        <s v="SO17466"/>
        <s v="SO17467"/>
        <s v="SO17468"/>
        <s v="SO17471"/>
        <s v="SO17472"/>
        <s v="SO17475"/>
        <s v="SO17477"/>
        <s v="SO17478"/>
        <s v="SO17481"/>
        <s v="SO17482"/>
        <s v="SO17483"/>
        <s v="SO17484"/>
        <s v="SO17485"/>
        <s v="SO17486"/>
        <s v="SO17488"/>
        <s v="SO17489"/>
        <s v="SO17491"/>
        <s v="SO17494"/>
        <s v="SO17496"/>
        <s v="SO17497"/>
        <s v="SO17506"/>
        <s v="SO17507"/>
        <s v="SO17509"/>
        <s v="SO17512"/>
        <s v="SO17513"/>
        <s v="SO17515"/>
        <s v="SO17516"/>
        <s v="SO17518"/>
        <s v="SO17519"/>
        <s v="SO17520"/>
        <s v="SO17521"/>
        <s v="SO17522"/>
        <s v="SO17523"/>
        <s v="SO17524"/>
        <s v="SO17525"/>
        <s v="SO17529"/>
        <s v="SO17530"/>
        <s v="SO17531"/>
        <s v="SO17532"/>
        <s v="SO17535"/>
        <s v="SO17536"/>
        <s v="SO17539"/>
        <s v="SO17543"/>
        <s v="SO17544"/>
        <s v="SO17547"/>
        <s v="SO17548"/>
        <s v="SO17549"/>
        <s v="SO17550"/>
        <s v="SO17551"/>
        <s v="SO17552"/>
        <s v="SO17553"/>
        <s v="SO17554"/>
        <s v="SO17555"/>
        <s v="SO17558"/>
        <s v="SO17560"/>
        <s v="SO17562"/>
        <s v="SO17563"/>
        <s v="SO17564"/>
        <s v="SO17565"/>
        <s v="SO17566"/>
        <s v="SO17567"/>
        <s v="SO17568"/>
        <s v="SO17570"/>
        <s v="SO17571"/>
        <s v="SO17573"/>
        <s v="SO17574"/>
        <s v="SO17575"/>
        <s v="SO17576"/>
        <s v="SO17578"/>
        <s v="SO17581"/>
        <s v="SO17588"/>
        <s v="SO17589"/>
        <s v="SO17590"/>
        <s v="SO17593"/>
        <s v="SO17595"/>
        <s v="SO17596"/>
        <s v="SO17597"/>
        <s v="SO17598"/>
        <s v="SO17603"/>
        <s v="SO17604"/>
        <s v="SO17608"/>
        <s v="SO17610"/>
        <s v="SO17612"/>
        <s v="SO17613"/>
        <s v="SO17615"/>
        <s v="SO17621"/>
        <s v="SO17625"/>
        <s v="SO17626"/>
        <s v="SO17627"/>
        <s v="SO17628"/>
        <s v="SO17630"/>
        <s v="SO17636"/>
        <s v="SO17637"/>
        <s v="SO17640"/>
        <s v="SO17643"/>
        <s v="SO17644"/>
        <s v="SO17645"/>
        <s v="SO17648"/>
        <s v="SO17651"/>
        <s v="SO17652"/>
        <s v="SO17653"/>
        <s v="SO17655"/>
        <s v="SO17656"/>
        <s v="SO17659"/>
        <s v="SO17660"/>
        <s v="SO17661"/>
        <s v="SO17662"/>
        <s v="SO17664"/>
        <s v="SO17670"/>
        <s v="SO17673"/>
        <s v="SO17674"/>
        <s v="SO17676"/>
        <s v="SO17677"/>
        <s v="SO17678"/>
        <s v="SO17679"/>
        <s v="SO17681"/>
        <s v="SO17682"/>
        <s v="SO17683"/>
        <s v="SO17684"/>
        <s v="SO17685"/>
        <s v="SO17686"/>
        <s v="SO17689"/>
        <s v="SO17690"/>
        <s v="SO17691"/>
        <s v="SO17692"/>
        <s v="SO17693"/>
        <s v="SO17695"/>
        <s v="SO17696"/>
        <s v="SO17698"/>
        <s v="SO17700"/>
        <s v="SO17701"/>
        <s v="SO17703"/>
        <s v="SO17704"/>
        <s v="SO17707"/>
        <s v="SO17709"/>
        <s v="SO17710"/>
        <s v="SO17712"/>
        <s v="SO17714"/>
        <s v="SO17715"/>
        <s v="SO17718"/>
        <s v="SO17719"/>
        <s v="SO17721"/>
        <s v="SO17723"/>
        <s v="SO17727"/>
        <s v="SO17729"/>
        <s v="SO17731"/>
        <s v="SO17737"/>
        <s v="SO17739"/>
        <s v="SO17740"/>
        <s v="SO17741"/>
        <s v="SO17742"/>
        <s v="SO17744"/>
        <s v="SO17747"/>
        <s v="SO17749"/>
        <s v="SO17753"/>
        <s v="SO17756"/>
        <s v="SO17758"/>
        <s v="SO17759"/>
        <s v="SO17760"/>
        <s v="SO17761"/>
        <s v="SO17763"/>
        <s v="SO17765"/>
        <s v="SO17768"/>
        <s v="SO17769"/>
        <s v="SO17774"/>
        <s v="SO17775"/>
        <s v="SO17776"/>
        <s v="SO17777"/>
        <s v="SO17778"/>
        <s v="SO17779"/>
        <s v="SO17781"/>
        <s v="SO17782"/>
        <s v="SO17783"/>
        <s v="SO17784"/>
        <s v="SO17785"/>
        <s v="SO17786"/>
        <s v="SO17787"/>
        <s v="SO17788"/>
        <s v="SO17794"/>
        <s v="SO17796"/>
        <s v="SO17797"/>
        <s v="SO17799"/>
        <s v="SO17800"/>
        <s v="SO17801"/>
        <s v="SO17803"/>
        <s v="SO17804"/>
        <s v="SO17806"/>
        <s v="SO17809"/>
        <s v="SO17812"/>
        <s v="SO17813"/>
        <s v="SO17814"/>
        <s v="SO17817"/>
        <s v="SO17818"/>
        <s v="SO17824"/>
        <s v="SO17826"/>
        <s v="SO17827"/>
        <s v="SO17828"/>
        <s v="SO17833"/>
        <s v="SO17834"/>
        <s v="SO17835"/>
        <s v="SO17836"/>
        <s v="SO17837"/>
        <s v="SO17838"/>
        <s v="SO17839"/>
        <s v="SO17844"/>
        <s v="SO17845"/>
        <s v="SO17846"/>
        <s v="SO17847"/>
        <s v="SO17848"/>
        <s v="SO17849"/>
        <s v="SO17850"/>
        <s v="SO17851"/>
        <s v="SO17854"/>
        <s v="SO17856"/>
        <s v="SO17858"/>
        <s v="SO17860"/>
        <s v="SO17862"/>
        <s v="SO17863"/>
        <s v="SO17864"/>
        <s v="SO17868"/>
        <s v="SO17870"/>
        <s v="SO17873"/>
        <s v="SO17874"/>
        <s v="SO17876"/>
        <s v="SO17877"/>
        <s v="SO17878"/>
        <s v="SO17879"/>
        <s v="SO17880"/>
        <s v="SO17889"/>
        <s v="SO17892"/>
        <s v="SO17893"/>
        <s v="SO17895"/>
        <s v="SO17896"/>
        <s v="SO17897"/>
        <s v="SO17898"/>
        <s v="SO17899"/>
        <s v="SO17900"/>
        <s v="SO17901"/>
        <s v="SO17902"/>
        <s v="SO17903"/>
        <s v="SO17904"/>
        <s v="SO17905"/>
        <s v="SO17906"/>
        <s v="SO17910"/>
        <s v="SO17911"/>
        <s v="SO17914"/>
        <s v="SO17916"/>
        <s v="SO17917"/>
        <s v="SO17920"/>
        <s v="SO17921"/>
        <s v="SO17922"/>
        <s v="SO17923"/>
        <s v="SO17925"/>
        <s v="SO17926"/>
        <s v="SO17928"/>
        <s v="SO17930"/>
        <s v="SO17931"/>
        <s v="SO17932"/>
        <s v="SO17937"/>
        <s v="SO17938"/>
        <s v="SO17939"/>
        <s v="SO17941"/>
        <s v="SO17942"/>
        <s v="SO17944"/>
        <s v="SO17945"/>
        <s v="SO17946"/>
        <s v="SO17947"/>
        <s v="SO17953"/>
        <s v="SO17954"/>
        <s v="SO17956"/>
        <s v="SO17957"/>
        <s v="SO17958"/>
        <s v="SO17959"/>
        <s v="SO17962"/>
        <s v="SO17964"/>
        <s v="SO17965"/>
        <s v="SO17966"/>
        <s v="SO17968"/>
        <s v="SO17969"/>
        <s v="SO17978"/>
        <s v="SO17980"/>
        <s v="SO17981"/>
        <s v="SO17982"/>
        <s v="SO17983"/>
        <s v="SO17985"/>
        <s v="SO17987"/>
        <s v="SO17988"/>
        <s v="SO17990"/>
        <s v="SO17991"/>
        <s v="SO17993"/>
        <s v="SO17996"/>
        <s v="SO17997"/>
        <s v="SO17999"/>
        <s v="SO18001"/>
        <s v="SO18002"/>
        <s v="SO18004"/>
        <s v="SO18008"/>
        <s v="SO18009"/>
        <s v="SO18010"/>
        <s v="SO18012"/>
        <s v="SO18013"/>
        <s v="SO18014"/>
        <s v="SO18016"/>
        <s v="SO18017"/>
        <s v="SO18024"/>
        <s v="SO18027"/>
        <s v="SO18028"/>
        <s v="SO18030"/>
        <s v="SO18036"/>
        <s v="SO18040"/>
        <s v="SO18042"/>
        <s v="SO18045"/>
        <s v="SO18047"/>
        <s v="SO18048"/>
        <s v="SO18049"/>
        <s v="SO18051"/>
        <s v="SO18052"/>
        <s v="SO18053"/>
        <s v="SO18054"/>
        <s v="SO18055"/>
        <s v="SO18056"/>
        <s v="SO18057"/>
        <s v="SO18058"/>
        <s v="SO18059"/>
        <s v="SO18062"/>
        <s v="SO18065"/>
        <s v="SO18066"/>
        <s v="SO18068"/>
        <s v="SO18069"/>
        <s v="SO18072"/>
        <s v="SO18073"/>
        <s v="SO18076"/>
        <s v="SO18078"/>
        <s v="SO18079"/>
        <s v="SO18080"/>
        <s v="SO18081"/>
        <s v="SO18084"/>
        <s v="SO18089"/>
        <s v="SO18095"/>
        <s v="SO18096"/>
        <s v="SO18103"/>
        <s v="SO18104"/>
        <s v="SO18106"/>
        <s v="SO18107"/>
        <s v="SO18108"/>
        <s v="SO18109"/>
        <s v="SO18110"/>
        <s v="SO18112"/>
        <s v="SO18115"/>
        <s v="SO18116"/>
        <s v="SO18120"/>
        <s v="SO18122"/>
        <s v="SO18123"/>
        <s v="SO18124"/>
        <s v="SO18125"/>
        <s v="SO18126"/>
        <s v="SO18127"/>
        <s v="SO18128"/>
        <s v="SO18131"/>
        <s v="SO18133"/>
        <s v="SO18134"/>
        <s v="SO18135"/>
        <s v="SO18136"/>
        <s v="SO18137"/>
        <s v="SO18138"/>
        <s v="SO18140"/>
        <s v="SO18142"/>
        <s v="SO18143"/>
        <s v="SO18145"/>
        <s v="SO18150"/>
        <s v="SO18151"/>
        <s v="SO18152"/>
        <s v="SO18153"/>
        <s v="SO18154"/>
        <s v="SO18155"/>
        <s v="SO18156"/>
        <s v="SO18158"/>
        <s v="SO18159"/>
        <s v="SO18160"/>
        <s v="SO18161"/>
        <s v="SO18163"/>
        <s v="SO18164"/>
        <s v="SO18165"/>
        <s v="SO18167"/>
        <s v="SO18170"/>
        <s v="SO18172"/>
        <s v="SO18173"/>
        <s v="SO18175"/>
        <s v="SO18176"/>
        <s v="SO18179"/>
        <s v="SO18180"/>
        <s v="SO18181"/>
        <s v="SO18184"/>
        <s v="SO18186"/>
        <s v="SO18187"/>
        <s v="SO18188"/>
        <s v="SO18189"/>
        <s v="SO18191"/>
        <s v="SO18192"/>
        <s v="SO18198"/>
        <s v="SO18199"/>
        <s v="SO18200"/>
        <s v="SO18204"/>
        <s v="SO18206"/>
        <s v="SO18209"/>
        <s v="SO18210"/>
        <s v="SO18211"/>
        <s v="SO18212"/>
        <s v="SO18213"/>
        <s v="SO18214"/>
        <s v="SO18221"/>
        <s v="SO18222"/>
        <s v="SO18223"/>
        <s v="SO18224"/>
        <s v="SO18225"/>
        <s v="SO18226"/>
        <s v="SO18227"/>
        <s v="SO18228"/>
        <s v="SO18230"/>
        <s v="SO18231"/>
        <s v="SO18232"/>
        <s v="SO18233"/>
        <s v="SO18238"/>
        <s v="SO18240"/>
        <s v="SO18241"/>
        <s v="SO18242"/>
        <s v="SO18243"/>
        <s v="SO18245"/>
        <s v="SO18247"/>
        <s v="SO18249"/>
        <s v="SO18250"/>
        <s v="SO18255"/>
        <s v="SO18259"/>
        <s v="SO18260"/>
        <s v="SO18262"/>
        <s v="SO18264"/>
        <s v="SO18265"/>
        <s v="SO18267"/>
        <s v="SO18270"/>
        <s v="SO18271"/>
        <s v="SO18272"/>
        <s v="SO18274"/>
        <s v="SO18275"/>
        <s v="SO18276"/>
        <s v="SO18280"/>
        <s v="SO18281"/>
        <s v="SO18285"/>
        <s v="SO18286"/>
        <s v="SO18287"/>
        <s v="SO18289"/>
        <s v="SO18292"/>
        <s v="SO18293"/>
        <s v="SO18295"/>
        <s v="SO18296"/>
        <s v="SO18297"/>
        <s v="SO18298"/>
        <s v="SO18300"/>
        <s v="SO18301"/>
        <s v="SO18302"/>
        <s v="SO18305"/>
        <s v="SO18307"/>
        <s v="SO18308"/>
        <s v="SO18311"/>
        <s v="SO18313"/>
        <s v="SO18314"/>
        <s v="SO18315"/>
        <s v="SO18316"/>
        <s v="SO18318"/>
        <s v="SO18320"/>
        <s v="SO18322"/>
        <s v="SO18323"/>
        <s v="SO18324"/>
        <s v="SO18325"/>
        <s v="SO18326"/>
        <s v="SO18327"/>
        <s v="SO18329"/>
        <s v="SO18330"/>
        <s v="SO18331"/>
        <s v="SO18335"/>
        <s v="SO18337"/>
        <s v="SO18339"/>
        <s v="SO18340"/>
        <s v="SO18341"/>
        <s v="SO18344"/>
        <s v="SO18345"/>
        <s v="SO18346"/>
        <s v="SO18347"/>
        <s v="SO18349"/>
        <s v="SO18350"/>
        <s v="SO18351"/>
        <s v="SO18354"/>
        <s v="SO18356"/>
        <s v="SO18357"/>
        <s v="SO18358"/>
        <s v="SO18360"/>
        <s v="SO18361"/>
        <s v="SO18363"/>
        <s v="SO18365"/>
        <s v="SO18366"/>
        <s v="SO18367"/>
        <s v="SO18368"/>
        <s v="SO18369"/>
        <s v="SO18371"/>
        <s v="SO18372"/>
        <s v="SO18373"/>
        <s v="SO18374"/>
        <s v="SO18375"/>
        <s v="SO18377"/>
        <s v="SO18378"/>
        <s v="SO18380"/>
        <s v="SO18381"/>
        <s v="SO18383"/>
        <s v="SO18384"/>
        <s v="SO18385"/>
        <s v="SO18388"/>
        <s v="SO18389"/>
        <s v="SO18392"/>
        <s v="SO18395"/>
        <s v="SO18402"/>
        <s v="SO18411"/>
        <s v="SO18413"/>
        <s v="SO18416"/>
        <s v="SO18417"/>
        <s v="SO18419"/>
        <s v="SO18420"/>
        <s v="SO18423"/>
        <s v="SO18424"/>
        <s v="SO18425"/>
        <s v="SO18429"/>
        <s v="SO18431"/>
        <s v="SO18432"/>
        <s v="SO18433"/>
        <s v="SO18434"/>
        <s v="SO18435"/>
        <s v="SO18436"/>
        <s v="SO18437"/>
        <s v="SO18440"/>
        <s v="SO18444"/>
        <s v="SO18445"/>
        <s v="SO18446"/>
        <s v="SO18452"/>
        <s v="SO18453"/>
        <s v="SO18454"/>
        <s v="SO18455"/>
        <s v="SO18456"/>
        <s v="SO18460"/>
        <s v="SO18461"/>
        <s v="SO18465"/>
        <s v="SO18466"/>
        <s v="SO18467"/>
        <s v="SO18468"/>
        <s v="SO18471"/>
        <s v="SO18472"/>
        <s v="SO18477"/>
        <s v="SO18479"/>
        <s v="SO18482"/>
        <s v="SO18484"/>
        <m/>
        <s v="SO18277" u="1"/>
      </sharedItems>
    </cacheField>
    <cacheField name="SODate" numFmtId="0">
      <sharedItems containsNonDate="0" containsDate="1" containsString="0" containsBlank="1" minDate="2025-01-02T09:36:36" maxDate="2025-12-31T12:18:17"/>
    </cacheField>
    <cacheField name="INV" numFmtId="0">
      <sharedItems containsBlank="1" count="1250">
        <s v="INV12491"/>
        <s v="INV12951"/>
        <s v="INV12497"/>
        <s v="INV12591"/>
        <s v="INV12502"/>
        <s v="INV12492"/>
        <s v="INV12901"/>
        <s v="INV12503"/>
        <s v="INV12685"/>
        <s v="INV12837"/>
        <s v="INV12509"/>
        <s v="INV12493"/>
        <s v="INV12779"/>
        <s v="INV12505"/>
        <s v="INV12504"/>
        <s v="INV12592"/>
        <s v="INV12597"/>
        <s v="INV12543"/>
        <s v="INV12494"/>
        <s v="INV12496"/>
        <s v="INV12584"/>
        <s v="INV12953"/>
        <s v="INV12500"/>
        <s v="INV12495"/>
        <s v="INV12761"/>
        <s v="INV13051"/>
        <s v="INV12579"/>
        <s v="INV12501"/>
        <s v="INV12631"/>
        <s v="INV12506"/>
        <s v="INV12706"/>
        <s v="INV12704"/>
        <s v="INV12541"/>
        <s v="INV12846"/>
        <s v="INV12536"/>
        <s v="INV12662"/>
        <s v="INV12574"/>
        <s v="INV12530"/>
        <s v="INV12508"/>
        <s v="INV12513"/>
        <s v="INV12635"/>
        <s v="INV12519"/>
        <s v="INV12515"/>
        <s v="INV12535"/>
        <s v="INV12539"/>
        <s v="INV12516"/>
        <s v="INV12626"/>
        <s v="INV12872"/>
        <s v="INV12701"/>
        <s v="INV12544"/>
        <s v="INV12643"/>
        <s v="INV12695"/>
        <s v="INV12811"/>
        <s v="INV12538"/>
        <s v="No Inv"/>
        <s v="INV12563"/>
        <s v="INV12602"/>
        <s v="INV12595"/>
        <s v="INV12551"/>
        <s v="INV12545"/>
        <s v="INV12649"/>
        <s v="INV12550"/>
        <s v="INV12677"/>
        <s v="INV12653"/>
        <s v="INV12610"/>
        <s v="INV12683"/>
        <s v="INV12572"/>
        <s v="INV12556"/>
        <s v="INV12557"/>
        <s v="INV12558"/>
        <s v="INV13057"/>
        <s v="INV12559"/>
        <s v="INV12684"/>
        <s v="INV12553"/>
        <s v="INV12561"/>
        <s v="INV12954"/>
        <s v="INV12582"/>
        <s v="INV12585"/>
        <s v="INV12549"/>
        <s v="INV12697"/>
        <s v="INV12593"/>
        <s v="INV12562"/>
        <s v="INV12776"/>
        <s v="INV12614"/>
        <s v="INV12578"/>
        <s v="INV12589"/>
        <s v="INV12599"/>
        <s v="INV12566"/>
        <s v="INV12564"/>
        <s v="INV12686"/>
        <s v="INV12573"/>
        <s v="INV12568"/>
        <s v="INV13050"/>
        <s v="INV12567"/>
        <s v="INV12570"/>
        <s v="INV12596"/>
        <s v="INV12620"/>
        <s v="INV12856"/>
        <s v="INV12594"/>
        <s v="INV12580"/>
        <s v="RINV/2025/00001 (Reversal of: INV12581)"/>
        <s v="INV12581"/>
        <s v="INV12576"/>
        <s v="INV12864"/>
        <s v="INV12577"/>
        <s v="INV12600"/>
        <s v="INV12970"/>
        <s v="INV12642"/>
        <s v="INV12915"/>
        <s v="INV12833"/>
        <s v="INV12615"/>
        <s v="INV12676"/>
        <s v="INV12638"/>
        <s v="INV12675"/>
        <s v="INV12587"/>
        <s v="INV12828"/>
        <s v="INV12586"/>
        <s v="INV12772"/>
        <s v="INV12625"/>
        <s v="INV12921"/>
        <s v="INV12830"/>
        <s v="INV12604"/>
        <s v="INV12612"/>
        <s v="INV13100"/>
        <s v="INV12624"/>
        <s v="INV12637"/>
        <s v="INV12744"/>
        <s v="INV12696"/>
        <s v="INV12749"/>
        <s v="INV12782"/>
        <s v="INV12822"/>
        <s v="INV13035"/>
        <s v="INV12898"/>
        <s v="INV12756"/>
        <s v="INV12618"/>
        <s v="INV12747"/>
        <s v="INV12840"/>
        <s v="INV12860"/>
        <s v="INV13074"/>
        <s v="INV12644"/>
        <s v="INV12832"/>
        <s v="INV12605"/>
        <s v="INV12603"/>
        <s v="INV12940"/>
        <s v="INV13261"/>
        <s v="INV13030"/>
        <s v="INV12646"/>
        <s v="INV12962"/>
        <s v="INV12613"/>
        <s v="INV12607"/>
        <s v="INV12743"/>
        <s v="INV12757"/>
        <s v="INV13151"/>
        <s v="INV12765"/>
        <s v="INV12867"/>
        <s v="INV12636"/>
        <s v="INV12977"/>
        <s v="INV12640"/>
        <s v="INV12622"/>
        <s v="INV12693"/>
        <s v="INV12880"/>
        <s v="INV12664"/>
        <s v="INV12741"/>
        <s v="INV12645"/>
        <s v="INV12628"/>
        <s v="INV12836"/>
        <s v="INV12619"/>
        <s v="INV12616"/>
        <s v="INV13016"/>
        <s v="INV12647"/>
        <s v="INV12692"/>
        <s v="INV12623"/>
        <s v="INV12712"/>
        <s v="INV13214"/>
        <s v="INV13188"/>
        <s v="INV12632"/>
        <s v="Borrador de factura INV12661"/>
        <s v="INV12904"/>
        <s v="INV12717"/>
        <s v="INV12879"/>
        <s v="INV12672"/>
        <s v="INV12943"/>
        <s v="INV13152"/>
        <s v="INV12633"/>
        <s v="INV12634"/>
        <s v="INV12655"/>
        <s v="INV12648"/>
        <s v="INV12639"/>
        <s v="INV13505"/>
        <s v="INV12629"/>
        <s v="INV13207"/>
        <s v="INV12641"/>
        <s v="INV12657"/>
        <s v="INV13017"/>
        <s v="INV12863"/>
        <s v="INV12942"/>
        <s v="INV12705"/>
        <s v="INV13052"/>
        <s v="INV13018"/>
        <s v="INV12658"/>
        <s v="INV12680"/>
        <s v="INV12965"/>
        <s v="INV12700"/>
        <s v="INV12768"/>
        <s v="INV12670"/>
        <s v="INV12659"/>
        <s v="INV12668"/>
        <s v="INV12724"/>
        <s v="INV12952"/>
        <s v="INV12671"/>
        <s v="INV12651"/>
        <s v="INV12694"/>
        <s v="INV12831"/>
        <s v="INV12766"/>
        <s v="INV13221"/>
        <s v="INV13247"/>
        <s v="INV12920"/>
        <s v="INV12681"/>
        <s v="INV12777"/>
        <s v="INV13189"/>
        <s v="INV12886"/>
        <s v="INV12985"/>
        <s v="INV13215"/>
        <s v="INV13374"/>
        <s v="INV12669"/>
        <s v="INV12714"/>
        <s v="INV12665"/>
        <s v="INV12888"/>
        <s v="INV12887"/>
        <s v="INV12667"/>
        <s v="INV12866"/>
        <s v="INV12689"/>
        <s v="INV12855"/>
        <s v="INV12821"/>
        <s v="INV12760"/>
        <s v="INV12687"/>
        <s v="INV12673"/>
        <s v="INV12792"/>
        <s v="INV12764"/>
        <s v="INV13192"/>
        <s v="INV12678"/>
        <s v="INV12716"/>
        <s v="INV12763"/>
        <s v="INV12727"/>
        <s v="INV13004"/>
        <s v="INV13003"/>
        <s v="INV12989"/>
        <s v="INV12719"/>
        <s v="INV12698"/>
        <s v="INV12709"/>
        <s v="INV12896"/>
        <s v="INV12807"/>
        <s v="INV12793"/>
        <s v="INV12853"/>
        <s v="INV12734"/>
        <s v="INV13075"/>
        <s v="INV12775"/>
        <s v="INV12767"/>
        <s v="INV12730"/>
        <s v="INV13091"/>
        <s v="INV12721"/>
        <s v="INV12702"/>
        <s v="INV12699"/>
        <s v="INV12755"/>
        <s v="INV12803"/>
        <s v="INV12946"/>
        <s v="INV12713"/>
        <s v="INV12750"/>
        <s v="INV12817"/>
        <s v="INV12703"/>
        <s v="INV12715"/>
        <s v="INV12725"/>
        <s v="INV12710"/>
        <s v="INV12780"/>
        <s v="INV12889"/>
        <s v="INV13090"/>
        <s v="INV12718"/>
        <s v="INV12862"/>
        <s v="INV12971"/>
        <s v="INV12804"/>
        <s v="INV12794"/>
        <s v="INV12852"/>
        <s v="INV12736"/>
        <s v="INV12720"/>
        <s v="INV12988"/>
        <s v="INV12865"/>
        <s v="INV12737"/>
        <s v="INV12742"/>
        <s v="INV12731"/>
        <s v="INV12762"/>
        <s v="INV13036"/>
        <s v="INV12748"/>
        <s v="INV13095"/>
        <s v="INV12732"/>
        <s v="INV12808"/>
        <s v="INV13179"/>
        <s v="INV12726"/>
        <s v="INV12854"/>
        <s v="INV12753"/>
        <s v="INV12729"/>
        <s v="INV12796"/>
        <s v="INV12740"/>
        <s v="INV12728"/>
        <s v="INV13019"/>
        <s v="INV12751"/>
        <s v="INV12735"/>
        <s v="INV12738"/>
        <s v="INV12883"/>
        <s v="INV12975"/>
        <s v="INV12739"/>
        <s v="INV12787"/>
        <s v="INV12812"/>
        <s v="INV12733"/>
        <s v="INV13191"/>
        <s v="INV12759"/>
        <s v="INV12917"/>
        <s v="INV12823"/>
        <s v="INV12958"/>
        <s v="INV12799"/>
        <s v="INV12813"/>
        <s v="INV12802"/>
        <s v="INV12752"/>
        <s v="INV12795"/>
        <s v="INV13161"/>
        <s v="INV12754"/>
        <s v="INV12826"/>
        <s v="INV12968"/>
        <s v="INV12916"/>
        <s v="INV13275"/>
        <s v="INV12788"/>
        <s v="INV12848"/>
        <s v="INV12758"/>
        <s v="INV13049"/>
        <s v="INV13438"/>
        <s v="INV13026"/>
        <s v="INV12869"/>
        <s v="INV12986"/>
        <s v="INV12845"/>
        <s v="INV12781"/>
        <s v="INV12814"/>
        <s v="INV12778"/>
        <s v="INV13007"/>
        <s v="INV12835"/>
        <s v="INV12976"/>
        <s v="INV12937"/>
        <s v="INV12798"/>
        <s v="INV12784"/>
        <s v="INV12791"/>
        <s v="INV12797"/>
        <s v="INV12786"/>
        <s v="INV12785"/>
        <s v="INV12908"/>
        <s v="INV12982"/>
        <s v="INV12825"/>
        <s v="INV13129"/>
        <s v="INV12790"/>
        <s v="INV12789"/>
        <s v="INV12927"/>
        <s v="INV12834"/>
        <s v="INV12810"/>
        <s v="INV12824"/>
        <s v="INV12918"/>
        <s v="INV12974"/>
        <s v="INV13115"/>
        <s v="INV12805"/>
        <s v="INV12900"/>
        <s v="INV12818"/>
        <s v="INV12806"/>
        <s v="INV12893"/>
        <s v="INV12827"/>
        <s v="INV12857"/>
        <s v="INV12882"/>
        <s v="INV12809"/>
        <s v="INV12885"/>
        <s v="INV12871"/>
        <s v="INV12963"/>
        <s v="INV13301"/>
        <s v="INV12906"/>
        <s v="INV12815"/>
        <s v="INV12894"/>
        <s v="INV12881"/>
        <s v="INV13022"/>
        <s v="INV12819"/>
        <s v="INV13122"/>
        <s v="INV13098"/>
        <s v="INV12829"/>
        <s v="INV13216"/>
        <s v="INV12843"/>
        <s v="INV13121"/>
        <s v="INV13251"/>
        <s v="INV13475"/>
        <s v="INV13044"/>
        <s v="INV13234"/>
        <s v="INV13407"/>
        <s v="INV12842"/>
        <s v="INV12841"/>
        <s v="(* 72154)"/>
        <s v="INV12838"/>
        <s v="INV12839"/>
        <s v="INV13135"/>
        <s v="INV12884"/>
        <s v="INV13123"/>
        <s v="INV12913"/>
        <s v="INV12851"/>
        <s v="INV12847"/>
        <s v="INV12874"/>
        <s v="INV12925"/>
        <s v="INV13204"/>
        <s v="INV12902"/>
        <s v="INV12973"/>
        <s v="INV13008"/>
        <s v="INV12999"/>
        <s v="INV12861"/>
        <s v="INV12868"/>
        <s v="INV13001"/>
        <s v="INV12873"/>
        <s v="INV13141"/>
        <s v="INV12870"/>
        <s v="INV12877"/>
        <s v="INV12969"/>
        <s v="INV12890"/>
        <s v="INV12903"/>
        <s v="INV12923"/>
        <s v="INV13125"/>
        <s v="INV12878"/>
        <s v="INV12876"/>
        <s v="INV12984"/>
        <s v="INV12912"/>
        <s v="INV12895"/>
        <s v="INV12966"/>
        <s v="INV12875"/>
        <s v="INV12932"/>
        <s v="INV12891"/>
        <s v="INV13056"/>
        <s v="INV12930"/>
        <s v="INV12892"/>
        <s v="INV13372"/>
        <s v="INV13230"/>
        <s v="INV13272"/>
        <s v="INV12905"/>
        <s v="INV13105"/>
        <s v="INV12914"/>
        <s v="INV13032"/>
        <s v="INV12911"/>
        <s v="INV12926"/>
        <s v="INV13067"/>
        <s v="INV12909"/>
        <s v="INV12931"/>
        <s v="INV12910"/>
        <s v="INV12933"/>
        <s v="INV12919"/>
        <s v="INV12922"/>
        <s v="INV12945"/>
        <s v="INV12948"/>
        <s v="INV12939"/>
        <s v="INV13088"/>
        <s v="INV12956"/>
        <s v="INV12929"/>
        <s v="INV12936"/>
        <s v="INV12938"/>
        <s v="INV13133"/>
        <s v="INV12934"/>
        <s v="INV12924"/>
        <s v="INV12928"/>
        <s v="INV13394"/>
        <s v="INV13273"/>
        <s v="INV13021"/>
        <s v="INV13114"/>
        <s v="INV12995"/>
        <s v="INV13187"/>
        <s v="INV13386"/>
        <s v="INV12949"/>
        <s v="INV12944"/>
        <s v="INV12941"/>
        <s v="INV12961"/>
        <s v="INV13109"/>
        <s v="INV12935"/>
        <s v="INV12960"/>
        <s v="INV12950"/>
        <s v="INV13099"/>
        <s v="INV13206"/>
        <s v="INV12947"/>
        <s v="INV12987"/>
        <s v="INV13116"/>
        <s v="INV13436"/>
        <s v="INV12955"/>
        <s v="INV12957"/>
        <s v="INV12959"/>
        <s v="INV13089"/>
        <s v="INV13058"/>
        <s v="INV13028"/>
        <s v="INV13595"/>
        <s v="INV12964"/>
        <s v="INV13063"/>
        <s v="INV12996"/>
        <s v="INV12978"/>
        <s v="INV13066"/>
        <s v="INV12967"/>
        <s v="INV13015"/>
        <s v="INV12993"/>
        <s v="INV13084"/>
        <s v="INV12981"/>
        <s v="INV12980"/>
        <s v="INV13068"/>
        <s v="INV13086"/>
        <s v="INV13190"/>
        <s v="INV12983"/>
        <s v="INV12991"/>
        <s v="INV13302"/>
        <s v="INV13340"/>
        <s v="INV13440"/>
        <s v="INV12997"/>
        <s v="INV13347"/>
        <s v="INV13445"/>
        <s v="INV13213"/>
        <s v="INV12990"/>
        <s v="INV13305"/>
        <s v="INV13037"/>
        <s v="INV12998"/>
        <s v="INV13006"/>
        <s v="INV12992"/>
        <s v="INV13014"/>
        <s v="INV12994"/>
        <s v="INV13205"/>
        <s v="INV13000"/>
        <s v="INV13033"/>
        <s v="INV13073"/>
        <s v="INV13160"/>
        <s v="INV13742"/>
        <s v="INV13250"/>
        <s v="INV13476"/>
        <s v="INV13644"/>
        <s v="INV13002"/>
        <s v="INV13047"/>
        <s v="INV13069"/>
        <s v="INV13322"/>
        <s v="INV13005"/>
        <s v="INV13055"/>
        <s v="INV13020"/>
        <s v="INV13163"/>
        <s v="INV13388"/>
        <s v="INV13040"/>
        <s v="INV13118"/>
        <s v="INV13024"/>
        <s v="INV13070"/>
        <s v="INV13013"/>
        <s v="INV13012"/>
        <s v="INV13011"/>
        <s v="INV13010"/>
        <s v="INV13025"/>
        <s v="INV13186"/>
        <s v="INV13009"/>
        <s v="INV13023"/>
        <s v="INV13027"/>
        <s v="INV13031"/>
        <s v="INV13079"/>
        <s v="INV13029"/>
        <s v="INV13045"/>
        <s v="INV13041"/>
        <s v="INV13482"/>
        <s v="INV13338"/>
        <s v="INV13269"/>
        <s v="INV13042"/>
        <s v="(* 77703)"/>
        <s v="INV13112"/>
        <s v="INV13048"/>
        <s v="INV13071"/>
        <s v="INV13477"/>
        <s v="INV13046"/>
        <s v="INV13061"/>
        <s v="INV13077"/>
        <s v="INV13059"/>
        <s v="INV13064"/>
        <s v="INV13053"/>
        <s v="INV13085"/>
        <s v="INV13315"/>
        <s v="INV13126"/>
        <s v="INV13094"/>
        <s v="INV13197"/>
        <s v="INV13043"/>
        <s v="INV13603"/>
        <s v="INV13260"/>
        <s v="INV13060"/>
        <s v="INV13065"/>
        <s v="INV13081"/>
        <s v="INV13054"/>
        <s v="INV13131"/>
        <s v="INV13087"/>
        <s v="INV13076"/>
        <s v="INV13132"/>
        <s v="INV13544"/>
        <s v="INV13078"/>
        <s v="INV13316"/>
        <s v="INV13138"/>
        <s v="INV13311"/>
        <s v="INV13147"/>
        <s v="INV13289"/>
        <s v="INV13082"/>
        <s v="INV13257"/>
        <s v="INV13097"/>
        <s v="INV13622"/>
        <s v="INV13080"/>
        <s v="INV13072"/>
        <s v="INV13330"/>
        <s v="INV13164"/>
        <s v="INV13585"/>
        <s v="INV13490"/>
        <s v="INV13346"/>
        <s v="INV13535"/>
        <s v="INV13092"/>
        <s v="INV13083"/>
        <s v="INV13093"/>
        <s v="INV13102"/>
        <s v="INV13218"/>
        <s v="INV13284"/>
        <s v="INV13142"/>
        <s v="INV13170"/>
        <s v="INV13120"/>
        <s v="INV13139"/>
        <s v="INV13096"/>
        <s v="INV13130"/>
        <s v="INV13414"/>
        <s v="INV13157"/>
        <s v="INV13223"/>
        <s v="INV13235"/>
        <s v="INV13101"/>
        <s v="INV13258"/>
        <s v="INV13113"/>
        <s v="INV13107"/>
        <s v="INV13103"/>
        <s v="INV13104"/>
        <s v="INV13287"/>
        <s v="INV13106"/>
        <s v="INV13380"/>
        <s v="INV13228"/>
        <s v="INV13145"/>
        <s v="INV13117"/>
        <s v="INV13159"/>
        <s v="INV13185"/>
        <s v="INV13248"/>
        <s v="INV13111"/>
        <s v="INV13110"/>
        <s v="INV13406"/>
        <s v="INV13124"/>
        <s v="INV13503"/>
        <s v="INV13227"/>
        <s v="INV13169"/>
        <s v="INV13526"/>
        <s v="INV13148"/>
        <s v="INV13290"/>
        <s v="INV13127"/>
        <s v="INV13128"/>
        <s v="INV13497"/>
        <s v="INV13155"/>
        <s v="INV13177"/>
        <s v="INV13203"/>
        <s v="INV13136"/>
        <s v="INV13172"/>
        <s v="INV13180"/>
        <s v="INV13162"/>
        <s v="(* 78441)"/>
        <s v="INV13231"/>
        <s v="INV13134"/>
        <s v="INV13587"/>
        <s v="INV13175"/>
        <s v="INV13268"/>
        <s v="INV13143"/>
        <s v="INV13140"/>
        <s v="INV13153"/>
        <s v="INV13259"/>
        <s v="INV13154"/>
        <s v="INV13149"/>
        <s v="INV13502"/>
        <s v="INV13455"/>
        <s v="INV13456"/>
        <s v="INV13379"/>
        <s v="INV13193"/>
        <s v="INV13523"/>
        <s v="INV13326"/>
        <s v="INV13496"/>
        <s v="INV13156"/>
        <s v="INV13534"/>
        <s v="INV13358"/>
        <s v="INV13146"/>
        <s v="INV13150"/>
        <s v="INV13586"/>
        <s v="INV13278"/>
        <s v="INV13178"/>
        <s v="INV13451"/>
        <s v="INV13756"/>
        <s v="INV13184"/>
        <s v="INV13183"/>
        <s v="INV13239"/>
        <s v="INV13267"/>
        <s v="INV13158"/>
        <s v="INV13266"/>
        <s v="INV13323"/>
        <s v="INV13276"/>
        <s v="INV13176"/>
        <s v="INV13393"/>
        <s v="INV13173"/>
        <s v="INV13201"/>
        <s v="INV13174"/>
        <s v="INV13466"/>
        <s v="INV13181"/>
        <s v="INV13271"/>
        <s v="INV13167"/>
        <s v="INV13166"/>
        <s v="INV13182"/>
        <s v="INV13304"/>
        <s v="INV13331"/>
        <s v="INV13220"/>
        <s v="INV13252"/>
        <s v="INV13574"/>
        <s v="INV13165"/>
        <s v="INV13229"/>
        <s v="INV13668"/>
        <s v="INV13249"/>
        <s v="INV13576"/>
        <s v="INV13303"/>
        <s v="INV13168"/>
        <s v="INV13171"/>
        <s v="INV13355"/>
        <s v="INV13208"/>
        <s v="INV13310"/>
        <s v="INV13401"/>
        <s v="INV13245"/>
        <s v="INV13382"/>
        <s v="INV13682"/>
        <s v="INV13369"/>
        <s v="INV13352"/>
        <s v="INV13210"/>
        <s v="INV13233"/>
        <s v="INV13329"/>
        <s v="INV13671"/>
        <s v="INV13238"/>
        <s v="INV13681"/>
        <s v="INV13317"/>
        <s v="INV13458"/>
        <s v="INV13299"/>
        <s v="INV13300"/>
        <s v="INV13469"/>
        <s v="INV13198"/>
        <s v="INV13217"/>
        <s v="INV13200"/>
        <s v="INV13209"/>
        <s v="INV13253"/>
        <s v="INV13404"/>
        <s v="INV13256"/>
        <s v="INV13225"/>
        <s v="INV13243"/>
        <s v="INV13461"/>
        <s v="INV13196"/>
        <s v="INV13270"/>
        <s v="INV13719"/>
        <s v="INV13511"/>
        <s v="INV13555"/>
        <s v="INV13288"/>
        <s v="INV13325"/>
        <s v="INV13491"/>
        <s v="INV13693"/>
        <s v="INV13709"/>
        <s v="INV13199"/>
        <s v="INV13240"/>
        <s v="INV13356"/>
        <s v="INV13371"/>
        <s v="INV13219"/>
        <s v="INV13212"/>
        <s v="INV13277"/>
        <s v="INV13237"/>
        <s v="INV13222"/>
        <s v="INV13242"/>
        <s v="INV13674"/>
        <s v="INV13296"/>
        <s v="INV13274"/>
        <s v="INV13263"/>
        <s v="INV13262"/>
        <s v="INV13495"/>
        <s v="INV13226"/>
        <s v="INV13224"/>
        <s v="INV13244"/>
        <s v="INV13236"/>
        <s v="INV13506"/>
        <s v="INV13232"/>
        <s v="(* 78449)"/>
        <s v="INV13431"/>
        <s v="INV13551"/>
        <s v="INV13433"/>
        <s v="INV13328"/>
        <s v="INV13314"/>
        <s v="INV13265"/>
        <s v="INV13427"/>
        <s v="INV13370"/>
        <s v="INV13470"/>
        <s v="INV13588"/>
        <s v="INV13241"/>
        <s v="INV13246"/>
        <s v="INV13313"/>
        <s v="INV13264"/>
        <s v="INV13327"/>
        <s v="INV13670"/>
        <s v="INV13254"/>
        <s v="INV13437"/>
        <s v="INV13255"/>
        <s v="INV13281"/>
        <s v="INV13459"/>
        <s v="INV13357"/>
        <s v="INV13363"/>
        <s v="INV13392"/>
        <s v="Borrador de nota de crédito RINV/2025/00003"/>
        <s v="INV13478"/>
        <s v="INV13335"/>
        <s v="INV13573"/>
        <s v="INV13280"/>
        <s v="INV13333"/>
        <s v="INV13334"/>
        <s v="INV13282"/>
        <s v="INV13817"/>
        <s v="INV13279"/>
        <s v="INV13286"/>
        <s v="INV13558"/>
        <s v="INV13529"/>
        <s v="INV13507"/>
        <s v="INV13341"/>
        <s v="INV13444"/>
        <s v="INV13321"/>
        <s v="INV13285"/>
        <s v="INV13291"/>
        <s v="INV13434"/>
        <s v="INV13293"/>
        <s v="INV13294"/>
        <s v="INV13297"/>
        <s v="INV13295"/>
        <s v="INV13292"/>
        <s v="INV13660"/>
        <s v="INV13298"/>
        <s v="INV13308"/>
        <s v="INV13366"/>
        <s v="INV13309"/>
        <s v="INV13307"/>
        <s v="INV13744"/>
        <s v="INV13628"/>
        <s v="INV13422"/>
        <s v="INV13751"/>
        <s v="INV13306"/>
        <s v="INV13332"/>
        <s v="INV13432"/>
        <s v="INV13336"/>
        <s v="INV13319"/>
        <s v="INV13312"/>
        <s v="INV13318"/>
        <s v="INV13320"/>
        <s v="INV13439"/>
        <s v="INV13528"/>
        <s v="INV13344"/>
        <s v="INV13752"/>
        <s v="(* 80548)"/>
        <s v="INV13423"/>
        <s v="INV13499"/>
        <s v="INV13376"/>
        <s v="INV13324"/>
        <s v="INV13337"/>
        <s v="INV13343"/>
        <s v="INV13365"/>
        <s v="INV13413"/>
        <s v="INV13387"/>
        <s v="INV13385"/>
        <s v="INV13739"/>
        <s v="INV13342"/>
        <s v="INV13606"/>
        <s v="INV13350"/>
        <s v="INV13635"/>
        <s v="INV13403"/>
        <s v="INV13348"/>
        <s v="INV13339"/>
        <s v="INV13359"/>
        <s v="INV13753"/>
        <s v="INV13452"/>
        <s v="INV13690"/>
        <s v="INV13364"/>
        <s v="INV13354"/>
        <s v="INV13349"/>
        <s v="INV13367"/>
        <s v="INV13353"/>
        <s v="(* 79207)"/>
        <s v="INV13391"/>
        <s v="INV13584"/>
        <s v="INV13636"/>
        <s v="INV13686"/>
        <s v="INV13673"/>
        <s v="INV13378"/>
        <s v="INV13417"/>
        <s v="INV13384"/>
        <s v="INV13383"/>
        <s v="INV13426"/>
        <s v="INV13643"/>
        <s v="INV13377"/>
        <s v="INV13362"/>
        <s v="INV13791"/>
        <s v="INV13368"/>
        <s v="INV13409"/>
        <s v="INV13513"/>
        <s v="INV13541"/>
        <s v="INV13430"/>
        <s v="INV13687"/>
        <s v="INV13479"/>
        <s v="INV13361"/>
        <s v="INV13665"/>
        <s v="INV13375"/>
        <s v="INV13397"/>
        <s v="INV13360"/>
        <s v="INV13545"/>
        <s v="INV13579"/>
        <s v="INV13416"/>
        <s v="INV13664"/>
        <s v="INV13373"/>
        <s v="INV13396"/>
        <s v="INV13410"/>
        <s v="INV13381"/>
        <s v="INV13552"/>
        <s v="INV13533"/>
        <s v="INV13678"/>
        <s v="INV13442"/>
        <s v="INV13390"/>
        <s v="INV13399"/>
        <s v="INV13389"/>
        <s v="INV13447"/>
        <s v="INV13400"/>
        <s v="INV13395"/>
        <s v="INV13405"/>
        <s v="INV13428"/>
        <s v="INV13408"/>
        <s v="INV13448"/>
        <s v="INV13429"/>
        <s v="INV13688"/>
        <s v="INV13398"/>
        <s v="INV13419"/>
        <s v="INV13415"/>
        <s v="INV13421"/>
        <s v="INV13454"/>
        <s v="INV13446"/>
        <s v="INV13402"/>
        <s v="INV13435"/>
        <s v="INV13685"/>
        <s v="INV13418"/>
        <s v="INV13472"/>
        <s v="INV13420"/>
        <s v="INV13412"/>
        <s v="INV13538"/>
        <s v="INV13684"/>
        <s v="INV13411"/>
        <s v="INV13540"/>
        <s v="INV13563"/>
        <s v="INV13580"/>
        <s v="INV13567"/>
        <s v="INV13453"/>
        <s v="INV13494"/>
        <s v="INV13425"/>
        <s v="INV13493"/>
        <s v="INV13441"/>
        <s v="INV13736"/>
        <s v="INV13473"/>
        <s v="INV13424"/>
        <s v="INV13577"/>
        <s v="INV13598"/>
        <s v="INV13498"/>
        <s v="INV13485"/>
        <s v="INV13520"/>
        <s v="INV13659"/>
        <s v="INV13532"/>
        <s v="INV13553"/>
        <s v="INV13517"/>
        <s v="INV13633"/>
        <s v="INV13711"/>
        <s v="INV13625"/>
        <s v="INV13763"/>
        <s v="INV13464"/>
        <s v="INV13443"/>
        <s v="INV13449"/>
        <s v="INV13836"/>
        <s v="INV13755"/>
        <s v="INV13631"/>
        <s v="INV13486"/>
        <s v="INV13647"/>
        <s v="INV13463"/>
        <s v="INV13462"/>
        <s v="INV13661"/>
        <s v="INV13626"/>
        <s v="INV13539"/>
        <s v="INV13465"/>
        <s v="INV13450"/>
        <s v="INV13550"/>
        <s v="INV13460"/>
        <s v="INV13683"/>
        <s v="INV13710"/>
        <s v="INV13468"/>
        <s v="INV13672"/>
        <s v="INV13613"/>
        <s v="INV13467"/>
        <s v="INV13740"/>
        <s v="INV13575"/>
        <s v="INV13484"/>
        <s v="INV13487"/>
        <s v="INV13492"/>
        <s v="INV13474"/>
        <s v="INV13471"/>
        <s v="INV13480"/>
        <s v="INV13572"/>
        <s v="INV13741"/>
        <s v="INV13715"/>
        <s v="INV13833"/>
        <s v="INV13570"/>
        <s v="INV13489"/>
        <s v="INV13488"/>
        <s v="INV13508"/>
        <s v="INV13481"/>
        <s v="INV13501"/>
        <s v="INV13521"/>
        <s v="INV13500"/>
        <s v="INV13578"/>
        <s v="INV13514"/>
        <s v="INV13504"/>
        <s v="INV13483"/>
        <s v="INV13522"/>
        <s v="INV13596"/>
        <s v="INV13582"/>
        <s v="INV13510"/>
        <s v="INV13519"/>
        <s v="INV13509"/>
        <s v="INV13527"/>
        <s v="INV13612"/>
        <s v="INV13531"/>
        <s v="INV13525"/>
        <s v="INV13765"/>
        <s v="INV13536"/>
        <s v="INV13597"/>
        <s v="INV13524"/>
        <s v="INV13516"/>
        <s v="INV13512"/>
        <s v="INV13518"/>
        <s v="INV13788"/>
        <s v="INV13594"/>
        <s v="Borrador de factura (* 80533)"/>
        <s v="INV13530"/>
        <s v="INV13561"/>
        <s v="INV13515"/>
        <s v="INV13831"/>
        <s v="INV13543"/>
        <s v="INV13825"/>
        <s v="INV13547"/>
        <s v="INV13581"/>
        <s v="INV13835"/>
        <s v="INV13764"/>
        <s v="INV13537"/>
        <s v="INV13583"/>
        <s v="INV13796"/>
        <s v="INV13616"/>
        <s v="INV13542"/>
        <s v="INV13611"/>
        <s v="INV13701"/>
        <s v="INV13549"/>
        <s v="INV13655"/>
        <s v="INV13546"/>
        <s v="INV13821"/>
        <s v="INV13822"/>
        <s v="INV13760"/>
        <s v="INV13562"/>
        <s v="INV13634"/>
        <s v="INV13780"/>
        <s v="INV13565"/>
        <s v="INV13548"/>
        <s v="INV13560"/>
        <s v="INV13557"/>
        <s v="INV13738"/>
        <s v="INV13568"/>
        <s v="INV13621"/>
        <s v="INV13554"/>
        <s v="INV13838"/>
        <s v="INV13571"/>
        <s v="INV13559"/>
        <s v="INV13799"/>
        <s v="INV13564"/>
        <s v="INV13602"/>
        <s v="INV13566"/>
        <s v="INV13624"/>
        <s v="INV13818"/>
        <s v="INV13632"/>
        <s v="INV13569"/>
        <s v="INV13666"/>
        <s v="INV13615"/>
        <s v="INV13605"/>
        <s v="INV13770"/>
        <s v="INV13608"/>
        <s v="INV13762"/>
        <s v="INV13815"/>
        <s v="INV13592"/>
        <s v="INV13778"/>
        <s v="INV13593"/>
        <s v="INV13704"/>
        <s v="INV13806"/>
        <s v="INV13823"/>
        <s v="INV13646"/>
        <s v="INV13590"/>
        <s v="INV13591"/>
        <s v="INV13589"/>
        <s v="INV13735"/>
        <s v="INV13642"/>
        <s v="INV13618"/>
        <s v="INV13617"/>
        <s v="INV13601"/>
        <s v="INV13600"/>
        <s v="INV13607"/>
        <s v="INV13614"/>
        <s v="INV13599"/>
        <s v="INV13675"/>
        <s v="INV13816"/>
        <s v="INV13716"/>
        <s v="INV13691"/>
        <s v="INV13692"/>
        <s v="INV13705"/>
        <s v="INV13775"/>
        <s v="INV13623"/>
        <s v="INV13776"/>
        <s v="INV13604"/>
        <s v="INV13630"/>
        <s v="INV13609"/>
        <s v="INV13629"/>
        <s v="INV13706"/>
        <s v="INV13610"/>
        <s v="INV13677"/>
        <s v="INV13840"/>
        <s v="INV13732"/>
        <s v="INV13694"/>
        <s v="INV13662"/>
        <s v="INV13645"/>
        <s v="INV13627"/>
        <s v="INV13639"/>
        <s v="INV13619"/>
        <s v="INV13689"/>
        <s v="INV13637"/>
        <s v="INV13757"/>
        <s v="INV13620"/>
        <s v="INV13676"/>
        <s v="INV13695"/>
        <s v="INV13663"/>
        <s v="INV13658"/>
        <s v="INV13648"/>
        <s v="INV13652"/>
        <s v="INV13638"/>
        <s v="INV13640"/>
        <s v="INV13731"/>
        <s v="INV13708"/>
        <s v="INV13656"/>
        <s v="INV13653"/>
        <s v="INV13650"/>
        <s v="INV13649"/>
        <s v="INV13651"/>
        <s v="INV13721"/>
        <s v="INV13641"/>
        <s v="INV13669"/>
        <s v="INV13654"/>
        <s v="INV13730"/>
        <s v="INV13749"/>
        <s v="INV13657"/>
        <s v="INV13734"/>
        <s v="INV13698"/>
        <s v="INV13713"/>
        <s v="INV13750"/>
        <s v="INV13679"/>
        <s v="INV13707"/>
        <s v="INV13702"/>
        <s v="INV13805"/>
        <s v="INV13819"/>
        <s v="INV13784"/>
        <s v="INV13667"/>
        <s v="INV13743"/>
        <s v="INV13777"/>
        <s v="INV13782"/>
        <s v="INV13697"/>
        <s v="INV13723"/>
        <s v="INV13699"/>
        <s v="INV13729"/>
        <s v="INV13728"/>
        <s v="INV13700"/>
        <s v="INV13737"/>
        <s v="INV13680"/>
        <s v="INV13696"/>
        <s v="INV13703"/>
        <s v="INV13773"/>
        <s v="INV13807"/>
        <s v="INV13726"/>
        <s v="INV13781"/>
        <s v="INV13718"/>
        <s v="INV13712"/>
        <s v="INV13797"/>
        <s v="INV13758"/>
        <s v="INV13761"/>
        <s v="INV13745"/>
        <s v="INV13722"/>
        <s v="INV13720"/>
        <s v="INV13717"/>
        <s v="INV13725"/>
        <s v="INV13783"/>
        <s v="INV13771"/>
        <s v="INV13714"/>
        <s v="INV13727"/>
        <s v="INV13834"/>
        <s v="INV13792"/>
        <s v="INV13839"/>
        <s v="INV13754"/>
        <s v="INV13808"/>
        <s v="INV13724"/>
        <s v="INV13767"/>
        <s v="INV13759"/>
        <s v="INV13774"/>
        <s v="INV13820"/>
        <s v="INV13779"/>
        <s v="INV13733"/>
        <s v="INV13795"/>
        <s v="INV13824"/>
        <s v="INV13747"/>
        <s v="INV13748"/>
        <s v="INV13803"/>
        <s v="INV13793"/>
        <s v="INV13769"/>
        <s v="INV13810"/>
        <s v="INV13766"/>
        <s v="INV13768"/>
        <s v="INV13786"/>
        <s v="INV13801"/>
        <s v="INV13794"/>
        <s v="INV13832"/>
        <s v="INV13785"/>
        <s v="INV13828"/>
        <s v="INV13814"/>
        <s v="INV13787"/>
        <s v="INV13813"/>
        <s v="INV13802"/>
        <s v="INV13829"/>
        <s v="INV13837"/>
        <s v="INV13812"/>
        <s v="INV13800"/>
        <s v="INV13809"/>
        <s v="INV13798"/>
        <s v="INV13827"/>
        <s v="INV13826"/>
        <s v="INV13830"/>
        <s v="INV13804"/>
        <s v="INV13811"/>
        <m/>
      </sharedItems>
    </cacheField>
    <cacheField name="INVStatus" numFmtId="0">
      <sharedItems containsBlank="1"/>
    </cacheField>
    <cacheField name="Date Paid" numFmtId="0">
      <sharedItems containsDate="1" containsBlank="1" containsMixedTypes="1" minDate="1899-12-30T00:00:00" maxDate="2026-01-06T00:00:00"/>
    </cacheField>
    <cacheField name="PO" numFmtId="0">
      <sharedItems containsBlank="1"/>
    </cacheField>
    <cacheField name="Client" numFmtId="0">
      <sharedItems containsBlank="1" count="167">
        <s v="Wesdome Gold Mines Ltd - Eagle River Mine"/>
        <s v="Zijin Mining - Rosebel Goldmines N.V."/>
        <s v="Alamos Gold Inc, Alamos Gold Inc Island Gold Division"/>
        <s v="Sling-Choker Manufacturing - Timmins"/>
        <s v="Corrosion Fluid Products Corp., Corrosion Fluid Products Corp. - Chicago"/>
        <s v="Hyperflo"/>
        <s v="Covia Corp - Junction City"/>
        <s v="Les Pompes du St-Laurent Inc."/>
        <s v="Eleazar General &amp; Industrial Supplies Limited"/>
        <s v="Grant Aggregate"/>
        <s v="Manufacture Sling-Choker (Val-d’Or) Ltée"/>
        <s v="Gibraltar Mine (Canada)"/>
        <s v="Motion Industries Inc. (Canada) - Quesnel"/>
        <s v="Wild Rows Pump &amp; Compression LTD."/>
        <s v="Hoffman-Kane Distributors, Inc."/>
        <s v="Barrick Gold - Pueblo Viejo Dominicana Corporation"/>
        <s v="Les Pompes Diaspec Inc."/>
        <s v="Resolute Forest Products - Kenogami"/>
        <s v="FMI Products"/>
        <s v="Corrosion Fluid Products Corp."/>
        <s v="Tantalum Mining Corporation of Canada"/>
        <s v="DXP Enterprises, Inc. - Pumping Solutions, Inc. - Hayward California"/>
        <s v="Motion Industries Inc. (U.S.) - Lakeland"/>
        <s v="Motion Industries Inc. (Canada) - Winnipeg"/>
        <s v="Wajax Limited - Sorel-Tracy"/>
        <s v="Cartledge &amp; Associates Inc."/>
        <s v="Southeast Pump Specialist, Inc."/>
        <s v="Glencore Canada Corporation - Rouyn-Noranda, Glencore Canada Corp."/>
        <s v="Motion Industries Inc. (U.S.) - Tucson"/>
        <s v="Electric Pump"/>
        <s v="Mill-Right Mine Services Inc."/>
        <s v="Covia Corp - Camden"/>
        <s v="Industrial Rigging &amp; Supply"/>
        <s v="Agnico Eagle Mines Ltd. - Rouyn-Noranda, LaRonde secteur Penna (11102)"/>
        <s v="ProPart Pompes du Canada 9425-4380 Quebec Inc"/>
        <s v="Wajax Limited - Noranda"/>
        <s v="Pierce Pump Company, Pierce Pump Company"/>
        <s v="Maham LLC"/>
        <s v="Canadian Bearings Ltd."/>
        <s v="Process and Steam Specialties, Process and Steam Specialties"/>
        <s v="Wajax Limited - Timmins"/>
        <s v="Motion Industries Inc. (Canada) - Prince George"/>
        <s v="PT Vale Indonesia Tbk."/>
        <s v="Quality Concrete Inc."/>
        <s v="Wajax Limited - Pointe-aux-Trembles, Wajax Limited"/>
        <s v="Allen Bearings &amp; Technologies Ltd."/>
        <s v="Resolute Forest Products - Saint-Felicien"/>
        <s v="Motion Industries Inc. (Canada) - Winnipeg, Motion Industries Inc. (Canada) - Winnipeg"/>
        <s v="Canadian Industrial Pumps Ltd"/>
        <s v="Wajax Limited - Val D'Or, Composants Industriels Wajax SC -57"/>
        <s v="Sealtrac Inc."/>
        <s v="Wajax Limited - Noranda, Wajax Limited - Noranda"/>
        <s v="DRN Industriel"/>
        <s v="Tech-Flow"/>
        <s v="Dynapro Pumps México S de RL de CV"/>
        <s v="Resolute Forest Products - Dolbeau"/>
        <s v="D&amp;H Materials Inc"/>
        <s v="Kumtor Gold Company"/>
        <s v="John Brooks Company Limited"/>
        <s v="Canadian Bearings Ltd., Canadian Bearings Ltd. - Quebec City"/>
        <s v="Covia Corp - Tunnel City"/>
        <s v="AGM Inc."/>
        <s v="Advanced Engineered Pump Inc."/>
        <s v="Resolute Forest Products - Clermont, Resolute Forest Products - Clermont"/>
        <s v="Progressive Sealing Inc."/>
        <s v="Harvey Bearings"/>
        <s v="Fabrene Inc."/>
        <s v="MAB Equipment Company Inc."/>
        <s v="Covia Corp - Roff"/>
        <s v="First Bauxite Inc."/>
        <s v="Cypress Sales Partnership"/>
        <s v="ARYA OILFIELD AND NATURAL GAS EQUIPMENT AND SPARE PARTS TRADING L.L.C"/>
        <s v="Glencore Canada Corporation"/>
        <s v="Norsearch Industries (2002)Ltd"/>
        <s v="Covia Corp - Blue Mountain"/>
        <s v="Glencore Canada Corporation Closed Sites"/>
        <s v="SCG Process"/>
        <s v="Wajax Limited - Lachine"/>
        <s v="Canadian Industrial Pumps Ltd, Canadian Industrial Pumps Ltd"/>
        <s v="Moffatt Supply &amp; Specialties - Red Lake"/>
        <s v="Tencarva Machinery Company"/>
        <s v="Glencore Canada Corporation - Rouyn-Noranda"/>
        <s v="Resolute Forest Products - Alma"/>
        <s v="Resolute Forest Products - Clermont"/>
        <s v="Motion Industries Inc. (Canada) - Red Deer"/>
        <s v="Algoma Steel Inc."/>
        <s v="Hisco Pump Inc."/>
        <s v="Motion Industries Inc. (Canada) - Thunder Bay, Motion Industries Canada"/>
        <s v="Motion Industries Inc. (Canada) - Thunder Bay"/>
        <s v="Motion Industries Inc. (Canada) - Chicoutimi, Motion Industries Inc. (Canada) - Chicoutimi"/>
        <s v="Pompaction Inc."/>
        <s v="Motion Industries Inc. (Canada) - Ottawa"/>
        <s v="Cameco Corporation - Blind River Refinery"/>
        <s v="Thunder Bay Pulp and Paper Inc"/>
        <s v="Mertec Engineering"/>
        <s v="Motion Industries Inc. (Canada) - Scarborough"/>
        <s v="Motion Industries Inc. (Canada) - Calgary"/>
        <s v="Hyperflo, Hyperflo"/>
        <s v="Motion Industries Inc. (U.S.) - Wichita, Motion Industries Inc. (U.S.) - Wichita"/>
        <s v="Manufacture Sling-Choker (Val-d’Or) Ltée, Manufacture Sling-Choker (Val-d’Or) Ltée"/>
        <s v="Wild Rows Pump &amp; Compression LTD., Wild Rows Pump &amp; Compression LTD."/>
        <s v="MJR Admin"/>
        <s v="Industrial Pump Repair Canada"/>
        <s v="Jindal Drilling &amp; Industries Limited"/>
        <s v="Motion Industries Inc. (U.S.) - Westlake"/>
        <s v="Wajax Limited - Pointe-aux-Trembles"/>
        <s v="Wajax Limited - Témiscaming"/>
        <s v="SRM Materials"/>
        <s v="Motion Industries Inc. (U.S.) - Charleston"/>
        <s v="Windsor Pump Company, Ltd."/>
        <s v="F H Pumps, Inc., F H Pumps, Inc"/>
        <s v="Agnico Eagle Mines Ltd. - Cochrane"/>
        <s v="SCG Process, SCG Process"/>
        <s v="TC Industries of Canada Co."/>
        <s v="BDI Canada Inc - Saskatoon"/>
        <s v="EcoVac Solutions Ltd."/>
        <s v="Resolute Forest Products - Fibrek, Resolute Forest Products - Fibrek"/>
        <s v="QI Supply Limited"/>
        <s v="Alpha Industrial &amp; Mining Supplies Limited"/>
        <s v="Middle Georgia Fluid Sealing LLC"/>
        <s v="Motion Industries Inc. (U.S.) - Huntington, Motion Industries, Inc."/>
        <s v="Motion Industries Inc. (U.S.) - Greer"/>
        <s v="Flowstar Industrial Inc"/>
        <s v="Motion Industries Inc. (Canada) - Edmonton"/>
        <s v="Vallen Canada Inc. - IS Div"/>
        <s v="Lake Shore Gold Corp"/>
        <s v="Burlington Pump Inc."/>
        <s v="Resolute Forest Products - Fibrek"/>
        <s v="Stroudsburg Electric Motor Service/BDS"/>
        <s v="Alamos Gold Inc"/>
        <s v="Adriatic Metals plc - Eastern Mining d.o.o."/>
        <s v="Motion Industries Inc. (U.S.) - Clewiston"/>
        <s v="Irathane Systems Inc, Irathane Systems LLC"/>
        <s v="CK Loosbrock USA LLC"/>
        <s v="DXP Enterprises, Inc. - Phoenix"/>
        <s v="Covia Corp - Fort Smith"/>
        <s v="Motion Industries Inc. (Canada) - Chicoutimi"/>
        <s v="Dome Mine Ltd"/>
        <s v="Motion Industries Inc. (U.S.) - Pueblo"/>
        <s v="Motion Industries Inc. (Canada) - North Bay, Motion Industries Canada"/>
        <s v="Super Cast Limited"/>
        <s v="Covia Corp - Guion"/>
        <s v="Lantic Inc."/>
        <s v="Process and Steam Specialties"/>
        <s v="Rueck Company Inc."/>
        <s v="Wajax Limited - Thunder Bay, Wajax Limited - Thunder Bay"/>
        <s v="Resolute Forest Products - Gatineau"/>
        <s v="Nord-Flo Inc."/>
        <s v="Conval Quebec"/>
        <s v="Beaudoin Protective Coating &amp; Fabrication"/>
        <s v="TC Industries of Canada Co., TC Industries of Canada Co."/>
        <s v="Pierce Pump Company"/>
        <s v="DXP Enterprises, Inc. - Grand Prairie"/>
        <s v="AGREGATEC, SRL"/>
        <s v="Diamond Equipment Group Inc"/>
        <s v="Dynapro Pumps"/>
        <s v="Zijin Mining - Rosebel Goldmines N.V., Rosebel Gold Mines N.V."/>
        <s v="Harvey Bearings, Harvey Bearings"/>
        <s v="Motion Industries Inc. (U.S.) - Mason City"/>
        <s v="Wajax Limited - Val D'Or"/>
        <s v="Wajax Limited - Val D'Or, Wajax Limited - Val D'Or"/>
        <s v="Yossi Avisar Technologies Ltd."/>
        <s v="Cameco Corporation - Blind River Refinery, Cameco Corporation - Blind River Refinery"/>
        <m/>
        <s v="Wild Rows Pump &amp; Compression, Wild Rows Pump &amp; Compression" u="1"/>
        <s v="TEST – Odoo↔HubSpot (NO USAR)" u="1"/>
        <s v="Wild Rows Pump &amp; Compression" u="1"/>
      </sharedItems>
    </cacheField>
    <cacheField name="Curr" numFmtId="0">
      <sharedItems containsBlank="1" count="3">
        <s v="CAD"/>
        <s v="USD"/>
        <m/>
      </sharedItems>
    </cacheField>
    <cacheField name="Odoo CAD" numFmtId="0">
      <sharedItems containsString="0" containsBlank="1" containsNumber="1" minValue="0" maxValue="343554.47137796431"/>
    </cacheField>
    <cacheField name="Odoo USA" numFmtId="0">
      <sharedItems containsString="0" containsBlank="1" containsNumber="1" minValue="0" maxValue="247074.32"/>
    </cacheField>
    <cacheField name="Rate 2" numFmtId="0">
      <sharedItems containsString="0" containsBlank="1" containsNumber="1" minValue="0" maxValue="0.7375901967788816"/>
    </cacheField>
    <cacheField name="Xero CAD" numFmtId="0">
      <sharedItems containsString="0" containsBlank="1" containsNumber="1" minValue="-43730.44" maxValue="0"/>
    </cacheField>
    <cacheField name="Xero USD" numFmtId="0">
      <sharedItems containsString="0" containsBlank="1" containsNumber="1" minValue="-178684.57" maxValue="0"/>
    </cacheField>
    <cacheField name="Dif CAD" numFmtId="43">
      <sharedItems containsBlank="1" containsMixedTypes="1" containsNumber="1" minValue="-12346.61" maxValue="29239"/>
    </cacheField>
    <cacheField name="Dif USD" numFmtId="43">
      <sharedItems containsBlank="1" containsMixedTypes="1" containsNumber="1" minValue="-66770.66" maxValue="82081.84"/>
    </cacheField>
    <cacheField name="Paid" numFmtId="43">
      <sharedItems containsBlank="1" count="3">
        <s v="Yes"/>
        <s v="Pend"/>
        <m/>
      </sharedItems>
    </cacheField>
    <cacheField name="Zero" numFmtId="0">
      <sharedItems containsBlank="1" count="4">
        <s v="Yes"/>
        <s v="XX"/>
        <s v="Pend"/>
        <m/>
      </sharedItems>
    </cacheField>
    <cacheField name="One" numFmtId="0">
      <sharedItems containsBlank="1" containsMixedTypes="1" containsNumber="1" containsInteger="1" minValue="0" maxValue="0"/>
    </cacheField>
    <cacheField name="Tw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arrion Alveo" refreshedDate="46028.791334374997" createdVersion="5" refreshedVersion="5" minRefreshableVersion="3" recordCount="1151" xr:uid="{00000000-000A-0000-FFFF-FFFF0C000000}">
  <cacheSource type="worksheet">
    <worksheetSource ref="A1:T1600" sheet="CASO"/>
  </cacheSource>
  <cacheFields count="20">
    <cacheField name="Número de facturas" numFmtId="0">
      <sharedItems containsString="0" containsBlank="1" containsNumber="1" containsInteger="1" minValue="0" maxValue="5"/>
    </cacheField>
    <cacheField name="Referencia de la orden" numFmtId="0">
      <sharedItems containsBlank="1"/>
    </cacheField>
    <cacheField name="Reference" numFmtId="0">
      <sharedItems containsBlank="1"/>
    </cacheField>
    <cacheField name="Cliente" numFmtId="0">
      <sharedItems containsBlank="1"/>
    </cacheField>
    <cacheField name="Fecha de creación" numFmtId="0">
      <sharedItems containsNonDate="0" containsDate="1" containsString="0" containsBlank="1" minDate="2025-01-02T09:36:36" maxDate="2025-12-31T12:18:17"/>
    </cacheField>
    <cacheField name="Fecha de la orden" numFmtId="0">
      <sharedItems containsNonDate="0" containsDate="1" containsString="0" containsBlank="1" minDate="2025-01-02T10:32:39" maxDate="2026-01-06T12:29:47"/>
    </cacheField>
    <cacheField name="Shipping Date" numFmtId="0">
      <sharedItems containsNonDate="0" containsDate="1" containsString="0" containsBlank="1" minDate="2023-03-11T00:00:00" maxDate="2026-04-28T00:00:00"/>
    </cacheField>
    <cacheField name="Vendedor" numFmtId="0">
      <sharedItems containsBlank="1"/>
    </cacheField>
    <cacheField name="Divisa" numFmtId="0">
      <sharedItems containsBlank="1" count="3">
        <s v="CAD"/>
        <s v="USD"/>
        <m/>
      </sharedItems>
    </cacheField>
    <cacheField name="Tasa de divisa" numFmtId="0">
      <sharedItems containsString="0" containsBlank="1" containsNumber="1" minValue="0.68489392782051961" maxValue="1"/>
    </cacheField>
    <cacheField name="Total CAD" numFmtId="0">
      <sharedItems containsString="0" containsBlank="1" containsNumber="1" minValue="0" maxValue="343554.47137796431"/>
    </cacheField>
    <cacheField name="Total MXP" numFmtId="0">
      <sharedItems containsString="0" containsBlank="1" containsNumber="1" minValue="0" maxValue="25712.400000000001"/>
    </cacheField>
    <cacheField name="Total USD" numFmtId="0">
      <sharedItems containsString="0" containsBlank="1" containsNumber="1" minValue="0" maxValue="247074.32"/>
    </cacheField>
    <cacheField name="Importe sin impuestos" numFmtId="0">
      <sharedItems containsString="0" containsBlank="1" containsNumber="1" minValue="0.01" maxValue="247074.32"/>
    </cacheField>
    <cacheField name="Impuestos" numFmtId="0">
      <sharedItems containsString="0" containsBlank="1" containsNumber="1" minValue="0.13" maxValue="5684.96"/>
    </cacheField>
    <cacheField name="Total" numFmtId="0">
      <sharedItems containsString="0" containsBlank="1" containsNumber="1" minValue="0.01" maxValue="247074.32"/>
    </cacheField>
    <cacheField name="Delivery Status" numFmtId="0">
      <sharedItems containsBlank="1"/>
    </cacheField>
    <cacheField name="Hubspot Deal Owner" numFmtId="0">
      <sharedItems containsNonDate="0" containsString="0" containsBlank="1"/>
    </cacheField>
    <cacheField name="CASOPOInv" numFmtId="0">
      <sharedItems containsBlank="1"/>
    </cacheField>
    <cacheField name="Month Created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arrion Alveo" refreshedDate="46037.359839236109" createdVersion="5" refreshedVersion="8" minRefreshableVersion="3" recordCount="1599" xr:uid="{00000000-000A-0000-FFFF-FFFF0D000000}">
  <cacheSource type="worksheet">
    <worksheetSource ref="A1:AP1600" sheet="ComTack"/>
  </cacheSource>
  <cacheFields count="42">
    <cacheField name="No.Inv" numFmtId="3">
      <sharedItems containsSemiMixedTypes="0" containsString="0" containsNumber="1" containsInteger="1" minValue="0" maxValue="5"/>
    </cacheField>
    <cacheField name="SO" numFmtId="0">
      <sharedItems containsMixedTypes="1" containsNumber="1" containsInteger="1" minValue="0" maxValue="0"/>
    </cacheField>
    <cacheField name="Sales P" numFmtId="0">
      <sharedItems containsBlank="1"/>
    </cacheField>
    <cacheField name="KAS P" numFmtId="0">
      <sharedItems containsBlank="1" count="8">
        <m/>
        <s v="Ian T"/>
        <s v="Marlen M"/>
        <s v="Amanda Q"/>
        <s v="Alexis G"/>
        <s v="Wilka N"/>
        <s v="Aleksandar S"/>
        <s v="Ian Trottier" u="1"/>
      </sharedItems>
    </cacheField>
    <cacheField name="AE P" numFmtId="0">
      <sharedItems containsBlank="1" count="5">
        <m/>
        <s v="Amanda Q"/>
        <s v="Ian T"/>
        <s v="Eduardo T"/>
        <s v="Leriel R"/>
      </sharedItems>
    </cacheField>
    <cacheField name="FST P" numFmtId="0">
      <sharedItems containsNonDate="0" containsString="0" containsBlank="1"/>
    </cacheField>
    <cacheField name="Odoo Sales Person" numFmtId="4">
      <sharedItems containsMixedTypes="1" containsNumber="1" containsInteger="1" minValue="0" maxValue="0"/>
    </cacheField>
    <cacheField name="SO Mth" numFmtId="3">
      <sharedItems containsSemiMixedTypes="0" containsString="0" containsNumber="1" containsInteger="1" minValue="0" maxValue="12"/>
    </cacheField>
    <cacheField name="SO Year" numFmtId="3">
      <sharedItems containsSemiMixedTypes="0" containsString="0" containsNumber="1" containsInteger="1" minValue="0" maxValue="2025"/>
    </cacheField>
    <cacheField name="INVOICE" numFmtId="4">
      <sharedItems containsMixedTypes="1" containsNumber="1" containsInteger="1" minValue="0" maxValue="0"/>
    </cacheField>
    <cacheField name="Inv Mth Paid" numFmtId="3">
      <sharedItems containsMixedTypes="1" containsNumber="1" containsInteger="1" minValue="0" maxValue="12"/>
    </cacheField>
    <cacheField name="Inv Year Paid" numFmtId="3">
      <sharedItems containsMixedTypes="1" containsNumber="1" containsInteger="1" minValue="0" maxValue="2026"/>
    </cacheField>
    <cacheField name="Qtr" numFmtId="0">
      <sharedItems containsBlank="1" containsMixedTypes="1" containsNumber="1" containsInteger="1" minValue="2025" maxValue="2601" count="7">
        <m/>
        <n v="2503"/>
        <n v="2504"/>
        <n v="2502"/>
        <s v=""/>
        <n v="2601"/>
        <n v="2025" u="1"/>
      </sharedItems>
    </cacheField>
    <cacheField name="Contact" numFmtId="4">
      <sharedItems containsMixedTypes="1" containsNumber="1" containsInteger="1" minValue="0" maxValue="0"/>
    </cacheField>
    <cacheField name="Curr" numFmtId="169">
      <sharedItems containsMixedTypes="1" containsNumber="1" containsInteger="1" minValue="0" maxValue="0"/>
    </cacheField>
    <cacheField name="CAD" numFmtId="169">
      <sharedItems containsSemiMixedTypes="0" containsString="0" containsNumber="1" minValue="0" maxValue="343554.47137796431"/>
    </cacheField>
    <cacheField name="USD" numFmtId="169">
      <sharedItems containsSemiMixedTypes="0" containsString="0" containsNumber="1" minValue="0" maxValue="247074.32"/>
    </cacheField>
    <cacheField name="Delv and Paid" numFmtId="169">
      <sharedItems containsMixedTypes="1" containsNumber="1" containsInteger="1" minValue="0" maxValue="0" count="3">
        <s v="Yes"/>
        <s v=""/>
        <n v="0"/>
      </sharedItems>
    </cacheField>
    <cacheField name="Freight" numFmtId="169">
      <sharedItems containsSemiMixedTypes="0" containsString="0" containsNumber="1" minValue="0" maxValue="1250"/>
    </cacheField>
    <cacheField name="Total" numFmtId="169">
      <sharedItems containsSemiMixedTypes="0" containsString="0" containsNumber="1" minValue="0" maxValue="149743.1"/>
    </cacheField>
    <cacheField name="Deal Sales" numFmtId="0">
      <sharedItems containsNonDate="0" containsString="0" containsBlank="1"/>
    </cacheField>
    <cacheField name="Deal KAS" numFmtId="0">
      <sharedItems containsBlank="1" count="4">
        <m/>
        <s v="Renewal"/>
        <s v="New Opportunity"/>
        <s v="Contract"/>
      </sharedItems>
    </cacheField>
    <cacheField name="Deal AE" numFmtId="0">
      <sharedItems containsBlank="1"/>
    </cacheField>
    <cacheField name="Deal FST" numFmtId="0">
      <sharedItems containsNonDate="0" containsString="0" containsBlank="1"/>
    </cacheField>
    <cacheField name="Sales %" numFmtId="171">
      <sharedItems/>
    </cacheField>
    <cacheField name="KAS %" numFmtId="171">
      <sharedItems containsMixedTypes="1" containsNumber="1" minValue="0" maxValue="0.02"/>
    </cacheField>
    <cacheField name="AE %" numFmtId="171">
      <sharedItems containsMixedTypes="1" containsNumber="1" minValue="0.01" maxValue="0.02"/>
    </cacheField>
    <cacheField name="FST %" numFmtId="171">
      <sharedItems/>
    </cacheField>
    <cacheField name="Sales" numFmtId="43">
      <sharedItems/>
    </cacheField>
    <cacheField name="KAS" numFmtId="43">
      <sharedItems containsMixedTypes="1" containsNumber="1" minValue="0" maxValue="463.17662504338136"/>
    </cacheField>
    <cacheField name="AE" numFmtId="43">
      <sharedItems containsMixedTypes="1" containsNumber="1" minValue="0" maxValue="857.46759999999995"/>
    </cacheField>
    <cacheField name="FST" numFmtId="43">
      <sharedItems/>
    </cacheField>
    <cacheField name="Líneas de la orden/Producto/Nombre" numFmtId="0">
      <sharedItems containsBlank="1"/>
    </cacheField>
    <cacheField name="Total2" numFmtId="0">
      <sharedItems containsString="0" containsBlank="1" containsNumber="1" minValue="0" maxValue="857.46759999999995"/>
    </cacheField>
    <cacheField name="PQ Sales" numFmtId="0">
      <sharedItems containsNonDate="0" containsString="0" containsBlank="1"/>
    </cacheField>
    <cacheField name="PQ KAS" numFmtId="0">
      <sharedItems containsString="0" containsBlank="1" containsNumber="1" containsInteger="1" minValue="2503" maxValue="2503"/>
    </cacheField>
    <cacheField name="PQ AE" numFmtId="0">
      <sharedItems containsString="0" containsBlank="1" containsNumber="1" containsInteger="1" minValue="2503" maxValue="2503"/>
    </cacheField>
    <cacheField name="PQ FST" numFmtId="0">
      <sharedItems containsNonDate="0" containsString="0" containsBlank="1"/>
    </cacheField>
    <cacheField name="Stat Sales" numFmtId="43">
      <sharedItems/>
    </cacheField>
    <cacheField name="Stat KAS" numFmtId="43">
      <sharedItems containsMixedTypes="1" containsNumber="1" minValue="0" maxValue="463.17662504338136"/>
    </cacheField>
    <cacheField name="Stat AE" numFmtId="43">
      <sharedItems containsMixedTypes="1" containsNumber="1" minValue="0" maxValue="443.57300000000004"/>
    </cacheField>
    <cacheField name="Stat FST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1"/>
    <s v="SO16348"/>
    <m/>
    <x v="0"/>
    <m/>
    <m/>
    <s v="Ian Trottier"/>
    <n v="1"/>
    <n v="2025"/>
    <s v="INV12491"/>
    <n v="2"/>
    <n v="2025"/>
    <m/>
    <s v="Wesdome Gold Mines Ltd - Eagle River Mine"/>
    <s v="CAD"/>
    <n v="18278.97"/>
    <n v="12727.321809711637"/>
    <x v="0"/>
    <n v="0"/>
    <n v="12727.321809711637"/>
    <m/>
    <m/>
    <m/>
    <m/>
    <s v=""/>
    <s v=""/>
    <s v=""/>
    <s v=""/>
    <s v=""/>
    <s v=""/>
    <s v=""/>
    <s v=""/>
    <s v="Motor"/>
    <n v="0"/>
    <m/>
    <m/>
    <m/>
    <m/>
    <s v=""/>
    <s v=""/>
    <s v=""/>
    <s v=""/>
    <x v="0"/>
    <x v="0"/>
    <n v="190.90982714567454"/>
    <s v="Yes"/>
  </r>
  <r>
    <n v="1"/>
    <s v="SO16349"/>
    <m/>
    <x v="0"/>
    <s v="Amanda Q"/>
    <m/>
    <s v="Amanda Qiao"/>
    <n v="1"/>
    <n v="2025"/>
    <s v="INV12951"/>
    <n v="7"/>
    <n v="2025"/>
    <n v="2503"/>
    <s v="Zijin Mining - Rosebel Goldmines N.V."/>
    <s v="USD"/>
    <n v="16788.290829708509"/>
    <n v="11639.6"/>
    <x v="0"/>
    <n v="0"/>
    <n v="11639.6"/>
    <m/>
    <m/>
    <s v="Renewal"/>
    <m/>
    <s v=""/>
    <s v=""/>
    <n v="0.01"/>
    <s v=""/>
    <s v=""/>
    <s v=""/>
    <n v="116.396"/>
    <s v=""/>
    <s v="Gaskets"/>
    <n v="116.396"/>
    <m/>
    <m/>
    <n v="2503"/>
    <m/>
    <s v=""/>
    <s v=""/>
    <n v="0"/>
    <s v=""/>
    <x v="1"/>
    <x v="1"/>
    <n v="174.59399999999999"/>
    <s v="Yes"/>
  </r>
  <r>
    <n v="1"/>
    <s v="SO16350"/>
    <m/>
    <x v="0"/>
    <m/>
    <m/>
    <s v="Ian Trottier"/>
    <n v="1"/>
    <n v="2025"/>
    <s v="INV12497"/>
    <n v="2"/>
    <n v="2025"/>
    <m/>
    <s v="Alamos Gold Inc, Alamos Gold Inc Island Gold Division"/>
    <s v="CAD"/>
    <n v="1363.36"/>
    <n v="945.24006147894045"/>
    <x v="0"/>
    <n v="0"/>
    <n v="945.24006147894045"/>
    <m/>
    <m/>
    <m/>
    <m/>
    <s v=""/>
    <s v=""/>
    <s v=""/>
    <s v=""/>
    <s v=""/>
    <s v=""/>
    <s v=""/>
    <s v=""/>
    <s v="24 Mech Seals"/>
    <n v="0"/>
    <m/>
    <m/>
    <m/>
    <m/>
    <s v=""/>
    <s v=""/>
    <s v=""/>
    <s v=""/>
    <x v="0"/>
    <x v="0"/>
    <n v="14.178600922184106"/>
    <s v="Yes"/>
  </r>
  <r>
    <n v="1"/>
    <s v="SO16353"/>
    <m/>
    <x v="0"/>
    <m/>
    <m/>
    <s v="Ian Trottier"/>
    <n v="1"/>
    <n v="2025"/>
    <s v="INV12591"/>
    <n v="2"/>
    <n v="2025"/>
    <m/>
    <s v="Sling-Choker Manufacturing - Timmins"/>
    <s v="CAD"/>
    <n v="2097.09"/>
    <n v="1453.9472190227605"/>
    <x v="0"/>
    <n v="0"/>
    <n v="1453.9472190227605"/>
    <m/>
    <m/>
    <m/>
    <m/>
    <s v=""/>
    <s v=""/>
    <s v=""/>
    <s v=""/>
    <s v=""/>
    <s v=""/>
    <s v=""/>
    <s v=""/>
    <s v="24 Mech Seals"/>
    <n v="0"/>
    <m/>
    <m/>
    <m/>
    <m/>
    <s v=""/>
    <s v=""/>
    <s v=""/>
    <s v=""/>
    <x v="0"/>
    <x v="0"/>
    <n v="21.809208285341406"/>
    <s v="Yes"/>
  </r>
  <r>
    <n v="1"/>
    <s v="SO16359"/>
    <m/>
    <x v="0"/>
    <m/>
    <m/>
    <s v="Ian Trottier"/>
    <n v="1"/>
    <n v="2025"/>
    <s v="INV12502"/>
    <n v="2"/>
    <n v="2025"/>
    <m/>
    <s v="Corrosion Fluid Products Corp., Corrosion Fluid Products Corp. - Chicago"/>
    <s v="USD"/>
    <n v="144.20876639573115"/>
    <n v="100.41"/>
    <x v="0"/>
    <n v="0"/>
    <n v="100.41"/>
    <m/>
    <m/>
    <m/>
    <m/>
    <s v=""/>
    <s v=""/>
    <s v=""/>
    <s v=""/>
    <s v=""/>
    <s v=""/>
    <s v=""/>
    <s v=""/>
    <s v="Pumps with some spares"/>
    <n v="0"/>
    <m/>
    <m/>
    <m/>
    <m/>
    <s v=""/>
    <s v=""/>
    <s v=""/>
    <s v=""/>
    <x v="0"/>
    <x v="0"/>
    <n v="1.5061499999999999"/>
    <s v="Yes"/>
  </r>
  <r>
    <n v="1"/>
    <s v="SO16360"/>
    <m/>
    <x v="0"/>
    <m/>
    <m/>
    <s v="Ian Trottier"/>
    <n v="1"/>
    <n v="2025"/>
    <s v="INV12492"/>
    <n v="2"/>
    <n v="2025"/>
    <m/>
    <s v="Hyperflo"/>
    <s v="CAD"/>
    <n v="958.11"/>
    <n v="667.11495774120851"/>
    <x v="0"/>
    <n v="0"/>
    <n v="667.11495774120851"/>
    <m/>
    <m/>
    <m/>
    <m/>
    <s v=""/>
    <s v=""/>
    <s v=""/>
    <s v=""/>
    <s v=""/>
    <s v=""/>
    <s v=""/>
    <s v=""/>
    <s v="Parts"/>
    <n v="0"/>
    <m/>
    <m/>
    <m/>
    <m/>
    <s v=""/>
    <s v=""/>
    <s v=""/>
    <s v=""/>
    <x v="0"/>
    <x v="0"/>
    <n v="10.006724366118128"/>
    <s v="Yes"/>
  </r>
  <r>
    <n v="1"/>
    <s v="SO16361"/>
    <m/>
    <x v="0"/>
    <m/>
    <m/>
    <s v="Ian Trottier"/>
    <n v="1"/>
    <n v="2025"/>
    <s v="INV12901"/>
    <n v="5"/>
    <n v="2025"/>
    <m/>
    <s v="Sling-Choker Manufacturing - Timmins"/>
    <s v="CAD"/>
    <n v="26543.7"/>
    <n v="18457.176791471589"/>
    <x v="0"/>
    <n v="0"/>
    <n v="18457.176791471589"/>
    <m/>
    <m/>
    <m/>
    <m/>
    <s v=""/>
    <s v=""/>
    <s v=""/>
    <s v=""/>
    <s v=""/>
    <s v=""/>
    <s v=""/>
    <s v=""/>
    <s v="Durco Pumps and accosseries "/>
    <n v="0"/>
    <m/>
    <m/>
    <m/>
    <m/>
    <s v=""/>
    <s v=""/>
    <s v=""/>
    <s v=""/>
    <x v="0"/>
    <x v="0"/>
    <n v="276.8576518720738"/>
    <s v="Yes"/>
  </r>
  <r>
    <n v="1"/>
    <s v="SO16362"/>
    <m/>
    <x v="1"/>
    <m/>
    <m/>
    <s v="Marlen Martinez"/>
    <n v="1"/>
    <n v="2025"/>
    <s v="INV12503"/>
    <n v="4"/>
    <n v="2025"/>
    <m/>
    <s v="Covia Corp - Junction City"/>
    <s v="CAD"/>
    <n v="8795"/>
    <n v="6131.3692546548436"/>
    <x v="0"/>
    <n v="845"/>
    <n v="5286.3692546548436"/>
    <m/>
    <m/>
    <m/>
    <m/>
    <s v=""/>
    <s v=""/>
    <s v=""/>
    <s v=""/>
    <s v=""/>
    <s v=""/>
    <s v=""/>
    <s v=""/>
    <s v="Durco Pumps and accosseries "/>
    <n v="0"/>
    <m/>
    <m/>
    <m/>
    <m/>
    <s v=""/>
    <s v=""/>
    <s v=""/>
    <s v=""/>
    <x v="2"/>
    <x v="2"/>
    <n v="79.295538819822653"/>
    <s v="Yes"/>
  </r>
  <r>
    <n v="1"/>
    <s v="SO16363"/>
    <m/>
    <x v="0"/>
    <m/>
    <m/>
    <s v="Ian Trottier"/>
    <n v="1"/>
    <n v="2025"/>
    <s v="INV12685"/>
    <n v="4"/>
    <n v="2025"/>
    <m/>
    <s v="Les Pompes du St-Laurent Inc."/>
    <s v="CAD"/>
    <n v="1081.44"/>
    <n v="752.98744392570018"/>
    <x v="0"/>
    <n v="0"/>
    <n v="752.98744392570018"/>
    <m/>
    <m/>
    <m/>
    <m/>
    <s v=""/>
    <s v=""/>
    <s v=""/>
    <s v=""/>
    <s v=""/>
    <s v=""/>
    <s v=""/>
    <s v=""/>
    <s v="Durco Pumps and accosseries "/>
    <n v="0"/>
    <m/>
    <m/>
    <m/>
    <m/>
    <s v=""/>
    <s v=""/>
    <s v=""/>
    <s v=""/>
    <x v="0"/>
    <x v="0"/>
    <n v="11.294811658885502"/>
    <s v="Yes"/>
  </r>
  <r>
    <n v="1"/>
    <s v="SO16364"/>
    <m/>
    <x v="0"/>
    <m/>
    <m/>
    <s v="Ian Trottier"/>
    <n v="1"/>
    <n v="2025"/>
    <s v="INV12837"/>
    <n v="4"/>
    <n v="2025"/>
    <m/>
    <s v="Eleazar General &amp; Industrial Supplies Limited"/>
    <s v="USD"/>
    <n v="1896.8761542852972"/>
    <n v="1317.49"/>
    <x v="0"/>
    <n v="0"/>
    <n v="1317.49"/>
    <m/>
    <m/>
    <m/>
    <m/>
    <s v=""/>
    <s v=""/>
    <s v=""/>
    <s v=""/>
    <s v=""/>
    <s v=""/>
    <s v=""/>
    <s v=""/>
    <s v="Durco Pumps and accosseries "/>
    <n v="0"/>
    <m/>
    <m/>
    <m/>
    <m/>
    <s v=""/>
    <s v=""/>
    <s v=""/>
    <s v=""/>
    <x v="0"/>
    <x v="0"/>
    <n v="19.762349999999998"/>
    <s v="Yes"/>
  </r>
  <r>
    <n v="1"/>
    <s v="SO16368"/>
    <m/>
    <x v="0"/>
    <m/>
    <m/>
    <s v="Ian Trottier"/>
    <n v="1"/>
    <n v="2025"/>
    <s v="INV12509"/>
    <n v="3"/>
    <n v="2025"/>
    <m/>
    <s v="Grant Aggregate"/>
    <s v="CAD"/>
    <n v="15086.8"/>
    <n v="10478.653594277022"/>
    <x v="0"/>
    <n v="0"/>
    <n v="10478.653594277022"/>
    <m/>
    <m/>
    <m/>
    <m/>
    <s v=""/>
    <s v=""/>
    <s v=""/>
    <s v=""/>
    <s v=""/>
    <s v=""/>
    <s v=""/>
    <s v=""/>
    <s v="Pump, Submersible"/>
    <n v="0"/>
    <m/>
    <m/>
    <m/>
    <m/>
    <s v=""/>
    <s v=""/>
    <s v=""/>
    <s v=""/>
    <x v="0"/>
    <x v="0"/>
    <n v="157.17980391415534"/>
    <s v="Yes"/>
  </r>
  <r>
    <n v="1"/>
    <s v="SO16369"/>
    <m/>
    <x v="0"/>
    <m/>
    <m/>
    <s v="Ian Trottier"/>
    <n v="1"/>
    <n v="2025"/>
    <s v="INV12493"/>
    <n v="2"/>
    <n v="2025"/>
    <m/>
    <s v="Manufacture Sling-Choker (Val-d’Or) Ltée"/>
    <s v="CAD"/>
    <n v="112.37"/>
    <n v="78.337915081928912"/>
    <x v="0"/>
    <n v="0"/>
    <n v="78.337915081928912"/>
    <m/>
    <m/>
    <m/>
    <m/>
    <s v=""/>
    <s v=""/>
    <s v=""/>
    <s v=""/>
    <s v=""/>
    <s v=""/>
    <s v=""/>
    <s v=""/>
    <s v="2 Pump Packages"/>
    <n v="0"/>
    <m/>
    <m/>
    <m/>
    <m/>
    <s v=""/>
    <s v=""/>
    <s v=""/>
    <s v=""/>
    <x v="0"/>
    <x v="0"/>
    <n v="1.1750687262289337"/>
    <s v="Yes"/>
  </r>
  <r>
    <n v="1"/>
    <s v="SO16372"/>
    <m/>
    <x v="0"/>
    <m/>
    <m/>
    <s v="Ian Trottier"/>
    <n v="1"/>
    <n v="2025"/>
    <s v="INV12779"/>
    <n v="4"/>
    <n v="2025"/>
    <m/>
    <s v="Les Pompes du St-Laurent Inc."/>
    <s v="CAD"/>
    <n v="1578.98"/>
    <n v="1097.9446350809351"/>
    <x v="0"/>
    <n v="0"/>
    <n v="1097.9446350809351"/>
    <m/>
    <m/>
    <m/>
    <m/>
    <s v=""/>
    <s v=""/>
    <s v=""/>
    <s v=""/>
    <s v=""/>
    <s v=""/>
    <s v=""/>
    <s v=""/>
    <s v="Couplings &amp; Sleeve"/>
    <n v="0"/>
    <m/>
    <m/>
    <m/>
    <m/>
    <s v=""/>
    <s v=""/>
    <s v=""/>
    <s v=""/>
    <x v="0"/>
    <x v="0"/>
    <n v="16.469169526214024"/>
    <s v="Yes"/>
  </r>
  <r>
    <n v="1"/>
    <s v="SO16374"/>
    <m/>
    <x v="0"/>
    <m/>
    <m/>
    <s v="Ian Trottier"/>
    <n v="1"/>
    <n v="2025"/>
    <s v="INV12505"/>
    <n v="2"/>
    <n v="2025"/>
    <m/>
    <s v="Les Pompes du St-Laurent Inc."/>
    <s v="CAD"/>
    <n v="3603"/>
    <n v="2506.1862808928131"/>
    <x v="0"/>
    <n v="0"/>
    <n v="2506.1862808928131"/>
    <m/>
    <m/>
    <m/>
    <m/>
    <s v=""/>
    <s v=""/>
    <s v=""/>
    <s v=""/>
    <s v=""/>
    <s v=""/>
    <s v=""/>
    <s v=""/>
    <s v="Couplings &amp; Sleeve"/>
    <n v="0"/>
    <m/>
    <m/>
    <m/>
    <m/>
    <s v=""/>
    <s v=""/>
    <s v=""/>
    <s v=""/>
    <x v="0"/>
    <x v="0"/>
    <n v="37.592794213392196"/>
    <s v="Yes"/>
  </r>
  <r>
    <n v="1"/>
    <s v="SO16375"/>
    <m/>
    <x v="1"/>
    <m/>
    <m/>
    <s v="Marlen Martinez"/>
    <n v="1"/>
    <n v="2025"/>
    <s v="INV12504"/>
    <n v="4"/>
    <n v="2025"/>
    <m/>
    <s v="Covia Corp - Junction City"/>
    <s v="CAD"/>
    <n v="5506"/>
    <n v="3829.8811164573499"/>
    <x v="0"/>
    <n v="0"/>
    <n v="3829.8811164573499"/>
    <m/>
    <m/>
    <m/>
    <m/>
    <s v=""/>
    <s v=""/>
    <s v=""/>
    <s v=""/>
    <s v=""/>
    <s v=""/>
    <s v=""/>
    <s v=""/>
    <s v="Sleeves"/>
    <n v="0"/>
    <m/>
    <m/>
    <m/>
    <m/>
    <s v=""/>
    <s v=""/>
    <s v=""/>
    <s v=""/>
    <x v="2"/>
    <x v="2"/>
    <n v="57.448216746860247"/>
    <s v="Yes"/>
  </r>
  <r>
    <n v="1"/>
    <s v="SO16376"/>
    <m/>
    <x v="0"/>
    <m/>
    <m/>
    <s v="Ian Trottier"/>
    <n v="1"/>
    <n v="2025"/>
    <s v="INV12592"/>
    <n v="2"/>
    <n v="2025"/>
    <m/>
    <s v="Sling-Choker Manufacturing - Timmins"/>
    <s v="CAD"/>
    <n v="12346.61"/>
    <n v="8607.3479196377539"/>
    <x v="0"/>
    <n v="0"/>
    <n v="8607.3479196377539"/>
    <m/>
    <m/>
    <m/>
    <m/>
    <s v=""/>
    <s v=""/>
    <s v=""/>
    <s v=""/>
    <s v=""/>
    <s v=""/>
    <s v=""/>
    <s v=""/>
    <s v="Parts"/>
    <n v="0"/>
    <m/>
    <m/>
    <m/>
    <m/>
    <s v=""/>
    <s v=""/>
    <s v=""/>
    <s v=""/>
    <x v="0"/>
    <x v="0"/>
    <n v="129.11021879456629"/>
    <s v="Yes"/>
  </r>
  <r>
    <n v="1"/>
    <s v="SO16377"/>
    <m/>
    <x v="0"/>
    <m/>
    <m/>
    <s v="Ian Trottier"/>
    <n v="1"/>
    <n v="2025"/>
    <s v="INV12597"/>
    <n v="3"/>
    <n v="2025"/>
    <m/>
    <s v="Gibraltar Mine (Canada)"/>
    <s v="CAD"/>
    <n v="5112.25"/>
    <n v="3563.9673078009341"/>
    <x v="0"/>
    <n v="0"/>
    <n v="3563.9673078009341"/>
    <m/>
    <m/>
    <m/>
    <m/>
    <s v=""/>
    <s v=""/>
    <s v=""/>
    <s v=""/>
    <s v=""/>
    <s v=""/>
    <s v=""/>
    <s v=""/>
    <s v="Stuffing Box Covers"/>
    <n v="0"/>
    <m/>
    <m/>
    <m/>
    <m/>
    <s v=""/>
    <s v=""/>
    <s v=""/>
    <s v=""/>
    <x v="0"/>
    <x v="0"/>
    <n v="53.459509617014007"/>
    <s v="Yes"/>
  </r>
  <r>
    <n v="1"/>
    <s v="SO16378"/>
    <m/>
    <x v="0"/>
    <m/>
    <m/>
    <s v="Ian Trottier"/>
    <n v="1"/>
    <n v="2025"/>
    <s v="INV12543"/>
    <n v="2"/>
    <n v="2025"/>
    <m/>
    <s v="Motion Industries Inc. (Canada) - Quesnel"/>
    <s v="CAD"/>
    <n v="987.57"/>
    <n v="686.93710391932177"/>
    <x v="0"/>
    <n v="0"/>
    <n v="686.93710391932177"/>
    <m/>
    <m/>
    <m/>
    <m/>
    <s v=""/>
    <s v=""/>
    <s v=""/>
    <s v=""/>
    <s v=""/>
    <s v=""/>
    <s v=""/>
    <s v=""/>
    <s v="Couplings"/>
    <n v="0"/>
    <m/>
    <m/>
    <m/>
    <m/>
    <s v=""/>
    <s v=""/>
    <s v=""/>
    <s v=""/>
    <x v="0"/>
    <x v="0"/>
    <n v="10.304056558789826"/>
    <s v="Yes"/>
  </r>
  <r>
    <n v="1"/>
    <s v="SO16379"/>
    <m/>
    <x v="0"/>
    <m/>
    <m/>
    <s v="Taylor Cook"/>
    <n v="1"/>
    <n v="2025"/>
    <s v="INV12494"/>
    <n v="2"/>
    <n v="2025"/>
    <m/>
    <s v="Sling-Choker Manufacturing - Timmins"/>
    <s v="CAD"/>
    <n v="1776.49"/>
    <n v="1235.6966045360184"/>
    <x v="0"/>
    <n v="0"/>
    <n v="1235.6966045360184"/>
    <m/>
    <m/>
    <m/>
    <m/>
    <s v=""/>
    <s v=""/>
    <s v=""/>
    <s v=""/>
    <s v=""/>
    <s v=""/>
    <s v=""/>
    <s v=""/>
    <s v="Parts"/>
    <n v="0"/>
    <m/>
    <m/>
    <m/>
    <m/>
    <s v=""/>
    <s v=""/>
    <s v=""/>
    <s v=""/>
    <x v="0"/>
    <x v="0"/>
    <n v="18.535449068040275"/>
    <s v="Yes"/>
  </r>
  <r>
    <n v="3"/>
    <s v="SO16380"/>
    <m/>
    <x v="0"/>
    <m/>
    <m/>
    <s v="Taylor Cook"/>
    <n v="1"/>
    <n v="2025"/>
    <s v="INV12496"/>
    <n v="1"/>
    <n v="2025"/>
    <m/>
    <s v="Wild Rows Pump &amp; Compression"/>
    <s v="CAD"/>
    <n v="3955.95"/>
    <n v="2751.6923724390576"/>
    <x v="0"/>
    <n v="0"/>
    <n v="2751.6923724390576"/>
    <m/>
    <m/>
    <m/>
    <m/>
    <s v=""/>
    <s v=""/>
    <s v=""/>
    <s v=""/>
    <s v=""/>
    <s v=""/>
    <s v=""/>
    <s v=""/>
    <s v="Parts"/>
    <n v="0"/>
    <m/>
    <m/>
    <m/>
    <m/>
    <s v=""/>
    <s v=""/>
    <s v=""/>
    <s v=""/>
    <x v="0"/>
    <x v="0"/>
    <n v="41.275385586585863"/>
    <s v="Yes"/>
  </r>
  <r>
    <n v="3"/>
    <s v="SO16380"/>
    <m/>
    <x v="0"/>
    <m/>
    <m/>
    <n v="0"/>
    <n v="1"/>
    <n v="2025"/>
    <s v="INV12584"/>
    <n v="1"/>
    <n v="2025"/>
    <m/>
    <s v="Wild Rows Pump &amp; Compression"/>
    <s v="CAD"/>
    <n v="0"/>
    <n v="0"/>
    <x v="1"/>
    <n v="0"/>
    <n v="0"/>
    <m/>
    <m/>
    <m/>
    <m/>
    <s v=""/>
    <s v=""/>
    <s v=""/>
    <s v=""/>
    <s v=""/>
    <s v=""/>
    <s v=""/>
    <s v=""/>
    <s v="Parts"/>
    <n v="0"/>
    <m/>
    <m/>
    <m/>
    <m/>
    <s v=""/>
    <s v=""/>
    <s v=""/>
    <s v=""/>
    <x v="0"/>
    <x v="0"/>
    <n v="0"/>
    <s v=""/>
  </r>
  <r>
    <n v="3"/>
    <s v="SO16380"/>
    <m/>
    <x v="0"/>
    <m/>
    <m/>
    <n v="0"/>
    <n v="1"/>
    <n v="2025"/>
    <s v="INV12953"/>
    <n v="5"/>
    <n v="2025"/>
    <m/>
    <s v="Wild Rows Pump &amp; Compression"/>
    <s v="CAD"/>
    <n v="0"/>
    <n v="0"/>
    <x v="1"/>
    <n v="0"/>
    <n v="0"/>
    <m/>
    <m/>
    <m/>
    <m/>
    <s v=""/>
    <s v=""/>
    <s v=""/>
    <s v=""/>
    <s v=""/>
    <s v=""/>
    <s v=""/>
    <s v=""/>
    <s v="O-Ring Impeller Seal, 3/2 C-AH, Viton"/>
    <n v="0"/>
    <m/>
    <m/>
    <m/>
    <m/>
    <s v=""/>
    <s v=""/>
    <s v=""/>
    <s v=""/>
    <x v="0"/>
    <x v="0"/>
    <n v="0"/>
    <s v=""/>
  </r>
  <r>
    <n v="1"/>
    <s v="SO16381"/>
    <m/>
    <x v="0"/>
    <m/>
    <m/>
    <s v="Ian Trottier"/>
    <n v="1"/>
    <n v="2025"/>
    <s v="INV12500"/>
    <n v="2"/>
    <n v="2025"/>
    <m/>
    <s v="Hyperflo"/>
    <s v="CAD"/>
    <n v="916.59"/>
    <n v="637.56460816085041"/>
    <x v="0"/>
    <n v="0"/>
    <n v="637.56460816085041"/>
    <m/>
    <m/>
    <m/>
    <m/>
    <s v=""/>
    <s v=""/>
    <s v=""/>
    <s v=""/>
    <s v=""/>
    <s v=""/>
    <s v=""/>
    <s v=""/>
    <s v="Gland Assembly, 12x10-25 SRL-C, Cast Iron"/>
    <n v="0"/>
    <m/>
    <m/>
    <m/>
    <m/>
    <s v=""/>
    <s v=""/>
    <s v=""/>
    <s v=""/>
    <x v="0"/>
    <x v="0"/>
    <n v="9.563469122412755"/>
    <s v="Yes"/>
  </r>
  <r>
    <n v="1"/>
    <s v="SO16382"/>
    <m/>
    <x v="0"/>
    <m/>
    <m/>
    <s v="Ian Trottier"/>
    <n v="1"/>
    <n v="2025"/>
    <s v="INV12495"/>
    <n v="2"/>
    <n v="2025"/>
    <m/>
    <s v="Hoffman-Kane Distributors, Inc."/>
    <s v="USD"/>
    <n v="197.62097170711183"/>
    <n v="137.77000000000001"/>
    <x v="0"/>
    <n v="0"/>
    <n v="137.77000000000001"/>
    <m/>
    <m/>
    <m/>
    <m/>
    <s v=""/>
    <s v=""/>
    <s v=""/>
    <s v=""/>
    <s v=""/>
    <s v=""/>
    <s v=""/>
    <s v=""/>
    <s v="Volute Liner Seal, 6/4 D or E-AH, EPDM Rubber"/>
    <n v="0"/>
    <m/>
    <m/>
    <m/>
    <m/>
    <s v=""/>
    <s v=""/>
    <s v=""/>
    <s v=""/>
    <x v="0"/>
    <x v="0"/>
    <n v="2.0665499999999999"/>
    <s v="Yes"/>
  </r>
  <r>
    <n v="1"/>
    <s v="SO16383"/>
    <m/>
    <x v="0"/>
    <m/>
    <m/>
    <s v="Jeff Bell"/>
    <n v="1"/>
    <n v="2025"/>
    <s v="INV12761"/>
    <n v="5"/>
    <n v="2025"/>
    <m/>
    <s v="Barrick Gold - Pueblo Viejo Dominicana Corporation"/>
    <s v="USD"/>
    <n v="15727.809341434107"/>
    <n v="10940"/>
    <x v="0"/>
    <n v="0"/>
    <n v="10940"/>
    <m/>
    <m/>
    <m/>
    <m/>
    <s v=""/>
    <s v=""/>
    <s v=""/>
    <s v=""/>
    <s v=""/>
    <s v=""/>
    <s v=""/>
    <s v=""/>
    <s v="RKCS, 165mm, Slurry Cartridge Seal, Heavy Duty Stationary, Multi-Spring"/>
    <n v="0"/>
    <m/>
    <m/>
    <m/>
    <m/>
    <s v=""/>
    <s v=""/>
    <s v=""/>
    <s v=""/>
    <x v="1"/>
    <x v="3"/>
    <n v="164.1"/>
    <s v="Yes"/>
  </r>
  <r>
    <n v="1"/>
    <s v="SO16384"/>
    <m/>
    <x v="2"/>
    <m/>
    <m/>
    <s v="Ian Trottier"/>
    <n v="1"/>
    <n v="2025"/>
    <s v="INV13051"/>
    <n v="7"/>
    <n v="2025"/>
    <n v="2503"/>
    <s v="Les Pompes du St-Laurent Inc."/>
    <s v="CAD"/>
    <n v="1994.78"/>
    <n v="1387.5354619482009"/>
    <x v="0"/>
    <n v="0"/>
    <n v="1387.5354619482009"/>
    <m/>
    <s v="Renewal"/>
    <m/>
    <m/>
    <s v=""/>
    <n v="5.0000000000000001E-3"/>
    <s v=""/>
    <s v=""/>
    <s v=""/>
    <n v="6.9376773097410052"/>
    <s v=""/>
    <s v=""/>
    <s v="Rear Cover, 13&quot;, Durco Mark 2&amp;3 Group 2, CD4MCu, Flow Modifier Large Bore"/>
    <n v="6.9376773097410052"/>
    <m/>
    <m/>
    <m/>
    <m/>
    <s v=""/>
    <n v="6.9376773097410052"/>
    <s v=""/>
    <s v=""/>
    <x v="1"/>
    <x v="1"/>
    <n v="20.813031929223012"/>
    <s v="Yes"/>
  </r>
  <r>
    <n v="1"/>
    <s v="SO16385"/>
    <m/>
    <x v="0"/>
    <m/>
    <m/>
    <s v="Ian Trottier"/>
    <n v="1"/>
    <n v="2025"/>
    <s v="INV12579"/>
    <n v="2"/>
    <n v="2025"/>
    <m/>
    <s v="Les Pompes Diaspec Inc."/>
    <s v="CAD"/>
    <n v="11636.11"/>
    <n v="8083.3508942471726"/>
    <x v="0"/>
    <n v="0"/>
    <n v="8083.3508942471726"/>
    <m/>
    <m/>
    <m/>
    <m/>
    <s v=""/>
    <s v=""/>
    <s v=""/>
    <s v=""/>
    <s v=""/>
    <s v=""/>
    <s v=""/>
    <s v=""/>
    <s v="Pump, 2x3-11, Dynapro DC, Frame 1J, High Chrome"/>
    <n v="0"/>
    <m/>
    <m/>
    <m/>
    <m/>
    <s v=""/>
    <s v=""/>
    <s v=""/>
    <s v=""/>
    <x v="0"/>
    <x v="0"/>
    <n v="121.25026341370759"/>
    <s v="Yes"/>
  </r>
  <r>
    <n v="1"/>
    <s v="SO16389"/>
    <m/>
    <x v="0"/>
    <m/>
    <m/>
    <s v="Taylor Cook"/>
    <n v="1"/>
    <n v="2025"/>
    <s v="INV12501"/>
    <n v="2"/>
    <n v="2025"/>
    <m/>
    <s v="Hyperflo"/>
    <s v="CAD"/>
    <n v="213.9"/>
    <n v="148.78524715042269"/>
    <x v="0"/>
    <n v="0"/>
    <n v="148.78524715042269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2.2317787072563404"/>
    <s v="Yes"/>
  </r>
  <r>
    <n v="2"/>
    <s v="SO16390"/>
    <m/>
    <x v="0"/>
    <m/>
    <m/>
    <s v="Ian Trottier"/>
    <n v="1"/>
    <n v="2025"/>
    <s v="INV12631"/>
    <n v="4"/>
    <n v="2025"/>
    <m/>
    <s v="Les Pompes du St-Laurent Inc."/>
    <s v="CAD"/>
    <n v="926.12"/>
    <n v="644.19351608672014"/>
    <x v="0"/>
    <n v="0"/>
    <n v="644.19351608672014"/>
    <m/>
    <m/>
    <m/>
    <m/>
    <s v=""/>
    <s v=""/>
    <s v=""/>
    <s v=""/>
    <s v=""/>
    <s v=""/>
    <s v=""/>
    <s v=""/>
    <s v="Shaft Sleeve, 3x3-10 SRL, Steel"/>
    <n v="0"/>
    <m/>
    <m/>
    <m/>
    <m/>
    <s v=""/>
    <s v=""/>
    <s v=""/>
    <s v=""/>
    <x v="0"/>
    <x v="0"/>
    <n v="9.6629027413008011"/>
    <s v="Yes"/>
  </r>
  <r>
    <n v="2"/>
    <s v="SO16390"/>
    <m/>
    <x v="0"/>
    <m/>
    <m/>
    <n v="0"/>
    <n v="1"/>
    <n v="2025"/>
    <s v="INV12506"/>
    <n v="2"/>
    <n v="2025"/>
    <m/>
    <s v="Les Pompes du St-Laurent Inc."/>
    <s v="CAD"/>
    <n v="0"/>
    <n v="0"/>
    <x v="1"/>
    <n v="0"/>
    <n v="0"/>
    <m/>
    <m/>
    <m/>
    <m/>
    <s v=""/>
    <s v=""/>
    <s v=""/>
    <s v=""/>
    <s v=""/>
    <s v=""/>
    <s v=""/>
    <s v=""/>
    <s v="Shaft Sleeve, 3x3-10 SRL, Steel"/>
    <n v="0"/>
    <m/>
    <m/>
    <m/>
    <m/>
    <s v=""/>
    <s v=""/>
    <s v=""/>
    <s v=""/>
    <x v="0"/>
    <x v="0"/>
    <n v="0"/>
    <s v=""/>
  </r>
  <r>
    <n v="1"/>
    <s v="SO16392"/>
    <m/>
    <x v="0"/>
    <m/>
    <m/>
    <s v="Ian Trottier"/>
    <n v="1"/>
    <n v="2025"/>
    <s v="INV12706"/>
    <n v="5"/>
    <n v="2025"/>
    <m/>
    <s v="Resolute Forest Products - Kenogami"/>
    <s v="CAD"/>
    <n v="7408.13"/>
    <n v="5154.72425238303"/>
    <x v="0"/>
    <n v="0"/>
    <n v="5154.72425238303"/>
    <m/>
    <m/>
    <m/>
    <m/>
    <s v=""/>
    <s v=""/>
    <s v=""/>
    <s v=""/>
    <s v=""/>
    <s v=""/>
    <s v=""/>
    <s v=""/>
    <s v="Stuffing Box Cover, F-6D2 Frame, Allis Chalmers CW, Cast Iron"/>
    <n v="0"/>
    <m/>
    <m/>
    <m/>
    <m/>
    <s v=""/>
    <s v=""/>
    <s v=""/>
    <s v=""/>
    <x v="0"/>
    <x v="0"/>
    <n v="77.320863785745445"/>
    <s v="Yes"/>
  </r>
  <r>
    <n v="2"/>
    <s v="SO16393"/>
    <m/>
    <x v="0"/>
    <m/>
    <m/>
    <s v="Ian Trottier"/>
    <n v="1"/>
    <n v="2025"/>
    <s v="INV12704"/>
    <n v="4"/>
    <n v="2025"/>
    <m/>
    <s v="FMI Products"/>
    <s v="CAD"/>
    <n v="2363.9699999999998"/>
    <n v="1644.8973615346806"/>
    <x v="0"/>
    <n v="0"/>
    <n v="1644.8973615346806"/>
    <m/>
    <m/>
    <m/>
    <m/>
    <s v=""/>
    <s v=""/>
    <s v=""/>
    <s v=""/>
    <s v=""/>
    <s v=""/>
    <s v=""/>
    <s v=""/>
    <s v="Casing, 2x3-8, 3196 MTX, Ductile Iron"/>
    <n v="0"/>
    <m/>
    <m/>
    <m/>
    <m/>
    <s v=""/>
    <s v=""/>
    <s v=""/>
    <s v=""/>
    <x v="0"/>
    <x v="0"/>
    <n v="24.673460423020209"/>
    <s v="Yes"/>
  </r>
  <r>
    <n v="2"/>
    <s v="SO16393"/>
    <m/>
    <x v="0"/>
    <m/>
    <m/>
    <n v="0"/>
    <n v="1"/>
    <n v="2025"/>
    <s v="INV12541"/>
    <n v="2"/>
    <n v="2025"/>
    <m/>
    <s v="FMI Products"/>
    <s v="CAD"/>
    <n v="0"/>
    <n v="0"/>
    <x v="1"/>
    <n v="0"/>
    <n v="0"/>
    <m/>
    <m/>
    <m/>
    <m/>
    <s v=""/>
    <s v=""/>
    <s v=""/>
    <s v=""/>
    <s v=""/>
    <s v=""/>
    <s v=""/>
    <s v=""/>
    <s v="Casing, 2x3-8, 3196 MTX, Ductile Iron"/>
    <n v="0"/>
    <m/>
    <m/>
    <m/>
    <m/>
    <s v=""/>
    <s v=""/>
    <s v=""/>
    <s v=""/>
    <x v="0"/>
    <x v="0"/>
    <n v="0"/>
    <s v=""/>
  </r>
  <r>
    <n v="1"/>
    <s v="SO16397"/>
    <m/>
    <x v="0"/>
    <m/>
    <m/>
    <s v="Ian Trottier"/>
    <n v="1"/>
    <n v="2025"/>
    <s v="INV12846"/>
    <n v="5"/>
    <n v="2025"/>
    <m/>
    <s v="Corrosion Fluid Products Corp."/>
    <s v="USD"/>
    <n v="1339.7088038775501"/>
    <n v="926.23"/>
    <x v="0"/>
    <n v="0"/>
    <n v="926.23"/>
    <m/>
    <m/>
    <m/>
    <m/>
    <s v=""/>
    <s v=""/>
    <s v=""/>
    <s v=""/>
    <s v=""/>
    <s v=""/>
    <s v=""/>
    <s v=""/>
    <s v="Bearing (Cylinder Roller), G-Series 2&quot; VSP, Steel, #2 Drive"/>
    <n v="0"/>
    <m/>
    <m/>
    <m/>
    <m/>
    <s v=""/>
    <s v=""/>
    <s v=""/>
    <s v=""/>
    <x v="0"/>
    <x v="0"/>
    <n v="13.89345"/>
    <s v="Yes"/>
  </r>
  <r>
    <n v="1"/>
    <s v="SO16399"/>
    <m/>
    <x v="0"/>
    <m/>
    <m/>
    <s v="Taylor Cook"/>
    <n v="1"/>
    <n v="2025"/>
    <s v="INV12536"/>
    <n v="2"/>
    <n v="2025"/>
    <m/>
    <s v="Tantalum Mining Corporation of Canada"/>
    <s v="CAD"/>
    <n v="861.07"/>
    <n v="598.16647956313693"/>
    <x v="0"/>
    <n v="0"/>
    <n v="598.16647956313693"/>
    <m/>
    <m/>
    <m/>
    <m/>
    <s v=""/>
    <s v=""/>
    <s v=""/>
    <s v=""/>
    <s v=""/>
    <s v=""/>
    <s v=""/>
    <s v=""/>
    <s v="Shaft Sleeve, 8x6-18 &amp; 10x8-21 SRL-C, Steel"/>
    <n v="0"/>
    <m/>
    <m/>
    <m/>
    <m/>
    <s v=""/>
    <s v=""/>
    <s v=""/>
    <s v=""/>
    <x v="0"/>
    <x v="0"/>
    <n v="8.9724971934470528"/>
    <s v="Yes"/>
  </r>
  <r>
    <n v="1"/>
    <s v="SO16400"/>
    <m/>
    <x v="0"/>
    <m/>
    <m/>
    <s v="Taylor Cook"/>
    <n v="1"/>
    <n v="2025"/>
    <s v="INV12662"/>
    <n v="4"/>
    <n v="2025"/>
    <m/>
    <s v="DXP Enterprises, Inc. - Pumping Solutions, Inc. - Hayward California"/>
    <s v="USD"/>
    <n v="3105.4443970498778"/>
    <n v="2160.83"/>
    <x v="0"/>
    <n v="0"/>
    <n v="2160.83"/>
    <m/>
    <m/>
    <m/>
    <m/>
    <s v=""/>
    <s v=""/>
    <s v=""/>
    <s v=""/>
    <s v=""/>
    <s v=""/>
    <s v=""/>
    <s v=""/>
    <s v="Single Cartridge Slurry Mechanical Seal w/Flush Gland, Tungsten vs Tungsten w/EPDM Elastomers, 316SS Gland"/>
    <n v="0"/>
    <m/>
    <m/>
    <m/>
    <m/>
    <s v=""/>
    <s v=""/>
    <s v=""/>
    <s v=""/>
    <x v="0"/>
    <x v="0"/>
    <n v="32.41245"/>
    <s v="Yes"/>
  </r>
  <r>
    <n v="1"/>
    <s v="SO16401"/>
    <m/>
    <x v="0"/>
    <m/>
    <m/>
    <s v="Taylor Cook"/>
    <n v="1"/>
    <n v="2025"/>
    <s v="INV12574"/>
    <n v="2"/>
    <n v="2025"/>
    <m/>
    <s v="Motion Industries Inc. (U.S.) - Lakeland"/>
    <s v="USD"/>
    <n v="120.92901319932109"/>
    <n v="84"/>
    <x v="0"/>
    <n v="0"/>
    <n v="84"/>
    <m/>
    <m/>
    <m/>
    <m/>
    <s v=""/>
    <s v=""/>
    <s v=""/>
    <s v=""/>
    <s v=""/>
    <s v=""/>
    <s v=""/>
    <s v=""/>
    <s v="Premium Slurry Packing (Single Piece), 6/4 or 8/6 E, R-AH, Kevlar Fiber w/Silicon Core"/>
    <n v="0"/>
    <m/>
    <m/>
    <m/>
    <m/>
    <s v=""/>
    <s v=""/>
    <s v=""/>
    <s v=""/>
    <x v="0"/>
    <x v="0"/>
    <n v="1.26"/>
    <s v="Yes"/>
  </r>
  <r>
    <n v="1"/>
    <s v="SO16402"/>
    <m/>
    <x v="0"/>
    <m/>
    <m/>
    <s v="Amanda Qiao"/>
    <n v="1"/>
    <n v="2025"/>
    <s v="INV12530"/>
    <n v="3"/>
    <n v="2025"/>
    <m/>
    <s v="Zijin Mining - Rosebel Goldmines N.V."/>
    <s v="USD"/>
    <n v="5373.7110424893553"/>
    <n v="3732.7"/>
    <x v="0"/>
    <n v="250"/>
    <n v="3482.7"/>
    <m/>
    <m/>
    <m/>
    <m/>
    <s v=""/>
    <s v=""/>
    <s v=""/>
    <s v=""/>
    <s v=""/>
    <s v=""/>
    <s v=""/>
    <s v=""/>
    <s v="Shaft, 65QV-SPR, 900mm, Neoprene"/>
    <n v="0"/>
    <m/>
    <m/>
    <m/>
    <m/>
    <s v=""/>
    <s v=""/>
    <s v=""/>
    <s v=""/>
    <x v="0"/>
    <x v="0"/>
    <n v="52.240499999999997"/>
    <s v="Yes"/>
  </r>
  <r>
    <n v="1"/>
    <s v="SO16403"/>
    <m/>
    <x v="0"/>
    <m/>
    <m/>
    <s v="Taylor Cook"/>
    <n v="1"/>
    <n v="2025"/>
    <s v="INV12508"/>
    <n v="2"/>
    <n v="2025"/>
    <m/>
    <s v="Motion Industries Inc. (Canada) - Winnipeg"/>
    <s v="CAD"/>
    <n v="540.29999999999995"/>
    <n v="374.24329219542551"/>
    <x v="0"/>
    <n v="0"/>
    <n v="374.24329219542551"/>
    <m/>
    <m/>
    <m/>
    <m/>
    <s v=""/>
    <s v=""/>
    <s v=""/>
    <s v=""/>
    <s v=""/>
    <s v=""/>
    <s v=""/>
    <s v=""/>
    <s v="Adapter (Bearing Housing), 10&quot;, Durco Mark 2&amp;3 Group 2, Ductile Iron"/>
    <n v="0"/>
    <m/>
    <m/>
    <m/>
    <m/>
    <s v=""/>
    <s v=""/>
    <s v=""/>
    <s v=""/>
    <x v="0"/>
    <x v="0"/>
    <n v="5.6136493829313823"/>
    <s v="Yes"/>
  </r>
  <r>
    <n v="1"/>
    <s v="SO16405"/>
    <m/>
    <x v="0"/>
    <m/>
    <m/>
    <s v="Taylor Cook"/>
    <n v="1"/>
    <n v="2025"/>
    <s v="INV12513"/>
    <n v="2"/>
    <n v="2025"/>
    <m/>
    <s v="Wajax Limited - Sorel-Tracy"/>
    <s v="CAD"/>
    <n v="2036.82"/>
    <n v="1410.8203265028435"/>
    <x v="0"/>
    <n v="0"/>
    <n v="1410.8203265028435"/>
    <m/>
    <m/>
    <m/>
    <m/>
    <s v=""/>
    <s v=""/>
    <s v=""/>
    <s v=""/>
    <s v=""/>
    <s v=""/>
    <s v=""/>
    <s v=""/>
    <s v="Impeller (Open), 5x5-14 SRL, Natural Rubber"/>
    <n v="0"/>
    <m/>
    <m/>
    <m/>
    <m/>
    <s v=""/>
    <s v=""/>
    <s v=""/>
    <s v=""/>
    <x v="0"/>
    <x v="0"/>
    <n v="21.162304897542651"/>
    <s v="Yes"/>
  </r>
  <r>
    <n v="1"/>
    <s v="SO16406"/>
    <m/>
    <x v="0"/>
    <m/>
    <m/>
    <s v="Ian Trottier"/>
    <n v="1"/>
    <n v="2025"/>
    <s v="INV12635"/>
    <n v="4"/>
    <n v="2025"/>
    <m/>
    <s v="Les Pompes du St-Laurent Inc."/>
    <s v="CAD"/>
    <n v="2246.1999999999998"/>
    <n v="1558.7412911773558"/>
    <x v="0"/>
    <n v="0"/>
    <n v="1558.7412911773558"/>
    <m/>
    <m/>
    <m/>
    <m/>
    <s v=""/>
    <s v=""/>
    <s v=""/>
    <s v=""/>
    <s v=""/>
    <s v=""/>
    <s v=""/>
    <s v=""/>
    <s v="Stuffing Box Cover, 10&quot;, 3196 MTX, CD4MCu, Standard Bore, Non-Jacketed"/>
    <n v="0"/>
    <m/>
    <m/>
    <m/>
    <m/>
    <s v=""/>
    <s v=""/>
    <s v=""/>
    <s v=""/>
    <x v="0"/>
    <x v="0"/>
    <n v="23.381119367660336"/>
    <s v="Yes"/>
  </r>
  <r>
    <n v="1"/>
    <s v="SO16408"/>
    <m/>
    <x v="0"/>
    <m/>
    <m/>
    <s v="Ian Trottier"/>
    <n v="1"/>
    <n v="2025"/>
    <s v="INV12519"/>
    <n v="2"/>
    <n v="2025"/>
    <m/>
    <s v="Cartledge &amp; Associates Inc."/>
    <s v="USD"/>
    <n v="4614.2789779870072"/>
    <n v="3202.06"/>
    <x v="0"/>
    <n v="589"/>
    <n v="2613.06"/>
    <m/>
    <m/>
    <m/>
    <m/>
    <s v=""/>
    <s v=""/>
    <s v=""/>
    <s v=""/>
    <s v=""/>
    <s v=""/>
    <s v=""/>
    <s v=""/>
    <s v="Suction Side Plate, 8x6-18 SRL-C, Natural Rubber"/>
    <n v="0"/>
    <m/>
    <m/>
    <m/>
    <m/>
    <s v=""/>
    <s v=""/>
    <s v=""/>
    <s v=""/>
    <x v="0"/>
    <x v="0"/>
    <n v="39.195899999999995"/>
    <s v="Yes"/>
  </r>
  <r>
    <n v="1"/>
    <s v="SO16409"/>
    <m/>
    <x v="0"/>
    <m/>
    <m/>
    <s v="Ian Trottier"/>
    <n v="1"/>
    <n v="2025"/>
    <s v="INV12515"/>
    <n v="4"/>
    <n v="2025"/>
    <m/>
    <s v="Southeast Pump Specialist, Inc."/>
    <s v="USD"/>
    <n v="4344.1588545191835"/>
    <n v="3017.55"/>
    <x v="0"/>
    <n v="603"/>
    <n v="2414.5500000000002"/>
    <m/>
    <m/>
    <m/>
    <m/>
    <s v=""/>
    <s v=""/>
    <s v=""/>
    <s v=""/>
    <s v=""/>
    <s v=""/>
    <s v=""/>
    <s v=""/>
    <s v="Bearing Cylinder, 8x6-18 &amp; 10x8-21 SRL-C, Cast Iron"/>
    <n v="0"/>
    <m/>
    <m/>
    <m/>
    <m/>
    <s v=""/>
    <s v=""/>
    <s v=""/>
    <s v=""/>
    <x v="0"/>
    <x v="0"/>
    <n v="36.218250000000005"/>
    <s v="Yes"/>
  </r>
  <r>
    <n v="1"/>
    <s v="SO16411"/>
    <m/>
    <x v="0"/>
    <m/>
    <m/>
    <s v="Ian Trottier"/>
    <n v="1"/>
    <n v="2025"/>
    <s v="INV12535"/>
    <n v="2"/>
    <n v="2025"/>
    <m/>
    <s v="Les Pompes du St-Laurent Inc."/>
    <s v="CAD"/>
    <n v="2643.9"/>
    <n v="1834.7235774836672"/>
    <x v="0"/>
    <n v="0"/>
    <n v="1834.7235774836672"/>
    <m/>
    <m/>
    <m/>
    <m/>
    <s v=""/>
    <s v=""/>
    <s v=""/>
    <s v=""/>
    <s v=""/>
    <s v=""/>
    <s v=""/>
    <s v=""/>
    <s v="Adapter (Bearing Housing), 10&quot;, Durco Mark 2&amp;3 Group 2, Ductile Iron"/>
    <n v="0"/>
    <m/>
    <m/>
    <m/>
    <m/>
    <s v=""/>
    <s v=""/>
    <s v=""/>
    <s v=""/>
    <x v="0"/>
    <x v="0"/>
    <n v="27.520853662255007"/>
    <s v="Yes"/>
  </r>
  <r>
    <n v="1"/>
    <s v="SO16412"/>
    <m/>
    <x v="0"/>
    <m/>
    <m/>
    <s v="Ian Trottier"/>
    <n v="1"/>
    <n v="2025"/>
    <s v="INV12539"/>
    <n v="2"/>
    <n v="2025"/>
    <m/>
    <s v="Glencore Canada Corporation - Rouyn-Noranda, Glencore Canada Corp."/>
    <s v="CAD"/>
    <n v="2336.66"/>
    <n v="1621.5156377181384"/>
    <x v="0"/>
    <n v="0"/>
    <n v="1621.5156377181384"/>
    <m/>
    <m/>
    <m/>
    <m/>
    <s v=""/>
    <s v=""/>
    <s v=""/>
    <s v=""/>
    <s v=""/>
    <s v=""/>
    <s v=""/>
    <s v=""/>
    <s v="Deflector (Water Slinger), 2x2-10 SRL, Neoprene/Steel"/>
    <n v="0"/>
    <m/>
    <m/>
    <m/>
    <m/>
    <s v=""/>
    <s v=""/>
    <s v=""/>
    <s v=""/>
    <x v="0"/>
    <x v="0"/>
    <n v="24.322734565772073"/>
    <s v="Yes"/>
  </r>
  <r>
    <n v="1"/>
    <s v="SO16413"/>
    <m/>
    <x v="0"/>
    <m/>
    <m/>
    <s v="Ian Trottier"/>
    <n v="1"/>
    <n v="2025"/>
    <s v="INV12516"/>
    <n v="2"/>
    <n v="2025"/>
    <m/>
    <s v="Motion Industries Inc. (U.S.) - Tucson"/>
    <s v="USD"/>
    <n v="478.65402438685237"/>
    <n v="332.16"/>
    <x v="0"/>
    <n v="0"/>
    <n v="332.16"/>
    <m/>
    <m/>
    <m/>
    <m/>
    <s v=""/>
    <s v=""/>
    <s v=""/>
    <s v=""/>
    <s v=""/>
    <s v=""/>
    <s v=""/>
    <s v=""/>
    <s v="Shaft Sleeve, 3196 MTX, 316SS"/>
    <n v="0"/>
    <m/>
    <m/>
    <m/>
    <m/>
    <s v=""/>
    <s v=""/>
    <s v=""/>
    <s v=""/>
    <x v="0"/>
    <x v="0"/>
    <n v="4.9824000000000002"/>
    <s v="Yes"/>
  </r>
  <r>
    <n v="1"/>
    <s v="SO16414"/>
    <m/>
    <x v="0"/>
    <m/>
    <m/>
    <s v="Taylor Cook"/>
    <n v="1"/>
    <n v="2025"/>
    <s v="INV12626"/>
    <n v="3"/>
    <n v="2025"/>
    <m/>
    <s v="Electric Pump"/>
    <s v="USD"/>
    <n v="102.85459393102774"/>
    <n v="71.52"/>
    <x v="0"/>
    <n v="0"/>
    <n v="71.52"/>
    <m/>
    <m/>
    <m/>
    <m/>
    <s v=""/>
    <s v=""/>
    <s v=""/>
    <s v=""/>
    <s v=""/>
    <s v=""/>
    <s v=""/>
    <s v=""/>
    <s v="Premium Slurry Packing (Single Piece), 4/3 or 6/4 D-AH, Kevlar Fiber w/Silicon Core"/>
    <n v="0"/>
    <m/>
    <m/>
    <m/>
    <m/>
    <s v=""/>
    <s v=""/>
    <s v=""/>
    <s v=""/>
    <x v="0"/>
    <x v="0"/>
    <n v="1.0728"/>
    <s v="Yes"/>
  </r>
  <r>
    <n v="1"/>
    <s v="SO16417"/>
    <m/>
    <x v="0"/>
    <m/>
    <m/>
    <s v="Jeff Bell"/>
    <n v="1"/>
    <n v="2025"/>
    <s v="INV12872"/>
    <n v="5"/>
    <n v="2025"/>
    <m/>
    <s v="Mill-Right Mine Services Inc."/>
    <s v="USD"/>
    <n v="5734.2424643442628"/>
    <n v="3990"/>
    <x v="0"/>
    <n v="0"/>
    <n v="3990"/>
    <m/>
    <m/>
    <m/>
    <m/>
    <s v=""/>
    <s v=""/>
    <s v=""/>
    <s v=""/>
    <s v=""/>
    <s v=""/>
    <s v=""/>
    <s v=""/>
    <s v="Impeller, G-Series 6&quot; VSP, 8100 Series, High Chrome"/>
    <n v="0"/>
    <m/>
    <m/>
    <m/>
    <m/>
    <s v=""/>
    <s v=""/>
    <s v=""/>
    <s v=""/>
    <x v="0"/>
    <x v="0"/>
    <n v="59.849999999999994"/>
    <s v="Yes"/>
  </r>
  <r>
    <n v="1"/>
    <s v="SO16422"/>
    <m/>
    <x v="0"/>
    <m/>
    <m/>
    <s v="Ian Trottier"/>
    <n v="1"/>
    <n v="2025"/>
    <s v="INV12701"/>
    <n v="4"/>
    <n v="2025"/>
    <m/>
    <s v="Gibraltar Mine (Canada)"/>
    <s v="CAD"/>
    <n v="5815.61"/>
    <n v="4046.6171502661628"/>
    <x v="0"/>
    <n v="0"/>
    <n v="4046.6171502661628"/>
    <m/>
    <m/>
    <m/>
    <m/>
    <s v=""/>
    <s v=""/>
    <s v=""/>
    <s v=""/>
    <s v=""/>
    <s v=""/>
    <s v=""/>
    <s v=""/>
    <s v="Impeller, G-Series 2.5&quot; VSP, 1000 Series, Urethane"/>
    <n v="0"/>
    <m/>
    <m/>
    <m/>
    <m/>
    <s v=""/>
    <s v=""/>
    <s v=""/>
    <s v=""/>
    <x v="0"/>
    <x v="0"/>
    <n v="60.699257253992442"/>
    <s v="Yes"/>
  </r>
  <r>
    <n v="1"/>
    <s v="SO16423"/>
    <m/>
    <x v="1"/>
    <m/>
    <m/>
    <s v="Marlen Martinez"/>
    <n v="1"/>
    <n v="2025"/>
    <s v="INV12544"/>
    <n v="5"/>
    <n v="2025"/>
    <m/>
    <s v="Covia Corp - Camden"/>
    <s v="CAD"/>
    <n v="5986"/>
    <n v="4162.3684819278751"/>
    <x v="0"/>
    <n v="386"/>
    <n v="3776.3684819278751"/>
    <m/>
    <m/>
    <m/>
    <m/>
    <s v=""/>
    <s v=""/>
    <s v=""/>
    <s v=""/>
    <s v=""/>
    <s v=""/>
    <s v=""/>
    <s v=""/>
    <s v="Lip Seal, 8/6 E-AH, Nitrile"/>
    <n v="0"/>
    <m/>
    <m/>
    <m/>
    <m/>
    <s v=""/>
    <s v=""/>
    <s v=""/>
    <s v=""/>
    <x v="2"/>
    <x v="2"/>
    <n v="56.645527228918127"/>
    <s v="Yes"/>
  </r>
  <r>
    <n v="1"/>
    <s v="SO16424"/>
    <m/>
    <x v="0"/>
    <m/>
    <m/>
    <s v="Ian Trottier"/>
    <n v="1"/>
    <n v="2025"/>
    <s v="INV12643"/>
    <n v="3"/>
    <n v="2025"/>
    <m/>
    <s v="Grant Aggregate"/>
    <s v="CAD"/>
    <n v="21498.92"/>
    <n v="15013.660195093944"/>
    <x v="0"/>
    <n v="0"/>
    <n v="15013.660195093944"/>
    <m/>
    <m/>
    <m/>
    <m/>
    <s v=""/>
    <s v=""/>
    <s v=""/>
    <s v=""/>
    <s v=""/>
    <s v=""/>
    <s v=""/>
    <s v=""/>
    <s v="Casing, 8x10-13, 3196 XLT, CD4MCu"/>
    <n v="0"/>
    <m/>
    <m/>
    <m/>
    <m/>
    <s v=""/>
    <s v=""/>
    <s v=""/>
    <s v=""/>
    <x v="0"/>
    <x v="0"/>
    <n v="225.20490292640915"/>
    <s v="Yes"/>
  </r>
  <r>
    <n v="1"/>
    <s v="SO16426"/>
    <m/>
    <x v="0"/>
    <m/>
    <m/>
    <s v="Ian Trottier"/>
    <n v="1"/>
    <n v="2025"/>
    <s v="INV12695"/>
    <n v="2"/>
    <n v="2025"/>
    <m/>
    <s v="Industrial Rigging &amp; Supply"/>
    <s v="CAD"/>
    <n v="846.16"/>
    <n v="586.7806643577569"/>
    <x v="0"/>
    <n v="0"/>
    <n v="586.7806643577569"/>
    <m/>
    <m/>
    <m/>
    <m/>
    <s v=""/>
    <s v=""/>
    <s v=""/>
    <s v=""/>
    <s v=""/>
    <s v=""/>
    <s v=""/>
    <s v=""/>
    <s v="Waterseal Bushing, 5x4/5x5/6x6 SRL, 316SS"/>
    <n v="0"/>
    <m/>
    <m/>
    <m/>
    <m/>
    <s v=""/>
    <s v=""/>
    <s v=""/>
    <s v=""/>
    <x v="0"/>
    <x v="0"/>
    <n v="8.8017099653663529"/>
    <s v="Yes"/>
  </r>
  <r>
    <n v="1"/>
    <s v="SO16427"/>
    <m/>
    <x v="0"/>
    <m/>
    <m/>
    <s v="Ian Trottier"/>
    <n v="1"/>
    <n v="2025"/>
    <s v="INV12811"/>
    <n v="5"/>
    <n v="2025"/>
    <m/>
    <s v="Hyperflo"/>
    <s v="CAD"/>
    <n v="4839.1099999999997"/>
    <n v="3361.6237854283286"/>
    <x v="0"/>
    <n v="0"/>
    <n v="3361.6237854283286"/>
    <m/>
    <m/>
    <m/>
    <m/>
    <s v=""/>
    <s v=""/>
    <s v=""/>
    <s v=""/>
    <s v=""/>
    <s v=""/>
    <s v=""/>
    <s v=""/>
    <s v="Casing, 2x1-10, Allis-Chalmers CSO, Frame F4B3/F4B5/F4D1, Cast Iron"/>
    <n v="0"/>
    <m/>
    <m/>
    <m/>
    <m/>
    <s v=""/>
    <s v=""/>
    <s v=""/>
    <s v=""/>
    <x v="0"/>
    <x v="0"/>
    <n v="50.424356781424926"/>
    <s v="Yes"/>
  </r>
  <r>
    <n v="1"/>
    <s v="SO16429"/>
    <m/>
    <x v="0"/>
    <m/>
    <m/>
    <s v="Taylor Cook"/>
    <n v="1"/>
    <n v="2025"/>
    <s v="INV12538"/>
    <n v="2"/>
    <n v="2025"/>
    <m/>
    <s v="Manufacture Sling-Choker (Val-d’Or) Ltée"/>
    <s v="CAD"/>
    <n v="873.41"/>
    <n v="606.73880743172958"/>
    <x v="0"/>
    <n v="0"/>
    <n v="606.73880743172958"/>
    <m/>
    <m/>
    <m/>
    <m/>
    <s v=""/>
    <s v=""/>
    <s v=""/>
    <s v=""/>
    <s v=""/>
    <s v=""/>
    <s v=""/>
    <s v=""/>
    <s v="Suction Side Liner, 3x3-10 SRL, Natural Rubber"/>
    <n v="0"/>
    <m/>
    <m/>
    <m/>
    <m/>
    <s v=""/>
    <s v=""/>
    <s v=""/>
    <s v=""/>
    <x v="0"/>
    <x v="0"/>
    <n v="9.101082111475943"/>
    <s v="Yes"/>
  </r>
  <r>
    <n v="0"/>
    <s v="SO16430"/>
    <m/>
    <x v="0"/>
    <m/>
    <m/>
    <s v="Ian Trottier"/>
    <n v="1"/>
    <n v="2025"/>
    <s v="No Inv"/>
    <s v=""/>
    <s v=""/>
    <m/>
    <s v="Les Pompes du St-Laurent Inc."/>
    <s v="CAD"/>
    <n v="12078.11"/>
    <n v="8619.9165435572431"/>
    <x v="1"/>
    <n v="0"/>
    <n v="0"/>
    <m/>
    <m/>
    <m/>
    <m/>
    <s v=""/>
    <s v=""/>
    <s v=""/>
    <s v=""/>
    <s v=""/>
    <s v=""/>
    <s v=""/>
    <s v=""/>
    <s v=""/>
    <n v="0"/>
    <m/>
    <m/>
    <m/>
    <m/>
    <s v=""/>
    <s v=""/>
    <s v=""/>
    <s v=""/>
    <x v="0"/>
    <x v="0"/>
    <n v="0"/>
    <s v=""/>
  </r>
  <r>
    <n v="1"/>
    <s v="SO16432"/>
    <m/>
    <x v="0"/>
    <m/>
    <m/>
    <s v="Ian Trottier"/>
    <n v="1"/>
    <n v="2025"/>
    <s v="INV12563"/>
    <n v="2"/>
    <n v="2025"/>
    <m/>
    <s v="Agnico Eagle Mines Ltd. - Rouyn-Noranda, LaRonde secteur Penna (11102)"/>
    <s v="CAD"/>
    <n v="498.78"/>
    <n v="346.49154734981056"/>
    <x v="0"/>
    <n v="0"/>
    <n v="346.49154734981056"/>
    <m/>
    <m/>
    <m/>
    <m/>
    <s v=""/>
    <s v=""/>
    <s v=""/>
    <s v=""/>
    <s v=""/>
    <s v=""/>
    <s v=""/>
    <s v=""/>
    <s v="Coupling Guard, 3196 MTX, Fabricated Steel, Drum Style"/>
    <n v="0"/>
    <m/>
    <m/>
    <m/>
    <m/>
    <s v=""/>
    <s v=""/>
    <s v=""/>
    <s v=""/>
    <x v="0"/>
    <x v="0"/>
    <n v="5.1973732102471581"/>
    <s v="Yes"/>
  </r>
  <r>
    <n v="1"/>
    <s v="SO16433"/>
    <m/>
    <x v="0"/>
    <m/>
    <m/>
    <s v="Ian Trottier"/>
    <n v="1"/>
    <n v="2025"/>
    <s v="INV12602"/>
    <n v="1"/>
    <n v="2025"/>
    <m/>
    <s v="Eleazar General &amp; Industrial Supplies Limited"/>
    <s v="USD"/>
    <n v="4777.1969268411485"/>
    <n v="3330.81"/>
    <x v="0"/>
    <n v="0"/>
    <n v="3330.81"/>
    <m/>
    <m/>
    <m/>
    <m/>
    <s v=""/>
    <s v=""/>
    <s v=""/>
    <s v=""/>
    <s v=""/>
    <s v=""/>
    <s v=""/>
    <s v=""/>
    <s v="Shaft Assembly, 5x4-14 SRL-C &amp; 5x5-14 SRL, 1045 Steel"/>
    <n v="0"/>
    <m/>
    <m/>
    <m/>
    <m/>
    <s v=""/>
    <s v=""/>
    <s v=""/>
    <s v=""/>
    <x v="0"/>
    <x v="0"/>
    <n v="49.962149999999994"/>
    <s v="Yes"/>
  </r>
  <r>
    <n v="1"/>
    <s v="SO16434"/>
    <m/>
    <x v="0"/>
    <m/>
    <m/>
    <s v="Ian Trottier"/>
    <n v="1"/>
    <n v="2025"/>
    <s v="INV12595"/>
    <n v="3"/>
    <n v="2025"/>
    <m/>
    <s v="ProPart Pompes du Canada 9425-4380 Quebec Inc"/>
    <s v="CAD"/>
    <n v="5460.46"/>
    <n v="3794.5842196947619"/>
    <x v="0"/>
    <n v="0"/>
    <n v="3794.5842196947619"/>
    <m/>
    <m/>
    <m/>
    <m/>
    <s v=""/>
    <s v=""/>
    <s v=""/>
    <s v=""/>
    <s v=""/>
    <s v=""/>
    <s v=""/>
    <s v=""/>
    <s v="Shaft Assembly, 10x8-21 SRL-C, 1045 Steel"/>
    <n v="0"/>
    <m/>
    <m/>
    <m/>
    <m/>
    <s v=""/>
    <s v=""/>
    <s v=""/>
    <s v=""/>
    <x v="0"/>
    <x v="0"/>
    <n v="56.918763295421428"/>
    <s v="Yes"/>
  </r>
  <r>
    <n v="1"/>
    <s v="SO16435"/>
    <m/>
    <x v="0"/>
    <m/>
    <m/>
    <s v="Ian Trottier"/>
    <n v="1"/>
    <n v="2025"/>
    <s v="INV12551"/>
    <n v="2"/>
    <n v="2025"/>
    <m/>
    <s v="Wajax Limited - Noranda"/>
    <s v="CAD"/>
    <n v="1946.57"/>
    <n v="1352.2395671933934"/>
    <x v="0"/>
    <n v="0"/>
    <n v="1352.2395671933934"/>
    <m/>
    <m/>
    <m/>
    <m/>
    <s v=""/>
    <s v=""/>
    <s v=""/>
    <s v=""/>
    <s v=""/>
    <s v=""/>
    <s v=""/>
    <s v=""/>
    <s v="Volute Liner, 4/3 C or D-AH, High Chrome"/>
    <n v="0"/>
    <m/>
    <m/>
    <m/>
    <m/>
    <s v=""/>
    <s v=""/>
    <s v=""/>
    <s v=""/>
    <x v="0"/>
    <x v="0"/>
    <n v="20.2835935079009"/>
    <s v="Yes"/>
  </r>
  <r>
    <n v="1"/>
    <s v="SO16436"/>
    <m/>
    <x v="0"/>
    <m/>
    <m/>
    <s v="Ian Trottier"/>
    <n v="1"/>
    <n v="2025"/>
    <s v="INV12545"/>
    <n v="2"/>
    <n v="2025"/>
    <m/>
    <s v="Pierce Pump Company, Pierce Pump Company"/>
    <s v="USD"/>
    <n v="2360.8667091022521"/>
    <n v="1641.63"/>
    <x v="0"/>
    <n v="0"/>
    <n v="1641.63"/>
    <m/>
    <m/>
    <m/>
    <m/>
    <s v=""/>
    <s v=""/>
    <s v=""/>
    <s v=""/>
    <s v=""/>
    <s v=""/>
    <s v=""/>
    <s v=""/>
    <s v="Roller Bearing (Inboard), 8x6-18 &amp; 10x8-21 SRL-C"/>
    <n v="0"/>
    <m/>
    <m/>
    <m/>
    <m/>
    <s v=""/>
    <s v=""/>
    <s v=""/>
    <s v=""/>
    <x v="0"/>
    <x v="0"/>
    <n v="24.62445"/>
    <s v="Yes"/>
  </r>
  <r>
    <n v="1"/>
    <s v="SO16437"/>
    <m/>
    <x v="0"/>
    <m/>
    <m/>
    <s v="Ian Trottier"/>
    <n v="1"/>
    <n v="2025"/>
    <s v="INV12649"/>
    <n v="2"/>
    <n v="2025"/>
    <m/>
    <s v="Maham LLC"/>
    <s v="USD"/>
    <n v="29586.190352651185"/>
    <n v="20856"/>
    <x v="0"/>
    <n v="683"/>
    <n v="20173"/>
    <m/>
    <m/>
    <m/>
    <m/>
    <s v=""/>
    <s v=""/>
    <s v=""/>
    <s v=""/>
    <s v=""/>
    <s v=""/>
    <s v=""/>
    <s v=""/>
    <s v="Pump, 8x10-18, Dynapro DC, Frame 3J, High Chrome"/>
    <n v="0"/>
    <m/>
    <m/>
    <m/>
    <m/>
    <s v=""/>
    <s v=""/>
    <s v=""/>
    <s v=""/>
    <x v="0"/>
    <x v="0"/>
    <n v="302.59499999999997"/>
    <s v="Yes"/>
  </r>
  <r>
    <n v="2"/>
    <s v="SO16438"/>
    <m/>
    <x v="0"/>
    <m/>
    <m/>
    <s v="Ian Trottier"/>
    <n v="1"/>
    <n v="2025"/>
    <s v="INV12550"/>
    <n v="3"/>
    <n v="2025"/>
    <m/>
    <s v="Canadian Bearings Ltd."/>
    <s v="CAD"/>
    <n v="621.28"/>
    <n v="430.74593569721873"/>
    <x v="0"/>
    <n v="0"/>
    <n v="430.74593569721873"/>
    <m/>
    <m/>
    <m/>
    <m/>
    <s v=""/>
    <s v=""/>
    <s v=""/>
    <s v=""/>
    <s v=""/>
    <s v=""/>
    <s v=""/>
    <s v=""/>
    <s v="Shim Kit, Allis Chalmers CSO, Frame F4D1/F4B5"/>
    <n v="0"/>
    <m/>
    <m/>
    <m/>
    <m/>
    <s v=""/>
    <s v=""/>
    <s v=""/>
    <s v=""/>
    <x v="0"/>
    <x v="0"/>
    <n v="6.4611890354582808"/>
    <s v="Yes"/>
  </r>
  <r>
    <n v="2"/>
    <s v="SO16438"/>
    <m/>
    <x v="0"/>
    <m/>
    <m/>
    <n v="0"/>
    <n v="1"/>
    <n v="2025"/>
    <s v="INV12677"/>
    <n v="4"/>
    <n v="2025"/>
    <m/>
    <s v="Canadian Bearings Ltd."/>
    <s v="CAD"/>
    <n v="0"/>
    <n v="0"/>
    <x v="1"/>
    <n v="0"/>
    <n v="0"/>
    <m/>
    <m/>
    <m/>
    <m/>
    <s v=""/>
    <s v=""/>
    <s v=""/>
    <s v=""/>
    <s v=""/>
    <s v=""/>
    <s v=""/>
    <s v=""/>
    <s v="Shim Kit, Allis Chalmers CSO, Frame F4D1/F4B5"/>
    <n v="0"/>
    <m/>
    <m/>
    <m/>
    <m/>
    <s v=""/>
    <s v=""/>
    <s v=""/>
    <s v=""/>
    <x v="0"/>
    <x v="0"/>
    <n v="0"/>
    <s v=""/>
  </r>
  <r>
    <n v="1"/>
    <s v="SO16440"/>
    <m/>
    <x v="0"/>
    <m/>
    <m/>
    <s v="Ian Trottier"/>
    <n v="1"/>
    <n v="2025"/>
    <s v="INV12653"/>
    <n v="3"/>
    <n v="2025"/>
    <m/>
    <s v="Process and Steam Specialties, Process and Steam Specialties"/>
    <s v="CAD"/>
    <n v="386.38"/>
    <n v="267.88503514468738"/>
    <x v="0"/>
    <n v="0"/>
    <n v="267.88503514468738"/>
    <m/>
    <m/>
    <m/>
    <m/>
    <s v=""/>
    <s v=""/>
    <s v=""/>
    <s v=""/>
    <s v=""/>
    <s v=""/>
    <s v=""/>
    <s v=""/>
    <s v="Replacement Stud, Sala STHM-33WFR"/>
    <n v="0"/>
    <m/>
    <m/>
    <m/>
    <m/>
    <s v=""/>
    <s v=""/>
    <s v=""/>
    <s v=""/>
    <x v="0"/>
    <x v="0"/>
    <n v="4.0182755271703101"/>
    <s v="Yes"/>
  </r>
  <r>
    <n v="1"/>
    <s v="SO16446"/>
    <m/>
    <x v="0"/>
    <m/>
    <m/>
    <s v="Ian Trottier"/>
    <n v="1"/>
    <n v="2025"/>
    <s v="INV12610"/>
    <n v="3"/>
    <n v="2025"/>
    <m/>
    <s v="Wajax Limited - Timmins"/>
    <s v="CAD"/>
    <n v="1498.47"/>
    <n v="1038.919428058543"/>
    <x v="0"/>
    <n v="0"/>
    <n v="1038.919428058543"/>
    <m/>
    <m/>
    <m/>
    <m/>
    <s v=""/>
    <s v=""/>
    <s v=""/>
    <s v=""/>
    <s v=""/>
    <s v=""/>
    <s v=""/>
    <s v=""/>
    <s v="Gland Assembly, 10x8-21 SRL-C (Old Style), 1045 Steel"/>
    <n v="0"/>
    <m/>
    <m/>
    <m/>
    <m/>
    <s v=""/>
    <s v=""/>
    <s v=""/>
    <s v=""/>
    <x v="0"/>
    <x v="0"/>
    <n v="15.583791420878145"/>
    <s v="Yes"/>
  </r>
  <r>
    <n v="1"/>
    <s v="SO16448"/>
    <m/>
    <x v="0"/>
    <m/>
    <m/>
    <s v="Ian Trottier"/>
    <n v="1"/>
    <n v="2025"/>
    <s v="INV12683"/>
    <n v="4"/>
    <n v="2025"/>
    <m/>
    <s v="Les Pompes du St-Laurent Inc."/>
    <s v="CAD"/>
    <n v="310.95"/>
    <n v="215.58789709156935"/>
    <x v="0"/>
    <n v="0"/>
    <n v="215.58789709156935"/>
    <m/>
    <m/>
    <m/>
    <m/>
    <s v=""/>
    <s v=""/>
    <s v=""/>
    <s v=""/>
    <s v=""/>
    <s v=""/>
    <s v=""/>
    <s v=""/>
    <s v="Lantern Ring, Worthington FRBH, Frame 1, Teflon"/>
    <n v="0"/>
    <m/>
    <m/>
    <m/>
    <m/>
    <s v=""/>
    <s v=""/>
    <s v=""/>
    <s v=""/>
    <x v="0"/>
    <x v="0"/>
    <n v="3.2338184563735402"/>
    <s v="Yes"/>
  </r>
  <r>
    <n v="1"/>
    <s v="SO16449"/>
    <m/>
    <x v="0"/>
    <m/>
    <m/>
    <s v="Taylor Cook"/>
    <n v="1"/>
    <n v="2025"/>
    <s v="INV12572"/>
    <n v="2"/>
    <n v="2025"/>
    <m/>
    <s v="Motion Industries Inc. (Canada) - Prince George"/>
    <s v="CAD"/>
    <n v="12059"/>
    <n v="8397.3669466734264"/>
    <x v="0"/>
    <n v="0"/>
    <n v="8397.3669466734264"/>
    <m/>
    <m/>
    <m/>
    <m/>
    <s v=""/>
    <s v=""/>
    <s v=""/>
    <s v=""/>
    <s v=""/>
    <s v=""/>
    <s v=""/>
    <s v=""/>
    <s v="Cover Plate, 6/4 D or E-AH, Ductile Iron"/>
    <n v="0"/>
    <m/>
    <m/>
    <m/>
    <m/>
    <s v=""/>
    <s v=""/>
    <s v=""/>
    <s v=""/>
    <x v="0"/>
    <x v="0"/>
    <n v="125.9605042001014"/>
    <s v="Yes"/>
  </r>
  <r>
    <n v="1"/>
    <s v="SO16451"/>
    <m/>
    <x v="0"/>
    <m/>
    <m/>
    <s v="Ian Trottier"/>
    <n v="1"/>
    <n v="2025"/>
    <s v="INV12556"/>
    <n v="3"/>
    <n v="2025"/>
    <m/>
    <s v="PT Vale Indonesia Tbk."/>
    <s v="USD"/>
    <n v="2835.0027305576659"/>
    <n v="1957.91"/>
    <x v="0"/>
    <n v="0"/>
    <n v="1957.91"/>
    <m/>
    <m/>
    <m/>
    <m/>
    <s v=""/>
    <s v=""/>
    <s v=""/>
    <s v=""/>
    <s v=""/>
    <s v=""/>
    <s v=""/>
    <s v=""/>
    <s v="Suction Side Plate, 10x8-21 SRL-C, Neoprene"/>
    <n v="0"/>
    <m/>
    <m/>
    <m/>
    <m/>
    <s v=""/>
    <s v=""/>
    <s v=""/>
    <s v=""/>
    <x v="0"/>
    <x v="0"/>
    <n v="29.368649999999999"/>
    <s v="Yes"/>
  </r>
  <r>
    <n v="1"/>
    <s v="SO16452"/>
    <m/>
    <x v="0"/>
    <m/>
    <m/>
    <s v="Ian Trottier"/>
    <n v="1"/>
    <n v="2025"/>
    <s v="INV12557"/>
    <n v="3"/>
    <n v="2025"/>
    <m/>
    <s v="PT Vale Indonesia Tbk."/>
    <s v="USD"/>
    <n v="3716.8478424189002"/>
    <n v="2566.9299999999998"/>
    <x v="0"/>
    <n v="0"/>
    <n v="2566.9299999999998"/>
    <m/>
    <m/>
    <m/>
    <m/>
    <s v=""/>
    <s v=""/>
    <s v=""/>
    <s v=""/>
    <s v=""/>
    <s v=""/>
    <s v=""/>
    <s v=""/>
    <s v="Impeller (Closed), 10x8-21 SRL-C, Neoprene"/>
    <n v="0"/>
    <m/>
    <m/>
    <m/>
    <m/>
    <s v=""/>
    <s v=""/>
    <s v=""/>
    <s v=""/>
    <x v="0"/>
    <x v="0"/>
    <n v="38.503949999999996"/>
    <s v="Yes"/>
  </r>
  <r>
    <n v="1"/>
    <s v="SO16453"/>
    <m/>
    <x v="0"/>
    <m/>
    <m/>
    <s v="Ian Trottier"/>
    <n v="1"/>
    <n v="2025"/>
    <s v="INV12558"/>
    <n v="3"/>
    <n v="2025"/>
    <m/>
    <s v="PT Vale Indonesia Tbk."/>
    <s v="USD"/>
    <n v="2728.9820759149948"/>
    <n v="1884.69"/>
    <x v="0"/>
    <n v="0"/>
    <n v="1884.69"/>
    <m/>
    <m/>
    <m/>
    <m/>
    <s v=""/>
    <s v=""/>
    <s v=""/>
    <s v=""/>
    <s v=""/>
    <s v=""/>
    <s v=""/>
    <s v=""/>
    <s v="Suction Side Liner, 10x8-21 SRL-C, Neoprene"/>
    <n v="0"/>
    <m/>
    <m/>
    <m/>
    <m/>
    <s v=""/>
    <s v=""/>
    <s v=""/>
    <s v=""/>
    <x v="0"/>
    <x v="0"/>
    <n v="28.270350000000001"/>
    <s v="Yes"/>
  </r>
  <r>
    <n v="1"/>
    <s v="SO16455"/>
    <m/>
    <x v="0"/>
    <s v="Ian T"/>
    <m/>
    <s v="Ian Trottier"/>
    <n v="1"/>
    <n v="2025"/>
    <s v="INV13057"/>
    <n v="8"/>
    <n v="2025"/>
    <n v="2503"/>
    <s v="Quality Concrete Inc."/>
    <s v="CAD"/>
    <n v="24488"/>
    <n v="17011.277540202416"/>
    <x v="0"/>
    <n v="0"/>
    <n v="17011.277540202416"/>
    <m/>
    <m/>
    <s v="New Opportunity"/>
    <m/>
    <s v=""/>
    <s v=""/>
    <n v="0.02"/>
    <s v=""/>
    <s v=""/>
    <s v=""/>
    <n v="340.22555080404834"/>
    <s v=""/>
    <s v="Pump, 8/6 E-DH, W-Series, Natural Rubber"/>
    <n v="340.22555080404834"/>
    <m/>
    <m/>
    <m/>
    <m/>
    <s v=""/>
    <s v=""/>
    <n v="340.22555080404834"/>
    <s v=""/>
    <x v="1"/>
    <x v="1"/>
    <n v="255.16916310303623"/>
    <s v="Yes"/>
  </r>
  <r>
    <n v="1"/>
    <s v="SO16457"/>
    <m/>
    <x v="0"/>
    <m/>
    <m/>
    <s v="Ian Trottier"/>
    <n v="1"/>
    <n v="2025"/>
    <s v="INV12559"/>
    <n v="2"/>
    <n v="2025"/>
    <m/>
    <s v="Wajax Limited - Pointe-aux-Trembles, Wajax Limited"/>
    <s v="CAD"/>
    <n v="232.19"/>
    <n v="161.2973101951813"/>
    <x v="0"/>
    <n v="0"/>
    <n v="161.2973101951813"/>
    <m/>
    <m/>
    <m/>
    <m/>
    <s v=""/>
    <s v=""/>
    <s v=""/>
    <s v=""/>
    <s v=""/>
    <s v=""/>
    <s v=""/>
    <s v=""/>
    <s v="Bearing Isolator (Outboard), 3196 MTX/MTi, 303SS Rotor / Bronze Stator w/Viton"/>
    <n v="0"/>
    <m/>
    <m/>
    <m/>
    <m/>
    <s v=""/>
    <s v=""/>
    <s v=""/>
    <s v=""/>
    <x v="0"/>
    <x v="0"/>
    <n v="2.4194596529277193"/>
    <s v="Yes"/>
  </r>
  <r>
    <n v="1"/>
    <s v="SO16462"/>
    <m/>
    <x v="0"/>
    <m/>
    <m/>
    <s v="Ian Trottier"/>
    <n v="1"/>
    <n v="2025"/>
    <s v="INV12684"/>
    <n v="4"/>
    <n v="2025"/>
    <m/>
    <s v="Les Pompes du St-Laurent Inc."/>
    <s v="CAD"/>
    <n v="1927.29"/>
    <n v="1343.1653918431841"/>
    <x v="0"/>
    <n v="0"/>
    <n v="1343.1653918431841"/>
    <m/>
    <m/>
    <m/>
    <m/>
    <s v=""/>
    <s v=""/>
    <s v=""/>
    <s v=""/>
    <s v=""/>
    <s v=""/>
    <s v=""/>
    <s v=""/>
    <s v="Casing, 1.5x3-8, 3196 STX, CD4MCu"/>
    <n v="0"/>
    <m/>
    <m/>
    <m/>
    <m/>
    <s v=""/>
    <s v=""/>
    <s v=""/>
    <s v=""/>
    <x v="0"/>
    <x v="0"/>
    <n v="20.147480877647762"/>
    <s v="Yes"/>
  </r>
  <r>
    <n v="1"/>
    <s v="SO16464"/>
    <m/>
    <x v="0"/>
    <m/>
    <m/>
    <s v="Ian Trottier"/>
    <n v="1"/>
    <n v="2025"/>
    <s v="INV12553"/>
    <n v="3"/>
    <n v="2025"/>
    <m/>
    <s v="Hyperflo"/>
    <s v="CAD"/>
    <n v="1191.33"/>
    <n v="831.24469174304431"/>
    <x v="0"/>
    <n v="0"/>
    <n v="831.24469174304431"/>
    <m/>
    <m/>
    <m/>
    <m/>
    <s v=""/>
    <s v=""/>
    <s v=""/>
    <s v=""/>
    <s v=""/>
    <s v=""/>
    <s v=""/>
    <s v=""/>
    <s v="Deflector (Water Slinger), 5x5/5x4/6x6 SRL &amp; SRL-C, Neoprene/Steel"/>
    <n v="0"/>
    <m/>
    <m/>
    <m/>
    <m/>
    <s v=""/>
    <s v=""/>
    <s v=""/>
    <s v=""/>
    <x v="0"/>
    <x v="0"/>
    <n v="12.468670376145663"/>
    <s v="Yes"/>
  </r>
  <r>
    <n v="1"/>
    <s v="SO16466"/>
    <m/>
    <x v="0"/>
    <m/>
    <m/>
    <s v="Taylor Cook"/>
    <n v="1"/>
    <n v="2025"/>
    <s v="INV12561"/>
    <n v="1"/>
    <n v="2025"/>
    <m/>
    <s v="Allen Bearings &amp; Technologies Ltd."/>
    <s v="CAD"/>
    <n v="2272.41"/>
    <n v="1578.5934823232349"/>
    <x v="0"/>
    <n v="0"/>
    <n v="1578.5934823232349"/>
    <m/>
    <m/>
    <m/>
    <m/>
    <s v=""/>
    <s v=""/>
    <s v=""/>
    <s v=""/>
    <s v=""/>
    <s v=""/>
    <s v=""/>
    <s v=""/>
    <s v="Impeller (Open), 3x3-10 SRL, Natural Rubber"/>
    <n v="0"/>
    <m/>
    <m/>
    <m/>
    <m/>
    <s v=""/>
    <s v=""/>
    <s v=""/>
    <s v=""/>
    <x v="0"/>
    <x v="0"/>
    <n v="23.678902234848522"/>
    <s v="Yes"/>
  </r>
  <r>
    <n v="3"/>
    <s v="SO16467"/>
    <m/>
    <x v="0"/>
    <m/>
    <m/>
    <s v="Taylor Cook"/>
    <n v="1"/>
    <n v="2025"/>
    <s v="INV12954"/>
    <n v="5"/>
    <n v="2025"/>
    <m/>
    <s v="Wild Rows Pump &amp; Compression"/>
    <s v="CAD"/>
    <n v="1026.9000000000001"/>
    <n v="716.51446194667506"/>
    <x v="0"/>
    <n v="0"/>
    <n v="716.51446194667506"/>
    <m/>
    <m/>
    <m/>
    <m/>
    <s v=""/>
    <s v=""/>
    <s v=""/>
    <s v=""/>
    <s v=""/>
    <s v=""/>
    <s v=""/>
    <s v=""/>
    <s v="Frame Plate Liner, 3/2 C-AH, Urethane"/>
    <n v="0"/>
    <m/>
    <m/>
    <m/>
    <m/>
    <s v=""/>
    <s v=""/>
    <s v=""/>
    <s v=""/>
    <x v="0"/>
    <x v="0"/>
    <n v="10.747716929200125"/>
    <s v="Yes"/>
  </r>
  <r>
    <n v="3"/>
    <s v="SO16467"/>
    <m/>
    <x v="0"/>
    <m/>
    <m/>
    <n v="0"/>
    <n v="1"/>
    <n v="2025"/>
    <s v="INV12582"/>
    <n v="1"/>
    <n v="2025"/>
    <m/>
    <s v="Wild Rows Pump &amp; Compression"/>
    <s v="CAD"/>
    <n v="0"/>
    <n v="0"/>
    <x v="1"/>
    <n v="0"/>
    <n v="0"/>
    <m/>
    <m/>
    <m/>
    <m/>
    <s v=""/>
    <s v=""/>
    <s v=""/>
    <s v=""/>
    <s v=""/>
    <s v=""/>
    <s v=""/>
    <s v=""/>
    <s v="Frame Plate Liner, 3/2 C-AH, Urethane"/>
    <n v="0"/>
    <m/>
    <m/>
    <m/>
    <m/>
    <s v=""/>
    <s v=""/>
    <s v=""/>
    <s v=""/>
    <x v="0"/>
    <x v="0"/>
    <n v="0"/>
    <s v=""/>
  </r>
  <r>
    <n v="3"/>
    <s v="SO16467"/>
    <m/>
    <x v="0"/>
    <m/>
    <m/>
    <n v="0"/>
    <n v="1"/>
    <n v="2025"/>
    <s v="INV12585"/>
    <n v="1"/>
    <n v="2025"/>
    <m/>
    <s v="Wild Rows Pump &amp; Compression"/>
    <s v="CAD"/>
    <n v="0"/>
    <n v="0"/>
    <x v="1"/>
    <n v="0"/>
    <n v="0"/>
    <m/>
    <m/>
    <m/>
    <m/>
    <s v=""/>
    <s v=""/>
    <s v=""/>
    <s v=""/>
    <s v=""/>
    <s v=""/>
    <s v=""/>
    <s v=""/>
    <s v="Frame Plate Liner, 3/2 C-AH, Urethane"/>
    <n v="0"/>
    <m/>
    <m/>
    <m/>
    <m/>
    <s v=""/>
    <s v=""/>
    <s v=""/>
    <s v=""/>
    <x v="0"/>
    <x v="0"/>
    <n v="0"/>
    <s v=""/>
  </r>
  <r>
    <n v="2"/>
    <s v="SO16470"/>
    <m/>
    <x v="0"/>
    <m/>
    <m/>
    <s v="Ian Trottier"/>
    <n v="1"/>
    <n v="2025"/>
    <s v="INV12549"/>
    <n v="3"/>
    <n v="2025"/>
    <m/>
    <s v="Resolute Forest Products - Saint-Felicien"/>
    <s v="CAD"/>
    <n v="1969.52"/>
    <n v="1374.2229653259467"/>
    <x v="0"/>
    <n v="0"/>
    <n v="1374.2229653259467"/>
    <m/>
    <m/>
    <m/>
    <m/>
    <s v=""/>
    <s v=""/>
    <s v=""/>
    <s v=""/>
    <s v=""/>
    <s v=""/>
    <s v=""/>
    <s v=""/>
    <s v="Deflector (Inboard), Allis-Chalmers PWO, Group 3"/>
    <n v="0"/>
    <m/>
    <m/>
    <m/>
    <m/>
    <s v=""/>
    <s v=""/>
    <s v=""/>
    <s v=""/>
    <x v="0"/>
    <x v="0"/>
    <n v="20.6133444798892"/>
    <s v="Yes"/>
  </r>
  <r>
    <n v="2"/>
    <s v="SO16470"/>
    <m/>
    <x v="0"/>
    <m/>
    <m/>
    <n v="0"/>
    <n v="1"/>
    <n v="2025"/>
    <s v="INV12697"/>
    <n v="5"/>
    <n v="2025"/>
    <m/>
    <s v="Resolute Forest Products - Saint-Felicien"/>
    <s v="CAD"/>
    <n v="0"/>
    <n v="0"/>
    <x v="1"/>
    <n v="0"/>
    <n v="0"/>
    <m/>
    <m/>
    <m/>
    <m/>
    <s v=""/>
    <s v=""/>
    <s v=""/>
    <s v=""/>
    <s v=""/>
    <s v=""/>
    <s v=""/>
    <s v=""/>
    <s v="Deflector (Inboard), Allis-Chalmers PWO, Group 3"/>
    <n v="0"/>
    <m/>
    <m/>
    <m/>
    <m/>
    <s v=""/>
    <s v=""/>
    <s v=""/>
    <s v=""/>
    <x v="0"/>
    <x v="0"/>
    <n v="0"/>
    <s v=""/>
  </r>
  <r>
    <n v="1"/>
    <s v="SO16471"/>
    <m/>
    <x v="0"/>
    <m/>
    <m/>
    <s v="Taylor Cook"/>
    <n v="1"/>
    <n v="2025"/>
    <s v="INV12593"/>
    <n v="2"/>
    <n v="2025"/>
    <m/>
    <s v="Sling-Choker Manufacturing - Timmins"/>
    <s v="CAD"/>
    <n v="124.57"/>
    <n v="86.918109382313077"/>
    <x v="0"/>
    <n v="0"/>
    <n v="86.918109382313077"/>
    <m/>
    <m/>
    <m/>
    <m/>
    <s v=""/>
    <s v=""/>
    <s v=""/>
    <s v=""/>
    <s v=""/>
    <s v=""/>
    <s v=""/>
    <s v=""/>
    <s v="Deflector (Water Slinger), 3x3-10 SRL/SRL-C, Neoprene/Steel"/>
    <n v="0"/>
    <m/>
    <m/>
    <m/>
    <m/>
    <s v=""/>
    <s v=""/>
    <s v=""/>
    <s v=""/>
    <x v="0"/>
    <x v="0"/>
    <n v="1.3037716407346962"/>
    <s v="Yes"/>
  </r>
  <r>
    <n v="1"/>
    <s v="SO16474"/>
    <m/>
    <x v="0"/>
    <m/>
    <m/>
    <s v="Ian Trottier"/>
    <n v="1"/>
    <n v="2025"/>
    <s v="INV12562"/>
    <n v="2"/>
    <n v="2025"/>
    <m/>
    <s v="Motion Industries Inc. (Canada) - Winnipeg, Motion Industries Inc. (Canada) - Winnipeg"/>
    <s v="CAD"/>
    <n v="637.91"/>
    <n v="443.14211269481069"/>
    <x v="0"/>
    <n v="0"/>
    <n v="443.14211269481069"/>
    <m/>
    <m/>
    <m/>
    <m/>
    <s v=""/>
    <s v=""/>
    <s v=""/>
    <s v=""/>
    <s v=""/>
    <s v=""/>
    <s v=""/>
    <s v=""/>
    <s v="Bearing Housing, Durco Mark 3 Group 2, Cast Iron"/>
    <n v="0"/>
    <m/>
    <m/>
    <m/>
    <m/>
    <s v=""/>
    <s v=""/>
    <s v=""/>
    <s v=""/>
    <x v="0"/>
    <x v="0"/>
    <n v="6.6471316904221602"/>
    <s v="Yes"/>
  </r>
  <r>
    <n v="1"/>
    <s v="SO16475"/>
    <m/>
    <x v="0"/>
    <m/>
    <m/>
    <s v="Ian Trottier"/>
    <n v="1"/>
    <n v="2025"/>
    <s v="INV12776"/>
    <n v="4"/>
    <n v="2025"/>
    <m/>
    <s v="Motion Industries Inc. (Canada) - Winnipeg"/>
    <s v="CAD"/>
    <n v="5107.37"/>
    <n v="3547.9781350254661"/>
    <x v="0"/>
    <n v="0"/>
    <n v="3547.9781350254661"/>
    <m/>
    <m/>
    <m/>
    <m/>
    <s v=""/>
    <s v=""/>
    <s v=""/>
    <s v=""/>
    <s v=""/>
    <s v=""/>
    <s v=""/>
    <s v=""/>
    <s v="Stuffing Box Head, Worthington FRB, FRBH 14(15)&quot; Frame 2, CD4MCu"/>
    <n v="0"/>
    <m/>
    <m/>
    <m/>
    <m/>
    <s v=""/>
    <s v=""/>
    <s v=""/>
    <s v=""/>
    <x v="0"/>
    <x v="0"/>
    <n v="53.219672025381989"/>
    <s v="Yes"/>
  </r>
  <r>
    <n v="2"/>
    <s v="SO16476"/>
    <m/>
    <x v="0"/>
    <m/>
    <m/>
    <s v="Taylor Cook"/>
    <n v="1"/>
    <n v="2025"/>
    <s v="INV12614"/>
    <n v="3"/>
    <n v="2025"/>
    <m/>
    <s v="Canadian Bearings Ltd."/>
    <s v="CAD"/>
    <n v="2121.09"/>
    <n v="1473.666355725936"/>
    <x v="0"/>
    <n v="0"/>
    <n v="1473.666355725936"/>
    <m/>
    <m/>
    <m/>
    <m/>
    <s v=""/>
    <s v=""/>
    <s v=""/>
    <s v=""/>
    <s v=""/>
    <s v=""/>
    <s v=""/>
    <s v=""/>
    <s v="Shaft Sleeve, PWO Frame 3&amp;4, 316SS"/>
    <n v="0"/>
    <m/>
    <m/>
    <m/>
    <m/>
    <s v=""/>
    <s v=""/>
    <s v=""/>
    <s v=""/>
    <x v="0"/>
    <x v="0"/>
    <n v="22.10499533588904"/>
    <s v="Yes"/>
  </r>
  <r>
    <n v="2"/>
    <s v="SO16476"/>
    <m/>
    <x v="0"/>
    <m/>
    <m/>
    <n v="0"/>
    <n v="1"/>
    <n v="2025"/>
    <s v="INV12578"/>
    <n v="3"/>
    <n v="2025"/>
    <m/>
    <s v="Canadian Bearings Ltd."/>
    <s v="CAD"/>
    <n v="0"/>
    <n v="0"/>
    <x v="1"/>
    <n v="0"/>
    <n v="0"/>
    <m/>
    <m/>
    <m/>
    <m/>
    <s v=""/>
    <s v=""/>
    <s v=""/>
    <s v=""/>
    <s v=""/>
    <s v=""/>
    <s v=""/>
    <s v=""/>
    <s v="Shaft Sleeve, PWO Frame 3&amp;4, 316SS"/>
    <n v="0"/>
    <m/>
    <m/>
    <m/>
    <m/>
    <s v=""/>
    <s v=""/>
    <s v=""/>
    <s v=""/>
    <x v="0"/>
    <x v="0"/>
    <n v="0"/>
    <s v=""/>
  </r>
  <r>
    <n v="1"/>
    <s v="SO16477"/>
    <m/>
    <x v="0"/>
    <m/>
    <m/>
    <s v="Taylor Cook"/>
    <n v="1"/>
    <n v="2025"/>
    <s v="INV12589"/>
    <n v="3"/>
    <n v="2025"/>
    <m/>
    <s v="Canadian Industrial Pumps Ltd"/>
    <s v="CAD"/>
    <n v="2779.84"/>
    <n v="1931.093995318372"/>
    <x v="0"/>
    <n v="0"/>
    <n v="1931.093995318372"/>
    <m/>
    <m/>
    <m/>
    <m/>
    <s v=""/>
    <s v=""/>
    <s v=""/>
    <s v=""/>
    <s v=""/>
    <s v=""/>
    <s v=""/>
    <s v=""/>
    <s v="Shaft Sleeve, 8x6-18 &amp; 10x8-21 SRL-C, 420SS Heat Treated, Hardened"/>
    <n v="0"/>
    <m/>
    <m/>
    <m/>
    <m/>
    <s v=""/>
    <s v=""/>
    <s v=""/>
    <s v=""/>
    <x v="0"/>
    <x v="0"/>
    <n v="28.96640992977558"/>
    <s v="Yes"/>
  </r>
  <r>
    <n v="1"/>
    <s v="SO16479"/>
    <m/>
    <x v="1"/>
    <m/>
    <m/>
    <s v="Marlen Martinez"/>
    <n v="1"/>
    <n v="2025"/>
    <s v="INV12599"/>
    <n v="5"/>
    <n v="2025"/>
    <m/>
    <s v="Covia Corp - Junction City"/>
    <s v="USD"/>
    <n v="6792.4946429303927"/>
    <n v="4730"/>
    <x v="0"/>
    <n v="775"/>
    <n v="3955"/>
    <m/>
    <m/>
    <m/>
    <m/>
    <s v=""/>
    <s v=""/>
    <s v=""/>
    <s v=""/>
    <s v=""/>
    <s v=""/>
    <s v=""/>
    <s v=""/>
    <s v="Impeller, 300 RSL, High Chrome, 5-Vane"/>
    <n v="0"/>
    <m/>
    <m/>
    <m/>
    <m/>
    <s v=""/>
    <s v=""/>
    <s v=""/>
    <s v=""/>
    <x v="2"/>
    <x v="2"/>
    <n v="59.324999999999996"/>
    <s v="Yes"/>
  </r>
  <r>
    <n v="1"/>
    <s v="SO16481"/>
    <m/>
    <x v="0"/>
    <m/>
    <m/>
    <s v="Taylor Cook"/>
    <n v="1"/>
    <n v="2025"/>
    <s v="INV12566"/>
    <n v="3"/>
    <n v="2025"/>
    <m/>
    <s v="Wajax Limited - Val D'Or, Composants Industriels Wajax SC -57"/>
    <s v="CAD"/>
    <n v="228.6"/>
    <n v="159.45128853406686"/>
    <x v="0"/>
    <n v="0"/>
    <n v="159.45128853406686"/>
    <m/>
    <m/>
    <m/>
    <m/>
    <s v=""/>
    <s v=""/>
    <s v=""/>
    <s v=""/>
    <s v=""/>
    <s v=""/>
    <s v=""/>
    <s v=""/>
    <s v="Thrust Bearing Housing, 3196 MTX, Cast Iron"/>
    <n v="0"/>
    <m/>
    <m/>
    <m/>
    <m/>
    <s v=""/>
    <s v=""/>
    <s v=""/>
    <s v=""/>
    <x v="0"/>
    <x v="0"/>
    <n v="2.3917693280110028"/>
    <s v="Yes"/>
  </r>
  <r>
    <n v="1"/>
    <s v="SO16482"/>
    <m/>
    <x v="0"/>
    <m/>
    <m/>
    <s v="Ian Trottier"/>
    <n v="1"/>
    <n v="2025"/>
    <s v="INV12564"/>
    <n v="4"/>
    <n v="2025"/>
    <m/>
    <s v="Cartledge &amp; Associates Inc."/>
    <s v="USD"/>
    <n v="3298.8116424963114"/>
    <n v="2297.15"/>
    <x v="0"/>
    <n v="499"/>
    <n v="1798.15"/>
    <m/>
    <m/>
    <m/>
    <m/>
    <s v=""/>
    <s v=""/>
    <s v=""/>
    <s v=""/>
    <s v=""/>
    <s v=""/>
    <s v=""/>
    <s v=""/>
    <s v="Impeller, 8x6-18 D-SRL-C, Natural Rubber"/>
    <n v="0"/>
    <m/>
    <m/>
    <m/>
    <m/>
    <s v=""/>
    <s v=""/>
    <s v=""/>
    <s v=""/>
    <x v="0"/>
    <x v="0"/>
    <n v="26.972249999999999"/>
    <s v="Yes"/>
  </r>
  <r>
    <n v="1"/>
    <s v="SO16485"/>
    <m/>
    <x v="0"/>
    <m/>
    <m/>
    <s v="Ian Trottier"/>
    <n v="1"/>
    <n v="2025"/>
    <s v="INV12686"/>
    <n v="4"/>
    <n v="2025"/>
    <m/>
    <s v="Les Pompes du St-Laurent Inc."/>
    <s v="CAD"/>
    <n v="1914.28"/>
    <n v="1345.2145965349255"/>
    <x v="0"/>
    <n v="0"/>
    <n v="1345.2145965349255"/>
    <m/>
    <m/>
    <m/>
    <m/>
    <s v=""/>
    <s v=""/>
    <s v=""/>
    <s v=""/>
    <s v=""/>
    <s v=""/>
    <s v=""/>
    <s v=""/>
    <s v="Shaft Assembly, 3180-M, Alloy Steel 4340, w/Key, Locknut &amp; Lockwasher"/>
    <n v="0"/>
    <m/>
    <m/>
    <m/>
    <m/>
    <s v=""/>
    <s v=""/>
    <s v=""/>
    <s v=""/>
    <x v="0"/>
    <x v="0"/>
    <n v="20.178218948023883"/>
    <s v="Yes"/>
  </r>
  <r>
    <n v="1"/>
    <s v="SO16486"/>
    <m/>
    <x v="0"/>
    <m/>
    <m/>
    <s v="Ian Trottier"/>
    <n v="1"/>
    <n v="2025"/>
    <s v="INV12573"/>
    <n v="3"/>
    <n v="2025"/>
    <m/>
    <s v="Sealtrac Inc."/>
    <s v="CAD"/>
    <n v="818.44"/>
    <n v="568.7505281179574"/>
    <x v="0"/>
    <n v="0"/>
    <n v="568.7505281179574"/>
    <m/>
    <m/>
    <m/>
    <m/>
    <s v=""/>
    <s v=""/>
    <s v=""/>
    <s v=""/>
    <s v=""/>
    <s v=""/>
    <s v=""/>
    <s v=""/>
    <s v="Shaft (Solid), Durco Mark 3 Group 1, 316SS"/>
    <n v="0"/>
    <m/>
    <m/>
    <m/>
    <m/>
    <s v=""/>
    <s v=""/>
    <s v=""/>
    <s v=""/>
    <x v="0"/>
    <x v="0"/>
    <n v="8.5312579217693614"/>
    <s v="Yes"/>
  </r>
  <r>
    <n v="1"/>
    <s v="SO16488"/>
    <m/>
    <x v="0"/>
    <m/>
    <m/>
    <s v="Ian Trottier"/>
    <n v="1"/>
    <n v="2025"/>
    <s v="INV12568"/>
    <n v="3"/>
    <n v="2025"/>
    <m/>
    <s v="Wajax Limited - Noranda, Wajax Limited - Noranda"/>
    <s v="CAD"/>
    <n v="1429.78"/>
    <n v="997.28899090217874"/>
    <x v="0"/>
    <n v="0"/>
    <n v="997.28899090217874"/>
    <m/>
    <m/>
    <m/>
    <m/>
    <s v=""/>
    <s v=""/>
    <s v=""/>
    <s v=""/>
    <s v=""/>
    <s v=""/>
    <s v=""/>
    <s v=""/>
    <s v="Suction Side Casing, 2x2-10 SRL, Cast Iron"/>
    <n v="0"/>
    <m/>
    <m/>
    <m/>
    <m/>
    <s v=""/>
    <s v=""/>
    <s v=""/>
    <s v=""/>
    <x v="0"/>
    <x v="0"/>
    <n v="14.95933486353268"/>
    <s v="Yes"/>
  </r>
  <r>
    <n v="1"/>
    <s v="SO16492"/>
    <m/>
    <x v="2"/>
    <m/>
    <m/>
    <s v="Ian Trottier"/>
    <n v="1"/>
    <n v="2025"/>
    <s v="INV13050"/>
    <n v="8"/>
    <n v="2025"/>
    <n v="2503"/>
    <s v="Resolute Forest Products - Saint-Felicien"/>
    <s v="CAD"/>
    <n v="796.11"/>
    <n v="553.23295897070898"/>
    <x v="0"/>
    <n v="0"/>
    <n v="553.23295897070898"/>
    <m/>
    <s v="New Opportunity"/>
    <m/>
    <m/>
    <s v=""/>
    <n v="0.02"/>
    <s v=""/>
    <s v=""/>
    <s v=""/>
    <n v="11.06465917941418"/>
    <s v=""/>
    <s v=""/>
    <s v="Impeller, 1.5x3-8, 3196 STX, Alloy 20, 5-Vane"/>
    <n v="11.06465917941418"/>
    <m/>
    <m/>
    <m/>
    <m/>
    <s v=""/>
    <n v="11.06465917941418"/>
    <s v=""/>
    <s v=""/>
    <x v="1"/>
    <x v="1"/>
    <n v="8.2984943845606338"/>
    <s v="Yes"/>
  </r>
  <r>
    <n v="1"/>
    <s v="SO16494"/>
    <m/>
    <x v="0"/>
    <m/>
    <m/>
    <s v="Ian Trottier"/>
    <n v="1"/>
    <n v="2025"/>
    <s v="INV12567"/>
    <n v="3"/>
    <n v="2025"/>
    <m/>
    <s v="DRN Industriel"/>
    <s v="CAD"/>
    <n v="1194.8699999999999"/>
    <n v="833.43640039676484"/>
    <x v="0"/>
    <n v="0"/>
    <n v="833.43640039676484"/>
    <m/>
    <m/>
    <m/>
    <m/>
    <s v=""/>
    <s v=""/>
    <s v=""/>
    <s v=""/>
    <s v=""/>
    <s v=""/>
    <s v=""/>
    <s v=""/>
    <s v="Gland Side Liner, 3x3-10 SRL-C, Neoprene"/>
    <n v="0"/>
    <m/>
    <m/>
    <m/>
    <m/>
    <s v=""/>
    <s v=""/>
    <s v=""/>
    <s v=""/>
    <x v="0"/>
    <x v="0"/>
    <n v="12.501546005951472"/>
    <s v="Yes"/>
  </r>
  <r>
    <n v="1"/>
    <s v="SO16495"/>
    <m/>
    <x v="0"/>
    <m/>
    <m/>
    <s v="Taylor Cook"/>
    <n v="1"/>
    <n v="2025"/>
    <s v="INV12570"/>
    <n v="2"/>
    <n v="2025"/>
    <m/>
    <s v="FMI Products"/>
    <s v="CAD"/>
    <n v="158.78"/>
    <n v="110.33943704433959"/>
    <x v="0"/>
    <n v="0"/>
    <n v="110.33943704433959"/>
    <m/>
    <m/>
    <m/>
    <m/>
    <s v=""/>
    <s v=""/>
    <s v=""/>
    <s v=""/>
    <s v=""/>
    <s v=""/>
    <s v=""/>
    <s v=""/>
    <s v="Lantern Ring, 3196 MTX, Teflon"/>
    <n v="0"/>
    <m/>
    <m/>
    <m/>
    <m/>
    <s v=""/>
    <s v=""/>
    <s v=""/>
    <s v=""/>
    <x v="0"/>
    <x v="0"/>
    <n v="1.6550915556650938"/>
    <s v="Yes"/>
  </r>
  <r>
    <n v="2"/>
    <s v="SO16496"/>
    <m/>
    <x v="0"/>
    <m/>
    <m/>
    <s v="Ian Trottier"/>
    <n v="1"/>
    <n v="2025"/>
    <s v="INV12596"/>
    <n v="3"/>
    <n v="2025"/>
    <m/>
    <s v="ProPart Pompes du Canada 9425-4380 Quebec Inc"/>
    <s v="CAD"/>
    <n v="9500.83"/>
    <n v="6602.3191438088716"/>
    <x v="0"/>
    <n v="0"/>
    <n v="6602.3191438088716"/>
    <m/>
    <m/>
    <m/>
    <m/>
    <s v=""/>
    <s v=""/>
    <s v=""/>
    <s v=""/>
    <s v=""/>
    <s v=""/>
    <s v=""/>
    <s v=""/>
    <s v="Suction Side Plate, 10x8-21 SRL-C, Natural Rubber"/>
    <n v="0"/>
    <m/>
    <m/>
    <m/>
    <m/>
    <s v=""/>
    <s v=""/>
    <s v=""/>
    <s v=""/>
    <x v="0"/>
    <x v="0"/>
    <n v="99.034787157133067"/>
    <s v="Yes"/>
  </r>
  <r>
    <n v="2"/>
    <s v="SO16496"/>
    <m/>
    <x v="0"/>
    <m/>
    <m/>
    <n v="0"/>
    <n v="1"/>
    <n v="2025"/>
    <s v="INV12620"/>
    <n v="3"/>
    <n v="2025"/>
    <m/>
    <s v="ProPart Pompes du Canada 9425-4380 Quebec Inc"/>
    <s v="CAD"/>
    <n v="0"/>
    <n v="0"/>
    <x v="1"/>
    <n v="0"/>
    <n v="0"/>
    <m/>
    <m/>
    <m/>
    <m/>
    <s v=""/>
    <s v=""/>
    <s v=""/>
    <s v=""/>
    <s v=""/>
    <s v=""/>
    <s v=""/>
    <s v=""/>
    <s v="Suction Side Plate, 10x8-21 SRL-C, Natural Rubber"/>
    <n v="0"/>
    <m/>
    <m/>
    <m/>
    <m/>
    <s v=""/>
    <s v=""/>
    <s v=""/>
    <s v=""/>
    <x v="0"/>
    <x v="0"/>
    <n v="0"/>
    <s v=""/>
  </r>
  <r>
    <n v="1"/>
    <s v="SO16497"/>
    <m/>
    <x v="0"/>
    <m/>
    <m/>
    <s v="Ian Trottier"/>
    <n v="1"/>
    <n v="2025"/>
    <s v="INV12856"/>
    <n v="6"/>
    <n v="2025"/>
    <m/>
    <s v="Tech-Flow"/>
    <s v="USD"/>
    <n v="3672.3350712508191"/>
    <n v="2551.98"/>
    <x v="0"/>
    <n v="0"/>
    <n v="2551.98"/>
    <m/>
    <m/>
    <m/>
    <m/>
    <s v=""/>
    <s v=""/>
    <s v=""/>
    <s v=""/>
    <s v=""/>
    <s v=""/>
    <s v=""/>
    <s v=""/>
    <s v="Casing, 44 WFR, Sala ST, Rubber Lined"/>
    <n v="0"/>
    <m/>
    <m/>
    <m/>
    <m/>
    <s v=""/>
    <s v=""/>
    <s v=""/>
    <s v=""/>
    <x v="0"/>
    <x v="0"/>
    <n v="38.279699999999998"/>
    <s v="Yes"/>
  </r>
  <r>
    <n v="1"/>
    <s v="SO16498"/>
    <m/>
    <x v="0"/>
    <m/>
    <m/>
    <s v="Ian Trottier"/>
    <n v="1"/>
    <n v="2025"/>
    <s v="INV12594"/>
    <n v="2"/>
    <n v="2025"/>
    <m/>
    <s v="Sling-Choker Manufacturing - Timmins"/>
    <s v="CAD"/>
    <n v="5089.3900000000003"/>
    <n v="3535.9474676548484"/>
    <x v="0"/>
    <n v="0"/>
    <n v="3535.9474676548484"/>
    <m/>
    <m/>
    <m/>
    <m/>
    <s v=""/>
    <s v=""/>
    <s v=""/>
    <s v=""/>
    <s v=""/>
    <s v=""/>
    <s v=""/>
    <s v=""/>
    <s v="Impeller (Closed), 10x8-21 SRL-C, Natural Rubber"/>
    <n v="0"/>
    <m/>
    <m/>
    <m/>
    <m/>
    <s v=""/>
    <s v=""/>
    <s v=""/>
    <s v=""/>
    <x v="0"/>
    <x v="0"/>
    <n v="53.039212014822724"/>
    <s v="Yes"/>
  </r>
  <r>
    <n v="1"/>
    <s v="SO16499"/>
    <m/>
    <x v="0"/>
    <m/>
    <m/>
    <s v="Ian Trottier"/>
    <n v="1"/>
    <n v="2025"/>
    <s v="INV12580"/>
    <n v="2"/>
    <n v="2025"/>
    <m/>
    <s v="Wesdome Gold Mines Ltd - Eagle River Mine"/>
    <s v="CAD"/>
    <n v="3662.42"/>
    <n v="2544.2030010122567"/>
    <x v="0"/>
    <n v="0"/>
    <n v="2544.2030010122567"/>
    <m/>
    <m/>
    <m/>
    <m/>
    <s v=""/>
    <s v=""/>
    <s v=""/>
    <s v=""/>
    <s v=""/>
    <s v=""/>
    <s v=""/>
    <s v=""/>
    <s v="Gland Assembly, 8x6-18 &amp; 10x8-21 SRL-C, 316SS"/>
    <n v="0"/>
    <m/>
    <m/>
    <m/>
    <m/>
    <s v=""/>
    <s v=""/>
    <s v=""/>
    <s v=""/>
    <x v="0"/>
    <x v="0"/>
    <n v="38.163045015183847"/>
    <s v="Yes"/>
  </r>
  <r>
    <n v="2"/>
    <s v="SO16501"/>
    <m/>
    <x v="0"/>
    <m/>
    <m/>
    <s v="Ian Trottier"/>
    <n v="1"/>
    <n v="2025"/>
    <s v="RINV/2025/00001 (Reversal of: INV12581)"/>
    <s v=""/>
    <s v=""/>
    <m/>
    <s v="Grant Aggregate"/>
    <s v="CAD"/>
    <n v="5908.82"/>
    <n v="4104.7279057129554"/>
    <x v="1"/>
    <n v="0"/>
    <n v="0"/>
    <m/>
    <m/>
    <m/>
    <m/>
    <s v=""/>
    <s v=""/>
    <s v=""/>
    <s v=""/>
    <s v=""/>
    <s v=""/>
    <s v=""/>
    <s v=""/>
    <s v="Impeller (Closed), 8x6-18 SRL-C, Natural Rubber"/>
    <n v="0"/>
    <m/>
    <m/>
    <m/>
    <m/>
    <s v=""/>
    <s v=""/>
    <s v=""/>
    <s v=""/>
    <x v="0"/>
    <x v="0"/>
    <n v="0"/>
    <s v=""/>
  </r>
  <r>
    <n v="2"/>
    <s v="SO16501"/>
    <m/>
    <x v="0"/>
    <m/>
    <m/>
    <n v="0"/>
    <n v="1"/>
    <n v="2025"/>
    <s v="INV12581"/>
    <n v="3"/>
    <n v="2025"/>
    <m/>
    <s v="Grant Aggregate"/>
    <s v="CAD"/>
    <n v="0"/>
    <n v="0"/>
    <x v="1"/>
    <n v="0"/>
    <n v="0"/>
    <m/>
    <m/>
    <m/>
    <m/>
    <s v=""/>
    <s v=""/>
    <s v=""/>
    <s v=""/>
    <s v=""/>
    <s v=""/>
    <s v=""/>
    <s v=""/>
    <s v="Impeller (Closed), 8x6-18 SRL-C, Natural Rubber"/>
    <n v="0"/>
    <m/>
    <m/>
    <m/>
    <m/>
    <s v=""/>
    <s v=""/>
    <s v=""/>
    <s v=""/>
    <x v="0"/>
    <x v="0"/>
    <n v="0"/>
    <s v=""/>
  </r>
  <r>
    <n v="1"/>
    <s v="SO16503"/>
    <m/>
    <x v="0"/>
    <m/>
    <m/>
    <s v="Taylor Cook"/>
    <n v="1"/>
    <n v="2025"/>
    <s v="INV12576"/>
    <n v="2"/>
    <n v="2025"/>
    <m/>
    <s v="Motion Industries Inc. (Canada) - Winnipeg"/>
    <s v="CAD"/>
    <n v="126.12"/>
    <n v="87.612803143185602"/>
    <x v="0"/>
    <n v="0"/>
    <n v="87.612803143185602"/>
    <m/>
    <m/>
    <m/>
    <m/>
    <s v=""/>
    <s v=""/>
    <s v=""/>
    <s v=""/>
    <s v=""/>
    <s v=""/>
    <s v=""/>
    <s v=""/>
    <s v="Impeller Gasket, Durco Mark 2&amp;3 Group 2, Teflon/Rubber"/>
    <n v="0"/>
    <m/>
    <m/>
    <m/>
    <m/>
    <s v=""/>
    <s v=""/>
    <s v=""/>
    <s v=""/>
    <x v="0"/>
    <x v="0"/>
    <n v="1.3141920471477839"/>
    <s v="Yes"/>
  </r>
  <r>
    <n v="1"/>
    <s v="SO16504"/>
    <m/>
    <x v="0"/>
    <m/>
    <m/>
    <s v="Yannett Yeomans"/>
    <n v="1"/>
    <n v="2025"/>
    <s v="INV12864"/>
    <s v=""/>
    <s v=""/>
    <m/>
    <s v="Dynapro Pumps México S de RL de CV"/>
    <s v="USD"/>
    <n v="661.94646226670147"/>
    <n v="460"/>
    <x v="1"/>
    <n v="0"/>
    <n v="0"/>
    <m/>
    <m/>
    <m/>
    <m/>
    <s v=""/>
    <s v=""/>
    <s v=""/>
    <s v=""/>
    <s v=""/>
    <s v=""/>
    <s v=""/>
    <s v=""/>
    <s v="Lantern Ring"/>
    <n v="0"/>
    <m/>
    <m/>
    <m/>
    <m/>
    <s v=""/>
    <s v=""/>
    <s v=""/>
    <s v=""/>
    <x v="0"/>
    <x v="4"/>
    <n v="0"/>
    <s v="MEX"/>
  </r>
  <r>
    <n v="1"/>
    <s v="SO16505"/>
    <m/>
    <x v="0"/>
    <m/>
    <m/>
    <s v="Taylor Cook"/>
    <n v="1"/>
    <n v="2025"/>
    <s v="INV12577"/>
    <n v="3"/>
    <n v="2025"/>
    <m/>
    <s v="DRN Industriel"/>
    <s v="CAD"/>
    <n v="1194.8699999999999"/>
    <n v="830.15794637014415"/>
    <x v="0"/>
    <n v="0"/>
    <n v="830.15794637014415"/>
    <m/>
    <m/>
    <m/>
    <m/>
    <s v=""/>
    <s v=""/>
    <s v=""/>
    <s v=""/>
    <s v=""/>
    <s v=""/>
    <s v=""/>
    <s v=""/>
    <s v="Suction Side Liner, 3x3-10 SRL-C, Neoprene"/>
    <n v="0"/>
    <m/>
    <m/>
    <m/>
    <m/>
    <s v=""/>
    <s v=""/>
    <s v=""/>
    <s v=""/>
    <x v="0"/>
    <x v="0"/>
    <n v="12.452369195552162"/>
    <s v="Yes"/>
  </r>
  <r>
    <n v="1"/>
    <s v="SO16509"/>
    <m/>
    <x v="1"/>
    <m/>
    <m/>
    <s v="Marlen Martinez"/>
    <n v="1"/>
    <n v="2025"/>
    <s v="INV12600"/>
    <n v="5"/>
    <n v="2025"/>
    <m/>
    <s v="Covia Corp - Junction City"/>
    <s v="USD"/>
    <n v="5157.4263494866482"/>
    <n v="3584"/>
    <x v="0"/>
    <n v="0"/>
    <n v="3584"/>
    <m/>
    <m/>
    <m/>
    <m/>
    <s v=""/>
    <s v=""/>
    <s v=""/>
    <s v=""/>
    <s v=""/>
    <s v=""/>
    <s v=""/>
    <s v=""/>
    <s v="Cover Plate Liner, 12/10 F or ST-AH, Natural Rubber"/>
    <n v="0"/>
    <m/>
    <m/>
    <m/>
    <m/>
    <s v=""/>
    <s v=""/>
    <s v=""/>
    <s v=""/>
    <x v="2"/>
    <x v="2"/>
    <n v="53.76"/>
    <s v="Yes"/>
  </r>
  <r>
    <n v="1"/>
    <s v="SO16511"/>
    <m/>
    <x v="1"/>
    <m/>
    <m/>
    <s v="Marlen Martinez"/>
    <n v="1"/>
    <n v="2025"/>
    <s v="INV12970"/>
    <n v="8"/>
    <n v="2025"/>
    <m/>
    <s v="Covia Corp - Junction City"/>
    <s v="USD"/>
    <n v="8749.9968720343295"/>
    <n v="6080.55"/>
    <x v="0"/>
    <n v="574.54999999999995"/>
    <n v="5506"/>
    <m/>
    <m/>
    <m/>
    <m/>
    <s v=""/>
    <s v=""/>
    <s v=""/>
    <s v=""/>
    <s v=""/>
    <s v=""/>
    <s v=""/>
    <s v=""/>
    <s v="Volute Liner, 6/4 F-HH, High Chrome"/>
    <n v="0"/>
    <m/>
    <m/>
    <m/>
    <m/>
    <s v=""/>
    <s v=""/>
    <s v=""/>
    <s v=""/>
    <x v="2"/>
    <x v="2"/>
    <n v="82.59"/>
    <s v="Yes"/>
  </r>
  <r>
    <n v="1"/>
    <s v="SO16512"/>
    <m/>
    <x v="0"/>
    <m/>
    <m/>
    <s v="Ian Trottier"/>
    <n v="1"/>
    <n v="2025"/>
    <s v="INV12642"/>
    <n v="3"/>
    <n v="2025"/>
    <m/>
    <s v="Grant Aggregate"/>
    <s v="CAD"/>
    <n v="1759.61"/>
    <n v="1220.6953427153057"/>
    <x v="0"/>
    <n v="0"/>
    <n v="1220.6953427153057"/>
    <m/>
    <m/>
    <m/>
    <m/>
    <s v=""/>
    <s v=""/>
    <s v=""/>
    <s v=""/>
    <s v=""/>
    <s v=""/>
    <s v=""/>
    <s v=""/>
    <s v="Impeller, 8x10-13, 3196 XLT, CD4MCu, 5-Vane"/>
    <n v="0"/>
    <m/>
    <m/>
    <m/>
    <m/>
    <s v=""/>
    <s v=""/>
    <s v=""/>
    <s v=""/>
    <x v="0"/>
    <x v="0"/>
    <n v="18.310430140729586"/>
    <s v="Yes"/>
  </r>
  <r>
    <n v="2"/>
    <s v="SO16513"/>
    <m/>
    <x v="0"/>
    <m/>
    <m/>
    <s v="Ian Trottier"/>
    <n v="1"/>
    <n v="2025"/>
    <s v="INV12915"/>
    <n v="6"/>
    <n v="2025"/>
    <m/>
    <s v="Les Pompes du St-Laurent Inc."/>
    <s v="CAD"/>
    <n v="16754.72"/>
    <n v="11673.944700760123"/>
    <x v="0"/>
    <n v="0"/>
    <n v="11673.944700760123"/>
    <m/>
    <m/>
    <m/>
    <m/>
    <s v=""/>
    <s v=""/>
    <s v=""/>
    <s v=""/>
    <s v=""/>
    <s v=""/>
    <s v=""/>
    <s v=""/>
    <s v="Pump, 1x1.5-8, D-196 STX, All CD4MCu"/>
    <n v="0"/>
    <m/>
    <m/>
    <m/>
    <m/>
    <s v=""/>
    <s v=""/>
    <s v=""/>
    <s v=""/>
    <x v="0"/>
    <x v="0"/>
    <n v="175.10917051140183"/>
    <s v="Yes"/>
  </r>
  <r>
    <n v="2"/>
    <s v="SO16513"/>
    <m/>
    <x v="0"/>
    <m/>
    <m/>
    <n v="0"/>
    <n v="1"/>
    <n v="2025"/>
    <s v="INV12833"/>
    <n v="5"/>
    <n v="2025"/>
    <m/>
    <s v="Les Pompes du St-Laurent Inc."/>
    <s v="CAD"/>
    <n v="0"/>
    <n v="0"/>
    <x v="1"/>
    <n v="0"/>
    <n v="0"/>
    <m/>
    <m/>
    <m/>
    <m/>
    <s v=""/>
    <s v=""/>
    <s v=""/>
    <s v=""/>
    <s v=""/>
    <s v=""/>
    <s v=""/>
    <s v=""/>
    <s v="Pump, 1x1.5-8, D-196 STX, All CD4MCu"/>
    <n v="0"/>
    <m/>
    <m/>
    <m/>
    <m/>
    <s v=""/>
    <s v=""/>
    <s v=""/>
    <s v=""/>
    <x v="0"/>
    <x v="0"/>
    <n v="0"/>
    <s v=""/>
  </r>
  <r>
    <n v="2"/>
    <s v="SO16515"/>
    <m/>
    <x v="0"/>
    <m/>
    <m/>
    <s v="Ian Trottier"/>
    <n v="1"/>
    <n v="2025"/>
    <s v="INV12615"/>
    <n v="3"/>
    <n v="2025"/>
    <m/>
    <s v="Canadian Bearings Ltd."/>
    <s v="CAD"/>
    <n v="1387.4"/>
    <n v="950.22183545818893"/>
    <x v="0"/>
    <n v="0"/>
    <n v="950.22183545818893"/>
    <m/>
    <m/>
    <m/>
    <m/>
    <s v=""/>
    <s v=""/>
    <s v=""/>
    <s v=""/>
    <s v=""/>
    <s v=""/>
    <s v=""/>
    <s v=""/>
    <s v="Deflector (Inboard), Allis Chalmers CSO, Frame F4D1, Steel"/>
    <n v="0"/>
    <m/>
    <m/>
    <m/>
    <m/>
    <s v=""/>
    <s v=""/>
    <s v=""/>
    <s v=""/>
    <x v="0"/>
    <x v="0"/>
    <n v="14.253327531872834"/>
    <s v="Yes"/>
  </r>
  <r>
    <n v="2"/>
    <s v="SO16515"/>
    <m/>
    <x v="0"/>
    <m/>
    <m/>
    <n v="0"/>
    <n v="1"/>
    <n v="2025"/>
    <s v="INV12676"/>
    <n v="4"/>
    <n v="2025"/>
    <m/>
    <s v="Canadian Bearings Ltd."/>
    <s v="CAD"/>
    <n v="0"/>
    <n v="0"/>
    <x v="1"/>
    <n v="0"/>
    <n v="0"/>
    <m/>
    <m/>
    <m/>
    <m/>
    <s v=""/>
    <s v=""/>
    <s v=""/>
    <s v=""/>
    <s v=""/>
    <s v=""/>
    <s v=""/>
    <s v=""/>
    <s v="Deflector (Inboard), Allis Chalmers CSO, Frame F4D1, Steel"/>
    <n v="0"/>
    <m/>
    <m/>
    <m/>
    <m/>
    <s v=""/>
    <s v=""/>
    <s v=""/>
    <s v=""/>
    <x v="0"/>
    <x v="0"/>
    <n v="0"/>
    <s v=""/>
  </r>
  <r>
    <n v="2"/>
    <s v="SO16516"/>
    <m/>
    <x v="0"/>
    <m/>
    <m/>
    <s v="Taylor Cook"/>
    <n v="1"/>
    <n v="2025"/>
    <s v="INV12638"/>
    <n v="3"/>
    <n v="2025"/>
    <m/>
    <s v="Canadian Bearings Ltd."/>
    <s v="CAD"/>
    <n v="183.84"/>
    <n v="128.48034772620912"/>
    <x v="0"/>
    <n v="0"/>
    <n v="128.48034772620912"/>
    <m/>
    <m/>
    <m/>
    <m/>
    <s v=""/>
    <s v=""/>
    <s v=""/>
    <s v=""/>
    <s v=""/>
    <s v=""/>
    <s v=""/>
    <s v=""/>
    <s v="Deflector (Outboard), Allis Chalmers CSO, Frame F4D1, Steel"/>
    <n v="0"/>
    <m/>
    <m/>
    <m/>
    <m/>
    <s v=""/>
    <s v=""/>
    <s v=""/>
    <s v=""/>
    <x v="0"/>
    <x v="0"/>
    <n v="1.9272052158931368"/>
    <s v="Yes"/>
  </r>
  <r>
    <n v="2"/>
    <s v="SO16516"/>
    <m/>
    <x v="0"/>
    <m/>
    <m/>
    <n v="0"/>
    <n v="1"/>
    <n v="2025"/>
    <s v="INV12675"/>
    <n v="4"/>
    <n v="2025"/>
    <m/>
    <s v="Canadian Bearings Ltd."/>
    <s v="CAD"/>
    <n v="0"/>
    <n v="0"/>
    <x v="1"/>
    <n v="0"/>
    <n v="0"/>
    <m/>
    <m/>
    <m/>
    <m/>
    <s v=""/>
    <s v=""/>
    <s v=""/>
    <s v=""/>
    <s v=""/>
    <s v=""/>
    <s v=""/>
    <s v=""/>
    <s v="Deflector (Outboard), Allis Chalmers CSO, Frame F4D1, Steel"/>
    <n v="0"/>
    <m/>
    <m/>
    <m/>
    <m/>
    <s v=""/>
    <s v=""/>
    <s v=""/>
    <s v=""/>
    <x v="0"/>
    <x v="0"/>
    <n v="0"/>
    <s v=""/>
  </r>
  <r>
    <n v="1"/>
    <s v="SO16517"/>
    <m/>
    <x v="0"/>
    <m/>
    <m/>
    <s v="Ian Trottier"/>
    <n v="1"/>
    <n v="2025"/>
    <s v="INV12587"/>
    <n v="2"/>
    <n v="2025"/>
    <m/>
    <s v="Motion Industries Inc. (U.S.) - Tucson"/>
    <s v="USD"/>
    <n v="239.0436789380793"/>
    <n v="166.08"/>
    <x v="0"/>
    <n v="0"/>
    <n v="166.08"/>
    <m/>
    <m/>
    <m/>
    <m/>
    <s v=""/>
    <s v=""/>
    <s v=""/>
    <s v=""/>
    <s v=""/>
    <s v=""/>
    <s v=""/>
    <s v=""/>
    <s v="Shaft Sleeve, 3196 MTX, 316SS"/>
    <n v="0"/>
    <m/>
    <m/>
    <m/>
    <m/>
    <s v=""/>
    <s v=""/>
    <s v=""/>
    <s v=""/>
    <x v="0"/>
    <x v="0"/>
    <n v="2.4912000000000001"/>
    <s v="Yes"/>
  </r>
  <r>
    <n v="1"/>
    <s v="SO16519"/>
    <m/>
    <x v="0"/>
    <m/>
    <m/>
    <s v="Ian Trottier"/>
    <n v="1"/>
    <n v="2025"/>
    <s v="INV12828"/>
    <n v="6"/>
    <n v="2025"/>
    <m/>
    <s v="Resolute Forest Products - Dolbeau"/>
    <s v="CAD"/>
    <n v="5963.04"/>
    <n v="4174.6515546971068"/>
    <x v="0"/>
    <n v="0"/>
    <n v="4174.6515546971068"/>
    <m/>
    <m/>
    <m/>
    <m/>
    <s v=""/>
    <s v=""/>
    <s v=""/>
    <s v=""/>
    <s v=""/>
    <s v=""/>
    <s v=""/>
    <s v=""/>
    <s v="Impeller, Worthington 4-FRBH-182, 316SS"/>
    <n v="0"/>
    <m/>
    <m/>
    <m/>
    <m/>
    <s v=""/>
    <s v=""/>
    <s v=""/>
    <s v=""/>
    <x v="0"/>
    <x v="0"/>
    <n v="62.619773320456602"/>
    <s v="Yes"/>
  </r>
  <r>
    <n v="1"/>
    <s v="SO16520"/>
    <m/>
    <x v="0"/>
    <m/>
    <m/>
    <s v="Ian Trottier"/>
    <n v="1"/>
    <n v="2025"/>
    <s v="INV12586"/>
    <n v="2"/>
    <n v="2025"/>
    <m/>
    <s v="Motion Industries Inc. (Canada) - Prince George"/>
    <s v="CAD"/>
    <n v="221.6"/>
    <n v="153.73070620518845"/>
    <x v="0"/>
    <n v="0"/>
    <n v="153.73070620518845"/>
    <m/>
    <m/>
    <m/>
    <m/>
    <s v=""/>
    <s v=""/>
    <s v=""/>
    <s v=""/>
    <s v=""/>
    <s v=""/>
    <s v=""/>
    <s v=""/>
    <s v="Volute Liner Seal, 6/4 D or E-AH, EPDM Rubber"/>
    <n v="0"/>
    <m/>
    <m/>
    <m/>
    <m/>
    <s v=""/>
    <s v=""/>
    <s v=""/>
    <s v=""/>
    <x v="0"/>
    <x v="0"/>
    <n v="2.3059605930778266"/>
    <s v="Yes"/>
  </r>
  <r>
    <n v="1"/>
    <s v="SO16521"/>
    <m/>
    <x v="0"/>
    <m/>
    <m/>
    <s v="Ian Trottier"/>
    <n v="1"/>
    <n v="2025"/>
    <s v="INV12772"/>
    <n v="5"/>
    <n v="2025"/>
    <m/>
    <s v="PT Vale Indonesia Tbk."/>
    <s v="USD"/>
    <n v="3553.7020911495529"/>
    <n v="2469"/>
    <x v="0"/>
    <n v="0"/>
    <n v="2469"/>
    <m/>
    <m/>
    <m/>
    <m/>
    <s v=""/>
    <s v=""/>
    <s v=""/>
    <s v=""/>
    <s v=""/>
    <s v=""/>
    <s v=""/>
    <s v=""/>
    <s v="Shaft Assembly, 10x8-21 SRL-C, 1045 Steel"/>
    <n v="0"/>
    <m/>
    <m/>
    <m/>
    <m/>
    <s v=""/>
    <s v=""/>
    <s v=""/>
    <s v=""/>
    <x v="0"/>
    <x v="0"/>
    <n v="37.034999999999997"/>
    <s v="Yes"/>
  </r>
  <r>
    <n v="2"/>
    <s v="SO16522"/>
    <m/>
    <x v="0"/>
    <m/>
    <m/>
    <s v="Ian Trottier"/>
    <n v="1"/>
    <n v="2025"/>
    <s v="INV12625"/>
    <n v="2"/>
    <n v="2025"/>
    <m/>
    <s v="D&amp;H Materials Inc"/>
    <s v="USD"/>
    <n v="1011.6318583251989"/>
    <n v="701.8"/>
    <x v="0"/>
    <n v="0"/>
    <n v="701.8"/>
    <m/>
    <m/>
    <m/>
    <m/>
    <s v=""/>
    <s v=""/>
    <s v=""/>
    <s v=""/>
    <s v=""/>
    <s v=""/>
    <s v=""/>
    <s v=""/>
    <s v="Packing Set, (5 Pre-Cut Rings), 10x8-21 Denver SRL-C, Premium Kevlar Slurry Packing"/>
    <n v="0"/>
    <m/>
    <m/>
    <m/>
    <m/>
    <s v=""/>
    <s v=""/>
    <s v=""/>
    <s v=""/>
    <x v="0"/>
    <x v="0"/>
    <n v="10.526999999999999"/>
    <s v="Yes"/>
  </r>
  <r>
    <n v="2"/>
    <s v="SO16522"/>
    <m/>
    <x v="0"/>
    <m/>
    <m/>
    <n v="0"/>
    <n v="1"/>
    <n v="2025"/>
    <s v="INV12921"/>
    <n v="4"/>
    <n v="2025"/>
    <m/>
    <s v="D&amp;H Materials Inc"/>
    <s v="USD"/>
    <n v="0"/>
    <n v="0"/>
    <x v="1"/>
    <n v="0"/>
    <n v="0"/>
    <m/>
    <m/>
    <m/>
    <m/>
    <s v=""/>
    <s v=""/>
    <s v=""/>
    <s v=""/>
    <s v=""/>
    <s v=""/>
    <s v=""/>
    <s v=""/>
    <s v="Packing Set, (5 Pre-Cut Rings), 10x8-21 Denver SRL-C, Premium Kevlar Slurry Packing"/>
    <n v="0"/>
    <m/>
    <m/>
    <m/>
    <m/>
    <s v=""/>
    <s v=""/>
    <s v=""/>
    <s v=""/>
    <x v="0"/>
    <x v="0"/>
    <n v="0"/>
    <s v=""/>
  </r>
  <r>
    <n v="2"/>
    <s v="SO16525"/>
    <m/>
    <x v="0"/>
    <m/>
    <m/>
    <s v="Ian Trottier"/>
    <n v="1"/>
    <n v="2025"/>
    <s v="INV12830"/>
    <n v="5"/>
    <n v="2025"/>
    <m/>
    <s v="Cartledge &amp; Associates Inc."/>
    <s v="USD"/>
    <n v="10249.502200717283"/>
    <n v="7054.91"/>
    <x v="0"/>
    <n v="643"/>
    <n v="6411.91"/>
    <m/>
    <m/>
    <m/>
    <m/>
    <s v=""/>
    <s v=""/>
    <s v=""/>
    <s v=""/>
    <s v=""/>
    <s v=""/>
    <s v=""/>
    <s v=""/>
    <s v="Impeller, 8x6-18 D-SRL-C, Natural Rubber"/>
    <n v="0"/>
    <m/>
    <m/>
    <m/>
    <m/>
    <s v=""/>
    <s v=""/>
    <s v=""/>
    <s v=""/>
    <x v="0"/>
    <x v="0"/>
    <n v="96.17864999999999"/>
    <s v="Yes"/>
  </r>
  <r>
    <n v="2"/>
    <s v="SO16525"/>
    <m/>
    <x v="0"/>
    <m/>
    <m/>
    <n v="0"/>
    <n v="1"/>
    <n v="2025"/>
    <s v="INV12604"/>
    <n v="4"/>
    <n v="2025"/>
    <m/>
    <s v="Cartledge &amp; Associates Inc."/>
    <s v="USD"/>
    <n v="0"/>
    <n v="0"/>
    <x v="1"/>
    <n v="605"/>
    <n v="0"/>
    <m/>
    <m/>
    <m/>
    <m/>
    <s v=""/>
    <s v=""/>
    <s v=""/>
    <s v=""/>
    <s v=""/>
    <s v=""/>
    <s v=""/>
    <s v=""/>
    <s v="Impeller, 8x6-18 D-SRL-C, Natural Rubber"/>
    <n v="0"/>
    <m/>
    <m/>
    <m/>
    <m/>
    <s v=""/>
    <s v=""/>
    <s v=""/>
    <s v=""/>
    <x v="0"/>
    <x v="0"/>
    <n v="0"/>
    <s v=""/>
  </r>
  <r>
    <n v="1"/>
    <s v="SO16526"/>
    <m/>
    <x v="0"/>
    <m/>
    <m/>
    <s v="Ian Trottier"/>
    <n v="1"/>
    <n v="2025"/>
    <s v="INV12612"/>
    <n v="4"/>
    <n v="2025"/>
    <m/>
    <s v="Resolute Forest Products - Saint-Felicien"/>
    <s v="CAD"/>
    <n v="301.76"/>
    <n v="210.85673351319636"/>
    <x v="0"/>
    <n v="0"/>
    <n v="210.85673351319636"/>
    <m/>
    <m/>
    <m/>
    <m/>
    <s v=""/>
    <s v=""/>
    <s v=""/>
    <s v=""/>
    <s v=""/>
    <s v=""/>
    <s v=""/>
    <s v=""/>
    <s v="Deflector (Inboard), Allis-Chalmers PWO, Group 2"/>
    <n v="0"/>
    <m/>
    <m/>
    <m/>
    <m/>
    <s v=""/>
    <s v=""/>
    <s v=""/>
    <s v=""/>
    <x v="0"/>
    <x v="0"/>
    <n v="3.1628510026979453"/>
    <s v="Yes"/>
  </r>
  <r>
    <n v="2"/>
    <s v="SO16527"/>
    <m/>
    <x v="2"/>
    <m/>
    <m/>
    <s v="Ian Trottier"/>
    <n v="1"/>
    <n v="2025"/>
    <s v="INV13100"/>
    <n v="8"/>
    <n v="2025"/>
    <n v="2503"/>
    <s v="Resolute Forest Products - Saint-Felicien"/>
    <s v="CAD"/>
    <n v="6392.94"/>
    <n v="4474.1661090711332"/>
    <x v="0"/>
    <n v="0"/>
    <n v="4474.1661090711332"/>
    <m/>
    <s v="Renewal"/>
    <m/>
    <m/>
    <s v=""/>
    <n v="5.0000000000000001E-3"/>
    <s v=""/>
    <s v=""/>
    <s v=""/>
    <n v="22.370830545355666"/>
    <s v=""/>
    <s v=""/>
    <s v="Frame Assembly, F4D1, Allis-Chalmers CSO, c/w 316SS Shaft"/>
    <n v="22.370830545355666"/>
    <m/>
    <m/>
    <m/>
    <m/>
    <s v=""/>
    <n v="22.370830545355666"/>
    <s v=""/>
    <s v=""/>
    <x v="1"/>
    <x v="1"/>
    <n v="67.112491636066991"/>
    <s v="Yes"/>
  </r>
  <r>
    <n v="2"/>
    <s v="SO16527"/>
    <m/>
    <x v="2"/>
    <m/>
    <m/>
    <n v="0"/>
    <n v="1"/>
    <n v="2025"/>
    <s v="INV12624"/>
    <n v="4"/>
    <n v="2025"/>
    <n v="2503"/>
    <s v="Resolute Forest Products - Saint-Felicien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s v="Frame Assembly, F4D1, Allis-Chalmers CSO, c/w 316SS Shaft"/>
    <n v="0"/>
    <m/>
    <m/>
    <m/>
    <m/>
    <s v=""/>
    <n v="0"/>
    <s v=""/>
    <s v=""/>
    <x v="1"/>
    <x v="1"/>
    <n v="0"/>
    <s v=""/>
  </r>
  <r>
    <n v="1"/>
    <s v="SO16528"/>
    <m/>
    <x v="0"/>
    <m/>
    <m/>
    <s v="Taylor Cook"/>
    <n v="2"/>
    <n v="2025"/>
    <s v="INV12637"/>
    <n v="3"/>
    <n v="2025"/>
    <m/>
    <s v="Canadian Bearings Ltd."/>
    <s v="CAD"/>
    <n v="279.5"/>
    <n v="196.28851884118686"/>
    <x v="0"/>
    <n v="0"/>
    <n v="196.28851884118686"/>
    <m/>
    <m/>
    <m/>
    <m/>
    <s v=""/>
    <s v=""/>
    <s v=""/>
    <s v=""/>
    <s v=""/>
    <s v=""/>
    <s v=""/>
    <s v=""/>
    <s v="Shim Set, A-C PWO-C Group 2, Plastic"/>
    <n v="0"/>
    <m/>
    <m/>
    <m/>
    <m/>
    <s v=""/>
    <s v=""/>
    <s v=""/>
    <s v=""/>
    <x v="0"/>
    <x v="0"/>
    <n v="2.9443277826178029"/>
    <s v="Yes"/>
  </r>
  <r>
    <n v="1"/>
    <s v="SO16529"/>
    <m/>
    <x v="0"/>
    <m/>
    <m/>
    <s v="Ian Trottier"/>
    <n v="2"/>
    <n v="2025"/>
    <s v="INV12744"/>
    <n v="4"/>
    <n v="2025"/>
    <m/>
    <s v="Kumtor Gold Company"/>
    <s v="USD"/>
    <n v="21850.453852659211"/>
    <n v="15402.73"/>
    <x v="0"/>
    <n v="0"/>
    <n v="15402.73"/>
    <m/>
    <m/>
    <m/>
    <m/>
    <s v=""/>
    <s v=""/>
    <s v=""/>
    <s v=""/>
    <s v=""/>
    <s v=""/>
    <s v=""/>
    <s v=""/>
    <s v="Wear Disc, 44 WFR, Sala STGVA-180, Steel, Rubber Lined"/>
    <n v="0"/>
    <m/>
    <m/>
    <m/>
    <m/>
    <s v=""/>
    <s v=""/>
    <s v=""/>
    <s v=""/>
    <x v="0"/>
    <x v="0"/>
    <n v="231.04094999999998"/>
    <s v="Yes"/>
  </r>
  <r>
    <n v="1"/>
    <s v="SO16530"/>
    <m/>
    <x v="0"/>
    <m/>
    <m/>
    <s v="Taylor Cook"/>
    <n v="2"/>
    <n v="2025"/>
    <s v="INV12696"/>
    <n v="3"/>
    <n v="2025"/>
    <m/>
    <s v="Les Pompes Diaspec Inc."/>
    <s v="CAD"/>
    <n v="279.94"/>
    <n v="191.72920615407622"/>
    <x v="0"/>
    <n v="0"/>
    <n v="191.72920615407622"/>
    <m/>
    <m/>
    <m/>
    <m/>
    <s v=""/>
    <s v=""/>
    <s v=""/>
    <s v=""/>
    <s v=""/>
    <s v=""/>
    <s v=""/>
    <s v=""/>
    <s v="Premium Slurry Packing (5 Piece Set), 5x4/5x5/6x6 SRL &amp; SRL-C, Kevlar Fiber w/Silicon Core"/>
    <n v="0"/>
    <m/>
    <m/>
    <m/>
    <m/>
    <s v=""/>
    <s v=""/>
    <s v=""/>
    <s v=""/>
    <x v="0"/>
    <x v="0"/>
    <n v="2.8759380923111433"/>
    <s v="Yes"/>
  </r>
  <r>
    <n v="4"/>
    <s v="SO16531"/>
    <m/>
    <x v="0"/>
    <m/>
    <m/>
    <s v="Ian Trottier"/>
    <n v="2"/>
    <n v="2025"/>
    <s v="INV12749"/>
    <n v="4"/>
    <n v="2025"/>
    <m/>
    <s v="Kumtor Gold Company"/>
    <s v="USD"/>
    <n v="55151.891876930713"/>
    <n v="38515.040000000001"/>
    <x v="0"/>
    <n v="0"/>
    <n v="38515.040000000001"/>
    <m/>
    <m/>
    <m/>
    <m/>
    <s v=""/>
    <s v=""/>
    <s v=""/>
    <s v=""/>
    <s v=""/>
    <s v=""/>
    <s v=""/>
    <s v=""/>
    <s v="Suction Side Plate, 8x6-18 SRL-C, Urethane"/>
    <n v="0"/>
    <m/>
    <m/>
    <m/>
    <m/>
    <s v=""/>
    <s v=""/>
    <s v=""/>
    <s v=""/>
    <x v="0"/>
    <x v="0"/>
    <n v="577.72559999999999"/>
    <s v="Yes"/>
  </r>
  <r>
    <n v="4"/>
    <s v="SO16531"/>
    <m/>
    <x v="0"/>
    <m/>
    <m/>
    <n v="0"/>
    <n v="2"/>
    <n v="2025"/>
    <s v="INV12782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Suction Side Plate, 8x6-18 SRL-C, Urethane"/>
    <n v="0"/>
    <m/>
    <m/>
    <m/>
    <m/>
    <s v=""/>
    <s v=""/>
    <s v=""/>
    <s v=""/>
    <x v="0"/>
    <x v="0"/>
    <n v="0"/>
    <s v=""/>
  </r>
  <r>
    <n v="4"/>
    <s v="SO16531"/>
    <m/>
    <x v="0"/>
    <m/>
    <m/>
    <n v="0"/>
    <n v="2"/>
    <n v="2025"/>
    <s v="INV12822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Suction Side Plate, 8x6-18 SRL-C, Urethane"/>
    <n v="0"/>
    <m/>
    <m/>
    <m/>
    <m/>
    <s v=""/>
    <s v=""/>
    <s v=""/>
    <s v=""/>
    <x v="0"/>
    <x v="0"/>
    <n v="0"/>
    <s v=""/>
  </r>
  <r>
    <n v="4"/>
    <s v="SO16531"/>
    <m/>
    <x v="0"/>
    <m/>
    <m/>
    <n v="0"/>
    <n v="2"/>
    <n v="2025"/>
    <s v="INV13035"/>
    <n v="6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Suction Side Plate, 8x6-18 SRL-C, Urethane"/>
    <n v="0"/>
    <m/>
    <m/>
    <m/>
    <m/>
    <s v=""/>
    <s v=""/>
    <s v=""/>
    <s v=""/>
    <x v="0"/>
    <x v="0"/>
    <n v="0"/>
    <s v=""/>
  </r>
  <r>
    <n v="1"/>
    <s v="SO16532"/>
    <m/>
    <x v="0"/>
    <m/>
    <m/>
    <s v="Ian Trottier"/>
    <n v="2"/>
    <n v="2025"/>
    <s v="INV12898"/>
    <n v="5"/>
    <n v="2025"/>
    <m/>
    <s v="John Brooks Company Limited"/>
    <s v="CAD"/>
    <n v="5382.41"/>
    <n v="3782.3602067281408"/>
    <x v="0"/>
    <n v="0"/>
    <n v="3782.3602067281408"/>
    <m/>
    <m/>
    <m/>
    <m/>
    <s v=""/>
    <s v=""/>
    <s v=""/>
    <s v=""/>
    <s v=""/>
    <s v=""/>
    <s v=""/>
    <s v=""/>
    <s v="Impeller, 8x5-17, PWO, 3-Vane, 317SS"/>
    <n v="0"/>
    <m/>
    <m/>
    <m/>
    <m/>
    <s v=""/>
    <s v=""/>
    <s v=""/>
    <s v=""/>
    <x v="0"/>
    <x v="0"/>
    <n v="56.735403100922113"/>
    <s v="Yes"/>
  </r>
  <r>
    <n v="1"/>
    <s v="SO16533"/>
    <m/>
    <x v="0"/>
    <m/>
    <m/>
    <s v="Ian Trottier"/>
    <n v="2"/>
    <n v="2025"/>
    <s v="INV12756"/>
    <n v="5"/>
    <n v="2025"/>
    <m/>
    <s v="Canadian Bearings Ltd., Canadian Bearings Ltd. - Quebec City"/>
    <s v="CAD"/>
    <n v="5934.85"/>
    <n v="4167.9531879950555"/>
    <x v="0"/>
    <n v="0"/>
    <n v="4167.9531879950555"/>
    <m/>
    <m/>
    <m/>
    <m/>
    <s v=""/>
    <s v=""/>
    <s v=""/>
    <s v=""/>
    <s v=""/>
    <s v=""/>
    <s v=""/>
    <s v=""/>
    <s v="Casing, 3x1.5-13, Allis Chalmers CSO, 316SS"/>
    <n v="0"/>
    <m/>
    <m/>
    <m/>
    <m/>
    <s v=""/>
    <s v=""/>
    <s v=""/>
    <s v=""/>
    <x v="0"/>
    <x v="0"/>
    <n v="62.519297819925832"/>
    <s v="Yes"/>
  </r>
  <r>
    <n v="5"/>
    <s v="SO16534"/>
    <m/>
    <x v="0"/>
    <m/>
    <m/>
    <s v="Ian Trottier"/>
    <n v="2"/>
    <n v="2025"/>
    <s v="INV12618"/>
    <n v="3"/>
    <n v="2025"/>
    <m/>
    <s v="Kumtor Gold Company"/>
    <s v="USD"/>
    <n v="77306.715462478212"/>
    <n v="52946.9"/>
    <x v="0"/>
    <n v="0"/>
    <n v="52946.9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794.20349999999996"/>
    <s v="Yes"/>
  </r>
  <r>
    <n v="5"/>
    <s v="SO16534"/>
    <m/>
    <x v="0"/>
    <m/>
    <m/>
    <n v="0"/>
    <n v="2"/>
    <n v="2025"/>
    <s v="INV12747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0"/>
    <s v=""/>
  </r>
  <r>
    <n v="5"/>
    <s v="SO16534"/>
    <m/>
    <x v="0"/>
    <m/>
    <m/>
    <n v="0"/>
    <n v="2"/>
    <n v="2025"/>
    <s v="INV12840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0"/>
    <s v=""/>
  </r>
  <r>
    <n v="5"/>
    <s v="SO16534"/>
    <m/>
    <x v="0"/>
    <m/>
    <m/>
    <n v="0"/>
    <n v="2"/>
    <n v="2025"/>
    <s v="INV12860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0"/>
    <s v=""/>
  </r>
  <r>
    <n v="5"/>
    <s v="SO16534"/>
    <m/>
    <x v="0"/>
    <m/>
    <m/>
    <n v="0"/>
    <n v="2"/>
    <n v="2025"/>
    <s v="INV13074"/>
    <n v="6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0"/>
    <s v=""/>
  </r>
  <r>
    <n v="1"/>
    <s v="SO16535"/>
    <m/>
    <x v="0"/>
    <m/>
    <m/>
    <s v="Jeff Bell"/>
    <n v="2"/>
    <n v="2025"/>
    <s v="INV12644"/>
    <n v="4"/>
    <n v="2025"/>
    <m/>
    <s v="Barrick Gold - Pueblo Viejo Dominicana Corporation"/>
    <s v="USD"/>
    <n v="22748.778120402549"/>
    <n v="15580.5"/>
    <x v="0"/>
    <n v="0"/>
    <n v="15580.5"/>
    <m/>
    <m/>
    <m/>
    <m/>
    <s v=""/>
    <s v=""/>
    <s v=""/>
    <s v=""/>
    <s v=""/>
    <s v=""/>
    <s v=""/>
    <s v=""/>
    <s v="Impeller, 10JKM, Double Keyed, w/Wear Ring"/>
    <n v="0"/>
    <m/>
    <m/>
    <m/>
    <m/>
    <s v=""/>
    <s v=""/>
    <s v=""/>
    <s v=""/>
    <x v="1"/>
    <x v="3"/>
    <n v="233.70749999999998"/>
    <s v="Yes"/>
  </r>
  <r>
    <n v="2"/>
    <s v="SO16537"/>
    <m/>
    <x v="0"/>
    <m/>
    <m/>
    <s v="Ian Trottier"/>
    <n v="2"/>
    <n v="2025"/>
    <s v="INV12832"/>
    <n v="5"/>
    <n v="2025"/>
    <m/>
    <s v="Cartledge &amp; Associates Inc."/>
    <s v="USD"/>
    <n v="5976.3998974636061"/>
    <n v="4093.2"/>
    <x v="0"/>
    <n v="0"/>
    <n v="4093.2"/>
    <m/>
    <m/>
    <m/>
    <m/>
    <s v=""/>
    <s v=""/>
    <s v=""/>
    <s v=""/>
    <s v=""/>
    <s v=""/>
    <s v=""/>
    <s v=""/>
    <s v="Suction Side Liner, 5x4-14 SRL-C, Natural Rubber"/>
    <n v="0"/>
    <m/>
    <m/>
    <m/>
    <m/>
    <s v=""/>
    <s v=""/>
    <s v=""/>
    <s v=""/>
    <x v="0"/>
    <x v="0"/>
    <n v="61.397999999999996"/>
    <s v="Yes"/>
  </r>
  <r>
    <n v="2"/>
    <s v="SO16537"/>
    <m/>
    <x v="0"/>
    <m/>
    <m/>
    <n v="0"/>
    <n v="2"/>
    <n v="2025"/>
    <s v="INV12605"/>
    <n v="4"/>
    <n v="2025"/>
    <m/>
    <s v="Cartledge &amp; Associates Inc."/>
    <s v="USD"/>
    <n v="0"/>
    <n v="0"/>
    <x v="1"/>
    <n v="0"/>
    <n v="0"/>
    <m/>
    <m/>
    <m/>
    <m/>
    <s v=""/>
    <s v=""/>
    <s v=""/>
    <s v=""/>
    <s v=""/>
    <s v=""/>
    <s v=""/>
    <s v=""/>
    <s v="Suction Side Liner, 5x4-14 SRL-C, Natural Rubber"/>
    <n v="0"/>
    <m/>
    <m/>
    <m/>
    <m/>
    <s v=""/>
    <s v=""/>
    <s v=""/>
    <s v=""/>
    <x v="0"/>
    <x v="0"/>
    <n v="0"/>
    <s v=""/>
  </r>
  <r>
    <n v="1"/>
    <s v="SO16539"/>
    <m/>
    <x v="0"/>
    <m/>
    <m/>
    <s v="Ian Trottier"/>
    <n v="2"/>
    <n v="2025"/>
    <s v="INV12603"/>
    <n v="3"/>
    <n v="2025"/>
    <m/>
    <s v="Grant Aggregate"/>
    <s v="CAD"/>
    <n v="447.11"/>
    <n v="312.22099150646483"/>
    <x v="0"/>
    <n v="0"/>
    <n v="312.22099150646483"/>
    <m/>
    <m/>
    <m/>
    <m/>
    <s v=""/>
    <s v=""/>
    <s v=""/>
    <s v=""/>
    <s v=""/>
    <s v=""/>
    <s v=""/>
    <s v=""/>
    <s v="Bearing Cover (Inboard), 8x6-18 &amp; 10x8-21 SRL-C, Cast Iron"/>
    <n v="0"/>
    <m/>
    <m/>
    <m/>
    <m/>
    <s v=""/>
    <s v=""/>
    <s v=""/>
    <s v=""/>
    <x v="0"/>
    <x v="0"/>
    <n v="4.6833148725969727"/>
    <s v="Yes"/>
  </r>
  <r>
    <n v="2"/>
    <s v="SO16544"/>
    <m/>
    <x v="2"/>
    <m/>
    <m/>
    <s v="Ian Trottier"/>
    <n v="2"/>
    <n v="2025"/>
    <s v="INV12940"/>
    <n v="6"/>
    <n v="2025"/>
    <n v="2503"/>
    <s v="Motion Industries Inc. (Canada) - Winnipeg"/>
    <s v="CAD"/>
    <n v="7490.32"/>
    <n v="5408.7721658319424"/>
    <x v="0"/>
    <n v="0"/>
    <n v="5408.7721658319424"/>
    <m/>
    <s v="Renewal"/>
    <m/>
    <m/>
    <s v=""/>
    <n v="5.0000000000000001E-3"/>
    <s v=""/>
    <s v=""/>
    <s v=""/>
    <n v="27.043860829159712"/>
    <s v=""/>
    <s v=""/>
    <s v="Impeller Gasket, Durco Mark 2 Group 2, Grafoil"/>
    <n v="27.043860829159712"/>
    <m/>
    <m/>
    <m/>
    <m/>
    <s v=""/>
    <n v="27.043860829159712"/>
    <s v=""/>
    <s v=""/>
    <x v="1"/>
    <x v="1"/>
    <n v="81.131582487479136"/>
    <s v="Yes"/>
  </r>
  <r>
    <n v="2"/>
    <s v="SO16544"/>
    <m/>
    <x v="2"/>
    <m/>
    <m/>
    <n v="0"/>
    <n v="2"/>
    <n v="2025"/>
    <s v="INV13261"/>
    <n v="9"/>
    <n v="2025"/>
    <n v="2503"/>
    <s v="Motion Industries Inc. (Canada) - Winnipeg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s v="Impeller Gasket, Durco Mark 2 Group 2, Grafoil"/>
    <n v="0"/>
    <m/>
    <m/>
    <m/>
    <m/>
    <s v=""/>
    <n v="0"/>
    <s v=""/>
    <s v=""/>
    <x v="1"/>
    <x v="1"/>
    <n v="0"/>
    <s v=""/>
  </r>
  <r>
    <n v="1"/>
    <s v="SO16545"/>
    <m/>
    <x v="2"/>
    <m/>
    <m/>
    <s v="Ian Trottier"/>
    <n v="2"/>
    <n v="2025"/>
    <s v="INV13030"/>
    <n v="7"/>
    <n v="2025"/>
    <n v="2503"/>
    <s v="DRN Industriel"/>
    <s v="CAD"/>
    <n v="4342.6000000000004"/>
    <n v="3040.2012801235032"/>
    <x v="0"/>
    <n v="0"/>
    <n v="3040.2012801235032"/>
    <m/>
    <s v="Renewal"/>
    <m/>
    <m/>
    <s v=""/>
    <n v="5.0000000000000001E-3"/>
    <s v=""/>
    <s v=""/>
    <s v=""/>
    <n v="15.201006400617516"/>
    <s v=""/>
    <s v=""/>
    <s v="Valve (Sleeve), 2&quot; G-Series VSP, Delta Series, Natural Rubber"/>
    <n v="15.201006400617516"/>
    <m/>
    <m/>
    <m/>
    <m/>
    <s v=""/>
    <n v="15.201006400617516"/>
    <s v=""/>
    <s v=""/>
    <x v="1"/>
    <x v="1"/>
    <n v="45.603019201852547"/>
    <s v="Yes"/>
  </r>
  <r>
    <n v="1"/>
    <s v="SO16546"/>
    <m/>
    <x v="0"/>
    <m/>
    <m/>
    <s v="Jeff Bell"/>
    <n v="2"/>
    <n v="2025"/>
    <s v="INV12646"/>
    <n v="4"/>
    <n v="2025"/>
    <m/>
    <s v="Barrick Gold - Pueblo Viejo Dominicana Corporation"/>
    <s v="USD"/>
    <n v="29631.719463706959"/>
    <n v="20692.099999999999"/>
    <x v="0"/>
    <n v="0"/>
    <n v="20692.099999999999"/>
    <m/>
    <m/>
    <m/>
    <m/>
    <s v=""/>
    <s v=""/>
    <s v=""/>
    <s v=""/>
    <s v=""/>
    <s v=""/>
    <s v=""/>
    <s v=""/>
    <s v="Impeller Wear Ring, 10JKH/M, 5.12x5.48x0.88, Duplex SS 2507 w/Ion Nitriding"/>
    <n v="0"/>
    <m/>
    <m/>
    <m/>
    <m/>
    <s v=""/>
    <s v=""/>
    <s v=""/>
    <s v=""/>
    <x v="1"/>
    <x v="3"/>
    <n v="310.38149999999996"/>
    <s v="Yes"/>
  </r>
  <r>
    <n v="1"/>
    <s v="SO16547"/>
    <m/>
    <x v="1"/>
    <m/>
    <m/>
    <s v="Marlen Martinez"/>
    <n v="2"/>
    <n v="2025"/>
    <s v="INV12962"/>
    <n v="8"/>
    <n v="2025"/>
    <m/>
    <s v="Covia Corp - Camden"/>
    <s v="USD"/>
    <n v="895.69215173736814"/>
    <n v="625.47"/>
    <x v="0"/>
    <n v="210.47"/>
    <n v="415"/>
    <m/>
    <m/>
    <m/>
    <m/>
    <s v=""/>
    <s v=""/>
    <s v=""/>
    <s v=""/>
    <s v=""/>
    <s v=""/>
    <s v=""/>
    <s v=""/>
    <s v="Frame Plate Bolt - 1 nut, 8/6 AH"/>
    <n v="0"/>
    <m/>
    <m/>
    <m/>
    <m/>
    <s v=""/>
    <s v=""/>
    <s v=""/>
    <s v=""/>
    <x v="2"/>
    <x v="2"/>
    <n v="6.2249999999999996"/>
    <s v="Yes"/>
  </r>
  <r>
    <n v="1"/>
    <s v="SO16549"/>
    <m/>
    <x v="0"/>
    <m/>
    <m/>
    <s v="Ian Trottier"/>
    <n v="2"/>
    <n v="2025"/>
    <s v="INV12613"/>
    <n v="4"/>
    <n v="2025"/>
    <m/>
    <s v="Resolute Forest Products - Saint-Felicien"/>
    <s v="CAD"/>
    <n v="4141.92"/>
    <n v="2894.1931391601879"/>
    <x v="0"/>
    <n v="0"/>
    <n v="2894.1931391601879"/>
    <m/>
    <m/>
    <m/>
    <m/>
    <s v=""/>
    <s v=""/>
    <s v=""/>
    <s v=""/>
    <s v=""/>
    <s v=""/>
    <s v=""/>
    <s v=""/>
    <s v="Shim Set, A-C PWO-C Group 1, Plastic"/>
    <n v="0"/>
    <m/>
    <m/>
    <m/>
    <m/>
    <s v=""/>
    <s v=""/>
    <s v=""/>
    <s v=""/>
    <x v="0"/>
    <x v="0"/>
    <n v="43.412897087402818"/>
    <s v="Yes"/>
  </r>
  <r>
    <n v="1"/>
    <s v="SO16550"/>
    <m/>
    <x v="0"/>
    <m/>
    <m/>
    <s v="Ian Trottier"/>
    <n v="2"/>
    <n v="2025"/>
    <s v="INV12607"/>
    <n v="3"/>
    <n v="2025"/>
    <m/>
    <s v="Wajax Limited - Noranda"/>
    <s v="CAD"/>
    <n v="711.25"/>
    <n v="496.82325945069084"/>
    <x v="0"/>
    <n v="0"/>
    <n v="496.82325945069084"/>
    <m/>
    <m/>
    <m/>
    <m/>
    <s v=""/>
    <s v=""/>
    <s v=""/>
    <s v=""/>
    <s v=""/>
    <s v=""/>
    <s v=""/>
    <s v=""/>
    <s v="Shaft Sleeve, 5x4/5x5/6x6 SRL, 316SS"/>
    <n v="0"/>
    <m/>
    <m/>
    <m/>
    <m/>
    <s v=""/>
    <s v=""/>
    <s v=""/>
    <s v=""/>
    <x v="0"/>
    <x v="0"/>
    <n v="7.4523488917603622"/>
    <s v="Yes"/>
  </r>
  <r>
    <n v="1"/>
    <s v="SO16551"/>
    <m/>
    <x v="0"/>
    <m/>
    <m/>
    <s v="Ian Trottier"/>
    <n v="2"/>
    <n v="2025"/>
    <s v="INV12743"/>
    <n v="5"/>
    <n v="2025"/>
    <m/>
    <s v="Resolute Forest Products - Kenogami"/>
    <s v="CAD"/>
    <n v="7794.2"/>
    <n v="5446.2471909747983"/>
    <x v="0"/>
    <n v="0"/>
    <n v="5446.2471909747983"/>
    <m/>
    <m/>
    <m/>
    <m/>
    <s v=""/>
    <s v=""/>
    <s v=""/>
    <s v=""/>
    <s v=""/>
    <s v=""/>
    <s v=""/>
    <s v=""/>
    <s v="Shaft (Fine Thread), PWO, Frame 3, 316SS"/>
    <n v="0"/>
    <m/>
    <m/>
    <m/>
    <m/>
    <s v=""/>
    <s v=""/>
    <s v=""/>
    <s v=""/>
    <x v="0"/>
    <x v="0"/>
    <n v="81.69370786462197"/>
    <s v="Yes"/>
  </r>
  <r>
    <n v="1"/>
    <s v="SO16552"/>
    <m/>
    <x v="0"/>
    <m/>
    <m/>
    <s v="Taylor Cook"/>
    <n v="2"/>
    <n v="2025"/>
    <s v="INV12757"/>
    <n v="4"/>
    <n v="2025"/>
    <m/>
    <s v="Hyperflo"/>
    <s v="CAD"/>
    <n v="172.3"/>
    <n v="120.35521631403029"/>
    <x v="0"/>
    <n v="0"/>
    <n v="120.35521631403029"/>
    <m/>
    <m/>
    <m/>
    <m/>
    <s v=""/>
    <s v=""/>
    <s v=""/>
    <s v=""/>
    <s v=""/>
    <s v=""/>
    <s v=""/>
    <s v=""/>
    <s v="Deflector (Water Slinger), 8x6-18 &amp; 10x8-21 SRL-C, Neoprene/Steel"/>
    <n v="0"/>
    <m/>
    <m/>
    <m/>
    <m/>
    <s v=""/>
    <s v=""/>
    <s v=""/>
    <s v=""/>
    <x v="0"/>
    <x v="0"/>
    <n v="1.8053282447104542"/>
    <s v="Yes"/>
  </r>
  <r>
    <n v="2"/>
    <s v="SO16554"/>
    <m/>
    <x v="0"/>
    <m/>
    <m/>
    <s v="Jeff Bell"/>
    <n v="2"/>
    <n v="2025"/>
    <s v="INV13151"/>
    <n v="8"/>
    <n v="2025"/>
    <m/>
    <s v="Barrick Gold - Pueblo Viejo Dominicana Corporation"/>
    <s v="USD"/>
    <n v="45189.049108657709"/>
    <n v="31557.54"/>
    <x v="0"/>
    <n v="0"/>
    <n v="31557.54"/>
    <m/>
    <m/>
    <m/>
    <m/>
    <s v=""/>
    <s v=""/>
    <s v=""/>
    <s v=""/>
    <s v=""/>
    <s v=""/>
    <s v=""/>
    <s v=""/>
    <s v="Pump, 3/3, Dynapro CVD, High Chrome"/>
    <n v="0"/>
    <m/>
    <m/>
    <m/>
    <m/>
    <s v=""/>
    <s v=""/>
    <s v=""/>
    <s v=""/>
    <x v="1"/>
    <x v="3"/>
    <n v="473.36309999999997"/>
    <s v="Yes"/>
  </r>
  <r>
    <n v="2"/>
    <s v="SO16554"/>
    <m/>
    <x v="0"/>
    <m/>
    <m/>
    <n v="0"/>
    <n v="2"/>
    <n v="2025"/>
    <s v="INV12765"/>
    <n v="5"/>
    <n v="2025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s v="Pump, 3/3, Dynapro CVD, High Chrome"/>
    <n v="0"/>
    <m/>
    <m/>
    <m/>
    <m/>
    <s v=""/>
    <s v=""/>
    <s v=""/>
    <s v=""/>
    <x v="1"/>
    <x v="3"/>
    <n v="0"/>
    <s v=""/>
  </r>
  <r>
    <n v="1"/>
    <s v="SO16556"/>
    <m/>
    <x v="0"/>
    <m/>
    <m/>
    <s v="Yannett Yeomans"/>
    <n v="2"/>
    <n v="2025"/>
    <s v="INV12867"/>
    <s v=""/>
    <s v=""/>
    <m/>
    <s v="Dynapro Pumps México S de RL de CV"/>
    <s v="USD"/>
    <n v="5240.7712292499091"/>
    <n v="3669"/>
    <x v="1"/>
    <n v="0"/>
    <n v="0"/>
    <m/>
    <m/>
    <m/>
    <m/>
    <s v=""/>
    <s v=""/>
    <s v=""/>
    <s v=""/>
    <s v=""/>
    <s v=""/>
    <s v=""/>
    <s v=""/>
    <s v="Shaft 1200mm, 100RV-SPR, 1045"/>
    <n v="0"/>
    <m/>
    <m/>
    <m/>
    <m/>
    <s v=""/>
    <s v=""/>
    <s v=""/>
    <s v=""/>
    <x v="0"/>
    <x v="4"/>
    <n v="0"/>
    <s v="MEX"/>
  </r>
  <r>
    <n v="1"/>
    <s v="SO16557"/>
    <m/>
    <x v="0"/>
    <m/>
    <m/>
    <s v="Taylor Cook"/>
    <n v="2"/>
    <n v="2025"/>
    <s v="INV12636"/>
    <n v="3"/>
    <n v="2025"/>
    <m/>
    <s v="Canadian Bearings Ltd."/>
    <s v="CAD"/>
    <n v="270.35000000000002"/>
    <n v="190.5760604117369"/>
    <x v="0"/>
    <n v="0"/>
    <n v="190.5760604117369"/>
    <m/>
    <m/>
    <m/>
    <m/>
    <s v=""/>
    <s v=""/>
    <s v=""/>
    <s v=""/>
    <s v=""/>
    <s v=""/>
    <s v=""/>
    <s v=""/>
    <s v="Shim Set, A-C PWO-C Group 1, Plastic"/>
    <n v="0"/>
    <m/>
    <m/>
    <m/>
    <m/>
    <s v=""/>
    <s v=""/>
    <s v=""/>
    <s v=""/>
    <x v="0"/>
    <x v="0"/>
    <n v="2.8586409061760536"/>
    <s v="Yes"/>
  </r>
  <r>
    <n v="1"/>
    <s v="SO16558"/>
    <m/>
    <x v="0"/>
    <m/>
    <m/>
    <s v="Ian Trottier"/>
    <n v="2"/>
    <n v="2025"/>
    <s v="INV12977"/>
    <n v="5"/>
    <n v="2025"/>
    <m/>
    <s v="Les Pompes du St-Laurent Inc."/>
    <s v="CAD"/>
    <n v="3356.2"/>
    <n v="2345.1662546957505"/>
    <x v="0"/>
    <n v="0"/>
    <n v="2345.1662546957505"/>
    <m/>
    <m/>
    <m/>
    <m/>
    <s v=""/>
    <s v=""/>
    <s v=""/>
    <s v=""/>
    <s v=""/>
    <s v=""/>
    <s v=""/>
    <s v=""/>
    <s v="Impeller, 3x2-10, Durco Mark 2 Group 2, Hastelloy C, Reverse Vane"/>
    <n v="0"/>
    <m/>
    <m/>
    <m/>
    <m/>
    <s v=""/>
    <s v=""/>
    <s v=""/>
    <s v=""/>
    <x v="0"/>
    <x v="0"/>
    <n v="35.177493820436254"/>
    <s v="Yes"/>
  </r>
  <r>
    <n v="1"/>
    <s v="SO16559"/>
    <m/>
    <x v="0"/>
    <m/>
    <m/>
    <s v="Taylor Cook"/>
    <n v="2"/>
    <n v="2025"/>
    <s v="INV12640"/>
    <n v="3"/>
    <n v="2025"/>
    <m/>
    <s v="Tantalum Mining Corporation of Canada"/>
    <s v="CAD"/>
    <n v="2019.47"/>
    <n v="1418.2424870991472"/>
    <x v="0"/>
    <n v="0"/>
    <n v="1418.2424870991472"/>
    <m/>
    <m/>
    <m/>
    <m/>
    <s v=""/>
    <s v=""/>
    <s v=""/>
    <s v=""/>
    <s v=""/>
    <s v=""/>
    <s v=""/>
    <s v=""/>
    <s v="Shaft Sleeve, 8x6-18 &amp; 10x8-21 SRL-C, Steel"/>
    <n v="0"/>
    <m/>
    <m/>
    <m/>
    <m/>
    <s v=""/>
    <s v=""/>
    <s v=""/>
    <s v=""/>
    <x v="0"/>
    <x v="0"/>
    <n v="21.273637306487206"/>
    <s v="Yes"/>
  </r>
  <r>
    <n v="1"/>
    <s v="SO16560"/>
    <m/>
    <x v="0"/>
    <m/>
    <m/>
    <s v="Ian Trottier"/>
    <n v="2"/>
    <n v="2025"/>
    <s v="INV12622"/>
    <n v="4"/>
    <n v="2025"/>
    <m/>
    <s v="Resolute Forest Products - Kenogami"/>
    <s v="CAD"/>
    <n v="939.78"/>
    <n v="657.71488954735526"/>
    <x v="0"/>
    <n v="0"/>
    <n v="657.71488954735526"/>
    <m/>
    <m/>
    <m/>
    <m/>
    <s v=""/>
    <s v=""/>
    <s v=""/>
    <s v=""/>
    <s v=""/>
    <s v=""/>
    <s v=""/>
    <s v=""/>
    <s v="Shaft Sleeve, PWO Frame 2, 316SS"/>
    <n v="0"/>
    <m/>
    <m/>
    <m/>
    <m/>
    <s v=""/>
    <s v=""/>
    <s v=""/>
    <s v=""/>
    <x v="0"/>
    <x v="0"/>
    <n v="9.8657233432103286"/>
    <s v="Yes"/>
  </r>
  <r>
    <n v="1"/>
    <s v="SO16561"/>
    <m/>
    <x v="0"/>
    <m/>
    <m/>
    <s v="Ian Trottier"/>
    <n v="2"/>
    <n v="2025"/>
    <s v="INV12693"/>
    <n v="4"/>
    <n v="2025"/>
    <m/>
    <s v="Sealtrac Inc."/>
    <s v="CAD"/>
    <n v="537.27"/>
    <n v="377.31639541253833"/>
    <x v="0"/>
    <n v="0"/>
    <n v="377.31639541253833"/>
    <m/>
    <m/>
    <m/>
    <m/>
    <s v=""/>
    <s v=""/>
    <s v=""/>
    <s v=""/>
    <s v=""/>
    <s v=""/>
    <s v=""/>
    <s v=""/>
    <s v="Coupling Guard, 3196 MTX, Fabricated Steel, Drum Style"/>
    <n v="0"/>
    <m/>
    <m/>
    <m/>
    <m/>
    <s v=""/>
    <s v=""/>
    <s v=""/>
    <s v=""/>
    <x v="0"/>
    <x v="0"/>
    <n v="5.6597459311880751"/>
    <s v="Yes"/>
  </r>
  <r>
    <n v="2"/>
    <s v="SO16564"/>
    <m/>
    <x v="0"/>
    <m/>
    <m/>
    <s v="Taylor Cook"/>
    <n v="2"/>
    <n v="2025"/>
    <s v="INV12880"/>
    <n v="5"/>
    <n v="2025"/>
    <m/>
    <s v="Sling-Choker Manufacturing - Timmins"/>
    <s v="CAD"/>
    <n v="13281.16"/>
    <n v="9281.8105690133762"/>
    <x v="0"/>
    <n v="0"/>
    <n v="9281.8105690133762"/>
    <m/>
    <m/>
    <m/>
    <m/>
    <s v=""/>
    <s v=""/>
    <s v=""/>
    <s v=""/>
    <s v=""/>
    <s v=""/>
    <s v=""/>
    <s v=""/>
    <s v="Impeller, 4x6-19, 3180-M, 316SS, 5-Vane"/>
    <n v="0"/>
    <m/>
    <m/>
    <m/>
    <m/>
    <s v=""/>
    <s v=""/>
    <s v=""/>
    <s v=""/>
    <x v="0"/>
    <x v="0"/>
    <n v="139.22715853520063"/>
    <s v="Yes"/>
  </r>
  <r>
    <n v="2"/>
    <s v="SO16564"/>
    <m/>
    <x v="0"/>
    <m/>
    <m/>
    <n v="0"/>
    <n v="2"/>
    <n v="2025"/>
    <s v="INV12664"/>
    <n v="3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s v="Impeller, 4x6-19, 3180-M, 316SS, 5-Vane"/>
    <n v="0"/>
    <m/>
    <m/>
    <m/>
    <m/>
    <s v=""/>
    <s v=""/>
    <s v=""/>
    <s v=""/>
    <x v="0"/>
    <x v="0"/>
    <n v="0"/>
    <s v=""/>
  </r>
  <r>
    <n v="1"/>
    <s v="SO16568"/>
    <m/>
    <x v="0"/>
    <m/>
    <m/>
    <s v="Ian Trottier"/>
    <n v="2"/>
    <n v="2025"/>
    <s v="INV12741"/>
    <n v="4"/>
    <n v="2025"/>
    <m/>
    <s v="Les Pompes du St-Laurent Inc."/>
    <s v="CAD"/>
    <n v="1209.1300000000001"/>
    <n v="842.66590406184275"/>
    <x v="0"/>
    <n v="0"/>
    <n v="842.66590406184275"/>
    <m/>
    <m/>
    <m/>
    <m/>
    <s v=""/>
    <s v=""/>
    <s v=""/>
    <s v=""/>
    <s v=""/>
    <s v=""/>
    <s v=""/>
    <s v=""/>
    <s v="Shaft Assembly, 3x3-10 SRL &amp; SRL-C, 1045 Steel"/>
    <n v="0"/>
    <m/>
    <m/>
    <m/>
    <m/>
    <s v=""/>
    <s v=""/>
    <s v=""/>
    <s v=""/>
    <x v="0"/>
    <x v="0"/>
    <n v="12.639988560927641"/>
    <s v="Yes"/>
  </r>
  <r>
    <n v="1"/>
    <s v="SO16569"/>
    <m/>
    <x v="0"/>
    <m/>
    <m/>
    <s v="Jeff Bell"/>
    <n v="2"/>
    <n v="2025"/>
    <s v="INV12645"/>
    <n v="4"/>
    <n v="2025"/>
    <m/>
    <s v="Barrick Gold - Pueblo Viejo Dominicana Corporation"/>
    <s v="USD"/>
    <n v="14139.591623106726"/>
    <n v="9893.2000000000007"/>
    <x v="0"/>
    <n v="0"/>
    <n v="9893.2000000000007"/>
    <m/>
    <m/>
    <m/>
    <m/>
    <s v=""/>
    <s v=""/>
    <s v=""/>
    <s v=""/>
    <s v=""/>
    <s v=""/>
    <s v=""/>
    <s v=""/>
    <s v="Impeller Wear Ring, 10JKH/M, 5.12x5.48x0.88, Duplex SS 2507 w/Ion Nitriding"/>
    <n v="0"/>
    <m/>
    <m/>
    <m/>
    <m/>
    <s v=""/>
    <s v=""/>
    <s v=""/>
    <s v=""/>
    <x v="1"/>
    <x v="3"/>
    <n v="148.398"/>
    <s v="Yes"/>
  </r>
  <r>
    <n v="2"/>
    <s v="SO16570"/>
    <m/>
    <x v="0"/>
    <m/>
    <m/>
    <s v="Taylor Cook"/>
    <n v="2"/>
    <n v="2025"/>
    <s v="INV12628"/>
    <n v="3"/>
    <n v="2025"/>
    <m/>
    <s v="Eleazar General &amp; Industrial Supplies Limited"/>
    <s v="USD"/>
    <n v="6885.1911813557999"/>
    <n v="4853.4799999999996"/>
    <x v="0"/>
    <n v="0"/>
    <n v="4853.4799999999996"/>
    <m/>
    <m/>
    <m/>
    <m/>
    <s v=""/>
    <s v=""/>
    <s v=""/>
    <s v=""/>
    <s v=""/>
    <s v=""/>
    <s v=""/>
    <s v=""/>
    <s v="Shaft Sleeve, 5x4/5x5/6X6 SRL-C &amp; SRL, 420SS Heat Treated, Hardened"/>
    <n v="0"/>
    <m/>
    <m/>
    <m/>
    <m/>
    <s v=""/>
    <s v=""/>
    <s v=""/>
    <s v=""/>
    <x v="0"/>
    <x v="0"/>
    <n v="72.802199999999985"/>
    <s v="Yes"/>
  </r>
  <r>
    <n v="2"/>
    <s v="SO16570"/>
    <m/>
    <x v="0"/>
    <m/>
    <m/>
    <n v="0"/>
    <n v="2"/>
    <n v="2025"/>
    <s v="INV12836"/>
    <n v="5"/>
    <n v="2025"/>
    <m/>
    <s v="Eleazar General &amp; Industrial Supplies Limited"/>
    <s v="USD"/>
    <n v="0"/>
    <n v="0"/>
    <x v="1"/>
    <n v="0"/>
    <n v="0"/>
    <m/>
    <m/>
    <m/>
    <m/>
    <s v=""/>
    <s v=""/>
    <s v=""/>
    <s v=""/>
    <s v=""/>
    <s v=""/>
    <s v=""/>
    <s v=""/>
    <s v="Shaft Sleeve, 5x4/5x5/6X6 SRL-C &amp; SRL, 420SS Heat Treated, Hardened"/>
    <n v="0"/>
    <m/>
    <m/>
    <m/>
    <m/>
    <s v=""/>
    <s v=""/>
    <s v=""/>
    <s v=""/>
    <x v="0"/>
    <x v="0"/>
    <n v="0"/>
    <s v=""/>
  </r>
  <r>
    <n v="1"/>
    <s v="SO16571"/>
    <m/>
    <x v="1"/>
    <m/>
    <m/>
    <s v="Marlen Martinez"/>
    <n v="2"/>
    <n v="2025"/>
    <s v="INV12619"/>
    <n v="5"/>
    <n v="2025"/>
    <m/>
    <s v="Covia Corp - Tunnel City"/>
    <s v="USD"/>
    <n v="10063.161021539487"/>
    <n v="7041"/>
    <x v="0"/>
    <n v="671"/>
    <n v="6370"/>
    <m/>
    <m/>
    <m/>
    <m/>
    <s v=""/>
    <s v=""/>
    <s v=""/>
    <s v=""/>
    <s v=""/>
    <s v=""/>
    <s v=""/>
    <s v=""/>
    <s v="Bearing Assembly w/Shaft, 10/8 to 14/12 F-AH, Metric"/>
    <n v="0"/>
    <m/>
    <m/>
    <m/>
    <m/>
    <s v=""/>
    <s v=""/>
    <s v=""/>
    <s v=""/>
    <x v="2"/>
    <x v="2"/>
    <n v="95.55"/>
    <s v="Yes"/>
  </r>
  <r>
    <n v="1"/>
    <s v="SO16572"/>
    <m/>
    <x v="0"/>
    <m/>
    <m/>
    <s v="Taylor Cook"/>
    <n v="2"/>
    <n v="2025"/>
    <s v="INV12616"/>
    <n v="4"/>
    <n v="2025"/>
    <m/>
    <s v="Hyperflo"/>
    <s v="CAD"/>
    <n v="3998.78"/>
    <n v="2794.6292693679848"/>
    <x v="0"/>
    <n v="0"/>
    <n v="2794.6292693679848"/>
    <m/>
    <m/>
    <m/>
    <m/>
    <s v=""/>
    <s v=""/>
    <s v=""/>
    <s v=""/>
    <s v=""/>
    <s v=""/>
    <s v=""/>
    <s v=""/>
    <s v="Suction Side Casing, 3x3-10 SRL-C, Cast Iron"/>
    <n v="0"/>
    <m/>
    <m/>
    <m/>
    <m/>
    <s v=""/>
    <s v=""/>
    <s v=""/>
    <s v=""/>
    <x v="0"/>
    <x v="0"/>
    <n v="41.919439040519769"/>
    <s v="Yes"/>
  </r>
  <r>
    <n v="1"/>
    <s v="SO16574"/>
    <m/>
    <x v="0"/>
    <m/>
    <m/>
    <s v="Yannett Yeomans"/>
    <n v="2"/>
    <n v="2025"/>
    <s v="INV13016"/>
    <s v=""/>
    <s v=""/>
    <m/>
    <s v="Dynapro Pumps México S de RL de CV"/>
    <s v="USD"/>
    <n v="18579.902468401269"/>
    <n v="13000"/>
    <x v="1"/>
    <n v="0"/>
    <n v="0"/>
    <m/>
    <m/>
    <m/>
    <m/>
    <s v=""/>
    <s v=""/>
    <s v=""/>
    <s v=""/>
    <s v=""/>
    <s v=""/>
    <s v=""/>
    <s v=""/>
    <s v="Intermediate Bowl, Vertical Turbine Pump, 18DMC-2, 420SS"/>
    <n v="0"/>
    <m/>
    <m/>
    <m/>
    <m/>
    <s v=""/>
    <s v=""/>
    <s v=""/>
    <s v=""/>
    <x v="0"/>
    <x v="4"/>
    <n v="0"/>
    <s v="MEX"/>
  </r>
  <r>
    <n v="1"/>
    <s v="SO16577"/>
    <m/>
    <x v="0"/>
    <m/>
    <m/>
    <s v="Jeff Bell"/>
    <n v="2"/>
    <n v="2025"/>
    <s v="INV12647"/>
    <n v="4"/>
    <n v="2025"/>
    <m/>
    <s v="Barrick Gold - Pueblo Viejo Dominicana Corporation"/>
    <s v="USD"/>
    <n v="18719.218570314879"/>
    <n v="13072.47"/>
    <x v="0"/>
    <n v="0"/>
    <n v="13072.47"/>
    <m/>
    <m/>
    <m/>
    <m/>
    <s v=""/>
    <s v=""/>
    <s v=""/>
    <s v=""/>
    <s v=""/>
    <s v=""/>
    <s v=""/>
    <s v=""/>
    <s v="Sleeve Bearing (Bowl), ThorPlas-Blue, HPCW"/>
    <n v="0"/>
    <m/>
    <m/>
    <m/>
    <m/>
    <s v=""/>
    <s v=""/>
    <s v=""/>
    <s v=""/>
    <x v="1"/>
    <x v="3"/>
    <n v="196.08704999999998"/>
    <s v="Yes"/>
  </r>
  <r>
    <n v="1"/>
    <s v="SO16578"/>
    <m/>
    <x v="0"/>
    <m/>
    <m/>
    <s v="Taylor Cook"/>
    <n v="2"/>
    <n v="2025"/>
    <s v="INV12692"/>
    <n v="4"/>
    <n v="2025"/>
    <m/>
    <s v="Sealtrac Inc."/>
    <s v="CAD"/>
    <n v="778.8"/>
    <n v="548.65124550235089"/>
    <x v="0"/>
    <n v="0"/>
    <n v="548.65124550235089"/>
    <m/>
    <m/>
    <m/>
    <m/>
    <s v=""/>
    <s v=""/>
    <s v=""/>
    <s v=""/>
    <s v=""/>
    <s v=""/>
    <s v=""/>
    <s v=""/>
    <s v="Casing Gasket, 10&quot;, 3196 MTX, Teflon"/>
    <n v="0"/>
    <m/>
    <m/>
    <m/>
    <m/>
    <s v=""/>
    <s v=""/>
    <s v=""/>
    <s v=""/>
    <x v="0"/>
    <x v="0"/>
    <n v="8.2297686825352638"/>
    <s v="Yes"/>
  </r>
  <r>
    <n v="1"/>
    <s v="SO16579"/>
    <m/>
    <x v="0"/>
    <m/>
    <m/>
    <s v="Ian Trottier"/>
    <n v="2"/>
    <n v="2025"/>
    <s v="INV12623"/>
    <n v="4"/>
    <n v="2025"/>
    <m/>
    <s v="Resolute Forest Products - Saint-Felicien"/>
    <s v="CAD"/>
    <n v="161.57"/>
    <n v="112.91650229614662"/>
    <x v="0"/>
    <n v="0"/>
    <n v="112.91650229614662"/>
    <m/>
    <m/>
    <m/>
    <m/>
    <s v=""/>
    <s v=""/>
    <s v=""/>
    <s v=""/>
    <s v=""/>
    <s v=""/>
    <s v=""/>
    <s v=""/>
    <s v="Bearing Isolator (Outboard), 3196 STX/STi, 303SS Rotor / Bronze Stator w/Viton"/>
    <n v="0"/>
    <m/>
    <m/>
    <m/>
    <m/>
    <s v=""/>
    <s v=""/>
    <s v=""/>
    <s v=""/>
    <x v="0"/>
    <x v="0"/>
    <n v="1.6937475344421993"/>
    <s v="Yes"/>
  </r>
  <r>
    <n v="1"/>
    <s v="SO16580"/>
    <m/>
    <x v="3"/>
    <m/>
    <m/>
    <s v="Amanda Qiao"/>
    <n v="2"/>
    <n v="2025"/>
    <s v="INV12712"/>
    <n v="7"/>
    <n v="2025"/>
    <n v="2503"/>
    <s v="Zijin Mining - Rosebel Goldmines N.V."/>
    <s v="USD"/>
    <n v="225.24687997834616"/>
    <n v="157.30000000000001"/>
    <x v="0"/>
    <n v="0"/>
    <n v="157.30000000000001"/>
    <m/>
    <s v="Renewal"/>
    <m/>
    <m/>
    <s v=""/>
    <n v="5.0000000000000001E-3"/>
    <s v=""/>
    <s v=""/>
    <s v=""/>
    <n v="0.78650000000000009"/>
    <s v=""/>
    <s v=""/>
    <s v="Gaskets &amp; Seals Set, 65QV-SP"/>
    <n v="0.78650000000000009"/>
    <m/>
    <n v="2503"/>
    <m/>
    <m/>
    <s v=""/>
    <n v="0"/>
    <s v=""/>
    <s v=""/>
    <x v="1"/>
    <x v="1"/>
    <n v="2.3595000000000002"/>
    <s v="Yes"/>
  </r>
  <r>
    <n v="2"/>
    <s v="SO16581"/>
    <m/>
    <x v="0"/>
    <s v="Amanda Q"/>
    <m/>
    <s v="Amanda Qiao"/>
    <n v="2"/>
    <n v="2025"/>
    <s v="INV13214"/>
    <n v="9"/>
    <n v="2025"/>
    <n v="2503"/>
    <s v="AGM Inc."/>
    <s v="USD"/>
    <n v="44264.602534226957"/>
    <n v="31860"/>
    <x v="0"/>
    <n v="0"/>
    <n v="31860"/>
    <m/>
    <m/>
    <s v="Renewal"/>
    <m/>
    <s v=""/>
    <s v=""/>
    <n v="0.01"/>
    <s v=""/>
    <s v=""/>
    <s v=""/>
    <n v="318.60000000000002"/>
    <s v=""/>
    <s v="Single Cartridge Seal, 1 3/8&quot;, John Crane 4600 Series, 3196 STX or Durco Mark 3 Group 1, Standard Bore, Carbon vs Silicon Carbide w/Viton Elastomers"/>
    <n v="318.60000000000002"/>
    <m/>
    <m/>
    <n v="2503"/>
    <m/>
    <s v=""/>
    <s v=""/>
    <n v="0"/>
    <s v=""/>
    <x v="1"/>
    <x v="1"/>
    <n v="477.9"/>
    <s v="Yes"/>
  </r>
  <r>
    <n v="2"/>
    <s v="SO16581"/>
    <m/>
    <x v="0"/>
    <s v="Amanda Q"/>
    <m/>
    <n v="0"/>
    <n v="2"/>
    <n v="2025"/>
    <s v="INV13188"/>
    <n v="9"/>
    <n v="2025"/>
    <n v="2503"/>
    <s v="AGM Inc."/>
    <s v="USD"/>
    <n v="0"/>
    <n v="0"/>
    <x v="1"/>
    <n v="0"/>
    <n v="0"/>
    <m/>
    <m/>
    <s v="Renewal"/>
    <m/>
    <s v=""/>
    <s v=""/>
    <n v="0.01"/>
    <s v=""/>
    <s v=""/>
    <s v=""/>
    <n v="0"/>
    <s v=""/>
    <s v="Single Cartridge Seal, 1 3/8&quot;, John Crane 4600 Series, 3196 STX or Durco Mark 3 Group 1, Standard Bore, Carbon vs Silicon Carbide w/Viton Elastomers"/>
    <n v="0"/>
    <m/>
    <m/>
    <n v="2503"/>
    <m/>
    <s v=""/>
    <s v=""/>
    <n v="0"/>
    <s v=""/>
    <x v="1"/>
    <x v="1"/>
    <n v="0"/>
    <s v=""/>
  </r>
  <r>
    <n v="1"/>
    <s v="SO16583"/>
    <m/>
    <x v="0"/>
    <m/>
    <m/>
    <s v="Taylor Cook"/>
    <n v="2"/>
    <n v="2025"/>
    <s v="INV12632"/>
    <n v="4"/>
    <n v="2025"/>
    <m/>
    <s v="Les Pompes du St-Laurent Inc."/>
    <s v="CAD"/>
    <n v="3529.3"/>
    <n v="2466.5235597808401"/>
    <x v="0"/>
    <n v="0"/>
    <n v="2466.5235597808401"/>
    <m/>
    <m/>
    <m/>
    <m/>
    <s v=""/>
    <s v=""/>
    <s v=""/>
    <s v=""/>
    <s v=""/>
    <s v=""/>
    <s v=""/>
    <s v=""/>
    <s v="Stuffing Box Cover, 13&quot;, 3196 LTX, CD4MCu, Standard Bore, Non-Jacketed"/>
    <n v="0"/>
    <m/>
    <m/>
    <m/>
    <m/>
    <s v=""/>
    <s v=""/>
    <s v=""/>
    <s v=""/>
    <x v="0"/>
    <x v="0"/>
    <n v="36.9978533967126"/>
    <s v="Yes"/>
  </r>
  <r>
    <n v="1"/>
    <s v="SO16584"/>
    <m/>
    <x v="1"/>
    <m/>
    <m/>
    <s v="Marlen Martinez"/>
    <n v="2"/>
    <n v="2025"/>
    <s v="Borrador de factura INV12661"/>
    <s v=""/>
    <s v=""/>
    <m/>
    <s v="Covia Corp - Junction City"/>
    <s v="USD"/>
    <n v="4537.8726169827014"/>
    <n v="3169"/>
    <x v="1"/>
    <n v="0"/>
    <n v="0"/>
    <m/>
    <m/>
    <m/>
    <m/>
    <s v=""/>
    <s v=""/>
    <s v=""/>
    <s v=""/>
    <s v=""/>
    <s v=""/>
    <s v=""/>
    <s v=""/>
    <s v="Throatbush, 300 RSL, High Chrome"/>
    <n v="0"/>
    <m/>
    <m/>
    <m/>
    <m/>
    <s v=""/>
    <s v=""/>
    <s v=""/>
    <s v=""/>
    <x v="2"/>
    <x v="2"/>
    <n v="0"/>
    <s v=""/>
  </r>
  <r>
    <n v="2"/>
    <s v="SO16586"/>
    <m/>
    <x v="0"/>
    <m/>
    <m/>
    <s v="Ian Trottier"/>
    <n v="2"/>
    <n v="2025"/>
    <s v="INV12904"/>
    <n v="5"/>
    <n v="2025"/>
    <m/>
    <s v="Motion Industries Inc. (Canada) - Winnipeg"/>
    <s v="CAD"/>
    <n v="122.96"/>
    <n v="85.453651369883389"/>
    <x v="0"/>
    <n v="0"/>
    <n v="85.453651369883389"/>
    <m/>
    <m/>
    <m/>
    <m/>
    <s v=""/>
    <s v=""/>
    <s v=""/>
    <s v=""/>
    <s v=""/>
    <s v=""/>
    <s v=""/>
    <s v=""/>
    <s v="Impeller Gasket, Durco Mark 2 Group 2, Grafoil"/>
    <n v="0"/>
    <m/>
    <m/>
    <m/>
    <m/>
    <s v=""/>
    <s v=""/>
    <s v=""/>
    <s v=""/>
    <x v="0"/>
    <x v="0"/>
    <n v="1.2818047705482507"/>
    <s v="Yes"/>
  </r>
  <r>
    <n v="2"/>
    <s v="SO16586"/>
    <m/>
    <x v="0"/>
    <m/>
    <m/>
    <n v="0"/>
    <n v="2"/>
    <n v="2025"/>
    <s v="INV12717"/>
    <n v="4"/>
    <n v="2025"/>
    <m/>
    <s v="Motion Industries Inc. (Canada) - Winnipeg"/>
    <s v="CAD"/>
    <n v="0"/>
    <n v="0"/>
    <x v="1"/>
    <n v="0"/>
    <n v="0"/>
    <m/>
    <m/>
    <m/>
    <m/>
    <s v=""/>
    <s v=""/>
    <s v=""/>
    <s v=""/>
    <s v=""/>
    <s v=""/>
    <s v=""/>
    <s v=""/>
    <s v="Impeller Gasket, Durco Mark 2 Group 2, Grafoil"/>
    <n v="0"/>
    <m/>
    <m/>
    <m/>
    <m/>
    <s v=""/>
    <s v=""/>
    <s v=""/>
    <s v=""/>
    <x v="0"/>
    <x v="0"/>
    <n v="0"/>
    <s v=""/>
  </r>
  <r>
    <n v="1"/>
    <s v="SO16588"/>
    <m/>
    <x v="0"/>
    <m/>
    <m/>
    <s v="Amanda Qiao"/>
    <n v="2"/>
    <n v="2025"/>
    <s v="INV12879"/>
    <n v="6"/>
    <n v="2025"/>
    <m/>
    <s v="Resolute Forest Products - Saint-Felicien"/>
    <s v="CAD"/>
    <n v="2429.21"/>
    <n v="1707.0693681429079"/>
    <x v="0"/>
    <n v="0"/>
    <n v="1707.0693681429079"/>
    <m/>
    <m/>
    <m/>
    <m/>
    <s v=""/>
    <s v=""/>
    <s v=""/>
    <s v=""/>
    <s v=""/>
    <s v=""/>
    <s v=""/>
    <s v=""/>
    <s v="Impeller (Open), 4x3-13, Allis Chalmers CSO, 316SS, 6 Vanes"/>
    <n v="0"/>
    <m/>
    <m/>
    <m/>
    <m/>
    <s v=""/>
    <s v=""/>
    <s v=""/>
    <s v=""/>
    <x v="0"/>
    <x v="0"/>
    <n v="25.606040522143619"/>
    <s v="Yes"/>
  </r>
  <r>
    <n v="1"/>
    <s v="SO16589"/>
    <m/>
    <x v="0"/>
    <m/>
    <m/>
    <s v="Taylor Cook"/>
    <n v="2"/>
    <n v="2025"/>
    <s v="INV12672"/>
    <n v="3"/>
    <n v="2025"/>
    <m/>
    <s v="Cartledge &amp; Associates Inc."/>
    <s v="USD"/>
    <n v="7479.5600468223229"/>
    <n v="5272.46"/>
    <x v="0"/>
    <n v="590"/>
    <n v="4682.46"/>
    <m/>
    <m/>
    <m/>
    <m/>
    <s v=""/>
    <s v=""/>
    <s v=""/>
    <s v=""/>
    <s v=""/>
    <s v=""/>
    <s v=""/>
    <s v=""/>
    <s v="Impeller (Closed), 3x3-10 SRL-C, Natural Rubber"/>
    <n v="0"/>
    <m/>
    <m/>
    <m/>
    <m/>
    <s v=""/>
    <s v=""/>
    <s v=""/>
    <s v=""/>
    <x v="0"/>
    <x v="0"/>
    <n v="70.236899999999991"/>
    <s v="Yes"/>
  </r>
  <r>
    <n v="1"/>
    <s v="SO16592"/>
    <m/>
    <x v="0"/>
    <s v="Amanda Q"/>
    <m/>
    <s v="Amanda Qiao"/>
    <n v="2"/>
    <n v="2025"/>
    <s v="INV12943"/>
    <n v="9"/>
    <n v="2025"/>
    <n v="2503"/>
    <s v="Zijin Mining - Rosebel Goldmines N.V."/>
    <s v="USD"/>
    <n v="60987.568640793208"/>
    <n v="42873.38"/>
    <x v="0"/>
    <n v="0"/>
    <n v="42873.38"/>
    <m/>
    <m/>
    <s v="New Opportunity"/>
    <m/>
    <s v=""/>
    <s v=""/>
    <n v="0.02"/>
    <s v=""/>
    <s v=""/>
    <s v=""/>
    <n v="857.46759999999995"/>
    <s v=""/>
    <s v="Pump, NM053BY01L06B"/>
    <n v="857.46759999999995"/>
    <m/>
    <m/>
    <n v="2503"/>
    <m/>
    <s v=""/>
    <s v=""/>
    <n v="0"/>
    <s v=""/>
    <x v="1"/>
    <x v="1"/>
    <n v="643.10069999999996"/>
    <s v="Yes"/>
  </r>
  <r>
    <n v="1"/>
    <s v="SO16593"/>
    <m/>
    <x v="0"/>
    <m/>
    <m/>
    <s v="Jeff Bell"/>
    <n v="2"/>
    <n v="2025"/>
    <s v="INV13152"/>
    <n v="8"/>
    <n v="2025"/>
    <m/>
    <s v="Barrick Gold - Pueblo Viejo Dominicana Corporation"/>
    <s v="USD"/>
    <n v="2544.1767381932414"/>
    <n v="1778.05"/>
    <x v="0"/>
    <n v="0"/>
    <n v="1778.05"/>
    <m/>
    <m/>
    <m/>
    <m/>
    <s v=""/>
    <s v=""/>
    <s v=""/>
    <s v=""/>
    <s v=""/>
    <s v=""/>
    <s v=""/>
    <s v=""/>
    <s v="40 HP, 1800 RPM, 230/460/3/60, 324 T Frame, Premium Efficiency TEFC, Teco-Westinghouse Motor"/>
    <n v="0"/>
    <m/>
    <m/>
    <m/>
    <m/>
    <s v=""/>
    <s v=""/>
    <s v=""/>
    <s v=""/>
    <x v="1"/>
    <x v="3"/>
    <n v="26.670749999999998"/>
    <s v="Yes"/>
  </r>
  <r>
    <n v="1"/>
    <s v="SO16595"/>
    <m/>
    <x v="0"/>
    <m/>
    <m/>
    <s v="Ian Trottier"/>
    <n v="2"/>
    <n v="2025"/>
    <s v="INV12633"/>
    <n v="4"/>
    <n v="2025"/>
    <m/>
    <s v="Les Pompes du St-Laurent Inc."/>
    <s v="CAD"/>
    <n v="8679.65"/>
    <n v="6123.7303425838754"/>
    <x v="0"/>
    <n v="0"/>
    <n v="6123.7303425838754"/>
    <m/>
    <m/>
    <m/>
    <m/>
    <s v=""/>
    <s v=""/>
    <s v=""/>
    <s v=""/>
    <s v=""/>
    <s v=""/>
    <s v=""/>
    <s v=""/>
    <s v="Stuffing Box Cover, 13&quot;, 3196 MTX, CD4MCu, Standard Bore, Non-Jacketed"/>
    <n v="0"/>
    <m/>
    <m/>
    <m/>
    <m/>
    <s v=""/>
    <s v=""/>
    <s v=""/>
    <s v=""/>
    <x v="0"/>
    <x v="0"/>
    <n v="91.855955138758134"/>
    <s v="Yes"/>
  </r>
  <r>
    <n v="1"/>
    <s v="SO16596"/>
    <m/>
    <x v="0"/>
    <m/>
    <m/>
    <s v="Taylor Cook"/>
    <n v="2"/>
    <n v="2025"/>
    <s v="INV12634"/>
    <n v="4"/>
    <n v="2025"/>
    <m/>
    <s v="Les Pompes du St-Laurent Inc."/>
    <s v="CAD"/>
    <n v="3005"/>
    <n v="2111.6920526712133"/>
    <x v="0"/>
    <n v="0"/>
    <n v="2111.6920526712133"/>
    <m/>
    <m/>
    <m/>
    <m/>
    <s v=""/>
    <s v=""/>
    <s v=""/>
    <s v=""/>
    <s v=""/>
    <s v=""/>
    <s v=""/>
    <s v=""/>
    <s v="Casing, 2x3-10, 3196 MTX, CD4MCu"/>
    <n v="0"/>
    <m/>
    <m/>
    <m/>
    <m/>
    <s v=""/>
    <s v=""/>
    <s v=""/>
    <s v=""/>
    <x v="0"/>
    <x v="0"/>
    <n v="31.6753807900682"/>
    <s v="Yes"/>
  </r>
  <r>
    <n v="1"/>
    <s v="SO16597"/>
    <m/>
    <x v="0"/>
    <m/>
    <m/>
    <s v="Taylor Cook"/>
    <n v="2"/>
    <n v="2025"/>
    <s v="INV12655"/>
    <n v="4"/>
    <n v="2025"/>
    <m/>
    <s v="Manufacture Sling-Choker (Val-d’Or) Ltée"/>
    <s v="CAD"/>
    <n v="2740.17"/>
    <n v="1931.6101478025862"/>
    <x v="0"/>
    <n v="0"/>
    <n v="1931.6101478025862"/>
    <m/>
    <m/>
    <m/>
    <m/>
    <s v=""/>
    <s v=""/>
    <s v=""/>
    <s v=""/>
    <s v=""/>
    <s v=""/>
    <s v=""/>
    <s v=""/>
    <s v="Suction Side Liner, 5x5-14 SRL, Natural Rubber"/>
    <n v="0"/>
    <m/>
    <m/>
    <m/>
    <m/>
    <s v=""/>
    <s v=""/>
    <s v=""/>
    <s v=""/>
    <x v="0"/>
    <x v="0"/>
    <n v="28.974152217038792"/>
    <s v="Yes"/>
  </r>
  <r>
    <n v="1"/>
    <s v="SO16598"/>
    <m/>
    <x v="0"/>
    <m/>
    <m/>
    <s v="Taylor Cook"/>
    <n v="2"/>
    <n v="2025"/>
    <s v="INV12648"/>
    <n v="3"/>
    <n v="2025"/>
    <m/>
    <s v="Advanced Engineered Pump Inc."/>
    <s v="USD"/>
    <n v="368.12506695977095"/>
    <n v="259.5"/>
    <x v="0"/>
    <n v="0"/>
    <n v="259.5"/>
    <m/>
    <m/>
    <m/>
    <m/>
    <s v=""/>
    <s v=""/>
    <s v=""/>
    <s v=""/>
    <s v=""/>
    <s v=""/>
    <s v=""/>
    <s v=""/>
    <s v="Deflector (Water Slinger), 12x10-25 SRL-C, Neoprene/Steel"/>
    <n v="0"/>
    <m/>
    <m/>
    <m/>
    <m/>
    <s v=""/>
    <s v=""/>
    <s v=""/>
    <s v=""/>
    <x v="0"/>
    <x v="0"/>
    <n v="3.8925000000000001"/>
    <s v="Yes"/>
  </r>
  <r>
    <n v="1"/>
    <s v="SO16599"/>
    <m/>
    <x v="0"/>
    <m/>
    <m/>
    <s v="Amanda Qiao"/>
    <n v="2"/>
    <n v="2025"/>
    <s v="INV12639"/>
    <n v="4"/>
    <n v="2025"/>
    <m/>
    <s v="Resolute Forest Products - Clermont, Resolute Forest Products - Clermont"/>
    <s v="CAD"/>
    <n v="765.02"/>
    <n v="537.26169117668974"/>
    <x v="0"/>
    <n v="0"/>
    <n v="537.26169117668974"/>
    <m/>
    <m/>
    <m/>
    <m/>
    <s v=""/>
    <s v=""/>
    <s v=""/>
    <s v=""/>
    <s v=""/>
    <s v=""/>
    <s v=""/>
    <s v=""/>
    <s v="Shaft Sleeve, 3175-S, 316SS, Ni-Chrome Boron"/>
    <n v="0"/>
    <m/>
    <m/>
    <m/>
    <m/>
    <s v=""/>
    <s v=""/>
    <s v=""/>
    <s v=""/>
    <x v="0"/>
    <x v="0"/>
    <n v="8.0589253676503461"/>
    <s v="Yes"/>
  </r>
  <r>
    <n v="1"/>
    <s v="SO16601"/>
    <m/>
    <x v="0"/>
    <m/>
    <m/>
    <s v="Taylor Cook"/>
    <n v="2"/>
    <n v="2025"/>
    <s v="INV13505"/>
    <n v="11"/>
    <n v="2025"/>
    <m/>
    <s v="Wajax Limited - Noranda"/>
    <s v="CAD"/>
    <n v="9717.36"/>
    <n v="6855.8631145047157"/>
    <x v="0"/>
    <n v="0"/>
    <n v="6855.8631145047157"/>
    <m/>
    <m/>
    <m/>
    <m/>
    <s v=""/>
    <s v=""/>
    <s v=""/>
    <s v=""/>
    <s v=""/>
    <s v=""/>
    <s v=""/>
    <s v=""/>
    <s v="Pump, AC-SRL 2x2-10, Natural Rubber Lined, Motor Mounting Plate, Belt Guard"/>
    <n v="0"/>
    <m/>
    <m/>
    <m/>
    <m/>
    <s v=""/>
    <s v=""/>
    <s v=""/>
    <s v=""/>
    <x v="0"/>
    <x v="0"/>
    <n v="102.83794671757073"/>
    <s v="Yes"/>
  </r>
  <r>
    <n v="1"/>
    <s v="SO16603"/>
    <m/>
    <x v="0"/>
    <m/>
    <m/>
    <s v="Taylor Cook"/>
    <n v="2"/>
    <n v="2025"/>
    <s v="INV12629"/>
    <n v="3"/>
    <n v="2025"/>
    <m/>
    <s v="Motion Industries Inc. (Canada) - Prince George"/>
    <s v="CAD"/>
    <n v="3384.38"/>
    <n v="2387.7726056735032"/>
    <x v="0"/>
    <n v="0"/>
    <n v="2387.7726056735032"/>
    <m/>
    <m/>
    <m/>
    <m/>
    <s v=""/>
    <s v=""/>
    <s v=""/>
    <s v=""/>
    <s v=""/>
    <s v=""/>
    <s v=""/>
    <s v=""/>
    <s v="Casing, Sala 2&quot;, SPV, Rubber Lined"/>
    <n v="0"/>
    <m/>
    <m/>
    <m/>
    <m/>
    <s v=""/>
    <s v=""/>
    <s v=""/>
    <s v=""/>
    <x v="0"/>
    <x v="0"/>
    <n v="35.816589085102549"/>
    <s v="Yes"/>
  </r>
  <r>
    <n v="1"/>
    <s v="SO16604"/>
    <m/>
    <x v="2"/>
    <m/>
    <m/>
    <s v="Ian Trottier"/>
    <n v="2"/>
    <n v="2025"/>
    <s v="INV13207"/>
    <n v="8"/>
    <n v="2025"/>
    <n v="2503"/>
    <s v="Corrosion Fluid Products Corp."/>
    <s v="USD"/>
    <n v="16094.792469283144"/>
    <n v="11200.18"/>
    <x v="0"/>
    <n v="0"/>
    <n v="11200.18"/>
    <m/>
    <s v="Renewal"/>
    <m/>
    <m/>
    <s v=""/>
    <n v="5.0000000000000001E-3"/>
    <s v=""/>
    <s v=""/>
    <s v=""/>
    <n v="56.000900000000001"/>
    <s v=""/>
    <s v=""/>
    <s v="Shaft, 72&quot;, G-Series 4&quot; VSP, 5000 Series, #4 Drive, Neoprene Covered"/>
    <n v="56.000900000000001"/>
    <m/>
    <m/>
    <m/>
    <m/>
    <s v=""/>
    <n v="56.000900000000001"/>
    <s v=""/>
    <s v=""/>
    <x v="1"/>
    <x v="1"/>
    <n v="168.0027"/>
    <s v="Yes"/>
  </r>
  <r>
    <n v="1"/>
    <s v="SO16605"/>
    <m/>
    <x v="0"/>
    <m/>
    <m/>
    <s v="Taylor Cook"/>
    <n v="2"/>
    <n v="2025"/>
    <s v="INV12641"/>
    <n v="3"/>
    <n v="2025"/>
    <m/>
    <s v="Grant Aggregate"/>
    <s v="CAD"/>
    <n v="171.56"/>
    <n v="120.48392948978181"/>
    <x v="0"/>
    <n v="0"/>
    <n v="120.48392948978181"/>
    <m/>
    <m/>
    <m/>
    <m/>
    <s v=""/>
    <s v=""/>
    <s v=""/>
    <s v=""/>
    <s v=""/>
    <s v=""/>
    <s v=""/>
    <s v=""/>
    <s v="Bearing Cover Gasket (Inboard &amp; Outboard), 8x6-18 &amp; 10x8-21 SRL-C"/>
    <n v="0"/>
    <m/>
    <m/>
    <m/>
    <m/>
    <s v=""/>
    <s v=""/>
    <s v=""/>
    <s v=""/>
    <x v="0"/>
    <x v="0"/>
    <n v="1.8072589423467271"/>
    <s v="Yes"/>
  </r>
  <r>
    <n v="1"/>
    <s v="SO16607"/>
    <m/>
    <x v="0"/>
    <m/>
    <m/>
    <s v="Taylor Cook"/>
    <n v="2"/>
    <n v="2025"/>
    <s v="INV12657"/>
    <n v="2"/>
    <n v="2025"/>
    <m/>
    <s v="Progressive Sealing Inc."/>
    <s v="CAD"/>
    <n v="5347.22"/>
    <n v="3755.7628861307608"/>
    <x v="0"/>
    <n v="0"/>
    <n v="3755.7628861307608"/>
    <m/>
    <m/>
    <m/>
    <m/>
    <s v=""/>
    <s v=""/>
    <s v=""/>
    <s v=""/>
    <s v=""/>
    <s v=""/>
    <s v=""/>
    <s v=""/>
    <s v="Suction Side Casing, 5x4-14 SRL-C, Cast Iron"/>
    <n v="0"/>
    <m/>
    <m/>
    <m/>
    <m/>
    <s v=""/>
    <s v=""/>
    <s v=""/>
    <s v=""/>
    <x v="0"/>
    <x v="0"/>
    <n v="56.336443291961409"/>
    <s v="Yes"/>
  </r>
  <r>
    <n v="1"/>
    <s v="SO16609"/>
    <m/>
    <x v="0"/>
    <m/>
    <m/>
    <s v="Yannett Yeomans"/>
    <n v="2"/>
    <n v="2025"/>
    <s v="INV13017"/>
    <s v=""/>
    <s v=""/>
    <m/>
    <s v="Dynapro Pumps México S de RL de CV"/>
    <s v="USD"/>
    <n v="13095.845539576636"/>
    <n v="9230"/>
    <x v="1"/>
    <n v="0"/>
    <n v="0"/>
    <m/>
    <m/>
    <m/>
    <m/>
    <s v=""/>
    <s v=""/>
    <s v=""/>
    <s v=""/>
    <s v=""/>
    <s v=""/>
    <s v=""/>
    <s v=""/>
    <s v="Bowl Bearing, 12RJMC-2, Teflon"/>
    <n v="0"/>
    <m/>
    <m/>
    <m/>
    <m/>
    <s v=""/>
    <s v=""/>
    <s v=""/>
    <s v=""/>
    <x v="0"/>
    <x v="4"/>
    <n v="0"/>
    <s v="MEX"/>
  </r>
  <r>
    <n v="1"/>
    <s v="SO16610"/>
    <m/>
    <x v="0"/>
    <m/>
    <m/>
    <s v="Yannett Yeomans"/>
    <n v="2"/>
    <n v="2025"/>
    <s v="INV12863"/>
    <s v=""/>
    <s v=""/>
    <m/>
    <s v="Dynapro Pumps México S de RL de CV"/>
    <s v="USD"/>
    <n v="8081.683227890413"/>
    <n v="5696"/>
    <x v="1"/>
    <n v="0"/>
    <n v="0"/>
    <m/>
    <m/>
    <m/>
    <m/>
    <s v=""/>
    <s v=""/>
    <s v=""/>
    <s v=""/>
    <s v=""/>
    <s v=""/>
    <s v=""/>
    <s v=""/>
    <s v="Bearing Housing, Sulzer"/>
    <n v="0"/>
    <m/>
    <m/>
    <m/>
    <m/>
    <s v=""/>
    <s v=""/>
    <s v=""/>
    <s v=""/>
    <x v="0"/>
    <x v="4"/>
    <n v="0"/>
    <s v="MEX"/>
  </r>
  <r>
    <n v="1"/>
    <s v="SO16611"/>
    <m/>
    <x v="0"/>
    <m/>
    <m/>
    <s v="Yannett Yeomans"/>
    <n v="2"/>
    <n v="2025"/>
    <s v="INV12942"/>
    <s v=""/>
    <s v=""/>
    <m/>
    <s v="Dynapro Pumps México S de RL de CV"/>
    <s v="USD"/>
    <n v="5587.7972360254244"/>
    <n v="3938.3"/>
    <x v="1"/>
    <n v="0"/>
    <n v="0"/>
    <m/>
    <m/>
    <m/>
    <m/>
    <s v=""/>
    <s v=""/>
    <s v=""/>
    <s v=""/>
    <s v=""/>
    <s v=""/>
    <s v=""/>
    <s v=""/>
    <s v="Thrust Bearing Housing, 3196 LTX, Cast Iron"/>
    <n v="0"/>
    <m/>
    <m/>
    <m/>
    <m/>
    <s v=""/>
    <s v=""/>
    <s v=""/>
    <s v=""/>
    <x v="0"/>
    <x v="4"/>
    <n v="0"/>
    <s v="MEX"/>
  </r>
  <r>
    <n v="2"/>
    <s v="SO16612"/>
    <m/>
    <x v="0"/>
    <m/>
    <m/>
    <s v="Taylor Cook"/>
    <n v="2"/>
    <n v="2025"/>
    <s v="INV12705"/>
    <n v="4"/>
    <n v="2025"/>
    <m/>
    <s v="FMI Products"/>
    <s v="CAD"/>
    <n v="1188.04"/>
    <n v="837.47728060499321"/>
    <x v="0"/>
    <n v="0"/>
    <n v="837.47728060499321"/>
    <m/>
    <m/>
    <m/>
    <m/>
    <s v=""/>
    <s v=""/>
    <s v=""/>
    <s v=""/>
    <s v=""/>
    <s v=""/>
    <s v=""/>
    <s v=""/>
    <s v="Bearing Housing Retaining Ring, 3196 MTX, Carbon Steel"/>
    <n v="0"/>
    <m/>
    <m/>
    <m/>
    <m/>
    <s v=""/>
    <s v=""/>
    <s v=""/>
    <s v=""/>
    <x v="0"/>
    <x v="0"/>
    <n v="12.562159209074897"/>
    <s v="Yes"/>
  </r>
  <r>
    <n v="2"/>
    <s v="SO16612"/>
    <m/>
    <x v="0"/>
    <m/>
    <m/>
    <n v="0"/>
    <n v="2"/>
    <n v="2025"/>
    <s v="INV13052"/>
    <n v="6"/>
    <n v="2025"/>
    <m/>
    <s v="FMI Products"/>
    <s v="CAD"/>
    <n v="0"/>
    <n v="0"/>
    <x v="1"/>
    <n v="0"/>
    <n v="0"/>
    <m/>
    <m/>
    <m/>
    <m/>
    <s v=""/>
    <s v=""/>
    <s v=""/>
    <s v=""/>
    <s v=""/>
    <s v=""/>
    <s v=""/>
    <s v=""/>
    <s v="Bearing Housing Retaining Ring, 3196 MTX, Carbon Steel"/>
    <n v="0"/>
    <m/>
    <m/>
    <m/>
    <m/>
    <s v=""/>
    <s v=""/>
    <s v=""/>
    <s v=""/>
    <x v="0"/>
    <x v="0"/>
    <n v="0"/>
    <s v=""/>
  </r>
  <r>
    <n v="1"/>
    <s v="SO16613"/>
    <m/>
    <x v="0"/>
    <m/>
    <m/>
    <s v="Yannett Yeomans"/>
    <n v="2"/>
    <n v="2025"/>
    <s v="INV13018"/>
    <s v=""/>
    <s v=""/>
    <m/>
    <s v="Dynapro Pumps México S de RL de CV"/>
    <s v="USD"/>
    <n v="11791.479330177403"/>
    <n v="8312"/>
    <x v="1"/>
    <n v="0"/>
    <n v="0"/>
    <m/>
    <m/>
    <m/>
    <m/>
    <s v=""/>
    <s v=""/>
    <s v=""/>
    <s v=""/>
    <s v=""/>
    <s v=""/>
    <s v=""/>
    <s v=""/>
    <s v="Guide Bearing Body, 150FY-40, 316LSS with Nitrile"/>
    <n v="0"/>
    <m/>
    <m/>
    <m/>
    <m/>
    <s v=""/>
    <s v=""/>
    <s v=""/>
    <s v=""/>
    <x v="0"/>
    <x v="4"/>
    <n v="0"/>
    <s v="MEX"/>
  </r>
  <r>
    <n v="1"/>
    <s v="SO16615"/>
    <m/>
    <x v="0"/>
    <m/>
    <m/>
    <s v="Taylor Cook"/>
    <n v="2"/>
    <n v="2025"/>
    <s v="INV12658"/>
    <n v="4"/>
    <n v="2025"/>
    <m/>
    <s v="Wajax Limited - Noranda"/>
    <s v="CAD"/>
    <n v="2627.35"/>
    <n v="1845.1471913323517"/>
    <x v="0"/>
    <n v="0"/>
    <n v="1845.1471913323517"/>
    <m/>
    <m/>
    <m/>
    <m/>
    <s v=""/>
    <s v=""/>
    <s v=""/>
    <s v=""/>
    <s v=""/>
    <s v=""/>
    <s v=""/>
    <s v=""/>
    <s v="Volute Liner, 4/3 C or D-AH, High Chrome"/>
    <n v="0"/>
    <m/>
    <m/>
    <m/>
    <m/>
    <s v=""/>
    <s v=""/>
    <s v=""/>
    <s v=""/>
    <x v="0"/>
    <x v="0"/>
    <n v="27.677207869985274"/>
    <s v="Yes"/>
  </r>
  <r>
    <n v="2"/>
    <s v="SO16617"/>
    <m/>
    <x v="3"/>
    <m/>
    <m/>
    <s v="Amanda Qiao"/>
    <n v="2"/>
    <n v="2025"/>
    <s v="INV12680"/>
    <n v="5"/>
    <n v="2025"/>
    <n v="2503"/>
    <s v="Southeast Pump Specialist, Inc."/>
    <s v="USD"/>
    <n v="4742.5097214071429"/>
    <n v="3343.07"/>
    <x v="0"/>
    <n v="0"/>
    <n v="2754.07"/>
    <m/>
    <s v="Renewal"/>
    <m/>
    <m/>
    <s v=""/>
    <n v="5.0000000000000001E-3"/>
    <s v=""/>
    <s v=""/>
    <s v=""/>
    <n v="13.770350000000001"/>
    <s v=""/>
    <s v=""/>
    <s v="Bearing Cover (Outboard), 8x6-18 &amp; 10x8-21 SRL-C, Cast Iron"/>
    <n v="13.770350000000001"/>
    <m/>
    <n v="2503"/>
    <m/>
    <m/>
    <s v=""/>
    <n v="0"/>
    <s v=""/>
    <s v=""/>
    <x v="1"/>
    <x v="1"/>
    <n v="41.311050000000002"/>
    <s v="Yes"/>
  </r>
  <r>
    <n v="2"/>
    <s v="SO16617"/>
    <m/>
    <x v="3"/>
    <m/>
    <m/>
    <n v="0"/>
    <n v="2"/>
    <n v="2025"/>
    <s v="INV12965"/>
    <n v="7"/>
    <n v="2025"/>
    <n v="2503"/>
    <s v="Southeast Pump Specialist, Inc."/>
    <s v="USD"/>
    <n v="0"/>
    <n v="0"/>
    <x v="1"/>
    <n v="589"/>
    <n v="0"/>
    <m/>
    <s v="Renewal"/>
    <m/>
    <m/>
    <s v=""/>
    <n v="5.0000000000000001E-3"/>
    <s v=""/>
    <s v=""/>
    <s v=""/>
    <n v="0"/>
    <s v=""/>
    <s v=""/>
    <s v="Bearing Cover (Outboard), 8x6-18 &amp; 10x8-21 SRL-C, Cast Iron"/>
    <n v="0"/>
    <m/>
    <n v="2503"/>
    <m/>
    <m/>
    <s v=""/>
    <n v="0"/>
    <s v=""/>
    <s v=""/>
    <x v="1"/>
    <x v="1"/>
    <n v="0"/>
    <s v=""/>
  </r>
  <r>
    <n v="1"/>
    <s v="SO16618"/>
    <m/>
    <x v="0"/>
    <m/>
    <m/>
    <s v="Ian Trottier"/>
    <n v="2"/>
    <n v="2025"/>
    <s v="INV12700"/>
    <n v="4"/>
    <n v="2025"/>
    <m/>
    <s v="Motion Industries Inc. (Canada) - Winnipeg"/>
    <s v="CAD"/>
    <n v="641.21"/>
    <n v="445.25280689924449"/>
    <x v="0"/>
    <n v="0"/>
    <n v="445.25280689924449"/>
    <m/>
    <m/>
    <m/>
    <m/>
    <s v=""/>
    <s v=""/>
    <s v=""/>
    <s v=""/>
    <s v=""/>
    <s v=""/>
    <s v=""/>
    <s v=""/>
    <s v="Adapter (Bearing Housing), 13&quot;, Durco Mark 2&amp;3 Group 2, Ductile Iron"/>
    <n v="0"/>
    <m/>
    <m/>
    <m/>
    <m/>
    <s v=""/>
    <s v=""/>
    <s v=""/>
    <s v=""/>
    <x v="0"/>
    <x v="0"/>
    <n v="6.678792103488667"/>
    <s v="Yes"/>
  </r>
  <r>
    <n v="1"/>
    <s v="SO16619"/>
    <m/>
    <x v="0"/>
    <m/>
    <m/>
    <s v="Jeff Bell"/>
    <n v="2"/>
    <n v="2025"/>
    <s v="INV12768"/>
    <n v="5"/>
    <n v="2025"/>
    <m/>
    <s v="Barrick Gold - Pueblo Viejo Dominicana Corporation"/>
    <s v="USD"/>
    <n v="12448.678395299068"/>
    <n v="8775.27"/>
    <x v="0"/>
    <n v="0"/>
    <n v="8775.27"/>
    <m/>
    <m/>
    <m/>
    <m/>
    <s v=""/>
    <s v=""/>
    <s v=""/>
    <s v=""/>
    <s v=""/>
    <s v=""/>
    <s v=""/>
    <s v=""/>
    <s v="Service Kit, Micropump GLH-H25, Gears on Shafts, Bushings and Seals"/>
    <n v="0"/>
    <m/>
    <m/>
    <m/>
    <m/>
    <s v=""/>
    <s v=""/>
    <s v=""/>
    <s v=""/>
    <x v="1"/>
    <x v="3"/>
    <n v="131.62905000000001"/>
    <s v="Yes"/>
  </r>
  <r>
    <n v="1"/>
    <s v="SO16623"/>
    <m/>
    <x v="0"/>
    <m/>
    <m/>
    <s v="Taylor Cook"/>
    <n v="2"/>
    <n v="2025"/>
    <s v="INV12670"/>
    <n v="2"/>
    <n v="2025"/>
    <m/>
    <s v="Harvey Bearings"/>
    <s v="CAD"/>
    <n v="1508.72"/>
    <n v="1059.5506767301447"/>
    <x v="0"/>
    <n v="0"/>
    <n v="1059.5506767301447"/>
    <m/>
    <m/>
    <m/>
    <m/>
    <s v=""/>
    <s v=""/>
    <s v=""/>
    <s v=""/>
    <s v=""/>
    <s v=""/>
    <s v=""/>
    <s v=""/>
    <s v="Shaft Sleeve, PWO Frame 1, 316SS"/>
    <n v="0"/>
    <m/>
    <m/>
    <m/>
    <m/>
    <s v=""/>
    <s v=""/>
    <s v=""/>
    <s v=""/>
    <x v="0"/>
    <x v="0"/>
    <n v="15.89326015095217"/>
    <s v="Yes"/>
  </r>
  <r>
    <n v="1"/>
    <s v="SO16626"/>
    <m/>
    <x v="0"/>
    <m/>
    <m/>
    <s v="Ian Trottier"/>
    <n v="2"/>
    <n v="2025"/>
    <s v="INV12659"/>
    <n v="4"/>
    <n v="2025"/>
    <m/>
    <s v="Wajax Limited - Noranda"/>
    <s v="CAD"/>
    <n v="100"/>
    <n v="70.429730573179498"/>
    <x v="0"/>
    <n v="0"/>
    <n v="70.429730573179498"/>
    <m/>
    <m/>
    <m/>
    <m/>
    <s v=""/>
    <s v=""/>
    <s v=""/>
    <s v=""/>
    <s v=""/>
    <s v=""/>
    <s v=""/>
    <s v=""/>
    <s v="Casing Gasket, 15&quot;, 3196 XLT"/>
    <n v="0"/>
    <m/>
    <m/>
    <m/>
    <m/>
    <s v=""/>
    <s v=""/>
    <s v=""/>
    <s v=""/>
    <x v="0"/>
    <x v="0"/>
    <n v="1.0564459585976924"/>
    <s v="Yes"/>
  </r>
  <r>
    <n v="2"/>
    <s v="SO16628"/>
    <m/>
    <x v="0"/>
    <m/>
    <m/>
    <s v="Taylor Cook"/>
    <n v="2"/>
    <n v="2025"/>
    <s v="INV12668"/>
    <n v="4"/>
    <n v="2025"/>
    <m/>
    <s v="Fabrene Inc."/>
    <s v="CAD"/>
    <n v="463.71"/>
    <n v="325.69911242247281"/>
    <x v="0"/>
    <n v="0"/>
    <n v="325.69911242247281"/>
    <m/>
    <m/>
    <m/>
    <m/>
    <s v=""/>
    <s v=""/>
    <s v=""/>
    <s v=""/>
    <s v=""/>
    <s v=""/>
    <s v=""/>
    <s v=""/>
    <s v="Shaft Sleeve, 3196 STX, 316SS, NCB Hardcoated"/>
    <n v="0"/>
    <m/>
    <m/>
    <m/>
    <m/>
    <s v=""/>
    <s v=""/>
    <s v=""/>
    <s v=""/>
    <x v="0"/>
    <x v="0"/>
    <n v="4.8854866863370923"/>
    <s v="Yes"/>
  </r>
  <r>
    <n v="2"/>
    <s v="SO16628"/>
    <m/>
    <x v="0"/>
    <m/>
    <m/>
    <n v="0"/>
    <n v="2"/>
    <n v="2025"/>
    <s v="INV12724"/>
    <n v="4"/>
    <n v="2025"/>
    <m/>
    <s v="Fabrene Inc."/>
    <s v="CAD"/>
    <n v="0"/>
    <n v="0"/>
    <x v="1"/>
    <n v="0"/>
    <n v="0"/>
    <m/>
    <m/>
    <m/>
    <m/>
    <s v=""/>
    <s v=""/>
    <s v=""/>
    <s v=""/>
    <s v=""/>
    <s v=""/>
    <s v=""/>
    <s v=""/>
    <s v="Shaft Sleeve, 3196 STX, 316SS, NCB Hardcoated"/>
    <n v="0"/>
    <m/>
    <m/>
    <m/>
    <m/>
    <s v=""/>
    <s v=""/>
    <s v=""/>
    <s v=""/>
    <x v="0"/>
    <x v="0"/>
    <n v="0"/>
    <s v=""/>
  </r>
  <r>
    <n v="2"/>
    <s v="SO16630"/>
    <m/>
    <x v="0"/>
    <m/>
    <m/>
    <s v="Ian Trottier"/>
    <n v="2"/>
    <n v="2025"/>
    <s v="INV12952"/>
    <n v="6"/>
    <n v="2025"/>
    <m/>
    <s v="Motion Industries Inc. (Canada) - Prince George"/>
    <s v="CAD"/>
    <n v="313.66000000000003"/>
    <n v="220.3074844243877"/>
    <x v="0"/>
    <n v="0"/>
    <n v="220.3074844243877"/>
    <m/>
    <m/>
    <m/>
    <m/>
    <s v=""/>
    <s v=""/>
    <s v=""/>
    <s v=""/>
    <s v=""/>
    <s v=""/>
    <s v=""/>
    <s v=""/>
    <s v="Hex Nut, M30, Zinc Plated"/>
    <n v="0"/>
    <m/>
    <m/>
    <m/>
    <m/>
    <s v=""/>
    <s v=""/>
    <s v=""/>
    <s v=""/>
    <x v="0"/>
    <x v="0"/>
    <n v="3.3046122663658153"/>
    <s v="Yes"/>
  </r>
  <r>
    <n v="2"/>
    <s v="SO16630"/>
    <m/>
    <x v="0"/>
    <m/>
    <m/>
    <n v="0"/>
    <n v="2"/>
    <n v="2025"/>
    <s v="INV12671"/>
    <n v="3"/>
    <n v="2025"/>
    <m/>
    <s v="Motion Industries Inc. (Canada) - Prince George"/>
    <s v="CAD"/>
    <n v="0"/>
    <n v="0"/>
    <x v="1"/>
    <n v="0"/>
    <n v="0"/>
    <m/>
    <m/>
    <m/>
    <m/>
    <s v=""/>
    <s v=""/>
    <s v=""/>
    <s v=""/>
    <s v=""/>
    <s v=""/>
    <s v=""/>
    <s v=""/>
    <s v="Hex Nut, M30, Zinc Plated"/>
    <n v="0"/>
    <m/>
    <m/>
    <m/>
    <m/>
    <s v=""/>
    <s v=""/>
    <s v=""/>
    <s v=""/>
    <x v="0"/>
    <x v="0"/>
    <n v="0"/>
    <s v=""/>
  </r>
  <r>
    <n v="1"/>
    <s v="SO16636"/>
    <m/>
    <x v="0"/>
    <m/>
    <m/>
    <s v="Ian Trottier"/>
    <n v="2"/>
    <n v="2025"/>
    <s v="INV12651"/>
    <n v="4"/>
    <n v="2025"/>
    <m/>
    <s v="Fabrene Inc."/>
    <s v="CAD"/>
    <n v="836.73"/>
    <n v="589.46193714584251"/>
    <x v="0"/>
    <n v="0"/>
    <n v="589.46193714584251"/>
    <m/>
    <m/>
    <m/>
    <m/>
    <s v=""/>
    <s v=""/>
    <s v=""/>
    <s v=""/>
    <s v=""/>
    <s v=""/>
    <s v=""/>
    <s v=""/>
    <s v="Single Cartridge Seal, 1 3/8&quot;, D-196 STX or D-III Group 1, Big Bore, Carbon vs Silicon Carbide w/Aflas Elastomers"/>
    <n v="0"/>
    <m/>
    <m/>
    <m/>
    <m/>
    <s v=""/>
    <s v=""/>
    <s v=""/>
    <s v=""/>
    <x v="0"/>
    <x v="0"/>
    <n v="8.8419290571876381"/>
    <s v="Yes"/>
  </r>
  <r>
    <n v="1"/>
    <s v="SO16637"/>
    <m/>
    <x v="0"/>
    <m/>
    <m/>
    <s v="Ian Trottier"/>
    <n v="2"/>
    <n v="2025"/>
    <s v="INV12694"/>
    <n v="5"/>
    <n v="2025"/>
    <m/>
    <s v="Resolute Forest Products - Saint-Felicien"/>
    <s v="CAD"/>
    <n v="328.88"/>
    <n v="227.84998040683291"/>
    <x v="0"/>
    <n v="0"/>
    <n v="227.84998040683291"/>
    <m/>
    <m/>
    <m/>
    <m/>
    <s v=""/>
    <s v=""/>
    <s v=""/>
    <s v=""/>
    <s v=""/>
    <s v=""/>
    <s v=""/>
    <s v=""/>
    <s v="Deflector (Outboard), Allis-Chalmers PWO, Group 2"/>
    <n v="0"/>
    <m/>
    <m/>
    <m/>
    <m/>
    <s v=""/>
    <s v=""/>
    <s v=""/>
    <s v=""/>
    <x v="0"/>
    <x v="0"/>
    <n v="3.4177497061024935"/>
    <s v="Yes"/>
  </r>
  <r>
    <n v="1"/>
    <s v="SO16640"/>
    <m/>
    <x v="0"/>
    <m/>
    <m/>
    <s v="Ian Trottier"/>
    <n v="2"/>
    <n v="2025"/>
    <s v="INV12831"/>
    <n v="5"/>
    <n v="2025"/>
    <m/>
    <s v="Cartledge &amp; Associates Inc."/>
    <s v="USD"/>
    <n v="5120.1867287770201"/>
    <n v="3596.3"/>
    <x v="0"/>
    <n v="0"/>
    <n v="3596.3"/>
    <m/>
    <m/>
    <m/>
    <m/>
    <s v=""/>
    <s v=""/>
    <s v=""/>
    <s v=""/>
    <s v=""/>
    <s v=""/>
    <s v=""/>
    <s v=""/>
    <s v="Impeller, 8x6-18 D-SRL-C, Natural Rubber"/>
    <n v="0"/>
    <m/>
    <m/>
    <m/>
    <m/>
    <s v=""/>
    <s v=""/>
    <s v=""/>
    <s v=""/>
    <x v="0"/>
    <x v="0"/>
    <n v="53.944499999999998"/>
    <s v="Yes"/>
  </r>
  <r>
    <n v="1"/>
    <s v="SO16642"/>
    <m/>
    <x v="0"/>
    <m/>
    <m/>
    <s v="Jeff Bell"/>
    <n v="2"/>
    <n v="2025"/>
    <s v="INV12766"/>
    <n v="4"/>
    <n v="2025"/>
    <m/>
    <s v="Barrick Gold - Pueblo Viejo Dominicana Corporation"/>
    <s v="USD"/>
    <n v="249.8286500279396"/>
    <n v="176"/>
    <x v="0"/>
    <n v="0"/>
    <n v="176"/>
    <m/>
    <m/>
    <m/>
    <m/>
    <s v=""/>
    <s v=""/>
    <s v=""/>
    <s v=""/>
    <s v=""/>
    <s v=""/>
    <s v=""/>
    <s v=""/>
    <s v="V-Belt, Wedge, Gates, SPC 2240mm, Synthetic Rubber"/>
    <n v="0"/>
    <m/>
    <m/>
    <m/>
    <m/>
    <s v=""/>
    <s v=""/>
    <s v=""/>
    <s v=""/>
    <x v="1"/>
    <x v="3"/>
    <n v="2.6399999999999997"/>
    <s v="Yes"/>
  </r>
  <r>
    <n v="2"/>
    <s v="SO16645"/>
    <m/>
    <x v="0"/>
    <s v="Ian T"/>
    <m/>
    <s v="Ian Trottier"/>
    <n v="2"/>
    <n v="2025"/>
    <s v="INV13221"/>
    <n v="8"/>
    <n v="2025"/>
    <n v="2503"/>
    <s v="Corrosion Fluid Products Corp., Corrosion Fluid Products Corp. - Chicago"/>
    <s v="USD"/>
    <n v="61849.473181507048"/>
    <n v="43006.8"/>
    <x v="0"/>
    <n v="0"/>
    <n v="43006.8"/>
    <m/>
    <m/>
    <s v="Renewal"/>
    <m/>
    <s v=""/>
    <s v=""/>
    <n v="0.01"/>
    <s v=""/>
    <s v=""/>
    <s v=""/>
    <n v="430.06800000000004"/>
    <s v=""/>
    <s v="Sump Pump, G-Series 4&quot; VSP, 5000 Series, 72&quot; Column, Bearing Frame 4, Acid-Proof, Neoprene Covered"/>
    <n v="430.06800000000004"/>
    <m/>
    <m/>
    <m/>
    <m/>
    <s v=""/>
    <s v=""/>
    <n v="430.06800000000004"/>
    <s v=""/>
    <x v="1"/>
    <x v="1"/>
    <n v="645.10199999999998"/>
    <s v="Yes"/>
  </r>
  <r>
    <n v="2"/>
    <s v="SO16645"/>
    <m/>
    <x v="0"/>
    <s v="Ian T"/>
    <m/>
    <n v="0"/>
    <n v="2"/>
    <n v="2025"/>
    <s v="INV13247"/>
    <n v="9"/>
    <n v="2025"/>
    <n v="2503"/>
    <s v="Corrosion Fluid Products Corp., Corrosion Fluid Products Corp. - Chicago"/>
    <s v="USD"/>
    <n v="0"/>
    <n v="0"/>
    <x v="1"/>
    <n v="0"/>
    <n v="0"/>
    <m/>
    <m/>
    <s v="Renewal"/>
    <m/>
    <s v=""/>
    <s v=""/>
    <n v="0.01"/>
    <s v=""/>
    <s v=""/>
    <s v=""/>
    <n v="0"/>
    <s v=""/>
    <s v="Sump Pump, G-Series 4&quot; VSP, 5000 Series, 72&quot; Column, Bearing Frame 4, Acid-Proof, Neoprene Covered"/>
    <n v="0"/>
    <m/>
    <m/>
    <m/>
    <m/>
    <s v=""/>
    <s v=""/>
    <n v="0"/>
    <s v=""/>
    <x v="1"/>
    <x v="1"/>
    <n v="0"/>
    <s v=""/>
  </r>
  <r>
    <n v="1"/>
    <s v="SO16646"/>
    <m/>
    <x v="0"/>
    <m/>
    <m/>
    <s v="Ian Trottier"/>
    <n v="2"/>
    <n v="2025"/>
    <s v="INV12920"/>
    <n v="5"/>
    <n v="2025"/>
    <m/>
    <s v="MAB Equipment Company Inc."/>
    <s v="USD"/>
    <n v="5735.5251048723885"/>
    <n v="4128.96"/>
    <x v="0"/>
    <n v="652"/>
    <n v="3476.96"/>
    <m/>
    <m/>
    <m/>
    <m/>
    <s v=""/>
    <s v=""/>
    <s v=""/>
    <s v=""/>
    <s v=""/>
    <s v=""/>
    <s v=""/>
    <s v=""/>
    <s v="Stuffing Box, High Chrome"/>
    <n v="0"/>
    <m/>
    <m/>
    <m/>
    <m/>
    <s v=""/>
    <s v=""/>
    <s v=""/>
    <s v=""/>
    <x v="0"/>
    <x v="0"/>
    <n v="52.154399999999995"/>
    <s v="Yes"/>
  </r>
  <r>
    <n v="1"/>
    <s v="SO16647"/>
    <m/>
    <x v="1"/>
    <m/>
    <m/>
    <s v="Marlen Martinez"/>
    <n v="2"/>
    <n v="2025"/>
    <s v="INV12681"/>
    <n v="6"/>
    <n v="2025"/>
    <n v="2504"/>
    <s v="Covia Corp - Roff"/>
    <s v="USD"/>
    <n v="9353.6698259040222"/>
    <n v="6589.5"/>
    <x v="0"/>
    <n v="637"/>
    <n v="5952.5"/>
    <m/>
    <m/>
    <m/>
    <m/>
    <s v=""/>
    <s v=""/>
    <s v=""/>
    <s v=""/>
    <s v=""/>
    <s v=""/>
    <s v=""/>
    <s v=""/>
    <s v="Suction Side Liner, 6X6-15 SRL, Natural Rubber"/>
    <n v="0"/>
    <m/>
    <m/>
    <m/>
    <m/>
    <s v=""/>
    <s v=""/>
    <s v=""/>
    <s v=""/>
    <x v="3"/>
    <x v="2"/>
    <n v="89.287499999999994"/>
    <s v="Yes"/>
  </r>
  <r>
    <n v="1"/>
    <s v="SO16648"/>
    <m/>
    <x v="0"/>
    <m/>
    <m/>
    <s v="Ian Trottier"/>
    <n v="2"/>
    <n v="2025"/>
    <s v="INV12777"/>
    <n v="4"/>
    <n v="2025"/>
    <m/>
    <s v="Motion Industries Inc. (Canada) - Prince George"/>
    <s v="CAD"/>
    <n v="214.2"/>
    <n v="148.53977770803573"/>
    <x v="0"/>
    <n v="0"/>
    <n v="148.53977770803573"/>
    <m/>
    <m/>
    <m/>
    <m/>
    <s v=""/>
    <s v=""/>
    <s v=""/>
    <s v=""/>
    <s v=""/>
    <s v=""/>
    <s v=""/>
    <s v=""/>
    <s v="Maintenance Kit, 18&quot;, 3175-M"/>
    <n v="0"/>
    <m/>
    <m/>
    <m/>
    <m/>
    <s v=""/>
    <s v=""/>
    <s v=""/>
    <s v=""/>
    <x v="0"/>
    <x v="0"/>
    <n v="2.2280966656205359"/>
    <s v="Yes"/>
  </r>
  <r>
    <n v="4"/>
    <s v="SO16651"/>
    <m/>
    <x v="0"/>
    <s v="Amanda Q"/>
    <m/>
    <s v="Amanda Qiao"/>
    <n v="2"/>
    <n v="2025"/>
    <s v="INV13189"/>
    <n v="9"/>
    <n v="2025"/>
    <n v="2503"/>
    <s v="AGM Inc."/>
    <s v="USD"/>
    <n v="77514.783186116387"/>
    <n v="54023.42"/>
    <x v="0"/>
    <n v="0"/>
    <n v="54023.42"/>
    <m/>
    <m/>
    <s v="Renewal"/>
    <m/>
    <s v=""/>
    <s v=""/>
    <n v="0.01"/>
    <s v=""/>
    <s v=""/>
    <s v=""/>
    <n v="540.23419999999999"/>
    <s v=""/>
    <s v="Pump, 1.5x1-82, D-III Mark 3 Group 1, All CD4MCu"/>
    <n v="540.23419999999999"/>
    <m/>
    <m/>
    <n v="2503"/>
    <m/>
    <s v=""/>
    <s v=""/>
    <n v="0"/>
    <s v=""/>
    <x v="1"/>
    <x v="1"/>
    <n v="810.35129999999992"/>
    <s v="Yes"/>
  </r>
  <r>
    <n v="4"/>
    <s v="SO16651"/>
    <m/>
    <x v="0"/>
    <s v="Amanda Q"/>
    <m/>
    <n v="0"/>
    <n v="2"/>
    <n v="2025"/>
    <s v="INV12886"/>
    <n v="9"/>
    <n v="2025"/>
    <n v="2503"/>
    <s v="AGM Inc."/>
    <s v="USD"/>
    <n v="0"/>
    <n v="0"/>
    <x v="1"/>
    <n v="0"/>
    <n v="0"/>
    <m/>
    <m/>
    <s v="Renewal"/>
    <m/>
    <s v=""/>
    <s v=""/>
    <n v="0.01"/>
    <s v=""/>
    <s v=""/>
    <s v=""/>
    <n v="0"/>
    <s v=""/>
    <s v="Pump, 1.5x1-82, D-III Mark 3 Group 1, All CD4MCu"/>
    <n v="0"/>
    <m/>
    <m/>
    <n v="2503"/>
    <m/>
    <s v=""/>
    <s v=""/>
    <n v="0"/>
    <s v=""/>
    <x v="1"/>
    <x v="1"/>
    <n v="0"/>
    <s v=""/>
  </r>
  <r>
    <n v="4"/>
    <s v="SO16651"/>
    <m/>
    <x v="0"/>
    <s v="Amanda Q"/>
    <m/>
    <n v="0"/>
    <n v="2"/>
    <n v="2025"/>
    <s v="INV12985"/>
    <n v="9"/>
    <n v="2025"/>
    <n v="2503"/>
    <s v="AGM Inc."/>
    <s v="USD"/>
    <n v="0"/>
    <n v="0"/>
    <x v="1"/>
    <n v="0"/>
    <n v="0"/>
    <m/>
    <m/>
    <s v="Renewal"/>
    <m/>
    <s v=""/>
    <s v=""/>
    <n v="0.01"/>
    <s v=""/>
    <s v=""/>
    <s v=""/>
    <n v="0"/>
    <s v=""/>
    <s v="Pump, 1.5x1-82, D-III Mark 3 Group 1, All CD4MCu"/>
    <n v="0"/>
    <m/>
    <m/>
    <n v="2503"/>
    <m/>
    <s v=""/>
    <s v=""/>
    <n v="0"/>
    <s v=""/>
    <x v="1"/>
    <x v="1"/>
    <n v="0"/>
    <s v=""/>
  </r>
  <r>
    <n v="4"/>
    <s v="SO16651"/>
    <m/>
    <x v="0"/>
    <s v="Amanda Q"/>
    <m/>
    <n v="0"/>
    <n v="2"/>
    <n v="2025"/>
    <s v="INV13215"/>
    <n v="9"/>
    <n v="2025"/>
    <n v="2503"/>
    <s v="AGM Inc."/>
    <s v="USD"/>
    <n v="0"/>
    <n v="0"/>
    <x v="1"/>
    <n v="0"/>
    <n v="0"/>
    <m/>
    <m/>
    <s v="Renewal"/>
    <m/>
    <s v=""/>
    <s v=""/>
    <n v="0.01"/>
    <s v=""/>
    <s v=""/>
    <s v=""/>
    <n v="0"/>
    <s v=""/>
    <s v="Pump, 1.5x1-82, D-III Mark 3 Group 1, All CD4MCu"/>
    <n v="0"/>
    <m/>
    <m/>
    <n v="2503"/>
    <m/>
    <s v=""/>
    <s v=""/>
    <n v="0"/>
    <s v=""/>
    <x v="1"/>
    <x v="1"/>
    <n v="0"/>
    <s v=""/>
  </r>
  <r>
    <n v="1"/>
    <s v="SO16653"/>
    <m/>
    <x v="0"/>
    <s v="Amanda Q"/>
    <m/>
    <s v="Amanda Qiao"/>
    <n v="2"/>
    <n v="2025"/>
    <s v="INV13374"/>
    <n v="9"/>
    <n v="2025"/>
    <n v="2503"/>
    <s v="First Bauxite Inc."/>
    <s v="USD"/>
    <n v="8554.704615077495"/>
    <n v="6231.75"/>
    <x v="0"/>
    <n v="0"/>
    <n v="6231.75"/>
    <m/>
    <m/>
    <s v="Renewal"/>
    <m/>
    <s v=""/>
    <s v=""/>
    <n v="0.01"/>
    <s v=""/>
    <s v=""/>
    <s v=""/>
    <n v="62.317500000000003"/>
    <s v=""/>
    <s v="Pump, Submersible, 65QW24, Cast Iron w/316SS Impeller"/>
    <n v="62.317500000000003"/>
    <m/>
    <m/>
    <n v="2503"/>
    <m/>
    <s v=""/>
    <s v=""/>
    <n v="0"/>
    <s v=""/>
    <x v="1"/>
    <x v="1"/>
    <n v="93.476249999999993"/>
    <s v="Yes"/>
  </r>
  <r>
    <n v="1"/>
    <s v="SO16654"/>
    <m/>
    <x v="0"/>
    <m/>
    <m/>
    <s v="Ian Trottier"/>
    <n v="2"/>
    <n v="2025"/>
    <s v="INV12669"/>
    <n v="4"/>
    <n v="2025"/>
    <m/>
    <s v="Glencore Canada Corporation - Rouyn-Noranda, Glencore Canada Corp."/>
    <s v="CAD"/>
    <n v="2985.04"/>
    <n v="2098.4400114222271"/>
    <x v="0"/>
    <n v="0"/>
    <n v="2098.4400114222271"/>
    <m/>
    <m/>
    <m/>
    <m/>
    <s v=""/>
    <s v=""/>
    <s v=""/>
    <s v=""/>
    <s v=""/>
    <s v=""/>
    <s v=""/>
    <s v=""/>
    <s v="Shaft Assembly, 5x4-14 SRL-C &amp; 5x5-14 SRL, 1045 Steel"/>
    <n v="0"/>
    <m/>
    <m/>
    <m/>
    <m/>
    <s v=""/>
    <s v=""/>
    <s v=""/>
    <s v=""/>
    <x v="0"/>
    <x v="0"/>
    <n v="31.476600171333406"/>
    <s v="Yes"/>
  </r>
  <r>
    <n v="1"/>
    <s v="SO16656"/>
    <m/>
    <x v="0"/>
    <m/>
    <m/>
    <s v="Ian Trottier"/>
    <n v="2"/>
    <n v="2025"/>
    <s v="INV12714"/>
    <n v="4"/>
    <n v="2025"/>
    <m/>
    <s v="Alamos Gold Inc, Alamos Gold Inc Island Gold Division"/>
    <s v="CAD"/>
    <n v="1363.36"/>
    <n v="958.42239098055916"/>
    <x v="0"/>
    <n v="0"/>
    <n v="958.42239098055916"/>
    <m/>
    <m/>
    <m/>
    <m/>
    <s v=""/>
    <s v=""/>
    <s v=""/>
    <s v=""/>
    <s v=""/>
    <s v=""/>
    <s v=""/>
    <s v=""/>
    <s v="Mechanical Seal, CSO, Type-9T, Carbon vs' Ceramic/Viton, O-Ring seat"/>
    <n v="0"/>
    <m/>
    <m/>
    <m/>
    <m/>
    <s v=""/>
    <s v=""/>
    <s v=""/>
    <s v=""/>
    <x v="0"/>
    <x v="0"/>
    <n v="14.376335864708388"/>
    <s v="Yes"/>
  </r>
  <r>
    <n v="1"/>
    <s v="SO16657"/>
    <m/>
    <x v="0"/>
    <m/>
    <m/>
    <s v="Ian Trottier"/>
    <n v="2"/>
    <n v="2025"/>
    <s v="INV12665"/>
    <n v="3"/>
    <n v="2025"/>
    <m/>
    <s v="Sling-Choker Manufacturing - Timmins"/>
    <s v="CAD"/>
    <n v="149.94"/>
    <n v="105.40565463533115"/>
    <x v="0"/>
    <n v="0"/>
    <n v="105.4056546353311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5810848195299672"/>
    <s v="Yes"/>
  </r>
  <r>
    <n v="2"/>
    <s v="SO16658"/>
    <m/>
    <x v="0"/>
    <m/>
    <m/>
    <s v="Yannett Yeomans"/>
    <n v="2"/>
    <n v="2025"/>
    <s v="INV12888"/>
    <s v=""/>
    <s v=""/>
    <m/>
    <s v="Dynapro Pumps México S de RL de CV"/>
    <s v="USD"/>
    <n v="5468.2390441983789"/>
    <n v="384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6658"/>
    <m/>
    <x v="0"/>
    <m/>
    <m/>
    <n v="0"/>
    <n v="2"/>
    <n v="2025"/>
    <s v="INV12887"/>
    <s v=""/>
    <s v=""/>
    <m/>
    <s v="Dynapro Pumps México S de RL de CV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6659"/>
    <m/>
    <x v="0"/>
    <m/>
    <m/>
    <s v="Ian Trottier"/>
    <n v="2"/>
    <n v="2025"/>
    <s v="INV12667"/>
    <n v="3"/>
    <n v="2025"/>
    <m/>
    <s v="Sling-Choker Manufacturing - Timmins"/>
    <s v="CAD"/>
    <n v="451.47"/>
    <n v="317.37689007745064"/>
    <x v="0"/>
    <n v="0"/>
    <n v="317.3768900774506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7606533511617597"/>
    <s v="Yes"/>
  </r>
  <r>
    <n v="1"/>
    <s v="SO16660"/>
    <m/>
    <x v="0"/>
    <m/>
    <m/>
    <s v="Yannett Yeomans"/>
    <n v="2"/>
    <n v="2025"/>
    <s v="INV12866"/>
    <s v=""/>
    <s v=""/>
    <m/>
    <s v="Dynapro Pumps México S de RL de CV"/>
    <s v="USD"/>
    <n v="113.80310185636584"/>
    <n v="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6662"/>
    <m/>
    <x v="0"/>
    <m/>
    <m/>
    <s v="Ian Trottier"/>
    <n v="2"/>
    <n v="2025"/>
    <s v="INV12689"/>
    <n v="3"/>
    <n v="2025"/>
    <m/>
    <s v="Motion Industries Inc. (Canada) - Quesnel"/>
    <s v="CAD"/>
    <n v="1448.78"/>
    <n v="1004.6753461617556"/>
    <x v="0"/>
    <n v="0"/>
    <n v="1004.675346161755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5.070130192426333"/>
    <s v="Yes"/>
  </r>
  <r>
    <n v="1"/>
    <s v="SO16663"/>
    <m/>
    <x v="0"/>
    <m/>
    <m/>
    <s v="Ian Trottier"/>
    <n v="2"/>
    <n v="2025"/>
    <s v="INV12855"/>
    <n v="5"/>
    <n v="2025"/>
    <m/>
    <s v="Cartledge &amp; Associates Inc."/>
    <s v="USD"/>
    <n v="6427.869475214452"/>
    <n v="4518.59"/>
    <x v="0"/>
    <n v="599"/>
    <n v="3919.5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8.793849999999999"/>
    <s v="Yes"/>
  </r>
  <r>
    <n v="1"/>
    <s v="SO16664"/>
    <m/>
    <x v="0"/>
    <m/>
    <m/>
    <s v="Ian Trottier"/>
    <n v="2"/>
    <n v="2025"/>
    <s v="INV12821"/>
    <n v="5"/>
    <n v="2025"/>
    <m/>
    <s v="Southeast Pump Specialist, Inc."/>
    <s v="USD"/>
    <n v="12206.666121010217"/>
    <n v="8581.11"/>
    <x v="0"/>
    <n v="613"/>
    <n v="7968.110000000000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9.52165000000001"/>
    <s v="Yes"/>
  </r>
  <r>
    <n v="1"/>
    <s v="SO16665"/>
    <m/>
    <x v="0"/>
    <m/>
    <m/>
    <s v="Jeff Bell"/>
    <n v="2"/>
    <n v="2025"/>
    <s v="INV12760"/>
    <n v="5"/>
    <n v="2025"/>
    <m/>
    <s v="Barrick Gold - Pueblo Viejo Dominicana Corporation"/>
    <s v="USD"/>
    <n v="3907.4579530137853"/>
    <n v="2746.82"/>
    <x v="0"/>
    <n v="0"/>
    <n v="2746.82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41.202300000000001"/>
    <s v="Yes"/>
  </r>
  <r>
    <n v="1"/>
    <s v="SO16666"/>
    <m/>
    <x v="0"/>
    <m/>
    <m/>
    <s v="Ian Trottier"/>
    <n v="2"/>
    <n v="2025"/>
    <s v="INV12687"/>
    <n v="4"/>
    <n v="2025"/>
    <m/>
    <s v="Hyperflo"/>
    <s v="CAD"/>
    <n v="454.78"/>
    <n v="316.94491067895484"/>
    <x v="0"/>
    <n v="0"/>
    <n v="316.9449106789548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7541736601843221"/>
    <s v="Yes"/>
  </r>
  <r>
    <n v="1"/>
    <s v="SO16667"/>
    <m/>
    <x v="0"/>
    <m/>
    <m/>
    <s v="Ian Trottier"/>
    <n v="2"/>
    <n v="2025"/>
    <s v="INV12673"/>
    <n v="3"/>
    <n v="2025"/>
    <m/>
    <s v="Grant Aggregate"/>
    <s v="CAD"/>
    <n v="117.4"/>
    <n v="82.092813613034537"/>
    <x v="0"/>
    <n v="0"/>
    <n v="82.09281361303453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2313922041955181"/>
    <s v="Yes"/>
  </r>
  <r>
    <n v="1"/>
    <s v="SO16668"/>
    <m/>
    <x v="0"/>
    <m/>
    <m/>
    <s v="Ian Trottier"/>
    <n v="2"/>
    <n v="2025"/>
    <s v="INV12792"/>
    <n v="4"/>
    <n v="2025"/>
    <m/>
    <s v="Sling-Choker Manufacturing - Timmins"/>
    <s v="CAD"/>
    <n v="296.05"/>
    <n v="206.32292714390394"/>
    <x v="0"/>
    <n v="0"/>
    <n v="206.3229271439039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0948439071585589"/>
    <s v="Yes"/>
  </r>
  <r>
    <n v="1"/>
    <s v="SO16669"/>
    <m/>
    <x v="0"/>
    <m/>
    <m/>
    <s v="Jeff Bell"/>
    <n v="2"/>
    <n v="2025"/>
    <s v="INV12764"/>
    <n v="5"/>
    <n v="2025"/>
    <m/>
    <s v="Barrick Gold - Pueblo Viejo Dominicana Corporation"/>
    <s v="USD"/>
    <n v="1249.854978423911"/>
    <n v="878.63"/>
    <x v="0"/>
    <n v="0"/>
    <n v="878.63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3.179449999999999"/>
    <s v="Yes"/>
  </r>
  <r>
    <n v="1"/>
    <s v="SO16671"/>
    <m/>
    <x v="2"/>
    <m/>
    <m/>
    <s v="Ian Trottier"/>
    <n v="2"/>
    <n v="2025"/>
    <s v="INV13192"/>
    <n v="9"/>
    <n v="2025"/>
    <n v="2503"/>
    <s v="Cypress Sales Partnership"/>
    <s v="CAD"/>
    <n v="3969.02"/>
    <n v="2752.368573850365"/>
    <x v="0"/>
    <n v="0"/>
    <n v="2752.368573850365"/>
    <m/>
    <s v="Renewal"/>
    <m/>
    <m/>
    <s v=""/>
    <n v="5.0000000000000001E-3"/>
    <s v=""/>
    <s v=""/>
    <s v=""/>
    <n v="13.761842869251826"/>
    <s v=""/>
    <s v=""/>
    <s v="Casing, 3x1.5-13, Durco Mark 2&amp;3 Group 2, CD4MCu , #300 Flat Face Flanges"/>
    <n v="13.761842869251826"/>
    <m/>
    <m/>
    <m/>
    <m/>
    <s v=""/>
    <n v="13.761842869251826"/>
    <s v=""/>
    <s v=""/>
    <x v="1"/>
    <x v="1"/>
    <n v="41.285528607755474"/>
    <s v="Yes"/>
  </r>
  <r>
    <n v="1"/>
    <s v="SO16672"/>
    <m/>
    <x v="0"/>
    <m/>
    <m/>
    <s v="Ian Trottier"/>
    <n v="2"/>
    <n v="2025"/>
    <s v="INV12678"/>
    <n v="4"/>
    <n v="2025"/>
    <m/>
    <s v="Resolute Forest Products - Kenogami"/>
    <s v="CAD"/>
    <n v="939.78"/>
    <n v="657.14807817084829"/>
    <x v="0"/>
    <n v="0"/>
    <n v="657.1480781708482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9.8572211725627241"/>
    <s v="Yes"/>
  </r>
  <r>
    <n v="1"/>
    <s v="SO16673"/>
    <m/>
    <x v="0"/>
    <m/>
    <m/>
    <s v="Ian Trottier"/>
    <n v="2"/>
    <n v="2025"/>
    <s v="INV12716"/>
    <n v="4"/>
    <n v="2025"/>
    <m/>
    <s v="Wajax Limited - Noranda"/>
    <s v="CAD"/>
    <n v="1219.96"/>
    <n v="850.21353892409047"/>
    <x v="0"/>
    <n v="0"/>
    <n v="850.2135389240904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.753203083861356"/>
    <s v="Yes"/>
  </r>
  <r>
    <n v="1"/>
    <s v="SO16674"/>
    <m/>
    <x v="0"/>
    <m/>
    <m/>
    <s v="Jeff Bell"/>
    <n v="2"/>
    <n v="2025"/>
    <s v="INV12763"/>
    <n v="5"/>
    <n v="2025"/>
    <m/>
    <s v="Barrick Gold - Pueblo Viejo Dominicana Corporation"/>
    <s v="USD"/>
    <n v="45278.654187118482"/>
    <n v="31830.240000000002"/>
    <x v="0"/>
    <n v="0"/>
    <n v="31830.240000000002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477.45359999999999"/>
    <s v="Yes"/>
  </r>
  <r>
    <n v="1"/>
    <s v="SO16676"/>
    <m/>
    <x v="0"/>
    <m/>
    <m/>
    <s v="Ian Trottier"/>
    <n v="2"/>
    <n v="2025"/>
    <s v="INV12727"/>
    <n v="4"/>
    <n v="2025"/>
    <m/>
    <s v="Alamos Gold Inc, Alamos Gold Inc Island Gold Division"/>
    <s v="CAD"/>
    <n v="1232.19"/>
    <n v="854.47819184904097"/>
    <x v="0"/>
    <n v="0"/>
    <n v="854.4781918490409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.817172877735613"/>
    <s v="Yes"/>
  </r>
  <r>
    <n v="1"/>
    <s v="SO16677"/>
    <m/>
    <x v="2"/>
    <m/>
    <m/>
    <s v="Ian Trottier"/>
    <n v="2"/>
    <n v="2025"/>
    <s v="INV13004"/>
    <n v="7"/>
    <n v="2025"/>
    <n v="2503"/>
    <s v="Resolute Forest Products - Saint-Felicien"/>
    <s v="CAD"/>
    <n v="283.44"/>
    <n v="203.28075877326904"/>
    <x v="0"/>
    <n v="0"/>
    <n v="203.28075877326904"/>
    <m/>
    <s v="Renewal"/>
    <m/>
    <m/>
    <s v=""/>
    <n v="5.0000000000000001E-3"/>
    <s v=""/>
    <s v=""/>
    <s v=""/>
    <n v="1.0164037938663453"/>
    <s v=""/>
    <s v=""/>
    <s v="Shim Set, A-C PWO-C Group 2, Plastic"/>
    <n v="1.0164037938663453"/>
    <m/>
    <m/>
    <m/>
    <m/>
    <s v=""/>
    <n v="1.0164037938663453"/>
    <s v=""/>
    <s v=""/>
    <x v="1"/>
    <x v="1"/>
    <n v="3.0492113815990356"/>
    <s v="Yes"/>
  </r>
  <r>
    <n v="2"/>
    <s v="SO16679"/>
    <m/>
    <x v="4"/>
    <m/>
    <m/>
    <s v="Alexis Gil Lamadrid"/>
    <n v="2"/>
    <n v="2025"/>
    <s v="INV13003"/>
    <n v="7"/>
    <n v="2025"/>
    <n v="2502"/>
    <s v="ARYA OILFIELD AND NATURAL GAS EQUIPMENT AND SPARE PARTS TRADING L.L.C"/>
    <s v="USD"/>
    <n v="39478.216987228247"/>
    <n v="28692.74"/>
    <x v="0"/>
    <n v="0"/>
    <n v="28692.74"/>
    <m/>
    <s v="Renewal"/>
    <m/>
    <m/>
    <s v=""/>
    <n v="5.0000000000000001E-3"/>
    <s v=""/>
    <s v=""/>
    <s v=""/>
    <n v="143.46370000000002"/>
    <s v=""/>
    <s v=""/>
    <m/>
    <m/>
    <m/>
    <m/>
    <m/>
    <m/>
    <s v=""/>
    <n v="143.46370000000002"/>
    <s v=""/>
    <s v=""/>
    <x v="4"/>
    <x v="5"/>
    <n v="430.39109999999999"/>
    <s v="Yes"/>
  </r>
  <r>
    <n v="2"/>
    <s v="SO16679"/>
    <m/>
    <x v="4"/>
    <m/>
    <m/>
    <n v="0"/>
    <n v="2"/>
    <n v="2025"/>
    <s v="INV13003"/>
    <n v="7"/>
    <n v="2025"/>
    <n v="2502"/>
    <s v="ARYA OILFIELD AND NATURAL GAS EQUIPMENT AND SPARE PARTS TRADING L.L.C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4"/>
    <x v="5"/>
    <n v="0"/>
    <s v=""/>
  </r>
  <r>
    <n v="1"/>
    <s v="SO16680"/>
    <m/>
    <x v="0"/>
    <m/>
    <m/>
    <s v="Ian Trottier"/>
    <n v="2"/>
    <n v="2025"/>
    <s v="INV12989"/>
    <n v="6"/>
    <n v="2025"/>
    <m/>
    <s v="FMI Products"/>
    <s v="CAD"/>
    <n v="117.17"/>
    <n v="83.753177949379946"/>
    <x v="0"/>
    <n v="0"/>
    <n v="83.75317794937994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2562976692406991"/>
    <s v="Yes"/>
  </r>
  <r>
    <n v="1"/>
    <s v="SO16682"/>
    <m/>
    <x v="0"/>
    <m/>
    <m/>
    <s v="Ian Trottier"/>
    <n v="2"/>
    <n v="2025"/>
    <s v="INV12719"/>
    <n v="4"/>
    <n v="2025"/>
    <m/>
    <s v="Tantalum Mining Corporation of Canada"/>
    <s v="CAD"/>
    <n v="1853.06"/>
    <n v="1297.6955113884053"/>
    <x v="0"/>
    <n v="0"/>
    <n v="1297.695511388405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465432670826079"/>
    <s v="Yes"/>
  </r>
  <r>
    <n v="1"/>
    <s v="SO16683"/>
    <m/>
    <x v="0"/>
    <m/>
    <m/>
    <s v="Ian Trottier"/>
    <n v="2"/>
    <n v="2025"/>
    <s v="INV12698"/>
    <n v="5"/>
    <n v="2025"/>
    <m/>
    <s v="Resolute Forest Products - Dolbeau"/>
    <s v="CAD"/>
    <n v="221.34"/>
    <n v="153.34564176370839"/>
    <x v="0"/>
    <n v="0"/>
    <n v="153.3456417637083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3001846264556258"/>
    <s v="Yes"/>
  </r>
  <r>
    <n v="1"/>
    <s v="SO16685"/>
    <m/>
    <x v="0"/>
    <m/>
    <m/>
    <s v="Ian Trottier"/>
    <n v="2"/>
    <n v="2025"/>
    <s v="INV12709"/>
    <n v="3"/>
    <n v="2025"/>
    <m/>
    <s v="Glencore Canada Corporation"/>
    <s v="CAD"/>
    <n v="3715.09"/>
    <n v="2576.2775105758478"/>
    <x v="0"/>
    <n v="0"/>
    <n v="2576.277510575847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8.644162658637718"/>
    <s v="Yes"/>
  </r>
  <r>
    <n v="1"/>
    <s v="SO16687"/>
    <m/>
    <x v="0"/>
    <m/>
    <m/>
    <s v="Ian Trottier"/>
    <n v="2"/>
    <n v="2025"/>
    <s v="INV12896"/>
    <n v="4"/>
    <n v="2025"/>
    <m/>
    <s v="Norsearch Industries (2002)Ltd"/>
    <s v="CAD"/>
    <n v="10842.06"/>
    <n v="7539.2454370914156"/>
    <x v="0"/>
    <n v="0"/>
    <n v="7539.245437091415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3.08868155637123"/>
    <s v="Yes"/>
  </r>
  <r>
    <n v="3"/>
    <s v="SO16692"/>
    <m/>
    <x v="0"/>
    <m/>
    <m/>
    <s v="Ian Trottier"/>
    <n v="2"/>
    <n v="2025"/>
    <s v="INV12807"/>
    <n v="5"/>
    <n v="2025"/>
    <m/>
    <s v="Sling-Choker Manufacturing - Timmins"/>
    <s v="CAD"/>
    <n v="3409.71"/>
    <n v="2362.2669566193817"/>
    <x v="0"/>
    <n v="0"/>
    <n v="2362.266956619381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5.434004349290724"/>
    <s v="Yes"/>
  </r>
  <r>
    <n v="3"/>
    <s v="SO16692"/>
    <m/>
    <x v="0"/>
    <m/>
    <m/>
    <n v="0"/>
    <n v="2"/>
    <n v="2025"/>
    <s v="INV12793"/>
    <n v="4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6692"/>
    <m/>
    <x v="0"/>
    <m/>
    <m/>
    <n v="0"/>
    <n v="2"/>
    <n v="2025"/>
    <s v="INV12853"/>
    <n v="5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6693"/>
    <m/>
    <x v="1"/>
    <m/>
    <m/>
    <s v="Marlen Martinez"/>
    <n v="2"/>
    <n v="2025"/>
    <s v="INV12734"/>
    <n v="6"/>
    <n v="2025"/>
    <m/>
    <s v="Covia Corp - Blue Mountain"/>
    <s v="USD"/>
    <n v="11873.686477370158"/>
    <n v="8275"/>
    <x v="1"/>
    <n v="39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2"/>
    <s v="SO16693"/>
    <m/>
    <x v="0"/>
    <m/>
    <m/>
    <n v="0"/>
    <n v="2"/>
    <n v="2025"/>
    <s v="INV13075"/>
    <n v="9"/>
    <n v="2025"/>
    <m/>
    <s v="Covia Corp - Blue Mountain"/>
    <s v="USD"/>
    <n v="0"/>
    <n v="0"/>
    <x v="1"/>
    <n v="282.6499999999999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1"/>
    <s v="SO16694"/>
    <m/>
    <x v="0"/>
    <m/>
    <m/>
    <s v="Ian Trottier"/>
    <n v="2"/>
    <n v="2025"/>
    <s v="INV12775"/>
    <n v="5"/>
    <n v="2025"/>
    <m/>
    <s v="Resolute Forest Products - Saint-Felicien"/>
    <s v="CAD"/>
    <n v="1948.11"/>
    <n v="1349.6619597736421"/>
    <x v="0"/>
    <n v="0"/>
    <n v="1349.661959773642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244929396604633"/>
    <s v="Yes"/>
  </r>
  <r>
    <n v="1"/>
    <s v="SO16696"/>
    <m/>
    <x v="0"/>
    <m/>
    <m/>
    <s v="Ian Trottier"/>
    <n v="2"/>
    <n v="2025"/>
    <s v="INV12767"/>
    <n v="4"/>
    <n v="2025"/>
    <m/>
    <s v="Corrosion Fluid Products Corp."/>
    <s v="USD"/>
    <n v="182.06320590254907"/>
    <n v="127.04"/>
    <x v="0"/>
    <n v="0"/>
    <n v="127.0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9056"/>
    <s v="Yes"/>
  </r>
  <r>
    <n v="1"/>
    <s v="SO16698"/>
    <m/>
    <x v="0"/>
    <m/>
    <m/>
    <s v="Ian Trottier"/>
    <n v="2"/>
    <n v="2025"/>
    <s v="INV12730"/>
    <n v="4"/>
    <n v="2025"/>
    <m/>
    <s v="Glencore Canada Corporation Closed Sites"/>
    <s v="CAD"/>
    <n v="2092.58"/>
    <n v="1453.1865193874928"/>
    <x v="0"/>
    <n v="0"/>
    <n v="1453.186519387492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797797790812393"/>
    <s v="Yes"/>
  </r>
  <r>
    <n v="2"/>
    <s v="SO16703"/>
    <m/>
    <x v="2"/>
    <m/>
    <m/>
    <s v="Ian Trottier"/>
    <n v="3"/>
    <n v="2025"/>
    <s v="INV13091"/>
    <n v="8"/>
    <n v="2025"/>
    <n v="2503"/>
    <s v="Hyperflo"/>
    <s v="CAD"/>
    <n v="631.62"/>
    <n v="438.59356200574041"/>
    <x v="0"/>
    <n v="0"/>
    <n v="438.59356200574041"/>
    <m/>
    <s v="Renewal"/>
    <m/>
    <m/>
    <s v=""/>
    <n v="5.0000000000000001E-3"/>
    <s v=""/>
    <s v=""/>
    <s v=""/>
    <n v="2.1929678100287022"/>
    <s v=""/>
    <s v=""/>
    <s v="Packing Base Ring, Allis Chalmers CSO, Frame F4B3/F4B5/F4D1, 316SS"/>
    <n v="2.1929678100287022"/>
    <m/>
    <m/>
    <m/>
    <m/>
    <s v=""/>
    <n v="2.1929678100287022"/>
    <s v=""/>
    <s v=""/>
    <x v="1"/>
    <x v="1"/>
    <n v="6.5789034300861058"/>
    <s v="Yes"/>
  </r>
  <r>
    <n v="2"/>
    <s v="SO16703"/>
    <m/>
    <x v="2"/>
    <m/>
    <m/>
    <n v="0"/>
    <n v="3"/>
    <n v="2025"/>
    <s v="INV12721"/>
    <n v="4"/>
    <n v="2025"/>
    <n v="2503"/>
    <s v="Hyperflo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s v="Packing Base Ring, Allis Chalmers CSO, Frame F4B3/F4B5/F4D1, 316SS"/>
    <n v="0"/>
    <m/>
    <m/>
    <m/>
    <m/>
    <s v=""/>
    <n v="0"/>
    <s v=""/>
    <s v=""/>
    <x v="1"/>
    <x v="1"/>
    <n v="0"/>
    <s v=""/>
  </r>
  <r>
    <n v="1"/>
    <s v="SO16704"/>
    <m/>
    <x v="0"/>
    <m/>
    <m/>
    <s v="Ian Trottier"/>
    <n v="3"/>
    <n v="2025"/>
    <s v="INV12702"/>
    <n v="1"/>
    <n v="1900"/>
    <m/>
    <s v="Quality Concrete Inc."/>
    <s v="CAD"/>
    <n v="0"/>
    <n v="0"/>
    <x v="0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Yes"/>
  </r>
  <r>
    <n v="1"/>
    <s v="SO16705"/>
    <m/>
    <x v="0"/>
    <m/>
    <m/>
    <s v="Ian Trottier"/>
    <n v="3"/>
    <n v="2025"/>
    <s v="INV12699"/>
    <n v="4"/>
    <n v="2025"/>
    <m/>
    <s v="Canadian Bearings Ltd."/>
    <s v="CAD"/>
    <n v="270.35000000000002"/>
    <n v="187.72959926577988"/>
    <x v="0"/>
    <n v="0"/>
    <n v="187.7295992657798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8159439889866982"/>
    <s v="Yes"/>
  </r>
  <r>
    <n v="1"/>
    <s v="SO16706"/>
    <m/>
    <x v="0"/>
    <m/>
    <m/>
    <s v="Ian Trottier"/>
    <n v="3"/>
    <n v="2025"/>
    <s v="INV12755"/>
    <n v="4"/>
    <n v="2025"/>
    <m/>
    <s v="Hyperflo"/>
    <s v="CAD"/>
    <n v="6571.4"/>
    <n v="4591.6199700849475"/>
    <x v="0"/>
    <n v="0"/>
    <n v="4591.619970084947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8.874299551274206"/>
    <s v="Yes"/>
  </r>
  <r>
    <n v="2"/>
    <s v="SO16707"/>
    <m/>
    <x v="0"/>
    <m/>
    <m/>
    <s v="Ian Trottier"/>
    <n v="3"/>
    <n v="2025"/>
    <s v="INV12803"/>
    <n v="4"/>
    <n v="2025"/>
    <m/>
    <s v="D&amp;H Materials Inc"/>
    <s v="USD"/>
    <n v="6126.7031251243734"/>
    <n v="4254.3500000000004"/>
    <x v="0"/>
    <n v="0"/>
    <n v="4254.350000000000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3.815250000000006"/>
    <s v="Yes"/>
  </r>
  <r>
    <n v="2"/>
    <s v="SO16707"/>
    <m/>
    <x v="0"/>
    <m/>
    <m/>
    <n v="0"/>
    <n v="3"/>
    <n v="2025"/>
    <s v="INV12946"/>
    <n v="5"/>
    <n v="2025"/>
    <m/>
    <s v="D&amp;H Materials Inc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08"/>
    <m/>
    <x v="0"/>
    <m/>
    <m/>
    <s v="Ian Trottier"/>
    <n v="3"/>
    <n v="2025"/>
    <s v="INV12713"/>
    <n v="4"/>
    <n v="2025"/>
    <m/>
    <s v="SCG Process"/>
    <s v="CAD"/>
    <n v="1421.5"/>
    <n v="995.47460386529212"/>
    <x v="0"/>
    <n v="0"/>
    <n v="995.4746038652921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.932119057979381"/>
    <s v="Yes"/>
  </r>
  <r>
    <n v="2"/>
    <s v="SO16711"/>
    <m/>
    <x v="0"/>
    <m/>
    <m/>
    <s v="Ian Trottier"/>
    <n v="3"/>
    <n v="2025"/>
    <s v="INV12750"/>
    <n v="4"/>
    <n v="2025"/>
    <m/>
    <s v="Wajax Limited - Lachine"/>
    <s v="CAD"/>
    <n v="1995.22"/>
    <n v="1387.3687694021708"/>
    <x v="0"/>
    <n v="0"/>
    <n v="1387.368769402170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81053154103256"/>
    <s v="Yes"/>
  </r>
  <r>
    <n v="2"/>
    <s v="SO16711"/>
    <m/>
    <x v="0"/>
    <m/>
    <m/>
    <n v="0"/>
    <n v="3"/>
    <n v="2025"/>
    <s v="INV12817"/>
    <n v="5"/>
    <n v="2025"/>
    <m/>
    <s v="Wajax Limited - Lachin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6712"/>
    <m/>
    <x v="0"/>
    <m/>
    <m/>
    <s v="Amanda Qiao"/>
    <n v="3"/>
    <n v="2025"/>
    <s v="INV12703"/>
    <n v="3"/>
    <n v="2025"/>
    <m/>
    <s v="First Bauxite Inc."/>
    <s v="USD"/>
    <n v="10642.179877209002"/>
    <n v="74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6712"/>
    <m/>
    <x v="0"/>
    <m/>
    <m/>
    <n v="0"/>
    <n v="3"/>
    <n v="2025"/>
    <s v="INV12703"/>
    <n v="3"/>
    <n v="2025"/>
    <m/>
    <s v="First Bauxite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14"/>
    <m/>
    <x v="0"/>
    <m/>
    <m/>
    <s v="Ian Trottier"/>
    <n v="3"/>
    <n v="2025"/>
    <s v="INV12715"/>
    <n v="4"/>
    <n v="2025"/>
    <m/>
    <s v="Wajax Limited - Timmins"/>
    <s v="CAD"/>
    <n v="298.77999999999997"/>
    <n v="209.23524596754982"/>
    <x v="0"/>
    <n v="0"/>
    <n v="209.2352459675498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385286895132469"/>
    <s v="Yes"/>
  </r>
  <r>
    <n v="1"/>
    <s v="SO16715"/>
    <m/>
    <x v="0"/>
    <m/>
    <m/>
    <s v="Ian Trottier"/>
    <n v="3"/>
    <n v="2025"/>
    <s v="INV12725"/>
    <n v="4"/>
    <n v="2025"/>
    <m/>
    <s v="Wajax Limited - Noranda"/>
    <s v="CAD"/>
    <n v="711.25"/>
    <n v="497.88775997583059"/>
    <x v="0"/>
    <n v="0"/>
    <n v="497.8877599758305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.4683163996374589"/>
    <s v="Yes"/>
  </r>
  <r>
    <n v="2"/>
    <s v="SO16718"/>
    <m/>
    <x v="0"/>
    <m/>
    <m/>
    <s v="Ian Trottier"/>
    <n v="3"/>
    <n v="2025"/>
    <s v="INV12710"/>
    <n v="4"/>
    <n v="2025"/>
    <m/>
    <s v="Les Pompes du St-Laurent Inc."/>
    <s v="CAD"/>
    <n v="1352.55"/>
    <n v="940.49058703045591"/>
    <x v="0"/>
    <n v="0"/>
    <n v="940.4905870304559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.107358805456839"/>
    <s v="Yes"/>
  </r>
  <r>
    <n v="2"/>
    <s v="SO16718"/>
    <m/>
    <x v="0"/>
    <m/>
    <m/>
    <n v="0"/>
    <n v="3"/>
    <n v="2025"/>
    <s v="INV12780"/>
    <n v="4"/>
    <n v="2025"/>
    <m/>
    <s v="Les Pompes du St-Laurent Inc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19"/>
    <m/>
    <x v="0"/>
    <m/>
    <m/>
    <s v="Yannett Yeomans"/>
    <n v="3"/>
    <n v="2025"/>
    <s v="INV12889"/>
    <s v=""/>
    <s v=""/>
    <m/>
    <s v="Dynapro Pumps México S de RL de CV"/>
    <s v="USD"/>
    <n v="86.406193074726431"/>
    <n v="6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6720"/>
    <m/>
    <x v="2"/>
    <m/>
    <m/>
    <s v="Ian Trottier"/>
    <n v="3"/>
    <n v="2025"/>
    <s v="INV13090"/>
    <n v="8"/>
    <n v="2025"/>
    <n v="2503"/>
    <s v="Hyperflo"/>
    <s v="CAD"/>
    <n v="1185.8900000000001"/>
    <n v="824.60417896088677"/>
    <x v="0"/>
    <n v="0"/>
    <n v="824.60417896088677"/>
    <m/>
    <s v="Renewal"/>
    <m/>
    <m/>
    <s v=""/>
    <n v="5.0000000000000001E-3"/>
    <s v=""/>
    <s v=""/>
    <s v=""/>
    <n v="4.1230208948044336"/>
    <s v=""/>
    <s v=""/>
    <s v="Shaft (Sleeve Type), Allis-Chalmers CSO, Frame F4D1, 4140 Steel"/>
    <n v="4.1230208948044336"/>
    <m/>
    <m/>
    <m/>
    <m/>
    <s v=""/>
    <n v="4.1230208948044336"/>
    <s v=""/>
    <s v=""/>
    <x v="1"/>
    <x v="1"/>
    <n v="12.369062684413301"/>
    <s v="Yes"/>
  </r>
  <r>
    <n v="1"/>
    <s v="SO16725"/>
    <m/>
    <x v="0"/>
    <m/>
    <m/>
    <s v="Ian Trottier"/>
    <n v="3"/>
    <n v="2025"/>
    <s v="INV12718"/>
    <n v="4"/>
    <n v="2025"/>
    <m/>
    <s v="Wajax Limited - Noranda"/>
    <s v="CAD"/>
    <n v="1946.57"/>
    <n v="1363.1804429448209"/>
    <x v="0"/>
    <n v="0"/>
    <n v="1363.180442944820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447706644172314"/>
    <s v="Yes"/>
  </r>
  <r>
    <n v="1"/>
    <s v="SO16727"/>
    <m/>
    <x v="0"/>
    <m/>
    <m/>
    <s v="Ian Trottier"/>
    <n v="3"/>
    <n v="2025"/>
    <s v="INV12862"/>
    <n v="5"/>
    <n v="2025"/>
    <m/>
    <s v="MAB Equipment Company Inc."/>
    <s v="USD"/>
    <n v="8672.1050961676501"/>
    <n v="6106.22"/>
    <x v="0"/>
    <n v="608"/>
    <n v="5498.2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2.473299999999995"/>
    <s v="Yes"/>
  </r>
  <r>
    <n v="1"/>
    <s v="SO16732"/>
    <m/>
    <x v="0"/>
    <m/>
    <m/>
    <s v="Taylor Cook"/>
    <n v="3"/>
    <n v="2025"/>
    <s v="INV12971"/>
    <s v=""/>
    <s v="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6733"/>
    <m/>
    <x v="0"/>
    <m/>
    <m/>
    <s v="Ian Trottier"/>
    <n v="3"/>
    <n v="2025"/>
    <s v="INV12804"/>
    <n v="5"/>
    <n v="2025"/>
    <m/>
    <s v="Sling-Choker Manufacturing - Timmins"/>
    <s v="CAD"/>
    <n v="8495.61"/>
    <n v="5872.7461918467798"/>
    <x v="0"/>
    <n v="0"/>
    <n v="5872.746191846779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8.091192877701687"/>
    <s v="Yes"/>
  </r>
  <r>
    <n v="3"/>
    <s v="SO16733"/>
    <m/>
    <x v="0"/>
    <m/>
    <m/>
    <n v="0"/>
    <n v="3"/>
    <n v="2025"/>
    <s v="INV12794"/>
    <n v="4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6733"/>
    <m/>
    <x v="0"/>
    <m/>
    <m/>
    <n v="0"/>
    <n v="3"/>
    <n v="2025"/>
    <s v="INV12852"/>
    <n v="5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34"/>
    <m/>
    <x v="0"/>
    <m/>
    <m/>
    <s v="Ian Trottier"/>
    <n v="3"/>
    <n v="2025"/>
    <s v="INV12736"/>
    <n v="4"/>
    <n v="2025"/>
    <m/>
    <s v="Wajax Limited - Lachine"/>
    <s v="CAD"/>
    <n v="1906.1"/>
    <n v="1334.3041958382153"/>
    <x v="0"/>
    <n v="0"/>
    <n v="1334.304195838215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014562937573228"/>
    <s v="Yes"/>
  </r>
  <r>
    <n v="1"/>
    <s v="SO16736"/>
    <m/>
    <x v="0"/>
    <m/>
    <m/>
    <s v="Ian Trottier"/>
    <n v="3"/>
    <n v="2025"/>
    <s v="INV12720"/>
    <n v="4"/>
    <n v="2025"/>
    <m/>
    <s v="Fabrene Inc."/>
    <s v="CAD"/>
    <n v="836.73"/>
    <n v="581.50320194146491"/>
    <x v="0"/>
    <n v="0"/>
    <n v="581.5032019414649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7225480291219739"/>
    <s v="Yes"/>
  </r>
  <r>
    <n v="1"/>
    <s v="SO16737"/>
    <m/>
    <x v="0"/>
    <m/>
    <m/>
    <s v="Taylor Cook"/>
    <n v="3"/>
    <n v="2025"/>
    <s v="INV12988"/>
    <n v="6"/>
    <n v="2025"/>
    <m/>
    <s v="Canadian Industrial Pumps Ltd, Canadian Industrial Pumps Ltd"/>
    <s v="CAD"/>
    <n v="3726.65"/>
    <n v="2663.811390330774"/>
    <x v="0"/>
    <n v="0"/>
    <n v="2663.81139033077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9.95717085496161"/>
    <s v="Yes"/>
  </r>
  <r>
    <n v="1"/>
    <s v="SO16738"/>
    <m/>
    <x v="0"/>
    <m/>
    <m/>
    <s v="Yannett Yeomans"/>
    <n v="3"/>
    <n v="2025"/>
    <s v="INV12865"/>
    <s v=""/>
    <s v=""/>
    <m/>
    <s v="Dynapro Pumps México S de RL de CV"/>
    <s v="USD"/>
    <n v="197.05876899150439"/>
    <n v="1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6739"/>
    <m/>
    <x v="0"/>
    <m/>
    <m/>
    <s v="Ian Trottier"/>
    <n v="3"/>
    <n v="2025"/>
    <s v="INV12737"/>
    <n v="4"/>
    <n v="2025"/>
    <m/>
    <s v="FMI Products"/>
    <s v="CAD"/>
    <n v="1129.78"/>
    <n v="790.86626849278571"/>
    <x v="0"/>
    <n v="0"/>
    <n v="790.8662684927857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862994027391785"/>
    <s v="Yes"/>
  </r>
  <r>
    <n v="1"/>
    <s v="SO16740"/>
    <m/>
    <x v="0"/>
    <m/>
    <m/>
    <s v="Ian Trottier"/>
    <n v="3"/>
    <n v="2025"/>
    <s v="INV12742"/>
    <n v="5"/>
    <n v="2025"/>
    <m/>
    <s v="Moffatt Supply &amp; Specialties - Red Lake"/>
    <s v="CAD"/>
    <n v="1904.9"/>
    <n v="1322.9971705725284"/>
    <x v="0"/>
    <n v="0"/>
    <n v="1322.997170572528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844957558587925"/>
    <s v="Yes"/>
  </r>
  <r>
    <n v="1"/>
    <s v="SO16742"/>
    <m/>
    <x v="0"/>
    <m/>
    <m/>
    <s v="Ian Trottier"/>
    <n v="3"/>
    <n v="2025"/>
    <s v="INV12731"/>
    <n v="4"/>
    <n v="2025"/>
    <m/>
    <s v="Wajax Limited - Noranda"/>
    <s v="CAD"/>
    <n v="199.07"/>
    <n v="138.25872578396402"/>
    <x v="0"/>
    <n v="0"/>
    <n v="138.2587257839640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0738808867594605"/>
    <s v="Yes"/>
  </r>
  <r>
    <n v="1"/>
    <s v="SO16744"/>
    <m/>
    <x v="0"/>
    <m/>
    <m/>
    <s v="Jeff Bell"/>
    <n v="3"/>
    <n v="2025"/>
    <s v="INV12762"/>
    <n v="5"/>
    <n v="2025"/>
    <m/>
    <s v="Barrick Gold - Pueblo Viejo Dominicana Corporation"/>
    <s v="USD"/>
    <n v="1262.6018070500875"/>
    <n v="878.63"/>
    <x v="0"/>
    <n v="0"/>
    <n v="878.63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3.179449999999999"/>
    <s v="Yes"/>
  </r>
  <r>
    <n v="2"/>
    <s v="SO16746"/>
    <m/>
    <x v="0"/>
    <m/>
    <m/>
    <s v="Ian Trottier"/>
    <n v="3"/>
    <n v="2025"/>
    <s v="INV13036"/>
    <n v="6"/>
    <n v="2025"/>
    <m/>
    <s v="Kumtor Gold Company"/>
    <s v="USD"/>
    <n v="4613.8861090402879"/>
    <n v="3210.75"/>
    <x v="0"/>
    <n v="0"/>
    <n v="3210.7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8.161249999999995"/>
    <s v="Yes"/>
  </r>
  <r>
    <n v="2"/>
    <s v="SO16746"/>
    <m/>
    <x v="0"/>
    <m/>
    <m/>
    <n v="0"/>
    <n v="3"/>
    <n v="2025"/>
    <s v="INV12748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47"/>
    <m/>
    <x v="0"/>
    <s v="Ian T"/>
    <m/>
    <s v="Ian Trottier"/>
    <n v="3"/>
    <n v="2025"/>
    <s v="INV13095"/>
    <n v="8"/>
    <n v="2025"/>
    <n v="2503"/>
    <s v="Southeast Pump Specialist, Inc."/>
    <s v="USD"/>
    <n v="12276.551135094038"/>
    <n v="8543.11"/>
    <x v="0"/>
    <n v="575"/>
    <n v="7968.1100000000006"/>
    <m/>
    <m/>
    <s v="Renewal"/>
    <m/>
    <s v=""/>
    <s v=""/>
    <n v="0.01"/>
    <s v=""/>
    <s v=""/>
    <s v=""/>
    <n v="79.681100000000001"/>
    <s v=""/>
    <m/>
    <n v="79.681100000000001"/>
    <m/>
    <m/>
    <m/>
    <m/>
    <s v=""/>
    <s v=""/>
    <n v="79.681100000000001"/>
    <s v=""/>
    <x v="1"/>
    <x v="1"/>
    <n v="119.52165000000001"/>
    <s v="Yes"/>
  </r>
  <r>
    <n v="1"/>
    <s v="SO16749"/>
    <m/>
    <x v="0"/>
    <m/>
    <m/>
    <s v="Ian Trottier"/>
    <n v="3"/>
    <n v="2025"/>
    <s v="INV12732"/>
    <n v="4"/>
    <n v="2025"/>
    <m/>
    <s v="Wajax Limited - Noranda"/>
    <s v="CAD"/>
    <n v="168.59"/>
    <n v="117.23246211875248"/>
    <x v="0"/>
    <n v="0"/>
    <n v="117.2324621187524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7584869317812872"/>
    <s v="Yes"/>
  </r>
  <r>
    <n v="1"/>
    <s v="SO16750"/>
    <m/>
    <x v="0"/>
    <m/>
    <m/>
    <s v="Ian Trottier"/>
    <n v="3"/>
    <n v="2025"/>
    <s v="INV12808"/>
    <n v="5"/>
    <n v="2025"/>
    <m/>
    <s v="Tech-Flow"/>
    <s v="USD"/>
    <n v="624.04502339629346"/>
    <n v="435.76"/>
    <x v="0"/>
    <n v="0"/>
    <n v="435.7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.5363999999999995"/>
    <s v="Yes"/>
  </r>
  <r>
    <n v="1"/>
    <s v="SO16751"/>
    <m/>
    <x v="0"/>
    <s v="Amanda Q"/>
    <m/>
    <s v="Amanda Qiao"/>
    <n v="3"/>
    <n v="2025"/>
    <s v="INV13179"/>
    <n v="8"/>
    <n v="2025"/>
    <n v="2503"/>
    <s v="Tencarva Machinery Company"/>
    <s v="USD"/>
    <n v="38671.550944448398"/>
    <n v="27833.48"/>
    <x v="0"/>
    <n v="1250"/>
    <n v="26583.48"/>
    <m/>
    <m/>
    <s v="Renewal"/>
    <m/>
    <s v=""/>
    <s v=""/>
    <n v="0.01"/>
    <s v=""/>
    <s v=""/>
    <s v=""/>
    <n v="265.83479999999997"/>
    <s v=""/>
    <m/>
    <m/>
    <m/>
    <m/>
    <n v="2503"/>
    <m/>
    <s v=""/>
    <s v=""/>
    <n v="0"/>
    <s v=""/>
    <x v="1"/>
    <x v="1"/>
    <n v="398.75219999999996"/>
    <s v="Yes"/>
  </r>
  <r>
    <n v="1"/>
    <s v="SO16752"/>
    <m/>
    <x v="0"/>
    <m/>
    <m/>
    <s v="Ian Trottier"/>
    <n v="3"/>
    <n v="2025"/>
    <s v="INV12726"/>
    <n v="5"/>
    <n v="2025"/>
    <m/>
    <s v="Grant Aggregate"/>
    <s v="CAD"/>
    <n v="1242.28"/>
    <n v="858.74882900785428"/>
    <x v="0"/>
    <n v="0"/>
    <n v="858.7488290078542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.881232435117814"/>
    <s v="Yes"/>
  </r>
  <r>
    <n v="1"/>
    <s v="SO16753"/>
    <m/>
    <x v="0"/>
    <m/>
    <m/>
    <s v="Ian Trottier"/>
    <n v="3"/>
    <n v="2025"/>
    <s v="INV12854"/>
    <n v="5"/>
    <n v="2025"/>
    <m/>
    <s v="Cartledge &amp; Associates Inc."/>
    <s v="USD"/>
    <n v="1877.4992191993795"/>
    <n v="1306.53"/>
    <x v="0"/>
    <n v="0"/>
    <n v="1306.5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597949999999997"/>
    <s v="Yes"/>
  </r>
  <r>
    <n v="1"/>
    <s v="SO16754"/>
    <m/>
    <x v="0"/>
    <m/>
    <m/>
    <s v="Ian Trottier"/>
    <n v="3"/>
    <n v="2025"/>
    <s v="INV12753"/>
    <n v="5"/>
    <n v="2025"/>
    <m/>
    <s v="Resolute Forest Products - Saint-Felicien"/>
    <s v="CAD"/>
    <n v="523.41"/>
    <n v="366.39639008639642"/>
    <x v="0"/>
    <n v="0"/>
    <n v="366.3963900863964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4959458512959465"/>
    <s v="Yes"/>
  </r>
  <r>
    <n v="1"/>
    <s v="SO16755"/>
    <m/>
    <x v="0"/>
    <m/>
    <m/>
    <s v="Ian Trottier"/>
    <n v="3"/>
    <n v="2025"/>
    <s v="INV12729"/>
    <n v="5"/>
    <n v="2025"/>
    <m/>
    <s v="Resolute Forest Products - Saint-Felicien"/>
    <s v="CAD"/>
    <n v="301.76"/>
    <n v="209.55641556851828"/>
    <x v="0"/>
    <n v="0"/>
    <n v="209.5564155685182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433462335277742"/>
    <s v="Yes"/>
  </r>
  <r>
    <n v="1"/>
    <s v="SO16756"/>
    <m/>
    <x v="0"/>
    <m/>
    <m/>
    <s v="Ian Trottier"/>
    <n v="3"/>
    <n v="2025"/>
    <s v="INV12796"/>
    <n v="4"/>
    <n v="2025"/>
    <m/>
    <s v="Sling-Choker Manufacturing - Timmins"/>
    <s v="CAD"/>
    <n v="2816.85"/>
    <n v="1956.3675678131274"/>
    <x v="0"/>
    <n v="0"/>
    <n v="1956.367567813127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9.34551351719691"/>
    <s v="Yes"/>
  </r>
  <r>
    <n v="1"/>
    <s v="SO16757"/>
    <m/>
    <x v="0"/>
    <m/>
    <m/>
    <s v="Ian Trottier"/>
    <n v="3"/>
    <n v="2025"/>
    <s v="INV12740"/>
    <n v="4"/>
    <n v="2025"/>
    <m/>
    <s v="Glencore Canada Corporation - Rouyn-Noranda"/>
    <s v="CAD"/>
    <n v="1752.46"/>
    <n v="1216.9911056044725"/>
    <x v="0"/>
    <n v="0"/>
    <n v="1216.991105604472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.254866584067088"/>
    <s v="Yes"/>
  </r>
  <r>
    <n v="1"/>
    <s v="SO16760"/>
    <m/>
    <x v="0"/>
    <m/>
    <m/>
    <s v="Ian Trottier"/>
    <n v="3"/>
    <n v="2025"/>
    <s v="INV12728"/>
    <n v="4"/>
    <n v="2025"/>
    <m/>
    <s v="Wajax Limited - Noranda"/>
    <s v="CAD"/>
    <n v="321.89999999999998"/>
    <n v="223.54258407842667"/>
    <x v="0"/>
    <n v="0"/>
    <n v="223.5425840784266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3531387611764001"/>
    <s v="Yes"/>
  </r>
  <r>
    <n v="1"/>
    <s v="SO16761"/>
    <m/>
    <x v="0"/>
    <m/>
    <m/>
    <s v="Yannett Yeomans"/>
    <n v="3"/>
    <n v="2025"/>
    <s v="INV13019"/>
    <s v=""/>
    <s v=""/>
    <m/>
    <s v="Dynapro Pumps México S de RL de CV"/>
    <s v="USD"/>
    <n v="520.78184550969513"/>
    <n v="36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6762"/>
    <m/>
    <x v="0"/>
    <m/>
    <m/>
    <s v="Ian Trottier"/>
    <n v="3"/>
    <n v="2025"/>
    <s v="INV12751"/>
    <n v="4"/>
    <n v="2025"/>
    <m/>
    <s v="Wajax Limited - Lachine"/>
    <s v="CAD"/>
    <n v="798.97"/>
    <n v="558.26256315226135"/>
    <x v="0"/>
    <n v="0"/>
    <n v="558.2625631522613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3739384472839191"/>
    <s v="Yes"/>
  </r>
  <r>
    <n v="1"/>
    <s v="SO16764"/>
    <m/>
    <x v="0"/>
    <m/>
    <m/>
    <s v="Ian Trottier"/>
    <n v="3"/>
    <n v="2025"/>
    <s v="INV12735"/>
    <n v="4"/>
    <n v="2025"/>
    <m/>
    <s v="Wajax Limited - Noranda"/>
    <s v="CAD"/>
    <n v="296.2"/>
    <n v="205.96865341701468"/>
    <x v="0"/>
    <n v="0"/>
    <n v="205.9686534170146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0895298012552201"/>
    <s v="Yes"/>
  </r>
  <r>
    <n v="1"/>
    <s v="SO16765"/>
    <m/>
    <x v="0"/>
    <m/>
    <m/>
    <s v="Ian Trottier"/>
    <n v="3"/>
    <n v="2025"/>
    <s v="INV12738"/>
    <n v="4"/>
    <n v="2025"/>
    <m/>
    <s v="Glencore Canada Corporation - Rouyn-Noranda"/>
    <s v="CAD"/>
    <n v="4082.22"/>
    <n v="2835.196340833947"/>
    <x v="0"/>
    <n v="0"/>
    <n v="2835.19634083394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2.527945112509201"/>
    <s v="Yes"/>
  </r>
  <r>
    <n v="1"/>
    <s v="SO16766"/>
    <m/>
    <x v="0"/>
    <m/>
    <m/>
    <s v="Ian Trottier"/>
    <n v="3"/>
    <n v="2025"/>
    <s v="INV12883"/>
    <n v="6"/>
    <n v="2025"/>
    <m/>
    <s v="Resolute Forest Products - Alma"/>
    <s v="CAD"/>
    <n v="743.88"/>
    <n v="535.40053596873713"/>
    <x v="0"/>
    <n v="0"/>
    <n v="535.4005359687371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0310080395310575"/>
    <s v="Yes"/>
  </r>
  <r>
    <n v="1"/>
    <s v="SO16769"/>
    <m/>
    <x v="0"/>
    <m/>
    <m/>
    <s v="Ian Trottier"/>
    <n v="3"/>
    <n v="2025"/>
    <s v="INV12975"/>
    <n v="5"/>
    <n v="2025"/>
    <m/>
    <s v="Resolute Forest Products - Clermont"/>
    <s v="CAD"/>
    <n v="1037.54"/>
    <n v="720.76520106593875"/>
    <x v="0"/>
    <n v="0"/>
    <n v="720.7652010659387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811478015989081"/>
    <s v="Yes"/>
  </r>
  <r>
    <n v="2"/>
    <s v="SO16770"/>
    <m/>
    <x v="0"/>
    <m/>
    <m/>
    <s v="Ian Trottier"/>
    <n v="3"/>
    <n v="2025"/>
    <s v="INV12739"/>
    <n v="4"/>
    <n v="2025"/>
    <m/>
    <s v="Glencore Canada Corporation - Rouyn-Noranda"/>
    <s v="CAD"/>
    <n v="346.78"/>
    <n v="241.14047816324214"/>
    <x v="0"/>
    <n v="0"/>
    <n v="241.1404781632421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6171071724486321"/>
    <s v="Yes"/>
  </r>
  <r>
    <n v="2"/>
    <s v="SO16770"/>
    <m/>
    <x v="0"/>
    <m/>
    <m/>
    <n v="0"/>
    <n v="3"/>
    <n v="2025"/>
    <s v="INV12787"/>
    <n v="5"/>
    <n v="2025"/>
    <m/>
    <s v="Glencore Canada Corporation - Rouyn-Noranda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72"/>
    <m/>
    <x v="0"/>
    <m/>
    <m/>
    <s v="Ian Trottier"/>
    <n v="3"/>
    <n v="2025"/>
    <s v="INV12812"/>
    <n v="6"/>
    <n v="2025"/>
    <m/>
    <s v="Resolute Forest Products - Saint-Felicien"/>
    <s v="CAD"/>
    <n v="2306.88"/>
    <n v="1607.3315191951583"/>
    <x v="0"/>
    <n v="0"/>
    <n v="1607.331519195158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4.109972787927372"/>
    <s v="Yes"/>
  </r>
  <r>
    <n v="1"/>
    <s v="SO16774"/>
    <m/>
    <x v="0"/>
    <m/>
    <m/>
    <s v="Ian Trottier"/>
    <n v="3"/>
    <n v="2025"/>
    <s v="INV12733"/>
    <n v="5"/>
    <n v="2025"/>
    <m/>
    <s v="Advanced Engineered Pump Inc."/>
    <s v="USD"/>
    <n v="747.27529430177378"/>
    <n v="519"/>
    <x v="0"/>
    <n v="0"/>
    <n v="51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.7850000000000001"/>
    <s v="Yes"/>
  </r>
  <r>
    <n v="1"/>
    <s v="SO16775"/>
    <m/>
    <x v="2"/>
    <m/>
    <m/>
    <s v="Ian Trottier"/>
    <n v="3"/>
    <n v="2025"/>
    <s v="INV13191"/>
    <n v="9"/>
    <n v="2025"/>
    <n v="2503"/>
    <s v="Cypress Sales Partnership"/>
    <s v="CAD"/>
    <n v="7938.04"/>
    <n v="5556.7704101209729"/>
    <x v="0"/>
    <n v="0"/>
    <n v="5556.7704101209729"/>
    <m/>
    <s v="Renewal"/>
    <m/>
    <m/>
    <s v=""/>
    <n v="5.0000000000000001E-3"/>
    <s v=""/>
    <s v=""/>
    <s v=""/>
    <n v="27.783852050604864"/>
    <s v=""/>
    <s v=""/>
    <s v="Casing, 3x1.5-13, Durco Mark 2&amp;3 Group 2, CD4MCu , #300 Flat Face Flanges"/>
    <n v="27.783852050604864"/>
    <m/>
    <m/>
    <m/>
    <m/>
    <s v=""/>
    <n v="27.783852050604864"/>
    <s v=""/>
    <s v=""/>
    <x v="1"/>
    <x v="1"/>
    <n v="83.351556151814592"/>
    <s v="Yes"/>
  </r>
  <r>
    <n v="1"/>
    <s v="SO16778"/>
    <m/>
    <x v="0"/>
    <m/>
    <m/>
    <s v="Ian Trottier"/>
    <n v="3"/>
    <n v="2025"/>
    <s v="INV12759"/>
    <n v="4"/>
    <n v="2025"/>
    <m/>
    <s v="Motion Industries Inc. (Canada) - Red Deer"/>
    <s v="CAD"/>
    <n v="171.09"/>
    <n v="119.40589572991151"/>
    <x v="0"/>
    <n v="0"/>
    <n v="119.4058957299115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7910884359486725"/>
    <s v="Yes"/>
  </r>
  <r>
    <n v="2"/>
    <s v="SO16783"/>
    <m/>
    <x v="0"/>
    <m/>
    <m/>
    <s v="Ian Trottier"/>
    <n v="3"/>
    <n v="2025"/>
    <s v="INV12917"/>
    <n v="5"/>
    <n v="2025"/>
    <m/>
    <s v="Kumtor Gold Company"/>
    <s v="USD"/>
    <n v="8032.4271236151872"/>
    <n v="5580.02"/>
    <x v="0"/>
    <n v="0"/>
    <n v="5580.0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3.700299999999999"/>
    <s v="Yes"/>
  </r>
  <r>
    <n v="2"/>
    <s v="SO16783"/>
    <m/>
    <x v="0"/>
    <m/>
    <m/>
    <n v="0"/>
    <n v="3"/>
    <n v="2025"/>
    <s v="INV12823"/>
    <n v="4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87"/>
    <m/>
    <x v="0"/>
    <m/>
    <m/>
    <s v="Yannett Yeomans"/>
    <n v="3"/>
    <n v="2025"/>
    <s v="INV12958"/>
    <s v=""/>
    <s v=""/>
    <m/>
    <s v="Dynapro Pumps México S de RL de CV"/>
    <s v="USD"/>
    <n v="1291.2927768448997"/>
    <n v="89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6788"/>
    <m/>
    <x v="0"/>
    <m/>
    <m/>
    <s v="Ian Trottier"/>
    <n v="3"/>
    <n v="2025"/>
    <s v="INV12799"/>
    <n v="5"/>
    <n v="2025"/>
    <m/>
    <s v="Glencore Canada Corporation - Rouyn-Noranda, Glencore Canada Corp."/>
    <s v="CAD"/>
    <n v="2750.02"/>
    <n v="1921.5154685657562"/>
    <x v="0"/>
    <n v="0"/>
    <n v="1921.515468565756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8.822732028486342"/>
    <s v="Yes"/>
  </r>
  <r>
    <n v="2"/>
    <s v="SO16788"/>
    <m/>
    <x v="0"/>
    <m/>
    <m/>
    <n v="0"/>
    <n v="3"/>
    <n v="2025"/>
    <s v="INV12813"/>
    <n v="5"/>
    <n v="2025"/>
    <m/>
    <s v="Glencore Canada Corporation - Rouyn-Noranda, Glencore Canada Corp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792"/>
    <m/>
    <x v="1"/>
    <m/>
    <m/>
    <s v="Marlen Martinez"/>
    <n v="3"/>
    <n v="2025"/>
    <s v="INV12802"/>
    <n v="7"/>
    <n v="2025"/>
    <n v="2504"/>
    <s v="Covia Corp - Junction City"/>
    <s v="USD"/>
    <n v="15979.247006926034"/>
    <n v="11179"/>
    <x v="0"/>
    <n v="749"/>
    <n v="10430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156.44999999999999"/>
    <s v="Yes"/>
  </r>
  <r>
    <n v="1"/>
    <s v="SO16793"/>
    <m/>
    <x v="0"/>
    <m/>
    <m/>
    <s v="Ian Trottier"/>
    <n v="3"/>
    <n v="2025"/>
    <s v="INV12752"/>
    <n v="5"/>
    <n v="2025"/>
    <m/>
    <s v="Process and Steam Specialties, Process and Steam Specialties"/>
    <s v="CAD"/>
    <n v="1487.32"/>
    <n v="1039.2318552982238"/>
    <x v="0"/>
    <n v="0"/>
    <n v="1039.231855298223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5.588477829473355"/>
    <s v="Yes"/>
  </r>
  <r>
    <n v="2"/>
    <s v="SO16794"/>
    <m/>
    <x v="0"/>
    <s v="Ian T"/>
    <m/>
    <s v="Ian Trottier"/>
    <n v="3"/>
    <n v="2025"/>
    <s v="INV12795"/>
    <n v="4"/>
    <n v="2025"/>
    <n v="2503"/>
    <s v="Sling-Choker Manufacturing - Timmins"/>
    <s v="CAD"/>
    <n v="12557.71"/>
    <n v="8762.5144822173206"/>
    <x v="0"/>
    <n v="0"/>
    <n v="8762.5144822173206"/>
    <m/>
    <m/>
    <s v="Renewal"/>
    <m/>
    <s v=""/>
    <s v=""/>
    <n v="0.01"/>
    <s v=""/>
    <s v=""/>
    <s v=""/>
    <n v="87.625144822173212"/>
    <s v=""/>
    <m/>
    <n v="87.625144822173212"/>
    <m/>
    <m/>
    <m/>
    <m/>
    <s v=""/>
    <s v=""/>
    <n v="87.625144822173212"/>
    <s v=""/>
    <x v="1"/>
    <x v="1"/>
    <n v="131.4377172332598"/>
    <s v="Yes"/>
  </r>
  <r>
    <n v="2"/>
    <s v="SO16794"/>
    <m/>
    <x v="0"/>
    <s v="Ian T"/>
    <m/>
    <n v="0"/>
    <n v="3"/>
    <n v="2025"/>
    <s v="INV13161"/>
    <n v="8"/>
    <n v="2025"/>
    <n v="2503"/>
    <s v="Sling-Choker Manufacturing - Timmins"/>
    <s v="CAD"/>
    <n v="0"/>
    <n v="0"/>
    <x v="1"/>
    <n v="0"/>
    <n v="0"/>
    <m/>
    <m/>
    <s v="Renewal"/>
    <m/>
    <s v=""/>
    <s v=""/>
    <n v="0.01"/>
    <s v=""/>
    <s v=""/>
    <s v=""/>
    <n v="0"/>
    <s v=""/>
    <m/>
    <n v="0"/>
    <m/>
    <m/>
    <m/>
    <m/>
    <s v=""/>
    <s v=""/>
    <n v="0"/>
    <s v=""/>
    <x v="1"/>
    <x v="1"/>
    <n v="0"/>
    <s v=""/>
  </r>
  <r>
    <n v="1"/>
    <s v="SO16796"/>
    <m/>
    <x v="0"/>
    <m/>
    <m/>
    <s v="Ian Trottier"/>
    <n v="3"/>
    <n v="2025"/>
    <s v="INV12754"/>
    <n v="4"/>
    <n v="2025"/>
    <m/>
    <s v="Wajax Limited - Noranda"/>
    <s v="CAD"/>
    <n v="147.72999999999999"/>
    <n v="103.08298761939596"/>
    <x v="0"/>
    <n v="0"/>
    <n v="103.0829876193959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5462448142909395"/>
    <s v="Yes"/>
  </r>
  <r>
    <n v="1"/>
    <s v="SO16797"/>
    <m/>
    <x v="0"/>
    <m/>
    <m/>
    <s v="Ian Trottier"/>
    <n v="3"/>
    <n v="2025"/>
    <s v="INV12826"/>
    <n v="5"/>
    <n v="2025"/>
    <m/>
    <s v="Grant Aggregate"/>
    <s v="CAD"/>
    <n v="1182.8900000000001"/>
    <n v="825.55403588728143"/>
    <x v="0"/>
    <n v="0"/>
    <n v="825.5540358872814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.383310538309221"/>
    <s v="Yes"/>
  </r>
  <r>
    <n v="3"/>
    <s v="SO16798"/>
    <m/>
    <x v="2"/>
    <m/>
    <m/>
    <s v="Ian Trottier"/>
    <n v="3"/>
    <n v="2025"/>
    <s v="INV12968"/>
    <n v="5"/>
    <n v="2025"/>
    <n v="2503"/>
    <s v="Kumtor Gold Company"/>
    <s v="USD"/>
    <n v="12832.083881218166"/>
    <n v="9235.77"/>
    <x v="0"/>
    <n v="0"/>
    <n v="9235.77"/>
    <m/>
    <s v="Renewal"/>
    <m/>
    <m/>
    <s v=""/>
    <n v="5.0000000000000001E-3"/>
    <s v=""/>
    <s v=""/>
    <s v=""/>
    <n v="46.178850000000004"/>
    <s v=""/>
    <s v=""/>
    <s v="Impeller (Agitator), Sala VS150, High Chrome"/>
    <n v="46.178850000000004"/>
    <m/>
    <m/>
    <m/>
    <m/>
    <s v=""/>
    <n v="46.178850000000004"/>
    <s v=""/>
    <s v=""/>
    <x v="1"/>
    <x v="1"/>
    <n v="138.53655000000001"/>
    <s v="Yes"/>
  </r>
  <r>
    <n v="3"/>
    <s v="SO16798"/>
    <m/>
    <x v="2"/>
    <m/>
    <m/>
    <n v="0"/>
    <n v="3"/>
    <n v="2025"/>
    <s v="INV12916"/>
    <n v="5"/>
    <n v="2025"/>
    <n v="2503"/>
    <s v="Kumtor Gold Company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s v="Impeller (Agitator), Sala VS150, High Chrome"/>
    <n v="0"/>
    <m/>
    <m/>
    <m/>
    <m/>
    <s v=""/>
    <n v="0"/>
    <s v=""/>
    <s v=""/>
    <x v="1"/>
    <x v="1"/>
    <n v="0"/>
    <s v=""/>
  </r>
  <r>
    <n v="3"/>
    <s v="SO16798"/>
    <m/>
    <x v="2"/>
    <m/>
    <m/>
    <n v="0"/>
    <n v="3"/>
    <n v="2025"/>
    <s v="INV13275"/>
    <n v="8"/>
    <n v="2025"/>
    <n v="2503"/>
    <s v="Kumtor Gold Company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s v="Impeller (Agitator), Sala VS150, High Chrome"/>
    <n v="0"/>
    <m/>
    <m/>
    <m/>
    <m/>
    <s v=""/>
    <n v="0"/>
    <s v=""/>
    <s v=""/>
    <x v="1"/>
    <x v="1"/>
    <n v="0"/>
    <s v=""/>
  </r>
  <r>
    <n v="1"/>
    <s v="SO16799"/>
    <m/>
    <x v="0"/>
    <m/>
    <m/>
    <s v="Ian Trottier"/>
    <n v="3"/>
    <n v="2025"/>
    <s v="INV12788"/>
    <n v="5"/>
    <n v="2025"/>
    <m/>
    <s v="Glencore Canada Corporation - Rouyn-Noranda"/>
    <s v="CAD"/>
    <n v="5315.42"/>
    <n v="3708.9919045007082"/>
    <x v="0"/>
    <n v="0"/>
    <n v="3708.991904500708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5.634878567510619"/>
    <s v="Yes"/>
  </r>
  <r>
    <n v="1"/>
    <s v="SO16803"/>
    <m/>
    <x v="0"/>
    <m/>
    <m/>
    <s v="Ian Trottier"/>
    <n v="3"/>
    <n v="2025"/>
    <s v="INV12848"/>
    <n v="6"/>
    <n v="2025"/>
    <m/>
    <s v="Resolute Forest Products - Saint-Felicien"/>
    <s v="CAD"/>
    <n v="1796.44"/>
    <n v="1264.9129288859272"/>
    <x v="0"/>
    <n v="0"/>
    <n v="1264.912928885927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.973693933288907"/>
    <s v="Yes"/>
  </r>
  <r>
    <n v="1"/>
    <s v="SO16804"/>
    <m/>
    <x v="0"/>
    <m/>
    <m/>
    <s v="Ian Trottier"/>
    <n v="3"/>
    <n v="2025"/>
    <s v="INV12758"/>
    <n v="5"/>
    <n v="2025"/>
    <m/>
    <s v="Resolute Forest Products - Saint-Felicien"/>
    <s v="CAD"/>
    <n v="301.76"/>
    <n v="210.60215731754099"/>
    <x v="0"/>
    <n v="0"/>
    <n v="210.6021573175409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590323597631147"/>
    <s v="Yes"/>
  </r>
  <r>
    <n v="1"/>
    <s v="SO16805"/>
    <m/>
    <x v="0"/>
    <m/>
    <m/>
    <s v="Ian Trottier"/>
    <n v="3"/>
    <n v="2025"/>
    <s v="INV13049"/>
    <n v="6"/>
    <n v="2025"/>
    <m/>
    <s v="Algoma Steel Inc."/>
    <s v="CAD"/>
    <n v="12281.56"/>
    <n v="8614.6373803377737"/>
    <x v="0"/>
    <n v="0"/>
    <n v="8614.637380337773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9.21956070506661"/>
    <s v="Yes"/>
  </r>
  <r>
    <n v="2"/>
    <s v="SO16809"/>
    <m/>
    <x v="0"/>
    <m/>
    <m/>
    <s v="Ian Trottier"/>
    <n v="3"/>
    <n v="2025"/>
    <s v="INV13438"/>
    <s v=""/>
    <s v=""/>
    <m/>
    <s v="Wajax Limited - Noranda"/>
    <s v="CAD"/>
    <n v="7992.87"/>
    <n v="5809.21222551651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6809"/>
    <m/>
    <x v="0"/>
    <m/>
    <m/>
    <n v="0"/>
    <n v="3"/>
    <n v="2025"/>
    <s v="INV13026"/>
    <n v="7"/>
    <n v="2025"/>
    <m/>
    <s v="Wajax Limited - Noranda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812"/>
    <m/>
    <x v="0"/>
    <m/>
    <m/>
    <s v="Amanda Qiao"/>
    <n v="3"/>
    <n v="2025"/>
    <s v="INV12869"/>
    <n v="5"/>
    <n v="2025"/>
    <m/>
    <s v="Hisco Pump Inc."/>
    <s v="USD"/>
    <n v="6778.1829007718588"/>
    <n v="4776.59"/>
    <x v="0"/>
    <n v="543"/>
    <n v="4233.5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3.50385"/>
    <s v="Yes"/>
  </r>
  <r>
    <n v="2"/>
    <s v="SO16813"/>
    <m/>
    <x v="0"/>
    <s v="Amanda Q"/>
    <m/>
    <s v="Amanda Qiao"/>
    <n v="3"/>
    <n v="2025"/>
    <s v="INV12986"/>
    <n v="7"/>
    <n v="2025"/>
    <n v="2503"/>
    <s v="AGM Inc."/>
    <s v="USD"/>
    <n v="19956.495994094497"/>
    <n v="13904.8"/>
    <x v="0"/>
    <n v="0"/>
    <n v="13904.8"/>
    <m/>
    <m/>
    <s v="Renewal"/>
    <m/>
    <s v=""/>
    <s v=""/>
    <n v="0.01"/>
    <s v=""/>
    <s v=""/>
    <s v=""/>
    <n v="139.048"/>
    <s v=""/>
    <m/>
    <m/>
    <m/>
    <m/>
    <n v="2503"/>
    <m/>
    <s v=""/>
    <s v=""/>
    <n v="0"/>
    <s v=""/>
    <x v="1"/>
    <x v="1"/>
    <n v="208.57199999999997"/>
    <s v="Yes"/>
  </r>
  <r>
    <n v="2"/>
    <s v="SO16813"/>
    <m/>
    <x v="0"/>
    <s v="Amanda Q"/>
    <m/>
    <n v="0"/>
    <n v="3"/>
    <n v="2025"/>
    <s v="INV12845"/>
    <n v="8"/>
    <n v="2025"/>
    <n v="2503"/>
    <s v="AGM Inc."/>
    <s v="USD"/>
    <n v="0"/>
    <n v="0"/>
    <x v="1"/>
    <n v="0"/>
    <n v="0"/>
    <m/>
    <m/>
    <s v="Renewal"/>
    <m/>
    <s v=""/>
    <s v=""/>
    <n v="0.01"/>
    <s v=""/>
    <s v=""/>
    <s v=""/>
    <n v="0"/>
    <s v=""/>
    <m/>
    <m/>
    <m/>
    <m/>
    <n v="2503"/>
    <m/>
    <s v=""/>
    <s v=""/>
    <n v="0"/>
    <s v=""/>
    <x v="1"/>
    <x v="1"/>
    <n v="0"/>
    <s v=""/>
  </r>
  <r>
    <n v="1"/>
    <s v="SO16814"/>
    <m/>
    <x v="0"/>
    <m/>
    <m/>
    <s v="Ian Trottier"/>
    <n v="3"/>
    <n v="2025"/>
    <s v="INV12781"/>
    <n v="4"/>
    <n v="2025"/>
    <m/>
    <s v="Kumtor Gold Company"/>
    <s v="USD"/>
    <n v="7831.9305086640406"/>
    <n v="5473.35"/>
    <x v="0"/>
    <n v="0"/>
    <n v="5473.3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2.100250000000003"/>
    <s v="Yes"/>
  </r>
  <r>
    <n v="1"/>
    <s v="SO16815"/>
    <m/>
    <x v="0"/>
    <m/>
    <m/>
    <s v="Ian Trottier"/>
    <n v="3"/>
    <n v="2025"/>
    <s v="INV12814"/>
    <n v="5"/>
    <n v="2025"/>
    <m/>
    <s v="Canadian Bearings Ltd."/>
    <s v="CAD"/>
    <n v="2155.7800000000002"/>
    <n v="1505.6641489296369"/>
    <x v="0"/>
    <n v="0"/>
    <n v="1505.664148929636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584962233944552"/>
    <s v="Yes"/>
  </r>
  <r>
    <n v="1"/>
    <s v="SO16816"/>
    <m/>
    <x v="0"/>
    <m/>
    <m/>
    <s v="Ian Trottier"/>
    <n v="3"/>
    <n v="2025"/>
    <s v="INV12778"/>
    <n v="5"/>
    <n v="2025"/>
    <m/>
    <s v="Canadian Bearings Ltd."/>
    <s v="CAD"/>
    <n v="160.08000000000001"/>
    <n v="111.99115447832716"/>
    <x v="0"/>
    <n v="0"/>
    <n v="111.9911544783271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6798673171749074"/>
    <s v="Yes"/>
  </r>
  <r>
    <n v="1"/>
    <s v="SO16817"/>
    <m/>
    <x v="0"/>
    <m/>
    <m/>
    <s v="Amanda Qiao"/>
    <n v="3"/>
    <n v="2025"/>
    <s v="INV13007"/>
    <n v="7"/>
    <n v="2025"/>
    <m/>
    <s v="Hisco Pump Inc."/>
    <s v="USD"/>
    <n v="1995.3120069597298"/>
    <n v="1439.12"/>
    <x v="0"/>
    <n v="0"/>
    <n v="1439.1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586799999999997"/>
    <s v="Yes"/>
  </r>
  <r>
    <n v="1"/>
    <s v="SO16819"/>
    <m/>
    <x v="0"/>
    <m/>
    <m/>
    <s v="Jeff Bell"/>
    <n v="3"/>
    <n v="2025"/>
    <s v="INV12835"/>
    <n v="5"/>
    <n v="2025"/>
    <m/>
    <s v="Barrick Gold - Pueblo Viejo Dominicana Corporation"/>
    <s v="USD"/>
    <n v="29807.296648534691"/>
    <n v="20774"/>
    <x v="0"/>
    <n v="0"/>
    <n v="20774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311.61"/>
    <s v="Yes"/>
  </r>
  <r>
    <n v="1"/>
    <s v="SO16821"/>
    <m/>
    <x v="0"/>
    <m/>
    <m/>
    <s v="Ian Trottier"/>
    <n v="3"/>
    <n v="2025"/>
    <s v="INV12976"/>
    <n v="6"/>
    <n v="2025"/>
    <m/>
    <s v="Canadian Bearings Ltd."/>
    <s v="CAD"/>
    <n v="270.35000000000002"/>
    <n v="188.36787185046947"/>
    <x v="0"/>
    <n v="0"/>
    <n v="188.3678718504694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8255180777570419"/>
    <s v="Yes"/>
  </r>
  <r>
    <n v="1"/>
    <s v="SO16822"/>
    <m/>
    <x v="0"/>
    <m/>
    <m/>
    <s v="Ian Trottier"/>
    <n v="3"/>
    <n v="2025"/>
    <s v="INV12937"/>
    <n v="6"/>
    <n v="2025"/>
    <m/>
    <s v="Sealtrac Inc."/>
    <s v="CAD"/>
    <n v="4501.3500000000004"/>
    <n v="3250.4321028564359"/>
    <x v="0"/>
    <n v="0"/>
    <n v="3250.432102856435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8.756481542846537"/>
    <s v="Yes"/>
  </r>
  <r>
    <n v="1"/>
    <s v="SO16824"/>
    <m/>
    <x v="0"/>
    <m/>
    <m/>
    <s v="Ian Trottier"/>
    <n v="3"/>
    <n v="2025"/>
    <s v="INV12798"/>
    <n v="5"/>
    <n v="2025"/>
    <m/>
    <s v="Motion Industries Inc. (Canada) - Thunder Bay, Motion Industries Canada"/>
    <s v="CAD"/>
    <n v="546.22"/>
    <n v="381.49712467336474"/>
    <x v="0"/>
    <n v="0"/>
    <n v="381.4971246733647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722456870100471"/>
    <s v="Yes"/>
  </r>
  <r>
    <n v="1"/>
    <s v="SO16826"/>
    <m/>
    <x v="0"/>
    <m/>
    <m/>
    <s v="Ian Trottier"/>
    <n v="3"/>
    <n v="2025"/>
    <s v="INV12784"/>
    <n v="4"/>
    <n v="2025"/>
    <m/>
    <s v="Wajax Limited - Noranda"/>
    <s v="CAD"/>
    <n v="164.89"/>
    <n v="115.23348943170686"/>
    <x v="0"/>
    <n v="0"/>
    <n v="115.2334894317068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7285023414756029"/>
    <s v="Yes"/>
  </r>
  <r>
    <n v="1"/>
    <s v="SO16827"/>
    <m/>
    <x v="0"/>
    <m/>
    <m/>
    <s v="Ian Trottier"/>
    <n v="3"/>
    <n v="2025"/>
    <s v="INV12791"/>
    <n v="5"/>
    <n v="2025"/>
    <m/>
    <s v="Moffatt Supply &amp; Specialties - Red Lake"/>
    <s v="CAD"/>
    <n v="3197.94"/>
    <n v="2234.8825592409034"/>
    <x v="0"/>
    <n v="0"/>
    <n v="2234.882559240903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3.523238388613549"/>
    <s v="Yes"/>
  </r>
  <r>
    <n v="1"/>
    <s v="SO16829"/>
    <m/>
    <x v="0"/>
    <m/>
    <m/>
    <s v="Ian Trottier"/>
    <n v="3"/>
    <n v="2025"/>
    <s v="INV12797"/>
    <n v="5"/>
    <n v="2025"/>
    <m/>
    <s v="Motion Industries Inc. (Canada) - Prince George"/>
    <s v="CAD"/>
    <n v="264.24"/>
    <n v="184.55347703066519"/>
    <x v="0"/>
    <n v="0"/>
    <n v="184.5534770306651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7683021554599776"/>
    <s v="Yes"/>
  </r>
  <r>
    <n v="1"/>
    <s v="SO16830"/>
    <m/>
    <x v="0"/>
    <m/>
    <m/>
    <s v="Ian Trottier"/>
    <n v="3"/>
    <n v="2025"/>
    <s v="INV12786"/>
    <n v="4"/>
    <n v="2025"/>
    <m/>
    <s v="Hyperflo"/>
    <s v="CAD"/>
    <n v="516.9"/>
    <n v="361.2359190202514"/>
    <x v="0"/>
    <n v="0"/>
    <n v="361.235919020251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4185387853037712"/>
    <s v="Yes"/>
  </r>
  <r>
    <n v="1"/>
    <s v="SO16833"/>
    <m/>
    <x v="0"/>
    <m/>
    <m/>
    <s v="Ian Trottier"/>
    <n v="3"/>
    <n v="2025"/>
    <s v="INV12785"/>
    <n v="4"/>
    <n v="2025"/>
    <m/>
    <s v="Hyperflo"/>
    <s v="CAD"/>
    <n v="344.6"/>
    <n v="241.71229398092726"/>
    <x v="0"/>
    <n v="0"/>
    <n v="241.7122939809272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6256844097139087"/>
    <s v="Yes"/>
  </r>
  <r>
    <n v="2"/>
    <s v="SO16834"/>
    <m/>
    <x v="5"/>
    <m/>
    <m/>
    <s v="Wilka Nuñez"/>
    <n v="3"/>
    <n v="2025"/>
    <s v="INV12908"/>
    <n v="6"/>
    <n v="2025"/>
    <n v="2503"/>
    <s v="Barrick Gold - Pueblo Viejo Dominicana Corporation"/>
    <s v="USD"/>
    <n v="57048.635802780322"/>
    <n v="39865.5"/>
    <x v="0"/>
    <n v="0"/>
    <n v="39865.5"/>
    <m/>
    <s v="Renewal"/>
    <m/>
    <m/>
    <s v=""/>
    <n v="5.0000000000000001E-3"/>
    <s v=""/>
    <s v=""/>
    <s v=""/>
    <n v="199.32750000000001"/>
    <s v=""/>
    <s v=""/>
    <m/>
    <m/>
    <m/>
    <n v="2503"/>
    <m/>
    <m/>
    <s v=""/>
    <n v="0"/>
    <s v=""/>
    <s v=""/>
    <x v="1"/>
    <x v="6"/>
    <n v="597.98249999999996"/>
    <s v="Yes"/>
  </r>
  <r>
    <n v="2"/>
    <s v="SO16834"/>
    <m/>
    <x v="5"/>
    <m/>
    <m/>
    <n v="0"/>
    <n v="3"/>
    <n v="2025"/>
    <s v="INV12982"/>
    <n v="6"/>
    <n v="2025"/>
    <n v="2503"/>
    <s v="Barrick Gold - Pueblo Viejo Dominicana Corporation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6"/>
    <n v="0"/>
    <s v=""/>
  </r>
  <r>
    <n v="2"/>
    <s v="SO16835"/>
    <m/>
    <x v="0"/>
    <m/>
    <m/>
    <s v="Ian Trottier"/>
    <n v="3"/>
    <n v="2025"/>
    <s v="INV12825"/>
    <n v="4"/>
    <n v="2025"/>
    <m/>
    <s v="MAB Equipment Company Inc."/>
    <s v="USD"/>
    <n v="6611.1906801346231"/>
    <n v="4619.8900000000003"/>
    <x v="0"/>
    <n v="645"/>
    <n v="3974.890000000000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9.623350000000002"/>
    <s v="Yes"/>
  </r>
  <r>
    <n v="2"/>
    <s v="SO16835"/>
    <m/>
    <x v="0"/>
    <m/>
    <m/>
    <n v="0"/>
    <n v="3"/>
    <n v="2025"/>
    <s v="INV13129"/>
    <n v="6"/>
    <n v="2025"/>
    <m/>
    <s v="MAB Equipment Company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836"/>
    <m/>
    <x v="0"/>
    <m/>
    <m/>
    <s v="Ian Trottier"/>
    <n v="3"/>
    <n v="2025"/>
    <s v="INV12790"/>
    <n v="4"/>
    <n v="2025"/>
    <m/>
    <s v="Wajax Limited - Noranda"/>
    <s v="CAD"/>
    <n v="2002.8"/>
    <n v="1398.8181342605819"/>
    <x v="0"/>
    <n v="0"/>
    <n v="1398.818134260581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982272013908727"/>
    <s v="Yes"/>
  </r>
  <r>
    <n v="1"/>
    <s v="SO16837"/>
    <m/>
    <x v="0"/>
    <m/>
    <m/>
    <s v="Ian Trottier"/>
    <n v="3"/>
    <n v="2025"/>
    <s v="INV12789"/>
    <n v="4"/>
    <n v="2025"/>
    <m/>
    <s v="Wajax Limited - Noranda"/>
    <s v="CAD"/>
    <n v="3099.56"/>
    <n v="2174.1200172127765"/>
    <x v="0"/>
    <n v="0"/>
    <n v="2174.120017212776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2.611800258191643"/>
    <s v="Yes"/>
  </r>
  <r>
    <n v="1"/>
    <s v="SO16839"/>
    <m/>
    <x v="0"/>
    <m/>
    <m/>
    <s v="Ian Trottier"/>
    <n v="3"/>
    <n v="2025"/>
    <s v="INV12927"/>
    <n v="6"/>
    <n v="2025"/>
    <m/>
    <s v="Hyperflo"/>
    <s v="CAD"/>
    <n v="2071.7800000000002"/>
    <n v="1446.9959228072635"/>
    <x v="0"/>
    <n v="0"/>
    <n v="1446.995922807263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704938842108952"/>
    <s v="Yes"/>
  </r>
  <r>
    <n v="1"/>
    <s v="SO16840"/>
    <m/>
    <x v="0"/>
    <m/>
    <m/>
    <s v="Amanda Qiao"/>
    <n v="3"/>
    <n v="2025"/>
    <s v="INV12834"/>
    <n v="5"/>
    <n v="2025"/>
    <m/>
    <s v="Barrick Gold - Pueblo Viejo Dominicana Corporation"/>
    <s v="USD"/>
    <n v="19780.634545922367"/>
    <n v="13823.71"/>
    <x v="0"/>
    <n v="0"/>
    <n v="13823.71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207.35564999999997"/>
    <s v="Yes"/>
  </r>
  <r>
    <n v="1"/>
    <s v="SO16842"/>
    <m/>
    <x v="0"/>
    <m/>
    <m/>
    <s v="Ian Trottier"/>
    <n v="3"/>
    <n v="2025"/>
    <s v="INV12810"/>
    <n v="5"/>
    <n v="2025"/>
    <m/>
    <s v="Tantalum Mining Corporation of Canada"/>
    <s v="CAD"/>
    <n v="861.07"/>
    <n v="599.95532981055578"/>
    <x v="0"/>
    <n v="0"/>
    <n v="599.9553298105557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999329947158337"/>
    <s v="Yes"/>
  </r>
  <r>
    <n v="2"/>
    <s v="SO16844"/>
    <m/>
    <x v="0"/>
    <m/>
    <m/>
    <s v="Ian Trottier"/>
    <n v="3"/>
    <n v="2025"/>
    <s v="INV12824"/>
    <s v=""/>
    <s v=""/>
    <m/>
    <s v="Kumtor Gold Company"/>
    <s v="USD"/>
    <n v="1698.1058482378539"/>
    <n v="1191.099999999999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6844"/>
    <m/>
    <x v="0"/>
    <m/>
    <m/>
    <n v="0"/>
    <n v="3"/>
    <n v="2025"/>
    <s v="INV12918"/>
    <n v="5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846"/>
    <m/>
    <x v="0"/>
    <m/>
    <m/>
    <s v="Taylor Cook"/>
    <n v="3"/>
    <n v="2025"/>
    <s v="INV12974"/>
    <n v="6"/>
    <n v="2025"/>
    <m/>
    <s v="Canadian Bearings Ltd."/>
    <s v="CAD"/>
    <n v="2041.05"/>
    <n v="1417.8902149658172"/>
    <x v="0"/>
    <n v="0"/>
    <n v="1417.890214965817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268353224487257"/>
    <s v="Yes"/>
  </r>
  <r>
    <n v="1"/>
    <s v="SO16847"/>
    <m/>
    <x v="0"/>
    <m/>
    <m/>
    <s v="Yannett Yeomans"/>
    <n v="3"/>
    <n v="2025"/>
    <s v="INV13115"/>
    <s v=""/>
    <s v=""/>
    <m/>
    <s v="Dynapro Pumps México S de RL de CV"/>
    <s v="USD"/>
    <n v="3227.6984639497118"/>
    <n v="226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6848"/>
    <m/>
    <x v="0"/>
    <m/>
    <m/>
    <s v="Ian Trottier"/>
    <n v="3"/>
    <n v="2025"/>
    <s v="INV12805"/>
    <n v="5"/>
    <n v="2025"/>
    <m/>
    <s v="Sling-Choker Manufacturing - Timmins"/>
    <s v="CAD"/>
    <n v="343.22"/>
    <n v="239.71557821096312"/>
    <x v="0"/>
    <n v="0"/>
    <n v="239.7155782109631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5957336731644465"/>
    <s v="Yes"/>
  </r>
  <r>
    <n v="2"/>
    <s v="SO16848"/>
    <m/>
    <x v="0"/>
    <m/>
    <m/>
    <n v="0"/>
    <n v="3"/>
    <n v="2025"/>
    <s v="INV12900"/>
    <n v="5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850"/>
    <m/>
    <x v="0"/>
    <m/>
    <m/>
    <s v="Ian Trottier"/>
    <n v="3"/>
    <n v="2025"/>
    <s v="INV12818"/>
    <n v="5"/>
    <n v="2025"/>
    <m/>
    <s v="Motion Industries Inc. (Canada) - Prince George"/>
    <s v="CAD"/>
    <n v="1027.3399999999999"/>
    <n v="719.15643069746181"/>
    <x v="0"/>
    <n v="0"/>
    <n v="719.1564306974618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787346460461928"/>
    <s v="Yes"/>
  </r>
  <r>
    <n v="1"/>
    <s v="SO16853"/>
    <m/>
    <x v="0"/>
    <m/>
    <m/>
    <s v="Ian Trottier"/>
    <n v="3"/>
    <n v="2025"/>
    <s v="INV12806"/>
    <n v="5"/>
    <n v="2025"/>
    <m/>
    <s v="Sling-Choker Manufacturing - Timmins"/>
    <s v="CAD"/>
    <n v="5557.87"/>
    <n v="3890.9580740428664"/>
    <x v="0"/>
    <n v="0"/>
    <n v="3890.958074042866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8.364371110642992"/>
    <s v="Yes"/>
  </r>
  <r>
    <n v="1"/>
    <s v="SO16856"/>
    <m/>
    <x v="0"/>
    <m/>
    <m/>
    <s v="Ian Trottier"/>
    <n v="3"/>
    <n v="2025"/>
    <s v="INV12893"/>
    <n v="5"/>
    <n v="2025"/>
    <m/>
    <s v="Motion Industries Inc. (Canada) - Thunder Bay"/>
    <s v="CAD"/>
    <n v="1465.07"/>
    <n v="1025.6673771675091"/>
    <x v="0"/>
    <n v="0"/>
    <n v="1025.667377167509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5.385010657512636"/>
    <s v="Yes"/>
  </r>
  <r>
    <n v="1"/>
    <s v="SO16860"/>
    <m/>
    <x v="0"/>
    <m/>
    <m/>
    <s v="Ian Trottier"/>
    <n v="3"/>
    <n v="2025"/>
    <s v="INV12827"/>
    <n v="5"/>
    <n v="2025"/>
    <m/>
    <s v="Motion Industries Inc. (Canada) - Chicoutimi, Motion Industries Inc. (Canada) - Chicoutimi"/>
    <s v="CAD"/>
    <n v="149.68"/>
    <n v="105.44962868003657"/>
    <x v="0"/>
    <n v="0"/>
    <n v="105.4496286800365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5817444302005486"/>
    <s v="Yes"/>
  </r>
  <r>
    <n v="1"/>
    <s v="SO16865"/>
    <m/>
    <x v="0"/>
    <m/>
    <m/>
    <s v="Ian Trottier"/>
    <n v="3"/>
    <n v="2025"/>
    <s v="INV12857"/>
    <n v="6"/>
    <n v="2025"/>
    <m/>
    <s v="Tech-Flow"/>
    <s v="USD"/>
    <n v="3654.6503093603656"/>
    <n v="2551.98"/>
    <x v="0"/>
    <n v="0"/>
    <n v="2551.9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8.279699999999998"/>
    <s v="Yes"/>
  </r>
  <r>
    <n v="1"/>
    <s v="SO16866"/>
    <m/>
    <x v="0"/>
    <m/>
    <m/>
    <s v="Ian Trottier"/>
    <n v="3"/>
    <n v="2025"/>
    <s v="INV12882"/>
    <n v="6"/>
    <n v="2025"/>
    <m/>
    <s v="Resolute Forest Products - Saint-Felicien"/>
    <s v="CAD"/>
    <n v="625.44000000000005"/>
    <n v="440.38606479616055"/>
    <x v="0"/>
    <n v="0"/>
    <n v="440.3860647961605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.6057909719424082"/>
    <s v="Yes"/>
  </r>
  <r>
    <n v="1"/>
    <s v="SO16867"/>
    <m/>
    <x v="0"/>
    <m/>
    <m/>
    <s v="Ian Trottier"/>
    <n v="3"/>
    <n v="2025"/>
    <s v="INV12809"/>
    <n v="5"/>
    <n v="2025"/>
    <m/>
    <s v="Resolute Forest Products - Saint-Felicien"/>
    <s v="CAD"/>
    <n v="301.76"/>
    <n v="210.2529647109217"/>
    <x v="0"/>
    <n v="0"/>
    <n v="210.252964710921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537944706638252"/>
    <s v="Yes"/>
  </r>
  <r>
    <n v="1"/>
    <s v="SO16868"/>
    <m/>
    <x v="0"/>
    <m/>
    <m/>
    <s v="Ian Trottier"/>
    <n v="3"/>
    <n v="2025"/>
    <s v="INV12885"/>
    <n v="6"/>
    <n v="2025"/>
    <m/>
    <s v="PT Vale Indonesia Tbk."/>
    <s v="USD"/>
    <n v="416.39281026874033"/>
    <n v="290.76"/>
    <x v="0"/>
    <n v="0"/>
    <n v="290.7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3613999999999997"/>
    <s v="Yes"/>
  </r>
  <r>
    <n v="1"/>
    <s v="SO16870"/>
    <m/>
    <x v="0"/>
    <m/>
    <m/>
    <s v="Amanda Qiao"/>
    <n v="4"/>
    <n v="2025"/>
    <s v="INV12871"/>
    <n v="5"/>
    <n v="2025"/>
    <m/>
    <s v="Mill-Right Mine Services Inc."/>
    <s v="USD"/>
    <n v="20860.686811386335"/>
    <n v="14534.8"/>
    <x v="0"/>
    <n v="0"/>
    <n v="14534.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8.02199999999999"/>
    <s v="Yes"/>
  </r>
  <r>
    <n v="2"/>
    <s v="SO16874"/>
    <m/>
    <x v="2"/>
    <m/>
    <m/>
    <s v="Ian Trottier"/>
    <n v="4"/>
    <n v="2025"/>
    <s v="INV12963"/>
    <n v="6"/>
    <n v="2025"/>
    <n v="2503"/>
    <s v="MAB Equipment Company Inc."/>
    <s v="USD"/>
    <n v="8484.1057146154453"/>
    <n v="6126.92"/>
    <x v="0"/>
    <n v="695"/>
    <n v="5431.92"/>
    <m/>
    <s v="New Opportunity"/>
    <m/>
    <m/>
    <s v=""/>
    <n v="0.02"/>
    <s v=""/>
    <s v=""/>
    <s v=""/>
    <n v="108.6384"/>
    <s v=""/>
    <s v=""/>
    <s v="Liner Stud w/Nut, 4/3 C or D-AH, Metric"/>
    <n v="108.6384"/>
    <m/>
    <m/>
    <m/>
    <m/>
    <s v=""/>
    <n v="108.6384"/>
    <s v=""/>
    <s v=""/>
    <x v="1"/>
    <x v="1"/>
    <n v="81.478799999999993"/>
    <s v="Yes"/>
  </r>
  <r>
    <n v="2"/>
    <s v="SO16874"/>
    <m/>
    <x v="2"/>
    <m/>
    <m/>
    <n v="0"/>
    <n v="4"/>
    <n v="2025"/>
    <s v="INV13301"/>
    <n v="9"/>
    <n v="2025"/>
    <n v="2503"/>
    <s v="MAB Equipment Company Inc."/>
    <s v="USD"/>
    <n v="0"/>
    <n v="0"/>
    <x v="1"/>
    <n v="698"/>
    <n v="0"/>
    <m/>
    <s v="New Opportunity"/>
    <m/>
    <m/>
    <s v=""/>
    <n v="0.02"/>
    <s v=""/>
    <s v=""/>
    <s v=""/>
    <n v="0"/>
    <s v=""/>
    <s v=""/>
    <s v="Liner Stud w/Nut, 4/3 C or D-AH, Metric"/>
    <n v="0"/>
    <m/>
    <m/>
    <m/>
    <m/>
    <s v=""/>
    <n v="0"/>
    <s v=""/>
    <s v=""/>
    <x v="1"/>
    <x v="1"/>
    <n v="0"/>
    <s v=""/>
  </r>
  <r>
    <n v="1"/>
    <s v="SO16875"/>
    <m/>
    <x v="0"/>
    <m/>
    <m/>
    <s v="Ian Trottier"/>
    <n v="4"/>
    <n v="2025"/>
    <s v="INV12906"/>
    <n v="4"/>
    <n v="2025"/>
    <m/>
    <s v="Pompaction Inc."/>
    <s v="CAD"/>
    <n v="1640.55"/>
    <n v="1146.4138467937316"/>
    <x v="0"/>
    <n v="0"/>
    <n v="1146.413846793731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7.196207701905973"/>
    <s v="Yes"/>
  </r>
  <r>
    <n v="1"/>
    <s v="SO16876"/>
    <m/>
    <x v="0"/>
    <m/>
    <m/>
    <s v="Ian Trottier"/>
    <n v="4"/>
    <n v="2025"/>
    <s v="INV12815"/>
    <n v="5"/>
    <n v="2025"/>
    <m/>
    <s v="Moffatt Supply &amp; Specialties - Red Lake"/>
    <s v="CAD"/>
    <n v="1904.9"/>
    <n v="1323.3086257016662"/>
    <x v="0"/>
    <n v="0"/>
    <n v="1323.308625701666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849629385524992"/>
    <s v="Yes"/>
  </r>
  <r>
    <n v="1"/>
    <s v="SO16879"/>
    <m/>
    <x v="0"/>
    <m/>
    <m/>
    <s v="Ian Trottier"/>
    <n v="4"/>
    <n v="2025"/>
    <s v="INV12894"/>
    <n v="5"/>
    <n v="2025"/>
    <m/>
    <s v="Motion Industries Inc. (Canada) - Ottawa"/>
    <s v="CAD"/>
    <n v="201.87"/>
    <n v="144.67251352655089"/>
    <x v="0"/>
    <n v="0"/>
    <n v="144.6725135265508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1700877028982632"/>
    <s v="Yes"/>
  </r>
  <r>
    <n v="2"/>
    <s v="SO16881"/>
    <m/>
    <x v="0"/>
    <m/>
    <m/>
    <s v="Ian Trottier"/>
    <n v="4"/>
    <n v="2025"/>
    <s v="INV12881"/>
    <n v="5"/>
    <n v="2025"/>
    <m/>
    <s v="Sling-Choker Manufacturing - Timmins"/>
    <s v="CAD"/>
    <n v="4854.8"/>
    <n v="3412.7976324864967"/>
    <x v="0"/>
    <n v="0"/>
    <n v="3412.797632486496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1.191964487297447"/>
    <s v="Yes"/>
  </r>
  <r>
    <n v="2"/>
    <s v="SO16881"/>
    <m/>
    <x v="0"/>
    <m/>
    <m/>
    <n v="0"/>
    <n v="4"/>
    <n v="2025"/>
    <s v="INV13022"/>
    <n v="6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882"/>
    <m/>
    <x v="0"/>
    <m/>
    <m/>
    <s v="Ian Trottier"/>
    <n v="4"/>
    <n v="2025"/>
    <s v="INV12819"/>
    <n v="5"/>
    <n v="2025"/>
    <m/>
    <s v="Cameco Corporation - Blind River Refinery"/>
    <s v="CAD"/>
    <n v="678.84"/>
    <n v="486.49868272830929"/>
    <x v="0"/>
    <n v="0"/>
    <n v="486.4986827283092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.2974802409246387"/>
    <s v="Yes"/>
  </r>
  <r>
    <n v="1"/>
    <s v="SO16884"/>
    <s v="Pierre D"/>
    <x v="5"/>
    <m/>
    <m/>
    <s v="Wilka Nuñez"/>
    <n v="4"/>
    <n v="2025"/>
    <s v="INV13122"/>
    <n v="7"/>
    <n v="2025"/>
    <n v="2503"/>
    <s v="Barrick Gold - Pueblo Viejo Dominicana Corporation"/>
    <s v="USD"/>
    <n v="53490.450380327929"/>
    <n v="38507.360000000001"/>
    <x v="0"/>
    <n v="0"/>
    <n v="38507.360000000001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577.61040000000003"/>
    <s v="Yes"/>
  </r>
  <r>
    <n v="1"/>
    <s v="SO16885"/>
    <m/>
    <x v="0"/>
    <m/>
    <m/>
    <s v="Ian Trottier"/>
    <n v="4"/>
    <n v="2025"/>
    <s v="INV13098"/>
    <n v="8"/>
    <n v="2025"/>
    <m/>
    <s v="Thunder Bay Pulp and Paper Inc"/>
    <s v="CAD"/>
    <n v="32959.279999999999"/>
    <n v="23207.354210979145"/>
    <x v="0"/>
    <n v="0"/>
    <n v="23207.35421097914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48.11031316468717"/>
    <s v="Yes"/>
  </r>
  <r>
    <n v="2"/>
    <s v="SO16888"/>
    <m/>
    <x v="2"/>
    <m/>
    <m/>
    <s v="Ian Trottier"/>
    <n v="4"/>
    <n v="2025"/>
    <s v="INV12829"/>
    <n v="4"/>
    <n v="2025"/>
    <n v="2503"/>
    <s v="Mertec Engineering"/>
    <s v="USD"/>
    <n v="27268.948828934303"/>
    <n v="19055.5"/>
    <x v="0"/>
    <n v="743"/>
    <n v="18312.5"/>
    <m/>
    <s v="Renewal"/>
    <m/>
    <m/>
    <s v=""/>
    <n v="5.0000000000000001E-3"/>
    <s v=""/>
    <s v=""/>
    <s v=""/>
    <n v="91.5625"/>
    <s v=""/>
    <s v=""/>
    <s v="Suction Wear Plate, 12x10-25 SRL-C, Urethane"/>
    <n v="91.5625"/>
    <m/>
    <m/>
    <m/>
    <m/>
    <s v=""/>
    <n v="91.5625"/>
    <s v=""/>
    <s v=""/>
    <x v="1"/>
    <x v="1"/>
    <n v="274.6875"/>
    <s v="Yes"/>
  </r>
  <r>
    <n v="2"/>
    <s v="SO16888"/>
    <m/>
    <x v="2"/>
    <m/>
    <m/>
    <n v="0"/>
    <n v="4"/>
    <n v="2025"/>
    <s v="INV13216"/>
    <n v="7"/>
    <n v="2025"/>
    <n v="2503"/>
    <s v="Mertec Engineering"/>
    <s v="USD"/>
    <n v="0"/>
    <n v="0"/>
    <x v="1"/>
    <n v="690"/>
    <n v="0"/>
    <m/>
    <s v="Renewal"/>
    <m/>
    <m/>
    <s v=""/>
    <n v="5.0000000000000001E-3"/>
    <s v=""/>
    <s v=""/>
    <s v=""/>
    <n v="0"/>
    <s v=""/>
    <s v=""/>
    <s v="Suction Wear Plate, 12x10-25 SRL-C, Urethane"/>
    <n v="0"/>
    <m/>
    <m/>
    <m/>
    <m/>
    <s v=""/>
    <n v="0"/>
    <s v=""/>
    <s v=""/>
    <x v="1"/>
    <x v="1"/>
    <n v="0"/>
    <s v=""/>
  </r>
  <r>
    <n v="1"/>
    <s v="SO16903"/>
    <m/>
    <x v="0"/>
    <m/>
    <m/>
    <s v="Ian Trottier"/>
    <n v="4"/>
    <n v="2025"/>
    <s v="INV12843"/>
    <n v="5"/>
    <n v="2025"/>
    <m/>
    <s v="Motion Industries Inc. (Canada) - Scarborough"/>
    <s v="CAD"/>
    <n v="168.53"/>
    <n v="118.66568096075871"/>
    <x v="0"/>
    <n v="0"/>
    <n v="118.6656809607587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7799852144113806"/>
    <s v="Yes"/>
  </r>
  <r>
    <n v="3"/>
    <s v="SO16918"/>
    <m/>
    <x v="0"/>
    <m/>
    <m/>
    <s v="Wilka Nuñez"/>
    <n v="4"/>
    <n v="2025"/>
    <s v="INV13121"/>
    <n v="7"/>
    <n v="2025"/>
    <m/>
    <s v="Barrick Gold - Pueblo Viejo Dominicana Corporation"/>
    <s v="USD"/>
    <n v="52513.420293417817"/>
    <n v="38432.8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6"/>
    <n v="0"/>
    <s v=""/>
  </r>
  <r>
    <n v="3"/>
    <s v="SO16918"/>
    <m/>
    <x v="0"/>
    <m/>
    <m/>
    <n v="0"/>
    <n v="4"/>
    <n v="2025"/>
    <s v="INV13251"/>
    <s v=""/>
    <s v="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6"/>
    <n v="0"/>
    <s v=""/>
  </r>
  <r>
    <n v="3"/>
    <s v="SO16918"/>
    <m/>
    <x v="0"/>
    <m/>
    <m/>
    <n v="0"/>
    <n v="4"/>
    <n v="2025"/>
    <s v="INV13475"/>
    <s v=""/>
    <s v="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6"/>
    <n v="0"/>
    <s v=""/>
  </r>
  <r>
    <n v="1"/>
    <s v="SO16923"/>
    <m/>
    <x v="3"/>
    <m/>
    <m/>
    <s v="Amanda Qiao"/>
    <n v="4"/>
    <n v="2025"/>
    <s v="INV13044"/>
    <n v="8"/>
    <n v="2025"/>
    <n v="2503"/>
    <s v="Zijin Mining - Rosebel Goldmines N.V."/>
    <s v="USD"/>
    <n v="4250.395895533301"/>
    <n v="3047.03"/>
    <x v="0"/>
    <n v="214.7"/>
    <n v="2832.3300000000004"/>
    <m/>
    <s v="Renewal"/>
    <m/>
    <m/>
    <s v=""/>
    <n v="5.0000000000000001E-3"/>
    <s v=""/>
    <s v=""/>
    <s v=""/>
    <n v="14.161650000000002"/>
    <s v=""/>
    <s v=""/>
    <m/>
    <n v="14.161650000000002"/>
    <m/>
    <n v="2503"/>
    <m/>
    <m/>
    <s v=""/>
    <n v="0"/>
    <s v=""/>
    <s v=""/>
    <x v="1"/>
    <x v="1"/>
    <n v="42.484950000000005"/>
    <s v="Yes"/>
  </r>
  <r>
    <n v="1"/>
    <s v="SO16931"/>
    <m/>
    <x v="0"/>
    <m/>
    <m/>
    <s v="Amanda Qiao"/>
    <n v="4"/>
    <n v="2025"/>
    <s v="INV13234"/>
    <s v=""/>
    <s v=""/>
    <m/>
    <s v="Mill-Right Mine Services Inc."/>
    <s v="USD"/>
    <n v="3213.1940714052807"/>
    <n v="2264.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932"/>
    <m/>
    <x v="0"/>
    <m/>
    <m/>
    <s v="Ian Trottier"/>
    <n v="4"/>
    <n v="2025"/>
    <s v="INV13407"/>
    <s v=""/>
    <s v=""/>
    <m/>
    <s v="Process and Steam Specialties, Process and Steam Specialties"/>
    <s v="CAD"/>
    <n v="6931.99"/>
    <n v="5061.747609108280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934"/>
    <m/>
    <x v="0"/>
    <m/>
    <m/>
    <s v="Ian Trottier"/>
    <n v="4"/>
    <n v="2025"/>
    <s v="INV12842"/>
    <n v="6"/>
    <n v="2025"/>
    <m/>
    <s v="Resolute Forest Products - Saint-Felicien"/>
    <s v="CAD"/>
    <n v="2103.86"/>
    <n v="1481.3741146745499"/>
    <x v="0"/>
    <n v="0"/>
    <n v="1481.374114674549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220611720118249"/>
    <s v="Yes"/>
  </r>
  <r>
    <n v="4"/>
    <s v="SO16939"/>
    <m/>
    <x v="0"/>
    <m/>
    <m/>
    <s v="Ian Trottier"/>
    <n v="4"/>
    <n v="2025"/>
    <s v="INV12841"/>
    <n v="5"/>
    <n v="2025"/>
    <m/>
    <s v="Cartledge &amp; Associates Inc."/>
    <s v="USD"/>
    <n v="13846.246870949491"/>
    <n v="9733.5499999999993"/>
    <x v="0"/>
    <n v="615"/>
    <n v="9118.549999999999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36.77824999999999"/>
    <s v="Yes"/>
  </r>
  <r>
    <n v="4"/>
    <s v="SO16939"/>
    <m/>
    <x v="0"/>
    <m/>
    <m/>
    <n v="0"/>
    <n v="4"/>
    <n v="2025"/>
    <s v="(* 72154)"/>
    <s v=""/>
    <s v=""/>
    <m/>
    <s v="Cartledge &amp; Associates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4"/>
    <s v="SO16939"/>
    <m/>
    <x v="0"/>
    <m/>
    <m/>
    <n v="0"/>
    <n v="4"/>
    <n v="2025"/>
    <s v="INV12838"/>
    <s v=""/>
    <s v=""/>
    <m/>
    <s v="Cartledge &amp; Associates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4"/>
    <s v="SO16939"/>
    <m/>
    <x v="0"/>
    <m/>
    <m/>
    <n v="0"/>
    <n v="4"/>
    <n v="2025"/>
    <s v="INV12839"/>
    <s v=""/>
    <s v=""/>
    <m/>
    <s v="Cartledge &amp; Associates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941"/>
    <m/>
    <x v="0"/>
    <s v="Ian T"/>
    <m/>
    <s v="Ian Trottier"/>
    <n v="4"/>
    <n v="2025"/>
    <s v="INV13135"/>
    <n v="7"/>
    <n v="2025"/>
    <n v="2503"/>
    <s v="Sealtrac Inc."/>
    <s v="CAD"/>
    <n v="4380"/>
    <n v="3086.5889142084957"/>
    <x v="0"/>
    <n v="0"/>
    <n v="3086.5889142084957"/>
    <m/>
    <m/>
    <s v="Renewal"/>
    <m/>
    <s v=""/>
    <s v=""/>
    <n v="0.01"/>
    <s v=""/>
    <s v=""/>
    <s v=""/>
    <n v="30.865889142084956"/>
    <s v=""/>
    <m/>
    <n v="30.865889142084956"/>
    <m/>
    <m/>
    <m/>
    <m/>
    <s v=""/>
    <s v=""/>
    <n v="30.865889142084956"/>
    <s v=""/>
    <x v="1"/>
    <x v="1"/>
    <n v="46.298833713127436"/>
    <s v="Yes"/>
  </r>
  <r>
    <n v="1"/>
    <s v="SO16942"/>
    <m/>
    <x v="0"/>
    <m/>
    <m/>
    <s v="Ian Trottier"/>
    <n v="4"/>
    <n v="2025"/>
    <s v="INV12884"/>
    <n v="6"/>
    <n v="2025"/>
    <m/>
    <s v="PT Vale Indonesia Tbk."/>
    <s v="USD"/>
    <n v="45.478218375028149"/>
    <n v="31.97"/>
    <x v="0"/>
    <n v="0"/>
    <n v="31.9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.47954999999999998"/>
    <s v="Yes"/>
  </r>
  <r>
    <n v="1"/>
    <s v="SO16947"/>
    <m/>
    <x v="2"/>
    <m/>
    <m/>
    <s v="Ian Trottier"/>
    <n v="4"/>
    <n v="2025"/>
    <s v="INV13123"/>
    <n v="8"/>
    <n v="2025"/>
    <n v="2503"/>
    <s v="Southeast Pump Specialist, Inc."/>
    <s v="USD"/>
    <n v="2860.0682424951929"/>
    <n v="2089.7800000000002"/>
    <x v="0"/>
    <n v="595"/>
    <n v="1494.7800000000002"/>
    <m/>
    <s v="Renewal"/>
    <m/>
    <m/>
    <s v=""/>
    <n v="5.0000000000000001E-3"/>
    <s v=""/>
    <s v=""/>
    <s v=""/>
    <n v="7.4739000000000013"/>
    <s v=""/>
    <s v=""/>
    <s v="Suction Side Casing, 3x3-10 SRL, Cast Iron"/>
    <n v="7.4739000000000013"/>
    <m/>
    <m/>
    <m/>
    <m/>
    <s v=""/>
    <n v="7.4739000000000013"/>
    <s v=""/>
    <s v=""/>
    <x v="1"/>
    <x v="1"/>
    <n v="22.421700000000001"/>
    <s v="Yes"/>
  </r>
  <r>
    <n v="2"/>
    <s v="SO16948"/>
    <m/>
    <x v="0"/>
    <m/>
    <m/>
    <s v="Ian Trottier"/>
    <n v="4"/>
    <n v="2025"/>
    <s v="INV12913"/>
    <n v="5"/>
    <n v="2025"/>
    <m/>
    <s v="Wajax Limited - Lachine"/>
    <s v="CAD"/>
    <n v="1196.32"/>
    <n v="843.04749996481894"/>
    <x v="0"/>
    <n v="0"/>
    <n v="843.0474999648189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.645712499472284"/>
    <s v="Yes"/>
  </r>
  <r>
    <n v="2"/>
    <s v="SO16948"/>
    <m/>
    <x v="0"/>
    <m/>
    <m/>
    <n v="0"/>
    <n v="4"/>
    <n v="2025"/>
    <s v="INV12851"/>
    <n v="5"/>
    <n v="2025"/>
    <m/>
    <s v="Wajax Limited - Lachin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949"/>
    <m/>
    <x v="0"/>
    <m/>
    <m/>
    <s v="Ian Trottier"/>
    <n v="4"/>
    <n v="2025"/>
    <s v="INV12847"/>
    <n v="5"/>
    <n v="2025"/>
    <m/>
    <s v="Glencore Canada Corporation - Rouyn-Noranda"/>
    <s v="CAD"/>
    <n v="1404.51"/>
    <n v="989.75913148287032"/>
    <x v="0"/>
    <n v="0"/>
    <n v="989.7591314828703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.846386972243055"/>
    <s v="Yes"/>
  </r>
  <r>
    <n v="1"/>
    <s v="SO16951"/>
    <m/>
    <x v="0"/>
    <m/>
    <m/>
    <s v="Ian Trottier"/>
    <n v="4"/>
    <n v="2025"/>
    <s v="INV12874"/>
    <n v="6"/>
    <n v="2025"/>
    <m/>
    <s v="Resolute Forest Products - Clermont"/>
    <s v="CAD"/>
    <n v="26.73"/>
    <n v="18.836648784655956"/>
    <x v="0"/>
    <n v="0"/>
    <n v="18.83664878465595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.28254973176983933"/>
    <s v="Yes"/>
  </r>
  <r>
    <n v="1"/>
    <s v="SO16952"/>
    <m/>
    <x v="0"/>
    <m/>
    <m/>
    <s v="Ian Trottier"/>
    <n v="4"/>
    <n v="2025"/>
    <s v="INV12925"/>
    <n v="6"/>
    <n v="2025"/>
    <m/>
    <s v="Wajax Limited - Noranda"/>
    <s v="CAD"/>
    <n v="3281.44"/>
    <n v="2361.7851464607907"/>
    <x v="0"/>
    <n v="0"/>
    <n v="2361.785146460790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5.426777196911857"/>
    <s v="Yes"/>
  </r>
  <r>
    <n v="1"/>
    <s v="SO16953"/>
    <m/>
    <x v="0"/>
    <m/>
    <m/>
    <s v="Yannett Yeomans"/>
    <n v="4"/>
    <n v="2025"/>
    <s v="INV13204"/>
    <s v=""/>
    <s v=""/>
    <m/>
    <s v="Dynapro Pumps México S de RL de CV"/>
    <s v="USD"/>
    <n v="7382.9200302282179"/>
    <n v="519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3"/>
    <s v="SO16957"/>
    <m/>
    <x v="0"/>
    <m/>
    <m/>
    <s v="Ian Trottier"/>
    <n v="4"/>
    <n v="2025"/>
    <s v="INV12902"/>
    <n v="5"/>
    <n v="2025"/>
    <m/>
    <s v="Sling-Choker Manufacturing - Timmins"/>
    <s v="CAD"/>
    <n v="5196.1499999999996"/>
    <n v="3739.8794092783164"/>
    <x v="0"/>
    <n v="0"/>
    <n v="3739.879409278316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6.098191139174745"/>
    <s v="Yes"/>
  </r>
  <r>
    <n v="3"/>
    <s v="SO16957"/>
    <m/>
    <x v="0"/>
    <m/>
    <m/>
    <n v="0"/>
    <n v="4"/>
    <n v="2025"/>
    <s v="INV12973"/>
    <s v=""/>
    <s v="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6957"/>
    <m/>
    <x v="0"/>
    <m/>
    <m/>
    <n v="0"/>
    <n v="4"/>
    <n v="2025"/>
    <s v="INV13008"/>
    <n v="6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6958"/>
    <m/>
    <x v="2"/>
    <m/>
    <m/>
    <s v="Ian Trottier"/>
    <n v="4"/>
    <n v="2025"/>
    <s v="INV12999"/>
    <n v="7"/>
    <n v="2025"/>
    <n v="2503"/>
    <s v="Tech-Flow"/>
    <s v="USD"/>
    <n v="319.35276609093216"/>
    <n v="230.24"/>
    <x v="0"/>
    <n v="0"/>
    <n v="230.24"/>
    <m/>
    <s v="Renewal"/>
    <m/>
    <m/>
    <s v=""/>
    <n v="5.0000000000000001E-3"/>
    <s v=""/>
    <s v=""/>
    <s v=""/>
    <n v="1.1512"/>
    <s v=""/>
    <s v=""/>
    <m/>
    <n v="1.1512"/>
    <m/>
    <m/>
    <m/>
    <m/>
    <s v=""/>
    <n v="1.1512"/>
    <s v=""/>
    <s v=""/>
    <x v="1"/>
    <x v="1"/>
    <n v="3.4536000000000002"/>
    <s v="Yes"/>
  </r>
  <r>
    <n v="1"/>
    <s v="SO16962"/>
    <m/>
    <x v="0"/>
    <m/>
    <m/>
    <s v="Ian Trottier"/>
    <n v="4"/>
    <n v="2025"/>
    <s v="INV12861"/>
    <n v="5"/>
    <n v="2025"/>
    <m/>
    <s v="Motion Industries Inc. (Canada) - Calgary"/>
    <s v="CAD"/>
    <n v="146.22"/>
    <n v="104.36463081715209"/>
    <x v="0"/>
    <n v="0"/>
    <n v="104.3646308171520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5654694622572813"/>
    <s v="Yes"/>
  </r>
  <r>
    <n v="1"/>
    <s v="SO16963"/>
    <m/>
    <x v="0"/>
    <m/>
    <m/>
    <s v="Ian Trottier"/>
    <n v="4"/>
    <n v="2025"/>
    <s v="INV12868"/>
    <n v="5"/>
    <n v="2025"/>
    <m/>
    <s v="Wajax Limited - Lachine"/>
    <s v="CAD"/>
    <n v="798.97"/>
    <n v="570.26541570222935"/>
    <x v="0"/>
    <n v="0"/>
    <n v="570.2654157022293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5539812355334401"/>
    <s v="Yes"/>
  </r>
  <r>
    <n v="1"/>
    <s v="SO16964"/>
    <m/>
    <x v="0"/>
    <s v="Ian T"/>
    <m/>
    <s v="Ian Trottier"/>
    <n v="4"/>
    <n v="2025"/>
    <s v="INV13001"/>
    <n v="7"/>
    <n v="2025"/>
    <n v="2503"/>
    <s v="Tech-Flow"/>
    <s v="USD"/>
    <n v="7867.7558519108898"/>
    <n v="5539.86"/>
    <x v="0"/>
    <n v="0"/>
    <n v="5539.86"/>
    <m/>
    <m/>
    <s v="Renewal"/>
    <m/>
    <s v=""/>
    <s v=""/>
    <n v="0.01"/>
    <s v=""/>
    <s v=""/>
    <s v=""/>
    <n v="55.398599999999995"/>
    <s v=""/>
    <m/>
    <n v="55.398599999999995"/>
    <m/>
    <m/>
    <m/>
    <m/>
    <s v=""/>
    <s v=""/>
    <n v="55.398599999999995"/>
    <s v=""/>
    <x v="1"/>
    <x v="1"/>
    <n v="83.097899999999996"/>
    <s v="Yes"/>
  </r>
  <r>
    <n v="1"/>
    <s v="SO16965"/>
    <m/>
    <x v="0"/>
    <m/>
    <m/>
    <s v="Ian Trottier"/>
    <n v="4"/>
    <n v="2025"/>
    <s v="INV12873"/>
    <n v="5"/>
    <n v="2025"/>
    <m/>
    <s v="Hyperflo"/>
    <s v="CAD"/>
    <n v="198.69"/>
    <n v="143.00523268756848"/>
    <x v="0"/>
    <n v="0"/>
    <n v="143.0052326875684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1450784903135269"/>
    <s v="Yes"/>
  </r>
  <r>
    <n v="1"/>
    <s v="SO16967"/>
    <m/>
    <x v="2"/>
    <m/>
    <m/>
    <s v="Ian Trottier"/>
    <n v="4"/>
    <n v="2025"/>
    <s v="INV13141"/>
    <n v="8"/>
    <n v="2025"/>
    <n v="2503"/>
    <s v="Resolute Forest Products - Saint-Felicien"/>
    <s v="CAD"/>
    <n v="9878.11"/>
    <n v="7079.2638955355305"/>
    <x v="0"/>
    <n v="0"/>
    <n v="7079.2638955355305"/>
    <m/>
    <s v="New Opportunity"/>
    <m/>
    <m/>
    <s v=""/>
    <n v="0.02"/>
    <s v=""/>
    <s v=""/>
    <s v=""/>
    <n v="141.5852779107106"/>
    <s v=""/>
    <s v=""/>
    <m/>
    <n v="141.5852779107106"/>
    <m/>
    <m/>
    <m/>
    <m/>
    <s v=""/>
    <n v="141.5852779107106"/>
    <s v=""/>
    <s v=""/>
    <x v="1"/>
    <x v="1"/>
    <n v="106.18895843303295"/>
    <s v="Yes"/>
  </r>
  <r>
    <n v="1"/>
    <s v="SO16968"/>
    <m/>
    <x v="0"/>
    <m/>
    <m/>
    <s v="Taylor Cook"/>
    <n v="4"/>
    <n v="2025"/>
    <s v="INV12870"/>
    <n v="5"/>
    <n v="2025"/>
    <m/>
    <s v="Pierce Pump Company, Pierce Pump Company"/>
    <s v="USD"/>
    <n v="4700.4922272652111"/>
    <n v="3312.44"/>
    <x v="0"/>
    <n v="0"/>
    <n v="3312.4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9.686599999999999"/>
    <s v="Yes"/>
  </r>
  <r>
    <n v="1"/>
    <s v="SO16970"/>
    <m/>
    <x v="0"/>
    <m/>
    <m/>
    <s v="Ian Trottier"/>
    <n v="4"/>
    <n v="2025"/>
    <s v="INV12877"/>
    <n v="6"/>
    <n v="2025"/>
    <m/>
    <s v="Resolute Forest Products - Kenogami"/>
    <s v="CAD"/>
    <n v="939.78"/>
    <n v="676.16740747662323"/>
    <x v="0"/>
    <n v="0"/>
    <n v="676.1674074766232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142511112149348"/>
    <s v="Yes"/>
  </r>
  <r>
    <n v="1"/>
    <s v="SO16976"/>
    <m/>
    <x v="3"/>
    <m/>
    <m/>
    <s v="Amanda Qiao"/>
    <n v="4"/>
    <n v="2025"/>
    <s v="INV12969"/>
    <n v="8"/>
    <n v="2025"/>
    <n v="2503"/>
    <s v="AGM Inc."/>
    <s v="USD"/>
    <n v="6239.7361669568727"/>
    <n v="4530"/>
    <x v="0"/>
    <n v="0"/>
    <n v="4530"/>
    <m/>
    <s v="Renewal"/>
    <m/>
    <m/>
    <s v=""/>
    <n v="5.0000000000000001E-3"/>
    <s v=""/>
    <s v=""/>
    <s v=""/>
    <n v="22.650000000000002"/>
    <s v=""/>
    <s v=""/>
    <m/>
    <n v="22.650000000000002"/>
    <m/>
    <n v="2503"/>
    <m/>
    <m/>
    <s v=""/>
    <n v="0"/>
    <s v=""/>
    <s v=""/>
    <x v="1"/>
    <x v="1"/>
    <n v="67.95"/>
    <s v="Yes"/>
  </r>
  <r>
    <n v="1"/>
    <s v="SO16983"/>
    <m/>
    <x v="0"/>
    <m/>
    <m/>
    <s v="Ian Trottier"/>
    <n v="4"/>
    <n v="2025"/>
    <s v="INV12890"/>
    <n v="5"/>
    <n v="2025"/>
    <m/>
    <s v="Motion Industries Inc. (Canada) - Winnipeg"/>
    <s v="CAD"/>
    <n v="194.97"/>
    <n v="140.69421807694806"/>
    <x v="0"/>
    <n v="0"/>
    <n v="140.6942180769480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1104132711542207"/>
    <s v="Yes"/>
  </r>
  <r>
    <n v="1"/>
    <s v="SO16985"/>
    <m/>
    <x v="1"/>
    <m/>
    <m/>
    <s v="Marlen Martinez"/>
    <n v="4"/>
    <n v="2025"/>
    <s v="INV12903"/>
    <n v="7"/>
    <n v="2025"/>
    <n v="2504"/>
    <s v="Covia Corp - Junction City"/>
    <s v="USD"/>
    <n v="1482.7766417934688"/>
    <n v="1069.02"/>
    <x v="0"/>
    <n v="171.5"/>
    <n v="897.5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13.4628"/>
    <s v="Yes"/>
  </r>
  <r>
    <n v="2"/>
    <s v="SO16989"/>
    <m/>
    <x v="2"/>
    <m/>
    <m/>
    <s v="Ian Trottier"/>
    <n v="4"/>
    <n v="2025"/>
    <s v="INV12923"/>
    <n v="5"/>
    <n v="2025"/>
    <n v="2503"/>
    <s v="Motion Industries Inc. (Canada) - Prince George"/>
    <s v="CAD"/>
    <n v="1699.77"/>
    <n v="1223.3932475985112"/>
    <x v="0"/>
    <n v="0"/>
    <n v="1223.3932475985112"/>
    <m/>
    <s v="Renewal"/>
    <m/>
    <m/>
    <s v=""/>
    <n v="5.0000000000000001E-3"/>
    <s v=""/>
    <s v=""/>
    <s v=""/>
    <n v="6.116966237992556"/>
    <s v=""/>
    <s v=""/>
    <m/>
    <n v="6.116966237992556"/>
    <m/>
    <m/>
    <m/>
    <m/>
    <s v=""/>
    <n v="6.116966237992556"/>
    <s v=""/>
    <s v=""/>
    <x v="1"/>
    <x v="1"/>
    <n v="18.350898713977667"/>
    <s v="Yes"/>
  </r>
  <r>
    <n v="2"/>
    <s v="SO16989"/>
    <m/>
    <x v="2"/>
    <m/>
    <m/>
    <n v="0"/>
    <n v="4"/>
    <n v="2025"/>
    <s v="INV13125"/>
    <n v="7"/>
    <n v="2025"/>
    <n v="2503"/>
    <s v="Motion Industries Inc. (Canada) - Prince George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6990"/>
    <m/>
    <x v="0"/>
    <m/>
    <m/>
    <s v="Ian Trottier"/>
    <n v="4"/>
    <n v="2025"/>
    <s v="INV12878"/>
    <n v="5"/>
    <n v="2025"/>
    <m/>
    <s v="Hyperflo, Hyperflo"/>
    <s v="CAD"/>
    <n v="92.11"/>
    <n v="66.044165627372251"/>
    <x v="0"/>
    <n v="0"/>
    <n v="66.04416562737225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.99066248441058369"/>
    <s v="Yes"/>
  </r>
  <r>
    <n v="1"/>
    <s v="SO16991"/>
    <m/>
    <x v="0"/>
    <m/>
    <m/>
    <s v="Ian Trottier"/>
    <n v="4"/>
    <n v="2025"/>
    <s v="INV12876"/>
    <n v="6"/>
    <n v="2025"/>
    <m/>
    <s v="Resolute Forest Products - Saint-Felicien"/>
    <s v="CAD"/>
    <n v="296.56"/>
    <n v="212.63769143907842"/>
    <x v="0"/>
    <n v="0"/>
    <n v="212.6376914390784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89565371586176"/>
    <s v="Yes"/>
  </r>
  <r>
    <n v="1"/>
    <s v="SO16992"/>
    <m/>
    <x v="0"/>
    <m/>
    <m/>
    <s v="Ian Trottier"/>
    <n v="4"/>
    <n v="2025"/>
    <s v="INV12984"/>
    <n v="6"/>
    <n v="2025"/>
    <m/>
    <s v="Motion Industries Inc. (U.S.) - Wichita, Motion Industries Inc. (U.S.) - Wichita"/>
    <s v="USD"/>
    <n v="145.10175590784112"/>
    <n v="104.04"/>
    <x v="0"/>
    <n v="0"/>
    <n v="104.0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5606"/>
    <s v="Yes"/>
  </r>
  <r>
    <n v="1"/>
    <s v="SO16994"/>
    <m/>
    <x v="0"/>
    <m/>
    <m/>
    <s v="Ian Trottier"/>
    <n v="4"/>
    <n v="2025"/>
    <s v="INV12912"/>
    <n v="5"/>
    <n v="2025"/>
    <m/>
    <s v="Wajax Limited - Noranda"/>
    <s v="CAD"/>
    <n v="295.45999999999998"/>
    <n v="212.79007465120969"/>
    <x v="0"/>
    <n v="0"/>
    <n v="212.7900746512096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1918511197681454"/>
    <s v="Yes"/>
  </r>
  <r>
    <n v="1"/>
    <s v="SO16995"/>
    <m/>
    <x v="0"/>
    <m/>
    <m/>
    <s v="Ian Trottier"/>
    <n v="4"/>
    <n v="2025"/>
    <s v="INV12895"/>
    <n v="5"/>
    <n v="2025"/>
    <m/>
    <s v="Manufacture Sling-Choker (Val-d’Or) Ltée, Manufacture Sling-Choker (Val-d’Or) Ltée"/>
    <s v="CAD"/>
    <n v="102.2"/>
    <n v="73.278837554200905"/>
    <x v="0"/>
    <n v="0"/>
    <n v="73.27883755420090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0991825633130134"/>
    <s v="Yes"/>
  </r>
  <r>
    <n v="1"/>
    <s v="SO16996"/>
    <m/>
    <x v="0"/>
    <m/>
    <m/>
    <s v="Taylor Cook"/>
    <n v="4"/>
    <n v="2025"/>
    <s v="INV12966"/>
    <n v="5"/>
    <n v="2025"/>
    <m/>
    <s v="Wild Rows Pump &amp; Compression, Wild Rows Pump &amp; Compression"/>
    <s v="CAD"/>
    <n v="456.4"/>
    <n v="327.24521976259581"/>
    <x v="0"/>
    <n v="0"/>
    <n v="327.2452197625958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9086782964389366"/>
    <s v="Yes"/>
  </r>
  <r>
    <n v="1"/>
    <s v="SO17000"/>
    <m/>
    <x v="0"/>
    <m/>
    <m/>
    <s v="Ian Trottier"/>
    <n v="4"/>
    <n v="2025"/>
    <s v="INV12875"/>
    <n v="5"/>
    <n v="2025"/>
    <m/>
    <s v="Glencore Canada Corporation - Rouyn-Noranda, Glencore Canada Corp."/>
    <s v="CAD"/>
    <n v="42.52"/>
    <n v="30.487438090064799"/>
    <x v="0"/>
    <n v="0"/>
    <n v="30.48743809006479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.45731157135097195"/>
    <s v="Yes"/>
  </r>
  <r>
    <n v="1"/>
    <s v="SO17001"/>
    <m/>
    <x v="0"/>
    <m/>
    <m/>
    <s v="Ian Trottier"/>
    <n v="4"/>
    <n v="2025"/>
    <s v="INV12932"/>
    <n v="6"/>
    <n v="2025"/>
    <m/>
    <s v="Glencore Canada Corporation - Rouyn-Noranda, Glencore Canada Corp."/>
    <s v="CAD"/>
    <n v="1492.52"/>
    <n v="1074.9118060597832"/>
    <x v="0"/>
    <n v="0"/>
    <n v="1074.911806059783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6.123677090896749"/>
    <s v="Yes"/>
  </r>
  <r>
    <n v="1"/>
    <s v="SO17003"/>
    <m/>
    <x v="0"/>
    <m/>
    <m/>
    <s v="Ian Trottier"/>
    <n v="4"/>
    <n v="2025"/>
    <s v="INV12891"/>
    <n v="6"/>
    <n v="2025"/>
    <m/>
    <s v="PT Vale Indonesia Tbk."/>
    <s v="USD"/>
    <n v="471.88329232267211"/>
    <n v="339.85"/>
    <x v="0"/>
    <n v="0"/>
    <n v="339.8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0977500000000004"/>
    <s v="Yes"/>
  </r>
  <r>
    <n v="1"/>
    <s v="SO17004"/>
    <m/>
    <x v="2"/>
    <m/>
    <m/>
    <s v="Ian Trottier"/>
    <n v="4"/>
    <n v="2025"/>
    <s v="INV13056"/>
    <n v="8"/>
    <n v="2025"/>
    <n v="2503"/>
    <s v="Quality Concrete Inc."/>
    <s v="CAD"/>
    <n v="6357.14"/>
    <n v="4587.4382802774253"/>
    <x v="0"/>
    <n v="0"/>
    <n v="4587.4382802774253"/>
    <m/>
    <s v="Renewal"/>
    <m/>
    <m/>
    <s v=""/>
    <n v="5.0000000000000001E-3"/>
    <s v=""/>
    <s v=""/>
    <s v=""/>
    <n v="22.937191401387128"/>
    <s v=""/>
    <s v=""/>
    <m/>
    <n v="22.937191401387128"/>
    <m/>
    <m/>
    <m/>
    <m/>
    <s v=""/>
    <n v="22.937191401387128"/>
    <s v=""/>
    <s v=""/>
    <x v="1"/>
    <x v="1"/>
    <n v="68.811574204161374"/>
    <s v="Yes"/>
  </r>
  <r>
    <n v="1"/>
    <s v="SO17005"/>
    <m/>
    <x v="0"/>
    <m/>
    <m/>
    <s v="Ian Trottier"/>
    <n v="4"/>
    <n v="2025"/>
    <s v="INV12930"/>
    <n v="6"/>
    <n v="2025"/>
    <m/>
    <s v="Wajax Limited - Lachine"/>
    <s v="CAD"/>
    <n v="449.67"/>
    <n v="323.7139423594781"/>
    <x v="0"/>
    <n v="0"/>
    <n v="323.713942359478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8557091353921713"/>
    <s v="Yes"/>
  </r>
  <r>
    <n v="1"/>
    <s v="SO17006"/>
    <m/>
    <x v="0"/>
    <m/>
    <m/>
    <s v="Ian Trottier"/>
    <n v="4"/>
    <n v="2025"/>
    <s v="INV12892"/>
    <n v="5"/>
    <n v="2025"/>
    <m/>
    <s v="Manufacture Sling-Choker (Val-d’Or) Ltée"/>
    <s v="CAD"/>
    <n v="124.98"/>
    <n v="90.188046239200744"/>
    <x v="0"/>
    <n v="0"/>
    <n v="90.18804623920074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3528206935880112"/>
    <s v="Yes"/>
  </r>
  <r>
    <n v="1"/>
    <s v="SO17008"/>
    <m/>
    <x v="0"/>
    <m/>
    <m/>
    <s v="Ian Trottier"/>
    <n v="4"/>
    <n v="2025"/>
    <s v="INV13372"/>
    <n v="9"/>
    <n v="2025"/>
    <m/>
    <s v="MJR Admin"/>
    <s v="CAD"/>
    <n v="7183.59"/>
    <n v="5212.4284452710053"/>
    <x v="0"/>
    <n v="0"/>
    <n v="5212.428445271005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8.186426679065079"/>
    <s v="Yes"/>
  </r>
  <r>
    <n v="1"/>
    <s v="SO17009"/>
    <m/>
    <x v="5"/>
    <m/>
    <m/>
    <s v="Ian Trottier"/>
    <n v="4"/>
    <n v="2025"/>
    <s v="INV13230"/>
    <n v="8"/>
    <n v="2025"/>
    <n v="2503"/>
    <s v="Sling-Choker Manufacturing - Timmins"/>
    <s v="CAD"/>
    <n v="721.19"/>
    <n v="526.61382347822223"/>
    <x v="0"/>
    <n v="0"/>
    <n v="526.61382347822223"/>
    <m/>
    <s v="Renewal"/>
    <m/>
    <m/>
    <s v=""/>
    <n v="5.0000000000000001E-3"/>
    <s v=""/>
    <s v=""/>
    <s v=""/>
    <n v="2.6330691173911114"/>
    <s v=""/>
    <s v=""/>
    <m/>
    <m/>
    <m/>
    <n v="2503"/>
    <m/>
    <m/>
    <s v=""/>
    <n v="0"/>
    <s v=""/>
    <s v=""/>
    <x v="1"/>
    <x v="5"/>
    <n v="7.8992073521733328"/>
    <s v="Yes"/>
  </r>
  <r>
    <n v="1"/>
    <s v="SO17010"/>
    <m/>
    <x v="0"/>
    <m/>
    <m/>
    <s v="Yannett Yeomans"/>
    <n v="4"/>
    <n v="2025"/>
    <s v="INV13272"/>
    <s v=""/>
    <s v=""/>
    <m/>
    <s v="Dynapro Pumps México S de RL de CV"/>
    <s v="USD"/>
    <n v="21452.99658682627"/>
    <n v="1549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013"/>
    <m/>
    <x v="0"/>
    <m/>
    <m/>
    <s v="Ian Trottier"/>
    <n v="4"/>
    <n v="2025"/>
    <s v="INV12905"/>
    <n v="6"/>
    <n v="2025"/>
    <m/>
    <s v="Glencore Canada Corporation - Rouyn-Noranda, Glencore Canada Corp."/>
    <s v="CAD"/>
    <n v="519.21"/>
    <n v="376.05301731452425"/>
    <x v="0"/>
    <n v="0"/>
    <n v="376.0530173145242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6407952597178639"/>
    <s v="Yes"/>
  </r>
  <r>
    <n v="1"/>
    <s v="SO17015"/>
    <m/>
    <x v="2"/>
    <m/>
    <m/>
    <s v="Ian Trottier"/>
    <n v="4"/>
    <n v="2025"/>
    <s v="INV13105"/>
    <n v="7"/>
    <n v="2025"/>
    <n v="2503"/>
    <s v="Motion Industries Inc. (Canada) - Prince George"/>
    <s v="CAD"/>
    <n v="15825.1"/>
    <n v="11392.366644946247"/>
    <x v="0"/>
    <n v="0"/>
    <n v="11392.366644946247"/>
    <m/>
    <s v="Renewal"/>
    <m/>
    <m/>
    <s v=""/>
    <n v="5.0000000000000001E-3"/>
    <s v=""/>
    <s v=""/>
    <s v=""/>
    <n v="56.961833224731237"/>
    <s v=""/>
    <s v=""/>
    <m/>
    <n v="56.961833224731237"/>
    <m/>
    <m/>
    <m/>
    <m/>
    <s v=""/>
    <n v="56.961833224731237"/>
    <s v=""/>
    <s v=""/>
    <x v="1"/>
    <x v="1"/>
    <n v="170.88549967419371"/>
    <s v="Yes"/>
  </r>
  <r>
    <n v="2"/>
    <s v="SO17017"/>
    <m/>
    <x v="2"/>
    <m/>
    <m/>
    <s v="Ian Trottier"/>
    <n v="4"/>
    <n v="2025"/>
    <s v="INV12914"/>
    <n v="6"/>
    <n v="2025"/>
    <n v="2503"/>
    <s v="Glencore Canada Corporation - Rouyn-Noranda"/>
    <s v="CAD"/>
    <n v="8124.96"/>
    <n v="5848.0413418337903"/>
    <x v="0"/>
    <n v="0"/>
    <n v="5848.0413418337903"/>
    <m/>
    <s v="Renewal"/>
    <m/>
    <m/>
    <s v=""/>
    <n v="5.0000000000000001E-3"/>
    <s v=""/>
    <s v=""/>
    <s v=""/>
    <n v="29.240206709168952"/>
    <s v=""/>
    <s v=""/>
    <m/>
    <n v="29.240206709168952"/>
    <m/>
    <m/>
    <m/>
    <m/>
    <s v=""/>
    <n v="29.240206709168952"/>
    <s v=""/>
    <s v=""/>
    <x v="1"/>
    <x v="1"/>
    <n v="87.720620127506848"/>
    <s v="Yes"/>
  </r>
  <r>
    <n v="2"/>
    <s v="SO17017"/>
    <m/>
    <x v="2"/>
    <m/>
    <m/>
    <n v="0"/>
    <n v="4"/>
    <n v="2025"/>
    <s v="INV13032"/>
    <n v="7"/>
    <n v="2025"/>
    <n v="2503"/>
    <s v="Glencore Canada Corporation - Rouyn-Noranda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020"/>
    <m/>
    <x v="0"/>
    <m/>
    <m/>
    <s v="Ian Trottier"/>
    <n v="4"/>
    <n v="2025"/>
    <s v="INV12911"/>
    <n v="6"/>
    <n v="2025"/>
    <m/>
    <s v="Resolute Forest Products - Kenogami"/>
    <s v="CAD"/>
    <n v="1879.56"/>
    <n v="1352.8367628218623"/>
    <x v="0"/>
    <n v="0"/>
    <n v="1352.836762821862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292551442327934"/>
    <s v="Yes"/>
  </r>
  <r>
    <n v="1"/>
    <s v="SO17022"/>
    <m/>
    <x v="0"/>
    <m/>
    <m/>
    <s v="Ian Trottier"/>
    <n v="4"/>
    <n v="2025"/>
    <s v="INV12926"/>
    <n v="4"/>
    <n v="2025"/>
    <m/>
    <s v="Industrial Pump Repair Canada"/>
    <s v="CAD"/>
    <n v="419.88"/>
    <n v="302.98329431768587"/>
    <x v="0"/>
    <n v="0"/>
    <n v="302.9832943176858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5447494147652883"/>
    <s v="Yes"/>
  </r>
  <r>
    <n v="1"/>
    <s v="SO17024"/>
    <m/>
    <x v="5"/>
    <m/>
    <m/>
    <s v="Wilka Nuñez"/>
    <n v="4"/>
    <n v="2025"/>
    <s v="INV13067"/>
    <n v="7"/>
    <n v="2025"/>
    <n v="2503"/>
    <s v="Barrick Gold - Pueblo Viejo Dominicana Corporation"/>
    <s v="USD"/>
    <n v="1750.5775013536083"/>
    <n v="1260"/>
    <x v="0"/>
    <n v="0"/>
    <n v="1260"/>
    <m/>
    <s v="New Opportunity"/>
    <m/>
    <m/>
    <s v=""/>
    <n v="0.02"/>
    <s v=""/>
    <s v=""/>
    <s v=""/>
    <n v="25.2"/>
    <s v=""/>
    <s v=""/>
    <m/>
    <m/>
    <m/>
    <n v="2503"/>
    <m/>
    <m/>
    <s v=""/>
    <n v="0"/>
    <s v=""/>
    <s v=""/>
    <x v="1"/>
    <x v="3"/>
    <n v="18.899999999999999"/>
    <s v="Yes"/>
  </r>
  <r>
    <n v="1"/>
    <s v="SO17025"/>
    <m/>
    <x v="0"/>
    <m/>
    <m/>
    <s v="Wilka Nuñez"/>
    <n v="4"/>
    <n v="2025"/>
    <s v="INV12909"/>
    <n v="6"/>
    <n v="2025"/>
    <m/>
    <s v="Barrick Gold - Pueblo Viejo Dominicana Corporation"/>
    <s v="USD"/>
    <n v="10352.63747356058"/>
    <n v="7451.44"/>
    <x v="0"/>
    <n v="0"/>
    <n v="7451.44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11.77159999999999"/>
    <s v="Yes"/>
  </r>
  <r>
    <n v="1"/>
    <s v="SO17026"/>
    <m/>
    <x v="0"/>
    <m/>
    <m/>
    <s v="Ian Trottier"/>
    <n v="4"/>
    <n v="2025"/>
    <s v="INV12931"/>
    <n v="6"/>
    <n v="2025"/>
    <m/>
    <s v="Wajax Limited - Lachine"/>
    <s v="CAD"/>
    <n v="297.88"/>
    <n v="214.44149965539472"/>
    <x v="0"/>
    <n v="0"/>
    <n v="214.4414996553947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.2166224948309208"/>
    <s v="Yes"/>
  </r>
  <r>
    <n v="1"/>
    <s v="SO17027"/>
    <m/>
    <x v="0"/>
    <m/>
    <m/>
    <s v="Wilka Nuñez"/>
    <n v="4"/>
    <n v="2025"/>
    <s v="INV12910"/>
    <n v="6"/>
    <n v="2025"/>
    <m/>
    <s v="Barrick Gold - Pueblo Viejo Dominicana Corporation"/>
    <s v="USD"/>
    <n v="8414.5814578953414"/>
    <n v="6056.5"/>
    <x v="0"/>
    <n v="0"/>
    <n v="6056.5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90.847499999999997"/>
    <s v="Yes"/>
  </r>
  <r>
    <n v="1"/>
    <s v="SO17028"/>
    <m/>
    <x v="0"/>
    <m/>
    <m/>
    <s v="Ian Trottier"/>
    <n v="4"/>
    <n v="2025"/>
    <s v="INV12933"/>
    <n v="6"/>
    <n v="2025"/>
    <m/>
    <s v="Les Pompes du St-Laurent Inc."/>
    <s v="CAD"/>
    <n v="3521.29"/>
    <n v="2534.9493363822507"/>
    <x v="0"/>
    <n v="0"/>
    <n v="2534.949336382250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8.024240045733762"/>
    <s v="Yes"/>
  </r>
  <r>
    <n v="1"/>
    <s v="SO17029"/>
    <m/>
    <x v="2"/>
    <m/>
    <m/>
    <s v="Ian Trottier"/>
    <n v="4"/>
    <n v="2025"/>
    <s v="INV12919"/>
    <n v="7"/>
    <n v="2025"/>
    <n v="2503"/>
    <s v="Southeast Pump Specialist, Inc."/>
    <s v="USD"/>
    <n v="8471.5457172204988"/>
    <n v="6098.6"/>
    <x v="0"/>
    <n v="562"/>
    <n v="5536.6"/>
    <m/>
    <s v="Renewal"/>
    <m/>
    <m/>
    <s v=""/>
    <n v="5.0000000000000001E-3"/>
    <s v=""/>
    <s v=""/>
    <s v=""/>
    <n v="27.683000000000003"/>
    <s v=""/>
    <s v=""/>
    <m/>
    <n v="27.683000000000003"/>
    <m/>
    <m/>
    <m/>
    <m/>
    <s v=""/>
    <n v="27.683000000000003"/>
    <s v=""/>
    <s v=""/>
    <x v="1"/>
    <x v="1"/>
    <n v="83.049000000000007"/>
    <s v="Yes"/>
  </r>
  <r>
    <n v="1"/>
    <s v="SO17030"/>
    <m/>
    <x v="2"/>
    <m/>
    <m/>
    <s v="Ian Trottier"/>
    <n v="4"/>
    <n v="2025"/>
    <s v="INV12922"/>
    <n v="7"/>
    <n v="2025"/>
    <n v="2503"/>
    <s v="PT Vale Indonesia Tbk."/>
    <s v="USD"/>
    <n v="472.08454596093964"/>
    <n v="339.85"/>
    <x v="0"/>
    <n v="0"/>
    <n v="339.85"/>
    <m/>
    <s v="Renewal"/>
    <m/>
    <m/>
    <s v=""/>
    <n v="5.0000000000000001E-3"/>
    <s v=""/>
    <s v=""/>
    <s v=""/>
    <n v="1.6992500000000001"/>
    <s v=""/>
    <s v=""/>
    <m/>
    <n v="1.6992500000000001"/>
    <m/>
    <m/>
    <m/>
    <m/>
    <s v=""/>
    <n v="1.6992500000000001"/>
    <s v=""/>
    <s v=""/>
    <x v="1"/>
    <x v="1"/>
    <n v="5.0977500000000004"/>
    <s v="Yes"/>
  </r>
  <r>
    <n v="1"/>
    <s v="SO17031"/>
    <m/>
    <x v="0"/>
    <m/>
    <m/>
    <s v="Ian Trottier"/>
    <n v="4"/>
    <n v="2025"/>
    <s v="INV12945"/>
    <n v="5"/>
    <n v="2025"/>
    <m/>
    <s v="Canadian Bearings Ltd."/>
    <s v="CAD"/>
    <n v="442.49"/>
    <n v="317.1156710277084"/>
    <x v="0"/>
    <n v="0"/>
    <n v="317.115671027708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7567350654156257"/>
    <s v="Yes"/>
  </r>
  <r>
    <n v="1"/>
    <s v="SO17033"/>
    <m/>
    <x v="0"/>
    <m/>
    <m/>
    <s v="Ian Trottier"/>
    <n v="4"/>
    <n v="2025"/>
    <s v="INV12948"/>
    <n v="6"/>
    <n v="2025"/>
    <m/>
    <s v="Tantalum Mining Corporation of Canada"/>
    <s v="CAD"/>
    <n v="2084.9299999999998"/>
    <n v="1494.1896449542362"/>
    <x v="0"/>
    <n v="0"/>
    <n v="1494.189644954236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412844674313543"/>
    <s v="Yes"/>
  </r>
  <r>
    <n v="1"/>
    <s v="SO17037"/>
    <m/>
    <x v="0"/>
    <m/>
    <m/>
    <s v="Ian Trottier"/>
    <n v="4"/>
    <n v="2025"/>
    <s v="INV12939"/>
    <n v="6"/>
    <n v="2025"/>
    <m/>
    <s v="Process and Steam Specialties, Process and Steam Specialties"/>
    <s v="CAD"/>
    <n v="997.63"/>
    <n v="720.39023376823968"/>
    <x v="0"/>
    <n v="0"/>
    <n v="720.3902337682396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805853506523595"/>
    <s v="Yes"/>
  </r>
  <r>
    <n v="1"/>
    <s v="SO17044"/>
    <m/>
    <x v="2"/>
    <m/>
    <m/>
    <s v="Ian Trottier"/>
    <n v="4"/>
    <n v="2025"/>
    <s v="INV13088"/>
    <n v="8"/>
    <n v="2025"/>
    <n v="2503"/>
    <s v="Resolute Forest Products - Saint-Felicien"/>
    <s v="CAD"/>
    <n v="1839.56"/>
    <n v="1335.5062741481445"/>
    <x v="0"/>
    <n v="0"/>
    <n v="1335.5062741481445"/>
    <m/>
    <s v="New Opportunity"/>
    <m/>
    <m/>
    <s v=""/>
    <n v="0.02"/>
    <s v=""/>
    <s v=""/>
    <s v=""/>
    <n v="26.710125482962891"/>
    <s v=""/>
    <s v=""/>
    <m/>
    <n v="26.710125482962891"/>
    <m/>
    <m/>
    <m/>
    <m/>
    <s v=""/>
    <n v="26.710125482962891"/>
    <s v=""/>
    <s v=""/>
    <x v="1"/>
    <x v="1"/>
    <n v="20.032594112222167"/>
    <s v="Yes"/>
  </r>
  <r>
    <n v="1"/>
    <s v="SO17046"/>
    <m/>
    <x v="0"/>
    <m/>
    <m/>
    <s v="Ian Trottier"/>
    <n v="4"/>
    <n v="2025"/>
    <s v="INV12956"/>
    <n v="6"/>
    <n v="2025"/>
    <m/>
    <s v="Glencore Canada Corporation - Rouyn-Noranda, Glencore Canada Corp."/>
    <s v="CAD"/>
    <n v="152.13"/>
    <n v="109.76486958699009"/>
    <x v="0"/>
    <n v="0"/>
    <n v="109.7648695869900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6464730438048512"/>
    <s v="Yes"/>
  </r>
  <r>
    <n v="1"/>
    <s v="SO17047"/>
    <m/>
    <x v="0"/>
    <m/>
    <m/>
    <s v="Ian Trottier"/>
    <n v="4"/>
    <n v="2025"/>
    <s v="INV12929"/>
    <n v="7"/>
    <n v="2025"/>
    <m/>
    <s v="Southeast Pump Specialist, Inc."/>
    <s v="USD"/>
    <n v="2608.1714134156036"/>
    <n v="1881.12"/>
    <x v="0"/>
    <n v="562"/>
    <n v="1319.1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786799999999996"/>
    <s v="Yes"/>
  </r>
  <r>
    <n v="1"/>
    <s v="SO17048"/>
    <m/>
    <x v="0"/>
    <m/>
    <m/>
    <s v="Ian Trottier"/>
    <n v="4"/>
    <n v="2025"/>
    <s v="INV12936"/>
    <n v="6"/>
    <n v="2025"/>
    <m/>
    <s v="Sealtrac Inc."/>
    <s v="CAD"/>
    <n v="1074.54"/>
    <n v="775.3023267337428"/>
    <x v="0"/>
    <n v="0"/>
    <n v="775.302326733742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629534901006142"/>
    <s v="Yes"/>
  </r>
  <r>
    <n v="1"/>
    <s v="SO17049"/>
    <m/>
    <x v="0"/>
    <m/>
    <m/>
    <s v="Ian Trottier"/>
    <n v="4"/>
    <n v="2025"/>
    <s v="INV12938"/>
    <n v="5"/>
    <n v="2025"/>
    <m/>
    <s v="Alamos Gold Inc, Alamos Gold Inc Island Gold Division"/>
    <s v="CAD"/>
    <n v="90.56"/>
    <n v="64.900890795880755"/>
    <x v="0"/>
    <n v="0"/>
    <n v="64.90089079588075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.97351336193821125"/>
    <s v="Yes"/>
  </r>
  <r>
    <n v="1"/>
    <s v="SO17051"/>
    <m/>
    <x v="0"/>
    <m/>
    <m/>
    <s v="Ian Trottier"/>
    <n v="4"/>
    <n v="2025"/>
    <s v="INV13133"/>
    <n v="6"/>
    <n v="2025"/>
    <m/>
    <s v="Jindal Drilling &amp; Industries Limited"/>
    <s v="USD"/>
    <n v="28589.292236776691"/>
    <n v="20808.13"/>
    <x v="0"/>
    <n v="0"/>
    <n v="20808.1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12.12195000000003"/>
    <s v="Yes"/>
  </r>
  <r>
    <n v="1"/>
    <s v="SO17053"/>
    <m/>
    <x v="0"/>
    <m/>
    <m/>
    <s v="Ian Trottier"/>
    <n v="4"/>
    <n v="2025"/>
    <s v="INV12934"/>
    <n v="6"/>
    <n v="2025"/>
    <m/>
    <s v="Fabrene Inc."/>
    <s v="CAD"/>
    <n v="229.88"/>
    <n v="165.86306593477462"/>
    <x v="0"/>
    <n v="0"/>
    <n v="165.8630659347746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4879459890216191"/>
    <s v="Yes"/>
  </r>
  <r>
    <n v="1"/>
    <s v="SO17054"/>
    <m/>
    <x v="0"/>
    <m/>
    <m/>
    <s v="Ian Trottier"/>
    <n v="4"/>
    <n v="2025"/>
    <s v="INV12924"/>
    <n v="6"/>
    <n v="2025"/>
    <m/>
    <s v="Fabrene Inc."/>
    <s v="CAD"/>
    <n v="425.21"/>
    <n v="306.79760860503541"/>
    <x v="0"/>
    <n v="0"/>
    <n v="306.7976086050354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6019641290755313"/>
    <s v="Yes"/>
  </r>
  <r>
    <n v="1"/>
    <s v="SO17055"/>
    <m/>
    <x v="0"/>
    <m/>
    <m/>
    <s v="Ian Trottier"/>
    <n v="4"/>
    <n v="2025"/>
    <s v="INV12928"/>
    <n v="6"/>
    <n v="2025"/>
    <m/>
    <s v="Tech-Flow"/>
    <s v="USD"/>
    <n v="3538.3182803905934"/>
    <n v="2551.98"/>
    <x v="0"/>
    <n v="0"/>
    <n v="2551.9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8.279699999999998"/>
    <s v="Yes"/>
  </r>
  <r>
    <n v="2"/>
    <s v="SO17059"/>
    <m/>
    <x v="0"/>
    <m/>
    <m/>
    <s v="Yannett Yeomans"/>
    <n v="4"/>
    <n v="2025"/>
    <s v="INV13394"/>
    <s v=""/>
    <s v=""/>
    <m/>
    <s v="Dynapro Pumps México S de RL de CV"/>
    <s v="USD"/>
    <n v="42958.715898354742"/>
    <n v="309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059"/>
    <m/>
    <x v="0"/>
    <m/>
    <m/>
    <n v="0"/>
    <n v="4"/>
    <n v="2025"/>
    <s v="INV13273"/>
    <s v=""/>
    <s v=""/>
    <m/>
    <s v="Dynapro Pumps México S de RL de CV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060"/>
    <m/>
    <x v="0"/>
    <m/>
    <m/>
    <s v="Taylor Cook"/>
    <n v="4"/>
    <n v="2025"/>
    <s v="INV13021"/>
    <n v="6"/>
    <n v="2025"/>
    <m/>
    <s v="Sling-Choker Manufacturing - Timmins"/>
    <s v="CAD"/>
    <n v="16904.79"/>
    <n v="12115.016891754605"/>
    <x v="0"/>
    <n v="0"/>
    <n v="12115.01689175460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1.72525337631907"/>
    <s v="Yes"/>
  </r>
  <r>
    <n v="2"/>
    <s v="SO17060"/>
    <m/>
    <x v="0"/>
    <m/>
    <m/>
    <n v="0"/>
    <n v="4"/>
    <n v="2025"/>
    <s v="INV13114"/>
    <n v="7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061"/>
    <m/>
    <x v="0"/>
    <m/>
    <m/>
    <s v="Ian Trottier"/>
    <n v="4"/>
    <n v="2025"/>
    <s v="INV12995"/>
    <n v="6"/>
    <n v="2025"/>
    <m/>
    <s v="Motion Industries Inc. (U.S.) - Westlake"/>
    <s v="USD"/>
    <n v="185.1531058877263"/>
    <n v="133.54"/>
    <x v="0"/>
    <n v="0"/>
    <n v="133.5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0030999999999999"/>
    <s v="Yes"/>
  </r>
  <r>
    <n v="1"/>
    <s v="SO17062"/>
    <m/>
    <x v="5"/>
    <m/>
    <m/>
    <s v="Wilka Nuñez"/>
    <n v="4"/>
    <n v="2025"/>
    <s v="INV13187"/>
    <n v="8"/>
    <n v="2025"/>
    <n v="2503"/>
    <s v="Barrick Gold - Pueblo Viejo Dominicana Corporation"/>
    <s v="USD"/>
    <n v="20638.65095481052"/>
    <n v="14885.44"/>
    <x v="0"/>
    <n v="0"/>
    <n v="14885.44"/>
    <m/>
    <s v="New Opportunity"/>
    <m/>
    <m/>
    <s v=""/>
    <n v="0.02"/>
    <s v=""/>
    <s v=""/>
    <s v=""/>
    <n v="297.7088"/>
    <s v=""/>
    <s v=""/>
    <m/>
    <m/>
    <m/>
    <n v="2503"/>
    <m/>
    <m/>
    <s v=""/>
    <n v="0"/>
    <s v=""/>
    <s v=""/>
    <x v="1"/>
    <x v="3"/>
    <n v="223.2816"/>
    <s v="Yes"/>
  </r>
  <r>
    <n v="1"/>
    <s v="SO17063"/>
    <m/>
    <x v="0"/>
    <m/>
    <m/>
    <s v="Ian Trottier"/>
    <n v="4"/>
    <n v="2025"/>
    <s v="INV13386"/>
    <n v="10"/>
    <n v="2025"/>
    <m/>
    <s v="Les Pompes du St-Laurent Inc."/>
    <s v="CAD"/>
    <n v="1734.82"/>
    <n v="1262.4764740178982"/>
    <x v="0"/>
    <n v="0"/>
    <n v="1262.476474017898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.937147110268473"/>
    <s v="Yes"/>
  </r>
  <r>
    <n v="1"/>
    <s v="SO17073"/>
    <m/>
    <x v="0"/>
    <m/>
    <m/>
    <s v="Ian Trottier"/>
    <n v="4"/>
    <n v="2025"/>
    <s v="INV12949"/>
    <n v="5"/>
    <n v="2025"/>
    <m/>
    <s v="FMI Products"/>
    <s v="CAD"/>
    <n v="136.80000000000001"/>
    <n v="98.03933150261139"/>
    <x v="0"/>
    <n v="0"/>
    <n v="98.0393315026113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4705899725391709"/>
    <s v="Yes"/>
  </r>
  <r>
    <n v="1"/>
    <s v="SO17079"/>
    <m/>
    <x v="0"/>
    <m/>
    <m/>
    <s v="Taylor Cook"/>
    <n v="5"/>
    <n v="2025"/>
    <s v="INV12944"/>
    <n v="6"/>
    <n v="2025"/>
    <m/>
    <s v="Manufacture Sling-Choker (Val-d’Or) Ltée"/>
    <s v="CAD"/>
    <n v="481.71"/>
    <n v="349.25390016075994"/>
    <x v="0"/>
    <n v="0"/>
    <n v="349.2539001607599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.2388085024113993"/>
    <s v="Yes"/>
  </r>
  <r>
    <n v="1"/>
    <s v="SO17080"/>
    <m/>
    <x v="0"/>
    <m/>
    <m/>
    <s v="Ian Trottier"/>
    <n v="5"/>
    <n v="2025"/>
    <s v="INV12941"/>
    <n v="6"/>
    <n v="2025"/>
    <m/>
    <s v="Hyperflo"/>
    <s v="CAD"/>
    <n v="1906.8"/>
    <n v="1382.4860119709722"/>
    <x v="0"/>
    <n v="0"/>
    <n v="1382.486011970972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0.737290179564582"/>
    <s v="Yes"/>
  </r>
  <r>
    <n v="1"/>
    <s v="SO17082"/>
    <m/>
    <x v="0"/>
    <m/>
    <m/>
    <s v="Ian Trottier"/>
    <n v="5"/>
    <n v="2025"/>
    <s v="INV12961"/>
    <n v="6"/>
    <n v="2025"/>
    <m/>
    <s v="Hyperflo"/>
    <s v="CAD"/>
    <n v="5131.7"/>
    <n v="3725.5743476951202"/>
    <x v="0"/>
    <n v="0"/>
    <n v="3725.574347695120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5.883615215426801"/>
    <s v="Yes"/>
  </r>
  <r>
    <n v="2"/>
    <s v="SO17086"/>
    <m/>
    <x v="0"/>
    <m/>
    <m/>
    <s v="Amanda Qiao"/>
    <n v="5"/>
    <n v="2025"/>
    <s v="INV13109"/>
    <n v="8"/>
    <n v="2025"/>
    <m/>
    <s v="First Bauxite Inc."/>
    <s v="USD"/>
    <n v="10427.161285638142"/>
    <n v="7529.47"/>
    <x v="0"/>
    <n v="129.47"/>
    <n v="740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1"/>
    <s v="Yes"/>
  </r>
  <r>
    <n v="2"/>
    <s v="SO17086"/>
    <m/>
    <x v="0"/>
    <m/>
    <m/>
    <n v="0"/>
    <n v="5"/>
    <n v="2025"/>
    <s v="INV12935"/>
    <s v=""/>
    <s v=""/>
    <m/>
    <s v="First Bauxite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095"/>
    <m/>
    <x v="0"/>
    <m/>
    <m/>
    <s v="Taylor Cook"/>
    <n v="5"/>
    <n v="2025"/>
    <s v="INV12960"/>
    <n v="6"/>
    <n v="2025"/>
    <m/>
    <s v="Canadian Industrial Pumps Ltd"/>
    <s v="CAD"/>
    <n v="1389.92"/>
    <n v="1009.0711260105625"/>
    <x v="0"/>
    <n v="0"/>
    <n v="1009.071126010562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5.136066890158437"/>
    <s v="Yes"/>
  </r>
  <r>
    <n v="1"/>
    <s v="SO17099"/>
    <m/>
    <x v="0"/>
    <m/>
    <m/>
    <s v="Ian Trottier"/>
    <n v="5"/>
    <n v="2025"/>
    <s v="INV12950"/>
    <n v="6"/>
    <n v="2025"/>
    <m/>
    <s v="Glencore Canada Corporation - Rouyn-Noranda, Glencore Canada Corp."/>
    <s v="CAD"/>
    <n v="3038.47"/>
    <n v="2193.5481362451369"/>
    <x v="0"/>
    <n v="0"/>
    <n v="2193.548136245136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2.903222043677054"/>
    <s v="Yes"/>
  </r>
  <r>
    <n v="1"/>
    <s v="SO17100"/>
    <m/>
    <x v="0"/>
    <m/>
    <m/>
    <s v="Ian Trottier"/>
    <n v="5"/>
    <n v="2025"/>
    <s v="INV13099"/>
    <s v=""/>
    <s v=""/>
    <m/>
    <s v="Resolute Forest Products - Saint-Felicien"/>
    <s v="CAD"/>
    <n v="6197.11"/>
    <n v="4473.85002669307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101"/>
    <m/>
    <x v="0"/>
    <m/>
    <m/>
    <s v="Yannett Yeomans"/>
    <n v="5"/>
    <n v="2025"/>
    <s v="INV13206"/>
    <s v=""/>
    <s v=""/>
    <m/>
    <s v="Dynapro Pumps México S de RL de CV"/>
    <s v="USD"/>
    <n v="3358.0370879727457"/>
    <n v="243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102"/>
    <m/>
    <x v="0"/>
    <m/>
    <m/>
    <s v="Ian Trottier"/>
    <n v="5"/>
    <n v="2025"/>
    <s v="INV12947"/>
    <n v="6"/>
    <n v="2025"/>
    <m/>
    <s v="Hyperflo"/>
    <s v="CAD"/>
    <n v="1095.73"/>
    <n v="795.37534176839563"/>
    <x v="0"/>
    <n v="0"/>
    <n v="795.3753417683956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930630126525934"/>
    <s v="Yes"/>
  </r>
  <r>
    <n v="1"/>
    <s v="SO17103"/>
    <m/>
    <x v="0"/>
    <m/>
    <m/>
    <s v="Ian Trottier"/>
    <n v="5"/>
    <n v="2025"/>
    <s v="INV12987"/>
    <n v="5"/>
    <n v="2025"/>
    <m/>
    <s v="Algoma Steel Inc."/>
    <s v="CAD"/>
    <n v="11129.88"/>
    <n v="7955.6441085196266"/>
    <x v="0"/>
    <n v="0"/>
    <n v="7955.644108519626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9.33466162779439"/>
    <s v="Yes"/>
  </r>
  <r>
    <n v="1"/>
    <s v="SO17104"/>
    <m/>
    <x v="0"/>
    <m/>
    <m/>
    <s v="Yannett Yeomans"/>
    <n v="5"/>
    <n v="2025"/>
    <s v="INV13116"/>
    <s v=""/>
    <s v=""/>
    <m/>
    <s v="Dynapro Pumps México S de RL de CV"/>
    <s v="USD"/>
    <n v="5722.9243428655509"/>
    <n v="4141.3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105"/>
    <m/>
    <x v="0"/>
    <m/>
    <m/>
    <s v="Ian Trottier"/>
    <n v="5"/>
    <n v="2025"/>
    <s v="INV13436"/>
    <s v=""/>
    <s v=""/>
    <m/>
    <s v="Wajax Limited - Noranda"/>
    <s v="CAD"/>
    <n v="1609.78"/>
    <n v="1176.324046232626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106"/>
    <m/>
    <x v="0"/>
    <m/>
    <m/>
    <s v="Ian Trottier"/>
    <n v="5"/>
    <n v="2025"/>
    <s v="INV12955"/>
    <n v="6"/>
    <n v="2025"/>
    <m/>
    <s v="Grant Aggregate"/>
    <s v="CAD"/>
    <n v="119.4"/>
    <n v="86.197871780096349"/>
    <x v="0"/>
    <n v="0"/>
    <n v="86.19787178009634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2929680767014451"/>
    <s v="Yes"/>
  </r>
  <r>
    <n v="1"/>
    <s v="SO17114"/>
    <m/>
    <x v="0"/>
    <m/>
    <m/>
    <s v="Ian Trottier"/>
    <n v="5"/>
    <n v="2025"/>
    <s v="INV12957"/>
    <n v="6"/>
    <n v="2025"/>
    <m/>
    <s v="Manufacture Sling-Choker (Val-d’Or) Ltée"/>
    <s v="CAD"/>
    <n v="112.37"/>
    <n v="81.567838020784876"/>
    <x v="0"/>
    <n v="0"/>
    <n v="81.56783802078487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2235175703117731"/>
    <s v="Yes"/>
  </r>
  <r>
    <n v="1"/>
    <s v="SO17116"/>
    <m/>
    <x v="0"/>
    <m/>
    <m/>
    <s v="Ian Trottier"/>
    <n v="5"/>
    <n v="2025"/>
    <s v="INV12959"/>
    <n v="5"/>
    <n v="2025"/>
    <m/>
    <s v="MJR Admin"/>
    <s v="CAD"/>
    <n v="1237.1099999999999"/>
    <n v="898.13225271880856"/>
    <x v="0"/>
    <n v="0"/>
    <n v="898.1322527188085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3.471983790782128"/>
    <s v="Yes"/>
  </r>
  <r>
    <n v="1"/>
    <s v="SO17119"/>
    <m/>
    <x v="2"/>
    <m/>
    <m/>
    <s v="Ian Trottier"/>
    <n v="5"/>
    <n v="2025"/>
    <s v="INV13089"/>
    <n v="8"/>
    <n v="2025"/>
    <n v="2503"/>
    <s v="Hyperflo"/>
    <s v="CAD"/>
    <n v="149.6"/>
    <n v="106.82091557240609"/>
    <x v="0"/>
    <n v="0"/>
    <n v="106.82091557240609"/>
    <m/>
    <s v="Renewal"/>
    <m/>
    <m/>
    <s v=""/>
    <n v="5.0000000000000001E-3"/>
    <s v=""/>
    <s v=""/>
    <s v=""/>
    <n v="0.53410457786203047"/>
    <s v=""/>
    <s v=""/>
    <m/>
    <n v="0.53410457786203047"/>
    <m/>
    <m/>
    <m/>
    <m/>
    <s v=""/>
    <n v="0.53410457786203047"/>
    <s v=""/>
    <s v=""/>
    <x v="1"/>
    <x v="1"/>
    <n v="1.6023137335860913"/>
    <s v="Yes"/>
  </r>
  <r>
    <n v="1"/>
    <s v="SO17126"/>
    <m/>
    <x v="2"/>
    <m/>
    <m/>
    <s v="Ian Trottier"/>
    <n v="5"/>
    <n v="2025"/>
    <s v="INV13058"/>
    <n v="8"/>
    <n v="2025"/>
    <n v="2503"/>
    <s v="Quality Concrete Inc."/>
    <s v="CAD"/>
    <n v="814.38"/>
    <n v="591.23355560066875"/>
    <x v="0"/>
    <n v="0"/>
    <n v="591.23355560066875"/>
    <m/>
    <s v="New Opportunity"/>
    <m/>
    <m/>
    <s v=""/>
    <n v="0.02"/>
    <s v=""/>
    <s v=""/>
    <s v=""/>
    <n v="11.824671112013375"/>
    <s v=""/>
    <s v=""/>
    <m/>
    <n v="11.824671112013375"/>
    <m/>
    <m/>
    <m/>
    <m/>
    <s v=""/>
    <n v="11.824671112013375"/>
    <s v=""/>
    <s v=""/>
    <x v="1"/>
    <x v="1"/>
    <n v="8.8685033340100308"/>
    <s v="Yes"/>
  </r>
  <r>
    <n v="1"/>
    <s v="SO17129"/>
    <m/>
    <x v="2"/>
    <m/>
    <m/>
    <s v="Ian Trottier"/>
    <n v="5"/>
    <n v="2025"/>
    <s v="INV13028"/>
    <n v="7"/>
    <n v="2025"/>
    <n v="2503"/>
    <s v="Wajax Limited - Pointe-aux-Trembles"/>
    <s v="CAD"/>
    <n v="128.94"/>
    <n v="93.085038419812591"/>
    <x v="0"/>
    <n v="0"/>
    <n v="93.085038419812591"/>
    <m/>
    <s v="Renewal"/>
    <m/>
    <m/>
    <s v=""/>
    <n v="5.0000000000000001E-3"/>
    <s v=""/>
    <s v=""/>
    <s v=""/>
    <n v="0.46542519209906297"/>
    <s v=""/>
    <s v=""/>
    <m/>
    <n v="0.46542519209906297"/>
    <m/>
    <m/>
    <m/>
    <m/>
    <s v=""/>
    <n v="0.46542519209906297"/>
    <s v=""/>
    <s v=""/>
    <x v="1"/>
    <x v="1"/>
    <n v="1.3962755762971888"/>
    <s v="Yes"/>
  </r>
  <r>
    <n v="1"/>
    <s v="SO17130"/>
    <m/>
    <x v="0"/>
    <m/>
    <m/>
    <s v="Ian Trottier"/>
    <n v="5"/>
    <n v="2025"/>
    <s v="INV13595"/>
    <s v=""/>
    <s v=""/>
    <m/>
    <s v="PT Vale Indonesia Tbk."/>
    <s v="USD"/>
    <n v="3401.367925688362"/>
    <n v="2442.78000000000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133"/>
    <m/>
    <x v="0"/>
    <m/>
    <m/>
    <s v="Ian Trottier"/>
    <n v="5"/>
    <n v="2025"/>
    <s v="INV12964"/>
    <n v="6"/>
    <n v="2025"/>
    <m/>
    <s v="Wajax Limited - Noranda"/>
    <s v="CAD"/>
    <n v="2627.35"/>
    <n v="1888.0460944774479"/>
    <x v="0"/>
    <n v="0"/>
    <n v="1888.046094477447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8.320691417161719"/>
    <s v="Yes"/>
  </r>
  <r>
    <n v="2"/>
    <s v="SO17134"/>
    <m/>
    <x v="1"/>
    <m/>
    <m/>
    <s v="Marlen Martinez"/>
    <n v="5"/>
    <n v="2025"/>
    <s v="INV13063"/>
    <n v="9"/>
    <n v="2025"/>
    <n v="2504"/>
    <s v="Covia Corp - Junction City"/>
    <s v="USD"/>
    <n v="4676.6753320898888"/>
    <n v="3342.89"/>
    <x v="0"/>
    <n v="184.82"/>
    <n v="3158.0699999999997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47.371049999999997"/>
    <s v="Yes"/>
  </r>
  <r>
    <n v="2"/>
    <s v="SO17134"/>
    <m/>
    <x v="0"/>
    <m/>
    <m/>
    <n v="0"/>
    <n v="5"/>
    <n v="2025"/>
    <s v="INV12996"/>
    <n v="8"/>
    <n v="2025"/>
    <m/>
    <s v="Covia Corp - Junction City"/>
    <s v="USD"/>
    <n v="0"/>
    <n v="0"/>
    <x v="1"/>
    <n v="517.53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2"/>
    <s v="SO17139"/>
    <m/>
    <x v="0"/>
    <m/>
    <m/>
    <s v="Wilka Nuñez"/>
    <n v="5"/>
    <n v="2025"/>
    <s v="INV12978"/>
    <n v="7"/>
    <n v="2025"/>
    <m/>
    <s v="Barrick Gold - Pueblo Viejo Dominicana Corporation"/>
    <s v="USD"/>
    <n v="16789.984759494782"/>
    <n v="12065.49"/>
    <x v="0"/>
    <n v="0"/>
    <n v="12065.49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80.98235"/>
    <s v="Yes"/>
  </r>
  <r>
    <n v="2"/>
    <s v="SO17139"/>
    <m/>
    <x v="0"/>
    <m/>
    <m/>
    <n v="0"/>
    <n v="5"/>
    <n v="2025"/>
    <s v="INV13066"/>
    <n v="7"/>
    <n v="2025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0"/>
    <s v=""/>
  </r>
  <r>
    <n v="1"/>
    <s v="SO17140"/>
    <m/>
    <x v="0"/>
    <m/>
    <m/>
    <s v="Ian Trottier"/>
    <n v="5"/>
    <n v="2025"/>
    <s v="INV12967"/>
    <n v="6"/>
    <n v="2025"/>
    <m/>
    <s v="Glencore Canada Corporation - Rouyn-Noranda, Glencore Canada Corp."/>
    <s v="CAD"/>
    <n v="1072.28"/>
    <n v="769.88359609220959"/>
    <x v="0"/>
    <n v="0"/>
    <n v="769.8835960922095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548253941383143"/>
    <s v="Yes"/>
  </r>
  <r>
    <n v="1"/>
    <s v="SO17142"/>
    <m/>
    <x v="2"/>
    <m/>
    <m/>
    <s v="Ian Trottier"/>
    <n v="5"/>
    <n v="2025"/>
    <s v="INV13015"/>
    <n v="7"/>
    <n v="2025"/>
    <n v="2503"/>
    <s v="PT Vale Indonesia Tbk."/>
    <s v="USD"/>
    <n v="1362.7653808484563"/>
    <n v="979.3"/>
    <x v="0"/>
    <n v="0"/>
    <n v="979.3"/>
    <m/>
    <s v="Renewal"/>
    <m/>
    <m/>
    <s v=""/>
    <n v="5.0000000000000001E-3"/>
    <s v=""/>
    <s v=""/>
    <s v=""/>
    <n v="4.8964999999999996"/>
    <s v=""/>
    <s v=""/>
    <m/>
    <n v="4.8964999999999996"/>
    <m/>
    <m/>
    <m/>
    <m/>
    <s v=""/>
    <n v="4.8964999999999996"/>
    <s v=""/>
    <s v=""/>
    <x v="1"/>
    <x v="1"/>
    <n v="14.689499999999999"/>
    <s v="Yes"/>
  </r>
  <r>
    <n v="1"/>
    <s v="SO17143"/>
    <m/>
    <x v="2"/>
    <m/>
    <m/>
    <s v="Ian Trottier"/>
    <n v="5"/>
    <n v="2025"/>
    <s v="INV12993"/>
    <n v="7"/>
    <n v="2025"/>
    <n v="2503"/>
    <s v="Resolute Forest Products - Saint-Felicien"/>
    <s v="CAD"/>
    <n v="408.64"/>
    <n v="292.09608805355128"/>
    <x v="0"/>
    <n v="0"/>
    <n v="292.09608805355128"/>
    <m/>
    <s v="Renewal"/>
    <m/>
    <m/>
    <s v=""/>
    <n v="5.0000000000000001E-3"/>
    <s v=""/>
    <s v=""/>
    <s v=""/>
    <n v="1.4604804402677565"/>
    <s v=""/>
    <s v=""/>
    <m/>
    <n v="1.4604804402677565"/>
    <m/>
    <m/>
    <m/>
    <m/>
    <s v=""/>
    <n v="1.4604804402677565"/>
    <s v=""/>
    <s v=""/>
    <x v="1"/>
    <x v="1"/>
    <n v="4.381441320803269"/>
    <s v="Yes"/>
  </r>
  <r>
    <n v="1"/>
    <s v="SO17144"/>
    <m/>
    <x v="2"/>
    <m/>
    <m/>
    <s v="Ian Trottier"/>
    <n v="5"/>
    <n v="2025"/>
    <s v="INV13084"/>
    <n v="7"/>
    <n v="2025"/>
    <n v="2503"/>
    <s v="Motion Industries Inc. (U.S.) - Tucson"/>
    <s v="USD"/>
    <n v="625.55700939221788"/>
    <n v="448.78"/>
    <x v="0"/>
    <n v="0"/>
    <n v="448.78"/>
    <m/>
    <s v="Renewal"/>
    <m/>
    <m/>
    <s v=""/>
    <n v="5.0000000000000001E-3"/>
    <s v=""/>
    <s v=""/>
    <s v=""/>
    <n v="2.2439"/>
    <s v=""/>
    <s v=""/>
    <m/>
    <n v="2.2439"/>
    <m/>
    <m/>
    <m/>
    <m/>
    <s v=""/>
    <n v="2.2439"/>
    <s v=""/>
    <s v=""/>
    <x v="1"/>
    <x v="1"/>
    <n v="6.7316999999999991"/>
    <s v="Yes"/>
  </r>
  <r>
    <n v="1"/>
    <s v="SO17145"/>
    <m/>
    <x v="0"/>
    <m/>
    <m/>
    <s v="Wilka Nuñez"/>
    <n v="5"/>
    <n v="2025"/>
    <s v="INV12981"/>
    <n v="6"/>
    <n v="2025"/>
    <m/>
    <s v="Barrick Gold - Pueblo Viejo Dominicana Corporation"/>
    <s v="USD"/>
    <n v="25856.602644889022"/>
    <n v="18549.75"/>
    <x v="0"/>
    <n v="0"/>
    <n v="18549.75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278.24624999999997"/>
    <s v="Yes"/>
  </r>
  <r>
    <n v="2"/>
    <s v="SO17146"/>
    <m/>
    <x v="0"/>
    <m/>
    <m/>
    <s v="Wilka Nuñez"/>
    <n v="5"/>
    <n v="2025"/>
    <s v="INV12980"/>
    <n v="6"/>
    <n v="2025"/>
    <m/>
    <s v="Barrick Gold - Pueblo Viejo Dominicana Corporation"/>
    <s v="USD"/>
    <n v="17084.87939524692"/>
    <n v="12256.84"/>
    <x v="0"/>
    <n v="0"/>
    <n v="12256.84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83.8526"/>
    <s v="Yes"/>
  </r>
  <r>
    <n v="2"/>
    <s v="SO17146"/>
    <m/>
    <x v="0"/>
    <m/>
    <m/>
    <n v="0"/>
    <n v="5"/>
    <n v="2025"/>
    <s v="INV13068"/>
    <n v="8"/>
    <n v="2025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0"/>
    <s v=""/>
  </r>
  <r>
    <n v="1"/>
    <s v="SO17148"/>
    <m/>
    <x v="2"/>
    <m/>
    <m/>
    <s v="Ian Trottier"/>
    <n v="5"/>
    <n v="2025"/>
    <s v="INV13086"/>
    <n v="7"/>
    <n v="2025"/>
    <n v="2503"/>
    <s v="Wajax Limited - Témiscaming"/>
    <s v="CAD"/>
    <n v="5859.97"/>
    <n v="4198.0835354412602"/>
    <x v="0"/>
    <n v="0"/>
    <n v="4198.0835354412602"/>
    <m/>
    <s v="Renewal"/>
    <m/>
    <m/>
    <s v=""/>
    <n v="5.0000000000000001E-3"/>
    <s v=""/>
    <s v=""/>
    <s v=""/>
    <n v="20.990417677206302"/>
    <s v=""/>
    <s v=""/>
    <m/>
    <n v="20.990417677206302"/>
    <m/>
    <m/>
    <m/>
    <m/>
    <s v=""/>
    <n v="20.990417677206302"/>
    <s v=""/>
    <s v=""/>
    <x v="1"/>
    <x v="1"/>
    <n v="62.9712530316189"/>
    <s v="Yes"/>
  </r>
  <r>
    <n v="1"/>
    <s v="SO17149"/>
    <m/>
    <x v="0"/>
    <s v="Amanda Q"/>
    <m/>
    <s v="Amanda Qiao"/>
    <n v="5"/>
    <n v="2025"/>
    <s v="INV13190"/>
    <n v="8"/>
    <n v="2025"/>
    <n v="2503"/>
    <s v="AGM Inc."/>
    <s v="USD"/>
    <n v="5514.8485938753311"/>
    <n v="3956.4"/>
    <x v="0"/>
    <n v="0"/>
    <n v="3956.4"/>
    <m/>
    <m/>
    <s v="New Opportunity"/>
    <m/>
    <s v=""/>
    <s v=""/>
    <n v="0.02"/>
    <s v=""/>
    <s v=""/>
    <s v=""/>
    <n v="79.128"/>
    <s v=""/>
    <m/>
    <m/>
    <m/>
    <m/>
    <n v="2503"/>
    <m/>
    <s v=""/>
    <s v=""/>
    <n v="0"/>
    <s v=""/>
    <x v="1"/>
    <x v="1"/>
    <n v="59.345999999999997"/>
    <s v="Yes"/>
  </r>
  <r>
    <n v="1"/>
    <s v="SO17151"/>
    <m/>
    <x v="0"/>
    <m/>
    <m/>
    <s v="Wilka Nuñez"/>
    <n v="5"/>
    <n v="2025"/>
    <s v="INV12983"/>
    <n v="6"/>
    <n v="2025"/>
    <m/>
    <s v="Barrick Gold - Pueblo Viejo Dominicana Corporation"/>
    <s v="USD"/>
    <n v="58023.109828698012"/>
    <n v="41626.28"/>
    <x v="0"/>
    <n v="0"/>
    <n v="41626.28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624.39419999999996"/>
    <s v="Yes"/>
  </r>
  <r>
    <n v="1"/>
    <s v="SO17152"/>
    <m/>
    <x v="0"/>
    <m/>
    <m/>
    <s v="Taylor Cook"/>
    <n v="5"/>
    <n v="2025"/>
    <s v="INV12991"/>
    <n v="6"/>
    <n v="2025"/>
    <m/>
    <s v="Progressive Sealing Inc."/>
    <s v="CAD"/>
    <n v="2087.66"/>
    <n v="1490.6801644645"/>
    <x v="0"/>
    <n v="0"/>
    <n v="1490.680164464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3602024669675"/>
    <s v="Yes"/>
  </r>
  <r>
    <n v="1"/>
    <s v="SO17153"/>
    <m/>
    <x v="2"/>
    <m/>
    <m/>
    <s v="Ian Trottier"/>
    <n v="5"/>
    <n v="2025"/>
    <s v="INV13302"/>
    <n v="9"/>
    <n v="2025"/>
    <n v="2503"/>
    <s v="MAB Equipment Company Inc."/>
    <s v="USD"/>
    <n v="13791.540540793088"/>
    <n v="10043.700000000001"/>
    <x v="0"/>
    <n v="817"/>
    <n v="9226.7000000000007"/>
    <m/>
    <s v="New Opportunity"/>
    <m/>
    <m/>
    <s v=""/>
    <n v="0.02"/>
    <s v=""/>
    <s v=""/>
    <s v=""/>
    <n v="184.53400000000002"/>
    <s v=""/>
    <s v=""/>
    <m/>
    <n v="184.53400000000002"/>
    <m/>
    <m/>
    <m/>
    <m/>
    <s v=""/>
    <n v="184.53400000000002"/>
    <s v=""/>
    <s v=""/>
    <x v="1"/>
    <x v="1"/>
    <n v="138.40049999999999"/>
    <s v="Yes"/>
  </r>
  <r>
    <n v="1"/>
    <s v="SO17159"/>
    <m/>
    <x v="0"/>
    <m/>
    <m/>
    <s v="Ian Trottier"/>
    <n v="5"/>
    <n v="2025"/>
    <s v="INV13340"/>
    <n v="11"/>
    <n v="2025"/>
    <m/>
    <s v="SRM Materials"/>
    <s v="USD"/>
    <n v="13922.076002534595"/>
    <n v="10160.64"/>
    <x v="0"/>
    <n v="643"/>
    <n v="9517.6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2.76459999999997"/>
    <s v="Yes"/>
  </r>
  <r>
    <n v="1"/>
    <s v="SO17163"/>
    <m/>
    <x v="0"/>
    <m/>
    <m/>
    <s v="Ian Trottier"/>
    <n v="5"/>
    <n v="2025"/>
    <s v="INV13440"/>
    <n v="10"/>
    <n v="2025"/>
    <m/>
    <s v="Motion Industries Inc. (U.S.) - Charleston"/>
    <s v="USD"/>
    <n v="4966.9068883080045"/>
    <n v="3654.99"/>
    <x v="0"/>
    <n v="0"/>
    <n v="3654.9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4.824849999999998"/>
    <s v="Yes"/>
  </r>
  <r>
    <n v="1"/>
    <s v="SO17164"/>
    <m/>
    <x v="2"/>
    <m/>
    <m/>
    <s v="Ian Trottier"/>
    <n v="5"/>
    <n v="2025"/>
    <s v="INV12997"/>
    <n v="7"/>
    <n v="2025"/>
    <n v="2503"/>
    <s v="Windsor Pump Company, Ltd."/>
    <s v="CAD"/>
    <n v="2749.33"/>
    <n v="1965.2225376083354"/>
    <x v="0"/>
    <n v="0"/>
    <n v="1965.2225376083354"/>
    <m/>
    <s v="Renewal"/>
    <m/>
    <m/>
    <s v=""/>
    <n v="5.0000000000000001E-3"/>
    <s v=""/>
    <s v=""/>
    <s v=""/>
    <n v="9.8261126880416771"/>
    <s v=""/>
    <s v=""/>
    <m/>
    <n v="9.8261126880416771"/>
    <m/>
    <m/>
    <m/>
    <m/>
    <s v=""/>
    <n v="9.8261126880416771"/>
    <s v=""/>
    <s v=""/>
    <x v="1"/>
    <x v="1"/>
    <n v="29.47833806412503"/>
    <s v="Yes"/>
  </r>
  <r>
    <n v="1"/>
    <s v="SO17165"/>
    <m/>
    <x v="0"/>
    <m/>
    <m/>
    <s v="Yannett Yeomans"/>
    <n v="5"/>
    <n v="2025"/>
    <s v="INV13347"/>
    <s v=""/>
    <s v=""/>
    <m/>
    <s v="Dynapro Pumps México S de RL de CV"/>
    <s v="USD"/>
    <n v="17040.977324016007"/>
    <n v="121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169"/>
    <m/>
    <x v="0"/>
    <m/>
    <m/>
    <s v="Ian Trottier"/>
    <n v="5"/>
    <n v="2025"/>
    <s v="INV13445"/>
    <s v=""/>
    <s v=""/>
    <m/>
    <s v="DRN Industriel"/>
    <s v="CAD"/>
    <n v="4342.6000000000004"/>
    <n v="3142.029851654080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169"/>
    <m/>
    <x v="0"/>
    <m/>
    <m/>
    <n v="0"/>
    <n v="5"/>
    <n v="2025"/>
    <s v="INV13213"/>
    <n v="9"/>
    <n v="2025"/>
    <m/>
    <s v="DRN Industriel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170"/>
    <m/>
    <x v="2"/>
    <m/>
    <m/>
    <s v="Ian Trottier"/>
    <n v="5"/>
    <n v="2025"/>
    <s v="INV12990"/>
    <n v="7"/>
    <n v="2025"/>
    <n v="2503"/>
    <s v="Hyperflo"/>
    <s v="CAD"/>
    <n v="2113.38"/>
    <n v="1514.0258025435026"/>
    <x v="0"/>
    <n v="0"/>
    <n v="1514.0258025435026"/>
    <m/>
    <s v="Renewal"/>
    <m/>
    <m/>
    <s v=""/>
    <n v="5.0000000000000001E-3"/>
    <s v=""/>
    <s v=""/>
    <s v=""/>
    <n v="7.5701290127175129"/>
    <s v=""/>
    <s v=""/>
    <m/>
    <n v="7.5701290127175129"/>
    <m/>
    <m/>
    <m/>
    <m/>
    <s v=""/>
    <n v="7.5701290127175129"/>
    <s v=""/>
    <s v=""/>
    <x v="1"/>
    <x v="1"/>
    <n v="22.710387038152536"/>
    <s v="Yes"/>
  </r>
  <r>
    <n v="2"/>
    <s v="SO17172"/>
    <m/>
    <x v="1"/>
    <m/>
    <m/>
    <s v="Marlen Martinez"/>
    <n v="5"/>
    <n v="2025"/>
    <s v="INV13305"/>
    <n v="11"/>
    <n v="2025"/>
    <n v="2504"/>
    <s v="Covia Corp - Camden"/>
    <s v="USD"/>
    <n v="14073.231182717327"/>
    <n v="10048.9"/>
    <x v="0"/>
    <n v="540.91999999999996"/>
    <n v="9507.98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142.61969999999999"/>
    <s v="Yes"/>
  </r>
  <r>
    <n v="2"/>
    <s v="SO17172"/>
    <m/>
    <x v="0"/>
    <m/>
    <m/>
    <n v="0"/>
    <n v="5"/>
    <n v="2025"/>
    <s v="INV13037"/>
    <n v="9"/>
    <n v="2025"/>
    <m/>
    <s v="Covia Corp - Camden"/>
    <s v="USD"/>
    <n v="0"/>
    <n v="0"/>
    <x v="1"/>
    <n v="519.9400000000000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1"/>
    <s v="SO17175"/>
    <m/>
    <x v="2"/>
    <m/>
    <m/>
    <s v="Ian Trottier"/>
    <n v="5"/>
    <n v="2025"/>
    <s v="INV12998"/>
    <n v="7"/>
    <n v="2025"/>
    <n v="2503"/>
    <s v="Resolute Forest Products - Saint-Felicien"/>
    <s v="CAD"/>
    <n v="7486.9"/>
    <n v="5351.6400784263251"/>
    <x v="0"/>
    <n v="0"/>
    <n v="5351.6400784263251"/>
    <m/>
    <s v="Renewal"/>
    <m/>
    <m/>
    <s v=""/>
    <n v="5.0000000000000001E-3"/>
    <s v=""/>
    <s v=""/>
    <s v=""/>
    <n v="26.758200392131627"/>
    <s v=""/>
    <s v=""/>
    <m/>
    <n v="26.758200392131627"/>
    <m/>
    <m/>
    <m/>
    <m/>
    <s v=""/>
    <n v="26.758200392131627"/>
    <s v=""/>
    <s v=""/>
    <x v="1"/>
    <x v="1"/>
    <n v="80.274601176394867"/>
    <s v="Yes"/>
  </r>
  <r>
    <n v="1"/>
    <s v="SO17176"/>
    <m/>
    <x v="2"/>
    <m/>
    <m/>
    <s v="Ian Trottier"/>
    <n v="5"/>
    <n v="2025"/>
    <s v="INV13006"/>
    <n v="7"/>
    <n v="2025"/>
    <n v="2503"/>
    <s v="Wajax Limited - Noranda"/>
    <s v="CAD"/>
    <n v="321.89999999999998"/>
    <n v="233.95669082491841"/>
    <x v="0"/>
    <n v="0"/>
    <n v="233.95669082491841"/>
    <m/>
    <s v="Renewal"/>
    <m/>
    <m/>
    <s v=""/>
    <n v="5.0000000000000001E-3"/>
    <s v=""/>
    <s v=""/>
    <s v=""/>
    <n v="1.1697834541245922"/>
    <s v=""/>
    <s v=""/>
    <m/>
    <n v="1.1697834541245922"/>
    <m/>
    <m/>
    <m/>
    <m/>
    <s v=""/>
    <n v="1.1697834541245922"/>
    <s v=""/>
    <s v=""/>
    <x v="1"/>
    <x v="1"/>
    <n v="3.5093503623737758"/>
    <s v="Yes"/>
  </r>
  <r>
    <n v="1"/>
    <s v="SO17180"/>
    <m/>
    <x v="0"/>
    <m/>
    <m/>
    <s v="Ian Trottier"/>
    <n v="5"/>
    <n v="2025"/>
    <s v="INV12992"/>
    <n v="6"/>
    <n v="2025"/>
    <m/>
    <s v="Fabrene Inc."/>
    <s v="CAD"/>
    <n v="919.94"/>
    <n v="657.57359838484751"/>
    <x v="0"/>
    <n v="0"/>
    <n v="657.5735983848475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9.8636039757727119"/>
    <s v="Yes"/>
  </r>
  <r>
    <n v="1"/>
    <s v="SO17190"/>
    <m/>
    <x v="2"/>
    <m/>
    <m/>
    <s v="Ian Trottier"/>
    <n v="5"/>
    <n v="2025"/>
    <s v="INV13014"/>
    <n v="7"/>
    <n v="2025"/>
    <n v="2503"/>
    <s v="PT Vale Indonesia Tbk."/>
    <s v="USD"/>
    <n v="507.5829522437603"/>
    <n v="363.45"/>
    <x v="0"/>
    <n v="0"/>
    <n v="363.45"/>
    <m/>
    <s v="Renewal"/>
    <m/>
    <m/>
    <s v=""/>
    <n v="5.0000000000000001E-3"/>
    <s v=""/>
    <s v=""/>
    <s v=""/>
    <n v="1.81725"/>
    <s v=""/>
    <s v=""/>
    <m/>
    <n v="1.81725"/>
    <m/>
    <m/>
    <m/>
    <m/>
    <s v=""/>
    <n v="1.81725"/>
    <s v=""/>
    <s v=""/>
    <x v="1"/>
    <x v="1"/>
    <n v="5.4517499999999997"/>
    <s v="Yes"/>
  </r>
  <r>
    <n v="1"/>
    <s v="SO17191"/>
    <m/>
    <x v="0"/>
    <m/>
    <m/>
    <s v="Ian Trottier"/>
    <n v="5"/>
    <n v="2025"/>
    <s v="INV12994"/>
    <n v="6"/>
    <n v="2025"/>
    <m/>
    <s v="Process and Steam Specialties, Process and Steam Specialties"/>
    <s v="CAD"/>
    <n v="1859.15"/>
    <n v="1328.9214029580069"/>
    <x v="0"/>
    <n v="0"/>
    <n v="1328.921402958006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.933821044370102"/>
    <s v="Yes"/>
  </r>
  <r>
    <n v="1"/>
    <s v="SO17193"/>
    <m/>
    <x v="0"/>
    <m/>
    <m/>
    <s v="Yannett Yeomans"/>
    <n v="5"/>
    <n v="2025"/>
    <s v="INV13205"/>
    <s v=""/>
    <s v=""/>
    <m/>
    <s v="Dynapro Pumps México S de RL de CV"/>
    <s v="USD"/>
    <n v="670.35305290137558"/>
    <n v="4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194"/>
    <m/>
    <x v="2"/>
    <m/>
    <m/>
    <s v="Ian Trottier"/>
    <n v="5"/>
    <n v="2025"/>
    <s v="INV13000"/>
    <n v="9"/>
    <n v="2025"/>
    <n v="2503"/>
    <s v="MAB Equipment Company Inc."/>
    <s v="USD"/>
    <n v="3330.6761928057358"/>
    <n v="2387.6999999999998"/>
    <x v="0"/>
    <n v="644"/>
    <n v="1743.6999999999998"/>
    <m/>
    <s v="Renewal"/>
    <m/>
    <m/>
    <s v=""/>
    <n v="5.0000000000000001E-3"/>
    <s v=""/>
    <s v=""/>
    <s v=""/>
    <n v="8.7184999999999988"/>
    <s v=""/>
    <s v=""/>
    <m/>
    <n v="8.7184999999999988"/>
    <m/>
    <m/>
    <m/>
    <m/>
    <s v=""/>
    <n v="8.7184999999999988"/>
    <s v=""/>
    <s v=""/>
    <x v="1"/>
    <x v="1"/>
    <n v="26.155499999999996"/>
    <s v="Yes"/>
  </r>
  <r>
    <n v="1"/>
    <s v="SO17197"/>
    <m/>
    <x v="1"/>
    <m/>
    <m/>
    <s v="Marlen Martinez"/>
    <n v="5"/>
    <n v="2025"/>
    <s v="INV13033"/>
    <n v="9"/>
    <n v="2025"/>
    <n v="2504"/>
    <s v="Covia Corp - Junction City"/>
    <s v="USD"/>
    <n v="14434.739312631444"/>
    <n v="10512.11"/>
    <x v="0"/>
    <n v="658.69"/>
    <n v="9853.4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147.8013"/>
    <s v="Yes"/>
  </r>
  <r>
    <n v="1"/>
    <s v="SO17199"/>
    <m/>
    <x v="0"/>
    <m/>
    <m/>
    <s v="Ian Trottier"/>
    <n v="5"/>
    <n v="2025"/>
    <s v="INV13073"/>
    <n v="6"/>
    <n v="2025"/>
    <m/>
    <s v="F H Pumps, Inc., F H Pumps, Inc"/>
    <s v="USD"/>
    <n v="2858.5271188601314"/>
    <n v="2069.85"/>
    <x v="0"/>
    <n v="0"/>
    <n v="2069.8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1.047749999999997"/>
    <s v="Yes"/>
  </r>
  <r>
    <n v="1"/>
    <s v="SO17200"/>
    <m/>
    <x v="2"/>
    <m/>
    <m/>
    <s v="Ian Trottier"/>
    <n v="5"/>
    <n v="2025"/>
    <s v="INV13160"/>
    <n v="8"/>
    <n v="2025"/>
    <n v="2503"/>
    <s v="Industrial Pump Repair Canada"/>
    <s v="CAD"/>
    <n v="7759.78"/>
    <n v="5613.0886001693507"/>
    <x v="0"/>
    <n v="0"/>
    <n v="5613.0886001693507"/>
    <m/>
    <s v="New Opportunity"/>
    <m/>
    <m/>
    <s v=""/>
    <n v="0.02"/>
    <s v=""/>
    <s v=""/>
    <s v=""/>
    <n v="112.26177200338702"/>
    <s v=""/>
    <s v=""/>
    <m/>
    <n v="112.26177200338702"/>
    <m/>
    <m/>
    <m/>
    <m/>
    <s v=""/>
    <n v="112.26177200338702"/>
    <s v=""/>
    <s v=""/>
    <x v="1"/>
    <x v="1"/>
    <n v="84.196329002540253"/>
    <s v="Yes"/>
  </r>
  <r>
    <n v="3"/>
    <s v="SO17201"/>
    <m/>
    <x v="0"/>
    <m/>
    <m/>
    <s v="Wilka Nuñez"/>
    <n v="5"/>
    <n v="2025"/>
    <s v="INV13644"/>
    <s v=""/>
    <s v=""/>
    <m/>
    <s v="Barrick Gold - Pueblo Viejo Dominicana Corporation"/>
    <s v="USD"/>
    <n v="112468.27118251254"/>
    <n v="82081.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201"/>
    <m/>
    <x v="0"/>
    <m/>
    <m/>
    <n v="0"/>
    <n v="5"/>
    <n v="2025"/>
    <s v="INV13250"/>
    <n v="9"/>
    <n v="2025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201"/>
    <m/>
    <x v="0"/>
    <m/>
    <m/>
    <n v="0"/>
    <n v="5"/>
    <n v="2025"/>
    <s v="INV13476"/>
    <n v="11"/>
    <n v="2025"/>
    <m/>
    <s v="Barrick Gold - Pueblo Viejo Dominicana Corporation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02"/>
    <m/>
    <x v="0"/>
    <m/>
    <m/>
    <s v="Ian Trottier"/>
    <n v="5"/>
    <n v="2025"/>
    <s v="INV13002"/>
    <n v="6"/>
    <n v="2025"/>
    <m/>
    <s v="Les Pompes Diaspec Inc."/>
    <s v="CAD"/>
    <n v="2110.85"/>
    <n v="1534.1642771909874"/>
    <x v="0"/>
    <n v="45"/>
    <n v="1489.164277190987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337464157864808"/>
    <s v="Yes"/>
  </r>
  <r>
    <n v="1"/>
    <s v="SO17205"/>
    <m/>
    <x v="2"/>
    <m/>
    <m/>
    <s v="Ian Trottier"/>
    <n v="5"/>
    <n v="2025"/>
    <s v="INV13047"/>
    <n v="7"/>
    <n v="2025"/>
    <n v="2503"/>
    <s v="Motion Industries Inc. (Canada) - Chicoutimi, Motion Industries Inc. (Canada) - Chicoutimi"/>
    <s v="CAD"/>
    <n v="153.41999999999999"/>
    <n v="111.00497854759105"/>
    <x v="0"/>
    <n v="0"/>
    <n v="111.00497854759105"/>
    <m/>
    <s v="Renewal"/>
    <m/>
    <m/>
    <s v=""/>
    <n v="5.0000000000000001E-3"/>
    <s v=""/>
    <s v=""/>
    <s v=""/>
    <n v="0.5550248927379553"/>
    <s v=""/>
    <s v=""/>
    <m/>
    <n v="0.5550248927379553"/>
    <m/>
    <m/>
    <m/>
    <m/>
    <s v=""/>
    <n v="0.5550248927379553"/>
    <s v=""/>
    <s v=""/>
    <x v="1"/>
    <x v="1"/>
    <n v="1.6650746782138657"/>
    <s v="Yes"/>
  </r>
  <r>
    <n v="1"/>
    <s v="SO17207"/>
    <m/>
    <x v="0"/>
    <m/>
    <m/>
    <s v="Wilka Nuñez"/>
    <n v="5"/>
    <n v="2025"/>
    <s v="INV13069"/>
    <n v="8"/>
    <n v="2025"/>
    <m/>
    <s v="Barrick Gold - Pueblo Viejo Dominicana Corporation"/>
    <s v="USD"/>
    <n v="1350.8788535565316"/>
    <n v="968.42"/>
    <x v="0"/>
    <n v="0"/>
    <n v="968.42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4.526299999999999"/>
    <s v="Yes"/>
  </r>
  <r>
    <n v="1"/>
    <s v="SO17209"/>
    <m/>
    <x v="0"/>
    <m/>
    <m/>
    <s v="Yannett Yeomans"/>
    <n v="5"/>
    <n v="2025"/>
    <s v="INV13322"/>
    <s v=""/>
    <s v=""/>
    <m/>
    <s v="Dynapro Pumps México S de RL de CV"/>
    <s v="USD"/>
    <n v="22413.747567115872"/>
    <n v="160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210"/>
    <m/>
    <x v="0"/>
    <m/>
    <m/>
    <s v="Taylor Cook"/>
    <n v="5"/>
    <n v="2025"/>
    <s v="INV13005"/>
    <n v="6"/>
    <n v="2025"/>
    <m/>
    <s v="Wild Rows Pump &amp; Compression"/>
    <s v="CAD"/>
    <n v="190.55"/>
    <n v="137.50292597914748"/>
    <x v="0"/>
    <n v="0"/>
    <n v="137.5029259791474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0625438896872121"/>
    <s v="Yes"/>
  </r>
  <r>
    <n v="1"/>
    <s v="SO17212"/>
    <m/>
    <x v="2"/>
    <m/>
    <m/>
    <s v="Ian Trottier"/>
    <n v="5"/>
    <n v="2025"/>
    <s v="INV13055"/>
    <n v="7"/>
    <n v="2025"/>
    <n v="2503"/>
    <s v="Cameco Corporation - Blind River Refinery"/>
    <s v="CAD"/>
    <n v="29586.69"/>
    <n v="21503.58522790526"/>
    <x v="0"/>
    <n v="0"/>
    <n v="21503.58522790526"/>
    <m/>
    <s v="Renewal"/>
    <m/>
    <m/>
    <s v=""/>
    <n v="5.0000000000000001E-3"/>
    <s v=""/>
    <s v=""/>
    <s v=""/>
    <n v="107.5179261395263"/>
    <s v=""/>
    <s v=""/>
    <m/>
    <n v="107.5179261395263"/>
    <m/>
    <m/>
    <m/>
    <m/>
    <s v=""/>
    <n v="107.5179261395263"/>
    <s v=""/>
    <s v=""/>
    <x v="1"/>
    <x v="1"/>
    <n v="322.55377841857887"/>
    <s v="Yes"/>
  </r>
  <r>
    <n v="3"/>
    <s v="SO17214"/>
    <m/>
    <x v="0"/>
    <m/>
    <m/>
    <s v="Ian Trottier"/>
    <n v="5"/>
    <n v="2025"/>
    <s v="INV13020"/>
    <n v="6"/>
    <n v="2025"/>
    <m/>
    <s v="Sling-Choker Manufacturing - Timmins"/>
    <s v="CAD"/>
    <n v="6469.1"/>
    <n v="4668.1720202136048"/>
    <x v="0"/>
    <n v="0"/>
    <n v="4668.172020213604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0.022580303204066"/>
    <s v="Yes"/>
  </r>
  <r>
    <n v="3"/>
    <s v="SO17214"/>
    <m/>
    <x v="0"/>
    <m/>
    <m/>
    <n v="0"/>
    <n v="5"/>
    <n v="2025"/>
    <s v="INV13163"/>
    <n v="8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214"/>
    <m/>
    <x v="0"/>
    <m/>
    <m/>
    <n v="0"/>
    <n v="5"/>
    <n v="2025"/>
    <s v="INV13388"/>
    <n v="10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16"/>
    <m/>
    <x v="0"/>
    <m/>
    <m/>
    <s v="Ian Trottier"/>
    <n v="5"/>
    <n v="2025"/>
    <s v="INV13040"/>
    <n v="7"/>
    <n v="2025"/>
    <m/>
    <s v="Resolute Forest Products - Saint-Felicien"/>
    <s v="CAD"/>
    <n v="2202.98"/>
    <n v="1593.9365639471523"/>
    <x v="0"/>
    <n v="0"/>
    <n v="1593.936563947152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3.909048459207284"/>
    <s v="Yes"/>
  </r>
  <r>
    <n v="1"/>
    <s v="SO17218"/>
    <m/>
    <x v="2"/>
    <m/>
    <m/>
    <s v="Ian Trottier"/>
    <n v="5"/>
    <n v="2025"/>
    <s v="INV13118"/>
    <n v="7"/>
    <n v="2025"/>
    <n v="2503"/>
    <s v="Canadian Bearings Ltd., Canadian Bearings Ltd. - Quebec City"/>
    <s v="CAD"/>
    <n v="5934.85"/>
    <n v="4294.0809342534931"/>
    <x v="0"/>
    <n v="0"/>
    <n v="4294.0809342534931"/>
    <m/>
    <s v="Renewal"/>
    <m/>
    <m/>
    <s v=""/>
    <n v="5.0000000000000001E-3"/>
    <s v=""/>
    <s v=""/>
    <s v=""/>
    <n v="21.470404671267467"/>
    <s v=""/>
    <s v=""/>
    <m/>
    <n v="21.470404671267467"/>
    <m/>
    <m/>
    <m/>
    <m/>
    <s v=""/>
    <n v="21.470404671267467"/>
    <s v=""/>
    <s v=""/>
    <x v="1"/>
    <x v="1"/>
    <n v="64.411214013802393"/>
    <s v="Yes"/>
  </r>
  <r>
    <n v="1"/>
    <s v="SO17219"/>
    <m/>
    <x v="0"/>
    <m/>
    <m/>
    <s v="Taylor Cook"/>
    <n v="5"/>
    <n v="2025"/>
    <s v="INV13024"/>
    <n v="6"/>
    <n v="2025"/>
    <m/>
    <s v="FMI Products"/>
    <s v="CAD"/>
    <n v="158.78"/>
    <n v="115.40119095737975"/>
    <x v="0"/>
    <n v="0"/>
    <n v="115.4011909573797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7310178643606962"/>
    <s v="Yes"/>
  </r>
  <r>
    <n v="1"/>
    <s v="SO17220"/>
    <m/>
    <x v="0"/>
    <m/>
    <m/>
    <s v="Wilka Nuñez"/>
    <n v="5"/>
    <n v="2025"/>
    <s v="INV13070"/>
    <n v="7"/>
    <n v="2025"/>
    <m/>
    <s v="Barrick Gold - Pueblo Viejo Dominicana Corporation"/>
    <s v="USD"/>
    <n v="3563.166161780624"/>
    <n v="2577.44"/>
    <x v="0"/>
    <n v="0"/>
    <n v="2577.44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38.6616"/>
    <s v="Yes"/>
  </r>
  <r>
    <n v="1"/>
    <s v="SO17221"/>
    <m/>
    <x v="2"/>
    <m/>
    <m/>
    <s v="Ian Trottier"/>
    <n v="5"/>
    <n v="2025"/>
    <s v="INV13013"/>
    <n v="7"/>
    <n v="2025"/>
    <n v="2503"/>
    <s v="PT Vale Indonesia Tbk."/>
    <s v="USD"/>
    <n v="3548.636676570371"/>
    <n v="2566.9299999999998"/>
    <x v="0"/>
    <n v="0"/>
    <n v="2566.9299999999998"/>
    <m/>
    <s v="Renewal"/>
    <m/>
    <m/>
    <s v=""/>
    <n v="5.0000000000000001E-3"/>
    <s v=""/>
    <s v=""/>
    <s v=""/>
    <n v="12.83465"/>
    <s v=""/>
    <s v=""/>
    <m/>
    <n v="12.83465"/>
    <m/>
    <m/>
    <m/>
    <m/>
    <s v=""/>
    <n v="12.83465"/>
    <s v=""/>
    <s v=""/>
    <x v="1"/>
    <x v="1"/>
    <n v="38.503949999999996"/>
    <s v="Yes"/>
  </r>
  <r>
    <n v="1"/>
    <s v="SO17222"/>
    <m/>
    <x v="2"/>
    <m/>
    <m/>
    <s v="Ian Trottier"/>
    <n v="5"/>
    <n v="2025"/>
    <s v="INV13012"/>
    <n v="7"/>
    <n v="2025"/>
    <n v="2503"/>
    <s v="PT Vale Indonesia Tbk."/>
    <s v="USD"/>
    <n v="2706.700702950176"/>
    <n v="1957.91"/>
    <x v="0"/>
    <n v="0"/>
    <n v="1957.91"/>
    <m/>
    <s v="Renewal"/>
    <m/>
    <m/>
    <s v=""/>
    <n v="5.0000000000000001E-3"/>
    <s v=""/>
    <s v=""/>
    <s v=""/>
    <n v="9.7895500000000002"/>
    <s v=""/>
    <s v=""/>
    <m/>
    <n v="9.7895500000000002"/>
    <m/>
    <m/>
    <m/>
    <m/>
    <s v=""/>
    <n v="9.7895500000000002"/>
    <s v=""/>
    <s v=""/>
    <x v="1"/>
    <x v="1"/>
    <n v="29.368649999999999"/>
    <s v="Yes"/>
  </r>
  <r>
    <n v="1"/>
    <s v="SO17223"/>
    <m/>
    <x v="2"/>
    <m/>
    <m/>
    <s v="Ian Trottier"/>
    <n v="5"/>
    <n v="2025"/>
    <s v="INV13011"/>
    <n v="7"/>
    <n v="2025"/>
    <n v="2503"/>
    <s v="PT Vale Indonesia Tbk."/>
    <s v="USD"/>
    <n v="3525.093657243006"/>
    <n v="2549.9"/>
    <x v="0"/>
    <n v="0"/>
    <n v="2549.9"/>
    <m/>
    <s v="Renewal"/>
    <m/>
    <m/>
    <s v=""/>
    <n v="5.0000000000000001E-3"/>
    <s v=""/>
    <s v=""/>
    <s v=""/>
    <n v="12.749500000000001"/>
    <s v=""/>
    <s v=""/>
    <m/>
    <n v="12.749500000000001"/>
    <m/>
    <m/>
    <m/>
    <m/>
    <s v=""/>
    <n v="12.749500000000001"/>
    <s v=""/>
    <s v=""/>
    <x v="1"/>
    <x v="1"/>
    <n v="38.2485"/>
    <s v="Yes"/>
  </r>
  <r>
    <n v="1"/>
    <s v="SO17224"/>
    <m/>
    <x v="2"/>
    <m/>
    <m/>
    <s v="Ian Trottier"/>
    <n v="5"/>
    <n v="2025"/>
    <s v="INV13010"/>
    <n v="7"/>
    <n v="2025"/>
    <n v="2503"/>
    <s v="PT Vale Indonesia Tbk."/>
    <s v="USD"/>
    <n v="2605.4781618374527"/>
    <n v="1884.69"/>
    <x v="0"/>
    <n v="0"/>
    <n v="1884.69"/>
    <m/>
    <s v="Renewal"/>
    <m/>
    <m/>
    <s v=""/>
    <n v="5.0000000000000001E-3"/>
    <s v=""/>
    <s v=""/>
    <s v=""/>
    <n v="9.4234500000000008"/>
    <s v=""/>
    <s v=""/>
    <m/>
    <n v="9.4234500000000008"/>
    <m/>
    <m/>
    <m/>
    <m/>
    <s v=""/>
    <n v="9.4234500000000008"/>
    <s v=""/>
    <s v=""/>
    <x v="1"/>
    <x v="1"/>
    <n v="28.270350000000001"/>
    <s v="Yes"/>
  </r>
  <r>
    <n v="1"/>
    <s v="SO17225"/>
    <m/>
    <x v="2"/>
    <m/>
    <m/>
    <s v="Ian Trottier"/>
    <n v="5"/>
    <n v="2025"/>
    <s v="INV13025"/>
    <n v="7"/>
    <n v="2025"/>
    <n v="2503"/>
    <s v="Wajax Limited - Noranda"/>
    <s v="CAD"/>
    <n v="373.11"/>
    <n v="271.17608236621709"/>
    <x v="0"/>
    <n v="0"/>
    <n v="271.17608236621709"/>
    <m/>
    <s v="Renewal"/>
    <m/>
    <m/>
    <s v=""/>
    <n v="5.0000000000000001E-3"/>
    <s v=""/>
    <s v=""/>
    <s v=""/>
    <n v="1.3558804118310854"/>
    <s v=""/>
    <s v=""/>
    <m/>
    <n v="1.3558804118310854"/>
    <m/>
    <m/>
    <m/>
    <m/>
    <s v=""/>
    <n v="1.3558804118310854"/>
    <s v=""/>
    <s v=""/>
    <x v="1"/>
    <x v="1"/>
    <n v="4.0676412354932561"/>
    <s v="Yes"/>
  </r>
  <r>
    <n v="1"/>
    <s v="SO17226"/>
    <m/>
    <x v="0"/>
    <m/>
    <m/>
    <s v="Jeff Bell"/>
    <n v="5"/>
    <n v="2025"/>
    <s v="INV13186"/>
    <n v="8"/>
    <n v="2025"/>
    <m/>
    <s v="Barrick Gold - Pueblo Viejo Dominicana Corporation"/>
    <s v="USD"/>
    <n v="48556.660366353062"/>
    <n v="34786"/>
    <x v="0"/>
    <n v="0"/>
    <n v="34786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521.79"/>
    <s v="Yes"/>
  </r>
  <r>
    <n v="1"/>
    <s v="SO17227"/>
    <m/>
    <x v="2"/>
    <m/>
    <m/>
    <s v="Ian Trottier"/>
    <n v="5"/>
    <n v="2025"/>
    <s v="INV13009"/>
    <n v="7"/>
    <n v="2025"/>
    <n v="2503"/>
    <s v="PT Vale Indonesia Tbk."/>
    <s v="USD"/>
    <n v="134.69150751997572"/>
    <n v="97.43"/>
    <x v="0"/>
    <n v="0"/>
    <n v="97.43"/>
    <m/>
    <s v="Renewal"/>
    <m/>
    <m/>
    <s v=""/>
    <n v="5.0000000000000001E-3"/>
    <s v=""/>
    <s v=""/>
    <s v=""/>
    <n v="0.48715000000000003"/>
    <s v=""/>
    <s v=""/>
    <m/>
    <n v="0.48715000000000003"/>
    <m/>
    <m/>
    <m/>
    <m/>
    <s v=""/>
    <n v="0.48715000000000003"/>
    <s v=""/>
    <s v=""/>
    <x v="1"/>
    <x v="1"/>
    <n v="1.4614500000000001"/>
    <s v="Yes"/>
  </r>
  <r>
    <n v="1"/>
    <s v="SO17229"/>
    <m/>
    <x v="2"/>
    <m/>
    <m/>
    <s v="Ian Trottier"/>
    <n v="5"/>
    <n v="2025"/>
    <s v="INV13023"/>
    <n v="7"/>
    <n v="2025"/>
    <n v="2503"/>
    <s v="SCG Process, SCG Process"/>
    <s v="CAD"/>
    <n v="4331.1499999999996"/>
    <n v="3147.8767364595997"/>
    <x v="0"/>
    <n v="0"/>
    <n v="3147.8767364595997"/>
    <m/>
    <s v="Renewal"/>
    <m/>
    <m/>
    <s v=""/>
    <n v="5.0000000000000001E-3"/>
    <s v=""/>
    <s v=""/>
    <s v=""/>
    <n v="15.739383682298"/>
    <s v=""/>
    <s v=""/>
    <m/>
    <n v="15.739383682298"/>
    <m/>
    <m/>
    <m/>
    <m/>
    <s v=""/>
    <n v="15.739383682298"/>
    <s v=""/>
    <s v=""/>
    <x v="1"/>
    <x v="1"/>
    <n v="47.218151046893993"/>
    <s v="Yes"/>
  </r>
  <r>
    <n v="1"/>
    <s v="SO17230"/>
    <m/>
    <x v="2"/>
    <m/>
    <m/>
    <s v="Ian Trottier"/>
    <n v="5"/>
    <n v="2025"/>
    <s v="INV13027"/>
    <n v="7"/>
    <n v="2025"/>
    <n v="2503"/>
    <s v="Resolute Forest Products - Saint-Felicien"/>
    <s v="CAD"/>
    <n v="525.22"/>
    <n v="381.72952207226979"/>
    <x v="0"/>
    <n v="0"/>
    <n v="381.72952207226979"/>
    <m/>
    <s v="Renewal"/>
    <m/>
    <m/>
    <s v=""/>
    <n v="5.0000000000000001E-3"/>
    <s v=""/>
    <s v=""/>
    <s v=""/>
    <n v="1.908647610361349"/>
    <s v=""/>
    <s v=""/>
    <m/>
    <n v="1.908647610361349"/>
    <m/>
    <m/>
    <m/>
    <m/>
    <s v=""/>
    <n v="1.908647610361349"/>
    <s v=""/>
    <s v=""/>
    <x v="1"/>
    <x v="1"/>
    <n v="5.7259428310840468"/>
    <s v="Yes"/>
  </r>
  <r>
    <n v="1"/>
    <s v="SO17234"/>
    <m/>
    <x v="0"/>
    <m/>
    <m/>
    <s v="Taylor Cook"/>
    <n v="5"/>
    <n v="2025"/>
    <s v="INV13031"/>
    <n v="6"/>
    <n v="2025"/>
    <m/>
    <s v="Motion Industries Inc. (Canada) - Winnipeg"/>
    <s v="CAD"/>
    <n v="126.12"/>
    <n v="91.535653775790749"/>
    <x v="0"/>
    <n v="0"/>
    <n v="91.53565377579074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3730348066368612"/>
    <s v="Yes"/>
  </r>
  <r>
    <n v="1"/>
    <s v="SO17235"/>
    <m/>
    <x v="2"/>
    <m/>
    <m/>
    <s v="Ian Trottier"/>
    <n v="5"/>
    <n v="2025"/>
    <s v="INV13079"/>
    <n v="8"/>
    <n v="2025"/>
    <n v="2503"/>
    <s v="Hyperflo"/>
    <s v="CAD"/>
    <n v="1059.76"/>
    <n v="765.06747569241963"/>
    <x v="0"/>
    <n v="0"/>
    <n v="765.06747569241963"/>
    <m/>
    <s v="Renewal"/>
    <m/>
    <m/>
    <s v=""/>
    <n v="5.0000000000000001E-3"/>
    <s v=""/>
    <s v=""/>
    <s v=""/>
    <n v="3.8253373784620983"/>
    <s v=""/>
    <s v=""/>
    <m/>
    <n v="3.8253373784620983"/>
    <m/>
    <m/>
    <m/>
    <m/>
    <s v=""/>
    <n v="3.8253373784620983"/>
    <s v=""/>
    <s v=""/>
    <x v="1"/>
    <x v="1"/>
    <n v="11.476012135386295"/>
    <s v="Yes"/>
  </r>
  <r>
    <n v="1"/>
    <s v="SO17237"/>
    <m/>
    <x v="2"/>
    <m/>
    <m/>
    <s v="Ian Trottier"/>
    <n v="5"/>
    <n v="2025"/>
    <s v="INV13029"/>
    <n v="8"/>
    <n v="2025"/>
    <n v="2503"/>
    <s v="Hyperflo"/>
    <s v="CAD"/>
    <n v="1034.78"/>
    <n v="751.02492716549909"/>
    <x v="0"/>
    <n v="0"/>
    <n v="751.02492716549909"/>
    <m/>
    <s v="Renewal"/>
    <m/>
    <m/>
    <s v=""/>
    <n v="5.0000000000000001E-3"/>
    <s v=""/>
    <s v=""/>
    <s v=""/>
    <n v="3.7551246358274954"/>
    <s v=""/>
    <s v=""/>
    <m/>
    <n v="3.7551246358274954"/>
    <m/>
    <m/>
    <m/>
    <m/>
    <s v=""/>
    <n v="3.7551246358274954"/>
    <s v=""/>
    <s v=""/>
    <x v="1"/>
    <x v="1"/>
    <n v="11.265373907482486"/>
    <s v="Yes"/>
  </r>
  <r>
    <n v="1"/>
    <s v="SO17238"/>
    <m/>
    <x v="0"/>
    <m/>
    <m/>
    <s v="Amanda Qiao"/>
    <n v="5"/>
    <n v="2025"/>
    <s v="INV13045"/>
    <n v="7"/>
    <n v="2025"/>
    <m/>
    <s v="Mill-Right Mine Services Inc."/>
    <s v="USD"/>
    <n v="5353.8560423250119"/>
    <n v="3897.24"/>
    <x v="0"/>
    <n v="263.54000000000002"/>
    <n v="3633.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4.505499999999998"/>
    <s v="Yes"/>
  </r>
  <r>
    <n v="1"/>
    <s v="SO17241"/>
    <m/>
    <x v="2"/>
    <m/>
    <m/>
    <s v="Ian Trottier"/>
    <n v="5"/>
    <n v="2025"/>
    <s v="INV13041"/>
    <n v="7"/>
    <n v="2025"/>
    <n v="2503"/>
    <s v="Wajax Limited - Noranda"/>
    <s v="CAD"/>
    <n v="286.35000000000002"/>
    <n v="207.18469304590474"/>
    <x v="0"/>
    <n v="0"/>
    <n v="207.18469304590474"/>
    <m/>
    <s v="Renewal"/>
    <m/>
    <m/>
    <s v=""/>
    <n v="5.0000000000000001E-3"/>
    <s v=""/>
    <s v=""/>
    <s v=""/>
    <n v="1.0359234652295237"/>
    <s v=""/>
    <s v=""/>
    <m/>
    <n v="1.0359234652295237"/>
    <m/>
    <m/>
    <m/>
    <m/>
    <s v=""/>
    <n v="1.0359234652295237"/>
    <s v=""/>
    <s v=""/>
    <x v="1"/>
    <x v="1"/>
    <n v="3.1077703956885712"/>
    <s v="Yes"/>
  </r>
  <r>
    <n v="1"/>
    <s v="SO17242"/>
    <m/>
    <x v="0"/>
    <m/>
    <m/>
    <s v="Amanda Qiao"/>
    <n v="5"/>
    <n v="2025"/>
    <s v="INV13482"/>
    <n v="10"/>
    <n v="2025"/>
    <m/>
    <s v="Mill-Right Mine Services Inc."/>
    <s v="USD"/>
    <n v="3636.7582305189817"/>
    <n v="2660"/>
    <x v="0"/>
    <n v="0"/>
    <n v="266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9.9"/>
    <s v="Yes"/>
  </r>
  <r>
    <n v="1"/>
    <s v="SO17243"/>
    <m/>
    <x v="2"/>
    <m/>
    <m/>
    <s v="Ian Trottier"/>
    <n v="5"/>
    <n v="2025"/>
    <s v="INV13338"/>
    <n v="9"/>
    <n v="2025"/>
    <n v="2503"/>
    <s v="Les Pompes du St-Laurent Inc."/>
    <s v="CAD"/>
    <n v="18048.939999999999"/>
    <n v="13189.008517319087"/>
    <x v="0"/>
    <n v="0"/>
    <n v="13189.008517319087"/>
    <m/>
    <s v="Renewal"/>
    <m/>
    <m/>
    <s v=""/>
    <n v="5.0000000000000001E-3"/>
    <s v=""/>
    <s v=""/>
    <s v=""/>
    <n v="65.945042586595434"/>
    <s v=""/>
    <s v=""/>
    <m/>
    <n v="65.945042586595434"/>
    <m/>
    <m/>
    <m/>
    <m/>
    <s v=""/>
    <n v="65.945042586595434"/>
    <s v=""/>
    <s v=""/>
    <x v="1"/>
    <x v="1"/>
    <n v="197.8351277597863"/>
    <s v="Yes"/>
  </r>
  <r>
    <n v="1"/>
    <s v="SO17245"/>
    <m/>
    <x v="2"/>
    <m/>
    <m/>
    <s v="Ian Trottier"/>
    <n v="5"/>
    <n v="2025"/>
    <s v="INV13269"/>
    <n v="9"/>
    <n v="2025"/>
    <n v="2503"/>
    <s v="Motion Industries Inc. (Canada) - Winnipeg"/>
    <s v="CAD"/>
    <n v="419.88"/>
    <n v="304.74143916412163"/>
    <x v="0"/>
    <n v="0"/>
    <n v="304.74143916412163"/>
    <m/>
    <s v="Renewal"/>
    <m/>
    <m/>
    <s v=""/>
    <n v="5.0000000000000001E-3"/>
    <s v=""/>
    <s v=""/>
    <s v=""/>
    <n v="1.5237071958206081"/>
    <s v=""/>
    <s v=""/>
    <m/>
    <n v="1.5237071958206081"/>
    <m/>
    <m/>
    <m/>
    <m/>
    <s v=""/>
    <n v="1.5237071958206081"/>
    <s v=""/>
    <s v=""/>
    <x v="1"/>
    <x v="1"/>
    <n v="4.5711215874618238"/>
    <s v="Yes"/>
  </r>
  <r>
    <n v="1"/>
    <s v="SO17246"/>
    <m/>
    <x v="2"/>
    <m/>
    <m/>
    <s v="Ian Trottier"/>
    <n v="5"/>
    <n v="2025"/>
    <s v="INV13042"/>
    <n v="7"/>
    <n v="2025"/>
    <n v="2503"/>
    <s v="Wajax Limited - Noranda"/>
    <s v="CAD"/>
    <n v="711.25"/>
    <n v="515.01376453166131"/>
    <x v="0"/>
    <n v="0"/>
    <n v="515.01376453166131"/>
    <m/>
    <s v="Renewal"/>
    <m/>
    <m/>
    <s v=""/>
    <n v="5.0000000000000001E-3"/>
    <s v=""/>
    <s v=""/>
    <s v=""/>
    <n v="2.5750688226583067"/>
    <s v=""/>
    <s v=""/>
    <m/>
    <n v="2.5750688226583067"/>
    <m/>
    <m/>
    <m/>
    <m/>
    <s v=""/>
    <n v="2.5750688226583067"/>
    <s v=""/>
    <s v=""/>
    <x v="1"/>
    <x v="1"/>
    <n v="7.7252064679749193"/>
    <s v="Yes"/>
  </r>
  <r>
    <n v="2"/>
    <s v="SO17249"/>
    <m/>
    <x v="2"/>
    <m/>
    <m/>
    <s v="Ian Trottier"/>
    <n v="5"/>
    <n v="2025"/>
    <s v="(* 77703)"/>
    <s v=""/>
    <s v=""/>
    <n v="2503"/>
    <s v="Sling-Choker Manufacturing - Timmins"/>
    <s v="CAD"/>
    <n v="4343.46"/>
    <n v="3142.6520930929478"/>
    <x v="0"/>
    <n v="0"/>
    <n v="3142.6520930929478"/>
    <m/>
    <s v="Renewal"/>
    <m/>
    <m/>
    <s v=""/>
    <n v="5.0000000000000001E-3"/>
    <s v=""/>
    <s v=""/>
    <s v=""/>
    <n v="15.713260465464739"/>
    <s v=""/>
    <s v=""/>
    <m/>
    <n v="15.713260465464739"/>
    <m/>
    <m/>
    <m/>
    <m/>
    <s v=""/>
    <n v="15.713260465464739"/>
    <s v=""/>
    <s v=""/>
    <x v="1"/>
    <x v="1"/>
    <n v="47.139781396394213"/>
    <s v="Yes"/>
  </r>
  <r>
    <n v="2"/>
    <s v="SO17249"/>
    <m/>
    <x v="2"/>
    <m/>
    <m/>
    <n v="0"/>
    <n v="5"/>
    <n v="2025"/>
    <s v="INV13112"/>
    <n v="7"/>
    <n v="2025"/>
    <n v="2503"/>
    <s v="Sling-Choker Manufacturing - Timmins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250"/>
    <m/>
    <x v="3"/>
    <m/>
    <m/>
    <s v="Amanda Qiao"/>
    <n v="5"/>
    <n v="2025"/>
    <s v="INV13048"/>
    <n v="7"/>
    <n v="2025"/>
    <n v="2503"/>
    <s v="Resolute Forest Products - Dolbeau"/>
    <s v="USD"/>
    <n v="349.59387408832549"/>
    <n v="254.29"/>
    <x v="0"/>
    <n v="0"/>
    <n v="254.29"/>
    <m/>
    <s v="Renewal"/>
    <m/>
    <m/>
    <s v=""/>
    <n v="5.0000000000000001E-3"/>
    <s v=""/>
    <s v=""/>
    <s v=""/>
    <n v="1.27145"/>
    <s v=""/>
    <s v=""/>
    <m/>
    <n v="1.27145"/>
    <m/>
    <n v="2503"/>
    <m/>
    <m/>
    <s v=""/>
    <n v="0"/>
    <s v=""/>
    <s v=""/>
    <x v="1"/>
    <x v="1"/>
    <n v="3.8143499999999997"/>
    <s v="Yes"/>
  </r>
  <r>
    <n v="2"/>
    <s v="SO17253"/>
    <m/>
    <x v="5"/>
    <m/>
    <m/>
    <s v="Wilka Nuñez"/>
    <n v="5"/>
    <n v="2025"/>
    <s v="INV13071"/>
    <n v="7"/>
    <n v="2025"/>
    <n v="2504"/>
    <s v="Barrick Gold - Pueblo Viejo Dominicana Corporation"/>
    <s v="USD"/>
    <n v="206959.96434205474"/>
    <n v="149743.1"/>
    <x v="0"/>
    <n v="0"/>
    <n v="149743.1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1"/>
    <x v="3"/>
    <n v="2246.1464999999998"/>
    <s v="Yes"/>
  </r>
  <r>
    <n v="2"/>
    <s v="SO17253"/>
    <m/>
    <x v="5"/>
    <m/>
    <m/>
    <n v="0"/>
    <n v="5"/>
    <n v="2025"/>
    <s v="INV13477"/>
    <n v="11"/>
    <n v="2025"/>
    <n v="2504"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1"/>
    <x v="3"/>
    <n v="0"/>
    <s v=""/>
  </r>
  <r>
    <n v="1"/>
    <s v="SO17254"/>
    <m/>
    <x v="2"/>
    <m/>
    <m/>
    <s v="Ian Trottier"/>
    <n v="5"/>
    <n v="2025"/>
    <s v="INV13046"/>
    <n v="7"/>
    <n v="2025"/>
    <n v="2503"/>
    <s v="Motion Industries Inc. (Canada) - Prince George"/>
    <s v="CAD"/>
    <n v="3384.38"/>
    <n v="2461.7536346834399"/>
    <x v="0"/>
    <n v="0"/>
    <n v="2461.7536346834399"/>
    <m/>
    <s v="Renewal"/>
    <m/>
    <m/>
    <s v=""/>
    <n v="5.0000000000000001E-3"/>
    <s v=""/>
    <s v=""/>
    <s v=""/>
    <n v="12.308768173417199"/>
    <s v=""/>
    <s v=""/>
    <m/>
    <n v="12.308768173417199"/>
    <m/>
    <m/>
    <m/>
    <m/>
    <s v=""/>
    <n v="12.308768173417199"/>
    <s v=""/>
    <s v=""/>
    <x v="1"/>
    <x v="1"/>
    <n v="36.926304520251598"/>
    <s v="Yes"/>
  </r>
  <r>
    <n v="1"/>
    <s v="SO17256"/>
    <m/>
    <x v="4"/>
    <m/>
    <m/>
    <s v="Alexis Gil Lamadrid"/>
    <n v="5"/>
    <n v="2025"/>
    <s v="INV13061"/>
    <n v="7"/>
    <n v="2025"/>
    <n v="2503"/>
    <s v="Motion Industries Inc. (Canada) - Quesnel"/>
    <s v="CAD"/>
    <n v="568.13"/>
    <n v="413.99784815665294"/>
    <x v="0"/>
    <n v="0"/>
    <n v="413.99784815665294"/>
    <m/>
    <s v="Renewal"/>
    <m/>
    <m/>
    <s v=""/>
    <n v="5.0000000000000001E-3"/>
    <s v=""/>
    <s v=""/>
    <s v=""/>
    <n v="2.0699892407832645"/>
    <s v=""/>
    <s v=""/>
    <m/>
    <m/>
    <m/>
    <n v="2503"/>
    <m/>
    <m/>
    <s v=""/>
    <n v="0"/>
    <s v=""/>
    <s v=""/>
    <x v="1"/>
    <x v="5"/>
    <n v="6.209967722349794"/>
    <s v="Yes"/>
  </r>
  <r>
    <n v="1"/>
    <s v="SO17257"/>
    <m/>
    <x v="0"/>
    <m/>
    <m/>
    <s v="Ian Trottier"/>
    <n v="5"/>
    <n v="2025"/>
    <s v="INV13077"/>
    <n v="6"/>
    <n v="2025"/>
    <m/>
    <s v="TC Industries of Canada Co."/>
    <s v="CAD"/>
    <n v="763.98"/>
    <n v="555.70903439491258"/>
    <x v="0"/>
    <n v="0"/>
    <n v="555.7090343949125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3356355159236877"/>
    <s v="Yes"/>
  </r>
  <r>
    <n v="1"/>
    <s v="SO17259"/>
    <m/>
    <x v="3"/>
    <m/>
    <m/>
    <s v="Amanda Qiao"/>
    <n v="5"/>
    <n v="2025"/>
    <s v="INV13059"/>
    <n v="8"/>
    <n v="2025"/>
    <n v="2503"/>
    <s v="Resolute Forest Products - Clermont"/>
    <s v="CAD"/>
    <n v="26.73"/>
    <n v="19.44305150576718"/>
    <x v="0"/>
    <n v="0"/>
    <n v="19.44305150576718"/>
    <m/>
    <s v="Renewal"/>
    <m/>
    <m/>
    <s v=""/>
    <n v="5.0000000000000001E-3"/>
    <s v=""/>
    <s v=""/>
    <s v=""/>
    <n v="9.7215257528835905E-2"/>
    <s v=""/>
    <s v=""/>
    <m/>
    <n v="9.7215257528835905E-2"/>
    <m/>
    <n v="2503"/>
    <m/>
    <m/>
    <s v=""/>
    <n v="0"/>
    <s v=""/>
    <s v=""/>
    <x v="1"/>
    <x v="1"/>
    <n v="0.2916457725865077"/>
    <s v="Yes"/>
  </r>
  <r>
    <n v="1"/>
    <s v="SO17260"/>
    <m/>
    <x v="2"/>
    <m/>
    <m/>
    <s v="Ian Trottier"/>
    <n v="5"/>
    <n v="2025"/>
    <s v="INV13064"/>
    <n v="7"/>
    <n v="2025"/>
    <n v="2503"/>
    <s v="Cartledge &amp; Associates Inc."/>
    <s v="USD"/>
    <n v="3001.2515237273528"/>
    <n v="2187.02"/>
    <x v="0"/>
    <n v="589"/>
    <n v="1598.02"/>
    <m/>
    <s v="Renewal"/>
    <m/>
    <m/>
    <s v=""/>
    <n v="5.0000000000000001E-3"/>
    <s v=""/>
    <s v=""/>
    <s v=""/>
    <n v="7.9901"/>
    <s v=""/>
    <s v=""/>
    <m/>
    <n v="7.9901"/>
    <m/>
    <m/>
    <m/>
    <m/>
    <s v=""/>
    <n v="7.9901"/>
    <s v=""/>
    <s v=""/>
    <x v="1"/>
    <x v="1"/>
    <n v="23.970299999999998"/>
    <s v="Yes"/>
  </r>
  <r>
    <n v="1"/>
    <s v="SO17261"/>
    <m/>
    <x v="2"/>
    <m/>
    <m/>
    <s v="Ian Trottier"/>
    <n v="5"/>
    <n v="2025"/>
    <s v="INV13053"/>
    <n v="7"/>
    <n v="2025"/>
    <n v="2503"/>
    <s v="Moffatt Supply &amp; Specialties - Red Lake"/>
    <s v="CAD"/>
    <n v="2804.45"/>
    <n v="2039.9201569528161"/>
    <x v="0"/>
    <n v="0"/>
    <n v="2039.9201569528161"/>
    <m/>
    <s v="Renewal"/>
    <m/>
    <m/>
    <s v=""/>
    <n v="5.0000000000000001E-3"/>
    <s v=""/>
    <s v=""/>
    <s v=""/>
    <n v="10.199600784764081"/>
    <s v=""/>
    <s v=""/>
    <m/>
    <n v="10.199600784764081"/>
    <m/>
    <m/>
    <m/>
    <m/>
    <s v=""/>
    <n v="10.199600784764081"/>
    <s v=""/>
    <s v=""/>
    <x v="1"/>
    <x v="1"/>
    <n v="30.598802354292239"/>
    <s v="Yes"/>
  </r>
  <r>
    <n v="1"/>
    <s v="SO17262"/>
    <m/>
    <x v="2"/>
    <m/>
    <m/>
    <s v="Ian Trottier"/>
    <n v="5"/>
    <n v="2025"/>
    <s v="INV13085"/>
    <n v="7"/>
    <n v="2025"/>
    <n v="2503"/>
    <s v="Motion Industries Inc. (Canada) - Quesnel"/>
    <s v="CAD"/>
    <n v="2075.88"/>
    <n v="1516.9200518663336"/>
    <x v="0"/>
    <n v="0"/>
    <n v="1516.9200518663336"/>
    <m/>
    <s v="New Opportunity"/>
    <m/>
    <m/>
    <s v=""/>
    <n v="0.02"/>
    <s v=""/>
    <s v=""/>
    <s v=""/>
    <n v="30.338401037326673"/>
    <s v=""/>
    <s v=""/>
    <m/>
    <n v="30.338401037326673"/>
    <m/>
    <m/>
    <m/>
    <m/>
    <s v=""/>
    <n v="30.338401037326673"/>
    <s v=""/>
    <s v=""/>
    <x v="1"/>
    <x v="1"/>
    <n v="22.753800777995004"/>
    <s v="Yes"/>
  </r>
  <r>
    <n v="1"/>
    <s v="SO17263"/>
    <m/>
    <x v="0"/>
    <m/>
    <m/>
    <s v="Yannett Yeomans"/>
    <n v="5"/>
    <n v="2025"/>
    <s v="INV13315"/>
    <s v=""/>
    <s v=""/>
    <m/>
    <s v="Dynapro Pumps México S de RL de CV"/>
    <s v="USD"/>
    <n v="20508.311092626496"/>
    <n v="1485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3"/>
    <s v="SO17264"/>
    <m/>
    <x v="2"/>
    <m/>
    <m/>
    <s v="Ian Trottier"/>
    <n v="6"/>
    <n v="2025"/>
    <s v="INV13126"/>
    <n v="7"/>
    <n v="2025"/>
    <n v="2503"/>
    <s v="Motion Industries Inc. (Canada) - Prince George"/>
    <s v="CAD"/>
    <n v="4332.75"/>
    <n v="3170.1973672359454"/>
    <x v="0"/>
    <n v="0"/>
    <n v="3170.1973672359454"/>
    <m/>
    <s v="Renewal"/>
    <m/>
    <m/>
    <s v=""/>
    <n v="5.0000000000000001E-3"/>
    <s v=""/>
    <s v=""/>
    <s v=""/>
    <n v="15.850986836179727"/>
    <s v=""/>
    <s v=""/>
    <m/>
    <n v="15.850986836179727"/>
    <m/>
    <m/>
    <m/>
    <m/>
    <s v=""/>
    <n v="15.850986836179727"/>
    <s v=""/>
    <s v=""/>
    <x v="1"/>
    <x v="1"/>
    <n v="47.552960508539179"/>
    <s v="Yes"/>
  </r>
  <r>
    <n v="3"/>
    <s v="SO17264"/>
    <m/>
    <x v="2"/>
    <m/>
    <m/>
    <n v="0"/>
    <n v="6"/>
    <n v="2025"/>
    <s v="INV13094"/>
    <n v="7"/>
    <n v="2025"/>
    <n v="2503"/>
    <s v="Motion Industries Inc. (Canada) - Prince George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3"/>
    <s v="SO17264"/>
    <m/>
    <x v="2"/>
    <m/>
    <m/>
    <n v="0"/>
    <n v="6"/>
    <n v="2025"/>
    <s v="INV13197"/>
    <n v="8"/>
    <n v="2025"/>
    <n v="2503"/>
    <s v="Motion Industries Inc. (Canada) - Prince George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265"/>
    <m/>
    <x v="0"/>
    <m/>
    <m/>
    <s v="Amanda Qiao"/>
    <n v="6"/>
    <n v="2025"/>
    <s v="INV13043"/>
    <n v="7"/>
    <n v="2025"/>
    <m/>
    <s v="Mill-Right Mine Services Inc."/>
    <s v="USD"/>
    <n v="2677.3028925918761"/>
    <n v="1948.62"/>
    <x v="0"/>
    <n v="131.77000000000001"/>
    <n v="1816.8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7.252749999999999"/>
    <s v="Yes"/>
  </r>
  <r>
    <n v="1"/>
    <s v="SO17267"/>
    <m/>
    <x v="0"/>
    <m/>
    <m/>
    <s v="Ian Trottier"/>
    <n v="6"/>
    <n v="2025"/>
    <s v="INV13603"/>
    <n v="11"/>
    <n v="2025"/>
    <m/>
    <s v="Thunder Bay Pulp and Paper Inc"/>
    <s v="CAD"/>
    <n v="12103.08"/>
    <n v="8852.4424114400717"/>
    <x v="0"/>
    <n v="0"/>
    <n v="8852.442411440071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32.78663617160106"/>
    <s v="Yes"/>
  </r>
  <r>
    <n v="1"/>
    <s v="SO17269"/>
    <m/>
    <x v="2"/>
    <m/>
    <m/>
    <s v="Ian Trottier"/>
    <n v="6"/>
    <n v="2025"/>
    <s v="INV13260"/>
    <n v="9"/>
    <n v="2025"/>
    <n v="2503"/>
    <s v="Progressive Sealing Inc."/>
    <s v="CAD"/>
    <n v="5710.29"/>
    <n v="4172.2621692048751"/>
    <x v="0"/>
    <n v="0"/>
    <n v="4172.2621692048751"/>
    <m/>
    <s v="Renewal"/>
    <m/>
    <m/>
    <s v=""/>
    <n v="5.0000000000000001E-3"/>
    <s v=""/>
    <s v=""/>
    <s v=""/>
    <n v="20.861310846024377"/>
    <s v=""/>
    <s v=""/>
    <m/>
    <n v="20.861310846024377"/>
    <m/>
    <m/>
    <m/>
    <m/>
    <s v=""/>
    <n v="20.861310846024377"/>
    <s v=""/>
    <s v=""/>
    <x v="1"/>
    <x v="1"/>
    <n v="62.583932538073128"/>
    <s v="Yes"/>
  </r>
  <r>
    <n v="1"/>
    <s v="SO17271"/>
    <m/>
    <x v="2"/>
    <m/>
    <m/>
    <s v="Ian Trottier"/>
    <n v="6"/>
    <n v="2025"/>
    <s v="INV13060"/>
    <n v="8"/>
    <n v="2025"/>
    <n v="2503"/>
    <s v="Resolute Forest Products - Saint-Felicien"/>
    <s v="CAD"/>
    <n v="243.55"/>
    <n v="177.47553538548013"/>
    <x v="0"/>
    <n v="0"/>
    <n v="177.47553538548013"/>
    <m/>
    <s v="Renewal"/>
    <m/>
    <m/>
    <s v=""/>
    <n v="5.0000000000000001E-3"/>
    <s v=""/>
    <s v=""/>
    <s v=""/>
    <n v="0.88737767692740066"/>
    <s v=""/>
    <s v=""/>
    <m/>
    <n v="0.88737767692740066"/>
    <m/>
    <m/>
    <m/>
    <m/>
    <s v=""/>
    <n v="0.88737767692740066"/>
    <s v=""/>
    <s v=""/>
    <x v="1"/>
    <x v="1"/>
    <n v="2.662133030782202"/>
    <s v="Yes"/>
  </r>
  <r>
    <n v="1"/>
    <s v="SO17274"/>
    <m/>
    <x v="2"/>
    <m/>
    <m/>
    <s v="Ian Trottier"/>
    <n v="6"/>
    <n v="2025"/>
    <s v="INV13065"/>
    <n v="8"/>
    <n v="2025"/>
    <n v="2503"/>
    <s v="BDI Canada Inc - Saskatoon"/>
    <s v="CAD"/>
    <n v="268.29000000000002"/>
    <n v="196.23284110864822"/>
    <x v="0"/>
    <n v="0"/>
    <n v="196.23284110864822"/>
    <m/>
    <s v="Renewal"/>
    <m/>
    <m/>
    <s v=""/>
    <n v="5.0000000000000001E-3"/>
    <s v=""/>
    <s v=""/>
    <s v=""/>
    <n v="0.98116420554324113"/>
    <s v=""/>
    <s v=""/>
    <m/>
    <n v="0.98116420554324113"/>
    <m/>
    <m/>
    <m/>
    <m/>
    <s v=""/>
    <n v="0.98116420554324113"/>
    <s v=""/>
    <s v=""/>
    <x v="1"/>
    <x v="1"/>
    <n v="2.9434926166297233"/>
    <s v="Yes"/>
  </r>
  <r>
    <n v="1"/>
    <s v="SO17276"/>
    <m/>
    <x v="2"/>
    <m/>
    <m/>
    <s v="Ian Trottier"/>
    <n v="6"/>
    <n v="2025"/>
    <s v="INV13081"/>
    <n v="7"/>
    <n v="2025"/>
    <n v="2503"/>
    <s v="Les Pompes du St-Laurent Inc."/>
    <s v="CAD"/>
    <n v="314.95"/>
    <n v="230.14527349138766"/>
    <x v="0"/>
    <n v="0"/>
    <n v="230.14527349138766"/>
    <m/>
    <s v="Renewal"/>
    <m/>
    <m/>
    <s v=""/>
    <n v="5.0000000000000001E-3"/>
    <s v=""/>
    <s v=""/>
    <s v=""/>
    <n v="1.1507263674569383"/>
    <s v=""/>
    <s v=""/>
    <m/>
    <n v="1.1507263674569383"/>
    <m/>
    <m/>
    <m/>
    <m/>
    <s v=""/>
    <n v="1.1507263674569383"/>
    <s v=""/>
    <s v=""/>
    <x v="1"/>
    <x v="1"/>
    <n v="3.4521791023708146"/>
    <s v="Yes"/>
  </r>
  <r>
    <n v="1"/>
    <s v="SO17277"/>
    <m/>
    <x v="2"/>
    <m/>
    <m/>
    <s v="Ian Trottier"/>
    <n v="6"/>
    <n v="2025"/>
    <s v="INV13054"/>
    <n v="7"/>
    <n v="2025"/>
    <n v="2503"/>
    <s v="Motion Industries Inc. (U.S.) - Tucson"/>
    <s v="USD"/>
    <n v="227.91188606443416"/>
    <n v="166.08"/>
    <x v="0"/>
    <n v="0"/>
    <n v="166.08"/>
    <m/>
    <s v="Renewal"/>
    <m/>
    <m/>
    <s v=""/>
    <n v="5.0000000000000001E-3"/>
    <s v=""/>
    <s v=""/>
    <s v=""/>
    <n v="0.83040000000000003"/>
    <s v=""/>
    <s v=""/>
    <m/>
    <n v="0.83040000000000003"/>
    <m/>
    <m/>
    <m/>
    <m/>
    <s v=""/>
    <n v="0.83040000000000003"/>
    <s v=""/>
    <s v=""/>
    <x v="1"/>
    <x v="1"/>
    <n v="2.4912000000000001"/>
    <s v="Yes"/>
  </r>
  <r>
    <n v="1"/>
    <s v="SO17278"/>
    <m/>
    <x v="0"/>
    <m/>
    <m/>
    <s v="Ian Trottier"/>
    <n v="6"/>
    <n v="2025"/>
    <s v="INV13131"/>
    <s v=""/>
    <s v=""/>
    <m/>
    <s v="Resolute Forest Products - Clermont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82"/>
    <m/>
    <x v="2"/>
    <m/>
    <m/>
    <s v="Ian Trottier"/>
    <n v="6"/>
    <n v="2025"/>
    <s v="INV13087"/>
    <n v="8"/>
    <n v="2025"/>
    <n v="2503"/>
    <s v="Resolute Forest Products - Dolbeau"/>
    <s v="CAD"/>
    <n v="147.56"/>
    <n v="107.92842832007207"/>
    <x v="0"/>
    <n v="0"/>
    <n v="107.92842832007207"/>
    <m/>
    <s v="Renewal"/>
    <m/>
    <m/>
    <s v=""/>
    <n v="5.0000000000000001E-3"/>
    <s v=""/>
    <s v=""/>
    <s v=""/>
    <n v="0.53964214160036039"/>
    <s v=""/>
    <s v=""/>
    <m/>
    <n v="0.53964214160036039"/>
    <m/>
    <m/>
    <m/>
    <m/>
    <s v=""/>
    <n v="0.53964214160036039"/>
    <s v=""/>
    <s v=""/>
    <x v="1"/>
    <x v="1"/>
    <n v="1.6189264248010811"/>
    <s v="Yes"/>
  </r>
  <r>
    <n v="1"/>
    <s v="SO17283"/>
    <m/>
    <x v="2"/>
    <m/>
    <m/>
    <s v="Ian Trottier"/>
    <n v="6"/>
    <n v="2025"/>
    <s v="INV13076"/>
    <n v="8"/>
    <n v="2025"/>
    <n v="2503"/>
    <s v="Resolute Forest Products - Saint-Felicien"/>
    <s v="CAD"/>
    <n v="236.55"/>
    <n v="173.0794962136433"/>
    <x v="0"/>
    <n v="0"/>
    <n v="173.0794962136433"/>
    <m/>
    <s v="Renewal"/>
    <m/>
    <m/>
    <s v=""/>
    <n v="5.0000000000000001E-3"/>
    <s v=""/>
    <s v=""/>
    <s v=""/>
    <n v="0.86539748106821646"/>
    <s v=""/>
    <s v=""/>
    <m/>
    <n v="0.86539748106821646"/>
    <m/>
    <m/>
    <m/>
    <m/>
    <s v=""/>
    <n v="0.86539748106821646"/>
    <s v=""/>
    <s v=""/>
    <x v="1"/>
    <x v="1"/>
    <n v="2.5961924432046493"/>
    <s v="Yes"/>
  </r>
  <r>
    <n v="1"/>
    <s v="SO17284"/>
    <m/>
    <x v="0"/>
    <m/>
    <m/>
    <s v="Ian Trottier"/>
    <n v="6"/>
    <n v="2025"/>
    <s v="INV13132"/>
    <s v=""/>
    <s v=""/>
    <m/>
    <s v="Resolute Forest Products - Clermont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85"/>
    <m/>
    <x v="0"/>
    <m/>
    <m/>
    <s v="Ian Trottier"/>
    <n v="6"/>
    <n v="2025"/>
    <s v="INV13544"/>
    <n v="11"/>
    <n v="2025"/>
    <m/>
    <s v="DRN Industriel"/>
    <s v="CAD"/>
    <n v="273.10000000000002"/>
    <n v="194.64506277227406"/>
    <x v="0"/>
    <n v="0"/>
    <n v="194.6450627722740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9196759415841109"/>
    <s v="Yes"/>
  </r>
  <r>
    <n v="1"/>
    <s v="SO17286"/>
    <m/>
    <x v="2"/>
    <m/>
    <m/>
    <s v="Ian Trottier"/>
    <n v="6"/>
    <n v="2025"/>
    <s v="INV13078"/>
    <n v="7"/>
    <n v="2025"/>
    <n v="2503"/>
    <s v="Wajax Limited - Pointe-aux-Trembles"/>
    <s v="CAD"/>
    <n v="846.78"/>
    <n v="619.13327081249929"/>
    <x v="0"/>
    <n v="0"/>
    <n v="619.13327081249929"/>
    <m/>
    <s v="Renewal"/>
    <m/>
    <m/>
    <s v=""/>
    <n v="5.0000000000000001E-3"/>
    <s v=""/>
    <s v=""/>
    <s v=""/>
    <n v="3.0956663540624967"/>
    <s v=""/>
    <s v=""/>
    <m/>
    <n v="3.0956663540624967"/>
    <m/>
    <m/>
    <m/>
    <m/>
    <s v=""/>
    <n v="3.0956663540624967"/>
    <s v=""/>
    <s v=""/>
    <x v="1"/>
    <x v="1"/>
    <n v="9.2869990621874887"/>
    <s v="Yes"/>
  </r>
  <r>
    <n v="1"/>
    <s v="SO17289"/>
    <m/>
    <x v="0"/>
    <m/>
    <m/>
    <s v="Yannett Yeomans"/>
    <n v="6"/>
    <n v="2025"/>
    <s v="INV13316"/>
    <s v=""/>
    <s v=""/>
    <m/>
    <s v="Dynapro Pumps México S de RL de CV"/>
    <s v="USD"/>
    <n v="3459.0219260199337"/>
    <n v="253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291"/>
    <m/>
    <x v="2"/>
    <m/>
    <m/>
    <s v="Ian Trottier"/>
    <n v="6"/>
    <n v="2025"/>
    <s v="INV13138"/>
    <n v="8"/>
    <n v="2025"/>
    <n v="2503"/>
    <s v="EcoVac Solutions Ltd."/>
    <s v="CAD"/>
    <n v="7778.63"/>
    <n v="5691.4874725526615"/>
    <x v="0"/>
    <n v="0"/>
    <n v="5691.4874725526615"/>
    <m/>
    <s v="Renewal"/>
    <m/>
    <m/>
    <s v=""/>
    <n v="5.0000000000000001E-3"/>
    <s v=""/>
    <s v=""/>
    <s v=""/>
    <n v="28.457437362763308"/>
    <s v=""/>
    <s v=""/>
    <m/>
    <n v="28.457437362763308"/>
    <m/>
    <m/>
    <m/>
    <m/>
    <s v=""/>
    <n v="28.457437362763308"/>
    <s v=""/>
    <s v=""/>
    <x v="1"/>
    <x v="1"/>
    <n v="85.372312088289917"/>
    <s v="Yes"/>
  </r>
  <r>
    <n v="2"/>
    <s v="SO17291"/>
    <m/>
    <x v="2"/>
    <m/>
    <m/>
    <n v="0"/>
    <n v="6"/>
    <n v="2025"/>
    <s v="INV13311"/>
    <n v="9"/>
    <n v="2025"/>
    <n v="2503"/>
    <s v="EcoVac Solution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2"/>
    <s v="SO17293"/>
    <m/>
    <x v="0"/>
    <m/>
    <m/>
    <s v="Ian Trottier"/>
    <n v="6"/>
    <n v="2025"/>
    <s v="INV13147"/>
    <n v="7"/>
    <n v="2025"/>
    <m/>
    <s v="Jindal Drilling &amp; Industries Limited"/>
    <s v="USD"/>
    <n v="13638.311886808056"/>
    <n v="9934.0499999999993"/>
    <x v="0"/>
    <n v="0"/>
    <n v="9934.049999999999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9.01074999999997"/>
    <s v="Yes"/>
  </r>
  <r>
    <n v="2"/>
    <s v="SO17293"/>
    <m/>
    <x v="0"/>
    <m/>
    <m/>
    <n v="0"/>
    <n v="6"/>
    <n v="2025"/>
    <s v="INV13289"/>
    <n v="8"/>
    <n v="2025"/>
    <m/>
    <s v="Jindal Drilling &amp; Industries Limited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294"/>
    <m/>
    <x v="0"/>
    <m/>
    <m/>
    <s v="Ian Trottier"/>
    <n v="6"/>
    <n v="2025"/>
    <s v="INV13082"/>
    <n v="8"/>
    <n v="2025"/>
    <m/>
    <s v="Resolute Forest Products - Saint-Felicien"/>
    <s v="CAD"/>
    <n v="4648.8900000000003"/>
    <n v="3397.110844519375"/>
    <x v="0"/>
    <n v="0"/>
    <n v="3397.11084451937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50.956662667790624"/>
    <s v="Yes"/>
  </r>
  <r>
    <n v="2"/>
    <s v="SO17294"/>
    <m/>
    <x v="0"/>
    <m/>
    <m/>
    <n v="0"/>
    <n v="6"/>
    <n v="2025"/>
    <s v="INV13257"/>
    <n v="10"/>
    <n v="2025"/>
    <m/>
    <s v="Resolute Forest Products - Saint-Felicien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97"/>
    <m/>
    <x v="2"/>
    <m/>
    <m/>
    <s v="Ian Trottier"/>
    <n v="6"/>
    <n v="2025"/>
    <s v="INV13097"/>
    <n v="7"/>
    <n v="2025"/>
    <n v="2503"/>
    <s v="Wajax Limited - Lachine"/>
    <s v="CAD"/>
    <n v="3048.78"/>
    <n v="2245.7192139086615"/>
    <x v="0"/>
    <n v="0"/>
    <n v="2245.7192139086615"/>
    <m/>
    <s v="Renewal"/>
    <m/>
    <m/>
    <s v=""/>
    <n v="5.0000000000000001E-3"/>
    <s v=""/>
    <s v=""/>
    <s v=""/>
    <n v="11.228596069543308"/>
    <s v=""/>
    <s v=""/>
    <m/>
    <n v="11.228596069543308"/>
    <m/>
    <m/>
    <m/>
    <m/>
    <s v=""/>
    <n v="11.228596069543308"/>
    <s v=""/>
    <s v=""/>
    <x v="1"/>
    <x v="1"/>
    <n v="33.685788208629923"/>
    <s v="Yes"/>
  </r>
  <r>
    <n v="1"/>
    <s v="SO17298"/>
    <m/>
    <x v="0"/>
    <m/>
    <m/>
    <s v="Ian Trottier"/>
    <n v="6"/>
    <n v="2025"/>
    <s v="INV13622"/>
    <s v=""/>
    <s v=""/>
    <m/>
    <s v="Cameco Corporation - Blind River Refinery"/>
    <s v="CAD"/>
    <n v="6327.03"/>
    <n v="4594.2603850869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299"/>
    <m/>
    <x v="2"/>
    <m/>
    <m/>
    <s v="Ian Trottier"/>
    <n v="6"/>
    <n v="2025"/>
    <s v="INV13080"/>
    <n v="8"/>
    <n v="2025"/>
    <n v="2503"/>
    <s v="Resolute Forest Products - Fibrek, Resolute Forest Products - Fibrek"/>
    <s v="CAD"/>
    <n v="1339.85"/>
    <n v="979.07650321459164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300"/>
    <m/>
    <x v="0"/>
    <m/>
    <m/>
    <s v="Wilka Nuñez"/>
    <n v="6"/>
    <n v="2025"/>
    <s v="INV13072"/>
    <n v="7"/>
    <n v="2025"/>
    <m/>
    <s v="Barrick Gold - Pueblo Viejo Dominicana Corporation"/>
    <s v="USD"/>
    <n v="15638.95534546069"/>
    <n v="11442.75"/>
    <x v="0"/>
    <n v="0"/>
    <n v="11442.75"/>
    <m/>
    <m/>
    <m/>
    <m/>
    <s v=""/>
    <s v=""/>
    <s v=""/>
    <s v=""/>
    <s v=""/>
    <s v=""/>
    <s v=""/>
    <s v=""/>
    <m/>
    <m/>
    <m/>
    <m/>
    <m/>
    <m/>
    <s v=""/>
    <s v=""/>
    <s v=""/>
    <s v=""/>
    <x v="1"/>
    <x v="3"/>
    <n v="171.64124999999999"/>
    <s v="Yes"/>
  </r>
  <r>
    <n v="2"/>
    <s v="SO17304"/>
    <m/>
    <x v="0"/>
    <m/>
    <m/>
    <s v="Ian Trottier"/>
    <n v="6"/>
    <n v="2025"/>
    <s v="INV13330"/>
    <n v="10"/>
    <n v="2025"/>
    <m/>
    <s v="Sling-Choker Manufacturing - Timmins"/>
    <s v="CAD"/>
    <n v="8487.59"/>
    <n v="6205.8024020589301"/>
    <x v="0"/>
    <n v="0"/>
    <n v="6205.802402058930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93.087036030883951"/>
    <s v="Yes"/>
  </r>
  <r>
    <n v="2"/>
    <s v="SO17304"/>
    <m/>
    <x v="0"/>
    <m/>
    <m/>
    <n v="0"/>
    <n v="6"/>
    <n v="2025"/>
    <s v="INV13164"/>
    <n v="8"/>
    <n v="2025"/>
    <m/>
    <s v="Sling-Choker Manufacturing - Timmin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11"/>
    <m/>
    <x v="0"/>
    <m/>
    <m/>
    <s v="Ian Trottier"/>
    <n v="6"/>
    <n v="2025"/>
    <s v="INV13585"/>
    <s v=""/>
    <s v=""/>
    <m/>
    <s v="Thunder Bay Pulp and Paper Inc"/>
    <s v="CAD"/>
    <n v="43730.44"/>
    <n v="32255.14384482706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12"/>
    <m/>
    <x v="0"/>
    <m/>
    <m/>
    <s v="Ian Trottier"/>
    <n v="6"/>
    <n v="2025"/>
    <s v="INV13490"/>
    <n v="10"/>
    <n v="2025"/>
    <m/>
    <s v="QI Supply Limited"/>
    <s v="CAD"/>
    <n v="9932.14"/>
    <n v="7269.0018418519558"/>
    <x v="0"/>
    <n v="0"/>
    <n v="7269.001841851955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9.03502762777933"/>
    <s v="Yes"/>
  </r>
  <r>
    <n v="1"/>
    <s v="SO17313"/>
    <m/>
    <x v="0"/>
    <m/>
    <m/>
    <s v="Yannett Yeomans"/>
    <n v="6"/>
    <n v="2025"/>
    <s v="INV13346"/>
    <s v=""/>
    <s v=""/>
    <m/>
    <s v="Dynapro Pumps México S de RL de CV"/>
    <s v="USD"/>
    <n v="3670.8508662060403"/>
    <n v="26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315"/>
    <m/>
    <x v="0"/>
    <m/>
    <m/>
    <s v="Amanda Qiao"/>
    <n v="6"/>
    <n v="2025"/>
    <s v="INV13535"/>
    <s v=""/>
    <s v=""/>
    <m/>
    <s v="Mill-Right Mine Services Inc."/>
    <s v="USD"/>
    <n v="9028.6394719735035"/>
    <n v="6597"/>
    <x v="1"/>
    <n v="667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16"/>
    <m/>
    <x v="2"/>
    <m/>
    <m/>
    <s v="Ian Trottier"/>
    <n v="6"/>
    <n v="2025"/>
    <s v="INV13092"/>
    <n v="7"/>
    <n v="2025"/>
    <n v="2503"/>
    <s v="Wajax Limited - Noranda"/>
    <s v="CAD"/>
    <n v="1422.5"/>
    <n v="1044.5391721548419"/>
    <x v="0"/>
    <n v="0"/>
    <n v="1044.5391721548419"/>
    <m/>
    <s v="Renewal"/>
    <m/>
    <m/>
    <s v=""/>
    <n v="5.0000000000000001E-3"/>
    <s v=""/>
    <s v=""/>
    <s v=""/>
    <n v="5.22269586077421"/>
    <s v=""/>
    <s v=""/>
    <m/>
    <n v="5.22269586077421"/>
    <m/>
    <m/>
    <m/>
    <m/>
    <s v=""/>
    <n v="5.22269586077421"/>
    <s v=""/>
    <s v=""/>
    <x v="1"/>
    <x v="1"/>
    <n v="15.668087582322629"/>
    <s v="Yes"/>
  </r>
  <r>
    <n v="1"/>
    <s v="SO17317"/>
    <m/>
    <x v="2"/>
    <m/>
    <m/>
    <s v="Ian Trottier"/>
    <n v="6"/>
    <n v="2025"/>
    <s v="INV13083"/>
    <n v="8"/>
    <n v="2025"/>
    <n v="2503"/>
    <s v="Resolute Forest Products - Kenogami"/>
    <s v="CAD"/>
    <n v="1879.56"/>
    <n v="1373.461978864812"/>
    <x v="0"/>
    <n v="0"/>
    <n v="1373.461978864812"/>
    <m/>
    <s v="Renewal"/>
    <m/>
    <m/>
    <s v=""/>
    <n v="5.0000000000000001E-3"/>
    <s v=""/>
    <s v=""/>
    <s v=""/>
    <n v="6.8673098943240598"/>
    <s v=""/>
    <s v=""/>
    <m/>
    <n v="6.8673098943240598"/>
    <m/>
    <m/>
    <m/>
    <m/>
    <s v=""/>
    <n v="6.8673098943240598"/>
    <s v=""/>
    <s v=""/>
    <x v="1"/>
    <x v="1"/>
    <n v="20.60192968297218"/>
    <s v="Yes"/>
  </r>
  <r>
    <n v="1"/>
    <s v="SO17318"/>
    <m/>
    <x v="1"/>
    <m/>
    <m/>
    <s v="Marlen Martinez"/>
    <n v="6"/>
    <n v="2025"/>
    <s v="INV13093"/>
    <n v="7"/>
    <n v="2025"/>
    <n v="2504"/>
    <s v="Wajax Limited - Pointe-aux-Trembles, Wajax Limited"/>
    <s v="CAD"/>
    <n v="457.66"/>
    <n v="336.05890863155349"/>
    <x v="0"/>
    <n v="0"/>
    <n v="336.05890863155349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5.0408836294733019"/>
    <s v="Yes"/>
  </r>
  <r>
    <n v="1"/>
    <s v="SO17319"/>
    <m/>
    <x v="0"/>
    <m/>
    <m/>
    <s v="Ian Trottier"/>
    <n v="6"/>
    <n v="2025"/>
    <s v="INV13102"/>
    <n v="8"/>
    <n v="2025"/>
    <m/>
    <s v="Hyperflo"/>
    <s v="CAD"/>
    <n v="454.78"/>
    <n v="332.3240751814995"/>
    <x v="0"/>
    <n v="0"/>
    <n v="332.324075181499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9848611277224926"/>
    <s v="Yes"/>
  </r>
  <r>
    <n v="1"/>
    <s v="SO17320"/>
    <m/>
    <x v="2"/>
    <m/>
    <m/>
    <s v="Ian Trottier"/>
    <n v="6"/>
    <n v="2025"/>
    <s v="INV13218"/>
    <n v="8"/>
    <n v="2025"/>
    <n v="2503"/>
    <s v="Hyperflo"/>
    <s v="CAD"/>
    <n v="4996.2700000000004"/>
    <n v="3656.6032931865307"/>
    <x v="0"/>
    <n v="0"/>
    <n v="3656.6032931865307"/>
    <m/>
    <s v="Renewal"/>
    <m/>
    <m/>
    <s v=""/>
    <n v="5.0000000000000001E-3"/>
    <s v=""/>
    <s v=""/>
    <s v=""/>
    <n v="18.283016465932654"/>
    <s v=""/>
    <s v=""/>
    <m/>
    <n v="18.283016465932654"/>
    <m/>
    <m/>
    <m/>
    <m/>
    <s v=""/>
    <n v="18.283016465932654"/>
    <s v=""/>
    <s v=""/>
    <x v="1"/>
    <x v="1"/>
    <n v="54.849049397797955"/>
    <s v="Yes"/>
  </r>
  <r>
    <n v="3"/>
    <s v="SO17321"/>
    <m/>
    <x v="2"/>
    <m/>
    <m/>
    <s v="Ian Trottier"/>
    <n v="6"/>
    <n v="2025"/>
    <s v="INV13284"/>
    <n v="8"/>
    <n v="2025"/>
    <n v="2503"/>
    <s v="Alpha Industrial &amp; Mining Supplies Limited"/>
    <s v="CAD"/>
    <n v="6945.69"/>
    <n v="5100.207580066196"/>
    <x v="0"/>
    <n v="0"/>
    <n v="5100.207580066196"/>
    <m/>
    <s v="New Opportunity"/>
    <m/>
    <m/>
    <s v=""/>
    <n v="0.02"/>
    <s v=""/>
    <s v=""/>
    <s v=""/>
    <n v="102.00415160132393"/>
    <s v=""/>
    <s v=""/>
    <m/>
    <n v="102.00415160132393"/>
    <m/>
    <m/>
    <m/>
    <m/>
    <s v=""/>
    <n v="102.00415160132393"/>
    <s v=""/>
    <s v=""/>
    <x v="1"/>
    <x v="1"/>
    <n v="76.503113700992941"/>
    <s v="Yes"/>
  </r>
  <r>
    <n v="3"/>
    <s v="SO17321"/>
    <m/>
    <x v="2"/>
    <m/>
    <m/>
    <n v="0"/>
    <n v="6"/>
    <n v="2025"/>
    <s v="INV13142"/>
    <n v="7"/>
    <n v="2025"/>
    <n v="2503"/>
    <s v="Alpha Industrial &amp; Mining Supplies Limited"/>
    <s v="CAD"/>
    <n v="0"/>
    <n v="0"/>
    <x v="1"/>
    <n v="0"/>
    <n v="0"/>
    <m/>
    <s v="New Opportunity"/>
    <m/>
    <m/>
    <s v=""/>
    <n v="0.02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3"/>
    <s v="SO17321"/>
    <m/>
    <x v="2"/>
    <m/>
    <m/>
    <n v="0"/>
    <n v="6"/>
    <n v="2025"/>
    <s v="INV13170"/>
    <n v="7"/>
    <n v="2025"/>
    <n v="2503"/>
    <s v="Alpha Industrial &amp; Mining Supplies Limited"/>
    <s v="CAD"/>
    <n v="0"/>
    <n v="0"/>
    <x v="1"/>
    <n v="0"/>
    <n v="0"/>
    <m/>
    <s v="New Opportunity"/>
    <m/>
    <m/>
    <s v=""/>
    <n v="0.02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322"/>
    <m/>
    <x v="5"/>
    <m/>
    <m/>
    <s v="Wilka Nuñez"/>
    <n v="6"/>
    <n v="2025"/>
    <s v="INV13120"/>
    <n v="8"/>
    <n v="2025"/>
    <n v="2503"/>
    <s v="Barrick Gold - Pueblo Viejo Dominicana Corporation"/>
    <s v="USD"/>
    <n v="25507.710590544375"/>
    <n v="18639.400000000001"/>
    <x v="0"/>
    <n v="0"/>
    <n v="18639.400000000001"/>
    <m/>
    <s v="New Opportunity"/>
    <m/>
    <m/>
    <s v=""/>
    <n v="0.02"/>
    <s v=""/>
    <s v=""/>
    <s v=""/>
    <n v="372.78800000000001"/>
    <s v=""/>
    <s v=""/>
    <m/>
    <m/>
    <m/>
    <n v="2503"/>
    <m/>
    <m/>
    <s v=""/>
    <n v="0"/>
    <s v=""/>
    <s v=""/>
    <x v="1"/>
    <x v="6"/>
    <n v="279.59100000000001"/>
    <s v="Yes"/>
  </r>
  <r>
    <n v="1"/>
    <s v="SO17325"/>
    <m/>
    <x v="0"/>
    <m/>
    <m/>
    <s v="Ian Trottier"/>
    <n v="6"/>
    <n v="2025"/>
    <s v="INV13139"/>
    <n v="7"/>
    <n v="2025"/>
    <m/>
    <s v="Middle Georgia Fluid Sealing LLC"/>
    <s v="USD"/>
    <n v="17703.053358786648"/>
    <n v="12999.32"/>
    <x v="0"/>
    <n v="628"/>
    <n v="12371.3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5.56979999999999"/>
    <s v="Yes"/>
  </r>
  <r>
    <n v="1"/>
    <s v="SO17329"/>
    <m/>
    <x v="4"/>
    <m/>
    <m/>
    <s v="Ian Trottier"/>
    <n v="6"/>
    <n v="2025"/>
    <s v="INV13096"/>
    <n v="7"/>
    <n v="2025"/>
    <n v="2503"/>
    <s v="Motion Industries Inc. (Canada) - Prince George"/>
    <s v="CAD"/>
    <n v="572.4"/>
    <n v="421.62756185796195"/>
    <x v="0"/>
    <n v="0"/>
    <n v="421.62756185796195"/>
    <m/>
    <s v="Renewal"/>
    <m/>
    <m/>
    <s v=""/>
    <n v="5.0000000000000001E-3"/>
    <s v=""/>
    <s v=""/>
    <s v=""/>
    <n v="2.10813780928981"/>
    <s v=""/>
    <s v=""/>
    <m/>
    <m/>
    <m/>
    <n v="2503"/>
    <m/>
    <m/>
    <s v=""/>
    <n v="0"/>
    <s v=""/>
    <s v=""/>
    <x v="1"/>
    <x v="5"/>
    <n v="6.3244134278694286"/>
    <s v="Yes"/>
  </r>
  <r>
    <n v="2"/>
    <s v="SO17332"/>
    <m/>
    <x v="0"/>
    <m/>
    <m/>
    <s v="Ian Trottier"/>
    <n v="6"/>
    <n v="2025"/>
    <s v="INV13130"/>
    <n v="8"/>
    <n v="2025"/>
    <m/>
    <s v="MAB Equipment Company Inc."/>
    <s v="USD"/>
    <n v="3642.0081710789732"/>
    <n v="2674.32"/>
    <x v="0"/>
    <n v="143"/>
    <n v="2531.320000000000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7.969799999999999"/>
    <s v="Yes"/>
  </r>
  <r>
    <n v="2"/>
    <s v="SO17332"/>
    <m/>
    <x v="0"/>
    <m/>
    <m/>
    <n v="0"/>
    <n v="6"/>
    <n v="2025"/>
    <s v="INV13414"/>
    <n v="11"/>
    <n v="2025"/>
    <m/>
    <s v="MAB Equipment Company Inc."/>
    <s v="USD"/>
    <n v="0"/>
    <n v="0"/>
    <x v="1"/>
    <n v="64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33"/>
    <m/>
    <x v="1"/>
    <m/>
    <m/>
    <s v="Marlen Martinez"/>
    <n v="6"/>
    <n v="2025"/>
    <s v="INV13157"/>
    <n v="8"/>
    <n v="2025"/>
    <n v="2504"/>
    <s v="Wajax Limited - Pointe-aux-Trembles, Wajax Limited"/>
    <s v="CAD"/>
    <n v="683.13"/>
    <n v="501.62112103630022"/>
    <x v="0"/>
    <n v="0"/>
    <n v="501.6211210363002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7.5243168155445028"/>
    <s v="Yes"/>
  </r>
  <r>
    <n v="1"/>
    <s v="SO17334"/>
    <m/>
    <x v="0"/>
    <m/>
    <m/>
    <s v="Amanda Qiao"/>
    <n v="6"/>
    <n v="2025"/>
    <s v="INV13223"/>
    <s v=""/>
    <s v=""/>
    <m/>
    <s v="Zijin Mining - Rosebel Goldmines N.V."/>
    <s v="USD"/>
    <n v="14951.741528068627"/>
    <n v="10918.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37"/>
    <m/>
    <x v="0"/>
    <m/>
    <m/>
    <s v="Taylor Cook"/>
    <n v="6"/>
    <n v="2025"/>
    <s v="INV13235"/>
    <n v="10"/>
    <n v="2025"/>
    <m/>
    <s v="Canadian Industrial Pumps Ltd, Canadian Industrial Pumps Ltd"/>
    <s v="CAD"/>
    <n v="2720.49"/>
    <n v="1997.43387246153"/>
    <x v="0"/>
    <n v="0"/>
    <n v="1997.4338724615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9.961508086922947"/>
    <s v="Yes"/>
  </r>
  <r>
    <n v="1"/>
    <s v="SO17338"/>
    <m/>
    <x v="2"/>
    <m/>
    <m/>
    <s v="Ian Trottier"/>
    <n v="6"/>
    <n v="2025"/>
    <s v="INV13101"/>
    <n v="7"/>
    <n v="2025"/>
    <n v="2503"/>
    <s v="Grant Aggregate"/>
    <s v="CAD"/>
    <n v="235.74"/>
    <n v="173.87951298865349"/>
    <x v="0"/>
    <n v="0"/>
    <n v="173.87951298865349"/>
    <m/>
    <s v="Renewal"/>
    <m/>
    <m/>
    <s v=""/>
    <n v="5.0000000000000001E-3"/>
    <s v=""/>
    <s v=""/>
    <s v=""/>
    <n v="0.86939756494326748"/>
    <s v=""/>
    <s v=""/>
    <m/>
    <n v="0.86939756494326748"/>
    <m/>
    <m/>
    <m/>
    <m/>
    <s v=""/>
    <n v="0.86939756494326748"/>
    <s v=""/>
    <s v=""/>
    <x v="1"/>
    <x v="1"/>
    <n v="2.6081926948298024"/>
    <s v="Yes"/>
  </r>
  <r>
    <n v="1"/>
    <s v="SO17345"/>
    <m/>
    <x v="0"/>
    <m/>
    <m/>
    <s v="Ian Trottier"/>
    <n v="6"/>
    <n v="2025"/>
    <s v="INV13258"/>
    <n v="10"/>
    <n v="2025"/>
    <m/>
    <s v="Resolute Forest Products - Saint-Felicien"/>
    <s v="CAD"/>
    <n v="1589.1"/>
    <n v="1170.5247354096562"/>
    <x v="0"/>
    <n v="0"/>
    <n v="1170.524735409656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7.557871031144842"/>
    <s v="Yes"/>
  </r>
  <r>
    <n v="1"/>
    <s v="SO17346"/>
    <m/>
    <x v="2"/>
    <m/>
    <m/>
    <s v="Ian Trottier"/>
    <n v="6"/>
    <n v="2025"/>
    <s v="INV13113"/>
    <n v="7"/>
    <n v="2025"/>
    <n v="2503"/>
    <s v="Sling-Choker Manufacturing - Timmins"/>
    <s v="CAD"/>
    <n v="3944.87"/>
    <n v="2905.7755414860567"/>
    <x v="0"/>
    <n v="0"/>
    <n v="2905.7755414860567"/>
    <m/>
    <s v="Renewal"/>
    <m/>
    <m/>
    <s v=""/>
    <n v="5.0000000000000001E-3"/>
    <s v=""/>
    <s v=""/>
    <s v=""/>
    <n v="14.528877707430283"/>
    <s v=""/>
    <s v=""/>
    <m/>
    <n v="14.528877707430283"/>
    <m/>
    <m/>
    <m/>
    <m/>
    <s v=""/>
    <n v="14.528877707430283"/>
    <s v=""/>
    <s v=""/>
    <x v="1"/>
    <x v="1"/>
    <n v="43.586633122290849"/>
    <s v="Yes"/>
  </r>
  <r>
    <n v="1"/>
    <s v="SO17349"/>
    <m/>
    <x v="0"/>
    <m/>
    <m/>
    <s v="Taylor Cook"/>
    <n v="6"/>
    <n v="2025"/>
    <s v="INV13107"/>
    <n v="7"/>
    <n v="2025"/>
    <m/>
    <s v="Tantalum Mining Corporation of Canada"/>
    <s v="CAD"/>
    <n v="955.55"/>
    <n v="704.80431253206018"/>
    <x v="0"/>
    <n v="0"/>
    <n v="704.8043125320601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572064687980902"/>
    <s v="Yes"/>
  </r>
  <r>
    <n v="1"/>
    <s v="SO17353"/>
    <m/>
    <x v="4"/>
    <m/>
    <m/>
    <s v="Ian Trottier"/>
    <n v="6"/>
    <n v="2025"/>
    <s v="INV13103"/>
    <n v="7"/>
    <n v="2025"/>
    <n v="2503"/>
    <s v="Wajax Limited - Noranda"/>
    <s v="CAD"/>
    <n v="2627.35"/>
    <n v="1937.9076035069945"/>
    <x v="0"/>
    <n v="0"/>
    <n v="1937.9076035069945"/>
    <m/>
    <s v="Renewal"/>
    <m/>
    <m/>
    <s v=""/>
    <n v="5.0000000000000001E-3"/>
    <s v=""/>
    <s v=""/>
    <s v=""/>
    <n v="9.6895380175349732"/>
    <s v=""/>
    <s v=""/>
    <m/>
    <m/>
    <m/>
    <n v="2503"/>
    <m/>
    <m/>
    <s v=""/>
    <n v="0"/>
    <s v=""/>
    <s v=""/>
    <x v="1"/>
    <x v="5"/>
    <n v="29.068614052604918"/>
    <s v="Yes"/>
  </r>
  <r>
    <n v="1"/>
    <s v="SO17355"/>
    <m/>
    <x v="4"/>
    <m/>
    <m/>
    <s v="Ian Trottier"/>
    <n v="6"/>
    <n v="2025"/>
    <s v="INV13104"/>
    <n v="7"/>
    <n v="2025"/>
    <n v="2503"/>
    <s v="Motion Industries Inc. (U.S.) - Huntington, Motion Industries, Inc."/>
    <s v="USD"/>
    <n v="466.65950534610732"/>
    <n v="343.4"/>
    <x v="0"/>
    <n v="0"/>
    <n v="343.4"/>
    <m/>
    <s v="Renewal"/>
    <m/>
    <m/>
    <s v=""/>
    <n v="5.0000000000000001E-3"/>
    <s v=""/>
    <s v=""/>
    <s v=""/>
    <n v="1.7169999999999999"/>
    <s v=""/>
    <s v=""/>
    <m/>
    <m/>
    <m/>
    <n v="2503"/>
    <m/>
    <m/>
    <s v=""/>
    <n v="0"/>
    <s v=""/>
    <s v=""/>
    <x v="1"/>
    <x v="5"/>
    <n v="5.1509999999999998"/>
    <s v="Yes"/>
  </r>
  <r>
    <n v="1"/>
    <s v="SO17356"/>
    <m/>
    <x v="2"/>
    <m/>
    <m/>
    <s v="Ian Trottier"/>
    <n v="6"/>
    <n v="2025"/>
    <s v="INV13287"/>
    <n v="9"/>
    <n v="2025"/>
    <n v="2503"/>
    <s v="John Brooks Company Limited"/>
    <s v="CAD"/>
    <n v="10764.82"/>
    <n v="7940.0257020892386"/>
    <x v="0"/>
    <n v="0"/>
    <n v="7940.0257020892386"/>
    <m/>
    <s v="New Opportunity"/>
    <m/>
    <m/>
    <s v=""/>
    <n v="0.02"/>
    <s v=""/>
    <s v=""/>
    <s v=""/>
    <n v="158.80051404178477"/>
    <s v=""/>
    <s v=""/>
    <m/>
    <n v="158.80051404178477"/>
    <m/>
    <m/>
    <m/>
    <m/>
    <s v=""/>
    <n v="158.80051404178477"/>
    <s v=""/>
    <s v=""/>
    <x v="1"/>
    <x v="1"/>
    <n v="119.10038553133857"/>
    <s v="Yes"/>
  </r>
  <r>
    <n v="1"/>
    <s v="SO17357"/>
    <m/>
    <x v="4"/>
    <m/>
    <m/>
    <s v="Alexis Gil Lamadrid"/>
    <n v="6"/>
    <n v="2025"/>
    <s v="INV13106"/>
    <n v="7"/>
    <n v="2025"/>
    <n v="2503"/>
    <s v="Fabrene Inc."/>
    <s v="CAD"/>
    <n v="283.8"/>
    <n v="208.8394619278549"/>
    <x v="0"/>
    <n v="0"/>
    <n v="208.8394619278549"/>
    <m/>
    <s v="Renewal"/>
    <m/>
    <m/>
    <s v=""/>
    <n v="5.0000000000000001E-3"/>
    <s v=""/>
    <s v=""/>
    <s v=""/>
    <n v="1.0441973096392745"/>
    <s v=""/>
    <s v=""/>
    <m/>
    <m/>
    <m/>
    <n v="2503"/>
    <m/>
    <m/>
    <s v=""/>
    <n v="0"/>
    <s v=""/>
    <s v=""/>
    <x v="1"/>
    <x v="5"/>
    <n v="3.1325919289178232"/>
    <s v="Yes"/>
  </r>
  <r>
    <n v="1"/>
    <s v="SO17358"/>
    <m/>
    <x v="0"/>
    <m/>
    <m/>
    <s v="Amanda Qiao"/>
    <n v="6"/>
    <n v="2025"/>
    <s v="INV13380"/>
    <n v="11"/>
    <n v="2025"/>
    <m/>
    <s v="Zijin Mining - Rosebel Goldmines N.V."/>
    <s v="USD"/>
    <n v="7496.7878283992541"/>
    <n v="5422.32"/>
    <x v="0"/>
    <n v="890"/>
    <n v="4532.3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7.984799999999993"/>
    <s v="Yes"/>
  </r>
  <r>
    <n v="1"/>
    <s v="SO17360"/>
    <m/>
    <x v="5"/>
    <m/>
    <m/>
    <s v="Wilka Nuñez"/>
    <n v="6"/>
    <n v="2025"/>
    <s v="INV13228"/>
    <n v="8"/>
    <n v="2025"/>
    <n v="2503"/>
    <s v="Alpha Industrial &amp; Mining Supplies Limited"/>
    <s v="CAD"/>
    <n v="5181.7"/>
    <n v="3772.2432918371774"/>
    <x v="0"/>
    <n v="0"/>
    <n v="3772.2432918371774"/>
    <m/>
    <s v="Renewal"/>
    <m/>
    <m/>
    <s v=""/>
    <n v="5.0000000000000001E-3"/>
    <s v=""/>
    <s v=""/>
    <s v=""/>
    <n v="18.861216459185886"/>
    <s v=""/>
    <s v=""/>
    <m/>
    <m/>
    <m/>
    <n v="2503"/>
    <m/>
    <m/>
    <s v=""/>
    <n v="0"/>
    <s v=""/>
    <s v=""/>
    <x v="1"/>
    <x v="5"/>
    <n v="56.583649377557656"/>
    <s v="Yes"/>
  </r>
  <r>
    <n v="2"/>
    <s v="SO17366"/>
    <m/>
    <x v="0"/>
    <m/>
    <m/>
    <s v="Amanda Qiao"/>
    <n v="6"/>
    <n v="2025"/>
    <s v="INV13145"/>
    <n v="10"/>
    <n v="2025"/>
    <m/>
    <s v="Mill-Right Mine Services Inc."/>
    <s v="USD"/>
    <n v="2778.8255372946637"/>
    <n v="2044.85"/>
    <x v="1"/>
    <n v="22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366"/>
    <m/>
    <x v="0"/>
    <m/>
    <m/>
    <n v="0"/>
    <n v="6"/>
    <n v="2025"/>
    <s v="INV13145"/>
    <n v="10"/>
    <n v="2025"/>
    <m/>
    <s v="Mill-Right Mine Services Inc."/>
    <s v="USD"/>
    <n v="0"/>
    <n v="0"/>
    <x v="1"/>
    <n v="22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367"/>
    <m/>
    <x v="2"/>
    <m/>
    <m/>
    <s v="Ian Trottier"/>
    <n v="6"/>
    <n v="2025"/>
    <s v="INV13117"/>
    <n v="7"/>
    <n v="2025"/>
    <n v="2503"/>
    <s v="Canadian Bearings Ltd."/>
    <s v="CAD"/>
    <n v="585.46"/>
    <n v="427.78091117595301"/>
    <x v="0"/>
    <n v="0"/>
    <n v="427.78091117595301"/>
    <m/>
    <s v="Renewal"/>
    <m/>
    <m/>
    <s v=""/>
    <n v="5.0000000000000001E-3"/>
    <s v=""/>
    <s v=""/>
    <s v=""/>
    <n v="2.138904555879765"/>
    <s v=""/>
    <s v=""/>
    <m/>
    <n v="2.138904555879765"/>
    <m/>
    <m/>
    <m/>
    <m/>
    <s v=""/>
    <n v="2.138904555879765"/>
    <s v=""/>
    <s v=""/>
    <x v="1"/>
    <x v="1"/>
    <n v="6.4167136676392946"/>
    <s v="Yes"/>
  </r>
  <r>
    <n v="2"/>
    <s v="SO17367"/>
    <m/>
    <x v="2"/>
    <m/>
    <m/>
    <n v="0"/>
    <n v="6"/>
    <n v="2025"/>
    <s v="INV13159"/>
    <n v="7"/>
    <n v="2025"/>
    <n v="2503"/>
    <s v="Canadian Bearing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2"/>
    <s v="SO17368"/>
    <m/>
    <x v="5"/>
    <m/>
    <m/>
    <s v="Wilka Nuñez"/>
    <n v="6"/>
    <n v="2025"/>
    <s v="INV13185"/>
    <n v="8"/>
    <n v="2025"/>
    <n v="2504"/>
    <s v="Barrick Gold - Pueblo Viejo Dominicana Corporation"/>
    <s v="USD"/>
    <n v="21669.460688981169"/>
    <n v="15835.75"/>
    <x v="0"/>
    <n v="0"/>
    <n v="15835.75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1"/>
    <x v="3"/>
    <n v="237.53625"/>
    <s v="Yes"/>
  </r>
  <r>
    <n v="2"/>
    <s v="SO17368"/>
    <m/>
    <x v="5"/>
    <m/>
    <m/>
    <n v="0"/>
    <n v="6"/>
    <n v="2025"/>
    <s v="INV13248"/>
    <n v="10"/>
    <n v="2025"/>
    <n v="2504"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1"/>
    <x v="3"/>
    <n v="0"/>
    <s v=""/>
  </r>
  <r>
    <n v="1"/>
    <s v="SO17369"/>
    <m/>
    <x v="2"/>
    <m/>
    <m/>
    <s v="Ian Trottier"/>
    <n v="6"/>
    <n v="2025"/>
    <s v="INV13111"/>
    <n v="7"/>
    <n v="2025"/>
    <n v="2503"/>
    <s v="Glencore Canada Corporation - Rouyn-Noranda, Glencore Canada Corp."/>
    <s v="CAD"/>
    <n v="2497.21"/>
    <n v="1817.9523459113259"/>
    <x v="0"/>
    <n v="0"/>
    <n v="1817.9523459113259"/>
    <m/>
    <s v="Renewal"/>
    <m/>
    <m/>
    <s v=""/>
    <n v="5.0000000000000001E-3"/>
    <s v=""/>
    <s v=""/>
    <s v=""/>
    <n v="9.0897617295566295"/>
    <s v=""/>
    <s v=""/>
    <m/>
    <n v="9.0897617295566295"/>
    <m/>
    <m/>
    <m/>
    <m/>
    <s v=""/>
    <n v="9.0897617295566295"/>
    <s v=""/>
    <s v=""/>
    <x v="1"/>
    <x v="1"/>
    <n v="27.269285188669887"/>
    <s v="Yes"/>
  </r>
  <r>
    <n v="1"/>
    <s v="SO17370"/>
    <m/>
    <x v="2"/>
    <m/>
    <m/>
    <s v="Ian Trottier"/>
    <n v="6"/>
    <n v="2025"/>
    <s v="INV13110"/>
    <n v="8"/>
    <n v="2025"/>
    <n v="2503"/>
    <s v="SCG Process, SCG Process"/>
    <s v="CAD"/>
    <n v="4331.1499999999996"/>
    <n v="3153.0485233495938"/>
    <x v="0"/>
    <n v="0"/>
    <n v="3153.0485233495938"/>
    <m/>
    <s v="Renewal"/>
    <m/>
    <m/>
    <s v=""/>
    <n v="5.0000000000000001E-3"/>
    <s v=""/>
    <s v=""/>
    <s v=""/>
    <n v="15.765242616747969"/>
    <s v=""/>
    <s v=""/>
    <m/>
    <n v="15.765242616747969"/>
    <m/>
    <m/>
    <m/>
    <m/>
    <s v=""/>
    <n v="15.765242616747969"/>
    <s v=""/>
    <s v=""/>
    <x v="1"/>
    <x v="1"/>
    <n v="47.295727850243907"/>
    <s v="Yes"/>
  </r>
  <r>
    <n v="1"/>
    <s v="SO17372"/>
    <m/>
    <x v="0"/>
    <m/>
    <m/>
    <s v="Ian Trottier"/>
    <n v="6"/>
    <n v="2025"/>
    <s v="INV13406"/>
    <n v="10"/>
    <n v="2025"/>
    <m/>
    <s v="Les Pompes du St-Laurent Inc."/>
    <s v="CAD"/>
    <n v="1058.6400000000001"/>
    <n v="765.69925362629476"/>
    <x v="0"/>
    <n v="0"/>
    <n v="765.6992536262947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485488804394421"/>
    <s v="Yes"/>
  </r>
  <r>
    <n v="1"/>
    <s v="SO17375"/>
    <m/>
    <x v="5"/>
    <m/>
    <m/>
    <s v="Wilka Nuñez"/>
    <n v="6"/>
    <n v="2025"/>
    <s v="INV13124"/>
    <n v="8"/>
    <n v="2025"/>
    <n v="2503"/>
    <s v="Fabrene Inc."/>
    <s v="CAD"/>
    <n v="425.21"/>
    <n v="309.51919718226395"/>
    <x v="0"/>
    <n v="0"/>
    <n v="309.51919718226395"/>
    <m/>
    <s v="Renewal"/>
    <m/>
    <m/>
    <s v=""/>
    <n v="5.0000000000000001E-3"/>
    <s v=""/>
    <s v=""/>
    <s v=""/>
    <n v="1.5475959859113197"/>
    <s v=""/>
    <s v=""/>
    <m/>
    <m/>
    <m/>
    <n v="2503"/>
    <m/>
    <m/>
    <s v=""/>
    <n v="0"/>
    <s v=""/>
    <s v=""/>
    <x v="1"/>
    <x v="5"/>
    <n v="4.642787957733959"/>
    <s v="Yes"/>
  </r>
  <r>
    <n v="1"/>
    <s v="SO17379"/>
    <m/>
    <x v="0"/>
    <m/>
    <m/>
    <s v="Ian Trottier"/>
    <n v="6"/>
    <n v="2025"/>
    <s v="INV13503"/>
    <s v=""/>
    <s v=""/>
    <m/>
    <s v="Resolute Forest Products - Saint-Felicien"/>
    <s v="CAD"/>
    <n v="6197.11"/>
    <n v="4499.921286136771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382"/>
    <m/>
    <x v="5"/>
    <m/>
    <m/>
    <s v="Wilka Nuñez"/>
    <n v="6"/>
    <n v="2025"/>
    <s v="INV13227"/>
    <n v="8"/>
    <n v="2025"/>
    <n v="2503"/>
    <s v="Alpha Industrial &amp; Mining Supplies Limited"/>
    <s v="CAD"/>
    <n v="481.52"/>
    <n v="351.15139236293976"/>
    <x v="0"/>
    <n v="0"/>
    <n v="351.15139236293976"/>
    <m/>
    <s v="Renewal"/>
    <m/>
    <m/>
    <s v=""/>
    <n v="5.0000000000000001E-3"/>
    <s v=""/>
    <s v=""/>
    <s v=""/>
    <n v="1.7557569618146989"/>
    <s v=""/>
    <s v=""/>
    <m/>
    <m/>
    <m/>
    <n v="2503"/>
    <m/>
    <m/>
    <s v=""/>
    <n v="0"/>
    <s v=""/>
    <s v=""/>
    <x v="1"/>
    <x v="5"/>
    <n v="5.2672708854440966"/>
    <s v="Yes"/>
  </r>
  <r>
    <n v="2"/>
    <s v="SO17382"/>
    <m/>
    <x v="5"/>
    <m/>
    <m/>
    <n v="0"/>
    <n v="6"/>
    <n v="2025"/>
    <s v="INV13169"/>
    <n v="8"/>
    <n v="2025"/>
    <n v="2503"/>
    <s v="Alpha Industrial &amp; Mining Supplies Limited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383"/>
    <m/>
    <x v="4"/>
    <m/>
    <m/>
    <s v="Alexis Gil Lamadrid"/>
    <n v="6"/>
    <n v="2025"/>
    <s v="INV13526"/>
    <n v="10"/>
    <n v="2025"/>
    <n v="2504"/>
    <s v="Jindal Drilling &amp; Industries Limited"/>
    <s v="USD"/>
    <n v="5802.1430563067106"/>
    <n v="4226.24"/>
    <x v="0"/>
    <n v="0"/>
    <n v="4226.24"/>
    <m/>
    <s v="Renewal"/>
    <m/>
    <m/>
    <s v=""/>
    <n v="5.0000000000000001E-3"/>
    <s v=""/>
    <s v=""/>
    <s v=""/>
    <n v="21.1312"/>
    <s v=""/>
    <s v=""/>
    <m/>
    <m/>
    <m/>
    <m/>
    <m/>
    <m/>
    <s v=""/>
    <n v="21.1312"/>
    <s v=""/>
    <s v=""/>
    <x v="3"/>
    <x v="5"/>
    <n v="63.393599999999992"/>
    <s v="Yes"/>
  </r>
  <r>
    <n v="2"/>
    <s v="SO17384"/>
    <m/>
    <x v="4"/>
    <m/>
    <m/>
    <s v="Alexis Gil Lamadrid"/>
    <n v="6"/>
    <n v="2025"/>
    <s v="INV13148"/>
    <n v="7"/>
    <n v="2025"/>
    <n v="2504"/>
    <s v="Jindal Drilling &amp; Industries Limited"/>
    <s v="USD"/>
    <n v="8492.4217651063773"/>
    <n v="6185.82"/>
    <x v="0"/>
    <n v="0"/>
    <n v="6185.82"/>
    <m/>
    <s v="Renewal"/>
    <m/>
    <m/>
    <s v=""/>
    <n v="5.0000000000000001E-3"/>
    <s v=""/>
    <s v=""/>
    <s v=""/>
    <n v="30.929099999999998"/>
    <s v=""/>
    <s v=""/>
    <m/>
    <m/>
    <m/>
    <m/>
    <m/>
    <m/>
    <s v=""/>
    <n v="30.929099999999998"/>
    <s v=""/>
    <s v=""/>
    <x v="3"/>
    <x v="5"/>
    <n v="92.787299999999988"/>
    <s v="Yes"/>
  </r>
  <r>
    <n v="2"/>
    <s v="SO17384"/>
    <m/>
    <x v="4"/>
    <m/>
    <m/>
    <n v="0"/>
    <n v="6"/>
    <n v="2025"/>
    <s v="INV13290"/>
    <n v="8"/>
    <n v="2025"/>
    <n v="2504"/>
    <s v="Jindal Drilling &amp; Industries Limited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385"/>
    <m/>
    <x v="2"/>
    <m/>
    <m/>
    <s v="Ian Trottier"/>
    <n v="6"/>
    <n v="2025"/>
    <s v="INV13127"/>
    <n v="8"/>
    <n v="2025"/>
    <n v="2503"/>
    <s v="PT Vale Indonesia Tbk."/>
    <s v="USD"/>
    <n v="116.65406969182565"/>
    <n v="84.97"/>
    <x v="0"/>
    <n v="0"/>
    <n v="84.97"/>
    <m/>
    <s v="Renewal"/>
    <m/>
    <m/>
    <s v=""/>
    <n v="5.0000000000000001E-3"/>
    <s v=""/>
    <s v=""/>
    <s v=""/>
    <n v="0.42485000000000001"/>
    <s v=""/>
    <s v=""/>
    <m/>
    <n v="0.42485000000000001"/>
    <m/>
    <m/>
    <m/>
    <m/>
    <s v=""/>
    <n v="0.42485000000000001"/>
    <s v=""/>
    <s v=""/>
    <x v="1"/>
    <x v="1"/>
    <n v="1.2745499999999998"/>
    <s v="Yes"/>
  </r>
  <r>
    <n v="1"/>
    <s v="SO17386"/>
    <m/>
    <x v="2"/>
    <m/>
    <m/>
    <s v="Ian Trottier"/>
    <n v="6"/>
    <n v="2025"/>
    <s v="INV13128"/>
    <n v="8"/>
    <n v="2025"/>
    <n v="2503"/>
    <s v="PT Vale Indonesia Tbk."/>
    <s v="USD"/>
    <n v="270.84282533604056"/>
    <n v="197.28"/>
    <x v="0"/>
    <n v="0"/>
    <n v="197.28"/>
    <m/>
    <s v="Renewal"/>
    <m/>
    <m/>
    <s v=""/>
    <n v="5.0000000000000001E-3"/>
    <s v=""/>
    <s v=""/>
    <s v=""/>
    <n v="0.98640000000000005"/>
    <s v=""/>
    <s v=""/>
    <m/>
    <n v="0.98640000000000005"/>
    <m/>
    <m/>
    <m/>
    <m/>
    <s v=""/>
    <n v="0.98640000000000005"/>
    <s v=""/>
    <s v=""/>
    <x v="1"/>
    <x v="1"/>
    <n v="2.9592000000000001"/>
    <s v="Yes"/>
  </r>
  <r>
    <n v="1"/>
    <s v="SO17388"/>
    <m/>
    <x v="0"/>
    <m/>
    <m/>
    <s v="Ian Trottier"/>
    <n v="6"/>
    <n v="2025"/>
    <s v="INV13497"/>
    <s v=""/>
    <s v=""/>
    <m/>
    <s v="Grant Aggregate"/>
    <s v="CAD"/>
    <n v="2274.2199999999998"/>
    <n v="1661.042229025899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389"/>
    <m/>
    <x v="0"/>
    <s v="Ian T"/>
    <m/>
    <s v="Ian Trottier"/>
    <n v="6"/>
    <n v="2025"/>
    <s v="INV13155"/>
    <n v="8"/>
    <n v="2025"/>
    <n v="2503"/>
    <s v="Motion Industries Inc. (U.S.) - Greer"/>
    <s v="USD"/>
    <n v="15199.174653780587"/>
    <n v="11173.11"/>
    <x v="0"/>
    <n v="0"/>
    <n v="11173.11"/>
    <m/>
    <m/>
    <s v="Renewal"/>
    <m/>
    <s v=""/>
    <s v=""/>
    <n v="0.01"/>
    <s v=""/>
    <s v=""/>
    <s v=""/>
    <n v="111.73110000000001"/>
    <s v=""/>
    <m/>
    <n v="111.73110000000001"/>
    <m/>
    <m/>
    <m/>
    <m/>
    <s v=""/>
    <s v=""/>
    <n v="111.73110000000001"/>
    <s v=""/>
    <x v="1"/>
    <x v="1"/>
    <n v="167.59665000000001"/>
    <s v="Yes"/>
  </r>
  <r>
    <n v="1"/>
    <s v="SO17390"/>
    <m/>
    <x v="5"/>
    <m/>
    <m/>
    <s v="Wilka Nuñez"/>
    <n v="6"/>
    <n v="2025"/>
    <s v="INV13177"/>
    <n v="9"/>
    <n v="2025"/>
    <n v="2503"/>
    <s v="PT Vale Indonesia Tbk."/>
    <s v="USD"/>
    <n v="2304.8006099244394"/>
    <n v="1673.59"/>
    <x v="0"/>
    <n v="0"/>
    <n v="1673.59"/>
    <m/>
    <s v="Renewal"/>
    <m/>
    <m/>
    <s v=""/>
    <n v="5.0000000000000001E-3"/>
    <s v=""/>
    <s v=""/>
    <s v=""/>
    <n v="8.3679500000000004"/>
    <s v=""/>
    <s v=""/>
    <m/>
    <m/>
    <m/>
    <n v="2503"/>
    <m/>
    <m/>
    <s v=""/>
    <n v="0"/>
    <s v=""/>
    <s v=""/>
    <x v="1"/>
    <x v="5"/>
    <n v="25.103849999999998"/>
    <s v="Yes"/>
  </r>
  <r>
    <n v="2"/>
    <s v="SO17391"/>
    <m/>
    <x v="5"/>
    <m/>
    <m/>
    <s v="Wilka Nuñez"/>
    <n v="6"/>
    <n v="2025"/>
    <s v="INV13203"/>
    <n v="9"/>
    <n v="2025"/>
    <n v="2503"/>
    <s v="PT Vale Indonesia Tbk."/>
    <s v="USD"/>
    <n v="1404.0831158458536"/>
    <n v="1019.55"/>
    <x v="0"/>
    <n v="0"/>
    <n v="1019.55"/>
    <m/>
    <s v="Renewal"/>
    <m/>
    <m/>
    <s v=""/>
    <n v="5.0000000000000001E-3"/>
    <s v=""/>
    <s v=""/>
    <s v=""/>
    <n v="5.0977499999999996"/>
    <s v=""/>
    <s v=""/>
    <m/>
    <m/>
    <m/>
    <n v="2503"/>
    <m/>
    <m/>
    <s v=""/>
    <n v="0"/>
    <s v=""/>
    <s v=""/>
    <x v="1"/>
    <x v="5"/>
    <n v="15.293249999999999"/>
    <s v="Yes"/>
  </r>
  <r>
    <n v="2"/>
    <s v="SO17391"/>
    <m/>
    <x v="5"/>
    <m/>
    <m/>
    <n v="0"/>
    <n v="6"/>
    <n v="2025"/>
    <s v="INV13136"/>
    <n v="9"/>
    <n v="2025"/>
    <n v="2503"/>
    <s v="PT Vale Indonesia Tbk.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395"/>
    <m/>
    <x v="2"/>
    <m/>
    <m/>
    <s v="Ian Trottier"/>
    <n v="6"/>
    <n v="2025"/>
    <s v="INV13172"/>
    <n v="8"/>
    <n v="2025"/>
    <n v="2503"/>
    <s v="Les Pompes du St-Laurent Inc."/>
    <s v="CAD"/>
    <n v="3005"/>
    <n v="2194.7884981324714"/>
    <x v="0"/>
    <n v="0"/>
    <n v="2194.7884981324714"/>
    <m/>
    <s v="Renewal"/>
    <m/>
    <m/>
    <s v=""/>
    <n v="5.0000000000000001E-3"/>
    <s v=""/>
    <s v=""/>
    <s v=""/>
    <n v="10.973942490662358"/>
    <s v=""/>
    <s v=""/>
    <m/>
    <n v="10.973942490662358"/>
    <m/>
    <m/>
    <m/>
    <m/>
    <s v=""/>
    <n v="10.973942490662358"/>
    <s v=""/>
    <s v=""/>
    <x v="1"/>
    <x v="1"/>
    <n v="32.921827471987072"/>
    <s v="Yes"/>
  </r>
  <r>
    <n v="1"/>
    <s v="SO17396"/>
    <m/>
    <x v="5"/>
    <m/>
    <m/>
    <s v="Ian Trottier"/>
    <n v="6"/>
    <n v="2025"/>
    <s v="INV13180"/>
    <n v="8"/>
    <n v="2025"/>
    <n v="2503"/>
    <s v="Flowstar Industrial Inc"/>
    <s v="CAD"/>
    <n v="1225.8"/>
    <n v="895.29841630974499"/>
    <x v="0"/>
    <n v="0"/>
    <n v="895.29841630974499"/>
    <m/>
    <s v="Renewal"/>
    <m/>
    <m/>
    <s v=""/>
    <n v="5.0000000000000001E-3"/>
    <s v=""/>
    <s v=""/>
    <s v=""/>
    <n v="4.4764920815487255"/>
    <s v=""/>
    <s v=""/>
    <m/>
    <m/>
    <m/>
    <n v="2503"/>
    <m/>
    <m/>
    <s v=""/>
    <n v="0"/>
    <s v=""/>
    <s v=""/>
    <x v="1"/>
    <x v="5"/>
    <n v="13.429476244646175"/>
    <s v="Yes"/>
  </r>
  <r>
    <n v="3"/>
    <s v="SO17397"/>
    <m/>
    <x v="5"/>
    <m/>
    <m/>
    <s v="Ian Trottier"/>
    <n v="6"/>
    <n v="2025"/>
    <s v="INV13162"/>
    <n v="8"/>
    <n v="2025"/>
    <n v="2503"/>
    <s v="Sling-Choker Manufacturing - Timmins"/>
    <s v="CAD"/>
    <n v="775.58"/>
    <n v="568.97918717227765"/>
    <x v="0"/>
    <n v="0"/>
    <n v="568.97918717227765"/>
    <m/>
    <s v="Renewal"/>
    <m/>
    <m/>
    <s v=""/>
    <n v="5.0000000000000001E-3"/>
    <s v=""/>
    <s v=""/>
    <s v=""/>
    <n v="2.8448959358613881"/>
    <s v=""/>
    <s v=""/>
    <m/>
    <m/>
    <m/>
    <n v="2503"/>
    <m/>
    <m/>
    <s v=""/>
    <n v="0"/>
    <s v=""/>
    <s v=""/>
    <x v="1"/>
    <x v="5"/>
    <n v="8.5346878075841648"/>
    <s v="Yes"/>
  </r>
  <r>
    <n v="3"/>
    <s v="SO17397"/>
    <m/>
    <x v="5"/>
    <m/>
    <m/>
    <n v="0"/>
    <n v="6"/>
    <n v="2025"/>
    <s v="(* 78441)"/>
    <s v=""/>
    <s v=""/>
    <n v="2503"/>
    <s v="Sling-Choker Manufacturing - Timmins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3"/>
    <s v="SO17397"/>
    <m/>
    <x v="5"/>
    <m/>
    <m/>
    <n v="0"/>
    <n v="6"/>
    <n v="2025"/>
    <s v="INV13231"/>
    <n v="8"/>
    <n v="2025"/>
    <n v="2503"/>
    <s v="Sling-Choker Manufacturing - Timmins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398"/>
    <m/>
    <x v="4"/>
    <m/>
    <m/>
    <s v="Alexis Gil Lamadrid"/>
    <n v="6"/>
    <n v="2025"/>
    <s v="INV13134"/>
    <n v="8"/>
    <n v="2025"/>
    <n v="2503"/>
    <s v="Motion Industries Inc. (Canada) - Edmonton"/>
    <s v="CAD"/>
    <n v="126.12"/>
    <n v="92.115382823450034"/>
    <x v="0"/>
    <n v="0"/>
    <n v="92.115382823450034"/>
    <m/>
    <s v="Renewal"/>
    <m/>
    <m/>
    <s v=""/>
    <n v="5.0000000000000001E-3"/>
    <s v=""/>
    <s v=""/>
    <s v=""/>
    <n v="0.46057691411725016"/>
    <s v=""/>
    <s v=""/>
    <m/>
    <m/>
    <m/>
    <n v="2503"/>
    <m/>
    <m/>
    <s v=""/>
    <n v="0"/>
    <s v=""/>
    <s v=""/>
    <x v="1"/>
    <x v="5"/>
    <n v="1.3817307423517504"/>
    <s v="Yes"/>
  </r>
  <r>
    <n v="1"/>
    <s v="SO17400"/>
    <m/>
    <x v="0"/>
    <m/>
    <m/>
    <s v="Amanda Qiao"/>
    <n v="6"/>
    <n v="2025"/>
    <s v="INV13587"/>
    <s v=""/>
    <s v=""/>
    <m/>
    <s v="Zijin Mining - Rosebel Goldmines N.V."/>
    <s v="USD"/>
    <n v="16766.226630204583"/>
    <n v="123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02"/>
    <m/>
    <x v="4"/>
    <m/>
    <m/>
    <s v="Alexis Gil Lamadrid"/>
    <n v="6"/>
    <n v="2025"/>
    <s v="INV13175"/>
    <n v="8"/>
    <n v="2025"/>
    <n v="2503"/>
    <s v="Fabrene Inc."/>
    <s v="CAD"/>
    <n v="105"/>
    <n v="76.689781132748593"/>
    <x v="0"/>
    <n v="0"/>
    <n v="76.689781132748593"/>
    <m/>
    <s v="Renewal"/>
    <m/>
    <m/>
    <s v=""/>
    <n v="5.0000000000000001E-3"/>
    <s v=""/>
    <s v=""/>
    <s v=""/>
    <n v="0.38344890566374296"/>
    <s v=""/>
    <s v=""/>
    <m/>
    <m/>
    <m/>
    <n v="2503"/>
    <m/>
    <m/>
    <s v=""/>
    <n v="0"/>
    <s v=""/>
    <s v=""/>
    <x v="1"/>
    <x v="5"/>
    <n v="1.1503467169912289"/>
    <s v="Yes"/>
  </r>
  <r>
    <n v="1"/>
    <s v="SO17404"/>
    <m/>
    <x v="5"/>
    <m/>
    <m/>
    <s v="Wilka Nuñez"/>
    <n v="6"/>
    <n v="2025"/>
    <s v="INV13268"/>
    <n v="8"/>
    <n v="2025"/>
    <n v="2503"/>
    <s v="Industrial Pump Repair Canada"/>
    <s v="CAD"/>
    <n v="133"/>
    <n v="97.108804205701688"/>
    <x v="0"/>
    <n v="0"/>
    <n v="97.108804205701688"/>
    <m/>
    <s v="Renewal"/>
    <m/>
    <m/>
    <s v=""/>
    <n v="5.0000000000000001E-3"/>
    <s v=""/>
    <s v=""/>
    <s v=""/>
    <n v="0.48554402102850847"/>
    <s v=""/>
    <s v=""/>
    <m/>
    <m/>
    <m/>
    <n v="2503"/>
    <m/>
    <m/>
    <s v=""/>
    <n v="0"/>
    <s v=""/>
    <s v=""/>
    <x v="1"/>
    <x v="5"/>
    <n v="1.4566320630855252"/>
    <s v="Yes"/>
  </r>
  <r>
    <n v="1"/>
    <s v="SO17407"/>
    <m/>
    <x v="5"/>
    <m/>
    <m/>
    <s v="Wilka Nuñez"/>
    <n v="6"/>
    <n v="2025"/>
    <s v="INV13143"/>
    <n v="8"/>
    <n v="2025"/>
    <n v="2503"/>
    <s v="Motion Industries Inc. (Canada) - Winnipeg"/>
    <s v="CAD"/>
    <n v="264.91000000000003"/>
    <n v="193.92694972173189"/>
    <x v="0"/>
    <n v="0"/>
    <n v="193.92694972173189"/>
    <m/>
    <s v="Renewal"/>
    <m/>
    <m/>
    <s v=""/>
    <n v="5.0000000000000001E-3"/>
    <s v=""/>
    <s v=""/>
    <s v=""/>
    <n v="0.9696347486086595"/>
    <s v=""/>
    <s v=""/>
    <m/>
    <m/>
    <m/>
    <n v="2503"/>
    <m/>
    <m/>
    <s v=""/>
    <n v="0"/>
    <s v=""/>
    <s v=""/>
    <x v="1"/>
    <x v="5"/>
    <n v="2.9089042458259784"/>
    <s v="Yes"/>
  </r>
  <r>
    <n v="1"/>
    <s v="SO17408"/>
    <m/>
    <x v="4"/>
    <m/>
    <m/>
    <s v="Ian Trottier"/>
    <n v="6"/>
    <n v="2025"/>
    <s v="INV13140"/>
    <n v="8"/>
    <n v="2025"/>
    <n v="2503"/>
    <s v="Motion Industries Inc. (Canada) - Prince George"/>
    <s v="CAD"/>
    <n v="198.18"/>
    <n v="145.38834847959211"/>
    <x v="0"/>
    <n v="0"/>
    <n v="145.38834847959211"/>
    <m/>
    <s v="Renewal"/>
    <m/>
    <m/>
    <s v=""/>
    <n v="5.0000000000000001E-3"/>
    <s v=""/>
    <s v=""/>
    <s v=""/>
    <n v="0.72694174239796061"/>
    <s v=""/>
    <s v=""/>
    <m/>
    <m/>
    <m/>
    <n v="2503"/>
    <m/>
    <m/>
    <s v=""/>
    <n v="0"/>
    <s v=""/>
    <s v=""/>
    <x v="1"/>
    <x v="5"/>
    <n v="2.1808252271938815"/>
    <s v="Yes"/>
  </r>
  <r>
    <n v="2"/>
    <s v="SO17410"/>
    <m/>
    <x v="0"/>
    <m/>
    <m/>
    <s v="Ian Trottier"/>
    <n v="6"/>
    <n v="2025"/>
    <s v="INV13153"/>
    <n v="7"/>
    <n v="2025"/>
    <m/>
    <s v="Canadian Bearings Ltd."/>
    <s v="CAD"/>
    <n v="4196.78"/>
    <n v="3075.2708768597663"/>
    <x v="0"/>
    <n v="0"/>
    <n v="3075.270876859766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6.129063152896492"/>
    <s v="Yes"/>
  </r>
  <r>
    <n v="2"/>
    <s v="SO17410"/>
    <m/>
    <x v="0"/>
    <m/>
    <m/>
    <n v="0"/>
    <n v="6"/>
    <n v="2025"/>
    <s v="INV13259"/>
    <n v="10"/>
    <n v="2025"/>
    <m/>
    <s v="Canadian Bearings Ltd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13"/>
    <m/>
    <x v="4"/>
    <m/>
    <m/>
    <s v="Alexis Gil Lamadrid"/>
    <n v="6"/>
    <n v="2025"/>
    <s v="INV13154"/>
    <n v="7"/>
    <n v="2025"/>
    <n v="2503"/>
    <s v="Vallen Canada Inc. - IS Div"/>
    <s v="CAD"/>
    <n v="1749.28"/>
    <n v="1277.4681275837183"/>
    <x v="0"/>
    <n v="0"/>
    <n v="1277.4681275837183"/>
    <m/>
    <s v="Renewal"/>
    <m/>
    <m/>
    <s v=""/>
    <n v="5.0000000000000001E-3"/>
    <s v=""/>
    <s v=""/>
    <s v=""/>
    <n v="6.3873406379185917"/>
    <s v=""/>
    <s v=""/>
    <m/>
    <m/>
    <m/>
    <n v="2503"/>
    <m/>
    <m/>
    <s v=""/>
    <n v="0"/>
    <s v=""/>
    <s v=""/>
    <x v="1"/>
    <x v="5"/>
    <n v="19.162021913755776"/>
    <s v="Yes"/>
  </r>
  <r>
    <n v="2"/>
    <s v="SO17421"/>
    <m/>
    <x v="4"/>
    <m/>
    <m/>
    <s v="Ian Trottier"/>
    <n v="7"/>
    <n v="2025"/>
    <s v="INV13149"/>
    <n v="8"/>
    <n v="2025"/>
    <n v="2504"/>
    <s v="Hyperflo"/>
    <s v="CAD"/>
    <n v="11084.43"/>
    <n v="8114.3395844024626"/>
    <x v="0"/>
    <n v="0"/>
    <n v="8114.3395844024626"/>
    <m/>
    <s v="Renewal"/>
    <m/>
    <m/>
    <s v=""/>
    <n v="5.0000000000000001E-3"/>
    <s v=""/>
    <s v=""/>
    <s v=""/>
    <n v="40.571697922012312"/>
    <s v=""/>
    <s v=""/>
    <m/>
    <m/>
    <m/>
    <m/>
    <m/>
    <m/>
    <s v=""/>
    <n v="40.571697922012312"/>
    <s v=""/>
    <s v=""/>
    <x v="3"/>
    <x v="5"/>
    <n v="121.71509376603693"/>
    <s v="Yes"/>
  </r>
  <r>
    <n v="2"/>
    <s v="SO17421"/>
    <m/>
    <x v="4"/>
    <m/>
    <m/>
    <n v="0"/>
    <n v="7"/>
    <n v="2025"/>
    <s v="INV13502"/>
    <n v="11"/>
    <n v="2025"/>
    <n v="2504"/>
    <s v="Hyperflo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422"/>
    <m/>
    <x v="4"/>
    <m/>
    <m/>
    <s v="Alexis Gil Lamadrid"/>
    <n v="7"/>
    <n v="2025"/>
    <s v="INV13455"/>
    <n v="11"/>
    <n v="2025"/>
    <n v="2504"/>
    <s v="Tech-Flow"/>
    <s v="USD"/>
    <n v="4840.9709671762084"/>
    <n v="3556.88"/>
    <x v="0"/>
    <n v="0"/>
    <n v="3556.88"/>
    <m/>
    <s v="Renewal"/>
    <m/>
    <m/>
    <s v=""/>
    <n v="5.0000000000000001E-3"/>
    <s v=""/>
    <s v=""/>
    <s v=""/>
    <n v="17.784400000000002"/>
    <s v=""/>
    <s v=""/>
    <m/>
    <m/>
    <m/>
    <m/>
    <m/>
    <m/>
    <s v=""/>
    <n v="17.784400000000002"/>
    <s v=""/>
    <s v=""/>
    <x v="3"/>
    <x v="5"/>
    <n v="53.353200000000001"/>
    <s v="Yes"/>
  </r>
  <r>
    <n v="1"/>
    <s v="SO17423"/>
    <m/>
    <x v="4"/>
    <m/>
    <m/>
    <s v="Ian Trottier"/>
    <n v="7"/>
    <n v="2025"/>
    <s v="INV13456"/>
    <n v="11"/>
    <n v="2025"/>
    <n v="2504"/>
    <s v="Tech-Flow"/>
    <s v="USD"/>
    <n v="5852.0646181648326"/>
    <n v="4276.6099999999997"/>
    <x v="0"/>
    <n v="0"/>
    <n v="4276.6099999999997"/>
    <m/>
    <s v="Renewal"/>
    <m/>
    <m/>
    <s v=""/>
    <n v="5.0000000000000001E-3"/>
    <s v=""/>
    <s v=""/>
    <s v=""/>
    <n v="21.383049999999997"/>
    <s v=""/>
    <s v=""/>
    <m/>
    <m/>
    <m/>
    <m/>
    <m/>
    <m/>
    <s v=""/>
    <n v="21.383049999999997"/>
    <s v=""/>
    <s v=""/>
    <x v="3"/>
    <x v="5"/>
    <n v="64.149149999999992"/>
    <s v="Yes"/>
  </r>
  <r>
    <n v="2"/>
    <s v="SO17425"/>
    <m/>
    <x v="0"/>
    <m/>
    <m/>
    <s v="Amanda Qiao"/>
    <n v="7"/>
    <n v="2025"/>
    <s v="INV13379"/>
    <n v="11"/>
    <n v="2025"/>
    <m/>
    <s v="Zijin Mining - Rosebel Goldmines N.V."/>
    <s v="USD"/>
    <n v="35193.886801052977"/>
    <n v="25840"/>
    <x v="0"/>
    <n v="0"/>
    <n v="2584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87.59999999999997"/>
    <s v="Yes"/>
  </r>
  <r>
    <n v="2"/>
    <s v="SO17425"/>
    <m/>
    <x v="0"/>
    <m/>
    <m/>
    <n v="0"/>
    <n v="7"/>
    <n v="2025"/>
    <s v="INV13193"/>
    <n v="8"/>
    <n v="2025"/>
    <m/>
    <s v="Zijin Mining - Rosebel Goldmines N.V."/>
    <s v="USD"/>
    <n v="0"/>
    <n v="0"/>
    <x v="1"/>
    <n v="124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430"/>
    <m/>
    <x v="5"/>
    <m/>
    <m/>
    <s v="Ian Trottier"/>
    <n v="7"/>
    <n v="2025"/>
    <s v="INV13523"/>
    <n v="11"/>
    <n v="2025"/>
    <n v="2504"/>
    <s v="Sling-Choker Manufacturing - Timmins"/>
    <s v="CAD"/>
    <n v="3388.05"/>
    <n v="2498.3303118685494"/>
    <x v="0"/>
    <n v="0"/>
    <n v="2498.3303118685494"/>
    <m/>
    <s v="Renewal"/>
    <m/>
    <m/>
    <s v=""/>
    <n v="5.0000000000000001E-3"/>
    <s v=""/>
    <s v=""/>
    <s v=""/>
    <n v="12.491651559342747"/>
    <s v=""/>
    <s v=""/>
    <m/>
    <m/>
    <m/>
    <m/>
    <m/>
    <m/>
    <s v=""/>
    <n v="12.491651559342747"/>
    <s v=""/>
    <s v=""/>
    <x v="3"/>
    <x v="5"/>
    <n v="37.47495467802824"/>
    <s v="Yes"/>
  </r>
  <r>
    <n v="2"/>
    <s v="SO17430"/>
    <m/>
    <x v="5"/>
    <m/>
    <m/>
    <n v="0"/>
    <n v="7"/>
    <n v="2025"/>
    <s v="INV13326"/>
    <n v="9"/>
    <n v="2025"/>
    <n v="2504"/>
    <s v="Sling-Choker Manufacturing - Timmins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431"/>
    <m/>
    <x v="5"/>
    <m/>
    <m/>
    <s v="Ian Trottier"/>
    <n v="7"/>
    <n v="2025"/>
    <s v="INV13496"/>
    <s v=""/>
    <s v=""/>
    <n v="2504"/>
    <s v="Lake Shore Gold Corp"/>
    <s v="CAD"/>
    <n v="429.43"/>
    <n v="313.35477304731364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431"/>
    <m/>
    <x v="5"/>
    <m/>
    <m/>
    <n v="0"/>
    <n v="7"/>
    <n v="2025"/>
    <s v="INV13156"/>
    <n v="9"/>
    <n v="2025"/>
    <n v="2504"/>
    <s v="Lake Shore Gold Corp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432"/>
    <m/>
    <x v="0"/>
    <m/>
    <m/>
    <s v="Amanda Qiao"/>
    <n v="7"/>
    <n v="2025"/>
    <s v="INV13534"/>
    <s v=""/>
    <s v=""/>
    <m/>
    <s v="Mill-Right Mine Services Inc."/>
    <s v="USD"/>
    <n v="861.18106716155762"/>
    <n v="627.7000000000000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34"/>
    <m/>
    <x v="0"/>
    <m/>
    <m/>
    <s v="Yannett Yeomans"/>
    <n v="7"/>
    <n v="2025"/>
    <s v="INV13358"/>
    <s v=""/>
    <s v=""/>
    <m/>
    <s v="Dynapro Pumps México S de RL de CV"/>
    <s v="USD"/>
    <n v="1195.8294354227753"/>
    <n v="87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7437"/>
    <m/>
    <x v="0"/>
    <m/>
    <m/>
    <s v="Wilka Nuñez"/>
    <n v="7"/>
    <n v="2025"/>
    <s v="No Inv"/>
    <s v=""/>
    <s v=""/>
    <m/>
    <s v="Burlington Pump Inc."/>
    <s v="CAD"/>
    <n v="1744"/>
    <n v="1252.498527967340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39"/>
    <m/>
    <x v="0"/>
    <m/>
    <m/>
    <s v="Ian Trottier"/>
    <n v="7"/>
    <n v="2025"/>
    <s v="INV13146"/>
    <n v="1"/>
    <n v="1900"/>
    <m/>
    <s v="Kumtor Gold Company"/>
    <s v="USD"/>
    <n v="0"/>
    <n v="0"/>
    <x v="0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Yes"/>
  </r>
  <r>
    <n v="1"/>
    <s v="SO17440"/>
    <m/>
    <x v="4"/>
    <m/>
    <m/>
    <s v="Alexis Gil Lamadrid"/>
    <n v="7"/>
    <n v="2025"/>
    <s v="INV13150"/>
    <n v="9"/>
    <n v="2025"/>
    <n v="2503"/>
    <s v="Resolute Forest Products - Fibrek"/>
    <s v="CAD"/>
    <n v="196.96"/>
    <n v="145.23727165349666"/>
    <x v="0"/>
    <n v="0"/>
    <n v="145.23727165349666"/>
    <m/>
    <s v="Renewal"/>
    <m/>
    <m/>
    <s v=""/>
    <n v="5.0000000000000001E-3"/>
    <s v=""/>
    <s v=""/>
    <s v=""/>
    <n v="0.72618635826748335"/>
    <s v=""/>
    <s v=""/>
    <m/>
    <m/>
    <m/>
    <n v="2503"/>
    <m/>
    <m/>
    <s v=""/>
    <n v="0"/>
    <s v=""/>
    <s v=""/>
    <x v="1"/>
    <x v="5"/>
    <n v="2.1785590748024499"/>
    <s v="Yes"/>
  </r>
  <r>
    <n v="1"/>
    <s v="SO17441"/>
    <m/>
    <x v="0"/>
    <m/>
    <m/>
    <s v="Amanda Qiao"/>
    <n v="7"/>
    <n v="2025"/>
    <s v="INV13586"/>
    <s v=""/>
    <s v=""/>
    <m/>
    <s v="Zijin Mining - Rosebel Goldmines N.V."/>
    <s v="USD"/>
    <n v="16680.346390558723"/>
    <n v="123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42"/>
    <m/>
    <x v="5"/>
    <m/>
    <m/>
    <s v="Wilka Nuñez"/>
    <n v="7"/>
    <n v="2025"/>
    <s v="INV13278"/>
    <n v="9"/>
    <n v="2025"/>
    <n v="2503"/>
    <s v="Agnico Eagle Mines Ltd. - Cochrane"/>
    <s v="CAD"/>
    <n v="450"/>
    <n v="328.56362325237416"/>
    <x v="0"/>
    <n v="0"/>
    <n v="328.56362325237416"/>
    <m/>
    <s v="Renewal"/>
    <m/>
    <m/>
    <s v=""/>
    <n v="5.0000000000000001E-3"/>
    <s v=""/>
    <s v=""/>
    <s v=""/>
    <n v="1.6428181162618709"/>
    <s v=""/>
    <s v=""/>
    <m/>
    <m/>
    <m/>
    <n v="2503"/>
    <m/>
    <m/>
    <s v=""/>
    <n v="0"/>
    <s v=""/>
    <s v=""/>
    <x v="1"/>
    <x v="5"/>
    <n v="4.9284543487856123"/>
    <s v="Yes"/>
  </r>
  <r>
    <n v="1"/>
    <s v="SO17443"/>
    <m/>
    <x v="2"/>
    <m/>
    <m/>
    <s v="Ian Trottier"/>
    <n v="7"/>
    <n v="2025"/>
    <s v="INV13178"/>
    <n v="8"/>
    <n v="2025"/>
    <n v="2503"/>
    <s v="Cartledge &amp; Associates Inc."/>
    <s v="USD"/>
    <n v="1297.7597660549909"/>
    <n v="954"/>
    <x v="0"/>
    <n v="0"/>
    <n v="954"/>
    <m/>
    <s v="Renewal"/>
    <m/>
    <m/>
    <s v=""/>
    <n v="5.0000000000000001E-3"/>
    <s v=""/>
    <s v=""/>
    <s v=""/>
    <n v="4.7700000000000005"/>
    <s v=""/>
    <s v=""/>
    <m/>
    <n v="4.7700000000000005"/>
    <m/>
    <m/>
    <m/>
    <m/>
    <s v=""/>
    <n v="4.7700000000000005"/>
    <s v=""/>
    <s v=""/>
    <x v="1"/>
    <x v="1"/>
    <n v="14.309999999999999"/>
    <s v="Yes"/>
  </r>
  <r>
    <n v="1"/>
    <s v="SO17444"/>
    <m/>
    <x v="0"/>
    <m/>
    <m/>
    <s v="Ian Trottier"/>
    <n v="7"/>
    <n v="2025"/>
    <s v="INV13451"/>
    <n v="10"/>
    <n v="2025"/>
    <m/>
    <s v="Corrosion Fluid Products Corp., Corrosion Fluid Products Corp. - Chicago"/>
    <s v="USD"/>
    <n v="1935.2409193740741"/>
    <n v="1411.18"/>
    <x v="0"/>
    <n v="0"/>
    <n v="1411.1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1677"/>
    <s v="Yes"/>
  </r>
  <r>
    <n v="0"/>
    <s v="SO17446"/>
    <m/>
    <x v="0"/>
    <m/>
    <m/>
    <s v="Amanda Qiao"/>
    <n v="7"/>
    <n v="2025"/>
    <s v="No Inv"/>
    <s v=""/>
    <s v=""/>
    <m/>
    <s v="Mill-Right Mine Services Inc."/>
    <s v="USD"/>
    <n v="870.13021619575488"/>
    <n v="635.4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50"/>
    <m/>
    <x v="1"/>
    <m/>
    <m/>
    <s v="Marlen Martinez"/>
    <n v="7"/>
    <n v="2025"/>
    <s v="INV13184"/>
    <n v="11"/>
    <n v="2025"/>
    <n v="2504"/>
    <s v="Covia Corp - Junction City"/>
    <s v="USD"/>
    <n v="625.39667900904408"/>
    <n v="456.73"/>
    <x v="0"/>
    <n v="173.61"/>
    <n v="283.1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4.2468000000000004"/>
    <s v="Yes"/>
  </r>
  <r>
    <n v="1"/>
    <s v="SO17451"/>
    <m/>
    <x v="4"/>
    <m/>
    <m/>
    <s v="Ian Trottier"/>
    <n v="7"/>
    <n v="2025"/>
    <s v="INV13183"/>
    <n v="8"/>
    <n v="2025"/>
    <n v="2503"/>
    <s v="Manufacture Sling-Choker (Val-d’Or) Ltée"/>
    <s v="CAD"/>
    <n v="126.16"/>
    <n v="92.114637132265599"/>
    <x v="0"/>
    <n v="0"/>
    <n v="92.114637132265599"/>
    <m/>
    <s v="Renewal"/>
    <m/>
    <m/>
    <s v=""/>
    <n v="5.0000000000000001E-3"/>
    <s v=""/>
    <s v=""/>
    <s v=""/>
    <n v="0.46057318566132799"/>
    <s v=""/>
    <s v=""/>
    <m/>
    <m/>
    <m/>
    <n v="2503"/>
    <m/>
    <m/>
    <s v=""/>
    <n v="0"/>
    <s v=""/>
    <s v=""/>
    <x v="1"/>
    <x v="5"/>
    <n v="1.381719556983984"/>
    <s v="Yes"/>
  </r>
  <r>
    <n v="1"/>
    <s v="SO17452"/>
    <m/>
    <x v="0"/>
    <s v="Ian T"/>
    <m/>
    <s v="Ian Trottier"/>
    <n v="7"/>
    <n v="2025"/>
    <s v="INV13239"/>
    <n v="9"/>
    <n v="2025"/>
    <n v="2503"/>
    <s v="Middle Georgia Fluid Sealing LLC"/>
    <s v="USD"/>
    <n v="31601.619184801144"/>
    <n v="23073.65"/>
    <x v="0"/>
    <n v="895"/>
    <n v="22178.65"/>
    <m/>
    <m/>
    <s v="New Opportunity"/>
    <m/>
    <s v=""/>
    <s v=""/>
    <n v="0.02"/>
    <s v=""/>
    <s v=""/>
    <s v=""/>
    <n v="443.57300000000004"/>
    <s v=""/>
    <m/>
    <n v="443.57300000000004"/>
    <m/>
    <m/>
    <m/>
    <m/>
    <s v=""/>
    <s v=""/>
    <n v="443.57300000000004"/>
    <s v=""/>
    <x v="1"/>
    <x v="1"/>
    <n v="332.67975000000001"/>
    <s v="Yes"/>
  </r>
  <r>
    <n v="2"/>
    <s v="SO17453"/>
    <m/>
    <x v="4"/>
    <m/>
    <m/>
    <s v="Alexis Gil Lamadrid"/>
    <n v="7"/>
    <n v="2025"/>
    <s v="INV13267"/>
    <n v="10"/>
    <n v="2025"/>
    <n v="2504"/>
    <s v="Resolute Forest Products - Fibrek"/>
    <s v="CAD"/>
    <n v="1315.82"/>
    <n v="960.73463721764199"/>
    <x v="0"/>
    <n v="0"/>
    <n v="960.73463721764199"/>
    <m/>
    <s v="Renewal"/>
    <m/>
    <m/>
    <s v=""/>
    <n v="5.0000000000000001E-3"/>
    <s v=""/>
    <s v=""/>
    <s v=""/>
    <n v="4.8036731860882105"/>
    <s v=""/>
    <s v=""/>
    <m/>
    <m/>
    <m/>
    <m/>
    <m/>
    <m/>
    <s v=""/>
    <n v="4.8036731860882105"/>
    <s v=""/>
    <s v=""/>
    <x v="3"/>
    <x v="5"/>
    <n v="14.411019558264629"/>
    <s v="Yes"/>
  </r>
  <r>
    <n v="2"/>
    <s v="SO17453"/>
    <m/>
    <x v="4"/>
    <m/>
    <m/>
    <n v="0"/>
    <n v="7"/>
    <n v="2025"/>
    <s v="INV13158"/>
    <n v="9"/>
    <n v="2025"/>
    <n v="2504"/>
    <s v="Resolute Forest Products - Fibrek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454"/>
    <m/>
    <x v="4"/>
    <m/>
    <m/>
    <s v="Alexis Gil Lamadrid"/>
    <n v="7"/>
    <n v="2025"/>
    <s v="INV13266"/>
    <n v="10"/>
    <n v="2025"/>
    <n v="2504"/>
    <s v="Resolute Forest Products - Clermont"/>
    <s v="CAD"/>
    <n v="765.02"/>
    <n v="558.23456320391188"/>
    <x v="0"/>
    <n v="0"/>
    <n v="558.23456320391188"/>
    <m/>
    <s v="Renewal"/>
    <m/>
    <m/>
    <s v=""/>
    <n v="5.0000000000000001E-3"/>
    <s v=""/>
    <s v=""/>
    <s v=""/>
    <n v="2.7911728160195595"/>
    <s v=""/>
    <s v=""/>
    <m/>
    <m/>
    <m/>
    <m/>
    <m/>
    <m/>
    <s v=""/>
    <n v="2.7911728160195595"/>
    <s v=""/>
    <s v=""/>
    <x v="3"/>
    <x v="5"/>
    <n v="8.3735184480586771"/>
    <s v="Yes"/>
  </r>
  <r>
    <n v="1"/>
    <s v="SO17455"/>
    <m/>
    <x v="5"/>
    <m/>
    <m/>
    <s v="Ian Trottier"/>
    <n v="7"/>
    <n v="2025"/>
    <s v="INV13323"/>
    <n v="10"/>
    <n v="2025"/>
    <n v="2504"/>
    <s v="Glencore Canada Corporation - Rouyn-Noranda, Glencore Canada Corp."/>
    <s v="CAD"/>
    <n v="109.66"/>
    <n v="80.018825914278025"/>
    <x v="0"/>
    <n v="0"/>
    <n v="80.018825914278025"/>
    <m/>
    <s v="Renewal"/>
    <m/>
    <m/>
    <s v=""/>
    <n v="5.0000000000000001E-3"/>
    <s v=""/>
    <s v=""/>
    <s v=""/>
    <n v="0.40009412957139012"/>
    <s v=""/>
    <s v=""/>
    <m/>
    <m/>
    <m/>
    <m/>
    <m/>
    <m/>
    <s v=""/>
    <n v="0.40009412957139012"/>
    <s v=""/>
    <s v=""/>
    <x v="3"/>
    <x v="5"/>
    <n v="1.2002823887141703"/>
    <s v="Yes"/>
  </r>
  <r>
    <n v="2"/>
    <s v="SO17456"/>
    <m/>
    <x v="5"/>
    <m/>
    <m/>
    <s v="Wilka Nuñez"/>
    <n v="7"/>
    <n v="2025"/>
    <s v="INV13276"/>
    <n v="9"/>
    <n v="2025"/>
    <n v="2503"/>
    <s v="PT Vale Indonesia Tbk."/>
    <s v="USD"/>
    <n v="504.7155770502157"/>
    <n v="369.84"/>
    <x v="0"/>
    <n v="0"/>
    <n v="369.84"/>
    <m/>
    <s v="Renewal"/>
    <m/>
    <m/>
    <s v=""/>
    <n v="5.0000000000000001E-3"/>
    <s v=""/>
    <s v=""/>
    <s v=""/>
    <n v="1.8492"/>
    <s v=""/>
    <s v=""/>
    <m/>
    <m/>
    <m/>
    <n v="2503"/>
    <m/>
    <m/>
    <s v=""/>
    <n v="0"/>
    <s v=""/>
    <s v=""/>
    <x v="1"/>
    <x v="5"/>
    <n v="5.5475999999999992"/>
    <s v="Yes"/>
  </r>
  <r>
    <n v="2"/>
    <s v="SO17456"/>
    <m/>
    <x v="5"/>
    <m/>
    <m/>
    <n v="0"/>
    <n v="7"/>
    <n v="2025"/>
    <s v="INV13176"/>
    <n v="9"/>
    <n v="2025"/>
    <n v="2503"/>
    <s v="PT Vale Indonesia Tbk.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457"/>
    <m/>
    <x v="5"/>
    <m/>
    <m/>
    <s v="Wilka Nuñez"/>
    <n v="7"/>
    <n v="2025"/>
    <s v="INV13393"/>
    <n v="10"/>
    <n v="2025"/>
    <n v="2504"/>
    <s v="Eleazar General &amp; Industrial Supplies Limited"/>
    <s v="USD"/>
    <n v="627.21827607109424"/>
    <n v="453"/>
    <x v="0"/>
    <n v="0"/>
    <n v="453"/>
    <m/>
    <s v="Renewal"/>
    <m/>
    <m/>
    <s v=""/>
    <n v="5.0000000000000001E-3"/>
    <s v=""/>
    <s v=""/>
    <s v=""/>
    <n v="2.2650000000000001"/>
    <s v=""/>
    <s v=""/>
    <m/>
    <m/>
    <m/>
    <m/>
    <m/>
    <m/>
    <s v=""/>
    <n v="2.2650000000000001"/>
    <s v=""/>
    <s v=""/>
    <x v="3"/>
    <x v="5"/>
    <n v="6.7949999999999999"/>
    <s v="Yes"/>
  </r>
  <r>
    <n v="1"/>
    <s v="SO17459"/>
    <m/>
    <x v="2"/>
    <m/>
    <m/>
    <s v="Ian Trottier"/>
    <n v="7"/>
    <n v="2025"/>
    <s v="INV13173"/>
    <n v="8"/>
    <n v="2025"/>
    <n v="2503"/>
    <s v="Wajax Limited - Noranda"/>
    <s v="CAD"/>
    <n v="3048.78"/>
    <n v="2226.040451776385"/>
    <x v="0"/>
    <n v="0"/>
    <n v="2226.040451776385"/>
    <m/>
    <s v="Renewal"/>
    <m/>
    <m/>
    <s v=""/>
    <n v="5.0000000000000001E-3"/>
    <s v=""/>
    <s v=""/>
    <s v=""/>
    <n v="11.130202258881924"/>
    <s v=""/>
    <s v=""/>
    <m/>
    <n v="11.130202258881924"/>
    <m/>
    <m/>
    <m/>
    <m/>
    <s v=""/>
    <n v="11.130202258881924"/>
    <s v=""/>
    <s v=""/>
    <x v="1"/>
    <x v="1"/>
    <n v="33.390606776645775"/>
    <s v="Yes"/>
  </r>
  <r>
    <n v="2"/>
    <s v="SO17461"/>
    <m/>
    <x v="4"/>
    <m/>
    <m/>
    <s v="Ian Trottier"/>
    <n v="7"/>
    <n v="2025"/>
    <s v="INV13201"/>
    <n v="8"/>
    <n v="2025"/>
    <n v="2503"/>
    <s v="Wajax Limited - Noranda"/>
    <s v="CAD"/>
    <n v="984.36"/>
    <n v="718.72197374379334"/>
    <x v="0"/>
    <n v="0"/>
    <n v="718.72197374379334"/>
    <m/>
    <s v="Renewal"/>
    <m/>
    <m/>
    <s v=""/>
    <n v="5.0000000000000001E-3"/>
    <s v=""/>
    <s v=""/>
    <s v=""/>
    <n v="3.5936098687189668"/>
    <s v=""/>
    <s v=""/>
    <m/>
    <m/>
    <m/>
    <n v="2503"/>
    <m/>
    <m/>
    <s v=""/>
    <n v="0"/>
    <s v=""/>
    <s v=""/>
    <x v="1"/>
    <x v="5"/>
    <n v="10.7808296061569"/>
    <s v="Yes"/>
  </r>
  <r>
    <n v="2"/>
    <s v="SO17461"/>
    <m/>
    <x v="4"/>
    <m/>
    <m/>
    <n v="0"/>
    <n v="7"/>
    <n v="2025"/>
    <s v="INV13174"/>
    <n v="8"/>
    <n v="2025"/>
    <n v="2503"/>
    <s v="Wajax Limited - Noranda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462"/>
    <m/>
    <x v="0"/>
    <m/>
    <m/>
    <s v="Ian Trottier"/>
    <n v="7"/>
    <n v="2025"/>
    <s v="INV13466"/>
    <n v="12"/>
    <n v="2025"/>
    <m/>
    <s v="Sealtrac Inc."/>
    <s v="CAD"/>
    <n v="730.78"/>
    <n v="523.96019993539267"/>
    <x v="0"/>
    <n v="0"/>
    <n v="523.9601999353926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7.8594029990308893"/>
    <s v="Yes"/>
  </r>
  <r>
    <n v="2"/>
    <s v="SO17464"/>
    <m/>
    <x v="4"/>
    <m/>
    <m/>
    <s v="Ian Trottier"/>
    <n v="7"/>
    <n v="2025"/>
    <s v="INV13181"/>
    <n v="7"/>
    <n v="2025"/>
    <n v="2504"/>
    <s v="Canadian Bearings Ltd."/>
    <s v="CAD"/>
    <n v="2870"/>
    <n v="2097.763626303074"/>
    <x v="0"/>
    <n v="0"/>
    <n v="2097.763626303074"/>
    <m/>
    <s v="Renewal"/>
    <m/>
    <m/>
    <s v=""/>
    <n v="5.0000000000000001E-3"/>
    <s v=""/>
    <s v=""/>
    <s v=""/>
    <n v="10.488818131515371"/>
    <s v=""/>
    <s v=""/>
    <m/>
    <m/>
    <m/>
    <m/>
    <m/>
    <m/>
    <s v=""/>
    <n v="10.488818131515371"/>
    <s v=""/>
    <s v=""/>
    <x v="3"/>
    <x v="5"/>
    <n v="31.466454394546108"/>
    <s v="Yes"/>
  </r>
  <r>
    <n v="2"/>
    <s v="SO17464"/>
    <m/>
    <x v="4"/>
    <m/>
    <m/>
    <n v="0"/>
    <n v="7"/>
    <n v="2025"/>
    <s v="INV13271"/>
    <n v="10"/>
    <n v="2025"/>
    <n v="2504"/>
    <s v="Canadian Bearing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466"/>
    <m/>
    <x v="4"/>
    <m/>
    <m/>
    <s v="Alexis Gil Lamadrid"/>
    <n v="7"/>
    <n v="2025"/>
    <s v="INV13167"/>
    <n v="9"/>
    <n v="2025"/>
    <n v="2503"/>
    <s v="Resolute Forest Products - Clermont"/>
    <s v="USD"/>
    <n v="1379.4385475830861"/>
    <n v="1010.81"/>
    <x v="0"/>
    <n v="0"/>
    <n v="1010.81"/>
    <m/>
    <s v="Renewal"/>
    <m/>
    <m/>
    <s v=""/>
    <n v="5.0000000000000001E-3"/>
    <s v=""/>
    <s v=""/>
    <s v=""/>
    <n v="5.0540500000000002"/>
    <s v=""/>
    <s v=""/>
    <m/>
    <m/>
    <m/>
    <n v="2503"/>
    <m/>
    <m/>
    <s v=""/>
    <n v="0"/>
    <s v=""/>
    <s v=""/>
    <x v="1"/>
    <x v="5"/>
    <n v="15.162149999999999"/>
    <s v="Yes"/>
  </r>
  <r>
    <n v="1"/>
    <s v="SO17467"/>
    <m/>
    <x v="4"/>
    <m/>
    <m/>
    <s v="Ian Trottier"/>
    <n v="7"/>
    <n v="2025"/>
    <s v="INV13166"/>
    <n v="8"/>
    <n v="2025"/>
    <n v="2503"/>
    <s v="Hyperflo"/>
    <s v="CAD"/>
    <n v="213.9"/>
    <n v="156.08268158913069"/>
    <x v="0"/>
    <n v="0"/>
    <n v="156.08268158913069"/>
    <m/>
    <s v="Renewal"/>
    <m/>
    <m/>
    <s v=""/>
    <n v="5.0000000000000001E-3"/>
    <s v=""/>
    <s v=""/>
    <s v=""/>
    <n v="0.7804134079456535"/>
    <s v=""/>
    <s v=""/>
    <m/>
    <m/>
    <m/>
    <n v="2503"/>
    <m/>
    <m/>
    <s v=""/>
    <n v="0"/>
    <s v=""/>
    <s v=""/>
    <x v="1"/>
    <x v="5"/>
    <n v="2.3412402238369601"/>
    <s v="Yes"/>
  </r>
  <r>
    <n v="1"/>
    <s v="SO17468"/>
    <m/>
    <x v="2"/>
    <m/>
    <m/>
    <s v="Ian Trottier"/>
    <n v="7"/>
    <n v="2025"/>
    <s v="INV13182"/>
    <n v="9"/>
    <n v="2025"/>
    <n v="2503"/>
    <s v="Resolute Forest Products - Saint-Felicien"/>
    <s v="CAD"/>
    <n v="398.12"/>
    <n v="290.99709230096863"/>
    <x v="0"/>
    <n v="0"/>
    <n v="290.99709230096863"/>
    <m/>
    <s v="Renewal"/>
    <m/>
    <m/>
    <s v=""/>
    <n v="5.0000000000000001E-3"/>
    <s v=""/>
    <s v=""/>
    <s v=""/>
    <n v="1.4549854615048432"/>
    <s v=""/>
    <s v=""/>
    <m/>
    <n v="1.4549854615048432"/>
    <m/>
    <m/>
    <m/>
    <m/>
    <s v=""/>
    <n v="1.4549854615048432"/>
    <s v=""/>
    <s v=""/>
    <x v="1"/>
    <x v="1"/>
    <n v="4.3649563845145289"/>
    <s v="Yes"/>
  </r>
  <r>
    <n v="1"/>
    <s v="SO17471"/>
    <m/>
    <x v="2"/>
    <m/>
    <m/>
    <s v="Ian Trottier"/>
    <n v="7"/>
    <n v="2025"/>
    <s v="INV13304"/>
    <n v="9"/>
    <n v="2025"/>
    <n v="2503"/>
    <s v="Sealtrac Inc."/>
    <s v="CAD"/>
    <n v="894.72"/>
    <n v="652.87656321377744"/>
    <x v="0"/>
    <n v="0"/>
    <n v="652.87656321377744"/>
    <m/>
    <s v="Renewal"/>
    <m/>
    <m/>
    <s v=""/>
    <n v="5.0000000000000001E-3"/>
    <s v=""/>
    <s v=""/>
    <s v=""/>
    <n v="3.2643828160688875"/>
    <s v=""/>
    <s v=""/>
    <m/>
    <n v="3.2643828160688875"/>
    <m/>
    <m/>
    <m/>
    <m/>
    <s v=""/>
    <n v="3.2643828160688875"/>
    <s v=""/>
    <s v=""/>
    <x v="1"/>
    <x v="1"/>
    <n v="9.7931484482066615"/>
    <s v="Yes"/>
  </r>
  <r>
    <n v="1"/>
    <s v="SO17472"/>
    <m/>
    <x v="5"/>
    <m/>
    <m/>
    <s v="Ian Trottier"/>
    <n v="7"/>
    <n v="2025"/>
    <s v="INV13331"/>
    <n v="10"/>
    <n v="2025"/>
    <n v="2504"/>
    <s v="Eleazar General &amp; Industrial Supplies Limited"/>
    <s v="USD"/>
    <n v="4600.0945529951023"/>
    <n v="3330.81"/>
    <x v="0"/>
    <n v="0"/>
    <n v="3330.81"/>
    <m/>
    <s v="Renewal"/>
    <m/>
    <m/>
    <s v=""/>
    <n v="5.0000000000000001E-3"/>
    <s v=""/>
    <s v=""/>
    <s v=""/>
    <n v="16.654050000000002"/>
    <s v=""/>
    <s v=""/>
    <m/>
    <m/>
    <m/>
    <m/>
    <m/>
    <m/>
    <s v=""/>
    <n v="16.654050000000002"/>
    <s v=""/>
    <s v=""/>
    <x v="3"/>
    <x v="5"/>
    <n v="49.962149999999994"/>
    <s v="Yes"/>
  </r>
  <r>
    <n v="1"/>
    <s v="SO17475"/>
    <m/>
    <x v="3"/>
    <m/>
    <m/>
    <s v="Amanda Qiao"/>
    <n v="7"/>
    <n v="2025"/>
    <s v="INV13220"/>
    <n v="9"/>
    <n v="2025"/>
    <n v="2503"/>
    <s v="Mill-Right Mine Services Inc."/>
    <s v="CAD"/>
    <n v="9803.7199999999993"/>
    <n v="7153.7676818559703"/>
    <x v="0"/>
    <n v="276.14000000000004"/>
    <n v="6877.62768185597"/>
    <m/>
    <s v="Renewal"/>
    <m/>
    <m/>
    <s v=""/>
    <n v="5.0000000000000001E-3"/>
    <s v=""/>
    <s v=""/>
    <s v=""/>
    <n v="34.388138409279854"/>
    <s v=""/>
    <s v=""/>
    <m/>
    <n v="34.388138409279854"/>
    <m/>
    <n v="2503"/>
    <m/>
    <m/>
    <s v=""/>
    <n v="0"/>
    <s v=""/>
    <s v=""/>
    <x v="1"/>
    <x v="1"/>
    <n v="103.16441522783954"/>
    <s v="Yes"/>
  </r>
  <r>
    <n v="2"/>
    <s v="SO17477"/>
    <m/>
    <x v="5"/>
    <m/>
    <m/>
    <s v="Wilka Nuñez"/>
    <n v="7"/>
    <n v="2025"/>
    <s v="INV13252"/>
    <n v="9"/>
    <n v="2025"/>
    <n v="2503"/>
    <s v="Barrick Gold - Pueblo Viejo Dominicana Corporation"/>
    <s v="USD"/>
    <n v="92841.399648577761"/>
    <n v="67700.06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2"/>
    <s v="SO17477"/>
    <m/>
    <x v="5"/>
    <m/>
    <m/>
    <n v="0"/>
    <n v="7"/>
    <n v="2025"/>
    <s v="INV13574"/>
    <s v=""/>
    <s v=""/>
    <n v="2503"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1"/>
    <s v="SO17478"/>
    <m/>
    <x v="0"/>
    <m/>
    <m/>
    <s v="Ian Trottier"/>
    <n v="7"/>
    <n v="2025"/>
    <s v="INV13165"/>
    <n v="11"/>
    <n v="2025"/>
    <m/>
    <s v="Stroudsburg Electric Motor Service/BDS"/>
    <s v="USD"/>
    <n v="1530.0598253198971"/>
    <n v="1117.1600000000001"/>
    <x v="0"/>
    <n v="377.6"/>
    <n v="739.5600000000000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1.093400000000001"/>
    <s v="Yes"/>
  </r>
  <r>
    <n v="1"/>
    <s v="SO17481"/>
    <m/>
    <x v="0"/>
    <s v="Ian T"/>
    <m/>
    <s v="Ian Trottier"/>
    <n v="7"/>
    <n v="2025"/>
    <s v="INV13229"/>
    <n v="9"/>
    <n v="2025"/>
    <n v="2503"/>
    <s v="Southeast Pump Specialist, Inc."/>
    <s v="USD"/>
    <n v="11693.903252188224"/>
    <n v="8540.11"/>
    <x v="0"/>
    <n v="572"/>
    <n v="7968.1100000000006"/>
    <m/>
    <m/>
    <s v="New Opportunity"/>
    <m/>
    <s v=""/>
    <s v=""/>
    <n v="0.02"/>
    <s v=""/>
    <s v=""/>
    <s v=""/>
    <n v="159.3622"/>
    <s v=""/>
    <m/>
    <n v="159.3622"/>
    <m/>
    <m/>
    <m/>
    <m/>
    <s v=""/>
    <s v=""/>
    <n v="159.3622"/>
    <s v=""/>
    <x v="1"/>
    <x v="1"/>
    <n v="119.52165000000001"/>
    <s v="Yes"/>
  </r>
  <r>
    <n v="1"/>
    <s v="SO17482"/>
    <m/>
    <x v="0"/>
    <m/>
    <m/>
    <s v="Ian Trottier"/>
    <n v="7"/>
    <n v="2025"/>
    <s v="INV13668"/>
    <s v=""/>
    <s v=""/>
    <m/>
    <s v="Southeast Pump Specialist, Inc."/>
    <s v="USD"/>
    <n v="5167.2176633580812"/>
    <n v="3773.24"/>
    <x v="1"/>
    <n v="65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483"/>
    <m/>
    <x v="5"/>
    <m/>
    <m/>
    <s v="Wilka Nuñez"/>
    <n v="7"/>
    <n v="2025"/>
    <s v="INV13249"/>
    <n v="9"/>
    <n v="2025"/>
    <n v="2503"/>
    <s v="Barrick Gold - Pueblo Viejo Dominicana Corporation"/>
    <s v="USD"/>
    <n v="35091.878637381451"/>
    <n v="25589.040000000001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2"/>
    <s v="SO17483"/>
    <m/>
    <x v="5"/>
    <m/>
    <m/>
    <n v="0"/>
    <n v="7"/>
    <n v="2025"/>
    <s v="INV13576"/>
    <s v=""/>
    <s v=""/>
    <n v="2503"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2"/>
    <s v="SO17484"/>
    <m/>
    <x v="2"/>
    <m/>
    <m/>
    <s v="Ian Trottier"/>
    <n v="7"/>
    <n v="2025"/>
    <s v="INV13303"/>
    <n v="9"/>
    <n v="2025"/>
    <n v="2503"/>
    <s v="Sealtrac Inc."/>
    <s v="CAD"/>
    <n v="1114.5999999999999"/>
    <n v="813.322846653787"/>
    <x v="0"/>
    <n v="0"/>
    <n v="813.322846653787"/>
    <m/>
    <s v="Renewal"/>
    <m/>
    <m/>
    <s v=""/>
    <n v="5.0000000000000001E-3"/>
    <s v=""/>
    <s v=""/>
    <s v=""/>
    <n v="4.0666142332689352"/>
    <s v=""/>
    <s v=""/>
    <m/>
    <n v="4.0666142332689352"/>
    <m/>
    <m/>
    <m/>
    <m/>
    <s v=""/>
    <n v="4.0666142332689352"/>
    <s v=""/>
    <s v=""/>
    <x v="1"/>
    <x v="1"/>
    <n v="12.199842699806805"/>
    <s v="Yes"/>
  </r>
  <r>
    <n v="2"/>
    <s v="SO17484"/>
    <m/>
    <x v="2"/>
    <m/>
    <m/>
    <n v="0"/>
    <n v="7"/>
    <n v="2025"/>
    <s v="INV13168"/>
    <n v="9"/>
    <n v="2025"/>
    <n v="2503"/>
    <s v="Sealtrac Inc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n v="0"/>
    <m/>
    <m/>
    <m/>
    <m/>
    <s v=""/>
    <n v="0"/>
    <s v=""/>
    <s v=""/>
    <x v="1"/>
    <x v="1"/>
    <n v="0"/>
    <s v=""/>
  </r>
  <r>
    <n v="1"/>
    <s v="SO17485"/>
    <m/>
    <x v="2"/>
    <m/>
    <m/>
    <s v="Ian Trottier"/>
    <n v="7"/>
    <n v="2025"/>
    <s v="INV13171"/>
    <n v="8"/>
    <n v="2025"/>
    <n v="2503"/>
    <s v="Les Pompes du St-Laurent Inc."/>
    <s v="CAD"/>
    <n v="786.58"/>
    <n v="574.93341922560012"/>
    <x v="0"/>
    <n v="0"/>
    <n v="574.93341922560012"/>
    <m/>
    <s v="Renewal"/>
    <m/>
    <m/>
    <s v=""/>
    <n v="5.0000000000000001E-3"/>
    <s v=""/>
    <s v=""/>
    <s v=""/>
    <n v="2.8746670961280008"/>
    <s v=""/>
    <s v=""/>
    <m/>
    <n v="2.8746670961280008"/>
    <m/>
    <m/>
    <m/>
    <m/>
    <s v=""/>
    <n v="2.8746670961280008"/>
    <s v=""/>
    <s v=""/>
    <x v="1"/>
    <x v="1"/>
    <n v="8.6240012883840009"/>
    <s v="Yes"/>
  </r>
  <r>
    <n v="1"/>
    <s v="SO17486"/>
    <m/>
    <x v="0"/>
    <m/>
    <m/>
    <s v="Yannett Yeomans"/>
    <n v="7"/>
    <n v="2025"/>
    <s v="INV13355"/>
    <s v=""/>
    <s v=""/>
    <m/>
    <s v="Dynapro Pumps México S de RL de CV"/>
    <s v="USD"/>
    <n v="3207.5979366421989"/>
    <n v="234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488"/>
    <m/>
    <x v="4"/>
    <m/>
    <m/>
    <s v="Ian Trottier"/>
    <n v="7"/>
    <n v="2025"/>
    <s v="INV13208"/>
    <n v="7"/>
    <n v="2025"/>
    <n v="2504"/>
    <s v="Canadian Bearings Ltd."/>
    <s v="CAD"/>
    <n v="3861.59"/>
    <n v="2815.8636943690262"/>
    <x v="0"/>
    <n v="0"/>
    <n v="2815.8636943690262"/>
    <m/>
    <s v="Renewal"/>
    <m/>
    <m/>
    <s v=""/>
    <n v="5.0000000000000001E-3"/>
    <s v=""/>
    <s v=""/>
    <s v=""/>
    <n v="14.079318471845131"/>
    <s v=""/>
    <s v=""/>
    <m/>
    <m/>
    <m/>
    <m/>
    <m/>
    <m/>
    <s v=""/>
    <n v="14.079318471845131"/>
    <s v=""/>
    <s v=""/>
    <x v="3"/>
    <x v="5"/>
    <n v="42.237955415535389"/>
    <s v="Yes"/>
  </r>
  <r>
    <n v="2"/>
    <s v="SO17488"/>
    <m/>
    <x v="4"/>
    <m/>
    <m/>
    <n v="0"/>
    <n v="7"/>
    <n v="2025"/>
    <s v="INV13310"/>
    <n v="10"/>
    <n v="2025"/>
    <n v="2504"/>
    <s v="Canadian Bearing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0"/>
    <s v="SO17489"/>
    <m/>
    <x v="0"/>
    <m/>
    <m/>
    <s v="Alexis Gil Lamadrid"/>
    <n v="7"/>
    <n v="2025"/>
    <s v="No Inv"/>
    <s v=""/>
    <s v=""/>
    <m/>
    <s v="Wajax Limited - Timmins"/>
    <s v="CAD"/>
    <n v="1610"/>
    <n v="1164.440736899029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491"/>
    <m/>
    <x v="4"/>
    <m/>
    <m/>
    <s v="Ian Trottier"/>
    <n v="7"/>
    <n v="2025"/>
    <s v="INV13401"/>
    <n v="11"/>
    <n v="2025"/>
    <n v="2504"/>
    <s v="Resolute Forest Products - Alma"/>
    <s v="CAD"/>
    <n v="2068.5"/>
    <n v="1510.4212397075696"/>
    <x v="0"/>
    <n v="0"/>
    <n v="1510.4212397075696"/>
    <m/>
    <s v="Renewal"/>
    <m/>
    <m/>
    <s v=""/>
    <n v="5.0000000000000001E-3"/>
    <s v=""/>
    <s v=""/>
    <s v=""/>
    <n v="7.5521061985378486"/>
    <s v=""/>
    <s v=""/>
    <m/>
    <m/>
    <m/>
    <m/>
    <m/>
    <m/>
    <s v=""/>
    <n v="7.5521061985378486"/>
    <s v=""/>
    <s v=""/>
    <x v="3"/>
    <x v="5"/>
    <n v="22.656318595613545"/>
    <s v="Yes"/>
  </r>
  <r>
    <n v="2"/>
    <s v="SO17494"/>
    <m/>
    <x v="4"/>
    <m/>
    <m/>
    <s v="Alexis Gil Lamadrid"/>
    <n v="7"/>
    <n v="2025"/>
    <s v="INV13245"/>
    <n v="9"/>
    <n v="2025"/>
    <n v="2504"/>
    <s v="Canadian Bearings Ltd."/>
    <s v="CAD"/>
    <n v="3159.68"/>
    <n v="2309.4988762220555"/>
    <x v="0"/>
    <n v="0"/>
    <n v="2309.4988762220555"/>
    <m/>
    <s v="Renewal"/>
    <m/>
    <m/>
    <s v=""/>
    <n v="5.0000000000000001E-3"/>
    <s v=""/>
    <s v=""/>
    <s v=""/>
    <n v="11.547494381110278"/>
    <s v=""/>
    <s v=""/>
    <m/>
    <m/>
    <m/>
    <m/>
    <m/>
    <m/>
    <s v=""/>
    <n v="11.547494381110278"/>
    <s v=""/>
    <s v=""/>
    <x v="3"/>
    <x v="5"/>
    <n v="34.642483143330828"/>
    <s v="Yes"/>
  </r>
  <r>
    <n v="2"/>
    <s v="SO17494"/>
    <m/>
    <x v="4"/>
    <m/>
    <m/>
    <n v="0"/>
    <n v="7"/>
    <n v="2025"/>
    <s v="INV13382"/>
    <n v="10"/>
    <n v="2025"/>
    <n v="2504"/>
    <s v="Canadian Bearing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496"/>
    <m/>
    <x v="0"/>
    <m/>
    <m/>
    <s v="Yannett Yeomans"/>
    <n v="7"/>
    <n v="2025"/>
    <s v="INV13682"/>
    <s v=""/>
    <s v=""/>
    <m/>
    <s v="Dynapro Pumps México S de RL de CV"/>
    <s v="USD"/>
    <n v="15706.547027076318"/>
    <n v="114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496"/>
    <m/>
    <x v="0"/>
    <m/>
    <m/>
    <n v="0"/>
    <n v="7"/>
    <n v="2025"/>
    <s v="INV13369"/>
    <s v=""/>
    <s v=""/>
    <m/>
    <s v="Dynapro Pumps México S de RL de CV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497"/>
    <m/>
    <x v="0"/>
    <m/>
    <m/>
    <s v="Ian Trottier"/>
    <n v="7"/>
    <n v="2025"/>
    <s v="INV13352"/>
    <n v="1"/>
    <n v="1900"/>
    <m/>
    <s v="Kumtor Gold Company"/>
    <s v="USD"/>
    <n v="0"/>
    <n v="0"/>
    <x v="0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Yes"/>
  </r>
  <r>
    <n v="2"/>
    <s v="SO17506"/>
    <m/>
    <x v="4"/>
    <m/>
    <m/>
    <s v="Alexis Gil Lamadrid"/>
    <n v="7"/>
    <n v="2025"/>
    <s v="INV13210"/>
    <n v="9"/>
    <n v="2025"/>
    <n v="2503"/>
    <s v="Resolute Forest Products - Fibrek"/>
    <s v="CAD"/>
    <n v="3769.5"/>
    <n v="2748.7118507982573"/>
    <x v="0"/>
    <n v="0"/>
    <n v="2748.7118507982573"/>
    <m/>
    <s v="Renewal"/>
    <m/>
    <m/>
    <s v=""/>
    <n v="5.0000000000000001E-3"/>
    <s v=""/>
    <s v=""/>
    <s v=""/>
    <n v="13.743559253991286"/>
    <s v=""/>
    <s v=""/>
    <m/>
    <m/>
    <m/>
    <n v="2503"/>
    <m/>
    <m/>
    <s v=""/>
    <n v="0"/>
    <s v=""/>
    <s v=""/>
    <x v="1"/>
    <x v="5"/>
    <n v="41.230677761973858"/>
    <s v="Yes"/>
  </r>
  <r>
    <n v="2"/>
    <s v="SO17506"/>
    <m/>
    <x v="4"/>
    <m/>
    <m/>
    <n v="0"/>
    <n v="7"/>
    <n v="2025"/>
    <s v="INV13233"/>
    <n v="9"/>
    <n v="2025"/>
    <n v="2503"/>
    <s v="Resolute Forest Products - Fibrek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507"/>
    <m/>
    <x v="5"/>
    <m/>
    <m/>
    <s v="Wilka Nuñez"/>
    <n v="7"/>
    <n v="2025"/>
    <s v="INV13329"/>
    <n v="10"/>
    <n v="2025"/>
    <n v="2504"/>
    <s v="Sling-Choker Manufacturing - Timmins"/>
    <s v="CAD"/>
    <n v="1842.22"/>
    <n v="1344.2666558070514"/>
    <x v="0"/>
    <n v="0"/>
    <n v="1344.2666558070514"/>
    <m/>
    <s v="Renewal"/>
    <m/>
    <m/>
    <s v=""/>
    <n v="5.0000000000000001E-3"/>
    <s v=""/>
    <s v=""/>
    <s v=""/>
    <n v="6.7213332790352567"/>
    <s v=""/>
    <s v=""/>
    <m/>
    <m/>
    <m/>
    <m/>
    <m/>
    <m/>
    <s v=""/>
    <n v="6.7213332790352567"/>
    <s v=""/>
    <s v=""/>
    <x v="3"/>
    <x v="5"/>
    <n v="20.16399983710577"/>
    <s v="Yes"/>
  </r>
  <r>
    <n v="3"/>
    <s v="SO17509"/>
    <m/>
    <x v="0"/>
    <m/>
    <m/>
    <s v="Ian Trottier"/>
    <n v="7"/>
    <n v="2025"/>
    <s v="INV13671"/>
    <s v=""/>
    <s v=""/>
    <m/>
    <s v="Middle Georgia Fluid Sealing LLC"/>
    <s v="USD"/>
    <n v="29253.178105538074"/>
    <n v="21361.45"/>
    <x v="1"/>
    <n v="782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509"/>
    <m/>
    <x v="0"/>
    <m/>
    <m/>
    <n v="0"/>
    <n v="7"/>
    <n v="2025"/>
    <s v="INV13238"/>
    <n v="9"/>
    <n v="2025"/>
    <m/>
    <s v="Middle Georgia Fluid Sealing LLC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509"/>
    <m/>
    <x v="0"/>
    <m/>
    <m/>
    <n v="0"/>
    <n v="7"/>
    <n v="2025"/>
    <s v="INV13681"/>
    <s v=""/>
    <s v=""/>
    <m/>
    <s v="Middle Georgia Fluid Sealing LLC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12"/>
    <m/>
    <x v="0"/>
    <m/>
    <m/>
    <s v="Yannett Yeomans"/>
    <n v="7"/>
    <n v="2025"/>
    <s v="INV13317"/>
    <s v=""/>
    <s v=""/>
    <m/>
    <s v="Dynapro Pumps México S de RL de CV"/>
    <s v="USD"/>
    <n v="1684.408552313248"/>
    <n v="123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13"/>
    <m/>
    <x v="0"/>
    <m/>
    <m/>
    <s v="Yannett Yeomans"/>
    <n v="7"/>
    <n v="2025"/>
    <s v="INV13458"/>
    <s v=""/>
    <s v=""/>
    <m/>
    <s v="Dynapro Pumps México S de RL de CV"/>
    <s v="USD"/>
    <n v="7029.3244707511394"/>
    <n v="513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15"/>
    <m/>
    <x v="2"/>
    <m/>
    <m/>
    <s v="Ian Trottier"/>
    <n v="7"/>
    <n v="2025"/>
    <s v="INV13299"/>
    <n v="9"/>
    <n v="2025"/>
    <n v="2503"/>
    <s v="Alamos Gold Inc"/>
    <s v="CAD"/>
    <n v="7934.6"/>
    <n v="5785.4161697389609"/>
    <x v="0"/>
    <n v="0"/>
    <n v="5785.4161697389609"/>
    <m/>
    <s v="New Opportunity"/>
    <m/>
    <m/>
    <s v=""/>
    <n v="0.02"/>
    <s v=""/>
    <s v=""/>
    <s v=""/>
    <n v="115.70832339477921"/>
    <s v=""/>
    <s v=""/>
    <m/>
    <n v="115.70832339477921"/>
    <m/>
    <m/>
    <m/>
    <m/>
    <s v=""/>
    <n v="115.70832339477921"/>
    <s v=""/>
    <s v=""/>
    <x v="1"/>
    <x v="1"/>
    <n v="86.781242546084414"/>
    <s v="Yes"/>
  </r>
  <r>
    <n v="1"/>
    <s v="SO17516"/>
    <m/>
    <x v="0"/>
    <m/>
    <m/>
    <s v="Wilka Nuñez"/>
    <n v="7"/>
    <n v="2025"/>
    <s v="INV13300"/>
    <n v="10"/>
    <n v="2025"/>
    <m/>
    <s v="Wajax Limited - Pointe-aux-Trembles, Wajax Limited"/>
    <s v="CAD"/>
    <n v="774.75"/>
    <n v="561.1272614535867"/>
    <x v="0"/>
    <n v="0"/>
    <n v="561.127261453586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.4169089218038007"/>
    <s v="Yes"/>
  </r>
  <r>
    <n v="1"/>
    <s v="SO17518"/>
    <m/>
    <x v="0"/>
    <m/>
    <m/>
    <s v="Yannett Yeomans"/>
    <n v="7"/>
    <n v="2025"/>
    <s v="INV13469"/>
    <s v=""/>
    <s v=""/>
    <m/>
    <s v="Dynapro Pumps México S de RL de CV"/>
    <s v="USD"/>
    <n v="3971.5079755905626"/>
    <n v="29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19"/>
    <m/>
    <x v="4"/>
    <m/>
    <m/>
    <s v="Alexis Gil Lamadrid"/>
    <n v="7"/>
    <n v="2025"/>
    <s v="INV13198"/>
    <n v="8"/>
    <n v="2025"/>
    <n v="2503"/>
    <s v="Fabrene Inc."/>
    <s v="CAD"/>
    <n v="114.56"/>
    <n v="83.594352514496535"/>
    <x v="0"/>
    <n v="0"/>
    <n v="83.594352514496535"/>
    <m/>
    <s v="Renewal"/>
    <m/>
    <m/>
    <s v=""/>
    <n v="5.0000000000000001E-3"/>
    <s v=""/>
    <s v=""/>
    <s v=""/>
    <n v="0.4179717625724827"/>
    <s v=""/>
    <s v=""/>
    <m/>
    <m/>
    <m/>
    <n v="2503"/>
    <m/>
    <m/>
    <s v=""/>
    <n v="0"/>
    <s v=""/>
    <s v=""/>
    <x v="1"/>
    <x v="5"/>
    <n v="1.253915287717448"/>
    <s v="Yes"/>
  </r>
  <r>
    <n v="1"/>
    <s v="SO17520"/>
    <m/>
    <x v="4"/>
    <m/>
    <m/>
    <s v="Ian Trottier"/>
    <n v="7"/>
    <n v="2025"/>
    <s v="INV13217"/>
    <n v="8"/>
    <n v="2025"/>
    <n v="2503"/>
    <s v="Hyperflo"/>
    <s v="CAD"/>
    <n v="1210.56"/>
    <n v="880.43940798411234"/>
    <x v="0"/>
    <n v="0"/>
    <n v="880.43940798411234"/>
    <m/>
    <s v="Renewal"/>
    <m/>
    <m/>
    <s v=""/>
    <n v="5.0000000000000001E-3"/>
    <s v=""/>
    <s v=""/>
    <s v=""/>
    <n v="4.4021970399205621"/>
    <s v=""/>
    <s v=""/>
    <m/>
    <m/>
    <m/>
    <n v="2503"/>
    <m/>
    <m/>
    <s v=""/>
    <n v="0"/>
    <s v=""/>
    <s v=""/>
    <x v="1"/>
    <x v="5"/>
    <n v="13.206591119761685"/>
    <s v="Yes"/>
  </r>
  <r>
    <n v="1"/>
    <s v="SO17521"/>
    <m/>
    <x v="2"/>
    <m/>
    <m/>
    <s v="Ian Trottier"/>
    <n v="7"/>
    <n v="2025"/>
    <s v="INV13200"/>
    <n v="8"/>
    <n v="2025"/>
    <n v="2503"/>
    <s v="Les Pompes du St-Laurent Inc."/>
    <s v="CAD"/>
    <n v="1299.76"/>
    <n v="948.43397018367682"/>
    <x v="0"/>
    <n v="0"/>
    <n v="948.43397018367682"/>
    <m/>
    <s v="Renewal"/>
    <m/>
    <m/>
    <s v=""/>
    <n v="5.0000000000000001E-3"/>
    <s v=""/>
    <s v=""/>
    <s v=""/>
    <n v="4.7421698509183843"/>
    <s v=""/>
    <s v=""/>
    <m/>
    <n v="4.7421698509183843"/>
    <m/>
    <m/>
    <m/>
    <m/>
    <s v=""/>
    <n v="4.7421698509183843"/>
    <s v=""/>
    <s v=""/>
    <x v="1"/>
    <x v="1"/>
    <n v="14.226509552755152"/>
    <s v="Yes"/>
  </r>
  <r>
    <n v="1"/>
    <s v="SO17522"/>
    <m/>
    <x v="4"/>
    <m/>
    <m/>
    <s v="Alexis Gil Lamadrid"/>
    <n v="7"/>
    <n v="2025"/>
    <s v="INV13209"/>
    <n v="9"/>
    <n v="2025"/>
    <n v="2503"/>
    <s v="Resolute Forest Products - Dolbeau"/>
    <s v="CAD"/>
    <n v="1018.48"/>
    <n v="743.18414934501084"/>
    <x v="0"/>
    <n v="0"/>
    <n v="743.18414934501084"/>
    <m/>
    <s v="Renewal"/>
    <m/>
    <m/>
    <s v=""/>
    <n v="5.0000000000000001E-3"/>
    <s v=""/>
    <s v=""/>
    <s v=""/>
    <n v="3.7159207467250543"/>
    <s v=""/>
    <s v=""/>
    <m/>
    <m/>
    <m/>
    <n v="2503"/>
    <m/>
    <m/>
    <s v=""/>
    <n v="0"/>
    <s v=""/>
    <s v=""/>
    <x v="1"/>
    <x v="5"/>
    <n v="11.147762240175162"/>
    <s v="Yes"/>
  </r>
  <r>
    <n v="1"/>
    <s v="SO17523"/>
    <m/>
    <x v="5"/>
    <m/>
    <m/>
    <s v="Wilka Nuñez"/>
    <n v="7"/>
    <n v="2025"/>
    <s v="INV13253"/>
    <n v="9"/>
    <n v="2025"/>
    <n v="2503"/>
    <s v="Barrick Gold - Pueblo Viejo Dominicana Corporation"/>
    <s v="USD"/>
    <n v="15081.43177621778"/>
    <n v="11012.48"/>
    <x v="0"/>
    <n v="0"/>
    <n v="11012.48"/>
    <m/>
    <s v="New Opportunity"/>
    <m/>
    <m/>
    <s v=""/>
    <n v="0.02"/>
    <s v=""/>
    <s v=""/>
    <s v=""/>
    <n v="220.24959999999999"/>
    <s v=""/>
    <s v=""/>
    <m/>
    <m/>
    <m/>
    <n v="2503"/>
    <m/>
    <m/>
    <s v=""/>
    <n v="0"/>
    <s v=""/>
    <s v=""/>
    <x v="3"/>
    <x v="6"/>
    <n v="165.18719999999999"/>
    <s v="Yes"/>
  </r>
  <r>
    <n v="1"/>
    <s v="SO17524"/>
    <m/>
    <x v="0"/>
    <m/>
    <m/>
    <s v="Ian Trottier"/>
    <n v="7"/>
    <n v="2025"/>
    <s v="INV13404"/>
    <n v="10"/>
    <n v="2025"/>
    <m/>
    <s v="Les Pompes du St-Laurent Inc."/>
    <s v="CAD"/>
    <n v="1299.76"/>
    <n v="948.43397018367682"/>
    <x v="0"/>
    <n v="0"/>
    <n v="948.4339701836768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4.226509552755152"/>
    <s v="Yes"/>
  </r>
  <r>
    <n v="1"/>
    <s v="SO17525"/>
    <m/>
    <x v="4"/>
    <m/>
    <m/>
    <s v="Alexis Gil Lamadrid"/>
    <n v="7"/>
    <n v="2025"/>
    <s v="INV13256"/>
    <n v="10"/>
    <n v="2025"/>
    <n v="2504"/>
    <s v="Wajax Limited - Val D'Or, Composants Industriels Wajax SC -57"/>
    <s v="CAD"/>
    <n v="297.88"/>
    <n v="217.36282932103902"/>
    <x v="0"/>
    <n v="0"/>
    <n v="217.36282932103902"/>
    <m/>
    <s v="Renewal"/>
    <m/>
    <m/>
    <s v=""/>
    <n v="5.0000000000000001E-3"/>
    <s v=""/>
    <s v=""/>
    <s v=""/>
    <n v="1.086814146605195"/>
    <s v=""/>
    <s v=""/>
    <m/>
    <m/>
    <m/>
    <m/>
    <m/>
    <m/>
    <s v=""/>
    <n v="1.086814146605195"/>
    <s v=""/>
    <s v=""/>
    <x v="3"/>
    <x v="5"/>
    <n v="3.2604424398155851"/>
    <s v="Yes"/>
  </r>
  <r>
    <n v="2"/>
    <s v="SO17529"/>
    <m/>
    <x v="5"/>
    <m/>
    <m/>
    <s v="Wilka Nuñez"/>
    <n v="7"/>
    <n v="2025"/>
    <s v="INV13225"/>
    <n v="8"/>
    <n v="2025"/>
    <n v="2503"/>
    <s v="Hyperflo"/>
    <s v="CAD"/>
    <n v="363.32"/>
    <n v="266.94761244432834"/>
    <x v="0"/>
    <n v="0"/>
    <n v="266.94761244432834"/>
    <m/>
    <s v="Renewal"/>
    <m/>
    <m/>
    <s v=""/>
    <n v="5.0000000000000001E-3"/>
    <s v=""/>
    <s v=""/>
    <s v=""/>
    <n v="1.3347380622216418"/>
    <s v=""/>
    <s v=""/>
    <m/>
    <m/>
    <m/>
    <n v="2503"/>
    <m/>
    <m/>
    <s v=""/>
    <n v="0"/>
    <s v=""/>
    <s v=""/>
    <x v="1"/>
    <x v="5"/>
    <n v="4.0042141866649246"/>
    <s v="Yes"/>
  </r>
  <r>
    <n v="2"/>
    <s v="SO17529"/>
    <m/>
    <x v="5"/>
    <m/>
    <m/>
    <n v="0"/>
    <n v="7"/>
    <n v="2025"/>
    <s v="INV13243"/>
    <n v="9"/>
    <n v="2025"/>
    <n v="2503"/>
    <s v="Hyperflo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530"/>
    <m/>
    <x v="4"/>
    <m/>
    <m/>
    <s v="Ian Trottier"/>
    <n v="7"/>
    <n v="2025"/>
    <s v="INV13461"/>
    <n v="11"/>
    <n v="2025"/>
    <n v="2504"/>
    <s v="Resolute Forest Products - Saint-Felicien"/>
    <s v="CAD"/>
    <n v="3198.73"/>
    <n v="2334.111061615708"/>
    <x v="0"/>
    <n v="0"/>
    <n v="2334.111061615708"/>
    <m/>
    <s v="Renewal"/>
    <m/>
    <m/>
    <s v=""/>
    <n v="5.0000000000000001E-3"/>
    <s v=""/>
    <s v=""/>
    <s v=""/>
    <n v="11.670555308078541"/>
    <s v=""/>
    <s v=""/>
    <m/>
    <m/>
    <m/>
    <m/>
    <m/>
    <m/>
    <s v=""/>
    <n v="11.670555308078541"/>
    <s v=""/>
    <s v=""/>
    <x v="3"/>
    <x v="5"/>
    <n v="35.011665924235615"/>
    <s v="Yes"/>
  </r>
  <r>
    <n v="2"/>
    <s v="SO17531"/>
    <m/>
    <x v="5"/>
    <m/>
    <m/>
    <s v="Wilka Nuñez"/>
    <n v="7"/>
    <n v="2025"/>
    <s v="INV13196"/>
    <n v="7"/>
    <n v="2025"/>
    <n v="2504"/>
    <s v="Canadian Bearings Ltd."/>
    <s v="CAD"/>
    <n v="1589.84"/>
    <n v="1156.2894762667372"/>
    <x v="0"/>
    <n v="0"/>
    <n v="1156.2894762667372"/>
    <m/>
    <s v="Renewal"/>
    <m/>
    <m/>
    <s v=""/>
    <n v="5.0000000000000001E-3"/>
    <s v=""/>
    <s v=""/>
    <s v=""/>
    <n v="5.7814473813336864"/>
    <s v=""/>
    <s v=""/>
    <m/>
    <m/>
    <m/>
    <m/>
    <m/>
    <m/>
    <s v=""/>
    <n v="5.7814473813336864"/>
    <s v=""/>
    <s v=""/>
    <x v="3"/>
    <x v="5"/>
    <n v="17.344342144001057"/>
    <s v="Yes"/>
  </r>
  <r>
    <n v="2"/>
    <s v="SO17531"/>
    <m/>
    <x v="5"/>
    <m/>
    <m/>
    <n v="0"/>
    <n v="7"/>
    <n v="2025"/>
    <s v="INV13270"/>
    <n v="10"/>
    <n v="2025"/>
    <n v="2504"/>
    <s v="Canadian Bearings Ltd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532"/>
    <m/>
    <x v="0"/>
    <m/>
    <m/>
    <s v="Ian Trottier"/>
    <n v="7"/>
    <n v="2025"/>
    <s v="INV13719"/>
    <s v=""/>
    <s v=""/>
    <m/>
    <s v="Les Pompes du St-Laurent Inc."/>
    <s v="CAD"/>
    <n v="24548.44"/>
    <n v="17932.30349364737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32"/>
    <m/>
    <x v="0"/>
    <m/>
    <m/>
    <n v="0"/>
    <n v="7"/>
    <n v="2025"/>
    <s v="INV13511"/>
    <s v=""/>
    <s v=""/>
    <m/>
    <s v="Les Pompes du St-Laurent Inc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35"/>
    <m/>
    <x v="0"/>
    <m/>
    <m/>
    <s v="Ian Trottier"/>
    <n v="7"/>
    <n v="2025"/>
    <s v="INV13555"/>
    <s v=""/>
    <s v=""/>
    <m/>
    <s v="Hisco Pump Inc."/>
    <s v="USD"/>
    <n v="3595.2725631936241"/>
    <n v="2613.32000000000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35"/>
    <m/>
    <x v="0"/>
    <m/>
    <m/>
    <n v="0"/>
    <n v="7"/>
    <n v="2025"/>
    <s v="INV13288"/>
    <n v="10"/>
    <n v="2025"/>
    <m/>
    <s v="Hisco Pump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36"/>
    <m/>
    <x v="0"/>
    <m/>
    <m/>
    <s v="Ian Trottier"/>
    <n v="7"/>
    <n v="2025"/>
    <s v="INV13325"/>
    <n v="9"/>
    <n v="2025"/>
    <m/>
    <s v="Gibraltar Mine (Canada)"/>
    <s v="CAD"/>
    <n v="7365.39"/>
    <n v="5370.8276372863711"/>
    <x v="0"/>
    <n v="0"/>
    <n v="5370.827637286371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0.562414559295561"/>
    <s v="Yes"/>
  </r>
  <r>
    <n v="2"/>
    <s v="SO17536"/>
    <m/>
    <x v="0"/>
    <m/>
    <m/>
    <n v="0"/>
    <n v="7"/>
    <n v="2025"/>
    <s v="INV13491"/>
    <n v="11"/>
    <n v="2025"/>
    <m/>
    <s v="Gibraltar Mine (Canada)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39"/>
    <m/>
    <x v="0"/>
    <m/>
    <m/>
    <s v="Alexis Gil Lamadrid"/>
    <n v="7"/>
    <n v="2025"/>
    <s v="INV13693"/>
    <s v=""/>
    <s v=""/>
    <m/>
    <s v="Wajax Limited - Val D'Or, Composants Industriels Wajax SC -57"/>
    <s v="CAD"/>
    <n v="12687.26"/>
    <n v="9054.822983000787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43"/>
    <m/>
    <x v="0"/>
    <m/>
    <m/>
    <s v="Yannett Yeomans"/>
    <n v="7"/>
    <n v="2025"/>
    <s v="INV13709"/>
    <s v=""/>
    <s v=""/>
    <m/>
    <s v="Dynapro Pumps México S de RL de CV"/>
    <s v="USD"/>
    <n v="85549.377409693567"/>
    <n v="6222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44"/>
    <m/>
    <x v="0"/>
    <m/>
    <m/>
    <s v="Ian Trottier"/>
    <n v="7"/>
    <n v="2025"/>
    <s v="INV13199"/>
    <n v="9"/>
    <n v="2025"/>
    <m/>
    <s v="Sealtrac Inc."/>
    <s v="CAD"/>
    <n v="1573.14"/>
    <n v="1147.1305374624671"/>
    <x v="0"/>
    <n v="0"/>
    <n v="1147.130537462467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7.206958061937005"/>
    <s v="Yes"/>
  </r>
  <r>
    <n v="1"/>
    <s v="SO17547"/>
    <m/>
    <x v="2"/>
    <m/>
    <m/>
    <s v="Ian Trottier"/>
    <n v="7"/>
    <n v="2025"/>
    <s v="INV13240"/>
    <n v="9"/>
    <n v="2025"/>
    <n v="2503"/>
    <s v="Middle Georgia Fluid Sealing LLC"/>
    <s v="USD"/>
    <n v="20421.256608515894"/>
    <n v="14878.98"/>
    <x v="0"/>
    <n v="0"/>
    <n v="14878.98"/>
    <m/>
    <s v="New Opportunity"/>
    <m/>
    <m/>
    <s v=""/>
    <n v="0.02"/>
    <s v=""/>
    <s v=""/>
    <s v=""/>
    <n v="297.57959999999997"/>
    <s v=""/>
    <s v=""/>
    <m/>
    <n v="297.57959999999997"/>
    <m/>
    <m/>
    <m/>
    <m/>
    <s v=""/>
    <n v="297.57959999999997"/>
    <s v=""/>
    <s v=""/>
    <x v="1"/>
    <x v="1"/>
    <n v="223.18469999999999"/>
    <s v="Yes"/>
  </r>
  <r>
    <n v="1"/>
    <s v="SO17548"/>
    <m/>
    <x v="0"/>
    <m/>
    <m/>
    <s v="Yannett Yeomans"/>
    <n v="7"/>
    <n v="2025"/>
    <s v="INV13356"/>
    <s v=""/>
    <s v=""/>
    <m/>
    <s v="Dynapro Pumps México S de RL de CV"/>
    <s v="USD"/>
    <n v="1223.7053342113031"/>
    <n v="89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49"/>
    <m/>
    <x v="0"/>
    <m/>
    <m/>
    <s v="Yannett Yeomans"/>
    <n v="7"/>
    <n v="2025"/>
    <s v="INV13371"/>
    <s v=""/>
    <s v=""/>
    <m/>
    <s v="Dynapro Pumps México S de RL de CV"/>
    <s v="USD"/>
    <n v="206.24247205808479"/>
    <n v="15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50"/>
    <m/>
    <x v="5"/>
    <m/>
    <m/>
    <s v="Wilka Nuñez"/>
    <n v="7"/>
    <n v="2025"/>
    <s v="INV13219"/>
    <n v="8"/>
    <n v="2025"/>
    <n v="2503"/>
    <s v="Hyperflo"/>
    <s v="CAD"/>
    <n v="810.36"/>
    <n v="591.31912974552563"/>
    <x v="0"/>
    <n v="0"/>
    <n v="591.31912974552563"/>
    <m/>
    <s v="Renewal"/>
    <m/>
    <m/>
    <s v=""/>
    <n v="5.0000000000000001E-3"/>
    <s v=""/>
    <s v=""/>
    <s v=""/>
    <n v="2.9565956487276281"/>
    <s v=""/>
    <s v=""/>
    <m/>
    <m/>
    <m/>
    <n v="2503"/>
    <m/>
    <m/>
    <s v=""/>
    <n v="0"/>
    <s v=""/>
    <s v=""/>
    <x v="1"/>
    <x v="5"/>
    <n v="8.8697869461828844"/>
    <s v="Yes"/>
  </r>
  <r>
    <n v="1"/>
    <s v="SO17551"/>
    <m/>
    <x v="2"/>
    <m/>
    <m/>
    <s v="Ian Trottier"/>
    <n v="7"/>
    <n v="2025"/>
    <s v="INV13212"/>
    <n v="8"/>
    <n v="2025"/>
    <n v="2503"/>
    <s v="Les Pompes du St-Laurent Inc."/>
    <s v="CAD"/>
    <n v="1557.64"/>
    <n v="1137.8349587120367"/>
    <x v="0"/>
    <n v="0"/>
    <n v="1137.8349587120367"/>
    <m/>
    <s v="Renewal"/>
    <m/>
    <m/>
    <s v=""/>
    <n v="5.0000000000000001E-3"/>
    <s v=""/>
    <s v=""/>
    <s v=""/>
    <n v="5.6891747935601833"/>
    <s v=""/>
    <s v=""/>
    <m/>
    <n v="5.6891747935601833"/>
    <m/>
    <m/>
    <m/>
    <m/>
    <s v=""/>
    <n v="5.6891747935601833"/>
    <s v=""/>
    <s v=""/>
    <x v="1"/>
    <x v="1"/>
    <n v="17.067524380680549"/>
    <s v="Yes"/>
  </r>
  <r>
    <n v="1"/>
    <s v="SO17552"/>
    <m/>
    <x v="2"/>
    <m/>
    <m/>
    <s v="Ian Trottier"/>
    <n v="7"/>
    <n v="2025"/>
    <s v="INV13277"/>
    <n v="9"/>
    <n v="2025"/>
    <n v="2503"/>
    <s v="Alamos Gold Inc, Alamos Gold Inc Island Gold Division"/>
    <s v="CAD"/>
    <n v="1363.36"/>
    <n v="995.91604562648774"/>
    <x v="0"/>
    <n v="0"/>
    <n v="995.91604562648774"/>
    <m/>
    <s v="Renewal"/>
    <m/>
    <m/>
    <s v=""/>
    <n v="5.0000000000000001E-3"/>
    <s v=""/>
    <s v=""/>
    <s v=""/>
    <n v="4.9795802281324386"/>
    <s v=""/>
    <s v=""/>
    <m/>
    <n v="4.9795802281324386"/>
    <m/>
    <m/>
    <m/>
    <m/>
    <s v=""/>
    <n v="4.9795802281324386"/>
    <s v=""/>
    <s v=""/>
    <x v="1"/>
    <x v="1"/>
    <n v="14.938740684397315"/>
    <s v="Yes"/>
  </r>
  <r>
    <n v="1"/>
    <s v="SO17553"/>
    <m/>
    <x v="4"/>
    <m/>
    <m/>
    <s v="Alexis Gil Lamadrid"/>
    <n v="7"/>
    <n v="2025"/>
    <s v="INV13237"/>
    <n v="9"/>
    <n v="2025"/>
    <n v="2503"/>
    <s v="Manufacture Sling-Choker (Val-d’Or) Ltée"/>
    <s v="CAD"/>
    <n v="1079.28"/>
    <n v="786.94376070323199"/>
    <x v="0"/>
    <n v="0"/>
    <n v="786.94376070323199"/>
    <m/>
    <s v="Renewal"/>
    <m/>
    <m/>
    <s v=""/>
    <n v="5.0000000000000001E-3"/>
    <s v=""/>
    <s v=""/>
    <s v=""/>
    <n v="3.93471880351616"/>
    <s v=""/>
    <s v=""/>
    <m/>
    <m/>
    <m/>
    <n v="2503"/>
    <m/>
    <m/>
    <s v=""/>
    <n v="0"/>
    <s v=""/>
    <s v=""/>
    <x v="1"/>
    <x v="5"/>
    <n v="11.80415641054848"/>
    <s v="Yes"/>
  </r>
  <r>
    <n v="1"/>
    <s v="SO17554"/>
    <m/>
    <x v="0"/>
    <m/>
    <m/>
    <s v="Amanda Qiao"/>
    <n v="7"/>
    <n v="2025"/>
    <s v="INV13222"/>
    <n v="9"/>
    <n v="2025"/>
    <m/>
    <s v="Mill-Right Mine Services Inc."/>
    <s v="USD"/>
    <n v="2724.7250700423742"/>
    <n v="1984.85"/>
    <x v="0"/>
    <n v="168"/>
    <n v="1816.8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7.252749999999999"/>
    <s v="Yes"/>
  </r>
  <r>
    <n v="1"/>
    <s v="SO17555"/>
    <m/>
    <x v="1"/>
    <m/>
    <m/>
    <s v="Marlen Martinez"/>
    <n v="7"/>
    <n v="2025"/>
    <s v="INV13242"/>
    <n v="10"/>
    <n v="2025"/>
    <n v="2504"/>
    <s v="Covia Corp - Junction City"/>
    <s v="USD"/>
    <n v="8294.6309971653172"/>
    <n v="6094.44"/>
    <x v="0"/>
    <n v="498.44"/>
    <n v="5596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83.94"/>
    <s v="Yes"/>
  </r>
  <r>
    <n v="1"/>
    <s v="SO17558"/>
    <m/>
    <x v="0"/>
    <m/>
    <m/>
    <s v="Amanda Qiao"/>
    <n v="7"/>
    <n v="2025"/>
    <s v="INV13674"/>
    <s v=""/>
    <s v=""/>
    <m/>
    <s v="Adriatic Metals plc - Eastern Mining d.o.o."/>
    <s v="USD"/>
    <n v="49612.772467809154"/>
    <n v="3604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60"/>
    <m/>
    <x v="4"/>
    <m/>
    <m/>
    <s v="Ian Trottier"/>
    <n v="7"/>
    <n v="2025"/>
    <s v="INV13296"/>
    <n v="10"/>
    <n v="2025"/>
    <n v="2504"/>
    <s v="Wajax Limited - Noranda, Wajax Limited - Noranda"/>
    <s v="CAD"/>
    <n v="2582.38"/>
    <n v="1876.2198693974844"/>
    <x v="0"/>
    <n v="0"/>
    <n v="1876.2198693974844"/>
    <m/>
    <s v="Renewal"/>
    <m/>
    <m/>
    <s v=""/>
    <n v="5.0000000000000001E-3"/>
    <s v=""/>
    <s v=""/>
    <s v=""/>
    <n v="9.3810993469874226"/>
    <s v=""/>
    <s v=""/>
    <m/>
    <m/>
    <m/>
    <m/>
    <m/>
    <m/>
    <s v=""/>
    <n v="9.3810993469874226"/>
    <s v=""/>
    <s v=""/>
    <x v="3"/>
    <x v="5"/>
    <n v="28.143298040962264"/>
    <s v="Yes"/>
  </r>
  <r>
    <n v="1"/>
    <s v="SO17562"/>
    <m/>
    <x v="0"/>
    <m/>
    <m/>
    <s v="Alexis Gil Lamadrid"/>
    <n v="7"/>
    <n v="2025"/>
    <s v="INV13274"/>
    <s v=""/>
    <s v=""/>
    <m/>
    <s v="Motion Industries Inc. (U.S.) - Clewiston"/>
    <s v="USD"/>
    <n v="8131.744589596985"/>
    <n v="5974.7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63"/>
    <m/>
    <x v="5"/>
    <m/>
    <m/>
    <s v="Wilka Nuñez"/>
    <n v="7"/>
    <n v="2025"/>
    <s v="INV13263"/>
    <n v="9"/>
    <n v="2025"/>
    <n v="2503"/>
    <s v="Motion Industries Inc. (Canada) - Prince George"/>
    <s v="CAD"/>
    <n v="2609.71"/>
    <n v="1884.8636441569529"/>
    <x v="0"/>
    <n v="0"/>
    <n v="1884.8636441569529"/>
    <m/>
    <s v="Renewal"/>
    <m/>
    <m/>
    <s v=""/>
    <n v="5.0000000000000001E-3"/>
    <s v=""/>
    <s v=""/>
    <s v=""/>
    <n v="9.4243182207847642"/>
    <s v=""/>
    <s v=""/>
    <m/>
    <m/>
    <m/>
    <n v="2503"/>
    <m/>
    <m/>
    <s v=""/>
    <n v="0"/>
    <s v=""/>
    <s v=""/>
    <x v="1"/>
    <x v="5"/>
    <n v="28.272954662354291"/>
    <s v="Yes"/>
  </r>
  <r>
    <n v="2"/>
    <s v="SO17564"/>
    <m/>
    <x v="4"/>
    <m/>
    <m/>
    <s v="Alexis Gil Lamadrid"/>
    <n v="7"/>
    <n v="2025"/>
    <s v="INV13262"/>
    <n v="9"/>
    <n v="2025"/>
    <n v="2504"/>
    <s v="Motion Industries Inc. (Canada) - Prince George"/>
    <s v="CAD"/>
    <n v="15140.5"/>
    <n v="11039.509681386935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564"/>
    <m/>
    <x v="4"/>
    <m/>
    <m/>
    <n v="0"/>
    <n v="7"/>
    <n v="2025"/>
    <s v="INV13495"/>
    <s v=""/>
    <s v=""/>
    <n v="2504"/>
    <s v="Motion Industries Inc. (Canada) - Prince George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565"/>
    <m/>
    <x v="4"/>
    <m/>
    <m/>
    <s v="Alexis Gil Lamadrid"/>
    <n v="7"/>
    <n v="2025"/>
    <s v="INV13226"/>
    <n v="10"/>
    <n v="2025"/>
    <n v="2504"/>
    <s v="Hyperflo"/>
    <s v="CAD"/>
    <n v="83.62"/>
    <n v="61.017455981688208"/>
    <x v="0"/>
    <n v="0"/>
    <n v="61.017455981688208"/>
    <m/>
    <s v="Renewal"/>
    <m/>
    <m/>
    <s v=""/>
    <n v="5.0000000000000001E-3"/>
    <s v=""/>
    <s v=""/>
    <s v=""/>
    <n v="0.30508727990844103"/>
    <s v=""/>
    <s v=""/>
    <m/>
    <m/>
    <m/>
    <m/>
    <m/>
    <m/>
    <s v=""/>
    <n v="0.30508727990844103"/>
    <s v=""/>
    <s v=""/>
    <x v="3"/>
    <x v="5"/>
    <n v="0.91526183972532305"/>
    <s v="Yes"/>
  </r>
  <r>
    <n v="1"/>
    <s v="SO17566"/>
    <m/>
    <x v="5"/>
    <m/>
    <m/>
    <s v="Wilka Nuñez"/>
    <n v="7"/>
    <n v="2025"/>
    <s v="INV13224"/>
    <n v="8"/>
    <n v="2025"/>
    <n v="2503"/>
    <s v="Hyperflo"/>
    <s v="CAD"/>
    <n v="102.81"/>
    <n v="75.539150157991301"/>
    <x v="0"/>
    <n v="0"/>
    <n v="75.539150157991301"/>
    <m/>
    <s v="Renewal"/>
    <m/>
    <m/>
    <s v=""/>
    <n v="5.0000000000000001E-3"/>
    <s v=""/>
    <s v=""/>
    <s v=""/>
    <n v="0.37769575078995654"/>
    <s v=""/>
    <s v=""/>
    <m/>
    <m/>
    <m/>
    <n v="2503"/>
    <m/>
    <m/>
    <s v=""/>
    <n v="0"/>
    <s v=""/>
    <s v=""/>
    <x v="1"/>
    <x v="5"/>
    <n v="1.1330872523698694"/>
    <s v="Yes"/>
  </r>
  <r>
    <n v="1"/>
    <s v="SO17567"/>
    <m/>
    <x v="2"/>
    <m/>
    <m/>
    <s v="Ian Trottier"/>
    <n v="7"/>
    <n v="2025"/>
    <s v="INV13244"/>
    <n v="9"/>
    <n v="2025"/>
    <n v="2503"/>
    <s v="Les Pompes du St-Laurent Inc."/>
    <s v="CAD"/>
    <n v="5764.56"/>
    <n v="4183.5011965807353"/>
    <x v="0"/>
    <n v="0"/>
    <n v="4183.5011965807353"/>
    <m/>
    <s v="New Opportunity"/>
    <m/>
    <m/>
    <s v=""/>
    <n v="0.02"/>
    <s v=""/>
    <s v=""/>
    <s v=""/>
    <n v="83.670023931614708"/>
    <s v=""/>
    <s v=""/>
    <m/>
    <n v="83.670023931614708"/>
    <m/>
    <m/>
    <m/>
    <m/>
    <s v=""/>
    <n v="83.670023931614708"/>
    <s v=""/>
    <s v=""/>
    <x v="1"/>
    <x v="1"/>
    <n v="62.752517948711024"/>
    <s v="Yes"/>
  </r>
  <r>
    <n v="1"/>
    <s v="SO17568"/>
    <m/>
    <x v="2"/>
    <m/>
    <m/>
    <s v="Ian Trottier"/>
    <n v="7"/>
    <n v="2025"/>
    <s v="INV13236"/>
    <n v="9"/>
    <n v="2025"/>
    <n v="2503"/>
    <s v="Canadian Industrial Pumps Ltd, Canadian Industrial Pumps Ltd"/>
    <s v="CAD"/>
    <n v="1389.92"/>
    <n v="1013.0886723689759"/>
    <x v="0"/>
    <n v="0"/>
    <n v="1013.0886723689759"/>
    <m/>
    <s v="Renewal"/>
    <m/>
    <m/>
    <s v=""/>
    <n v="5.0000000000000001E-3"/>
    <s v=""/>
    <s v=""/>
    <s v=""/>
    <n v="5.0654433618448795"/>
    <s v=""/>
    <s v=""/>
    <m/>
    <n v="5.0654433618448795"/>
    <m/>
    <m/>
    <m/>
    <m/>
    <s v=""/>
    <n v="5.0654433618448795"/>
    <s v=""/>
    <s v=""/>
    <x v="1"/>
    <x v="1"/>
    <n v="15.196330085534639"/>
    <s v="Yes"/>
  </r>
  <r>
    <n v="1"/>
    <s v="SO17570"/>
    <m/>
    <x v="0"/>
    <m/>
    <m/>
    <s v="Alexis Gil Lamadrid"/>
    <n v="7"/>
    <n v="2025"/>
    <s v="INV13506"/>
    <s v=""/>
    <s v=""/>
    <m/>
    <s v="Resolute Forest Products - Fibrek"/>
    <s v="CAD"/>
    <n v="9404"/>
    <n v="6909.543508274975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71"/>
    <m/>
    <x v="0"/>
    <m/>
    <m/>
    <s v="Ian Trottier"/>
    <n v="7"/>
    <n v="2025"/>
    <s v="INV13232"/>
    <n v="9"/>
    <n v="2025"/>
    <m/>
    <s v="Grant Aggregate"/>
    <s v="CAD"/>
    <n v="2476.7399999999998"/>
    <n v="1815.2601237334939"/>
    <x v="0"/>
    <n v="0"/>
    <n v="1815.260123733493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7.228901856002405"/>
    <s v="Yes"/>
  </r>
  <r>
    <n v="2"/>
    <s v="SO17571"/>
    <m/>
    <x v="0"/>
    <m/>
    <m/>
    <n v="0"/>
    <n v="7"/>
    <n v="2025"/>
    <s v="(* 78449)"/>
    <s v=""/>
    <s v=""/>
    <m/>
    <s v="Grant Aggregat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73"/>
    <m/>
    <x v="4"/>
    <m/>
    <m/>
    <s v="Ian Trottier"/>
    <n v="7"/>
    <n v="2025"/>
    <s v="INV13431"/>
    <n v="11"/>
    <n v="2025"/>
    <n v="2504"/>
    <s v="Resolute Forest Products - Saint-Felicien"/>
    <s v="CAD"/>
    <n v="1434.48"/>
    <n v="1053.9772407220639"/>
    <x v="0"/>
    <n v="0"/>
    <n v="1053.9772407220639"/>
    <m/>
    <s v="Renewal"/>
    <m/>
    <m/>
    <s v=""/>
    <n v="5.0000000000000001E-3"/>
    <s v=""/>
    <s v=""/>
    <s v=""/>
    <n v="5.2698862036103193"/>
    <s v=""/>
    <s v=""/>
    <m/>
    <m/>
    <m/>
    <m/>
    <m/>
    <m/>
    <s v=""/>
    <n v="5.2698862036103193"/>
    <s v=""/>
    <s v=""/>
    <x v="3"/>
    <x v="5"/>
    <n v="15.809658610830958"/>
    <s v="Yes"/>
  </r>
  <r>
    <n v="1"/>
    <s v="SO17574"/>
    <m/>
    <x v="0"/>
    <m/>
    <m/>
    <s v="Ian Trottier"/>
    <n v="7"/>
    <n v="2025"/>
    <s v="INV13551"/>
    <n v="9"/>
    <n v="2025"/>
    <m/>
    <s v="Irathane Systems Inc, Irathane Systems LLC"/>
    <s v="USD"/>
    <n v="2377.8706255453958"/>
    <n v="1719.88"/>
    <x v="0"/>
    <n v="0"/>
    <n v="1719.8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5.798200000000001"/>
    <s v="Yes"/>
  </r>
  <r>
    <n v="1"/>
    <s v="SO17575"/>
    <m/>
    <x v="0"/>
    <m/>
    <m/>
    <s v="Amanda Qiao"/>
    <n v="7"/>
    <n v="2025"/>
    <s v="INV13433"/>
    <n v="11"/>
    <n v="2025"/>
    <m/>
    <s v="AGM Inc."/>
    <s v="USD"/>
    <n v="76679.635983130938"/>
    <n v="55662.04"/>
    <x v="0"/>
    <n v="0"/>
    <n v="55662.04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834.93060000000003"/>
    <s v="Yes"/>
  </r>
  <r>
    <n v="1"/>
    <s v="SO17576"/>
    <m/>
    <x v="5"/>
    <m/>
    <m/>
    <s v="Wilka Nuñez"/>
    <n v="7"/>
    <n v="2025"/>
    <s v="INV13328"/>
    <n v="9"/>
    <n v="2025"/>
    <n v="2503"/>
    <s v="Sling-Choker Manufacturing - Timmins"/>
    <s v="CAD"/>
    <n v="373.88"/>
    <n v="274.02531354178421"/>
    <x v="0"/>
    <n v="0"/>
    <n v="274.02531354178421"/>
    <m/>
    <s v="Renewal"/>
    <m/>
    <m/>
    <s v=""/>
    <n v="5.0000000000000001E-3"/>
    <s v=""/>
    <s v=""/>
    <s v=""/>
    <n v="1.3701265677089212"/>
    <s v=""/>
    <s v=""/>
    <m/>
    <m/>
    <m/>
    <n v="2503"/>
    <m/>
    <m/>
    <s v=""/>
    <n v="0"/>
    <s v=""/>
    <s v=""/>
    <x v="1"/>
    <x v="5"/>
    <n v="4.110379703126763"/>
    <s v="Yes"/>
  </r>
  <r>
    <n v="2"/>
    <s v="SO17578"/>
    <m/>
    <x v="0"/>
    <m/>
    <m/>
    <s v="Alexis Gil Lamadrid"/>
    <n v="7"/>
    <n v="2025"/>
    <s v="INV13314"/>
    <n v="9"/>
    <n v="2025"/>
    <m/>
    <s v="Wild Rows Pump &amp; Compression"/>
    <s v="CAD"/>
    <n v="1146.8699999999999"/>
    <n v="840.5675921195731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578"/>
    <m/>
    <x v="0"/>
    <m/>
    <m/>
    <n v="0"/>
    <n v="7"/>
    <n v="2025"/>
    <s v="INV13265"/>
    <s v=""/>
    <s v=""/>
    <m/>
    <s v="Wild Rows Pump &amp; Compression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588"/>
    <m/>
    <x v="4"/>
    <m/>
    <m/>
    <s v="Alexis Gil Lamadrid"/>
    <n v="7"/>
    <n v="2025"/>
    <s v="INV13427"/>
    <n v="11"/>
    <n v="2025"/>
    <n v="2504"/>
    <s v="Resolute Forest Products - Dolbeau"/>
    <s v="CAD"/>
    <n v="7695.82"/>
    <n v="5609.3502263372065"/>
    <x v="0"/>
    <n v="0"/>
    <n v="5609.3502263372065"/>
    <m/>
    <s v="Renewal"/>
    <m/>
    <m/>
    <s v=""/>
    <n v="5.0000000000000001E-3"/>
    <s v=""/>
    <s v=""/>
    <s v=""/>
    <n v="28.046751131686033"/>
    <s v=""/>
    <s v=""/>
    <m/>
    <m/>
    <m/>
    <m/>
    <m/>
    <m/>
    <s v=""/>
    <n v="28.046751131686033"/>
    <s v=""/>
    <s v=""/>
    <x v="3"/>
    <x v="5"/>
    <n v="84.140253395058096"/>
    <s v="Yes"/>
  </r>
  <r>
    <n v="1"/>
    <s v="SO17589"/>
    <m/>
    <x v="0"/>
    <m/>
    <m/>
    <s v="Yannett Yeomans"/>
    <n v="7"/>
    <n v="2025"/>
    <s v="INV13370"/>
    <s v=""/>
    <s v=""/>
    <m/>
    <s v="Dynapro Pumps México S de RL de CV"/>
    <s v="USD"/>
    <n v="489.96579816677399"/>
    <n v="36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90"/>
    <m/>
    <x v="0"/>
    <m/>
    <m/>
    <s v="Yannett Yeomans"/>
    <n v="7"/>
    <n v="2025"/>
    <s v="INV13470"/>
    <s v=""/>
    <s v=""/>
    <m/>
    <s v="Dynapro Pumps México S de RL de CV"/>
    <s v="USD"/>
    <n v="13885.086313603968"/>
    <n v="102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593"/>
    <m/>
    <x v="5"/>
    <m/>
    <m/>
    <s v="Wilka Nuñez"/>
    <n v="7"/>
    <n v="2025"/>
    <s v="INV13588"/>
    <n v="9"/>
    <n v="2025"/>
    <n v="2504"/>
    <s v="CK Loosbrock USA LLC"/>
    <s v="USD"/>
    <n v="6099.4702212788197"/>
    <n v="4420.59"/>
    <x v="0"/>
    <n v="0"/>
    <n v="4420.59"/>
    <m/>
    <s v="Renewal"/>
    <m/>
    <m/>
    <s v=""/>
    <n v="5.0000000000000001E-3"/>
    <s v=""/>
    <s v=""/>
    <s v=""/>
    <n v="22.10295"/>
    <s v=""/>
    <s v=""/>
    <m/>
    <m/>
    <m/>
    <m/>
    <m/>
    <m/>
    <s v=""/>
    <n v="22.10295"/>
    <s v=""/>
    <s v=""/>
    <x v="3"/>
    <x v="5"/>
    <n v="66.308850000000007"/>
    <s v="Yes"/>
  </r>
  <r>
    <n v="1"/>
    <s v="SO17595"/>
    <m/>
    <x v="0"/>
    <m/>
    <m/>
    <s v="Marlen Martinez"/>
    <n v="7"/>
    <n v="2025"/>
    <s v="INV13241"/>
    <n v="10"/>
    <n v="2025"/>
    <n v="2504"/>
    <s v="Covia Corp - Junction City"/>
    <s v="USD"/>
    <n v="2679.8246370055667"/>
    <n v="1956.36"/>
    <x v="0"/>
    <n v="0"/>
    <n v="1956.36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29.345399999999998"/>
    <s v="Yes"/>
  </r>
  <r>
    <n v="1"/>
    <s v="SO17596"/>
    <m/>
    <x v="4"/>
    <m/>
    <m/>
    <s v="Alexis Gil Lamadrid"/>
    <n v="7"/>
    <n v="2025"/>
    <s v="INV13246"/>
    <n v="9"/>
    <n v="2025"/>
    <n v="2503"/>
    <s v="Wajax Limited - Noranda, Wajax Limited - Noranda"/>
    <s v="CAD"/>
    <n v="262.76"/>
    <n v="191.52122392056518"/>
    <x v="0"/>
    <n v="0"/>
    <n v="191.52122392056518"/>
    <m/>
    <s v="Renewal"/>
    <m/>
    <m/>
    <s v=""/>
    <n v="5.0000000000000001E-3"/>
    <s v=""/>
    <s v=""/>
    <s v=""/>
    <n v="0.95760611960282593"/>
    <s v=""/>
    <s v=""/>
    <m/>
    <m/>
    <m/>
    <n v="2503"/>
    <m/>
    <m/>
    <s v=""/>
    <n v="0"/>
    <s v=""/>
    <s v=""/>
    <x v="1"/>
    <x v="5"/>
    <n v="2.8728183588084777"/>
    <s v="Yes"/>
  </r>
  <r>
    <n v="2"/>
    <s v="SO17597"/>
    <m/>
    <x v="4"/>
    <m/>
    <m/>
    <s v="Alexis Gil Lamadrid"/>
    <n v="7"/>
    <n v="2025"/>
    <s v="INV13313"/>
    <n v="9"/>
    <n v="2025"/>
    <n v="2503"/>
    <s v="Wild Rows Pump &amp; Compression, Wild Rows Pump &amp; Compression"/>
    <s v="CAD"/>
    <n v="1966.94"/>
    <n v="1433.6685803711248"/>
    <x v="0"/>
    <n v="0"/>
    <n v="1433.6685803711248"/>
    <m/>
    <s v="Renewal"/>
    <m/>
    <m/>
    <s v=""/>
    <n v="5.0000000000000001E-3"/>
    <s v=""/>
    <s v=""/>
    <s v=""/>
    <n v="7.1683429018556239"/>
    <s v=""/>
    <s v=""/>
    <m/>
    <m/>
    <m/>
    <n v="2503"/>
    <m/>
    <m/>
    <s v=""/>
    <n v="0"/>
    <s v=""/>
    <s v=""/>
    <x v="1"/>
    <x v="5"/>
    <n v="21.505028705566872"/>
    <s v="Yes"/>
  </r>
  <r>
    <n v="2"/>
    <s v="SO17597"/>
    <m/>
    <x v="4"/>
    <m/>
    <m/>
    <n v="0"/>
    <n v="7"/>
    <n v="2025"/>
    <s v="INV13264"/>
    <n v="8"/>
    <n v="2025"/>
    <n v="2503"/>
    <s v="Wild Rows Pump &amp; Compression, Wild Rows Pump &amp; Compression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n v="2503"/>
    <m/>
    <m/>
    <s v=""/>
    <n v="0"/>
    <s v=""/>
    <s v=""/>
    <x v="1"/>
    <x v="5"/>
    <n v="0"/>
    <s v=""/>
  </r>
  <r>
    <n v="1"/>
    <s v="SO17598"/>
    <m/>
    <x v="5"/>
    <m/>
    <m/>
    <s v="Wilka Nuñez"/>
    <n v="7"/>
    <n v="2025"/>
    <s v="INV13327"/>
    <n v="9"/>
    <n v="2025"/>
    <n v="2503"/>
    <s v="Sling-Choker Manufacturing - Timmins"/>
    <s v="CAD"/>
    <n v="4984.1899999999996"/>
    <n v="3636.9599848047178"/>
    <x v="0"/>
    <n v="0"/>
    <n v="3636.9599848047178"/>
    <m/>
    <s v="Renewal"/>
    <m/>
    <m/>
    <s v=""/>
    <n v="5.0000000000000001E-3"/>
    <s v=""/>
    <s v=""/>
    <s v=""/>
    <n v="18.18479992402359"/>
    <s v=""/>
    <s v=""/>
    <m/>
    <m/>
    <m/>
    <n v="2503"/>
    <m/>
    <m/>
    <s v=""/>
    <n v="0"/>
    <s v=""/>
    <s v=""/>
    <x v="1"/>
    <x v="5"/>
    <n v="54.554399772070767"/>
    <s v="Yes"/>
  </r>
  <r>
    <n v="2"/>
    <s v="SO17603"/>
    <m/>
    <x v="0"/>
    <m/>
    <m/>
    <s v="Ian Trottier"/>
    <n v="7"/>
    <n v="2025"/>
    <s v="INV13670"/>
    <s v=""/>
    <s v=""/>
    <m/>
    <s v="Middle Georgia Fluid Sealing LLC"/>
    <s v="USD"/>
    <n v="26661.257599929657"/>
    <n v="19432.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03"/>
    <m/>
    <x v="0"/>
    <m/>
    <m/>
    <n v="0"/>
    <n v="7"/>
    <n v="2025"/>
    <s v="INV13254"/>
    <n v="9"/>
    <n v="2025"/>
    <m/>
    <s v="Middle Georgia Fluid Sealing LLC"/>
    <s v="USD"/>
    <n v="0"/>
    <n v="0"/>
    <x v="1"/>
    <n v="594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04"/>
    <m/>
    <x v="0"/>
    <m/>
    <m/>
    <s v="Ian Trottier"/>
    <n v="7"/>
    <n v="2025"/>
    <s v="INV13437"/>
    <s v=""/>
    <s v=""/>
    <m/>
    <s v="Wajax Limited - Noranda"/>
    <s v="CAD"/>
    <n v="1609.78"/>
    <n v="1165.156464342496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08"/>
    <m/>
    <x v="5"/>
    <m/>
    <m/>
    <s v="Wilka Nuñez"/>
    <n v="7"/>
    <n v="2025"/>
    <s v="INV13255"/>
    <n v="9"/>
    <n v="2025"/>
    <n v="2503"/>
    <s v="Hyperflo"/>
    <s v="CAD"/>
    <n v="124.8"/>
    <n v="90.330061716472827"/>
    <x v="0"/>
    <n v="0"/>
    <n v="90.330061716472827"/>
    <m/>
    <s v="Renewal"/>
    <m/>
    <m/>
    <s v=""/>
    <n v="5.0000000000000001E-3"/>
    <s v=""/>
    <s v=""/>
    <s v=""/>
    <n v="0.45165030858236416"/>
    <s v=""/>
    <s v=""/>
    <m/>
    <m/>
    <m/>
    <n v="2503"/>
    <m/>
    <m/>
    <s v=""/>
    <n v="0"/>
    <s v=""/>
    <s v=""/>
    <x v="1"/>
    <x v="5"/>
    <n v="1.3549509257470924"/>
    <s v="Yes"/>
  </r>
  <r>
    <n v="1"/>
    <s v="SO17610"/>
    <m/>
    <x v="4"/>
    <m/>
    <m/>
    <s v="Ian Trottier"/>
    <n v="7"/>
    <n v="2025"/>
    <s v="INV13281"/>
    <n v="9"/>
    <n v="2025"/>
    <n v="2503"/>
    <s v="Hyperflo, Hyperflo"/>
    <s v="CAD"/>
    <n v="124.22"/>
    <n v="89.910258545034097"/>
    <x v="0"/>
    <n v="0"/>
    <n v="89.910258545034097"/>
    <m/>
    <s v="Renewal"/>
    <m/>
    <m/>
    <s v=""/>
    <n v="5.0000000000000001E-3"/>
    <s v=""/>
    <s v=""/>
    <s v=""/>
    <n v="0.44955129272517047"/>
    <s v=""/>
    <s v=""/>
    <m/>
    <m/>
    <m/>
    <n v="2503"/>
    <m/>
    <m/>
    <s v=""/>
    <n v="0"/>
    <s v=""/>
    <s v=""/>
    <x v="1"/>
    <x v="5"/>
    <n v="1.3486538781755113"/>
    <s v="Yes"/>
  </r>
  <r>
    <n v="1"/>
    <s v="SO17612"/>
    <m/>
    <x v="0"/>
    <m/>
    <m/>
    <s v="Carlos Leon"/>
    <n v="7"/>
    <n v="2025"/>
    <s v="INV13459"/>
    <s v=""/>
    <s v=""/>
    <m/>
    <s v="Dynapro Pumps México S de RL de CV"/>
    <s v="USD"/>
    <n v="803.81479454650798"/>
    <n v="581.7999999999999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613"/>
    <m/>
    <x v="0"/>
    <m/>
    <m/>
    <s v="Carlos Leon"/>
    <n v="7"/>
    <n v="2025"/>
    <s v="INV13357"/>
    <s v=""/>
    <s v=""/>
    <m/>
    <s v="Dynapro Pumps México S de RL de CV"/>
    <s v="USD"/>
    <n v="1475.5486431345319"/>
    <n v="10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615"/>
    <m/>
    <x v="5"/>
    <m/>
    <m/>
    <s v="Wilka Nuñez"/>
    <n v="7"/>
    <n v="2025"/>
    <s v="INV13363"/>
    <n v="10"/>
    <n v="2025"/>
    <n v="2504"/>
    <s v="Tech-Flow"/>
    <s v="USD"/>
    <n v="6811.2872758925487"/>
    <n v="4930"/>
    <x v="0"/>
    <n v="0"/>
    <n v="4930"/>
    <m/>
    <s v="Renewal"/>
    <m/>
    <m/>
    <s v=""/>
    <n v="5.0000000000000001E-3"/>
    <s v=""/>
    <s v=""/>
    <s v=""/>
    <n v="24.650000000000002"/>
    <s v=""/>
    <s v=""/>
    <m/>
    <m/>
    <m/>
    <m/>
    <m/>
    <m/>
    <s v=""/>
    <n v="24.650000000000002"/>
    <s v=""/>
    <s v=""/>
    <x v="3"/>
    <x v="5"/>
    <n v="73.95"/>
    <s v="Yes"/>
  </r>
  <r>
    <n v="2"/>
    <s v="SO17621"/>
    <m/>
    <x v="0"/>
    <m/>
    <m/>
    <s v="Alexis Gil Lamadrid"/>
    <n v="8"/>
    <n v="2025"/>
    <s v="INV13392"/>
    <n v="10"/>
    <n v="2025"/>
    <m/>
    <s v="Canadian Industrial Pumps Ltd"/>
    <s v="CAD"/>
    <n v="7603.02"/>
    <n v="5506.551725796796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21"/>
    <m/>
    <x v="0"/>
    <m/>
    <m/>
    <n v="0"/>
    <n v="8"/>
    <n v="2025"/>
    <s v="Borrador de nota de crédito RINV/2025/00003"/>
    <s v=""/>
    <s v=""/>
    <m/>
    <s v="Canadian Industrial Pumps Ltd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625"/>
    <m/>
    <x v="5"/>
    <m/>
    <m/>
    <s v="Wilka Nuñez"/>
    <n v="8"/>
    <n v="2025"/>
    <s v="INV13478"/>
    <s v=""/>
    <s v=""/>
    <m/>
    <s v="Barrick Gold - Pueblo Viejo Dominicana Corporation"/>
    <s v="USD"/>
    <n v="95905.386833706652"/>
    <n v="68991.899999999994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3"/>
    <s v="SO17625"/>
    <m/>
    <x v="5"/>
    <m/>
    <m/>
    <n v="0"/>
    <n v="8"/>
    <n v="2025"/>
    <s v="INV13335"/>
    <s v=""/>
    <s v=""/>
    <m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3"/>
    <s v="SO17625"/>
    <m/>
    <x v="5"/>
    <m/>
    <m/>
    <n v="0"/>
    <n v="8"/>
    <n v="2025"/>
    <s v="INV13573"/>
    <s v=""/>
    <s v=""/>
    <m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1"/>
    <s v="SO17626"/>
    <m/>
    <x v="5"/>
    <m/>
    <m/>
    <s v="Wilka Nuñez"/>
    <n v="8"/>
    <n v="2025"/>
    <s v="INV13280"/>
    <n v="9"/>
    <n v="2025"/>
    <n v="2503"/>
    <s v="Hyperflo"/>
    <s v="CAD"/>
    <n v="362.64"/>
    <n v="263.90315337490387"/>
    <x v="0"/>
    <n v="0"/>
    <n v="263.90315337490387"/>
    <m/>
    <s v="Renewal"/>
    <m/>
    <m/>
    <s v=""/>
    <n v="5.0000000000000001E-3"/>
    <s v=""/>
    <s v=""/>
    <s v=""/>
    <n v="1.3195157668745194"/>
    <s v=""/>
    <s v=""/>
    <m/>
    <m/>
    <m/>
    <n v="2503"/>
    <m/>
    <m/>
    <s v=""/>
    <n v="0"/>
    <s v=""/>
    <s v=""/>
    <x v="1"/>
    <x v="5"/>
    <n v="3.9585473006235579"/>
    <s v="Yes"/>
  </r>
  <r>
    <n v="1"/>
    <s v="SO17627"/>
    <m/>
    <x v="5"/>
    <m/>
    <m/>
    <s v="Wilka Nuñez"/>
    <n v="8"/>
    <n v="2025"/>
    <s v="INV13333"/>
    <n v="10"/>
    <n v="2025"/>
    <n v="2504"/>
    <s v="Barrick Gold - Pueblo Viejo Dominicana Corporation"/>
    <s v="USD"/>
    <n v="7978.9083771168953"/>
    <n v="5791.92"/>
    <x v="0"/>
    <n v="0"/>
    <n v="5791.92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3"/>
    <x v="6"/>
    <n v="86.878799999999998"/>
    <s v="Yes"/>
  </r>
  <r>
    <n v="1"/>
    <s v="SO17628"/>
    <m/>
    <x v="5"/>
    <m/>
    <m/>
    <s v="Wilka Nuñez"/>
    <n v="8"/>
    <n v="2025"/>
    <s v="INV13334"/>
    <n v="9"/>
    <n v="2025"/>
    <n v="2504"/>
    <s v="Barrick Gold - Pueblo Viejo Dominicana Corporation"/>
    <s v="USD"/>
    <n v="15526.363553449059"/>
    <n v="11242.24"/>
    <x v="0"/>
    <n v="0"/>
    <n v="11242.24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3"/>
    <x v="6"/>
    <n v="168.6336"/>
    <s v="Yes"/>
  </r>
  <r>
    <n v="1"/>
    <s v="SO17630"/>
    <m/>
    <x v="1"/>
    <m/>
    <m/>
    <s v="Marlen Martinez"/>
    <n v="8"/>
    <n v="2025"/>
    <s v="INV13282"/>
    <n v="11"/>
    <n v="2025"/>
    <n v="2504"/>
    <s v="Covia Corp - Junction City"/>
    <s v="USD"/>
    <n v="283.89436289801137"/>
    <n v="206.08"/>
    <x v="0"/>
    <n v="186.51"/>
    <n v="19.57000000000002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2"/>
    <n v="0.29355000000000031"/>
    <s v="Yes"/>
  </r>
  <r>
    <n v="0"/>
    <s v="SO17636"/>
    <m/>
    <x v="0"/>
    <m/>
    <m/>
    <s v="Ian Trottier"/>
    <n v="8"/>
    <n v="2025"/>
    <s v="No Inv"/>
    <s v=""/>
    <s v=""/>
    <m/>
    <s v="DXP Enterprises, Inc. - Phoenix"/>
    <s v="USD"/>
    <n v="3009.0652917356006"/>
    <n v="2189.78000000000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37"/>
    <m/>
    <x v="5"/>
    <m/>
    <m/>
    <s v="Wilka Nuñez"/>
    <n v="8"/>
    <n v="2025"/>
    <s v="INV13279"/>
    <n v="9"/>
    <n v="2025"/>
    <n v="2503"/>
    <s v="Hyperflo"/>
    <s v="CAD"/>
    <n v="861.5"/>
    <n v="626.93736662386857"/>
    <x v="0"/>
    <n v="0"/>
    <n v="626.93736662386857"/>
    <m/>
    <s v="Renewal"/>
    <m/>
    <m/>
    <s v=""/>
    <n v="5.0000000000000001E-3"/>
    <s v=""/>
    <s v=""/>
    <s v=""/>
    <n v="3.1346868331193427"/>
    <s v=""/>
    <s v=""/>
    <m/>
    <m/>
    <m/>
    <n v="2503"/>
    <m/>
    <m/>
    <s v=""/>
    <n v="0"/>
    <s v=""/>
    <s v=""/>
    <x v="1"/>
    <x v="5"/>
    <n v="9.4040604993580281"/>
    <s v="Yes"/>
  </r>
  <r>
    <n v="1"/>
    <s v="SO17640"/>
    <m/>
    <x v="4"/>
    <m/>
    <m/>
    <s v="Alexis Gil Lamadrid"/>
    <n v="8"/>
    <n v="2025"/>
    <s v="INV13286"/>
    <n v="9"/>
    <n v="2025"/>
    <n v="2503"/>
    <s v="Manufacture Sling-Choker (Val-d’Or) Ltée"/>
    <s v="CAD"/>
    <n v="126.16"/>
    <n v="91.728489899824794"/>
    <x v="0"/>
    <n v="0"/>
    <n v="91.728489899824794"/>
    <m/>
    <s v="Renewal"/>
    <m/>
    <m/>
    <s v=""/>
    <n v="5.0000000000000001E-3"/>
    <s v=""/>
    <s v=""/>
    <s v=""/>
    <n v="0.45864244949912397"/>
    <s v=""/>
    <s v=""/>
    <m/>
    <m/>
    <m/>
    <n v="2503"/>
    <m/>
    <m/>
    <s v=""/>
    <n v="0"/>
    <s v=""/>
    <s v=""/>
    <x v="1"/>
    <x v="5"/>
    <n v="1.3759273484973717"/>
    <s v="Yes"/>
  </r>
  <r>
    <n v="1"/>
    <s v="SO17643"/>
    <m/>
    <x v="0"/>
    <m/>
    <m/>
    <s v="Ian Trottier"/>
    <n v="8"/>
    <n v="2025"/>
    <s v="INV13558"/>
    <s v=""/>
    <s v=""/>
    <m/>
    <s v="Les Pompes du St-Laurent Inc."/>
    <s v="CAD"/>
    <n v="9024.4699999999993"/>
    <n v="6567.35630525374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44"/>
    <m/>
    <x v="0"/>
    <m/>
    <m/>
    <s v="Ian Trottier"/>
    <n v="8"/>
    <n v="2025"/>
    <s v="INV13529"/>
    <s v=""/>
    <s v=""/>
    <m/>
    <s v="Thunder Bay Pulp and Paper Inc"/>
    <s v="CAD"/>
    <n v="10778.64"/>
    <n v="7830.326660117022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44"/>
    <m/>
    <x v="0"/>
    <m/>
    <m/>
    <n v="0"/>
    <n v="8"/>
    <n v="2025"/>
    <s v="INV13507"/>
    <s v=""/>
    <s v=""/>
    <m/>
    <s v="Thunder Bay Pulp and Paper Inc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45"/>
    <m/>
    <x v="4"/>
    <m/>
    <m/>
    <s v="Alexis Gil Lamadrid"/>
    <n v="8"/>
    <n v="2025"/>
    <s v="INV13341"/>
    <n v="10"/>
    <n v="2025"/>
    <n v="2504"/>
    <s v="Resolute Forest Products - Fibrek"/>
    <s v="CAD"/>
    <n v="204.32"/>
    <n v="148.68931253463592"/>
    <x v="0"/>
    <n v="0"/>
    <n v="148.68931253463592"/>
    <m/>
    <s v="Renewal"/>
    <m/>
    <m/>
    <s v=""/>
    <n v="5.0000000000000001E-3"/>
    <s v=""/>
    <s v=""/>
    <s v=""/>
    <n v="0.74344656267317955"/>
    <s v=""/>
    <s v=""/>
    <m/>
    <m/>
    <m/>
    <m/>
    <m/>
    <m/>
    <s v=""/>
    <n v="0.74344656267317955"/>
    <s v=""/>
    <s v=""/>
    <x v="3"/>
    <x v="5"/>
    <n v="2.2303396880195385"/>
    <s v="Yes"/>
  </r>
  <r>
    <n v="1"/>
    <s v="SO17648"/>
    <m/>
    <x v="0"/>
    <m/>
    <m/>
    <s v="Ian Trottier"/>
    <n v="8"/>
    <n v="2025"/>
    <s v="INV13444"/>
    <s v=""/>
    <s v=""/>
    <m/>
    <s v="Quality Concrete Inc."/>
    <s v="CAD"/>
    <n v="9848.2199999999993"/>
    <n v="7144.053240682357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51"/>
    <m/>
    <x v="0"/>
    <m/>
    <m/>
    <s v="Ian Trottier"/>
    <n v="8"/>
    <n v="2025"/>
    <s v="INV13321"/>
    <n v="10"/>
    <n v="2025"/>
    <m/>
    <s v="PT Vale Indonesia Tbk."/>
    <s v="USD"/>
    <n v="12237.903135168544"/>
    <n v="8829.6200000000008"/>
    <x v="0"/>
    <n v="0"/>
    <n v="8829.620000000000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32.4443"/>
    <s v="Yes"/>
  </r>
  <r>
    <n v="1"/>
    <s v="SO17652"/>
    <m/>
    <x v="0"/>
    <m/>
    <m/>
    <s v="Yannett Yeomans"/>
    <n v="8"/>
    <n v="2025"/>
    <s v="INV13285"/>
    <s v=""/>
    <s v=""/>
    <m/>
    <s v="Dynapro Pumps México S de RL de CV"/>
    <s v="USD"/>
    <n v="110.2532545116062"/>
    <n v="80"/>
    <x v="1"/>
    <n v="19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653"/>
    <m/>
    <x v="5"/>
    <m/>
    <m/>
    <s v="Ian Trottier"/>
    <n v="8"/>
    <n v="2025"/>
    <s v="INV13291"/>
    <n v="10"/>
    <n v="2025"/>
    <n v="2504"/>
    <s v="Cartledge &amp; Associates Inc."/>
    <s v="USD"/>
    <n v="5760.6740865491647"/>
    <n v="4187.3"/>
    <x v="0"/>
    <n v="591"/>
    <n v="3596.3"/>
    <m/>
    <s v="Renewal"/>
    <m/>
    <m/>
    <s v=""/>
    <n v="5.0000000000000001E-3"/>
    <s v=""/>
    <s v=""/>
    <s v=""/>
    <n v="17.9815"/>
    <s v=""/>
    <s v=""/>
    <m/>
    <m/>
    <m/>
    <m/>
    <m/>
    <m/>
    <s v=""/>
    <n v="17.9815"/>
    <s v=""/>
    <s v=""/>
    <x v="3"/>
    <x v="5"/>
    <n v="53.944499999999998"/>
    <s v="Yes"/>
  </r>
  <r>
    <n v="1"/>
    <s v="SO17655"/>
    <m/>
    <x v="0"/>
    <m/>
    <m/>
    <s v="Amanda Qiao"/>
    <n v="8"/>
    <n v="2025"/>
    <s v="INV13434"/>
    <s v=""/>
    <s v=""/>
    <m/>
    <s v="Mill-Right Mine Services Inc."/>
    <s v="USD"/>
    <n v="2496.6070907989961"/>
    <n v="1816.8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56"/>
    <m/>
    <x v="4"/>
    <m/>
    <m/>
    <s v="Ian Trottier"/>
    <n v="8"/>
    <n v="2025"/>
    <s v="INV13293"/>
    <n v="9"/>
    <n v="2025"/>
    <n v="2503"/>
    <s v="Motion Industries Inc. (Canada) - Winnipeg"/>
    <s v="CAD"/>
    <n v="122.96"/>
    <n v="89.197112419737039"/>
    <x v="0"/>
    <n v="0"/>
    <n v="89.197112419737039"/>
    <m/>
    <s v="Renewal"/>
    <m/>
    <m/>
    <s v=""/>
    <n v="5.0000000000000001E-3"/>
    <s v=""/>
    <s v=""/>
    <s v=""/>
    <n v="0.44598556209868523"/>
    <s v=""/>
    <s v=""/>
    <m/>
    <m/>
    <m/>
    <n v="2503"/>
    <m/>
    <m/>
    <s v=""/>
    <n v="0"/>
    <s v=""/>
    <s v=""/>
    <x v="1"/>
    <x v="5"/>
    <n v="1.3379566862960555"/>
    <s v="Yes"/>
  </r>
  <r>
    <n v="1"/>
    <s v="SO17659"/>
    <m/>
    <x v="0"/>
    <m/>
    <m/>
    <s v="Ian Trottier"/>
    <n v="8"/>
    <n v="2025"/>
    <s v="INV13294"/>
    <n v="10"/>
    <n v="2025"/>
    <m/>
    <s v="Wajax Limited - Pointe-aux-Trembles"/>
    <s v="CAD"/>
    <n v="1941.54"/>
    <n v="1408.4235657727411"/>
    <x v="0"/>
    <n v="0"/>
    <n v="1408.423565772741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1.126353486591114"/>
    <s v="Yes"/>
  </r>
  <r>
    <n v="1"/>
    <s v="SO17660"/>
    <m/>
    <x v="0"/>
    <m/>
    <m/>
    <s v="Ian Trottier"/>
    <n v="8"/>
    <n v="2025"/>
    <s v="INV13297"/>
    <n v="9"/>
    <n v="2025"/>
    <m/>
    <s v="Les Pompes du St-Laurent Inc."/>
    <s v="CAD"/>
    <n v="1417.8"/>
    <n v="1030.0980223018123"/>
    <x v="0"/>
    <n v="0"/>
    <n v="1030.098022301812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5.451470334527183"/>
    <s v="Yes"/>
  </r>
  <r>
    <n v="1"/>
    <s v="SO17661"/>
    <m/>
    <x v="4"/>
    <m/>
    <m/>
    <s v="Alexis Gil Lamadrid"/>
    <n v="8"/>
    <n v="2025"/>
    <s v="INV13295"/>
    <n v="9"/>
    <n v="2025"/>
    <n v="2503"/>
    <s v="Manufacture Sling-Choker (Val-d’Or) Ltée"/>
    <s v="CAD"/>
    <n v="2740.17"/>
    <n v="1987.7622929342137"/>
    <x v="0"/>
    <n v="0"/>
    <n v="1987.7622929342137"/>
    <m/>
    <s v="Renewal"/>
    <m/>
    <m/>
    <s v=""/>
    <n v="5.0000000000000001E-3"/>
    <s v=""/>
    <s v=""/>
    <s v=""/>
    <n v="9.938811464671069"/>
    <s v=""/>
    <s v=""/>
    <m/>
    <m/>
    <m/>
    <n v="2503"/>
    <m/>
    <m/>
    <s v=""/>
    <n v="0"/>
    <s v=""/>
    <s v=""/>
    <x v="1"/>
    <x v="5"/>
    <n v="29.816434394013204"/>
    <s v="Yes"/>
  </r>
  <r>
    <n v="1"/>
    <s v="SO17662"/>
    <m/>
    <x v="4"/>
    <m/>
    <m/>
    <s v="Alexis Gil Lamadrid"/>
    <n v="8"/>
    <n v="2025"/>
    <s v="INV13292"/>
    <n v="10"/>
    <n v="2025"/>
    <n v="2504"/>
    <s v="Resolute Forest Products - Fibrek"/>
    <s v="CAD"/>
    <n v="196.96"/>
    <n v="142.87787298464065"/>
    <x v="0"/>
    <n v="0"/>
    <n v="142.87787298464065"/>
    <m/>
    <s v="Renewal"/>
    <m/>
    <m/>
    <s v=""/>
    <n v="5.0000000000000001E-3"/>
    <s v=""/>
    <s v=""/>
    <s v=""/>
    <n v="0.71438936492320326"/>
    <s v=""/>
    <s v=""/>
    <m/>
    <m/>
    <m/>
    <m/>
    <m/>
    <m/>
    <s v=""/>
    <n v="0.71438936492320326"/>
    <s v=""/>
    <s v=""/>
    <x v="3"/>
    <x v="5"/>
    <n v="2.1431680947696097"/>
    <s v="Yes"/>
  </r>
  <r>
    <n v="1"/>
    <s v="SO17664"/>
    <m/>
    <x v="0"/>
    <m/>
    <m/>
    <s v="Amanda Qiao"/>
    <n v="8"/>
    <n v="2025"/>
    <s v="INV13660"/>
    <s v=""/>
    <s v=""/>
    <m/>
    <s v="Covia Corp - Fort Smith"/>
    <s v="USD"/>
    <n v="18193.901901746576"/>
    <n v="13217.27"/>
    <x v="1"/>
    <n v="58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70"/>
    <m/>
    <x v="5"/>
    <m/>
    <m/>
    <s v="Wilka Nuñez"/>
    <n v="8"/>
    <n v="2025"/>
    <s v="INV13298"/>
    <n v="9"/>
    <n v="2025"/>
    <n v="2503"/>
    <s v="Canadian Bearings Ltd."/>
    <s v="CAD"/>
    <n v="493.15"/>
    <n v="358.25721913309184"/>
    <x v="0"/>
    <n v="0"/>
    <n v="358.25721913309184"/>
    <m/>
    <s v="Renewal"/>
    <m/>
    <m/>
    <s v=""/>
    <n v="5.0000000000000001E-3"/>
    <s v=""/>
    <s v=""/>
    <s v=""/>
    <n v="1.7912860956654593"/>
    <s v=""/>
    <s v=""/>
    <m/>
    <m/>
    <m/>
    <n v="2503"/>
    <m/>
    <m/>
    <s v=""/>
    <n v="0"/>
    <s v=""/>
    <s v=""/>
    <x v="1"/>
    <x v="5"/>
    <n v="5.3738582869963771"/>
    <s v="Yes"/>
  </r>
  <r>
    <n v="1"/>
    <s v="SO17673"/>
    <m/>
    <x v="5"/>
    <m/>
    <m/>
    <s v="Ian Trottier"/>
    <n v="8"/>
    <n v="2025"/>
    <s v="INV13308"/>
    <n v="10"/>
    <n v="2025"/>
    <n v="2504"/>
    <s v="PT Vale Indonesia Tbk."/>
    <s v="USD"/>
    <n v="38.841270572090501"/>
    <n v="28.22"/>
    <x v="0"/>
    <n v="0"/>
    <n v="28.22"/>
    <m/>
    <s v="Renewal"/>
    <m/>
    <m/>
    <s v=""/>
    <n v="5.0000000000000001E-3"/>
    <s v=""/>
    <s v=""/>
    <s v=""/>
    <n v="0.1411"/>
    <s v=""/>
    <s v=""/>
    <m/>
    <m/>
    <m/>
    <m/>
    <m/>
    <m/>
    <s v=""/>
    <n v="0.1411"/>
    <s v=""/>
    <s v=""/>
    <x v="3"/>
    <x v="5"/>
    <n v="0.42329999999999995"/>
    <s v="Yes"/>
  </r>
  <r>
    <n v="1"/>
    <s v="SO17674"/>
    <m/>
    <x v="4"/>
    <m/>
    <m/>
    <s v="Alexis Gil Lamadrid"/>
    <n v="8"/>
    <n v="2025"/>
    <s v="INV13366"/>
    <n v="10"/>
    <n v="2025"/>
    <n v="2504"/>
    <s v="Canadian Industrial Pumps Ltd"/>
    <s v="CAD"/>
    <n v="2440.75"/>
    <n v="1760.995717727847"/>
    <x v="0"/>
    <n v="0"/>
    <n v="1760.995717727847"/>
    <m/>
    <s v="Renewal"/>
    <m/>
    <m/>
    <s v=""/>
    <n v="5.0000000000000001E-3"/>
    <s v=""/>
    <s v=""/>
    <s v=""/>
    <n v="8.8049785886392353"/>
    <s v=""/>
    <s v=""/>
    <m/>
    <m/>
    <m/>
    <m/>
    <m/>
    <m/>
    <s v=""/>
    <n v="8.8049785886392353"/>
    <s v=""/>
    <s v=""/>
    <x v="3"/>
    <x v="5"/>
    <n v="26.414935765917704"/>
    <s v="Yes"/>
  </r>
  <r>
    <n v="1"/>
    <s v="SO17676"/>
    <m/>
    <x v="5"/>
    <m/>
    <m/>
    <s v="Wilka Nuñez"/>
    <n v="8"/>
    <n v="2025"/>
    <s v="INV13309"/>
    <n v="10"/>
    <n v="2025"/>
    <n v="2504"/>
    <s v="PT Vale Indonesia Tbk."/>
    <s v="USD"/>
    <n v="2101.2515681375298"/>
    <n v="1526.49"/>
    <x v="0"/>
    <n v="0"/>
    <n v="1526.49"/>
    <m/>
    <s v="Renewal"/>
    <m/>
    <m/>
    <s v=""/>
    <n v="5.0000000000000001E-3"/>
    <s v=""/>
    <s v=""/>
    <s v=""/>
    <n v="7.6324500000000004"/>
    <s v=""/>
    <s v=""/>
    <m/>
    <m/>
    <m/>
    <m/>
    <m/>
    <m/>
    <s v=""/>
    <n v="7.6324500000000004"/>
    <s v=""/>
    <s v=""/>
    <x v="3"/>
    <x v="5"/>
    <n v="22.897349999999999"/>
    <s v="Yes"/>
  </r>
  <r>
    <n v="1"/>
    <s v="SO17677"/>
    <m/>
    <x v="5"/>
    <m/>
    <m/>
    <s v="Wilka Nuñez"/>
    <n v="8"/>
    <n v="2025"/>
    <s v="INV13307"/>
    <n v="10"/>
    <n v="2025"/>
    <n v="2504"/>
    <s v="PT Vale Indonesia Tbk."/>
    <s v="USD"/>
    <n v="649.00398256489234"/>
    <n v="471.48"/>
    <x v="0"/>
    <n v="0"/>
    <n v="471.48"/>
    <m/>
    <s v="Renewal"/>
    <m/>
    <m/>
    <s v=""/>
    <n v="5.0000000000000001E-3"/>
    <s v=""/>
    <s v=""/>
    <s v=""/>
    <n v="2.3574000000000002"/>
    <s v=""/>
    <s v=""/>
    <m/>
    <m/>
    <m/>
    <m/>
    <m/>
    <m/>
    <s v=""/>
    <n v="2.3574000000000002"/>
    <s v=""/>
    <s v=""/>
    <x v="3"/>
    <x v="5"/>
    <n v="7.0721999999999996"/>
    <s v="Yes"/>
  </r>
  <r>
    <n v="1"/>
    <s v="SO17679"/>
    <m/>
    <x v="0"/>
    <m/>
    <m/>
    <s v="Ian Trottier"/>
    <n v="8"/>
    <n v="2025"/>
    <s v="INV13628"/>
    <s v=""/>
    <s v=""/>
    <m/>
    <s v="Cartledge &amp; Associates Inc."/>
    <s v="USD"/>
    <n v="2149.8632716599127"/>
    <n v="1559.5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81"/>
    <m/>
    <x v="0"/>
    <m/>
    <m/>
    <s v="Ian Trottier"/>
    <n v="8"/>
    <n v="2025"/>
    <s v="INV13422"/>
    <n v="9"/>
    <n v="2025"/>
    <m/>
    <s v="Kumtor Gold Company"/>
    <s v="USD"/>
    <n v="129950.47975876725"/>
    <n v="94461.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82"/>
    <m/>
    <x v="0"/>
    <m/>
    <m/>
    <s v="Amanda Qiao"/>
    <n v="8"/>
    <n v="2025"/>
    <s v="INV13306"/>
    <n v="10"/>
    <n v="2025"/>
    <m/>
    <s v="Mill-Right Mine Services Inc."/>
    <s v="USD"/>
    <n v="2732.1955433823841"/>
    <n v="1984.8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682"/>
    <m/>
    <x v="0"/>
    <m/>
    <m/>
    <n v="0"/>
    <n v="8"/>
    <n v="2025"/>
    <s v="INV13306"/>
    <n v="10"/>
    <n v="2025"/>
    <m/>
    <s v="Mill-Right Mine Services Inc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83"/>
    <m/>
    <x v="0"/>
    <m/>
    <m/>
    <s v="Alexis Gil Lamadrid"/>
    <n v="8"/>
    <n v="2025"/>
    <s v="INV13332"/>
    <n v="11"/>
    <n v="2025"/>
    <m/>
    <s v="MAB Equipment Company Inc."/>
    <s v="USD"/>
    <n v="7447.2197038851245"/>
    <n v="5392.34"/>
    <x v="1"/>
    <n v="608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84"/>
    <m/>
    <x v="4"/>
    <m/>
    <m/>
    <s v="Alexis Gil Lamadrid"/>
    <n v="8"/>
    <n v="2025"/>
    <s v="INV13432"/>
    <n v="11"/>
    <n v="2025"/>
    <n v="2504"/>
    <s v="Resolute Forest Products - Clermont"/>
    <s v="CAD"/>
    <n v="1086.6199999999999"/>
    <n v="783.11410033220659"/>
    <x v="0"/>
    <n v="0"/>
    <n v="783.11410033220659"/>
    <m/>
    <s v="Renewal"/>
    <m/>
    <m/>
    <s v=""/>
    <n v="5.0000000000000001E-3"/>
    <s v=""/>
    <s v=""/>
    <s v=""/>
    <n v="3.9155705016610329"/>
    <s v=""/>
    <s v=""/>
    <m/>
    <m/>
    <m/>
    <m/>
    <m/>
    <m/>
    <s v=""/>
    <n v="3.9155705016610329"/>
    <s v=""/>
    <s v=""/>
    <x v="3"/>
    <x v="5"/>
    <n v="11.746711504983098"/>
    <s v="Yes"/>
  </r>
  <r>
    <n v="1"/>
    <s v="SO17685"/>
    <m/>
    <x v="4"/>
    <m/>
    <m/>
    <s v="Alexis Gil Lamadrid"/>
    <n v="8"/>
    <n v="2025"/>
    <s v="INV13336"/>
    <n v="10"/>
    <n v="2025"/>
    <n v="2504"/>
    <s v="Wajax Limited - Pointe-aux-Trembles, Wajax Limited"/>
    <s v="CAD"/>
    <n v="236.69"/>
    <n v="170.77131063361841"/>
    <x v="0"/>
    <n v="0"/>
    <n v="170.77131063361841"/>
    <m/>
    <s v="Renewal"/>
    <m/>
    <m/>
    <s v=""/>
    <n v="5.0000000000000001E-3"/>
    <s v=""/>
    <s v=""/>
    <s v=""/>
    <n v="0.85385655316809206"/>
    <s v=""/>
    <s v=""/>
    <m/>
    <m/>
    <m/>
    <m/>
    <m/>
    <m/>
    <s v=""/>
    <n v="0.85385655316809206"/>
    <s v=""/>
    <s v=""/>
    <x v="3"/>
    <x v="5"/>
    <n v="2.5615696595042761"/>
    <s v="Yes"/>
  </r>
  <r>
    <n v="1"/>
    <s v="SO17686"/>
    <m/>
    <x v="5"/>
    <m/>
    <m/>
    <s v="Wilka Nuñez"/>
    <n v="8"/>
    <n v="2025"/>
    <s v="INV13319"/>
    <n v="9"/>
    <n v="2025"/>
    <n v="2503"/>
    <s v="FMI Products"/>
    <s v="CAD"/>
    <n v="1662.14"/>
    <n v="1203.0210227444472"/>
    <x v="0"/>
    <n v="0"/>
    <n v="1203.0210227444472"/>
    <m/>
    <s v="Renewal"/>
    <m/>
    <m/>
    <s v=""/>
    <n v="5.0000000000000001E-3"/>
    <s v=""/>
    <s v=""/>
    <s v=""/>
    <n v="6.0151051137222362"/>
    <s v=""/>
    <s v=""/>
    <m/>
    <m/>
    <m/>
    <n v="2503"/>
    <m/>
    <m/>
    <s v=""/>
    <n v="0"/>
    <s v=""/>
    <s v=""/>
    <x v="1"/>
    <x v="5"/>
    <n v="18.04531534116671"/>
    <s v="Yes"/>
  </r>
  <r>
    <n v="1"/>
    <s v="SO17689"/>
    <m/>
    <x v="4"/>
    <m/>
    <m/>
    <s v="Ian Trottier"/>
    <n v="8"/>
    <n v="2025"/>
    <s v="INV13312"/>
    <n v="9"/>
    <n v="2025"/>
    <n v="2503"/>
    <s v="Motion Industries Inc. (Canada) - Winnipeg"/>
    <s v="CAD"/>
    <n v="121.61"/>
    <n v="88.062622005192878"/>
    <x v="0"/>
    <n v="0"/>
    <n v="88.062622005192878"/>
    <m/>
    <s v="Renewal"/>
    <m/>
    <m/>
    <s v=""/>
    <n v="5.0000000000000001E-3"/>
    <s v=""/>
    <s v=""/>
    <s v=""/>
    <n v="0.4403131100259644"/>
    <s v=""/>
    <s v=""/>
    <m/>
    <m/>
    <m/>
    <n v="2503"/>
    <m/>
    <m/>
    <s v=""/>
    <n v="0"/>
    <s v=""/>
    <s v=""/>
    <x v="1"/>
    <x v="5"/>
    <n v="1.3209393300778931"/>
    <s v="Yes"/>
  </r>
  <r>
    <n v="1"/>
    <s v="SO17690"/>
    <m/>
    <x v="4"/>
    <m/>
    <m/>
    <s v="Alexis Gil Lamadrid"/>
    <n v="8"/>
    <n v="2025"/>
    <s v="INV13318"/>
    <n v="8"/>
    <n v="2025"/>
    <n v="2503"/>
    <s v="Alpha Industrial &amp; Mining Supplies Limited"/>
    <s v="CAD"/>
    <n v="1859.15"/>
    <n v="1345.6126044950124"/>
    <x v="0"/>
    <n v="0"/>
    <n v="1345.6126044950124"/>
    <m/>
    <s v="Renewal"/>
    <m/>
    <m/>
    <s v=""/>
    <n v="5.0000000000000001E-3"/>
    <s v=""/>
    <s v=""/>
    <s v=""/>
    <n v="6.7280630224750624"/>
    <s v=""/>
    <s v=""/>
    <m/>
    <m/>
    <m/>
    <n v="2503"/>
    <m/>
    <m/>
    <s v=""/>
    <n v="0"/>
    <s v=""/>
    <s v=""/>
    <x v="1"/>
    <x v="5"/>
    <n v="20.184189067425187"/>
    <s v="Yes"/>
  </r>
  <r>
    <n v="1"/>
    <s v="SO17691"/>
    <m/>
    <x v="4"/>
    <m/>
    <m/>
    <s v="Alexis Gil Lamadrid"/>
    <n v="8"/>
    <n v="2025"/>
    <s v="INV13320"/>
    <n v="9"/>
    <n v="2025"/>
    <n v="2503"/>
    <s v="FMI Products"/>
    <s v="CAD"/>
    <n v="113.04"/>
    <n v="81.815909857793173"/>
    <x v="0"/>
    <n v="0"/>
    <n v="81.815909857793173"/>
    <m/>
    <s v="Renewal"/>
    <m/>
    <m/>
    <s v=""/>
    <n v="5.0000000000000001E-3"/>
    <s v=""/>
    <s v=""/>
    <s v=""/>
    <n v="0.40907954928896589"/>
    <s v=""/>
    <s v=""/>
    <m/>
    <m/>
    <m/>
    <n v="2503"/>
    <m/>
    <m/>
    <s v=""/>
    <n v="0"/>
    <s v=""/>
    <s v=""/>
    <x v="1"/>
    <x v="5"/>
    <n v="1.2272386478668975"/>
    <s v="Yes"/>
  </r>
  <r>
    <n v="1"/>
    <s v="SO17692"/>
    <m/>
    <x v="0"/>
    <m/>
    <m/>
    <s v="Ian Trottier"/>
    <n v="8"/>
    <n v="2025"/>
    <s v="INV13439"/>
    <s v=""/>
    <s v=""/>
    <m/>
    <s v="Les Pompes du St-Laurent Inc."/>
    <s v="CAD"/>
    <n v="6175.4"/>
    <n v="4463.70446612528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93"/>
    <m/>
    <x v="0"/>
    <m/>
    <m/>
    <s v="Ian Trottier"/>
    <n v="8"/>
    <n v="2025"/>
    <s v="INV13528"/>
    <s v=""/>
    <s v=""/>
    <m/>
    <s v="Thunder Bay Pulp and Paper Inc"/>
    <s v="CAD"/>
    <n v="4128.78"/>
    <n v="2989.813275903298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695"/>
    <m/>
    <x v="4"/>
    <m/>
    <m/>
    <s v="Marlen Martinez"/>
    <n v="8"/>
    <n v="2025"/>
    <s v="INV13344"/>
    <n v="10"/>
    <n v="2025"/>
    <n v="2504"/>
    <s v="Flowstar Industrial Inc"/>
    <s v="CAD"/>
    <n v="160"/>
    <n v="115.43964553373166"/>
    <x v="0"/>
    <n v="0"/>
    <n v="115.43964553373166"/>
    <m/>
    <s v="Renewal"/>
    <m/>
    <m/>
    <s v=""/>
    <n v="5.0000000000000001E-3"/>
    <s v=""/>
    <s v=""/>
    <s v=""/>
    <n v="0.57719822766865836"/>
    <s v=""/>
    <s v=""/>
    <m/>
    <m/>
    <m/>
    <m/>
    <m/>
    <m/>
    <s v=""/>
    <n v="0.57719822766865836"/>
    <s v=""/>
    <s v=""/>
    <x v="3"/>
    <x v="5"/>
    <n v="1.731594683005975"/>
    <s v="Yes"/>
  </r>
  <r>
    <n v="3"/>
    <s v="SO17696"/>
    <m/>
    <x v="0"/>
    <m/>
    <m/>
    <s v="Ian Trottier"/>
    <n v="8"/>
    <n v="2025"/>
    <s v="(* 80548)"/>
    <s v=""/>
    <s v=""/>
    <m/>
    <s v="Kumtor Gold Company"/>
    <s v="USD"/>
    <n v="70310.288679416393"/>
    <n v="51109.0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696"/>
    <m/>
    <x v="0"/>
    <m/>
    <m/>
    <n v="0"/>
    <n v="8"/>
    <n v="2025"/>
    <s v="INV13423"/>
    <n v="9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696"/>
    <m/>
    <x v="0"/>
    <m/>
    <m/>
    <n v="0"/>
    <n v="8"/>
    <n v="2025"/>
    <s v="INV13499"/>
    <n v="10"/>
    <n v="2025"/>
    <m/>
    <s v="Kumtor Gold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7698"/>
    <m/>
    <x v="0"/>
    <m/>
    <m/>
    <s v="Wilka Nuñez"/>
    <n v="8"/>
    <n v="2025"/>
    <s v="No Inv"/>
    <s v=""/>
    <s v=""/>
    <m/>
    <s v="DRN Industriel"/>
    <s v="CAD"/>
    <n v="4779.4799999999996"/>
    <n v="3455.466971466008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7700"/>
    <m/>
    <x v="0"/>
    <m/>
    <m/>
    <s v="Amanda Qiao"/>
    <n v="8"/>
    <n v="2025"/>
    <s v="No Inv"/>
    <s v=""/>
    <s v=""/>
    <m/>
    <s v="Mill-Right Mine Services Inc."/>
    <s v="CAD"/>
    <n v="2156.25"/>
    <n v="1538.950756005322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01"/>
    <m/>
    <x v="5"/>
    <m/>
    <m/>
    <s v="Wilka Nuñez"/>
    <n v="8"/>
    <n v="2025"/>
    <s v="INV13376"/>
    <n v="10"/>
    <n v="2025"/>
    <n v="2504"/>
    <s v="Barrick Gold - Pueblo Viejo Dominicana Corporation"/>
    <s v="USD"/>
    <n v="23323.117122143445"/>
    <n v="16862.14"/>
    <x v="0"/>
    <n v="0"/>
    <n v="16862.14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3"/>
    <x v="6"/>
    <n v="252.93209999999999"/>
    <s v="Yes"/>
  </r>
  <r>
    <n v="1"/>
    <s v="SO17703"/>
    <m/>
    <x v="4"/>
    <m/>
    <m/>
    <s v="Alexis Gil Lamadrid"/>
    <n v="8"/>
    <n v="2025"/>
    <s v="INV13324"/>
    <n v="10"/>
    <n v="2025"/>
    <n v="2504"/>
    <s v="Resolute Forest Products - Saint-Felicien"/>
    <s v="CAD"/>
    <n v="296.56"/>
    <n v="213.96738299677165"/>
    <x v="0"/>
    <n v="0"/>
    <n v="213.96738299677165"/>
    <m/>
    <s v="Renewal"/>
    <m/>
    <m/>
    <s v=""/>
    <n v="5.0000000000000001E-3"/>
    <s v=""/>
    <s v=""/>
    <s v=""/>
    <n v="1.0698369149838582"/>
    <s v=""/>
    <s v=""/>
    <m/>
    <m/>
    <m/>
    <m/>
    <m/>
    <m/>
    <s v=""/>
    <n v="1.0698369149838582"/>
    <s v=""/>
    <s v=""/>
    <x v="3"/>
    <x v="5"/>
    <n v="3.2095107449515745"/>
    <s v="Yes"/>
  </r>
  <r>
    <n v="1"/>
    <s v="SO17704"/>
    <m/>
    <x v="4"/>
    <m/>
    <m/>
    <s v="Alexis Gil Lamadrid"/>
    <n v="8"/>
    <n v="2025"/>
    <s v="INV13337"/>
    <n v="10"/>
    <n v="2025"/>
    <n v="2504"/>
    <s v="Resolute Forest Products - Saint-Felicien"/>
    <s v="CAD"/>
    <n v="264.27999999999997"/>
    <n v="190.67743451034127"/>
    <x v="0"/>
    <n v="0"/>
    <n v="190.67743451034127"/>
    <m/>
    <s v="Renewal"/>
    <m/>
    <m/>
    <s v=""/>
    <n v="5.0000000000000001E-3"/>
    <s v=""/>
    <s v=""/>
    <s v=""/>
    <n v="0.95338717255170635"/>
    <s v=""/>
    <s v=""/>
    <m/>
    <m/>
    <m/>
    <m/>
    <m/>
    <m/>
    <s v=""/>
    <n v="0.95338717255170635"/>
    <s v=""/>
    <s v=""/>
    <x v="3"/>
    <x v="5"/>
    <n v="2.8601615176551189"/>
    <s v="Yes"/>
  </r>
  <r>
    <n v="1"/>
    <s v="SO17707"/>
    <m/>
    <x v="4"/>
    <m/>
    <m/>
    <s v="Alexis Gil Lamadrid"/>
    <n v="8"/>
    <n v="2025"/>
    <s v="INV13343"/>
    <n v="9"/>
    <n v="2025"/>
    <n v="2503"/>
    <s v="Manufacture Sling-Choker (Val-d’Or) Ltée"/>
    <s v="CAD"/>
    <n v="1388"/>
    <n v="1000.3150791087068"/>
    <x v="0"/>
    <n v="0"/>
    <n v="1000.3150791087068"/>
    <m/>
    <s v="Renewal"/>
    <m/>
    <m/>
    <s v=""/>
    <n v="5.0000000000000001E-3"/>
    <s v=""/>
    <s v=""/>
    <s v=""/>
    <n v="5.0015753955435338"/>
    <s v=""/>
    <s v=""/>
    <m/>
    <m/>
    <m/>
    <n v="2503"/>
    <m/>
    <m/>
    <s v=""/>
    <n v="0"/>
    <s v=""/>
    <s v=""/>
    <x v="1"/>
    <x v="5"/>
    <n v="15.004726186630601"/>
    <s v="Yes"/>
  </r>
  <r>
    <n v="1"/>
    <s v="SO17709"/>
    <m/>
    <x v="5"/>
    <m/>
    <m/>
    <s v="Wilka Nuñez"/>
    <n v="8"/>
    <n v="2025"/>
    <s v="INV13365"/>
    <n v="10"/>
    <n v="2025"/>
    <n v="2504"/>
    <s v="Hyperflo"/>
    <s v="CAD"/>
    <n v="2894.78"/>
    <n v="2099.9261713580067"/>
    <x v="0"/>
    <n v="0"/>
    <n v="2099.9261713580067"/>
    <m/>
    <s v="Renewal"/>
    <m/>
    <m/>
    <s v=""/>
    <n v="5.0000000000000001E-3"/>
    <s v=""/>
    <s v=""/>
    <s v=""/>
    <n v="10.499630856790034"/>
    <s v=""/>
    <s v=""/>
    <m/>
    <m/>
    <m/>
    <m/>
    <m/>
    <m/>
    <s v=""/>
    <n v="10.499630856790034"/>
    <s v=""/>
    <s v=""/>
    <x v="3"/>
    <x v="5"/>
    <n v="31.498892570370099"/>
    <s v="Yes"/>
  </r>
  <r>
    <n v="1"/>
    <s v="SO17710"/>
    <m/>
    <x v="0"/>
    <m/>
    <m/>
    <s v="Ian Trottier"/>
    <n v="8"/>
    <n v="2025"/>
    <s v="INV13413"/>
    <n v="11"/>
    <n v="2025"/>
    <m/>
    <s v="MAB Equipment Company Inc."/>
    <s v="USD"/>
    <n v="3660.529443645501"/>
    <n v="2638.1"/>
    <x v="0"/>
    <n v="644"/>
    <n v="1994.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9.911499999999997"/>
    <s v="Yes"/>
  </r>
  <r>
    <n v="0"/>
    <s v="SO17712"/>
    <m/>
    <x v="0"/>
    <m/>
    <m/>
    <s v="Eduardo Talamantes"/>
    <n v="8"/>
    <n v="2025"/>
    <s v="No Inv"/>
    <s v=""/>
    <s v=""/>
    <m/>
    <s v="Corrosion Fluid Products Corp., Corrosion Fluid Products Corp. - Chicago"/>
    <s v="USD"/>
    <n v="61475.032535436767"/>
    <n v="44445.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14"/>
    <m/>
    <x v="4"/>
    <m/>
    <m/>
    <s v="Alexis Gil Lamadrid"/>
    <n v="8"/>
    <n v="2025"/>
    <s v="INV13387"/>
    <n v="10"/>
    <n v="2025"/>
    <n v="2504"/>
    <s v="Sling-Choker Manufacturing - Timmins"/>
    <s v="CAD"/>
    <n v="1842.22"/>
    <n v="1327.6660266827389"/>
    <x v="0"/>
    <n v="0"/>
    <n v="1327.6660266827389"/>
    <m/>
    <s v="Renewal"/>
    <m/>
    <m/>
    <s v=""/>
    <n v="5.0000000000000001E-3"/>
    <s v=""/>
    <s v=""/>
    <s v=""/>
    <n v="6.638330133413695"/>
    <s v=""/>
    <s v=""/>
    <m/>
    <m/>
    <m/>
    <m/>
    <m/>
    <m/>
    <s v=""/>
    <n v="6.638330133413695"/>
    <s v=""/>
    <s v=""/>
    <x v="3"/>
    <x v="5"/>
    <n v="19.914990400241084"/>
    <s v="Yes"/>
  </r>
  <r>
    <n v="1"/>
    <s v="SO17715"/>
    <m/>
    <x v="4"/>
    <m/>
    <m/>
    <s v="Alexis Gil Lamadrid"/>
    <n v="8"/>
    <n v="2025"/>
    <s v="INV13385"/>
    <n v="10"/>
    <n v="2025"/>
    <n v="2504"/>
    <s v="Dome Mine Ltd"/>
    <s v="CAD"/>
    <n v="389.39"/>
    <n v="280.11727837125181"/>
    <x v="0"/>
    <n v="0"/>
    <n v="280.11727837125181"/>
    <m/>
    <s v="Renewal"/>
    <m/>
    <m/>
    <s v=""/>
    <n v="5.0000000000000001E-3"/>
    <s v=""/>
    <s v=""/>
    <s v=""/>
    <n v="1.4005863918562591"/>
    <s v=""/>
    <s v=""/>
    <m/>
    <m/>
    <m/>
    <m/>
    <m/>
    <m/>
    <s v=""/>
    <n v="1.4005863918562591"/>
    <s v=""/>
    <s v=""/>
    <x v="3"/>
    <x v="5"/>
    <n v="4.2017591755687773"/>
    <s v="Yes"/>
  </r>
  <r>
    <n v="0"/>
    <s v="SO17718"/>
    <m/>
    <x v="0"/>
    <m/>
    <m/>
    <s v="Amanda Qiao"/>
    <n v="8"/>
    <n v="2025"/>
    <s v="No Inv"/>
    <s v=""/>
    <s v=""/>
    <m/>
    <s v="Barrick Gold - Pueblo Viejo Dominicana Corporation"/>
    <s v="USD"/>
    <n v="48094.406342432107"/>
    <n v="3478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7"/>
    <n v="0"/>
    <s v=""/>
  </r>
  <r>
    <n v="1"/>
    <s v="SO17719"/>
    <m/>
    <x v="4"/>
    <m/>
    <m/>
    <s v="Ian Trottier"/>
    <n v="8"/>
    <n v="2025"/>
    <s v="INV13342"/>
    <n v="10"/>
    <n v="2025"/>
    <n v="2504"/>
    <s v="Resolute Forest Products - Clermont"/>
    <s v="CAD"/>
    <n v="569.88"/>
    <n v="411.63083827808413"/>
    <x v="0"/>
    <n v="0"/>
    <n v="411.63083827808413"/>
    <m/>
    <s v="Renewal"/>
    <m/>
    <m/>
    <s v=""/>
    <n v="5.0000000000000001E-3"/>
    <s v=""/>
    <s v=""/>
    <s v=""/>
    <n v="2.0581541913904209"/>
    <s v=""/>
    <s v=""/>
    <m/>
    <m/>
    <m/>
    <m/>
    <m/>
    <m/>
    <s v=""/>
    <n v="2.0581541913904209"/>
    <s v=""/>
    <s v=""/>
    <x v="3"/>
    <x v="5"/>
    <n v="6.1744625741712618"/>
    <s v="Yes"/>
  </r>
  <r>
    <n v="1"/>
    <s v="SO17721"/>
    <m/>
    <x v="0"/>
    <m/>
    <m/>
    <s v="Alexis Gil Lamadrid"/>
    <n v="8"/>
    <n v="2025"/>
    <s v="INV13606"/>
    <s v=""/>
    <s v=""/>
    <m/>
    <s v="Les Pompes Diaspec Inc."/>
    <s v="CAD"/>
    <n v="256.17"/>
    <n v="185.53329540069151"/>
    <x v="1"/>
    <n v="3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23"/>
    <m/>
    <x v="4"/>
    <m/>
    <m/>
    <s v="Ian Trottier"/>
    <n v="8"/>
    <n v="2025"/>
    <s v="INV13350"/>
    <n v="10"/>
    <n v="2025"/>
    <n v="2504"/>
    <s v="Hyperflo"/>
    <s v="CAD"/>
    <n v="107.56"/>
    <n v="77.763695517270463"/>
    <x v="0"/>
    <n v="0"/>
    <n v="77.763695517270463"/>
    <m/>
    <s v="Renewal"/>
    <m/>
    <m/>
    <s v=""/>
    <n v="5.0000000000000001E-3"/>
    <s v=""/>
    <s v=""/>
    <s v=""/>
    <n v="0.38881847758635235"/>
    <s v=""/>
    <s v=""/>
    <m/>
    <m/>
    <m/>
    <m/>
    <m/>
    <m/>
    <s v=""/>
    <n v="0.38881847758635235"/>
    <s v=""/>
    <s v=""/>
    <x v="3"/>
    <x v="5"/>
    <n v="1.1664554327590568"/>
    <s v="Yes"/>
  </r>
  <r>
    <n v="1"/>
    <s v="SO17727"/>
    <m/>
    <x v="0"/>
    <m/>
    <m/>
    <s v="Alexis Gil Lamadrid"/>
    <n v="8"/>
    <n v="2025"/>
    <s v="INV13635"/>
    <s v=""/>
    <s v=""/>
    <m/>
    <s v="DRN Industriel"/>
    <s v="CAD"/>
    <n v="3783.68"/>
    <n v="2732.995315111990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29"/>
    <m/>
    <x v="4"/>
    <m/>
    <m/>
    <s v="Marlen Martinez"/>
    <n v="8"/>
    <n v="2025"/>
    <s v="INV13403"/>
    <n v="11"/>
    <n v="2025"/>
    <n v="2504"/>
    <s v="Electric Pump"/>
    <s v="USD"/>
    <n v="2275.9284803376077"/>
    <n v="1651"/>
    <x v="0"/>
    <n v="591"/>
    <n v="1060"/>
    <m/>
    <s v="Renewal"/>
    <m/>
    <m/>
    <s v=""/>
    <n v="5.0000000000000001E-3"/>
    <s v=""/>
    <s v=""/>
    <s v=""/>
    <n v="5.3"/>
    <s v=""/>
    <s v=""/>
    <m/>
    <m/>
    <m/>
    <m/>
    <m/>
    <m/>
    <s v=""/>
    <n v="5.3"/>
    <s v=""/>
    <s v=""/>
    <x v="3"/>
    <x v="5"/>
    <n v="15.899999999999999"/>
    <s v="Yes"/>
  </r>
  <r>
    <n v="1"/>
    <s v="SO17731"/>
    <m/>
    <x v="5"/>
    <m/>
    <m/>
    <s v="Wilka Nuñez"/>
    <n v="8"/>
    <n v="2025"/>
    <s v="INV13348"/>
    <n v="10"/>
    <n v="2025"/>
    <n v="2504"/>
    <s v="ProPart Pompes du Canada 9425-4380 Quebec Inc"/>
    <s v="CAD"/>
    <n v="113.96"/>
    <n v="82.390765536892346"/>
    <x v="0"/>
    <n v="0"/>
    <n v="82.390765536892346"/>
    <m/>
    <s v="Renewal"/>
    <m/>
    <m/>
    <s v=""/>
    <n v="5.0000000000000001E-3"/>
    <s v=""/>
    <s v=""/>
    <s v=""/>
    <n v="0.41195382768446176"/>
    <s v=""/>
    <s v=""/>
    <m/>
    <m/>
    <m/>
    <m/>
    <m/>
    <m/>
    <s v=""/>
    <n v="0.41195382768446176"/>
    <s v=""/>
    <s v=""/>
    <x v="3"/>
    <x v="5"/>
    <n v="1.2358614830533852"/>
    <s v="Yes"/>
  </r>
  <r>
    <n v="1"/>
    <s v="SO17737"/>
    <m/>
    <x v="4"/>
    <m/>
    <m/>
    <s v="Ian Trottier"/>
    <n v="8"/>
    <n v="2025"/>
    <s v="INV13339"/>
    <n v="10"/>
    <n v="2025"/>
    <n v="2504"/>
    <s v="Cartledge &amp; Associates Inc."/>
    <s v="USD"/>
    <n v="4528.6280145801593"/>
    <n v="3257.78"/>
    <x v="0"/>
    <n v="590"/>
    <n v="2667.78"/>
    <m/>
    <s v="Renewal"/>
    <m/>
    <m/>
    <s v=""/>
    <n v="5.0000000000000001E-3"/>
    <s v=""/>
    <s v=""/>
    <s v=""/>
    <n v="13.338900000000001"/>
    <s v=""/>
    <s v=""/>
    <m/>
    <m/>
    <m/>
    <m/>
    <m/>
    <m/>
    <s v=""/>
    <n v="13.338900000000001"/>
    <s v=""/>
    <s v=""/>
    <x v="3"/>
    <x v="5"/>
    <n v="40.0167"/>
    <s v="Yes"/>
  </r>
  <r>
    <n v="1"/>
    <s v="SO17739"/>
    <m/>
    <x v="4"/>
    <m/>
    <m/>
    <s v="Alexis Gil Lamadrid"/>
    <n v="8"/>
    <n v="2025"/>
    <s v="INV13359"/>
    <n v="10"/>
    <n v="2025"/>
    <n v="2504"/>
    <s v="Hyperflo"/>
    <s v="CAD"/>
    <n v="1833.18"/>
    <n v="1333.0574779523824"/>
    <x v="0"/>
    <n v="0"/>
    <n v="1333.0574779523824"/>
    <m/>
    <s v="Renewal"/>
    <m/>
    <m/>
    <s v=""/>
    <n v="5.0000000000000001E-3"/>
    <s v=""/>
    <s v=""/>
    <s v=""/>
    <n v="6.6652873897619127"/>
    <s v=""/>
    <s v=""/>
    <m/>
    <m/>
    <m/>
    <m/>
    <m/>
    <m/>
    <s v=""/>
    <n v="6.6652873897619127"/>
    <s v=""/>
    <s v=""/>
    <x v="3"/>
    <x v="5"/>
    <n v="19.995862169285736"/>
    <s v="Yes"/>
  </r>
  <r>
    <n v="0"/>
    <s v="SO17740"/>
    <m/>
    <x v="0"/>
    <m/>
    <m/>
    <s v="Ian Trottier"/>
    <n v="8"/>
    <n v="2025"/>
    <s v="No Inv"/>
    <s v=""/>
    <s v=""/>
    <m/>
    <s v="Motion Industries Inc. (U.S.) - Pueblo"/>
    <s v="USD"/>
    <n v="6210.3404266936441"/>
    <n v="4489.9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41"/>
    <m/>
    <x v="0"/>
    <m/>
    <m/>
    <s v="Ian Trottier"/>
    <n v="8"/>
    <n v="2025"/>
    <s v="INV13452"/>
    <s v=""/>
    <s v=""/>
    <m/>
    <s v="PT Vale Indonesia Tbk."/>
    <s v="USD"/>
    <n v="19807.607682616384"/>
    <n v="14249.0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41"/>
    <m/>
    <x v="0"/>
    <m/>
    <m/>
    <n v="0"/>
    <n v="8"/>
    <n v="2025"/>
    <s v="INV13690"/>
    <s v=""/>
    <s v=""/>
    <m/>
    <s v="PT Vale Indonesia Tbk.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42"/>
    <m/>
    <x v="4"/>
    <m/>
    <m/>
    <s v="Alexis Gil Lamadrid"/>
    <n v="8"/>
    <n v="2025"/>
    <s v="INV13364"/>
    <n v="10"/>
    <n v="2025"/>
    <n v="2504"/>
    <s v="Motion Industries Inc. (Canada) - Prince George"/>
    <s v="CAD"/>
    <n v="3446.9"/>
    <n v="2506.5273572448236"/>
    <x v="0"/>
    <n v="0"/>
    <n v="2506.5273572448236"/>
    <m/>
    <s v="Renewal"/>
    <m/>
    <m/>
    <s v=""/>
    <n v="5.0000000000000001E-3"/>
    <s v=""/>
    <s v=""/>
    <s v=""/>
    <n v="12.532636786224119"/>
    <s v=""/>
    <s v=""/>
    <m/>
    <m/>
    <m/>
    <m/>
    <m/>
    <m/>
    <s v=""/>
    <n v="12.532636786224119"/>
    <s v=""/>
    <s v=""/>
    <x v="3"/>
    <x v="5"/>
    <n v="37.597910358672351"/>
    <s v="Yes"/>
  </r>
  <r>
    <n v="0"/>
    <s v="SO17744"/>
    <m/>
    <x v="0"/>
    <m/>
    <m/>
    <s v="Amanda Qiao"/>
    <n v="8"/>
    <n v="2025"/>
    <s v="No Inv"/>
    <s v=""/>
    <s v=""/>
    <m/>
    <s v="Mill-Right Mine Services Inc."/>
    <s v="USD"/>
    <n v="86351.143265630075"/>
    <n v="625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47"/>
    <m/>
    <x v="4"/>
    <m/>
    <m/>
    <s v="Alexis Gil Lamadrid"/>
    <n v="8"/>
    <n v="2025"/>
    <s v="INV13354"/>
    <n v="10"/>
    <n v="2025"/>
    <n v="2504"/>
    <s v="Resolute Forest Products - Saint-Felicien"/>
    <s v="CAD"/>
    <n v="7718.14"/>
    <n v="5580.0584689444568"/>
    <x v="0"/>
    <n v="0"/>
    <n v="5580.0584689444568"/>
    <m/>
    <s v="Renewal"/>
    <m/>
    <m/>
    <s v=""/>
    <n v="5.0000000000000001E-3"/>
    <s v=""/>
    <s v=""/>
    <s v=""/>
    <n v="27.900292344722285"/>
    <s v=""/>
    <s v=""/>
    <m/>
    <m/>
    <m/>
    <m/>
    <m/>
    <m/>
    <s v=""/>
    <n v="27.900292344722285"/>
    <s v=""/>
    <s v=""/>
    <x v="3"/>
    <x v="5"/>
    <n v="83.700877034166851"/>
    <s v="Yes"/>
  </r>
  <r>
    <n v="1"/>
    <s v="SO17749"/>
    <m/>
    <x v="0"/>
    <m/>
    <m/>
    <s v="Alexis Gil Lamadrid"/>
    <n v="8"/>
    <n v="2025"/>
    <s v="INV13349"/>
    <s v=""/>
    <s v=""/>
    <m/>
    <s v="Resolute Forest Products - Saint-Felicien"/>
    <s v="CAD"/>
    <n v="630.64"/>
    <n v="455.939912058492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53"/>
    <m/>
    <x v="4"/>
    <m/>
    <m/>
    <s v="Alexis Gil Lamadrid"/>
    <n v="8"/>
    <n v="2025"/>
    <s v="INV13367"/>
    <n v="9"/>
    <n v="2025"/>
    <n v="2503"/>
    <s v="Alpha Industrial &amp; Mining Supplies Limited"/>
    <s v="CAD"/>
    <n v="299.25"/>
    <n v="216.443268389319"/>
    <x v="0"/>
    <n v="0"/>
    <n v="216.443268389319"/>
    <m/>
    <s v="Renewal"/>
    <m/>
    <m/>
    <s v=""/>
    <n v="5.0000000000000001E-3"/>
    <s v=""/>
    <s v=""/>
    <s v=""/>
    <n v="1.0822163419465951"/>
    <s v=""/>
    <s v=""/>
    <m/>
    <m/>
    <m/>
    <n v="2503"/>
    <m/>
    <m/>
    <s v=""/>
    <n v="0"/>
    <s v=""/>
    <s v=""/>
    <x v="1"/>
    <x v="5"/>
    <n v="3.2466490258397851"/>
    <s v="Yes"/>
  </r>
  <r>
    <n v="2"/>
    <s v="SO17756"/>
    <m/>
    <x v="4"/>
    <m/>
    <m/>
    <s v="Alexis Gil Lamadrid"/>
    <n v="8"/>
    <n v="2025"/>
    <s v="INV13353"/>
    <n v="11"/>
    <n v="2025"/>
    <n v="2504"/>
    <s v="Southeast Pump Specialist, Inc."/>
    <s v="USD"/>
    <n v="4155.7875542093761"/>
    <n v="3004.55"/>
    <x v="0"/>
    <n v="590"/>
    <n v="2414.5500000000002"/>
    <m/>
    <s v="Renewal"/>
    <m/>
    <m/>
    <s v=""/>
    <n v="5.0000000000000001E-3"/>
    <s v=""/>
    <s v=""/>
    <s v=""/>
    <n v="12.072750000000001"/>
    <s v=""/>
    <s v=""/>
    <m/>
    <m/>
    <m/>
    <m/>
    <m/>
    <m/>
    <s v=""/>
    <n v="12.072750000000001"/>
    <s v=""/>
    <s v=""/>
    <x v="3"/>
    <x v="5"/>
    <n v="36.218250000000005"/>
    <s v="Yes"/>
  </r>
  <r>
    <n v="2"/>
    <s v="SO17756"/>
    <m/>
    <x v="4"/>
    <m/>
    <m/>
    <n v="0"/>
    <n v="8"/>
    <n v="2025"/>
    <s v="(* 79207)"/>
    <s v=""/>
    <s v=""/>
    <n v="2504"/>
    <s v="Southeast Pump Specialist, Inc."/>
    <s v="US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758"/>
    <m/>
    <x v="5"/>
    <m/>
    <m/>
    <s v="Wilka Nuñez"/>
    <n v="8"/>
    <n v="2025"/>
    <s v="INV13391"/>
    <n v="10"/>
    <n v="2025"/>
    <n v="2504"/>
    <s v="Canadian Bearings Ltd."/>
    <s v="CAD"/>
    <n v="270.35000000000002"/>
    <n v="195.6040806434313"/>
    <x v="0"/>
    <n v="0"/>
    <n v="195.6040806434313"/>
    <m/>
    <s v="Renewal"/>
    <m/>
    <m/>
    <s v=""/>
    <n v="5.0000000000000001E-3"/>
    <s v=""/>
    <s v=""/>
    <s v=""/>
    <n v="0.97802040321715655"/>
    <s v=""/>
    <s v=""/>
    <m/>
    <m/>
    <m/>
    <m/>
    <m/>
    <m/>
    <s v=""/>
    <n v="0.97802040321715655"/>
    <s v=""/>
    <s v=""/>
    <x v="3"/>
    <x v="5"/>
    <n v="2.9340612096514693"/>
    <s v="Yes"/>
  </r>
  <r>
    <n v="2"/>
    <s v="SO17759"/>
    <m/>
    <x v="0"/>
    <m/>
    <m/>
    <s v="Alexis Gil Lamadrid"/>
    <n v="8"/>
    <n v="2025"/>
    <s v="INV13584"/>
    <n v="12"/>
    <n v="2025"/>
    <m/>
    <s v="Motion Industries Inc. (Canada) - Prince George"/>
    <s v="CAD"/>
    <n v="8071.57"/>
    <n v="5836.540577223931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59"/>
    <m/>
    <x v="0"/>
    <m/>
    <m/>
    <n v="0"/>
    <n v="8"/>
    <n v="2025"/>
    <s v="INV13636"/>
    <s v=""/>
    <s v=""/>
    <m/>
    <s v="Motion Industries Inc. (Canada) - Prince Georg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60"/>
    <m/>
    <x v="0"/>
    <m/>
    <m/>
    <s v="Carlos Leon"/>
    <n v="8"/>
    <n v="2025"/>
    <s v="INV13686"/>
    <s v=""/>
    <s v=""/>
    <m/>
    <s v="Dynapro Pumps México S de RL de CV"/>
    <s v="USD"/>
    <n v="2697.1712005818786"/>
    <n v="195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760"/>
    <m/>
    <x v="0"/>
    <m/>
    <m/>
    <n v="0"/>
    <n v="8"/>
    <n v="2025"/>
    <s v="INV13673"/>
    <s v=""/>
    <s v=""/>
    <m/>
    <s v="Dynapro Pumps México S de RL de CV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761"/>
    <m/>
    <x v="5"/>
    <m/>
    <m/>
    <s v="Wilka Nuñez"/>
    <n v="8"/>
    <n v="2025"/>
    <s v="INV13378"/>
    <n v="10"/>
    <n v="2025"/>
    <n v="2504"/>
    <s v="Barrick Gold - Pueblo Viejo Dominicana Corporation"/>
    <s v="USD"/>
    <n v="9778.1999857648989"/>
    <n v="7069.44"/>
    <x v="0"/>
    <n v="0"/>
    <n v="7069.44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3"/>
    <x v="6"/>
    <n v="106.04159999999999"/>
    <s v="Yes"/>
  </r>
  <r>
    <n v="1"/>
    <s v="SO17763"/>
    <m/>
    <x v="4"/>
    <m/>
    <m/>
    <s v="Alexis Gil Lamadrid"/>
    <n v="8"/>
    <n v="2025"/>
    <s v="INV13417"/>
    <n v="10"/>
    <n v="2025"/>
    <n v="2504"/>
    <s v="Motion Industries Inc. (Canada) - North Bay, Motion Industries Canada"/>
    <s v="CAD"/>
    <n v="2576.7199999999998"/>
    <n v="1869.1996504955835"/>
    <x v="0"/>
    <n v="0"/>
    <n v="1869.1996504955835"/>
    <m/>
    <s v="Renewal"/>
    <m/>
    <m/>
    <s v=""/>
    <n v="5.0000000000000001E-3"/>
    <s v=""/>
    <s v=""/>
    <s v=""/>
    <n v="9.3459982524779175"/>
    <s v=""/>
    <s v=""/>
    <m/>
    <m/>
    <m/>
    <m/>
    <m/>
    <m/>
    <s v=""/>
    <n v="9.3459982524779175"/>
    <s v=""/>
    <s v=""/>
    <x v="3"/>
    <x v="5"/>
    <n v="28.037994757433751"/>
    <s v="Yes"/>
  </r>
  <r>
    <n v="1"/>
    <s v="SO17765"/>
    <m/>
    <x v="0"/>
    <m/>
    <m/>
    <s v="Ian Trottier"/>
    <n v="8"/>
    <n v="2025"/>
    <s v="INV13384"/>
    <n v="10"/>
    <n v="2025"/>
    <m/>
    <s v="Middle Georgia Fluid Sealing LLC"/>
    <s v="USD"/>
    <n v="18960.735106430871"/>
    <n v="13714.03"/>
    <x v="0"/>
    <n v="622"/>
    <n v="13092.03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96.38045"/>
    <s v="Yes"/>
  </r>
  <r>
    <n v="2"/>
    <s v="SO17768"/>
    <m/>
    <x v="0"/>
    <m/>
    <m/>
    <s v="Ian Trottier"/>
    <n v="8"/>
    <n v="2025"/>
    <s v="INV13383"/>
    <n v="10"/>
    <n v="2025"/>
    <m/>
    <s v="Wesdome Gold Mines Ltd - Eagle River Mine"/>
    <s v="CAD"/>
    <n v="27525.7"/>
    <n v="19967.644454828729"/>
    <x v="0"/>
    <n v="0"/>
    <n v="19967.64445482872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99.51466682243091"/>
    <s v="Yes"/>
  </r>
  <r>
    <n v="2"/>
    <s v="SO17768"/>
    <m/>
    <x v="0"/>
    <m/>
    <m/>
    <n v="0"/>
    <n v="8"/>
    <n v="2025"/>
    <s v="INV13426"/>
    <n v="1"/>
    <n v="1900"/>
    <m/>
    <s v="Wesdome Gold Mines Ltd - Eagle River Min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69"/>
    <m/>
    <x v="5"/>
    <m/>
    <m/>
    <s v="Wilka Nuñez"/>
    <n v="8"/>
    <n v="2025"/>
    <s v="INV13643"/>
    <s v=""/>
    <s v=""/>
    <n v="2504"/>
    <s v="Barrick Gold - Pueblo Viejo Dominicana Corporation"/>
    <s v="USD"/>
    <n v="31086.578437253145"/>
    <n v="22484.48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2"/>
    <s v="SO17769"/>
    <m/>
    <x v="5"/>
    <m/>
    <m/>
    <n v="0"/>
    <n v="8"/>
    <n v="2025"/>
    <s v="INV13377"/>
    <n v="10"/>
    <n v="2025"/>
    <n v="2504"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0"/>
    <x v="6"/>
    <n v="0"/>
    <s v=""/>
  </r>
  <r>
    <n v="1"/>
    <s v="SO17774"/>
    <m/>
    <x v="5"/>
    <m/>
    <m/>
    <s v="Wilka Nuñez"/>
    <n v="8"/>
    <n v="2025"/>
    <s v="INV13362"/>
    <n v="11"/>
    <n v="2025"/>
    <n v="2504"/>
    <s v="Motion Industries Inc. (U.S.) - Clewiston"/>
    <s v="USD"/>
    <n v="371.64353415826866"/>
    <n v="268.8"/>
    <x v="0"/>
    <n v="0"/>
    <n v="268.8"/>
    <m/>
    <s v="Renewal"/>
    <m/>
    <m/>
    <s v=""/>
    <n v="5.0000000000000001E-3"/>
    <s v=""/>
    <s v=""/>
    <s v=""/>
    <n v="1.3440000000000001"/>
    <s v=""/>
    <s v=""/>
    <m/>
    <m/>
    <m/>
    <m/>
    <m/>
    <m/>
    <s v=""/>
    <n v="1.3440000000000001"/>
    <s v=""/>
    <s v=""/>
    <x v="3"/>
    <x v="5"/>
    <n v="4.032"/>
    <s v="Yes"/>
  </r>
  <r>
    <n v="0"/>
    <s v="SO17775"/>
    <m/>
    <x v="0"/>
    <m/>
    <m/>
    <s v="Wilka Nuñez"/>
    <n v="8"/>
    <n v="2025"/>
    <s v="No Inv"/>
    <s v=""/>
    <s v=""/>
    <m/>
    <s v="PT Vale Indonesia Tbk."/>
    <s v="USD"/>
    <n v="1484.0578002038783"/>
    <n v="1073.380000000000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76"/>
    <m/>
    <x v="1"/>
    <m/>
    <m/>
    <s v="Marlen Martinez"/>
    <n v="8"/>
    <n v="2025"/>
    <s v="INV13368"/>
    <s v=""/>
    <s v=""/>
    <m/>
    <s v="Covia Corp - Blue Mountain"/>
    <s v="USD"/>
    <n v="8216.692090191882"/>
    <n v="5963.41"/>
    <x v="1"/>
    <n v="288.35000000000002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1"/>
    <s v="SO17777"/>
    <m/>
    <x v="4"/>
    <m/>
    <m/>
    <s v="Alexis Gil Lamadrid"/>
    <n v="8"/>
    <n v="2025"/>
    <s v="INV13409"/>
    <n v="9"/>
    <n v="2025"/>
    <n v="2504"/>
    <s v="F H Pumps, Inc., F H Pumps, Inc"/>
    <s v="USD"/>
    <n v="2861.7796472376949"/>
    <n v="2069.85"/>
    <x v="0"/>
    <n v="0"/>
    <n v="2069.85"/>
    <m/>
    <s v="Renewal"/>
    <m/>
    <m/>
    <s v=""/>
    <n v="5.0000000000000001E-3"/>
    <s v=""/>
    <s v=""/>
    <s v=""/>
    <n v="10.34925"/>
    <s v=""/>
    <s v=""/>
    <m/>
    <m/>
    <m/>
    <m/>
    <m/>
    <m/>
    <s v=""/>
    <n v="10.34925"/>
    <s v=""/>
    <s v=""/>
    <x v="3"/>
    <x v="5"/>
    <n v="31.047749999999997"/>
    <s v="Yes"/>
  </r>
  <r>
    <n v="2"/>
    <s v="SO17778"/>
    <m/>
    <x v="4"/>
    <m/>
    <m/>
    <s v="Alexis Gil Lamadrid"/>
    <n v="8"/>
    <n v="2025"/>
    <s v="INV13513"/>
    <n v="11"/>
    <n v="2025"/>
    <n v="2504"/>
    <s v="Canadian Industrial Pumps Ltd"/>
    <s v="CAD"/>
    <n v="7090.68"/>
    <n v="5138.7247188494093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778"/>
    <m/>
    <x v="4"/>
    <m/>
    <m/>
    <n v="0"/>
    <n v="8"/>
    <n v="2025"/>
    <s v="INV13541"/>
    <s v=""/>
    <s v=""/>
    <n v="2504"/>
    <s v="Canadian Industrial Pumps Ltd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779"/>
    <m/>
    <x v="4"/>
    <m/>
    <m/>
    <s v="Alexis Gil Lamadrid"/>
    <n v="8"/>
    <n v="2025"/>
    <s v="INV13430"/>
    <n v="11"/>
    <n v="2025"/>
    <n v="2504"/>
    <s v="Resolute Forest Products - Saint-Felicien"/>
    <s v="CAD"/>
    <n v="236.55"/>
    <n v="172.29834334654927"/>
    <x v="0"/>
    <n v="0"/>
    <n v="172.29834334654927"/>
    <m/>
    <s v="Renewal"/>
    <m/>
    <m/>
    <s v=""/>
    <n v="5.0000000000000001E-3"/>
    <s v=""/>
    <s v=""/>
    <s v=""/>
    <n v="0.86149171673274638"/>
    <s v=""/>
    <s v=""/>
    <m/>
    <m/>
    <m/>
    <m/>
    <m/>
    <m/>
    <s v=""/>
    <n v="0.86149171673274638"/>
    <s v=""/>
    <s v=""/>
    <x v="3"/>
    <x v="5"/>
    <n v="2.584475150198239"/>
    <s v="Yes"/>
  </r>
  <r>
    <n v="0"/>
    <s v="SO17781"/>
    <m/>
    <x v="0"/>
    <m/>
    <m/>
    <s v="Wilka Nuñez"/>
    <n v="9"/>
    <n v="2025"/>
    <s v="No Inv"/>
    <s v=""/>
    <s v=""/>
    <m/>
    <s v="Motion Industries Inc. (Canada) - Prince George"/>
    <s v="CAD"/>
    <n v="3879.01"/>
    <n v="2811.311834276787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82"/>
    <m/>
    <x v="0"/>
    <m/>
    <m/>
    <s v="Yannett Yeomans"/>
    <n v="9"/>
    <n v="2025"/>
    <s v="INV13687"/>
    <s v=""/>
    <s v=""/>
    <m/>
    <s v="Dynapro Pumps México S de RL de CV"/>
    <s v="USD"/>
    <n v="11042.910275564245"/>
    <n v="80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783"/>
    <m/>
    <x v="5"/>
    <m/>
    <m/>
    <s v="Wilka Nuñez"/>
    <n v="9"/>
    <n v="2025"/>
    <s v="INV13479"/>
    <n v="11"/>
    <n v="2025"/>
    <n v="2504"/>
    <s v="Barrick Gold - Pueblo Viejo Dominicana Corporation"/>
    <s v="USD"/>
    <n v="7436.1884499148664"/>
    <n v="5389.12"/>
    <x v="0"/>
    <n v="0"/>
    <n v="5389.12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3"/>
    <x v="6"/>
    <n v="80.836799999999997"/>
    <s v="Yes"/>
  </r>
  <r>
    <n v="1"/>
    <s v="SO17784"/>
    <m/>
    <x v="0"/>
    <m/>
    <m/>
    <s v="Wilka Nuñez"/>
    <n v="9"/>
    <n v="2025"/>
    <s v="INV13361"/>
    <s v=""/>
    <s v=""/>
    <m/>
    <s v="Wajax Limited - Val D'Or, Composants Industriels Wajax SC -57"/>
    <s v="CAD"/>
    <n v="2940.13"/>
    <n v="2122.189154636055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85"/>
    <m/>
    <x v="0"/>
    <m/>
    <m/>
    <s v="Wilka Nuñez"/>
    <n v="9"/>
    <n v="2025"/>
    <s v="INV13665"/>
    <s v=""/>
    <s v=""/>
    <m/>
    <s v="Tech-Flow"/>
    <s v="USD"/>
    <n v="1682.4707767983607"/>
    <n v="12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86"/>
    <m/>
    <x v="0"/>
    <m/>
    <m/>
    <s v="Yannett Yeomans"/>
    <n v="9"/>
    <n v="2025"/>
    <s v="INV13375"/>
    <s v=""/>
    <s v=""/>
    <m/>
    <s v="Dynapro Pumps México S de RL de CV"/>
    <s v="USD"/>
    <n v="3692.6414252439868"/>
    <n v="26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787"/>
    <m/>
    <x v="0"/>
    <m/>
    <m/>
    <s v="Ian Trottier"/>
    <n v="9"/>
    <n v="2025"/>
    <s v="INV13397"/>
    <n v="10"/>
    <n v="2025"/>
    <m/>
    <s v="Motion Industries Inc. (Canada) - Winnipeg"/>
    <s v="CAD"/>
    <n v="112.54"/>
    <n v="81.395130764358285"/>
    <x v="0"/>
    <n v="0"/>
    <n v="81.395130764358285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.2209269614653742"/>
    <s v="Yes"/>
  </r>
  <r>
    <n v="1"/>
    <s v="SO17788"/>
    <m/>
    <x v="4"/>
    <m/>
    <m/>
    <s v="Alexis Gil Lamadrid"/>
    <n v="9"/>
    <n v="2025"/>
    <s v="INV13360"/>
    <n v="10"/>
    <n v="2025"/>
    <n v="2504"/>
    <s v="Sealtrac Inc."/>
    <s v="CAD"/>
    <n v="913.69"/>
    <n v="659.5024739380292"/>
    <x v="0"/>
    <n v="0"/>
    <n v="659.5024739380292"/>
    <m/>
    <s v="Renewal"/>
    <m/>
    <m/>
    <s v=""/>
    <n v="5.0000000000000001E-3"/>
    <s v=""/>
    <s v=""/>
    <s v=""/>
    <n v="3.2975123696901463"/>
    <s v=""/>
    <s v=""/>
    <m/>
    <m/>
    <m/>
    <m/>
    <m/>
    <m/>
    <s v=""/>
    <n v="3.2975123696901463"/>
    <s v=""/>
    <s v=""/>
    <x v="3"/>
    <x v="5"/>
    <n v="9.892537109070437"/>
    <s v="Yes"/>
  </r>
  <r>
    <n v="1"/>
    <s v="SO17794"/>
    <m/>
    <x v="0"/>
    <m/>
    <m/>
    <s v="Alexis Gil Lamadrid"/>
    <n v="9"/>
    <n v="2025"/>
    <s v="INV13545"/>
    <n v="12"/>
    <n v="2025"/>
    <m/>
    <s v="FMI Products"/>
    <s v="CAD"/>
    <n v="2213.92"/>
    <n v="1589.98368178753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796"/>
    <m/>
    <x v="4"/>
    <m/>
    <m/>
    <s v="Alexis Gil Lamadrid"/>
    <n v="9"/>
    <n v="2025"/>
    <s v="INV13579"/>
    <s v=""/>
    <s v=""/>
    <n v="2504"/>
    <s v="Sealtrac Inc."/>
    <s v="CAD"/>
    <n v="842.06"/>
    <n v="608.89236647358371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796"/>
    <m/>
    <x v="4"/>
    <m/>
    <m/>
    <n v="0"/>
    <n v="9"/>
    <n v="2025"/>
    <s v="INV13416"/>
    <n v="11"/>
    <n v="2025"/>
    <n v="2504"/>
    <s v="Sealtrac Inc.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0"/>
    <s v="SO17797"/>
    <m/>
    <x v="0"/>
    <m/>
    <m/>
    <s v="Amanda Qiao"/>
    <n v="9"/>
    <n v="2025"/>
    <s v="No Inv"/>
    <s v=""/>
    <s v=""/>
    <m/>
    <s v="Super Cast Limited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799"/>
    <m/>
    <x v="0"/>
    <m/>
    <m/>
    <s v="Wilka Nuñez"/>
    <n v="9"/>
    <n v="2025"/>
    <s v="INV13664"/>
    <s v=""/>
    <s v=""/>
    <m/>
    <s v="Tech-Flow"/>
    <s v="USD"/>
    <n v="1685.9240045141698"/>
    <n v="12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00"/>
    <m/>
    <x v="4"/>
    <m/>
    <m/>
    <s v="Ian Trottier"/>
    <n v="9"/>
    <n v="2025"/>
    <s v="INV13373"/>
    <n v="10"/>
    <n v="2025"/>
    <n v="2504"/>
    <s v="Hyperflo"/>
    <s v="CAD"/>
    <n v="909.56"/>
    <n v="657.70151871566486"/>
    <x v="0"/>
    <n v="0"/>
    <n v="657.70151871566486"/>
    <m/>
    <s v="Renewal"/>
    <m/>
    <m/>
    <s v=""/>
    <n v="5.0000000000000001E-3"/>
    <s v=""/>
    <s v=""/>
    <s v=""/>
    <n v="3.2885075935783243"/>
    <s v=""/>
    <s v=""/>
    <m/>
    <m/>
    <m/>
    <m/>
    <m/>
    <m/>
    <s v=""/>
    <n v="3.2885075935783243"/>
    <s v=""/>
    <s v=""/>
    <x v="3"/>
    <x v="5"/>
    <n v="9.8655227807349721"/>
    <s v="Yes"/>
  </r>
  <r>
    <n v="1"/>
    <s v="SO17801"/>
    <m/>
    <x v="4"/>
    <m/>
    <m/>
    <s v="Alexis Gil Lamadrid"/>
    <n v="9"/>
    <n v="2025"/>
    <s v="INV13396"/>
    <n v="11"/>
    <n v="2025"/>
    <n v="2504"/>
    <s v="Resolute Forest Products - Fibrek"/>
    <s v="CAD"/>
    <n v="9022.9"/>
    <n v="6528.2635814226587"/>
    <x v="0"/>
    <n v="0"/>
    <n v="6528.2635814226587"/>
    <m/>
    <s v="Renewal"/>
    <m/>
    <m/>
    <s v=""/>
    <n v="5.0000000000000001E-3"/>
    <s v=""/>
    <s v=""/>
    <s v=""/>
    <n v="32.641317907113297"/>
    <s v=""/>
    <s v=""/>
    <m/>
    <m/>
    <m/>
    <m/>
    <m/>
    <m/>
    <s v=""/>
    <n v="32.641317907113297"/>
    <s v=""/>
    <s v=""/>
    <x v="3"/>
    <x v="5"/>
    <n v="97.923953721339871"/>
    <s v="Yes"/>
  </r>
  <r>
    <n v="1"/>
    <s v="SO17803"/>
    <m/>
    <x v="4"/>
    <m/>
    <m/>
    <s v="Ian Trottier"/>
    <n v="9"/>
    <n v="2025"/>
    <s v="INV13410"/>
    <n v="10"/>
    <n v="2025"/>
    <n v="2504"/>
    <s v="Hyperflo"/>
    <s v="CAD"/>
    <n v="100.58"/>
    <n v="72.891871050713561"/>
    <x v="0"/>
    <n v="0"/>
    <n v="72.891871050713561"/>
    <m/>
    <s v="Renewal"/>
    <m/>
    <m/>
    <s v=""/>
    <n v="5.0000000000000001E-3"/>
    <s v=""/>
    <s v=""/>
    <s v=""/>
    <n v="0.36445935525356782"/>
    <s v=""/>
    <s v=""/>
    <m/>
    <m/>
    <m/>
    <m/>
    <m/>
    <m/>
    <s v=""/>
    <n v="0.36445935525356782"/>
    <s v=""/>
    <s v=""/>
    <x v="3"/>
    <x v="5"/>
    <n v="1.0933780657607033"/>
    <s v="Yes"/>
  </r>
  <r>
    <n v="1"/>
    <s v="SO17804"/>
    <m/>
    <x v="4"/>
    <m/>
    <m/>
    <s v="Alexis Gil Lamadrid"/>
    <n v="9"/>
    <n v="2025"/>
    <s v="INV13381"/>
    <n v="10"/>
    <n v="2025"/>
    <n v="2504"/>
    <s v="Wajax Limited - Lachine"/>
    <s v="CAD"/>
    <n v="498.96"/>
    <n v="360.87537272244725"/>
    <x v="0"/>
    <n v="0"/>
    <n v="360.87537272244725"/>
    <m/>
    <s v="Renewal"/>
    <m/>
    <m/>
    <s v=""/>
    <n v="5.0000000000000001E-3"/>
    <s v=""/>
    <s v=""/>
    <s v=""/>
    <n v="1.8043768636122364"/>
    <s v=""/>
    <s v=""/>
    <m/>
    <m/>
    <m/>
    <m/>
    <m/>
    <m/>
    <s v=""/>
    <n v="1.8043768636122364"/>
    <s v=""/>
    <s v=""/>
    <x v="3"/>
    <x v="5"/>
    <n v="5.4131305908367082"/>
    <s v="Yes"/>
  </r>
  <r>
    <n v="3"/>
    <s v="SO17806"/>
    <m/>
    <x v="1"/>
    <m/>
    <m/>
    <s v="Marlen Martinez"/>
    <n v="9"/>
    <n v="2025"/>
    <s v="INV13552"/>
    <s v=""/>
    <s v=""/>
    <m/>
    <s v="Covia Corp - Junction City"/>
    <s v="USD"/>
    <n v="13645.070346114962"/>
    <n v="9866.5499999999993"/>
    <x v="1"/>
    <n v="69.97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3"/>
    <s v="SO17806"/>
    <m/>
    <x v="0"/>
    <m/>
    <m/>
    <n v="0"/>
    <n v="9"/>
    <n v="2025"/>
    <s v="INV13533"/>
    <s v=""/>
    <s v=""/>
    <m/>
    <s v="Covia Corp - Junction City"/>
    <s v="USD"/>
    <n v="0"/>
    <n v="0"/>
    <x v="1"/>
    <n v="478.1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3"/>
    <s v="SO17806"/>
    <m/>
    <x v="0"/>
    <m/>
    <m/>
    <n v="0"/>
    <n v="9"/>
    <n v="2025"/>
    <s v="INV13678"/>
    <s v=""/>
    <s v=""/>
    <m/>
    <s v="Covia Corp - Junction City"/>
    <s v="USD"/>
    <n v="0"/>
    <n v="0"/>
    <x v="1"/>
    <n v="513.36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1"/>
    <s v="SO17809"/>
    <m/>
    <x v="0"/>
    <m/>
    <m/>
    <s v="Ian Trottier"/>
    <n v="9"/>
    <n v="2025"/>
    <s v="INV13442"/>
    <s v=""/>
    <s v=""/>
    <m/>
    <s v="Resolute Forest Products - Saint-Felicien"/>
    <s v="CAD"/>
    <n v="3973.6"/>
    <n v="2869.87938437554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12"/>
    <m/>
    <x v="4"/>
    <m/>
    <m/>
    <s v="Ian Trottier"/>
    <n v="9"/>
    <n v="2025"/>
    <s v="INV13390"/>
    <n v="11"/>
    <n v="2025"/>
    <n v="2504"/>
    <s v="Resolute Forest Products - Saint-Felicien"/>
    <s v="CAD"/>
    <n v="4557.97"/>
    <n v="3289.9478938538446"/>
    <x v="0"/>
    <n v="0"/>
    <n v="3289.9478938538446"/>
    <m/>
    <s v="Renewal"/>
    <m/>
    <m/>
    <s v=""/>
    <n v="5.0000000000000001E-3"/>
    <s v=""/>
    <s v=""/>
    <s v=""/>
    <n v="16.449739469269222"/>
    <s v=""/>
    <s v=""/>
    <m/>
    <m/>
    <m/>
    <m/>
    <m/>
    <m/>
    <s v=""/>
    <n v="16.449739469269222"/>
    <s v=""/>
    <s v=""/>
    <x v="3"/>
    <x v="5"/>
    <n v="49.349218407807669"/>
    <s v="Yes"/>
  </r>
  <r>
    <n v="1"/>
    <s v="SO17813"/>
    <m/>
    <x v="4"/>
    <m/>
    <m/>
    <s v="Alexis Gil Lamadrid"/>
    <n v="9"/>
    <n v="2025"/>
    <s v="INV13399"/>
    <n v="10"/>
    <n v="2025"/>
    <n v="2504"/>
    <s v="Hyperflo"/>
    <s v="CAD"/>
    <n v="102.81"/>
    <n v="74.33093160059515"/>
    <x v="0"/>
    <n v="0"/>
    <n v="74.33093160059515"/>
    <m/>
    <s v="Renewal"/>
    <m/>
    <m/>
    <s v=""/>
    <n v="5.0000000000000001E-3"/>
    <s v=""/>
    <s v=""/>
    <s v=""/>
    <n v="0.37165465800297576"/>
    <s v=""/>
    <s v=""/>
    <m/>
    <m/>
    <m/>
    <m/>
    <m/>
    <m/>
    <s v=""/>
    <n v="0.37165465800297576"/>
    <s v=""/>
    <s v=""/>
    <x v="3"/>
    <x v="5"/>
    <n v="1.1149639740089272"/>
    <s v="Yes"/>
  </r>
  <r>
    <n v="1"/>
    <s v="SO17814"/>
    <m/>
    <x v="5"/>
    <m/>
    <m/>
    <s v="Wilka Nuñez"/>
    <n v="9"/>
    <n v="2025"/>
    <s v="INV13389"/>
    <n v="10"/>
    <n v="2025"/>
    <n v="2504"/>
    <s v="Sling-Choker Manufacturing - Timmins"/>
    <s v="CAD"/>
    <n v="1199.1099999999999"/>
    <n v="865.51895229654497"/>
    <x v="0"/>
    <n v="0"/>
    <n v="865.51895229654497"/>
    <m/>
    <s v="Renewal"/>
    <m/>
    <m/>
    <s v=""/>
    <n v="5.0000000000000001E-3"/>
    <s v=""/>
    <s v=""/>
    <s v=""/>
    <n v="4.3275947614827253"/>
    <s v=""/>
    <s v=""/>
    <m/>
    <m/>
    <m/>
    <m/>
    <m/>
    <m/>
    <s v=""/>
    <n v="4.3275947614827253"/>
    <s v=""/>
    <s v=""/>
    <x v="3"/>
    <x v="5"/>
    <n v="12.982784284448174"/>
    <s v="Yes"/>
  </r>
  <r>
    <n v="1"/>
    <s v="SO17817"/>
    <m/>
    <x v="4"/>
    <m/>
    <m/>
    <s v="Alexis Gil Lamadrid"/>
    <n v="9"/>
    <n v="2025"/>
    <s v="INV13447"/>
    <n v="10"/>
    <n v="2025"/>
    <n v="2504"/>
    <s v="FMI Products"/>
    <s v="CAD"/>
    <n v="1129.78"/>
    <n v="815.47647999398771"/>
    <x v="0"/>
    <n v="0"/>
    <n v="815.47647999398771"/>
    <m/>
    <s v="Renewal"/>
    <m/>
    <m/>
    <s v=""/>
    <n v="5.0000000000000001E-3"/>
    <s v=""/>
    <s v=""/>
    <s v=""/>
    <n v="4.077382399969939"/>
    <s v=""/>
    <s v=""/>
    <m/>
    <m/>
    <m/>
    <m/>
    <m/>
    <m/>
    <s v=""/>
    <n v="4.077382399969939"/>
    <s v=""/>
    <s v=""/>
    <x v="3"/>
    <x v="5"/>
    <n v="12.232147199909814"/>
    <s v="Yes"/>
  </r>
  <r>
    <n v="1"/>
    <s v="SO17818"/>
    <m/>
    <x v="5"/>
    <m/>
    <m/>
    <s v="Wilka Nuñez"/>
    <n v="9"/>
    <n v="2025"/>
    <s v="INV13400"/>
    <n v="10"/>
    <n v="2025"/>
    <n v="2504"/>
    <s v="Sling-Choker Manufacturing - Timmins"/>
    <s v="CAD"/>
    <n v="2585.3000000000002"/>
    <n v="1867.198301899055"/>
    <x v="0"/>
    <n v="0"/>
    <n v="1867.198301899055"/>
    <m/>
    <s v="Renewal"/>
    <m/>
    <m/>
    <s v=""/>
    <n v="5.0000000000000001E-3"/>
    <s v=""/>
    <s v=""/>
    <s v=""/>
    <n v="9.3359915094952743"/>
    <s v=""/>
    <s v=""/>
    <m/>
    <m/>
    <m/>
    <m/>
    <m/>
    <m/>
    <s v=""/>
    <n v="9.3359915094952743"/>
    <s v=""/>
    <s v=""/>
    <x v="3"/>
    <x v="5"/>
    <n v="28.007974528485825"/>
    <s v="Yes"/>
  </r>
  <r>
    <n v="1"/>
    <s v="SO17824"/>
    <m/>
    <x v="4"/>
    <m/>
    <m/>
    <s v="Alexis Gil Lamadrid"/>
    <n v="9"/>
    <n v="2025"/>
    <s v="INV13395"/>
    <n v="11"/>
    <n v="2025"/>
    <n v="2504"/>
    <s v="Southeast Pump Specialist, Inc."/>
    <s v="USD"/>
    <n v="1424.615264075054"/>
    <n v="1030.74"/>
    <x v="0"/>
    <n v="571"/>
    <n v="459.74"/>
    <m/>
    <s v="Renewal"/>
    <m/>
    <m/>
    <s v=""/>
    <n v="5.0000000000000001E-3"/>
    <s v=""/>
    <s v=""/>
    <s v=""/>
    <n v="2.2987000000000002"/>
    <s v=""/>
    <s v=""/>
    <m/>
    <m/>
    <m/>
    <m/>
    <m/>
    <m/>
    <s v=""/>
    <n v="2.2987000000000002"/>
    <s v=""/>
    <s v=""/>
    <x v="3"/>
    <x v="5"/>
    <n v="6.8960999999999997"/>
    <s v="Yes"/>
  </r>
  <r>
    <n v="1"/>
    <s v="SO17826"/>
    <m/>
    <x v="0"/>
    <m/>
    <m/>
    <s v="Ian Trottier"/>
    <n v="9"/>
    <n v="2025"/>
    <s v="INV13405"/>
    <n v="10"/>
    <n v="2025"/>
    <m/>
    <s v="Les Pompes du St-Laurent Inc."/>
    <s v="CAD"/>
    <n v="2039.88"/>
    <n v="1473.276011324738"/>
    <x v="0"/>
    <n v="0"/>
    <n v="1473.27601132473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2.09914016987107"/>
    <s v="Yes"/>
  </r>
  <r>
    <n v="1"/>
    <s v="SO17827"/>
    <m/>
    <x v="4"/>
    <m/>
    <m/>
    <s v="Alexis Gil Lamadrid"/>
    <n v="9"/>
    <n v="2025"/>
    <s v="INV13428"/>
    <n v="10"/>
    <n v="2025"/>
    <n v="2504"/>
    <s v="Glencore Canada Corporation - Rouyn-Noranda"/>
    <s v="CAD"/>
    <n v="42.52"/>
    <n v="30.709500559605409"/>
    <x v="0"/>
    <n v="0"/>
    <n v="30.709500559605409"/>
    <m/>
    <s v="Renewal"/>
    <m/>
    <m/>
    <s v=""/>
    <n v="5.0000000000000001E-3"/>
    <s v=""/>
    <s v=""/>
    <s v=""/>
    <n v="0.15354750279802706"/>
    <s v=""/>
    <s v=""/>
    <m/>
    <m/>
    <m/>
    <m/>
    <m/>
    <m/>
    <s v=""/>
    <n v="0.15354750279802706"/>
    <s v=""/>
    <s v=""/>
    <x v="3"/>
    <x v="5"/>
    <n v="0.46064250839408111"/>
    <s v="Yes"/>
  </r>
  <r>
    <n v="1"/>
    <s v="SO17828"/>
    <m/>
    <x v="5"/>
    <m/>
    <m/>
    <s v="Wilka Nuñez"/>
    <n v="9"/>
    <n v="2025"/>
    <s v="INV13408"/>
    <n v="10"/>
    <n v="2025"/>
    <n v="2504"/>
    <s v="Wajax Limited - Noranda"/>
    <s v="CAD"/>
    <n v="147.72999999999999"/>
    <n v="106.59322572924727"/>
    <x v="0"/>
    <n v="0"/>
    <n v="106.59322572924727"/>
    <m/>
    <s v="Renewal"/>
    <m/>
    <m/>
    <s v=""/>
    <n v="5.0000000000000001E-3"/>
    <s v=""/>
    <s v=""/>
    <s v=""/>
    <n v="0.53296612864623638"/>
    <s v=""/>
    <s v=""/>
    <m/>
    <m/>
    <m/>
    <m/>
    <m/>
    <m/>
    <s v=""/>
    <n v="0.53296612864623638"/>
    <s v=""/>
    <s v=""/>
    <x v="3"/>
    <x v="5"/>
    <n v="1.5988983859387089"/>
    <s v="Yes"/>
  </r>
  <r>
    <n v="1"/>
    <s v="SO17833"/>
    <m/>
    <x v="0"/>
    <s v="Eduardo T"/>
    <m/>
    <s v="Eduardo Talamantes"/>
    <n v="9"/>
    <n v="2025"/>
    <s v="INV13448"/>
    <n v="10"/>
    <n v="2025"/>
    <n v="2504"/>
    <s v="Motion Industries Inc. (Canada) - Prince George"/>
    <s v="CAD"/>
    <n v="5343.36"/>
    <n v="3863.2129819799252"/>
    <x v="0"/>
    <n v="0"/>
    <n v="3863.2129819799252"/>
    <m/>
    <m/>
    <s v="New Opportunity"/>
    <m/>
    <s v=""/>
    <s v=""/>
    <n v="0.02"/>
    <s v=""/>
    <s v=""/>
    <s v=""/>
    <n v="77.264259639598507"/>
    <s v=""/>
    <m/>
    <m/>
    <m/>
    <m/>
    <m/>
    <m/>
    <s v=""/>
    <s v=""/>
    <n v="77.264259639598507"/>
    <s v=""/>
    <x v="3"/>
    <x v="5"/>
    <n v="57.948194729698876"/>
    <s v="Yes"/>
  </r>
  <r>
    <n v="1"/>
    <s v="SO17834"/>
    <m/>
    <x v="4"/>
    <m/>
    <m/>
    <s v="Alexis Gil Lamadrid"/>
    <n v="9"/>
    <n v="2025"/>
    <s v="INV13429"/>
    <n v="10"/>
    <n v="2025"/>
    <n v="2504"/>
    <s v="Glencore Canada Corporation - Rouyn-Noranda"/>
    <s v="CAD"/>
    <n v="42.52"/>
    <n v="30.679915778837024"/>
    <x v="0"/>
    <n v="0"/>
    <n v="30.679915778837024"/>
    <m/>
    <s v="Renewal"/>
    <m/>
    <m/>
    <s v=""/>
    <n v="5.0000000000000001E-3"/>
    <s v=""/>
    <s v=""/>
    <s v=""/>
    <n v="0.15339957889418512"/>
    <s v=""/>
    <s v=""/>
    <m/>
    <m/>
    <m/>
    <m/>
    <m/>
    <m/>
    <s v=""/>
    <n v="0.15339957889418512"/>
    <s v=""/>
    <s v=""/>
    <x v="3"/>
    <x v="5"/>
    <n v="0.46019873668255534"/>
    <s v="Yes"/>
  </r>
  <r>
    <n v="1"/>
    <s v="SO17835"/>
    <m/>
    <x v="0"/>
    <m/>
    <m/>
    <s v="Yannett Yeomans"/>
    <n v="9"/>
    <n v="2025"/>
    <s v="INV13688"/>
    <s v=""/>
    <s v=""/>
    <m/>
    <s v="Dynapro Pumps México S de RL de CV"/>
    <s v="USD"/>
    <n v="11112.137601587474"/>
    <n v="80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836"/>
    <m/>
    <x v="5"/>
    <m/>
    <m/>
    <s v="Wilka Nuñez"/>
    <n v="9"/>
    <n v="2025"/>
    <s v="INV13398"/>
    <n v="10"/>
    <n v="2025"/>
    <n v="2504"/>
    <s v="Hyperflo"/>
    <s v="CAD"/>
    <n v="48"/>
    <n v="34.633959486927964"/>
    <x v="0"/>
    <n v="0"/>
    <n v="34.633959486927964"/>
    <m/>
    <s v="Renewal"/>
    <m/>
    <m/>
    <s v=""/>
    <n v="5.0000000000000001E-3"/>
    <s v=""/>
    <s v=""/>
    <s v=""/>
    <n v="0.17316979743463981"/>
    <s v=""/>
    <s v=""/>
    <m/>
    <m/>
    <m/>
    <m/>
    <m/>
    <m/>
    <s v=""/>
    <n v="0.17316979743463981"/>
    <s v=""/>
    <s v=""/>
    <x v="3"/>
    <x v="5"/>
    <n v="0.51950939230391946"/>
    <s v="Yes"/>
  </r>
  <r>
    <n v="1"/>
    <s v="SO17837"/>
    <m/>
    <x v="4"/>
    <m/>
    <m/>
    <s v="Alexis Gil Lamadrid"/>
    <n v="9"/>
    <n v="2025"/>
    <s v="INV13419"/>
    <n v="11"/>
    <n v="2025"/>
    <n v="2504"/>
    <s v="Resolute Forest Products - Saint-Felicien"/>
    <s v="CAD"/>
    <n v="716.65"/>
    <n v="519.36726375515877"/>
    <x v="0"/>
    <n v="0"/>
    <n v="519.36726375515877"/>
    <m/>
    <s v="Renewal"/>
    <m/>
    <m/>
    <s v=""/>
    <n v="5.0000000000000001E-3"/>
    <s v=""/>
    <s v=""/>
    <s v=""/>
    <n v="2.5968363187757939"/>
    <s v=""/>
    <s v=""/>
    <m/>
    <m/>
    <m/>
    <m/>
    <m/>
    <m/>
    <s v=""/>
    <n v="2.5968363187757939"/>
    <s v=""/>
    <s v=""/>
    <x v="3"/>
    <x v="5"/>
    <n v="7.7905089563273817"/>
    <s v="Yes"/>
  </r>
  <r>
    <n v="1"/>
    <s v="SO17838"/>
    <m/>
    <x v="6"/>
    <m/>
    <m/>
    <s v="Aleksandar Stankovic"/>
    <n v="9"/>
    <n v="2025"/>
    <s v="INV13415"/>
    <n v="11"/>
    <n v="2025"/>
    <n v="2504"/>
    <s v="Sealtrac Inc."/>
    <s v="CAD"/>
    <n v="354.06"/>
    <n v="257.55089299449605"/>
    <x v="0"/>
    <n v="0"/>
    <n v="257.55089299449605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3.8632633949174409"/>
    <s v="Yes"/>
  </r>
  <r>
    <n v="1"/>
    <s v="SO17844"/>
    <m/>
    <x v="4"/>
    <m/>
    <m/>
    <s v="Alexis Gil Lamadrid"/>
    <n v="9"/>
    <n v="2025"/>
    <s v="INV13421"/>
    <n v="10"/>
    <n v="2025"/>
    <n v="2504"/>
    <s v="Canadian Bearings Ltd."/>
    <s v="CAD"/>
    <n v="279.5"/>
    <n v="203.09868434633321"/>
    <x v="0"/>
    <n v="0"/>
    <n v="203.09868434633321"/>
    <m/>
    <s v="Renewal"/>
    <m/>
    <m/>
    <s v=""/>
    <n v="5.0000000000000001E-3"/>
    <s v=""/>
    <s v=""/>
    <s v=""/>
    <n v="1.015493421731666"/>
    <s v=""/>
    <s v=""/>
    <m/>
    <m/>
    <m/>
    <m/>
    <m/>
    <m/>
    <s v=""/>
    <n v="1.015493421731666"/>
    <s v=""/>
    <s v=""/>
    <x v="3"/>
    <x v="5"/>
    <n v="3.0464802651949983"/>
    <s v="Yes"/>
  </r>
  <r>
    <n v="1"/>
    <s v="SO17845"/>
    <m/>
    <x v="1"/>
    <m/>
    <m/>
    <s v="Marlen Martinez"/>
    <n v="9"/>
    <n v="2025"/>
    <s v="INV13454"/>
    <s v=""/>
    <s v=""/>
    <m/>
    <s v="Covia Corp - Guion"/>
    <s v="USD"/>
    <n v="7133.539738655717"/>
    <n v="5177.88"/>
    <x v="1"/>
    <n v="550.76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1"/>
    <s v="SO17846"/>
    <m/>
    <x v="4"/>
    <m/>
    <m/>
    <s v="Ian Trottier"/>
    <n v="9"/>
    <n v="2025"/>
    <s v="INV13446"/>
    <n v="11"/>
    <n v="2025"/>
    <n v="2504"/>
    <s v="Cartledge &amp; Associates Inc."/>
    <s v="USD"/>
    <n v="18487.272768219409"/>
    <n v="13347.42"/>
    <x v="0"/>
    <n v="794"/>
    <n v="12553.42"/>
    <m/>
    <s v="Renewal"/>
    <m/>
    <m/>
    <s v=""/>
    <n v="5.0000000000000001E-3"/>
    <s v=""/>
    <s v=""/>
    <s v=""/>
    <n v="62.767099999999999"/>
    <s v=""/>
    <s v=""/>
    <m/>
    <m/>
    <m/>
    <m/>
    <m/>
    <m/>
    <s v=""/>
    <n v="62.767099999999999"/>
    <s v=""/>
    <s v=""/>
    <x v="3"/>
    <x v="5"/>
    <n v="188.3013"/>
    <s v="Yes"/>
  </r>
  <r>
    <n v="1"/>
    <s v="SO17847"/>
    <m/>
    <x v="0"/>
    <m/>
    <m/>
    <s v="Ian Trottier"/>
    <n v="9"/>
    <n v="2025"/>
    <s v="INV13402"/>
    <n v="11"/>
    <n v="2025"/>
    <m/>
    <s v="Quality Concrete Inc."/>
    <s v="CAD"/>
    <n v="9790.4500000000007"/>
    <n v="7121.7848396259506"/>
    <x v="0"/>
    <n v="0"/>
    <n v="7121.784839625950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6.82677259438925"/>
    <s v="Yes"/>
  </r>
  <r>
    <n v="1"/>
    <s v="SO17848"/>
    <m/>
    <x v="0"/>
    <m/>
    <m/>
    <s v="Wilka Nuñez"/>
    <n v="9"/>
    <n v="2025"/>
    <s v="INV13435"/>
    <s v=""/>
    <s v=""/>
    <m/>
    <s v="Manufacture Sling-Choker (Val-d’Or) Ltée"/>
    <s v="CAD"/>
    <n v="1401.44"/>
    <n v="1017.626057793247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49"/>
    <m/>
    <x v="0"/>
    <m/>
    <m/>
    <s v="Carlos Leon"/>
    <n v="9"/>
    <n v="2025"/>
    <s v="INV13685"/>
    <s v=""/>
    <s v=""/>
    <m/>
    <s v="Dynapro Pumps México S de RL de CV"/>
    <s v="USD"/>
    <n v="2659.3576672481472"/>
    <n v="192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850"/>
    <m/>
    <x v="4"/>
    <m/>
    <m/>
    <s v="Alexis Gil Lamadrid"/>
    <n v="9"/>
    <n v="2025"/>
    <s v="INV13418"/>
    <n v="11"/>
    <n v="2025"/>
    <n v="2504"/>
    <s v="Resolute Forest Products - Saint-Felicien"/>
    <s v="CAD"/>
    <n v="103.9"/>
    <n v="75.297926050597908"/>
    <x v="0"/>
    <n v="0"/>
    <n v="75.297926050597908"/>
    <m/>
    <s v="Renewal"/>
    <m/>
    <m/>
    <s v=""/>
    <n v="5.0000000000000001E-3"/>
    <s v=""/>
    <s v=""/>
    <s v=""/>
    <n v="0.37648963025298954"/>
    <s v=""/>
    <s v=""/>
    <m/>
    <m/>
    <m/>
    <m/>
    <m/>
    <m/>
    <s v=""/>
    <n v="0.37648963025298954"/>
    <s v=""/>
    <s v=""/>
    <x v="3"/>
    <x v="5"/>
    <n v="1.1294688907589685"/>
    <s v="Yes"/>
  </r>
  <r>
    <n v="1"/>
    <s v="SO17854"/>
    <m/>
    <x v="5"/>
    <m/>
    <m/>
    <s v="Wilka Nuñez"/>
    <n v="9"/>
    <n v="2025"/>
    <s v="INV13472"/>
    <n v="11"/>
    <n v="2025"/>
    <n v="2504"/>
    <s v="Canadian Industrial Pumps Ltd, Canadian Industrial Pumps Ltd"/>
    <s v="CAD"/>
    <n v="2779.84"/>
    <n v="2000.5422221882056"/>
    <x v="0"/>
    <n v="0"/>
    <n v="2000.5422221882056"/>
    <m/>
    <s v="Renewal"/>
    <m/>
    <m/>
    <s v=""/>
    <n v="5.0000000000000001E-3"/>
    <s v=""/>
    <s v=""/>
    <s v=""/>
    <n v="10.002711110941028"/>
    <s v=""/>
    <s v=""/>
    <m/>
    <m/>
    <m/>
    <m/>
    <m/>
    <m/>
    <s v=""/>
    <n v="10.002711110941028"/>
    <s v=""/>
    <s v=""/>
    <x v="3"/>
    <x v="5"/>
    <n v="30.008133332823082"/>
    <s v="Yes"/>
  </r>
  <r>
    <n v="0"/>
    <s v="SO17856"/>
    <m/>
    <x v="0"/>
    <m/>
    <m/>
    <s v="Ian Trottier"/>
    <n v="9"/>
    <n v="2025"/>
    <s v="No Inv"/>
    <s v=""/>
    <s v=""/>
    <m/>
    <s v="Wesdome Gold Mines Ltd - Eagle River Mine"/>
    <s v="CAD"/>
    <n v="9701.6"/>
    <n v="6977.106754855485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58"/>
    <m/>
    <x v="5"/>
    <m/>
    <m/>
    <s v="Wilka Nuñez"/>
    <n v="9"/>
    <n v="2025"/>
    <s v="INV13420"/>
    <n v="10"/>
    <n v="2025"/>
    <n v="2504"/>
    <s v="Wajax Limited - Noranda"/>
    <s v="CAD"/>
    <n v="116.98"/>
    <n v="85.003520911749789"/>
    <x v="0"/>
    <n v="0"/>
    <n v="85.003520911749789"/>
    <m/>
    <s v="Renewal"/>
    <m/>
    <m/>
    <s v=""/>
    <n v="5.0000000000000001E-3"/>
    <s v=""/>
    <s v=""/>
    <s v=""/>
    <n v="0.42501760455874893"/>
    <s v=""/>
    <s v=""/>
    <m/>
    <m/>
    <m/>
    <m/>
    <m/>
    <m/>
    <s v=""/>
    <n v="0.42501760455874893"/>
    <s v=""/>
    <s v=""/>
    <x v="3"/>
    <x v="5"/>
    <n v="1.2750528136762467"/>
    <s v="Yes"/>
  </r>
  <r>
    <n v="1"/>
    <s v="SO17860"/>
    <m/>
    <x v="0"/>
    <m/>
    <m/>
    <s v="Ian Trottier"/>
    <n v="9"/>
    <n v="2025"/>
    <s v="INV13412"/>
    <n v="10"/>
    <n v="2025"/>
    <m/>
    <s v="Les Pompes du St-Laurent Inc."/>
    <s v="CAD"/>
    <n v="2894.78"/>
    <n v="2105.7255098644509"/>
    <x v="0"/>
    <n v="0"/>
    <n v="2105.7255098644509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31.585882647966763"/>
    <s v="Yes"/>
  </r>
  <r>
    <n v="1"/>
    <s v="SO17862"/>
    <m/>
    <x v="0"/>
    <s v="Leriel R"/>
    <m/>
    <s v="Leriel Reyes"/>
    <n v="9"/>
    <n v="2025"/>
    <s v="INV13538"/>
    <n v="11"/>
    <n v="2025"/>
    <n v="2504"/>
    <s v="Tantalum Mining Corporation of Canada"/>
    <s v="CAD"/>
    <n v="7609.56"/>
    <n v="5454.9585077090678"/>
    <x v="0"/>
    <n v="0"/>
    <n v="5454.9585077090678"/>
    <m/>
    <m/>
    <s v="Renewal"/>
    <m/>
    <s v=""/>
    <s v=""/>
    <n v="0.01"/>
    <s v=""/>
    <s v=""/>
    <s v=""/>
    <n v="54.549585077090683"/>
    <s v=""/>
    <m/>
    <m/>
    <m/>
    <m/>
    <m/>
    <m/>
    <s v=""/>
    <s v=""/>
    <n v="54.549585077090683"/>
    <s v=""/>
    <x v="0"/>
    <x v="0"/>
    <n v="81.82437761563601"/>
    <s v="Yes"/>
  </r>
  <r>
    <n v="1"/>
    <s v="SO17863"/>
    <m/>
    <x v="0"/>
    <m/>
    <m/>
    <s v="Carlos Leon"/>
    <n v="9"/>
    <n v="2025"/>
    <s v="INV13684"/>
    <s v=""/>
    <s v=""/>
    <m/>
    <s v="Dynapro Pumps México S de RL de CV"/>
    <s v="USD"/>
    <n v="584.25539997337808"/>
    <n v="42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864"/>
    <m/>
    <x v="5"/>
    <m/>
    <m/>
    <s v="Wilka Nuñez"/>
    <n v="9"/>
    <n v="2025"/>
    <s v="INV13411"/>
    <n v="10"/>
    <n v="2025"/>
    <n v="2504"/>
    <s v="Hyperflo"/>
    <s v="CAD"/>
    <n v="1034.78"/>
    <n v="751.92292160249985"/>
    <x v="0"/>
    <n v="0"/>
    <n v="751.92292160249985"/>
    <m/>
    <s v="Renewal"/>
    <m/>
    <m/>
    <s v=""/>
    <n v="5.0000000000000001E-3"/>
    <s v=""/>
    <s v=""/>
    <s v=""/>
    <n v="3.7596146080124995"/>
    <s v=""/>
    <s v=""/>
    <m/>
    <m/>
    <m/>
    <m/>
    <m/>
    <m/>
    <s v=""/>
    <n v="3.7596146080124995"/>
    <s v=""/>
    <s v=""/>
    <x v="3"/>
    <x v="5"/>
    <n v="11.278843824037498"/>
    <s v="Yes"/>
  </r>
  <r>
    <n v="3"/>
    <s v="SO17868"/>
    <m/>
    <x v="0"/>
    <m/>
    <m/>
    <s v="Ian Trottier"/>
    <n v="9"/>
    <n v="2025"/>
    <s v="INV13540"/>
    <n v="11"/>
    <n v="2025"/>
    <m/>
    <s v="TC Industries of Canada Co."/>
    <s v="CAD"/>
    <n v="10930.21"/>
    <n v="7921.667828680637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868"/>
    <m/>
    <x v="0"/>
    <m/>
    <m/>
    <n v="0"/>
    <n v="9"/>
    <n v="2025"/>
    <s v="INV13563"/>
    <n v="10"/>
    <n v="2025"/>
    <m/>
    <s v="TC Industries of Canada Co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3"/>
    <s v="SO17868"/>
    <m/>
    <x v="0"/>
    <m/>
    <m/>
    <n v="0"/>
    <n v="9"/>
    <n v="2025"/>
    <s v="INV13580"/>
    <n v="10"/>
    <n v="2025"/>
    <m/>
    <s v="TC Industries of Canada Co.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70"/>
    <m/>
    <x v="0"/>
    <m/>
    <m/>
    <s v="Ian Trottier"/>
    <n v="9"/>
    <n v="2025"/>
    <s v="INV13567"/>
    <s v=""/>
    <s v=""/>
    <m/>
    <s v="Les Pompes du St-Laurent Inc."/>
    <s v="CAD"/>
    <n v="20861.189999999999"/>
    <n v="14982.00101298566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73"/>
    <m/>
    <x v="0"/>
    <m/>
    <m/>
    <s v="Wilka Nuñez"/>
    <n v="9"/>
    <n v="2025"/>
    <s v="INV13453"/>
    <s v=""/>
    <s v=""/>
    <m/>
    <s v="PT Vale Indonesia Tbk."/>
    <s v="USD"/>
    <n v="648.15231995164311"/>
    <n v="471.4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74"/>
    <m/>
    <x v="0"/>
    <m/>
    <m/>
    <s v="Ian Trottier"/>
    <n v="9"/>
    <n v="2025"/>
    <s v="INV13494"/>
    <n v="10"/>
    <n v="2025"/>
    <m/>
    <s v="Gibraltar Mine (Canada)"/>
    <s v="CAD"/>
    <n v="5815.61"/>
    <n v="4214.8623531618696"/>
    <x v="0"/>
    <n v="0"/>
    <n v="4214.862353161869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63.222935297428045"/>
    <s v="Yes"/>
  </r>
  <r>
    <n v="1"/>
    <s v="SO17876"/>
    <m/>
    <x v="6"/>
    <m/>
    <m/>
    <s v="Aleksandar Stankovic"/>
    <n v="9"/>
    <n v="2025"/>
    <s v="INV13425"/>
    <n v="10"/>
    <n v="2025"/>
    <n v="2504"/>
    <s v="Hyperflo, Hyperflo"/>
    <s v="CAD"/>
    <n v="560.55999999999995"/>
    <n v="405.73716910157566"/>
    <x v="0"/>
    <n v="0"/>
    <n v="405.73716910157566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6.0860575365236347"/>
    <s v="Yes"/>
  </r>
  <r>
    <n v="1"/>
    <s v="SO17877"/>
    <m/>
    <x v="0"/>
    <m/>
    <m/>
    <s v="Leriel Reyes"/>
    <n v="9"/>
    <n v="2025"/>
    <s v="INV13493"/>
    <s v=""/>
    <s v=""/>
    <m/>
    <s v="Motion Industries Inc. (Canada) - Thunder Bay"/>
    <s v="CAD"/>
    <n v="5988"/>
    <n v="4348.05973432038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78"/>
    <m/>
    <x v="0"/>
    <m/>
    <m/>
    <s v="Ian Trottier"/>
    <n v="9"/>
    <n v="2025"/>
    <s v="INV13441"/>
    <s v=""/>
    <s v=""/>
    <m/>
    <s v="Lantic Inc."/>
    <s v="CAD"/>
    <n v="1298.0999999999999"/>
    <n v="940.7977530541805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7879"/>
    <m/>
    <x v="0"/>
    <m/>
    <m/>
    <s v="Ian Trottier"/>
    <n v="9"/>
    <n v="2025"/>
    <s v="No Inv"/>
    <s v=""/>
    <s v=""/>
    <m/>
    <s v="Cameco Corporation - Blind River Refinery"/>
    <s v="CAD"/>
    <n v="8796.2800000000007"/>
    <n v="6358.129727837631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80"/>
    <m/>
    <x v="4"/>
    <m/>
    <m/>
    <s v="Alexis Gil Lamadrid"/>
    <n v="9"/>
    <n v="2025"/>
    <s v="INV13473"/>
    <n v="11"/>
    <n v="2025"/>
    <n v="2504"/>
    <s v="Resolute Forest Products - Saint-Felicien"/>
    <s v="CAD"/>
    <n v="1353.38"/>
    <n v="971.57418583050651"/>
    <x v="0"/>
    <n v="0"/>
    <n v="971.57418583050651"/>
    <m/>
    <s v="Renewal"/>
    <m/>
    <m/>
    <s v=""/>
    <n v="5.0000000000000001E-3"/>
    <s v=""/>
    <s v=""/>
    <s v=""/>
    <n v="4.8578709291525328"/>
    <s v=""/>
    <s v=""/>
    <m/>
    <m/>
    <m/>
    <m/>
    <m/>
    <m/>
    <s v=""/>
    <n v="4.8578709291525328"/>
    <s v=""/>
    <s v=""/>
    <x v="3"/>
    <x v="5"/>
    <n v="14.573612787457597"/>
    <s v="Yes"/>
  </r>
  <r>
    <n v="1"/>
    <s v="SO17889"/>
    <m/>
    <x v="4"/>
    <m/>
    <m/>
    <s v="Ian Trottier"/>
    <n v="9"/>
    <n v="2025"/>
    <s v="INV13424"/>
    <n v="10"/>
    <n v="2025"/>
    <n v="2504"/>
    <s v="Hyperflo"/>
    <s v="CAD"/>
    <n v="301.74"/>
    <n v="218.40147960023805"/>
    <x v="0"/>
    <n v="0"/>
    <n v="218.40147960023805"/>
    <m/>
    <s v="Renewal"/>
    <m/>
    <m/>
    <s v=""/>
    <n v="5.0000000000000001E-3"/>
    <s v=""/>
    <s v=""/>
    <s v=""/>
    <n v="1.0920073980011902"/>
    <s v=""/>
    <s v=""/>
    <m/>
    <m/>
    <m/>
    <m/>
    <m/>
    <m/>
    <s v=""/>
    <n v="1.0920073980011902"/>
    <s v=""/>
    <s v=""/>
    <x v="3"/>
    <x v="5"/>
    <n v="3.2760221940035708"/>
    <s v="Yes"/>
  </r>
  <r>
    <n v="2"/>
    <s v="SO17892"/>
    <m/>
    <x v="0"/>
    <m/>
    <m/>
    <s v="Alexis Gil Lamadrid"/>
    <n v="9"/>
    <n v="2025"/>
    <s v="INV13577"/>
    <s v=""/>
    <s v=""/>
    <m/>
    <s v="Canadian Industrial Pumps Ltd"/>
    <s v="CAD"/>
    <n v="3462.42"/>
    <n v="2491.760620970724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892"/>
    <m/>
    <x v="0"/>
    <m/>
    <m/>
    <n v="0"/>
    <n v="9"/>
    <n v="2025"/>
    <s v="INV13598"/>
    <s v=""/>
    <s v=""/>
    <m/>
    <s v="Canadian Industrial Pumps Ltd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93"/>
    <m/>
    <x v="0"/>
    <m/>
    <m/>
    <s v="Ian Trottier"/>
    <n v="9"/>
    <n v="2025"/>
    <s v="INV13498"/>
    <s v=""/>
    <s v=""/>
    <m/>
    <s v="Motion Industries Inc. (Canada) - Prince George"/>
    <s v="CAD"/>
    <n v="1863.92"/>
    <n v="1338.622165280324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7895"/>
    <m/>
    <x v="0"/>
    <m/>
    <m/>
    <s v="Amanda Qiao"/>
    <n v="9"/>
    <n v="2025"/>
    <s v="No Inv"/>
    <s v=""/>
    <s v=""/>
    <m/>
    <s v="Mill-Right Mine Services Inc."/>
    <s v="USD"/>
    <n v="3675.0135643271769"/>
    <n v="266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896"/>
    <m/>
    <x v="5"/>
    <m/>
    <m/>
    <s v="Wilka Nuñez"/>
    <n v="9"/>
    <n v="2025"/>
    <s v="INV13485"/>
    <n v="11"/>
    <n v="2025"/>
    <n v="2504"/>
    <s v="Wajax Limited - Noranda"/>
    <s v="CAD"/>
    <n v="759.21"/>
    <n v="544.34415746592617"/>
    <x v="0"/>
    <n v="0"/>
    <n v="544.34415746592617"/>
    <m/>
    <s v="Renewal"/>
    <m/>
    <m/>
    <s v=""/>
    <n v="5.0000000000000001E-3"/>
    <s v=""/>
    <s v=""/>
    <s v=""/>
    <n v="2.7217207873296307"/>
    <s v=""/>
    <s v=""/>
    <m/>
    <m/>
    <m/>
    <m/>
    <m/>
    <m/>
    <s v=""/>
    <n v="2.7217207873296307"/>
    <s v=""/>
    <s v=""/>
    <x v="3"/>
    <x v="5"/>
    <n v="8.1651623619888927"/>
    <s v="Yes"/>
  </r>
  <r>
    <n v="1"/>
    <s v="SO17897"/>
    <m/>
    <x v="0"/>
    <m/>
    <m/>
    <s v="Yannett Yeomans"/>
    <n v="9"/>
    <n v="2025"/>
    <s v="INV13520"/>
    <s v=""/>
    <s v=""/>
    <m/>
    <s v="Dynapro Pumps México S de RL de CV"/>
    <s v="USD"/>
    <n v="690.79202336977005"/>
    <n v="5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898"/>
    <m/>
    <x v="0"/>
    <m/>
    <m/>
    <s v="Aleksandar Stankovic"/>
    <n v="9"/>
    <n v="2025"/>
    <s v="INV13659"/>
    <s v=""/>
    <s v=""/>
    <m/>
    <s v="Gibraltar Mine (Canada)"/>
    <s v="CAD"/>
    <n v="20812.96"/>
    <n v="15044.02994223643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2"/>
    <s v="SO17899"/>
    <m/>
    <x v="0"/>
    <m/>
    <m/>
    <s v="Alexis Gil Lamadrid"/>
    <n v="9"/>
    <n v="2025"/>
    <s v="INV13532"/>
    <s v=""/>
    <s v=""/>
    <m/>
    <s v="Covia Corp - Junction City"/>
    <s v="USD"/>
    <n v="5107.189906547178"/>
    <n v="3667.86"/>
    <x v="1"/>
    <n v="189.32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899"/>
    <m/>
    <x v="0"/>
    <m/>
    <m/>
    <n v="0"/>
    <n v="9"/>
    <n v="2025"/>
    <s v="INV13553"/>
    <s v=""/>
    <s v=""/>
    <m/>
    <s v="Covia Corp - Junction City"/>
    <s v="USD"/>
    <n v="0"/>
    <n v="0"/>
    <x v="1"/>
    <n v="131.16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900"/>
    <m/>
    <x v="6"/>
    <m/>
    <m/>
    <s v="Aleksandar Stankovic"/>
    <n v="9"/>
    <n v="2025"/>
    <s v="INV13517"/>
    <n v="11"/>
    <n v="2025"/>
    <n v="2504"/>
    <s v="Wajax Limited - Lachine"/>
    <s v="CAD"/>
    <n v="898.07"/>
    <n v="649.1432247130766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5"/>
    <n v="0"/>
    <s v=""/>
  </r>
  <r>
    <n v="2"/>
    <s v="SO17900"/>
    <m/>
    <x v="6"/>
    <m/>
    <m/>
    <n v="0"/>
    <n v="9"/>
    <n v="2025"/>
    <s v="INV13633"/>
    <s v=""/>
    <s v=""/>
    <n v="2504"/>
    <s v="Wajax Limited - Lachine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5"/>
    <n v="0"/>
    <s v=""/>
  </r>
  <r>
    <n v="0"/>
    <s v="SO17901"/>
    <m/>
    <x v="0"/>
    <m/>
    <m/>
    <s v="Ian Trottier"/>
    <n v="9"/>
    <n v="2025"/>
    <s v="No Inv"/>
    <s v=""/>
    <s v=""/>
    <m/>
    <s v="Corrosion Fluid Products Corp."/>
    <s v="USD"/>
    <n v="1737.9636515960046"/>
    <n v="1257.9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02"/>
    <m/>
    <x v="0"/>
    <m/>
    <m/>
    <s v="Alexis Gil Lamadrid"/>
    <n v="9"/>
    <n v="2025"/>
    <s v="INV13711"/>
    <s v=""/>
    <s v=""/>
    <m/>
    <s v="Eleazar General &amp; Industrial Supplies Limited"/>
    <s v="USD"/>
    <n v="2752.9636682961882"/>
    <n v="195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03"/>
    <m/>
    <x v="0"/>
    <m/>
    <m/>
    <s v="Ian Trottier"/>
    <n v="9"/>
    <n v="2025"/>
    <s v="INV13625"/>
    <s v=""/>
    <s v=""/>
    <m/>
    <s v="Les Pompes du St-Laurent Inc."/>
    <s v="CAD"/>
    <n v="3853"/>
    <n v="2781.09975164796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04"/>
    <m/>
    <x v="0"/>
    <m/>
    <m/>
    <s v="Ian Trottier"/>
    <n v="9"/>
    <n v="2025"/>
    <s v="INV13464"/>
    <n v="11"/>
    <n v="2025"/>
    <m/>
    <s v="Hyperflo, Hyperflo"/>
    <s v="CAD"/>
    <n v="958.11"/>
    <n v="689.51432762343916"/>
    <x v="0"/>
    <n v="0"/>
    <n v="689.51432762343916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.342714914351587"/>
    <s v="Yes"/>
  </r>
  <r>
    <n v="1"/>
    <s v="SO17905"/>
    <m/>
    <x v="0"/>
    <m/>
    <m/>
    <s v="Aleksandar Stankovic"/>
    <n v="9"/>
    <n v="2025"/>
    <s v="INV13443"/>
    <s v=""/>
    <s v=""/>
    <m/>
    <s v="Canadian Bearings Ltd."/>
    <s v="CAD"/>
    <n v="270.35000000000002"/>
    <n v="194.5603307271574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7906"/>
    <m/>
    <x v="0"/>
    <m/>
    <m/>
    <s v="Ian Trottier"/>
    <n v="9"/>
    <n v="2025"/>
    <s v="INV13449"/>
    <n v="11"/>
    <n v="2025"/>
    <m/>
    <s v="Glencore Canada Corporation - Rouyn-Noranda"/>
    <s v="CAD"/>
    <n v="11712.55"/>
    <n v="8429.0645520930902"/>
    <x v="0"/>
    <n v="0"/>
    <n v="8429.064552093090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26.43596828139636"/>
    <s v="Yes"/>
  </r>
  <r>
    <n v="0"/>
    <s v="SO17910"/>
    <m/>
    <x v="0"/>
    <m/>
    <m/>
    <s v="Ian Trottier"/>
    <n v="9"/>
    <n v="2025"/>
    <s v="No Inv"/>
    <s v=""/>
    <s v=""/>
    <m/>
    <s v="Resolute Forest Products - Saint-Felicien"/>
    <s v="CAD"/>
    <n v="9686.2199999999993"/>
    <n v="6919.068400656448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914"/>
    <m/>
    <x v="5"/>
    <m/>
    <m/>
    <s v="Wilka Nuñez"/>
    <n v="9"/>
    <n v="2025"/>
    <s v="INV13631"/>
    <s v=""/>
    <s v=""/>
    <n v="2504"/>
    <s v="Wajax Limited - Noranda"/>
    <s v="CAD"/>
    <n v="100"/>
    <n v="71.817576144916316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2"/>
    <s v="SO17914"/>
    <m/>
    <x v="5"/>
    <m/>
    <m/>
    <n v="0"/>
    <n v="9"/>
    <n v="2025"/>
    <s v="INV13486"/>
    <n v="11"/>
    <n v="2025"/>
    <n v="2504"/>
    <s v="Wajax Limited - Noranda"/>
    <s v="CAD"/>
    <n v="0"/>
    <n v="0"/>
    <x v="1"/>
    <n v="0"/>
    <n v="0"/>
    <m/>
    <s v="Renewal"/>
    <m/>
    <m/>
    <s v=""/>
    <n v="5.0000000000000001E-3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7916"/>
    <m/>
    <x v="6"/>
    <m/>
    <m/>
    <s v="Aleksandar Stankovic"/>
    <n v="9"/>
    <n v="2025"/>
    <s v="INV13647"/>
    <n v="11"/>
    <n v="2025"/>
    <n v="2504"/>
    <s v="Process and Steam Specialties, Process and Steam Specialties"/>
    <s v="CAD"/>
    <n v="753.88"/>
    <n v="541.20080628788833"/>
    <x v="0"/>
    <n v="0"/>
    <n v="541.20080628788833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8.118012094318324"/>
    <s v="Yes"/>
  </r>
  <r>
    <n v="1"/>
    <s v="SO17917"/>
    <m/>
    <x v="4"/>
    <m/>
    <m/>
    <s v="Ian Trottier"/>
    <n v="9"/>
    <n v="2025"/>
    <s v="INV13463"/>
    <n v="11"/>
    <n v="2025"/>
    <n v="2504"/>
    <s v="Glencore Canada Corporation - Rouyn-Noranda"/>
    <s v="CAD"/>
    <n v="979.42"/>
    <n v="703.39570427853937"/>
    <x v="0"/>
    <n v="0"/>
    <n v="703.39570427853937"/>
    <m/>
    <s v="Renewal"/>
    <m/>
    <m/>
    <s v=""/>
    <n v="5.0000000000000001E-3"/>
    <s v=""/>
    <s v=""/>
    <s v=""/>
    <n v="3.516978521392697"/>
    <s v=""/>
    <s v=""/>
    <m/>
    <m/>
    <m/>
    <m/>
    <m/>
    <m/>
    <s v=""/>
    <n v="3.516978521392697"/>
    <s v=""/>
    <s v=""/>
    <x v="3"/>
    <x v="5"/>
    <n v="10.55093556417809"/>
    <s v="Yes"/>
  </r>
  <r>
    <n v="1"/>
    <s v="SO17920"/>
    <m/>
    <x v="4"/>
    <m/>
    <m/>
    <s v="Alexis Gil Lamadrid"/>
    <n v="9"/>
    <n v="2025"/>
    <s v="INV13462"/>
    <n v="11"/>
    <n v="2025"/>
    <n v="2504"/>
    <s v="Fabrene Inc."/>
    <s v="CAD"/>
    <n v="102.4"/>
    <n v="73.541197972394315"/>
    <x v="0"/>
    <n v="0"/>
    <n v="73.541197972394315"/>
    <m/>
    <s v="Renewal"/>
    <m/>
    <m/>
    <s v=""/>
    <n v="5.0000000000000001E-3"/>
    <s v=""/>
    <s v=""/>
    <s v=""/>
    <n v="0.36770598986197156"/>
    <s v=""/>
    <s v=""/>
    <m/>
    <m/>
    <m/>
    <m/>
    <m/>
    <m/>
    <s v=""/>
    <n v="0.36770598986197156"/>
    <s v=""/>
    <s v=""/>
    <x v="3"/>
    <x v="5"/>
    <n v="1.1031179695859146"/>
    <s v="Yes"/>
  </r>
  <r>
    <n v="1"/>
    <s v="SO17921"/>
    <m/>
    <x v="0"/>
    <m/>
    <m/>
    <s v="Leriel Reyes"/>
    <n v="9"/>
    <n v="2025"/>
    <s v="INV13661"/>
    <s v=""/>
    <s v=""/>
    <m/>
    <s v="Covia Corp - Fort Smith"/>
    <s v="USD"/>
    <n v="33876.233231040314"/>
    <n v="24284.38"/>
    <x v="1"/>
    <n v="58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22"/>
    <m/>
    <x v="0"/>
    <m/>
    <m/>
    <s v="Ian Trottier"/>
    <n v="9"/>
    <n v="2025"/>
    <s v="INV13626"/>
    <s v=""/>
    <s v=""/>
    <m/>
    <s v="Les Pompes du St-Laurent Inc."/>
    <s v="CAD"/>
    <n v="1949.64"/>
    <n v="1397.867708752345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23"/>
    <m/>
    <x v="0"/>
    <m/>
    <m/>
    <s v="Aleksandar Stankovic"/>
    <n v="9"/>
    <n v="2025"/>
    <s v="INV13539"/>
    <n v="11"/>
    <n v="2025"/>
    <m/>
    <s v="FMI Products"/>
    <s v="CAD"/>
    <n v="4981.76"/>
    <n v="3546.426488152038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7925"/>
    <m/>
    <x v="5"/>
    <m/>
    <m/>
    <s v="Wilka Nuñez"/>
    <n v="9"/>
    <n v="2025"/>
    <s v="INV13465"/>
    <n v="11"/>
    <n v="2025"/>
    <n v="2504"/>
    <s v="Hyperflo"/>
    <s v="CAD"/>
    <n v="279.5"/>
    <n v="200.39803481477637"/>
    <x v="0"/>
    <n v="0"/>
    <n v="200.39803481477637"/>
    <m/>
    <s v="Renewal"/>
    <m/>
    <m/>
    <s v=""/>
    <n v="5.0000000000000001E-3"/>
    <s v=""/>
    <s v=""/>
    <s v=""/>
    <n v="1.0019901740738819"/>
    <s v=""/>
    <s v=""/>
    <m/>
    <m/>
    <m/>
    <m/>
    <m/>
    <m/>
    <s v=""/>
    <n v="1.0019901740738819"/>
    <s v=""/>
    <s v=""/>
    <x v="3"/>
    <x v="5"/>
    <n v="3.0059705222216455"/>
    <s v="Yes"/>
  </r>
  <r>
    <n v="2"/>
    <s v="SO17926"/>
    <m/>
    <x v="0"/>
    <m/>
    <m/>
    <s v="Ian Trottier"/>
    <n v="9"/>
    <n v="2025"/>
    <s v="INV13450"/>
    <n v="11"/>
    <n v="2025"/>
    <m/>
    <s v="Glencore Canada Corporation - Rouyn-Noranda"/>
    <s v="CAD"/>
    <n v="14319.84"/>
    <n v="10267.1477454813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7926"/>
    <m/>
    <x v="0"/>
    <m/>
    <m/>
    <n v="0"/>
    <n v="9"/>
    <n v="2025"/>
    <s v="INV13550"/>
    <s v=""/>
    <s v=""/>
    <m/>
    <s v="Glencore Canada Corporation - Rouyn-Noranda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28"/>
    <m/>
    <x v="0"/>
    <m/>
    <m/>
    <s v="Ian Trottier"/>
    <n v="9"/>
    <n v="2025"/>
    <s v="INV13460"/>
    <n v="11"/>
    <n v="2025"/>
    <m/>
    <s v="Middle Georgia Fluid Sealing LLC"/>
    <s v="USD"/>
    <n v="10938.227689763189"/>
    <n v="7855.57"/>
    <x v="0"/>
    <n v="690"/>
    <n v="7165.5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07.48354999999999"/>
    <s v="Yes"/>
  </r>
  <r>
    <n v="2"/>
    <s v="SO17930"/>
    <m/>
    <x v="0"/>
    <m/>
    <m/>
    <s v="Carlos Leon"/>
    <n v="9"/>
    <n v="2025"/>
    <s v="INV13683"/>
    <s v=""/>
    <s v=""/>
    <m/>
    <s v="Dynapro Pumps México S de RL de CV"/>
    <s v="USD"/>
    <n v="2575.9710913481645"/>
    <n v="185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930"/>
    <m/>
    <x v="0"/>
    <m/>
    <m/>
    <n v="0"/>
    <n v="9"/>
    <n v="2025"/>
    <s v="INV13710"/>
    <s v=""/>
    <s v=""/>
    <m/>
    <s v="Dynapro Pumps México S de RL de CV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931"/>
    <m/>
    <x v="0"/>
    <m/>
    <m/>
    <s v="Ian Trottier"/>
    <n v="9"/>
    <n v="2025"/>
    <s v="INV13468"/>
    <n v="11"/>
    <n v="2025"/>
    <m/>
    <s v="Les Pompes du St-Laurent Inc."/>
    <s v="CAD"/>
    <n v="1761.16"/>
    <n v="1262.7298854897731"/>
    <x v="0"/>
    <n v="0"/>
    <n v="1262.7298854897731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8.940948282346596"/>
    <s v="Yes"/>
  </r>
  <r>
    <n v="1"/>
    <s v="SO17932"/>
    <m/>
    <x v="0"/>
    <m/>
    <m/>
    <s v="Carlos Leon"/>
    <n v="9"/>
    <n v="2025"/>
    <s v="INV13672"/>
    <s v=""/>
    <s v=""/>
    <m/>
    <s v="Dynapro Pumps México S de RL de CV"/>
    <s v="USD"/>
    <n v="4163.3262503410879"/>
    <n v="299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937"/>
    <m/>
    <x v="0"/>
    <m/>
    <m/>
    <s v="Yannett Yeomans"/>
    <n v="9"/>
    <n v="2025"/>
    <s v="INV13613"/>
    <s v=""/>
    <s v=""/>
    <m/>
    <s v="Dynapro Pumps México S de RL de CV"/>
    <s v="USD"/>
    <n v="1378.4926380728016"/>
    <n v="99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7938"/>
    <m/>
    <x v="0"/>
    <m/>
    <m/>
    <s v="Ian Trottier"/>
    <n v="9"/>
    <n v="2025"/>
    <s v="INV13467"/>
    <n v="11"/>
    <n v="2025"/>
    <m/>
    <s v="Les Pompes du St-Laurent Inc."/>
    <s v="CAD"/>
    <n v="463.06"/>
    <n v="332.42484925939078"/>
    <x v="0"/>
    <n v="0"/>
    <n v="332.4248492593907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4.9863727388908616"/>
    <s v="Yes"/>
  </r>
  <r>
    <n v="1"/>
    <s v="SO17939"/>
    <m/>
    <x v="5"/>
    <m/>
    <m/>
    <s v="Wilka Nuñez"/>
    <n v="9"/>
    <n v="2025"/>
    <s v="INV13575"/>
    <s v=""/>
    <s v=""/>
    <m/>
    <s v="Barrick Gold - Pueblo Viejo Dominicana Corporation"/>
    <s v="USD"/>
    <n v="8962.1725367928775"/>
    <n v="6387.56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1"/>
    <s v="SO17941"/>
    <m/>
    <x v="4"/>
    <m/>
    <m/>
    <s v="Alexis Gil Lamadrid"/>
    <n v="9"/>
    <n v="2025"/>
    <s v="INV13484"/>
    <n v="11"/>
    <n v="2025"/>
    <n v="2504"/>
    <s v="Wajax Limited - Noranda"/>
    <s v="CAD"/>
    <n v="2627.35"/>
    <n v="1889.5132176516818"/>
    <x v="0"/>
    <n v="0"/>
    <n v="1889.5132176516818"/>
    <m/>
    <s v="Renewal"/>
    <m/>
    <m/>
    <s v=""/>
    <n v="5.0000000000000001E-3"/>
    <s v=""/>
    <s v=""/>
    <s v=""/>
    <n v="9.4475660882584087"/>
    <s v=""/>
    <s v=""/>
    <m/>
    <m/>
    <m/>
    <m/>
    <m/>
    <m/>
    <s v=""/>
    <n v="9.4475660882584087"/>
    <s v=""/>
    <s v=""/>
    <x v="3"/>
    <x v="5"/>
    <n v="28.342698264775226"/>
    <s v="Yes"/>
  </r>
  <r>
    <n v="1"/>
    <s v="SO17942"/>
    <m/>
    <x v="6"/>
    <m/>
    <m/>
    <s v="Aleksandar Stankovic"/>
    <n v="9"/>
    <n v="2025"/>
    <s v="INV13487"/>
    <n v="11"/>
    <n v="2025"/>
    <n v="2504"/>
    <s v="Wajax Limited - Noranda"/>
    <s v="CAD"/>
    <n v="168.59"/>
    <n v="120.85474781914751"/>
    <x v="0"/>
    <n v="0"/>
    <n v="120.85474781914751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1.8128212172872125"/>
    <s v="Yes"/>
  </r>
  <r>
    <n v="1"/>
    <s v="SO17944"/>
    <m/>
    <x v="4"/>
    <m/>
    <m/>
    <s v="Alexis Gil Lamadrid"/>
    <n v="9"/>
    <n v="2025"/>
    <s v="INV13492"/>
    <n v="11"/>
    <n v="2025"/>
    <n v="2504"/>
    <s v="Motion Industries Inc. (Canada) - Prince George"/>
    <s v="CAD"/>
    <n v="5276.54"/>
    <n v="3775.209448803545"/>
    <x v="0"/>
    <n v="0"/>
    <n v="3775.209448803545"/>
    <m/>
    <s v="Renewal"/>
    <m/>
    <m/>
    <s v=""/>
    <n v="5.0000000000000001E-3"/>
    <s v=""/>
    <s v=""/>
    <s v=""/>
    <n v="18.876047244017727"/>
    <s v=""/>
    <s v=""/>
    <m/>
    <m/>
    <m/>
    <m/>
    <m/>
    <m/>
    <s v=""/>
    <n v="18.876047244017727"/>
    <s v=""/>
    <s v=""/>
    <x v="3"/>
    <x v="5"/>
    <n v="56.628141732053173"/>
    <s v="Yes"/>
  </r>
  <r>
    <n v="1"/>
    <s v="SO17945"/>
    <m/>
    <x v="4"/>
    <m/>
    <m/>
    <s v="Alexis Gil Lamadrid"/>
    <n v="9"/>
    <n v="2025"/>
    <s v="INV13474"/>
    <n v="11"/>
    <n v="2025"/>
    <n v="2504"/>
    <s v="Resolute Forest Products - Saint-Felicien"/>
    <s v="CAD"/>
    <n v="956.66"/>
    <n v="688.00187062959185"/>
    <x v="0"/>
    <n v="0"/>
    <n v="688.00187062959185"/>
    <m/>
    <s v="Renewal"/>
    <m/>
    <m/>
    <s v=""/>
    <n v="5.0000000000000001E-3"/>
    <s v=""/>
    <s v=""/>
    <s v=""/>
    <n v="3.4400093531479592"/>
    <s v=""/>
    <s v=""/>
    <m/>
    <m/>
    <m/>
    <m/>
    <m/>
    <m/>
    <s v=""/>
    <n v="3.4400093531479592"/>
    <s v=""/>
    <s v=""/>
    <x v="3"/>
    <x v="5"/>
    <n v="10.320028059443878"/>
    <s v="Yes"/>
  </r>
  <r>
    <n v="1"/>
    <s v="SO17946"/>
    <m/>
    <x v="0"/>
    <m/>
    <m/>
    <s v="Yannett Yeomans"/>
    <n v="9"/>
    <n v="2025"/>
    <s v="INV13471"/>
    <s v=""/>
    <s v=""/>
    <m/>
    <s v="Dynapro Pumps México S de RL de CV"/>
    <s v="USD"/>
    <n v="1345.8536313799586"/>
    <n v="96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7947"/>
    <m/>
    <x v="5"/>
    <m/>
    <m/>
    <s v="Wilka Nuñez"/>
    <n v="9"/>
    <n v="2025"/>
    <s v="INV13480"/>
    <s v=""/>
    <s v=""/>
    <m/>
    <s v="Barrick Gold - Pueblo Viejo Dominicana Corporation"/>
    <s v="USD"/>
    <n v="343554.47137796431"/>
    <n v="247074.32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2"/>
    <s v="SO17947"/>
    <m/>
    <x v="5"/>
    <m/>
    <m/>
    <n v="0"/>
    <n v="9"/>
    <n v="2025"/>
    <s v="INV13572"/>
    <s v=""/>
    <s v=""/>
    <m/>
    <s v="Barrick Gold - Pueblo Viejo Dominicana Corporation"/>
    <s v="USD"/>
    <n v="0"/>
    <n v="0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1"/>
    <s v="SO17953"/>
    <m/>
    <x v="0"/>
    <m/>
    <m/>
    <s v="Alexis Gil Lamadrid"/>
    <n v="10"/>
    <n v="2025"/>
    <s v="INV13715"/>
    <s v=""/>
    <s v=""/>
    <m/>
    <s v="Eleazar General &amp; Industrial Supplies Limited"/>
    <s v="USD"/>
    <n v="3091.4633131184073"/>
    <n v="220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7954"/>
    <m/>
    <x v="0"/>
    <m/>
    <m/>
    <s v="Alexis Gil Lamadrid"/>
    <n v="10"/>
    <n v="2025"/>
    <s v="No Inv"/>
    <s v=""/>
    <s v=""/>
    <m/>
    <s v="Wajax Limited - Lachine"/>
    <s v="CAD"/>
    <n v="1435"/>
    <n v="1028.688315561282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56"/>
    <m/>
    <x v="0"/>
    <m/>
    <m/>
    <s v="Ian Trottier"/>
    <n v="10"/>
    <n v="2025"/>
    <s v="INV13570"/>
    <s v=""/>
    <s v=""/>
    <m/>
    <s v="Grant Aggregate"/>
    <s v="CAD"/>
    <n v="1759.61"/>
    <n v="1258.94929218942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57"/>
    <m/>
    <x v="0"/>
    <m/>
    <m/>
    <s v="Wilka Nuñez"/>
    <n v="10"/>
    <n v="2025"/>
    <s v="INV13489"/>
    <s v=""/>
    <s v=""/>
    <m/>
    <s v="Glencore Canada Corporation - Rouyn-Noranda"/>
    <s v="CAD"/>
    <n v="3200.66"/>
    <n v="2289.97825742011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58"/>
    <m/>
    <x v="0"/>
    <m/>
    <m/>
    <s v="Ian Trottier"/>
    <n v="10"/>
    <n v="2025"/>
    <s v="INV13488"/>
    <s v=""/>
    <s v=""/>
    <m/>
    <s v="Glencore Canada Corporation - Rouyn-Noranda, Glencore Canada Corp."/>
    <s v="CAD"/>
    <n v="1495.52"/>
    <n v="1070.000650971029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59"/>
    <m/>
    <x v="4"/>
    <m/>
    <m/>
    <s v="Alexis Gil Lamadrid"/>
    <n v="10"/>
    <n v="2025"/>
    <s v="INV13508"/>
    <n v="11"/>
    <n v="2025"/>
    <n v="2504"/>
    <s v="Process and Steam Specialties"/>
    <s v="CAD"/>
    <n v="663"/>
    <n v="474.35703407095377"/>
    <x v="0"/>
    <n v="0"/>
    <n v="474.35703407095377"/>
    <m/>
    <s v="Renewal"/>
    <m/>
    <m/>
    <s v=""/>
    <n v="5.0000000000000001E-3"/>
    <s v=""/>
    <s v=""/>
    <s v=""/>
    <n v="2.371785170354769"/>
    <s v=""/>
    <s v=""/>
    <m/>
    <m/>
    <m/>
    <m/>
    <m/>
    <m/>
    <s v=""/>
    <n v="2.371785170354769"/>
    <s v=""/>
    <s v=""/>
    <x v="3"/>
    <x v="5"/>
    <n v="7.1153555110643065"/>
    <s v="Yes"/>
  </r>
  <r>
    <n v="1"/>
    <s v="SO17962"/>
    <m/>
    <x v="4"/>
    <m/>
    <m/>
    <s v="Ian Trottier"/>
    <n v="10"/>
    <n v="2025"/>
    <s v="INV13481"/>
    <n v="11"/>
    <n v="2025"/>
    <n v="2504"/>
    <s v="Canadian Industrial Pumps Ltd"/>
    <s v="CAD"/>
    <n v="373.11"/>
    <n v="266.9492503502467"/>
    <x v="0"/>
    <n v="0"/>
    <n v="266.9492503502467"/>
    <m/>
    <s v="Renewal"/>
    <m/>
    <m/>
    <s v=""/>
    <n v="5.0000000000000001E-3"/>
    <s v=""/>
    <s v=""/>
    <s v=""/>
    <n v="1.3347462517512336"/>
    <s v=""/>
    <s v=""/>
    <m/>
    <m/>
    <m/>
    <m/>
    <m/>
    <m/>
    <s v=""/>
    <n v="1.3347462517512336"/>
    <s v=""/>
    <s v=""/>
    <x v="3"/>
    <x v="5"/>
    <n v="4.0042387552537004"/>
    <s v="Yes"/>
  </r>
  <r>
    <n v="1"/>
    <s v="SO17964"/>
    <m/>
    <x v="0"/>
    <m/>
    <m/>
    <s v="Wilka Nuñez"/>
    <n v="10"/>
    <n v="2025"/>
    <s v="INV13501"/>
    <s v=""/>
    <s v=""/>
    <m/>
    <s v="Grant Aggregate"/>
    <s v="CAD"/>
    <n v="304.68"/>
    <n v="218.4505999455934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66"/>
    <m/>
    <x v="6"/>
    <m/>
    <m/>
    <s v="Aleksandar Stankovic"/>
    <n v="10"/>
    <n v="2025"/>
    <s v="INV13521"/>
    <n v="11"/>
    <n v="2025"/>
    <n v="2504"/>
    <s v="Rueck Company Inc."/>
    <s v="USD"/>
    <n v="21115.71281649607"/>
    <n v="15132"/>
    <x v="0"/>
    <n v="120"/>
    <n v="15012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225.17999999999998"/>
    <s v="Yes"/>
  </r>
  <r>
    <n v="1"/>
    <s v="SO17968"/>
    <m/>
    <x v="0"/>
    <m/>
    <m/>
    <s v="Ian Trottier"/>
    <n v="10"/>
    <n v="2025"/>
    <s v="INV13500"/>
    <n v="11"/>
    <n v="2025"/>
    <m/>
    <s v="Sealtrac Inc."/>
    <s v="CAD"/>
    <n v="1255.08"/>
    <n v="899.8719278578028"/>
    <x v="0"/>
    <n v="0"/>
    <n v="899.871927857802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13.498078917867042"/>
    <s v="Yes"/>
  </r>
  <r>
    <n v="1"/>
    <s v="SO17969"/>
    <m/>
    <x v="0"/>
    <m/>
    <m/>
    <s v="Alexis Gil Lamadrid"/>
    <n v="10"/>
    <n v="2025"/>
    <s v="INV13578"/>
    <s v=""/>
    <s v=""/>
    <m/>
    <s v="Resolute Forest Products - Clermont"/>
    <s v="CAD"/>
    <n v="765.02"/>
    <n v="548.5068858158655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78"/>
    <m/>
    <x v="5"/>
    <m/>
    <m/>
    <s v="Wilka Nuñez"/>
    <n v="10"/>
    <n v="2025"/>
    <s v="INV13514"/>
    <n v="11"/>
    <n v="2025"/>
    <n v="2504"/>
    <s v="Sealtrac Inc."/>
    <s v="CAD"/>
    <n v="210"/>
    <n v="150.49077564255811"/>
    <x v="0"/>
    <n v="0"/>
    <n v="150.49077564255811"/>
    <m/>
    <s v="Renewal"/>
    <m/>
    <m/>
    <s v=""/>
    <n v="5.0000000000000001E-3"/>
    <s v=""/>
    <s v=""/>
    <s v=""/>
    <n v="0.75245387821279053"/>
    <s v=""/>
    <s v=""/>
    <m/>
    <m/>
    <m/>
    <m/>
    <m/>
    <m/>
    <s v=""/>
    <n v="0.75245387821279053"/>
    <s v=""/>
    <s v=""/>
    <x v="3"/>
    <x v="5"/>
    <n v="2.2573616346383716"/>
    <s v="Yes"/>
  </r>
  <r>
    <n v="1"/>
    <s v="SO17980"/>
    <m/>
    <x v="0"/>
    <m/>
    <m/>
    <s v="Wilka Nuñez"/>
    <n v="10"/>
    <n v="2025"/>
    <s v="INV13504"/>
    <s v=""/>
    <s v=""/>
    <m/>
    <s v="Glencore Canada Corporation - Rouyn-Noranda"/>
    <s v="CAD"/>
    <n v="1769.12"/>
    <n v="1268.39652264330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81"/>
    <m/>
    <x v="0"/>
    <m/>
    <m/>
    <s v="Ian Trottier"/>
    <n v="10"/>
    <n v="2025"/>
    <s v="INV13483"/>
    <s v=""/>
    <s v=""/>
    <m/>
    <s v="PT Vale Indonesia Tbk."/>
    <s v="USD"/>
    <n v="1367.363665447815"/>
    <n v="979.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82"/>
    <m/>
    <x v="6"/>
    <m/>
    <m/>
    <s v="Aleksandar Stankovic"/>
    <n v="10"/>
    <n v="2025"/>
    <s v="INV13522"/>
    <n v="11"/>
    <n v="2025"/>
    <n v="2504"/>
    <s v="Sling-Choker Manufacturing - Timmins"/>
    <s v="CAD"/>
    <n v="2402.65"/>
    <n v="1717.7018503174468"/>
    <x v="0"/>
    <n v="0"/>
    <n v="1717.7018503174468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25.765527754761699"/>
    <s v="Yes"/>
  </r>
  <r>
    <n v="1"/>
    <s v="SO17983"/>
    <m/>
    <x v="0"/>
    <m/>
    <m/>
    <s v="Ian Trottier"/>
    <n v="10"/>
    <n v="2025"/>
    <s v="INV13596"/>
    <s v=""/>
    <s v=""/>
    <m/>
    <s v="PT Vale Indonesia Tbk."/>
    <s v="USD"/>
    <n v="1020.5729847705212"/>
    <n v="730.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85"/>
    <m/>
    <x v="0"/>
    <m/>
    <m/>
    <s v="Wilka Nuñez"/>
    <n v="10"/>
    <n v="2025"/>
    <s v="INV13582"/>
    <s v=""/>
    <s v=""/>
    <m/>
    <s v="Wajax Limited - Noranda"/>
    <s v="CAD"/>
    <n v="164.89"/>
    <n v="117.3822632225136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87"/>
    <m/>
    <x v="0"/>
    <m/>
    <m/>
    <s v="Ian Trottier"/>
    <n v="10"/>
    <n v="2025"/>
    <s v="INV13510"/>
    <s v=""/>
    <s v=""/>
    <m/>
    <s v="Grant Aggregate"/>
    <s v="CAD"/>
    <n v="1766.3"/>
    <n v="1265.770747702144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88"/>
    <m/>
    <x v="4"/>
    <m/>
    <m/>
    <s v="Alexis Gil Lamadrid"/>
    <n v="10"/>
    <n v="2025"/>
    <s v="INV13519"/>
    <n v="11"/>
    <n v="2025"/>
    <n v="2504"/>
    <s v="Motion Industries Inc. (Canada) - Prince George"/>
    <s v="CAD"/>
    <n v="624.20000000000005"/>
    <n v="445.50170986598141"/>
    <x v="0"/>
    <n v="0"/>
    <n v="445.50170986598141"/>
    <m/>
    <s v="Renewal"/>
    <m/>
    <m/>
    <s v=""/>
    <n v="5.0000000000000001E-3"/>
    <s v=""/>
    <s v=""/>
    <s v=""/>
    <n v="2.2275085493299072"/>
    <s v=""/>
    <s v=""/>
    <m/>
    <m/>
    <m/>
    <m/>
    <m/>
    <m/>
    <s v=""/>
    <n v="2.2275085493299072"/>
    <s v=""/>
    <s v=""/>
    <x v="3"/>
    <x v="5"/>
    <n v="6.6825256479897206"/>
    <s v="Yes"/>
  </r>
  <r>
    <n v="1"/>
    <s v="SO17990"/>
    <m/>
    <x v="5"/>
    <m/>
    <m/>
    <s v="Wilka Nuñez"/>
    <n v="10"/>
    <n v="2025"/>
    <s v="INV13509"/>
    <n v="11"/>
    <n v="2025"/>
    <n v="2504"/>
    <s v="Alpha Industrial &amp; Mining Supplies Limited"/>
    <s v="CAD"/>
    <n v="3718.3"/>
    <n v="2658.2859717542556"/>
    <x v="0"/>
    <n v="0"/>
    <n v="2658.2859717542556"/>
    <m/>
    <s v="Renewal"/>
    <m/>
    <m/>
    <s v=""/>
    <n v="5.0000000000000001E-3"/>
    <s v=""/>
    <s v=""/>
    <s v=""/>
    <n v="13.291429858771279"/>
    <s v=""/>
    <s v=""/>
    <m/>
    <m/>
    <m/>
    <m/>
    <m/>
    <m/>
    <s v=""/>
    <n v="13.291429858771279"/>
    <s v=""/>
    <s v=""/>
    <x v="3"/>
    <x v="5"/>
    <n v="39.874289576313835"/>
    <s v="Yes"/>
  </r>
  <r>
    <n v="1"/>
    <s v="SO17991"/>
    <m/>
    <x v="4"/>
    <m/>
    <m/>
    <s v="Alexis Gil Lamadrid"/>
    <n v="10"/>
    <n v="2025"/>
    <s v="INV13527"/>
    <n v="11"/>
    <n v="2025"/>
    <n v="2504"/>
    <s v="FMI Products"/>
    <s v="CAD"/>
    <n v="1810"/>
    <n v="1294.0046819447603"/>
    <x v="0"/>
    <n v="0"/>
    <n v="1294.0046819447603"/>
    <m/>
    <s v="Renewal"/>
    <m/>
    <m/>
    <s v=""/>
    <n v="5.0000000000000001E-3"/>
    <s v=""/>
    <s v=""/>
    <s v=""/>
    <n v="6.470023409723801"/>
    <s v=""/>
    <s v=""/>
    <m/>
    <m/>
    <m/>
    <m/>
    <m/>
    <m/>
    <s v=""/>
    <n v="6.470023409723801"/>
    <s v=""/>
    <s v=""/>
    <x v="3"/>
    <x v="5"/>
    <n v="19.410070229171403"/>
    <s v="Yes"/>
  </r>
  <r>
    <n v="1"/>
    <s v="SO17993"/>
    <m/>
    <x v="0"/>
    <m/>
    <m/>
    <s v="Ian Trottier"/>
    <n v="10"/>
    <n v="2025"/>
    <s v="INV13612"/>
    <s v=""/>
    <s v=""/>
    <m/>
    <s v="Resolute Forest Products - Saint-Felicien"/>
    <s v="CAD"/>
    <n v="1264"/>
    <n v="903.6585182199872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7996"/>
    <m/>
    <x v="0"/>
    <m/>
    <m/>
    <s v="Aleksandar Stankovic"/>
    <n v="10"/>
    <n v="2025"/>
    <s v="INV13531"/>
    <s v=""/>
    <s v=""/>
    <m/>
    <s v="Covia Corp - Junction City"/>
    <s v="USD"/>
    <n v="354.39846576827301"/>
    <n v="253.97"/>
    <x v="1"/>
    <n v="32.479999999999997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7997"/>
    <m/>
    <x v="0"/>
    <m/>
    <m/>
    <s v="Aleksandar Stankovic"/>
    <n v="10"/>
    <n v="2025"/>
    <s v="INV13525"/>
    <s v=""/>
    <s v=""/>
    <m/>
    <s v="Covia Corp - Guion"/>
    <s v="USD"/>
    <n v="5514.2821641841701"/>
    <n v="3951.66"/>
    <x v="1"/>
    <n v="542.64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7999"/>
    <m/>
    <x v="0"/>
    <m/>
    <m/>
    <s v="Amanda Qiao"/>
    <n v="10"/>
    <n v="2025"/>
    <s v="INV13536"/>
    <n v="10"/>
    <n v="2025"/>
    <m/>
    <s v="Jindal Drilling &amp; Industries Limited"/>
    <s v="USD"/>
    <n v="17525.2120577282"/>
    <n v="12489.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01"/>
    <m/>
    <x v="0"/>
    <m/>
    <m/>
    <s v="Wilka Nuñez"/>
    <n v="10"/>
    <n v="2025"/>
    <s v="INV13597"/>
    <s v=""/>
    <s v=""/>
    <m/>
    <s v="Alpha Industrial &amp; Mining Supplies Limited"/>
    <s v="CAD"/>
    <n v="5181.7"/>
    <n v="3698.263713573463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02"/>
    <m/>
    <x v="0"/>
    <m/>
    <m/>
    <s v="Alexis Gil Lamadrid"/>
    <n v="10"/>
    <n v="2025"/>
    <s v="INV13524"/>
    <s v=""/>
    <s v=""/>
    <m/>
    <s v="Resolute Forest Products - Clermont"/>
    <s v="CAD"/>
    <n v="1127.0999999999999"/>
    <n v="807.7054915558442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04"/>
    <m/>
    <x v="4"/>
    <m/>
    <m/>
    <s v="Alexis Gil Lamadrid"/>
    <n v="10"/>
    <n v="2025"/>
    <s v="INV13516"/>
    <n v="11"/>
    <n v="2025"/>
    <n v="2504"/>
    <s v="Wajax Limited - Lachine"/>
    <s v="CAD"/>
    <n v="2.5"/>
    <n v="1.7915568528875969"/>
    <x v="0"/>
    <n v="0"/>
    <n v="1.7915568528875969"/>
    <m/>
    <s v="Renewal"/>
    <m/>
    <m/>
    <s v=""/>
    <n v="5.0000000000000001E-3"/>
    <s v=""/>
    <s v=""/>
    <s v=""/>
    <n v="8.9577842644379853E-3"/>
    <s v=""/>
    <s v=""/>
    <m/>
    <m/>
    <m/>
    <m/>
    <m/>
    <m/>
    <s v=""/>
    <n v="8.9577842644379853E-3"/>
    <s v=""/>
    <s v=""/>
    <x v="3"/>
    <x v="5"/>
    <n v="2.6873352793313952E-2"/>
    <s v="Yes"/>
  </r>
  <r>
    <n v="1"/>
    <s v="SO18008"/>
    <m/>
    <x v="0"/>
    <m/>
    <m/>
    <s v="Ian Trottier"/>
    <n v="10"/>
    <n v="2025"/>
    <s v="INV13512"/>
    <s v=""/>
    <s v=""/>
    <m/>
    <s v="Glencore Canada Corporation - Rouyn-Noranda"/>
    <s v="CAD"/>
    <n v="383.15"/>
    <n v="273.4603975250733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09"/>
    <m/>
    <x v="0"/>
    <m/>
    <m/>
    <s v="Alexis Gil Lamadrid"/>
    <n v="10"/>
    <n v="2025"/>
    <s v="INV13518"/>
    <s v=""/>
    <s v=""/>
    <m/>
    <s v="Resolute Forest Products - Kenogami"/>
    <s v="CAD"/>
    <n v="1127.0999999999999"/>
    <n v="804.4296334347125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10"/>
    <m/>
    <x v="0"/>
    <m/>
    <m/>
    <s v="Ian Trottier"/>
    <n v="10"/>
    <n v="2025"/>
    <s v="No Inv"/>
    <s v=""/>
    <s v=""/>
    <m/>
    <s v="Resolute Forest Products - Clermont"/>
    <s v="CAD"/>
    <n v="6970.1"/>
    <n v="4983.061897029378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12"/>
    <m/>
    <x v="0"/>
    <m/>
    <m/>
    <s v="Ian Trottier"/>
    <n v="10"/>
    <n v="2025"/>
    <s v="INV13594"/>
    <s v=""/>
    <s v=""/>
    <m/>
    <s v="PT Vale Indonesia Tbk."/>
    <s v="USD"/>
    <n v="39.360377854047279"/>
    <n v="28.2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013"/>
    <m/>
    <x v="6"/>
    <m/>
    <m/>
    <s v="Aleksandar Stankovic"/>
    <n v="10"/>
    <n v="2025"/>
    <s v="Borrador de factura (* 80533)"/>
    <s v=""/>
    <s v=""/>
    <n v="2504"/>
    <s v="Harvey Bearings"/>
    <s v="CAD"/>
    <n v="754.36"/>
    <n v="537.10034004754016"/>
    <x v="0"/>
    <n v="0"/>
    <n v="537.10034004754016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8.0565051007131014"/>
    <s v="Yes"/>
  </r>
  <r>
    <n v="2"/>
    <s v="SO18013"/>
    <m/>
    <x v="6"/>
    <m/>
    <m/>
    <n v="0"/>
    <n v="10"/>
    <n v="2025"/>
    <s v="INV13530"/>
    <n v="10"/>
    <n v="2025"/>
    <n v="2504"/>
    <s v="Harvey Bearings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0"/>
    <s v=""/>
  </r>
  <r>
    <n v="1"/>
    <s v="SO18014"/>
    <m/>
    <x v="0"/>
    <m/>
    <m/>
    <s v="Aleksandar Stankovic"/>
    <n v="10"/>
    <n v="2025"/>
    <s v="INV13561"/>
    <s v=""/>
    <s v=""/>
    <m/>
    <s v="Hyperflo"/>
    <s v="CAD"/>
    <n v="8198"/>
    <n v="5860.91181358184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016"/>
    <m/>
    <x v="0"/>
    <m/>
    <m/>
    <s v="Alexis Gil Lamadrid"/>
    <n v="10"/>
    <n v="2025"/>
    <s v="INV13515"/>
    <s v=""/>
    <s v=""/>
    <m/>
    <s v="Resolute Forest Products - Saint-Felicien"/>
    <s v="CAD"/>
    <n v="945.96"/>
    <n v="675.147064185875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17"/>
    <m/>
    <x v="0"/>
    <m/>
    <m/>
    <s v="Wilka Nuñez"/>
    <n v="10"/>
    <n v="2025"/>
    <s v="No Inv"/>
    <s v=""/>
    <s v=""/>
    <m/>
    <s v="Wild Rows Pump &amp; Compression, Wild Rows Pump &amp; Compression"/>
    <s v="CAD"/>
    <n v="1011.91"/>
    <n v="720.4745812311181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24"/>
    <m/>
    <x v="4"/>
    <m/>
    <m/>
    <s v="Alexis Gil Lamadrid"/>
    <n v="10"/>
    <n v="2025"/>
    <s v="INV13543"/>
    <n v="11"/>
    <n v="2025"/>
    <n v="2504"/>
    <s v="Wajax Limited - Thunder Bay, Wajax Limited - Thunder Bay"/>
    <s v="CAD"/>
    <n v="196"/>
    <n v="139.52876622588224"/>
    <x v="0"/>
    <n v="0"/>
    <n v="139.52876622588224"/>
    <m/>
    <s v="Renewal"/>
    <m/>
    <m/>
    <s v=""/>
    <n v="5.0000000000000001E-3"/>
    <s v=""/>
    <s v=""/>
    <s v=""/>
    <n v="0.6976438311294112"/>
    <s v=""/>
    <s v=""/>
    <m/>
    <m/>
    <m/>
    <m/>
    <m/>
    <m/>
    <s v=""/>
    <n v="0.6976438311294112"/>
    <s v=""/>
    <s v=""/>
    <x v="3"/>
    <x v="5"/>
    <n v="2.0929314933882335"/>
    <s v="Yes"/>
  </r>
  <r>
    <n v="0"/>
    <s v="SO18027"/>
    <m/>
    <x v="0"/>
    <m/>
    <m/>
    <s v="Ian Trottier"/>
    <n v="10"/>
    <n v="2025"/>
    <s v="No Inv"/>
    <s v=""/>
    <s v=""/>
    <m/>
    <s v="Resolute Forest Products - Gatineau"/>
    <s v="CAD"/>
    <n v="2439.1"/>
    <n v="1740.771351563476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28"/>
    <m/>
    <x v="0"/>
    <m/>
    <m/>
    <s v="Ian Trottier"/>
    <n v="10"/>
    <n v="2025"/>
    <s v="INV13547"/>
    <s v=""/>
    <s v=""/>
    <m/>
    <s v="Canadian Bearings Ltd."/>
    <s v="CAD"/>
    <n v="131.91999999999999"/>
    <n v="94.02261692024309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30"/>
    <m/>
    <x v="0"/>
    <m/>
    <m/>
    <s v="Alexis Gil Lamadrid"/>
    <n v="10"/>
    <n v="2025"/>
    <s v="INV13581"/>
    <s v=""/>
    <s v=""/>
    <m/>
    <s v="Resolute Forest Products - Dolbeau"/>
    <s v="CAD"/>
    <n v="1173.25"/>
    <n v="838.0768763325816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36"/>
    <m/>
    <x v="0"/>
    <m/>
    <m/>
    <s v="Jeff Bell"/>
    <n v="10"/>
    <n v="2025"/>
    <s v="No Inv"/>
    <s v=""/>
    <s v=""/>
    <m/>
    <s v="Barrick Gold - Pueblo Viejo Dominicana Corporation"/>
    <s v="USD"/>
    <n v="561.8019157710678"/>
    <n v="4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9"/>
    <n v="0"/>
    <s v=""/>
  </r>
  <r>
    <n v="0"/>
    <s v="SO18040"/>
    <m/>
    <x v="0"/>
    <m/>
    <m/>
    <s v="Aleksandar Stankovic"/>
    <n v="10"/>
    <n v="2025"/>
    <s v="No Inv"/>
    <s v=""/>
    <s v=""/>
    <m/>
    <s v="Gibraltar Mine (Canada)"/>
    <s v="CAD"/>
    <n v="29239"/>
    <n v="20818.01373700888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042"/>
    <m/>
    <x v="0"/>
    <m/>
    <m/>
    <s v="Alexis Gil Lamadrid"/>
    <n v="10"/>
    <n v="2025"/>
    <s v="No Inv"/>
    <s v=""/>
    <s v=""/>
    <m/>
    <s v="Resolute Forest Products - Saint-Felicien"/>
    <s v="CAD"/>
    <n v="4804.82"/>
    <n v="3421.006490093883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45"/>
    <m/>
    <x v="0"/>
    <m/>
    <m/>
    <s v="Amanda Qiao"/>
    <n v="10"/>
    <n v="2025"/>
    <s v="No Inv"/>
    <s v=""/>
    <s v=""/>
    <m/>
    <s v="Nord-Flo Inc."/>
    <s v="CAD"/>
    <n v="9147.06"/>
    <n v="6529.185060592939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47"/>
    <m/>
    <x v="6"/>
    <m/>
    <m/>
    <s v="Aleksandar Stankovic"/>
    <n v="10"/>
    <n v="2025"/>
    <s v="INV13537"/>
    <n v="11"/>
    <n v="2025"/>
    <n v="2504"/>
    <s v="Hyperflo"/>
    <s v="CAD"/>
    <n v="150"/>
    <n v="107.23795706724533"/>
    <x v="0"/>
    <n v="0"/>
    <n v="107.23795706724533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1.60856935600868"/>
    <s v="Yes"/>
  </r>
  <r>
    <n v="1"/>
    <s v="SO18048"/>
    <m/>
    <x v="0"/>
    <m/>
    <m/>
    <s v="Aleksandar Stankovic"/>
    <n v="10"/>
    <n v="2025"/>
    <s v="INV13583"/>
    <s v=""/>
    <s v=""/>
    <m/>
    <s v="Wajax Limited - Noranda"/>
    <s v="CAD"/>
    <n v="168.59"/>
    <n v="120.5283145464459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049"/>
    <m/>
    <x v="0"/>
    <m/>
    <m/>
    <s v="Ian Trottier"/>
    <n v="10"/>
    <n v="2025"/>
    <s v="No Inv"/>
    <s v=""/>
    <s v=""/>
    <m/>
    <s v="Resolute Forest Products - Saint-Felicien"/>
    <s v="CAD"/>
    <n v="1948.11"/>
    <n v="1392.742243615141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51"/>
    <m/>
    <x v="0"/>
    <m/>
    <m/>
    <s v="Ian Trottier"/>
    <n v="10"/>
    <n v="2025"/>
    <s v="INV13616"/>
    <s v=""/>
    <s v=""/>
    <m/>
    <s v="Resolute Forest Products - Dolbeau"/>
    <s v="CAD"/>
    <n v="9194.19"/>
    <n v="6573.107683253975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52"/>
    <m/>
    <x v="0"/>
    <m/>
    <m/>
    <s v="Ian Trottier"/>
    <n v="10"/>
    <n v="2025"/>
    <s v="No Inv"/>
    <s v=""/>
    <s v=""/>
    <m/>
    <s v="Resolute Forest Products - Fibrek, Resolute Forest Products - Fibrek"/>
    <s v="CAD"/>
    <n v="0.01"/>
    <n v="7.1491971378163559E-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53"/>
    <m/>
    <x v="0"/>
    <m/>
    <m/>
    <s v="Ian Trottier"/>
    <n v="10"/>
    <n v="2025"/>
    <s v="INV13542"/>
    <s v=""/>
    <s v=""/>
    <m/>
    <s v="Resolute Forest Products - Dolbeau"/>
    <s v="CAD"/>
    <n v="7248.11"/>
    <n v="5181.81672665781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54"/>
    <m/>
    <x v="0"/>
    <m/>
    <m/>
    <s v="Aleksandar Stankovic"/>
    <n v="10"/>
    <n v="2025"/>
    <s v="INV13611"/>
    <s v=""/>
    <s v=""/>
    <m/>
    <s v="Conval Quebec"/>
    <s v="CAD"/>
    <n v="260"/>
    <n v="185.879125583225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055"/>
    <m/>
    <x v="0"/>
    <m/>
    <m/>
    <s v="Ian Trottier"/>
    <n v="10"/>
    <n v="2025"/>
    <s v="No Inv"/>
    <s v=""/>
    <s v=""/>
    <m/>
    <s v="Resolute Forest Products - Saint-Felicien"/>
    <s v="CAD"/>
    <n v="5714.85"/>
    <n v="4085.6589263049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56"/>
    <m/>
    <x v="0"/>
    <m/>
    <m/>
    <s v="Alexis Gil Lamadrid"/>
    <n v="10"/>
    <n v="2025"/>
    <s v="INV13701"/>
    <s v=""/>
    <s v=""/>
    <m/>
    <s v="Resolute Forest Products - Dolbeau"/>
    <s v="CAD"/>
    <n v="7695"/>
    <n v="5501.30719754968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057"/>
    <m/>
    <x v="0"/>
    <m/>
    <m/>
    <s v="Ian Trottier"/>
    <n v="10"/>
    <n v="2025"/>
    <s v="INV13549"/>
    <s v=""/>
    <s v=""/>
    <m/>
    <s v="Resolute Forest Products - Saint-Felicien"/>
    <s v="CAD"/>
    <n v="7071.07"/>
    <n v="5055.247340529909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057"/>
    <m/>
    <x v="0"/>
    <m/>
    <m/>
    <n v="0"/>
    <n v="10"/>
    <n v="2025"/>
    <s v="INV13655"/>
    <s v=""/>
    <s v=""/>
    <m/>
    <s v="Resolute Forest Products - Saint-Felicien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58"/>
    <m/>
    <x v="0"/>
    <m/>
    <m/>
    <s v="Amanda Qiao"/>
    <n v="10"/>
    <n v="2025"/>
    <s v="INV13546"/>
    <s v=""/>
    <s v=""/>
    <m/>
    <s v="Resolute Forest Products - Saint-Felicien"/>
    <s v="CAD"/>
    <n v="4557.97"/>
    <n v="3258.582607825281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62"/>
    <m/>
    <x v="0"/>
    <m/>
    <m/>
    <s v="Ian Trottier"/>
    <n v="10"/>
    <n v="2025"/>
    <s v="No Inv"/>
    <s v=""/>
    <s v=""/>
    <m/>
    <s v="Cypress Sales Partnership"/>
    <s v="CAD"/>
    <n v="3969.02"/>
    <n v="2832.463091942650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66"/>
    <m/>
    <x v="0"/>
    <m/>
    <m/>
    <s v="Alexis Gil Lamadrid"/>
    <n v="10"/>
    <n v="2025"/>
    <s v="No Inv"/>
    <s v=""/>
    <s v=""/>
    <m/>
    <s v="Beaudoin Protective Coating &amp; Fabrication"/>
    <s v="USD"/>
    <n v="5778.9993777532609"/>
    <n v="412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68"/>
    <m/>
    <x v="0"/>
    <m/>
    <m/>
    <s v="Aleksandar Stankovic"/>
    <n v="10"/>
    <n v="2025"/>
    <s v="INV13562"/>
    <s v=""/>
    <s v=""/>
    <m/>
    <s v="Canadian Industrial Pumps Ltd"/>
    <s v="CAD"/>
    <n v="2239"/>
    <n v="1600.705239157081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069"/>
    <m/>
    <x v="0"/>
    <m/>
    <m/>
    <s v="Wilka Nuñez"/>
    <n v="10"/>
    <n v="2025"/>
    <s v="INV13634"/>
    <s v=""/>
    <s v=""/>
    <m/>
    <s v="Wajax Limited - Lachine"/>
    <s v="CAD"/>
    <n v="106.16"/>
    <n v="75.5733358292839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072"/>
    <m/>
    <x v="0"/>
    <m/>
    <m/>
    <s v="Leriel Reyes"/>
    <n v="10"/>
    <n v="2025"/>
    <s v="No Inv"/>
    <s v=""/>
    <s v=""/>
    <m/>
    <s v="TC Industries of Canada Co., TC Industries of Canada Co."/>
    <s v="CAD"/>
    <n v="17747.48"/>
    <n v="12688.023321945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73"/>
    <m/>
    <x v="0"/>
    <m/>
    <m/>
    <s v="Wilka Nuñez"/>
    <n v="10"/>
    <n v="2025"/>
    <s v="INV13565"/>
    <s v=""/>
    <s v=""/>
    <m/>
    <s v="Wajax Limited - Noranda"/>
    <s v="CAD"/>
    <n v="147.72999999999999"/>
    <n v="105.615089316961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76"/>
    <m/>
    <x v="0"/>
    <m/>
    <m/>
    <s v="Ian Trottier"/>
    <n v="10"/>
    <n v="2025"/>
    <s v="INV13548"/>
    <n v="11"/>
    <n v="2025"/>
    <m/>
    <s v="Sealtrac Inc."/>
    <s v="CAD"/>
    <n v="240.42"/>
    <n v="171.15054069401322"/>
    <x v="0"/>
    <n v="0"/>
    <n v="171.15054069401322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2.5672581104101981"/>
    <s v="Yes"/>
  </r>
  <r>
    <n v="1"/>
    <s v="SO18078"/>
    <m/>
    <x v="0"/>
    <m/>
    <m/>
    <s v="Ian Trottier"/>
    <n v="10"/>
    <n v="2025"/>
    <s v="INV13560"/>
    <s v=""/>
    <s v=""/>
    <m/>
    <s v="Glencore Canada Corporation - Rouyn-Noranda"/>
    <s v="CAD"/>
    <n v="4932.2700000000004"/>
    <n v="3511.191570372101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79"/>
    <m/>
    <x v="5"/>
    <m/>
    <m/>
    <s v="Wilka Nuñez"/>
    <n v="10"/>
    <n v="2025"/>
    <s v="INV13557"/>
    <n v="11"/>
    <n v="2025"/>
    <n v="2504"/>
    <s v="Sling-Choker Manufacturing - Timmins"/>
    <s v="CAD"/>
    <n v="2758.48"/>
    <n v="1966.0362971661029"/>
    <x v="0"/>
    <n v="0"/>
    <n v="1966.0362971661029"/>
    <m/>
    <s v="Renewal"/>
    <m/>
    <m/>
    <s v=""/>
    <n v="5.0000000000000001E-3"/>
    <s v=""/>
    <s v=""/>
    <s v=""/>
    <n v="9.830181485830515"/>
    <s v=""/>
    <s v=""/>
    <m/>
    <m/>
    <m/>
    <m/>
    <m/>
    <m/>
    <s v=""/>
    <n v="9.830181485830515"/>
    <s v=""/>
    <s v=""/>
    <x v="3"/>
    <x v="5"/>
    <n v="29.490544457491541"/>
    <s v="Yes"/>
  </r>
  <r>
    <n v="0"/>
    <s v="SO18080"/>
    <m/>
    <x v="5"/>
    <m/>
    <m/>
    <s v="Wilka Nuñez"/>
    <n v="10"/>
    <n v="2025"/>
    <s v="No Inv"/>
    <s v=""/>
    <s v=""/>
    <m/>
    <s v="Barrick Gold - Pueblo Viejo Dominicana Corporation"/>
    <s v="USD"/>
    <n v="1400.4815870689238"/>
    <n v="998.44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1"/>
    <s v="SO18081"/>
    <m/>
    <x v="0"/>
    <m/>
    <m/>
    <s v="Ian Trottier"/>
    <n v="10"/>
    <n v="2025"/>
    <s v="INV13568"/>
    <s v=""/>
    <s v=""/>
    <m/>
    <s v="Sealtrac Inc."/>
    <s v="CAD"/>
    <n v="1421.52"/>
    <n v="1015.932367492143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84"/>
    <m/>
    <x v="0"/>
    <m/>
    <m/>
    <s v="Wilka Nuñez"/>
    <n v="10"/>
    <n v="2025"/>
    <s v="INV13621"/>
    <s v=""/>
    <s v=""/>
    <m/>
    <s v="DRN Industriel"/>
    <s v="CAD"/>
    <n v="632.4"/>
    <n v="449.2862544163130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89"/>
    <m/>
    <x v="0"/>
    <m/>
    <m/>
    <s v="Aleksandar Stankovic"/>
    <n v="10"/>
    <n v="2025"/>
    <s v="INV13554"/>
    <s v=""/>
    <s v=""/>
    <m/>
    <s v="Covia Corp - Junction City"/>
    <s v="USD"/>
    <n v="15468.604002585573"/>
    <n v="11039.06"/>
    <x v="1"/>
    <n v="397.2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095"/>
    <m/>
    <x v="0"/>
    <m/>
    <m/>
    <s v="Alexis Gil Lamadrid"/>
    <n v="10"/>
    <n v="2025"/>
    <s v="INV13571"/>
    <s v=""/>
    <s v=""/>
    <m/>
    <s v="Canadian Bearings Ltd."/>
    <s v="CAD"/>
    <n v="390.33"/>
    <n v="280.904374161281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096"/>
    <m/>
    <x v="0"/>
    <m/>
    <m/>
    <s v="Ian Trottier"/>
    <n v="10"/>
    <n v="2025"/>
    <s v="INV13559"/>
    <s v=""/>
    <s v=""/>
    <m/>
    <s v="Resolute Forest Products - Saint-Felicien"/>
    <s v="CAD"/>
    <n v="4223.4399999999996"/>
    <n v="3019.420515973910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04"/>
    <m/>
    <x v="0"/>
    <m/>
    <m/>
    <s v="Ian Trottier"/>
    <n v="10"/>
    <n v="2025"/>
    <s v="No Inv"/>
    <s v=""/>
    <s v=""/>
    <m/>
    <s v="Resolute Forest Products - Gatineau"/>
    <s v="CAD"/>
    <n v="994.1"/>
    <n v="710.7016874703239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06"/>
    <m/>
    <x v="0"/>
    <m/>
    <m/>
    <s v="Wilka Nuñez"/>
    <n v="10"/>
    <n v="2025"/>
    <s v="INV13564"/>
    <s v=""/>
    <s v=""/>
    <m/>
    <s v="ProPart Pompes du Canada 9425-4380 Quebec Inc"/>
    <s v="CAD"/>
    <n v="565"/>
    <n v="403.7943804048206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07"/>
    <m/>
    <x v="6"/>
    <m/>
    <m/>
    <s v="Aleksandar Stankovic"/>
    <n v="10"/>
    <n v="2025"/>
    <s v="INV13602"/>
    <n v="11"/>
    <n v="2025"/>
    <m/>
    <s v="FMI Products"/>
    <s v="CAD"/>
    <n v="565.09"/>
    <n v="403.29394579108504"/>
    <x v="0"/>
    <n v="0"/>
    <n v="403.29394579108504"/>
    <m/>
    <m/>
    <m/>
    <m/>
    <s v=""/>
    <s v=""/>
    <s v=""/>
    <s v=""/>
    <s v=""/>
    <s v=""/>
    <s v=""/>
    <s v=""/>
    <m/>
    <m/>
    <m/>
    <m/>
    <m/>
    <m/>
    <s v=""/>
    <s v=""/>
    <s v=""/>
    <s v=""/>
    <x v="3"/>
    <x v="5"/>
    <n v="6.0494091868662752"/>
    <s v="Yes"/>
  </r>
  <r>
    <n v="1"/>
    <s v="SO18108"/>
    <m/>
    <x v="0"/>
    <m/>
    <m/>
    <s v="Alexis Gil Lamadrid"/>
    <n v="10"/>
    <n v="2025"/>
    <s v="INV13566"/>
    <s v=""/>
    <s v=""/>
    <m/>
    <s v="Wajax Limited - Noranda"/>
    <s v="CAD"/>
    <n v="2627.35"/>
    <n v="1877.715336914346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09"/>
    <m/>
    <x v="0"/>
    <m/>
    <m/>
    <s v="Wilka Nuñez"/>
    <n v="10"/>
    <n v="2025"/>
    <s v="INV13624"/>
    <s v=""/>
    <s v=""/>
    <m/>
    <s v="Flowstar Industrial Inc"/>
    <s v="CAD"/>
    <n v="1414.55"/>
    <n v="1011.289681129812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10"/>
    <m/>
    <x v="0"/>
    <m/>
    <m/>
    <s v="Carlos Leon"/>
    <n v="10"/>
    <n v="2025"/>
    <s v="No Inv"/>
    <s v=""/>
    <s v=""/>
    <m/>
    <s v="Dynapro Pumps México S de RL de CV"/>
    <s v="USD"/>
    <n v="69961.350060588258"/>
    <n v="500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2"/>
    <s v="SO18112"/>
    <m/>
    <x v="0"/>
    <m/>
    <m/>
    <s v="Ian Trottier"/>
    <n v="10"/>
    <n v="2025"/>
    <s v="INV13632"/>
    <s v=""/>
    <s v=""/>
    <m/>
    <s v="Resolute Forest Products - Saint-Felicien"/>
    <s v="CAD"/>
    <n v="3540.97"/>
    <n v="2531.509258909357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112"/>
    <m/>
    <x v="0"/>
    <m/>
    <m/>
    <n v="0"/>
    <n v="10"/>
    <n v="2025"/>
    <s v="INV13569"/>
    <s v=""/>
    <s v=""/>
    <m/>
    <s v="Resolute Forest Products - Saint-Felicien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115"/>
    <m/>
    <x v="6"/>
    <m/>
    <m/>
    <s v="Aleksandar Stankovic"/>
    <n v="10"/>
    <n v="2025"/>
    <s v="INV13666"/>
    <s v=""/>
    <s v=""/>
    <m/>
    <s v="Pierce Pump Company"/>
    <s v="USD"/>
    <n v="4624.6006647798495"/>
    <n v="331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5"/>
    <n v="0"/>
    <s v=""/>
  </r>
  <r>
    <n v="2"/>
    <s v="SO18115"/>
    <m/>
    <x v="6"/>
    <m/>
    <m/>
    <n v="0"/>
    <n v="10"/>
    <n v="2025"/>
    <s v="INV13615"/>
    <s v=""/>
    <s v=""/>
    <m/>
    <s v="Pierce Pump Company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5"/>
    <n v="0"/>
    <s v=""/>
  </r>
  <r>
    <n v="1"/>
    <s v="SO18116"/>
    <m/>
    <x v="0"/>
    <m/>
    <m/>
    <s v="Amanda Qiao"/>
    <n v="10"/>
    <n v="2025"/>
    <s v="INV13605"/>
    <s v=""/>
    <s v=""/>
    <m/>
    <s v="DXP Enterprises, Inc. - Grand Prairie"/>
    <s v="USD"/>
    <n v="4205.3202633395013"/>
    <n v="3017.18"/>
    <x v="1"/>
    <n v="713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20"/>
    <m/>
    <x v="0"/>
    <m/>
    <m/>
    <s v="Ian Trottier"/>
    <n v="10"/>
    <n v="2025"/>
    <s v="No Inv"/>
    <s v=""/>
    <s v=""/>
    <m/>
    <s v="Les Pompes du St-Laurent Inc."/>
    <s v="CAD"/>
    <n v="13927.52"/>
    <n v="9957.058612088005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22"/>
    <m/>
    <x v="0"/>
    <m/>
    <m/>
    <s v="Aleksandar Stankovic"/>
    <n v="10"/>
    <n v="2025"/>
    <s v="INV13608"/>
    <s v=""/>
    <s v=""/>
    <m/>
    <s v="Sealtrac Inc."/>
    <s v="CAD"/>
    <n v="2934"/>
    <n v="2105.049215198222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123"/>
    <m/>
    <x v="0"/>
    <m/>
    <m/>
    <s v="Ian Trottier"/>
    <n v="10"/>
    <n v="2025"/>
    <s v="No Inv"/>
    <s v=""/>
    <s v=""/>
    <m/>
    <s v="Les Pompes du St-Laurent Inc."/>
    <s v="CAD"/>
    <n v="1997.56"/>
    <n v="1425.620439849297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24"/>
    <m/>
    <x v="0"/>
    <m/>
    <m/>
    <s v="Ian Trottier"/>
    <n v="10"/>
    <n v="2025"/>
    <s v="INV13592"/>
    <s v=""/>
    <s v=""/>
    <m/>
    <s v="PT Vale Indonesia Tbk."/>
    <s v="USD"/>
    <n v="1902.6829026759308"/>
    <n v="1359.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25"/>
    <m/>
    <x v="0"/>
    <m/>
    <m/>
    <s v="Ian Trottier"/>
    <n v="10"/>
    <n v="2025"/>
    <s v="INV13593"/>
    <s v=""/>
    <s v=""/>
    <m/>
    <s v="PT Vale Indonesia Tbk."/>
    <s v="USD"/>
    <n v="517.64620032784035"/>
    <n v="369.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26"/>
    <m/>
    <x v="0"/>
    <m/>
    <m/>
    <s v="Ian Trottier"/>
    <n v="10"/>
    <n v="2025"/>
    <s v="INV13704"/>
    <s v=""/>
    <s v=""/>
    <m/>
    <s v="Sling-Choker Manufacturing - Timmins"/>
    <s v="CAD"/>
    <n v="1722.75"/>
    <n v="1236.016883259283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27"/>
    <m/>
    <x v="0"/>
    <m/>
    <m/>
    <s v="Carlos Leon"/>
    <n v="10"/>
    <n v="2025"/>
    <s v="No Inv"/>
    <s v=""/>
    <s v=""/>
    <m/>
    <s v="Dynapro Pumps México S de RL de CV"/>
    <s v="USD"/>
    <n v="5626.5891339982645"/>
    <n v="402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8128"/>
    <m/>
    <x v="0"/>
    <m/>
    <m/>
    <s v="Carlos Leon"/>
    <n v="10"/>
    <n v="2025"/>
    <s v="No Inv"/>
    <s v=""/>
    <s v=""/>
    <m/>
    <s v="Dynapro Pumps México S de RL de CV"/>
    <s v="USD"/>
    <n v="1791.5507690342733"/>
    <n v="128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8131"/>
    <m/>
    <x v="5"/>
    <m/>
    <m/>
    <s v="Wilka Nuñez"/>
    <n v="10"/>
    <n v="2025"/>
    <s v="INV13646"/>
    <s v=""/>
    <s v=""/>
    <m/>
    <s v="Barrick Gold - Pueblo Viejo Dominicana Corporation"/>
    <s v="USD"/>
    <n v="18750.372304767778"/>
    <n v="13314.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6"/>
    <n v="0"/>
    <s v=""/>
  </r>
  <r>
    <n v="1"/>
    <s v="SO18133"/>
    <m/>
    <x v="0"/>
    <m/>
    <m/>
    <s v="Ian Trottier"/>
    <n v="10"/>
    <n v="2025"/>
    <s v="INV13590"/>
    <s v=""/>
    <s v=""/>
    <m/>
    <s v="PT Vale Indonesia Tbk."/>
    <s v="USD"/>
    <n v="1788.9733849502352"/>
    <n v="1283.5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34"/>
    <m/>
    <x v="0"/>
    <m/>
    <m/>
    <s v="Ian Trottier"/>
    <n v="10"/>
    <n v="2025"/>
    <s v="INV13591"/>
    <s v=""/>
    <s v=""/>
    <m/>
    <s v="PT Vale Indonesia Tbk."/>
    <s v="USD"/>
    <n v="4122.6962948620603"/>
    <n v="2957.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35"/>
    <m/>
    <x v="0"/>
    <m/>
    <m/>
    <s v="Ian Trottier"/>
    <n v="10"/>
    <n v="2025"/>
    <s v="INV13589"/>
    <s v=""/>
    <s v=""/>
    <m/>
    <s v="PT Vale Indonesia Tbk."/>
    <s v="USD"/>
    <n v="2061.3481474310302"/>
    <n v="1478.9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36"/>
    <m/>
    <x v="0"/>
    <m/>
    <m/>
    <s v="Alexis Gil Lamadrid"/>
    <n v="10"/>
    <n v="2025"/>
    <s v="No Inv"/>
    <s v=""/>
    <s v=""/>
    <m/>
    <s v="Canadian Industrial Pumps Ltd"/>
    <s v="CAD"/>
    <n v="1449.56"/>
    <n v="1043.188442111102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37"/>
    <m/>
    <x v="5"/>
    <m/>
    <m/>
    <s v="Wilka Nuñez"/>
    <n v="10"/>
    <n v="2025"/>
    <s v="INV13642"/>
    <s v=""/>
    <s v=""/>
    <m/>
    <s v="Barrick Gold - Pueblo Viejo Dominicana Corporation"/>
    <s v="USD"/>
    <n v="24780.068267946899"/>
    <n v="17778.89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1"/>
    <s v="SO18138"/>
    <m/>
    <x v="0"/>
    <m/>
    <m/>
    <s v="Aleksandar Stankovic"/>
    <n v="10"/>
    <n v="2025"/>
    <s v="INV13618"/>
    <s v=""/>
    <s v=""/>
    <m/>
    <s v="Canadian Bearings Ltd."/>
    <s v="CAD"/>
    <n v="968"/>
    <n v="692.0422829406231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140"/>
    <m/>
    <x v="0"/>
    <m/>
    <m/>
    <s v="Ian Trottier"/>
    <n v="10"/>
    <n v="2025"/>
    <s v="INV13617"/>
    <s v=""/>
    <s v=""/>
    <m/>
    <s v="Canadian Bearings Ltd."/>
    <s v="CAD"/>
    <n v="540.70000000000005"/>
    <n v="385.8872683806820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42"/>
    <m/>
    <x v="0"/>
    <m/>
    <m/>
    <s v="Alexis Gil Lamadrid"/>
    <n v="10"/>
    <n v="2025"/>
    <s v="INV13601"/>
    <n v="12"/>
    <n v="2025"/>
    <m/>
    <s v="Motion Industries Inc. (Canada) - Prince George"/>
    <s v="CAD"/>
    <n v="5100.38"/>
    <n v="3647.7409562281537"/>
    <x v="0"/>
    <n v="0"/>
    <n v="3647.7409562281537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5"/>
    <n v="54.716114343422305"/>
    <s v="Yes"/>
  </r>
  <r>
    <n v="1"/>
    <s v="SO18143"/>
    <m/>
    <x v="0"/>
    <m/>
    <m/>
    <s v="Alexis Gil Lamadrid"/>
    <n v="10"/>
    <n v="2025"/>
    <s v="INV13600"/>
    <s v=""/>
    <s v=""/>
    <m/>
    <s v="Resolute Forest Products - Saint-Felicien"/>
    <s v="CAD"/>
    <n v="475.48"/>
    <n v="339.3409993890267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45"/>
    <m/>
    <x v="0"/>
    <m/>
    <m/>
    <s v="Aleksandar Stankovic"/>
    <n v="10"/>
    <n v="2025"/>
    <s v="INV13607"/>
    <s v=""/>
    <s v=""/>
    <m/>
    <s v="Sealtrac Inc."/>
    <s v="CAD"/>
    <n v="795.76"/>
    <n v="569.1196231120260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150"/>
    <m/>
    <x v="5"/>
    <m/>
    <m/>
    <s v="Wilka Nuñez"/>
    <n v="10"/>
    <n v="2025"/>
    <s v="No Inv"/>
    <s v=""/>
    <s v=""/>
    <m/>
    <s v="AGREGATEC, SRL"/>
    <s v="USD"/>
    <n v="11948.755029194663"/>
    <n v="846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5"/>
    <n v="0"/>
    <s v=""/>
  </r>
  <r>
    <n v="1"/>
    <s v="SO18151"/>
    <m/>
    <x v="0"/>
    <m/>
    <m/>
    <s v="Ian Trottier"/>
    <n v="10"/>
    <n v="2025"/>
    <s v="INV13614"/>
    <s v=""/>
    <s v=""/>
    <m/>
    <s v="Sealtrac Inc."/>
    <s v="CAD"/>
    <n v="795.76"/>
    <n v="567.9187214474045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2"/>
    <m/>
    <x v="0"/>
    <m/>
    <m/>
    <s v="Ian Trottier"/>
    <n v="10"/>
    <n v="2025"/>
    <s v="INV13599"/>
    <s v=""/>
    <s v=""/>
    <m/>
    <s v="Resolute Forest Products - Kenogami"/>
    <s v="CAD"/>
    <n v="939.78"/>
    <n v="670.703046197147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3"/>
    <m/>
    <x v="0"/>
    <m/>
    <m/>
    <s v="Wilka Nuñez"/>
    <n v="11"/>
    <n v="2025"/>
    <s v="INV13675"/>
    <s v=""/>
    <s v=""/>
    <m/>
    <s v="Tencarva Machinery Company"/>
    <s v="USD"/>
    <n v="509.94569905752263"/>
    <n v="36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4"/>
    <m/>
    <x v="0"/>
    <m/>
    <m/>
    <s v="Wilka Nuñez"/>
    <n v="11"/>
    <n v="2025"/>
    <s v="INV13716"/>
    <s v=""/>
    <s v=""/>
    <m/>
    <s v="Eleazar General &amp; Industrial Supplies Limited"/>
    <s v="USD"/>
    <n v="6240.4208195344245"/>
    <n v="4441.0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5"/>
    <m/>
    <x v="0"/>
    <m/>
    <m/>
    <s v="Wilka Nuñez"/>
    <n v="11"/>
    <n v="2025"/>
    <s v="INV13691"/>
    <s v=""/>
    <s v=""/>
    <m/>
    <s v="PT Vale Indonesia Tbk."/>
    <s v="USD"/>
    <n v="204.04727015398205"/>
    <n v="145.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6"/>
    <m/>
    <x v="0"/>
    <m/>
    <m/>
    <s v="Wilka Nuñez"/>
    <n v="11"/>
    <n v="2025"/>
    <s v="INV13692"/>
    <s v=""/>
    <s v=""/>
    <m/>
    <s v="PT Vale Indonesia Tbk."/>
    <s v="USD"/>
    <n v="2121.6256328942245"/>
    <n v="1511.6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58"/>
    <m/>
    <x v="0"/>
    <m/>
    <m/>
    <s v="Wilka Nuñez"/>
    <n v="11"/>
    <n v="2025"/>
    <s v="INV13705"/>
    <s v=""/>
    <s v=""/>
    <m/>
    <s v="Sling-Choker Manufacturing - Timmins"/>
    <s v="CAD"/>
    <n v="156.61000000000001"/>
    <n v="111.563567351819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59"/>
    <m/>
    <x v="0"/>
    <m/>
    <m/>
    <s v="Ian Trottier"/>
    <n v="11"/>
    <n v="2025"/>
    <s v="No Inv"/>
    <s v=""/>
    <s v=""/>
    <m/>
    <s v="Wesdome Gold Mines Ltd - Eagle River Mine"/>
    <s v="CAD"/>
    <n v="6680.57"/>
    <n v="4735.0610239466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60"/>
    <m/>
    <x v="0"/>
    <m/>
    <m/>
    <s v="Alexis Gil Lamadrid"/>
    <n v="11"/>
    <n v="2025"/>
    <s v="INV13623"/>
    <s v=""/>
    <s v=""/>
    <m/>
    <s v="Flowstar Industrial Inc"/>
    <s v="CAD"/>
    <n v="581.66"/>
    <n v="412.269551129442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61"/>
    <m/>
    <x v="0"/>
    <m/>
    <m/>
    <s v="Ian Trottier"/>
    <n v="11"/>
    <n v="2025"/>
    <s v="No Inv"/>
    <s v=""/>
    <s v=""/>
    <m/>
    <s v="Wesdome Gold Mines Ltd - Eagle River Mine"/>
    <s v="CAD"/>
    <n v="17471.91"/>
    <n v="12383.75768159064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63"/>
    <m/>
    <x v="0"/>
    <m/>
    <m/>
    <s v="Ian Trottier"/>
    <n v="11"/>
    <n v="2025"/>
    <s v="INV13604"/>
    <s v=""/>
    <s v=""/>
    <m/>
    <s v="Resolute Forest Products - Saint-Felicien"/>
    <s v="CAD"/>
    <n v="7379.65"/>
    <n v="5257.00836350075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64"/>
    <m/>
    <x v="0"/>
    <m/>
    <m/>
    <s v="Yannett Yeomans"/>
    <n v="11"/>
    <n v="2025"/>
    <s v="INV13630"/>
    <s v=""/>
    <s v=""/>
    <m/>
    <s v="Dynapro Pumps México S de RL de CV"/>
    <s v="USD"/>
    <n v="9447.2566749652851"/>
    <n v="673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8165"/>
    <m/>
    <x v="0"/>
    <m/>
    <m/>
    <s v="Aleksandar Stankovic"/>
    <n v="11"/>
    <n v="2025"/>
    <s v="INV13609"/>
    <s v=""/>
    <s v=""/>
    <m/>
    <s v="Sealtrac Inc."/>
    <s v="CAD"/>
    <n v="429.76"/>
    <n v="305.1771743724247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167"/>
    <m/>
    <x v="0"/>
    <m/>
    <m/>
    <s v="Wilka Nuñez"/>
    <n v="11"/>
    <n v="2025"/>
    <s v="INV13629"/>
    <s v=""/>
    <s v=""/>
    <m/>
    <s v="Wajax Limited - Noranda"/>
    <s v="CAD"/>
    <n v="2627.35"/>
    <n v="1866.591145700031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70"/>
    <m/>
    <x v="0"/>
    <m/>
    <m/>
    <s v="Wilka Nuñez"/>
    <n v="11"/>
    <n v="2025"/>
    <s v="INV13706"/>
    <s v=""/>
    <s v=""/>
    <m/>
    <s v="Sling-Choker Manufacturing - Timmins"/>
    <s v="CAD"/>
    <n v="2246.04"/>
    <n v="1594.937036316643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72"/>
    <m/>
    <x v="0"/>
    <m/>
    <m/>
    <s v="Alexis Gil Lamadrid"/>
    <n v="11"/>
    <n v="2025"/>
    <s v="INV13610"/>
    <s v=""/>
    <s v=""/>
    <m/>
    <s v="Wajax Limited - Lachine"/>
    <s v="CAD"/>
    <n v="947.91"/>
    <n v="673.1210335055964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73"/>
    <m/>
    <x v="0"/>
    <m/>
    <m/>
    <s v="Ian Trottier"/>
    <n v="11"/>
    <n v="2025"/>
    <s v="No Inv"/>
    <s v=""/>
    <s v=""/>
    <m/>
    <s v="Sealtrac Inc."/>
    <s v="CAD"/>
    <n v="12256.92"/>
    <n v="8749.007763465289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75"/>
    <m/>
    <x v="0"/>
    <m/>
    <m/>
    <s v="Wilka Nuñez"/>
    <n v="11"/>
    <n v="2025"/>
    <s v="No Inv"/>
    <s v=""/>
    <s v=""/>
    <m/>
    <s v="Flowstar Industrial Inc"/>
    <s v="CAD"/>
    <n v="778"/>
    <n v="552.7272389878108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76"/>
    <m/>
    <x v="1"/>
    <m/>
    <m/>
    <s v="Marlen Martinez"/>
    <n v="11"/>
    <n v="2025"/>
    <s v="INV13677"/>
    <s v=""/>
    <s v=""/>
    <m/>
    <s v="Covia Corp - Junction City"/>
    <s v="USD"/>
    <n v="5166.3490518882791"/>
    <n v="3661.81"/>
    <x v="1"/>
    <n v="6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0"/>
    <s v="SO18179"/>
    <m/>
    <x v="0"/>
    <m/>
    <m/>
    <s v="Ian Trottier"/>
    <n v="11"/>
    <n v="2025"/>
    <s v="No Inv"/>
    <s v=""/>
    <s v=""/>
    <m/>
    <s v="Resolute Forest Products - Clermont"/>
    <s v="CAD"/>
    <n v="1135.32"/>
    <n v="812.3444985988810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2"/>
    <s v="SO18180"/>
    <m/>
    <x v="0"/>
    <m/>
    <m/>
    <s v="Alexis Gil Lamadrid"/>
    <n v="11"/>
    <n v="2025"/>
    <s v="INV13694"/>
    <n v="11"/>
    <n v="2025"/>
    <m/>
    <s v="Diamond Equipment Group Inc"/>
    <s v="CAD"/>
    <n v="32414.15"/>
    <n v="23158.831252169068"/>
    <x v="0"/>
    <n v="0"/>
    <n v="23158.831252169068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2"/>
    <n v="347.38246878253602"/>
    <s v="Yes"/>
  </r>
  <r>
    <n v="2"/>
    <s v="SO18180"/>
    <m/>
    <x v="0"/>
    <m/>
    <m/>
    <n v="0"/>
    <n v="11"/>
    <n v="2025"/>
    <s v="INV13662"/>
    <s v=""/>
    <s v=""/>
    <m/>
    <s v="Diamond Equipment Group Inc"/>
    <s v="CA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81"/>
    <m/>
    <x v="5"/>
    <m/>
    <m/>
    <s v="Wilka Nuñez"/>
    <n v="11"/>
    <n v="2025"/>
    <s v="INV13645"/>
    <s v=""/>
    <s v=""/>
    <m/>
    <s v="Barrick Gold - Pueblo Viejo Dominicana Corporation"/>
    <s v="USD"/>
    <n v="32327.13685484487"/>
    <n v="23086.81"/>
    <x v="1"/>
    <n v="0"/>
    <n v="0"/>
    <m/>
    <s v="Contract"/>
    <m/>
    <m/>
    <s v=""/>
    <n v="0"/>
    <s v=""/>
    <s v=""/>
    <s v=""/>
    <n v="0"/>
    <s v=""/>
    <s v=""/>
    <m/>
    <m/>
    <m/>
    <m/>
    <m/>
    <m/>
    <s v=""/>
    <n v="0"/>
    <s v=""/>
    <s v=""/>
    <x v="2"/>
    <x v="6"/>
    <n v="0"/>
    <s v=""/>
  </r>
  <r>
    <n v="1"/>
    <s v="SO18184"/>
    <m/>
    <x v="0"/>
    <m/>
    <m/>
    <s v="Ian Trottier"/>
    <n v="11"/>
    <n v="2025"/>
    <s v="INV13627"/>
    <s v=""/>
    <s v=""/>
    <m/>
    <s v="Les Pompes du St-Laurent Inc."/>
    <s v="CAD"/>
    <n v="3385.4"/>
    <n v="2411.642301978476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86"/>
    <m/>
    <x v="0"/>
    <m/>
    <m/>
    <s v="Aleksandar Stankovic"/>
    <n v="11"/>
    <n v="2025"/>
    <s v="INV13639"/>
    <s v=""/>
    <s v=""/>
    <m/>
    <s v="FMI Products"/>
    <s v="CAD"/>
    <n v="987.3"/>
    <n v="704.7362114519210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187"/>
    <m/>
    <x v="0"/>
    <m/>
    <m/>
    <s v="Ian Trottier"/>
    <n v="11"/>
    <n v="2025"/>
    <s v="INV13619"/>
    <s v=""/>
    <s v=""/>
    <m/>
    <s v="Sealtrac Inc."/>
    <s v="CAD"/>
    <n v="292.98"/>
    <n v="208.7088561569250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88"/>
    <m/>
    <x v="0"/>
    <m/>
    <m/>
    <s v="Wilka Nuñez"/>
    <n v="11"/>
    <n v="2025"/>
    <s v="INV13689"/>
    <s v=""/>
    <s v=""/>
    <m/>
    <s v="MAB Equipment Company Inc."/>
    <s v="USD"/>
    <n v="6027.2988525991568"/>
    <n v="4296.12"/>
    <x v="1"/>
    <n v="704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89"/>
    <m/>
    <x v="0"/>
    <m/>
    <m/>
    <s v="Amanda Qiao"/>
    <n v="11"/>
    <n v="2025"/>
    <s v="INV13637"/>
    <s v=""/>
    <s v=""/>
    <m/>
    <s v="Mill-Right Mine Services Inc."/>
    <s v="CAD"/>
    <n v="1642.24"/>
    <n v="1170.45912380698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91"/>
    <m/>
    <x v="0"/>
    <m/>
    <m/>
    <s v="Amanda Qiao"/>
    <n v="11"/>
    <n v="2025"/>
    <s v="No Inv"/>
    <s v=""/>
    <s v=""/>
    <m/>
    <s v="Zijin Mining - Rosebel Goldmines N.V."/>
    <s v="USD"/>
    <n v="150.38744770851224"/>
    <n v="107.0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192"/>
    <m/>
    <x v="0"/>
    <m/>
    <m/>
    <s v="Ian Trottier"/>
    <n v="11"/>
    <n v="2025"/>
    <s v="No Inv"/>
    <s v=""/>
    <s v=""/>
    <m/>
    <s v="Resolute Forest Products - Saint-Felicien"/>
    <s v="CAD"/>
    <n v="11413.29"/>
    <n v="8154.41580735785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199"/>
    <m/>
    <x v="0"/>
    <m/>
    <m/>
    <s v="Ian Trottier"/>
    <n v="11"/>
    <n v="2025"/>
    <s v="INV13620"/>
    <s v=""/>
    <s v=""/>
    <m/>
    <s v="Sealtrac Inc."/>
    <s v="CAD"/>
    <n v="209.18"/>
    <n v="149.0870028241581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00"/>
    <m/>
    <x v="1"/>
    <m/>
    <m/>
    <s v="Marlen Martinez"/>
    <n v="11"/>
    <n v="2025"/>
    <s v="INV13676"/>
    <s v=""/>
    <s v=""/>
    <m/>
    <s v="Covia Corp - Junction City"/>
    <s v="USD"/>
    <n v="547.70355675537553"/>
    <n v="389.98"/>
    <x v="1"/>
    <n v="25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2"/>
    <s v="SO18204"/>
    <m/>
    <x v="4"/>
    <m/>
    <m/>
    <s v="Alexis Gil Lamadrid"/>
    <n v="11"/>
    <n v="2025"/>
    <s v="INV13695"/>
    <n v="11"/>
    <n v="2025"/>
    <n v="2504"/>
    <s v="Diamond Equipment Group Inc"/>
    <s v="CAD"/>
    <n v="6146.54"/>
    <n v="4391.4982390316336"/>
    <x v="0"/>
    <n v="0"/>
    <n v="4391.4982390316336"/>
    <m/>
    <s v="New Opportunity"/>
    <m/>
    <m/>
    <s v=""/>
    <n v="0.02"/>
    <s v=""/>
    <s v=""/>
    <s v=""/>
    <n v="87.829964780632679"/>
    <s v=""/>
    <s v=""/>
    <m/>
    <m/>
    <m/>
    <m/>
    <m/>
    <m/>
    <s v=""/>
    <n v="87.829964780632679"/>
    <s v=""/>
    <s v=""/>
    <x v="3"/>
    <x v="5"/>
    <n v="65.872473585474495"/>
    <s v="Yes"/>
  </r>
  <r>
    <n v="2"/>
    <s v="SO18204"/>
    <m/>
    <x v="4"/>
    <m/>
    <m/>
    <n v="0"/>
    <n v="11"/>
    <n v="2025"/>
    <s v="INV13663"/>
    <s v=""/>
    <s v=""/>
    <n v="2504"/>
    <s v="Diamond Equipment Group Inc"/>
    <s v="CAD"/>
    <n v="0"/>
    <n v="0"/>
    <x v="1"/>
    <n v="0"/>
    <n v="0"/>
    <m/>
    <s v="New Opportunity"/>
    <m/>
    <m/>
    <s v=""/>
    <n v="0.02"/>
    <s v=""/>
    <s v=""/>
    <s v=""/>
    <n v="0"/>
    <s v=""/>
    <s v=""/>
    <m/>
    <m/>
    <m/>
    <m/>
    <m/>
    <m/>
    <s v=""/>
    <n v="0"/>
    <s v=""/>
    <s v=""/>
    <x v="3"/>
    <x v="5"/>
    <n v="0"/>
    <s v=""/>
  </r>
  <r>
    <n v="1"/>
    <s v="SO18206"/>
    <m/>
    <x v="0"/>
    <m/>
    <m/>
    <s v="Ian Trottier"/>
    <n v="11"/>
    <n v="2025"/>
    <s v="INV13658"/>
    <s v=""/>
    <s v=""/>
    <m/>
    <s v="Wajax Limited - Lachine"/>
    <s v="CAD"/>
    <n v="2952.22"/>
    <n v="2104.109529962406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09"/>
    <m/>
    <x v="0"/>
    <m/>
    <m/>
    <s v="Ian Trottier"/>
    <n v="11"/>
    <n v="2025"/>
    <s v="INV13648"/>
    <s v=""/>
    <s v=""/>
    <m/>
    <s v="Gibraltar Mine (Canada)"/>
    <s v="CAD"/>
    <n v="2147.04"/>
    <n v="1532.560351904925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10"/>
    <m/>
    <x v="0"/>
    <m/>
    <m/>
    <s v="Ian Trottier"/>
    <n v="11"/>
    <n v="2025"/>
    <s v="INV13652"/>
    <s v=""/>
    <s v=""/>
    <m/>
    <s v="Sealtrac Inc."/>
    <s v="CAD"/>
    <n v="365.39"/>
    <n v="260.8159265698545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11"/>
    <m/>
    <x v="0"/>
    <m/>
    <m/>
    <s v="Ian Trottier"/>
    <n v="11"/>
    <n v="2025"/>
    <s v="INV13638"/>
    <s v=""/>
    <s v=""/>
    <m/>
    <s v="Resolute Forest Products - Saint-Felicien"/>
    <s v="CAD"/>
    <n v="347.78"/>
    <n v="248.245882324267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12"/>
    <m/>
    <x v="0"/>
    <m/>
    <m/>
    <s v="Amanda Qiao"/>
    <n v="11"/>
    <n v="2025"/>
    <s v="INV13640"/>
    <s v=""/>
    <s v=""/>
    <m/>
    <s v="Dynapro Pumps"/>
    <s v="USD"/>
    <n v="5205.7107923443982"/>
    <n v="3710.2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8213"/>
    <m/>
    <x v="0"/>
    <m/>
    <m/>
    <s v="Amanda Qiao"/>
    <n v="11"/>
    <n v="2025"/>
    <s v="No Inv"/>
    <s v=""/>
    <s v=""/>
    <m/>
    <s v="Dynapro Pumps"/>
    <s v="USD"/>
    <n v="4373.8286050937786"/>
    <n v="3117.3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8214"/>
    <m/>
    <x v="0"/>
    <m/>
    <m/>
    <s v="Ian Trottier"/>
    <n v="11"/>
    <n v="2025"/>
    <s v="INV13708"/>
    <s v=""/>
    <s v=""/>
    <m/>
    <s v="Gibraltar Mine (Canada)"/>
    <s v="CAD"/>
    <n v="927.1"/>
    <n v="656.6904681015558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1"/>
    <m/>
    <x v="0"/>
    <m/>
    <m/>
    <s v="Ian Trottier"/>
    <n v="11"/>
    <n v="2025"/>
    <s v="INV13656"/>
    <s v=""/>
    <s v=""/>
    <m/>
    <s v="Resolute Forest Products - Clermont"/>
    <s v="CAD"/>
    <n v="348.15"/>
    <n v="248.2488015657279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2"/>
    <m/>
    <x v="0"/>
    <m/>
    <m/>
    <s v="Amanda Qiao"/>
    <n v="11"/>
    <n v="2025"/>
    <s v="INV13653"/>
    <s v=""/>
    <s v=""/>
    <m/>
    <s v="Glencore Canada Corporation - Rouyn-Noranda"/>
    <s v="CAD"/>
    <n v="730.68"/>
    <n v="521.8238288947582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3"/>
    <m/>
    <x v="0"/>
    <m/>
    <m/>
    <s v="Ian Trottier"/>
    <n v="11"/>
    <n v="2025"/>
    <s v="INV13650"/>
    <s v=""/>
    <s v=""/>
    <m/>
    <s v="Glencore Canada Corporation - Rouyn-Noranda"/>
    <s v="CAD"/>
    <n v="2867.55"/>
    <n v="2047.895002664865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4"/>
    <m/>
    <x v="0"/>
    <m/>
    <m/>
    <s v="Amanda Qiao"/>
    <n v="11"/>
    <n v="2025"/>
    <s v="INV13649"/>
    <s v=""/>
    <s v=""/>
    <m/>
    <s v="Glencore Canada Corporation - Rouyn-Noranda"/>
    <s v="CAD"/>
    <n v="109.66"/>
    <n v="78.31499572535061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5"/>
    <m/>
    <x v="0"/>
    <m/>
    <m/>
    <s v="Ian Trottier"/>
    <n v="11"/>
    <n v="2025"/>
    <s v="INV13651"/>
    <s v=""/>
    <s v=""/>
    <m/>
    <s v="Glencore Canada Corporation - Rouyn-Noranda"/>
    <s v="CAD"/>
    <n v="721.12"/>
    <n v="514.996440976334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26"/>
    <m/>
    <x v="0"/>
    <m/>
    <m/>
    <s v="Aleksandar Stankovic"/>
    <n v="11"/>
    <n v="2025"/>
    <s v="No Inv"/>
    <s v=""/>
    <s v=""/>
    <m/>
    <s v="FMI Products"/>
    <s v="CAD"/>
    <n v="1043"/>
    <n v="742.9972591018936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227"/>
    <m/>
    <x v="0"/>
    <m/>
    <m/>
    <s v="Wilka Nuñez"/>
    <n v="11"/>
    <n v="2025"/>
    <s v="INV13641"/>
    <s v=""/>
    <s v=""/>
    <m/>
    <s v="Southeast Pump Specialist, Inc."/>
    <s v="USD"/>
    <n v="4373.1346068489283"/>
    <n v="3121.55"/>
    <x v="1"/>
    <n v="707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28"/>
    <m/>
    <x v="0"/>
    <m/>
    <m/>
    <s v="Ian Trottier"/>
    <n v="11"/>
    <n v="2025"/>
    <s v="INV13669"/>
    <s v=""/>
    <s v=""/>
    <m/>
    <s v="FMI Products"/>
    <s v="CAD"/>
    <n v="878.94"/>
    <n v="627.9733739981297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30"/>
    <m/>
    <x v="0"/>
    <m/>
    <m/>
    <s v="Ian Trottier"/>
    <n v="11"/>
    <n v="2025"/>
    <s v="INV13654"/>
    <s v=""/>
    <s v=""/>
    <m/>
    <s v="Resolute Forest Products - Saint-Felicien"/>
    <s v="CAD"/>
    <n v="295.44"/>
    <n v="210.853793655821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31"/>
    <m/>
    <x v="0"/>
    <m/>
    <m/>
    <s v="Amanda Qiao"/>
    <n v="11"/>
    <n v="2025"/>
    <s v="No Inv"/>
    <s v=""/>
    <s v=""/>
    <m/>
    <s v="Dynapro Pumps"/>
    <s v="USD"/>
    <n v="4365.0045311736449"/>
    <n v="3117.3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8232"/>
    <m/>
    <x v="0"/>
    <m/>
    <m/>
    <s v="Amanda Qiao"/>
    <n v="11"/>
    <n v="2025"/>
    <s v="No Inv"/>
    <s v=""/>
    <s v=""/>
    <m/>
    <s v="Dynapro Pumps"/>
    <s v="USD"/>
    <n v="4904.0979654382863"/>
    <n v="3502.3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8233"/>
    <m/>
    <x v="0"/>
    <m/>
    <m/>
    <s v="Aleksandar Stankovic"/>
    <n v="11"/>
    <n v="2025"/>
    <s v="No Inv"/>
    <s v=""/>
    <s v=""/>
    <m/>
    <s v="Industrial Pump Repair Canada"/>
    <s v="CAD"/>
    <n v="192"/>
    <n v="136.8531841828777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238"/>
    <m/>
    <x v="0"/>
    <m/>
    <m/>
    <s v="Ian Trottier"/>
    <n v="11"/>
    <n v="2025"/>
    <s v="INV13657"/>
    <s v=""/>
    <s v=""/>
    <m/>
    <s v="Resolute Forest Products - Clermont"/>
    <s v="CAD"/>
    <n v="373.11"/>
    <n v="265.9442268253828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41"/>
    <m/>
    <x v="0"/>
    <m/>
    <m/>
    <s v="Ian Trottier"/>
    <n v="11"/>
    <n v="2025"/>
    <s v="No Inv"/>
    <s v=""/>
    <s v=""/>
    <m/>
    <s v="Hyperflo"/>
    <s v="CAD"/>
    <n v="9491.8799999999992"/>
    <n v="6734.908272483323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42"/>
    <m/>
    <x v="0"/>
    <m/>
    <m/>
    <s v="Ian Trottier"/>
    <n v="11"/>
    <n v="2025"/>
    <s v="No Inv"/>
    <s v=""/>
    <s v=""/>
    <m/>
    <s v="Resolute Forest Products - Saint-Felicien"/>
    <s v="CAD"/>
    <n v="4854.3999999999996"/>
    <n v="3473.421708415607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45"/>
    <m/>
    <x v="0"/>
    <m/>
    <m/>
    <s v="Wilka Nuñez"/>
    <n v="11"/>
    <n v="2025"/>
    <s v="No Inv"/>
    <s v=""/>
    <s v=""/>
    <m/>
    <s v="Motion Industries Inc. (Canada) - Winnipeg"/>
    <s v="CAD"/>
    <n v="3502.32"/>
    <n v="2480.789731680984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47"/>
    <m/>
    <x v="0"/>
    <m/>
    <m/>
    <s v="Ian Trottier"/>
    <n v="11"/>
    <n v="2025"/>
    <s v="No Inv"/>
    <s v=""/>
    <s v=""/>
    <m/>
    <s v="Alamos Gold Inc"/>
    <s v="CAD"/>
    <n v="2355.7600000000002"/>
    <n v="1683.112107231249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49"/>
    <m/>
    <x v="0"/>
    <m/>
    <m/>
    <s v="Aleksandar Stankovic"/>
    <n v="11"/>
    <n v="2025"/>
    <s v="INV13698"/>
    <s v=""/>
    <s v=""/>
    <m/>
    <s v="Manufacture Sling-Choker (Val-d’Or) Ltée, Manufacture Sling-Choker (Val-d’Or) Ltée"/>
    <s v="CAD"/>
    <n v="387.94"/>
    <n v="275.260571691506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1"/>
    <s v="SO18250"/>
    <m/>
    <x v="0"/>
    <m/>
    <m/>
    <s v="Aleksandar Stankovic"/>
    <n v="11"/>
    <n v="2025"/>
    <s v="INV13713"/>
    <s v=""/>
    <s v=""/>
    <m/>
    <s v="Covia Corp - Junction City"/>
    <s v="USD"/>
    <n v="324.53704902136491"/>
    <n v="229.97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8"/>
    <n v="0"/>
    <s v=""/>
  </r>
  <r>
    <n v="0"/>
    <s v="SO18259"/>
    <m/>
    <x v="0"/>
    <m/>
    <m/>
    <s v="Ian Trottier"/>
    <n v="11"/>
    <n v="2025"/>
    <s v="No Inv"/>
    <s v=""/>
    <s v=""/>
    <m/>
    <s v="Resolute Forest Products - Dolbeau"/>
    <s v="CAD"/>
    <n v="20141.89"/>
    <n v="14267.05551995474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60"/>
    <m/>
    <x v="1"/>
    <m/>
    <m/>
    <s v="Marlen Martinez"/>
    <n v="11"/>
    <n v="2025"/>
    <s v="INV13679"/>
    <n v="1"/>
    <n v="1900"/>
    <m/>
    <s v="Covia Corp - Junction City"/>
    <s v="USD"/>
    <n v="0"/>
    <n v="0"/>
    <x v="0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Yes"/>
  </r>
  <r>
    <n v="0"/>
    <s v="SO18262"/>
    <m/>
    <x v="0"/>
    <m/>
    <m/>
    <s v="Ian Trottier"/>
    <n v="11"/>
    <n v="2025"/>
    <s v="No Inv"/>
    <s v=""/>
    <s v=""/>
    <m/>
    <s v="Gibraltar Mine (Canada)"/>
    <s v="CAD"/>
    <n v="1400"/>
    <n v="1000.253400229118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64"/>
    <m/>
    <x v="0"/>
    <m/>
    <m/>
    <s v="Ian Trottier"/>
    <n v="11"/>
    <n v="2025"/>
    <s v="INV13707"/>
    <s v=""/>
    <s v=""/>
    <m/>
    <s v="Wesdome Gold Mines Ltd - Eagle River Mine"/>
    <s v="CAD"/>
    <n v="29916.12"/>
    <n v="21190.4118720551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65"/>
    <m/>
    <x v="0"/>
    <m/>
    <m/>
    <s v="Wilka Nuñez"/>
    <n v="11"/>
    <n v="2025"/>
    <s v="INV13702"/>
    <s v=""/>
    <s v=""/>
    <m/>
    <s v="Sling-Choker Manufacturing - Timmins"/>
    <s v="CAD"/>
    <n v="3514.7"/>
    <n v="2503.751166409803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67"/>
    <m/>
    <x v="0"/>
    <m/>
    <m/>
    <s v="Leriel Reyes"/>
    <n v="11"/>
    <n v="2025"/>
    <s v="No Inv"/>
    <s v=""/>
    <s v=""/>
    <m/>
    <s v="Sealtrac Inc."/>
    <s v="CAD"/>
    <n v="5638.37"/>
    <n v="4012.69124835059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71"/>
    <m/>
    <x v="0"/>
    <m/>
    <m/>
    <s v="Wilka Nuñez"/>
    <n v="11"/>
    <n v="2025"/>
    <s v="No Inv"/>
    <s v=""/>
    <s v=""/>
    <m/>
    <s v="Process and Steam Specialties"/>
    <s v="CAD"/>
    <n v="356.76"/>
    <n v="252.7029353898297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72"/>
    <m/>
    <x v="0"/>
    <m/>
    <m/>
    <s v="Ian Trottier"/>
    <n v="11"/>
    <n v="2025"/>
    <s v="INV13667"/>
    <s v=""/>
    <s v=""/>
    <m/>
    <s v="Middle Georgia Fluid Sealing LLC"/>
    <s v="USD"/>
    <n v="1804.8286560050483"/>
    <n v="1289.4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75"/>
    <m/>
    <x v="0"/>
    <m/>
    <m/>
    <s v="Ian Trottier"/>
    <n v="11"/>
    <n v="2025"/>
    <s v="No Inv"/>
    <s v=""/>
    <s v=""/>
    <m/>
    <s v="Thunder Bay Pulp and Paper Inc"/>
    <s v="CAD"/>
    <n v="5194.42"/>
    <n v="3685.67051298086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76"/>
    <m/>
    <x v="0"/>
    <m/>
    <m/>
    <s v="Ian Trottier"/>
    <n v="11"/>
    <n v="2025"/>
    <s v="No Inv"/>
    <s v=""/>
    <s v=""/>
    <m/>
    <s v="PT Vale Indonesia Tbk."/>
    <s v="USD"/>
    <n v="1111.3183916649284"/>
    <n v="79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77"/>
    <m/>
    <x v="0"/>
    <m/>
    <m/>
    <s v="Yannett Yeomans"/>
    <n v="11"/>
    <n v="2025"/>
    <s v="No Inv"/>
    <s v=""/>
    <s v=""/>
    <m/>
    <s v="TEST – Odoo↔HubSpot (NO USAR)"/>
    <s v="USD"/>
    <n v="0"/>
    <n v="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81"/>
    <m/>
    <x v="0"/>
    <m/>
    <m/>
    <s v="Alexis Gil Lamadrid"/>
    <n v="11"/>
    <n v="2025"/>
    <s v="INV13697"/>
    <s v=""/>
    <s v=""/>
    <m/>
    <s v="Harvey Bearings, Harvey Bearings"/>
    <s v="CAD"/>
    <n v="754.36"/>
    <n v="534.5465786514237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85"/>
    <m/>
    <x v="0"/>
    <m/>
    <m/>
    <s v="Ian Trottier"/>
    <n v="11"/>
    <n v="2025"/>
    <s v="No Inv"/>
    <s v=""/>
    <s v=""/>
    <m/>
    <s v="Glencore Canada Corporation - Rouyn-Noranda"/>
    <s v="CAD"/>
    <n v="709.78"/>
    <n v="505.6228135813442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87"/>
    <m/>
    <x v="0"/>
    <m/>
    <m/>
    <s v="Yannett Yeomans"/>
    <n v="11"/>
    <n v="2025"/>
    <s v="No Inv"/>
    <s v=""/>
    <s v=""/>
    <m/>
    <s v="Dynapro Pumps México S de RL de CV"/>
    <s v="USD"/>
    <n v="421.54751678878279"/>
    <n v="300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1"/>
    <s v="SO18289"/>
    <m/>
    <x v="0"/>
    <m/>
    <m/>
    <s v="Ian Trottier"/>
    <n v="11"/>
    <n v="2025"/>
    <s v="INV13699"/>
    <s v=""/>
    <s v=""/>
    <m/>
    <s v="Glencore Canada Corporation - Rouyn-Noranda"/>
    <s v="CAD"/>
    <n v="1828.7"/>
    <n v="1302.70286454423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92"/>
    <m/>
    <x v="0"/>
    <m/>
    <m/>
    <s v="Ian Trottier"/>
    <n v="11"/>
    <n v="2025"/>
    <s v="No Inv"/>
    <s v=""/>
    <s v=""/>
    <m/>
    <s v="Resolute Forest Products - Saint-Felicien"/>
    <s v="CAD"/>
    <n v="2987.28"/>
    <n v="2116.814655434839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93"/>
    <m/>
    <x v="0"/>
    <m/>
    <m/>
    <s v="Ian Trottier"/>
    <n v="11"/>
    <n v="2025"/>
    <s v="No Inv"/>
    <s v=""/>
    <s v=""/>
    <m/>
    <s v="Resolute Forest Products - Saint-Felicien"/>
    <s v="CAD"/>
    <n v="559.73"/>
    <n v="396.6299332792849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95"/>
    <m/>
    <x v="0"/>
    <m/>
    <m/>
    <s v="Amanda Qiao"/>
    <n v="11"/>
    <n v="2025"/>
    <s v="No Inv"/>
    <s v=""/>
    <s v=""/>
    <m/>
    <s v="Mill-Right Mine Services Inc."/>
    <s v="CAD"/>
    <n v="4475"/>
    <n v="3200.519819958991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96"/>
    <m/>
    <x v="0"/>
    <m/>
    <m/>
    <s v="Ian Trottier"/>
    <n v="11"/>
    <n v="2025"/>
    <s v="INV13700"/>
    <s v=""/>
    <s v=""/>
    <m/>
    <s v="Sealtrac Inc."/>
    <s v="CAD"/>
    <n v="209.18"/>
    <n v="148.22691198142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297"/>
    <m/>
    <x v="0"/>
    <m/>
    <m/>
    <s v="Ian Trottier"/>
    <n v="11"/>
    <n v="2025"/>
    <s v="No Inv"/>
    <s v=""/>
    <s v=""/>
    <m/>
    <s v="Cameco Corporation - Blind River Refinery"/>
    <s v="CAD"/>
    <n v="418.33"/>
    <n v="299.323604004923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298"/>
    <m/>
    <x v="0"/>
    <m/>
    <m/>
    <s v="Ian Trottier"/>
    <n v="11"/>
    <n v="2025"/>
    <s v="INV13680"/>
    <s v=""/>
    <s v=""/>
    <m/>
    <s v="Middle Georgia Fluid Sealing LLC"/>
    <s v="USD"/>
    <n v="8739.9113362572807"/>
    <n v="6200.6"/>
    <x v="1"/>
    <n v="664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00"/>
    <m/>
    <x v="0"/>
    <m/>
    <m/>
    <s v="Alexis Gil Lamadrid"/>
    <n v="11"/>
    <n v="2025"/>
    <s v="INV13696"/>
    <s v=""/>
    <s v=""/>
    <m/>
    <s v="Wajax Limited - Noranda, Wajax Limited - Noranda"/>
    <s v="CAD"/>
    <n v="1429.78"/>
    <n v="1013.155532138809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01"/>
    <m/>
    <x v="0"/>
    <m/>
    <m/>
    <s v="Wilka Nuñez"/>
    <n v="11"/>
    <n v="2025"/>
    <s v="INV13703"/>
    <s v=""/>
    <s v=""/>
    <m/>
    <s v="Sling-Choker Manufacturing - Timmins"/>
    <s v="CAD"/>
    <n v="2037.41"/>
    <n v="1443.727855148996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02"/>
    <m/>
    <x v="0"/>
    <m/>
    <m/>
    <s v="Wilka Nuñez"/>
    <n v="11"/>
    <n v="2025"/>
    <s v="No Inv"/>
    <s v=""/>
    <s v=""/>
    <m/>
    <s v="Motion Industries Inc. (Canada) - Prince George"/>
    <s v="CAD"/>
    <n v="6058.43"/>
    <n v="4317.750449165912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05"/>
    <m/>
    <x v="0"/>
    <m/>
    <m/>
    <s v="Ian Trottier"/>
    <n v="11"/>
    <n v="2025"/>
    <s v="No Inv"/>
    <s v=""/>
    <s v=""/>
    <m/>
    <s v="Alamos Gold Inc"/>
    <s v="CAD"/>
    <n v="1363.36"/>
    <n v="965.705443415961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07"/>
    <m/>
    <x v="0"/>
    <m/>
    <m/>
    <s v="Wilka Nuñez"/>
    <n v="11"/>
    <n v="2025"/>
    <s v="No Inv"/>
    <s v=""/>
    <s v=""/>
    <m/>
    <s v="Sling-Choker Manufacturing - Timmins"/>
    <s v="CAD"/>
    <n v="4022.93"/>
    <n v="2849.552135519136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08"/>
    <m/>
    <x v="0"/>
    <m/>
    <m/>
    <s v="Ian Trottier"/>
    <n v="11"/>
    <n v="2025"/>
    <s v="No Inv"/>
    <s v=""/>
    <s v=""/>
    <m/>
    <s v="Sealtrac Inc."/>
    <s v="CAD"/>
    <n v="214.88"/>
    <n v="152.9248870587734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11"/>
    <m/>
    <x v="0"/>
    <m/>
    <m/>
    <s v="Alexis Gil Lamadrid"/>
    <n v="11"/>
    <n v="2025"/>
    <s v="No Inv"/>
    <s v=""/>
    <s v=""/>
    <m/>
    <s v="Manufacture Sling-Choker (Val-d’Or) Ltée"/>
    <s v="CAD"/>
    <n v="1808.56"/>
    <n v="1288.933065553864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13"/>
    <m/>
    <x v="0"/>
    <m/>
    <m/>
    <s v="Alexis Gil Lamadrid"/>
    <n v="11"/>
    <n v="2025"/>
    <s v="No Inv"/>
    <s v=""/>
    <s v=""/>
    <m/>
    <s v="Tech-Flow"/>
    <s v="USD"/>
    <n v="1725.9156018312358"/>
    <n v="122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14"/>
    <m/>
    <x v="0"/>
    <m/>
    <m/>
    <s v="Wilka Nuñez"/>
    <n v="11"/>
    <n v="2025"/>
    <s v="INV13718"/>
    <s v=""/>
    <s v=""/>
    <m/>
    <s v="Canadian Bearings Ltd."/>
    <s v="CAD"/>
    <n v="279.5"/>
    <n v="198.913374594784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15"/>
    <m/>
    <x v="1"/>
    <m/>
    <m/>
    <s v="Marlen Martinez"/>
    <n v="11"/>
    <n v="2025"/>
    <s v="INV13712"/>
    <s v=""/>
    <s v=""/>
    <m/>
    <s v="Covia Corp - Junction City"/>
    <s v="USD"/>
    <n v="837.40070234720929"/>
    <n v="593.39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2"/>
    <x v="2"/>
    <n v="0"/>
    <s v=""/>
  </r>
  <r>
    <n v="0"/>
    <s v="SO18316"/>
    <m/>
    <x v="0"/>
    <m/>
    <m/>
    <s v="Ian Trottier"/>
    <n v="11"/>
    <n v="2025"/>
    <s v="No Inv"/>
    <s v=""/>
    <s v=""/>
    <m/>
    <s v="Cameco Corporation - Blind River Refinery"/>
    <s v="CAD"/>
    <n v="459.88"/>
    <n v="327.285447973700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0"/>
    <m/>
    <x v="0"/>
    <m/>
    <m/>
    <s v="Ian Trottier"/>
    <n v="11"/>
    <n v="2025"/>
    <s v="No Inv"/>
    <s v=""/>
    <s v=""/>
    <m/>
    <s v="Les Pompes du St-Laurent Inc."/>
    <s v="CAD"/>
    <n v="5048.75"/>
    <n v="3598.1669475798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2"/>
    <m/>
    <x v="0"/>
    <m/>
    <m/>
    <s v="Alexis Gil Lamadrid"/>
    <n v="11"/>
    <n v="2025"/>
    <s v="No Inv"/>
    <s v=""/>
    <s v=""/>
    <m/>
    <s v="Hyperflo, Hyperflo"/>
    <s v="CAD"/>
    <n v="646.28"/>
    <n v="458.070978757239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3"/>
    <m/>
    <x v="0"/>
    <m/>
    <m/>
    <s v="Ian Trottier"/>
    <n v="11"/>
    <n v="2025"/>
    <s v="No Inv"/>
    <s v=""/>
    <s v=""/>
    <m/>
    <s v="Les Pompes du St-Laurent Inc."/>
    <s v="CAD"/>
    <n v="2763.21"/>
    <n v="1969.297527352753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4"/>
    <m/>
    <x v="0"/>
    <m/>
    <m/>
    <s v="Alexis Gil Lamadrid"/>
    <n v="11"/>
    <n v="2025"/>
    <s v="No Inv"/>
    <s v=""/>
    <s v=""/>
    <m/>
    <s v="Canadian Bearings Ltd."/>
    <s v="CAD"/>
    <n v="80.040000000000006"/>
    <n v="57.01773788927667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5"/>
    <m/>
    <x v="0"/>
    <m/>
    <m/>
    <s v="Wilka Nuñez"/>
    <n v="11"/>
    <n v="2025"/>
    <s v="No Inv"/>
    <s v=""/>
    <s v=""/>
    <m/>
    <s v="Wild Rows Pump &amp; Compression, Wild Rows Pump &amp; Compression"/>
    <s v="CAD"/>
    <n v="488.72"/>
    <n v="348.3032732104464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26"/>
    <m/>
    <x v="0"/>
    <m/>
    <m/>
    <s v="Alexis Gil Lamadrid"/>
    <n v="11"/>
    <n v="2025"/>
    <s v="INV13720"/>
    <s v=""/>
    <s v=""/>
    <m/>
    <s v="Moffatt Supply &amp; Specialties - Red Lake"/>
    <s v="CAD"/>
    <n v="1078.97"/>
    <n v="768.96542538851565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27"/>
    <m/>
    <x v="0"/>
    <m/>
    <m/>
    <s v="Wilka Nuñez"/>
    <n v="11"/>
    <n v="2025"/>
    <s v="INV13717"/>
    <s v=""/>
    <s v=""/>
    <m/>
    <s v="Eleazar General &amp; Industrial Supplies Limited"/>
    <s v="USD"/>
    <n v="4475.9075064280923"/>
    <n v="320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29"/>
    <m/>
    <x v="0"/>
    <m/>
    <m/>
    <s v="Ian Trottier"/>
    <n v="11"/>
    <n v="2025"/>
    <s v="No Inv"/>
    <s v=""/>
    <s v=""/>
    <m/>
    <s v="Resolute Forest Products - Saint-Felicien"/>
    <s v="CAD"/>
    <n v="87.85"/>
    <n v="62.858457705238784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37"/>
    <m/>
    <x v="0"/>
    <m/>
    <m/>
    <s v="Ian Trottier"/>
    <n v="12"/>
    <n v="2025"/>
    <s v="No Inv"/>
    <s v=""/>
    <s v=""/>
    <m/>
    <s v="Les Pompes du St-Laurent Inc."/>
    <s v="CAD"/>
    <n v="9738.39"/>
    <n v="6967.9137047599816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1"/>
    <s v="SO18339"/>
    <m/>
    <x v="0"/>
    <m/>
    <m/>
    <s v="Ian Trottier"/>
    <n v="12"/>
    <n v="2025"/>
    <s v="INV13714"/>
    <s v=""/>
    <s v=""/>
    <m/>
    <s v="Middle Georgia Fluid Sealing LLC"/>
    <s v="USD"/>
    <n v="7845.1453959955697"/>
    <n v="5612.5"/>
    <x v="1"/>
    <n v="607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40"/>
    <m/>
    <x v="0"/>
    <m/>
    <m/>
    <s v="Alexis Gil Lamadrid"/>
    <n v="12"/>
    <n v="2025"/>
    <s v="No Inv"/>
    <s v=""/>
    <s v=""/>
    <m/>
    <s v="Manufacture Sling-Choker (Val-d’Or) Ltée"/>
    <s v="CAD"/>
    <n v="1066.47"/>
    <n v="763.0697608860784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44"/>
    <m/>
    <x v="0"/>
    <m/>
    <m/>
    <s v="Yannett Yeomans"/>
    <n v="12"/>
    <n v="2025"/>
    <s v="No Inv"/>
    <s v=""/>
    <s v=""/>
    <m/>
    <s v="Dynapro Pumps México S de RL de CV"/>
    <s v="USD"/>
    <n v="7396.4965443408973"/>
    <n v="5293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4"/>
    <n v="0"/>
    <s v="MEX"/>
  </r>
  <r>
    <n v="0"/>
    <s v="SO18345"/>
    <m/>
    <x v="0"/>
    <m/>
    <m/>
    <s v="Amanda Qiao"/>
    <n v="12"/>
    <n v="2025"/>
    <s v="No Inv"/>
    <s v=""/>
    <s v=""/>
    <m/>
    <s v="Glencore Canada Corporation - Rouyn-Noranda"/>
    <s v="CAD"/>
    <n v="3049.16"/>
    <n v="2181.703931759350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49"/>
    <m/>
    <x v="0"/>
    <m/>
    <m/>
    <s v="Wilka Nuñez"/>
    <n v="12"/>
    <n v="2025"/>
    <s v="No Inv"/>
    <s v=""/>
    <s v=""/>
    <m/>
    <s v="Sling-Choker Manufacturing - Timmins"/>
    <s v="CAD"/>
    <n v="1997.45"/>
    <n v="1429.195095860078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50"/>
    <m/>
    <x v="0"/>
    <m/>
    <m/>
    <s v="Ian Trottier"/>
    <n v="12"/>
    <n v="2025"/>
    <s v="No Inv"/>
    <s v=""/>
    <s v=""/>
    <m/>
    <s v="Glencore Canada Corporation - Rouyn-Noranda"/>
    <s v="CAD"/>
    <n v="401.67"/>
    <n v="287.39883058605602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s v="SO18356"/>
    <m/>
    <x v="0"/>
    <m/>
    <m/>
    <s v="Ian Trottier"/>
    <n v="12"/>
    <n v="2025"/>
    <s v="No Inv"/>
    <s v=""/>
    <s v=""/>
    <m/>
    <s v="Resolute Forest Products - Saint-Felicien"/>
    <s v="CAD"/>
    <n v="6836.47"/>
    <n v="4891.5614393324231"/>
    <x v="1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s v=""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  <r>
    <n v="0"/>
    <n v="0"/>
    <m/>
    <x v="0"/>
    <m/>
    <m/>
    <n v="0"/>
    <n v="0"/>
    <n v="0"/>
    <n v="0"/>
    <n v="0"/>
    <n v="0"/>
    <m/>
    <n v="0"/>
    <n v="0"/>
    <n v="0"/>
    <n v="0"/>
    <x v="2"/>
    <n v="0"/>
    <n v="0"/>
    <m/>
    <m/>
    <m/>
    <m/>
    <s v=""/>
    <s v=""/>
    <s v=""/>
    <s v=""/>
    <s v=""/>
    <s v=""/>
    <s v=""/>
    <s v=""/>
    <m/>
    <m/>
    <m/>
    <m/>
    <m/>
    <m/>
    <s v=""/>
    <s v=""/>
    <s v=""/>
    <s v=""/>
    <x v="0"/>
    <x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37">
  <r>
    <n v="1"/>
    <s v="SO16348"/>
    <s v="6500015792"/>
    <s v="INV12491"/>
    <s v="Wesdome Gold Mines Ltd - Eagle River Mine"/>
    <d v="2025-01-02T09:36:36"/>
    <d v="2025-01-06T14:17:51"/>
    <d v="2025-01-07T00:00:00"/>
    <s v="Ian Trottier"/>
    <s v="CAD"/>
    <n v="1"/>
    <n v="20655.240000000002"/>
    <n v="0"/>
    <n v="14381.876360474809"/>
    <n v="18278.97"/>
    <n v="2376.27"/>
    <n v="20655.240000000002"/>
    <s v="Delivered"/>
    <m/>
    <n v="1"/>
    <n v="1"/>
    <n v="2025"/>
    <n v="2"/>
    <n v="2025"/>
    <n v="0.69628221993425432"/>
    <x v="0"/>
    <d v="2025-01-02T09:36:36"/>
    <x v="0"/>
    <s v="Paid"/>
    <d v="2025-02-04T00:00:00"/>
    <s v="6500015792"/>
    <x v="0"/>
    <x v="0"/>
    <n v="18278.97"/>
    <n v="12727.321809711637"/>
    <n v="0.69628221993425432"/>
    <n v="-18278.97"/>
    <n v="0"/>
    <n v="0"/>
    <s v=""/>
    <x v="0"/>
    <x v="0"/>
    <s v="Pend"/>
    <s v="Pend"/>
  </r>
  <r>
    <n v="1"/>
    <s v="SO16349"/>
    <s v="2243313"/>
    <s v="INV12951"/>
    <s v="Zijin Mining - Rosebel Goldmines N.V."/>
    <d v="2025-01-02T10:26:14"/>
    <d v="2025-01-03T15:31:09"/>
    <d v="2025-06-07T00:00:00"/>
    <s v="Amanda Qiao"/>
    <s v="USD"/>
    <n v="0.69331655724015695"/>
    <n v="16788.290829708509"/>
    <n v="0"/>
    <n v="11639.6"/>
    <n v="11639.6"/>
    <m/>
    <n v="11639.6"/>
    <s v="Delivered"/>
    <m/>
    <n v="1"/>
    <n v="1"/>
    <n v="2025"/>
    <n v="7"/>
    <n v="2025"/>
    <n v="0.69331655724015695"/>
    <x v="1"/>
    <d v="2025-01-02T10:26:14"/>
    <x v="1"/>
    <s v="Paid"/>
    <d v="2025-07-11T00:00:00"/>
    <s v="2243313"/>
    <x v="1"/>
    <x v="1"/>
    <n v="16788.290829708509"/>
    <n v="11639.6"/>
    <n v="0.69331655724015695"/>
    <n v="0"/>
    <n v="-11639.6"/>
    <s v=""/>
    <n v="0"/>
    <x v="0"/>
    <x v="0"/>
    <s v="Pend"/>
    <s v="Pend"/>
  </r>
  <r>
    <n v="1"/>
    <s v="SO16350"/>
    <s v="4560061462"/>
    <s v="INV12497"/>
    <s v="Alamos Gold Inc, Alamos Gold Inc Island Gold Division"/>
    <d v="2025-01-02T10:29:19"/>
    <d v="2025-01-02T10:32:39"/>
    <d v="2025-01-13T00:00:00"/>
    <s v="Ian Trottier"/>
    <s v="CAD"/>
    <n v="1"/>
    <n v="1540.6"/>
    <n v="0"/>
    <n v="1068.123488084186"/>
    <n v="1363.36"/>
    <n v="177.24"/>
    <n v="1540.6"/>
    <s v="Delivered"/>
    <m/>
    <n v="1"/>
    <n v="1"/>
    <n v="2025"/>
    <n v="2"/>
    <n v="2025"/>
    <n v="0.69331655724015706"/>
    <x v="2"/>
    <d v="2025-01-02T10:29:19"/>
    <x v="2"/>
    <s v="Paid"/>
    <d v="2025-02-10T00:00:00"/>
    <s v="4560061462"/>
    <x v="2"/>
    <x v="0"/>
    <n v="1363.36"/>
    <n v="945.24006147894045"/>
    <n v="0.69331655724015706"/>
    <n v="-1363.36"/>
    <n v="0"/>
    <n v="0"/>
    <s v=""/>
    <x v="0"/>
    <x v="0"/>
    <s v="Pend"/>
    <s v="Pend"/>
  </r>
  <r>
    <n v="1"/>
    <s v="SO16353"/>
    <s v="PO-007646"/>
    <s v="INV12591"/>
    <s v="Sling-Choker Manufacturing - Timmins"/>
    <d v="2025-01-02T13:46:37"/>
    <d v="2025-01-02T16:57:30"/>
    <d v="2025-01-16T00:00:00"/>
    <s v="Ian Trottier"/>
    <s v="CAD"/>
    <n v="1"/>
    <n v="2369.71"/>
    <n v="0"/>
    <n v="1642.9591788575719"/>
    <n v="2097.09"/>
    <n v="272.62"/>
    <n v="2369.71"/>
    <s v="Delivered"/>
    <m/>
    <n v="1"/>
    <n v="1"/>
    <n v="2025"/>
    <n v="2"/>
    <n v="2025"/>
    <n v="0.69331655724015673"/>
    <x v="3"/>
    <d v="2025-01-02T13:46:37"/>
    <x v="3"/>
    <s v="Paid"/>
    <d v="2025-02-19T00:00:00"/>
    <s v="PO-007646"/>
    <x v="3"/>
    <x v="0"/>
    <n v="2097.09"/>
    <n v="1453.9472190227605"/>
    <n v="0.69331655724015673"/>
    <n v="-2097.09"/>
    <n v="0"/>
    <n v="0"/>
    <s v=""/>
    <x v="0"/>
    <x v="0"/>
    <s v="Pend"/>
    <s v="Pend"/>
  </r>
  <r>
    <n v="1"/>
    <s v="SO16359"/>
    <s v="5334612"/>
    <s v="INV12502"/>
    <s v="Corrosion Fluid Products Corp., Corrosion Fluid Products Corp. - Chicago"/>
    <d v="2025-01-06T11:49:57"/>
    <d v="2025-01-07T14:12:10"/>
    <d v="2025-01-08T00:00:00"/>
    <s v="Ian Trottier"/>
    <s v="USD"/>
    <n v="0.69628221993425443"/>
    <n v="144.20876639573109"/>
    <n v="0"/>
    <n v="100.41"/>
    <n v="100.41"/>
    <m/>
    <n v="100.41"/>
    <s v="Delivered"/>
    <m/>
    <n v="1"/>
    <n v="1"/>
    <n v="2025"/>
    <n v="2"/>
    <n v="2025"/>
    <n v="0.69628221993425476"/>
    <x v="4"/>
    <d v="2025-01-06T11:49:57"/>
    <x v="4"/>
    <s v="Paid"/>
    <d v="2025-02-13T00:00:00"/>
    <s v="5334612"/>
    <x v="4"/>
    <x v="1"/>
    <n v="144.20876639573115"/>
    <n v="100.41"/>
    <n v="0.69628221993425443"/>
    <n v="0"/>
    <n v="-100.41"/>
    <s v=""/>
    <n v="0"/>
    <x v="0"/>
    <x v="0"/>
    <s v="Pend"/>
    <s v="Pend"/>
  </r>
  <r>
    <n v="1"/>
    <s v="SO16360"/>
    <s v="6633"/>
    <s v="INV12492"/>
    <s v="Hyperflo"/>
    <d v="2025-01-06T12:13:09"/>
    <d v="2025-01-06T14:00:13"/>
    <d v="2025-01-07T00:00:00"/>
    <s v="Ian Trottier"/>
    <s v="CAD"/>
    <n v="1"/>
    <n v="1006.02"/>
    <n v="0"/>
    <n v="700.47383889825858"/>
    <n v="958.11"/>
    <n v="47.91"/>
    <n v="1006.02"/>
    <s v="Delivered"/>
    <m/>
    <n v="1"/>
    <n v="1"/>
    <n v="2025"/>
    <n v="2"/>
    <n v="2025"/>
    <n v="0.69628221993425443"/>
    <x v="5"/>
    <d v="2025-01-06T12:13:09"/>
    <x v="5"/>
    <s v="Paid"/>
    <d v="2025-02-21T00:00:00"/>
    <s v="6633"/>
    <x v="5"/>
    <x v="0"/>
    <n v="958.11"/>
    <n v="667.11495774120851"/>
    <n v="0.69628221993425443"/>
    <n v="-958.11"/>
    <n v="0"/>
    <n v="0"/>
    <s v=""/>
    <x v="0"/>
    <x v="0"/>
    <s v="Pend"/>
    <s v="Pend"/>
  </r>
  <r>
    <n v="1"/>
    <s v="SO16361"/>
    <s v="007673"/>
    <s v="INV12901"/>
    <s v="Sling-Choker Manufacturing - Timmins"/>
    <d v="2025-01-06T12:33:59"/>
    <d v="2025-01-16T13:14:24"/>
    <d v="2025-04-03T00:00:00"/>
    <s v="Ian Trottier"/>
    <s v="CAD"/>
    <n v="1"/>
    <n v="29994.38"/>
    <n v="0"/>
    <n v="20856.609079012331"/>
    <n v="26543.7"/>
    <n v="3450.68"/>
    <n v="29994.38"/>
    <s v="Delivered"/>
    <m/>
    <n v="1"/>
    <n v="1"/>
    <n v="2025"/>
    <n v="5"/>
    <n v="2025"/>
    <n v="0.69535056497291592"/>
    <x v="6"/>
    <d v="2025-01-06T12:33:59"/>
    <x v="6"/>
    <s v="Paid"/>
    <d v="2025-05-21T00:00:00"/>
    <s v="007673"/>
    <x v="3"/>
    <x v="0"/>
    <n v="26543.7"/>
    <n v="18457.176791471589"/>
    <n v="0.69535056497291592"/>
    <n v="-26543.7"/>
    <n v="0"/>
    <n v="0"/>
    <s v=""/>
    <x v="0"/>
    <x v="0"/>
    <s v="Pend"/>
    <s v="Pend"/>
  </r>
  <r>
    <n v="1"/>
    <s v="SO16362"/>
    <s v="P349617"/>
    <s v="INV12503"/>
    <s v="Covia Corp - Junction City"/>
    <d v="2025-01-06T12:44:14"/>
    <d v="2025-01-07T13:58:17"/>
    <d v="2025-01-08T00:00:00"/>
    <s v="Marlen Martinez"/>
    <s v="CAD"/>
    <n v="1"/>
    <n v="8795"/>
    <n v="0"/>
    <n v="6131.3692546548436"/>
    <n v="8795"/>
    <m/>
    <n v="8795"/>
    <s v="Delivered"/>
    <m/>
    <n v="1"/>
    <n v="1"/>
    <n v="2025"/>
    <n v="4"/>
    <n v="2025"/>
    <n v="0.6971426099664404"/>
    <x v="7"/>
    <d v="2025-01-06T12:44:14"/>
    <x v="7"/>
    <s v="Paid"/>
    <d v="2025-04-07T00:00:00"/>
    <s v="P349617"/>
    <x v="6"/>
    <x v="0"/>
    <n v="8795"/>
    <n v="6131.3692546548436"/>
    <n v="0.6971426099664404"/>
    <n v="-12684.333874166216"/>
    <n v="0"/>
    <n v="-3889.3338741662155"/>
    <s v=""/>
    <x v="0"/>
    <x v="0"/>
    <s v="Pend"/>
    <s v="Pend"/>
  </r>
  <r>
    <n v="1"/>
    <s v="SO16363"/>
    <s v="2961"/>
    <s v="INV12685"/>
    <s v="Les Pompes du St-Laurent Inc."/>
    <d v="2025-01-06T13:32:40"/>
    <d v="2025-01-06T13:33:35"/>
    <d v="2025-02-10T00:00:00"/>
    <s v="Ian Trottier"/>
    <s v="CAD"/>
    <n v="1"/>
    <n v="1135.51"/>
    <n v="0"/>
    <n v="790.63542355754521"/>
    <n v="1081.44"/>
    <n v="54.07"/>
    <n v="1135.51"/>
    <s v="Delivered"/>
    <m/>
    <n v="1"/>
    <n v="1"/>
    <n v="2025"/>
    <n v="4"/>
    <n v="2025"/>
    <n v="0.69628221993425443"/>
    <x v="8"/>
    <d v="2025-01-06T13:32:40"/>
    <x v="8"/>
    <s v="Paid"/>
    <d v="2025-04-21T00:00:00"/>
    <s v="2961"/>
    <x v="7"/>
    <x v="0"/>
    <n v="1081.44"/>
    <n v="752.98744392570018"/>
    <n v="0.69628221993425443"/>
    <n v="-1081.44"/>
    <n v="0"/>
    <n v="0"/>
    <s v=""/>
    <x v="0"/>
    <x v="0"/>
    <s v="Pend"/>
    <s v="Pend"/>
  </r>
  <r>
    <n v="1"/>
    <s v="SO16364"/>
    <s v="003247"/>
    <s v="INV12837"/>
    <s v="Eleazar General &amp; Industrial Supplies Limited"/>
    <d v="2025-01-06T13:40:12"/>
    <d v="2025-01-10T14:42:30"/>
    <d v="2025-04-04T00:00:00"/>
    <s v="Ian Trottier"/>
    <s v="USD"/>
    <n v="0.69455773220809047"/>
    <n v="1896.8761542852969"/>
    <n v="0"/>
    <n v="1317.49"/>
    <n v="1317.49"/>
    <m/>
    <n v="1317.49"/>
    <s v="Delivered"/>
    <m/>
    <n v="1"/>
    <n v="1"/>
    <n v="2025"/>
    <n v="4"/>
    <n v="2025"/>
    <n v="0.69455773220809058"/>
    <x v="9"/>
    <d v="2025-01-06T13:40:12"/>
    <x v="9"/>
    <s v="Paid"/>
    <d v="2025-04-07T00:00:00"/>
    <s v="003247"/>
    <x v="8"/>
    <x v="1"/>
    <n v="1896.8761542852972"/>
    <n v="1317.49"/>
    <n v="0.69455773220809047"/>
    <n v="0"/>
    <n v="-1317.49"/>
    <s v=""/>
    <n v="0"/>
    <x v="0"/>
    <x v="0"/>
    <s v="Pend"/>
    <s v="Pend"/>
  </r>
  <r>
    <n v="1"/>
    <s v="SO16368"/>
    <s v="M-083469"/>
    <s v="INV12509"/>
    <s v="Grant Aggregate"/>
    <d v="2025-01-06T16:38:57"/>
    <d v="2025-01-09T09:47:09"/>
    <d v="2025-01-10T00:00:00"/>
    <s v="Ian Trottier"/>
    <s v="CAD"/>
    <n v="1"/>
    <n v="17048.099999999999"/>
    <n v="0"/>
    <n v="11840.88967445675"/>
    <n v="15086.8"/>
    <n v="1961.3"/>
    <n v="17048.099999999999"/>
    <s v="Delivered"/>
    <m/>
    <n v="1"/>
    <n v="1"/>
    <n v="2025"/>
    <n v="3"/>
    <n v="2025"/>
    <n v="0.69455773220809069"/>
    <x v="10"/>
    <d v="2025-01-06T16:38:57"/>
    <x v="10"/>
    <s v="Paid"/>
    <d v="2025-03-05T00:00:00"/>
    <s v="M-083469"/>
    <x v="9"/>
    <x v="0"/>
    <n v="15086.8"/>
    <n v="10478.653594277022"/>
    <n v="0.69455773220809069"/>
    <n v="-15086.8"/>
    <n v="0"/>
    <n v="0"/>
    <s v=""/>
    <x v="0"/>
    <x v="0"/>
    <s v="Pend"/>
    <s v="Pend"/>
  </r>
  <r>
    <n v="1"/>
    <s v="SO16369"/>
    <s v="PO13146"/>
    <s v="INV12493"/>
    <s v="Manufacture Sling-Choker (Val-d’Or) Ltée"/>
    <d v="2025-01-07T09:49:19"/>
    <d v="2025-01-07T14:55:30"/>
    <d v="2025-01-08T00:00:00"/>
    <s v="Ian Trottier"/>
    <s v="CAD"/>
    <n v="1"/>
    <n v="117.99"/>
    <n v="0"/>
    <n v="82.255856549940304"/>
    <n v="112.37"/>
    <n v="5.62"/>
    <n v="117.99"/>
    <s v="Delivered"/>
    <m/>
    <n v="1"/>
    <n v="1"/>
    <n v="2025"/>
    <n v="2"/>
    <n v="2025"/>
    <n v="0.6971426099664404"/>
    <x v="11"/>
    <d v="2025-01-07T09:49:19"/>
    <x v="11"/>
    <s v="Paid"/>
    <d v="2025-02-05T00:00:00"/>
    <s v="PO13146"/>
    <x v="10"/>
    <x v="0"/>
    <n v="112.37"/>
    <n v="78.337915081928912"/>
    <n v="0.6971426099664404"/>
    <n v="-112.37"/>
    <n v="0"/>
    <n v="0"/>
    <s v=""/>
    <x v="0"/>
    <x v="0"/>
    <s v="Pend"/>
    <s v="Pend"/>
  </r>
  <r>
    <n v="1"/>
    <s v="SO16372"/>
    <s v="2991"/>
    <s v="INV12779"/>
    <s v="Les Pompes du St-Laurent Inc."/>
    <d v="2025-01-07T11:46:50"/>
    <d v="2025-01-16T15:10:28"/>
    <d v="2025-03-04T00:00:00"/>
    <s v="Ian Trottier"/>
    <s v="CAD"/>
    <n v="1"/>
    <n v="1657.93"/>
    <n v="0"/>
    <n v="1152.842562185547"/>
    <n v="1578.98"/>
    <n v="78.95"/>
    <n v="1657.93"/>
    <s v="Delivered"/>
    <m/>
    <n v="1"/>
    <n v="1"/>
    <n v="2025"/>
    <n v="4"/>
    <n v="2025"/>
    <n v="0.69535056497291614"/>
    <x v="12"/>
    <d v="2025-01-07T11:46:50"/>
    <x v="12"/>
    <s v="Paid"/>
    <d v="2025-04-25T00:00:00"/>
    <s v="2991"/>
    <x v="7"/>
    <x v="0"/>
    <n v="1578.98"/>
    <n v="1097.9446350809351"/>
    <n v="0.69535056497291614"/>
    <n v="-1578.98"/>
    <n v="0"/>
    <n v="0"/>
    <s v=""/>
    <x v="0"/>
    <x v="0"/>
    <s v="Pend"/>
    <s v="Pend"/>
  </r>
  <r>
    <n v="1"/>
    <s v="SO16374"/>
    <s v="2967"/>
    <s v="INV12505"/>
    <s v="Les Pompes du St-Laurent Inc."/>
    <d v="2025-01-07T12:46:49"/>
    <d v="2025-01-08T16:15:28"/>
    <d v="2025-01-09T00:00:00"/>
    <s v="Ian Trottier"/>
    <s v="CAD"/>
    <n v="1"/>
    <n v="3783.15"/>
    <n v="0"/>
    <n v="2631.4955949374539"/>
    <n v="3603"/>
    <n v="180.15"/>
    <n v="3783.15"/>
    <s v="Delivered"/>
    <m/>
    <n v="1"/>
    <n v="1"/>
    <n v="2025"/>
    <n v="2"/>
    <n v="2025"/>
    <n v="0.69558320313428068"/>
    <x v="13"/>
    <d v="2025-01-07T12:46:49"/>
    <x v="13"/>
    <s v="Paid"/>
    <d v="2025-02-18T00:00:00"/>
    <s v="2967"/>
    <x v="7"/>
    <x v="0"/>
    <n v="3603"/>
    <n v="2506.1862808928131"/>
    <n v="0.69558320313428068"/>
    <n v="-3603"/>
    <n v="0"/>
    <n v="0"/>
    <s v=""/>
    <x v="0"/>
    <x v="0"/>
    <s v="Pend"/>
    <s v="Pend"/>
  </r>
  <r>
    <n v="1"/>
    <s v="SO16375"/>
    <s v="P349794"/>
    <s v="INV12504"/>
    <s v="Covia Corp - Junction City"/>
    <d v="2025-01-07T13:04:05"/>
    <d v="2025-01-08T13:51:12"/>
    <d v="2025-01-09T00:00:00"/>
    <s v="Marlen Martinez"/>
    <s v="CAD"/>
    <n v="1"/>
    <n v="5506"/>
    <n v="0"/>
    <n v="3829.8811164573499"/>
    <n v="5506"/>
    <m/>
    <n v="5506"/>
    <s v="Delivered"/>
    <m/>
    <n v="1"/>
    <n v="1"/>
    <n v="2025"/>
    <n v="4"/>
    <n v="2025"/>
    <n v="0.69558320313428079"/>
    <x v="14"/>
    <d v="2025-01-07T13:04:05"/>
    <x v="14"/>
    <s v="Paid"/>
    <d v="2025-04-07T00:00:00"/>
    <s v="P349794"/>
    <x v="6"/>
    <x v="0"/>
    <n v="5506"/>
    <n v="3829.8811164573499"/>
    <n v="0.69558320313428079"/>
    <n v="-7940.8689381647737"/>
    <n v="0"/>
    <n v="-2434.8689381647737"/>
    <s v=""/>
    <x v="0"/>
    <x v="0"/>
    <s v="Pend"/>
    <s v="Pend"/>
  </r>
  <r>
    <n v="1"/>
    <s v="SO16376"/>
    <s v="007656"/>
    <s v="INV12592"/>
    <s v="Sling-Choker Manufacturing - Timmins"/>
    <d v="2025-01-07T13:20:45"/>
    <d v="2025-01-07T16:21:44"/>
    <d v="2024-02-04T00:00:00"/>
    <s v="Ian Trottier"/>
    <s v="CAD"/>
    <n v="1"/>
    <n v="13951.67"/>
    <n v="0"/>
    <n v="9726.3036371904873"/>
    <n v="12346.61"/>
    <n v="1605.06"/>
    <n v="13951.67"/>
    <s v="Delivered"/>
    <m/>
    <n v="1"/>
    <n v="1"/>
    <n v="2025"/>
    <n v="2"/>
    <n v="2025"/>
    <n v="0.6971426099664404"/>
    <x v="15"/>
    <d v="2025-01-07T13:20:45"/>
    <x v="15"/>
    <s v="Paid"/>
    <d v="2025-02-19T00:00:00"/>
    <s v="007656"/>
    <x v="3"/>
    <x v="0"/>
    <n v="12346.61"/>
    <n v="8607.3479196377539"/>
    <n v="0.69714260996644051"/>
    <n v="-12346.61"/>
    <n v="0"/>
    <n v="0"/>
    <s v=""/>
    <x v="0"/>
    <x v="0"/>
    <s v="Pend"/>
    <s v="Pend"/>
  </r>
  <r>
    <n v="1"/>
    <s v="SO16377"/>
    <s v="316223"/>
    <s v="INV12597"/>
    <s v="Gibraltar Mine (Canada)"/>
    <d v="2025-01-07T16:19:59"/>
    <d v="2025-01-07T17:11:06"/>
    <d v="2025-02-18T00:00:00"/>
    <s v="Ian Trottier"/>
    <s v="CAD"/>
    <n v="1"/>
    <n v="5367.86"/>
    <n v="0"/>
    <n v="3742.1639303344559"/>
    <n v="5112.25"/>
    <n v="255.61"/>
    <n v="5367.86"/>
    <s v="Delivered"/>
    <m/>
    <n v="1"/>
    <n v="1"/>
    <n v="2025"/>
    <n v="3"/>
    <n v="2025"/>
    <n v="0.69714260996644029"/>
    <x v="16"/>
    <d v="2025-01-07T16:19:59"/>
    <x v="16"/>
    <s v="Paid"/>
    <d v="2025-03-05T00:00:00"/>
    <s v="316223"/>
    <x v="11"/>
    <x v="0"/>
    <n v="5112.25"/>
    <n v="3563.9673078009341"/>
    <n v="0.69714260996644029"/>
    <n v="-5112.25"/>
    <n v="0"/>
    <n v="0"/>
    <s v=""/>
    <x v="0"/>
    <x v="0"/>
    <s v="Pend"/>
    <s v="Pend"/>
  </r>
  <r>
    <n v="1"/>
    <s v="SO16378"/>
    <s v="BC78-00052101"/>
    <s v="INV12543"/>
    <s v="Motion Industries Inc. (Canada) - Quesnel"/>
    <d v="2025-01-07T16:39:56"/>
    <d v="2025-01-08T09:22:26"/>
    <d v="2025-02-05T00:00:00"/>
    <s v="Ian Trottier"/>
    <s v="CAD"/>
    <n v="1"/>
    <n v="1036.94"/>
    <n v="0"/>
    <n v="721.27804665806116"/>
    <n v="987.57"/>
    <n v="49.37"/>
    <n v="1036.94"/>
    <s v="Delivered"/>
    <m/>
    <n v="1"/>
    <n v="1"/>
    <n v="2025"/>
    <n v="2"/>
    <n v="2025"/>
    <n v="0.69558320313428079"/>
    <x v="17"/>
    <d v="2025-01-07T16:39:56"/>
    <x v="17"/>
    <s v="Paid"/>
    <d v="2025-02-14T00:00:00"/>
    <s v="BC78-00052101"/>
    <x v="12"/>
    <x v="0"/>
    <n v="987.57"/>
    <n v="686.93710391932177"/>
    <n v="0.69558320313428079"/>
    <n v="-987.57"/>
    <n v="0"/>
    <n v="0"/>
    <s v=""/>
    <x v="0"/>
    <x v="0"/>
    <s v="Pend"/>
    <s v="Pend"/>
  </r>
  <r>
    <n v="1"/>
    <s v="SO16379"/>
    <s v="PO-007657"/>
    <s v="INV12494"/>
    <s v="Sling-Choker Manufacturing - Timmins"/>
    <d v="2025-01-08T07:15:26"/>
    <d v="2025-01-08T09:02:29"/>
    <d v="2025-01-08T00:00:00"/>
    <s v="Taylor Cook"/>
    <s v="CAD"/>
    <n v="1"/>
    <n v="2007.42"/>
    <n v="0"/>
    <n v="1396.3276336358181"/>
    <n v="1776.49"/>
    <n v="230.93"/>
    <n v="2007.42"/>
    <s v="Delivered"/>
    <m/>
    <n v="1"/>
    <n v="1"/>
    <n v="2025"/>
    <n v="2"/>
    <n v="2025"/>
    <n v="0.69558320313428079"/>
    <x v="18"/>
    <d v="2025-01-08T07:15:26"/>
    <x v="18"/>
    <s v="Paid"/>
    <d v="2025-02-05T00:00:00"/>
    <s v="PO-007657"/>
    <x v="3"/>
    <x v="0"/>
    <n v="1776.49"/>
    <n v="1235.6966045360184"/>
    <n v="0.69558320313428079"/>
    <n v="-1776.49"/>
    <n v="0"/>
    <n v="0"/>
    <s v=""/>
    <x v="0"/>
    <x v="0"/>
    <s v="Pend"/>
    <s v="Pend"/>
  </r>
  <r>
    <n v="3"/>
    <s v="SO16380"/>
    <s v="L63079-DS"/>
    <s v="INV12496"/>
    <s v="Wild Rows Pump &amp; Compression LTD."/>
    <d v="2025-01-08T10:15:34"/>
    <d v="2025-01-08T15:37:05"/>
    <d v="2025-04-30T00:00:00"/>
    <s v="Taylor Cook"/>
    <s v="CAD"/>
    <n v="1"/>
    <n v="4153.74"/>
    <n v="0"/>
    <n v="2889.2717741869869"/>
    <n v="3955.95"/>
    <n v="197.79"/>
    <n v="4153.74"/>
    <s v="Delivered"/>
    <m/>
    <n v="3"/>
    <n v="1"/>
    <n v="2025"/>
    <n v="1"/>
    <n v="2025"/>
    <n v="0.69558320313428068"/>
    <x v="19"/>
    <d v="2025-01-08T10:15:34"/>
    <x v="19"/>
    <s v="Paid"/>
    <d v="2025-01-09T00:00:00"/>
    <s v="L63079-DS"/>
    <x v="13"/>
    <x v="0"/>
    <n v="3955.95"/>
    <n v="2751.6923724390576"/>
    <n v="0.69558320313428068"/>
    <n v="-1827.63"/>
    <n v="0"/>
    <n v="2128.3199999999997"/>
    <s v=""/>
    <x v="0"/>
    <x v="1"/>
    <s v="Yes"/>
    <s v="Pend"/>
  </r>
  <r>
    <m/>
    <m/>
    <m/>
    <s v="INV12584"/>
    <m/>
    <m/>
    <m/>
    <m/>
    <m/>
    <m/>
    <m/>
    <m/>
    <m/>
    <m/>
    <m/>
    <m/>
    <m/>
    <m/>
    <m/>
    <n v="3"/>
    <n v="1"/>
    <n v="2025"/>
    <n v="1"/>
    <n v="2025"/>
    <n v="0.69558320313428068"/>
    <x v="19"/>
    <d v="2025-01-08T10:15:34"/>
    <x v="20"/>
    <s v="Paid"/>
    <d v="2025-01-30T00:00:00"/>
    <s v="L63079-DS"/>
    <x v="13"/>
    <x v="0"/>
    <n v="0"/>
    <n v="0"/>
    <n v="0"/>
    <n v="-857.76"/>
    <n v="0"/>
    <n v="-857.76"/>
    <s v=""/>
    <x v="0"/>
    <x v="1"/>
    <s v="Yes"/>
    <s v="Pend"/>
  </r>
  <r>
    <m/>
    <m/>
    <m/>
    <s v="INV12953"/>
    <m/>
    <m/>
    <m/>
    <m/>
    <m/>
    <m/>
    <m/>
    <m/>
    <m/>
    <m/>
    <m/>
    <m/>
    <m/>
    <m/>
    <m/>
    <n v="3"/>
    <n v="1"/>
    <n v="2025"/>
    <n v="5"/>
    <n v="2025"/>
    <n v="0.69558320313428068"/>
    <x v="19"/>
    <d v="2025-01-08T10:15:34"/>
    <x v="21"/>
    <s v="Paid"/>
    <d v="2025-05-07T00:00:00"/>
    <s v="L63079-DS"/>
    <x v="13"/>
    <x v="0"/>
    <n v="0"/>
    <n v="0"/>
    <n v="0"/>
    <n v="-1270.56"/>
    <n v="0"/>
    <n v="-1270.56"/>
    <s v=""/>
    <x v="0"/>
    <x v="1"/>
    <s v="Yes"/>
    <s v="Pend"/>
  </r>
  <r>
    <n v="1"/>
    <s v="SO16381"/>
    <s v="6642"/>
    <s v="INV12500"/>
    <s v="Hyperflo"/>
    <d v="2025-01-08T10:23:52"/>
    <d v="2025-01-08T11:27:21"/>
    <d v="2025-01-09T00:00:00"/>
    <s v="Ian Trottier"/>
    <s v="CAD"/>
    <n v="1"/>
    <n v="962.42"/>
    <n v="0"/>
    <n v="669.44318636049445"/>
    <n v="916.59"/>
    <n v="45.83"/>
    <n v="962.42"/>
    <s v="Delivered"/>
    <m/>
    <n v="1"/>
    <n v="1"/>
    <n v="2025"/>
    <n v="2"/>
    <n v="2025"/>
    <n v="0.69558320313428079"/>
    <x v="20"/>
    <d v="2025-01-08T10:23:52"/>
    <x v="22"/>
    <s v="Paid"/>
    <d v="2025-02-21T00:00:00"/>
    <s v="6642"/>
    <x v="5"/>
    <x v="0"/>
    <n v="916.59"/>
    <n v="637.56460816085041"/>
    <n v="0.69558320313428079"/>
    <n v="-916.59"/>
    <n v="0"/>
    <n v="0"/>
    <s v=""/>
    <x v="0"/>
    <x v="0"/>
    <s v="Pend"/>
    <s v="Pend"/>
  </r>
  <r>
    <n v="1"/>
    <s v="SO16382"/>
    <s v="071736"/>
    <s v="INV12495"/>
    <s v="Hoffman-Kane Distributors, Inc."/>
    <d v="2025-01-08T10:56:50"/>
    <d v="2025-01-08T11:01:17"/>
    <d v="2025-01-09T00:00:00"/>
    <s v="Ian Trottier"/>
    <s v="USD"/>
    <n v="0.6971426099664404"/>
    <n v="197.62097170711181"/>
    <n v="0"/>
    <n v="137.77000000000001"/>
    <n v="137.77000000000001"/>
    <m/>
    <n v="137.77000000000001"/>
    <s v="Delivered"/>
    <m/>
    <n v="1"/>
    <n v="1"/>
    <n v="2025"/>
    <n v="2"/>
    <n v="2025"/>
    <n v="0.69714260996644051"/>
    <x v="21"/>
    <d v="2025-01-08T10:56:50"/>
    <x v="23"/>
    <s v="Paid"/>
    <d v="2025-02-27T00:00:00"/>
    <s v="071736"/>
    <x v="14"/>
    <x v="1"/>
    <n v="197.62097170711183"/>
    <n v="137.77000000000001"/>
    <n v="0.6971426099664404"/>
    <n v="0"/>
    <n v="-137.77000000000001"/>
    <s v=""/>
    <n v="0"/>
    <x v="0"/>
    <x v="0"/>
    <s v="Pend"/>
    <s v="Pend"/>
  </r>
  <r>
    <n v="1"/>
    <s v="SO16383"/>
    <s v="4501080579"/>
    <s v="INV12761"/>
    <s v="Barrick Gold - Pueblo Viejo Dominicana Corporation"/>
    <d v="2025-01-08T11:17:15"/>
    <d v="2025-01-09T19:38:34"/>
    <d v="2025-01-08T00:00:00"/>
    <s v="Jeff Bell"/>
    <s v="USD"/>
    <n v="0.69558320313428079"/>
    <n v="15727.809341434109"/>
    <n v="0"/>
    <n v="10940"/>
    <n v="10940"/>
    <m/>
    <n v="10940"/>
    <s v="Delivered"/>
    <m/>
    <n v="1"/>
    <n v="1"/>
    <n v="2025"/>
    <n v="5"/>
    <n v="2025"/>
    <n v="0.69558320313428068"/>
    <x v="22"/>
    <d v="2025-01-08T11:17:15"/>
    <x v="24"/>
    <s v="Paid"/>
    <d v="2025-05-09T00:00:00"/>
    <s v="4501080579"/>
    <x v="15"/>
    <x v="1"/>
    <n v="15727.809341434107"/>
    <n v="10940"/>
    <n v="0.69558320313428079"/>
    <n v="0"/>
    <n v="-10940"/>
    <s v=""/>
    <n v="0"/>
    <x v="0"/>
    <x v="0"/>
    <s v="Pend"/>
    <s v="Pend"/>
  </r>
  <r>
    <n v="1"/>
    <s v="SO16384"/>
    <s v="2968"/>
    <s v="INV13051"/>
    <s v="Les Pompes du St-Laurent Inc."/>
    <d v="2025-01-08T11:51:36"/>
    <d v="2025-01-08T16:21:11"/>
    <d v="2025-05-14T00:00:00"/>
    <s v="Ian Trottier"/>
    <s v="CAD"/>
    <n v="1"/>
    <n v="2094.52"/>
    <n v="0"/>
    <n v="1456.9129306288139"/>
    <n v="1994.78"/>
    <n v="99.74"/>
    <n v="2094.52"/>
    <s v="Delivered"/>
    <m/>
    <n v="1"/>
    <n v="1"/>
    <n v="2025"/>
    <n v="7"/>
    <n v="2025"/>
    <n v="0.6955832031342809"/>
    <x v="23"/>
    <d v="2025-01-08T11:51:36"/>
    <x v="25"/>
    <s v="Paid"/>
    <d v="2025-07-10T00:00:00"/>
    <s v="2968"/>
    <x v="7"/>
    <x v="0"/>
    <n v="1994.78"/>
    <n v="1387.5354619482009"/>
    <n v="0.6955832031342809"/>
    <n v="-1994.78"/>
    <n v="0"/>
    <n v="0"/>
    <s v=""/>
    <x v="0"/>
    <x v="0"/>
    <s v="Pend"/>
    <s v="Pend"/>
  </r>
  <r>
    <n v="1"/>
    <s v="SO16385"/>
    <s v="11627"/>
    <s v="INV12579"/>
    <s v="Les Pompes Diaspec Inc."/>
    <d v="2025-01-08T12:01:24"/>
    <d v="2025-01-29T10:02:14"/>
    <d v="2025-01-30T00:00:00"/>
    <s v="Ian Trottier"/>
    <s v="CAD"/>
    <n v="1"/>
    <n v="12217.92"/>
    <n v="12217.92"/>
    <n v="12217.92"/>
    <n v="11636.11"/>
    <n v="581.80999999999995"/>
    <n v="12217.92"/>
    <s v="Delivered"/>
    <m/>
    <n v="1"/>
    <n v="1"/>
    <n v="2025"/>
    <n v="2"/>
    <n v="2025"/>
    <n v="1"/>
    <x v="24"/>
    <d v="2025-01-08T12:01:24"/>
    <x v="26"/>
    <s v="Paid"/>
    <d v="2025-02-26T00:00:00"/>
    <s v="11627"/>
    <x v="16"/>
    <x v="0"/>
    <n v="11636.11"/>
    <n v="8083.3508942471726"/>
    <n v="0.69467810928627971"/>
    <n v="-11636.11"/>
    <n v="0"/>
    <n v="0"/>
    <s v=""/>
    <x v="0"/>
    <x v="0"/>
    <s v="Pend"/>
    <s v="Pend"/>
  </r>
  <r>
    <n v="1"/>
    <s v="SO16389"/>
    <s v="6645"/>
    <s v="INV12501"/>
    <s v="Hyperflo"/>
    <d v="2025-01-08T13:39:48"/>
    <d v="2025-01-08T15:16:06"/>
    <d v="2025-01-09T00:00:00"/>
    <s v="Taylor Cook"/>
    <s v="CAD"/>
    <n v="1"/>
    <n v="224.6"/>
    <n v="0"/>
    <n v="156.22798742395949"/>
    <n v="213.9"/>
    <n v="10.7"/>
    <n v="224.6"/>
    <s v="Delivered"/>
    <m/>
    <n v="1"/>
    <n v="1"/>
    <n v="2025"/>
    <n v="2"/>
    <n v="2025"/>
    <n v="0.6955832031342809"/>
    <x v="25"/>
    <d v="2025-01-08T13:39:48"/>
    <x v="27"/>
    <s v="Paid"/>
    <d v="2025-02-21T00:00:00"/>
    <s v="6645"/>
    <x v="5"/>
    <x v="0"/>
    <n v="213.9"/>
    <n v="148.78524715042269"/>
    <n v="0.6955832031342809"/>
    <n v="-213.9"/>
    <n v="0"/>
    <n v="0"/>
    <s v=""/>
    <x v="0"/>
    <x v="0"/>
    <s v="Pend"/>
    <s v="Pend"/>
  </r>
  <r>
    <n v="2"/>
    <s v="SO16390"/>
    <s v="2969"/>
    <s v="INV12631"/>
    <s v="Les Pompes du St-Laurent Inc."/>
    <d v="2025-01-08T16:06:40"/>
    <d v="2025-01-08T16:09:56"/>
    <d v="2025-01-31T00:00:00"/>
    <s v="Ian Trottier"/>
    <s v="CAD"/>
    <n v="1"/>
    <n v="972.43"/>
    <n v="0"/>
    <n v="676.40597422386861"/>
    <n v="926.12"/>
    <n v="46.31"/>
    <n v="972.43"/>
    <s v="Delivered"/>
    <m/>
    <n v="2"/>
    <n v="1"/>
    <n v="2025"/>
    <n v="4"/>
    <n v="2025"/>
    <n v="0.69558320313428079"/>
    <x v="26"/>
    <d v="2025-01-08T16:06:40"/>
    <x v="28"/>
    <s v="Paid"/>
    <d v="2025-04-03T00:00:00"/>
    <s v="2969"/>
    <x v="7"/>
    <x v="0"/>
    <n v="926.12"/>
    <n v="644.19351608672014"/>
    <n v="0.69558320313428079"/>
    <n v="-463.06"/>
    <n v="0"/>
    <n v="463.06"/>
    <s v=""/>
    <x v="0"/>
    <x v="1"/>
    <s v="Yes"/>
    <s v="Pend"/>
  </r>
  <r>
    <m/>
    <m/>
    <m/>
    <s v="INV12506"/>
    <m/>
    <m/>
    <m/>
    <m/>
    <m/>
    <m/>
    <m/>
    <m/>
    <m/>
    <m/>
    <m/>
    <m/>
    <m/>
    <m/>
    <m/>
    <n v="2"/>
    <n v="1"/>
    <n v="2025"/>
    <n v="2"/>
    <n v="2025"/>
    <n v="0.69558320313428079"/>
    <x v="26"/>
    <d v="2025-01-08T16:06:40"/>
    <x v="29"/>
    <s v="Paid"/>
    <d v="2025-02-18T00:00:00"/>
    <s v="2969"/>
    <x v="7"/>
    <x v="0"/>
    <n v="0"/>
    <n v="0"/>
    <n v="0"/>
    <n v="-463.06"/>
    <n v="0"/>
    <n v="-463.06"/>
    <s v=""/>
    <x v="0"/>
    <x v="1"/>
    <s v="Yes"/>
    <s v="Pend"/>
  </r>
  <r>
    <n v="1"/>
    <s v="SO16392"/>
    <s v="4500574897"/>
    <s v="INV12706"/>
    <s v="Resolute Forest Products - Kenogami"/>
    <d v="2025-01-09T10:30:25"/>
    <d v="2025-01-14T15:21:50"/>
    <d v="2025-03-28T00:00:00"/>
    <s v="Ian Trottier"/>
    <s v="CAD"/>
    <n v="1"/>
    <n v="7778.54"/>
    <n v="0"/>
    <n v="5412.4629003718201"/>
    <n v="7408.13"/>
    <n v="370.41"/>
    <n v="7778.54"/>
    <s v="Delivered"/>
    <m/>
    <n v="1"/>
    <n v="1"/>
    <n v="2025"/>
    <n v="5"/>
    <n v="2025"/>
    <n v="0.69581989684077217"/>
    <x v="27"/>
    <d v="2025-01-09T10:30:25"/>
    <x v="30"/>
    <s v="Paid"/>
    <d v="2025-05-02T00:00:00"/>
    <s v="4500574897"/>
    <x v="17"/>
    <x v="0"/>
    <n v="7408.13"/>
    <n v="5154.72425238303"/>
    <n v="0.69581989684077228"/>
    <n v="-7408.13"/>
    <n v="0"/>
    <n v="0"/>
    <s v=""/>
    <x v="0"/>
    <x v="0"/>
    <s v="Pend"/>
    <s v="Pend"/>
  </r>
  <r>
    <n v="2"/>
    <s v="SO16393"/>
    <s v="2051"/>
    <s v="INV12704"/>
    <s v="FMI Products"/>
    <d v="2025-01-09T11:55:19"/>
    <d v="2025-01-14T10:33:40"/>
    <d v="2025-02-18T00:00:00"/>
    <s v="Ian Trottier"/>
    <s v="CAD"/>
    <n v="1"/>
    <n v="2482.17"/>
    <n v="0"/>
    <n v="1727.1432733412601"/>
    <n v="2363.9699999999998"/>
    <n v="118.2"/>
    <n v="2482.17"/>
    <s v="Delivered"/>
    <m/>
    <n v="2"/>
    <n v="1"/>
    <n v="2025"/>
    <n v="4"/>
    <n v="2025"/>
    <n v="0.69581989684077239"/>
    <x v="28"/>
    <d v="2025-01-09T11:55:19"/>
    <x v="31"/>
    <s v="Paid"/>
    <d v="2025-04-03T00:00:00"/>
    <s v="2051"/>
    <x v="18"/>
    <x v="0"/>
    <n v="2363.9699999999998"/>
    <n v="1644.8973615346806"/>
    <n v="0.69581989684077239"/>
    <n v="-1662.14"/>
    <n v="0"/>
    <n v="701.8299999999997"/>
    <s v=""/>
    <x v="0"/>
    <x v="1"/>
    <s v="Yes"/>
    <s v="Pend"/>
  </r>
  <r>
    <m/>
    <m/>
    <m/>
    <s v="INV12541"/>
    <m/>
    <m/>
    <m/>
    <m/>
    <m/>
    <m/>
    <m/>
    <m/>
    <m/>
    <m/>
    <m/>
    <m/>
    <m/>
    <m/>
    <m/>
    <n v="2"/>
    <n v="1"/>
    <n v="2025"/>
    <n v="2"/>
    <n v="2025"/>
    <n v="0.69581989684077239"/>
    <x v="28"/>
    <d v="2025-01-09T11:55:19"/>
    <x v="32"/>
    <s v="Paid"/>
    <d v="2025-02-21T00:00:00"/>
    <s v="2051"/>
    <x v="18"/>
    <x v="0"/>
    <n v="0"/>
    <n v="0"/>
    <n v="0"/>
    <n v="-701.83"/>
    <n v="0"/>
    <n v="-701.83"/>
    <s v=""/>
    <x v="0"/>
    <x v="1"/>
    <s v="Yes"/>
    <s v="Pend"/>
  </r>
  <r>
    <n v="1"/>
    <s v="SO16397"/>
    <s v="5345945"/>
    <s v="INV12846"/>
    <s v="Corrosion Fluid Products Corp."/>
    <d v="2025-01-09T17:03:42"/>
    <d v="2025-03-03T16:38:52"/>
    <d v="2025-03-17T00:00:00"/>
    <s v="Ian Trottier"/>
    <s v="USD"/>
    <n v="0.6913666591718971"/>
    <n v="1339.7088038775501"/>
    <n v="0"/>
    <n v="926.23"/>
    <n v="926.23"/>
    <m/>
    <n v="926.23"/>
    <s v="Delivered"/>
    <m/>
    <n v="1"/>
    <n v="1"/>
    <n v="2025"/>
    <n v="5"/>
    <n v="2025"/>
    <n v="0.6913666591718971"/>
    <x v="29"/>
    <d v="2025-01-09T17:03:42"/>
    <x v="33"/>
    <s v="Paid"/>
    <d v="2025-05-15T00:00:00"/>
    <s v="5345945"/>
    <x v="19"/>
    <x v="1"/>
    <n v="1339.7088038775501"/>
    <n v="926.23"/>
    <n v="0.6913666591718971"/>
    <n v="0"/>
    <n v="-926.23"/>
    <s v=""/>
    <n v="0"/>
    <x v="0"/>
    <x v="0"/>
    <s v="Pend"/>
    <s v="Pend"/>
  </r>
  <r>
    <n v="1"/>
    <s v="SO16399"/>
    <s v="08840"/>
    <s v="INV12536"/>
    <s v="Tantalum Mining Corporation of Canada"/>
    <d v="2025-01-10T09:25:49"/>
    <d v="2025-01-15T13:48:22"/>
    <d v="2025-01-16T00:00:00"/>
    <s v="Taylor Cook"/>
    <s v="CAD"/>
    <n v="1"/>
    <n v="904.12"/>
    <n v="904.12"/>
    <n v="904.12"/>
    <n v="861.07"/>
    <n v="43.05"/>
    <n v="904.12"/>
    <s v="Delivered"/>
    <m/>
    <n v="1"/>
    <n v="1"/>
    <n v="2025"/>
    <n v="2"/>
    <n v="2025"/>
    <n v="1"/>
    <x v="30"/>
    <d v="2025-01-10T09:25:49"/>
    <x v="34"/>
    <s v="Paid"/>
    <d v="2025-02-27T00:00:00"/>
    <s v="08840"/>
    <x v="20"/>
    <x v="0"/>
    <n v="861.07"/>
    <n v="598.16647956313693"/>
    <n v="0.69467810928627971"/>
    <n v="-861.07"/>
    <n v="0"/>
    <n v="0"/>
    <s v=""/>
    <x v="0"/>
    <x v="0"/>
    <s v="Pend"/>
    <s v="Pend"/>
  </r>
  <r>
    <n v="1"/>
    <s v="SO16400"/>
    <s v="9569096"/>
    <s v="INV12662"/>
    <s v="DXP Enterprises, Inc. - Pumping Solutions, Inc. - Hayward California"/>
    <d v="2025-01-10T09:31:55"/>
    <d v="2025-01-15T12:30:40"/>
    <d v="2025-02-19T00:00:00"/>
    <s v="Taylor Cook"/>
    <s v="USD"/>
    <n v="0.69581989684077217"/>
    <n v="3105.4443970498778"/>
    <n v="0"/>
    <n v="2160.83"/>
    <n v="2160.83"/>
    <m/>
    <n v="2160.83"/>
    <s v="Delivered"/>
    <m/>
    <n v="1"/>
    <n v="1"/>
    <n v="2025"/>
    <n v="4"/>
    <n v="2025"/>
    <n v="0.69581989684077217"/>
    <x v="31"/>
    <d v="2025-01-10T09:31:55"/>
    <x v="35"/>
    <s v="Paid"/>
    <d v="2025-04-07T00:00:00"/>
    <s v="9569096"/>
    <x v="21"/>
    <x v="1"/>
    <n v="3105.4443970498778"/>
    <n v="2160.83"/>
    <n v="0.69581989684077217"/>
    <n v="0"/>
    <n v="-2160.83"/>
    <s v=""/>
    <n v="0"/>
    <x v="0"/>
    <x v="0"/>
    <s v="Pend"/>
    <s v="Pend"/>
  </r>
  <r>
    <n v="1"/>
    <s v="SO16401"/>
    <s v="FC10-00114698"/>
    <s v="INV12574"/>
    <s v="Motion Industries Inc. (U.S.) - Lakeland"/>
    <d v="2025-01-10T09:55:09"/>
    <d v="2025-01-13T14:05:45"/>
    <d v="2025-01-14T00:00:00"/>
    <s v="Taylor Cook"/>
    <s v="USD"/>
    <n v="0.69462238860369352"/>
    <n v="120.9290131993211"/>
    <n v="0"/>
    <n v="84"/>
    <n v="84"/>
    <m/>
    <n v="84"/>
    <s v="Delivered"/>
    <m/>
    <n v="1"/>
    <n v="1"/>
    <n v="2025"/>
    <n v="2"/>
    <n v="2025"/>
    <n v="0.69462238860369341"/>
    <x v="32"/>
    <d v="2025-01-10T09:55:09"/>
    <x v="36"/>
    <s v="Paid"/>
    <d v="2025-02-28T00:00:00"/>
    <s v="FC10-00114698"/>
    <x v="22"/>
    <x v="1"/>
    <n v="120.92901319932109"/>
    <n v="84"/>
    <n v="0.69462238860369352"/>
    <n v="0"/>
    <n v="-84"/>
    <s v=""/>
    <n v="0"/>
    <x v="0"/>
    <x v="0"/>
    <s v="Pend"/>
    <s v="Pend"/>
  </r>
  <r>
    <n v="1"/>
    <s v="SO16402"/>
    <s v="2243614"/>
    <s v="INV12530"/>
    <s v="Zijin Mining - Rosebel Goldmines N.V."/>
    <d v="2025-01-10T11:38:20"/>
    <d v="2025-01-13T10:28:21"/>
    <d v="2025-02-22T00:00:00"/>
    <s v="Amanda Qiao"/>
    <s v="USD"/>
    <n v="0.69462238860369352"/>
    <n v="5373.7110424893553"/>
    <n v="0"/>
    <n v="3732.7"/>
    <n v="3732.7"/>
    <m/>
    <n v="3732.7"/>
    <s v="Delivered"/>
    <m/>
    <n v="1"/>
    <n v="1"/>
    <n v="2025"/>
    <n v="3"/>
    <n v="2025"/>
    <n v="0.69462238860369352"/>
    <x v="33"/>
    <d v="2025-01-10T11:38:20"/>
    <x v="37"/>
    <s v="Paid"/>
    <d v="2025-03-25T00:00:00"/>
    <s v="2243614"/>
    <x v="1"/>
    <x v="1"/>
    <n v="5373.7110424893553"/>
    <n v="3732.7"/>
    <n v="0.69462238860369352"/>
    <n v="0"/>
    <n v="-3732.7"/>
    <s v=""/>
    <n v="0"/>
    <x v="0"/>
    <x v="0"/>
    <s v="Pend"/>
    <s v="Pend"/>
  </r>
  <r>
    <n v="1"/>
    <s v="SO16403"/>
    <s v="MB21-00185834"/>
    <s v="INV12508"/>
    <s v="Motion Industries Inc. (Canada) - Winnipeg"/>
    <d v="2025-01-10T12:35:08"/>
    <d v="2025-01-10T14:35:06"/>
    <d v="2025-01-13T00:00:00"/>
    <s v="Taylor Cook"/>
    <s v="CAD"/>
    <n v="1"/>
    <n v="540.29999999999995"/>
    <n v="0"/>
    <n v="374.24329219542551"/>
    <n v="540.29999999999995"/>
    <m/>
    <n v="540.29999999999995"/>
    <s v="Delivered"/>
    <m/>
    <n v="1"/>
    <n v="1"/>
    <n v="2025"/>
    <n v="2"/>
    <n v="2025"/>
    <n v="0.69265832351550161"/>
    <x v="34"/>
    <d v="2025-01-10T12:35:08"/>
    <x v="38"/>
    <s v="Paid"/>
    <d v="2025-02-12T00:00:00"/>
    <s v="MB21-00185834"/>
    <x v="23"/>
    <x v="0"/>
    <n v="540.29999999999995"/>
    <n v="374.24329219542551"/>
    <n v="0.69265832351550161"/>
    <n v="-540.29999999999995"/>
    <n v="0"/>
    <n v="0"/>
    <s v=""/>
    <x v="0"/>
    <x v="0"/>
    <s v="Pend"/>
    <s v="Pend"/>
  </r>
  <r>
    <n v="1"/>
    <s v="SO16405"/>
    <s v="2100484115"/>
    <s v="INV12513"/>
    <s v="Wajax Limited - Sorel-Tracy"/>
    <d v="2025-01-10T15:00:01"/>
    <d v="2025-01-10T16:49:27"/>
    <d v="2025-01-13T00:00:00"/>
    <s v="Taylor Cook"/>
    <s v="CAD"/>
    <n v="1"/>
    <n v="2138.66"/>
    <n v="0"/>
    <n v="1481.360650169662"/>
    <n v="2036.82"/>
    <n v="101.84"/>
    <n v="2138.66"/>
    <s v="Delivered"/>
    <m/>
    <n v="1"/>
    <n v="1"/>
    <n v="2025"/>
    <n v="2"/>
    <n v="2025"/>
    <n v="0.69265832351550138"/>
    <x v="35"/>
    <d v="2025-01-10T15:00:01"/>
    <x v="39"/>
    <s v="Paid"/>
    <d v="2025-02-19T00:00:00"/>
    <s v="2100484115"/>
    <x v="24"/>
    <x v="0"/>
    <n v="2036.82"/>
    <n v="1410.8203265028435"/>
    <n v="0.69265832351550138"/>
    <n v="-2036.82"/>
    <n v="0"/>
    <n v="0"/>
    <s v=""/>
    <x v="0"/>
    <x v="0"/>
    <s v="Pend"/>
    <s v="Pend"/>
  </r>
  <r>
    <n v="1"/>
    <s v="SO16406"/>
    <s v="2981"/>
    <s v="INV12635"/>
    <s v="Les Pompes du St-Laurent Inc."/>
    <d v="2025-01-10T15:33:55"/>
    <d v="2025-01-13T14:13:18"/>
    <d v="2025-02-10T00:00:00"/>
    <s v="Ian Trottier"/>
    <s v="CAD"/>
    <n v="1"/>
    <n v="2358.5100000000002"/>
    <n v="0"/>
    <n v="1636.6783557362239"/>
    <n v="2246.1999999999998"/>
    <n v="112.31"/>
    <n v="2358.5100000000002"/>
    <s v="Delivered"/>
    <m/>
    <n v="1"/>
    <n v="1"/>
    <n v="2025"/>
    <n v="4"/>
    <n v="2025"/>
    <n v="0.69394590471790396"/>
    <x v="36"/>
    <d v="2025-01-10T15:33:55"/>
    <x v="40"/>
    <s v="Paid"/>
    <d v="2025-04-03T00:00:00"/>
    <s v="2981"/>
    <x v="7"/>
    <x v="0"/>
    <n v="2246.1999999999998"/>
    <n v="1558.7412911773558"/>
    <n v="0.69394590471790396"/>
    <n v="-2246.1999999999998"/>
    <n v="0"/>
    <n v="0"/>
    <s v=""/>
    <x v="0"/>
    <x v="0"/>
    <s v="Pend"/>
    <s v="Pend"/>
  </r>
  <r>
    <n v="1"/>
    <s v="SO16408"/>
    <s v="P-11425"/>
    <s v="INV12519"/>
    <s v="Cartledge &amp; Associates Inc."/>
    <d v="2025-01-13T09:40:17"/>
    <d v="2025-01-14T12:55:20"/>
    <d v="2025-01-15T00:00:00"/>
    <s v="Ian Trottier"/>
    <s v="USD"/>
    <n v="0.69394590471790418"/>
    <n v="4614.2789779870072"/>
    <n v="0"/>
    <n v="3202.06"/>
    <n v="3202.06"/>
    <m/>
    <n v="3202.06"/>
    <s v="Delivered"/>
    <m/>
    <n v="1"/>
    <n v="1"/>
    <n v="2025"/>
    <n v="2"/>
    <n v="2025"/>
    <n v="0.69394590471790418"/>
    <x v="37"/>
    <d v="2025-01-13T09:40:17"/>
    <x v="41"/>
    <s v="Paid"/>
    <d v="2025-02-27T00:00:00"/>
    <s v="P-11425"/>
    <x v="25"/>
    <x v="1"/>
    <n v="4614.2789779870072"/>
    <n v="3202.06"/>
    <n v="0.69394590471790418"/>
    <n v="0"/>
    <n v="-3202.06"/>
    <s v=""/>
    <n v="0"/>
    <x v="0"/>
    <x v="0"/>
    <s v="Pend"/>
    <s v="Pend"/>
  </r>
  <r>
    <n v="1"/>
    <s v="SO16409"/>
    <s v="PO-038220"/>
    <s v="INV12515"/>
    <s v="Southeast Pump Specialist, Inc."/>
    <d v="2025-01-13T09:49:06"/>
    <d v="2025-01-13T10:19:06"/>
    <d v="2025-01-14T00:00:00"/>
    <s v="Ian Trottier"/>
    <s v="USD"/>
    <n v="0.69462238860369352"/>
    <n v="4344.1588545191826"/>
    <n v="0"/>
    <n v="3017.55"/>
    <n v="3017.55"/>
    <m/>
    <n v="3017.55"/>
    <s v="Delivered"/>
    <m/>
    <n v="1"/>
    <n v="1"/>
    <n v="2025"/>
    <n v="4"/>
    <n v="2025"/>
    <n v="0.69462238860369363"/>
    <x v="38"/>
    <d v="2025-01-13T09:49:06"/>
    <x v="42"/>
    <s v="Paid"/>
    <d v="2025-04-07T00:00:00"/>
    <s v="PO-038220"/>
    <x v="26"/>
    <x v="1"/>
    <n v="4344.1588545191835"/>
    <n v="3017.55"/>
    <n v="0.69462238860369352"/>
    <n v="0"/>
    <n v="-3017.55"/>
    <s v=""/>
    <n v="0"/>
    <x v="0"/>
    <x v="0"/>
    <s v="Pend"/>
    <s v="Pend"/>
  </r>
  <r>
    <n v="1"/>
    <s v="SO16411"/>
    <s v="2982"/>
    <s v="INV12535"/>
    <s v="Les Pompes du St-Laurent Inc."/>
    <d v="2025-01-13T11:32:46"/>
    <d v="2025-01-13T14:53:16"/>
    <d v="2025-01-14T00:00:00"/>
    <s v="Ian Trottier"/>
    <s v="CAD"/>
    <n v="1"/>
    <n v="2776.1"/>
    <n v="0"/>
    <n v="1926.4632260873741"/>
    <n v="2643.9"/>
    <n v="132.19999999999999"/>
    <n v="2776.1"/>
    <s v="Delivered"/>
    <m/>
    <n v="1"/>
    <n v="1"/>
    <n v="2025"/>
    <n v="2"/>
    <n v="2025"/>
    <n v="0.69394590471790429"/>
    <x v="39"/>
    <d v="2025-01-13T11:32:46"/>
    <x v="43"/>
    <s v="Paid"/>
    <d v="2025-02-18T00:00:00"/>
    <s v="2982"/>
    <x v="7"/>
    <x v="0"/>
    <n v="2643.9"/>
    <n v="1834.7235774836672"/>
    <n v="0.69394590471790429"/>
    <n v="-2643.9"/>
    <n v="0"/>
    <n v="0"/>
    <s v=""/>
    <x v="0"/>
    <x v="0"/>
    <s v="Pend"/>
    <s v="Pend"/>
  </r>
  <r>
    <n v="1"/>
    <s v="SO16412"/>
    <s v="4500554481"/>
    <s v="INV12539"/>
    <s v="Glencore Canada Corporation - Rouyn-Noranda, Glencore Canada Corp."/>
    <d v="2025-01-13T12:37:48"/>
    <d v="2025-01-13T12:46:36"/>
    <d v="2025-01-13T00:00:00"/>
    <s v="Ian Trottier"/>
    <s v="CAD"/>
    <n v="1"/>
    <n v="2453.4899999999998"/>
    <n v="0"/>
    <n v="1702.589337766331"/>
    <n v="2336.66"/>
    <n v="116.83"/>
    <n v="2453.4899999999998"/>
    <s v="Delivered"/>
    <m/>
    <n v="1"/>
    <n v="1"/>
    <n v="2025"/>
    <n v="2"/>
    <n v="2025"/>
    <n v="0.6939459047179044"/>
    <x v="40"/>
    <d v="2025-01-13T12:37:48"/>
    <x v="44"/>
    <s v="Paid"/>
    <d v="2025-02-28T00:00:00"/>
    <s v="4500554481"/>
    <x v="27"/>
    <x v="0"/>
    <n v="2336.66"/>
    <n v="1621.5156377181384"/>
    <n v="0.6939459047179044"/>
    <n v="-2336.66"/>
    <n v="0"/>
    <n v="0"/>
    <s v=""/>
    <x v="0"/>
    <x v="0"/>
    <s v="Pend"/>
    <s v="Pend"/>
  </r>
  <r>
    <n v="1"/>
    <s v="SO16413"/>
    <s v="AZ52-00108614"/>
    <s v="INV12516"/>
    <s v="Motion Industries Inc. (U.S.) - Tucson"/>
    <d v="2025-01-13T12:56:44"/>
    <d v="2025-01-14T12:18:21"/>
    <d v="2025-01-15T00:00:00"/>
    <s v="Ian Trottier"/>
    <s v="USD"/>
    <n v="0.69394590471790418"/>
    <n v="478.65402438685243"/>
    <n v="0"/>
    <n v="332.16"/>
    <n v="332.16"/>
    <m/>
    <n v="332.16"/>
    <s v="Delivered"/>
    <m/>
    <n v="1"/>
    <n v="1"/>
    <n v="2025"/>
    <n v="2"/>
    <n v="2025"/>
    <n v="0.69394590471790407"/>
    <x v="41"/>
    <d v="2025-01-13T12:56:44"/>
    <x v="45"/>
    <s v="Paid"/>
    <d v="2025-02-14T00:00:00"/>
    <s v="AZ52-00108614"/>
    <x v="28"/>
    <x v="1"/>
    <n v="478.65402438685237"/>
    <n v="332.16"/>
    <n v="0.69394590471790418"/>
    <n v="0"/>
    <n v="-332.16"/>
    <s v=""/>
    <n v="0"/>
    <x v="0"/>
    <x v="0"/>
    <s v="Pend"/>
    <s v="Pend"/>
  </r>
  <r>
    <n v="1"/>
    <s v="SO16414"/>
    <s v="0203793 - JRF"/>
    <s v="INV12626"/>
    <s v="Electric Pump"/>
    <d v="2025-01-13T13:02:31"/>
    <d v="2025-01-17T13:14:43"/>
    <d v="2025-01-19T00:00:00"/>
    <s v="Taylor Cook"/>
    <s v="USD"/>
    <n v="0.69535056497291603"/>
    <n v="102.85459393102769"/>
    <n v="0"/>
    <n v="71.52"/>
    <n v="71.52"/>
    <m/>
    <n v="71.52"/>
    <s v="Delivered"/>
    <m/>
    <n v="1"/>
    <n v="1"/>
    <n v="2025"/>
    <n v="3"/>
    <n v="2025"/>
    <n v="0.69535056497291636"/>
    <x v="42"/>
    <d v="2025-01-13T13:02:31"/>
    <x v="46"/>
    <s v="Paid"/>
    <d v="2025-03-27T00:00:00"/>
    <s v="0203793 - JRF"/>
    <x v="29"/>
    <x v="1"/>
    <n v="102.85459393102774"/>
    <n v="71.52"/>
    <n v="0.69535056497291603"/>
    <n v="0"/>
    <n v="-71.52"/>
    <s v=""/>
    <n v="0"/>
    <x v="0"/>
    <x v="0"/>
    <s v="Pend"/>
    <s v="Pend"/>
  </r>
  <r>
    <n v="1"/>
    <s v="SO16417"/>
    <s v="1042"/>
    <s v="INV12872"/>
    <s v="Mill-Right Mine Services Inc."/>
    <d v="2025-01-13T15:49:52"/>
    <d v="2025-01-15T11:22:54"/>
    <d v="2025-04-02T00:00:00"/>
    <s v="Jeff Bell"/>
    <s v="USD"/>
    <n v="0.69581989684077217"/>
    <n v="5734.2424643442628"/>
    <n v="0"/>
    <n v="3990"/>
    <n v="3990"/>
    <m/>
    <n v="3990"/>
    <s v="Delivered"/>
    <m/>
    <n v="1"/>
    <n v="1"/>
    <n v="2025"/>
    <n v="5"/>
    <n v="2025"/>
    <n v="0.69581989684077217"/>
    <x v="43"/>
    <d v="2025-01-13T15:49:52"/>
    <x v="47"/>
    <s v="Paid"/>
    <d v="2025-05-29T00:00:00"/>
    <s v="1042"/>
    <x v="30"/>
    <x v="1"/>
    <n v="5734.2424643442628"/>
    <n v="3990"/>
    <n v="0.69581989684077217"/>
    <n v="0"/>
    <n v="-3990"/>
    <s v=""/>
    <n v="0"/>
    <x v="0"/>
    <x v="0"/>
    <s v="Pend"/>
    <s v="Pend"/>
  </r>
  <r>
    <n v="1"/>
    <s v="SO16422"/>
    <s v="316424"/>
    <s v="INV12701"/>
    <s v="Gibraltar Mine (Canada)"/>
    <d v="2025-01-14T10:23:27"/>
    <d v="2025-01-14T16:35:09"/>
    <d v="2025-03-11T00:00:00"/>
    <s v="Ian Trottier"/>
    <s v="CAD"/>
    <n v="1"/>
    <n v="6106.39"/>
    <n v="0"/>
    <n v="4248.9476598695228"/>
    <n v="5815.61"/>
    <n v="290.77999999999997"/>
    <n v="6106.39"/>
    <s v="Delivered"/>
    <m/>
    <n v="1"/>
    <n v="1"/>
    <n v="2025"/>
    <n v="4"/>
    <n v="2025"/>
    <n v="0.69581989684077217"/>
    <x v="44"/>
    <d v="2025-01-14T10:23:27"/>
    <x v="48"/>
    <s v="Paid"/>
    <d v="2025-04-02T00:00:00"/>
    <s v="316424"/>
    <x v="11"/>
    <x v="0"/>
    <n v="5815.61"/>
    <n v="4046.6171502661628"/>
    <n v="0.69581989684077217"/>
    <n v="-5815.61"/>
    <n v="0"/>
    <n v="0"/>
    <s v=""/>
    <x v="0"/>
    <x v="0"/>
    <s v="Pend"/>
    <s v="Pend"/>
  </r>
  <r>
    <n v="1"/>
    <s v="SO16423"/>
    <s v="P350633"/>
    <s v="INV12544"/>
    <s v="Covia Corp - Camden"/>
    <d v="2025-01-14T12:27:34"/>
    <d v="2025-01-16T16:26:30"/>
    <d v="2025-01-20T00:00:00"/>
    <s v="Marlen Martinez"/>
    <s v="CAD"/>
    <n v="1"/>
    <n v="5986"/>
    <n v="0"/>
    <n v="4162.3684819278751"/>
    <n v="5986"/>
    <m/>
    <n v="5986"/>
    <s v="Delivered"/>
    <m/>
    <n v="1"/>
    <n v="1"/>
    <n v="2025"/>
    <n v="5"/>
    <n v="2025"/>
    <n v="0.69535056497291603"/>
    <x v="45"/>
    <d v="2025-01-14T12:27:34"/>
    <x v="49"/>
    <s v="Paid"/>
    <d v="2025-05-02T00:00:00"/>
    <s v="P350633"/>
    <x v="31"/>
    <x v="0"/>
    <n v="5986"/>
    <n v="4162.3684819278751"/>
    <n v="0.69535056497291603"/>
    <n v="-8565.0102305083783"/>
    <n v="0"/>
    <n v="-2579.0102305083783"/>
    <s v=""/>
    <x v="0"/>
    <x v="0"/>
    <s v="Pend"/>
    <s v="Pend"/>
  </r>
  <r>
    <n v="1"/>
    <s v="SO16424"/>
    <s v="M-083550"/>
    <s v="INV12643"/>
    <s v="Grant Aggregate"/>
    <d v="2025-01-14T12:47:17"/>
    <d v="2025-02-10T13:25:30"/>
    <d v="2025-02-11T00:00:00"/>
    <s v="Ian Trottier"/>
    <s v="CAD"/>
    <n v="1"/>
    <n v="24293.77"/>
    <n v="0"/>
    <n v="16965.42931634554"/>
    <n v="21498.92"/>
    <n v="2794.85"/>
    <n v="24293.77"/>
    <s v="Delivered"/>
    <m/>
    <n v="1"/>
    <n v="1"/>
    <n v="2025"/>
    <n v="3"/>
    <n v="2025"/>
    <n v="0.69834485616458619"/>
    <x v="46"/>
    <d v="2025-01-14T12:47:17"/>
    <x v="50"/>
    <s v="Paid"/>
    <d v="2025-03-27T00:00:00"/>
    <s v="M-083550"/>
    <x v="9"/>
    <x v="0"/>
    <n v="21498.92"/>
    <n v="15013.660195093944"/>
    <n v="0.69834485616458619"/>
    <n v="-21498.92"/>
    <n v="0"/>
    <n v="0"/>
    <s v=""/>
    <x v="0"/>
    <x v="0"/>
    <s v="Pend"/>
    <s v="Pend"/>
  </r>
  <r>
    <n v="1"/>
    <s v="SO16426"/>
    <s v="16114 - Paid in Full $956.16 on February 28th 2025."/>
    <s v="INV12695"/>
    <s v="Industrial Rigging &amp; Supply"/>
    <d v="2025-01-14T13:31:01"/>
    <d v="2025-02-27T15:23:24"/>
    <d v="2025-02-28T00:00:00"/>
    <s v="Ian Trottier"/>
    <s v="CAD"/>
    <n v="1"/>
    <n v="956.16"/>
    <n v="0"/>
    <n v="663.06159595385373"/>
    <n v="846.16"/>
    <n v="110"/>
    <n v="956.16"/>
    <s v="Delivered"/>
    <m/>
    <n v="1"/>
    <n v="1"/>
    <n v="2025"/>
    <n v="2"/>
    <n v="2025"/>
    <n v="0.69346301450997083"/>
    <x v="47"/>
    <d v="2025-01-14T13:31:01"/>
    <x v="51"/>
    <s v="Paid"/>
    <d v="2025-02-28T00:00:00"/>
    <s v="16114 - Paid in Full $956.16 on February 28th 2025."/>
    <x v="32"/>
    <x v="0"/>
    <n v="846.16"/>
    <n v="586.7806643577569"/>
    <n v="0.69346301450997083"/>
    <n v="-846.16"/>
    <n v="0"/>
    <n v="0"/>
    <s v=""/>
    <x v="0"/>
    <x v="0"/>
    <s v="Pend"/>
    <s v="Pend"/>
  </r>
  <r>
    <n v="1"/>
    <s v="SO16427"/>
    <s v="6662"/>
    <s v="INV12811"/>
    <s v="Hyperflo"/>
    <d v="2025-01-14T13:50:00"/>
    <d v="2025-01-15T12:52:54"/>
    <d v="2025-04-02T00:00:00"/>
    <s v="Ian Trottier"/>
    <s v="CAD"/>
    <n v="1"/>
    <n v="5081.07"/>
    <n v="5081.07"/>
    <n v="5081.07"/>
    <n v="4839.1099999999997"/>
    <n v="241.96"/>
    <n v="5081.07"/>
    <s v="Delivered"/>
    <m/>
    <n v="1"/>
    <n v="1"/>
    <n v="2025"/>
    <n v="5"/>
    <n v="2025"/>
    <n v="1"/>
    <x v="48"/>
    <d v="2025-01-14T13:50:00"/>
    <x v="52"/>
    <s v="Paid"/>
    <d v="2025-05-20T00:00:00"/>
    <s v="6662"/>
    <x v="5"/>
    <x v="0"/>
    <n v="4839.1099999999997"/>
    <n v="3361.6237854283286"/>
    <n v="0.69467810928627971"/>
    <n v="-4839.1099999999997"/>
    <n v="0"/>
    <n v="0"/>
    <s v=""/>
    <x v="0"/>
    <x v="0"/>
    <s v="Pend"/>
    <s v="Pend"/>
  </r>
  <r>
    <n v="1"/>
    <s v="SO16429"/>
    <s v="13188"/>
    <s v="INV12538"/>
    <s v="Manufacture Sling-Choker (Val-d’Or) Ltée"/>
    <d v="2025-01-14T16:08:54"/>
    <d v="2025-01-15T14:08:15"/>
    <d v="2025-01-16T00:00:00"/>
    <s v="Taylor Cook"/>
    <s v="CAD"/>
    <n v="1"/>
    <n v="917.08"/>
    <n v="917.08"/>
    <n v="917.08"/>
    <n v="873.41"/>
    <n v="43.67"/>
    <n v="917.08"/>
    <s v="Delivered"/>
    <m/>
    <n v="1"/>
    <n v="1"/>
    <n v="2025"/>
    <n v="2"/>
    <n v="2025"/>
    <n v="1"/>
    <x v="49"/>
    <d v="2025-01-14T16:08:54"/>
    <x v="53"/>
    <s v="Paid"/>
    <d v="2025-02-19T00:00:00"/>
    <s v="13188"/>
    <x v="10"/>
    <x v="0"/>
    <n v="873.41"/>
    <n v="606.73880743172958"/>
    <n v="0.69467810928627971"/>
    <n v="-873.41"/>
    <n v="0"/>
    <n v="0"/>
    <s v=""/>
    <x v="0"/>
    <x v="0"/>
    <s v="Pend"/>
    <s v="Pend"/>
  </r>
  <r>
    <n v="0"/>
    <s v="SO16430"/>
    <s v="3374"/>
    <m/>
    <s v="Les Pompes du St-Laurent Inc."/>
    <d v="2025-01-14T18:05:20"/>
    <d v="2025-10-31T14:21:01"/>
    <d v="2026-01-23T00:00:00"/>
    <s v="Ian Trottier"/>
    <s v="CAD"/>
    <n v="1"/>
    <n v="12682.02"/>
    <n v="0"/>
    <n v="9050.9155822992016"/>
    <n v="12078.11"/>
    <n v="603.91"/>
    <n v="12682.02"/>
    <s v="Processing"/>
    <m/>
    <n v="0"/>
    <n v="1"/>
    <n v="2025"/>
    <s v=""/>
    <s v=""/>
    <n v="0.71368091063562444"/>
    <x v="50"/>
    <d v="2025-01-14T18:05:20"/>
    <x v="54"/>
    <s v="Not invoiced"/>
    <s v="Pending"/>
    <s v="3374"/>
    <x v="7"/>
    <x v="0"/>
    <n v="12078.11"/>
    <n v="8619.9165435572431"/>
    <n v="0.71368091063562455"/>
    <n v="0"/>
    <n v="0"/>
    <n v="12078.11"/>
    <s v=""/>
    <x v="1"/>
    <x v="2"/>
    <s v="Pend"/>
    <s v="Pend"/>
  </r>
  <r>
    <n v="1"/>
    <s v="SO16432"/>
    <s v="OP-1500441"/>
    <s v="INV12563"/>
    <s v="Agnico Eagle Mines Ltd. - Rouyn-Noranda, LaRonde secteur Penna (11102)"/>
    <d v="2025-01-15T10:32:08"/>
    <d v="2025-01-22T09:34:39"/>
    <d v="2025-01-23T00:00:00"/>
    <s v="Ian Trottier"/>
    <s v="CAD"/>
    <n v="1"/>
    <n v="523.72"/>
    <n v="523.72"/>
    <n v="523.72"/>
    <n v="498.78"/>
    <n v="24.94"/>
    <n v="523.72"/>
    <s v="Delivered"/>
    <m/>
    <n v="1"/>
    <n v="1"/>
    <n v="2025"/>
    <n v="2"/>
    <n v="2025"/>
    <n v="1"/>
    <x v="51"/>
    <d v="2025-01-15T10:32:08"/>
    <x v="55"/>
    <s v="Paid"/>
    <d v="2025-02-27T00:00:00"/>
    <s v="OP-1500441"/>
    <x v="33"/>
    <x v="0"/>
    <n v="498.78"/>
    <n v="346.49154734981056"/>
    <n v="0.69467810928627971"/>
    <n v="-498.78"/>
    <n v="0"/>
    <n v="0"/>
    <s v=""/>
    <x v="0"/>
    <x v="0"/>
    <s v="Pend"/>
    <s v="Pend"/>
  </r>
  <r>
    <n v="1"/>
    <s v="SO16433"/>
    <s v="03260"/>
    <s v="INV12602"/>
    <s v="Eleazar General &amp; Industrial Supplies Limited"/>
    <d v="2025-01-15T12:35:19"/>
    <d v="2025-01-27T15:04:27"/>
    <d v="2025-01-28T00:00:00"/>
    <s v="Ian Trottier"/>
    <s v="USD"/>
    <n v="0.69723104385450763"/>
    <n v="4777.1969268411494"/>
    <n v="0"/>
    <n v="3330.81"/>
    <n v="3330.81"/>
    <m/>
    <n v="3330.81"/>
    <s v="Delivered"/>
    <m/>
    <n v="1"/>
    <n v="1"/>
    <n v="2025"/>
    <n v="1"/>
    <n v="2025"/>
    <n v="0.69723104385450752"/>
    <x v="52"/>
    <d v="2025-01-15T12:35:19"/>
    <x v="56"/>
    <s v="Paid"/>
    <d v="2025-01-31T00:00:00"/>
    <s v="03260"/>
    <x v="8"/>
    <x v="1"/>
    <n v="4777.1969268411485"/>
    <n v="3330.81"/>
    <n v="0.69723104385450763"/>
    <n v="0"/>
    <n v="-3330.81"/>
    <s v=""/>
    <n v="0"/>
    <x v="0"/>
    <x v="0"/>
    <s v="Pend"/>
    <s v="Pend"/>
  </r>
  <r>
    <n v="1"/>
    <s v="SO16434"/>
    <s v="6335"/>
    <s v="INV12595"/>
    <s v="ProPart Pompes du Canada 9425-4380 Quebec Inc"/>
    <d v="2025-01-15T13:14:23"/>
    <d v="2025-01-27T13:46:05"/>
    <d v="2025-01-28T00:00:00"/>
    <s v="Ian Trottier"/>
    <s v="CAD"/>
    <n v="1"/>
    <n v="5733.49"/>
    <n v="0"/>
    <n v="3984.3182951212389"/>
    <n v="5460.46"/>
    <n v="273.02999999999997"/>
    <n v="5733.49"/>
    <s v="Delivered"/>
    <m/>
    <n v="1"/>
    <n v="1"/>
    <n v="2025"/>
    <n v="3"/>
    <n v="2025"/>
    <n v="0.69492024842133482"/>
    <x v="53"/>
    <d v="2025-01-15T13:14:23"/>
    <x v="57"/>
    <s v="Paid"/>
    <d v="2025-03-24T00:00:00"/>
    <s v="6335"/>
    <x v="34"/>
    <x v="0"/>
    <n v="5460.46"/>
    <n v="3794.5842196947619"/>
    <n v="0.69492024842133482"/>
    <n v="-5460.46"/>
    <n v="0"/>
    <n v="0"/>
    <s v=""/>
    <x v="0"/>
    <x v="0"/>
    <s v="Pend"/>
    <s v="Pend"/>
  </r>
  <r>
    <n v="1"/>
    <s v="SO16435"/>
    <s v="2100393819"/>
    <s v="INV12551"/>
    <s v="Wajax Limited - Noranda"/>
    <d v="2025-01-15T13:15:21"/>
    <d v="2025-01-15T15:22:42"/>
    <d v="2025-01-16T00:00:00"/>
    <s v="Ian Trottier"/>
    <s v="CAD"/>
    <n v="1"/>
    <n v="2043.9"/>
    <n v="2043.9"/>
    <n v="2043.9"/>
    <n v="1946.57"/>
    <n v="97.33"/>
    <n v="2043.9"/>
    <s v="Delivered"/>
    <m/>
    <n v="1"/>
    <n v="1"/>
    <n v="2025"/>
    <n v="2"/>
    <n v="2025"/>
    <n v="1"/>
    <x v="54"/>
    <d v="2025-01-15T13:15:21"/>
    <x v="58"/>
    <s v="Paid"/>
    <d v="2025-02-26T00:00:00"/>
    <s v="2100393819"/>
    <x v="35"/>
    <x v="0"/>
    <n v="1946.57"/>
    <n v="1352.2395671933934"/>
    <n v="0.69467810928627971"/>
    <n v="-1946.57"/>
    <n v="0"/>
    <n v="0"/>
    <s v=""/>
    <x v="0"/>
    <x v="0"/>
    <s v="Pend"/>
    <s v="Pend"/>
  </r>
  <r>
    <n v="1"/>
    <s v="SO16436"/>
    <s v="5337984"/>
    <s v="INV12545"/>
    <s v="Pierce Pump Company, Pierce Pump Company"/>
    <d v="2025-01-15T16:16:04"/>
    <d v="2025-01-17T15:26:41"/>
    <d v="2025-01-20T00:00:00"/>
    <s v="Ian Trottier"/>
    <s v="USD"/>
    <n v="0.69535056497291603"/>
    <n v="2360.8667091022521"/>
    <n v="0"/>
    <n v="1641.63"/>
    <n v="1641.63"/>
    <m/>
    <n v="1641.63"/>
    <s v="Delivered"/>
    <m/>
    <n v="1"/>
    <n v="1"/>
    <n v="2025"/>
    <n v="2"/>
    <n v="2025"/>
    <n v="0.69535056497291603"/>
    <x v="55"/>
    <d v="2025-01-15T16:16:04"/>
    <x v="59"/>
    <s v="Paid"/>
    <d v="2025-02-20T00:00:00"/>
    <s v="5337984"/>
    <x v="36"/>
    <x v="1"/>
    <n v="2360.8667091022521"/>
    <n v="1641.63"/>
    <n v="0.69535056497291603"/>
    <n v="0"/>
    <n v="-1641.63"/>
    <s v=""/>
    <n v="0"/>
    <x v="0"/>
    <x v="0"/>
    <s v="Pend"/>
    <s v="Pend"/>
  </r>
  <r>
    <n v="1"/>
    <s v="SO16437"/>
    <m/>
    <s v="INV12649"/>
    <s v="Maham LLC"/>
    <d v="2025-01-15T17:12:02"/>
    <d v="2025-02-19T14:24:53"/>
    <d v="2025-02-21T00:00:00"/>
    <s v="Ian Trottier"/>
    <s v="USD"/>
    <n v="0.70492347109945219"/>
    <n v="29586.190352651189"/>
    <n v="0"/>
    <n v="20856"/>
    <n v="20856"/>
    <m/>
    <n v="20856"/>
    <s v="Delivered"/>
    <m/>
    <n v="1"/>
    <n v="1"/>
    <n v="2025"/>
    <n v="2"/>
    <n v="2025"/>
    <n v="0.69535056497291603"/>
    <x v="56"/>
    <d v="2025-01-15T17:12:02"/>
    <x v="60"/>
    <s v="Paid"/>
    <d v="2025-02-24T00:00:00"/>
    <s v="5337984"/>
    <x v="37"/>
    <x v="1"/>
    <n v="29586.190352651185"/>
    <n v="20856"/>
    <n v="0.70492347109945219"/>
    <n v="0"/>
    <n v="-20856"/>
    <s v=""/>
    <n v="0"/>
    <x v="0"/>
    <x v="0"/>
    <s v="Pend"/>
    <s v="Pend"/>
  </r>
  <r>
    <n v="2"/>
    <s v="SO16438"/>
    <s v="40-1012291"/>
    <s v="INV12550"/>
    <s v="Canadian Bearings Ltd."/>
    <d v="2025-01-16T10:18:00"/>
    <d v="2025-01-17T17:29:20"/>
    <d v="2025-02-07T00:00:00"/>
    <s v="Ian Trottier"/>
    <s v="CAD"/>
    <n v="1"/>
    <n v="702.05"/>
    <n v="0"/>
    <n v="486.74540329035608"/>
    <n v="621.28"/>
    <n v="80.77"/>
    <n v="702.05"/>
    <s v="Delivered"/>
    <m/>
    <n v="2"/>
    <n v="1"/>
    <n v="2025"/>
    <n v="3"/>
    <n v="2025"/>
    <n v="0.69332013858038044"/>
    <x v="57"/>
    <d v="2025-01-16T10:18:00"/>
    <x v="61"/>
    <s v="Paid"/>
    <d v="2025-03-13T00:00:00"/>
    <s v="40-1012291"/>
    <x v="38"/>
    <x v="0"/>
    <n v="621.28"/>
    <n v="430.74593569721873"/>
    <n v="0.69332013858038044"/>
    <n v="-587.29999999999995"/>
    <n v="0"/>
    <n v="33.980000000000018"/>
    <s v=""/>
    <x v="0"/>
    <x v="1"/>
    <s v="Yes"/>
    <s v="Pend"/>
  </r>
  <r>
    <m/>
    <m/>
    <m/>
    <s v="INV12677"/>
    <m/>
    <m/>
    <m/>
    <m/>
    <m/>
    <m/>
    <m/>
    <m/>
    <m/>
    <m/>
    <m/>
    <m/>
    <m/>
    <m/>
    <m/>
    <n v="2"/>
    <n v="1"/>
    <n v="2025"/>
    <n v="4"/>
    <n v="2025"/>
    <n v="0.69332013858038044"/>
    <x v="57"/>
    <d v="2025-01-16T10:18:00"/>
    <x v="62"/>
    <s v="Paid"/>
    <d v="2025-04-10T00:00:00"/>
    <s v="40-1012291"/>
    <x v="38"/>
    <x v="0"/>
    <n v="0"/>
    <n v="0"/>
    <n v="0"/>
    <n v="-33.979999999999997"/>
    <n v="0"/>
    <n v="-33.979999999999997"/>
    <s v=""/>
    <x v="0"/>
    <x v="1"/>
    <s v="Yes"/>
    <s v="Pend"/>
  </r>
  <r>
    <n v="1"/>
    <s v="SO16440"/>
    <s v="SUD1005983"/>
    <s v="INV12653"/>
    <s v="Process and Steam Specialties, Process and Steam Specialties"/>
    <d v="2025-01-16T14:21:59"/>
    <d v="2025-01-17T16:50:34"/>
    <d v="2025-03-11T00:00:00"/>
    <s v="Ian Trottier"/>
    <s v="CAD"/>
    <n v="1"/>
    <n v="386.38"/>
    <n v="0"/>
    <n v="267.88503514468738"/>
    <n v="386.38"/>
    <m/>
    <n v="386.38"/>
    <s v="Delivered"/>
    <m/>
    <n v="1"/>
    <n v="1"/>
    <n v="2025"/>
    <n v="3"/>
    <n v="2025"/>
    <n v="0.69332013858038044"/>
    <x v="58"/>
    <d v="2025-01-16T14:21:59"/>
    <x v="63"/>
    <s v="Paid"/>
    <d v="2025-03-20T00:00:00"/>
    <s v="SUD1005983"/>
    <x v="39"/>
    <x v="0"/>
    <n v="386.38"/>
    <n v="267.88503514468738"/>
    <n v="0.69332013858038044"/>
    <n v="-386.38"/>
    <n v="0"/>
    <n v="0"/>
    <s v=""/>
    <x v="0"/>
    <x v="0"/>
    <s v="Pend"/>
    <s v="Pend"/>
  </r>
  <r>
    <n v="1"/>
    <s v="SO16446"/>
    <s v="2100488794"/>
    <s v="INV12610"/>
    <s v="Wajax Limited - Timmins"/>
    <d v="2025-01-17T13:18:00"/>
    <d v="2025-01-17T13:21:19"/>
    <d v="2025-02-07T00:00:00"/>
    <s v="Ian Trottier"/>
    <s v="CAD"/>
    <n v="1"/>
    <n v="1693.27"/>
    <n v="0"/>
    <n v="1173.9781910540009"/>
    <n v="1498.47"/>
    <n v="194.8"/>
    <n v="1693.27"/>
    <s v="Delivered"/>
    <m/>
    <n v="1"/>
    <n v="1"/>
    <n v="2025"/>
    <n v="3"/>
    <n v="2025"/>
    <n v="0.69332013858038055"/>
    <x v="59"/>
    <d v="2025-01-17T13:18:00"/>
    <x v="64"/>
    <s v="Paid"/>
    <d v="2025-03-19T00:00:00"/>
    <s v="2100488794"/>
    <x v="40"/>
    <x v="0"/>
    <n v="1498.47"/>
    <n v="1038.919428058543"/>
    <n v="0.69332013858038066"/>
    <n v="-1498.47"/>
    <n v="0"/>
    <n v="0"/>
    <s v=""/>
    <x v="0"/>
    <x v="0"/>
    <s v="Pend"/>
    <s v="Pend"/>
  </r>
  <r>
    <n v="1"/>
    <s v="SO16448"/>
    <s v="2885"/>
    <s v="INV12683"/>
    <s v="Les Pompes du St-Laurent Inc."/>
    <d v="2025-01-17T16:14:25"/>
    <d v="2025-01-17T16:23:31"/>
    <d v="2025-02-14T00:00:00"/>
    <s v="Ian Trottier"/>
    <s v="CAD"/>
    <n v="1"/>
    <n v="326.5"/>
    <n v="0"/>
    <n v="226.36902524649429"/>
    <n v="310.95"/>
    <n v="15.55"/>
    <n v="326.5"/>
    <s v="Delivered"/>
    <m/>
    <n v="1"/>
    <n v="1"/>
    <n v="2025"/>
    <n v="4"/>
    <n v="2025"/>
    <n v="0.69332013858038066"/>
    <x v="60"/>
    <d v="2025-01-17T16:14:25"/>
    <x v="65"/>
    <s v="Paid"/>
    <d v="2025-04-21T00:00:00"/>
    <s v="2885"/>
    <x v="7"/>
    <x v="0"/>
    <n v="310.95"/>
    <n v="215.58789709156935"/>
    <n v="0.69332013858038066"/>
    <n v="-310.95"/>
    <n v="0"/>
    <n v="0"/>
    <s v=""/>
    <x v="0"/>
    <x v="0"/>
    <s v="Pend"/>
    <s v="Pend"/>
  </r>
  <r>
    <n v="1"/>
    <s v="SO16449"/>
    <s v="BC65-00079319"/>
    <s v="INV12572"/>
    <s v="Motion Industries Inc. (Canada) - Prince George"/>
    <d v="2025-01-17T17:50:34"/>
    <d v="2025-01-23T16:39:31"/>
    <d v="2025-01-24T00:00:00"/>
    <s v="Taylor Cook"/>
    <s v="CAD"/>
    <n v="1"/>
    <n v="12661.94"/>
    <n v="0"/>
    <n v="8817.2283304388529"/>
    <n v="12059"/>
    <n v="602.94000000000005"/>
    <n v="12661.94"/>
    <s v="Delivered"/>
    <m/>
    <n v="1"/>
    <n v="1"/>
    <n v="2025"/>
    <n v="2"/>
    <n v="2025"/>
    <n v="0.69635682450231584"/>
    <x v="61"/>
    <d v="2025-01-17T17:50:34"/>
    <x v="66"/>
    <s v="Paid"/>
    <d v="2025-02-27T00:00:00"/>
    <s v="BC65-00079319"/>
    <x v="41"/>
    <x v="0"/>
    <n v="12059"/>
    <n v="8397.3669466734264"/>
    <n v="0.69635682450231584"/>
    <n v="-12059"/>
    <n v="0"/>
    <n v="0"/>
    <s v=""/>
    <x v="0"/>
    <x v="0"/>
    <s v="Pend"/>
    <s v="Pend"/>
  </r>
  <r>
    <n v="1"/>
    <s v="SO16451"/>
    <s v="4511512958"/>
    <s v="INV12556"/>
    <s v="PT Vale Indonesia Tbk."/>
    <d v="2025-01-20T11:25:36"/>
    <d v="2025-01-20T11:26:33"/>
    <d v="2025-01-21T00:00:00"/>
    <s v="Ian Trottier"/>
    <s v="USD"/>
    <n v="0.69062014611000555"/>
    <n v="2835.0027305576659"/>
    <n v="0"/>
    <n v="1957.91"/>
    <n v="1957.91"/>
    <m/>
    <n v="1957.91"/>
    <s v="Delivered"/>
    <m/>
    <n v="1"/>
    <n v="1"/>
    <n v="2025"/>
    <n v="3"/>
    <n v="2025"/>
    <n v="0.69062014611000555"/>
    <x v="62"/>
    <d v="2025-01-20T11:25:36"/>
    <x v="67"/>
    <s v="Paid"/>
    <d v="2025-03-17T00:00:00"/>
    <s v="4511512958"/>
    <x v="42"/>
    <x v="1"/>
    <n v="2835.0027305576659"/>
    <n v="1957.91"/>
    <n v="0.69062014611000555"/>
    <n v="0"/>
    <n v="-1957.91"/>
    <s v=""/>
    <n v="0"/>
    <x v="0"/>
    <x v="0"/>
    <s v="Pend"/>
    <s v="Pend"/>
  </r>
  <r>
    <n v="1"/>
    <s v="SO16452"/>
    <s v="4511512957"/>
    <s v="INV12557"/>
    <s v="PT Vale Indonesia Tbk."/>
    <d v="2025-01-20T11:42:59"/>
    <d v="2025-01-20T11:44:06"/>
    <d v="2025-01-21T00:00:00"/>
    <s v="Ian Trottier"/>
    <s v="USD"/>
    <n v="0.69062014611000555"/>
    <n v="3716.8478424189002"/>
    <n v="0"/>
    <n v="2566.9299999999998"/>
    <n v="2566.9299999999998"/>
    <m/>
    <n v="2566.9299999999998"/>
    <s v="Delivered"/>
    <m/>
    <n v="1"/>
    <n v="1"/>
    <n v="2025"/>
    <n v="3"/>
    <n v="2025"/>
    <n v="0.69062014611000555"/>
    <x v="63"/>
    <d v="2025-01-20T11:42:59"/>
    <x v="68"/>
    <s v="Paid"/>
    <d v="2025-03-17T00:00:00"/>
    <s v="4511512957"/>
    <x v="42"/>
    <x v="1"/>
    <n v="3716.8478424189002"/>
    <n v="2566.9299999999998"/>
    <n v="0.69062014611000555"/>
    <n v="0"/>
    <n v="-2566.9299999999998"/>
    <s v=""/>
    <n v="0"/>
    <x v="0"/>
    <x v="0"/>
    <s v="Pend"/>
    <s v="Pend"/>
  </r>
  <r>
    <n v="1"/>
    <s v="SO16453"/>
    <s v="4511512959"/>
    <s v="INV12558"/>
    <s v="PT Vale Indonesia Tbk."/>
    <d v="2025-01-20T11:50:35"/>
    <d v="2025-01-20T11:51:28"/>
    <d v="2025-01-21T00:00:00"/>
    <s v="Ian Trottier"/>
    <s v="USD"/>
    <n v="0.69062014611000555"/>
    <n v="2728.9820759149952"/>
    <n v="0"/>
    <n v="1884.69"/>
    <n v="1884.69"/>
    <m/>
    <n v="1884.69"/>
    <s v="Delivered"/>
    <m/>
    <n v="1"/>
    <n v="1"/>
    <n v="2025"/>
    <n v="3"/>
    <n v="2025"/>
    <n v="0.69062014611000544"/>
    <x v="64"/>
    <d v="2025-01-20T11:50:35"/>
    <x v="69"/>
    <s v="Paid"/>
    <d v="2025-03-17T00:00:00"/>
    <s v="4511512959"/>
    <x v="42"/>
    <x v="1"/>
    <n v="2728.9820759149948"/>
    <n v="1884.69"/>
    <n v="0.69062014611000555"/>
    <n v="0"/>
    <n v="-1884.69"/>
    <s v=""/>
    <n v="0"/>
    <x v="0"/>
    <x v="0"/>
    <s v="Pend"/>
    <s v="Pend"/>
  </r>
  <r>
    <n v="1"/>
    <s v="SO16455"/>
    <s v="63-02681"/>
    <s v="INV13057"/>
    <s v="Quality Concrete Inc."/>
    <d v="2025-01-20T15:05:38"/>
    <d v="2025-01-22T16:51:53"/>
    <d v="2025-05-28T00:00:00"/>
    <s v="Ian Trottier"/>
    <s v="CAD"/>
    <n v="1"/>
    <n v="25712.400000000001"/>
    <n v="25712.400000000001"/>
    <n v="25712.400000000001"/>
    <n v="24488"/>
    <n v="1224.4000000000001"/>
    <n v="25712.400000000001"/>
    <s v="Delivered"/>
    <m/>
    <n v="1"/>
    <n v="1"/>
    <n v="2025"/>
    <n v="8"/>
    <n v="2025"/>
    <n v="1"/>
    <x v="65"/>
    <d v="2025-01-20T15:05:38"/>
    <x v="70"/>
    <s v="Paid"/>
    <d v="2025-08-15T00:00:00"/>
    <s v="63-02681"/>
    <x v="43"/>
    <x v="0"/>
    <n v="24488"/>
    <n v="17011.277540202416"/>
    <n v="0.69467810928627971"/>
    <n v="-24488"/>
    <n v="0"/>
    <n v="0"/>
    <s v=""/>
    <x v="0"/>
    <x v="0"/>
    <s v="Pend"/>
    <s v="Pend"/>
  </r>
  <r>
    <n v="1"/>
    <s v="SO16457"/>
    <s v="2100491932"/>
    <s v="INV12559"/>
    <s v="Wajax Limited - Pointe-aux-Trembles, Wajax Limited"/>
    <d v="2025-01-20T15:44:22"/>
    <d v="2025-01-22T09:17:23"/>
    <d v="2025-01-23T00:00:00"/>
    <s v="Ian Trottier"/>
    <s v="CAD"/>
    <n v="1"/>
    <n v="243.8"/>
    <n v="243.8"/>
    <n v="243.8"/>
    <n v="232.19"/>
    <n v="11.61"/>
    <n v="243.8"/>
    <s v="Delivered"/>
    <m/>
    <n v="1"/>
    <n v="1"/>
    <n v="2025"/>
    <n v="2"/>
    <n v="2025"/>
    <n v="1"/>
    <x v="66"/>
    <d v="2025-01-20T15:44:22"/>
    <x v="71"/>
    <s v="Paid"/>
    <d v="2025-02-26T00:00:00"/>
    <s v="2100491932"/>
    <x v="44"/>
    <x v="0"/>
    <n v="232.19"/>
    <n v="161.2973101951813"/>
    <n v="0.69467810928627971"/>
    <n v="-232.19"/>
    <n v="0"/>
    <n v="0"/>
    <s v=""/>
    <x v="0"/>
    <x v="0"/>
    <s v="Pend"/>
    <s v="Pend"/>
  </r>
  <r>
    <n v="1"/>
    <s v="SO16462"/>
    <s v="3071"/>
    <s v="INV12684"/>
    <s v="Les Pompes du St-Laurent Inc."/>
    <d v="2025-01-21T09:00:19"/>
    <d v="2025-02-26T16:29:20"/>
    <d v="2025-02-27T00:00:00"/>
    <s v="Ian Trottier"/>
    <s v="CAD"/>
    <n v="1"/>
    <n v="2023.65"/>
    <n v="0"/>
    <n v="1410.320525298974"/>
    <n v="1927.29"/>
    <n v="96.36"/>
    <n v="2023.65"/>
    <s v="Delivered"/>
    <m/>
    <n v="1"/>
    <n v="1"/>
    <n v="2025"/>
    <n v="4"/>
    <n v="2025"/>
    <n v="0.69691919319001505"/>
    <x v="67"/>
    <d v="2025-01-21T09:00:19"/>
    <x v="72"/>
    <s v="Paid"/>
    <d v="2025-04-21T00:00:00"/>
    <s v="3071"/>
    <x v="7"/>
    <x v="0"/>
    <n v="1927.29"/>
    <n v="1343.1653918431841"/>
    <n v="0.69691919319001505"/>
    <n v="-1927.29"/>
    <n v="0"/>
    <n v="0"/>
    <s v=""/>
    <x v="0"/>
    <x v="0"/>
    <s v="Pend"/>
    <s v="Pend"/>
  </r>
  <r>
    <n v="1"/>
    <s v="SO16464"/>
    <s v="6686"/>
    <s v="INV12553"/>
    <s v="Hyperflo"/>
    <d v="2025-01-21T09:22:31"/>
    <d v="2025-01-21T14:59:50"/>
    <d v="2025-01-22T00:00:00"/>
    <s v="Ian Trottier"/>
    <s v="CAD"/>
    <n v="1"/>
    <n v="1250.9000000000001"/>
    <n v="0"/>
    <n v="872.8093684381106"/>
    <n v="1191.33"/>
    <n v="59.57"/>
    <n v="1250.9000000000001"/>
    <s v="Delivered"/>
    <m/>
    <n v="1"/>
    <n v="1"/>
    <n v="2025"/>
    <n v="3"/>
    <n v="2025"/>
    <n v="0.69774511826533736"/>
    <x v="68"/>
    <d v="2025-01-21T09:22:31"/>
    <x v="73"/>
    <s v="Paid"/>
    <d v="2025-03-07T00:00:00"/>
    <s v="6686"/>
    <x v="5"/>
    <x v="0"/>
    <n v="1191.33"/>
    <n v="831.24469174304431"/>
    <n v="0.69774511826533736"/>
    <n v="-1191.33"/>
    <n v="0"/>
    <n v="0"/>
    <s v=""/>
    <x v="0"/>
    <x v="0"/>
    <s v="Pend"/>
    <s v="Pend"/>
  </r>
  <r>
    <n v="1"/>
    <s v="SO16466"/>
    <s v="107881"/>
    <s v="INV12561"/>
    <s v="Allen Bearings &amp; Technologies Ltd."/>
    <d v="2025-01-21T10:52:50"/>
    <d v="2025-01-22T17:15:16"/>
    <d v="2025-01-24T00:00:00"/>
    <s v="Taylor Cook"/>
    <s v="CAD"/>
    <n v="1"/>
    <n v="2386.02"/>
    <n v="2386.02"/>
    <n v="2386.02"/>
    <n v="2272.41"/>
    <n v="113.61"/>
    <n v="2386.02"/>
    <s v="Delivered"/>
    <m/>
    <n v="1"/>
    <n v="1"/>
    <n v="2025"/>
    <n v="1"/>
    <n v="2025"/>
    <n v="1"/>
    <x v="69"/>
    <d v="2025-01-21T10:52:50"/>
    <x v="74"/>
    <s v="Paid"/>
    <d v="2025-01-22T00:00:00"/>
    <s v="107881"/>
    <x v="45"/>
    <x v="0"/>
    <n v="2272.41"/>
    <n v="1578.5934823232349"/>
    <n v="0.69467810928627971"/>
    <n v="-2272.41"/>
    <n v="0"/>
    <n v="0"/>
    <s v=""/>
    <x v="0"/>
    <x v="0"/>
    <s v="Pend"/>
    <s v="Pend"/>
  </r>
  <r>
    <n v="3"/>
    <s v="SO16467"/>
    <s v="L63301-DS"/>
    <s v="INV12954"/>
    <s v="Wild Rows Pump &amp; Compression LTD."/>
    <d v="2025-01-21T11:34:23"/>
    <d v="2025-01-21T14:40:36"/>
    <d v="2025-05-13T00:00:00"/>
    <s v="Taylor Cook"/>
    <s v="CAD"/>
    <n v="1"/>
    <n v="1078.24"/>
    <n v="0"/>
    <n v="752.33669631841735"/>
    <n v="1026.9000000000001"/>
    <n v="51.34"/>
    <n v="1078.24"/>
    <s v="Delivered"/>
    <m/>
    <n v="3"/>
    <n v="1"/>
    <n v="2025"/>
    <n v="5"/>
    <n v="2025"/>
    <n v="0.69774511826533736"/>
    <x v="70"/>
    <d v="2025-01-21T11:34:23"/>
    <x v="75"/>
    <s v="Paid"/>
    <d v="2025-05-07T00:00:00"/>
    <s v="L63301-DS"/>
    <x v="13"/>
    <x v="0"/>
    <n v="1026.9000000000001"/>
    <n v="716.51446194667506"/>
    <n v="0.69774511826533736"/>
    <n v="-847.02"/>
    <n v="0"/>
    <n v="179.88000000000011"/>
    <s v=""/>
    <x v="0"/>
    <x v="1"/>
    <s v="Yes"/>
    <s v="Pend"/>
  </r>
  <r>
    <m/>
    <m/>
    <m/>
    <s v="INV12582"/>
    <m/>
    <m/>
    <m/>
    <m/>
    <m/>
    <m/>
    <m/>
    <m/>
    <m/>
    <m/>
    <m/>
    <m/>
    <m/>
    <m/>
    <m/>
    <n v="3"/>
    <n v="1"/>
    <n v="2025"/>
    <n v="1"/>
    <n v="2025"/>
    <n v="0.69774511826533736"/>
    <x v="70"/>
    <d v="2025-01-21T11:34:23"/>
    <x v="76"/>
    <s v="Paid"/>
    <d v="2025-01-30T00:00:00"/>
    <s v="L63301-DS"/>
    <x v="13"/>
    <x v="0"/>
    <n v="0"/>
    <n v="0"/>
    <n v="0"/>
    <n v="-50"/>
    <n v="0"/>
    <n v="-50"/>
    <s v=""/>
    <x v="0"/>
    <x v="1"/>
    <s v="Yes"/>
    <s v="Pend"/>
  </r>
  <r>
    <m/>
    <m/>
    <m/>
    <s v="INV12585"/>
    <m/>
    <m/>
    <m/>
    <m/>
    <m/>
    <m/>
    <m/>
    <m/>
    <m/>
    <m/>
    <m/>
    <m/>
    <m/>
    <m/>
    <m/>
    <n v="3"/>
    <n v="1"/>
    <n v="2025"/>
    <n v="1"/>
    <n v="2025"/>
    <n v="0.69774511826533736"/>
    <x v="70"/>
    <d v="2025-01-21T11:34:23"/>
    <x v="77"/>
    <s v="Paid"/>
    <d v="2025-01-30T00:00:00"/>
    <s v="L63301-DS"/>
    <x v="13"/>
    <x v="0"/>
    <n v="0"/>
    <n v="0"/>
    <n v="0"/>
    <n v="-129.88"/>
    <n v="0"/>
    <n v="-129.88"/>
    <s v=""/>
    <x v="0"/>
    <x v="1"/>
    <s v="Yes"/>
    <s v="Pend"/>
  </r>
  <r>
    <n v="2"/>
    <s v="SO16470"/>
    <s v="4500574503"/>
    <s v="INV12549"/>
    <s v="Resolute Forest Products - Saint-Felicien"/>
    <d v="2025-01-21T12:48:22"/>
    <d v="2025-01-21T12:56:07"/>
    <d v="2025-04-07T00:00:00"/>
    <s v="Ian Trottier"/>
    <s v="CAD"/>
    <n v="1"/>
    <n v="2068.0100000000002"/>
    <n v="0"/>
    <n v="1442.9438820239"/>
    <n v="1969.52"/>
    <n v="98.49"/>
    <n v="2068.0100000000002"/>
    <s v="Delivered"/>
    <m/>
    <n v="2"/>
    <n v="1"/>
    <n v="2025"/>
    <n v="3"/>
    <n v="2025"/>
    <n v="0.69774511826533714"/>
    <x v="71"/>
    <d v="2025-01-21T12:48:22"/>
    <x v="78"/>
    <s v="Paid"/>
    <d v="2025-03-21T00:00:00"/>
    <s v="4500574503"/>
    <x v="46"/>
    <x v="0"/>
    <n v="1969.52"/>
    <n v="1374.2229653259467"/>
    <n v="0.69774511826533714"/>
    <n v="-784.42"/>
    <n v="0"/>
    <n v="1185.0999999999999"/>
    <s v=""/>
    <x v="0"/>
    <x v="1"/>
    <s v="Yes"/>
    <s v="Pend"/>
  </r>
  <r>
    <m/>
    <m/>
    <m/>
    <s v="INV12697"/>
    <m/>
    <m/>
    <m/>
    <m/>
    <m/>
    <m/>
    <m/>
    <m/>
    <m/>
    <m/>
    <m/>
    <m/>
    <m/>
    <m/>
    <m/>
    <n v="2"/>
    <n v="1"/>
    <n v="2025"/>
    <n v="5"/>
    <n v="2025"/>
    <n v="0.69774511826533714"/>
    <x v="71"/>
    <d v="2025-01-21T12:48:22"/>
    <x v="79"/>
    <s v="Paid"/>
    <d v="2025-05-02T00:00:00"/>
    <s v="4500574503"/>
    <x v="46"/>
    <x v="0"/>
    <n v="0"/>
    <n v="0"/>
    <n v="0"/>
    <n v="-1185.0999999999999"/>
    <n v="0"/>
    <n v="-1185.0999999999999"/>
    <s v=""/>
    <x v="0"/>
    <x v="1"/>
    <s v="Yes"/>
    <s v="Pend"/>
  </r>
  <r>
    <n v="1"/>
    <s v="SO16471"/>
    <s v="007693"/>
    <s v="INV12593"/>
    <s v="Sling-Choker Manufacturing - Timmins"/>
    <d v="2025-01-21T14:49:11"/>
    <d v="2025-01-21T14:50:53"/>
    <d v="2025-01-22T00:00:00"/>
    <s v="Taylor Cook"/>
    <s v="CAD"/>
    <n v="1"/>
    <n v="140.76"/>
    <n v="0"/>
    <n v="98.214602847028885"/>
    <n v="124.57"/>
    <n v="16.190000000000001"/>
    <n v="140.76"/>
    <s v="Delivered"/>
    <m/>
    <n v="1"/>
    <n v="1"/>
    <n v="2025"/>
    <n v="2"/>
    <n v="2025"/>
    <n v="0.69774511826533736"/>
    <x v="72"/>
    <d v="2025-01-21T14:49:11"/>
    <x v="80"/>
    <s v="Paid"/>
    <d v="2025-02-19T00:00:00"/>
    <s v="007693"/>
    <x v="3"/>
    <x v="0"/>
    <n v="124.57"/>
    <n v="86.918109382313077"/>
    <n v="0.69774511826533736"/>
    <n v="-124.57"/>
    <n v="0"/>
    <n v="0"/>
    <s v=""/>
    <x v="0"/>
    <x v="0"/>
    <s v="Pend"/>
    <s v="Pend"/>
  </r>
  <r>
    <n v="1"/>
    <s v="SO16474"/>
    <s v="MB21-00186138"/>
    <s v="INV12562"/>
    <s v="Motion Industries Inc. (Canada) - Winnipeg, Motion Industries Inc. (Canada) - Winnipeg"/>
    <d v="2025-01-22T10:31:28"/>
    <d v="2025-01-22T12:36:19"/>
    <d v="2025-01-23T00:00:00"/>
    <s v="Ian Trottier"/>
    <s v="CAD"/>
    <n v="1"/>
    <n v="720.84"/>
    <n v="720.84"/>
    <n v="720.84"/>
    <n v="637.91"/>
    <n v="82.93"/>
    <n v="720.84"/>
    <s v="Delivered"/>
    <m/>
    <n v="1"/>
    <n v="1"/>
    <n v="2025"/>
    <n v="2"/>
    <n v="2025"/>
    <n v="1"/>
    <x v="73"/>
    <d v="2025-01-22T10:31:28"/>
    <x v="81"/>
    <s v="Paid"/>
    <d v="2025-02-21T00:00:00"/>
    <s v="MB21-00186138"/>
    <x v="47"/>
    <x v="0"/>
    <n v="637.91"/>
    <n v="443.14211269481069"/>
    <n v="0.69467810928627971"/>
    <n v="-637.91"/>
    <n v="0"/>
    <n v="0"/>
    <s v=""/>
    <x v="0"/>
    <x v="0"/>
    <s v="Pend"/>
    <s v="Pend"/>
  </r>
  <r>
    <n v="1"/>
    <s v="SO16475"/>
    <s v="MB21-00186141"/>
    <s v="INV12776"/>
    <s v="Motion Industries Inc. (Canada) - Winnipeg"/>
    <d v="2025-01-22T10:39:10"/>
    <d v="2025-01-22T14:01:45"/>
    <d v="2025-04-02T00:00:00"/>
    <s v="Ian Trottier"/>
    <s v="CAD"/>
    <n v="1"/>
    <n v="5362.74"/>
    <n v="5362.74"/>
    <n v="5362.74"/>
    <n v="5107.37"/>
    <n v="255.37"/>
    <n v="5362.74"/>
    <s v="Delivered"/>
    <m/>
    <n v="1"/>
    <n v="1"/>
    <n v="2025"/>
    <n v="4"/>
    <n v="2025"/>
    <n v="1"/>
    <x v="74"/>
    <d v="2025-01-22T10:39:10"/>
    <x v="82"/>
    <s v="Paid"/>
    <d v="2025-04-24T00:00:00"/>
    <s v="MB21-00186141"/>
    <x v="23"/>
    <x v="0"/>
    <n v="5107.37"/>
    <n v="3547.9781350254661"/>
    <n v="0.69467810928627971"/>
    <n v="-5107.37"/>
    <n v="0"/>
    <n v="0"/>
    <s v=""/>
    <x v="0"/>
    <x v="0"/>
    <s v="Pend"/>
    <s v="Pend"/>
  </r>
  <r>
    <n v="2"/>
    <s v="SO16476"/>
    <s v="40-1012558"/>
    <s v="INV12614"/>
    <s v="Canadian Bearings Ltd."/>
    <d v="2025-01-23T09:19:16"/>
    <d v="2025-01-28T13:53:57"/>
    <d v="2025-02-18T00:00:00"/>
    <s v="Taylor Cook"/>
    <s v="CAD"/>
    <n v="1"/>
    <n v="2227.14"/>
    <n v="0"/>
    <n v="1547.346547054326"/>
    <n v="2121.09"/>
    <n v="106.05"/>
    <n v="2227.14"/>
    <s v="Delivered"/>
    <m/>
    <n v="2"/>
    <n v="1"/>
    <n v="2025"/>
    <n v="3"/>
    <n v="2025"/>
    <n v="0.69476842365290292"/>
    <x v="75"/>
    <d v="2025-01-23T09:19:16"/>
    <x v="83"/>
    <s v="Paid"/>
    <d v="2025-03-13T00:00:00"/>
    <s v="40-1012558"/>
    <x v="38"/>
    <x v="0"/>
    <n v="2121.09"/>
    <n v="1473.666355725936"/>
    <n v="0.69476842365290292"/>
    <n v="-2041.05"/>
    <n v="0"/>
    <n v="80.040000000000191"/>
    <s v=""/>
    <x v="0"/>
    <x v="1"/>
    <s v="Yes"/>
    <s v="Pend"/>
  </r>
  <r>
    <m/>
    <m/>
    <m/>
    <s v="INV12578"/>
    <m/>
    <m/>
    <m/>
    <m/>
    <m/>
    <m/>
    <m/>
    <m/>
    <m/>
    <m/>
    <m/>
    <m/>
    <m/>
    <m/>
    <m/>
    <n v="2"/>
    <n v="1"/>
    <n v="2025"/>
    <n v="3"/>
    <n v="2025"/>
    <n v="0.69476842365290292"/>
    <x v="75"/>
    <d v="2025-01-23T09:19:16"/>
    <x v="84"/>
    <s v="Paid"/>
    <d v="2025-03-13T00:00:00"/>
    <s v="40-1012558"/>
    <x v="38"/>
    <x v="0"/>
    <n v="0"/>
    <n v="0"/>
    <n v="0"/>
    <n v="-80.040000000000006"/>
    <n v="0"/>
    <n v="-80.040000000000006"/>
    <s v=""/>
    <x v="0"/>
    <x v="1"/>
    <s v="Yes"/>
    <s v="Pend"/>
  </r>
  <r>
    <n v="1"/>
    <s v="SO16477"/>
    <s v="10223"/>
    <s v="INV12589"/>
    <s v="Canadian Industrial Pumps Ltd"/>
    <d v="2025-01-23T10:55:29"/>
    <d v="2025-01-29T17:56:01"/>
    <d v="2025-01-30T00:00:00"/>
    <s v="Taylor Cook"/>
    <s v="CAD"/>
    <n v="1"/>
    <n v="2779.84"/>
    <n v="2779.84"/>
    <n v="2779.84"/>
    <n v="2779.84"/>
    <m/>
    <n v="2779.84"/>
    <s v="Delivered"/>
    <m/>
    <n v="1"/>
    <n v="1"/>
    <n v="2025"/>
    <n v="3"/>
    <n v="2025"/>
    <n v="1"/>
    <x v="76"/>
    <d v="2025-01-23T10:55:29"/>
    <x v="85"/>
    <s v="Paid"/>
    <d v="2025-03-12T00:00:00"/>
    <s v="10223"/>
    <x v="48"/>
    <x v="0"/>
    <n v="2779.84"/>
    <n v="1931.093995318372"/>
    <n v="0.69467810928627971"/>
    <n v="-2779.84"/>
    <n v="0"/>
    <n v="0"/>
    <s v=""/>
    <x v="0"/>
    <x v="0"/>
    <s v="Pend"/>
    <s v="Pend"/>
  </r>
  <r>
    <n v="1"/>
    <s v="SO16479"/>
    <s v="P351540"/>
    <s v="INV12599"/>
    <s v="Covia Corp - Junction City"/>
    <d v="2025-01-23T14:22:06"/>
    <d v="2025-01-23T14:18:54"/>
    <d v="2025-01-31T00:00:00"/>
    <s v="Marlen Martinez"/>
    <s v="USD"/>
    <n v="0.69635682450231584"/>
    <n v="6792.4946429303927"/>
    <n v="0"/>
    <n v="4730"/>
    <n v="4730"/>
    <m/>
    <n v="4730"/>
    <s v="Delivered"/>
    <m/>
    <n v="1"/>
    <n v="1"/>
    <n v="2025"/>
    <n v="5"/>
    <n v="2025"/>
    <n v="0.69635682450231584"/>
    <x v="77"/>
    <d v="2025-01-23T14:22:06"/>
    <x v="86"/>
    <s v="Paid"/>
    <d v="2025-05-15T00:00:00"/>
    <s v="P351540"/>
    <x v="6"/>
    <x v="1"/>
    <n v="6792.4946429303927"/>
    <n v="4730"/>
    <n v="0.69635682450231584"/>
    <n v="0"/>
    <n v="-4730"/>
    <s v=""/>
    <n v="0"/>
    <x v="0"/>
    <x v="0"/>
    <s v="Pend"/>
    <s v="Pend"/>
  </r>
  <r>
    <n v="1"/>
    <s v="SO16481"/>
    <s v="2200067803"/>
    <s v="INV12566"/>
    <s v="Wajax Limited - Val D'Or, Composants Industriels Wajax SC -57"/>
    <d v="2025-01-23T17:03:57"/>
    <d v="2025-01-24T17:04:23"/>
    <d v="2025-01-27T00:00:00"/>
    <s v="Taylor Cook"/>
    <s v="CAD"/>
    <n v="1"/>
    <n v="240.03"/>
    <n v="0"/>
    <n v="167.4238529607702"/>
    <n v="228.6"/>
    <n v="11.43"/>
    <n v="240.03"/>
    <s v="Delivered"/>
    <m/>
    <n v="1"/>
    <n v="1"/>
    <n v="2025"/>
    <n v="3"/>
    <n v="2025"/>
    <n v="0.6975121983117536"/>
    <x v="78"/>
    <d v="2025-01-23T17:03:57"/>
    <x v="87"/>
    <s v="Paid"/>
    <d v="2025-03-05T00:00:00"/>
    <s v="2200067803"/>
    <x v="49"/>
    <x v="0"/>
    <n v="228.6"/>
    <n v="159.45128853406686"/>
    <n v="0.6975121983117536"/>
    <n v="-228.6"/>
    <n v="0"/>
    <n v="0"/>
    <s v=""/>
    <x v="0"/>
    <x v="0"/>
    <s v="Pend"/>
    <s v="Pend"/>
  </r>
  <r>
    <n v="1"/>
    <s v="SO16482"/>
    <s v="P-12425"/>
    <s v="INV12564"/>
    <s v="Cartledge &amp; Associates Inc."/>
    <d v="2025-01-23T17:10:57"/>
    <d v="2025-01-24T12:14:42"/>
    <d v="2025-01-27T00:00:00"/>
    <s v="Ian Trottier"/>
    <s v="USD"/>
    <n v="0.69635682450231584"/>
    <n v="3298.8116424963109"/>
    <n v="0"/>
    <n v="2297.15"/>
    <n v="2297.15"/>
    <m/>
    <n v="2297.15"/>
    <s v="Delivered"/>
    <m/>
    <n v="1"/>
    <n v="1"/>
    <n v="2025"/>
    <n v="4"/>
    <n v="2025"/>
    <n v="0.69635682450231595"/>
    <x v="79"/>
    <d v="2025-01-23T17:10:57"/>
    <x v="88"/>
    <s v="Paid"/>
    <d v="2025-04-07T00:00:00"/>
    <s v="P-12425"/>
    <x v="25"/>
    <x v="1"/>
    <n v="3298.8116424963114"/>
    <n v="2297.15"/>
    <n v="0.69635682450231584"/>
    <n v="0"/>
    <n v="-2297.15"/>
    <s v=""/>
    <n v="0"/>
    <x v="0"/>
    <x v="0"/>
    <s v="Pend"/>
    <s v="Pend"/>
  </r>
  <r>
    <n v="1"/>
    <s v="SO16485"/>
    <s v="3053"/>
    <s v="INV12686"/>
    <s v="Les Pompes du St-Laurent Inc."/>
    <d v="2025-01-24T09:33:34"/>
    <d v="2025-02-13T12:38:27"/>
    <d v="2025-03-06T00:00:00"/>
    <s v="Ian Trottier"/>
    <s v="CAD"/>
    <n v="1"/>
    <n v="2009.99"/>
    <n v="0"/>
    <n v="1412.472515457109"/>
    <n v="1914.28"/>
    <n v="95.71"/>
    <n v="2009.99"/>
    <s v="Delivered"/>
    <m/>
    <n v="1"/>
    <n v="1"/>
    <n v="2025"/>
    <n v="4"/>
    <n v="2025"/>
    <n v="0.70272614065597794"/>
    <x v="80"/>
    <d v="2025-01-24T09:33:34"/>
    <x v="89"/>
    <s v="Paid"/>
    <d v="2025-04-21T00:00:00"/>
    <s v="3053"/>
    <x v="7"/>
    <x v="0"/>
    <n v="1914.28"/>
    <n v="1345.2145965349255"/>
    <n v="0.70272614065597794"/>
    <n v="-1914.28"/>
    <n v="0"/>
    <n v="0"/>
    <s v=""/>
    <x v="0"/>
    <x v="0"/>
    <s v="Pend"/>
    <s v="Pend"/>
  </r>
  <r>
    <n v="1"/>
    <s v="SO16486"/>
    <s v="607548"/>
    <s v="INV12573"/>
    <s v="Sealtrac Inc."/>
    <d v="2025-01-24T09:46:35"/>
    <d v="2025-01-27T14:38:04"/>
    <d v="2025-01-28T00:00:00"/>
    <s v="Ian Trottier"/>
    <s v="CAD"/>
    <n v="1"/>
    <n v="924.84"/>
    <n v="0"/>
    <n v="642.69004254998742"/>
    <n v="818.44"/>
    <n v="106.4"/>
    <n v="924.84"/>
    <s v="Delivered"/>
    <m/>
    <n v="1"/>
    <n v="1"/>
    <n v="2025"/>
    <n v="3"/>
    <n v="2025"/>
    <n v="0.69492024842133493"/>
    <x v="81"/>
    <d v="2025-01-24T09:46:35"/>
    <x v="90"/>
    <s v="Paid"/>
    <d v="2025-03-04T00:00:00"/>
    <s v="607548"/>
    <x v="50"/>
    <x v="0"/>
    <n v="818.44"/>
    <n v="568.7505281179574"/>
    <n v="0.69492024842133493"/>
    <n v="-818.44"/>
    <n v="0"/>
    <n v="0"/>
    <s v=""/>
    <x v="0"/>
    <x v="0"/>
    <s v="Pend"/>
    <s v="Pend"/>
  </r>
  <r>
    <n v="1"/>
    <s v="SO16488"/>
    <s v="2100495165"/>
    <s v="INV12568"/>
    <s v="Wajax Limited - Noranda, Wajax Limited - Noranda"/>
    <d v="2025-01-24T11:43:47"/>
    <d v="2025-01-24T16:22:45"/>
    <d v="2025-01-27T00:00:00"/>
    <s v="Ian Trottier"/>
    <s v="CAD"/>
    <n v="1"/>
    <n v="1501.27"/>
    <n v="0"/>
    <n v="1047.154137959486"/>
    <n v="1429.78"/>
    <n v="71.489999999999995"/>
    <n v="1501.27"/>
    <s v="Delivered"/>
    <m/>
    <n v="1"/>
    <n v="1"/>
    <n v="2025"/>
    <n v="3"/>
    <n v="2025"/>
    <n v="0.69751219831175337"/>
    <x v="82"/>
    <d v="2025-01-24T11:43:47"/>
    <x v="91"/>
    <s v="Paid"/>
    <d v="2025-03-05T00:00:00"/>
    <s v="2100495165"/>
    <x v="51"/>
    <x v="0"/>
    <n v="1429.78"/>
    <n v="997.28899090217874"/>
    <n v="0.69751219831175337"/>
    <n v="-1429.78"/>
    <n v="0"/>
    <n v="0"/>
    <s v=""/>
    <x v="0"/>
    <x v="0"/>
    <s v="Pend"/>
    <s v="Pend"/>
  </r>
  <r>
    <n v="1"/>
    <s v="SO16492"/>
    <s v="4500577484"/>
    <s v="INV13050"/>
    <s v="Resolute Forest Products - Saint-Felicien"/>
    <d v="2025-01-24T13:07:34"/>
    <d v="2025-01-27T09:19:10"/>
    <d v="2025-05-09T00:00:00"/>
    <s v="Ian Trottier"/>
    <s v="CAD"/>
    <n v="1"/>
    <n v="835.92"/>
    <n v="0"/>
    <n v="580.89773406036227"/>
    <n v="796.11"/>
    <n v="39.81"/>
    <n v="835.92"/>
    <s v="Delivered"/>
    <m/>
    <n v="1"/>
    <n v="1"/>
    <n v="2025"/>
    <n v="8"/>
    <n v="2025"/>
    <n v="0.69492024842133493"/>
    <x v="83"/>
    <d v="2025-01-24T13:07:34"/>
    <x v="92"/>
    <s v="Paid"/>
    <d v="2025-08-01T00:00:00"/>
    <s v="4500577484"/>
    <x v="46"/>
    <x v="0"/>
    <n v="796.11"/>
    <n v="553.23295897070898"/>
    <n v="0.69492024842133493"/>
    <n v="-796.11"/>
    <n v="0"/>
    <n v="0"/>
    <s v=""/>
    <x v="0"/>
    <x v="0"/>
    <s v="Pend"/>
    <s v="Pend"/>
  </r>
  <r>
    <n v="1"/>
    <s v="SO16494"/>
    <s v="21276"/>
    <s v="INV12567"/>
    <s v="DRN Industriel"/>
    <d v="2025-01-24T15:18:00"/>
    <d v="2025-01-24T15:20:11"/>
    <d v="2025-04-11T00:00:00"/>
    <s v="Ian Trottier"/>
    <s v="CAD"/>
    <n v="1"/>
    <n v="1254.6099999999999"/>
    <n v="0"/>
    <n v="875.10577912390897"/>
    <n v="1194.8699999999999"/>
    <n v="59.74"/>
    <n v="1254.6099999999999"/>
    <s v="Delivered"/>
    <m/>
    <n v="1"/>
    <n v="1"/>
    <n v="2025"/>
    <n v="3"/>
    <n v="2025"/>
    <n v="0.69751219831175348"/>
    <x v="84"/>
    <d v="2025-01-24T15:18:00"/>
    <x v="93"/>
    <s v="Paid"/>
    <d v="2025-03-11T00:00:00"/>
    <s v="21276"/>
    <x v="52"/>
    <x v="0"/>
    <n v="1194.8699999999999"/>
    <n v="833.43640039676484"/>
    <n v="0.69751219831175348"/>
    <n v="-1194.8699999999999"/>
    <n v="0"/>
    <n v="0"/>
    <s v=""/>
    <x v="0"/>
    <x v="0"/>
    <s v="Pend"/>
    <s v="Pend"/>
  </r>
  <r>
    <n v="1"/>
    <s v="SO16495"/>
    <s v="2056"/>
    <s v="INV12570"/>
    <s v="FMI Products"/>
    <d v="2025-01-24T16:42:25"/>
    <d v="2025-01-27T16:28:41"/>
    <d v="2025-01-28T00:00:00"/>
    <s v="Taylor Cook"/>
    <s v="CAD"/>
    <n v="1"/>
    <n v="166.72"/>
    <n v="0"/>
    <n v="115.85710381680499"/>
    <n v="158.78"/>
    <n v="7.94"/>
    <n v="166.72"/>
    <s v="Delivered"/>
    <m/>
    <n v="1"/>
    <n v="1"/>
    <n v="2025"/>
    <n v="2"/>
    <n v="2025"/>
    <n v="0.69492024842133515"/>
    <x v="85"/>
    <d v="2025-01-24T16:42:25"/>
    <x v="94"/>
    <s v="Paid"/>
    <d v="2025-02-28T00:00:00"/>
    <s v="2056"/>
    <x v="18"/>
    <x v="0"/>
    <n v="158.78"/>
    <n v="110.33943704433959"/>
    <n v="0.69492024842133515"/>
    <n v="-158.78"/>
    <n v="0"/>
    <n v="0"/>
    <s v=""/>
    <x v="0"/>
    <x v="0"/>
    <s v="Pend"/>
    <s v="Pend"/>
  </r>
  <r>
    <n v="2"/>
    <s v="SO16496"/>
    <s v="6336"/>
    <s v="INV12596"/>
    <s v="ProPart Pompes du Canada 9425-4380 Quebec Inc"/>
    <d v="2025-01-27T12:21:37"/>
    <d v="2025-01-27T12:34:50"/>
    <d v="2025-02-17T00:00:00"/>
    <s v="Ian Trottier"/>
    <s v="CAD"/>
    <n v="1"/>
    <n v="9975.8700000000008"/>
    <n v="0"/>
    <n v="6932.4340586189428"/>
    <n v="9500.83"/>
    <n v="475.04"/>
    <n v="9975.8700000000008"/>
    <s v="Delivered"/>
    <m/>
    <n v="2"/>
    <n v="1"/>
    <n v="2025"/>
    <n v="3"/>
    <n v="2025"/>
    <n v="0.69492024842133493"/>
    <x v="86"/>
    <d v="2025-01-27T12:21:37"/>
    <x v="95"/>
    <s v="Paid"/>
    <d v="2025-03-24T00:00:00"/>
    <s v="6336"/>
    <x v="34"/>
    <x v="0"/>
    <n v="9500.83"/>
    <n v="6602.3191438088716"/>
    <n v="0.69492024842133493"/>
    <n v="-8614.85"/>
    <n v="0"/>
    <n v="885.97999999999956"/>
    <s v=""/>
    <x v="0"/>
    <x v="1"/>
    <s v="Yes"/>
    <s v="Pend"/>
  </r>
  <r>
    <m/>
    <m/>
    <m/>
    <s v="INV12620"/>
    <m/>
    <m/>
    <m/>
    <m/>
    <m/>
    <m/>
    <m/>
    <m/>
    <m/>
    <m/>
    <m/>
    <m/>
    <m/>
    <m/>
    <m/>
    <n v="2"/>
    <n v="1"/>
    <n v="2025"/>
    <n v="3"/>
    <n v="2025"/>
    <n v="0.69492024842133493"/>
    <x v="86"/>
    <d v="2025-01-27T12:21:37"/>
    <x v="96"/>
    <s v="Paid"/>
    <d v="2025-03-24T00:00:00"/>
    <s v="6336"/>
    <x v="34"/>
    <x v="0"/>
    <n v="0"/>
    <n v="0"/>
    <n v="0"/>
    <n v="-885.98"/>
    <n v="0"/>
    <n v="-885.98"/>
    <s v=""/>
    <x v="0"/>
    <x v="1"/>
    <s v="Yes"/>
    <s v="Pend"/>
  </r>
  <r>
    <n v="1"/>
    <s v="SO16497"/>
    <s v="PONV-25-0210"/>
    <s v="INV12856"/>
    <s v="Tech-Flow"/>
    <d v="2025-01-27T15:26:37"/>
    <d v="2025-01-29T13:25:15"/>
    <d v="2025-04-09T00:00:00"/>
    <s v="Ian Trottier"/>
    <s v="USD"/>
    <n v="0.69492024842133493"/>
    <n v="3672.3350712508191"/>
    <n v="0"/>
    <n v="2551.98"/>
    <n v="2551.98"/>
    <m/>
    <n v="2551.98"/>
    <s v="Delivered"/>
    <m/>
    <n v="1"/>
    <n v="1"/>
    <n v="2025"/>
    <n v="6"/>
    <n v="2025"/>
    <n v="0.69492024842133493"/>
    <x v="87"/>
    <d v="2025-01-27T15:26:37"/>
    <x v="97"/>
    <s v="Paid"/>
    <d v="2025-06-14T00:00:00"/>
    <s v="PONV-25-0210"/>
    <x v="53"/>
    <x v="1"/>
    <n v="3672.3350712508191"/>
    <n v="2551.98"/>
    <n v="0.69492024842133493"/>
    <n v="0"/>
    <n v="-2551.98"/>
    <s v=""/>
    <n v="0"/>
    <x v="0"/>
    <x v="0"/>
    <s v="Pend"/>
    <s v="Pend"/>
  </r>
  <r>
    <n v="1"/>
    <s v="SO16498"/>
    <s v="007708"/>
    <s v="INV12594"/>
    <s v="Sling-Choker Manufacturing - Timmins"/>
    <d v="2025-01-28T07:22:26"/>
    <d v="2025-01-28T09:42:14"/>
    <d v="2025-01-29T00:00:00"/>
    <s v="Ian Trottier"/>
    <s v="CAD"/>
    <n v="1"/>
    <n v="5751.01"/>
    <n v="0"/>
    <n v="3995.620152112082"/>
    <n v="5089.3900000000003"/>
    <n v="661.62"/>
    <n v="5751.01"/>
    <s v="Delivered"/>
    <m/>
    <n v="1"/>
    <n v="1"/>
    <n v="2025"/>
    <n v="2"/>
    <n v="2025"/>
    <n v="0.69476842365290303"/>
    <x v="88"/>
    <d v="2025-01-28T07:22:26"/>
    <x v="98"/>
    <s v="Paid"/>
    <d v="2025-02-19T00:00:00"/>
    <s v="007708"/>
    <x v="3"/>
    <x v="0"/>
    <n v="5089.3900000000003"/>
    <n v="3535.9474676548484"/>
    <n v="0.69476842365290303"/>
    <n v="-5089.3900000000003"/>
    <n v="0"/>
    <n v="0"/>
    <s v=""/>
    <x v="0"/>
    <x v="0"/>
    <s v="Pend"/>
    <s v="Pend"/>
  </r>
  <r>
    <n v="1"/>
    <s v="SO16499"/>
    <s v="6500016472"/>
    <s v="INV12580"/>
    <s v="Wesdome Gold Mines Ltd - Eagle River Mine"/>
    <d v="2025-01-28T09:25:45"/>
    <d v="2025-01-29T16:46:36"/>
    <d v="2025-01-30T00:00:00"/>
    <s v="Ian Trottier"/>
    <s v="CAD"/>
    <n v="1"/>
    <n v="4138.54"/>
    <n v="4138.54"/>
    <n v="4138.54"/>
    <n v="3662.42"/>
    <n v="476.12"/>
    <n v="4138.54"/>
    <s v="Delivered"/>
    <m/>
    <n v="1"/>
    <n v="1"/>
    <n v="2025"/>
    <n v="2"/>
    <n v="2025"/>
    <n v="1"/>
    <x v="89"/>
    <d v="2025-01-28T09:25:45"/>
    <x v="99"/>
    <s v="Paid"/>
    <d v="2025-02-20T00:00:00"/>
    <s v="6500016472"/>
    <x v="0"/>
    <x v="0"/>
    <n v="3662.42"/>
    <n v="2544.2030010122567"/>
    <n v="0.69467810928627971"/>
    <n v="-3662.42"/>
    <n v="0"/>
    <n v="0"/>
    <s v=""/>
    <x v="0"/>
    <x v="0"/>
    <s v="Pend"/>
    <s v="Pend"/>
  </r>
  <r>
    <n v="2"/>
    <s v="SO16501"/>
    <s v="M-083516"/>
    <s v="RINV/2025/00001 (Reversal of: INV12581)"/>
    <s v="Grant Aggregate"/>
    <d v="2025-01-28T13:11:22"/>
    <d v="2025-01-29T09:45:57"/>
    <d v="2025-01-30T00:00:00"/>
    <s v="Ian Trottier"/>
    <s v="CAD"/>
    <n v="1"/>
    <n v="6676.97"/>
    <n v="6676.97"/>
    <n v="6676.97"/>
    <n v="5908.82"/>
    <n v="768.15"/>
    <n v="6676.97"/>
    <s v="To Deliver"/>
    <m/>
    <n v="2"/>
    <n v="1"/>
    <n v="2025"/>
    <s v=""/>
    <s v=""/>
    <n v="1"/>
    <x v="90"/>
    <d v="2025-01-28T13:11:22"/>
    <x v="100"/>
    <s v="Not invoiced"/>
    <s v="Pending"/>
    <s v="M-083516"/>
    <x v="9"/>
    <x v="0"/>
    <n v="5908.82"/>
    <n v="4104.7279057129554"/>
    <n v="0.69467810928627971"/>
    <n v="0"/>
    <n v="0"/>
    <n v="5908.82"/>
    <s v=""/>
    <x v="1"/>
    <x v="1"/>
    <n v="0"/>
    <s v="Pend"/>
  </r>
  <r>
    <m/>
    <m/>
    <m/>
    <s v="INV12581"/>
    <m/>
    <m/>
    <m/>
    <m/>
    <m/>
    <m/>
    <m/>
    <m/>
    <m/>
    <m/>
    <m/>
    <m/>
    <m/>
    <m/>
    <m/>
    <n v="2"/>
    <n v="1"/>
    <n v="2025"/>
    <n v="3"/>
    <n v="2025"/>
    <n v="1"/>
    <x v="90"/>
    <d v="2025-01-28T13:11:22"/>
    <x v="101"/>
    <s v="Paid"/>
    <d v="2025-03-05T00:00:00"/>
    <s v="M-083516"/>
    <x v="9"/>
    <x v="0"/>
    <n v="0"/>
    <n v="0"/>
    <n v="0"/>
    <n v="-7811.79"/>
    <n v="0"/>
    <n v="-7811.79"/>
    <s v=""/>
    <x v="0"/>
    <x v="1"/>
    <n v="0"/>
    <s v="Pend"/>
  </r>
  <r>
    <n v="1"/>
    <s v="SO16503"/>
    <s v="MB21-00186347"/>
    <s v="INV12576"/>
    <s v="Motion Industries Inc. (Canada) - Winnipeg"/>
    <d v="2025-01-28T15:01:06"/>
    <d v="2025-01-29T09:12:49"/>
    <d v="2025-01-30T00:00:00"/>
    <s v="Taylor Cook"/>
    <s v="CAD"/>
    <n v="1"/>
    <n v="132.43"/>
    <n v="132.43"/>
    <n v="132.43"/>
    <n v="126.12"/>
    <n v="6.31"/>
    <n v="132.43"/>
    <s v="Delivered"/>
    <m/>
    <n v="1"/>
    <n v="1"/>
    <n v="2025"/>
    <n v="2"/>
    <n v="2025"/>
    <n v="1"/>
    <x v="91"/>
    <d v="2025-01-28T15:01:06"/>
    <x v="102"/>
    <s v="Paid"/>
    <d v="2025-02-28T00:00:00"/>
    <s v="MB21-00186347"/>
    <x v="23"/>
    <x v="0"/>
    <n v="126.12"/>
    <n v="87.612803143185602"/>
    <n v="0.69467810928627971"/>
    <n v="-126.12"/>
    <n v="0"/>
    <n v="0"/>
    <s v=""/>
    <x v="0"/>
    <x v="0"/>
    <s v="Pend"/>
    <s v="Pend"/>
  </r>
  <r>
    <n v="1"/>
    <s v="SO16504"/>
    <s v="OC00142"/>
    <s v="INV12864"/>
    <s v="Dynapro Pumps México S de RL de CV"/>
    <d v="2025-01-28T16:18:11"/>
    <d v="2025-01-28T16:17:37"/>
    <d v="2025-03-07T00:00:00"/>
    <s v="Yannett Yeomans"/>
    <s v="USD"/>
    <n v="0.69492024842133493"/>
    <n v="661.94646226670147"/>
    <n v="0"/>
    <n v="460"/>
    <n v="460"/>
    <m/>
    <n v="460"/>
    <s v="Delivered"/>
    <m/>
    <n v="1"/>
    <n v="1"/>
    <n v="2025"/>
    <s v=""/>
    <s v=""/>
    <n v="0.69492024842133493"/>
    <x v="92"/>
    <d v="2025-01-28T16:18:11"/>
    <x v="103"/>
    <s v="Approved"/>
    <s v="Pending"/>
    <s v="OC00142"/>
    <x v="54"/>
    <x v="1"/>
    <n v="661.94646226670147"/>
    <n v="460"/>
    <n v="0.69492024842133493"/>
    <n v="0"/>
    <n v="-460"/>
    <s v=""/>
    <n v="0"/>
    <x v="1"/>
    <x v="2"/>
    <s v="Pend"/>
    <s v="Pend"/>
  </r>
  <r>
    <n v="1"/>
    <s v="SO16505"/>
    <s v="21292"/>
    <s v="INV12577"/>
    <s v="DRN Industriel"/>
    <d v="2025-01-28T17:14:27"/>
    <d v="2025-01-28T17:21:39"/>
    <d v="2025-01-29T00:00:00"/>
    <s v="Taylor Cook"/>
    <s v="CAD"/>
    <n v="1"/>
    <n v="1254.6099999999999"/>
    <n v="0"/>
    <n v="871.6634119991686"/>
    <n v="1194.8699999999999"/>
    <n v="59.74"/>
    <n v="1254.6099999999999"/>
    <s v="Delivered"/>
    <m/>
    <n v="1"/>
    <n v="1"/>
    <n v="2025"/>
    <n v="3"/>
    <n v="2025"/>
    <n v="0.69476842365290303"/>
    <x v="93"/>
    <d v="2025-01-28T17:14:27"/>
    <x v="104"/>
    <s v="Paid"/>
    <d v="2025-03-11T00:00:00"/>
    <s v="21292"/>
    <x v="52"/>
    <x v="0"/>
    <n v="1194.8699999999999"/>
    <n v="830.15794637014415"/>
    <n v="0.69476842365290303"/>
    <n v="-1194.8699999999999"/>
    <n v="0"/>
    <n v="0"/>
    <s v=""/>
    <x v="0"/>
    <x v="0"/>
    <s v="Pend"/>
    <s v="Pend"/>
  </r>
  <r>
    <n v="1"/>
    <s v="SO16509"/>
    <s v="P351539"/>
    <s v="INV12600"/>
    <s v="Covia Corp - Junction City"/>
    <d v="2025-01-29T11:56:25"/>
    <d v="2025-01-29T11:57:23"/>
    <d v="2025-01-29T00:00:00"/>
    <s v="Marlen Martinez"/>
    <s v="USD"/>
    <n v="0.69492024842133493"/>
    <n v="5157.4263494866482"/>
    <n v="0"/>
    <n v="3584"/>
    <n v="3584"/>
    <m/>
    <n v="3584"/>
    <s v="Delivered"/>
    <m/>
    <n v="1"/>
    <n v="1"/>
    <n v="2025"/>
    <n v="5"/>
    <n v="2025"/>
    <n v="0.69492024842133493"/>
    <x v="94"/>
    <d v="2025-01-29T11:56:25"/>
    <x v="105"/>
    <s v="Paid"/>
    <d v="2025-05-15T00:00:00"/>
    <s v="P351539"/>
    <x v="6"/>
    <x v="1"/>
    <n v="5157.4263494866482"/>
    <n v="3584"/>
    <n v="0.69492024842133493"/>
    <n v="0"/>
    <n v="-3584"/>
    <s v=""/>
    <n v="0"/>
    <x v="0"/>
    <x v="0"/>
    <s v="Pend"/>
    <s v="Pend"/>
  </r>
  <r>
    <n v="1"/>
    <s v="SO16511"/>
    <s v="P351588"/>
    <s v="INV12970"/>
    <s v="Covia Corp - Junction City"/>
    <d v="2025-01-29T12:24:16"/>
    <d v="2025-01-29T12:29:07"/>
    <d v="2025-05-13T00:00:00"/>
    <s v="Marlen Martinez"/>
    <s v="USD"/>
    <n v="0.69492024842133493"/>
    <n v="8749.9968720343295"/>
    <n v="0"/>
    <n v="6080.55"/>
    <n v="6080.55"/>
    <m/>
    <n v="6080.55"/>
    <s v="Delivered"/>
    <m/>
    <n v="1"/>
    <n v="1"/>
    <n v="2025"/>
    <n v="8"/>
    <n v="2025"/>
    <n v="0.69492024842133493"/>
    <x v="95"/>
    <d v="2025-01-29T12:24:16"/>
    <x v="106"/>
    <s v="Paid"/>
    <d v="2025-08-25T00:00:00"/>
    <s v="P351588"/>
    <x v="6"/>
    <x v="1"/>
    <n v="8749.9968720343295"/>
    <n v="6080.55"/>
    <n v="0.69492024842133493"/>
    <n v="0"/>
    <n v="-6080.55"/>
    <s v=""/>
    <n v="0"/>
    <x v="0"/>
    <x v="0"/>
    <s v="Pend"/>
    <s v="Pend"/>
  </r>
  <r>
    <n v="1"/>
    <s v="SO16512"/>
    <s v="M-083523"/>
    <s v="INV12642"/>
    <s v="Grant Aggregate"/>
    <d v="2025-01-29T13:37:05"/>
    <d v="2025-01-30T10:43:54"/>
    <d v="2025-02-18T00:00:00"/>
    <s v="Ian Trottier"/>
    <s v="CAD"/>
    <n v="1"/>
    <n v="1988.36"/>
    <n v="0"/>
    <n v="1379.386222879732"/>
    <n v="1759.61"/>
    <n v="228.75"/>
    <n v="1988.36"/>
    <s v="Delivered"/>
    <m/>
    <n v="1"/>
    <n v="1"/>
    <n v="2025"/>
    <n v="3"/>
    <n v="2025"/>
    <n v="0.69373062366962324"/>
    <x v="96"/>
    <d v="2025-01-29T13:37:05"/>
    <x v="107"/>
    <s v="Paid"/>
    <d v="2025-03-10T00:00:00"/>
    <s v="M-083523"/>
    <x v="9"/>
    <x v="0"/>
    <n v="1759.61"/>
    <n v="1220.6953427153057"/>
    <n v="0.69373062366962324"/>
    <n v="-1759.61"/>
    <n v="0"/>
    <n v="0"/>
    <s v=""/>
    <x v="0"/>
    <x v="0"/>
    <s v="Pend"/>
    <s v="Pend"/>
  </r>
  <r>
    <n v="2"/>
    <s v="SO16513"/>
    <s v="3113"/>
    <s v="INV12915"/>
    <s v="Les Pompes du St-Laurent Inc."/>
    <d v="2025-01-29T13:58:24"/>
    <d v="2025-03-31T16:18:08"/>
    <d v="2025-04-18T00:00:00"/>
    <s v="Ian Trottier"/>
    <s v="CAD"/>
    <n v="1"/>
    <n v="17592.46"/>
    <n v="0"/>
    <n v="12257.64472282046"/>
    <n v="16754.72"/>
    <n v="837.74"/>
    <n v="17592.46"/>
    <s v="Delivered"/>
    <m/>
    <n v="2"/>
    <n v="1"/>
    <n v="2025"/>
    <n v="6"/>
    <n v="2025"/>
    <n v="0.69675558294976714"/>
    <x v="97"/>
    <d v="2025-01-29T13:58:24"/>
    <x v="108"/>
    <s v="Paid"/>
    <d v="2025-06-13T00:00:00"/>
    <s v="3113"/>
    <x v="7"/>
    <x v="0"/>
    <n v="16754.72"/>
    <n v="11673.944700760123"/>
    <n v="0.69675558294976714"/>
    <n v="-5998.85"/>
    <n v="0"/>
    <n v="10755.87"/>
    <s v=""/>
    <x v="0"/>
    <x v="1"/>
    <s v="Yes"/>
    <s v="Pend"/>
  </r>
  <r>
    <m/>
    <m/>
    <m/>
    <s v="INV12833"/>
    <m/>
    <m/>
    <m/>
    <m/>
    <m/>
    <m/>
    <m/>
    <m/>
    <m/>
    <m/>
    <m/>
    <m/>
    <m/>
    <m/>
    <m/>
    <n v="2"/>
    <n v="1"/>
    <n v="2025"/>
    <n v="5"/>
    <n v="2025"/>
    <n v="0.69675558294976714"/>
    <x v="97"/>
    <d v="2025-01-29T13:58:24"/>
    <x v="109"/>
    <s v="Paid"/>
    <d v="2025-05-22T00:00:00"/>
    <s v="3113"/>
    <x v="7"/>
    <x v="0"/>
    <n v="0"/>
    <n v="0"/>
    <n v="0"/>
    <n v="-10755.87"/>
    <n v="0"/>
    <n v="-10755.87"/>
    <s v=""/>
    <x v="0"/>
    <x v="1"/>
    <s v="Yes"/>
    <s v="Pend"/>
  </r>
  <r>
    <n v="2"/>
    <s v="SO16515"/>
    <s v="40-1012759"/>
    <s v="INV12615"/>
    <s v="Canadian Bearings Ltd."/>
    <d v="2025-01-29T17:29:22"/>
    <d v="2025-02-03T14:22:04"/>
    <d v="2025-03-31T00:00:00"/>
    <s v="Ian Trottier"/>
    <s v="CAD"/>
    <n v="1"/>
    <n v="1456.77"/>
    <n v="0"/>
    <n v="997.7329272310983"/>
    <n v="1387.4"/>
    <n v="69.37"/>
    <n v="1456.77"/>
    <s v="Delivered"/>
    <m/>
    <n v="2"/>
    <n v="1"/>
    <n v="2025"/>
    <n v="3"/>
    <n v="2025"/>
    <n v="0.68489392782051961"/>
    <x v="98"/>
    <d v="2025-01-29T17:29:22"/>
    <x v="110"/>
    <s v="Paid"/>
    <d v="2025-03-13T00:00:00"/>
    <s v="40-1012759"/>
    <x v="38"/>
    <x v="0"/>
    <n v="1387.4"/>
    <n v="950.22183545818893"/>
    <n v="0.68489392782051961"/>
    <n v="-158.34"/>
    <n v="0"/>
    <n v="1229.0600000000002"/>
    <s v=""/>
    <x v="0"/>
    <x v="1"/>
    <s v="Yes"/>
    <s v="Pend"/>
  </r>
  <r>
    <m/>
    <m/>
    <m/>
    <s v="INV12676"/>
    <m/>
    <m/>
    <m/>
    <m/>
    <m/>
    <m/>
    <m/>
    <m/>
    <m/>
    <m/>
    <m/>
    <m/>
    <m/>
    <m/>
    <m/>
    <n v="2"/>
    <n v="1"/>
    <n v="2025"/>
    <n v="4"/>
    <n v="2025"/>
    <n v="0.68489392782051961"/>
    <x v="98"/>
    <d v="2025-01-29T17:29:22"/>
    <x v="111"/>
    <s v="Paid"/>
    <d v="2025-04-10T00:00:00"/>
    <s v="40-1012759"/>
    <x v="38"/>
    <x v="0"/>
    <n v="0"/>
    <n v="0"/>
    <n v="0"/>
    <n v="-1229.06"/>
    <n v="0"/>
    <n v="-1229.06"/>
    <s v=""/>
    <x v="0"/>
    <x v="1"/>
    <s v="Yes"/>
    <s v="Pend"/>
  </r>
  <r>
    <n v="2"/>
    <s v="SO16516"/>
    <s v="40-1012965"/>
    <s v="INV12638"/>
    <s v="Canadian Bearings Ltd."/>
    <d v="2025-01-29T17:46:04"/>
    <d v="2025-02-11T14:23:14"/>
    <d v="2025-03-04T00:00:00"/>
    <s v="Taylor Cook"/>
    <s v="CAD"/>
    <n v="1"/>
    <n v="193.03"/>
    <n v="0"/>
    <n v="134.90296737157391"/>
    <n v="183.84"/>
    <n v="9.19"/>
    <n v="193.03"/>
    <s v="Delivered"/>
    <m/>
    <n v="2"/>
    <n v="1"/>
    <n v="2025"/>
    <n v="3"/>
    <n v="2025"/>
    <n v="0.69887047283621151"/>
    <x v="99"/>
    <d v="2025-01-29T17:46:04"/>
    <x v="112"/>
    <s v="Paid"/>
    <d v="2025-03-13T00:00:00"/>
    <s v="40-1012965"/>
    <x v="38"/>
    <x v="0"/>
    <n v="183.84"/>
    <n v="128.48034772620912"/>
    <n v="0.69887047283621151"/>
    <n v="-126.5"/>
    <n v="0"/>
    <n v="57.34"/>
    <s v=""/>
    <x v="0"/>
    <x v="1"/>
    <s v="Yes"/>
    <s v="Pend"/>
  </r>
  <r>
    <m/>
    <m/>
    <m/>
    <s v="INV12675"/>
    <m/>
    <m/>
    <m/>
    <m/>
    <m/>
    <m/>
    <m/>
    <m/>
    <m/>
    <m/>
    <m/>
    <m/>
    <m/>
    <m/>
    <m/>
    <n v="2"/>
    <n v="1"/>
    <n v="2025"/>
    <n v="4"/>
    <n v="2025"/>
    <n v="0.69887047283621151"/>
    <x v="99"/>
    <d v="2025-01-29T17:46:04"/>
    <x v="113"/>
    <s v="Paid"/>
    <d v="2025-04-10T00:00:00"/>
    <s v="40-1012965"/>
    <x v="38"/>
    <x v="0"/>
    <n v="0"/>
    <n v="0"/>
    <n v="0"/>
    <n v="-57.34"/>
    <n v="0"/>
    <n v="-57.34"/>
    <s v=""/>
    <x v="0"/>
    <x v="1"/>
    <s v="Yes"/>
    <s v="Pend"/>
  </r>
  <r>
    <n v="1"/>
    <s v="SO16517"/>
    <s v="AZ52-00109170"/>
    <s v="INV12587"/>
    <s v="Motion Industries Inc. (U.S.) - Tucson"/>
    <d v="2025-01-30T11:18:17"/>
    <d v="2025-01-30T11:20:25"/>
    <d v="2025-01-31T00:00:00"/>
    <s v="Ian Trottier"/>
    <s v="USD"/>
    <n v="0.69476842365290303"/>
    <n v="239.0436789380793"/>
    <n v="0"/>
    <n v="166.08"/>
    <n v="166.08"/>
    <m/>
    <n v="166.08"/>
    <s v="Delivered"/>
    <m/>
    <n v="1"/>
    <n v="1"/>
    <n v="2025"/>
    <n v="2"/>
    <n v="2025"/>
    <n v="0.69476842365290303"/>
    <x v="100"/>
    <d v="2025-01-30T11:18:17"/>
    <x v="114"/>
    <s v="Paid"/>
    <d v="2025-02-28T00:00:00"/>
    <s v="AZ52-00109170"/>
    <x v="28"/>
    <x v="1"/>
    <n v="239.0436789380793"/>
    <n v="166.08"/>
    <n v="0.69476842365290303"/>
    <n v="0"/>
    <n v="-166.08"/>
    <s v=""/>
    <n v="0"/>
    <x v="0"/>
    <x v="0"/>
    <s v="Pend"/>
    <s v="Pend"/>
  </r>
  <r>
    <n v="1"/>
    <s v="SO16519"/>
    <s v="4500578527"/>
    <s v="INV12828"/>
    <s v="Resolute Forest Products - Dolbeau"/>
    <d v="2025-01-30T13:29:31"/>
    <d v="2025-02-05T09:43:07"/>
    <d v="2025-04-16T00:00:00"/>
    <s v="Ian Trottier"/>
    <s v="CAD"/>
    <n v="1"/>
    <n v="6261.19"/>
    <n v="0"/>
    <n v="4383.382732256362"/>
    <n v="5963.04"/>
    <n v="298.14999999999998"/>
    <n v="6261.19"/>
    <s v="Delivered"/>
    <m/>
    <n v="1"/>
    <n v="1"/>
    <n v="2025"/>
    <n v="6"/>
    <n v="2025"/>
    <n v="0.70008779996396253"/>
    <x v="101"/>
    <d v="2025-01-30T13:29:31"/>
    <x v="115"/>
    <s v="Paid"/>
    <d v="2025-06-06T00:00:00"/>
    <s v="4500578527"/>
    <x v="55"/>
    <x v="0"/>
    <n v="5963.04"/>
    <n v="4174.6515546971068"/>
    <n v="0.70008779996396253"/>
    <n v="-5963.04"/>
    <n v="0"/>
    <n v="0"/>
    <s v=""/>
    <x v="0"/>
    <x v="0"/>
    <s v="Pend"/>
    <s v="Pend"/>
  </r>
  <r>
    <n v="1"/>
    <s v="SO16520"/>
    <s v="BC65-00079399"/>
    <s v="INV12586"/>
    <s v="Motion Industries Inc. (Canada) - Prince George"/>
    <d v="2025-01-30T16:24:32"/>
    <d v="2025-01-30T16:27:03"/>
    <d v="2025-01-31T00:00:00"/>
    <s v="Ian Trottier"/>
    <s v="CAD"/>
    <n v="1"/>
    <n v="232.68"/>
    <n v="0"/>
    <n v="161.4172415154479"/>
    <n v="221.6"/>
    <n v="11.08"/>
    <n v="232.68"/>
    <s v="Delivered"/>
    <m/>
    <n v="1"/>
    <n v="1"/>
    <n v="2025"/>
    <n v="2"/>
    <n v="2025"/>
    <n v="0.69373062366962301"/>
    <x v="102"/>
    <d v="2025-01-30T16:24:32"/>
    <x v="116"/>
    <s v="Paid"/>
    <d v="2025-02-28T00:00:00"/>
    <s v="BC65-00079399"/>
    <x v="41"/>
    <x v="0"/>
    <n v="221.6"/>
    <n v="153.73070620518845"/>
    <n v="0.69373062366962301"/>
    <n v="-221.6"/>
    <n v="0"/>
    <n v="0"/>
    <s v=""/>
    <x v="0"/>
    <x v="0"/>
    <s v="Pend"/>
    <s v="Pend"/>
  </r>
  <r>
    <n v="1"/>
    <s v="SO16521"/>
    <s v="4511559088"/>
    <s v="INV12772"/>
    <s v="PT Vale Indonesia Tbk."/>
    <d v="2025-01-30T17:41:36"/>
    <d v="2025-01-30T17:44:39"/>
    <d v="2025-03-06T00:00:00"/>
    <s v="Ian Trottier"/>
    <s v="USD"/>
    <n v="0.69476842365290303"/>
    <n v="3553.7020911495529"/>
    <n v="0"/>
    <n v="2469"/>
    <n v="2469"/>
    <m/>
    <n v="2469"/>
    <s v="Delivered"/>
    <m/>
    <n v="1"/>
    <n v="1"/>
    <n v="2025"/>
    <n v="5"/>
    <n v="2025"/>
    <n v="0.69476842365290303"/>
    <x v="103"/>
    <d v="2025-01-30T17:41:36"/>
    <x v="117"/>
    <s v="Paid"/>
    <d v="2025-05-20T00:00:00"/>
    <s v="4511559088"/>
    <x v="42"/>
    <x v="1"/>
    <n v="3553.7020911495529"/>
    <n v="2469"/>
    <n v="0.69476842365290303"/>
    <n v="0"/>
    <n v="-2469"/>
    <s v=""/>
    <n v="0"/>
    <x v="0"/>
    <x v="0"/>
    <s v="Pend"/>
    <s v="Pend"/>
  </r>
  <r>
    <n v="2"/>
    <s v="SO16522"/>
    <s v="Melissa Rosier - PO"/>
    <s v="INV12625"/>
    <s v="D&amp;H Materials Inc"/>
    <d v="2025-01-31T09:46:59"/>
    <d v="2025-01-31T09:40:32"/>
    <d v="2025-04-04T00:00:00"/>
    <s v="Ian Trottier"/>
    <s v="USD"/>
    <n v="0.69373062366962301"/>
    <n v="1011.631858325199"/>
    <n v="0"/>
    <n v="701.8"/>
    <n v="701.8"/>
    <m/>
    <n v="701.8"/>
    <s v="Delivered"/>
    <m/>
    <n v="2"/>
    <n v="1"/>
    <n v="2025"/>
    <n v="2"/>
    <n v="2025"/>
    <n v="0.6937306236696229"/>
    <x v="104"/>
    <d v="2025-01-31T09:46:59"/>
    <x v="118"/>
    <s v="Paid"/>
    <d v="2025-02-18T00:00:00"/>
    <s v="Melissa Rosier - PO"/>
    <x v="56"/>
    <x v="1"/>
    <n v="1011.6318583251989"/>
    <n v="701.8"/>
    <n v="0.69373062366962301"/>
    <n v="0"/>
    <n v="-331.92"/>
    <s v=""/>
    <n v="369.87999999999994"/>
    <x v="0"/>
    <x v="1"/>
    <s v="Yes"/>
    <s v="Pend"/>
  </r>
  <r>
    <m/>
    <m/>
    <m/>
    <s v="INV12921"/>
    <m/>
    <m/>
    <m/>
    <m/>
    <m/>
    <m/>
    <m/>
    <m/>
    <m/>
    <m/>
    <m/>
    <m/>
    <m/>
    <m/>
    <m/>
    <n v="2"/>
    <n v="1"/>
    <n v="2025"/>
    <n v="4"/>
    <n v="2025"/>
    <n v="0.6937306236696229"/>
    <x v="104"/>
    <d v="2025-01-31T09:46:59"/>
    <x v="119"/>
    <s v="Paid"/>
    <d v="2025-04-29T00:00:00"/>
    <s v="Melissa Rosier - PO"/>
    <x v="56"/>
    <x v="1"/>
    <n v="0"/>
    <n v="0"/>
    <n v="0"/>
    <n v="0"/>
    <n v="-369.88"/>
    <s v=""/>
    <n v="-369.88"/>
    <x v="0"/>
    <x v="1"/>
    <s v="Yes"/>
    <s v="Pend"/>
  </r>
  <r>
    <n v="2"/>
    <s v="SO16525"/>
    <s v="P-20325"/>
    <s v="INV12830"/>
    <s v="Cartledge &amp; Associates Inc."/>
    <d v="2025-01-31T16:25:15"/>
    <d v="2025-02-03T18:34:20"/>
    <d v="2025-04-14T00:00:00"/>
    <s v="Ian Trottier"/>
    <s v="USD"/>
    <n v="0.68831733110963"/>
    <n v="10249.502200717279"/>
    <n v="0"/>
    <n v="7054.91"/>
    <n v="7054.91"/>
    <m/>
    <n v="7054.91"/>
    <s v="Delivered"/>
    <m/>
    <n v="2"/>
    <n v="1"/>
    <n v="2025"/>
    <n v="5"/>
    <n v="2025"/>
    <n v="0.68831733110963034"/>
    <x v="105"/>
    <d v="2025-01-31T16:25:15"/>
    <x v="120"/>
    <s v="Paid"/>
    <d v="2025-05-15T00:00:00"/>
    <s v="P-20325"/>
    <x v="25"/>
    <x v="1"/>
    <n v="10249.502200717283"/>
    <n v="7054.91"/>
    <n v="0.68831733110963"/>
    <n v="0"/>
    <n v="-4239.3"/>
    <s v=""/>
    <n v="2815.6099999999997"/>
    <x v="0"/>
    <x v="1"/>
    <n v="0"/>
    <s v="Yes"/>
  </r>
  <r>
    <m/>
    <m/>
    <m/>
    <s v="INV12604"/>
    <m/>
    <m/>
    <m/>
    <m/>
    <m/>
    <m/>
    <m/>
    <m/>
    <m/>
    <m/>
    <m/>
    <m/>
    <m/>
    <m/>
    <m/>
    <n v="2"/>
    <n v="1"/>
    <n v="2025"/>
    <n v="4"/>
    <n v="2025"/>
    <n v="0.68831733110963034"/>
    <x v="105"/>
    <d v="2025-01-31T16:25:15"/>
    <x v="121"/>
    <s v="Paid"/>
    <d v="2025-04-07T00:00:00"/>
    <s v="P-20325"/>
    <x v="25"/>
    <x v="1"/>
    <n v="0"/>
    <n v="0"/>
    <n v="0"/>
    <n v="0"/>
    <n v="-3458.61"/>
    <s v=""/>
    <n v="-3458.61"/>
    <x v="0"/>
    <x v="1"/>
    <n v="0"/>
    <s v="Pend"/>
  </r>
  <r>
    <n v="1"/>
    <s v="SO16526"/>
    <s v="4500579153"/>
    <s v="INV12612"/>
    <s v="Resolute Forest Products - Saint-Felicien"/>
    <d v="2025-01-31T16:54:28"/>
    <d v="2025-02-07T11:02:12"/>
    <d v="2025-02-10T00:00:00"/>
    <s v="Ian Trottier"/>
    <s v="CAD"/>
    <n v="1"/>
    <n v="316.85000000000002"/>
    <n v="0"/>
    <n v="221.40096770167111"/>
    <n v="301.76"/>
    <n v="15.09"/>
    <n v="316.85000000000002"/>
    <s v="Delivered"/>
    <m/>
    <n v="1"/>
    <n v="1"/>
    <n v="2025"/>
    <n v="4"/>
    <n v="2025"/>
    <n v="0.69875640745359346"/>
    <x v="106"/>
    <d v="2025-01-31T16:54:28"/>
    <x v="122"/>
    <s v="Paid"/>
    <d v="2025-04-11T00:00:00"/>
    <s v="4500579153"/>
    <x v="46"/>
    <x v="0"/>
    <n v="301.76"/>
    <n v="210.85673351319636"/>
    <n v="0.69875640745359346"/>
    <n v="-301.76"/>
    <n v="0"/>
    <n v="0"/>
    <s v=""/>
    <x v="0"/>
    <x v="0"/>
    <s v="Pend"/>
    <s v="Pend"/>
  </r>
  <r>
    <n v="2"/>
    <s v="SO16527"/>
    <s v="4500579111"/>
    <s v="INV13100"/>
    <s v="Resolute Forest Products - Saint-Felicien"/>
    <d v="2025-01-31T17:00:56"/>
    <d v="2025-02-12T09:54:50"/>
    <d v="2025-05-02T00:00:00"/>
    <s v="Ian Trottier"/>
    <s v="CAD"/>
    <n v="1"/>
    <n v="6712.59"/>
    <n v="0"/>
    <n v="4697.876514106154"/>
    <n v="6392.94"/>
    <n v="319.64999999999998"/>
    <n v="6712.59"/>
    <s v="Delivered"/>
    <m/>
    <n v="2"/>
    <n v="1"/>
    <n v="2025"/>
    <n v="8"/>
    <n v="2025"/>
    <n v="0.69986048814334767"/>
    <x v="107"/>
    <d v="2025-01-31T17:00:56"/>
    <x v="123"/>
    <s v="Paid"/>
    <d v="2025-08-14T00:00:00"/>
    <s v="4500579111"/>
    <x v="46"/>
    <x v="0"/>
    <n v="6392.94"/>
    <n v="4474.1661090711332"/>
    <n v="0.69986048814334778"/>
    <n v="-5714.85"/>
    <n v="0"/>
    <n v="678.08999999999924"/>
    <s v=""/>
    <x v="0"/>
    <x v="1"/>
    <s v="Yes"/>
    <s v="Pend"/>
  </r>
  <r>
    <m/>
    <m/>
    <m/>
    <s v="INV12624"/>
    <m/>
    <m/>
    <m/>
    <m/>
    <m/>
    <m/>
    <m/>
    <m/>
    <m/>
    <m/>
    <m/>
    <m/>
    <m/>
    <m/>
    <m/>
    <n v="2"/>
    <n v="1"/>
    <n v="2025"/>
    <n v="4"/>
    <n v="2025"/>
    <n v="0.69986048814334767"/>
    <x v="107"/>
    <d v="2025-01-31T17:00:56"/>
    <x v="124"/>
    <s v="Paid"/>
    <d v="2025-04-17T00:00:00"/>
    <s v="4500579111"/>
    <x v="46"/>
    <x v="0"/>
    <n v="0"/>
    <n v="0"/>
    <n v="0"/>
    <n v="-678.09"/>
    <n v="0"/>
    <n v="-678.09"/>
    <s v=""/>
    <x v="0"/>
    <x v="1"/>
    <s v="Yes"/>
    <s v="Pend"/>
  </r>
  <r>
    <n v="1"/>
    <s v="SO16528"/>
    <s v="PO-40-1013109"/>
    <s v="INV12637"/>
    <s v="Canadian Bearings Ltd."/>
    <d v="2025-02-03T09:15:32"/>
    <d v="2025-02-18T15:07:32"/>
    <d v="2025-02-21T00:00:00"/>
    <s v="Taylor Cook"/>
    <s v="CAD"/>
    <n v="1"/>
    <n v="293.48"/>
    <n v="293.48"/>
    <n v="293.48"/>
    <n v="279.5"/>
    <n v="13.98"/>
    <n v="293.48"/>
    <s v="Delivered"/>
    <m/>
    <n v="1"/>
    <n v="2"/>
    <n v="2025"/>
    <n v="3"/>
    <n v="2025"/>
    <n v="1"/>
    <x v="108"/>
    <d v="2025-02-03T09:15:32"/>
    <x v="125"/>
    <s v="Paid"/>
    <d v="2025-03-13T00:00:00"/>
    <s v="PO-40-1013109"/>
    <x v="38"/>
    <x v="0"/>
    <n v="279.5"/>
    <n v="196.28851884118686"/>
    <n v="0.70228450390406749"/>
    <n v="-279.5"/>
    <n v="0"/>
    <n v="0"/>
    <s v=""/>
    <x v="0"/>
    <x v="0"/>
    <s v="Pend"/>
    <s v="Pend"/>
  </r>
  <r>
    <n v="1"/>
    <s v="SO16529"/>
    <s v="S305369"/>
    <s v="INV12744"/>
    <s v="Kumtor Gold Company"/>
    <d v="2025-02-03T13:28:04"/>
    <d v="2025-02-18T16:23:28"/>
    <m/>
    <s v="Ian Trottier"/>
    <s v="USD"/>
    <n v="0.70491579277313177"/>
    <n v="21850.453852659211"/>
    <n v="0"/>
    <n v="15402.73"/>
    <n v="15402.73"/>
    <m/>
    <n v="15402.73"/>
    <s v="Delivered"/>
    <m/>
    <n v="1"/>
    <n v="2"/>
    <n v="2025"/>
    <n v="4"/>
    <n v="2025"/>
    <n v="0.70491579277313177"/>
    <x v="109"/>
    <d v="2025-02-03T13:28:04"/>
    <x v="126"/>
    <s v="Paid"/>
    <d v="2025-04-16T00:00:00"/>
    <s v="S305369"/>
    <x v="57"/>
    <x v="1"/>
    <n v="21850.453852659211"/>
    <n v="15402.73"/>
    <n v="0.70491579277313177"/>
    <n v="0"/>
    <n v="-15402.73"/>
    <s v=""/>
    <n v="0"/>
    <x v="0"/>
    <x v="0"/>
    <s v="Pend"/>
    <s v="Pend"/>
  </r>
  <r>
    <n v="1"/>
    <s v="SO16530"/>
    <s v="11667"/>
    <s v="INV12696"/>
    <s v="Les Pompes Diaspec Inc."/>
    <d v="2025-02-03T14:12:03"/>
    <d v="2025-02-03T14:12:03"/>
    <d v="2025-02-03T00:00:00"/>
    <s v="Taylor Cook"/>
    <s v="CAD"/>
    <n v="1"/>
    <n v="293.94"/>
    <n v="0"/>
    <n v="201.31772114356349"/>
    <n v="279.94"/>
    <n v="14"/>
    <n v="293.94"/>
    <s v="Delivered"/>
    <m/>
    <n v="1"/>
    <n v="2"/>
    <n v="2025"/>
    <n v="3"/>
    <n v="2025"/>
    <n v="0.6848939278205195"/>
    <x v="110"/>
    <d v="2025-02-03T14:12:03"/>
    <x v="127"/>
    <s v="Paid"/>
    <d v="2025-03-25T00:00:00"/>
    <s v="11667"/>
    <x v="16"/>
    <x v="0"/>
    <n v="279.94"/>
    <n v="191.72920615407622"/>
    <n v="0.6848939278205195"/>
    <n v="-279.94"/>
    <n v="0"/>
    <n v="0"/>
    <s v=""/>
    <x v="0"/>
    <x v="0"/>
    <s v="Pend"/>
    <s v="Pend"/>
  </r>
  <r>
    <n v="4"/>
    <s v="SO16531"/>
    <s v="S305276"/>
    <s v="INV12749"/>
    <s v="Kumtor Gold Company"/>
    <d v="2025-02-03T15:58:47"/>
    <d v="2025-02-10T15:54:17"/>
    <d v="2025-04-29T00:00:00"/>
    <s v="Ian Trottier"/>
    <s v="USD"/>
    <n v="0.69834485616458641"/>
    <n v="55151.891876930713"/>
    <n v="0"/>
    <n v="38515.040000000001"/>
    <n v="38515.040000000001"/>
    <m/>
    <n v="38515.040000000001"/>
    <s v="Delivered"/>
    <m/>
    <n v="4"/>
    <n v="2"/>
    <n v="2025"/>
    <n v="4"/>
    <n v="2025"/>
    <n v="0.69834485616458641"/>
    <x v="111"/>
    <d v="2025-02-03T15:58:47"/>
    <x v="128"/>
    <s v="Paid"/>
    <d v="2025-04-16T00:00:00"/>
    <s v="S305276"/>
    <x v="57"/>
    <x v="1"/>
    <n v="55151.891876930713"/>
    <n v="38515.040000000001"/>
    <n v="0.69834485616458641"/>
    <n v="0"/>
    <n v="-23141.73"/>
    <s v=""/>
    <n v="15373.310000000001"/>
    <x v="0"/>
    <x v="1"/>
    <s v="Yes"/>
    <s v="Pend"/>
  </r>
  <r>
    <m/>
    <m/>
    <m/>
    <s v="INV12782"/>
    <m/>
    <m/>
    <m/>
    <m/>
    <m/>
    <m/>
    <m/>
    <m/>
    <m/>
    <m/>
    <m/>
    <m/>
    <m/>
    <m/>
    <m/>
    <n v="4"/>
    <n v="2"/>
    <n v="2025"/>
    <n v="4"/>
    <n v="2025"/>
    <n v="0.69834485616458641"/>
    <x v="111"/>
    <d v="2025-02-03T15:58:47"/>
    <x v="129"/>
    <s v="Paid"/>
    <d v="2025-04-04T00:00:00"/>
    <s v="S305276"/>
    <x v="57"/>
    <x v="1"/>
    <n v="0"/>
    <n v="0"/>
    <n v="0"/>
    <n v="0"/>
    <n v="-468.06"/>
    <s v=""/>
    <n v="-468.06"/>
    <x v="0"/>
    <x v="1"/>
    <s v="Yes"/>
    <s v="Pend"/>
  </r>
  <r>
    <m/>
    <m/>
    <m/>
    <s v="INV12822"/>
    <m/>
    <m/>
    <m/>
    <m/>
    <m/>
    <m/>
    <m/>
    <m/>
    <m/>
    <m/>
    <m/>
    <m/>
    <m/>
    <m/>
    <m/>
    <n v="4"/>
    <n v="2"/>
    <n v="2025"/>
    <n v="4"/>
    <n v="2025"/>
    <n v="0.69834485616458641"/>
    <x v="111"/>
    <d v="2025-02-03T15:58:47"/>
    <x v="130"/>
    <s v="Paid"/>
    <d v="2025-04-16T00:00:00"/>
    <s v="S305276"/>
    <x v="57"/>
    <x v="1"/>
    <n v="0"/>
    <n v="0"/>
    <n v="0"/>
    <n v="0"/>
    <n v="-14156.31"/>
    <s v=""/>
    <n v="-14156.31"/>
    <x v="0"/>
    <x v="1"/>
    <s v="Yes"/>
    <s v="Pend"/>
  </r>
  <r>
    <m/>
    <m/>
    <m/>
    <s v="INV13035"/>
    <m/>
    <m/>
    <m/>
    <m/>
    <m/>
    <m/>
    <m/>
    <m/>
    <m/>
    <m/>
    <m/>
    <m/>
    <m/>
    <m/>
    <m/>
    <n v="4"/>
    <n v="2"/>
    <n v="2025"/>
    <n v="6"/>
    <n v="2025"/>
    <n v="0.69834485616458641"/>
    <x v="111"/>
    <d v="2025-02-03T15:58:47"/>
    <x v="131"/>
    <s v="Paid"/>
    <d v="2025-06-13T00:00:00"/>
    <s v="S305276"/>
    <x v="57"/>
    <x v="1"/>
    <n v="0"/>
    <n v="0"/>
    <n v="0"/>
    <n v="0"/>
    <n v="-748.94"/>
    <s v=""/>
    <n v="-748.94"/>
    <x v="0"/>
    <x v="1"/>
    <s v="Yes"/>
    <s v="Pend"/>
  </r>
  <r>
    <n v="1"/>
    <s v="SO16532"/>
    <s v="4004044"/>
    <s v="INV12898"/>
    <s v="John Brooks Company Limited"/>
    <d v="2025-02-03T17:31:00"/>
    <d v="2025-02-13T09:32:09"/>
    <d v="2025-05-01T00:00:00"/>
    <s v="Ian Trottier"/>
    <s v="CAD"/>
    <n v="1"/>
    <n v="6082.12"/>
    <n v="0"/>
    <n v="4274.0647146065348"/>
    <n v="5382.41"/>
    <n v="699.71"/>
    <n v="6082.12"/>
    <s v="Delivered"/>
    <m/>
    <n v="1"/>
    <n v="2"/>
    <n v="2025"/>
    <n v="5"/>
    <n v="2025"/>
    <n v="0.70272614065597772"/>
    <x v="112"/>
    <d v="2025-02-03T17:31:00"/>
    <x v="132"/>
    <s v="Paid"/>
    <d v="2025-05-21T00:00:00"/>
    <s v="4004044"/>
    <x v="58"/>
    <x v="0"/>
    <n v="5382.41"/>
    <n v="3782.3602067281408"/>
    <n v="0.70272614065597772"/>
    <n v="-5382.41"/>
    <n v="0"/>
    <n v="0"/>
    <s v=""/>
    <x v="0"/>
    <x v="0"/>
    <s v="Pend"/>
    <s v="Pend"/>
  </r>
  <r>
    <n v="1"/>
    <s v="SO16533"/>
    <s v="PO-40-1013133"/>
    <s v="INV12756"/>
    <s v="Canadian Bearings Ltd., Canadian Bearings Ltd. - Quebec City"/>
    <d v="2025-02-03T17:52:08"/>
    <d v="2025-02-18T18:41:06"/>
    <d v="2025-05-05T00:00:00"/>
    <s v="Ian Trottier"/>
    <s v="CAD"/>
    <n v="1"/>
    <n v="6231.59"/>
    <n v="6231.59"/>
    <n v="6231.59"/>
    <n v="5934.85"/>
    <n v="296.74"/>
    <n v="6231.59"/>
    <s v="Delivered"/>
    <m/>
    <n v="1"/>
    <n v="2"/>
    <n v="2025"/>
    <n v="5"/>
    <n v="2025"/>
    <n v="1"/>
    <x v="113"/>
    <d v="2025-02-03T17:52:08"/>
    <x v="133"/>
    <s v="Paid"/>
    <d v="2025-05-13T00:00:00"/>
    <s v="PO-40-1013133"/>
    <x v="59"/>
    <x v="0"/>
    <n v="5934.85"/>
    <n v="4167.9531879950555"/>
    <n v="0.70228450390406749"/>
    <n v="-5934.85"/>
    <n v="0"/>
    <n v="0"/>
    <s v=""/>
    <x v="0"/>
    <x v="0"/>
    <s v="Pend"/>
    <s v="Pend"/>
  </r>
  <r>
    <n v="5"/>
    <s v="SO16534"/>
    <s v="S305039"/>
    <s v="INV12618"/>
    <s v="Kumtor Gold Company"/>
    <d v="2025-02-04T10:35:20"/>
    <d v="2025-02-04T10:45:14"/>
    <d v="2025-06-03T00:00:00"/>
    <s v="Ian Trottier"/>
    <s v="USD"/>
    <n v="0.68489392782051961"/>
    <n v="77306.715462478212"/>
    <n v="0"/>
    <n v="52946.9"/>
    <n v="52946.9"/>
    <m/>
    <n v="52946.9"/>
    <s v="Delivered"/>
    <m/>
    <n v="5"/>
    <n v="2"/>
    <n v="2025"/>
    <n v="3"/>
    <n v="2025"/>
    <n v="0.68489392782051961"/>
    <x v="114"/>
    <d v="2025-02-04T10:35:20"/>
    <x v="134"/>
    <s v="Paid"/>
    <d v="2025-03-19T00:00:00"/>
    <s v="S305039"/>
    <x v="57"/>
    <x v="1"/>
    <n v="77306.715462478212"/>
    <n v="52946.9"/>
    <n v="0.68489392782051961"/>
    <n v="0"/>
    <n v="-16104.77"/>
    <s v=""/>
    <n v="36842.130000000005"/>
    <x v="0"/>
    <x v="1"/>
    <s v="Yes"/>
    <s v="Pend"/>
  </r>
  <r>
    <m/>
    <m/>
    <m/>
    <s v="INV12747"/>
    <m/>
    <m/>
    <m/>
    <m/>
    <m/>
    <m/>
    <m/>
    <m/>
    <m/>
    <m/>
    <m/>
    <m/>
    <m/>
    <m/>
    <m/>
    <n v="5"/>
    <n v="2"/>
    <n v="2025"/>
    <n v="4"/>
    <n v="2025"/>
    <n v="0.68489392782051961"/>
    <x v="114"/>
    <d v="2025-02-04T10:35:20"/>
    <x v="135"/>
    <s v="Paid"/>
    <d v="2025-04-16T00:00:00"/>
    <s v="S305039"/>
    <x v="57"/>
    <x v="1"/>
    <n v="0"/>
    <n v="0"/>
    <n v="0"/>
    <n v="0"/>
    <n v="-1452.39"/>
    <s v=""/>
    <n v="-1452.39"/>
    <x v="0"/>
    <x v="1"/>
    <s v="Yes"/>
    <s v="Pend"/>
  </r>
  <r>
    <m/>
    <m/>
    <m/>
    <s v="INV12840"/>
    <m/>
    <m/>
    <m/>
    <m/>
    <m/>
    <m/>
    <m/>
    <m/>
    <m/>
    <m/>
    <m/>
    <m/>
    <m/>
    <m/>
    <m/>
    <n v="5"/>
    <n v="2"/>
    <n v="2025"/>
    <n v="4"/>
    <n v="2025"/>
    <n v="0.68489392782051961"/>
    <x v="114"/>
    <d v="2025-02-04T10:35:20"/>
    <x v="136"/>
    <s v="Paid"/>
    <d v="2025-04-16T00:00:00"/>
    <s v="S305039"/>
    <x v="57"/>
    <x v="1"/>
    <n v="0"/>
    <n v="0"/>
    <n v="0"/>
    <n v="0"/>
    <n v="-18751.86"/>
    <s v=""/>
    <n v="-18751.86"/>
    <x v="0"/>
    <x v="1"/>
    <s v="Yes"/>
    <s v="Pend"/>
  </r>
  <r>
    <m/>
    <m/>
    <m/>
    <s v="INV12860"/>
    <m/>
    <m/>
    <m/>
    <m/>
    <m/>
    <m/>
    <m/>
    <m/>
    <m/>
    <m/>
    <m/>
    <m/>
    <m/>
    <m/>
    <m/>
    <n v="5"/>
    <n v="2"/>
    <n v="2025"/>
    <n v="4"/>
    <n v="2025"/>
    <n v="0.68489392782051961"/>
    <x v="114"/>
    <d v="2025-02-04T10:35:20"/>
    <x v="137"/>
    <s v="Paid"/>
    <d v="2025-04-25T00:00:00"/>
    <s v="S305039"/>
    <x v="57"/>
    <x v="1"/>
    <n v="0"/>
    <n v="0"/>
    <n v="0"/>
    <n v="0"/>
    <n v="-7261.95"/>
    <s v=""/>
    <n v="-7261.95"/>
    <x v="0"/>
    <x v="1"/>
    <s v="Yes"/>
    <s v="Pend"/>
  </r>
  <r>
    <m/>
    <m/>
    <m/>
    <s v="INV13074"/>
    <m/>
    <m/>
    <m/>
    <m/>
    <m/>
    <m/>
    <m/>
    <m/>
    <m/>
    <m/>
    <m/>
    <m/>
    <m/>
    <m/>
    <m/>
    <n v="5"/>
    <n v="2"/>
    <n v="2025"/>
    <n v="6"/>
    <n v="2025"/>
    <n v="0.68489392782051961"/>
    <x v="114"/>
    <d v="2025-02-04T10:35:20"/>
    <x v="138"/>
    <s v="Paid"/>
    <d v="2025-06-18T00:00:00"/>
    <s v="S305039"/>
    <x v="57"/>
    <x v="1"/>
    <n v="0"/>
    <n v="0"/>
    <n v="0"/>
    <n v="0"/>
    <n v="-9375.93"/>
    <s v=""/>
    <n v="-9375.93"/>
    <x v="0"/>
    <x v="1"/>
    <s v="Yes"/>
    <s v="Pend"/>
  </r>
  <r>
    <n v="1"/>
    <s v="SO16535"/>
    <s v="4501101861"/>
    <s v="INV12644"/>
    <s v="Barrick Gold - Pueblo Viejo Dominicana Corporation"/>
    <d v="2025-02-04T10:41:44"/>
    <d v="2025-02-04T10:42:05"/>
    <d v="2025-02-19T00:00:00"/>
    <s v="Jeff Bell"/>
    <s v="USD"/>
    <n v="0.68489392782051961"/>
    <n v="22748.778120402549"/>
    <n v="0"/>
    <n v="15580.5"/>
    <n v="15580.5"/>
    <m/>
    <n v="15580.5"/>
    <s v="Delivered"/>
    <m/>
    <n v="1"/>
    <n v="2"/>
    <n v="2025"/>
    <n v="4"/>
    <n v="2025"/>
    <n v="0.68489392782051961"/>
    <x v="115"/>
    <d v="2025-02-04T10:41:44"/>
    <x v="139"/>
    <s v="Paid"/>
    <d v="2025-04-11T00:00:00"/>
    <s v="4501101861"/>
    <x v="15"/>
    <x v="1"/>
    <n v="22748.778120402549"/>
    <n v="15580.5"/>
    <n v="0.68489392782051961"/>
    <n v="0"/>
    <n v="-15580.5"/>
    <s v=""/>
    <n v="0"/>
    <x v="0"/>
    <x v="0"/>
    <s v="Pend"/>
    <s v="Pend"/>
  </r>
  <r>
    <n v="2"/>
    <s v="SO16537"/>
    <s v="P-20525"/>
    <s v="INV12832"/>
    <s v="Cartledge &amp; Associates Inc."/>
    <d v="2025-02-04T12:12:32"/>
    <d v="2025-02-04T17:46:44"/>
    <d v="2025-04-22T00:00:00"/>
    <s v="Ian Trottier"/>
    <s v="USD"/>
    <n v="0.68489392782051961"/>
    <n v="5976.3998974636061"/>
    <n v="0"/>
    <n v="4093.2"/>
    <n v="4093.2"/>
    <m/>
    <n v="4093.2"/>
    <s v="Delivered"/>
    <m/>
    <n v="2"/>
    <n v="2"/>
    <n v="2025"/>
    <n v="5"/>
    <n v="2025"/>
    <n v="0.68489392782051961"/>
    <x v="116"/>
    <d v="2025-02-04T12:12:32"/>
    <x v="140"/>
    <s v="Paid"/>
    <d v="2025-05-15T00:00:00"/>
    <s v="P-20525"/>
    <x v="25"/>
    <x v="1"/>
    <n v="5976.3998974636061"/>
    <n v="4093.2"/>
    <n v="0.68489392782051961"/>
    <n v="0"/>
    <n v="-3069.9"/>
    <s v=""/>
    <n v="1023.2999999999997"/>
    <x v="0"/>
    <x v="1"/>
    <s v="Yes"/>
    <s v="Pend"/>
  </r>
  <r>
    <m/>
    <m/>
    <m/>
    <s v="INV12605"/>
    <m/>
    <m/>
    <m/>
    <m/>
    <m/>
    <m/>
    <m/>
    <m/>
    <m/>
    <m/>
    <m/>
    <m/>
    <m/>
    <m/>
    <m/>
    <n v="2"/>
    <n v="2"/>
    <n v="2025"/>
    <n v="4"/>
    <n v="2025"/>
    <n v="0.68489392782051961"/>
    <x v="116"/>
    <d v="2025-02-04T12:12:32"/>
    <x v="141"/>
    <s v="Paid"/>
    <d v="2025-04-07T00:00:00"/>
    <s v="P-20525"/>
    <x v="25"/>
    <x v="1"/>
    <n v="0"/>
    <n v="0"/>
    <n v="0"/>
    <n v="0"/>
    <n v="-1023.3"/>
    <s v=""/>
    <n v="-1023.3"/>
    <x v="0"/>
    <x v="1"/>
    <s v="Yes"/>
    <s v="Pend"/>
  </r>
  <r>
    <n v="1"/>
    <s v="SO16539"/>
    <s v="068612"/>
    <s v="INV12603"/>
    <s v="Grant Aggregate"/>
    <d v="2025-02-04T14:22:02"/>
    <d v="2025-02-04T14:23:53"/>
    <d v="2025-02-05T00:00:00"/>
    <s v="Ian Trottier"/>
    <s v="CAD"/>
    <n v="1"/>
    <n v="505.23"/>
    <n v="0"/>
    <n v="352.80671767308098"/>
    <n v="447.11"/>
    <n v="58.12"/>
    <n v="505.23"/>
    <s v="Delivered"/>
    <m/>
    <n v="1"/>
    <n v="2"/>
    <n v="2025"/>
    <n v="3"/>
    <n v="2025"/>
    <n v="0.69830912193076611"/>
    <x v="117"/>
    <d v="2025-02-04T14:22:02"/>
    <x v="142"/>
    <s v="Paid"/>
    <d v="2025-03-10T00:00:00"/>
    <s v="068612"/>
    <x v="9"/>
    <x v="0"/>
    <n v="447.11"/>
    <n v="312.22099150646483"/>
    <n v="0.69830912193076611"/>
    <n v="-447.11"/>
    <n v="0"/>
    <n v="0"/>
    <s v=""/>
    <x v="0"/>
    <x v="0"/>
    <s v="Pend"/>
    <s v="Pend"/>
  </r>
  <r>
    <n v="2"/>
    <s v="SO16544"/>
    <s v="MB21-00189084"/>
    <s v="INV12940"/>
    <s v="Motion Industries Inc. (Canada) - Winnipeg"/>
    <d v="2025-02-05T12:50:16"/>
    <d v="2025-05-01T10:35:53"/>
    <d v="2025-07-17T00:00:00"/>
    <s v="Ian Trottier"/>
    <s v="CAD"/>
    <n v="1"/>
    <n v="7864.84"/>
    <n v="0"/>
    <n v="5679.2136625299991"/>
    <n v="7490.32"/>
    <n v="374.52"/>
    <n v="7864.84"/>
    <s v="Delivered"/>
    <m/>
    <n v="2"/>
    <n v="2"/>
    <n v="2025"/>
    <n v="6"/>
    <n v="2025"/>
    <n v="0.72210161459482947"/>
    <x v="118"/>
    <d v="2025-02-05T12:50:16"/>
    <x v="143"/>
    <s v="Paid"/>
    <d v="2025-06-02T00:00:00"/>
    <s v="MB21-00189084"/>
    <x v="23"/>
    <x v="0"/>
    <n v="7490.32"/>
    <n v="5408.7721658319424"/>
    <n v="0.72210161459482936"/>
    <n v="-92.22"/>
    <n v="0"/>
    <n v="7398.0999999999995"/>
    <s v=""/>
    <x v="0"/>
    <x v="1"/>
    <s v="Yes"/>
    <s v="Pend"/>
  </r>
  <r>
    <m/>
    <m/>
    <m/>
    <s v="INV13261"/>
    <m/>
    <m/>
    <m/>
    <m/>
    <m/>
    <m/>
    <m/>
    <m/>
    <m/>
    <m/>
    <m/>
    <m/>
    <m/>
    <m/>
    <m/>
    <n v="2"/>
    <n v="2"/>
    <n v="2025"/>
    <n v="9"/>
    <n v="2025"/>
    <n v="0.72210161459482947"/>
    <x v="118"/>
    <d v="2025-02-05T12:50:16"/>
    <x v="144"/>
    <s v="Paid"/>
    <d v="2025-09-04T00:00:00"/>
    <s v="MB21-00189084"/>
    <x v="23"/>
    <x v="0"/>
    <n v="0"/>
    <n v="0"/>
    <n v="0"/>
    <n v="-7398.1"/>
    <n v="0"/>
    <n v="-7398.1"/>
    <s v=""/>
    <x v="0"/>
    <x v="1"/>
    <s v="Yes"/>
    <s v="Pend"/>
  </r>
  <r>
    <n v="1"/>
    <s v="SO16545"/>
    <s v="21316"/>
    <s v="INV13030"/>
    <s v="DRN Industriel"/>
    <d v="2025-02-05T12:53:03"/>
    <d v="2025-02-05T17:09:58"/>
    <d v="2025-04-30T00:00:00"/>
    <s v="Ian Trottier"/>
    <s v="CAD"/>
    <n v="1"/>
    <n v="4559.7299999999996"/>
    <n v="0"/>
    <n v="3192.2113441296779"/>
    <n v="4342.6000000000004"/>
    <n v="217.13"/>
    <n v="4559.7299999999996"/>
    <s v="Delivered"/>
    <m/>
    <n v="1"/>
    <n v="2"/>
    <n v="2025"/>
    <n v="7"/>
    <n v="2025"/>
    <n v="0.70008779996396242"/>
    <x v="119"/>
    <d v="2025-02-05T12:53:03"/>
    <x v="145"/>
    <s v="Paid"/>
    <d v="2025-07-03T00:00:00"/>
    <s v="21316"/>
    <x v="52"/>
    <x v="0"/>
    <n v="4342.6000000000004"/>
    <n v="3040.2012801235032"/>
    <n v="0.70008779996396242"/>
    <n v="-4342.6000000000004"/>
    <n v="0"/>
    <n v="0"/>
    <s v=""/>
    <x v="0"/>
    <x v="0"/>
    <s v="Pend"/>
    <s v="Pend"/>
  </r>
  <r>
    <n v="1"/>
    <s v="SO16546"/>
    <s v="4501102834"/>
    <s v="INV12646"/>
    <s v="Barrick Gold - Pueblo Viejo Dominicana Corporation"/>
    <d v="2025-02-05T14:19:13"/>
    <d v="2025-02-05T17:19:04"/>
    <d v="2025-02-19T00:00:00"/>
    <s v="Jeff Bell"/>
    <s v="USD"/>
    <n v="0.69830912193076611"/>
    <n v="29631.719463706959"/>
    <n v="0"/>
    <n v="20692.099999999999"/>
    <n v="20692.099999999999"/>
    <m/>
    <n v="20692.099999999999"/>
    <s v="Delivered"/>
    <m/>
    <n v="1"/>
    <n v="2"/>
    <n v="2025"/>
    <n v="4"/>
    <n v="2025"/>
    <n v="0.69830912193076611"/>
    <x v="120"/>
    <d v="2025-02-05T14:19:13"/>
    <x v="146"/>
    <s v="Paid"/>
    <d v="2025-04-11T00:00:00"/>
    <s v="4501102834"/>
    <x v="15"/>
    <x v="1"/>
    <n v="29631.719463706959"/>
    <n v="20692.099999999999"/>
    <n v="0.69830912193076611"/>
    <n v="0"/>
    <n v="-20692.099999999999"/>
    <s v=""/>
    <n v="0"/>
    <x v="0"/>
    <x v="0"/>
    <s v="Pend"/>
    <s v="Pend"/>
  </r>
  <r>
    <n v="1"/>
    <s v="SO16547"/>
    <s v="P352270"/>
    <s v="INV12962"/>
    <s v="Covia Corp - Camden"/>
    <d v="2025-02-05T14:28:03"/>
    <d v="2025-02-05T14:27:18"/>
    <d v="2025-05-09T00:00:00"/>
    <s v="Marlen Martinez"/>
    <s v="USD"/>
    <n v="0.69830912193076611"/>
    <n v="895.69215173736814"/>
    <n v="0"/>
    <n v="625.47"/>
    <n v="625.47"/>
    <m/>
    <n v="625.47"/>
    <s v="Delivered"/>
    <m/>
    <n v="1"/>
    <n v="2"/>
    <n v="2025"/>
    <n v="8"/>
    <n v="2025"/>
    <n v="0.69830912193076611"/>
    <x v="121"/>
    <d v="2025-02-05T14:28:03"/>
    <x v="147"/>
    <s v="Paid"/>
    <d v="2025-08-07T00:00:00"/>
    <s v="P352270"/>
    <x v="31"/>
    <x v="1"/>
    <n v="895.69215173736814"/>
    <n v="625.47"/>
    <n v="0.69830912193076611"/>
    <n v="0"/>
    <n v="-625.47"/>
    <s v=""/>
    <n v="0"/>
    <x v="0"/>
    <x v="0"/>
    <s v="Pend"/>
    <s v="Pend"/>
  </r>
  <r>
    <n v="1"/>
    <s v="SO16549"/>
    <s v="4500580004"/>
    <s v="INV12613"/>
    <s v="Resolute Forest Products - Saint-Felicien"/>
    <d v="2025-02-06T09:12:02"/>
    <d v="2025-02-07T11:44:32"/>
    <d v="2025-02-11T00:00:00"/>
    <s v="Ian Trottier"/>
    <s v="CAD"/>
    <n v="1"/>
    <n v="4349.0200000000004"/>
    <n v="0"/>
    <n v="3038.9055911438272"/>
    <n v="4141.92"/>
    <n v="207.1"/>
    <n v="4349.0200000000004"/>
    <s v="Delivered"/>
    <m/>
    <n v="1"/>
    <n v="2"/>
    <n v="2025"/>
    <n v="4"/>
    <n v="2025"/>
    <n v="0.69875640745359346"/>
    <x v="122"/>
    <d v="2025-02-06T09:12:02"/>
    <x v="148"/>
    <s v="Paid"/>
    <d v="2025-04-11T00:00:00"/>
    <s v="4500580004"/>
    <x v="46"/>
    <x v="0"/>
    <n v="4141.92"/>
    <n v="2894.1931391601879"/>
    <n v="0.69875640745359346"/>
    <n v="-4141.92"/>
    <n v="0"/>
    <n v="0"/>
    <s v=""/>
    <x v="0"/>
    <x v="0"/>
    <s v="Pend"/>
    <s v="Pend"/>
  </r>
  <r>
    <n v="1"/>
    <s v="SO16550"/>
    <s v="2100504291"/>
    <s v="INV12607"/>
    <s v="Wajax Limited - Noranda"/>
    <d v="2025-02-06T10:48:00"/>
    <d v="2025-02-06T11:39:53"/>
    <d v="2025-02-07T00:00:00"/>
    <s v="Ian Trottier"/>
    <s v="CAD"/>
    <n v="1"/>
    <n v="746.81"/>
    <n v="0"/>
    <n v="521.66267612002866"/>
    <n v="711.25"/>
    <n v="35.56"/>
    <n v="746.81"/>
    <s v="Delivered"/>
    <m/>
    <n v="1"/>
    <n v="2"/>
    <n v="2025"/>
    <n v="3"/>
    <n v="2025"/>
    <n v="0.69852127866529468"/>
    <x v="123"/>
    <d v="2025-02-06T10:48:00"/>
    <x v="149"/>
    <s v="Paid"/>
    <d v="2025-03-12T00:00:00"/>
    <s v="2100504291"/>
    <x v="35"/>
    <x v="0"/>
    <n v="711.25"/>
    <n v="496.82325945069084"/>
    <n v="0.69852127866529468"/>
    <n v="-711.25"/>
    <n v="0"/>
    <n v="0"/>
    <s v=""/>
    <x v="0"/>
    <x v="0"/>
    <s v="Pend"/>
    <s v="Pend"/>
  </r>
  <r>
    <n v="1"/>
    <s v="SO16551"/>
    <s v="4500580445"/>
    <s v="INV12743"/>
    <s v="Resolute Forest Products - Kenogami"/>
    <d v="2025-02-06T11:15:49"/>
    <d v="2025-02-07T11:24:58"/>
    <d v="2025-03-07T00:00:00"/>
    <s v="Ian Trottier"/>
    <s v="CAD"/>
    <n v="1"/>
    <n v="8183.91"/>
    <n v="0"/>
    <n v="5718.5595505235378"/>
    <n v="7794.2"/>
    <n v="389.71"/>
    <n v="8183.91"/>
    <s v="Delivered"/>
    <m/>
    <n v="1"/>
    <n v="2"/>
    <n v="2025"/>
    <n v="5"/>
    <n v="2025"/>
    <n v="0.69875640745359346"/>
    <x v="124"/>
    <d v="2025-02-06T11:15:49"/>
    <x v="150"/>
    <s v="Paid"/>
    <d v="2025-05-16T00:00:00"/>
    <s v="4500580445"/>
    <x v="17"/>
    <x v="0"/>
    <n v="7794.2"/>
    <n v="5446.2471909747983"/>
    <n v="0.69875640745359346"/>
    <n v="-7794.2"/>
    <n v="0"/>
    <n v="0"/>
    <s v=""/>
    <x v="0"/>
    <x v="0"/>
    <s v="Pend"/>
    <s v="Pend"/>
  </r>
  <r>
    <n v="1"/>
    <s v="SO16552"/>
    <s v="6752"/>
    <s v="INV12757"/>
    <s v="Hyperflo"/>
    <d v="2025-02-06T12:42:32"/>
    <d v="2025-02-06T12:44:02"/>
    <d v="2025-04-03T00:00:00"/>
    <s v="Taylor Cook"/>
    <s v="CAD"/>
    <n v="1"/>
    <n v="180.92"/>
    <n v="0"/>
    <n v="126.3764697361251"/>
    <n v="172.3"/>
    <n v="8.6199999999999992"/>
    <n v="180.92"/>
    <s v="Delivered"/>
    <m/>
    <n v="1"/>
    <n v="2"/>
    <n v="2025"/>
    <n v="4"/>
    <n v="2025"/>
    <n v="0.69852127866529468"/>
    <x v="125"/>
    <d v="2025-02-06T12:42:32"/>
    <x v="151"/>
    <s v="Paid"/>
    <d v="2025-04-29T00:00:00"/>
    <s v="6752"/>
    <x v="5"/>
    <x v="0"/>
    <n v="172.3"/>
    <n v="120.35521631403029"/>
    <n v="0.69852127866529468"/>
    <n v="-172.3"/>
    <n v="0"/>
    <n v="0"/>
    <s v=""/>
    <x v="0"/>
    <x v="0"/>
    <s v="Pend"/>
    <s v="Pend"/>
  </r>
  <r>
    <n v="2"/>
    <s v="SO16554"/>
    <s v="4501106578"/>
    <s v="INV13151"/>
    <s v="Barrick Gold - Pueblo Viejo Dominicana Corporation"/>
    <d v="2025-02-06T15:46:17"/>
    <d v="2025-02-11T16:23:06"/>
    <d v="2025-07-14T00:00:00"/>
    <s v="Jeff Bell"/>
    <s v="USD"/>
    <n v="0.69834485616458641"/>
    <n v="45189.049108657709"/>
    <n v="0"/>
    <n v="31557.54"/>
    <n v="31557.54"/>
    <m/>
    <n v="31557.54"/>
    <s v="Delivered"/>
    <m/>
    <n v="2"/>
    <n v="2"/>
    <n v="2025"/>
    <n v="8"/>
    <n v="2025"/>
    <n v="0.69834485616458641"/>
    <x v="126"/>
    <d v="2025-02-06T15:46:17"/>
    <x v="152"/>
    <s v="Paid"/>
    <d v="2025-08-21T00:00:00"/>
    <s v="4501106578"/>
    <x v="15"/>
    <x v="1"/>
    <n v="45189.049108657709"/>
    <n v="31557.54"/>
    <n v="0.69834485616458641"/>
    <n v="0"/>
    <n v="-28632.45"/>
    <s v=""/>
    <n v="2925.09"/>
    <x v="0"/>
    <x v="1"/>
    <s v="Yes"/>
    <s v="Pend"/>
  </r>
  <r>
    <m/>
    <m/>
    <m/>
    <s v="INV12765"/>
    <m/>
    <m/>
    <m/>
    <m/>
    <m/>
    <m/>
    <m/>
    <m/>
    <m/>
    <m/>
    <m/>
    <m/>
    <m/>
    <m/>
    <m/>
    <n v="2"/>
    <n v="2"/>
    <n v="2025"/>
    <n v="5"/>
    <n v="2025"/>
    <n v="0.69834485616458641"/>
    <x v="126"/>
    <d v="2025-02-06T15:46:17"/>
    <x v="153"/>
    <s v="Paid"/>
    <d v="2025-05-09T00:00:00"/>
    <s v="4501106578"/>
    <x v="15"/>
    <x v="1"/>
    <n v="0"/>
    <n v="0"/>
    <n v="0"/>
    <n v="0"/>
    <n v="-2925.09"/>
    <s v=""/>
    <n v="-2925.09"/>
    <x v="0"/>
    <x v="1"/>
    <s v="Yes"/>
    <s v="Pend"/>
  </r>
  <r>
    <n v="1"/>
    <s v="SO16556"/>
    <s v="OC00143"/>
    <s v="INV12867"/>
    <s v="Dynapro Pumps México S de RL de CV"/>
    <d v="2025-02-06T18:46:53"/>
    <d v="2025-02-06T18:44:10"/>
    <d v="2025-03-10T00:00:00"/>
    <s v="Yannett Yeomans"/>
    <s v="USD"/>
    <n v="0.70008779996396242"/>
    <n v="5240.7712292499091"/>
    <n v="0"/>
    <n v="3669"/>
    <n v="3669"/>
    <m/>
    <n v="3669"/>
    <s v="Delivered"/>
    <m/>
    <n v="1"/>
    <n v="2"/>
    <n v="2025"/>
    <s v=""/>
    <s v=""/>
    <n v="0.70008779996396242"/>
    <x v="127"/>
    <d v="2025-02-06T18:46:53"/>
    <x v="154"/>
    <s v="Approved"/>
    <s v="Pending"/>
    <s v="OC00143"/>
    <x v="54"/>
    <x v="1"/>
    <n v="5240.7712292499091"/>
    <n v="3669"/>
    <n v="0.70008779996396242"/>
    <n v="0"/>
    <n v="-3669"/>
    <s v=""/>
    <n v="0"/>
    <x v="1"/>
    <x v="2"/>
    <s v="Pend"/>
    <s v="Pend"/>
  </r>
  <r>
    <n v="1"/>
    <s v="SO16557"/>
    <s v="40-1013039"/>
    <s v="INV12636"/>
    <s v="Canadian Bearings Ltd."/>
    <d v="2025-02-07T09:10:50"/>
    <d v="2025-02-17T09:10:50"/>
    <d v="2025-02-18T00:00:00"/>
    <s v="Taylor Cook"/>
    <s v="CAD"/>
    <n v="1"/>
    <n v="283.87"/>
    <n v="0"/>
    <n v="200.10662574100149"/>
    <n v="270.35000000000002"/>
    <n v="13.52"/>
    <n v="283.87"/>
    <s v="Delivered"/>
    <m/>
    <n v="1"/>
    <n v="2"/>
    <n v="2025"/>
    <n v="3"/>
    <n v="2025"/>
    <n v="0.70492347109945219"/>
    <x v="128"/>
    <d v="2025-02-07T09:10:50"/>
    <x v="155"/>
    <s v="Paid"/>
    <d v="2025-03-13T00:00:00"/>
    <s v="40-1013039"/>
    <x v="38"/>
    <x v="0"/>
    <n v="270.35000000000002"/>
    <n v="190.5760604117369"/>
    <n v="0.70492347109945219"/>
    <n v="-270.35000000000002"/>
    <n v="0"/>
    <n v="0"/>
    <s v=""/>
    <x v="0"/>
    <x v="0"/>
    <s v="Pend"/>
    <s v="Pend"/>
  </r>
  <r>
    <n v="1"/>
    <s v="SO16558"/>
    <s v="2851"/>
    <s v="INV12977"/>
    <s v="Les Pompes du St-Laurent Inc."/>
    <d v="2025-02-07T09:14:26"/>
    <d v="2025-02-07T09:34:13"/>
    <d v="2025-05-02T00:00:00"/>
    <s v="Ian Trottier"/>
    <s v="CAD"/>
    <n v="1"/>
    <n v="3524.01"/>
    <n v="0"/>
    <n v="2462.424567430538"/>
    <n v="3356.2"/>
    <n v="167.81"/>
    <n v="3524.01"/>
    <s v="Delivered"/>
    <m/>
    <n v="1"/>
    <n v="2"/>
    <n v="2025"/>
    <n v="5"/>
    <n v="2025"/>
    <n v="0.69875640745359346"/>
    <x v="129"/>
    <d v="2025-02-07T09:14:26"/>
    <x v="156"/>
    <s v="Paid"/>
    <d v="2025-05-22T00:00:00"/>
    <s v="2851"/>
    <x v="7"/>
    <x v="0"/>
    <n v="3356.2"/>
    <n v="2345.1662546957505"/>
    <n v="0.69875640745359358"/>
    <n v="-3356.2"/>
    <n v="0"/>
    <n v="0"/>
    <s v=""/>
    <x v="0"/>
    <x v="0"/>
    <s v="Pend"/>
    <s v="Pend"/>
  </r>
  <r>
    <n v="1"/>
    <s v="SO16559"/>
    <s v="PO09020"/>
    <s v="INV12640"/>
    <s v="Tantalum Mining Corporation of Canada"/>
    <d v="2025-02-07T09:32:06"/>
    <d v="2025-02-18T09:30:17"/>
    <d v="2025-02-21T00:00:00"/>
    <s v="Taylor Cook"/>
    <s v="CAD"/>
    <n v="1"/>
    <n v="2120.44"/>
    <n v="2120.44"/>
    <n v="2120.44"/>
    <n v="2019.47"/>
    <n v="100.97"/>
    <n v="2120.44"/>
    <s v="Delivered"/>
    <m/>
    <n v="1"/>
    <n v="2"/>
    <n v="2025"/>
    <n v="3"/>
    <n v="2025"/>
    <n v="1"/>
    <x v="130"/>
    <d v="2025-02-07T09:32:06"/>
    <x v="157"/>
    <s v="Paid"/>
    <d v="2025-03-27T00:00:00"/>
    <s v="PO09020"/>
    <x v="20"/>
    <x v="0"/>
    <n v="2019.47"/>
    <n v="1418.2424870991472"/>
    <n v="0.70228450390406749"/>
    <n v="-2019.47"/>
    <n v="0"/>
    <n v="0"/>
    <s v=""/>
    <x v="0"/>
    <x v="0"/>
    <s v="Pend"/>
    <s v="Pend"/>
  </r>
  <r>
    <n v="1"/>
    <s v="SO16560"/>
    <s v="4500580330"/>
    <s v="INV12622"/>
    <s v="Resolute Forest Products - Kenogami"/>
    <d v="2025-02-07T10:48:42"/>
    <d v="2025-02-12T10:50:03"/>
    <d v="2025-02-28T00:00:00"/>
    <s v="Ian Trottier"/>
    <s v="CAD"/>
    <n v="1"/>
    <n v="986.77"/>
    <n v="0"/>
    <n v="690.60133388521115"/>
    <n v="939.78"/>
    <n v="46.99"/>
    <n v="986.77"/>
    <s v="Delivered"/>
    <m/>
    <n v="1"/>
    <n v="2"/>
    <n v="2025"/>
    <n v="4"/>
    <n v="2025"/>
    <n v="0.69986048814334767"/>
    <x v="131"/>
    <d v="2025-02-07T10:48:42"/>
    <x v="158"/>
    <s v="Paid"/>
    <d v="2025-04-17T00:00:00"/>
    <s v="4500580330"/>
    <x v="17"/>
    <x v="0"/>
    <n v="939.78"/>
    <n v="657.71488954735526"/>
    <n v="0.69986048814334767"/>
    <n v="-939.78"/>
    <n v="0"/>
    <n v="0"/>
    <s v=""/>
    <x v="0"/>
    <x v="0"/>
    <s v="Pend"/>
    <s v="Pend"/>
  </r>
  <r>
    <n v="1"/>
    <s v="SO16561"/>
    <s v="606867"/>
    <s v="INV12693"/>
    <s v="Sealtrac Inc."/>
    <d v="2025-02-07T13:07:08"/>
    <d v="2025-02-18T16:40:03"/>
    <d v="2025-02-19T00:00:00"/>
    <s v="Ian Trottier"/>
    <s v="CAD"/>
    <n v="1"/>
    <n v="607.11"/>
    <n v="607.11"/>
    <n v="607.11"/>
    <n v="537.27"/>
    <n v="69.84"/>
    <n v="607.11"/>
    <s v="Delivered"/>
    <m/>
    <n v="1"/>
    <n v="2"/>
    <n v="2025"/>
    <n v="4"/>
    <n v="2025"/>
    <n v="1"/>
    <x v="132"/>
    <d v="2025-02-07T13:07:08"/>
    <x v="159"/>
    <s v="Paid"/>
    <d v="2025-04-16T00:00:00"/>
    <s v="606867"/>
    <x v="50"/>
    <x v="0"/>
    <n v="537.27"/>
    <n v="377.31639541253833"/>
    <n v="0.70228450390406749"/>
    <n v="-537.27"/>
    <n v="0"/>
    <n v="0"/>
    <s v=""/>
    <x v="0"/>
    <x v="0"/>
    <s v="Pend"/>
    <s v="Pend"/>
  </r>
  <r>
    <n v="2"/>
    <s v="SO16564"/>
    <s v="007750"/>
    <s v="INV12880"/>
    <s v="Sling-Choker Manufacturing - Timmins"/>
    <d v="2025-02-10T09:40:47"/>
    <d v="2025-02-11T13:39:14"/>
    <d v="2025-04-29T00:00:00"/>
    <s v="Taylor Cook"/>
    <s v="CAD"/>
    <n v="1"/>
    <n v="15007.69"/>
    <n v="0"/>
    <n v="10488.43140647928"/>
    <n v="13281.16"/>
    <n v="1726.53"/>
    <n v="15007.69"/>
    <s v="Delivered"/>
    <m/>
    <n v="2"/>
    <n v="2"/>
    <n v="2025"/>
    <n v="5"/>
    <n v="2025"/>
    <n v="0.69887047283621129"/>
    <x v="133"/>
    <d v="2025-02-10T09:40:47"/>
    <x v="160"/>
    <s v="Paid"/>
    <d v="2025-05-21T00:00:00"/>
    <s v="007750"/>
    <x v="3"/>
    <x v="0"/>
    <n v="13281.16"/>
    <n v="9281.8105690133762"/>
    <n v="0.69887047283621129"/>
    <n v="-12249.7"/>
    <n v="0"/>
    <n v="1031.4599999999991"/>
    <s v=""/>
    <x v="0"/>
    <x v="1"/>
    <s v="Yes"/>
    <s v="Pend"/>
  </r>
  <r>
    <m/>
    <m/>
    <m/>
    <s v="INV12664"/>
    <m/>
    <m/>
    <m/>
    <m/>
    <m/>
    <m/>
    <m/>
    <m/>
    <m/>
    <m/>
    <m/>
    <m/>
    <m/>
    <m/>
    <m/>
    <n v="2"/>
    <n v="2"/>
    <n v="2025"/>
    <n v="3"/>
    <n v="2025"/>
    <n v="0.69887047283621129"/>
    <x v="133"/>
    <d v="2025-02-10T09:40:47"/>
    <x v="161"/>
    <s v="Paid"/>
    <d v="2025-03-26T00:00:00"/>
    <s v="007750"/>
    <x v="3"/>
    <x v="0"/>
    <n v="0"/>
    <n v="0"/>
    <n v="0"/>
    <n v="-1031.46"/>
    <n v="0"/>
    <n v="-1031.46"/>
    <s v=""/>
    <x v="0"/>
    <x v="1"/>
    <s v="Yes"/>
    <s v="Pend"/>
  </r>
  <r>
    <n v="1"/>
    <s v="SO16568"/>
    <s v="3069"/>
    <s v="INV12741"/>
    <s v="Les Pompes du St-Laurent Inc."/>
    <d v="2025-02-10T13:46:42"/>
    <d v="2025-02-26T12:46:37"/>
    <d v="2025-02-27T00:00:00"/>
    <s v="Ian Trottier"/>
    <s v="CAD"/>
    <n v="1"/>
    <n v="1269.5899999999999"/>
    <n v="0"/>
    <n v="884.80163848211089"/>
    <n v="1209.1300000000001"/>
    <n v="60.46"/>
    <n v="1269.5899999999999"/>
    <s v="Delivered"/>
    <m/>
    <n v="1"/>
    <n v="2"/>
    <n v="2025"/>
    <n v="4"/>
    <n v="2025"/>
    <n v="0.69691919319001483"/>
    <x v="134"/>
    <d v="2025-02-10T13:46:42"/>
    <x v="162"/>
    <s v="Paid"/>
    <d v="2025-04-22T00:00:00"/>
    <s v="3069"/>
    <x v="7"/>
    <x v="0"/>
    <n v="1209.1300000000001"/>
    <n v="842.66590406184275"/>
    <n v="0.69691919319001483"/>
    <n v="-1209.1300000000001"/>
    <n v="0"/>
    <n v="0"/>
    <s v=""/>
    <x v="0"/>
    <x v="0"/>
    <s v="Pend"/>
    <s v="Pend"/>
  </r>
  <r>
    <n v="1"/>
    <s v="SO16569"/>
    <s v="4501107274"/>
    <s v="INV12645"/>
    <s v="Barrick Gold - Pueblo Viejo Dominicana Corporation"/>
    <d v="2025-02-10T14:32:14"/>
    <d v="2025-02-10T14:32:17"/>
    <d v="2025-02-19T00:00:00"/>
    <s v="Jeff Bell"/>
    <s v="USD"/>
    <n v="0.69968074493980925"/>
    <n v="14139.591623106729"/>
    <n v="0"/>
    <n v="9893.2000000000007"/>
    <n v="9893.2000000000007"/>
    <m/>
    <n v="9893.2000000000007"/>
    <s v="Delivered"/>
    <m/>
    <n v="1"/>
    <n v="2"/>
    <n v="2025"/>
    <n v="4"/>
    <n v="2025"/>
    <n v="0.69968074493980914"/>
    <x v="135"/>
    <d v="2025-02-10T14:32:14"/>
    <x v="163"/>
    <s v="Paid"/>
    <d v="2025-04-11T00:00:00"/>
    <s v="4501107274"/>
    <x v="15"/>
    <x v="1"/>
    <n v="14139.591623106726"/>
    <n v="9893.2000000000007"/>
    <n v="0.69968074493980925"/>
    <n v="0"/>
    <n v="-9893.2000000000007"/>
    <s v=""/>
    <n v="0"/>
    <x v="0"/>
    <x v="0"/>
    <s v="Pend"/>
    <s v="Pend"/>
  </r>
  <r>
    <n v="2"/>
    <s v="SO16570"/>
    <s v="PO003287"/>
    <s v="INV12628"/>
    <s v="Eleazar General &amp; Industrial Supplies Limited"/>
    <d v="2025-02-10T16:22:12"/>
    <d v="2025-02-18T10:17:07"/>
    <d v="2025-05-02T00:00:00"/>
    <s v="Taylor Cook"/>
    <s v="USD"/>
    <n v="0.70491579277313177"/>
    <n v="6885.1911813557999"/>
    <n v="0"/>
    <n v="4853.4799999999996"/>
    <n v="4853.4799999999996"/>
    <m/>
    <n v="4853.4799999999996"/>
    <s v="Delivered"/>
    <m/>
    <n v="2"/>
    <n v="2"/>
    <n v="2025"/>
    <n v="3"/>
    <n v="2025"/>
    <n v="0.70491579277313177"/>
    <x v="136"/>
    <d v="2025-02-10T16:22:12"/>
    <x v="164"/>
    <s v="Paid"/>
    <d v="2025-03-18T00:00:00"/>
    <s v="PO003287"/>
    <x v="8"/>
    <x v="1"/>
    <n v="6885.1911813557999"/>
    <n v="4853.4799999999996"/>
    <n v="0.70491579277313177"/>
    <n v="0"/>
    <n v="-1098.5899999999999"/>
    <s v=""/>
    <n v="3754.8899999999994"/>
    <x v="0"/>
    <x v="1"/>
    <s v="Yes"/>
    <s v="Pend"/>
  </r>
  <r>
    <m/>
    <m/>
    <m/>
    <s v="INV12836"/>
    <m/>
    <m/>
    <m/>
    <m/>
    <m/>
    <m/>
    <m/>
    <m/>
    <m/>
    <m/>
    <m/>
    <m/>
    <m/>
    <m/>
    <m/>
    <n v="2"/>
    <n v="2"/>
    <n v="2025"/>
    <n v="5"/>
    <n v="2025"/>
    <n v="0.70491579277313177"/>
    <x v="136"/>
    <d v="2025-02-10T16:22:12"/>
    <x v="165"/>
    <s v="Paid"/>
    <d v="2025-05-22T00:00:00"/>
    <s v="PO003287"/>
    <x v="8"/>
    <x v="1"/>
    <n v="0"/>
    <n v="0"/>
    <n v="0"/>
    <n v="0"/>
    <n v="-3754.89"/>
    <s v=""/>
    <n v="-3754.89"/>
    <x v="0"/>
    <x v="1"/>
    <s v="Yes"/>
    <s v="Pend"/>
  </r>
  <r>
    <n v="1"/>
    <s v="SO16571"/>
    <s v="P352424"/>
    <s v="INV12619"/>
    <s v="Covia Corp - Tunnel City"/>
    <d v="2025-02-10T16:38:59"/>
    <d v="2025-02-10T16:39:02"/>
    <d v="2025-02-12T00:00:00"/>
    <s v="Marlen Martinez"/>
    <s v="USD"/>
    <n v="0.69968074493980925"/>
    <n v="10063.16102153949"/>
    <n v="0"/>
    <n v="7041"/>
    <n v="7041"/>
    <m/>
    <n v="7041"/>
    <s v="Delivered"/>
    <m/>
    <n v="1"/>
    <n v="2"/>
    <n v="2025"/>
    <n v="5"/>
    <n v="2025"/>
    <n v="0.69968074493980903"/>
    <x v="137"/>
    <d v="2025-02-10T16:38:59"/>
    <x v="166"/>
    <s v="Paid"/>
    <d v="2025-05-30T00:00:00"/>
    <s v="P352424"/>
    <x v="60"/>
    <x v="1"/>
    <n v="10063.161021539487"/>
    <n v="7041"/>
    <n v="0.69968074493980925"/>
    <n v="0"/>
    <n v="-7041"/>
    <s v=""/>
    <n v="0"/>
    <x v="0"/>
    <x v="0"/>
    <s v="Pend"/>
    <s v="Pend"/>
  </r>
  <r>
    <n v="1"/>
    <s v="SO16572"/>
    <s v="6767"/>
    <s v="INV12616"/>
    <s v="Hyperflo"/>
    <d v="2025-02-10T16:43:22"/>
    <d v="2025-02-11T09:41:59"/>
    <d v="2025-02-12T00:00:00"/>
    <s v="Taylor Cook"/>
    <s v="CAD"/>
    <n v="1"/>
    <n v="4198.72"/>
    <n v="0"/>
    <n v="2934.3614317068568"/>
    <n v="3998.78"/>
    <n v="199.94"/>
    <n v="4198.72"/>
    <s v="Delivered"/>
    <m/>
    <n v="1"/>
    <n v="2"/>
    <n v="2025"/>
    <n v="4"/>
    <n v="2025"/>
    <n v="0.69887047283621118"/>
    <x v="138"/>
    <d v="2025-02-10T16:43:22"/>
    <x v="167"/>
    <s v="Paid"/>
    <d v="2025-04-04T00:00:00"/>
    <s v="6767"/>
    <x v="5"/>
    <x v="0"/>
    <n v="3998.78"/>
    <n v="2794.6292693679848"/>
    <n v="0.69887047283621118"/>
    <n v="-3998.78"/>
    <n v="0"/>
    <n v="0"/>
    <s v=""/>
    <x v="0"/>
    <x v="0"/>
    <s v="Pend"/>
    <s v="Pend"/>
  </r>
  <r>
    <n v="1"/>
    <s v="SO16574"/>
    <s v="OC00144"/>
    <s v="INV13016"/>
    <s v="Dynapro Pumps México S de RL de CV"/>
    <d v="2025-02-10T18:45:35"/>
    <d v="2025-02-10T18:44:48"/>
    <d v="2025-04-11T00:00:00"/>
    <s v="Yannett Yeomans"/>
    <s v="USD"/>
    <n v="0.69968074493980925"/>
    <n v="18579.902468401269"/>
    <n v="0"/>
    <n v="13000"/>
    <n v="13000"/>
    <m/>
    <n v="13000"/>
    <s v="Delivered"/>
    <m/>
    <n v="1"/>
    <n v="2"/>
    <n v="2025"/>
    <s v=""/>
    <s v=""/>
    <n v="0.69968074493980925"/>
    <x v="139"/>
    <d v="2025-02-10T18:45:35"/>
    <x v="168"/>
    <s v="Approved"/>
    <s v="Pending"/>
    <s v="OC00144"/>
    <x v="54"/>
    <x v="1"/>
    <n v="18579.902468401269"/>
    <n v="13000"/>
    <n v="0.69968074493980925"/>
    <n v="0"/>
    <n v="-13000"/>
    <s v=""/>
    <n v="0"/>
    <x v="1"/>
    <x v="2"/>
    <s v="Pend"/>
    <s v="Pend"/>
  </r>
  <r>
    <n v="1"/>
    <s v="SO16577"/>
    <s v="4501108170"/>
    <s v="INV12647"/>
    <s v="Barrick Gold - Pueblo Viejo Dominicana Corporation"/>
    <d v="2025-02-11T09:45:37"/>
    <d v="2025-02-11T09:45:41"/>
    <d v="2025-02-19T00:00:00"/>
    <s v="Jeff Bell"/>
    <s v="USD"/>
    <n v="0.69834485616458641"/>
    <n v="18719.218570314879"/>
    <n v="0"/>
    <n v="13072.47"/>
    <n v="13072.47"/>
    <m/>
    <n v="13072.47"/>
    <s v="Delivered"/>
    <m/>
    <n v="1"/>
    <n v="2"/>
    <n v="2025"/>
    <n v="4"/>
    <n v="2025"/>
    <n v="0.69834485616458641"/>
    <x v="140"/>
    <d v="2025-02-11T09:45:37"/>
    <x v="169"/>
    <s v="Paid"/>
    <d v="2025-04-11T00:00:00"/>
    <s v="4501108170"/>
    <x v="15"/>
    <x v="1"/>
    <n v="18719.218570314879"/>
    <n v="13072.47"/>
    <n v="0.69834485616458641"/>
    <n v="0"/>
    <n v="-13072.47"/>
    <s v=""/>
    <n v="0"/>
    <x v="0"/>
    <x v="0"/>
    <s v="Pend"/>
    <s v="Pend"/>
  </r>
  <r>
    <n v="1"/>
    <s v="SO16578"/>
    <s v="606873"/>
    <s v="INV12692"/>
    <s v="Sealtrac Inc."/>
    <d v="2025-02-11T09:51:05"/>
    <d v="2025-02-20T11:51:00"/>
    <d v="2025-02-25T00:00:00"/>
    <s v="Taylor Cook"/>
    <s v="CAD"/>
    <n v="1"/>
    <n v="880.04"/>
    <n v="0"/>
    <n v="619.97308948624664"/>
    <n v="778.8"/>
    <n v="101.24"/>
    <n v="880.04"/>
    <s v="Delivered"/>
    <m/>
    <n v="1"/>
    <n v="2"/>
    <n v="2025"/>
    <n v="4"/>
    <n v="2025"/>
    <n v="0.70448285246834996"/>
    <x v="141"/>
    <d v="2025-02-11T09:51:05"/>
    <x v="170"/>
    <s v="Paid"/>
    <d v="2025-04-16T00:00:00"/>
    <s v="606873"/>
    <x v="50"/>
    <x v="0"/>
    <n v="778.8"/>
    <n v="548.65124550235089"/>
    <n v="0.70448285246834996"/>
    <n v="-778.8"/>
    <n v="0"/>
    <n v="0"/>
    <s v=""/>
    <x v="0"/>
    <x v="0"/>
    <s v="Pend"/>
    <s v="Pend"/>
  </r>
  <r>
    <n v="1"/>
    <s v="SO16579"/>
    <s v="4500580734"/>
    <s v="INV12623"/>
    <s v="Resolute Forest Products - Saint-Felicien"/>
    <d v="2025-02-11T10:12:16"/>
    <d v="2025-02-11T17:10:04"/>
    <d v="2025-02-18T00:00:00"/>
    <s v="Ian Trottier"/>
    <s v="CAD"/>
    <n v="1"/>
    <n v="169.65"/>
    <n v="0"/>
    <n v="118.5633757166632"/>
    <n v="161.57"/>
    <n v="8.08"/>
    <n v="169.65"/>
    <s v="Delivered"/>
    <m/>
    <n v="1"/>
    <n v="2"/>
    <n v="2025"/>
    <n v="4"/>
    <n v="2025"/>
    <n v="0.69887047283621107"/>
    <x v="142"/>
    <d v="2025-02-11T10:12:16"/>
    <x v="171"/>
    <s v="Paid"/>
    <d v="2025-04-17T00:00:00"/>
    <s v="4500580734"/>
    <x v="46"/>
    <x v="0"/>
    <n v="161.57"/>
    <n v="112.91650229614662"/>
    <n v="0.69887047283621107"/>
    <n v="-161.57"/>
    <n v="0"/>
    <n v="0"/>
    <s v=""/>
    <x v="0"/>
    <x v="0"/>
    <s v="Pend"/>
    <s v="Pend"/>
  </r>
  <r>
    <n v="1"/>
    <s v="SO16580"/>
    <s v="2245211"/>
    <s v="INV12712"/>
    <s v="Zijin Mining - Rosebel Goldmines N.V."/>
    <d v="2025-02-11T12:20:36"/>
    <d v="2025-02-12T09:47:31"/>
    <d v="2025-03-21T00:00:00"/>
    <s v="Amanda Qiao"/>
    <s v="USD"/>
    <n v="0.69834485616458641"/>
    <n v="225.24687997834619"/>
    <n v="0"/>
    <n v="157.30000000000001"/>
    <n v="157.30000000000001"/>
    <m/>
    <n v="157.30000000000001"/>
    <s v="Delivered"/>
    <m/>
    <n v="1"/>
    <n v="2"/>
    <n v="2025"/>
    <n v="7"/>
    <n v="2025"/>
    <n v="0.6983448561645863"/>
    <x v="143"/>
    <d v="2025-02-11T12:20:36"/>
    <x v="172"/>
    <s v="Paid"/>
    <d v="2025-07-15T00:00:00"/>
    <s v="2245211"/>
    <x v="1"/>
    <x v="1"/>
    <n v="225.24687997834616"/>
    <n v="157.30000000000001"/>
    <n v="0.69834485616458641"/>
    <n v="0"/>
    <n v="-157.30000000000001"/>
    <s v=""/>
    <n v="0"/>
    <x v="0"/>
    <x v="0"/>
    <s v="Pend"/>
    <s v="Pend"/>
  </r>
  <r>
    <n v="2"/>
    <s v="SO16581"/>
    <s v="4500788353"/>
    <s v="INV13214"/>
    <s v="AGM Inc."/>
    <d v="2025-02-11T12:25:29"/>
    <d v="2025-04-24T15:32:52"/>
    <d v="2025-06-30T00:00:00"/>
    <s v="Amanda Qiao"/>
    <s v="USD"/>
    <n v="0.71976247782558811"/>
    <n v="44264.602534226957"/>
    <n v="0"/>
    <n v="31860"/>
    <n v="31860"/>
    <m/>
    <n v="31860"/>
    <s v="Delivered"/>
    <m/>
    <n v="2"/>
    <n v="2"/>
    <n v="2025"/>
    <n v="9"/>
    <n v="2025"/>
    <n v="0.71976247782558811"/>
    <x v="144"/>
    <d v="2025-02-11T12:25:29"/>
    <x v="173"/>
    <s v="Paid"/>
    <d v="2025-09-15T00:00:00"/>
    <s v="4500788353"/>
    <x v="61"/>
    <x v="1"/>
    <n v="44264.602534226957"/>
    <n v="31860"/>
    <n v="0.71976247782558811"/>
    <n v="0"/>
    <n v="-15930"/>
    <s v=""/>
    <n v="15930"/>
    <x v="0"/>
    <x v="1"/>
    <s v="Yes"/>
    <s v="Pend"/>
  </r>
  <r>
    <m/>
    <m/>
    <m/>
    <s v="INV13188"/>
    <m/>
    <m/>
    <m/>
    <m/>
    <m/>
    <m/>
    <m/>
    <m/>
    <m/>
    <m/>
    <m/>
    <m/>
    <m/>
    <m/>
    <m/>
    <n v="2"/>
    <n v="2"/>
    <n v="2025"/>
    <n v="9"/>
    <n v="2025"/>
    <n v="0.71976247782558811"/>
    <x v="144"/>
    <d v="2025-02-11T12:25:29"/>
    <x v="174"/>
    <s v="Paid"/>
    <d v="2025-09-15T00:00:00"/>
    <s v="4500788353"/>
    <x v="61"/>
    <x v="1"/>
    <n v="0"/>
    <n v="0"/>
    <n v="0"/>
    <n v="0"/>
    <n v="-15930"/>
    <s v=""/>
    <n v="-15930"/>
    <x v="0"/>
    <x v="1"/>
    <s v="Yes"/>
    <s v="Pend"/>
  </r>
  <r>
    <n v="1"/>
    <s v="SO16583"/>
    <s v="3048"/>
    <s v="INV12632"/>
    <s v="Les Pompes du St-Laurent Inc."/>
    <d v="2025-02-11T16:38:26"/>
    <d v="2025-02-11T16:42:35"/>
    <d v="2025-02-12T00:00:00"/>
    <s v="Taylor Cook"/>
    <s v="CAD"/>
    <n v="1"/>
    <n v="3705.77"/>
    <n v="0"/>
    <n v="2589.853232122246"/>
    <n v="3529.3"/>
    <n v="176.47"/>
    <n v="3705.77"/>
    <s v="Delivered"/>
    <m/>
    <n v="1"/>
    <n v="2"/>
    <n v="2025"/>
    <n v="4"/>
    <n v="2025"/>
    <n v="0.69887047283621107"/>
    <x v="145"/>
    <d v="2025-02-11T16:38:26"/>
    <x v="175"/>
    <s v="Paid"/>
    <d v="2025-04-03T00:00:00"/>
    <s v="3048"/>
    <x v="7"/>
    <x v="0"/>
    <n v="3529.3"/>
    <n v="2466.5235597808401"/>
    <n v="0.69887047283621118"/>
    <n v="-3529.3"/>
    <n v="0"/>
    <n v="0"/>
    <s v=""/>
    <x v="0"/>
    <x v="0"/>
    <s v="Pend"/>
    <s v="Pend"/>
  </r>
  <r>
    <n v="1"/>
    <s v="SO16584"/>
    <s v="P353307"/>
    <s v="Borrador de factura INV12661"/>
    <s v="Covia Corp - Junction City"/>
    <d v="2025-02-11T17:22:21"/>
    <d v="2025-02-11T17:21:30"/>
    <d v="2025-02-24T00:00:00"/>
    <s v="Marlen Martinez"/>
    <s v="USD"/>
    <n v="0.69834485616458641"/>
    <n v="4537.8726169827014"/>
    <n v="0"/>
    <n v="3169"/>
    <n v="3169"/>
    <m/>
    <n v="3169"/>
    <s v="Delivered"/>
    <m/>
    <n v="1"/>
    <n v="2"/>
    <n v="2025"/>
    <s v=""/>
    <s v=""/>
    <n v="0.69834485616458641"/>
    <x v="146"/>
    <d v="2025-02-11T17:22:21"/>
    <x v="176"/>
    <s v="Not invoiced"/>
    <s v="Pending"/>
    <s v="P353307"/>
    <x v="6"/>
    <x v="1"/>
    <n v="4537.8726169827014"/>
    <n v="3169"/>
    <n v="0.69834485616458641"/>
    <n v="0"/>
    <n v="0"/>
    <s v=""/>
    <n v="3169"/>
    <x v="1"/>
    <x v="2"/>
    <s v="Pend"/>
    <s v="Pend"/>
  </r>
  <r>
    <n v="2"/>
    <s v="SO16586"/>
    <s v="MB21-00186901"/>
    <s v="INV12904"/>
    <s v="Motion Industries Inc. (Canada) - Winnipeg"/>
    <d v="2025-02-12T09:42:39"/>
    <d v="2025-03-07T12:06:10"/>
    <d v="2025-04-11T00:00:00"/>
    <s v="Ian Trottier"/>
    <s v="CAD"/>
    <n v="1"/>
    <n v="129.11000000000001"/>
    <n v="0"/>
    <n v="89.727723880657493"/>
    <n v="122.96"/>
    <n v="6.15"/>
    <n v="129.11000000000001"/>
    <s v="Delivered"/>
    <m/>
    <n v="2"/>
    <n v="2"/>
    <n v="2025"/>
    <n v="5"/>
    <n v="2025"/>
    <n v="0.69497113996326765"/>
    <x v="147"/>
    <d v="2025-02-12T09:42:39"/>
    <x v="177"/>
    <s v="Paid"/>
    <d v="2025-05-23T00:00:00"/>
    <s v="MB21-00186901"/>
    <x v="23"/>
    <x v="0"/>
    <n v="122.96"/>
    <n v="85.453651369883389"/>
    <n v="0.69497113996326765"/>
    <n v="-30.74"/>
    <n v="0"/>
    <n v="92.22"/>
    <s v=""/>
    <x v="0"/>
    <x v="1"/>
    <s v="Yes"/>
    <s v="Pend"/>
  </r>
  <r>
    <m/>
    <m/>
    <m/>
    <s v="INV12717"/>
    <m/>
    <m/>
    <m/>
    <m/>
    <m/>
    <m/>
    <m/>
    <m/>
    <m/>
    <m/>
    <m/>
    <m/>
    <m/>
    <m/>
    <m/>
    <n v="2"/>
    <n v="2"/>
    <n v="2025"/>
    <n v="4"/>
    <n v="2025"/>
    <n v="0.69497113996326765"/>
    <x v="147"/>
    <d v="2025-02-12T09:42:39"/>
    <x v="178"/>
    <s v="Paid"/>
    <d v="2025-04-09T00:00:00"/>
    <s v="MB21-00186901"/>
    <x v="23"/>
    <x v="0"/>
    <n v="0"/>
    <n v="0"/>
    <n v="0"/>
    <n v="-92.22"/>
    <n v="0"/>
    <n v="-92.22"/>
    <s v=""/>
    <x v="0"/>
    <x v="1"/>
    <s v="Yes"/>
    <s v="Pend"/>
  </r>
  <r>
    <n v="1"/>
    <s v="SO16588"/>
    <s v="4500581569"/>
    <s v="INV12879"/>
    <s v="Resolute Forest Products - Saint-Felicien"/>
    <d v="2025-02-12T11:59:49"/>
    <d v="2025-02-13T17:09:35"/>
    <d v="2025-05-14T00:00:00"/>
    <s v="Amanda Qiao"/>
    <s v="CAD"/>
    <n v="1"/>
    <n v="2550.67"/>
    <n v="0"/>
    <n v="1792.4224851869831"/>
    <n v="2429.21"/>
    <n v="121.46"/>
    <n v="2550.67"/>
    <s v="Delivered"/>
    <m/>
    <n v="1"/>
    <n v="2"/>
    <n v="2025"/>
    <n v="6"/>
    <n v="2025"/>
    <n v="0.70272614065597783"/>
    <x v="148"/>
    <d v="2025-02-12T11:59:49"/>
    <x v="179"/>
    <s v="Paid"/>
    <d v="2025-06-13T00:00:00"/>
    <s v="4500581569"/>
    <x v="46"/>
    <x v="0"/>
    <n v="2429.21"/>
    <n v="1707.0693681429079"/>
    <n v="0.70272614065597783"/>
    <n v="-2429.21"/>
    <n v="0"/>
    <n v="0"/>
    <s v=""/>
    <x v="0"/>
    <x v="0"/>
    <s v="Pend"/>
    <s v="Pend"/>
  </r>
  <r>
    <n v="1"/>
    <s v="SO16589"/>
    <s v="P-21825"/>
    <s v="INV12672"/>
    <s v="Cartledge &amp; Associates Inc."/>
    <d v="2025-02-12T14:15:28"/>
    <d v="2025-02-18T10:31:18"/>
    <d v="2025-02-19T00:00:00"/>
    <s v="Taylor Cook"/>
    <s v="USD"/>
    <n v="0.70491579277313177"/>
    <n v="7479.5600468223229"/>
    <n v="0"/>
    <n v="5272.46"/>
    <n v="5272.46"/>
    <m/>
    <n v="5272.46"/>
    <s v="Delivered"/>
    <m/>
    <n v="1"/>
    <n v="2"/>
    <n v="2025"/>
    <n v="3"/>
    <n v="2025"/>
    <n v="0.70491579277313177"/>
    <x v="149"/>
    <d v="2025-02-12T14:15:28"/>
    <x v="180"/>
    <s v="Paid"/>
    <d v="2025-03-27T00:00:00"/>
    <s v="P-21825"/>
    <x v="25"/>
    <x v="1"/>
    <n v="7479.5600468223229"/>
    <n v="5272.46"/>
    <n v="0.70491579277313177"/>
    <n v="0"/>
    <n v="-5272.46"/>
    <s v=""/>
    <n v="0"/>
    <x v="0"/>
    <x v="0"/>
    <s v="Pend"/>
    <s v="Pend"/>
  </r>
  <r>
    <n v="1"/>
    <s v="SO16592"/>
    <s v="2245686"/>
    <s v="INV12943"/>
    <s v="Zijin Mining - Rosebel Goldmines N.V."/>
    <d v="2025-02-12T18:55:37"/>
    <d v="2025-02-25T16:24:12"/>
    <d v="2025-06-30T00:00:00"/>
    <s v="Amanda Qiao"/>
    <s v="USD"/>
    <n v="0.70298555845892441"/>
    <n v="60987.568640793208"/>
    <n v="0"/>
    <n v="42873.38"/>
    <n v="42873.38"/>
    <m/>
    <n v="42873.38"/>
    <s v="Delivered"/>
    <m/>
    <n v="1"/>
    <n v="2"/>
    <n v="2025"/>
    <n v="9"/>
    <n v="2025"/>
    <n v="0.70298555845892441"/>
    <x v="150"/>
    <d v="2025-02-12T18:55:37"/>
    <x v="181"/>
    <s v="Paid"/>
    <d v="2025-09-08T00:00:00"/>
    <s v="2245686"/>
    <x v="1"/>
    <x v="1"/>
    <n v="60987.568640793208"/>
    <n v="42873.38"/>
    <n v="0.70298555845892441"/>
    <n v="0"/>
    <n v="-42873.38"/>
    <s v=""/>
    <n v="0"/>
    <x v="0"/>
    <x v="0"/>
    <s v="Pend"/>
    <s v="Pend"/>
  </r>
  <r>
    <n v="1"/>
    <s v="SO16593"/>
    <s v="4501110739"/>
    <s v="INV13152"/>
    <s v="Barrick Gold - Pueblo Viejo Dominicana Corporation"/>
    <d v="2025-02-13T10:23:16"/>
    <d v="2025-02-13T15:26:25"/>
    <d v="2025-09-26T00:00:00"/>
    <s v="Jeff Bell"/>
    <s v="USD"/>
    <n v="0.69887047283621118"/>
    <n v="2544.1767381932409"/>
    <n v="0"/>
    <n v="1778.05"/>
    <n v="1778.05"/>
    <m/>
    <n v="1778.05"/>
    <s v="Delivered"/>
    <m/>
    <n v="1"/>
    <n v="2"/>
    <n v="2025"/>
    <n v="8"/>
    <n v="2025"/>
    <n v="0.69887047283621129"/>
    <x v="151"/>
    <d v="2025-02-13T10:23:16"/>
    <x v="182"/>
    <s v="Paid"/>
    <d v="2025-08-21T00:00:00"/>
    <s v="4501110739"/>
    <x v="15"/>
    <x v="1"/>
    <n v="2544.1767381932414"/>
    <n v="1778.05"/>
    <n v="0.69887047283621118"/>
    <n v="0"/>
    <n v="-1778.05"/>
    <s v=""/>
    <n v="0"/>
    <x v="0"/>
    <x v="0"/>
    <s v="Pend"/>
    <s v="Pend"/>
  </r>
  <r>
    <n v="1"/>
    <s v="SO16595"/>
    <s v="3055"/>
    <s v="INV12633"/>
    <s v="Les Pompes du St-Laurent Inc."/>
    <d v="2025-02-13T13:05:12"/>
    <d v="2025-02-14T09:19:02"/>
    <d v="2025-02-17T00:00:00"/>
    <s v="Ian Trottier"/>
    <s v="CAD"/>
    <n v="1"/>
    <n v="9113.6299999999992"/>
    <n v="0"/>
    <n v="6429.9150958947284"/>
    <n v="8679.65"/>
    <n v="433.98"/>
    <n v="9113.6299999999992"/>
    <s v="Delivered"/>
    <m/>
    <n v="1"/>
    <n v="2"/>
    <n v="2025"/>
    <n v="4"/>
    <n v="2025"/>
    <n v="0.70552733607736207"/>
    <x v="152"/>
    <d v="2025-02-13T13:05:12"/>
    <x v="183"/>
    <s v="Paid"/>
    <d v="2025-04-03T00:00:00"/>
    <s v="3055"/>
    <x v="7"/>
    <x v="0"/>
    <n v="8679.65"/>
    <n v="6123.7303425838754"/>
    <n v="0.70552733607736207"/>
    <n v="-8679.65"/>
    <n v="0"/>
    <n v="0"/>
    <s v=""/>
    <x v="0"/>
    <x v="0"/>
    <s v="Pend"/>
    <s v="Pend"/>
  </r>
  <r>
    <n v="1"/>
    <s v="SO16596"/>
    <s v="3054"/>
    <s v="INV12634"/>
    <s v="Les Pompes du St-Laurent Inc."/>
    <d v="2025-02-13T13:43:59"/>
    <d v="2025-02-13T13:45:41"/>
    <d v="2025-02-14T00:00:00"/>
    <s v="Taylor Cook"/>
    <s v="CAD"/>
    <n v="1"/>
    <n v="3155.25"/>
    <n v="0"/>
    <n v="2217.2766553047741"/>
    <n v="3005"/>
    <n v="150.25"/>
    <n v="3155.25"/>
    <s v="Delivered"/>
    <m/>
    <n v="1"/>
    <n v="2"/>
    <n v="2025"/>
    <n v="4"/>
    <n v="2025"/>
    <n v="0.70272614065597783"/>
    <x v="153"/>
    <d v="2025-02-13T13:43:59"/>
    <x v="184"/>
    <s v="Paid"/>
    <d v="2025-04-03T00:00:00"/>
    <s v="3054"/>
    <x v="7"/>
    <x v="0"/>
    <n v="3005"/>
    <n v="2111.6920526712133"/>
    <n v="0.70272614065597783"/>
    <n v="-3005"/>
    <n v="0"/>
    <n v="0"/>
    <s v=""/>
    <x v="0"/>
    <x v="0"/>
    <s v="Pend"/>
    <s v="Pend"/>
  </r>
  <r>
    <n v="1"/>
    <s v="SO16597"/>
    <s v="13300"/>
    <s v="INV12655"/>
    <s v="Manufacture Sling-Choker (Val-d’Or) Ltée"/>
    <d v="2025-02-13T15:17:21"/>
    <d v="2025-02-17T12:26:21"/>
    <d v="2025-02-18T00:00:00"/>
    <s v="Taylor Cook"/>
    <s v="CAD"/>
    <n v="1"/>
    <n v="2877.18"/>
    <n v="0"/>
    <n v="2028.1917125779221"/>
    <n v="2740.17"/>
    <n v="137.01"/>
    <n v="2877.18"/>
    <s v="Delivered"/>
    <m/>
    <n v="1"/>
    <n v="2"/>
    <n v="2025"/>
    <n v="4"/>
    <n v="2025"/>
    <n v="0.7049234710994523"/>
    <x v="154"/>
    <d v="2025-02-13T15:17:21"/>
    <x v="185"/>
    <s v="Paid"/>
    <d v="2025-04-30T00:00:00"/>
    <s v="13300"/>
    <x v="10"/>
    <x v="0"/>
    <n v="2740.17"/>
    <n v="1931.6101478025862"/>
    <n v="0.7049234710994523"/>
    <n v="-2740.17"/>
    <n v="0"/>
    <n v="0"/>
    <s v=""/>
    <x v="0"/>
    <x v="0"/>
    <s v="Pend"/>
    <s v="Pend"/>
  </r>
  <r>
    <n v="1"/>
    <s v="SO16598"/>
    <s v="25-30598"/>
    <s v="INV12648"/>
    <s v="Advanced Engineered Pump Inc."/>
    <d v="2025-02-13T15:25:08"/>
    <d v="2025-02-19T16:49:06"/>
    <d v="2025-02-20T00:00:00"/>
    <s v="Taylor Cook"/>
    <s v="USD"/>
    <n v="0.70492347109945219"/>
    <n v="368.12506695977089"/>
    <n v="0"/>
    <n v="259.5"/>
    <n v="259.5"/>
    <m/>
    <n v="259.5"/>
    <s v="Delivered"/>
    <m/>
    <n v="1"/>
    <n v="2"/>
    <n v="2025"/>
    <n v="3"/>
    <n v="2025"/>
    <n v="0.7049234710994523"/>
    <x v="155"/>
    <d v="2025-02-13T15:25:08"/>
    <x v="186"/>
    <s v="Paid"/>
    <d v="2025-03-27T00:00:00"/>
    <s v="25-30598"/>
    <x v="62"/>
    <x v="1"/>
    <n v="368.12506695977095"/>
    <n v="259.5"/>
    <n v="0.70492347109945219"/>
    <n v="0"/>
    <n v="-259.5"/>
    <s v=""/>
    <n v="0"/>
    <x v="0"/>
    <x v="0"/>
    <s v="Pend"/>
    <s v="Pend"/>
  </r>
  <r>
    <n v="1"/>
    <s v="SO16599"/>
    <s v="4500581272"/>
    <s v="INV12639"/>
    <s v="Resolute Forest Products - Clermont, Resolute Forest Products - Clermont"/>
    <d v="2025-02-13T16:03:07"/>
    <d v="2025-02-18T13:55:19"/>
    <d v="2025-02-21T00:00:00"/>
    <s v="Amanda Qiao"/>
    <s v="CAD"/>
    <n v="1"/>
    <n v="803.27"/>
    <n v="803.27"/>
    <n v="803.27"/>
    <n v="765.02"/>
    <n v="38.25"/>
    <n v="803.27"/>
    <s v="Delivered"/>
    <m/>
    <n v="1"/>
    <n v="2"/>
    <n v="2025"/>
    <n v="4"/>
    <n v="2025"/>
    <n v="1"/>
    <x v="156"/>
    <d v="2025-02-13T16:03:07"/>
    <x v="187"/>
    <s v="Paid"/>
    <d v="2025-04-17T00:00:00"/>
    <s v="4500581272"/>
    <x v="63"/>
    <x v="0"/>
    <n v="765.02"/>
    <n v="537.26169117668974"/>
    <n v="0.70228450390406749"/>
    <n v="-765.02"/>
    <n v="0"/>
    <n v="0"/>
    <s v=""/>
    <x v="0"/>
    <x v="0"/>
    <s v="Pend"/>
    <s v="Pend"/>
  </r>
  <r>
    <n v="1"/>
    <s v="SO16601"/>
    <s v="2100510660"/>
    <s v="INV13505"/>
    <s v="Wajax Limited - Noranda"/>
    <d v="2025-02-14T09:01:28"/>
    <d v="2025-02-14T10:07:11"/>
    <d v="2025-05-02T00:00:00"/>
    <s v="Taylor Cook"/>
    <s v="CAD"/>
    <n v="1"/>
    <n v="10203.23"/>
    <n v="0"/>
    <n v="7198.6576812846224"/>
    <n v="9717.36"/>
    <n v="485.87"/>
    <n v="10203.23"/>
    <s v="Delivered"/>
    <m/>
    <n v="1"/>
    <n v="2"/>
    <n v="2025"/>
    <n v="11"/>
    <n v="2025"/>
    <n v="0.70552733607736207"/>
    <x v="157"/>
    <d v="2025-02-14T09:01:28"/>
    <x v="188"/>
    <s v="Paid"/>
    <d v="2025-11-12T00:00:00"/>
    <s v="2100510660"/>
    <x v="35"/>
    <x v="0"/>
    <n v="9717.36"/>
    <n v="6855.8631145047157"/>
    <n v="0.70552733607736207"/>
    <n v="-9717.36"/>
    <n v="0"/>
    <n v="0"/>
    <s v=""/>
    <x v="0"/>
    <x v="0"/>
    <s v="Pend"/>
    <s v="Pend"/>
  </r>
  <r>
    <n v="1"/>
    <s v="SO16603"/>
    <s v="00079542"/>
    <s v="INV12629"/>
    <s v="Motion Industries Inc. (Canada) - Prince George"/>
    <d v="2025-02-14T09:55:14"/>
    <d v="2025-02-14T09:59:31"/>
    <d v="2025-02-17T00:00:00"/>
    <s v="Taylor Cook"/>
    <s v="CAD"/>
    <n v="1"/>
    <n v="3553.6"/>
    <n v="0"/>
    <n v="2507.161941484514"/>
    <n v="3384.38"/>
    <n v="169.22"/>
    <n v="3553.6"/>
    <s v="Delivered"/>
    <m/>
    <n v="1"/>
    <n v="2"/>
    <n v="2025"/>
    <n v="3"/>
    <n v="2025"/>
    <n v="0.70552733607736218"/>
    <x v="158"/>
    <d v="2025-02-14T09:55:14"/>
    <x v="189"/>
    <s v="Paid"/>
    <d v="2025-03-20T00:00:00"/>
    <s v="00079542"/>
    <x v="41"/>
    <x v="0"/>
    <n v="3384.38"/>
    <n v="2387.7726056735032"/>
    <n v="0.70552733607736218"/>
    <n v="-3384.38"/>
    <n v="0"/>
    <n v="0"/>
    <s v=""/>
    <x v="0"/>
    <x v="0"/>
    <s v="Pend"/>
    <s v="Pend"/>
  </r>
  <r>
    <n v="1"/>
    <s v="SO16604"/>
    <s v="5352366"/>
    <s v="INV13207"/>
    <s v="Corrosion Fluid Products Corp."/>
    <d v="2025-02-14T11:32:09"/>
    <d v="2025-03-10T13:51:32"/>
    <d v="2025-06-23T00:00:00"/>
    <s v="Ian Trottier"/>
    <s v="USD"/>
    <n v="0.69588843853535265"/>
    <n v="16094.79246928314"/>
    <n v="0"/>
    <n v="11200.18"/>
    <n v="11200.18"/>
    <m/>
    <n v="11200.18"/>
    <s v="Delivered"/>
    <m/>
    <n v="1"/>
    <n v="2"/>
    <n v="2025"/>
    <n v="8"/>
    <n v="2025"/>
    <n v="0.69588843853535287"/>
    <x v="159"/>
    <d v="2025-02-14T11:32:09"/>
    <x v="190"/>
    <s v="Paid"/>
    <d v="2025-08-21T00:00:00"/>
    <s v="5352366"/>
    <x v="19"/>
    <x v="1"/>
    <n v="16094.792469283144"/>
    <n v="11200.18"/>
    <n v="0.69588843853535265"/>
    <n v="0"/>
    <n v="-11200.18"/>
    <s v=""/>
    <n v="0"/>
    <x v="0"/>
    <x v="0"/>
    <s v="Pend"/>
    <s v="Pend"/>
  </r>
  <r>
    <n v="1"/>
    <s v="SO16605"/>
    <s v="M-083565"/>
    <s v="INV12641"/>
    <s v="Grant Aggregate"/>
    <d v="2025-02-14T13:44:37"/>
    <d v="2025-02-18T10:23:24"/>
    <d v="2025-02-21T00:00:00"/>
    <s v="Taylor Cook"/>
    <s v="CAD"/>
    <n v="1"/>
    <n v="193.87"/>
    <n v="193.87"/>
    <n v="193.87"/>
    <n v="171.56"/>
    <n v="22.31"/>
    <n v="193.87"/>
    <s v="Delivered"/>
    <m/>
    <n v="1"/>
    <n v="2"/>
    <n v="2025"/>
    <n v="3"/>
    <n v="2025"/>
    <n v="1"/>
    <x v="160"/>
    <d v="2025-02-14T13:44:37"/>
    <x v="191"/>
    <s v="Paid"/>
    <d v="2025-03-10T00:00:00"/>
    <s v="M-083565"/>
    <x v="9"/>
    <x v="0"/>
    <n v="171.56"/>
    <n v="120.48392948978181"/>
    <n v="0.70228450390406749"/>
    <n v="-171.56"/>
    <n v="0"/>
    <n v="0"/>
    <s v=""/>
    <x v="0"/>
    <x v="0"/>
    <s v="Pend"/>
    <s v="Pend"/>
  </r>
  <r>
    <n v="1"/>
    <s v="SO16607"/>
    <s v="PSI15322"/>
    <s v="INV12657"/>
    <s v="Progressive Sealing Inc."/>
    <d v="2025-02-16T10:49:20"/>
    <d v="2025-02-19T14:06:22"/>
    <d v="2025-02-20T00:00:00"/>
    <s v="Taylor Cook"/>
    <s v="CAD"/>
    <n v="1"/>
    <n v="5614.58"/>
    <n v="0"/>
    <n v="3943.5503280605708"/>
    <n v="5347.22"/>
    <n v="267.36"/>
    <n v="5614.58"/>
    <s v="Delivered"/>
    <m/>
    <n v="1"/>
    <n v="2"/>
    <n v="2025"/>
    <n v="2"/>
    <n v="2025"/>
    <n v="0.70237672774465243"/>
    <x v="161"/>
    <d v="2025-02-16T10:49:20"/>
    <x v="192"/>
    <s v="Paid"/>
    <d v="2025-02-20T00:00:00"/>
    <s v="PSI15322"/>
    <x v="64"/>
    <x v="0"/>
    <n v="5347.22"/>
    <n v="3755.7628861307608"/>
    <n v="0.70237672774465243"/>
    <n v="-5347.22"/>
    <n v="0"/>
    <n v="0"/>
    <s v=""/>
    <x v="0"/>
    <x v="0"/>
    <s v="Pend"/>
    <s v="Pend"/>
  </r>
  <r>
    <n v="1"/>
    <s v="SO16609"/>
    <s v="OC00146"/>
    <s v="INV13017"/>
    <s v="Dynapro Pumps México S de RL de CV"/>
    <d v="2025-02-17T10:10:06"/>
    <d v="2025-02-17T10:09:50"/>
    <d v="2025-04-11T00:00:00"/>
    <s v="Yannett Yeomans"/>
    <s v="USD"/>
    <n v="0.70480367014915091"/>
    <n v="13095.84553957664"/>
    <n v="0"/>
    <n v="9230"/>
    <n v="9230"/>
    <m/>
    <n v="9230"/>
    <s v="Delivered"/>
    <m/>
    <n v="1"/>
    <n v="2"/>
    <n v="2025"/>
    <s v=""/>
    <s v=""/>
    <n v="0.70480367014915069"/>
    <x v="162"/>
    <d v="2025-02-17T10:10:06"/>
    <x v="193"/>
    <s v="Approved"/>
    <s v="Pending"/>
    <s v="OC00146"/>
    <x v="54"/>
    <x v="1"/>
    <n v="13095.845539576636"/>
    <n v="9230"/>
    <n v="0.70480367014915091"/>
    <n v="0"/>
    <n v="-9230"/>
    <s v=""/>
    <n v="0"/>
    <x v="1"/>
    <x v="2"/>
    <s v="Pend"/>
    <s v="Pend"/>
  </r>
  <r>
    <n v="1"/>
    <s v="SO16610"/>
    <s v="OC00147"/>
    <s v="INV12863"/>
    <s v="Dynapro Pumps México S de RL de CV"/>
    <d v="2025-02-17T11:00:55"/>
    <d v="2025-02-17T11:00:46"/>
    <d v="2025-03-24T00:00:00"/>
    <s v="Yannett Yeomans"/>
    <s v="USD"/>
    <n v="0.70480367014915091"/>
    <n v="8081.683227890413"/>
    <n v="0"/>
    <n v="5696"/>
    <n v="5696"/>
    <m/>
    <n v="5696"/>
    <s v="Delivered"/>
    <m/>
    <n v="1"/>
    <n v="2"/>
    <n v="2025"/>
    <s v=""/>
    <s v=""/>
    <n v="0.70480367014915091"/>
    <x v="163"/>
    <d v="2025-02-17T11:00:55"/>
    <x v="194"/>
    <s v="Approved"/>
    <s v="Pending"/>
    <s v="OC00147"/>
    <x v="54"/>
    <x v="1"/>
    <n v="8081.683227890413"/>
    <n v="5696"/>
    <n v="0.70480367014915091"/>
    <n v="0"/>
    <n v="-5696"/>
    <s v=""/>
    <n v="0"/>
    <x v="1"/>
    <x v="2"/>
    <s v="Pend"/>
    <s v="Pend"/>
  </r>
  <r>
    <n v="1"/>
    <s v="SO16611"/>
    <s v="OC00145"/>
    <s v="INV12942"/>
    <s v="Dynapro Pumps México S de RL de CV"/>
    <d v="2025-02-17T11:41:41"/>
    <d v="2025-02-17T11:41:31"/>
    <d v="2025-04-25T00:00:00"/>
    <s v="Yannett Yeomans"/>
    <s v="USD"/>
    <n v="0.70480367014915091"/>
    <n v="5587.7972360254244"/>
    <n v="0"/>
    <n v="3938.3"/>
    <n v="3938.3"/>
    <m/>
    <n v="3938.3"/>
    <s v="Delivered"/>
    <m/>
    <n v="1"/>
    <n v="2"/>
    <n v="2025"/>
    <s v=""/>
    <s v=""/>
    <n v="0.70480367014915091"/>
    <x v="164"/>
    <d v="2025-02-17T11:41:41"/>
    <x v="195"/>
    <s v="Approved"/>
    <s v="Pending"/>
    <s v="OC00145"/>
    <x v="54"/>
    <x v="1"/>
    <n v="5587.7972360254244"/>
    <n v="3938.3"/>
    <n v="0.70480367014915091"/>
    <n v="0"/>
    <n v="-3938.3"/>
    <s v=""/>
    <n v="0"/>
    <x v="1"/>
    <x v="2"/>
    <s v="Pend"/>
    <s v="Pend"/>
  </r>
  <r>
    <n v="2"/>
    <s v="SO16612"/>
    <s v="2067"/>
    <s v="INV12705"/>
    <s v="FMI Products"/>
    <d v="2025-02-17T12:33:02"/>
    <d v="2025-02-17T12:33:02"/>
    <d v="2025-04-14T00:00:00"/>
    <s v="Taylor Cook"/>
    <s v="CAD"/>
    <n v="1"/>
    <n v="1247.44"/>
    <n v="0"/>
    <n v="879.34973478830068"/>
    <n v="1188.04"/>
    <n v="59.4"/>
    <n v="1247.44"/>
    <s v="Delivered"/>
    <m/>
    <n v="2"/>
    <n v="2"/>
    <n v="2025"/>
    <n v="4"/>
    <n v="2025"/>
    <n v="0.70492347109945219"/>
    <x v="165"/>
    <d v="2025-02-17T12:33:02"/>
    <x v="196"/>
    <s v="Paid"/>
    <d v="2025-04-03T00:00:00"/>
    <s v="2067"/>
    <x v="18"/>
    <x v="0"/>
    <n v="1188.04"/>
    <n v="837.47728060499321"/>
    <n v="0.70492347109945219"/>
    <n v="-622.95000000000005"/>
    <n v="0"/>
    <n v="565.08999999999992"/>
    <s v=""/>
    <x v="0"/>
    <x v="1"/>
    <s v="Yes"/>
    <s v="Pend"/>
  </r>
  <r>
    <m/>
    <m/>
    <m/>
    <s v="INV13052"/>
    <m/>
    <m/>
    <m/>
    <m/>
    <m/>
    <m/>
    <m/>
    <m/>
    <m/>
    <m/>
    <m/>
    <m/>
    <m/>
    <m/>
    <m/>
    <n v="2"/>
    <n v="2"/>
    <n v="2025"/>
    <n v="6"/>
    <n v="2025"/>
    <n v="0.70492347109945219"/>
    <x v="165"/>
    <d v="2025-02-17T12:33:02"/>
    <x v="197"/>
    <s v="Paid"/>
    <d v="2025-06-26T00:00:00"/>
    <s v="2067"/>
    <x v="18"/>
    <x v="0"/>
    <n v="0"/>
    <n v="0"/>
    <n v="0"/>
    <n v="-565.09"/>
    <n v="0"/>
    <n v="-565.09"/>
    <s v=""/>
    <x v="0"/>
    <x v="1"/>
    <s v="Yes"/>
    <s v="Pend"/>
  </r>
  <r>
    <n v="1"/>
    <s v="SO16613"/>
    <s v="OC00148"/>
    <s v="INV13018"/>
    <s v="Dynapro Pumps México S de RL de CV"/>
    <d v="2025-02-17T13:52:49"/>
    <d v="2025-02-18T10:10:15"/>
    <d v="2025-04-30T00:00:00"/>
    <s v="Yannett Yeomans"/>
    <s v="USD"/>
    <n v="0.70491579277313177"/>
    <n v="11791.479330177401"/>
    <n v="0"/>
    <n v="8312"/>
    <n v="8312"/>
    <m/>
    <n v="8312"/>
    <s v="Delivered"/>
    <m/>
    <n v="1"/>
    <n v="2"/>
    <n v="2025"/>
    <s v=""/>
    <s v=""/>
    <n v="0.70491579277313188"/>
    <x v="166"/>
    <d v="2025-02-17T13:52:49"/>
    <x v="198"/>
    <s v="Approved"/>
    <s v="Pending"/>
    <s v="OC00148"/>
    <x v="54"/>
    <x v="1"/>
    <n v="11791.479330177403"/>
    <n v="8312"/>
    <n v="0.70491579277313177"/>
    <n v="0"/>
    <n v="-8312"/>
    <s v=""/>
    <n v="0"/>
    <x v="1"/>
    <x v="2"/>
    <s v="Pend"/>
    <s v="Pend"/>
  </r>
  <r>
    <n v="1"/>
    <s v="SO16615"/>
    <s v="2100512815"/>
    <s v="INV12658"/>
    <s v="Wajax Limited - Noranda"/>
    <d v="2025-02-18T09:44:04"/>
    <d v="2025-02-18T17:18:10"/>
    <d v="2025-02-19T00:00:00"/>
    <s v="Taylor Cook"/>
    <s v="CAD"/>
    <n v="1"/>
    <n v="2758.72"/>
    <n v="2758.72"/>
    <n v="2758.72"/>
    <n v="2627.35"/>
    <n v="131.37"/>
    <n v="2758.72"/>
    <s v="Delivered"/>
    <m/>
    <n v="1"/>
    <n v="2"/>
    <n v="2025"/>
    <n v="4"/>
    <n v="2025"/>
    <n v="1"/>
    <x v="167"/>
    <d v="2025-02-18T09:44:04"/>
    <x v="199"/>
    <s v="Paid"/>
    <d v="2025-04-02T00:00:00"/>
    <s v="2100512815"/>
    <x v="35"/>
    <x v="0"/>
    <n v="2627.35"/>
    <n v="1845.1471913323517"/>
    <n v="0.70228450390406749"/>
    <n v="-2627.35"/>
    <n v="0"/>
    <n v="0"/>
    <s v=""/>
    <x v="0"/>
    <x v="0"/>
    <s v="Pend"/>
    <s v="Pend"/>
  </r>
  <r>
    <n v="2"/>
    <s v="SO16617"/>
    <s v="PO-038899"/>
    <s v="INV12680"/>
    <s v="Southeast Pump Specialist, Inc."/>
    <d v="2025-02-18T10:02:23"/>
    <d v="2025-02-18T10:02:28"/>
    <d v="2025-06-10T00:00:00"/>
    <s v="Amanda Qiao"/>
    <s v="USD"/>
    <n v="0.70491579277313177"/>
    <n v="4742.5097214071429"/>
    <n v="0"/>
    <n v="3343.07"/>
    <n v="3343.07"/>
    <m/>
    <n v="3343.07"/>
    <s v="Delivered"/>
    <m/>
    <n v="2"/>
    <n v="2"/>
    <n v="2025"/>
    <n v="5"/>
    <n v="2025"/>
    <n v="0.70491579277313166"/>
    <x v="168"/>
    <d v="2025-02-18T10:02:23"/>
    <x v="200"/>
    <s v="Paid"/>
    <d v="2025-05-02T00:00:00"/>
    <s v="PO-038899"/>
    <x v="26"/>
    <x v="1"/>
    <n v="4742.5097214071429"/>
    <n v="3343.07"/>
    <n v="0.70491579277313166"/>
    <n v="0"/>
    <n v="-339.52"/>
    <s v=""/>
    <n v="3003.55"/>
    <x v="0"/>
    <x v="1"/>
    <s v="Yes"/>
    <s v="Pend"/>
  </r>
  <r>
    <m/>
    <m/>
    <m/>
    <s v="INV12965"/>
    <m/>
    <m/>
    <m/>
    <m/>
    <m/>
    <m/>
    <m/>
    <m/>
    <m/>
    <m/>
    <m/>
    <m/>
    <m/>
    <m/>
    <m/>
    <n v="2"/>
    <n v="2"/>
    <n v="2025"/>
    <n v="7"/>
    <n v="2025"/>
    <n v="0.70491579277313166"/>
    <x v="168"/>
    <d v="2025-02-18T10:02:23"/>
    <x v="201"/>
    <s v="Paid"/>
    <d v="2025-07-05T00:00:00"/>
    <s v="PO-038899"/>
    <x v="26"/>
    <x v="1"/>
    <n v="0"/>
    <n v="0"/>
    <n v="0"/>
    <n v="0"/>
    <n v="-3003.55"/>
    <s v=""/>
    <n v="-3003.55"/>
    <x v="0"/>
    <x v="1"/>
    <s v="Yes"/>
    <s v="Pend"/>
  </r>
  <r>
    <n v="1"/>
    <s v="SO16618"/>
    <s v="MB21-00187300"/>
    <s v="INV12700"/>
    <s v="Motion Industries Inc. (Canada) - Winnipeg"/>
    <d v="2025-02-18T10:34:14"/>
    <d v="2025-03-03T09:55:20"/>
    <d v="2025-03-04T00:00:00"/>
    <s v="Ian Trottier"/>
    <s v="CAD"/>
    <n v="1"/>
    <n v="673.27"/>
    <n v="0"/>
    <n v="467.51510004687128"/>
    <n v="641.21"/>
    <n v="32.06"/>
    <n v="673.27"/>
    <s v="Delivered"/>
    <m/>
    <n v="1"/>
    <n v="2"/>
    <n v="2025"/>
    <n v="4"/>
    <n v="2025"/>
    <n v="0.69439467085548334"/>
    <x v="169"/>
    <d v="2025-02-18T10:34:14"/>
    <x v="202"/>
    <s v="Paid"/>
    <d v="2025-04-03T00:00:00"/>
    <s v="MB21-00187300"/>
    <x v="23"/>
    <x v="0"/>
    <n v="641.21"/>
    <n v="445.25280689924449"/>
    <n v="0.69439467085548334"/>
    <n v="-641.21"/>
    <n v="0"/>
    <n v="0"/>
    <s v=""/>
    <x v="0"/>
    <x v="0"/>
    <s v="Pend"/>
    <s v="Pend"/>
  </r>
  <r>
    <n v="1"/>
    <s v="SO16619"/>
    <s v="4501112337"/>
    <s v="INV12768"/>
    <s v="Barrick Gold - Pueblo Viejo Dominicana Corporation"/>
    <d v="2025-02-18T14:00:41"/>
    <d v="2025-02-18T14:01:30"/>
    <d v="2025-09-29T00:00:00"/>
    <s v="Jeff Bell"/>
    <s v="USD"/>
    <n v="0.70491579277313177"/>
    <n v="12448.67839529907"/>
    <n v="0"/>
    <n v="8775.27"/>
    <n v="8775.27"/>
    <m/>
    <n v="8775.27"/>
    <s v="Delivered"/>
    <m/>
    <n v="1"/>
    <n v="2"/>
    <n v="2025"/>
    <n v="5"/>
    <n v="2025"/>
    <n v="0.70491579277313166"/>
    <x v="170"/>
    <d v="2025-02-18T14:00:41"/>
    <x v="203"/>
    <s v="Paid"/>
    <d v="2025-05-09T00:00:00"/>
    <s v="4501112337"/>
    <x v="15"/>
    <x v="1"/>
    <n v="12448.678395299068"/>
    <n v="8775.27"/>
    <n v="0.70491579277313177"/>
    <n v="0"/>
    <n v="-8775.27"/>
    <s v=""/>
    <n v="0"/>
    <x v="0"/>
    <x v="0"/>
    <s v="Pend"/>
    <s v="Pend"/>
  </r>
  <r>
    <n v="1"/>
    <s v="SO16623"/>
    <s v="62435"/>
    <s v="INV12670"/>
    <s v="Harvey Bearings"/>
    <d v="2025-02-18T14:37:57"/>
    <d v="2025-02-18T17:27:32"/>
    <d v="2025-02-19T00:00:00"/>
    <s v="Taylor Cook"/>
    <s v="CAD"/>
    <n v="1"/>
    <n v="1584.16"/>
    <n v="1584.16"/>
    <n v="1584.16"/>
    <n v="1508.72"/>
    <n v="75.44"/>
    <n v="1584.16"/>
    <s v="Delivered"/>
    <m/>
    <n v="1"/>
    <n v="2"/>
    <n v="2025"/>
    <n v="2"/>
    <n v="2025"/>
    <n v="1"/>
    <x v="171"/>
    <d v="2025-02-18T14:37:57"/>
    <x v="204"/>
    <s v="Paid"/>
    <d v="2025-02-20T00:00:00"/>
    <s v="62435"/>
    <x v="65"/>
    <x v="0"/>
    <n v="1508.72"/>
    <n v="1059.5506767301447"/>
    <n v="0.70228450390406749"/>
    <n v="-1508.72"/>
    <n v="0"/>
    <n v="0"/>
    <s v=""/>
    <x v="0"/>
    <x v="0"/>
    <s v="Pend"/>
    <s v="Pend"/>
  </r>
  <r>
    <n v="1"/>
    <s v="SO16626"/>
    <s v="2100515134"/>
    <s v="INV12659"/>
    <s v="Wajax Limited - Noranda"/>
    <d v="2025-02-18T18:35:06"/>
    <d v="2025-02-21T14:52:50"/>
    <d v="2025-02-25T00:00:00"/>
    <s v="Ian Trottier"/>
    <s v="CAD"/>
    <n v="1"/>
    <n v="105"/>
    <n v="0"/>
    <n v="73.951217101838466"/>
    <n v="100"/>
    <n v="5"/>
    <n v="105"/>
    <s v="Delivered"/>
    <m/>
    <n v="1"/>
    <n v="2"/>
    <n v="2025"/>
    <n v="4"/>
    <n v="2025"/>
    <n v="0.70429730573179494"/>
    <x v="172"/>
    <d v="2025-02-18T18:35:06"/>
    <x v="205"/>
    <s v="Paid"/>
    <d v="2025-04-02T00:00:00"/>
    <s v="2100515134"/>
    <x v="35"/>
    <x v="0"/>
    <n v="100"/>
    <n v="70.429730573179498"/>
    <n v="0.70429730573179494"/>
    <n v="-100"/>
    <n v="0"/>
    <n v="0"/>
    <s v=""/>
    <x v="0"/>
    <x v="0"/>
    <s v="Pend"/>
    <s v="Pend"/>
  </r>
  <r>
    <n v="2"/>
    <s v="SO16628"/>
    <s v="185323"/>
    <s v="INV12668"/>
    <s v="Fabrene Inc."/>
    <d v="2025-02-18T19:47:30"/>
    <d v="2025-02-19T10:18:17"/>
    <d v="2025-02-21T00:00:00"/>
    <s v="Taylor Cook"/>
    <s v="CAD"/>
    <n v="1"/>
    <n v="523.99"/>
    <n v="0"/>
    <n v="368.03838157092048"/>
    <n v="463.71"/>
    <n v="60.28"/>
    <n v="523.99"/>
    <s v="Delivered"/>
    <m/>
    <n v="2"/>
    <n v="2"/>
    <n v="2025"/>
    <n v="4"/>
    <n v="2025"/>
    <n v="0.70237672774465254"/>
    <x v="173"/>
    <d v="2025-02-18T19:47:30"/>
    <x v="206"/>
    <s v="Paid"/>
    <d v="2025-04-04T00:00:00"/>
    <s v="185323"/>
    <x v="66"/>
    <x v="0"/>
    <n v="463.71"/>
    <n v="325.69911242247281"/>
    <n v="0.70237672774465254"/>
    <n v="-444.46"/>
    <n v="0"/>
    <n v="19.25"/>
    <s v=""/>
    <x v="0"/>
    <x v="1"/>
    <s v="Yes"/>
    <s v="Pend"/>
  </r>
  <r>
    <m/>
    <m/>
    <m/>
    <s v="INV12724"/>
    <m/>
    <m/>
    <m/>
    <m/>
    <m/>
    <m/>
    <m/>
    <m/>
    <m/>
    <m/>
    <m/>
    <m/>
    <m/>
    <m/>
    <m/>
    <n v="2"/>
    <n v="2"/>
    <n v="2025"/>
    <n v="4"/>
    <n v="2025"/>
    <n v="0.70237672774465254"/>
    <x v="173"/>
    <d v="2025-02-18T19:47:30"/>
    <x v="207"/>
    <s v="Paid"/>
    <d v="2025-04-23T00:00:00"/>
    <s v="185323"/>
    <x v="66"/>
    <x v="0"/>
    <n v="0"/>
    <n v="0"/>
    <n v="0"/>
    <n v="-19.25"/>
    <n v="0"/>
    <n v="-19.25"/>
    <s v=""/>
    <x v="0"/>
    <x v="1"/>
    <s v="Yes"/>
    <s v="Pend"/>
  </r>
  <r>
    <n v="2"/>
    <s v="SO16630"/>
    <s v="BC65-00079605"/>
    <s v="INV12952"/>
    <s v="Motion Industries Inc. (Canada) - Prince George"/>
    <d v="2025-02-18T20:08:04"/>
    <d v="2025-02-18T20:08:04"/>
    <d v="2025-06-06T00:00:00"/>
    <s v="Ian Trottier"/>
    <s v="CAD"/>
    <n v="1"/>
    <n v="329.35"/>
    <n v="0"/>
    <n v="231.32777528270131"/>
    <n v="313.66000000000003"/>
    <n v="15.69"/>
    <n v="329.35"/>
    <s v="Delivered"/>
    <m/>
    <n v="2"/>
    <n v="2"/>
    <n v="2025"/>
    <n v="6"/>
    <n v="2025"/>
    <n v="0.70237672774465243"/>
    <x v="174"/>
    <d v="2025-02-18T20:08:04"/>
    <x v="208"/>
    <s v="Paid"/>
    <d v="2025-06-06T00:00:00"/>
    <s v="BC65-00079605"/>
    <x v="41"/>
    <x v="0"/>
    <n v="313.66000000000003"/>
    <n v="220.3074844243877"/>
    <n v="0.70237672774465243"/>
    <n v="-22.78"/>
    <n v="0"/>
    <n v="290.88"/>
    <s v=""/>
    <x v="0"/>
    <x v="1"/>
    <s v="Yes"/>
    <s v="Pend"/>
  </r>
  <r>
    <m/>
    <m/>
    <m/>
    <s v="INV12671"/>
    <m/>
    <m/>
    <m/>
    <m/>
    <m/>
    <m/>
    <m/>
    <m/>
    <m/>
    <m/>
    <m/>
    <m/>
    <m/>
    <m/>
    <m/>
    <n v="2"/>
    <n v="2"/>
    <n v="2025"/>
    <n v="3"/>
    <n v="2025"/>
    <n v="0.70237672774465243"/>
    <x v="174"/>
    <d v="2025-02-18T20:08:04"/>
    <x v="209"/>
    <s v="Paid"/>
    <d v="2025-03-27T00:00:00"/>
    <s v="BC65-00079605"/>
    <x v="41"/>
    <x v="0"/>
    <n v="0"/>
    <n v="0"/>
    <n v="0"/>
    <n v="-290.88"/>
    <n v="0"/>
    <n v="-290.88"/>
    <s v=""/>
    <x v="0"/>
    <x v="1"/>
    <s v="Yes"/>
    <s v="Pend"/>
  </r>
  <r>
    <n v="1"/>
    <s v="SO16636"/>
    <s v="185393"/>
    <s v="INV12651"/>
    <s v="Fabrene Inc."/>
    <d v="2025-02-20T09:05:46"/>
    <d v="2025-02-20T10:36:01"/>
    <d v="2025-02-21T00:00:00"/>
    <s v="Ian Trottier"/>
    <s v="CAD"/>
    <n v="1"/>
    <n v="945.5"/>
    <n v="0"/>
    <n v="666.08853700882491"/>
    <n v="836.73"/>
    <n v="108.77"/>
    <n v="945.5"/>
    <s v="Delivered"/>
    <m/>
    <n v="1"/>
    <n v="2"/>
    <n v="2025"/>
    <n v="4"/>
    <n v="2025"/>
    <n v="0.70448285246834996"/>
    <x v="175"/>
    <d v="2025-02-20T09:05:46"/>
    <x v="210"/>
    <s v="Paid"/>
    <d v="2025-04-04T00:00:00"/>
    <s v="185393"/>
    <x v="66"/>
    <x v="0"/>
    <n v="836.73"/>
    <n v="589.46193714584251"/>
    <n v="0.70448285246834996"/>
    <n v="-836.73"/>
    <n v="0"/>
    <n v="0"/>
    <s v=""/>
    <x v="0"/>
    <x v="0"/>
    <s v="Pend"/>
    <s v="Pend"/>
  </r>
  <r>
    <n v="1"/>
    <s v="SO16637"/>
    <s v="4500582497"/>
    <s v="INV12694"/>
    <s v="Resolute Forest Products - Saint-Felicien"/>
    <d v="2025-02-20T09:32:52"/>
    <d v="2025-02-28T15:46:43"/>
    <d v="2025-03-04T00:00:00"/>
    <s v="Ian Trottier"/>
    <s v="CAD"/>
    <n v="1"/>
    <n v="345.32"/>
    <n v="0"/>
    <n v="239.23970820386629"/>
    <n v="328.88"/>
    <n v="16.440000000000001"/>
    <n v="345.32"/>
    <s v="Delivered"/>
    <m/>
    <n v="1"/>
    <n v="2"/>
    <n v="2025"/>
    <n v="5"/>
    <n v="2025"/>
    <n v="0.69280582707015603"/>
    <x v="176"/>
    <d v="2025-02-20T09:32:52"/>
    <x v="211"/>
    <s v="Paid"/>
    <d v="2025-05-02T00:00:00"/>
    <s v="4500582497"/>
    <x v="46"/>
    <x v="0"/>
    <n v="328.88"/>
    <n v="227.84998040683291"/>
    <n v="0.69280582707015603"/>
    <n v="-328.88"/>
    <n v="0"/>
    <n v="0"/>
    <s v=""/>
    <x v="0"/>
    <x v="0"/>
    <s v="Pend"/>
    <s v="Pend"/>
  </r>
  <r>
    <n v="1"/>
    <s v="SO16640"/>
    <s v="P-22025"/>
    <s v="INV12831"/>
    <s v="Cartledge &amp; Associates Inc."/>
    <d v="2025-02-20T11:28:36"/>
    <d v="2025-02-20T11:30:43"/>
    <d v="2025-04-14T00:00:00"/>
    <s v="Ian Trottier"/>
    <s v="USD"/>
    <n v="0.70237672774465254"/>
    <n v="5120.1867287770201"/>
    <n v="0"/>
    <n v="3596.3"/>
    <n v="3596.3"/>
    <m/>
    <n v="3596.3"/>
    <s v="Delivered"/>
    <m/>
    <n v="1"/>
    <n v="2"/>
    <n v="2025"/>
    <n v="5"/>
    <n v="2025"/>
    <n v="0.70237672774465254"/>
    <x v="177"/>
    <d v="2025-02-20T11:28:36"/>
    <x v="212"/>
    <s v="Paid"/>
    <d v="2025-05-15T00:00:00"/>
    <s v="P-22025"/>
    <x v="25"/>
    <x v="1"/>
    <n v="5120.1867287770201"/>
    <n v="3596.3"/>
    <n v="0.70237672774465254"/>
    <n v="0"/>
    <n v="-3596.3"/>
    <s v=""/>
    <n v="0"/>
    <x v="0"/>
    <x v="0"/>
    <s v="Pend"/>
    <s v="Pend"/>
  </r>
  <r>
    <n v="1"/>
    <s v="SO16642"/>
    <s v="4501116468"/>
    <s v="INV12766"/>
    <s v="Barrick Gold - Pueblo Viejo Dominicana Corporation"/>
    <d v="2025-02-20T16:49:34"/>
    <d v="2025-02-21T09:10:58"/>
    <d v="2025-03-21T00:00:00"/>
    <s v="Jeff Bell"/>
    <s v="USD"/>
    <n v="0.70448285246834996"/>
    <n v="249.8286500279396"/>
    <n v="0"/>
    <n v="176"/>
    <n v="176"/>
    <m/>
    <n v="176"/>
    <s v="Delivered"/>
    <m/>
    <n v="1"/>
    <n v="2"/>
    <n v="2025"/>
    <n v="4"/>
    <n v="2025"/>
    <n v="0.70448285246834996"/>
    <x v="178"/>
    <d v="2025-02-20T16:49:34"/>
    <x v="213"/>
    <s v="Paid"/>
    <d v="2025-04-25T00:00:00"/>
    <s v="4501116468"/>
    <x v="15"/>
    <x v="1"/>
    <n v="249.8286500279396"/>
    <n v="176"/>
    <n v="0.70448285246834996"/>
    <n v="0"/>
    <n v="-176"/>
    <s v=""/>
    <n v="0"/>
    <x v="0"/>
    <x v="0"/>
    <s v="Pend"/>
    <s v="Pend"/>
  </r>
  <r>
    <n v="2"/>
    <s v="SO16645"/>
    <s v="5351972"/>
    <s v="INV13221"/>
    <s v="Corrosion Fluid Products Corp., Corrosion Fluid Products Corp. - Chicago"/>
    <d v="2025-02-21T15:09:10"/>
    <d v="2025-03-06T17:58:52"/>
    <d v="2025-07-03T00:00:00"/>
    <s v="Ian Trottier"/>
    <s v="USD"/>
    <n v="0.69534626226790575"/>
    <n v="61849.473181507048"/>
    <n v="0"/>
    <n v="43006.8"/>
    <n v="43006.8"/>
    <m/>
    <n v="43006.8"/>
    <s v="Delivered"/>
    <m/>
    <n v="2"/>
    <n v="2"/>
    <n v="2025"/>
    <n v="8"/>
    <n v="2025"/>
    <n v="0.69534626226790575"/>
    <x v="179"/>
    <d v="2025-02-21T15:09:10"/>
    <x v="214"/>
    <s v="Paid"/>
    <d v="2025-08-28T00:00:00"/>
    <s v="5351972"/>
    <x v="4"/>
    <x v="1"/>
    <n v="61849.473181507048"/>
    <n v="43006.8"/>
    <n v="0.69534626226790575"/>
    <n v="0"/>
    <n v="-42594"/>
    <s v=""/>
    <n v="412.80000000000291"/>
    <x v="0"/>
    <x v="1"/>
    <s v="Yes"/>
    <s v="Pend"/>
  </r>
  <r>
    <m/>
    <m/>
    <m/>
    <s v="INV13247"/>
    <m/>
    <m/>
    <m/>
    <m/>
    <m/>
    <m/>
    <m/>
    <m/>
    <m/>
    <m/>
    <m/>
    <m/>
    <m/>
    <m/>
    <m/>
    <n v="2"/>
    <n v="2"/>
    <n v="2025"/>
    <n v="9"/>
    <n v="2025"/>
    <n v="0.69534626226790575"/>
    <x v="179"/>
    <d v="2025-02-21T15:09:10"/>
    <x v="215"/>
    <s v="Paid"/>
    <d v="2025-09-04T00:00:00"/>
    <s v="5351972"/>
    <x v="4"/>
    <x v="1"/>
    <n v="0"/>
    <n v="0"/>
    <n v="0"/>
    <n v="0"/>
    <n v="-412.8"/>
    <s v=""/>
    <n v="-412.8"/>
    <x v="0"/>
    <x v="1"/>
    <s v="Yes"/>
    <s v="Pend"/>
  </r>
  <r>
    <n v="1"/>
    <s v="SO16646"/>
    <s v="MAB15259"/>
    <s v="INV12920"/>
    <s v="MAB Equipment Company Inc."/>
    <d v="2025-02-21T16:53:12"/>
    <d v="2025-04-25T12:43:00"/>
    <d v="2025-04-28T00:00:00"/>
    <s v="Ian Trottier"/>
    <s v="USD"/>
    <n v="0.71989223732843666"/>
    <n v="5735.5251048723894"/>
    <n v="0"/>
    <n v="4128.96"/>
    <n v="4128.96"/>
    <m/>
    <n v="4128.96"/>
    <s v="Delivered"/>
    <m/>
    <n v="1"/>
    <n v="2"/>
    <n v="2025"/>
    <n v="5"/>
    <n v="2025"/>
    <n v="0.71989223732843655"/>
    <x v="180"/>
    <d v="2025-02-21T16:53:12"/>
    <x v="216"/>
    <s v="Paid"/>
    <d v="2025-05-30T00:00:00"/>
    <s v="MAB15259"/>
    <x v="67"/>
    <x v="1"/>
    <n v="5735.5251048723885"/>
    <n v="4128.96"/>
    <n v="0.71989223732843666"/>
    <n v="0"/>
    <n v="-4128.96"/>
    <s v=""/>
    <n v="0"/>
    <x v="0"/>
    <x v="0"/>
    <s v="Pend"/>
    <s v="Pend"/>
  </r>
  <r>
    <n v="1"/>
    <s v="SO16647"/>
    <s v="P353469"/>
    <s v="INV12681"/>
    <s v="Covia Corp - Roff"/>
    <d v="2025-02-21T17:00:07"/>
    <d v="2025-02-21T16:58:48"/>
    <d v="2025-02-26T00:00:00"/>
    <s v="Marlen Martinez"/>
    <s v="USD"/>
    <n v="0.70448285246834996"/>
    <n v="9353.6698259040222"/>
    <n v="0"/>
    <n v="6589.5"/>
    <n v="6589.5"/>
    <m/>
    <n v="6589.5"/>
    <s v="Delivered"/>
    <m/>
    <n v="1"/>
    <n v="2"/>
    <n v="2025"/>
    <n v="6"/>
    <n v="2025"/>
    <n v="0.70448285246834996"/>
    <x v="181"/>
    <d v="2025-02-21T17:00:07"/>
    <x v="217"/>
    <s v="Paid"/>
    <d v="2025-06-14T00:00:00"/>
    <s v="P353469"/>
    <x v="68"/>
    <x v="1"/>
    <n v="9353.6698259040222"/>
    <n v="6589.5"/>
    <n v="0.70448285246834996"/>
    <n v="0"/>
    <n v="-6589.5"/>
    <s v=""/>
    <n v="0"/>
    <x v="0"/>
    <x v="0"/>
    <s v="Pend"/>
    <s v="Pend"/>
  </r>
  <r>
    <n v="1"/>
    <s v="SO16648"/>
    <s v="BC65-00079680"/>
    <s v="INV12777"/>
    <s v="Motion Industries Inc. (Canada) - Prince George"/>
    <d v="2025-02-23T11:22:28"/>
    <d v="2025-02-27T16:04:02"/>
    <d v="2025-03-20T00:00:00"/>
    <s v="Ian Trottier"/>
    <s v="CAD"/>
    <n v="1"/>
    <n v="224.91"/>
    <n v="0"/>
    <n v="155.96676659343751"/>
    <n v="214.2"/>
    <n v="10.71"/>
    <n v="224.91"/>
    <s v="Delivered"/>
    <m/>
    <n v="1"/>
    <n v="2"/>
    <n v="2025"/>
    <n v="4"/>
    <n v="2025"/>
    <n v="0.69346301450997072"/>
    <x v="182"/>
    <d v="2025-02-23T11:22:28"/>
    <x v="218"/>
    <s v="Paid"/>
    <d v="2025-04-24T00:00:00"/>
    <s v="BC65-00079680"/>
    <x v="41"/>
    <x v="0"/>
    <n v="214.2"/>
    <n v="148.53977770803573"/>
    <n v="0.69346301450997072"/>
    <n v="-214.2"/>
    <n v="0"/>
    <n v="0"/>
    <s v=""/>
    <x v="0"/>
    <x v="0"/>
    <s v="Pend"/>
    <s v="Pend"/>
  </r>
  <r>
    <n v="4"/>
    <s v="SO16651"/>
    <s v="4500788354"/>
    <s v="INV13189"/>
    <s v="AGM Inc."/>
    <d v="2025-02-23T12:06:51"/>
    <d v="2025-03-24T11:04:31"/>
    <d v="2025-07-27T00:00:00"/>
    <s v="Amanda Qiao"/>
    <s v="USD"/>
    <n v="0.69694344458511093"/>
    <n v="77514.783186116387"/>
    <n v="0"/>
    <n v="54023.42"/>
    <n v="54023.42"/>
    <m/>
    <n v="54023.42"/>
    <s v="Delivered"/>
    <m/>
    <n v="4"/>
    <n v="2"/>
    <n v="2025"/>
    <n v="9"/>
    <n v="2025"/>
    <n v="0.69694344458511093"/>
    <x v="183"/>
    <d v="2025-02-23T12:06:51"/>
    <x v="219"/>
    <s v="Paid"/>
    <d v="2025-09-04T00:00:00"/>
    <s v="4500788354"/>
    <x v="61"/>
    <x v="1"/>
    <n v="77514.783186116387"/>
    <n v="54023.42"/>
    <n v="0.69694344458511093"/>
    <n v="0"/>
    <n v="-23970.9"/>
    <s v=""/>
    <n v="30052.519999999997"/>
    <x v="0"/>
    <x v="1"/>
    <s v="Yes"/>
    <s v="Pend"/>
  </r>
  <r>
    <m/>
    <m/>
    <m/>
    <s v="INV12886"/>
    <m/>
    <m/>
    <m/>
    <m/>
    <m/>
    <m/>
    <m/>
    <m/>
    <m/>
    <m/>
    <m/>
    <m/>
    <m/>
    <m/>
    <m/>
    <n v="4"/>
    <n v="2"/>
    <n v="2025"/>
    <n v="9"/>
    <n v="2025"/>
    <n v="0.69694344458511093"/>
    <x v="183"/>
    <d v="2025-02-23T12:06:51"/>
    <x v="220"/>
    <s v="Paid"/>
    <d v="2025-09-04T00:00:00"/>
    <s v="4500788354"/>
    <x v="61"/>
    <x v="1"/>
    <n v="0"/>
    <n v="0"/>
    <n v="0"/>
    <n v="0"/>
    <n v="-13983.47"/>
    <s v=""/>
    <n v="-13983.47"/>
    <x v="0"/>
    <x v="1"/>
    <s v="Yes"/>
    <s v="Pend"/>
  </r>
  <r>
    <m/>
    <m/>
    <m/>
    <s v="INV12985"/>
    <m/>
    <m/>
    <m/>
    <m/>
    <m/>
    <m/>
    <m/>
    <m/>
    <m/>
    <m/>
    <m/>
    <m/>
    <m/>
    <m/>
    <m/>
    <n v="4"/>
    <n v="2"/>
    <n v="2025"/>
    <n v="9"/>
    <n v="2025"/>
    <n v="0.69694344458511093"/>
    <x v="183"/>
    <d v="2025-02-23T12:06:51"/>
    <x v="221"/>
    <s v="Paid"/>
    <d v="2025-09-04T00:00:00"/>
    <s v="4500788354"/>
    <x v="61"/>
    <x v="1"/>
    <n v="0"/>
    <n v="0"/>
    <n v="0"/>
    <n v="0"/>
    <n v="-14651.3"/>
    <s v=""/>
    <n v="-14651.3"/>
    <x v="0"/>
    <x v="1"/>
    <s v="Yes"/>
    <s v="Pend"/>
  </r>
  <r>
    <m/>
    <m/>
    <m/>
    <s v="INV13215"/>
    <m/>
    <m/>
    <m/>
    <m/>
    <m/>
    <m/>
    <m/>
    <m/>
    <m/>
    <m/>
    <m/>
    <m/>
    <m/>
    <m/>
    <m/>
    <n v="4"/>
    <n v="2"/>
    <n v="2025"/>
    <n v="9"/>
    <n v="2025"/>
    <n v="0.69694344458511093"/>
    <x v="183"/>
    <d v="2025-02-23T12:06:51"/>
    <x v="222"/>
    <s v="Paid"/>
    <d v="2025-09-04T00:00:00"/>
    <s v="4500788354"/>
    <x v="61"/>
    <x v="1"/>
    <n v="0"/>
    <n v="0"/>
    <n v="0"/>
    <n v="0"/>
    <n v="-1417.75"/>
    <s v=""/>
    <n v="-1417.75"/>
    <x v="0"/>
    <x v="1"/>
    <s v="Yes"/>
    <s v="Pend"/>
  </r>
  <r>
    <n v="1"/>
    <s v="SO16653"/>
    <s v="30862"/>
    <s v="INV13374"/>
    <s v="First Bauxite Inc."/>
    <d v="2025-02-23T16:03:52"/>
    <d v="2025-07-21T12:10:25"/>
    <d v="2025-09-04T00:00:00"/>
    <s v="Amanda Qiao"/>
    <s v="USD"/>
    <n v="0.72845881656938405"/>
    <n v="8554.704615077495"/>
    <n v="0"/>
    <n v="6231.75"/>
    <n v="6231.75"/>
    <m/>
    <n v="6231.75"/>
    <s v="Delivered"/>
    <m/>
    <n v="1"/>
    <n v="2"/>
    <n v="2025"/>
    <n v="9"/>
    <n v="2025"/>
    <n v="0.72845881656938405"/>
    <x v="184"/>
    <d v="2025-02-23T16:03:52"/>
    <x v="223"/>
    <s v="Paid"/>
    <d v="2025-09-09T00:00:00"/>
    <s v="30862"/>
    <x v="69"/>
    <x v="1"/>
    <n v="8554.704615077495"/>
    <n v="6231.75"/>
    <n v="0.72845881656938405"/>
    <n v="0"/>
    <n v="-6231.75"/>
    <s v=""/>
    <n v="0"/>
    <x v="0"/>
    <x v="0"/>
    <s v="Pend"/>
    <s v="Pend"/>
  </r>
  <r>
    <n v="1"/>
    <s v="SO16654"/>
    <s v="4500563473"/>
    <s v="INV12669"/>
    <s v="Glencore Canada Corporation - Rouyn-Noranda, Glencore Canada Corp."/>
    <d v="2025-02-23T21:49:02"/>
    <d v="2025-02-23T21:49:42"/>
    <d v="2025-02-25T00:00:00"/>
    <s v="Ian Trottier"/>
    <s v="CAD"/>
    <n v="1"/>
    <n v="3134.29"/>
    <n v="0"/>
    <n v="2203.3606060222219"/>
    <n v="2985.04"/>
    <n v="149.25"/>
    <n v="3134.29"/>
    <s v="Delivered"/>
    <m/>
    <n v="1"/>
    <n v="2"/>
    <n v="2025"/>
    <n v="4"/>
    <n v="2025"/>
    <n v="0.7029855584589243"/>
    <x v="185"/>
    <d v="2025-02-23T21:49:02"/>
    <x v="224"/>
    <s v="Paid"/>
    <d v="2025-04-04T00:00:00"/>
    <s v="4500563473"/>
    <x v="27"/>
    <x v="0"/>
    <n v="2985.04"/>
    <n v="2098.4400114222271"/>
    <n v="0.70298555845892419"/>
    <n v="-2985.04"/>
    <n v="0"/>
    <n v="0"/>
    <s v=""/>
    <x v="0"/>
    <x v="0"/>
    <s v="Pend"/>
    <s v="Pend"/>
  </r>
  <r>
    <n v="1"/>
    <s v="SO16656"/>
    <s v="4560062740"/>
    <s v="INV12714"/>
    <s v="Alamos Gold Inc, Alamos Gold Inc Island Gold Division"/>
    <d v="2025-02-24T09:39:39"/>
    <d v="2025-02-24T09:39:39"/>
    <d v="2025-03-06T00:00:00"/>
    <s v="Ian Trottier"/>
    <s v="CAD"/>
    <n v="1"/>
    <n v="1540.6"/>
    <n v="0"/>
    <n v="1083.0195513618189"/>
    <n v="1363.36"/>
    <n v="177.24"/>
    <n v="1540.6"/>
    <s v="Delivered"/>
    <m/>
    <n v="1"/>
    <n v="2"/>
    <n v="2025"/>
    <n v="4"/>
    <n v="2025"/>
    <n v="0.70298555845892441"/>
    <x v="186"/>
    <d v="2025-02-24T09:39:39"/>
    <x v="225"/>
    <s v="Paid"/>
    <d v="2025-04-07T00:00:00"/>
    <s v="4560062740"/>
    <x v="2"/>
    <x v="0"/>
    <n v="1363.36"/>
    <n v="958.42239098055916"/>
    <n v="0.70298555845892441"/>
    <n v="-1363.36"/>
    <n v="0"/>
    <n v="0"/>
    <s v=""/>
    <x v="0"/>
    <x v="0"/>
    <s v="Pend"/>
    <s v="Pend"/>
  </r>
  <r>
    <n v="1"/>
    <s v="SO16657"/>
    <s v="PO-007775"/>
    <s v="INV12665"/>
    <s v="Sling-Choker Manufacturing - Timmins"/>
    <d v="2025-02-24T11:00:58"/>
    <d v="2025-02-24T16:00:07"/>
    <d v="2025-02-25T00:00:00"/>
    <s v="Ian Trottier"/>
    <s v="CAD"/>
    <n v="1"/>
    <n v="169.43"/>
    <n v="0"/>
    <n v="119.10684316969559"/>
    <n v="149.94"/>
    <n v="19.489999999999998"/>
    <n v="169.43"/>
    <s v="Delivered"/>
    <m/>
    <n v="1"/>
    <n v="2"/>
    <n v="2025"/>
    <n v="3"/>
    <n v="2025"/>
    <n v="0.70298555845892452"/>
    <x v="187"/>
    <d v="2025-02-24T11:00:58"/>
    <x v="226"/>
    <s v="Paid"/>
    <d v="2025-03-26T00:00:00"/>
    <s v="PO-007775"/>
    <x v="3"/>
    <x v="0"/>
    <n v="149.94"/>
    <n v="105.40565463533115"/>
    <n v="0.70298555845892452"/>
    <n v="-149.94"/>
    <n v="0"/>
    <n v="0"/>
    <s v=""/>
    <x v="0"/>
    <x v="0"/>
    <s v="Pend"/>
    <s v="Pend"/>
  </r>
  <r>
    <n v="2"/>
    <s v="SO16658"/>
    <s v="OC00150"/>
    <s v="INV12888"/>
    <s v="Dynapro Pumps México S de RL de CV"/>
    <d v="2025-02-24T11:14:46"/>
    <d v="2025-02-24T11:14:29"/>
    <d v="2025-03-21T00:00:00"/>
    <s v="Yannett Yeomans"/>
    <s v="USD"/>
    <n v="0.70296853684155547"/>
    <n v="5468.2390441983789"/>
    <n v="0"/>
    <n v="3844"/>
    <n v="3844"/>
    <m/>
    <n v="3844"/>
    <s v="Delivered"/>
    <m/>
    <n v="2"/>
    <n v="2"/>
    <n v="2025"/>
    <s v=""/>
    <s v=""/>
    <n v="0.70296853684155547"/>
    <x v="188"/>
    <d v="2025-02-24T11:14:46"/>
    <x v="227"/>
    <s v="Approved"/>
    <s v="Pending"/>
    <s v="OC00150"/>
    <x v="54"/>
    <x v="1"/>
    <n v="5468.2390441983789"/>
    <n v="3844"/>
    <n v="0.70296853684155547"/>
    <n v="0"/>
    <n v="0"/>
    <s v=""/>
    <n v="3844"/>
    <x v="1"/>
    <x v="1"/>
    <n v="0"/>
    <s v="Pend"/>
  </r>
  <r>
    <m/>
    <m/>
    <m/>
    <s v="INV12887"/>
    <m/>
    <m/>
    <m/>
    <m/>
    <m/>
    <m/>
    <m/>
    <m/>
    <m/>
    <m/>
    <m/>
    <m/>
    <m/>
    <m/>
    <m/>
    <n v="2"/>
    <n v="2"/>
    <n v="2025"/>
    <s v=""/>
    <s v=""/>
    <n v="0.70296853684155547"/>
    <x v="188"/>
    <d v="2025-02-24T11:14:46"/>
    <x v="228"/>
    <s v="Approved"/>
    <s v="Pending"/>
    <s v="OC00150"/>
    <x v="54"/>
    <x v="1"/>
    <n v="0"/>
    <n v="0"/>
    <n v="0"/>
    <n v="0"/>
    <n v="0"/>
    <s v=""/>
    <n v="0"/>
    <x v="1"/>
    <x v="1"/>
    <n v="0"/>
    <s v="Pend"/>
  </r>
  <r>
    <n v="1"/>
    <s v="SO16659"/>
    <s v="PO-007778"/>
    <s v="INV12667"/>
    <s v="Sling-Choker Manufacturing - Timmins"/>
    <d v="2025-02-24T11:36:04"/>
    <d v="2025-02-24T15:35:29"/>
    <d v="2025-02-26T00:00:00"/>
    <s v="Ian Trottier"/>
    <s v="CAD"/>
    <n v="1"/>
    <n v="510.16"/>
    <n v="0"/>
    <n v="358.63511250340491"/>
    <n v="451.47"/>
    <n v="58.69"/>
    <n v="510.16"/>
    <s v="Delivered"/>
    <m/>
    <n v="1"/>
    <n v="2"/>
    <n v="2025"/>
    <n v="3"/>
    <n v="2025"/>
    <n v="0.70298555845892441"/>
    <x v="189"/>
    <d v="2025-02-24T11:36:04"/>
    <x v="229"/>
    <s v="Paid"/>
    <d v="2025-03-26T00:00:00"/>
    <s v="PO-007778"/>
    <x v="3"/>
    <x v="0"/>
    <n v="451.47"/>
    <n v="317.37689007745064"/>
    <n v="0.70298555845892441"/>
    <n v="-451.47"/>
    <n v="0"/>
    <n v="0"/>
    <s v=""/>
    <x v="0"/>
    <x v="0"/>
    <s v="Pend"/>
    <s v="Pend"/>
  </r>
  <r>
    <n v="1"/>
    <s v="SO16660"/>
    <s v="OC00151"/>
    <s v="INV12866"/>
    <s v="Dynapro Pumps México S de RL de CV"/>
    <d v="2025-02-24T14:21:25"/>
    <d v="2025-02-24T14:21:09"/>
    <d v="2025-03-28T00:00:00"/>
    <s v="Yannett Yeomans"/>
    <s v="USD"/>
    <n v="0.70296853684155547"/>
    <n v="113.8031018563658"/>
    <n v="0"/>
    <n v="80"/>
    <n v="80"/>
    <m/>
    <n v="80"/>
    <s v="Delivered"/>
    <m/>
    <n v="1"/>
    <n v="2"/>
    <n v="2025"/>
    <s v=""/>
    <s v=""/>
    <n v="0.70296853684155569"/>
    <x v="190"/>
    <d v="2025-02-24T14:21:25"/>
    <x v="230"/>
    <s v="Approved"/>
    <s v="Pending"/>
    <s v="OC00151"/>
    <x v="54"/>
    <x v="1"/>
    <n v="113.80310185636584"/>
    <n v="80"/>
    <n v="0.70296853684155547"/>
    <n v="0"/>
    <n v="-80"/>
    <s v=""/>
    <n v="0"/>
    <x v="1"/>
    <x v="2"/>
    <s v="Pend"/>
    <s v="Pend"/>
  </r>
  <r>
    <n v="1"/>
    <s v="SO16662"/>
    <s v="BC78-00052744"/>
    <s v="INV12689"/>
    <s v="Motion Industries Inc. (Canada) - Quesnel"/>
    <d v="2025-02-24T15:18:17"/>
    <d v="2025-02-27T17:31:25"/>
    <d v="2025-02-28T00:00:00"/>
    <s v="Ian Trottier"/>
    <s v="CAD"/>
    <n v="1"/>
    <n v="1521.22"/>
    <n v="0"/>
    <n v="1054.9098069328579"/>
    <n v="1448.78"/>
    <n v="72.44"/>
    <n v="1521.22"/>
    <s v="Delivered"/>
    <m/>
    <n v="1"/>
    <n v="2"/>
    <n v="2025"/>
    <n v="3"/>
    <n v="2025"/>
    <n v="0.69346301450997083"/>
    <x v="191"/>
    <d v="2025-02-24T15:18:17"/>
    <x v="231"/>
    <s v="Paid"/>
    <d v="2025-03-31T00:00:00"/>
    <s v="BC78-00052744"/>
    <x v="12"/>
    <x v="0"/>
    <n v="1448.78"/>
    <n v="1004.6753461617556"/>
    <n v="0.69346301450997083"/>
    <n v="-1448.78"/>
    <n v="0"/>
    <n v="0"/>
    <s v=""/>
    <x v="0"/>
    <x v="0"/>
    <s v="Pend"/>
    <s v="Pend"/>
  </r>
  <r>
    <n v="1"/>
    <s v="SO16663"/>
    <s v="P-22425"/>
    <s v="INV12855"/>
    <s v="Cartledge &amp; Associates Inc."/>
    <d v="2025-02-24T15:46:25"/>
    <d v="2025-02-24T15:48:19"/>
    <d v="2025-04-07T00:00:00"/>
    <s v="Ian Trottier"/>
    <s v="USD"/>
    <n v="0.70296853684155547"/>
    <n v="6427.869475214452"/>
    <n v="0"/>
    <n v="4518.59"/>
    <n v="4518.59"/>
    <m/>
    <n v="4518.59"/>
    <s v="Delivered"/>
    <m/>
    <n v="1"/>
    <n v="2"/>
    <n v="2025"/>
    <n v="5"/>
    <n v="2025"/>
    <n v="0.70296853684155547"/>
    <x v="192"/>
    <d v="2025-02-24T15:46:25"/>
    <x v="232"/>
    <s v="Paid"/>
    <d v="2025-05-15T00:00:00"/>
    <s v="P-22425"/>
    <x v="25"/>
    <x v="1"/>
    <n v="6427.869475214452"/>
    <n v="4518.59"/>
    <n v="0.70296853684155547"/>
    <n v="0"/>
    <n v="-4518.59"/>
    <s v=""/>
    <n v="0"/>
    <x v="0"/>
    <x v="0"/>
    <s v="Pend"/>
    <s v="Pend"/>
  </r>
  <r>
    <n v="1"/>
    <s v="SO16664"/>
    <s v="PO-039100"/>
    <s v="INV12821"/>
    <s v="Southeast Pump Specialist, Inc."/>
    <d v="2025-02-24T16:17:19"/>
    <d v="2025-02-25T17:12:26"/>
    <d v="2025-04-08T00:00:00"/>
    <s v="Ian Trottier"/>
    <s v="USD"/>
    <n v="0.70298555845892441"/>
    <n v="12206.666121010219"/>
    <n v="0"/>
    <n v="8581.11"/>
    <n v="8581.11"/>
    <m/>
    <n v="8581.11"/>
    <s v="Delivered"/>
    <m/>
    <n v="1"/>
    <n v="2"/>
    <n v="2025"/>
    <n v="5"/>
    <n v="2025"/>
    <n v="0.7029855584589243"/>
    <x v="193"/>
    <d v="2025-02-24T16:17:19"/>
    <x v="233"/>
    <s v="Paid"/>
    <d v="2025-05-15T00:00:00"/>
    <s v="PO-039100"/>
    <x v="26"/>
    <x v="1"/>
    <n v="12206.666121010217"/>
    <n v="8581.11"/>
    <n v="0.70298555845892441"/>
    <n v="0"/>
    <n v="-8581.11"/>
    <s v=""/>
    <n v="0"/>
    <x v="0"/>
    <x v="0"/>
    <s v="Pend"/>
    <s v="Pend"/>
  </r>
  <r>
    <n v="1"/>
    <s v="SO16665"/>
    <s v="4501118327"/>
    <s v="INV12760"/>
    <s v="Barrick Gold - Pueblo Viejo Dominicana Corporation"/>
    <d v="2025-02-24T18:09:03"/>
    <d v="2025-02-24T18:09:41"/>
    <d v="2025-03-11T00:00:00"/>
    <s v="Jeff Bell"/>
    <s v="USD"/>
    <n v="0.70296853684155547"/>
    <n v="3907.4579530137848"/>
    <n v="0"/>
    <n v="2746.82"/>
    <n v="2746.82"/>
    <m/>
    <n v="2746.82"/>
    <s v="Delivered"/>
    <m/>
    <n v="1"/>
    <n v="2"/>
    <n v="2025"/>
    <n v="5"/>
    <n v="2025"/>
    <n v="0.70296853684155558"/>
    <x v="194"/>
    <d v="2025-02-24T18:09:03"/>
    <x v="234"/>
    <s v="Paid"/>
    <d v="2025-05-08T00:00:00"/>
    <s v="4501118327"/>
    <x v="15"/>
    <x v="1"/>
    <n v="3907.4579530137853"/>
    <n v="2746.82"/>
    <n v="0.70296853684155547"/>
    <n v="0"/>
    <n v="-2746.82"/>
    <s v=""/>
    <n v="0"/>
    <x v="0"/>
    <x v="0"/>
    <s v="Pend"/>
    <s v="Pend"/>
  </r>
  <r>
    <n v="1"/>
    <s v="SO16666"/>
    <s v="6824"/>
    <s v="INV12687"/>
    <s v="Hyperflo"/>
    <d v="2025-02-25T09:15:37"/>
    <d v="2025-02-26T11:25:09"/>
    <d v="2025-02-27T00:00:00"/>
    <s v="Ian Trottier"/>
    <s v="CAD"/>
    <n v="1"/>
    <n v="477.52"/>
    <n v="0"/>
    <n v="332.79285313209579"/>
    <n v="454.78"/>
    <n v="22.74"/>
    <n v="477.52"/>
    <s v="Delivered"/>
    <m/>
    <n v="1"/>
    <n v="2"/>
    <n v="2025"/>
    <n v="4"/>
    <n v="2025"/>
    <n v="0.69691919319001461"/>
    <x v="195"/>
    <d v="2025-02-25T09:15:37"/>
    <x v="235"/>
    <s v="Paid"/>
    <d v="2025-04-04T00:00:00"/>
    <s v="6824"/>
    <x v="5"/>
    <x v="0"/>
    <n v="454.78"/>
    <n v="316.94491067895484"/>
    <n v="0.69691919319001461"/>
    <n v="-454.78"/>
    <n v="0"/>
    <n v="0"/>
    <s v=""/>
    <x v="0"/>
    <x v="0"/>
    <s v="Pend"/>
    <s v="Pend"/>
  </r>
  <r>
    <n v="1"/>
    <s v="SO16667"/>
    <s v="M-083580"/>
    <s v="INV12673"/>
    <s v="Grant Aggregate"/>
    <d v="2025-02-25T09:26:47"/>
    <d v="2025-02-25T10:37:28"/>
    <d v="2025-02-25T00:00:00"/>
    <s v="Ian Trottier"/>
    <s v="CAD"/>
    <n v="1"/>
    <n v="132.66"/>
    <n v="0"/>
    <n v="92.7634808680167"/>
    <n v="117.4"/>
    <n v="15.26"/>
    <n v="132.66"/>
    <s v="Delivered"/>
    <m/>
    <n v="1"/>
    <n v="2"/>
    <n v="2025"/>
    <n v="3"/>
    <n v="2025"/>
    <n v="0.69925735615872686"/>
    <x v="196"/>
    <d v="2025-02-25T09:26:47"/>
    <x v="236"/>
    <s v="Paid"/>
    <d v="2025-03-10T00:00:00"/>
    <s v="M-083580"/>
    <x v="9"/>
    <x v="0"/>
    <n v="117.4"/>
    <n v="82.092813613034537"/>
    <n v="0.69925735615872686"/>
    <n v="-117.4"/>
    <n v="0"/>
    <n v="0"/>
    <s v=""/>
    <x v="0"/>
    <x v="0"/>
    <s v="Pend"/>
    <s v="Pend"/>
  </r>
  <r>
    <n v="1"/>
    <s v="SO16668"/>
    <s v="PO-007788"/>
    <s v="INV12792"/>
    <s v="Sling-Choker Manufacturing - Timmins"/>
    <d v="2025-02-25T09:33:22"/>
    <d v="2025-02-26T10:18:21"/>
    <d v="2025-02-27T00:00:00"/>
    <s v="Ian Trottier"/>
    <s v="CAD"/>
    <n v="1"/>
    <n v="334.54"/>
    <n v="0"/>
    <n v="233.1473468897876"/>
    <n v="296.05"/>
    <n v="38.49"/>
    <n v="334.54"/>
    <s v="Delivered"/>
    <m/>
    <n v="1"/>
    <n v="2"/>
    <n v="2025"/>
    <n v="4"/>
    <n v="2025"/>
    <n v="0.69691919319001494"/>
    <x v="197"/>
    <d v="2025-02-25T09:33:22"/>
    <x v="237"/>
    <s v="Paid"/>
    <d v="2025-04-30T00:00:00"/>
    <s v="PO-007788"/>
    <x v="3"/>
    <x v="0"/>
    <n v="296.05"/>
    <n v="206.32292714390394"/>
    <n v="0.69691919319001494"/>
    <n v="-296.05"/>
    <n v="0"/>
    <n v="0"/>
    <s v=""/>
    <x v="0"/>
    <x v="0"/>
    <s v="Pend"/>
    <s v="Pend"/>
  </r>
  <r>
    <n v="1"/>
    <s v="SO16669"/>
    <s v="4501118996"/>
    <s v="INV12764"/>
    <s v="Barrick Gold - Pueblo Viejo Dominicana Corporation"/>
    <d v="2025-02-25T09:44:00"/>
    <d v="2025-02-25T09:45:00"/>
    <d v="2025-03-12T00:00:00"/>
    <s v="Jeff Bell"/>
    <s v="USD"/>
    <n v="0.70298555845892441"/>
    <n v="1249.854978423911"/>
    <n v="0"/>
    <n v="878.63"/>
    <n v="878.63"/>
    <m/>
    <n v="878.63"/>
    <s v="Delivered"/>
    <m/>
    <n v="1"/>
    <n v="2"/>
    <n v="2025"/>
    <n v="5"/>
    <n v="2025"/>
    <n v="0.70298555845892441"/>
    <x v="198"/>
    <d v="2025-02-25T09:44:00"/>
    <x v="238"/>
    <s v="Paid"/>
    <d v="2025-05-09T00:00:00"/>
    <s v="4501118996"/>
    <x v="15"/>
    <x v="1"/>
    <n v="1249.854978423911"/>
    <n v="878.63"/>
    <n v="0.70298555845892441"/>
    <n v="0"/>
    <n v="-878.63"/>
    <s v=""/>
    <n v="0"/>
    <x v="0"/>
    <x v="0"/>
    <s v="Pend"/>
    <s v="Pend"/>
  </r>
  <r>
    <n v="1"/>
    <s v="SO16671"/>
    <s v="129836"/>
    <s v="INV13192"/>
    <s v="Cypress Sales Partnership"/>
    <d v="2025-02-25T14:44:46"/>
    <d v="2025-02-27T11:42:59"/>
    <d v="2025-07-31T00:00:00"/>
    <s v="Ian Trottier"/>
    <s v="CAD"/>
    <n v="1"/>
    <n v="4167.47"/>
    <n v="0"/>
    <n v="2889.986309079869"/>
    <n v="3969.02"/>
    <n v="198.45"/>
    <n v="4167.47"/>
    <s v="Delivered"/>
    <m/>
    <n v="1"/>
    <n v="2"/>
    <n v="2025"/>
    <n v="9"/>
    <n v="2025"/>
    <n v="0.69346301450997094"/>
    <x v="199"/>
    <d v="2025-02-25T14:44:46"/>
    <x v="239"/>
    <s v="Paid"/>
    <d v="2025-09-12T00:00:00"/>
    <s v="129836"/>
    <x v="70"/>
    <x v="0"/>
    <n v="3969.02"/>
    <n v="2752.368573850365"/>
    <n v="0.69346301450997094"/>
    <n v="-3969.02"/>
    <n v="0"/>
    <n v="0"/>
    <s v=""/>
    <x v="0"/>
    <x v="0"/>
    <s v="Pend"/>
    <s v="Pend"/>
  </r>
  <r>
    <n v="1"/>
    <s v="SO16672"/>
    <s v="4500583205"/>
    <s v="INV12678"/>
    <s v="Resolute Forest Products - Kenogami"/>
    <d v="2025-02-25T15:20:49"/>
    <d v="2025-02-25T15:38:22"/>
    <d v="2025-02-28T00:00:00"/>
    <s v="Ian Trottier"/>
    <s v="CAD"/>
    <n v="1"/>
    <n v="986.77"/>
    <n v="0"/>
    <n v="690.00618133674686"/>
    <n v="939.78"/>
    <n v="46.99"/>
    <n v="986.77"/>
    <s v="Delivered"/>
    <m/>
    <n v="1"/>
    <n v="2"/>
    <n v="2025"/>
    <n v="4"/>
    <n v="2025"/>
    <n v="0.69925735615872686"/>
    <x v="200"/>
    <d v="2025-02-25T15:20:49"/>
    <x v="240"/>
    <s v="Paid"/>
    <d v="2025-04-25T00:00:00"/>
    <s v="4500583205"/>
    <x v="17"/>
    <x v="0"/>
    <n v="939.78"/>
    <n v="657.14807817084829"/>
    <n v="0.69925735615872686"/>
    <n v="-939.78"/>
    <n v="0"/>
    <n v="0"/>
    <s v=""/>
    <x v="0"/>
    <x v="0"/>
    <s v="Pend"/>
    <s v="Pend"/>
  </r>
  <r>
    <n v="1"/>
    <s v="SO16673"/>
    <s v="2100518557"/>
    <s v="INV12716"/>
    <s v="Wajax Limited - Noranda"/>
    <d v="2025-02-25T16:42:47"/>
    <d v="2025-02-26T11:00:17"/>
    <d v="2025-03-19T00:00:00"/>
    <s v="Ian Trottier"/>
    <s v="CAD"/>
    <n v="1"/>
    <n v="1280.96"/>
    <n v="0"/>
    <n v="892.72560970868142"/>
    <n v="1219.96"/>
    <n v="61"/>
    <n v="1280.96"/>
    <s v="Delivered"/>
    <m/>
    <n v="1"/>
    <n v="2"/>
    <n v="2025"/>
    <n v="4"/>
    <n v="2025"/>
    <n v="0.69691919319001483"/>
    <x v="201"/>
    <d v="2025-02-25T16:42:47"/>
    <x v="241"/>
    <s v="Paid"/>
    <d v="2025-04-16T00:00:00"/>
    <s v="2100518557"/>
    <x v="35"/>
    <x v="0"/>
    <n v="1219.96"/>
    <n v="850.21353892409047"/>
    <n v="0.69691919319001483"/>
    <n v="-1219.96"/>
    <n v="0"/>
    <n v="0"/>
    <s v=""/>
    <x v="0"/>
    <x v="0"/>
    <s v="Pend"/>
    <s v="Pend"/>
  </r>
  <r>
    <n v="1"/>
    <s v="SO16674"/>
    <s v="4501119302"/>
    <s v="INV12763"/>
    <s v="Barrick Gold - Pueblo Viejo Dominicana Corporation"/>
    <d v="2025-02-25T16:43:43"/>
    <d v="2025-02-25T16:44:36"/>
    <d v="2025-02-25T00:00:00"/>
    <s v="Jeff Bell"/>
    <s v="USD"/>
    <n v="0.70298555845892441"/>
    <n v="45278.654187118482"/>
    <n v="0"/>
    <n v="31830.240000000002"/>
    <n v="31830.240000000002"/>
    <m/>
    <n v="31830.240000000002"/>
    <s v="Delivered"/>
    <m/>
    <n v="1"/>
    <n v="2"/>
    <n v="2025"/>
    <n v="5"/>
    <n v="2025"/>
    <n v="0.70298555845892441"/>
    <x v="202"/>
    <d v="2025-02-25T16:43:43"/>
    <x v="242"/>
    <s v="Paid"/>
    <d v="2025-05-09T00:00:00"/>
    <s v="4501119302"/>
    <x v="15"/>
    <x v="1"/>
    <n v="45278.654187118482"/>
    <n v="31830.240000000002"/>
    <n v="0.70298555845892441"/>
    <n v="0"/>
    <n v="-31830.240000000002"/>
    <s v=""/>
    <n v="0"/>
    <x v="0"/>
    <x v="0"/>
    <s v="Pend"/>
    <s v="Pend"/>
  </r>
  <r>
    <n v="1"/>
    <s v="SO16676"/>
    <s v="4500057458"/>
    <s v="INV12727"/>
    <s v="Alamos Gold Inc, Alamos Gold Inc Island Gold Division"/>
    <d v="2025-02-26T09:59:50"/>
    <d v="2025-02-27T15:36:38"/>
    <d v="2025-03-10T00:00:00"/>
    <s v="Ian Trottier"/>
    <s v="CAD"/>
    <n v="1"/>
    <n v="1392.37"/>
    <n v="0"/>
    <n v="965.55709751324798"/>
    <n v="1232.19"/>
    <n v="160.18"/>
    <n v="1392.37"/>
    <s v="Delivered"/>
    <m/>
    <n v="1"/>
    <n v="2"/>
    <n v="2025"/>
    <n v="4"/>
    <n v="2025"/>
    <n v="0.69346301450997083"/>
    <x v="203"/>
    <d v="2025-02-26T09:59:50"/>
    <x v="243"/>
    <s v="Paid"/>
    <d v="2025-04-07T00:00:00"/>
    <s v="4500057458"/>
    <x v="2"/>
    <x v="0"/>
    <n v="1232.19"/>
    <n v="854.47819184904097"/>
    <n v="0.69346301450997083"/>
    <n v="-1232.19"/>
    <n v="0"/>
    <n v="0"/>
    <s v=""/>
    <x v="0"/>
    <x v="0"/>
    <s v="Pend"/>
    <s v="Pend"/>
  </r>
  <r>
    <n v="1"/>
    <s v="SO16677"/>
    <s v="4500583340"/>
    <s v="INV13004"/>
    <s v="Resolute Forest Products - Saint-Felicien"/>
    <d v="2025-02-26T10:08:26"/>
    <d v="2025-05-20T16:02:43"/>
    <d v="2025-05-21T00:00:00"/>
    <s v="Ian Trottier"/>
    <s v="CAD"/>
    <n v="1"/>
    <n v="297.61"/>
    <n v="0"/>
    <n v="213.44336232893241"/>
    <n v="283.44"/>
    <n v="14.17"/>
    <n v="297.61"/>
    <s v="Delivered"/>
    <m/>
    <n v="1"/>
    <n v="2"/>
    <n v="2025"/>
    <n v="7"/>
    <n v="2025"/>
    <n v="0.71719150004681431"/>
    <x v="204"/>
    <d v="2025-02-26T10:08:26"/>
    <x v="244"/>
    <s v="Paid"/>
    <d v="2025-07-18T00:00:00"/>
    <s v="4500583340"/>
    <x v="46"/>
    <x v="0"/>
    <n v="283.44"/>
    <n v="203.28075877326904"/>
    <n v="0.71719150004681431"/>
    <n v="-283.44"/>
    <n v="0"/>
    <n v="0"/>
    <s v=""/>
    <x v="0"/>
    <x v="0"/>
    <s v="Pend"/>
    <s v="Pend"/>
  </r>
  <r>
    <n v="2"/>
    <s v="SO16679"/>
    <s v="4501409436"/>
    <s v="INV13003"/>
    <s v="ARYA OILFIELD AND NATURAL GAS EQUIPMENT AND SPARE PARTS TRADING L.L.C"/>
    <d v="2025-02-26T12:00:08"/>
    <d v="2025-05-22T23:00:00"/>
    <d v="2025-07-18T00:00:00"/>
    <s v="Alexis Gil Lamadrid"/>
    <s v="USD"/>
    <n v="0.72679928805504312"/>
    <n v="39478.216987228247"/>
    <n v="0"/>
    <n v="28692.74"/>
    <n v="28692.74"/>
    <m/>
    <n v="28692.74"/>
    <s v="Delivered"/>
    <m/>
    <n v="2"/>
    <n v="2"/>
    <n v="2025"/>
    <n v="7"/>
    <n v="2025"/>
    <n v="0.72679928805504324"/>
    <x v="205"/>
    <d v="2025-02-26T12:00:08"/>
    <x v="245"/>
    <s v="Paid"/>
    <d v="2025-07-15T00:00:00"/>
    <s v="4501409436"/>
    <x v="71"/>
    <x v="1"/>
    <n v="39478.216987228247"/>
    <n v="28692.74"/>
    <n v="0.72679928805504324"/>
    <n v="0"/>
    <n v="-28692.74"/>
    <s v=""/>
    <n v="0"/>
    <x v="0"/>
    <x v="1"/>
    <s v="Yes"/>
    <s v="Pend"/>
  </r>
  <r>
    <m/>
    <m/>
    <m/>
    <s v="INV13003"/>
    <m/>
    <m/>
    <m/>
    <m/>
    <m/>
    <m/>
    <m/>
    <m/>
    <m/>
    <m/>
    <m/>
    <m/>
    <m/>
    <m/>
    <m/>
    <n v="2"/>
    <n v="2"/>
    <n v="2025"/>
    <n v="7"/>
    <n v="2025"/>
    <n v="0.72679928805504324"/>
    <x v="205"/>
    <d v="2025-02-26T12:00:08"/>
    <x v="245"/>
    <s v="Paid"/>
    <d v="2025-07-15T00:00:00"/>
    <s v="4501409436"/>
    <x v="71"/>
    <x v="1"/>
    <n v="0"/>
    <n v="0"/>
    <n v="0"/>
    <n v="0"/>
    <m/>
    <s v=""/>
    <n v="0"/>
    <x v="0"/>
    <x v="1"/>
    <s v="Yes"/>
    <s v="Pend"/>
  </r>
  <r>
    <n v="1"/>
    <s v="SO16680"/>
    <s v="2083"/>
    <s v="INV12989"/>
    <s v="FMI Products"/>
    <d v="2025-02-26T15:04:11"/>
    <d v="2025-05-15T09:53:26"/>
    <d v="2025-05-16T00:00:00"/>
    <s v="Ian Trottier"/>
    <s v="CAD"/>
    <n v="1"/>
    <n v="123.03"/>
    <n v="0"/>
    <n v="87.941909047642014"/>
    <n v="117.17"/>
    <n v="5.86"/>
    <n v="123.03"/>
    <s v="Delivered"/>
    <m/>
    <n v="1"/>
    <n v="2"/>
    <n v="2025"/>
    <n v="6"/>
    <n v="2025"/>
    <n v="0.7148005287136634"/>
    <x v="206"/>
    <d v="2025-02-26T15:04:11"/>
    <x v="246"/>
    <s v="Paid"/>
    <d v="2025-06-12T00:00:00"/>
    <s v="2083"/>
    <x v="18"/>
    <x v="0"/>
    <n v="117.17"/>
    <n v="83.753177949379946"/>
    <n v="0.7148005287136634"/>
    <n v="-117.17"/>
    <n v="0"/>
    <n v="0"/>
    <s v=""/>
    <x v="0"/>
    <x v="0"/>
    <s v="Pend"/>
    <s v="Pend"/>
  </r>
  <r>
    <n v="1"/>
    <s v="SO16682"/>
    <s v="PO09111"/>
    <s v="INV12719"/>
    <s v="Tantalum Mining Corporation of Canada"/>
    <d v="2025-02-26T17:07:27"/>
    <d v="2025-03-06T17:06:44"/>
    <d v="2025-03-07T00:00:00"/>
    <s v="Ian Trottier"/>
    <s v="CAD"/>
    <n v="1"/>
    <n v="1945.71"/>
    <n v="0"/>
    <n v="1362.5781860617219"/>
    <n v="1853.06"/>
    <n v="92.65"/>
    <n v="1945.71"/>
    <s v="Delivered"/>
    <m/>
    <n v="1"/>
    <n v="2"/>
    <n v="2025"/>
    <n v="4"/>
    <n v="2025"/>
    <n v="0.70029870127702576"/>
    <x v="207"/>
    <d v="2025-02-26T17:07:27"/>
    <x v="247"/>
    <s v="Paid"/>
    <d v="2025-04-10T00:00:00"/>
    <s v="PO09111"/>
    <x v="20"/>
    <x v="0"/>
    <n v="1853.06"/>
    <n v="1297.6955113884053"/>
    <n v="0.70029870127702576"/>
    <n v="-1853.06"/>
    <n v="0"/>
    <n v="0"/>
    <s v=""/>
    <x v="0"/>
    <x v="0"/>
    <s v="Pend"/>
    <s v="Pend"/>
  </r>
  <r>
    <n v="1"/>
    <s v="SO16683"/>
    <s v="4500583568"/>
    <s v="INV12698"/>
    <s v="Resolute Forest Products - Dolbeau"/>
    <d v="2025-02-27T10:02:13"/>
    <d v="2025-02-28T10:02:13"/>
    <d v="2025-03-05T00:00:00"/>
    <s v="Ian Trottier"/>
    <s v="CAD"/>
    <n v="1"/>
    <n v="232.41"/>
    <n v="0"/>
    <n v="161.015002269375"/>
    <n v="221.34"/>
    <n v="11.07"/>
    <n v="232.41"/>
    <s v="Delivered"/>
    <m/>
    <n v="1"/>
    <n v="2"/>
    <n v="2025"/>
    <n v="5"/>
    <n v="2025"/>
    <n v="0.69280582707015625"/>
    <x v="208"/>
    <d v="2025-02-27T10:02:13"/>
    <x v="248"/>
    <s v="Paid"/>
    <d v="2025-05-02T00:00:00"/>
    <s v="4500583568"/>
    <x v="55"/>
    <x v="0"/>
    <n v="221.34"/>
    <n v="153.34564176370839"/>
    <n v="0.69280582707015625"/>
    <n v="-221.34"/>
    <n v="0"/>
    <n v="0"/>
    <s v=""/>
    <x v="0"/>
    <x v="0"/>
    <s v="Pend"/>
    <s v="Pend"/>
  </r>
  <r>
    <n v="1"/>
    <s v="SO16685"/>
    <s v="4500564240"/>
    <s v="INV12709"/>
    <s v="Glencore Canada Corporation"/>
    <d v="2025-02-27T11:00:34"/>
    <d v="2025-02-27T11:31:59"/>
    <d v="2025-02-28T00:00:00"/>
    <s v="Ian Trottier"/>
    <s v="CAD"/>
    <n v="1"/>
    <n v="3900.85"/>
    <n v="0"/>
    <n v="2705.0952001512201"/>
    <n v="3715.09"/>
    <n v="185.76"/>
    <n v="3900.85"/>
    <s v="Delivered"/>
    <m/>
    <n v="1"/>
    <n v="2"/>
    <n v="2025"/>
    <n v="3"/>
    <n v="2025"/>
    <n v="0.69346301450997094"/>
    <x v="209"/>
    <d v="2025-02-27T11:00:34"/>
    <x v="249"/>
    <s v="Paid"/>
    <d v="2025-03-21T00:00:00"/>
    <s v="4500564240"/>
    <x v="72"/>
    <x v="0"/>
    <n v="3715.09"/>
    <n v="2576.2775105758478"/>
    <n v="0.69346301450997083"/>
    <n v="-3715.09"/>
    <n v="0"/>
    <n v="0"/>
    <s v=""/>
    <x v="0"/>
    <x v="0"/>
    <s v="Pend"/>
    <s v="Pend"/>
  </r>
  <r>
    <n v="1"/>
    <s v="SO16687"/>
    <s v="Cory Brown -  Order - Paid in full on March 14th"/>
    <s v="INV12896"/>
    <s v="Norsearch Industries (2002)Ltd"/>
    <d v="2025-02-27T12:19:19"/>
    <d v="2025-03-14T14:38:27"/>
    <d v="2025-04-18T00:00:00"/>
    <s v="Ian Trottier"/>
    <s v="CAD"/>
    <n v="1"/>
    <n v="11384.16"/>
    <n v="0"/>
    <n v="7916.2056228353849"/>
    <n v="10842.06"/>
    <n v="542.1"/>
    <n v="11384.16"/>
    <s v="Delivered"/>
    <m/>
    <n v="1"/>
    <n v="2"/>
    <n v="2025"/>
    <n v="4"/>
    <n v="2025"/>
    <n v="0.69537020059761856"/>
    <x v="210"/>
    <d v="2025-02-27T12:19:19"/>
    <x v="250"/>
    <s v="Paid"/>
    <d v="2025-04-22T00:00:00"/>
    <s v="Cory Brown -  Order - Paid in full on March 14th"/>
    <x v="73"/>
    <x v="0"/>
    <n v="10842.06"/>
    <n v="7539.2454370914156"/>
    <n v="0.69537020059761856"/>
    <n v="-10842.06"/>
    <n v="0"/>
    <n v="0"/>
    <s v=""/>
    <x v="0"/>
    <x v="0"/>
    <s v="Pend"/>
    <s v="Pend"/>
  </r>
  <r>
    <n v="3"/>
    <s v="SO16692"/>
    <s v="PO-007796"/>
    <s v="INV12807"/>
    <s v="Sling-Choker Manufacturing - Timmins"/>
    <d v="2025-02-28T09:20:36"/>
    <d v="2025-02-28T16:05:44"/>
    <d v="2025-03-03T00:00:00"/>
    <s v="Ian Trottier"/>
    <s v="CAD"/>
    <n v="1"/>
    <n v="3852.97"/>
    <n v="0"/>
    <n v="2669.3600675264988"/>
    <n v="3409.71"/>
    <n v="443.26"/>
    <n v="3852.97"/>
    <s v="Delivered"/>
    <m/>
    <n v="3"/>
    <n v="2"/>
    <n v="2025"/>
    <n v="5"/>
    <n v="2025"/>
    <n v="0.69280582707015603"/>
    <x v="211"/>
    <d v="2025-02-28T09:20:36"/>
    <x v="251"/>
    <s v="Paid"/>
    <d v="2025-05-07T00:00:00"/>
    <s v="PO-007796"/>
    <x v="3"/>
    <x v="0"/>
    <n v="3409.71"/>
    <n v="2362.2669566193817"/>
    <n v="0.69280582707015603"/>
    <n v="-19.89"/>
    <n v="0"/>
    <n v="3389.82"/>
    <s v=""/>
    <x v="0"/>
    <x v="1"/>
    <s v="Yes"/>
    <s v="Pend"/>
  </r>
  <r>
    <m/>
    <m/>
    <m/>
    <s v="INV12793"/>
    <m/>
    <m/>
    <m/>
    <m/>
    <m/>
    <m/>
    <m/>
    <m/>
    <m/>
    <m/>
    <m/>
    <m/>
    <m/>
    <m/>
    <m/>
    <n v="3"/>
    <n v="2"/>
    <n v="2025"/>
    <n v="4"/>
    <n v="2025"/>
    <n v="0.69280582707015603"/>
    <x v="211"/>
    <d v="2025-02-28T09:20:36"/>
    <x v="252"/>
    <s v="Paid"/>
    <d v="2025-04-30T00:00:00"/>
    <s v="PO-007796"/>
    <x v="3"/>
    <x v="0"/>
    <n v="0"/>
    <n v="0"/>
    <n v="0"/>
    <n v="-2175.21"/>
    <n v="0"/>
    <n v="-2175.21"/>
    <s v=""/>
    <x v="0"/>
    <x v="1"/>
    <s v="Yes"/>
    <s v="Pend"/>
  </r>
  <r>
    <m/>
    <m/>
    <m/>
    <s v="INV12853"/>
    <m/>
    <m/>
    <m/>
    <m/>
    <m/>
    <m/>
    <m/>
    <m/>
    <m/>
    <m/>
    <m/>
    <m/>
    <m/>
    <m/>
    <m/>
    <n v="3"/>
    <n v="2"/>
    <n v="2025"/>
    <n v="5"/>
    <n v="2025"/>
    <n v="0.69280582707015603"/>
    <x v="211"/>
    <d v="2025-02-28T09:20:36"/>
    <x v="253"/>
    <s v="Paid"/>
    <d v="2025-05-21T00:00:00"/>
    <s v="PO-007796"/>
    <x v="3"/>
    <x v="0"/>
    <n v="0"/>
    <n v="0"/>
    <n v="0"/>
    <n v="-1214.6099999999999"/>
    <n v="0"/>
    <n v="-1214.6099999999999"/>
    <s v=""/>
    <x v="0"/>
    <x v="1"/>
    <s v="Yes"/>
    <s v="Pend"/>
  </r>
  <r>
    <n v="2"/>
    <s v="SO16693"/>
    <s v="P354000"/>
    <s v="INV12734"/>
    <s v="Covia Corp - Blue Mountain"/>
    <d v="2025-02-28T11:11:49"/>
    <d v="2025-02-28T11:09:34"/>
    <d v="2025-06-06T00:00:00"/>
    <s v="Marlen Martinez"/>
    <s v="USD"/>
    <n v="0.69691919319001483"/>
    <n v="13417.26571942828"/>
    <n v="0"/>
    <n v="9350.75"/>
    <n v="8275"/>
    <n v="1075.75"/>
    <n v="9350.75"/>
    <s v="Delivered"/>
    <m/>
    <n v="2"/>
    <n v="2"/>
    <n v="2025"/>
    <n v="6"/>
    <n v="2025"/>
    <n v="0.69691919319001472"/>
    <x v="212"/>
    <d v="2025-02-28T11:11:49"/>
    <x v="254"/>
    <s v="Paid"/>
    <d v="2025-06-14T00:00:00"/>
    <s v="P354000"/>
    <x v="74"/>
    <x v="1"/>
    <n v="11873.686477370158"/>
    <n v="8275"/>
    <n v="0.69691919319001483"/>
    <n v="0"/>
    <n v="-5509"/>
    <s v=""/>
    <n v="2766"/>
    <x v="0"/>
    <x v="1"/>
    <n v="0"/>
    <s v="Pend"/>
  </r>
  <r>
    <m/>
    <m/>
    <m/>
    <s v="INV13075"/>
    <m/>
    <m/>
    <m/>
    <m/>
    <m/>
    <m/>
    <m/>
    <m/>
    <m/>
    <m/>
    <m/>
    <m/>
    <m/>
    <m/>
    <m/>
    <n v="2"/>
    <n v="2"/>
    <n v="2025"/>
    <n v="9"/>
    <n v="2025"/>
    <n v="0.69691919319001472"/>
    <x v="212"/>
    <d v="2025-02-28T11:11:49"/>
    <x v="255"/>
    <s v="Paid"/>
    <d v="2025-09-13T00:00:00"/>
    <s v="P354000"/>
    <x v="74"/>
    <x v="1"/>
    <n v="0"/>
    <n v="0"/>
    <n v="0"/>
    <n v="0"/>
    <n v="-3048.65"/>
    <s v=""/>
    <n v="-3048.65"/>
    <x v="0"/>
    <x v="1"/>
    <n v="0"/>
    <s v="Yes"/>
  </r>
  <r>
    <n v="1"/>
    <s v="SO16694"/>
    <s v="4500583779"/>
    <s v="INV12775"/>
    <s v="Resolute Forest Products - Saint-Felicien"/>
    <d v="2025-02-28T12:22:56"/>
    <d v="2025-02-28T12:22:56"/>
    <d v="2025-03-21T00:00:00"/>
    <s v="Ian Trottier"/>
    <s v="CAD"/>
    <n v="1"/>
    <n v="2045.52"/>
    <n v="0"/>
    <n v="1417.148175388546"/>
    <n v="1948.11"/>
    <n v="97.41"/>
    <n v="2045.52"/>
    <s v="Delivered"/>
    <m/>
    <n v="1"/>
    <n v="2"/>
    <n v="2025"/>
    <n v="5"/>
    <n v="2025"/>
    <n v="0.69280582707015625"/>
    <x v="213"/>
    <d v="2025-02-28T12:22:56"/>
    <x v="256"/>
    <s v="Paid"/>
    <d v="2025-05-23T00:00:00"/>
    <s v="4500583779"/>
    <x v="46"/>
    <x v="0"/>
    <n v="1948.11"/>
    <n v="1349.6619597736421"/>
    <n v="0.69280582707015625"/>
    <n v="-1948.11"/>
    <n v="0"/>
    <n v="0"/>
    <s v=""/>
    <x v="0"/>
    <x v="0"/>
    <s v="Pend"/>
    <s v="Pend"/>
  </r>
  <r>
    <n v="1"/>
    <s v="SO16696"/>
    <s v="5355643"/>
    <s v="INV12767"/>
    <s v="Corrosion Fluid Products Corp."/>
    <d v="2025-02-28T14:20:28"/>
    <d v="2025-03-20T09:52:54"/>
    <d v="2025-03-21T00:00:00"/>
    <s v="Ian Trottier"/>
    <s v="USD"/>
    <n v="0.69777964949161275"/>
    <n v="182.0632059025491"/>
    <n v="0"/>
    <n v="127.04"/>
    <n v="127.04"/>
    <m/>
    <n v="127.04"/>
    <s v="Delivered"/>
    <m/>
    <n v="1"/>
    <n v="2"/>
    <n v="2025"/>
    <n v="4"/>
    <n v="2025"/>
    <n v="0.69777964949161264"/>
    <x v="214"/>
    <d v="2025-02-28T14:20:28"/>
    <x v="257"/>
    <s v="Paid"/>
    <d v="2025-04-24T00:00:00"/>
    <s v="5355643"/>
    <x v="19"/>
    <x v="1"/>
    <n v="182.06320590254907"/>
    <n v="127.04"/>
    <n v="0.69777964949161275"/>
    <n v="0"/>
    <n v="-127.04"/>
    <s v=""/>
    <n v="0"/>
    <x v="0"/>
    <x v="0"/>
    <s v="Pend"/>
    <s v="Pend"/>
  </r>
  <r>
    <n v="1"/>
    <s v="SO16698"/>
    <s v="C002967100"/>
    <s v="INV12730"/>
    <s v="Glencore Canada Corporation Closed Sites"/>
    <d v="2025-02-28T16:56:10"/>
    <d v="2025-03-12T10:04:04"/>
    <d v="2025-03-14T00:00:00"/>
    <s v="Ian Trottier"/>
    <s v="CAD"/>
    <n v="1"/>
    <n v="2197.21"/>
    <n v="0"/>
    <n v="1525.8465398041619"/>
    <n v="2092.58"/>
    <n v="104.63"/>
    <n v="2197.21"/>
    <s v="Delivered"/>
    <m/>
    <n v="1"/>
    <n v="2"/>
    <n v="2025"/>
    <n v="4"/>
    <n v="2025"/>
    <n v="0.69444729443437903"/>
    <x v="215"/>
    <d v="2025-02-28T16:56:10"/>
    <x v="258"/>
    <s v="Paid"/>
    <d v="2025-04-10T00:00:00"/>
    <s v="C002967100"/>
    <x v="75"/>
    <x v="0"/>
    <n v="2092.58"/>
    <n v="1453.1865193874928"/>
    <n v="0.69444729443437903"/>
    <n v="-2092.58"/>
    <n v="0"/>
    <n v="0"/>
    <s v=""/>
    <x v="0"/>
    <x v="0"/>
    <s v="Pend"/>
    <s v="Pend"/>
  </r>
  <r>
    <n v="2"/>
    <s v="SO16703"/>
    <s v="6847"/>
    <s v="INV13091"/>
    <s v="Hyperflo"/>
    <d v="2025-03-03T12:21:23"/>
    <d v="2025-03-03T12:30:14"/>
    <d v="2025-03-31T00:00:00"/>
    <s v="Ian Trottier"/>
    <s v="CAD"/>
    <n v="1"/>
    <n v="663.2"/>
    <n v="0"/>
    <n v="460.5225457113566"/>
    <n v="631.62"/>
    <n v="31.58"/>
    <n v="663.2"/>
    <s v="Delivered"/>
    <m/>
    <n v="2"/>
    <n v="3"/>
    <n v="2025"/>
    <n v="8"/>
    <n v="2025"/>
    <n v="0.69439467085548334"/>
    <x v="216"/>
    <d v="2025-03-03T12:21:23"/>
    <x v="259"/>
    <s v="Paid"/>
    <d v="2025-08-04T00:00:00"/>
    <s v="6847"/>
    <x v="5"/>
    <x v="0"/>
    <n v="631.62"/>
    <n v="438.59356200574041"/>
    <n v="0.69439467085548334"/>
    <n v="-537.73"/>
    <n v="0"/>
    <n v="93.889999999999986"/>
    <s v=""/>
    <x v="0"/>
    <x v="1"/>
    <s v="Yes"/>
    <s v="Pend"/>
  </r>
  <r>
    <m/>
    <m/>
    <m/>
    <s v="INV12721"/>
    <m/>
    <m/>
    <m/>
    <m/>
    <m/>
    <m/>
    <m/>
    <m/>
    <m/>
    <m/>
    <m/>
    <m/>
    <m/>
    <m/>
    <m/>
    <n v="2"/>
    <n v="3"/>
    <n v="2025"/>
    <n v="4"/>
    <n v="2025"/>
    <n v="0.69439467085548334"/>
    <x v="216"/>
    <d v="2025-03-03T12:21:23"/>
    <x v="260"/>
    <s v="Paid"/>
    <d v="2025-04-29T00:00:00"/>
    <s v="6847"/>
    <x v="5"/>
    <x v="0"/>
    <n v="0"/>
    <n v="0"/>
    <n v="0"/>
    <n v="-93.89"/>
    <n v="0"/>
    <n v="-93.89"/>
    <s v=""/>
    <x v="0"/>
    <x v="1"/>
    <s v="Yes"/>
    <s v="Pend"/>
  </r>
  <r>
    <n v="1"/>
    <s v="SO16704"/>
    <s v="Replacement Part for 63-01537"/>
    <s v="INV12702"/>
    <s v="Quality Concrete Inc."/>
    <d v="2025-03-03T12:41:04"/>
    <d v="2025-03-03T12:43:19"/>
    <d v="2023-03-11T00:00:00"/>
    <s v="Ian Trottier"/>
    <s v="CAD"/>
    <n v="1"/>
    <n v="0"/>
    <n v="0"/>
    <n v="0"/>
    <m/>
    <m/>
    <m/>
    <s v="Delivered"/>
    <m/>
    <n v="1"/>
    <n v="3"/>
    <n v="2025"/>
    <n v="1"/>
    <n v="1900"/>
    <e v="#DIV/0!"/>
    <x v="217"/>
    <d v="2025-03-03T12:41:04"/>
    <x v="261"/>
    <s v="Paid"/>
    <d v="1899-12-30T00:00:00"/>
    <s v="Replacement Part for 63-01537"/>
    <x v="43"/>
    <x v="0"/>
    <n v="0"/>
    <n v="0"/>
    <n v="0"/>
    <n v="0"/>
    <n v="0"/>
    <n v="0"/>
    <s v=""/>
    <x v="0"/>
    <x v="0"/>
    <s v="Pend"/>
    <s v="Pend"/>
  </r>
  <r>
    <n v="1"/>
    <s v="SO16705"/>
    <s v="PO-40-1013419"/>
    <s v="INV12699"/>
    <s v="Canadian Bearings Ltd."/>
    <d v="2025-03-03T14:55:39"/>
    <d v="2025-03-03T14:56:54"/>
    <d v="2025-03-05T00:00:00"/>
    <s v="Ian Trottier"/>
    <s v="CAD"/>
    <n v="1"/>
    <n v="283.87"/>
    <n v="0"/>
    <n v="197.11781521574599"/>
    <n v="270.35000000000002"/>
    <n v="13.52"/>
    <n v="283.87"/>
    <s v="Delivered"/>
    <m/>
    <n v="1"/>
    <n v="3"/>
    <n v="2025"/>
    <n v="4"/>
    <n v="2025"/>
    <n v="0.69439467085548312"/>
    <x v="218"/>
    <d v="2025-03-03T14:55:39"/>
    <x v="262"/>
    <s v="Paid"/>
    <d v="2025-04-10T00:00:00"/>
    <s v="PO-40-1013419"/>
    <x v="38"/>
    <x v="0"/>
    <n v="270.35000000000002"/>
    <n v="187.72959926577988"/>
    <n v="0.69439467085548312"/>
    <n v="-270.35000000000002"/>
    <n v="0"/>
    <n v="0"/>
    <s v=""/>
    <x v="0"/>
    <x v="0"/>
    <s v="Pend"/>
    <s v="Pend"/>
  </r>
  <r>
    <n v="1"/>
    <s v="SO16706"/>
    <s v="6911"/>
    <s v="INV12755"/>
    <s v="Hyperflo"/>
    <d v="2025-03-03T17:21:56"/>
    <d v="2025-03-18T11:36:40"/>
    <d v="2025-03-19T00:00:00"/>
    <s v="Ian Trottier"/>
    <s v="CAD"/>
    <n v="1"/>
    <n v="6899.97"/>
    <n v="0"/>
    <n v="4821.2009685891953"/>
    <n v="6571.4"/>
    <n v="328.57"/>
    <n v="6899.97"/>
    <s v="Delivered"/>
    <m/>
    <n v="1"/>
    <n v="3"/>
    <n v="2025"/>
    <n v="4"/>
    <n v="2025"/>
    <n v="0.69872781600343115"/>
    <x v="219"/>
    <d v="2025-03-03T17:21:56"/>
    <x v="263"/>
    <s v="Paid"/>
    <d v="2025-04-29T00:00:00"/>
    <s v="6911"/>
    <x v="5"/>
    <x v="0"/>
    <n v="6571.4"/>
    <n v="4591.6199700849475"/>
    <n v="0.69872781600343115"/>
    <n v="-6571.4"/>
    <n v="0"/>
    <n v="0"/>
    <s v=""/>
    <x v="0"/>
    <x v="0"/>
    <s v="Pend"/>
    <s v="Pend"/>
  </r>
  <r>
    <n v="2"/>
    <s v="SO16707"/>
    <s v="Melissa Rosier - PO - Email Confirmation - Paid in Full on March 5th 2025"/>
    <s v="INV12803"/>
    <s v="D&amp;H Materials Inc"/>
    <d v="2025-03-03T17:30:35"/>
    <d v="2025-03-04T16:51:47"/>
    <d v="2025-05-13T00:00:00"/>
    <s v="Ian Trottier"/>
    <s v="USD"/>
    <n v="0.69439467085548334"/>
    <n v="6126.7031251243734"/>
    <n v="0"/>
    <n v="4254.3500000000004"/>
    <n v="4254.3500000000004"/>
    <m/>
    <n v="4254.3500000000004"/>
    <s v="Delivered"/>
    <m/>
    <n v="2"/>
    <n v="3"/>
    <n v="2025"/>
    <n v="4"/>
    <n v="2025"/>
    <n v="0.69439467085548334"/>
    <x v="220"/>
    <d v="2025-03-03T17:30:35"/>
    <x v="264"/>
    <s v="Paid"/>
    <d v="2025-04-01T00:00:00"/>
    <s v="Melissa Rosier - PO - Email Confirmation - Paid in Full on March 5th 2025"/>
    <x v="56"/>
    <x v="1"/>
    <n v="6126.7031251243734"/>
    <n v="4254.3500000000004"/>
    <n v="0.69439467085548334"/>
    <n v="0"/>
    <n v="-3884.47"/>
    <s v=""/>
    <n v="369.88000000000056"/>
    <x v="0"/>
    <x v="1"/>
    <s v="Yes"/>
    <s v="Pend"/>
  </r>
  <r>
    <m/>
    <m/>
    <m/>
    <s v="INV12946"/>
    <m/>
    <m/>
    <m/>
    <m/>
    <m/>
    <m/>
    <m/>
    <m/>
    <m/>
    <m/>
    <m/>
    <m/>
    <m/>
    <m/>
    <m/>
    <n v="2"/>
    <n v="3"/>
    <n v="2025"/>
    <n v="5"/>
    <n v="2025"/>
    <n v="0.69439467085548334"/>
    <x v="220"/>
    <d v="2025-03-03T17:30:35"/>
    <x v="265"/>
    <s v="Paid"/>
    <d v="2025-05-06T00:00:00"/>
    <s v="Melissa Rosier - PO - Email Confirmation - Paid in Full on March 5th 2025"/>
    <x v="56"/>
    <x v="1"/>
    <n v="0"/>
    <n v="0"/>
    <n v="0"/>
    <n v="0"/>
    <n v="-369.88"/>
    <s v=""/>
    <n v="-369.88"/>
    <x v="0"/>
    <x v="1"/>
    <s v="Yes"/>
    <s v="Pend"/>
  </r>
  <r>
    <n v="1"/>
    <s v="SO16708"/>
    <s v="3005395"/>
    <s v="INV12713"/>
    <s v="SCG Process"/>
    <d v="2025-03-03T17:38:37"/>
    <d v="2025-03-06T14:51:01"/>
    <d v="2025-03-07T00:00:00"/>
    <s v="Ian Trottier"/>
    <s v="CAD"/>
    <n v="1"/>
    <n v="1492.58"/>
    <n v="0"/>
    <n v="1045.2518355520631"/>
    <n v="1421.5"/>
    <n v="71.08"/>
    <n v="1492.58"/>
    <s v="Delivered"/>
    <m/>
    <n v="1"/>
    <n v="3"/>
    <n v="2025"/>
    <n v="4"/>
    <n v="2025"/>
    <n v="0.70029870127702576"/>
    <x v="221"/>
    <d v="2025-03-03T17:38:37"/>
    <x v="266"/>
    <s v="Paid"/>
    <d v="2025-04-21T00:00:00"/>
    <s v="3005395"/>
    <x v="76"/>
    <x v="0"/>
    <n v="1421.5"/>
    <n v="995.47460386529212"/>
    <n v="0.70029870127702576"/>
    <n v="-1421.5"/>
    <n v="0"/>
    <n v="0"/>
    <s v=""/>
    <x v="0"/>
    <x v="0"/>
    <s v="Pend"/>
    <s v="Pend"/>
  </r>
  <r>
    <n v="2"/>
    <s v="SO16711"/>
    <s v="2200075271"/>
    <s v="INV12750"/>
    <s v="Wajax Limited - Lachine"/>
    <d v="2025-03-04T11:58:51"/>
    <d v="2025-03-05T17:18:01"/>
    <d v="2025-03-26T00:00:00"/>
    <s v="Ian Trottier"/>
    <s v="CAD"/>
    <n v="1"/>
    <n v="2094.98"/>
    <n v="0"/>
    <n v="1456.7365125260169"/>
    <n v="1995.22"/>
    <n v="99.76"/>
    <n v="2094.98"/>
    <s v="Delivered"/>
    <m/>
    <n v="2"/>
    <n v="3"/>
    <n v="2025"/>
    <n v="4"/>
    <n v="2025"/>
    <n v="0.69534626226790563"/>
    <x v="222"/>
    <d v="2025-03-04T11:58:51"/>
    <x v="267"/>
    <s v="Paid"/>
    <d v="2025-04-23T00:00:00"/>
    <s v="2200075271"/>
    <x v="77"/>
    <x v="0"/>
    <n v="1995.22"/>
    <n v="1387.3687694021708"/>
    <n v="0.69534626226790563"/>
    <n v="-498.96"/>
    <n v="0"/>
    <n v="1496.26"/>
    <s v=""/>
    <x v="0"/>
    <x v="1"/>
    <s v="Yes"/>
    <s v="Pend"/>
  </r>
  <r>
    <m/>
    <m/>
    <m/>
    <s v="INV12817"/>
    <m/>
    <m/>
    <m/>
    <m/>
    <m/>
    <m/>
    <m/>
    <m/>
    <m/>
    <m/>
    <m/>
    <m/>
    <m/>
    <m/>
    <m/>
    <n v="2"/>
    <n v="3"/>
    <n v="2025"/>
    <n v="5"/>
    <n v="2025"/>
    <n v="0.69534626226790563"/>
    <x v="222"/>
    <d v="2025-03-04T11:58:51"/>
    <x v="268"/>
    <s v="Paid"/>
    <d v="2025-05-07T00:00:00"/>
    <s v="2200075271"/>
    <x v="77"/>
    <x v="0"/>
    <n v="0"/>
    <n v="0"/>
    <n v="0"/>
    <n v="-1496.26"/>
    <n v="0"/>
    <n v="-1496.26"/>
    <s v=""/>
    <x v="0"/>
    <x v="1"/>
    <s v="Yes"/>
    <s v="Pend"/>
  </r>
  <r>
    <n v="2"/>
    <s v="SO16712"/>
    <s v="30783"/>
    <s v="INV12703"/>
    <s v="First Bauxite Inc."/>
    <d v="2025-03-04T12:17:29"/>
    <d v="2025-03-06T08:48:11"/>
    <d v="2025-04-16T00:00:00"/>
    <s v="Amanda Qiao"/>
    <s v="USD"/>
    <n v="0.69534626226790575"/>
    <n v="10642.179877209001"/>
    <n v="0"/>
    <n v="7400"/>
    <n v="7400"/>
    <m/>
    <n v="7400"/>
    <s v="Delivered"/>
    <m/>
    <n v="2"/>
    <n v="3"/>
    <n v="2025"/>
    <n v="3"/>
    <n v="2025"/>
    <n v="0.69534626226790586"/>
    <x v="223"/>
    <d v="2025-03-04T12:17:29"/>
    <x v="269"/>
    <s v="Paid"/>
    <d v="2025-03-20T00:00:00"/>
    <s v="30783"/>
    <x v="69"/>
    <x v="1"/>
    <n v="10642.179877209002"/>
    <n v="7400"/>
    <n v="0.69534626226790575"/>
    <n v="0"/>
    <n v="-7400"/>
    <s v=""/>
    <n v="0"/>
    <x v="0"/>
    <x v="1"/>
    <n v="0"/>
    <s v="Pend"/>
  </r>
  <r>
    <m/>
    <m/>
    <m/>
    <s v="INV12703"/>
    <m/>
    <m/>
    <m/>
    <m/>
    <m/>
    <m/>
    <m/>
    <m/>
    <m/>
    <m/>
    <m/>
    <m/>
    <m/>
    <m/>
    <m/>
    <n v="2"/>
    <n v="3"/>
    <n v="2025"/>
    <n v="3"/>
    <n v="2025"/>
    <n v="0.69534626226790586"/>
    <x v="223"/>
    <d v="2025-03-04T12:17:29"/>
    <x v="269"/>
    <s v="Paid"/>
    <d v="2025-03-20T00:00:00"/>
    <s v="30783"/>
    <x v="69"/>
    <x v="1"/>
    <n v="0"/>
    <n v="0"/>
    <n v="0"/>
    <n v="0"/>
    <n v="-7400"/>
    <s v=""/>
    <n v="-7400"/>
    <x v="0"/>
    <x v="1"/>
    <n v="0"/>
    <s v="Pend"/>
  </r>
  <r>
    <n v="1"/>
    <s v="SO16714"/>
    <s v="2100524786"/>
    <s v="INV12715"/>
    <s v="Wajax Limited - Timmins"/>
    <d v="2025-03-04T16:24:33"/>
    <d v="2025-03-06T12:50:07"/>
    <d v="2025-03-07T00:00:00"/>
    <s v="Ian Trottier"/>
    <s v="CAD"/>
    <n v="1"/>
    <n v="337.62"/>
    <n v="0"/>
    <n v="236.43484752514951"/>
    <n v="298.77999999999997"/>
    <n v="38.840000000000003"/>
    <n v="337.62"/>
    <s v="Delivered"/>
    <m/>
    <n v="1"/>
    <n v="3"/>
    <n v="2025"/>
    <n v="4"/>
    <n v="2025"/>
    <n v="0.70029870127702598"/>
    <x v="224"/>
    <d v="2025-03-04T16:24:33"/>
    <x v="270"/>
    <s v="Paid"/>
    <d v="2025-04-16T00:00:00"/>
    <s v="2100524786"/>
    <x v="40"/>
    <x v="0"/>
    <n v="298.77999999999997"/>
    <n v="209.23524596754982"/>
    <n v="0.70029870127702598"/>
    <n v="-298.77999999999997"/>
    <n v="0"/>
    <n v="0"/>
    <s v=""/>
    <x v="0"/>
    <x v="0"/>
    <s v="Pend"/>
    <s v="Pend"/>
  </r>
  <r>
    <n v="1"/>
    <s v="SO16715"/>
    <s v="2100526890"/>
    <s v="INV12725"/>
    <s v="Wajax Limited - Noranda"/>
    <d v="2025-03-04T17:08:13"/>
    <d v="2025-03-10T10:13:29"/>
    <d v="2025-03-12T00:00:00"/>
    <s v="Ian Trottier"/>
    <s v="CAD"/>
    <n v="1"/>
    <n v="746.81"/>
    <n v="746.81"/>
    <n v="746.81"/>
    <n v="711.25"/>
    <n v="35.56"/>
    <n v="746.81"/>
    <s v="Delivered"/>
    <m/>
    <n v="1"/>
    <n v="3"/>
    <n v="2025"/>
    <n v="4"/>
    <n v="2025"/>
    <n v="1"/>
    <x v="225"/>
    <d v="2025-03-04T17:08:13"/>
    <x v="271"/>
    <s v="Paid"/>
    <d v="2025-04-16T00:00:00"/>
    <s v="2100526890"/>
    <x v="35"/>
    <x v="0"/>
    <n v="711.25"/>
    <n v="497.88775997583059"/>
    <n v="0.70001794021206409"/>
    <n v="-711.25"/>
    <n v="0"/>
    <n v="0"/>
    <s v=""/>
    <x v="0"/>
    <x v="0"/>
    <s v="Pend"/>
    <s v="Pend"/>
  </r>
  <r>
    <n v="2"/>
    <s v="SO16718"/>
    <s v="3077"/>
    <s v="INV12710"/>
    <s v="Les Pompes du St-Laurent Inc."/>
    <d v="2025-03-04T17:35:06"/>
    <d v="2025-03-05T09:08:22"/>
    <d v="2025-04-02T00:00:00"/>
    <s v="Ian Trottier"/>
    <s v="CAD"/>
    <n v="1"/>
    <n v="1420.18"/>
    <n v="0"/>
    <n v="987.5168547476344"/>
    <n v="1352.55"/>
    <n v="67.63"/>
    <n v="1420.18"/>
    <s v="Delivered"/>
    <m/>
    <n v="2"/>
    <n v="3"/>
    <n v="2025"/>
    <n v="4"/>
    <n v="2025"/>
    <n v="0.69534626226790575"/>
    <x v="226"/>
    <d v="2025-03-04T17:35:06"/>
    <x v="272"/>
    <s v="Paid"/>
    <d v="2025-04-22T00:00:00"/>
    <s v="3077"/>
    <x v="7"/>
    <x v="0"/>
    <n v="1352.55"/>
    <n v="940.49058703045591"/>
    <n v="0.69534626226790575"/>
    <n v="-970.83"/>
    <n v="0"/>
    <n v="381.71999999999991"/>
    <s v=""/>
    <x v="0"/>
    <x v="1"/>
    <s v="Yes"/>
    <s v="Pend"/>
  </r>
  <r>
    <m/>
    <m/>
    <m/>
    <s v="INV12780"/>
    <m/>
    <m/>
    <m/>
    <m/>
    <m/>
    <m/>
    <m/>
    <m/>
    <m/>
    <m/>
    <m/>
    <m/>
    <m/>
    <m/>
    <m/>
    <n v="2"/>
    <n v="3"/>
    <n v="2025"/>
    <n v="4"/>
    <n v="2025"/>
    <n v="0.69534626226790575"/>
    <x v="226"/>
    <d v="2025-03-04T17:35:06"/>
    <x v="273"/>
    <s v="Paid"/>
    <d v="2025-04-25T00:00:00"/>
    <s v="3077"/>
    <x v="7"/>
    <x v="0"/>
    <n v="0"/>
    <n v="0"/>
    <n v="0"/>
    <n v="-381.72"/>
    <n v="0"/>
    <n v="-381.72"/>
    <s v=""/>
    <x v="0"/>
    <x v="1"/>
    <s v="Yes"/>
    <s v="Pend"/>
  </r>
  <r>
    <n v="1"/>
    <s v="SO16719"/>
    <s v="OC00154"/>
    <s v="INV12889"/>
    <s v="Dynapro Pumps México S de RL de CV"/>
    <d v="2025-03-04T18:09:21"/>
    <d v="2025-03-04T18:09:47"/>
    <d v="2025-03-28T00:00:00"/>
    <s v="Yannett Yeomans"/>
    <s v="USD"/>
    <n v="0.69439467085548334"/>
    <n v="86.406193074726431"/>
    <n v="0"/>
    <n v="60"/>
    <n v="60"/>
    <m/>
    <n v="60"/>
    <s v="Delivered"/>
    <m/>
    <n v="1"/>
    <n v="3"/>
    <n v="2025"/>
    <s v=""/>
    <s v=""/>
    <n v="0.69439467085548334"/>
    <x v="227"/>
    <d v="2025-03-04T18:09:21"/>
    <x v="274"/>
    <s v="Approved"/>
    <s v="Pending"/>
    <s v="OC00154"/>
    <x v="54"/>
    <x v="1"/>
    <n v="86.406193074726431"/>
    <n v="60"/>
    <n v="0.69439467085548334"/>
    <n v="0"/>
    <n v="-60"/>
    <s v=""/>
    <n v="0"/>
    <x v="1"/>
    <x v="2"/>
    <s v="Pend"/>
    <s v="Pend"/>
  </r>
  <r>
    <n v="1"/>
    <s v="SO16720"/>
    <s v="6863"/>
    <s v="INV13090"/>
    <s v="Hyperflo"/>
    <d v="2025-03-05T11:06:14"/>
    <d v="2025-03-05T12:55:23"/>
    <d v="2025-05-07T00:00:00"/>
    <s v="Ian Trottier"/>
    <s v="CAD"/>
    <n v="1"/>
    <n v="1245.19"/>
    <n v="0"/>
    <n v="865.83821231337356"/>
    <n v="1185.8900000000001"/>
    <n v="59.3"/>
    <n v="1245.19"/>
    <s v="Delivered"/>
    <m/>
    <n v="1"/>
    <n v="3"/>
    <n v="2025"/>
    <n v="8"/>
    <n v="2025"/>
    <n v="0.69534626226790575"/>
    <x v="228"/>
    <d v="2025-03-05T11:06:14"/>
    <x v="275"/>
    <s v="Paid"/>
    <d v="2025-08-04T00:00:00"/>
    <s v="6863"/>
    <x v="5"/>
    <x v="0"/>
    <n v="1185.8900000000001"/>
    <n v="824.60417896088677"/>
    <n v="0.69534626226790575"/>
    <n v="-1185.8900000000001"/>
    <n v="0"/>
    <n v="0"/>
    <s v=""/>
    <x v="0"/>
    <x v="0"/>
    <s v="Pend"/>
    <s v="Pend"/>
  </r>
  <r>
    <n v="1"/>
    <s v="SO16725"/>
    <s v="2100524851"/>
    <s v="INV12718"/>
    <s v="Wajax Limited - Noranda"/>
    <d v="2025-03-06T11:33:54"/>
    <d v="2025-03-06T14:25:46"/>
    <d v="2025-03-07T00:00:00"/>
    <s v="Ian Trottier"/>
    <s v="CAD"/>
    <n v="1"/>
    <n v="2043.9"/>
    <n v="0"/>
    <n v="1431.340515540114"/>
    <n v="1946.57"/>
    <n v="97.33"/>
    <n v="2043.9"/>
    <s v="Delivered"/>
    <m/>
    <n v="1"/>
    <n v="3"/>
    <n v="2025"/>
    <n v="4"/>
    <n v="2025"/>
    <n v="0.7002987012770262"/>
    <x v="229"/>
    <d v="2025-03-06T11:33:54"/>
    <x v="276"/>
    <s v="Paid"/>
    <d v="2025-04-09T00:00:00"/>
    <s v="2100524851"/>
    <x v="35"/>
    <x v="0"/>
    <n v="1946.57"/>
    <n v="1363.1804429448209"/>
    <n v="0.7002987012770262"/>
    <n v="-1946.57"/>
    <n v="0"/>
    <n v="0"/>
    <s v=""/>
    <x v="0"/>
    <x v="0"/>
    <s v="Pend"/>
    <s v="Pend"/>
  </r>
  <r>
    <n v="1"/>
    <s v="SO16727"/>
    <s v="MPO-1008"/>
    <s v="INV12862"/>
    <s v="MAB Equipment Company Inc."/>
    <d v="2025-03-06T14:36:26"/>
    <d v="2025-04-10T14:45:25"/>
    <d v="2025-04-11T00:00:00"/>
    <s v="Ian Trottier"/>
    <s v="USD"/>
    <n v="0.70412200178460038"/>
    <n v="8672.1050961676501"/>
    <n v="0"/>
    <n v="6106.22"/>
    <n v="6106.22"/>
    <m/>
    <n v="6106.22"/>
    <s v="Delivered"/>
    <m/>
    <n v="1"/>
    <n v="3"/>
    <n v="2025"/>
    <n v="5"/>
    <n v="2025"/>
    <n v="0.70412200178460038"/>
    <x v="230"/>
    <d v="2025-03-06T14:36:26"/>
    <x v="277"/>
    <s v="Paid"/>
    <d v="2025-05-30T00:00:00"/>
    <s v="MPO-1008"/>
    <x v="67"/>
    <x v="1"/>
    <n v="8672.1050961676501"/>
    <n v="6106.22"/>
    <n v="0.70412200178460038"/>
    <n v="0"/>
    <n v="-6106.22"/>
    <s v=""/>
    <n v="0"/>
    <x v="0"/>
    <x v="0"/>
    <s v="Pend"/>
    <s v="Pend"/>
  </r>
  <r>
    <n v="1"/>
    <s v="SO16732"/>
    <s v="007750 Replacement"/>
    <s v="INV12971"/>
    <s v="Sling-Choker Manufacturing - Timmins"/>
    <d v="2025-03-07T10:41:34"/>
    <d v="2025-03-07T10:42:40"/>
    <d v="2025-03-07T00:00:00"/>
    <s v="Taylor Cook"/>
    <s v="CAD"/>
    <n v="1"/>
    <n v="0"/>
    <n v="0"/>
    <n v="0"/>
    <m/>
    <m/>
    <m/>
    <s v="Delivered"/>
    <m/>
    <n v="1"/>
    <n v="3"/>
    <n v="2025"/>
    <s v=""/>
    <s v=""/>
    <e v="#DIV/0!"/>
    <x v="231"/>
    <d v="2025-03-07T10:41:34"/>
    <x v="278"/>
    <s v="Not invoiced"/>
    <s v="Pending"/>
    <s v="007750 Replacement"/>
    <x v="3"/>
    <x v="0"/>
    <n v="0"/>
    <n v="0"/>
    <n v="0"/>
    <n v="0"/>
    <n v="0"/>
    <n v="0"/>
    <s v=""/>
    <x v="1"/>
    <x v="2"/>
    <s v="Pend"/>
    <s v="Pend"/>
  </r>
  <r>
    <n v="3"/>
    <s v="SO16733"/>
    <s v="PO-007818"/>
    <s v="INV12804"/>
    <s v="Sling-Choker Manufacturing - Timmins"/>
    <d v="2025-03-07T11:13:08"/>
    <d v="2025-03-11T16:31:20"/>
    <d v="2025-04-01T00:00:00"/>
    <s v="Ian Trottier"/>
    <s v="CAD"/>
    <n v="1"/>
    <n v="9600.0499999999993"/>
    <n v="0"/>
    <n v="6636.2105933580606"/>
    <n v="8495.61"/>
    <n v="1104.44"/>
    <n v="9600.0499999999993"/>
    <s v="Delivered"/>
    <m/>
    <n v="3"/>
    <n v="3"/>
    <n v="2025"/>
    <n v="5"/>
    <n v="2025"/>
    <n v="0.69126833645221231"/>
    <x v="232"/>
    <d v="2025-03-07T11:13:08"/>
    <x v="279"/>
    <s v="Paid"/>
    <d v="2025-05-07T00:00:00"/>
    <s v="PO-007818"/>
    <x v="3"/>
    <x v="0"/>
    <n v="8495.61"/>
    <n v="5872.7461918467798"/>
    <n v="0.69126833645221231"/>
    <n v="-2913.34"/>
    <n v="0"/>
    <n v="5582.27"/>
    <s v=""/>
    <x v="0"/>
    <x v="1"/>
    <s v="Yes"/>
    <s v="Pend"/>
  </r>
  <r>
    <m/>
    <m/>
    <m/>
    <s v="INV12794"/>
    <m/>
    <m/>
    <m/>
    <m/>
    <m/>
    <m/>
    <m/>
    <m/>
    <m/>
    <m/>
    <m/>
    <m/>
    <m/>
    <m/>
    <m/>
    <n v="3"/>
    <n v="3"/>
    <n v="2025"/>
    <n v="4"/>
    <n v="2025"/>
    <n v="0.69126833645221231"/>
    <x v="232"/>
    <d v="2025-03-07T11:13:08"/>
    <x v="280"/>
    <s v="Paid"/>
    <d v="2025-04-30T00:00:00"/>
    <s v="PO-007818"/>
    <x v="3"/>
    <x v="0"/>
    <n v="0"/>
    <n v="0"/>
    <n v="0"/>
    <n v="-4672.05"/>
    <n v="0"/>
    <n v="-4672.05"/>
    <s v=""/>
    <x v="0"/>
    <x v="1"/>
    <s v="Yes"/>
    <s v="Pend"/>
  </r>
  <r>
    <m/>
    <m/>
    <m/>
    <s v="INV12852"/>
    <m/>
    <m/>
    <m/>
    <m/>
    <m/>
    <m/>
    <m/>
    <m/>
    <m/>
    <m/>
    <m/>
    <m/>
    <m/>
    <m/>
    <m/>
    <n v="3"/>
    <n v="3"/>
    <n v="2025"/>
    <n v="5"/>
    <n v="2025"/>
    <n v="0.69126833645221231"/>
    <x v="232"/>
    <d v="2025-03-07T11:13:08"/>
    <x v="281"/>
    <s v="Paid"/>
    <d v="2025-05-21T00:00:00"/>
    <s v="PO-007818"/>
    <x v="3"/>
    <x v="0"/>
    <n v="0"/>
    <n v="0"/>
    <n v="0"/>
    <n v="-910.22"/>
    <n v="0"/>
    <n v="-910.22"/>
    <s v=""/>
    <x v="0"/>
    <x v="1"/>
    <s v="Yes"/>
    <s v="Pend"/>
  </r>
  <r>
    <n v="1"/>
    <s v="SO16734"/>
    <s v="2200076047"/>
    <s v="INV12736"/>
    <s v="Wajax Limited - Lachine"/>
    <d v="2025-03-07T11:31:29"/>
    <d v="2025-03-10T15:15:06"/>
    <d v="2025-03-12T00:00:00"/>
    <s v="Ian Trottier"/>
    <s v="CAD"/>
    <n v="1"/>
    <n v="2001.4"/>
    <n v="2001.4"/>
    <n v="2001.4"/>
    <n v="1906.1"/>
    <n v="95.3"/>
    <n v="2001.4"/>
    <s v="Delivered"/>
    <m/>
    <n v="1"/>
    <n v="3"/>
    <n v="2025"/>
    <n v="4"/>
    <n v="2025"/>
    <n v="1"/>
    <x v="233"/>
    <d v="2025-03-07T11:31:29"/>
    <x v="282"/>
    <s v="Paid"/>
    <d v="2025-04-23T00:00:00"/>
    <s v="2200076047"/>
    <x v="77"/>
    <x v="0"/>
    <n v="1906.1"/>
    <n v="1334.3041958382153"/>
    <n v="0.70001794021206409"/>
    <n v="-1906.1"/>
    <n v="0"/>
    <n v="0"/>
    <s v=""/>
    <x v="0"/>
    <x v="0"/>
    <s v="Pend"/>
    <s v="Pend"/>
  </r>
  <r>
    <n v="1"/>
    <s v="SO16736"/>
    <s v="185533"/>
    <s v="INV12720"/>
    <s v="Fabrene Inc."/>
    <d v="2025-03-07T17:03:19"/>
    <d v="2025-03-07T17:05:10"/>
    <d v="2025-03-11T00:00:00"/>
    <s v="Ian Trottier"/>
    <s v="CAD"/>
    <n v="1"/>
    <n v="945.5"/>
    <n v="0"/>
    <n v="657.09521283526954"/>
    <n v="836.73"/>
    <n v="108.77"/>
    <n v="945.5"/>
    <s v="Delivered"/>
    <m/>
    <n v="1"/>
    <n v="3"/>
    <n v="2025"/>
    <n v="4"/>
    <n v="2025"/>
    <n v="0.69497113996326765"/>
    <x v="234"/>
    <d v="2025-03-07T17:03:19"/>
    <x v="283"/>
    <s v="Paid"/>
    <d v="2025-04-23T00:00:00"/>
    <s v="185533"/>
    <x v="66"/>
    <x v="0"/>
    <n v="836.73"/>
    <n v="581.50320194146491"/>
    <n v="0.69497113996326765"/>
    <n v="-836.73"/>
    <n v="0"/>
    <n v="0"/>
    <s v=""/>
    <x v="0"/>
    <x v="0"/>
    <s v="Pend"/>
    <s v="Pend"/>
  </r>
  <r>
    <n v="1"/>
    <s v="SO16737"/>
    <s v="10372"/>
    <s v="INV12988"/>
    <s v="Canadian Industrial Pumps Ltd, Canadian Industrial Pumps Ltd"/>
    <d v="2025-03-07T17:13:35"/>
    <d v="2025-05-15T08:30:12"/>
    <d v="2025-05-16T00:00:00"/>
    <s v="Taylor Cook"/>
    <s v="CAD"/>
    <n v="1"/>
    <n v="3912.99"/>
    <n v="0"/>
    <n v="2797.0073208512781"/>
    <n v="3726.65"/>
    <n v="186.34"/>
    <n v="3912.99"/>
    <s v="Delivered"/>
    <m/>
    <n v="1"/>
    <n v="3"/>
    <n v="2025"/>
    <n v="6"/>
    <n v="2025"/>
    <n v="0.71480052871366351"/>
    <x v="235"/>
    <d v="2025-03-07T17:13:35"/>
    <x v="284"/>
    <s v="Paid"/>
    <d v="2025-06-27T00:00:00"/>
    <s v="10372"/>
    <x v="78"/>
    <x v="0"/>
    <n v="3726.65"/>
    <n v="2663.811390330774"/>
    <n v="0.71480052871366351"/>
    <n v="-3726.65"/>
    <n v="0"/>
    <n v="0"/>
    <s v=""/>
    <x v="0"/>
    <x v="0"/>
    <s v="Pend"/>
    <s v="Pend"/>
  </r>
  <r>
    <n v="1"/>
    <s v="SO16738"/>
    <s v="OC00155"/>
    <s v="INV12865"/>
    <s v="Dynapro Pumps México S de RL de CV"/>
    <d v="2025-03-07T18:45:04"/>
    <d v="2025-03-07T18:44:44"/>
    <d v="2025-03-28T00:00:00"/>
    <s v="Yannett Yeomans"/>
    <s v="USD"/>
    <n v="0.70029870127702598"/>
    <n v="197.05876899150439"/>
    <n v="0"/>
    <n v="138"/>
    <n v="138"/>
    <m/>
    <n v="138"/>
    <s v="Delivered"/>
    <m/>
    <n v="1"/>
    <n v="3"/>
    <n v="2025"/>
    <s v=""/>
    <s v=""/>
    <n v="0.70029870127702598"/>
    <x v="236"/>
    <d v="2025-03-07T18:45:04"/>
    <x v="285"/>
    <s v="Approved"/>
    <s v="Pending"/>
    <s v="OC00155"/>
    <x v="54"/>
    <x v="1"/>
    <n v="197.05876899150439"/>
    <n v="138"/>
    <n v="0.70029870127702598"/>
    <n v="0"/>
    <n v="-138"/>
    <s v=""/>
    <n v="0"/>
    <x v="1"/>
    <x v="2"/>
    <s v="Pend"/>
    <s v="Pend"/>
  </r>
  <r>
    <n v="1"/>
    <s v="SO16739"/>
    <s v="2088"/>
    <s v="INV12737"/>
    <s v="FMI Products"/>
    <d v="2025-03-10T09:42:26"/>
    <d v="2025-03-10T15:26:46"/>
    <d v="2025-03-12T00:00:00"/>
    <s v="Ian Trottier"/>
    <s v="CAD"/>
    <n v="1"/>
    <n v="1186.27"/>
    <n v="1186.27"/>
    <n v="1186.27"/>
    <n v="1129.78"/>
    <n v="56.49"/>
    <n v="1186.27"/>
    <s v="Delivered"/>
    <m/>
    <n v="1"/>
    <n v="3"/>
    <n v="2025"/>
    <n v="4"/>
    <n v="2025"/>
    <n v="1"/>
    <x v="237"/>
    <d v="2025-03-10T09:42:26"/>
    <x v="286"/>
    <s v="Paid"/>
    <d v="2025-04-29T00:00:00"/>
    <s v="2088"/>
    <x v="18"/>
    <x v="0"/>
    <n v="1129.78"/>
    <n v="790.86626849278571"/>
    <n v="0.70001794021206409"/>
    <n v="-1129.78"/>
    <n v="0"/>
    <n v="0"/>
    <s v=""/>
    <x v="0"/>
    <x v="0"/>
    <s v="Pend"/>
    <s v="Pend"/>
  </r>
  <r>
    <n v="1"/>
    <s v="SO16740"/>
    <s v="03R19523"/>
    <s v="INV12742"/>
    <s v="Moffatt Supply &amp; Specialties - Red Lake"/>
    <d v="2025-03-10T12:19:20"/>
    <d v="2025-03-13T09:32:13"/>
    <d v="2025-03-17T00:00:00"/>
    <s v="Ian Trottier"/>
    <s v="CAD"/>
    <n v="1"/>
    <n v="2152.54"/>
    <n v="0"/>
    <n v="1494.9888863164419"/>
    <n v="1904.9"/>
    <n v="247.64"/>
    <n v="2152.54"/>
    <s v="Delivered"/>
    <m/>
    <n v="1"/>
    <n v="3"/>
    <n v="2025"/>
    <n v="5"/>
    <n v="2025"/>
    <n v="0.69452316162135985"/>
    <x v="238"/>
    <d v="2025-03-10T12:19:20"/>
    <x v="287"/>
    <s v="Paid"/>
    <d v="2025-05-16T00:00:00"/>
    <s v="03R19523"/>
    <x v="79"/>
    <x v="0"/>
    <n v="1904.9"/>
    <n v="1322.9971705725284"/>
    <n v="0.69452316162135985"/>
    <n v="-1904.9"/>
    <n v="0"/>
    <n v="0"/>
    <s v=""/>
    <x v="0"/>
    <x v="0"/>
    <s v="Pend"/>
    <s v="Pend"/>
  </r>
  <r>
    <n v="1"/>
    <s v="SO16742"/>
    <s v="2100527126"/>
    <s v="INV12731"/>
    <s v="Wajax Limited - Noranda"/>
    <d v="2025-03-10T12:48:29"/>
    <d v="2025-03-13T09:39:50"/>
    <d v="2025-03-17T00:00:00"/>
    <s v="Ian Trottier"/>
    <s v="CAD"/>
    <n v="1"/>
    <n v="209.03"/>
    <n v="0"/>
    <n v="145.17617647371279"/>
    <n v="199.07"/>
    <n v="9.9600000000000009"/>
    <n v="209.03"/>
    <s v="Delivered"/>
    <m/>
    <n v="1"/>
    <n v="3"/>
    <n v="2025"/>
    <n v="4"/>
    <n v="2025"/>
    <n v="0.69452316162135952"/>
    <x v="239"/>
    <d v="2025-03-10T12:48:29"/>
    <x v="288"/>
    <s v="Paid"/>
    <d v="2025-04-16T00:00:00"/>
    <s v="2100527126"/>
    <x v="35"/>
    <x v="0"/>
    <n v="199.07"/>
    <n v="138.25872578396402"/>
    <n v="0.69452316162135952"/>
    <n v="-199.07"/>
    <n v="0"/>
    <n v="0"/>
    <s v=""/>
    <x v="0"/>
    <x v="0"/>
    <s v="Pend"/>
    <s v="Pend"/>
  </r>
  <r>
    <n v="1"/>
    <s v="SO16744"/>
    <s v="4501129262"/>
    <s v="INV12762"/>
    <s v="Barrick Gold - Pueblo Viejo Dominicana Corporation"/>
    <d v="2025-03-10T15:06:15"/>
    <d v="2025-03-10T15:09:23"/>
    <d v="2025-03-25T00:00:00"/>
    <s v="Jeff Bell"/>
    <s v="USD"/>
    <n v="0.69588843853535265"/>
    <n v="1262.601807050087"/>
    <n v="0"/>
    <n v="878.63"/>
    <n v="878.63"/>
    <m/>
    <n v="878.63"/>
    <s v="Delivered"/>
    <m/>
    <n v="1"/>
    <n v="3"/>
    <n v="2025"/>
    <n v="5"/>
    <n v="2025"/>
    <n v="0.69588843853535287"/>
    <x v="240"/>
    <d v="2025-03-10T15:06:15"/>
    <x v="289"/>
    <s v="Paid"/>
    <d v="2025-05-09T00:00:00"/>
    <s v="4501129262"/>
    <x v="15"/>
    <x v="1"/>
    <n v="1262.6018070500875"/>
    <n v="878.63"/>
    <n v="0.69588843853535265"/>
    <n v="0"/>
    <n v="-878.63"/>
    <s v=""/>
    <n v="0"/>
    <x v="0"/>
    <x v="0"/>
    <s v="Pend"/>
    <s v="Pend"/>
  </r>
  <r>
    <n v="2"/>
    <s v="SO16746"/>
    <s v="S306168"/>
    <s v="INV13036"/>
    <s v="Kumtor Gold Company"/>
    <d v="2025-03-11T09:50:50"/>
    <d v="2025-03-11T10:01:59"/>
    <d v="2025-05-27T00:00:00"/>
    <s v="Ian Trottier"/>
    <s v="USD"/>
    <n v="0.69588843853535265"/>
    <n v="4613.8861090402879"/>
    <n v="0"/>
    <n v="3210.75"/>
    <n v="3210.75"/>
    <m/>
    <n v="3210.75"/>
    <s v="Delivered"/>
    <m/>
    <n v="2"/>
    <n v="3"/>
    <n v="2025"/>
    <n v="6"/>
    <n v="2025"/>
    <n v="0.69588843853535265"/>
    <x v="241"/>
    <d v="2025-03-11T09:50:50"/>
    <x v="290"/>
    <s v="Paid"/>
    <d v="2025-06-13T00:00:00"/>
    <s v="S306168"/>
    <x v="57"/>
    <x v="1"/>
    <n v="4613.8861090402879"/>
    <n v="3210.75"/>
    <n v="0.69588843853535265"/>
    <n v="0"/>
    <n v="-1497.88"/>
    <s v=""/>
    <n v="1712.87"/>
    <x v="0"/>
    <x v="1"/>
    <s v="Yes"/>
    <s v="Pend"/>
  </r>
  <r>
    <m/>
    <m/>
    <m/>
    <s v="INV12748"/>
    <m/>
    <m/>
    <m/>
    <m/>
    <m/>
    <m/>
    <m/>
    <m/>
    <m/>
    <m/>
    <m/>
    <m/>
    <m/>
    <m/>
    <m/>
    <n v="2"/>
    <n v="3"/>
    <n v="2025"/>
    <n v="4"/>
    <n v="2025"/>
    <n v="0.69588843853535265"/>
    <x v="241"/>
    <d v="2025-03-11T09:50:50"/>
    <x v="291"/>
    <s v="Paid"/>
    <d v="2025-04-16T00:00:00"/>
    <s v="S306168"/>
    <x v="57"/>
    <x v="1"/>
    <n v="0"/>
    <n v="0"/>
    <n v="0"/>
    <n v="0"/>
    <n v="-1712.87"/>
    <s v=""/>
    <n v="-1712.87"/>
    <x v="0"/>
    <x v="1"/>
    <s v="Yes"/>
    <s v="Pend"/>
  </r>
  <r>
    <n v="1"/>
    <s v="SO16747"/>
    <s v="PO-039348"/>
    <s v="INV13095"/>
    <s v="Southeast Pump Specialist, Inc."/>
    <d v="2025-03-11T10:20:28"/>
    <d v="2025-03-11T10:22:38"/>
    <d v="2025-04-08T00:00:00"/>
    <s v="Ian Trottier"/>
    <s v="USD"/>
    <n v="0.69588843853535265"/>
    <n v="12276.55113509404"/>
    <n v="0"/>
    <n v="8543.11"/>
    <n v="8543.11"/>
    <m/>
    <n v="8543.11"/>
    <s v="Delivered"/>
    <m/>
    <n v="1"/>
    <n v="3"/>
    <n v="2025"/>
    <n v="8"/>
    <n v="2025"/>
    <n v="0.69588843853535254"/>
    <x v="242"/>
    <d v="2025-03-11T10:20:28"/>
    <x v="292"/>
    <s v="Paid"/>
    <d v="2025-08-07T00:00:00"/>
    <s v="PO-039348"/>
    <x v="26"/>
    <x v="1"/>
    <n v="12276.551135094038"/>
    <n v="8543.11"/>
    <n v="0.69588843853535265"/>
    <n v="0"/>
    <n v="-8543.11"/>
    <s v=""/>
    <n v="0"/>
    <x v="0"/>
    <x v="0"/>
    <s v="Pend"/>
    <s v="Pend"/>
  </r>
  <r>
    <n v="1"/>
    <s v="SO16749"/>
    <s v="2100531214"/>
    <s v="INV12732"/>
    <s v="Wajax Limited - Noranda"/>
    <d v="2025-03-11T15:21:12"/>
    <d v="2025-03-14T08:22:06"/>
    <d v="2025-03-18T00:00:00"/>
    <s v="Ian Trottier"/>
    <s v="CAD"/>
    <n v="1"/>
    <n v="177.02"/>
    <n v="0"/>
    <n v="123.0944329097904"/>
    <n v="168.59"/>
    <n v="8.43"/>
    <n v="177.02"/>
    <s v="Delivered"/>
    <m/>
    <n v="1"/>
    <n v="3"/>
    <n v="2025"/>
    <n v="4"/>
    <n v="2025"/>
    <n v="0.69537020059761834"/>
    <x v="243"/>
    <d v="2025-03-11T15:21:12"/>
    <x v="293"/>
    <s v="Paid"/>
    <d v="2025-04-16T00:00:00"/>
    <s v="2100531214"/>
    <x v="35"/>
    <x v="0"/>
    <n v="168.59"/>
    <n v="117.23246211875248"/>
    <n v="0.69537020059761834"/>
    <n v="-168.59"/>
    <n v="0"/>
    <n v="0"/>
    <s v=""/>
    <x v="0"/>
    <x v="0"/>
    <s v="Pend"/>
    <s v="Pend"/>
  </r>
  <r>
    <n v="1"/>
    <s v="SO16750"/>
    <s v="PONV-25-0706"/>
    <s v="INV12808"/>
    <s v="Tech-Flow"/>
    <d v="2025-03-11T15:28:21"/>
    <d v="2025-03-31T17:04:58"/>
    <d v="2025-04-01T00:00:00"/>
    <s v="Ian Trottier"/>
    <s v="USD"/>
    <n v="0.69828295020834585"/>
    <n v="624.04502339629346"/>
    <n v="0"/>
    <n v="435.76"/>
    <n v="435.76"/>
    <m/>
    <n v="435.76"/>
    <s v="Delivered"/>
    <m/>
    <n v="1"/>
    <n v="3"/>
    <n v="2025"/>
    <n v="5"/>
    <n v="2025"/>
    <n v="0.69828295020834585"/>
    <x v="244"/>
    <d v="2025-03-11T15:28:21"/>
    <x v="294"/>
    <s v="Paid"/>
    <d v="2025-05-15T00:00:00"/>
    <s v="PONV-25-0706"/>
    <x v="53"/>
    <x v="1"/>
    <n v="624.04502339629346"/>
    <n v="435.76"/>
    <n v="0.69828295020834585"/>
    <n v="0"/>
    <n v="-435.76"/>
    <s v=""/>
    <n v="0"/>
    <x v="0"/>
    <x v="0"/>
    <s v="Pend"/>
    <s v="Pend"/>
  </r>
  <r>
    <n v="1"/>
    <s v="SO16751"/>
    <s v="T161567DS"/>
    <s v="INV13179"/>
    <s v="Tencarva Machinery Company"/>
    <d v="2025-03-11T15:36:13"/>
    <d v="2025-04-15T07:59:01"/>
    <d v="2025-08-04T00:00:00"/>
    <s v="Amanda Qiao"/>
    <s v="USD"/>
    <n v="0.71974046347359422"/>
    <n v="38671.550944448398"/>
    <n v="0"/>
    <n v="27833.48"/>
    <n v="27833.48"/>
    <m/>
    <n v="27833.48"/>
    <s v="Delivered"/>
    <m/>
    <n v="1"/>
    <n v="3"/>
    <n v="2025"/>
    <n v="8"/>
    <n v="2025"/>
    <n v="0.71974046347359422"/>
    <x v="245"/>
    <d v="2025-03-11T15:36:13"/>
    <x v="295"/>
    <s v="Paid"/>
    <d v="2025-08-18T00:00:00"/>
    <s v="T161567DS"/>
    <x v="80"/>
    <x v="1"/>
    <n v="38671.550944448398"/>
    <n v="27833.48"/>
    <n v="0.71974046347359422"/>
    <n v="0"/>
    <n v="-27833.48"/>
    <s v=""/>
    <n v="0"/>
    <x v="0"/>
    <x v="0"/>
    <s v="Pend"/>
    <s v="Pend"/>
  </r>
  <r>
    <n v="1"/>
    <s v="SO16752"/>
    <s v="M-083615"/>
    <s v="INV12726"/>
    <s v="Grant Aggregate"/>
    <d v="2025-03-11T15:50:54"/>
    <d v="2025-03-11T16:00:00"/>
    <d v="2025-03-12T00:00:00"/>
    <s v="Ian Trottier"/>
    <s v="CAD"/>
    <n v="1"/>
    <n v="1403.78"/>
    <n v="0"/>
    <n v="970.38866534488659"/>
    <n v="1242.28"/>
    <n v="161.5"/>
    <n v="1403.78"/>
    <s v="Delivered"/>
    <m/>
    <n v="1"/>
    <n v="3"/>
    <n v="2025"/>
    <n v="5"/>
    <n v="2025"/>
    <n v="0.69126833645221231"/>
    <x v="246"/>
    <d v="2025-03-11T15:50:54"/>
    <x v="296"/>
    <s v="Paid"/>
    <d v="2025-05-01T00:00:00"/>
    <s v="M-083615"/>
    <x v="9"/>
    <x v="0"/>
    <n v="1242.28"/>
    <n v="858.74882900785428"/>
    <n v="0.69126833645221231"/>
    <n v="-1242.28"/>
    <n v="0"/>
    <n v="0"/>
    <s v=""/>
    <x v="0"/>
    <x v="0"/>
    <s v="Pend"/>
    <s v="Pend"/>
  </r>
  <r>
    <n v="1"/>
    <s v="SO16753"/>
    <s v="P-31125"/>
    <s v="INV12854"/>
    <s v="Cartledge &amp; Associates Inc."/>
    <d v="2025-03-11T16:33:17"/>
    <d v="2025-03-11T16:34:26"/>
    <d v="2025-04-08T00:00:00"/>
    <s v="Ian Trottier"/>
    <s v="USD"/>
    <n v="0.69588843853535265"/>
    <n v="1877.499219199379"/>
    <n v="0"/>
    <n v="1306.53"/>
    <n v="1306.53"/>
    <m/>
    <n v="1306.53"/>
    <s v="Delivered"/>
    <m/>
    <n v="1"/>
    <n v="3"/>
    <n v="2025"/>
    <n v="5"/>
    <n v="2025"/>
    <n v="0.69588843853535287"/>
    <x v="247"/>
    <d v="2025-03-11T16:33:17"/>
    <x v="297"/>
    <s v="Paid"/>
    <d v="2025-05-15T00:00:00"/>
    <s v="P-31125"/>
    <x v="25"/>
    <x v="1"/>
    <n v="1877.4992191993795"/>
    <n v="1306.53"/>
    <n v="0.69588843853535265"/>
    <n v="0"/>
    <n v="-1306.53"/>
    <s v=""/>
    <n v="0"/>
    <x v="0"/>
    <x v="0"/>
    <s v="Pend"/>
    <s v="Pend"/>
  </r>
  <r>
    <n v="1"/>
    <s v="SO16754"/>
    <s v="4500585797"/>
    <s v="INV12753"/>
    <s v="Resolute Forest Products - Saint-Felicien"/>
    <d v="2025-03-12T08:26:13"/>
    <d v="2025-03-17T08:04:23"/>
    <d v="2025-03-18T00:00:00"/>
    <s v="Ian Trottier"/>
    <s v="CAD"/>
    <n v="1"/>
    <n v="549.58000000000004"/>
    <n v="549.58000000000004"/>
    <n v="549.58000000000004"/>
    <n v="523.41"/>
    <n v="26.17"/>
    <n v="549.58000000000004"/>
    <s v="Delivered"/>
    <m/>
    <n v="1"/>
    <n v="3"/>
    <n v="2025"/>
    <n v="5"/>
    <n v="2025"/>
    <n v="1"/>
    <x v="248"/>
    <d v="2025-03-12T08:26:13"/>
    <x v="298"/>
    <s v="Paid"/>
    <d v="2025-05-16T00:00:00"/>
    <s v="4500585797"/>
    <x v="46"/>
    <x v="0"/>
    <n v="523.41"/>
    <n v="366.39639008639642"/>
    <n v="0.70001794021206409"/>
    <n v="-523.41"/>
    <n v="0"/>
    <n v="0"/>
    <s v=""/>
    <x v="0"/>
    <x v="0"/>
    <s v="Pend"/>
    <s v="Pend"/>
  </r>
  <r>
    <n v="1"/>
    <s v="SO16755"/>
    <s v="4500585840"/>
    <s v="INV12729"/>
    <s v="Resolute Forest Products - Saint-Felicien"/>
    <d v="2025-03-12T08:53:57"/>
    <d v="2025-03-12T08:54:43"/>
    <d v="2025-03-13T00:00:00"/>
    <s v="Ian Trottier"/>
    <s v="CAD"/>
    <n v="1"/>
    <n v="316.85000000000002"/>
    <n v="0"/>
    <n v="220.0356252415331"/>
    <n v="301.76"/>
    <n v="15.09"/>
    <n v="316.85000000000002"/>
    <s v="Delivered"/>
    <m/>
    <n v="1"/>
    <n v="3"/>
    <n v="2025"/>
    <n v="5"/>
    <n v="2025"/>
    <n v="0.69444729443437925"/>
    <x v="249"/>
    <d v="2025-03-12T08:53:57"/>
    <x v="299"/>
    <s v="Paid"/>
    <d v="2025-05-12T00:00:00"/>
    <s v="4500585840"/>
    <x v="46"/>
    <x v="0"/>
    <n v="301.76"/>
    <n v="209.55641556851828"/>
    <n v="0.69444729443437925"/>
    <n v="-301.76"/>
    <n v="0"/>
    <n v="0"/>
    <s v=""/>
    <x v="0"/>
    <x v="0"/>
    <s v="Pend"/>
    <s v="Pend"/>
  </r>
  <r>
    <n v="1"/>
    <s v="SO16756"/>
    <s v="PO-007824"/>
    <s v="INV12796"/>
    <s v="Sling-Choker Manufacturing - Timmins"/>
    <d v="2025-03-12T09:03:19"/>
    <d v="2025-03-13T10:39:03"/>
    <d v="2025-04-10T00:00:00"/>
    <s v="Ian Trottier"/>
    <s v="CAD"/>
    <n v="1"/>
    <n v="3183.04"/>
    <n v="0"/>
    <n v="2210.6950043672532"/>
    <n v="2816.85"/>
    <n v="366.19"/>
    <n v="3183.04"/>
    <s v="Delivered"/>
    <m/>
    <n v="1"/>
    <n v="3"/>
    <n v="2025"/>
    <n v="4"/>
    <n v="2025"/>
    <n v="0.69452316162135985"/>
    <x v="250"/>
    <d v="2025-03-12T09:03:19"/>
    <x v="300"/>
    <s v="Paid"/>
    <d v="2025-04-30T00:00:00"/>
    <s v="PO-007824"/>
    <x v="3"/>
    <x v="0"/>
    <n v="2816.85"/>
    <n v="1956.3675678131274"/>
    <n v="0.69452316162135985"/>
    <n v="-2816.85"/>
    <n v="0"/>
    <n v="0"/>
    <s v=""/>
    <x v="0"/>
    <x v="0"/>
    <s v="Pend"/>
    <s v="Pend"/>
  </r>
  <r>
    <n v="1"/>
    <s v="SO16757"/>
    <s v="4500566265"/>
    <s v="INV12740"/>
    <s v="Glencore Canada Corporation - Rouyn-Noranda"/>
    <d v="2025-03-12T09:33:11"/>
    <d v="2025-03-12T09:48:16"/>
    <d v="2025-03-17T00:00:00"/>
    <s v="Ian Trottier"/>
    <s v="CAD"/>
    <n v="1"/>
    <n v="1840.09"/>
    <n v="0"/>
    <n v="1277.8455220157571"/>
    <n v="1752.46"/>
    <n v="87.63"/>
    <n v="1840.09"/>
    <s v="Delivered"/>
    <m/>
    <n v="1"/>
    <n v="3"/>
    <n v="2025"/>
    <n v="4"/>
    <n v="2025"/>
    <n v="0.69444729443437936"/>
    <x v="251"/>
    <d v="2025-03-12T09:33:11"/>
    <x v="301"/>
    <s v="Paid"/>
    <d v="2025-04-25T00:00:00"/>
    <s v="4500566265"/>
    <x v="81"/>
    <x v="0"/>
    <n v="1752.46"/>
    <n v="1216.9911056044725"/>
    <n v="0.69444729443437936"/>
    <n v="-1752.46"/>
    <n v="0"/>
    <n v="0"/>
    <s v=""/>
    <x v="0"/>
    <x v="0"/>
    <s v="Pend"/>
    <s v="Pend"/>
  </r>
  <r>
    <n v="1"/>
    <s v="SO16760"/>
    <s v="2100476726"/>
    <s v="INV12728"/>
    <s v="Wajax Limited - Noranda"/>
    <d v="2025-03-12T13:21:44"/>
    <d v="2025-03-12T16:03:40"/>
    <d v="2025-03-13T00:00:00"/>
    <s v="Ian Trottier"/>
    <s v="CAD"/>
    <n v="1"/>
    <n v="338"/>
    <n v="0"/>
    <n v="234.7231855188202"/>
    <n v="321.89999999999998"/>
    <n v="16.100000000000001"/>
    <n v="338"/>
    <s v="Delivered"/>
    <m/>
    <n v="1"/>
    <n v="3"/>
    <n v="2025"/>
    <n v="4"/>
    <n v="2025"/>
    <n v="0.69444729443437925"/>
    <x v="252"/>
    <d v="2025-03-12T13:21:44"/>
    <x v="302"/>
    <s v="Paid"/>
    <d v="2025-04-16T00:00:00"/>
    <s v="2100476726"/>
    <x v="35"/>
    <x v="0"/>
    <n v="321.89999999999998"/>
    <n v="223.54258407842667"/>
    <n v="0.69444729443437925"/>
    <n v="-321.89999999999998"/>
    <n v="0"/>
    <n v="0"/>
    <s v=""/>
    <x v="0"/>
    <x v="0"/>
    <s v="Pend"/>
    <s v="Pend"/>
  </r>
  <r>
    <n v="1"/>
    <s v="SO16761"/>
    <s v="OC00157"/>
    <s v="INV13019"/>
    <s v="Dynapro Pumps México S de RL de CV"/>
    <d v="2025-03-12T13:26:31"/>
    <d v="2025-03-12T13:25:42"/>
    <d v="2025-03-12T00:00:00"/>
    <s v="Yannett Yeomans"/>
    <s v="USD"/>
    <n v="0.69126833645221231"/>
    <n v="520.78184550969513"/>
    <n v="0"/>
    <n v="360"/>
    <n v="360"/>
    <m/>
    <n v="360"/>
    <s v="Delivered"/>
    <m/>
    <n v="1"/>
    <n v="3"/>
    <n v="2025"/>
    <s v=""/>
    <s v=""/>
    <n v="0.69126833645221231"/>
    <x v="253"/>
    <d v="2025-03-12T13:26:31"/>
    <x v="303"/>
    <s v="Approved"/>
    <s v="Pending"/>
    <s v="OC00157"/>
    <x v="54"/>
    <x v="1"/>
    <n v="520.78184550969513"/>
    <n v="360"/>
    <n v="0.69126833645221231"/>
    <n v="0"/>
    <n v="-360"/>
    <s v=""/>
    <n v="0"/>
    <x v="1"/>
    <x v="2"/>
    <s v="Pend"/>
    <s v="Pend"/>
  </r>
  <r>
    <n v="1"/>
    <s v="SO16762"/>
    <s v="2100533807"/>
    <s v="INV12751"/>
    <s v="Wajax Limited - Lachine"/>
    <d v="2025-03-12T14:49:57"/>
    <d v="2025-03-18T16:07:48"/>
    <d v="2025-03-19T00:00:00"/>
    <s v="Ian Trottier"/>
    <s v="CAD"/>
    <n v="1"/>
    <n v="838.92"/>
    <n v="0"/>
    <n v="586.17673940159841"/>
    <n v="798.97"/>
    <n v="39.950000000000003"/>
    <n v="838.92"/>
    <s v="Delivered"/>
    <m/>
    <n v="1"/>
    <n v="3"/>
    <n v="2025"/>
    <n v="4"/>
    <n v="2025"/>
    <n v="0.69872781600343115"/>
    <x v="254"/>
    <d v="2025-03-12T14:49:57"/>
    <x v="304"/>
    <s v="Paid"/>
    <d v="2025-04-23T00:00:00"/>
    <s v="2100533807"/>
    <x v="77"/>
    <x v="0"/>
    <n v="798.97"/>
    <n v="558.26256315226135"/>
    <n v="0.69872781600343103"/>
    <n v="-798.97"/>
    <n v="0"/>
    <n v="0"/>
    <s v=""/>
    <x v="0"/>
    <x v="0"/>
    <s v="Pend"/>
    <s v="Pend"/>
  </r>
  <r>
    <n v="1"/>
    <s v="SO16764"/>
    <s v="2100531829"/>
    <s v="INV12735"/>
    <s v="Wajax Limited - Noranda"/>
    <d v="2025-03-13T08:34:56"/>
    <d v="2025-03-14T14:11:15"/>
    <d v="2025-03-18T00:00:00"/>
    <s v="Ian Trottier"/>
    <s v="CAD"/>
    <n v="1"/>
    <n v="311.01"/>
    <n v="0"/>
    <n v="216.26708608786541"/>
    <n v="296.2"/>
    <n v="14.81"/>
    <n v="311.01"/>
    <s v="Delivered"/>
    <m/>
    <n v="1"/>
    <n v="3"/>
    <n v="2025"/>
    <n v="4"/>
    <n v="2025"/>
    <n v="0.69537020059761878"/>
    <x v="255"/>
    <d v="2025-03-13T08:34:56"/>
    <x v="305"/>
    <s v="Paid"/>
    <d v="2025-04-23T00:00:00"/>
    <s v="2100531829"/>
    <x v="35"/>
    <x v="0"/>
    <n v="296.2"/>
    <n v="205.96865341701468"/>
    <n v="0.69537020059761878"/>
    <n v="-296.2"/>
    <n v="0"/>
    <n v="0"/>
    <s v=""/>
    <x v="0"/>
    <x v="0"/>
    <s v="Pend"/>
    <s v="Pend"/>
  </r>
  <r>
    <n v="1"/>
    <s v="SO16765"/>
    <s v="4500566464"/>
    <s v="INV12738"/>
    <s v="Glencore Canada Corporation - Rouyn-Noranda"/>
    <d v="2025-03-13T09:52:28"/>
    <d v="2025-03-13T10:06:17"/>
    <d v="2025-03-17T00:00:00"/>
    <s v="Ian Trottier"/>
    <s v="CAD"/>
    <n v="1"/>
    <n v="4286.34"/>
    <n v="0"/>
    <n v="2976.9624085840992"/>
    <n v="4082.22"/>
    <n v="204.12"/>
    <n v="4286.34"/>
    <s v="Delivered"/>
    <m/>
    <n v="1"/>
    <n v="3"/>
    <n v="2025"/>
    <n v="4"/>
    <n v="2025"/>
    <n v="0.69452316162135974"/>
    <x v="256"/>
    <d v="2025-03-13T09:52:28"/>
    <x v="306"/>
    <s v="Paid"/>
    <d v="2025-04-25T00:00:00"/>
    <s v="4500566464"/>
    <x v="81"/>
    <x v="0"/>
    <n v="4082.22"/>
    <n v="2835.196340833947"/>
    <n v="0.69452316162135974"/>
    <n v="-4082.22"/>
    <n v="0"/>
    <n v="0"/>
    <s v=""/>
    <x v="0"/>
    <x v="0"/>
    <s v="Pend"/>
    <s v="Pend"/>
  </r>
  <r>
    <n v="1"/>
    <s v="SO16766"/>
    <s v="4500586022"/>
    <s v="INV12883"/>
    <s v="Resolute Forest Products - Alma"/>
    <d v="2025-03-13T10:22:05"/>
    <d v="2025-04-14T15:01:17"/>
    <d v="2025-04-15T00:00:00"/>
    <s v="Ian Trottier"/>
    <s v="CAD"/>
    <n v="1"/>
    <n v="781.08"/>
    <n v="0"/>
    <n v="562.17488120995495"/>
    <n v="743.88"/>
    <n v="37.200000000000003"/>
    <n v="781.08"/>
    <s v="Delivered"/>
    <m/>
    <n v="1"/>
    <n v="3"/>
    <n v="2025"/>
    <n v="6"/>
    <n v="2025"/>
    <n v="0.71974046347359411"/>
    <x v="257"/>
    <d v="2025-03-13T10:22:05"/>
    <x v="307"/>
    <s v="Paid"/>
    <d v="2025-06-13T00:00:00"/>
    <s v="4500586022"/>
    <x v="82"/>
    <x v="0"/>
    <n v="743.88"/>
    <n v="535.40053596873713"/>
    <n v="0.71974046347359399"/>
    <n v="-743.88"/>
    <n v="0"/>
    <n v="0"/>
    <s v=""/>
    <x v="0"/>
    <x v="0"/>
    <s v="Pend"/>
    <s v="Pend"/>
  </r>
  <r>
    <n v="1"/>
    <s v="SO16769"/>
    <s v="4500586136"/>
    <s v="INV12975"/>
    <s v="Resolute Forest Products - Clermont"/>
    <d v="2025-03-13T15:25:45"/>
    <d v="2025-04-01T10:28:19"/>
    <d v="2025-04-02T00:00:00"/>
    <s v="Ian Trottier"/>
    <s v="CAD"/>
    <n v="1"/>
    <n v="1089.42"/>
    <n v="0"/>
    <n v="756.8055451792269"/>
    <n v="1037.54"/>
    <n v="51.88"/>
    <n v="1089.42"/>
    <s v="Delivered"/>
    <m/>
    <n v="1"/>
    <n v="3"/>
    <n v="2025"/>
    <n v="5"/>
    <n v="2025"/>
    <n v="0.69468666371025578"/>
    <x v="258"/>
    <d v="2025-03-13T15:25:45"/>
    <x v="308"/>
    <s v="Paid"/>
    <d v="2025-05-30T00:00:00"/>
    <s v="4500586136"/>
    <x v="83"/>
    <x v="0"/>
    <n v="1037.54"/>
    <n v="720.76520106593875"/>
    <n v="0.69468666371025578"/>
    <n v="-1037.54"/>
    <n v="0"/>
    <n v="0"/>
    <s v=""/>
    <x v="0"/>
    <x v="0"/>
    <s v="Pend"/>
    <s v="Pend"/>
  </r>
  <r>
    <n v="2"/>
    <s v="SO16770"/>
    <s v="4500566720"/>
    <s v="INV12739"/>
    <s v="Glencore Canada Corporation - Rouyn-Noranda"/>
    <d v="2025-03-14T08:07:29"/>
    <d v="2025-03-14T08:10:53"/>
    <d v="2025-03-17T00:00:00"/>
    <s v="Ian Trottier"/>
    <s v="CAD"/>
    <n v="1"/>
    <n v="364.12"/>
    <n v="0"/>
    <n v="253.19819744160489"/>
    <n v="346.78"/>
    <n v="17.34"/>
    <n v="364.12"/>
    <s v="Delivered"/>
    <m/>
    <n v="2"/>
    <n v="3"/>
    <n v="2025"/>
    <n v="4"/>
    <n v="2025"/>
    <n v="0.69537020059761856"/>
    <x v="259"/>
    <d v="2025-03-14T08:07:29"/>
    <x v="309"/>
    <s v="Paid"/>
    <d v="2025-04-25T00:00:00"/>
    <s v="4500566720"/>
    <x v="81"/>
    <x v="0"/>
    <n v="346.78"/>
    <n v="241.14047816324214"/>
    <n v="0.69537020059761856"/>
    <n v="-42.52"/>
    <n v="0"/>
    <n v="304.26"/>
    <s v=""/>
    <x v="0"/>
    <x v="1"/>
    <s v="Yes"/>
    <s v="Pend"/>
  </r>
  <r>
    <m/>
    <m/>
    <m/>
    <s v="INV12787"/>
    <m/>
    <m/>
    <m/>
    <m/>
    <m/>
    <m/>
    <m/>
    <m/>
    <m/>
    <m/>
    <m/>
    <m/>
    <m/>
    <m/>
    <m/>
    <n v="2"/>
    <n v="3"/>
    <n v="2025"/>
    <n v="5"/>
    <n v="2025"/>
    <n v="0.69537020059761856"/>
    <x v="259"/>
    <d v="2025-03-14T08:07:29"/>
    <x v="310"/>
    <s v="Paid"/>
    <d v="2025-05-09T00:00:00"/>
    <s v="4500566720"/>
    <x v="81"/>
    <x v="0"/>
    <n v="0"/>
    <n v="0"/>
    <n v="0"/>
    <n v="-304.26"/>
    <n v="0"/>
    <n v="-304.26"/>
    <s v=""/>
    <x v="0"/>
    <x v="1"/>
    <s v="Yes"/>
    <s v="Pend"/>
  </r>
  <r>
    <n v="1"/>
    <s v="SO16772"/>
    <s v="4500586282"/>
    <s v="INV12812"/>
    <s v="Resolute Forest Products - Saint-Felicien"/>
    <d v="2025-03-14T10:44:34"/>
    <d v="2025-03-31T15:08:37"/>
    <d v="2025-04-01T00:00:00"/>
    <s v="Ian Trottier"/>
    <s v="CAD"/>
    <n v="1"/>
    <n v="2422.23"/>
    <n v="0"/>
    <n v="1687.7022756884139"/>
    <n v="2306.88"/>
    <n v="115.35"/>
    <n v="2422.23"/>
    <s v="Delivered"/>
    <m/>
    <n v="1"/>
    <n v="3"/>
    <n v="2025"/>
    <n v="6"/>
    <n v="2025"/>
    <n v="0.69675558294976692"/>
    <x v="260"/>
    <d v="2025-03-14T10:44:34"/>
    <x v="311"/>
    <s v="Paid"/>
    <d v="2025-06-02T00:00:00"/>
    <s v="4500586282"/>
    <x v="46"/>
    <x v="0"/>
    <n v="2306.88"/>
    <n v="1607.3315191951583"/>
    <n v="0.69675558294976692"/>
    <n v="-2306.88"/>
    <n v="0"/>
    <n v="0"/>
    <s v=""/>
    <x v="0"/>
    <x v="0"/>
    <s v="Pend"/>
    <s v="Pend"/>
  </r>
  <r>
    <n v="1"/>
    <s v="SO16774"/>
    <s v="25-30654"/>
    <s v="INV12733"/>
    <s v="Advanced Engineered Pump Inc."/>
    <d v="2025-03-14T11:44:46"/>
    <d v="2025-03-14T11:46:29"/>
    <d v="2025-03-18T00:00:00"/>
    <s v="Ian Trottier"/>
    <s v="USD"/>
    <n v="0.69452316162135974"/>
    <n v="747.27529430177378"/>
    <n v="0"/>
    <n v="519"/>
    <n v="519"/>
    <m/>
    <n v="519"/>
    <s v="Delivered"/>
    <m/>
    <n v="1"/>
    <n v="3"/>
    <n v="2025"/>
    <n v="5"/>
    <n v="2025"/>
    <n v="0.69452316162135974"/>
    <x v="261"/>
    <d v="2025-03-14T11:44:46"/>
    <x v="312"/>
    <s v="Paid"/>
    <d v="2025-05-02T00:00:00"/>
    <s v="25-30654"/>
    <x v="62"/>
    <x v="1"/>
    <n v="747.27529430177378"/>
    <n v="519"/>
    <n v="0.69452316162135974"/>
    <n v="0"/>
    <n v="-519"/>
    <s v=""/>
    <n v="0"/>
    <x v="0"/>
    <x v="0"/>
    <s v="Pend"/>
    <s v="Pend"/>
  </r>
  <r>
    <n v="1"/>
    <s v="SO16775"/>
    <s v="130080"/>
    <s v="INV13191"/>
    <s v="Cypress Sales Partnership"/>
    <d v="2025-03-14T12:04:45"/>
    <d v="2025-03-17T12:56:15"/>
    <d v="2025-08-18T00:00:00"/>
    <s v="Ian Trottier"/>
    <s v="CAD"/>
    <n v="1"/>
    <n v="8334.94"/>
    <n v="8334.94"/>
    <n v="8334.94"/>
    <n v="7938.04"/>
    <n v="396.9"/>
    <n v="8334.94"/>
    <s v="Delivered"/>
    <m/>
    <n v="1"/>
    <n v="3"/>
    <n v="2025"/>
    <n v="9"/>
    <n v="2025"/>
    <n v="1"/>
    <x v="262"/>
    <d v="2025-03-14T12:04:45"/>
    <x v="313"/>
    <s v="Paid"/>
    <d v="2025-09-12T00:00:00"/>
    <s v="130080"/>
    <x v="70"/>
    <x v="0"/>
    <n v="7938.04"/>
    <n v="5556.7704101209729"/>
    <n v="0.70001794021206409"/>
    <n v="-7938.04"/>
    <n v="0"/>
    <n v="0"/>
    <s v=""/>
    <x v="0"/>
    <x v="0"/>
    <s v="Pend"/>
    <s v="Pend"/>
  </r>
  <r>
    <n v="1"/>
    <s v="SO16778"/>
    <s v="AB39-00081077"/>
    <s v="INV12759"/>
    <s v="Motion Industries Inc. (Canada) - Red Deer"/>
    <d v="2025-03-17T08:54:42"/>
    <d v="2025-03-20T14:02:23"/>
    <d v="2025-03-21T00:00:00"/>
    <s v="Ian Trottier"/>
    <s v="CAD"/>
    <n v="1"/>
    <n v="171.09"/>
    <n v="0"/>
    <n v="119.40589572991151"/>
    <n v="171.09"/>
    <m/>
    <n v="171.09"/>
    <s v="Delivered"/>
    <m/>
    <n v="1"/>
    <n v="3"/>
    <n v="2025"/>
    <n v="4"/>
    <n v="2025"/>
    <n v="0.69791276947753522"/>
    <x v="263"/>
    <d v="2025-03-17T08:54:42"/>
    <x v="314"/>
    <s v="Paid"/>
    <d v="2025-04-21T00:00:00"/>
    <s v="AB39-00081077"/>
    <x v="84"/>
    <x v="0"/>
    <n v="171.09"/>
    <n v="119.40589572991151"/>
    <n v="0.69791276947753522"/>
    <n v="-171.09"/>
    <n v="0"/>
    <n v="0"/>
    <s v=""/>
    <x v="0"/>
    <x v="0"/>
    <s v="Pend"/>
    <s v="Pend"/>
  </r>
  <r>
    <n v="2"/>
    <s v="SO16783"/>
    <s v="S306621"/>
    <s v="INV12917"/>
    <s v="Kumtor Gold Company"/>
    <d v="2025-03-17T15:38:41"/>
    <d v="2025-04-02T10:01:04"/>
    <d v="2025-04-30T00:00:00"/>
    <s v="Ian Trottier"/>
    <s v="USD"/>
    <n v="0.69468666371025578"/>
    <n v="8032.4271236151872"/>
    <n v="0"/>
    <n v="5580.02"/>
    <n v="5580.02"/>
    <m/>
    <n v="5580.02"/>
    <s v="Delivered"/>
    <m/>
    <n v="2"/>
    <n v="3"/>
    <n v="2025"/>
    <n v="5"/>
    <n v="2025"/>
    <n v="0.69468666371025578"/>
    <x v="264"/>
    <d v="2025-03-17T15:38:41"/>
    <x v="315"/>
    <s v="Paid"/>
    <d v="2025-05-27T00:00:00"/>
    <s v="S306621"/>
    <x v="57"/>
    <x v="1"/>
    <n v="8032.4271236151872"/>
    <n v="5580.02"/>
    <n v="0.69468666371025578"/>
    <n v="0"/>
    <n v="-189.35"/>
    <s v=""/>
    <n v="5390.67"/>
    <x v="0"/>
    <x v="1"/>
    <s v="Yes"/>
    <s v="Pend"/>
  </r>
  <r>
    <m/>
    <m/>
    <m/>
    <s v="INV12823"/>
    <m/>
    <m/>
    <m/>
    <m/>
    <m/>
    <m/>
    <m/>
    <m/>
    <m/>
    <m/>
    <m/>
    <m/>
    <m/>
    <m/>
    <m/>
    <n v="2"/>
    <n v="3"/>
    <n v="2025"/>
    <n v="4"/>
    <n v="2025"/>
    <n v="0.69468666371025578"/>
    <x v="264"/>
    <d v="2025-03-17T15:38:41"/>
    <x v="316"/>
    <s v="Paid"/>
    <d v="2025-04-16T00:00:00"/>
    <s v="S306621"/>
    <x v="57"/>
    <x v="1"/>
    <n v="0"/>
    <n v="0"/>
    <n v="0"/>
    <n v="0"/>
    <n v="-5390.67"/>
    <s v=""/>
    <n v="-5390.67"/>
    <x v="0"/>
    <x v="1"/>
    <s v="Yes"/>
    <s v="Pend"/>
  </r>
  <r>
    <n v="1"/>
    <s v="SO16787"/>
    <s v="OC00156"/>
    <s v="INV12958"/>
    <s v="Dynapro Pumps México S de RL de CV"/>
    <d v="2025-03-18T10:50:49"/>
    <d v="2025-03-18T10:52:16"/>
    <d v="2025-04-25T00:00:00"/>
    <s v="Yannett Yeomans"/>
    <s v="USD"/>
    <n v="0.69620152464306795"/>
    <n v="1291.2927768448999"/>
    <n v="0"/>
    <n v="899"/>
    <n v="899"/>
    <m/>
    <n v="899"/>
    <s v="Delivered"/>
    <m/>
    <n v="1"/>
    <n v="3"/>
    <n v="2025"/>
    <s v=""/>
    <s v=""/>
    <n v="0.69620152464306784"/>
    <x v="265"/>
    <d v="2025-03-18T10:50:49"/>
    <x v="317"/>
    <s v="Approved"/>
    <s v="Pending"/>
    <s v="OC00156"/>
    <x v="54"/>
    <x v="1"/>
    <n v="1291.2927768448997"/>
    <n v="899"/>
    <n v="0.69620152464306795"/>
    <n v="0"/>
    <n v="-899"/>
    <s v=""/>
    <n v="0"/>
    <x v="1"/>
    <x v="2"/>
    <s v="Pend"/>
    <s v="Pend"/>
  </r>
  <r>
    <n v="2"/>
    <s v="SO16788"/>
    <s v="4500567129"/>
    <s v="INV12799"/>
    <s v="Glencore Canada Corporation - Rouyn-Noranda, Glencore Canada Corp."/>
    <d v="2025-03-18T10:59:01"/>
    <d v="2025-03-18T12:57:10"/>
    <d v="2025-04-08T00:00:00"/>
    <s v="Ian Trottier"/>
    <s v="CAD"/>
    <n v="1"/>
    <n v="2887.52"/>
    <n v="0"/>
    <n v="2017.590543266228"/>
    <n v="2750.02"/>
    <n v="137.5"/>
    <n v="2887.52"/>
    <s v="Delivered"/>
    <m/>
    <n v="2"/>
    <n v="3"/>
    <n v="2025"/>
    <n v="5"/>
    <n v="2025"/>
    <n v="0.69872781600343137"/>
    <x v="266"/>
    <d v="2025-03-18T10:59:01"/>
    <x v="318"/>
    <s v="Paid"/>
    <d v="2025-05-02T00:00:00"/>
    <s v="4500567129"/>
    <x v="27"/>
    <x v="0"/>
    <n v="2750.02"/>
    <n v="1921.5154685657562"/>
    <n v="0.69872781600343137"/>
    <n v="-1126.22"/>
    <n v="0"/>
    <n v="1623.8"/>
    <s v=""/>
    <x v="0"/>
    <x v="1"/>
    <s v="Yes"/>
    <s v="Pend"/>
  </r>
  <r>
    <m/>
    <m/>
    <m/>
    <s v="INV12813"/>
    <m/>
    <m/>
    <m/>
    <m/>
    <m/>
    <m/>
    <m/>
    <m/>
    <m/>
    <m/>
    <m/>
    <m/>
    <m/>
    <m/>
    <m/>
    <n v="2"/>
    <n v="3"/>
    <n v="2025"/>
    <n v="5"/>
    <n v="2025"/>
    <n v="0.69872781600343137"/>
    <x v="266"/>
    <d v="2025-03-18T10:59:01"/>
    <x v="319"/>
    <s v="Paid"/>
    <d v="2025-05-16T00:00:00"/>
    <s v="4500567129"/>
    <x v="27"/>
    <x v="0"/>
    <n v="0"/>
    <n v="0"/>
    <n v="0"/>
    <n v="-1623.8"/>
    <n v="0"/>
    <n v="-1623.8"/>
    <s v=""/>
    <x v="0"/>
    <x v="1"/>
    <s v="Yes"/>
    <s v="Pend"/>
  </r>
  <r>
    <n v="1"/>
    <s v="SO16792"/>
    <s v="P355611"/>
    <s v="INV12802"/>
    <s v="Covia Corp - Junction City"/>
    <d v="2025-03-18T15:39:58"/>
    <d v="2025-03-25T15:09:34"/>
    <d v="2025-03-31T00:00:00"/>
    <s v="Marlen Martinez"/>
    <s v="USD"/>
    <n v="0.69959491803052931"/>
    <n v="15979.247006926031"/>
    <n v="0"/>
    <n v="11179"/>
    <n v="11179"/>
    <m/>
    <n v="11179"/>
    <s v="Delivered"/>
    <m/>
    <n v="1"/>
    <n v="3"/>
    <n v="2025"/>
    <n v="7"/>
    <n v="2025"/>
    <n v="0.69959491803052953"/>
    <x v="267"/>
    <d v="2025-03-18T15:39:58"/>
    <x v="320"/>
    <s v="Paid"/>
    <d v="2025-07-05T00:00:00"/>
    <s v="P355611"/>
    <x v="6"/>
    <x v="1"/>
    <n v="15979.247006926034"/>
    <n v="11179"/>
    <n v="0.69959491803052931"/>
    <n v="0"/>
    <n v="-11179"/>
    <s v=""/>
    <n v="0"/>
    <x v="0"/>
    <x v="0"/>
    <s v="Pend"/>
    <s v="Pend"/>
  </r>
  <r>
    <n v="1"/>
    <s v="SO16793"/>
    <s v="SUD1005997"/>
    <s v="INV12752"/>
    <s v="Process and Steam Specialties, Process and Steam Specialties"/>
    <d v="2025-03-18T16:17:17"/>
    <d v="2025-03-18T16:20:44"/>
    <d v="2025-03-19T00:00:00"/>
    <s v="Ian Trottier"/>
    <s v="CAD"/>
    <n v="1"/>
    <n v="1561.69"/>
    <n v="0"/>
    <n v="1091.196242974399"/>
    <n v="1487.32"/>
    <n v="74.37"/>
    <n v="1561.69"/>
    <s v="Delivered"/>
    <m/>
    <n v="1"/>
    <n v="3"/>
    <n v="2025"/>
    <n v="5"/>
    <n v="2025"/>
    <n v="0.69872781600343148"/>
    <x v="268"/>
    <d v="2025-03-18T16:17:17"/>
    <x v="321"/>
    <s v="Paid"/>
    <d v="2025-05-01T00:00:00"/>
    <s v="SUD1005997"/>
    <x v="39"/>
    <x v="0"/>
    <n v="1487.32"/>
    <n v="1039.2318552982238"/>
    <n v="0.69872781600343159"/>
    <n v="-1487.32"/>
    <n v="0"/>
    <n v="0"/>
    <s v=""/>
    <x v="0"/>
    <x v="0"/>
    <s v="Pend"/>
    <s v="Pend"/>
  </r>
  <r>
    <n v="2"/>
    <s v="SO16794"/>
    <s v="PO-007838"/>
    <s v="INV12795"/>
    <s v="Sling-Choker Manufacturing - Timmins"/>
    <d v="2025-03-18T16:45:48"/>
    <d v="2025-03-19T09:06:32"/>
    <d v="2025-06-25T00:00:00"/>
    <s v="Ian Trottier"/>
    <s v="CAD"/>
    <n v="1"/>
    <n v="14190.21"/>
    <n v="0"/>
    <n v="9901.6397600123782"/>
    <n v="12557.71"/>
    <n v="1632.5"/>
    <n v="14190.21"/>
    <s v="Delivered"/>
    <m/>
    <n v="2"/>
    <n v="3"/>
    <n v="2025"/>
    <n v="4"/>
    <n v="2025"/>
    <n v="0.69777964949161275"/>
    <x v="269"/>
    <d v="2025-03-18T16:45:48"/>
    <x v="322"/>
    <s v="Paid"/>
    <d v="2025-04-30T00:00:00"/>
    <s v="PO-007838"/>
    <x v="3"/>
    <x v="0"/>
    <n v="12557.71"/>
    <n v="8762.5144822173206"/>
    <n v="0.69777964949161286"/>
    <n v="-211.1"/>
    <n v="0"/>
    <n v="12346.609999999999"/>
    <s v=""/>
    <x v="0"/>
    <x v="1"/>
    <s v="Yes"/>
    <s v="Pend"/>
  </r>
  <r>
    <m/>
    <m/>
    <m/>
    <s v="INV13161"/>
    <m/>
    <m/>
    <m/>
    <m/>
    <m/>
    <m/>
    <m/>
    <m/>
    <m/>
    <m/>
    <m/>
    <m/>
    <m/>
    <m/>
    <m/>
    <n v="2"/>
    <n v="3"/>
    <n v="2025"/>
    <n v="8"/>
    <n v="2025"/>
    <n v="0.69777964949161275"/>
    <x v="269"/>
    <d v="2025-03-18T16:45:48"/>
    <x v="323"/>
    <s v="Paid"/>
    <d v="2025-08-06T00:00:00"/>
    <s v="PO-007838"/>
    <x v="3"/>
    <x v="0"/>
    <n v="0"/>
    <n v="0"/>
    <n v="0"/>
    <n v="-12346.61"/>
    <n v="0"/>
    <n v="-12346.61"/>
    <s v=""/>
    <x v="0"/>
    <x v="1"/>
    <s v="Yes"/>
    <s v="Pend"/>
  </r>
  <r>
    <n v="1"/>
    <s v="SO16796"/>
    <s v="2100534732"/>
    <s v="INV12754"/>
    <s v="Wajax Limited - Noranda"/>
    <d v="2025-03-19T08:39:25"/>
    <d v="2025-03-19T12:20:09"/>
    <d v="2025-03-20T00:00:00"/>
    <s v="Ian Trottier"/>
    <s v="CAD"/>
    <n v="1"/>
    <n v="155.12"/>
    <n v="0"/>
    <n v="108.239579229139"/>
    <n v="147.72999999999999"/>
    <n v="7.39"/>
    <n v="155.12"/>
    <s v="Delivered"/>
    <m/>
    <n v="1"/>
    <n v="3"/>
    <n v="2025"/>
    <n v="4"/>
    <n v="2025"/>
    <n v="0.69777964949161286"/>
    <x v="270"/>
    <d v="2025-03-19T08:39:25"/>
    <x v="324"/>
    <s v="Paid"/>
    <d v="2025-04-23T00:00:00"/>
    <s v="2100534732"/>
    <x v="35"/>
    <x v="0"/>
    <n v="147.72999999999999"/>
    <n v="103.08298761939596"/>
    <n v="0.69777964949161286"/>
    <n v="-147.72999999999999"/>
    <n v="0"/>
    <n v="0"/>
    <s v=""/>
    <x v="0"/>
    <x v="0"/>
    <s v="Pend"/>
    <s v="Pend"/>
  </r>
  <r>
    <n v="1"/>
    <s v="SO16797"/>
    <s v="M-083636"/>
    <s v="INV12826"/>
    <s v="Grant Aggregate"/>
    <d v="2025-03-19T08:44:18"/>
    <d v="2025-03-20T09:26:37"/>
    <d v="2025-04-03T00:00:00"/>
    <s v="Ian Trottier"/>
    <s v="CAD"/>
    <n v="1"/>
    <n v="1336.67"/>
    <n v="0"/>
    <n v="932.87906157753673"/>
    <n v="1182.8900000000001"/>
    <n v="153.78"/>
    <n v="1336.67"/>
    <s v="Delivered"/>
    <m/>
    <n v="1"/>
    <n v="3"/>
    <n v="2025"/>
    <n v="5"/>
    <n v="2025"/>
    <n v="0.697912769477535"/>
    <x v="271"/>
    <d v="2025-03-19T08:44:18"/>
    <x v="325"/>
    <s v="Paid"/>
    <d v="2025-05-23T00:00:00"/>
    <s v="M-083636"/>
    <x v="9"/>
    <x v="0"/>
    <n v="1182.8900000000001"/>
    <n v="825.55403588728143"/>
    <n v="0.697912769477535"/>
    <n v="-1182.8900000000001"/>
    <n v="0"/>
    <n v="0"/>
    <s v=""/>
    <x v="0"/>
    <x v="0"/>
    <s v="Pend"/>
    <s v="Pend"/>
  </r>
  <r>
    <n v="3"/>
    <s v="SO16798"/>
    <s v="S306876"/>
    <s v="INV12968"/>
    <s v="Kumtor Gold Company"/>
    <d v="2025-03-19T11:25:17"/>
    <d v="2025-04-15T09:58:42"/>
    <d v="2025-07-22T00:00:00"/>
    <s v="Ian Trottier"/>
    <s v="USD"/>
    <n v="0.71974046347359422"/>
    <n v="12832.08388121817"/>
    <n v="0"/>
    <n v="9235.77"/>
    <n v="9235.77"/>
    <m/>
    <n v="9235.77"/>
    <s v="Delivered"/>
    <m/>
    <n v="3"/>
    <n v="3"/>
    <n v="2025"/>
    <n v="5"/>
    <n v="2025"/>
    <n v="0.71974046347359399"/>
    <x v="272"/>
    <d v="2025-03-19T11:25:17"/>
    <x v="326"/>
    <s v="Paid"/>
    <d v="2025-05-27T00:00:00"/>
    <s v="S306876"/>
    <x v="57"/>
    <x v="1"/>
    <n v="12832.083881218166"/>
    <n v="9235.77"/>
    <n v="0.71974046347359422"/>
    <n v="0"/>
    <n v="-2392.75"/>
    <s v=""/>
    <n v="6843.02"/>
    <x v="0"/>
    <x v="1"/>
    <s v="Yes"/>
    <s v="Pend"/>
  </r>
  <r>
    <m/>
    <m/>
    <m/>
    <s v="INV12916"/>
    <m/>
    <m/>
    <m/>
    <m/>
    <m/>
    <m/>
    <m/>
    <m/>
    <m/>
    <m/>
    <m/>
    <m/>
    <m/>
    <m/>
    <m/>
    <n v="3"/>
    <n v="3"/>
    <n v="2025"/>
    <n v="5"/>
    <n v="2025"/>
    <n v="0.71974046347359399"/>
    <x v="272"/>
    <d v="2025-03-19T11:25:17"/>
    <x v="327"/>
    <s v="Paid"/>
    <d v="2025-05-27T00:00:00"/>
    <s v="S306876"/>
    <x v="57"/>
    <x v="1"/>
    <n v="0"/>
    <n v="0"/>
    <n v="0"/>
    <n v="0"/>
    <n v="-4785.5"/>
    <s v=""/>
    <n v="-4785.5"/>
    <x v="0"/>
    <x v="1"/>
    <s v="Yes"/>
    <s v="Pend"/>
  </r>
  <r>
    <m/>
    <m/>
    <m/>
    <s v="INV13275"/>
    <m/>
    <m/>
    <m/>
    <m/>
    <m/>
    <m/>
    <m/>
    <m/>
    <m/>
    <m/>
    <m/>
    <m/>
    <m/>
    <m/>
    <m/>
    <n v="3"/>
    <n v="3"/>
    <n v="2025"/>
    <n v="8"/>
    <n v="2025"/>
    <n v="0.71974046347359399"/>
    <x v="272"/>
    <d v="2025-03-19T11:25:17"/>
    <x v="328"/>
    <s v="Paid"/>
    <d v="2025-08-13T00:00:00"/>
    <s v="S306876"/>
    <x v="57"/>
    <x v="1"/>
    <n v="0"/>
    <n v="0"/>
    <n v="0"/>
    <n v="0"/>
    <n v="-2057.52"/>
    <s v=""/>
    <n v="-2057.52"/>
    <x v="0"/>
    <x v="1"/>
    <s v="Yes"/>
    <s v="Pend"/>
  </r>
  <r>
    <n v="1"/>
    <s v="SO16799"/>
    <s v="4500567408"/>
    <s v="INV12788"/>
    <s v="Glencore Canada Corporation - Rouyn-Noranda"/>
    <d v="2025-03-19T12:51:14"/>
    <d v="2025-03-19T12:57:59"/>
    <d v="2025-03-20T00:00:00"/>
    <s v="Ian Trottier"/>
    <s v="CAD"/>
    <n v="1"/>
    <n v="5581.2"/>
    <n v="0"/>
    <n v="3894.4477797425889"/>
    <n v="5315.42"/>
    <n v="265.77999999999997"/>
    <n v="5581.2"/>
    <s v="Delivered"/>
    <m/>
    <n v="1"/>
    <n v="3"/>
    <n v="2025"/>
    <n v="5"/>
    <n v="2025"/>
    <n v="0.69777964949161275"/>
    <x v="273"/>
    <d v="2025-03-19T12:51:14"/>
    <x v="329"/>
    <s v="Paid"/>
    <d v="2025-05-09T00:00:00"/>
    <s v="4500567408"/>
    <x v="81"/>
    <x v="0"/>
    <n v="5315.42"/>
    <n v="3708.9919045007082"/>
    <n v="0.69777964949161275"/>
    <n v="-5315.42"/>
    <n v="0"/>
    <n v="0"/>
    <s v=""/>
    <x v="0"/>
    <x v="0"/>
    <s v="Pend"/>
    <s v="Pend"/>
  </r>
  <r>
    <n v="1"/>
    <s v="SO16803"/>
    <s v="4500587186"/>
    <s v="INV12848"/>
    <s v="Resolute Forest Products - Saint-Felicien"/>
    <d v="2025-03-20T08:46:43"/>
    <d v="2025-04-08T16:05:42"/>
    <d v="2025-04-09T00:00:00"/>
    <s v="Ian Trottier"/>
    <s v="CAD"/>
    <n v="1"/>
    <n v="1886.26"/>
    <n v="0"/>
    <n v="1328.1571670862199"/>
    <n v="1796.44"/>
    <n v="89.82"/>
    <n v="1886.26"/>
    <s v="Delivered"/>
    <m/>
    <n v="1"/>
    <n v="3"/>
    <n v="2025"/>
    <n v="6"/>
    <n v="2025"/>
    <n v="0.70412200178460016"/>
    <x v="274"/>
    <d v="2025-03-20T08:46:43"/>
    <x v="330"/>
    <s v="Paid"/>
    <d v="2025-06-09T00:00:00"/>
    <s v="4500587186"/>
    <x v="46"/>
    <x v="0"/>
    <n v="1796.44"/>
    <n v="1264.9129288859272"/>
    <n v="0.70412200178460016"/>
    <n v="-1796.44"/>
    <n v="0"/>
    <n v="0"/>
    <s v=""/>
    <x v="0"/>
    <x v="0"/>
    <s v="Pend"/>
    <s v="Pend"/>
  </r>
  <r>
    <n v="1"/>
    <s v="SO16804"/>
    <s v="4500587239"/>
    <s v="INV12758"/>
    <s v="Resolute Forest Products - Saint-Felicien"/>
    <d v="2025-03-20T11:18:55"/>
    <d v="2025-03-20T11:20:09"/>
    <d v="2025-03-21T00:00:00"/>
    <s v="Ian Trottier"/>
    <s v="CAD"/>
    <n v="1"/>
    <n v="316.85000000000002"/>
    <n v="0"/>
    <n v="221.13366100895701"/>
    <n v="301.76"/>
    <n v="15.09"/>
    <n v="316.85000000000002"/>
    <s v="Delivered"/>
    <m/>
    <n v="1"/>
    <n v="3"/>
    <n v="2025"/>
    <n v="5"/>
    <n v="2025"/>
    <n v="0.69791276947753511"/>
    <x v="275"/>
    <d v="2025-03-20T11:18:55"/>
    <x v="331"/>
    <s v="Paid"/>
    <d v="2025-05-20T00:00:00"/>
    <s v="4500587239"/>
    <x v="46"/>
    <x v="0"/>
    <n v="301.76"/>
    <n v="210.60215731754099"/>
    <n v="0.69791276947753511"/>
    <n v="-301.76"/>
    <n v="0"/>
    <n v="0"/>
    <s v=""/>
    <x v="0"/>
    <x v="0"/>
    <s v="Pend"/>
    <s v="Pend"/>
  </r>
  <r>
    <n v="1"/>
    <s v="SO16805"/>
    <s v="5400231028"/>
    <s v="INV13049"/>
    <s v="Algoma Steel Inc."/>
    <d v="2025-03-20T12:02:37"/>
    <d v="2025-03-26T16:11:27"/>
    <d v="2025-06-04T00:00:00"/>
    <s v="Ian Trottier"/>
    <s v="CAD"/>
    <n v="1"/>
    <n v="13878.16"/>
    <n v="0"/>
    <n v="9734.5382757816169"/>
    <n v="12281.56"/>
    <n v="1596.6"/>
    <n v="13878.16"/>
    <s v="Delivered"/>
    <m/>
    <n v="1"/>
    <n v="3"/>
    <n v="2025"/>
    <n v="6"/>
    <n v="2025"/>
    <n v="0.70142859541766467"/>
    <x v="276"/>
    <d v="2025-03-20T12:02:37"/>
    <x v="332"/>
    <s v="Paid"/>
    <d v="2025-06-18T00:00:00"/>
    <s v="5400231028"/>
    <x v="85"/>
    <x v="0"/>
    <n v="12281.56"/>
    <n v="8614.6373803377737"/>
    <n v="0.70142859541766467"/>
    <n v="-12281.56"/>
    <n v="0"/>
    <n v="0"/>
    <s v=""/>
    <x v="0"/>
    <x v="0"/>
    <s v="Pend"/>
    <s v="Pend"/>
  </r>
  <r>
    <n v="2"/>
    <s v="SO16809"/>
    <s v="2100579915"/>
    <s v="INV13438"/>
    <s v="Wajax Limited - Noranda"/>
    <d v="2025-03-21T12:44:28"/>
    <d v="2025-05-23T13:43:12"/>
    <d v="2025-08-29T00:00:00"/>
    <s v="Ian Trottier"/>
    <s v="CAD"/>
    <n v="1"/>
    <n v="8392.52"/>
    <n v="0"/>
    <n v="6099.6775609877104"/>
    <n v="7992.87"/>
    <n v="399.65"/>
    <n v="8392.52"/>
    <s v="Delivered"/>
    <m/>
    <n v="2"/>
    <n v="3"/>
    <n v="2025"/>
    <s v=""/>
    <s v=""/>
    <n v="0.72679928805504312"/>
    <x v="277"/>
    <d v="2025-03-21T12:44:28"/>
    <x v="333"/>
    <s v="Not invoiced"/>
    <s v="Pending"/>
    <s v="2100579915"/>
    <x v="35"/>
    <x v="0"/>
    <n v="7992.87"/>
    <n v="5809.2122255165123"/>
    <n v="0.72679928805504312"/>
    <n v="0"/>
    <n v="0"/>
    <n v="7992.87"/>
    <s v=""/>
    <x v="1"/>
    <x v="1"/>
    <n v="0"/>
    <s v="Pend"/>
  </r>
  <r>
    <m/>
    <m/>
    <m/>
    <s v="INV13026"/>
    <m/>
    <m/>
    <m/>
    <m/>
    <m/>
    <m/>
    <m/>
    <m/>
    <m/>
    <m/>
    <m/>
    <m/>
    <m/>
    <m/>
    <m/>
    <n v="2"/>
    <n v="3"/>
    <n v="2025"/>
    <n v="7"/>
    <n v="2025"/>
    <n v="0.72679928805504312"/>
    <x v="277"/>
    <d v="2025-03-21T12:44:28"/>
    <x v="334"/>
    <s v="Paid"/>
    <d v="2025-07-09T00:00:00"/>
    <s v="2100579915"/>
    <x v="35"/>
    <x v="0"/>
    <n v="0"/>
    <n v="0"/>
    <n v="0"/>
    <n v="-5.14"/>
    <n v="0"/>
    <n v="-5.14"/>
    <s v=""/>
    <x v="0"/>
    <x v="1"/>
    <n v="0"/>
    <s v="Pend"/>
  </r>
  <r>
    <n v="1"/>
    <s v="SO16812"/>
    <s v="1079552"/>
    <s v="INV12869"/>
    <s v="Hisco Pump Inc."/>
    <d v="2025-03-21T14:56:26"/>
    <d v="2025-04-11T15:24:55"/>
    <d v="2025-04-14T00:00:00"/>
    <s v="Amanda Qiao"/>
    <s v="USD"/>
    <n v="0.70470066534440534"/>
    <n v="6778.1829007718588"/>
    <n v="0"/>
    <n v="4776.59"/>
    <n v="4776.59"/>
    <m/>
    <n v="4776.59"/>
    <s v="Delivered"/>
    <m/>
    <n v="1"/>
    <n v="3"/>
    <n v="2025"/>
    <n v="5"/>
    <n v="2025"/>
    <n v="0.70470066534440534"/>
    <x v="278"/>
    <d v="2025-03-21T14:56:26"/>
    <x v="335"/>
    <s v="Paid"/>
    <d v="2025-05-30T00:00:00"/>
    <s v="1079552"/>
    <x v="86"/>
    <x v="1"/>
    <n v="6778.1829007718588"/>
    <n v="4776.59"/>
    <n v="0.70470066534440534"/>
    <n v="0"/>
    <n v="-4776.59"/>
    <s v=""/>
    <n v="0"/>
    <x v="0"/>
    <x v="0"/>
    <s v="Pend"/>
    <s v="Pend"/>
  </r>
  <r>
    <n v="2"/>
    <s v="SO16813"/>
    <s v="4500792148"/>
    <s v="INV12986"/>
    <s v="AGM Inc."/>
    <d v="2025-03-21T15:23:50"/>
    <d v="2025-04-01T10:02:50"/>
    <d v="2025-05-06T00:00:00"/>
    <s v="Amanda Qiao"/>
    <s v="USD"/>
    <n v="0.69675558294976692"/>
    <n v="19956.495994094501"/>
    <n v="0"/>
    <n v="13904.8"/>
    <n v="13904.8"/>
    <m/>
    <n v="13904.8"/>
    <s v="Delivered"/>
    <m/>
    <n v="2"/>
    <n v="3"/>
    <n v="2025"/>
    <n v="7"/>
    <n v="2025"/>
    <n v="0.69675558294976681"/>
    <x v="279"/>
    <d v="2025-03-21T15:23:50"/>
    <x v="336"/>
    <s v="Paid"/>
    <d v="2025-07-21T00:00:00"/>
    <s v="4500792148"/>
    <x v="61"/>
    <x v="1"/>
    <n v="19956.495994094497"/>
    <n v="13904.8"/>
    <n v="0.69675558294976692"/>
    <n v="0"/>
    <n v="-9044.7999999999993"/>
    <s v=""/>
    <n v="4860"/>
    <x v="0"/>
    <x v="1"/>
    <s v="Yes"/>
    <s v="Pend"/>
  </r>
  <r>
    <m/>
    <m/>
    <m/>
    <s v="INV12845"/>
    <m/>
    <m/>
    <m/>
    <m/>
    <m/>
    <m/>
    <m/>
    <m/>
    <m/>
    <m/>
    <m/>
    <m/>
    <m/>
    <m/>
    <m/>
    <n v="2"/>
    <n v="3"/>
    <n v="2025"/>
    <n v="8"/>
    <n v="2025"/>
    <n v="0.69675558294976681"/>
    <x v="279"/>
    <d v="2025-03-21T15:23:50"/>
    <x v="337"/>
    <s v="Paid"/>
    <d v="2025-08-18T00:00:00"/>
    <s v="4500792148"/>
    <x v="61"/>
    <x v="1"/>
    <n v="0"/>
    <n v="0"/>
    <n v="0"/>
    <n v="0"/>
    <n v="-4860"/>
    <s v=""/>
    <n v="-4860"/>
    <x v="0"/>
    <x v="1"/>
    <s v="Yes"/>
    <s v="Pend"/>
  </r>
  <r>
    <n v="1"/>
    <s v="SO16814"/>
    <s v="S306482"/>
    <s v="INV12781"/>
    <s v="Kumtor Gold Company"/>
    <d v="2025-03-24T08:05:17"/>
    <d v="2025-03-26T07:52:34"/>
    <d v="2025-03-26T00:00:00"/>
    <s v="Ian Trottier"/>
    <s v="USD"/>
    <n v="0.69885068489118096"/>
    <n v="7831.9305086640406"/>
    <n v="0"/>
    <n v="5473.35"/>
    <n v="5473.35"/>
    <m/>
    <n v="5473.35"/>
    <s v="Delivered"/>
    <m/>
    <n v="1"/>
    <n v="3"/>
    <n v="2025"/>
    <n v="4"/>
    <n v="2025"/>
    <n v="0.69885068489118096"/>
    <x v="280"/>
    <d v="2025-03-24T08:05:17"/>
    <x v="338"/>
    <s v="Paid"/>
    <d v="2025-04-04T00:00:00"/>
    <s v="S306482"/>
    <x v="57"/>
    <x v="1"/>
    <n v="7831.9305086640406"/>
    <n v="5473.35"/>
    <n v="0.69885068489118096"/>
    <n v="0"/>
    <n v="-5473.35"/>
    <s v=""/>
    <n v="0"/>
    <x v="0"/>
    <x v="0"/>
    <s v="Pend"/>
    <s v="Pend"/>
  </r>
  <r>
    <n v="1"/>
    <s v="SO16815"/>
    <s v="PO-40-1014081"/>
    <s v="INV12814"/>
    <s v="Canadian Bearings Ltd."/>
    <d v="2025-03-24T08:45:57"/>
    <d v="2025-03-27T10:02:22"/>
    <d v="2025-04-24T00:00:00"/>
    <s v="Ian Trottier"/>
    <s v="CAD"/>
    <n v="1"/>
    <n v="2263.5700000000002"/>
    <n v="0"/>
    <n v="1580.9480548073821"/>
    <n v="2155.7800000000002"/>
    <n v="107.79"/>
    <n v="2263.5700000000002"/>
    <s v="Delivered"/>
    <m/>
    <n v="1"/>
    <n v="3"/>
    <n v="2025"/>
    <n v="5"/>
    <n v="2025"/>
    <n v="0.69843126336158456"/>
    <x v="281"/>
    <d v="2025-03-24T08:45:57"/>
    <x v="339"/>
    <s v="Paid"/>
    <d v="2025-05-13T00:00:00"/>
    <s v="PO-40-1014081"/>
    <x v="38"/>
    <x v="0"/>
    <n v="2155.7800000000002"/>
    <n v="1505.6641489296369"/>
    <n v="0.69843126336158456"/>
    <n v="-2155.7800000000002"/>
    <n v="0"/>
    <n v="0"/>
    <s v=""/>
    <x v="0"/>
    <x v="0"/>
    <s v="Pend"/>
    <s v="Pend"/>
  </r>
  <r>
    <n v="1"/>
    <s v="SO16816"/>
    <s v="PO-40-1013960"/>
    <s v="INV12778"/>
    <s v="Canadian Bearings Ltd."/>
    <d v="2025-03-24T11:27:49"/>
    <d v="2025-03-24T11:31:57"/>
    <d v="2025-03-25T00:00:00"/>
    <s v="Ian Trottier"/>
    <s v="CAD"/>
    <n v="1"/>
    <n v="168.08"/>
    <n v="0"/>
    <n v="117.58791382257139"/>
    <n v="160.08000000000001"/>
    <n v="8"/>
    <n v="168.08"/>
    <s v="Delivered"/>
    <m/>
    <n v="1"/>
    <n v="3"/>
    <n v="2025"/>
    <n v="5"/>
    <n v="2025"/>
    <n v="0.69959491803052942"/>
    <x v="282"/>
    <d v="2025-03-24T11:27:49"/>
    <x v="340"/>
    <s v="Paid"/>
    <d v="2025-05-13T00:00:00"/>
    <s v="PO-40-1013960"/>
    <x v="38"/>
    <x v="0"/>
    <n v="160.08000000000001"/>
    <n v="111.99115447832716"/>
    <n v="0.69959491803052942"/>
    <n v="-160.08000000000001"/>
    <n v="0"/>
    <n v="0"/>
    <s v=""/>
    <x v="0"/>
    <x v="0"/>
    <s v="Pend"/>
    <s v="Pend"/>
  </r>
  <r>
    <n v="1"/>
    <s v="SO16817"/>
    <s v="1079674"/>
    <s v="INV13007"/>
    <s v="Hisco Pump Inc."/>
    <d v="2025-03-24T11:48:19"/>
    <d v="2025-04-28T14:35:28"/>
    <d v="2025-05-12T00:00:00"/>
    <s v="Amanda Qiao"/>
    <s v="USD"/>
    <n v="0.72125060891744774"/>
    <n v="1995.3120069597301"/>
    <n v="0"/>
    <n v="1439.12"/>
    <n v="1439.12"/>
    <m/>
    <n v="1439.12"/>
    <s v="Delivered"/>
    <m/>
    <n v="1"/>
    <n v="3"/>
    <n v="2025"/>
    <n v="7"/>
    <n v="2025"/>
    <n v="0.72125060891744763"/>
    <x v="283"/>
    <d v="2025-03-24T11:48:19"/>
    <x v="341"/>
    <s v="Paid"/>
    <d v="2025-07-05T00:00:00"/>
    <s v="1079674"/>
    <x v="86"/>
    <x v="1"/>
    <n v="1995.3120069597298"/>
    <n v="1439.12"/>
    <n v="0.72125060891744774"/>
    <n v="0"/>
    <n v="-1439.12"/>
    <s v=""/>
    <n v="0"/>
    <x v="0"/>
    <x v="0"/>
    <s v="Pend"/>
    <s v="Pend"/>
  </r>
  <r>
    <n v="1"/>
    <s v="SO16819"/>
    <s v="4501139731"/>
    <s v="INV12835"/>
    <s v="Barrick Gold - Pueblo Viejo Dominicana Corporation"/>
    <d v="2025-03-24T12:48:54"/>
    <d v="2025-03-24T12:50:07"/>
    <d v="2025-04-09T00:00:00"/>
    <s v="Jeff Bell"/>
    <s v="USD"/>
    <n v="0.69694344458511093"/>
    <n v="29807.296648534691"/>
    <n v="0"/>
    <n v="20774"/>
    <n v="20774"/>
    <m/>
    <n v="20774"/>
    <s v="Delivered"/>
    <m/>
    <n v="1"/>
    <n v="3"/>
    <n v="2025"/>
    <n v="5"/>
    <n v="2025"/>
    <n v="0.69694344458511093"/>
    <x v="284"/>
    <d v="2025-03-24T12:48:54"/>
    <x v="342"/>
    <s v="Paid"/>
    <d v="2025-05-27T00:00:00"/>
    <s v="4501139731"/>
    <x v="15"/>
    <x v="1"/>
    <n v="29807.296648534691"/>
    <n v="20774"/>
    <n v="0.69694344458511093"/>
    <n v="0"/>
    <n v="-20774"/>
    <s v=""/>
    <n v="0"/>
    <x v="0"/>
    <x v="0"/>
    <s v="Pend"/>
    <s v="Pend"/>
  </r>
  <r>
    <n v="1"/>
    <s v="SO16821"/>
    <s v="PO-40-1014161"/>
    <s v="INV12976"/>
    <s v="Canadian Bearings Ltd."/>
    <d v="2025-03-24T14:35:49"/>
    <d v="2025-03-31T12:50:08"/>
    <d v="2025-04-02T00:00:00"/>
    <s v="Ian Trottier"/>
    <s v="CAD"/>
    <n v="1"/>
    <n v="283.87"/>
    <n v="0"/>
    <n v="197.7880073319503"/>
    <n v="270.35000000000002"/>
    <n v="13.52"/>
    <n v="283.87"/>
    <s v="Delivered"/>
    <m/>
    <n v="1"/>
    <n v="3"/>
    <n v="2025"/>
    <n v="6"/>
    <n v="2025"/>
    <n v="0.69675558294976681"/>
    <x v="285"/>
    <d v="2025-03-24T14:35:49"/>
    <x v="343"/>
    <s v="Paid"/>
    <d v="2025-06-18T00:00:00"/>
    <s v="PO-40-1014161"/>
    <x v="38"/>
    <x v="0"/>
    <n v="270.35000000000002"/>
    <n v="188.36787185046947"/>
    <n v="0.69675558294976681"/>
    <n v="-270.35000000000002"/>
    <n v="0"/>
    <n v="0"/>
    <s v=""/>
    <x v="0"/>
    <x v="0"/>
    <s v="Pend"/>
    <s v="Pend"/>
  </r>
  <r>
    <n v="1"/>
    <s v="SO16822"/>
    <s v="606884"/>
    <s v="INV12937"/>
    <s v="Sealtrac Inc."/>
    <d v="2025-03-24T15:01:48"/>
    <d v="2025-05-01T10:49:24"/>
    <d v="2025-05-02T00:00:00"/>
    <s v="Ian Trottier"/>
    <s v="CAD"/>
    <n v="1"/>
    <n v="5086.5200000000004"/>
    <n v="0"/>
    <n v="3672.984304668892"/>
    <n v="4501.3500000000004"/>
    <n v="585.16999999999996"/>
    <n v="5086.5200000000004"/>
    <s v="Delivered"/>
    <m/>
    <n v="1"/>
    <n v="3"/>
    <n v="2025"/>
    <n v="6"/>
    <n v="2025"/>
    <n v="0.72210161459482947"/>
    <x v="286"/>
    <d v="2025-03-24T15:01:48"/>
    <x v="344"/>
    <s v="Paid"/>
    <d v="2025-06-19T00:00:00"/>
    <s v="606884"/>
    <x v="50"/>
    <x v="0"/>
    <n v="4501.3500000000004"/>
    <n v="3250.4321028564359"/>
    <n v="0.72210161459482947"/>
    <n v="-4501.3500000000004"/>
    <n v="0"/>
    <n v="0"/>
    <s v=""/>
    <x v="0"/>
    <x v="0"/>
    <s v="Pend"/>
    <s v="Pend"/>
  </r>
  <r>
    <n v="1"/>
    <s v="SO16824"/>
    <s v="ON50-00002306"/>
    <s v="INV12798"/>
    <s v="Motion Industries Inc. (Canada) - Thunder Bay, Motion Industries Canada"/>
    <d v="2025-03-24T15:39:37"/>
    <d v="2025-03-27T14:35:37"/>
    <d v="2025-03-28T00:00:00"/>
    <s v="Ian Trottier"/>
    <s v="CAD"/>
    <n v="1"/>
    <n v="617.23"/>
    <n v="0"/>
    <n v="431.09272868467087"/>
    <n v="546.22"/>
    <n v="71.010000000000005"/>
    <n v="617.23"/>
    <s v="Delivered"/>
    <m/>
    <n v="1"/>
    <n v="3"/>
    <n v="2025"/>
    <n v="5"/>
    <n v="2025"/>
    <n v="0.69843126336158456"/>
    <x v="287"/>
    <d v="2025-03-24T15:39:37"/>
    <x v="345"/>
    <s v="Paid"/>
    <d v="2025-05-06T00:00:00"/>
    <s v="ON50-00002306"/>
    <x v="87"/>
    <x v="0"/>
    <n v="546.22"/>
    <n v="381.49712467336474"/>
    <n v="0.69843126336158456"/>
    <n v="-546.22"/>
    <n v="0"/>
    <n v="0"/>
    <s v=""/>
    <x v="0"/>
    <x v="0"/>
    <s v="Pend"/>
    <s v="Pend"/>
  </r>
  <r>
    <n v="1"/>
    <s v="SO16826"/>
    <s v="2100538961"/>
    <s v="INV12784"/>
    <s v="Wajax Limited - Noranda"/>
    <d v="2025-03-25T13:42:56"/>
    <d v="2025-03-25T13:45:35"/>
    <d v="2025-03-26T00:00:00"/>
    <s v="Ian Trottier"/>
    <s v="CAD"/>
    <n v="1"/>
    <n v="173.13"/>
    <n v="0"/>
    <n v="120.99201907521019"/>
    <n v="164.89"/>
    <n v="8.24"/>
    <n v="173.13"/>
    <s v="Delivered"/>
    <m/>
    <n v="1"/>
    <n v="3"/>
    <n v="2025"/>
    <n v="4"/>
    <n v="2025"/>
    <n v="0.69885068489118118"/>
    <x v="288"/>
    <d v="2025-03-25T13:42:56"/>
    <x v="346"/>
    <s v="Paid"/>
    <d v="2025-04-30T00:00:00"/>
    <s v="2100538961"/>
    <x v="35"/>
    <x v="0"/>
    <n v="164.89"/>
    <n v="115.23348943170686"/>
    <n v="0.69885068489118118"/>
    <n v="-164.89"/>
    <n v="0"/>
    <n v="0"/>
    <s v=""/>
    <x v="0"/>
    <x v="0"/>
    <s v="Pend"/>
    <s v="Pend"/>
  </r>
  <r>
    <n v="1"/>
    <s v="SO16827"/>
    <s v="03R19616"/>
    <s v="INV12791"/>
    <s v="Moffatt Supply &amp; Specialties - Red Lake"/>
    <d v="2025-03-25T13:54:15"/>
    <d v="2025-03-25T15:22:24"/>
    <d v="2025-03-26T00:00:00"/>
    <s v="Ian Trottier"/>
    <s v="CAD"/>
    <n v="1"/>
    <n v="3613.67"/>
    <n v="0"/>
    <n v="2525.4157544707141"/>
    <n v="3197.94"/>
    <n v="415.73"/>
    <n v="3613.67"/>
    <s v="Delivered"/>
    <m/>
    <n v="1"/>
    <n v="3"/>
    <n v="2025"/>
    <n v="5"/>
    <n v="2025"/>
    <n v="0.69885068489118096"/>
    <x v="289"/>
    <d v="2025-03-25T13:54:15"/>
    <x v="347"/>
    <s v="Paid"/>
    <d v="2025-05-16T00:00:00"/>
    <s v="03R19616"/>
    <x v="79"/>
    <x v="0"/>
    <n v="3197.94"/>
    <n v="2234.8825592409034"/>
    <n v="0.69885068489118096"/>
    <n v="-3197.94"/>
    <n v="0"/>
    <n v="0"/>
    <s v=""/>
    <x v="0"/>
    <x v="0"/>
    <s v="Pend"/>
    <s v="Pend"/>
  </r>
  <r>
    <n v="1"/>
    <s v="SO16829"/>
    <s v="BC65-00080002"/>
    <s v="INV12797"/>
    <s v="Motion Industries Inc. (Canada) - Prince George"/>
    <d v="2025-03-25T14:54:08"/>
    <d v="2025-03-27T14:54:08"/>
    <d v="2025-03-28T00:00:00"/>
    <s v="Ian Trottier"/>
    <s v="CAD"/>
    <n v="1"/>
    <n v="277.45"/>
    <n v="0"/>
    <n v="193.77975401967171"/>
    <n v="264.24"/>
    <n v="13.21"/>
    <n v="277.45"/>
    <s v="Delivered"/>
    <m/>
    <n v="1"/>
    <n v="3"/>
    <n v="2025"/>
    <n v="5"/>
    <n v="2025"/>
    <n v="0.6984312633615849"/>
    <x v="290"/>
    <d v="2025-03-25T14:54:08"/>
    <x v="348"/>
    <s v="Paid"/>
    <d v="2025-05-23T00:00:00"/>
    <s v="BC65-00080002"/>
    <x v="41"/>
    <x v="0"/>
    <n v="264.24"/>
    <n v="184.55347703066519"/>
    <n v="0.6984312633615849"/>
    <n v="-264.24"/>
    <n v="0"/>
    <n v="0"/>
    <s v=""/>
    <x v="0"/>
    <x v="0"/>
    <s v="Pend"/>
    <s v="Pend"/>
  </r>
  <r>
    <n v="1"/>
    <s v="SO16830"/>
    <s v="6943"/>
    <s v="INV12786"/>
    <s v="Hyperflo"/>
    <d v="2025-03-25T15:06:45"/>
    <d v="2025-03-25T15:09:38"/>
    <d v="2025-03-26T00:00:00"/>
    <s v="Ian Trottier"/>
    <s v="CAD"/>
    <n v="1"/>
    <n v="542.75"/>
    <n v="0"/>
    <n v="379.30120922468848"/>
    <n v="516.9"/>
    <n v="25.85"/>
    <n v="542.75"/>
    <s v="Delivered"/>
    <m/>
    <n v="1"/>
    <n v="3"/>
    <n v="2025"/>
    <n v="4"/>
    <n v="2025"/>
    <n v="0.69885068489118096"/>
    <x v="291"/>
    <d v="2025-03-25T15:06:45"/>
    <x v="349"/>
    <s v="Paid"/>
    <d v="2025-04-29T00:00:00"/>
    <s v="6943"/>
    <x v="5"/>
    <x v="0"/>
    <n v="516.9"/>
    <n v="361.2359190202514"/>
    <n v="0.69885068489118096"/>
    <n v="-516.9"/>
    <n v="0"/>
    <n v="0"/>
    <s v=""/>
    <x v="0"/>
    <x v="0"/>
    <s v="Pend"/>
    <s v="Pend"/>
  </r>
  <r>
    <n v="1"/>
    <s v="SO16833"/>
    <s v="6944"/>
    <s v="INV12785"/>
    <s v="Hyperflo"/>
    <d v="2025-03-26T08:01:51"/>
    <d v="2025-03-26T08:02:31"/>
    <d v="2025-03-26T00:00:00"/>
    <s v="Ian Trottier"/>
    <s v="CAD"/>
    <n v="1"/>
    <n v="361.83"/>
    <n v="0"/>
    <n v="253.7979086799736"/>
    <n v="344.6"/>
    <n v="17.23"/>
    <n v="361.83"/>
    <s v="Delivered"/>
    <m/>
    <n v="1"/>
    <n v="3"/>
    <n v="2025"/>
    <n v="4"/>
    <n v="2025"/>
    <n v="0.70142859541766467"/>
    <x v="292"/>
    <d v="2025-03-26T08:01:51"/>
    <x v="350"/>
    <s v="Paid"/>
    <d v="2025-04-29T00:00:00"/>
    <s v="6944"/>
    <x v="5"/>
    <x v="0"/>
    <n v="344.6"/>
    <n v="241.71229398092726"/>
    <n v="0.70142859541766467"/>
    <n v="-344.6"/>
    <n v="0"/>
    <n v="0"/>
    <s v=""/>
    <x v="0"/>
    <x v="0"/>
    <s v="Pend"/>
    <s v="Pend"/>
  </r>
  <r>
    <n v="2"/>
    <s v="SO16834"/>
    <s v="4501151823"/>
    <s v="INV12908"/>
    <s v="Barrick Gold - Pueblo Viejo Dominicana Corporation"/>
    <d v="2025-03-26T12:16:37"/>
    <d v="2025-04-03T12:18:39"/>
    <d v="2025-05-09T00:00:00"/>
    <s v="Wilka Nuñez"/>
    <s v="USD"/>
    <n v="0.69879848026194369"/>
    <n v="57048.635802780322"/>
    <n v="0"/>
    <n v="39865.5"/>
    <n v="39865.5"/>
    <m/>
    <n v="39865.5"/>
    <s v="Delivered"/>
    <m/>
    <n v="2"/>
    <n v="3"/>
    <n v="2025"/>
    <n v="6"/>
    <n v="2025"/>
    <n v="0.69879848026194369"/>
    <x v="293"/>
    <d v="2025-03-26T12:16:37"/>
    <x v="351"/>
    <s v="Paid"/>
    <d v="2025-06-13T00:00:00"/>
    <s v="4501151823"/>
    <x v="15"/>
    <x v="1"/>
    <n v="57048.635802780322"/>
    <n v="39865.5"/>
    <n v="0.69879848026194369"/>
    <n v="0"/>
    <n v="-30541.5"/>
    <s v=""/>
    <n v="9324"/>
    <x v="0"/>
    <x v="1"/>
    <s v="Yes"/>
    <s v="Pend"/>
  </r>
  <r>
    <m/>
    <m/>
    <m/>
    <s v="INV12982"/>
    <m/>
    <m/>
    <m/>
    <m/>
    <m/>
    <m/>
    <m/>
    <m/>
    <m/>
    <m/>
    <m/>
    <m/>
    <m/>
    <m/>
    <m/>
    <n v="2"/>
    <n v="3"/>
    <n v="2025"/>
    <n v="6"/>
    <n v="2025"/>
    <n v="0.69879848026194369"/>
    <x v="293"/>
    <d v="2025-03-26T12:16:37"/>
    <x v="352"/>
    <s v="Paid"/>
    <d v="2025-06-27T00:00:00"/>
    <s v="4501151823"/>
    <x v="15"/>
    <x v="1"/>
    <n v="0"/>
    <n v="0"/>
    <n v="0"/>
    <n v="0"/>
    <n v="-9324"/>
    <s v=""/>
    <n v="-9324"/>
    <x v="0"/>
    <x v="1"/>
    <s v="Yes"/>
    <s v="Pend"/>
  </r>
  <r>
    <n v="2"/>
    <s v="SO16835"/>
    <s v="MAB15243 - Paid in full on April 3rd"/>
    <s v="INV12825"/>
    <s v="MAB Equipment Company Inc."/>
    <d v="2025-03-26T12:58:30"/>
    <d v="2025-04-03T08:32:24"/>
    <d v="2025-07-17T00:00:00"/>
    <s v="Ian Trottier"/>
    <s v="USD"/>
    <n v="0.69879848026194369"/>
    <n v="6611.1906801346231"/>
    <n v="0"/>
    <n v="4619.8900000000003"/>
    <n v="4619.8900000000003"/>
    <m/>
    <n v="4619.8900000000003"/>
    <s v="Delivered"/>
    <m/>
    <n v="2"/>
    <n v="3"/>
    <n v="2025"/>
    <n v="4"/>
    <n v="2025"/>
    <n v="0.69879848026194369"/>
    <x v="294"/>
    <d v="2025-03-26T12:58:30"/>
    <x v="353"/>
    <s v="Paid"/>
    <d v="2025-04-08T00:00:00"/>
    <s v="MAB15243 - Paid in full on April 3rd"/>
    <x v="67"/>
    <x v="1"/>
    <n v="6611.1906801346231"/>
    <n v="4619.8900000000003"/>
    <n v="0.69879848026194369"/>
    <n v="0"/>
    <n v="-3921.01"/>
    <s v=""/>
    <n v="698.88000000000011"/>
    <x v="0"/>
    <x v="1"/>
    <s v="Yes"/>
    <s v="Pend"/>
  </r>
  <r>
    <m/>
    <m/>
    <m/>
    <s v="INV13129"/>
    <m/>
    <m/>
    <m/>
    <m/>
    <m/>
    <m/>
    <m/>
    <m/>
    <m/>
    <m/>
    <m/>
    <m/>
    <m/>
    <m/>
    <m/>
    <n v="2"/>
    <n v="3"/>
    <n v="2025"/>
    <n v="6"/>
    <n v="2025"/>
    <n v="0.69879848026194369"/>
    <x v="294"/>
    <d v="2025-03-26T12:58:30"/>
    <x v="354"/>
    <s v="Paid"/>
    <d v="2025-06-25T00:00:00"/>
    <s v="MAB15243 - Paid in full on April 3rd"/>
    <x v="67"/>
    <x v="1"/>
    <n v="0"/>
    <n v="0"/>
    <n v="0"/>
    <n v="0"/>
    <n v="-698.88"/>
    <s v=""/>
    <n v="-698.88"/>
    <x v="0"/>
    <x v="1"/>
    <s v="Yes"/>
    <s v="Pend"/>
  </r>
  <r>
    <n v="1"/>
    <s v="SO16836"/>
    <s v="2100540513"/>
    <s v="INV12790"/>
    <s v="Wajax Limited - Noranda"/>
    <d v="2025-03-26T13:31:16"/>
    <d v="2025-03-27T08:05:38"/>
    <d v="2025-03-28T00:00:00"/>
    <s v="Ian Trottier"/>
    <s v="CAD"/>
    <n v="1"/>
    <n v="2102.94"/>
    <n v="0"/>
    <n v="1468.759040973611"/>
    <n v="2002.8"/>
    <n v="100.14"/>
    <n v="2102.94"/>
    <s v="Delivered"/>
    <m/>
    <n v="1"/>
    <n v="3"/>
    <n v="2025"/>
    <n v="4"/>
    <n v="2025"/>
    <n v="0.69843126336158479"/>
    <x v="295"/>
    <d v="2025-03-26T13:31:16"/>
    <x v="355"/>
    <s v="Paid"/>
    <d v="2025-04-30T00:00:00"/>
    <s v="2100540513"/>
    <x v="35"/>
    <x v="0"/>
    <n v="2002.8"/>
    <n v="1398.8181342605819"/>
    <n v="0.69843126336158479"/>
    <n v="-2002.8"/>
    <n v="0"/>
    <n v="0"/>
    <s v=""/>
    <x v="0"/>
    <x v="0"/>
    <s v="Pend"/>
    <s v="Pend"/>
  </r>
  <r>
    <n v="1"/>
    <s v="SO16837"/>
    <s v="2100540142"/>
    <s v="INV12789"/>
    <s v="Wajax Limited - Noranda"/>
    <d v="2025-03-26T13:43:46"/>
    <d v="2025-03-26T13:54:36"/>
    <d v="2025-03-27T00:00:00"/>
    <s v="Ian Trottier"/>
    <s v="CAD"/>
    <n v="1"/>
    <n v="3254.54"/>
    <n v="0"/>
    <n v="2282.827420930606"/>
    <n v="3099.56"/>
    <n v="154.97999999999999"/>
    <n v="3254.54"/>
    <s v="Delivered"/>
    <m/>
    <n v="1"/>
    <n v="3"/>
    <n v="2025"/>
    <n v="4"/>
    <n v="2025"/>
    <n v="0.70142859541766456"/>
    <x v="296"/>
    <d v="2025-03-26T13:43:46"/>
    <x v="356"/>
    <s v="Paid"/>
    <d v="2025-04-30T00:00:00"/>
    <s v="2100540142"/>
    <x v="35"/>
    <x v="0"/>
    <n v="3099.56"/>
    <n v="2174.1200172127765"/>
    <n v="0.70142859541766456"/>
    <n v="-3099.56"/>
    <n v="0"/>
    <n v="0"/>
    <s v=""/>
    <x v="0"/>
    <x v="0"/>
    <s v="Pend"/>
    <s v="Pend"/>
  </r>
  <r>
    <n v="1"/>
    <s v="SO16839"/>
    <s v="6951"/>
    <s v="INV12927"/>
    <s v="Hyperflo"/>
    <d v="2025-03-26T15:03:13"/>
    <d v="2025-03-27T09:32:34"/>
    <d v="2025-04-17T00:00:00"/>
    <s v="Ian Trottier"/>
    <s v="CAD"/>
    <n v="1"/>
    <n v="2175.37"/>
    <n v="0"/>
    <n v="1519.34641737889"/>
    <n v="2071.7800000000002"/>
    <n v="103.59"/>
    <n v="2175.37"/>
    <s v="Delivered"/>
    <m/>
    <n v="1"/>
    <n v="3"/>
    <n v="2025"/>
    <n v="6"/>
    <n v="2025"/>
    <n v="0.69843126336158445"/>
    <x v="297"/>
    <d v="2025-03-26T15:03:13"/>
    <x v="357"/>
    <s v="Paid"/>
    <d v="2025-06-16T00:00:00"/>
    <s v="6951"/>
    <x v="5"/>
    <x v="0"/>
    <n v="2071.7800000000002"/>
    <n v="1446.9959228072635"/>
    <n v="0.69843126336158445"/>
    <n v="-2071.7800000000002"/>
    <n v="0"/>
    <n v="0"/>
    <s v=""/>
    <x v="0"/>
    <x v="0"/>
    <s v="Pend"/>
    <s v="Pend"/>
  </r>
  <r>
    <n v="1"/>
    <s v="SO16840"/>
    <s v="4501142021"/>
    <s v="INV12834"/>
    <s v="Barrick Gold - Pueblo Viejo Dominicana Corporation"/>
    <d v="2025-03-26T15:09:13"/>
    <d v="2025-03-26T15:13:52"/>
    <d v="2025-04-09T00:00:00"/>
    <s v="Amanda Qiao"/>
    <s v="USD"/>
    <n v="0.69885068489118096"/>
    <n v="19780.63454592237"/>
    <n v="0"/>
    <n v="13823.71"/>
    <n v="13823.71"/>
    <m/>
    <n v="13823.71"/>
    <s v="Delivered"/>
    <m/>
    <n v="1"/>
    <n v="3"/>
    <n v="2025"/>
    <n v="5"/>
    <n v="2025"/>
    <n v="0.69885068489118074"/>
    <x v="298"/>
    <d v="2025-03-26T15:09:13"/>
    <x v="358"/>
    <s v="Paid"/>
    <d v="2025-05-27T00:00:00"/>
    <s v="4501142021"/>
    <x v="15"/>
    <x v="1"/>
    <n v="19780.634545922367"/>
    <n v="13823.71"/>
    <n v="0.69885068489118085"/>
    <n v="0"/>
    <n v="-13823.71"/>
    <s v=""/>
    <n v="0"/>
    <x v="0"/>
    <x v="0"/>
    <s v="Pend"/>
    <s v="Pend"/>
  </r>
  <r>
    <n v="1"/>
    <s v="SO16842"/>
    <s v="PO09308"/>
    <s v="INV12810"/>
    <s v="Tantalum Mining Corporation of Canada"/>
    <d v="2025-03-26T16:42:17"/>
    <d v="2025-03-31T13:22:14"/>
    <d v="2025-04-01T00:00:00"/>
    <s v="Ian Trottier"/>
    <s v="CAD"/>
    <n v="1"/>
    <n v="904.12"/>
    <n v="0"/>
    <n v="629.95065765654329"/>
    <n v="861.07"/>
    <n v="43.05"/>
    <n v="904.12"/>
    <s v="Delivered"/>
    <m/>
    <n v="1"/>
    <n v="3"/>
    <n v="2025"/>
    <n v="5"/>
    <n v="2025"/>
    <n v="0.69675558294976692"/>
    <x v="299"/>
    <d v="2025-03-26T16:42:17"/>
    <x v="359"/>
    <s v="Paid"/>
    <d v="2025-05-08T00:00:00"/>
    <s v="PO09308"/>
    <x v="20"/>
    <x v="0"/>
    <n v="861.07"/>
    <n v="599.95532981055578"/>
    <n v="0.69675558294976681"/>
    <n v="-861.07"/>
    <n v="0"/>
    <n v="0"/>
    <s v=""/>
    <x v="0"/>
    <x v="0"/>
    <s v="Pend"/>
    <s v="Pend"/>
  </r>
  <r>
    <n v="2"/>
    <s v="SO16844"/>
    <s v="S306532"/>
    <s v="INV12824"/>
    <s v="Kumtor Gold Company"/>
    <d v="2025-03-27T08:18:11"/>
    <d v="2025-03-27T08:22:23"/>
    <d v="2025-02-28T00:00:00"/>
    <s v="Ian Trottier"/>
    <s v="USD"/>
    <n v="0.70142859541766467"/>
    <n v="1698.1058482378539"/>
    <n v="0"/>
    <n v="1191.0999999999999"/>
    <n v="1191.0999999999999"/>
    <m/>
    <n v="1191.0999999999999"/>
    <s v="Delivered"/>
    <m/>
    <n v="2"/>
    <n v="3"/>
    <n v="2025"/>
    <s v=""/>
    <s v=""/>
    <n v="0.70142859541766467"/>
    <x v="300"/>
    <d v="2025-03-27T08:18:11"/>
    <x v="360"/>
    <s v="Not invoiced"/>
    <s v="Pending"/>
    <s v="S306532"/>
    <x v="57"/>
    <x v="1"/>
    <n v="1698.1058482378539"/>
    <n v="1191.0999999999999"/>
    <n v="0.70142859541766467"/>
    <n v="0"/>
    <n v="0"/>
    <s v=""/>
    <n v="1191.0999999999999"/>
    <x v="1"/>
    <x v="1"/>
    <n v="0"/>
    <s v="Pend"/>
  </r>
  <r>
    <m/>
    <m/>
    <m/>
    <s v="INV12918"/>
    <m/>
    <m/>
    <m/>
    <m/>
    <m/>
    <m/>
    <m/>
    <m/>
    <m/>
    <m/>
    <m/>
    <m/>
    <m/>
    <m/>
    <m/>
    <n v="2"/>
    <n v="3"/>
    <n v="2025"/>
    <n v="5"/>
    <n v="2025"/>
    <n v="0.70142859541766467"/>
    <x v="300"/>
    <d v="2025-03-27T08:18:11"/>
    <x v="361"/>
    <s v="Paid"/>
    <d v="2025-05-27T00:00:00"/>
    <s v="S306532"/>
    <x v="57"/>
    <x v="1"/>
    <n v="0"/>
    <n v="0"/>
    <n v="0"/>
    <n v="0"/>
    <n v="-444.92"/>
    <s v=""/>
    <n v="-444.92"/>
    <x v="0"/>
    <x v="1"/>
    <n v="0"/>
    <s v="Pend"/>
  </r>
  <r>
    <n v="1"/>
    <s v="SO16846"/>
    <s v="PO-40-1014238"/>
    <s v="INV12974"/>
    <s v="Canadian Bearings Ltd."/>
    <d v="2025-03-27T09:12:52"/>
    <d v="2025-04-01T15:49:19"/>
    <d v="2025-04-02T00:00:00"/>
    <s v="Taylor Cook"/>
    <s v="CAD"/>
    <n v="1"/>
    <n v="2143.1"/>
    <n v="0"/>
    <n v="1488.7829889974489"/>
    <n v="2041.05"/>
    <n v="102.05"/>
    <n v="2143.1"/>
    <s v="Delivered"/>
    <m/>
    <n v="1"/>
    <n v="3"/>
    <n v="2025"/>
    <n v="6"/>
    <n v="2025"/>
    <n v="0.69468666371025567"/>
    <x v="301"/>
    <d v="2025-03-27T09:12:52"/>
    <x v="362"/>
    <s v="Paid"/>
    <d v="2025-06-18T00:00:00"/>
    <s v="PO-40-1014238"/>
    <x v="38"/>
    <x v="0"/>
    <n v="2041.05"/>
    <n v="1417.8902149658172"/>
    <n v="0.69468666371025567"/>
    <n v="-2041.05"/>
    <n v="0"/>
    <n v="0"/>
    <s v=""/>
    <x v="0"/>
    <x v="0"/>
    <s v="Pend"/>
    <s v="Pend"/>
  </r>
  <r>
    <n v="1"/>
    <s v="SO16847"/>
    <s v="OC00160"/>
    <s v="INV13115"/>
    <s v="Dynapro Pumps México S de RL de CV"/>
    <d v="2025-03-27T10:14:44"/>
    <d v="2025-03-27T10:12:41"/>
    <d v="2025-03-27T00:00:00"/>
    <s v="Yannett Yeomans"/>
    <s v="USD"/>
    <n v="0.70142859541766467"/>
    <n v="3227.6984639497118"/>
    <n v="0"/>
    <n v="2264"/>
    <n v="2264"/>
    <m/>
    <n v="2264"/>
    <s v="Delivered"/>
    <m/>
    <n v="1"/>
    <n v="3"/>
    <n v="2025"/>
    <s v=""/>
    <s v=""/>
    <n v="0.70142859541766467"/>
    <x v="302"/>
    <d v="2025-03-27T10:14:44"/>
    <x v="363"/>
    <s v="Approved"/>
    <s v="Pending"/>
    <s v="OC00160"/>
    <x v="54"/>
    <x v="1"/>
    <n v="3227.6984639497118"/>
    <n v="2264"/>
    <n v="0.70142859541766467"/>
    <n v="0"/>
    <n v="-2264"/>
    <s v=""/>
    <n v="0"/>
    <x v="1"/>
    <x v="2"/>
    <s v="Pend"/>
    <s v="Pend"/>
  </r>
  <r>
    <n v="2"/>
    <s v="SO16848"/>
    <s v="PO-007864"/>
    <s v="INV12805"/>
    <s v="Sling-Choker Manufacturing - Timmins"/>
    <d v="2025-03-27T12:42:59"/>
    <d v="2025-03-27T14:05:20"/>
    <d v="2025-04-24T00:00:00"/>
    <s v="Ian Trottier"/>
    <s v="CAD"/>
    <n v="1"/>
    <n v="387.84"/>
    <n v="0"/>
    <n v="270.87958118215698"/>
    <n v="343.22"/>
    <n v="44.62"/>
    <n v="387.84"/>
    <s v="Delivered"/>
    <m/>
    <n v="2"/>
    <n v="3"/>
    <n v="2025"/>
    <n v="5"/>
    <n v="2025"/>
    <n v="0.69843126336158468"/>
    <x v="303"/>
    <d v="2025-03-27T12:42:59"/>
    <x v="364"/>
    <s v="Paid"/>
    <d v="2025-05-07T00:00:00"/>
    <s v="PO-007864"/>
    <x v="3"/>
    <x v="0"/>
    <n v="343.22"/>
    <n v="239.71557821096312"/>
    <n v="0.69843126336158468"/>
    <n v="-201.44"/>
    <n v="0"/>
    <n v="141.78000000000003"/>
    <s v=""/>
    <x v="0"/>
    <x v="1"/>
    <s v="Yes"/>
    <s v="Pend"/>
  </r>
  <r>
    <m/>
    <m/>
    <m/>
    <s v="INV12900"/>
    <m/>
    <m/>
    <m/>
    <m/>
    <m/>
    <m/>
    <m/>
    <m/>
    <m/>
    <m/>
    <m/>
    <m/>
    <m/>
    <m/>
    <m/>
    <n v="2"/>
    <n v="3"/>
    <n v="2025"/>
    <n v="5"/>
    <n v="2025"/>
    <n v="0.69843126336158468"/>
    <x v="303"/>
    <d v="2025-03-27T12:42:59"/>
    <x v="365"/>
    <s v="Paid"/>
    <d v="2025-05-21T00:00:00"/>
    <s v="PO-007864"/>
    <x v="3"/>
    <x v="0"/>
    <n v="0"/>
    <n v="0"/>
    <n v="0"/>
    <n v="-141.78"/>
    <n v="0"/>
    <n v="-141.78"/>
    <s v=""/>
    <x v="0"/>
    <x v="1"/>
    <s v="Yes"/>
    <s v="Pend"/>
  </r>
  <r>
    <n v="1"/>
    <s v="SO16850"/>
    <s v="BC65-00080086"/>
    <s v="INV12818"/>
    <s v="Motion Industries Inc. (Canada) - Prince George"/>
    <d v="2025-03-27T15:24:11"/>
    <d v="2025-04-03T16:17:54"/>
    <d v="2025-04-04T00:00:00"/>
    <s v="Ian Trottier"/>
    <s v="CAD"/>
    <n v="1"/>
    <n v="1078.71"/>
    <n v="1078.71"/>
    <n v="1078.71"/>
    <n v="1027.3399999999999"/>
    <n v="51.37"/>
    <n v="1078.71"/>
    <s v="Delivered"/>
    <m/>
    <n v="1"/>
    <n v="3"/>
    <n v="2025"/>
    <n v="5"/>
    <n v="2025"/>
    <n v="1"/>
    <x v="304"/>
    <d v="2025-03-27T15:24:11"/>
    <x v="366"/>
    <s v="Paid"/>
    <d v="2025-05-02T00:00:00"/>
    <s v="BC65-00080086"/>
    <x v="41"/>
    <x v="0"/>
    <n v="1027.3399999999999"/>
    <n v="719.15643069746181"/>
    <n v="0.70001794021206409"/>
    <n v="-1027.3399999999999"/>
    <n v="0"/>
    <n v="0"/>
    <s v=""/>
    <x v="0"/>
    <x v="0"/>
    <s v="Pend"/>
    <s v="Pend"/>
  </r>
  <r>
    <n v="1"/>
    <s v="SO16853"/>
    <s v="PO-007868"/>
    <s v="INV12806"/>
    <s v="Sling-Choker Manufacturing - Timmins"/>
    <d v="2025-03-28T08:10:58"/>
    <d v="2025-03-28T12:55:24"/>
    <d v="2025-03-31T00:00:00"/>
    <s v="Ian Trottier"/>
    <s v="CAD"/>
    <n v="1"/>
    <n v="6280.39"/>
    <n v="0"/>
    <n v="4396.7804534179604"/>
    <n v="5557.87"/>
    <n v="722.52"/>
    <n v="6280.39"/>
    <s v="Delivered"/>
    <m/>
    <n v="1"/>
    <n v="3"/>
    <n v="2025"/>
    <n v="5"/>
    <n v="2025"/>
    <n v="0.70008079966657488"/>
    <x v="305"/>
    <d v="2025-03-28T08:10:58"/>
    <x v="367"/>
    <s v="Paid"/>
    <d v="2025-05-07T00:00:00"/>
    <s v="PO-007868"/>
    <x v="3"/>
    <x v="0"/>
    <n v="5557.87"/>
    <n v="3890.9580740428664"/>
    <n v="0.70008079966657488"/>
    <n v="-5557.87"/>
    <n v="0"/>
    <n v="0"/>
    <s v=""/>
    <x v="0"/>
    <x v="0"/>
    <s v="Pend"/>
    <s v="Pend"/>
  </r>
  <r>
    <n v="1"/>
    <s v="SO16856"/>
    <s v="ON50-00002317"/>
    <s v="INV12893"/>
    <s v="Motion Industries Inc. (Canada) - Thunder Bay"/>
    <d v="2025-03-28T10:41:05"/>
    <d v="2025-03-28T12:11:57"/>
    <d v="2025-04-18T00:00:00"/>
    <s v="Ian Trottier"/>
    <s v="CAD"/>
    <n v="1"/>
    <n v="1655.53"/>
    <n v="0"/>
    <n v="1159.0047662720051"/>
    <n v="1465.07"/>
    <n v="190.46"/>
    <n v="1655.53"/>
    <s v="Delivered"/>
    <m/>
    <n v="1"/>
    <n v="3"/>
    <n v="2025"/>
    <n v="5"/>
    <n v="2025"/>
    <n v="0.7000807996665751"/>
    <x v="306"/>
    <d v="2025-03-28T10:41:05"/>
    <x v="368"/>
    <s v="Paid"/>
    <d v="2025-05-21T00:00:00"/>
    <s v="ON50-00002317"/>
    <x v="88"/>
    <x v="0"/>
    <n v="1465.07"/>
    <n v="1025.6673771675091"/>
    <n v="0.7000807996665751"/>
    <n v="-1465.07"/>
    <n v="0"/>
    <n v="0"/>
    <s v=""/>
    <x v="0"/>
    <x v="0"/>
    <s v="Pend"/>
    <s v="Pend"/>
  </r>
  <r>
    <n v="1"/>
    <s v="SO16860"/>
    <s v="QC10-00125571"/>
    <s v="INV12827"/>
    <s v="Motion Industries Inc. (Canada) - Chicoutimi, Motion Industries Inc. (Canada) - Chicoutimi"/>
    <d v="2025-03-28T15:05:17"/>
    <d v="2025-04-04T13:18:25"/>
    <d v="2025-04-25T00:00:00"/>
    <s v="Ian Trottier"/>
    <s v="CAD"/>
    <n v="1"/>
    <n v="157.16"/>
    <n v="0"/>
    <n v="110.71929211220299"/>
    <n v="149.68"/>
    <n v="7.48"/>
    <n v="157.16"/>
    <s v="Delivered"/>
    <m/>
    <n v="1"/>
    <n v="3"/>
    <n v="2025"/>
    <n v="5"/>
    <n v="2025"/>
    <n v="0.70450045884578139"/>
    <x v="307"/>
    <d v="2025-03-28T15:05:17"/>
    <x v="369"/>
    <s v="Paid"/>
    <d v="2025-05-07T00:00:00"/>
    <s v="QC10-00125571"/>
    <x v="89"/>
    <x v="0"/>
    <n v="149.68"/>
    <n v="105.44962868003657"/>
    <n v="0.70450045884578139"/>
    <n v="-149.68"/>
    <n v="0"/>
    <n v="0"/>
    <s v=""/>
    <x v="0"/>
    <x v="0"/>
    <s v="Pend"/>
    <s v="Pend"/>
  </r>
  <r>
    <n v="1"/>
    <s v="SO16865"/>
    <s v="PONV-25-0705"/>
    <s v="INV12857"/>
    <s v="Tech-Flow"/>
    <d v="2025-03-31T11:49:46"/>
    <d v="2025-03-31T13:47:23"/>
    <d v="2025-05-05T00:00:00"/>
    <s v="Ian Trottier"/>
    <s v="USD"/>
    <n v="0.69828295020834585"/>
    <n v="3654.650309360366"/>
    <n v="0"/>
    <n v="2551.98"/>
    <n v="2551.98"/>
    <m/>
    <n v="2551.98"/>
    <s v="Delivered"/>
    <m/>
    <n v="1"/>
    <n v="3"/>
    <n v="2025"/>
    <n v="6"/>
    <n v="2025"/>
    <n v="0.69828295020834574"/>
    <x v="308"/>
    <d v="2025-03-31T11:49:46"/>
    <x v="370"/>
    <s v="Paid"/>
    <d v="2025-06-14T00:00:00"/>
    <s v="PONV-25-0705"/>
    <x v="53"/>
    <x v="1"/>
    <n v="3654.6503093603656"/>
    <n v="2551.98"/>
    <n v="0.69828295020834585"/>
    <n v="0"/>
    <n v="-2551.98"/>
    <s v=""/>
    <n v="0"/>
    <x v="0"/>
    <x v="0"/>
    <s v="Pend"/>
    <s v="Pend"/>
  </r>
  <r>
    <n v="1"/>
    <s v="SO16866"/>
    <s v="4500588862"/>
    <s v="INV12882"/>
    <s v="Resolute Forest Products - Saint-Felicien"/>
    <d v="2025-03-31T12:04:36"/>
    <d v="2025-04-08T16:15:18"/>
    <d v="2025-04-09T00:00:00"/>
    <s v="Ian Trottier"/>
    <s v="CAD"/>
    <n v="1"/>
    <n v="656.71"/>
    <n v="0"/>
    <n v="462.40395979196501"/>
    <n v="625.44000000000005"/>
    <n v="31.27"/>
    <n v="656.71"/>
    <s v="Delivered"/>
    <m/>
    <n v="1"/>
    <n v="3"/>
    <n v="2025"/>
    <n v="6"/>
    <n v="2025"/>
    <n v="0.70412200178460049"/>
    <x v="309"/>
    <d v="2025-03-31T12:04:36"/>
    <x v="371"/>
    <s v="Paid"/>
    <d v="2025-06-09T00:00:00"/>
    <s v="4500588862"/>
    <x v="46"/>
    <x v="0"/>
    <n v="625.44000000000005"/>
    <n v="440.38606479616055"/>
    <n v="0.70412200178460049"/>
    <n v="-625.44000000000005"/>
    <n v="0"/>
    <n v="0"/>
    <s v=""/>
    <x v="0"/>
    <x v="0"/>
    <s v="Pend"/>
    <s v="Pend"/>
  </r>
  <r>
    <n v="1"/>
    <s v="SO16867"/>
    <s v="4500588906"/>
    <s v="INV12809"/>
    <s v="Resolute Forest Products - Saint-Felicien"/>
    <d v="2025-03-31T12:15:30"/>
    <d v="2025-03-31T12:24:06"/>
    <d v="2025-04-02T00:00:00"/>
    <s v="Ian Trottier"/>
    <s v="CAD"/>
    <n v="1"/>
    <n v="316.85000000000002"/>
    <n v="0"/>
    <n v="220.7670064576337"/>
    <n v="301.76"/>
    <n v="15.09"/>
    <n v="316.85000000000002"/>
    <s v="Delivered"/>
    <m/>
    <n v="1"/>
    <n v="3"/>
    <n v="2025"/>
    <n v="5"/>
    <n v="2025"/>
    <n v="0.69675558294976703"/>
    <x v="310"/>
    <d v="2025-03-31T12:15:30"/>
    <x v="372"/>
    <s v="Paid"/>
    <d v="2025-05-30T00:00:00"/>
    <s v="4500588906"/>
    <x v="46"/>
    <x v="0"/>
    <n v="301.76"/>
    <n v="210.2529647109217"/>
    <n v="0.69675558294976703"/>
    <n v="-301.76"/>
    <n v="0"/>
    <n v="0"/>
    <s v=""/>
    <x v="0"/>
    <x v="0"/>
    <s v="Pend"/>
    <s v="Pend"/>
  </r>
  <r>
    <n v="1"/>
    <s v="SO16868"/>
    <s v="4511745974"/>
    <s v="INV12885"/>
    <s v="PT Vale Indonesia Tbk."/>
    <d v="2025-03-31T13:07:54"/>
    <d v="2025-03-31T13:09:22"/>
    <d v="2025-04-01T00:00:00"/>
    <s v="Ian Trottier"/>
    <s v="USD"/>
    <n v="0.69828295020834585"/>
    <n v="416.39281026874028"/>
    <n v="0"/>
    <n v="290.76"/>
    <n v="290.76"/>
    <m/>
    <n v="290.76"/>
    <s v="Delivered"/>
    <m/>
    <n v="1"/>
    <n v="3"/>
    <n v="2025"/>
    <n v="6"/>
    <n v="2025"/>
    <n v="0.69828295020834585"/>
    <x v="311"/>
    <d v="2025-03-31T13:07:54"/>
    <x v="373"/>
    <s v="Paid"/>
    <d v="2025-06-05T00:00:00"/>
    <s v="4511745974"/>
    <x v="42"/>
    <x v="1"/>
    <n v="416.39281026874033"/>
    <n v="290.76"/>
    <n v="0.69828295020834585"/>
    <n v="0"/>
    <n v="-290.76"/>
    <s v=""/>
    <n v="0"/>
    <x v="0"/>
    <x v="0"/>
    <s v="Pend"/>
    <s v="Pend"/>
  </r>
  <r>
    <n v="1"/>
    <s v="SO16870"/>
    <s v="1045"/>
    <s v="INV12871"/>
    <s v="Mill-Right Mine Services Inc."/>
    <d v="2025-04-01T07:57:17"/>
    <d v="2025-04-01T07:57:11"/>
    <d v="2025-04-11T00:00:00"/>
    <s v="Amanda Qiao"/>
    <s v="USD"/>
    <n v="0.69675558294976692"/>
    <n v="20860.686811386331"/>
    <n v="0"/>
    <n v="14534.8"/>
    <n v="14534.8"/>
    <m/>
    <n v="14534.8"/>
    <s v="Delivered"/>
    <m/>
    <n v="1"/>
    <n v="4"/>
    <n v="2025"/>
    <n v="5"/>
    <n v="2025"/>
    <n v="0.69675558294976703"/>
    <x v="312"/>
    <d v="2025-04-01T07:57:17"/>
    <x v="374"/>
    <s v="Paid"/>
    <d v="2025-05-29T00:00:00"/>
    <s v="1045"/>
    <x v="30"/>
    <x v="1"/>
    <n v="20860.686811386335"/>
    <n v="14534.8"/>
    <n v="0.69675558294976692"/>
    <n v="0"/>
    <n v="-14534.8"/>
    <s v=""/>
    <n v="0"/>
    <x v="0"/>
    <x v="0"/>
    <s v="Pend"/>
    <s v="Pend"/>
  </r>
  <r>
    <n v="2"/>
    <s v="SO16874"/>
    <s v="PO-0020176"/>
    <s v="INV12963"/>
    <s v="MAB Equipment Company Inc."/>
    <d v="2025-04-01T09:10:05"/>
    <d v="2025-05-06T08:57:33"/>
    <d v="2025-09-02T00:00:00"/>
    <s v="Ian Trottier"/>
    <s v="USD"/>
    <n v="0.72216450455647252"/>
    <n v="8484.1057146154453"/>
    <n v="0"/>
    <n v="6126.92"/>
    <n v="6126.92"/>
    <m/>
    <n v="6126.92"/>
    <s v="Delivered"/>
    <m/>
    <n v="2"/>
    <n v="4"/>
    <n v="2025"/>
    <n v="6"/>
    <n v="2025"/>
    <n v="0.72216450455647252"/>
    <x v="313"/>
    <d v="2025-04-01T09:10:05"/>
    <x v="375"/>
    <s v="Paid"/>
    <d v="2025-06-14T00:00:00"/>
    <s v="PO-0020176"/>
    <x v="67"/>
    <x v="1"/>
    <n v="8484.1057146154453"/>
    <n v="6126.92"/>
    <n v="0.72216450455647252"/>
    <n v="0"/>
    <n v="-2779.5"/>
    <s v=""/>
    <n v="3347.42"/>
    <x v="0"/>
    <x v="1"/>
    <s v="Yes"/>
    <s v="Pend"/>
  </r>
  <r>
    <m/>
    <m/>
    <m/>
    <s v="INV13301"/>
    <m/>
    <m/>
    <m/>
    <m/>
    <m/>
    <m/>
    <m/>
    <m/>
    <m/>
    <m/>
    <m/>
    <m/>
    <m/>
    <m/>
    <m/>
    <n v="2"/>
    <n v="4"/>
    <n v="2025"/>
    <n v="9"/>
    <n v="2025"/>
    <n v="0.72216450455647252"/>
    <x v="313"/>
    <d v="2025-04-01T09:10:05"/>
    <x v="376"/>
    <s v="Paid"/>
    <d v="2025-09-13T00:00:00"/>
    <s v="PO-0020176"/>
    <x v="67"/>
    <x v="1"/>
    <n v="0"/>
    <n v="0"/>
    <n v="0"/>
    <n v="0"/>
    <n v="-3347.42"/>
    <s v=""/>
    <n v="-3347.42"/>
    <x v="0"/>
    <x v="1"/>
    <s v="Yes"/>
    <s v="Pend"/>
  </r>
  <r>
    <n v="1"/>
    <s v="SO16875"/>
    <s v="POMPA-CA112182 - Paid in full"/>
    <s v="INV12906"/>
    <s v="Pompaction Inc."/>
    <d v="2025-04-01T10:04:08"/>
    <d v="2025-04-02T08:05:37"/>
    <d v="2025-04-25T00:00:00"/>
    <s v="Ian Trottier"/>
    <s v="CAD"/>
    <n v="1"/>
    <n v="1722.58"/>
    <n v="0"/>
    <n v="1203.736286129619"/>
    <n v="1640.55"/>
    <n v="82.03"/>
    <n v="1722.58"/>
    <s v="Delivered"/>
    <m/>
    <n v="1"/>
    <n v="4"/>
    <n v="2025"/>
    <n v="4"/>
    <n v="2025"/>
    <n v="0.69879848026194369"/>
    <x v="314"/>
    <d v="2025-04-01T10:04:08"/>
    <x v="377"/>
    <s v="Paid"/>
    <d v="2025-04-23T00:00:00"/>
    <s v="POMPA-CA112182 - Paid in full"/>
    <x v="90"/>
    <x v="0"/>
    <n v="1640.55"/>
    <n v="1146.4138467937316"/>
    <n v="0.69879848026194369"/>
    <n v="-1640.55"/>
    <n v="0"/>
    <n v="0"/>
    <s v=""/>
    <x v="0"/>
    <x v="0"/>
    <s v="Pend"/>
    <s v="Pend"/>
  </r>
  <r>
    <n v="1"/>
    <s v="SO16876"/>
    <s v="03R19644"/>
    <s v="INV12815"/>
    <s v="Moffatt Supply &amp; Specialties - Red Lake"/>
    <d v="2025-04-01T10:57:46"/>
    <d v="2025-04-01T12:18:17"/>
    <d v="2025-04-02T00:00:00"/>
    <s v="Ian Trottier"/>
    <s v="CAD"/>
    <n v="1"/>
    <n v="2152.54"/>
    <n v="0"/>
    <n v="1495.3408311028741"/>
    <n v="1904.9"/>
    <n v="247.64"/>
    <n v="2152.54"/>
    <s v="Delivered"/>
    <m/>
    <n v="1"/>
    <n v="4"/>
    <n v="2025"/>
    <n v="5"/>
    <n v="2025"/>
    <n v="0.69468666371025578"/>
    <x v="315"/>
    <d v="2025-04-01T10:57:46"/>
    <x v="378"/>
    <s v="Paid"/>
    <d v="2025-05-29T00:00:00"/>
    <s v="03R19644"/>
    <x v="79"/>
    <x v="0"/>
    <n v="1904.9"/>
    <n v="1323.3086257016662"/>
    <n v="0.69468666371025567"/>
    <n v="-1904.9"/>
    <n v="0"/>
    <n v="0"/>
    <s v=""/>
    <x v="0"/>
    <x v="0"/>
    <s v="Pend"/>
    <s v="Pend"/>
  </r>
  <r>
    <n v="1"/>
    <s v="SO16879"/>
    <s v="ON19-00093241"/>
    <s v="INV12894"/>
    <s v="Motion Industries Inc. (Canada) - Ottawa"/>
    <d v="2025-04-02T08:54:39"/>
    <d v="2025-04-03T14:17:34"/>
    <d v="2025-05-01T00:00:00"/>
    <s v="Ian Trottier"/>
    <s v="CAD"/>
    <n v="1"/>
    <n v="228.11"/>
    <n v="228.11"/>
    <n v="228.11"/>
    <n v="201.87"/>
    <n v="26.24"/>
    <n v="228.11"/>
    <s v="Delivered"/>
    <m/>
    <n v="1"/>
    <n v="4"/>
    <n v="2025"/>
    <n v="5"/>
    <n v="2025"/>
    <n v="1"/>
    <x v="316"/>
    <d v="2025-04-02T08:54:39"/>
    <x v="379"/>
    <s v="Paid"/>
    <d v="2025-05-21T00:00:00"/>
    <s v="ON19-00093241"/>
    <x v="91"/>
    <x v="0"/>
    <n v="201.87"/>
    <n v="144.67251352655089"/>
    <n v="0.71666177998984937"/>
    <n v="-201.87"/>
    <n v="0"/>
    <n v="0"/>
    <s v=""/>
    <x v="0"/>
    <x v="0"/>
    <s v="Pend"/>
    <s v="Pend"/>
  </r>
  <r>
    <n v="2"/>
    <s v="SO16881"/>
    <s v="PO-007886"/>
    <s v="INV12881"/>
    <s v="Sling-Choker Manufacturing - Timmins"/>
    <d v="2025-04-02T12:04:03"/>
    <d v="2025-04-07T13:40:48"/>
    <d v="2025-05-05T00:00:00"/>
    <s v="Ian Trottier"/>
    <s v="CAD"/>
    <n v="1"/>
    <n v="5485.93"/>
    <n v="0"/>
    <n v="3856.4655425530709"/>
    <n v="4854.8"/>
    <n v="631.13"/>
    <n v="5485.93"/>
    <s v="Delivered"/>
    <m/>
    <n v="2"/>
    <n v="4"/>
    <n v="2025"/>
    <n v="5"/>
    <n v="2025"/>
    <n v="0.7029738882109452"/>
    <x v="317"/>
    <d v="2025-04-02T12:04:03"/>
    <x v="380"/>
    <s v="Paid"/>
    <d v="2025-05-21T00:00:00"/>
    <s v="PO-007886"/>
    <x v="3"/>
    <x v="0"/>
    <n v="4854.8"/>
    <n v="3412.7976324864967"/>
    <n v="0.7029738882109452"/>
    <n v="-3181.34"/>
    <n v="0"/>
    <n v="1673.46"/>
    <s v=""/>
    <x v="0"/>
    <x v="1"/>
    <s v="Yes"/>
    <s v="Pend"/>
  </r>
  <r>
    <m/>
    <m/>
    <m/>
    <s v="INV13022"/>
    <m/>
    <m/>
    <m/>
    <m/>
    <m/>
    <m/>
    <m/>
    <m/>
    <m/>
    <m/>
    <m/>
    <m/>
    <m/>
    <m/>
    <m/>
    <n v="2"/>
    <n v="4"/>
    <n v="2025"/>
    <n v="6"/>
    <n v="2025"/>
    <n v="0.7029738882109452"/>
    <x v="317"/>
    <d v="2025-04-02T12:04:03"/>
    <x v="381"/>
    <s v="Paid"/>
    <d v="2025-06-25T00:00:00"/>
    <s v="PO-007886"/>
    <x v="3"/>
    <x v="0"/>
    <n v="0"/>
    <n v="0"/>
    <n v="0"/>
    <n v="-1673.46"/>
    <n v="0"/>
    <n v="-1673.46"/>
    <s v=""/>
    <x v="0"/>
    <x v="1"/>
    <s v="Yes"/>
    <s v="Pend"/>
  </r>
  <r>
    <n v="1"/>
    <s v="SO16882"/>
    <s v="4500884428"/>
    <s v="INV12819"/>
    <s v="Cameco Corporation - Blind River Refinery"/>
    <d v="2025-04-02T13:39:02"/>
    <d v="2025-04-03T14:39:39"/>
    <d v="2025-04-04T00:00:00"/>
    <s v="Ian Trottier"/>
    <s v="CAD"/>
    <n v="1"/>
    <n v="767.09"/>
    <n v="767.09"/>
    <n v="767.09"/>
    <n v="678.84"/>
    <n v="88.25"/>
    <n v="767.09"/>
    <s v="Delivered"/>
    <m/>
    <n v="1"/>
    <n v="4"/>
    <n v="2025"/>
    <n v="5"/>
    <n v="2025"/>
    <n v="1"/>
    <x v="318"/>
    <d v="2025-04-02T13:39:02"/>
    <x v="382"/>
    <s v="Paid"/>
    <d v="2025-05-02T00:00:00"/>
    <s v="4500884428"/>
    <x v="92"/>
    <x v="0"/>
    <n v="678.84"/>
    <n v="486.49868272830929"/>
    <n v="0.71666177998984926"/>
    <n v="-678.84"/>
    <n v="0"/>
    <n v="0"/>
    <s v=""/>
    <x v="0"/>
    <x v="0"/>
    <s v="Pend"/>
    <s v="Pend"/>
  </r>
  <r>
    <n v="1"/>
    <s v="SO16884"/>
    <s v="4501168541"/>
    <s v="INV13122"/>
    <s v="Barrick Gold - Pueblo Viejo Dominicana Corporation"/>
    <d v="2025-04-02T15:21:22"/>
    <d v="2025-04-25T10:27:51"/>
    <d v="2025-08-18T00:00:00"/>
    <s v="Wilka Nuñez"/>
    <s v="USD"/>
    <n v="0.71989223732843666"/>
    <n v="53490.450380327929"/>
    <n v="0"/>
    <n v="38507.360000000001"/>
    <n v="38507.360000000001"/>
    <m/>
    <n v="38507.360000000001"/>
    <s v="Delivered"/>
    <m/>
    <n v="1"/>
    <n v="4"/>
    <n v="2025"/>
    <n v="7"/>
    <n v="2025"/>
    <n v="0.71989223732843666"/>
    <x v="319"/>
    <d v="2025-04-02T15:21:22"/>
    <x v="383"/>
    <s v="Paid"/>
    <d v="2025-07-18T00:00:00"/>
    <s v="4501168541"/>
    <x v="15"/>
    <x v="1"/>
    <n v="53490.450380327929"/>
    <n v="38507.360000000001"/>
    <n v="0.71989223732843666"/>
    <n v="0"/>
    <n v="-38507.360000000001"/>
    <s v=""/>
    <n v="0"/>
    <x v="0"/>
    <x v="0"/>
    <s v="Pend"/>
    <s v="Pend"/>
  </r>
  <r>
    <n v="1"/>
    <s v="SO16885"/>
    <s v="1019583  - REV3"/>
    <s v="INV13098"/>
    <s v="Thunder Bay Pulp and Paper Inc"/>
    <d v="2025-04-02T15:36:28"/>
    <d v="2025-04-08T08:47:39"/>
    <d v="2025-06-24T00:00:00"/>
    <s v="Ian Trottier"/>
    <s v="CAD"/>
    <n v="1"/>
    <n v="37243.99"/>
    <n v="0"/>
    <n v="26224.312793245641"/>
    <n v="32959.279999999999"/>
    <n v="4284.71"/>
    <n v="37243.99"/>
    <s v="Delivered"/>
    <m/>
    <n v="1"/>
    <n v="4"/>
    <n v="2025"/>
    <n v="8"/>
    <n v="2025"/>
    <n v="0.70412200178460049"/>
    <x v="320"/>
    <d v="2025-04-02T15:36:28"/>
    <x v="384"/>
    <s v="Paid"/>
    <d v="2025-08-14T00:00:00"/>
    <s v="1019583  - REV3"/>
    <x v="93"/>
    <x v="0"/>
    <n v="32959.279999999999"/>
    <n v="23207.354210979145"/>
    <n v="0.70412200178460049"/>
    <n v="-32959.279999999999"/>
    <n v="0"/>
    <n v="0"/>
    <s v=""/>
    <x v="0"/>
    <x v="0"/>
    <s v="Pend"/>
    <s v="Pend"/>
  </r>
  <r>
    <n v="2"/>
    <s v="SO16888"/>
    <s v="25326-5789"/>
    <s v="INV12829"/>
    <s v="Mertec Engineering"/>
    <d v="2025-04-03T10:22:18"/>
    <d v="2025-04-04T14:08:07"/>
    <d v="2025-07-04T00:00:00"/>
    <s v="Ian Trottier"/>
    <s v="USD"/>
    <n v="0.69879848026194369"/>
    <n v="27268.948828934299"/>
    <n v="0"/>
    <n v="19055.5"/>
    <n v="19055.5"/>
    <m/>
    <n v="19055.5"/>
    <s v="Delivered"/>
    <m/>
    <n v="2"/>
    <n v="4"/>
    <n v="2025"/>
    <n v="4"/>
    <n v="2025"/>
    <n v="0.6987984802619438"/>
    <x v="321"/>
    <d v="2025-04-03T10:22:18"/>
    <x v="385"/>
    <s v="Paid"/>
    <d v="2025-04-08T00:00:00"/>
    <s v="25326-5789"/>
    <x v="94"/>
    <x v="1"/>
    <n v="27268.948828934303"/>
    <n v="19055.5"/>
    <n v="0.69879848026194369"/>
    <n v="0"/>
    <n v="-11018.86"/>
    <s v=""/>
    <n v="8036.6399999999994"/>
    <x v="0"/>
    <x v="1"/>
    <s v="Yes"/>
    <s v="Pend"/>
  </r>
  <r>
    <m/>
    <m/>
    <m/>
    <s v="INV13216"/>
    <m/>
    <m/>
    <m/>
    <m/>
    <m/>
    <m/>
    <m/>
    <m/>
    <m/>
    <m/>
    <m/>
    <m/>
    <m/>
    <m/>
    <m/>
    <n v="2"/>
    <n v="4"/>
    <n v="2025"/>
    <n v="7"/>
    <n v="2025"/>
    <n v="0.6987984802619438"/>
    <x v="321"/>
    <d v="2025-04-03T10:22:18"/>
    <x v="386"/>
    <s v="Paid"/>
    <d v="2025-07-29T00:00:00"/>
    <s v="25326-5789"/>
    <x v="94"/>
    <x v="1"/>
    <n v="0"/>
    <n v="0"/>
    <n v="0"/>
    <n v="0"/>
    <n v="-8036.64"/>
    <s v=""/>
    <n v="-8036.64"/>
    <x v="0"/>
    <x v="1"/>
    <s v="Yes"/>
    <s v="Pend"/>
  </r>
  <r>
    <n v="1"/>
    <s v="SO16903"/>
    <s v="ON33-00092152"/>
    <s v="INV12843"/>
    <s v="Motion Industries Inc. (Canada) - Scarborough"/>
    <d v="2025-04-04T13:30:52"/>
    <d v="2025-04-08T13:53:29"/>
    <d v="2025-04-09T00:00:00"/>
    <s v="Ian Trottier"/>
    <s v="CAD"/>
    <n v="1"/>
    <n v="190.44"/>
    <n v="0"/>
    <n v="134.0929940198593"/>
    <n v="168.53"/>
    <n v="21.91"/>
    <n v="190.44"/>
    <s v="Delivered"/>
    <m/>
    <n v="1"/>
    <n v="4"/>
    <n v="2025"/>
    <n v="5"/>
    <n v="2025"/>
    <n v="0.70412200178460038"/>
    <x v="322"/>
    <d v="2025-04-04T13:30:52"/>
    <x v="387"/>
    <s v="Paid"/>
    <d v="2025-05-09T00:00:00"/>
    <s v="ON33-00092152"/>
    <x v="95"/>
    <x v="0"/>
    <n v="168.53"/>
    <n v="118.66568096075871"/>
    <n v="0.70412200178460038"/>
    <n v="-168.53"/>
    <n v="0"/>
    <n v="0"/>
    <s v=""/>
    <x v="0"/>
    <x v="0"/>
    <s v="Pend"/>
    <s v="Pend"/>
  </r>
  <r>
    <n v="3"/>
    <s v="SO16918"/>
    <s v="4501209613"/>
    <s v="INV13121"/>
    <s v="Barrick Gold - Pueblo Viejo Dominicana Corporation"/>
    <d v="2025-04-07T13:12:45"/>
    <d v="2025-06-12T11:29:34"/>
    <d v="2025-09-17T00:00:00"/>
    <s v="Wilka Nuñez"/>
    <s v="USD"/>
    <n v="0.73186663114413975"/>
    <n v="52513.420293417817"/>
    <n v="0"/>
    <n v="38432.82"/>
    <n v="38432.82"/>
    <m/>
    <n v="38432.82"/>
    <s v="Delivered"/>
    <m/>
    <n v="3"/>
    <n v="4"/>
    <n v="2025"/>
    <n v="7"/>
    <n v="2025"/>
    <n v="0.73186663114413975"/>
    <x v="323"/>
    <d v="2025-04-07T13:12:45"/>
    <x v="388"/>
    <s v="Paid"/>
    <d v="2025-07-07T00:00:00"/>
    <s v="4501209613"/>
    <x v="15"/>
    <x v="1"/>
    <n v="52513.420293417817"/>
    <n v="38432.82"/>
    <n v="0.73186663114413975"/>
    <n v="0"/>
    <n v="-37641.019999999997"/>
    <s v=""/>
    <n v="791.80000000000291"/>
    <x v="0"/>
    <x v="1"/>
    <n v="0"/>
    <s v="Pend"/>
  </r>
  <r>
    <m/>
    <m/>
    <m/>
    <s v="INV13251"/>
    <m/>
    <m/>
    <m/>
    <m/>
    <m/>
    <m/>
    <m/>
    <m/>
    <m/>
    <m/>
    <m/>
    <m/>
    <m/>
    <m/>
    <m/>
    <n v="3"/>
    <n v="4"/>
    <n v="2025"/>
    <s v=""/>
    <s v=""/>
    <n v="0.73186663114413975"/>
    <x v="323"/>
    <d v="2025-04-07T13:12:45"/>
    <x v="389"/>
    <s v="Not invoiced"/>
    <s v="Pending"/>
    <s v="4501209613"/>
    <x v="15"/>
    <x v="1"/>
    <n v="0"/>
    <n v="0"/>
    <n v="0"/>
    <n v="0"/>
    <n v="0"/>
    <s v=""/>
    <n v="0"/>
    <x v="1"/>
    <x v="1"/>
    <n v="0"/>
    <s v="Pend"/>
  </r>
  <r>
    <m/>
    <m/>
    <m/>
    <s v="INV13475"/>
    <m/>
    <m/>
    <m/>
    <m/>
    <m/>
    <m/>
    <m/>
    <m/>
    <m/>
    <m/>
    <m/>
    <m/>
    <m/>
    <m/>
    <m/>
    <n v="3"/>
    <n v="4"/>
    <n v="2025"/>
    <n v="12"/>
    <n v="2025"/>
    <n v="0.73186663114413975"/>
    <x v="323"/>
    <d v="2025-04-07T13:12:45"/>
    <x v="390"/>
    <s v="Paid"/>
    <d v="2025-12-04T00:00:00"/>
    <s v="4501209613"/>
    <x v="15"/>
    <x v="1"/>
    <n v="0"/>
    <n v="0"/>
    <n v="0"/>
    <n v="0"/>
    <n v="-791.8"/>
    <s v=""/>
    <n v="-791.8"/>
    <x v="0"/>
    <x v="1"/>
    <n v="0"/>
    <s v="Pend"/>
  </r>
  <r>
    <n v="1"/>
    <s v="SO16923"/>
    <s v="2249920"/>
    <s v="INV13044"/>
    <s v="Zijin Mining - Rosebel Goldmines N.V."/>
    <d v="2025-04-07T14:27:00"/>
    <d v="2025-05-21T12:30:07"/>
    <d v="2025-06-28T00:00:00"/>
    <s v="Amanda Qiao"/>
    <s v="USD"/>
    <n v="0.7168814564314101"/>
    <n v="4250.395895533301"/>
    <n v="0"/>
    <n v="3047.03"/>
    <n v="3047.03"/>
    <m/>
    <n v="3047.03"/>
    <s v="Delivered"/>
    <m/>
    <n v="1"/>
    <n v="4"/>
    <n v="2025"/>
    <n v="8"/>
    <n v="2025"/>
    <n v="0.7168814564314101"/>
    <x v="324"/>
    <d v="2025-04-07T14:27:00"/>
    <x v="391"/>
    <s v="Paid"/>
    <d v="2025-08-05T00:00:00"/>
    <s v="2249920"/>
    <x v="1"/>
    <x v="1"/>
    <n v="4250.395895533301"/>
    <n v="3047.03"/>
    <n v="0.7168814564314101"/>
    <n v="0"/>
    <n v="-3047.03"/>
    <s v=""/>
    <n v="0"/>
    <x v="0"/>
    <x v="0"/>
    <s v="Pend"/>
    <s v="Pend"/>
  </r>
  <r>
    <n v="1"/>
    <s v="SO16931"/>
    <s v="1046"/>
    <s v="INV13234"/>
    <s v="Mill-Right Mine Services Inc."/>
    <d v="2025-04-08T07:58:53"/>
    <d v="2025-04-11T10:55:04"/>
    <d v="2025-07-17T00:00:00"/>
    <s v="Amanda Qiao"/>
    <s v="USD"/>
    <n v="0.70470066534440534"/>
    <n v="3213.1940714052812"/>
    <n v="0"/>
    <n v="2264.34"/>
    <n v="2264.34"/>
    <m/>
    <n v="2264.34"/>
    <s v="Delivered"/>
    <m/>
    <n v="1"/>
    <n v="4"/>
    <n v="2025"/>
    <s v=""/>
    <s v=""/>
    <n v="0.70470066534440523"/>
    <x v="325"/>
    <d v="2025-04-08T07:58:53"/>
    <x v="392"/>
    <s v="Not invoiced"/>
    <s v="Pending"/>
    <s v="1046"/>
    <x v="30"/>
    <x v="1"/>
    <n v="3213.1940714052807"/>
    <n v="2264.34"/>
    <n v="0.70470066534440534"/>
    <n v="0"/>
    <n v="0"/>
    <s v=""/>
    <n v="2264.34"/>
    <x v="1"/>
    <x v="2"/>
    <s v="Pend"/>
    <s v="Pend"/>
  </r>
  <r>
    <n v="1"/>
    <s v="SO16932"/>
    <s v="SUD1006029"/>
    <s v="INV13407"/>
    <s v="Process and Steam Specialties, Process and Steam Specialties"/>
    <d v="2025-04-08T09:54:41"/>
    <d v="2025-07-14T09:33:55"/>
    <d v="2025-10-03T00:00:00"/>
    <s v="Ian Trottier"/>
    <s v="CAD"/>
    <n v="1"/>
    <n v="7833.15"/>
    <n v="0"/>
    <n v="5719.7757475539529"/>
    <n v="6931.99"/>
    <n v="901.16"/>
    <n v="7833.15"/>
    <s v="Delivered"/>
    <m/>
    <n v="1"/>
    <n v="4"/>
    <n v="2025"/>
    <s v=""/>
    <s v=""/>
    <n v="0.73020122780158092"/>
    <x v="326"/>
    <d v="2025-04-08T09:54:41"/>
    <x v="393"/>
    <s v="Approved"/>
    <s v="Pending"/>
    <s v="SUD1006029"/>
    <x v="39"/>
    <x v="0"/>
    <n v="6931.99"/>
    <n v="5061.7476091082808"/>
    <n v="0.73020122780158092"/>
    <n v="-6931.99"/>
    <n v="0"/>
    <n v="0"/>
    <s v=""/>
    <x v="1"/>
    <x v="2"/>
    <s v="Pend"/>
    <s v="Pend"/>
  </r>
  <r>
    <n v="1"/>
    <s v="SO16934"/>
    <s v="4500590642"/>
    <s v="INV12842"/>
    <s v="Resolute Forest Products - Saint-Felicien"/>
    <d v="2025-04-08T15:21:42"/>
    <d v="2025-04-08T15:33:04"/>
    <d v="2025-04-09T00:00:00"/>
    <s v="Ian Trottier"/>
    <s v="CAD"/>
    <n v="1"/>
    <n v="2209.0500000000002"/>
    <n v="0"/>
    <n v="1555.440708042272"/>
    <n v="2103.86"/>
    <n v="105.19"/>
    <n v="2209.0500000000002"/>
    <s v="Delivered"/>
    <m/>
    <n v="1"/>
    <n v="4"/>
    <n v="2025"/>
    <n v="6"/>
    <n v="2025"/>
    <n v="0.7041220017846006"/>
    <x v="327"/>
    <d v="2025-04-08T15:21:42"/>
    <x v="394"/>
    <s v="Paid"/>
    <d v="2025-06-06T00:00:00"/>
    <s v="4500590642"/>
    <x v="46"/>
    <x v="0"/>
    <n v="2103.86"/>
    <n v="1481.3741146745499"/>
    <n v="0.7041220017846006"/>
    <n v="-2103.86"/>
    <n v="0"/>
    <n v="0"/>
    <s v=""/>
    <x v="0"/>
    <x v="0"/>
    <s v="Pend"/>
    <s v="Pend"/>
  </r>
  <r>
    <n v="4"/>
    <s v="SO16939"/>
    <s v="P-40925"/>
    <s v="INV12841"/>
    <s v="Cartledge &amp; Associates Inc."/>
    <d v="2025-04-08T17:03:26"/>
    <d v="2025-04-09T10:33:18"/>
    <d v="2025-04-10T00:00:00"/>
    <s v="Ian Trottier"/>
    <s v="USD"/>
    <n v="0.70297388821094531"/>
    <n v="13846.24687094949"/>
    <n v="0"/>
    <n v="9733.5499999999993"/>
    <n v="9733.5499999999993"/>
    <m/>
    <n v="9733.5499999999993"/>
    <s v="Delivered"/>
    <m/>
    <n v="4"/>
    <n v="4"/>
    <n v="2025"/>
    <n v="5"/>
    <n v="2025"/>
    <n v="0.70297388821094542"/>
    <x v="328"/>
    <d v="2025-04-08T17:03:26"/>
    <x v="395"/>
    <s v="Paid"/>
    <d v="2025-05-15T00:00:00"/>
    <s v="P-40925"/>
    <x v="25"/>
    <x v="1"/>
    <n v="13846.246870949491"/>
    <n v="9733.5499999999993"/>
    <n v="0.70297388821094531"/>
    <n v="0"/>
    <n v="-9733.5499999999993"/>
    <s v=""/>
    <n v="0"/>
    <x v="0"/>
    <x v="1"/>
    <s v="Yes"/>
    <s v="Pend"/>
  </r>
  <r>
    <m/>
    <m/>
    <m/>
    <s v="(* 72154)"/>
    <m/>
    <m/>
    <m/>
    <m/>
    <m/>
    <m/>
    <m/>
    <m/>
    <m/>
    <m/>
    <m/>
    <m/>
    <m/>
    <m/>
    <m/>
    <n v="4"/>
    <n v="4"/>
    <n v="2025"/>
    <s v=""/>
    <s v=""/>
    <n v="0.70297388821094542"/>
    <x v="328"/>
    <d v="2025-04-08T17:03:26"/>
    <x v="396"/>
    <s v="Not invoiced"/>
    <s v="Pending"/>
    <s v="P-40925"/>
    <x v="25"/>
    <x v="1"/>
    <n v="0"/>
    <n v="0"/>
    <n v="0"/>
    <n v="0"/>
    <n v="0"/>
    <s v=""/>
    <n v="0"/>
    <x v="1"/>
    <x v="1"/>
    <s v="Yes"/>
    <s v="Pend"/>
  </r>
  <r>
    <m/>
    <m/>
    <m/>
    <s v="INV12838"/>
    <m/>
    <m/>
    <m/>
    <m/>
    <m/>
    <m/>
    <m/>
    <m/>
    <m/>
    <m/>
    <m/>
    <m/>
    <m/>
    <m/>
    <m/>
    <n v="4"/>
    <n v="4"/>
    <n v="2025"/>
    <s v=""/>
    <s v=""/>
    <n v="0.70297388821094542"/>
    <x v="328"/>
    <d v="2025-04-08T17:03:26"/>
    <x v="397"/>
    <s v="Not invoiced"/>
    <s v="Pending"/>
    <s v="P-40925"/>
    <x v="25"/>
    <x v="1"/>
    <n v="0"/>
    <n v="0"/>
    <n v="0"/>
    <n v="0"/>
    <n v="0"/>
    <s v=""/>
    <n v="0"/>
    <x v="1"/>
    <x v="1"/>
    <s v="Yes"/>
    <s v="Pend"/>
  </r>
  <r>
    <m/>
    <m/>
    <m/>
    <s v="INV12839"/>
    <m/>
    <m/>
    <m/>
    <m/>
    <m/>
    <m/>
    <m/>
    <m/>
    <m/>
    <m/>
    <m/>
    <m/>
    <m/>
    <m/>
    <m/>
    <n v="4"/>
    <n v="4"/>
    <n v="2025"/>
    <s v=""/>
    <s v=""/>
    <n v="0.70297388821094542"/>
    <x v="328"/>
    <d v="2025-04-08T17:03:26"/>
    <x v="398"/>
    <s v="Not invoiced"/>
    <s v="Pending"/>
    <s v="P-40925"/>
    <x v="25"/>
    <x v="1"/>
    <n v="0"/>
    <n v="0"/>
    <n v="0"/>
    <n v="0"/>
    <n v="0"/>
    <s v=""/>
    <n v="0"/>
    <x v="1"/>
    <x v="1"/>
    <s v="Yes"/>
    <s v="Pend"/>
  </r>
  <r>
    <n v="1"/>
    <s v="SO16941"/>
    <s v="606890"/>
    <s v="INV13135"/>
    <s v="Sealtrac Inc."/>
    <d v="2025-04-09T09:08:18"/>
    <d v="2025-04-09T13:38:34"/>
    <d v="2025-07-09T00:00:00"/>
    <s v="Ian Trottier"/>
    <s v="CAD"/>
    <n v="1"/>
    <n v="4949.3999999999996"/>
    <n v="0"/>
    <n v="3487.8454730556"/>
    <n v="4380"/>
    <n v="569.4"/>
    <n v="4949.3999999999996"/>
    <s v="Delivered"/>
    <m/>
    <n v="1"/>
    <n v="4"/>
    <n v="2025"/>
    <n v="7"/>
    <n v="2025"/>
    <n v="0.70470066534440545"/>
    <x v="329"/>
    <d v="2025-04-09T09:08:18"/>
    <x v="399"/>
    <s v="Paid"/>
    <d v="2025-07-31T00:00:00"/>
    <s v="606890"/>
    <x v="50"/>
    <x v="0"/>
    <n v="4380"/>
    <n v="3086.5889142084957"/>
    <n v="0.70470066534440545"/>
    <n v="-4380"/>
    <n v="0"/>
    <n v="0"/>
    <s v=""/>
    <x v="0"/>
    <x v="0"/>
    <s v="Pend"/>
    <s v="Pend"/>
  </r>
  <r>
    <n v="1"/>
    <s v="SO16942"/>
    <s v="4511783974"/>
    <s v="INV12884"/>
    <s v="PT Vale Indonesia Tbk."/>
    <d v="2025-04-09T09:15:34"/>
    <d v="2025-04-09T09:18:21"/>
    <d v="2025-04-10T00:00:00"/>
    <s v="Ian Trottier"/>
    <s v="USD"/>
    <n v="0.70297388821094531"/>
    <n v="45.478218375028149"/>
    <n v="0"/>
    <n v="31.97"/>
    <n v="31.97"/>
    <m/>
    <n v="31.97"/>
    <s v="Delivered"/>
    <m/>
    <n v="1"/>
    <n v="4"/>
    <n v="2025"/>
    <n v="6"/>
    <n v="2025"/>
    <n v="0.70297388821094531"/>
    <x v="330"/>
    <d v="2025-04-09T09:15:34"/>
    <x v="400"/>
    <s v="Paid"/>
    <d v="2025-06-05T00:00:00"/>
    <s v="4511783974"/>
    <x v="42"/>
    <x v="1"/>
    <n v="45.478218375028149"/>
    <n v="31.97"/>
    <n v="0.70297388821094531"/>
    <n v="0"/>
    <n v="-31.97"/>
    <s v=""/>
    <n v="0"/>
    <x v="0"/>
    <x v="0"/>
    <s v="Pend"/>
    <s v="Pend"/>
  </r>
  <r>
    <n v="1"/>
    <s v="SO16947"/>
    <s v="PO-041091"/>
    <s v="INV13123"/>
    <s v="Southeast Pump Specialist, Inc."/>
    <d v="2025-04-09T12:51:03"/>
    <d v="2025-06-20T15:53:37"/>
    <d v="2025-06-23T00:00:00"/>
    <s v="Ian Trottier"/>
    <s v="USD"/>
    <n v="0.73067487305017076"/>
    <n v="2860.0682424951929"/>
    <n v="0"/>
    <n v="2089.7800000000002"/>
    <n v="2089.7800000000002"/>
    <m/>
    <n v="2089.7800000000002"/>
    <s v="Delivered"/>
    <m/>
    <n v="1"/>
    <n v="4"/>
    <n v="2025"/>
    <n v="8"/>
    <n v="2025"/>
    <n v="0.73067487305017076"/>
    <x v="331"/>
    <d v="2025-04-09T12:51:03"/>
    <x v="401"/>
    <s v="Paid"/>
    <d v="2025-08-07T00:00:00"/>
    <s v="PO-041091"/>
    <x v="26"/>
    <x v="1"/>
    <n v="2860.0682424951929"/>
    <n v="2089.7800000000002"/>
    <n v="0.73067487305017076"/>
    <n v="0"/>
    <n v="-2089.7800000000002"/>
    <s v=""/>
    <n v="0"/>
    <x v="0"/>
    <x v="0"/>
    <s v="Pend"/>
    <s v="Pend"/>
  </r>
  <r>
    <n v="2"/>
    <s v="SO16948"/>
    <s v="2100550517"/>
    <s v="INV12913"/>
    <s v="Wajax Limited - Lachine"/>
    <d v="2025-04-09T13:29:16"/>
    <d v="2025-04-09T15:58:08"/>
    <d v="2025-04-10T00:00:00"/>
    <s v="Ian Trottier"/>
    <s v="CAD"/>
    <n v="1"/>
    <n v="1256.1400000000001"/>
    <n v="0"/>
    <n v="885.20269376572139"/>
    <n v="1196.32"/>
    <n v="59.82"/>
    <n v="1256.1400000000001"/>
    <s v="Delivered"/>
    <m/>
    <n v="2"/>
    <n v="4"/>
    <n v="2025"/>
    <n v="5"/>
    <n v="2025"/>
    <n v="0.70470066534440534"/>
    <x v="332"/>
    <d v="2025-04-09T13:29:16"/>
    <x v="402"/>
    <s v="Paid"/>
    <d v="2025-05-28T00:00:00"/>
    <s v="2100550517"/>
    <x v="77"/>
    <x v="0"/>
    <n v="1196.32"/>
    <n v="843.04749996481894"/>
    <n v="0.70470066534440534"/>
    <n v="-147.72999999999999"/>
    <n v="0"/>
    <n v="1048.5899999999999"/>
    <s v=""/>
    <x v="0"/>
    <x v="1"/>
    <s v="Yes"/>
    <s v="Pend"/>
  </r>
  <r>
    <m/>
    <m/>
    <m/>
    <s v="INV12851"/>
    <m/>
    <m/>
    <m/>
    <m/>
    <m/>
    <m/>
    <m/>
    <m/>
    <m/>
    <m/>
    <m/>
    <m/>
    <m/>
    <m/>
    <m/>
    <n v="2"/>
    <n v="4"/>
    <n v="2025"/>
    <n v="5"/>
    <n v="2025"/>
    <n v="0.70470066534440534"/>
    <x v="332"/>
    <d v="2025-04-09T13:29:16"/>
    <x v="403"/>
    <s v="Paid"/>
    <d v="2025-05-14T00:00:00"/>
    <s v="2100550517"/>
    <x v="77"/>
    <x v="0"/>
    <n v="0"/>
    <n v="0"/>
    <n v="0"/>
    <n v="-1048.5899999999999"/>
    <n v="0"/>
    <n v="-1048.5899999999999"/>
    <s v=""/>
    <x v="0"/>
    <x v="1"/>
    <s v="Yes"/>
    <s v="Pend"/>
  </r>
  <r>
    <n v="1"/>
    <s v="SO16949"/>
    <s v="4500564942"/>
    <s v="INV12847"/>
    <s v="Glencore Canada Corporation - Rouyn-Noranda"/>
    <d v="2025-04-09T15:33:52"/>
    <d v="2025-04-09T15:36:32"/>
    <d v="2025-04-10T00:00:00"/>
    <s v="Ian Trottier"/>
    <s v="CAD"/>
    <n v="1"/>
    <n v="1474.74"/>
    <n v="0"/>
    <n v="1039.2502592100079"/>
    <n v="1404.51"/>
    <n v="70.23"/>
    <n v="1474.74"/>
    <s v="Delivered"/>
    <m/>
    <n v="1"/>
    <n v="4"/>
    <n v="2025"/>
    <n v="5"/>
    <n v="2025"/>
    <n v="0.70470066534440501"/>
    <x v="333"/>
    <d v="2025-04-09T15:33:52"/>
    <x v="404"/>
    <s v="Paid"/>
    <d v="2025-05-23T00:00:00"/>
    <s v="4500564942"/>
    <x v="81"/>
    <x v="0"/>
    <n v="1404.51"/>
    <n v="989.75913148287032"/>
    <n v="0.70470066534440501"/>
    <n v="-1404.51"/>
    <n v="0"/>
    <n v="0"/>
    <s v=""/>
    <x v="0"/>
    <x v="0"/>
    <s v="Pend"/>
    <s v="Pend"/>
  </r>
  <r>
    <n v="1"/>
    <s v="SO16951"/>
    <s v="4500590836"/>
    <s v="INV12874"/>
    <s v="Resolute Forest Products - Clermont"/>
    <d v="2025-04-09T16:30:07"/>
    <d v="2025-04-09T16:31:40"/>
    <d v="2025-04-10T00:00:00"/>
    <s v="Ian Trottier"/>
    <s v="CAD"/>
    <n v="1"/>
    <n v="28.07"/>
    <n v="0"/>
    <n v="19.780947676217458"/>
    <n v="26.73"/>
    <n v="1.34"/>
    <n v="28.07"/>
    <s v="Delivered"/>
    <m/>
    <n v="1"/>
    <n v="4"/>
    <n v="2025"/>
    <n v="6"/>
    <n v="2025"/>
    <n v="0.70470066534440534"/>
    <x v="334"/>
    <d v="2025-04-09T16:30:07"/>
    <x v="405"/>
    <s v="Paid"/>
    <d v="2025-06-09T00:00:00"/>
    <s v="4500590836"/>
    <x v="83"/>
    <x v="0"/>
    <n v="26.73"/>
    <n v="18.836648784655956"/>
    <n v="0.70470066534440534"/>
    <n v="-26.73"/>
    <n v="0"/>
    <n v="0"/>
    <s v=""/>
    <x v="0"/>
    <x v="0"/>
    <s v="Pend"/>
    <s v="Pend"/>
  </r>
  <r>
    <n v="1"/>
    <s v="SO16952"/>
    <s v="2100552642"/>
    <s v="INV12925"/>
    <s v="Wajax Limited - Noranda"/>
    <d v="2025-04-09T16:48:29"/>
    <d v="2025-04-14T12:58:02"/>
    <d v="2025-05-08T00:00:00"/>
    <s v="Ian Trottier"/>
    <s v="CAD"/>
    <n v="1"/>
    <n v="3445.52"/>
    <n v="0"/>
    <n v="2479.8801617075378"/>
    <n v="3281.44"/>
    <n v="164.08"/>
    <n v="3445.52"/>
    <s v="Delivered"/>
    <m/>
    <n v="1"/>
    <n v="4"/>
    <n v="2025"/>
    <n v="6"/>
    <n v="2025"/>
    <n v="0.71974046347359411"/>
    <x v="335"/>
    <d v="2025-04-09T16:48:29"/>
    <x v="406"/>
    <s v="Paid"/>
    <d v="2025-06-04T00:00:00"/>
    <s v="2100552642"/>
    <x v="35"/>
    <x v="0"/>
    <n v="3281.44"/>
    <n v="2361.7851464607907"/>
    <n v="0.71974046347359411"/>
    <n v="-3281.44"/>
    <n v="0"/>
    <n v="0"/>
    <s v=""/>
    <x v="0"/>
    <x v="0"/>
    <s v="Pend"/>
    <s v="Pend"/>
  </r>
  <r>
    <n v="1"/>
    <s v="SO16953"/>
    <s v="OC00161"/>
    <s v="INV13204"/>
    <s v="Dynapro Pumps México S de RL de CV"/>
    <d v="2025-04-09T18:22:52"/>
    <d v="2025-04-09T18:22:54"/>
    <d v="2025-05-16T00:00:00"/>
    <s v="Yannett Yeomans"/>
    <s v="USD"/>
    <n v="0.70297388821094531"/>
    <n v="7382.9200302282179"/>
    <n v="0"/>
    <n v="5190"/>
    <n v="5190"/>
    <m/>
    <n v="5190"/>
    <s v="Delivered"/>
    <m/>
    <n v="1"/>
    <n v="4"/>
    <n v="2025"/>
    <s v=""/>
    <s v=""/>
    <n v="0.70297388821094531"/>
    <x v="336"/>
    <d v="2025-04-09T18:22:52"/>
    <x v="407"/>
    <s v="Approved"/>
    <s v="Pending"/>
    <s v="OC00161"/>
    <x v="54"/>
    <x v="1"/>
    <n v="7382.9200302282179"/>
    <n v="5190"/>
    <n v="0.70297388821094531"/>
    <n v="0"/>
    <n v="-5190"/>
    <s v=""/>
    <n v="0"/>
    <x v="1"/>
    <x v="2"/>
    <s v="Pend"/>
    <s v="Pend"/>
  </r>
  <r>
    <n v="3"/>
    <s v="SO16957"/>
    <s v="PO-007902"/>
    <s v="INV12902"/>
    <s v="Sling-Choker Manufacturing - Timmins"/>
    <d v="2025-04-10T08:58:57"/>
    <d v="2025-04-14T16:58:58"/>
    <d v="2025-05-08T00:00:00"/>
    <s v="Ian Trottier"/>
    <s v="CAD"/>
    <n v="1"/>
    <n v="5871.64"/>
    <n v="0"/>
    <n v="4226.0568949500948"/>
    <n v="5196.1499999999996"/>
    <n v="675.49"/>
    <n v="5871.64"/>
    <s v="Delivered"/>
    <m/>
    <n v="3"/>
    <n v="4"/>
    <n v="2025"/>
    <n v="5"/>
    <n v="2025"/>
    <n v="0.71974046347359422"/>
    <x v="337"/>
    <d v="2025-04-10T08:58:57"/>
    <x v="408"/>
    <s v="Paid"/>
    <d v="2025-05-21T00:00:00"/>
    <s v="PO-007902"/>
    <x v="3"/>
    <x v="0"/>
    <n v="5196.1499999999996"/>
    <n v="3739.8794092783164"/>
    <n v="0.71974046347359422"/>
    <n v="-4285.93"/>
    <n v="0"/>
    <n v="910.21999999999935"/>
    <s v=""/>
    <x v="0"/>
    <x v="1"/>
    <s v="Yes"/>
    <s v="Pend"/>
  </r>
  <r>
    <m/>
    <m/>
    <m/>
    <s v="INV12973"/>
    <m/>
    <m/>
    <m/>
    <m/>
    <m/>
    <m/>
    <m/>
    <m/>
    <m/>
    <m/>
    <m/>
    <m/>
    <m/>
    <m/>
    <m/>
    <n v="3"/>
    <n v="4"/>
    <n v="2025"/>
    <s v=""/>
    <s v=""/>
    <n v="0.71974046347359422"/>
    <x v="337"/>
    <d v="2025-04-10T08:58:57"/>
    <x v="409"/>
    <s v="Not invoiced"/>
    <s v="Pending"/>
    <s v="PO-007902"/>
    <x v="3"/>
    <x v="0"/>
    <n v="0"/>
    <n v="0"/>
    <n v="0"/>
    <n v="0"/>
    <n v="0"/>
    <n v="0"/>
    <s v=""/>
    <x v="1"/>
    <x v="1"/>
    <s v="Yes"/>
    <s v="Pend"/>
  </r>
  <r>
    <m/>
    <m/>
    <m/>
    <s v="INV13008"/>
    <m/>
    <m/>
    <m/>
    <m/>
    <m/>
    <m/>
    <m/>
    <m/>
    <m/>
    <m/>
    <m/>
    <m/>
    <m/>
    <m/>
    <m/>
    <n v="3"/>
    <n v="4"/>
    <n v="2025"/>
    <n v="6"/>
    <n v="2025"/>
    <n v="0.71974046347359422"/>
    <x v="337"/>
    <d v="2025-04-10T08:58:57"/>
    <x v="410"/>
    <s v="Paid"/>
    <d v="2025-06-25T00:00:00"/>
    <s v="PO-007902"/>
    <x v="3"/>
    <x v="0"/>
    <n v="0"/>
    <n v="0"/>
    <n v="0"/>
    <n v="-910.22"/>
    <n v="0"/>
    <n v="-910.22"/>
    <s v=""/>
    <x v="0"/>
    <x v="1"/>
    <s v="Yes"/>
    <s v="Pend"/>
  </r>
  <r>
    <n v="1"/>
    <s v="SO16958"/>
    <s v="PONV-25-0782"/>
    <s v="INV12999"/>
    <s v="Tech-Flow"/>
    <d v="2025-04-10T10:30:06"/>
    <d v="2025-04-14T11:41:05"/>
    <d v="2025-06-09T00:00:00"/>
    <s v="Ian Trottier"/>
    <s v="USD"/>
    <n v="0.72095821438553542"/>
    <n v="319.35276609093222"/>
    <n v="0"/>
    <n v="230.24"/>
    <n v="230.24"/>
    <m/>
    <n v="230.24"/>
    <s v="Delivered"/>
    <m/>
    <n v="1"/>
    <n v="4"/>
    <n v="2025"/>
    <n v="7"/>
    <n v="2025"/>
    <n v="0.72095821438553531"/>
    <x v="338"/>
    <d v="2025-04-10T10:30:06"/>
    <x v="411"/>
    <s v="Paid"/>
    <d v="2025-07-05T00:00:00"/>
    <s v="PONV-25-0782"/>
    <x v="53"/>
    <x v="1"/>
    <n v="319.35276609093216"/>
    <n v="230.24"/>
    <n v="0.72095821438553542"/>
    <n v="0"/>
    <n v="-230.24"/>
    <s v=""/>
    <n v="0"/>
    <x v="0"/>
    <x v="0"/>
    <s v="Pend"/>
    <s v="Pend"/>
  </r>
  <r>
    <n v="1"/>
    <s v="SO16962"/>
    <s v="AB09-000290234"/>
    <s v="INV12861"/>
    <s v="Motion Industries Inc. (Canada) - Calgary"/>
    <d v="2025-04-10T15:27:53"/>
    <d v="2025-04-10T15:59:33"/>
    <d v="2025-04-11T00:00:00"/>
    <s v="Ian Trottier"/>
    <s v="CAD"/>
    <n v="1"/>
    <n v="153.53"/>
    <n v="0"/>
    <n v="109.582148607286"/>
    <n v="146.22"/>
    <n v="7.31"/>
    <n v="153.53"/>
    <s v="Delivered"/>
    <m/>
    <n v="1"/>
    <n v="4"/>
    <n v="2025"/>
    <n v="5"/>
    <n v="2025"/>
    <n v="0.71375072368453074"/>
    <x v="339"/>
    <d v="2025-04-10T15:27:53"/>
    <x v="412"/>
    <s v="Paid"/>
    <d v="2025-05-13T00:00:00"/>
    <s v="AB09-000290234"/>
    <x v="96"/>
    <x v="0"/>
    <n v="146.22"/>
    <n v="104.36463081715209"/>
    <n v="0.71375072368453074"/>
    <n v="-146.22"/>
    <n v="0"/>
    <n v="0"/>
    <s v=""/>
    <x v="0"/>
    <x v="0"/>
    <s v="Pend"/>
    <s v="Pend"/>
  </r>
  <r>
    <n v="1"/>
    <s v="SO16963"/>
    <s v="2100551604"/>
    <s v="INV12868"/>
    <s v="Wajax Limited - Lachine"/>
    <d v="2025-04-10T15:35:10"/>
    <d v="2025-04-10T15:36:23"/>
    <d v="2025-04-11T00:00:00"/>
    <s v="Ian Trottier"/>
    <s v="CAD"/>
    <n v="1"/>
    <n v="838.92"/>
    <n v="0"/>
    <n v="598.77975711342629"/>
    <n v="798.97"/>
    <n v="39.950000000000003"/>
    <n v="838.92"/>
    <s v="Delivered"/>
    <m/>
    <n v="1"/>
    <n v="4"/>
    <n v="2025"/>
    <n v="5"/>
    <n v="2025"/>
    <n v="0.71375072368453052"/>
    <x v="340"/>
    <d v="2025-04-10T15:35:10"/>
    <x v="413"/>
    <s v="Paid"/>
    <d v="2025-05-14T00:00:00"/>
    <s v="2100551604"/>
    <x v="77"/>
    <x v="0"/>
    <n v="798.97"/>
    <n v="570.26541570222935"/>
    <n v="0.71375072368453052"/>
    <n v="-798.97"/>
    <n v="0"/>
    <n v="0"/>
    <s v=""/>
    <x v="0"/>
    <x v="0"/>
    <s v="Pend"/>
    <s v="Pend"/>
  </r>
  <r>
    <n v="1"/>
    <s v="SO16964"/>
    <s v="PONV-25-0777"/>
    <s v="INV13001"/>
    <s v="Tech-Flow"/>
    <d v="2025-04-10T16:11:17"/>
    <d v="2025-04-10T16:11:43"/>
    <d v="2025-07-03T00:00:00"/>
    <s v="Ian Trottier"/>
    <s v="USD"/>
    <n v="0.70412200178460038"/>
    <n v="7867.7558519108898"/>
    <n v="0"/>
    <n v="5539.86"/>
    <n v="5539.86"/>
    <m/>
    <n v="5539.86"/>
    <s v="Delivered"/>
    <m/>
    <n v="1"/>
    <n v="4"/>
    <n v="2025"/>
    <n v="7"/>
    <n v="2025"/>
    <n v="0.70412200178460038"/>
    <x v="341"/>
    <d v="2025-04-10T16:11:17"/>
    <x v="414"/>
    <s v="Paid"/>
    <d v="2025-07-05T00:00:00"/>
    <s v="PONV-25-0777"/>
    <x v="53"/>
    <x v="1"/>
    <n v="7867.7558519108898"/>
    <n v="5539.86"/>
    <n v="0.70412200178460038"/>
    <n v="0"/>
    <n v="-5539.86"/>
    <s v=""/>
    <n v="0"/>
    <x v="0"/>
    <x v="0"/>
    <s v="Pend"/>
    <s v="Pend"/>
  </r>
  <r>
    <n v="1"/>
    <s v="SO16965"/>
    <s v="7017"/>
    <s v="INV12873"/>
    <s v="Hyperflo"/>
    <d v="2025-04-10T16:52:33"/>
    <d v="2025-04-14T08:30:39"/>
    <d v="2025-04-15T00:00:00"/>
    <s v="Ian Trottier"/>
    <s v="CAD"/>
    <n v="1"/>
    <n v="208.63"/>
    <n v="0"/>
    <n v="150.15945289449601"/>
    <n v="198.69"/>
    <n v="9.94"/>
    <n v="208.63"/>
    <s v="Delivered"/>
    <m/>
    <n v="1"/>
    <n v="4"/>
    <n v="2025"/>
    <n v="5"/>
    <n v="2025"/>
    <n v="0.71974046347359444"/>
    <x v="342"/>
    <d v="2025-04-10T16:52:33"/>
    <x v="415"/>
    <s v="Paid"/>
    <d v="2025-05-23T00:00:00"/>
    <s v="7017"/>
    <x v="5"/>
    <x v="0"/>
    <n v="198.69"/>
    <n v="143.00523268756848"/>
    <n v="0.71974046347359444"/>
    <n v="-198.69"/>
    <n v="0"/>
    <n v="0"/>
    <s v=""/>
    <x v="0"/>
    <x v="0"/>
    <s v="Pend"/>
    <s v="Pend"/>
  </r>
  <r>
    <n v="1"/>
    <s v="SO16967"/>
    <s v="4500593166"/>
    <s v="INV13141"/>
    <s v="Resolute Forest Products - Saint-Felicien"/>
    <d v="2025-04-11T08:56:54"/>
    <d v="2025-05-05T13:30:12"/>
    <d v="2025-07-21T00:00:00"/>
    <s v="Ian Trottier"/>
    <s v="CAD"/>
    <n v="1"/>
    <n v="10372.02"/>
    <n v="10372.02"/>
    <n v="10372.02"/>
    <n v="9878.11"/>
    <n v="493.91"/>
    <n v="10372.02"/>
    <s v="Delivered"/>
    <m/>
    <n v="1"/>
    <n v="4"/>
    <n v="2025"/>
    <n v="8"/>
    <n v="2025"/>
    <n v="1"/>
    <x v="343"/>
    <d v="2025-04-11T08:56:54"/>
    <x v="416"/>
    <s v="Paid"/>
    <d v="2025-08-29T00:00:00"/>
    <s v="4500593166"/>
    <x v="46"/>
    <x v="0"/>
    <n v="9878.11"/>
    <n v="7079.2638955355305"/>
    <n v="0.71666177998984926"/>
    <n v="-9878.11"/>
    <n v="0"/>
    <n v="0"/>
    <s v=""/>
    <x v="0"/>
    <x v="0"/>
    <s v="Pend"/>
    <s v="Pend"/>
  </r>
  <r>
    <n v="1"/>
    <s v="SO16968"/>
    <s v="5362319"/>
    <s v="INV12870"/>
    <s v="Pierce Pump Company, Pierce Pump Company"/>
    <d v="2025-04-11T12:11:04"/>
    <d v="2025-04-11T15:48:34"/>
    <d v="2025-04-14T00:00:00"/>
    <s v="Taylor Cook"/>
    <s v="USD"/>
    <n v="0.70470066534440534"/>
    <n v="4700.4922272652111"/>
    <n v="0"/>
    <n v="3312.44"/>
    <n v="3312.44"/>
    <m/>
    <n v="3312.44"/>
    <s v="Delivered"/>
    <m/>
    <n v="1"/>
    <n v="4"/>
    <n v="2025"/>
    <n v="5"/>
    <n v="2025"/>
    <n v="0.70470066534440534"/>
    <x v="344"/>
    <d v="2025-04-11T12:11:04"/>
    <x v="417"/>
    <s v="Paid"/>
    <d v="2025-05-15T00:00:00"/>
    <s v="5362319"/>
    <x v="36"/>
    <x v="1"/>
    <n v="4700.4922272652111"/>
    <n v="3312.44"/>
    <n v="0.70470066534440534"/>
    <n v="0"/>
    <n v="-3312.44"/>
    <s v=""/>
    <n v="0"/>
    <x v="0"/>
    <x v="0"/>
    <s v="Pend"/>
    <s v="Pend"/>
  </r>
  <r>
    <n v="1"/>
    <s v="SO16970"/>
    <s v="4500591345"/>
    <s v="INV12877"/>
    <s v="Resolute Forest Products - Kenogami"/>
    <d v="2025-04-11T14:47:33"/>
    <d v="2025-04-11T14:56:02"/>
    <d v="2025-04-14T00:00:00"/>
    <s v="Ian Trottier"/>
    <s v="CAD"/>
    <n v="1"/>
    <n v="986.77"/>
    <n v="0"/>
    <n v="709.97649734587617"/>
    <n v="939.78"/>
    <n v="46.99"/>
    <n v="986.77"/>
    <s v="Delivered"/>
    <m/>
    <n v="1"/>
    <n v="4"/>
    <n v="2025"/>
    <n v="6"/>
    <n v="2025"/>
    <n v="0.71949542177597225"/>
    <x v="345"/>
    <d v="2025-04-11T14:47:33"/>
    <x v="418"/>
    <s v="Paid"/>
    <d v="2025-06-13T00:00:00"/>
    <s v="4500591345"/>
    <x v="17"/>
    <x v="0"/>
    <n v="939.78"/>
    <n v="676.16740747662323"/>
    <n v="0.71949542177597225"/>
    <n v="-939.78"/>
    <n v="0"/>
    <n v="0"/>
    <s v=""/>
    <x v="0"/>
    <x v="0"/>
    <s v="Pend"/>
    <s v="Pend"/>
  </r>
  <r>
    <n v="1"/>
    <s v="SO16976"/>
    <s v="4500804288"/>
    <s v="INV12969"/>
    <s v="AGM Inc."/>
    <d v="2025-04-14T09:34:43"/>
    <d v="2025-05-08T07:59:54"/>
    <d v="2025-05-09T00:00:00"/>
    <s v="Amanda Qiao"/>
    <s v="USD"/>
    <n v="0.72599223409301405"/>
    <n v="6239.7361669568727"/>
    <n v="0"/>
    <n v="4530"/>
    <n v="4530"/>
    <m/>
    <n v="4530"/>
    <s v="Delivered"/>
    <m/>
    <n v="1"/>
    <n v="4"/>
    <n v="2025"/>
    <n v="8"/>
    <n v="2025"/>
    <n v="0.72599223409301405"/>
    <x v="346"/>
    <d v="2025-04-14T09:34:43"/>
    <x v="419"/>
    <s v="Paid"/>
    <d v="2025-08-26T00:00:00"/>
    <s v="4500804288"/>
    <x v="61"/>
    <x v="1"/>
    <n v="6239.7361669568727"/>
    <n v="4530"/>
    <n v="0.72599223409301405"/>
    <n v="0"/>
    <n v="-4530"/>
    <s v=""/>
    <n v="0"/>
    <x v="0"/>
    <x v="0"/>
    <s v="Pend"/>
    <s v="Pend"/>
  </r>
  <r>
    <n v="1"/>
    <s v="SO16983"/>
    <s v="MB21-00188690"/>
    <s v="INV12890"/>
    <s v="Motion Industries Inc. (Canada) - Winnipeg"/>
    <d v="2025-04-14T13:47:12"/>
    <d v="2025-04-17T11:49:16"/>
    <d v="2025-04-21T00:00:00"/>
    <s v="Ian Trottier"/>
    <s v="CAD"/>
    <n v="1"/>
    <n v="204.72"/>
    <n v="0"/>
    <n v="147.73001141053911"/>
    <n v="194.97"/>
    <n v="9.75"/>
    <n v="204.72"/>
    <s v="Delivered"/>
    <m/>
    <n v="1"/>
    <n v="4"/>
    <n v="2025"/>
    <n v="5"/>
    <n v="2025"/>
    <n v="0.72161982908625977"/>
    <x v="347"/>
    <d v="2025-04-14T13:47:12"/>
    <x v="420"/>
    <s v="Paid"/>
    <d v="2025-05-21T00:00:00"/>
    <s v="MB21-00188690"/>
    <x v="23"/>
    <x v="0"/>
    <n v="194.97"/>
    <n v="140.69421807694806"/>
    <n v="0.72161982908625977"/>
    <n v="-194.97"/>
    <n v="0"/>
    <n v="0"/>
    <s v=""/>
    <x v="0"/>
    <x v="0"/>
    <s v="Pend"/>
    <s v="Pend"/>
  </r>
  <r>
    <n v="1"/>
    <s v="SO16985"/>
    <s v="P357437"/>
    <s v="INV12903"/>
    <s v="Covia Corp - Junction City"/>
    <d v="2025-04-14T14:13:53"/>
    <d v="2025-04-14T14:12:37"/>
    <d v="2025-04-24T00:00:00"/>
    <s v="Marlen Martinez"/>
    <s v="USD"/>
    <n v="0.72095821438553542"/>
    <n v="1482.776641793469"/>
    <n v="0"/>
    <n v="1069.02"/>
    <n v="1069.02"/>
    <m/>
    <n v="1069.02"/>
    <s v="Delivered"/>
    <m/>
    <n v="1"/>
    <n v="4"/>
    <n v="2025"/>
    <n v="7"/>
    <n v="2025"/>
    <n v="0.72095821438553531"/>
    <x v="348"/>
    <d v="2025-04-14T14:13:53"/>
    <x v="421"/>
    <s v="Paid"/>
    <d v="2025-07-29T00:00:00"/>
    <s v="P357437"/>
    <x v="6"/>
    <x v="1"/>
    <n v="1482.7766417934688"/>
    <n v="1069.02"/>
    <n v="0.72095821438553542"/>
    <n v="0"/>
    <n v="-1069.02"/>
    <s v=""/>
    <n v="0"/>
    <x v="0"/>
    <x v="0"/>
    <s v="Pend"/>
    <s v="Pend"/>
  </r>
  <r>
    <n v="2"/>
    <s v="SO16989"/>
    <s v="BC65-00080260"/>
    <s v="INV12923"/>
    <s v="Motion Industries Inc. (Canada) - Prince George"/>
    <d v="2025-04-14T16:37:53"/>
    <d v="2025-04-14T16:37:53"/>
    <d v="2025-07-31T00:00:00"/>
    <s v="Ian Trottier"/>
    <s v="CAD"/>
    <n v="1"/>
    <n v="1784.76"/>
    <n v="0"/>
    <n v="1284.563989589132"/>
    <n v="1699.77"/>
    <n v="84.99"/>
    <n v="1784.76"/>
    <s v="Delivered"/>
    <m/>
    <n v="2"/>
    <n v="4"/>
    <n v="2025"/>
    <n v="5"/>
    <n v="2025"/>
    <n v="0.71974046347359422"/>
    <x v="349"/>
    <d v="2025-04-14T16:37:53"/>
    <x v="422"/>
    <s v="Paid"/>
    <d v="2025-05-29T00:00:00"/>
    <s v="BC65-00080260"/>
    <x v="41"/>
    <x v="0"/>
    <n v="1699.77"/>
    <n v="1223.3932475985112"/>
    <n v="0.71974046347359422"/>
    <n v="-1340.49"/>
    <n v="0"/>
    <n v="359.28"/>
    <s v=""/>
    <x v="0"/>
    <x v="1"/>
    <s v="Yes"/>
    <s v="Pend"/>
  </r>
  <r>
    <m/>
    <m/>
    <m/>
    <s v="INV13125"/>
    <m/>
    <m/>
    <m/>
    <m/>
    <m/>
    <m/>
    <m/>
    <m/>
    <m/>
    <m/>
    <m/>
    <m/>
    <m/>
    <m/>
    <m/>
    <n v="2"/>
    <n v="4"/>
    <n v="2025"/>
    <n v="7"/>
    <n v="2025"/>
    <n v="0.71974046347359422"/>
    <x v="349"/>
    <d v="2025-04-14T16:37:53"/>
    <x v="423"/>
    <s v="Paid"/>
    <d v="2025-07-24T00:00:00"/>
    <s v="BC65-00080260"/>
    <x v="41"/>
    <x v="0"/>
    <n v="0"/>
    <n v="0"/>
    <n v="0"/>
    <n v="-359.28"/>
    <n v="0"/>
    <n v="-359.28"/>
    <s v=""/>
    <x v="0"/>
    <x v="1"/>
    <s v="Yes"/>
    <s v="Pend"/>
  </r>
  <r>
    <n v="1"/>
    <s v="SO16990"/>
    <s v="7025"/>
    <s v="INV12878"/>
    <s v="Hyperflo, Hyperflo"/>
    <d v="2025-04-15T08:10:46"/>
    <d v="2025-04-15T10:46:20"/>
    <d v="2025-04-15T00:00:00"/>
    <s v="Ian Trottier"/>
    <s v="CAD"/>
    <n v="1"/>
    <n v="96.72"/>
    <n v="0"/>
    <n v="69.349600472038262"/>
    <n v="92.11"/>
    <n v="4.6100000000000003"/>
    <n v="96.72"/>
    <s v="Delivered"/>
    <m/>
    <n v="1"/>
    <n v="4"/>
    <n v="2025"/>
    <n v="5"/>
    <n v="2025"/>
    <n v="0.71701406608807139"/>
    <x v="350"/>
    <d v="2025-04-15T08:10:46"/>
    <x v="424"/>
    <s v="Paid"/>
    <d v="2025-05-23T00:00:00"/>
    <s v="7025"/>
    <x v="97"/>
    <x v="0"/>
    <n v="92.11"/>
    <n v="66.044165627372251"/>
    <n v="0.71701406608807139"/>
    <n v="-92.11"/>
    <n v="0"/>
    <n v="0"/>
    <s v=""/>
    <x v="0"/>
    <x v="0"/>
    <s v="Pend"/>
    <s v="Pend"/>
  </r>
  <r>
    <n v="1"/>
    <s v="SO16991"/>
    <s v="4500591694"/>
    <s v="INV12876"/>
    <s v="Resolute Forest Products - Saint-Felicien"/>
    <d v="2025-04-15T09:33:43"/>
    <d v="2025-04-15T09:39:29"/>
    <d v="2025-04-16T00:00:00"/>
    <s v="Ian Trottier"/>
    <s v="CAD"/>
    <n v="1"/>
    <n v="311.39"/>
    <n v="0"/>
    <n v="223.27101003916451"/>
    <n v="296.56"/>
    <n v="14.83"/>
    <n v="311.39"/>
    <s v="Delivered"/>
    <m/>
    <n v="1"/>
    <n v="4"/>
    <n v="2025"/>
    <n v="6"/>
    <n v="2025"/>
    <n v="0.71701406608807128"/>
    <x v="351"/>
    <d v="2025-04-15T09:33:43"/>
    <x v="425"/>
    <s v="Paid"/>
    <d v="2025-06-13T00:00:00"/>
    <s v="4500591694"/>
    <x v="46"/>
    <x v="0"/>
    <n v="296.56"/>
    <n v="212.63769143907842"/>
    <n v="0.71701406608807128"/>
    <n v="-296.56"/>
    <n v="0"/>
    <n v="0"/>
    <s v=""/>
    <x v="0"/>
    <x v="0"/>
    <s v="Pend"/>
    <s v="Pend"/>
  </r>
  <r>
    <n v="1"/>
    <s v="SO16992"/>
    <s v="KS10-01410312"/>
    <s v="INV12984"/>
    <s v="Motion Industries Inc. (U.S.) - Wichita, Motion Industries Inc. (U.S.) - Wichita"/>
    <d v="2025-04-15T11:10:21"/>
    <d v="2025-04-15T11:04:05"/>
    <d v="2025-04-16T00:00:00"/>
    <s v="Ian Trottier"/>
    <s v="USD"/>
    <n v="0.71701406608807139"/>
    <n v="145.1017559078411"/>
    <n v="0"/>
    <n v="104.04"/>
    <n v="104.04"/>
    <m/>
    <n v="104.04"/>
    <s v="Delivered"/>
    <m/>
    <n v="1"/>
    <n v="4"/>
    <n v="2025"/>
    <n v="6"/>
    <n v="2025"/>
    <n v="0.71701406608807161"/>
    <x v="352"/>
    <d v="2025-04-15T11:10:21"/>
    <x v="426"/>
    <s v="Paid"/>
    <d v="2025-06-13T00:00:00"/>
    <s v="KS10-01410312"/>
    <x v="98"/>
    <x v="1"/>
    <n v="145.10175590784112"/>
    <n v="104.04"/>
    <n v="0.71701406608807139"/>
    <n v="0"/>
    <n v="-104.04"/>
    <s v=""/>
    <n v="0"/>
    <x v="0"/>
    <x v="0"/>
    <s v="Pend"/>
    <s v="Pend"/>
  </r>
  <r>
    <n v="1"/>
    <s v="SO16994"/>
    <s v="2100554981"/>
    <s v="INV12912"/>
    <s v="Wajax Limited - Noranda"/>
    <d v="2025-04-15T12:49:57"/>
    <d v="2025-04-16T08:44:09"/>
    <d v="2025-04-23T00:00:00"/>
    <s v="Ian Trottier"/>
    <s v="CAD"/>
    <n v="1"/>
    <n v="310.23"/>
    <n v="0"/>
    <n v="223.4274177859771"/>
    <n v="295.45999999999998"/>
    <n v="14.77"/>
    <n v="310.23"/>
    <s v="Delivered"/>
    <m/>
    <n v="1"/>
    <n v="4"/>
    <n v="2025"/>
    <n v="5"/>
    <n v="2025"/>
    <n v="0.72019926437152137"/>
    <x v="353"/>
    <d v="2025-04-15T12:49:57"/>
    <x v="427"/>
    <s v="Paid"/>
    <d v="2025-05-28T00:00:00"/>
    <s v="2100554981"/>
    <x v="35"/>
    <x v="0"/>
    <n v="295.45999999999998"/>
    <n v="212.79007465120969"/>
    <n v="0.72019926437152137"/>
    <n v="-295.45999999999998"/>
    <n v="0"/>
    <n v="0"/>
    <s v=""/>
    <x v="0"/>
    <x v="0"/>
    <s v="Pend"/>
    <s v="Pend"/>
  </r>
  <r>
    <n v="1"/>
    <s v="SO16995"/>
    <s v="PO13501"/>
    <s v="INV12895"/>
    <s v="Manufacture Sling-Choker (Val-d’Or) Ltée, Manufacture Sling-Choker (Val-d’Or) Ltée"/>
    <d v="2025-04-15T13:12:57"/>
    <d v="2025-04-15T16:41:56"/>
    <d v="2025-04-16T00:00:00"/>
    <s v="Ian Trottier"/>
    <s v="CAD"/>
    <n v="1"/>
    <n v="107.31"/>
    <n v="0"/>
    <n v="76.942779431910949"/>
    <n v="102.2"/>
    <n v="5.1100000000000003"/>
    <n v="107.31"/>
    <s v="Delivered"/>
    <m/>
    <n v="1"/>
    <n v="4"/>
    <n v="2025"/>
    <n v="5"/>
    <n v="2025"/>
    <n v="0.7170140660880715"/>
    <x v="354"/>
    <d v="2025-04-15T13:12:57"/>
    <x v="428"/>
    <s v="Paid"/>
    <d v="2025-05-21T00:00:00"/>
    <s v="PO13501"/>
    <x v="99"/>
    <x v="0"/>
    <n v="102.2"/>
    <n v="73.278837554200905"/>
    <n v="0.7170140660880715"/>
    <n v="-102.2"/>
    <n v="0"/>
    <n v="0"/>
    <s v=""/>
    <x v="0"/>
    <x v="0"/>
    <s v="Pend"/>
    <s v="Pend"/>
  </r>
  <r>
    <n v="1"/>
    <s v="SO16996"/>
    <s v="L64691-DS"/>
    <s v="INV12966"/>
    <s v="Wild Rows Pump &amp; Compression LTD., Wild Rows Pump &amp; Compression LTD."/>
    <d v="2025-04-15T13:23:02"/>
    <d v="2025-04-15T13:15:01"/>
    <d v="2025-05-08T00:00:00"/>
    <s v="Taylor Cook"/>
    <s v="CAD"/>
    <n v="1"/>
    <n v="456.4"/>
    <n v="0"/>
    <n v="327.24521976259581"/>
    <n v="456.4"/>
    <m/>
    <n v="456.4"/>
    <s v="Delivered"/>
    <m/>
    <n v="1"/>
    <n v="4"/>
    <n v="2025"/>
    <n v="5"/>
    <n v="2025"/>
    <n v="0.7170140660880715"/>
    <x v="355"/>
    <d v="2025-04-15T13:23:02"/>
    <x v="429"/>
    <s v="Paid"/>
    <d v="2025-05-21T00:00:00"/>
    <s v="L64691-DS"/>
    <x v="100"/>
    <x v="0"/>
    <n v="456.4"/>
    <n v="327.24521976259581"/>
    <n v="0.7170140660880715"/>
    <n v="-456.4"/>
    <n v="0"/>
    <n v="0"/>
    <s v=""/>
    <x v="0"/>
    <x v="0"/>
    <s v="Pend"/>
    <s v="Pend"/>
  </r>
  <r>
    <n v="1"/>
    <s v="SO17000"/>
    <s v="4500571170"/>
    <s v="INV12875"/>
    <s v="Glencore Canada Corporation - Rouyn-Noranda, Glencore Canada Corp."/>
    <d v="2025-04-15T15:08:16"/>
    <d v="2025-04-15T15:10:52"/>
    <d v="2025-04-16T00:00:00"/>
    <s v="Ian Trottier"/>
    <s v="CAD"/>
    <n v="1"/>
    <n v="44.65"/>
    <n v="0"/>
    <n v="32.014678050832387"/>
    <n v="42.52"/>
    <n v="2.13"/>
    <n v="44.65"/>
    <s v="Delivered"/>
    <m/>
    <n v="1"/>
    <n v="4"/>
    <n v="2025"/>
    <n v="5"/>
    <n v="2025"/>
    <n v="0.71701406608807139"/>
    <x v="356"/>
    <d v="2025-04-15T15:08:16"/>
    <x v="430"/>
    <s v="Paid"/>
    <d v="2025-05-29T00:00:00"/>
    <s v="4500571170"/>
    <x v="27"/>
    <x v="0"/>
    <n v="42.52"/>
    <n v="30.487438090064799"/>
    <n v="0.71701406608807139"/>
    <n v="-42.52"/>
    <n v="0"/>
    <n v="0"/>
    <s v=""/>
    <x v="0"/>
    <x v="0"/>
    <s v="Pend"/>
    <s v="Pend"/>
  </r>
  <r>
    <n v="1"/>
    <s v="SO17001"/>
    <s v="4500571675"/>
    <s v="INV12932"/>
    <s v="Glencore Canada Corporation - Rouyn-Noranda, Glencore Canada Corp."/>
    <d v="2025-04-16T09:11:43"/>
    <d v="2025-04-16T09:17:09"/>
    <d v="2025-05-08T00:00:00"/>
    <s v="Ian Trottier"/>
    <s v="CAD"/>
    <n v="1"/>
    <n v="1567.15"/>
    <n v="0"/>
    <n v="1128.66027715983"/>
    <n v="1492.52"/>
    <n v="74.63"/>
    <n v="1567.15"/>
    <s v="Delivered"/>
    <m/>
    <n v="1"/>
    <n v="4"/>
    <n v="2025"/>
    <n v="6"/>
    <n v="2025"/>
    <n v="0.72019926437152149"/>
    <x v="357"/>
    <d v="2025-04-16T09:11:43"/>
    <x v="431"/>
    <s v="Paid"/>
    <d v="2025-06-13T00:00:00"/>
    <s v="4500571675"/>
    <x v="27"/>
    <x v="0"/>
    <n v="1492.52"/>
    <n v="1074.9118060597832"/>
    <n v="0.72019926437152149"/>
    <n v="-1492.52"/>
    <n v="0"/>
    <n v="0"/>
    <s v=""/>
    <x v="0"/>
    <x v="0"/>
    <s v="Pend"/>
    <s v="Pend"/>
  </r>
  <r>
    <n v="1"/>
    <s v="SO17003"/>
    <s v="4511811410"/>
    <s v="INV12891"/>
    <s v="PT Vale Indonesia Tbk."/>
    <d v="2025-04-17T08:12:07"/>
    <d v="2025-04-17T08:18:49"/>
    <d v="2025-04-21T00:00:00"/>
    <s v="Ian Trottier"/>
    <s v="USD"/>
    <n v="0.72019926437152137"/>
    <n v="471.88329232267211"/>
    <n v="0"/>
    <n v="339.85"/>
    <n v="339.85"/>
    <m/>
    <n v="339.85"/>
    <s v="Delivered"/>
    <m/>
    <n v="1"/>
    <n v="4"/>
    <n v="2025"/>
    <n v="6"/>
    <n v="2025"/>
    <n v="0.72019926437152137"/>
    <x v="358"/>
    <d v="2025-04-17T08:12:07"/>
    <x v="432"/>
    <s v="Paid"/>
    <d v="2025-06-10T00:00:00"/>
    <s v="4511811410"/>
    <x v="42"/>
    <x v="1"/>
    <n v="471.88329232267211"/>
    <n v="339.85"/>
    <n v="0.72019926437152137"/>
    <n v="0"/>
    <n v="-339.85"/>
    <s v=""/>
    <n v="0"/>
    <x v="0"/>
    <x v="0"/>
    <s v="Pend"/>
    <s v="Pend"/>
  </r>
  <r>
    <n v="1"/>
    <s v="SO17004"/>
    <s v="Darren Approved PO"/>
    <s v="INV13056"/>
    <s v="Quality Concrete Inc."/>
    <d v="2025-04-17T09:16:27"/>
    <d v="2025-04-17T09:18:04"/>
    <d v="2025-05-12T00:00:00"/>
    <s v="Ian Trottier"/>
    <s v="CAD"/>
    <n v="1"/>
    <n v="6675"/>
    <n v="0"/>
    <n v="4816.8123591507838"/>
    <n v="6357.14"/>
    <n v="317.86"/>
    <n v="6675"/>
    <s v="Delivered"/>
    <m/>
    <n v="1"/>
    <n v="4"/>
    <n v="2025"/>
    <n v="8"/>
    <n v="2025"/>
    <n v="0.72161982908625977"/>
    <x v="359"/>
    <d v="2025-04-17T09:16:27"/>
    <x v="433"/>
    <s v="Paid"/>
    <d v="2025-08-15T00:00:00"/>
    <s v="Darren Approved PO"/>
    <x v="43"/>
    <x v="0"/>
    <n v="6357.14"/>
    <n v="4587.4382802774253"/>
    <n v="0.72161982908625966"/>
    <n v="-6357.14"/>
    <n v="0"/>
    <n v="0"/>
    <s v=""/>
    <x v="0"/>
    <x v="0"/>
    <s v="Pend"/>
    <s v="Pend"/>
  </r>
  <r>
    <n v="1"/>
    <s v="SO17005"/>
    <s v="2100560502"/>
    <s v="INV12930"/>
    <s v="Wajax Limited - Lachine"/>
    <d v="2025-04-17T09:51:51"/>
    <d v="2025-04-24T15:34:06"/>
    <d v="2025-04-25T00:00:00"/>
    <s v="Ian Trottier"/>
    <s v="CAD"/>
    <n v="1"/>
    <n v="472.15"/>
    <n v="0"/>
    <n v="339.89711985462128"/>
    <n v="449.67"/>
    <n v="22.48"/>
    <n v="472.15"/>
    <s v="Delivered"/>
    <m/>
    <n v="1"/>
    <n v="4"/>
    <n v="2025"/>
    <n v="6"/>
    <n v="2025"/>
    <n v="0.71989223732843655"/>
    <x v="360"/>
    <d v="2025-04-17T09:51:51"/>
    <x v="434"/>
    <s v="Paid"/>
    <d v="2025-06-04T00:00:00"/>
    <s v="2100560502"/>
    <x v="77"/>
    <x v="0"/>
    <n v="449.67"/>
    <n v="323.7139423594781"/>
    <n v="0.71989223732843655"/>
    <n v="-449.67"/>
    <n v="0"/>
    <n v="0"/>
    <s v=""/>
    <x v="0"/>
    <x v="0"/>
    <s v="Pend"/>
    <s v="Pend"/>
  </r>
  <r>
    <n v="1"/>
    <s v="SO17006"/>
    <s v="PO13510"/>
    <s v="INV12892"/>
    <s v="Manufacture Sling-Choker (Val-d’Or) Ltée"/>
    <d v="2025-04-17T13:21:19"/>
    <d v="2025-04-17T16:35:35"/>
    <d v="2025-04-21T00:00:00"/>
    <s v="Ian Trottier"/>
    <s v="CAD"/>
    <n v="1"/>
    <n v="131.22999999999999"/>
    <n v="0"/>
    <n v="94.698170170989869"/>
    <n v="124.98"/>
    <n v="6.25"/>
    <n v="131.22999999999999"/>
    <s v="Delivered"/>
    <m/>
    <n v="1"/>
    <n v="4"/>
    <n v="2025"/>
    <n v="5"/>
    <n v="2025"/>
    <n v="0.72161982908625977"/>
    <x v="361"/>
    <d v="2025-04-17T13:21:19"/>
    <x v="435"/>
    <s v="Paid"/>
    <d v="2025-05-21T00:00:00"/>
    <s v="PO13510"/>
    <x v="10"/>
    <x v="0"/>
    <n v="124.98"/>
    <n v="90.188046239200744"/>
    <n v="0.72161982908625977"/>
    <n v="-124.98"/>
    <n v="0"/>
    <n v="0"/>
    <s v=""/>
    <x v="0"/>
    <x v="0"/>
    <s v="Pend"/>
    <s v="Pend"/>
  </r>
  <r>
    <n v="1"/>
    <s v="SO17008"/>
    <s v="5518 - Paid in full on August 6th 2025"/>
    <s v="INV13372"/>
    <s v="MJR Admin"/>
    <d v="2025-04-17T16:06:44"/>
    <d v="2025-08-05T16:55:50"/>
    <d v="2025-09-09T00:00:00"/>
    <s v="Ian Trottier"/>
    <s v="CAD"/>
    <n v="1"/>
    <n v="7542.77"/>
    <n v="0"/>
    <n v="5473.0502303356379"/>
    <n v="7183.59"/>
    <n v="359.18"/>
    <n v="7542.77"/>
    <s v="Delivered"/>
    <m/>
    <n v="1"/>
    <n v="4"/>
    <n v="2025"/>
    <n v="9"/>
    <n v="2025"/>
    <n v="0.72560216344070383"/>
    <x v="362"/>
    <d v="2025-04-17T16:06:44"/>
    <x v="436"/>
    <s v="Paid"/>
    <d v="2025-09-09T00:00:00"/>
    <s v="5518 - Paid in full on August 6th 2025"/>
    <x v="101"/>
    <x v="0"/>
    <n v="7183.59"/>
    <n v="5212.4284452710053"/>
    <n v="0.72560216344070383"/>
    <n v="-7183.59"/>
    <n v="0"/>
    <n v="0"/>
    <s v=""/>
    <x v="0"/>
    <x v="0"/>
    <s v="Pend"/>
    <s v="Pend"/>
  </r>
  <r>
    <n v="1"/>
    <s v="SO17009"/>
    <s v="PO-007930"/>
    <s v="INV13230"/>
    <s v="Sling-Choker Manufacturing - Timmins"/>
    <d v="2025-04-21T11:45:33"/>
    <d v="2025-07-14T10:53:00"/>
    <d v="2025-07-15T00:00:00"/>
    <s v="Ian Trottier"/>
    <s v="CAD"/>
    <n v="1"/>
    <n v="814.95"/>
    <n v="0"/>
    <n v="595.07749059689843"/>
    <n v="721.19"/>
    <n v="93.76"/>
    <n v="814.95"/>
    <s v="Delivered"/>
    <m/>
    <n v="1"/>
    <n v="4"/>
    <n v="2025"/>
    <n v="8"/>
    <n v="2025"/>
    <n v="0.73020122780158092"/>
    <x v="363"/>
    <d v="2025-04-21T11:45:33"/>
    <x v="437"/>
    <s v="Paid"/>
    <d v="2025-08-06T00:00:00"/>
    <s v="PO-007930"/>
    <x v="3"/>
    <x v="0"/>
    <n v="721.19"/>
    <n v="526.61382347822223"/>
    <n v="0.73020122780158103"/>
    <n v="-721.19"/>
    <n v="0"/>
    <n v="0"/>
    <s v=""/>
    <x v="0"/>
    <x v="0"/>
    <s v="Pend"/>
    <s v="Pend"/>
  </r>
  <r>
    <n v="1"/>
    <s v="SO17010"/>
    <s v="OC00163"/>
    <s v="INV13272"/>
    <s v="Dynapro Pumps México S de RL de CV"/>
    <d v="2025-04-21T13:54:37"/>
    <d v="2025-04-21T13:53:51"/>
    <d v="2025-07-31T00:00:00"/>
    <s v="Yannett Yeomans"/>
    <s v="USD"/>
    <n v="0.72213687898096424"/>
    <n v="21452.99658682627"/>
    <n v="0"/>
    <n v="15492"/>
    <n v="15492"/>
    <m/>
    <n v="15492"/>
    <s v="Delivered"/>
    <m/>
    <n v="1"/>
    <n v="4"/>
    <n v="2025"/>
    <s v=""/>
    <s v=""/>
    <n v="0.72213687898096424"/>
    <x v="364"/>
    <d v="2025-04-21T13:54:37"/>
    <x v="438"/>
    <s v="Approved"/>
    <s v="Pending"/>
    <s v="OC00163"/>
    <x v="54"/>
    <x v="1"/>
    <n v="21452.99658682627"/>
    <n v="15492"/>
    <n v="0.72213687898096424"/>
    <n v="0"/>
    <n v="-15492"/>
    <s v=""/>
    <n v="0"/>
    <x v="1"/>
    <x v="2"/>
    <s v="Pend"/>
    <s v="Pend"/>
  </r>
  <r>
    <n v="1"/>
    <s v="SO17013"/>
    <s v="4500572350"/>
    <s v="INV12905"/>
    <s v="Glencore Canada Corporation - Rouyn-Noranda, Glencore Canada Corp."/>
    <d v="2025-04-22T13:29:35"/>
    <d v="2025-04-22T13:33:59"/>
    <d v="2025-04-23T00:00:00"/>
    <s v="Ian Trottier"/>
    <s v="CAD"/>
    <n v="1"/>
    <n v="539.67999999999995"/>
    <n v="0"/>
    <n v="390.87901308584662"/>
    <n v="519.21"/>
    <n v="20.47"/>
    <n v="539.67999999999995"/>
    <s v="Delivered"/>
    <m/>
    <n v="1"/>
    <n v="4"/>
    <n v="2025"/>
    <n v="6"/>
    <n v="2025"/>
    <n v="0.72427922673778289"/>
    <x v="365"/>
    <d v="2025-04-22T13:29:35"/>
    <x v="439"/>
    <s v="Paid"/>
    <d v="2025-06-06T00:00:00"/>
    <s v="4500572350"/>
    <x v="27"/>
    <x v="0"/>
    <n v="519.21"/>
    <n v="376.05301731452425"/>
    <n v="0.72427922673778289"/>
    <n v="-519.21"/>
    <n v="0"/>
    <n v="0"/>
    <s v=""/>
    <x v="0"/>
    <x v="0"/>
    <s v="Pend"/>
    <s v="Pend"/>
  </r>
  <r>
    <n v="1"/>
    <s v="SO17015"/>
    <s v="BC65-00080320"/>
    <s v="INV13105"/>
    <s v="Motion Industries Inc. (Canada) - Prince George"/>
    <d v="2025-04-23T08:59:50"/>
    <d v="2025-04-24T15:43:58"/>
    <d v="2025-08-07T00:00:00"/>
    <s v="Ian Trottier"/>
    <s v="CAD"/>
    <n v="1"/>
    <n v="16616.349999999999"/>
    <n v="0"/>
    <n v="11961.981377732371"/>
    <n v="15825.1"/>
    <n v="791.25"/>
    <n v="16616.349999999999"/>
    <s v="Delivered"/>
    <m/>
    <n v="1"/>
    <n v="4"/>
    <n v="2025"/>
    <n v="7"/>
    <n v="2025"/>
    <n v="0.71989223732843688"/>
    <x v="366"/>
    <d v="2025-04-23T08:59:50"/>
    <x v="440"/>
    <s v="Paid"/>
    <d v="2025-07-21T00:00:00"/>
    <s v="BC65-00080320"/>
    <x v="41"/>
    <x v="0"/>
    <n v="15825.1"/>
    <n v="11392.366644946247"/>
    <n v="0.71989223732843688"/>
    <n v="-15825.1"/>
    <n v="0"/>
    <n v="0"/>
    <s v=""/>
    <x v="0"/>
    <x v="0"/>
    <s v="Pend"/>
    <s v="Pend"/>
  </r>
  <r>
    <n v="2"/>
    <s v="SO17017"/>
    <s v="4500572502"/>
    <s v="INV12914"/>
    <s v="Glencore Canada Corporation - Rouyn-Noranda"/>
    <d v="2025-04-23T12:12:21"/>
    <d v="2025-04-23T13:47:57"/>
    <d v="2025-07-09T00:00:00"/>
    <s v="Ian Trottier"/>
    <s v="CAD"/>
    <n v="1"/>
    <n v="8531.2099999999991"/>
    <n v="0"/>
    <n v="6140.4448484504346"/>
    <n v="8124.96"/>
    <n v="406.25"/>
    <n v="8531.2099999999991"/>
    <s v="Delivered"/>
    <m/>
    <n v="2"/>
    <n v="4"/>
    <n v="2025"/>
    <n v="6"/>
    <n v="2025"/>
    <n v="0.71976247782558811"/>
    <x v="367"/>
    <d v="2025-04-23T12:12:21"/>
    <x v="441"/>
    <s v="Paid"/>
    <d v="2025-06-06T00:00:00"/>
    <s v="4500572502"/>
    <x v="81"/>
    <x v="0"/>
    <n v="8124.96"/>
    <n v="5848.0413418337903"/>
    <n v="0.71976247782558811"/>
    <n v="-7240.4"/>
    <n v="0"/>
    <n v="884.5600000000004"/>
    <s v=""/>
    <x v="0"/>
    <x v="1"/>
    <s v="Yes"/>
    <s v="Pend"/>
  </r>
  <r>
    <m/>
    <m/>
    <m/>
    <s v="INV13032"/>
    <m/>
    <m/>
    <m/>
    <m/>
    <m/>
    <m/>
    <m/>
    <m/>
    <m/>
    <m/>
    <m/>
    <m/>
    <m/>
    <m/>
    <m/>
    <n v="2"/>
    <n v="4"/>
    <n v="2025"/>
    <n v="7"/>
    <n v="2025"/>
    <n v="0.71976247782558811"/>
    <x v="367"/>
    <d v="2025-04-23T12:12:21"/>
    <x v="442"/>
    <s v="Paid"/>
    <d v="2025-07-11T00:00:00"/>
    <s v="4500572502"/>
    <x v="81"/>
    <x v="0"/>
    <n v="0"/>
    <n v="0"/>
    <n v="0"/>
    <n v="-884.56"/>
    <n v="0"/>
    <n v="-884.56"/>
    <s v=""/>
    <x v="0"/>
    <x v="1"/>
    <s v="Yes"/>
    <s v="Pend"/>
  </r>
  <r>
    <n v="1"/>
    <s v="SO17020"/>
    <s v="4500592998"/>
    <s v="INV12911"/>
    <s v="Resolute Forest Products - Kenogami"/>
    <d v="2025-04-23T16:21:56"/>
    <d v="2025-04-23T16:23:05"/>
    <d v="2025-04-24T00:00:00"/>
    <s v="Ian Trottier"/>
    <s v="CAD"/>
    <n v="1"/>
    <n v="1973.54"/>
    <n v="0"/>
    <n v="1420.4800404879111"/>
    <n v="1879.56"/>
    <n v="93.98"/>
    <n v="1973.54"/>
    <s v="Delivered"/>
    <m/>
    <n v="1"/>
    <n v="4"/>
    <n v="2025"/>
    <n v="6"/>
    <n v="2025"/>
    <n v="0.71976247782558811"/>
    <x v="368"/>
    <d v="2025-04-23T16:21:56"/>
    <x v="443"/>
    <s v="Paid"/>
    <d v="2025-06-23T00:00:00"/>
    <s v="4500592998"/>
    <x v="17"/>
    <x v="0"/>
    <n v="1879.56"/>
    <n v="1352.8367628218623"/>
    <n v="0.71976247782558811"/>
    <n v="-1879.56"/>
    <n v="0"/>
    <n v="0"/>
    <s v=""/>
    <x v="0"/>
    <x v="0"/>
    <s v="Pend"/>
    <s v="Pend"/>
  </r>
  <r>
    <n v="1"/>
    <s v="SO17022"/>
    <s v="P-04252593"/>
    <s v="INV12926"/>
    <s v="Industrial Pump Repair Canada"/>
    <d v="2025-04-24T09:39:51"/>
    <d v="2025-04-25T12:30:21"/>
    <d v="2025-04-28T00:00:00"/>
    <s v="Ian Trottier"/>
    <s v="CAD"/>
    <n v="1"/>
    <n v="474.46"/>
    <n v="0"/>
    <n v="342.36794756113471"/>
    <n v="419.88"/>
    <n v="54.58"/>
    <n v="474.46"/>
    <s v="Delivered"/>
    <m/>
    <n v="1"/>
    <n v="4"/>
    <n v="2025"/>
    <n v="4"/>
    <n v="2025"/>
    <n v="0.72159496598477157"/>
    <x v="369"/>
    <d v="2025-04-24T09:39:51"/>
    <x v="444"/>
    <s v="Paid"/>
    <d v="2025-04-25T00:00:00"/>
    <s v="P-04252593"/>
    <x v="102"/>
    <x v="0"/>
    <n v="419.88"/>
    <n v="302.98329431768587"/>
    <n v="0.72159496598477157"/>
    <n v="-419.88"/>
    <n v="0"/>
    <n v="0"/>
    <s v=""/>
    <x v="0"/>
    <x v="0"/>
    <s v="Pend"/>
    <s v="Pend"/>
  </r>
  <r>
    <n v="1"/>
    <s v="SO17024"/>
    <s v="4501182469"/>
    <s v="INV13067"/>
    <s v="Barrick Gold - Pueblo Viejo Dominicana Corporation"/>
    <d v="2025-04-24T09:56:44"/>
    <d v="2025-04-24T09:56:44"/>
    <d v="2025-05-30T00:00:00"/>
    <s v="Wilka Nuñez"/>
    <s v="USD"/>
    <n v="0.71976247782558811"/>
    <n v="1750.5775013536081"/>
    <n v="0"/>
    <n v="1260"/>
    <n v="1260"/>
    <m/>
    <n v="1260"/>
    <s v="Delivered"/>
    <m/>
    <n v="1"/>
    <n v="4"/>
    <n v="2025"/>
    <n v="7"/>
    <n v="2025"/>
    <n v="0.71976247782558822"/>
    <x v="370"/>
    <d v="2025-04-24T09:56:44"/>
    <x v="445"/>
    <s v="Paid"/>
    <d v="2025-07-25T00:00:00"/>
    <s v="4501182469"/>
    <x v="15"/>
    <x v="1"/>
    <n v="1750.5775013536083"/>
    <n v="1260"/>
    <n v="0.71976247782558811"/>
    <n v="0"/>
    <n v="-1260"/>
    <s v=""/>
    <n v="0"/>
    <x v="0"/>
    <x v="0"/>
    <s v="Pend"/>
    <s v="Pend"/>
  </r>
  <r>
    <n v="1"/>
    <s v="SO17025"/>
    <s v="4501171770"/>
    <s v="INV12909"/>
    <s v="Barrick Gold - Pueblo Viejo Dominicana Corporation"/>
    <d v="2025-04-24T11:34:34"/>
    <d v="2025-04-24T11:37:51"/>
    <d v="2025-04-24T00:00:00"/>
    <s v="Wilka Nuñez"/>
    <s v="USD"/>
    <n v="0.71976247782558811"/>
    <n v="10352.63747356058"/>
    <n v="0"/>
    <n v="7451.44"/>
    <n v="7451.44"/>
    <m/>
    <n v="7451.44"/>
    <s v="Delivered"/>
    <m/>
    <n v="1"/>
    <n v="4"/>
    <n v="2025"/>
    <n v="6"/>
    <n v="2025"/>
    <n v="0.71976247782558811"/>
    <x v="371"/>
    <d v="2025-04-24T11:34:34"/>
    <x v="446"/>
    <s v="Paid"/>
    <d v="2025-06-06T00:00:00"/>
    <s v="4501171770"/>
    <x v="15"/>
    <x v="1"/>
    <n v="10352.63747356058"/>
    <n v="7451.44"/>
    <n v="0.71976247782558811"/>
    <n v="0"/>
    <n v="-7451.44"/>
    <s v=""/>
    <n v="0"/>
    <x v="0"/>
    <x v="0"/>
    <s v="Pend"/>
    <s v="Pend"/>
  </r>
  <r>
    <n v="1"/>
    <s v="SO17026"/>
    <s v="2100560417"/>
    <s v="INV12931"/>
    <s v="Wajax Limited - Lachine"/>
    <d v="2025-04-24T12:45:02"/>
    <d v="2025-04-24T14:33:19"/>
    <d v="2025-04-25T00:00:00"/>
    <s v="Ian Trottier"/>
    <s v="CAD"/>
    <n v="1"/>
    <n v="312.77"/>
    <n v="0"/>
    <n v="225.16069506921511"/>
    <n v="297.88"/>
    <n v="14.89"/>
    <n v="312.77"/>
    <s v="Delivered"/>
    <m/>
    <n v="1"/>
    <n v="4"/>
    <n v="2025"/>
    <n v="6"/>
    <n v="2025"/>
    <n v="0.71989223732843666"/>
    <x v="372"/>
    <d v="2025-04-24T12:45:02"/>
    <x v="447"/>
    <s v="Paid"/>
    <d v="2025-06-04T00:00:00"/>
    <s v="2100560417"/>
    <x v="77"/>
    <x v="0"/>
    <n v="297.88"/>
    <n v="214.44149965539472"/>
    <n v="0.71989223732843666"/>
    <n v="-297.88"/>
    <n v="0"/>
    <n v="0"/>
    <s v=""/>
    <x v="0"/>
    <x v="0"/>
    <s v="Pend"/>
    <s v="Pend"/>
  </r>
  <r>
    <n v="1"/>
    <s v="SO17027"/>
    <s v="4501171906"/>
    <s v="INV12910"/>
    <s v="Barrick Gold - Pueblo Viejo Dominicana Corporation"/>
    <d v="2025-04-24T13:23:07"/>
    <d v="2025-04-24T13:25:44"/>
    <d v="2025-04-24T00:00:00"/>
    <s v="Wilka Nuñez"/>
    <s v="USD"/>
    <n v="0.71976247782558811"/>
    <n v="8414.5814578953414"/>
    <n v="0"/>
    <n v="6056.5"/>
    <n v="6056.5"/>
    <m/>
    <n v="6056.5"/>
    <s v="Delivered"/>
    <m/>
    <n v="1"/>
    <n v="4"/>
    <n v="2025"/>
    <n v="6"/>
    <n v="2025"/>
    <n v="0.719762477825588"/>
    <x v="373"/>
    <d v="2025-04-24T13:23:07"/>
    <x v="448"/>
    <s v="Paid"/>
    <d v="2025-06-06T00:00:00"/>
    <s v="4501171906"/>
    <x v="15"/>
    <x v="1"/>
    <n v="8414.5814578953414"/>
    <n v="6056.5"/>
    <n v="0.719762477825588"/>
    <n v="0"/>
    <n v="-6056.5"/>
    <s v=""/>
    <n v="0"/>
    <x v="0"/>
    <x v="0"/>
    <s v="Pend"/>
    <s v="Pend"/>
  </r>
  <r>
    <n v="1"/>
    <s v="SO17028"/>
    <s v="3145"/>
    <s v="INV12933"/>
    <s v="Les Pompes du St-Laurent Inc."/>
    <d v="2025-04-24T14:13:34"/>
    <d v="2025-04-24T15:17:50"/>
    <d v="2025-04-25T00:00:00"/>
    <s v="Ian Trottier"/>
    <s v="CAD"/>
    <n v="1"/>
    <n v="3697.36"/>
    <n v="0"/>
    <n v="2661.7007626086688"/>
    <n v="3521.29"/>
    <n v="176.07"/>
    <n v="3697.36"/>
    <s v="Delivered"/>
    <m/>
    <n v="1"/>
    <n v="4"/>
    <n v="2025"/>
    <n v="6"/>
    <n v="2025"/>
    <n v="0.71989223732843666"/>
    <x v="374"/>
    <d v="2025-04-24T14:13:34"/>
    <x v="449"/>
    <s v="Paid"/>
    <d v="2025-06-13T00:00:00"/>
    <s v="3145"/>
    <x v="7"/>
    <x v="0"/>
    <n v="3521.29"/>
    <n v="2534.9493363822507"/>
    <n v="0.71989223732843666"/>
    <n v="-3521.29"/>
    <n v="0"/>
    <n v="0"/>
    <s v=""/>
    <x v="0"/>
    <x v="0"/>
    <s v="Pend"/>
    <s v="Pend"/>
  </r>
  <r>
    <n v="1"/>
    <s v="SO17029"/>
    <s v="PO-040164"/>
    <s v="INV12919"/>
    <s v="Southeast Pump Specialist, Inc."/>
    <d v="2025-04-25T10:28:14"/>
    <d v="2025-04-25T14:08:19"/>
    <d v="2025-04-28T00:00:00"/>
    <s v="Ian Trottier"/>
    <s v="USD"/>
    <n v="0.71989223732843666"/>
    <n v="8471.5457172204988"/>
    <n v="0"/>
    <n v="6098.6"/>
    <n v="6098.6"/>
    <m/>
    <n v="6098.6"/>
    <s v="Delivered"/>
    <m/>
    <n v="1"/>
    <n v="4"/>
    <n v="2025"/>
    <n v="7"/>
    <n v="2025"/>
    <n v="0.71989223732843666"/>
    <x v="375"/>
    <d v="2025-04-25T10:28:14"/>
    <x v="450"/>
    <s v="Paid"/>
    <d v="2025-07-05T00:00:00"/>
    <s v="PO-040164"/>
    <x v="26"/>
    <x v="1"/>
    <n v="8471.5457172204988"/>
    <n v="6098.6"/>
    <n v="0.71989223732843666"/>
    <n v="0"/>
    <n v="-6098.6"/>
    <s v=""/>
    <n v="0"/>
    <x v="0"/>
    <x v="0"/>
    <s v="Pend"/>
    <s v="Pend"/>
  </r>
  <r>
    <n v="1"/>
    <s v="SO17030"/>
    <s v="4511832963"/>
    <s v="INV12922"/>
    <s v="PT Vale Indonesia Tbk."/>
    <d v="2025-04-25T11:16:40"/>
    <d v="2025-04-25T11:34:40"/>
    <d v="2025-04-28T00:00:00"/>
    <s v="Ian Trottier"/>
    <s v="USD"/>
    <n v="0.71989223732843666"/>
    <n v="472.08454596093958"/>
    <n v="0"/>
    <n v="339.85"/>
    <n v="339.85"/>
    <m/>
    <n v="339.85"/>
    <s v="Delivered"/>
    <m/>
    <n v="1"/>
    <n v="4"/>
    <n v="2025"/>
    <n v="7"/>
    <n v="2025"/>
    <n v="0.71989223732843677"/>
    <x v="376"/>
    <d v="2025-04-25T11:16:40"/>
    <x v="451"/>
    <s v="Paid"/>
    <d v="2025-07-02T00:00:00"/>
    <s v="4511832963"/>
    <x v="42"/>
    <x v="1"/>
    <n v="472.08454596093964"/>
    <n v="339.85"/>
    <n v="0.71989223732843666"/>
    <n v="0"/>
    <n v="-339.85"/>
    <s v=""/>
    <n v="0"/>
    <x v="0"/>
    <x v="0"/>
    <s v="Pend"/>
    <s v="Pend"/>
  </r>
  <r>
    <n v="1"/>
    <s v="SO17031"/>
    <s v="40-1015050"/>
    <s v="INV12945"/>
    <s v="Canadian Bearings Ltd."/>
    <d v="2025-04-25T12:00:28"/>
    <d v="2025-05-05T06:27:57"/>
    <d v="2025-05-06T00:00:00"/>
    <s v="Ian Trottier"/>
    <s v="CAD"/>
    <n v="1"/>
    <n v="464.61"/>
    <n v="464.61"/>
    <n v="464.61"/>
    <n v="442.49"/>
    <n v="22.12"/>
    <n v="464.61"/>
    <s v="Delivered"/>
    <m/>
    <n v="1"/>
    <n v="4"/>
    <n v="2025"/>
    <n v="5"/>
    <n v="2025"/>
    <n v="1"/>
    <x v="377"/>
    <d v="2025-04-25T12:00:28"/>
    <x v="452"/>
    <s v="Paid"/>
    <d v="2025-05-27T00:00:00"/>
    <s v="40-1015050"/>
    <x v="38"/>
    <x v="0"/>
    <n v="442.49"/>
    <n v="317.1156710277084"/>
    <n v="0.71666177998984926"/>
    <n v="-442.49"/>
    <n v="0"/>
    <n v="0"/>
    <s v=""/>
    <x v="0"/>
    <x v="0"/>
    <s v="Pend"/>
    <s v="Pend"/>
  </r>
  <r>
    <n v="1"/>
    <s v="SO17033"/>
    <s v="PO09506"/>
    <s v="INV12948"/>
    <s v="Tantalum Mining Corporation of Canada"/>
    <d v="2025-04-25T13:46:07"/>
    <d v="2025-05-05T11:37:54"/>
    <d v="2025-05-06T00:00:00"/>
    <s v="Ian Trottier"/>
    <s v="CAD"/>
    <n v="1"/>
    <n v="2189.1799999999998"/>
    <n v="2189.1799999999998"/>
    <n v="2189.1799999999998"/>
    <n v="2084.9299999999998"/>
    <n v="104.25"/>
    <n v="2189.1799999999998"/>
    <s v="Delivered"/>
    <m/>
    <n v="1"/>
    <n v="4"/>
    <n v="2025"/>
    <n v="6"/>
    <n v="2025"/>
    <n v="1"/>
    <x v="378"/>
    <d v="2025-04-25T13:46:07"/>
    <x v="453"/>
    <s v="Paid"/>
    <d v="2025-06-19T00:00:00"/>
    <s v="PO09506"/>
    <x v="20"/>
    <x v="0"/>
    <n v="2084.9299999999998"/>
    <n v="1494.1896449542362"/>
    <n v="0.71666177998984926"/>
    <n v="-2084.9299999999998"/>
    <n v="0"/>
    <n v="0"/>
    <s v=""/>
    <x v="0"/>
    <x v="0"/>
    <s v="Pend"/>
    <s v="Pend"/>
  </r>
  <r>
    <n v="1"/>
    <s v="SO17037"/>
    <s v="SUD1006009"/>
    <s v="INV12939"/>
    <s v="Process and Steam Specialties, Process and Steam Specialties"/>
    <d v="2025-04-25T15:02:32"/>
    <d v="2025-05-01T09:59:17"/>
    <d v="2025-05-02T00:00:00"/>
    <s v="Ian Trottier"/>
    <s v="CAD"/>
    <n v="1"/>
    <n v="1047.51"/>
    <n v="0"/>
    <n v="756.40866230422978"/>
    <n v="997.63"/>
    <n v="49.88"/>
    <n v="1047.51"/>
    <s v="Delivered"/>
    <m/>
    <n v="1"/>
    <n v="4"/>
    <n v="2025"/>
    <n v="6"/>
    <n v="2025"/>
    <n v="0.72210161459482947"/>
    <x v="379"/>
    <d v="2025-04-25T15:02:32"/>
    <x v="454"/>
    <s v="Paid"/>
    <d v="2025-06-20T00:00:00"/>
    <s v="SUD1006009"/>
    <x v="39"/>
    <x v="0"/>
    <n v="997.63"/>
    <n v="720.39023376823968"/>
    <n v="0.72210161459482947"/>
    <n v="-997.63"/>
    <n v="0"/>
    <n v="0"/>
    <s v=""/>
    <x v="0"/>
    <x v="0"/>
    <s v="Pend"/>
    <s v="Pend"/>
  </r>
  <r>
    <n v="1"/>
    <s v="SO17044"/>
    <s v="4500595256"/>
    <s v="INV13088"/>
    <s v="Resolute Forest Products - Saint-Felicien"/>
    <d v="2025-04-25T16:52:34"/>
    <d v="2025-05-07T13:25:19"/>
    <d v="2025-07-23T00:00:00"/>
    <s v="Ian Trottier"/>
    <s v="CAD"/>
    <n v="1"/>
    <n v="1931.54"/>
    <n v="0"/>
    <n v="1402.2830398400199"/>
    <n v="1839.56"/>
    <n v="91.98"/>
    <n v="1931.54"/>
    <s v="Delivered"/>
    <m/>
    <n v="1"/>
    <n v="4"/>
    <n v="2025"/>
    <n v="8"/>
    <n v="2025"/>
    <n v="0.72599223409301383"/>
    <x v="380"/>
    <d v="2025-04-25T16:52:34"/>
    <x v="455"/>
    <s v="Paid"/>
    <d v="2025-08-12T00:00:00"/>
    <s v="4500595256"/>
    <x v="46"/>
    <x v="0"/>
    <n v="1839.56"/>
    <n v="1335.5062741481445"/>
    <n v="0.72599223409301383"/>
    <n v="-1839.56"/>
    <n v="0"/>
    <n v="0"/>
    <s v=""/>
    <x v="0"/>
    <x v="0"/>
    <s v="Pend"/>
    <s v="Pend"/>
  </r>
  <r>
    <n v="1"/>
    <s v="SO17046"/>
    <s v="4500573136"/>
    <s v="INV12956"/>
    <s v="Glencore Canada Corporation - Rouyn-Noranda, Glencore Canada Corp."/>
    <d v="2025-04-28T08:51:25"/>
    <d v="2025-04-28T09:44:02"/>
    <d v="2025-04-29T00:00:00"/>
    <s v="Ian Trottier"/>
    <s v="CAD"/>
    <n v="1"/>
    <n v="159.74"/>
    <n v="0"/>
    <n v="115.25563838707551"/>
    <n v="152.13"/>
    <n v="7.61"/>
    <n v="159.74"/>
    <s v="Delivered"/>
    <m/>
    <n v="1"/>
    <n v="4"/>
    <n v="2025"/>
    <n v="6"/>
    <n v="2025"/>
    <n v="0.72152021026089586"/>
    <x v="381"/>
    <d v="2025-04-28T08:51:25"/>
    <x v="456"/>
    <s v="Paid"/>
    <d v="2025-06-20T00:00:00"/>
    <s v="4500573136"/>
    <x v="27"/>
    <x v="0"/>
    <n v="152.13"/>
    <n v="109.76486958699009"/>
    <n v="0.72152021026089586"/>
    <n v="-152.13"/>
    <n v="0"/>
    <n v="0"/>
    <s v=""/>
    <x v="0"/>
    <x v="0"/>
    <s v="Pend"/>
    <s v="Pend"/>
  </r>
  <r>
    <n v="1"/>
    <s v="SO17047"/>
    <s v="040201"/>
    <s v="INV12929"/>
    <s v="Southeast Pump Specialist, Inc."/>
    <d v="2025-04-28T11:49:06"/>
    <d v="2025-04-29T11:08:32"/>
    <d v="2025-04-30T00:00:00"/>
    <s v="Ian Trottier"/>
    <s v="USD"/>
    <n v="0.72124093927420463"/>
    <n v="2608.1714134156041"/>
    <n v="0"/>
    <n v="1881.12"/>
    <n v="1881.12"/>
    <m/>
    <n v="1881.12"/>
    <s v="Delivered"/>
    <m/>
    <n v="1"/>
    <n v="4"/>
    <n v="2025"/>
    <n v="7"/>
    <n v="2025"/>
    <n v="0.72124093927420452"/>
    <x v="382"/>
    <d v="2025-04-28T11:49:06"/>
    <x v="457"/>
    <s v="Paid"/>
    <d v="2025-07-05T00:00:00"/>
    <s v="040201"/>
    <x v="26"/>
    <x v="1"/>
    <n v="2608.1714134156036"/>
    <n v="1881.12"/>
    <n v="0.72124093927420463"/>
    <n v="0"/>
    <n v="-1881.12"/>
    <s v=""/>
    <n v="0"/>
    <x v="0"/>
    <x v="0"/>
    <s v="Pend"/>
    <s v="Pend"/>
  </r>
  <r>
    <n v="1"/>
    <s v="SO17048"/>
    <s v="607001"/>
    <s v="INV12936"/>
    <s v="Sealtrac Inc."/>
    <d v="2025-04-28T12:09:16"/>
    <d v="2025-04-28T12:17:15"/>
    <d v="2025-04-29T00:00:00"/>
    <s v="Ian Trottier"/>
    <s v="CAD"/>
    <n v="1"/>
    <n v="1214.23"/>
    <n v="0"/>
    <n v="876.09148490508733"/>
    <n v="1074.54"/>
    <n v="139.69"/>
    <n v="1214.23"/>
    <s v="Delivered"/>
    <m/>
    <n v="1"/>
    <n v="4"/>
    <n v="2025"/>
    <n v="6"/>
    <n v="2025"/>
    <n v="0.72152021026089563"/>
    <x v="383"/>
    <d v="2025-04-28T12:09:16"/>
    <x v="458"/>
    <s v="Paid"/>
    <d v="2025-06-19T00:00:00"/>
    <s v="607001"/>
    <x v="50"/>
    <x v="0"/>
    <n v="1074.54"/>
    <n v="775.3023267337428"/>
    <n v="0.72152021026089563"/>
    <n v="-1074.54"/>
    <n v="0"/>
    <n v="0"/>
    <s v=""/>
    <x v="0"/>
    <x v="0"/>
    <s v="Pend"/>
    <s v="Pend"/>
  </r>
  <r>
    <n v="1"/>
    <s v="SO17049"/>
    <s v="4560065429"/>
    <s v="INV12938"/>
    <s v="Alamos Gold Inc, Alamos Gold Inc Island Gold Division"/>
    <d v="2025-04-28T12:32:28"/>
    <d v="2025-04-29T14:56:11"/>
    <d v="2025-04-30T00:00:00"/>
    <s v="Ian Trottier"/>
    <s v="CAD"/>
    <n v="1"/>
    <n v="102.33"/>
    <n v="102.33"/>
    <n v="102.33"/>
    <n v="90.56"/>
    <n v="11.77"/>
    <n v="102.33"/>
    <s v="Delivered"/>
    <m/>
    <n v="1"/>
    <n v="4"/>
    <n v="2025"/>
    <n v="5"/>
    <n v="2025"/>
    <n v="1"/>
    <x v="384"/>
    <d v="2025-04-28T12:32:28"/>
    <x v="459"/>
    <s v="Paid"/>
    <d v="2025-05-28T00:00:00"/>
    <s v="4560065429"/>
    <x v="2"/>
    <x v="0"/>
    <n v="90.56"/>
    <n v="64.900890795880755"/>
    <n v="0.71666177998984937"/>
    <n v="-90.56"/>
    <n v="0"/>
    <n v="0"/>
    <s v=""/>
    <x v="0"/>
    <x v="0"/>
    <s v="Pend"/>
    <s v="Pend"/>
  </r>
  <r>
    <n v="1"/>
    <s v="SO17051"/>
    <s v="RJEDD/IPO/2526/00046 - paid in full on June 6th 2025. $20,808.13"/>
    <s v="INV13133"/>
    <s v="Jindal Drilling &amp; Industries Limited"/>
    <d v="2025-04-28T13:14:41"/>
    <d v="2025-06-02T12:58:44"/>
    <d v="2025-07-07T00:00:00"/>
    <s v="Ian Trottier"/>
    <s v="USD"/>
    <n v="0.72782949041434608"/>
    <n v="28589.292236776691"/>
    <n v="0"/>
    <n v="20808.13"/>
    <n v="20808.13"/>
    <m/>
    <n v="20808.13"/>
    <s v="Delivered"/>
    <m/>
    <n v="1"/>
    <n v="4"/>
    <n v="2025"/>
    <n v="6"/>
    <n v="2025"/>
    <n v="0.72782949041434608"/>
    <x v="385"/>
    <d v="2025-04-28T13:14:41"/>
    <x v="460"/>
    <s v="Paid"/>
    <d v="2025-06-25T00:00:00"/>
    <s v="RJEDD/IPO/2526/00046 - paid in full on June 6th 2025. $20,808.13"/>
    <x v="103"/>
    <x v="1"/>
    <n v="28589.292236776691"/>
    <n v="20808.13"/>
    <n v="0.72782949041434608"/>
    <n v="0"/>
    <n v="-20808.13"/>
    <s v=""/>
    <n v="0"/>
    <x v="0"/>
    <x v="0"/>
    <s v="Pend"/>
    <s v="Pend"/>
  </r>
  <r>
    <n v="1"/>
    <s v="SO17053"/>
    <s v="185878"/>
    <s v="INV12934"/>
    <s v="Fabrene Inc."/>
    <d v="2025-04-28T15:28:09"/>
    <d v="2025-04-28T15:28:09"/>
    <d v="2025-04-29T00:00:00"/>
    <s v="Ian Trottier"/>
    <s v="CAD"/>
    <n v="1"/>
    <n v="259.76"/>
    <n v="0"/>
    <n v="187.42208981737019"/>
    <n v="229.88"/>
    <n v="29.88"/>
    <n v="259.76"/>
    <s v="Delivered"/>
    <m/>
    <n v="1"/>
    <n v="4"/>
    <n v="2025"/>
    <n v="6"/>
    <n v="2025"/>
    <n v="0.72152021026089541"/>
    <x v="386"/>
    <d v="2025-04-28T15:28:09"/>
    <x v="461"/>
    <s v="Paid"/>
    <d v="2025-06-20T00:00:00"/>
    <s v="185878"/>
    <x v="66"/>
    <x v="0"/>
    <n v="229.88"/>
    <n v="165.86306593477462"/>
    <n v="0.72152021026089541"/>
    <n v="-229.88"/>
    <n v="0"/>
    <n v="0"/>
    <s v=""/>
    <x v="0"/>
    <x v="0"/>
    <s v="Pend"/>
    <s v="Pend"/>
  </r>
  <r>
    <n v="1"/>
    <s v="SO17054"/>
    <s v="185850"/>
    <s v="INV12924"/>
    <s v="Fabrene Inc."/>
    <d v="2025-04-28T15:30:29"/>
    <d v="2025-04-28T15:32:21"/>
    <d v="2025-04-29T00:00:00"/>
    <s v="Ian Trottier"/>
    <s v="CAD"/>
    <n v="1"/>
    <n v="480.49"/>
    <n v="0"/>
    <n v="346.68324582825772"/>
    <n v="425.21"/>
    <n v="55.28"/>
    <n v="480.49"/>
    <s v="Delivered"/>
    <m/>
    <n v="1"/>
    <n v="4"/>
    <n v="2025"/>
    <n v="6"/>
    <n v="2025"/>
    <n v="0.72152021026089563"/>
    <x v="387"/>
    <d v="2025-04-28T15:30:29"/>
    <x v="462"/>
    <s v="Paid"/>
    <d v="2025-06-20T00:00:00"/>
    <s v="185850"/>
    <x v="66"/>
    <x v="0"/>
    <n v="425.21"/>
    <n v="306.79760860503541"/>
    <n v="0.72152021026089563"/>
    <n v="-425.21"/>
    <n v="0"/>
    <n v="0"/>
    <s v=""/>
    <x v="0"/>
    <x v="0"/>
    <s v="Pend"/>
    <s v="Pend"/>
  </r>
  <r>
    <n v="1"/>
    <s v="SO17055"/>
    <s v="PONV-25-0896"/>
    <s v="INV12928"/>
    <s v="Tech-Flow"/>
    <d v="2025-04-28T15:37:17"/>
    <d v="2025-04-29T11:00:33"/>
    <d v="2025-04-30T00:00:00"/>
    <s v="Ian Trottier"/>
    <s v="USD"/>
    <n v="0.72124093927420463"/>
    <n v="3538.3182803905929"/>
    <n v="0"/>
    <n v="2551.98"/>
    <n v="2551.98"/>
    <m/>
    <n v="2551.98"/>
    <s v="Delivered"/>
    <m/>
    <n v="1"/>
    <n v="4"/>
    <n v="2025"/>
    <n v="6"/>
    <n v="2025"/>
    <n v="0.72124093927420474"/>
    <x v="388"/>
    <d v="2025-04-28T15:37:17"/>
    <x v="463"/>
    <s v="Paid"/>
    <d v="2025-06-14T00:00:00"/>
    <s v="PONV-25-0896"/>
    <x v="53"/>
    <x v="1"/>
    <n v="3538.3182803905934"/>
    <n v="2551.98"/>
    <n v="0.72124093927420463"/>
    <n v="0"/>
    <n v="-2551.98"/>
    <s v=""/>
    <n v="0"/>
    <x v="0"/>
    <x v="0"/>
    <s v="Pend"/>
    <s v="Pend"/>
  </r>
  <r>
    <n v="2"/>
    <s v="SO17059"/>
    <s v="OC00165"/>
    <s v="INV13394"/>
    <s v="Dynapro Pumps México S de RL de CV"/>
    <d v="2025-04-28T17:03:55"/>
    <d v="2025-04-28T17:04:08"/>
    <d v="2025-06-30T00:00:00"/>
    <s v="Yannett Yeomans"/>
    <s v="USD"/>
    <n v="0.72125060891744774"/>
    <n v="42958.715898354742"/>
    <n v="0"/>
    <n v="30984"/>
    <n v="30984"/>
    <m/>
    <n v="30984"/>
    <s v="Delivered"/>
    <m/>
    <n v="2"/>
    <n v="4"/>
    <n v="2025"/>
    <s v=""/>
    <s v=""/>
    <n v="0.72125060891744774"/>
    <x v="389"/>
    <d v="2025-04-28T17:03:55"/>
    <x v="464"/>
    <s v="Approved"/>
    <s v="Pending"/>
    <s v="OC00165"/>
    <x v="54"/>
    <x v="1"/>
    <n v="42958.715898354742"/>
    <n v="30984"/>
    <n v="0.72125060891744774"/>
    <n v="0"/>
    <n v="0"/>
    <s v=""/>
    <n v="30984"/>
    <x v="1"/>
    <x v="1"/>
    <n v="0"/>
    <s v="Pend"/>
  </r>
  <r>
    <m/>
    <m/>
    <m/>
    <s v="INV13273"/>
    <m/>
    <m/>
    <m/>
    <m/>
    <m/>
    <m/>
    <m/>
    <m/>
    <m/>
    <m/>
    <m/>
    <m/>
    <m/>
    <m/>
    <m/>
    <n v="2"/>
    <n v="4"/>
    <n v="2025"/>
    <s v=""/>
    <s v=""/>
    <n v="0.72125060891744774"/>
    <x v="389"/>
    <d v="2025-04-28T17:03:55"/>
    <x v="465"/>
    <s v="Approved"/>
    <s v="Pending"/>
    <s v="OC00165"/>
    <x v="54"/>
    <x v="1"/>
    <n v="0"/>
    <n v="0"/>
    <n v="0"/>
    <n v="0"/>
    <n v="0"/>
    <s v=""/>
    <n v="0"/>
    <x v="1"/>
    <x v="1"/>
    <n v="0"/>
    <s v="Pend"/>
  </r>
  <r>
    <n v="2"/>
    <s v="SO17060"/>
    <s v="PO-007949"/>
    <s v="INV13021"/>
    <s v="Sling-Choker Manufacturing - Timmins"/>
    <d v="2025-04-29T10:05:03"/>
    <d v="2025-05-05T09:22:51"/>
    <d v="2025-05-26T00:00:00"/>
    <s v="Taylor Cook"/>
    <s v="CAD"/>
    <n v="1"/>
    <n v="19102.41"/>
    <n v="19102.41"/>
    <n v="19102.41"/>
    <n v="16904.79"/>
    <n v="2197.62"/>
    <n v="19102.41"/>
    <s v="Delivered"/>
    <m/>
    <n v="2"/>
    <n v="4"/>
    <n v="2025"/>
    <n v="6"/>
    <n v="2025"/>
    <n v="1"/>
    <x v="390"/>
    <d v="2025-04-29T10:05:03"/>
    <x v="466"/>
    <s v="Paid"/>
    <d v="2025-06-25T00:00:00"/>
    <s v="PO-007949"/>
    <x v="3"/>
    <x v="0"/>
    <n v="16904.79"/>
    <n v="12115.016891754605"/>
    <n v="0.71666177998984926"/>
    <n v="-15909.73"/>
    <n v="0"/>
    <n v="995.06000000000131"/>
    <s v=""/>
    <x v="0"/>
    <x v="1"/>
    <s v="Yes"/>
    <s v="Pend"/>
  </r>
  <r>
    <m/>
    <m/>
    <m/>
    <s v="INV13114"/>
    <m/>
    <m/>
    <m/>
    <m/>
    <m/>
    <m/>
    <m/>
    <m/>
    <m/>
    <m/>
    <m/>
    <m/>
    <m/>
    <m/>
    <m/>
    <n v="2"/>
    <n v="4"/>
    <n v="2025"/>
    <n v="7"/>
    <n v="2025"/>
    <n v="1"/>
    <x v="390"/>
    <d v="2025-04-29T10:05:03"/>
    <x v="467"/>
    <s v="Paid"/>
    <d v="2025-07-23T00:00:00"/>
    <s v="PO-007949"/>
    <x v="3"/>
    <x v="0"/>
    <n v="0"/>
    <n v="0"/>
    <n v="0"/>
    <n v="-995.06"/>
    <n v="0"/>
    <n v="-995.06"/>
    <s v=""/>
    <x v="0"/>
    <x v="1"/>
    <s v="Yes"/>
    <s v="Pend"/>
  </r>
  <r>
    <n v="1"/>
    <s v="SO17061"/>
    <s v="LA73-00118858"/>
    <s v="INV12995"/>
    <s v="Motion Industries Inc. (U.S.) - Westlake"/>
    <d v="2025-04-29T10:27:57"/>
    <d v="2025-04-29T13:47:14"/>
    <d v="2025-05-06T00:00:00"/>
    <s v="Ian Trottier"/>
    <s v="USD"/>
    <n v="0.72124093927420463"/>
    <n v="185.1531058877263"/>
    <n v="0"/>
    <n v="133.54"/>
    <n v="133.54"/>
    <m/>
    <n v="133.54"/>
    <s v="Delivered"/>
    <m/>
    <n v="1"/>
    <n v="4"/>
    <n v="2025"/>
    <n v="6"/>
    <n v="2025"/>
    <n v="0.72124093927420463"/>
    <x v="391"/>
    <d v="2025-04-29T10:27:57"/>
    <x v="468"/>
    <s v="Paid"/>
    <d v="2025-06-20T00:00:00"/>
    <s v="LA73-00118858"/>
    <x v="104"/>
    <x v="1"/>
    <n v="185.1531058877263"/>
    <n v="133.54"/>
    <n v="0.72124093927420463"/>
    <n v="0"/>
    <n v="-133.54"/>
    <s v=""/>
    <n v="0"/>
    <x v="0"/>
    <x v="0"/>
    <s v="Pend"/>
    <s v="Pend"/>
  </r>
  <r>
    <n v="1"/>
    <s v="SO17062"/>
    <s v="4501175680"/>
    <s v="INV13187"/>
    <s v="Barrick Gold - Pueblo Viejo Dominicana Corporation"/>
    <d v="2025-04-29T10:57:02"/>
    <d v="2025-04-29T14:17:30"/>
    <d v="2025-09-09T00:00:00"/>
    <s v="Wilka Nuñez"/>
    <s v="USD"/>
    <n v="0.72124093927420463"/>
    <n v="20638.65095481052"/>
    <n v="0"/>
    <n v="14885.44"/>
    <n v="14885.44"/>
    <m/>
    <n v="14885.44"/>
    <s v="Delivered"/>
    <m/>
    <n v="1"/>
    <n v="4"/>
    <n v="2025"/>
    <n v="8"/>
    <n v="2025"/>
    <n v="0.72124093927420463"/>
    <x v="392"/>
    <d v="2025-04-29T10:57:02"/>
    <x v="469"/>
    <s v="Paid"/>
    <d v="2025-08-29T00:00:00"/>
    <s v="4501175680"/>
    <x v="15"/>
    <x v="1"/>
    <n v="20638.65095481052"/>
    <n v="14885.44"/>
    <n v="0.72124093927420463"/>
    <n v="0"/>
    <n v="-14885.44"/>
    <s v=""/>
    <n v="0"/>
    <x v="0"/>
    <x v="0"/>
    <s v="Pend"/>
    <s v="Pend"/>
  </r>
  <r>
    <n v="1"/>
    <s v="SO17063"/>
    <s v="3263"/>
    <s v="INV13386"/>
    <s v="Les Pompes du St-Laurent Inc."/>
    <d v="2025-04-29T13:00:52"/>
    <d v="2025-08-06T16:38:44"/>
    <d v="2025-08-27T00:00:00"/>
    <s v="Ian Trottier"/>
    <s v="CAD"/>
    <n v="1"/>
    <n v="1821.57"/>
    <n v="0"/>
    <n v="1325.6068472676029"/>
    <n v="1734.82"/>
    <n v="86.75"/>
    <n v="1821.57"/>
    <s v="Delivered"/>
    <m/>
    <n v="1"/>
    <n v="4"/>
    <n v="2025"/>
    <n v="10"/>
    <n v="2025"/>
    <n v="0.72772764552973701"/>
    <x v="393"/>
    <d v="2025-04-29T13:00:52"/>
    <x v="470"/>
    <s v="Paid"/>
    <d v="2025-10-06T00:00:00"/>
    <s v="3263"/>
    <x v="7"/>
    <x v="0"/>
    <n v="1734.82"/>
    <n v="1262.4764740178982"/>
    <n v="0.72772764552973701"/>
    <n v="-1734.82"/>
    <n v="0"/>
    <n v="0"/>
    <s v=""/>
    <x v="0"/>
    <x v="0"/>
    <s v="Pend"/>
    <s v="Pend"/>
  </r>
  <r>
    <n v="1"/>
    <s v="SO17073"/>
    <s v="2088"/>
    <s v="INV12949"/>
    <s v="FMI Products"/>
    <d v="2025-04-30T11:30:25"/>
    <d v="2025-05-05T13:18:49"/>
    <d v="2025-05-06T00:00:00"/>
    <s v="Ian Trottier"/>
    <s v="CAD"/>
    <n v="1"/>
    <n v="143.63999999999999"/>
    <n v="143.63999999999999"/>
    <n v="143.63999999999999"/>
    <n v="136.80000000000001"/>
    <n v="6.84"/>
    <n v="143.63999999999999"/>
    <s v="Delivered"/>
    <m/>
    <n v="1"/>
    <n v="4"/>
    <n v="2025"/>
    <n v="5"/>
    <n v="2025"/>
    <n v="1"/>
    <x v="394"/>
    <d v="2025-04-30T11:30:25"/>
    <x v="471"/>
    <s v="Paid"/>
    <d v="2025-05-29T00:00:00"/>
    <s v="2088"/>
    <x v="18"/>
    <x v="0"/>
    <n v="136.80000000000001"/>
    <n v="98.03933150261139"/>
    <n v="0.71666177998984926"/>
    <n v="-136.80000000000001"/>
    <n v="0"/>
    <n v="0"/>
    <s v=""/>
    <x v="0"/>
    <x v="0"/>
    <s v="Pend"/>
    <s v="Pend"/>
  </r>
  <r>
    <n v="1"/>
    <s v="SO17079"/>
    <s v="PO13559"/>
    <s v="INV12944"/>
    <s v="Manufacture Sling-Choker (Val-d’Or) Ltée"/>
    <d v="2025-05-01T13:11:55"/>
    <d v="2025-05-02T14:10:23"/>
    <d v="2025-05-05T00:00:00"/>
    <s v="Taylor Cook"/>
    <s v="CAD"/>
    <n v="1"/>
    <n v="505.8"/>
    <n v="0"/>
    <n v="366.71985780098481"/>
    <n v="481.71"/>
    <n v="24.09"/>
    <n v="505.8"/>
    <s v="Delivered"/>
    <m/>
    <n v="1"/>
    <n v="5"/>
    <n v="2025"/>
    <n v="6"/>
    <n v="2025"/>
    <n v="0.72502937485366703"/>
    <x v="395"/>
    <d v="2025-05-01T13:11:55"/>
    <x v="472"/>
    <s v="Paid"/>
    <d v="2025-06-04T00:00:00"/>
    <s v="PO13559"/>
    <x v="10"/>
    <x v="0"/>
    <n v="481.71"/>
    <n v="349.25390016075994"/>
    <n v="0.72502937485366703"/>
    <n v="-481.71"/>
    <n v="0"/>
    <n v="0"/>
    <s v=""/>
    <x v="0"/>
    <x v="0"/>
    <s v="Pend"/>
    <s v="Pend"/>
  </r>
  <r>
    <n v="1"/>
    <s v="SO17080"/>
    <s v="7100"/>
    <s v="INV12941"/>
    <s v="Hyperflo"/>
    <d v="2025-05-01T13:40:37"/>
    <d v="2025-05-02T09:16:59"/>
    <d v="2025-05-05T00:00:00"/>
    <s v="Ian Trottier"/>
    <s v="CAD"/>
    <n v="1"/>
    <n v="2002.14"/>
    <n v="0"/>
    <n v="1451.6103125695211"/>
    <n v="1906.8"/>
    <n v="95.34"/>
    <n v="2002.14"/>
    <s v="Delivered"/>
    <m/>
    <n v="1"/>
    <n v="5"/>
    <n v="2025"/>
    <n v="6"/>
    <n v="2025"/>
    <n v="0.72502937485366703"/>
    <x v="396"/>
    <d v="2025-05-01T13:40:37"/>
    <x v="473"/>
    <s v="Paid"/>
    <d v="2025-06-16T00:00:00"/>
    <s v="7100"/>
    <x v="5"/>
    <x v="0"/>
    <n v="1906.8"/>
    <n v="1382.4860119709722"/>
    <n v="0.72502937485366703"/>
    <n v="-1906.8"/>
    <n v="0"/>
    <n v="0"/>
    <s v=""/>
    <x v="0"/>
    <x v="0"/>
    <s v="Pend"/>
    <s v="Pend"/>
  </r>
  <r>
    <n v="1"/>
    <s v="SO17082"/>
    <s v="7116"/>
    <s v="INV12961"/>
    <s v="Hyperflo"/>
    <d v="2025-05-01T13:59:56"/>
    <d v="2025-05-07T16:12:36"/>
    <d v="2025-05-08T00:00:00"/>
    <s v="Ian Trottier"/>
    <s v="CAD"/>
    <n v="1"/>
    <n v="5388.29"/>
    <n v="0"/>
    <n v="3911.8566950410468"/>
    <n v="5131.7"/>
    <n v="256.58999999999997"/>
    <n v="5388.29"/>
    <s v="Delivered"/>
    <m/>
    <n v="1"/>
    <n v="5"/>
    <n v="2025"/>
    <n v="6"/>
    <n v="2025"/>
    <n v="0.72599223409301405"/>
    <x v="397"/>
    <d v="2025-05-01T13:59:56"/>
    <x v="474"/>
    <s v="Paid"/>
    <d v="2025-06-16T00:00:00"/>
    <s v="7116"/>
    <x v="5"/>
    <x v="0"/>
    <n v="5131.7"/>
    <n v="3725.5743476951202"/>
    <n v="0.72599223409301405"/>
    <n v="-5131.7"/>
    <n v="0"/>
    <n v="0"/>
    <s v=""/>
    <x v="0"/>
    <x v="0"/>
    <s v="Pend"/>
    <s v="Pend"/>
  </r>
  <r>
    <n v="2"/>
    <s v="SO17086"/>
    <s v="31072"/>
    <s v="INV13109"/>
    <s v="First Bauxite Inc."/>
    <d v="2025-05-02T07:53:06"/>
    <d v="2025-05-02T07:55:58"/>
    <d v="2025-06-20T00:00:00"/>
    <s v="Amanda Qiao"/>
    <s v="USD"/>
    <n v="0.72210161459482947"/>
    <n v="10427.16128563814"/>
    <n v="0"/>
    <n v="7529.47"/>
    <n v="7529.47"/>
    <m/>
    <n v="7529.47"/>
    <s v="Delivered"/>
    <m/>
    <n v="2"/>
    <n v="5"/>
    <n v="2025"/>
    <s v=""/>
    <s v=""/>
    <n v="0.72210161459482958"/>
    <x v="398"/>
    <d v="2025-05-02T07:53:06"/>
    <x v="475"/>
    <s v="Approved"/>
    <s v="Pending"/>
    <s v="31072"/>
    <x v="69"/>
    <x v="1"/>
    <n v="10427.161285638142"/>
    <n v="7529.47"/>
    <n v="0.72210161459482947"/>
    <n v="0"/>
    <n v="-7529.47"/>
    <s v=""/>
    <n v="0"/>
    <x v="1"/>
    <x v="1"/>
    <s v="Yes"/>
    <s v="Pend"/>
  </r>
  <r>
    <m/>
    <m/>
    <m/>
    <s v="INV12935"/>
    <m/>
    <m/>
    <m/>
    <m/>
    <m/>
    <m/>
    <m/>
    <m/>
    <m/>
    <m/>
    <m/>
    <m/>
    <m/>
    <m/>
    <m/>
    <n v="2"/>
    <n v="5"/>
    <n v="2025"/>
    <s v=""/>
    <s v=""/>
    <n v="0.72210161459482958"/>
    <x v="398"/>
    <d v="2025-05-02T07:53:06"/>
    <x v="476"/>
    <s v="Not invoiced"/>
    <s v="Pending"/>
    <s v="31072"/>
    <x v="69"/>
    <x v="1"/>
    <n v="0"/>
    <n v="0"/>
    <n v="0"/>
    <n v="0"/>
    <n v="0"/>
    <s v=""/>
    <n v="0"/>
    <x v="1"/>
    <x v="1"/>
    <s v="Yes"/>
    <s v="Pend"/>
  </r>
  <r>
    <n v="1"/>
    <s v="SO17095"/>
    <s v="10352"/>
    <s v="INV12960"/>
    <s v="Canadian Industrial Pumps Ltd"/>
    <d v="2025-05-02T14:42:25"/>
    <d v="2025-05-07T16:19:21"/>
    <d v="2025-05-07T00:00:00"/>
    <s v="Taylor Cook"/>
    <s v="CAD"/>
    <n v="1"/>
    <n v="1459.42"/>
    <n v="0"/>
    <n v="1059.527586280027"/>
    <n v="1389.92"/>
    <n v="69.5"/>
    <n v="1459.42"/>
    <s v="Delivered"/>
    <m/>
    <n v="1"/>
    <n v="5"/>
    <n v="2025"/>
    <n v="6"/>
    <n v="2025"/>
    <n v="0.72599223409301428"/>
    <x v="399"/>
    <d v="2025-05-02T14:42:25"/>
    <x v="477"/>
    <s v="Paid"/>
    <d v="2025-06-18T00:00:00"/>
    <s v="10352"/>
    <x v="48"/>
    <x v="0"/>
    <n v="1389.92"/>
    <n v="1009.0711260105625"/>
    <n v="0.72599223409301428"/>
    <n v="-1389.92"/>
    <n v="0"/>
    <n v="0"/>
    <s v=""/>
    <x v="0"/>
    <x v="0"/>
    <s v="Pend"/>
    <s v="Pend"/>
  </r>
  <r>
    <n v="1"/>
    <s v="SO17099"/>
    <s v="4500574169"/>
    <s v="INV12950"/>
    <s v="Glencore Canada Corporation - Rouyn-Noranda, Glencore Canada Corp."/>
    <d v="2025-05-05T11:52:33"/>
    <d v="2025-05-05T11:53:09"/>
    <d v="2025-05-06T00:00:00"/>
    <s v="Ian Trottier"/>
    <s v="CAD"/>
    <n v="1"/>
    <n v="3190.39"/>
    <n v="3190.39"/>
    <n v="3190.39"/>
    <n v="3038.47"/>
    <n v="151.91999999999999"/>
    <n v="3190.39"/>
    <s v="Delivered"/>
    <m/>
    <n v="1"/>
    <n v="5"/>
    <n v="2025"/>
    <n v="6"/>
    <n v="2025"/>
    <n v="1"/>
    <x v="400"/>
    <d v="2025-05-05T11:52:33"/>
    <x v="478"/>
    <s v="Paid"/>
    <d v="2025-06-13T00:00:00"/>
    <s v="4500574169"/>
    <x v="27"/>
    <x v="0"/>
    <n v="3038.47"/>
    <n v="2193.5481362451369"/>
    <n v="0.72192522428891415"/>
    <n v="-3038.47"/>
    <n v="0"/>
    <n v="0"/>
    <s v=""/>
    <x v="0"/>
    <x v="0"/>
    <s v="Pend"/>
    <s v="Pend"/>
  </r>
  <r>
    <n v="1"/>
    <s v="SO17100"/>
    <s v="4500593300"/>
    <s v="INV13099"/>
    <s v="Resolute Forest Products - Saint-Felicien"/>
    <d v="2025-05-05T12:30:36"/>
    <d v="2025-05-05T15:27:22"/>
    <d v="2025-08-01T00:00:00"/>
    <s v="Ian Trottier"/>
    <s v="CAD"/>
    <n v="1"/>
    <n v="6506.97"/>
    <n v="6506.97"/>
    <n v="6506.97"/>
    <n v="6197.11"/>
    <n v="309.86"/>
    <n v="6506.97"/>
    <s v="Delivered"/>
    <m/>
    <n v="1"/>
    <n v="5"/>
    <n v="2025"/>
    <n v="12"/>
    <n v="2025"/>
    <n v="1"/>
    <x v="401"/>
    <d v="2025-05-05T12:30:36"/>
    <x v="479"/>
    <s v="Paid"/>
    <d v="2025-12-05T00:00:00"/>
    <s v="4500593300"/>
    <x v="46"/>
    <x v="0"/>
    <n v="6197.11"/>
    <n v="4473.8500266930723"/>
    <n v="0.72192522428891415"/>
    <n v="-6197.11"/>
    <n v="0"/>
    <n v="0"/>
    <s v=""/>
    <x v="0"/>
    <x v="0"/>
    <s v="Pend"/>
    <s v="Pend"/>
  </r>
  <r>
    <n v="1"/>
    <s v="SO17101"/>
    <s v="OC00166"/>
    <s v="INV13206"/>
    <s v="Dynapro Pumps México S de RL de CV"/>
    <d v="2025-05-05T13:31:36"/>
    <d v="2025-05-05T13:31:02"/>
    <d v="2025-06-27T00:00:00"/>
    <s v="Yannett Yeomans"/>
    <s v="USD"/>
    <n v="0.72363703447569616"/>
    <n v="3358.0370879727461"/>
    <n v="0"/>
    <n v="2430"/>
    <n v="2430"/>
    <m/>
    <n v="2430"/>
    <s v="Delivered"/>
    <m/>
    <n v="1"/>
    <n v="5"/>
    <n v="2025"/>
    <s v=""/>
    <s v=""/>
    <n v="0.72363703447569605"/>
    <x v="402"/>
    <d v="2025-05-05T13:31:36"/>
    <x v="480"/>
    <s v="Approved"/>
    <s v="Pending"/>
    <s v="OC00166"/>
    <x v="54"/>
    <x v="1"/>
    <n v="3358.0370879727457"/>
    <n v="2430"/>
    <n v="0.72363703447569616"/>
    <n v="0"/>
    <n v="-2430"/>
    <s v=""/>
    <n v="0"/>
    <x v="1"/>
    <x v="2"/>
    <s v="Pend"/>
    <s v="Pend"/>
  </r>
  <r>
    <n v="1"/>
    <s v="SO17102"/>
    <s v="7108"/>
    <s v="INV12947"/>
    <s v="Hyperflo"/>
    <d v="2025-05-05T13:42:38"/>
    <d v="2025-05-06T08:25:54"/>
    <d v="2025-05-07T00:00:00"/>
    <s v="Ian Trottier"/>
    <s v="CAD"/>
    <n v="1"/>
    <n v="1150.52"/>
    <n v="0"/>
    <n v="835.14664945869379"/>
    <n v="1095.73"/>
    <n v="54.79"/>
    <n v="1150.52"/>
    <s v="Delivered"/>
    <m/>
    <n v="1"/>
    <n v="5"/>
    <n v="2025"/>
    <n v="6"/>
    <n v="2025"/>
    <n v="0.72588625096364578"/>
    <x v="403"/>
    <d v="2025-05-05T13:42:38"/>
    <x v="481"/>
    <s v="Paid"/>
    <d v="2025-06-16T00:00:00"/>
    <s v="7108"/>
    <x v="5"/>
    <x v="0"/>
    <n v="1095.73"/>
    <n v="795.37534176839563"/>
    <n v="0.72588625096364578"/>
    <n v="-1095.73"/>
    <n v="0"/>
    <n v="0"/>
    <s v=""/>
    <x v="0"/>
    <x v="0"/>
    <s v="Pend"/>
    <s v="Pend"/>
  </r>
  <r>
    <n v="1"/>
    <s v="SO17103"/>
    <s v="5400233536"/>
    <s v="INV12987"/>
    <s v="Algoma Steel Inc."/>
    <d v="2025-05-05T13:50:00"/>
    <d v="2025-05-15T08:10:06"/>
    <d v="2025-05-16T00:00:00"/>
    <s v="Ian Trottier"/>
    <s v="CAD"/>
    <n v="1"/>
    <n v="12576.76"/>
    <n v="0"/>
    <n v="8989.8746975048525"/>
    <n v="11129.88"/>
    <n v="1446.88"/>
    <n v="12576.76"/>
    <s v="Delivered"/>
    <m/>
    <n v="1"/>
    <n v="5"/>
    <n v="2025"/>
    <n v="5"/>
    <n v="2025"/>
    <n v="0.71480052871366329"/>
    <x v="404"/>
    <d v="2025-05-05T13:50:00"/>
    <x v="482"/>
    <s v="Paid"/>
    <d v="2025-05-28T00:00:00"/>
    <s v="5400233536"/>
    <x v="85"/>
    <x v="0"/>
    <n v="11129.88"/>
    <n v="7955.6441085196266"/>
    <n v="0.71480052871366329"/>
    <n v="-11129.88"/>
    <n v="0"/>
    <n v="0"/>
    <s v=""/>
    <x v="0"/>
    <x v="0"/>
    <s v="Pend"/>
    <s v="Pend"/>
  </r>
  <r>
    <n v="1"/>
    <s v="SO17104"/>
    <s v="OC00164"/>
    <s v="INV13116"/>
    <s v="Dynapro Pumps México S de RL de CV"/>
    <d v="2025-05-05T15:07:24"/>
    <d v="2025-05-05T18:10:27"/>
    <d v="2025-06-13T00:00:00"/>
    <s v="Yannett Yeomans"/>
    <s v="USD"/>
    <n v="0.72363703447569616"/>
    <n v="5722.9243428655509"/>
    <n v="0"/>
    <n v="4141.32"/>
    <n v="4141.32"/>
    <m/>
    <n v="4141.32"/>
    <s v="Delivered"/>
    <m/>
    <n v="1"/>
    <n v="5"/>
    <n v="2025"/>
    <s v=""/>
    <s v=""/>
    <n v="0.72363703447569616"/>
    <x v="405"/>
    <d v="2025-05-05T15:07:24"/>
    <x v="483"/>
    <s v="Approved"/>
    <s v="Pending"/>
    <s v="OC00164"/>
    <x v="54"/>
    <x v="1"/>
    <n v="5722.9243428655509"/>
    <n v="4141.32"/>
    <n v="0.72363703447569616"/>
    <n v="0"/>
    <n v="-4141.32"/>
    <s v=""/>
    <n v="0"/>
    <x v="1"/>
    <x v="2"/>
    <s v="Pend"/>
    <s v="Pend"/>
  </r>
  <r>
    <n v="1"/>
    <s v="SO17105"/>
    <s v="2100591554"/>
    <s v="INV13436"/>
    <s v="Wajax Limited - Noranda"/>
    <d v="2025-05-05T15:19:05"/>
    <d v="2025-06-10T11:40:30"/>
    <d v="2025-08-19T00:00:00"/>
    <s v="Ian Trottier"/>
    <s v="CAD"/>
    <n v="1"/>
    <n v="1690.27"/>
    <n v="0"/>
    <n v="1235.1409792801639"/>
    <n v="1609.78"/>
    <n v="80.489999999999995"/>
    <n v="1690.27"/>
    <s v="Delivered"/>
    <m/>
    <n v="1"/>
    <n v="5"/>
    <n v="2025"/>
    <s v=""/>
    <s v=""/>
    <n v="0.73073590567197189"/>
    <x v="406"/>
    <d v="2025-05-05T15:19:05"/>
    <x v="484"/>
    <s v="Not invoiced"/>
    <s v="Pending"/>
    <s v="2100591554"/>
    <x v="35"/>
    <x v="0"/>
    <n v="1609.78"/>
    <n v="1176.3240462326269"/>
    <n v="0.73073590567197189"/>
    <n v="0"/>
    <n v="0"/>
    <n v="1609.78"/>
    <s v=""/>
    <x v="1"/>
    <x v="2"/>
    <s v="Pend"/>
    <s v="Pend"/>
  </r>
  <r>
    <n v="1"/>
    <s v="SO17106"/>
    <s v="M-083739"/>
    <s v="INV12955"/>
    <s v="Grant Aggregate"/>
    <d v="2025-05-05T16:01:20"/>
    <d v="2025-05-05T16:01:50"/>
    <d v="2025-05-06T00:00:00"/>
    <s v="Ian Trottier"/>
    <s v="CAD"/>
    <n v="1"/>
    <n v="134.91999999999999"/>
    <n v="134.91999999999999"/>
    <n v="134.91999999999999"/>
    <n v="119.4"/>
    <n v="15.52"/>
    <n v="134.91999999999999"/>
    <s v="Delivered"/>
    <m/>
    <n v="1"/>
    <n v="5"/>
    <n v="2025"/>
    <n v="6"/>
    <n v="2025"/>
    <n v="1"/>
    <x v="407"/>
    <d v="2025-05-05T16:01:20"/>
    <x v="485"/>
    <s v="Paid"/>
    <d v="2025-06-27T00:00:00"/>
    <s v="M-083739"/>
    <x v="9"/>
    <x v="0"/>
    <n v="119.4"/>
    <n v="86.197871780096349"/>
    <n v="0.72192522428891415"/>
    <n v="-119.4"/>
    <n v="0"/>
    <n v="0"/>
    <s v=""/>
    <x v="0"/>
    <x v="0"/>
    <s v="Pend"/>
    <s v="Pend"/>
  </r>
  <r>
    <n v="1"/>
    <s v="SO17114"/>
    <s v="PO13564"/>
    <s v="INV12957"/>
    <s v="Manufacture Sling-Choker (Val-d’Or) Ltée"/>
    <d v="2025-05-06T16:02:44"/>
    <d v="2025-05-06T16:04:46"/>
    <d v="2025-05-07T00:00:00"/>
    <s v="Ian Trottier"/>
    <s v="CAD"/>
    <n v="1"/>
    <n v="117.99"/>
    <n v="0"/>
    <n v="85.647318751200558"/>
    <n v="112.37"/>
    <n v="5.62"/>
    <n v="117.99"/>
    <s v="Delivered"/>
    <m/>
    <n v="1"/>
    <n v="5"/>
    <n v="2025"/>
    <n v="6"/>
    <n v="2025"/>
    <n v="0.72588625096364578"/>
    <x v="408"/>
    <d v="2025-05-06T16:02:44"/>
    <x v="486"/>
    <s v="Paid"/>
    <d v="2025-06-04T00:00:00"/>
    <s v="PO13564"/>
    <x v="10"/>
    <x v="0"/>
    <n v="112.37"/>
    <n v="81.567838020784876"/>
    <n v="0.72588625096364578"/>
    <n v="-112.37"/>
    <n v="0"/>
    <n v="0"/>
    <s v=""/>
    <x v="0"/>
    <x v="0"/>
    <s v="Pend"/>
    <s v="Pend"/>
  </r>
  <r>
    <n v="1"/>
    <s v="SO17116"/>
    <s v="5285 - Paid in full on May 7th 2025"/>
    <s v="INV12959"/>
    <s v="MJR Admin"/>
    <d v="2025-05-07T08:26:54"/>
    <d v="2025-05-07T10:08:11"/>
    <d v="2025-05-08T00:00:00"/>
    <s v="Ian Trottier"/>
    <s v="CAD"/>
    <n v="1"/>
    <n v="1298.97"/>
    <n v="0"/>
    <n v="943.04213231980248"/>
    <n v="1237.1099999999999"/>
    <n v="61.86"/>
    <n v="1298.97"/>
    <s v="Delivered"/>
    <m/>
    <n v="1"/>
    <n v="5"/>
    <n v="2025"/>
    <n v="5"/>
    <n v="2025"/>
    <n v="0.72599223409301405"/>
    <x v="409"/>
    <d v="2025-05-07T08:26:54"/>
    <x v="487"/>
    <s v="Paid"/>
    <d v="2025-05-07T00:00:00"/>
    <s v="5285 - Paid in full on May 7th 2025"/>
    <x v="101"/>
    <x v="0"/>
    <n v="1237.1099999999999"/>
    <n v="898.13225271880856"/>
    <n v="0.72599223409301405"/>
    <n v="-1237.1099999999999"/>
    <n v="0"/>
    <n v="0"/>
    <s v=""/>
    <x v="0"/>
    <x v="0"/>
    <s v="Pend"/>
    <s v="Pend"/>
  </r>
  <r>
    <n v="1"/>
    <s v="SO17119"/>
    <s v="7128"/>
    <s v="INV13089"/>
    <s v="Hyperflo"/>
    <d v="2025-05-07T10:29:14"/>
    <d v="2025-05-12T14:48:54"/>
    <d v="2025-06-16T00:00:00"/>
    <s v="Ian Trottier"/>
    <s v="CAD"/>
    <n v="1"/>
    <n v="157.08000000000001"/>
    <n v="0"/>
    <n v="112.16196135102641"/>
    <n v="149.6"/>
    <n v="7.48"/>
    <n v="157.08000000000001"/>
    <s v="Delivered"/>
    <m/>
    <n v="1"/>
    <n v="5"/>
    <n v="2025"/>
    <n v="8"/>
    <n v="2025"/>
    <n v="0.71404355329148461"/>
    <x v="410"/>
    <d v="2025-05-07T10:29:14"/>
    <x v="488"/>
    <s v="Paid"/>
    <d v="2025-08-04T00:00:00"/>
    <s v="7128"/>
    <x v="5"/>
    <x v="0"/>
    <n v="149.6"/>
    <n v="106.82091557240609"/>
    <n v="0.71404355329148461"/>
    <n v="-149.6"/>
    <n v="0"/>
    <n v="0"/>
    <s v=""/>
    <x v="0"/>
    <x v="0"/>
    <s v="Pend"/>
    <s v="Pend"/>
  </r>
  <r>
    <n v="1"/>
    <s v="SO17126"/>
    <s v="Darren - PO Email Confirmation"/>
    <s v="INV13058"/>
    <s v="Quality Concrete Inc."/>
    <d v="2025-05-07T16:31:56"/>
    <d v="2025-05-07T16:31:58"/>
    <d v="2025-06-04T00:00:00"/>
    <s v="Ian Trottier"/>
    <s v="CAD"/>
    <n v="1"/>
    <n v="855.1"/>
    <n v="0"/>
    <n v="620.7959593729363"/>
    <n v="814.38"/>
    <n v="40.72"/>
    <n v="855.1"/>
    <s v="Delivered"/>
    <m/>
    <n v="1"/>
    <n v="5"/>
    <n v="2025"/>
    <n v="8"/>
    <n v="2025"/>
    <n v="0.72599223409301405"/>
    <x v="411"/>
    <d v="2025-05-07T16:31:56"/>
    <x v="489"/>
    <s v="Paid"/>
    <d v="2025-08-15T00:00:00"/>
    <s v="Darren - PO Email Confirmation"/>
    <x v="43"/>
    <x v="0"/>
    <n v="814.38"/>
    <n v="591.23355560066875"/>
    <n v="0.72599223409301405"/>
    <n v="-814.38"/>
    <n v="0"/>
    <n v="0"/>
    <s v=""/>
    <x v="0"/>
    <x v="0"/>
    <s v="Pend"/>
    <s v="Pend"/>
  </r>
  <r>
    <n v="1"/>
    <s v="SO17129"/>
    <s v="2100580915"/>
    <s v="INV13028"/>
    <s v="Wajax Limited - Pointe-aux-Trembles"/>
    <d v="2025-05-08T08:59:20"/>
    <d v="2025-05-26T13:08:28"/>
    <d v="2025-05-27T00:00:00"/>
    <s v="Ian Trottier"/>
    <s v="CAD"/>
    <n v="1"/>
    <n v="135.38999999999999"/>
    <n v="135.38999999999999"/>
    <n v="135.38999999999999"/>
    <n v="128.94"/>
    <n v="6.45"/>
    <n v="135.38999999999999"/>
    <s v="Delivered"/>
    <m/>
    <n v="1"/>
    <n v="5"/>
    <n v="2025"/>
    <n v="7"/>
    <n v="2025"/>
    <n v="1"/>
    <x v="412"/>
    <d v="2025-05-08T08:59:20"/>
    <x v="490"/>
    <s v="Paid"/>
    <d v="2025-07-09T00:00:00"/>
    <s v="2100580915"/>
    <x v="105"/>
    <x v="0"/>
    <n v="128.94"/>
    <n v="93.085038419812591"/>
    <n v="0.72192522428891415"/>
    <n v="-128.94"/>
    <n v="0"/>
    <n v="0"/>
    <s v=""/>
    <x v="0"/>
    <x v="0"/>
    <s v="Pend"/>
    <s v="Pend"/>
  </r>
  <r>
    <n v="1"/>
    <s v="SO17130"/>
    <s v="4511879334"/>
    <s v="INV13595"/>
    <s v="PT Vale Indonesia Tbk."/>
    <d v="2025-05-08T11:32:45"/>
    <d v="2025-09-26T13:25:51"/>
    <d v="2025-12-19T00:00:00"/>
    <s v="Ian Trottier"/>
    <s v="USD"/>
    <n v="0.71817576144916317"/>
    <n v="3401.367925688362"/>
    <n v="0"/>
    <n v="2442.7800000000002"/>
    <n v="2442.7800000000002"/>
    <m/>
    <n v="2442.7800000000002"/>
    <s v="Delivered"/>
    <m/>
    <n v="1"/>
    <n v="5"/>
    <n v="2025"/>
    <s v=""/>
    <s v=""/>
    <n v="0.71817576144916317"/>
    <x v="413"/>
    <d v="2025-05-08T11:32:45"/>
    <x v="491"/>
    <s v="Approved"/>
    <s v="Pending"/>
    <s v="4511879334"/>
    <x v="42"/>
    <x v="1"/>
    <n v="3401.367925688362"/>
    <n v="2442.7800000000002"/>
    <n v="0.71817576144916317"/>
    <n v="0"/>
    <n v="-2442.7800000000002"/>
    <s v=""/>
    <n v="0"/>
    <x v="1"/>
    <x v="2"/>
    <s v="Pend"/>
    <s v="Pend"/>
  </r>
  <r>
    <n v="1"/>
    <s v="SO17133"/>
    <s v="2100570535"/>
    <s v="INV12964"/>
    <s v="Wajax Limited - Noranda"/>
    <d v="2025-05-08T14:43:54"/>
    <d v="2025-05-08T16:14:51"/>
    <d v="2025-05-09T00:00:00"/>
    <s v="Ian Trottier"/>
    <s v="CAD"/>
    <n v="1"/>
    <n v="2758.72"/>
    <n v="0"/>
    <n v="1982.4501957321349"/>
    <n v="2627.35"/>
    <n v="131.37"/>
    <n v="2758.72"/>
    <s v="Delivered"/>
    <m/>
    <n v="1"/>
    <n v="5"/>
    <n v="2025"/>
    <n v="6"/>
    <n v="2025"/>
    <n v="0.71861232590916624"/>
    <x v="414"/>
    <d v="2025-05-08T14:43:54"/>
    <x v="492"/>
    <s v="Paid"/>
    <d v="2025-06-11T00:00:00"/>
    <s v="2100570535"/>
    <x v="35"/>
    <x v="0"/>
    <n v="2627.35"/>
    <n v="1888.0460944774479"/>
    <n v="0.71861232590916624"/>
    <n v="-2627.35"/>
    <n v="0"/>
    <n v="0"/>
    <s v=""/>
    <x v="0"/>
    <x v="0"/>
    <s v="Pend"/>
    <s v="Pend"/>
  </r>
  <r>
    <n v="2"/>
    <s v="SO17134"/>
    <s v="P359291"/>
    <s v="INV13063"/>
    <s v="Covia Corp - Junction City"/>
    <d v="2025-05-08T14:50:13"/>
    <d v="2025-05-16T15:40:29"/>
    <d v="2025-09-19T00:00:00"/>
    <s v="Marlen Martinez"/>
    <s v="USD"/>
    <n v="0.7148005287136634"/>
    <n v="4676.6753320898888"/>
    <n v="0"/>
    <n v="3342.89"/>
    <n v="3342.89"/>
    <m/>
    <n v="3342.89"/>
    <s v="Delivered"/>
    <m/>
    <n v="2"/>
    <n v="5"/>
    <n v="2025"/>
    <n v="9"/>
    <n v="2025"/>
    <n v="0.7148005287136634"/>
    <x v="415"/>
    <d v="2025-05-08T14:50:13"/>
    <x v="493"/>
    <s v="Paid"/>
    <d v="2025-09-13T00:00:00"/>
    <s v="P359291"/>
    <x v="6"/>
    <x v="1"/>
    <n v="4676.6753320898888"/>
    <n v="3342.89"/>
    <n v="0.7148005287136634"/>
    <n v="0"/>
    <n v="-390.9"/>
    <s v=""/>
    <n v="2951.99"/>
    <x v="0"/>
    <x v="1"/>
    <s v="Yes"/>
    <s v="Pend"/>
  </r>
  <r>
    <m/>
    <m/>
    <m/>
    <s v="INV12996"/>
    <m/>
    <m/>
    <m/>
    <m/>
    <m/>
    <m/>
    <m/>
    <m/>
    <m/>
    <m/>
    <m/>
    <m/>
    <m/>
    <m/>
    <m/>
    <n v="2"/>
    <n v="5"/>
    <n v="2025"/>
    <n v="8"/>
    <n v="2025"/>
    <n v="0.7148005287136634"/>
    <x v="415"/>
    <d v="2025-05-08T14:50:13"/>
    <x v="494"/>
    <s v="Paid"/>
    <d v="2025-08-25T00:00:00"/>
    <s v="P359291"/>
    <x v="6"/>
    <x v="1"/>
    <n v="0"/>
    <n v="0"/>
    <n v="0"/>
    <n v="0"/>
    <n v="-2951.99"/>
    <s v=""/>
    <n v="-2951.99"/>
    <x v="0"/>
    <x v="1"/>
    <s v="Yes"/>
    <s v="Pend"/>
  </r>
  <r>
    <n v="2"/>
    <s v="SO17139"/>
    <s v="4501184273"/>
    <s v="INV12978"/>
    <s v="Barrick Gold - Pueblo Viejo Dominicana Corporation"/>
    <d v="2025-05-09T13:16:17"/>
    <d v="2025-05-09T13:43:34"/>
    <d v="2025-05-25T00:00:00"/>
    <s v="Wilka Nuñez"/>
    <s v="USD"/>
    <n v="0.71861232590916624"/>
    <n v="16789.984759494779"/>
    <n v="0"/>
    <n v="12065.49"/>
    <n v="12065.49"/>
    <m/>
    <n v="12065.49"/>
    <s v="Delivered"/>
    <m/>
    <n v="2"/>
    <n v="5"/>
    <n v="2025"/>
    <n v="7"/>
    <n v="2025"/>
    <n v="0.71861232590916646"/>
    <x v="416"/>
    <d v="2025-05-09T13:16:17"/>
    <x v="495"/>
    <s v="Paid"/>
    <d v="2025-07-11T00:00:00"/>
    <s v="4501184273"/>
    <x v="15"/>
    <x v="1"/>
    <n v="16789.984759494782"/>
    <n v="12065.49"/>
    <n v="0.71861232590916635"/>
    <n v="0"/>
    <n v="-10879.89"/>
    <s v=""/>
    <n v="1185.6000000000004"/>
    <x v="0"/>
    <x v="1"/>
    <s v="Yes"/>
    <s v="Pend"/>
  </r>
  <r>
    <m/>
    <m/>
    <m/>
    <s v="INV13066"/>
    <m/>
    <m/>
    <m/>
    <m/>
    <m/>
    <m/>
    <m/>
    <m/>
    <m/>
    <m/>
    <m/>
    <m/>
    <m/>
    <m/>
    <m/>
    <n v="2"/>
    <n v="5"/>
    <n v="2025"/>
    <n v="7"/>
    <n v="2025"/>
    <n v="0.71861232590916646"/>
    <x v="416"/>
    <d v="2025-05-09T13:16:17"/>
    <x v="496"/>
    <s v="Paid"/>
    <d v="2025-07-25T00:00:00"/>
    <s v="4501184273"/>
    <x v="15"/>
    <x v="1"/>
    <n v="0"/>
    <n v="0"/>
    <n v="0"/>
    <n v="0"/>
    <n v="-1185.5999999999999"/>
    <s v=""/>
    <n v="-1185.5999999999999"/>
    <x v="0"/>
    <x v="1"/>
    <s v="Yes"/>
    <s v="Pend"/>
  </r>
  <r>
    <n v="1"/>
    <s v="SO17140"/>
    <s v="4500575219"/>
    <s v="INV12967"/>
    <s v="Glencore Canada Corporation - Rouyn-Noranda, Glencore Canada Corp."/>
    <d v="2025-05-09T13:22:53"/>
    <d v="2025-05-09T13:36:08"/>
    <d v="2025-05-12T00:00:00"/>
    <s v="Ian Trottier"/>
    <s v="CAD"/>
    <n v="1"/>
    <n v="1125.9000000000001"/>
    <n v="0"/>
    <n v="808.38208382159405"/>
    <n v="1072.28"/>
    <n v="53.62"/>
    <n v="1125.9000000000001"/>
    <s v="Delivered"/>
    <m/>
    <n v="1"/>
    <n v="5"/>
    <n v="2025"/>
    <n v="6"/>
    <n v="2025"/>
    <n v="0.71798746231600852"/>
    <x v="417"/>
    <d v="2025-05-09T13:22:53"/>
    <x v="497"/>
    <s v="Paid"/>
    <d v="2025-06-20T00:00:00"/>
    <s v="4500575219"/>
    <x v="27"/>
    <x v="0"/>
    <n v="1072.28"/>
    <n v="769.88359609220959"/>
    <n v="0.71798746231600852"/>
    <n v="-1072.28"/>
    <n v="0"/>
    <n v="0"/>
    <s v=""/>
    <x v="0"/>
    <x v="0"/>
    <s v="Pend"/>
    <s v="Pend"/>
  </r>
  <r>
    <n v="1"/>
    <s v="SO17142"/>
    <s v="4511884651"/>
    <s v="INV13015"/>
    <s v="PT Vale Indonesia Tbk."/>
    <d v="2025-05-09T14:16:12"/>
    <d v="2025-05-09T14:17:34"/>
    <d v="2025-06-06T00:00:00"/>
    <s v="Ian Trottier"/>
    <s v="USD"/>
    <n v="0.71861232590916624"/>
    <n v="1362.7653808484561"/>
    <n v="0"/>
    <n v="979.3"/>
    <n v="979.3"/>
    <m/>
    <n v="979.3"/>
    <s v="Delivered"/>
    <m/>
    <n v="1"/>
    <n v="5"/>
    <n v="2025"/>
    <n v="7"/>
    <n v="2025"/>
    <n v="0.71861232590916635"/>
    <x v="418"/>
    <d v="2025-05-09T14:16:12"/>
    <x v="498"/>
    <s v="Paid"/>
    <d v="2025-07-30T00:00:00"/>
    <s v="4511884651"/>
    <x v="42"/>
    <x v="1"/>
    <n v="1362.7653808484563"/>
    <n v="979.3"/>
    <n v="0.71861232590916624"/>
    <n v="0"/>
    <n v="-979.3"/>
    <s v=""/>
    <n v="0"/>
    <x v="0"/>
    <x v="0"/>
    <s v="Pend"/>
    <s v="Pend"/>
  </r>
  <r>
    <n v="1"/>
    <s v="SO17143"/>
    <s v="4500595680"/>
    <s v="INV12993"/>
    <s v="Resolute Forest Products - Saint-Felicien"/>
    <d v="2025-05-09T14:23:53"/>
    <d v="2025-05-15T13:28:14"/>
    <d v="2025-05-16T00:00:00"/>
    <s v="Ian Trottier"/>
    <s v="CAD"/>
    <n v="1"/>
    <n v="429.07"/>
    <n v="0"/>
    <n v="306.69946285517148"/>
    <n v="408.64"/>
    <n v="20.43"/>
    <n v="429.07"/>
    <s v="Delivered"/>
    <m/>
    <n v="1"/>
    <n v="5"/>
    <n v="2025"/>
    <n v="7"/>
    <n v="2025"/>
    <n v="0.71480052871366317"/>
    <x v="419"/>
    <d v="2025-05-09T14:23:53"/>
    <x v="499"/>
    <s v="Paid"/>
    <d v="2025-07-15T00:00:00"/>
    <s v="4500595680"/>
    <x v="46"/>
    <x v="0"/>
    <n v="408.64"/>
    <n v="292.09608805355128"/>
    <n v="0.71480052871366306"/>
    <n v="-408.64"/>
    <n v="0"/>
    <n v="0"/>
    <s v=""/>
    <x v="0"/>
    <x v="0"/>
    <s v="Pend"/>
    <s v="Pend"/>
  </r>
  <r>
    <n v="1"/>
    <s v="SO17144"/>
    <s v="AZ52-00111768"/>
    <s v="INV13084"/>
    <s v="Motion Industries Inc. (U.S.) - Tucson"/>
    <d v="2025-05-12T08:18:33"/>
    <d v="2025-05-12T16:35:29"/>
    <d v="2025-06-16T00:00:00"/>
    <s v="Ian Trottier"/>
    <s v="USD"/>
    <n v="0.71740863464391214"/>
    <n v="625.55700939221788"/>
    <n v="0"/>
    <n v="448.78"/>
    <n v="448.78"/>
    <m/>
    <n v="448.78"/>
    <s v="Delivered"/>
    <m/>
    <n v="1"/>
    <n v="5"/>
    <n v="2025"/>
    <n v="7"/>
    <n v="2025"/>
    <n v="0.71740863464391214"/>
    <x v="420"/>
    <d v="2025-05-12T08:18:33"/>
    <x v="500"/>
    <s v="Paid"/>
    <d v="2025-07-14T00:00:00"/>
    <s v="AZ52-00111768"/>
    <x v="28"/>
    <x v="1"/>
    <n v="625.55700939221788"/>
    <n v="448.78"/>
    <n v="0.71740863464391214"/>
    <n v="0"/>
    <n v="-448.78"/>
    <s v=""/>
    <n v="0"/>
    <x v="0"/>
    <x v="0"/>
    <s v="Pend"/>
    <s v="Pend"/>
  </r>
  <r>
    <n v="1"/>
    <s v="SO17145"/>
    <s v="4501185388"/>
    <s v="INV12981"/>
    <s v="Barrick Gold - Pueblo Viejo Dominicana Corporation"/>
    <d v="2025-05-12T11:22:11"/>
    <d v="2025-05-12T11:25:12"/>
    <d v="2025-05-24T00:00:00"/>
    <s v="Wilka Nuñez"/>
    <s v="USD"/>
    <n v="0.71740863464391214"/>
    <n v="25856.602644889019"/>
    <n v="0"/>
    <n v="18549.75"/>
    <n v="18549.75"/>
    <m/>
    <n v="18549.75"/>
    <s v="Delivered"/>
    <m/>
    <n v="1"/>
    <n v="5"/>
    <n v="2025"/>
    <n v="6"/>
    <n v="2025"/>
    <n v="0.71740863464391225"/>
    <x v="421"/>
    <d v="2025-05-12T11:22:11"/>
    <x v="501"/>
    <s v="Paid"/>
    <d v="2025-06-27T00:00:00"/>
    <s v="4501185388"/>
    <x v="15"/>
    <x v="1"/>
    <n v="25856.602644889022"/>
    <n v="18549.75"/>
    <n v="0.71740863464391214"/>
    <n v="0"/>
    <n v="-18549.75"/>
    <s v=""/>
    <n v="0"/>
    <x v="0"/>
    <x v="0"/>
    <s v="Pend"/>
    <s v="Pend"/>
  </r>
  <r>
    <n v="2"/>
    <s v="SO17146"/>
    <s v="4501185524"/>
    <s v="INV12980"/>
    <s v="Barrick Gold - Pueblo Viejo Dominicana Corporation"/>
    <d v="2025-05-12T11:40:28"/>
    <d v="2025-05-12T11:43:11"/>
    <d v="2025-05-28T00:00:00"/>
    <s v="Wilka Nuñez"/>
    <s v="USD"/>
    <n v="0.71740863464391214"/>
    <n v="17084.87939524692"/>
    <n v="0"/>
    <n v="12256.84"/>
    <n v="12256.84"/>
    <m/>
    <n v="12256.84"/>
    <s v="Delivered"/>
    <m/>
    <n v="2"/>
    <n v="5"/>
    <n v="2025"/>
    <n v="6"/>
    <n v="2025"/>
    <n v="0.71740863464391214"/>
    <x v="422"/>
    <d v="2025-05-12T11:40:28"/>
    <x v="502"/>
    <s v="Paid"/>
    <d v="2025-06-27T00:00:00"/>
    <s v="4501185524"/>
    <x v="15"/>
    <x v="1"/>
    <n v="17084.87939524692"/>
    <n v="12256.84"/>
    <n v="0.71740863464391214"/>
    <n v="0"/>
    <n v="-7514.44"/>
    <s v=""/>
    <n v="4742.4000000000005"/>
    <x v="0"/>
    <x v="1"/>
    <s v="Yes"/>
    <s v="Pend"/>
  </r>
  <r>
    <m/>
    <m/>
    <m/>
    <s v="INV13068"/>
    <m/>
    <m/>
    <m/>
    <m/>
    <m/>
    <m/>
    <m/>
    <m/>
    <m/>
    <m/>
    <m/>
    <m/>
    <m/>
    <m/>
    <m/>
    <n v="2"/>
    <n v="5"/>
    <n v="2025"/>
    <n v="8"/>
    <n v="2025"/>
    <n v="0.71740863464391214"/>
    <x v="422"/>
    <d v="2025-05-12T11:40:28"/>
    <x v="503"/>
    <s v="Paid"/>
    <d v="2025-08-01T00:00:00"/>
    <s v="4501185524"/>
    <x v="15"/>
    <x v="1"/>
    <n v="0"/>
    <n v="0"/>
    <n v="0"/>
    <n v="0"/>
    <n v="-4742.3999999999996"/>
    <s v=""/>
    <n v="-4742.3999999999996"/>
    <x v="0"/>
    <x v="1"/>
    <s v="Yes"/>
    <s v="Pend"/>
  </r>
  <r>
    <n v="1"/>
    <s v="SO17148"/>
    <s v="2100573830"/>
    <s v="INV13086"/>
    <s v="Wajax Limited - Témiscaming"/>
    <d v="2025-05-12T12:10:10"/>
    <d v="2025-05-13T12:10:10"/>
    <d v="2025-07-09T00:00:00"/>
    <s v="Ian Trottier"/>
    <s v="CAD"/>
    <n v="1"/>
    <n v="6152.97"/>
    <n v="0"/>
    <n v="4407.9887868135866"/>
    <n v="5859.97"/>
    <n v="293"/>
    <n v="6152.97"/>
    <s v="Delivered"/>
    <m/>
    <n v="1"/>
    <n v="5"/>
    <n v="2025"/>
    <n v="7"/>
    <n v="2025"/>
    <n v="0.71640017533217071"/>
    <x v="423"/>
    <d v="2025-05-12T12:10:10"/>
    <x v="504"/>
    <s v="Paid"/>
    <d v="2025-07-16T00:00:00"/>
    <s v="2100573830"/>
    <x v="106"/>
    <x v="0"/>
    <n v="5859.97"/>
    <n v="4198.0835354412602"/>
    <n v="0.7164001753321706"/>
    <n v="-5859.97"/>
    <n v="0"/>
    <n v="0"/>
    <s v=""/>
    <x v="0"/>
    <x v="0"/>
    <s v="Pend"/>
    <s v="Pend"/>
  </r>
  <r>
    <n v="1"/>
    <s v="SO17149"/>
    <s v="4500805495"/>
    <s v="INV13190"/>
    <s v="AGM Inc."/>
    <d v="2025-05-12T13:11:46"/>
    <d v="2025-05-12T13:11:56"/>
    <d v="2025-06-03T00:00:00"/>
    <s v="Amanda Qiao"/>
    <s v="USD"/>
    <n v="0.71740863464391214"/>
    <n v="5514.8485938753311"/>
    <n v="0"/>
    <n v="3956.4"/>
    <n v="3956.4"/>
    <m/>
    <n v="3956.4"/>
    <s v="Delivered"/>
    <m/>
    <n v="1"/>
    <n v="5"/>
    <n v="2025"/>
    <n v="8"/>
    <n v="2025"/>
    <n v="0.71740863464391214"/>
    <x v="424"/>
    <d v="2025-05-12T13:11:46"/>
    <x v="505"/>
    <s v="Paid"/>
    <d v="2025-08-26T00:00:00"/>
    <s v="4500805495"/>
    <x v="61"/>
    <x v="1"/>
    <n v="5514.8485938753311"/>
    <n v="3956.4"/>
    <n v="0.71740863464391214"/>
    <n v="0"/>
    <n v="-3956.4"/>
    <s v=""/>
    <n v="0"/>
    <x v="0"/>
    <x v="0"/>
    <s v="Pend"/>
    <s v="Pend"/>
  </r>
  <r>
    <n v="1"/>
    <s v="SO17151"/>
    <s v="4501184153"/>
    <s v="INV12983"/>
    <s v="Barrick Gold - Pueblo Viejo Dominicana Corporation"/>
    <d v="2025-05-12T13:19:02"/>
    <d v="2025-05-12T13:50:45"/>
    <d v="2025-05-23T00:00:00"/>
    <s v="Wilka Nuñez"/>
    <s v="USD"/>
    <n v="0.71740863464391214"/>
    <n v="58023.109828698012"/>
    <n v="0"/>
    <n v="41626.28"/>
    <n v="41626.28"/>
    <m/>
    <n v="41626.28"/>
    <s v="Delivered"/>
    <m/>
    <n v="1"/>
    <n v="5"/>
    <n v="2025"/>
    <n v="6"/>
    <n v="2025"/>
    <n v="0.71740863464391214"/>
    <x v="425"/>
    <d v="2025-05-12T13:19:02"/>
    <x v="506"/>
    <s v="Paid"/>
    <d v="2025-06-27T00:00:00"/>
    <s v="4501184153"/>
    <x v="15"/>
    <x v="1"/>
    <n v="58023.109828698012"/>
    <n v="41626.28"/>
    <n v="0.71740863464391214"/>
    <n v="0"/>
    <n v="-41626.28"/>
    <s v=""/>
    <n v="0"/>
    <x v="0"/>
    <x v="0"/>
    <s v="Pend"/>
    <s v="Pend"/>
  </r>
  <r>
    <n v="1"/>
    <s v="SO17152"/>
    <s v="PSI15675"/>
    <s v="INV12991"/>
    <s v="Progressive Sealing Inc."/>
    <d v="2025-05-12T13:26:48"/>
    <d v="2025-05-12T13:30:37"/>
    <d v="2025-05-13T00:00:00"/>
    <s v="Taylor Cook"/>
    <s v="CAD"/>
    <n v="1"/>
    <n v="2087.66"/>
    <n v="0"/>
    <n v="1490.6801644645"/>
    <n v="2087.66"/>
    <m/>
    <n v="2087.66"/>
    <s v="Delivered"/>
    <m/>
    <n v="1"/>
    <n v="5"/>
    <n v="2025"/>
    <n v="6"/>
    <n v="2025"/>
    <n v="0.71404355329148428"/>
    <x v="426"/>
    <d v="2025-05-12T13:26:48"/>
    <x v="507"/>
    <s v="Paid"/>
    <d v="2025-06-13T00:00:00"/>
    <s v="PSI15675"/>
    <x v="64"/>
    <x v="0"/>
    <n v="2087.66"/>
    <n v="1490.6801644645"/>
    <n v="0.71404355329148428"/>
    <n v="-2087.66"/>
    <n v="0"/>
    <n v="0"/>
    <s v=""/>
    <x v="0"/>
    <x v="0"/>
    <s v="Pend"/>
    <s v="Pend"/>
  </r>
  <r>
    <n v="1"/>
    <s v="SO17153"/>
    <s v="PO-0020310"/>
    <s v="INV13302"/>
    <s v="MAB Equipment Company Inc."/>
    <d v="2025-05-12T13:59:21"/>
    <d v="2025-05-27T13:03:37"/>
    <d v="2025-09-23T00:00:00"/>
    <s v="Ian Trottier"/>
    <s v="USD"/>
    <n v="0.72825076867173777"/>
    <n v="13791.54054079309"/>
    <n v="0"/>
    <n v="10043.700000000001"/>
    <n v="10043.700000000001"/>
    <m/>
    <n v="10043.700000000001"/>
    <s v="Delivered"/>
    <m/>
    <n v="1"/>
    <n v="5"/>
    <n v="2025"/>
    <n v="9"/>
    <n v="2025"/>
    <n v="0.72825076867173766"/>
    <x v="427"/>
    <d v="2025-05-12T13:59:21"/>
    <x v="508"/>
    <s v="Paid"/>
    <d v="2025-09-13T00:00:00"/>
    <s v="PO-0020310"/>
    <x v="67"/>
    <x v="1"/>
    <n v="13791.540540793088"/>
    <n v="10043.700000000001"/>
    <n v="0.72825076867173777"/>
    <n v="0"/>
    <n v="-10043.700000000001"/>
    <s v=""/>
    <n v="0"/>
    <x v="0"/>
    <x v="0"/>
    <s v="Pend"/>
    <s v="Pend"/>
  </r>
  <r>
    <n v="1"/>
    <s v="SO17159"/>
    <s v="PO# 70300"/>
    <s v="INV13340"/>
    <s v="SRM Materials"/>
    <d v="2025-05-13T08:25:17"/>
    <d v="2025-06-02T08:16:57"/>
    <d v="2025-07-29T00:00:00"/>
    <s v="Ian Trottier"/>
    <s v="USD"/>
    <n v="0.72982219017840411"/>
    <n v="13922.076002534601"/>
    <n v="0"/>
    <n v="10160.64"/>
    <n v="10160.64"/>
    <m/>
    <n v="10160.64"/>
    <s v="Delivered"/>
    <m/>
    <n v="1"/>
    <n v="5"/>
    <n v="2025"/>
    <n v="11"/>
    <n v="2025"/>
    <n v="0.72982219017840377"/>
    <x v="428"/>
    <d v="2025-05-13T08:25:17"/>
    <x v="509"/>
    <s v="Paid"/>
    <d v="2025-11-13T00:00:00"/>
    <s v="PO# 70300"/>
    <x v="107"/>
    <x v="1"/>
    <n v="13922.076002534595"/>
    <n v="10160.64"/>
    <n v="0.72982219017840411"/>
    <n v="0"/>
    <n v="-10160.64"/>
    <s v=""/>
    <n v="0"/>
    <x v="0"/>
    <x v="0"/>
    <s v="Pend"/>
    <s v="Pend"/>
  </r>
  <r>
    <n v="1"/>
    <s v="SO17163"/>
    <s v="NC07-00334898"/>
    <s v="INV13440"/>
    <s v="Motion Industries Inc. (U.S.) - Charleston"/>
    <d v="2025-05-13T10:30:03"/>
    <d v="2025-06-18T15:28:02"/>
    <d v="2025-09-03T00:00:00"/>
    <s v="Ian Trottier"/>
    <s v="USD"/>
    <n v="0.73586843526375945"/>
    <n v="4966.9068883080045"/>
    <n v="0"/>
    <n v="3654.99"/>
    <n v="3654.99"/>
    <m/>
    <n v="3654.99"/>
    <s v="Delivered"/>
    <m/>
    <n v="1"/>
    <n v="5"/>
    <n v="2025"/>
    <n v="10"/>
    <n v="2025"/>
    <n v="0.73586843526375945"/>
    <x v="429"/>
    <d v="2025-05-13T10:30:03"/>
    <x v="510"/>
    <s v="Paid"/>
    <d v="2025-10-24T00:00:00"/>
    <s v="NC07-00334898"/>
    <x v="108"/>
    <x v="1"/>
    <n v="4966.9068883080045"/>
    <n v="3654.99"/>
    <n v="0.73586843526375945"/>
    <n v="0"/>
    <n v="-3654.99"/>
    <s v=""/>
    <n v="0"/>
    <x v="0"/>
    <x v="0"/>
    <s v="Pend"/>
    <s v="Pend"/>
  </r>
  <r>
    <n v="1"/>
    <s v="SO17164"/>
    <s v="029766"/>
    <s v="INV12997"/>
    <s v="Windsor Pump Company, Ltd."/>
    <d v="2025-05-13T12:52:24"/>
    <d v="2025-05-15T12:12:45"/>
    <d v="2025-05-16T00:00:00"/>
    <s v="Ian Trottier"/>
    <s v="CAD"/>
    <n v="1"/>
    <n v="3106.74"/>
    <n v="0"/>
    <n v="2220.6993945758859"/>
    <n v="2749.33"/>
    <n v="357.41"/>
    <n v="3106.74"/>
    <s v="Delivered"/>
    <m/>
    <n v="1"/>
    <n v="5"/>
    <n v="2025"/>
    <n v="7"/>
    <n v="2025"/>
    <n v="0.71480052871366317"/>
    <x v="430"/>
    <d v="2025-05-13T12:52:24"/>
    <x v="511"/>
    <s v="Paid"/>
    <d v="2025-07-02T00:00:00"/>
    <s v="029766"/>
    <x v="109"/>
    <x v="0"/>
    <n v="2749.33"/>
    <n v="1965.2225376083354"/>
    <n v="0.71480052871366317"/>
    <n v="-2749.33"/>
    <n v="0"/>
    <n v="0"/>
    <s v=""/>
    <x v="0"/>
    <x v="0"/>
    <s v="Pend"/>
    <s v="Pend"/>
  </r>
  <r>
    <n v="1"/>
    <s v="SO17165"/>
    <s v="OC00167"/>
    <s v="INV13347"/>
    <s v="Dynapro Pumps México S de RL de CV"/>
    <d v="2025-05-13T13:39:31"/>
    <d v="2025-05-13T13:45:12"/>
    <d v="2025-07-04T00:00:00"/>
    <s v="Yannett Yeomans"/>
    <s v="USD"/>
    <n v="0.71404355329148439"/>
    <n v="17040.97732401601"/>
    <n v="0"/>
    <n v="12168"/>
    <n v="12168"/>
    <m/>
    <n v="12168"/>
    <s v="Delivered"/>
    <m/>
    <n v="1"/>
    <n v="5"/>
    <n v="2025"/>
    <s v=""/>
    <s v=""/>
    <n v="0.71404355329148417"/>
    <x v="431"/>
    <d v="2025-05-13T13:39:31"/>
    <x v="512"/>
    <s v="Approved"/>
    <s v="Pending"/>
    <s v="OC00167"/>
    <x v="54"/>
    <x v="1"/>
    <n v="17040.977324016007"/>
    <n v="12168"/>
    <n v="0.71404355329148439"/>
    <n v="0"/>
    <n v="-12168"/>
    <s v=""/>
    <n v="0"/>
    <x v="1"/>
    <x v="2"/>
    <s v="Pend"/>
    <s v="Pend"/>
  </r>
  <r>
    <n v="2"/>
    <s v="SO17169"/>
    <s v="21599"/>
    <s v="INV13445"/>
    <s v="DRN Industriel"/>
    <d v="2025-05-13T15:40:20"/>
    <d v="2025-05-28T13:01:55"/>
    <d v="2025-08-13T00:00:00"/>
    <s v="Ian Trottier"/>
    <s v="CAD"/>
    <n v="1"/>
    <n v="4559.7299999999996"/>
    <n v="0"/>
    <n v="3299.1313442367841"/>
    <n v="4342.6000000000004"/>
    <n v="217.13"/>
    <n v="4559.7299999999996"/>
    <s v="Delivered"/>
    <m/>
    <n v="2"/>
    <n v="5"/>
    <n v="2025"/>
    <s v=""/>
    <s v=""/>
    <n v="0.72353655682173823"/>
    <x v="432"/>
    <d v="2025-05-13T15:40:20"/>
    <x v="513"/>
    <s v="Not invoiced"/>
    <s v="Pending"/>
    <s v="21599"/>
    <x v="52"/>
    <x v="0"/>
    <n v="4342.6000000000004"/>
    <n v="3142.0298516540806"/>
    <n v="0.72353655682173823"/>
    <n v="0"/>
    <n v="0"/>
    <n v="4342.6000000000004"/>
    <s v=""/>
    <x v="1"/>
    <x v="1"/>
    <n v="0"/>
    <s v="Pend"/>
  </r>
  <r>
    <m/>
    <m/>
    <m/>
    <s v="INV13213"/>
    <m/>
    <m/>
    <m/>
    <m/>
    <m/>
    <m/>
    <m/>
    <m/>
    <m/>
    <m/>
    <m/>
    <m/>
    <m/>
    <m/>
    <m/>
    <n v="2"/>
    <n v="5"/>
    <n v="2025"/>
    <n v="9"/>
    <n v="2025"/>
    <n v="0.72353655682173823"/>
    <x v="432"/>
    <d v="2025-05-13T15:40:20"/>
    <x v="514"/>
    <s v="Paid"/>
    <d v="2025-09-04T00:00:00"/>
    <s v="21599"/>
    <x v="52"/>
    <x v="0"/>
    <n v="0"/>
    <n v="0"/>
    <n v="0"/>
    <n v="-2494.36"/>
    <n v="0"/>
    <n v="-2494.36"/>
    <s v=""/>
    <x v="0"/>
    <x v="1"/>
    <n v="0"/>
    <s v="Pend"/>
  </r>
  <r>
    <n v="1"/>
    <s v="SO17170"/>
    <s v="7133"/>
    <s v="INV12990"/>
    <s v="Hyperflo"/>
    <d v="2025-05-13T15:49:22"/>
    <d v="2025-05-13T15:52:56"/>
    <d v="2025-05-14T00:00:00"/>
    <s v="Ian Trottier"/>
    <s v="CAD"/>
    <n v="1"/>
    <n v="2219.0500000000002"/>
    <n v="0"/>
    <n v="1589.727809070853"/>
    <n v="2113.38"/>
    <n v="105.67"/>
    <n v="2219.0500000000002"/>
    <s v="Delivered"/>
    <m/>
    <n v="1"/>
    <n v="5"/>
    <n v="2025"/>
    <n v="7"/>
    <n v="2025"/>
    <n v="0.71640017533217049"/>
    <x v="433"/>
    <d v="2025-05-13T15:49:22"/>
    <x v="515"/>
    <s v="Paid"/>
    <d v="2025-07-22T00:00:00"/>
    <s v="7133"/>
    <x v="5"/>
    <x v="0"/>
    <n v="2113.38"/>
    <n v="1514.0258025435026"/>
    <n v="0.71640017533217049"/>
    <n v="-2113.38"/>
    <n v="0"/>
    <n v="0"/>
    <s v=""/>
    <x v="0"/>
    <x v="0"/>
    <s v="Pend"/>
    <s v="Pend"/>
  </r>
  <r>
    <n v="2"/>
    <s v="SO17172"/>
    <s v="P359867"/>
    <s v="INV13305"/>
    <s v="Covia Corp - Camden"/>
    <d v="2025-05-13T17:53:23"/>
    <d v="2025-05-13T17:51:19"/>
    <d v="2025-05-30T00:00:00"/>
    <s v="Marlen Martinez"/>
    <s v="USD"/>
    <n v="0.71404355329148439"/>
    <n v="14073.231182717331"/>
    <n v="0"/>
    <n v="10048.9"/>
    <n v="10048.9"/>
    <m/>
    <n v="10048.9"/>
    <s v="Delivered"/>
    <m/>
    <n v="2"/>
    <n v="5"/>
    <n v="2025"/>
    <n v="11"/>
    <n v="2025"/>
    <n v="0.71404355329148417"/>
    <x v="434"/>
    <d v="2025-05-13T17:53:23"/>
    <x v="516"/>
    <s v="Paid"/>
    <d v="2025-11-13T00:00:00"/>
    <s v="P359867"/>
    <x v="31"/>
    <x v="1"/>
    <n v="14073.231182717327"/>
    <n v="10048.9"/>
    <n v="0.71404355329148439"/>
    <n v="0"/>
    <n v="-6756.15"/>
    <s v=""/>
    <n v="3292.75"/>
    <x v="0"/>
    <x v="1"/>
    <n v="0"/>
    <s v="Yes"/>
  </r>
  <r>
    <m/>
    <m/>
    <m/>
    <s v="INV13037"/>
    <m/>
    <m/>
    <m/>
    <m/>
    <m/>
    <m/>
    <m/>
    <m/>
    <m/>
    <m/>
    <m/>
    <m/>
    <m/>
    <m/>
    <m/>
    <n v="2"/>
    <n v="5"/>
    <n v="2025"/>
    <n v="9"/>
    <n v="2025"/>
    <n v="0.71404355329148417"/>
    <x v="434"/>
    <d v="2025-05-13T17:53:23"/>
    <x v="517"/>
    <s v="Paid"/>
    <d v="2025-09-13T00:00:00"/>
    <s v="P359867"/>
    <x v="31"/>
    <x v="1"/>
    <n v="0"/>
    <n v="0"/>
    <n v="0"/>
    <n v="0"/>
    <n v="-4353.6099999999997"/>
    <s v=""/>
    <n v="-4353.6099999999997"/>
    <x v="0"/>
    <x v="1"/>
    <n v="0"/>
    <s v="Yes"/>
  </r>
  <r>
    <n v="1"/>
    <s v="SO17175"/>
    <s v="4500596465"/>
    <s v="INV12998"/>
    <s v="Resolute Forest Products - Saint-Felicien"/>
    <d v="2025-05-14T09:01:14"/>
    <d v="2025-05-15T16:18:29"/>
    <d v="2025-05-16T00:00:00"/>
    <s v="Ian Trottier"/>
    <s v="CAD"/>
    <n v="1"/>
    <n v="7861.24"/>
    <n v="0"/>
    <n v="5619.2185083449986"/>
    <n v="7486.9"/>
    <n v="374.34"/>
    <n v="7861.24"/>
    <s v="Delivered"/>
    <m/>
    <n v="1"/>
    <n v="5"/>
    <n v="2025"/>
    <n v="7"/>
    <n v="2025"/>
    <n v="0.71480052871366329"/>
    <x v="435"/>
    <d v="2025-05-14T09:01:14"/>
    <x v="518"/>
    <s v="Paid"/>
    <d v="2025-07-18T00:00:00"/>
    <s v="4500596465"/>
    <x v="46"/>
    <x v="0"/>
    <n v="7486.9"/>
    <n v="5351.6400784263251"/>
    <n v="0.71480052871366329"/>
    <n v="-7486.9"/>
    <n v="0"/>
    <n v="0"/>
    <s v=""/>
    <x v="0"/>
    <x v="0"/>
    <s v="Pend"/>
    <s v="Pend"/>
  </r>
  <r>
    <n v="1"/>
    <s v="SO17176"/>
    <s v="2100579622"/>
    <s v="INV13006"/>
    <s v="Wajax Limited - Noranda"/>
    <d v="2025-05-14T09:19:37"/>
    <d v="2025-05-23T08:31:03"/>
    <d v="2025-05-26T00:00:00"/>
    <s v="Ian Trottier"/>
    <s v="CAD"/>
    <n v="1"/>
    <n v="338"/>
    <n v="0"/>
    <n v="245.65815936260461"/>
    <n v="321.89999999999998"/>
    <n v="16.100000000000001"/>
    <n v="338"/>
    <s v="Delivered"/>
    <m/>
    <n v="1"/>
    <n v="5"/>
    <n v="2025"/>
    <n v="7"/>
    <n v="2025"/>
    <n v="0.72679928805504324"/>
    <x v="436"/>
    <d v="2025-05-14T09:19:37"/>
    <x v="519"/>
    <s v="Paid"/>
    <d v="2025-07-02T00:00:00"/>
    <s v="2100579622"/>
    <x v="35"/>
    <x v="0"/>
    <n v="321.89999999999998"/>
    <n v="233.95669082491841"/>
    <n v="0.72679928805504324"/>
    <n v="-321.89999999999998"/>
    <n v="0"/>
    <n v="0"/>
    <s v=""/>
    <x v="0"/>
    <x v="0"/>
    <s v="Pend"/>
    <s v="Pend"/>
  </r>
  <r>
    <n v="1"/>
    <s v="SO17180"/>
    <s v="186096"/>
    <s v="INV12992"/>
    <s v="Fabrene Inc."/>
    <d v="2025-05-14T13:43:50"/>
    <d v="2025-05-15T15:10:41"/>
    <d v="2025-05-16T00:00:00"/>
    <s v="Ian Trottier"/>
    <s v="CAD"/>
    <n v="1"/>
    <n v="1039.53"/>
    <n v="0"/>
    <n v="743.05659361371454"/>
    <n v="919.94"/>
    <n v="119.59"/>
    <n v="1039.53"/>
    <s v="Delivered"/>
    <m/>
    <n v="1"/>
    <n v="5"/>
    <n v="2025"/>
    <n v="6"/>
    <n v="2025"/>
    <n v="0.7148005287136634"/>
    <x v="437"/>
    <d v="2025-05-14T13:43:50"/>
    <x v="520"/>
    <s v="Paid"/>
    <d v="2025-06-20T00:00:00"/>
    <s v="186096"/>
    <x v="66"/>
    <x v="0"/>
    <n v="919.94"/>
    <n v="657.57359838484751"/>
    <n v="0.7148005287136634"/>
    <n v="-919.94"/>
    <n v="0"/>
    <n v="0"/>
    <s v=""/>
    <x v="0"/>
    <x v="0"/>
    <s v="Pend"/>
    <s v="Pend"/>
  </r>
  <r>
    <n v="1"/>
    <s v="SO17190"/>
    <s v="4511902588"/>
    <s v="INV13014"/>
    <s v="PT Vale Indonesia Tbk."/>
    <d v="2025-05-15T08:26:12"/>
    <d v="2025-05-15T08:27:23"/>
    <d v="2025-05-16T00:00:00"/>
    <s v="Ian Trottier"/>
    <s v="USD"/>
    <n v="0.71604059670124165"/>
    <n v="507.5829522437603"/>
    <n v="0"/>
    <n v="363.45"/>
    <n v="363.45"/>
    <m/>
    <n v="363.45"/>
    <s v="Delivered"/>
    <m/>
    <n v="1"/>
    <n v="5"/>
    <n v="2025"/>
    <n v="7"/>
    <n v="2025"/>
    <n v="0.71604059670124165"/>
    <x v="438"/>
    <d v="2025-05-15T08:26:12"/>
    <x v="521"/>
    <s v="Paid"/>
    <d v="2025-07-21T00:00:00"/>
    <s v="4511902588"/>
    <x v="42"/>
    <x v="1"/>
    <n v="507.5829522437603"/>
    <n v="363.45"/>
    <n v="0.71604059670124165"/>
    <n v="0"/>
    <n v="-363.45"/>
    <s v=""/>
    <n v="0"/>
    <x v="0"/>
    <x v="0"/>
    <s v="Pend"/>
    <s v="Pend"/>
  </r>
  <r>
    <n v="1"/>
    <s v="SO17191"/>
    <s v="SUD1006011"/>
    <s v="INV12994"/>
    <s v="Process and Steam Specialties, Process and Steam Specialties"/>
    <d v="2025-05-15T14:53:28"/>
    <d v="2025-05-15T15:05:25"/>
    <d v="2025-05-16T00:00:00"/>
    <s v="Ian Trottier"/>
    <s v="CAD"/>
    <n v="1"/>
    <n v="1952.11"/>
    <n v="0"/>
    <n v="1395.3692601072289"/>
    <n v="1859.15"/>
    <n v="92.96"/>
    <n v="1952.11"/>
    <s v="Delivered"/>
    <m/>
    <n v="1"/>
    <n v="5"/>
    <n v="2025"/>
    <n v="6"/>
    <n v="2025"/>
    <n v="0.71480052871366317"/>
    <x v="439"/>
    <d v="2025-05-15T14:53:28"/>
    <x v="522"/>
    <s v="Paid"/>
    <d v="2025-06-20T00:00:00"/>
    <s v="SUD1006011"/>
    <x v="39"/>
    <x v="0"/>
    <n v="1859.15"/>
    <n v="1328.9214029580069"/>
    <n v="0.71480052871366317"/>
    <n v="-1859.15"/>
    <n v="0"/>
    <n v="0"/>
    <s v=""/>
    <x v="0"/>
    <x v="0"/>
    <s v="Pend"/>
    <s v="Pend"/>
  </r>
  <r>
    <n v="1"/>
    <s v="SO17193"/>
    <s v="OC00168"/>
    <s v="INV13205"/>
    <s v="Dynapro Pumps México S de RL de CV"/>
    <d v="2025-05-15T18:34:14"/>
    <d v="2025-05-15T18:33:33"/>
    <d v="2025-06-06T00:00:00"/>
    <s v="Yannett Yeomans"/>
    <s v="USD"/>
    <n v="0.71604059670124165"/>
    <n v="670.35305290137558"/>
    <n v="0"/>
    <n v="480"/>
    <n v="480"/>
    <m/>
    <n v="480"/>
    <s v="Delivered"/>
    <m/>
    <n v="1"/>
    <n v="5"/>
    <n v="2025"/>
    <s v=""/>
    <s v=""/>
    <n v="0.71604059670124165"/>
    <x v="440"/>
    <d v="2025-05-15T18:34:14"/>
    <x v="523"/>
    <s v="Approved"/>
    <s v="Pending"/>
    <s v="OC00168"/>
    <x v="54"/>
    <x v="1"/>
    <n v="670.35305290137558"/>
    <n v="480"/>
    <n v="0.71604059670124165"/>
    <n v="0"/>
    <n v="-480"/>
    <s v=""/>
    <n v="0"/>
    <x v="1"/>
    <x v="2"/>
    <s v="Pend"/>
    <s v="Pend"/>
  </r>
  <r>
    <n v="1"/>
    <s v="SO17194"/>
    <s v="PO-0020292"/>
    <s v="INV13000"/>
    <s v="MAB Equipment Company Inc."/>
    <d v="2025-05-16T11:56:08"/>
    <d v="2025-05-21T16:37:13"/>
    <d v="2025-05-22T00:00:00"/>
    <s v="Ian Trottier"/>
    <s v="USD"/>
    <n v="0.7168814564314101"/>
    <n v="3330.6761928057358"/>
    <n v="0"/>
    <n v="2387.6999999999998"/>
    <n v="2387.6999999999998"/>
    <m/>
    <n v="2387.6999999999998"/>
    <s v="Delivered"/>
    <m/>
    <n v="1"/>
    <n v="5"/>
    <n v="2025"/>
    <n v="9"/>
    <n v="2025"/>
    <n v="0.7168814564314101"/>
    <x v="441"/>
    <d v="2025-05-16T11:56:08"/>
    <x v="524"/>
    <s v="Paid"/>
    <d v="2025-09-13T00:00:00"/>
    <s v="PO-0020292"/>
    <x v="67"/>
    <x v="1"/>
    <n v="3330.6761928057358"/>
    <n v="2387.6999999999998"/>
    <n v="0.7168814564314101"/>
    <n v="0"/>
    <n v="-2387.6999999999998"/>
    <s v=""/>
    <n v="0"/>
    <x v="0"/>
    <x v="0"/>
    <s v="Pend"/>
    <s v="Pend"/>
  </r>
  <r>
    <n v="1"/>
    <s v="SO17197"/>
    <s v="P359876"/>
    <s v="INV13033"/>
    <s v="Covia Corp - Junction City"/>
    <d v="2025-05-20T09:04:25"/>
    <d v="2025-05-27T13:21:42"/>
    <d v="2025-05-29T00:00:00"/>
    <s v="Marlen Martinez"/>
    <s v="USD"/>
    <n v="0.72825076867173777"/>
    <n v="14434.73931263144"/>
    <n v="0"/>
    <n v="10512.11"/>
    <n v="10512.11"/>
    <m/>
    <n v="10512.11"/>
    <s v="Delivered"/>
    <m/>
    <n v="1"/>
    <n v="5"/>
    <n v="2025"/>
    <n v="9"/>
    <n v="2025"/>
    <n v="0.72825076867173799"/>
    <x v="442"/>
    <d v="2025-05-20T09:04:25"/>
    <x v="525"/>
    <s v="Paid"/>
    <d v="2025-09-13T00:00:00"/>
    <s v="P359876"/>
    <x v="6"/>
    <x v="1"/>
    <n v="14434.739312631444"/>
    <n v="10512.11"/>
    <n v="0.72825076867173777"/>
    <n v="0"/>
    <n v="-10512.11"/>
    <s v=""/>
    <n v="0"/>
    <x v="0"/>
    <x v="0"/>
    <s v="Pend"/>
    <s v="Pend"/>
  </r>
  <r>
    <n v="1"/>
    <s v="SO17199"/>
    <s v="054561-00 - Paid in full on June 3rd"/>
    <s v="INV13073"/>
    <s v="F H Pumps, Inc., F H Pumps, Inc"/>
    <d v="2025-05-20T11:33:51"/>
    <d v="2025-05-30T11:33:51"/>
    <d v="2025-06-24T00:00:00"/>
    <s v="Ian Trottier"/>
    <s v="USD"/>
    <n v="0.72409668123959414"/>
    <n v="2858.5271188601309"/>
    <n v="0"/>
    <n v="2069.85"/>
    <n v="2069.85"/>
    <m/>
    <n v="2069.85"/>
    <s v="Delivered"/>
    <m/>
    <n v="1"/>
    <n v="5"/>
    <n v="2025"/>
    <n v="6"/>
    <n v="2025"/>
    <n v="0.72409668123959425"/>
    <x v="443"/>
    <d v="2025-05-20T11:33:51"/>
    <x v="526"/>
    <s v="Paid"/>
    <d v="2025-06-10T00:00:00"/>
    <s v="054561-00 - Paid in full on June 3rd"/>
    <x v="110"/>
    <x v="1"/>
    <n v="2858.5271188601314"/>
    <n v="2069.85"/>
    <n v="0.72409668123959414"/>
    <n v="0"/>
    <n v="-2069.85"/>
    <s v=""/>
    <n v="0"/>
    <x v="0"/>
    <x v="0"/>
    <s v="Pend"/>
    <s v="Pend"/>
  </r>
  <r>
    <n v="1"/>
    <s v="SO17200"/>
    <s v="P-05252647"/>
    <s v="INV13160"/>
    <s v="Industrial Pump Repair Canada"/>
    <d v="2025-05-20T12:36:43"/>
    <d v="2025-05-21T15:26:54"/>
    <d v="2025-08-06T00:00:00"/>
    <s v="Ian Trottier"/>
    <s v="CAD"/>
    <n v="1"/>
    <n v="8768.5499999999993"/>
    <n v="0"/>
    <n v="6342.789105492031"/>
    <n v="7759.78"/>
    <n v="1008.77"/>
    <n v="8768.5499999999993"/>
    <s v="Delivered"/>
    <m/>
    <n v="1"/>
    <n v="5"/>
    <n v="2025"/>
    <n v="8"/>
    <n v="2025"/>
    <n v="0.72335666735002158"/>
    <x v="444"/>
    <d v="2025-05-20T12:36:43"/>
    <x v="527"/>
    <s v="Paid"/>
    <d v="2025-08-25T00:00:00"/>
    <s v="P-05252647"/>
    <x v="102"/>
    <x v="0"/>
    <n v="7759.78"/>
    <n v="5613.0886001693507"/>
    <n v="0.72335666735002169"/>
    <n v="-7759.78"/>
    <n v="0"/>
    <n v="0"/>
    <s v=""/>
    <x v="0"/>
    <x v="0"/>
    <s v="Pend"/>
    <s v="Pend"/>
  </r>
  <r>
    <n v="4"/>
    <s v="SO17201"/>
    <s v="4501202872"/>
    <s v="INV13742"/>
    <s v="Barrick Gold - Pueblo Viejo Dominicana Corporation"/>
    <d v="2025-05-20T13:49:00"/>
    <d v="2025-06-03T14:37:44"/>
    <d v="2025-11-10T00:00:00"/>
    <s v="Wilka Nuñez"/>
    <s v="USD"/>
    <n v="0.72982219017840411"/>
    <n v="112468.2711825125"/>
    <n v="0"/>
    <n v="82081.84"/>
    <n v="82081.84"/>
    <m/>
    <n v="82081.84"/>
    <s v="Delivered"/>
    <m/>
    <n v="4"/>
    <n v="5"/>
    <n v="2025"/>
    <s v=""/>
    <s v=""/>
    <n v="0.72982219017840444"/>
    <x v="445"/>
    <d v="2025-05-20T13:49:00"/>
    <x v="528"/>
    <s v="Approved"/>
    <s v="Pending"/>
    <s v="4501202872"/>
    <x v="15"/>
    <x v="1"/>
    <n v="112468.27118251254"/>
    <n v="82081.84"/>
    <n v="0.72982219017840411"/>
    <n v="0"/>
    <n v="0"/>
    <s v=""/>
    <n v="82081.84"/>
    <x v="1"/>
    <x v="1"/>
    <n v="0"/>
    <s v="Pend"/>
  </r>
  <r>
    <m/>
    <m/>
    <m/>
    <s v="INV13250"/>
    <m/>
    <m/>
    <m/>
    <m/>
    <m/>
    <m/>
    <m/>
    <m/>
    <m/>
    <m/>
    <m/>
    <m/>
    <m/>
    <m/>
    <m/>
    <n v="4"/>
    <n v="5"/>
    <n v="2025"/>
    <n v="9"/>
    <n v="2025"/>
    <n v="0.72982219017840444"/>
    <x v="445"/>
    <d v="2025-05-20T13:49:00"/>
    <x v="529"/>
    <s v="Paid"/>
    <d v="2025-09-26T00:00:00"/>
    <s v="4501202872"/>
    <x v="15"/>
    <x v="1"/>
    <n v="0"/>
    <n v="0"/>
    <n v="0"/>
    <n v="0"/>
    <n v="-4378.96"/>
    <s v=""/>
    <n v="-4378.96"/>
    <x v="0"/>
    <x v="1"/>
    <n v="0"/>
    <s v="Pend"/>
  </r>
  <r>
    <m/>
    <m/>
    <m/>
    <s v="INV13476"/>
    <m/>
    <m/>
    <m/>
    <m/>
    <m/>
    <m/>
    <m/>
    <m/>
    <m/>
    <m/>
    <m/>
    <m/>
    <m/>
    <m/>
    <m/>
    <n v="4"/>
    <n v="5"/>
    <n v="2025"/>
    <n v="11"/>
    <n v="2025"/>
    <n v="0.72982219017840444"/>
    <x v="445"/>
    <d v="2025-05-20T13:49:00"/>
    <x v="530"/>
    <s v="Paid"/>
    <d v="2025-11-14T00:00:00"/>
    <s v="4501202872"/>
    <x v="15"/>
    <x v="1"/>
    <n v="0"/>
    <n v="0"/>
    <n v="0"/>
    <n v="0"/>
    <n v="-2474.6999999999998"/>
    <s v=""/>
    <n v="-2474.6999999999998"/>
    <x v="0"/>
    <x v="1"/>
    <n v="0"/>
    <s v="Pend"/>
  </r>
  <r>
    <m/>
    <m/>
    <m/>
    <s v="INV13644"/>
    <m/>
    <m/>
    <m/>
    <m/>
    <m/>
    <m/>
    <m/>
    <m/>
    <m/>
    <m/>
    <m/>
    <m/>
    <m/>
    <m/>
    <m/>
    <n v="4"/>
    <n v="5"/>
    <n v="2025"/>
    <n v="12"/>
    <n v="2025"/>
    <n v="0.72982219017840444"/>
    <x v="445"/>
    <d v="2025-05-20T13:49:00"/>
    <x v="531"/>
    <s v="Paid"/>
    <d v="2025-12-04T00:00:00"/>
    <s v="4501202872"/>
    <x v="15"/>
    <x v="1"/>
    <n v="0"/>
    <n v="0"/>
    <n v="0"/>
    <n v="0"/>
    <n v="-66770.66"/>
    <s v=""/>
    <n v="-66770.66"/>
    <x v="0"/>
    <x v="1"/>
    <n v="0"/>
    <s v="Pend"/>
  </r>
  <r>
    <n v="1"/>
    <s v="SO17202"/>
    <s v="11888"/>
    <s v="INV13002"/>
    <s v="Les Pompes Diaspec Inc."/>
    <d v="2025-05-20T13:57:31"/>
    <d v="2025-05-23T08:56:54"/>
    <d v="2025-05-21T00:00:00"/>
    <s v="Ian Trottier"/>
    <s v="CAD"/>
    <n v="1"/>
    <n v="2214.0300000000002"/>
    <n v="0"/>
    <n v="1609.155427732507"/>
    <n v="2110.85"/>
    <n v="103.18"/>
    <n v="2214.0300000000002"/>
    <s v="Delivered"/>
    <m/>
    <n v="1"/>
    <n v="5"/>
    <n v="2025"/>
    <n v="6"/>
    <n v="2025"/>
    <n v="0.72679928805504301"/>
    <x v="446"/>
    <d v="2025-05-20T13:57:31"/>
    <x v="532"/>
    <s v="Paid"/>
    <d v="2025-06-18T00:00:00"/>
    <s v="11888"/>
    <x v="16"/>
    <x v="0"/>
    <n v="2110.85"/>
    <n v="1534.1642771909874"/>
    <n v="0.72679928805504301"/>
    <n v="-2108.6"/>
    <n v="0"/>
    <n v="2.25"/>
    <s v=""/>
    <x v="0"/>
    <x v="0"/>
    <s v="Pend"/>
    <s v="Pend"/>
  </r>
  <r>
    <n v="1"/>
    <s v="SO17205"/>
    <s v="QC10-00126625"/>
    <s v="INV13047"/>
    <s v="Motion Industries Inc. (Canada) - Chicoutimi, Motion Industries Inc. (Canada) - Chicoutimi"/>
    <d v="2025-05-20T15:52:23"/>
    <d v="2025-05-28T10:25:17"/>
    <d v="2025-05-29T00:00:00"/>
    <s v="Ian Trottier"/>
    <s v="CAD"/>
    <n v="1"/>
    <n v="161.09"/>
    <n v="0"/>
    <n v="116.5545039384138"/>
    <n v="153.41999999999999"/>
    <n v="7.67"/>
    <n v="161.09"/>
    <s v="Delivered"/>
    <m/>
    <n v="1"/>
    <n v="5"/>
    <n v="2025"/>
    <n v="7"/>
    <n v="2025"/>
    <n v="0.72353655682173812"/>
    <x v="447"/>
    <d v="2025-05-20T15:52:23"/>
    <x v="533"/>
    <s v="Paid"/>
    <d v="2025-07-02T00:00:00"/>
    <s v="QC10-00126625"/>
    <x v="89"/>
    <x v="0"/>
    <n v="153.41999999999999"/>
    <n v="111.00497854759105"/>
    <n v="0.72353655682173812"/>
    <n v="-153.41999999999999"/>
    <n v="0"/>
    <n v="0"/>
    <s v=""/>
    <x v="0"/>
    <x v="0"/>
    <s v="Pend"/>
    <s v="Pend"/>
  </r>
  <r>
    <n v="1"/>
    <s v="SO17207"/>
    <s v="4501193354"/>
    <s v="INV13069"/>
    <s v="Barrick Gold - Pueblo Viejo Dominicana Corporation"/>
    <d v="2025-05-21T08:28:15"/>
    <d v="2025-05-21T08:55:57"/>
    <d v="2025-06-13T00:00:00"/>
    <s v="Wilka Nuñez"/>
    <s v="USD"/>
    <n v="0.7168814564314101"/>
    <n v="1350.878853556532"/>
    <n v="0"/>
    <n v="968.42"/>
    <n v="968.42"/>
    <m/>
    <n v="968.42"/>
    <s v="Delivered"/>
    <m/>
    <n v="1"/>
    <n v="5"/>
    <n v="2025"/>
    <n v="8"/>
    <n v="2025"/>
    <n v="0.71688145643140988"/>
    <x v="448"/>
    <d v="2025-05-21T08:28:15"/>
    <x v="534"/>
    <s v="Paid"/>
    <d v="2025-08-01T00:00:00"/>
    <s v="4501193354"/>
    <x v="15"/>
    <x v="1"/>
    <n v="1350.8788535565316"/>
    <n v="968.42"/>
    <n v="0.7168814564314101"/>
    <n v="0"/>
    <n v="-968.42"/>
    <s v=""/>
    <n v="0"/>
    <x v="0"/>
    <x v="0"/>
    <s v="Pend"/>
    <s v="Pend"/>
  </r>
  <r>
    <n v="1"/>
    <s v="SO17209"/>
    <s v="OC00169"/>
    <s v="INV13322"/>
    <s v="Dynapro Pumps México S de RL de CV"/>
    <d v="2025-05-21T15:12:28"/>
    <d v="2025-05-21T15:12:28"/>
    <d v="2024-08-30T00:00:00"/>
    <s v="Yannett Yeomans"/>
    <s v="USD"/>
    <n v="0.7168814564314101"/>
    <n v="22413.747567115872"/>
    <n v="0"/>
    <n v="16068"/>
    <n v="16068"/>
    <m/>
    <n v="16068"/>
    <s v="Delivered"/>
    <m/>
    <n v="1"/>
    <n v="5"/>
    <n v="2025"/>
    <s v=""/>
    <s v=""/>
    <n v="0.7168814564314101"/>
    <x v="449"/>
    <d v="2025-05-21T15:12:28"/>
    <x v="535"/>
    <s v="Approved"/>
    <s v="Pending"/>
    <s v="OC00169"/>
    <x v="54"/>
    <x v="1"/>
    <n v="22413.747567115872"/>
    <n v="16068"/>
    <n v="0.7168814564314101"/>
    <n v="0"/>
    <n v="-16068"/>
    <s v=""/>
    <n v="0"/>
    <x v="1"/>
    <x v="2"/>
    <s v="Pend"/>
    <s v="Pend"/>
  </r>
  <r>
    <n v="1"/>
    <s v="SO17210"/>
    <s v="L65270-DS"/>
    <s v="INV13005"/>
    <s v="Wild Rows Pump &amp; Compression LTD."/>
    <d v="2025-05-21T15:28:35"/>
    <d v="2025-05-22T11:15:39"/>
    <d v="2025-05-23T00:00:00"/>
    <s v="Taylor Cook"/>
    <s v="CAD"/>
    <n v="1"/>
    <n v="200.08"/>
    <n v="0"/>
    <n v="144.37987630494791"/>
    <n v="190.55"/>
    <n v="9.5299999999999994"/>
    <n v="200.08"/>
    <s v="Delivered"/>
    <m/>
    <n v="1"/>
    <n v="5"/>
    <n v="2025"/>
    <n v="6"/>
    <n v="2025"/>
    <n v="0.72161073722984759"/>
    <x v="450"/>
    <d v="2025-05-21T15:28:35"/>
    <x v="536"/>
    <s v="Paid"/>
    <d v="2025-06-25T00:00:00"/>
    <s v="L65270-DS"/>
    <x v="13"/>
    <x v="0"/>
    <n v="190.55"/>
    <n v="137.50292597914748"/>
    <n v="0.7216107372298477"/>
    <n v="-190.55"/>
    <n v="0"/>
    <n v="0"/>
    <s v=""/>
    <x v="0"/>
    <x v="0"/>
    <s v="Pend"/>
    <s v="Pend"/>
  </r>
  <r>
    <n v="0"/>
    <s v="SO17211"/>
    <s v="4500141767"/>
    <m/>
    <s v="Agnico Eagle Mines Ltd. - Cochrane"/>
    <d v="2025-05-21T16:16:26"/>
    <d v="2025-12-08T18:44:12"/>
    <d v="2026-01-12T00:00:00"/>
    <s v="Ian Trottier"/>
    <s v="CAD"/>
    <n v="1"/>
    <n v="10137.280000000001"/>
    <n v="10137.280000000001"/>
    <n v="10137.280000000001"/>
    <n v="8971.0400000000009"/>
    <n v="1166.24"/>
    <n v="10137.280000000001"/>
    <s v="Processing"/>
    <m/>
    <n v="0"/>
    <n v="5"/>
    <n v="2025"/>
    <s v=""/>
    <s v=""/>
    <n v="1"/>
    <x v="451"/>
    <d v="2025-05-21T16:16:26"/>
    <x v="54"/>
    <s v="Not invoiced"/>
    <s v="Pending"/>
    <s v="4500141767"/>
    <x v="111"/>
    <x v="0"/>
    <n v="8971.0400000000009"/>
    <n v="6476.420064104821"/>
    <n v="0.72192522428891415"/>
    <n v="0"/>
    <n v="0"/>
    <n v="8971.0400000000009"/>
    <s v=""/>
    <x v="1"/>
    <x v="2"/>
    <s v="Pend"/>
    <s v="Pend"/>
  </r>
  <r>
    <n v="1"/>
    <s v="SO17212"/>
    <s v="4500891930"/>
    <s v="INV13055"/>
    <s v="Cameco Corporation - Blind River Refinery"/>
    <d v="2025-05-21T16:57:27"/>
    <d v="2025-05-23T08:59:43"/>
    <d v="2025-06-20T00:00:00"/>
    <s v="Ian Trottier"/>
    <s v="CAD"/>
    <n v="1"/>
    <n v="33432.959999999999"/>
    <n v="0"/>
    <n v="24299.05152557273"/>
    <n v="29586.69"/>
    <n v="3846.27"/>
    <n v="33432.959999999999"/>
    <s v="Delivered"/>
    <m/>
    <n v="1"/>
    <n v="5"/>
    <n v="2025"/>
    <n v="7"/>
    <n v="2025"/>
    <n v="0.72679928805504301"/>
    <x v="452"/>
    <d v="2025-05-21T16:57:27"/>
    <x v="537"/>
    <s v="Paid"/>
    <d v="2025-07-04T00:00:00"/>
    <s v="4500891930"/>
    <x v="92"/>
    <x v="0"/>
    <n v="29586.69"/>
    <n v="21503.58522790526"/>
    <n v="0.72679928805504301"/>
    <n v="-29586.69"/>
    <n v="0"/>
    <n v="0"/>
    <s v=""/>
    <x v="0"/>
    <x v="0"/>
    <s v="Pend"/>
    <s v="Pend"/>
  </r>
  <r>
    <n v="3"/>
    <s v="SO17214"/>
    <s v="PO-007990"/>
    <s v="INV13020"/>
    <s v="Sling-Choker Manufacturing - Timmins"/>
    <d v="2025-05-21T17:12:11"/>
    <d v="2025-05-22T12:37:23"/>
    <d v="2025-08-28T00:00:00"/>
    <s v="Ian Trottier"/>
    <s v="CAD"/>
    <n v="1"/>
    <n v="7310.09"/>
    <n v="0"/>
    <n v="5275.0394341165338"/>
    <n v="6469.1"/>
    <n v="840.99"/>
    <n v="7310.09"/>
    <s v="Delivered"/>
    <m/>
    <n v="3"/>
    <n v="5"/>
    <n v="2025"/>
    <n v="6"/>
    <n v="2025"/>
    <n v="0.72161073722984714"/>
    <x v="453"/>
    <d v="2025-05-21T17:12:11"/>
    <x v="538"/>
    <s v="Paid"/>
    <d v="2025-06-25T00:00:00"/>
    <s v="PO-007990"/>
    <x v="3"/>
    <x v="0"/>
    <n v="6469.1"/>
    <n v="4668.1720202136048"/>
    <n v="0.72161073722984725"/>
    <n v="-2005.52"/>
    <n v="0"/>
    <n v="4463.58"/>
    <s v=""/>
    <x v="0"/>
    <x v="1"/>
    <s v="Yes"/>
    <s v="Pend"/>
  </r>
  <r>
    <m/>
    <m/>
    <m/>
    <s v="INV13163"/>
    <m/>
    <m/>
    <m/>
    <m/>
    <m/>
    <m/>
    <m/>
    <m/>
    <m/>
    <m/>
    <m/>
    <m/>
    <m/>
    <m/>
    <m/>
    <n v="3"/>
    <n v="5"/>
    <n v="2025"/>
    <n v="8"/>
    <n v="2025"/>
    <n v="0.72161073722984714"/>
    <x v="453"/>
    <d v="2025-05-21T17:12:11"/>
    <x v="539"/>
    <s v="Paid"/>
    <d v="2025-08-06T00:00:00"/>
    <s v="PO-007990"/>
    <x v="3"/>
    <x v="0"/>
    <n v="0"/>
    <n v="0"/>
    <n v="0"/>
    <n v="-1214.6099999999999"/>
    <n v="0"/>
    <n v="-1214.6099999999999"/>
    <s v=""/>
    <x v="0"/>
    <x v="1"/>
    <s v="Yes"/>
    <s v="Pend"/>
  </r>
  <r>
    <m/>
    <m/>
    <m/>
    <s v="INV13388"/>
    <m/>
    <m/>
    <m/>
    <m/>
    <m/>
    <m/>
    <m/>
    <m/>
    <m/>
    <m/>
    <m/>
    <m/>
    <m/>
    <m/>
    <m/>
    <n v="3"/>
    <n v="5"/>
    <n v="2025"/>
    <n v="10"/>
    <n v="2025"/>
    <n v="0.72161073722984714"/>
    <x v="453"/>
    <d v="2025-05-21T17:12:11"/>
    <x v="540"/>
    <s v="Paid"/>
    <d v="2025-10-08T00:00:00"/>
    <s v="PO-007990"/>
    <x v="3"/>
    <x v="0"/>
    <n v="0"/>
    <n v="0"/>
    <n v="0"/>
    <n v="-3248.97"/>
    <n v="0"/>
    <n v="-3248.97"/>
    <s v=""/>
    <x v="0"/>
    <x v="1"/>
    <s v="Yes"/>
    <s v="Pend"/>
  </r>
  <r>
    <n v="1"/>
    <s v="SO17216"/>
    <s v="4500597713"/>
    <s v="INV13040"/>
    <s v="Resolute Forest Products - Saint-Felicien"/>
    <d v="2025-05-22T09:25:33"/>
    <d v="2025-05-28T15:36:09"/>
    <d v="2025-08-29T00:00:00"/>
    <s v="Ian Trottier"/>
    <s v="CAD"/>
    <n v="1"/>
    <n v="2313.13"/>
    <n v="0"/>
    <n v="1673.634115681067"/>
    <n v="2202.98"/>
    <n v="110.15"/>
    <n v="2313.13"/>
    <s v="Delivered"/>
    <m/>
    <n v="1"/>
    <n v="5"/>
    <n v="2025"/>
    <n v="7"/>
    <n v="2025"/>
    <n v="0.72353655682173801"/>
    <x v="454"/>
    <d v="2025-05-22T09:25:33"/>
    <x v="541"/>
    <s v="Paid"/>
    <d v="2025-07-29T00:00:00"/>
    <s v="4500597713"/>
    <x v="46"/>
    <x v="0"/>
    <n v="2202.98"/>
    <n v="1593.9365639471523"/>
    <n v="0.72353655682173801"/>
    <n v="-2202.98"/>
    <n v="0"/>
    <n v="0"/>
    <s v=""/>
    <x v="0"/>
    <x v="0"/>
    <s v="Pend"/>
    <s v="Pend"/>
  </r>
  <r>
    <n v="1"/>
    <s v="SO17218"/>
    <s v="PO-40-1015625"/>
    <s v="INV13118"/>
    <s v="Canadian Bearings Ltd., Canadian Bearings Ltd. - Quebec City"/>
    <d v="2025-05-22T14:24:23"/>
    <d v="2025-05-28T16:39:44"/>
    <d v="2025-08-13T00:00:00"/>
    <s v="Ian Trottier"/>
    <s v="CAD"/>
    <n v="1"/>
    <n v="6231.59"/>
    <n v="0"/>
    <n v="4508.7831721247758"/>
    <n v="5934.85"/>
    <n v="296.74"/>
    <n v="6231.59"/>
    <s v="Delivered"/>
    <m/>
    <n v="1"/>
    <n v="5"/>
    <n v="2025"/>
    <n v="7"/>
    <n v="2025"/>
    <n v="0.72353655682173823"/>
    <x v="455"/>
    <d v="2025-05-22T14:24:23"/>
    <x v="542"/>
    <s v="Paid"/>
    <d v="2025-07-30T00:00:00"/>
    <s v="PO-40-1015625"/>
    <x v="59"/>
    <x v="0"/>
    <n v="5934.85"/>
    <n v="4294.0809342534931"/>
    <n v="0.72353655682173812"/>
    <n v="-5934.85"/>
    <n v="0"/>
    <n v="0"/>
    <s v=""/>
    <x v="0"/>
    <x v="0"/>
    <s v="Pend"/>
    <s v="Pend"/>
  </r>
  <r>
    <n v="1"/>
    <s v="SO17219"/>
    <s v="2112"/>
    <s v="INV13024"/>
    <s v="FMI Products"/>
    <d v="2025-05-22T14:36:45"/>
    <d v="2025-05-23T14:31:17"/>
    <d v="2025-05-26T00:00:00"/>
    <s v="Taylor Cook"/>
    <s v="CAD"/>
    <n v="1"/>
    <n v="166.72"/>
    <n v="0"/>
    <n v="121.1719773045368"/>
    <n v="158.78"/>
    <n v="7.94"/>
    <n v="166.72"/>
    <s v="Delivered"/>
    <m/>
    <n v="1"/>
    <n v="5"/>
    <n v="2025"/>
    <n v="6"/>
    <n v="2025"/>
    <n v="0.72679928805504312"/>
    <x v="456"/>
    <d v="2025-05-22T14:36:45"/>
    <x v="543"/>
    <s v="Paid"/>
    <d v="2025-06-26T00:00:00"/>
    <s v="2112"/>
    <x v="18"/>
    <x v="0"/>
    <n v="158.78"/>
    <n v="115.40119095737975"/>
    <n v="0.72679928805504312"/>
    <n v="-158.78"/>
    <n v="0"/>
    <n v="0"/>
    <s v=""/>
    <x v="0"/>
    <x v="0"/>
    <s v="Pend"/>
    <s v="Pend"/>
  </r>
  <r>
    <n v="1"/>
    <s v="SO17220"/>
    <s v="4501195681"/>
    <s v="INV13070"/>
    <s v="Barrick Gold - Pueblo Viejo Dominicana Corporation"/>
    <d v="2025-05-22T15:32:02"/>
    <d v="2025-05-23T09:47:38"/>
    <d v="2025-06-13T00:00:00"/>
    <s v="Wilka Nuñez"/>
    <s v="USD"/>
    <n v="0.72335666735002158"/>
    <n v="3563.166161780624"/>
    <n v="0"/>
    <n v="2577.44"/>
    <n v="2577.44"/>
    <m/>
    <n v="2577.44"/>
    <s v="Delivered"/>
    <m/>
    <n v="1"/>
    <n v="5"/>
    <n v="2025"/>
    <n v="7"/>
    <n v="2025"/>
    <n v="0.72335666735002158"/>
    <x v="457"/>
    <d v="2025-05-22T15:32:02"/>
    <x v="544"/>
    <s v="Paid"/>
    <d v="2025-07-11T00:00:00"/>
    <s v="4501195681"/>
    <x v="15"/>
    <x v="1"/>
    <n v="3563.166161780624"/>
    <n v="2577.44"/>
    <n v="0.72335666735002158"/>
    <n v="0"/>
    <n v="-2577.44"/>
    <s v=""/>
    <n v="0"/>
    <x v="0"/>
    <x v="0"/>
    <s v="Pend"/>
    <s v="Pend"/>
  </r>
  <r>
    <n v="1"/>
    <s v="SO17221"/>
    <s v="4511929374"/>
    <s v="INV13013"/>
    <s v="PT Vale Indonesia Tbk."/>
    <d v="2025-05-23T07:54:59"/>
    <d v="2025-05-23T07:57:46"/>
    <d v="2025-05-26T00:00:00"/>
    <s v="Ian Trottier"/>
    <s v="USD"/>
    <n v="0.72335666735002158"/>
    <n v="3548.636676570371"/>
    <n v="0"/>
    <n v="2566.9299999999998"/>
    <n v="2566.9299999999998"/>
    <m/>
    <n v="2566.9299999999998"/>
    <s v="Delivered"/>
    <m/>
    <n v="1"/>
    <n v="5"/>
    <n v="2025"/>
    <n v="7"/>
    <n v="2025"/>
    <n v="0.72335666735002158"/>
    <x v="458"/>
    <d v="2025-05-23T07:54:59"/>
    <x v="545"/>
    <s v="Paid"/>
    <d v="2025-07-21T00:00:00"/>
    <s v="4511929374"/>
    <x v="42"/>
    <x v="1"/>
    <n v="3548.636676570371"/>
    <n v="2566.9299999999998"/>
    <n v="0.72335666735002158"/>
    <n v="0"/>
    <n v="-2566.9299999999998"/>
    <s v=""/>
    <n v="0"/>
    <x v="0"/>
    <x v="0"/>
    <s v="Pend"/>
    <s v="Pend"/>
  </r>
  <r>
    <n v="1"/>
    <s v="SO17222"/>
    <s v="4511929371"/>
    <s v="INV13012"/>
    <s v="PT Vale Indonesia Tbk."/>
    <d v="2025-05-23T08:06:46"/>
    <d v="2025-05-23T08:11:52"/>
    <d v="2025-05-26T00:00:00"/>
    <s v="Ian Trottier"/>
    <s v="USD"/>
    <n v="0.72335666735002158"/>
    <n v="2706.700702950176"/>
    <n v="0"/>
    <n v="1957.91"/>
    <n v="1957.91"/>
    <m/>
    <n v="1957.91"/>
    <s v="Delivered"/>
    <m/>
    <n v="1"/>
    <n v="5"/>
    <n v="2025"/>
    <n v="7"/>
    <n v="2025"/>
    <n v="0.72335666735002158"/>
    <x v="459"/>
    <d v="2025-05-23T08:06:46"/>
    <x v="546"/>
    <s v="Paid"/>
    <d v="2025-07-21T00:00:00"/>
    <s v="4511929371"/>
    <x v="42"/>
    <x v="1"/>
    <n v="2706.700702950176"/>
    <n v="1957.91"/>
    <n v="0.72335666735002158"/>
    <n v="0"/>
    <n v="-1957.91"/>
    <s v=""/>
    <n v="0"/>
    <x v="0"/>
    <x v="0"/>
    <s v="Pend"/>
    <s v="Pend"/>
  </r>
  <r>
    <n v="1"/>
    <s v="SO17223"/>
    <s v="4511929372"/>
    <s v="INV13011"/>
    <s v="PT Vale Indonesia Tbk."/>
    <d v="2025-05-23T08:23:53"/>
    <d v="2025-05-23T08:26:29"/>
    <d v="2025-05-26T00:00:00"/>
    <s v="Ian Trottier"/>
    <s v="USD"/>
    <n v="0.72335666735002158"/>
    <n v="3525.093657243006"/>
    <n v="0"/>
    <n v="2549.9"/>
    <n v="2549.9"/>
    <m/>
    <n v="2549.9"/>
    <s v="Delivered"/>
    <m/>
    <n v="1"/>
    <n v="5"/>
    <n v="2025"/>
    <n v="7"/>
    <n v="2025"/>
    <n v="0.72335666735002158"/>
    <x v="460"/>
    <d v="2025-05-23T08:23:53"/>
    <x v="547"/>
    <s v="Paid"/>
    <d v="2025-07-21T00:00:00"/>
    <s v="4511929372"/>
    <x v="42"/>
    <x v="1"/>
    <n v="3525.093657243006"/>
    <n v="2549.9"/>
    <n v="0.72335666735002158"/>
    <n v="0"/>
    <n v="-2549.9"/>
    <s v=""/>
    <n v="0"/>
    <x v="0"/>
    <x v="0"/>
    <s v="Pend"/>
    <s v="Pend"/>
  </r>
  <r>
    <n v="1"/>
    <s v="SO17224"/>
    <s v="4511929370"/>
    <s v="INV13010"/>
    <s v="PT Vale Indonesia Tbk."/>
    <d v="2025-05-23T08:32:16"/>
    <d v="2025-05-23T08:52:51"/>
    <d v="2025-05-26T00:00:00"/>
    <s v="Ian Trottier"/>
    <s v="USD"/>
    <n v="0.72335666735002158"/>
    <n v="2605.4781618374532"/>
    <n v="0"/>
    <n v="1884.69"/>
    <n v="1884.69"/>
    <m/>
    <n v="1884.69"/>
    <s v="Delivered"/>
    <m/>
    <n v="1"/>
    <n v="5"/>
    <n v="2025"/>
    <n v="7"/>
    <n v="2025"/>
    <n v="0.72335666735002146"/>
    <x v="461"/>
    <d v="2025-05-23T08:32:16"/>
    <x v="548"/>
    <s v="Paid"/>
    <d v="2025-07-21T00:00:00"/>
    <s v="4511929370"/>
    <x v="42"/>
    <x v="1"/>
    <n v="2605.4781618374527"/>
    <n v="1884.69"/>
    <n v="0.72335666735002158"/>
    <n v="0"/>
    <n v="-1884.69"/>
    <s v=""/>
    <n v="0"/>
    <x v="0"/>
    <x v="0"/>
    <s v="Pend"/>
    <s v="Pend"/>
  </r>
  <r>
    <n v="1"/>
    <s v="SO17225"/>
    <s v="2100580158"/>
    <s v="INV13025"/>
    <s v="Wajax Limited - Noranda"/>
    <d v="2025-05-23T10:26:55"/>
    <d v="2025-05-23T13:52:43"/>
    <d v="2025-05-26T00:00:00"/>
    <s v="Ian Trottier"/>
    <s v="CAD"/>
    <n v="1"/>
    <n v="391.77"/>
    <n v="0"/>
    <n v="284.73815708132418"/>
    <n v="373.11"/>
    <n v="18.66"/>
    <n v="391.77"/>
    <s v="Delivered"/>
    <m/>
    <n v="1"/>
    <n v="5"/>
    <n v="2025"/>
    <n v="7"/>
    <n v="2025"/>
    <n v="0.72679928805504301"/>
    <x v="462"/>
    <d v="2025-05-23T10:26:55"/>
    <x v="549"/>
    <s v="Paid"/>
    <d v="2025-07-09T00:00:00"/>
    <s v="2100580158"/>
    <x v="35"/>
    <x v="0"/>
    <n v="373.11"/>
    <n v="271.17608236621709"/>
    <n v="0.7267992880550429"/>
    <n v="-373.11"/>
    <n v="0"/>
    <n v="0"/>
    <s v=""/>
    <x v="0"/>
    <x v="0"/>
    <s v="Pend"/>
    <s v="Pend"/>
  </r>
  <r>
    <n v="1"/>
    <s v="SO17226"/>
    <s v="4501185837"/>
    <s v="INV13186"/>
    <s v="Barrick Gold - Pueblo Viejo Dominicana Corporation"/>
    <d v="2025-05-23T11:11:50"/>
    <d v="2025-05-13T11:11:54"/>
    <d v="2025-09-23T00:00:00"/>
    <s v="Jeff Bell"/>
    <s v="USD"/>
    <n v="0.71640017533217071"/>
    <n v="48556.660366353062"/>
    <n v="0"/>
    <n v="34786"/>
    <n v="34786"/>
    <m/>
    <n v="34786"/>
    <s v="Delivered"/>
    <m/>
    <n v="1"/>
    <n v="5"/>
    <n v="2025"/>
    <n v="8"/>
    <n v="2025"/>
    <n v="0.71640017533217071"/>
    <x v="463"/>
    <d v="2025-05-23T11:11:50"/>
    <x v="550"/>
    <s v="Paid"/>
    <d v="2025-08-29T00:00:00"/>
    <s v="4501185837"/>
    <x v="15"/>
    <x v="1"/>
    <n v="48556.660366353062"/>
    <n v="34786"/>
    <n v="0.71640017533217071"/>
    <n v="0"/>
    <n v="-34786"/>
    <s v=""/>
    <n v="0"/>
    <x v="0"/>
    <x v="0"/>
    <s v="Pend"/>
    <s v="Pend"/>
  </r>
  <r>
    <n v="1"/>
    <s v="SO17227"/>
    <s v="4511929373"/>
    <s v="INV13009"/>
    <s v="PT Vale Indonesia Tbk."/>
    <d v="2025-05-23T13:17:41"/>
    <d v="2025-05-23T13:18:38"/>
    <d v="2025-05-26T00:00:00"/>
    <s v="Ian Trottier"/>
    <s v="USD"/>
    <n v="0.72335666735002158"/>
    <n v="134.69150751997569"/>
    <n v="0"/>
    <n v="97.43"/>
    <n v="97.43"/>
    <m/>
    <n v="97.43"/>
    <s v="Delivered"/>
    <m/>
    <n v="1"/>
    <n v="5"/>
    <n v="2025"/>
    <n v="7"/>
    <n v="2025"/>
    <n v="0.7233566673500218"/>
    <x v="464"/>
    <d v="2025-05-23T13:17:41"/>
    <x v="551"/>
    <s v="Paid"/>
    <d v="2025-07-21T00:00:00"/>
    <s v="4511929373"/>
    <x v="42"/>
    <x v="1"/>
    <n v="134.69150751997572"/>
    <n v="97.43"/>
    <n v="0.72335666735002158"/>
    <n v="0"/>
    <n v="-97.43"/>
    <s v=""/>
    <n v="0"/>
    <x v="0"/>
    <x v="0"/>
    <s v="Pend"/>
    <s v="Pend"/>
  </r>
  <r>
    <n v="1"/>
    <s v="SO17229"/>
    <s v="3006737"/>
    <s v="INV13023"/>
    <s v="SCG Process, SCG Process"/>
    <d v="2025-05-23T13:28:39"/>
    <d v="2025-05-23T15:59:21"/>
    <d v="2025-05-26T00:00:00"/>
    <s v="Ian Trottier"/>
    <s v="CAD"/>
    <n v="1"/>
    <n v="4547.72"/>
    <n v="0"/>
    <n v="3305.279658273681"/>
    <n v="4331.1499999999996"/>
    <n v="216.57"/>
    <n v="4547.72"/>
    <s v="Delivered"/>
    <m/>
    <n v="1"/>
    <n v="5"/>
    <n v="2025"/>
    <n v="7"/>
    <n v="2025"/>
    <n v="0.72679928805504312"/>
    <x v="465"/>
    <d v="2025-05-23T13:28:39"/>
    <x v="552"/>
    <s v="Paid"/>
    <d v="2025-07-07T00:00:00"/>
    <s v="3006737"/>
    <x v="112"/>
    <x v="0"/>
    <n v="4331.1499999999996"/>
    <n v="3147.8767364595997"/>
    <n v="0.72679928805504312"/>
    <n v="-4331.1499999999996"/>
    <n v="0"/>
    <n v="0"/>
    <s v=""/>
    <x v="0"/>
    <x v="0"/>
    <s v="Pend"/>
    <s v="Pend"/>
  </r>
  <r>
    <n v="1"/>
    <s v="SO17230"/>
    <s v="4500598086"/>
    <s v="INV13027"/>
    <s v="Resolute Forest Products - Saint-Felicien"/>
    <d v="2025-05-23T16:50:01"/>
    <d v="2025-05-23T16:52:19"/>
    <d v="2025-05-26T00:00:00"/>
    <s v="Ian Trottier"/>
    <s v="CAD"/>
    <n v="1"/>
    <n v="551.48"/>
    <n v="0"/>
    <n v="400.81527137659521"/>
    <n v="525.22"/>
    <n v="26.26"/>
    <n v="551.48"/>
    <s v="Delivered"/>
    <m/>
    <n v="1"/>
    <n v="5"/>
    <n v="2025"/>
    <n v="7"/>
    <n v="2025"/>
    <n v="0.72679928805504312"/>
    <x v="466"/>
    <d v="2025-05-23T16:50:01"/>
    <x v="553"/>
    <s v="Paid"/>
    <d v="2025-07-24T00:00:00"/>
    <s v="4500598086"/>
    <x v="46"/>
    <x v="0"/>
    <n v="525.22"/>
    <n v="381.72952207226979"/>
    <n v="0.72679928805504312"/>
    <n v="-525.22"/>
    <n v="0"/>
    <n v="0"/>
    <s v=""/>
    <x v="0"/>
    <x v="0"/>
    <s v="Pend"/>
    <s v="Pend"/>
  </r>
  <r>
    <n v="1"/>
    <s v="SO17234"/>
    <s v="MB21-00189855"/>
    <s v="INV13031"/>
    <s v="Motion Industries Inc. (Canada) - Winnipeg"/>
    <d v="2025-05-26T10:16:05"/>
    <d v="2025-05-27T13:55:26"/>
    <d v="2025-05-28T00:00:00"/>
    <s v="Taylor Cook"/>
    <s v="CAD"/>
    <n v="1"/>
    <n v="132.43"/>
    <n v="0"/>
    <n v="96.115339593466302"/>
    <n v="126.12"/>
    <n v="6.31"/>
    <n v="132.43"/>
    <s v="Delivered"/>
    <m/>
    <n v="1"/>
    <n v="5"/>
    <n v="2025"/>
    <n v="6"/>
    <n v="2025"/>
    <n v="0.72578222150167104"/>
    <x v="467"/>
    <d v="2025-05-26T10:16:05"/>
    <x v="554"/>
    <s v="Paid"/>
    <d v="2025-06-27T00:00:00"/>
    <s v="MB21-00189855"/>
    <x v="23"/>
    <x v="0"/>
    <n v="126.12"/>
    <n v="91.535653775790749"/>
    <n v="0.72578222150167104"/>
    <n v="-126.12"/>
    <n v="0"/>
    <n v="0"/>
    <s v=""/>
    <x v="0"/>
    <x v="0"/>
    <s v="Pend"/>
    <s v="Pend"/>
  </r>
  <r>
    <n v="1"/>
    <s v="SO17235"/>
    <s v="7183"/>
    <s v="INV13079"/>
    <s v="Hyperflo"/>
    <d v="2025-05-26T10:20:39"/>
    <d v="2025-05-26T13:17:24"/>
    <d v="2025-06-19T00:00:00"/>
    <s v="Ian Trottier"/>
    <s v="CAD"/>
    <n v="1"/>
    <n v="1112.75"/>
    <n v="1112.75"/>
    <n v="1112.75"/>
    <n v="1059.76"/>
    <n v="52.99"/>
    <n v="1112.75"/>
    <s v="Delivered"/>
    <m/>
    <n v="1"/>
    <n v="5"/>
    <n v="2025"/>
    <n v="8"/>
    <n v="2025"/>
    <n v="1"/>
    <x v="468"/>
    <d v="2025-05-26T10:20:39"/>
    <x v="555"/>
    <s v="Paid"/>
    <d v="2025-08-04T00:00:00"/>
    <s v="7183"/>
    <x v="5"/>
    <x v="0"/>
    <n v="1059.76"/>
    <n v="765.06747569241963"/>
    <n v="0.72192522428891415"/>
    <n v="-1059.76"/>
    <n v="0"/>
    <n v="0"/>
    <s v=""/>
    <x v="0"/>
    <x v="0"/>
    <s v="Pend"/>
    <s v="Pend"/>
  </r>
  <r>
    <n v="1"/>
    <s v="SO17237"/>
    <s v="7191"/>
    <s v="INV13029"/>
    <s v="Hyperflo"/>
    <d v="2025-05-26T15:00:20"/>
    <d v="2025-05-27T12:44:56"/>
    <d v="2025-05-28T00:00:00"/>
    <s v="Ian Trottier"/>
    <s v="CAD"/>
    <n v="1"/>
    <n v="1086.52"/>
    <n v="0"/>
    <n v="788.57689930599565"/>
    <n v="1034.78"/>
    <n v="51.74"/>
    <n v="1086.52"/>
    <s v="Delivered"/>
    <m/>
    <n v="1"/>
    <n v="5"/>
    <n v="2025"/>
    <n v="8"/>
    <n v="2025"/>
    <n v="0.72578222150167104"/>
    <x v="469"/>
    <d v="2025-05-26T15:00:20"/>
    <x v="556"/>
    <s v="Paid"/>
    <d v="2025-08-04T00:00:00"/>
    <s v="7191"/>
    <x v="5"/>
    <x v="0"/>
    <n v="1034.78"/>
    <n v="751.02492716549909"/>
    <n v="0.72578222150167104"/>
    <n v="-1034.78"/>
    <n v="0"/>
    <n v="0"/>
    <s v=""/>
    <x v="0"/>
    <x v="0"/>
    <s v="Pend"/>
    <s v="Pend"/>
  </r>
  <r>
    <n v="1"/>
    <s v="SO17238"/>
    <s v="1048 / Ship to PO# 2250165"/>
    <s v="INV13045"/>
    <s v="Mill-Right Mine Services Inc."/>
    <d v="2025-05-26T16:04:09"/>
    <d v="2025-05-26T16:04:51"/>
    <d v="2025-06-05T00:00:00"/>
    <s v="Amanda Qiao"/>
    <s v="USD"/>
    <n v="0.72793141414156337"/>
    <n v="5353.8560423250119"/>
    <n v="0"/>
    <n v="3897.24"/>
    <n v="3897.24"/>
    <m/>
    <n v="3897.24"/>
    <s v="Delivered"/>
    <m/>
    <n v="1"/>
    <n v="5"/>
    <n v="2025"/>
    <n v="7"/>
    <n v="2025"/>
    <n v="0.72793141414156337"/>
    <x v="470"/>
    <d v="2025-05-26T16:04:09"/>
    <x v="557"/>
    <s v="Paid"/>
    <d v="2025-07-17T00:00:00"/>
    <s v="1048 / Ship to PO# 2250165"/>
    <x v="30"/>
    <x v="1"/>
    <n v="5353.8560423250119"/>
    <n v="3897.24"/>
    <n v="0.72793141414156337"/>
    <n v="0"/>
    <n v="-3897.24"/>
    <s v=""/>
    <n v="0"/>
    <x v="0"/>
    <x v="0"/>
    <s v="Pend"/>
    <s v="Pend"/>
  </r>
  <r>
    <n v="1"/>
    <s v="SO17241"/>
    <s v="2100582744"/>
    <s v="INV13041"/>
    <s v="Wajax Limited - Noranda"/>
    <d v="2025-05-27T13:48:13"/>
    <d v="2025-05-28T15:29:22"/>
    <d v="2025-05-29T00:00:00"/>
    <s v="Ian Trottier"/>
    <s v="CAD"/>
    <n v="1"/>
    <n v="300.67"/>
    <n v="0"/>
    <n v="217.54573653959201"/>
    <n v="286.35000000000002"/>
    <n v="14.32"/>
    <n v="300.67"/>
    <s v="Delivered"/>
    <m/>
    <n v="1"/>
    <n v="5"/>
    <n v="2025"/>
    <n v="7"/>
    <n v="2025"/>
    <n v="0.72353655682173812"/>
    <x v="471"/>
    <d v="2025-05-27T13:48:13"/>
    <x v="558"/>
    <s v="Paid"/>
    <d v="2025-07-09T00:00:00"/>
    <s v="2100582744"/>
    <x v="35"/>
    <x v="0"/>
    <n v="286.35000000000002"/>
    <n v="207.18469304590474"/>
    <n v="0.72353655682173812"/>
    <n v="-286.35000000000002"/>
    <n v="0"/>
    <n v="0"/>
    <s v=""/>
    <x v="0"/>
    <x v="0"/>
    <s v="Pend"/>
    <s v="Pend"/>
  </r>
  <r>
    <n v="1"/>
    <s v="SO17242"/>
    <s v="1050 Ship to PO# 2250701"/>
    <s v="INV13482"/>
    <s v="Mill-Right Mine Services Inc."/>
    <d v="2025-05-27T14:31:01"/>
    <d v="2025-06-05T14:37:39"/>
    <d v="2025-08-26T00:00:00"/>
    <s v="Amanda Qiao"/>
    <s v="USD"/>
    <n v="0.73142063106581767"/>
    <n v="3636.7582305189821"/>
    <n v="0"/>
    <n v="2660"/>
    <n v="2660"/>
    <m/>
    <n v="2660"/>
    <s v="Delivered"/>
    <m/>
    <n v="1"/>
    <n v="5"/>
    <n v="2025"/>
    <n v="10"/>
    <n v="2025"/>
    <n v="0.73142063106581756"/>
    <x v="472"/>
    <d v="2025-05-27T14:31:01"/>
    <x v="559"/>
    <s v="Paid"/>
    <d v="2025-10-24T00:00:00"/>
    <s v="1050 Ship to PO# 2250701"/>
    <x v="30"/>
    <x v="1"/>
    <n v="3636.7582305189817"/>
    <n v="2660"/>
    <n v="0.73142063106581767"/>
    <n v="0"/>
    <n v="-2660"/>
    <s v=""/>
    <n v="0"/>
    <x v="0"/>
    <x v="0"/>
    <s v="Pend"/>
    <s v="Pend"/>
  </r>
  <r>
    <n v="1"/>
    <s v="SO17243"/>
    <s v="3203"/>
    <s v="INV13338"/>
    <s v="Les Pompes du St-Laurent Inc."/>
    <d v="2025-05-27T15:34:02"/>
    <d v="2025-06-10T15:34:02"/>
    <d v="2025-08-26T00:00:00"/>
    <s v="Ian Trottier"/>
    <s v="CAD"/>
    <n v="1"/>
    <n v="18951.39"/>
    <n v="0"/>
    <n v="13848.461135392759"/>
    <n v="18048.939999999999"/>
    <n v="902.45"/>
    <n v="18951.39"/>
    <s v="Delivered"/>
    <m/>
    <n v="1"/>
    <n v="5"/>
    <n v="2025"/>
    <n v="9"/>
    <n v="2025"/>
    <n v="0.73073590567197233"/>
    <x v="473"/>
    <d v="2025-05-27T15:34:02"/>
    <x v="560"/>
    <s v="Paid"/>
    <d v="2025-09-25T00:00:00"/>
    <s v="3203"/>
    <x v="7"/>
    <x v="0"/>
    <n v="18048.939999999999"/>
    <n v="13189.008517319087"/>
    <n v="0.73073590567197233"/>
    <n v="-18048.939999999999"/>
    <n v="0"/>
    <n v="0"/>
    <s v=""/>
    <x v="0"/>
    <x v="0"/>
    <s v="Pend"/>
    <s v="Pend"/>
  </r>
  <r>
    <n v="1"/>
    <s v="SO17245"/>
    <s v="MB21-00189885"/>
    <s v="INV13269"/>
    <s v="Motion Industries Inc. (Canada) - Winnipeg"/>
    <d v="2025-05-27T17:14:43"/>
    <d v="2025-05-27T17:14:58"/>
    <d v="2025-07-29T00:00:00"/>
    <s v="Ian Trottier"/>
    <s v="CAD"/>
    <n v="1"/>
    <n v="440.87"/>
    <n v="0"/>
    <n v="319.97560799344171"/>
    <n v="419.88"/>
    <n v="20.99"/>
    <n v="440.87"/>
    <s v="Delivered"/>
    <m/>
    <n v="1"/>
    <n v="5"/>
    <n v="2025"/>
    <n v="9"/>
    <n v="2025"/>
    <n v="0.72578222150167104"/>
    <x v="474"/>
    <d v="2025-05-27T17:14:43"/>
    <x v="561"/>
    <s v="Paid"/>
    <d v="2025-09-05T00:00:00"/>
    <s v="MB21-00189885"/>
    <x v="23"/>
    <x v="0"/>
    <n v="419.88"/>
    <n v="304.74143916412163"/>
    <n v="0.72578222150167104"/>
    <n v="-419.88"/>
    <n v="0"/>
    <n v="0"/>
    <s v=""/>
    <x v="0"/>
    <x v="0"/>
    <s v="Pend"/>
    <s v="Pend"/>
  </r>
  <r>
    <n v="1"/>
    <s v="SO17246"/>
    <s v="2100583535"/>
    <s v="INV13042"/>
    <s v="Wajax Limited - Noranda"/>
    <d v="2025-05-28T08:03:53"/>
    <d v="2025-05-29T11:26:14"/>
    <d v="2025-06-02T00:00:00"/>
    <s v="Ian Trottier"/>
    <s v="CAD"/>
    <n v="1"/>
    <n v="746.81"/>
    <n v="0"/>
    <n v="540.76264251654129"/>
    <n v="711.25"/>
    <n v="35.56"/>
    <n v="746.81"/>
    <s v="Delivered"/>
    <m/>
    <n v="1"/>
    <n v="5"/>
    <n v="2025"/>
    <n v="7"/>
    <n v="2025"/>
    <n v="0.72409668123959414"/>
    <x v="475"/>
    <d v="2025-05-28T08:03:53"/>
    <x v="562"/>
    <s v="Paid"/>
    <d v="2025-07-09T00:00:00"/>
    <s v="2100583535"/>
    <x v="35"/>
    <x v="0"/>
    <n v="711.25"/>
    <n v="515.01376453166131"/>
    <n v="0.72409668123959414"/>
    <n v="-711.25"/>
    <n v="0"/>
    <n v="0"/>
    <s v=""/>
    <x v="0"/>
    <x v="0"/>
    <s v="Pend"/>
    <s v="Pend"/>
  </r>
  <r>
    <n v="2"/>
    <s v="SO17249"/>
    <s v="PO-008006"/>
    <s v="(* 77703)"/>
    <s v="Sling-Choker Manufacturing - Timmins"/>
    <d v="2025-05-28T12:49:10"/>
    <d v="2025-05-28T12:51:21"/>
    <d v="2025-05-29T00:00:00"/>
    <s v="Ian Trottier"/>
    <s v="CAD"/>
    <n v="1"/>
    <n v="4908.1099999999997"/>
    <n v="0"/>
    <n v="3551.197009902342"/>
    <n v="4343.46"/>
    <n v="564.65"/>
    <n v="4908.1099999999997"/>
    <s v="Delivered"/>
    <m/>
    <n v="2"/>
    <n v="5"/>
    <n v="2025"/>
    <s v=""/>
    <s v=""/>
    <n v="0.72353655682173834"/>
    <x v="476"/>
    <d v="2025-05-28T12:49:10"/>
    <x v="563"/>
    <s v="Not invoiced"/>
    <s v="Pending"/>
    <s v="PO-008006"/>
    <x v="3"/>
    <x v="0"/>
    <n v="4343.46"/>
    <n v="3142.6520930929478"/>
    <n v="0.72353655682173834"/>
    <n v="0"/>
    <n v="0"/>
    <n v="4343.46"/>
    <s v=""/>
    <x v="1"/>
    <x v="1"/>
    <s v="Yes"/>
    <s v="Pend"/>
  </r>
  <r>
    <m/>
    <m/>
    <m/>
    <s v="INV13112"/>
    <m/>
    <m/>
    <m/>
    <m/>
    <m/>
    <m/>
    <m/>
    <m/>
    <m/>
    <m/>
    <m/>
    <m/>
    <m/>
    <m/>
    <m/>
    <n v="2"/>
    <n v="5"/>
    <n v="2025"/>
    <n v="7"/>
    <n v="2025"/>
    <n v="0.72353655682173834"/>
    <x v="476"/>
    <d v="2025-05-28T12:49:10"/>
    <x v="564"/>
    <s v="Paid"/>
    <d v="2025-07-23T00:00:00"/>
    <s v="PO-008006"/>
    <x v="3"/>
    <x v="0"/>
    <n v="0"/>
    <n v="0"/>
    <n v="0"/>
    <n v="-4343.46"/>
    <n v="0"/>
    <n v="-4343.46"/>
    <s v=""/>
    <x v="0"/>
    <x v="1"/>
    <s v="Yes"/>
    <s v="Pend"/>
  </r>
  <r>
    <n v="1"/>
    <s v="SO17250"/>
    <s v="4500598918"/>
    <s v="INV13048"/>
    <s v="Resolute Forest Products - Dolbeau"/>
    <d v="2025-05-28T16:27:16"/>
    <d v="2025-05-30T15:51:27"/>
    <d v="2025-06-02T00:00:00"/>
    <s v="Amanda Qiao"/>
    <s v="USD"/>
    <n v="0.72738688760819992"/>
    <n v="349.59387408832549"/>
    <n v="0"/>
    <n v="254.29"/>
    <n v="254.29"/>
    <m/>
    <n v="254.29"/>
    <s v="Delivered"/>
    <m/>
    <n v="1"/>
    <n v="5"/>
    <n v="2025"/>
    <n v="7"/>
    <n v="2025"/>
    <n v="0.72738688760819992"/>
    <x v="477"/>
    <d v="2025-05-28T16:27:16"/>
    <x v="565"/>
    <s v="Paid"/>
    <d v="2025-07-31T00:00:00"/>
    <s v="4500598918"/>
    <x v="55"/>
    <x v="1"/>
    <n v="349.59387408832549"/>
    <n v="254.29"/>
    <n v="0.72738688760819992"/>
    <n v="0"/>
    <n v="-254.29"/>
    <s v=""/>
    <n v="0"/>
    <x v="0"/>
    <x v="0"/>
    <s v="Pend"/>
    <s v="Pend"/>
  </r>
  <r>
    <n v="2"/>
    <s v="SO17253"/>
    <s v="4501197712"/>
    <s v="INV13071"/>
    <s v="Barrick Gold - Pueblo Viejo Dominicana Corporation"/>
    <d v="2025-05-29T09:31:13"/>
    <d v="2025-05-29T09:36:40"/>
    <d v="2025-08-25T00:00:00"/>
    <s v="Wilka Nuñez"/>
    <s v="USD"/>
    <n v="0.72353655682173823"/>
    <n v="206959.96434205471"/>
    <n v="0"/>
    <n v="149743.1"/>
    <n v="149743.1"/>
    <m/>
    <n v="149743.1"/>
    <s v="Delivered"/>
    <m/>
    <n v="2"/>
    <n v="5"/>
    <n v="2025"/>
    <n v="7"/>
    <n v="2025"/>
    <n v="0.72353655682173834"/>
    <x v="478"/>
    <d v="2025-05-29T09:31:13"/>
    <x v="566"/>
    <s v="Paid"/>
    <d v="2025-07-25T00:00:00"/>
    <s v="4501197712"/>
    <x v="15"/>
    <x v="1"/>
    <n v="206959.96434205474"/>
    <n v="149743.1"/>
    <n v="0.72353655682173823"/>
    <n v="0"/>
    <n v="-144549.6"/>
    <s v=""/>
    <n v="5193.5"/>
    <x v="0"/>
    <x v="1"/>
    <s v="Yes"/>
    <s v="Pend"/>
  </r>
  <r>
    <m/>
    <m/>
    <m/>
    <s v="INV13477"/>
    <m/>
    <m/>
    <m/>
    <m/>
    <m/>
    <m/>
    <m/>
    <m/>
    <m/>
    <m/>
    <m/>
    <m/>
    <m/>
    <m/>
    <m/>
    <n v="2"/>
    <n v="5"/>
    <n v="2025"/>
    <n v="11"/>
    <n v="2025"/>
    <n v="0.72353655682173834"/>
    <x v="478"/>
    <d v="2025-05-29T09:31:13"/>
    <x v="567"/>
    <s v="Paid"/>
    <d v="2025-11-20T00:00:00"/>
    <s v="4501197712"/>
    <x v="15"/>
    <x v="1"/>
    <n v="0"/>
    <n v="0"/>
    <n v="0"/>
    <n v="0"/>
    <n v="-5193.5"/>
    <s v=""/>
    <n v="-5193.5"/>
    <x v="0"/>
    <x v="1"/>
    <s v="Yes"/>
    <s v="Pend"/>
  </r>
  <r>
    <n v="1"/>
    <s v="SO17254"/>
    <s v="BC65-00080665"/>
    <s v="INV13046"/>
    <s v="Motion Industries Inc. (Canada) - Prince George"/>
    <d v="2025-05-30T10:50:45"/>
    <d v="2025-05-30T10:52:07"/>
    <d v="2025-06-02T00:00:00"/>
    <s v="Ian Trottier"/>
    <s v="CAD"/>
    <n v="1"/>
    <n v="3553.6"/>
    <n v="0"/>
    <n v="2584.8420438044991"/>
    <n v="3384.38"/>
    <n v="169.22"/>
    <n v="3553.6"/>
    <s v="Delivered"/>
    <m/>
    <n v="1"/>
    <n v="5"/>
    <n v="2025"/>
    <n v="7"/>
    <n v="2025"/>
    <n v="0.72738688760819992"/>
    <x v="479"/>
    <d v="2025-05-30T10:50:45"/>
    <x v="568"/>
    <s v="Paid"/>
    <d v="2025-07-02T00:00:00"/>
    <s v="BC65-00080665"/>
    <x v="41"/>
    <x v="0"/>
    <n v="3384.38"/>
    <n v="2461.7536346834399"/>
    <n v="0.72738688760820003"/>
    <n v="-3384.38"/>
    <n v="0"/>
    <n v="0"/>
    <s v=""/>
    <x v="0"/>
    <x v="0"/>
    <s v="Pend"/>
    <s v="Pend"/>
  </r>
  <r>
    <n v="1"/>
    <s v="SO17256"/>
    <s v="BC78-00053869"/>
    <s v="INV13061"/>
    <s v="Motion Industries Inc. (Canada) - Quesnel"/>
    <d v="2025-05-30T12:09:06"/>
    <d v="2025-06-03T12:57:04"/>
    <d v="2025-06-05T00:00:00"/>
    <s v="Alexis Gil Lamadrid"/>
    <s v="CAD"/>
    <n v="1"/>
    <n v="596.54999999999995"/>
    <n v="0"/>
    <n v="434.70757805053648"/>
    <n v="568.13"/>
    <n v="28.42"/>
    <n v="596.54999999999995"/>
    <s v="Delivered"/>
    <m/>
    <n v="1"/>
    <n v="5"/>
    <n v="2025"/>
    <n v="7"/>
    <n v="2025"/>
    <n v="0.72870267043925319"/>
    <x v="480"/>
    <d v="2025-05-30T12:09:06"/>
    <x v="569"/>
    <s v="Paid"/>
    <d v="2025-07-04T00:00:00"/>
    <s v="BC78-00053869"/>
    <x v="12"/>
    <x v="0"/>
    <n v="568.13"/>
    <n v="413.99784815665294"/>
    <n v="0.72870267043925319"/>
    <n v="-568.13"/>
    <n v="0"/>
    <n v="0"/>
    <s v=""/>
    <x v="0"/>
    <x v="0"/>
    <s v="Pend"/>
    <s v="Pend"/>
  </r>
  <r>
    <n v="1"/>
    <s v="SO17257"/>
    <s v="PO 137523"/>
    <s v="INV13077"/>
    <s v="TC Industries of Canada Co."/>
    <d v="2025-05-30T14:09:52"/>
    <d v="2025-05-30T14:48:06"/>
    <d v="2025-06-02T00:00:00"/>
    <s v="Ian Trottier"/>
    <s v="CAD"/>
    <n v="1"/>
    <n v="863.29"/>
    <n v="0"/>
    <n v="627.94582620328288"/>
    <n v="763.98"/>
    <n v="99.31"/>
    <n v="863.29"/>
    <s v="Delivered"/>
    <m/>
    <n v="1"/>
    <n v="5"/>
    <n v="2025"/>
    <n v="6"/>
    <n v="2025"/>
    <n v="0.72738688760819992"/>
    <x v="481"/>
    <d v="2025-05-30T14:09:52"/>
    <x v="570"/>
    <s v="Paid"/>
    <d v="2025-06-26T00:00:00"/>
    <s v="PO 137523"/>
    <x v="113"/>
    <x v="0"/>
    <n v="763.98"/>
    <n v="555.70903439491258"/>
    <n v="0.72738688760819992"/>
    <n v="-763.98"/>
    <n v="0"/>
    <n v="0"/>
    <s v=""/>
    <x v="0"/>
    <x v="0"/>
    <s v="Pend"/>
    <s v="Pend"/>
  </r>
  <r>
    <n v="1"/>
    <s v="SO17259"/>
    <s v="4500598769"/>
    <s v="INV13059"/>
    <s v="Resolute Forest Products - Clermont"/>
    <d v="2025-05-30T16:17:21"/>
    <d v="2025-05-30T16:23:52"/>
    <d v="2025-06-02T00:00:00"/>
    <s v="Amanda Qiao"/>
    <s v="CAD"/>
    <n v="1"/>
    <n v="26.73"/>
    <n v="0"/>
    <n v="19.44305150576718"/>
    <n v="26.73"/>
    <m/>
    <n v="26.73"/>
    <s v="Delivered"/>
    <m/>
    <n v="1"/>
    <n v="5"/>
    <n v="2025"/>
    <n v="8"/>
    <n v="2025"/>
    <n v="0.72738688760819981"/>
    <x v="482"/>
    <d v="2025-05-30T16:17:21"/>
    <x v="571"/>
    <s v="Paid"/>
    <d v="2025-08-01T00:00:00"/>
    <s v="4500598769"/>
    <x v="83"/>
    <x v="0"/>
    <n v="26.73"/>
    <n v="19.44305150576718"/>
    <n v="0.72738688760819981"/>
    <n v="-26.73"/>
    <n v="0"/>
    <n v="0"/>
    <s v=""/>
    <x v="0"/>
    <x v="0"/>
    <s v="Pend"/>
    <s v="Pend"/>
  </r>
  <r>
    <n v="1"/>
    <s v="SO17260"/>
    <s v="P-60225"/>
    <s v="INV13064"/>
    <s v="Cartledge &amp; Associates Inc."/>
    <d v="2025-05-30T16:32:43"/>
    <d v="2025-06-04T11:23:52"/>
    <d v="2025-06-05T00:00:00"/>
    <s v="Ian Trottier"/>
    <s v="USD"/>
    <n v="0.7287026704392533"/>
    <n v="3001.2515237273528"/>
    <n v="0"/>
    <n v="2187.02"/>
    <n v="2187.02"/>
    <m/>
    <n v="2187.02"/>
    <s v="Delivered"/>
    <m/>
    <n v="1"/>
    <n v="5"/>
    <n v="2025"/>
    <n v="7"/>
    <n v="2025"/>
    <n v="0.7287026704392533"/>
    <x v="483"/>
    <d v="2025-05-30T16:32:43"/>
    <x v="572"/>
    <s v="Paid"/>
    <d v="2025-07-05T00:00:00"/>
    <s v="P-60225"/>
    <x v="25"/>
    <x v="1"/>
    <n v="3001.2515237273528"/>
    <n v="2187.02"/>
    <n v="0.7287026704392533"/>
    <n v="0"/>
    <n v="-2187.02"/>
    <s v=""/>
    <n v="0"/>
    <x v="0"/>
    <x v="0"/>
    <s v="Pend"/>
    <s v="Pend"/>
  </r>
  <r>
    <n v="1"/>
    <s v="SO17261"/>
    <s v="03R19899"/>
    <s v="INV13053"/>
    <s v="Moffatt Supply &amp; Specialties - Red Lake"/>
    <d v="2025-05-30T16:43:18"/>
    <d v="2025-05-30T16:46:35"/>
    <d v="2025-06-02T00:00:00"/>
    <s v="Ian Trottier"/>
    <s v="CAD"/>
    <n v="1"/>
    <n v="3169.03"/>
    <n v="0"/>
    <n v="2305.1108684370138"/>
    <n v="2804.45"/>
    <n v="364.58"/>
    <n v="3169.03"/>
    <s v="Delivered"/>
    <m/>
    <n v="1"/>
    <n v="5"/>
    <n v="2025"/>
    <n v="7"/>
    <n v="2025"/>
    <n v="0.72738688760819992"/>
    <x v="484"/>
    <d v="2025-05-30T16:43:18"/>
    <x v="573"/>
    <s v="Paid"/>
    <d v="2025-07-25T00:00:00"/>
    <s v="03R19899"/>
    <x v="79"/>
    <x v="0"/>
    <n v="2804.45"/>
    <n v="2039.9201569528161"/>
    <n v="0.72738688760819992"/>
    <n v="-2804.45"/>
    <n v="0"/>
    <n v="0"/>
    <s v=""/>
    <x v="0"/>
    <x v="0"/>
    <s v="Pend"/>
    <s v="Pend"/>
  </r>
  <r>
    <n v="1"/>
    <s v="SO17262"/>
    <s v="BC78-00053939"/>
    <s v="INV13085"/>
    <s v="Motion Industries Inc. (Canada) - Quesnel"/>
    <d v="2025-05-30T17:11:12"/>
    <d v="2025-06-10T17:28:38"/>
    <d v="2025-06-13T00:00:00"/>
    <s v="Ian Trottier"/>
    <s v="CAD"/>
    <n v="1"/>
    <n v="2179.6799999999998"/>
    <n v="0"/>
    <n v="1592.770438875084"/>
    <n v="2075.88"/>
    <n v="103.8"/>
    <n v="2179.6799999999998"/>
    <s v="Delivered"/>
    <m/>
    <n v="1"/>
    <n v="5"/>
    <n v="2025"/>
    <n v="7"/>
    <n v="2025"/>
    <n v="0.73073590567197211"/>
    <x v="485"/>
    <d v="2025-05-30T17:11:12"/>
    <x v="574"/>
    <s v="Paid"/>
    <d v="2025-07-14T00:00:00"/>
    <s v="BC78-00053939"/>
    <x v="12"/>
    <x v="0"/>
    <n v="2075.88"/>
    <n v="1516.9200518663336"/>
    <n v="0.73073590567197211"/>
    <n v="-2075.88"/>
    <n v="0"/>
    <n v="0"/>
    <s v=""/>
    <x v="0"/>
    <x v="0"/>
    <s v="Pend"/>
    <s v="Pend"/>
  </r>
  <r>
    <n v="1"/>
    <s v="SO17263"/>
    <s v="OC00171"/>
    <s v="INV13315"/>
    <s v="Dynapro Pumps México S de RL de CV"/>
    <d v="2025-05-30T18:49:57"/>
    <d v="2025-05-30T18:49:40"/>
    <d v="2025-08-29T00:00:00"/>
    <s v="Yannett Yeomans"/>
    <s v="USD"/>
    <n v="0.72409668123959414"/>
    <n v="20508.3110926265"/>
    <n v="0"/>
    <n v="14850"/>
    <n v="14850"/>
    <m/>
    <n v="14850"/>
    <s v="Delivered"/>
    <m/>
    <n v="1"/>
    <n v="5"/>
    <n v="2025"/>
    <s v=""/>
    <s v=""/>
    <n v="0.72409668123959403"/>
    <x v="486"/>
    <d v="2025-05-30T18:49:57"/>
    <x v="575"/>
    <s v="Approved"/>
    <s v="Pending"/>
    <s v="OC00171"/>
    <x v="54"/>
    <x v="1"/>
    <n v="20508.311092626496"/>
    <n v="14850"/>
    <n v="0.72409668123959414"/>
    <n v="0"/>
    <n v="-14850"/>
    <s v=""/>
    <n v="0"/>
    <x v="1"/>
    <x v="2"/>
    <s v="Pend"/>
    <s v="Pend"/>
  </r>
  <r>
    <n v="3"/>
    <s v="SO17264"/>
    <s v="BC65-00080743"/>
    <s v="INV13126"/>
    <s v="Motion Industries Inc. (Canada) - Prince George"/>
    <d v="2025-06-02T07:59:08"/>
    <d v="2025-06-05T16:42:34"/>
    <d v="2025-08-21T00:00:00"/>
    <s v="Ian Trottier"/>
    <s v="CAD"/>
    <n v="1"/>
    <n v="4549.3900000000003"/>
    <n v="0"/>
    <n v="3328.7090648040021"/>
    <n v="4332.75"/>
    <n v="216.64"/>
    <n v="4549.3900000000003"/>
    <s v="Delivered"/>
    <m/>
    <n v="3"/>
    <n v="6"/>
    <n v="2025"/>
    <n v="7"/>
    <n v="2025"/>
    <n v="0.73168250354531084"/>
    <x v="487"/>
    <d v="2025-06-02T07:59:08"/>
    <x v="576"/>
    <s v="Paid"/>
    <d v="2025-07-24T00:00:00"/>
    <s v="BC65-00080743"/>
    <x v="41"/>
    <x v="0"/>
    <n v="4332.75"/>
    <n v="3170.1973672359454"/>
    <n v="0.73168250354531084"/>
    <n v="-142.29"/>
    <n v="0"/>
    <n v="4190.46"/>
    <s v=""/>
    <x v="0"/>
    <x v="1"/>
    <s v="Yes"/>
    <s v="Pend"/>
  </r>
  <r>
    <m/>
    <m/>
    <m/>
    <s v="INV13094"/>
    <m/>
    <m/>
    <m/>
    <m/>
    <m/>
    <m/>
    <m/>
    <m/>
    <m/>
    <m/>
    <m/>
    <m/>
    <m/>
    <m/>
    <m/>
    <n v="3"/>
    <n v="6"/>
    <n v="2025"/>
    <n v="7"/>
    <n v="2025"/>
    <n v="0.73168250354531084"/>
    <x v="487"/>
    <d v="2025-06-02T07:59:08"/>
    <x v="577"/>
    <s v="Paid"/>
    <d v="2025-07-09T00:00:00"/>
    <s v="BC65-00080743"/>
    <x v="41"/>
    <x v="0"/>
    <n v="0"/>
    <n v="0"/>
    <n v="0"/>
    <n v="-3286.82"/>
    <n v="0"/>
    <n v="-3286.82"/>
    <s v=""/>
    <x v="0"/>
    <x v="1"/>
    <s v="Yes"/>
    <s v="Pend"/>
  </r>
  <r>
    <m/>
    <m/>
    <m/>
    <s v="INV13197"/>
    <m/>
    <m/>
    <m/>
    <m/>
    <m/>
    <m/>
    <m/>
    <m/>
    <m/>
    <m/>
    <m/>
    <m/>
    <m/>
    <m/>
    <m/>
    <n v="3"/>
    <n v="6"/>
    <n v="2025"/>
    <n v="8"/>
    <n v="2025"/>
    <n v="0.73168250354531084"/>
    <x v="487"/>
    <d v="2025-06-02T07:59:08"/>
    <x v="578"/>
    <s v="Paid"/>
    <d v="2025-08-15T00:00:00"/>
    <s v="BC65-00080743"/>
    <x v="41"/>
    <x v="0"/>
    <n v="0"/>
    <n v="0"/>
    <n v="0"/>
    <n v="-903.64"/>
    <n v="0"/>
    <n v="-903.64"/>
    <s v=""/>
    <x v="0"/>
    <x v="1"/>
    <s v="Yes"/>
    <s v="Pend"/>
  </r>
  <r>
    <n v="1"/>
    <s v="SO17265"/>
    <s v="1049 Ship to PO# 2250529"/>
    <s v="INV13043"/>
    <s v="Mill-Right Mine Services Inc."/>
    <d v="2025-06-02T08:09:17"/>
    <d v="2025-06-02T08:10:22"/>
    <d v="2025-06-06T00:00:00"/>
    <s v="Amanda Qiao"/>
    <s v="USD"/>
    <n v="0.72782949041434608"/>
    <n v="2677.3028925918761"/>
    <n v="0"/>
    <n v="1948.62"/>
    <n v="1948.62"/>
    <m/>
    <n v="1948.62"/>
    <s v="Delivered"/>
    <m/>
    <n v="1"/>
    <n v="6"/>
    <n v="2025"/>
    <n v="7"/>
    <n v="2025"/>
    <n v="0.72782949041434608"/>
    <x v="488"/>
    <d v="2025-06-02T08:09:17"/>
    <x v="579"/>
    <s v="Paid"/>
    <d v="2025-07-17T00:00:00"/>
    <s v="1049 Ship to PO# 2250529"/>
    <x v="30"/>
    <x v="1"/>
    <n v="2677.3028925918761"/>
    <n v="1948.62"/>
    <n v="0.72782949041434608"/>
    <n v="0"/>
    <n v="-1948.62"/>
    <s v=""/>
    <n v="0"/>
    <x v="0"/>
    <x v="0"/>
    <s v="Pend"/>
    <s v="Pend"/>
  </r>
  <r>
    <n v="1"/>
    <s v="SO17267"/>
    <s v="1024377"/>
    <s v="INV13603"/>
    <s v="Thunder Bay Pulp and Paper Inc"/>
    <d v="2025-06-02T10:00:37"/>
    <d v="2025-06-04T12:25:26"/>
    <d v="2025-08-27T00:00:00"/>
    <s v="Ian Trottier"/>
    <s v="CAD"/>
    <n v="1"/>
    <n v="13676.48"/>
    <n v="0"/>
    <n v="10003.25963235903"/>
    <n v="12103.08"/>
    <n v="1573.4"/>
    <n v="13676.48"/>
    <s v="Delivered"/>
    <m/>
    <n v="1"/>
    <n v="6"/>
    <n v="2025"/>
    <n v="11"/>
    <n v="2025"/>
    <n v="0.73142063106581734"/>
    <x v="489"/>
    <d v="2025-06-02T10:00:37"/>
    <x v="580"/>
    <s v="Paid"/>
    <d v="2025-11-06T00:00:00"/>
    <s v="1024377"/>
    <x v="93"/>
    <x v="0"/>
    <n v="12103.08"/>
    <n v="8852.4424114400717"/>
    <n v="0.73142063106581723"/>
    <n v="-12103.08"/>
    <n v="0"/>
    <n v="0"/>
    <s v=""/>
    <x v="0"/>
    <x v="0"/>
    <s v="Pend"/>
    <s v="Pend"/>
  </r>
  <r>
    <n v="1"/>
    <s v="SO17269"/>
    <s v="PSI15784"/>
    <s v="INV13260"/>
    <s v="Progressive Sealing Inc."/>
    <d v="2025-06-02T13:51:26"/>
    <d v="2025-06-06T11:50:44"/>
    <d v="2025-08-08T00:00:00"/>
    <s v="Ian Trottier"/>
    <s v="CAD"/>
    <n v="1"/>
    <n v="5995.8"/>
    <n v="0"/>
    <n v="4380.871989709558"/>
    <n v="5710.29"/>
    <n v="285.51"/>
    <n v="5995.8"/>
    <s v="Delivered"/>
    <m/>
    <n v="1"/>
    <n v="6"/>
    <n v="2025"/>
    <n v="9"/>
    <n v="2025"/>
    <n v="0.73065679137222017"/>
    <x v="490"/>
    <d v="2025-06-02T13:51:26"/>
    <x v="581"/>
    <s v="Paid"/>
    <d v="2025-09-12T00:00:00"/>
    <s v="PSI15784"/>
    <x v="64"/>
    <x v="0"/>
    <n v="5710.29"/>
    <n v="4172.2621692048751"/>
    <n v="0.73065679137222017"/>
    <n v="-5710.29"/>
    <n v="0"/>
    <n v="0"/>
    <s v=""/>
    <x v="0"/>
    <x v="0"/>
    <s v="Pend"/>
    <s v="Pend"/>
  </r>
  <r>
    <n v="1"/>
    <s v="SO17271"/>
    <s v="4500599181"/>
    <s v="INV13060"/>
    <s v="Resolute Forest Products - Saint-Felicien"/>
    <d v="2025-06-02T16:06:54"/>
    <d v="2025-06-03T13:47:36"/>
    <d v="2025-06-04T00:00:00"/>
    <s v="Ian Trottier"/>
    <s v="CAD"/>
    <n v="1"/>
    <n v="255.73"/>
    <n v="0"/>
    <n v="186.3511339114302"/>
    <n v="243.55"/>
    <n v="12.18"/>
    <n v="255.73"/>
    <s v="Delivered"/>
    <m/>
    <n v="1"/>
    <n v="6"/>
    <n v="2025"/>
    <n v="8"/>
    <n v="2025"/>
    <n v="0.72870267043925319"/>
    <x v="491"/>
    <d v="2025-06-02T16:06:54"/>
    <x v="582"/>
    <s v="Paid"/>
    <d v="2025-08-01T00:00:00"/>
    <s v="4500599181"/>
    <x v="46"/>
    <x v="0"/>
    <n v="243.55"/>
    <n v="177.47553538548013"/>
    <n v="0.72870267043925319"/>
    <n v="-243.55"/>
    <n v="0"/>
    <n v="0"/>
    <s v=""/>
    <x v="0"/>
    <x v="0"/>
    <s v="Pend"/>
    <s v="Pend"/>
  </r>
  <r>
    <n v="1"/>
    <s v="SO17274"/>
    <s v="4505731755-X46"/>
    <s v="INV13065"/>
    <s v="BDI Canada Inc - Saskatoon"/>
    <d v="2025-06-03T13:56:44"/>
    <d v="2025-06-04T13:58:27"/>
    <d v="2025-06-06T00:00:00"/>
    <s v="Ian Trottier"/>
    <s v="CAD"/>
    <n v="1"/>
    <n v="281.7"/>
    <n v="0"/>
    <n v="206.04119177124079"/>
    <n v="268.29000000000002"/>
    <n v="13.41"/>
    <n v="281.7"/>
    <s v="Delivered"/>
    <m/>
    <n v="1"/>
    <n v="6"/>
    <n v="2025"/>
    <n v="8"/>
    <n v="2025"/>
    <n v="0.73142063106581756"/>
    <x v="492"/>
    <d v="2025-06-03T13:56:44"/>
    <x v="583"/>
    <s v="Paid"/>
    <d v="2025-08-07T00:00:00"/>
    <s v="4505731755-X46"/>
    <x v="114"/>
    <x v="0"/>
    <n v="268.29000000000002"/>
    <n v="196.23284110864822"/>
    <n v="0.73142063106581756"/>
    <n v="-268.29000000000002"/>
    <n v="0"/>
    <n v="0"/>
    <s v=""/>
    <x v="0"/>
    <x v="0"/>
    <s v="Pend"/>
    <s v="Pend"/>
  </r>
  <r>
    <n v="1"/>
    <s v="SO17276"/>
    <s v="3202"/>
    <s v="INV13081"/>
    <s v="Les Pompes du St-Laurent Inc."/>
    <d v="2025-06-04T08:30:30"/>
    <d v="2025-06-10T16:14:55"/>
    <d v="2025-06-11T00:00:00"/>
    <s v="Ian Trottier"/>
    <s v="CAD"/>
    <n v="1"/>
    <n v="330.7"/>
    <n v="0"/>
    <n v="241.65436400572119"/>
    <n v="314.95"/>
    <n v="15.75"/>
    <n v="330.7"/>
    <s v="Delivered"/>
    <m/>
    <n v="1"/>
    <n v="6"/>
    <n v="2025"/>
    <n v="7"/>
    <n v="2025"/>
    <n v="0.73073590567197222"/>
    <x v="493"/>
    <d v="2025-06-04T08:30:30"/>
    <x v="584"/>
    <s v="Paid"/>
    <d v="2025-07-10T00:00:00"/>
    <s v="3202"/>
    <x v="7"/>
    <x v="0"/>
    <n v="314.95"/>
    <n v="230.14527349138766"/>
    <n v="0.73073590567197222"/>
    <n v="-314.95"/>
    <n v="0"/>
    <n v="0"/>
    <s v=""/>
    <x v="0"/>
    <x v="0"/>
    <s v="Pend"/>
    <s v="Pend"/>
  </r>
  <r>
    <n v="1"/>
    <s v="SO17277"/>
    <s v="AZ52-00112386"/>
    <s v="INV13054"/>
    <s v="Motion Industries Inc. (U.S.) - Tucson"/>
    <d v="2025-06-04T08:47:10"/>
    <d v="2025-06-04T08:48:37"/>
    <d v="2025-06-05T00:00:00"/>
    <s v="Ian Trottier"/>
    <s v="USD"/>
    <n v="0.7287026704392533"/>
    <n v="227.91188606443421"/>
    <n v="0"/>
    <n v="166.08"/>
    <n v="166.08"/>
    <m/>
    <n v="166.08"/>
    <s v="Delivered"/>
    <m/>
    <n v="1"/>
    <n v="6"/>
    <n v="2025"/>
    <n v="7"/>
    <n v="2025"/>
    <n v="0.72870267043925308"/>
    <x v="494"/>
    <d v="2025-06-04T08:47:10"/>
    <x v="585"/>
    <s v="Paid"/>
    <d v="2025-07-07T00:00:00"/>
    <s v="AZ52-00112386"/>
    <x v="28"/>
    <x v="1"/>
    <n v="227.91188606443416"/>
    <n v="166.08"/>
    <n v="0.7287026704392533"/>
    <n v="0"/>
    <n v="-166.08"/>
    <s v=""/>
    <n v="0"/>
    <x v="0"/>
    <x v="0"/>
    <s v="Pend"/>
    <s v="Pend"/>
  </r>
  <r>
    <n v="1"/>
    <s v="SO17278"/>
    <s v="4500586136 Replacement"/>
    <s v="INV13131"/>
    <s v="Resolute Forest Products - Clermont"/>
    <d v="2025-06-04T08:48:26"/>
    <d v="2025-06-04T08:49:30"/>
    <d v="2025-04-04T00:00:00"/>
    <s v="Ian Trottier"/>
    <s v="CAD"/>
    <n v="1"/>
    <n v="0"/>
    <n v="0"/>
    <n v="0"/>
    <m/>
    <m/>
    <m/>
    <s v="Delivered"/>
    <m/>
    <n v="1"/>
    <n v="6"/>
    <n v="2025"/>
    <s v=""/>
    <s v=""/>
    <e v="#DIV/0!"/>
    <x v="495"/>
    <d v="2025-06-04T08:48:26"/>
    <x v="586"/>
    <s v="Not invoiced"/>
    <s v="Pending"/>
    <s v="4500586136 Replacement"/>
    <x v="83"/>
    <x v="0"/>
    <n v="0"/>
    <n v="0"/>
    <n v="0"/>
    <n v="0"/>
    <n v="0"/>
    <n v="0"/>
    <s v=""/>
    <x v="1"/>
    <x v="2"/>
    <s v="Pend"/>
    <s v="Pend"/>
  </r>
  <r>
    <n v="1"/>
    <s v="SO17282"/>
    <s v="4500599628"/>
    <s v="INV13087"/>
    <s v="Resolute Forest Products - Dolbeau"/>
    <d v="2025-06-04T10:47:53"/>
    <d v="2025-06-04T10:49:46"/>
    <d v="2025-06-05T00:00:00"/>
    <s v="Ian Trottier"/>
    <s v="CAD"/>
    <n v="1"/>
    <n v="154.94"/>
    <n v="0"/>
    <n v="113.3263125773378"/>
    <n v="147.56"/>
    <n v="7.38"/>
    <n v="154.94"/>
    <s v="Delivered"/>
    <m/>
    <n v="1"/>
    <n v="6"/>
    <n v="2025"/>
    <n v="8"/>
    <n v="2025"/>
    <n v="0.73142063106581778"/>
    <x v="496"/>
    <d v="2025-06-04T10:47:53"/>
    <x v="587"/>
    <s v="Paid"/>
    <d v="2025-08-12T00:00:00"/>
    <s v="4500599628"/>
    <x v="55"/>
    <x v="0"/>
    <n v="147.56"/>
    <n v="107.92842832007207"/>
    <n v="0.73142063106581778"/>
    <n v="-147.56"/>
    <n v="0"/>
    <n v="0"/>
    <s v=""/>
    <x v="0"/>
    <x v="0"/>
    <s v="Pend"/>
    <s v="Pend"/>
  </r>
  <r>
    <n v="1"/>
    <s v="SO17283"/>
    <s v="4500599579"/>
    <s v="INV13076"/>
    <s v="Resolute Forest Products - Saint-Felicien"/>
    <d v="2025-06-04T11:39:43"/>
    <d v="2025-06-05T15:00:46"/>
    <d v="2024-06-10T00:00:00"/>
    <s v="Ian Trottier"/>
    <s v="CAD"/>
    <n v="1"/>
    <n v="248.38"/>
    <n v="0"/>
    <n v="181.7353002305843"/>
    <n v="236.55"/>
    <n v="11.83"/>
    <n v="248.38"/>
    <s v="Delivered"/>
    <m/>
    <n v="1"/>
    <n v="6"/>
    <n v="2025"/>
    <n v="8"/>
    <n v="2025"/>
    <n v="0.73168250354531084"/>
    <x v="497"/>
    <d v="2025-06-04T11:39:43"/>
    <x v="588"/>
    <s v="Paid"/>
    <d v="2025-08-07T00:00:00"/>
    <s v="4500599579"/>
    <x v="46"/>
    <x v="0"/>
    <n v="236.55"/>
    <n v="173.0794962136433"/>
    <n v="0.73168250354531084"/>
    <n v="-236.55"/>
    <n v="0"/>
    <n v="0"/>
    <s v=""/>
    <x v="0"/>
    <x v="0"/>
    <s v="Pend"/>
    <s v="Pend"/>
  </r>
  <r>
    <n v="1"/>
    <s v="SO17284"/>
    <s v="4500586136-Replacment"/>
    <s v="INV13132"/>
    <s v="Resolute Forest Products - Clermont"/>
    <d v="2025-06-04T12:53:14"/>
    <d v="2025-06-04T12:54:16"/>
    <d v="2025-06-05T00:00:00"/>
    <s v="Ian Trottier"/>
    <s v="CAD"/>
    <n v="1"/>
    <n v="0"/>
    <n v="0"/>
    <n v="0"/>
    <m/>
    <m/>
    <m/>
    <s v="Delivered"/>
    <m/>
    <n v="1"/>
    <n v="6"/>
    <n v="2025"/>
    <s v=""/>
    <s v=""/>
    <e v="#DIV/0!"/>
    <x v="498"/>
    <d v="2025-06-04T12:53:14"/>
    <x v="589"/>
    <s v="Not invoiced"/>
    <s v="Pending"/>
    <s v="4500586136-Replacment"/>
    <x v="83"/>
    <x v="0"/>
    <n v="0"/>
    <n v="0"/>
    <n v="0"/>
    <n v="0"/>
    <n v="0"/>
    <n v="0"/>
    <s v=""/>
    <x v="1"/>
    <x v="2"/>
    <s v="Pend"/>
    <s v="Pend"/>
  </r>
  <r>
    <n v="1"/>
    <s v="SO17285"/>
    <s v="21868"/>
    <s v="INV13544"/>
    <s v="DRN Industriel"/>
    <d v="2025-06-04T12:55:50"/>
    <d v="2025-10-20T08:00:41"/>
    <d v="2025-10-21T00:00:00"/>
    <s v="Ian Trottier"/>
    <s v="CAD"/>
    <n v="1"/>
    <n v="286.76"/>
    <n v="0"/>
    <n v="204.38087953342111"/>
    <n v="273.10000000000002"/>
    <n v="13.66"/>
    <n v="286.76"/>
    <s v="Delivered"/>
    <m/>
    <n v="1"/>
    <n v="6"/>
    <n v="2025"/>
    <n v="11"/>
    <n v="2025"/>
    <n v="0.71272450667255238"/>
    <x v="499"/>
    <d v="2025-06-04T12:55:50"/>
    <x v="590"/>
    <s v="Paid"/>
    <d v="2025-11-18T00:00:00"/>
    <s v="21868"/>
    <x v="52"/>
    <x v="0"/>
    <n v="273.10000000000002"/>
    <n v="194.64506277227406"/>
    <n v="0.71272450667255238"/>
    <n v="-273.10000000000002"/>
    <n v="0"/>
    <n v="0"/>
    <s v=""/>
    <x v="0"/>
    <x v="0"/>
    <s v="Pend"/>
    <s v="Pend"/>
  </r>
  <r>
    <n v="1"/>
    <s v="SO17286"/>
    <s v="2100590458"/>
    <s v="INV13078"/>
    <s v="Wajax Limited - Pointe-aux-Trembles"/>
    <d v="2025-06-04T13:04:46"/>
    <d v="2025-06-09T08:24:09"/>
    <d v="2025-06-10T00:00:00"/>
    <s v="Ian Trottier"/>
    <s v="CAD"/>
    <n v="1"/>
    <n v="889.12"/>
    <n v="0"/>
    <n v="650.09066551502087"/>
    <n v="846.78"/>
    <n v="42.34"/>
    <n v="889.12"/>
    <s v="Delivered"/>
    <m/>
    <n v="1"/>
    <n v="6"/>
    <n v="2025"/>
    <n v="7"/>
    <n v="2025"/>
    <n v="0.7311618966112795"/>
    <x v="500"/>
    <d v="2025-06-04T13:04:46"/>
    <x v="591"/>
    <s v="Paid"/>
    <d v="2025-07-16T00:00:00"/>
    <s v="2100590458"/>
    <x v="105"/>
    <x v="0"/>
    <n v="846.78"/>
    <n v="619.13327081249929"/>
    <n v="0.73116189661127962"/>
    <n v="-846.78"/>
    <n v="0"/>
    <n v="0"/>
    <s v=""/>
    <x v="0"/>
    <x v="0"/>
    <s v="Pend"/>
    <s v="Pend"/>
  </r>
  <r>
    <n v="1"/>
    <s v="SO17289"/>
    <s v="OC00172"/>
    <s v="INV13316"/>
    <s v="Dynapro Pumps México S de RL de CV"/>
    <d v="2025-06-05T10:07:12"/>
    <d v="2025-06-05T10:06:57"/>
    <d v="2025-08-22T00:00:00"/>
    <s v="Yannett Yeomans"/>
    <s v="USD"/>
    <n v="0.73142063106581767"/>
    <n v="3459.0219260199342"/>
    <n v="0"/>
    <n v="2530"/>
    <n v="2530"/>
    <m/>
    <n v="2530"/>
    <s v="Delivered"/>
    <m/>
    <n v="1"/>
    <n v="6"/>
    <n v="2025"/>
    <s v=""/>
    <s v=""/>
    <n v="0.73142063106581756"/>
    <x v="501"/>
    <d v="2025-06-05T10:07:12"/>
    <x v="592"/>
    <s v="Approved"/>
    <s v="Pending"/>
    <s v="OC00172"/>
    <x v="54"/>
    <x v="1"/>
    <n v="3459.0219260199337"/>
    <n v="2530"/>
    <n v="0.73142063106581767"/>
    <n v="0"/>
    <n v="-2530"/>
    <s v=""/>
    <n v="0"/>
    <x v="1"/>
    <x v="2"/>
    <s v="Pend"/>
    <s v="Pend"/>
  </r>
  <r>
    <n v="2"/>
    <s v="SO17291"/>
    <s v="PO-1813"/>
    <s v="INV13138"/>
    <s v="EcoVac Solutions Ltd."/>
    <d v="2025-06-05T14:31:43"/>
    <d v="2025-06-05T14:45:26"/>
    <d v="2025-09-25T00:00:00"/>
    <s v="Ian Trottier"/>
    <s v="CAD"/>
    <n v="1"/>
    <n v="8789.85"/>
    <n v="0"/>
    <n v="6431.3794537877511"/>
    <n v="7778.63"/>
    <n v="1011.22"/>
    <n v="8789.85"/>
    <s v="Delivered"/>
    <m/>
    <n v="2"/>
    <n v="6"/>
    <n v="2025"/>
    <n v="8"/>
    <n v="2025"/>
    <n v="0.73168250354531084"/>
    <x v="502"/>
    <d v="2025-06-05T14:31:43"/>
    <x v="593"/>
    <s v="Paid"/>
    <d v="2025-08-08T00:00:00"/>
    <s v="PO-1813"/>
    <x v="115"/>
    <x v="0"/>
    <n v="7778.63"/>
    <n v="5691.4874725526615"/>
    <n v="0.73168250354531084"/>
    <n v="-4798.24"/>
    <n v="0"/>
    <n v="2980.3900000000003"/>
    <s v=""/>
    <x v="0"/>
    <x v="1"/>
    <s v="Yes"/>
    <s v="Pend"/>
  </r>
  <r>
    <m/>
    <m/>
    <m/>
    <s v="INV13311"/>
    <m/>
    <m/>
    <m/>
    <m/>
    <m/>
    <m/>
    <m/>
    <m/>
    <m/>
    <m/>
    <m/>
    <m/>
    <m/>
    <m/>
    <m/>
    <n v="2"/>
    <n v="6"/>
    <n v="2025"/>
    <n v="9"/>
    <n v="2025"/>
    <n v="0.73168250354531084"/>
    <x v="502"/>
    <d v="2025-06-05T14:31:43"/>
    <x v="594"/>
    <s v="Paid"/>
    <d v="2025-09-22T00:00:00"/>
    <s v="PO-1813"/>
    <x v="115"/>
    <x v="0"/>
    <n v="0"/>
    <n v="0"/>
    <n v="0"/>
    <n v="-2980.39"/>
    <n v="0"/>
    <n v="-2980.39"/>
    <s v=""/>
    <x v="0"/>
    <x v="1"/>
    <s v="Yes"/>
    <s v="Pend"/>
  </r>
  <r>
    <n v="2"/>
    <s v="SO17293"/>
    <s v="RJEDD/IPO/2526/00076"/>
    <s v="INV13147"/>
    <s v="Jindal Drilling &amp; Industries Limited"/>
    <d v="2025-06-05T16:05:30"/>
    <d v="2025-06-21T16:05:30"/>
    <d v="2025-06-30T00:00:00"/>
    <s v="Ian Trottier"/>
    <s v="USD"/>
    <n v="0.72839293326389742"/>
    <n v="13638.31188680806"/>
    <n v="0"/>
    <n v="9934.0499999999993"/>
    <n v="9934.0499999999993"/>
    <m/>
    <n v="9934.0499999999993"/>
    <s v="Delivered"/>
    <m/>
    <n v="2"/>
    <n v="6"/>
    <n v="2025"/>
    <n v="7"/>
    <n v="2025"/>
    <n v="0.7283929332638972"/>
    <x v="503"/>
    <d v="2025-06-05T16:05:30"/>
    <x v="595"/>
    <s v="Paid"/>
    <d v="2025-07-04T00:00:00"/>
    <s v="RJEDD/IPO/2526/00076"/>
    <x v="103"/>
    <x v="1"/>
    <n v="13638.311886808056"/>
    <n v="9934.0499999999993"/>
    <n v="0.72839293326389742"/>
    <n v="0"/>
    <n v="-9714.65"/>
    <s v=""/>
    <n v="219.39999999999964"/>
    <x v="0"/>
    <x v="1"/>
    <s v="Yes"/>
    <s v="Pend"/>
  </r>
  <r>
    <m/>
    <m/>
    <m/>
    <s v="INV13289"/>
    <m/>
    <m/>
    <m/>
    <m/>
    <m/>
    <m/>
    <m/>
    <m/>
    <m/>
    <m/>
    <m/>
    <m/>
    <m/>
    <m/>
    <m/>
    <n v="2"/>
    <n v="6"/>
    <n v="2025"/>
    <n v="8"/>
    <n v="2025"/>
    <n v="0.7283929332638972"/>
    <x v="503"/>
    <d v="2025-06-05T16:05:30"/>
    <x v="596"/>
    <s v="Paid"/>
    <d v="2025-08-12T00:00:00"/>
    <s v="RJEDD/IPO/2526/00076"/>
    <x v="103"/>
    <x v="1"/>
    <n v="0"/>
    <n v="0"/>
    <n v="0"/>
    <n v="0"/>
    <n v="-219.4"/>
    <s v=""/>
    <n v="-219.4"/>
    <x v="0"/>
    <x v="1"/>
    <s v="Yes"/>
    <s v="Pend"/>
  </r>
  <r>
    <n v="2"/>
    <s v="SO17294"/>
    <s v="4500600086"/>
    <s v="INV13082"/>
    <s v="Resolute Forest Products - Saint-Felicien"/>
    <d v="2025-06-06T10:57:39"/>
    <d v="2025-06-10T16:05:44"/>
    <d v="2025-08-26T00:00:00"/>
    <s v="Ian Trottier"/>
    <s v="CAD"/>
    <n v="1"/>
    <n v="4881.34"/>
    <n v="0"/>
    <n v="3566.9704057928252"/>
    <n v="4648.8900000000003"/>
    <n v="232.45"/>
    <n v="4881.34"/>
    <s v="Delivered"/>
    <m/>
    <n v="2"/>
    <n v="6"/>
    <n v="2025"/>
    <n v="8"/>
    <n v="2025"/>
    <n v="0.73073590567197222"/>
    <x v="504"/>
    <d v="2025-06-06T10:57:39"/>
    <x v="597"/>
    <s v="Paid"/>
    <d v="2025-08-08T00:00:00"/>
    <s v="4500600086"/>
    <x v="46"/>
    <x v="0"/>
    <n v="4648.8900000000003"/>
    <n v="3397.110844519375"/>
    <n v="0.73073590567197222"/>
    <n v="-2397.5100000000002"/>
    <n v="0"/>
    <n v="2251.38"/>
    <s v=""/>
    <x v="0"/>
    <x v="1"/>
    <s v="Yes"/>
    <s v="Pend"/>
  </r>
  <r>
    <m/>
    <m/>
    <m/>
    <s v="INV13257"/>
    <m/>
    <m/>
    <m/>
    <m/>
    <m/>
    <m/>
    <m/>
    <m/>
    <m/>
    <m/>
    <m/>
    <m/>
    <m/>
    <m/>
    <m/>
    <n v="2"/>
    <n v="6"/>
    <n v="2025"/>
    <n v="10"/>
    <n v="2025"/>
    <n v="0.73073590567197222"/>
    <x v="504"/>
    <d v="2025-06-06T10:57:39"/>
    <x v="598"/>
    <s v="Paid"/>
    <d v="2025-10-03T00:00:00"/>
    <s v="4500600086"/>
    <x v="46"/>
    <x v="0"/>
    <n v="0"/>
    <n v="0"/>
    <n v="0"/>
    <n v="-2251.38"/>
    <n v="0"/>
    <n v="-2251.38"/>
    <s v=""/>
    <x v="0"/>
    <x v="1"/>
    <s v="Yes"/>
    <s v="Pend"/>
  </r>
  <r>
    <n v="1"/>
    <s v="SO17297"/>
    <s v="2100594711"/>
    <s v="INV13097"/>
    <s v="Wajax Limited - Lachine"/>
    <d v="2025-06-06T11:21:57"/>
    <d v="2025-06-13T11:40:16"/>
    <d v="2025-06-16T00:00:00"/>
    <s v="Ian Trottier"/>
    <s v="CAD"/>
    <n v="1"/>
    <n v="3201.22"/>
    <n v="0"/>
    <n v="2358.005911200114"/>
    <n v="3048.78"/>
    <n v="152.44"/>
    <n v="3201.22"/>
    <s v="Delivered"/>
    <m/>
    <n v="1"/>
    <n v="6"/>
    <n v="2025"/>
    <n v="7"/>
    <n v="2025"/>
    <n v="0.7365960200174041"/>
    <x v="505"/>
    <d v="2025-06-06T11:21:57"/>
    <x v="599"/>
    <s v="Paid"/>
    <d v="2025-07-23T00:00:00"/>
    <s v="2100594711"/>
    <x v="77"/>
    <x v="0"/>
    <n v="3048.78"/>
    <n v="2245.7192139086615"/>
    <n v="0.7365960200174041"/>
    <n v="-3048.78"/>
    <n v="0"/>
    <n v="0"/>
    <s v=""/>
    <x v="0"/>
    <x v="0"/>
    <s v="Pend"/>
    <s v="Pend"/>
  </r>
  <r>
    <n v="1"/>
    <s v="SO17298"/>
    <s v="4500896245"/>
    <s v="INV13622"/>
    <s v="Cameco Corporation - Blind River Refinery"/>
    <d v="2025-06-06T12:48:17"/>
    <d v="2025-06-23T09:52:03"/>
    <d v="2025-09-08T00:00:00"/>
    <s v="Ian Trottier"/>
    <s v="CAD"/>
    <n v="1"/>
    <n v="7149.54"/>
    <n v="0"/>
    <n v="5191.5114032325218"/>
    <n v="6327.03"/>
    <n v="822.51"/>
    <n v="7149.54"/>
    <s v="Delivered"/>
    <m/>
    <n v="1"/>
    <n v="6"/>
    <n v="2025"/>
    <n v="12"/>
    <n v="2025"/>
    <n v="0.72613222714084014"/>
    <x v="506"/>
    <d v="2025-06-06T12:48:17"/>
    <x v="600"/>
    <s v="Paid"/>
    <d v="2025-12-10T00:00:00"/>
    <s v="4500896245"/>
    <x v="92"/>
    <x v="0"/>
    <n v="6327.03"/>
    <n v="4594.26038508691"/>
    <n v="0.72613222714084025"/>
    <n v="-6327.03"/>
    <n v="0"/>
    <n v="0"/>
    <s v=""/>
    <x v="0"/>
    <x v="0"/>
    <s v="Pend"/>
    <s v="Pend"/>
  </r>
  <r>
    <n v="1"/>
    <s v="SO17299"/>
    <s v="PO 4500600220"/>
    <s v="INV13080"/>
    <s v="Resolute Forest Products - Fibrek, Resolute Forest Products - Fibrek"/>
    <d v="2025-06-06T13:10:08"/>
    <d v="2025-06-10T15:34:10"/>
    <d v="2025-06-11T00:00:00"/>
    <s v="Ian Trottier"/>
    <s v="CAD"/>
    <n v="1"/>
    <n v="1406.84"/>
    <n v="0"/>
    <n v="1028.0285015355571"/>
    <n v="1339.85"/>
    <n v="66.989999999999995"/>
    <n v="1406.84"/>
    <s v="To Deliver"/>
    <m/>
    <n v="1"/>
    <n v="6"/>
    <n v="2025"/>
    <n v="8"/>
    <n v="2025"/>
    <n v="0.730735905671972"/>
    <x v="507"/>
    <d v="2025-06-06T13:10:08"/>
    <x v="601"/>
    <s v="Paid"/>
    <d v="2025-08-08T00:00:00"/>
    <s v="PO 4500600220"/>
    <x v="116"/>
    <x v="0"/>
    <n v="1339.85"/>
    <n v="979.07650321459164"/>
    <n v="0.730735905671972"/>
    <n v="-1339.85"/>
    <n v="0"/>
    <n v="0"/>
    <s v=""/>
    <x v="0"/>
    <x v="0"/>
    <s v="Pend"/>
    <s v="Pend"/>
  </r>
  <r>
    <n v="1"/>
    <s v="SO17300"/>
    <s v="4501206829"/>
    <s v="INV13072"/>
    <s v="Barrick Gold - Pueblo Viejo Dominicana Corporation"/>
    <d v="2025-06-06T14:19:20"/>
    <d v="2025-06-06T14:32:08"/>
    <d v="2025-06-18T00:00:00"/>
    <s v="Wilka Nuñez"/>
    <s v="USD"/>
    <n v="0.73168250354531084"/>
    <n v="15638.95534546069"/>
    <n v="0"/>
    <n v="11442.75"/>
    <n v="11442.75"/>
    <m/>
    <n v="11442.75"/>
    <s v="Delivered"/>
    <m/>
    <n v="1"/>
    <n v="6"/>
    <n v="2025"/>
    <n v="7"/>
    <n v="2025"/>
    <n v="0.73168250354531084"/>
    <x v="508"/>
    <d v="2025-06-06T14:19:20"/>
    <x v="602"/>
    <s v="Paid"/>
    <d v="2025-07-25T00:00:00"/>
    <s v="4501206829"/>
    <x v="15"/>
    <x v="1"/>
    <n v="15638.95534546069"/>
    <n v="11442.75"/>
    <n v="0.73168250354531084"/>
    <n v="0"/>
    <n v="-11442.75"/>
    <s v=""/>
    <n v="0"/>
    <x v="0"/>
    <x v="0"/>
    <s v="Pend"/>
    <s v="Pend"/>
  </r>
  <r>
    <n v="2"/>
    <s v="SO17304"/>
    <s v="PO-008029"/>
    <s v="INV13330"/>
    <s v="Sling-Choker Manufacturing - Timmins"/>
    <d v="2025-06-09T11:16:05"/>
    <d v="2025-06-09T17:16:58"/>
    <d v="2025-08-25T00:00:00"/>
    <s v="Ian Trottier"/>
    <s v="CAD"/>
    <n v="1"/>
    <n v="9590.9599999999991"/>
    <n v="0"/>
    <n v="7012.5445039229162"/>
    <n v="8487.59"/>
    <n v="1103.3699999999999"/>
    <n v="9590.9599999999991"/>
    <s v="Delivered"/>
    <m/>
    <n v="2"/>
    <n v="6"/>
    <n v="2025"/>
    <n v="10"/>
    <n v="2025"/>
    <n v="0.7311618966112795"/>
    <x v="509"/>
    <d v="2025-06-09T11:16:05"/>
    <x v="603"/>
    <s v="Paid"/>
    <d v="2025-10-01T00:00:00"/>
    <s v="PO-008029"/>
    <x v="3"/>
    <x v="0"/>
    <n v="8487.59"/>
    <n v="6205.8024020589301"/>
    <n v="0.7311618966112795"/>
    <n v="-7656.94"/>
    <n v="0"/>
    <n v="830.65000000000055"/>
    <s v=""/>
    <x v="0"/>
    <x v="1"/>
    <s v="Yes"/>
    <s v="Pend"/>
  </r>
  <r>
    <m/>
    <m/>
    <m/>
    <s v="INV13164"/>
    <m/>
    <m/>
    <m/>
    <m/>
    <m/>
    <m/>
    <m/>
    <m/>
    <m/>
    <m/>
    <m/>
    <m/>
    <m/>
    <m/>
    <m/>
    <n v="2"/>
    <n v="6"/>
    <n v="2025"/>
    <n v="8"/>
    <n v="2025"/>
    <n v="0.7311618966112795"/>
    <x v="509"/>
    <d v="2025-06-09T11:16:05"/>
    <x v="604"/>
    <s v="Paid"/>
    <d v="2025-08-06T00:00:00"/>
    <s v="PO-008029"/>
    <x v="3"/>
    <x v="0"/>
    <n v="0"/>
    <n v="0"/>
    <n v="0"/>
    <n v="-830.65"/>
    <n v="0"/>
    <n v="-830.65"/>
    <s v=""/>
    <x v="0"/>
    <x v="1"/>
    <s v="Yes"/>
    <s v="Pend"/>
  </r>
  <r>
    <n v="1"/>
    <s v="SO17311"/>
    <s v="1024866"/>
    <s v="INV13585"/>
    <s v="Thunder Bay Pulp and Paper Inc"/>
    <d v="2025-06-09T16:42:49"/>
    <d v="2025-06-16T10:14:59"/>
    <d v="2025-09-14T00:00:00"/>
    <s v="Ian Trottier"/>
    <s v="CAD"/>
    <n v="1"/>
    <n v="49415.4"/>
    <n v="0"/>
    <n v="36448.314609907138"/>
    <n v="43730.44"/>
    <n v="5684.96"/>
    <n v="49415.4"/>
    <s v="Delivered"/>
    <m/>
    <n v="1"/>
    <n v="6"/>
    <n v="2025"/>
    <n v="12"/>
    <n v="2025"/>
    <n v="0.73759019677888138"/>
    <x v="510"/>
    <d v="2025-06-09T16:42:49"/>
    <x v="605"/>
    <s v="Paid"/>
    <d v="2025-12-30T00:00:00"/>
    <s v="1024866"/>
    <x v="93"/>
    <x v="0"/>
    <n v="43730.44"/>
    <n v="32255.143844827067"/>
    <n v="0.73759019677888138"/>
    <n v="-43730.44"/>
    <n v="0"/>
    <n v="0"/>
    <s v=""/>
    <x v="0"/>
    <x v="0"/>
    <s v="Pend"/>
    <s v="Pend"/>
  </r>
  <r>
    <n v="1"/>
    <s v="SO17312"/>
    <s v="0005999"/>
    <s v="INV13490"/>
    <s v="QI Supply Limited"/>
    <d v="2025-06-09T17:07:49"/>
    <d v="2025-06-11T11:46:30"/>
    <d v="2025-09-24T00:00:00"/>
    <s v="Ian Trottier"/>
    <s v="CAD"/>
    <n v="1"/>
    <n v="10428.75"/>
    <n v="0"/>
    <n v="7632.4541295444478"/>
    <n v="9932.14"/>
    <n v="496.61"/>
    <n v="10428.75"/>
    <s v="Delivered"/>
    <m/>
    <n v="1"/>
    <n v="6"/>
    <n v="2025"/>
    <n v="10"/>
    <n v="2025"/>
    <n v="0.73186663114413975"/>
    <x v="511"/>
    <d v="2025-06-09T17:07:49"/>
    <x v="606"/>
    <s v="Paid"/>
    <d v="2025-10-06T00:00:00"/>
    <s v="0005999"/>
    <x v="117"/>
    <x v="0"/>
    <n v="9932.14"/>
    <n v="7269.0018418519558"/>
    <n v="0.73186663114413975"/>
    <n v="-9932.14"/>
    <n v="0"/>
    <n v="0"/>
    <s v=""/>
    <x v="0"/>
    <x v="0"/>
    <s v="Pend"/>
    <s v="Pend"/>
  </r>
  <r>
    <n v="1"/>
    <s v="SO17313"/>
    <s v="OC00174"/>
    <s v="INV13346"/>
    <s v="Dynapro Pumps México S de RL de CV"/>
    <d v="2025-06-09T18:42:09"/>
    <d v="2025-06-09T18:40:57"/>
    <d v="2025-06-09T00:00:00"/>
    <s v="Yannett Yeomans"/>
    <s v="USD"/>
    <n v="0.73007596812830444"/>
    <n v="3670.8508662060399"/>
    <n v="0"/>
    <n v="2680"/>
    <n v="2680"/>
    <m/>
    <n v="2680"/>
    <s v="Delivered"/>
    <m/>
    <n v="1"/>
    <n v="6"/>
    <n v="2025"/>
    <s v=""/>
    <s v=""/>
    <n v="0.73007596812830455"/>
    <x v="512"/>
    <d v="2025-06-09T18:42:09"/>
    <x v="607"/>
    <s v="Approved"/>
    <s v="Pending"/>
    <s v="OC00174"/>
    <x v="54"/>
    <x v="1"/>
    <n v="3670.8508662060403"/>
    <n v="2680"/>
    <n v="0.73007596812830444"/>
    <n v="0"/>
    <n v="-2680"/>
    <s v=""/>
    <n v="0"/>
    <x v="1"/>
    <x v="2"/>
    <s v="Pend"/>
    <s v="Pend"/>
  </r>
  <r>
    <n v="1"/>
    <s v="SO17315"/>
    <s v="1052, ship to PO# 2251390"/>
    <s v="INV13535"/>
    <s v="Mill-Right Mine Services Inc."/>
    <d v="2025-06-10T12:40:52"/>
    <d v="2025-06-20T07:49:59"/>
    <d v="2025-10-01T00:00:00"/>
    <s v="Amanda Qiao"/>
    <s v="USD"/>
    <n v="0.73067487305017076"/>
    <n v="9028.6394719735035"/>
    <n v="0"/>
    <n v="6597"/>
    <n v="6597"/>
    <m/>
    <n v="6597"/>
    <s v="Delivered"/>
    <m/>
    <n v="1"/>
    <n v="6"/>
    <n v="2025"/>
    <s v=""/>
    <s v=""/>
    <n v="0.73067487305017076"/>
    <x v="513"/>
    <d v="2025-06-10T12:40:52"/>
    <x v="608"/>
    <s v="Approved"/>
    <s v="Pending"/>
    <s v="1052, ship to PO# 2251390"/>
    <x v="30"/>
    <x v="1"/>
    <n v="9028.6394719735035"/>
    <n v="6597"/>
    <n v="0.73067487305017076"/>
    <n v="0"/>
    <n v="-6597"/>
    <s v=""/>
    <n v="0"/>
    <x v="1"/>
    <x v="2"/>
    <s v="Pend"/>
    <s v="Pend"/>
  </r>
  <r>
    <n v="1"/>
    <s v="SO17316"/>
    <s v="2100592601"/>
    <s v="INV13092"/>
    <s v="Wajax Limited - Noranda"/>
    <d v="2025-06-10T14:25:38"/>
    <d v="2025-06-12T17:14:48"/>
    <d v="2025-06-16T00:00:00"/>
    <s v="Ian Trottier"/>
    <s v="CAD"/>
    <n v="1"/>
    <n v="1493.63"/>
    <n v="0"/>
    <n v="1096.769802253523"/>
    <n v="1422.5"/>
    <n v="71.13"/>
    <n v="1493.63"/>
    <s v="Delivered"/>
    <m/>
    <n v="1"/>
    <n v="6"/>
    <n v="2025"/>
    <n v="7"/>
    <n v="2025"/>
    <n v="0.73429818780656719"/>
    <x v="514"/>
    <d v="2025-06-10T14:25:38"/>
    <x v="609"/>
    <s v="Paid"/>
    <d v="2025-07-16T00:00:00"/>
    <s v="2100592601"/>
    <x v="35"/>
    <x v="0"/>
    <n v="1422.5"/>
    <n v="1044.5391721548419"/>
    <n v="0.7342981878065673"/>
    <n v="-1422.5"/>
    <n v="0"/>
    <n v="0"/>
    <s v=""/>
    <x v="0"/>
    <x v="0"/>
    <s v="Pend"/>
    <s v="Pend"/>
  </r>
  <r>
    <n v="1"/>
    <s v="SO17317"/>
    <s v="4500600624"/>
    <s v="INV13083"/>
    <s v="Resolute Forest Products - Kenogami"/>
    <d v="2025-06-10T16:29:11"/>
    <d v="2025-06-10T16:30:32"/>
    <d v="2025-06-11T00:00:00"/>
    <s v="Ian Trottier"/>
    <s v="CAD"/>
    <n v="1"/>
    <n v="1973.54"/>
    <n v="0"/>
    <n v="1442.1365392798641"/>
    <n v="1879.56"/>
    <n v="93.98"/>
    <n v="1973.54"/>
    <s v="Delivered"/>
    <m/>
    <n v="1"/>
    <n v="6"/>
    <n v="2025"/>
    <n v="8"/>
    <n v="2025"/>
    <n v="0.73073590567197222"/>
    <x v="515"/>
    <d v="2025-06-10T16:29:11"/>
    <x v="610"/>
    <s v="Paid"/>
    <d v="2025-08-08T00:00:00"/>
    <s v="4500600624"/>
    <x v="17"/>
    <x v="0"/>
    <n v="1879.56"/>
    <n v="1373.461978864812"/>
    <n v="0.73073590567197211"/>
    <n v="-1879.56"/>
    <n v="0"/>
    <n v="0"/>
    <s v=""/>
    <x v="0"/>
    <x v="0"/>
    <s v="Pend"/>
    <s v="Pend"/>
  </r>
  <r>
    <n v="1"/>
    <s v="SO17318"/>
    <s v="2100594290"/>
    <s v="INV13093"/>
    <s v="Wajax Limited - Pointe-aux-Trembles, Wajax Limited"/>
    <d v="2025-06-10T16:39:10"/>
    <d v="2025-06-12T17:49:34"/>
    <d v="2025-06-13T00:00:00"/>
    <s v="Marlen Martinez"/>
    <s v="CAD"/>
    <n v="1"/>
    <n v="480.54"/>
    <n v="0"/>
    <n v="352.85965116856778"/>
    <n v="457.66"/>
    <n v="22.88"/>
    <n v="480.54"/>
    <s v="Delivered"/>
    <m/>
    <n v="1"/>
    <n v="6"/>
    <n v="2025"/>
    <n v="7"/>
    <n v="2025"/>
    <n v="0.73429818780656708"/>
    <x v="516"/>
    <d v="2025-06-10T16:39:10"/>
    <x v="611"/>
    <s v="Paid"/>
    <d v="2025-07-16T00:00:00"/>
    <s v="2100594290"/>
    <x v="44"/>
    <x v="0"/>
    <n v="457.66"/>
    <n v="336.05890863155349"/>
    <n v="0.73429818780656708"/>
    <n v="-457.66"/>
    <n v="0"/>
    <n v="0"/>
    <s v=""/>
    <x v="0"/>
    <x v="0"/>
    <s v="Pend"/>
    <s v="Pend"/>
  </r>
  <r>
    <n v="1"/>
    <s v="SO17319"/>
    <s v="Purchase Order no. 7269 | Steve"/>
    <s v="INV13102"/>
    <s v="Hyperflo"/>
    <d v="2025-06-10T16:44:33"/>
    <d v="2025-06-10T16:44:33"/>
    <d v="2025-06-17T00:00:00"/>
    <s v="Ian Trottier"/>
    <s v="CAD"/>
    <n v="1"/>
    <n v="477.52"/>
    <n v="0"/>
    <n v="348.94100967648018"/>
    <n v="454.78"/>
    <n v="22.74"/>
    <n v="477.52"/>
    <s v="Delivered"/>
    <m/>
    <n v="1"/>
    <n v="6"/>
    <n v="2025"/>
    <n v="8"/>
    <n v="2025"/>
    <n v="0.73073590567197222"/>
    <x v="517"/>
    <d v="2025-06-10T16:44:33"/>
    <x v="612"/>
    <s v="Paid"/>
    <d v="2025-08-04T00:00:00"/>
    <s v="Purchase Order no. 7269 | Steve"/>
    <x v="5"/>
    <x v="0"/>
    <n v="454.78"/>
    <n v="332.3240751814995"/>
    <n v="0.73073590567197222"/>
    <n v="-454.78"/>
    <n v="0"/>
    <n v="0"/>
    <s v=""/>
    <x v="0"/>
    <x v="0"/>
    <s v="Pend"/>
    <s v="Pend"/>
  </r>
  <r>
    <n v="1"/>
    <s v="SO17320"/>
    <s v="7247"/>
    <s v="INV13218"/>
    <s v="Hyperflo"/>
    <d v="2025-06-10T16:50:31"/>
    <d v="2025-06-11T17:07:06"/>
    <d v="2025-08-27T00:00:00"/>
    <s v="Ian Trottier"/>
    <s v="CAD"/>
    <n v="1"/>
    <n v="5246.09"/>
    <n v="0"/>
    <n v="3839.4382149789599"/>
    <n v="4996.2700000000004"/>
    <n v="249.82"/>
    <n v="5246.09"/>
    <s v="Delivered"/>
    <m/>
    <n v="1"/>
    <n v="6"/>
    <n v="2025"/>
    <n v="8"/>
    <n v="2025"/>
    <n v="0.73186663114413963"/>
    <x v="518"/>
    <d v="2025-06-10T16:50:31"/>
    <x v="613"/>
    <s v="Paid"/>
    <d v="2025-08-29T00:00:00"/>
    <s v="7247"/>
    <x v="5"/>
    <x v="0"/>
    <n v="4996.2700000000004"/>
    <n v="3656.6032931865307"/>
    <n v="0.73186663114413963"/>
    <n v="-4996.2700000000004"/>
    <n v="0"/>
    <n v="0"/>
    <s v=""/>
    <x v="0"/>
    <x v="0"/>
    <s v="Pend"/>
    <s v="Pend"/>
  </r>
  <r>
    <n v="3"/>
    <s v="SO17321"/>
    <s v="A20250612"/>
    <s v="INV13284"/>
    <s v="Alpha Industrial &amp; Mining Supplies Limited"/>
    <d v="2025-06-11T09:51:29"/>
    <d v="2025-06-12T15:46:43"/>
    <d v="2025-09-04T00:00:00"/>
    <s v="Ian Trottier"/>
    <s v="CAD"/>
    <n v="1"/>
    <n v="7848.62"/>
    <n v="0"/>
    <n v="5763.2274427823804"/>
    <n v="6945.69"/>
    <n v="902.93"/>
    <n v="7848.62"/>
    <s v="Delivered"/>
    <m/>
    <n v="3"/>
    <n v="6"/>
    <n v="2025"/>
    <n v="8"/>
    <n v="2025"/>
    <n v="0.7342981878065673"/>
    <x v="519"/>
    <d v="2025-06-11T09:51:29"/>
    <x v="614"/>
    <s v="Paid"/>
    <d v="2025-08-08T00:00:00"/>
    <s v="A20250612"/>
    <x v="118"/>
    <x v="0"/>
    <n v="6945.69"/>
    <n v="5100.207580066196"/>
    <n v="0.7342981878065673"/>
    <n v="-2604.9299999999998"/>
    <n v="0"/>
    <n v="4340.76"/>
    <s v=""/>
    <x v="0"/>
    <x v="1"/>
    <s v="Yes"/>
    <s v="Pend"/>
  </r>
  <r>
    <m/>
    <m/>
    <m/>
    <s v="INV13142"/>
    <m/>
    <m/>
    <m/>
    <m/>
    <m/>
    <m/>
    <m/>
    <m/>
    <m/>
    <m/>
    <m/>
    <m/>
    <m/>
    <m/>
    <m/>
    <n v="3"/>
    <n v="6"/>
    <n v="2025"/>
    <n v="7"/>
    <n v="2025"/>
    <n v="0.7342981878065673"/>
    <x v="519"/>
    <d v="2025-06-11T09:51:29"/>
    <x v="615"/>
    <s v="Paid"/>
    <d v="2025-07-03T00:00:00"/>
    <s v="A20250612"/>
    <x v="118"/>
    <x v="0"/>
    <n v="0"/>
    <n v="0"/>
    <n v="0"/>
    <n v="-2775.92"/>
    <n v="0"/>
    <n v="-2775.92"/>
    <s v=""/>
    <x v="0"/>
    <x v="1"/>
    <s v="Yes"/>
    <s v="Pend"/>
  </r>
  <r>
    <m/>
    <m/>
    <m/>
    <s v="INV13170"/>
    <m/>
    <m/>
    <m/>
    <m/>
    <m/>
    <m/>
    <m/>
    <m/>
    <m/>
    <m/>
    <m/>
    <m/>
    <m/>
    <m/>
    <m/>
    <n v="3"/>
    <n v="6"/>
    <n v="2025"/>
    <n v="7"/>
    <n v="2025"/>
    <n v="0.7342981878065673"/>
    <x v="519"/>
    <d v="2025-06-11T09:51:29"/>
    <x v="616"/>
    <s v="Paid"/>
    <d v="2025-07-11T00:00:00"/>
    <s v="A20250612"/>
    <x v="118"/>
    <x v="0"/>
    <n v="0"/>
    <n v="0"/>
    <n v="0"/>
    <n v="-1564.84"/>
    <n v="0"/>
    <n v="-1564.84"/>
    <s v=""/>
    <x v="0"/>
    <x v="1"/>
    <s v="Yes"/>
    <s v="Pend"/>
  </r>
  <r>
    <n v="1"/>
    <s v="SO17322"/>
    <s v="4501209961"/>
    <s v="INV13120"/>
    <s v="Barrick Gold - Pueblo Viejo Dominicana Corporation"/>
    <d v="2025-06-11T10:14:14"/>
    <d v="2025-06-11T10:17:49"/>
    <m/>
    <s v="Wilka Nuñez"/>
    <s v="USD"/>
    <n v="0.73073590567197222"/>
    <n v="25507.710590544379"/>
    <n v="0"/>
    <n v="18639.400000000001"/>
    <n v="18639.400000000001"/>
    <m/>
    <n v="18639.400000000001"/>
    <s v="Delivered"/>
    <m/>
    <n v="1"/>
    <n v="6"/>
    <n v="2025"/>
    <n v="8"/>
    <n v="2025"/>
    <n v="0.73073590567197211"/>
    <x v="520"/>
    <d v="2025-06-11T10:14:14"/>
    <x v="617"/>
    <s v="Paid"/>
    <d v="2025-08-07T00:00:00"/>
    <s v="4501209961"/>
    <x v="15"/>
    <x v="1"/>
    <n v="25507.710590544375"/>
    <n v="18639.400000000001"/>
    <n v="0.73073590567197222"/>
    <n v="0"/>
    <n v="-18639.400000000001"/>
    <s v=""/>
    <n v="0"/>
    <x v="0"/>
    <x v="0"/>
    <s v="Pend"/>
    <s v="Pend"/>
  </r>
  <r>
    <n v="1"/>
    <s v="SO17325"/>
    <s v="3577 - Paid in Full on June 25th via wire transfer."/>
    <s v="INV13139"/>
    <s v="Middle Georgia Fluid Sealing LLC"/>
    <d v="2025-06-11T15:45:58"/>
    <d v="2025-06-13T11:50:55"/>
    <d v="2025-06-24T00:00:00"/>
    <s v="Ian Trottier"/>
    <s v="USD"/>
    <n v="0.73429818780656719"/>
    <n v="17703.053358786648"/>
    <n v="0"/>
    <n v="12999.32"/>
    <n v="12999.32"/>
    <m/>
    <n v="12999.32"/>
    <s v="Delivered"/>
    <m/>
    <n v="1"/>
    <n v="6"/>
    <n v="2025"/>
    <n v="7"/>
    <n v="2025"/>
    <n v="0.7342981878065673"/>
    <x v="521"/>
    <d v="2025-06-11T15:45:58"/>
    <x v="618"/>
    <s v="Paid"/>
    <d v="2025-07-21T00:00:00"/>
    <s v="3577 - Paid in Full on June 25th via wire transfer."/>
    <x v="119"/>
    <x v="1"/>
    <n v="17703.053358786648"/>
    <n v="12999.32"/>
    <n v="0.7342981878065673"/>
    <n v="0"/>
    <n v="-12999.32"/>
    <s v=""/>
    <n v="0"/>
    <x v="0"/>
    <x v="0"/>
    <s v="Pend"/>
    <s v="Pend"/>
  </r>
  <r>
    <n v="1"/>
    <s v="SO17329"/>
    <s v="BC65-00080832"/>
    <s v="INV13096"/>
    <s v="Motion Industries Inc. (Canada) - Prince George"/>
    <d v="2025-06-12T12:14:45"/>
    <d v="2025-06-13T11:56:18"/>
    <d v="2025-06-16T00:00:00"/>
    <s v="Ian Trottier"/>
    <s v="CAD"/>
    <n v="1"/>
    <n v="601.01"/>
    <n v="0"/>
    <n v="442.70157399065988"/>
    <n v="572.4"/>
    <n v="28.61"/>
    <n v="601.01"/>
    <s v="Delivered"/>
    <m/>
    <n v="1"/>
    <n v="6"/>
    <n v="2025"/>
    <n v="7"/>
    <n v="2025"/>
    <n v="0.73659602001740387"/>
    <x v="522"/>
    <d v="2025-06-12T12:14:45"/>
    <x v="619"/>
    <s v="Paid"/>
    <d v="2025-07-16T00:00:00"/>
    <s v="BC65-00080832"/>
    <x v="41"/>
    <x v="0"/>
    <n v="572.4"/>
    <n v="421.62756185796195"/>
    <n v="0.73659602001740387"/>
    <n v="-572.4"/>
    <n v="0"/>
    <n v="0"/>
    <s v=""/>
    <x v="0"/>
    <x v="0"/>
    <s v="Pend"/>
    <s v="Pend"/>
  </r>
  <r>
    <n v="2"/>
    <s v="SO17332"/>
    <s v="PO-0020398"/>
    <s v="INV13130"/>
    <s v="MAB Equipment Company Inc."/>
    <d v="2025-06-12T17:23:27"/>
    <d v="2025-06-13T15:33:10"/>
    <d v="2025-09-25T00:00:00"/>
    <s v="Ian Trottier"/>
    <s v="USD"/>
    <n v="0.73429818780656719"/>
    <n v="3642.0081710789732"/>
    <n v="0"/>
    <n v="2674.32"/>
    <n v="2674.32"/>
    <m/>
    <n v="2674.32"/>
    <s v="Delivered"/>
    <m/>
    <n v="2"/>
    <n v="6"/>
    <n v="2025"/>
    <n v="8"/>
    <n v="2025"/>
    <n v="0.73429818780656719"/>
    <x v="523"/>
    <d v="2025-06-12T17:23:27"/>
    <x v="620"/>
    <s v="Paid"/>
    <d v="2025-08-25T00:00:00"/>
    <s v="PO-0020398"/>
    <x v="67"/>
    <x v="1"/>
    <n v="3642.0081710789732"/>
    <n v="2674.32"/>
    <n v="0.73429818780656719"/>
    <n v="0"/>
    <n v="-662.76"/>
    <s v=""/>
    <n v="2011.5600000000002"/>
    <x v="0"/>
    <x v="1"/>
    <s v="Yes"/>
    <s v="Pend"/>
  </r>
  <r>
    <m/>
    <m/>
    <m/>
    <s v="INV13414"/>
    <m/>
    <m/>
    <m/>
    <m/>
    <m/>
    <m/>
    <m/>
    <m/>
    <m/>
    <m/>
    <m/>
    <m/>
    <m/>
    <m/>
    <m/>
    <n v="2"/>
    <n v="6"/>
    <n v="2025"/>
    <n v="11"/>
    <n v="2025"/>
    <n v="0.73429818780656719"/>
    <x v="523"/>
    <d v="2025-06-12T17:23:27"/>
    <x v="621"/>
    <s v="Paid"/>
    <d v="2025-11-04T00:00:00"/>
    <s v="PO-0020398"/>
    <x v="67"/>
    <x v="1"/>
    <n v="0"/>
    <n v="0"/>
    <n v="0"/>
    <n v="0"/>
    <n v="-2011.56"/>
    <s v=""/>
    <n v="-2011.56"/>
    <x v="0"/>
    <x v="1"/>
    <s v="Yes"/>
    <s v="Pend"/>
  </r>
  <r>
    <n v="1"/>
    <s v="SO17333"/>
    <s v="2100594387"/>
    <s v="INV13157"/>
    <s v="Wajax Limited - Pointe-aux-Trembles, Wajax Limited"/>
    <d v="2025-06-12T18:12:04"/>
    <d v="2025-06-12T18:00:09"/>
    <d v="2025-07-18T00:00:00"/>
    <s v="Marlen Martinez"/>
    <s v="CAD"/>
    <n v="1"/>
    <n v="717.28"/>
    <n v="0"/>
    <n v="526.69740414989451"/>
    <n v="683.13"/>
    <n v="34.15"/>
    <n v="717.28"/>
    <s v="Delivered"/>
    <m/>
    <n v="1"/>
    <n v="6"/>
    <n v="2025"/>
    <n v="8"/>
    <n v="2025"/>
    <n v="0.73429818780656719"/>
    <x v="524"/>
    <d v="2025-06-12T18:12:04"/>
    <x v="622"/>
    <s v="Paid"/>
    <d v="2025-08-13T00:00:00"/>
    <s v="2100594387"/>
    <x v="44"/>
    <x v="0"/>
    <n v="683.13"/>
    <n v="501.62112103630022"/>
    <n v="0.73429818780656719"/>
    <n v="-683.13"/>
    <n v="0"/>
    <n v="0"/>
    <s v=""/>
    <x v="0"/>
    <x v="0"/>
    <s v="Pend"/>
    <s v="Pend"/>
  </r>
  <r>
    <n v="1"/>
    <s v="SO17334"/>
    <s v="2252777"/>
    <s v="INV13223"/>
    <s v="Zijin Mining - Rosebel Goldmines N.V."/>
    <d v="2025-06-13T07:29:21"/>
    <d v="2025-07-15T08:44:20"/>
    <d v="2025-08-04T00:00:00"/>
    <s v="Amanda Qiao"/>
    <s v="USD"/>
    <n v="0.73022664145869165"/>
    <n v="14951.741528068629"/>
    <n v="0"/>
    <n v="10918.16"/>
    <n v="10918.16"/>
    <m/>
    <n v="10918.16"/>
    <s v="Delivered"/>
    <m/>
    <n v="1"/>
    <n v="6"/>
    <n v="2025"/>
    <s v=""/>
    <s v=""/>
    <n v="0.73022664145869154"/>
    <x v="525"/>
    <d v="2025-06-13T07:29:21"/>
    <x v="623"/>
    <s v="Approved"/>
    <s v="Pending"/>
    <s v="2252777"/>
    <x v="1"/>
    <x v="1"/>
    <n v="14951.741528068627"/>
    <n v="10918.16"/>
    <n v="0.73022664145869165"/>
    <n v="0"/>
    <n v="-10918.16"/>
    <s v=""/>
    <n v="0"/>
    <x v="1"/>
    <x v="2"/>
    <s v="Pend"/>
    <s v="Pend"/>
  </r>
  <r>
    <n v="1"/>
    <s v="SO17337"/>
    <s v="10450"/>
    <s v="INV13235"/>
    <s v="Canadian Industrial Pumps Ltd, Canadian Industrial Pumps Ltd"/>
    <d v="2025-06-13T08:35:02"/>
    <d v="2025-06-30T12:19:15"/>
    <d v="2025-07-09T00:00:00"/>
    <s v="Taylor Cook"/>
    <s v="CAD"/>
    <n v="1"/>
    <n v="2720.49"/>
    <n v="0"/>
    <n v="1997.43387246153"/>
    <n v="2720.49"/>
    <m/>
    <n v="2720.49"/>
    <s v="Delivered"/>
    <m/>
    <n v="1"/>
    <n v="6"/>
    <n v="2025"/>
    <n v="10"/>
    <n v="2025"/>
    <n v="0.73421842111587621"/>
    <x v="526"/>
    <d v="2025-06-13T08:35:02"/>
    <x v="624"/>
    <s v="Paid"/>
    <d v="2025-10-03T00:00:00"/>
    <s v="10450"/>
    <x v="78"/>
    <x v="0"/>
    <n v="2720.49"/>
    <n v="1997.43387246153"/>
    <n v="0.73421842111587621"/>
    <n v="-2720.49"/>
    <n v="0"/>
    <n v="0"/>
    <s v=""/>
    <x v="0"/>
    <x v="0"/>
    <s v="Pend"/>
    <s v="Pend"/>
  </r>
  <r>
    <n v="1"/>
    <s v="SO17338"/>
    <s v="M-083855"/>
    <s v="INV13101"/>
    <s v="Grant Aggregate"/>
    <d v="2025-06-13T10:01:27"/>
    <d v="2025-06-16T08:14:28"/>
    <d v="2025-06-18T00:00:00"/>
    <s v="Ian Trottier"/>
    <s v="CAD"/>
    <n v="1"/>
    <n v="266.38"/>
    <n v="0"/>
    <n v="196.47927661795839"/>
    <n v="235.74"/>
    <n v="30.64"/>
    <n v="266.38"/>
    <s v="Delivered"/>
    <m/>
    <n v="1"/>
    <n v="6"/>
    <n v="2025"/>
    <n v="7"/>
    <n v="2025"/>
    <n v="0.73759019677888127"/>
    <x v="527"/>
    <d v="2025-06-13T10:01:27"/>
    <x v="625"/>
    <s v="Paid"/>
    <d v="2025-07-25T00:00:00"/>
    <s v="M-083855"/>
    <x v="9"/>
    <x v="0"/>
    <n v="235.74"/>
    <n v="173.87951298865349"/>
    <n v="0.73759019677888127"/>
    <n v="-235.74"/>
    <n v="0"/>
    <n v="0"/>
    <s v=""/>
    <x v="0"/>
    <x v="0"/>
    <s v="Pend"/>
    <s v="Pend"/>
  </r>
  <r>
    <n v="1"/>
    <s v="SO17345"/>
    <s v="4500601157"/>
    <s v="INV13258"/>
    <s v="Resolute Forest Products - Saint-Felicien"/>
    <d v="2025-06-13T13:55:41"/>
    <d v="2025-06-13T14:03:32"/>
    <d v="2025-08-22T00:00:00"/>
    <s v="Ian Trottier"/>
    <s v="CAD"/>
    <n v="1"/>
    <n v="1668.56"/>
    <n v="0"/>
    <n v="1229.054655160239"/>
    <n v="1589.1"/>
    <n v="79.459999999999994"/>
    <n v="1668.56"/>
    <s v="Delivered"/>
    <m/>
    <n v="1"/>
    <n v="6"/>
    <n v="2025"/>
    <n v="10"/>
    <n v="2025"/>
    <n v="0.73659602001740365"/>
    <x v="528"/>
    <d v="2025-06-13T13:55:41"/>
    <x v="626"/>
    <s v="Paid"/>
    <d v="2025-10-03T00:00:00"/>
    <s v="4500601157"/>
    <x v="46"/>
    <x v="0"/>
    <n v="1589.1"/>
    <n v="1170.5247354096562"/>
    <n v="0.73659602001740365"/>
    <n v="-1589.1"/>
    <n v="0"/>
    <n v="0"/>
    <s v=""/>
    <x v="0"/>
    <x v="0"/>
    <s v="Pend"/>
    <s v="Pend"/>
  </r>
  <r>
    <n v="1"/>
    <s v="SO17346"/>
    <s v="PO-008046"/>
    <s v="INV13113"/>
    <s v="Sling-Choker Manufacturing - Timmins"/>
    <d v="2025-06-13T15:19:04"/>
    <d v="2025-06-13T15:21:16"/>
    <d v="2025-06-13T00:00:00"/>
    <s v="Ian Trottier"/>
    <s v="CAD"/>
    <n v="1"/>
    <n v="4457.7"/>
    <n v="0"/>
    <n v="3283.524078431582"/>
    <n v="3944.87"/>
    <n v="512.83000000000004"/>
    <n v="4457.7"/>
    <s v="Delivered"/>
    <m/>
    <n v="1"/>
    <n v="6"/>
    <n v="2025"/>
    <n v="7"/>
    <n v="2025"/>
    <n v="0.7365960200174041"/>
    <x v="529"/>
    <d v="2025-06-13T15:19:04"/>
    <x v="627"/>
    <s v="Paid"/>
    <d v="2025-07-23T00:00:00"/>
    <s v="PO-008046"/>
    <x v="3"/>
    <x v="0"/>
    <n v="3944.87"/>
    <n v="2905.7755414860567"/>
    <n v="0.7365960200174041"/>
    <n v="-3944.87"/>
    <n v="0"/>
    <n v="0"/>
    <s v=""/>
    <x v="0"/>
    <x v="0"/>
    <s v="Pend"/>
    <s v="Pend"/>
  </r>
  <r>
    <n v="1"/>
    <s v="SO17349"/>
    <s v="PO09675"/>
    <s v="INV13107"/>
    <s v="Tantalum Mining Corporation of Canada"/>
    <d v="2025-06-16T08:34:59"/>
    <d v="2025-06-16T08:36:37"/>
    <d v="2025-06-19T00:00:00"/>
    <s v="Taylor Cook"/>
    <s v="CAD"/>
    <n v="1"/>
    <n v="1003.33"/>
    <n v="0"/>
    <n v="740.04637213415515"/>
    <n v="955.55"/>
    <n v="47.78"/>
    <n v="1003.33"/>
    <s v="Delivered"/>
    <m/>
    <n v="1"/>
    <n v="6"/>
    <n v="2025"/>
    <n v="7"/>
    <n v="2025"/>
    <n v="0.73759019677888149"/>
    <x v="530"/>
    <d v="2025-06-16T08:34:59"/>
    <x v="628"/>
    <s v="Paid"/>
    <d v="2025-07-30T00:00:00"/>
    <s v="PO09675"/>
    <x v="20"/>
    <x v="0"/>
    <n v="955.55"/>
    <n v="704.80431253206018"/>
    <n v="0.73759019677888149"/>
    <n v="-955.55"/>
    <n v="0"/>
    <n v="0"/>
    <s v=""/>
    <x v="0"/>
    <x v="0"/>
    <s v="Pend"/>
    <s v="Pend"/>
  </r>
  <r>
    <n v="1"/>
    <s v="SO17353"/>
    <s v="2100596118"/>
    <s v="INV13103"/>
    <s v="Wajax Limited - Noranda"/>
    <d v="2025-06-16T13:40:23"/>
    <d v="2025-06-16T14:35:22"/>
    <d v="2025-06-20T00:00:00"/>
    <s v="Ian Trottier"/>
    <s v="CAD"/>
    <n v="1"/>
    <n v="2758.72"/>
    <n v="0"/>
    <n v="2034.8048276578361"/>
    <n v="2627.35"/>
    <n v="131.37"/>
    <n v="2758.72"/>
    <s v="Delivered"/>
    <m/>
    <n v="1"/>
    <n v="6"/>
    <n v="2025"/>
    <n v="7"/>
    <n v="2025"/>
    <n v="0.7375901967788816"/>
    <x v="531"/>
    <d v="2025-06-16T13:40:23"/>
    <x v="629"/>
    <s v="Paid"/>
    <d v="2025-07-23T00:00:00"/>
    <s v="2100596118"/>
    <x v="35"/>
    <x v="0"/>
    <n v="2627.35"/>
    <n v="1937.9076035069945"/>
    <n v="0.7375901967788816"/>
    <n v="-2627.35"/>
    <n v="0"/>
    <n v="0"/>
    <s v=""/>
    <x v="0"/>
    <x v="0"/>
    <s v="Pend"/>
    <s v="Pend"/>
  </r>
  <r>
    <n v="1"/>
    <s v="SO17355"/>
    <s v="WV70-00220419"/>
    <s v="INV13104"/>
    <s v="Motion Industries Inc. (U.S.) - Huntington, Motion Industries, Inc."/>
    <d v="2025-06-16T14:17:37"/>
    <d v="2025-06-18T12:45:05"/>
    <d v="2025-06-25T00:00:00"/>
    <s v="Ian Trottier"/>
    <s v="USD"/>
    <n v="0.73586843526375945"/>
    <n v="466.65950534610732"/>
    <n v="0"/>
    <n v="343.4"/>
    <n v="343.4"/>
    <m/>
    <n v="343.4"/>
    <s v="Delivered"/>
    <m/>
    <n v="1"/>
    <n v="6"/>
    <n v="2025"/>
    <n v="7"/>
    <n v="2025"/>
    <n v="0.73586843526375945"/>
    <x v="532"/>
    <d v="2025-06-16T14:17:37"/>
    <x v="630"/>
    <s v="Paid"/>
    <d v="2025-07-21T00:00:00"/>
    <s v="WV70-00220419"/>
    <x v="120"/>
    <x v="1"/>
    <n v="466.65950534610732"/>
    <n v="343.4"/>
    <n v="0.73586843526375945"/>
    <n v="0"/>
    <n v="-343.4"/>
    <s v=""/>
    <n v="0"/>
    <x v="0"/>
    <x v="0"/>
    <s v="Pend"/>
    <s v="Pend"/>
  </r>
  <r>
    <n v="1"/>
    <s v="SO17356"/>
    <s v="4009449"/>
    <s v="INV13287"/>
    <s v="John Brooks Company Limited"/>
    <d v="2025-06-16T14:44:19"/>
    <d v="2025-06-16T14:44:19"/>
    <d v="2025-09-03T00:00:00"/>
    <s v="Ian Trottier"/>
    <s v="CAD"/>
    <n v="1"/>
    <n v="12164.25"/>
    <n v="0"/>
    <n v="8972.2315511675097"/>
    <n v="10764.82"/>
    <n v="1399.43"/>
    <n v="12164.25"/>
    <s v="Delivered"/>
    <m/>
    <n v="1"/>
    <n v="6"/>
    <n v="2025"/>
    <n v="9"/>
    <n v="2025"/>
    <n v="0.73759019677888149"/>
    <x v="533"/>
    <d v="2025-06-16T14:44:19"/>
    <x v="631"/>
    <s v="Paid"/>
    <d v="2025-09-03T00:00:00"/>
    <s v="4009449"/>
    <x v="58"/>
    <x v="0"/>
    <n v="10764.82"/>
    <n v="7940.0257020892386"/>
    <n v="0.73759019677888149"/>
    <n v="-10764.82"/>
    <n v="0"/>
    <n v="0"/>
    <s v=""/>
    <x v="0"/>
    <x v="0"/>
    <s v="Pend"/>
    <s v="Pend"/>
  </r>
  <r>
    <n v="1"/>
    <s v="SO17357"/>
    <s v="186395"/>
    <s v="INV13106"/>
    <s v="Fabrene Inc."/>
    <d v="2025-06-16T15:05:53"/>
    <d v="2025-06-17T16:45:04"/>
    <d v="2025-06-23T00:00:00"/>
    <s v="Alexis Gil Lamadrid"/>
    <s v="CAD"/>
    <n v="1"/>
    <n v="320.69"/>
    <n v="0"/>
    <n v="235.985648504735"/>
    <n v="283.8"/>
    <n v="36.89"/>
    <n v="320.69"/>
    <s v="Delivered"/>
    <m/>
    <n v="1"/>
    <n v="6"/>
    <n v="2025"/>
    <n v="7"/>
    <n v="2025"/>
    <n v="0.73586843526375934"/>
    <x v="534"/>
    <d v="2025-06-16T15:05:53"/>
    <x v="632"/>
    <s v="Paid"/>
    <d v="2025-07-25T00:00:00"/>
    <s v="186395"/>
    <x v="66"/>
    <x v="0"/>
    <n v="283.8"/>
    <n v="208.8394619278549"/>
    <n v="0.73586843526375934"/>
    <n v="-283.8"/>
    <n v="0"/>
    <n v="0"/>
    <s v=""/>
    <x v="0"/>
    <x v="0"/>
    <s v="Pend"/>
    <s v="Pend"/>
  </r>
  <r>
    <n v="1"/>
    <s v="SO17358"/>
    <s v="2254977"/>
    <s v="INV13380"/>
    <s v="Zijin Mining - Rosebel Goldmines N.V."/>
    <d v="2025-06-16T15:09:18"/>
    <d v="2025-08-28T11:38:49"/>
    <d v="2025-09-02T00:00:00"/>
    <s v="Amanda Qiao"/>
    <s v="USD"/>
    <n v="0.72328577573707276"/>
    <n v="7496.7878283992541"/>
    <n v="0"/>
    <n v="5422.32"/>
    <n v="5422.32"/>
    <m/>
    <n v="5422.32"/>
    <s v="Delivered"/>
    <m/>
    <n v="1"/>
    <n v="6"/>
    <n v="2025"/>
    <n v="11"/>
    <n v="2025"/>
    <n v="0.72328577573707276"/>
    <x v="535"/>
    <d v="2025-06-16T15:09:18"/>
    <x v="633"/>
    <s v="Paid"/>
    <d v="2025-11-24T00:00:00"/>
    <s v="2254977"/>
    <x v="1"/>
    <x v="1"/>
    <n v="7496.7878283992541"/>
    <n v="5422.32"/>
    <n v="0.72328577573707276"/>
    <n v="0"/>
    <n v="-5422.32"/>
    <s v=""/>
    <n v="0"/>
    <x v="0"/>
    <x v="0"/>
    <s v="Pend"/>
    <s v="Pend"/>
  </r>
  <r>
    <n v="1"/>
    <s v="SO17360"/>
    <s v="A20250620"/>
    <s v="INV13228"/>
    <s v="Alpha Industrial &amp; Mining Supplies Limited"/>
    <d v="2025-06-17T10:36:01"/>
    <d v="2025-06-19T10:36:02"/>
    <d v="2025-07-14T00:00:00"/>
    <s v="Wilka Nuñez"/>
    <s v="CAD"/>
    <n v="1"/>
    <n v="5855.32"/>
    <n v="0"/>
    <n v="4262.6341917826312"/>
    <n v="5181.7"/>
    <n v="673.62"/>
    <n v="5855.32"/>
    <s v="Delivered"/>
    <m/>
    <n v="1"/>
    <n v="6"/>
    <n v="2025"/>
    <n v="8"/>
    <n v="2025"/>
    <n v="0.72799337897546701"/>
    <x v="536"/>
    <d v="2025-06-17T10:36:01"/>
    <x v="634"/>
    <s v="Paid"/>
    <d v="2025-08-21T00:00:00"/>
    <s v="A20250620"/>
    <x v="118"/>
    <x v="0"/>
    <n v="5181.7"/>
    <n v="3772.2432918371774"/>
    <n v="0.72799337897546701"/>
    <n v="-5181.7"/>
    <n v="0"/>
    <n v="0"/>
    <s v=""/>
    <x v="0"/>
    <x v="0"/>
    <s v="Pend"/>
    <s v="Pend"/>
  </r>
  <r>
    <n v="2"/>
    <s v="SO17366"/>
    <s v="PO# 1051, Ship to PO# 2251356"/>
    <s v="INV13145"/>
    <s v="Mill-Right Mine Services Inc."/>
    <d v="2025-06-18T07:53:00"/>
    <d v="2025-06-18T07:53:44"/>
    <d v="2025-06-20T00:00:00"/>
    <s v="Amanda Qiao"/>
    <s v="USD"/>
    <n v="0.73586843526375945"/>
    <n v="2778.8255372946642"/>
    <n v="0"/>
    <n v="2044.85"/>
    <n v="2044.85"/>
    <m/>
    <n v="2044.85"/>
    <s v="Delivered"/>
    <m/>
    <n v="2"/>
    <n v="6"/>
    <n v="2025"/>
    <n v="10"/>
    <n v="2025"/>
    <n v="0.73586843526375934"/>
    <x v="537"/>
    <d v="2025-06-18T07:53:00"/>
    <x v="635"/>
    <s v="Paid"/>
    <d v="2025-10-24T00:00:00"/>
    <s v="PO# 1051, Ship to PO# 2251356"/>
    <x v="30"/>
    <x v="1"/>
    <n v="2778.8255372946637"/>
    <n v="2044.85"/>
    <n v="0.73586843526375945"/>
    <n v="0"/>
    <n v="-2044.85"/>
    <s v=""/>
    <n v="0"/>
    <x v="0"/>
    <x v="1"/>
    <n v="0"/>
    <s v="Pend"/>
  </r>
  <r>
    <m/>
    <m/>
    <m/>
    <s v="INV13145"/>
    <m/>
    <m/>
    <m/>
    <m/>
    <m/>
    <m/>
    <m/>
    <m/>
    <m/>
    <m/>
    <m/>
    <m/>
    <m/>
    <m/>
    <m/>
    <n v="2"/>
    <n v="6"/>
    <n v="2025"/>
    <n v="10"/>
    <n v="2025"/>
    <n v="0.73586843526375934"/>
    <x v="537"/>
    <d v="2025-06-18T07:53:00"/>
    <x v="635"/>
    <s v="Paid"/>
    <d v="2025-10-24T00:00:00"/>
    <s v="PO# 1051, Ship to PO# 2251356"/>
    <x v="30"/>
    <x v="1"/>
    <n v="0"/>
    <n v="0"/>
    <n v="0"/>
    <n v="0"/>
    <n v="-2044.85"/>
    <s v=""/>
    <n v="-2044.85"/>
    <x v="0"/>
    <x v="1"/>
    <n v="0"/>
    <s v="Pend"/>
  </r>
  <r>
    <n v="2"/>
    <s v="SO17367"/>
    <s v="40-1016149"/>
    <s v="INV13117"/>
    <s v="Canadian Bearings Ltd."/>
    <d v="2025-06-18T12:37:59"/>
    <d v="2025-06-18T13:14:49"/>
    <d v="2025-06-20T00:00:00"/>
    <s v="Ian Trottier"/>
    <s v="CAD"/>
    <n v="1"/>
    <n v="614.73"/>
    <n v="0"/>
    <n v="449.16776471013151"/>
    <n v="585.46"/>
    <n v="29.27"/>
    <n v="614.73"/>
    <s v="Delivered"/>
    <m/>
    <n v="2"/>
    <n v="6"/>
    <n v="2025"/>
    <n v="7"/>
    <n v="2025"/>
    <n v="0.73067487305017076"/>
    <x v="538"/>
    <d v="2025-06-18T12:37:59"/>
    <x v="636"/>
    <s v="Paid"/>
    <d v="2025-07-30T00:00:00"/>
    <s v="40-1016149"/>
    <x v="38"/>
    <x v="0"/>
    <n v="585.46"/>
    <n v="427.78091117595301"/>
    <n v="0.73067487305017076"/>
    <n v="-519.5"/>
    <n v="0"/>
    <n v="65.960000000000036"/>
    <s v=""/>
    <x v="0"/>
    <x v="1"/>
    <s v="Yes"/>
    <s v="Pend"/>
  </r>
  <r>
    <m/>
    <m/>
    <m/>
    <s v="INV13159"/>
    <m/>
    <m/>
    <m/>
    <m/>
    <m/>
    <m/>
    <m/>
    <m/>
    <m/>
    <m/>
    <m/>
    <m/>
    <m/>
    <m/>
    <m/>
    <n v="2"/>
    <n v="6"/>
    <n v="2025"/>
    <n v="7"/>
    <n v="2025"/>
    <n v="0.73067487305017076"/>
    <x v="538"/>
    <d v="2025-06-18T12:37:59"/>
    <x v="637"/>
    <s v="Paid"/>
    <d v="2025-07-30T00:00:00"/>
    <s v="40-1016149"/>
    <x v="38"/>
    <x v="0"/>
    <n v="0"/>
    <n v="0"/>
    <n v="0"/>
    <n v="-65.959999999999994"/>
    <n v="0"/>
    <n v="-65.959999999999994"/>
    <s v=""/>
    <x v="0"/>
    <x v="1"/>
    <s v="Yes"/>
    <s v="Pend"/>
  </r>
  <r>
    <n v="2"/>
    <s v="SO17368"/>
    <s v="4501226064"/>
    <s v="INV13185"/>
    <s v="Barrick Gold - Pueblo Viejo Dominicana Corporation"/>
    <d v="2025-06-18T16:27:44"/>
    <d v="2025-07-01T14:46:51"/>
    <d v="2025-08-08T00:00:00"/>
    <s v="Wilka Nuñez"/>
    <s v="USD"/>
    <n v="0.73078653074427524"/>
    <n v="21669.460688981169"/>
    <n v="0"/>
    <n v="15835.75"/>
    <n v="15835.75"/>
    <m/>
    <n v="15835.75"/>
    <s v="Delivered"/>
    <m/>
    <n v="2"/>
    <n v="6"/>
    <n v="2025"/>
    <n v="8"/>
    <n v="2025"/>
    <n v="0.73078653074427524"/>
    <x v="539"/>
    <d v="2025-06-18T16:27:44"/>
    <x v="638"/>
    <s v="Paid"/>
    <d v="2025-08-29T00:00:00"/>
    <s v="4501226064"/>
    <x v="15"/>
    <x v="1"/>
    <n v="21669.460688981169"/>
    <n v="15835.75"/>
    <n v="0.73078653074427524"/>
    <n v="0"/>
    <n v="-10241.64"/>
    <s v=""/>
    <n v="5594.1100000000006"/>
    <x v="0"/>
    <x v="1"/>
    <s v="Yes"/>
    <s v="Pend"/>
  </r>
  <r>
    <m/>
    <m/>
    <m/>
    <s v="INV13248"/>
    <m/>
    <m/>
    <m/>
    <m/>
    <m/>
    <m/>
    <m/>
    <m/>
    <m/>
    <m/>
    <m/>
    <m/>
    <m/>
    <m/>
    <m/>
    <n v="2"/>
    <n v="6"/>
    <n v="2025"/>
    <n v="10"/>
    <n v="2025"/>
    <n v="0.73078653074427524"/>
    <x v="539"/>
    <d v="2025-06-18T16:27:44"/>
    <x v="639"/>
    <s v="Paid"/>
    <d v="2025-10-23T00:00:00"/>
    <s v="4501226064"/>
    <x v="15"/>
    <x v="1"/>
    <n v="0"/>
    <n v="0"/>
    <n v="0"/>
    <n v="0"/>
    <n v="-5594.11"/>
    <s v=""/>
    <n v="-5594.11"/>
    <x v="0"/>
    <x v="1"/>
    <s v="Yes"/>
    <s v="Pend"/>
  </r>
  <r>
    <n v="1"/>
    <s v="SO17369"/>
    <s v="4500581058"/>
    <s v="INV13111"/>
    <s v="Glencore Canada Corporation - Rouyn-Noranda, Glencore Canada Corp."/>
    <d v="2025-06-18T19:29:59"/>
    <d v="2025-06-19T11:32:47"/>
    <d v="2025-06-20T00:00:00"/>
    <s v="Ian Trottier"/>
    <s v="CAD"/>
    <n v="1"/>
    <n v="2622.07"/>
    <n v="0"/>
    <n v="1908.849599210203"/>
    <n v="2497.21"/>
    <n v="124.86"/>
    <n v="2622.07"/>
    <s v="Delivered"/>
    <m/>
    <n v="1"/>
    <n v="6"/>
    <n v="2025"/>
    <n v="7"/>
    <n v="2025"/>
    <n v="0.72799337897546701"/>
    <x v="540"/>
    <d v="2025-06-18T19:29:59"/>
    <x v="640"/>
    <s v="Paid"/>
    <d v="2025-07-31T00:00:00"/>
    <s v="4500581058"/>
    <x v="27"/>
    <x v="0"/>
    <n v="2497.21"/>
    <n v="1817.9523459113259"/>
    <n v="0.72799337897546701"/>
    <n v="-2497.21"/>
    <n v="0"/>
    <n v="0"/>
    <s v=""/>
    <x v="0"/>
    <x v="0"/>
    <s v="Pend"/>
    <s v="Pend"/>
  </r>
  <r>
    <n v="1"/>
    <s v="SO17370"/>
    <s v="3007134"/>
    <s v="INV13110"/>
    <s v="SCG Process, SCG Process"/>
    <d v="2025-06-19T10:22:40"/>
    <d v="2025-06-19T10:42:24"/>
    <d v="2025-06-20T00:00:00"/>
    <s v="Ian Trottier"/>
    <s v="CAD"/>
    <n v="1"/>
    <n v="4547.72"/>
    <n v="0"/>
    <n v="3310.7100494343108"/>
    <n v="4331.1499999999996"/>
    <n v="216.57"/>
    <n v="4547.72"/>
    <s v="Delivered"/>
    <m/>
    <n v="1"/>
    <n v="6"/>
    <n v="2025"/>
    <n v="8"/>
    <n v="2025"/>
    <n v="0.72799337897546701"/>
    <x v="541"/>
    <d v="2025-06-19T10:22:40"/>
    <x v="641"/>
    <s v="Paid"/>
    <d v="2025-08-05T00:00:00"/>
    <s v="3007134"/>
    <x v="112"/>
    <x v="0"/>
    <n v="4331.1499999999996"/>
    <n v="3153.0485233495938"/>
    <n v="0.72799337897546701"/>
    <n v="-4331.1499999999996"/>
    <n v="0"/>
    <n v="0"/>
    <s v=""/>
    <x v="0"/>
    <x v="0"/>
    <s v="Pend"/>
    <s v="Pend"/>
  </r>
  <r>
    <n v="1"/>
    <s v="SO17372"/>
    <s v="3283"/>
    <s v="INV13406"/>
    <s v="Les Pompes du St-Laurent Inc."/>
    <d v="2025-06-19T18:09:44"/>
    <d v="2025-08-26T12:29:41"/>
    <d v="2025-08-27T00:00:00"/>
    <s v="Ian Trottier"/>
    <s v="CAD"/>
    <n v="1"/>
    <n v="1111.57"/>
    <n v="0"/>
    <n v="803.98276973605789"/>
    <n v="1058.6400000000001"/>
    <n v="52.93"/>
    <n v="1111.57"/>
    <s v="Delivered"/>
    <m/>
    <n v="1"/>
    <n v="6"/>
    <n v="2025"/>
    <n v="10"/>
    <n v="2025"/>
    <n v="0.72328577573707276"/>
    <x v="542"/>
    <d v="2025-06-19T18:09:44"/>
    <x v="642"/>
    <s v="Paid"/>
    <d v="2025-10-24T00:00:00"/>
    <s v="3283"/>
    <x v="7"/>
    <x v="0"/>
    <n v="1058.6400000000001"/>
    <n v="765.69925362629476"/>
    <n v="0.72328577573707276"/>
    <n v="-1058.6400000000001"/>
    <n v="0"/>
    <n v="0"/>
    <s v=""/>
    <x v="0"/>
    <x v="0"/>
    <s v="Pend"/>
    <s v="Pend"/>
  </r>
  <r>
    <n v="1"/>
    <s v="SO17375"/>
    <s v="186419"/>
    <s v="INV13124"/>
    <s v="Fabrene Inc."/>
    <d v="2025-06-20T10:06:03"/>
    <d v="2025-06-20T10:26:55"/>
    <d v="2025-06-23T00:00:00"/>
    <s v="Wilka Nuñez"/>
    <s v="CAD"/>
    <n v="1"/>
    <n v="480.49"/>
    <n v="0"/>
    <n v="349.758658202079"/>
    <n v="425.21"/>
    <n v="55.28"/>
    <n v="480.49"/>
    <s v="Delivered"/>
    <m/>
    <n v="1"/>
    <n v="6"/>
    <n v="2025"/>
    <n v="8"/>
    <n v="2025"/>
    <n v="0.72792078545251515"/>
    <x v="543"/>
    <d v="2025-06-20T10:06:03"/>
    <x v="643"/>
    <s v="Paid"/>
    <d v="2025-08-07T00:00:00"/>
    <s v="186419"/>
    <x v="66"/>
    <x v="0"/>
    <n v="425.21"/>
    <n v="309.51919718226395"/>
    <n v="0.72792078545251515"/>
    <n v="-425.21"/>
    <n v="0"/>
    <n v="0"/>
    <s v=""/>
    <x v="0"/>
    <x v="0"/>
    <s v="Pend"/>
    <s v="Pend"/>
  </r>
  <r>
    <n v="1"/>
    <s v="SO17379"/>
    <s v="4500602254"/>
    <s v="INV13503"/>
    <s v="Resolute Forest Products - Saint-Felicien"/>
    <d v="2025-06-23T06:57:40"/>
    <d v="2025-06-23T06:57:40"/>
    <d v="2025-09-19T00:00:00"/>
    <s v="Ian Trottier"/>
    <s v="CAD"/>
    <n v="1"/>
    <n v="6506.97"/>
    <n v="0"/>
    <n v="4724.9206180386327"/>
    <n v="6197.11"/>
    <n v="309.86"/>
    <n v="6506.97"/>
    <s v="Delivered"/>
    <m/>
    <n v="1"/>
    <n v="6"/>
    <n v="2025"/>
    <n v="12"/>
    <n v="2025"/>
    <n v="0.72613222714084014"/>
    <x v="544"/>
    <d v="2025-06-23T06:57:40"/>
    <x v="644"/>
    <s v="Paid"/>
    <d v="2025-12-05T00:00:00"/>
    <s v="4500602254"/>
    <x v="46"/>
    <x v="0"/>
    <n v="6197.11"/>
    <n v="4499.9212861367714"/>
    <n v="0.72613222714084014"/>
    <n v="-6197.11"/>
    <n v="0"/>
    <n v="0"/>
    <s v=""/>
    <x v="0"/>
    <x v="0"/>
    <s v="Pend"/>
    <s v="Pend"/>
  </r>
  <r>
    <n v="2"/>
    <s v="SO17382"/>
    <s v="A20250624"/>
    <s v="INV13227"/>
    <s v="Alpha Industrial &amp; Mining Supplies Limited"/>
    <d v="2025-06-23T13:04:41"/>
    <d v="2025-06-24T09:38:16"/>
    <d v="2025-07-16T00:00:00"/>
    <s v="Wilka Nuñez"/>
    <s v="CAD"/>
    <n v="1"/>
    <n v="544.12"/>
    <n v="0"/>
    <n v="396.8028235847375"/>
    <n v="481.52"/>
    <n v="62.6"/>
    <n v="544.12"/>
    <s v="Delivered"/>
    <m/>
    <n v="2"/>
    <n v="6"/>
    <n v="2025"/>
    <n v="8"/>
    <n v="2025"/>
    <n v="0.72925608980507517"/>
    <x v="545"/>
    <d v="2025-06-23T13:04:41"/>
    <x v="645"/>
    <s v="Paid"/>
    <d v="2025-08-21T00:00:00"/>
    <s v="A20250624"/>
    <x v="118"/>
    <x v="0"/>
    <n v="481.52"/>
    <n v="351.15139236293976"/>
    <n v="0.72925608980507517"/>
    <n v="-240.76"/>
    <n v="0"/>
    <n v="240.76"/>
    <s v=""/>
    <x v="0"/>
    <x v="1"/>
    <s v="Yes"/>
    <s v="Pend"/>
  </r>
  <r>
    <m/>
    <m/>
    <m/>
    <s v="INV13169"/>
    <m/>
    <m/>
    <m/>
    <m/>
    <m/>
    <m/>
    <m/>
    <m/>
    <m/>
    <m/>
    <m/>
    <m/>
    <m/>
    <m/>
    <m/>
    <n v="2"/>
    <n v="6"/>
    <n v="2025"/>
    <n v="8"/>
    <n v="2025"/>
    <n v="0.72925608980507517"/>
    <x v="545"/>
    <d v="2025-06-23T13:04:41"/>
    <x v="646"/>
    <s v="Paid"/>
    <d v="2025-08-18T00:00:00"/>
    <s v="A20250624"/>
    <x v="118"/>
    <x v="0"/>
    <n v="0"/>
    <n v="0"/>
    <n v="0"/>
    <n v="-240.76"/>
    <n v="0"/>
    <n v="-240.76"/>
    <s v=""/>
    <x v="0"/>
    <x v="1"/>
    <s v="Yes"/>
    <s v="Pend"/>
  </r>
  <r>
    <n v="1"/>
    <s v="SO17383"/>
    <s v="RJEDD/lPO/2526/00070"/>
    <s v="INV13526"/>
    <s v="Jindal Drilling &amp; Industries Limited"/>
    <d v="2025-06-23T14:46:00"/>
    <d v="2025-06-21T14:39:47"/>
    <d v="2025-09-22T00:00:00"/>
    <s v="Alexis Gil Lamadrid"/>
    <s v="USD"/>
    <n v="0.72839293326389742"/>
    <n v="5802.1430563067106"/>
    <n v="0"/>
    <n v="4226.24"/>
    <n v="4226.24"/>
    <m/>
    <n v="4226.24"/>
    <s v="Delivered"/>
    <m/>
    <n v="1"/>
    <n v="6"/>
    <n v="2025"/>
    <n v="10"/>
    <n v="2025"/>
    <n v="0.72839293326389742"/>
    <x v="546"/>
    <d v="2025-06-23T14:46:00"/>
    <x v="647"/>
    <s v="Paid"/>
    <d v="2025-10-15T00:00:00"/>
    <s v="RJEDD/lPO/2526/00070"/>
    <x v="103"/>
    <x v="1"/>
    <n v="5802.1430563067106"/>
    <n v="4226.24"/>
    <n v="0.72839293326389742"/>
    <n v="0"/>
    <n v="-4226.24"/>
    <s v=""/>
    <n v="0"/>
    <x v="0"/>
    <x v="0"/>
    <s v="Pend"/>
    <s v="Pend"/>
  </r>
  <r>
    <n v="2"/>
    <s v="SO17384"/>
    <s v="RJEDD/lPO/2526/00062"/>
    <s v="INV13148"/>
    <s v="Jindal Drilling &amp; Industries Limited"/>
    <d v="2025-06-23T17:16:59"/>
    <d v="2025-06-21T16:52:01"/>
    <d v="2025-06-30T00:00:00"/>
    <s v="Alexis Gil Lamadrid"/>
    <s v="USD"/>
    <n v="0.72839293326389742"/>
    <n v="8492.4217651063773"/>
    <n v="0"/>
    <n v="6185.82"/>
    <n v="6185.82"/>
    <m/>
    <n v="6185.82"/>
    <s v="Delivered"/>
    <m/>
    <n v="2"/>
    <n v="6"/>
    <n v="2025"/>
    <n v="7"/>
    <n v="2025"/>
    <n v="0.72839293326389742"/>
    <x v="547"/>
    <d v="2025-06-23T17:16:59"/>
    <x v="648"/>
    <s v="Paid"/>
    <d v="2025-07-04T00:00:00"/>
    <s v="RJEDD/lPO/2526/00062"/>
    <x v="103"/>
    <x v="1"/>
    <n v="8492.4217651063773"/>
    <n v="6185.82"/>
    <n v="0.72839293326389742"/>
    <n v="0"/>
    <n v="-6010.3"/>
    <s v=""/>
    <n v="175.51999999999953"/>
    <x v="0"/>
    <x v="1"/>
    <s v="Yes"/>
    <s v="Pend"/>
  </r>
  <r>
    <m/>
    <m/>
    <m/>
    <s v="INV13290"/>
    <m/>
    <m/>
    <m/>
    <m/>
    <m/>
    <m/>
    <m/>
    <m/>
    <m/>
    <m/>
    <m/>
    <m/>
    <m/>
    <m/>
    <m/>
    <n v="2"/>
    <n v="6"/>
    <n v="2025"/>
    <n v="8"/>
    <n v="2025"/>
    <n v="0.72839293326389742"/>
    <x v="547"/>
    <d v="2025-06-23T17:16:59"/>
    <x v="649"/>
    <s v="Paid"/>
    <d v="2025-08-12T00:00:00"/>
    <s v="RJEDD/lPO/2526/00062"/>
    <x v="103"/>
    <x v="1"/>
    <n v="0"/>
    <n v="0"/>
    <n v="0"/>
    <n v="0"/>
    <n v="-175.52"/>
    <s v=""/>
    <n v="-175.52"/>
    <x v="0"/>
    <x v="1"/>
    <s v="Yes"/>
    <s v="Pend"/>
  </r>
  <r>
    <n v="1"/>
    <s v="SO17385"/>
    <s v="4512028739"/>
    <s v="INV13127"/>
    <s v="PT Vale Indonesia Tbk."/>
    <d v="2025-06-23T17:29:04"/>
    <d v="2025-06-23T17:30:45"/>
    <d v="2025-06-24T00:00:00"/>
    <s v="Ian Trottier"/>
    <s v="USD"/>
    <n v="0.72839293326389742"/>
    <n v="116.6540696918257"/>
    <n v="0"/>
    <n v="84.97"/>
    <n v="84.97"/>
    <m/>
    <n v="84.97"/>
    <s v="Delivered"/>
    <m/>
    <n v="1"/>
    <n v="6"/>
    <n v="2025"/>
    <n v="8"/>
    <n v="2025"/>
    <n v="0.72839293326389709"/>
    <x v="548"/>
    <d v="2025-06-23T17:29:04"/>
    <x v="650"/>
    <s v="Paid"/>
    <d v="2025-08-19T00:00:00"/>
    <s v="4512028739"/>
    <x v="42"/>
    <x v="1"/>
    <n v="116.65406969182565"/>
    <n v="84.97"/>
    <n v="0.72839293326389742"/>
    <n v="0"/>
    <n v="-84.97"/>
    <s v=""/>
    <n v="0"/>
    <x v="0"/>
    <x v="0"/>
    <s v="Pend"/>
    <s v="Pend"/>
  </r>
  <r>
    <n v="1"/>
    <s v="SO17386"/>
    <s v="4512028738"/>
    <s v="INV13128"/>
    <s v="PT Vale Indonesia Tbk."/>
    <d v="2025-06-23T17:37:16"/>
    <d v="2025-06-23T17:38:36"/>
    <d v="2025-06-24T00:00:00"/>
    <s v="Ian Trottier"/>
    <s v="USD"/>
    <n v="0.72839293326389742"/>
    <n v="270.84282533604062"/>
    <n v="0"/>
    <n v="197.28"/>
    <n v="197.28"/>
    <m/>
    <n v="197.28"/>
    <s v="Delivered"/>
    <m/>
    <n v="1"/>
    <n v="6"/>
    <n v="2025"/>
    <n v="8"/>
    <n v="2025"/>
    <n v="0.7283929332638972"/>
    <x v="549"/>
    <d v="2025-06-23T17:37:16"/>
    <x v="651"/>
    <s v="Paid"/>
    <d v="2025-08-19T00:00:00"/>
    <s v="4512028738"/>
    <x v="42"/>
    <x v="1"/>
    <n v="270.84282533604056"/>
    <n v="197.28"/>
    <n v="0.72839293326389731"/>
    <n v="0"/>
    <n v="-197.28"/>
    <s v=""/>
    <n v="0"/>
    <x v="0"/>
    <x v="0"/>
    <s v="Pend"/>
    <s v="Pend"/>
  </r>
  <r>
    <n v="1"/>
    <s v="SO17388"/>
    <s v="PO#  M-083882"/>
    <s v="INV13497"/>
    <s v="Grant Aggregate"/>
    <d v="2025-06-24T09:29:44"/>
    <d v="2025-07-08T07:56:27"/>
    <d v="2025-07-08T00:00:00"/>
    <s v="Ian Trottier"/>
    <s v="CAD"/>
    <n v="1"/>
    <n v="2569.87"/>
    <n v="2569.87"/>
    <n v="2569.87"/>
    <n v="2274.2199999999998"/>
    <n v="295.64999999999998"/>
    <n v="2569.87"/>
    <s v="Delivered"/>
    <m/>
    <n v="1"/>
    <n v="6"/>
    <n v="2025"/>
    <n v="12"/>
    <n v="2025"/>
    <n v="1"/>
    <x v="550"/>
    <d v="2025-06-24T09:29:44"/>
    <x v="652"/>
    <s v="Paid"/>
    <d v="2025-12-04T00:00:00"/>
    <s v="PO#  M-083882"/>
    <x v="9"/>
    <x v="0"/>
    <n v="2274.2199999999998"/>
    <n v="1661.0422290258998"/>
    <n v="0.73037886793093898"/>
    <n v="-2274.2199999999998"/>
    <n v="0"/>
    <n v="0"/>
    <s v=""/>
    <x v="0"/>
    <x v="0"/>
    <s v="Pend"/>
    <s v="Pend"/>
  </r>
  <r>
    <n v="1"/>
    <s v="SO17389"/>
    <s v="SC02-00230914"/>
    <s v="INV13155"/>
    <s v="Motion Industries Inc. (U.S.) - Greer"/>
    <d v="2025-06-24T10:06:17"/>
    <d v="2025-07-08T12:27:32"/>
    <d v="2025-07-09T00:00:00"/>
    <s v="Ian Trottier"/>
    <s v="USD"/>
    <n v="0.73511294228208912"/>
    <n v="15199.17465378059"/>
    <n v="0"/>
    <n v="11173.11"/>
    <n v="11173.11"/>
    <m/>
    <n v="11173.11"/>
    <s v="Delivered"/>
    <m/>
    <n v="1"/>
    <n v="6"/>
    <n v="2025"/>
    <n v="8"/>
    <n v="2025"/>
    <n v="0.73511294228208901"/>
    <x v="551"/>
    <d v="2025-06-24T10:06:17"/>
    <x v="653"/>
    <s v="Paid"/>
    <d v="2025-08-08T00:00:00"/>
    <s v="SC02-00230914"/>
    <x v="121"/>
    <x v="1"/>
    <n v="15199.174653780587"/>
    <n v="11173.11"/>
    <n v="0.73511294228208912"/>
    <n v="0"/>
    <n v="-11173.11"/>
    <s v=""/>
    <n v="0"/>
    <x v="0"/>
    <x v="0"/>
    <s v="Pend"/>
    <s v="Pend"/>
  </r>
  <r>
    <n v="1"/>
    <s v="SO17390"/>
    <s v="4512036945"/>
    <s v="INV13177"/>
    <s v="PT Vale Indonesia Tbk."/>
    <d v="2025-06-24T10:12:11"/>
    <d v="2025-06-24T10:12:11"/>
    <m/>
    <s v="Wilka Nuñez"/>
    <s v="USD"/>
    <n v="0.72613222714084014"/>
    <n v="2304.800609924439"/>
    <n v="0"/>
    <n v="1673.59"/>
    <n v="1673.59"/>
    <m/>
    <n v="1673.59"/>
    <s v="Delivered"/>
    <m/>
    <n v="1"/>
    <n v="6"/>
    <n v="2025"/>
    <n v="9"/>
    <n v="2025"/>
    <n v="0.72613222714084025"/>
    <x v="552"/>
    <d v="2025-06-24T10:12:11"/>
    <x v="654"/>
    <s v="Paid"/>
    <d v="2025-09-08T00:00:00"/>
    <s v="4512036945"/>
    <x v="42"/>
    <x v="1"/>
    <n v="2304.8006099244394"/>
    <n v="1673.59"/>
    <n v="0.72613222714084014"/>
    <n v="0"/>
    <n v="-1673.59"/>
    <s v=""/>
    <n v="0"/>
    <x v="0"/>
    <x v="0"/>
    <s v="Pend"/>
    <s v="Pend"/>
  </r>
  <r>
    <n v="2"/>
    <s v="SO17391"/>
    <s v="4512036946"/>
    <s v="INV13203"/>
    <s v="PT Vale Indonesia Tbk."/>
    <d v="2025-06-24T10:48:43"/>
    <d v="2025-06-24T10:48:43"/>
    <m/>
    <s v="Wilka Nuñez"/>
    <s v="USD"/>
    <n v="0.72613222714084014"/>
    <n v="1404.0831158458541"/>
    <n v="0"/>
    <n v="1019.55"/>
    <n v="1019.55"/>
    <m/>
    <n v="1019.55"/>
    <s v="Delivered"/>
    <m/>
    <n v="2"/>
    <n v="6"/>
    <n v="2025"/>
    <n v="9"/>
    <n v="2025"/>
    <n v="0.72613222714083991"/>
    <x v="553"/>
    <d v="2025-06-24T10:48:43"/>
    <x v="655"/>
    <s v="Paid"/>
    <d v="2025-09-08T00:00:00"/>
    <s v="4512036946"/>
    <x v="42"/>
    <x v="1"/>
    <n v="1404.0831158458536"/>
    <n v="1019.55"/>
    <n v="0.72613222714084014"/>
    <n v="0"/>
    <n v="-679.7"/>
    <s v=""/>
    <n v="339.84999999999991"/>
    <x v="0"/>
    <x v="1"/>
    <s v="Yes"/>
    <s v="Pend"/>
  </r>
  <r>
    <m/>
    <m/>
    <m/>
    <s v="INV13136"/>
    <m/>
    <m/>
    <m/>
    <m/>
    <m/>
    <m/>
    <m/>
    <m/>
    <m/>
    <m/>
    <m/>
    <m/>
    <m/>
    <m/>
    <m/>
    <n v="2"/>
    <n v="6"/>
    <n v="2025"/>
    <n v="9"/>
    <n v="2025"/>
    <n v="0.72613222714083991"/>
    <x v="553"/>
    <d v="2025-06-24T10:48:43"/>
    <x v="656"/>
    <s v="Paid"/>
    <d v="2025-09-02T00:00:00"/>
    <s v="4512036946"/>
    <x v="42"/>
    <x v="1"/>
    <n v="0"/>
    <n v="0"/>
    <n v="0"/>
    <n v="0"/>
    <n v="-339.85"/>
    <s v=""/>
    <n v="-339.85"/>
    <x v="0"/>
    <x v="1"/>
    <s v="Yes"/>
    <s v="Pend"/>
  </r>
  <r>
    <n v="1"/>
    <s v="SO17395"/>
    <s v="3233"/>
    <s v="INV13172"/>
    <s v="Les Pompes du St-Laurent Inc."/>
    <d v="2025-06-25T07:55:54"/>
    <d v="2025-07-10T16:38:53"/>
    <d v="2025-07-11T00:00:00"/>
    <s v="Ian Trottier"/>
    <s v="CAD"/>
    <n v="1"/>
    <n v="3155.25"/>
    <n v="3155.25"/>
    <n v="3155.25"/>
    <n v="3005"/>
    <n v="150.25"/>
    <n v="3155.25"/>
    <s v="Delivered"/>
    <m/>
    <n v="1"/>
    <n v="6"/>
    <n v="2025"/>
    <n v="8"/>
    <n v="2025"/>
    <n v="1"/>
    <x v="554"/>
    <d v="2025-06-25T07:55:54"/>
    <x v="657"/>
    <s v="Paid"/>
    <d v="2025-08-12T00:00:00"/>
    <s v="3233"/>
    <x v="7"/>
    <x v="0"/>
    <n v="3005"/>
    <n v="2194.7884981324714"/>
    <n v="0.73037886793093887"/>
    <n v="-3005"/>
    <n v="0"/>
    <n v="0"/>
    <s v=""/>
    <x v="0"/>
    <x v="0"/>
    <s v="Pend"/>
    <s v="Pend"/>
  </r>
  <r>
    <n v="1"/>
    <s v="SO17396"/>
    <s v="3030808"/>
    <s v="INV13180"/>
    <s v="Flowstar Industrial Inc"/>
    <d v="2025-06-25T08:30:02"/>
    <d v="2025-06-25T08:30:02"/>
    <m/>
    <s v="Ian Trottier"/>
    <s v="CAD"/>
    <n v="1"/>
    <n v="1397.41"/>
    <n v="1397.41"/>
    <n v="1397.41"/>
    <n v="1225.8"/>
    <n v="171.61"/>
    <n v="1397.41"/>
    <s v="Delivered"/>
    <m/>
    <n v="1"/>
    <n v="6"/>
    <n v="2025"/>
    <n v="8"/>
    <n v="2025"/>
    <n v="1"/>
    <x v="555"/>
    <d v="2025-06-25T08:30:02"/>
    <x v="658"/>
    <s v="Paid"/>
    <d v="2025-08-18T00:00:00"/>
    <s v="3030808"/>
    <x v="122"/>
    <x v="0"/>
    <n v="1225.8"/>
    <n v="895.29841630974499"/>
    <n v="0.73037886793093898"/>
    <n v="-1225.8"/>
    <n v="0"/>
    <n v="0"/>
    <s v=""/>
    <x v="0"/>
    <x v="0"/>
    <s v="Pend"/>
    <s v="Pend"/>
  </r>
  <r>
    <n v="3"/>
    <s v="SO17397"/>
    <s v="PO-008073"/>
    <s v="INV13162"/>
    <s v="Sling-Choker Manufacturing - Timmins"/>
    <d v="2025-06-25T08:50:36"/>
    <d v="2025-06-26T13:21:31"/>
    <m/>
    <s v="Ian Trottier"/>
    <s v="CAD"/>
    <n v="1"/>
    <n v="876.41"/>
    <n v="0"/>
    <n v="642.94985614592417"/>
    <n v="775.58"/>
    <n v="100.83"/>
    <n v="876.41"/>
    <s v="Delivered"/>
    <m/>
    <n v="3"/>
    <n v="6"/>
    <n v="2025"/>
    <n v="8"/>
    <n v="2025"/>
    <n v="0.73361766313246557"/>
    <x v="556"/>
    <d v="2025-06-25T08:50:36"/>
    <x v="659"/>
    <s v="Paid"/>
    <d v="2025-08-06T00:00:00"/>
    <s v="PO-008073"/>
    <x v="3"/>
    <x v="0"/>
    <n v="775.58"/>
    <n v="568.97918717227765"/>
    <n v="0.73361766313246557"/>
    <n v="-224.77"/>
    <n v="0"/>
    <n v="550.81000000000006"/>
    <s v=""/>
    <x v="0"/>
    <x v="1"/>
    <s v="Yes"/>
    <s v="Pend"/>
  </r>
  <r>
    <m/>
    <m/>
    <m/>
    <s v="(* 78441)"/>
    <m/>
    <m/>
    <m/>
    <m/>
    <m/>
    <m/>
    <m/>
    <m/>
    <m/>
    <m/>
    <m/>
    <m/>
    <m/>
    <m/>
    <m/>
    <n v="3"/>
    <n v="6"/>
    <n v="2025"/>
    <s v=""/>
    <s v=""/>
    <n v="0.73361766313246557"/>
    <x v="556"/>
    <d v="2025-06-25T08:50:36"/>
    <x v="660"/>
    <s v="Not invoiced"/>
    <s v="Pending"/>
    <s v="PO-008073"/>
    <x v="3"/>
    <x v="0"/>
    <n v="0"/>
    <n v="0"/>
    <n v="0"/>
    <n v="0"/>
    <n v="0"/>
    <n v="0"/>
    <s v=""/>
    <x v="1"/>
    <x v="1"/>
    <s v="Yes"/>
    <s v="Pend"/>
  </r>
  <r>
    <m/>
    <m/>
    <m/>
    <s v="INV13231"/>
    <m/>
    <m/>
    <m/>
    <m/>
    <m/>
    <m/>
    <m/>
    <m/>
    <m/>
    <m/>
    <m/>
    <m/>
    <m/>
    <m/>
    <m/>
    <n v="3"/>
    <n v="6"/>
    <n v="2025"/>
    <n v="8"/>
    <n v="2025"/>
    <n v="0.73361766313246557"/>
    <x v="556"/>
    <d v="2025-06-25T08:50:36"/>
    <x v="661"/>
    <s v="Paid"/>
    <d v="2025-08-06T00:00:00"/>
    <s v="PO-008073"/>
    <x v="3"/>
    <x v="0"/>
    <n v="0"/>
    <n v="0"/>
    <n v="0"/>
    <n v="-550.80999999999995"/>
    <n v="0"/>
    <n v="-550.80999999999995"/>
    <s v=""/>
    <x v="0"/>
    <x v="1"/>
    <s v="Yes"/>
    <s v="Pend"/>
  </r>
  <r>
    <n v="1"/>
    <s v="SO17398"/>
    <s v="AB05-00302890"/>
    <s v="INV13134"/>
    <s v="Motion Industries Inc. (Canada) - Edmonton"/>
    <d v="2025-06-25T12:06:16"/>
    <d v="2025-06-25T17:02:01"/>
    <d v="2025-07-02T00:00:00"/>
    <s v="Alexis Gil Lamadrid"/>
    <s v="CAD"/>
    <n v="1"/>
    <n v="132.43"/>
    <n v="132.43"/>
    <n v="132.43"/>
    <n v="126.12"/>
    <n v="6.31"/>
    <n v="132.43"/>
    <s v="Delivered"/>
    <m/>
    <n v="1"/>
    <n v="6"/>
    <n v="2025"/>
    <n v="8"/>
    <n v="2025"/>
    <n v="1"/>
    <x v="557"/>
    <d v="2025-06-25T12:06:16"/>
    <x v="662"/>
    <s v="Paid"/>
    <d v="2025-08-15T00:00:00"/>
    <s v="AB05-00302890"/>
    <x v="123"/>
    <x v="0"/>
    <n v="126.12"/>
    <n v="92.115382823450034"/>
    <n v="0.73037886793093898"/>
    <n v="-126.12"/>
    <n v="0"/>
    <n v="0"/>
    <s v=""/>
    <x v="0"/>
    <x v="0"/>
    <s v="Pend"/>
    <s v="Pend"/>
  </r>
  <r>
    <n v="1"/>
    <s v="SO17400"/>
    <s v="U-2251977"/>
    <s v="INV13587"/>
    <s v="Zijin Mining - Rosebel Goldmines N.V."/>
    <d v="2025-06-25T14:17:46"/>
    <d v="2025-06-28T09:09:47"/>
    <d v="2025-10-10T00:00:00"/>
    <s v="Amanda Qiao"/>
    <s v="USD"/>
    <n v="0.73361766313246568"/>
    <n v="16766.226630204579"/>
    <n v="0"/>
    <n v="12300"/>
    <n v="12300"/>
    <m/>
    <n v="12300"/>
    <s v="Delivered"/>
    <m/>
    <n v="1"/>
    <n v="6"/>
    <n v="2025"/>
    <s v=""/>
    <s v=""/>
    <n v="0.73361766313246579"/>
    <x v="558"/>
    <d v="2025-06-25T14:17:46"/>
    <x v="663"/>
    <s v="Approved"/>
    <s v="Pending"/>
    <s v="U-2251977"/>
    <x v="1"/>
    <x v="1"/>
    <n v="16766.226630204583"/>
    <n v="12300"/>
    <n v="0.73361766313246568"/>
    <n v="0"/>
    <n v="-12300"/>
    <s v=""/>
    <n v="0"/>
    <x v="1"/>
    <x v="2"/>
    <s v="Pend"/>
    <s v="Pend"/>
  </r>
  <r>
    <n v="1"/>
    <s v="SO17402"/>
    <s v="186477"/>
    <s v="INV13175"/>
    <s v="Fabrene Inc."/>
    <d v="2025-06-25T16:44:45"/>
    <d v="2025-06-25T16:40:57"/>
    <d v="2025-07-02T00:00:00"/>
    <s v="Alexis Gil Lamadrid"/>
    <s v="CAD"/>
    <n v="1"/>
    <n v="118.65"/>
    <n v="118.65"/>
    <n v="118.65"/>
    <n v="105"/>
    <n v="13.65"/>
    <n v="118.65"/>
    <s v="Delivered"/>
    <m/>
    <n v="1"/>
    <n v="6"/>
    <n v="2025"/>
    <n v="8"/>
    <n v="2025"/>
    <n v="1"/>
    <x v="559"/>
    <d v="2025-06-25T16:44:45"/>
    <x v="664"/>
    <s v="Paid"/>
    <d v="2025-08-26T00:00:00"/>
    <s v="186477"/>
    <x v="66"/>
    <x v="0"/>
    <n v="105"/>
    <n v="76.689781132748593"/>
    <n v="0.73037886793093898"/>
    <n v="-105"/>
    <n v="0"/>
    <n v="0"/>
    <s v=""/>
    <x v="0"/>
    <x v="0"/>
    <s v="Pend"/>
    <s v="Pend"/>
  </r>
  <r>
    <n v="1"/>
    <s v="SO17404"/>
    <s v="P07252737"/>
    <s v="INV13268"/>
    <s v="Industrial Pump Repair Canada"/>
    <d v="2025-06-26T08:36:44"/>
    <d v="2025-07-09T11:28:48"/>
    <d v="2025-08-13T00:00:00"/>
    <s v="Wilka Nuñez"/>
    <s v="CAD"/>
    <n v="1"/>
    <n v="150.29"/>
    <n v="0"/>
    <n v="109.73294875244289"/>
    <n v="133"/>
    <n v="17.29"/>
    <n v="150.29"/>
    <s v="Delivered"/>
    <m/>
    <n v="1"/>
    <n v="6"/>
    <n v="2025"/>
    <n v="8"/>
    <n v="2025"/>
    <n v="0.73014138500527581"/>
    <x v="560"/>
    <d v="2025-06-26T08:36:44"/>
    <x v="665"/>
    <s v="Paid"/>
    <d v="2025-08-25T00:00:00"/>
    <s v="P07252737"/>
    <x v="102"/>
    <x v="0"/>
    <n v="133"/>
    <n v="97.108804205701688"/>
    <n v="0.73014138500527581"/>
    <n v="-133"/>
    <n v="0"/>
    <n v="0"/>
    <s v=""/>
    <x v="0"/>
    <x v="0"/>
    <s v="Pend"/>
    <s v="Pend"/>
  </r>
  <r>
    <n v="1"/>
    <s v="SO17407"/>
    <s v="ON50-00002822"/>
    <s v="INV13143"/>
    <s v="Motion Industries Inc. (Canada) - Winnipeg"/>
    <d v="2025-06-26T16:49:18"/>
    <d v="2025-07-01T09:51:52"/>
    <d v="2025-07-02T00:00:00"/>
    <s v="Wilka Nuñez"/>
    <s v="CAD"/>
    <n v="1"/>
    <n v="278.16000000000003"/>
    <n v="0"/>
    <n v="203.62659142575569"/>
    <n v="264.91000000000003"/>
    <n v="13.25"/>
    <n v="278.16000000000003"/>
    <s v="Delivered"/>
    <m/>
    <n v="1"/>
    <n v="6"/>
    <n v="2025"/>
    <n v="8"/>
    <n v="2025"/>
    <n v="0.7320484304923629"/>
    <x v="561"/>
    <d v="2025-06-26T16:49:18"/>
    <x v="666"/>
    <s v="Paid"/>
    <d v="2025-08-15T00:00:00"/>
    <s v="ON50-00002822"/>
    <x v="23"/>
    <x v="0"/>
    <n v="264.91000000000003"/>
    <n v="193.92694972173189"/>
    <n v="0.7320484304923629"/>
    <n v="-264.91000000000003"/>
    <n v="0"/>
    <n v="0"/>
    <s v=""/>
    <x v="0"/>
    <x v="0"/>
    <s v="Pend"/>
    <s v="Pend"/>
  </r>
  <r>
    <n v="1"/>
    <s v="SO17408"/>
    <s v="BC65-00080989"/>
    <s v="INV13140"/>
    <s v="Motion Industries Inc. (Canada) - Prince George"/>
    <d v="2025-06-26T18:35:13"/>
    <d v="2025-06-26T18:37:26"/>
    <d v="2025-07-03T00:00:00"/>
    <s v="Ian Trottier"/>
    <s v="CAD"/>
    <n v="1"/>
    <n v="198.18"/>
    <n v="0"/>
    <n v="145.38834847959211"/>
    <n v="198.18"/>
    <m/>
    <n v="198.18"/>
    <s v="Delivered"/>
    <m/>
    <n v="1"/>
    <n v="6"/>
    <n v="2025"/>
    <n v="8"/>
    <n v="2025"/>
    <n v="0.73361766313246601"/>
    <x v="562"/>
    <d v="2025-06-26T18:35:13"/>
    <x v="667"/>
    <s v="Paid"/>
    <d v="2025-08-15T00:00:00"/>
    <s v="BC65-00080989"/>
    <x v="41"/>
    <x v="0"/>
    <n v="198.18"/>
    <n v="145.38834847959211"/>
    <n v="0.73361766313246601"/>
    <n v="-198.18"/>
    <n v="0"/>
    <n v="0"/>
    <s v=""/>
    <x v="0"/>
    <x v="0"/>
    <s v="Pend"/>
    <s v="Pend"/>
  </r>
  <r>
    <n v="2"/>
    <s v="SO17410"/>
    <s v="PO-40-1016426"/>
    <s v="INV13153"/>
    <s v="Canadian Bearings Ltd."/>
    <d v="2025-06-27T13:44:01"/>
    <d v="2025-07-07T17:20:09"/>
    <d v="2025-08-11T00:00:00"/>
    <s v="Ian Trottier"/>
    <s v="CAD"/>
    <n v="1"/>
    <n v="4406.62"/>
    <n v="0"/>
    <n v="3229.0351534718961"/>
    <n v="4196.78"/>
    <n v="209.84"/>
    <n v="4406.62"/>
    <s v="Delivered"/>
    <m/>
    <n v="2"/>
    <n v="6"/>
    <n v="2025"/>
    <n v="7"/>
    <n v="2025"/>
    <n v="0.73276914130828075"/>
    <x v="563"/>
    <d v="2025-06-27T13:44:01"/>
    <x v="668"/>
    <s v="Paid"/>
    <d v="2025-07-30T00:00:00"/>
    <s v="PO-40-1016426"/>
    <x v="38"/>
    <x v="0"/>
    <n v="4196.78"/>
    <n v="3075.2708768597663"/>
    <n v="0.73276914130828075"/>
    <n v="-2041"/>
    <n v="0"/>
    <n v="2155.7799999999997"/>
    <s v=""/>
    <x v="0"/>
    <x v="1"/>
    <s v="Yes"/>
    <s v="Pend"/>
  </r>
  <r>
    <m/>
    <m/>
    <m/>
    <s v="INV13259"/>
    <m/>
    <m/>
    <m/>
    <m/>
    <m/>
    <m/>
    <m/>
    <m/>
    <m/>
    <m/>
    <m/>
    <m/>
    <m/>
    <m/>
    <m/>
    <n v="2"/>
    <n v="6"/>
    <n v="2025"/>
    <n v="10"/>
    <n v="2025"/>
    <n v="0.73276914130828075"/>
    <x v="563"/>
    <d v="2025-06-27T13:44:01"/>
    <x v="669"/>
    <s v="Paid"/>
    <d v="2025-10-10T00:00:00"/>
    <s v="PO-40-1016426"/>
    <x v="38"/>
    <x v="0"/>
    <n v="0"/>
    <n v="0"/>
    <n v="0"/>
    <n v="-2155.7800000000002"/>
    <n v="0"/>
    <n v="-2155.7800000000002"/>
    <s v=""/>
    <x v="0"/>
    <x v="1"/>
    <s v="Yes"/>
    <s v="Pend"/>
  </r>
  <r>
    <n v="1"/>
    <s v="SO17413"/>
    <s v="C-3016862763"/>
    <s v="INV13154"/>
    <s v="Vallen Canada Inc. - IS Div"/>
    <d v="2025-06-27T19:37:03"/>
    <d v="2025-06-27T19:36:07"/>
    <d v="2025-07-11T00:00:00"/>
    <s v="Alexis Gil Lamadrid"/>
    <s v="CAD"/>
    <n v="1"/>
    <n v="1976.69"/>
    <n v="0"/>
    <n v="1443.541613185688"/>
    <n v="1749.28"/>
    <n v="227.41"/>
    <n v="1976.69"/>
    <s v="Delivered"/>
    <m/>
    <n v="1"/>
    <n v="6"/>
    <n v="2025"/>
    <n v="7"/>
    <n v="2025"/>
    <n v="0.73028224617197834"/>
    <x v="564"/>
    <d v="2025-06-27T19:37:03"/>
    <x v="670"/>
    <s v="Paid"/>
    <d v="2025-07-08T00:00:00"/>
    <s v="C-3016862763"/>
    <x v="124"/>
    <x v="0"/>
    <n v="1749.28"/>
    <n v="1277.4681275837183"/>
    <n v="0.73028224617197834"/>
    <n v="-1749.28"/>
    <n v="0"/>
    <n v="0"/>
    <s v=""/>
    <x v="0"/>
    <x v="0"/>
    <s v="Pend"/>
    <s v="Pend"/>
  </r>
  <r>
    <n v="2"/>
    <s v="SO17421"/>
    <s v="7326"/>
    <s v="INV13149"/>
    <s v="Hyperflo"/>
    <d v="2025-07-01T12:22:53"/>
    <d v="2025-07-01T12:20:40"/>
    <d v="2025-09-09T00:00:00"/>
    <s v="Ian Trottier"/>
    <s v="CAD"/>
    <n v="1"/>
    <n v="11638.66"/>
    <n v="0"/>
    <n v="8520.0627860342447"/>
    <n v="11084.43"/>
    <n v="554.23"/>
    <n v="11638.66"/>
    <s v="Delivered"/>
    <m/>
    <n v="2"/>
    <n v="7"/>
    <n v="2025"/>
    <n v="8"/>
    <n v="2025"/>
    <n v="0.7320484304923629"/>
    <x v="565"/>
    <d v="2025-07-01T12:22:53"/>
    <x v="671"/>
    <s v="Paid"/>
    <d v="2025-08-07T00:00:00"/>
    <s v="7326"/>
    <x v="5"/>
    <x v="0"/>
    <n v="11084.43"/>
    <n v="8114.3395844024626"/>
    <n v="0.7320484304923629"/>
    <n v="-7637.48"/>
    <n v="0"/>
    <n v="3446.9500000000007"/>
    <s v=""/>
    <x v="0"/>
    <x v="1"/>
    <s v="Yes"/>
    <s v="Pend"/>
  </r>
  <r>
    <m/>
    <m/>
    <m/>
    <s v="INV13502"/>
    <m/>
    <m/>
    <m/>
    <m/>
    <m/>
    <m/>
    <m/>
    <m/>
    <m/>
    <m/>
    <m/>
    <m/>
    <m/>
    <m/>
    <m/>
    <n v="2"/>
    <n v="7"/>
    <n v="2025"/>
    <n v="11"/>
    <n v="2025"/>
    <n v="0.7320484304923629"/>
    <x v="565"/>
    <d v="2025-07-01T12:22:53"/>
    <x v="672"/>
    <s v="Paid"/>
    <d v="2025-11-28T00:00:00"/>
    <s v="7326"/>
    <x v="5"/>
    <x v="0"/>
    <n v="0"/>
    <n v="0"/>
    <n v="0"/>
    <n v="-3446.95"/>
    <n v="0"/>
    <n v="-3446.95"/>
    <s v=""/>
    <x v="0"/>
    <x v="1"/>
    <s v="Yes"/>
    <s v="Pend"/>
  </r>
  <r>
    <n v="1"/>
    <s v="SO17422"/>
    <s v="PONV-25-1491"/>
    <s v="INV13455"/>
    <s v="Tech-Flow"/>
    <d v="2025-07-01T17:21:39"/>
    <d v="2025-07-24T13:14:00"/>
    <d v="2025-09-26T00:00:00"/>
    <s v="Alexis Gil Lamadrid"/>
    <s v="USD"/>
    <n v="0.73474516251328958"/>
    <n v="4840.9709671762084"/>
    <n v="0"/>
    <n v="3556.88"/>
    <n v="3556.88"/>
    <m/>
    <n v="3556.88"/>
    <s v="Delivered"/>
    <m/>
    <n v="1"/>
    <n v="7"/>
    <n v="2025"/>
    <n v="11"/>
    <n v="2025"/>
    <n v="0.73474516251328958"/>
    <x v="566"/>
    <d v="2025-07-01T17:21:39"/>
    <x v="673"/>
    <s v="Paid"/>
    <d v="2025-11-13T00:00:00"/>
    <s v="PONV-25-1491"/>
    <x v="53"/>
    <x v="1"/>
    <n v="4840.9709671762084"/>
    <n v="3556.88"/>
    <n v="0.73474516251328958"/>
    <n v="0"/>
    <n v="-3556.88"/>
    <s v=""/>
    <n v="0"/>
    <x v="0"/>
    <x v="0"/>
    <s v="Pend"/>
    <s v="Pend"/>
  </r>
  <r>
    <n v="1"/>
    <s v="SO17423"/>
    <s v="PONV-25-1341"/>
    <s v="INV13456"/>
    <s v="Tech-Flow"/>
    <d v="2025-07-01T17:40:47"/>
    <d v="2025-07-01T17:39:30"/>
    <d v="2025-09-26T00:00:00"/>
    <s v="Ian Trottier"/>
    <s v="USD"/>
    <n v="0.73078653074427524"/>
    <n v="5852.0646181648326"/>
    <n v="0"/>
    <n v="4276.6099999999997"/>
    <n v="4276.6099999999997"/>
    <m/>
    <n v="4276.6099999999997"/>
    <s v="Delivered"/>
    <m/>
    <n v="1"/>
    <n v="7"/>
    <n v="2025"/>
    <n v="11"/>
    <n v="2025"/>
    <n v="0.73078653074427524"/>
    <x v="567"/>
    <d v="2025-07-01T17:40:47"/>
    <x v="674"/>
    <s v="Paid"/>
    <d v="2025-11-13T00:00:00"/>
    <s v="PONV-25-1341"/>
    <x v="53"/>
    <x v="1"/>
    <n v="5852.0646181648326"/>
    <n v="4276.6099999999997"/>
    <n v="0.73078653074427524"/>
    <n v="0"/>
    <n v="-4276.6099999999997"/>
    <s v=""/>
    <n v="0"/>
    <x v="0"/>
    <x v="0"/>
    <s v="Pend"/>
    <s v="Pend"/>
  </r>
  <r>
    <n v="2"/>
    <s v="SO17425"/>
    <s v="2251978"/>
    <s v="INV13379"/>
    <s v="Zijin Mining - Rosebel Goldmines N.V."/>
    <d v="2025-07-02T09:09:11"/>
    <d v="2025-07-01T09:09:11"/>
    <d v="2025-09-22T00:00:00"/>
    <s v="Amanda Qiao"/>
    <s v="USD"/>
    <n v="0.73421842111587643"/>
    <n v="35193.886801052977"/>
    <n v="0"/>
    <n v="25840"/>
    <n v="25840"/>
    <m/>
    <n v="25840"/>
    <s v="Delivered"/>
    <m/>
    <n v="2"/>
    <n v="7"/>
    <n v="2025"/>
    <n v="11"/>
    <n v="2025"/>
    <n v="0.73421842111587643"/>
    <x v="568"/>
    <d v="2025-07-02T09:09:11"/>
    <x v="675"/>
    <s v="Paid"/>
    <d v="2025-11-24T00:00:00"/>
    <s v="2251978"/>
    <x v="1"/>
    <x v="1"/>
    <n v="35193.886801052977"/>
    <n v="25840"/>
    <n v="0.73421842111587643"/>
    <n v="0"/>
    <n v="-12300"/>
    <s v=""/>
    <n v="13540"/>
    <x v="0"/>
    <x v="1"/>
    <s v="Yes"/>
    <s v="Pend"/>
  </r>
  <r>
    <m/>
    <m/>
    <m/>
    <s v="INV13193"/>
    <m/>
    <m/>
    <m/>
    <m/>
    <m/>
    <m/>
    <m/>
    <m/>
    <m/>
    <m/>
    <m/>
    <m/>
    <m/>
    <m/>
    <m/>
    <n v="2"/>
    <n v="7"/>
    <n v="2025"/>
    <n v="8"/>
    <n v="2025"/>
    <n v="0.73421842111587643"/>
    <x v="568"/>
    <d v="2025-07-02T09:09:11"/>
    <x v="676"/>
    <s v="Paid"/>
    <d v="2025-08-18T00:00:00"/>
    <s v="2251978"/>
    <x v="1"/>
    <x v="1"/>
    <n v="0"/>
    <n v="0"/>
    <n v="0"/>
    <n v="0"/>
    <n v="-13540"/>
    <s v=""/>
    <n v="-13540"/>
    <x v="0"/>
    <x v="1"/>
    <s v="Yes"/>
    <s v="Pend"/>
  </r>
  <r>
    <n v="2"/>
    <s v="SO17430"/>
    <s v="PO# 008082"/>
    <s v="INV13523"/>
    <s v="Sling-Choker Manufacturing - Timmins"/>
    <d v="2025-07-02T10:22:31"/>
    <d v="2025-07-03T15:10:05"/>
    <d v="2025-10-09T00:00:00"/>
    <s v="Ian Trottier"/>
    <s v="CAD"/>
    <n v="1"/>
    <n v="3828.5"/>
    <n v="0"/>
    <n v="2823.1158332931159"/>
    <n v="3388.05"/>
    <n v="440.45"/>
    <n v="3828.5"/>
    <s v="Delivered"/>
    <m/>
    <n v="2"/>
    <n v="7"/>
    <n v="2025"/>
    <n v="11"/>
    <n v="2025"/>
    <n v="0.73739475859817571"/>
    <x v="569"/>
    <d v="2025-07-02T10:22:31"/>
    <x v="677"/>
    <s v="Paid"/>
    <d v="2025-11-06T00:00:00"/>
    <s v="PO# 008082"/>
    <x v="3"/>
    <x v="0"/>
    <n v="3388.05"/>
    <n v="2498.3303118685494"/>
    <n v="0.73739475859817571"/>
    <n v="-3308"/>
    <n v="0"/>
    <n v="80.050000000000182"/>
    <s v=""/>
    <x v="0"/>
    <x v="1"/>
    <s v="Yes"/>
    <s v="Pend"/>
  </r>
  <r>
    <m/>
    <m/>
    <m/>
    <s v="INV13326"/>
    <m/>
    <m/>
    <m/>
    <m/>
    <m/>
    <m/>
    <m/>
    <m/>
    <m/>
    <m/>
    <m/>
    <m/>
    <m/>
    <m/>
    <m/>
    <n v="2"/>
    <n v="7"/>
    <n v="2025"/>
    <n v="9"/>
    <n v="2025"/>
    <n v="0.73739475859817571"/>
    <x v="569"/>
    <d v="2025-07-02T10:22:31"/>
    <x v="678"/>
    <s v="Paid"/>
    <d v="2025-09-24T00:00:00"/>
    <s v="PO# 008082"/>
    <x v="3"/>
    <x v="0"/>
    <n v="0"/>
    <n v="0"/>
    <n v="0"/>
    <n v="-80.05"/>
    <n v="0"/>
    <n v="-80.05"/>
    <s v=""/>
    <x v="0"/>
    <x v="1"/>
    <s v="Yes"/>
    <s v="Pend"/>
  </r>
  <r>
    <n v="2"/>
    <s v="SO17431"/>
    <s v="PO # 59484"/>
    <s v="INV13496"/>
    <s v="Lake Shore Gold Corp"/>
    <d v="2025-07-02T11:32:44"/>
    <d v="2025-07-08T10:05:04"/>
    <m/>
    <s v="Ian Trottier"/>
    <s v="CAD"/>
    <n v="1"/>
    <n v="485.26"/>
    <n v="485.26"/>
    <n v="485.26"/>
    <n v="429.43"/>
    <n v="55.83"/>
    <n v="485.26"/>
    <s v="Delivered"/>
    <m/>
    <n v="2"/>
    <n v="7"/>
    <n v="2025"/>
    <n v="12"/>
    <n v="2025"/>
    <n v="1"/>
    <x v="570"/>
    <d v="2025-07-02T11:32:44"/>
    <x v="679"/>
    <s v="Paid"/>
    <d v="2025-12-04T00:00:00"/>
    <s v="PO # 59484"/>
    <x v="125"/>
    <x v="0"/>
    <n v="429.43"/>
    <n v="313.35477304731364"/>
    <n v="0.72969930616704382"/>
    <n v="-406"/>
    <n v="0"/>
    <n v="23.430000000000007"/>
    <s v=""/>
    <x v="0"/>
    <x v="1"/>
    <n v="0"/>
    <s v="Pend"/>
  </r>
  <r>
    <m/>
    <m/>
    <m/>
    <s v="INV13156"/>
    <m/>
    <m/>
    <m/>
    <m/>
    <m/>
    <m/>
    <m/>
    <m/>
    <m/>
    <m/>
    <m/>
    <m/>
    <m/>
    <m/>
    <m/>
    <n v="2"/>
    <n v="7"/>
    <n v="2025"/>
    <n v="9"/>
    <n v="2025"/>
    <n v="1"/>
    <x v="570"/>
    <d v="2025-07-02T11:32:44"/>
    <x v="680"/>
    <s v="Paid"/>
    <d v="2025-09-08T00:00:00"/>
    <s v="PO # 59484"/>
    <x v="125"/>
    <x v="0"/>
    <n v="0"/>
    <n v="0"/>
    <n v="0"/>
    <n v="-23.43"/>
    <n v="0"/>
    <n v="-23.43"/>
    <s v=""/>
    <x v="0"/>
    <x v="1"/>
    <n v="0"/>
    <s v="Pend"/>
  </r>
  <r>
    <n v="1"/>
    <s v="SO17432"/>
    <s v="1056"/>
    <s v="INV13534"/>
    <s v="Mill-Right Mine Services Inc."/>
    <d v="2025-07-02T13:01:24"/>
    <d v="2025-07-30T09:12:44"/>
    <d v="2025-11-11T00:00:00"/>
    <s v="Amanda Qiao"/>
    <s v="USD"/>
    <n v="0.72888272157316658"/>
    <n v="861.18106716155762"/>
    <n v="0"/>
    <n v="627.70000000000005"/>
    <n v="627.70000000000005"/>
    <m/>
    <n v="627.70000000000005"/>
    <s v="Delivered"/>
    <m/>
    <n v="1"/>
    <n v="7"/>
    <n v="2025"/>
    <s v=""/>
    <s v=""/>
    <n v="0.72888272157316658"/>
    <x v="571"/>
    <d v="2025-07-02T13:01:24"/>
    <x v="681"/>
    <s v="Approved"/>
    <s v="Pending"/>
    <s v="1056"/>
    <x v="30"/>
    <x v="1"/>
    <n v="861.18106716155762"/>
    <n v="627.70000000000005"/>
    <n v="0.72888272157316658"/>
    <n v="0"/>
    <n v="-627.70000000000005"/>
    <s v=""/>
    <n v="0"/>
    <x v="1"/>
    <x v="2"/>
    <s v="Pend"/>
    <s v="Pend"/>
  </r>
  <r>
    <n v="1"/>
    <s v="SO17434"/>
    <s v="OC00177"/>
    <s v="INV13358"/>
    <s v="Dynapro Pumps México S de RL de CV"/>
    <d v="2025-07-02T18:42:44"/>
    <d v="2025-07-02T18:42:47"/>
    <d v="2025-11-15T00:00:00"/>
    <s v="Yannett Yeomans"/>
    <s v="USD"/>
    <n v="0.73421842111587643"/>
    <n v="1195.8294354227751"/>
    <n v="0"/>
    <n v="878"/>
    <n v="878"/>
    <m/>
    <n v="878"/>
    <s v="Delivered"/>
    <m/>
    <n v="1"/>
    <n v="7"/>
    <n v="2025"/>
    <s v=""/>
    <s v=""/>
    <n v="0.73421842111587654"/>
    <x v="572"/>
    <d v="2025-07-02T18:42:44"/>
    <x v="682"/>
    <s v="Approved"/>
    <s v="Pending"/>
    <s v="OC00177"/>
    <x v="54"/>
    <x v="1"/>
    <n v="1195.8294354227753"/>
    <n v="878"/>
    <n v="0.73421842111587643"/>
    <n v="0"/>
    <n v="-878"/>
    <s v=""/>
    <n v="0"/>
    <x v="1"/>
    <x v="2"/>
    <s v="Pend"/>
    <s v="Pend"/>
  </r>
  <r>
    <n v="0"/>
    <s v="SO17437"/>
    <s v="231167"/>
    <m/>
    <s v="Burlington Pump Inc."/>
    <d v="2025-07-03T11:33:22"/>
    <d v="2025-09-25T07:54:11"/>
    <d v="2026-01-02T00:00:00"/>
    <s v="Wilka Nuñez"/>
    <s v="CAD"/>
    <n v="1"/>
    <n v="1970.72"/>
    <n v="0"/>
    <n v="1415.323336603095"/>
    <n v="1744"/>
    <n v="226.72"/>
    <n v="1970.72"/>
    <s v="To Deliver"/>
    <m/>
    <n v="0"/>
    <n v="7"/>
    <n v="2025"/>
    <s v=""/>
    <s v=""/>
    <n v="0.71817576144916317"/>
    <x v="573"/>
    <d v="2025-07-03T11:33:22"/>
    <x v="54"/>
    <s v="Not invoiced"/>
    <s v="Pending"/>
    <s v="231167"/>
    <x v="126"/>
    <x v="0"/>
    <n v="1744"/>
    <n v="1252.4985279673406"/>
    <n v="0.71817576144916317"/>
    <n v="0"/>
    <n v="0"/>
    <n v="1744"/>
    <s v=""/>
    <x v="1"/>
    <x v="2"/>
    <s v="Pend"/>
    <s v="Pend"/>
  </r>
  <r>
    <n v="1"/>
    <s v="SO17439"/>
    <s v="S303734 Replacement"/>
    <s v="INV13146"/>
    <s v="Kumtor Gold Company"/>
    <d v="2025-07-03T16:25:57"/>
    <d v="2025-07-03T16:26:55"/>
    <d v="2025-07-04T00:00:00"/>
    <s v="Ian Trottier"/>
    <s v="USD"/>
    <n v="0.7320484304923629"/>
    <n v="0"/>
    <n v="0"/>
    <n v="0"/>
    <m/>
    <m/>
    <m/>
    <s v="Delivered"/>
    <m/>
    <n v="1"/>
    <n v="7"/>
    <n v="2025"/>
    <n v="1"/>
    <n v="1900"/>
    <e v="#DIV/0!"/>
    <x v="574"/>
    <d v="2025-07-03T16:25:57"/>
    <x v="683"/>
    <s v="Paid"/>
    <d v="1899-12-30T00:00:00"/>
    <s v="S303734 Replacement"/>
    <x v="57"/>
    <x v="1"/>
    <n v="0"/>
    <n v="0"/>
    <n v="0"/>
    <n v="0"/>
    <n v="0"/>
    <s v=""/>
    <n v="0"/>
    <x v="0"/>
    <x v="0"/>
    <s v="Pend"/>
    <s v="Pend"/>
  </r>
  <r>
    <n v="1"/>
    <s v="SO17440"/>
    <s v="4500603259"/>
    <s v="INV13150"/>
    <s v="Resolute Forest Products - Fibrek"/>
    <d v="2025-07-03T18:17:06"/>
    <d v="2025-07-03T18:21:27"/>
    <d v="2025-07-11T00:00:00"/>
    <s v="Alexis Gil Lamadrid"/>
    <s v="CAD"/>
    <n v="1"/>
    <n v="206.81"/>
    <n v="0"/>
    <n v="152.5006100256887"/>
    <n v="196.96"/>
    <n v="9.85"/>
    <n v="206.81"/>
    <s v="Delivered"/>
    <m/>
    <n v="1"/>
    <n v="7"/>
    <n v="2025"/>
    <n v="9"/>
    <n v="2025"/>
    <n v="0.7373947585981756"/>
    <x v="575"/>
    <d v="2025-07-03T18:17:06"/>
    <x v="684"/>
    <s v="Paid"/>
    <d v="2025-09-02T00:00:00"/>
    <s v="4500603259"/>
    <x v="127"/>
    <x v="0"/>
    <n v="196.96"/>
    <n v="145.23727165349666"/>
    <n v="0.7373947585981756"/>
    <n v="-196.96"/>
    <n v="0"/>
    <n v="0"/>
    <s v=""/>
    <x v="0"/>
    <x v="0"/>
    <s v="Pend"/>
    <s v="Pend"/>
  </r>
  <r>
    <n v="1"/>
    <s v="SO17441"/>
    <s v="2252118"/>
    <s v="INV13586"/>
    <s v="Zijin Mining - Rosebel Goldmines N.V."/>
    <d v="2025-07-04T07:43:57"/>
    <d v="2025-07-04T07:44:24"/>
    <d v="2025-09-24T00:00:00"/>
    <s v="Amanda Qiao"/>
    <s v="USD"/>
    <n v="0.73739475859817571"/>
    <n v="16680.34639055872"/>
    <n v="0"/>
    <n v="12300"/>
    <n v="12300"/>
    <m/>
    <n v="12300"/>
    <s v="Delivered"/>
    <m/>
    <n v="1"/>
    <n v="7"/>
    <n v="2025"/>
    <s v=""/>
    <s v=""/>
    <n v="0.73739475859817583"/>
    <x v="576"/>
    <d v="2025-07-04T07:43:57"/>
    <x v="685"/>
    <s v="Approved"/>
    <s v="Pending"/>
    <s v="2252118"/>
    <x v="1"/>
    <x v="1"/>
    <n v="16680.346390558723"/>
    <n v="12300"/>
    <n v="0.7373947585981756"/>
    <n v="0"/>
    <n v="-12300"/>
    <s v=""/>
    <n v="0"/>
    <x v="1"/>
    <x v="2"/>
    <s v="Pend"/>
    <s v="Pend"/>
  </r>
  <r>
    <n v="1"/>
    <s v="SO17442"/>
    <s v="4500125407"/>
    <s v="INV13278"/>
    <s v="Agnico Eagle Mines Ltd. - Cochrane"/>
    <d v="2025-07-04T09:18:24"/>
    <d v="2025-07-09T13:12:45"/>
    <d v="2025-07-30T00:00:00"/>
    <s v="Wilka Nuñez"/>
    <s v="CAD"/>
    <n v="1"/>
    <n v="508.5"/>
    <n v="0"/>
    <n v="371.27689427518283"/>
    <n v="450"/>
    <n v="58.5"/>
    <n v="508.5"/>
    <s v="Delivered"/>
    <m/>
    <n v="1"/>
    <n v="7"/>
    <n v="2025"/>
    <n v="9"/>
    <n v="2025"/>
    <n v="0.73014138500527592"/>
    <x v="577"/>
    <d v="2025-07-04T09:18:24"/>
    <x v="686"/>
    <s v="Paid"/>
    <d v="2025-09-18T00:00:00"/>
    <s v="4500125407"/>
    <x v="111"/>
    <x v="0"/>
    <n v="450"/>
    <n v="328.56362325237416"/>
    <n v="0.73014138500527592"/>
    <n v="-450"/>
    <n v="0"/>
    <n v="0"/>
    <s v=""/>
    <x v="0"/>
    <x v="0"/>
    <s v="Pend"/>
    <s v="Pend"/>
  </r>
  <r>
    <n v="1"/>
    <s v="SO17443"/>
    <s v="P-70825"/>
    <s v="INV13178"/>
    <s v="Cartledge &amp; Associates Inc."/>
    <d v="2025-07-04T13:18:08"/>
    <d v="2025-07-08T17:11:15"/>
    <d v="2025-07-14T00:00:00"/>
    <s v="Ian Trottier"/>
    <s v="USD"/>
    <n v="0.73511294228208912"/>
    <n v="1297.7597660549909"/>
    <n v="0"/>
    <n v="954"/>
    <n v="954"/>
    <m/>
    <n v="954"/>
    <s v="Delivered"/>
    <m/>
    <n v="1"/>
    <n v="7"/>
    <n v="2025"/>
    <n v="8"/>
    <n v="2025"/>
    <n v="0.73511294228208912"/>
    <x v="578"/>
    <d v="2025-07-04T13:18:08"/>
    <x v="687"/>
    <s v="Paid"/>
    <d v="2025-08-18T00:00:00"/>
    <s v="P-70825"/>
    <x v="25"/>
    <x v="1"/>
    <n v="1297.7597660549909"/>
    <n v="954"/>
    <n v="0.73511294228208912"/>
    <n v="0"/>
    <n v="-954"/>
    <s v=""/>
    <n v="0"/>
    <x v="0"/>
    <x v="0"/>
    <s v="Pend"/>
    <s v="Pend"/>
  </r>
  <r>
    <n v="1"/>
    <s v="SO17444"/>
    <s v="5387042"/>
    <s v="INV13451"/>
    <s v="Corrosion Fluid Products Corp., Corrosion Fluid Products Corp. - Chicago"/>
    <d v="2025-07-07T08:05:22"/>
    <d v="2025-07-17T08:50:34"/>
    <d v="2025-10-02T00:00:00"/>
    <s v="Ian Trottier"/>
    <s v="USD"/>
    <n v="0.72920119964000452"/>
    <n v="1935.2409193740741"/>
    <n v="0"/>
    <n v="1411.18"/>
    <n v="1411.18"/>
    <m/>
    <n v="1411.18"/>
    <s v="Delivered"/>
    <m/>
    <n v="1"/>
    <n v="7"/>
    <n v="2025"/>
    <n v="10"/>
    <n v="2025"/>
    <n v="0.72920119964000452"/>
    <x v="579"/>
    <d v="2025-07-07T08:05:22"/>
    <x v="688"/>
    <s v="Paid"/>
    <d v="2025-10-30T00:00:00"/>
    <s v="5387042"/>
    <x v="4"/>
    <x v="1"/>
    <n v="1935.2409193740741"/>
    <n v="1411.18"/>
    <n v="0.72920119964000452"/>
    <n v="0"/>
    <n v="-1411.18"/>
    <s v=""/>
    <n v="0"/>
    <x v="0"/>
    <x v="0"/>
    <s v="Pend"/>
    <s v="Pend"/>
  </r>
  <r>
    <n v="1"/>
    <s v="SO17446"/>
    <s v="1054"/>
    <s v="INV13756"/>
    <s v="Mill-Right Mine Services Inc."/>
    <d v="2025-07-07T09:38:12"/>
    <d v="2025-07-14T09:34:23"/>
    <d v="2025-09-21T00:00:00"/>
    <s v="Amanda Qiao"/>
    <s v="USD"/>
    <n v="0.73030448566452189"/>
    <n v="870.13021619575488"/>
    <n v="0"/>
    <n v="635.46"/>
    <n v="635.46"/>
    <m/>
    <n v="635.46"/>
    <s v="Delivered"/>
    <m/>
    <n v="1"/>
    <n v="7"/>
    <n v="2025"/>
    <s v=""/>
    <s v=""/>
    <n v="0.73030448566452189"/>
    <x v="580"/>
    <d v="2025-07-07T09:38:12"/>
    <x v="689"/>
    <s v="Approved"/>
    <s v="Pending"/>
    <s v="1054"/>
    <x v="30"/>
    <x v="1"/>
    <n v="870.13021619575488"/>
    <n v="635.46"/>
    <n v="0.73030448566452189"/>
    <n v="0"/>
    <n v="-635.46"/>
    <s v=""/>
    <n v="0"/>
    <x v="1"/>
    <x v="2"/>
    <s v="Pend"/>
    <s v="Pend"/>
  </r>
  <r>
    <n v="1"/>
    <s v="SO17450"/>
    <s v="P362998"/>
    <s v="INV13184"/>
    <s v="Covia Corp - Junction City"/>
    <d v="2025-07-07T12:07:58"/>
    <d v="2025-07-14T11:35:59"/>
    <d v="2025-07-15T00:00:00"/>
    <s v="Marlen Martinez"/>
    <s v="USD"/>
    <n v="0.73030448566452189"/>
    <n v="625.39667900904408"/>
    <n v="0"/>
    <n v="456.73"/>
    <n v="456.73"/>
    <m/>
    <n v="456.73"/>
    <s v="Delivered"/>
    <m/>
    <n v="1"/>
    <n v="7"/>
    <n v="2025"/>
    <n v="11"/>
    <n v="2025"/>
    <n v="0.73030448566452189"/>
    <x v="581"/>
    <d v="2025-07-07T12:07:58"/>
    <x v="690"/>
    <s v="Paid"/>
    <d v="2025-11-04T00:00:00"/>
    <s v="P362998"/>
    <x v="6"/>
    <x v="1"/>
    <n v="625.39667900904408"/>
    <n v="456.73"/>
    <n v="0.73030448566452189"/>
    <n v="0"/>
    <n v="-456.73"/>
    <s v=""/>
    <n v="0"/>
    <x v="0"/>
    <x v="0"/>
    <s v="Pend"/>
    <s v="Pend"/>
  </r>
  <r>
    <n v="1"/>
    <s v="SO17451"/>
    <s v="PO13590"/>
    <s v="INV13183"/>
    <s v="Manufacture Sling-Choker (Val-d’Or) Ltée"/>
    <d v="2025-07-07T13:35:14"/>
    <d v="2025-07-09T16:15:43"/>
    <d v="2025-07-16T00:00:00"/>
    <s v="Ian Trottier"/>
    <s v="CAD"/>
    <n v="1"/>
    <n v="132.47"/>
    <n v="0"/>
    <n v="96.721829271648886"/>
    <n v="126.16"/>
    <n v="6.31"/>
    <n v="132.47"/>
    <s v="Delivered"/>
    <m/>
    <n v="1"/>
    <n v="7"/>
    <n v="2025"/>
    <n v="8"/>
    <n v="2025"/>
    <n v="0.73014138500527581"/>
    <x v="582"/>
    <d v="2025-07-07T13:35:14"/>
    <x v="691"/>
    <s v="Paid"/>
    <d v="2025-08-12T00:00:00"/>
    <s v="PO13590"/>
    <x v="10"/>
    <x v="0"/>
    <n v="126.16"/>
    <n v="92.114637132265599"/>
    <n v="0.73014138500527581"/>
    <n v="-126.16"/>
    <n v="0"/>
    <n v="0"/>
    <s v=""/>
    <x v="0"/>
    <x v="0"/>
    <s v="Pend"/>
    <s v="Pend"/>
  </r>
  <r>
    <n v="1"/>
    <s v="SO17452"/>
    <s v="3724"/>
    <s v="INV13239"/>
    <s v="Middle Georgia Fluid Sealing LLC"/>
    <d v="2025-07-07T17:11:00"/>
    <d v="2025-07-11T15:44:47"/>
    <d v="2025-07-28T00:00:00"/>
    <s v="Ian Trottier"/>
    <s v="USD"/>
    <n v="0.73014138500527581"/>
    <n v="31601.61918480114"/>
    <n v="0"/>
    <n v="23073.65"/>
    <n v="23073.65"/>
    <m/>
    <n v="23073.65"/>
    <s v="Delivered"/>
    <m/>
    <n v="1"/>
    <n v="7"/>
    <n v="2025"/>
    <n v="9"/>
    <n v="2025"/>
    <n v="0.73014138500527581"/>
    <x v="583"/>
    <d v="2025-07-07T17:11:00"/>
    <x v="692"/>
    <s v="Paid"/>
    <d v="2025-09-02T00:00:00"/>
    <s v="3724"/>
    <x v="119"/>
    <x v="1"/>
    <n v="31601.619184801144"/>
    <n v="23073.65"/>
    <n v="0.73014138500527581"/>
    <n v="0"/>
    <n v="-23073.65"/>
    <s v=""/>
    <n v="0"/>
    <x v="0"/>
    <x v="0"/>
    <s v="Pend"/>
    <s v="Pend"/>
  </r>
  <r>
    <n v="2"/>
    <s v="SO17453"/>
    <s v="4500604129"/>
    <s v="INV13267"/>
    <s v="Resolute Forest Products - Fibrek"/>
    <d v="2025-07-07T18:07:02"/>
    <d v="2025-07-09T16:57:41"/>
    <d v="2025-07-23T00:00:00"/>
    <s v="Alexis Gil Lamadrid"/>
    <s v="CAD"/>
    <n v="1"/>
    <n v="1315.82"/>
    <n v="0"/>
    <n v="960.73463721764199"/>
    <n v="1315.82"/>
    <m/>
    <n v="1315.82"/>
    <s v="Delivered"/>
    <m/>
    <n v="2"/>
    <n v="7"/>
    <n v="2025"/>
    <n v="10"/>
    <n v="2025"/>
    <n v="0.73014138500527581"/>
    <x v="584"/>
    <d v="2025-07-07T18:07:02"/>
    <x v="693"/>
    <s v="Paid"/>
    <d v="2025-10-03T00:00:00"/>
    <s v="4500604129"/>
    <x v="127"/>
    <x v="0"/>
    <n v="1315.82"/>
    <n v="960.73463721764199"/>
    <n v="0.73014138500527581"/>
    <n v="-778"/>
    <n v="0"/>
    <n v="537.81999999999994"/>
    <s v=""/>
    <x v="0"/>
    <x v="1"/>
    <s v="Yes"/>
    <s v="Pend"/>
  </r>
  <r>
    <m/>
    <m/>
    <m/>
    <s v="INV13158"/>
    <m/>
    <m/>
    <m/>
    <m/>
    <m/>
    <m/>
    <m/>
    <m/>
    <m/>
    <m/>
    <m/>
    <m/>
    <m/>
    <m/>
    <m/>
    <n v="2"/>
    <n v="7"/>
    <n v="2025"/>
    <n v="9"/>
    <n v="2025"/>
    <n v="0.73014138500527581"/>
    <x v="584"/>
    <d v="2025-07-07T18:07:02"/>
    <x v="694"/>
    <s v="Paid"/>
    <d v="2025-09-05T00:00:00"/>
    <s v="4500604129"/>
    <x v="127"/>
    <x v="0"/>
    <n v="0"/>
    <n v="0"/>
    <n v="0"/>
    <n v="-537.82000000000005"/>
    <n v="0"/>
    <n v="-537.82000000000005"/>
    <s v=""/>
    <x v="0"/>
    <x v="1"/>
    <s v="Yes"/>
    <s v="Pend"/>
  </r>
  <r>
    <n v="1"/>
    <s v="SO17454"/>
    <s v="4500603419"/>
    <s v="INV13266"/>
    <s v="Resolute Forest Products - Clermont"/>
    <d v="2025-07-07T19:27:45"/>
    <d v="2025-07-08T13:35:01"/>
    <d v="2025-08-27T00:00:00"/>
    <s v="Alexis Gil Lamadrid"/>
    <s v="CAD"/>
    <n v="1"/>
    <n v="803.27"/>
    <n v="803.27"/>
    <n v="803.27"/>
    <n v="765.02"/>
    <n v="38.25"/>
    <n v="803.27"/>
    <s v="Delivered"/>
    <m/>
    <n v="1"/>
    <n v="7"/>
    <n v="2025"/>
    <n v="10"/>
    <n v="2025"/>
    <n v="1"/>
    <x v="585"/>
    <d v="2025-07-07T19:27:45"/>
    <x v="695"/>
    <s v="Paid"/>
    <d v="2025-10-03T00:00:00"/>
    <s v="4500603419"/>
    <x v="83"/>
    <x v="0"/>
    <n v="765.02"/>
    <n v="558.23456320391188"/>
    <n v="0.72969930616704382"/>
    <n v="-765.02"/>
    <n v="0"/>
    <n v="0"/>
    <s v=""/>
    <x v="0"/>
    <x v="0"/>
    <s v="Pend"/>
    <s v="Pend"/>
  </r>
  <r>
    <n v="1"/>
    <s v="SO17455"/>
    <s v="4500582108"/>
    <s v="INV13323"/>
    <s v="Glencore Canada Corporation - Rouyn-Noranda, Glencore Canada Corp."/>
    <d v="2025-07-08T10:25:26"/>
    <d v="2025-07-08T10:31:29"/>
    <d v="2025-07-11T00:00:00"/>
    <s v="Ian Trottier"/>
    <s v="CAD"/>
    <n v="1"/>
    <n v="115.14"/>
    <n v="115.14"/>
    <n v="115.14"/>
    <n v="109.66"/>
    <n v="5.48"/>
    <n v="115.14"/>
    <s v="Delivered"/>
    <m/>
    <n v="1"/>
    <n v="7"/>
    <n v="2025"/>
    <n v="10"/>
    <n v="2025"/>
    <n v="1"/>
    <x v="586"/>
    <d v="2025-07-08T10:25:26"/>
    <x v="696"/>
    <s v="Paid"/>
    <d v="2025-10-10T00:00:00"/>
    <s v="4500582108"/>
    <x v="27"/>
    <x v="0"/>
    <n v="109.66"/>
    <n v="80.018825914278025"/>
    <n v="0.72969930616704382"/>
    <n v="-109.66"/>
    <n v="0"/>
    <n v="0"/>
    <s v=""/>
    <x v="0"/>
    <x v="0"/>
    <s v="Pend"/>
    <s v="Pend"/>
  </r>
  <r>
    <n v="2"/>
    <s v="SO17456"/>
    <s v="4512094907"/>
    <s v="INV13276"/>
    <s v="PT Vale Indonesia Tbk."/>
    <d v="2025-07-08T11:11:51"/>
    <d v="2025-07-09T14:14:01"/>
    <d v="2025-07-24T00:00:00"/>
    <s v="Wilka Nuñez"/>
    <s v="USD"/>
    <n v="0.73276914130828075"/>
    <n v="504.7155770502157"/>
    <n v="0"/>
    <n v="369.84"/>
    <n v="369.84"/>
    <m/>
    <n v="369.84"/>
    <s v="Delivered"/>
    <m/>
    <n v="2"/>
    <n v="7"/>
    <n v="2025"/>
    <n v="9"/>
    <n v="2025"/>
    <n v="0.73276914130828075"/>
    <x v="587"/>
    <d v="2025-07-08T11:11:51"/>
    <x v="697"/>
    <s v="Paid"/>
    <d v="2025-09-29T00:00:00"/>
    <s v="4512094907"/>
    <x v="42"/>
    <x v="1"/>
    <n v="504.7155770502157"/>
    <n v="369.84"/>
    <n v="0.73276914130828075"/>
    <n v="0"/>
    <n v="-184.92"/>
    <s v=""/>
    <n v="184.92"/>
    <x v="0"/>
    <x v="1"/>
    <s v="Yes"/>
    <s v="Pend"/>
  </r>
  <r>
    <m/>
    <m/>
    <m/>
    <s v="INV13176"/>
    <m/>
    <m/>
    <m/>
    <m/>
    <m/>
    <m/>
    <m/>
    <m/>
    <m/>
    <m/>
    <m/>
    <m/>
    <m/>
    <m/>
    <m/>
    <n v="2"/>
    <n v="7"/>
    <n v="2025"/>
    <n v="9"/>
    <n v="2025"/>
    <n v="0.73276914130828075"/>
    <x v="587"/>
    <d v="2025-07-08T11:11:51"/>
    <x v="698"/>
    <s v="Paid"/>
    <d v="2025-09-08T00:00:00"/>
    <s v="4512094907"/>
    <x v="42"/>
    <x v="1"/>
    <n v="0"/>
    <n v="0"/>
    <n v="0"/>
    <n v="0"/>
    <n v="-184.92"/>
    <s v=""/>
    <n v="-184.92"/>
    <x v="0"/>
    <x v="1"/>
    <s v="Yes"/>
    <s v="Pend"/>
  </r>
  <r>
    <n v="1"/>
    <s v="SO17457"/>
    <s v="PO003472"/>
    <s v="INV13393"/>
    <s v="Eleazar General &amp; Industrial Supplies Limited"/>
    <d v="2025-07-08T11:55:12"/>
    <d v="2025-09-11T08:20:06"/>
    <d v="2025-09-15T00:00:00"/>
    <s v="Wilka Nuñez"/>
    <s v="USD"/>
    <n v="0.72223660770473652"/>
    <n v="627.21827607109424"/>
    <n v="0"/>
    <n v="453"/>
    <n v="453"/>
    <m/>
    <n v="453"/>
    <s v="Delivered"/>
    <m/>
    <n v="1"/>
    <n v="7"/>
    <n v="2025"/>
    <n v="10"/>
    <n v="2025"/>
    <n v="0.72223660770473652"/>
    <x v="588"/>
    <d v="2025-07-08T11:55:12"/>
    <x v="699"/>
    <s v="Paid"/>
    <d v="2025-10-29T00:00:00"/>
    <s v="PO003472"/>
    <x v="8"/>
    <x v="1"/>
    <n v="627.21827607109424"/>
    <n v="453"/>
    <n v="0.72223660770473652"/>
    <n v="0"/>
    <n v="-453"/>
    <s v=""/>
    <n v="0"/>
    <x v="0"/>
    <x v="0"/>
    <s v="Pend"/>
    <s v="Pend"/>
  </r>
  <r>
    <n v="1"/>
    <s v="SO17459"/>
    <s v="2100609815"/>
    <s v="INV13173"/>
    <s v="Wajax Limited - Noranda"/>
    <d v="2025-07-08T15:37:59"/>
    <d v="2025-07-09T17:30:31"/>
    <d v="2025-07-10T00:00:00"/>
    <s v="Ian Trottier"/>
    <s v="CAD"/>
    <n v="1"/>
    <n v="3201.22"/>
    <n v="0"/>
    <n v="2337.3432045065888"/>
    <n v="3048.78"/>
    <n v="152.44"/>
    <n v="3201.22"/>
    <s v="Delivered"/>
    <m/>
    <n v="1"/>
    <n v="7"/>
    <n v="2025"/>
    <n v="8"/>
    <n v="2025"/>
    <n v="0.73014138500527581"/>
    <x v="589"/>
    <d v="2025-07-08T15:37:59"/>
    <x v="700"/>
    <s v="Paid"/>
    <d v="2025-08-20T00:00:00"/>
    <s v="2100609815"/>
    <x v="35"/>
    <x v="0"/>
    <n v="3048.78"/>
    <n v="2226.040451776385"/>
    <n v="0.73014138500527581"/>
    <n v="-3048.78"/>
    <n v="0"/>
    <n v="0"/>
    <s v=""/>
    <x v="0"/>
    <x v="0"/>
    <s v="Pend"/>
    <s v="Pend"/>
  </r>
  <r>
    <n v="2"/>
    <s v="SO17461"/>
    <s v="2100610848"/>
    <s v="INV13201"/>
    <s v="Wajax Limited - Noranda"/>
    <d v="2025-07-08T17:29:09"/>
    <d v="2025-07-09T18:47:10"/>
    <d v="2025-07-16T00:00:00"/>
    <s v="Ian Trottier"/>
    <s v="CAD"/>
    <n v="1"/>
    <n v="1033.58"/>
    <n v="0"/>
    <n v="754.65953271375292"/>
    <n v="984.36"/>
    <n v="49.22"/>
    <n v="1033.58"/>
    <s v="Delivered"/>
    <m/>
    <n v="2"/>
    <n v="7"/>
    <n v="2025"/>
    <n v="8"/>
    <n v="2025"/>
    <n v="0.73014138500527581"/>
    <x v="590"/>
    <d v="2025-07-08T17:29:09"/>
    <x v="701"/>
    <s v="Paid"/>
    <d v="2025-08-27T00:00:00"/>
    <s v="2100610848"/>
    <x v="35"/>
    <x v="0"/>
    <n v="984.36"/>
    <n v="718.72197374379334"/>
    <n v="0.73014138500527581"/>
    <n v="-60"/>
    <n v="0"/>
    <n v="924.36"/>
    <s v=""/>
    <x v="0"/>
    <x v="1"/>
    <s v="Yes"/>
    <s v="Pend"/>
  </r>
  <r>
    <m/>
    <m/>
    <m/>
    <s v="INV13174"/>
    <m/>
    <m/>
    <m/>
    <m/>
    <m/>
    <m/>
    <m/>
    <m/>
    <m/>
    <m/>
    <m/>
    <m/>
    <m/>
    <m/>
    <m/>
    <n v="2"/>
    <n v="7"/>
    <n v="2025"/>
    <n v="8"/>
    <n v="2025"/>
    <n v="0.73014138500527581"/>
    <x v="590"/>
    <d v="2025-07-08T17:29:09"/>
    <x v="702"/>
    <s v="Paid"/>
    <d v="2025-08-20T00:00:00"/>
    <s v="2100610848"/>
    <x v="35"/>
    <x v="0"/>
    <n v="0"/>
    <n v="0"/>
    <n v="0"/>
    <n v="-924.36"/>
    <n v="0"/>
    <n v="-924.36"/>
    <s v=""/>
    <x v="0"/>
    <x v="1"/>
    <s v="Yes"/>
    <s v="Pend"/>
  </r>
  <r>
    <n v="1"/>
    <s v="SO17462"/>
    <s v="607053"/>
    <s v="INV13466"/>
    <s v="Sealtrac Inc."/>
    <d v="2025-07-09T16:35:29"/>
    <d v="2025-09-26T15:33:35"/>
    <d v="2025-09-28T00:00:00"/>
    <s v="Ian Trottier"/>
    <s v="CAD"/>
    <n v="1"/>
    <n v="825.78"/>
    <n v="0"/>
    <n v="592.07402214435069"/>
    <n v="730.78"/>
    <n v="95"/>
    <n v="825.78"/>
    <s v="Delivered"/>
    <m/>
    <n v="1"/>
    <n v="7"/>
    <n v="2025"/>
    <n v="11"/>
    <n v="2025"/>
    <n v="0.71698760219955759"/>
    <x v="591"/>
    <d v="2025-07-09T16:35:29"/>
    <x v="703"/>
    <s v="Paid"/>
    <d v="2025-11-30T00:00:00"/>
    <s v="607053"/>
    <x v="50"/>
    <x v="0"/>
    <n v="730.78"/>
    <n v="523.96019993539267"/>
    <n v="0.71698760219955759"/>
    <n v="-730.78"/>
    <n v="0"/>
    <n v="0"/>
    <s v=""/>
    <x v="0"/>
    <x v="0"/>
    <s v="Pend"/>
    <s v="Pend"/>
  </r>
  <r>
    <n v="2"/>
    <s v="SO17464"/>
    <s v="PO-40-1016572"/>
    <s v="INV13181"/>
    <s v="Canadian Bearings Ltd."/>
    <d v="2025-07-09T16:45:58"/>
    <d v="2025-07-11T11:56:46"/>
    <d v="2025-07-25T00:00:00"/>
    <s v="Ian Trottier"/>
    <s v="CAD"/>
    <n v="1"/>
    <n v="3013.5"/>
    <n v="0"/>
    <n v="2202.6518076182278"/>
    <n v="2870"/>
    <n v="143.5"/>
    <n v="3013.5"/>
    <s v="Delivered"/>
    <m/>
    <n v="2"/>
    <n v="7"/>
    <n v="2025"/>
    <n v="7"/>
    <n v="2025"/>
    <n v="0.73092809278852755"/>
    <x v="592"/>
    <d v="2025-07-09T16:45:58"/>
    <x v="704"/>
    <s v="Paid"/>
    <d v="2025-07-30T00:00:00"/>
    <s v="PO-40-1016572"/>
    <x v="38"/>
    <x v="0"/>
    <n v="2870"/>
    <n v="2097.763626303074"/>
    <n v="0.73092809278852755"/>
    <n v="-595.67999999999995"/>
    <n v="0"/>
    <n v="2274.3200000000002"/>
    <s v=""/>
    <x v="0"/>
    <x v="1"/>
    <s v="Yes"/>
    <s v="Pend"/>
  </r>
  <r>
    <m/>
    <m/>
    <m/>
    <s v="INV13271"/>
    <m/>
    <m/>
    <m/>
    <m/>
    <m/>
    <m/>
    <m/>
    <m/>
    <m/>
    <m/>
    <m/>
    <m/>
    <m/>
    <m/>
    <m/>
    <n v="2"/>
    <n v="7"/>
    <n v="2025"/>
    <n v="10"/>
    <n v="2025"/>
    <n v="0.73092809278852755"/>
    <x v="592"/>
    <d v="2025-07-09T16:45:58"/>
    <x v="705"/>
    <s v="Paid"/>
    <d v="2025-10-10T00:00:00"/>
    <s v="PO-40-1016572"/>
    <x v="38"/>
    <x v="0"/>
    <n v="0"/>
    <n v="0"/>
    <n v="0"/>
    <n v="-2274.3200000000002"/>
    <n v="0"/>
    <n v="-2274.3200000000002"/>
    <s v=""/>
    <x v="0"/>
    <x v="1"/>
    <s v="Yes"/>
    <s v="Pend"/>
  </r>
  <r>
    <n v="1"/>
    <s v="SO17466"/>
    <s v="4500604516"/>
    <s v="INV13167"/>
    <s v="Resolute Forest Products - Clermont"/>
    <d v="2025-07-09T17:44:35"/>
    <d v="2025-07-09T18:07:21"/>
    <d v="2025-07-19T00:00:00"/>
    <s v="Alexis Gil Lamadrid"/>
    <s v="USD"/>
    <n v="0.73276914130828075"/>
    <n v="1448.4097926190959"/>
    <n v="0"/>
    <n v="1061.3499999999999"/>
    <n v="1010.81"/>
    <n v="50.54"/>
    <n v="1061.3499999999999"/>
    <s v="Delivered"/>
    <m/>
    <n v="1"/>
    <n v="7"/>
    <n v="2025"/>
    <n v="9"/>
    <n v="2025"/>
    <n v="0.73276914130828075"/>
    <x v="593"/>
    <d v="2025-07-09T17:44:35"/>
    <x v="706"/>
    <s v="Paid"/>
    <d v="2025-09-09T00:00:00"/>
    <s v="4500604516"/>
    <x v="83"/>
    <x v="1"/>
    <n v="1379.4385475830861"/>
    <n v="1010.81"/>
    <n v="0.73276914130828075"/>
    <n v="0"/>
    <n v="-1010.81"/>
    <s v=""/>
    <n v="0"/>
    <x v="0"/>
    <x v="0"/>
    <s v="Pend"/>
    <s v="Pend"/>
  </r>
  <r>
    <n v="1"/>
    <s v="SO17467"/>
    <s v="7369"/>
    <s v="INV13166"/>
    <s v="Hyperflo"/>
    <d v="2025-07-09T19:05:44"/>
    <d v="2025-07-09T19:05:57"/>
    <d v="2025-07-16T00:00:00"/>
    <s v="Ian Trottier"/>
    <s v="CAD"/>
    <n v="1"/>
    <n v="213.9"/>
    <n v="213.9"/>
    <n v="213.9"/>
    <n v="213.9"/>
    <m/>
    <n v="213.9"/>
    <s v="Delivered"/>
    <m/>
    <n v="1"/>
    <n v="7"/>
    <n v="2025"/>
    <n v="8"/>
    <n v="2025"/>
    <n v="1"/>
    <x v="594"/>
    <d v="2025-07-09T19:05:44"/>
    <x v="707"/>
    <s v="Paid"/>
    <d v="2025-08-14T00:00:00"/>
    <s v="7369"/>
    <x v="5"/>
    <x v="0"/>
    <n v="213.9"/>
    <n v="156.08268158913069"/>
    <n v="0.72969930616704382"/>
    <n v="-213.9"/>
    <n v="0"/>
    <n v="0"/>
    <s v=""/>
    <x v="0"/>
    <x v="0"/>
    <s v="Pend"/>
    <s v="Pend"/>
  </r>
  <r>
    <n v="1"/>
    <s v="SO17468"/>
    <s v="4500604485"/>
    <s v="INV13182"/>
    <s v="Resolute Forest Products - Saint-Felicien"/>
    <d v="2025-07-10T08:31:06"/>
    <d v="2025-07-11T17:20:57"/>
    <d v="2025-07-18T00:00:00"/>
    <s v="Ian Trottier"/>
    <s v="CAD"/>
    <n v="1"/>
    <n v="418.03"/>
    <n v="0"/>
    <n v="305.54987062838819"/>
    <n v="398.12"/>
    <n v="19.91"/>
    <n v="418.03"/>
    <s v="Delivered"/>
    <m/>
    <n v="1"/>
    <n v="7"/>
    <n v="2025"/>
    <n v="9"/>
    <n v="2025"/>
    <n v="0.73092809278852766"/>
    <x v="595"/>
    <d v="2025-07-10T08:31:06"/>
    <x v="708"/>
    <s v="Paid"/>
    <d v="2025-09-12T00:00:00"/>
    <s v="4500604485"/>
    <x v="46"/>
    <x v="0"/>
    <n v="398.12"/>
    <n v="290.99709230096863"/>
    <n v="0.73092809278852766"/>
    <n v="-398.12"/>
    <n v="0"/>
    <n v="0"/>
    <s v=""/>
    <x v="0"/>
    <x v="0"/>
    <s v="Pend"/>
    <s v="Pend"/>
  </r>
  <r>
    <n v="1"/>
    <s v="SO17471"/>
    <s v="607024"/>
    <s v="INV13304"/>
    <s v="Sealtrac Inc."/>
    <d v="2025-07-10T10:10:55"/>
    <d v="2025-07-10T16:13:36"/>
    <d v="2025-08-14T00:00:00"/>
    <s v="Ian Trottier"/>
    <s v="CAD"/>
    <n v="1"/>
    <n v="1011.03"/>
    <n v="1011.03"/>
    <n v="1011.03"/>
    <n v="894.72"/>
    <n v="116.31"/>
    <n v="1011.03"/>
    <s v="Delivered"/>
    <m/>
    <n v="1"/>
    <n v="7"/>
    <n v="2025"/>
    <n v="9"/>
    <n v="2025"/>
    <n v="1"/>
    <x v="596"/>
    <d v="2025-07-10T10:10:55"/>
    <x v="709"/>
    <s v="Paid"/>
    <d v="2025-09-22T00:00:00"/>
    <s v="607024"/>
    <x v="50"/>
    <x v="0"/>
    <n v="894.72"/>
    <n v="652.87656321377744"/>
    <n v="0.72969930616704382"/>
    <n v="-894.72"/>
    <n v="0"/>
    <n v="0"/>
    <s v=""/>
    <x v="0"/>
    <x v="0"/>
    <s v="Pend"/>
    <s v="Pend"/>
  </r>
  <r>
    <n v="1"/>
    <s v="SO17472"/>
    <s v="PO003448"/>
    <s v="INV13331"/>
    <s v="Eleazar General &amp; Industrial Supplies Limited"/>
    <d v="2025-07-10T10:13:24"/>
    <d v="2025-08-18T13:37:19"/>
    <d v="2025-08-19T00:00:00"/>
    <s v="Ian Trottier"/>
    <s v="USD"/>
    <n v="0.7240742470894046"/>
    <n v="4600.0945529951023"/>
    <n v="0"/>
    <n v="3330.81"/>
    <n v="3330.81"/>
    <m/>
    <n v="3330.81"/>
    <s v="Delivered"/>
    <m/>
    <n v="1"/>
    <n v="7"/>
    <n v="2025"/>
    <n v="10"/>
    <n v="2025"/>
    <n v="0.7240742470894046"/>
    <x v="597"/>
    <d v="2025-07-10T10:13:24"/>
    <x v="710"/>
    <s v="Paid"/>
    <d v="2025-10-29T00:00:00"/>
    <s v="PO003448"/>
    <x v="8"/>
    <x v="1"/>
    <n v="4600.0945529951023"/>
    <n v="3330.81"/>
    <n v="0.7240742470894046"/>
    <n v="0"/>
    <n v="-3330.81"/>
    <s v=""/>
    <n v="0"/>
    <x v="0"/>
    <x v="0"/>
    <s v="Pend"/>
    <s v="Pend"/>
  </r>
  <r>
    <n v="1"/>
    <s v="SO17475"/>
    <s v="1055"/>
    <s v="INV13220"/>
    <s v="Mill-Right Mine Services Inc."/>
    <d v="2025-07-10T13:07:37"/>
    <d v="2025-07-22T15:31:03"/>
    <d v="2025-07-23T00:00:00"/>
    <s v="Amanda Qiao"/>
    <s v="CAD"/>
    <n v="1"/>
    <n v="11078.21"/>
    <n v="11078.21"/>
    <n v="11078.21"/>
    <n v="9803.7199999999993"/>
    <n v="1274.49"/>
    <n v="11078.21"/>
    <s v="Delivered"/>
    <m/>
    <n v="1"/>
    <n v="7"/>
    <n v="2025"/>
    <n v="9"/>
    <n v="2025"/>
    <n v="1"/>
    <x v="598"/>
    <d v="2025-07-10T13:07:37"/>
    <x v="711"/>
    <s v="Paid"/>
    <d v="2025-09-03T00:00:00"/>
    <s v="1055"/>
    <x v="30"/>
    <x v="0"/>
    <n v="9803.7199999999993"/>
    <n v="7153.7676818559703"/>
    <n v="0.72969930616704382"/>
    <n v="-13337.378376613482"/>
    <n v="0"/>
    <n v="-3533.6583766134827"/>
    <s v=""/>
    <x v="0"/>
    <x v="0"/>
    <s v="Pend"/>
    <s v="Pend"/>
  </r>
  <r>
    <n v="2"/>
    <s v="SO17477"/>
    <s v="4501234300"/>
    <s v="INV13252"/>
    <s v="Barrick Gold - Pueblo Viejo Dominicana Corporation"/>
    <d v="2025-07-10T14:18:17"/>
    <d v="2025-07-17T16:04:23"/>
    <d v="2025-12-04T00:00:00"/>
    <s v="Wilka Nuñez"/>
    <s v="USD"/>
    <n v="0.72920119964000452"/>
    <n v="92841.399648577761"/>
    <n v="0"/>
    <n v="67700.06"/>
    <n v="67700.06"/>
    <m/>
    <n v="67700.06"/>
    <s v="Delivered"/>
    <m/>
    <n v="2"/>
    <n v="7"/>
    <n v="2025"/>
    <n v="9"/>
    <n v="2025"/>
    <n v="0.72920119964000452"/>
    <x v="599"/>
    <d v="2025-07-10T14:18:17"/>
    <x v="712"/>
    <s v="Paid"/>
    <d v="2025-09-11T00:00:00"/>
    <s v="4501234300"/>
    <x v="15"/>
    <x v="1"/>
    <n v="92841.399648577761"/>
    <n v="67700.06"/>
    <n v="0.72920119964000452"/>
    <n v="0"/>
    <n v="-34777.160000000003"/>
    <s v=""/>
    <n v="32922.899999999994"/>
    <x v="0"/>
    <x v="1"/>
    <n v="0"/>
    <s v="Pend"/>
  </r>
  <r>
    <m/>
    <m/>
    <m/>
    <s v="INV13574"/>
    <m/>
    <m/>
    <m/>
    <m/>
    <m/>
    <m/>
    <m/>
    <m/>
    <m/>
    <m/>
    <m/>
    <m/>
    <m/>
    <m/>
    <m/>
    <n v="2"/>
    <n v="7"/>
    <n v="2025"/>
    <n v="12"/>
    <n v="2025"/>
    <n v="0.72920119964000452"/>
    <x v="599"/>
    <d v="2025-07-10T14:18:17"/>
    <x v="713"/>
    <s v="Paid"/>
    <d v="2025-12-12T00:00:00"/>
    <s v="4501234300"/>
    <x v="15"/>
    <x v="1"/>
    <n v="0"/>
    <n v="0"/>
    <n v="0"/>
    <n v="0"/>
    <n v="-32922.9"/>
    <s v=""/>
    <n v="-32922.9"/>
    <x v="0"/>
    <x v="1"/>
    <n v="0"/>
    <s v="Pend"/>
  </r>
  <r>
    <n v="1"/>
    <s v="SO17478"/>
    <s v="6961401 - Paid in full on July 11th 2025"/>
    <s v="INV13165"/>
    <s v="Stroudsburg Electric Motor Service/BDS"/>
    <d v="2025-07-10T14:25:56"/>
    <d v="2025-07-11T10:12:18"/>
    <d v="2025-07-11T00:00:00"/>
    <s v="Ian Trottier"/>
    <s v="USD"/>
    <n v="0.73014138500527581"/>
    <n v="1530.0598253198971"/>
    <n v="0"/>
    <n v="1117.1600000000001"/>
    <n v="1117.1600000000001"/>
    <m/>
    <n v="1117.1600000000001"/>
    <s v="Delivered"/>
    <m/>
    <n v="1"/>
    <n v="7"/>
    <n v="2025"/>
    <n v="11"/>
    <n v="2025"/>
    <n v="0.73014138500527581"/>
    <x v="600"/>
    <d v="2025-07-10T14:25:56"/>
    <x v="714"/>
    <s v="Paid"/>
    <d v="2025-11-03T00:00:00"/>
    <s v="6961401 - Paid in full on July 11th 2025"/>
    <x v="128"/>
    <x v="1"/>
    <n v="1530.0598253198971"/>
    <n v="1117.1600000000001"/>
    <n v="0.73014138500527581"/>
    <n v="0"/>
    <n v="-1117.1600000000001"/>
    <s v=""/>
    <n v="0"/>
    <x v="0"/>
    <x v="0"/>
    <s v="Pend"/>
    <s v="Pend"/>
  </r>
  <r>
    <n v="1"/>
    <s v="SO17481"/>
    <s v="PO-041427"/>
    <s v="INV13229"/>
    <s v="Southeast Pump Specialist, Inc."/>
    <d v="2025-07-10T15:12:00"/>
    <d v="2025-07-14T10:10:30"/>
    <d v="2025-08-04T00:00:00"/>
    <s v="Ian Trottier"/>
    <s v="USD"/>
    <n v="0.73030448566452189"/>
    <n v="11693.90325218822"/>
    <n v="0"/>
    <n v="8540.11"/>
    <n v="8540.11"/>
    <m/>
    <n v="8540.11"/>
    <s v="Delivered"/>
    <m/>
    <n v="1"/>
    <n v="7"/>
    <n v="2025"/>
    <n v="9"/>
    <n v="2025"/>
    <n v="0.73030448566452211"/>
    <x v="601"/>
    <d v="2025-07-10T15:12:00"/>
    <x v="715"/>
    <s v="Paid"/>
    <d v="2025-09-13T00:00:00"/>
    <s v="PO-041427"/>
    <x v="26"/>
    <x v="1"/>
    <n v="11693.903252188224"/>
    <n v="8540.11"/>
    <n v="0.73030448566452189"/>
    <n v="0"/>
    <n v="-8540.11"/>
    <s v=""/>
    <n v="0"/>
    <x v="0"/>
    <x v="0"/>
    <s v="Pend"/>
    <s v="Pend"/>
  </r>
  <r>
    <n v="1"/>
    <s v="SO17482"/>
    <s v="PO-041381"/>
    <s v="INV13668"/>
    <s v="Southeast Pump Specialist, Inc."/>
    <d v="2025-07-10T15:25:15"/>
    <d v="2025-07-15T15:25:15"/>
    <d v="2025-11-11T00:00:00"/>
    <s v="Ian Trottier"/>
    <s v="USD"/>
    <n v="0.73022664145869165"/>
    <n v="5167.2176633580812"/>
    <n v="0"/>
    <n v="3773.24"/>
    <n v="3773.24"/>
    <m/>
    <n v="3773.24"/>
    <s v="Delivered"/>
    <m/>
    <n v="1"/>
    <n v="7"/>
    <n v="2025"/>
    <s v=""/>
    <s v=""/>
    <n v="0.73022664145869165"/>
    <x v="602"/>
    <d v="2025-07-10T15:25:15"/>
    <x v="716"/>
    <s v="Approved"/>
    <s v="Pending"/>
    <s v="PO-041381"/>
    <x v="26"/>
    <x v="1"/>
    <n v="5167.2176633580812"/>
    <n v="3773.24"/>
    <n v="0.73022664145869165"/>
    <n v="0"/>
    <n v="0"/>
    <s v=""/>
    <n v="3773.24"/>
    <x v="1"/>
    <x v="2"/>
    <s v="Pend"/>
    <s v="Pend"/>
  </r>
  <r>
    <n v="2"/>
    <s v="SO17483"/>
    <s v="4501236472"/>
    <s v="INV13249"/>
    <s v="Barrick Gold - Pueblo Viejo Dominicana Corporation"/>
    <d v="2025-07-10T15:30:42"/>
    <d v="2025-07-17T15:05:08"/>
    <d v="2025-12-04T00:00:00"/>
    <s v="Wilka Nuñez"/>
    <s v="USD"/>
    <n v="0.72920119964000452"/>
    <n v="35091.878637381451"/>
    <n v="0"/>
    <n v="25589.040000000001"/>
    <n v="25589.040000000001"/>
    <m/>
    <n v="25589.040000000001"/>
    <s v="Delivered"/>
    <m/>
    <n v="2"/>
    <n v="7"/>
    <n v="2025"/>
    <n v="9"/>
    <n v="2025"/>
    <n v="0.72920119964000452"/>
    <x v="603"/>
    <d v="2025-07-10T15:30:42"/>
    <x v="717"/>
    <s v="Paid"/>
    <d v="2025-09-19T00:00:00"/>
    <s v="4501236472"/>
    <x v="15"/>
    <x v="1"/>
    <n v="35091.878637381451"/>
    <n v="25589.040000000001"/>
    <n v="0.72920119964000452"/>
    <n v="0"/>
    <n v="-23887.63"/>
    <s v=""/>
    <n v="1701.4099999999999"/>
    <x v="0"/>
    <x v="1"/>
    <n v="0"/>
    <s v="Pend"/>
  </r>
  <r>
    <m/>
    <m/>
    <m/>
    <s v="INV13576"/>
    <m/>
    <m/>
    <m/>
    <m/>
    <m/>
    <m/>
    <m/>
    <m/>
    <m/>
    <m/>
    <m/>
    <m/>
    <m/>
    <m/>
    <m/>
    <n v="2"/>
    <n v="7"/>
    <n v="2025"/>
    <s v=""/>
    <s v=""/>
    <n v="0.72920119964000452"/>
    <x v="603"/>
    <d v="2025-07-10T15:30:42"/>
    <x v="718"/>
    <s v="Approved"/>
    <s v="Pending"/>
    <s v="4501236472"/>
    <x v="15"/>
    <x v="1"/>
    <n v="0"/>
    <n v="0"/>
    <n v="0"/>
    <n v="0"/>
    <n v="-1701.41"/>
    <s v=""/>
    <n v="-1701.41"/>
    <x v="1"/>
    <x v="1"/>
    <n v="0"/>
    <s v="Pend"/>
  </r>
  <r>
    <n v="2"/>
    <s v="SO17484"/>
    <s v="607025"/>
    <s v="INV13303"/>
    <s v="Sealtrac Inc."/>
    <d v="2025-07-10T15:46:47"/>
    <d v="2025-07-10T15:52:43"/>
    <d v="2025-07-11T00:00:00"/>
    <s v="Ian Trottier"/>
    <s v="CAD"/>
    <n v="1"/>
    <n v="1259.5"/>
    <n v="1259.5"/>
    <n v="1259.5"/>
    <n v="1114.5999999999999"/>
    <n v="144.9"/>
    <n v="1259.5"/>
    <s v="Delivered"/>
    <m/>
    <n v="2"/>
    <n v="7"/>
    <n v="2025"/>
    <n v="9"/>
    <n v="2025"/>
    <n v="1"/>
    <x v="604"/>
    <d v="2025-07-10T15:46:47"/>
    <x v="719"/>
    <s v="Paid"/>
    <d v="2025-09-22T00:00:00"/>
    <s v="607025"/>
    <x v="50"/>
    <x v="0"/>
    <n v="1114.5999999999999"/>
    <n v="813.322846653787"/>
    <n v="0.72969930616704382"/>
    <n v="-278.64999999999998"/>
    <n v="0"/>
    <n v="835.94999999999993"/>
    <s v=""/>
    <x v="0"/>
    <x v="1"/>
    <s v="Yes"/>
    <s v="Pend"/>
  </r>
  <r>
    <m/>
    <m/>
    <m/>
    <s v="INV13168"/>
    <m/>
    <m/>
    <m/>
    <m/>
    <m/>
    <m/>
    <m/>
    <m/>
    <m/>
    <m/>
    <m/>
    <m/>
    <m/>
    <m/>
    <m/>
    <n v="2"/>
    <n v="7"/>
    <n v="2025"/>
    <n v="9"/>
    <n v="2025"/>
    <n v="1"/>
    <x v="604"/>
    <d v="2025-07-10T15:46:47"/>
    <x v="720"/>
    <s v="Paid"/>
    <d v="2025-09-09T00:00:00"/>
    <s v="607025"/>
    <x v="50"/>
    <x v="0"/>
    <n v="0"/>
    <n v="0"/>
    <n v="0"/>
    <n v="-835.95"/>
    <n v="0"/>
    <n v="-835.95"/>
    <s v=""/>
    <x v="0"/>
    <x v="1"/>
    <s v="Yes"/>
    <s v="Pend"/>
  </r>
  <r>
    <n v="1"/>
    <s v="SO17485"/>
    <s v="3255"/>
    <s v="INV13171"/>
    <s v="Les Pompes du St-Laurent Inc."/>
    <d v="2025-07-10T16:40:18"/>
    <d v="2025-07-11T12:21:22"/>
    <d v="2025-07-14T00:00:00"/>
    <s v="Ian Trottier"/>
    <s v="CAD"/>
    <n v="1"/>
    <n v="825.91"/>
    <n v="0"/>
    <n v="603.6808211149729"/>
    <n v="786.58"/>
    <n v="39.33"/>
    <n v="825.91"/>
    <s v="Delivered"/>
    <m/>
    <n v="1"/>
    <n v="7"/>
    <n v="2025"/>
    <n v="8"/>
    <n v="2025"/>
    <n v="0.73092809278852766"/>
    <x v="605"/>
    <d v="2025-07-10T16:40:18"/>
    <x v="721"/>
    <s v="Paid"/>
    <d v="2025-08-12T00:00:00"/>
    <s v="3255"/>
    <x v="7"/>
    <x v="0"/>
    <n v="786.58"/>
    <n v="574.93341922560012"/>
    <n v="0.73092809278852766"/>
    <n v="-786.58"/>
    <n v="0"/>
    <n v="0"/>
    <s v=""/>
    <x v="0"/>
    <x v="0"/>
    <s v="Pend"/>
    <s v="Pend"/>
  </r>
  <r>
    <n v="1"/>
    <s v="SO17486"/>
    <s v="OC00180"/>
    <s v="INV13355"/>
    <s v="Dynapro Pumps México S de RL de CV"/>
    <d v="2025-07-10T18:53:22"/>
    <d v="2025-07-10T18:52:53"/>
    <d v="2025-08-15T00:00:00"/>
    <s v="Yannett Yeomans"/>
    <s v="USD"/>
    <n v="0.73014138500527581"/>
    <n v="3207.5979366421989"/>
    <n v="0"/>
    <n v="2342"/>
    <n v="2342"/>
    <m/>
    <n v="2342"/>
    <s v="Delivered"/>
    <m/>
    <n v="1"/>
    <n v="7"/>
    <n v="2025"/>
    <s v=""/>
    <s v=""/>
    <n v="0.73014138500527581"/>
    <x v="606"/>
    <d v="2025-07-10T18:53:22"/>
    <x v="722"/>
    <s v="Approved"/>
    <s v="Pending"/>
    <s v="OC00180"/>
    <x v="54"/>
    <x v="1"/>
    <n v="3207.5979366421989"/>
    <n v="2342"/>
    <n v="0.73014138500527581"/>
    <n v="0"/>
    <n v="-2342"/>
    <s v=""/>
    <n v="0"/>
    <x v="1"/>
    <x v="2"/>
    <s v="Pend"/>
    <s v="Pend"/>
  </r>
  <r>
    <n v="2"/>
    <s v="SO17488"/>
    <s v="PO-40-1016737"/>
    <s v="INV13208"/>
    <s v="Canadian Bearings Ltd."/>
    <d v="2025-07-11T13:59:55"/>
    <d v="2025-07-18T13:17:46"/>
    <d v="2025-10-24T00:00:00"/>
    <s v="Ian Trottier"/>
    <s v="CAD"/>
    <n v="1"/>
    <n v="4054.67"/>
    <n v="0"/>
    <n v="2956.6572436864758"/>
    <n v="3861.59"/>
    <n v="193.08"/>
    <n v="4054.67"/>
    <s v="Delivered"/>
    <m/>
    <n v="2"/>
    <n v="7"/>
    <n v="2025"/>
    <n v="7"/>
    <n v="2025"/>
    <n v="0.72919799729360857"/>
    <x v="607"/>
    <d v="2025-07-11T13:59:55"/>
    <x v="723"/>
    <s v="Paid"/>
    <d v="2025-07-30T00:00:00"/>
    <s v="PO-40-1016737"/>
    <x v="38"/>
    <x v="0"/>
    <n v="3861.59"/>
    <n v="2815.8636943690262"/>
    <n v="0.72919799729360868"/>
    <n v="-180.64"/>
    <n v="0"/>
    <n v="3680.9500000000003"/>
    <s v=""/>
    <x v="0"/>
    <x v="1"/>
    <s v="Yes"/>
    <s v="Pend"/>
  </r>
  <r>
    <m/>
    <m/>
    <m/>
    <s v="INV13310"/>
    <m/>
    <m/>
    <m/>
    <m/>
    <m/>
    <m/>
    <m/>
    <m/>
    <m/>
    <m/>
    <m/>
    <m/>
    <m/>
    <m/>
    <m/>
    <n v="2"/>
    <n v="7"/>
    <n v="2025"/>
    <n v="10"/>
    <n v="2025"/>
    <n v="0.72919799729360857"/>
    <x v="607"/>
    <d v="2025-07-11T13:59:55"/>
    <x v="724"/>
    <s v="Paid"/>
    <d v="2025-10-10T00:00:00"/>
    <s v="PO-40-1016737"/>
    <x v="38"/>
    <x v="0"/>
    <n v="0"/>
    <n v="0"/>
    <n v="0"/>
    <n v="-3680.95"/>
    <n v="0"/>
    <n v="-3680.95"/>
    <s v=""/>
    <x v="0"/>
    <x v="1"/>
    <s v="Yes"/>
    <s v="Pend"/>
  </r>
  <r>
    <n v="0"/>
    <s v="SO17489"/>
    <s v="2100611083"/>
    <m/>
    <s v="Wajax Limited - Timmins"/>
    <d v="2025-07-11T14:49:12"/>
    <d v="2025-09-05T12:41:39"/>
    <d v="2025-11-28T00:00:00"/>
    <s v="Alexis Gil Lamadrid"/>
    <s v="CAD"/>
    <n v="1"/>
    <n v="1690.5"/>
    <n v="0"/>
    <n v="1222.662773743981"/>
    <n v="1610"/>
    <n v="80.5"/>
    <n v="1690.5"/>
    <s v="Processing"/>
    <m/>
    <n v="0"/>
    <n v="7"/>
    <n v="2025"/>
    <s v=""/>
    <s v=""/>
    <n v="0.72325511608635373"/>
    <x v="608"/>
    <d v="2025-07-11T14:49:12"/>
    <x v="54"/>
    <s v="Not invoiced"/>
    <s v="Pending"/>
    <s v="2100611083"/>
    <x v="40"/>
    <x v="0"/>
    <n v="1610"/>
    <n v="1164.4407368990296"/>
    <n v="0.72325511608635384"/>
    <n v="0"/>
    <n v="0"/>
    <n v="1610"/>
    <s v=""/>
    <x v="1"/>
    <x v="2"/>
    <s v="Pend"/>
    <s v="Pend"/>
  </r>
  <r>
    <n v="1"/>
    <s v="SO17491"/>
    <s v="4500605083"/>
    <s v="INV13401"/>
    <s v="Resolute Forest Products - Alma"/>
    <d v="2025-07-11T16:32:41"/>
    <d v="2025-07-14T15:26:46"/>
    <d v="2025-08-25T00:00:00"/>
    <s v="Ian Trottier"/>
    <s v="CAD"/>
    <n v="1"/>
    <n v="2171.9299999999998"/>
    <n v="0"/>
    <n v="1585.945952699087"/>
    <n v="2068.5"/>
    <n v="103.43"/>
    <n v="2171.9299999999998"/>
    <s v="Delivered"/>
    <m/>
    <n v="1"/>
    <n v="7"/>
    <n v="2025"/>
    <n v="11"/>
    <n v="2025"/>
    <n v="0.7302012278015807"/>
    <x v="609"/>
    <d v="2025-07-11T16:32:41"/>
    <x v="725"/>
    <s v="Paid"/>
    <d v="2025-11-14T00:00:00"/>
    <s v="4500605083"/>
    <x v="82"/>
    <x v="0"/>
    <n v="2068.5"/>
    <n v="1510.4212397075696"/>
    <n v="0.7302012278015807"/>
    <n v="-2068.5"/>
    <n v="0"/>
    <n v="0"/>
    <s v=""/>
    <x v="0"/>
    <x v="0"/>
    <s v="Pend"/>
    <s v="Pend"/>
  </r>
  <r>
    <n v="2"/>
    <s v="SO17494"/>
    <s v="PO-40-1016782"/>
    <s v="INV13245"/>
    <s v="Canadian Bearings Ltd."/>
    <d v="2025-07-11T17:03:18"/>
    <d v="2025-07-11T17:01:33"/>
    <d v="2025-10-28T00:00:00"/>
    <s v="Alexis Gil Lamadrid"/>
    <s v="CAD"/>
    <n v="1"/>
    <n v="3317.66"/>
    <n v="0"/>
    <n v="2424.9708963207868"/>
    <n v="3159.68"/>
    <n v="157.97999999999999"/>
    <n v="3317.66"/>
    <s v="Delivered"/>
    <m/>
    <n v="2"/>
    <n v="7"/>
    <n v="2025"/>
    <n v="9"/>
    <n v="2025"/>
    <n v="0.73092809278852777"/>
    <x v="610"/>
    <d v="2025-07-11T17:03:18"/>
    <x v="726"/>
    <s v="Paid"/>
    <d v="2025-09-12T00:00:00"/>
    <s v="PO-40-1016782"/>
    <x v="38"/>
    <x v="0"/>
    <n v="3159.68"/>
    <n v="2309.4988762220555"/>
    <n v="0.73092809278852788"/>
    <n v="-110.83"/>
    <n v="0"/>
    <n v="3048.85"/>
    <s v=""/>
    <x v="0"/>
    <x v="1"/>
    <s v="Yes"/>
    <s v="Pend"/>
  </r>
  <r>
    <m/>
    <m/>
    <m/>
    <s v="INV13382"/>
    <m/>
    <m/>
    <m/>
    <m/>
    <m/>
    <m/>
    <m/>
    <m/>
    <m/>
    <m/>
    <m/>
    <m/>
    <m/>
    <m/>
    <m/>
    <n v="2"/>
    <n v="7"/>
    <n v="2025"/>
    <n v="10"/>
    <n v="2025"/>
    <n v="0.73092809278852777"/>
    <x v="610"/>
    <d v="2025-07-11T17:03:18"/>
    <x v="727"/>
    <s v="Paid"/>
    <d v="2025-10-10T00:00:00"/>
    <s v="PO-40-1016782"/>
    <x v="38"/>
    <x v="0"/>
    <n v="0"/>
    <n v="0"/>
    <n v="0"/>
    <n v="-3048.85"/>
    <n v="0"/>
    <n v="-3048.85"/>
    <s v=""/>
    <x v="0"/>
    <x v="1"/>
    <s v="Yes"/>
    <s v="Pend"/>
  </r>
  <r>
    <n v="2"/>
    <s v="SO17496"/>
    <s v="OC00181"/>
    <s v="INV13682"/>
    <s v="Dynapro Pumps México S de RL de CV"/>
    <d v="2025-07-11T18:43:51"/>
    <d v="2025-07-11T18:43:41"/>
    <d v="2025-09-12T00:00:00"/>
    <s v="Yannett Yeomans"/>
    <s v="USD"/>
    <n v="0.73014138500527581"/>
    <n v="15706.54702707632"/>
    <n v="0"/>
    <n v="11468"/>
    <n v="11468"/>
    <m/>
    <n v="11468"/>
    <s v="Delivered"/>
    <m/>
    <n v="2"/>
    <n v="7"/>
    <n v="2025"/>
    <s v=""/>
    <s v=""/>
    <n v="0.7301413850052757"/>
    <x v="611"/>
    <d v="2025-07-11T18:43:51"/>
    <x v="728"/>
    <s v="Approved"/>
    <s v="Pending"/>
    <s v="OC00181"/>
    <x v="54"/>
    <x v="1"/>
    <n v="15706.547027076318"/>
    <n v="11468"/>
    <n v="0.73014138500527581"/>
    <n v="0"/>
    <n v="-11042"/>
    <s v=""/>
    <n v="426"/>
    <x v="1"/>
    <x v="1"/>
    <n v="0"/>
    <s v="Pend"/>
  </r>
  <r>
    <m/>
    <m/>
    <m/>
    <s v="INV13369"/>
    <m/>
    <m/>
    <m/>
    <m/>
    <m/>
    <m/>
    <m/>
    <m/>
    <m/>
    <m/>
    <m/>
    <m/>
    <m/>
    <m/>
    <m/>
    <n v="2"/>
    <n v="7"/>
    <n v="2025"/>
    <s v=""/>
    <s v=""/>
    <n v="0.7301413850052757"/>
    <x v="611"/>
    <d v="2025-07-11T18:43:51"/>
    <x v="729"/>
    <s v="Approved"/>
    <s v="Pending"/>
    <s v="OC00181"/>
    <x v="54"/>
    <x v="1"/>
    <n v="0"/>
    <n v="0"/>
    <n v="0"/>
    <n v="0"/>
    <n v="-426"/>
    <s v=""/>
    <n v="-426"/>
    <x v="1"/>
    <x v="1"/>
    <n v="0"/>
    <s v="Pend"/>
  </r>
  <r>
    <n v="1"/>
    <s v="SO17497"/>
    <s v="S306876 Replacement"/>
    <s v="INV13352"/>
    <s v="Kumtor Gold Company"/>
    <d v="2025-07-14T08:38:21"/>
    <d v="2025-07-14T08:40:14"/>
    <d v="2025-10-15T00:00:00"/>
    <s v="Ian Trottier"/>
    <s v="USD"/>
    <n v="0.73030448566452189"/>
    <n v="0"/>
    <n v="0"/>
    <n v="0"/>
    <m/>
    <m/>
    <m/>
    <s v="Delivered"/>
    <m/>
    <n v="1"/>
    <n v="7"/>
    <n v="2025"/>
    <n v="1"/>
    <n v="1900"/>
    <e v="#DIV/0!"/>
    <x v="612"/>
    <d v="2025-07-14T08:38:21"/>
    <x v="730"/>
    <s v="Paid"/>
    <d v="1899-12-30T00:00:00"/>
    <s v="S306876 Replacement"/>
    <x v="57"/>
    <x v="1"/>
    <n v="0"/>
    <n v="0"/>
    <n v="0"/>
    <n v="0"/>
    <n v="0"/>
    <s v=""/>
    <n v="0"/>
    <x v="0"/>
    <x v="0"/>
    <s v="Pend"/>
    <s v="Pend"/>
  </r>
  <r>
    <n v="2"/>
    <s v="SO17506"/>
    <s v="4500605118"/>
    <s v="INV13210"/>
    <s v="Resolute Forest Products - Fibrek"/>
    <d v="2025-07-14T19:02:31"/>
    <d v="2025-07-18T14:20:37"/>
    <d v="2025-08-12T00:00:00"/>
    <s v="Alexis Gil Lamadrid"/>
    <s v="CAD"/>
    <n v="1"/>
    <n v="3957.98"/>
    <n v="0"/>
    <n v="2886.151089328157"/>
    <n v="3769.5"/>
    <n v="188.48"/>
    <n v="3957.98"/>
    <s v="Delivered"/>
    <m/>
    <n v="2"/>
    <n v="7"/>
    <n v="2025"/>
    <n v="9"/>
    <n v="2025"/>
    <n v="0.72919799729360857"/>
    <x v="613"/>
    <d v="2025-07-14T19:02:31"/>
    <x v="731"/>
    <s v="Paid"/>
    <d v="2025-09-19T00:00:00"/>
    <s v="4500605118"/>
    <x v="127"/>
    <x v="0"/>
    <n v="3769.5"/>
    <n v="2748.7118507982573"/>
    <n v="0.72919799729360846"/>
    <n v="-1566.52"/>
    <n v="0"/>
    <n v="2202.98"/>
    <s v=""/>
    <x v="0"/>
    <x v="1"/>
    <s v="Yes"/>
    <s v="Pend"/>
  </r>
  <r>
    <m/>
    <m/>
    <m/>
    <s v="INV13233"/>
    <m/>
    <m/>
    <m/>
    <m/>
    <m/>
    <m/>
    <m/>
    <m/>
    <m/>
    <m/>
    <m/>
    <m/>
    <m/>
    <m/>
    <m/>
    <n v="2"/>
    <n v="7"/>
    <n v="2025"/>
    <n v="9"/>
    <n v="2025"/>
    <n v="0.72919799729360857"/>
    <x v="613"/>
    <d v="2025-07-14T19:02:31"/>
    <x v="732"/>
    <s v="Paid"/>
    <d v="2025-09-25T00:00:00"/>
    <s v="4500605118"/>
    <x v="127"/>
    <x v="0"/>
    <n v="0"/>
    <n v="0"/>
    <n v="0"/>
    <n v="-2202.98"/>
    <n v="0"/>
    <n v="-2202.98"/>
    <s v=""/>
    <x v="0"/>
    <x v="1"/>
    <s v="Yes"/>
    <s v="Pend"/>
  </r>
  <r>
    <n v="1"/>
    <s v="SO17507"/>
    <s v="PO-008114"/>
    <s v="INV13329"/>
    <s v="Sling-Choker Manufacturing - Timmins"/>
    <d v="2025-07-15T09:03:02"/>
    <d v="2025-07-16T14:50:51"/>
    <d v="2025-08-05T00:00:00"/>
    <s v="Wilka Nuñez"/>
    <s v="CAD"/>
    <n v="1"/>
    <n v="2081.71"/>
    <n v="2081.71"/>
    <n v="2081.71"/>
    <n v="1842.22"/>
    <n v="239.49"/>
    <n v="2081.71"/>
    <s v="Delivered"/>
    <m/>
    <n v="1"/>
    <n v="7"/>
    <n v="2025"/>
    <n v="10"/>
    <n v="2025"/>
    <n v="1"/>
    <x v="614"/>
    <d v="2025-07-15T09:03:02"/>
    <x v="733"/>
    <s v="Paid"/>
    <d v="2025-10-01T00:00:00"/>
    <s v="PO-008114"/>
    <x v="3"/>
    <x v="0"/>
    <n v="1842.22"/>
    <n v="1344.2666558070514"/>
    <n v="0.72969930616704382"/>
    <n v="-1842.22"/>
    <n v="0"/>
    <n v="0"/>
    <s v=""/>
    <x v="0"/>
    <x v="0"/>
    <s v="Pend"/>
    <s v="Pend"/>
  </r>
  <r>
    <n v="3"/>
    <s v="SO17509"/>
    <s v="3732"/>
    <s v="INV13671"/>
    <s v="Middle Georgia Fluid Sealing LLC"/>
    <d v="2025-07-15T12:05:51"/>
    <d v="2025-07-15T12:15:55"/>
    <d v="2025-11-18T00:00:00"/>
    <s v="Ian Trottier"/>
    <s v="USD"/>
    <n v="0.73022664145869165"/>
    <n v="29253.178105538071"/>
    <n v="0"/>
    <n v="21361.45"/>
    <n v="21361.45"/>
    <m/>
    <n v="21361.45"/>
    <s v="Delivered"/>
    <m/>
    <n v="3"/>
    <n v="7"/>
    <n v="2025"/>
    <n v="12"/>
    <n v="2025"/>
    <n v="0.73022664145869176"/>
    <x v="615"/>
    <d v="2025-07-15T12:05:51"/>
    <x v="734"/>
    <s v="Paid"/>
    <d v="2025-12-12T00:00:00"/>
    <s v="3732"/>
    <x v="119"/>
    <x v="1"/>
    <n v="29253.178105538074"/>
    <n v="21361.45"/>
    <n v="0.73022664145869165"/>
    <n v="0"/>
    <n v="-10028"/>
    <s v=""/>
    <n v="11333.45"/>
    <x v="0"/>
    <x v="1"/>
    <n v="0"/>
    <s v="Pend"/>
  </r>
  <r>
    <m/>
    <m/>
    <m/>
    <s v="INV13238"/>
    <m/>
    <m/>
    <m/>
    <m/>
    <m/>
    <m/>
    <m/>
    <m/>
    <m/>
    <m/>
    <m/>
    <m/>
    <m/>
    <m/>
    <m/>
    <n v="3"/>
    <n v="7"/>
    <n v="2025"/>
    <n v="9"/>
    <n v="2025"/>
    <n v="0.73022664145869176"/>
    <x v="615"/>
    <d v="2025-07-15T12:05:51"/>
    <x v="735"/>
    <s v="Paid"/>
    <d v="2025-09-02T00:00:00"/>
    <s v="3732"/>
    <x v="119"/>
    <x v="1"/>
    <n v="0"/>
    <n v="0"/>
    <n v="0"/>
    <n v="0"/>
    <n v="-9589.7199999999993"/>
    <s v=""/>
    <n v="-9589.7199999999993"/>
    <x v="0"/>
    <x v="1"/>
    <n v="0"/>
    <s v="Pend"/>
  </r>
  <r>
    <m/>
    <m/>
    <m/>
    <s v="INV13681"/>
    <m/>
    <m/>
    <m/>
    <m/>
    <m/>
    <m/>
    <m/>
    <m/>
    <m/>
    <m/>
    <m/>
    <m/>
    <m/>
    <m/>
    <m/>
    <n v="3"/>
    <n v="7"/>
    <n v="2025"/>
    <n v="12"/>
    <n v="2025"/>
    <n v="0.73022664145869176"/>
    <x v="615"/>
    <d v="2025-07-15T12:05:51"/>
    <x v="736"/>
    <s v="Paid"/>
    <d v="2025-12-12T00:00:00"/>
    <s v="3732"/>
    <x v="119"/>
    <x v="1"/>
    <n v="0"/>
    <n v="0"/>
    <n v="0"/>
    <n v="0"/>
    <n v="-1743.73"/>
    <s v=""/>
    <n v="-1743.73"/>
    <x v="0"/>
    <x v="1"/>
    <n v="0"/>
    <s v="Pend"/>
  </r>
  <r>
    <n v="1"/>
    <s v="SO17512"/>
    <s v="OC00183"/>
    <s v="INV13317"/>
    <s v="Dynapro Pumps México S de RL de CV"/>
    <d v="2025-07-15T17:38:19"/>
    <d v="2025-07-15T17:37:12"/>
    <d v="2025-08-04T00:00:00"/>
    <s v="Yannett Yeomans"/>
    <s v="USD"/>
    <n v="0.73022664145869165"/>
    <n v="1684.408552313248"/>
    <n v="0"/>
    <n v="1230"/>
    <n v="1230"/>
    <m/>
    <n v="1230"/>
    <s v="Delivered"/>
    <m/>
    <n v="1"/>
    <n v="7"/>
    <n v="2025"/>
    <s v=""/>
    <s v=""/>
    <n v="0.73022664145869165"/>
    <x v="616"/>
    <d v="2025-07-15T17:38:19"/>
    <x v="737"/>
    <s v="Approved"/>
    <s v="Pending"/>
    <s v="OC00183"/>
    <x v="54"/>
    <x v="1"/>
    <n v="1684.408552313248"/>
    <n v="1230"/>
    <n v="0.73022664145869165"/>
    <n v="0"/>
    <n v="-1230"/>
    <s v=""/>
    <n v="0"/>
    <x v="1"/>
    <x v="2"/>
    <s v="Pend"/>
    <s v="Pend"/>
  </r>
  <r>
    <n v="1"/>
    <s v="SO17513"/>
    <s v="OC00184"/>
    <s v="INV13458"/>
    <s v="Dynapro Pumps México S de RL de CV"/>
    <d v="2025-07-15T19:15:50"/>
    <d v="2025-07-15T19:15:13"/>
    <d v="2025-08-08T00:00:00"/>
    <s v="Yannett Yeomans"/>
    <s v="USD"/>
    <n v="0.73022664145869165"/>
    <n v="7029.3244707511394"/>
    <n v="0"/>
    <n v="5133"/>
    <n v="5133"/>
    <m/>
    <n v="5133"/>
    <s v="Delivered"/>
    <m/>
    <n v="1"/>
    <n v="7"/>
    <n v="2025"/>
    <s v=""/>
    <s v=""/>
    <n v="0.73022664145869165"/>
    <x v="617"/>
    <d v="2025-07-15T19:15:50"/>
    <x v="738"/>
    <s v="Approved"/>
    <s v="Pending"/>
    <s v="OC00184"/>
    <x v="54"/>
    <x v="1"/>
    <n v="7029.3244707511394"/>
    <n v="5133"/>
    <n v="0.73022664145869165"/>
    <n v="0"/>
    <n v="-5133"/>
    <s v=""/>
    <n v="0"/>
    <x v="1"/>
    <x v="2"/>
    <s v="Pend"/>
    <s v="Pend"/>
  </r>
  <r>
    <n v="1"/>
    <s v="SO17515"/>
    <s v="4500061809"/>
    <s v="INV13299"/>
    <s v="Alamos Gold Inc"/>
    <d v="2025-07-16T08:56:39"/>
    <d v="2025-07-25T08:59:59"/>
    <d v="2025-08-05T00:00:00"/>
    <s v="Ian Trottier"/>
    <s v="CAD"/>
    <n v="1"/>
    <n v="8966.09"/>
    <n v="0"/>
    <n v="6537.5144387032487"/>
    <n v="7934.6"/>
    <n v="1031.49"/>
    <n v="8966.09"/>
    <s v="Delivered"/>
    <m/>
    <n v="1"/>
    <n v="7"/>
    <n v="2025"/>
    <n v="9"/>
    <n v="2025"/>
    <n v="0.72913772209550076"/>
    <x v="618"/>
    <d v="2025-07-16T08:56:39"/>
    <x v="739"/>
    <s v="Paid"/>
    <d v="2025-09-08T00:00:00"/>
    <s v="4500061809"/>
    <x v="129"/>
    <x v="0"/>
    <n v="7934.6"/>
    <n v="5785.4161697389609"/>
    <n v="0.72913772209550076"/>
    <n v="-7934.6"/>
    <n v="0"/>
    <n v="0"/>
    <s v=""/>
    <x v="0"/>
    <x v="0"/>
    <s v="Pend"/>
    <s v="Pend"/>
  </r>
  <r>
    <n v="1"/>
    <s v="SO17516"/>
    <s v="2100615718"/>
    <s v="INV13300"/>
    <s v="Wajax Limited - Pointe-aux-Trembles, Wajax Limited"/>
    <d v="2025-07-16T10:27:52"/>
    <d v="2025-08-14T09:09:14"/>
    <m/>
    <s v="Wilka Nuñez"/>
    <s v="CAD"/>
    <n v="1"/>
    <n v="813.49"/>
    <n v="0"/>
    <n v="589.18543519829393"/>
    <n v="774.75"/>
    <n v="38.74"/>
    <n v="813.49"/>
    <s v="Delivered"/>
    <m/>
    <n v="1"/>
    <n v="7"/>
    <n v="2025"/>
    <n v="10"/>
    <n v="2025"/>
    <n v="0.72426881116952135"/>
    <x v="619"/>
    <d v="2025-07-16T10:27:52"/>
    <x v="740"/>
    <s v="Paid"/>
    <d v="2025-10-01T00:00:00"/>
    <s v="2100615718"/>
    <x v="44"/>
    <x v="0"/>
    <n v="774.75"/>
    <n v="561.1272614535867"/>
    <n v="0.72426881116952135"/>
    <n v="-774.75"/>
    <n v="0"/>
    <n v="0"/>
    <s v=""/>
    <x v="0"/>
    <x v="0"/>
    <s v="Pend"/>
    <s v="Pend"/>
  </r>
  <r>
    <n v="1"/>
    <s v="SO17518"/>
    <s v="OC00185"/>
    <s v="INV13469"/>
    <s v="Dynapro Pumps México S de RL de CV"/>
    <d v="2025-07-16T10:48:15"/>
    <d v="2025-07-16T10:48:19"/>
    <d v="2025-08-15T00:00:00"/>
    <s v="Yannett Yeomans"/>
    <s v="USD"/>
    <n v="0.73020122780158092"/>
    <n v="3971.5079755905631"/>
    <n v="0"/>
    <n v="2900"/>
    <n v="2900"/>
    <m/>
    <n v="2900"/>
    <s v="Delivered"/>
    <m/>
    <n v="1"/>
    <n v="7"/>
    <n v="2025"/>
    <s v=""/>
    <s v=""/>
    <n v="0.73020122780158081"/>
    <x v="620"/>
    <d v="2025-07-16T10:48:15"/>
    <x v="741"/>
    <s v="Approved"/>
    <s v="Pending"/>
    <s v="OC00185"/>
    <x v="54"/>
    <x v="1"/>
    <n v="3971.5079755905626"/>
    <n v="2900"/>
    <n v="0.73020122780158092"/>
    <n v="0"/>
    <n v="-2900"/>
    <s v=""/>
    <n v="0"/>
    <x v="1"/>
    <x v="2"/>
    <s v="Pend"/>
    <s v="Pend"/>
  </r>
  <r>
    <n v="1"/>
    <s v="SO17519"/>
    <s v="186672"/>
    <s v="INV13198"/>
    <s v="Fabrene Inc."/>
    <d v="2025-07-16T12:27:49"/>
    <d v="2025-07-16T12:25:13"/>
    <d v="2025-07-24T00:00:00"/>
    <s v="Alexis Gil Lamadrid"/>
    <s v="CAD"/>
    <n v="1"/>
    <n v="129.44999999999999"/>
    <n v="129.44999999999999"/>
    <n v="129.44999999999999"/>
    <n v="114.56"/>
    <n v="14.89"/>
    <n v="129.44999999999999"/>
    <s v="Delivered"/>
    <m/>
    <n v="1"/>
    <n v="7"/>
    <n v="2025"/>
    <n v="8"/>
    <n v="2025"/>
    <n v="1"/>
    <x v="621"/>
    <d v="2025-07-16T12:27:49"/>
    <x v="742"/>
    <s v="Paid"/>
    <d v="2025-08-26T00:00:00"/>
    <s v="186672"/>
    <x v="66"/>
    <x v="0"/>
    <n v="114.56"/>
    <n v="83.594352514496535"/>
    <n v="0.72969930616704382"/>
    <n v="-114.56"/>
    <n v="0"/>
    <n v="0"/>
    <s v=""/>
    <x v="0"/>
    <x v="0"/>
    <s v="Pend"/>
    <s v="Pend"/>
  </r>
  <r>
    <n v="1"/>
    <s v="SO17520"/>
    <s v="7411"/>
    <s v="INV13217"/>
    <s v="Hyperflo"/>
    <d v="2025-07-16T12:53:46"/>
    <d v="2025-07-17T17:46:30"/>
    <d v="2025-07-24T00:00:00"/>
    <s v="Ian Trottier"/>
    <s v="CAD"/>
    <n v="1"/>
    <n v="1271.0999999999999"/>
    <n v="0"/>
    <n v="924.4701059745945"/>
    <n v="1210.56"/>
    <n v="60.54"/>
    <n v="1271.0999999999999"/>
    <s v="Delivered"/>
    <m/>
    <n v="1"/>
    <n v="7"/>
    <n v="2025"/>
    <n v="8"/>
    <n v="2025"/>
    <n v="0.72729927305058184"/>
    <x v="622"/>
    <d v="2025-07-16T12:53:46"/>
    <x v="743"/>
    <s v="Paid"/>
    <d v="2025-08-29T00:00:00"/>
    <s v="7411"/>
    <x v="5"/>
    <x v="0"/>
    <n v="1210.56"/>
    <n v="880.43940798411234"/>
    <n v="0.72729927305058184"/>
    <n v="-1210.56"/>
    <n v="0"/>
    <n v="0"/>
    <s v=""/>
    <x v="0"/>
    <x v="0"/>
    <s v="Pend"/>
    <s v="Pend"/>
  </r>
  <r>
    <n v="1"/>
    <s v="SO17521"/>
    <s v="3246"/>
    <s v="INV13200"/>
    <s v="Les Pompes du St-Laurent Inc."/>
    <d v="2025-07-16T13:58:20"/>
    <d v="2025-07-16T15:38:42"/>
    <d v="2025-07-17T00:00:00"/>
    <s v="Ian Trottier"/>
    <s v="CAD"/>
    <n v="1"/>
    <n v="1364.75"/>
    <n v="1364.75"/>
    <n v="1364.75"/>
    <n v="1299.76"/>
    <n v="64.989999999999995"/>
    <n v="1364.75"/>
    <s v="Delivered"/>
    <m/>
    <n v="1"/>
    <n v="7"/>
    <n v="2025"/>
    <n v="8"/>
    <n v="2025"/>
    <n v="1"/>
    <x v="623"/>
    <d v="2025-07-16T13:58:20"/>
    <x v="744"/>
    <s v="Paid"/>
    <d v="2025-08-28T00:00:00"/>
    <s v="3246"/>
    <x v="7"/>
    <x v="0"/>
    <n v="1299.76"/>
    <n v="948.43397018367682"/>
    <n v="0.72969930616704382"/>
    <n v="-1299.76"/>
    <n v="0"/>
    <n v="0"/>
    <s v=""/>
    <x v="0"/>
    <x v="0"/>
    <s v="Pend"/>
    <s v="Pend"/>
  </r>
  <r>
    <n v="1"/>
    <s v="SO17522"/>
    <s v="4500605498"/>
    <s v="INV13209"/>
    <s v="Resolute Forest Products - Dolbeau"/>
    <d v="2025-07-16T14:49:14"/>
    <d v="2025-07-16T14:48:26"/>
    <d v="2025-07-16T00:00:00"/>
    <s v="Alexis Gil Lamadrid"/>
    <s v="CAD"/>
    <n v="1"/>
    <n v="1069.4000000000001"/>
    <n v="1069.4000000000001"/>
    <n v="1069.4000000000001"/>
    <n v="1018.48"/>
    <n v="50.92"/>
    <n v="1069.4000000000001"/>
    <s v="Delivered"/>
    <m/>
    <n v="1"/>
    <n v="7"/>
    <n v="2025"/>
    <n v="9"/>
    <n v="2025"/>
    <n v="1"/>
    <x v="624"/>
    <d v="2025-07-16T14:49:14"/>
    <x v="745"/>
    <s v="Paid"/>
    <d v="2025-09-19T00:00:00"/>
    <s v="4500605498"/>
    <x v="55"/>
    <x v="0"/>
    <n v="1018.48"/>
    <n v="743.18414934501084"/>
    <n v="0.72969930616704382"/>
    <n v="-1018.48"/>
    <n v="0"/>
    <n v="0"/>
    <s v=""/>
    <x v="0"/>
    <x v="0"/>
    <s v="Pend"/>
    <s v="Pend"/>
  </r>
  <r>
    <n v="1"/>
    <s v="SO17523"/>
    <s v="PO _x0009_4501238214"/>
    <s v="INV13253"/>
    <s v="Barrick Gold - Pueblo Viejo Dominicana Corporation"/>
    <d v="2025-07-16T15:18:37"/>
    <d v="2025-07-16T15:18:37"/>
    <d v="2025-07-27T00:00:00"/>
    <s v="Wilka Nuñez"/>
    <s v="USD"/>
    <n v="0.73020122780158092"/>
    <n v="15081.43177621778"/>
    <n v="0"/>
    <n v="11012.48"/>
    <n v="11012.48"/>
    <m/>
    <n v="11012.48"/>
    <s v="Delivered"/>
    <m/>
    <n v="1"/>
    <n v="7"/>
    <n v="2025"/>
    <n v="9"/>
    <n v="2025"/>
    <n v="0.73020122780158092"/>
    <x v="625"/>
    <d v="2025-07-16T15:18:37"/>
    <x v="746"/>
    <s v="Paid"/>
    <d v="2025-09-19T00:00:00"/>
    <s v="PO _x0009_4501238214"/>
    <x v="15"/>
    <x v="1"/>
    <n v="15081.43177621778"/>
    <n v="11012.48"/>
    <n v="0.73020122780158092"/>
    <n v="0"/>
    <n v="-11012.48"/>
    <s v=""/>
    <n v="0"/>
    <x v="0"/>
    <x v="0"/>
    <s v="Pend"/>
    <s v="Pend"/>
  </r>
  <r>
    <n v="1"/>
    <s v="SO17524"/>
    <s v="3247"/>
    <s v="INV13404"/>
    <s v="Les Pompes du St-Laurent Inc."/>
    <d v="2025-07-16T15:43:48"/>
    <d v="2025-07-16T15:59:36"/>
    <d v="2025-11-12T00:00:00"/>
    <s v="Ian Trottier"/>
    <s v="CAD"/>
    <n v="1"/>
    <n v="1364.75"/>
    <n v="1364.75"/>
    <n v="1364.75"/>
    <n v="1299.76"/>
    <n v="64.989999999999995"/>
    <n v="1364.75"/>
    <s v="Delivered"/>
    <m/>
    <n v="1"/>
    <n v="7"/>
    <n v="2025"/>
    <n v="10"/>
    <n v="2025"/>
    <n v="1"/>
    <x v="626"/>
    <d v="2025-07-16T15:43:48"/>
    <x v="747"/>
    <s v="Paid"/>
    <d v="2025-10-24T00:00:00"/>
    <s v="3247"/>
    <x v="7"/>
    <x v="0"/>
    <n v="1299.76"/>
    <n v="948.43397018367682"/>
    <n v="0.72969930616704382"/>
    <n v="-1299.76"/>
    <n v="0"/>
    <n v="0"/>
    <s v=""/>
    <x v="0"/>
    <x v="0"/>
    <s v="Pend"/>
    <s v="Pend"/>
  </r>
  <r>
    <n v="1"/>
    <s v="SO17525"/>
    <s v="2100625314"/>
    <s v="INV13256"/>
    <s v="Wajax Limited - Val D'Or, Composants Industriels Wajax SC -57"/>
    <d v="2025-07-16T17:33:41"/>
    <d v="2025-08-01T17:04:02"/>
    <d v="2025-08-08T00:00:00"/>
    <s v="Alexis Gil Lamadrid"/>
    <s v="CAD"/>
    <n v="1"/>
    <n v="312.77"/>
    <n v="312.77"/>
    <n v="312.77"/>
    <n v="297.88"/>
    <n v="14.89"/>
    <n v="312.77"/>
    <s v="Delivered"/>
    <m/>
    <n v="1"/>
    <n v="7"/>
    <n v="2025"/>
    <n v="10"/>
    <n v="2025"/>
    <n v="1"/>
    <x v="627"/>
    <d v="2025-07-16T17:33:41"/>
    <x v="748"/>
    <s v="Paid"/>
    <d v="2025-10-01T00:00:00"/>
    <s v="2100625314"/>
    <x v="49"/>
    <x v="0"/>
    <n v="297.88"/>
    <n v="217.36282932103902"/>
    <n v="0.72969930616704382"/>
    <n v="-297.88"/>
    <n v="0"/>
    <n v="0"/>
    <s v=""/>
    <x v="0"/>
    <x v="0"/>
    <s v="Pend"/>
    <s v="Pend"/>
  </r>
  <r>
    <n v="2"/>
    <s v="SO17529"/>
    <s v="7445"/>
    <s v="INV13225"/>
    <s v="Hyperflo"/>
    <d v="2025-07-17T09:46:00"/>
    <d v="2025-07-23T12:12:10"/>
    <d v="2025-07-30T00:00:00"/>
    <s v="Wilka Nuñez"/>
    <s v="CAD"/>
    <n v="1"/>
    <n v="381.48"/>
    <n v="0"/>
    <n v="280.29058459556973"/>
    <n v="363.32"/>
    <n v="18.16"/>
    <n v="381.48"/>
    <s v="Delivered"/>
    <m/>
    <n v="2"/>
    <n v="7"/>
    <n v="2025"/>
    <n v="8"/>
    <n v="2025"/>
    <n v="0.73474516251328958"/>
    <x v="628"/>
    <d v="2025-07-17T09:46:00"/>
    <x v="749"/>
    <s v="Paid"/>
    <d v="2025-08-29T00:00:00"/>
    <s v="7445"/>
    <x v="5"/>
    <x v="0"/>
    <n v="363.32"/>
    <n v="266.94761244432834"/>
    <n v="0.73474516251328947"/>
    <n v="-315.32"/>
    <n v="0"/>
    <n v="48"/>
    <s v=""/>
    <x v="0"/>
    <x v="1"/>
    <s v="Yes"/>
    <s v="Pend"/>
  </r>
  <r>
    <m/>
    <m/>
    <m/>
    <s v="INV13243"/>
    <m/>
    <m/>
    <m/>
    <m/>
    <m/>
    <m/>
    <m/>
    <m/>
    <m/>
    <m/>
    <m/>
    <m/>
    <m/>
    <m/>
    <m/>
    <n v="2"/>
    <n v="7"/>
    <n v="2025"/>
    <n v="9"/>
    <n v="2025"/>
    <n v="0.73474516251328958"/>
    <x v="628"/>
    <d v="2025-07-17T09:46:00"/>
    <x v="750"/>
    <s v="Paid"/>
    <d v="2025-09-12T00:00:00"/>
    <s v="7445"/>
    <x v="5"/>
    <x v="0"/>
    <n v="0"/>
    <n v="0"/>
    <n v="0"/>
    <n v="-48"/>
    <n v="0"/>
    <n v="-48"/>
    <s v=""/>
    <x v="0"/>
    <x v="1"/>
    <s v="Yes"/>
    <s v="Pend"/>
  </r>
  <r>
    <n v="1"/>
    <s v="SO17530"/>
    <s v="4500606394"/>
    <s v="INV13461"/>
    <s v="Resolute Forest Products - Saint-Felicien"/>
    <d v="2025-07-17T10:25:50"/>
    <d v="2025-07-22T16:14:48"/>
    <d v="2025-10-07T00:00:00"/>
    <s v="Ian Trottier"/>
    <s v="CAD"/>
    <n v="1"/>
    <n v="3358.67"/>
    <n v="3358.67"/>
    <n v="3358.67"/>
    <n v="3198.73"/>
    <n v="159.94"/>
    <n v="3358.67"/>
    <s v="Delivered"/>
    <m/>
    <n v="1"/>
    <n v="7"/>
    <n v="2025"/>
    <n v="11"/>
    <n v="2025"/>
    <n v="1"/>
    <x v="629"/>
    <d v="2025-07-17T10:25:50"/>
    <x v="751"/>
    <s v="Paid"/>
    <d v="2025-11-28T00:00:00"/>
    <s v="4500606394"/>
    <x v="46"/>
    <x v="0"/>
    <n v="3198.73"/>
    <n v="2334.111061615708"/>
    <n v="0.72969930616704382"/>
    <n v="-3198.73"/>
    <n v="0"/>
    <n v="0"/>
    <s v=""/>
    <x v="0"/>
    <x v="0"/>
    <s v="Pend"/>
    <s v="Pend"/>
  </r>
  <r>
    <n v="2"/>
    <s v="SO17531"/>
    <s v="PO-40-1016692"/>
    <s v="INV13196"/>
    <s v="Canadian Bearings Ltd."/>
    <d v="2025-07-17T11:58:06"/>
    <d v="2025-07-17T12:17:45"/>
    <d v="2025-07-30T00:00:00"/>
    <s v="Wilka Nuñez"/>
    <s v="CAD"/>
    <n v="1"/>
    <n v="1669.33"/>
    <n v="0"/>
    <n v="1214.102495481528"/>
    <n v="1589.84"/>
    <n v="79.489999999999995"/>
    <n v="1669.33"/>
    <s v="Delivered"/>
    <m/>
    <n v="2"/>
    <n v="7"/>
    <n v="2025"/>
    <n v="7"/>
    <n v="2025"/>
    <n v="0.72729927305058195"/>
    <x v="630"/>
    <d v="2025-07-17T11:58:06"/>
    <x v="752"/>
    <s v="Paid"/>
    <d v="2025-07-30T00:00:00"/>
    <s v="PO-40-1016692"/>
    <x v="38"/>
    <x v="0"/>
    <n v="1589.84"/>
    <n v="1156.2894762667372"/>
    <n v="0.72729927305058195"/>
    <n v="-452.68"/>
    <n v="0"/>
    <n v="1137.1599999999999"/>
    <s v=""/>
    <x v="0"/>
    <x v="1"/>
    <s v="Yes"/>
    <s v="Pend"/>
  </r>
  <r>
    <m/>
    <m/>
    <m/>
    <s v="INV13270"/>
    <m/>
    <m/>
    <m/>
    <m/>
    <m/>
    <m/>
    <m/>
    <m/>
    <m/>
    <m/>
    <m/>
    <m/>
    <m/>
    <m/>
    <m/>
    <n v="2"/>
    <n v="7"/>
    <n v="2025"/>
    <n v="10"/>
    <n v="2025"/>
    <n v="0.72729927305058195"/>
    <x v="630"/>
    <d v="2025-07-17T11:58:06"/>
    <x v="753"/>
    <s v="Paid"/>
    <d v="2025-10-10T00:00:00"/>
    <s v="PO-40-1016692"/>
    <x v="38"/>
    <x v="0"/>
    <n v="0"/>
    <n v="0"/>
    <n v="0"/>
    <n v="-1137.1600000000001"/>
    <n v="0"/>
    <n v="-1137.1600000000001"/>
    <s v=""/>
    <x v="0"/>
    <x v="1"/>
    <s v="Yes"/>
    <s v="Pend"/>
  </r>
  <r>
    <n v="2"/>
    <s v="SO17532"/>
    <s v="3250"/>
    <s v="INV13719"/>
    <s v="Les Pompes du St-Laurent Inc."/>
    <d v="2025-07-17T13:02:58"/>
    <d v="2025-07-21T11:36:06"/>
    <d v="2025-10-13T00:00:00"/>
    <s v="Ian Trottier"/>
    <s v="CAD"/>
    <n v="1"/>
    <n v="25775.86"/>
    <n v="0"/>
    <n v="18828.91720735679"/>
    <n v="24548.44"/>
    <n v="1227.42"/>
    <n v="25775.86"/>
    <s v="Delivered"/>
    <m/>
    <n v="2"/>
    <n v="7"/>
    <n v="2025"/>
    <s v=""/>
    <s v=""/>
    <n v="0.73048647871911121"/>
    <x v="631"/>
    <d v="2025-07-17T13:02:58"/>
    <x v="754"/>
    <s v="Approved"/>
    <s v="Pending"/>
    <s v="3250"/>
    <x v="7"/>
    <x v="0"/>
    <n v="24548.44"/>
    <n v="17932.303493647378"/>
    <n v="0.73048647871911121"/>
    <n v="0"/>
    <n v="0"/>
    <n v="24548.44"/>
    <s v=""/>
    <x v="1"/>
    <x v="1"/>
    <n v="0"/>
    <s v="Pend"/>
  </r>
  <r>
    <m/>
    <m/>
    <m/>
    <s v="INV13511"/>
    <m/>
    <m/>
    <m/>
    <m/>
    <m/>
    <m/>
    <m/>
    <m/>
    <m/>
    <m/>
    <m/>
    <m/>
    <m/>
    <m/>
    <m/>
    <n v="2"/>
    <n v="7"/>
    <n v="2025"/>
    <s v=""/>
    <s v=""/>
    <n v="0.73048647871911121"/>
    <x v="631"/>
    <d v="2025-07-17T13:02:58"/>
    <x v="755"/>
    <s v="Not invoiced"/>
    <s v="Pending"/>
    <s v="3250"/>
    <x v="7"/>
    <x v="0"/>
    <n v="0"/>
    <n v="0"/>
    <n v="0"/>
    <n v="0"/>
    <n v="0"/>
    <n v="0"/>
    <s v=""/>
    <x v="1"/>
    <x v="1"/>
    <n v="0"/>
    <s v="Pend"/>
  </r>
  <r>
    <n v="2"/>
    <s v="SO17535"/>
    <s v="1080562"/>
    <s v="INV13555"/>
    <s v="Hisco Pump Inc."/>
    <d v="2025-07-17T15:51:55"/>
    <d v="2025-08-11T13:22:14"/>
    <d v="2025-11-24T00:00:00"/>
    <s v="Ian Trottier"/>
    <s v="USD"/>
    <n v="0.72687673995949531"/>
    <n v="3595.2725631936241"/>
    <n v="0"/>
    <n v="2613.3200000000002"/>
    <n v="2613.3200000000002"/>
    <m/>
    <n v="2613.3200000000002"/>
    <s v="Delivered"/>
    <m/>
    <n v="2"/>
    <n v="7"/>
    <n v="2025"/>
    <n v="12"/>
    <n v="2025"/>
    <n v="0.72687673995949531"/>
    <x v="632"/>
    <d v="2025-07-17T15:51:55"/>
    <x v="756"/>
    <s v="Paid"/>
    <d v="2025-12-08T00:00:00"/>
    <s v="1080562"/>
    <x v="86"/>
    <x v="1"/>
    <n v="3595.2725631936241"/>
    <n v="2613.3200000000002"/>
    <n v="0.72687673995949531"/>
    <n v="0"/>
    <n v="-348.55"/>
    <s v=""/>
    <n v="2264.77"/>
    <x v="0"/>
    <x v="1"/>
    <n v="0"/>
    <s v="Pend"/>
  </r>
  <r>
    <m/>
    <m/>
    <m/>
    <s v="INV13288"/>
    <m/>
    <m/>
    <m/>
    <m/>
    <m/>
    <m/>
    <m/>
    <m/>
    <m/>
    <m/>
    <m/>
    <m/>
    <m/>
    <m/>
    <m/>
    <n v="2"/>
    <n v="7"/>
    <n v="2025"/>
    <n v="10"/>
    <n v="2025"/>
    <n v="0.72687673995949531"/>
    <x v="632"/>
    <d v="2025-07-17T15:51:55"/>
    <x v="757"/>
    <s v="Paid"/>
    <d v="2025-10-07T00:00:00"/>
    <s v="1080562"/>
    <x v="86"/>
    <x v="1"/>
    <n v="0"/>
    <n v="0"/>
    <n v="0"/>
    <n v="0"/>
    <n v="-2264.77"/>
    <s v=""/>
    <n v="-2264.77"/>
    <x v="0"/>
    <x v="1"/>
    <n v="0"/>
    <s v="Pend"/>
  </r>
  <r>
    <n v="2"/>
    <s v="SO17536"/>
    <s v="322573"/>
    <s v="INV13325"/>
    <s v="Gibraltar Mine (Canada)"/>
    <d v="2025-07-17T16:48:33"/>
    <d v="2025-07-18T16:38:42"/>
    <d v="2025-10-17T00:00:00"/>
    <s v="Ian Trottier"/>
    <s v="CAD"/>
    <n v="1"/>
    <n v="7733.66"/>
    <n v="0"/>
    <n v="5639.3693837496876"/>
    <n v="7365.39"/>
    <n v="368.27"/>
    <n v="7733.66"/>
    <s v="Delivered"/>
    <m/>
    <n v="2"/>
    <n v="7"/>
    <n v="2025"/>
    <n v="9"/>
    <n v="2025"/>
    <n v="0.72919799729360846"/>
    <x v="633"/>
    <d v="2025-07-17T16:48:33"/>
    <x v="758"/>
    <s v="Paid"/>
    <d v="2025-09-17T00:00:00"/>
    <s v="322573"/>
    <x v="11"/>
    <x v="0"/>
    <n v="7365.39"/>
    <n v="5370.8276372863711"/>
    <n v="0.72919799729360846"/>
    <n v="-5815.61"/>
    <n v="0"/>
    <n v="1549.7800000000007"/>
    <s v=""/>
    <x v="0"/>
    <x v="1"/>
    <s v="Yes"/>
    <s v="Pend"/>
  </r>
  <r>
    <m/>
    <m/>
    <m/>
    <s v="INV13491"/>
    <m/>
    <m/>
    <m/>
    <m/>
    <m/>
    <m/>
    <m/>
    <m/>
    <m/>
    <m/>
    <m/>
    <m/>
    <m/>
    <m/>
    <m/>
    <n v="2"/>
    <n v="7"/>
    <n v="2025"/>
    <n v="11"/>
    <n v="2025"/>
    <n v="0.72919799729360846"/>
    <x v="633"/>
    <d v="2025-07-17T16:48:33"/>
    <x v="759"/>
    <s v="Paid"/>
    <d v="2025-11-06T00:00:00"/>
    <s v="322573"/>
    <x v="11"/>
    <x v="0"/>
    <n v="0"/>
    <n v="0"/>
    <n v="0"/>
    <n v="-1549.78"/>
    <n v="0"/>
    <n v="-1549.78"/>
    <s v=""/>
    <x v="0"/>
    <x v="1"/>
    <s v="Yes"/>
    <s v="Pend"/>
  </r>
  <r>
    <n v="1"/>
    <s v="SO17539"/>
    <s v="2200115440"/>
    <s v="INV13693"/>
    <s v="Wajax Limited - Val D'Or, Composants Industriels Wajax SC -57"/>
    <d v="2025-07-17T18:55:29"/>
    <d v="2025-11-13T11:06:44"/>
    <d v="2025-11-20T00:00:00"/>
    <s v="Alexis Gil Lamadrid"/>
    <s v="CAD"/>
    <n v="1"/>
    <n v="13321.62"/>
    <n v="0"/>
    <n v="9507.56199106844"/>
    <n v="12687.26"/>
    <n v="634.36"/>
    <n v="13321.62"/>
    <s v="Delivered"/>
    <m/>
    <n v="1"/>
    <n v="7"/>
    <n v="2025"/>
    <n v="1"/>
    <n v="2026"/>
    <n v="0.71369412962300671"/>
    <x v="634"/>
    <d v="2025-07-17T18:55:29"/>
    <x v="760"/>
    <s v="Paid"/>
    <d v="2026-01-02T00:00:00"/>
    <s v="2200115440"/>
    <x v="49"/>
    <x v="0"/>
    <n v="12687.26"/>
    <n v="9054.8229830007876"/>
    <n v="0.71369412962300671"/>
    <n v="-12687.26"/>
    <n v="0"/>
    <n v="0"/>
    <s v=""/>
    <x v="0"/>
    <x v="0"/>
    <s v="Pend"/>
    <s v="Pend"/>
  </r>
  <r>
    <n v="1"/>
    <s v="SO17543"/>
    <s v="OC00186"/>
    <s v="INV13709"/>
    <s v="Dynapro Pumps México S de RL de CV"/>
    <d v="2025-07-18T12:49:01"/>
    <d v="2025-07-18T12:45:44"/>
    <d v="2025-11-07T00:00:00"/>
    <s v="Yannett Yeomans"/>
    <s v="USD"/>
    <n v="0.72729927305058184"/>
    <n v="85549.377409693567"/>
    <n v="0"/>
    <n v="62220"/>
    <n v="62220"/>
    <m/>
    <n v="62220"/>
    <s v="Delivered"/>
    <m/>
    <n v="1"/>
    <n v="7"/>
    <n v="2025"/>
    <s v=""/>
    <s v=""/>
    <n v="0.72729927305058184"/>
    <x v="635"/>
    <d v="2025-07-18T12:49:01"/>
    <x v="761"/>
    <s v="Approved"/>
    <s v="Pending"/>
    <s v="OC00186"/>
    <x v="54"/>
    <x v="1"/>
    <n v="85549.377409693567"/>
    <n v="62220"/>
    <n v="0.72729927305058184"/>
    <n v="0"/>
    <n v="-62220"/>
    <s v=""/>
    <n v="0"/>
    <x v="1"/>
    <x v="2"/>
    <s v="Pend"/>
    <s v="Pend"/>
  </r>
  <r>
    <n v="1"/>
    <s v="SO17544"/>
    <s v="607030"/>
    <s v="INV13199"/>
    <s v="Sealtrac Inc."/>
    <d v="2025-07-18T12:57:58"/>
    <d v="2025-07-18T15:10:05"/>
    <d v="2025-07-21T00:00:00"/>
    <s v="Ian Trottier"/>
    <s v="CAD"/>
    <n v="1"/>
    <n v="1777.65"/>
    <n v="0"/>
    <n v="1296.258819888983"/>
    <n v="1573.14"/>
    <n v="204.51"/>
    <n v="1777.65"/>
    <s v="Delivered"/>
    <m/>
    <n v="1"/>
    <n v="7"/>
    <n v="2025"/>
    <n v="9"/>
    <n v="2025"/>
    <n v="0.72919799729360835"/>
    <x v="636"/>
    <d v="2025-07-18T12:57:58"/>
    <x v="762"/>
    <s v="Paid"/>
    <d v="2025-09-22T00:00:00"/>
    <s v="607030"/>
    <x v="50"/>
    <x v="0"/>
    <n v="1573.14"/>
    <n v="1147.1305374624671"/>
    <n v="0.72919799729360835"/>
    <n v="-1573.14"/>
    <n v="0"/>
    <n v="0"/>
    <s v=""/>
    <x v="0"/>
    <x v="0"/>
    <s v="Pend"/>
    <s v="Pend"/>
  </r>
  <r>
    <n v="1"/>
    <s v="SO17547"/>
    <s v="3767"/>
    <s v="INV13240"/>
    <s v="Middle Georgia Fluid Sealing LLC"/>
    <d v="2025-07-18T16:28:27"/>
    <d v="2025-07-22T09:37:21"/>
    <d v="2025-07-23T00:00:00"/>
    <s v="Ian Trottier"/>
    <s v="USD"/>
    <n v="0.72860256766938125"/>
    <n v="20421.256608515891"/>
    <n v="0"/>
    <n v="14878.98"/>
    <n v="14878.98"/>
    <m/>
    <n v="14878.98"/>
    <s v="Delivered"/>
    <m/>
    <n v="1"/>
    <n v="7"/>
    <n v="2025"/>
    <n v="9"/>
    <n v="2025"/>
    <n v="0.72860256766938136"/>
    <x v="637"/>
    <d v="2025-07-18T16:28:27"/>
    <x v="763"/>
    <s v="Paid"/>
    <d v="2025-09-02T00:00:00"/>
    <s v="3767"/>
    <x v="119"/>
    <x v="1"/>
    <n v="20421.256608515894"/>
    <n v="14878.98"/>
    <n v="0.72860256766938114"/>
    <n v="0"/>
    <n v="-14878.98"/>
    <s v=""/>
    <n v="0"/>
    <x v="0"/>
    <x v="0"/>
    <s v="Pend"/>
    <s v="Pend"/>
  </r>
  <r>
    <n v="1"/>
    <s v="SO17548"/>
    <s v="OC00187"/>
    <s v="INV13356"/>
    <s v="Dynapro Pumps México S de RL de CV"/>
    <d v="2025-07-18T17:47:50"/>
    <d v="2025-07-18T17:47:16"/>
    <d v="2025-08-20T00:00:00"/>
    <s v="Yannett Yeomans"/>
    <s v="USD"/>
    <n v="0.72729927305058184"/>
    <n v="1223.7053342113029"/>
    <n v="0"/>
    <n v="890"/>
    <n v="890"/>
    <m/>
    <n v="890"/>
    <s v="Delivered"/>
    <m/>
    <n v="1"/>
    <n v="7"/>
    <n v="2025"/>
    <s v=""/>
    <s v=""/>
    <n v="0.72729927305058195"/>
    <x v="638"/>
    <d v="2025-07-18T17:47:50"/>
    <x v="764"/>
    <s v="Approved"/>
    <s v="Pending"/>
    <s v="OC00187"/>
    <x v="54"/>
    <x v="1"/>
    <n v="1223.7053342113031"/>
    <n v="890"/>
    <n v="0.72729927305058184"/>
    <n v="0"/>
    <n v="-890"/>
    <s v=""/>
    <n v="0"/>
    <x v="1"/>
    <x v="2"/>
    <s v="Pend"/>
    <s v="Pend"/>
  </r>
  <r>
    <n v="1"/>
    <s v="SO17549"/>
    <s v="OC00189"/>
    <s v="INV13371"/>
    <s v="Dynapro Pumps México S de RL de CV"/>
    <d v="2025-07-18T20:58:11"/>
    <d v="2025-07-18T20:58:12"/>
    <d v="2025-08-08T00:00:00"/>
    <s v="Yannett Yeomans"/>
    <s v="USD"/>
    <n v="0.72729927305058184"/>
    <n v="206.24247205808479"/>
    <n v="0"/>
    <n v="150"/>
    <n v="150"/>
    <m/>
    <n v="150"/>
    <s v="Delivered"/>
    <m/>
    <n v="1"/>
    <n v="7"/>
    <n v="2025"/>
    <s v=""/>
    <s v=""/>
    <n v="0.72729927305058184"/>
    <x v="639"/>
    <d v="2025-07-18T20:58:11"/>
    <x v="765"/>
    <s v="Approved"/>
    <s v="Pending"/>
    <s v="OC00189"/>
    <x v="54"/>
    <x v="1"/>
    <n v="206.24247205808479"/>
    <n v="150"/>
    <n v="0.72729927305058184"/>
    <n v="0"/>
    <n v="-150"/>
    <s v=""/>
    <n v="0"/>
    <x v="1"/>
    <x v="2"/>
    <s v="Pend"/>
    <s v="Pend"/>
  </r>
  <r>
    <n v="1"/>
    <s v="SO17550"/>
    <s v="7433"/>
    <s v="INV13219"/>
    <s v="Hyperflo"/>
    <d v="2025-07-21T08:46:11"/>
    <d v="2025-07-22T14:37:31"/>
    <d v="2025-07-23T00:00:00"/>
    <s v="Wilka Nuñez"/>
    <s v="CAD"/>
    <n v="1"/>
    <n v="850.88"/>
    <n v="850.88"/>
    <n v="850.88"/>
    <n v="810.36"/>
    <n v="40.520000000000003"/>
    <n v="850.88"/>
    <s v="Delivered"/>
    <m/>
    <n v="1"/>
    <n v="7"/>
    <n v="2025"/>
    <n v="8"/>
    <n v="2025"/>
    <n v="1"/>
    <x v="640"/>
    <d v="2025-07-21T08:46:11"/>
    <x v="766"/>
    <s v="Paid"/>
    <d v="2025-08-29T00:00:00"/>
    <s v="7433"/>
    <x v="5"/>
    <x v="0"/>
    <n v="810.36"/>
    <n v="591.31912974552563"/>
    <n v="0.72969930616704382"/>
    <n v="-810.36"/>
    <n v="0"/>
    <n v="0"/>
    <s v=""/>
    <x v="0"/>
    <x v="0"/>
    <s v="Pend"/>
    <s v="Pend"/>
  </r>
  <r>
    <n v="1"/>
    <s v="SO17551"/>
    <s v="3252"/>
    <s v="INV13212"/>
    <s v="Les Pompes du St-Laurent Inc."/>
    <d v="2025-07-21T10:03:04"/>
    <d v="2025-07-21T10:59:52"/>
    <d v="2025-07-22T00:00:00"/>
    <s v="Ian Trottier"/>
    <s v="CAD"/>
    <n v="1"/>
    <n v="1635.52"/>
    <n v="0"/>
    <n v="1194.725245674681"/>
    <n v="1557.64"/>
    <n v="77.88"/>
    <n v="1635.52"/>
    <s v="Delivered"/>
    <m/>
    <n v="1"/>
    <n v="7"/>
    <n v="2025"/>
    <n v="8"/>
    <n v="2025"/>
    <n v="0.73048647871911132"/>
    <x v="641"/>
    <d v="2025-07-21T10:03:04"/>
    <x v="767"/>
    <s v="Paid"/>
    <d v="2025-08-28T00:00:00"/>
    <s v="3252"/>
    <x v="7"/>
    <x v="0"/>
    <n v="1557.64"/>
    <n v="1137.8349587120367"/>
    <n v="0.73048647871911143"/>
    <n v="-1557.64"/>
    <n v="0"/>
    <n v="0"/>
    <s v=""/>
    <x v="0"/>
    <x v="0"/>
    <s v="Pend"/>
    <s v="Pend"/>
  </r>
  <r>
    <n v="1"/>
    <s v="SO17552"/>
    <s v="4560068337"/>
    <s v="INV13277"/>
    <s v="Alamos Gold Inc, Alamos Gold Inc Island Gold Division"/>
    <d v="2025-07-21T11:52:58"/>
    <d v="2025-07-21T15:57:29"/>
    <d v="2025-08-04T00:00:00"/>
    <s v="Ian Trottier"/>
    <s v="CAD"/>
    <n v="1"/>
    <n v="1540.6"/>
    <n v="0"/>
    <n v="1125.387469114663"/>
    <n v="1363.36"/>
    <n v="177.24"/>
    <n v="1540.6"/>
    <s v="Delivered"/>
    <m/>
    <n v="1"/>
    <n v="7"/>
    <n v="2025"/>
    <n v="9"/>
    <n v="2025"/>
    <n v="0.73048647871911143"/>
    <x v="642"/>
    <d v="2025-07-21T11:52:58"/>
    <x v="768"/>
    <s v="Paid"/>
    <d v="2025-09-03T00:00:00"/>
    <s v="4560068337"/>
    <x v="2"/>
    <x v="0"/>
    <n v="1363.36"/>
    <n v="995.91604562648774"/>
    <n v="0.73048647871911143"/>
    <n v="-1363.36"/>
    <n v="0"/>
    <n v="0"/>
    <s v=""/>
    <x v="0"/>
    <x v="0"/>
    <s v="Pend"/>
    <s v="Pend"/>
  </r>
  <r>
    <n v="1"/>
    <s v="SO17553"/>
    <s v="PO13837"/>
    <s v="INV13237"/>
    <s v="Manufacture Sling-Choker (Val-d’Or) Ltée"/>
    <d v="2025-07-21T12:38:46"/>
    <d v="2025-07-25T12:18:34"/>
    <d v="2025-08-01T00:00:00"/>
    <s v="Alexis Gil Lamadrid"/>
    <s v="CAD"/>
    <n v="1"/>
    <n v="1133.25"/>
    <n v="0"/>
    <n v="826.29532356472623"/>
    <n v="1079.28"/>
    <n v="53.97"/>
    <n v="1133.25"/>
    <s v="Delivered"/>
    <m/>
    <n v="1"/>
    <n v="7"/>
    <n v="2025"/>
    <n v="9"/>
    <n v="2025"/>
    <n v="0.72913772209550076"/>
    <x v="643"/>
    <d v="2025-07-21T12:38:46"/>
    <x v="769"/>
    <s v="Paid"/>
    <d v="2025-09-04T00:00:00"/>
    <s v="PO13837"/>
    <x v="10"/>
    <x v="0"/>
    <n v="1079.28"/>
    <n v="786.94376070323199"/>
    <n v="0.72913772209550076"/>
    <n v="-1079.28"/>
    <n v="0"/>
    <n v="0"/>
    <s v=""/>
    <x v="0"/>
    <x v="0"/>
    <s v="Pend"/>
    <s v="Pend"/>
  </r>
  <r>
    <n v="1"/>
    <s v="SO17554"/>
    <s v="PO# 1053"/>
    <s v="INV13222"/>
    <s v="Mill-Right Mine Services Inc."/>
    <d v="2025-07-21T14:33:16"/>
    <d v="2025-07-21T14:37:22"/>
    <d v="2025-07-21T00:00:00"/>
    <s v="Amanda Qiao"/>
    <s v="USD"/>
    <n v="0.72845881656938405"/>
    <n v="2724.7250700423742"/>
    <n v="0"/>
    <n v="1984.85"/>
    <n v="1984.85"/>
    <m/>
    <n v="1984.85"/>
    <s v="Delivered"/>
    <m/>
    <n v="1"/>
    <n v="7"/>
    <n v="2025"/>
    <n v="9"/>
    <n v="2025"/>
    <n v="0.72845881656938405"/>
    <x v="644"/>
    <d v="2025-07-21T14:33:16"/>
    <x v="770"/>
    <s v="Paid"/>
    <d v="2025-09-03T00:00:00"/>
    <s v="PO# 1053"/>
    <x v="30"/>
    <x v="1"/>
    <n v="2724.7250700423742"/>
    <n v="1984.85"/>
    <n v="0.72845881656938405"/>
    <n v="0"/>
    <n v="-1984.85"/>
    <s v=""/>
    <n v="0"/>
    <x v="0"/>
    <x v="0"/>
    <s v="Pend"/>
    <s v="Pend"/>
  </r>
  <r>
    <n v="1"/>
    <s v="SO17555"/>
    <s v="P363766"/>
    <s v="INV13242"/>
    <s v="Covia Corp - Junction City"/>
    <d v="2025-07-21T17:01:03"/>
    <d v="2025-07-24T11:46:31"/>
    <d v="2025-07-31T00:00:00"/>
    <s v="Marlen Martinez"/>
    <s v="USD"/>
    <n v="0.73474516251328958"/>
    <n v="8294.6309971653172"/>
    <n v="0"/>
    <n v="6094.44"/>
    <n v="6094.44"/>
    <m/>
    <n v="6094.44"/>
    <s v="Delivered"/>
    <m/>
    <n v="1"/>
    <n v="7"/>
    <n v="2025"/>
    <n v="10"/>
    <n v="2025"/>
    <n v="0.73474516251328947"/>
    <x v="645"/>
    <d v="2025-07-21T17:01:03"/>
    <x v="771"/>
    <s v="Paid"/>
    <d v="2025-10-21T00:00:00"/>
    <s v="P363766"/>
    <x v="6"/>
    <x v="1"/>
    <n v="8294.6309971653172"/>
    <n v="6094.44"/>
    <n v="0.73474516251328947"/>
    <n v="0"/>
    <n v="-6094.44"/>
    <s v=""/>
    <n v="0"/>
    <x v="0"/>
    <x v="0"/>
    <s v="Pend"/>
    <s v="Pend"/>
  </r>
  <r>
    <n v="1"/>
    <s v="SO17558"/>
    <s v="19097"/>
    <s v="INV13674"/>
    <s v="Adriatic Metals plc - Eastern Mining d.o.o."/>
    <d v="2025-07-22T10:02:36"/>
    <d v="2025-08-13T07:55:38"/>
    <d v="2025-11-04T00:00:00"/>
    <s v="Amanda Qiao"/>
    <s v="USD"/>
    <n v="0.72654677831979975"/>
    <n v="49612.772467809147"/>
    <n v="0"/>
    <n v="36046"/>
    <n v="36046"/>
    <m/>
    <n v="36046"/>
    <s v="Delivered"/>
    <m/>
    <n v="1"/>
    <n v="7"/>
    <n v="2025"/>
    <s v=""/>
    <s v=""/>
    <n v="0.72654677831979986"/>
    <x v="646"/>
    <d v="2025-07-22T10:02:36"/>
    <x v="772"/>
    <s v="Not invoiced"/>
    <s v="Pending"/>
    <s v="19097"/>
    <x v="130"/>
    <x v="1"/>
    <n v="49612.772467809154"/>
    <n v="36046"/>
    <n v="0.72654677831979975"/>
    <n v="0"/>
    <n v="0"/>
    <s v=""/>
    <n v="36046"/>
    <x v="1"/>
    <x v="2"/>
    <s v="Pend"/>
    <s v="Pend"/>
  </r>
  <r>
    <n v="1"/>
    <s v="SO17560"/>
    <s v="2100631540"/>
    <s v="INV13296"/>
    <s v="Wajax Limited - Noranda, Wajax Limited - Noranda"/>
    <d v="2025-07-22T13:27:28"/>
    <d v="2025-08-12T14:47:35"/>
    <d v="2025-08-19T00:00:00"/>
    <s v="Ian Trottier"/>
    <s v="CAD"/>
    <n v="1"/>
    <n v="2711.5"/>
    <n v="0"/>
    <n v="1970.031589414137"/>
    <n v="2582.38"/>
    <n v="129.12"/>
    <n v="2711.5"/>
    <s v="Delivered"/>
    <m/>
    <n v="1"/>
    <n v="7"/>
    <n v="2025"/>
    <n v="10"/>
    <n v="2025"/>
    <n v="0.72654677831979975"/>
    <x v="647"/>
    <d v="2025-07-22T13:27:28"/>
    <x v="773"/>
    <s v="Paid"/>
    <d v="2025-10-01T00:00:00"/>
    <s v="2100631540"/>
    <x v="51"/>
    <x v="0"/>
    <n v="2582.38"/>
    <n v="1876.2198693974844"/>
    <n v="0.72654677831979975"/>
    <n v="-2582.38"/>
    <n v="0"/>
    <n v="0"/>
    <s v=""/>
    <x v="0"/>
    <x v="0"/>
    <s v="Pend"/>
    <s v="Pend"/>
  </r>
  <r>
    <n v="1"/>
    <s v="SO17562"/>
    <s v="FL06-00051881"/>
    <s v="INV13274"/>
    <s v="Motion Industries Inc. (U.S.) - Clewiston"/>
    <d v="2025-07-22T17:15:03"/>
    <d v="2025-07-25T18:55:51"/>
    <d v="2025-08-15T00:00:00"/>
    <s v="Alexis Gil Lamadrid"/>
    <s v="USD"/>
    <n v="0.73474516251328958"/>
    <n v="8131.744589596985"/>
    <n v="0"/>
    <n v="5974.76"/>
    <n v="5974.76"/>
    <m/>
    <n v="5974.76"/>
    <s v="Delivered"/>
    <m/>
    <n v="1"/>
    <n v="7"/>
    <n v="2025"/>
    <s v=""/>
    <s v=""/>
    <n v="0.73474516251328958"/>
    <x v="648"/>
    <d v="2025-07-22T17:15:03"/>
    <x v="774"/>
    <s v="Approved"/>
    <s v="Pending"/>
    <s v="FL06-00051881"/>
    <x v="131"/>
    <x v="1"/>
    <n v="8131.744589596985"/>
    <n v="5974.76"/>
    <n v="0.73474516251328958"/>
    <n v="0"/>
    <n v="-5974.76"/>
    <s v=""/>
    <n v="0"/>
    <x v="1"/>
    <x v="2"/>
    <s v="Pend"/>
    <s v="Pend"/>
  </r>
  <r>
    <n v="1"/>
    <s v="SO17563"/>
    <s v="BC65-00081338"/>
    <s v="INV13263"/>
    <s v="Motion Industries Inc. (Canada) - Prince George"/>
    <d v="2025-07-22T17:35:17"/>
    <d v="2025-07-31T17:35:09"/>
    <d v="2025-08-01T00:00:00"/>
    <s v="Wilka Nuñez"/>
    <s v="CAD"/>
    <n v="1"/>
    <n v="2740.19"/>
    <n v="0"/>
    <n v="1979.1028539885431"/>
    <n v="2609.71"/>
    <n v="130.47999999999999"/>
    <n v="2740.19"/>
    <s v="Delivered"/>
    <m/>
    <n v="1"/>
    <n v="7"/>
    <n v="2025"/>
    <n v="9"/>
    <n v="2025"/>
    <n v="0.72225022862959976"/>
    <x v="649"/>
    <d v="2025-07-22T17:35:17"/>
    <x v="775"/>
    <s v="Paid"/>
    <d v="2025-09-04T00:00:00"/>
    <s v="BC65-00081338"/>
    <x v="41"/>
    <x v="0"/>
    <n v="2609.71"/>
    <n v="1884.8636441569529"/>
    <n v="0.72225022862959976"/>
    <n v="-2609.71"/>
    <n v="0"/>
    <n v="0"/>
    <s v=""/>
    <x v="0"/>
    <x v="0"/>
    <s v="Pend"/>
    <s v="Pend"/>
  </r>
  <r>
    <n v="2"/>
    <s v="SO17564"/>
    <s v="BC65-00081266"/>
    <s v="INV13262"/>
    <s v="Motion Industries Inc. (Canada) - Prince George"/>
    <d v="2025-07-22T17:44:40"/>
    <d v="2025-07-25T17:52:57"/>
    <d v="2025-08-01T00:00:00"/>
    <s v="Alexis Gil Lamadrid"/>
    <s v="CAD"/>
    <n v="1"/>
    <n v="15897.52"/>
    <n v="0"/>
    <n v="11591.481519767671"/>
    <n v="15140.5"/>
    <n v="757.02"/>
    <n v="15897.52"/>
    <s v="Delivered"/>
    <m/>
    <n v="2"/>
    <n v="7"/>
    <n v="2025"/>
    <n v="9"/>
    <n v="2025"/>
    <n v="0.7291377220955011"/>
    <x v="650"/>
    <d v="2025-07-22T17:44:40"/>
    <x v="776"/>
    <s v="Paid"/>
    <d v="2025-09-04T00:00:00"/>
    <s v="BC65-00081266"/>
    <x v="41"/>
    <x v="0"/>
    <n v="15140.5"/>
    <n v="11039.509681386935"/>
    <n v="0.7291377220955011"/>
    <n v="-14898.28"/>
    <n v="0"/>
    <n v="242.21999999999935"/>
    <s v=""/>
    <x v="0"/>
    <x v="1"/>
    <n v="0"/>
    <s v="Pend"/>
  </r>
  <r>
    <m/>
    <m/>
    <m/>
    <s v="INV13495"/>
    <m/>
    <m/>
    <m/>
    <m/>
    <m/>
    <m/>
    <m/>
    <m/>
    <m/>
    <m/>
    <m/>
    <m/>
    <m/>
    <m/>
    <m/>
    <n v="2"/>
    <n v="7"/>
    <n v="2025"/>
    <n v="10"/>
    <n v="2025"/>
    <n v="0.7291377220955011"/>
    <x v="650"/>
    <d v="2025-07-22T17:44:40"/>
    <x v="777"/>
    <s v="Paid"/>
    <d v="2025-10-31T00:00:00"/>
    <s v="BC65-00081266"/>
    <x v="41"/>
    <x v="0"/>
    <n v="0"/>
    <n v="0"/>
    <n v="0"/>
    <n v="-242.22"/>
    <n v="0"/>
    <n v="-242.22"/>
    <s v=""/>
    <x v="0"/>
    <x v="1"/>
    <n v="0"/>
    <s v="Pend"/>
  </r>
  <r>
    <n v="1"/>
    <s v="SO17565"/>
    <s v="7440"/>
    <s v="INV13226"/>
    <s v="Hyperflo"/>
    <d v="2025-07-22T18:22:00"/>
    <d v="2025-07-22T18:20:57"/>
    <d v="2025-07-30T00:00:00"/>
    <s v="Alexis Gil Lamadrid"/>
    <s v="CAD"/>
    <n v="1"/>
    <n v="87.8"/>
    <n v="87.8"/>
    <n v="87.8"/>
    <n v="83.62"/>
    <n v="4.18"/>
    <n v="87.8"/>
    <s v="Delivered"/>
    <m/>
    <n v="1"/>
    <n v="7"/>
    <n v="2025"/>
    <n v="10"/>
    <n v="2025"/>
    <n v="1"/>
    <x v="651"/>
    <d v="2025-07-22T18:22:00"/>
    <x v="778"/>
    <s v="Paid"/>
    <d v="2025-10-14T00:00:00"/>
    <s v="7440"/>
    <x v="5"/>
    <x v="0"/>
    <n v="83.62"/>
    <n v="61.017455981688208"/>
    <n v="0.72969930616704382"/>
    <n v="-83.62"/>
    <n v="0"/>
    <n v="0"/>
    <s v=""/>
    <x v="0"/>
    <x v="0"/>
    <s v="Pend"/>
    <s v="Pend"/>
  </r>
  <r>
    <n v="1"/>
    <s v="SO17566"/>
    <s v="7442"/>
    <s v="INV13224"/>
    <s v="Hyperflo"/>
    <d v="2025-07-23T09:21:28"/>
    <d v="2025-07-23T10:41:18"/>
    <d v="2025-07-24T00:00:00"/>
    <s v="Wilka Nuñez"/>
    <s v="CAD"/>
    <n v="1"/>
    <n v="107.95"/>
    <n v="0"/>
    <n v="79.315740293309617"/>
    <n v="102.81"/>
    <n v="5.14"/>
    <n v="107.95"/>
    <s v="Delivered"/>
    <m/>
    <n v="1"/>
    <n v="7"/>
    <n v="2025"/>
    <n v="8"/>
    <n v="2025"/>
    <n v="0.73474516251328958"/>
    <x v="652"/>
    <d v="2025-07-23T09:21:28"/>
    <x v="779"/>
    <s v="Paid"/>
    <d v="2025-08-29T00:00:00"/>
    <s v="7442"/>
    <x v="5"/>
    <x v="0"/>
    <n v="102.81"/>
    <n v="75.539150157991301"/>
    <n v="0.73474516251328958"/>
    <n v="-102.81"/>
    <n v="0"/>
    <n v="0"/>
    <s v=""/>
    <x v="0"/>
    <x v="0"/>
    <s v="Pend"/>
    <s v="Pend"/>
  </r>
  <r>
    <n v="1"/>
    <s v="SO17567"/>
    <s v="3259"/>
    <s v="INV13244"/>
    <s v="Les Pompes du St-Laurent Inc."/>
    <d v="2025-07-23T09:34:39"/>
    <d v="2025-07-29T11:27:27"/>
    <d v="2025-07-30T00:00:00"/>
    <s v="Ian Trottier"/>
    <s v="CAD"/>
    <n v="1"/>
    <n v="6052.79"/>
    <n v="0"/>
    <n v="4392.6777078652849"/>
    <n v="5764.56"/>
    <n v="288.23"/>
    <n v="6052.79"/>
    <s v="Delivered"/>
    <m/>
    <n v="1"/>
    <n v="7"/>
    <n v="2025"/>
    <n v="9"/>
    <n v="2025"/>
    <n v="0.72572775659906996"/>
    <x v="653"/>
    <d v="2025-07-23T09:34:39"/>
    <x v="780"/>
    <s v="Paid"/>
    <d v="2025-09-04T00:00:00"/>
    <s v="3259"/>
    <x v="7"/>
    <x v="0"/>
    <n v="5764.56"/>
    <n v="4183.5011965807353"/>
    <n v="0.72572775659906996"/>
    <n v="-5764.56"/>
    <n v="0"/>
    <n v="0"/>
    <s v=""/>
    <x v="0"/>
    <x v="0"/>
    <s v="Pend"/>
    <s v="Pend"/>
  </r>
  <r>
    <n v="1"/>
    <s v="SO17568"/>
    <s v="10496"/>
    <s v="INV13236"/>
    <s v="Canadian Industrial Pumps Ltd, Canadian Industrial Pumps Ltd"/>
    <d v="2025-07-23T11:20:29"/>
    <d v="2025-07-28T11:37:24"/>
    <d v="2025-07-29T00:00:00"/>
    <s v="Ian Trottier"/>
    <s v="CAD"/>
    <n v="1"/>
    <n v="1459.42"/>
    <n v="0"/>
    <n v="1063.746021518311"/>
    <n v="1389.92"/>
    <n v="69.5"/>
    <n v="1459.42"/>
    <s v="Delivered"/>
    <m/>
    <n v="1"/>
    <n v="7"/>
    <n v="2025"/>
    <n v="9"/>
    <n v="2025"/>
    <n v="0.72888272157316669"/>
    <x v="654"/>
    <d v="2025-07-23T11:20:29"/>
    <x v="781"/>
    <s v="Paid"/>
    <d v="2025-09-05T00:00:00"/>
    <s v="10496"/>
    <x v="78"/>
    <x v="0"/>
    <n v="1389.92"/>
    <n v="1013.0886723689759"/>
    <n v="0.72888272157316669"/>
    <n v="-1389.92"/>
    <n v="0"/>
    <n v="0"/>
    <s v=""/>
    <x v="0"/>
    <x v="0"/>
    <s v="Pend"/>
    <s v="Pend"/>
  </r>
  <r>
    <n v="1"/>
    <s v="SO17570"/>
    <s v="4500606536"/>
    <s v="INV13506"/>
    <s v="Resolute Forest Products - Fibrek"/>
    <d v="2025-07-23T14:31:11"/>
    <d v="2025-07-23T14:29:21"/>
    <d v="2025-10-15T00:00:00"/>
    <s v="Alexis Gil Lamadrid"/>
    <s v="CAD"/>
    <n v="1"/>
    <n v="9874.2000000000007"/>
    <n v="0"/>
    <n v="7255.0206836887246"/>
    <n v="9404"/>
    <n v="470.2"/>
    <n v="9874.2000000000007"/>
    <s v="Delivered"/>
    <m/>
    <n v="1"/>
    <n v="7"/>
    <n v="2025"/>
    <n v="12"/>
    <n v="2025"/>
    <n v="0.73474516251328958"/>
    <x v="655"/>
    <d v="2025-07-23T14:31:11"/>
    <x v="782"/>
    <s v="Paid"/>
    <d v="2025-12-05T00:00:00"/>
    <s v="4500606536"/>
    <x v="127"/>
    <x v="0"/>
    <n v="9404"/>
    <n v="6909.5435082749755"/>
    <n v="0.73474516251328958"/>
    <n v="-9404"/>
    <n v="0"/>
    <n v="0"/>
    <s v=""/>
    <x v="0"/>
    <x v="0"/>
    <s v="Pend"/>
    <s v="Pend"/>
  </r>
  <r>
    <n v="2"/>
    <s v="SO17571"/>
    <s v="M-083951"/>
    <s v="INV13232"/>
    <s v="Grant Aggregate"/>
    <d v="2025-07-23T14:35:14"/>
    <d v="2025-07-24T09:39:00"/>
    <d v="2025-07-25T00:00:00"/>
    <s v="Ian Trottier"/>
    <s v="CAD"/>
    <n v="1"/>
    <n v="2798.72"/>
    <n v="0"/>
    <n v="2051.2467249268811"/>
    <n v="2476.7399999999998"/>
    <n v="321.98"/>
    <n v="2798.72"/>
    <s v="Delivered"/>
    <m/>
    <n v="2"/>
    <n v="7"/>
    <n v="2025"/>
    <n v="9"/>
    <n v="2025"/>
    <n v="0.73292316663577683"/>
    <x v="656"/>
    <d v="2025-07-23T14:35:14"/>
    <x v="783"/>
    <s v="Paid"/>
    <d v="2025-09-03T00:00:00"/>
    <s v="M-083951"/>
    <x v="9"/>
    <x v="0"/>
    <n v="2476.7399999999998"/>
    <n v="1815.2601237334939"/>
    <n v="0.73292316663577683"/>
    <n v="-2476.7399999999998"/>
    <n v="0"/>
    <n v="0"/>
    <s v=""/>
    <x v="0"/>
    <x v="1"/>
    <s v="Yes"/>
    <s v="Pend"/>
  </r>
  <r>
    <m/>
    <m/>
    <m/>
    <s v="(* 78449)"/>
    <m/>
    <m/>
    <m/>
    <m/>
    <m/>
    <m/>
    <m/>
    <m/>
    <m/>
    <m/>
    <m/>
    <m/>
    <m/>
    <m/>
    <m/>
    <n v="2"/>
    <n v="7"/>
    <n v="2025"/>
    <s v=""/>
    <s v=""/>
    <n v="0.73292316663577683"/>
    <x v="656"/>
    <d v="2025-07-23T14:35:14"/>
    <x v="784"/>
    <s v="Not invoiced"/>
    <s v="Pending"/>
    <s v="M-083951"/>
    <x v="9"/>
    <x v="0"/>
    <n v="0"/>
    <n v="0"/>
    <n v="0"/>
    <n v="0"/>
    <n v="0"/>
    <n v="0"/>
    <s v=""/>
    <x v="1"/>
    <x v="1"/>
    <s v="Yes"/>
    <s v="Pend"/>
  </r>
  <r>
    <n v="1"/>
    <s v="SO17573"/>
    <s v="4500606522"/>
    <s v="INV13431"/>
    <s v="Resolute Forest Products - Saint-Felicien"/>
    <d v="2025-07-23T14:50:02"/>
    <d v="2025-07-23T14:50:02"/>
    <d v="2025-10-15T00:00:00"/>
    <s v="Ian Trottier"/>
    <s v="CAD"/>
    <n v="1"/>
    <n v="1506.2"/>
    <n v="0"/>
    <n v="1106.6731637775169"/>
    <n v="1434.48"/>
    <n v="71.72"/>
    <n v="1506.2"/>
    <s v="Delivered"/>
    <m/>
    <n v="1"/>
    <n v="7"/>
    <n v="2025"/>
    <n v="11"/>
    <n v="2025"/>
    <n v="0.7347451625132897"/>
    <x v="657"/>
    <d v="2025-07-23T14:50:02"/>
    <x v="785"/>
    <s v="Paid"/>
    <d v="2025-11-21T00:00:00"/>
    <s v="4500606522"/>
    <x v="46"/>
    <x v="0"/>
    <n v="1434.48"/>
    <n v="1053.9772407220639"/>
    <n v="0.73474516251328981"/>
    <n v="-1434.48"/>
    <n v="0"/>
    <n v="0"/>
    <s v=""/>
    <x v="0"/>
    <x v="0"/>
    <s v="Pend"/>
    <s v="Pend"/>
  </r>
  <r>
    <n v="1"/>
    <s v="SO17574"/>
    <s v="80238 - Paid in full on Sept 23rd 2025, as per Margarita. $1,719.8 USD"/>
    <s v="INV13551"/>
    <s v="Irathane Systems Inc, Irathane Systems LLC"/>
    <d v="2025-07-23T15:00:01"/>
    <d v="2025-08-28T11:21:13"/>
    <d v="2025-11-27T00:00:00"/>
    <s v="Ian Trottier"/>
    <s v="USD"/>
    <n v="0.72328577573707276"/>
    <n v="2377.8706255453958"/>
    <n v="0"/>
    <n v="1719.88"/>
    <n v="1719.88"/>
    <m/>
    <n v="1719.88"/>
    <s v="Delivered"/>
    <m/>
    <n v="1"/>
    <n v="7"/>
    <n v="2025"/>
    <n v="9"/>
    <n v="2025"/>
    <n v="0.72328577573707276"/>
    <x v="658"/>
    <d v="2025-07-23T15:00:01"/>
    <x v="786"/>
    <s v="Paid"/>
    <d v="2025-09-19T00:00:00"/>
    <s v="80238 - Paid in full on Sept 23rd 2025, as per Margarita. $1,719.8 USD"/>
    <x v="132"/>
    <x v="1"/>
    <n v="2377.8706255453958"/>
    <n v="1719.88"/>
    <n v="0.72328577573707276"/>
    <n v="0"/>
    <n v="-1719.88"/>
    <s v=""/>
    <n v="0"/>
    <x v="0"/>
    <x v="0"/>
    <s v="Pend"/>
    <s v="Pend"/>
  </r>
  <r>
    <n v="1"/>
    <s v="SO17575"/>
    <s v="4500836869"/>
    <s v="INV13433"/>
    <s v="AGM Inc."/>
    <d v="2025-07-24T08:14:27"/>
    <d v="2025-08-05T16:43:58"/>
    <d v="2025-09-22T00:00:00"/>
    <s v="Amanda Qiao"/>
    <s v="USD"/>
    <n v="0.72590381117935043"/>
    <n v="76679.635983130938"/>
    <n v="0"/>
    <n v="55662.04"/>
    <n v="55662.04"/>
    <m/>
    <n v="55662.04"/>
    <s v="Delivered"/>
    <m/>
    <n v="1"/>
    <n v="7"/>
    <n v="2025"/>
    <n v="11"/>
    <n v="2025"/>
    <n v="0.72590381117935032"/>
    <x v="659"/>
    <d v="2025-07-24T08:14:27"/>
    <x v="787"/>
    <s v="Paid"/>
    <d v="2025-11-13T00:00:00"/>
    <s v="4500836869"/>
    <x v="61"/>
    <x v="1"/>
    <n v="76679.635983130938"/>
    <n v="55662.04"/>
    <n v="0.72590381117935032"/>
    <n v="0"/>
    <n v="-55662.04"/>
    <s v=""/>
    <n v="0"/>
    <x v="0"/>
    <x v="0"/>
    <s v="Pend"/>
    <s v="Pend"/>
  </r>
  <r>
    <n v="1"/>
    <s v="SO17576"/>
    <s v="PO-008136"/>
    <s v="INV13328"/>
    <s v="Sling-Choker Manufacturing - Timmins"/>
    <d v="2025-07-24T09:35:59"/>
    <d v="2025-07-24T09:35:59"/>
    <d v="2025-07-29T00:00:00"/>
    <s v="Wilka Nuñez"/>
    <s v="CAD"/>
    <n v="1"/>
    <n v="422.48"/>
    <n v="0"/>
    <n v="309.64537944028302"/>
    <n v="373.88"/>
    <n v="48.6"/>
    <n v="422.48"/>
    <s v="Delivered"/>
    <m/>
    <n v="1"/>
    <n v="7"/>
    <n v="2025"/>
    <n v="9"/>
    <n v="2025"/>
    <n v="0.73292316663577683"/>
    <x v="660"/>
    <d v="2025-07-24T09:35:59"/>
    <x v="788"/>
    <s v="Paid"/>
    <d v="2025-09-24T00:00:00"/>
    <s v="PO-008136"/>
    <x v="3"/>
    <x v="0"/>
    <n v="373.88"/>
    <n v="274.02531354178421"/>
    <n v="0.73292316663577672"/>
    <n v="-373.88"/>
    <n v="0"/>
    <n v="0"/>
    <s v=""/>
    <x v="0"/>
    <x v="0"/>
    <s v="Pend"/>
    <s v="Pend"/>
  </r>
  <r>
    <n v="2"/>
    <s v="SO17578"/>
    <s v="L66299-DS"/>
    <s v="INV13314"/>
    <s v="Wild Rows Pump &amp; Compression LTD."/>
    <d v="2025-07-24T11:25:30"/>
    <d v="2025-07-24T14:38:39"/>
    <d v="2025-11-13T00:00:00"/>
    <s v="Alexis Gil Lamadrid"/>
    <s v="CAD"/>
    <n v="1"/>
    <n v="1204.22"/>
    <n v="0"/>
    <n v="882.6007357261351"/>
    <n v="1146.8699999999999"/>
    <n v="57.35"/>
    <n v="1204.22"/>
    <s v="Delivered"/>
    <m/>
    <n v="2"/>
    <n v="7"/>
    <n v="2025"/>
    <n v="9"/>
    <n v="2025"/>
    <n v="0.73292316663577672"/>
    <x v="661"/>
    <d v="2025-07-24T11:25:30"/>
    <x v="789"/>
    <s v="Paid"/>
    <d v="2025-09-17T00:00:00"/>
    <s v="L66299-DS"/>
    <x v="13"/>
    <x v="0"/>
    <n v="1146.8699999999999"/>
    <n v="840.56759211957319"/>
    <n v="0.73292316663577672"/>
    <n v="-961.91"/>
    <n v="0"/>
    <n v="184.95999999999992"/>
    <s v=""/>
    <x v="0"/>
    <x v="1"/>
    <n v="0"/>
    <s v="Pend"/>
  </r>
  <r>
    <m/>
    <m/>
    <m/>
    <s v="INV13265"/>
    <m/>
    <m/>
    <m/>
    <m/>
    <m/>
    <m/>
    <m/>
    <m/>
    <m/>
    <m/>
    <m/>
    <m/>
    <m/>
    <m/>
    <m/>
    <n v="2"/>
    <n v="7"/>
    <n v="2025"/>
    <s v=""/>
    <s v=""/>
    <n v="0.73292316663577672"/>
    <x v="661"/>
    <d v="2025-07-24T11:25:30"/>
    <x v="790"/>
    <s v="Not invoiced"/>
    <s v="Pending"/>
    <s v="L66299-DS"/>
    <x v="13"/>
    <x v="0"/>
    <n v="0"/>
    <n v="0"/>
    <n v="0"/>
    <n v="0"/>
    <n v="0"/>
    <n v="0"/>
    <s v=""/>
    <x v="1"/>
    <x v="1"/>
    <n v="0"/>
    <s v="Pend"/>
  </r>
  <r>
    <n v="0"/>
    <s v="SO17581"/>
    <s v="4500882717"/>
    <m/>
    <s v="AGM Inc."/>
    <d v="2025-07-24T17:44:58"/>
    <d v="2025-12-11T16:14:27"/>
    <d v="2026-01-08T00:00:00"/>
    <s v="Amanda Qiao"/>
    <s v="USD"/>
    <n v="0.72276866354558011"/>
    <n v="33081.124301527161"/>
    <n v="0"/>
    <n v="23910"/>
    <n v="23910"/>
    <m/>
    <n v="23910"/>
    <s v="To Deliver"/>
    <m/>
    <n v="0"/>
    <n v="7"/>
    <n v="2025"/>
    <s v=""/>
    <s v=""/>
    <n v="0.72276866354558011"/>
    <x v="662"/>
    <d v="2025-07-24T17:44:58"/>
    <x v="54"/>
    <s v="Not invoiced"/>
    <s v="Pending"/>
    <s v="4500882717"/>
    <x v="61"/>
    <x v="1"/>
    <n v="33081.124301527161"/>
    <n v="23910"/>
    <n v="0.72276866354558011"/>
    <n v="0"/>
    <n v="0"/>
    <s v=""/>
    <n v="23910"/>
    <x v="1"/>
    <x v="2"/>
    <s v="Pend"/>
    <s v="Pend"/>
  </r>
  <r>
    <n v="1"/>
    <s v="SO17588"/>
    <s v="4500606894"/>
    <s v="INV13427"/>
    <s v="Resolute Forest Products - Dolbeau"/>
    <d v="2025-07-25T15:30:54"/>
    <d v="2025-07-28T15:29:08"/>
    <d v="2025-12-02T00:00:00"/>
    <s v="Alexis Gil Lamadrid"/>
    <s v="CAD"/>
    <n v="1"/>
    <n v="8080.61"/>
    <n v="0"/>
    <n v="5889.8170087713452"/>
    <n v="7695.82"/>
    <n v="384.79"/>
    <n v="8080.61"/>
    <s v="Delivered"/>
    <m/>
    <n v="1"/>
    <n v="7"/>
    <n v="2025"/>
    <n v="11"/>
    <n v="2025"/>
    <n v="0.72888272157316658"/>
    <x v="663"/>
    <d v="2025-07-25T15:30:54"/>
    <x v="791"/>
    <s v="Paid"/>
    <d v="2025-11-21T00:00:00"/>
    <s v="4500606894"/>
    <x v="55"/>
    <x v="0"/>
    <n v="7695.82"/>
    <n v="5609.3502263372065"/>
    <n v="0.72888272157316658"/>
    <n v="-7695.82"/>
    <n v="0"/>
    <n v="0"/>
    <s v=""/>
    <x v="0"/>
    <x v="0"/>
    <s v="Pend"/>
    <s v="Pend"/>
  </r>
  <r>
    <n v="1"/>
    <s v="SO17589"/>
    <s v="OC00190"/>
    <s v="INV13370"/>
    <s v="Dynapro Pumps México S de RL de CV"/>
    <d v="2025-07-25T17:54:54"/>
    <d v="2025-07-25T17:54:06"/>
    <d v="2025-09-12T00:00:00"/>
    <s v="Yannett Yeomans"/>
    <s v="USD"/>
    <n v="0.73474516251328958"/>
    <n v="489.96579816677399"/>
    <n v="0"/>
    <n v="360"/>
    <n v="360"/>
    <m/>
    <n v="360"/>
    <s v="Delivered"/>
    <m/>
    <n v="1"/>
    <n v="7"/>
    <n v="2025"/>
    <s v=""/>
    <s v=""/>
    <n v="0.73474516251328958"/>
    <x v="664"/>
    <d v="2025-07-25T17:54:54"/>
    <x v="792"/>
    <s v="Approved"/>
    <s v="Pending"/>
    <s v="OC00190"/>
    <x v="54"/>
    <x v="1"/>
    <n v="489.96579816677399"/>
    <n v="360"/>
    <n v="0.73474516251328958"/>
    <n v="0"/>
    <n v="-360"/>
    <s v=""/>
    <n v="0"/>
    <x v="1"/>
    <x v="2"/>
    <s v="Pend"/>
    <s v="Pend"/>
  </r>
  <r>
    <n v="1"/>
    <s v="SO17590"/>
    <s v="OC00191"/>
    <s v="INV13470"/>
    <s v="Dynapro Pumps México S de RL de CV"/>
    <d v="2025-07-25T19:27:25"/>
    <d v="2025-07-25T19:33:10"/>
    <d v="2025-09-25T00:00:00"/>
    <s v="Yannett Yeomans"/>
    <s v="USD"/>
    <n v="0.73474516251328958"/>
    <n v="13885.08631360397"/>
    <n v="0"/>
    <n v="10202"/>
    <n v="10202"/>
    <m/>
    <n v="10202"/>
    <s v="Delivered"/>
    <m/>
    <n v="1"/>
    <n v="7"/>
    <n v="2025"/>
    <s v=""/>
    <s v=""/>
    <n v="0.73474516251328947"/>
    <x v="665"/>
    <d v="2025-07-25T19:27:25"/>
    <x v="793"/>
    <s v="Approved"/>
    <s v="Pending"/>
    <s v="OC00191"/>
    <x v="54"/>
    <x v="1"/>
    <n v="13885.086313603968"/>
    <n v="10202"/>
    <n v="0.73474516251328958"/>
    <n v="0"/>
    <n v="-10202"/>
    <s v=""/>
    <n v="0"/>
    <x v="1"/>
    <x v="2"/>
    <s v="Pend"/>
    <s v="Pend"/>
  </r>
  <r>
    <n v="1"/>
    <s v="SO17593"/>
    <s v="PO2517723-250985"/>
    <s v="INV13588"/>
    <s v="CK Loosbrock USA LLC"/>
    <d v="2025-07-28T09:34:44"/>
    <d v="2025-09-19T15:40:38"/>
    <d v="2025-10-31T00:00:00"/>
    <s v="Wilka Nuñez"/>
    <s v="USD"/>
    <n v="0.72474982902255658"/>
    <n v="6099.4702212788197"/>
    <n v="0"/>
    <n v="4420.59"/>
    <n v="4420.59"/>
    <m/>
    <n v="4420.59"/>
    <s v="Delivered"/>
    <m/>
    <n v="1"/>
    <n v="7"/>
    <n v="2025"/>
    <n v="9"/>
    <n v="2025"/>
    <n v="0.72474982902255658"/>
    <x v="666"/>
    <d v="2025-07-28T09:34:44"/>
    <x v="794"/>
    <s v="Paid"/>
    <d v="2025-09-22T00:00:00"/>
    <s v="PO2517723-250985"/>
    <x v="133"/>
    <x v="1"/>
    <n v="6099.4702212788197"/>
    <n v="4420.59"/>
    <n v="0.72474982902255658"/>
    <n v="0"/>
    <n v="-4420.59"/>
    <s v=""/>
    <n v="0"/>
    <x v="0"/>
    <x v="0"/>
    <s v="Pend"/>
    <s v="Pend"/>
  </r>
  <r>
    <n v="1"/>
    <s v="SO17595"/>
    <s v="P363948"/>
    <s v="INV13241"/>
    <s v="Covia Corp - Junction City"/>
    <d v="2025-07-28T13:26:01"/>
    <d v="2025-07-28T13:26:12"/>
    <d v="2025-08-04T00:00:00"/>
    <s v="Marlen Martinez"/>
    <s v="USD"/>
    <n v="0.7300328435617468"/>
    <n v="2679.8246370055672"/>
    <n v="0"/>
    <n v="1956.36"/>
    <n v="1956.36"/>
    <m/>
    <n v="1956.36"/>
    <s v="Delivered"/>
    <m/>
    <n v="1"/>
    <n v="7"/>
    <n v="2025"/>
    <n v="10"/>
    <n v="2025"/>
    <n v="0.73003284356174669"/>
    <x v="667"/>
    <d v="2025-07-28T13:26:01"/>
    <x v="795"/>
    <s v="Paid"/>
    <d v="2025-10-21T00:00:00"/>
    <s v="P363948"/>
    <x v="6"/>
    <x v="1"/>
    <n v="2679.8246370055667"/>
    <n v="1956.36"/>
    <n v="0.7300328435617468"/>
    <n v="0"/>
    <n v="-1795.04"/>
    <s v=""/>
    <n v="161.31999999999994"/>
    <x v="0"/>
    <x v="0"/>
    <s v="Pend"/>
    <s v="Pend"/>
  </r>
  <r>
    <n v="1"/>
    <s v="SO17596"/>
    <s v="2100622308"/>
    <s v="INV13246"/>
    <s v="Wajax Limited - Noranda, Wajax Limited - Noranda"/>
    <d v="2025-07-28T14:46:54"/>
    <d v="2025-07-28T16:37:34"/>
    <d v="2025-08-04T00:00:00"/>
    <s v="Alexis Gil Lamadrid"/>
    <s v="CAD"/>
    <n v="1"/>
    <n v="275.89999999999998"/>
    <n v="0"/>
    <n v="201.09874288203659"/>
    <n v="262.76"/>
    <n v="13.14"/>
    <n v="275.89999999999998"/>
    <s v="Delivered"/>
    <m/>
    <n v="1"/>
    <n v="7"/>
    <n v="2025"/>
    <n v="9"/>
    <n v="2025"/>
    <n v="0.72888272157316636"/>
    <x v="668"/>
    <d v="2025-07-28T14:46:54"/>
    <x v="796"/>
    <s v="Paid"/>
    <d v="2025-09-03T00:00:00"/>
    <s v="2100622308"/>
    <x v="51"/>
    <x v="0"/>
    <n v="262.76"/>
    <n v="191.52122392056518"/>
    <n v="0.72888272157316636"/>
    <n v="-262.76"/>
    <n v="0"/>
    <n v="0"/>
    <s v=""/>
    <x v="0"/>
    <x v="0"/>
    <s v="Pend"/>
    <s v="Pend"/>
  </r>
  <r>
    <n v="2"/>
    <s v="SO17597"/>
    <s v="L66377-T"/>
    <s v="INV13313"/>
    <s v="Wild Rows Pump &amp; Compression LTD., Wild Rows Pump &amp; Compression LTD."/>
    <d v="2025-07-28T17:26:33"/>
    <d v="2025-07-28T17:18:15"/>
    <d v="2025-07-30T00:00:00"/>
    <s v="Alexis Gil Lamadrid"/>
    <s v="CAD"/>
    <n v="1"/>
    <n v="2065.2800000000002"/>
    <n v="0"/>
    <n v="1505.34690721063"/>
    <n v="1966.94"/>
    <n v="98.34"/>
    <n v="2065.2800000000002"/>
    <s v="Delivered"/>
    <m/>
    <n v="2"/>
    <n v="7"/>
    <n v="2025"/>
    <n v="9"/>
    <n v="2025"/>
    <n v="0.7288827215731668"/>
    <x v="669"/>
    <d v="2025-07-28T17:26:33"/>
    <x v="797"/>
    <s v="Paid"/>
    <d v="2025-09-17T00:00:00"/>
    <s v="L66377-T"/>
    <x v="100"/>
    <x v="0"/>
    <n v="1966.94"/>
    <n v="1433.6685803711248"/>
    <n v="0.7288827215731668"/>
    <n v="-961.91"/>
    <n v="0"/>
    <n v="1005.0300000000001"/>
    <s v=""/>
    <x v="0"/>
    <x v="1"/>
    <s v="Yes"/>
    <s v="Pend"/>
  </r>
  <r>
    <m/>
    <m/>
    <m/>
    <s v="INV13264"/>
    <m/>
    <m/>
    <m/>
    <m/>
    <m/>
    <m/>
    <m/>
    <m/>
    <m/>
    <m/>
    <m/>
    <m/>
    <m/>
    <m/>
    <m/>
    <n v="2"/>
    <n v="7"/>
    <n v="2025"/>
    <n v="8"/>
    <n v="2025"/>
    <n v="0.7288827215731668"/>
    <x v="669"/>
    <d v="2025-07-28T17:26:33"/>
    <x v="798"/>
    <s v="Paid"/>
    <d v="2025-08-27T00:00:00"/>
    <s v="L66377-T"/>
    <x v="100"/>
    <x v="0"/>
    <n v="0"/>
    <n v="0"/>
    <n v="0"/>
    <n v="-1005.03"/>
    <n v="0"/>
    <n v="-1005.03"/>
    <s v=""/>
    <x v="0"/>
    <x v="1"/>
    <s v="Yes"/>
    <s v="Pend"/>
  </r>
  <r>
    <n v="1"/>
    <s v="SO17598"/>
    <s v="PO-008147"/>
    <s v="INV13327"/>
    <s v="Sling-Choker Manufacturing - Timmins"/>
    <d v="2025-07-29T08:33:10"/>
    <d v="2025-08-01T13:37:56"/>
    <d v="2025-09-01T00:00:00"/>
    <s v="Wilka Nuñez"/>
    <s v="CAD"/>
    <n v="1"/>
    <n v="5632.13"/>
    <n v="5632.13"/>
    <n v="5632.13"/>
    <n v="4984.1899999999996"/>
    <n v="647.94000000000005"/>
    <n v="5632.13"/>
    <s v="Delivered"/>
    <m/>
    <n v="1"/>
    <n v="7"/>
    <n v="2025"/>
    <n v="9"/>
    <n v="2025"/>
    <n v="1"/>
    <x v="670"/>
    <d v="2025-07-29T08:33:10"/>
    <x v="799"/>
    <s v="Paid"/>
    <d v="2025-09-24T00:00:00"/>
    <s v="PO-008147"/>
    <x v="3"/>
    <x v="0"/>
    <n v="4984.1899999999996"/>
    <n v="3636.9599848047178"/>
    <n v="0.72969930616704382"/>
    <n v="-4984.1899999999996"/>
    <n v="0"/>
    <n v="0"/>
    <s v=""/>
    <x v="0"/>
    <x v="0"/>
    <s v="Pend"/>
    <s v="Pend"/>
  </r>
  <r>
    <n v="2"/>
    <s v="SO17603"/>
    <s v="3821"/>
    <s v="INV13670"/>
    <s v="Middle Georgia Fluid Sealing LLC"/>
    <d v="2025-07-30T09:00:43"/>
    <d v="2025-07-30T09:34:45"/>
    <d v="2025-11-19T00:00:00"/>
    <s v="Ian Trottier"/>
    <s v="USD"/>
    <n v="0.72888272157316658"/>
    <n v="26661.257599929661"/>
    <n v="0"/>
    <n v="19432.93"/>
    <n v="19432.93"/>
    <m/>
    <n v="19432.93"/>
    <s v="Delivered"/>
    <m/>
    <n v="2"/>
    <n v="7"/>
    <n v="2025"/>
    <n v="12"/>
    <n v="2025"/>
    <n v="0.72888272157316647"/>
    <x v="671"/>
    <d v="2025-07-30T09:00:43"/>
    <x v="800"/>
    <s v="Paid"/>
    <d v="2025-12-12T00:00:00"/>
    <s v="3821"/>
    <x v="119"/>
    <x v="1"/>
    <n v="26661.257599929657"/>
    <n v="19432.93"/>
    <n v="0.72888272157316658"/>
    <n v="0"/>
    <n v="-10472.58"/>
    <s v=""/>
    <n v="8960.35"/>
    <x v="0"/>
    <x v="1"/>
    <n v="0"/>
    <s v="Pend"/>
  </r>
  <r>
    <m/>
    <m/>
    <m/>
    <s v="INV13254"/>
    <m/>
    <m/>
    <m/>
    <m/>
    <m/>
    <m/>
    <m/>
    <m/>
    <m/>
    <m/>
    <m/>
    <m/>
    <m/>
    <m/>
    <m/>
    <n v="2"/>
    <n v="7"/>
    <n v="2025"/>
    <n v="9"/>
    <n v="2025"/>
    <n v="0.72888272157316647"/>
    <x v="671"/>
    <d v="2025-07-30T09:00:43"/>
    <x v="801"/>
    <s v="Paid"/>
    <d v="2025-09-02T00:00:00"/>
    <s v="3821"/>
    <x v="119"/>
    <x v="1"/>
    <n v="0"/>
    <n v="0"/>
    <n v="0"/>
    <n v="0"/>
    <n v="-8960.35"/>
    <s v=""/>
    <n v="-8960.35"/>
    <x v="0"/>
    <x v="1"/>
    <n v="0"/>
    <s v="Pend"/>
  </r>
  <r>
    <n v="1"/>
    <s v="SO17604"/>
    <s v="2100623714"/>
    <s v="INV13437"/>
    <s v="Wajax Limited - Noranda"/>
    <d v="2025-07-30T09:26:38"/>
    <d v="2025-07-30T14:07:40"/>
    <d v="2025-10-15T00:00:00"/>
    <s v="Ian Trottier"/>
    <s v="CAD"/>
    <n v="1"/>
    <n v="1690.27"/>
    <n v="0"/>
    <n v="1223.4150113581929"/>
    <n v="1609.78"/>
    <n v="80.489999999999995"/>
    <n v="1690.27"/>
    <s v="Delivered"/>
    <m/>
    <n v="1"/>
    <n v="7"/>
    <n v="2025"/>
    <s v=""/>
    <s v=""/>
    <n v="0.72379857144609616"/>
    <x v="672"/>
    <d v="2025-07-30T09:26:38"/>
    <x v="802"/>
    <s v="Not invoiced"/>
    <s v="Pending"/>
    <s v="2100623714"/>
    <x v="35"/>
    <x v="0"/>
    <n v="1609.78"/>
    <n v="1165.1564643424967"/>
    <n v="0.72379857144609616"/>
    <n v="0"/>
    <n v="0"/>
    <n v="1609.78"/>
    <s v=""/>
    <x v="1"/>
    <x v="2"/>
    <s v="Pend"/>
    <s v="Pend"/>
  </r>
  <r>
    <n v="1"/>
    <s v="SO17608"/>
    <s v="7473"/>
    <s v="INV13255"/>
    <s v="Hyperflo"/>
    <d v="2025-07-30T15:05:23"/>
    <d v="2025-07-30T16:11:05"/>
    <d v="2025-07-31T00:00:00"/>
    <s v="Wilka Nuñez"/>
    <s v="CAD"/>
    <n v="1"/>
    <n v="131.04"/>
    <n v="0"/>
    <n v="94.84656480229647"/>
    <n v="124.8"/>
    <n v="6.24"/>
    <n v="131.04"/>
    <s v="Delivered"/>
    <m/>
    <n v="1"/>
    <n v="7"/>
    <n v="2025"/>
    <n v="9"/>
    <n v="2025"/>
    <n v="0.72379857144609638"/>
    <x v="673"/>
    <d v="2025-07-30T15:05:23"/>
    <x v="803"/>
    <s v="Paid"/>
    <d v="2025-09-12T00:00:00"/>
    <s v="7473"/>
    <x v="5"/>
    <x v="0"/>
    <n v="124.8"/>
    <n v="90.330061716472827"/>
    <n v="0.72379857144609638"/>
    <n v="-124.8"/>
    <n v="0"/>
    <n v="0"/>
    <s v=""/>
    <x v="0"/>
    <x v="0"/>
    <s v="Pend"/>
    <s v="Pend"/>
  </r>
  <r>
    <n v="1"/>
    <s v="SO17610"/>
    <s v="7501"/>
    <s v="INV13281"/>
    <s v="Hyperflo, Hyperflo"/>
    <d v="2025-07-30T18:19:18"/>
    <d v="2025-07-30T18:17:47"/>
    <d v="2025-08-12T00:00:00"/>
    <s v="Ian Trottier"/>
    <s v="CAD"/>
    <n v="1"/>
    <n v="130.43"/>
    <n v="0"/>
    <n v="94.40504767371435"/>
    <n v="124.22"/>
    <n v="6.21"/>
    <n v="130.43"/>
    <s v="Delivered"/>
    <m/>
    <n v="1"/>
    <n v="7"/>
    <n v="2025"/>
    <n v="9"/>
    <n v="2025"/>
    <n v="0.72379857144609638"/>
    <x v="674"/>
    <d v="2025-07-30T18:19:18"/>
    <x v="804"/>
    <s v="Paid"/>
    <d v="2025-09-12T00:00:00"/>
    <s v="7501"/>
    <x v="97"/>
    <x v="0"/>
    <n v="124.22"/>
    <n v="89.910258545034097"/>
    <n v="0.72379857144609638"/>
    <n v="-124.22"/>
    <n v="0"/>
    <n v="0"/>
    <s v=""/>
    <x v="0"/>
    <x v="0"/>
    <s v="Pend"/>
    <s v="Pend"/>
  </r>
  <r>
    <n v="1"/>
    <s v="SO17612"/>
    <s v="OC00193"/>
    <s v="INV13459"/>
    <s v="Dynapro Pumps México S de RL de CV"/>
    <d v="2025-07-31T12:14:31"/>
    <d v="2025-08-01T15:06:57"/>
    <d v="2025-09-01T00:00:00"/>
    <s v="Carlos Leon"/>
    <s v="USD"/>
    <n v="0.72379857144609638"/>
    <n v="803.81479454650798"/>
    <n v="0"/>
    <n v="581.79999999999995"/>
    <n v="581.79999999999995"/>
    <m/>
    <n v="581.79999999999995"/>
    <s v="Delivered"/>
    <m/>
    <n v="1"/>
    <n v="7"/>
    <n v="2025"/>
    <s v=""/>
    <s v=""/>
    <n v="0.72379857144609638"/>
    <x v="675"/>
    <d v="2025-07-31T12:14:31"/>
    <x v="805"/>
    <s v="Approved"/>
    <s v="Pending"/>
    <s v="OC00193"/>
    <x v="54"/>
    <x v="1"/>
    <n v="803.81479454650798"/>
    <n v="581.79999999999995"/>
    <n v="0.72379857144609638"/>
    <n v="0"/>
    <n v="-581.79999999999995"/>
    <s v=""/>
    <n v="0"/>
    <x v="1"/>
    <x v="2"/>
    <s v="Pend"/>
    <s v="Pend"/>
  </r>
  <r>
    <n v="1"/>
    <s v="SO17613"/>
    <s v="OC00194"/>
    <s v="INV13357"/>
    <s v="Dynapro Pumps México S de RL de CV"/>
    <d v="2025-07-31T12:25:47"/>
    <d v="2025-08-01T15:17:24"/>
    <d v="2025-11-20T00:00:00"/>
    <s v="Carlos Leon"/>
    <s v="USD"/>
    <n v="0.72379857144609638"/>
    <n v="1475.5486431345321"/>
    <n v="0"/>
    <n v="1068"/>
    <n v="1068"/>
    <m/>
    <n v="1068"/>
    <s v="Delivered"/>
    <m/>
    <n v="1"/>
    <n v="7"/>
    <n v="2025"/>
    <s v=""/>
    <s v=""/>
    <n v="0.72379857144609627"/>
    <x v="676"/>
    <d v="2025-07-31T12:25:47"/>
    <x v="806"/>
    <s v="Approved"/>
    <s v="Pending"/>
    <s v="OC00194"/>
    <x v="54"/>
    <x v="1"/>
    <n v="1475.5486431345319"/>
    <n v="1068"/>
    <n v="0.72379857144609638"/>
    <n v="0"/>
    <n v="0"/>
    <s v=""/>
    <n v="1068"/>
    <x v="1"/>
    <x v="2"/>
    <s v="Pend"/>
    <s v="Pend"/>
  </r>
  <r>
    <n v="1"/>
    <s v="SO17615"/>
    <s v="PONV-25-1555"/>
    <s v="INV13363"/>
    <s v="Tech-Flow"/>
    <d v="2025-07-31T13:36:01"/>
    <d v="2025-08-01T10:08:57"/>
    <d v="2025-09-05T00:00:00"/>
    <s v="Wilka Nuñez"/>
    <s v="USD"/>
    <n v="0.72379857144609638"/>
    <n v="6811.2872758925487"/>
    <n v="0"/>
    <n v="4930"/>
    <n v="4930"/>
    <m/>
    <n v="4930"/>
    <s v="Delivered"/>
    <m/>
    <n v="1"/>
    <n v="7"/>
    <n v="2025"/>
    <n v="10"/>
    <n v="2025"/>
    <n v="0.72379857144609638"/>
    <x v="677"/>
    <d v="2025-07-31T13:36:01"/>
    <x v="807"/>
    <s v="Paid"/>
    <d v="2025-10-21T00:00:00"/>
    <s v="PONV-25-1555"/>
    <x v="53"/>
    <x v="1"/>
    <n v="6811.2872758925487"/>
    <n v="4930"/>
    <n v="0.72379857144609638"/>
    <n v="0"/>
    <n v="-4930"/>
    <s v=""/>
    <n v="0"/>
    <x v="0"/>
    <x v="0"/>
    <s v="Pend"/>
    <s v="Pend"/>
  </r>
  <r>
    <n v="2"/>
    <s v="SO17621"/>
    <s v="10572"/>
    <s v="INV13392"/>
    <s v="Canadian Industrial Pumps Ltd"/>
    <d v="2025-08-01T18:07:47"/>
    <d v="2025-09-03T12:54:38"/>
    <d v="2025-09-17T00:00:00"/>
    <s v="Alexis Gil Lamadrid"/>
    <s v="CAD"/>
    <n v="1"/>
    <n v="7603.02"/>
    <n v="7603.02"/>
    <n v="7603.02"/>
    <n v="7603.02"/>
    <m/>
    <n v="7603.02"/>
    <s v="Partially Delivered"/>
    <m/>
    <n v="2"/>
    <n v="8"/>
    <n v="2025"/>
    <n v="10"/>
    <n v="2025"/>
    <n v="1"/>
    <x v="678"/>
    <d v="2025-08-01T18:07:47"/>
    <x v="808"/>
    <s v="Paid"/>
    <d v="2025-10-17T00:00:00"/>
    <s v="10572"/>
    <x v="48"/>
    <x v="0"/>
    <n v="7603.02"/>
    <n v="5506.5517257967967"/>
    <n v="0.72425848226057499"/>
    <n v="-7603.02"/>
    <n v="0"/>
    <n v="0"/>
    <s v=""/>
    <x v="0"/>
    <x v="1"/>
    <s v="Yes"/>
    <s v="Pend"/>
  </r>
  <r>
    <m/>
    <m/>
    <m/>
    <s v="Borrador de nota de crédito RINV/2025/00003"/>
    <m/>
    <m/>
    <m/>
    <m/>
    <m/>
    <m/>
    <m/>
    <m/>
    <m/>
    <m/>
    <m/>
    <m/>
    <m/>
    <m/>
    <m/>
    <n v="2"/>
    <n v="8"/>
    <n v="2025"/>
    <s v=""/>
    <s v=""/>
    <n v="1"/>
    <x v="678"/>
    <d v="2025-08-01T18:07:47"/>
    <x v="809"/>
    <s v="Not invoiced"/>
    <s v="Pending"/>
    <s v="10572"/>
    <x v="48"/>
    <x v="0"/>
    <n v="0"/>
    <n v="0"/>
    <n v="0"/>
    <n v="0"/>
    <n v="0"/>
    <n v="0"/>
    <s v=""/>
    <x v="1"/>
    <x v="1"/>
    <s v="Yes"/>
    <s v="Pend"/>
  </r>
  <r>
    <n v="3"/>
    <s v="SO17625"/>
    <s v="4501259937"/>
    <s v="INV13478"/>
    <s v="Barrick Gold - Pueblo Viejo Dominicana Corporation"/>
    <d v="2025-08-04T15:26:27"/>
    <d v="2025-08-22T09:57:49"/>
    <d v="2025-12-04T00:00:00"/>
    <s v="Wilka Nuñez"/>
    <s v="USD"/>
    <n v="0.71937460738912617"/>
    <n v="95905.386833706652"/>
    <n v="0"/>
    <n v="68991.899999999994"/>
    <n v="68991.899999999994"/>
    <m/>
    <n v="68991.899999999994"/>
    <s v="Delivered"/>
    <m/>
    <n v="3"/>
    <n v="8"/>
    <n v="2025"/>
    <s v=""/>
    <s v=""/>
    <n v="0.71937460738912617"/>
    <x v="679"/>
    <d v="2025-08-04T15:26:27"/>
    <x v="810"/>
    <s v="Not invoiced"/>
    <s v="Pending"/>
    <s v="4501259937"/>
    <x v="15"/>
    <x v="1"/>
    <n v="95905.386833706652"/>
    <n v="68991.899999999994"/>
    <n v="0.71937460738912617"/>
    <n v="0"/>
    <n v="0"/>
    <s v=""/>
    <n v="68991.899999999994"/>
    <x v="1"/>
    <x v="1"/>
    <n v="0"/>
    <s v="Pend"/>
  </r>
  <r>
    <m/>
    <m/>
    <m/>
    <s v="INV13335"/>
    <m/>
    <m/>
    <m/>
    <m/>
    <m/>
    <m/>
    <m/>
    <m/>
    <m/>
    <m/>
    <m/>
    <m/>
    <m/>
    <m/>
    <m/>
    <n v="3"/>
    <n v="8"/>
    <n v="2025"/>
    <n v="12"/>
    <n v="2025"/>
    <n v="0.71937460738912617"/>
    <x v="679"/>
    <d v="2025-08-04T15:26:27"/>
    <x v="811"/>
    <s v="Paid"/>
    <d v="2025-12-12T00:00:00"/>
    <s v="4501259937"/>
    <x v="15"/>
    <x v="1"/>
    <n v="0"/>
    <n v="0"/>
    <n v="0"/>
    <n v="0"/>
    <n v="-41311.9"/>
    <s v=""/>
    <n v="-41311.9"/>
    <x v="0"/>
    <x v="1"/>
    <n v="0"/>
    <s v="Pend"/>
  </r>
  <r>
    <m/>
    <m/>
    <m/>
    <s v="INV13573"/>
    <m/>
    <m/>
    <m/>
    <m/>
    <m/>
    <m/>
    <m/>
    <m/>
    <m/>
    <m/>
    <m/>
    <m/>
    <m/>
    <m/>
    <m/>
    <n v="3"/>
    <n v="8"/>
    <n v="2025"/>
    <n v="12"/>
    <n v="2025"/>
    <n v="0.71937460738912617"/>
    <x v="679"/>
    <d v="2025-08-04T15:26:27"/>
    <x v="812"/>
    <s v="Paid"/>
    <d v="2025-12-12T00:00:00"/>
    <s v="4501259937"/>
    <x v="15"/>
    <x v="1"/>
    <n v="0"/>
    <n v="0"/>
    <n v="0"/>
    <n v="0"/>
    <n v="-27680"/>
    <s v=""/>
    <n v="-27680"/>
    <x v="0"/>
    <x v="1"/>
    <n v="0"/>
    <s v="Pend"/>
  </r>
  <r>
    <n v="1"/>
    <s v="SO17626"/>
    <s v="7514"/>
    <s v="INV13280"/>
    <s v="Hyperflo"/>
    <d v="2025-08-05T08:53:48"/>
    <d v="2025-08-06T13:33:05"/>
    <d v="2025-08-07T00:00:00"/>
    <s v="Wilka Nuñez"/>
    <s v="CAD"/>
    <n v="1"/>
    <n v="380.77"/>
    <n v="0"/>
    <n v="277.09685558835798"/>
    <n v="362.64"/>
    <n v="18.13"/>
    <n v="380.77"/>
    <s v="Delivered"/>
    <m/>
    <n v="1"/>
    <n v="8"/>
    <n v="2025"/>
    <n v="9"/>
    <n v="2025"/>
    <n v="0.72772764552973712"/>
    <x v="680"/>
    <d v="2025-08-05T08:53:48"/>
    <x v="813"/>
    <s v="Paid"/>
    <d v="2025-09-12T00:00:00"/>
    <s v="7514"/>
    <x v="5"/>
    <x v="0"/>
    <n v="362.64"/>
    <n v="263.90315337490387"/>
    <n v="0.72772764552973712"/>
    <n v="-362.64"/>
    <n v="0"/>
    <n v="0"/>
    <s v=""/>
    <x v="0"/>
    <x v="0"/>
    <s v="Pend"/>
    <s v="Pend"/>
  </r>
  <r>
    <n v="1"/>
    <s v="SO17627"/>
    <s v="4501263629"/>
    <s v="INV13333"/>
    <s v="Barrick Gold - Pueblo Viejo Dominicana Corporation"/>
    <d v="2025-08-05T09:38:25"/>
    <d v="2025-08-05T09:38:25"/>
    <d v="2025-08-22T00:00:00"/>
    <s v="Wilka Nuñez"/>
    <s v="USD"/>
    <n v="0.72590381117935043"/>
    <n v="7978.9083771168953"/>
    <n v="0"/>
    <n v="5791.92"/>
    <n v="5791.92"/>
    <m/>
    <n v="5791.92"/>
    <s v="Delivered"/>
    <m/>
    <n v="1"/>
    <n v="8"/>
    <n v="2025"/>
    <n v="10"/>
    <n v="2025"/>
    <n v="0.72590381117935043"/>
    <x v="681"/>
    <d v="2025-08-05T09:38:25"/>
    <x v="814"/>
    <s v="Paid"/>
    <d v="2025-10-01T00:00:00"/>
    <s v="4501263629"/>
    <x v="15"/>
    <x v="1"/>
    <n v="7978.9083771168953"/>
    <n v="5791.92"/>
    <n v="0.72590381117935043"/>
    <n v="0"/>
    <n v="-5791.92"/>
    <s v=""/>
    <n v="0"/>
    <x v="0"/>
    <x v="0"/>
    <s v="Pend"/>
    <s v="Pend"/>
  </r>
  <r>
    <n v="1"/>
    <s v="SO17628"/>
    <s v="4501262572"/>
    <s v="INV13334"/>
    <s v="Barrick Gold - Pueblo Viejo Dominicana Corporation"/>
    <d v="2025-08-05T09:54:49"/>
    <d v="2025-08-18T15:07:06"/>
    <d v="2025-08-22T00:00:00"/>
    <s v="Wilka Nuñez"/>
    <s v="USD"/>
    <n v="0.7240742470894046"/>
    <n v="15526.36355344906"/>
    <n v="0"/>
    <n v="11242.24"/>
    <n v="11242.24"/>
    <m/>
    <n v="11242.24"/>
    <s v="Delivered"/>
    <m/>
    <n v="1"/>
    <n v="8"/>
    <n v="2025"/>
    <n v="9"/>
    <n v="2025"/>
    <n v="0.72407424708940449"/>
    <x v="682"/>
    <d v="2025-08-05T09:54:49"/>
    <x v="815"/>
    <s v="Paid"/>
    <d v="2025-09-19T00:00:00"/>
    <s v="4501262572"/>
    <x v="15"/>
    <x v="1"/>
    <n v="15526.363553449059"/>
    <n v="11242.24"/>
    <n v="0.7240742470894046"/>
    <n v="0"/>
    <n v="-11242.24"/>
    <s v=""/>
    <n v="0"/>
    <x v="0"/>
    <x v="0"/>
    <s v="Pend"/>
    <s v="Pend"/>
  </r>
  <r>
    <n v="1"/>
    <s v="SO17630"/>
    <s v="P364562"/>
    <s v="INV13282"/>
    <s v="Covia Corp - Junction City"/>
    <d v="2025-08-05T12:38:33"/>
    <d v="2025-08-06T12:55:23"/>
    <d v="2025-08-13T00:00:00"/>
    <s v="Marlen Martinez"/>
    <s v="USD"/>
    <n v="0.72590381117935043"/>
    <n v="283.89436289801142"/>
    <n v="0"/>
    <n v="206.08"/>
    <n v="206.08"/>
    <m/>
    <n v="206.08"/>
    <s v="Delivered"/>
    <m/>
    <n v="1"/>
    <n v="8"/>
    <n v="2025"/>
    <n v="11"/>
    <n v="2025"/>
    <n v="0.72590381117935021"/>
    <x v="683"/>
    <d v="2025-08-05T12:38:33"/>
    <x v="816"/>
    <s v="Paid"/>
    <d v="2025-11-04T00:00:00"/>
    <s v="P364562"/>
    <x v="6"/>
    <x v="1"/>
    <n v="283.89436289801137"/>
    <n v="206.08"/>
    <n v="0.72590381117935032"/>
    <n v="0"/>
    <n v="-392.59"/>
    <s v=""/>
    <n v="-186.50999999999996"/>
    <x v="0"/>
    <x v="0"/>
    <s v="Pend"/>
    <s v="Pend"/>
  </r>
  <r>
    <n v="1"/>
    <s v="SO17636"/>
    <s v="9886237"/>
    <s v="INV13817"/>
    <s v="DXP Enterprises, Inc. - Phoenix"/>
    <d v="2025-08-05T17:27:30"/>
    <d v="2025-08-08T16:37:55"/>
    <d v="2025-12-05T00:00:00"/>
    <s v="Ian Trottier"/>
    <s v="USD"/>
    <n v="0.72772764552973712"/>
    <n v="3009.065291735601"/>
    <n v="0"/>
    <n v="2189.7800000000002"/>
    <n v="2189.7800000000002"/>
    <m/>
    <n v="2189.7800000000002"/>
    <s v="Delivered"/>
    <m/>
    <n v="1"/>
    <n v="8"/>
    <n v="2025"/>
    <s v=""/>
    <s v=""/>
    <n v="0.72772764552973701"/>
    <x v="684"/>
    <d v="2025-08-05T17:27:30"/>
    <x v="817"/>
    <s v="Not invoiced"/>
    <s v="Pending"/>
    <s v="9886237"/>
    <x v="134"/>
    <x v="1"/>
    <n v="3009.0652917356006"/>
    <n v="2189.7800000000002"/>
    <n v="0.72772764552973712"/>
    <n v="0"/>
    <n v="0"/>
    <s v=""/>
    <n v="2189.7800000000002"/>
    <x v="1"/>
    <x v="2"/>
    <s v="Pend"/>
    <s v="Pend"/>
  </r>
  <r>
    <n v="1"/>
    <s v="SO17637"/>
    <s v="7504"/>
    <s v="INV13279"/>
    <s v="Hyperflo"/>
    <d v="2025-08-06T08:24:46"/>
    <d v="2025-08-06T08:39:23"/>
    <d v="2025-08-07T00:00:00"/>
    <s v="Wilka Nuñez"/>
    <s v="CAD"/>
    <n v="1"/>
    <n v="904.58"/>
    <n v="0"/>
    <n v="658.28787359328965"/>
    <n v="861.5"/>
    <n v="43.08"/>
    <n v="904.58"/>
    <s v="Delivered"/>
    <m/>
    <n v="1"/>
    <n v="8"/>
    <n v="2025"/>
    <n v="9"/>
    <n v="2025"/>
    <n v="0.72772764552973712"/>
    <x v="685"/>
    <d v="2025-08-06T08:24:46"/>
    <x v="818"/>
    <s v="Paid"/>
    <d v="2025-09-12T00:00:00"/>
    <s v="7504"/>
    <x v="5"/>
    <x v="0"/>
    <n v="861.5"/>
    <n v="626.93736662386857"/>
    <n v="0.72772764552973712"/>
    <n v="-861.5"/>
    <n v="0"/>
    <n v="0"/>
    <s v=""/>
    <x v="0"/>
    <x v="0"/>
    <s v="Pend"/>
    <s v="Pend"/>
  </r>
  <r>
    <n v="1"/>
    <s v="SO17640"/>
    <s v="PO13881"/>
    <s v="INV13286"/>
    <s v="Manufacture Sling-Choker (Val-d’Or) Ltée"/>
    <d v="2025-08-06T14:03:58"/>
    <d v="2025-08-08T15:02:06"/>
    <d v="2025-08-15T00:00:00"/>
    <s v="Alexis Gil Lamadrid"/>
    <s v="CAD"/>
    <n v="1"/>
    <n v="132.47"/>
    <n v="0"/>
    <n v="96.316368556038285"/>
    <n v="126.16"/>
    <n v="6.31"/>
    <n v="132.47"/>
    <s v="Delivered"/>
    <m/>
    <n v="1"/>
    <n v="8"/>
    <n v="2025"/>
    <n v="9"/>
    <n v="2025"/>
    <n v="0.72708061112733668"/>
    <x v="686"/>
    <d v="2025-08-06T14:03:58"/>
    <x v="819"/>
    <s v="Paid"/>
    <d v="2025-09-10T00:00:00"/>
    <s v="PO13881"/>
    <x v="10"/>
    <x v="0"/>
    <n v="126.16"/>
    <n v="91.728489899824794"/>
    <n v="0.72708061112733668"/>
    <n v="-126.16"/>
    <n v="0"/>
    <n v="0"/>
    <s v=""/>
    <x v="0"/>
    <x v="0"/>
    <s v="Pend"/>
    <s v="Pend"/>
  </r>
  <r>
    <n v="1"/>
    <s v="SO17643"/>
    <s v="3267"/>
    <s v="INV13558"/>
    <s v="Les Pompes du St-Laurent Inc."/>
    <d v="2025-08-06T16:46:02"/>
    <d v="2025-08-06T16:50:45"/>
    <d v="2025-10-29T00:00:00"/>
    <s v="Ian Trottier"/>
    <s v="CAD"/>
    <n v="1"/>
    <n v="9475.69"/>
    <n v="0"/>
    <n v="6895.7215734696747"/>
    <n v="9024.4699999999993"/>
    <n v="451.22"/>
    <n v="9475.69"/>
    <s v="Delivered"/>
    <m/>
    <n v="1"/>
    <n v="8"/>
    <n v="2025"/>
    <n v="12"/>
    <n v="2025"/>
    <n v="0.72772764552973712"/>
    <x v="687"/>
    <d v="2025-08-06T16:46:02"/>
    <x v="820"/>
    <s v="Paid"/>
    <d v="2025-12-11T00:00:00"/>
    <s v="3267"/>
    <x v="7"/>
    <x v="0"/>
    <n v="9024.4699999999993"/>
    <n v="6567.3563052537465"/>
    <n v="0.72772764552973712"/>
    <n v="-9024.4699999999993"/>
    <n v="0"/>
    <n v="0"/>
    <s v=""/>
    <x v="0"/>
    <x v="0"/>
    <s v="Pend"/>
    <s v="Pend"/>
  </r>
  <r>
    <n v="2"/>
    <s v="SO17644"/>
    <s v="1028955"/>
    <s v="INV13529"/>
    <s v="Thunder Bay Pulp and Paper Inc"/>
    <d v="2025-08-06T17:14:24"/>
    <d v="2025-08-13T09:41:13"/>
    <d v="2025-12-03T00:00:00"/>
    <s v="Ian Trottier"/>
    <s v="CAD"/>
    <n v="1"/>
    <n v="12179.86"/>
    <n v="0"/>
    <n v="8848.266801237718"/>
    <n v="10778.64"/>
    <n v="1401.22"/>
    <n v="12179.86"/>
    <s v="Delivered"/>
    <m/>
    <n v="2"/>
    <n v="8"/>
    <n v="2025"/>
    <n v="12"/>
    <n v="2025"/>
    <n v="0.72646703666854284"/>
    <x v="688"/>
    <d v="2025-08-06T17:14:24"/>
    <x v="821"/>
    <s v="Paid"/>
    <d v="2025-12-15T00:00:00"/>
    <s v="1028955"/>
    <x v="93"/>
    <x v="0"/>
    <n v="10778.64"/>
    <n v="7830.3266601170226"/>
    <n v="0.72646703666854284"/>
    <n v="-4128.78"/>
    <n v="0"/>
    <n v="6649.86"/>
    <s v=""/>
    <x v="0"/>
    <x v="1"/>
    <n v="0"/>
    <s v="Pend"/>
  </r>
  <r>
    <m/>
    <m/>
    <m/>
    <s v="INV13507"/>
    <m/>
    <m/>
    <m/>
    <m/>
    <m/>
    <m/>
    <m/>
    <m/>
    <m/>
    <m/>
    <m/>
    <m/>
    <m/>
    <m/>
    <m/>
    <n v="2"/>
    <n v="8"/>
    <n v="2025"/>
    <n v="12"/>
    <n v="2025"/>
    <n v="0.72646703666854284"/>
    <x v="688"/>
    <d v="2025-08-06T17:14:24"/>
    <x v="822"/>
    <s v="Paid"/>
    <d v="2025-12-05T00:00:00"/>
    <s v="1028955"/>
    <x v="93"/>
    <x v="0"/>
    <n v="0"/>
    <n v="0"/>
    <n v="0"/>
    <n v="-6649.86"/>
    <n v="0"/>
    <n v="-6649.86"/>
    <s v=""/>
    <x v="0"/>
    <x v="1"/>
    <n v="0"/>
    <s v="Pend"/>
  </r>
  <r>
    <n v="1"/>
    <s v="SO17645"/>
    <s v="4500607957"/>
    <s v="INV13341"/>
    <s v="Resolute Forest Products - Fibrek"/>
    <d v="2025-08-06T17:18:48"/>
    <d v="2025-08-06T17:34:50"/>
    <d v="2025-08-20T00:00:00"/>
    <s v="Alexis Gil Lamadrid"/>
    <s v="CAD"/>
    <n v="1"/>
    <n v="214.54"/>
    <n v="0"/>
    <n v="156.12668907194981"/>
    <n v="204.32"/>
    <n v="10.220000000000001"/>
    <n v="214.54"/>
    <s v="Delivered"/>
    <m/>
    <n v="1"/>
    <n v="8"/>
    <n v="2025"/>
    <n v="10"/>
    <n v="2025"/>
    <n v="0.72772764552973723"/>
    <x v="689"/>
    <d v="2025-08-06T17:18:48"/>
    <x v="823"/>
    <s v="Paid"/>
    <d v="2025-10-23T00:00:00"/>
    <s v="4500607957"/>
    <x v="127"/>
    <x v="0"/>
    <n v="204.32"/>
    <n v="148.68931253463592"/>
    <n v="0.72772764552973723"/>
    <n v="-204.32"/>
    <n v="0"/>
    <n v="0"/>
    <s v=""/>
    <x v="0"/>
    <x v="0"/>
    <s v="Pend"/>
    <s v="Pend"/>
  </r>
  <r>
    <n v="1"/>
    <s v="SO17648"/>
    <s v="68-01017"/>
    <s v="INV13444"/>
    <s v="Quality Concrete Inc."/>
    <d v="2025-08-07T14:53:06"/>
    <d v="2025-08-11T11:17:34"/>
    <d v="2025-09-29T00:00:00"/>
    <s v="Ian Trottier"/>
    <s v="CAD"/>
    <n v="1"/>
    <n v="10340.629999999999"/>
    <n v="0"/>
    <n v="7501.2551773007926"/>
    <n v="9848.2199999999993"/>
    <n v="492.41"/>
    <n v="10340.629999999999"/>
    <s v="Delivered"/>
    <m/>
    <n v="1"/>
    <n v="8"/>
    <n v="2025"/>
    <s v=""/>
    <s v=""/>
    <n v="0.72541568330950756"/>
    <x v="690"/>
    <d v="2025-08-07T14:53:06"/>
    <x v="824"/>
    <s v="Not invoiced"/>
    <s v="Pending"/>
    <s v="68-01017"/>
    <x v="43"/>
    <x v="0"/>
    <n v="9848.2199999999993"/>
    <n v="7144.0532406823577"/>
    <n v="0.72541568330950756"/>
    <n v="0"/>
    <n v="0"/>
    <n v="9848.2199999999993"/>
    <s v=""/>
    <x v="1"/>
    <x v="2"/>
    <s v="Pend"/>
    <s v="Pend"/>
  </r>
  <r>
    <n v="1"/>
    <s v="SO17651"/>
    <s v="4512238268"/>
    <s v="INV13321"/>
    <s v="PT Vale Indonesia Tbk."/>
    <d v="2025-08-07T17:18:37"/>
    <d v="2025-08-20T08:36:49"/>
    <d v="2025-08-21T00:00:00"/>
    <s v="Ian Trottier"/>
    <s v="USD"/>
    <n v="0.72149778458582292"/>
    <n v="12237.903135168541"/>
    <n v="0"/>
    <n v="8829.6200000000008"/>
    <n v="8829.6200000000008"/>
    <m/>
    <n v="8829.6200000000008"/>
    <s v="Delivered"/>
    <m/>
    <n v="1"/>
    <n v="8"/>
    <n v="2025"/>
    <n v="10"/>
    <n v="2025"/>
    <n v="0.72149778458582303"/>
    <x v="691"/>
    <d v="2025-08-07T17:18:37"/>
    <x v="825"/>
    <s v="Paid"/>
    <d v="2025-10-20T00:00:00"/>
    <s v="4512238268"/>
    <x v="42"/>
    <x v="1"/>
    <n v="12237.903135168544"/>
    <n v="8829.6200000000008"/>
    <n v="0.72149778458582292"/>
    <n v="0"/>
    <n v="-8829.6200000000008"/>
    <s v=""/>
    <n v="0"/>
    <x v="0"/>
    <x v="0"/>
    <s v="Pend"/>
    <s v="Pend"/>
  </r>
  <r>
    <n v="1"/>
    <s v="SO17652"/>
    <m/>
    <s v="INV13285"/>
    <s v="Dynapro Pumps México S de RL de CV"/>
    <d v="2025-08-07T19:04:50"/>
    <d v="2025-08-07T19:05:50"/>
    <d v="2025-08-08T00:00:00"/>
    <s v="Yannett Yeomans"/>
    <s v="USD"/>
    <n v="0.72560216344070383"/>
    <n v="110.2532545116062"/>
    <n v="0"/>
    <n v="80"/>
    <n v="80"/>
    <m/>
    <n v="80"/>
    <s v="Delivered"/>
    <m/>
    <n v="1"/>
    <n v="8"/>
    <n v="2025"/>
    <s v=""/>
    <s v=""/>
    <n v="0.72149778458582303"/>
    <x v="692"/>
    <d v="2025-08-07T19:04:50"/>
    <x v="826"/>
    <s v="Approved"/>
    <s v="Pending"/>
    <s v="4512238268"/>
    <x v="54"/>
    <x v="1"/>
    <n v="110.2532545116062"/>
    <n v="80"/>
    <n v="0.72560216344070383"/>
    <n v="0"/>
    <n v="-278"/>
    <s v=""/>
    <n v="-198"/>
    <x v="1"/>
    <x v="2"/>
    <s v="Pend"/>
    <s v="Pend"/>
  </r>
  <r>
    <n v="1"/>
    <s v="SO17653"/>
    <s v="P-81125"/>
    <s v="INV13291"/>
    <s v="Cartledge &amp; Associates Inc."/>
    <d v="2025-08-08T09:35:56"/>
    <d v="2025-08-11T12:28:24"/>
    <d v="2025-08-13T00:00:00"/>
    <s v="Ian Trottier"/>
    <s v="USD"/>
    <n v="0.72687673995949531"/>
    <n v="5760.6740865491647"/>
    <n v="0"/>
    <n v="4187.3"/>
    <n v="4187.3"/>
    <m/>
    <n v="4187.3"/>
    <s v="Delivered"/>
    <m/>
    <n v="1"/>
    <n v="8"/>
    <n v="2025"/>
    <n v="10"/>
    <n v="2025"/>
    <n v="0.72687673995949531"/>
    <x v="693"/>
    <d v="2025-08-08T09:35:56"/>
    <x v="827"/>
    <s v="Paid"/>
    <d v="2025-10-21T00:00:00"/>
    <s v="P-81125"/>
    <x v="25"/>
    <x v="1"/>
    <n v="5760.6740865491647"/>
    <n v="4187.3"/>
    <n v="0.72687673995949531"/>
    <n v="0"/>
    <n v="-4187.3"/>
    <s v=""/>
    <n v="0"/>
    <x v="0"/>
    <x v="0"/>
    <s v="Pend"/>
    <s v="Pend"/>
  </r>
  <r>
    <n v="1"/>
    <s v="SO17655"/>
    <s v="PO# 1057"/>
    <s v="INV13434"/>
    <s v="Mill-Right Mine Services Inc."/>
    <d v="2025-08-08T10:46:30"/>
    <d v="2025-08-08T10:47:03"/>
    <d v="2025-08-11T00:00:00"/>
    <s v="Amanda Qiao"/>
    <s v="USD"/>
    <n v="0.72772764552973712"/>
    <n v="2496.6070907989961"/>
    <n v="0"/>
    <n v="1816.85"/>
    <n v="1816.85"/>
    <m/>
    <n v="1816.85"/>
    <s v="Delivered"/>
    <m/>
    <n v="1"/>
    <n v="8"/>
    <n v="2025"/>
    <s v=""/>
    <s v=""/>
    <n v="0.72772764552973712"/>
    <x v="694"/>
    <d v="2025-08-08T10:46:30"/>
    <x v="828"/>
    <s v="Not invoiced"/>
    <s v="Pending"/>
    <s v="PO# 1057"/>
    <x v="30"/>
    <x v="1"/>
    <n v="2496.6070907989961"/>
    <n v="1816.85"/>
    <n v="0.72772764552973712"/>
    <n v="0"/>
    <n v="0"/>
    <s v=""/>
    <n v="1816.85"/>
    <x v="1"/>
    <x v="2"/>
    <s v="Pend"/>
    <s v="Pend"/>
  </r>
  <r>
    <n v="1"/>
    <s v="SO17656"/>
    <s v="MB21-00192067"/>
    <s v="INV13293"/>
    <s v="Motion Industries Inc. (Canada) - Winnipeg"/>
    <d v="2025-08-08T18:08:43"/>
    <d v="2025-08-11T11:29:54"/>
    <d v="2025-08-18T00:00:00"/>
    <s v="Ian Trottier"/>
    <s v="CAD"/>
    <n v="1"/>
    <n v="129.11000000000001"/>
    <n v="0"/>
    <n v="93.658418872090536"/>
    <n v="122.96"/>
    <n v="6.15"/>
    <n v="129.11000000000001"/>
    <s v="Delivered"/>
    <m/>
    <n v="1"/>
    <n v="8"/>
    <n v="2025"/>
    <n v="9"/>
    <n v="2025"/>
    <n v="0.72541568330950756"/>
    <x v="695"/>
    <d v="2025-08-08T18:08:43"/>
    <x v="829"/>
    <s v="Paid"/>
    <d v="2025-09-11T00:00:00"/>
    <s v="MB21-00192067"/>
    <x v="23"/>
    <x v="0"/>
    <n v="122.96"/>
    <n v="89.197112419737039"/>
    <n v="0.72541568330950745"/>
    <n v="-122.96"/>
    <n v="0"/>
    <n v="0"/>
    <s v=""/>
    <x v="0"/>
    <x v="0"/>
    <s v="Pend"/>
    <s v="Pend"/>
  </r>
  <r>
    <n v="1"/>
    <s v="SO17659"/>
    <s v="2100630473"/>
    <s v="INV13294"/>
    <s v="Wajax Limited - Pointe-aux-Trembles"/>
    <d v="2025-08-11T11:04:57"/>
    <d v="2025-08-11T16:48:38"/>
    <d v="2025-08-12T00:00:00"/>
    <s v="Ian Trottier"/>
    <s v="CAD"/>
    <n v="1"/>
    <n v="2038.62"/>
    <n v="0"/>
    <n v="1478.846920308428"/>
    <n v="1941.54"/>
    <n v="97.08"/>
    <n v="2038.62"/>
    <s v="Delivered"/>
    <m/>
    <n v="1"/>
    <n v="8"/>
    <n v="2025"/>
    <n v="10"/>
    <n v="2025"/>
    <n v="0.72541568330950745"/>
    <x v="696"/>
    <d v="2025-08-11T11:04:57"/>
    <x v="830"/>
    <s v="Paid"/>
    <d v="2025-10-01T00:00:00"/>
    <s v="2100630473"/>
    <x v="105"/>
    <x v="0"/>
    <n v="1941.54"/>
    <n v="1408.4235657727411"/>
    <n v="0.72541568330950745"/>
    <n v="-1941.54"/>
    <n v="0"/>
    <n v="0"/>
    <s v=""/>
    <x v="0"/>
    <x v="0"/>
    <s v="Pend"/>
    <s v="Pend"/>
  </r>
  <r>
    <n v="1"/>
    <s v="SO17660"/>
    <s v="3275"/>
    <s v="INV13297"/>
    <s v="Les Pompes du St-Laurent Inc."/>
    <d v="2025-08-11T12:36:45"/>
    <d v="2025-08-12T11:01:53"/>
    <d v="2025-08-13T00:00:00"/>
    <s v="Ian Trottier"/>
    <s v="CAD"/>
    <n v="1"/>
    <n v="1488.69"/>
    <n v="0"/>
    <n v="1081.602923416903"/>
    <n v="1417.8"/>
    <n v="70.89"/>
    <n v="1488.69"/>
    <s v="Delivered"/>
    <m/>
    <n v="1"/>
    <n v="8"/>
    <n v="2025"/>
    <n v="9"/>
    <n v="2025"/>
    <n v="0.72654677831979986"/>
    <x v="697"/>
    <d v="2025-08-11T12:36:45"/>
    <x v="831"/>
    <s v="Paid"/>
    <d v="2025-09-19T00:00:00"/>
    <s v="3275"/>
    <x v="7"/>
    <x v="0"/>
    <n v="1417.8"/>
    <n v="1030.0980223018123"/>
    <n v="0.72654677831979997"/>
    <n v="-1417.8"/>
    <n v="0"/>
    <n v="0"/>
    <s v=""/>
    <x v="0"/>
    <x v="0"/>
    <s v="Pend"/>
    <s v="Pend"/>
  </r>
  <r>
    <n v="1"/>
    <s v="SO17661"/>
    <s v="PO13889"/>
    <s v="INV13295"/>
    <s v="Manufacture Sling-Choker (Val-d’Or) Ltée"/>
    <d v="2025-08-11T13:31:49"/>
    <d v="2025-08-11T17:27:41"/>
    <d v="2025-08-18T00:00:00"/>
    <s v="Alexis Gil Lamadrid"/>
    <s v="CAD"/>
    <n v="1"/>
    <n v="2877.18"/>
    <n v="0"/>
    <n v="2087.1514957044492"/>
    <n v="2740.17"/>
    <n v="137.01"/>
    <n v="2877.18"/>
    <s v="Delivered"/>
    <m/>
    <n v="1"/>
    <n v="8"/>
    <n v="2025"/>
    <n v="9"/>
    <n v="2025"/>
    <n v="0.72541568330950768"/>
    <x v="698"/>
    <d v="2025-08-11T13:31:49"/>
    <x v="832"/>
    <s v="Paid"/>
    <d v="2025-09-10T00:00:00"/>
    <s v="PO13889"/>
    <x v="10"/>
    <x v="0"/>
    <n v="2740.17"/>
    <n v="1987.7622929342137"/>
    <n v="0.72541568330950768"/>
    <n v="-2740.17"/>
    <n v="0"/>
    <n v="0"/>
    <s v=""/>
    <x v="0"/>
    <x v="0"/>
    <s v="Pend"/>
    <s v="Pend"/>
  </r>
  <r>
    <n v="1"/>
    <s v="SO17662"/>
    <s v="4500608996"/>
    <s v="INV13292"/>
    <s v="Resolute Forest Products - Fibrek"/>
    <d v="2025-08-11T14:32:24"/>
    <d v="2025-08-11T14:39:21"/>
    <d v="2025-08-25T00:00:00"/>
    <s v="Alexis Gil Lamadrid"/>
    <s v="CAD"/>
    <n v="1"/>
    <n v="206.81"/>
    <n v="0"/>
    <n v="150.0232174652393"/>
    <n v="196.96"/>
    <n v="9.85"/>
    <n v="206.81"/>
    <s v="Delivered"/>
    <m/>
    <n v="1"/>
    <n v="8"/>
    <n v="2025"/>
    <n v="10"/>
    <n v="2025"/>
    <n v="0.72541568330950779"/>
    <x v="699"/>
    <d v="2025-08-11T14:32:24"/>
    <x v="833"/>
    <s v="Paid"/>
    <d v="2025-10-10T00:00:00"/>
    <s v="4500608996"/>
    <x v="127"/>
    <x v="0"/>
    <n v="196.96"/>
    <n v="142.87787298464065"/>
    <n v="0.72541568330950768"/>
    <n v="-196.96"/>
    <n v="0"/>
    <n v="0"/>
    <s v=""/>
    <x v="0"/>
    <x v="0"/>
    <s v="Pend"/>
    <s v="Pend"/>
  </r>
  <r>
    <n v="1"/>
    <s v="SO17664"/>
    <s v="P365091"/>
    <s v="INV13660"/>
    <s v="Covia Corp - Fort Smith"/>
    <d v="2025-08-11T15:37:32"/>
    <d v="2025-08-14T12:08:35"/>
    <d v="2025-11-26T00:00:00"/>
    <s v="Amanda Qiao"/>
    <s v="USD"/>
    <n v="0.72646703666854284"/>
    <n v="18193.90190174658"/>
    <n v="0"/>
    <n v="13217.27"/>
    <n v="13217.27"/>
    <m/>
    <n v="13217.27"/>
    <s v="Delivered"/>
    <m/>
    <n v="1"/>
    <n v="8"/>
    <n v="2025"/>
    <s v=""/>
    <s v=""/>
    <n v="0.72646703666854262"/>
    <x v="700"/>
    <d v="2025-08-11T15:37:32"/>
    <x v="834"/>
    <s v="Approved"/>
    <s v="Pending"/>
    <s v="P365091"/>
    <x v="135"/>
    <x v="1"/>
    <n v="18193.901901746576"/>
    <n v="13217.27"/>
    <n v="0.72646703666854284"/>
    <n v="0"/>
    <n v="-13217.27"/>
    <s v=""/>
    <n v="0"/>
    <x v="1"/>
    <x v="2"/>
    <s v="Pend"/>
    <s v="Pend"/>
  </r>
  <r>
    <n v="1"/>
    <s v="SO17670"/>
    <s v="PO-40-1017155"/>
    <s v="INV13298"/>
    <s v="Canadian Bearings Ltd."/>
    <d v="2025-08-13T10:08:00"/>
    <d v="2025-08-13T11:39:14"/>
    <d v="2025-08-14T00:00:00"/>
    <s v="Wilka Nuñez"/>
    <s v="CAD"/>
    <n v="1"/>
    <n v="517.79999999999995"/>
    <n v="0"/>
    <n v="376.16463158697138"/>
    <n v="493.15"/>
    <n v="24.65"/>
    <n v="517.79999999999995"/>
    <s v="Delivered"/>
    <m/>
    <n v="1"/>
    <n v="8"/>
    <n v="2025"/>
    <n v="9"/>
    <n v="2025"/>
    <n v="0.72646703666854273"/>
    <x v="701"/>
    <d v="2025-08-13T10:08:00"/>
    <x v="835"/>
    <s v="Paid"/>
    <d v="2025-09-12T00:00:00"/>
    <s v="PO-40-1017155"/>
    <x v="38"/>
    <x v="0"/>
    <n v="493.15"/>
    <n v="358.25721913309184"/>
    <n v="0.72646703666854273"/>
    <n v="-493.15"/>
    <n v="0"/>
    <n v="0"/>
    <s v=""/>
    <x v="0"/>
    <x v="0"/>
    <s v="Pend"/>
    <s v="Pend"/>
  </r>
  <r>
    <n v="1"/>
    <s v="SO17673"/>
    <s v="4512219234"/>
    <s v="INV13308"/>
    <s v="PT Vale Indonesia Tbk."/>
    <d v="2025-08-13T12:35:34"/>
    <d v="2025-08-13T15:54:13"/>
    <d v="2025-08-25T00:00:00"/>
    <s v="Ian Trottier"/>
    <s v="USD"/>
    <n v="0.72654677831979975"/>
    <n v="38.841270572090501"/>
    <n v="0"/>
    <n v="28.22"/>
    <n v="28.22"/>
    <m/>
    <n v="28.22"/>
    <s v="Delivered"/>
    <m/>
    <n v="1"/>
    <n v="8"/>
    <n v="2025"/>
    <n v="10"/>
    <n v="2025"/>
    <n v="0.72654677831979975"/>
    <x v="702"/>
    <d v="2025-08-13T12:35:34"/>
    <x v="836"/>
    <s v="Paid"/>
    <d v="2025-10-27T00:00:00"/>
    <s v="4512219234"/>
    <x v="42"/>
    <x v="1"/>
    <n v="38.841270572090501"/>
    <n v="28.22"/>
    <n v="0.72654677831979975"/>
    <n v="0"/>
    <n v="-28.22"/>
    <s v=""/>
    <n v="0"/>
    <x v="0"/>
    <x v="0"/>
    <s v="Pend"/>
    <s v="Pend"/>
  </r>
  <r>
    <n v="1"/>
    <s v="SO17674"/>
    <s v="10545"/>
    <s v="INV13366"/>
    <s v="Canadian Industrial Pumps Ltd"/>
    <d v="2025-08-13T13:49:18"/>
    <d v="2025-08-19T17:42:00"/>
    <d v="2025-08-31T00:00:00"/>
    <s v="Alexis Gil Lamadrid"/>
    <s v="CAD"/>
    <n v="1"/>
    <n v="2440.75"/>
    <n v="0"/>
    <n v="1760.995717727847"/>
    <n v="2440.75"/>
    <m/>
    <n v="2440.75"/>
    <s v="Delivered"/>
    <m/>
    <n v="1"/>
    <n v="8"/>
    <n v="2025"/>
    <n v="10"/>
    <n v="2025"/>
    <n v="0.72149778458582281"/>
    <x v="703"/>
    <d v="2025-08-13T13:49:18"/>
    <x v="837"/>
    <s v="Paid"/>
    <d v="2025-10-03T00:00:00"/>
    <s v="10545"/>
    <x v="48"/>
    <x v="0"/>
    <n v="2440.75"/>
    <n v="1760.995717727847"/>
    <n v="0.72149778458582281"/>
    <n v="-2440.75"/>
    <n v="0"/>
    <n v="0"/>
    <s v=""/>
    <x v="0"/>
    <x v="0"/>
    <s v="Pend"/>
    <s v="Pend"/>
  </r>
  <r>
    <n v="1"/>
    <s v="SO17676"/>
    <s v="4512224031"/>
    <s v="INV13309"/>
    <s v="PT Vale Indonesia Tbk."/>
    <d v="2025-08-14T10:01:02"/>
    <d v="2025-08-14T10:10:15"/>
    <d v="2025-08-17T00:00:00"/>
    <s v="Wilka Nuñez"/>
    <s v="USD"/>
    <n v="0.72646703666854284"/>
    <n v="2101.2515681375298"/>
    <n v="0"/>
    <n v="1526.49"/>
    <n v="1526.49"/>
    <m/>
    <n v="1526.49"/>
    <s v="Delivered"/>
    <m/>
    <n v="1"/>
    <n v="8"/>
    <n v="2025"/>
    <n v="10"/>
    <n v="2025"/>
    <n v="0.72646703666854284"/>
    <x v="704"/>
    <d v="2025-08-14T10:01:02"/>
    <x v="838"/>
    <s v="Paid"/>
    <d v="2025-10-20T00:00:00"/>
    <s v="4512224031"/>
    <x v="42"/>
    <x v="1"/>
    <n v="2101.2515681375298"/>
    <n v="1526.49"/>
    <n v="0.72646703666854284"/>
    <n v="0"/>
    <n v="-1526.49"/>
    <s v=""/>
    <n v="0"/>
    <x v="0"/>
    <x v="0"/>
    <s v="Pend"/>
    <s v="Pend"/>
  </r>
  <r>
    <n v="1"/>
    <s v="SO17677"/>
    <s v="4512224278"/>
    <s v="INV13307"/>
    <s v="PT Vale Indonesia Tbk."/>
    <d v="2025-08-14T10:10:27"/>
    <d v="2025-08-14T10:17:54"/>
    <d v="2025-08-17T00:00:00"/>
    <s v="Wilka Nuñez"/>
    <s v="USD"/>
    <n v="0.72646703666854284"/>
    <n v="649.00398256489234"/>
    <n v="0"/>
    <n v="471.48"/>
    <n v="471.48"/>
    <m/>
    <n v="471.48"/>
    <s v="Delivered"/>
    <m/>
    <n v="1"/>
    <n v="8"/>
    <n v="2025"/>
    <n v="10"/>
    <n v="2025"/>
    <n v="0.72646703666854284"/>
    <x v="705"/>
    <d v="2025-08-14T10:10:27"/>
    <x v="839"/>
    <s v="Paid"/>
    <d v="2025-10-27T00:00:00"/>
    <s v="4512224278"/>
    <x v="42"/>
    <x v="1"/>
    <n v="649.00398256489234"/>
    <n v="471.48"/>
    <n v="0.72646703666854284"/>
    <n v="0"/>
    <n v="-471.48"/>
    <s v=""/>
    <n v="0"/>
    <x v="0"/>
    <x v="0"/>
    <s v="Pend"/>
    <s v="Pend"/>
  </r>
  <r>
    <n v="1"/>
    <s v="SO17678"/>
    <s v="QC10-00127942"/>
    <s v="INV13744"/>
    <s v="Motion Industries Inc. (Canada) - Chicoutimi"/>
    <d v="2025-08-14T12:48:49"/>
    <d v="2025-12-05T11:03:49"/>
    <d v="2025-12-05T00:00:00"/>
    <s v="Ian Trottier"/>
    <s v="CAD"/>
    <n v="1"/>
    <n v="78.58"/>
    <n v="0"/>
    <n v="56.696283233458729"/>
    <n v="74.84"/>
    <n v="3.74"/>
    <n v="78.58"/>
    <s v="Delivered"/>
    <m/>
    <n v="1"/>
    <n v="8"/>
    <n v="2025"/>
    <s v=""/>
    <s v=""/>
    <n v="0.72151034911502587"/>
    <x v="706"/>
    <d v="2025-08-14T12:48:49"/>
    <x v="840"/>
    <s v="Approved"/>
    <s v="Pending"/>
    <s v="QC10-00127942"/>
    <x v="136"/>
    <x v="0"/>
    <n v="74.84"/>
    <n v="53.997834527768539"/>
    <n v="0.72151034911502587"/>
    <n v="-74.84"/>
    <n v="0"/>
    <n v="0"/>
    <s v=""/>
    <x v="1"/>
    <x v="2"/>
    <s v="Pend"/>
    <s v="Pend"/>
  </r>
  <r>
    <n v="1"/>
    <s v="SO17679"/>
    <s v="P-90425"/>
    <s v="INV13628"/>
    <s v="Cartledge &amp; Associates Inc."/>
    <d v="2025-08-14T13:53:08"/>
    <d v="2025-09-04T17:56:41"/>
    <d v="2025-09-25T00:00:00"/>
    <s v="Ian Trottier"/>
    <s v="USD"/>
    <n v="0.72541822568831038"/>
    <n v="2149.8632716599132"/>
    <n v="0"/>
    <n v="1559.55"/>
    <n v="1559.55"/>
    <m/>
    <n v="1559.55"/>
    <s v="Delivered"/>
    <m/>
    <n v="1"/>
    <n v="8"/>
    <n v="2025"/>
    <n v="12"/>
    <n v="2025"/>
    <n v="0.72541822568831027"/>
    <x v="707"/>
    <d v="2025-08-14T13:53:08"/>
    <x v="841"/>
    <s v="Paid"/>
    <d v="2025-12-08T00:00:00"/>
    <s v="P-90425"/>
    <x v="25"/>
    <x v="1"/>
    <n v="2149.8632716599127"/>
    <n v="1559.55"/>
    <n v="0.72541822568831038"/>
    <n v="0"/>
    <n v="-1559.55"/>
    <s v=""/>
    <n v="0"/>
    <x v="0"/>
    <x v="0"/>
    <s v="Pend"/>
    <s v="Pend"/>
  </r>
  <r>
    <n v="2"/>
    <s v="SO17681"/>
    <s v="S309770"/>
    <s v="INV13422"/>
    <s v="Kumtor Gold Company"/>
    <d v="2025-08-14T17:07:22"/>
    <d v="2025-09-03T13:56:39"/>
    <d v="2025-12-31T00:00:00"/>
    <s v="Ian Trottier"/>
    <s v="USD"/>
    <n v="0.72690712781787181"/>
    <n v="129950.47975876729"/>
    <n v="0"/>
    <n v="94461.93"/>
    <n v="94461.93"/>
    <m/>
    <n v="94461.93"/>
    <s v="Partially Delivered"/>
    <m/>
    <n v="2"/>
    <n v="8"/>
    <n v="2025"/>
    <n v="9"/>
    <n v="2025"/>
    <n v="0.72690712781787159"/>
    <x v="708"/>
    <d v="2025-08-14T17:07:22"/>
    <x v="842"/>
    <s v="Paid"/>
    <d v="2025-09-26T00:00:00"/>
    <s v="S309770"/>
    <x v="57"/>
    <x v="1"/>
    <n v="129950.47975876725"/>
    <n v="94461.93"/>
    <n v="0.72690712781787181"/>
    <n v="0"/>
    <n v="-86619.66"/>
    <s v=""/>
    <n v="7842.2699999999895"/>
    <x v="0"/>
    <x v="1"/>
    <s v="Pend"/>
    <s v="Pend"/>
  </r>
  <r>
    <m/>
    <m/>
    <m/>
    <s v="INV13751"/>
    <m/>
    <m/>
    <m/>
    <m/>
    <m/>
    <m/>
    <m/>
    <m/>
    <m/>
    <m/>
    <m/>
    <m/>
    <m/>
    <m/>
    <m/>
    <n v="2"/>
    <n v="8"/>
    <n v="2025"/>
    <n v="12"/>
    <n v="2025"/>
    <n v="0.72690712781787159"/>
    <x v="708"/>
    <d v="2025-08-14T17:07:22"/>
    <x v="843"/>
    <s v="Paid"/>
    <d v="2025-12-30T00:00:00"/>
    <s v="S309770"/>
    <x v="57"/>
    <x v="1"/>
    <n v="0"/>
    <n v="0"/>
    <n v="0"/>
    <n v="0"/>
    <n v="-787.11"/>
    <s v=""/>
    <n v="-787.11"/>
    <x v="0"/>
    <x v="1"/>
    <s v="Pend"/>
    <s v="Pend"/>
  </r>
  <r>
    <n v="2"/>
    <s v="SO17682"/>
    <s v="PO# 1058"/>
    <s v="INV13306"/>
    <s v="Mill-Right Mine Services Inc."/>
    <d v="2025-08-14T17:09:57"/>
    <d v="2025-08-14T17:11:46"/>
    <d v="2025-08-15T00:00:00"/>
    <s v="Amanda Qiao"/>
    <s v="USD"/>
    <n v="0.72646703666854284"/>
    <n v="2732.1955433823841"/>
    <n v="0"/>
    <n v="1984.85"/>
    <n v="1984.85"/>
    <m/>
    <n v="1984.85"/>
    <s v="Delivered"/>
    <m/>
    <n v="2"/>
    <n v="8"/>
    <n v="2025"/>
    <n v="10"/>
    <n v="2025"/>
    <n v="0.72646703666854284"/>
    <x v="709"/>
    <d v="2025-08-14T17:09:57"/>
    <x v="844"/>
    <s v="Paid"/>
    <d v="2025-10-24T00:00:00"/>
    <s v="PO# 1058"/>
    <x v="30"/>
    <x v="1"/>
    <n v="2732.1955433823841"/>
    <n v="1984.85"/>
    <n v="0.72646703666854284"/>
    <n v="0"/>
    <n v="-1816.85"/>
    <s v=""/>
    <n v="168"/>
    <x v="0"/>
    <x v="1"/>
    <n v="0"/>
    <s v="Pend"/>
  </r>
  <r>
    <m/>
    <m/>
    <m/>
    <s v="INV13306"/>
    <m/>
    <m/>
    <m/>
    <m/>
    <m/>
    <m/>
    <m/>
    <m/>
    <m/>
    <m/>
    <m/>
    <m/>
    <m/>
    <m/>
    <m/>
    <n v="2"/>
    <n v="8"/>
    <n v="2025"/>
    <n v="10"/>
    <n v="2025"/>
    <n v="0.72646703666854284"/>
    <x v="709"/>
    <d v="2025-08-14T17:09:57"/>
    <x v="844"/>
    <s v="Paid"/>
    <d v="2025-10-24T00:00:00"/>
    <s v="PO# 1058"/>
    <x v="30"/>
    <x v="1"/>
    <n v="0"/>
    <n v="0"/>
    <n v="0"/>
    <n v="0"/>
    <n v="-1816.85"/>
    <s v=""/>
    <n v="-1816.85"/>
    <x v="0"/>
    <x v="1"/>
    <n v="0"/>
    <s v="Pend"/>
  </r>
  <r>
    <n v="1"/>
    <s v="SO17683"/>
    <s v="PO-0020723"/>
    <s v="INV13332"/>
    <s v="MAB Equipment Company Inc."/>
    <d v="2025-08-14T18:03:38"/>
    <d v="2025-08-18T12:15:37"/>
    <d v="2025-12-01T00:00:00"/>
    <s v="Alexis Gil Lamadrid"/>
    <s v="USD"/>
    <n v="0.7240742470894046"/>
    <n v="7447.2197038851255"/>
    <n v="0"/>
    <n v="5392.34"/>
    <n v="5392.34"/>
    <m/>
    <n v="5392.34"/>
    <s v="To Deliver"/>
    <m/>
    <n v="1"/>
    <n v="8"/>
    <n v="2025"/>
    <n v="11"/>
    <n v="2025"/>
    <n v="0.72407424708940449"/>
    <x v="710"/>
    <d v="2025-08-14T18:03:38"/>
    <x v="845"/>
    <s v="Paid"/>
    <d v="2025-11-04T00:00:00"/>
    <s v="PO-0020723"/>
    <x v="67"/>
    <x v="1"/>
    <n v="7447.2197038851245"/>
    <n v="5392.34"/>
    <n v="0.7240742470894046"/>
    <n v="0"/>
    <n v="-4792.34"/>
    <s v=""/>
    <n v="600"/>
    <x v="0"/>
    <x v="0"/>
    <s v="Pend"/>
    <s v="Pend"/>
  </r>
  <r>
    <n v="1"/>
    <s v="SO17684"/>
    <s v="4500609591"/>
    <s v="INV13432"/>
    <s v="Resolute Forest Products - Clermont"/>
    <d v="2025-08-14T19:01:41"/>
    <d v="2025-08-20T11:17:24"/>
    <d v="2025-10-21T00:00:00"/>
    <s v="Alexis Gil Lamadrid"/>
    <s v="CAD"/>
    <n v="1"/>
    <n v="1140.95"/>
    <n v="0"/>
    <n v="822.26908466071973"/>
    <n v="1086.6199999999999"/>
    <n v="54.33"/>
    <n v="1140.95"/>
    <s v="Delivered"/>
    <m/>
    <n v="1"/>
    <n v="8"/>
    <n v="2025"/>
    <n v="11"/>
    <n v="2025"/>
    <n v="0.72068809734056682"/>
    <x v="711"/>
    <d v="2025-08-14T19:01:41"/>
    <x v="846"/>
    <s v="Paid"/>
    <d v="2025-11-21T00:00:00"/>
    <s v="4500609591"/>
    <x v="83"/>
    <x v="0"/>
    <n v="1086.6199999999999"/>
    <n v="783.11410033220659"/>
    <n v="0.72068809734056682"/>
    <n v="-1086.6199999999999"/>
    <n v="0"/>
    <n v="0"/>
    <s v=""/>
    <x v="0"/>
    <x v="0"/>
    <s v="Pend"/>
    <s v="Pend"/>
  </r>
  <r>
    <n v="1"/>
    <s v="SO17685"/>
    <s v="2100635190"/>
    <s v="INV13336"/>
    <s v="Wajax Limited - Pointe-aux-Trembles, Wajax Limited"/>
    <d v="2025-08-14T19:25:00"/>
    <d v="2025-08-19T17:15:50"/>
    <d v="2025-08-26T00:00:00"/>
    <s v="Alexis Gil Lamadrid"/>
    <s v="CAD"/>
    <n v="1"/>
    <n v="248.52"/>
    <n v="0"/>
    <n v="179.30662942526871"/>
    <n v="236.69"/>
    <n v="11.83"/>
    <n v="248.52"/>
    <s v="Delivered"/>
    <m/>
    <n v="1"/>
    <n v="8"/>
    <n v="2025"/>
    <n v="10"/>
    <n v="2025"/>
    <n v="0.72149778458582292"/>
    <x v="712"/>
    <d v="2025-08-14T19:25:00"/>
    <x v="847"/>
    <s v="Paid"/>
    <d v="2025-10-01T00:00:00"/>
    <s v="2100635190"/>
    <x v="44"/>
    <x v="0"/>
    <n v="236.69"/>
    <n v="170.77131063361841"/>
    <n v="0.72149778458582292"/>
    <n v="-236.69"/>
    <n v="0"/>
    <n v="0"/>
    <s v=""/>
    <x v="0"/>
    <x v="0"/>
    <s v="Pend"/>
    <s v="Pend"/>
  </r>
  <r>
    <n v="1"/>
    <s v="SO17686"/>
    <s v="2201"/>
    <s v="INV13319"/>
    <s v="FMI Products"/>
    <d v="2025-08-15T09:33:06"/>
    <d v="2025-08-18T10:15:15"/>
    <d v="2025-08-19T00:00:00"/>
    <s v="Wilka Nuñez"/>
    <s v="CAD"/>
    <n v="1"/>
    <n v="1745.25"/>
    <n v="0"/>
    <n v="1263.1742452168569"/>
    <n v="1662.14"/>
    <n v="83.11"/>
    <n v="1745.25"/>
    <s v="Delivered"/>
    <m/>
    <n v="1"/>
    <n v="8"/>
    <n v="2025"/>
    <n v="9"/>
    <n v="2025"/>
    <n v="0.72377839576957848"/>
    <x v="713"/>
    <d v="2025-08-15T09:33:06"/>
    <x v="848"/>
    <s v="Paid"/>
    <d v="2025-09-18T00:00:00"/>
    <s v="2201"/>
    <x v="18"/>
    <x v="0"/>
    <n v="1662.14"/>
    <n v="1203.0210227444472"/>
    <n v="0.72377839576957848"/>
    <n v="-1662.14"/>
    <n v="0"/>
    <n v="0"/>
    <s v=""/>
    <x v="0"/>
    <x v="0"/>
    <s v="Pend"/>
    <s v="Pend"/>
  </r>
  <r>
    <n v="1"/>
    <s v="SO17689"/>
    <s v="MB21-00192256"/>
    <s v="INV13312"/>
    <s v="Motion Industries Inc. (Canada) - Winnipeg"/>
    <d v="2025-08-15T12:51:01"/>
    <d v="2025-08-15T15:06:32"/>
    <d v="2025-08-22T00:00:00"/>
    <s v="Ian Trottier"/>
    <s v="CAD"/>
    <n v="1"/>
    <n v="127.69"/>
    <n v="0"/>
    <n v="92.465391035630944"/>
    <n v="121.61"/>
    <n v="6.08"/>
    <n v="127.69"/>
    <s v="Delivered"/>
    <m/>
    <n v="1"/>
    <n v="8"/>
    <n v="2025"/>
    <n v="9"/>
    <n v="2025"/>
    <n v="0.72413964316415491"/>
    <x v="714"/>
    <d v="2025-08-15T12:51:01"/>
    <x v="849"/>
    <s v="Paid"/>
    <d v="2025-09-17T00:00:00"/>
    <s v="MB21-00192256"/>
    <x v="23"/>
    <x v="0"/>
    <n v="121.61"/>
    <n v="88.062622005192878"/>
    <n v="0.72413964316415491"/>
    <n v="-121.61"/>
    <n v="0"/>
    <n v="0"/>
    <s v=""/>
    <x v="0"/>
    <x v="0"/>
    <s v="Pend"/>
    <s v="Pend"/>
  </r>
  <r>
    <n v="1"/>
    <s v="SO17690"/>
    <s v="A20250809"/>
    <s v="INV13318"/>
    <s v="Alpha Industrial &amp; Mining Supplies Limited"/>
    <d v="2025-08-15T14:02:20"/>
    <d v="2025-08-18T13:54:59"/>
    <d v="2025-08-25T00:00:00"/>
    <s v="Alexis Gil Lamadrid"/>
    <s v="CAD"/>
    <n v="1"/>
    <n v="2100.84"/>
    <n v="0"/>
    <n v="1520.542604968562"/>
    <n v="1859.15"/>
    <n v="241.69"/>
    <n v="2100.84"/>
    <s v="Delivered"/>
    <m/>
    <n v="1"/>
    <n v="8"/>
    <n v="2025"/>
    <n v="8"/>
    <n v="2025"/>
    <n v="0.72377839576957881"/>
    <x v="715"/>
    <d v="2025-08-15T14:02:20"/>
    <x v="850"/>
    <s v="Paid"/>
    <d v="2025-08-19T00:00:00"/>
    <s v="A20250809"/>
    <x v="118"/>
    <x v="0"/>
    <n v="1859.15"/>
    <n v="1345.6126044950124"/>
    <n v="0.72377839576957881"/>
    <n v="-1859.15"/>
    <n v="0"/>
    <n v="0"/>
    <s v=""/>
    <x v="0"/>
    <x v="0"/>
    <s v="Pend"/>
    <s v="Pend"/>
  </r>
  <r>
    <n v="1"/>
    <s v="SO17691"/>
    <s v="2202"/>
    <s v="INV13320"/>
    <s v="FMI Products"/>
    <d v="2025-08-15T14:24:05"/>
    <d v="2025-08-18T11:36:33"/>
    <d v="2025-08-25T00:00:00"/>
    <s v="Alexis Gil Lamadrid"/>
    <s v="CAD"/>
    <n v="1"/>
    <n v="118.69"/>
    <n v="0"/>
    <n v="85.90525779389128"/>
    <n v="113.04"/>
    <n v="5.65"/>
    <n v="118.69"/>
    <s v="Delivered"/>
    <m/>
    <n v="1"/>
    <n v="8"/>
    <n v="2025"/>
    <n v="9"/>
    <n v="2025"/>
    <n v="0.72377839576957859"/>
    <x v="716"/>
    <d v="2025-08-15T14:24:05"/>
    <x v="851"/>
    <s v="Paid"/>
    <d v="2025-09-18T00:00:00"/>
    <s v="2202"/>
    <x v="18"/>
    <x v="0"/>
    <n v="113.04"/>
    <n v="81.815909857793173"/>
    <n v="0.72377839576957859"/>
    <n v="-113.04"/>
    <n v="0"/>
    <n v="0"/>
    <s v=""/>
    <x v="0"/>
    <x v="0"/>
    <s v="Pend"/>
    <s v="Pend"/>
  </r>
  <r>
    <n v="1"/>
    <s v="SO17692"/>
    <s v="3313"/>
    <s v="INV13439"/>
    <s v="Les Pompes du St-Laurent Inc."/>
    <d v="2025-08-15T15:06:39"/>
    <d v="2025-09-23T16:44:52"/>
    <d v="2025-09-24T00:00:00"/>
    <s v="Ian Trottier"/>
    <s v="CAD"/>
    <n v="1"/>
    <n v="6484.17"/>
    <n v="0"/>
    <n v="4686.8896894315476"/>
    <n v="6175.4"/>
    <n v="308.77"/>
    <n v="6484.17"/>
    <s v="Delivered"/>
    <m/>
    <n v="1"/>
    <n v="8"/>
    <n v="2025"/>
    <s v=""/>
    <s v=""/>
    <n v="0.72282029765282951"/>
    <x v="717"/>
    <d v="2025-08-15T15:06:39"/>
    <x v="852"/>
    <s v="Not invoiced"/>
    <s v="Pending"/>
    <s v="3313"/>
    <x v="7"/>
    <x v="0"/>
    <n v="6175.4"/>
    <n v="4463.704466125283"/>
    <n v="0.72282029765282951"/>
    <n v="0"/>
    <n v="0"/>
    <n v="6175.4"/>
    <s v=""/>
    <x v="1"/>
    <x v="2"/>
    <s v="Pend"/>
    <s v="Pend"/>
  </r>
  <r>
    <n v="1"/>
    <s v="SO17693"/>
    <s v="1029134"/>
    <s v="INV13528"/>
    <s v="Thunder Bay Pulp and Paper Inc"/>
    <d v="2025-08-15T15:20:52"/>
    <d v="2025-08-15T15:25:05"/>
    <d v="2025-12-05T00:00:00"/>
    <s v="Ian Trottier"/>
    <s v="CAD"/>
    <n v="1"/>
    <n v="4665.5200000000004"/>
    <n v="0"/>
    <n v="3378.487987975228"/>
    <n v="4128.78"/>
    <n v="536.74"/>
    <n v="4665.5200000000004"/>
    <s v="Delivered"/>
    <m/>
    <n v="1"/>
    <n v="8"/>
    <n v="2025"/>
    <n v="12"/>
    <n v="2025"/>
    <n v="0.7241396431641548"/>
    <x v="718"/>
    <d v="2025-08-15T15:20:52"/>
    <x v="853"/>
    <s v="Paid"/>
    <d v="2025-12-15T00:00:00"/>
    <s v="1029134"/>
    <x v="93"/>
    <x v="0"/>
    <n v="4128.78"/>
    <n v="2989.8132759032987"/>
    <n v="0.7241396431641548"/>
    <n v="-4128.78"/>
    <n v="0"/>
    <n v="0"/>
    <s v=""/>
    <x v="0"/>
    <x v="0"/>
    <s v="Pend"/>
    <s v="Pend"/>
  </r>
  <r>
    <n v="1"/>
    <s v="SO17695"/>
    <s v="3031307"/>
    <s v="INV13344"/>
    <s v="Flowstar Industrial Inc"/>
    <d v="2025-08-18T11:05:54"/>
    <d v="2025-08-19T17:22:25"/>
    <d v="2025-08-26T00:00:00"/>
    <s v="Marlen Martinez"/>
    <s v="CAD"/>
    <n v="1"/>
    <n v="184"/>
    <n v="0"/>
    <n v="132.75559236379141"/>
    <n v="160"/>
    <n v="24"/>
    <n v="184"/>
    <s v="Delivered"/>
    <m/>
    <n v="1"/>
    <n v="8"/>
    <n v="2025"/>
    <n v="10"/>
    <n v="2025"/>
    <n v="0.72149778458582292"/>
    <x v="719"/>
    <d v="2025-08-18T11:05:54"/>
    <x v="854"/>
    <s v="Paid"/>
    <d v="2025-10-06T00:00:00"/>
    <s v="3031307"/>
    <x v="122"/>
    <x v="0"/>
    <n v="160"/>
    <n v="115.43964553373166"/>
    <n v="0.72149778458582292"/>
    <n v="-160"/>
    <n v="0"/>
    <n v="0"/>
    <s v=""/>
    <x v="0"/>
    <x v="0"/>
    <s v="Pend"/>
    <s v="Pend"/>
  </r>
  <r>
    <n v="4"/>
    <s v="SO17696"/>
    <s v="S309683"/>
    <s v="INV13752"/>
    <s v="Kumtor Gold Company"/>
    <d v="2025-08-18T16:41:05"/>
    <d v="2025-09-03T14:44:25"/>
    <d v="2025-12-31T00:00:00"/>
    <s v="Ian Trottier"/>
    <s v="USD"/>
    <n v="0.72690712781787181"/>
    <n v="70310.288679416393"/>
    <n v="0"/>
    <n v="51109.05"/>
    <n v="51109.05"/>
    <m/>
    <n v="51109.05"/>
    <s v="Partially Delivered"/>
    <m/>
    <n v="4"/>
    <n v="8"/>
    <n v="2025"/>
    <s v=""/>
    <s v=""/>
    <n v="0.72690712781787192"/>
    <x v="720"/>
    <d v="2025-08-18T16:41:05"/>
    <x v="855"/>
    <s v="Approved"/>
    <s v="Pending"/>
    <s v="S309683"/>
    <x v="57"/>
    <x v="1"/>
    <n v="70310.288679416393"/>
    <n v="51109.05"/>
    <n v="0.72690712781787192"/>
    <n v="0"/>
    <n v="-23157.72"/>
    <s v=""/>
    <n v="27951.33"/>
    <x v="1"/>
    <x v="1"/>
    <n v="0"/>
    <s v="Pend"/>
  </r>
  <r>
    <m/>
    <m/>
    <m/>
    <s v="(* 80548)"/>
    <m/>
    <m/>
    <m/>
    <m/>
    <m/>
    <m/>
    <m/>
    <m/>
    <m/>
    <m/>
    <m/>
    <m/>
    <m/>
    <m/>
    <m/>
    <n v="4"/>
    <n v="8"/>
    <n v="2025"/>
    <s v=""/>
    <s v=""/>
    <n v="0.72690712781787192"/>
    <x v="720"/>
    <d v="2025-08-18T16:41:05"/>
    <x v="856"/>
    <s v="Not invoiced"/>
    <s v="Pending"/>
    <s v="S309683"/>
    <x v="57"/>
    <x v="1"/>
    <n v="0"/>
    <n v="0"/>
    <n v="0"/>
    <n v="0"/>
    <n v="0"/>
    <s v=""/>
    <n v="0"/>
    <x v="1"/>
    <x v="1"/>
    <n v="0"/>
    <s v="Pend"/>
  </r>
  <r>
    <m/>
    <m/>
    <m/>
    <s v="INV13423"/>
    <m/>
    <m/>
    <m/>
    <m/>
    <m/>
    <m/>
    <m/>
    <m/>
    <m/>
    <m/>
    <m/>
    <m/>
    <m/>
    <m/>
    <m/>
    <n v="4"/>
    <n v="8"/>
    <n v="2025"/>
    <n v="9"/>
    <n v="2025"/>
    <n v="0.72690712781787192"/>
    <x v="720"/>
    <d v="2025-08-18T16:41:05"/>
    <x v="857"/>
    <s v="Paid"/>
    <d v="2025-09-26T00:00:00"/>
    <s v="S309683"/>
    <x v="57"/>
    <x v="1"/>
    <n v="0"/>
    <n v="0"/>
    <n v="0"/>
    <n v="0"/>
    <n v="-25317.19"/>
    <s v=""/>
    <n v="-25317.19"/>
    <x v="0"/>
    <x v="1"/>
    <n v="0"/>
    <s v="Pend"/>
  </r>
  <r>
    <m/>
    <m/>
    <m/>
    <s v="INV13499"/>
    <m/>
    <m/>
    <m/>
    <m/>
    <m/>
    <m/>
    <m/>
    <m/>
    <m/>
    <m/>
    <m/>
    <m/>
    <m/>
    <m/>
    <m/>
    <n v="4"/>
    <n v="8"/>
    <n v="2025"/>
    <n v="10"/>
    <n v="2025"/>
    <n v="0.72690712781787192"/>
    <x v="720"/>
    <d v="2025-08-18T16:41:05"/>
    <x v="858"/>
    <s v="Paid"/>
    <d v="2025-10-15T00:00:00"/>
    <s v="S309683"/>
    <x v="57"/>
    <x v="1"/>
    <n v="0"/>
    <n v="0"/>
    <n v="0"/>
    <n v="0"/>
    <n v="-241.39"/>
    <s v=""/>
    <n v="-241.39"/>
    <x v="0"/>
    <x v="1"/>
    <n v="0"/>
    <s v="Pend"/>
  </r>
  <r>
    <n v="0"/>
    <s v="SO17698"/>
    <s v="21776 R1"/>
    <m/>
    <s v="DRN Industriel"/>
    <d v="2025-08-19T09:09:59"/>
    <d v="2025-08-25T14:13:58"/>
    <d v="2025-11-17T00:00:00"/>
    <s v="Wilka Nuñez"/>
    <s v="CAD"/>
    <n v="1"/>
    <n v="5018.46"/>
    <n v="0"/>
    <n v="3628.2446579174521"/>
    <n v="4779.4799999999996"/>
    <n v="238.98"/>
    <n v="5018.46"/>
    <s v="Processing"/>
    <m/>
    <n v="0"/>
    <n v="8"/>
    <n v="2025"/>
    <s v=""/>
    <s v=""/>
    <n v="0.72297969056592104"/>
    <x v="721"/>
    <d v="2025-08-19T09:09:59"/>
    <x v="54"/>
    <s v="Not invoiced"/>
    <s v="Pending"/>
    <s v="21776 R1"/>
    <x v="52"/>
    <x v="0"/>
    <n v="4779.4799999999996"/>
    <n v="3455.4669714660081"/>
    <n v="0.72297969056592104"/>
    <n v="0"/>
    <n v="0"/>
    <n v="4779.4799999999996"/>
    <s v=""/>
    <x v="1"/>
    <x v="2"/>
    <s v="Pend"/>
    <s v="Pend"/>
  </r>
  <r>
    <n v="0"/>
    <s v="SO17700"/>
    <s v="1061"/>
    <m/>
    <s v="Mill-Right Mine Services Inc."/>
    <d v="2025-08-19T10:51:12"/>
    <d v="2025-10-09T15:43:00"/>
    <d v="2026-01-13T00:00:00"/>
    <s v="Amanda Qiao"/>
    <s v="CAD"/>
    <n v="1"/>
    <n v="2724.71"/>
    <n v="0"/>
    <n v="1944.6699197195419"/>
    <n v="2411.25"/>
    <n v="313.45999999999998"/>
    <n v="2724.71"/>
    <s v="To Deliver"/>
    <m/>
    <n v="0"/>
    <n v="8"/>
    <n v="2025"/>
    <s v=""/>
    <s v=""/>
    <n v="0.71371629264014957"/>
    <x v="722"/>
    <d v="2025-08-19T10:51:12"/>
    <x v="54"/>
    <s v="Not invoiced"/>
    <s v="Pending"/>
    <s v="1061"/>
    <x v="30"/>
    <x v="0"/>
    <n v="2411.25"/>
    <n v="1720.9484106285606"/>
    <n v="0.71371629264014957"/>
    <n v="0"/>
    <n v="0"/>
    <n v="2411.25"/>
    <s v=""/>
    <x v="1"/>
    <x v="2"/>
    <s v="Pend"/>
    <s v="Pend"/>
  </r>
  <r>
    <n v="1"/>
    <s v="SO17701"/>
    <s v="4501270327"/>
    <s v="INV13376"/>
    <s v="Barrick Gold - Pueblo Viejo Dominicana Corporation"/>
    <d v="2025-08-19T14:00:07"/>
    <d v="2025-08-27T14:32:40"/>
    <d v="2025-09-04T00:00:00"/>
    <s v="Wilka Nuñez"/>
    <s v="USD"/>
    <n v="0.72297969056592093"/>
    <n v="23323.117122143449"/>
    <n v="0"/>
    <n v="16862.14"/>
    <n v="16862.14"/>
    <m/>
    <n v="16862.14"/>
    <s v="Delivered"/>
    <m/>
    <n v="1"/>
    <n v="8"/>
    <n v="2025"/>
    <n v="10"/>
    <n v="2025"/>
    <n v="0.72297969056592082"/>
    <x v="723"/>
    <d v="2025-08-19T14:00:07"/>
    <x v="859"/>
    <s v="Paid"/>
    <d v="2025-10-23T00:00:00"/>
    <s v="4501270327"/>
    <x v="15"/>
    <x v="1"/>
    <n v="23323.117122143445"/>
    <n v="16862.14"/>
    <n v="0.72297969056592093"/>
    <n v="0"/>
    <n v="-16862.14"/>
    <s v=""/>
    <n v="0"/>
    <x v="0"/>
    <x v="0"/>
    <s v="Pend"/>
    <s v="Pend"/>
  </r>
  <r>
    <n v="1"/>
    <s v="SO17703"/>
    <s v="4500609934"/>
    <s v="INV13324"/>
    <s v="Resolute Forest Products - Saint-Felicien"/>
    <d v="2025-08-19T14:47:36"/>
    <d v="2025-08-19T14:48:29"/>
    <d v="2025-08-26T00:00:00"/>
    <s v="Alexis Gil Lamadrid"/>
    <s v="CAD"/>
    <n v="1"/>
    <n v="311.39"/>
    <n v="0"/>
    <n v="224.66719514217939"/>
    <n v="296.56"/>
    <n v="14.83"/>
    <n v="311.39"/>
    <s v="Delivered"/>
    <m/>
    <n v="1"/>
    <n v="8"/>
    <n v="2025"/>
    <n v="10"/>
    <n v="2025"/>
    <n v="0.72149778458582292"/>
    <x v="724"/>
    <d v="2025-08-19T14:47:36"/>
    <x v="860"/>
    <s v="Paid"/>
    <d v="2025-10-17T00:00:00"/>
    <s v="4500609934"/>
    <x v="46"/>
    <x v="0"/>
    <n v="296.56"/>
    <n v="213.96738299677165"/>
    <n v="0.72149778458582292"/>
    <n v="-296.56"/>
    <n v="0"/>
    <n v="0"/>
    <s v=""/>
    <x v="0"/>
    <x v="0"/>
    <s v="Pend"/>
    <s v="Pend"/>
  </r>
  <r>
    <n v="1"/>
    <s v="SO17704"/>
    <s v="4500609960"/>
    <s v="INV13337"/>
    <s v="Resolute Forest Products - Saint-Felicien"/>
    <d v="2025-08-19T14:58:20"/>
    <d v="2025-08-19T18:53:46"/>
    <d v="2025-08-26T00:00:00"/>
    <s v="Alexis Gil Lamadrid"/>
    <s v="CAD"/>
    <n v="1"/>
    <n v="277.49"/>
    <n v="0"/>
    <n v="200.20842024472"/>
    <n v="264.27999999999997"/>
    <n v="13.21"/>
    <n v="277.49"/>
    <s v="Delivered"/>
    <m/>
    <n v="1"/>
    <n v="8"/>
    <n v="2025"/>
    <n v="10"/>
    <n v="2025"/>
    <n v="0.72149778458582292"/>
    <x v="725"/>
    <d v="2025-08-19T14:58:20"/>
    <x v="861"/>
    <s v="Paid"/>
    <d v="2025-10-21T00:00:00"/>
    <s v="4500609960"/>
    <x v="46"/>
    <x v="0"/>
    <n v="264.27999999999997"/>
    <n v="190.67743451034127"/>
    <n v="0.72149778458582292"/>
    <n v="-264.27999999999997"/>
    <n v="0"/>
    <n v="0"/>
    <s v=""/>
    <x v="0"/>
    <x v="0"/>
    <s v="Pend"/>
    <s v="Pend"/>
  </r>
  <r>
    <n v="1"/>
    <s v="SO17707"/>
    <s v="PO13911"/>
    <s v="INV13343"/>
    <s v="Manufacture Sling-Choker (Val-d’Or) Ltée"/>
    <d v="2025-08-19T18:39:16"/>
    <d v="2025-08-20T13:35:01"/>
    <d v="2025-08-27T00:00:00"/>
    <s v="Alexis Gil Lamadrid"/>
    <s v="CAD"/>
    <n v="1"/>
    <n v="1457.4"/>
    <n v="0"/>
    <n v="1050.3308330641421"/>
    <n v="1388"/>
    <n v="69.400000000000006"/>
    <n v="1457.4"/>
    <s v="Delivered"/>
    <m/>
    <n v="1"/>
    <n v="8"/>
    <n v="2025"/>
    <n v="9"/>
    <n v="2025"/>
    <n v="0.72068809734056682"/>
    <x v="726"/>
    <d v="2025-08-19T18:39:16"/>
    <x v="862"/>
    <s v="Paid"/>
    <d v="2025-09-24T00:00:00"/>
    <s v="PO13911"/>
    <x v="10"/>
    <x v="0"/>
    <n v="1388"/>
    <n v="1000.3150791087068"/>
    <n v="0.72068809734056682"/>
    <n v="-1388"/>
    <n v="0"/>
    <n v="0"/>
    <s v=""/>
    <x v="0"/>
    <x v="0"/>
    <s v="Pend"/>
    <s v="Pend"/>
  </r>
  <r>
    <n v="1"/>
    <s v="SO17709"/>
    <s v="7623"/>
    <s v="INV13365"/>
    <s v="Hyperflo"/>
    <d v="2025-08-20T10:15:12"/>
    <d v="2025-09-02T13:20:39"/>
    <d v="2025-09-03T00:00:00"/>
    <s v="Wilka Nuñez"/>
    <s v="CAD"/>
    <n v="1"/>
    <n v="3039.52"/>
    <n v="0"/>
    <n v="2204.9232053441328"/>
    <n v="2894.78"/>
    <n v="144.74"/>
    <n v="3039.52"/>
    <s v="Delivered"/>
    <m/>
    <n v="1"/>
    <n v="8"/>
    <n v="2025"/>
    <n v="10"/>
    <n v="2025"/>
    <n v="0.72541822568831027"/>
    <x v="727"/>
    <d v="2025-08-20T10:15:12"/>
    <x v="863"/>
    <s v="Paid"/>
    <d v="2025-10-14T00:00:00"/>
    <s v="7623"/>
    <x v="5"/>
    <x v="0"/>
    <n v="2894.78"/>
    <n v="2099.9261713580067"/>
    <n v="0.72541822568831016"/>
    <n v="-2894.78"/>
    <n v="0"/>
    <n v="0"/>
    <s v=""/>
    <x v="0"/>
    <x v="0"/>
    <s v="Pend"/>
    <s v="Pend"/>
  </r>
  <r>
    <n v="1"/>
    <s v="SO17710"/>
    <s v="PO-0020757"/>
    <s v="INV13413"/>
    <s v="MAB Equipment Company Inc."/>
    <d v="2025-08-20T11:07:44"/>
    <d v="2025-08-21T16:48:11"/>
    <d v="2025-08-22T00:00:00"/>
    <s v="Ian Trottier"/>
    <s v="USD"/>
    <n v="0.72068809734056682"/>
    <n v="3660.529443645501"/>
    <n v="0"/>
    <n v="2638.1"/>
    <n v="2638.1"/>
    <m/>
    <n v="2638.1"/>
    <s v="Delivered"/>
    <m/>
    <n v="1"/>
    <n v="8"/>
    <n v="2025"/>
    <n v="11"/>
    <n v="2025"/>
    <n v="0.72068809734056682"/>
    <x v="728"/>
    <d v="2025-08-20T11:07:44"/>
    <x v="864"/>
    <s v="Paid"/>
    <d v="2025-11-04T00:00:00"/>
    <s v="PO-0020757"/>
    <x v="67"/>
    <x v="1"/>
    <n v="3660.529443645501"/>
    <n v="2638.1"/>
    <n v="0.72068809734056682"/>
    <n v="0"/>
    <n v="-2638.1"/>
    <s v=""/>
    <n v="0"/>
    <x v="0"/>
    <x v="0"/>
    <s v="Pend"/>
    <s v="Pend"/>
  </r>
  <r>
    <n v="0"/>
    <s v="SO17712"/>
    <s v="5397796"/>
    <m/>
    <s v="Corrosion Fluid Products Corp., Corrosion Fluid Products Corp. - Chicago"/>
    <d v="2025-08-20T14:08:22"/>
    <d v="2025-08-27T10:31:55"/>
    <d v="2025-12-24T00:00:00"/>
    <s v="Eduardo Talamantes"/>
    <s v="USD"/>
    <n v="0.72297969056592093"/>
    <n v="61475.032535436767"/>
    <n v="0"/>
    <n v="44445.2"/>
    <n v="44445.2"/>
    <m/>
    <n v="44445.2"/>
    <s v="To Deliver"/>
    <m/>
    <n v="0"/>
    <n v="8"/>
    <n v="2025"/>
    <s v=""/>
    <s v=""/>
    <n v="0.72297969056592093"/>
    <x v="729"/>
    <d v="2025-08-20T14:08:22"/>
    <x v="54"/>
    <s v="Not invoiced"/>
    <s v="Pending"/>
    <s v="5397796"/>
    <x v="4"/>
    <x v="1"/>
    <n v="61475.032535436767"/>
    <n v="44445.2"/>
    <n v="0.72297969056592093"/>
    <n v="0"/>
    <n v="0"/>
    <s v=""/>
    <n v="44445.2"/>
    <x v="1"/>
    <x v="2"/>
    <s v="Pend"/>
    <s v="Pend"/>
  </r>
  <r>
    <n v="1"/>
    <s v="SO17714"/>
    <s v="PO-008196"/>
    <s v="INV13387"/>
    <s v="Sling-Choker Manufacturing - Timmins"/>
    <d v="2025-08-20T14:19:42"/>
    <d v="2025-08-20T14:25:19"/>
    <d v="2025-09-10T00:00:00"/>
    <s v="Alexis Gil Lamadrid"/>
    <s v="CAD"/>
    <n v="1"/>
    <n v="2081.71"/>
    <n v="0"/>
    <n v="1500.263619114831"/>
    <n v="1842.22"/>
    <n v="239.49"/>
    <n v="2081.71"/>
    <s v="Delivered"/>
    <m/>
    <n v="1"/>
    <n v="8"/>
    <n v="2025"/>
    <n v="10"/>
    <n v="2025"/>
    <n v="0.72068809734056671"/>
    <x v="730"/>
    <d v="2025-08-20T14:19:42"/>
    <x v="865"/>
    <s v="Paid"/>
    <d v="2025-10-08T00:00:00"/>
    <s v="PO-008196"/>
    <x v="3"/>
    <x v="0"/>
    <n v="1842.22"/>
    <n v="1327.6660266827389"/>
    <n v="0.72068809734056671"/>
    <n v="-1842.22"/>
    <n v="0"/>
    <n v="0"/>
    <s v=""/>
    <x v="0"/>
    <x v="0"/>
    <s v="Pend"/>
    <s v="Pend"/>
  </r>
  <r>
    <n v="1"/>
    <s v="SO17715"/>
    <s v="4850011463"/>
    <s v="INV13385"/>
    <s v="Dome Mine Ltd"/>
    <d v="2025-08-20T14:59:24"/>
    <d v="2025-08-21T18:51:45"/>
    <d v="2025-09-24T00:00:00"/>
    <s v="Alexis Gil Lamadrid"/>
    <s v="CAD"/>
    <n v="1"/>
    <n v="440.01"/>
    <n v="0"/>
    <n v="316.53202099728941"/>
    <n v="389.39"/>
    <n v="50.62"/>
    <n v="440.01"/>
    <s v="Delivered"/>
    <m/>
    <n v="1"/>
    <n v="8"/>
    <n v="2025"/>
    <n v="10"/>
    <n v="2025"/>
    <n v="0.71937460738912617"/>
    <x v="731"/>
    <d v="2025-08-20T14:59:24"/>
    <x v="866"/>
    <s v="Paid"/>
    <d v="2025-10-10T00:00:00"/>
    <s v="4850011463"/>
    <x v="137"/>
    <x v="0"/>
    <n v="389.39"/>
    <n v="280.11727837125181"/>
    <n v="0.71937460738912617"/>
    <n v="-389.39"/>
    <n v="0"/>
    <n v="0"/>
    <s v=""/>
    <x v="0"/>
    <x v="0"/>
    <s v="Pend"/>
    <s v="Pend"/>
  </r>
  <r>
    <n v="1"/>
    <s v="SO17718"/>
    <s v="4501270309"/>
    <s v="INV13739"/>
    <s v="Barrick Gold - Pueblo Viejo Dominicana Corporation"/>
    <d v="2025-08-20T15:54:27"/>
    <d v="2025-08-28T14:16:17"/>
    <d v="2025-12-03T00:00:00"/>
    <s v="Amanda Qiao"/>
    <s v="USD"/>
    <n v="0.72328577573707276"/>
    <n v="48094.406342432107"/>
    <n v="0"/>
    <n v="34786"/>
    <n v="34786"/>
    <m/>
    <n v="34786"/>
    <s v="Delivered"/>
    <m/>
    <n v="1"/>
    <n v="8"/>
    <n v="2025"/>
    <s v=""/>
    <s v=""/>
    <n v="0.72328577573707276"/>
    <x v="732"/>
    <d v="2025-08-20T15:54:27"/>
    <x v="867"/>
    <s v="Approved"/>
    <s v="Pending"/>
    <s v="4501270309"/>
    <x v="15"/>
    <x v="1"/>
    <n v="48094.406342432107"/>
    <n v="34786"/>
    <n v="0.72328577573707276"/>
    <n v="0"/>
    <n v="-34786"/>
    <s v=""/>
    <n v="0"/>
    <x v="1"/>
    <x v="2"/>
    <s v="Pend"/>
    <s v="Pend"/>
  </r>
  <r>
    <n v="1"/>
    <s v="SO17719"/>
    <s v="4500610655"/>
    <s v="INV13342"/>
    <s v="Resolute Forest Products - Clermont"/>
    <d v="2025-08-21T09:59:16"/>
    <d v="2025-08-22T16:56:26"/>
    <d v="2025-08-29T00:00:00"/>
    <s v="Ian Trottier"/>
    <s v="CAD"/>
    <n v="1"/>
    <n v="598.37"/>
    <n v="0"/>
    <n v="432.20949094626451"/>
    <n v="569.88"/>
    <n v="28.49"/>
    <n v="598.37"/>
    <s v="Delivered"/>
    <m/>
    <n v="1"/>
    <n v="8"/>
    <n v="2025"/>
    <n v="10"/>
    <n v="2025"/>
    <n v="0.72231143096456119"/>
    <x v="733"/>
    <d v="2025-08-21T09:59:16"/>
    <x v="868"/>
    <s v="Paid"/>
    <d v="2025-10-23T00:00:00"/>
    <s v="4500610655"/>
    <x v="83"/>
    <x v="0"/>
    <n v="569.88"/>
    <n v="411.63083827808413"/>
    <n v="0.72231143096456119"/>
    <n v="-569.88"/>
    <n v="0"/>
    <n v="0"/>
    <s v=""/>
    <x v="0"/>
    <x v="0"/>
    <s v="Pend"/>
    <s v="Pend"/>
  </r>
  <r>
    <n v="1"/>
    <s v="SO17721"/>
    <s v="12160"/>
    <s v="INV13606"/>
    <s v="Les Pompes Diaspec Inc."/>
    <d v="2025-08-21T12:17:47"/>
    <d v="2025-10-07T12:15:53"/>
    <d v="2025-10-24T00:00:00"/>
    <s v="Alexis Gil Lamadrid"/>
    <s v="CAD"/>
    <n v="1"/>
    <n v="267.23"/>
    <n v="267.23"/>
    <n v="267.23"/>
    <n v="256.17"/>
    <n v="11.06"/>
    <n v="267.23"/>
    <s v="Delivered"/>
    <m/>
    <n v="1"/>
    <n v="8"/>
    <n v="2025"/>
    <n v="12"/>
    <n v="2025"/>
    <n v="1"/>
    <x v="734"/>
    <d v="2025-08-21T12:17:47"/>
    <x v="869"/>
    <s v="Paid"/>
    <d v="2025-12-10T00:00:00"/>
    <s v="12160"/>
    <x v="16"/>
    <x v="0"/>
    <n v="256.17"/>
    <n v="185.53329540069151"/>
    <n v="0.72425848226057499"/>
    <n v="-256.17"/>
    <n v="0"/>
    <n v="0"/>
    <s v=""/>
    <x v="0"/>
    <x v="0"/>
    <s v="Pend"/>
    <s v="Pend"/>
  </r>
  <r>
    <n v="1"/>
    <s v="SO17723"/>
    <s v="7578"/>
    <s v="INV13350"/>
    <s v="Hyperflo"/>
    <d v="2025-08-21T13:33:49"/>
    <d v="2025-08-25T11:30:18"/>
    <d v="2025-09-01T00:00:00"/>
    <s v="Ian Trottier"/>
    <s v="CAD"/>
    <n v="1"/>
    <n v="112.94"/>
    <n v="0"/>
    <n v="81.653326252515114"/>
    <n v="107.56"/>
    <n v="5.38"/>
    <n v="112.94"/>
    <s v="Delivered"/>
    <m/>
    <n v="1"/>
    <n v="8"/>
    <n v="2025"/>
    <n v="10"/>
    <n v="2025"/>
    <n v="0.72297969056592104"/>
    <x v="735"/>
    <d v="2025-08-21T13:33:49"/>
    <x v="870"/>
    <s v="Paid"/>
    <d v="2025-10-14T00:00:00"/>
    <s v="7578"/>
    <x v="5"/>
    <x v="0"/>
    <n v="107.56"/>
    <n v="77.763695517270463"/>
    <n v="0.72297969056592104"/>
    <n v="-107.56"/>
    <n v="0"/>
    <n v="0"/>
    <s v=""/>
    <x v="0"/>
    <x v="0"/>
    <s v="Pend"/>
    <s v="Pend"/>
  </r>
  <r>
    <n v="1"/>
    <s v="SO17727"/>
    <s v="21768 R1"/>
    <s v="INV13635"/>
    <s v="DRN Industriel"/>
    <d v="2025-08-21T14:31:01"/>
    <d v="2025-08-22T10:47:52"/>
    <d v="2025-11-28T00:00:00"/>
    <s v="Alexis Gil Lamadrid"/>
    <s v="CAD"/>
    <n v="1"/>
    <n v="3972.86"/>
    <n v="0"/>
    <n v="2869.642191621866"/>
    <n v="3783.68"/>
    <n v="189.18"/>
    <n v="3972.86"/>
    <s v="Delivered"/>
    <m/>
    <n v="1"/>
    <n v="8"/>
    <n v="2025"/>
    <n v="12"/>
    <n v="2025"/>
    <n v="0.72231143096456107"/>
    <x v="736"/>
    <d v="2025-08-21T14:31:01"/>
    <x v="871"/>
    <s v="Paid"/>
    <d v="2025-12-16T00:00:00"/>
    <s v="21768 R1"/>
    <x v="52"/>
    <x v="0"/>
    <n v="3783.68"/>
    <n v="2732.9953151119903"/>
    <n v="0.72231143096456107"/>
    <n v="-3783.68"/>
    <n v="0"/>
    <n v="0"/>
    <s v=""/>
    <x v="0"/>
    <x v="0"/>
    <s v="Pend"/>
    <s v="Pend"/>
  </r>
  <r>
    <n v="1"/>
    <s v="SO17729"/>
    <s v="0207927 - JRF"/>
    <s v="INV13403"/>
    <s v="Electric Pump"/>
    <d v="2025-08-21T19:18:07"/>
    <d v="2025-09-04T18:55:53"/>
    <m/>
    <s v="Marlen Martinez"/>
    <s v="USD"/>
    <n v="0.72541822568831038"/>
    <n v="2275.9284803376081"/>
    <n v="0"/>
    <n v="1651"/>
    <n v="1651"/>
    <m/>
    <n v="1651"/>
    <s v="Delivered"/>
    <m/>
    <n v="1"/>
    <n v="8"/>
    <n v="2025"/>
    <n v="11"/>
    <n v="2025"/>
    <n v="0.72541822568831027"/>
    <x v="737"/>
    <d v="2025-08-21T19:18:07"/>
    <x v="872"/>
    <s v="Paid"/>
    <d v="2025-11-04T00:00:00"/>
    <s v="0207927 - JRF"/>
    <x v="29"/>
    <x v="1"/>
    <n v="2275.9284803376077"/>
    <n v="1651"/>
    <n v="0.72541822568831038"/>
    <n v="0"/>
    <n v="-1651"/>
    <s v=""/>
    <n v="0"/>
    <x v="0"/>
    <x v="0"/>
    <s v="Pend"/>
    <s v="Pend"/>
  </r>
  <r>
    <n v="1"/>
    <s v="SO17731"/>
    <s v="PO6529"/>
    <s v="INV13348"/>
    <s v="ProPart Pompes du Canada 9425-4380 Quebec Inc"/>
    <d v="2025-08-22T10:37:42"/>
    <d v="2025-08-25T15:46:36"/>
    <d v="2025-08-26T00:00:00"/>
    <s v="Wilka Nuñez"/>
    <s v="CAD"/>
    <n v="1"/>
    <n v="119.66"/>
    <n v="0"/>
    <n v="86.511749773118098"/>
    <n v="113.96"/>
    <n v="5.7"/>
    <n v="119.66"/>
    <s v="Delivered"/>
    <m/>
    <n v="1"/>
    <n v="8"/>
    <n v="2025"/>
    <n v="10"/>
    <n v="2025"/>
    <n v="0.72297969056592093"/>
    <x v="738"/>
    <d v="2025-08-22T10:37:42"/>
    <x v="873"/>
    <s v="Paid"/>
    <d v="2025-10-01T00:00:00"/>
    <s v="PO6529"/>
    <x v="34"/>
    <x v="0"/>
    <n v="113.96"/>
    <n v="82.390765536892346"/>
    <n v="0.72297969056592093"/>
    <n v="-113.96"/>
    <n v="0"/>
    <n v="0"/>
    <s v=""/>
    <x v="0"/>
    <x v="0"/>
    <s v="Pend"/>
    <s v="Pend"/>
  </r>
  <r>
    <n v="1"/>
    <s v="SO17737"/>
    <s v="P-82225"/>
    <s v="INV13339"/>
    <s v="Cartledge &amp; Associates Inc."/>
    <d v="2025-08-22T13:16:16"/>
    <d v="2025-08-22T17:16:47"/>
    <d v="2025-08-29T00:00:00"/>
    <s v="Ian Trottier"/>
    <s v="USD"/>
    <n v="0.71937460738912617"/>
    <n v="4528.6280145801593"/>
    <n v="0"/>
    <n v="3257.78"/>
    <n v="3257.78"/>
    <m/>
    <n v="3257.78"/>
    <s v="Delivered"/>
    <m/>
    <n v="1"/>
    <n v="8"/>
    <n v="2025"/>
    <n v="10"/>
    <n v="2025"/>
    <n v="0.71937460738912617"/>
    <x v="739"/>
    <d v="2025-08-22T13:16:16"/>
    <x v="874"/>
    <s v="Paid"/>
    <d v="2025-10-21T00:00:00"/>
    <s v="P-82225"/>
    <x v="25"/>
    <x v="1"/>
    <n v="4528.6280145801593"/>
    <n v="3257.78"/>
    <n v="0.71937460738912617"/>
    <n v="0"/>
    <n v="-3257.78"/>
    <s v=""/>
    <n v="0"/>
    <x v="0"/>
    <x v="0"/>
    <s v="Pend"/>
    <s v="Pend"/>
  </r>
  <r>
    <n v="1"/>
    <s v="SO17739"/>
    <s v="7603"/>
    <s v="INV13359"/>
    <s v="Hyperflo"/>
    <d v="2025-08-22T14:57:55"/>
    <d v="2025-08-28T11:28:38"/>
    <d v="2025-09-04T00:00:00"/>
    <s v="Alexis Gil Lamadrid"/>
    <s v="CAD"/>
    <n v="1"/>
    <n v="1924.84"/>
    <n v="0"/>
    <n v="1399.711079033081"/>
    <n v="1833.18"/>
    <n v="91.66"/>
    <n v="1924.84"/>
    <s v="Delivered"/>
    <m/>
    <n v="1"/>
    <n v="8"/>
    <n v="2025"/>
    <n v="10"/>
    <n v="2025"/>
    <n v="0.72718307964977924"/>
    <x v="740"/>
    <d v="2025-08-22T14:57:55"/>
    <x v="875"/>
    <s v="Paid"/>
    <d v="2025-10-14T00:00:00"/>
    <s v="7603"/>
    <x v="5"/>
    <x v="0"/>
    <n v="1833.18"/>
    <n v="1333.0574779523824"/>
    <n v="0.72718307964977924"/>
    <n v="-1833.18"/>
    <n v="0"/>
    <n v="0"/>
    <s v=""/>
    <x v="0"/>
    <x v="0"/>
    <s v="Pend"/>
    <s v="Pend"/>
  </r>
  <r>
    <n v="1"/>
    <s v="SO17740"/>
    <s v="CO81-00108962"/>
    <s v="INV13753"/>
    <s v="Motion Industries Inc. (U.S.) - Pueblo"/>
    <d v="2025-08-22T16:14:07"/>
    <d v="2025-08-26T13:53:11"/>
    <d v="2025-12-16T00:00:00"/>
    <s v="Ian Trottier"/>
    <s v="USD"/>
    <n v="0.72297969056592093"/>
    <n v="6210.3404266936441"/>
    <n v="0"/>
    <n v="4489.95"/>
    <n v="4489.95"/>
    <m/>
    <n v="4489.95"/>
    <s v="Delivered"/>
    <m/>
    <n v="1"/>
    <n v="8"/>
    <n v="2025"/>
    <s v=""/>
    <s v=""/>
    <n v="0.72297969056592093"/>
    <x v="741"/>
    <d v="2025-08-22T16:14:07"/>
    <x v="876"/>
    <s v="Approved"/>
    <s v="Pending"/>
    <s v="CO81-00108962"/>
    <x v="138"/>
    <x v="1"/>
    <n v="6210.3404266936441"/>
    <n v="4489.95"/>
    <n v="0.72297969056592093"/>
    <n v="0"/>
    <n v="-4489.95"/>
    <s v=""/>
    <n v="0"/>
    <x v="1"/>
    <x v="2"/>
    <s v="Pend"/>
    <s v="Pend"/>
  </r>
  <r>
    <n v="2"/>
    <s v="SO17741"/>
    <s v="4512247470"/>
    <s v="INV13452"/>
    <s v="PT Vale Indonesia Tbk."/>
    <d v="2025-08-22T16:31:11"/>
    <d v="2025-08-22T16:35:45"/>
    <d v="2025-11-14T00:00:00"/>
    <s v="Ian Trottier"/>
    <s v="USD"/>
    <n v="0.71937460738912617"/>
    <n v="19807.607682616381"/>
    <n v="0"/>
    <n v="14249.09"/>
    <n v="14249.09"/>
    <m/>
    <n v="14249.09"/>
    <s v="Delivered"/>
    <m/>
    <n v="2"/>
    <n v="8"/>
    <n v="2025"/>
    <s v=""/>
    <s v=""/>
    <n v="0.71937460738912629"/>
    <x v="742"/>
    <d v="2025-08-22T16:31:11"/>
    <x v="877"/>
    <s v="Approved"/>
    <s v="Pending"/>
    <s v="4512247470"/>
    <x v="42"/>
    <x v="1"/>
    <n v="19807.607682616384"/>
    <n v="14249.09"/>
    <n v="0.71937460738912617"/>
    <n v="0"/>
    <n v="-2465.04"/>
    <s v=""/>
    <n v="11784.05"/>
    <x v="1"/>
    <x v="1"/>
    <n v="0"/>
    <s v="Pend"/>
  </r>
  <r>
    <m/>
    <m/>
    <m/>
    <s v="INV13690"/>
    <m/>
    <m/>
    <m/>
    <m/>
    <m/>
    <m/>
    <m/>
    <m/>
    <m/>
    <m/>
    <m/>
    <m/>
    <m/>
    <m/>
    <m/>
    <n v="2"/>
    <n v="8"/>
    <n v="2025"/>
    <s v=""/>
    <s v=""/>
    <n v="0.71937460738912629"/>
    <x v="742"/>
    <d v="2025-08-22T16:31:11"/>
    <x v="878"/>
    <s v="Approved"/>
    <s v="Pending"/>
    <s v="4512247470"/>
    <x v="42"/>
    <x v="1"/>
    <n v="0"/>
    <n v="0"/>
    <n v="0"/>
    <n v="0"/>
    <n v="-11784.05"/>
    <s v=""/>
    <n v="-11784.05"/>
    <x v="1"/>
    <x v="1"/>
    <n v="0"/>
    <s v="Pend"/>
  </r>
  <r>
    <n v="1"/>
    <s v="SO17742"/>
    <s v="BC65-00081630"/>
    <s v="INV13364"/>
    <s v="Motion Industries Inc. (Canada) - Prince George"/>
    <d v="2025-08-22T19:05:19"/>
    <d v="2025-08-28T17:13:54"/>
    <d v="2025-09-04T00:00:00"/>
    <s v="Alexis Gil Lamadrid"/>
    <s v="CAD"/>
    <n v="1"/>
    <n v="3619.25"/>
    <n v="0"/>
    <n v="2631.857361022463"/>
    <n v="3446.9"/>
    <n v="172.35"/>
    <n v="3619.25"/>
    <s v="Delivered"/>
    <m/>
    <n v="1"/>
    <n v="8"/>
    <n v="2025"/>
    <n v="10"/>
    <n v="2025"/>
    <n v="0.72718307964977913"/>
    <x v="743"/>
    <d v="2025-08-22T19:05:19"/>
    <x v="879"/>
    <s v="Paid"/>
    <d v="2025-10-03T00:00:00"/>
    <s v="BC65-00081630"/>
    <x v="41"/>
    <x v="0"/>
    <n v="3446.9"/>
    <n v="2506.5273572448236"/>
    <n v="0.72718307964977913"/>
    <n v="-3446.9"/>
    <n v="0"/>
    <n v="0"/>
    <s v=""/>
    <x v="0"/>
    <x v="0"/>
    <s v="Pend"/>
    <s v="Pend"/>
  </r>
  <r>
    <n v="0"/>
    <s v="SO17744"/>
    <s v="PO# 1059 Ship to PO# 2255391"/>
    <m/>
    <s v="Mill-Right Mine Services Inc."/>
    <d v="2025-08-25T07:53:33"/>
    <d v="2025-09-16T15:08:37"/>
    <d v="2025-12-08T00:00:00"/>
    <s v="Amanda Qiao"/>
    <s v="USD"/>
    <n v="0.72471536141095205"/>
    <n v="86351.143265630075"/>
    <n v="0"/>
    <n v="62580"/>
    <n v="62580"/>
    <m/>
    <n v="62580"/>
    <s v="Processing"/>
    <m/>
    <n v="0"/>
    <n v="8"/>
    <n v="2025"/>
    <s v=""/>
    <s v=""/>
    <n v="0.72471536141095205"/>
    <x v="744"/>
    <d v="2025-08-25T07:53:33"/>
    <x v="54"/>
    <s v="Not invoiced"/>
    <s v="Pending"/>
    <s v="PO# 1059 Ship to PO# 2255391"/>
    <x v="30"/>
    <x v="1"/>
    <n v="86351.143265630075"/>
    <n v="62580"/>
    <n v="0.72471536141095205"/>
    <n v="0"/>
    <n v="0"/>
    <s v=""/>
    <n v="62580"/>
    <x v="1"/>
    <x v="2"/>
    <s v="Pend"/>
    <s v="Pend"/>
  </r>
  <r>
    <n v="1"/>
    <s v="SO17747"/>
    <s v="4500610533"/>
    <s v="INV13354"/>
    <s v="Resolute Forest Products - Saint-Felicien"/>
    <d v="2025-08-25T15:26:25"/>
    <d v="2025-08-25T15:25:20"/>
    <d v="2025-09-01T00:00:00"/>
    <s v="Alexis Gil Lamadrid"/>
    <s v="CAD"/>
    <n v="1"/>
    <n v="8104.05"/>
    <n v="0"/>
    <n v="5859.0635613307513"/>
    <n v="7718.14"/>
    <n v="385.91"/>
    <n v="8104.05"/>
    <s v="Delivered"/>
    <m/>
    <n v="1"/>
    <n v="8"/>
    <n v="2025"/>
    <n v="10"/>
    <n v="2025"/>
    <n v="0.72297969056592093"/>
    <x v="745"/>
    <d v="2025-08-25T15:26:25"/>
    <x v="880"/>
    <s v="Paid"/>
    <d v="2025-10-28T00:00:00"/>
    <s v="4500610533"/>
    <x v="46"/>
    <x v="0"/>
    <n v="7718.14"/>
    <n v="5580.0584689444568"/>
    <n v="0.72297969056592082"/>
    <n v="-7718.14"/>
    <n v="0"/>
    <n v="0"/>
    <s v=""/>
    <x v="0"/>
    <x v="0"/>
    <s v="Pend"/>
    <s v="Pend"/>
  </r>
  <r>
    <n v="1"/>
    <s v="SO17749"/>
    <s v="4500617962"/>
    <s v="INV13349"/>
    <s v="Resolute Forest Products - Saint-Felicien"/>
    <d v="2025-08-25T16:40:12"/>
    <d v="2025-08-25T16:43:04"/>
    <d v="2025-09-01T00:00:00"/>
    <s v="Alexis Gil Lamadrid"/>
    <s v="CAD"/>
    <n v="1"/>
    <n v="662.17"/>
    <n v="0"/>
    <n v="478.73546170203582"/>
    <n v="630.64"/>
    <n v="31.53"/>
    <n v="662.17"/>
    <s v="Delivered"/>
    <m/>
    <n v="1"/>
    <n v="8"/>
    <n v="2025"/>
    <s v=""/>
    <s v=""/>
    <n v="0.72297969056592093"/>
    <x v="746"/>
    <d v="2025-08-25T16:40:12"/>
    <x v="881"/>
    <s v="Approved"/>
    <s v="Pending"/>
    <s v="4500617962"/>
    <x v="46"/>
    <x v="0"/>
    <n v="630.64"/>
    <n v="455.93991205849238"/>
    <n v="0.72297969056592093"/>
    <n v="0"/>
    <n v="0"/>
    <n v="630.64"/>
    <s v=""/>
    <x v="1"/>
    <x v="2"/>
    <s v="Pend"/>
    <s v="Pend"/>
  </r>
  <r>
    <n v="1"/>
    <s v="SO17753"/>
    <s v="A20250826"/>
    <s v="INV13367"/>
    <s v="Alpha Industrial &amp; Mining Supplies Limited"/>
    <d v="2025-08-26T13:15:58"/>
    <d v="2025-08-26T17:05:29"/>
    <d v="2025-09-16T00:00:00"/>
    <s v="Alexis Gil Lamadrid"/>
    <s v="CAD"/>
    <n v="1"/>
    <n v="338.15"/>
    <n v="0"/>
    <n v="244.57908506549111"/>
    <n v="299.25"/>
    <n v="38.9"/>
    <n v="338.15"/>
    <s v="Delivered"/>
    <m/>
    <n v="1"/>
    <n v="8"/>
    <n v="2025"/>
    <n v="9"/>
    <n v="2025"/>
    <n v="0.72328577573707264"/>
    <x v="747"/>
    <d v="2025-08-26T13:15:58"/>
    <x v="882"/>
    <s v="Paid"/>
    <d v="2025-09-05T00:00:00"/>
    <s v="A20250826"/>
    <x v="118"/>
    <x v="0"/>
    <n v="299.25"/>
    <n v="216.443268389319"/>
    <n v="0.72328577573707264"/>
    <n v="-299.25"/>
    <n v="0"/>
    <n v="0"/>
    <s v=""/>
    <x v="0"/>
    <x v="0"/>
    <s v="Pend"/>
    <s v="Pend"/>
  </r>
  <r>
    <n v="2"/>
    <s v="SO17756"/>
    <s v="PO-042213"/>
    <s v="INV13353"/>
    <s v="Southeast Pump Specialist, Inc."/>
    <d v="2025-08-26T18:02:19"/>
    <d v="2025-08-26T18:02:47"/>
    <d v="2025-09-02T00:00:00"/>
    <s v="Alexis Gil Lamadrid"/>
    <s v="USD"/>
    <n v="0.72297969056592093"/>
    <n v="4155.7875542093761"/>
    <n v="0"/>
    <n v="3004.55"/>
    <n v="3004.55"/>
    <m/>
    <n v="3004.55"/>
    <s v="Delivered"/>
    <m/>
    <n v="2"/>
    <n v="8"/>
    <n v="2025"/>
    <n v="11"/>
    <n v="2025"/>
    <n v="0.72297969056592093"/>
    <x v="748"/>
    <d v="2025-08-26T18:02:19"/>
    <x v="883"/>
    <s v="Paid"/>
    <d v="2025-11-04T00:00:00"/>
    <s v="PO-042213"/>
    <x v="26"/>
    <x v="1"/>
    <n v="4155.7875542093761"/>
    <n v="3004.55"/>
    <n v="0.72297969056592093"/>
    <n v="0"/>
    <n v="-3004.55"/>
    <s v=""/>
    <n v="0"/>
    <x v="0"/>
    <x v="1"/>
    <s v="Yes"/>
    <s v="Pend"/>
  </r>
  <r>
    <m/>
    <m/>
    <m/>
    <s v="(* 79207)"/>
    <m/>
    <m/>
    <m/>
    <m/>
    <m/>
    <m/>
    <m/>
    <m/>
    <m/>
    <m/>
    <m/>
    <m/>
    <m/>
    <m/>
    <m/>
    <n v="2"/>
    <n v="8"/>
    <n v="2025"/>
    <s v=""/>
    <s v=""/>
    <n v="0.72297969056592093"/>
    <x v="748"/>
    <d v="2025-08-26T18:02:19"/>
    <x v="884"/>
    <s v="Not invoiced"/>
    <s v="Pending"/>
    <s v="PO-042213"/>
    <x v="26"/>
    <x v="1"/>
    <n v="0"/>
    <n v="0"/>
    <n v="0"/>
    <n v="0"/>
    <n v="0"/>
    <s v=""/>
    <n v="0"/>
    <x v="1"/>
    <x v="1"/>
    <s v="Yes"/>
    <s v="Pend"/>
  </r>
  <r>
    <n v="1"/>
    <s v="SO17758"/>
    <s v="PO-40-1017598"/>
    <s v="INV13391"/>
    <s v="Canadian Bearings Ltd."/>
    <d v="2025-08-27T09:39:06"/>
    <d v="2025-09-08T15:52:22"/>
    <d v="2025-09-09T00:00:00"/>
    <s v="Wilka Nuñez"/>
    <s v="CAD"/>
    <n v="1"/>
    <n v="283.87"/>
    <n v="0"/>
    <n v="205.38609347975159"/>
    <n v="270.35000000000002"/>
    <n v="13.52"/>
    <n v="283.87"/>
    <s v="Delivered"/>
    <m/>
    <n v="1"/>
    <n v="8"/>
    <n v="2025"/>
    <n v="10"/>
    <n v="2025"/>
    <n v="0.72352165949114589"/>
    <x v="749"/>
    <d v="2025-08-27T09:39:06"/>
    <x v="885"/>
    <s v="Paid"/>
    <d v="2025-10-10T00:00:00"/>
    <s v="PO-40-1017598"/>
    <x v="38"/>
    <x v="0"/>
    <n v="270.35000000000002"/>
    <n v="195.6040806434313"/>
    <n v="0.72352165949114589"/>
    <n v="-270.35000000000002"/>
    <n v="0"/>
    <n v="0"/>
    <s v=""/>
    <x v="0"/>
    <x v="0"/>
    <s v="Pend"/>
    <s v="Pend"/>
  </r>
  <r>
    <n v="2"/>
    <s v="SO17759"/>
    <s v="BC65-00081681"/>
    <s v="INV13584"/>
    <s v="Motion Industries Inc. (Canada) - Prince George"/>
    <d v="2025-08-27T12:47:13"/>
    <d v="2025-09-04T15:29:23"/>
    <d v="2026-01-26T00:00:00"/>
    <s v="Alexis Gil Lamadrid"/>
    <s v="CAD"/>
    <n v="1"/>
    <n v="8475.15"/>
    <n v="0"/>
    <n v="6128.3686907329557"/>
    <n v="8071.57"/>
    <n v="403.58"/>
    <n v="8475.15"/>
    <s v="Delivered"/>
    <m/>
    <n v="2"/>
    <n v="8"/>
    <n v="2025"/>
    <n v="12"/>
    <n v="2025"/>
    <n v="0.72309855173453641"/>
    <x v="750"/>
    <d v="2025-08-27T12:47:13"/>
    <x v="886"/>
    <s v="Paid"/>
    <d v="2025-12-01T00:00:00"/>
    <s v="BC65-00081681"/>
    <x v="41"/>
    <x v="0"/>
    <n v="8071.57"/>
    <n v="5836.5405772239319"/>
    <n v="0.72309855173453641"/>
    <n v="-214.2"/>
    <n v="0"/>
    <n v="7857.37"/>
    <s v=""/>
    <x v="0"/>
    <x v="1"/>
    <n v="0"/>
    <s v="Pend"/>
  </r>
  <r>
    <m/>
    <m/>
    <m/>
    <s v="INV13636"/>
    <m/>
    <m/>
    <m/>
    <m/>
    <m/>
    <m/>
    <m/>
    <m/>
    <m/>
    <m/>
    <m/>
    <m/>
    <m/>
    <m/>
    <m/>
    <n v="2"/>
    <n v="8"/>
    <n v="2025"/>
    <n v="12"/>
    <n v="2025"/>
    <n v="0.72309855173453641"/>
    <x v="750"/>
    <d v="2025-08-27T12:47:13"/>
    <x v="887"/>
    <s v="Paid"/>
    <d v="2025-12-11T00:00:00"/>
    <s v="BC65-00081681"/>
    <x v="41"/>
    <x v="0"/>
    <n v="0"/>
    <n v="0"/>
    <n v="0"/>
    <n v="-7857.37"/>
    <n v="0"/>
    <n v="-7857.37"/>
    <s v=""/>
    <x v="0"/>
    <x v="1"/>
    <n v="0"/>
    <s v="Pend"/>
  </r>
  <r>
    <n v="2"/>
    <s v="SO17760"/>
    <m/>
    <s v="INV13686"/>
    <s v="Dynapro Pumps México S de RL de CV"/>
    <d v="2025-08-27T12:53:29"/>
    <d v="2025-08-27T12:44:55"/>
    <d v="2025-10-13T00:00:00"/>
    <s v="Carlos Leon"/>
    <s v="USD"/>
    <n v="0.72297969056592093"/>
    <n v="2697.171200581879"/>
    <n v="0"/>
    <n v="1950"/>
    <n v="1950"/>
    <m/>
    <n v="1950"/>
    <s v="Delivered"/>
    <m/>
    <n v="2"/>
    <n v="8"/>
    <n v="2025"/>
    <s v=""/>
    <s v=""/>
    <n v="0.72309855173453641"/>
    <x v="751"/>
    <d v="2025-08-27T12:53:29"/>
    <x v="888"/>
    <s v="Approved"/>
    <s v="Pending"/>
    <s v="BC65-00081681"/>
    <x v="54"/>
    <x v="1"/>
    <n v="2697.1712005818786"/>
    <n v="1950"/>
    <n v="0.72297969056592093"/>
    <n v="0"/>
    <n v="-420"/>
    <s v=""/>
    <n v="1530"/>
    <x v="1"/>
    <x v="1"/>
    <n v="0"/>
    <s v="Pend"/>
  </r>
  <r>
    <m/>
    <m/>
    <m/>
    <s v="INV13673"/>
    <m/>
    <m/>
    <m/>
    <m/>
    <m/>
    <m/>
    <m/>
    <m/>
    <m/>
    <m/>
    <m/>
    <m/>
    <m/>
    <m/>
    <m/>
    <n v="2"/>
    <n v="8"/>
    <n v="2025"/>
    <s v=""/>
    <s v=""/>
    <n v="0.72309855173453641"/>
    <x v="751"/>
    <d v="2025-08-27T12:53:29"/>
    <x v="889"/>
    <s v="Approved"/>
    <s v="Pending"/>
    <s v="BC65-00081681"/>
    <x v="54"/>
    <x v="1"/>
    <n v="0"/>
    <n v="0"/>
    <n v="0"/>
    <n v="0"/>
    <n v="0"/>
    <s v=""/>
    <n v="0"/>
    <x v="1"/>
    <x v="1"/>
    <n v="0"/>
    <s v="Pend"/>
  </r>
  <r>
    <n v="1"/>
    <s v="SO17761"/>
    <s v="4501270341"/>
    <s v="INV13378"/>
    <s v="Barrick Gold - Pueblo Viejo Dominicana Corporation"/>
    <d v="2025-08-27T13:56:22"/>
    <d v="2025-08-27T14:44:07"/>
    <d v="2025-09-01T00:00:00"/>
    <s v="Wilka Nuñez"/>
    <s v="USD"/>
    <n v="0.72297969056592093"/>
    <n v="9778.1999857648989"/>
    <n v="0"/>
    <n v="7069.44"/>
    <n v="7069.44"/>
    <m/>
    <n v="7069.44"/>
    <s v="Delivered"/>
    <m/>
    <n v="1"/>
    <n v="8"/>
    <n v="2025"/>
    <n v="10"/>
    <n v="2025"/>
    <n v="0.72297969056592104"/>
    <x v="752"/>
    <d v="2025-08-27T13:56:22"/>
    <x v="890"/>
    <s v="Paid"/>
    <d v="2025-10-23T00:00:00"/>
    <s v="4501270341"/>
    <x v="15"/>
    <x v="1"/>
    <n v="9778.1999857648989"/>
    <n v="7069.44"/>
    <n v="0.72297969056592104"/>
    <n v="0"/>
    <n v="-7069.44"/>
    <s v=""/>
    <n v="0"/>
    <x v="0"/>
    <x v="0"/>
    <s v="Pend"/>
    <s v="Pend"/>
  </r>
  <r>
    <n v="1"/>
    <s v="SO17763"/>
    <s v="ON08-00285245"/>
    <s v="INV13417"/>
    <s v="Motion Industries Inc. (Canada) - North Bay, Motion Industries Canada"/>
    <d v="2025-08-27T14:49:08"/>
    <d v="2025-09-02T14:47:20"/>
    <d v="2025-10-31T00:00:00"/>
    <s v="Alexis Gil Lamadrid"/>
    <s v="CAD"/>
    <n v="1"/>
    <n v="2911.69"/>
    <n v="0"/>
    <n v="2112.1929935543972"/>
    <n v="2576.7199999999998"/>
    <n v="334.97"/>
    <n v="2911.69"/>
    <s v="Delivered"/>
    <m/>
    <n v="1"/>
    <n v="8"/>
    <n v="2025"/>
    <n v="10"/>
    <n v="2025"/>
    <n v="0.7254182256883106"/>
    <x v="753"/>
    <d v="2025-08-27T14:49:08"/>
    <x v="891"/>
    <s v="Paid"/>
    <d v="2025-10-17T00:00:00"/>
    <s v="ON08-00285245"/>
    <x v="139"/>
    <x v="0"/>
    <n v="2576.7199999999998"/>
    <n v="1869.1996504955835"/>
    <n v="0.7254182256883106"/>
    <n v="-2576.7199999999998"/>
    <n v="0"/>
    <n v="0"/>
    <s v=""/>
    <x v="0"/>
    <x v="0"/>
    <s v="Pend"/>
    <s v="Pend"/>
  </r>
  <r>
    <n v="1"/>
    <s v="SO17765"/>
    <s v="3970"/>
    <s v="INV13384"/>
    <s v="Middle Georgia Fluid Sealing LLC"/>
    <d v="2025-08-27T16:51:21"/>
    <d v="2025-08-28T09:46:10"/>
    <d v="2025-08-29T00:00:00"/>
    <s v="Ian Trottier"/>
    <s v="USD"/>
    <n v="0.72328577573707276"/>
    <n v="18960.735106430871"/>
    <n v="0"/>
    <n v="13714.03"/>
    <n v="13714.03"/>
    <m/>
    <n v="13714.03"/>
    <s v="Delivered"/>
    <m/>
    <n v="1"/>
    <n v="8"/>
    <n v="2025"/>
    <n v="10"/>
    <n v="2025"/>
    <n v="0.72328577573707276"/>
    <x v="754"/>
    <d v="2025-08-27T16:51:21"/>
    <x v="892"/>
    <s v="Paid"/>
    <d v="2025-10-10T00:00:00"/>
    <s v="3970"/>
    <x v="119"/>
    <x v="1"/>
    <n v="18960.735106430871"/>
    <n v="13714.03"/>
    <n v="0.72328577573707276"/>
    <n v="0"/>
    <n v="-13714.03"/>
    <s v=""/>
    <n v="0"/>
    <x v="0"/>
    <x v="0"/>
    <s v="Pend"/>
    <s v="Pend"/>
  </r>
  <r>
    <n v="2"/>
    <s v="SO17768"/>
    <s v="6500021909"/>
    <s v="INV13383"/>
    <s v="Wesdome Gold Mines Ltd - Eagle River Mine"/>
    <d v="2025-08-28T12:57:35"/>
    <d v="2025-09-02T17:17:40"/>
    <d v="2025-09-10T00:00:00"/>
    <s v="Ian Trottier"/>
    <s v="CAD"/>
    <n v="1"/>
    <n v="27525.7"/>
    <n v="0"/>
    <n v="19967.644454828729"/>
    <n v="27525.7"/>
    <m/>
    <n v="27525.7"/>
    <s v="Delivered"/>
    <m/>
    <n v="2"/>
    <n v="8"/>
    <n v="2025"/>
    <n v="10"/>
    <n v="2025"/>
    <n v="0.72541822568831049"/>
    <x v="755"/>
    <d v="2025-08-28T12:57:35"/>
    <x v="893"/>
    <s v="Paid"/>
    <d v="2025-10-10T00:00:00"/>
    <s v="6500021909"/>
    <x v="0"/>
    <x v="0"/>
    <n v="27525.7"/>
    <n v="19967.644454828729"/>
    <n v="0.72541822568831049"/>
    <n v="-27525.7"/>
    <n v="0"/>
    <n v="0"/>
    <s v=""/>
    <x v="0"/>
    <x v="1"/>
    <s v="Yes"/>
    <s v="Pend"/>
  </r>
  <r>
    <m/>
    <m/>
    <m/>
    <s v="INV13426"/>
    <m/>
    <m/>
    <m/>
    <m/>
    <m/>
    <m/>
    <m/>
    <m/>
    <m/>
    <m/>
    <m/>
    <m/>
    <m/>
    <m/>
    <m/>
    <n v="2"/>
    <n v="8"/>
    <n v="2025"/>
    <n v="1"/>
    <n v="1900"/>
    <n v="0.72541822568831049"/>
    <x v="755"/>
    <d v="2025-08-28T12:57:35"/>
    <x v="894"/>
    <s v="Paid"/>
    <d v="1899-12-30T00:00:00"/>
    <s v="6500021909"/>
    <x v="0"/>
    <x v="0"/>
    <n v="0"/>
    <n v="0"/>
    <n v="0"/>
    <n v="0"/>
    <n v="0"/>
    <n v="0"/>
    <s v=""/>
    <x v="0"/>
    <x v="1"/>
    <s v="Yes"/>
    <s v="Pend"/>
  </r>
  <r>
    <n v="2"/>
    <s v="SO17769"/>
    <s v="4501270800"/>
    <s v="INV13643"/>
    <s v="Barrick Gold - Pueblo Viejo Dominicana Corporation"/>
    <d v="2025-08-28T13:32:13"/>
    <d v="2025-08-28T13:38:12"/>
    <d v="2025-09-02T00:00:00"/>
    <s v="Wilka Nuñez"/>
    <s v="USD"/>
    <n v="0.72328577573707276"/>
    <n v="31086.578437253149"/>
    <n v="0"/>
    <n v="22484.48"/>
    <n v="22484.48"/>
    <m/>
    <n v="22484.48"/>
    <s v="Delivered"/>
    <m/>
    <n v="2"/>
    <n v="8"/>
    <n v="2025"/>
    <n v="1"/>
    <n v="2026"/>
    <n v="0.72328577573707264"/>
    <x v="756"/>
    <d v="2025-08-28T13:32:13"/>
    <x v="895"/>
    <s v="Paid"/>
    <d v="2026-01-02T00:00:00"/>
    <s v="4501270800"/>
    <x v="15"/>
    <x v="1"/>
    <n v="31086.578437253145"/>
    <n v="22484.48"/>
    <n v="0.72328577573707276"/>
    <n v="0"/>
    <n v="-1405.28"/>
    <s v=""/>
    <n v="21079.200000000001"/>
    <x v="0"/>
    <x v="1"/>
    <n v="0"/>
    <s v="Pend"/>
  </r>
  <r>
    <m/>
    <m/>
    <m/>
    <s v="INV13377"/>
    <m/>
    <m/>
    <m/>
    <m/>
    <m/>
    <m/>
    <m/>
    <m/>
    <m/>
    <m/>
    <m/>
    <m/>
    <m/>
    <m/>
    <m/>
    <n v="2"/>
    <n v="8"/>
    <n v="2025"/>
    <n v="10"/>
    <n v="2025"/>
    <n v="0.72328577573707264"/>
    <x v="756"/>
    <d v="2025-08-28T13:32:13"/>
    <x v="896"/>
    <s v="Paid"/>
    <d v="2025-10-23T00:00:00"/>
    <s v="4501270800"/>
    <x v="15"/>
    <x v="1"/>
    <n v="0"/>
    <n v="0"/>
    <n v="0"/>
    <n v="0"/>
    <n v="-21079.200000000001"/>
    <s v=""/>
    <n v="-21079.200000000001"/>
    <x v="0"/>
    <x v="1"/>
    <n v="0"/>
    <s v="Pend"/>
  </r>
  <r>
    <n v="1"/>
    <s v="SO17774"/>
    <s v="FL06-00052065"/>
    <s v="INV13362"/>
    <s v="Motion Industries Inc. (U.S.) - Clewiston"/>
    <d v="2025-08-29T09:23:56"/>
    <d v="2025-08-29T14:55:53"/>
    <d v="2025-09-01T00:00:00"/>
    <s v="Wilka Nuñez"/>
    <s v="USD"/>
    <n v="0.72327371605913215"/>
    <n v="371.64353415826872"/>
    <n v="0"/>
    <n v="268.8"/>
    <n v="268.8"/>
    <m/>
    <n v="268.8"/>
    <s v="Delivered"/>
    <m/>
    <n v="1"/>
    <n v="8"/>
    <n v="2025"/>
    <n v="11"/>
    <n v="2025"/>
    <n v="0.72327371605913204"/>
    <x v="757"/>
    <d v="2025-08-29T09:23:56"/>
    <x v="897"/>
    <s v="Paid"/>
    <d v="2025-11-04T00:00:00"/>
    <s v="FL06-00052065"/>
    <x v="131"/>
    <x v="1"/>
    <n v="371.64353415826866"/>
    <n v="268.8"/>
    <n v="0.72327371605913215"/>
    <n v="0"/>
    <n v="-268.8"/>
    <s v=""/>
    <n v="0"/>
    <x v="0"/>
    <x v="0"/>
    <s v="Pend"/>
    <s v="Pend"/>
  </r>
  <r>
    <n v="1"/>
    <s v="SO17775"/>
    <s v="4512273854"/>
    <s v="INV13791"/>
    <s v="PT Vale Indonesia Tbk."/>
    <d v="2025-08-29T09:44:29"/>
    <d v="2025-08-29T11:50:20"/>
    <d v="2025-10-31T00:00:00"/>
    <s v="Wilka Nuñez"/>
    <s v="USD"/>
    <n v="0.72327371605913215"/>
    <n v="1484.0578002038781"/>
    <n v="0"/>
    <n v="1073.3800000000001"/>
    <n v="1073.3800000000001"/>
    <m/>
    <n v="1073.3800000000001"/>
    <s v="Delivered"/>
    <m/>
    <n v="1"/>
    <n v="8"/>
    <n v="2025"/>
    <s v=""/>
    <s v=""/>
    <n v="0.72327371605913227"/>
    <x v="758"/>
    <d v="2025-08-29T09:44:29"/>
    <x v="898"/>
    <s v="Approved"/>
    <s v="Pending"/>
    <s v="4512273854"/>
    <x v="42"/>
    <x v="1"/>
    <n v="1484.0578002038783"/>
    <n v="1073.3800000000001"/>
    <n v="0.72327371605913215"/>
    <n v="0"/>
    <n v="-1073.3800000000001"/>
    <s v=""/>
    <n v="0"/>
    <x v="1"/>
    <x v="2"/>
    <s v="Pend"/>
    <s v="Pend"/>
  </r>
  <r>
    <n v="1"/>
    <s v="SO17776"/>
    <s v="P366236"/>
    <s v="INV13368"/>
    <s v="Covia Corp - Blue Mountain"/>
    <d v="2025-08-29T12:29:13"/>
    <d v="2025-09-02T17:34:00"/>
    <d v="2025-09-09T00:00:00"/>
    <s v="Marlen Martinez"/>
    <s v="USD"/>
    <n v="0.72576773408832196"/>
    <n v="8216.692090191882"/>
    <n v="0"/>
    <n v="5963.41"/>
    <n v="5963.41"/>
    <m/>
    <n v="5963.41"/>
    <s v="Delivered"/>
    <m/>
    <n v="1"/>
    <n v="8"/>
    <n v="2025"/>
    <n v="12"/>
    <n v="2025"/>
    <n v="0.72576773408832196"/>
    <x v="759"/>
    <d v="2025-08-29T12:29:13"/>
    <x v="899"/>
    <s v="Paid"/>
    <d v="2025-12-08T00:00:00"/>
    <s v="P366236"/>
    <x v="74"/>
    <x v="1"/>
    <n v="8216.692090191882"/>
    <n v="5963.41"/>
    <n v="0.72576773408832196"/>
    <n v="0"/>
    <n v="-5963.41"/>
    <s v=""/>
    <n v="0"/>
    <x v="0"/>
    <x v="0"/>
    <s v="Pend"/>
    <s v="Pend"/>
  </r>
  <r>
    <n v="1"/>
    <s v="SO17777"/>
    <s v="054868-00"/>
    <s v="INV13409"/>
    <s v="F H Pumps, Inc., F H Pumps, Inc"/>
    <d v="2025-08-29T13:51:23"/>
    <d v="2025-08-29T13:52:56"/>
    <d v="2025-09-26T00:00:00"/>
    <s v="Alexis Gil Lamadrid"/>
    <s v="USD"/>
    <n v="0.72327371605913215"/>
    <n v="2861.7796472376949"/>
    <n v="0"/>
    <n v="2069.85"/>
    <n v="2069.85"/>
    <m/>
    <n v="2069.85"/>
    <s v="Delivered"/>
    <m/>
    <n v="1"/>
    <n v="8"/>
    <n v="2025"/>
    <n v="9"/>
    <n v="2025"/>
    <n v="0.72327371605913215"/>
    <x v="760"/>
    <d v="2025-08-29T13:51:23"/>
    <x v="900"/>
    <s v="Paid"/>
    <d v="2025-09-19T00:00:00"/>
    <s v="054868-00"/>
    <x v="110"/>
    <x v="1"/>
    <n v="2861.7796472376949"/>
    <n v="2069.85"/>
    <n v="0.72327371605913215"/>
    <n v="0"/>
    <n v="-2069.85"/>
    <s v=""/>
    <n v="0"/>
    <x v="0"/>
    <x v="0"/>
    <s v="Pend"/>
    <s v="Pend"/>
  </r>
  <r>
    <n v="2"/>
    <s v="SO17778"/>
    <s v="10588"/>
    <s v="INV13513"/>
    <s v="Canadian Industrial Pumps Ltd"/>
    <d v="2025-08-29T14:43:03"/>
    <d v="2025-09-15T18:37:18"/>
    <d v="2025-10-13T00:00:00"/>
    <s v="Alexis Gil Lamadrid"/>
    <s v="CAD"/>
    <n v="1"/>
    <n v="7445.23"/>
    <n v="0"/>
    <n v="5395.6725502376621"/>
    <n v="7090.68"/>
    <n v="354.55"/>
    <n v="7445.23"/>
    <s v="Delivered"/>
    <m/>
    <n v="2"/>
    <n v="8"/>
    <n v="2025"/>
    <n v="11"/>
    <n v="2025"/>
    <n v="0.72471536141095205"/>
    <x v="761"/>
    <d v="2025-08-29T14:43:03"/>
    <x v="901"/>
    <s v="Paid"/>
    <d v="2025-11-21T00:00:00"/>
    <s v="10588"/>
    <x v="48"/>
    <x v="0"/>
    <n v="7090.68"/>
    <n v="5138.7247188494093"/>
    <n v="0.72471536141095205"/>
    <n v="-5689.33"/>
    <n v="0"/>
    <n v="1401.3500000000004"/>
    <s v=""/>
    <x v="0"/>
    <x v="1"/>
    <n v="0"/>
    <s v="Pend"/>
  </r>
  <r>
    <m/>
    <m/>
    <m/>
    <s v="INV13541"/>
    <m/>
    <m/>
    <m/>
    <m/>
    <m/>
    <m/>
    <m/>
    <m/>
    <m/>
    <m/>
    <m/>
    <m/>
    <m/>
    <m/>
    <m/>
    <n v="2"/>
    <n v="8"/>
    <n v="2025"/>
    <n v="12"/>
    <n v="2025"/>
    <n v="0.72471536141095205"/>
    <x v="761"/>
    <d v="2025-08-29T14:43:03"/>
    <x v="902"/>
    <s v="Paid"/>
    <d v="2025-12-12T00:00:00"/>
    <s v="10588"/>
    <x v="48"/>
    <x v="0"/>
    <n v="0"/>
    <n v="0"/>
    <n v="0"/>
    <n v="-1401.35"/>
    <n v="0"/>
    <n v="-1401.35"/>
    <s v=""/>
    <x v="0"/>
    <x v="1"/>
    <n v="0"/>
    <s v="Pend"/>
  </r>
  <r>
    <n v="1"/>
    <s v="SO17779"/>
    <s v="4500611308"/>
    <s v="INV13430"/>
    <s v="Resolute Forest Products - Saint-Felicien"/>
    <d v="2025-08-29T17:04:06"/>
    <d v="2025-08-29T17:02:31"/>
    <d v="2025-12-31T00:00:00"/>
    <s v="Alexis Gil Lamadrid"/>
    <s v="CAD"/>
    <n v="1"/>
    <n v="248.38"/>
    <n v="0"/>
    <n v="180.91508146445111"/>
    <n v="236.55"/>
    <n v="11.83"/>
    <n v="248.38"/>
    <s v="Delivered"/>
    <m/>
    <n v="1"/>
    <n v="8"/>
    <n v="2025"/>
    <n v="11"/>
    <n v="2025"/>
    <n v="0.72838022974656214"/>
    <x v="762"/>
    <d v="2025-08-29T17:04:06"/>
    <x v="903"/>
    <s v="Paid"/>
    <d v="2025-11-21T00:00:00"/>
    <s v="4500611308"/>
    <x v="46"/>
    <x v="0"/>
    <n v="236.55"/>
    <n v="172.29834334654927"/>
    <n v="0.72838022974656214"/>
    <n v="-236.55"/>
    <n v="0"/>
    <n v="0"/>
    <s v=""/>
    <x v="0"/>
    <x v="0"/>
    <s v="Pend"/>
    <s v="Pend"/>
  </r>
  <r>
    <n v="0"/>
    <s v="SO17781"/>
    <s v="BC65-00081824"/>
    <m/>
    <s v="Motion Industries Inc. (Canada) - Prince George"/>
    <d v="2025-09-01T08:28:11"/>
    <d v="2025-09-18T16:03:10"/>
    <d v="2026-01-29T00:00:00"/>
    <s v="Wilka Nuñez"/>
    <s v="CAD"/>
    <n v="1"/>
    <n v="4072.96"/>
    <n v="0"/>
    <n v="2951.8770636157119"/>
    <n v="3879.01"/>
    <n v="193.95"/>
    <n v="4072.96"/>
    <s v="To Deliver"/>
    <m/>
    <n v="0"/>
    <n v="9"/>
    <n v="2025"/>
    <s v=""/>
    <s v=""/>
    <n v="0.72474982902255658"/>
    <x v="763"/>
    <d v="2025-09-01T08:28:11"/>
    <x v="54"/>
    <s v="Not invoiced"/>
    <s v="Pending"/>
    <s v="BC65-00081824"/>
    <x v="41"/>
    <x v="0"/>
    <n v="3879.01"/>
    <n v="2811.3118342767875"/>
    <n v="0.72474982902255658"/>
    <n v="0"/>
    <n v="0"/>
    <n v="3879.01"/>
    <s v=""/>
    <x v="1"/>
    <x v="2"/>
    <s v="Pend"/>
    <s v="Pend"/>
  </r>
  <r>
    <n v="1"/>
    <s v="SO17782"/>
    <s v="OC00204"/>
    <s v="INV13687"/>
    <s v="Dynapro Pumps México S de RL de CV"/>
    <d v="2025-09-01T18:41:24"/>
    <d v="2025-09-01T18:42:03"/>
    <d v="2024-10-04T00:00:00"/>
    <s v="Yannett Yeomans"/>
    <s v="USD"/>
    <n v="0.72752560688441315"/>
    <n v="11042.910275564251"/>
    <n v="0"/>
    <n v="8034"/>
    <n v="8034"/>
    <m/>
    <n v="8034"/>
    <s v="Delivered"/>
    <m/>
    <n v="1"/>
    <n v="9"/>
    <n v="2025"/>
    <s v=""/>
    <s v=""/>
    <n v="0.72752560688441281"/>
    <x v="764"/>
    <d v="2025-09-01T18:41:24"/>
    <x v="904"/>
    <s v="Approved"/>
    <s v="Pending"/>
    <s v="OC00204"/>
    <x v="54"/>
    <x v="1"/>
    <n v="11042.910275564245"/>
    <n v="8034"/>
    <n v="0.72752560688441315"/>
    <n v="0"/>
    <n v="-8034"/>
    <s v=""/>
    <n v="0"/>
    <x v="1"/>
    <x v="2"/>
    <s v="Pend"/>
    <s v="Pend"/>
  </r>
  <r>
    <n v="1"/>
    <s v="SO17783"/>
    <s v="4501285694"/>
    <s v="INV13479"/>
    <s v="Barrick Gold - Pueblo Viejo Dominicana Corporation"/>
    <d v="2025-09-02T08:28:46"/>
    <d v="2025-09-16T09:45:08"/>
    <d v="2025-09-19T00:00:00"/>
    <s v="Wilka Nuñez"/>
    <s v="USD"/>
    <n v="0.72471536141095205"/>
    <n v="7436.1884499148664"/>
    <n v="0"/>
    <n v="5389.12"/>
    <n v="5389.12"/>
    <m/>
    <n v="5389.12"/>
    <s v="Delivered"/>
    <m/>
    <n v="1"/>
    <n v="9"/>
    <n v="2025"/>
    <n v="11"/>
    <n v="2025"/>
    <n v="0.72471536141095205"/>
    <x v="765"/>
    <d v="2025-09-02T08:28:46"/>
    <x v="905"/>
    <s v="Paid"/>
    <d v="2025-11-20T00:00:00"/>
    <s v="4501285694"/>
    <x v="15"/>
    <x v="1"/>
    <n v="7436.1884499148664"/>
    <n v="5389.12"/>
    <n v="0.72471536141095205"/>
    <n v="0"/>
    <n v="-5389.12"/>
    <s v=""/>
    <n v="0"/>
    <x v="0"/>
    <x v="0"/>
    <s v="Pend"/>
    <s v="Pend"/>
  </r>
  <r>
    <n v="1"/>
    <s v="SO17784"/>
    <s v="2100645192"/>
    <s v="INV13361"/>
    <s v="Wajax Limited - Val D'Or, Composants Industriels Wajax SC -57"/>
    <d v="2025-09-02T09:19:21"/>
    <d v="2025-09-03T15:47:36"/>
    <d v="2025-09-04T00:00:00"/>
    <s v="Wilka Nuñez"/>
    <s v="CAD"/>
    <n v="1"/>
    <n v="3087.15"/>
    <n v="3087.15"/>
    <n v="3087.15"/>
    <n v="2940.13"/>
    <n v="147.02000000000001"/>
    <n v="3087.15"/>
    <s v="Delivered"/>
    <m/>
    <n v="1"/>
    <n v="9"/>
    <n v="2025"/>
    <n v="1"/>
    <n v="2026"/>
    <n v="1"/>
    <x v="766"/>
    <d v="2025-09-02T09:19:21"/>
    <x v="906"/>
    <s v="Paid"/>
    <d v="2026-01-02T00:00:00"/>
    <s v="2100645192"/>
    <x v="49"/>
    <x v="0"/>
    <n v="2940.13"/>
    <n v="2122.1891546360557"/>
    <n v="0.72180112941810592"/>
    <n v="-2940.13"/>
    <n v="0"/>
    <n v="0"/>
    <s v=""/>
    <x v="0"/>
    <x v="0"/>
    <s v="Pend"/>
    <s v="Pend"/>
  </r>
  <r>
    <n v="1"/>
    <s v="SO17785"/>
    <s v="PONV-25-1788"/>
    <s v="INV13665"/>
    <s v="Tech-Flow"/>
    <d v="2025-09-02T10:22:45"/>
    <d v="2025-09-03T15:19:13"/>
    <d v="2025-11-12T00:00:00"/>
    <s v="Wilka Nuñez"/>
    <s v="USD"/>
    <n v="0.72690712781787181"/>
    <n v="1682.4707767983609"/>
    <n v="0"/>
    <n v="1223"/>
    <n v="1223"/>
    <m/>
    <n v="1223"/>
    <s v="Delivered"/>
    <m/>
    <n v="1"/>
    <n v="9"/>
    <n v="2025"/>
    <s v=""/>
    <s v=""/>
    <n v="0.7269071278178717"/>
    <x v="767"/>
    <d v="2025-09-02T10:22:45"/>
    <x v="907"/>
    <s v="Approved"/>
    <s v="Pending"/>
    <s v="PONV-25-1788"/>
    <x v="53"/>
    <x v="1"/>
    <n v="1682.4707767983607"/>
    <n v="1223"/>
    <n v="0.72690712781787181"/>
    <n v="0"/>
    <n v="-1223"/>
    <s v=""/>
    <n v="0"/>
    <x v="1"/>
    <x v="2"/>
    <s v="Pend"/>
    <s v="Pend"/>
  </r>
  <r>
    <n v="1"/>
    <s v="SO17786"/>
    <s v="OC00201"/>
    <s v="INV13375"/>
    <s v="Dynapro Pumps México S de RL de CV"/>
    <d v="2025-09-02T11:52:51"/>
    <d v="2025-09-02T11:54:46"/>
    <d v="2025-09-04T00:00:00"/>
    <s v="Yannett Yeomans"/>
    <s v="USD"/>
    <n v="0.72576773408832196"/>
    <n v="3692.6414252439872"/>
    <n v="0"/>
    <n v="2680"/>
    <n v="2680"/>
    <m/>
    <n v="2680"/>
    <s v="Delivered"/>
    <m/>
    <n v="1"/>
    <n v="9"/>
    <n v="2025"/>
    <s v=""/>
    <s v=""/>
    <n v="0.72576773408832185"/>
    <x v="768"/>
    <d v="2025-09-02T11:52:51"/>
    <x v="908"/>
    <s v="Approved"/>
    <s v="Pending"/>
    <s v="OC00201"/>
    <x v="54"/>
    <x v="1"/>
    <n v="3692.6414252439868"/>
    <n v="2680"/>
    <n v="0.72576773408832196"/>
    <n v="0"/>
    <n v="-2680"/>
    <s v=""/>
    <n v="0"/>
    <x v="1"/>
    <x v="2"/>
    <s v="Pend"/>
    <s v="Pend"/>
  </r>
  <r>
    <n v="1"/>
    <s v="SO17787"/>
    <s v="MB21-00192787"/>
    <s v="INV13397"/>
    <s v="Motion Industries Inc. (Canada) - Winnipeg"/>
    <d v="2025-09-02T12:19:56"/>
    <d v="2025-09-05T13:18:23"/>
    <d v="2025-09-19T00:00:00"/>
    <s v="Ian Trottier"/>
    <s v="CAD"/>
    <n v="1"/>
    <n v="112.54"/>
    <n v="0"/>
    <n v="81.395130764358285"/>
    <n v="112.54"/>
    <m/>
    <n v="112.54"/>
    <s v="Delivered"/>
    <m/>
    <n v="1"/>
    <n v="9"/>
    <n v="2025"/>
    <n v="10"/>
    <n v="2025"/>
    <n v="0.72325511608635407"/>
    <x v="769"/>
    <d v="2025-09-02T12:19:56"/>
    <x v="909"/>
    <s v="Paid"/>
    <d v="2025-10-15T00:00:00"/>
    <s v="MB21-00192787"/>
    <x v="23"/>
    <x v="0"/>
    <n v="112.54"/>
    <n v="81.395130764358285"/>
    <n v="0.72325511608635407"/>
    <n v="-112.54"/>
    <n v="0"/>
    <n v="0"/>
    <s v=""/>
    <x v="0"/>
    <x v="0"/>
    <s v="Pend"/>
    <s v="Pend"/>
  </r>
  <r>
    <n v="1"/>
    <s v="SO17788"/>
    <s v="607922"/>
    <s v="INV13360"/>
    <s v="Sealtrac Inc."/>
    <d v="2025-09-02T13:45:35"/>
    <d v="2025-09-03T11:28:43"/>
    <d v="2025-09-10T00:00:00"/>
    <s v="Alexis Gil Lamadrid"/>
    <s v="CAD"/>
    <n v="1"/>
    <n v="1032.47"/>
    <n v="1032.47"/>
    <n v="1032.47"/>
    <n v="913.69"/>
    <n v="118.78"/>
    <n v="1032.47"/>
    <s v="Delivered"/>
    <m/>
    <n v="1"/>
    <n v="9"/>
    <n v="2025"/>
    <n v="10"/>
    <n v="2025"/>
    <n v="1"/>
    <x v="770"/>
    <d v="2025-09-02T13:45:35"/>
    <x v="910"/>
    <s v="Paid"/>
    <d v="2025-10-15T00:00:00"/>
    <s v="607922"/>
    <x v="50"/>
    <x v="0"/>
    <n v="913.69"/>
    <n v="659.5024739380292"/>
    <n v="0.72180112941810592"/>
    <n v="-913.69"/>
    <n v="0"/>
    <n v="0"/>
    <s v=""/>
    <x v="0"/>
    <x v="0"/>
    <s v="Pend"/>
    <s v="Pend"/>
  </r>
  <r>
    <n v="1"/>
    <s v="SO17794"/>
    <s v="2223"/>
    <s v="INV13545"/>
    <s v="FMI Products"/>
    <d v="2025-09-03T11:19:36"/>
    <d v="2025-09-25T11:27:09"/>
    <d v="2025-10-02T00:00:00"/>
    <s v="Alexis Gil Lamadrid"/>
    <s v="CAD"/>
    <n v="1"/>
    <n v="2324.62"/>
    <n v="0"/>
    <n v="1669.4857385799539"/>
    <n v="2213.92"/>
    <n v="110.7"/>
    <n v="2324.62"/>
    <s v="To Deliver"/>
    <m/>
    <n v="1"/>
    <n v="9"/>
    <n v="2025"/>
    <n v="12"/>
    <n v="2025"/>
    <n v="0.71817576144916329"/>
    <x v="771"/>
    <d v="2025-09-03T11:19:36"/>
    <x v="911"/>
    <s v="Paid"/>
    <d v="2025-12-01T00:00:00"/>
    <s v="2223"/>
    <x v="18"/>
    <x v="0"/>
    <n v="2213.92"/>
    <n v="1589.9836817875316"/>
    <n v="0.71817576144916329"/>
    <n v="-2213.92"/>
    <n v="0"/>
    <n v="0"/>
    <s v=""/>
    <x v="0"/>
    <x v="0"/>
    <s v="Pend"/>
    <s v="Pend"/>
  </r>
  <r>
    <n v="2"/>
    <s v="SO17796"/>
    <s v="607926"/>
    <s v="INV13579"/>
    <s v="Sealtrac Inc."/>
    <d v="2025-09-03T14:46:25"/>
    <d v="2025-09-04T11:07:52"/>
    <d v="2025-09-24T00:00:00"/>
    <s v="Alexis Gil Lamadrid"/>
    <s v="CAD"/>
    <n v="1"/>
    <n v="951.53"/>
    <n v="0"/>
    <n v="688.04996493196336"/>
    <n v="842.06"/>
    <n v="109.47"/>
    <n v="951.53"/>
    <s v="Delivered"/>
    <m/>
    <n v="2"/>
    <n v="9"/>
    <n v="2025"/>
    <n v="12"/>
    <n v="2025"/>
    <n v="0.72309855173453641"/>
    <x v="772"/>
    <d v="2025-09-03T14:46:25"/>
    <x v="912"/>
    <s v="Paid"/>
    <d v="2025-12-17T00:00:00"/>
    <s v="607926"/>
    <x v="50"/>
    <x v="0"/>
    <n v="842.06"/>
    <n v="608.89236647358371"/>
    <n v="0.72309855173453641"/>
    <n v="-586.71"/>
    <n v="0"/>
    <n v="255.34999999999991"/>
    <s v=""/>
    <x v="0"/>
    <x v="1"/>
    <n v="0"/>
    <s v="Pend"/>
  </r>
  <r>
    <m/>
    <m/>
    <m/>
    <s v="INV13416"/>
    <m/>
    <m/>
    <m/>
    <m/>
    <m/>
    <m/>
    <m/>
    <m/>
    <m/>
    <m/>
    <m/>
    <m/>
    <m/>
    <m/>
    <m/>
    <n v="2"/>
    <n v="9"/>
    <n v="2025"/>
    <n v="11"/>
    <n v="2025"/>
    <n v="0.72309855173453641"/>
    <x v="772"/>
    <d v="2025-09-03T14:46:25"/>
    <x v="913"/>
    <s v="Paid"/>
    <d v="2025-11-12T00:00:00"/>
    <s v="607926"/>
    <x v="50"/>
    <x v="0"/>
    <n v="0"/>
    <n v="0"/>
    <n v="0"/>
    <n v="-255.35"/>
    <n v="0"/>
    <n v="-255.35"/>
    <s v=""/>
    <x v="0"/>
    <x v="1"/>
    <n v="0"/>
    <s v="Pend"/>
  </r>
  <r>
    <n v="0"/>
    <s v="SO17797"/>
    <s v="Sample"/>
    <m/>
    <s v="Super Cast Limited"/>
    <d v="2025-09-03T14:57:21"/>
    <d v="2025-09-03T14:57:24"/>
    <d v="2025-11-17T00:00:00"/>
    <s v="Amanda Qiao"/>
    <s v="USD"/>
    <n v="0.72690712781787181"/>
    <n v="0"/>
    <n v="0"/>
    <n v="0"/>
    <m/>
    <m/>
    <m/>
    <s v="To Deliver"/>
    <m/>
    <n v="0"/>
    <n v="9"/>
    <n v="2025"/>
    <s v=""/>
    <s v=""/>
    <e v="#DIV/0!"/>
    <x v="773"/>
    <d v="2025-09-03T14:57:21"/>
    <x v="54"/>
    <s v="Not invoiced"/>
    <s v="Pending"/>
    <s v="Sample"/>
    <x v="140"/>
    <x v="1"/>
    <n v="0"/>
    <n v="0"/>
    <n v="0"/>
    <n v="0"/>
    <n v="0"/>
    <s v=""/>
    <n v="0"/>
    <x v="1"/>
    <x v="2"/>
    <s v="Pend"/>
    <s v="Pend"/>
  </r>
  <r>
    <n v="1"/>
    <s v="SO17799"/>
    <s v="PONV-25-1796"/>
    <s v="INV13664"/>
    <s v="Tech-Flow"/>
    <d v="2025-09-04T12:06:12"/>
    <d v="2025-09-04T12:08:54"/>
    <d v="2025-11-12T00:00:00"/>
    <s v="Wilka Nuñez"/>
    <s v="USD"/>
    <n v="0.72541822568831038"/>
    <n v="1685.9240045141701"/>
    <n v="0"/>
    <n v="1223"/>
    <n v="1223"/>
    <m/>
    <n v="1223"/>
    <s v="Delivered"/>
    <m/>
    <n v="1"/>
    <n v="9"/>
    <n v="2025"/>
    <s v=""/>
    <s v=""/>
    <n v="0.72541822568831027"/>
    <x v="774"/>
    <d v="2025-09-04T12:06:12"/>
    <x v="914"/>
    <s v="Approved"/>
    <s v="Pending"/>
    <s v="PONV-25-1796"/>
    <x v="53"/>
    <x v="1"/>
    <n v="1685.9240045141698"/>
    <n v="1223"/>
    <n v="0.72541822568831038"/>
    <n v="0"/>
    <n v="0"/>
    <s v=""/>
    <n v="1223"/>
    <x v="1"/>
    <x v="2"/>
    <s v="Pend"/>
    <s v="Pend"/>
  </r>
  <r>
    <n v="1"/>
    <s v="SO17800"/>
    <s v="7640"/>
    <s v="INV13373"/>
    <s v="Hyperflo"/>
    <d v="2025-09-04T13:47:11"/>
    <d v="2025-09-04T15:13:19"/>
    <d v="2025-09-11T00:00:00"/>
    <s v="Ian Trottier"/>
    <s v="CAD"/>
    <n v="1"/>
    <n v="955.04"/>
    <n v="0"/>
    <n v="690.5880408485516"/>
    <n v="909.56"/>
    <n v="45.48"/>
    <n v="955.04"/>
    <s v="Delivered"/>
    <m/>
    <n v="1"/>
    <n v="9"/>
    <n v="2025"/>
    <n v="10"/>
    <n v="2025"/>
    <n v="0.72309855173453641"/>
    <x v="775"/>
    <d v="2025-09-04T13:47:11"/>
    <x v="915"/>
    <s v="Paid"/>
    <d v="2025-10-14T00:00:00"/>
    <s v="7640"/>
    <x v="5"/>
    <x v="0"/>
    <n v="909.56"/>
    <n v="657.70151871566486"/>
    <n v="0.72309855173453641"/>
    <n v="-909.56"/>
    <n v="0"/>
    <n v="0"/>
    <s v=""/>
    <x v="0"/>
    <x v="0"/>
    <s v="Pend"/>
    <s v="Pend"/>
  </r>
  <r>
    <n v="1"/>
    <s v="SO17801"/>
    <s v="4500612015"/>
    <s v="INV13396"/>
    <s v="Resolute Forest Products - Fibrek"/>
    <d v="2025-09-04T18:30:03"/>
    <d v="2025-09-08T15:34:51"/>
    <d v="2025-09-15T00:00:00"/>
    <s v="Alexis Gil Lamadrid"/>
    <s v="CAD"/>
    <n v="1"/>
    <n v="9474.0499999999993"/>
    <n v="0"/>
    <n v="6854.680378102089"/>
    <n v="9022.9"/>
    <n v="451.15"/>
    <n v="9474.0499999999993"/>
    <s v="Delivered"/>
    <m/>
    <n v="1"/>
    <n v="9"/>
    <n v="2025"/>
    <n v="11"/>
    <n v="2025"/>
    <n v="0.72352165949114577"/>
    <x v="776"/>
    <d v="2025-09-04T18:30:03"/>
    <x v="916"/>
    <s v="Paid"/>
    <d v="2025-11-13T00:00:00"/>
    <s v="4500612015"/>
    <x v="127"/>
    <x v="0"/>
    <n v="9022.9"/>
    <n v="6528.2635814226587"/>
    <n v="0.72352165949114577"/>
    <n v="-9022.9"/>
    <n v="0"/>
    <n v="0"/>
    <s v=""/>
    <x v="0"/>
    <x v="0"/>
    <s v="Pend"/>
    <s v="Pend"/>
  </r>
  <r>
    <n v="1"/>
    <s v="SO17803"/>
    <s v="7667"/>
    <s v="INV13410"/>
    <s v="Hyperflo"/>
    <d v="2025-09-05T11:33:08"/>
    <d v="2025-09-15T14:28:42"/>
    <d v="2025-09-22T00:00:00"/>
    <s v="Ian Trottier"/>
    <s v="CAD"/>
    <n v="1"/>
    <n v="105.61"/>
    <n v="0"/>
    <n v="76.537189318610643"/>
    <n v="100.58"/>
    <n v="5.03"/>
    <n v="105.61"/>
    <s v="Delivered"/>
    <m/>
    <n v="1"/>
    <n v="9"/>
    <n v="2025"/>
    <n v="10"/>
    <n v="2025"/>
    <n v="0.72471536141095205"/>
    <x v="777"/>
    <d v="2025-09-05T11:33:08"/>
    <x v="917"/>
    <s v="Paid"/>
    <d v="2025-10-23T00:00:00"/>
    <s v="7667"/>
    <x v="5"/>
    <x v="0"/>
    <n v="100.58"/>
    <n v="72.891871050713561"/>
    <n v="0.72471536141095205"/>
    <n v="-100.58"/>
    <n v="0"/>
    <n v="0"/>
    <s v=""/>
    <x v="0"/>
    <x v="0"/>
    <s v="Pend"/>
    <s v="Pend"/>
  </r>
  <r>
    <n v="1"/>
    <s v="SO17804"/>
    <s v="2100646837"/>
    <s v="INV13381"/>
    <s v="Wajax Limited - Lachine"/>
    <d v="2025-09-05T12:23:19"/>
    <d v="2025-09-05T12:23:28"/>
    <d v="2025-09-12T00:00:00"/>
    <s v="Alexis Gil Lamadrid"/>
    <s v="CAD"/>
    <n v="1"/>
    <n v="523.91"/>
    <n v="0"/>
    <n v="378.92058786880182"/>
    <n v="498.96"/>
    <n v="24.95"/>
    <n v="523.91"/>
    <s v="Delivered"/>
    <m/>
    <n v="1"/>
    <n v="9"/>
    <n v="2025"/>
    <n v="10"/>
    <n v="2025"/>
    <n v="0.72325511608635418"/>
    <x v="778"/>
    <d v="2025-09-05T12:23:19"/>
    <x v="918"/>
    <s v="Paid"/>
    <d v="2025-10-15T00:00:00"/>
    <s v="2100646837"/>
    <x v="77"/>
    <x v="0"/>
    <n v="498.96"/>
    <n v="360.87537272244725"/>
    <n v="0.72325511608635418"/>
    <n v="-498.96"/>
    <n v="0"/>
    <n v="0"/>
    <s v=""/>
    <x v="0"/>
    <x v="0"/>
    <s v="Pend"/>
    <s v="Pend"/>
  </r>
  <r>
    <n v="3"/>
    <s v="SO17806"/>
    <s v="P366673"/>
    <s v="INV13552"/>
    <s v="Covia Corp - Junction City"/>
    <d v="2025-09-05T14:28:29"/>
    <d v="2025-09-09T14:06:27"/>
    <d v="2026-01-05T00:00:00"/>
    <s v="Marlen Martinez"/>
    <s v="USD"/>
    <n v="0.72308531577554036"/>
    <n v="13645.070346114961"/>
    <n v="0"/>
    <n v="9866.5499999999993"/>
    <n v="9866.5499999999993"/>
    <m/>
    <n v="9866.5499999999993"/>
    <s v="Delivered"/>
    <m/>
    <n v="3"/>
    <n v="9"/>
    <n v="2025"/>
    <s v=""/>
    <s v=""/>
    <n v="0.72308531577554047"/>
    <x v="779"/>
    <d v="2025-09-05T14:28:29"/>
    <x v="919"/>
    <s v="Approved"/>
    <s v="Pending"/>
    <s v="P366673"/>
    <x v="6"/>
    <x v="1"/>
    <n v="13645.070346114962"/>
    <n v="9866.5499999999993"/>
    <n v="0.72308531577554036"/>
    <n v="0"/>
    <n v="-323.24"/>
    <s v=""/>
    <n v="9543.31"/>
    <x v="1"/>
    <x v="1"/>
    <n v="0"/>
    <s v="Pend"/>
  </r>
  <r>
    <m/>
    <m/>
    <m/>
    <s v="INV13533"/>
    <m/>
    <m/>
    <m/>
    <m/>
    <m/>
    <m/>
    <m/>
    <m/>
    <m/>
    <m/>
    <m/>
    <m/>
    <m/>
    <m/>
    <m/>
    <n v="3"/>
    <n v="9"/>
    <n v="2025"/>
    <s v=""/>
    <s v=""/>
    <n v="0.72308531577554047"/>
    <x v="779"/>
    <d v="2025-09-05T14:28:29"/>
    <x v="920"/>
    <s v="Approved"/>
    <s v="Pending"/>
    <s v="P366673"/>
    <x v="6"/>
    <x v="1"/>
    <n v="0"/>
    <n v="0"/>
    <n v="0"/>
    <n v="0"/>
    <n v="-3727.67"/>
    <s v=""/>
    <n v="-3727.67"/>
    <x v="1"/>
    <x v="1"/>
    <n v="0"/>
    <s v="Pend"/>
  </r>
  <r>
    <m/>
    <m/>
    <m/>
    <s v="INV13678"/>
    <m/>
    <m/>
    <m/>
    <m/>
    <m/>
    <m/>
    <m/>
    <m/>
    <m/>
    <m/>
    <m/>
    <m/>
    <m/>
    <m/>
    <m/>
    <n v="3"/>
    <n v="9"/>
    <n v="2025"/>
    <s v=""/>
    <s v=""/>
    <n v="0.72308531577554047"/>
    <x v="779"/>
    <d v="2025-09-05T14:28:29"/>
    <x v="921"/>
    <s v="Approved"/>
    <s v="Pending"/>
    <s v="P366673"/>
    <x v="6"/>
    <x v="1"/>
    <n v="0"/>
    <n v="0"/>
    <n v="0"/>
    <n v="0"/>
    <n v="-5815.64"/>
    <s v=""/>
    <n v="-5815.64"/>
    <x v="1"/>
    <x v="1"/>
    <n v="0"/>
    <s v="Pend"/>
  </r>
  <r>
    <n v="1"/>
    <s v="SO17809"/>
    <s v="4500612757"/>
    <s v="INV13442"/>
    <s v="Resolute Forest Products - Saint-Felicien"/>
    <d v="2025-09-08T12:25:12"/>
    <d v="2025-09-10T16:24:22"/>
    <d v="2026-01-07T00:00:00"/>
    <s v="Ian Trottier"/>
    <s v="CAD"/>
    <n v="1"/>
    <n v="4172.29"/>
    <n v="0"/>
    <n v="3013.3805759603952"/>
    <n v="3973.6"/>
    <n v="198.69"/>
    <n v="4172.29"/>
    <s v="Delivered"/>
    <m/>
    <n v="1"/>
    <n v="9"/>
    <n v="2025"/>
    <s v=""/>
    <s v=""/>
    <n v="0.72223660770473652"/>
    <x v="780"/>
    <d v="2025-09-08T12:25:12"/>
    <x v="922"/>
    <s v="Not invoiced"/>
    <s v="Pending"/>
    <s v="4500612757"/>
    <x v="46"/>
    <x v="0"/>
    <n v="3973.6"/>
    <n v="2869.8793843755411"/>
    <n v="0.72223660770473652"/>
    <n v="0"/>
    <n v="0"/>
    <n v="3973.6"/>
    <s v=""/>
    <x v="1"/>
    <x v="2"/>
    <s v="Pend"/>
    <s v="Pend"/>
  </r>
  <r>
    <n v="1"/>
    <s v="SO17812"/>
    <s v="4500612693"/>
    <s v="INV13390"/>
    <s v="Resolute Forest Products - Saint-Felicien"/>
    <d v="2025-09-08T14:48:04"/>
    <d v="2025-09-09T17:01:17"/>
    <d v="2025-09-10T00:00:00"/>
    <s v="Ian Trottier"/>
    <s v="CAD"/>
    <n v="1"/>
    <n v="4785.87"/>
    <n v="4785.87"/>
    <n v="4785.87"/>
    <n v="4557.97"/>
    <n v="227.9"/>
    <n v="4785.87"/>
    <s v="Delivered"/>
    <m/>
    <n v="1"/>
    <n v="9"/>
    <n v="2025"/>
    <n v="11"/>
    <n v="2025"/>
    <n v="1"/>
    <x v="781"/>
    <d v="2025-09-08T14:48:04"/>
    <x v="923"/>
    <s v="Paid"/>
    <d v="2025-11-10T00:00:00"/>
    <s v="4500612693"/>
    <x v="46"/>
    <x v="0"/>
    <n v="4557.97"/>
    <n v="3289.9478938538446"/>
    <n v="0.72180112941810592"/>
    <n v="-4557.97"/>
    <n v="0"/>
    <n v="0"/>
    <s v=""/>
    <x v="0"/>
    <x v="0"/>
    <s v="Pend"/>
    <s v="Pend"/>
  </r>
  <r>
    <n v="1"/>
    <s v="SO17813"/>
    <s v="7658"/>
    <s v="INV13399"/>
    <s v="Hyperflo"/>
    <d v="2025-09-08T15:19:38"/>
    <d v="2025-09-11T16:54:10"/>
    <d v="2025-09-18T00:00:00"/>
    <s v="Alexis Gil Lamadrid"/>
    <s v="CAD"/>
    <n v="1"/>
    <n v="107.95"/>
    <n v="0"/>
    <n v="78.047116684021475"/>
    <n v="102.81"/>
    <n v="5.14"/>
    <n v="107.95"/>
    <s v="Delivered"/>
    <m/>
    <n v="1"/>
    <n v="9"/>
    <n v="2025"/>
    <n v="10"/>
    <n v="2025"/>
    <n v="0.72299320689227853"/>
    <x v="782"/>
    <d v="2025-09-08T15:19:38"/>
    <x v="924"/>
    <s v="Paid"/>
    <d v="2025-10-16T00:00:00"/>
    <s v="7658"/>
    <x v="5"/>
    <x v="0"/>
    <n v="102.81"/>
    <n v="74.33093160059515"/>
    <n v="0.72299320689227842"/>
    <n v="-102.81"/>
    <n v="0"/>
    <n v="0"/>
    <s v=""/>
    <x v="0"/>
    <x v="0"/>
    <s v="Pend"/>
    <s v="Pend"/>
  </r>
  <r>
    <n v="1"/>
    <s v="SO17814"/>
    <s v="PO-008239"/>
    <s v="INV13389"/>
    <s v="Sling-Choker Manufacturing - Timmins"/>
    <d v="2025-09-09T09:34:42"/>
    <d v="2025-09-09T09:38:08"/>
    <d v="2025-09-10T00:00:00"/>
    <s v="Wilka Nuñez"/>
    <s v="CAD"/>
    <n v="1"/>
    <n v="1354.99"/>
    <n v="1354.99"/>
    <n v="1354.99"/>
    <n v="1199.1099999999999"/>
    <n v="155.88"/>
    <n v="1354.99"/>
    <s v="Delivered"/>
    <m/>
    <n v="1"/>
    <n v="9"/>
    <n v="2025"/>
    <n v="10"/>
    <n v="2025"/>
    <n v="1"/>
    <x v="783"/>
    <d v="2025-09-09T09:34:42"/>
    <x v="925"/>
    <s v="Paid"/>
    <d v="2025-10-08T00:00:00"/>
    <s v="PO-008239"/>
    <x v="3"/>
    <x v="0"/>
    <n v="1199.1099999999999"/>
    <n v="865.51895229654497"/>
    <n v="0.72180112941810592"/>
    <n v="-1199.1099999999999"/>
    <n v="0"/>
    <n v="0"/>
    <s v=""/>
    <x v="0"/>
    <x v="0"/>
    <s v="Pend"/>
    <s v="Pend"/>
  </r>
  <r>
    <n v="1"/>
    <s v="SO17817"/>
    <s v="2227"/>
    <s v="INV13447"/>
    <s v="FMI Products"/>
    <d v="2025-09-09T12:49:15"/>
    <d v="2025-09-09T14:01:13"/>
    <d v="2025-09-16T00:00:00"/>
    <s v="Alexis Gil Lamadrid"/>
    <s v="CAD"/>
    <n v="1"/>
    <n v="1186.27"/>
    <n v="1186.27"/>
    <n v="1186.27"/>
    <n v="1129.78"/>
    <n v="56.49"/>
    <n v="1186.27"/>
    <s v="Delivered"/>
    <m/>
    <n v="1"/>
    <n v="9"/>
    <n v="2025"/>
    <n v="10"/>
    <n v="2025"/>
    <n v="1"/>
    <x v="784"/>
    <d v="2025-09-09T12:49:15"/>
    <x v="926"/>
    <s v="Paid"/>
    <d v="2025-10-23T00:00:00"/>
    <s v="2227"/>
    <x v="18"/>
    <x v="0"/>
    <n v="1129.78"/>
    <n v="815.47647999398771"/>
    <n v="0.72180112941810592"/>
    <n v="-1129.78"/>
    <n v="0"/>
    <n v="0"/>
    <s v=""/>
    <x v="0"/>
    <x v="0"/>
    <s v="Pend"/>
    <s v="Pend"/>
  </r>
  <r>
    <n v="1"/>
    <s v="SO17818"/>
    <s v="PO-008243"/>
    <s v="INV13400"/>
    <s v="Sling-Choker Manufacturing - Timmins"/>
    <d v="2025-09-09T12:53:22"/>
    <d v="2025-09-10T10:36:43"/>
    <d v="2025-09-12T00:00:00"/>
    <s v="Wilka Nuñez"/>
    <s v="CAD"/>
    <n v="1"/>
    <n v="2585.3000000000002"/>
    <n v="0"/>
    <n v="1867.198301899055"/>
    <n v="2585.3000000000002"/>
    <m/>
    <n v="2585.3000000000002"/>
    <s v="Delivered"/>
    <m/>
    <n v="1"/>
    <n v="9"/>
    <n v="2025"/>
    <n v="10"/>
    <n v="2025"/>
    <n v="0.7222366077047363"/>
    <x v="785"/>
    <d v="2025-09-09T12:53:22"/>
    <x v="927"/>
    <s v="Paid"/>
    <d v="2025-10-29T00:00:00"/>
    <s v="PO-008243"/>
    <x v="3"/>
    <x v="0"/>
    <n v="2585.3000000000002"/>
    <n v="1867.198301899055"/>
    <n v="0.7222366077047363"/>
    <n v="-2585.3000000000002"/>
    <n v="0"/>
    <n v="0"/>
    <s v=""/>
    <x v="0"/>
    <x v="0"/>
    <s v="Pend"/>
    <s v="Pend"/>
  </r>
  <r>
    <n v="1"/>
    <s v="SO17824"/>
    <s v="PO-042473"/>
    <s v="INV13395"/>
    <s v="Southeast Pump Specialist, Inc."/>
    <d v="2025-09-10T12:27:59"/>
    <d v="2025-09-10T17:22:43"/>
    <d v="2025-09-17T00:00:00"/>
    <s v="Alexis Gil Lamadrid"/>
    <s v="USD"/>
    <n v="0.72352165949114577"/>
    <n v="1424.615264075054"/>
    <n v="0"/>
    <n v="1030.74"/>
    <n v="1030.74"/>
    <m/>
    <n v="1030.74"/>
    <s v="Delivered"/>
    <m/>
    <n v="1"/>
    <n v="9"/>
    <n v="2025"/>
    <n v="11"/>
    <n v="2025"/>
    <n v="0.72352165949114577"/>
    <x v="786"/>
    <d v="2025-09-10T12:27:59"/>
    <x v="928"/>
    <s v="Paid"/>
    <d v="2025-11-04T00:00:00"/>
    <s v="PO-042473"/>
    <x v="26"/>
    <x v="1"/>
    <n v="1424.615264075054"/>
    <n v="1030.74"/>
    <n v="0.72352165949114577"/>
    <n v="0"/>
    <n v="-1601.74"/>
    <s v=""/>
    <n v="-571"/>
    <x v="0"/>
    <x v="0"/>
    <s v="Pend"/>
    <s v="Pend"/>
  </r>
  <r>
    <n v="1"/>
    <s v="SO17826"/>
    <s v="3301"/>
    <s v="INV13405"/>
    <s v="Les Pompes du St-Laurent Inc."/>
    <d v="2025-09-10T16:36:55"/>
    <d v="2025-09-10T16:34:46"/>
    <d v="2025-09-16T00:00:00"/>
    <s v="Ian Trottier"/>
    <s v="CAD"/>
    <n v="1"/>
    <n v="2141.87"/>
    <n v="0"/>
    <n v="1546.936922944544"/>
    <n v="2039.88"/>
    <n v="101.99"/>
    <n v="2141.87"/>
    <s v="Delivered"/>
    <m/>
    <n v="1"/>
    <n v="9"/>
    <n v="2025"/>
    <n v="10"/>
    <n v="2025"/>
    <n v="0.72223660770473652"/>
    <x v="787"/>
    <d v="2025-09-10T16:36:55"/>
    <x v="929"/>
    <s v="Paid"/>
    <d v="2025-10-24T00:00:00"/>
    <s v="3301"/>
    <x v="7"/>
    <x v="0"/>
    <n v="2039.88"/>
    <n v="1473.276011324738"/>
    <n v="0.72223660770473652"/>
    <n v="-2039.88"/>
    <n v="0"/>
    <n v="0"/>
    <s v=""/>
    <x v="0"/>
    <x v="0"/>
    <s v="Pend"/>
    <s v="Pend"/>
  </r>
  <r>
    <n v="1"/>
    <s v="SO17827"/>
    <s v="4500586497"/>
    <s v="INV13428"/>
    <s v="Glencore Canada Corporation - Rouyn-Noranda"/>
    <d v="2025-09-10T18:51:22"/>
    <d v="2025-09-10T18:51:32"/>
    <d v="2025-10-31T00:00:00"/>
    <s v="Alexis Gil Lamadrid"/>
    <s v="CAD"/>
    <n v="1"/>
    <n v="44.65"/>
    <n v="0"/>
    <n v="32.247864534016493"/>
    <n v="42.52"/>
    <n v="2.13"/>
    <n v="44.65"/>
    <s v="Delivered"/>
    <m/>
    <n v="1"/>
    <n v="9"/>
    <n v="2025"/>
    <n v="10"/>
    <n v="2025"/>
    <n v="0.72223660770473674"/>
    <x v="788"/>
    <d v="2025-09-10T18:51:22"/>
    <x v="930"/>
    <s v="Paid"/>
    <d v="2025-10-28T00:00:00"/>
    <s v="4500586497"/>
    <x v="81"/>
    <x v="0"/>
    <n v="42.52"/>
    <n v="30.709500559605409"/>
    <n v="0.72223660770473674"/>
    <n v="-42.52"/>
    <n v="0"/>
    <n v="0"/>
    <s v=""/>
    <x v="0"/>
    <x v="0"/>
    <s v="Pend"/>
    <s v="Pend"/>
  </r>
  <r>
    <n v="1"/>
    <s v="SO17828"/>
    <s v="2100651726"/>
    <s v="INV13408"/>
    <s v="Wajax Limited - Noranda"/>
    <d v="2025-09-11T09:08:52"/>
    <d v="2025-09-12T09:52:27"/>
    <d v="2025-09-19T00:00:00"/>
    <s v="Wilka Nuñez"/>
    <s v="CAD"/>
    <n v="1"/>
    <n v="155.12"/>
    <n v="0"/>
    <n v="111.9254124085889"/>
    <n v="147.72999999999999"/>
    <n v="7.39"/>
    <n v="155.12"/>
    <s v="Delivered"/>
    <m/>
    <n v="1"/>
    <n v="9"/>
    <n v="2025"/>
    <n v="10"/>
    <n v="2025"/>
    <n v="0.72154082264433272"/>
    <x v="789"/>
    <d v="2025-09-11T09:08:52"/>
    <x v="931"/>
    <s v="Paid"/>
    <d v="2025-10-22T00:00:00"/>
    <s v="2100651726"/>
    <x v="35"/>
    <x v="0"/>
    <n v="147.72999999999999"/>
    <n v="106.59322572924727"/>
    <n v="0.72154082264433272"/>
    <n v="-147.72999999999999"/>
    <n v="0"/>
    <n v="0"/>
    <s v=""/>
    <x v="0"/>
    <x v="0"/>
    <s v="Pend"/>
    <s v="Pend"/>
  </r>
  <r>
    <n v="1"/>
    <s v="SO17833"/>
    <s v="BC65-00081753"/>
    <s v="INV13448"/>
    <s v="Motion Industries Inc. (Canada) - Prince George"/>
    <d v="2025-09-11T16:51:07"/>
    <d v="2025-09-11T17:04:43"/>
    <d v="2025-09-25T00:00:00"/>
    <s v="Eduardo Talamantes"/>
    <s v="CAD"/>
    <n v="1"/>
    <n v="5610.53"/>
    <n v="0"/>
    <n v="4056.3750770653351"/>
    <n v="5343.36"/>
    <n v="267.17"/>
    <n v="5610.53"/>
    <s v="Delivered"/>
    <m/>
    <n v="1"/>
    <n v="9"/>
    <n v="2025"/>
    <n v="10"/>
    <n v="2025"/>
    <n v="0.72299320689227853"/>
    <x v="790"/>
    <d v="2025-09-11T16:51:07"/>
    <x v="932"/>
    <s v="Paid"/>
    <d v="2025-10-24T00:00:00"/>
    <s v="BC65-00081753"/>
    <x v="41"/>
    <x v="0"/>
    <n v="5343.36"/>
    <n v="3863.2129819799252"/>
    <n v="0.72299320689227853"/>
    <n v="-5343.36"/>
    <n v="0"/>
    <n v="0"/>
    <s v=""/>
    <x v="0"/>
    <x v="0"/>
    <s v="Pend"/>
    <s v="Pend"/>
  </r>
  <r>
    <n v="1"/>
    <s v="SO17834"/>
    <s v="4500586645"/>
    <s v="INV13429"/>
    <s v="Glencore Canada Corporation - Rouyn-Noranda"/>
    <d v="2025-09-11T19:26:17"/>
    <d v="2025-09-11T19:26:41"/>
    <d v="2025-10-11T00:00:00"/>
    <s v="Alexis Gil Lamadrid"/>
    <s v="CAD"/>
    <n v="1"/>
    <n v="48.05"/>
    <n v="0"/>
    <n v="34.67003652806018"/>
    <n v="42.52"/>
    <n v="5.53"/>
    <n v="48.05"/>
    <s v="Delivered"/>
    <m/>
    <n v="1"/>
    <n v="9"/>
    <n v="2025"/>
    <n v="10"/>
    <n v="2025"/>
    <n v="0.72154082264433261"/>
    <x v="791"/>
    <d v="2025-09-11T19:26:17"/>
    <x v="933"/>
    <s v="Paid"/>
    <d v="2025-10-28T00:00:00"/>
    <s v="4500586645"/>
    <x v="81"/>
    <x v="0"/>
    <n v="42.52"/>
    <n v="30.679915778837024"/>
    <n v="0.72154082264433261"/>
    <n v="-42.52"/>
    <n v="0"/>
    <n v="0"/>
    <s v=""/>
    <x v="0"/>
    <x v="0"/>
    <s v="Pend"/>
    <s v="Pend"/>
  </r>
  <r>
    <n v="1"/>
    <s v="SO17835"/>
    <s v="OC00206"/>
    <s v="INV13688"/>
    <s v="Dynapro Pumps México S de RL de CV"/>
    <d v="2025-09-12T01:02:22"/>
    <d v="2025-09-12T01:02:22"/>
    <d v="2024-10-11T00:00:00"/>
    <s v="Yannett Yeomans"/>
    <s v="USD"/>
    <n v="0.72299320689227853"/>
    <n v="11112.13760158747"/>
    <n v="0"/>
    <n v="8034"/>
    <n v="8034"/>
    <m/>
    <n v="8034"/>
    <s v="Delivered"/>
    <m/>
    <n v="1"/>
    <n v="9"/>
    <n v="2025"/>
    <s v=""/>
    <s v=""/>
    <n v="0.72299320689227875"/>
    <x v="792"/>
    <d v="2025-09-12T01:02:22"/>
    <x v="934"/>
    <s v="Approved"/>
    <s v="Pending"/>
    <s v="OC00206"/>
    <x v="54"/>
    <x v="1"/>
    <n v="11112.137601587474"/>
    <n v="8034"/>
    <n v="0.72299320689227853"/>
    <n v="0"/>
    <n v="-8034"/>
    <s v=""/>
    <n v="0"/>
    <x v="1"/>
    <x v="2"/>
    <s v="Pend"/>
    <s v="Pend"/>
  </r>
  <r>
    <n v="1"/>
    <s v="SO17836"/>
    <s v="7660"/>
    <s v="INV13398"/>
    <s v="Hyperflo"/>
    <d v="2025-09-12T08:00:51"/>
    <d v="2025-09-12T08:09:09"/>
    <d v="2025-09-15T00:00:00"/>
    <s v="Wilka Nuñez"/>
    <s v="CAD"/>
    <n v="1"/>
    <n v="50.4"/>
    <n v="0"/>
    <n v="36.36565746127436"/>
    <n v="48"/>
    <n v="2.4"/>
    <n v="50.4"/>
    <s v="Delivered"/>
    <m/>
    <n v="1"/>
    <n v="9"/>
    <n v="2025"/>
    <n v="10"/>
    <n v="2025"/>
    <n v="0.7215408226443325"/>
    <x v="793"/>
    <d v="2025-09-12T08:00:51"/>
    <x v="935"/>
    <s v="Paid"/>
    <d v="2025-10-16T00:00:00"/>
    <s v="7660"/>
    <x v="5"/>
    <x v="0"/>
    <n v="48"/>
    <n v="34.633959486927964"/>
    <n v="0.72154082264433261"/>
    <n v="-48"/>
    <n v="0"/>
    <n v="0"/>
    <s v=""/>
    <x v="0"/>
    <x v="0"/>
    <s v="Pend"/>
    <s v="Pend"/>
  </r>
  <r>
    <n v="1"/>
    <s v="SO17837"/>
    <s v="4500613133"/>
    <s v="INV13419"/>
    <s v="Resolute Forest Products - Saint-Felicien"/>
    <d v="2025-09-12T12:20:24"/>
    <d v="2025-09-15T17:38:48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v="1"/>
    <n v="9"/>
    <n v="2025"/>
    <n v="11"/>
    <n v="2025"/>
    <n v="0.72471536141095205"/>
    <x v="794"/>
    <d v="2025-09-12T12:20:24"/>
    <x v="936"/>
    <s v="Paid"/>
    <d v="2025-11-18T00:00:00"/>
    <s v="4500613133"/>
    <x v="46"/>
    <x v="0"/>
    <n v="716.65"/>
    <n v="519.36726375515877"/>
    <n v="0.72471536141095205"/>
    <n v="-716.65"/>
    <n v="0"/>
    <n v="0"/>
    <s v=""/>
    <x v="0"/>
    <x v="0"/>
    <s v="Pend"/>
    <s v="Pend"/>
  </r>
  <r>
    <n v="1"/>
    <s v="SO17838"/>
    <s v="PO 607046"/>
    <s v="INV13415"/>
    <s v="Sealtrac Inc."/>
    <d v="2025-09-12T12:22:11"/>
    <d v="2025-09-16T09:54:03"/>
    <d v="2025-09-23T00:00:00"/>
    <s v="Aleksandar Stankovic"/>
    <s v="CAD"/>
    <n v="1"/>
    <n v="400.09"/>
    <n v="0"/>
    <n v="291.03410941130858"/>
    <n v="354.06"/>
    <n v="46.03"/>
    <n v="400.09"/>
    <s v="Delivered"/>
    <m/>
    <n v="1"/>
    <n v="9"/>
    <n v="2025"/>
    <n v="11"/>
    <n v="2025"/>
    <n v="0.72742160366744635"/>
    <x v="795"/>
    <d v="2025-09-12T12:22:11"/>
    <x v="937"/>
    <s v="Paid"/>
    <d v="2025-11-12T00:00:00"/>
    <s v="PO 607046"/>
    <x v="50"/>
    <x v="0"/>
    <n v="354.06"/>
    <n v="257.55089299449605"/>
    <n v="0.72742160366744635"/>
    <n v="-354.06"/>
    <n v="0"/>
    <n v="0"/>
    <s v=""/>
    <x v="0"/>
    <x v="0"/>
    <s v="Pend"/>
    <s v="Pend"/>
  </r>
  <r>
    <n v="0"/>
    <s v="SO17839"/>
    <s v="4500882138"/>
    <m/>
    <s v="AGM Inc."/>
    <d v="2025-09-12T16:55:01"/>
    <d v="2025-12-11T16:24:40"/>
    <d v="2026-01-20T00:00:00"/>
    <s v="Amanda Qiao"/>
    <s v="USD"/>
    <n v="0.72276866354558011"/>
    <n v="43048.324546015479"/>
    <n v="0"/>
    <n v="31113.98"/>
    <n v="31113.98"/>
    <m/>
    <n v="31113.98"/>
    <s v="To Deliver"/>
    <m/>
    <n v="0"/>
    <n v="9"/>
    <n v="2025"/>
    <s v=""/>
    <s v=""/>
    <n v="0.72276866354558011"/>
    <x v="796"/>
    <d v="2025-09-12T16:55:01"/>
    <x v="54"/>
    <s v="Not invoiced"/>
    <s v="Pending"/>
    <s v="4500882138"/>
    <x v="61"/>
    <x v="1"/>
    <n v="43048.324546015479"/>
    <n v="31113.98"/>
    <n v="0.72276866354558011"/>
    <n v="0"/>
    <n v="0"/>
    <s v=""/>
    <n v="31113.98"/>
    <x v="1"/>
    <x v="2"/>
    <s v="Pend"/>
    <s v="Pend"/>
  </r>
  <r>
    <n v="1"/>
    <s v="SO17844"/>
    <s v="PO-40-1017858"/>
    <s v="INV13421"/>
    <s v="Canadian Bearings Ltd."/>
    <d v="2025-09-15T12:16:24"/>
    <d v="2025-09-17T11:14:15"/>
    <d v="2025-09-24T00:00:00"/>
    <s v="Alexis Gil Lamadrid"/>
    <s v="CAD"/>
    <n v="1"/>
    <n v="293.48"/>
    <n v="0"/>
    <n v="213.25725181381711"/>
    <n v="279.5"/>
    <n v="13.98"/>
    <n v="293.48"/>
    <s v="Delivered"/>
    <m/>
    <n v="1"/>
    <n v="9"/>
    <n v="2025"/>
    <n v="10"/>
    <n v="2025"/>
    <n v="0.72665003343947487"/>
    <x v="797"/>
    <d v="2025-09-15T12:16:24"/>
    <x v="938"/>
    <s v="Paid"/>
    <d v="2025-10-10T00:00:00"/>
    <s v="PO-40-1017858"/>
    <x v="38"/>
    <x v="0"/>
    <n v="279.5"/>
    <n v="203.09868434633321"/>
    <n v="0.72665003343947487"/>
    <n v="-279.5"/>
    <n v="0"/>
    <n v="0"/>
    <s v=""/>
    <x v="0"/>
    <x v="0"/>
    <s v="Pend"/>
    <s v="Pend"/>
  </r>
  <r>
    <n v="1"/>
    <s v="SO17845"/>
    <s v="P367532"/>
    <s v="INV13454"/>
    <s v="Covia Corp - Guion"/>
    <d v="2025-09-15T14:30:44"/>
    <d v="2025-09-22T15:52:41"/>
    <d v="2025-09-30T00:00:00"/>
    <s v="Marlen Martinez"/>
    <s v="USD"/>
    <n v="0.72585002533058685"/>
    <n v="7133.539738655717"/>
    <n v="0"/>
    <n v="5177.88"/>
    <n v="5177.88"/>
    <m/>
    <n v="5177.88"/>
    <s v="Delivered"/>
    <m/>
    <n v="1"/>
    <n v="9"/>
    <n v="2025"/>
    <n v="12"/>
    <n v="2025"/>
    <n v="0.72585002533058685"/>
    <x v="798"/>
    <d v="2025-09-15T14:30:44"/>
    <x v="939"/>
    <s v="Paid"/>
    <d v="2025-12-31T00:00:00"/>
    <s v="P367532"/>
    <x v="141"/>
    <x v="1"/>
    <n v="7133.539738655717"/>
    <n v="5177.88"/>
    <n v="0.72585002533058685"/>
    <n v="0"/>
    <n v="-5177.88"/>
    <s v=""/>
    <n v="0"/>
    <x v="0"/>
    <x v="0"/>
    <s v="Pend"/>
    <s v="Pend"/>
  </r>
  <r>
    <n v="1"/>
    <s v="SO17846"/>
    <s v="P-91625"/>
    <s v="INV13446"/>
    <s v="Cartledge &amp; Associates Inc."/>
    <d v="2025-09-15T14:55:31"/>
    <d v="2025-09-15T14:57:56"/>
    <d v="2025-09-29T00:00:00"/>
    <s v="Ian Trottier"/>
    <s v="USD"/>
    <n v="0.72197885363302017"/>
    <n v="18487.272768219409"/>
    <n v="0"/>
    <n v="13347.42"/>
    <n v="13347.42"/>
    <m/>
    <n v="13347.42"/>
    <s v="Delivered"/>
    <m/>
    <n v="1"/>
    <n v="9"/>
    <n v="2025"/>
    <n v="11"/>
    <n v="2025"/>
    <n v="0.72197885363302017"/>
    <x v="799"/>
    <d v="2025-09-15T14:55:31"/>
    <x v="940"/>
    <s v="Paid"/>
    <d v="2025-11-04T00:00:00"/>
    <s v="P-91625"/>
    <x v="25"/>
    <x v="1"/>
    <n v="18487.272768219409"/>
    <n v="13347.42"/>
    <n v="0.72197885363302017"/>
    <n v="0"/>
    <n v="-13347.42"/>
    <s v=""/>
    <n v="0"/>
    <x v="0"/>
    <x v="0"/>
    <s v="Pend"/>
    <s v="Pend"/>
  </r>
  <r>
    <n v="1"/>
    <s v="SO17847"/>
    <s v="63-02846"/>
    <s v="INV13402"/>
    <s v="Quality Concrete Inc."/>
    <d v="2025-09-15T15:20:58"/>
    <d v="2025-09-16T10:10:33"/>
    <d v="2025-09-16T00:00:00"/>
    <s v="Ian Trottier"/>
    <s v="CAD"/>
    <n v="1"/>
    <n v="10279.969999999999"/>
    <n v="0"/>
    <n v="7477.8722630532384"/>
    <n v="9790.4500000000007"/>
    <n v="489.52"/>
    <n v="10279.969999999999"/>
    <s v="Delivered"/>
    <m/>
    <n v="1"/>
    <n v="9"/>
    <n v="2025"/>
    <n v="11"/>
    <n v="2025"/>
    <n v="0.72742160366744635"/>
    <x v="800"/>
    <d v="2025-09-15T15:20:58"/>
    <x v="941"/>
    <s v="Paid"/>
    <d v="2025-11-14T00:00:00"/>
    <s v="63-02846"/>
    <x v="43"/>
    <x v="0"/>
    <n v="9790.4500000000007"/>
    <n v="7121.7848396259506"/>
    <n v="0.72742160366744635"/>
    <n v="-9790.4500000000007"/>
    <n v="0"/>
    <n v="0"/>
    <s v=""/>
    <x v="0"/>
    <x v="0"/>
    <s v="Pend"/>
    <s v="Pend"/>
  </r>
  <r>
    <n v="1"/>
    <s v="SO17848"/>
    <s v="PO14009"/>
    <s v="INV13435"/>
    <s v="Manufacture Sling-Choker (Val-d’Or) Ltée"/>
    <d v="2025-09-15T15:57:44"/>
    <d v="2025-09-19T14:33:36"/>
    <d v="2025-09-22T00:00:00"/>
    <s v="Wilka Nuñez"/>
    <s v="CAD"/>
    <n v="1"/>
    <n v="1471.51"/>
    <n v="0"/>
    <n v="1068.50590842515"/>
    <n v="1401.44"/>
    <n v="70.069999999999993"/>
    <n v="1471.51"/>
    <s v="Delivered"/>
    <m/>
    <n v="1"/>
    <n v="9"/>
    <n v="2025"/>
    <s v=""/>
    <s v=""/>
    <n v="0.72612888014702581"/>
    <x v="801"/>
    <d v="2025-09-15T15:57:44"/>
    <x v="942"/>
    <s v="Not invoiced"/>
    <s v="Pending"/>
    <s v="PO14009"/>
    <x v="10"/>
    <x v="0"/>
    <n v="1401.44"/>
    <n v="1017.6260577932479"/>
    <n v="0.72612888014702581"/>
    <n v="0"/>
    <n v="0"/>
    <n v="1401.44"/>
    <s v=""/>
    <x v="1"/>
    <x v="2"/>
    <s v="Pend"/>
    <s v="Pend"/>
  </r>
  <r>
    <n v="1"/>
    <s v="SO17849"/>
    <m/>
    <s v="INV13685"/>
    <s v="Dynapro Pumps México S de RL de CV"/>
    <d v="2025-09-15T16:17:19"/>
    <d v="2025-09-15T16:15:17"/>
    <d v="2025-11-10T00:00:00"/>
    <s v="Carlos Leon"/>
    <s v="USD"/>
    <n v="0.72197885363302017"/>
    <n v="2659.3576672481472"/>
    <n v="0"/>
    <n v="1920"/>
    <n v="1920"/>
    <m/>
    <n v="1920"/>
    <s v="Delivered"/>
    <m/>
    <n v="1"/>
    <n v="9"/>
    <n v="2025"/>
    <s v=""/>
    <s v=""/>
    <n v="0.72612888014702581"/>
    <x v="802"/>
    <d v="2025-09-15T16:17:19"/>
    <x v="943"/>
    <s v="Approved"/>
    <s v="Pending"/>
    <s v="PO14009"/>
    <x v="54"/>
    <x v="1"/>
    <n v="2659.3576672481472"/>
    <n v="1920"/>
    <n v="0.72197885363302017"/>
    <n v="0"/>
    <n v="-1920"/>
    <s v=""/>
    <n v="0"/>
    <x v="1"/>
    <x v="2"/>
    <s v="Pend"/>
    <s v="Pend"/>
  </r>
  <r>
    <n v="1"/>
    <s v="SO17850"/>
    <s v="4500613310"/>
    <s v="INV13418"/>
    <s v="Resolute Forest Products - Saint-Felicien"/>
    <d v="2025-09-15T18:21:38"/>
    <d v="2025-09-15T18:21:52"/>
    <d v="2025-09-22T00:00:00"/>
    <s v="Alexis Gil Lamadrid"/>
    <s v="CAD"/>
    <n v="1"/>
    <n v="109.1"/>
    <n v="0"/>
    <n v="79.066445929934858"/>
    <n v="103.9"/>
    <n v="5.2"/>
    <n v="109.1"/>
    <s v="Delivered"/>
    <m/>
    <n v="1"/>
    <n v="9"/>
    <n v="2025"/>
    <n v="11"/>
    <n v="2025"/>
    <n v="0.72471536141095194"/>
    <x v="803"/>
    <d v="2025-09-15T18:21:38"/>
    <x v="944"/>
    <s v="Paid"/>
    <d v="2025-11-18T00:00:00"/>
    <s v="4500613310"/>
    <x v="46"/>
    <x v="0"/>
    <n v="103.9"/>
    <n v="75.297926050597908"/>
    <n v="0.72471536141095194"/>
    <n v="-103.9"/>
    <n v="0"/>
    <n v="0"/>
    <s v=""/>
    <x v="0"/>
    <x v="0"/>
    <s v="Pend"/>
    <s v="Pend"/>
  </r>
  <r>
    <n v="0"/>
    <s v="SO17851"/>
    <s v="2258361"/>
    <m/>
    <s v="Zijin Mining - Rosebel Goldmines N.V."/>
    <d v="2025-09-15T21:29:47"/>
    <d v="2026-01-06T12:03:41"/>
    <d v="2026-03-03T00:00:00"/>
    <s v="Amanda Qiao"/>
    <s v="USD"/>
    <n v="0.7282990074408402"/>
    <n v="72398.505917616654"/>
    <n v="0"/>
    <n v="52727.76"/>
    <n v="52727.76"/>
    <m/>
    <n v="52727.76"/>
    <s v="Processing"/>
    <m/>
    <n v="0"/>
    <n v="9"/>
    <n v="2025"/>
    <s v=""/>
    <s v=""/>
    <n v="0.7282990074408402"/>
    <x v="804"/>
    <d v="2025-09-15T21:29:47"/>
    <x v="54"/>
    <s v="Not invoiced"/>
    <s v="Pending"/>
    <s v="2258361"/>
    <x v="1"/>
    <x v="1"/>
    <n v="72398.505917616654"/>
    <n v="52727.76"/>
    <n v="0.7282990074408402"/>
    <n v="0"/>
    <n v="0"/>
    <s v=""/>
    <n v="52727.76"/>
    <x v="1"/>
    <x v="2"/>
    <s v="Pend"/>
    <s v="Pend"/>
  </r>
  <r>
    <n v="1"/>
    <s v="SO17854"/>
    <s v="10603"/>
    <s v="INV13472"/>
    <s v="Canadian Industrial Pumps Ltd, Canadian Industrial Pumps Ltd"/>
    <d v="2025-09-16T12:21:18"/>
    <d v="2025-09-24T09:39:11"/>
    <d v="2025-10-01T00:00:00"/>
    <s v="Wilka Nuñez"/>
    <s v="CAD"/>
    <n v="1"/>
    <n v="2918.83"/>
    <n v="0"/>
    <n v="2100.5678939757681"/>
    <n v="2779.84"/>
    <n v="138.99"/>
    <n v="2918.83"/>
    <s v="Delivered"/>
    <m/>
    <n v="1"/>
    <n v="9"/>
    <n v="2025"/>
    <n v="11"/>
    <n v="2025"/>
    <n v="0.71966092371798573"/>
    <x v="805"/>
    <d v="2025-09-16T12:21:18"/>
    <x v="945"/>
    <s v="Paid"/>
    <d v="2025-11-21T00:00:00"/>
    <s v="10603"/>
    <x v="78"/>
    <x v="0"/>
    <n v="2779.84"/>
    <n v="2000.5422221882056"/>
    <n v="0.71966092371798573"/>
    <n v="-2779.84"/>
    <n v="0"/>
    <n v="0"/>
    <s v=""/>
    <x v="0"/>
    <x v="0"/>
    <s v="Pend"/>
    <s v="Pend"/>
  </r>
  <r>
    <n v="0"/>
    <s v="SO17856"/>
    <s v="6500022682"/>
    <m/>
    <s v="Wesdome Gold Mines Ltd - Eagle River Mine"/>
    <d v="2025-09-16T13:24:38"/>
    <d v="2025-09-29T16:23:31"/>
    <d v="2025-12-22T00:00:00"/>
    <s v="Ian Trottier"/>
    <s v="CAD"/>
    <n v="1"/>
    <n v="10962.81"/>
    <n v="0"/>
    <n v="7884.1320713281584"/>
    <n v="9701.6"/>
    <n v="1261.21"/>
    <n v="10962.81"/>
    <s v="Processing"/>
    <m/>
    <n v="0"/>
    <n v="9"/>
    <n v="2025"/>
    <s v=""/>
    <s v=""/>
    <n v="0.71917073007086307"/>
    <x v="806"/>
    <d v="2025-09-16T13:24:38"/>
    <x v="54"/>
    <s v="Not invoiced"/>
    <s v="Pending"/>
    <s v="6500022682"/>
    <x v="0"/>
    <x v="0"/>
    <n v="9701.6"/>
    <n v="6977.1067548554856"/>
    <n v="0.71917073007086307"/>
    <n v="0"/>
    <n v="0"/>
    <n v="9701.6"/>
    <s v=""/>
    <x v="1"/>
    <x v="2"/>
    <s v="Pend"/>
    <s v="Pend"/>
  </r>
  <r>
    <n v="1"/>
    <s v="SO17858"/>
    <s v="2100654949"/>
    <s v="INV13420"/>
    <s v="Wajax Limited - Noranda"/>
    <d v="2025-09-16T15:11:11"/>
    <d v="2025-09-17T13:13:06"/>
    <d v="2025-09-19T00:00:00"/>
    <s v="Wilka Nuñez"/>
    <s v="CAD"/>
    <n v="1"/>
    <n v="122.83"/>
    <n v="0"/>
    <n v="89.254423607370711"/>
    <n v="116.98"/>
    <n v="5.85"/>
    <n v="122.83"/>
    <s v="Delivered"/>
    <m/>
    <n v="1"/>
    <n v="9"/>
    <n v="2025"/>
    <n v="10"/>
    <n v="2025"/>
    <n v="0.72665003343947498"/>
    <x v="807"/>
    <d v="2025-09-16T15:11:11"/>
    <x v="946"/>
    <s v="Paid"/>
    <d v="2025-10-22T00:00:00"/>
    <s v="2100654949"/>
    <x v="35"/>
    <x v="0"/>
    <n v="116.98"/>
    <n v="85.003520911749789"/>
    <n v="0.72665003343947498"/>
    <n v="-116.98"/>
    <n v="0"/>
    <n v="0"/>
    <s v=""/>
    <x v="0"/>
    <x v="0"/>
    <s v="Pend"/>
    <s v="Pend"/>
  </r>
  <r>
    <n v="1"/>
    <s v="SO17860"/>
    <s v="3304"/>
    <s v="INV13412"/>
    <s v="Les Pompes du St-Laurent Inc."/>
    <d v="2025-09-16T16:13:12"/>
    <d v="2025-09-16T16:14:30"/>
    <d v="2025-09-17T00:00:00"/>
    <s v="Ian Trottier"/>
    <s v="CAD"/>
    <n v="1"/>
    <n v="3039.52"/>
    <n v="0"/>
    <n v="2211.0125127792771"/>
    <n v="2894.78"/>
    <n v="144.74"/>
    <n v="3039.52"/>
    <s v="Delivered"/>
    <m/>
    <n v="1"/>
    <n v="9"/>
    <n v="2025"/>
    <n v="10"/>
    <n v="2025"/>
    <n v="0.72742160366744657"/>
    <x v="808"/>
    <d v="2025-09-16T16:13:12"/>
    <x v="947"/>
    <s v="Paid"/>
    <d v="2025-10-24T00:00:00"/>
    <s v="3304"/>
    <x v="7"/>
    <x v="0"/>
    <n v="2894.78"/>
    <n v="2105.7255098644509"/>
    <n v="0.72742160366744646"/>
    <n v="-2894.78"/>
    <n v="0"/>
    <n v="0"/>
    <s v=""/>
    <x v="0"/>
    <x v="0"/>
    <s v="Pend"/>
    <s v="Pend"/>
  </r>
  <r>
    <n v="1"/>
    <s v="SO17862"/>
    <s v="PO10007"/>
    <s v="INV13538"/>
    <s v="Tantalum Mining Corporation of Canada"/>
    <d v="2025-09-17T08:42:22"/>
    <d v="2025-10-01T16:39:26"/>
    <d v="2025-12-03T00:00:00"/>
    <s v="Leriel Reyes"/>
    <s v="CAD"/>
    <n v="1"/>
    <n v="7990.04"/>
    <n v="0"/>
    <n v="5727.7078668064596"/>
    <n v="7609.56"/>
    <n v="380.48"/>
    <n v="7990.04"/>
    <s v="Delivered"/>
    <m/>
    <n v="1"/>
    <n v="9"/>
    <n v="2025"/>
    <n v="11"/>
    <n v="2025"/>
    <n v="0.71685596903225257"/>
    <x v="809"/>
    <d v="2025-09-17T08:42:22"/>
    <x v="948"/>
    <s v="Paid"/>
    <d v="2025-11-20T00:00:00"/>
    <s v="PO10007"/>
    <x v="20"/>
    <x v="0"/>
    <n v="7609.56"/>
    <n v="5454.9585077090678"/>
    <n v="0.71685596903225257"/>
    <n v="-7609.56"/>
    <n v="0"/>
    <n v="0"/>
    <s v=""/>
    <x v="0"/>
    <x v="0"/>
    <s v="Pend"/>
    <s v="Pend"/>
  </r>
  <r>
    <n v="1"/>
    <s v="SO17863"/>
    <m/>
    <s v="INV13684"/>
    <s v="Dynapro Pumps México S de RL de CV"/>
    <d v="2025-09-17T09:36:07"/>
    <d v="2025-09-17T09:40:17"/>
    <d v="2025-10-01T00:00:00"/>
    <s v="Carlos Leon"/>
    <s v="USD"/>
    <n v="0.72742160366744635"/>
    <n v="584.25539997337808"/>
    <n v="0"/>
    <n v="425"/>
    <n v="425"/>
    <m/>
    <n v="425"/>
    <s v="Delivered"/>
    <m/>
    <n v="1"/>
    <n v="9"/>
    <n v="2025"/>
    <s v=""/>
    <s v=""/>
    <n v="0.71685596903225257"/>
    <x v="810"/>
    <d v="2025-09-17T09:36:07"/>
    <x v="949"/>
    <s v="Approved"/>
    <s v="Pending"/>
    <s v="PO10007"/>
    <x v="54"/>
    <x v="1"/>
    <n v="584.25539997337808"/>
    <n v="425"/>
    <n v="0.72742160366744635"/>
    <n v="0"/>
    <n v="-425"/>
    <s v=""/>
    <n v="0"/>
    <x v="1"/>
    <x v="2"/>
    <s v="Pend"/>
    <s v="Pend"/>
  </r>
  <r>
    <n v="1"/>
    <s v="SO17864"/>
    <s v="7687"/>
    <s v="INV13411"/>
    <s v="Hyperflo"/>
    <d v="2025-09-17T10:18:40"/>
    <d v="2025-09-17T10:35:03"/>
    <d v="2025-09-19T00:00:00"/>
    <s v="Wilka Nuñez"/>
    <s v="CAD"/>
    <n v="1"/>
    <n v="1086.52"/>
    <n v="0"/>
    <n v="789.51979433265831"/>
    <n v="1034.78"/>
    <n v="51.74"/>
    <n v="1086.52"/>
    <s v="Delivered"/>
    <m/>
    <n v="1"/>
    <n v="9"/>
    <n v="2025"/>
    <n v="10"/>
    <n v="2025"/>
    <n v="0.72665003343947498"/>
    <x v="811"/>
    <d v="2025-09-17T10:18:40"/>
    <x v="950"/>
    <s v="Paid"/>
    <d v="2025-10-23T00:00:00"/>
    <s v="7687"/>
    <x v="5"/>
    <x v="0"/>
    <n v="1034.78"/>
    <n v="751.92292160249985"/>
    <n v="0.72665003343947498"/>
    <n v="-1034.78"/>
    <n v="0"/>
    <n v="0"/>
    <s v=""/>
    <x v="0"/>
    <x v="0"/>
    <s v="Pend"/>
    <s v="Pend"/>
  </r>
  <r>
    <n v="3"/>
    <s v="SO17868"/>
    <s v="5296"/>
    <s v="INV13540"/>
    <s v="TC Industries of Canada Co."/>
    <d v="2025-09-17T12:21:12"/>
    <d v="2025-09-18T14:57:43"/>
    <d v="2025-12-11T00:00:00"/>
    <s v="Ian Trottier"/>
    <s v="CAD"/>
    <n v="1"/>
    <n v="12351.12"/>
    <n v="0"/>
    <n v="8951.4721082370797"/>
    <n v="10930.21"/>
    <n v="1420.91"/>
    <n v="12351.12"/>
    <s v="Processing"/>
    <m/>
    <n v="3"/>
    <n v="9"/>
    <n v="2025"/>
    <n v="11"/>
    <n v="2025"/>
    <n v="0.72474982902255658"/>
    <x v="812"/>
    <d v="2025-09-17T12:21:12"/>
    <x v="951"/>
    <s v="Paid"/>
    <d v="2025-11-06T00:00:00"/>
    <s v="5296"/>
    <x v="113"/>
    <x v="0"/>
    <n v="10930.21"/>
    <n v="7921.6678286806373"/>
    <n v="0.72474982902255658"/>
    <n v="-3958.75"/>
    <n v="0"/>
    <n v="6971.4599999999991"/>
    <s v=""/>
    <x v="0"/>
    <x v="1"/>
    <n v="0"/>
    <s v="Pend"/>
  </r>
  <r>
    <m/>
    <m/>
    <m/>
    <s v="INV13563"/>
    <m/>
    <m/>
    <m/>
    <m/>
    <m/>
    <m/>
    <m/>
    <m/>
    <m/>
    <m/>
    <m/>
    <m/>
    <m/>
    <m/>
    <m/>
    <n v="3"/>
    <n v="9"/>
    <n v="2025"/>
    <n v="10"/>
    <n v="2025"/>
    <n v="0.72474982902255658"/>
    <x v="812"/>
    <d v="2025-09-17T12:21:12"/>
    <x v="952"/>
    <s v="Paid"/>
    <d v="2025-10-28T00:00:00"/>
    <s v="5296"/>
    <x v="113"/>
    <x v="0"/>
    <n v="0"/>
    <n v="0"/>
    <n v="0"/>
    <n v="-3396.62"/>
    <n v="0"/>
    <n v="-3396.62"/>
    <s v=""/>
    <x v="0"/>
    <x v="1"/>
    <n v="0"/>
    <s v="Pend"/>
  </r>
  <r>
    <m/>
    <m/>
    <m/>
    <s v="INV13580"/>
    <m/>
    <m/>
    <m/>
    <m/>
    <m/>
    <m/>
    <m/>
    <m/>
    <m/>
    <m/>
    <m/>
    <m/>
    <m/>
    <m/>
    <m/>
    <n v="3"/>
    <n v="9"/>
    <n v="2025"/>
    <n v="10"/>
    <n v="2025"/>
    <n v="0.72474982902255658"/>
    <x v="812"/>
    <d v="2025-09-17T12:21:12"/>
    <x v="953"/>
    <s v="Paid"/>
    <d v="2025-10-30T00:00:00"/>
    <s v="5296"/>
    <x v="113"/>
    <x v="0"/>
    <n v="0"/>
    <n v="0"/>
    <n v="0"/>
    <n v="-178.22"/>
    <n v="0"/>
    <n v="-178.22"/>
    <s v=""/>
    <x v="0"/>
    <x v="1"/>
    <n v="0"/>
    <s v="Pend"/>
  </r>
  <r>
    <n v="1"/>
    <s v="SO17870"/>
    <s v="3316"/>
    <s v="INV13567"/>
    <s v="Les Pompes du St-Laurent Inc."/>
    <d v="2025-09-17T16:13:44"/>
    <d v="2025-09-25T12:50:52"/>
    <d v="2025-10-23T00:00:00"/>
    <s v="Ian Trottier"/>
    <s v="CAD"/>
    <n v="1"/>
    <n v="21904.25"/>
    <n v="0"/>
    <n v="15731.10142272283"/>
    <n v="20861.189999999999"/>
    <n v="1043.06"/>
    <n v="21904.25"/>
    <s v="Delivered"/>
    <m/>
    <n v="1"/>
    <n v="9"/>
    <n v="2025"/>
    <n v="12"/>
    <n v="2025"/>
    <n v="0.71817576144916306"/>
    <x v="813"/>
    <d v="2025-09-17T16:13:44"/>
    <x v="954"/>
    <s v="Paid"/>
    <d v="2025-12-11T00:00:00"/>
    <s v="3316"/>
    <x v="7"/>
    <x v="0"/>
    <n v="20861.189999999999"/>
    <n v="14982.001012985666"/>
    <n v="0.71817576144916306"/>
    <n v="-20861.189999999999"/>
    <n v="0"/>
    <n v="0"/>
    <s v=""/>
    <x v="0"/>
    <x v="0"/>
    <s v="Pend"/>
    <s v="Pend"/>
  </r>
  <r>
    <n v="1"/>
    <s v="SO17873"/>
    <s v="4512339725"/>
    <s v="INV13453"/>
    <s v="PT Vale Indonesia Tbk."/>
    <d v="2025-09-17T18:45:48"/>
    <d v="2025-09-17T18:43:47"/>
    <d v="2025-09-22T00:00:00"/>
    <s v="Wilka Nuñez"/>
    <s v="USD"/>
    <n v="0.72742160366744635"/>
    <n v="648.15231995164311"/>
    <n v="0"/>
    <n v="471.48"/>
    <n v="471.48"/>
    <m/>
    <n v="471.48"/>
    <s v="Delivered"/>
    <m/>
    <n v="1"/>
    <n v="9"/>
    <n v="2025"/>
    <s v=""/>
    <s v=""/>
    <n v="0.72742160366744635"/>
    <x v="814"/>
    <d v="2025-09-17T18:45:48"/>
    <x v="955"/>
    <s v="Approved"/>
    <s v="Pending"/>
    <s v="4512339725"/>
    <x v="42"/>
    <x v="1"/>
    <n v="648.15231995164311"/>
    <n v="471.48"/>
    <n v="0.72742160366744635"/>
    <n v="0"/>
    <n v="0"/>
    <s v=""/>
    <n v="471.48"/>
    <x v="1"/>
    <x v="2"/>
    <s v="Pend"/>
    <s v="Pend"/>
  </r>
  <r>
    <n v="1"/>
    <s v="SO17874"/>
    <s v="324501"/>
    <s v="INV13494"/>
    <s v="Gibraltar Mine (Canada)"/>
    <d v="2025-09-18T08:01:58"/>
    <d v="2025-09-18T11:09:04"/>
    <d v="2025-11-13T00:00:00"/>
    <s v="Ian Trottier"/>
    <s v="CAD"/>
    <n v="1"/>
    <n v="6106.39"/>
    <n v="0"/>
    <n v="4425.6051084450492"/>
    <n v="5815.61"/>
    <n v="290.77999999999997"/>
    <n v="6106.39"/>
    <s v="Delivered"/>
    <m/>
    <n v="1"/>
    <n v="9"/>
    <n v="2025"/>
    <n v="10"/>
    <n v="2025"/>
    <n v="0.72474982902255647"/>
    <x v="815"/>
    <d v="2025-09-18T08:01:58"/>
    <x v="956"/>
    <s v="Paid"/>
    <d v="2025-10-29T00:00:00"/>
    <s v="324501"/>
    <x v="11"/>
    <x v="0"/>
    <n v="5815.61"/>
    <n v="4214.8623531618696"/>
    <n v="0.72474982902255647"/>
    <n v="-5815.61"/>
    <n v="0"/>
    <n v="0"/>
    <s v=""/>
    <x v="0"/>
    <x v="0"/>
    <s v="Pend"/>
    <s v="Pend"/>
  </r>
  <r>
    <n v="1"/>
    <s v="SO17876"/>
    <s v="7698"/>
    <s v="INV13425"/>
    <s v="Hyperflo, Hyperflo"/>
    <d v="2025-09-18T09:46:14"/>
    <d v="2025-09-22T16:28:02"/>
    <d v="2025-09-29T00:00:00"/>
    <s v="Aleksandar Stankovic"/>
    <s v="CAD"/>
    <n v="1"/>
    <n v="588.59"/>
    <n v="0"/>
    <n v="426.02547517035902"/>
    <n v="560.55999999999995"/>
    <n v="28.03"/>
    <n v="588.59"/>
    <s v="Delivered"/>
    <m/>
    <n v="1"/>
    <n v="9"/>
    <n v="2025"/>
    <n v="10"/>
    <n v="2025"/>
    <n v="0.72380685225769892"/>
    <x v="816"/>
    <d v="2025-09-18T09:46:14"/>
    <x v="957"/>
    <s v="Paid"/>
    <d v="2025-10-30T00:00:00"/>
    <s v="7698"/>
    <x v="97"/>
    <x v="0"/>
    <n v="560.55999999999995"/>
    <n v="405.73716910157566"/>
    <n v="0.72380685225769892"/>
    <n v="-560.55999999999995"/>
    <n v="0"/>
    <n v="0"/>
    <s v=""/>
    <x v="0"/>
    <x v="0"/>
    <s v="Pend"/>
    <s v="Pend"/>
  </r>
  <r>
    <n v="1"/>
    <s v="SO17877"/>
    <s v="ON50-00003207"/>
    <s v="INV13493"/>
    <s v="Motion Industries Inc. (Canada) - Thunder Bay"/>
    <d v="2025-09-18T12:52:19"/>
    <d v="2025-09-19T14:33:50"/>
    <d v="2025-09-22T00:00:00"/>
    <s v="Leriel Reyes"/>
    <s v="CAD"/>
    <n v="1"/>
    <n v="6766.44"/>
    <n v="0"/>
    <n v="4913.3074997820386"/>
    <n v="5988"/>
    <n v="778.44"/>
    <n v="6766.44"/>
    <s v="Delivered"/>
    <m/>
    <n v="1"/>
    <n v="9"/>
    <n v="2025"/>
    <s v=""/>
    <s v=""/>
    <n v="0.72612888014702548"/>
    <x v="817"/>
    <d v="2025-09-18T12:52:19"/>
    <x v="958"/>
    <s v="Approved"/>
    <s v="Pending"/>
    <s v="ON50-00003207"/>
    <x v="88"/>
    <x v="0"/>
    <n v="5988"/>
    <n v="4348.059734320389"/>
    <n v="0.72612888014702559"/>
    <n v="-5988"/>
    <n v="0"/>
    <n v="0"/>
    <s v=""/>
    <x v="1"/>
    <x v="2"/>
    <s v="Pend"/>
    <s v="Pend"/>
  </r>
  <r>
    <n v="1"/>
    <s v="SO17878"/>
    <s v="3102228"/>
    <s v="INV13441"/>
    <s v="Lantic Inc."/>
    <d v="2025-09-18T13:16:15"/>
    <d v="2025-09-18T17:15:17"/>
    <d v="2025-09-19T00:00:00"/>
    <s v="Ian Trottier"/>
    <s v="CAD"/>
    <n v="1"/>
    <n v="1363.01"/>
    <n v="0"/>
    <n v="987.84126445603488"/>
    <n v="1298.0999999999999"/>
    <n v="64.91"/>
    <n v="1363.01"/>
    <s v="Delivered"/>
    <m/>
    <n v="1"/>
    <n v="9"/>
    <n v="2025"/>
    <s v=""/>
    <s v=""/>
    <n v="0.72474982902255658"/>
    <x v="818"/>
    <d v="2025-09-18T13:16:15"/>
    <x v="959"/>
    <s v="Not invoiced"/>
    <s v="Pending"/>
    <s v="3102228"/>
    <x v="142"/>
    <x v="0"/>
    <n v="1298.0999999999999"/>
    <n v="940.79775305418059"/>
    <n v="0.72474982902255658"/>
    <n v="0"/>
    <n v="0"/>
    <n v="1298.0999999999999"/>
    <s v=""/>
    <x v="1"/>
    <x v="2"/>
    <s v="Pend"/>
    <s v="Pend"/>
  </r>
  <r>
    <n v="1"/>
    <s v="SO17879"/>
    <s v="4500909582"/>
    <s v="INV13736"/>
    <s v="Cameco Corporation - Blind River Refinery"/>
    <d v="2025-09-18T13:24:18"/>
    <d v="2025-09-23T09:43:20"/>
    <d v="2025-12-16T00:00:00"/>
    <s v="Ian Trottier"/>
    <s v="CAD"/>
    <n v="1"/>
    <n v="9939.7999999999993"/>
    <n v="0"/>
    <n v="7184.6891946095939"/>
    <n v="8796.2800000000007"/>
    <n v="1143.52"/>
    <n v="9939.7999999999993"/>
    <s v="Delivered"/>
    <m/>
    <n v="1"/>
    <n v="9"/>
    <n v="2025"/>
    <s v=""/>
    <s v=""/>
    <n v="0.72282029765282951"/>
    <x v="819"/>
    <d v="2025-09-18T13:24:18"/>
    <x v="960"/>
    <s v="Approved"/>
    <s v="Pending"/>
    <s v="4500909582"/>
    <x v="92"/>
    <x v="0"/>
    <n v="8796.2800000000007"/>
    <n v="6358.1297278376314"/>
    <n v="0.72282029765282951"/>
    <n v="-8796.2800000000007"/>
    <n v="0"/>
    <n v="0"/>
    <s v=""/>
    <x v="1"/>
    <x v="2"/>
    <s v="Pend"/>
    <s v="Pend"/>
  </r>
  <r>
    <n v="1"/>
    <s v="SO17880"/>
    <s v="4500613640"/>
    <s v="INV13473"/>
    <s v="Resolute Forest Products - Saint-Felicien"/>
    <d v="2025-09-18T17:14:58"/>
    <d v="2025-09-30T18:52:46"/>
    <d v="2025-10-07T00:00:00"/>
    <s v="Alexis Gil Lamadrid"/>
    <s v="CAD"/>
    <n v="1"/>
    <n v="1421.05"/>
    <n v="0"/>
    <n v="1020.153613009237"/>
    <n v="1353.38"/>
    <n v="67.67"/>
    <n v="1421.05"/>
    <s v="Delivered"/>
    <m/>
    <n v="1"/>
    <n v="9"/>
    <n v="2025"/>
    <n v="11"/>
    <n v="2025"/>
    <n v="0.7178872052420654"/>
    <x v="820"/>
    <d v="2025-09-18T17:14:58"/>
    <x v="961"/>
    <s v="Paid"/>
    <d v="2025-11-28T00:00:00"/>
    <s v="4500613640"/>
    <x v="46"/>
    <x v="0"/>
    <n v="1353.38"/>
    <n v="971.57418583050651"/>
    <n v="0.7178872052420654"/>
    <n v="-1353.38"/>
    <n v="0"/>
    <n v="0"/>
    <s v=""/>
    <x v="0"/>
    <x v="0"/>
    <s v="Pend"/>
    <s v="Pend"/>
  </r>
  <r>
    <n v="1"/>
    <s v="SO17889"/>
    <s v="7696"/>
    <s v="INV13424"/>
    <s v="Hyperflo"/>
    <d v="2025-09-22T12:08:39"/>
    <d v="2025-09-22T12:17:15"/>
    <d v="2025-09-29T00:00:00"/>
    <s v="Ian Trottier"/>
    <s v="CAD"/>
    <n v="1"/>
    <n v="316.83"/>
    <n v="0"/>
    <n v="229.32372500080669"/>
    <n v="301.74"/>
    <n v="15.09"/>
    <n v="316.83"/>
    <s v="Delivered"/>
    <m/>
    <n v="1"/>
    <n v="9"/>
    <n v="2025"/>
    <n v="10"/>
    <n v="2025"/>
    <n v="0.72380685225769881"/>
    <x v="821"/>
    <d v="2025-09-22T12:08:39"/>
    <x v="962"/>
    <s v="Paid"/>
    <d v="2025-10-30T00:00:00"/>
    <s v="7696"/>
    <x v="5"/>
    <x v="0"/>
    <n v="301.74"/>
    <n v="218.40147960023805"/>
    <n v="0.72380685225769881"/>
    <n v="-301.74"/>
    <n v="0"/>
    <n v="0"/>
    <s v=""/>
    <x v="0"/>
    <x v="0"/>
    <s v="Pend"/>
    <s v="Pend"/>
  </r>
  <r>
    <n v="2"/>
    <s v="SO17892"/>
    <s v="10676"/>
    <s v="INV13577"/>
    <s v="Canadian Industrial Pumps Ltd"/>
    <d v="2025-09-22T16:48:21"/>
    <d v="2025-10-29T13:08:20"/>
    <d v="2025-11-12T00:00:00"/>
    <s v="Alexis Gil Lamadrid"/>
    <s v="CAD"/>
    <n v="1"/>
    <n v="3635.55"/>
    <n v="0"/>
    <n v="2616.3551289474171"/>
    <n v="3462.42"/>
    <n v="173.13"/>
    <n v="3635.55"/>
    <s v="Delivered"/>
    <m/>
    <n v="2"/>
    <n v="9"/>
    <n v="2025"/>
    <n v="12"/>
    <n v="2025"/>
    <n v="0.71965868409110512"/>
    <x v="822"/>
    <d v="2025-09-22T16:48:21"/>
    <x v="963"/>
    <s v="Paid"/>
    <d v="2025-12-12T00:00:00"/>
    <s v="10676"/>
    <x v="48"/>
    <x v="0"/>
    <n v="3462.42"/>
    <n v="2491.7606209707242"/>
    <n v="0.71965868409110512"/>
    <n v="-3441.47"/>
    <n v="0"/>
    <n v="20.950000000000273"/>
    <s v=""/>
    <x v="0"/>
    <x v="1"/>
    <n v="0"/>
    <s v="Pend"/>
  </r>
  <r>
    <m/>
    <m/>
    <m/>
    <s v="INV13598"/>
    <m/>
    <m/>
    <m/>
    <m/>
    <m/>
    <m/>
    <m/>
    <m/>
    <m/>
    <m/>
    <m/>
    <m/>
    <m/>
    <m/>
    <m/>
    <n v="2"/>
    <n v="9"/>
    <n v="2025"/>
    <n v="12"/>
    <n v="2025"/>
    <n v="0.71965868409110512"/>
    <x v="822"/>
    <d v="2025-09-22T16:48:21"/>
    <x v="964"/>
    <s v="Paid"/>
    <d v="2025-12-12T00:00:00"/>
    <s v="10676"/>
    <x v="48"/>
    <x v="0"/>
    <n v="0"/>
    <n v="0"/>
    <n v="0"/>
    <n v="-20.95"/>
    <n v="0"/>
    <n v="-20.95"/>
    <s v=""/>
    <x v="0"/>
    <x v="1"/>
    <n v="0"/>
    <s v="Pend"/>
  </r>
  <r>
    <n v="1"/>
    <s v="SO17893"/>
    <s v="BC65-00081890"/>
    <s v="INV13498"/>
    <s v="Motion Industries Inc. (Canada) - Prince George"/>
    <d v="2025-09-22T18:41:46"/>
    <d v="2025-09-25T15:26:57"/>
    <d v="2025-10-02T00:00:00"/>
    <s v="Ian Trottier"/>
    <s v="CAD"/>
    <n v="1"/>
    <n v="1957.12"/>
    <n v="0"/>
    <n v="1405.5561462473861"/>
    <n v="1863.92"/>
    <n v="93.2"/>
    <n v="1957.12"/>
    <s v="Delivered"/>
    <m/>
    <n v="1"/>
    <n v="9"/>
    <n v="2025"/>
    <n v="10"/>
    <n v="2025"/>
    <n v="0.71817576144916317"/>
    <x v="823"/>
    <d v="2025-09-22T18:41:46"/>
    <x v="965"/>
    <s v="Paid"/>
    <d v="2025-10-31T00:00:00"/>
    <s v="BC65-00081890"/>
    <x v="41"/>
    <x v="0"/>
    <n v="1863.92"/>
    <n v="1338.6221652803242"/>
    <n v="0.71817576144916317"/>
    <n v="-1863.92"/>
    <n v="0"/>
    <n v="0"/>
    <s v=""/>
    <x v="0"/>
    <x v="0"/>
    <s v="Pend"/>
    <s v="Pend"/>
  </r>
  <r>
    <n v="0"/>
    <s v="SO17895"/>
    <s v="1060 Ship to PO# 2256099"/>
    <m/>
    <s v="Mill-Right Mine Services Inc."/>
    <d v="2025-09-23T08:11:18"/>
    <d v="2025-09-23T08:12:07"/>
    <d v="2025-12-09T00:00:00"/>
    <s v="Amanda Qiao"/>
    <s v="USD"/>
    <n v="0.72380685225769881"/>
    <n v="3675.0135643271769"/>
    <n v="0"/>
    <n v="2660"/>
    <n v="2660"/>
    <m/>
    <n v="2660"/>
    <s v="Processing"/>
    <m/>
    <n v="0"/>
    <n v="9"/>
    <n v="2025"/>
    <s v=""/>
    <s v=""/>
    <n v="0.72380685225769881"/>
    <x v="824"/>
    <d v="2025-09-23T08:11:18"/>
    <x v="54"/>
    <s v="Not invoiced"/>
    <s v="Pending"/>
    <s v="1060 Ship to PO# 2256099"/>
    <x v="30"/>
    <x v="1"/>
    <n v="3675.0135643271769"/>
    <n v="2660"/>
    <n v="0.72380685225769881"/>
    <n v="0"/>
    <n v="0"/>
    <s v=""/>
    <n v="2660"/>
    <x v="1"/>
    <x v="2"/>
    <s v="Pend"/>
    <s v="Pend"/>
  </r>
  <r>
    <n v="1"/>
    <s v="SO17896"/>
    <s v="2100661342"/>
    <s v="INV13485"/>
    <s v="Wajax Limited - Noranda"/>
    <d v="2025-09-23T08:16:18"/>
    <d v="2025-09-26T10:37:25"/>
    <d v="2025-09-29T00:00:00"/>
    <s v="Wilka Nuñez"/>
    <s v="CAD"/>
    <n v="1"/>
    <n v="797.17"/>
    <n v="0"/>
    <n v="571.56100684542128"/>
    <n v="759.21"/>
    <n v="37.96"/>
    <n v="797.17"/>
    <s v="Delivered"/>
    <m/>
    <n v="1"/>
    <n v="9"/>
    <n v="2025"/>
    <n v="11"/>
    <n v="2025"/>
    <n v="0.71698760219955759"/>
    <x v="825"/>
    <d v="2025-09-23T08:16:18"/>
    <x v="966"/>
    <s v="Paid"/>
    <d v="2025-11-12T00:00:00"/>
    <s v="2100661342"/>
    <x v="35"/>
    <x v="0"/>
    <n v="759.21"/>
    <n v="544.34415746592617"/>
    <n v="0.71698760219955759"/>
    <n v="-759.21"/>
    <n v="0"/>
    <n v="0"/>
    <s v=""/>
    <x v="0"/>
    <x v="0"/>
    <s v="Pend"/>
    <s v="Pend"/>
  </r>
  <r>
    <n v="1"/>
    <s v="SO17897"/>
    <s v="OC00209"/>
    <s v="INV13520"/>
    <s v="Dynapro Pumps México S de RL de CV"/>
    <d v="2025-09-23T10:52:25"/>
    <d v="2025-09-23T10:51:51"/>
    <d v="2025-09-23T00:00:00"/>
    <s v="Yannett Yeomans"/>
    <s v="USD"/>
    <n v="0.72380685225769881"/>
    <n v="690.79202336977005"/>
    <n v="0"/>
    <n v="500"/>
    <n v="500"/>
    <m/>
    <n v="500"/>
    <s v="Delivered"/>
    <m/>
    <n v="1"/>
    <n v="9"/>
    <n v="2025"/>
    <s v=""/>
    <s v=""/>
    <n v="0.72380685225769881"/>
    <x v="826"/>
    <d v="2025-09-23T10:52:25"/>
    <x v="967"/>
    <s v="Approved"/>
    <s v="Pending"/>
    <s v="OC00209"/>
    <x v="54"/>
    <x v="1"/>
    <n v="690.79202336977005"/>
    <n v="500"/>
    <n v="0.72380685225769881"/>
    <n v="0"/>
    <n v="-500"/>
    <s v=""/>
    <n v="0"/>
    <x v="1"/>
    <x v="2"/>
    <s v="Pend"/>
    <s v="Pend"/>
  </r>
  <r>
    <n v="1"/>
    <s v="SO17898"/>
    <s v="PO324623"/>
    <s v="INV13659"/>
    <s v="Gibraltar Mine (Canada)"/>
    <d v="2025-09-23T11:06:45"/>
    <d v="2025-09-23T14:58:41"/>
    <d v="2025-11-20T00:00:00"/>
    <s v="Aleksandar Stankovic"/>
    <s v="CAD"/>
    <n v="1"/>
    <n v="21694.41"/>
    <n v="0"/>
    <n v="15681.15989360252"/>
    <n v="20812.96"/>
    <n v="881.45"/>
    <n v="21694.41"/>
    <s v="Delivered"/>
    <m/>
    <n v="1"/>
    <n v="9"/>
    <n v="2025"/>
    <s v=""/>
    <s v=""/>
    <n v="0.72282029765282951"/>
    <x v="827"/>
    <d v="2025-09-23T11:06:45"/>
    <x v="968"/>
    <s v="Not invoiced"/>
    <s v="Pending"/>
    <s v="PO324623"/>
    <x v="11"/>
    <x v="0"/>
    <n v="20812.96"/>
    <n v="15044.029942236433"/>
    <n v="0.72282029765282951"/>
    <n v="0"/>
    <n v="0"/>
    <n v="20812.96"/>
    <s v=""/>
    <x v="1"/>
    <x v="2"/>
    <s v="Pend"/>
    <s v="Pend"/>
  </r>
  <r>
    <n v="2"/>
    <s v="SO17899"/>
    <s v="P367830"/>
    <s v="INV13532"/>
    <s v="Covia Corp - Junction City"/>
    <d v="2025-09-23T13:31:53"/>
    <d v="2025-09-26T11:32:11"/>
    <d v="2025-10-24T00:00:00"/>
    <s v="Alexis Gil Lamadrid"/>
    <s v="USD"/>
    <n v="0.71817576144916317"/>
    <n v="5107.189906547178"/>
    <n v="0"/>
    <n v="3667.86"/>
    <n v="3667.86"/>
    <m/>
    <n v="3667.86"/>
    <s v="Delivered"/>
    <m/>
    <n v="2"/>
    <n v="9"/>
    <n v="2025"/>
    <s v=""/>
    <s v=""/>
    <n v="0.71817576144916317"/>
    <x v="828"/>
    <d v="2025-09-23T13:31:53"/>
    <x v="969"/>
    <s v="Approved"/>
    <s v="Pending"/>
    <s v="P367830"/>
    <x v="6"/>
    <x v="1"/>
    <n v="5107.189906547178"/>
    <n v="3667.86"/>
    <n v="0.71817576144916317"/>
    <n v="0"/>
    <n v="-2623.78"/>
    <s v=""/>
    <n v="1044.08"/>
    <x v="1"/>
    <x v="1"/>
    <n v="0"/>
    <s v="Pend"/>
  </r>
  <r>
    <m/>
    <m/>
    <m/>
    <s v="INV13553"/>
    <m/>
    <m/>
    <m/>
    <m/>
    <m/>
    <m/>
    <m/>
    <m/>
    <m/>
    <m/>
    <m/>
    <m/>
    <m/>
    <m/>
    <m/>
    <n v="2"/>
    <n v="9"/>
    <n v="2025"/>
    <s v=""/>
    <s v=""/>
    <n v="0.71817576144916317"/>
    <x v="828"/>
    <d v="2025-09-23T13:31:53"/>
    <x v="970"/>
    <s v="Approved"/>
    <s v="Pending"/>
    <s v="P367830"/>
    <x v="6"/>
    <x v="1"/>
    <n v="0"/>
    <n v="0"/>
    <n v="0"/>
    <n v="0"/>
    <n v="-1044.08"/>
    <s v=""/>
    <n v="-1044.08"/>
    <x v="1"/>
    <x v="1"/>
    <n v="0"/>
    <s v="Pend"/>
  </r>
  <r>
    <n v="2"/>
    <s v="SO17900"/>
    <s v="PO2100658530"/>
    <s v="INV13517"/>
    <s v="Wajax Limited - Lachine"/>
    <d v="2025-09-23T13:41:12"/>
    <d v="2025-09-23T14:00:25"/>
    <d v="2025-09-30T00:00:00"/>
    <s v="Aleksandar Stankovic"/>
    <s v="CAD"/>
    <n v="1"/>
    <n v="942.98"/>
    <n v="0"/>
    <n v="681.60508428066521"/>
    <n v="898.07"/>
    <n v="44.91"/>
    <n v="942.98"/>
    <s v="Delivered"/>
    <m/>
    <n v="2"/>
    <n v="9"/>
    <n v="2025"/>
    <n v="11"/>
    <n v="2025"/>
    <n v="0.72282029765282951"/>
    <x v="829"/>
    <d v="2025-09-23T13:41:12"/>
    <x v="971"/>
    <s v="Paid"/>
    <d v="2025-11-27T00:00:00"/>
    <s v="PO2100658530"/>
    <x v="77"/>
    <x v="0"/>
    <n v="898.07"/>
    <n v="649.14322471307662"/>
    <n v="0.72282029765282951"/>
    <n v="-848.91"/>
    <n v="0"/>
    <n v="49.160000000000082"/>
    <s v=""/>
    <x v="0"/>
    <x v="1"/>
    <n v="0"/>
    <s v="Pend"/>
  </r>
  <r>
    <m/>
    <m/>
    <m/>
    <s v="INV13633"/>
    <m/>
    <m/>
    <m/>
    <m/>
    <m/>
    <m/>
    <m/>
    <m/>
    <m/>
    <m/>
    <m/>
    <m/>
    <m/>
    <m/>
    <m/>
    <n v="2"/>
    <n v="9"/>
    <n v="2025"/>
    <s v=""/>
    <s v=""/>
    <n v="0.72282029765282951"/>
    <x v="829"/>
    <d v="2025-09-23T13:41:12"/>
    <x v="972"/>
    <s v="Approved"/>
    <s v="Pending"/>
    <s v="PO2100658530"/>
    <x v="77"/>
    <x v="0"/>
    <n v="0"/>
    <n v="0"/>
    <n v="0"/>
    <n v="0"/>
    <n v="0"/>
    <n v="0"/>
    <s v=""/>
    <x v="1"/>
    <x v="1"/>
    <n v="0"/>
    <s v="Pend"/>
  </r>
  <r>
    <n v="0"/>
    <s v="SO17901"/>
    <s v="54074193"/>
    <m/>
    <s v="Corrosion Fluid Products Corp."/>
    <d v="2025-09-23T16:21:47"/>
    <d v="2025-09-23T16:21:47"/>
    <d v="2025-11-26T00:00:00"/>
    <s v="Ian Trottier"/>
    <s v="USD"/>
    <n v="0.72380685225769881"/>
    <n v="1737.9636515960051"/>
    <n v="0"/>
    <n v="1257.95"/>
    <n v="1257.95"/>
    <m/>
    <n v="1257.95"/>
    <s v="To Deliver"/>
    <m/>
    <n v="0"/>
    <n v="9"/>
    <n v="2025"/>
    <s v=""/>
    <s v=""/>
    <n v="0.72380685225769859"/>
    <x v="830"/>
    <d v="2025-09-23T16:21:47"/>
    <x v="54"/>
    <s v="Not invoiced"/>
    <s v="Pending"/>
    <s v="54074193"/>
    <x v="19"/>
    <x v="1"/>
    <n v="1737.9636515960046"/>
    <n v="1257.95"/>
    <n v="0.72380685225769881"/>
    <n v="0"/>
    <n v="0"/>
    <s v=""/>
    <n v="1257.95"/>
    <x v="1"/>
    <x v="2"/>
    <s v="Pend"/>
    <s v="Pend"/>
  </r>
  <r>
    <n v="1"/>
    <s v="SO17902"/>
    <s v="PO003525"/>
    <s v="INV13711"/>
    <s v="Eleazar General &amp; Industrial Supplies Limited"/>
    <d v="2025-09-23T16:38:49"/>
    <d v="2025-11-27T13:59:08"/>
    <d v="2025-12-04T00:00:00"/>
    <s v="Alexis Gil Lamadrid"/>
    <s v="USD"/>
    <n v="0.70832754622107197"/>
    <n v="2752.9636682961882"/>
    <n v="0"/>
    <n v="1950"/>
    <n v="1950"/>
    <m/>
    <n v="1950"/>
    <s v="Delivered"/>
    <m/>
    <n v="1"/>
    <n v="9"/>
    <n v="2025"/>
    <s v=""/>
    <s v=""/>
    <n v="0.70832754622107197"/>
    <x v="831"/>
    <d v="2025-09-23T16:38:49"/>
    <x v="973"/>
    <s v="Approved"/>
    <s v="Pending"/>
    <s v="PO003525"/>
    <x v="8"/>
    <x v="1"/>
    <n v="2752.9636682961882"/>
    <n v="1950"/>
    <n v="0.70832754622107197"/>
    <n v="0"/>
    <n v="-1950"/>
    <s v=""/>
    <n v="0"/>
    <x v="1"/>
    <x v="2"/>
    <s v="Pend"/>
    <s v="Pend"/>
  </r>
  <r>
    <n v="2"/>
    <s v="SO17903"/>
    <s v="3384"/>
    <s v="INV13625"/>
    <s v="Les Pompes du St-Laurent Inc."/>
    <d v="2025-09-23T16:40:30"/>
    <d v="2025-11-06T16:48:54"/>
    <d v="2025-12-04T00:00:00"/>
    <s v="Ian Trottier"/>
    <s v="CAD"/>
    <n v="1"/>
    <n v="4113.49"/>
    <n v="4113.49"/>
    <n v="4113.49"/>
    <n v="3853"/>
    <n v="260.49"/>
    <n v="4113.49"/>
    <s v="Delivered"/>
    <m/>
    <n v="2"/>
    <n v="9"/>
    <n v="2025"/>
    <s v=""/>
    <s v=""/>
    <n v="1"/>
    <x v="832"/>
    <d v="2025-09-23T16:40:30"/>
    <x v="974"/>
    <s v="Approved"/>
    <s v="Pending"/>
    <s v="3384"/>
    <x v="7"/>
    <x v="0"/>
    <n v="3853"/>
    <n v="2781.099751647962"/>
    <n v="0.72180112941810592"/>
    <n v="-3683.4"/>
    <n v="0"/>
    <n v="169.59999999999991"/>
    <s v=""/>
    <x v="1"/>
    <x v="1"/>
    <s v="Pend"/>
    <s v="Pend"/>
  </r>
  <r>
    <m/>
    <m/>
    <m/>
    <s v="INV13763"/>
    <m/>
    <m/>
    <m/>
    <m/>
    <m/>
    <m/>
    <m/>
    <m/>
    <m/>
    <m/>
    <m/>
    <m/>
    <m/>
    <m/>
    <m/>
    <n v="2"/>
    <n v="9"/>
    <n v="2025"/>
    <s v=""/>
    <s v=""/>
    <n v="1"/>
    <x v="832"/>
    <d v="2025-09-23T16:40:30"/>
    <x v="975"/>
    <s v="Not invoiced"/>
    <s v="Pending"/>
    <s v="3384"/>
    <x v="7"/>
    <x v="0"/>
    <n v="0"/>
    <n v="0"/>
    <n v="0"/>
    <n v="0"/>
    <n v="0"/>
    <n v="0"/>
    <s v=""/>
    <x v="1"/>
    <x v="1"/>
    <s v="Pend"/>
    <s v="Pend"/>
  </r>
  <r>
    <n v="1"/>
    <s v="SO17904"/>
    <s v="7704"/>
    <s v="INV13464"/>
    <s v="Hyperflo, Hyperflo"/>
    <d v="2025-09-24T09:47:07"/>
    <d v="2025-09-24T09:47:21"/>
    <d v="2025-10-01T00:00:00"/>
    <s v="Ian Trottier"/>
    <s v="CAD"/>
    <n v="1"/>
    <n v="1006.02"/>
    <n v="0"/>
    <n v="723.99328247876781"/>
    <n v="958.11"/>
    <n v="47.91"/>
    <n v="1006.02"/>
    <s v="Delivered"/>
    <m/>
    <n v="1"/>
    <n v="9"/>
    <n v="2025"/>
    <n v="11"/>
    <n v="2025"/>
    <n v="0.71966092371798551"/>
    <x v="833"/>
    <d v="2025-09-24T09:47:07"/>
    <x v="976"/>
    <s v="Paid"/>
    <d v="2025-11-28T00:00:00"/>
    <s v="7704"/>
    <x v="97"/>
    <x v="0"/>
    <n v="958.11"/>
    <n v="689.51432762343916"/>
    <n v="0.71966092371798551"/>
    <n v="-958.11"/>
    <n v="0"/>
    <n v="0"/>
    <s v=""/>
    <x v="0"/>
    <x v="0"/>
    <s v="Pend"/>
    <s v="Pend"/>
  </r>
  <r>
    <n v="1"/>
    <s v="SO17905"/>
    <s v="PO-40-1018016"/>
    <s v="INV13443"/>
    <s v="Canadian Bearings Ltd."/>
    <d v="2025-09-24T10:03:23"/>
    <d v="2025-09-24T10:03:29"/>
    <d v="2025-10-01T00:00:00"/>
    <s v="Aleksandar Stankovic"/>
    <s v="CAD"/>
    <n v="1"/>
    <n v="270.35000000000002"/>
    <n v="0"/>
    <n v="194.56033072715741"/>
    <n v="270.35000000000002"/>
    <m/>
    <n v="270.35000000000002"/>
    <s v="Delivered"/>
    <m/>
    <n v="1"/>
    <n v="9"/>
    <n v="2025"/>
    <s v=""/>
    <s v=""/>
    <n v="0.71966092371798551"/>
    <x v="834"/>
    <d v="2025-09-24T10:03:23"/>
    <x v="977"/>
    <s v="Not invoiced"/>
    <s v="Pending"/>
    <s v="PO-40-1018016"/>
    <x v="38"/>
    <x v="0"/>
    <n v="270.35000000000002"/>
    <n v="194.56033072715741"/>
    <n v="0.71966092371798551"/>
    <n v="0"/>
    <n v="0"/>
    <n v="270.35000000000002"/>
    <s v=""/>
    <x v="1"/>
    <x v="2"/>
    <s v="Pend"/>
    <s v="Pend"/>
  </r>
  <r>
    <n v="1"/>
    <s v="SO17906"/>
    <s v="4500587501"/>
    <s v="INV13449"/>
    <s v="Glencore Canada Corporation - Rouyn-Noranda"/>
    <d v="2025-09-24T10:52:52"/>
    <d v="2025-09-24T11:03:33"/>
    <d v="2025-09-26T00:00:00"/>
    <s v="Ian Trottier"/>
    <s v="CAD"/>
    <n v="1"/>
    <n v="12298.19"/>
    <n v="0"/>
    <n v="8850.5267754592933"/>
    <n v="11712.55"/>
    <n v="585.64"/>
    <n v="12298.19"/>
    <s v="Delivered"/>
    <m/>
    <n v="1"/>
    <n v="9"/>
    <n v="2025"/>
    <n v="11"/>
    <n v="2025"/>
    <n v="0.71966092371798551"/>
    <x v="835"/>
    <d v="2025-09-24T10:52:52"/>
    <x v="978"/>
    <s v="Paid"/>
    <d v="2025-11-06T00:00:00"/>
    <s v="4500587501"/>
    <x v="81"/>
    <x v="0"/>
    <n v="11712.55"/>
    <n v="8429.0645520930902"/>
    <n v="0.71966092371798551"/>
    <n v="-11712.55"/>
    <n v="0"/>
    <n v="0"/>
    <s v=""/>
    <x v="0"/>
    <x v="0"/>
    <s v="Pend"/>
    <s v="Pend"/>
  </r>
  <r>
    <n v="1"/>
    <s v="SO17910"/>
    <s v="4500617120"/>
    <s v="INV13836"/>
    <s v="Resolute Forest Products - Saint-Felicien"/>
    <d v="2025-09-24T15:56:44"/>
    <d v="2025-10-10T11:56:12"/>
    <d v="2026-01-02T00:00:00"/>
    <s v="Ian Trottier"/>
    <s v="CAD"/>
    <n v="1"/>
    <n v="10170.530000000001"/>
    <n v="0"/>
    <n v="7265.0211063684737"/>
    <n v="9686.2199999999993"/>
    <n v="484.31"/>
    <n v="10170.530000000001"/>
    <s v="Delivered"/>
    <m/>
    <n v="1"/>
    <n v="9"/>
    <n v="2025"/>
    <s v=""/>
    <s v=""/>
    <n v="0.71432079806740389"/>
    <x v="836"/>
    <d v="2025-09-24T15:56:44"/>
    <x v="979"/>
    <s v="Not invoiced"/>
    <s v="Pending"/>
    <s v="4500617120"/>
    <x v="46"/>
    <x v="0"/>
    <n v="9686.2199999999993"/>
    <n v="6919.0684006564488"/>
    <n v="0.71432079806740389"/>
    <n v="0"/>
    <n v="0"/>
    <n v="9686.2199999999993"/>
    <s v=""/>
    <x v="1"/>
    <x v="2"/>
    <s v="Pend"/>
    <s v="Pend"/>
  </r>
  <r>
    <n v="1"/>
    <s v="SO17911"/>
    <s v="4487"/>
    <s v="INV13755"/>
    <s v="Middle Georgia Fluid Sealing LLC"/>
    <d v="2025-09-24T16:42:23"/>
    <d v="2025-12-10T15:28:38"/>
    <d v="2025-12-12T00:00:00"/>
    <s v="Eduardo Talamantes"/>
    <s v="USD"/>
    <n v="0.72282535844006246"/>
    <n v="12990.689784686951"/>
    <n v="0"/>
    <n v="9390"/>
    <n v="9390"/>
    <m/>
    <n v="9390"/>
    <s v="Delivered"/>
    <m/>
    <n v="1"/>
    <n v="9"/>
    <n v="2025"/>
    <n v="12"/>
    <n v="2025"/>
    <n v="0.72282535844006224"/>
    <x v="837"/>
    <d v="2025-09-24T16:42:23"/>
    <x v="980"/>
    <s v="Paid"/>
    <d v="2025-12-22T00:00:00"/>
    <s v="4487"/>
    <x v="119"/>
    <x v="1"/>
    <n v="12990.689784686947"/>
    <n v="9390"/>
    <n v="0.72282535844006246"/>
    <n v="0"/>
    <n v="-9390"/>
    <s v=""/>
    <n v="0"/>
    <x v="0"/>
    <x v="0"/>
    <s v="Pend"/>
    <s v="Pend"/>
  </r>
  <r>
    <n v="2"/>
    <s v="SO17914"/>
    <s v="2100660152"/>
    <s v="INV13631"/>
    <s v="Wajax Limited - Noranda"/>
    <d v="2025-09-25T09:02:35"/>
    <d v="2025-09-25T10:15:15"/>
    <d v="2025-10-09T00:00:00"/>
    <s v="Wilka Nuñez"/>
    <s v="CAD"/>
    <n v="1"/>
    <n v="105"/>
    <n v="0"/>
    <n v="75.408454952162131"/>
    <n v="100"/>
    <n v="5"/>
    <n v="105"/>
    <s v="Delivered"/>
    <m/>
    <n v="2"/>
    <n v="9"/>
    <n v="2025"/>
    <n v="1"/>
    <n v="2026"/>
    <n v="0.71817576144916317"/>
    <x v="838"/>
    <d v="2025-09-25T09:02:35"/>
    <x v="981"/>
    <s v="Paid"/>
    <d v="2026-01-02T00:00:00"/>
    <s v="2100660152"/>
    <x v="35"/>
    <x v="0"/>
    <n v="100"/>
    <n v="71.817576144916316"/>
    <n v="0.71817576144916317"/>
    <n v="-50"/>
    <n v="0"/>
    <n v="50"/>
    <s v=""/>
    <x v="0"/>
    <x v="1"/>
    <n v="0"/>
    <s v="Pend"/>
  </r>
  <r>
    <m/>
    <m/>
    <m/>
    <s v="INV13486"/>
    <m/>
    <m/>
    <m/>
    <m/>
    <m/>
    <m/>
    <m/>
    <m/>
    <m/>
    <m/>
    <m/>
    <m/>
    <m/>
    <m/>
    <m/>
    <n v="2"/>
    <n v="9"/>
    <n v="2025"/>
    <n v="11"/>
    <n v="2025"/>
    <n v="0.71817576144916317"/>
    <x v="838"/>
    <d v="2025-09-25T09:02:35"/>
    <x v="982"/>
    <s v="Paid"/>
    <d v="2025-11-12T00:00:00"/>
    <s v="2100660152"/>
    <x v="35"/>
    <x v="0"/>
    <n v="0"/>
    <n v="0"/>
    <n v="0"/>
    <n v="-50"/>
    <n v="0"/>
    <n v="-50"/>
    <s v=""/>
    <x v="0"/>
    <x v="1"/>
    <n v="0"/>
    <s v="Pend"/>
  </r>
  <r>
    <n v="1"/>
    <s v="SO17916"/>
    <s v="SUD1006055"/>
    <s v="INV13647"/>
    <s v="Process and Steam Specialties, Process and Steam Specialties"/>
    <d v="2025-09-25T09:53:36"/>
    <d v="2025-09-30T15:33:42"/>
    <d v="2025-11-07T00:00:00"/>
    <s v="Aleksandar Stankovic"/>
    <s v="CAD"/>
    <n v="1"/>
    <n v="851.88"/>
    <n v="0"/>
    <n v="611.55375240161072"/>
    <n v="753.88"/>
    <n v="98"/>
    <n v="851.88"/>
    <s v="Delivered"/>
    <m/>
    <n v="1"/>
    <n v="9"/>
    <n v="2025"/>
    <n v="11"/>
    <n v="2025"/>
    <n v="0.71788720524206551"/>
    <x v="839"/>
    <d v="2025-09-25T09:53:36"/>
    <x v="983"/>
    <s v="Paid"/>
    <d v="2025-11-24T00:00:00"/>
    <s v="SUD1006055"/>
    <x v="39"/>
    <x v="0"/>
    <n v="753.88"/>
    <n v="541.20080628788833"/>
    <n v="0.71788720524206551"/>
    <n v="-753.88"/>
    <n v="0"/>
    <n v="0"/>
    <s v=""/>
    <x v="0"/>
    <x v="0"/>
    <s v="Pend"/>
    <s v="Pend"/>
  </r>
  <r>
    <n v="1"/>
    <s v="SO17917"/>
    <s v="4500587687"/>
    <s v="INV13463"/>
    <s v="Glencore Canada Corporation - Rouyn-Noranda"/>
    <d v="2025-09-25T14:04:44"/>
    <d v="2025-09-25T14:04:56"/>
    <d v="2025-10-02T00:00:00"/>
    <s v="Ian Trottier"/>
    <s v="CAD"/>
    <n v="1"/>
    <n v="1028.3900000000001"/>
    <n v="0"/>
    <n v="738.56477131670499"/>
    <n v="979.42"/>
    <n v="48.97"/>
    <n v="1028.3900000000001"/>
    <s v="Delivered"/>
    <m/>
    <n v="1"/>
    <n v="9"/>
    <n v="2025"/>
    <n v="11"/>
    <n v="2025"/>
    <n v="0.71817576144916317"/>
    <x v="840"/>
    <d v="2025-09-25T14:04:44"/>
    <x v="984"/>
    <s v="Paid"/>
    <d v="2025-11-06T00:00:00"/>
    <s v="4500587687"/>
    <x v="81"/>
    <x v="0"/>
    <n v="979.42"/>
    <n v="703.39570427853937"/>
    <n v="0.71817576144916317"/>
    <n v="-979.42"/>
    <n v="0"/>
    <n v="0"/>
    <s v=""/>
    <x v="0"/>
    <x v="0"/>
    <s v="Pend"/>
    <s v="Pend"/>
  </r>
  <r>
    <n v="1"/>
    <s v="SO17920"/>
    <s v="187213"/>
    <s v="INV13462"/>
    <s v="Fabrene Inc."/>
    <d v="2025-09-25T15:16:30"/>
    <d v="2025-09-25T15:14:55"/>
    <d v="2025-10-03T00:00:00"/>
    <s v="Alexis Gil Lamadrid"/>
    <s v="CAD"/>
    <n v="1"/>
    <n v="107.52"/>
    <n v="0"/>
    <n v="77.218257871014018"/>
    <n v="102.4"/>
    <n v="5.12"/>
    <n v="107.52"/>
    <s v="Delivered"/>
    <m/>
    <n v="1"/>
    <n v="9"/>
    <n v="2025"/>
    <n v="11"/>
    <n v="2025"/>
    <n v="0.71817576144916317"/>
    <x v="841"/>
    <d v="2025-09-25T15:16:30"/>
    <x v="985"/>
    <s v="Paid"/>
    <d v="2025-11-13T00:00:00"/>
    <s v="187213"/>
    <x v="66"/>
    <x v="0"/>
    <n v="102.4"/>
    <n v="73.541197972394315"/>
    <n v="0.71817576144916317"/>
    <n v="-102.4"/>
    <n v="0"/>
    <n v="0"/>
    <s v=""/>
    <x v="0"/>
    <x v="0"/>
    <s v="Pend"/>
    <s v="Pend"/>
  </r>
  <r>
    <n v="1"/>
    <s v="SO17921"/>
    <s v="P368033"/>
    <s v="INV13661"/>
    <s v="Covia Corp - Fort Smith"/>
    <d v="2025-09-25T15:28:18"/>
    <d v="2025-10-02T14:39:31"/>
    <d v="2025-11-06T00:00:00"/>
    <s v="Leriel Reyes"/>
    <s v="USD"/>
    <n v="0.71685596903225257"/>
    <n v="33876.233231040307"/>
    <n v="0"/>
    <n v="24284.38"/>
    <n v="24284.38"/>
    <m/>
    <n v="24284.38"/>
    <s v="Delivered"/>
    <m/>
    <n v="1"/>
    <n v="9"/>
    <n v="2025"/>
    <s v=""/>
    <s v=""/>
    <n v="0.71685596903225268"/>
    <x v="842"/>
    <d v="2025-09-25T15:28:18"/>
    <x v="986"/>
    <s v="Approved"/>
    <s v="Pending"/>
    <s v="P368033"/>
    <x v="135"/>
    <x v="1"/>
    <n v="33876.233231040314"/>
    <n v="24284.38"/>
    <n v="0.71685596903225257"/>
    <n v="0"/>
    <n v="-24284.38"/>
    <s v=""/>
    <n v="0"/>
    <x v="1"/>
    <x v="2"/>
    <s v="Pend"/>
    <s v="Pend"/>
  </r>
  <r>
    <n v="1"/>
    <s v="SO17922"/>
    <s v="3317"/>
    <s v="INV13626"/>
    <s v="Les Pompes du St-Laurent Inc."/>
    <d v="2025-09-25T17:18:36"/>
    <d v="2025-09-26T12:38:50"/>
    <d v="2025-11-14T00:00:00"/>
    <s v="Ian Trottier"/>
    <s v="CAD"/>
    <n v="1"/>
    <n v="2047.12"/>
    <n v="0"/>
    <n v="1467.759660214758"/>
    <n v="1949.64"/>
    <n v="97.48"/>
    <n v="2047.12"/>
    <s v="Delivered"/>
    <m/>
    <n v="1"/>
    <n v="9"/>
    <n v="2025"/>
    <n v="12"/>
    <n v="2025"/>
    <n v="0.71698760219955748"/>
    <x v="843"/>
    <d v="2025-09-25T17:18:36"/>
    <x v="987"/>
    <s v="Paid"/>
    <d v="2025-12-23T00:00:00"/>
    <s v="3317"/>
    <x v="7"/>
    <x v="0"/>
    <n v="1949.64"/>
    <n v="1397.8677087523454"/>
    <n v="0.71698760219955748"/>
    <n v="-1949.64"/>
    <n v="0"/>
    <n v="0"/>
    <s v=""/>
    <x v="0"/>
    <x v="0"/>
    <s v="Pend"/>
    <s v="Pend"/>
  </r>
  <r>
    <n v="1"/>
    <s v="SO17923"/>
    <s v="PO2265"/>
    <s v="INV13539"/>
    <s v="FMI Products"/>
    <d v="2025-09-25T17:51:18"/>
    <d v="2025-10-16T09:45:50"/>
    <d v="2025-10-23T00:00:00"/>
    <s v="Aleksandar Stankovic"/>
    <s v="CAD"/>
    <n v="1"/>
    <n v="5230.8500000000004"/>
    <n v="0"/>
    <n v="3723.749236324129"/>
    <n v="4981.76"/>
    <n v="249.09"/>
    <n v="5230.8500000000004"/>
    <s v="Processing"/>
    <m/>
    <n v="1"/>
    <n v="9"/>
    <n v="2025"/>
    <n v="11"/>
    <n v="2025"/>
    <n v="0.71188224405672673"/>
    <x v="844"/>
    <d v="2025-09-25T17:51:18"/>
    <x v="988"/>
    <s v="Paid"/>
    <d v="2025-11-20T00:00:00"/>
    <s v="PO2265"/>
    <x v="18"/>
    <x v="0"/>
    <n v="4981.76"/>
    <n v="3546.4264881520389"/>
    <n v="0.71188224405672673"/>
    <n v="-2490.88"/>
    <n v="0"/>
    <n v="2490.88"/>
    <s v=""/>
    <x v="0"/>
    <x v="0"/>
    <s v="Pend"/>
    <s v="Pend"/>
  </r>
  <r>
    <n v="1"/>
    <s v="SO17925"/>
    <s v="7728"/>
    <s v="INV13465"/>
    <s v="Hyperflo"/>
    <d v="2025-09-26T07:50:48"/>
    <d v="2025-09-26T09:15:08"/>
    <d v="2025-09-29T00:00:00"/>
    <s v="Wilka Nuñez"/>
    <s v="CAD"/>
    <n v="1"/>
    <n v="293.48"/>
    <n v="0"/>
    <n v="210.4215214935262"/>
    <n v="279.5"/>
    <n v="13.98"/>
    <n v="293.48"/>
    <s v="Delivered"/>
    <m/>
    <n v="1"/>
    <n v="9"/>
    <n v="2025"/>
    <n v="11"/>
    <n v="2025"/>
    <n v="0.71698760219955771"/>
    <x v="845"/>
    <d v="2025-09-26T07:50:48"/>
    <x v="989"/>
    <s v="Paid"/>
    <d v="2025-11-28T00:00:00"/>
    <s v="7728"/>
    <x v="5"/>
    <x v="0"/>
    <n v="279.5"/>
    <n v="200.39803481477637"/>
    <n v="0.71698760219955771"/>
    <n v="-279.5"/>
    <n v="0"/>
    <n v="0"/>
    <s v=""/>
    <x v="0"/>
    <x v="0"/>
    <s v="Pend"/>
    <s v="Pend"/>
  </r>
  <r>
    <n v="2"/>
    <s v="SO17926"/>
    <s v="4500587758"/>
    <s v="INV13450"/>
    <s v="Glencore Canada Corporation - Rouyn-Noranda"/>
    <d v="2025-09-26T08:41:38"/>
    <d v="2025-09-26T08:44:44"/>
    <d v="2025-12-26T00:00:00"/>
    <s v="Ian Trottier"/>
    <s v="CAD"/>
    <n v="1"/>
    <n v="15035.84"/>
    <n v="0"/>
    <n v="10780.5108686562"/>
    <n v="14319.84"/>
    <n v="716"/>
    <n v="15035.84"/>
    <s v="Processing"/>
    <m/>
    <n v="2"/>
    <n v="9"/>
    <n v="2025"/>
    <n v="11"/>
    <n v="2025"/>
    <n v="0.71698760219955782"/>
    <x v="846"/>
    <d v="2025-09-26T08:41:38"/>
    <x v="990"/>
    <s v="Paid"/>
    <d v="2025-11-06T00:00:00"/>
    <s v="4500587758"/>
    <x v="81"/>
    <x v="0"/>
    <n v="14319.84"/>
    <n v="10267.147745481316"/>
    <n v="0.71698760219955782"/>
    <n v="-7335.38"/>
    <n v="0"/>
    <n v="6984.46"/>
    <s v=""/>
    <x v="0"/>
    <x v="1"/>
    <n v="0"/>
    <s v="Pend"/>
  </r>
  <r>
    <m/>
    <m/>
    <m/>
    <s v="INV13550"/>
    <m/>
    <m/>
    <m/>
    <m/>
    <m/>
    <m/>
    <m/>
    <m/>
    <m/>
    <m/>
    <m/>
    <m/>
    <m/>
    <m/>
    <m/>
    <n v="2"/>
    <n v="9"/>
    <n v="2025"/>
    <s v=""/>
    <s v=""/>
    <n v="0.71698760219955782"/>
    <x v="846"/>
    <d v="2025-09-26T08:41:38"/>
    <x v="991"/>
    <s v="Approved"/>
    <s v="Pending"/>
    <s v="4500587758"/>
    <x v="81"/>
    <x v="0"/>
    <n v="0"/>
    <n v="0"/>
    <n v="0"/>
    <n v="-1180.7"/>
    <n v="0"/>
    <n v="-1180.7"/>
    <s v=""/>
    <x v="1"/>
    <x v="1"/>
    <n v="0"/>
    <s v="Pend"/>
  </r>
  <r>
    <n v="1"/>
    <s v="SO17928"/>
    <s v="4107"/>
    <s v="INV13460"/>
    <s v="Middle Georgia Fluid Sealing LLC"/>
    <d v="2025-09-26T10:24:53"/>
    <d v="2025-09-26T15:50:59"/>
    <d v="2025-09-29T00:00:00"/>
    <s v="Ian Trottier"/>
    <s v="USD"/>
    <n v="0.71817576144916317"/>
    <n v="10938.227689763189"/>
    <n v="0"/>
    <n v="7855.57"/>
    <n v="7855.57"/>
    <m/>
    <n v="7855.57"/>
    <s v="Delivered"/>
    <m/>
    <n v="1"/>
    <n v="9"/>
    <n v="2025"/>
    <n v="11"/>
    <n v="2025"/>
    <n v="0.71817576144916317"/>
    <x v="847"/>
    <d v="2025-09-26T10:24:53"/>
    <x v="992"/>
    <s v="Paid"/>
    <d v="2025-11-04T00:00:00"/>
    <s v="4107"/>
    <x v="119"/>
    <x v="1"/>
    <n v="10938.227689763189"/>
    <n v="7855.57"/>
    <n v="0.71817576144916317"/>
    <n v="0"/>
    <n v="-7855.57"/>
    <s v=""/>
    <n v="0"/>
    <x v="0"/>
    <x v="0"/>
    <s v="Pend"/>
    <s v="Pend"/>
  </r>
  <r>
    <n v="2"/>
    <s v="SO17930"/>
    <s v="OC00210"/>
    <s v="INV13683"/>
    <s v="Dynapro Pumps México S de RL de CV"/>
    <d v="2025-09-26T11:58:52"/>
    <d v="2025-09-26T11:57:04"/>
    <d v="2025-11-21T00:00:00"/>
    <s v="Carlos Leon"/>
    <s v="USD"/>
    <n v="0.71817576144916317"/>
    <n v="2575.971091348164"/>
    <n v="0"/>
    <n v="1850"/>
    <n v="1850"/>
    <m/>
    <n v="1850"/>
    <s v="Delivered"/>
    <m/>
    <n v="2"/>
    <n v="9"/>
    <n v="2025"/>
    <s v=""/>
    <s v=""/>
    <n v="0.7181757614491634"/>
    <x v="848"/>
    <d v="2025-09-26T11:58:52"/>
    <x v="993"/>
    <s v="Approved"/>
    <s v="Pending"/>
    <s v="OC00210"/>
    <x v="54"/>
    <x v="1"/>
    <n v="2575.9710913481645"/>
    <n v="1850"/>
    <n v="0.71817576144916317"/>
    <n v="0"/>
    <n v="-350"/>
    <s v=""/>
    <n v="1500"/>
    <x v="1"/>
    <x v="1"/>
    <n v="0"/>
    <s v="Pend"/>
  </r>
  <r>
    <m/>
    <m/>
    <m/>
    <s v="INV13710"/>
    <m/>
    <m/>
    <m/>
    <m/>
    <m/>
    <m/>
    <m/>
    <m/>
    <m/>
    <m/>
    <m/>
    <m/>
    <m/>
    <m/>
    <m/>
    <n v="2"/>
    <n v="9"/>
    <n v="2025"/>
    <s v=""/>
    <s v=""/>
    <n v="0.7181757614491634"/>
    <x v="848"/>
    <d v="2025-09-26T11:58:52"/>
    <x v="994"/>
    <s v="Approved"/>
    <s v="Pending"/>
    <s v="OC00210"/>
    <x v="54"/>
    <x v="1"/>
    <n v="0"/>
    <n v="0"/>
    <n v="0"/>
    <n v="0"/>
    <n v="-1500"/>
    <s v=""/>
    <n v="-1500"/>
    <x v="1"/>
    <x v="1"/>
    <n v="0"/>
    <s v="Pend"/>
  </r>
  <r>
    <n v="1"/>
    <s v="SO17931"/>
    <s v="3318"/>
    <s v="INV13468"/>
    <s v="Les Pompes du St-Laurent Inc."/>
    <d v="2025-09-26T12:04:52"/>
    <d v="2025-09-26T12:05:17"/>
    <d v="2025-09-29T00:00:00"/>
    <s v="Ian Trottier"/>
    <s v="CAD"/>
    <n v="1"/>
    <n v="1849.22"/>
    <n v="0"/>
    <n v="1325.8678137394661"/>
    <n v="1761.16"/>
    <n v="88.06"/>
    <n v="1849.22"/>
    <s v="Delivered"/>
    <m/>
    <n v="1"/>
    <n v="9"/>
    <n v="2025"/>
    <n v="11"/>
    <n v="2025"/>
    <n v="0.71698760219955771"/>
    <x v="849"/>
    <d v="2025-09-26T12:04:52"/>
    <x v="995"/>
    <s v="Paid"/>
    <d v="2025-11-07T00:00:00"/>
    <s v="3318"/>
    <x v="7"/>
    <x v="0"/>
    <n v="1761.16"/>
    <n v="1262.7298854897731"/>
    <n v="0.71698760219955771"/>
    <n v="-1761.16"/>
    <n v="0"/>
    <n v="0"/>
    <s v=""/>
    <x v="0"/>
    <x v="0"/>
    <s v="Pend"/>
    <s v="Pend"/>
  </r>
  <r>
    <n v="1"/>
    <s v="SO17932"/>
    <m/>
    <s v="INV13672"/>
    <s v="Dynapro Pumps México S de RL de CV"/>
    <d v="2025-09-26T12:16:47"/>
    <d v="2025-09-26T12:14:26"/>
    <d v="2025-11-21T00:00:00"/>
    <s v="Carlos Leon"/>
    <s v="USD"/>
    <n v="0.71817576144916317"/>
    <n v="4163.3262503410879"/>
    <n v="0"/>
    <n v="2990"/>
    <n v="2990"/>
    <m/>
    <n v="2990"/>
    <s v="Delivered"/>
    <m/>
    <n v="1"/>
    <n v="9"/>
    <n v="2025"/>
    <s v=""/>
    <s v=""/>
    <n v="0.71698760219955771"/>
    <x v="850"/>
    <d v="2025-09-26T12:16:47"/>
    <x v="996"/>
    <s v="Approved"/>
    <s v="Pending"/>
    <s v="3318"/>
    <x v="54"/>
    <x v="1"/>
    <n v="4163.3262503410879"/>
    <n v="2990"/>
    <n v="0.71817576144916317"/>
    <n v="0"/>
    <n v="0"/>
    <s v=""/>
    <n v="2990"/>
    <x v="1"/>
    <x v="2"/>
    <s v="Pend"/>
    <s v="Pend"/>
  </r>
  <r>
    <n v="1"/>
    <s v="SO17937"/>
    <s v="OC00213"/>
    <s v="INV13613"/>
    <s v="Dynapro Pumps México S de RL de CV"/>
    <d v="2025-09-26T19:31:55"/>
    <d v="2025-09-26T19:31:07"/>
    <d v="2025-11-17T00:00:00"/>
    <s v="Yannett Yeomans"/>
    <s v="USD"/>
    <n v="0.71817576144916317"/>
    <n v="1378.492638072802"/>
    <n v="0"/>
    <n v="990"/>
    <n v="990"/>
    <m/>
    <n v="990"/>
    <s v="Delivered"/>
    <m/>
    <n v="1"/>
    <n v="9"/>
    <n v="2025"/>
    <s v=""/>
    <s v=""/>
    <n v="0.71817576144916295"/>
    <x v="851"/>
    <d v="2025-09-26T19:31:55"/>
    <x v="997"/>
    <s v="Approved"/>
    <s v="Pending"/>
    <s v="OC00213"/>
    <x v="54"/>
    <x v="1"/>
    <n v="1378.4926380728016"/>
    <n v="990"/>
    <n v="0.71817576144916317"/>
    <n v="0"/>
    <n v="-990"/>
    <s v=""/>
    <n v="0"/>
    <x v="1"/>
    <x v="2"/>
    <s v="Pend"/>
    <s v="Pend"/>
  </r>
  <r>
    <n v="1"/>
    <s v="SO17938"/>
    <s v="3326"/>
    <s v="INV13467"/>
    <s v="Les Pompes du St-Laurent Inc."/>
    <d v="2025-09-29T11:00:32"/>
    <d v="2025-09-30T16:51:55"/>
    <d v="2025-10-01T00:00:00"/>
    <s v="Ian Trottier"/>
    <s v="CAD"/>
    <n v="1"/>
    <n v="486.21"/>
    <n v="0"/>
    <n v="349.04393806074461"/>
    <n v="463.06"/>
    <n v="23.15"/>
    <n v="486.21"/>
    <s v="Delivered"/>
    <m/>
    <n v="1"/>
    <n v="9"/>
    <n v="2025"/>
    <n v="11"/>
    <n v="2025"/>
    <n v="0.7178872052420654"/>
    <x v="852"/>
    <d v="2025-09-29T11:00:32"/>
    <x v="998"/>
    <s v="Paid"/>
    <d v="2025-11-06T00:00:00"/>
    <s v="3326"/>
    <x v="7"/>
    <x v="0"/>
    <n v="463.06"/>
    <n v="332.42484925939078"/>
    <n v="0.7178872052420654"/>
    <n v="-463.06"/>
    <n v="0"/>
    <n v="0"/>
    <s v=""/>
    <x v="0"/>
    <x v="0"/>
    <s v="Pend"/>
    <s v="Pend"/>
  </r>
  <r>
    <n v="2"/>
    <s v="SO17939"/>
    <s v="4501315104"/>
    <s v="INV13740"/>
    <s v="Barrick Gold - Pueblo Viejo Dominicana Corporation"/>
    <d v="2025-09-29T11:03:59"/>
    <d v="2025-10-22T15:54:34"/>
    <m/>
    <s v="Wilka Nuñez"/>
    <s v="USD"/>
    <n v="0.71272450667255238"/>
    <n v="8962.1725367928775"/>
    <n v="0"/>
    <n v="6387.56"/>
    <n v="6387.56"/>
    <m/>
    <n v="6387.56"/>
    <s v="Delivered"/>
    <m/>
    <n v="2"/>
    <n v="9"/>
    <n v="2025"/>
    <s v=""/>
    <s v=""/>
    <n v="0.71272450667255227"/>
    <x v="853"/>
    <d v="2025-09-29T11:03:59"/>
    <x v="999"/>
    <s v="Approved"/>
    <s v="Pending"/>
    <s v="4501315104"/>
    <x v="15"/>
    <x v="1"/>
    <n v="8962.1725367928775"/>
    <n v="6387.56"/>
    <n v="0.71272450667255227"/>
    <n v="0"/>
    <n v="-998.44"/>
    <s v=""/>
    <n v="5389.1200000000008"/>
    <x v="1"/>
    <x v="1"/>
    <s v="Pend"/>
    <s v="Pend"/>
  </r>
  <r>
    <m/>
    <m/>
    <m/>
    <s v="INV13575"/>
    <m/>
    <m/>
    <m/>
    <m/>
    <m/>
    <m/>
    <m/>
    <m/>
    <m/>
    <m/>
    <m/>
    <m/>
    <m/>
    <m/>
    <m/>
    <n v="2"/>
    <n v="9"/>
    <n v="2025"/>
    <s v=""/>
    <s v=""/>
    <n v="0.71272450667255227"/>
    <x v="853"/>
    <d v="2025-09-29T11:03:59"/>
    <x v="1000"/>
    <s v="Approved"/>
    <s v="Pending"/>
    <s v="4501315104"/>
    <x v="15"/>
    <x v="1"/>
    <n v="0"/>
    <n v="0"/>
    <n v="0"/>
    <n v="0"/>
    <n v="-5389.12"/>
    <s v=""/>
    <n v="-5389.12"/>
    <x v="1"/>
    <x v="1"/>
    <s v="Pend"/>
    <s v="Pend"/>
  </r>
  <r>
    <n v="1"/>
    <s v="SO17941"/>
    <s v="2100662768"/>
    <s v="INV13484"/>
    <s v="Wajax Limited - Noranda"/>
    <d v="2025-09-29T12:32:54"/>
    <d v="2025-09-29T17:22:20"/>
    <d v="2025-10-06T00:00:00"/>
    <s v="Alexis Gil Lamadrid"/>
    <s v="CAD"/>
    <n v="1"/>
    <n v="2758.72"/>
    <n v="0"/>
    <n v="1983.990676461091"/>
    <n v="2627.35"/>
    <n v="131.37"/>
    <n v="2758.72"/>
    <s v="Delivered"/>
    <m/>
    <n v="1"/>
    <n v="9"/>
    <n v="2025"/>
    <n v="11"/>
    <n v="2025"/>
    <n v="0.71917073007086296"/>
    <x v="854"/>
    <d v="2025-09-29T12:32:54"/>
    <x v="1001"/>
    <s v="Paid"/>
    <d v="2025-11-12T00:00:00"/>
    <s v="2100662768"/>
    <x v="35"/>
    <x v="0"/>
    <n v="2627.35"/>
    <n v="1889.5132176516818"/>
    <n v="0.71917073007086296"/>
    <n v="-2627.35"/>
    <n v="0"/>
    <n v="0"/>
    <s v=""/>
    <x v="0"/>
    <x v="0"/>
    <s v="Pend"/>
    <s v="Pend"/>
  </r>
  <r>
    <n v="1"/>
    <s v="SO17942"/>
    <s v="2100664302"/>
    <s v="INV13487"/>
    <s v="Wajax Limited - Noranda"/>
    <d v="2025-09-29T13:08:09"/>
    <d v="2025-10-01T14:23:54"/>
    <d v="2025-10-10T00:00:00"/>
    <s v="Aleksandar Stankovic"/>
    <s v="CAD"/>
    <n v="1"/>
    <n v="177.02"/>
    <n v="0"/>
    <n v="126.8978436380894"/>
    <n v="168.59"/>
    <n v="8.43"/>
    <n v="177.02"/>
    <s v="Delivered"/>
    <m/>
    <n v="1"/>
    <n v="9"/>
    <n v="2025"/>
    <n v="11"/>
    <n v="2025"/>
    <n v="0.71685596903225279"/>
    <x v="855"/>
    <d v="2025-09-29T13:08:09"/>
    <x v="1002"/>
    <s v="Paid"/>
    <d v="2025-11-12T00:00:00"/>
    <s v="2100664302"/>
    <x v="35"/>
    <x v="0"/>
    <n v="168.59"/>
    <n v="120.85474781914751"/>
    <n v="0.71685596903225279"/>
    <n v="-168.59"/>
    <n v="0"/>
    <n v="0"/>
    <s v=""/>
    <x v="0"/>
    <x v="0"/>
    <s v="Pend"/>
    <s v="Pend"/>
  </r>
  <r>
    <n v="1"/>
    <s v="SO17944"/>
    <s v="BC65-00081961"/>
    <s v="INV13492"/>
    <s v="Motion Industries Inc. (Canada) - Prince George"/>
    <d v="2025-09-29T15:20:25"/>
    <d v="2025-10-02T18:27:03"/>
    <d v="2025-10-09T00:00:00"/>
    <s v="Alexis Gil Lamadrid"/>
    <s v="CAD"/>
    <n v="1"/>
    <n v="5540.37"/>
    <n v="0"/>
    <n v="3963.9720676556408"/>
    <n v="5276.54"/>
    <n v="263.83"/>
    <n v="5540.37"/>
    <s v="Delivered"/>
    <m/>
    <n v="1"/>
    <n v="9"/>
    <n v="2025"/>
    <n v="11"/>
    <n v="2025"/>
    <n v="0.71547063962436463"/>
    <x v="856"/>
    <d v="2025-09-29T15:20:25"/>
    <x v="1003"/>
    <s v="Paid"/>
    <d v="2025-11-06T00:00:00"/>
    <s v="BC65-00081961"/>
    <x v="41"/>
    <x v="0"/>
    <n v="5276.54"/>
    <n v="3775.209448803545"/>
    <n v="0.71547063962436463"/>
    <n v="-5276.54"/>
    <n v="0"/>
    <n v="0"/>
    <s v=""/>
    <x v="0"/>
    <x v="0"/>
    <s v="Pend"/>
    <s v="Pend"/>
  </r>
  <r>
    <n v="1"/>
    <s v="SO17945"/>
    <s v="4500615207"/>
    <s v="INV13474"/>
    <s v="Resolute Forest Products - Saint-Felicien"/>
    <d v="2025-09-29T18:19:44"/>
    <d v="2025-09-29T18:22:07"/>
    <d v="2025-10-06T00:00:00"/>
    <s v="Alexis Gil Lamadrid"/>
    <s v="CAD"/>
    <n v="1"/>
    <n v="1004.5"/>
    <n v="0"/>
    <n v="722.40699835618193"/>
    <n v="956.66"/>
    <n v="47.84"/>
    <n v="1004.5"/>
    <s v="Delivered"/>
    <m/>
    <n v="1"/>
    <n v="9"/>
    <n v="2025"/>
    <n v="11"/>
    <n v="2025"/>
    <n v="0.71917073007086307"/>
    <x v="857"/>
    <d v="2025-09-29T18:19:44"/>
    <x v="1004"/>
    <s v="Paid"/>
    <d v="2025-11-28T00:00:00"/>
    <s v="4500615207"/>
    <x v="46"/>
    <x v="0"/>
    <n v="956.66"/>
    <n v="688.00187062959185"/>
    <n v="0.71917073007086307"/>
    <n v="-956.66"/>
    <n v="0"/>
    <n v="0"/>
    <s v=""/>
    <x v="0"/>
    <x v="0"/>
    <s v="Pend"/>
    <s v="Pend"/>
  </r>
  <r>
    <n v="1"/>
    <s v="SO17946"/>
    <s v="OC00214"/>
    <s v="INV13471"/>
    <s v="Dynapro Pumps México S de RL de CV"/>
    <d v="2025-09-29T18:23:58"/>
    <d v="2025-09-29T18:24:00"/>
    <d v="2025-09-30T00:00:00"/>
    <s v="Yannett Yeomans"/>
    <s v="USD"/>
    <n v="0.71776007247498441"/>
    <n v="1345.8536313799591"/>
    <n v="0"/>
    <n v="966"/>
    <n v="966"/>
    <m/>
    <n v="966"/>
    <s v="Delivered"/>
    <m/>
    <n v="1"/>
    <n v="9"/>
    <n v="2025"/>
    <s v=""/>
    <s v=""/>
    <n v="0.71776007247498408"/>
    <x v="858"/>
    <d v="2025-09-29T18:23:58"/>
    <x v="1005"/>
    <s v="Approved"/>
    <s v="Pending"/>
    <s v="OC00214"/>
    <x v="54"/>
    <x v="1"/>
    <n v="1345.8536313799586"/>
    <n v="966"/>
    <n v="0.71776007247498441"/>
    <n v="0"/>
    <n v="-966"/>
    <s v=""/>
    <n v="0"/>
    <x v="1"/>
    <x v="2"/>
    <s v="Pend"/>
    <s v="Pend"/>
  </r>
  <r>
    <n v="3"/>
    <s v="SO17947"/>
    <s v="4501270322"/>
    <s v="INV13480"/>
    <s v="Barrick Gold - Pueblo Viejo Dominicana Corporation"/>
    <d v="2025-09-30T07:23:04"/>
    <d v="2025-09-30T10:09:30"/>
    <d v="2026-02-03T00:00:00"/>
    <s v="Wilka Nuñez"/>
    <s v="USD"/>
    <n v="0.71917073007086307"/>
    <n v="343554.47137796431"/>
    <n v="0"/>
    <n v="247074.32"/>
    <n v="247074.32"/>
    <m/>
    <n v="247074.32"/>
    <s v="Processing"/>
    <m/>
    <n v="3"/>
    <n v="9"/>
    <n v="2025"/>
    <s v=""/>
    <s v=""/>
    <n v="0.71917073007086307"/>
    <x v="859"/>
    <d v="2025-09-30T07:23:04"/>
    <x v="1006"/>
    <s v="Approved"/>
    <s v="Pending"/>
    <s v="4501270322"/>
    <x v="15"/>
    <x v="1"/>
    <n v="343554.47137796431"/>
    <n v="247074.32"/>
    <n v="0.71917073007086307"/>
    <n v="0"/>
    <n v="-178684.57"/>
    <s v=""/>
    <n v="68389.75"/>
    <x v="1"/>
    <x v="1"/>
    <n v="0"/>
    <s v="Pend"/>
  </r>
  <r>
    <m/>
    <m/>
    <m/>
    <s v="INV13572"/>
    <m/>
    <m/>
    <m/>
    <m/>
    <m/>
    <m/>
    <m/>
    <m/>
    <m/>
    <m/>
    <m/>
    <m/>
    <m/>
    <m/>
    <m/>
    <n v="3"/>
    <n v="9"/>
    <n v="2025"/>
    <n v="12"/>
    <n v="2025"/>
    <n v="0.71917073007086307"/>
    <x v="859"/>
    <d v="2025-09-30T07:23:04"/>
    <x v="1007"/>
    <s v="Paid"/>
    <d v="2025-12-12T00:00:00"/>
    <s v="4501270322"/>
    <x v="15"/>
    <x v="1"/>
    <n v="0"/>
    <n v="0"/>
    <n v="0"/>
    <n v="0"/>
    <n v="-5214.24"/>
    <s v=""/>
    <n v="-5214.24"/>
    <x v="0"/>
    <x v="1"/>
    <n v="0"/>
    <s v="Pend"/>
  </r>
  <r>
    <m/>
    <m/>
    <m/>
    <s v="INV13741"/>
    <m/>
    <m/>
    <m/>
    <m/>
    <m/>
    <m/>
    <m/>
    <m/>
    <m/>
    <m/>
    <m/>
    <m/>
    <m/>
    <m/>
    <m/>
    <n v="3"/>
    <n v="9"/>
    <n v="2025"/>
    <s v=""/>
    <s v=""/>
    <n v="0.71917073007086307"/>
    <x v="859"/>
    <d v="2025-09-30T07:23:04"/>
    <x v="1008"/>
    <s v="Approved"/>
    <s v="Pending"/>
    <s v="4501270322"/>
    <x v="15"/>
    <x v="1"/>
    <n v="0"/>
    <n v="0"/>
    <n v="0"/>
    <n v="0"/>
    <n v="-3175.32"/>
    <s v=""/>
    <n v="-3175.32"/>
    <x v="1"/>
    <x v="1"/>
    <n v="0"/>
    <s v="Pend"/>
  </r>
  <r>
    <n v="1"/>
    <s v="SO17953"/>
    <s v="PO003505"/>
    <s v="INV13715"/>
    <s v="Eleazar General &amp; Industrial Supplies Limited"/>
    <d v="2025-10-01T13:46:01"/>
    <d v="2025-10-24T13:44:34"/>
    <d v="2025-11-28T00:00:00"/>
    <s v="Alexis Gil Lamadrid"/>
    <s v="USD"/>
    <n v="0.71357793270228831"/>
    <n v="3091.4633131184069"/>
    <n v="0"/>
    <n v="2206"/>
    <n v="2206"/>
    <m/>
    <n v="2206"/>
    <s v="Delivered"/>
    <m/>
    <n v="1"/>
    <n v="10"/>
    <n v="2025"/>
    <s v=""/>
    <s v=""/>
    <n v="0.71357793270228842"/>
    <x v="860"/>
    <d v="2025-10-01T13:46:01"/>
    <x v="1009"/>
    <s v="Approved"/>
    <s v="Pending"/>
    <s v="PO003505"/>
    <x v="8"/>
    <x v="1"/>
    <n v="3091.4633131184073"/>
    <n v="2206"/>
    <n v="0.71357793270228831"/>
    <n v="0"/>
    <n v="-2206"/>
    <s v=""/>
    <n v="0"/>
    <x v="1"/>
    <x v="2"/>
    <s v="Pend"/>
    <s v="Pend"/>
  </r>
  <r>
    <n v="1"/>
    <s v="SO17954"/>
    <s v="2100667015"/>
    <s v="INV13833"/>
    <s v="Wajax Limited - Lachine"/>
    <d v="2025-10-01T18:18:35"/>
    <d v="2025-10-01T18:17:07"/>
    <d v="2026-01-26T00:00:00"/>
    <s v="Alexis Gil Lamadrid"/>
    <s v="CAD"/>
    <n v="1"/>
    <n v="1506.75"/>
    <n v="0"/>
    <n v="1080.122731339347"/>
    <n v="1435"/>
    <n v="71.75"/>
    <n v="1506.75"/>
    <s v="Delivered"/>
    <m/>
    <n v="1"/>
    <n v="10"/>
    <n v="2025"/>
    <s v=""/>
    <s v=""/>
    <n v="0.71685596903225279"/>
    <x v="861"/>
    <d v="2025-10-01T18:18:35"/>
    <x v="1010"/>
    <s v="Not invoiced"/>
    <s v="Pending"/>
    <s v="2100667015"/>
    <x v="77"/>
    <x v="0"/>
    <n v="1435"/>
    <n v="1028.6883155612827"/>
    <n v="0.71685596903225279"/>
    <n v="0"/>
    <n v="0"/>
    <n v="1435"/>
    <s v=""/>
    <x v="1"/>
    <x v="2"/>
    <s v="Pend"/>
    <s v="Pend"/>
  </r>
  <r>
    <n v="1"/>
    <s v="SO17956"/>
    <s v="M-084122"/>
    <s v="INV13570"/>
    <s v="Grant Aggregate"/>
    <d v="2025-10-02T08:21:31"/>
    <d v="2025-10-02T14:13:14"/>
    <d v="2025-10-20T00:00:00"/>
    <s v="Ian Trottier"/>
    <s v="CAD"/>
    <n v="1"/>
    <n v="1988.36"/>
    <n v="0"/>
    <n v="1422.6132010035019"/>
    <n v="1759.61"/>
    <n v="228.75"/>
    <n v="1988.36"/>
    <s v="Delivered"/>
    <m/>
    <n v="1"/>
    <n v="10"/>
    <n v="2025"/>
    <n v="12"/>
    <n v="2025"/>
    <n v="0.71547063962436475"/>
    <x v="862"/>
    <d v="2025-10-02T08:21:31"/>
    <x v="1011"/>
    <s v="Paid"/>
    <d v="2025-12-04T00:00:00"/>
    <s v="M-084122"/>
    <x v="9"/>
    <x v="0"/>
    <n v="1759.61"/>
    <n v="1258.9492921894284"/>
    <n v="0.71547063962436475"/>
    <n v="-1759.61"/>
    <n v="0"/>
    <n v="0"/>
    <s v=""/>
    <x v="0"/>
    <x v="0"/>
    <s v="Pend"/>
    <s v="Pend"/>
  </r>
  <r>
    <n v="1"/>
    <s v="SO17957"/>
    <s v="4500588251"/>
    <s v="INV13489"/>
    <s v="Glencore Canada Corporation - Rouyn-Noranda"/>
    <d v="2025-10-02T10:05:03"/>
    <d v="2025-10-02T10:26:15"/>
    <d v="2025-10-06T00:00:00"/>
    <s v="Wilka Nuñez"/>
    <s v="CAD"/>
    <n v="1"/>
    <n v="3360.7"/>
    <n v="0"/>
    <n v="2404.482178585602"/>
    <n v="3200.66"/>
    <n v="160.04"/>
    <n v="3360.7"/>
    <s v="Delivered"/>
    <m/>
    <n v="1"/>
    <n v="10"/>
    <n v="2025"/>
    <s v=""/>
    <s v=""/>
    <n v="0.71547063962436463"/>
    <x v="863"/>
    <d v="2025-10-02T10:05:03"/>
    <x v="1012"/>
    <s v="Approved"/>
    <s v="Pending"/>
    <s v="4500588251"/>
    <x v="81"/>
    <x v="0"/>
    <n v="3200.66"/>
    <n v="2289.978257420119"/>
    <n v="0.71547063962436475"/>
    <n v="-3200.66"/>
    <n v="0"/>
    <n v="0"/>
    <s v=""/>
    <x v="1"/>
    <x v="2"/>
    <s v="Pend"/>
    <s v="Pend"/>
  </r>
  <r>
    <n v="1"/>
    <s v="SO17958"/>
    <s v="4500588194"/>
    <s v="INV13488"/>
    <s v="Glencore Canada Corporation - Rouyn-Noranda, Glencore Canada Corp."/>
    <d v="2025-10-02T10:27:44"/>
    <d v="2025-10-02T10:28:47"/>
    <d v="2025-10-09T00:00:00"/>
    <s v="Ian Trottier"/>
    <s v="CAD"/>
    <n v="1"/>
    <n v="1570.3"/>
    <n v="0"/>
    <n v="1123.5035454021399"/>
    <n v="1495.52"/>
    <n v="74.78"/>
    <n v="1570.3"/>
    <s v="Delivered"/>
    <m/>
    <n v="1"/>
    <n v="10"/>
    <n v="2025"/>
    <s v=""/>
    <s v=""/>
    <n v="0.71547063962436475"/>
    <x v="864"/>
    <d v="2025-10-02T10:27:44"/>
    <x v="1013"/>
    <s v="Approved"/>
    <s v="Pending"/>
    <s v="4500588194"/>
    <x v="27"/>
    <x v="0"/>
    <n v="1495.52"/>
    <n v="1070.0006509710299"/>
    <n v="0.71547063962436475"/>
    <n v="-1495.52"/>
    <n v="0"/>
    <n v="0"/>
    <s v=""/>
    <x v="1"/>
    <x v="2"/>
    <s v="Pend"/>
    <s v="Pend"/>
  </r>
  <r>
    <n v="1"/>
    <s v="SO17959"/>
    <s v="SUD1006057"/>
    <s v="INV13508"/>
    <s v="Process and Steam Specialties"/>
    <d v="2025-10-02T12:02:12"/>
    <d v="2025-10-02T11:59:56"/>
    <d v="2025-10-23T00:00:00"/>
    <s v="Alexis Gil Lamadrid"/>
    <s v="CAD"/>
    <n v="1"/>
    <n v="663"/>
    <n v="0"/>
    <n v="474.35703407095377"/>
    <n v="663"/>
    <m/>
    <n v="663"/>
    <s v="Delivered"/>
    <m/>
    <n v="1"/>
    <n v="10"/>
    <n v="2025"/>
    <n v="11"/>
    <n v="2025"/>
    <n v="0.71547063962436463"/>
    <x v="865"/>
    <d v="2025-10-02T12:02:12"/>
    <x v="1014"/>
    <s v="Paid"/>
    <d v="2025-11-24T00:00:00"/>
    <s v="SUD1006057"/>
    <x v="143"/>
    <x v="0"/>
    <n v="663"/>
    <n v="474.35703407095377"/>
    <n v="0.71547063962436463"/>
    <n v="-663"/>
    <n v="0"/>
    <n v="0"/>
    <s v=""/>
    <x v="0"/>
    <x v="0"/>
    <s v="Pend"/>
    <s v="Pend"/>
  </r>
  <r>
    <n v="1"/>
    <s v="SO17962"/>
    <s v="10619"/>
    <s v="INV13481"/>
    <s v="Canadian Industrial Pumps Ltd"/>
    <d v="2025-10-02T13:01:15"/>
    <d v="2025-10-02T18:11:02"/>
    <d v="2025-10-09T00:00:00"/>
    <s v="Ian Trottier"/>
    <s v="CAD"/>
    <n v="1"/>
    <n v="391.77"/>
    <n v="0"/>
    <n v="280.29993248563733"/>
    <n v="373.11"/>
    <n v="18.66"/>
    <n v="391.77"/>
    <s v="Delivered"/>
    <m/>
    <n v="1"/>
    <n v="10"/>
    <n v="2025"/>
    <n v="11"/>
    <n v="2025"/>
    <n v="0.71547063962436463"/>
    <x v="866"/>
    <d v="2025-10-02T13:01:15"/>
    <x v="1015"/>
    <s v="Paid"/>
    <d v="2025-11-21T00:00:00"/>
    <s v="10619"/>
    <x v="48"/>
    <x v="0"/>
    <n v="373.11"/>
    <n v="266.9492503502467"/>
    <n v="0.71547063962436463"/>
    <n v="-373.11"/>
    <n v="0"/>
    <n v="0"/>
    <s v=""/>
    <x v="0"/>
    <x v="0"/>
    <s v="Pend"/>
    <s v="Pend"/>
  </r>
  <r>
    <n v="1"/>
    <s v="SO17964"/>
    <s v="M-084123"/>
    <s v="INV13501"/>
    <s v="Grant Aggregate"/>
    <d v="2025-10-03T08:29:36"/>
    <d v="2025-10-03T09:14:28"/>
    <d v="2025-10-06T00:00:00"/>
    <s v="Wilka Nuñez"/>
    <s v="CAD"/>
    <n v="1"/>
    <n v="344.29"/>
    <n v="0"/>
    <n v="246.85032511247331"/>
    <n v="304.68"/>
    <n v="39.61"/>
    <n v="344.29"/>
    <s v="Delivered"/>
    <m/>
    <n v="1"/>
    <n v="10"/>
    <n v="2025"/>
    <n v="12"/>
    <n v="2025"/>
    <n v="0.71698372044634839"/>
    <x v="867"/>
    <d v="2025-10-03T08:29:36"/>
    <x v="1016"/>
    <s v="Paid"/>
    <d v="2025-12-04T00:00:00"/>
    <s v="M-084123"/>
    <x v="9"/>
    <x v="0"/>
    <n v="304.68"/>
    <n v="218.45059994559344"/>
    <n v="0.71698372044634839"/>
    <n v="-304.68"/>
    <n v="0"/>
    <n v="0"/>
    <s v=""/>
    <x v="0"/>
    <x v="0"/>
    <s v="Pend"/>
    <s v="Pend"/>
  </r>
  <r>
    <n v="0"/>
    <s v="SO17965"/>
    <s v="4512433925"/>
    <m/>
    <s v="PT Vale Indonesia Tbk."/>
    <d v="2025-10-03T11:45:07"/>
    <d v="2025-12-17T09:13:44"/>
    <d v="2026-01-14T00:00:00"/>
    <s v="Ian Trottier"/>
    <s v="USD"/>
    <n v="0.72641002219915185"/>
    <n v="3860.078900771633"/>
    <n v="0"/>
    <n v="2804"/>
    <n v="2804"/>
    <m/>
    <n v="2804"/>
    <s v="Processing"/>
    <m/>
    <n v="0"/>
    <n v="10"/>
    <n v="2025"/>
    <s v=""/>
    <s v=""/>
    <n v="0.72641002219915196"/>
    <x v="868"/>
    <d v="2025-10-03T11:45:07"/>
    <x v="54"/>
    <s v="Not invoiced"/>
    <s v="Pending"/>
    <s v="4512433925"/>
    <x v="42"/>
    <x v="1"/>
    <n v="3860.0789007716335"/>
    <n v="2804"/>
    <n v="0.72641002219915185"/>
    <n v="0"/>
    <n v="0"/>
    <s v=""/>
    <n v="2804"/>
    <x v="1"/>
    <x v="2"/>
    <s v="Pend"/>
    <s v="Pend"/>
  </r>
  <r>
    <n v="1"/>
    <s v="SO17966"/>
    <s v="25-3035"/>
    <s v="INV13521"/>
    <s v="Rueck Company Inc."/>
    <d v="2025-10-03T13:47:14"/>
    <d v="2025-10-09T14:30:38"/>
    <d v="2025-10-17T00:00:00"/>
    <s v="Aleksandar Stankovic"/>
    <s v="USD"/>
    <n v="0.71662274115503888"/>
    <n v="21115.71281649607"/>
    <n v="0"/>
    <n v="15132"/>
    <n v="15132"/>
    <m/>
    <n v="15132"/>
    <s v="Delivered"/>
    <m/>
    <n v="1"/>
    <n v="10"/>
    <n v="2025"/>
    <n v="11"/>
    <n v="2025"/>
    <n v="0.71662274115503888"/>
    <x v="869"/>
    <d v="2025-10-03T13:47:14"/>
    <x v="1017"/>
    <s v="Paid"/>
    <d v="2025-11-13T00:00:00"/>
    <s v="25-3035"/>
    <x v="144"/>
    <x v="1"/>
    <n v="21115.71281649607"/>
    <n v="15132"/>
    <n v="0.71662274115503888"/>
    <n v="0"/>
    <n v="-15132"/>
    <s v=""/>
    <n v="0"/>
    <x v="0"/>
    <x v="0"/>
    <s v="Pend"/>
    <s v="Pend"/>
  </r>
  <r>
    <n v="1"/>
    <s v="SO17968"/>
    <s v="607051"/>
    <s v="INV13500"/>
    <s v="Sealtrac Inc."/>
    <d v="2025-10-03T14:48:14"/>
    <d v="2025-10-03T14:59:59"/>
    <d v="2025-10-06T00:00:00"/>
    <s v="Ian Trottier"/>
    <s v="CAD"/>
    <n v="1"/>
    <n v="1418.24"/>
    <n v="0"/>
    <n v="1016.854991685829"/>
    <n v="1255.08"/>
    <n v="163.16"/>
    <n v="1418.24"/>
    <s v="Delivered"/>
    <m/>
    <n v="1"/>
    <n v="10"/>
    <n v="2025"/>
    <n v="11"/>
    <n v="2025"/>
    <n v="0.71698372044634828"/>
    <x v="870"/>
    <d v="2025-10-03T14:48:14"/>
    <x v="1018"/>
    <s v="Paid"/>
    <d v="2025-11-13T00:00:00"/>
    <s v="607051"/>
    <x v="50"/>
    <x v="0"/>
    <n v="1255.08"/>
    <n v="899.8719278578028"/>
    <n v="0.71698372044634828"/>
    <n v="-1255.08"/>
    <n v="0"/>
    <n v="0"/>
    <s v=""/>
    <x v="0"/>
    <x v="0"/>
    <s v="Pend"/>
    <s v="Pend"/>
  </r>
  <r>
    <n v="1"/>
    <s v="SO17969"/>
    <s v="4500616255"/>
    <s v="INV13578"/>
    <s v="Resolute Forest Products - Clermont"/>
    <d v="2025-10-03T17:26:33"/>
    <d v="2025-10-03T17:23:58"/>
    <d v="2025-10-20T00:00:00"/>
    <s v="Alexis Gil Lamadrid"/>
    <s v="CAD"/>
    <n v="1"/>
    <n v="803.27"/>
    <n v="0"/>
    <n v="575.93151312293833"/>
    <n v="765.02"/>
    <n v="38.25"/>
    <n v="803.27"/>
    <s v="Delivered"/>
    <m/>
    <n v="1"/>
    <n v="10"/>
    <n v="2025"/>
    <n v="12"/>
    <n v="2025"/>
    <n v="0.7169837204463485"/>
    <x v="871"/>
    <d v="2025-10-03T17:26:33"/>
    <x v="1019"/>
    <s v="Paid"/>
    <d v="2025-12-29T00:00:00"/>
    <s v="4500616255"/>
    <x v="83"/>
    <x v="0"/>
    <n v="765.02"/>
    <n v="548.50688581586553"/>
    <n v="0.7169837204463485"/>
    <n v="-765.02"/>
    <n v="0"/>
    <n v="0"/>
    <s v=""/>
    <x v="0"/>
    <x v="0"/>
    <s v="Pend"/>
    <s v="Pend"/>
  </r>
  <r>
    <n v="1"/>
    <s v="SO17978"/>
    <s v="607059"/>
    <s v="INV13514"/>
    <s v="Sealtrac Inc."/>
    <d v="2025-10-06T08:44:03"/>
    <d v="2025-10-08T13:50:04"/>
    <d v="2025-10-10T00:00:00"/>
    <s v="Wilka Nuñez"/>
    <s v="CAD"/>
    <n v="1"/>
    <n v="237.3"/>
    <n v="0"/>
    <n v="170.05457647609069"/>
    <n v="210"/>
    <n v="27.3"/>
    <n v="237.3"/>
    <s v="Delivered"/>
    <m/>
    <n v="1"/>
    <n v="10"/>
    <n v="2025"/>
    <n v="11"/>
    <n v="2025"/>
    <n v="0.71662274115503866"/>
    <x v="872"/>
    <d v="2025-10-06T08:44:03"/>
    <x v="1020"/>
    <s v="Paid"/>
    <d v="2025-11-12T00:00:00"/>
    <s v="607059"/>
    <x v="50"/>
    <x v="0"/>
    <n v="210"/>
    <n v="150.49077564255811"/>
    <n v="0.71662274115503855"/>
    <n v="-210"/>
    <n v="0"/>
    <n v="0"/>
    <s v=""/>
    <x v="0"/>
    <x v="0"/>
    <s v="Pend"/>
    <s v="Pend"/>
  </r>
  <r>
    <n v="1"/>
    <s v="SO17980"/>
    <s v="4500588431"/>
    <s v="INV13504"/>
    <s v="Glencore Canada Corporation - Rouyn-Noranda"/>
    <d v="2025-10-06T10:13:57"/>
    <d v="2025-10-06T10:23:36"/>
    <d v="2025-10-08T00:00:00"/>
    <s v="Wilka Nuñez"/>
    <s v="CAD"/>
    <n v="1"/>
    <n v="1857.58"/>
    <n v="0"/>
    <n v="1331.8192166341139"/>
    <n v="1769.12"/>
    <n v="88.46"/>
    <n v="1857.58"/>
    <s v="Delivered"/>
    <m/>
    <n v="1"/>
    <n v="10"/>
    <n v="2025"/>
    <s v=""/>
    <s v=""/>
    <n v="0.71696466189026253"/>
    <x v="873"/>
    <d v="2025-10-06T10:13:57"/>
    <x v="1021"/>
    <s v="Approved"/>
    <s v="Pending"/>
    <s v="4500588431"/>
    <x v="81"/>
    <x v="0"/>
    <n v="1769.12"/>
    <n v="1268.3965226433011"/>
    <n v="0.71696466189026242"/>
    <n v="-1769.12"/>
    <n v="0"/>
    <n v="0"/>
    <s v=""/>
    <x v="1"/>
    <x v="2"/>
    <s v="Pend"/>
    <s v="Pend"/>
  </r>
  <r>
    <n v="1"/>
    <s v="SO17981"/>
    <s v="4512404066"/>
    <s v="INV13483"/>
    <s v="PT Vale Indonesia Tbk."/>
    <d v="2025-10-06T11:23:56"/>
    <d v="2025-10-06T11:29:31"/>
    <d v="2025-10-07T00:00:00"/>
    <s v="Ian Trottier"/>
    <s v="USD"/>
    <n v="0.71619571643310909"/>
    <n v="1367.363665447815"/>
    <n v="0"/>
    <n v="979.3"/>
    <n v="979.3"/>
    <m/>
    <n v="979.3"/>
    <s v="Delivered"/>
    <m/>
    <n v="1"/>
    <n v="10"/>
    <n v="2025"/>
    <s v=""/>
    <s v=""/>
    <n v="0.71619571643310909"/>
    <x v="874"/>
    <d v="2025-10-06T11:23:56"/>
    <x v="1022"/>
    <s v="Approved"/>
    <s v="Pending"/>
    <s v="4512404066"/>
    <x v="42"/>
    <x v="1"/>
    <n v="1367.363665447815"/>
    <n v="979.3"/>
    <n v="0.71619571643310909"/>
    <n v="0"/>
    <n v="-979.3"/>
    <s v=""/>
    <n v="0"/>
    <x v="1"/>
    <x v="2"/>
    <s v="Pend"/>
    <s v="Pend"/>
  </r>
  <r>
    <n v="1"/>
    <s v="SO17982"/>
    <s v="PO-008330"/>
    <s v="INV13522"/>
    <s v="Sling-Choker Manufacturing - Timmins"/>
    <d v="2025-10-06T11:37:26"/>
    <d v="2025-10-07T08:44:53"/>
    <d v="2025-10-14T00:00:00"/>
    <s v="Aleksandar Stankovic"/>
    <s v="CAD"/>
    <n v="1"/>
    <n v="2714.99"/>
    <n v="2714.99"/>
    <n v="2714.99"/>
    <n v="2402.65"/>
    <n v="312.33999999999997"/>
    <n v="2714.99"/>
    <s v="Delivered"/>
    <m/>
    <n v="1"/>
    <n v="10"/>
    <n v="2025"/>
    <n v="11"/>
    <n v="2025"/>
    <n v="1"/>
    <x v="875"/>
    <d v="2025-10-06T11:37:26"/>
    <x v="1023"/>
    <s v="Paid"/>
    <d v="2025-11-06T00:00:00"/>
    <s v="PO-008330"/>
    <x v="3"/>
    <x v="0"/>
    <n v="2402.65"/>
    <n v="1717.7018503174468"/>
    <n v="0.71491971378163555"/>
    <n v="-2402.65"/>
    <n v="0"/>
    <n v="0"/>
    <s v=""/>
    <x v="0"/>
    <x v="0"/>
    <s v="Pend"/>
    <s v="Pend"/>
  </r>
  <r>
    <n v="1"/>
    <s v="SO17983"/>
    <s v="4512404006"/>
    <s v="INV13596"/>
    <s v="PT Vale Indonesia Tbk."/>
    <d v="2025-10-06T11:56:34"/>
    <d v="2025-10-06T11:57:24"/>
    <d v="2025-12-15T00:00:00"/>
    <s v="Ian Trottier"/>
    <s v="USD"/>
    <n v="0.71619571643310909"/>
    <n v="1020.572984770521"/>
    <n v="0"/>
    <n v="730.93"/>
    <n v="730.93"/>
    <m/>
    <n v="730.93"/>
    <s v="Delivered"/>
    <m/>
    <n v="1"/>
    <n v="10"/>
    <n v="2025"/>
    <s v=""/>
    <s v=""/>
    <n v="0.7161957164331092"/>
    <x v="876"/>
    <d v="2025-10-06T11:56:34"/>
    <x v="1024"/>
    <s v="Approved"/>
    <s v="Pending"/>
    <s v="4512404006"/>
    <x v="42"/>
    <x v="1"/>
    <n v="1020.5729847705212"/>
    <n v="730.93"/>
    <n v="0.71619571643310909"/>
    <n v="0"/>
    <n v="-730.93"/>
    <s v=""/>
    <n v="0"/>
    <x v="1"/>
    <x v="2"/>
    <s v="Pend"/>
    <s v="Pend"/>
  </r>
  <r>
    <n v="1"/>
    <s v="SO17985"/>
    <s v="2100673685"/>
    <s v="INV13582"/>
    <s v="Wajax Limited - Noranda"/>
    <d v="2025-10-06T15:39:28"/>
    <d v="2025-10-16T12:55:07"/>
    <d v="2025-10-17T00:00:00"/>
    <s v="Wilka Nuñez"/>
    <s v="CAD"/>
    <n v="1"/>
    <n v="173.13"/>
    <n v="0"/>
    <n v="123.2481729135411"/>
    <n v="164.89"/>
    <n v="8.24"/>
    <n v="173.13"/>
    <s v="Delivered"/>
    <m/>
    <n v="1"/>
    <n v="10"/>
    <n v="2025"/>
    <n v="12"/>
    <n v="2025"/>
    <n v="0.71188224405672673"/>
    <x v="877"/>
    <d v="2025-10-06T15:39:28"/>
    <x v="1025"/>
    <s v="Paid"/>
    <d v="2025-12-04T00:00:00"/>
    <s v="2100673685"/>
    <x v="35"/>
    <x v="0"/>
    <n v="164.89"/>
    <n v="117.38226322251366"/>
    <n v="0.71188224405672673"/>
    <n v="-164.89"/>
    <n v="0"/>
    <n v="0"/>
    <s v=""/>
    <x v="0"/>
    <x v="0"/>
    <s v="Pend"/>
    <s v="Pend"/>
  </r>
  <r>
    <n v="1"/>
    <s v="SO17987"/>
    <s v="M-084131"/>
    <s v="INV13510"/>
    <s v="Grant Aggregate"/>
    <d v="2025-10-06T17:25:34"/>
    <d v="2025-10-08T11:03:23"/>
    <d v="2025-10-15T00:00:00"/>
    <s v="Ian Trottier"/>
    <s v="CAD"/>
    <n v="1"/>
    <n v="1995.92"/>
    <n v="0"/>
    <n v="1430.3216615261649"/>
    <n v="1766.3"/>
    <n v="229.62"/>
    <n v="1995.92"/>
    <s v="Delivered"/>
    <m/>
    <n v="1"/>
    <n v="10"/>
    <n v="2025"/>
    <n v="12"/>
    <n v="2025"/>
    <n v="0.71662274115503866"/>
    <x v="878"/>
    <d v="2025-10-06T17:25:34"/>
    <x v="1026"/>
    <s v="Paid"/>
    <d v="2025-12-04T00:00:00"/>
    <s v="M-084131"/>
    <x v="9"/>
    <x v="0"/>
    <n v="1766.3"/>
    <n v="1265.7707477021447"/>
    <n v="0.71662274115503866"/>
    <n v="-1766.3"/>
    <n v="0"/>
    <n v="0"/>
    <s v=""/>
    <x v="0"/>
    <x v="0"/>
    <s v="Pend"/>
    <s v="Pend"/>
  </r>
  <r>
    <n v="1"/>
    <s v="SO17988"/>
    <s v="BC65-00082047"/>
    <s v="INV13519"/>
    <s v="Motion Industries Inc. (Canada) - Prince George"/>
    <d v="2025-10-06T19:03:17"/>
    <d v="2025-10-09T16:42:16"/>
    <d v="2025-10-16T00:00:00"/>
    <s v="Alexis Gil Lamadrid"/>
    <s v="CAD"/>
    <n v="1"/>
    <n v="655.41"/>
    <n v="0"/>
    <n v="467.77679535928041"/>
    <n v="624.20000000000005"/>
    <n v="31.21"/>
    <n v="655.41"/>
    <s v="Delivered"/>
    <m/>
    <n v="1"/>
    <n v="10"/>
    <n v="2025"/>
    <n v="11"/>
    <n v="2025"/>
    <n v="0.71371629264014957"/>
    <x v="879"/>
    <d v="2025-10-06T19:03:17"/>
    <x v="1027"/>
    <s v="Paid"/>
    <d v="2025-11-06T00:00:00"/>
    <s v="BC65-00082047"/>
    <x v="41"/>
    <x v="0"/>
    <n v="624.20000000000005"/>
    <n v="445.50170986598141"/>
    <n v="0.71371629264014957"/>
    <n v="-624.20000000000005"/>
    <n v="0"/>
    <n v="0"/>
    <s v=""/>
    <x v="0"/>
    <x v="0"/>
    <s v="Pend"/>
    <s v="Pend"/>
  </r>
  <r>
    <n v="1"/>
    <s v="SO17990"/>
    <s v="A20251008"/>
    <s v="INV13509"/>
    <s v="Alpha Industrial &amp; Mining Supplies Limited"/>
    <d v="2025-10-07T08:39:26"/>
    <d v="2025-10-07T12:55:15"/>
    <d v="2025-10-09T00:00:00"/>
    <s v="Wilka Nuñez"/>
    <s v="CAD"/>
    <n v="1"/>
    <n v="4201.68"/>
    <n v="4201.68"/>
    <n v="4201.68"/>
    <n v="3718.3"/>
    <n v="483.38"/>
    <n v="4201.68"/>
    <s v="Delivered"/>
    <m/>
    <n v="1"/>
    <n v="10"/>
    <n v="2025"/>
    <n v="11"/>
    <n v="2025"/>
    <n v="1"/>
    <x v="880"/>
    <d v="2025-10-07T08:39:26"/>
    <x v="1028"/>
    <s v="Paid"/>
    <d v="2025-11-03T00:00:00"/>
    <s v="A20251008"/>
    <x v="118"/>
    <x v="0"/>
    <n v="3718.3"/>
    <n v="2658.2859717542556"/>
    <n v="0.71491971378163555"/>
    <n v="-3718.3"/>
    <n v="0"/>
    <n v="0"/>
    <s v=""/>
    <x v="0"/>
    <x v="0"/>
    <s v="Pend"/>
    <s v="Pend"/>
  </r>
  <r>
    <n v="1"/>
    <s v="SO17991"/>
    <s v="2241"/>
    <s v="INV13527"/>
    <s v="FMI Products"/>
    <d v="2025-10-07T10:50:50"/>
    <d v="2025-10-07T14:50:33"/>
    <d v="2025-10-21T00:00:00"/>
    <s v="Alexis Gil Lamadrid"/>
    <s v="CAD"/>
    <n v="1"/>
    <n v="1900.5"/>
    <n v="1900.5"/>
    <n v="1900.5"/>
    <n v="1810"/>
    <n v="90.5"/>
    <n v="1900.5"/>
    <s v="Delivered"/>
    <m/>
    <n v="1"/>
    <n v="10"/>
    <n v="2025"/>
    <n v="11"/>
    <n v="2025"/>
    <n v="1"/>
    <x v="881"/>
    <d v="2025-10-07T10:50:50"/>
    <x v="1029"/>
    <s v="Paid"/>
    <d v="2025-11-14T00:00:00"/>
    <s v="2241"/>
    <x v="18"/>
    <x v="0"/>
    <n v="1810"/>
    <n v="1294.0046819447603"/>
    <n v="0.71491971378163555"/>
    <n v="-1810"/>
    <n v="0"/>
    <n v="0"/>
    <s v=""/>
    <x v="0"/>
    <x v="0"/>
    <s v="Pend"/>
    <s v="Pend"/>
  </r>
  <r>
    <n v="1"/>
    <s v="SO17993"/>
    <s v="4500616451"/>
    <s v="INV13612"/>
    <s v="Resolute Forest Products - Saint-Felicien"/>
    <d v="2025-10-07T11:17:49"/>
    <d v="2025-10-07T11:18:29"/>
    <d v="2025-11-25T00:00:00"/>
    <s v="Ian Trottier"/>
    <s v="CAD"/>
    <n v="1"/>
    <n v="1428.32"/>
    <n v="1428.32"/>
    <n v="1428.32"/>
    <n v="1264"/>
    <n v="164.32"/>
    <n v="1428.32"/>
    <s v="Delivered"/>
    <m/>
    <n v="1"/>
    <n v="10"/>
    <n v="2025"/>
    <n v="1"/>
    <n v="2026"/>
    <n v="1"/>
    <x v="882"/>
    <d v="2025-10-07T11:17:49"/>
    <x v="1030"/>
    <s v="Paid"/>
    <d v="2026-01-02T00:00:00"/>
    <s v="4500616451"/>
    <x v="46"/>
    <x v="0"/>
    <n v="1264"/>
    <n v="903.65851821998729"/>
    <n v="0.71491971378163555"/>
    <n v="-1264"/>
    <n v="0"/>
    <n v="0"/>
    <s v=""/>
    <x v="0"/>
    <x v="0"/>
    <s v="Pend"/>
    <s v="Pend"/>
  </r>
  <r>
    <n v="1"/>
    <s v="SO17996"/>
    <s v="P368732"/>
    <s v="INV13531"/>
    <s v="Covia Corp - Junction City"/>
    <d v="2025-10-07T12:17:17"/>
    <d v="2025-10-10T15:44:23"/>
    <d v="2025-10-17T00:00:00"/>
    <s v="Aleksandar Stankovic"/>
    <s v="USD"/>
    <n v="0.71662274115503888"/>
    <n v="354.39846576827301"/>
    <n v="0"/>
    <n v="253.97"/>
    <n v="253.97"/>
    <m/>
    <n v="253.97"/>
    <s v="Delivered"/>
    <m/>
    <n v="1"/>
    <n v="10"/>
    <n v="2025"/>
    <s v=""/>
    <s v=""/>
    <n v="0.71662274115503888"/>
    <x v="883"/>
    <d v="2025-10-07T12:17:17"/>
    <x v="1031"/>
    <s v="Approved"/>
    <s v="Pending"/>
    <s v="P368732"/>
    <x v="6"/>
    <x v="1"/>
    <n v="354.39846576827301"/>
    <n v="253.97"/>
    <n v="0.71662274115503888"/>
    <n v="0"/>
    <n v="-253.97"/>
    <s v=""/>
    <n v="0"/>
    <x v="1"/>
    <x v="2"/>
    <s v="Pend"/>
    <s v="Pend"/>
  </r>
  <r>
    <n v="1"/>
    <s v="SO17997"/>
    <s v="P368642"/>
    <s v="INV13525"/>
    <s v="Covia Corp - Guion"/>
    <d v="2025-10-07T12:52:29"/>
    <d v="2025-10-09T15:17:20"/>
    <d v="2025-10-17T00:00:00"/>
    <s v="Aleksandar Stankovic"/>
    <s v="USD"/>
    <n v="0.71662274115503888"/>
    <n v="5514.2821641841701"/>
    <n v="0"/>
    <n v="3951.66"/>
    <n v="3951.66"/>
    <m/>
    <n v="3951.66"/>
    <s v="Delivered"/>
    <m/>
    <n v="1"/>
    <n v="10"/>
    <n v="2025"/>
    <s v=""/>
    <s v=""/>
    <n v="0.71662274115503888"/>
    <x v="884"/>
    <d v="2025-10-07T12:52:29"/>
    <x v="1032"/>
    <s v="Approved"/>
    <s v="Pending"/>
    <s v="P368642"/>
    <x v="141"/>
    <x v="1"/>
    <n v="5514.2821641841701"/>
    <n v="3951.66"/>
    <n v="0.71662274115503888"/>
    <n v="0"/>
    <n v="-3951.66"/>
    <s v=""/>
    <n v="0"/>
    <x v="1"/>
    <x v="2"/>
    <s v="Pend"/>
    <s v="Pend"/>
  </r>
  <r>
    <n v="2"/>
    <s v="SO17999"/>
    <s v="RJSUP/IPO/2526/00090"/>
    <s v="INV13765"/>
    <s v="Jindal Drilling &amp; Industries Limited"/>
    <d v="2025-10-07T16:27:13"/>
    <d v="2025-10-21T10:21:21"/>
    <d v="2025-12-08T00:00:00"/>
    <s v="Amanda Qiao"/>
    <s v="USD"/>
    <n v="0.71263674064888716"/>
    <n v="17525.2120577282"/>
    <n v="0"/>
    <n v="12489.11"/>
    <n v="12489.11"/>
    <m/>
    <n v="12489.11"/>
    <s v="Delivered"/>
    <m/>
    <n v="2"/>
    <n v="10"/>
    <n v="2025"/>
    <s v=""/>
    <s v=""/>
    <n v="0.71263674064888716"/>
    <x v="885"/>
    <d v="2025-10-07T16:27:13"/>
    <x v="1033"/>
    <s v="Approved"/>
    <s v="Pending"/>
    <s v="RJSUP/IPO/2526/00090"/>
    <x v="103"/>
    <x v="1"/>
    <n v="17525.2120577282"/>
    <n v="12489.11"/>
    <n v="0.71263674064888716"/>
    <n v="0"/>
    <n v="-12489.11"/>
    <s v=""/>
    <n v="0"/>
    <x v="1"/>
    <x v="1"/>
    <s v="Pend"/>
    <s v="Pend"/>
  </r>
  <r>
    <m/>
    <m/>
    <m/>
    <s v="INV13536"/>
    <m/>
    <m/>
    <m/>
    <m/>
    <m/>
    <m/>
    <m/>
    <m/>
    <m/>
    <m/>
    <m/>
    <m/>
    <m/>
    <m/>
    <m/>
    <n v="2"/>
    <n v="10"/>
    <n v="2025"/>
    <n v="10"/>
    <n v="2025"/>
    <n v="0.71263674064888716"/>
    <x v="885"/>
    <d v="2025-10-07T16:27:13"/>
    <x v="1034"/>
    <s v="Paid"/>
    <d v="2025-10-29T00:00:00"/>
    <s v="RJSUP/IPO/2526/00090"/>
    <x v="103"/>
    <x v="1"/>
    <n v="0"/>
    <n v="0"/>
    <n v="0"/>
    <n v="0"/>
    <n v="-12489.11"/>
    <s v=""/>
    <n v="-12489.11"/>
    <x v="0"/>
    <x v="1"/>
    <s v="Pend"/>
    <s v="Pend"/>
  </r>
  <r>
    <n v="1"/>
    <s v="SO18001"/>
    <s v="A20251012"/>
    <s v="INV13597"/>
    <s v="Alpha Industrial &amp; Mining Supplies Limited"/>
    <d v="2025-10-08T09:22:31"/>
    <d v="2025-10-09T13:14:29"/>
    <m/>
    <s v="Wilka Nuñez"/>
    <s v="CAD"/>
    <n v="1"/>
    <n v="5855.32"/>
    <n v="0"/>
    <n v="4179.0372826217208"/>
    <n v="5181.7"/>
    <n v="673.62"/>
    <n v="5855.32"/>
    <s v="Delivered"/>
    <m/>
    <n v="1"/>
    <n v="10"/>
    <n v="2025"/>
    <s v=""/>
    <s v=""/>
    <n v="0.71371629264014969"/>
    <x v="886"/>
    <d v="2025-10-08T09:22:31"/>
    <x v="1035"/>
    <s v="Approved"/>
    <s v="Pending"/>
    <s v="A20251012"/>
    <x v="118"/>
    <x v="0"/>
    <n v="5181.7"/>
    <n v="3698.2637135734635"/>
    <n v="0.71371629264014969"/>
    <n v="-5181.7"/>
    <n v="0"/>
    <n v="0"/>
    <s v=""/>
    <x v="1"/>
    <x v="2"/>
    <s v="Pend"/>
    <s v="Pend"/>
  </r>
  <r>
    <n v="1"/>
    <s v="SO18002"/>
    <s v="4500616629"/>
    <s v="INV13524"/>
    <s v="Resolute Forest Products - Clermont"/>
    <d v="2025-10-08T12:38:19"/>
    <d v="2025-10-08T18:25:06"/>
    <d v="2025-10-15T00:00:00"/>
    <s v="Alexis Gil Lamadrid"/>
    <s v="CAD"/>
    <n v="1"/>
    <n v="1183.46"/>
    <n v="0"/>
    <n v="848.09434924734239"/>
    <n v="1127.0999999999999"/>
    <n v="56.36"/>
    <n v="1183.46"/>
    <s v="Delivered"/>
    <m/>
    <n v="1"/>
    <n v="10"/>
    <n v="2025"/>
    <n v="12"/>
    <n v="2025"/>
    <n v="0.71662274115503888"/>
    <x v="887"/>
    <d v="2025-10-08T12:38:19"/>
    <x v="1036"/>
    <s v="Paid"/>
    <d v="2025-12-12T00:00:00"/>
    <s v="4500616629"/>
    <x v="83"/>
    <x v="0"/>
    <n v="1127.0999999999999"/>
    <n v="807.70549155584422"/>
    <n v="0.71662274115503888"/>
    <n v="-1127.0999999999999"/>
    <n v="0"/>
    <n v="0"/>
    <s v=""/>
    <x v="0"/>
    <x v="0"/>
    <s v="Pend"/>
    <s v="Pend"/>
  </r>
  <r>
    <n v="1"/>
    <s v="SO18004"/>
    <s v="2100669071"/>
    <s v="INV13516"/>
    <s v="Wajax Limited - Lachine"/>
    <d v="2025-10-08T13:56:53"/>
    <d v="2025-10-08T13:57:00"/>
    <d v="2025-10-15T00:00:00"/>
    <s v="Alexis Gil Lamadrid"/>
    <s v="CAD"/>
    <n v="1"/>
    <n v="2.63"/>
    <n v="0"/>
    <n v="1.8847178092377519"/>
    <n v="2.5"/>
    <n v="0.13"/>
    <n v="2.63"/>
    <s v="Delivered"/>
    <m/>
    <n v="1"/>
    <n v="10"/>
    <n v="2025"/>
    <n v="11"/>
    <n v="2025"/>
    <n v="0.71662274115503877"/>
    <x v="888"/>
    <d v="2025-10-08T13:56:53"/>
    <x v="1037"/>
    <s v="Paid"/>
    <d v="2025-11-12T00:00:00"/>
    <s v="2100669071"/>
    <x v="77"/>
    <x v="0"/>
    <n v="2.5"/>
    <n v="1.7915568528875969"/>
    <n v="0.71662274115503877"/>
    <n v="-2.5"/>
    <n v="0"/>
    <n v="0"/>
    <s v=""/>
    <x v="0"/>
    <x v="0"/>
    <s v="Pend"/>
    <s v="Pend"/>
  </r>
  <r>
    <n v="1"/>
    <s v="SO18008"/>
    <s v="4500588834"/>
    <s v="INV13512"/>
    <s v="Glencore Canada Corporation - Rouyn-Noranda"/>
    <d v="2025-10-08T19:13:31"/>
    <d v="2025-10-08T19:13:41"/>
    <d v="2025-10-15T00:00:00"/>
    <s v="Ian Trottier"/>
    <s v="CAD"/>
    <n v="1"/>
    <n v="402.31"/>
    <n v="0"/>
    <n v="287.13520169205862"/>
    <n v="383.15"/>
    <n v="19.16"/>
    <n v="402.31"/>
    <s v="Delivered"/>
    <m/>
    <n v="1"/>
    <n v="10"/>
    <n v="2025"/>
    <s v=""/>
    <s v=""/>
    <n v="0.71371629264014969"/>
    <x v="889"/>
    <d v="2025-10-08T19:13:31"/>
    <x v="1038"/>
    <s v="Approved"/>
    <s v="Pending"/>
    <s v="4500588834"/>
    <x v="81"/>
    <x v="0"/>
    <n v="383.15"/>
    <n v="273.46039752507335"/>
    <n v="0.71371629264014969"/>
    <n v="-383.15"/>
    <n v="0"/>
    <n v="0"/>
    <s v=""/>
    <x v="1"/>
    <x v="2"/>
    <s v="Pend"/>
    <s v="Pend"/>
  </r>
  <r>
    <n v="1"/>
    <s v="SO18009"/>
    <s v="4500616836"/>
    <s v="INV13518"/>
    <s v="Resolute Forest Products - Kenogami"/>
    <d v="2025-10-08T19:28:34"/>
    <d v="2025-10-09T11:46:15"/>
    <d v="2025-10-16T00:00:00"/>
    <s v="Alexis Gil Lamadrid"/>
    <s v="CAD"/>
    <n v="1"/>
    <n v="1183.46"/>
    <n v="0"/>
    <n v="844.65468368791142"/>
    <n v="1127.0999999999999"/>
    <n v="56.36"/>
    <n v="1183.46"/>
    <s v="Delivered"/>
    <m/>
    <n v="1"/>
    <n v="10"/>
    <n v="2025"/>
    <n v="12"/>
    <n v="2025"/>
    <n v="0.71371629264014957"/>
    <x v="890"/>
    <d v="2025-10-08T19:28:34"/>
    <x v="1039"/>
    <s v="Paid"/>
    <d v="2025-12-09T00:00:00"/>
    <s v="4500616836"/>
    <x v="17"/>
    <x v="0"/>
    <n v="1127.0999999999999"/>
    <n v="804.42963343471251"/>
    <n v="0.71371629264014957"/>
    <n v="-1127.0999999999999"/>
    <n v="0"/>
    <n v="0"/>
    <s v=""/>
    <x v="0"/>
    <x v="0"/>
    <s v="Pend"/>
    <s v="Pend"/>
  </r>
  <r>
    <n v="1"/>
    <s v="SO18010"/>
    <s v="4500617746"/>
    <s v="INV13788"/>
    <s v="Resolute Forest Products - Clermont"/>
    <d v="2025-10-08T20:29:08"/>
    <d v="2025-10-15T13:06:32"/>
    <d v="2026-01-14T00:00:00"/>
    <s v="Ian Trottier"/>
    <s v="CAD"/>
    <n v="1"/>
    <n v="7318.61"/>
    <n v="7318.61"/>
    <n v="7318.61"/>
    <n v="6970.1"/>
    <n v="348.51"/>
    <n v="7318.61"/>
    <s v="Delivered"/>
    <m/>
    <n v="1"/>
    <n v="10"/>
    <n v="2025"/>
    <s v=""/>
    <s v=""/>
    <n v="1"/>
    <x v="891"/>
    <d v="2025-10-08T20:29:08"/>
    <x v="1040"/>
    <s v="Approved"/>
    <s v="Pending"/>
    <s v="4500617746"/>
    <x v="83"/>
    <x v="0"/>
    <n v="6970.1"/>
    <n v="4983.0618970293781"/>
    <n v="0.71491971378163555"/>
    <n v="-6970.1"/>
    <n v="0"/>
    <n v="0"/>
    <s v=""/>
    <x v="1"/>
    <x v="2"/>
    <s v="Pend"/>
    <s v="Pend"/>
  </r>
  <r>
    <n v="1"/>
    <s v="SO18012"/>
    <s v="4512412211"/>
    <s v="INV13594"/>
    <s v="PT Vale Indonesia Tbk."/>
    <d v="2025-10-08T21:34:51"/>
    <d v="2025-10-08T21:35:34"/>
    <d v="2025-10-09T00:00:00"/>
    <s v="Ian Trottier"/>
    <s v="USD"/>
    <n v="0.71696466189026287"/>
    <n v="39.360377854047279"/>
    <n v="0"/>
    <n v="28.22"/>
    <n v="28.22"/>
    <m/>
    <n v="28.22"/>
    <s v="Delivered"/>
    <m/>
    <n v="1"/>
    <n v="10"/>
    <n v="2025"/>
    <s v=""/>
    <s v=""/>
    <n v="0.71696466189026287"/>
    <x v="892"/>
    <d v="2025-10-08T21:34:51"/>
    <x v="1041"/>
    <s v="Approved"/>
    <s v="Pending"/>
    <s v="4512412211"/>
    <x v="42"/>
    <x v="1"/>
    <n v="39.360377854047279"/>
    <n v="28.22"/>
    <n v="0.71696466189026287"/>
    <n v="0"/>
    <n v="-28.22"/>
    <s v=""/>
    <n v="0"/>
    <x v="1"/>
    <x v="2"/>
    <s v="Pend"/>
    <s v="Pend"/>
  </r>
  <r>
    <n v="2"/>
    <s v="SO18013"/>
    <s v="66071"/>
    <s v="Borrador de factura (* 80533)"/>
    <s v="Harvey Bearings"/>
    <d v="2025-10-09T08:55:54"/>
    <d v="2025-10-14T09:56:59"/>
    <d v="2025-10-23T00:00:00"/>
    <s v="Aleksandar Stankovic"/>
    <s v="CAD"/>
    <n v="1"/>
    <n v="792.08"/>
    <n v="0"/>
    <n v="563.9567810393653"/>
    <n v="754.36"/>
    <n v="37.72"/>
    <n v="792.08"/>
    <s v="Delivered"/>
    <m/>
    <n v="2"/>
    <n v="10"/>
    <n v="2025"/>
    <s v=""/>
    <s v=""/>
    <n v="0.71199472406747455"/>
    <x v="893"/>
    <d v="2025-10-09T08:55:54"/>
    <x v="1042"/>
    <s v="Not invoiced"/>
    <s v="Pending"/>
    <s v="66071"/>
    <x v="65"/>
    <x v="0"/>
    <n v="754.36"/>
    <n v="537.10034004754016"/>
    <n v="0.71199472406747466"/>
    <n v="0"/>
    <n v="0"/>
    <n v="754.36"/>
    <s v=""/>
    <x v="1"/>
    <x v="1"/>
    <s v="Yes"/>
    <s v="Pend"/>
  </r>
  <r>
    <m/>
    <m/>
    <m/>
    <s v="INV13530"/>
    <m/>
    <m/>
    <m/>
    <m/>
    <m/>
    <m/>
    <m/>
    <m/>
    <m/>
    <m/>
    <m/>
    <m/>
    <m/>
    <m/>
    <m/>
    <n v="2"/>
    <n v="10"/>
    <n v="2025"/>
    <n v="10"/>
    <n v="2025"/>
    <n v="0.71199472406747455"/>
    <x v="893"/>
    <d v="2025-10-09T08:55:54"/>
    <x v="1043"/>
    <s v="Paid"/>
    <d v="2025-10-17T00:00:00"/>
    <s v="66071"/>
    <x v="65"/>
    <x v="0"/>
    <n v="0"/>
    <n v="0"/>
    <n v="0"/>
    <n v="-754.36"/>
    <n v="0"/>
    <n v="-754.36"/>
    <s v=""/>
    <x v="0"/>
    <x v="1"/>
    <s v="Yes"/>
    <s v="Pend"/>
  </r>
  <r>
    <n v="1"/>
    <s v="SO18014"/>
    <s v="7885"/>
    <s v="INV13561"/>
    <s v="Hyperflo"/>
    <d v="2025-10-09T09:31:40"/>
    <d v="2025-10-27T14:35:02"/>
    <d v="2025-11-03T00:00:00"/>
    <s v="Aleksandar Stankovic"/>
    <s v="CAD"/>
    <n v="1"/>
    <n v="8607.9"/>
    <n v="8607.9"/>
    <n v="8607.9"/>
    <n v="8198"/>
    <n v="409.9"/>
    <n v="8607.9"/>
    <s v="Delivered"/>
    <m/>
    <n v="1"/>
    <n v="10"/>
    <n v="2025"/>
    <n v="12"/>
    <n v="2025"/>
    <n v="1"/>
    <x v="894"/>
    <d v="2025-10-09T09:31:40"/>
    <x v="1044"/>
    <s v="Paid"/>
    <d v="2025-12-04T00:00:00"/>
    <s v="7885"/>
    <x v="5"/>
    <x v="0"/>
    <n v="8198"/>
    <n v="5860.911813581848"/>
    <n v="0.71491971378163555"/>
    <n v="-8198"/>
    <n v="0"/>
    <n v="0"/>
    <s v=""/>
    <x v="0"/>
    <x v="0"/>
    <s v="Pend"/>
    <s v="Pend"/>
  </r>
  <r>
    <n v="1"/>
    <s v="SO18016"/>
    <s v="4500617055"/>
    <s v="INV13515"/>
    <s v="Resolute Forest Products - Saint-Felicien"/>
    <d v="2025-10-09T13:55:58"/>
    <d v="2025-10-09T13:58:22"/>
    <d v="2025-10-16T00:00:00"/>
    <s v="Alexis Gil Lamadrid"/>
    <s v="CAD"/>
    <n v="1"/>
    <n v="993.26"/>
    <n v="0"/>
    <n v="708.905844827755"/>
    <n v="945.96"/>
    <n v="47.3"/>
    <n v="993.26"/>
    <s v="Delivered"/>
    <m/>
    <n v="1"/>
    <n v="10"/>
    <n v="2025"/>
    <n v="12"/>
    <n v="2025"/>
    <n v="0.71371629264014957"/>
    <x v="895"/>
    <d v="2025-10-09T13:55:58"/>
    <x v="1045"/>
    <s v="Paid"/>
    <d v="2025-12-09T00:00:00"/>
    <s v="4500617055"/>
    <x v="46"/>
    <x v="0"/>
    <n v="945.96"/>
    <n v="675.14706418587593"/>
    <n v="0.71371629264014957"/>
    <n v="-945.96"/>
    <n v="0"/>
    <n v="0"/>
    <s v=""/>
    <x v="0"/>
    <x v="0"/>
    <s v="Pend"/>
    <s v="Pend"/>
  </r>
  <r>
    <n v="1"/>
    <s v="SO18017"/>
    <s v="L67665-DS"/>
    <s v="INV13831"/>
    <s v="Wild Rows Pump &amp; Compression LTD., Wild Rows Pump &amp; Compression LTD."/>
    <d v="2025-10-09T14:16:35"/>
    <d v="2025-10-14T12:52:34"/>
    <d v="2026-01-20T00:00:00"/>
    <s v="Wilka Nuñez"/>
    <s v="CAD"/>
    <n v="1"/>
    <n v="1062.5"/>
    <n v="0"/>
    <n v="756.49439432169174"/>
    <n v="1011.91"/>
    <n v="50.59"/>
    <n v="1062.5"/>
    <s v="Delivered"/>
    <m/>
    <n v="1"/>
    <n v="10"/>
    <n v="2025"/>
    <s v=""/>
    <s v=""/>
    <n v="0.71199472406747455"/>
    <x v="896"/>
    <d v="2025-10-09T14:16:35"/>
    <x v="1046"/>
    <s v="Not invoiced"/>
    <s v="Pending"/>
    <s v="L67665-DS"/>
    <x v="100"/>
    <x v="0"/>
    <n v="1011.91"/>
    <n v="720.47458123111812"/>
    <n v="0.71199472406747455"/>
    <n v="0"/>
    <n v="0"/>
    <n v="1011.91"/>
    <s v=""/>
    <x v="1"/>
    <x v="2"/>
    <s v="Pend"/>
    <s v="Pend"/>
  </r>
  <r>
    <n v="1"/>
    <s v="SO18024"/>
    <s v="2100674278"/>
    <s v="INV13543"/>
    <s v="Wajax Limited - Thunder Bay, Wajax Limited - Thunder Bay"/>
    <d v="2025-10-10T12:07:55"/>
    <d v="2025-10-17T10:41:32"/>
    <d v="2025-10-20T00:00:00"/>
    <s v="Alexis Gil Lamadrid"/>
    <s v="CAD"/>
    <n v="1"/>
    <n v="221.48"/>
    <n v="0"/>
    <n v="157.66750583524691"/>
    <n v="196"/>
    <n v="25.48"/>
    <n v="221.48"/>
    <s v="Delivered"/>
    <m/>
    <n v="1"/>
    <n v="10"/>
    <n v="2025"/>
    <n v="11"/>
    <n v="2025"/>
    <n v="0.71188146033613386"/>
    <x v="897"/>
    <d v="2025-10-10T12:07:55"/>
    <x v="1047"/>
    <s v="Paid"/>
    <d v="2025-11-27T00:00:00"/>
    <s v="2100674278"/>
    <x v="145"/>
    <x v="0"/>
    <n v="196"/>
    <n v="139.52876622588224"/>
    <n v="0.71188146033613386"/>
    <n v="-196"/>
    <n v="0"/>
    <n v="0"/>
    <s v=""/>
    <x v="0"/>
    <x v="0"/>
    <s v="Pend"/>
    <s v="Pend"/>
  </r>
  <r>
    <n v="1"/>
    <s v="SO18027"/>
    <s v="4500622088"/>
    <s v="INV13825"/>
    <s v="Resolute Forest Products - Gatineau"/>
    <d v="2025-10-10T17:23:44"/>
    <d v="2025-11-13T13:29:05"/>
    <d v="2025-11-28T00:00:00"/>
    <s v="Ian Trottier"/>
    <s v="CAD"/>
    <n v="1"/>
    <n v="2561.06"/>
    <n v="0"/>
    <n v="1827.8134876122981"/>
    <n v="2439.1"/>
    <n v="121.96"/>
    <n v="2561.06"/>
    <s v="Delivered"/>
    <m/>
    <n v="1"/>
    <n v="10"/>
    <n v="2025"/>
    <s v=""/>
    <s v=""/>
    <n v="0.71369412962300693"/>
    <x v="898"/>
    <d v="2025-10-10T17:23:44"/>
    <x v="1048"/>
    <s v="Not invoiced"/>
    <s v="Pending"/>
    <s v="4500622088"/>
    <x v="146"/>
    <x v="0"/>
    <n v="2439.1"/>
    <n v="1740.7713515634762"/>
    <n v="0.71369412962300693"/>
    <n v="0"/>
    <n v="0"/>
    <n v="2439.1"/>
    <s v=""/>
    <x v="1"/>
    <x v="2"/>
    <s v="Pend"/>
    <s v="Pend"/>
  </r>
  <r>
    <n v="1"/>
    <s v="SO18028"/>
    <s v="PO-10-1080033"/>
    <s v="INV13547"/>
    <s v="Canadian Bearings Ltd."/>
    <d v="2025-10-10T18:13:53"/>
    <d v="2025-10-20T09:05:04"/>
    <d v="2025-10-21T00:00:00"/>
    <s v="Ian Trottier"/>
    <s v="CAD"/>
    <n v="1"/>
    <n v="138.52000000000001"/>
    <n v="0"/>
    <n v="98.726598664281966"/>
    <n v="131.91999999999999"/>
    <n v="6.6"/>
    <n v="138.52000000000001"/>
    <s v="Delivered"/>
    <m/>
    <n v="1"/>
    <n v="10"/>
    <n v="2025"/>
    <n v="12"/>
    <n v="2025"/>
    <n v="0.71272450667255238"/>
    <x v="899"/>
    <d v="2025-10-10T18:13:53"/>
    <x v="1049"/>
    <s v="Paid"/>
    <d v="2025-12-17T00:00:00"/>
    <s v="PO-10-1080033"/>
    <x v="38"/>
    <x v="0"/>
    <n v="131.91999999999999"/>
    <n v="94.022616920243095"/>
    <n v="0.71272450667255238"/>
    <n v="-131.91999999999999"/>
    <n v="0"/>
    <n v="0"/>
    <s v=""/>
    <x v="0"/>
    <x v="0"/>
    <s v="Pend"/>
    <s v="Pend"/>
  </r>
  <r>
    <n v="1"/>
    <s v="SO18030"/>
    <s v="4500616757"/>
    <s v="INV13581"/>
    <s v="Resolute Forest Products - Dolbeau"/>
    <d v="2025-10-10T18:35:04"/>
    <d v="2025-10-10T18:36:25"/>
    <d v="2025-12-05T00:00:00"/>
    <s v="Alexis Gil Lamadrid"/>
    <s v="CAD"/>
    <n v="1"/>
    <n v="1231.9100000000001"/>
    <n v="0"/>
    <n v="879.97893434721561"/>
    <n v="1173.25"/>
    <n v="58.66"/>
    <n v="1231.9100000000001"/>
    <s v="Delivered"/>
    <m/>
    <n v="1"/>
    <n v="10"/>
    <n v="2025"/>
    <n v="12"/>
    <n v="2025"/>
    <n v="0.71432079806740389"/>
    <x v="900"/>
    <d v="2025-10-10T18:35:04"/>
    <x v="1050"/>
    <s v="Paid"/>
    <d v="2025-12-29T00:00:00"/>
    <s v="4500616757"/>
    <x v="55"/>
    <x v="0"/>
    <n v="1173.25"/>
    <n v="838.07687633258161"/>
    <n v="0.71432079806740389"/>
    <n v="-1173.25"/>
    <n v="0"/>
    <n v="0"/>
    <s v=""/>
    <x v="0"/>
    <x v="0"/>
    <s v="Pend"/>
    <s v="Pend"/>
  </r>
  <r>
    <n v="0"/>
    <s v="SO18036"/>
    <s v="4501309832"/>
    <m/>
    <s v="Barrick Gold - Pueblo Viejo Dominicana Corporation"/>
    <d v="2025-10-14T10:35:27"/>
    <d v="2025-10-14T10:34:26"/>
    <d v="2025-11-24T00:00:00"/>
    <s v="Jeff Bell"/>
    <s v="USD"/>
    <n v="0.71199472406747455"/>
    <n v="561.8019157710678"/>
    <n v="0"/>
    <n v="400"/>
    <n v="400"/>
    <m/>
    <n v="400"/>
    <s v="Delivered"/>
    <m/>
    <n v="0"/>
    <n v="10"/>
    <n v="2025"/>
    <s v=""/>
    <s v=""/>
    <n v="0.71199472406747455"/>
    <x v="901"/>
    <d v="2025-10-14T10:35:27"/>
    <x v="54"/>
    <s v="Not invoiced"/>
    <s v="Pending"/>
    <s v="4501309832"/>
    <x v="15"/>
    <x v="1"/>
    <n v="561.8019157710678"/>
    <n v="400"/>
    <n v="0.71199472406747455"/>
    <n v="0"/>
    <n v="0"/>
    <s v=""/>
    <n v="400"/>
    <x v="1"/>
    <x v="2"/>
    <s v="Pend"/>
    <s v="Pend"/>
  </r>
  <r>
    <n v="0"/>
    <s v="SO18040"/>
    <s v="325176"/>
    <m/>
    <s v="Gibraltar Mine (Canada)"/>
    <d v="2025-10-14T17:00:11"/>
    <d v="2025-10-14T17:57:37"/>
    <d v="2026-02-06T00:00:00"/>
    <s v="Aleksandar Stankovic"/>
    <s v="CAD"/>
    <n v="1"/>
    <n v="30700.95"/>
    <n v="0"/>
    <n v="21858.914423859329"/>
    <n v="29239"/>
    <n v="1461.95"/>
    <n v="30700.95"/>
    <s v="Processing"/>
    <m/>
    <n v="0"/>
    <n v="10"/>
    <n v="2025"/>
    <s v=""/>
    <s v=""/>
    <n v="0.71199472406747444"/>
    <x v="902"/>
    <d v="2025-10-14T17:00:11"/>
    <x v="54"/>
    <s v="Not invoiced"/>
    <s v="Pending"/>
    <s v="325176"/>
    <x v="11"/>
    <x v="0"/>
    <n v="29239"/>
    <n v="20818.013737008885"/>
    <n v="0.71199472406747444"/>
    <n v="0"/>
    <n v="0"/>
    <n v="29239"/>
    <s v=""/>
    <x v="1"/>
    <x v="2"/>
    <s v="Pend"/>
    <s v="Pend"/>
  </r>
  <r>
    <n v="1"/>
    <s v="SO18042"/>
    <s v="4500617289"/>
    <s v="INV13835"/>
    <s v="Resolute Forest Products - Saint-Felicien"/>
    <d v="2025-10-14T18:27:59"/>
    <d v="2025-10-14T18:26:15"/>
    <d v="2026-02-18T00:00:00"/>
    <s v="Alexis Gil Lamadrid"/>
    <s v="CAD"/>
    <n v="1"/>
    <n v="5045.0600000000004"/>
    <n v="0"/>
    <n v="3592.056102603854"/>
    <n v="4804.82"/>
    <n v="240.24"/>
    <n v="5045.0600000000004"/>
    <s v="Delivered"/>
    <m/>
    <n v="1"/>
    <n v="10"/>
    <n v="2025"/>
    <s v=""/>
    <s v=""/>
    <n v="0.71199472406747466"/>
    <x v="903"/>
    <d v="2025-10-14T18:27:59"/>
    <x v="1051"/>
    <s v="Not invoiced"/>
    <s v="Pending"/>
    <s v="4500617289"/>
    <x v="46"/>
    <x v="0"/>
    <n v="4804.82"/>
    <n v="3421.0064900938833"/>
    <n v="0.71199472406747466"/>
    <n v="0"/>
    <n v="0"/>
    <n v="4804.82"/>
    <s v=""/>
    <x v="1"/>
    <x v="2"/>
    <s v="Pend"/>
    <s v="Pend"/>
  </r>
  <r>
    <n v="1"/>
    <s v="SO18045"/>
    <s v="253135"/>
    <s v="INV13764"/>
    <s v="Nord-Flo Inc."/>
    <d v="2025-10-15T11:44:30"/>
    <d v="2025-11-11T10:41:16"/>
    <d v="2025-11-28T00:00:00"/>
    <s v="Amanda Qiao"/>
    <s v="CAD"/>
    <n v="1"/>
    <n v="9604.41"/>
    <n v="0"/>
    <n v="6855.6421722181158"/>
    <n v="9147.06"/>
    <n v="457.35"/>
    <n v="9604.41"/>
    <s v="Delivered"/>
    <m/>
    <n v="1"/>
    <n v="10"/>
    <n v="2025"/>
    <s v=""/>
    <s v=""/>
    <n v="0.71380149037974383"/>
    <x v="904"/>
    <d v="2025-10-15T11:44:30"/>
    <x v="1052"/>
    <s v="Approved"/>
    <s v="Pending"/>
    <s v="253135"/>
    <x v="147"/>
    <x v="0"/>
    <n v="9147.06"/>
    <n v="6529.1850605929394"/>
    <n v="0.71380149037974383"/>
    <n v="-9147.06"/>
    <n v="0"/>
    <n v="0"/>
    <s v=""/>
    <x v="1"/>
    <x v="2"/>
    <s v="Pend"/>
    <s v="Pend"/>
  </r>
  <r>
    <n v="1"/>
    <s v="SO18047"/>
    <s v="7844"/>
    <s v="INV13537"/>
    <s v="Hyperflo"/>
    <d v="2025-10-15T14:45:50"/>
    <d v="2025-10-15T16:18:44"/>
    <d v="2025-10-22T00:00:00"/>
    <s v="Aleksandar Stankovic"/>
    <s v="CAD"/>
    <n v="1"/>
    <n v="157.5"/>
    <n v="157.5"/>
    <n v="157.5"/>
    <n v="150"/>
    <n v="7.5"/>
    <n v="157.5"/>
    <s v="Delivered"/>
    <m/>
    <n v="1"/>
    <n v="10"/>
    <n v="2025"/>
    <n v="11"/>
    <n v="2025"/>
    <n v="1"/>
    <x v="905"/>
    <d v="2025-10-15T14:45:50"/>
    <x v="1053"/>
    <s v="Paid"/>
    <d v="2025-11-28T00:00:00"/>
    <s v="7844"/>
    <x v="5"/>
    <x v="0"/>
    <n v="150"/>
    <n v="107.23795706724533"/>
    <n v="0.71491971378163555"/>
    <n v="-150"/>
    <n v="0"/>
    <n v="0"/>
    <s v=""/>
    <x v="0"/>
    <x v="0"/>
    <s v="Pend"/>
    <s v="Pend"/>
  </r>
  <r>
    <n v="1"/>
    <s v="SO18048"/>
    <s v="2100672932"/>
    <s v="INV13583"/>
    <s v="Wajax Limited - Noranda"/>
    <d v="2025-10-15T15:08:48"/>
    <d v="2025-10-15T15:17:03"/>
    <d v="2025-10-22T00:00:00"/>
    <s v="Aleksandar Stankovic"/>
    <s v="CAD"/>
    <n v="1"/>
    <n v="177.02"/>
    <n v="177.02"/>
    <n v="177.02"/>
    <n v="168.59"/>
    <n v="8.43"/>
    <n v="177.02"/>
    <s v="Delivered"/>
    <m/>
    <n v="1"/>
    <n v="10"/>
    <n v="2025"/>
    <n v="1"/>
    <n v="2026"/>
    <n v="1"/>
    <x v="906"/>
    <d v="2025-10-15T15:08:48"/>
    <x v="1054"/>
    <s v="Paid"/>
    <d v="2026-01-02T00:00:00"/>
    <s v="2100672932"/>
    <x v="35"/>
    <x v="0"/>
    <n v="168.59"/>
    <n v="120.52831454644594"/>
    <n v="0.71491971378163555"/>
    <n v="-168.59"/>
    <n v="0"/>
    <n v="0"/>
    <s v=""/>
    <x v="0"/>
    <x v="0"/>
    <s v="Pend"/>
    <s v="Pend"/>
  </r>
  <r>
    <n v="1"/>
    <s v="SO18049"/>
    <s v="4500617755"/>
    <s v="INV13796"/>
    <s v="Resolute Forest Products - Saint-Felicien"/>
    <d v="2025-10-15T16:07:00"/>
    <d v="2025-10-15T16:16:12"/>
    <d v="2026-01-21T00:00:00"/>
    <s v="Ian Trottier"/>
    <s v="CAD"/>
    <n v="1"/>
    <n v="2045.52"/>
    <n v="2045.52"/>
    <n v="2045.52"/>
    <n v="1948.11"/>
    <n v="97.41"/>
    <n v="2045.52"/>
    <s v="Delivered"/>
    <m/>
    <n v="1"/>
    <n v="10"/>
    <n v="2025"/>
    <s v=""/>
    <s v=""/>
    <n v="1"/>
    <x v="907"/>
    <d v="2025-10-15T16:07:00"/>
    <x v="1055"/>
    <s v="Approved"/>
    <s v="Pending"/>
    <s v="4500617755"/>
    <x v="46"/>
    <x v="0"/>
    <n v="1948.11"/>
    <n v="1392.7422436151419"/>
    <n v="0.71491971378163555"/>
    <n v="-1948.11"/>
    <n v="0"/>
    <n v="0"/>
    <s v=""/>
    <x v="1"/>
    <x v="2"/>
    <s v="Pend"/>
    <s v="Pend"/>
  </r>
  <r>
    <n v="1"/>
    <s v="SO18051"/>
    <s v="4500617764"/>
    <s v="INV13616"/>
    <s v="Resolute Forest Products - Dolbeau"/>
    <d v="2025-10-15T16:46:55"/>
    <d v="2025-10-15T16:47:40"/>
    <d v="2025-11-17T00:00:00"/>
    <s v="Ian Trottier"/>
    <s v="CAD"/>
    <n v="1"/>
    <n v="9653.9"/>
    <n v="9653.9"/>
    <n v="9653.9"/>
    <n v="9194.19"/>
    <n v="459.71"/>
    <n v="9653.9"/>
    <s v="Delivered"/>
    <m/>
    <n v="1"/>
    <n v="10"/>
    <n v="2025"/>
    <s v=""/>
    <s v=""/>
    <n v="1"/>
    <x v="908"/>
    <d v="2025-10-15T16:46:55"/>
    <x v="1056"/>
    <s v="Approved"/>
    <s v="Pending"/>
    <s v="4500617764"/>
    <x v="55"/>
    <x v="0"/>
    <n v="9194.19"/>
    <n v="6573.1076832539757"/>
    <n v="0.71491971378163555"/>
    <n v="-9194.19"/>
    <n v="0"/>
    <n v="0"/>
    <s v=""/>
    <x v="1"/>
    <x v="2"/>
    <s v="Pend"/>
    <s v="Pend"/>
  </r>
  <r>
    <n v="0"/>
    <s v="SO18052"/>
    <s v="PO 4500617769"/>
    <m/>
    <s v="Resolute Forest Products - Fibrek, Resolute Forest Products - Fibrek"/>
    <d v="2025-10-15T17:08:23"/>
    <d v="2025-10-15T17:10:53"/>
    <d v="2025-10-29T00:00:00"/>
    <s v="Ian Trottier"/>
    <s v="CAD"/>
    <n v="1"/>
    <n v="0.01"/>
    <n v="0.01"/>
    <n v="0.01"/>
    <n v="0.01"/>
    <m/>
    <n v="0.01"/>
    <s v="To Deliver"/>
    <m/>
    <n v="0"/>
    <n v="10"/>
    <n v="2025"/>
    <s v=""/>
    <s v=""/>
    <n v="1"/>
    <x v="909"/>
    <d v="2025-10-15T17:08:23"/>
    <x v="54"/>
    <s v="Not invoiced"/>
    <s v="Pending"/>
    <s v="PO 4500617769"/>
    <x v="116"/>
    <x v="0"/>
    <n v="0.01"/>
    <n v="7.1491971378163559E-3"/>
    <n v="0.71491971378163555"/>
    <n v="0"/>
    <n v="0"/>
    <n v="0.01"/>
    <s v=""/>
    <x v="1"/>
    <x v="2"/>
    <s v="Pend"/>
    <s v="Pend"/>
  </r>
  <r>
    <n v="1"/>
    <s v="SO18053"/>
    <s v="4500617791"/>
    <s v="INV13542"/>
    <s v="Resolute Forest Products - Dolbeau"/>
    <d v="2025-10-15T17:34:38"/>
    <d v="2025-10-15T17:36:19"/>
    <d v="2025-12-07T00:00:00"/>
    <s v="Ian Trottier"/>
    <s v="CAD"/>
    <n v="1"/>
    <n v="7610.52"/>
    <n v="7610.52"/>
    <n v="7610.52"/>
    <n v="7248.11"/>
    <n v="362.41"/>
    <n v="7610.52"/>
    <s v="Delivered"/>
    <m/>
    <n v="1"/>
    <n v="10"/>
    <n v="2025"/>
    <n v="12"/>
    <n v="2025"/>
    <n v="1"/>
    <x v="910"/>
    <d v="2025-10-15T17:34:38"/>
    <x v="1057"/>
    <s v="Paid"/>
    <d v="2025-12-19T00:00:00"/>
    <s v="4500617791"/>
    <x v="55"/>
    <x v="0"/>
    <n v="7248.11"/>
    <n v="5181.8167266578102"/>
    <n v="0.71491971378163555"/>
    <n v="-7248.11"/>
    <n v="0"/>
    <n v="0"/>
    <s v=""/>
    <x v="0"/>
    <x v="0"/>
    <s v="Pend"/>
    <s v="Pend"/>
  </r>
  <r>
    <n v="1"/>
    <s v="SO18054"/>
    <s v="MTL34770"/>
    <s v="INV13611"/>
    <s v="Conval Quebec"/>
    <d v="2025-10-15T17:37:04"/>
    <d v="2025-10-15T17:32:51"/>
    <d v="2025-11-07T00:00:00"/>
    <s v="Aleksandar Stankovic"/>
    <s v="CAD"/>
    <n v="1"/>
    <n v="273"/>
    <n v="273"/>
    <n v="273"/>
    <n v="260"/>
    <n v="13"/>
    <n v="273"/>
    <s v="Delivered"/>
    <m/>
    <n v="1"/>
    <n v="10"/>
    <n v="2025"/>
    <s v=""/>
    <s v=""/>
    <n v="1"/>
    <x v="911"/>
    <d v="2025-10-15T17:37:04"/>
    <x v="1058"/>
    <s v="Approved"/>
    <s v="Pending"/>
    <s v="MTL34770"/>
    <x v="148"/>
    <x v="0"/>
    <n v="260"/>
    <n v="185.87912558322523"/>
    <n v="0.71491971378163555"/>
    <n v="-260"/>
    <n v="0"/>
    <n v="0"/>
    <s v=""/>
    <x v="1"/>
    <x v="2"/>
    <s v="Pend"/>
    <s v="Pend"/>
  </r>
  <r>
    <n v="0"/>
    <s v="SO18055"/>
    <s v="4500617789"/>
    <m/>
    <s v="Resolute Forest Products - Saint-Felicien"/>
    <d v="2025-10-15T17:41:45"/>
    <d v="2025-10-15T17:45:16"/>
    <d v="2025-10-30T00:00:00"/>
    <s v="Ian Trottier"/>
    <s v="CAD"/>
    <n v="1"/>
    <n v="6000.59"/>
    <n v="6000.59"/>
    <n v="6000.59"/>
    <n v="5714.85"/>
    <n v="285.74"/>
    <n v="6000.59"/>
    <s v="Processing"/>
    <m/>
    <n v="0"/>
    <n v="10"/>
    <n v="2025"/>
    <s v=""/>
    <s v=""/>
    <n v="1"/>
    <x v="912"/>
    <d v="2025-10-15T17:41:45"/>
    <x v="54"/>
    <s v="Not invoiced"/>
    <s v="Pending"/>
    <s v="4500617789"/>
    <x v="46"/>
    <x v="0"/>
    <n v="5714.85"/>
    <n v="4085.65892630498"/>
    <n v="0.71491971378163555"/>
    <n v="0"/>
    <n v="0"/>
    <n v="5714.85"/>
    <s v=""/>
    <x v="1"/>
    <x v="2"/>
    <s v="Pend"/>
    <s v="Pend"/>
  </r>
  <r>
    <n v="1"/>
    <s v="SO18056"/>
    <s v="4500617812"/>
    <s v="INV13701"/>
    <s v="Resolute Forest Products - Dolbeau"/>
    <d v="2025-10-15T18:04:00"/>
    <d v="2025-10-15T18:04:57"/>
    <d v="2026-01-13T00:00:00"/>
    <s v="Alexis Gil Lamadrid"/>
    <s v="CAD"/>
    <n v="1"/>
    <n v="8079.75"/>
    <n v="8079.75"/>
    <n v="8079.75"/>
    <n v="7695"/>
    <n v="384.75"/>
    <n v="8079.75"/>
    <s v="Delivered"/>
    <m/>
    <n v="1"/>
    <n v="10"/>
    <n v="2025"/>
    <s v=""/>
    <s v=""/>
    <n v="1"/>
    <x v="913"/>
    <d v="2025-10-15T18:04:00"/>
    <x v="1059"/>
    <s v="Approved"/>
    <s v="Pending"/>
    <s v="4500617812"/>
    <x v="55"/>
    <x v="0"/>
    <n v="7695"/>
    <n v="5501.307197549686"/>
    <n v="0.71491971378163555"/>
    <n v="-7695"/>
    <n v="0"/>
    <n v="0"/>
    <s v=""/>
    <x v="1"/>
    <x v="2"/>
    <s v="Pend"/>
    <s v="Pend"/>
  </r>
  <r>
    <n v="2"/>
    <s v="SO18057"/>
    <s v="4500617811"/>
    <s v="INV13549"/>
    <s v="Resolute Forest Products - Saint-Felicien"/>
    <d v="2025-10-15T18:17:14"/>
    <d v="2025-10-15T18:18:22"/>
    <d v="2026-01-07T00:00:00"/>
    <s v="Ian Trottier"/>
    <s v="CAD"/>
    <n v="1"/>
    <n v="7424.63"/>
    <n v="7424.63"/>
    <n v="7424.63"/>
    <n v="7071.07"/>
    <n v="353.56"/>
    <n v="7424.63"/>
    <s v="Delivered"/>
    <m/>
    <n v="2"/>
    <n v="10"/>
    <n v="2025"/>
    <n v="12"/>
    <n v="2025"/>
    <n v="1"/>
    <x v="914"/>
    <d v="2025-10-15T18:17:14"/>
    <x v="1060"/>
    <s v="Paid"/>
    <d v="2025-12-19T00:00:00"/>
    <s v="4500617811"/>
    <x v="46"/>
    <x v="0"/>
    <n v="7071.07"/>
    <n v="5055.2473405299097"/>
    <n v="0.71491971378163555"/>
    <n v="-5073.1099999999997"/>
    <n v="0"/>
    <n v="1997.96"/>
    <s v=""/>
    <x v="0"/>
    <x v="1"/>
    <n v="0"/>
    <s v="Pend"/>
  </r>
  <r>
    <m/>
    <m/>
    <m/>
    <s v="INV13655"/>
    <m/>
    <m/>
    <m/>
    <m/>
    <m/>
    <m/>
    <m/>
    <m/>
    <m/>
    <m/>
    <m/>
    <m/>
    <m/>
    <m/>
    <m/>
    <n v="2"/>
    <n v="10"/>
    <n v="2025"/>
    <s v=""/>
    <s v=""/>
    <n v="1"/>
    <x v="914"/>
    <d v="2025-10-15T18:17:14"/>
    <x v="1061"/>
    <s v="Approved"/>
    <s v="Pending"/>
    <s v="4500617811"/>
    <x v="46"/>
    <x v="0"/>
    <n v="0"/>
    <n v="0"/>
    <n v="0"/>
    <n v="-1997.96"/>
    <n v="0"/>
    <n v="-1997.96"/>
    <s v=""/>
    <x v="1"/>
    <x v="1"/>
    <n v="0"/>
    <s v="Pend"/>
  </r>
  <r>
    <n v="1"/>
    <s v="SO18058"/>
    <s v="4500617676"/>
    <s v="INV13546"/>
    <s v="Resolute Forest Products - Saint-Felicien"/>
    <d v="2025-10-15T18:25:47"/>
    <d v="2025-10-15T18:27:56"/>
    <d v="2025-10-17T00:00:00"/>
    <s v="Amanda Qiao"/>
    <s v="CAD"/>
    <n v="1"/>
    <n v="4557.97"/>
    <n v="4557.97"/>
    <n v="4557.97"/>
    <n v="4557.97"/>
    <m/>
    <n v="4557.97"/>
    <s v="Delivered"/>
    <m/>
    <n v="1"/>
    <n v="10"/>
    <n v="2025"/>
    <n v="12"/>
    <n v="2025"/>
    <n v="1"/>
    <x v="915"/>
    <d v="2025-10-15T18:25:47"/>
    <x v="1062"/>
    <s v="Paid"/>
    <d v="2025-12-19T00:00:00"/>
    <s v="4500617676"/>
    <x v="46"/>
    <x v="0"/>
    <n v="4557.97"/>
    <n v="3258.5826078252817"/>
    <n v="0.71491971378163555"/>
    <n v="-4557.97"/>
    <n v="0"/>
    <n v="0"/>
    <s v=""/>
    <x v="0"/>
    <x v="0"/>
    <s v="Pend"/>
    <s v="Pend"/>
  </r>
  <r>
    <n v="1"/>
    <s v="SO18059"/>
    <s v="OC00216"/>
    <s v="INV13821"/>
    <s v="Dynapro Pumps México S de RL de CV"/>
    <d v="2025-10-15T18:42:26"/>
    <d v="2025-10-15T18:41:40"/>
    <d v="2025-11-17T00:00:00"/>
    <s v="Yannett Yeomans"/>
    <s v="USD"/>
    <n v="0.71286476201025195"/>
    <n v="154.30696797216359"/>
    <n v="0"/>
    <n v="110"/>
    <n v="110"/>
    <m/>
    <n v="110"/>
    <s v="Delivered"/>
    <m/>
    <n v="1"/>
    <n v="10"/>
    <n v="2025"/>
    <s v=""/>
    <s v=""/>
    <n v="0.71286476201025217"/>
    <x v="916"/>
    <d v="2025-10-15T18:42:26"/>
    <x v="1063"/>
    <s v="Not invoiced"/>
    <s v="Pending"/>
    <s v="OC00216"/>
    <x v="54"/>
    <x v="1"/>
    <n v="154.30696797216365"/>
    <n v="110"/>
    <n v="0.71286476201025184"/>
    <n v="0"/>
    <n v="0"/>
    <s v=""/>
    <n v="110"/>
    <x v="1"/>
    <x v="2"/>
    <s v="Pend"/>
    <s v="Pend"/>
  </r>
  <r>
    <n v="0"/>
    <s v="SO18062"/>
    <s v="133169"/>
    <m/>
    <s v="Cypress Sales Partnership"/>
    <d v="2025-10-16T08:16:48"/>
    <d v="2025-10-21T09:43:26"/>
    <d v="2026-03-17T00:00:00"/>
    <s v="Ian Trottier"/>
    <s v="CAD"/>
    <n v="1"/>
    <n v="4167.47"/>
    <n v="0"/>
    <n v="2974.085532896846"/>
    <n v="3969.02"/>
    <n v="198.45"/>
    <n v="4167.47"/>
    <s v="Processing"/>
    <m/>
    <n v="0"/>
    <n v="10"/>
    <n v="2025"/>
    <s v=""/>
    <s v=""/>
    <n v="0.7136429375368859"/>
    <x v="917"/>
    <d v="2025-10-16T08:16:48"/>
    <x v="54"/>
    <s v="Not invoiced"/>
    <s v="Pending"/>
    <s v="133169"/>
    <x v="70"/>
    <x v="0"/>
    <n v="3969.02"/>
    <n v="2832.4630919426509"/>
    <n v="0.7136429375368859"/>
    <n v="0"/>
    <n v="0"/>
    <n v="3969.02"/>
    <s v=""/>
    <x v="1"/>
    <x v="2"/>
    <s v="Pend"/>
    <s v="Pend"/>
  </r>
  <r>
    <n v="1"/>
    <s v="SO18065"/>
    <s v="OC00217"/>
    <s v="INV13822"/>
    <s v="Dynapro Pumps México S de RL de CV"/>
    <d v="2025-10-16T13:16:41"/>
    <d v="2025-10-16T13:15:51"/>
    <d v="2025-10-28T00:00:00"/>
    <s v="Yannett Yeomans"/>
    <s v="USD"/>
    <n v="0.71199472406747455"/>
    <n v="386.23881709260911"/>
    <n v="0"/>
    <n v="275"/>
    <n v="275"/>
    <m/>
    <n v="275"/>
    <s v="Delivered"/>
    <m/>
    <n v="1"/>
    <n v="10"/>
    <n v="2025"/>
    <s v=""/>
    <s v=""/>
    <n v="0.71199472406747455"/>
    <x v="918"/>
    <d v="2025-10-16T13:16:41"/>
    <x v="1064"/>
    <s v="Not invoiced"/>
    <s v="Pending"/>
    <s v="OC00217"/>
    <x v="54"/>
    <x v="1"/>
    <n v="386.23881709260911"/>
    <n v="275"/>
    <n v="0.71199472406747455"/>
    <n v="0"/>
    <n v="0"/>
    <s v=""/>
    <n v="275"/>
    <x v="1"/>
    <x v="2"/>
    <s v="Pend"/>
    <s v="Pend"/>
  </r>
  <r>
    <n v="1"/>
    <s v="SO18066"/>
    <s v="1229"/>
    <s v="INV13760"/>
    <s v="Beaudoin Protective Coating &amp; Fabrication"/>
    <d v="2025-10-16T13:55:52"/>
    <d v="2025-11-18T12:55:44"/>
    <d v="2025-12-16T00:00:00"/>
    <s v="Alexis Gil Lamadrid"/>
    <s v="CAD"/>
    <n v="1"/>
    <n v="4655.6000000000004"/>
    <n v="0"/>
    <n v="3326.2712357904888"/>
    <n v="4120"/>
    <n v="535.6"/>
    <n v="4655.6000000000004"/>
    <s v="Delivered"/>
    <m/>
    <n v="1"/>
    <n v="10"/>
    <n v="2025"/>
    <n v="12"/>
    <n v="2025"/>
    <n v="0.71446671444937038"/>
    <x v="919"/>
    <d v="2025-10-16T13:55:52"/>
    <x v="1065"/>
    <s v="Paid"/>
    <d v="2025-12-09T00:00:00"/>
    <s v="1229"/>
    <x v="149"/>
    <x v="0"/>
    <n v="4120"/>
    <n v="2943.602863531406"/>
    <n v="0.71446671444937038"/>
    <n v="-4120"/>
    <n v="0"/>
    <n v="0"/>
    <s v=""/>
    <x v="0"/>
    <x v="0"/>
    <s v="Pend"/>
    <s v="Pend"/>
  </r>
  <r>
    <n v="1"/>
    <s v="SO18068"/>
    <s v="10662"/>
    <s v="INV13562"/>
    <s v="Canadian Industrial Pumps Ltd"/>
    <d v="2025-10-16T15:56:39"/>
    <d v="2025-10-22T17:10:32"/>
    <d v="2025-10-29T00:00:00"/>
    <s v="Aleksandar Stankovic"/>
    <s v="CAD"/>
    <n v="1"/>
    <n v="2350.9499999999998"/>
    <n v="2350.9499999999998"/>
    <n v="2350.9499999999998"/>
    <n v="2239"/>
    <n v="111.95"/>
    <n v="2350.9499999999998"/>
    <s v="Delivered"/>
    <m/>
    <n v="1"/>
    <n v="10"/>
    <n v="2025"/>
    <n v="12"/>
    <n v="2025"/>
    <n v="1"/>
    <x v="920"/>
    <d v="2025-10-16T15:56:39"/>
    <x v="1066"/>
    <s v="Paid"/>
    <d v="2025-12-12T00:00:00"/>
    <s v="10662"/>
    <x v="48"/>
    <x v="0"/>
    <n v="2239"/>
    <n v="1600.7052391570819"/>
    <n v="0.71491971378163555"/>
    <n v="-2239"/>
    <n v="0"/>
    <n v="0"/>
    <s v=""/>
    <x v="0"/>
    <x v="0"/>
    <s v="Pend"/>
    <s v="Pend"/>
  </r>
  <r>
    <n v="1"/>
    <s v="SO18069"/>
    <s v="2200111610"/>
    <s v="INV13634"/>
    <s v="Wajax Limited - Lachine"/>
    <d v="2025-10-16T16:21:20"/>
    <d v="2025-10-17T14:46:51"/>
    <d v="2025-12-29T00:00:00"/>
    <s v="Wilka Nuñez"/>
    <s v="CAD"/>
    <n v="1"/>
    <n v="111.47"/>
    <n v="0"/>
    <n v="79.353426383668804"/>
    <n v="106.16"/>
    <n v="5.31"/>
    <n v="111.47"/>
    <s v="Partially Delivered"/>
    <m/>
    <n v="1"/>
    <n v="10"/>
    <n v="2025"/>
    <n v="1"/>
    <n v="2026"/>
    <n v="0.71188146033613353"/>
    <x v="921"/>
    <d v="2025-10-16T16:21:20"/>
    <x v="1067"/>
    <s v="Paid"/>
    <d v="2026-01-02T00:00:00"/>
    <s v="2200111610"/>
    <x v="77"/>
    <x v="0"/>
    <n v="106.16"/>
    <n v="75.573335829283934"/>
    <n v="0.71188146033613353"/>
    <n v="-32"/>
    <n v="0"/>
    <n v="74.16"/>
    <s v=""/>
    <x v="0"/>
    <x v="0"/>
    <s v="Pend"/>
    <s v="Pend"/>
  </r>
  <r>
    <n v="1"/>
    <s v="SO18072"/>
    <s v="PO#5314"/>
    <s v="INV13780"/>
    <s v="TC Industries of Canada Co., TC Industries of Canada Co."/>
    <d v="2025-10-17T10:49:24"/>
    <d v="2025-10-22T14:04:25"/>
    <d v="2025-11-20T00:00:00"/>
    <s v="Leriel Reyes"/>
    <s v="CAD"/>
    <n v="1"/>
    <n v="20340.650000000001"/>
    <n v="20340.650000000001"/>
    <n v="20340.650000000001"/>
    <n v="18033.48"/>
    <n v="2307.17"/>
    <n v="20340.650000000001"/>
    <s v="Delivered"/>
    <m/>
    <n v="1"/>
    <n v="10"/>
    <n v="2025"/>
    <s v=""/>
    <s v=""/>
    <n v="1"/>
    <x v="922"/>
    <d v="2025-10-17T10:49:24"/>
    <x v="1068"/>
    <s v="Approved"/>
    <s v="Pending"/>
    <s v="PO#5314"/>
    <x v="150"/>
    <x v="0"/>
    <n v="18033.48"/>
    <n v="12892.490360086849"/>
    <n v="0.71491971378163555"/>
    <n v="-18033.48"/>
    <n v="0"/>
    <n v="0"/>
    <s v=""/>
    <x v="1"/>
    <x v="2"/>
    <s v="Pend"/>
    <s v="Pend"/>
  </r>
  <r>
    <n v="1"/>
    <s v="SO18073"/>
    <s v="2100680197"/>
    <s v="INV13565"/>
    <s v="Wajax Limited - Noranda"/>
    <d v="2025-10-17T10:58:43"/>
    <d v="2025-10-27T14:32:22"/>
    <d v="2025-10-29T00:00:00"/>
    <s v="Wilka Nuñez"/>
    <s v="CAD"/>
    <n v="1"/>
    <n v="155.12"/>
    <n v="155.12"/>
    <n v="155.12"/>
    <n v="147.72999999999999"/>
    <n v="7.39"/>
    <n v="155.12"/>
    <s v="Delivered"/>
    <m/>
    <n v="1"/>
    <n v="10"/>
    <n v="2025"/>
    <n v="12"/>
    <n v="2025"/>
    <n v="1"/>
    <x v="923"/>
    <d v="2025-10-17T10:58:43"/>
    <x v="1069"/>
    <s v="Paid"/>
    <d v="2025-12-04T00:00:00"/>
    <s v="2100680197"/>
    <x v="35"/>
    <x v="0"/>
    <n v="147.72999999999999"/>
    <n v="105.61508931696102"/>
    <n v="0.71491971378163555"/>
    <n v="-147.72999999999999"/>
    <n v="0"/>
    <n v="0"/>
    <s v=""/>
    <x v="0"/>
    <x v="0"/>
    <s v="Pend"/>
    <s v="Pend"/>
  </r>
  <r>
    <n v="1"/>
    <s v="SO18076"/>
    <s v="607062"/>
    <s v="INV13548"/>
    <s v="Sealtrac Inc."/>
    <d v="2025-10-17T14:56:09"/>
    <d v="2025-10-17T14:56:36"/>
    <d v="2025-10-20T00:00:00"/>
    <s v="Ian Trottier"/>
    <s v="CAD"/>
    <n v="1"/>
    <n v="271.67"/>
    <n v="0"/>
    <n v="193.39683632951741"/>
    <n v="240.42"/>
    <n v="31.25"/>
    <n v="271.67"/>
    <s v="Delivered"/>
    <m/>
    <n v="1"/>
    <n v="10"/>
    <n v="2025"/>
    <n v="11"/>
    <n v="2025"/>
    <n v="0.71188146033613353"/>
    <x v="924"/>
    <d v="2025-10-17T14:56:09"/>
    <x v="1070"/>
    <s v="Paid"/>
    <d v="2025-11-12T00:00:00"/>
    <s v="607062"/>
    <x v="50"/>
    <x v="0"/>
    <n v="240.42"/>
    <n v="171.15054069401322"/>
    <n v="0.71188146033613353"/>
    <n v="-240.42"/>
    <n v="0"/>
    <n v="0"/>
    <s v=""/>
    <x v="0"/>
    <x v="0"/>
    <s v="Pend"/>
    <s v="Pend"/>
  </r>
  <r>
    <n v="1"/>
    <s v="SO18078"/>
    <s v="4500589465"/>
    <s v="INV13560"/>
    <s v="Glencore Canada Corporation - Rouyn-Noranda"/>
    <d v="2025-10-17T17:42:26"/>
    <d v="2025-10-17T17:51:20"/>
    <d v="2025-10-31T00:00:00"/>
    <s v="Ian Trottier"/>
    <s v="CAD"/>
    <n v="1"/>
    <n v="5178.8900000000003"/>
    <n v="0"/>
    <n v="3686.7557761201988"/>
    <n v="4932.2700000000004"/>
    <n v="246.62"/>
    <n v="5178.8900000000003"/>
    <s v="Delivered"/>
    <m/>
    <n v="1"/>
    <n v="10"/>
    <n v="2025"/>
    <s v=""/>
    <s v=""/>
    <n v="0.71188146033613353"/>
    <x v="925"/>
    <d v="2025-10-17T17:42:26"/>
    <x v="1071"/>
    <s v="Approved"/>
    <s v="Pending"/>
    <s v="4500589465"/>
    <x v="81"/>
    <x v="0"/>
    <n v="4932.2700000000004"/>
    <n v="3511.1915703721015"/>
    <n v="0.71188146033613353"/>
    <n v="0"/>
    <n v="0"/>
    <n v="4932.2700000000004"/>
    <s v=""/>
    <x v="1"/>
    <x v="2"/>
    <s v="Pend"/>
    <s v="Pend"/>
  </r>
  <r>
    <n v="1"/>
    <s v="SO18079"/>
    <s v="PO-008367"/>
    <s v="INV13557"/>
    <s v="Sling-Choker Manufacturing - Timmins"/>
    <d v="2025-10-20T08:17:34"/>
    <d v="2025-10-20T10:51:31"/>
    <d v="2025-10-22T00:00:00"/>
    <s v="Wilka Nuñez"/>
    <s v="CAD"/>
    <n v="1"/>
    <n v="3117.08"/>
    <n v="0"/>
    <n v="2221.6193052588801"/>
    <n v="2758.48"/>
    <n v="358.6"/>
    <n v="3117.08"/>
    <s v="Delivered"/>
    <m/>
    <n v="1"/>
    <n v="10"/>
    <n v="2025"/>
    <n v="11"/>
    <n v="2025"/>
    <n v="0.7127245066725526"/>
    <x v="926"/>
    <d v="2025-10-20T08:17:34"/>
    <x v="1072"/>
    <s v="Paid"/>
    <d v="2025-11-27T00:00:00"/>
    <s v="PO-008367"/>
    <x v="3"/>
    <x v="0"/>
    <n v="2758.48"/>
    <n v="1966.0362971661029"/>
    <n v="0.7127245066725526"/>
    <n v="-2758.48"/>
    <n v="0"/>
    <n v="0"/>
    <s v=""/>
    <x v="0"/>
    <x v="0"/>
    <s v="Pend"/>
    <s v="Pend"/>
  </r>
  <r>
    <n v="1"/>
    <s v="SO18080"/>
    <s v="4501336391"/>
    <s v="INV13738"/>
    <s v="Barrick Gold - Pueblo Viejo Dominicana Corporation"/>
    <d v="2025-10-20T11:34:25"/>
    <d v="2025-11-18T14:17:38"/>
    <d v="2026-01-13T00:00:00"/>
    <s v="Wilka Nuñez"/>
    <s v="USD"/>
    <n v="0.7129261885474989"/>
    <n v="1400.481587068924"/>
    <n v="0"/>
    <n v="998.44"/>
    <n v="998.44"/>
    <m/>
    <n v="998.44"/>
    <s v="Delivered"/>
    <m/>
    <n v="1"/>
    <n v="10"/>
    <n v="2025"/>
    <s v=""/>
    <s v=""/>
    <n v="0.71292618854749878"/>
    <x v="927"/>
    <d v="2025-10-20T11:34:25"/>
    <x v="1073"/>
    <s v="Approved"/>
    <s v="Pending"/>
    <s v="4501336391"/>
    <x v="15"/>
    <x v="1"/>
    <n v="1400.4815870689238"/>
    <n v="998.44"/>
    <n v="0.7129261885474989"/>
    <n v="0"/>
    <n v="-998.44"/>
    <s v=""/>
    <n v="0"/>
    <x v="1"/>
    <x v="2"/>
    <s v="Pend"/>
    <s v="Pend"/>
  </r>
  <r>
    <n v="1"/>
    <s v="SO18081"/>
    <s v="607065"/>
    <s v="INV13568"/>
    <s v="Sealtrac Inc."/>
    <d v="2025-10-20T11:57:25"/>
    <d v="2025-10-23T15:50:59"/>
    <d v="2025-10-24T00:00:00"/>
    <s v="Ian Trottier"/>
    <s v="CAD"/>
    <n v="1"/>
    <n v="1606.31"/>
    <n v="0"/>
    <n v="1147.998143695695"/>
    <n v="1421.52"/>
    <n v="184.79"/>
    <n v="1606.31"/>
    <s v="Delivered"/>
    <m/>
    <n v="1"/>
    <n v="10"/>
    <n v="2025"/>
    <n v="12"/>
    <n v="2025"/>
    <n v="0.71468031930056786"/>
    <x v="928"/>
    <d v="2025-10-20T11:57:25"/>
    <x v="1074"/>
    <s v="Paid"/>
    <d v="2025-12-17T00:00:00"/>
    <s v="607065"/>
    <x v="50"/>
    <x v="0"/>
    <n v="1421.52"/>
    <n v="1015.9323674921432"/>
    <n v="0.71468031930056786"/>
    <n v="-1421.52"/>
    <n v="0"/>
    <n v="0"/>
    <s v=""/>
    <x v="0"/>
    <x v="0"/>
    <s v="Pend"/>
    <s v="Pend"/>
  </r>
  <r>
    <n v="1"/>
    <s v="SO18084"/>
    <s v="21914"/>
    <s v="INV13621"/>
    <s v="DRN Industriel"/>
    <d v="2025-10-21T07:22:54"/>
    <d v="2025-11-07T14:07:28"/>
    <m/>
    <s v="Wilka Nuñez"/>
    <s v="CAD"/>
    <n v="1"/>
    <n v="664.02"/>
    <n v="0"/>
    <n v="471.75056713712871"/>
    <n v="632.4"/>
    <n v="31.62"/>
    <n v="664.02"/>
    <s v="Delivered"/>
    <m/>
    <n v="1"/>
    <n v="10"/>
    <n v="2025"/>
    <n v="12"/>
    <n v="2025"/>
    <n v="0.71044632260644069"/>
    <x v="929"/>
    <d v="2025-10-21T07:22:54"/>
    <x v="1075"/>
    <s v="Paid"/>
    <d v="2025-12-16T00:00:00"/>
    <s v="21914"/>
    <x v="52"/>
    <x v="0"/>
    <n v="632.4"/>
    <n v="449.28625441631306"/>
    <n v="0.71044632260644069"/>
    <n v="-632.4"/>
    <n v="0"/>
    <n v="0"/>
    <s v=""/>
    <x v="0"/>
    <x v="0"/>
    <s v="Pend"/>
    <s v="Pend"/>
  </r>
  <r>
    <n v="2"/>
    <s v="SO18089"/>
    <s v="P369494"/>
    <s v="INV13554"/>
    <s v="Covia Corp - Junction City"/>
    <d v="2025-10-21T13:16:47"/>
    <d v="2025-10-23T10:54:10"/>
    <d v="2025-10-30T00:00:00"/>
    <s v="Aleksandar Stankovic"/>
    <s v="USD"/>
    <n v="0.7136429375368859"/>
    <n v="16129.718931612129"/>
    <n v="0"/>
    <n v="11510.86"/>
    <n v="11510.86"/>
    <m/>
    <n v="11510.86"/>
    <s v="Delivered"/>
    <m/>
    <n v="2"/>
    <n v="10"/>
    <n v="2025"/>
    <s v=""/>
    <s v=""/>
    <n v="0.7136429375368859"/>
    <x v="930"/>
    <d v="2025-10-21T13:16:47"/>
    <x v="1076"/>
    <s v="Approved"/>
    <s v="Pending"/>
    <s v="P369494"/>
    <x v="6"/>
    <x v="1"/>
    <n v="16129.718931612129"/>
    <n v="11510.86"/>
    <n v="0.7136429375368859"/>
    <n v="0"/>
    <n v="-6834.6"/>
    <s v=""/>
    <n v="4676.26"/>
    <x v="1"/>
    <x v="1"/>
    <s v="Pend"/>
    <s v="Pend"/>
  </r>
  <r>
    <m/>
    <m/>
    <m/>
    <s v="INV13838"/>
    <m/>
    <m/>
    <m/>
    <m/>
    <m/>
    <m/>
    <m/>
    <m/>
    <m/>
    <m/>
    <m/>
    <m/>
    <m/>
    <m/>
    <m/>
    <n v="2"/>
    <n v="10"/>
    <n v="2025"/>
    <s v=""/>
    <s v=""/>
    <n v="0.7136429375368859"/>
    <x v="930"/>
    <d v="2025-10-21T13:16:47"/>
    <x v="1077"/>
    <s v="Not invoiced"/>
    <s v="Pending"/>
    <s v="P369494"/>
    <x v="6"/>
    <x v="1"/>
    <n v="0"/>
    <n v="0"/>
    <n v="0"/>
    <n v="0"/>
    <n v="0"/>
    <s v=""/>
    <n v="0"/>
    <x v="1"/>
    <x v="1"/>
    <s v="Pend"/>
    <s v="Pend"/>
  </r>
  <r>
    <n v="1"/>
    <s v="SO18095"/>
    <s v="PO-40-1018838"/>
    <s v="INV13571"/>
    <s v="Canadian Bearings Ltd."/>
    <d v="2025-10-21T16:59:48"/>
    <d v="2025-10-29T11:57:44"/>
    <d v="2025-11-12T00:00:00"/>
    <s v="Alexis Gil Lamadrid"/>
    <s v="CAD"/>
    <n v="1"/>
    <n v="409.85"/>
    <n v="0"/>
    <n v="294.95211167473951"/>
    <n v="390.33"/>
    <n v="19.52"/>
    <n v="409.85"/>
    <s v="Delivered"/>
    <m/>
    <n v="1"/>
    <n v="10"/>
    <n v="2025"/>
    <n v="12"/>
    <n v="2025"/>
    <n v="0.71965868409110523"/>
    <x v="931"/>
    <d v="2025-10-21T16:59:48"/>
    <x v="1078"/>
    <s v="Paid"/>
    <d v="2025-12-17T00:00:00"/>
    <s v="PO-40-1018838"/>
    <x v="38"/>
    <x v="0"/>
    <n v="390.33"/>
    <n v="280.90437416128111"/>
    <n v="0.71965868409110523"/>
    <n v="-390.33"/>
    <n v="0"/>
    <n v="0"/>
    <s v=""/>
    <x v="0"/>
    <x v="0"/>
    <s v="Pend"/>
    <s v="Pend"/>
  </r>
  <r>
    <n v="1"/>
    <s v="SO18096"/>
    <s v="4500618504"/>
    <s v="INV13559"/>
    <s v="Resolute Forest Products - Saint-Felicien"/>
    <d v="2025-10-22T09:10:27"/>
    <d v="2025-10-22T17:28:42"/>
    <d v="2025-10-23T00:00:00"/>
    <s v="Ian Trottier"/>
    <s v="CAD"/>
    <n v="1"/>
    <n v="4434.6099999999997"/>
    <n v="4434.6099999999997"/>
    <n v="4434.6099999999997"/>
    <n v="4223.4399999999996"/>
    <n v="211.17"/>
    <n v="4434.6099999999997"/>
    <s v="Delivered"/>
    <m/>
    <n v="1"/>
    <n v="10"/>
    <n v="2025"/>
    <n v="12"/>
    <n v="2025"/>
    <n v="1"/>
    <x v="932"/>
    <d v="2025-10-22T09:10:27"/>
    <x v="1079"/>
    <s v="Paid"/>
    <d v="2025-12-24T00:00:00"/>
    <s v="4500618504"/>
    <x v="46"/>
    <x v="0"/>
    <n v="4223.4399999999996"/>
    <n v="3019.4205159739104"/>
    <n v="0.71491971378163555"/>
    <n v="-4223.4399999999996"/>
    <n v="0"/>
    <n v="0"/>
    <s v=""/>
    <x v="0"/>
    <x v="0"/>
    <s v="Pend"/>
    <s v="Pend"/>
  </r>
  <r>
    <n v="0"/>
    <s v="SO18103"/>
    <s v="4500879146"/>
    <m/>
    <s v="AGM Inc."/>
    <d v="2025-10-22T17:24:25"/>
    <d v="2025-12-04T17:47:24"/>
    <d v="2026-01-28T00:00:00"/>
    <s v="Amanda Qiao"/>
    <s v="USD"/>
    <n v="0.71478261126370946"/>
    <n v="26137.457327018419"/>
    <n v="0"/>
    <n v="18682.599999999999"/>
    <n v="18682.599999999999"/>
    <m/>
    <n v="18682.599999999999"/>
    <s v="To Deliver"/>
    <m/>
    <n v="0"/>
    <n v="10"/>
    <n v="2025"/>
    <s v=""/>
    <s v=""/>
    <n v="0.71478261126370934"/>
    <x v="933"/>
    <d v="2025-10-22T17:24:25"/>
    <x v="54"/>
    <s v="Not invoiced"/>
    <s v="Pending"/>
    <s v="4500879146"/>
    <x v="61"/>
    <x v="1"/>
    <n v="26137.457327018416"/>
    <n v="18682.599999999999"/>
    <n v="0.71478261126370946"/>
    <n v="0"/>
    <n v="0"/>
    <s v=""/>
    <n v="18682.599999999999"/>
    <x v="1"/>
    <x v="2"/>
    <s v="Pend"/>
    <s v="Pend"/>
  </r>
  <r>
    <n v="1"/>
    <s v="SO18104"/>
    <s v="4500618721"/>
    <s v="INV13799"/>
    <s v="Resolute Forest Products - Gatineau"/>
    <d v="2025-10-22T18:29:49"/>
    <d v="2025-10-22T18:29:54"/>
    <d v="2025-12-24T00:00:00"/>
    <s v="Ian Trottier"/>
    <s v="CAD"/>
    <n v="1"/>
    <n v="1043.81"/>
    <n v="1043.81"/>
    <n v="1043.81"/>
    <n v="994.1"/>
    <n v="49.71"/>
    <n v="1043.81"/>
    <s v="Delivered"/>
    <m/>
    <n v="1"/>
    <n v="10"/>
    <n v="2025"/>
    <s v=""/>
    <s v=""/>
    <n v="1"/>
    <x v="934"/>
    <d v="2025-10-22T18:29:49"/>
    <x v="1080"/>
    <s v="Approved"/>
    <s v="Pending"/>
    <s v="4500618721"/>
    <x v="146"/>
    <x v="0"/>
    <n v="994.1"/>
    <n v="710.70168747032392"/>
    <n v="0.71491971378163555"/>
    <n v="-994.1"/>
    <n v="0"/>
    <n v="0"/>
    <s v=""/>
    <x v="1"/>
    <x v="2"/>
    <s v="Pend"/>
    <s v="Pend"/>
  </r>
  <r>
    <n v="1"/>
    <s v="SO18106"/>
    <s v="PO6601"/>
    <s v="INV13564"/>
    <s v="ProPart Pompes du Canada 9425-4380 Quebec Inc"/>
    <d v="2025-10-23T12:03:26"/>
    <d v="2025-10-23T12:03:26"/>
    <d v="2025-10-27T00:00:00"/>
    <s v="Wilka Nuñez"/>
    <s v="CAD"/>
    <n v="1"/>
    <n v="593.25"/>
    <n v="0"/>
    <n v="423.98409942506169"/>
    <n v="565"/>
    <n v="28.25"/>
    <n v="593.25"/>
    <s v="Delivered"/>
    <m/>
    <n v="1"/>
    <n v="10"/>
    <n v="2025"/>
    <n v="12"/>
    <n v="2025"/>
    <n v="0.71468031930056752"/>
    <x v="935"/>
    <d v="2025-10-23T12:03:26"/>
    <x v="1081"/>
    <s v="Paid"/>
    <d v="2025-12-08T00:00:00"/>
    <s v="PO6601"/>
    <x v="34"/>
    <x v="0"/>
    <n v="565"/>
    <n v="403.79438040482063"/>
    <n v="0.71468031930056752"/>
    <n v="-565"/>
    <n v="0"/>
    <n v="0"/>
    <s v=""/>
    <x v="0"/>
    <x v="0"/>
    <s v="Pend"/>
    <s v="Pend"/>
  </r>
  <r>
    <n v="1"/>
    <s v="SO18107"/>
    <s v="2378"/>
    <s v="INV13602"/>
    <s v="FMI Products"/>
    <d v="2025-10-23T14:45:26"/>
    <d v="2025-10-31T09:19:47"/>
    <d v="2025-11-06T00:00:00"/>
    <s v="Aleksandar Stankovic"/>
    <s v="CAD"/>
    <n v="1"/>
    <n v="593.34"/>
    <n v="0"/>
    <n v="423.45543151654141"/>
    <n v="565.09"/>
    <n v="28.25"/>
    <n v="593.34"/>
    <s v="Delivered"/>
    <m/>
    <n v="1"/>
    <n v="10"/>
    <n v="2025"/>
    <n v="11"/>
    <n v="2025"/>
    <n v="0.71368091063562444"/>
    <x v="936"/>
    <d v="2025-10-23T14:45:26"/>
    <x v="1082"/>
    <s v="Paid"/>
    <d v="2025-11-27T00:00:00"/>
    <s v="2378"/>
    <x v="18"/>
    <x v="0"/>
    <n v="565.09"/>
    <n v="403.29394579108504"/>
    <n v="0.71368091063562444"/>
    <n v="-565.09"/>
    <n v="0"/>
    <n v="0"/>
    <s v=""/>
    <x v="0"/>
    <x v="0"/>
    <s v="Pend"/>
    <s v="Pend"/>
  </r>
  <r>
    <n v="1"/>
    <s v="SO18108"/>
    <s v="2100678961"/>
    <s v="INV13566"/>
    <s v="Wajax Limited - Noranda"/>
    <d v="2025-10-23T18:46:26"/>
    <d v="2025-10-23T18:49:05"/>
    <d v="2025-10-30T00:00:00"/>
    <s v="Alexis Gil Lamadrid"/>
    <s v="CAD"/>
    <n v="1"/>
    <n v="2758.72"/>
    <n v="0"/>
    <n v="1971.602890460862"/>
    <n v="2627.35"/>
    <n v="131.37"/>
    <n v="2758.72"/>
    <s v="Delivered"/>
    <m/>
    <n v="1"/>
    <n v="10"/>
    <n v="2025"/>
    <n v="12"/>
    <n v="2025"/>
    <n v="0.71468031930056775"/>
    <x v="937"/>
    <d v="2025-10-23T18:46:26"/>
    <x v="1083"/>
    <s v="Paid"/>
    <d v="2025-12-04T00:00:00"/>
    <s v="2100678961"/>
    <x v="35"/>
    <x v="0"/>
    <n v="2627.35"/>
    <n v="1877.7153369143466"/>
    <n v="0.71468031930056775"/>
    <n v="-2627.35"/>
    <n v="0"/>
    <n v="0"/>
    <s v=""/>
    <x v="0"/>
    <x v="0"/>
    <s v="Pend"/>
    <s v="Pend"/>
  </r>
  <r>
    <n v="1"/>
    <s v="SO18109"/>
    <s v="3032076"/>
    <s v="INV13624"/>
    <s v="Flowstar Industrial Inc"/>
    <d v="2025-10-24T09:21:15"/>
    <d v="2025-11-06T14:59:45"/>
    <d v="2025-11-10T00:00:00"/>
    <s v="Wilka Nuñez"/>
    <s v="CAD"/>
    <n v="1"/>
    <n v="1612.6"/>
    <n v="1612.6"/>
    <n v="1612.6"/>
    <n v="1414.55"/>
    <n v="198.05"/>
    <n v="1612.6"/>
    <s v="Delivered"/>
    <m/>
    <n v="1"/>
    <n v="10"/>
    <n v="2025"/>
    <n v="12"/>
    <n v="2025"/>
    <n v="1"/>
    <x v="938"/>
    <d v="2025-10-24T09:21:15"/>
    <x v="1084"/>
    <s v="Paid"/>
    <d v="2025-12-15T00:00:00"/>
    <s v="3032076"/>
    <x v="122"/>
    <x v="0"/>
    <n v="1414.55"/>
    <n v="1011.2896811298125"/>
    <n v="0.71491971378163555"/>
    <n v="-1414.55"/>
    <n v="0"/>
    <n v="0"/>
    <s v=""/>
    <x v="0"/>
    <x v="0"/>
    <s v="Pend"/>
    <s v="Pend"/>
  </r>
  <r>
    <n v="1"/>
    <s v="SO18110"/>
    <m/>
    <s v="INV13818"/>
    <s v="Dynapro Pumps México S de RL de CV"/>
    <d v="2025-10-24T10:07:57"/>
    <d v="2025-10-24T14:00:47"/>
    <d v="2025-12-22T00:00:00"/>
    <s v="Carlos Leon"/>
    <s v="USD"/>
    <n v="0.71468031930056763"/>
    <n v="69961.350060588258"/>
    <n v="0"/>
    <n v="50000"/>
    <n v="50000"/>
    <m/>
    <n v="50000"/>
    <s v="Processing"/>
    <m/>
    <n v="1"/>
    <n v="10"/>
    <n v="2025"/>
    <s v=""/>
    <s v=""/>
    <n v="1"/>
    <x v="939"/>
    <d v="2025-10-24T10:07:57"/>
    <x v="1085"/>
    <s v="Not invoiced"/>
    <s v="Pending"/>
    <s v="3032076"/>
    <x v="54"/>
    <x v="1"/>
    <n v="69961.350060588258"/>
    <n v="50000"/>
    <n v="0.71468031930056763"/>
    <n v="0"/>
    <n v="0"/>
    <s v=""/>
    <n v="50000"/>
    <x v="1"/>
    <x v="2"/>
    <s v="Pend"/>
    <s v="Pend"/>
  </r>
  <r>
    <n v="2"/>
    <s v="SO18112"/>
    <s v="4500618974"/>
    <s v="INV13632"/>
    <s v="Resolute Forest Products - Saint-Felicien"/>
    <d v="2025-10-24T13:28:17"/>
    <d v="2025-10-27T18:18:52"/>
    <d v="2025-12-08T00:00:00"/>
    <s v="Ian Trottier"/>
    <s v="CAD"/>
    <n v="1"/>
    <n v="3718.02"/>
    <n v="3718.02"/>
    <n v="3718.02"/>
    <n v="3540.97"/>
    <n v="177.05"/>
    <n v="3718.02"/>
    <s v="Delivered"/>
    <m/>
    <n v="2"/>
    <n v="10"/>
    <n v="2025"/>
    <s v=""/>
    <s v=""/>
    <n v="1"/>
    <x v="940"/>
    <d v="2025-10-24T13:28:17"/>
    <x v="1086"/>
    <s v="Approved"/>
    <s v="Pending"/>
    <s v="4500618974"/>
    <x v="46"/>
    <x v="0"/>
    <n v="3540.97"/>
    <n v="2531.5092589093579"/>
    <n v="0.71491971378163555"/>
    <n v="-2234.11"/>
    <n v="0"/>
    <n v="1306.8599999999997"/>
    <s v=""/>
    <x v="1"/>
    <x v="1"/>
    <n v="0"/>
    <s v="Pend"/>
  </r>
  <r>
    <m/>
    <m/>
    <m/>
    <s v="INV13569"/>
    <m/>
    <m/>
    <m/>
    <m/>
    <m/>
    <m/>
    <m/>
    <m/>
    <m/>
    <m/>
    <m/>
    <m/>
    <m/>
    <m/>
    <m/>
    <n v="2"/>
    <n v="10"/>
    <n v="2025"/>
    <n v="12"/>
    <n v="2025"/>
    <n v="1"/>
    <x v="940"/>
    <d v="2025-10-24T13:28:17"/>
    <x v="1087"/>
    <s v="Paid"/>
    <d v="2025-12-24T00:00:00"/>
    <s v="4500618974"/>
    <x v="46"/>
    <x v="0"/>
    <n v="0"/>
    <n v="0"/>
    <n v="0"/>
    <n v="-1306.8599999999999"/>
    <n v="0"/>
    <n v="-1306.8599999999999"/>
    <s v=""/>
    <x v="0"/>
    <x v="1"/>
    <n v="0"/>
    <s v="Pend"/>
  </r>
  <r>
    <n v="2"/>
    <s v="SO18115"/>
    <s v="5414497"/>
    <s v="INV13666"/>
    <s v="Pierce Pump Company"/>
    <d v="2025-10-27T12:08:38"/>
    <d v="2025-10-29T16:41:18"/>
    <d v="2025-11-07T00:00:00"/>
    <s v="Aleksandar Stankovic"/>
    <s v="USD"/>
    <n v="0.71746735350995994"/>
    <n v="4624.6006647798486"/>
    <n v="0"/>
    <n v="3318"/>
    <n v="3318"/>
    <m/>
    <n v="3318"/>
    <s v="Delivered"/>
    <m/>
    <n v="2"/>
    <n v="10"/>
    <n v="2025"/>
    <s v=""/>
    <s v=""/>
    <n v="0.71746735350996005"/>
    <x v="941"/>
    <d v="2025-10-27T12:08:38"/>
    <x v="1088"/>
    <s v="Approved"/>
    <s v="Pending"/>
    <s v="5414497"/>
    <x v="151"/>
    <x v="1"/>
    <n v="4624.6006647798495"/>
    <n v="3318"/>
    <n v="0.71746735350995994"/>
    <n v="0"/>
    <n v="-1135"/>
    <s v=""/>
    <n v="2183"/>
    <x v="1"/>
    <x v="1"/>
    <n v="0"/>
    <s v="Pend"/>
  </r>
  <r>
    <m/>
    <m/>
    <m/>
    <s v="INV13615"/>
    <m/>
    <m/>
    <m/>
    <m/>
    <m/>
    <m/>
    <m/>
    <m/>
    <m/>
    <m/>
    <m/>
    <m/>
    <m/>
    <m/>
    <m/>
    <n v="2"/>
    <n v="10"/>
    <n v="2025"/>
    <s v=""/>
    <s v=""/>
    <n v="0.71746735350996005"/>
    <x v="941"/>
    <d v="2025-10-27T12:08:38"/>
    <x v="1089"/>
    <s v="Approved"/>
    <s v="Pending"/>
    <s v="5414497"/>
    <x v="151"/>
    <x v="1"/>
    <n v="0"/>
    <n v="0"/>
    <n v="0"/>
    <n v="0"/>
    <n v="-2183"/>
    <s v=""/>
    <n v="-2183"/>
    <x v="1"/>
    <x v="1"/>
    <n v="0"/>
    <s v="Pend"/>
  </r>
  <r>
    <n v="1"/>
    <s v="SO18116"/>
    <s v="10017456"/>
    <s v="INV13605"/>
    <s v="DXP Enterprises, Inc. - Grand Prairie"/>
    <d v="2025-10-27T14:19:35"/>
    <d v="2025-10-30T14:00:47"/>
    <d v="2023-10-31T00:00:00"/>
    <s v="Amanda Qiao"/>
    <s v="USD"/>
    <n v="0.71746735350995994"/>
    <n v="4205.3202633395013"/>
    <n v="0"/>
    <n v="3017.18"/>
    <n v="3017.18"/>
    <m/>
    <n v="3017.18"/>
    <s v="Delivered"/>
    <m/>
    <n v="1"/>
    <n v="10"/>
    <n v="2025"/>
    <n v="12"/>
    <n v="2025"/>
    <n v="0.71746735350995994"/>
    <x v="942"/>
    <d v="2025-10-27T14:19:35"/>
    <x v="1090"/>
    <s v="Paid"/>
    <d v="2025-12-31T00:00:00"/>
    <s v="10017456"/>
    <x v="152"/>
    <x v="1"/>
    <n v="4205.3202633395013"/>
    <n v="3017.18"/>
    <n v="0.71746735350995994"/>
    <n v="0"/>
    <n v="-3017.18"/>
    <s v=""/>
    <n v="0"/>
    <x v="0"/>
    <x v="0"/>
    <s v="Pend"/>
    <s v="Pend"/>
  </r>
  <r>
    <n v="1"/>
    <s v="SO18120"/>
    <s v="3421"/>
    <s v="INV13770"/>
    <s v="Les Pompes du St-Laurent Inc."/>
    <d v="2025-10-27T19:14:16"/>
    <d v="2025-12-03T10:06:52"/>
    <d v="2026-02-18T00:00:00"/>
    <s v="Ian Trottier"/>
    <s v="CAD"/>
    <n v="1"/>
    <n v="14649.57"/>
    <n v="0"/>
    <n v="10499.290339573499"/>
    <n v="13927.52"/>
    <n v="722.05"/>
    <n v="14649.57"/>
    <s v="Processing"/>
    <m/>
    <n v="1"/>
    <n v="10"/>
    <n v="2025"/>
    <s v=""/>
    <s v=""/>
    <n v="0.71669614463588349"/>
    <x v="943"/>
    <d v="2025-10-27T19:14:16"/>
    <x v="1091"/>
    <s v="Approved"/>
    <s v="Pending"/>
    <s v="3421"/>
    <x v="7"/>
    <x v="0"/>
    <n v="13927.52"/>
    <n v="9981.799888339161"/>
    <n v="0.71669614463588349"/>
    <n v="-3373.54"/>
    <n v="0"/>
    <n v="10553.98"/>
    <s v=""/>
    <x v="1"/>
    <x v="2"/>
    <s v="Pend"/>
    <s v="Pend"/>
  </r>
  <r>
    <n v="1"/>
    <s v="SO18122"/>
    <s v="607048"/>
    <s v="INV13608"/>
    <s v="Sealtrac Inc."/>
    <d v="2025-10-28T10:19:52"/>
    <d v="2025-10-28T15:58:57"/>
    <d v="2025-11-25T00:00:00"/>
    <s v="Aleksandar Stankovic"/>
    <s v="CAD"/>
    <n v="1"/>
    <n v="3315.42"/>
    <n v="0"/>
    <n v="2378.705613173991"/>
    <n v="2934"/>
    <n v="381.42"/>
    <n v="3315.42"/>
    <s v="Delivered"/>
    <m/>
    <n v="1"/>
    <n v="10"/>
    <n v="2025"/>
    <s v=""/>
    <s v=""/>
    <n v="0.71746735350995983"/>
    <x v="944"/>
    <d v="2025-10-28T10:19:52"/>
    <x v="1092"/>
    <s v="Approved"/>
    <s v="Pending"/>
    <s v="607048"/>
    <x v="50"/>
    <x v="0"/>
    <n v="2934"/>
    <n v="2105.0492151982221"/>
    <n v="0.71746735350995983"/>
    <n v="-2934"/>
    <n v="0"/>
    <n v="0"/>
    <s v=""/>
    <x v="1"/>
    <x v="2"/>
    <s v="Pend"/>
    <s v="Pend"/>
  </r>
  <r>
    <n v="1"/>
    <s v="SO18123"/>
    <s v="3364"/>
    <s v="INV13762"/>
    <s v="Les Pompes du St-Laurent Inc."/>
    <d v="2025-10-28T10:45:33"/>
    <d v="2025-10-31T11:20:59"/>
    <d v="2025-11-25T00:00:00"/>
    <s v="Ian Trottier"/>
    <s v="CAD"/>
    <n v="1"/>
    <n v="2097.44"/>
    <n v="0"/>
    <n v="1496.902889203584"/>
    <n v="1997.56"/>
    <n v="99.88"/>
    <n v="2097.44"/>
    <s v="Delivered"/>
    <m/>
    <n v="1"/>
    <n v="10"/>
    <n v="2025"/>
    <s v=""/>
    <s v=""/>
    <n v="0.71368091063562433"/>
    <x v="945"/>
    <d v="2025-10-28T10:45:33"/>
    <x v="1093"/>
    <s v="Not invoiced"/>
    <s v="Pending"/>
    <s v="3364"/>
    <x v="7"/>
    <x v="0"/>
    <n v="1997.56"/>
    <n v="1425.6204398492978"/>
    <n v="0.71368091063562433"/>
    <n v="0"/>
    <n v="0"/>
    <n v="1997.56"/>
    <s v=""/>
    <x v="1"/>
    <x v="2"/>
    <s v="Pend"/>
    <s v="Pend"/>
  </r>
  <r>
    <n v="2"/>
    <s v="SO18124"/>
    <s v="4512474161"/>
    <s v="INV13815"/>
    <s v="PT Vale Indonesia Tbk."/>
    <d v="2025-10-28T10:56:46"/>
    <d v="2025-10-28T10:56:53"/>
    <d v="2026-02-10T00:00:00"/>
    <s v="Ian Trottier"/>
    <s v="USD"/>
    <n v="0.71446482127323563"/>
    <n v="1902.682902675931"/>
    <n v="0"/>
    <n v="1359.4"/>
    <n v="1359.4"/>
    <m/>
    <n v="1359.4"/>
    <s v="Delivered"/>
    <m/>
    <n v="2"/>
    <n v="10"/>
    <n v="2025"/>
    <s v=""/>
    <s v=""/>
    <n v="0.71446482127323552"/>
    <x v="946"/>
    <d v="2025-10-28T10:56:46"/>
    <x v="1094"/>
    <s v="Approved"/>
    <s v="Pending"/>
    <s v="4512474161"/>
    <x v="42"/>
    <x v="1"/>
    <n v="1902.6829026759308"/>
    <n v="1359.4"/>
    <n v="0.71446482127323563"/>
    <n v="0"/>
    <n v="-339.85"/>
    <s v=""/>
    <n v="1019.5500000000001"/>
    <x v="1"/>
    <x v="1"/>
    <s v="Pend"/>
    <s v="Pend"/>
  </r>
  <r>
    <m/>
    <m/>
    <m/>
    <s v="INV13592"/>
    <m/>
    <m/>
    <m/>
    <m/>
    <m/>
    <m/>
    <m/>
    <m/>
    <m/>
    <m/>
    <m/>
    <m/>
    <m/>
    <m/>
    <m/>
    <n v="2"/>
    <n v="10"/>
    <n v="2025"/>
    <s v=""/>
    <s v=""/>
    <n v="0.71446482127323552"/>
    <x v="946"/>
    <d v="2025-10-28T10:56:46"/>
    <x v="1095"/>
    <s v="Approved"/>
    <s v="Pending"/>
    <s v="4512474161"/>
    <x v="42"/>
    <x v="1"/>
    <n v="0"/>
    <n v="0"/>
    <n v="0"/>
    <n v="0"/>
    <n v="-1019.55"/>
    <s v=""/>
    <n v="-1019.55"/>
    <x v="1"/>
    <x v="1"/>
    <s v="Pend"/>
    <s v="Pend"/>
  </r>
  <r>
    <n v="2"/>
    <s v="SO18125"/>
    <s v="4512474160"/>
    <s v="INV13778"/>
    <s v="PT Vale Indonesia Tbk."/>
    <d v="2025-10-28T11:07:20"/>
    <d v="2025-10-28T11:07:23"/>
    <d v="2025-11-21T00:00:00"/>
    <s v="Ian Trottier"/>
    <s v="USD"/>
    <n v="0.71446482127323563"/>
    <n v="517.64620032784035"/>
    <n v="0"/>
    <n v="369.84"/>
    <n v="369.84"/>
    <m/>
    <n v="369.84"/>
    <s v="Delivered"/>
    <m/>
    <n v="2"/>
    <n v="10"/>
    <n v="2025"/>
    <s v=""/>
    <s v=""/>
    <n v="0.71446482127323563"/>
    <x v="947"/>
    <d v="2025-10-28T11:07:20"/>
    <x v="1096"/>
    <s v="Approved"/>
    <s v="Pending"/>
    <s v="4512474160"/>
    <x v="42"/>
    <x v="1"/>
    <n v="517.64620032784035"/>
    <n v="369.84"/>
    <n v="0.71446482127323563"/>
    <n v="0"/>
    <n v="-184.92"/>
    <s v=""/>
    <n v="184.92"/>
    <x v="1"/>
    <x v="1"/>
    <s v="Pend"/>
    <s v="Pend"/>
  </r>
  <r>
    <m/>
    <m/>
    <m/>
    <s v="INV13593"/>
    <m/>
    <m/>
    <m/>
    <m/>
    <m/>
    <m/>
    <m/>
    <m/>
    <m/>
    <m/>
    <m/>
    <m/>
    <m/>
    <m/>
    <m/>
    <n v="2"/>
    <n v="10"/>
    <n v="2025"/>
    <s v=""/>
    <s v=""/>
    <n v="0.71446482127323563"/>
    <x v="947"/>
    <d v="2025-10-28T11:07:20"/>
    <x v="1097"/>
    <s v="Approved"/>
    <s v="Pending"/>
    <s v="4512474160"/>
    <x v="42"/>
    <x v="1"/>
    <n v="0"/>
    <n v="0"/>
    <n v="0"/>
    <n v="0"/>
    <n v="-184.92"/>
    <s v=""/>
    <n v="-184.92"/>
    <x v="1"/>
    <x v="1"/>
    <s v="Pend"/>
    <s v="Pend"/>
  </r>
  <r>
    <n v="2"/>
    <s v="SO18126"/>
    <s v="PO-008387"/>
    <s v="INV13704"/>
    <s v="Sling-Choker Manufacturing - Timmins"/>
    <d v="2025-10-28T11:44:18"/>
    <d v="2025-10-28T13:06:43"/>
    <d v="2025-11-18T00:00:00"/>
    <s v="Ian Trottier"/>
    <s v="CAD"/>
    <n v="1"/>
    <n v="1946.7"/>
    <n v="0"/>
    <n v="1396.693697077839"/>
    <n v="1722.75"/>
    <n v="223.95"/>
    <n v="1946.7"/>
    <s v="Delivered"/>
    <m/>
    <n v="2"/>
    <n v="10"/>
    <n v="2025"/>
    <n v="12"/>
    <n v="2025"/>
    <n v="0.71746735350995994"/>
    <x v="948"/>
    <d v="2025-10-28T11:44:18"/>
    <x v="1098"/>
    <s v="Paid"/>
    <d v="2025-12-31T00:00:00"/>
    <s v="PO-008387"/>
    <x v="3"/>
    <x v="0"/>
    <n v="1722.75"/>
    <n v="1236.0168832592835"/>
    <n v="0.71746735350995994"/>
    <n v="-644.64"/>
    <n v="0"/>
    <n v="1078.1100000000001"/>
    <s v=""/>
    <x v="0"/>
    <x v="1"/>
    <s v="Pend"/>
    <s v="Pend"/>
  </r>
  <r>
    <m/>
    <m/>
    <m/>
    <s v="INV13806"/>
    <m/>
    <m/>
    <m/>
    <m/>
    <m/>
    <m/>
    <m/>
    <m/>
    <m/>
    <m/>
    <m/>
    <m/>
    <m/>
    <m/>
    <m/>
    <n v="2"/>
    <n v="10"/>
    <n v="2025"/>
    <s v=""/>
    <s v=""/>
    <n v="0.71746735350995994"/>
    <x v="948"/>
    <d v="2025-10-28T11:44:18"/>
    <x v="1099"/>
    <s v="Approved"/>
    <s v="Pending"/>
    <s v="PO-008387"/>
    <x v="3"/>
    <x v="0"/>
    <n v="0"/>
    <n v="0"/>
    <n v="0"/>
    <n v="-1078.1099999999999"/>
    <n v="0"/>
    <n v="-1078.1099999999999"/>
    <s v=""/>
    <x v="1"/>
    <x v="1"/>
    <s v="Pend"/>
    <s v="Pend"/>
  </r>
  <r>
    <n v="0"/>
    <s v="SO18127"/>
    <m/>
    <m/>
    <s v="Dynapro Pumps México S de RL de CV"/>
    <d v="2025-10-28T15:31:04"/>
    <d v="2025-10-28T15:32:25"/>
    <d v="2025-12-23T00:00:00"/>
    <s v="Carlos Leon"/>
    <s v="USD"/>
    <n v="0.71446482127323563"/>
    <n v="5626.5891339982654"/>
    <n v="0"/>
    <n v="4020"/>
    <n v="4020"/>
    <m/>
    <n v="4020"/>
    <s v="Processing"/>
    <m/>
    <n v="0"/>
    <n v="10"/>
    <n v="2025"/>
    <s v=""/>
    <s v=""/>
    <n v="0.71746735350995994"/>
    <x v="949"/>
    <d v="2025-10-28T15:31:04"/>
    <x v="54"/>
    <s v="Not invoiced"/>
    <s v="Pending"/>
    <s v="PO-008387"/>
    <x v="54"/>
    <x v="1"/>
    <n v="5626.5891339982645"/>
    <n v="4020"/>
    <n v="0.71446482127323563"/>
    <n v="0"/>
    <n v="0"/>
    <s v=""/>
    <n v="4020"/>
    <x v="1"/>
    <x v="2"/>
    <s v="Pend"/>
    <s v="Pend"/>
  </r>
  <r>
    <n v="1"/>
    <s v="SO18128"/>
    <s v="OC00223"/>
    <s v="INV13823"/>
    <s v="Dynapro Pumps México S de RL de CV"/>
    <d v="2025-10-28T16:05:59"/>
    <d v="2025-10-28T16:07:52"/>
    <d v="2025-11-11T00:00:00"/>
    <s v="Carlos Leon"/>
    <s v="USD"/>
    <n v="0.71446482127323563"/>
    <n v="1791.5507690342729"/>
    <n v="0"/>
    <n v="1280"/>
    <n v="1280"/>
    <m/>
    <n v="1280"/>
    <s v="Delivered"/>
    <m/>
    <n v="1"/>
    <n v="10"/>
    <n v="2025"/>
    <s v=""/>
    <s v=""/>
    <n v="0.71446482127323585"/>
    <x v="950"/>
    <d v="2025-10-28T16:05:59"/>
    <x v="1100"/>
    <s v="Not invoiced"/>
    <s v="Pending"/>
    <s v="OC00223"/>
    <x v="54"/>
    <x v="1"/>
    <n v="1791.5507690342733"/>
    <n v="1280"/>
    <n v="0.71446482127323563"/>
    <n v="0"/>
    <n v="0"/>
    <s v=""/>
    <n v="1280"/>
    <x v="1"/>
    <x v="2"/>
    <s v="Pend"/>
    <s v="Pend"/>
  </r>
  <r>
    <n v="1"/>
    <s v="SO18131"/>
    <s v="4501327275"/>
    <s v="INV13646"/>
    <s v="Barrick Gold - Pueblo Viejo Dominicana Corporation"/>
    <d v="2025-10-29T09:05:09"/>
    <d v="2025-11-06T13:13:33"/>
    <d v="2026-02-26T00:00:00"/>
    <s v="Wilka Nuñez"/>
    <s v="USD"/>
    <n v="0.71011069986137554"/>
    <n v="18750.372304767781"/>
    <n v="0"/>
    <n v="13314.84"/>
    <n v="13314.84"/>
    <m/>
    <n v="13314.84"/>
    <s v="Processing"/>
    <m/>
    <n v="1"/>
    <n v="10"/>
    <n v="2025"/>
    <n v="12"/>
    <n v="2025"/>
    <n v="0.71011069986137543"/>
    <x v="951"/>
    <d v="2025-10-29T09:05:09"/>
    <x v="1101"/>
    <s v="Paid"/>
    <d v="2025-12-19T00:00:00"/>
    <s v="4501327275"/>
    <x v="15"/>
    <x v="1"/>
    <n v="18750.372304767778"/>
    <n v="13314.84"/>
    <n v="0.71011069986137554"/>
    <n v="0"/>
    <n v="-5361.72"/>
    <s v=""/>
    <n v="7953.12"/>
    <x v="0"/>
    <x v="0"/>
    <s v="Pend"/>
    <s v="Pend"/>
  </r>
  <r>
    <n v="1"/>
    <s v="SO18133"/>
    <s v="4512484819"/>
    <s v="INV13590"/>
    <s v="PT Vale Indonesia Tbk."/>
    <d v="2025-10-29T10:56:18"/>
    <d v="2025-10-29T11:04:49"/>
    <d v="2025-10-31T00:00:00"/>
    <s v="Ian Trottier"/>
    <s v="USD"/>
    <n v="0.71746735350995994"/>
    <n v="1788.973384950235"/>
    <n v="0"/>
    <n v="1283.53"/>
    <n v="1283.53"/>
    <m/>
    <n v="1283.53"/>
    <s v="Delivered"/>
    <m/>
    <n v="1"/>
    <n v="10"/>
    <n v="2025"/>
    <s v=""/>
    <s v=""/>
    <n v="0.71746735350996005"/>
    <x v="952"/>
    <d v="2025-10-29T10:56:18"/>
    <x v="1102"/>
    <s v="Approved"/>
    <s v="Pending"/>
    <s v="4512484819"/>
    <x v="42"/>
    <x v="1"/>
    <n v="1788.9733849502352"/>
    <n v="1283.53"/>
    <n v="0.71746735350995994"/>
    <n v="0"/>
    <n v="-1283.53"/>
    <s v=""/>
    <n v="0"/>
    <x v="1"/>
    <x v="2"/>
    <s v="Pend"/>
    <s v="Pend"/>
  </r>
  <r>
    <n v="1"/>
    <s v="SO18134"/>
    <s v="4512484820"/>
    <s v="INV13591"/>
    <s v="PT Vale Indonesia Tbk."/>
    <d v="2025-10-29T11:14:40"/>
    <d v="2025-10-29T11:14:52"/>
    <d v="2025-10-31T00:00:00"/>
    <s v="Ian Trottier"/>
    <s v="USD"/>
    <n v="0.71746735350995994"/>
    <n v="4122.6962948620603"/>
    <n v="0"/>
    <n v="2957.9"/>
    <n v="2957.9"/>
    <m/>
    <n v="2957.9"/>
    <s v="Delivered"/>
    <m/>
    <n v="1"/>
    <n v="10"/>
    <n v="2025"/>
    <s v=""/>
    <s v=""/>
    <n v="0.71746735350996005"/>
    <x v="953"/>
    <d v="2025-10-29T11:14:40"/>
    <x v="1103"/>
    <s v="Approved"/>
    <s v="Pending"/>
    <s v="4512484820"/>
    <x v="42"/>
    <x v="1"/>
    <n v="4122.6962948620603"/>
    <n v="2957.9"/>
    <n v="0.71746735350996005"/>
    <n v="0"/>
    <n v="-2957.9"/>
    <s v=""/>
    <n v="0"/>
    <x v="1"/>
    <x v="2"/>
    <s v="Pend"/>
    <s v="Pend"/>
  </r>
  <r>
    <n v="1"/>
    <s v="SO18135"/>
    <s v="4512484821"/>
    <s v="INV13589"/>
    <s v="PT Vale Indonesia Tbk."/>
    <d v="2025-10-29T11:17:41"/>
    <d v="2025-10-29T11:17:49"/>
    <d v="2025-10-31T00:00:00"/>
    <s v="Ian Trottier"/>
    <s v="USD"/>
    <n v="0.71746735350995994"/>
    <n v="2061.3481474310302"/>
    <n v="0"/>
    <n v="1478.95"/>
    <n v="1478.95"/>
    <m/>
    <n v="1478.95"/>
    <s v="Delivered"/>
    <m/>
    <n v="1"/>
    <n v="10"/>
    <n v="2025"/>
    <s v=""/>
    <s v=""/>
    <n v="0.71746735350996005"/>
    <x v="954"/>
    <d v="2025-10-29T11:17:41"/>
    <x v="1104"/>
    <s v="Approved"/>
    <s v="Pending"/>
    <s v="4512484821"/>
    <x v="42"/>
    <x v="1"/>
    <n v="2061.3481474310302"/>
    <n v="1478.95"/>
    <n v="0.71746735350996005"/>
    <n v="0"/>
    <n v="-1478.95"/>
    <s v=""/>
    <n v="0"/>
    <x v="1"/>
    <x v="2"/>
    <s v="Pend"/>
    <s v="Pend"/>
  </r>
  <r>
    <n v="1"/>
    <s v="SO18136"/>
    <s v="10677"/>
    <s v="INV13735"/>
    <s v="Canadian Industrial Pumps Ltd"/>
    <d v="2025-10-29T13:05:27"/>
    <d v="2025-10-29T13:13:00"/>
    <d v="2025-12-22T00:00:00"/>
    <s v="Alexis Gil Lamadrid"/>
    <s v="CAD"/>
    <n v="1"/>
    <n v="1522.04"/>
    <n v="0"/>
    <n v="1095.3493035340259"/>
    <n v="1449.56"/>
    <n v="72.48"/>
    <n v="1522.04"/>
    <s v="Delivered"/>
    <m/>
    <n v="1"/>
    <n v="10"/>
    <n v="2025"/>
    <s v=""/>
    <s v=""/>
    <n v="0.71965868409110534"/>
    <x v="955"/>
    <d v="2025-10-29T13:05:27"/>
    <x v="1105"/>
    <s v="Approved"/>
    <s v="Pending"/>
    <s v="10677"/>
    <x v="48"/>
    <x v="0"/>
    <n v="1449.56"/>
    <n v="1043.1884421111026"/>
    <n v="0.71965868409110534"/>
    <n v="-1449.56"/>
    <n v="0"/>
    <n v="0"/>
    <s v=""/>
    <x v="1"/>
    <x v="2"/>
    <s v="Pend"/>
    <s v="Pend"/>
  </r>
  <r>
    <n v="1"/>
    <s v="SO18137"/>
    <s v="4501321096"/>
    <s v="INV13642"/>
    <s v="Barrick Gold - Pueblo Viejo Dominicana Corporation"/>
    <d v="2025-10-29T13:07:06"/>
    <d v="2025-10-30T07:48:55"/>
    <d v="2025-10-31T00:00:00"/>
    <s v="Wilka Nuñez"/>
    <s v="USD"/>
    <n v="0.71746735350995994"/>
    <n v="24780.068267946899"/>
    <n v="0"/>
    <n v="17778.89"/>
    <n v="17778.89"/>
    <m/>
    <n v="17778.89"/>
    <s v="Delivered"/>
    <m/>
    <n v="1"/>
    <n v="10"/>
    <n v="2025"/>
    <n v="1"/>
    <n v="2026"/>
    <n v="0.71746735350995994"/>
    <x v="956"/>
    <d v="2025-10-29T13:07:06"/>
    <x v="1106"/>
    <s v="Paid"/>
    <d v="2026-01-02T00:00:00"/>
    <s v="4501321096"/>
    <x v="15"/>
    <x v="1"/>
    <n v="24780.068267946899"/>
    <n v="17778.89"/>
    <n v="0.71746735350995994"/>
    <n v="0"/>
    <n v="-17778.89"/>
    <s v=""/>
    <n v="0"/>
    <x v="0"/>
    <x v="0"/>
    <s v="Pend"/>
    <s v="Pend"/>
  </r>
  <r>
    <n v="1"/>
    <s v="SO18138"/>
    <s v="PO-40-1019041"/>
    <s v="INV13618"/>
    <s v="Canadian Bearings Ltd."/>
    <d v="2025-10-29T13:18:08"/>
    <d v="2025-11-06T12:36:21"/>
    <d v="2025-11-12T00:00:00"/>
    <s v="Aleksandar Stankovic"/>
    <s v="CAD"/>
    <n v="1"/>
    <n v="1016.4"/>
    <n v="1016.4"/>
    <n v="1016.4"/>
    <n v="968"/>
    <n v="48.4"/>
    <n v="1016.4"/>
    <s v="Delivered"/>
    <m/>
    <n v="1"/>
    <n v="10"/>
    <n v="2025"/>
    <n v="12"/>
    <n v="2025"/>
    <n v="1"/>
    <x v="957"/>
    <d v="2025-10-29T13:18:08"/>
    <x v="1107"/>
    <s v="Paid"/>
    <d v="2025-12-17T00:00:00"/>
    <s v="PO-40-1019041"/>
    <x v="38"/>
    <x v="0"/>
    <n v="968"/>
    <n v="692.04228294062318"/>
    <n v="0.71491971378163555"/>
    <n v="-968"/>
    <n v="0"/>
    <n v="0"/>
    <s v=""/>
    <x v="0"/>
    <x v="0"/>
    <s v="Pend"/>
    <s v="Pend"/>
  </r>
  <r>
    <n v="1"/>
    <s v="SO18140"/>
    <s v="PO-40-1018891"/>
    <s v="INV13617"/>
    <s v="Canadian Bearings Ltd."/>
    <d v="2025-10-29T14:54:18"/>
    <d v="2025-10-31T14:53:10"/>
    <d v="2025-11-11T00:00:00"/>
    <s v="Ian Trottier"/>
    <s v="CAD"/>
    <n v="1"/>
    <n v="567.74"/>
    <n v="0"/>
    <n v="405.18520020426939"/>
    <n v="540.70000000000005"/>
    <n v="27.04"/>
    <n v="567.74"/>
    <s v="Delivered"/>
    <m/>
    <n v="1"/>
    <n v="10"/>
    <n v="2025"/>
    <n v="12"/>
    <n v="2025"/>
    <n v="0.71368091063562433"/>
    <x v="958"/>
    <d v="2025-10-29T14:54:18"/>
    <x v="1108"/>
    <s v="Paid"/>
    <d v="2025-12-17T00:00:00"/>
    <s v="PO-40-1018891"/>
    <x v="38"/>
    <x v="0"/>
    <n v="540.70000000000005"/>
    <n v="385.88726838068209"/>
    <n v="0.71368091063562433"/>
    <n v="-540.70000000000005"/>
    <n v="0"/>
    <n v="0"/>
    <s v=""/>
    <x v="0"/>
    <x v="0"/>
    <s v="Pend"/>
    <s v="Pend"/>
  </r>
  <r>
    <n v="1"/>
    <s v="SO18142"/>
    <s v="BC65-00082252"/>
    <s v="INV13601"/>
    <s v="Motion Industries Inc. (Canada) - Prince George"/>
    <d v="2025-10-29T17:52:38"/>
    <d v="2025-10-30T17:53:19"/>
    <d v="2025-11-06T00:00:00"/>
    <s v="Alexis Gil Lamadrid"/>
    <s v="CAD"/>
    <n v="1"/>
    <n v="5355.4"/>
    <n v="0"/>
    <n v="3830.1287192295972"/>
    <n v="5100.38"/>
    <n v="255.02"/>
    <n v="5355.4"/>
    <s v="Delivered"/>
    <m/>
    <n v="1"/>
    <n v="10"/>
    <n v="2025"/>
    <n v="12"/>
    <n v="2025"/>
    <n v="0.7151900360812633"/>
    <x v="959"/>
    <d v="2025-10-29T17:52:38"/>
    <x v="1109"/>
    <s v="Paid"/>
    <d v="2025-12-03T00:00:00"/>
    <s v="BC65-00082252"/>
    <x v="41"/>
    <x v="0"/>
    <n v="5100.38"/>
    <n v="3647.7409562281537"/>
    <n v="0.7151900360812633"/>
    <n v="-5100.38"/>
    <n v="0"/>
    <n v="0"/>
    <s v=""/>
    <x v="0"/>
    <x v="0"/>
    <s v="Pend"/>
    <s v="Pend"/>
  </r>
  <r>
    <n v="1"/>
    <s v="SO18143"/>
    <s v="4500619617"/>
    <s v="INV13600"/>
    <s v="Resolute Forest Products - Saint-Felicien"/>
    <d v="2025-10-29T19:30:33"/>
    <d v="2025-10-30T19:22:49"/>
    <d v="2025-11-06T00:00:00"/>
    <s v="Alexis Gil Lamadrid"/>
    <s v="CAD"/>
    <n v="1"/>
    <n v="499.25"/>
    <n v="0"/>
    <n v="356.30519463483552"/>
    <n v="475.48"/>
    <n v="23.77"/>
    <n v="499.25"/>
    <s v="Delivered"/>
    <m/>
    <n v="1"/>
    <n v="10"/>
    <n v="2025"/>
    <n v="1"/>
    <n v="2026"/>
    <n v="0.71368091063562444"/>
    <x v="960"/>
    <d v="2025-10-29T19:30:33"/>
    <x v="1110"/>
    <s v="Paid"/>
    <d v="2026-01-02T00:00:00"/>
    <s v="4500619617"/>
    <x v="46"/>
    <x v="0"/>
    <n v="475.48"/>
    <n v="339.34099938902671"/>
    <n v="0.71368091063562444"/>
    <n v="-475.48"/>
    <n v="0"/>
    <n v="0"/>
    <s v=""/>
    <x v="0"/>
    <x v="0"/>
    <s v="Pend"/>
    <s v="Pend"/>
  </r>
  <r>
    <n v="1"/>
    <s v="SO18145"/>
    <s v="607067"/>
    <s v="INV13607"/>
    <s v="Sealtrac Inc."/>
    <d v="2025-10-30T11:08:36"/>
    <d v="2025-10-30T11:09:34"/>
    <d v="2025-11-06T00:00:00"/>
    <s v="Aleksandar Stankovic"/>
    <s v="CAD"/>
    <n v="1"/>
    <n v="899.21"/>
    <n v="0"/>
    <n v="643.10603234463281"/>
    <n v="795.76"/>
    <n v="103.45"/>
    <n v="899.21"/>
    <s v="Delivered"/>
    <m/>
    <n v="1"/>
    <n v="10"/>
    <n v="2025"/>
    <s v=""/>
    <s v=""/>
    <n v="0.7151900360812633"/>
    <x v="961"/>
    <d v="2025-10-30T11:08:36"/>
    <x v="1111"/>
    <s v="Not invoiced"/>
    <s v="Pending"/>
    <s v="607067"/>
    <x v="50"/>
    <x v="0"/>
    <n v="795.76"/>
    <n v="569.11962311202603"/>
    <n v="0.71519003608126319"/>
    <n v="0"/>
    <n v="0"/>
    <n v="795.76"/>
    <s v=""/>
    <x v="1"/>
    <x v="2"/>
    <s v="Pend"/>
    <s v="Pend"/>
  </r>
  <r>
    <n v="0"/>
    <s v="SO18150"/>
    <s v="PO# 2658"/>
    <m/>
    <s v="AGREGATEC, SRL"/>
    <d v="2025-10-31T11:53:07"/>
    <d v="2025-11-25T10:00:25"/>
    <m/>
    <s v="Wilka Nuñez"/>
    <s v="USD"/>
    <n v="0.70860938895411174"/>
    <n v="11948.755029194661"/>
    <n v="0"/>
    <n v="8467"/>
    <n v="8467"/>
    <m/>
    <n v="8467"/>
    <s v="Processing"/>
    <m/>
    <n v="0"/>
    <n v="10"/>
    <n v="2025"/>
    <s v=""/>
    <s v=""/>
    <n v="0.70860938895411185"/>
    <x v="962"/>
    <d v="2025-10-31T11:53:07"/>
    <x v="54"/>
    <s v="Not invoiced"/>
    <s v="Pending"/>
    <s v="PO# 2658"/>
    <x v="153"/>
    <x v="1"/>
    <n v="11948.755029194663"/>
    <n v="8467"/>
    <n v="0.70860938895411174"/>
    <n v="0"/>
    <n v="0"/>
    <s v=""/>
    <n v="8467"/>
    <x v="1"/>
    <x v="2"/>
    <s v="Pend"/>
    <s v="Pend"/>
  </r>
  <r>
    <n v="1"/>
    <s v="SO18151"/>
    <s v="607067"/>
    <s v="INV13614"/>
    <s v="Sealtrac Inc."/>
    <d v="2025-10-31T15:54:01"/>
    <d v="2025-10-31T15:54:16"/>
    <d v="2025-11-04T00:00:00"/>
    <s v="Ian Trottier"/>
    <s v="CAD"/>
    <n v="1"/>
    <n v="835.55"/>
    <n v="0"/>
    <n v="596.316084881596"/>
    <n v="795.76"/>
    <n v="39.79"/>
    <n v="835.55"/>
    <s v="To Deliver"/>
    <m/>
    <n v="1"/>
    <n v="10"/>
    <n v="2025"/>
    <n v="12"/>
    <n v="2025"/>
    <n v="0.71368091063562444"/>
    <x v="963"/>
    <d v="2025-10-31T15:54:01"/>
    <x v="1112"/>
    <s v="Paid"/>
    <d v="2025-12-29T00:00:00"/>
    <s v="607067"/>
    <x v="50"/>
    <x v="0"/>
    <n v="795.76"/>
    <n v="567.91872144740455"/>
    <n v="0.71368091063562455"/>
    <n v="-795.76"/>
    <n v="0"/>
    <n v="0"/>
    <s v=""/>
    <x v="0"/>
    <x v="0"/>
    <s v="Pend"/>
    <s v="Pend"/>
  </r>
  <r>
    <n v="1"/>
    <s v="SO18152"/>
    <s v="4500620079"/>
    <s v="INV13599"/>
    <s v="Resolute Forest Products - Kenogami"/>
    <d v="2025-10-31T16:34:15"/>
    <d v="2025-10-31T16:35:31"/>
    <d v="2025-11-04T00:00:00"/>
    <s v="Ian Trottier"/>
    <s v="CAD"/>
    <n v="1"/>
    <n v="986.77"/>
    <n v="0"/>
    <n v="704.23891218791516"/>
    <n v="939.78"/>
    <n v="46.99"/>
    <n v="986.77"/>
    <s v="Delivered"/>
    <m/>
    <n v="1"/>
    <n v="10"/>
    <n v="2025"/>
    <n v="1"/>
    <n v="2026"/>
    <n v="0.71368091063562444"/>
    <x v="964"/>
    <d v="2025-10-31T16:34:15"/>
    <x v="1113"/>
    <s v="Paid"/>
    <d v="2026-01-02T00:00:00"/>
    <s v="4500620079"/>
    <x v="17"/>
    <x v="0"/>
    <n v="939.78"/>
    <n v="670.70304619714716"/>
    <n v="0.71368091063562444"/>
    <n v="-939.78"/>
    <n v="0"/>
    <n v="0"/>
    <s v=""/>
    <x v="0"/>
    <x v="0"/>
    <s v="Pend"/>
    <s v="Pend"/>
  </r>
  <r>
    <n v="1"/>
    <s v="SO18153"/>
    <s v="T197971"/>
    <s v="INV13675"/>
    <s v="Tencarva Machinery Company"/>
    <d v="2025-11-03T09:10:21"/>
    <d v="2025-11-13T13:26:49"/>
    <m/>
    <s v="Wilka Nuñez"/>
    <s v="USD"/>
    <n v="0.71380149037974383"/>
    <n v="972.2591075437382"/>
    <n v="0"/>
    <n v="694"/>
    <n v="694"/>
    <m/>
    <n v="694"/>
    <s v="Delivered"/>
    <m/>
    <n v="1"/>
    <n v="11"/>
    <n v="2025"/>
    <s v=""/>
    <s v=""/>
    <n v="0.71380149037974383"/>
    <x v="965"/>
    <d v="2025-11-03T09:10:21"/>
    <x v="1114"/>
    <s v="Approved"/>
    <s v="Pending"/>
    <s v="T197971"/>
    <x v="80"/>
    <x v="1"/>
    <n v="972.2591075437382"/>
    <n v="694"/>
    <n v="0.71380149037974383"/>
    <n v="0"/>
    <n v="-364"/>
    <s v=""/>
    <n v="330"/>
    <x v="1"/>
    <x v="2"/>
    <s v="Pend"/>
    <s v="Pend"/>
  </r>
  <r>
    <n v="2"/>
    <s v="SO18154"/>
    <s v="PO003520"/>
    <s v="INV13816"/>
    <s v="Eleazar General &amp; Industrial Supplies Limited"/>
    <d v="2025-11-03T09:40:26"/>
    <d v="2025-11-21T16:45:02"/>
    <d v="2026-01-23T00:00:00"/>
    <s v="Wilka Nuñez"/>
    <s v="USD"/>
    <n v="0.71166354456386371"/>
    <n v="6240.4208195344236"/>
    <n v="0"/>
    <n v="4441.08"/>
    <n v="4441.08"/>
    <m/>
    <n v="4441.08"/>
    <s v="Delivered"/>
    <m/>
    <n v="2"/>
    <n v="11"/>
    <n v="2025"/>
    <s v=""/>
    <s v=""/>
    <n v="0.71166354456386383"/>
    <x v="966"/>
    <d v="2025-11-03T09:40:26"/>
    <x v="1115"/>
    <s v="Approved"/>
    <s v="Pending"/>
    <s v="PO003520"/>
    <x v="8"/>
    <x v="1"/>
    <n v="6240.4208195344245"/>
    <n v="4441.08"/>
    <n v="0.71166354456386371"/>
    <n v="0"/>
    <n v="-1110.27"/>
    <s v=""/>
    <n v="3330.81"/>
    <x v="1"/>
    <x v="1"/>
    <s v="Pend"/>
    <s v="Pend"/>
  </r>
  <r>
    <m/>
    <m/>
    <m/>
    <s v="INV13716"/>
    <m/>
    <m/>
    <m/>
    <m/>
    <m/>
    <m/>
    <m/>
    <m/>
    <m/>
    <m/>
    <m/>
    <m/>
    <m/>
    <m/>
    <m/>
    <n v="2"/>
    <n v="11"/>
    <n v="2025"/>
    <s v=""/>
    <s v=""/>
    <n v="0.71166354456386383"/>
    <x v="966"/>
    <d v="2025-11-03T09:40:26"/>
    <x v="1116"/>
    <s v="Approved"/>
    <s v="Pending"/>
    <s v="PO003520"/>
    <x v="8"/>
    <x v="1"/>
    <n v="0"/>
    <n v="0"/>
    <n v="0"/>
    <n v="0"/>
    <n v="-3330.81"/>
    <s v=""/>
    <n v="-3330.81"/>
    <x v="1"/>
    <x v="1"/>
    <s v="Pend"/>
    <s v="Pend"/>
  </r>
  <r>
    <n v="1"/>
    <s v="SO18155"/>
    <s v="4512502587"/>
    <s v="INV13691"/>
    <s v="PT Vale Indonesia Tbk."/>
    <d v="2025-11-03T10:27:52"/>
    <d v="2025-11-03T10:34:04"/>
    <d v="2025-11-10T00:00:00"/>
    <s v="Wilka Nuñez"/>
    <s v="USD"/>
    <n v="0.71248196503825101"/>
    <n v="204.04727015398211"/>
    <n v="0"/>
    <n v="145.38"/>
    <n v="145.38"/>
    <m/>
    <n v="145.38"/>
    <s v="Delivered"/>
    <m/>
    <n v="1"/>
    <n v="11"/>
    <n v="2025"/>
    <s v=""/>
    <s v=""/>
    <n v="0.71248196503825079"/>
    <x v="967"/>
    <d v="2025-11-03T10:27:52"/>
    <x v="1117"/>
    <s v="Approved"/>
    <s v="Pending"/>
    <s v="4512502587"/>
    <x v="42"/>
    <x v="1"/>
    <n v="204.04727015398205"/>
    <n v="145.38"/>
    <n v="0.71248196503825101"/>
    <n v="0"/>
    <n v="-145.38"/>
    <s v=""/>
    <n v="0"/>
    <x v="1"/>
    <x v="2"/>
    <s v="Pend"/>
    <s v="Pend"/>
  </r>
  <r>
    <n v="1"/>
    <s v="SO18156"/>
    <s v="4512502588"/>
    <s v="INV13692"/>
    <s v="PT Vale Indonesia Tbk."/>
    <d v="2025-11-03T10:36:17"/>
    <d v="2025-11-03T10:40:31"/>
    <d v="2025-11-10T00:00:00"/>
    <s v="Wilka Nuñez"/>
    <s v="USD"/>
    <n v="0.71248196503825101"/>
    <n v="2121.625632894225"/>
    <n v="0"/>
    <n v="1511.62"/>
    <n v="1511.62"/>
    <m/>
    <n v="1511.62"/>
    <s v="Delivered"/>
    <m/>
    <n v="1"/>
    <n v="11"/>
    <n v="2025"/>
    <s v=""/>
    <s v=""/>
    <n v="0.71248196503825079"/>
    <x v="968"/>
    <d v="2025-11-03T10:36:17"/>
    <x v="1118"/>
    <s v="Approved"/>
    <s v="Pending"/>
    <s v="4512502588"/>
    <x v="42"/>
    <x v="1"/>
    <n v="2121.6256328942245"/>
    <n v="1511.62"/>
    <n v="0.7124819650382509"/>
    <n v="0"/>
    <n v="-1511.62"/>
    <s v=""/>
    <n v="0"/>
    <x v="1"/>
    <x v="2"/>
    <s v="Pend"/>
    <s v="Pend"/>
  </r>
  <r>
    <n v="1"/>
    <s v="SO18158"/>
    <s v="PO-008403"/>
    <s v="INV13705"/>
    <s v="Sling-Choker Manufacturing - Timmins"/>
    <d v="2025-11-03T11:01:38"/>
    <d v="2025-11-03T11:05:04"/>
    <d v="2025-11-05T00:00:00"/>
    <s v="Wilka Nuñez"/>
    <s v="CAD"/>
    <n v="1"/>
    <n v="176.97"/>
    <n v="176.97"/>
    <n v="176.97"/>
    <n v="156.61000000000001"/>
    <n v="20.36"/>
    <n v="176.97"/>
    <s v="Delivered"/>
    <m/>
    <n v="1"/>
    <n v="11"/>
    <n v="2025"/>
    <n v="12"/>
    <n v="2025"/>
    <n v="1"/>
    <x v="969"/>
    <d v="2025-11-03T11:01:38"/>
    <x v="1119"/>
    <s v="Paid"/>
    <d v="2025-12-31T00:00:00"/>
    <s v="PO-008403"/>
    <x v="3"/>
    <x v="0"/>
    <n v="156.61000000000001"/>
    <n v="111.56356735181934"/>
    <n v="0.71236554084553561"/>
    <n v="-156.61000000000001"/>
    <n v="0"/>
    <n v="0"/>
    <s v=""/>
    <x v="0"/>
    <x v="0"/>
    <s v="Pend"/>
    <s v="Pend"/>
  </r>
  <r>
    <n v="1"/>
    <s v="SO18159"/>
    <s v="6500023665"/>
    <s v="INV13775"/>
    <s v="Wesdome Gold Mines Ltd - Eagle River Mine"/>
    <d v="2025-11-03T13:17:39"/>
    <d v="2025-11-05T11:55:15"/>
    <d v="2026-02-18T00:00:00"/>
    <s v="Ian Trottier"/>
    <s v="CAD"/>
    <n v="1"/>
    <n v="7549.03"/>
    <n v="0"/>
    <n v="5350.6089632477606"/>
    <n v="6680.57"/>
    <n v="868.46"/>
    <n v="7549.03"/>
    <s v="Processing"/>
    <m/>
    <n v="1"/>
    <n v="11"/>
    <n v="2025"/>
    <s v=""/>
    <s v=""/>
    <n v="0.70878099083561208"/>
    <x v="970"/>
    <d v="2025-11-03T13:17:39"/>
    <x v="1120"/>
    <s v="Approved"/>
    <s v="Pending"/>
    <s v="6500023665"/>
    <x v="0"/>
    <x v="0"/>
    <n v="6680.57"/>
    <n v="4735.061023946665"/>
    <n v="0.70878099083561208"/>
    <n v="-5544.34"/>
    <n v="0"/>
    <n v="1136.2299999999996"/>
    <s v=""/>
    <x v="1"/>
    <x v="2"/>
    <s v="Pend"/>
    <s v="Pend"/>
  </r>
  <r>
    <n v="1"/>
    <s v="SO18160"/>
    <s v="3032052"/>
    <s v="INV13623"/>
    <s v="Flowstar Industrial Inc"/>
    <d v="2025-11-03T13:20:40"/>
    <d v="2025-11-05T11:46:13"/>
    <d v="2025-11-12T00:00:00"/>
    <s v="Alexis Gil Lamadrid"/>
    <s v="CAD"/>
    <n v="1"/>
    <n v="663.09"/>
    <n v="0"/>
    <n v="469.98558721318608"/>
    <n v="581.66"/>
    <n v="81.430000000000007"/>
    <n v="663.09"/>
    <s v="Delivered"/>
    <m/>
    <n v="1"/>
    <n v="11"/>
    <n v="2025"/>
    <n v="12"/>
    <n v="2025"/>
    <n v="0.70878099083561219"/>
    <x v="971"/>
    <d v="2025-11-03T13:20:40"/>
    <x v="1121"/>
    <s v="Paid"/>
    <d v="2025-12-15T00:00:00"/>
    <s v="3032052"/>
    <x v="122"/>
    <x v="0"/>
    <n v="581.66"/>
    <n v="412.26955112944216"/>
    <n v="0.70878099083561219"/>
    <n v="-581.66"/>
    <n v="0"/>
    <n v="0"/>
    <s v=""/>
    <x v="0"/>
    <x v="0"/>
    <s v="Pend"/>
    <s v="Pend"/>
  </r>
  <r>
    <n v="1"/>
    <s v="SO18161"/>
    <s v="6500023664"/>
    <s v="INV13776"/>
    <s v="Wesdome Gold Mines Ltd - Eagle River Mine"/>
    <d v="2025-11-03T15:09:51"/>
    <d v="2025-11-05T11:13:48"/>
    <d v="2025-11-26T00:00:00"/>
    <s v="Ian Trottier"/>
    <s v="CAD"/>
    <n v="1"/>
    <n v="19743.259999999998"/>
    <n v="0"/>
    <n v="13993.64738512511"/>
    <n v="17471.91"/>
    <n v="2271.35"/>
    <n v="19743.259999999998"/>
    <s v="Delivered"/>
    <m/>
    <n v="1"/>
    <n v="11"/>
    <n v="2025"/>
    <s v=""/>
    <s v=""/>
    <n v="0.7087809908356123"/>
    <x v="972"/>
    <d v="2025-11-03T15:09:51"/>
    <x v="1122"/>
    <s v="Approved"/>
    <s v="Pending"/>
    <s v="6500023664"/>
    <x v="0"/>
    <x v="0"/>
    <n v="17471.91"/>
    <n v="12383.757681590643"/>
    <n v="0.7087809908356123"/>
    <n v="-17471.91"/>
    <n v="0"/>
    <n v="0"/>
    <s v=""/>
    <x v="1"/>
    <x v="2"/>
    <s v="Pend"/>
    <s v="Pend"/>
  </r>
  <r>
    <n v="1"/>
    <s v="SO18163"/>
    <s v="4500620284"/>
    <s v="INV13604"/>
    <s v="Resolute Forest Products - Saint-Felicien"/>
    <d v="2025-11-03T17:15:55"/>
    <d v="2025-11-03T17:16:39"/>
    <d v="2025-11-05T00:00:00"/>
    <s v="Ian Trottier"/>
    <s v="CAD"/>
    <n v="1"/>
    <n v="7748.64"/>
    <n v="7748.64"/>
    <n v="7748.64"/>
    <n v="7379.65"/>
    <n v="368.99"/>
    <n v="7748.64"/>
    <s v="Delivered"/>
    <m/>
    <n v="1"/>
    <n v="11"/>
    <n v="2025"/>
    <n v="1"/>
    <n v="2026"/>
    <n v="1"/>
    <x v="973"/>
    <d v="2025-11-03T17:15:55"/>
    <x v="1123"/>
    <s v="Paid"/>
    <d v="2026-01-02T00:00:00"/>
    <s v="4500620284"/>
    <x v="46"/>
    <x v="0"/>
    <n v="7379.65"/>
    <n v="5257.0083635007568"/>
    <n v="0.71236554084553561"/>
    <n v="-7379.65"/>
    <n v="0"/>
    <n v="0"/>
    <s v=""/>
    <x v="0"/>
    <x v="0"/>
    <s v="Pend"/>
    <s v="Pend"/>
  </r>
  <r>
    <n v="1"/>
    <s v="SO18164"/>
    <s v="OC00224"/>
    <s v="INV13630"/>
    <s v="Dynapro Pumps México S de RL de CV"/>
    <d v="2025-11-03T17:32:46"/>
    <d v="2025-11-03T17:33:11"/>
    <d v="2025-11-06T00:00:00"/>
    <s v="Yannett Yeomans"/>
    <s v="USD"/>
    <n v="0.71248196503825101"/>
    <n v="9447.2566749652851"/>
    <n v="0"/>
    <n v="6731"/>
    <n v="6731"/>
    <m/>
    <n v="6731"/>
    <s v="Delivered"/>
    <m/>
    <n v="1"/>
    <n v="11"/>
    <n v="2025"/>
    <s v=""/>
    <s v=""/>
    <n v="0.71248196503825101"/>
    <x v="974"/>
    <d v="2025-11-03T17:32:46"/>
    <x v="1124"/>
    <s v="Not invoiced"/>
    <s v="Pending"/>
    <s v="OC00224"/>
    <x v="54"/>
    <x v="1"/>
    <n v="9447.2566749652851"/>
    <n v="6731"/>
    <n v="0.71248196503825101"/>
    <n v="0"/>
    <n v="0"/>
    <s v=""/>
    <n v="6731"/>
    <x v="1"/>
    <x v="2"/>
    <s v="Pend"/>
    <s v="Pend"/>
  </r>
  <r>
    <n v="1"/>
    <s v="SO18165"/>
    <s v="607069"/>
    <s v="INV13609"/>
    <s v="Sealtrac Inc."/>
    <d v="2025-11-04T10:26:24"/>
    <d v="2025-11-04T13:01:37"/>
    <d v="2025-11-04T00:00:00"/>
    <s v="Aleksandar Stankovic"/>
    <s v="CAD"/>
    <n v="1"/>
    <n v="485.63"/>
    <n v="0"/>
    <n v="344.8510591736798"/>
    <n v="429.76"/>
    <n v="55.87"/>
    <n v="485.63"/>
    <s v="Delivered"/>
    <m/>
    <n v="1"/>
    <n v="11"/>
    <n v="2025"/>
    <n v="12"/>
    <n v="2025"/>
    <n v="0.71011069986137554"/>
    <x v="975"/>
    <d v="2025-11-04T10:26:24"/>
    <x v="1125"/>
    <s v="Paid"/>
    <d v="2025-12-29T00:00:00"/>
    <s v="607069"/>
    <x v="50"/>
    <x v="0"/>
    <n v="429.76"/>
    <n v="305.17717437242476"/>
    <n v="0.71011069986137554"/>
    <n v="-429.76"/>
    <n v="0"/>
    <n v="0"/>
    <s v=""/>
    <x v="0"/>
    <x v="0"/>
    <s v="Pend"/>
    <s v="Pend"/>
  </r>
  <r>
    <n v="1"/>
    <s v="SO18167"/>
    <s v="2100687350"/>
    <s v="INV13629"/>
    <s v="Wajax Limited - Noranda"/>
    <d v="2025-11-04T12:25:02"/>
    <d v="2025-11-07T14:32:56"/>
    <m/>
    <s v="Wilka Nuñez"/>
    <s v="CAD"/>
    <n v="1"/>
    <n v="2758.72"/>
    <n v="0"/>
    <n v="1959.9224791008401"/>
    <n v="2627.35"/>
    <n v="131.37"/>
    <n v="2758.72"/>
    <s v="Processing"/>
    <m/>
    <n v="1"/>
    <n v="11"/>
    <n v="2025"/>
    <n v="1"/>
    <n v="2026"/>
    <n v="0.71044632260644069"/>
    <x v="976"/>
    <d v="2025-11-04T12:25:02"/>
    <x v="1126"/>
    <s v="Paid"/>
    <d v="2026-01-02T00:00:00"/>
    <s v="2100687350"/>
    <x v="35"/>
    <x v="0"/>
    <n v="2627.35"/>
    <n v="1866.5911457000318"/>
    <n v="0.71044632260644069"/>
    <n v="-1946.57"/>
    <n v="0"/>
    <n v="680.78"/>
    <s v=""/>
    <x v="0"/>
    <x v="0"/>
    <s v="Pend"/>
    <s v="Pend"/>
  </r>
  <r>
    <n v="1"/>
    <s v="SO18170"/>
    <s v="PO-008410"/>
    <s v="INV13706"/>
    <s v="Sling-Choker Manufacturing - Timmins"/>
    <d v="2025-11-04T14:47:06"/>
    <d v="2025-11-04T14:56:22"/>
    <m/>
    <s v="Wilka Nuñez"/>
    <s v="CAD"/>
    <n v="1"/>
    <n v="2538.02"/>
    <n v="0"/>
    <n v="1802.2751584621681"/>
    <n v="2246.04"/>
    <n v="291.98"/>
    <n v="2538.02"/>
    <s v="Delivered"/>
    <m/>
    <n v="1"/>
    <n v="11"/>
    <n v="2025"/>
    <n v="12"/>
    <n v="2025"/>
    <n v="0.71011069986137543"/>
    <x v="977"/>
    <d v="2025-11-04T14:47:06"/>
    <x v="1127"/>
    <s v="Paid"/>
    <d v="2025-12-31T00:00:00"/>
    <s v="PO-008410"/>
    <x v="3"/>
    <x v="0"/>
    <n v="2246.04"/>
    <n v="1594.9370363166436"/>
    <n v="0.71011069986137543"/>
    <n v="-2246.04"/>
    <n v="0"/>
    <n v="0"/>
    <s v=""/>
    <x v="0"/>
    <x v="0"/>
    <s v="Pend"/>
    <s v="Pend"/>
  </r>
  <r>
    <n v="1"/>
    <s v="SO18172"/>
    <s v="2100686594"/>
    <s v="INV13610"/>
    <s v="Wajax Limited - Lachine"/>
    <d v="2025-11-04T18:55:47"/>
    <d v="2025-11-04T18:53:12"/>
    <d v="2025-11-11T00:00:00"/>
    <s v="Alexis Gil Lamadrid"/>
    <s v="CAD"/>
    <n v="1"/>
    <n v="995.31"/>
    <n v="0"/>
    <n v="706.78028067902562"/>
    <n v="947.91"/>
    <n v="47.4"/>
    <n v="995.31"/>
    <s v="Delivered"/>
    <m/>
    <n v="1"/>
    <n v="11"/>
    <n v="2025"/>
    <n v="12"/>
    <n v="2025"/>
    <n v="0.71011069986137554"/>
    <x v="978"/>
    <d v="2025-11-04T18:55:47"/>
    <x v="1128"/>
    <s v="Paid"/>
    <d v="2025-12-10T00:00:00"/>
    <s v="2100686594"/>
    <x v="77"/>
    <x v="0"/>
    <n v="947.91"/>
    <n v="673.12103350559642"/>
    <n v="0.71011069986137554"/>
    <n v="-947.91"/>
    <n v="0"/>
    <n v="0"/>
    <s v=""/>
    <x v="0"/>
    <x v="0"/>
    <s v="Pend"/>
    <s v="Pend"/>
  </r>
  <r>
    <n v="0"/>
    <s v="SO18173"/>
    <s v="607071"/>
    <m/>
    <s v="Sealtrac Inc."/>
    <d v="2025-11-05T09:28:18"/>
    <d v="2025-11-11T16:51:21"/>
    <d v="2026-03-24T00:00:00"/>
    <s v="Ian Trottier"/>
    <s v="CAD"/>
    <n v="1"/>
    <n v="13850.32"/>
    <n v="0"/>
    <n v="9886.3790582363727"/>
    <n v="12256.92"/>
    <n v="1593.4"/>
    <n v="13850.32"/>
    <s v="Processing"/>
    <m/>
    <n v="0"/>
    <n v="11"/>
    <n v="2025"/>
    <s v=""/>
    <s v=""/>
    <n v="0.71380149037974383"/>
    <x v="979"/>
    <d v="2025-11-05T09:28:18"/>
    <x v="54"/>
    <s v="Not invoiced"/>
    <s v="Pending"/>
    <s v="607071"/>
    <x v="50"/>
    <x v="0"/>
    <n v="12256.92"/>
    <n v="8749.0077634652898"/>
    <n v="0.71380149037974383"/>
    <n v="0"/>
    <n v="0"/>
    <n v="12256.92"/>
    <s v=""/>
    <x v="1"/>
    <x v="2"/>
    <s v="Pend"/>
    <s v="Pend"/>
  </r>
  <r>
    <n v="0"/>
    <s v="SO18175"/>
    <s v="3032084"/>
    <m/>
    <s v="Flowstar Industrial Inc"/>
    <d v="2025-11-05T13:27:52"/>
    <d v="2025-11-07T12:05:41"/>
    <m/>
    <s v="Wilka Nuñez"/>
    <s v="CAD"/>
    <n v="1"/>
    <n v="886.92"/>
    <n v="0"/>
    <n v="630.10905244610433"/>
    <n v="778"/>
    <n v="108.92"/>
    <n v="886.92"/>
    <s v="Processing"/>
    <m/>
    <n v="0"/>
    <n v="11"/>
    <n v="2025"/>
    <s v=""/>
    <s v=""/>
    <n v="0.71044632260644069"/>
    <x v="980"/>
    <d v="2025-11-05T13:27:52"/>
    <x v="54"/>
    <s v="Not invoiced"/>
    <s v="Pending"/>
    <s v="3032084"/>
    <x v="122"/>
    <x v="0"/>
    <n v="778"/>
    <n v="552.72723898781089"/>
    <n v="0.71044632260644069"/>
    <n v="0"/>
    <n v="0"/>
    <n v="778"/>
    <s v=""/>
    <x v="1"/>
    <x v="2"/>
    <s v="Pend"/>
    <s v="Pend"/>
  </r>
  <r>
    <n v="2"/>
    <s v="SO18176"/>
    <s v="P370432"/>
    <s v="INV13677"/>
    <s v="Covia Corp - Junction City"/>
    <d v="2025-11-05T13:47:49"/>
    <d v="2025-11-07T11:19:30"/>
    <d v="2025-11-25T00:00:00"/>
    <s v="Marlen Martinez"/>
    <s v="USD"/>
    <n v="0.70878099083561219"/>
    <n v="5656.4863502806011"/>
    <n v="0"/>
    <n v="4009.21"/>
    <n v="4009.21"/>
    <m/>
    <n v="4009.21"/>
    <s v="Delivered"/>
    <m/>
    <n v="2"/>
    <n v="11"/>
    <n v="2025"/>
    <s v=""/>
    <s v=""/>
    <n v="0.70878099083561219"/>
    <x v="981"/>
    <d v="2025-11-05T13:47:49"/>
    <x v="1129"/>
    <s v="Approved"/>
    <s v="Pending"/>
    <s v="P370432"/>
    <x v="6"/>
    <x v="1"/>
    <n v="5656.4863502806011"/>
    <n v="4009.21"/>
    <n v="0.70878099083561219"/>
    <n v="0"/>
    <n v="-209.45"/>
    <s v=""/>
    <n v="3799.76"/>
    <x v="1"/>
    <x v="1"/>
    <s v="Pend"/>
    <s v="Pend"/>
  </r>
  <r>
    <m/>
    <m/>
    <m/>
    <s v="INV13840"/>
    <m/>
    <m/>
    <m/>
    <m/>
    <m/>
    <m/>
    <m/>
    <m/>
    <m/>
    <m/>
    <m/>
    <m/>
    <m/>
    <m/>
    <m/>
    <n v="2"/>
    <n v="11"/>
    <n v="2025"/>
    <s v=""/>
    <s v=""/>
    <n v="0.70878099083561219"/>
    <x v="981"/>
    <d v="2025-11-05T13:47:49"/>
    <x v="1130"/>
    <s v="Not invoiced"/>
    <s v="Pending"/>
    <s v="P370432"/>
    <x v="6"/>
    <x v="1"/>
    <n v="0"/>
    <n v="0"/>
    <n v="0"/>
    <n v="0"/>
    <n v="0"/>
    <s v=""/>
    <n v="0"/>
    <x v="1"/>
    <x v="1"/>
    <s v="Pend"/>
    <s v="Pend"/>
  </r>
  <r>
    <n v="1"/>
    <s v="SO18179"/>
    <s v="4500624028"/>
    <s v="INV13732"/>
    <s v="Resolute Forest Products - Clermont"/>
    <d v="2025-11-05T17:40:28"/>
    <d v="2025-11-28T12:06:59"/>
    <d v="2025-12-19T00:00:00"/>
    <s v="Ian Trottier"/>
    <s v="CAD"/>
    <n v="1"/>
    <n v="1192.08"/>
    <n v="0"/>
    <n v="852.95743040706941"/>
    <n v="1135.32"/>
    <n v="56.76"/>
    <n v="1192.08"/>
    <s v="Delivered"/>
    <m/>
    <n v="1"/>
    <n v="11"/>
    <n v="2025"/>
    <s v=""/>
    <s v=""/>
    <n v="0.71552029260374261"/>
    <x v="982"/>
    <d v="2025-11-05T17:40:28"/>
    <x v="1131"/>
    <s v="Approved"/>
    <s v="Pending"/>
    <s v="4500624028"/>
    <x v="83"/>
    <x v="0"/>
    <n v="1135.32"/>
    <n v="812.34449859888105"/>
    <n v="0.71552029260374261"/>
    <n v="-1135.32"/>
    <n v="0"/>
    <n v="0"/>
    <s v=""/>
    <x v="1"/>
    <x v="2"/>
    <s v="Pend"/>
    <s v="Pend"/>
  </r>
  <r>
    <n v="2"/>
    <s v="SO18180"/>
    <s v="815762"/>
    <s v="INV13694"/>
    <s v="Diamond Equipment Group Inc"/>
    <d v="2025-11-05T18:00:54"/>
    <d v="2025-11-18T17:44:43"/>
    <d v="2025-11-25T00:00:00"/>
    <s v="Alexis Gil Lamadrid"/>
    <s v="CAD"/>
    <n v="1"/>
    <n v="34034.85"/>
    <n v="0"/>
    <n v="24316.767456277161"/>
    <n v="32414.15"/>
    <n v="1620.7"/>
    <n v="34034.85"/>
    <s v="Delivered"/>
    <m/>
    <n v="2"/>
    <n v="11"/>
    <n v="2025"/>
    <n v="11"/>
    <n v="2025"/>
    <n v="0.7144667144493706"/>
    <x v="983"/>
    <d v="2025-11-05T18:00:54"/>
    <x v="1132"/>
    <s v="Paid"/>
    <d v="2025-11-27T00:00:00"/>
    <s v="815762"/>
    <x v="154"/>
    <x v="0"/>
    <n v="32414.15"/>
    <n v="23158.831252169068"/>
    <n v="0.7144667144493706"/>
    <n v="-32414.15"/>
    <n v="0"/>
    <n v="0"/>
    <s v=""/>
    <x v="0"/>
    <x v="1"/>
    <s v="Yes"/>
    <s v="Pend"/>
  </r>
  <r>
    <m/>
    <m/>
    <m/>
    <s v="INV13662"/>
    <m/>
    <m/>
    <m/>
    <m/>
    <m/>
    <m/>
    <m/>
    <m/>
    <m/>
    <m/>
    <m/>
    <m/>
    <m/>
    <m/>
    <m/>
    <n v="2"/>
    <n v="11"/>
    <n v="2025"/>
    <s v=""/>
    <s v=""/>
    <n v="0.7144667144493706"/>
    <x v="983"/>
    <d v="2025-11-05T18:00:54"/>
    <x v="1133"/>
    <s v="Not invoiced"/>
    <s v="Pending"/>
    <s v="815762"/>
    <x v="154"/>
    <x v="0"/>
    <n v="0"/>
    <n v="0"/>
    <n v="0"/>
    <n v="0"/>
    <n v="0"/>
    <n v="0"/>
    <s v=""/>
    <x v="1"/>
    <x v="1"/>
    <s v="Yes"/>
    <s v="Pend"/>
  </r>
  <r>
    <n v="1"/>
    <s v="SO18181"/>
    <s v="4501327269"/>
    <s v="INV13645"/>
    <s v="Barrick Gold - Pueblo Viejo Dominicana Corporation"/>
    <d v="2025-11-06T08:14:40"/>
    <d v="2025-11-14T13:34:45"/>
    <d v="2025-11-17T00:00:00"/>
    <s v="Wilka Nuñez"/>
    <s v="USD"/>
    <n v="0.71416191615311519"/>
    <n v="32327.13685484487"/>
    <n v="0"/>
    <n v="23086.81"/>
    <n v="23086.81"/>
    <m/>
    <n v="23086.81"/>
    <s v="Partially Delivered"/>
    <m/>
    <n v="1"/>
    <n v="11"/>
    <n v="2025"/>
    <s v=""/>
    <s v=""/>
    <n v="0.71416191615311519"/>
    <x v="984"/>
    <d v="2025-11-06T08:14:40"/>
    <x v="1134"/>
    <s v="Approved"/>
    <s v="Pending"/>
    <s v="4501327269"/>
    <x v="15"/>
    <x v="1"/>
    <n v="32327.13685484487"/>
    <n v="23086.81"/>
    <n v="0.71416191615311519"/>
    <n v="0"/>
    <n v="-20955.54"/>
    <s v=""/>
    <n v="2131.2700000000004"/>
    <x v="1"/>
    <x v="2"/>
    <s v="Pend"/>
    <s v="Pend"/>
  </r>
  <r>
    <n v="1"/>
    <s v="SO18184"/>
    <s v="3383"/>
    <s v="INV13627"/>
    <s v="Les Pompes du St-Laurent Inc."/>
    <d v="2025-11-06T11:16:34"/>
    <d v="2025-11-06T16:21:55"/>
    <d v="2025-11-07T00:00:00"/>
    <s v="Ian Trottier"/>
    <s v="CAD"/>
    <n v="1"/>
    <n v="3554.67"/>
    <n v="3554.67"/>
    <n v="3554.67"/>
    <n v="3385.4"/>
    <n v="169.27"/>
    <n v="3554.67"/>
    <s v="Delivered"/>
    <m/>
    <n v="1"/>
    <n v="11"/>
    <n v="2025"/>
    <n v="12"/>
    <n v="2025"/>
    <n v="1"/>
    <x v="985"/>
    <d v="2025-11-06T11:16:34"/>
    <x v="1135"/>
    <s v="Paid"/>
    <d v="2025-12-23T00:00:00"/>
    <s v="3383"/>
    <x v="7"/>
    <x v="0"/>
    <n v="3385.4"/>
    <n v="2411.6423019784761"/>
    <n v="0.71236554084553549"/>
    <n v="-3385.4"/>
    <n v="0"/>
    <n v="0"/>
    <s v=""/>
    <x v="0"/>
    <x v="0"/>
    <s v="Pend"/>
    <s v="Pend"/>
  </r>
  <r>
    <n v="1"/>
    <s v="SO18186"/>
    <s v="2377"/>
    <s v="INV13639"/>
    <s v="FMI Products"/>
    <d v="2025-11-06T12:18:01"/>
    <d v="2025-11-11T13:54:19"/>
    <d v="2025-11-14T00:00:00"/>
    <s v="Aleksandar Stankovic"/>
    <s v="CAD"/>
    <n v="1"/>
    <n v="1036.67"/>
    <n v="0"/>
    <n v="739.97659103196906"/>
    <n v="987.3"/>
    <n v="49.37"/>
    <n v="1036.67"/>
    <s v="Delivered"/>
    <m/>
    <n v="1"/>
    <n v="11"/>
    <n v="2025"/>
    <n v="12"/>
    <n v="2025"/>
    <n v="0.71380149037974383"/>
    <x v="986"/>
    <d v="2025-11-06T12:18:01"/>
    <x v="1136"/>
    <s v="Paid"/>
    <d v="2025-12-11T00:00:00"/>
    <s v="2377"/>
    <x v="18"/>
    <x v="0"/>
    <n v="987.3"/>
    <n v="704.73621145192101"/>
    <n v="0.71380149037974383"/>
    <n v="-987.3"/>
    <n v="0"/>
    <n v="0"/>
    <s v=""/>
    <x v="0"/>
    <x v="0"/>
    <s v="Pend"/>
    <s v="Pend"/>
  </r>
  <r>
    <n v="1"/>
    <s v="SO18187"/>
    <s v="607072"/>
    <s v="INV13619"/>
    <s v="Sealtrac Inc."/>
    <d v="2025-11-06T12:31:58"/>
    <d v="2025-11-06T12:32:04"/>
    <d v="2025-11-06T00:00:00"/>
    <s v="Ian Trottier"/>
    <s v="CAD"/>
    <n v="1"/>
    <n v="307.63"/>
    <n v="307.63"/>
    <n v="307.63"/>
    <n v="292.98"/>
    <n v="14.65"/>
    <n v="307.63"/>
    <s v="Delivered"/>
    <m/>
    <n v="1"/>
    <n v="11"/>
    <n v="2025"/>
    <n v="12"/>
    <n v="2025"/>
    <n v="1"/>
    <x v="987"/>
    <d v="2025-11-06T12:31:58"/>
    <x v="1137"/>
    <s v="Paid"/>
    <d v="2025-12-29T00:00:00"/>
    <s v="607072"/>
    <x v="50"/>
    <x v="0"/>
    <n v="292.98"/>
    <n v="208.70885615692504"/>
    <n v="0.71236554084553561"/>
    <n v="-292.98"/>
    <n v="0"/>
    <n v="0"/>
    <s v=""/>
    <x v="0"/>
    <x v="0"/>
    <s v="Pend"/>
    <s v="Pend"/>
  </r>
  <r>
    <n v="1"/>
    <s v="SO18188"/>
    <s v="PO-0021256"/>
    <s v="INV13689"/>
    <s v="MAB Equipment Company Inc."/>
    <d v="2025-11-06T12:43:11"/>
    <d v="2025-11-19T10:08:18"/>
    <d v="2025-11-21T00:00:00"/>
    <s v="Wilka Nuñez"/>
    <s v="USD"/>
    <n v="0.71277700095248819"/>
    <n v="6027.2988525991568"/>
    <n v="0"/>
    <n v="4296.12"/>
    <n v="4296.12"/>
    <m/>
    <n v="4296.12"/>
    <s v="Delivered"/>
    <m/>
    <n v="1"/>
    <n v="11"/>
    <n v="2025"/>
    <s v=""/>
    <s v=""/>
    <n v="0.71277700095248819"/>
    <x v="988"/>
    <d v="2025-11-06T12:43:11"/>
    <x v="1138"/>
    <s v="Approved"/>
    <s v="Pending"/>
    <s v="PO-0021256"/>
    <x v="67"/>
    <x v="1"/>
    <n v="6027.2988525991568"/>
    <n v="4296.12"/>
    <n v="0.71277700095248819"/>
    <n v="0"/>
    <n v="-4296.12"/>
    <s v=""/>
    <n v="0"/>
    <x v="1"/>
    <x v="2"/>
    <s v="Pend"/>
    <s v="Pend"/>
  </r>
  <r>
    <n v="1"/>
    <s v="SO18189"/>
    <s v="1064"/>
    <s v="INV13637"/>
    <s v="Mill-Right Mine Services Inc."/>
    <d v="2025-11-06T12:43:39"/>
    <d v="2025-11-10T09:10:02"/>
    <d v="2025-11-11T00:00:00"/>
    <s v="Amanda Qiao"/>
    <s v="CAD"/>
    <n v="1"/>
    <n v="1642.24"/>
    <n v="0"/>
    <n v="1170.459123806987"/>
    <n v="1642.24"/>
    <m/>
    <n v="1642.24"/>
    <s v="Delivered"/>
    <m/>
    <n v="1"/>
    <n v="11"/>
    <n v="2025"/>
    <s v=""/>
    <s v=""/>
    <n v="0.71272111494482349"/>
    <x v="989"/>
    <d v="2025-11-06T12:43:39"/>
    <x v="1139"/>
    <s v="Approved"/>
    <s v="Pending"/>
    <s v="1064"/>
    <x v="30"/>
    <x v="0"/>
    <n v="1642.24"/>
    <n v="1170.459123806987"/>
    <n v="0.71272111494482349"/>
    <n v="-2300.2042148373703"/>
    <n v="0"/>
    <n v="-657.96421483737026"/>
    <s v=""/>
    <x v="1"/>
    <x v="2"/>
    <s v="Pend"/>
    <s v="Pend"/>
  </r>
  <r>
    <n v="1"/>
    <s v="SO18191"/>
    <s v="2258683"/>
    <s v="INV13757"/>
    <s v="Zijin Mining - Rosebel Goldmines N.V."/>
    <d v="2025-11-07T09:14:11"/>
    <d v="2025-11-10T16:20:42"/>
    <d v="2025-11-24T00:00:00"/>
    <s v="Amanda Qiao"/>
    <s v="USD"/>
    <n v="0.71202751048443413"/>
    <n v="150.38744770851221"/>
    <n v="0"/>
    <n v="107.08"/>
    <n v="107.08"/>
    <m/>
    <n v="107.08"/>
    <s v="Delivered"/>
    <m/>
    <n v="1"/>
    <n v="11"/>
    <n v="2025"/>
    <s v=""/>
    <s v=""/>
    <n v="0.71202751048443436"/>
    <x v="990"/>
    <d v="2025-11-07T09:14:11"/>
    <x v="1140"/>
    <s v="Approved"/>
    <s v="Pending"/>
    <s v="2258683"/>
    <x v="1"/>
    <x v="1"/>
    <n v="150.38744770851224"/>
    <n v="107.08"/>
    <n v="0.71202751048443425"/>
    <n v="0"/>
    <n v="-107.08"/>
    <s v=""/>
    <n v="0"/>
    <x v="1"/>
    <x v="2"/>
    <s v="Pend"/>
    <s v="Pend"/>
  </r>
  <r>
    <n v="0"/>
    <s v="SO18192"/>
    <s v="4500622668"/>
    <m/>
    <s v="Resolute Forest Products - Saint-Felicien"/>
    <d v="2025-11-07T12:25:54"/>
    <d v="2025-11-18T12:49:59"/>
    <d v="2026-03-24T00:00:00"/>
    <s v="Ian Trottier"/>
    <s v="CAD"/>
    <n v="1"/>
    <n v="11983.95"/>
    <n v="0"/>
    <n v="8562.1333826255341"/>
    <n v="11413.29"/>
    <n v="570.66"/>
    <n v="11983.95"/>
    <s v="Processing"/>
    <m/>
    <n v="0"/>
    <n v="11"/>
    <n v="2025"/>
    <s v=""/>
    <s v=""/>
    <n v="0.71446671444937049"/>
    <x v="991"/>
    <d v="2025-11-07T12:25:54"/>
    <x v="54"/>
    <s v="Not invoiced"/>
    <s v="Pending"/>
    <s v="4500622668"/>
    <x v="46"/>
    <x v="0"/>
    <n v="11413.29"/>
    <n v="8154.4158073578565"/>
    <n v="0.71446671444937049"/>
    <n v="0"/>
    <n v="0"/>
    <n v="11413.29"/>
    <s v=""/>
    <x v="1"/>
    <x v="2"/>
    <s v="Pend"/>
    <s v="Pend"/>
  </r>
  <r>
    <n v="0"/>
    <s v="SO18198"/>
    <s v="M25-1321-1"/>
    <m/>
    <s v="Maham LLC"/>
    <d v="2025-11-10T11:25:38"/>
    <d v="2025-12-10T10:28:10"/>
    <d v="2026-04-08T00:00:00"/>
    <s v="Ian Trottier"/>
    <s v="USD"/>
    <n v="0.72282535844006246"/>
    <n v="3857.2249402221159"/>
    <n v="0"/>
    <n v="2788.1"/>
    <n v="2788.1"/>
    <m/>
    <n v="2788.1"/>
    <s v="Processing"/>
    <m/>
    <n v="0"/>
    <n v="11"/>
    <n v="2025"/>
    <s v=""/>
    <s v=""/>
    <n v="0.72282535844006257"/>
    <x v="992"/>
    <d v="2025-11-10T11:25:38"/>
    <x v="54"/>
    <s v="Not invoiced"/>
    <s v="Pending"/>
    <s v="M25-1321-1"/>
    <x v="37"/>
    <x v="1"/>
    <n v="3857.2249402221164"/>
    <n v="2788.1"/>
    <n v="0.72282535844006246"/>
    <n v="0"/>
    <n v="0"/>
    <s v=""/>
    <n v="2788.1"/>
    <x v="1"/>
    <x v="2"/>
    <s v="Pend"/>
    <s v="Pend"/>
  </r>
  <r>
    <n v="1"/>
    <s v="SO18199"/>
    <s v="607073"/>
    <s v="INV13620"/>
    <s v="Sealtrac Inc."/>
    <d v="2025-11-10T12:03:46"/>
    <d v="2025-11-10T12:03:49"/>
    <d v="2025-11-10T00:00:00"/>
    <s v="Ian Trottier"/>
    <s v="CAD"/>
    <n v="1"/>
    <n v="236.37"/>
    <n v="0"/>
    <n v="168.46588993950789"/>
    <n v="209.18"/>
    <n v="27.19"/>
    <n v="236.37"/>
    <s v="Delivered"/>
    <m/>
    <n v="1"/>
    <n v="11"/>
    <n v="2025"/>
    <n v="12"/>
    <n v="2025"/>
    <n v="0.71272111494482326"/>
    <x v="993"/>
    <d v="2025-11-10T12:03:46"/>
    <x v="1141"/>
    <s v="Paid"/>
    <d v="2025-12-29T00:00:00"/>
    <s v="607073"/>
    <x v="50"/>
    <x v="0"/>
    <n v="209.18"/>
    <n v="149.08700282415813"/>
    <n v="0.71272111494482326"/>
    <n v="-209.18"/>
    <n v="0"/>
    <n v="0"/>
    <s v=""/>
    <x v="0"/>
    <x v="0"/>
    <s v="Pend"/>
    <s v="Pend"/>
  </r>
  <r>
    <n v="1"/>
    <s v="SO18200"/>
    <s v="P370544"/>
    <s v="INV13676"/>
    <s v="Covia Corp - Junction City"/>
    <d v="2025-11-10T13:11:18"/>
    <d v="2025-11-10T13:11:33"/>
    <d v="2025-11-17T00:00:00"/>
    <s v="Marlen Martinez"/>
    <s v="USD"/>
    <n v="0.71202751048443413"/>
    <n v="547.70355675537553"/>
    <n v="0"/>
    <n v="389.98"/>
    <n v="389.98"/>
    <m/>
    <n v="389.98"/>
    <s v="Delivered"/>
    <m/>
    <n v="1"/>
    <n v="11"/>
    <n v="2025"/>
    <s v=""/>
    <s v=""/>
    <n v="0.71202751048443413"/>
    <x v="994"/>
    <d v="2025-11-10T13:11:18"/>
    <x v="1142"/>
    <s v="Approved"/>
    <s v="Pending"/>
    <s v="P370544"/>
    <x v="6"/>
    <x v="1"/>
    <n v="547.70355675537553"/>
    <n v="389.98"/>
    <n v="0.71202751048443413"/>
    <n v="0"/>
    <n v="-389.98"/>
    <s v=""/>
    <n v="0"/>
    <x v="1"/>
    <x v="2"/>
    <s v="Pend"/>
    <s v="Pend"/>
  </r>
  <r>
    <n v="2"/>
    <s v="SO18204"/>
    <s v="815748"/>
    <s v="INV13695"/>
    <s v="Diamond Equipment Group Inc"/>
    <d v="2025-11-10T17:21:35"/>
    <d v="2025-11-18T13:48:39"/>
    <d v="2025-11-25T00:00:00"/>
    <s v="Alexis Gil Lamadrid"/>
    <s v="CAD"/>
    <n v="1"/>
    <n v="6453.87"/>
    <n v="0"/>
    <n v="4611.0752943833586"/>
    <n v="6146.54"/>
    <n v="307.33"/>
    <n v="6453.87"/>
    <s v="Delivered"/>
    <m/>
    <n v="2"/>
    <n v="11"/>
    <n v="2025"/>
    <n v="11"/>
    <n v="2025"/>
    <n v="0.71446671444937049"/>
    <x v="995"/>
    <d v="2025-11-10T17:21:35"/>
    <x v="1143"/>
    <s v="Paid"/>
    <d v="2025-11-27T00:00:00"/>
    <s v="815748"/>
    <x v="154"/>
    <x v="0"/>
    <n v="6146.54"/>
    <n v="4391.4982390316336"/>
    <n v="0.71446671444937049"/>
    <n v="-6146.54"/>
    <n v="0"/>
    <n v="0"/>
    <s v=""/>
    <x v="0"/>
    <x v="1"/>
    <s v="Yes"/>
    <s v="Pend"/>
  </r>
  <r>
    <m/>
    <m/>
    <m/>
    <s v="INV13663"/>
    <m/>
    <m/>
    <m/>
    <m/>
    <m/>
    <m/>
    <m/>
    <m/>
    <m/>
    <m/>
    <m/>
    <m/>
    <m/>
    <m/>
    <m/>
    <n v="2"/>
    <n v="11"/>
    <n v="2025"/>
    <s v=""/>
    <s v=""/>
    <n v="0.71446671444937049"/>
    <x v="995"/>
    <d v="2025-11-10T17:21:35"/>
    <x v="1144"/>
    <s v="Not invoiced"/>
    <s v="Pending"/>
    <s v="815748"/>
    <x v="154"/>
    <x v="0"/>
    <n v="0"/>
    <n v="0"/>
    <n v="0"/>
    <n v="0"/>
    <n v="0"/>
    <n v="0"/>
    <s v=""/>
    <x v="1"/>
    <x v="1"/>
    <s v="Yes"/>
    <s v="Pend"/>
  </r>
  <r>
    <n v="1"/>
    <s v="SO18206"/>
    <s v="2200115002"/>
    <s v="INV13658"/>
    <s v="Wajax Limited - Lachine"/>
    <d v="2025-11-10T17:53:04"/>
    <d v="2025-11-10T18:18:43"/>
    <d v="2025-11-11T00:00:00"/>
    <s v="Ian Trottier"/>
    <s v="CAD"/>
    <n v="1"/>
    <n v="3099.83"/>
    <n v="0"/>
    <n v="2209.3142937394118"/>
    <n v="2952.22"/>
    <n v="147.61000000000001"/>
    <n v="3099.83"/>
    <s v="Delivered"/>
    <m/>
    <n v="1"/>
    <n v="11"/>
    <n v="2025"/>
    <n v="1"/>
    <n v="2026"/>
    <n v="0.71272111494482338"/>
    <x v="996"/>
    <d v="2025-11-10T17:53:04"/>
    <x v="1145"/>
    <s v="Paid"/>
    <d v="2026-01-02T00:00:00"/>
    <s v="2200115002"/>
    <x v="77"/>
    <x v="0"/>
    <n v="2952.22"/>
    <n v="2104.1095299624062"/>
    <n v="0.71272111494482338"/>
    <n v="-2952.22"/>
    <n v="0"/>
    <n v="0"/>
    <s v=""/>
    <x v="0"/>
    <x v="0"/>
    <s v="Pend"/>
    <s v="Pend"/>
  </r>
  <r>
    <n v="1"/>
    <s v="SO18209"/>
    <s v="326286"/>
    <s v="INV13648"/>
    <s v="Gibraltar Mine (Canada)"/>
    <d v="2025-11-11T12:56:16"/>
    <d v="2025-11-11T12:52:15"/>
    <d v="2025-11-13T00:00:00"/>
    <s v="Ian Trottier"/>
    <s v="CAD"/>
    <n v="1"/>
    <n v="2254.39"/>
    <n v="0"/>
    <n v="1609.186941897191"/>
    <n v="2147.04"/>
    <n v="107.35"/>
    <n v="2254.39"/>
    <s v="Delivered"/>
    <m/>
    <n v="1"/>
    <n v="11"/>
    <n v="2025"/>
    <n v="12"/>
    <n v="2025"/>
    <n v="0.71380149037974405"/>
    <x v="997"/>
    <d v="2025-11-11T12:56:16"/>
    <x v="1146"/>
    <s v="Paid"/>
    <d v="2025-12-10T00:00:00"/>
    <s v="326286"/>
    <x v="11"/>
    <x v="0"/>
    <n v="2147.04"/>
    <n v="1532.5603519049257"/>
    <n v="0.71380149037974405"/>
    <n v="-2147.04"/>
    <n v="0"/>
    <n v="0"/>
    <s v=""/>
    <x v="0"/>
    <x v="0"/>
    <s v="Pend"/>
    <s v="Pend"/>
  </r>
  <r>
    <n v="1"/>
    <s v="SO18210"/>
    <s v="607075"/>
    <s v="INV13652"/>
    <s v="Sealtrac Inc."/>
    <d v="2025-11-11T13:14:22"/>
    <d v="2025-11-11T13:14:24"/>
    <d v="2025-11-12T00:00:00"/>
    <s v="Ian Trottier"/>
    <s v="CAD"/>
    <n v="1"/>
    <n v="412.89"/>
    <n v="0"/>
    <n v="294.72149736289242"/>
    <n v="365.39"/>
    <n v="47.5"/>
    <n v="412.89"/>
    <s v="Delivered"/>
    <m/>
    <n v="1"/>
    <n v="11"/>
    <n v="2025"/>
    <n v="12"/>
    <n v="2025"/>
    <n v="0.71380149037974383"/>
    <x v="998"/>
    <d v="2025-11-11T13:14:22"/>
    <x v="1147"/>
    <s v="Paid"/>
    <d v="2025-12-29T00:00:00"/>
    <s v="607075"/>
    <x v="50"/>
    <x v="0"/>
    <n v="365.39"/>
    <n v="260.81592656985458"/>
    <n v="0.71380149037974383"/>
    <n v="-365.39"/>
    <n v="0"/>
    <n v="0"/>
    <s v=""/>
    <x v="0"/>
    <x v="0"/>
    <s v="Pend"/>
    <s v="Pend"/>
  </r>
  <r>
    <n v="1"/>
    <s v="SO18211"/>
    <s v="4500621522"/>
    <s v="INV13638"/>
    <s v="Resolute Forest Products - Saint-Felicien"/>
    <d v="2025-11-11T13:29:42"/>
    <d v="2025-11-11T17:37:12"/>
    <d v="2025-11-12T00:00:00"/>
    <s v="Ian Trottier"/>
    <s v="CAD"/>
    <n v="1"/>
    <n v="365.17"/>
    <n v="0"/>
    <n v="260.65889024197111"/>
    <n v="347.78"/>
    <n v="17.39"/>
    <n v="365.17"/>
    <s v="Delivered"/>
    <m/>
    <n v="1"/>
    <n v="11"/>
    <n v="2025"/>
    <s v=""/>
    <s v=""/>
    <n v="0.71380149037974394"/>
    <x v="999"/>
    <d v="2025-11-11T13:29:42"/>
    <x v="1148"/>
    <s v="Approved"/>
    <s v="Pending"/>
    <s v="4500621522"/>
    <x v="46"/>
    <x v="0"/>
    <n v="347.78"/>
    <n v="248.24588232426734"/>
    <n v="0.71380149037974394"/>
    <n v="-347.78"/>
    <n v="0"/>
    <n v="0"/>
    <s v=""/>
    <x v="1"/>
    <x v="2"/>
    <s v="Pend"/>
    <s v="Pend"/>
  </r>
  <r>
    <n v="1"/>
    <s v="SO18212"/>
    <s v="Sump Pump Repair # 1"/>
    <s v="INV13640"/>
    <s v="Dynapro Pumps"/>
    <d v="2025-11-11T15:34:32"/>
    <d v="2025-11-11T17:33:49"/>
    <d v="2025-11-17T00:00:00"/>
    <s v="Amanda Qiao"/>
    <s v="USD"/>
    <n v="0.71272111494482349"/>
    <n v="5205.7107923443982"/>
    <n v="0"/>
    <n v="3710.22"/>
    <n v="3710.22"/>
    <m/>
    <n v="3710.22"/>
    <s v="To Deliver"/>
    <m/>
    <n v="1"/>
    <n v="11"/>
    <n v="2025"/>
    <s v=""/>
    <s v=""/>
    <n v="0.71272111494482349"/>
    <x v="1000"/>
    <d v="2025-11-11T15:34:32"/>
    <x v="1149"/>
    <s v="Not invoiced"/>
    <s v="Pending"/>
    <s v="Sump Pump Repair # 1"/>
    <x v="155"/>
    <x v="1"/>
    <n v="5205.7107923443982"/>
    <n v="3710.22"/>
    <n v="0.71272111494482349"/>
    <n v="0"/>
    <n v="0"/>
    <s v=""/>
    <n v="3710.22"/>
    <x v="1"/>
    <x v="2"/>
    <s v="Pend"/>
    <s v="Pend"/>
  </r>
  <r>
    <n v="1"/>
    <s v="SO18213"/>
    <s v="Sump Pump Repair # 2"/>
    <s v="INV13731"/>
    <s v="Dynapro Pumps"/>
    <d v="2025-11-11T16:52:03"/>
    <d v="2025-11-11T17:33:21"/>
    <d v="2025-11-17T00:00:00"/>
    <s v="Amanda Qiao"/>
    <s v="USD"/>
    <n v="0.71272111494482349"/>
    <n v="4373.8286050937786"/>
    <n v="0"/>
    <n v="3117.32"/>
    <n v="3117.32"/>
    <m/>
    <n v="3117.32"/>
    <s v="Delivered"/>
    <m/>
    <n v="1"/>
    <n v="11"/>
    <n v="2025"/>
    <s v=""/>
    <s v=""/>
    <n v="0.71272111494482349"/>
    <x v="1001"/>
    <d v="2025-11-11T16:52:03"/>
    <x v="1150"/>
    <s v="Not invoiced"/>
    <s v="Pending"/>
    <s v="Sump Pump Repair # 2"/>
    <x v="155"/>
    <x v="1"/>
    <n v="4373.8286050937786"/>
    <n v="3117.32"/>
    <n v="0.71272111494482349"/>
    <n v="0"/>
    <n v="0"/>
    <s v=""/>
    <n v="3117.32"/>
    <x v="1"/>
    <x v="2"/>
    <s v="Pend"/>
    <s v="Pend"/>
  </r>
  <r>
    <n v="1"/>
    <s v="SO18214"/>
    <s v="326767"/>
    <s v="INV13708"/>
    <s v="Gibraltar Mine (Canada)"/>
    <d v="2025-11-12T10:45:49"/>
    <d v="2025-11-25T12:04:07"/>
    <d v="2025-11-26T00:00:00"/>
    <s v="Ian Trottier"/>
    <s v="CAD"/>
    <n v="1"/>
    <n v="973.46"/>
    <n v="0"/>
    <n v="689.5285331443647"/>
    <n v="927.1"/>
    <n v="46.36"/>
    <n v="973.46"/>
    <s v="Delivered"/>
    <m/>
    <n v="1"/>
    <n v="11"/>
    <n v="2025"/>
    <s v=""/>
    <s v=""/>
    <n v="0.70832754622107197"/>
    <x v="1002"/>
    <d v="2025-11-12T10:45:49"/>
    <x v="1151"/>
    <s v="Approved"/>
    <s v="Pending"/>
    <s v="326767"/>
    <x v="11"/>
    <x v="0"/>
    <n v="927.1"/>
    <n v="656.69046810155589"/>
    <n v="0.70832754622107208"/>
    <n v="-927.1"/>
    <n v="0"/>
    <n v="0"/>
    <s v=""/>
    <x v="1"/>
    <x v="2"/>
    <s v="Pend"/>
    <s v="Pend"/>
  </r>
  <r>
    <n v="1"/>
    <s v="SO18221"/>
    <s v="4500621924"/>
    <s v="INV13656"/>
    <s v="Resolute Forest Products - Clermont"/>
    <d v="2025-11-12T15:41:46"/>
    <d v="2025-11-14T12:52:17"/>
    <d v="2025-11-17T00:00:00"/>
    <s v="Ian Trottier"/>
    <s v="CAD"/>
    <n v="1"/>
    <n v="365.56"/>
    <n v="0"/>
    <n v="260.66302427220307"/>
    <n v="348.15"/>
    <n v="17.41"/>
    <n v="365.56"/>
    <s v="Delivered"/>
    <m/>
    <n v="1"/>
    <n v="11"/>
    <n v="2025"/>
    <s v=""/>
    <s v=""/>
    <n v="0.71305127550115732"/>
    <x v="1003"/>
    <d v="2025-11-12T15:41:46"/>
    <x v="1152"/>
    <s v="Approved"/>
    <s v="Pending"/>
    <s v="4500621924"/>
    <x v="83"/>
    <x v="0"/>
    <n v="348.15"/>
    <n v="248.24880156572792"/>
    <n v="0.71305127550115732"/>
    <n v="-348.15"/>
    <n v="0"/>
    <n v="0"/>
    <s v=""/>
    <x v="1"/>
    <x v="2"/>
    <s v="Pend"/>
    <s v="Pend"/>
  </r>
  <r>
    <n v="1"/>
    <s v="SO18222"/>
    <s v="C003679489"/>
    <s v="INV13653"/>
    <s v="Glencore Canada Corporation - Rouyn-Noranda"/>
    <d v="2025-11-12T17:18:09"/>
    <d v="2025-11-12T17:27:31"/>
    <d v="2025-11-26T00:00:00"/>
    <s v="Amanda Qiao"/>
    <s v="CAD"/>
    <n v="1"/>
    <n v="767.21"/>
    <n v="0"/>
    <n v="547.91216369183155"/>
    <n v="730.68"/>
    <n v="36.53"/>
    <n v="767.21"/>
    <s v="Delivered"/>
    <m/>
    <n v="1"/>
    <n v="11"/>
    <n v="2025"/>
    <n v="12"/>
    <n v="2025"/>
    <n v="0.71416191615311519"/>
    <x v="1004"/>
    <d v="2025-11-12T17:18:09"/>
    <x v="1153"/>
    <s v="Paid"/>
    <d v="2025-12-31T00:00:00"/>
    <s v="C003679489"/>
    <x v="81"/>
    <x v="0"/>
    <n v="730.68"/>
    <n v="521.82382889475821"/>
    <n v="0.71416191615311519"/>
    <n v="-730.68"/>
    <n v="0"/>
    <n v="0"/>
    <s v=""/>
    <x v="0"/>
    <x v="0"/>
    <s v="Pend"/>
    <s v="Pend"/>
  </r>
  <r>
    <n v="1"/>
    <s v="SO18223"/>
    <s v="C003679975"/>
    <s v="INV13650"/>
    <s v="Glencore Canada Corporation - Rouyn-Noranda"/>
    <d v="2025-11-12T17:25:33"/>
    <d v="2025-11-12T17:26:20"/>
    <d v="2025-11-13T00:00:00"/>
    <s v="Ian Trottier"/>
    <s v="CAD"/>
    <n v="1"/>
    <n v="3010.94"/>
    <n v="0"/>
    <n v="2150.2986798220609"/>
    <n v="2867.55"/>
    <n v="143.38999999999999"/>
    <n v="3010.94"/>
    <s v="Delivered"/>
    <m/>
    <n v="1"/>
    <n v="11"/>
    <n v="2025"/>
    <s v=""/>
    <s v=""/>
    <n v="0.71416191615311531"/>
    <x v="1005"/>
    <d v="2025-11-12T17:25:33"/>
    <x v="1154"/>
    <s v="Approved"/>
    <s v="Pending"/>
    <s v="C003679975"/>
    <x v="81"/>
    <x v="0"/>
    <n v="2867.55"/>
    <n v="2047.8950026648658"/>
    <n v="0.71416191615311531"/>
    <n v="-2867.55"/>
    <n v="0"/>
    <n v="0"/>
    <s v=""/>
    <x v="1"/>
    <x v="2"/>
    <s v="Pend"/>
    <s v="Pend"/>
  </r>
  <r>
    <n v="1"/>
    <s v="SO18224"/>
    <s v="C003679551"/>
    <s v="INV13649"/>
    <s v="Glencore Canada Corporation - Rouyn-Noranda"/>
    <d v="2025-11-12T17:41:09"/>
    <d v="2025-11-12T17:41:11"/>
    <d v="2025-11-14T00:00:00"/>
    <s v="Amanda Qiao"/>
    <s v="CAD"/>
    <n v="1"/>
    <n v="115.14"/>
    <n v="0"/>
    <n v="82.228603025869688"/>
    <n v="109.66"/>
    <n v="5.48"/>
    <n v="115.14"/>
    <s v="Delivered"/>
    <m/>
    <n v="1"/>
    <n v="11"/>
    <n v="2025"/>
    <s v=""/>
    <s v=""/>
    <n v="0.71416191615311519"/>
    <x v="1006"/>
    <d v="2025-11-12T17:41:09"/>
    <x v="1155"/>
    <s v="Approved"/>
    <s v="Pending"/>
    <s v="C003679551"/>
    <x v="81"/>
    <x v="0"/>
    <n v="109.66"/>
    <n v="78.314995725350613"/>
    <n v="0.71416191615311519"/>
    <n v="-109.66"/>
    <n v="0"/>
    <n v="0"/>
    <s v=""/>
    <x v="1"/>
    <x v="2"/>
    <s v="Pend"/>
    <s v="Pend"/>
  </r>
  <r>
    <n v="1"/>
    <s v="SO18225"/>
    <s v="C003680502"/>
    <s v="INV13651"/>
    <s v="Glencore Canada Corporation - Rouyn-Noranda"/>
    <d v="2025-11-12T17:52:44"/>
    <d v="2025-11-12T17:52:46"/>
    <d v="2025-11-13T00:00:00"/>
    <s v="Ian Trottier"/>
    <s v="CAD"/>
    <n v="1"/>
    <n v="757.9"/>
    <n v="0"/>
    <n v="541.26331625244597"/>
    <n v="721.12"/>
    <n v="36.78"/>
    <n v="757.9"/>
    <s v="Delivered"/>
    <m/>
    <n v="1"/>
    <n v="11"/>
    <n v="2025"/>
    <s v=""/>
    <s v=""/>
    <n v="0.71416191615311519"/>
    <x v="1007"/>
    <d v="2025-11-12T17:52:44"/>
    <x v="1156"/>
    <s v="Approved"/>
    <s v="Pending"/>
    <s v="C003680502"/>
    <x v="81"/>
    <x v="0"/>
    <n v="721.12"/>
    <n v="514.99644097633438"/>
    <n v="0.71416191615311508"/>
    <n v="-721.12"/>
    <n v="0"/>
    <n v="0"/>
    <s v=""/>
    <x v="1"/>
    <x v="2"/>
    <s v="Pend"/>
    <s v="Pend"/>
  </r>
  <r>
    <n v="1"/>
    <s v="SO18226"/>
    <s v="2371"/>
    <s v="INV13721"/>
    <s v="FMI Products"/>
    <d v="2025-11-13T11:19:27"/>
    <d v="2025-12-02T11:57:39"/>
    <d v="2025-11-13T00:00:00"/>
    <s v="Aleksandar Stankovic"/>
    <s v="CAD"/>
    <n v="1"/>
    <n v="1095.1500000000001"/>
    <n v="0"/>
    <n v="782.79417672545151"/>
    <n v="1043"/>
    <n v="52.15"/>
    <n v="1095.1500000000001"/>
    <s v="Delivered"/>
    <m/>
    <n v="1"/>
    <n v="11"/>
    <n v="2025"/>
    <n v="12"/>
    <n v="2025"/>
    <n v="0.71478261126370946"/>
    <x v="1008"/>
    <d v="2025-11-13T11:19:27"/>
    <x v="1157"/>
    <s v="Paid"/>
    <d v="2025-12-31T00:00:00"/>
    <s v="2371"/>
    <x v="18"/>
    <x v="0"/>
    <n v="1043"/>
    <n v="745.51826354804894"/>
    <n v="0.71478261126370946"/>
    <n v="-1043"/>
    <n v="0"/>
    <n v="0"/>
    <s v=""/>
    <x v="0"/>
    <x v="0"/>
    <s v="Pend"/>
    <s v="Pend"/>
  </r>
  <r>
    <n v="1"/>
    <s v="SO18227"/>
    <s v="PO-043662"/>
    <s v="INV13641"/>
    <s v="Southeast Pump Specialist, Inc."/>
    <d v="2025-11-13T14:51:28"/>
    <d v="2025-11-13T15:04:02"/>
    <m/>
    <s v="Wilka Nuñez"/>
    <s v="USD"/>
    <n v="0.71380149037974383"/>
    <n v="4373.1346068489283"/>
    <n v="0"/>
    <n v="3121.55"/>
    <n v="3121.55"/>
    <m/>
    <n v="3121.55"/>
    <s v="Delivered"/>
    <m/>
    <n v="1"/>
    <n v="11"/>
    <n v="2025"/>
    <s v=""/>
    <s v=""/>
    <n v="0.71380149037974383"/>
    <x v="1009"/>
    <d v="2025-11-13T14:51:28"/>
    <x v="1158"/>
    <s v="Approved"/>
    <s v="Pending"/>
    <s v="PO-043662"/>
    <x v="26"/>
    <x v="1"/>
    <n v="4373.1346068489283"/>
    <n v="3121.55"/>
    <n v="0.71380149037974383"/>
    <n v="0"/>
    <n v="-3121.55"/>
    <s v=""/>
    <n v="0"/>
    <x v="1"/>
    <x v="2"/>
    <s v="Pend"/>
    <s v="Pend"/>
  </r>
  <r>
    <n v="1"/>
    <s v="SO18228"/>
    <s v="2370"/>
    <s v="INV13669"/>
    <s v="FMI Products"/>
    <d v="2025-11-13T17:10:05"/>
    <d v="2025-11-18T11:54:23"/>
    <d v="2025-11-19T00:00:00"/>
    <s v="Ian Trottier"/>
    <s v="CAD"/>
    <n v="1"/>
    <n v="922.89"/>
    <n v="0"/>
    <n v="659.37418609817951"/>
    <n v="878.94"/>
    <n v="43.95"/>
    <n v="922.89"/>
    <s v="Delivered"/>
    <m/>
    <n v="1"/>
    <n v="11"/>
    <n v="2025"/>
    <n v="12"/>
    <n v="2025"/>
    <n v="0.71446671444937049"/>
    <x v="1010"/>
    <d v="2025-11-13T17:10:05"/>
    <x v="1159"/>
    <s v="Paid"/>
    <d v="2025-12-18T00:00:00"/>
    <s v="2370"/>
    <x v="18"/>
    <x v="0"/>
    <n v="878.94"/>
    <n v="627.97337399812977"/>
    <n v="0.71446671444937049"/>
    <n v="-878.94"/>
    <n v="0"/>
    <n v="0"/>
    <s v=""/>
    <x v="0"/>
    <x v="0"/>
    <s v="Pend"/>
    <s v="Pend"/>
  </r>
  <r>
    <n v="1"/>
    <s v="SO18230"/>
    <s v="4500622134"/>
    <s v="INV13654"/>
    <s v="Resolute Forest Products - Saint-Felicien"/>
    <d v="2025-11-13T17:51:00"/>
    <d v="2025-11-13T17:53:29"/>
    <d v="2025-11-14T00:00:00"/>
    <s v="Ian Trottier"/>
    <s v="CAD"/>
    <n v="1"/>
    <n v="310.20999999999998"/>
    <n v="0"/>
    <n v="221.39505595035291"/>
    <n v="295.44"/>
    <n v="14.77"/>
    <n v="310.20999999999998"/>
    <s v="Delivered"/>
    <m/>
    <n v="1"/>
    <n v="11"/>
    <n v="2025"/>
    <s v=""/>
    <s v=""/>
    <n v="0.71369412962300671"/>
    <x v="1011"/>
    <d v="2025-11-13T17:51:00"/>
    <x v="1160"/>
    <s v="Approved"/>
    <s v="Pending"/>
    <s v="4500622134"/>
    <x v="46"/>
    <x v="0"/>
    <n v="295.44"/>
    <n v="210.85379365582111"/>
    <n v="0.71369412962300671"/>
    <n v="-295.44"/>
    <n v="0"/>
    <n v="0"/>
    <s v=""/>
    <x v="1"/>
    <x v="2"/>
    <s v="Pend"/>
    <s v="Pend"/>
  </r>
  <r>
    <n v="0"/>
    <s v="SO18231"/>
    <s v="TEST BY YANNETT"/>
    <m/>
    <s v="Dynapro Pumps"/>
    <d v="2025-11-13T19:30:16"/>
    <d v="2025-11-14T15:44:16"/>
    <d v="2025-11-17T00:00:00"/>
    <s v="Amanda Qiao"/>
    <s v="USD"/>
    <n v="0.71416191615311519"/>
    <n v="4365.0045311736449"/>
    <n v="0"/>
    <n v="3117.32"/>
    <n v="3117.32"/>
    <m/>
    <n v="3117.32"/>
    <s v="Nothing to Deliver"/>
    <m/>
    <n v="0"/>
    <n v="11"/>
    <n v="2025"/>
    <s v=""/>
    <s v=""/>
    <n v="0.71416191615311508"/>
    <x v="1012"/>
    <d v="2025-11-13T19:30:16"/>
    <x v="54"/>
    <s v="Not invoiced"/>
    <s v="Pending"/>
    <s v="TEST BY YANNETT"/>
    <x v="155"/>
    <x v="1"/>
    <n v="4365.0045311736449"/>
    <n v="3117.32"/>
    <n v="0.71416191615311508"/>
    <n v="0"/>
    <n v="0"/>
    <s v=""/>
    <n v="3117.32"/>
    <x v="1"/>
    <x v="2"/>
    <s v="Pend"/>
    <s v="Pend"/>
  </r>
  <r>
    <n v="1"/>
    <s v="SO18232"/>
    <s v="Sump Pump repair 6&quot;"/>
    <s v="INV13730"/>
    <s v="Dynapro Pumps"/>
    <d v="2025-11-14T08:11:00"/>
    <d v="2025-11-14T16:07:31"/>
    <d v="2025-11-14T00:00:00"/>
    <s v="Amanda Qiao"/>
    <s v="USD"/>
    <n v="0.71416191615311519"/>
    <n v="4904.0979654382863"/>
    <n v="0"/>
    <n v="3502.32"/>
    <n v="3502.32"/>
    <m/>
    <n v="3502.32"/>
    <s v="Processing"/>
    <m/>
    <n v="1"/>
    <n v="11"/>
    <n v="2025"/>
    <s v=""/>
    <s v=""/>
    <n v="0.71416191615311519"/>
    <x v="1013"/>
    <d v="2025-11-14T08:11:00"/>
    <x v="1161"/>
    <s v="Not invoiced"/>
    <s v="Pending"/>
    <s v="Sump Pump repair 6&quot;"/>
    <x v="155"/>
    <x v="1"/>
    <n v="4904.0979654382863"/>
    <n v="3502.32"/>
    <n v="0.71416191615311519"/>
    <n v="0"/>
    <n v="0"/>
    <s v=""/>
    <n v="3502.32"/>
    <x v="1"/>
    <x v="2"/>
    <s v="Pend"/>
    <s v="Pend"/>
  </r>
  <r>
    <n v="1"/>
    <s v="SO18233"/>
    <s v="P11252964"/>
    <s v="INV13749"/>
    <s v="Industrial Pump Repair Canada"/>
    <d v="2025-11-14T09:31:29"/>
    <d v="2025-11-17T10:07:27"/>
    <d v="2025-12-05T00:00:00"/>
    <s v="Aleksandar Stankovic"/>
    <s v="CAD"/>
    <n v="1"/>
    <n v="216.96"/>
    <n v="0"/>
    <n v="154.64409812665181"/>
    <n v="192"/>
    <n v="24.96"/>
    <n v="216.96"/>
    <s v="Delivered"/>
    <m/>
    <n v="1"/>
    <n v="11"/>
    <n v="2025"/>
    <s v=""/>
    <s v=""/>
    <n v="0.71277700095248808"/>
    <x v="1014"/>
    <d v="2025-11-14T09:31:29"/>
    <x v="1162"/>
    <s v="Approved"/>
    <s v="Pending"/>
    <s v="P11252964"/>
    <x v="102"/>
    <x v="0"/>
    <n v="192"/>
    <n v="136.85318418287773"/>
    <n v="0.71277700095248819"/>
    <n v="-192"/>
    <n v="0"/>
    <n v="0"/>
    <s v=""/>
    <x v="1"/>
    <x v="2"/>
    <s v="Pend"/>
    <s v="Pend"/>
  </r>
  <r>
    <n v="1"/>
    <s v="SO18238"/>
    <s v="4500622393"/>
    <s v="INV13657"/>
    <s v="Resolute Forest Products - Clermont"/>
    <d v="2025-11-14T14:54:30"/>
    <d v="2025-11-17T17:18:14"/>
    <d v="2025-11-18T00:00:00"/>
    <s v="Ian Trottier"/>
    <s v="CAD"/>
    <n v="1"/>
    <n v="391.77"/>
    <n v="0"/>
    <n v="279.24464566315629"/>
    <n v="373.11"/>
    <n v="18.66"/>
    <n v="391.77"/>
    <s v="Delivered"/>
    <m/>
    <n v="1"/>
    <n v="11"/>
    <n v="2025"/>
    <s v=""/>
    <s v=""/>
    <n v="0.71277700095248819"/>
    <x v="1015"/>
    <d v="2025-11-14T14:54:30"/>
    <x v="1163"/>
    <s v="Approved"/>
    <s v="Pending"/>
    <s v="4500622393"/>
    <x v="83"/>
    <x v="0"/>
    <n v="373.11"/>
    <n v="265.94422682538288"/>
    <n v="0.71277700095248819"/>
    <n v="-373.11"/>
    <n v="0"/>
    <n v="0"/>
    <s v=""/>
    <x v="1"/>
    <x v="2"/>
    <s v="Pend"/>
    <s v="Pend"/>
  </r>
  <r>
    <n v="0"/>
    <s v="SO18240"/>
    <s v="1067"/>
    <m/>
    <s v="Mill-Right Mine Services Inc."/>
    <d v="2025-11-17T09:14:20"/>
    <d v="2025-12-17T17:06:23"/>
    <d v="2026-04-01T00:00:00"/>
    <s v="Amanda Qiao"/>
    <s v="USD"/>
    <n v="0.72641002219915185"/>
    <n v="3661.843750375373"/>
    <n v="0"/>
    <n v="2660"/>
    <n v="2660"/>
    <m/>
    <n v="2660"/>
    <s v="Processing"/>
    <m/>
    <n v="0"/>
    <n v="11"/>
    <n v="2025"/>
    <s v=""/>
    <s v=""/>
    <n v="0.72641002219915185"/>
    <x v="1016"/>
    <d v="2025-11-17T09:14:20"/>
    <x v="54"/>
    <s v="Not invoiced"/>
    <s v="Pending"/>
    <s v="1067"/>
    <x v="30"/>
    <x v="1"/>
    <n v="3661.8437503753726"/>
    <n v="2660"/>
    <n v="0.72641002219915185"/>
    <n v="0"/>
    <n v="0"/>
    <s v=""/>
    <n v="2660"/>
    <x v="1"/>
    <x v="2"/>
    <s v="Pend"/>
    <s v="Pend"/>
  </r>
  <r>
    <n v="0"/>
    <s v="SO18241"/>
    <s v="8035"/>
    <m/>
    <s v="Hyperflo"/>
    <d v="2025-11-17T11:10:52"/>
    <d v="2025-11-20T11:31:14"/>
    <d v="2026-01-15T00:00:00"/>
    <s v="Ian Trottier"/>
    <s v="CAD"/>
    <n v="1"/>
    <n v="9966.4699999999993"/>
    <n v="0"/>
    <n v="7071.650847930744"/>
    <n v="9491.8799999999992"/>
    <n v="474.59"/>
    <n v="9966.4699999999993"/>
    <s v="Delivered"/>
    <m/>
    <n v="0"/>
    <n v="11"/>
    <n v="2025"/>
    <s v=""/>
    <s v=""/>
    <n v="0.70954418645024209"/>
    <x v="1017"/>
    <d v="2025-11-17T11:10:52"/>
    <x v="54"/>
    <s v="Not invoiced"/>
    <s v="Pending"/>
    <s v="8035"/>
    <x v="5"/>
    <x v="0"/>
    <n v="9491.8799999999992"/>
    <n v="6734.9082724833233"/>
    <n v="0.70954418645024209"/>
    <n v="0"/>
    <n v="0"/>
    <n v="9491.8799999999992"/>
    <s v=""/>
    <x v="1"/>
    <x v="2"/>
    <s v="Pend"/>
    <s v="Pend"/>
  </r>
  <r>
    <n v="0"/>
    <s v="SO18242"/>
    <s v="4500624264"/>
    <m/>
    <s v="Resolute Forest Products - Saint-Felicien"/>
    <d v="2025-11-17T14:06:39"/>
    <d v="2025-11-28T11:57:34"/>
    <d v="2026-02-20T00:00:00"/>
    <s v="Ian Trottier"/>
    <s v="CAD"/>
    <n v="1"/>
    <n v="5097.12"/>
    <n v="0"/>
    <n v="3647.092793836388"/>
    <n v="4854.3999999999996"/>
    <n v="242.72"/>
    <n v="5097.12"/>
    <s v="Processing"/>
    <m/>
    <n v="0"/>
    <n v="11"/>
    <n v="2025"/>
    <s v=""/>
    <s v=""/>
    <n v="0.7155202926037425"/>
    <x v="1018"/>
    <d v="2025-11-17T14:06:39"/>
    <x v="54"/>
    <s v="Not invoiced"/>
    <s v="Pending"/>
    <s v="4500624264"/>
    <x v="46"/>
    <x v="0"/>
    <n v="4854.3999999999996"/>
    <n v="3473.4217084156076"/>
    <n v="0.7155202926037425"/>
    <n v="0"/>
    <n v="0"/>
    <n v="4854.3999999999996"/>
    <s v=""/>
    <x v="1"/>
    <x v="2"/>
    <s v="Pend"/>
    <s v="Pend"/>
  </r>
  <r>
    <n v="0"/>
    <s v="SO18243"/>
    <s v="2259803"/>
    <m/>
    <s v="Zijin Mining - Rosebel Goldmines N.V., Rosebel Gold Mines N.V."/>
    <d v="2025-11-17T15:39:53"/>
    <d v="2025-12-05T13:59:31"/>
    <d v="2026-03-05T00:00:00"/>
    <s v="Amanda Qiao"/>
    <s v="USD"/>
    <n v="0.71669614463588371"/>
    <n v="5407.0334115844707"/>
    <n v="0"/>
    <n v="3875.2"/>
    <n v="3875.2"/>
    <m/>
    <n v="3875.2"/>
    <s v="Processing"/>
    <m/>
    <n v="0"/>
    <n v="11"/>
    <n v="2025"/>
    <s v=""/>
    <s v=""/>
    <n v="0.71669614463588371"/>
    <x v="1019"/>
    <d v="2025-11-17T15:39:53"/>
    <x v="54"/>
    <s v="Not invoiced"/>
    <s v="Pending"/>
    <s v="2259803"/>
    <x v="156"/>
    <x v="1"/>
    <n v="5407.0334115844707"/>
    <n v="3875.2"/>
    <n v="0.71669614463588371"/>
    <n v="0"/>
    <n v="0"/>
    <s v=""/>
    <n v="3875.2"/>
    <x v="1"/>
    <x v="2"/>
    <s v="Pend"/>
    <s v="Pend"/>
  </r>
  <r>
    <n v="0"/>
    <s v="SO18245"/>
    <s v="MB21-00194995"/>
    <m/>
    <s v="Motion Industries Inc. (Canada) - Winnipeg"/>
    <d v="2025-11-17T16:03:22"/>
    <d v="2025-11-25T13:37:07"/>
    <d v="2026-03-17T00:00:00"/>
    <s v="Wilka Nuñez"/>
    <s v="CAD"/>
    <n v="1"/>
    <n v="3677.44"/>
    <n v="0"/>
    <n v="2604.8320515752189"/>
    <n v="3502.32"/>
    <n v="175.12"/>
    <n v="3677.44"/>
    <s v="Processing"/>
    <m/>
    <n v="0"/>
    <n v="11"/>
    <n v="2025"/>
    <s v=""/>
    <s v=""/>
    <n v="0.70832754622107197"/>
    <x v="1020"/>
    <d v="2025-11-17T16:03:22"/>
    <x v="54"/>
    <s v="Not invoiced"/>
    <s v="Pending"/>
    <s v="MB21-00194995"/>
    <x v="23"/>
    <x v="0"/>
    <n v="3502.32"/>
    <n v="2480.7897316809849"/>
    <n v="0.70832754622107197"/>
    <n v="0"/>
    <n v="0"/>
    <n v="3502.32"/>
    <s v=""/>
    <x v="1"/>
    <x v="2"/>
    <s v="Pend"/>
    <s v="Pend"/>
  </r>
  <r>
    <n v="1"/>
    <s v="SO18247"/>
    <s v="4560073057"/>
    <s v="INV13734"/>
    <s v="Alamos Gold Inc"/>
    <d v="2025-11-17T17:30:42"/>
    <d v="2025-11-18T13:45:10"/>
    <d v="2025-11-28T00:00:00"/>
    <s v="Ian Trottier"/>
    <s v="CAD"/>
    <n v="1"/>
    <n v="2662.01"/>
    <n v="0"/>
    <n v="1901.917538531369"/>
    <n v="2355.7600000000002"/>
    <n v="306.25"/>
    <n v="2662.01"/>
    <s v="Delivered"/>
    <m/>
    <n v="1"/>
    <n v="11"/>
    <n v="2025"/>
    <n v="12"/>
    <n v="2025"/>
    <n v="0.71446671444937049"/>
    <x v="1021"/>
    <d v="2025-11-17T17:30:42"/>
    <x v="1164"/>
    <s v="Paid"/>
    <d v="2025-12-23T00:00:00"/>
    <s v="4560073057"/>
    <x v="129"/>
    <x v="0"/>
    <n v="2355.7600000000002"/>
    <n v="1683.1121072312492"/>
    <n v="0.71446671444937049"/>
    <n v="-2355.7600000000002"/>
    <n v="0"/>
    <n v="0"/>
    <s v=""/>
    <x v="0"/>
    <x v="0"/>
    <s v="Pend"/>
    <s v="Pend"/>
  </r>
  <r>
    <n v="1"/>
    <s v="SO18249"/>
    <s v="PO14217"/>
    <s v="INV13698"/>
    <s v="Manufacture Sling-Choker (Val-d’Or) Ltée, Manufacture Sling-Choker (Val-d’Or) Ltée"/>
    <d v="2025-11-18T09:27:02"/>
    <d v="2025-11-20T15:07:13"/>
    <d v="2025-11-27T00:00:00"/>
    <s v="Aleksandar Stankovic"/>
    <s v="CAD"/>
    <n v="1"/>
    <n v="407.34"/>
    <n v="0"/>
    <n v="289.02572890864161"/>
    <n v="387.94"/>
    <n v="19.399999999999999"/>
    <n v="407.34"/>
    <s v="Delivered"/>
    <m/>
    <n v="1"/>
    <n v="11"/>
    <n v="2025"/>
    <n v="12"/>
    <n v="2025"/>
    <n v="0.70954418645024209"/>
    <x v="1022"/>
    <d v="2025-11-18T09:27:02"/>
    <x v="1165"/>
    <s v="Paid"/>
    <d v="2025-12-31T00:00:00"/>
    <s v="PO14217"/>
    <x v="99"/>
    <x v="0"/>
    <n v="387.94"/>
    <n v="275.26057169150693"/>
    <n v="0.70954418645024209"/>
    <n v="-387.94"/>
    <n v="0"/>
    <n v="0"/>
    <s v=""/>
    <x v="0"/>
    <x v="0"/>
    <s v="Pend"/>
    <s v="Pend"/>
  </r>
  <r>
    <n v="1"/>
    <s v="SO18250"/>
    <s v="P371254"/>
    <s v="INV13713"/>
    <s v="Covia Corp - Junction City"/>
    <d v="2025-11-18T09:55:32"/>
    <d v="2025-11-26T12:26:36"/>
    <d v="2025-11-21T00:00:00"/>
    <s v="Aleksandar Stankovic"/>
    <s v="USD"/>
    <n v="0.70860938895411174"/>
    <n v="451.58871020931758"/>
    <n v="0"/>
    <n v="320"/>
    <n v="320"/>
    <m/>
    <n v="320"/>
    <s v="Delivered"/>
    <m/>
    <n v="1"/>
    <n v="11"/>
    <n v="2025"/>
    <s v=""/>
    <s v=""/>
    <n v="0.70860938895411185"/>
    <x v="1023"/>
    <d v="2025-11-18T09:55:32"/>
    <x v="1166"/>
    <s v="Approved"/>
    <s v="Pending"/>
    <s v="P371254"/>
    <x v="6"/>
    <x v="1"/>
    <n v="451.58871020931764"/>
    <n v="320"/>
    <n v="0.70860938895411174"/>
    <n v="0"/>
    <n v="-320"/>
    <s v=""/>
    <n v="0"/>
    <x v="1"/>
    <x v="2"/>
    <s v="Pend"/>
    <s v="Pend"/>
  </r>
  <r>
    <n v="1"/>
    <s v="SO18255"/>
    <s v="P371718"/>
    <s v="INV13750"/>
    <s v="Covia Corp - Guion"/>
    <d v="2025-11-18T10:35:57"/>
    <d v="2025-12-09T09:12:17"/>
    <d v="2025-12-12T00:00:00"/>
    <s v="Aleksandar Stankovic"/>
    <s v="USD"/>
    <n v="0.72376393522263116"/>
    <n v="4181.3219099803691"/>
    <n v="0"/>
    <n v="3026.29"/>
    <n v="3026.29"/>
    <m/>
    <n v="3026.29"/>
    <s v="Delivered"/>
    <m/>
    <n v="1"/>
    <n v="11"/>
    <n v="2025"/>
    <s v=""/>
    <s v=""/>
    <n v="0.72376393522263105"/>
    <x v="1024"/>
    <d v="2025-11-18T10:35:57"/>
    <x v="1167"/>
    <s v="Approved"/>
    <s v="Pending"/>
    <s v="P371718"/>
    <x v="141"/>
    <x v="1"/>
    <n v="4181.3219099803691"/>
    <n v="3026.29"/>
    <n v="0.72376393522263105"/>
    <n v="0"/>
    <n v="-3026.29"/>
    <s v=""/>
    <n v="0"/>
    <x v="1"/>
    <x v="2"/>
    <s v="Pend"/>
    <s v="Pend"/>
  </r>
  <r>
    <n v="0"/>
    <s v="SO18259"/>
    <s v="4500623851"/>
    <m/>
    <s v="Resolute Forest Products - Dolbeau"/>
    <d v="2025-11-18T14:54:39"/>
    <d v="2025-11-25T18:01:55"/>
    <d v="2026-03-03T00:00:00"/>
    <s v="Ian Trottier"/>
    <s v="CAD"/>
    <n v="1"/>
    <n v="21148.98"/>
    <n v="0"/>
    <n v="14980.40510847853"/>
    <n v="20141.89"/>
    <n v="1007.09"/>
    <n v="21148.98"/>
    <s v="To Deliver"/>
    <m/>
    <n v="0"/>
    <n v="11"/>
    <n v="2025"/>
    <s v=""/>
    <s v=""/>
    <n v="0.70832754622107208"/>
    <x v="1025"/>
    <d v="2025-11-18T14:54:39"/>
    <x v="54"/>
    <s v="Not invoiced"/>
    <s v="Pending"/>
    <s v="4500623851"/>
    <x v="55"/>
    <x v="0"/>
    <n v="20141.89"/>
    <n v="14267.055519954749"/>
    <n v="0.70832754622107208"/>
    <n v="0"/>
    <n v="0"/>
    <n v="20141.89"/>
    <s v=""/>
    <x v="1"/>
    <x v="2"/>
    <s v="Pend"/>
    <s v="Pend"/>
  </r>
  <r>
    <n v="1"/>
    <s v="SO18260"/>
    <s v="Warranty Replacment"/>
    <s v="INV13679"/>
    <s v="Covia Corp - Junction City"/>
    <d v="2025-11-18T15:29:39"/>
    <d v="2025-11-18T15:29:58"/>
    <d v="2025-11-21T00:00:00"/>
    <s v="Marlen Martinez"/>
    <s v="USD"/>
    <n v="0.7129261885474989"/>
    <n v="0"/>
    <n v="0"/>
    <n v="0"/>
    <m/>
    <m/>
    <m/>
    <s v="Delivered"/>
    <m/>
    <n v="1"/>
    <n v="11"/>
    <n v="2025"/>
    <n v="1"/>
    <n v="1900"/>
    <e v="#DIV/0!"/>
    <x v="1026"/>
    <d v="2025-11-18T15:29:39"/>
    <x v="1168"/>
    <s v="Paid"/>
    <d v="1899-12-30T00:00:00"/>
    <s v="Warranty Replacment"/>
    <x v="6"/>
    <x v="1"/>
    <n v="0"/>
    <n v="0"/>
    <n v="0"/>
    <n v="0"/>
    <n v="0"/>
    <s v=""/>
    <n v="0"/>
    <x v="0"/>
    <x v="0"/>
    <s v="Pend"/>
    <s v="Pend"/>
  </r>
  <r>
    <n v="0"/>
    <s v="SO18262"/>
    <s v="326566"/>
    <m/>
    <s v="Gibraltar Mine (Canada)"/>
    <d v="2025-11-18T17:58:55"/>
    <d v="2025-11-18T17:59:05"/>
    <d v="2026-03-10T00:00:00"/>
    <s v="Ian Trottier"/>
    <s v="CAD"/>
    <n v="1"/>
    <n v="1470"/>
    <n v="0"/>
    <n v="1050.2660702405749"/>
    <n v="1400"/>
    <n v="70"/>
    <n v="1470"/>
    <s v="Processing"/>
    <m/>
    <n v="0"/>
    <n v="11"/>
    <n v="2025"/>
    <s v=""/>
    <s v=""/>
    <n v="0.71446671444937071"/>
    <x v="1027"/>
    <d v="2025-11-18T17:58:55"/>
    <x v="54"/>
    <s v="Not invoiced"/>
    <s v="Pending"/>
    <s v="326566"/>
    <x v="11"/>
    <x v="0"/>
    <n v="1400"/>
    <n v="1000.2534002291189"/>
    <n v="0.71446671444937071"/>
    <n v="0"/>
    <n v="0"/>
    <n v="1400"/>
    <s v=""/>
    <x v="1"/>
    <x v="2"/>
    <s v="Pend"/>
    <s v="Pend"/>
  </r>
  <r>
    <n v="1"/>
    <s v="SO18264"/>
    <s v="6500024345"/>
    <s v="INV13707"/>
    <s v="Wesdome Gold Mines Ltd - Eagle River Mine"/>
    <d v="2025-11-19T09:38:15"/>
    <d v="2025-11-25T17:51:09"/>
    <d v="2026-03-17T00:00:00"/>
    <s v="Ian Trottier"/>
    <s v="CAD"/>
    <n v="1"/>
    <n v="33805.22"/>
    <n v="0"/>
    <n v="23945.168532063512"/>
    <n v="29916.12"/>
    <n v="3889.1"/>
    <n v="33805.22"/>
    <s v="Processing"/>
    <m/>
    <n v="1"/>
    <n v="11"/>
    <n v="2025"/>
    <n v="12"/>
    <n v="2025"/>
    <n v="0.70832754622107208"/>
    <x v="1028"/>
    <d v="2025-11-19T09:38:15"/>
    <x v="1169"/>
    <s v="Paid"/>
    <d v="2025-12-12T00:00:00"/>
    <s v="6500024345"/>
    <x v="0"/>
    <x v="0"/>
    <n v="29916.12"/>
    <n v="21190.411872055138"/>
    <n v="0.70832754622107208"/>
    <n v="-27707.01"/>
    <n v="0"/>
    <n v="2209.1100000000006"/>
    <s v=""/>
    <x v="0"/>
    <x v="0"/>
    <s v="Pend"/>
    <s v="Pend"/>
  </r>
  <r>
    <n v="2"/>
    <s v="SO18265"/>
    <s v="PO-008449"/>
    <s v="INV13702"/>
    <s v="Sling-Choker Manufacturing - Timmins"/>
    <d v="2025-11-19T09:39:51"/>
    <d v="2025-11-21T15:48:47"/>
    <m/>
    <s v="Wilka Nuñez"/>
    <s v="CAD"/>
    <n v="1"/>
    <n v="3971.61"/>
    <n v="3971.61"/>
    <n v="3971.61"/>
    <n v="3514.7"/>
    <n v="456.91"/>
    <n v="3971.61"/>
    <s v="Delivered"/>
    <m/>
    <n v="2"/>
    <n v="11"/>
    <n v="2025"/>
    <n v="12"/>
    <n v="2025"/>
    <n v="1"/>
    <x v="1029"/>
    <d v="2025-11-19T09:39:51"/>
    <x v="1170"/>
    <s v="Paid"/>
    <d v="2025-12-31T00:00:00"/>
    <s v="PO-008449"/>
    <x v="3"/>
    <x v="0"/>
    <n v="3514.7"/>
    <n v="2503.7511664098038"/>
    <n v="0.71236554084553561"/>
    <n v="-1589.47"/>
    <n v="0"/>
    <n v="1925.2299999999998"/>
    <s v=""/>
    <x v="0"/>
    <x v="1"/>
    <s v="Pend"/>
    <s v="Pend"/>
  </r>
  <r>
    <m/>
    <m/>
    <m/>
    <s v="INV13805"/>
    <m/>
    <m/>
    <m/>
    <m/>
    <m/>
    <m/>
    <m/>
    <m/>
    <m/>
    <m/>
    <m/>
    <m/>
    <m/>
    <m/>
    <m/>
    <n v="2"/>
    <n v="11"/>
    <n v="2025"/>
    <s v=""/>
    <s v=""/>
    <n v="1"/>
    <x v="1029"/>
    <d v="2025-11-19T09:39:51"/>
    <x v="1171"/>
    <s v="Approved"/>
    <s v="Pending"/>
    <s v="PO-008449"/>
    <x v="3"/>
    <x v="0"/>
    <n v="0"/>
    <n v="0"/>
    <n v="0"/>
    <n v="-1925.23"/>
    <n v="0"/>
    <n v="-1925.23"/>
    <s v=""/>
    <x v="1"/>
    <x v="1"/>
    <s v="Pend"/>
    <s v="Pend"/>
  </r>
  <r>
    <n v="0"/>
    <s v="SO18267"/>
    <s v="PO 607078"/>
    <m/>
    <s v="Sealtrac Inc."/>
    <d v="2025-11-19T16:43:38"/>
    <d v="2025-11-26T14:17:25"/>
    <d v="2026-01-14T00:00:00"/>
    <s v="Leriel Reyes"/>
    <s v="CAD"/>
    <n v="1"/>
    <n v="6371.36"/>
    <n v="0"/>
    <n v="4534.3424628201174"/>
    <n v="5638.37"/>
    <n v="732.99"/>
    <n v="6371.36"/>
    <s v="Processing"/>
    <m/>
    <n v="0"/>
    <n v="11"/>
    <n v="2025"/>
    <s v=""/>
    <s v=""/>
    <n v="0.71167575883643641"/>
    <x v="1030"/>
    <d v="2025-11-19T16:43:38"/>
    <x v="54"/>
    <s v="Not invoiced"/>
    <s v="Pending"/>
    <s v="PO 607078"/>
    <x v="50"/>
    <x v="0"/>
    <n v="5638.37"/>
    <n v="4012.691248350598"/>
    <n v="0.71167575883643641"/>
    <n v="0"/>
    <n v="0"/>
    <n v="5638.37"/>
    <s v=""/>
    <x v="1"/>
    <x v="2"/>
    <s v="Pend"/>
    <s v="Pend"/>
  </r>
  <r>
    <n v="1"/>
    <s v="SO18270"/>
    <s v="OC00229"/>
    <s v="INV13819"/>
    <s v="Dynapro Pumps México S de RL de CV"/>
    <d v="2025-11-19T19:22:48"/>
    <d v="2025-11-19T19:22:05"/>
    <d v="2025-11-19T00:00:00"/>
    <s v="Yannett Yeomans"/>
    <s v="USD"/>
    <n v="0.71277700095248819"/>
    <n v="310.0548975411333"/>
    <n v="0"/>
    <n v="221"/>
    <n v="221"/>
    <m/>
    <n v="221"/>
    <s v="Delivered"/>
    <m/>
    <n v="1"/>
    <n v="11"/>
    <n v="2025"/>
    <s v=""/>
    <s v=""/>
    <n v="0.71277700095248819"/>
    <x v="1031"/>
    <d v="2025-11-19T19:22:48"/>
    <x v="1172"/>
    <s v="Not invoiced"/>
    <s v="Pending"/>
    <s v="OC00229"/>
    <x v="54"/>
    <x v="1"/>
    <n v="310.0548975411333"/>
    <n v="221"/>
    <n v="0.71277700095248819"/>
    <n v="0"/>
    <n v="0"/>
    <s v=""/>
    <n v="221"/>
    <x v="1"/>
    <x v="2"/>
    <s v="Pend"/>
    <s v="Pend"/>
  </r>
  <r>
    <n v="1"/>
    <s v="SO18271"/>
    <s v="SUD1006067"/>
    <s v="INV13784"/>
    <s v="Process and Steam Specialties"/>
    <d v="2025-11-20T10:09:57"/>
    <d v="2025-11-25T12:51:57"/>
    <d v="2026-01-27T00:00:00"/>
    <s v="Wilka Nuñez"/>
    <s v="CAD"/>
    <n v="1"/>
    <n v="403.14"/>
    <n v="0"/>
    <n v="285.55516698356303"/>
    <n v="356.76"/>
    <n v="46.38"/>
    <n v="403.14"/>
    <s v="Delivered"/>
    <m/>
    <n v="1"/>
    <n v="11"/>
    <n v="2025"/>
    <s v=""/>
    <s v=""/>
    <n v="0.70832754622107219"/>
    <x v="1032"/>
    <d v="2025-11-20T10:09:57"/>
    <x v="1173"/>
    <s v="Approved"/>
    <s v="Pending"/>
    <s v="SUD1006067"/>
    <x v="143"/>
    <x v="0"/>
    <n v="356.76"/>
    <n v="252.70293538982972"/>
    <n v="0.70832754622107219"/>
    <n v="-356.76"/>
    <n v="0"/>
    <n v="0"/>
    <s v=""/>
    <x v="1"/>
    <x v="2"/>
    <s v="Pend"/>
    <s v="Pend"/>
  </r>
  <r>
    <n v="1"/>
    <s v="SO18272"/>
    <s v="4380 Order switched from Qty 3 to 1 as per Bobby."/>
    <s v="INV13667"/>
    <s v="Middle Georgia Fluid Sealing LLC"/>
    <d v="2025-11-20T10:45:43"/>
    <d v="2025-11-20T12:03:21"/>
    <d v="2025-12-02T00:00:00"/>
    <s v="Ian Trottier"/>
    <s v="USD"/>
    <n v="0.71446671444937049"/>
    <n v="1804.8286560050481"/>
    <n v="0"/>
    <n v="1289.49"/>
    <n v="1289.49"/>
    <m/>
    <n v="1289.49"/>
    <s v="Processing"/>
    <m/>
    <n v="1"/>
    <n v="11"/>
    <n v="2025"/>
    <n v="12"/>
    <n v="2025"/>
    <n v="0.7144667144493706"/>
    <x v="1033"/>
    <d v="2025-11-20T10:45:43"/>
    <x v="1174"/>
    <s v="Paid"/>
    <d v="2025-12-12T00:00:00"/>
    <s v="4380 Order switched from Qty 3 to 1 as per Bobby."/>
    <x v="119"/>
    <x v="1"/>
    <n v="1804.8286560050483"/>
    <n v="1289.49"/>
    <n v="0.71446671444937049"/>
    <n v="0"/>
    <n v="-1289.49"/>
    <s v=""/>
    <n v="0"/>
    <x v="0"/>
    <x v="0"/>
    <s v="Pend"/>
    <s v="Pend"/>
  </r>
  <r>
    <n v="1"/>
    <s v="SO18274"/>
    <s v="PO-0021326"/>
    <s v="INV13743"/>
    <s v="MAB Equipment Company Inc."/>
    <d v="2025-11-20T12:21:27"/>
    <d v="2025-12-05T13:30:22"/>
    <d v="2025-12-12T00:00:00"/>
    <s v="Alexis Gil Lamadrid"/>
    <s v="USD"/>
    <n v="0.71669614463588371"/>
    <n v="2544.8441625517871"/>
    <n v="0"/>
    <n v="1823.88"/>
    <n v="1823.88"/>
    <m/>
    <n v="1823.88"/>
    <s v="Delivered"/>
    <m/>
    <n v="1"/>
    <n v="11"/>
    <n v="2025"/>
    <s v=""/>
    <s v=""/>
    <n v="0.71669614463588371"/>
    <x v="1034"/>
    <d v="2025-11-20T12:21:27"/>
    <x v="1175"/>
    <s v="Approved"/>
    <s v="Pending"/>
    <s v="PO-0021326"/>
    <x v="67"/>
    <x v="1"/>
    <n v="2544.8441625517871"/>
    <n v="1823.88"/>
    <n v="0.71669614463588371"/>
    <n v="0"/>
    <n v="-1823.88"/>
    <s v=""/>
    <n v="0"/>
    <x v="1"/>
    <x v="2"/>
    <s v="Pend"/>
    <s v="Pend"/>
  </r>
  <r>
    <n v="0"/>
    <s v="SO18275"/>
    <s v="1035349"/>
    <m/>
    <s v="Thunder Bay Pulp and Paper Inc"/>
    <d v="2025-11-20T12:28:14"/>
    <d v="2025-11-20T16:30:37"/>
    <d v="2026-02-19T00:00:00"/>
    <s v="Ian Trottier"/>
    <s v="CAD"/>
    <n v="1"/>
    <n v="5869.69"/>
    <n v="0"/>
    <n v="4164.8044157651211"/>
    <n v="5194.42"/>
    <n v="675.27"/>
    <n v="5869.69"/>
    <s v="Processing"/>
    <m/>
    <n v="0"/>
    <n v="11"/>
    <n v="2025"/>
    <s v=""/>
    <s v=""/>
    <n v="0.70954418645024209"/>
    <x v="1035"/>
    <d v="2025-11-20T12:28:14"/>
    <x v="54"/>
    <s v="Not invoiced"/>
    <s v="Pending"/>
    <s v="1035349"/>
    <x v="93"/>
    <x v="0"/>
    <n v="5194.42"/>
    <n v="3685.6705129808665"/>
    <n v="0.70954418645024209"/>
    <n v="0"/>
    <n v="0"/>
    <n v="5194.42"/>
    <s v=""/>
    <x v="1"/>
    <x v="2"/>
    <s v="Pend"/>
    <s v="Pend"/>
  </r>
  <r>
    <n v="1"/>
    <s v="SO18276"/>
    <s v="4512534698"/>
    <s v="INV13777"/>
    <s v="PT Vale Indonesia Tbk."/>
    <d v="2025-11-20T12:55:53"/>
    <d v="2025-11-20T12:56:00"/>
    <d v="2026-01-20T00:00:00"/>
    <s v="Ian Trottier"/>
    <s v="USD"/>
    <n v="0.71446671444937049"/>
    <n v="1111.318391664928"/>
    <n v="0"/>
    <n v="794"/>
    <n v="794"/>
    <m/>
    <n v="794"/>
    <s v="Delivered"/>
    <m/>
    <n v="1"/>
    <n v="11"/>
    <n v="2025"/>
    <s v=""/>
    <s v=""/>
    <n v="0.71446671444937071"/>
    <x v="1036"/>
    <d v="2025-11-20T12:55:53"/>
    <x v="1176"/>
    <s v="Approved"/>
    <s v="Pending"/>
    <s v="4512534698"/>
    <x v="42"/>
    <x v="1"/>
    <n v="1111.3183916649284"/>
    <n v="794"/>
    <n v="0.71446671444937038"/>
    <n v="0"/>
    <n v="-794"/>
    <s v=""/>
    <n v="0"/>
    <x v="1"/>
    <x v="2"/>
    <s v="Pend"/>
    <s v="Pend"/>
  </r>
  <r>
    <n v="1"/>
    <s v="SO18280"/>
    <s v="PO-40-1019953"/>
    <s v="INV13782"/>
    <s v="Canadian Bearings Ltd."/>
    <d v="2025-11-20T14:53:32"/>
    <d v="2025-12-12T14:37:08"/>
    <d v="2025-12-17T00:00:00"/>
    <s v="Aleksandar Stankovic"/>
    <s v="CAD"/>
    <n v="1"/>
    <n v="2143.0500000000002"/>
    <n v="0"/>
    <n v="1554.553373287768"/>
    <n v="2041"/>
    <n v="102.05"/>
    <n v="2143.0500000000002"/>
    <s v="Delivered"/>
    <m/>
    <n v="1"/>
    <n v="11"/>
    <n v="2025"/>
    <s v=""/>
    <s v=""/>
    <n v="0.72539295550162985"/>
    <x v="1037"/>
    <d v="2025-11-20T14:53:32"/>
    <x v="1177"/>
    <s v="Approved"/>
    <s v="Pending"/>
    <s v="PO-40-1019953"/>
    <x v="38"/>
    <x v="0"/>
    <n v="2041"/>
    <n v="1480.5270221788264"/>
    <n v="0.72539295550162985"/>
    <n v="-2041"/>
    <n v="0"/>
    <n v="0"/>
    <s v=""/>
    <x v="1"/>
    <x v="2"/>
    <s v="Pend"/>
    <s v="Pend"/>
  </r>
  <r>
    <n v="1"/>
    <s v="SO18281"/>
    <s v="66821"/>
    <s v="INV13697"/>
    <s v="Harvey Bearings, Harvey Bearings"/>
    <d v="2025-11-20T15:05:50"/>
    <d v="2025-11-24T11:37:15"/>
    <d v="2025-12-01T00:00:00"/>
    <s v="Alexis Gil Lamadrid"/>
    <s v="CAD"/>
    <n v="1"/>
    <n v="792.08"/>
    <n v="0"/>
    <n v="561.27532480277284"/>
    <n v="754.36"/>
    <n v="37.72"/>
    <n v="792.08"/>
    <s v="Delivered"/>
    <m/>
    <n v="1"/>
    <n v="11"/>
    <n v="2025"/>
    <n v="12"/>
    <n v="2025"/>
    <n v="0.70860938895411174"/>
    <x v="1038"/>
    <d v="2025-11-20T15:05:50"/>
    <x v="1178"/>
    <s v="Paid"/>
    <d v="2025-12-08T00:00:00"/>
    <s v="66821"/>
    <x v="157"/>
    <x v="0"/>
    <n v="754.36"/>
    <n v="534.54657865142372"/>
    <n v="0.70860938895411174"/>
    <n v="-754.36"/>
    <n v="0"/>
    <n v="0"/>
    <s v=""/>
    <x v="0"/>
    <x v="0"/>
    <s v="Pend"/>
    <s v="Pend"/>
  </r>
  <r>
    <n v="1"/>
    <s v="SO18285"/>
    <s v="C003711361"/>
    <s v="INV13723"/>
    <s v="Glencore Canada Corporation - Rouyn-Noranda"/>
    <d v="2025-11-21T09:47:57"/>
    <d v="2025-11-21T09:53:18"/>
    <d v="2025-12-12T00:00:00"/>
    <s v="Ian Trottier"/>
    <s v="CAD"/>
    <n v="1"/>
    <n v="834.4"/>
    <n v="834.4"/>
    <n v="834.4"/>
    <n v="798.91"/>
    <n v="35.49"/>
    <n v="834.4"/>
    <s v="Delivered"/>
    <m/>
    <n v="1"/>
    <n v="11"/>
    <n v="2025"/>
    <s v=""/>
    <s v=""/>
    <n v="1"/>
    <x v="1039"/>
    <d v="2025-11-21T09:47:57"/>
    <x v="1179"/>
    <s v="Approved"/>
    <s v="Pending"/>
    <s v="C003711361"/>
    <x v="81"/>
    <x v="0"/>
    <n v="798.91"/>
    <n v="569.11595423690687"/>
    <n v="0.71236554084553572"/>
    <n v="-709.78"/>
    <n v="0"/>
    <n v="89.13"/>
    <s v=""/>
    <x v="1"/>
    <x v="2"/>
    <s v="Pend"/>
    <s v="Pend"/>
  </r>
  <r>
    <n v="0"/>
    <s v="SO18286"/>
    <s v="4512704234"/>
    <m/>
    <s v="PT Vale Indonesia Tbk."/>
    <d v="2025-11-21T13:18:38"/>
    <d v="2026-01-05T11:28:38"/>
    <d v="2026-04-27T00:00:00"/>
    <s v="Ian Trottier"/>
    <s v="USD"/>
    <n v="0.7282990074408402"/>
    <n v="5306.5704614652186"/>
    <n v="0"/>
    <n v="3864.77"/>
    <n v="3864.77"/>
    <m/>
    <n v="3864.77"/>
    <s v="To Deliver"/>
    <m/>
    <n v="0"/>
    <n v="11"/>
    <n v="2025"/>
    <s v=""/>
    <s v=""/>
    <n v="0.7282990074408402"/>
    <x v="1040"/>
    <d v="2025-11-21T13:18:38"/>
    <x v="54"/>
    <s v="Not invoiced"/>
    <s v="Pending"/>
    <s v="4512704234"/>
    <x v="42"/>
    <x v="1"/>
    <n v="5306.5704614652186"/>
    <n v="3864.77"/>
    <n v="0.7282990074408402"/>
    <n v="0"/>
    <n v="0"/>
    <s v=""/>
    <n v="3864.77"/>
    <x v="1"/>
    <x v="2"/>
    <s v="Pend"/>
    <s v="Pend"/>
  </r>
  <r>
    <n v="0"/>
    <s v="SO18287"/>
    <s v="OC00231"/>
    <m/>
    <s v="Dynapro Pumps México S de RL de CV"/>
    <d v="2025-11-21T15:15:57"/>
    <d v="2025-11-21T15:16:00"/>
    <d v="2025-12-05T00:00:00"/>
    <s v="Yannett Yeomans"/>
    <s v="USD"/>
    <n v="0.71166354456386371"/>
    <n v="421.54751678878279"/>
    <n v="0"/>
    <n v="300"/>
    <n v="300"/>
    <m/>
    <n v="300"/>
    <s v="Processing"/>
    <m/>
    <n v="0"/>
    <n v="11"/>
    <n v="2025"/>
    <s v=""/>
    <s v=""/>
    <n v="0.71166354456386371"/>
    <x v="1041"/>
    <d v="2025-11-21T15:15:57"/>
    <x v="54"/>
    <s v="Not invoiced"/>
    <s v="Pending"/>
    <s v="OC00231"/>
    <x v="54"/>
    <x v="1"/>
    <n v="421.54751678878279"/>
    <n v="300"/>
    <n v="0.71166354456386371"/>
    <n v="0"/>
    <n v="0"/>
    <s v=""/>
    <n v="300"/>
    <x v="1"/>
    <x v="2"/>
    <s v="Pend"/>
    <s v="Pend"/>
  </r>
  <r>
    <n v="1"/>
    <s v="SO18289"/>
    <s v="C003711363"/>
    <s v="INV13699"/>
    <s v="Glencore Canada Corporation - Rouyn-Noranda"/>
    <d v="2025-11-21T17:42:21"/>
    <d v="2025-11-21T17:43:08"/>
    <d v="2025-11-26T00:00:00"/>
    <s v="Ian Trottier"/>
    <s v="CAD"/>
    <n v="1"/>
    <n v="1920.14"/>
    <n v="1920.14"/>
    <n v="1920.14"/>
    <n v="1828.7"/>
    <n v="91.44"/>
    <n v="1920.14"/>
    <s v="Delivered"/>
    <m/>
    <n v="1"/>
    <n v="11"/>
    <n v="2025"/>
    <s v=""/>
    <s v=""/>
    <n v="1"/>
    <x v="1042"/>
    <d v="2025-11-21T17:42:21"/>
    <x v="1180"/>
    <s v="Approved"/>
    <s v="Pending"/>
    <s v="C003711363"/>
    <x v="81"/>
    <x v="0"/>
    <n v="1828.7"/>
    <n v="1302.702864544231"/>
    <n v="0.71236554084553561"/>
    <n v="-1828.7"/>
    <n v="0"/>
    <n v="0"/>
    <s v=""/>
    <x v="1"/>
    <x v="2"/>
    <s v="Pend"/>
    <s v="Pend"/>
  </r>
  <r>
    <n v="1"/>
    <s v="SO18292"/>
    <s v="4500623506"/>
    <s v="INV13729"/>
    <s v="Resolute Forest Products - Saint-Felicien"/>
    <d v="2025-11-24T09:02:01"/>
    <d v="2025-11-24T09:05:48"/>
    <d v="2025-11-26T00:00:00"/>
    <s v="Ian Trottier"/>
    <s v="CAD"/>
    <n v="1"/>
    <n v="3136.64"/>
    <n v="0"/>
    <n v="2222.652553769025"/>
    <n v="2987.28"/>
    <n v="149.36000000000001"/>
    <n v="3136.64"/>
    <s v="Delivered"/>
    <m/>
    <n v="1"/>
    <n v="11"/>
    <n v="2025"/>
    <s v=""/>
    <s v=""/>
    <n v="0.70860938895411174"/>
    <x v="1043"/>
    <d v="2025-11-24T09:02:01"/>
    <x v="1181"/>
    <s v="Approved"/>
    <s v="Pending"/>
    <s v="4500623506"/>
    <x v="46"/>
    <x v="0"/>
    <n v="2987.28"/>
    <n v="2116.8146554348391"/>
    <n v="0.70860938895411174"/>
    <n v="-2987.28"/>
    <n v="0"/>
    <n v="0"/>
    <s v=""/>
    <x v="1"/>
    <x v="2"/>
    <s v="Pend"/>
    <s v="Pend"/>
  </r>
  <r>
    <n v="1"/>
    <s v="SO18293"/>
    <s v="4500623507"/>
    <s v="INV13728"/>
    <s v="Resolute Forest Products - Saint-Felicien"/>
    <d v="2025-11-24T09:19:15"/>
    <d v="2025-11-24T09:20:33"/>
    <d v="2025-11-26T00:00:00"/>
    <s v="Ian Trottier"/>
    <s v="CAD"/>
    <n v="1"/>
    <n v="632.49"/>
    <n v="0"/>
    <n v="448.18835241958612"/>
    <n v="559.73"/>
    <n v="72.760000000000005"/>
    <n v="632.49"/>
    <s v="Delivered"/>
    <m/>
    <n v="1"/>
    <n v="11"/>
    <n v="2025"/>
    <s v=""/>
    <s v=""/>
    <n v="0.70860938895411174"/>
    <x v="1044"/>
    <d v="2025-11-24T09:19:15"/>
    <x v="1182"/>
    <s v="Approved"/>
    <s v="Pending"/>
    <s v="4500623507"/>
    <x v="46"/>
    <x v="0"/>
    <n v="559.73"/>
    <n v="396.62993327928496"/>
    <n v="0.70860938895411174"/>
    <n v="-559.73"/>
    <n v="0"/>
    <n v="0"/>
    <s v=""/>
    <x v="1"/>
    <x v="2"/>
    <s v="Pend"/>
    <s v="Pend"/>
  </r>
  <r>
    <n v="0"/>
    <s v="SO18295"/>
    <s v="1066"/>
    <m/>
    <s v="Mill-Right Mine Services Inc."/>
    <d v="2025-11-24T09:28:43"/>
    <d v="2025-12-01T10:36:44"/>
    <d v="2026-03-08T00:00:00"/>
    <s v="Amanda Qiao"/>
    <s v="CAD"/>
    <n v="1"/>
    <n v="4475"/>
    <n v="0"/>
    <n v="3200.5198199589918"/>
    <n v="4475"/>
    <m/>
    <n v="4475"/>
    <s v="Processing"/>
    <m/>
    <n v="0"/>
    <n v="11"/>
    <n v="2025"/>
    <s v=""/>
    <s v=""/>
    <n v="0.7151999597673725"/>
    <x v="1045"/>
    <d v="2025-11-24T09:28:43"/>
    <x v="54"/>
    <s v="Not invoiced"/>
    <s v="Pending"/>
    <s v="1066"/>
    <x v="30"/>
    <x v="0"/>
    <n v="4475"/>
    <n v="3200.5198199589918"/>
    <n v="0.7151999597673725"/>
    <n v="0"/>
    <n v="0"/>
    <n v="4475"/>
    <s v=""/>
    <x v="1"/>
    <x v="2"/>
    <s v="Pend"/>
    <s v="Pend"/>
  </r>
  <r>
    <n v="1"/>
    <s v="SO18296"/>
    <s v="607081"/>
    <s v="INV13700"/>
    <s v="Sealtrac Inc."/>
    <d v="2025-11-24T12:32:16"/>
    <d v="2025-11-24T12:32:38"/>
    <d v="2025-11-25T00:00:00"/>
    <s v="Ian Trottier"/>
    <s v="CAD"/>
    <n v="1"/>
    <n v="236.37"/>
    <n v="0"/>
    <n v="167.49400126708341"/>
    <n v="209.18"/>
    <n v="27.19"/>
    <n v="236.37"/>
    <s v="Delivered"/>
    <m/>
    <n v="1"/>
    <n v="11"/>
    <n v="2025"/>
    <n v="12"/>
    <n v="2025"/>
    <n v="0.70860938895411174"/>
    <x v="1046"/>
    <d v="2025-11-24T12:32:16"/>
    <x v="1183"/>
    <s v="Paid"/>
    <d v="2025-12-29T00:00:00"/>
    <s v="607081"/>
    <x v="50"/>
    <x v="0"/>
    <n v="209.18"/>
    <n v="148.2269119814211"/>
    <n v="0.70860938895411174"/>
    <n v="-209.18"/>
    <n v="0"/>
    <n v="0"/>
    <s v=""/>
    <x v="0"/>
    <x v="0"/>
    <s v="Pend"/>
    <s v="Pend"/>
  </r>
  <r>
    <n v="1"/>
    <s v="SO18297"/>
    <s v="4500919990"/>
    <s v="INV13737"/>
    <s v="Cameco Corporation - Blind River Refinery"/>
    <d v="2025-11-24T12:49:11"/>
    <d v="2025-11-28T11:34:25"/>
    <d v="2025-12-26T00:00:00"/>
    <s v="Ian Trottier"/>
    <s v="CAD"/>
    <n v="1"/>
    <n v="472.71"/>
    <n v="0"/>
    <n v="338.23359751671518"/>
    <n v="418.33"/>
    <n v="54.38"/>
    <n v="472.71"/>
    <s v="Delivered"/>
    <m/>
    <n v="1"/>
    <n v="11"/>
    <n v="2025"/>
    <s v=""/>
    <s v=""/>
    <n v="0.71552029260374261"/>
    <x v="1047"/>
    <d v="2025-11-24T12:49:11"/>
    <x v="1184"/>
    <s v="Approved"/>
    <s v="Pending"/>
    <s v="4500919990"/>
    <x v="92"/>
    <x v="0"/>
    <n v="418.33"/>
    <n v="299.32360400492365"/>
    <n v="0.71552029260374261"/>
    <n v="-418.33"/>
    <n v="0"/>
    <n v="0"/>
    <s v=""/>
    <x v="1"/>
    <x v="2"/>
    <s v="Pend"/>
    <s v="Pend"/>
  </r>
  <r>
    <n v="1"/>
    <s v="SO18298"/>
    <s v="4394"/>
    <s v="INV13680"/>
    <s v="Middle Georgia Fluid Sealing LLC"/>
    <d v="2025-11-24T12:57:07"/>
    <d v="2025-11-24T12:58:46"/>
    <d v="2025-11-26T00:00:00"/>
    <s v="Ian Trottier"/>
    <s v="USD"/>
    <n v="0.70945799807796472"/>
    <n v="8739.9113362572807"/>
    <n v="0"/>
    <n v="6200.6"/>
    <n v="6200.6"/>
    <m/>
    <n v="6200.6"/>
    <s v="Delivered"/>
    <m/>
    <n v="1"/>
    <n v="11"/>
    <n v="2025"/>
    <n v="12"/>
    <n v="2025"/>
    <n v="0.70945799807796472"/>
    <x v="1048"/>
    <d v="2025-11-24T12:57:07"/>
    <x v="1185"/>
    <s v="Paid"/>
    <d v="2025-12-12T00:00:00"/>
    <s v="4394"/>
    <x v="119"/>
    <x v="1"/>
    <n v="8739.9113362572807"/>
    <n v="6200.6"/>
    <n v="0.70945799807796472"/>
    <n v="0"/>
    <n v="-6200.6"/>
    <s v=""/>
    <n v="0"/>
    <x v="0"/>
    <x v="0"/>
    <s v="Pend"/>
    <s v="Pend"/>
  </r>
  <r>
    <n v="1"/>
    <s v="SO18300"/>
    <s v="2100700060"/>
    <s v="INV13696"/>
    <s v="Wajax Limited - Noranda, Wajax Limited - Noranda"/>
    <d v="2025-11-24T13:30:12"/>
    <d v="2025-11-24T16:58:15"/>
    <d v="2025-12-01T00:00:00"/>
    <s v="Alexis Gil Lamadrid"/>
    <s v="CAD"/>
    <n v="1"/>
    <n v="1501.27"/>
    <n v="0"/>
    <n v="1063.814017355139"/>
    <n v="1429.78"/>
    <n v="71.489999999999995"/>
    <n v="1501.27"/>
    <s v="Delivered"/>
    <m/>
    <n v="1"/>
    <n v="11"/>
    <n v="2025"/>
    <n v="1"/>
    <n v="2026"/>
    <n v="0.70860938895411152"/>
    <x v="1049"/>
    <d v="2025-11-24T13:30:12"/>
    <x v="1186"/>
    <s v="Paid"/>
    <d v="2026-01-02T00:00:00"/>
    <s v="2100700060"/>
    <x v="51"/>
    <x v="0"/>
    <n v="1429.78"/>
    <n v="1013.1555321388096"/>
    <n v="0.70860938895411152"/>
    <n v="-1429.78"/>
    <n v="0"/>
    <n v="0"/>
    <s v=""/>
    <x v="0"/>
    <x v="0"/>
    <s v="Pend"/>
    <s v="Pend"/>
  </r>
  <r>
    <n v="1"/>
    <s v="SO18301"/>
    <s v="PO-008456"/>
    <s v="INV13703"/>
    <s v="Sling-Choker Manufacturing - Timmins"/>
    <d v="2025-11-24T13:32:45"/>
    <d v="2025-11-24T13:32:45"/>
    <d v="2025-11-26T00:00:00"/>
    <s v="Wilka Nuñez"/>
    <s v="CAD"/>
    <n v="1"/>
    <n v="2302.27"/>
    <n v="0"/>
    <n v="1631.4101379073829"/>
    <n v="2037.41"/>
    <n v="264.86"/>
    <n v="2302.27"/>
    <s v="Delivered"/>
    <m/>
    <n v="1"/>
    <n v="11"/>
    <n v="2025"/>
    <n v="12"/>
    <n v="2025"/>
    <n v="0.70860938895411174"/>
    <x v="1050"/>
    <d v="2025-11-24T13:32:45"/>
    <x v="1187"/>
    <s v="Paid"/>
    <d v="2025-12-31T00:00:00"/>
    <s v="PO-008456"/>
    <x v="3"/>
    <x v="0"/>
    <n v="2037.41"/>
    <n v="1443.7278551489969"/>
    <n v="0.70860938895411174"/>
    <n v="-2037.41"/>
    <n v="0"/>
    <n v="0"/>
    <s v=""/>
    <x v="0"/>
    <x v="0"/>
    <s v="Pend"/>
    <s v="Pend"/>
  </r>
  <r>
    <n v="0"/>
    <s v="SO18302"/>
    <s v="BC65-00082530"/>
    <m/>
    <s v="Motion Industries Inc. (Canada) - Prince George"/>
    <d v="2025-11-24T14:47:23"/>
    <d v="2025-11-27T17:43:28"/>
    <m/>
    <s v="Wilka Nuñez"/>
    <s v="CAD"/>
    <n v="1"/>
    <n v="6361.35"/>
    <n v="0"/>
    <n v="4533.636902597138"/>
    <n v="6058.43"/>
    <n v="302.92"/>
    <n v="6361.35"/>
    <s v="Processing"/>
    <m/>
    <n v="0"/>
    <n v="11"/>
    <n v="2025"/>
    <s v=""/>
    <s v=""/>
    <n v="0.71268471355877883"/>
    <x v="1051"/>
    <d v="2025-11-24T14:47:23"/>
    <x v="54"/>
    <s v="Not invoiced"/>
    <s v="Pending"/>
    <s v="BC65-00082530"/>
    <x v="41"/>
    <x v="0"/>
    <n v="6058.43"/>
    <n v="4317.7504491659129"/>
    <n v="0.71268471355877883"/>
    <n v="0"/>
    <n v="0"/>
    <n v="6058.43"/>
    <s v=""/>
    <x v="1"/>
    <x v="2"/>
    <s v="Pend"/>
    <s v="Pend"/>
  </r>
  <r>
    <n v="1"/>
    <s v="SO18305"/>
    <s v="4560073333"/>
    <s v="INV13773"/>
    <s v="Alamos Gold Inc"/>
    <d v="2025-11-25T09:05:40"/>
    <d v="2025-11-25T12:25:43"/>
    <d v="2025-12-12T00:00:00"/>
    <s v="Ian Trottier"/>
    <s v="CAD"/>
    <n v="1"/>
    <n v="1540.6"/>
    <n v="0"/>
    <n v="1091.249417708184"/>
    <n v="1363.36"/>
    <n v="177.24"/>
    <n v="1540.6"/>
    <s v="Delivered"/>
    <m/>
    <n v="1"/>
    <n v="11"/>
    <n v="2025"/>
    <s v=""/>
    <s v=""/>
    <n v="0.7083275462210723"/>
    <x v="1052"/>
    <d v="2025-11-25T09:05:40"/>
    <x v="1188"/>
    <s v="Approved"/>
    <s v="Pending"/>
    <s v="4560073333"/>
    <x v="129"/>
    <x v="0"/>
    <n v="1363.36"/>
    <n v="965.7054434159611"/>
    <n v="0.7083275462210723"/>
    <n v="-1363.36"/>
    <n v="0"/>
    <n v="0"/>
    <s v=""/>
    <x v="1"/>
    <x v="2"/>
    <s v="Pend"/>
    <s v="Pend"/>
  </r>
  <r>
    <n v="1"/>
    <s v="SO18307"/>
    <s v="PO-008461"/>
    <s v="INV13807"/>
    <s v="Sling-Choker Manufacturing - Timmins"/>
    <d v="2025-11-25T10:44:42"/>
    <d v="2025-11-25T11:00:11"/>
    <d v="2025-11-26T00:00:00"/>
    <s v="Wilka Nuñez"/>
    <s v="CAD"/>
    <n v="1"/>
    <n v="4545.91"/>
    <n v="0"/>
    <n v="3219.993275641833"/>
    <n v="4022.93"/>
    <n v="522.98"/>
    <n v="4545.91"/>
    <s v="Delivered"/>
    <m/>
    <n v="1"/>
    <n v="11"/>
    <n v="2025"/>
    <s v=""/>
    <s v=""/>
    <n v="0.70832754622107197"/>
    <x v="1053"/>
    <d v="2025-11-25T10:44:42"/>
    <x v="1189"/>
    <s v="Approved"/>
    <s v="Pending"/>
    <s v="PO-008461"/>
    <x v="3"/>
    <x v="0"/>
    <n v="4022.93"/>
    <n v="2849.5521355191368"/>
    <n v="0.70832754622107197"/>
    <n v="-4022.93"/>
    <n v="0"/>
    <n v="0"/>
    <s v=""/>
    <x v="1"/>
    <x v="2"/>
    <s v="Pend"/>
    <s v="Pend"/>
  </r>
  <r>
    <n v="0"/>
    <s v="SO18308"/>
    <s v="607975"/>
    <m/>
    <s v="Sealtrac Inc."/>
    <d v="2025-11-25T14:50:46"/>
    <d v="2025-11-26T14:41:02"/>
    <d v="2025-11-28T00:00:00"/>
    <s v="Ian Trottier"/>
    <s v="CAD"/>
    <n v="1"/>
    <n v="242.81"/>
    <n v="0"/>
    <n v="172.8019910030751"/>
    <n v="214.88"/>
    <n v="27.93"/>
    <n v="242.81"/>
    <s v="Delivered"/>
    <m/>
    <n v="0"/>
    <n v="11"/>
    <n v="2025"/>
    <s v=""/>
    <s v=""/>
    <n v="0.7116757588364363"/>
    <x v="1054"/>
    <d v="2025-11-25T14:50:46"/>
    <x v="54"/>
    <s v="Not invoiced"/>
    <s v="Pending"/>
    <s v="607975"/>
    <x v="50"/>
    <x v="0"/>
    <n v="214.88"/>
    <n v="152.92488705877344"/>
    <n v="0.7116757588364363"/>
    <n v="0"/>
    <n v="0"/>
    <n v="214.88"/>
    <s v=""/>
    <x v="1"/>
    <x v="2"/>
    <s v="Pend"/>
    <s v="Pend"/>
  </r>
  <r>
    <n v="1"/>
    <s v="SO18311"/>
    <s v="PO14241"/>
    <s v="INV13726"/>
    <s v="Manufacture Sling-Choker (Val-d’Or) Ltée"/>
    <d v="2025-11-25T19:07:05"/>
    <d v="2025-11-27T18:04:11"/>
    <d v="2025-12-11T00:00:00"/>
    <s v="Alexis Gil Lamadrid"/>
    <s v="CAD"/>
    <n v="1"/>
    <n v="1898.98"/>
    <n v="0"/>
    <n v="1353.3740173538499"/>
    <n v="1808.56"/>
    <n v="90.42"/>
    <n v="1898.98"/>
    <s v="Delivered"/>
    <m/>
    <n v="1"/>
    <n v="11"/>
    <n v="2025"/>
    <s v=""/>
    <s v=""/>
    <n v="0.71268471355877883"/>
    <x v="1055"/>
    <d v="2025-11-25T19:07:05"/>
    <x v="1190"/>
    <s v="Approved"/>
    <s v="Pending"/>
    <s v="PO14241"/>
    <x v="10"/>
    <x v="0"/>
    <n v="1808.56"/>
    <n v="1288.9330655538649"/>
    <n v="0.71268471355877883"/>
    <n v="-1808.56"/>
    <n v="0"/>
    <n v="0"/>
    <s v=""/>
    <x v="1"/>
    <x v="2"/>
    <s v="Pend"/>
    <s v="Pend"/>
  </r>
  <r>
    <n v="1"/>
    <s v="SO18313"/>
    <s v="PONV-25-2326"/>
    <s v="INV13781"/>
    <s v="Tech-Flow"/>
    <d v="2025-11-26T11:13:34"/>
    <d v="2025-11-26T15:08:23"/>
    <d v="2026-02-20T00:00:00"/>
    <s v="Alexis Gil Lamadrid"/>
    <s v="USD"/>
    <n v="0.70860938895411174"/>
    <n v="1725.915601831236"/>
    <n v="0"/>
    <n v="1223"/>
    <n v="1223"/>
    <m/>
    <n v="1223"/>
    <s v="Delivered"/>
    <m/>
    <n v="1"/>
    <n v="11"/>
    <n v="2025"/>
    <s v=""/>
    <s v=""/>
    <n v="0.70860938895411163"/>
    <x v="1056"/>
    <d v="2025-11-26T11:13:34"/>
    <x v="1191"/>
    <s v="Approved"/>
    <s v="Pending"/>
    <s v="PONV-25-2326"/>
    <x v="53"/>
    <x v="1"/>
    <n v="1725.9156018312358"/>
    <n v="1223"/>
    <n v="0.70860938895411174"/>
    <n v="0"/>
    <n v="-1223"/>
    <s v=""/>
    <n v="0"/>
    <x v="1"/>
    <x v="2"/>
    <s v="Pend"/>
    <s v="Pend"/>
  </r>
  <r>
    <n v="1"/>
    <s v="SO18314"/>
    <s v="PO-40-1019510"/>
    <s v="INV13718"/>
    <s v="Canadian Bearings Ltd."/>
    <d v="2025-11-26T11:45:52"/>
    <d v="2025-11-26T11:55:22"/>
    <d v="2025-11-14T00:00:00"/>
    <s v="Wilka Nuñez"/>
    <s v="CAD"/>
    <n v="1"/>
    <n v="293.48"/>
    <n v="0"/>
    <n v="208.86260170331741"/>
    <n v="279.5"/>
    <n v="13.98"/>
    <n v="293.48"/>
    <s v="Delivered"/>
    <m/>
    <n v="1"/>
    <n v="11"/>
    <n v="2025"/>
    <s v=""/>
    <s v=""/>
    <n v="0.71167575883643652"/>
    <x v="1057"/>
    <d v="2025-11-26T11:45:52"/>
    <x v="1192"/>
    <s v="Approved"/>
    <s v="Pending"/>
    <s v="PO-40-1019510"/>
    <x v="38"/>
    <x v="0"/>
    <n v="279.5"/>
    <n v="198.91337459478402"/>
    <n v="0.71167575883643652"/>
    <n v="-279.5"/>
    <n v="0"/>
    <n v="0"/>
    <s v=""/>
    <x v="1"/>
    <x v="2"/>
    <s v="Pend"/>
    <s v="Pend"/>
  </r>
  <r>
    <n v="1"/>
    <s v="SO18315"/>
    <s v="P371256"/>
    <s v="INV13712"/>
    <s v="Covia Corp - Junction City"/>
    <d v="2025-11-26T12:36:02"/>
    <d v="2025-11-26T12:36:37"/>
    <d v="2025-11-28T00:00:00"/>
    <s v="Marlen Martinez"/>
    <s v="USD"/>
    <n v="0.70860938895411174"/>
    <n v="1080.2284191150759"/>
    <n v="0"/>
    <n v="765.46"/>
    <n v="765.46"/>
    <m/>
    <n v="765.46"/>
    <s v="Delivered"/>
    <m/>
    <n v="1"/>
    <n v="11"/>
    <n v="2025"/>
    <s v=""/>
    <s v=""/>
    <n v="0.70860938895411174"/>
    <x v="1058"/>
    <d v="2025-11-26T12:36:02"/>
    <x v="1193"/>
    <s v="Approved"/>
    <s v="Pending"/>
    <s v="P371256"/>
    <x v="6"/>
    <x v="1"/>
    <n v="1080.2284191150759"/>
    <n v="765.46"/>
    <n v="0.70860938895411174"/>
    <n v="0"/>
    <n v="-765.46"/>
    <s v=""/>
    <n v="0"/>
    <x v="1"/>
    <x v="2"/>
    <s v="Pend"/>
    <s v="Pend"/>
  </r>
  <r>
    <n v="0"/>
    <s v="SO18316"/>
    <s v="4500919708"/>
    <m/>
    <s v="Cameco Corporation - Blind River Refinery"/>
    <d v="2025-11-26T14:35:55"/>
    <d v="2025-11-26T17:58:37"/>
    <d v="2025-11-28T00:00:00"/>
    <s v="Ian Trottier"/>
    <s v="CAD"/>
    <n v="1"/>
    <n v="519.66"/>
    <n v="0"/>
    <n v="369.82942483694251"/>
    <n v="459.88"/>
    <n v="59.78"/>
    <n v="519.66"/>
    <s v="Delivered"/>
    <m/>
    <n v="0"/>
    <n v="11"/>
    <n v="2025"/>
    <s v=""/>
    <s v=""/>
    <n v="0.71167575883643641"/>
    <x v="1059"/>
    <d v="2025-11-26T14:35:55"/>
    <x v="54"/>
    <s v="Not invoiced"/>
    <s v="Pending"/>
    <s v="4500919708"/>
    <x v="92"/>
    <x v="0"/>
    <n v="459.88"/>
    <n v="327.2854479737004"/>
    <n v="0.71167575883643652"/>
    <n v="0"/>
    <n v="0"/>
    <n v="459.88"/>
    <s v=""/>
    <x v="1"/>
    <x v="2"/>
    <s v="Pend"/>
    <s v="Pend"/>
  </r>
  <r>
    <n v="2"/>
    <s v="SO18318"/>
    <s v="PO-40-1019795"/>
    <s v="INV13797"/>
    <s v="Canadian Bearings Ltd."/>
    <d v="2025-11-26T15:23:58"/>
    <d v="2025-11-26T15:23:58"/>
    <d v="2025-12-10T00:00:00"/>
    <s v="Wilka Nuñez"/>
    <s v="CAD"/>
    <n v="1"/>
    <n v="499.24"/>
    <n v="0"/>
    <n v="355.29700584150248"/>
    <n v="475.47"/>
    <n v="23.77"/>
    <n v="499.24"/>
    <s v="Delivered"/>
    <m/>
    <n v="2"/>
    <n v="11"/>
    <n v="2025"/>
    <s v=""/>
    <s v=""/>
    <n v="0.7116757588364363"/>
    <x v="1060"/>
    <d v="2025-11-26T15:23:58"/>
    <x v="1194"/>
    <s v="Approved"/>
    <s v="Pending"/>
    <s v="PO-40-1019795"/>
    <x v="38"/>
    <x v="0"/>
    <n v="475.47"/>
    <n v="338.38047305396037"/>
    <n v="0.7116757588364363"/>
    <n v="-110.83"/>
    <n v="0"/>
    <n v="364.64000000000004"/>
    <s v=""/>
    <x v="1"/>
    <x v="1"/>
    <s v="Pend"/>
    <s v="Pend"/>
  </r>
  <r>
    <m/>
    <m/>
    <m/>
    <s v="INV13758"/>
    <m/>
    <m/>
    <m/>
    <m/>
    <m/>
    <m/>
    <m/>
    <m/>
    <m/>
    <m/>
    <m/>
    <m/>
    <m/>
    <m/>
    <m/>
    <n v="2"/>
    <n v="11"/>
    <n v="2025"/>
    <s v=""/>
    <s v=""/>
    <n v="0.7116757588364363"/>
    <x v="1060"/>
    <d v="2025-11-26T15:23:58"/>
    <x v="1195"/>
    <s v="Approved"/>
    <s v="Pending"/>
    <s v="PO-40-1019795"/>
    <x v="38"/>
    <x v="0"/>
    <n v="0"/>
    <n v="0"/>
    <n v="0"/>
    <n v="-364.64"/>
    <n v="0"/>
    <n v="-364.64"/>
    <s v=""/>
    <x v="1"/>
    <x v="1"/>
    <s v="Pend"/>
    <s v="Pend"/>
  </r>
  <r>
    <n v="1"/>
    <s v="SO18320"/>
    <s v="3413"/>
    <s v="INV13761"/>
    <s v="Les Pompes du St-Laurent Inc."/>
    <d v="2025-11-26T17:33:12"/>
    <d v="2025-11-27T10:50:52"/>
    <d v="2025-12-18T00:00:00"/>
    <s v="Ian Trottier"/>
    <s v="CAD"/>
    <n v="1"/>
    <n v="5301.19"/>
    <n v="0"/>
    <n v="3778.0770766706619"/>
    <n v="5048.75"/>
    <n v="252.44"/>
    <n v="5301.19"/>
    <s v="Delivered"/>
    <m/>
    <n v="1"/>
    <n v="11"/>
    <n v="2025"/>
    <s v=""/>
    <s v=""/>
    <n v="0.71268471355877872"/>
    <x v="1061"/>
    <d v="2025-11-26T17:33:12"/>
    <x v="1196"/>
    <s v="Approved"/>
    <s v="Pending"/>
    <s v="3413"/>
    <x v="7"/>
    <x v="0"/>
    <n v="5048.75"/>
    <n v="3598.166947579884"/>
    <n v="0.71268471355877872"/>
    <n v="-5048.75"/>
    <n v="0"/>
    <n v="0"/>
    <s v=""/>
    <x v="1"/>
    <x v="2"/>
    <s v="Pend"/>
    <s v="Pend"/>
  </r>
  <r>
    <n v="1"/>
    <s v="SO18322"/>
    <s v="7945"/>
    <s v="INV13745"/>
    <s v="Hyperflo, Hyperflo"/>
    <d v="2025-11-26T19:14:54"/>
    <d v="2025-11-04T19:14:54"/>
    <d v="2025-12-05T00:00:00"/>
    <s v="Alexis Gil Lamadrid"/>
    <s v="CAD"/>
    <n v="1"/>
    <n v="678.59"/>
    <n v="0"/>
    <n v="480.97169257113808"/>
    <n v="646.28"/>
    <n v="32.31"/>
    <n v="678.59"/>
    <s v="Delivered"/>
    <m/>
    <n v="1"/>
    <n v="11"/>
    <n v="2025"/>
    <s v=""/>
    <s v=""/>
    <n v="0.70878099083561219"/>
    <x v="1062"/>
    <d v="2025-11-26T19:14:54"/>
    <x v="1197"/>
    <s v="Approved"/>
    <s v="Pending"/>
    <s v="7945"/>
    <x v="97"/>
    <x v="0"/>
    <n v="646.28"/>
    <n v="458.0709787572394"/>
    <n v="0.70878099083561219"/>
    <n v="-646.28"/>
    <n v="0"/>
    <n v="0"/>
    <s v=""/>
    <x v="1"/>
    <x v="2"/>
    <s v="Pend"/>
    <s v="Pend"/>
  </r>
  <r>
    <n v="1"/>
    <s v="SO18323"/>
    <s v="3414"/>
    <s v="INV13722"/>
    <s v="Les Pompes du St-Laurent Inc."/>
    <d v="2025-11-27T09:47:30"/>
    <d v="2025-11-27T10:37:10"/>
    <d v="2025-11-28T00:00:00"/>
    <s v="Ian Trottier"/>
    <s v="CAD"/>
    <n v="1"/>
    <n v="2901.37"/>
    <n v="0"/>
    <n v="2067.7620473780339"/>
    <n v="2763.21"/>
    <n v="138.16"/>
    <n v="2901.37"/>
    <s v="Delivered"/>
    <m/>
    <n v="1"/>
    <n v="11"/>
    <n v="2025"/>
    <s v=""/>
    <s v=""/>
    <n v="0.71268471355877883"/>
    <x v="1063"/>
    <d v="2025-11-27T09:47:30"/>
    <x v="1198"/>
    <s v="Approved"/>
    <s v="Pending"/>
    <s v="3414"/>
    <x v="7"/>
    <x v="0"/>
    <n v="2763.21"/>
    <n v="1969.2975273527534"/>
    <n v="0.71268471355877883"/>
    <n v="-2763.21"/>
    <n v="0"/>
    <n v="0"/>
    <s v=""/>
    <x v="1"/>
    <x v="2"/>
    <s v="Pend"/>
    <s v="Pend"/>
  </r>
  <r>
    <n v="0"/>
    <s v="SO18324"/>
    <s v="PO-40-1019694"/>
    <m/>
    <s v="Canadian Bearings Ltd."/>
    <d v="2025-11-27T12:28:09"/>
    <d v="2025-12-03T10:48:42"/>
    <d v="2025-12-10T00:00:00"/>
    <s v="Alexis Gil Lamadrid"/>
    <s v="CAD"/>
    <n v="1"/>
    <n v="84.04"/>
    <n v="0"/>
    <n v="60.231143995199673"/>
    <n v="80.040000000000006"/>
    <n v="4"/>
    <n v="84.04"/>
    <s v="Delivered"/>
    <m/>
    <n v="0"/>
    <n v="11"/>
    <n v="2025"/>
    <s v=""/>
    <s v=""/>
    <n v="0.71669614463588371"/>
    <x v="1064"/>
    <d v="2025-11-27T12:28:09"/>
    <x v="54"/>
    <s v="Not invoiced"/>
    <s v="Pending"/>
    <s v="PO-40-1019694"/>
    <x v="38"/>
    <x v="0"/>
    <n v="80.040000000000006"/>
    <n v="57.364359416656136"/>
    <n v="0.71669614463588371"/>
    <n v="0"/>
    <n v="0"/>
    <n v="80.040000000000006"/>
    <s v=""/>
    <x v="1"/>
    <x v="2"/>
    <s v="Pend"/>
    <s v="Pend"/>
  </r>
  <r>
    <n v="0"/>
    <s v="SO18325"/>
    <s v="L68485-DS"/>
    <m/>
    <s v="Wild Rows Pump &amp; Compression LTD., Wild Rows Pump &amp; Compression LTD."/>
    <d v="2025-11-27T12:47:14"/>
    <d v="2025-11-27T17:30:59"/>
    <d v="2025-11-28T00:00:00"/>
    <s v="Wilka Nuñez"/>
    <s v="CAD"/>
    <n v="1"/>
    <n v="513.16"/>
    <n v="0"/>
    <n v="365.72128760982292"/>
    <n v="488.72"/>
    <n v="24.44"/>
    <n v="513.16"/>
    <s v="Delivered"/>
    <m/>
    <n v="0"/>
    <n v="11"/>
    <n v="2025"/>
    <s v=""/>
    <s v=""/>
    <n v="0.71268471355877883"/>
    <x v="1065"/>
    <d v="2025-11-27T12:47:14"/>
    <x v="54"/>
    <s v="Not invoiced"/>
    <s v="Pending"/>
    <s v="L68485-DS"/>
    <x v="100"/>
    <x v="0"/>
    <n v="488.72"/>
    <n v="348.30327321044643"/>
    <n v="0.71268471355877883"/>
    <n v="0"/>
    <n v="0"/>
    <n v="488.72"/>
    <s v=""/>
    <x v="1"/>
    <x v="2"/>
    <s v="Pend"/>
    <s v="Pend"/>
  </r>
  <r>
    <n v="1"/>
    <s v="SO18326"/>
    <s v="03R20852"/>
    <s v="INV13720"/>
    <s v="Moffatt Supply &amp; Specialties - Red Lake"/>
    <d v="2025-11-27T14:23:52"/>
    <d v="2025-11-27T17:25:33"/>
    <d v="2025-12-04T00:00:00"/>
    <s v="Alexis Gil Lamadrid"/>
    <s v="CAD"/>
    <n v="1"/>
    <n v="1219.24"/>
    <n v="0"/>
    <n v="868.93371015940545"/>
    <n v="1078.97"/>
    <n v="140.27000000000001"/>
    <n v="1219.24"/>
    <s v="Delivered"/>
    <m/>
    <n v="1"/>
    <n v="11"/>
    <n v="2025"/>
    <s v=""/>
    <s v=""/>
    <n v="0.71268471355877883"/>
    <x v="1066"/>
    <d v="2025-11-27T14:23:52"/>
    <x v="1199"/>
    <s v="Approved"/>
    <s v="Pending"/>
    <s v="03R20852"/>
    <x v="79"/>
    <x v="0"/>
    <n v="1078.97"/>
    <n v="768.96542538851565"/>
    <n v="0.71268471355877883"/>
    <n v="-1078.97"/>
    <n v="0"/>
    <n v="0"/>
    <s v=""/>
    <x v="1"/>
    <x v="2"/>
    <s v="Pend"/>
    <s v="Pend"/>
  </r>
  <r>
    <n v="1"/>
    <s v="SO18327"/>
    <s v="PO003528"/>
    <s v="INV13717"/>
    <s v="Eleazar General &amp; Industrial Supplies Limited"/>
    <d v="2025-11-27T15:32:55"/>
    <d v="2025-12-02T09:46:15"/>
    <d v="2025-12-02T00:00:00"/>
    <s v="Wilka Nuñez"/>
    <s v="USD"/>
    <n v="0.71560906819455017"/>
    <n v="4475.9075064280923"/>
    <n v="0"/>
    <n v="3203"/>
    <n v="3203"/>
    <m/>
    <n v="3203"/>
    <s v="Delivered"/>
    <m/>
    <n v="1"/>
    <n v="11"/>
    <n v="2025"/>
    <s v=""/>
    <s v=""/>
    <n v="0.71560906819455028"/>
    <x v="1067"/>
    <d v="2025-11-27T15:32:55"/>
    <x v="1200"/>
    <s v="Approved"/>
    <s v="Pending"/>
    <s v="PO003528"/>
    <x v="8"/>
    <x v="1"/>
    <n v="4475.9075064280923"/>
    <n v="3203"/>
    <n v="0.71560906819455028"/>
    <n v="0"/>
    <n v="-3203"/>
    <s v=""/>
    <n v="0"/>
    <x v="1"/>
    <x v="2"/>
    <s v="Pend"/>
    <s v="Pend"/>
  </r>
  <r>
    <n v="1"/>
    <s v="SO18329"/>
    <s v="4500624287"/>
    <s v="INV13725"/>
    <s v="Resolute Forest Products - Saint-Felicien"/>
    <d v="2025-11-28T11:12:56"/>
    <d v="2025-11-28T14:21:42"/>
    <d v="2025-12-02T00:00:00"/>
    <s v="Ian Trottier"/>
    <s v="CAD"/>
    <n v="1"/>
    <n v="92.24"/>
    <n v="0"/>
    <n v="65.999591789769212"/>
    <n v="87.85"/>
    <n v="4.3899999999999997"/>
    <n v="92.24"/>
    <s v="Delivered"/>
    <m/>
    <n v="1"/>
    <n v="11"/>
    <n v="2025"/>
    <s v=""/>
    <s v=""/>
    <n v="0.71552029260374261"/>
    <x v="1068"/>
    <d v="2025-11-28T11:12:56"/>
    <x v="1201"/>
    <s v="Approved"/>
    <s v="Pending"/>
    <s v="4500624287"/>
    <x v="46"/>
    <x v="0"/>
    <n v="87.85"/>
    <n v="62.858457705238784"/>
    <n v="0.71552029260374261"/>
    <n v="-87.85"/>
    <n v="0"/>
    <n v="0"/>
    <s v=""/>
    <x v="1"/>
    <x v="2"/>
    <s v="Pend"/>
    <s v="Pend"/>
  </r>
  <r>
    <n v="1"/>
    <s v="SO18330"/>
    <s v="PO14284"/>
    <s v="INV13783"/>
    <s v="Manufacture Sling-Choker (Val-d’Or) Ltée"/>
    <d v="2025-11-28T14:24:15"/>
    <d v="2025-12-12T09:45:11"/>
    <d v="2025-12-16T00:00:00"/>
    <s v="Wilka Nuñez"/>
    <s v="CAD"/>
    <n v="1"/>
    <n v="1463.93"/>
    <n v="0"/>
    <n v="1061.924509347501"/>
    <n v="1394.21"/>
    <n v="69.72"/>
    <n v="1463.93"/>
    <s v="Partially Delivered"/>
    <m/>
    <n v="1"/>
    <n v="11"/>
    <n v="2025"/>
    <s v=""/>
    <s v=""/>
    <n v="0.72539295550162985"/>
    <x v="1069"/>
    <d v="2025-11-28T14:24:15"/>
    <x v="1202"/>
    <s v="Approved"/>
    <s v="Pending"/>
    <s v="PO14284"/>
    <x v="10"/>
    <x v="0"/>
    <n v="1394.21"/>
    <n v="1011.3501124899274"/>
    <n v="0.72539295550162985"/>
    <n v="-630.38"/>
    <n v="0"/>
    <n v="763.83"/>
    <s v=""/>
    <x v="1"/>
    <x v="2"/>
    <s v="Pend"/>
    <s v="Pend"/>
  </r>
  <r>
    <n v="0"/>
    <s v="SO18331"/>
    <s v="IA07-00008870"/>
    <m/>
    <s v="Motion Industries Inc. (U.S.) - Mason City"/>
    <d v="2025-11-28T15:44:01"/>
    <d v="2025-12-11T12:35:19"/>
    <d v="2026-04-16T00:00:00"/>
    <s v="Ian Trottier"/>
    <s v="USD"/>
    <n v="0.72276866354558011"/>
    <n v="42413.238904991347"/>
    <n v="0"/>
    <n v="30654.959999999999"/>
    <n v="30654.959999999999"/>
    <m/>
    <n v="30654.959999999999"/>
    <s v="To Deliver"/>
    <m/>
    <n v="0"/>
    <n v="11"/>
    <n v="2025"/>
    <s v=""/>
    <s v=""/>
    <n v="0.72276866354558011"/>
    <x v="1070"/>
    <d v="2025-11-28T15:44:01"/>
    <x v="54"/>
    <s v="Not invoiced"/>
    <s v="Pending"/>
    <s v="IA07-00008870"/>
    <x v="158"/>
    <x v="1"/>
    <n v="42413.238904991347"/>
    <n v="30654.959999999999"/>
    <n v="0.72276866354558011"/>
    <n v="0"/>
    <n v="0"/>
    <s v=""/>
    <n v="30654.959999999999"/>
    <x v="1"/>
    <x v="2"/>
    <s v="Pend"/>
    <s v="Pend"/>
  </r>
  <r>
    <n v="0"/>
    <s v="SO18335"/>
    <s v="2259921"/>
    <m/>
    <s v="Zijin Mining - Rosebel Goldmines N.V."/>
    <d v="2025-12-01T11:36:18"/>
    <d v="2025-12-11T09:39:51"/>
    <d v="2026-02-05T00:00:00"/>
    <s v="Amanda Qiao"/>
    <s v="USD"/>
    <n v="0.72276866354558011"/>
    <n v="11755.90535195383"/>
    <n v="0"/>
    <n v="8496.7999999999993"/>
    <n v="8496.7999999999993"/>
    <m/>
    <n v="8496.7999999999993"/>
    <s v="To Deliver"/>
    <m/>
    <n v="0"/>
    <n v="12"/>
    <n v="2025"/>
    <s v=""/>
    <s v=""/>
    <n v="0.72276866354557989"/>
    <x v="1071"/>
    <d v="2025-12-01T11:36:18"/>
    <x v="54"/>
    <s v="Not invoiced"/>
    <s v="Pending"/>
    <s v="2259921"/>
    <x v="1"/>
    <x v="1"/>
    <n v="11755.905351953827"/>
    <n v="8496.7999999999993"/>
    <n v="0.72276866354558011"/>
    <n v="0"/>
    <n v="0"/>
    <s v=""/>
    <n v="8496.7999999999993"/>
    <x v="1"/>
    <x v="2"/>
    <s v="Pend"/>
    <s v="Pend"/>
  </r>
  <r>
    <n v="1"/>
    <s v="SO18337"/>
    <s v="3418"/>
    <s v="INV13771"/>
    <s v="Les Pompes du St-Laurent Inc."/>
    <d v="2025-12-01T13:21:22"/>
    <d v="2025-12-02T10:16:44"/>
    <d v="2025-12-26T00:00:00"/>
    <s v="Ian Trottier"/>
    <s v="CAD"/>
    <n v="1"/>
    <n v="10225.31"/>
    <n v="0"/>
    <n v="7308.8737827809209"/>
    <n v="9738.39"/>
    <n v="486.92"/>
    <n v="10225.31"/>
    <s v="Delivered"/>
    <m/>
    <n v="1"/>
    <n v="12"/>
    <n v="2025"/>
    <s v=""/>
    <s v=""/>
    <n v="0.71478261126370946"/>
    <x v="1072"/>
    <d v="2025-12-01T13:21:22"/>
    <x v="1203"/>
    <s v="Approved"/>
    <s v="Pending"/>
    <s v="3418"/>
    <x v="7"/>
    <x v="0"/>
    <n v="9738.39"/>
    <n v="6960.8318337043947"/>
    <n v="0.71478261126370946"/>
    <n v="-9738.39"/>
    <n v="0"/>
    <n v="0"/>
    <s v=""/>
    <x v="1"/>
    <x v="2"/>
    <s v="Pend"/>
    <s v="Pend"/>
  </r>
  <r>
    <n v="1"/>
    <s v="SO18339"/>
    <s v="4412"/>
    <s v="INV13714"/>
    <s v="Middle Georgia Fluid Sealing LLC"/>
    <d v="2025-12-01T14:16:04"/>
    <d v="2025-12-01T16:25:46"/>
    <d v="2025-12-02T00:00:00"/>
    <s v="Ian Trottier"/>
    <s v="USD"/>
    <n v="0.71541057771406147"/>
    <n v="7845.1453959955697"/>
    <n v="0"/>
    <n v="5612.5"/>
    <n v="5612.5"/>
    <m/>
    <n v="5612.5"/>
    <s v="Delivered"/>
    <m/>
    <n v="1"/>
    <n v="12"/>
    <n v="2025"/>
    <n v="12"/>
    <n v="2025"/>
    <n v="0.71541057771406147"/>
    <x v="1073"/>
    <d v="2025-12-01T14:16:04"/>
    <x v="1204"/>
    <s v="Paid"/>
    <d v="2025-12-12T00:00:00"/>
    <s v="4412"/>
    <x v="119"/>
    <x v="1"/>
    <n v="7845.1453959955697"/>
    <n v="5612.5"/>
    <n v="0.71541057771406147"/>
    <n v="0"/>
    <n v="-5612.5"/>
    <s v=""/>
    <n v="0"/>
    <x v="0"/>
    <x v="0"/>
    <s v="Pend"/>
    <s v="Pend"/>
  </r>
  <r>
    <n v="1"/>
    <s v="SO18340"/>
    <s v="PO14253"/>
    <s v="INV13727"/>
    <s v="Manufacture Sling-Choker (Val-d’Or) Ltée"/>
    <d v="2025-12-01T15:22:52"/>
    <d v="2025-12-02T17:23:03"/>
    <d v="2025-12-09T00:00:00"/>
    <s v="Alexis Gil Lamadrid"/>
    <s v="CAD"/>
    <n v="1"/>
    <n v="1119.8"/>
    <n v="0"/>
    <n v="800.41356809310184"/>
    <n v="1066.47"/>
    <n v="53.33"/>
    <n v="1119.8"/>
    <s v="Delivered"/>
    <m/>
    <n v="1"/>
    <n v="12"/>
    <n v="2025"/>
    <s v=""/>
    <s v=""/>
    <n v="0.71478261126370946"/>
    <x v="1074"/>
    <d v="2025-12-01T15:22:52"/>
    <x v="1205"/>
    <s v="Approved"/>
    <s v="Pending"/>
    <s v="PO14253"/>
    <x v="10"/>
    <x v="0"/>
    <n v="1066.47"/>
    <n v="762.29421143440823"/>
    <n v="0.71478261126370946"/>
    <n v="-1066.47"/>
    <n v="0"/>
    <n v="0"/>
    <s v=""/>
    <x v="1"/>
    <x v="2"/>
    <s v="Pend"/>
    <s v="Pend"/>
  </r>
  <r>
    <n v="0"/>
    <s v="SO18341"/>
    <s v="BC65-00082608"/>
    <m/>
    <s v="Motion Industries Inc. (Canada) - Prince George"/>
    <d v="2025-12-01T15:49:35"/>
    <d v="2025-12-04T18:53:23"/>
    <d v="2026-03-27T00:00:00"/>
    <s v="Wilka Nuñez"/>
    <s v="CAD"/>
    <n v="1"/>
    <n v="9328.56"/>
    <n v="0"/>
    <n v="6691.9814153067418"/>
    <n v="8884.34"/>
    <n v="444.22"/>
    <n v="9328.56"/>
    <s v="Processing"/>
    <m/>
    <n v="0"/>
    <n v="12"/>
    <n v="2025"/>
    <s v=""/>
    <s v=""/>
    <n v="0.71736488968358914"/>
    <x v="1075"/>
    <d v="2025-12-01T15:49:35"/>
    <x v="54"/>
    <s v="Not invoiced"/>
    <s v="Pending"/>
    <s v="BC65-00082608"/>
    <x v="41"/>
    <x v="0"/>
    <n v="8884.34"/>
    <n v="6373.3135840114983"/>
    <n v="0.71736488968358914"/>
    <n v="0"/>
    <n v="0"/>
    <n v="8884.34"/>
    <s v=""/>
    <x v="1"/>
    <x v="2"/>
    <s v="Pend"/>
    <s v="Pend"/>
  </r>
  <r>
    <n v="0"/>
    <s v="SO18344"/>
    <s v="OC00235"/>
    <m/>
    <s v="Dynapro Pumps México S de RL de CV"/>
    <d v="2025-12-02T11:28:07"/>
    <d v="2025-12-02T11:28:10"/>
    <d v="2025-12-19T00:00:00"/>
    <s v="Yannett Yeomans"/>
    <s v="USD"/>
    <n v="0.71560906819455017"/>
    <n v="7396.4965443408973"/>
    <n v="0"/>
    <n v="5293"/>
    <n v="5293"/>
    <m/>
    <n v="5293"/>
    <s v="To Deliver"/>
    <m/>
    <n v="0"/>
    <n v="12"/>
    <n v="2025"/>
    <s v=""/>
    <s v=""/>
    <n v="0.71560906819455017"/>
    <x v="1076"/>
    <d v="2025-12-02T11:28:07"/>
    <x v="54"/>
    <s v="Not invoiced"/>
    <s v="Pending"/>
    <s v="OC00235"/>
    <x v="54"/>
    <x v="1"/>
    <n v="7396.4965443408973"/>
    <n v="5293"/>
    <n v="0.71560906819455017"/>
    <n v="0"/>
    <n v="0"/>
    <s v=""/>
    <n v="5293"/>
    <x v="1"/>
    <x v="2"/>
    <s v="Pend"/>
    <s v="Pend"/>
  </r>
  <r>
    <n v="1"/>
    <s v="SO18345"/>
    <s v="C003744426"/>
    <s v="INV13834"/>
    <s v="Glencore Canada Corporation - Rouyn-Noranda"/>
    <d v="2025-12-02T12:03:29"/>
    <d v="2025-12-02T13:04:30"/>
    <d v="2026-01-05T00:00:00"/>
    <s v="Amanda Qiao"/>
    <s v="CAD"/>
    <n v="1"/>
    <n v="3201.63"/>
    <n v="0"/>
    <n v="2288.4694517002299"/>
    <n v="3049.16"/>
    <n v="152.47"/>
    <n v="3201.63"/>
    <s v="Delivered"/>
    <m/>
    <n v="1"/>
    <n v="12"/>
    <n v="2025"/>
    <s v=""/>
    <s v=""/>
    <n v="0.71478261126370934"/>
    <x v="1077"/>
    <d v="2025-12-02T12:03:29"/>
    <x v="1206"/>
    <s v="Not invoiced"/>
    <s v="Pending"/>
    <s v="C003744426"/>
    <x v="81"/>
    <x v="0"/>
    <n v="3049.16"/>
    <n v="2179.4865469608517"/>
    <n v="0.71478261126370923"/>
    <n v="0"/>
    <n v="0"/>
    <n v="3049.16"/>
    <s v=""/>
    <x v="1"/>
    <x v="2"/>
    <s v="Pend"/>
    <s v="Pend"/>
  </r>
  <r>
    <n v="1"/>
    <s v="SO18346"/>
    <s v="6500024645"/>
    <s v="INV13792"/>
    <s v="Wesdome Gold Mines Ltd - Eagle River Mine"/>
    <d v="2025-12-02T12:14:25"/>
    <d v="2025-12-04T13:11:36"/>
    <d v="2025-12-29T00:00:00"/>
    <s v="Ian Trottier"/>
    <s v="CAD"/>
    <n v="1"/>
    <n v="6255.48"/>
    <n v="0"/>
    <n v="4487.461720117898"/>
    <n v="5957.6"/>
    <n v="297.88"/>
    <n v="6255.48"/>
    <s v="Delivered"/>
    <m/>
    <n v="1"/>
    <n v="12"/>
    <n v="2025"/>
    <s v=""/>
    <s v=""/>
    <n v="0.71736488968358914"/>
    <x v="1078"/>
    <d v="2025-12-02T12:14:25"/>
    <x v="1207"/>
    <s v="Approved"/>
    <s v="Pending"/>
    <s v="6500024645"/>
    <x v="0"/>
    <x v="0"/>
    <n v="5957.6"/>
    <n v="4273.773066778951"/>
    <n v="0.71736488968358914"/>
    <n v="-5957.6"/>
    <n v="0"/>
    <n v="0"/>
    <s v=""/>
    <x v="1"/>
    <x v="2"/>
    <s v="Pend"/>
    <s v="Pend"/>
  </r>
  <r>
    <n v="2"/>
    <s v="SO18347"/>
    <s v="P371534"/>
    <s v="INV13839"/>
    <s v="Covia Corp - Junction City"/>
    <d v="2025-12-02T14:13:26"/>
    <d v="2025-12-04T11:10:19"/>
    <d v="2026-03-19T00:00:00"/>
    <s v="Aleksandar Stankovic"/>
    <s v="USD"/>
    <n v="0.71478261126370946"/>
    <n v="5312.762146362531"/>
    <n v="0"/>
    <n v="3797.47"/>
    <n v="3797.47"/>
    <m/>
    <n v="3797.47"/>
    <s v="Processing"/>
    <m/>
    <n v="2"/>
    <n v="12"/>
    <n v="2025"/>
    <s v=""/>
    <s v=""/>
    <n v="0.71478261126370946"/>
    <x v="1079"/>
    <d v="2025-12-02T14:13:26"/>
    <x v="1208"/>
    <s v="Not invoiced"/>
    <s v="Pending"/>
    <s v="P371534"/>
    <x v="6"/>
    <x v="1"/>
    <n v="5312.762146362531"/>
    <n v="3797.47"/>
    <n v="0.71478261126370946"/>
    <n v="0"/>
    <n v="0"/>
    <s v=""/>
    <n v="3797.47"/>
    <x v="1"/>
    <x v="1"/>
    <s v="Pend"/>
    <s v="Pend"/>
  </r>
  <r>
    <m/>
    <m/>
    <m/>
    <s v="INV13754"/>
    <m/>
    <m/>
    <m/>
    <m/>
    <m/>
    <m/>
    <m/>
    <m/>
    <m/>
    <m/>
    <m/>
    <m/>
    <m/>
    <m/>
    <m/>
    <n v="2"/>
    <n v="12"/>
    <n v="2025"/>
    <s v=""/>
    <s v=""/>
    <n v="0.71478261126370946"/>
    <x v="1079"/>
    <d v="2025-12-02T14:13:26"/>
    <x v="1209"/>
    <s v="Approved"/>
    <s v="Pending"/>
    <s v="P371534"/>
    <x v="6"/>
    <x v="1"/>
    <n v="0"/>
    <n v="0"/>
    <n v="0"/>
    <n v="0"/>
    <n v="-209.45"/>
    <s v=""/>
    <n v="-209.45"/>
    <x v="1"/>
    <x v="1"/>
    <s v="Pend"/>
    <s v="Pend"/>
  </r>
  <r>
    <n v="1"/>
    <s v="SO18349"/>
    <s v="PO-008485"/>
    <s v="INV13808"/>
    <s v="Sling-Choker Manufacturing - Timmins"/>
    <d v="2025-12-02T17:36:14"/>
    <d v="2025-12-03T08:31:49"/>
    <d v="2025-12-08T00:00:00"/>
    <s v="Wilka Nuñez"/>
    <s v="CAD"/>
    <n v="1"/>
    <n v="2257.12"/>
    <n v="0"/>
    <n v="1617.6692019805459"/>
    <n v="1997.45"/>
    <n v="259.67"/>
    <n v="2257.12"/>
    <s v="Delivered"/>
    <m/>
    <n v="1"/>
    <n v="12"/>
    <n v="2025"/>
    <s v=""/>
    <s v=""/>
    <n v="0.71669614463588383"/>
    <x v="1080"/>
    <d v="2025-12-02T17:36:14"/>
    <x v="1210"/>
    <s v="Approved"/>
    <s v="Pending"/>
    <s v="PO-008485"/>
    <x v="3"/>
    <x v="0"/>
    <n v="1997.45"/>
    <n v="1431.5647141029463"/>
    <n v="0.71669614463588383"/>
    <n v="-1997.45"/>
    <n v="0"/>
    <n v="0"/>
    <s v=""/>
    <x v="1"/>
    <x v="2"/>
    <s v="Pend"/>
    <s v="Pend"/>
  </r>
  <r>
    <n v="1"/>
    <s v="SO18350"/>
    <s v="C003744417"/>
    <s v="INV13724"/>
    <s v="Glencore Canada Corporation - Rouyn-Noranda"/>
    <d v="2025-12-02T18:04:41"/>
    <d v="2025-12-02T18:08:01"/>
    <d v="2025-12-03T00:00:00"/>
    <s v="Ian Trottier"/>
    <s v="CAD"/>
    <n v="1"/>
    <n v="421.75"/>
    <n v="0"/>
    <n v="301.45956630046948"/>
    <n v="401.67"/>
    <n v="20.079999999999998"/>
    <n v="421.75"/>
    <s v="Delivered"/>
    <m/>
    <n v="1"/>
    <n v="12"/>
    <n v="2025"/>
    <s v=""/>
    <s v=""/>
    <n v="0.71478261126370946"/>
    <x v="1081"/>
    <d v="2025-12-02T18:04:41"/>
    <x v="1211"/>
    <s v="Approved"/>
    <s v="Pending"/>
    <s v="C003744417"/>
    <x v="81"/>
    <x v="0"/>
    <n v="401.67"/>
    <n v="287.10673146629421"/>
    <n v="0.71478261126370946"/>
    <n v="-401.67"/>
    <n v="0"/>
    <n v="0"/>
    <s v=""/>
    <x v="1"/>
    <x v="2"/>
    <s v="Pend"/>
    <s v="Pend"/>
  </r>
  <r>
    <n v="1"/>
    <s v="SO18351"/>
    <s v="PO14273"/>
    <s v="INV13767"/>
    <s v="Manufacture Sling-Choker (Val-d’Or) Ltée"/>
    <d v="2025-12-02T19:18:56"/>
    <d v="2025-12-09T12:14:35"/>
    <d v="2025-12-16T00:00:00"/>
    <s v="Alexis Gil Lamadrid"/>
    <s v="CAD"/>
    <n v="1"/>
    <n v="2813.64"/>
    <n v="0"/>
    <n v="2033.770341521297"/>
    <n v="2679.66"/>
    <n v="133.97999999999999"/>
    <n v="2813.64"/>
    <s v="Delivered"/>
    <m/>
    <n v="1"/>
    <n v="12"/>
    <n v="2025"/>
    <s v=""/>
    <s v=""/>
    <n v="0.72282535844006235"/>
    <x v="1082"/>
    <d v="2025-12-02T19:18:56"/>
    <x v="1212"/>
    <s v="Approved"/>
    <s v="Pending"/>
    <s v="PO14273"/>
    <x v="10"/>
    <x v="0"/>
    <n v="2679.66"/>
    <n v="1936.9261999974974"/>
    <n v="0.72282535844006235"/>
    <n v="-2679.66"/>
    <n v="0"/>
    <n v="0"/>
    <s v=""/>
    <x v="1"/>
    <x v="2"/>
    <s v="Pend"/>
    <s v="Pend"/>
  </r>
  <r>
    <n v="0"/>
    <s v="SO18354"/>
    <s v="4501356558"/>
    <m/>
    <s v="Barrick Gold - Pueblo Viejo Dominicana Corporation"/>
    <d v="2025-12-03T12:46:09"/>
    <d v="2025-12-12T15:31:05"/>
    <d v="2026-04-24T00:00:00"/>
    <s v="Wilka Nuñez"/>
    <s v="USD"/>
    <n v="0.72276866354558011"/>
    <n v="6842.9640761370629"/>
    <n v="0"/>
    <n v="4945.88"/>
    <n v="4945.88"/>
    <m/>
    <n v="4945.88"/>
    <s v="Processing"/>
    <m/>
    <n v="0"/>
    <n v="12"/>
    <n v="2025"/>
    <s v=""/>
    <s v=""/>
    <n v="0.72276866354558011"/>
    <x v="1083"/>
    <d v="2025-12-03T12:46:09"/>
    <x v="54"/>
    <s v="Not invoiced"/>
    <s v="Pending"/>
    <s v="4501356558"/>
    <x v="15"/>
    <x v="1"/>
    <n v="6842.9640761370629"/>
    <n v="4945.88"/>
    <n v="0.72276866354558011"/>
    <n v="0"/>
    <n v="0"/>
    <s v=""/>
    <n v="4945.88"/>
    <x v="1"/>
    <x v="2"/>
    <s v="Pend"/>
    <s v="Pend"/>
  </r>
  <r>
    <n v="0"/>
    <s v="SO18356"/>
    <s v="4500624263"/>
    <m/>
    <s v="Resolute Forest Products - Saint-Felicien"/>
    <d v="2025-12-03T15:10:33"/>
    <d v="2025-12-03T17:42:58"/>
    <d v="2026-01-21T00:00:00"/>
    <s v="Ian Trottier"/>
    <s v="CAD"/>
    <n v="1"/>
    <n v="7178.31"/>
    <n v="0"/>
    <n v="5144.6671020012109"/>
    <n v="6836.47"/>
    <n v="341.84"/>
    <n v="7178.31"/>
    <s v="To Deliver"/>
    <m/>
    <n v="0"/>
    <n v="12"/>
    <n v="2025"/>
    <s v=""/>
    <s v=""/>
    <n v="0.71669614463588371"/>
    <x v="1084"/>
    <d v="2025-12-03T15:10:33"/>
    <x v="54"/>
    <s v="Not invoiced"/>
    <s v="Pending"/>
    <s v="4500624263"/>
    <x v="46"/>
    <x v="0"/>
    <n v="6836.47"/>
    <n v="4899.6716919188802"/>
    <n v="0.71669614463588371"/>
    <n v="0"/>
    <n v="0"/>
    <n v="6836.47"/>
    <s v=""/>
    <x v="1"/>
    <x v="2"/>
    <s v="Pend"/>
    <s v="Pend"/>
  </r>
  <r>
    <n v="1"/>
    <s v="SO18357"/>
    <s v="607083"/>
    <s v="INV13759"/>
    <s v="Sealtrac Inc."/>
    <d v="2025-12-03T16:39:33"/>
    <d v="2025-12-03T16:37:51"/>
    <d v="2025-12-03T00:00:00"/>
    <s v="Ian Trottier"/>
    <s v="CAD"/>
    <n v="1"/>
    <n v="945.49"/>
    <n v="0"/>
    <n v="677.62903779178168"/>
    <n v="836.72"/>
    <n v="108.77"/>
    <n v="945.49"/>
    <s v="Delivered"/>
    <m/>
    <n v="1"/>
    <n v="12"/>
    <n v="2025"/>
    <n v="12"/>
    <n v="2025"/>
    <n v="0.71669614463588371"/>
    <x v="1085"/>
    <d v="2025-12-03T16:39:33"/>
    <x v="1213"/>
    <s v="Paid"/>
    <d v="2025-12-29T00:00:00"/>
    <s v="607083"/>
    <x v="50"/>
    <x v="0"/>
    <n v="836.72"/>
    <n v="599.67399813973668"/>
    <n v="0.71669614463588371"/>
    <n v="-836.72"/>
    <n v="0"/>
    <n v="0"/>
    <s v=""/>
    <x v="0"/>
    <x v="0"/>
    <s v="Pend"/>
    <s v="Pend"/>
  </r>
  <r>
    <n v="1"/>
    <s v="SO18358"/>
    <s v="PO - 3009833"/>
    <s v="INV13774"/>
    <s v="SCG Process"/>
    <d v="2025-12-03T17:41:11"/>
    <d v="2025-12-09T12:50:30"/>
    <d v="2025-12-12T00:00:00"/>
    <s v="Aleksandar Stankovic"/>
    <s v="CAD"/>
    <n v="1"/>
    <n v="345.11"/>
    <n v="0"/>
    <n v="249.45425945125001"/>
    <n v="328.68"/>
    <n v="16.43"/>
    <n v="345.11"/>
    <s v="Delivered"/>
    <m/>
    <n v="1"/>
    <n v="12"/>
    <n v="2025"/>
    <s v=""/>
    <s v=""/>
    <n v="0.72282535844006257"/>
    <x v="1086"/>
    <d v="2025-12-03T17:41:11"/>
    <x v="1214"/>
    <s v="Approved"/>
    <s v="Pending"/>
    <s v="PO - 3009833"/>
    <x v="76"/>
    <x v="0"/>
    <n v="328.68"/>
    <n v="237.57823881207977"/>
    <n v="0.72282535844006257"/>
    <n v="-328.68"/>
    <n v="0"/>
    <n v="0"/>
    <s v=""/>
    <x v="1"/>
    <x v="2"/>
    <s v="Pend"/>
    <s v="Pend"/>
  </r>
  <r>
    <n v="0"/>
    <s v="SO18360"/>
    <s v="OC00236"/>
    <m/>
    <s v="Dynapro Pumps México S de RL de CV"/>
    <d v="2025-12-03T22:57:34"/>
    <d v="2025-12-03T22:57:37"/>
    <d v="2026-01-23T00:00:00"/>
    <s v="Yannett Yeomans"/>
    <s v="USD"/>
    <n v="0.7151999597673725"/>
    <n v="43322.150088036811"/>
    <n v="0"/>
    <n v="30984"/>
    <n v="30984"/>
    <m/>
    <n v="30984"/>
    <s v="Processing"/>
    <m/>
    <n v="0"/>
    <n v="12"/>
    <n v="2025"/>
    <s v=""/>
    <s v=""/>
    <n v="0.7151999597673725"/>
    <x v="1087"/>
    <d v="2025-12-03T22:57:34"/>
    <x v="54"/>
    <s v="Not invoiced"/>
    <s v="Pending"/>
    <s v="OC00236"/>
    <x v="54"/>
    <x v="1"/>
    <n v="43322.150088036811"/>
    <n v="30984"/>
    <n v="0.7151999597673725"/>
    <n v="0"/>
    <n v="0"/>
    <s v=""/>
    <n v="30984"/>
    <x v="1"/>
    <x v="2"/>
    <s v="Pend"/>
    <s v="Pend"/>
  </r>
  <r>
    <n v="1"/>
    <s v="SO18361"/>
    <s v="OC00237"/>
    <s v="INV13820"/>
    <s v="Dynapro Pumps México S de RL de CV"/>
    <d v="2025-12-03T23:19:10"/>
    <d v="2025-12-03T23:19:12"/>
    <d v="2026-02-06T00:00:00"/>
    <s v="Yannett Yeomans"/>
    <s v="USD"/>
    <n v="0.7151999597673725"/>
    <n v="1069.630932653891"/>
    <n v="0"/>
    <n v="765"/>
    <n v="765"/>
    <m/>
    <n v="765"/>
    <s v="Processing"/>
    <m/>
    <n v="1"/>
    <n v="12"/>
    <n v="2025"/>
    <s v=""/>
    <s v=""/>
    <n v="0.7151999597673725"/>
    <x v="1088"/>
    <d v="2025-12-03T23:19:10"/>
    <x v="1215"/>
    <s v="Not invoiced"/>
    <s v="Pending"/>
    <s v="OC00237"/>
    <x v="54"/>
    <x v="1"/>
    <n v="1069.630932653891"/>
    <n v="765"/>
    <n v="0.7151999597673725"/>
    <n v="0"/>
    <n v="0"/>
    <s v=""/>
    <n v="765"/>
    <x v="1"/>
    <x v="2"/>
    <s v="Pend"/>
    <s v="Pend"/>
  </r>
  <r>
    <n v="0"/>
    <s v="SO18363"/>
    <s v="4501367820"/>
    <m/>
    <s v="Barrick Gold - Pueblo Viejo Dominicana Corporation"/>
    <d v="2025-12-04T09:50:07"/>
    <d v="2025-12-29T12:54:32"/>
    <d v="2026-02-20T00:00:00"/>
    <s v="Wilka Nuñez"/>
    <s v="USD"/>
    <n v="0.73120348989748496"/>
    <n v="2730.9497665006538"/>
    <n v="0"/>
    <n v="1996.88"/>
    <n v="1996.88"/>
    <m/>
    <n v="1996.88"/>
    <s v="Processing"/>
    <m/>
    <n v="0"/>
    <n v="12"/>
    <n v="2025"/>
    <s v=""/>
    <s v=""/>
    <n v="0.73120348989748507"/>
    <x v="1089"/>
    <d v="2025-12-04T09:50:07"/>
    <x v="54"/>
    <s v="Not invoiced"/>
    <s v="Pending"/>
    <s v="4501367820"/>
    <x v="15"/>
    <x v="1"/>
    <n v="2730.9497665006543"/>
    <n v="1996.88"/>
    <n v="0.73120348989748496"/>
    <n v="0"/>
    <n v="0"/>
    <s v=""/>
    <n v="1996.88"/>
    <x v="1"/>
    <x v="2"/>
    <s v="Pend"/>
    <s v="Pend"/>
  </r>
  <r>
    <n v="0"/>
    <s v="SO18365"/>
    <s v="PO 6500024702"/>
    <m/>
    <s v="Wesdome Gold Mines Ltd - Eagle River Mine"/>
    <d v="2025-12-04T11:38:36"/>
    <d v="2025-12-04T11:38:10"/>
    <d v="2026-01-20T00:00:00"/>
    <s v="Leriel Reyes"/>
    <s v="CAD"/>
    <n v="1"/>
    <n v="16463.419999999998"/>
    <n v="0"/>
    <n v="11810.279472114589"/>
    <n v="14569.4"/>
    <n v="1894.02"/>
    <n v="16463.419999999998"/>
    <s v="Processing"/>
    <m/>
    <n v="0"/>
    <n v="12"/>
    <n v="2025"/>
    <s v=""/>
    <s v=""/>
    <n v="0.71736488968358891"/>
    <x v="1090"/>
    <d v="2025-12-04T11:38:36"/>
    <x v="54"/>
    <s v="Not invoiced"/>
    <s v="Pending"/>
    <s v="PO 6500024702"/>
    <x v="0"/>
    <x v="0"/>
    <n v="14569.4"/>
    <n v="10451.576023756081"/>
    <n v="0.71736488968358891"/>
    <n v="0"/>
    <n v="0"/>
    <n v="14569.4"/>
    <s v=""/>
    <x v="1"/>
    <x v="2"/>
    <s v="Pend"/>
    <s v="Pend"/>
  </r>
  <r>
    <n v="1"/>
    <s v="SO18366"/>
    <s v="P372041"/>
    <s v="INV13779"/>
    <s v="Covia Corp - Guion"/>
    <d v="2025-12-04T12:39:27"/>
    <d v="2025-12-12T15:04:23"/>
    <d v="2025-12-18T00:00:00"/>
    <s v="Aleksandar Stankovic"/>
    <s v="USD"/>
    <n v="0.72276866354558011"/>
    <n v="15111.57103355964"/>
    <n v="0"/>
    <n v="10922.17"/>
    <n v="10922.17"/>
    <m/>
    <n v="10922.17"/>
    <s v="Delivered"/>
    <m/>
    <n v="1"/>
    <n v="12"/>
    <n v="2025"/>
    <s v=""/>
    <s v=""/>
    <n v="0.72276866354558"/>
    <x v="1091"/>
    <d v="2025-12-04T12:39:27"/>
    <x v="1216"/>
    <s v="Approved"/>
    <s v="Pending"/>
    <s v="P372041"/>
    <x v="141"/>
    <x v="1"/>
    <n v="15111.571033559638"/>
    <n v="10922.17"/>
    <n v="0.72276866354558011"/>
    <n v="0"/>
    <n v="-10917.17"/>
    <s v=""/>
    <n v="5"/>
    <x v="1"/>
    <x v="2"/>
    <s v="Pend"/>
    <s v="Pend"/>
  </r>
  <r>
    <n v="1"/>
    <s v="SO18367"/>
    <s v="8109"/>
    <s v="INV13733"/>
    <s v="Hyperflo"/>
    <d v="2025-12-04T12:59:07"/>
    <d v="2025-12-04T13:26:29"/>
    <d v="2025-12-05T00:00:00"/>
    <s v="Wilka Nuñez"/>
    <s v="CAD"/>
    <n v="1"/>
    <n v="904.58"/>
    <n v="0"/>
    <n v="648.9139319099811"/>
    <n v="861.5"/>
    <n v="43.08"/>
    <n v="904.58"/>
    <s v="Delivered"/>
    <m/>
    <n v="1"/>
    <n v="12"/>
    <n v="2025"/>
    <s v=""/>
    <s v=""/>
    <n v="0.71736488968358914"/>
    <x v="1092"/>
    <d v="2025-12-04T12:59:07"/>
    <x v="1217"/>
    <s v="Approved"/>
    <s v="Pending"/>
    <s v="8109"/>
    <x v="5"/>
    <x v="0"/>
    <n v="861.5"/>
    <n v="618.00985246241203"/>
    <n v="0.71736488968358914"/>
    <n v="-861.5"/>
    <n v="0"/>
    <n v="0"/>
    <s v=""/>
    <x v="1"/>
    <x v="2"/>
    <s v="Pend"/>
    <s v="Pend"/>
  </r>
  <r>
    <n v="0"/>
    <s v="SO18368"/>
    <s v="OC00239"/>
    <m/>
    <s v="Dynapro Pumps México S de RL de CV"/>
    <d v="2025-12-05T12:19:25"/>
    <d v="2025-12-05T12:20:25"/>
    <d v="2026-03-19T00:00:00"/>
    <s v="Yannett Yeomans"/>
    <s v="USD"/>
    <n v="0.71669614463588371"/>
    <n v="36410.130283674851"/>
    <n v="0"/>
    <n v="26095"/>
    <n v="26095"/>
    <m/>
    <n v="26095"/>
    <s v="Processing"/>
    <m/>
    <n v="0"/>
    <n v="12"/>
    <n v="2025"/>
    <s v=""/>
    <s v=""/>
    <n v="0.71669614463588371"/>
    <x v="1093"/>
    <d v="2025-12-05T12:19:25"/>
    <x v="54"/>
    <s v="Not invoiced"/>
    <s v="Pending"/>
    <s v="OC00239"/>
    <x v="54"/>
    <x v="1"/>
    <n v="36410.130283674851"/>
    <n v="26095"/>
    <n v="0.71669614463588371"/>
    <n v="0"/>
    <n v="0"/>
    <s v=""/>
    <n v="26095"/>
    <x v="1"/>
    <x v="2"/>
    <s v="Pend"/>
    <s v="Pend"/>
  </r>
  <r>
    <n v="0"/>
    <s v="SO18369"/>
    <s v="PO#6500024885"/>
    <m/>
    <s v="Wesdome Gold Mines Ltd - Eagle River Mine"/>
    <d v="2025-12-05T13:01:57"/>
    <d v="2025-12-05T12:59:00"/>
    <d v="2026-01-20T00:00:00"/>
    <s v="Leriel Reyes"/>
    <s v="CAD"/>
    <n v="1"/>
    <n v="19073.52"/>
    <n v="0"/>
    <n v="13761.74207405243"/>
    <n v="16879.22"/>
    <n v="2194.3000000000002"/>
    <n v="19073.52"/>
    <s v="To Deliver"/>
    <m/>
    <n v="0"/>
    <n v="12"/>
    <n v="2025"/>
    <s v=""/>
    <s v=""/>
    <n v="0.72151034911502598"/>
    <x v="1094"/>
    <d v="2025-12-05T13:01:57"/>
    <x v="54"/>
    <s v="Not invoiced"/>
    <s v="Pending"/>
    <s v="PO#6500024885"/>
    <x v="0"/>
    <x v="0"/>
    <n v="16879.22"/>
    <n v="12178.531914989329"/>
    <n v="0.72151034911502598"/>
    <n v="0"/>
    <n v="0"/>
    <n v="16879.22"/>
    <s v=""/>
    <x v="1"/>
    <x v="2"/>
    <s v="Pend"/>
    <s v="Pend"/>
  </r>
  <r>
    <n v="1"/>
    <s v="SO18371"/>
    <s v="2100718534"/>
    <s v="INV13795"/>
    <s v="Wajax Limited - Pointe-aux-Trembles"/>
    <d v="2025-12-05T16:56:49"/>
    <d v="2025-12-19T17:21:49"/>
    <d v="2025-12-22T00:00:00"/>
    <s v="Ian Trottier"/>
    <s v="CAD"/>
    <n v="1"/>
    <n v="4368.47"/>
    <n v="0"/>
    <n v="3169.68656847175"/>
    <n v="4160.45"/>
    <n v="208.02"/>
    <n v="4368.47"/>
    <s v="Delivered"/>
    <m/>
    <n v="1"/>
    <n v="12"/>
    <n v="2025"/>
    <s v=""/>
    <s v=""/>
    <n v="0.72558277119260284"/>
    <x v="1095"/>
    <d v="2025-12-05T16:56:49"/>
    <x v="1218"/>
    <s v="Approved"/>
    <s v="Pending"/>
    <s v="2100718534"/>
    <x v="105"/>
    <x v="0"/>
    <n v="4160.45"/>
    <n v="3018.7508404082641"/>
    <n v="0.72558277119260284"/>
    <n v="-4160.45"/>
    <n v="0"/>
    <n v="0"/>
    <s v=""/>
    <x v="1"/>
    <x v="2"/>
    <s v="Pend"/>
    <s v="Pend"/>
  </r>
  <r>
    <n v="2"/>
    <s v="SO18372"/>
    <s v="C003756451"/>
    <s v="INV13824"/>
    <s v="Glencore Canada Corporation - Rouyn-Noranda"/>
    <d v="2025-12-05T17:04:50"/>
    <d v="2025-12-05T17:07:31"/>
    <d v="2026-01-23T00:00:00"/>
    <s v="Ian Trottier"/>
    <s v="CAD"/>
    <n v="1"/>
    <n v="2486.37"/>
    <n v="0"/>
    <n v="1793.941686729127"/>
    <n v="2367.9699999999998"/>
    <n v="118.4"/>
    <n v="2486.37"/>
    <s v="Delivered"/>
    <m/>
    <n v="2"/>
    <n v="12"/>
    <n v="2025"/>
    <s v=""/>
    <s v=""/>
    <n v="0.72151034911502598"/>
    <x v="1096"/>
    <d v="2025-12-05T17:04:50"/>
    <x v="1219"/>
    <s v="Not invoiced"/>
    <s v="Pending"/>
    <s v="C003756451"/>
    <x v="81"/>
    <x v="0"/>
    <n v="2367.9699999999998"/>
    <n v="1708.5148613939079"/>
    <n v="0.72151034911502598"/>
    <n v="0"/>
    <n v="0"/>
    <n v="2367.9699999999998"/>
    <s v=""/>
    <x v="1"/>
    <x v="1"/>
    <s v="Pend"/>
    <s v="Pend"/>
  </r>
  <r>
    <m/>
    <m/>
    <m/>
    <s v="INV13747"/>
    <m/>
    <m/>
    <m/>
    <m/>
    <m/>
    <m/>
    <m/>
    <m/>
    <m/>
    <m/>
    <m/>
    <m/>
    <m/>
    <m/>
    <m/>
    <n v="2"/>
    <n v="12"/>
    <n v="2025"/>
    <s v=""/>
    <s v=""/>
    <n v="0.72151034911502598"/>
    <x v="1096"/>
    <d v="2025-12-05T17:04:50"/>
    <x v="1220"/>
    <s v="Approved"/>
    <s v="Pending"/>
    <s v="C003756451"/>
    <x v="81"/>
    <x v="0"/>
    <n v="0"/>
    <n v="0"/>
    <n v="0"/>
    <n v="-1143.57"/>
    <n v="0"/>
    <n v="-1143.57"/>
    <s v=""/>
    <x v="1"/>
    <x v="1"/>
    <s v="Pend"/>
    <s v="Pend"/>
  </r>
  <r>
    <n v="1"/>
    <s v="SO18373"/>
    <s v="PO - 67000"/>
    <s v="INV13748"/>
    <s v="Harvey Bearings"/>
    <d v="2025-12-05T17:53:20"/>
    <d v="2025-12-05T17:53:41"/>
    <d v="2025-12-09T00:00:00"/>
    <s v="Aleksandar Stankovic"/>
    <s v="CAD"/>
    <n v="1"/>
    <n v="792.08"/>
    <n v="0"/>
    <n v="571.49391732702975"/>
    <n v="754.36"/>
    <n v="37.72"/>
    <n v="792.08"/>
    <s v="Delivered"/>
    <m/>
    <n v="1"/>
    <n v="12"/>
    <n v="2025"/>
    <s v=""/>
    <s v=""/>
    <n v="0.72151034911502587"/>
    <x v="1097"/>
    <d v="2025-12-05T17:53:20"/>
    <x v="1221"/>
    <s v="Approved"/>
    <s v="Pending"/>
    <s v="PO - 67000"/>
    <x v="65"/>
    <x v="0"/>
    <n v="754.36"/>
    <n v="544.27854695841097"/>
    <n v="0.72151034911502598"/>
    <n v="-754.36"/>
    <n v="0"/>
    <n v="0"/>
    <s v=""/>
    <x v="1"/>
    <x v="2"/>
    <s v="Pend"/>
    <s v="Pend"/>
  </r>
  <r>
    <n v="1"/>
    <s v="SO18374"/>
    <s v="PO14293"/>
    <s v="INV13803"/>
    <s v="Manufacture Sling-Choker (Val-d’Or) Ltée"/>
    <d v="2025-12-05T18:19:40"/>
    <d v="2025-12-16T11:15:41"/>
    <d v="2025-12-22T00:00:00"/>
    <s v="Alexis Gil Lamadrid"/>
    <s v="CAD"/>
    <n v="1"/>
    <n v="3512.31"/>
    <n v="0"/>
    <n v="2554.5400080783961"/>
    <n v="3345.05"/>
    <n v="167.26"/>
    <n v="3512.31"/>
    <s v="Processing"/>
    <m/>
    <n v="1"/>
    <n v="12"/>
    <n v="2025"/>
    <s v=""/>
    <s v=""/>
    <n v="0.72731051874077068"/>
    <x v="1098"/>
    <d v="2025-12-05T18:19:40"/>
    <x v="1222"/>
    <s v="Approved"/>
    <s v="Pending"/>
    <s v="PO14293"/>
    <x v="10"/>
    <x v="0"/>
    <n v="3345.05"/>
    <n v="2432.8900507138151"/>
    <n v="0.72731051874077068"/>
    <n v="-2966.5"/>
    <n v="0"/>
    <n v="378.55000000000018"/>
    <s v=""/>
    <x v="1"/>
    <x v="2"/>
    <s v="Pend"/>
    <s v="Pend"/>
  </r>
  <r>
    <n v="1"/>
    <s v="SO18375"/>
    <s v="BC65-00082673"/>
    <s v="INV13793"/>
    <s v="Motion Industries Inc. (Canada) - Prince George"/>
    <d v="2025-12-05T18:44:55"/>
    <d v="2025-12-11T17:57:20"/>
    <d v="2025-12-15T00:00:00"/>
    <s v="Ian Trottier"/>
    <s v="CAD"/>
    <n v="1"/>
    <n v="8135.52"/>
    <n v="0"/>
    <n v="5908.3275821363113"/>
    <n v="7748.12"/>
    <n v="387.4"/>
    <n v="8135.52"/>
    <s v="Delivered"/>
    <m/>
    <n v="1"/>
    <n v="12"/>
    <n v="2025"/>
    <s v=""/>
    <s v=""/>
    <n v="0.72623846811713466"/>
    <x v="1099"/>
    <d v="2025-12-05T18:44:55"/>
    <x v="1223"/>
    <s v="Approved"/>
    <s v="Pending"/>
    <s v="BC65-00082673"/>
    <x v="41"/>
    <x v="0"/>
    <n v="7748.12"/>
    <n v="5626.9827995877331"/>
    <n v="0.72623846811713466"/>
    <n v="-7748.12"/>
    <n v="0"/>
    <n v="0"/>
    <s v=""/>
    <x v="1"/>
    <x v="2"/>
    <s v="Pend"/>
    <s v="Pend"/>
  </r>
  <r>
    <n v="0"/>
    <s v="SO18377"/>
    <s v="2100709518"/>
    <m/>
    <s v="Wajax Limited - Noranda"/>
    <d v="2025-12-08T11:57:10"/>
    <d v="2025-12-08T14:51:58"/>
    <d v="2026-03-31T00:00:00"/>
    <s v="Alexis Gil Lamadrid"/>
    <s v="CAD"/>
    <n v="1"/>
    <n v="7284.65"/>
    <n v="7284.65"/>
    <n v="7284.65"/>
    <n v="6937.76"/>
    <n v="346.89"/>
    <n v="7284.65"/>
    <s v="Processing"/>
    <m/>
    <n v="0"/>
    <n v="12"/>
    <n v="2025"/>
    <s v=""/>
    <s v=""/>
    <n v="1"/>
    <x v="1100"/>
    <d v="2025-12-08T11:57:10"/>
    <x v="54"/>
    <s v="Not invoiced"/>
    <s v="Pending"/>
    <s v="2100709518"/>
    <x v="35"/>
    <x v="0"/>
    <n v="6937.76"/>
    <n v="4964.0354292994643"/>
    <n v="0.71550982295430576"/>
    <n v="0"/>
    <n v="0"/>
    <n v="6937.76"/>
    <s v=""/>
    <x v="1"/>
    <x v="2"/>
    <s v="Pend"/>
    <s v="Pend"/>
  </r>
  <r>
    <n v="1"/>
    <s v="SO18378"/>
    <s v="3437"/>
    <s v="INV13769"/>
    <s v="Les Pompes du St-Laurent Inc."/>
    <d v="2025-12-08T12:15:21"/>
    <d v="2025-12-11T11:43:03"/>
    <d v="2025-12-14T00:00:00"/>
    <s v="Ian Trottier"/>
    <s v="CAD"/>
    <n v="1"/>
    <n v="3128"/>
    <n v="0"/>
    <n v="2271.673928270397"/>
    <n v="2979.04"/>
    <n v="148.96"/>
    <n v="3128"/>
    <s v="Delivered"/>
    <m/>
    <n v="1"/>
    <n v="12"/>
    <n v="2025"/>
    <s v=""/>
    <s v=""/>
    <n v="0.72623846811713455"/>
    <x v="1101"/>
    <d v="2025-12-08T12:15:21"/>
    <x v="1224"/>
    <s v="Approved"/>
    <s v="Pending"/>
    <s v="3437"/>
    <x v="7"/>
    <x v="0"/>
    <n v="2979.04"/>
    <n v="2163.4934460596683"/>
    <n v="0.72623846811713444"/>
    <n v="-2979.04"/>
    <n v="0"/>
    <n v="0"/>
    <s v=""/>
    <x v="1"/>
    <x v="2"/>
    <s v="Pend"/>
    <s v="Pend"/>
  </r>
  <r>
    <n v="0"/>
    <s v="SO18380"/>
    <s v="2100713583"/>
    <m/>
    <s v="Wajax Limited - Val D'Or"/>
    <d v="2025-12-08T14:01:27"/>
    <d v="2025-12-15T07:48:53"/>
    <d v="2026-04-20T00:00:00"/>
    <s v="Alexis Gil Lamadrid"/>
    <s v="CAD"/>
    <n v="1"/>
    <n v="1530.9"/>
    <n v="0"/>
    <n v="1112.0611029846821"/>
    <n v="1458"/>
    <n v="72.900000000000006"/>
    <n v="1530.9"/>
    <s v="Processing"/>
    <m/>
    <n v="0"/>
    <n v="12"/>
    <n v="2025"/>
    <s v=""/>
    <s v=""/>
    <n v="0.72641002219915218"/>
    <x v="1102"/>
    <d v="2025-12-08T14:01:27"/>
    <x v="54"/>
    <s v="Not invoiced"/>
    <s v="Pending"/>
    <s v="2100713583"/>
    <x v="159"/>
    <x v="0"/>
    <n v="1458"/>
    <n v="1059.1058123663638"/>
    <n v="0.72641002219915218"/>
    <n v="0"/>
    <n v="0"/>
    <n v="1458"/>
    <s v=""/>
    <x v="1"/>
    <x v="2"/>
    <s v="Pend"/>
    <s v="Pend"/>
  </r>
  <r>
    <n v="0"/>
    <s v="SO18381"/>
    <s v="8147"/>
    <m/>
    <s v="Hyperflo"/>
    <d v="2025-12-08T18:22:14"/>
    <d v="2025-12-11T14:45:01"/>
    <d v="2026-01-22T00:00:00"/>
    <s v="Alexis Gil Lamadrid"/>
    <s v="CAD"/>
    <n v="1"/>
    <n v="1006.02"/>
    <n v="0"/>
    <n v="730.61042369519976"/>
    <n v="958.11"/>
    <n v="47.91"/>
    <n v="1006.02"/>
    <s v="Processing"/>
    <m/>
    <n v="0"/>
    <n v="12"/>
    <n v="2025"/>
    <s v=""/>
    <s v=""/>
    <n v="0.72623846811713466"/>
    <x v="1103"/>
    <d v="2025-12-08T18:22:14"/>
    <x v="54"/>
    <s v="Not invoiced"/>
    <s v="Pending"/>
    <s v="8147"/>
    <x v="5"/>
    <x v="0"/>
    <n v="958.11"/>
    <n v="695.81633868770791"/>
    <n v="0.72623846811713466"/>
    <n v="0"/>
    <n v="0"/>
    <n v="958.11"/>
    <s v=""/>
    <x v="1"/>
    <x v="2"/>
    <s v="Pend"/>
    <s v="Pend"/>
  </r>
  <r>
    <n v="1"/>
    <s v="SO18383"/>
    <s v="PO10260"/>
    <s v="INV13810"/>
    <s v="Tantalum Mining Corporation of Canada"/>
    <d v="2025-12-09T11:13:07"/>
    <d v="2025-12-18T10:56:57"/>
    <d v="2025-12-23T00:00:00"/>
    <s v="Aleksandar Stankovic"/>
    <s v="CAD"/>
    <n v="1"/>
    <n v="3024.57"/>
    <n v="0"/>
    <n v="2197.5007878411839"/>
    <n v="2880.54"/>
    <n v="144.03"/>
    <n v="3024.57"/>
    <s v="Delivered"/>
    <m/>
    <n v="1"/>
    <n v="12"/>
    <n v="2025"/>
    <s v=""/>
    <s v=""/>
    <n v="0.7265498195912754"/>
    <x v="1104"/>
    <d v="2025-12-09T11:13:07"/>
    <x v="1225"/>
    <s v="Approved"/>
    <s v="Pending"/>
    <s v="PO10260"/>
    <x v="20"/>
    <x v="0"/>
    <n v="2880.54"/>
    <n v="2092.8558173254523"/>
    <n v="0.7265498195912754"/>
    <n v="-2880.54"/>
    <n v="0"/>
    <n v="0"/>
    <s v=""/>
    <x v="1"/>
    <x v="2"/>
    <s v="Pend"/>
    <s v="Pend"/>
  </r>
  <r>
    <n v="0"/>
    <s v="SO18384"/>
    <s v="PO-008497"/>
    <m/>
    <s v="Sling-Choker Manufacturing - Timmins"/>
    <d v="2025-12-09T13:32:06"/>
    <d v="2025-12-09T13:32:18"/>
    <d v="2025-12-12T00:00:00"/>
    <s v="Wilka Nuñez"/>
    <s v="CAD"/>
    <n v="1"/>
    <n v="2603.27"/>
    <n v="0"/>
    <n v="1881.7095708662609"/>
    <n v="2303.7800000000002"/>
    <n v="299.49"/>
    <n v="2603.27"/>
    <s v="To Deliver"/>
    <m/>
    <n v="0"/>
    <n v="12"/>
    <n v="2025"/>
    <s v=""/>
    <s v=""/>
    <n v="0.72282535844006224"/>
    <x v="1105"/>
    <d v="2025-12-09T13:32:06"/>
    <x v="54"/>
    <s v="Not invoiced"/>
    <s v="Pending"/>
    <s v="PO-008497"/>
    <x v="3"/>
    <x v="0"/>
    <n v="2303.7800000000002"/>
    <n v="1665.2306042670468"/>
    <n v="0.72282535844006224"/>
    <n v="0"/>
    <n v="0"/>
    <n v="2303.7800000000002"/>
    <s v=""/>
    <x v="1"/>
    <x v="2"/>
    <s v="Pend"/>
    <s v="Pend"/>
  </r>
  <r>
    <n v="1"/>
    <s v="SO18385"/>
    <s v="PO14275"/>
    <s v="INV13766"/>
    <s v="Manufacture Sling-Choker (Val-d’Or) Ltée"/>
    <d v="2025-12-09T14:44:28"/>
    <d v="2025-12-09T14:44:52"/>
    <d v="2025-12-16T00:00:00"/>
    <s v="Alexis Gil Lamadrid"/>
    <s v="CAD"/>
    <n v="1"/>
    <n v="878.69"/>
    <n v="0"/>
    <n v="635.13941420769856"/>
    <n v="836.85"/>
    <n v="41.84"/>
    <n v="878.69"/>
    <s v="Delivered"/>
    <m/>
    <n v="1"/>
    <n v="12"/>
    <n v="2025"/>
    <s v=""/>
    <s v=""/>
    <n v="0.72282535844006246"/>
    <x v="1106"/>
    <d v="2025-12-09T14:44:28"/>
    <x v="1226"/>
    <s v="Approved"/>
    <s v="Pending"/>
    <s v="PO14275"/>
    <x v="10"/>
    <x v="0"/>
    <n v="836.85"/>
    <n v="604.8964012105663"/>
    <n v="0.72282535844006246"/>
    <n v="-836.85"/>
    <n v="0"/>
    <n v="0"/>
    <s v=""/>
    <x v="1"/>
    <x v="2"/>
    <s v="Pend"/>
    <s v="Pend"/>
  </r>
  <r>
    <n v="0"/>
    <s v="SO18388"/>
    <s v="4500625954"/>
    <m/>
    <s v="Resolute Forest Products - Saint-Felicien"/>
    <d v="2025-12-10T10:51:14"/>
    <d v="2025-12-10T10:51:21"/>
    <d v="2026-03-04T00:00:00"/>
    <s v="Ian Trottier"/>
    <s v="CAD"/>
    <n v="1"/>
    <n v="5085.2700000000004"/>
    <n v="0"/>
    <n v="3675.4738016684319"/>
    <n v="4843.1099999999997"/>
    <n v="242.16"/>
    <n v="5085.2700000000004"/>
    <s v="Processing"/>
    <m/>
    <n v="0"/>
    <n v="12"/>
    <n v="2025"/>
    <s v=""/>
    <s v=""/>
    <n v="0.72276866354558"/>
    <x v="1107"/>
    <d v="2025-12-10T10:51:14"/>
    <x v="54"/>
    <s v="Not invoiced"/>
    <s v="Pending"/>
    <s v="4500625954"/>
    <x v="46"/>
    <x v="0"/>
    <n v="4843.1099999999997"/>
    <n v="3500.4481421042337"/>
    <n v="0.72276866354558"/>
    <n v="0"/>
    <n v="0"/>
    <n v="4843.1099999999997"/>
    <s v=""/>
    <x v="1"/>
    <x v="2"/>
    <s v="Pend"/>
    <s v="Pend"/>
  </r>
  <r>
    <n v="1"/>
    <s v="SO18389"/>
    <s v="4500625971"/>
    <s v="INV13768"/>
    <s v="Resolute Forest Products - Saint-Felicien"/>
    <d v="2025-12-10T11:49:54"/>
    <d v="2025-12-11T13:05:01"/>
    <d v="2025-12-14T00:00:00"/>
    <s v="Ian Trottier"/>
    <s v="CAD"/>
    <n v="1"/>
    <n v="418.03"/>
    <n v="0"/>
    <n v="303.58946682700582"/>
    <n v="398.12"/>
    <n v="19.91"/>
    <n v="418.03"/>
    <s v="Delivered"/>
    <m/>
    <n v="1"/>
    <n v="12"/>
    <n v="2025"/>
    <s v=""/>
    <s v=""/>
    <n v="0.72623846811713477"/>
    <x v="1108"/>
    <d v="2025-12-10T11:49:54"/>
    <x v="1227"/>
    <s v="Approved"/>
    <s v="Pending"/>
    <s v="4500625971"/>
    <x v="46"/>
    <x v="0"/>
    <n v="398.12"/>
    <n v="289.13005892679371"/>
    <n v="0.72623846811713477"/>
    <n v="-398.12"/>
    <n v="0"/>
    <n v="0"/>
    <s v=""/>
    <x v="1"/>
    <x v="2"/>
    <s v="Pend"/>
    <s v="Pend"/>
  </r>
  <r>
    <n v="1"/>
    <s v="SO18392"/>
    <s v="PO-40-1020047"/>
    <s v="INV13786"/>
    <s v="Canadian Bearings Ltd."/>
    <d v="2025-12-10T13:25:50"/>
    <d v="2025-12-16T10:42:23"/>
    <d v="2025-12-22T00:00:00"/>
    <s v="Alexis Gil Lamadrid"/>
    <s v="CAD"/>
    <n v="1"/>
    <n v="367.91"/>
    <n v="0"/>
    <n v="267.58481294991691"/>
    <n v="350.39"/>
    <n v="17.52"/>
    <n v="367.91"/>
    <s v="Delivered"/>
    <m/>
    <n v="1"/>
    <n v="12"/>
    <n v="2025"/>
    <s v=""/>
    <s v=""/>
    <n v="0.72731051874077057"/>
    <x v="1109"/>
    <d v="2025-12-10T13:25:50"/>
    <x v="1228"/>
    <s v="Approved"/>
    <s v="Pending"/>
    <s v="PO-40-1020047"/>
    <x v="38"/>
    <x v="0"/>
    <n v="350.39"/>
    <n v="254.84233266157858"/>
    <n v="0.72731051874077057"/>
    <n v="-350.39"/>
    <n v="0"/>
    <n v="0"/>
    <s v=""/>
    <x v="1"/>
    <x v="2"/>
    <s v="Pend"/>
    <s v="Pend"/>
  </r>
  <r>
    <n v="0"/>
    <s v="SO18395"/>
    <s v="OC00241"/>
    <m/>
    <s v="Dynapro Pumps México S de RL de CV"/>
    <d v="2025-12-10T16:58:31"/>
    <d v="2025-12-10T16:58:32"/>
    <d v="2026-01-31T00:00:00"/>
    <s v="Yannett Yeomans"/>
    <s v="USD"/>
    <n v="0.72282535844006246"/>
    <n v="15909.79047112885"/>
    <n v="0"/>
    <n v="11500"/>
    <n v="11500"/>
    <m/>
    <n v="11500"/>
    <s v="Processing"/>
    <m/>
    <n v="0"/>
    <n v="12"/>
    <n v="2025"/>
    <s v=""/>
    <s v=""/>
    <n v="0.72282535844006235"/>
    <x v="1110"/>
    <d v="2025-12-10T16:58:31"/>
    <x v="54"/>
    <s v="Not invoiced"/>
    <s v="Pending"/>
    <s v="OC00241"/>
    <x v="54"/>
    <x v="1"/>
    <n v="15909.790471128848"/>
    <n v="11500"/>
    <n v="0.72282535844006246"/>
    <n v="0"/>
    <n v="0"/>
    <s v=""/>
    <n v="11500"/>
    <x v="1"/>
    <x v="2"/>
    <s v="Pend"/>
    <s v="Pend"/>
  </r>
  <r>
    <n v="1"/>
    <s v="SO18402"/>
    <s v="#17183"/>
    <s v="INV13801"/>
    <s v="Industrial Rigging &amp; Supply"/>
    <d v="2025-12-11T11:51:13"/>
    <d v="2025-12-15T10:00:37"/>
    <m/>
    <s v="Wilka Nuñez"/>
    <s v="CAD"/>
    <n v="1"/>
    <n v="1434.24"/>
    <n v="0"/>
    <n v="1041.8463102389121"/>
    <n v="1269.24"/>
    <n v="165"/>
    <n v="1434.24"/>
    <s v="Processing"/>
    <m/>
    <n v="1"/>
    <n v="12"/>
    <n v="2025"/>
    <s v=""/>
    <s v=""/>
    <n v="0.72641002219915218"/>
    <x v="1111"/>
    <d v="2025-12-11T11:51:13"/>
    <x v="1229"/>
    <s v="Approved"/>
    <s v="Pending"/>
    <s v="#17183"/>
    <x v="32"/>
    <x v="0"/>
    <n v="1269.24"/>
    <n v="921.98865657605188"/>
    <n v="0.72641002219915218"/>
    <n v="-846.16"/>
    <n v="0"/>
    <n v="423.08000000000004"/>
    <s v=""/>
    <x v="1"/>
    <x v="2"/>
    <s v="Pend"/>
    <s v="Pend"/>
  </r>
  <r>
    <n v="0"/>
    <s v="SO18411"/>
    <s v="8151"/>
    <m/>
    <s v="Hyperflo, Hyperflo"/>
    <d v="2025-12-11T17:37:02"/>
    <d v="2025-12-12T10:08:34"/>
    <d v="2025-12-16T00:00:00"/>
    <s v="Aleksandar Stankovic"/>
    <s v="CAD"/>
    <n v="1"/>
    <n v="1006.1"/>
    <n v="0"/>
    <n v="729.81785253018995"/>
    <n v="958.19"/>
    <n v="47.91"/>
    <n v="1006.1"/>
    <s v="To Deliver"/>
    <m/>
    <n v="0"/>
    <n v="12"/>
    <n v="2025"/>
    <s v=""/>
    <s v=""/>
    <n v="0.72539295550162997"/>
    <x v="1112"/>
    <d v="2025-12-11T17:37:02"/>
    <x v="54"/>
    <s v="Not invoiced"/>
    <s v="Pending"/>
    <s v="8151"/>
    <x v="97"/>
    <x v="0"/>
    <n v="958.19"/>
    <n v="695.06427603210682"/>
    <n v="0.72539295550162997"/>
    <n v="0"/>
    <n v="0"/>
    <n v="958.19"/>
    <s v=""/>
    <x v="1"/>
    <x v="2"/>
    <s v="Pend"/>
    <s v="Pend"/>
  </r>
  <r>
    <n v="1"/>
    <s v="SO18413"/>
    <s v="144241"/>
    <s v="INV13794"/>
    <s v="TC Industries of Canada Co."/>
    <d v="2025-12-12T10:29:09"/>
    <d v="2025-12-12T18:57:43"/>
    <d v="2026-01-07T00:00:00"/>
    <s v="Ian Trottier"/>
    <s v="CAD"/>
    <n v="1"/>
    <n v="1065.01"/>
    <n v="0"/>
    <n v="772.55075153879091"/>
    <n v="1014.3"/>
    <n v="50.71"/>
    <n v="1065.01"/>
    <s v="Delivered"/>
    <m/>
    <n v="1"/>
    <n v="12"/>
    <n v="2025"/>
    <s v=""/>
    <s v=""/>
    <n v="0.72539295550162997"/>
    <x v="1113"/>
    <d v="2025-12-12T10:29:09"/>
    <x v="1230"/>
    <s v="Approved"/>
    <s v="Pending"/>
    <s v="144241"/>
    <x v="113"/>
    <x v="0"/>
    <n v="1014.3"/>
    <n v="735.76607476530319"/>
    <n v="0.72539295550162997"/>
    <n v="-1014.3"/>
    <n v="0"/>
    <n v="0"/>
    <s v=""/>
    <x v="1"/>
    <x v="2"/>
    <s v="Pend"/>
    <s v="Pend"/>
  </r>
  <r>
    <n v="1"/>
    <s v="SO18416"/>
    <s v="2100715890"/>
    <s v="INV13832"/>
    <s v="Wajax Limited - Noranda"/>
    <d v="2025-12-12T14:14:07"/>
    <d v="2025-12-16T17:55:16"/>
    <d v="2026-01-09T00:00:00"/>
    <s v="Aleksandar Stankovic"/>
    <s v="CAD"/>
    <n v="1"/>
    <n v="173.13"/>
    <n v="0"/>
    <n v="125.9192701095896"/>
    <n v="164.89"/>
    <n v="8.24"/>
    <n v="173.13"/>
    <s v="Delivered"/>
    <m/>
    <n v="1"/>
    <n v="12"/>
    <n v="2025"/>
    <s v=""/>
    <s v=""/>
    <n v="0.72731051874077057"/>
    <x v="1114"/>
    <d v="2025-12-12T14:14:07"/>
    <x v="1231"/>
    <s v="Not invoiced"/>
    <s v="Pending"/>
    <s v="2100715890"/>
    <x v="35"/>
    <x v="0"/>
    <n v="164.89"/>
    <n v="119.92623143516565"/>
    <n v="0.72731051874077057"/>
    <n v="0"/>
    <n v="0"/>
    <n v="164.89"/>
    <s v=""/>
    <x v="1"/>
    <x v="2"/>
    <s v="Pend"/>
    <s v="Pend"/>
  </r>
  <r>
    <n v="1"/>
    <s v="SO18417"/>
    <s v="M-084226"/>
    <s v="INV13785"/>
    <s v="Grant Aggregate"/>
    <d v="2025-12-12T17:51:43"/>
    <d v="2025-12-12T17:57:56"/>
    <d v="2026-03-06T00:00:00"/>
    <s v="Ian Trottier"/>
    <s v="CAD"/>
    <n v="1"/>
    <n v="6849.11"/>
    <n v="0"/>
    <n v="4968.296145455769"/>
    <n v="6061.16"/>
    <n v="787.95"/>
    <n v="6849.11"/>
    <s v="Processing"/>
    <m/>
    <n v="1"/>
    <n v="12"/>
    <n v="2025"/>
    <s v=""/>
    <s v=""/>
    <n v="0.72539295550163008"/>
    <x v="1115"/>
    <d v="2025-12-12T17:51:43"/>
    <x v="1232"/>
    <s v="Approved"/>
    <s v="Pending"/>
    <s v="M-084226"/>
    <x v="9"/>
    <x v="0"/>
    <n v="6061.16"/>
    <n v="4396.72276616826"/>
    <n v="0.72539295550163008"/>
    <n v="-4395.1400000000003"/>
    <n v="0"/>
    <n v="1666.0199999999995"/>
    <s v=""/>
    <x v="1"/>
    <x v="2"/>
    <s v="Pend"/>
    <s v="Pend"/>
  </r>
  <r>
    <n v="0"/>
    <s v="SO18419"/>
    <s v="4501355648"/>
    <m/>
    <s v="Barrick Gold - Pueblo Viejo Dominicana Corporation"/>
    <d v="2025-12-15T08:57:54"/>
    <d v="2025-12-15T09:23:39"/>
    <d v="2026-04-20T00:00:00"/>
    <s v="Wilka Nuñez"/>
    <s v="USD"/>
    <n v="0.7258314283835291"/>
    <n v="45786.554150751821"/>
    <n v="0"/>
    <n v="33233.32"/>
    <n v="33233.32"/>
    <m/>
    <n v="33233.32"/>
    <s v="To Deliver"/>
    <m/>
    <n v="0"/>
    <n v="12"/>
    <n v="2025"/>
    <s v=""/>
    <s v=""/>
    <n v="0.7258314283835291"/>
    <x v="1116"/>
    <d v="2025-12-15T08:57:54"/>
    <x v="54"/>
    <s v="Not invoiced"/>
    <s v="Pending"/>
    <s v="4501355648"/>
    <x v="15"/>
    <x v="1"/>
    <n v="45786.554150751821"/>
    <n v="33233.32"/>
    <n v="0.7258314283835291"/>
    <n v="0"/>
    <n v="0"/>
    <s v=""/>
    <n v="33233.32"/>
    <x v="1"/>
    <x v="2"/>
    <s v="Pend"/>
    <s v="Pend"/>
  </r>
  <r>
    <n v="1"/>
    <s v="SO18420"/>
    <s v="4500626351"/>
    <s v="INV13828"/>
    <s v="Resolute Forest Products - Saint-Felicien"/>
    <d v="2025-12-15T09:43:37"/>
    <d v="2025-12-15T11:38:10"/>
    <d v="2026-03-09T00:00:00"/>
    <s v="Ian Trottier"/>
    <s v="CAD"/>
    <n v="1"/>
    <n v="1506.2"/>
    <n v="0"/>
    <n v="1094.118775436363"/>
    <n v="1434.48"/>
    <n v="71.72"/>
    <n v="1506.2"/>
    <s v="Delivered"/>
    <m/>
    <n v="1"/>
    <n v="12"/>
    <n v="2025"/>
    <s v=""/>
    <s v=""/>
    <n v="0.72641002219915207"/>
    <x v="1117"/>
    <d v="2025-12-15T09:43:37"/>
    <x v="1233"/>
    <s v="Not invoiced"/>
    <s v="Pending"/>
    <s v="4500626351"/>
    <x v="46"/>
    <x v="0"/>
    <n v="1434.48"/>
    <n v="1042.0206486442396"/>
    <n v="0.72641002219915207"/>
    <n v="0"/>
    <n v="0"/>
    <n v="1434.48"/>
    <s v=""/>
    <x v="1"/>
    <x v="2"/>
    <s v="Pend"/>
    <s v="Pend"/>
  </r>
  <r>
    <n v="0"/>
    <s v="SO18423"/>
    <s v="607089"/>
    <m/>
    <s v="Sealtrac Inc."/>
    <d v="2025-12-15T12:26:57"/>
    <d v="2025-12-15T12:27:04"/>
    <d v="2025-12-16T00:00:00"/>
    <s v="Ian Trottier"/>
    <s v="CAD"/>
    <n v="1"/>
    <n v="242.81"/>
    <n v="0"/>
    <n v="176.37961749017609"/>
    <n v="214.88"/>
    <n v="27.93"/>
    <n v="242.81"/>
    <s v="To Deliver"/>
    <m/>
    <n v="0"/>
    <n v="12"/>
    <n v="2025"/>
    <s v=""/>
    <s v=""/>
    <n v="0.72641002219915196"/>
    <x v="1118"/>
    <d v="2025-12-15T12:26:57"/>
    <x v="54"/>
    <s v="Not invoiced"/>
    <s v="Pending"/>
    <s v="607089"/>
    <x v="50"/>
    <x v="0"/>
    <n v="214.88"/>
    <n v="156.09098557015378"/>
    <n v="0.72641002219915196"/>
    <n v="0"/>
    <n v="0"/>
    <n v="214.88"/>
    <s v=""/>
    <x v="1"/>
    <x v="2"/>
    <s v="Pend"/>
    <s v="Pend"/>
  </r>
  <r>
    <n v="1"/>
    <s v="SO18424"/>
    <s v="PO-044166"/>
    <s v="INV13814"/>
    <s v="Southeast Pump Specialist, Inc."/>
    <d v="2025-12-15T13:30:42"/>
    <d v="2025-12-15T13:30:42"/>
    <d v="2025-12-23T00:00:00"/>
    <s v="Leriel Reyes"/>
    <s v="USD"/>
    <n v="0.7258314283835291"/>
    <n v="11928.54106535748"/>
    <n v="0"/>
    <n v="8658.11"/>
    <n v="8658.11"/>
    <m/>
    <n v="8658.11"/>
    <s v="Delivered"/>
    <m/>
    <n v="1"/>
    <n v="12"/>
    <n v="2025"/>
    <s v=""/>
    <s v=""/>
    <n v="0.72583142838352888"/>
    <x v="1119"/>
    <d v="2025-12-15T13:30:42"/>
    <x v="1234"/>
    <s v="Approved"/>
    <s v="Pending"/>
    <s v="PO-044166"/>
    <x v="26"/>
    <x v="1"/>
    <n v="11928.541065357476"/>
    <n v="8658.11"/>
    <n v="0.7258314283835291"/>
    <n v="0"/>
    <n v="-8658.11"/>
    <s v=""/>
    <n v="0"/>
    <x v="1"/>
    <x v="2"/>
    <s v="Pend"/>
    <s v="Pend"/>
  </r>
  <r>
    <n v="1"/>
    <s v="SO18425"/>
    <s v="2100713917"/>
    <s v="INV13787"/>
    <s v="Wajax Limited - Val D'Or, Wajax Limited - Val D'Or"/>
    <d v="2025-12-15T13:54:30"/>
    <d v="2025-12-15T14:17:10"/>
    <d v="2025-12-15T00:00:00"/>
    <s v="Marlen Martinez"/>
    <s v="CAD"/>
    <n v="1"/>
    <n v="471.22"/>
    <n v="0"/>
    <n v="342.29893066068428"/>
    <n v="448.78"/>
    <n v="22.44"/>
    <n v="471.22"/>
    <s v="Delivered"/>
    <m/>
    <n v="1"/>
    <n v="12"/>
    <n v="2025"/>
    <s v=""/>
    <s v=""/>
    <n v="0.72641002219915174"/>
    <x v="1120"/>
    <d v="2025-12-15T13:54:30"/>
    <x v="1235"/>
    <s v="Approved"/>
    <s v="Pending"/>
    <s v="2100713917"/>
    <x v="160"/>
    <x v="0"/>
    <n v="448.78"/>
    <n v="325.99828976253531"/>
    <n v="0.72641002219915174"/>
    <n v="-448.78"/>
    <n v="0"/>
    <n v="0"/>
    <s v=""/>
    <x v="1"/>
    <x v="2"/>
    <s v="Pend"/>
    <s v="Pend"/>
  </r>
  <r>
    <n v="1"/>
    <s v="SO18429"/>
    <s v="PO-044181"/>
    <s v="INV13813"/>
    <s v="Southeast Pump Specialist, Inc."/>
    <d v="2025-12-16T12:26:19"/>
    <d v="2025-12-16T14:27:47"/>
    <d v="2025-12-19T00:00:00"/>
    <s v="Wilka Nuñez"/>
    <s v="USD"/>
    <n v="0.72641002219915185"/>
    <n v="6547.2114297125026"/>
    <n v="0"/>
    <n v="4755.96"/>
    <n v="4755.96"/>
    <m/>
    <n v="4755.96"/>
    <s v="Delivered"/>
    <m/>
    <n v="1"/>
    <n v="12"/>
    <n v="2025"/>
    <s v=""/>
    <s v=""/>
    <n v="0.72641002219915185"/>
    <x v="1121"/>
    <d v="2025-12-16T12:26:19"/>
    <x v="1236"/>
    <s v="Approved"/>
    <s v="Pending"/>
    <s v="PO-044181"/>
    <x v="26"/>
    <x v="1"/>
    <n v="6547.2114297125026"/>
    <n v="4755.96"/>
    <n v="0.72641002219915185"/>
    <n v="0"/>
    <n v="-4755.96"/>
    <s v=""/>
    <n v="0"/>
    <x v="1"/>
    <x v="2"/>
    <s v="Pend"/>
    <s v="Pend"/>
  </r>
  <r>
    <n v="1"/>
    <s v="SO18431"/>
    <s v="PO 2410"/>
    <s v="INV13802"/>
    <s v="FMI Products"/>
    <d v="2025-12-16T13:39:15"/>
    <d v="2025-12-17T13:32:38"/>
    <d v="2026-01-02T00:00:00"/>
    <s v="Aleksandar Stankovic"/>
    <s v="CAD"/>
    <n v="1"/>
    <n v="107.94"/>
    <n v="0"/>
    <n v="78.245352700321064"/>
    <n v="102.8"/>
    <n v="5.14"/>
    <n v="107.94"/>
    <s v="Delivered"/>
    <m/>
    <n v="1"/>
    <n v="12"/>
    <n v="2025"/>
    <s v=""/>
    <s v=""/>
    <n v="0.72489672688828111"/>
    <x v="1122"/>
    <d v="2025-12-16T13:39:15"/>
    <x v="1237"/>
    <s v="Approved"/>
    <s v="Pending"/>
    <s v="PO 2410"/>
    <x v="18"/>
    <x v="0"/>
    <n v="102.8"/>
    <n v="74.519383524115298"/>
    <n v="0.72489672688828111"/>
    <n v="-102.8"/>
    <n v="0"/>
    <n v="0"/>
    <s v=""/>
    <x v="1"/>
    <x v="2"/>
    <s v="Pend"/>
    <s v="Pend"/>
  </r>
  <r>
    <n v="1"/>
    <s v="SO18432"/>
    <s v="MB21-00195697"/>
    <s v="INV13829"/>
    <s v="Motion Industries Inc. (Canada) - Winnipeg"/>
    <d v="2025-12-16T13:46:29"/>
    <d v="2025-12-22T14:31:34"/>
    <d v="2025-12-29T00:00:00"/>
    <s v="Aleksandar Stankovic"/>
    <s v="CAD"/>
    <n v="1"/>
    <n v="105"/>
    <n v="0"/>
    <n v="76.389850163842553"/>
    <n v="100"/>
    <n v="5"/>
    <n v="105"/>
    <s v="Delivered"/>
    <m/>
    <n v="1"/>
    <n v="12"/>
    <n v="2025"/>
    <s v=""/>
    <s v=""/>
    <n v="0.72752238251278623"/>
    <x v="1123"/>
    <d v="2025-12-16T13:46:29"/>
    <x v="1238"/>
    <s v="Not invoiced"/>
    <s v="Pending"/>
    <s v="MB21-00195697"/>
    <x v="23"/>
    <x v="0"/>
    <n v="100"/>
    <n v="72.752238251278627"/>
    <n v="0.72752238251278623"/>
    <n v="0"/>
    <n v="0"/>
    <n v="100"/>
    <s v=""/>
    <x v="1"/>
    <x v="2"/>
    <s v="Pend"/>
    <s v="Pend"/>
  </r>
  <r>
    <n v="0"/>
    <s v="SO18433"/>
    <s v="4500626853"/>
    <m/>
    <s v="Resolute Forest Products - Dolbeau"/>
    <d v="2025-12-16T13:59:13"/>
    <d v="2025-12-16T17:26:38"/>
    <d v="2026-03-10T00:00:00"/>
    <s v="Ian Trottier"/>
    <s v="USD"/>
    <n v="0.72641002219915185"/>
    <n v="11122.850391765191"/>
    <n v="0"/>
    <n v="8079.75"/>
    <n v="7695"/>
    <n v="384.75"/>
    <n v="8079.75"/>
    <s v="Processing"/>
    <m/>
    <n v="0"/>
    <n v="12"/>
    <n v="2025"/>
    <s v=""/>
    <s v=""/>
    <n v="0.72641002219915207"/>
    <x v="1124"/>
    <d v="2025-12-16T13:59:13"/>
    <x v="54"/>
    <s v="Not invoiced"/>
    <s v="Pending"/>
    <s v="4500626853"/>
    <x v="55"/>
    <x v="1"/>
    <n v="10593.190849300185"/>
    <n v="7695"/>
    <n v="0.72641002219915185"/>
    <n v="0"/>
    <n v="0"/>
    <s v=""/>
    <n v="7695"/>
    <x v="1"/>
    <x v="2"/>
    <s v="Pend"/>
    <s v="Pend"/>
  </r>
  <r>
    <n v="2"/>
    <s v="SO18434"/>
    <s v="2004-10223058/335 - Paid in full on Jan 5th 2026"/>
    <s v="INV13837"/>
    <s v="Yossi Avisar Technologies Ltd."/>
    <d v="2025-12-16T14:28:28"/>
    <d v="2025-12-31T11:25:28"/>
    <d v="2026-01-05T00:00:00"/>
    <s v="Ian Trottier"/>
    <s v="USD"/>
    <n v="0.73094557927967363"/>
    <n v="9008.3861051447602"/>
    <n v="0"/>
    <n v="6584.64"/>
    <n v="6584.64"/>
    <m/>
    <n v="6584.64"/>
    <s v="Delivered"/>
    <m/>
    <n v="2"/>
    <n v="12"/>
    <n v="2025"/>
    <s v=""/>
    <s v=""/>
    <n v="0.73094557927967374"/>
    <x v="1125"/>
    <d v="2025-12-16T14:28:28"/>
    <x v="1239"/>
    <s v="Not invoiced"/>
    <s v="Pending"/>
    <s v="2004-10223058/335 - Paid in full on Jan 5th 2026"/>
    <x v="161"/>
    <x v="1"/>
    <n v="9008.3861051447602"/>
    <n v="6584.64"/>
    <n v="0.73094557927967374"/>
    <n v="0"/>
    <n v="0"/>
    <s v=""/>
    <n v="6584.64"/>
    <x v="1"/>
    <x v="1"/>
    <s v="Pend"/>
    <s v="Pend"/>
  </r>
  <r>
    <m/>
    <m/>
    <m/>
    <s v="INV13812"/>
    <m/>
    <m/>
    <m/>
    <m/>
    <m/>
    <m/>
    <m/>
    <m/>
    <m/>
    <m/>
    <m/>
    <m/>
    <m/>
    <m/>
    <m/>
    <n v="2"/>
    <n v="12"/>
    <n v="2025"/>
    <n v="1"/>
    <n v="2026"/>
    <n v="0.73094557927967374"/>
    <x v="1125"/>
    <d v="2025-12-16T14:28:28"/>
    <x v="1240"/>
    <s v="Paid"/>
    <d v="2026-01-05T00:00:00"/>
    <s v="2004-10223058/335 - Paid in full on Jan 5th 2026"/>
    <x v="161"/>
    <x v="1"/>
    <n v="0"/>
    <n v="0"/>
    <n v="0"/>
    <n v="0"/>
    <n v="-6584.64"/>
    <s v=""/>
    <n v="-6584.64"/>
    <x v="0"/>
    <x v="1"/>
    <s v="Pend"/>
    <s v="Pend"/>
  </r>
  <r>
    <n v="0"/>
    <s v="SO18435"/>
    <s v="2100716052"/>
    <m/>
    <s v="Wajax Limited - Val D'Or, Wajax Limited - Val D'Or"/>
    <d v="2025-12-16T16:19:51"/>
    <d v="2025-12-17T09:46:35"/>
    <d v="2026-01-11T00:00:00"/>
    <s v="Aleksandar Stankovic"/>
    <s v="CAD"/>
    <n v="1"/>
    <n v="523.91"/>
    <n v="0"/>
    <n v="379.78064418403932"/>
    <n v="498.96"/>
    <n v="24.95"/>
    <n v="523.91"/>
    <s v="Processing"/>
    <m/>
    <n v="0"/>
    <n v="12"/>
    <n v="2025"/>
    <s v=""/>
    <s v=""/>
    <n v="0.72489672688828111"/>
    <x v="1126"/>
    <d v="2025-12-16T16:19:51"/>
    <x v="54"/>
    <s v="Not invoiced"/>
    <s v="Pending"/>
    <s v="2100716052"/>
    <x v="160"/>
    <x v="0"/>
    <n v="498.96"/>
    <n v="361.69447084817671"/>
    <n v="0.72489672688828111"/>
    <n v="0"/>
    <n v="0"/>
    <n v="498.96"/>
    <s v=""/>
    <x v="1"/>
    <x v="2"/>
    <s v="Pend"/>
    <s v="Pend"/>
  </r>
  <r>
    <n v="0"/>
    <s v="SO18436"/>
    <s v="4512632354"/>
    <m/>
    <s v="PT Vale Indonesia Tbk."/>
    <d v="2025-12-17T09:25:53"/>
    <d v="2025-12-17T09:26:54"/>
    <d v="2026-02-06T00:00:00"/>
    <s v="Ian Trottier"/>
    <s v="USD"/>
    <n v="0.72641002219915185"/>
    <n v="1024.214943714014"/>
    <n v="0"/>
    <n v="744"/>
    <n v="744"/>
    <m/>
    <n v="744"/>
    <s v="Processing"/>
    <m/>
    <n v="0"/>
    <n v="12"/>
    <n v="2025"/>
    <s v=""/>
    <s v=""/>
    <n v="0.72641002219915185"/>
    <x v="1127"/>
    <d v="2025-12-17T09:25:53"/>
    <x v="54"/>
    <s v="Not invoiced"/>
    <s v="Pending"/>
    <s v="4512632354"/>
    <x v="42"/>
    <x v="1"/>
    <n v="1024.214943714014"/>
    <n v="744"/>
    <n v="0.72641002219915185"/>
    <n v="0"/>
    <n v="0"/>
    <s v=""/>
    <n v="744"/>
    <x v="1"/>
    <x v="2"/>
    <s v="Pend"/>
    <s v="Pend"/>
  </r>
  <r>
    <n v="0"/>
    <s v="SO18437"/>
    <s v="4512632355"/>
    <m/>
    <s v="PT Vale Indonesia Tbk."/>
    <d v="2025-12-17T09:35:53"/>
    <d v="2025-12-17T09:35:55"/>
    <d v="2026-02-06T00:00:00"/>
    <s v="Ian Trottier"/>
    <s v="USD"/>
    <n v="0.72641002219915185"/>
    <n v="1024.214943714014"/>
    <n v="0"/>
    <n v="744"/>
    <n v="744"/>
    <m/>
    <n v="744"/>
    <s v="Processing"/>
    <m/>
    <n v="0"/>
    <n v="12"/>
    <n v="2025"/>
    <s v=""/>
    <s v=""/>
    <n v="0.72641002219915185"/>
    <x v="1128"/>
    <d v="2025-12-17T09:35:53"/>
    <x v="54"/>
    <s v="Not invoiced"/>
    <s v="Pending"/>
    <s v="4512632355"/>
    <x v="42"/>
    <x v="1"/>
    <n v="1024.214943714014"/>
    <n v="744"/>
    <n v="0.72641002219915185"/>
    <n v="0"/>
    <n v="0"/>
    <s v=""/>
    <n v="744"/>
    <x v="1"/>
    <x v="2"/>
    <s v="Pend"/>
    <s v="Pend"/>
  </r>
  <r>
    <n v="0"/>
    <s v="SO18440"/>
    <s v="AZ52-00117403"/>
    <m/>
    <s v="Motion Industries Inc. (U.S.) - Tucson"/>
    <d v="2025-12-17T12:40:23"/>
    <d v="2025-12-18T09:04:58"/>
    <d v="2026-03-12T00:00:00"/>
    <s v="Wilka Nuñez"/>
    <s v="USD"/>
    <n v="0.72731051874077046"/>
    <n v="3586.446136536234"/>
    <n v="0"/>
    <n v="2608.46"/>
    <n v="2608.46"/>
    <m/>
    <n v="2608.46"/>
    <s v="Processing"/>
    <m/>
    <n v="0"/>
    <n v="12"/>
    <n v="2025"/>
    <s v=""/>
    <s v=""/>
    <n v="0.72731051874077035"/>
    <x v="1129"/>
    <d v="2025-12-17T12:40:23"/>
    <x v="54"/>
    <s v="Not invoiced"/>
    <s v="Pending"/>
    <s v="AZ52-00117403"/>
    <x v="28"/>
    <x v="1"/>
    <n v="3586.4461365362336"/>
    <n v="2608.46"/>
    <n v="0.72731051874077046"/>
    <n v="0"/>
    <n v="0"/>
    <s v=""/>
    <n v="2608.46"/>
    <x v="1"/>
    <x v="2"/>
    <s v="Pend"/>
    <s v="Pend"/>
  </r>
  <r>
    <n v="1"/>
    <s v="SO18444"/>
    <s v="4500923304"/>
    <s v="INV13800"/>
    <s v="Cameco Corporation - Blind River Refinery"/>
    <d v="2025-12-17T17:59:35"/>
    <d v="2025-12-17T17:59:38"/>
    <d v="2025-12-18T00:00:00"/>
    <s v="Ian Trottier"/>
    <s v="CAD"/>
    <n v="1"/>
    <n v="219.41"/>
    <n v="0"/>
    <n v="159.04959084655769"/>
    <n v="194.17"/>
    <n v="25.24"/>
    <n v="219.41"/>
    <s v="Delivered"/>
    <m/>
    <n v="1"/>
    <n v="12"/>
    <n v="2025"/>
    <s v=""/>
    <s v=""/>
    <n v="0.72489672688828077"/>
    <x v="1130"/>
    <d v="2025-12-17T17:59:35"/>
    <x v="1241"/>
    <s v="Approved"/>
    <s v="Pending"/>
    <s v="4500923304"/>
    <x v="92"/>
    <x v="0"/>
    <n v="194.17"/>
    <n v="140.75319745989748"/>
    <n v="0.72489672688828077"/>
    <n v="-194.17"/>
    <n v="0"/>
    <n v="0"/>
    <s v=""/>
    <x v="1"/>
    <x v="2"/>
    <s v="Pend"/>
    <s v="Pend"/>
  </r>
  <r>
    <n v="1"/>
    <s v="SO18445"/>
    <s v="PO-008523"/>
    <s v="INV13809"/>
    <s v="Sling-Choker Manufacturing - Timmins"/>
    <d v="2025-12-18T14:52:34"/>
    <d v="2025-12-22T15:50:25"/>
    <m/>
    <s v="Wilka Nuñez"/>
    <s v="CAD"/>
    <n v="1"/>
    <n v="15547.2"/>
    <n v="0"/>
    <n v="11310.93598540279"/>
    <n v="13758.59"/>
    <n v="1788.61"/>
    <n v="15547.2"/>
    <s v="Processing"/>
    <m/>
    <n v="1"/>
    <n v="12"/>
    <n v="2025"/>
    <s v=""/>
    <s v=""/>
    <n v="0.72752238251278623"/>
    <x v="1131"/>
    <d v="2025-12-18T14:52:34"/>
    <x v="1242"/>
    <s v="Approved"/>
    <s v="Pending"/>
    <s v="PO-008523"/>
    <x v="3"/>
    <x v="0"/>
    <n v="13758.59"/>
    <n v="10009.682176816596"/>
    <n v="0.72752238251278623"/>
    <n v="-197.62"/>
    <n v="0"/>
    <n v="13560.97"/>
    <s v=""/>
    <x v="1"/>
    <x v="2"/>
    <s v="Pend"/>
    <s v="Pend"/>
  </r>
  <r>
    <n v="0"/>
    <s v="SO18446"/>
    <s v="4500627804"/>
    <m/>
    <s v="Resolute Forest Products - Saint-Felicien"/>
    <d v="2025-12-18T17:53:36"/>
    <d v="2025-12-22T17:50:05"/>
    <d v="2026-01-19T00:00:00"/>
    <s v="Ian Trottier"/>
    <s v="CAD"/>
    <n v="1"/>
    <n v="1465.82"/>
    <n v="0"/>
    <n v="1066.416858734892"/>
    <n v="1297.19"/>
    <n v="168.63"/>
    <n v="1465.82"/>
    <s v="Processing"/>
    <m/>
    <n v="0"/>
    <n v="12"/>
    <n v="2025"/>
    <s v=""/>
    <s v=""/>
    <n v="0.727522382512786"/>
    <x v="1132"/>
    <d v="2025-12-18T17:53:36"/>
    <x v="54"/>
    <s v="Not invoiced"/>
    <s v="Pending"/>
    <s v="4500627804"/>
    <x v="46"/>
    <x v="0"/>
    <n v="1297.19"/>
    <n v="943.7347593717609"/>
    <n v="0.727522382512786"/>
    <n v="0"/>
    <n v="0"/>
    <n v="1297.19"/>
    <s v=""/>
    <x v="1"/>
    <x v="2"/>
    <s v="Pend"/>
    <s v="Pend"/>
  </r>
  <r>
    <n v="1"/>
    <s v="SO18452"/>
    <s v="8196"/>
    <s v="INV13798"/>
    <s v="Hyperflo"/>
    <d v="2025-12-19T11:22:53"/>
    <d v="2025-12-19T15:36:17"/>
    <d v="2025-12-22T00:00:00"/>
    <s v="Aleksandar Stankovic"/>
    <s v="CAD"/>
    <n v="1"/>
    <n v="181.21"/>
    <n v="0"/>
    <n v="131.48285396781159"/>
    <n v="172.58"/>
    <n v="8.6300000000000008"/>
    <n v="181.21"/>
    <s v="Delivered"/>
    <m/>
    <n v="1"/>
    <n v="12"/>
    <n v="2025"/>
    <s v=""/>
    <s v=""/>
    <n v="0.72558277119260295"/>
    <x v="1133"/>
    <d v="2025-12-19T11:22:53"/>
    <x v="1243"/>
    <s v="Approved"/>
    <s v="Pending"/>
    <s v="8196"/>
    <x v="5"/>
    <x v="0"/>
    <n v="172.58"/>
    <n v="125.22107465241943"/>
    <n v="0.72558277119260295"/>
    <n v="-172.58"/>
    <n v="0"/>
    <n v="0"/>
    <s v=""/>
    <x v="1"/>
    <x v="2"/>
    <s v="Pend"/>
    <s v="Pend"/>
  </r>
  <r>
    <n v="0"/>
    <s v="SO18453"/>
    <s v="PO-40-1020263"/>
    <m/>
    <s v="Canadian Bearings Ltd."/>
    <d v="2025-12-19T11:29:44"/>
    <d v="2025-12-29T10:02:00"/>
    <d v="2026-02-04T00:00:00"/>
    <s v="Wilka Nuñez"/>
    <s v="CAD"/>
    <n v="1"/>
    <n v="96.5"/>
    <n v="0"/>
    <n v="70.527025146096804"/>
    <n v="91.9"/>
    <n v="4.5999999999999996"/>
    <n v="96.5"/>
    <s v="Processing"/>
    <m/>
    <n v="0"/>
    <n v="12"/>
    <n v="2025"/>
    <s v=""/>
    <s v=""/>
    <n v="0.73085000151395652"/>
    <x v="1134"/>
    <d v="2025-12-19T11:29:44"/>
    <x v="54"/>
    <s v="Not invoiced"/>
    <s v="Pending"/>
    <s v="PO-40-1020263"/>
    <x v="38"/>
    <x v="0"/>
    <n v="91.9"/>
    <n v="67.16511513913261"/>
    <n v="0.73085000151395652"/>
    <n v="0"/>
    <n v="0"/>
    <n v="91.9"/>
    <s v=""/>
    <x v="1"/>
    <x v="2"/>
    <s v="Pend"/>
    <s v="Pend"/>
  </r>
  <r>
    <n v="0"/>
    <s v="SO18454"/>
    <s v="4501362599"/>
    <m/>
    <s v="Barrick Gold - Pueblo Viejo Dominicana Corporation"/>
    <d v="2025-12-19T12:25:54"/>
    <d v="2025-12-19T12:34:59"/>
    <d v="2026-02-13T00:00:00"/>
    <s v="Wilka Nuñez"/>
    <s v="USD"/>
    <n v="0.72489672688828111"/>
    <n v="8952.4476512088841"/>
    <n v="0"/>
    <n v="6489.6"/>
    <n v="6489.6"/>
    <m/>
    <n v="6489.6"/>
    <s v="To Deliver"/>
    <m/>
    <n v="0"/>
    <n v="12"/>
    <n v="2025"/>
    <s v=""/>
    <s v=""/>
    <n v="0.72489672688828111"/>
    <x v="1135"/>
    <d v="2025-12-19T12:25:54"/>
    <x v="54"/>
    <s v="Not invoiced"/>
    <s v="Pending"/>
    <s v="4501362599"/>
    <x v="15"/>
    <x v="1"/>
    <n v="8952.4476512088841"/>
    <n v="6489.6"/>
    <n v="0.72489672688828111"/>
    <n v="0"/>
    <n v="0"/>
    <s v=""/>
    <n v="6489.6"/>
    <x v="1"/>
    <x v="2"/>
    <s v="Pend"/>
    <s v="Pend"/>
  </r>
  <r>
    <n v="0"/>
    <s v="SO18455"/>
    <s v="PO -  BC65-00082779"/>
    <m/>
    <s v="Motion Industries Inc. (Canada) - Prince George"/>
    <d v="2025-12-19T15:03:46"/>
    <d v="2025-12-23T16:23:13"/>
    <d v="2026-04-07T00:00:00"/>
    <s v="Aleksandar Stankovic"/>
    <s v="CAD"/>
    <n v="1"/>
    <n v="9351.15"/>
    <n v="0"/>
    <n v="6819.4420405712654"/>
    <n v="8905.86"/>
    <n v="445.29"/>
    <n v="9351.15"/>
    <s v="To Deliver"/>
    <m/>
    <n v="0"/>
    <n v="12"/>
    <n v="2025"/>
    <s v=""/>
    <s v=""/>
    <n v="0.72926239452594233"/>
    <x v="1136"/>
    <d v="2025-12-19T15:03:46"/>
    <x v="54"/>
    <s v="Not invoiced"/>
    <s v="Pending"/>
    <s v="PO -  BC65-00082779"/>
    <x v="41"/>
    <x v="0"/>
    <n v="8905.86"/>
    <n v="6494.7087889128088"/>
    <n v="0.72926239452594233"/>
    <n v="0"/>
    <n v="0"/>
    <n v="8905.86"/>
    <s v=""/>
    <x v="1"/>
    <x v="2"/>
    <s v="Pend"/>
    <s v="Pend"/>
  </r>
  <r>
    <n v="0"/>
    <s v="SO18456"/>
    <s v="OC00242"/>
    <m/>
    <s v="Dynapro Pumps México S de RL de CV"/>
    <d v="2025-12-19T16:15:15"/>
    <d v="2025-12-19T16:15:17"/>
    <d v="2026-02-20T00:00:00"/>
    <s v="Yannett Yeomans"/>
    <s v="USD"/>
    <n v="0.72489672688828111"/>
    <n v="27590.136992137828"/>
    <n v="0"/>
    <n v="20000"/>
    <n v="20000"/>
    <m/>
    <n v="20000"/>
    <s v="Processing"/>
    <m/>
    <n v="0"/>
    <n v="12"/>
    <n v="2025"/>
    <s v=""/>
    <s v=""/>
    <n v="0.72489672688828122"/>
    <x v="1137"/>
    <d v="2025-12-19T16:15:15"/>
    <x v="54"/>
    <s v="Not invoiced"/>
    <s v="Pending"/>
    <s v="OC00242"/>
    <x v="54"/>
    <x v="1"/>
    <n v="27590.136992137832"/>
    <n v="20000"/>
    <n v="0.72489672688828111"/>
    <n v="0"/>
    <n v="0"/>
    <s v=""/>
    <n v="20000"/>
    <x v="1"/>
    <x v="2"/>
    <s v="Pend"/>
    <s v="Pend"/>
  </r>
  <r>
    <n v="0"/>
    <s v="SO18460"/>
    <s v="PONV-25-2458"/>
    <m/>
    <s v="Tech-Flow"/>
    <d v="2025-12-22T10:31:02"/>
    <d v="2025-12-22T17:08:42"/>
    <d v="2026-03-02T00:00:00"/>
    <s v="Aleksandar Stankovic"/>
    <s v="USD"/>
    <n v="0.72485477712329316"/>
    <n v="20404.087089963839"/>
    <n v="0"/>
    <n v="14790"/>
    <n v="14790"/>
    <m/>
    <n v="14790"/>
    <s v="Processing"/>
    <m/>
    <n v="0"/>
    <n v="12"/>
    <n v="2025"/>
    <s v=""/>
    <s v=""/>
    <n v="0.72485477712329305"/>
    <x v="1138"/>
    <d v="2025-12-22T10:31:02"/>
    <x v="54"/>
    <s v="Not invoiced"/>
    <s v="Pending"/>
    <s v="PONV-25-2458"/>
    <x v="53"/>
    <x v="1"/>
    <n v="20404.087089963836"/>
    <n v="14790"/>
    <n v="0.72485477712329316"/>
    <n v="0"/>
    <n v="0"/>
    <s v=""/>
    <n v="14790"/>
    <x v="1"/>
    <x v="2"/>
    <s v="Pend"/>
    <s v="Pend"/>
  </r>
  <r>
    <n v="1"/>
    <s v="SO18461"/>
    <s v="2200120407"/>
    <s v="INV13827"/>
    <s v="Wajax Limited - Noranda"/>
    <d v="2025-12-22T11:17:51"/>
    <d v="2025-12-22T14:55:17"/>
    <m/>
    <s v="Wilka Nuñez"/>
    <s v="CAD"/>
    <n v="1"/>
    <n v="1128.75"/>
    <n v="0"/>
    <n v="821.19088926130746"/>
    <n v="1075"/>
    <n v="53.75"/>
    <n v="1128.75"/>
    <s v="Delivered"/>
    <m/>
    <n v="1"/>
    <n v="12"/>
    <n v="2025"/>
    <s v=""/>
    <s v=""/>
    <n v="0.72752238251278623"/>
    <x v="1139"/>
    <d v="2025-12-22T11:17:51"/>
    <x v="1244"/>
    <s v="Not invoiced"/>
    <s v="Pending"/>
    <s v="2200120407"/>
    <x v="35"/>
    <x v="0"/>
    <n v="1075"/>
    <n v="782.08656120124522"/>
    <n v="0.72752238251278623"/>
    <n v="0"/>
    <n v="0"/>
    <n v="1075"/>
    <s v=""/>
    <x v="1"/>
    <x v="2"/>
    <s v="Pend"/>
    <s v="Pend"/>
  </r>
  <r>
    <n v="1"/>
    <s v="SO18465"/>
    <s v="2100719117"/>
    <s v="INV13826"/>
    <s v="Wajax Limited - Noranda"/>
    <d v="2025-12-22T14:35:05"/>
    <d v="2025-12-22T14:40:49"/>
    <m/>
    <s v="Wilka Nuñez"/>
    <s v="CAD"/>
    <n v="1"/>
    <n v="441.86"/>
    <n v="0"/>
    <n v="321.46303993709972"/>
    <n v="420.82"/>
    <n v="21.04"/>
    <n v="441.86"/>
    <s v="Delivered"/>
    <m/>
    <n v="1"/>
    <n v="12"/>
    <n v="2025"/>
    <s v=""/>
    <s v=""/>
    <n v="0.72752238251278623"/>
    <x v="1140"/>
    <d v="2025-12-22T14:35:05"/>
    <x v="1245"/>
    <s v="Not invoiced"/>
    <s v="Pending"/>
    <s v="2100719117"/>
    <x v="35"/>
    <x v="0"/>
    <n v="420.82"/>
    <n v="306.15596900903068"/>
    <n v="0.72752238251278623"/>
    <n v="0"/>
    <n v="0"/>
    <n v="420.82"/>
    <s v=""/>
    <x v="1"/>
    <x v="2"/>
    <s v="Pend"/>
    <s v="Pend"/>
  </r>
  <r>
    <n v="1"/>
    <s v="SO18466"/>
    <s v="4500628246"/>
    <s v="INV13830"/>
    <s v="Resolute Forest Products - Clermont"/>
    <d v="2025-12-23T09:27:15"/>
    <d v="2025-12-30T16:36:07"/>
    <d v="2025-12-31T00:00:00"/>
    <s v="Ian Trottier"/>
    <s v="CAD"/>
    <n v="1"/>
    <n v="1164.57"/>
    <n v="0"/>
    <n v="851.23729326172952"/>
    <n v="1109.1099999999999"/>
    <n v="55.46"/>
    <n v="1164.57"/>
    <s v="Delivered"/>
    <m/>
    <n v="1"/>
    <n v="12"/>
    <n v="2025"/>
    <s v=""/>
    <s v=""/>
    <n v="0.73094557927967363"/>
    <x v="1141"/>
    <d v="2025-12-23T09:27:15"/>
    <x v="1246"/>
    <s v="Not invoiced"/>
    <s v="Pending"/>
    <s v="4500628246"/>
    <x v="83"/>
    <x v="0"/>
    <n v="1109.1099999999999"/>
    <n v="810.6990514348787"/>
    <n v="0.73094557927967363"/>
    <n v="0"/>
    <n v="0"/>
    <n v="1109.1099999999999"/>
    <s v=""/>
    <x v="1"/>
    <x v="2"/>
    <s v="Pend"/>
    <s v="Pend"/>
  </r>
  <r>
    <n v="1"/>
    <s v="SO18467"/>
    <s v="PO-3010045"/>
    <s v="INV13804"/>
    <s v="SCG Process"/>
    <d v="2025-12-23T09:27:18"/>
    <d v="2025-12-23T09:30:39"/>
    <d v="2025-12-29T00:00:00"/>
    <s v="Wilka Nuñez"/>
    <s v="CAD"/>
    <n v="1"/>
    <n v="3055.14"/>
    <n v="0"/>
    <n v="2227.9987120119872"/>
    <n v="2909.65"/>
    <n v="145.49"/>
    <n v="3055.14"/>
    <s v="Delivered"/>
    <m/>
    <n v="1"/>
    <n v="12"/>
    <n v="2025"/>
    <s v=""/>
    <s v=""/>
    <n v="0.72926239452594233"/>
    <x v="1142"/>
    <d v="2025-12-23T09:27:18"/>
    <x v="1247"/>
    <s v="Approved"/>
    <s v="Pending"/>
    <s v="PO-3010045"/>
    <x v="76"/>
    <x v="0"/>
    <n v="2909.65"/>
    <n v="2121.8983262324082"/>
    <n v="0.72926239452594233"/>
    <n v="-2909.65"/>
    <n v="0"/>
    <n v="0"/>
    <s v=""/>
    <x v="1"/>
    <x v="2"/>
    <s v="Pend"/>
    <s v="Pend"/>
  </r>
  <r>
    <n v="0"/>
    <s v="SO18468"/>
    <s v="1068"/>
    <m/>
    <s v="Mill-Right Mine Services Inc."/>
    <d v="2025-12-23T09:31:20"/>
    <d v="2025-12-24T09:24:26"/>
    <d v="2025-12-29T00:00:00"/>
    <s v="Amanda Qiao"/>
    <s v="USD"/>
    <n v="0.72752238251278623"/>
    <n v="242.8241443099453"/>
    <n v="0"/>
    <n v="176.66"/>
    <n v="176.66"/>
    <m/>
    <n v="176.66"/>
    <s v="To Deliver"/>
    <m/>
    <n v="0"/>
    <n v="12"/>
    <n v="2025"/>
    <s v=""/>
    <s v=""/>
    <n v="0.72752238251278611"/>
    <x v="1143"/>
    <d v="2025-12-23T09:31:20"/>
    <x v="54"/>
    <s v="Not invoiced"/>
    <s v="Pending"/>
    <s v="1068"/>
    <x v="30"/>
    <x v="1"/>
    <n v="242.82414430994527"/>
    <n v="176.66"/>
    <n v="0.72752238251278623"/>
    <n v="0"/>
    <n v="0"/>
    <s v=""/>
    <n v="176.66"/>
    <x v="1"/>
    <x v="2"/>
    <s v="Pend"/>
    <s v="Pend"/>
  </r>
  <r>
    <n v="0"/>
    <s v="SO18471"/>
    <s v="4500924335"/>
    <m/>
    <s v="Cameco Corporation - Blind River Refinery, Cameco Corporation - Blind River Refinery"/>
    <d v="2025-12-23T17:04:57"/>
    <d v="2025-12-29T11:23:58"/>
    <d v="2026-01-05T00:00:00"/>
    <s v="Ian Trottier"/>
    <s v="CAD"/>
    <n v="1"/>
    <n v="4960.45"/>
    <n v="0"/>
    <n v="3625.3448900099061"/>
    <n v="4389.78"/>
    <n v="570.66999999999996"/>
    <n v="4960.45"/>
    <s v="To Deliver"/>
    <m/>
    <n v="0"/>
    <n v="12"/>
    <n v="2025"/>
    <s v=""/>
    <s v=""/>
    <n v="0.73085000151395663"/>
    <x v="1144"/>
    <d v="2025-12-23T17:04:57"/>
    <x v="54"/>
    <s v="Not invoiced"/>
    <s v="Pending"/>
    <s v="4500924335"/>
    <x v="162"/>
    <x v="0"/>
    <n v="4389.78"/>
    <n v="3208.2707196459364"/>
    <n v="0.73085000151395663"/>
    <n v="0"/>
    <n v="0"/>
    <n v="4389.78"/>
    <s v=""/>
    <x v="1"/>
    <x v="2"/>
    <s v="Pend"/>
    <s v="Pend"/>
  </r>
  <r>
    <n v="1"/>
    <s v="SO18472"/>
    <s v="PO-10-1087024"/>
    <s v="INV13811"/>
    <s v="Canadian Bearings Ltd."/>
    <d v="2025-12-29T11:27:20"/>
    <d v="2025-12-29T11:27:38"/>
    <d v="2025-12-30T00:00:00"/>
    <s v="Aleksandar Stankovic"/>
    <s v="CAD"/>
    <n v="1"/>
    <n v="149.07"/>
    <n v="0"/>
    <n v="108.9478097256855"/>
    <n v="131.91999999999999"/>
    <n v="17.149999999999999"/>
    <n v="149.07"/>
    <s v="Delivered"/>
    <m/>
    <n v="1"/>
    <n v="12"/>
    <n v="2025"/>
    <s v=""/>
    <s v=""/>
    <n v="0.73085000151395663"/>
    <x v="1145"/>
    <d v="2025-12-29T11:27:20"/>
    <x v="1248"/>
    <s v="Approved"/>
    <s v="Pending"/>
    <s v="PO-10-1087024"/>
    <x v="38"/>
    <x v="0"/>
    <n v="131.91999999999999"/>
    <n v="96.413732199721153"/>
    <n v="0.73085000151395663"/>
    <n v="-131.91999999999999"/>
    <n v="0"/>
    <n v="0"/>
    <s v=""/>
    <x v="1"/>
    <x v="2"/>
    <s v="Pend"/>
    <s v="Pend"/>
  </r>
  <r>
    <n v="0"/>
    <s v="SO18477"/>
    <s v="PO# 8210"/>
    <m/>
    <s v="Hyperflo"/>
    <d v="2025-12-29T14:39:51"/>
    <d v="2025-12-29T14:35:32"/>
    <d v="2026-01-09T00:00:00"/>
    <s v="Aleksandar Stankovic"/>
    <s v="CAD"/>
    <n v="1"/>
    <n v="962.42"/>
    <n v="0"/>
    <n v="703.38465845706196"/>
    <n v="916.59"/>
    <n v="45.83"/>
    <n v="962.42"/>
    <s v="Processing"/>
    <m/>
    <n v="0"/>
    <n v="12"/>
    <n v="2025"/>
    <s v=""/>
    <s v=""/>
    <n v="0.73085000151395652"/>
    <x v="1146"/>
    <d v="2025-12-29T14:39:51"/>
    <x v="54"/>
    <s v="Not invoiced"/>
    <s v="Pending"/>
    <s v="PO# 8210"/>
    <x v="5"/>
    <x v="0"/>
    <n v="916.59"/>
    <n v="669.88980288767743"/>
    <n v="0.73085000151395652"/>
    <n v="0"/>
    <n v="0"/>
    <n v="916.59"/>
    <s v=""/>
    <x v="1"/>
    <x v="2"/>
    <s v="Pend"/>
    <s v="Pend"/>
  </r>
  <r>
    <n v="0"/>
    <s v="SO18479"/>
    <s v="PONV-25-2472"/>
    <m/>
    <s v="Tech-Flow"/>
    <d v="2025-12-29T17:16:34"/>
    <d v="2025-12-29T18:34:42"/>
    <d v="2026-01-05T00:00:00"/>
    <s v="Alexis Gil Lamadrid"/>
    <s v="USD"/>
    <n v="0.73120348989748496"/>
    <n v="3490.1091628512181"/>
    <n v="0"/>
    <n v="2551.98"/>
    <n v="2551.98"/>
    <m/>
    <n v="2551.98"/>
    <s v="Processing"/>
    <m/>
    <n v="0"/>
    <n v="12"/>
    <n v="2025"/>
    <s v=""/>
    <s v=""/>
    <n v="0.73120348989748485"/>
    <x v="1147"/>
    <d v="2025-12-29T17:16:34"/>
    <x v="54"/>
    <s v="Not invoiced"/>
    <s v="Pending"/>
    <s v="PONV-25-2472"/>
    <x v="53"/>
    <x v="1"/>
    <n v="3490.1091628512177"/>
    <n v="2551.98"/>
    <n v="0.73120348989748496"/>
    <n v="0"/>
    <n v="0"/>
    <s v=""/>
    <n v="2551.98"/>
    <x v="1"/>
    <x v="2"/>
    <s v="Pend"/>
    <s v="Pend"/>
  </r>
  <r>
    <n v="0"/>
    <s v="SO18482"/>
    <s v="8213"/>
    <m/>
    <s v="Hyperflo"/>
    <d v="2025-12-30T10:43:07"/>
    <d v="2026-01-06T12:29:47"/>
    <d v="2026-01-27T00:00:00"/>
    <s v="Wilka Nuñez"/>
    <s v="CAD"/>
    <n v="1"/>
    <n v="2991.57"/>
    <n v="2991.57"/>
    <n v="2991.57"/>
    <n v="2849.11"/>
    <n v="142.46"/>
    <n v="2991.57"/>
    <s v="To Deliver"/>
    <m/>
    <n v="0"/>
    <n v="12"/>
    <n v="2025"/>
    <s v=""/>
    <s v=""/>
    <n v="1"/>
    <x v="1148"/>
    <d v="2025-12-30T10:43:07"/>
    <x v="54"/>
    <s v="Not invoiced"/>
    <s v="Pending"/>
    <s v="8213"/>
    <x v="5"/>
    <x v="0"/>
    <n v="2849.11"/>
    <n v="2038.5661916773422"/>
    <n v="0.71550982295430576"/>
    <n v="0"/>
    <n v="0"/>
    <n v="2849.11"/>
    <s v=""/>
    <x v="1"/>
    <x v="2"/>
    <s v="Pend"/>
    <s v="Pend"/>
  </r>
  <r>
    <n v="0"/>
    <s v="SO18484"/>
    <s v="P-123125"/>
    <m/>
    <s v="Cartledge &amp; Associates Inc."/>
    <d v="2025-12-31T12:18:17"/>
    <d v="2025-12-31T12:21:37"/>
    <m/>
    <s v="Wilka Nuñez"/>
    <s v="USD"/>
    <n v="0.73094557927967363"/>
    <n v="4920.0653262641699"/>
    <n v="0"/>
    <n v="3596.3"/>
    <n v="3596.3"/>
    <m/>
    <n v="3596.3"/>
    <s v="To Deliver"/>
    <m/>
    <n v="0"/>
    <n v="12"/>
    <n v="2025"/>
    <s v=""/>
    <s v=""/>
    <n v="0.73094557927967363"/>
    <x v="1149"/>
    <d v="2025-12-31T12:18:17"/>
    <x v="54"/>
    <s v="Not invoiced"/>
    <s v="Pending"/>
    <s v="P-123125"/>
    <x v="25"/>
    <x v="1"/>
    <n v="4920.0653262641699"/>
    <n v="3596.3"/>
    <n v="0.73094557927967363"/>
    <n v="0"/>
    <n v="0"/>
    <s v=""/>
    <n v="3596.3"/>
    <x v="1"/>
    <x v="2"/>
    <s v="Pend"/>
    <s v="Pend"/>
  </r>
  <r>
    <m/>
    <m/>
    <m/>
    <m/>
    <m/>
    <m/>
    <m/>
    <m/>
    <m/>
    <m/>
    <m/>
    <m/>
    <m/>
    <m/>
    <m/>
    <m/>
    <m/>
    <m/>
    <m/>
    <m/>
    <m/>
    <m/>
    <m/>
    <m/>
    <m/>
    <x v="1150"/>
    <m/>
    <x v="1249"/>
    <m/>
    <m/>
    <m/>
    <x v="163"/>
    <x v="2"/>
    <m/>
    <m/>
    <m/>
    <m/>
    <m/>
    <m/>
    <m/>
    <x v="2"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51">
  <r>
    <n v="1"/>
    <s v="SO16348"/>
    <s v="6500015792"/>
    <s v="Wesdome Gold Mines Ltd - Eagle River Mine"/>
    <d v="2025-01-02T09:36:36"/>
    <d v="2025-01-06T14:17:51"/>
    <d v="2025-01-07T00:00:00"/>
    <s v="Ian Trottier"/>
    <x v="0"/>
    <n v="1"/>
    <n v="20655.240000000002"/>
    <n v="0"/>
    <n v="14381.876360474809"/>
    <n v="18278.97"/>
    <n v="2376.27"/>
    <n v="20655.240000000002"/>
    <s v="Delivered"/>
    <m/>
    <s v="SO16348"/>
    <x v="0"/>
  </r>
  <r>
    <n v="1"/>
    <s v="SO16349"/>
    <s v="2243313"/>
    <s v="Zijin Mining - Rosebel Goldmines N.V."/>
    <d v="2025-01-02T10:26:14"/>
    <d v="2025-01-03T15:31:09"/>
    <d v="2025-06-07T00:00:00"/>
    <s v="Amanda Qiao"/>
    <x v="1"/>
    <n v="0.69331655724015695"/>
    <n v="16788.290829708509"/>
    <n v="0"/>
    <n v="11639.6"/>
    <n v="11639.6"/>
    <m/>
    <n v="11639.6"/>
    <s v="Delivered"/>
    <m/>
    <s v="SO16349"/>
    <x v="0"/>
  </r>
  <r>
    <n v="1"/>
    <s v="SO16350"/>
    <s v="4560061462"/>
    <s v="Alamos Gold Inc, Alamos Gold Inc Island Gold Division"/>
    <d v="2025-01-02T10:29:19"/>
    <d v="2025-01-02T10:32:39"/>
    <d v="2025-01-13T00:00:00"/>
    <s v="Ian Trottier"/>
    <x v="0"/>
    <n v="1"/>
    <n v="1540.6"/>
    <n v="0"/>
    <n v="1068.123488084186"/>
    <n v="1363.36"/>
    <n v="177.24"/>
    <n v="1540.6"/>
    <s v="Delivered"/>
    <m/>
    <s v="SO16350"/>
    <x v="0"/>
  </r>
  <r>
    <n v="1"/>
    <s v="SO16353"/>
    <s v="PO-007646"/>
    <s v="Sling-Choker Manufacturing - Timmins"/>
    <d v="2025-01-02T13:46:37"/>
    <d v="2025-01-02T16:57:30"/>
    <d v="2025-01-16T00:00:00"/>
    <s v="Ian Trottier"/>
    <x v="0"/>
    <n v="1"/>
    <n v="2369.71"/>
    <n v="0"/>
    <n v="1642.9591788575719"/>
    <n v="2097.09"/>
    <n v="272.62"/>
    <n v="2369.71"/>
    <s v="Delivered"/>
    <m/>
    <s v="SO16353"/>
    <x v="0"/>
  </r>
  <r>
    <n v="1"/>
    <s v="SO16359"/>
    <s v="5334612"/>
    <s v="Corrosion Fluid Products Corp., Corrosion Fluid Products Corp. - Chicago"/>
    <d v="2025-01-06T11:49:57"/>
    <d v="2025-01-07T14:12:10"/>
    <d v="2025-01-08T00:00:00"/>
    <s v="Ian Trottier"/>
    <x v="1"/>
    <n v="0.69628221993425443"/>
    <n v="144.20876639573109"/>
    <n v="0"/>
    <n v="100.41"/>
    <n v="100.41"/>
    <m/>
    <n v="100.41"/>
    <s v="Delivered"/>
    <m/>
    <s v="SO16359"/>
    <x v="0"/>
  </r>
  <r>
    <n v="1"/>
    <s v="SO16360"/>
    <s v="6633"/>
    <s v="Hyperflo"/>
    <d v="2025-01-06T12:13:09"/>
    <d v="2025-01-06T14:00:13"/>
    <d v="2025-01-07T00:00:00"/>
    <s v="Ian Trottier"/>
    <x v="0"/>
    <n v="1"/>
    <n v="1006.02"/>
    <n v="0"/>
    <n v="700.47383889825858"/>
    <n v="958.11"/>
    <n v="47.91"/>
    <n v="1006.02"/>
    <s v="Delivered"/>
    <m/>
    <s v="SO16360"/>
    <x v="0"/>
  </r>
  <r>
    <n v="1"/>
    <s v="SO16361"/>
    <s v="007673"/>
    <s v="Sling-Choker Manufacturing - Timmins"/>
    <d v="2025-01-06T12:33:59"/>
    <d v="2025-01-16T13:14:24"/>
    <d v="2025-04-03T00:00:00"/>
    <s v="Ian Trottier"/>
    <x v="0"/>
    <n v="1"/>
    <n v="29994.38"/>
    <n v="0"/>
    <n v="20856.609079012331"/>
    <n v="26543.7"/>
    <n v="3450.68"/>
    <n v="29994.38"/>
    <s v="Delivered"/>
    <m/>
    <s v="SO16361"/>
    <x v="0"/>
  </r>
  <r>
    <n v="1"/>
    <s v="SO16362"/>
    <s v="P349617"/>
    <s v="Covia Corp - Junction City"/>
    <d v="2025-01-06T12:44:14"/>
    <d v="2025-01-07T13:58:17"/>
    <d v="2025-01-08T00:00:00"/>
    <s v="Marlen Martinez"/>
    <x v="0"/>
    <n v="1"/>
    <n v="8795"/>
    <n v="0"/>
    <n v="6131.3692546548436"/>
    <n v="8795"/>
    <m/>
    <n v="8795"/>
    <s v="Delivered"/>
    <m/>
    <s v="SO16362"/>
    <x v="0"/>
  </r>
  <r>
    <n v="1"/>
    <s v="SO16363"/>
    <s v="2961"/>
    <s v="Les Pompes du St-Laurent Inc."/>
    <d v="2025-01-06T13:32:40"/>
    <d v="2025-01-06T13:33:35"/>
    <d v="2025-02-10T00:00:00"/>
    <s v="Ian Trottier"/>
    <x v="0"/>
    <n v="1"/>
    <n v="1135.51"/>
    <n v="0"/>
    <n v="790.63542355754521"/>
    <n v="1081.44"/>
    <n v="54.07"/>
    <n v="1135.51"/>
    <s v="Delivered"/>
    <m/>
    <s v="SO16363"/>
    <x v="0"/>
  </r>
  <r>
    <n v="1"/>
    <s v="SO16364"/>
    <s v="003247"/>
    <s v="Eleazar General &amp; Industrial Supplies Limited"/>
    <d v="2025-01-06T13:40:12"/>
    <d v="2025-01-10T14:42:30"/>
    <d v="2025-04-04T00:00:00"/>
    <s v="Ian Trottier"/>
    <x v="1"/>
    <n v="0.69455773220809047"/>
    <n v="1896.8761542852969"/>
    <n v="0"/>
    <n v="1317.49"/>
    <n v="1317.49"/>
    <m/>
    <n v="1317.49"/>
    <s v="Delivered"/>
    <m/>
    <s v="SO16364"/>
    <x v="0"/>
  </r>
  <r>
    <n v="1"/>
    <s v="SO16368"/>
    <s v="M-083469"/>
    <s v="Grant Aggregate"/>
    <d v="2025-01-06T16:38:57"/>
    <d v="2025-01-09T09:47:09"/>
    <d v="2025-01-10T00:00:00"/>
    <s v="Ian Trottier"/>
    <x v="0"/>
    <n v="1"/>
    <n v="17048.099999999999"/>
    <n v="0"/>
    <n v="11840.88967445675"/>
    <n v="15086.8"/>
    <n v="1961.3"/>
    <n v="17048.099999999999"/>
    <s v="Delivered"/>
    <m/>
    <s v="SO16368"/>
    <x v="0"/>
  </r>
  <r>
    <n v="1"/>
    <s v="SO16369"/>
    <s v="PO13146"/>
    <s v="Manufacture Sling-Choker (Val-d’Or) Ltée"/>
    <d v="2025-01-07T09:49:19"/>
    <d v="2025-01-07T14:55:30"/>
    <d v="2025-01-08T00:00:00"/>
    <s v="Ian Trottier"/>
    <x v="0"/>
    <n v="1"/>
    <n v="117.99"/>
    <n v="0"/>
    <n v="82.255856549940304"/>
    <n v="112.37"/>
    <n v="5.62"/>
    <n v="117.99"/>
    <s v="Delivered"/>
    <m/>
    <s v="SO16369"/>
    <x v="0"/>
  </r>
  <r>
    <n v="1"/>
    <s v="SO16372"/>
    <s v="2991"/>
    <s v="Les Pompes du St-Laurent Inc."/>
    <d v="2025-01-07T11:46:50"/>
    <d v="2025-01-16T15:10:28"/>
    <d v="2025-03-04T00:00:00"/>
    <s v="Ian Trottier"/>
    <x v="0"/>
    <n v="1"/>
    <n v="1657.93"/>
    <n v="0"/>
    <n v="1152.842562185547"/>
    <n v="1578.98"/>
    <n v="78.95"/>
    <n v="1657.93"/>
    <s v="Delivered"/>
    <m/>
    <s v="SO16372"/>
    <x v="0"/>
  </r>
  <r>
    <n v="1"/>
    <s v="SO16374"/>
    <s v="2967"/>
    <s v="Les Pompes du St-Laurent Inc."/>
    <d v="2025-01-07T12:46:49"/>
    <d v="2025-01-08T16:15:28"/>
    <d v="2025-01-09T00:00:00"/>
    <s v="Ian Trottier"/>
    <x v="0"/>
    <n v="1"/>
    <n v="3783.15"/>
    <n v="0"/>
    <n v="2631.4955949374539"/>
    <n v="3603"/>
    <n v="180.15"/>
    <n v="3783.15"/>
    <s v="Delivered"/>
    <m/>
    <s v="SO16374"/>
    <x v="0"/>
  </r>
  <r>
    <n v="1"/>
    <s v="SO16375"/>
    <s v="P349794"/>
    <s v="Covia Corp - Junction City"/>
    <d v="2025-01-07T13:04:05"/>
    <d v="2025-01-08T13:51:12"/>
    <d v="2025-01-09T00:00:00"/>
    <s v="Marlen Martinez"/>
    <x v="0"/>
    <n v="1"/>
    <n v="5506"/>
    <n v="0"/>
    <n v="3829.8811164573499"/>
    <n v="5506"/>
    <m/>
    <n v="5506"/>
    <s v="Delivered"/>
    <m/>
    <s v="SO16375"/>
    <x v="0"/>
  </r>
  <r>
    <n v="1"/>
    <s v="SO16376"/>
    <s v="007656"/>
    <s v="Sling-Choker Manufacturing - Timmins"/>
    <d v="2025-01-07T13:20:45"/>
    <d v="2025-01-07T16:21:44"/>
    <d v="2024-02-04T00:00:00"/>
    <s v="Ian Trottier"/>
    <x v="0"/>
    <n v="1"/>
    <n v="13951.67"/>
    <n v="0"/>
    <n v="9726.3036371904873"/>
    <n v="12346.61"/>
    <n v="1605.06"/>
    <n v="13951.67"/>
    <s v="Delivered"/>
    <m/>
    <s v="SO16376"/>
    <x v="0"/>
  </r>
  <r>
    <n v="1"/>
    <s v="SO16377"/>
    <s v="316223"/>
    <s v="Gibraltar Mine (Canada)"/>
    <d v="2025-01-07T16:19:59"/>
    <d v="2025-01-07T17:11:06"/>
    <d v="2025-02-18T00:00:00"/>
    <s v="Ian Trottier"/>
    <x v="0"/>
    <n v="1"/>
    <n v="5367.86"/>
    <n v="0"/>
    <n v="3742.1639303344559"/>
    <n v="5112.25"/>
    <n v="255.61"/>
    <n v="5367.86"/>
    <s v="Delivered"/>
    <m/>
    <s v="SO16377"/>
    <x v="0"/>
  </r>
  <r>
    <n v="1"/>
    <s v="SO16378"/>
    <s v="BC78-00052101"/>
    <s v="Motion Industries Inc. (Canada) - Quesnel"/>
    <d v="2025-01-07T16:39:56"/>
    <d v="2025-01-08T09:22:26"/>
    <d v="2025-02-05T00:00:00"/>
    <s v="Ian Trottier"/>
    <x v="0"/>
    <n v="1"/>
    <n v="1036.94"/>
    <n v="0"/>
    <n v="721.27804665806116"/>
    <n v="987.57"/>
    <n v="49.37"/>
    <n v="1036.94"/>
    <s v="Delivered"/>
    <m/>
    <s v="SO16378"/>
    <x v="0"/>
  </r>
  <r>
    <n v="1"/>
    <s v="SO16379"/>
    <s v="PO-007657"/>
    <s v="Sling-Choker Manufacturing - Timmins"/>
    <d v="2025-01-08T07:15:26"/>
    <d v="2025-01-08T09:02:29"/>
    <d v="2025-01-08T00:00:00"/>
    <s v="Taylor Cook"/>
    <x v="0"/>
    <n v="1"/>
    <n v="2007.42"/>
    <n v="0"/>
    <n v="1396.3276336358181"/>
    <n v="1776.49"/>
    <n v="230.93"/>
    <n v="2007.42"/>
    <s v="Delivered"/>
    <m/>
    <s v="SO16379"/>
    <x v="0"/>
  </r>
  <r>
    <n v="3"/>
    <s v="SO16380"/>
    <s v="L63079-DS"/>
    <s v="Wild Rows Pump &amp; Compression LTD."/>
    <d v="2025-01-08T10:15:34"/>
    <d v="2025-01-08T15:37:05"/>
    <d v="2025-04-30T00:00:00"/>
    <s v="Taylor Cook"/>
    <x v="0"/>
    <n v="1"/>
    <n v="4153.74"/>
    <n v="0"/>
    <n v="2889.2717741869869"/>
    <n v="3955.95"/>
    <n v="197.79"/>
    <n v="4153.74"/>
    <s v="Delivered"/>
    <m/>
    <s v="SO16380"/>
    <x v="0"/>
  </r>
  <r>
    <n v="1"/>
    <s v="SO16381"/>
    <s v="6642"/>
    <s v="Hyperflo"/>
    <d v="2025-01-08T10:23:52"/>
    <d v="2025-01-08T11:27:21"/>
    <d v="2025-01-09T00:00:00"/>
    <s v="Ian Trottier"/>
    <x v="0"/>
    <n v="1"/>
    <n v="962.42"/>
    <n v="0"/>
    <n v="669.44318636049445"/>
    <n v="916.59"/>
    <n v="45.83"/>
    <n v="962.42"/>
    <s v="Delivered"/>
    <m/>
    <s v="SO16381"/>
    <x v="0"/>
  </r>
  <r>
    <n v="1"/>
    <s v="SO16382"/>
    <s v="071736"/>
    <s v="Hoffman-Kane Distributors, Inc."/>
    <d v="2025-01-08T10:56:50"/>
    <d v="2025-01-08T11:01:17"/>
    <d v="2025-01-09T00:00:00"/>
    <s v="Ian Trottier"/>
    <x v="1"/>
    <n v="0.6971426099664404"/>
    <n v="197.62097170711181"/>
    <n v="0"/>
    <n v="137.77000000000001"/>
    <n v="137.77000000000001"/>
    <m/>
    <n v="137.77000000000001"/>
    <s v="Delivered"/>
    <m/>
    <s v="SO16382"/>
    <x v="0"/>
  </r>
  <r>
    <n v="1"/>
    <s v="SO16383"/>
    <s v="4501080579"/>
    <s v="Barrick Gold - Pueblo Viejo Dominicana Corporation"/>
    <d v="2025-01-08T11:17:15"/>
    <d v="2025-01-09T19:38:34"/>
    <d v="2025-01-08T00:00:00"/>
    <s v="Jeff Bell"/>
    <x v="1"/>
    <n v="0.69558320313428079"/>
    <n v="15727.809341434109"/>
    <n v="0"/>
    <n v="10940"/>
    <n v="10940"/>
    <m/>
    <n v="10940"/>
    <s v="Delivered"/>
    <m/>
    <s v="SO16383"/>
    <x v="0"/>
  </r>
  <r>
    <n v="1"/>
    <s v="SO16384"/>
    <s v="2968"/>
    <s v="Les Pompes du St-Laurent Inc."/>
    <d v="2025-01-08T11:51:36"/>
    <d v="2025-01-08T16:21:11"/>
    <d v="2025-05-14T00:00:00"/>
    <s v="Ian Trottier"/>
    <x v="0"/>
    <n v="1"/>
    <n v="2094.52"/>
    <n v="0"/>
    <n v="1456.9129306288139"/>
    <n v="1994.78"/>
    <n v="99.74"/>
    <n v="2094.52"/>
    <s v="Delivered"/>
    <m/>
    <s v="SO16384"/>
    <x v="0"/>
  </r>
  <r>
    <n v="1"/>
    <s v="SO16385"/>
    <s v="11627"/>
    <s v="Les Pompes Diaspec Inc."/>
    <d v="2025-01-08T12:01:24"/>
    <d v="2025-01-29T10:02:14"/>
    <d v="2025-01-30T00:00:00"/>
    <s v="Ian Trottier"/>
    <x v="0"/>
    <n v="1"/>
    <n v="12217.92"/>
    <n v="12217.92"/>
    <n v="12217.92"/>
    <n v="11636.11"/>
    <n v="581.80999999999995"/>
    <n v="12217.92"/>
    <s v="Delivered"/>
    <m/>
    <s v="SO16385"/>
    <x v="0"/>
  </r>
  <r>
    <n v="1"/>
    <s v="SO16389"/>
    <s v="6645"/>
    <s v="Hyperflo"/>
    <d v="2025-01-08T13:39:48"/>
    <d v="2025-01-08T15:16:06"/>
    <d v="2025-01-09T00:00:00"/>
    <s v="Taylor Cook"/>
    <x v="0"/>
    <n v="1"/>
    <n v="224.6"/>
    <n v="0"/>
    <n v="156.22798742395949"/>
    <n v="213.9"/>
    <n v="10.7"/>
    <n v="224.6"/>
    <s v="Delivered"/>
    <m/>
    <s v="SO16389"/>
    <x v="0"/>
  </r>
  <r>
    <n v="2"/>
    <s v="SO16390"/>
    <s v="2969"/>
    <s v="Les Pompes du St-Laurent Inc."/>
    <d v="2025-01-08T16:06:40"/>
    <d v="2025-01-08T16:09:56"/>
    <d v="2025-01-31T00:00:00"/>
    <s v="Ian Trottier"/>
    <x v="0"/>
    <n v="1"/>
    <n v="972.43"/>
    <n v="0"/>
    <n v="676.40597422386861"/>
    <n v="926.12"/>
    <n v="46.31"/>
    <n v="972.43"/>
    <s v="Delivered"/>
    <m/>
    <s v="SO16390"/>
    <x v="0"/>
  </r>
  <r>
    <n v="1"/>
    <s v="SO16392"/>
    <s v="4500574897"/>
    <s v="Resolute Forest Products - Kenogami"/>
    <d v="2025-01-09T10:30:25"/>
    <d v="2025-01-14T15:21:50"/>
    <d v="2025-03-28T00:00:00"/>
    <s v="Ian Trottier"/>
    <x v="0"/>
    <n v="1"/>
    <n v="7778.54"/>
    <n v="0"/>
    <n v="5412.4629003718201"/>
    <n v="7408.13"/>
    <n v="370.41"/>
    <n v="7778.54"/>
    <s v="Delivered"/>
    <m/>
    <s v="SO16392"/>
    <x v="0"/>
  </r>
  <r>
    <n v="2"/>
    <s v="SO16393"/>
    <s v="2051"/>
    <s v="FMI Products"/>
    <d v="2025-01-09T11:55:19"/>
    <d v="2025-01-14T10:33:40"/>
    <d v="2025-02-18T00:00:00"/>
    <s v="Ian Trottier"/>
    <x v="0"/>
    <n v="1"/>
    <n v="2482.17"/>
    <n v="0"/>
    <n v="1727.1432733412601"/>
    <n v="2363.9699999999998"/>
    <n v="118.2"/>
    <n v="2482.17"/>
    <s v="Delivered"/>
    <m/>
    <s v="SO16393"/>
    <x v="0"/>
  </r>
  <r>
    <n v="1"/>
    <s v="SO16397"/>
    <s v="5345945"/>
    <s v="Corrosion Fluid Products Corp."/>
    <d v="2025-01-09T17:03:42"/>
    <d v="2025-03-03T16:38:52"/>
    <d v="2025-03-17T00:00:00"/>
    <s v="Ian Trottier"/>
    <x v="1"/>
    <n v="0.6913666591718971"/>
    <n v="1339.7088038775501"/>
    <n v="0"/>
    <n v="926.23"/>
    <n v="926.23"/>
    <m/>
    <n v="926.23"/>
    <s v="Delivered"/>
    <m/>
    <s v="SO16397"/>
    <x v="0"/>
  </r>
  <r>
    <n v="1"/>
    <s v="SO16399"/>
    <s v="08840"/>
    <s v="Tantalum Mining Corporation of Canada"/>
    <d v="2025-01-10T09:25:49"/>
    <d v="2025-01-15T13:48:22"/>
    <d v="2025-01-16T00:00:00"/>
    <s v="Taylor Cook"/>
    <x v="0"/>
    <n v="1"/>
    <n v="904.12"/>
    <n v="904.12"/>
    <n v="904.12"/>
    <n v="861.07"/>
    <n v="43.05"/>
    <n v="904.12"/>
    <s v="Delivered"/>
    <m/>
    <s v="SO16399"/>
    <x v="0"/>
  </r>
  <r>
    <n v="1"/>
    <s v="SO16400"/>
    <s v="9569096"/>
    <s v="DXP Enterprises, Inc. - Pumping Solutions, Inc. - Hayward California"/>
    <d v="2025-01-10T09:31:55"/>
    <d v="2025-01-15T12:30:40"/>
    <d v="2025-02-19T00:00:00"/>
    <s v="Taylor Cook"/>
    <x v="1"/>
    <n v="0.69581989684077217"/>
    <n v="3105.4443970498778"/>
    <n v="0"/>
    <n v="2160.83"/>
    <n v="2160.83"/>
    <m/>
    <n v="2160.83"/>
    <s v="Delivered"/>
    <m/>
    <s v="SO16400"/>
    <x v="0"/>
  </r>
  <r>
    <n v="1"/>
    <s v="SO16401"/>
    <s v="FC10-00114698"/>
    <s v="Motion Industries Inc. (U.S.) - Lakeland"/>
    <d v="2025-01-10T09:55:09"/>
    <d v="2025-01-13T14:05:45"/>
    <d v="2025-01-14T00:00:00"/>
    <s v="Taylor Cook"/>
    <x v="1"/>
    <n v="0.69462238860369352"/>
    <n v="120.9290131993211"/>
    <n v="0"/>
    <n v="84"/>
    <n v="84"/>
    <m/>
    <n v="84"/>
    <s v="Delivered"/>
    <m/>
    <s v="SO16401"/>
    <x v="0"/>
  </r>
  <r>
    <n v="1"/>
    <s v="SO16402"/>
    <s v="2243614"/>
    <s v="Zijin Mining - Rosebel Goldmines N.V."/>
    <d v="2025-01-10T11:38:20"/>
    <d v="2025-01-13T10:28:21"/>
    <d v="2025-02-22T00:00:00"/>
    <s v="Amanda Qiao"/>
    <x v="1"/>
    <n v="0.69462238860369352"/>
    <n v="5373.7110424893553"/>
    <n v="0"/>
    <n v="3732.7"/>
    <n v="3732.7"/>
    <m/>
    <n v="3732.7"/>
    <s v="Delivered"/>
    <m/>
    <s v="SO16402"/>
    <x v="0"/>
  </r>
  <r>
    <n v="1"/>
    <s v="SO16403"/>
    <s v="MB21-00185834"/>
    <s v="Motion Industries Inc. (Canada) - Winnipeg"/>
    <d v="2025-01-10T12:35:08"/>
    <d v="2025-01-10T14:35:06"/>
    <d v="2025-01-13T00:00:00"/>
    <s v="Taylor Cook"/>
    <x v="0"/>
    <n v="1"/>
    <n v="540.29999999999995"/>
    <n v="0"/>
    <n v="374.24329219542551"/>
    <n v="540.29999999999995"/>
    <m/>
    <n v="540.29999999999995"/>
    <s v="Delivered"/>
    <m/>
    <s v="SO16403"/>
    <x v="0"/>
  </r>
  <r>
    <n v="1"/>
    <s v="SO16405"/>
    <s v="2100484115"/>
    <s v="Wajax Limited - Sorel-Tracy"/>
    <d v="2025-01-10T15:00:01"/>
    <d v="2025-01-10T16:49:27"/>
    <d v="2025-01-13T00:00:00"/>
    <s v="Taylor Cook"/>
    <x v="0"/>
    <n v="1"/>
    <n v="2138.66"/>
    <n v="0"/>
    <n v="1481.360650169662"/>
    <n v="2036.82"/>
    <n v="101.84"/>
    <n v="2138.66"/>
    <s v="Delivered"/>
    <m/>
    <s v="SO16405"/>
    <x v="0"/>
  </r>
  <r>
    <n v="1"/>
    <s v="SO16406"/>
    <s v="2981"/>
    <s v="Les Pompes du St-Laurent Inc."/>
    <d v="2025-01-10T15:33:55"/>
    <d v="2025-01-13T14:13:18"/>
    <d v="2025-02-10T00:00:00"/>
    <s v="Ian Trottier"/>
    <x v="0"/>
    <n v="1"/>
    <n v="2358.5100000000002"/>
    <n v="0"/>
    <n v="1636.6783557362239"/>
    <n v="2246.1999999999998"/>
    <n v="112.31"/>
    <n v="2358.5100000000002"/>
    <s v="Delivered"/>
    <m/>
    <s v="SO16406"/>
    <x v="0"/>
  </r>
  <r>
    <n v="1"/>
    <s v="SO16408"/>
    <s v="P-11425"/>
    <s v="Cartledge &amp; Associates Inc."/>
    <d v="2025-01-13T09:40:17"/>
    <d v="2025-01-14T12:55:20"/>
    <d v="2025-01-15T00:00:00"/>
    <s v="Ian Trottier"/>
    <x v="1"/>
    <n v="0.69394590471790418"/>
    <n v="4614.2789779870072"/>
    <n v="0"/>
    <n v="3202.06"/>
    <n v="3202.06"/>
    <m/>
    <n v="3202.06"/>
    <s v="Delivered"/>
    <m/>
    <s v="SO16408"/>
    <x v="0"/>
  </r>
  <r>
    <n v="1"/>
    <s v="SO16409"/>
    <s v="PO-038220"/>
    <s v="Southeast Pump Specialist, Inc."/>
    <d v="2025-01-13T09:49:06"/>
    <d v="2025-01-13T10:19:06"/>
    <d v="2025-01-14T00:00:00"/>
    <s v="Ian Trottier"/>
    <x v="1"/>
    <n v="0.69462238860369352"/>
    <n v="4344.1588545191826"/>
    <n v="0"/>
    <n v="3017.55"/>
    <n v="3017.55"/>
    <m/>
    <n v="3017.55"/>
    <s v="Delivered"/>
    <m/>
    <s v="SO16409"/>
    <x v="0"/>
  </r>
  <r>
    <n v="1"/>
    <s v="SO16411"/>
    <s v="2982"/>
    <s v="Les Pompes du St-Laurent Inc."/>
    <d v="2025-01-13T11:32:46"/>
    <d v="2025-01-13T14:53:16"/>
    <d v="2025-01-14T00:00:00"/>
    <s v="Ian Trottier"/>
    <x v="0"/>
    <n v="1"/>
    <n v="2776.1"/>
    <n v="0"/>
    <n v="1926.4632260873741"/>
    <n v="2643.9"/>
    <n v="132.19999999999999"/>
    <n v="2776.1"/>
    <s v="Delivered"/>
    <m/>
    <s v="SO16411"/>
    <x v="0"/>
  </r>
  <r>
    <n v="1"/>
    <s v="SO16412"/>
    <s v="4500554481"/>
    <s v="Glencore Canada Corporation - Rouyn-Noranda, Glencore Canada Corp."/>
    <d v="2025-01-13T12:37:48"/>
    <d v="2025-01-13T12:46:36"/>
    <d v="2025-01-13T00:00:00"/>
    <s v="Ian Trottier"/>
    <x v="0"/>
    <n v="1"/>
    <n v="2453.4899999999998"/>
    <n v="0"/>
    <n v="1702.589337766331"/>
    <n v="2336.66"/>
    <n v="116.83"/>
    <n v="2453.4899999999998"/>
    <s v="Delivered"/>
    <m/>
    <s v="SO16412"/>
    <x v="0"/>
  </r>
  <r>
    <n v="1"/>
    <s v="SO16413"/>
    <s v="AZ52-00108614"/>
    <s v="Motion Industries Inc. (U.S.) - Tucson"/>
    <d v="2025-01-13T12:56:44"/>
    <d v="2025-01-14T12:18:21"/>
    <d v="2025-01-15T00:00:00"/>
    <s v="Ian Trottier"/>
    <x v="1"/>
    <n v="0.69394590471790418"/>
    <n v="478.65402438685243"/>
    <n v="0"/>
    <n v="332.16"/>
    <n v="332.16"/>
    <m/>
    <n v="332.16"/>
    <s v="Delivered"/>
    <m/>
    <s v="SO16413"/>
    <x v="0"/>
  </r>
  <r>
    <n v="1"/>
    <s v="SO16414"/>
    <s v="0203793 - JRF"/>
    <s v="Electric Pump"/>
    <d v="2025-01-13T13:02:31"/>
    <d v="2025-01-17T13:14:43"/>
    <d v="2025-01-19T00:00:00"/>
    <s v="Taylor Cook"/>
    <x v="1"/>
    <n v="0.69535056497291603"/>
    <n v="102.85459393102769"/>
    <n v="0"/>
    <n v="71.52"/>
    <n v="71.52"/>
    <m/>
    <n v="71.52"/>
    <s v="Delivered"/>
    <m/>
    <s v="SO16414"/>
    <x v="0"/>
  </r>
  <r>
    <n v="1"/>
    <s v="SO16417"/>
    <s v="1042"/>
    <s v="Mill-Right Mine Services Inc."/>
    <d v="2025-01-13T15:49:52"/>
    <d v="2025-01-15T11:22:54"/>
    <d v="2025-04-02T00:00:00"/>
    <s v="Jeff Bell"/>
    <x v="1"/>
    <n v="0.69581989684077217"/>
    <n v="5734.2424643442628"/>
    <n v="0"/>
    <n v="3990"/>
    <n v="3990"/>
    <m/>
    <n v="3990"/>
    <s v="Delivered"/>
    <m/>
    <s v="SO16417"/>
    <x v="0"/>
  </r>
  <r>
    <n v="1"/>
    <s v="SO16422"/>
    <s v="316424"/>
    <s v="Gibraltar Mine (Canada)"/>
    <d v="2025-01-14T10:23:27"/>
    <d v="2025-01-14T16:35:09"/>
    <d v="2025-03-11T00:00:00"/>
    <s v="Ian Trottier"/>
    <x v="0"/>
    <n v="1"/>
    <n v="6106.39"/>
    <n v="0"/>
    <n v="4248.9476598695228"/>
    <n v="5815.61"/>
    <n v="290.77999999999997"/>
    <n v="6106.39"/>
    <s v="Delivered"/>
    <m/>
    <s v="SO16422"/>
    <x v="0"/>
  </r>
  <r>
    <n v="1"/>
    <s v="SO16423"/>
    <s v="P350633"/>
    <s v="Covia Corp - Camden"/>
    <d v="2025-01-14T12:27:34"/>
    <d v="2025-01-16T16:26:30"/>
    <d v="2025-01-20T00:00:00"/>
    <s v="Marlen Martinez"/>
    <x v="0"/>
    <n v="1"/>
    <n v="5986"/>
    <n v="0"/>
    <n v="4162.3684819278751"/>
    <n v="5986"/>
    <m/>
    <n v="5986"/>
    <s v="Delivered"/>
    <m/>
    <s v="SO16423"/>
    <x v="0"/>
  </r>
  <r>
    <n v="1"/>
    <s v="SO16424"/>
    <s v="M-083550"/>
    <s v="Grant Aggregate"/>
    <d v="2025-01-14T12:47:17"/>
    <d v="2025-02-10T13:25:30"/>
    <d v="2025-02-11T00:00:00"/>
    <s v="Ian Trottier"/>
    <x v="0"/>
    <n v="1"/>
    <n v="24293.77"/>
    <n v="0"/>
    <n v="16965.42931634554"/>
    <n v="21498.92"/>
    <n v="2794.85"/>
    <n v="24293.77"/>
    <s v="Delivered"/>
    <m/>
    <s v="SO16424"/>
    <x v="0"/>
  </r>
  <r>
    <n v="1"/>
    <s v="SO16426"/>
    <s v="16114 - Paid in Full $956.16 on February 28th 2025."/>
    <s v="Industrial Rigging &amp; Supply"/>
    <d v="2025-01-14T13:31:01"/>
    <d v="2025-02-27T15:23:24"/>
    <d v="2025-02-28T00:00:00"/>
    <s v="Ian Trottier"/>
    <x v="0"/>
    <n v="1"/>
    <n v="956.16"/>
    <n v="0"/>
    <n v="663.06159595385373"/>
    <n v="846.16"/>
    <n v="110"/>
    <n v="956.16"/>
    <s v="Delivered"/>
    <m/>
    <s v="SO16426"/>
    <x v="0"/>
  </r>
  <r>
    <n v="1"/>
    <s v="SO16427"/>
    <s v="6662"/>
    <s v="Hyperflo"/>
    <d v="2025-01-14T13:50:00"/>
    <d v="2025-01-15T12:52:54"/>
    <d v="2025-04-02T00:00:00"/>
    <s v="Ian Trottier"/>
    <x v="0"/>
    <n v="1"/>
    <n v="5081.07"/>
    <n v="5081.07"/>
    <n v="5081.07"/>
    <n v="4839.1099999999997"/>
    <n v="241.96"/>
    <n v="5081.07"/>
    <s v="Delivered"/>
    <m/>
    <s v="SO16427"/>
    <x v="0"/>
  </r>
  <r>
    <n v="1"/>
    <s v="SO16429"/>
    <s v="13188"/>
    <s v="Manufacture Sling-Choker (Val-d’Or) Ltée"/>
    <d v="2025-01-14T16:08:54"/>
    <d v="2025-01-15T14:08:15"/>
    <d v="2025-01-16T00:00:00"/>
    <s v="Taylor Cook"/>
    <x v="0"/>
    <n v="1"/>
    <n v="917.08"/>
    <n v="917.08"/>
    <n v="917.08"/>
    <n v="873.41"/>
    <n v="43.67"/>
    <n v="917.08"/>
    <s v="Delivered"/>
    <m/>
    <s v="SO16429"/>
    <x v="0"/>
  </r>
  <r>
    <n v="0"/>
    <s v="SO16430"/>
    <s v="3374"/>
    <s v="Les Pompes du St-Laurent Inc."/>
    <d v="2025-01-14T18:05:20"/>
    <d v="2025-10-31T14:21:01"/>
    <d v="2026-01-23T00:00:00"/>
    <s v="Ian Trottier"/>
    <x v="0"/>
    <n v="1"/>
    <n v="12682.02"/>
    <n v="0"/>
    <n v="9050.9155822992016"/>
    <n v="12078.11"/>
    <n v="603.91"/>
    <n v="12682.02"/>
    <s v="Processing"/>
    <m/>
    <s v="SO16430"/>
    <x v="0"/>
  </r>
  <r>
    <n v="1"/>
    <s v="SO16432"/>
    <s v="OP-1500441"/>
    <s v="Agnico Eagle Mines Ltd. - Rouyn-Noranda, LaRonde secteur Penna (11102)"/>
    <d v="2025-01-15T10:32:08"/>
    <d v="2025-01-22T09:34:39"/>
    <d v="2025-01-23T00:00:00"/>
    <s v="Ian Trottier"/>
    <x v="0"/>
    <n v="1"/>
    <n v="523.72"/>
    <n v="523.72"/>
    <n v="523.72"/>
    <n v="498.78"/>
    <n v="24.94"/>
    <n v="523.72"/>
    <s v="Delivered"/>
    <m/>
    <s v="SO16432"/>
    <x v="0"/>
  </r>
  <r>
    <n v="1"/>
    <s v="SO16433"/>
    <s v="03260"/>
    <s v="Eleazar General &amp; Industrial Supplies Limited"/>
    <d v="2025-01-15T12:35:19"/>
    <d v="2025-01-27T15:04:27"/>
    <d v="2025-01-28T00:00:00"/>
    <s v="Ian Trottier"/>
    <x v="1"/>
    <n v="0.69723104385450763"/>
    <n v="4777.1969268411494"/>
    <n v="0"/>
    <n v="3330.81"/>
    <n v="3330.81"/>
    <m/>
    <n v="3330.81"/>
    <s v="Delivered"/>
    <m/>
    <s v="SO16433"/>
    <x v="0"/>
  </r>
  <r>
    <n v="1"/>
    <s v="SO16434"/>
    <s v="6335"/>
    <s v="ProPart Pompes du Canada 9425-4380 Quebec Inc"/>
    <d v="2025-01-15T13:14:23"/>
    <d v="2025-01-27T13:46:05"/>
    <d v="2025-01-28T00:00:00"/>
    <s v="Ian Trottier"/>
    <x v="0"/>
    <n v="1"/>
    <n v="5733.49"/>
    <n v="0"/>
    <n v="3984.3182951212389"/>
    <n v="5460.46"/>
    <n v="273.02999999999997"/>
    <n v="5733.49"/>
    <s v="Delivered"/>
    <m/>
    <s v="SO16434"/>
    <x v="0"/>
  </r>
  <r>
    <n v="1"/>
    <s v="SO16435"/>
    <s v="2100393819"/>
    <s v="Wajax Limited - Noranda"/>
    <d v="2025-01-15T13:15:21"/>
    <d v="2025-01-15T15:22:42"/>
    <d v="2025-01-16T00:00:00"/>
    <s v="Ian Trottier"/>
    <x v="0"/>
    <n v="1"/>
    <n v="2043.9"/>
    <n v="2043.9"/>
    <n v="2043.9"/>
    <n v="1946.57"/>
    <n v="97.33"/>
    <n v="2043.9"/>
    <s v="Delivered"/>
    <m/>
    <s v="SO16435"/>
    <x v="0"/>
  </r>
  <r>
    <n v="1"/>
    <s v="SO16436"/>
    <s v="5337984"/>
    <s v="Pierce Pump Company, Pierce Pump Company"/>
    <d v="2025-01-15T16:16:04"/>
    <d v="2025-01-17T15:26:41"/>
    <d v="2025-01-20T00:00:00"/>
    <s v="Ian Trottier"/>
    <x v="1"/>
    <n v="0.69535056497291603"/>
    <n v="2360.8667091022521"/>
    <n v="0"/>
    <n v="1641.63"/>
    <n v="1641.63"/>
    <m/>
    <n v="1641.63"/>
    <s v="Delivered"/>
    <m/>
    <s v="SO16436"/>
    <x v="0"/>
  </r>
  <r>
    <n v="1"/>
    <s v="SO16437"/>
    <m/>
    <s v="Maham LLC"/>
    <d v="2025-01-15T17:12:02"/>
    <d v="2025-02-19T14:24:53"/>
    <d v="2025-02-21T00:00:00"/>
    <s v="Ian Trottier"/>
    <x v="1"/>
    <n v="0.70492347109945219"/>
    <n v="29586.190352651189"/>
    <n v="0"/>
    <n v="20856"/>
    <n v="20856"/>
    <m/>
    <n v="20856"/>
    <s v="Delivered"/>
    <m/>
    <s v="SO16437"/>
    <x v="0"/>
  </r>
  <r>
    <n v="2"/>
    <s v="SO16438"/>
    <s v="40-1012291"/>
    <s v="Canadian Bearings Ltd."/>
    <d v="2025-01-16T10:18:00"/>
    <d v="2025-01-17T17:29:20"/>
    <d v="2025-02-07T00:00:00"/>
    <s v="Ian Trottier"/>
    <x v="0"/>
    <n v="1"/>
    <n v="702.05"/>
    <n v="0"/>
    <n v="486.74540329035608"/>
    <n v="621.28"/>
    <n v="80.77"/>
    <n v="702.05"/>
    <s v="Delivered"/>
    <m/>
    <s v="SO16438"/>
    <x v="0"/>
  </r>
  <r>
    <n v="1"/>
    <s v="SO16440"/>
    <s v="SUD1005983"/>
    <s v="Process and Steam Specialties, Process and Steam Specialties"/>
    <d v="2025-01-16T14:21:59"/>
    <d v="2025-01-17T16:50:34"/>
    <d v="2025-03-11T00:00:00"/>
    <s v="Ian Trottier"/>
    <x v="0"/>
    <n v="1"/>
    <n v="386.38"/>
    <n v="0"/>
    <n v="267.88503514468738"/>
    <n v="386.38"/>
    <m/>
    <n v="386.38"/>
    <s v="Delivered"/>
    <m/>
    <s v="SO16440"/>
    <x v="0"/>
  </r>
  <r>
    <n v="1"/>
    <s v="SO16446"/>
    <s v="2100488794"/>
    <s v="Wajax Limited - Timmins"/>
    <d v="2025-01-17T13:18:00"/>
    <d v="2025-01-17T13:21:19"/>
    <d v="2025-02-07T00:00:00"/>
    <s v="Ian Trottier"/>
    <x v="0"/>
    <n v="1"/>
    <n v="1693.27"/>
    <n v="0"/>
    <n v="1173.9781910540009"/>
    <n v="1498.47"/>
    <n v="194.8"/>
    <n v="1693.27"/>
    <s v="Delivered"/>
    <m/>
    <s v="SO16446"/>
    <x v="0"/>
  </r>
  <r>
    <n v="1"/>
    <s v="SO16448"/>
    <s v="2885"/>
    <s v="Les Pompes du St-Laurent Inc."/>
    <d v="2025-01-17T16:14:25"/>
    <d v="2025-01-17T16:23:31"/>
    <d v="2025-02-14T00:00:00"/>
    <s v="Ian Trottier"/>
    <x v="0"/>
    <n v="1"/>
    <n v="326.5"/>
    <n v="0"/>
    <n v="226.36902524649429"/>
    <n v="310.95"/>
    <n v="15.55"/>
    <n v="326.5"/>
    <s v="Delivered"/>
    <m/>
    <s v="SO16448"/>
    <x v="0"/>
  </r>
  <r>
    <n v="1"/>
    <s v="SO16449"/>
    <s v="BC65-00079319"/>
    <s v="Motion Industries Inc. (Canada) - Prince George"/>
    <d v="2025-01-17T17:50:34"/>
    <d v="2025-01-23T16:39:31"/>
    <d v="2025-01-24T00:00:00"/>
    <s v="Taylor Cook"/>
    <x v="0"/>
    <n v="1"/>
    <n v="12661.94"/>
    <n v="0"/>
    <n v="8817.2283304388529"/>
    <n v="12059"/>
    <n v="602.94000000000005"/>
    <n v="12661.94"/>
    <s v="Delivered"/>
    <m/>
    <s v="SO16449"/>
    <x v="0"/>
  </r>
  <r>
    <n v="1"/>
    <s v="SO16451"/>
    <s v="4511512958"/>
    <s v="PT Vale Indonesia Tbk."/>
    <d v="2025-01-20T11:25:36"/>
    <d v="2025-01-20T11:26:33"/>
    <d v="2025-01-21T00:00:00"/>
    <s v="Ian Trottier"/>
    <x v="1"/>
    <n v="0.69062014611000555"/>
    <n v="2835.0027305576659"/>
    <n v="0"/>
    <n v="1957.91"/>
    <n v="1957.91"/>
    <m/>
    <n v="1957.91"/>
    <s v="Delivered"/>
    <m/>
    <s v="SO16451"/>
    <x v="0"/>
  </r>
  <r>
    <n v="1"/>
    <s v="SO16452"/>
    <s v="4511512957"/>
    <s v="PT Vale Indonesia Tbk."/>
    <d v="2025-01-20T11:42:59"/>
    <d v="2025-01-20T11:44:06"/>
    <d v="2025-01-21T00:00:00"/>
    <s v="Ian Trottier"/>
    <x v="1"/>
    <n v="0.69062014611000555"/>
    <n v="3716.8478424189002"/>
    <n v="0"/>
    <n v="2566.9299999999998"/>
    <n v="2566.9299999999998"/>
    <m/>
    <n v="2566.9299999999998"/>
    <s v="Delivered"/>
    <m/>
    <s v="SO16452"/>
    <x v="0"/>
  </r>
  <r>
    <n v="1"/>
    <s v="SO16453"/>
    <s v="4511512959"/>
    <s v="PT Vale Indonesia Tbk."/>
    <d v="2025-01-20T11:50:35"/>
    <d v="2025-01-20T11:51:28"/>
    <d v="2025-01-21T00:00:00"/>
    <s v="Ian Trottier"/>
    <x v="1"/>
    <n v="0.69062014611000555"/>
    <n v="2728.9820759149952"/>
    <n v="0"/>
    <n v="1884.69"/>
    <n v="1884.69"/>
    <m/>
    <n v="1884.69"/>
    <s v="Delivered"/>
    <m/>
    <s v="SO16453"/>
    <x v="0"/>
  </r>
  <r>
    <n v="1"/>
    <s v="SO16455"/>
    <s v="63-02681"/>
    <s v="Quality Concrete Inc."/>
    <d v="2025-01-20T15:05:38"/>
    <d v="2025-01-22T16:51:53"/>
    <d v="2025-05-28T00:00:00"/>
    <s v="Ian Trottier"/>
    <x v="0"/>
    <n v="1"/>
    <n v="25712.400000000001"/>
    <n v="25712.400000000001"/>
    <n v="25712.400000000001"/>
    <n v="24488"/>
    <n v="1224.4000000000001"/>
    <n v="25712.400000000001"/>
    <s v="Delivered"/>
    <m/>
    <s v="SO16455"/>
    <x v="0"/>
  </r>
  <r>
    <n v="1"/>
    <s v="SO16457"/>
    <s v="2100491932"/>
    <s v="Wajax Limited - Pointe-aux-Trembles, Wajax Limited"/>
    <d v="2025-01-20T15:44:22"/>
    <d v="2025-01-22T09:17:23"/>
    <d v="2025-01-23T00:00:00"/>
    <s v="Ian Trottier"/>
    <x v="0"/>
    <n v="1"/>
    <n v="243.8"/>
    <n v="243.8"/>
    <n v="243.8"/>
    <n v="232.19"/>
    <n v="11.61"/>
    <n v="243.8"/>
    <s v="Delivered"/>
    <m/>
    <s v="SO16457"/>
    <x v="0"/>
  </r>
  <r>
    <n v="1"/>
    <s v="SO16462"/>
    <s v="3071"/>
    <s v="Les Pompes du St-Laurent Inc."/>
    <d v="2025-01-21T09:00:19"/>
    <d v="2025-02-26T16:29:20"/>
    <d v="2025-02-27T00:00:00"/>
    <s v="Ian Trottier"/>
    <x v="0"/>
    <n v="1"/>
    <n v="2023.65"/>
    <n v="0"/>
    <n v="1410.320525298974"/>
    <n v="1927.29"/>
    <n v="96.36"/>
    <n v="2023.65"/>
    <s v="Delivered"/>
    <m/>
    <s v="SO16462"/>
    <x v="0"/>
  </r>
  <r>
    <n v="1"/>
    <s v="SO16464"/>
    <s v="6686"/>
    <s v="Hyperflo"/>
    <d v="2025-01-21T09:22:31"/>
    <d v="2025-01-21T14:59:50"/>
    <d v="2025-01-22T00:00:00"/>
    <s v="Ian Trottier"/>
    <x v="0"/>
    <n v="1"/>
    <n v="1250.9000000000001"/>
    <n v="0"/>
    <n v="872.8093684381106"/>
    <n v="1191.33"/>
    <n v="59.57"/>
    <n v="1250.9000000000001"/>
    <s v="Delivered"/>
    <m/>
    <s v="SO16464"/>
    <x v="0"/>
  </r>
  <r>
    <n v="1"/>
    <s v="SO16466"/>
    <s v="107881"/>
    <s v="Allen Bearings &amp; Technologies Ltd."/>
    <d v="2025-01-21T10:52:50"/>
    <d v="2025-01-22T17:15:16"/>
    <d v="2025-01-24T00:00:00"/>
    <s v="Taylor Cook"/>
    <x v="0"/>
    <n v="1"/>
    <n v="2386.02"/>
    <n v="2386.02"/>
    <n v="2386.02"/>
    <n v="2272.41"/>
    <n v="113.61"/>
    <n v="2386.02"/>
    <s v="Delivered"/>
    <m/>
    <s v="SO16466"/>
    <x v="0"/>
  </r>
  <r>
    <n v="3"/>
    <s v="SO16467"/>
    <s v="L63301-DS"/>
    <s v="Wild Rows Pump &amp; Compression LTD."/>
    <d v="2025-01-21T11:34:23"/>
    <d v="2025-01-21T14:40:36"/>
    <d v="2025-05-13T00:00:00"/>
    <s v="Taylor Cook"/>
    <x v="0"/>
    <n v="1"/>
    <n v="1078.24"/>
    <n v="0"/>
    <n v="752.33669631841735"/>
    <n v="1026.9000000000001"/>
    <n v="51.34"/>
    <n v="1078.24"/>
    <s v="Delivered"/>
    <m/>
    <s v="SO16467"/>
    <x v="0"/>
  </r>
  <r>
    <n v="2"/>
    <s v="SO16470"/>
    <s v="4500574503"/>
    <s v="Resolute Forest Products - Saint-Felicien"/>
    <d v="2025-01-21T12:48:22"/>
    <d v="2025-01-21T12:56:07"/>
    <d v="2025-04-07T00:00:00"/>
    <s v="Ian Trottier"/>
    <x v="0"/>
    <n v="1"/>
    <n v="2068.0100000000002"/>
    <n v="0"/>
    <n v="1442.9438820239"/>
    <n v="1969.52"/>
    <n v="98.49"/>
    <n v="2068.0100000000002"/>
    <s v="Delivered"/>
    <m/>
    <s v="SO16470"/>
    <x v="0"/>
  </r>
  <r>
    <n v="1"/>
    <s v="SO16471"/>
    <s v="007693"/>
    <s v="Sling-Choker Manufacturing - Timmins"/>
    <d v="2025-01-21T14:49:11"/>
    <d v="2025-01-21T14:50:53"/>
    <d v="2025-01-22T00:00:00"/>
    <s v="Taylor Cook"/>
    <x v="0"/>
    <n v="1"/>
    <n v="140.76"/>
    <n v="0"/>
    <n v="98.214602847028885"/>
    <n v="124.57"/>
    <n v="16.190000000000001"/>
    <n v="140.76"/>
    <s v="Delivered"/>
    <m/>
    <s v="SO16471"/>
    <x v="0"/>
  </r>
  <r>
    <n v="1"/>
    <s v="SO16474"/>
    <s v="MB21-00186138"/>
    <s v="Motion Industries Inc. (Canada) - Winnipeg, Motion Industries Inc. (Canada) - Winnipeg"/>
    <d v="2025-01-22T10:31:28"/>
    <d v="2025-01-22T12:36:19"/>
    <d v="2025-01-23T00:00:00"/>
    <s v="Ian Trottier"/>
    <x v="0"/>
    <n v="1"/>
    <n v="720.84"/>
    <n v="720.84"/>
    <n v="720.84"/>
    <n v="637.91"/>
    <n v="82.93"/>
    <n v="720.84"/>
    <s v="Delivered"/>
    <m/>
    <s v="SO16474"/>
    <x v="0"/>
  </r>
  <r>
    <n v="1"/>
    <s v="SO16475"/>
    <s v="MB21-00186141"/>
    <s v="Motion Industries Inc. (Canada) - Winnipeg"/>
    <d v="2025-01-22T10:39:10"/>
    <d v="2025-01-22T14:01:45"/>
    <d v="2025-04-02T00:00:00"/>
    <s v="Ian Trottier"/>
    <x v="0"/>
    <n v="1"/>
    <n v="5362.74"/>
    <n v="5362.74"/>
    <n v="5362.74"/>
    <n v="5107.37"/>
    <n v="255.37"/>
    <n v="5362.74"/>
    <s v="Delivered"/>
    <m/>
    <s v="SO16475"/>
    <x v="0"/>
  </r>
  <r>
    <n v="2"/>
    <s v="SO16476"/>
    <s v="40-1012558"/>
    <s v="Canadian Bearings Ltd."/>
    <d v="2025-01-23T09:19:16"/>
    <d v="2025-01-28T13:53:57"/>
    <d v="2025-02-18T00:00:00"/>
    <s v="Taylor Cook"/>
    <x v="0"/>
    <n v="1"/>
    <n v="2227.14"/>
    <n v="0"/>
    <n v="1547.346547054326"/>
    <n v="2121.09"/>
    <n v="106.05"/>
    <n v="2227.14"/>
    <s v="Delivered"/>
    <m/>
    <s v="SO16476"/>
    <x v="0"/>
  </r>
  <r>
    <n v="1"/>
    <s v="SO16477"/>
    <s v="10223"/>
    <s v="Canadian Industrial Pumps Ltd"/>
    <d v="2025-01-23T10:55:29"/>
    <d v="2025-01-29T17:56:01"/>
    <d v="2025-01-30T00:00:00"/>
    <s v="Taylor Cook"/>
    <x v="0"/>
    <n v="1"/>
    <n v="2779.84"/>
    <n v="2779.84"/>
    <n v="2779.84"/>
    <n v="2779.84"/>
    <m/>
    <n v="2779.84"/>
    <s v="Delivered"/>
    <m/>
    <s v="SO16477"/>
    <x v="0"/>
  </r>
  <r>
    <n v="1"/>
    <s v="SO16479"/>
    <s v="P351540"/>
    <s v="Covia Corp - Junction City"/>
    <d v="2025-01-23T14:22:06"/>
    <d v="2025-01-23T14:18:54"/>
    <d v="2025-01-31T00:00:00"/>
    <s v="Marlen Martinez"/>
    <x v="1"/>
    <n v="0.69635682450231584"/>
    <n v="6792.4946429303927"/>
    <n v="0"/>
    <n v="4730"/>
    <n v="4730"/>
    <m/>
    <n v="4730"/>
    <s v="Delivered"/>
    <m/>
    <s v="SO16479"/>
    <x v="0"/>
  </r>
  <r>
    <n v="1"/>
    <s v="SO16481"/>
    <s v="2200067803"/>
    <s v="Wajax Limited - Val D'Or, Composants Industriels Wajax SC -57"/>
    <d v="2025-01-23T17:03:57"/>
    <d v="2025-01-24T17:04:23"/>
    <d v="2025-01-27T00:00:00"/>
    <s v="Taylor Cook"/>
    <x v="0"/>
    <n v="1"/>
    <n v="240.03"/>
    <n v="0"/>
    <n v="167.4238529607702"/>
    <n v="228.6"/>
    <n v="11.43"/>
    <n v="240.03"/>
    <s v="Delivered"/>
    <m/>
    <s v="SO16481"/>
    <x v="0"/>
  </r>
  <r>
    <n v="1"/>
    <s v="SO16482"/>
    <s v="P-12425"/>
    <s v="Cartledge &amp; Associates Inc."/>
    <d v="2025-01-23T17:10:57"/>
    <d v="2025-01-24T12:14:42"/>
    <d v="2025-01-27T00:00:00"/>
    <s v="Ian Trottier"/>
    <x v="1"/>
    <n v="0.69635682450231584"/>
    <n v="3298.8116424963109"/>
    <n v="0"/>
    <n v="2297.15"/>
    <n v="2297.15"/>
    <m/>
    <n v="2297.15"/>
    <s v="Delivered"/>
    <m/>
    <s v="SO16482"/>
    <x v="0"/>
  </r>
  <r>
    <n v="1"/>
    <s v="SO16485"/>
    <s v="3053"/>
    <s v="Les Pompes du St-Laurent Inc."/>
    <d v="2025-01-24T09:33:34"/>
    <d v="2025-02-13T12:38:27"/>
    <d v="2025-03-06T00:00:00"/>
    <s v="Ian Trottier"/>
    <x v="0"/>
    <n v="1"/>
    <n v="2009.99"/>
    <n v="0"/>
    <n v="1412.472515457109"/>
    <n v="1914.28"/>
    <n v="95.71"/>
    <n v="2009.99"/>
    <s v="Delivered"/>
    <m/>
    <s v="SO16485"/>
    <x v="0"/>
  </r>
  <r>
    <n v="1"/>
    <s v="SO16486"/>
    <s v="607548"/>
    <s v="Sealtrac Inc."/>
    <d v="2025-01-24T09:46:35"/>
    <d v="2025-01-27T14:38:04"/>
    <d v="2025-01-28T00:00:00"/>
    <s v="Ian Trottier"/>
    <x v="0"/>
    <n v="1"/>
    <n v="924.84"/>
    <n v="0"/>
    <n v="642.69004254998742"/>
    <n v="818.44"/>
    <n v="106.4"/>
    <n v="924.84"/>
    <s v="Delivered"/>
    <m/>
    <s v="SO16486"/>
    <x v="0"/>
  </r>
  <r>
    <n v="1"/>
    <s v="SO16488"/>
    <s v="2100495165"/>
    <s v="Wajax Limited - Noranda, Wajax Limited - Noranda"/>
    <d v="2025-01-24T11:43:47"/>
    <d v="2025-01-24T16:22:45"/>
    <d v="2025-01-27T00:00:00"/>
    <s v="Ian Trottier"/>
    <x v="0"/>
    <n v="1"/>
    <n v="1501.27"/>
    <n v="0"/>
    <n v="1047.154137959486"/>
    <n v="1429.78"/>
    <n v="71.489999999999995"/>
    <n v="1501.27"/>
    <s v="Delivered"/>
    <m/>
    <s v="SO16488"/>
    <x v="0"/>
  </r>
  <r>
    <n v="1"/>
    <s v="SO16492"/>
    <s v="4500577484"/>
    <s v="Resolute Forest Products - Saint-Felicien"/>
    <d v="2025-01-24T13:07:34"/>
    <d v="2025-01-27T09:19:10"/>
    <d v="2025-05-09T00:00:00"/>
    <s v="Ian Trottier"/>
    <x v="0"/>
    <n v="1"/>
    <n v="835.92"/>
    <n v="0"/>
    <n v="580.89773406036227"/>
    <n v="796.11"/>
    <n v="39.81"/>
    <n v="835.92"/>
    <s v="Delivered"/>
    <m/>
    <s v="SO16492"/>
    <x v="0"/>
  </r>
  <r>
    <n v="1"/>
    <s v="SO16494"/>
    <s v="21276"/>
    <s v="DRN Industriel"/>
    <d v="2025-01-24T15:18:00"/>
    <d v="2025-01-24T15:20:11"/>
    <d v="2025-04-11T00:00:00"/>
    <s v="Ian Trottier"/>
    <x v="0"/>
    <n v="1"/>
    <n v="1254.6099999999999"/>
    <n v="0"/>
    <n v="875.10577912390897"/>
    <n v="1194.8699999999999"/>
    <n v="59.74"/>
    <n v="1254.6099999999999"/>
    <s v="Delivered"/>
    <m/>
    <s v="SO16494"/>
    <x v="0"/>
  </r>
  <r>
    <n v="1"/>
    <s v="SO16495"/>
    <s v="2056"/>
    <s v="FMI Products"/>
    <d v="2025-01-24T16:42:25"/>
    <d v="2025-01-27T16:28:41"/>
    <d v="2025-01-28T00:00:00"/>
    <s v="Taylor Cook"/>
    <x v="0"/>
    <n v="1"/>
    <n v="166.72"/>
    <n v="0"/>
    <n v="115.85710381680499"/>
    <n v="158.78"/>
    <n v="7.94"/>
    <n v="166.72"/>
    <s v="Delivered"/>
    <m/>
    <s v="SO16495"/>
    <x v="0"/>
  </r>
  <r>
    <n v="2"/>
    <s v="SO16496"/>
    <s v="6336"/>
    <s v="ProPart Pompes du Canada 9425-4380 Quebec Inc"/>
    <d v="2025-01-27T12:21:37"/>
    <d v="2025-01-27T12:34:50"/>
    <d v="2025-02-17T00:00:00"/>
    <s v="Ian Trottier"/>
    <x v="0"/>
    <n v="1"/>
    <n v="9975.8700000000008"/>
    <n v="0"/>
    <n v="6932.4340586189428"/>
    <n v="9500.83"/>
    <n v="475.04"/>
    <n v="9975.8700000000008"/>
    <s v="Delivered"/>
    <m/>
    <s v="SO16496"/>
    <x v="0"/>
  </r>
  <r>
    <n v="1"/>
    <s v="SO16497"/>
    <s v="PONV-25-0210"/>
    <s v="Tech-Flow"/>
    <d v="2025-01-27T15:26:37"/>
    <d v="2025-01-29T13:25:15"/>
    <d v="2025-04-09T00:00:00"/>
    <s v="Ian Trottier"/>
    <x v="1"/>
    <n v="0.69492024842133493"/>
    <n v="3672.3350712508191"/>
    <n v="0"/>
    <n v="2551.98"/>
    <n v="2551.98"/>
    <m/>
    <n v="2551.98"/>
    <s v="Delivered"/>
    <m/>
    <s v="SO16497"/>
    <x v="0"/>
  </r>
  <r>
    <n v="1"/>
    <s v="SO16498"/>
    <s v="007708"/>
    <s v="Sling-Choker Manufacturing - Timmins"/>
    <d v="2025-01-28T07:22:26"/>
    <d v="2025-01-28T09:42:14"/>
    <d v="2025-01-29T00:00:00"/>
    <s v="Ian Trottier"/>
    <x v="0"/>
    <n v="1"/>
    <n v="5751.01"/>
    <n v="0"/>
    <n v="3995.620152112082"/>
    <n v="5089.3900000000003"/>
    <n v="661.62"/>
    <n v="5751.01"/>
    <s v="Delivered"/>
    <m/>
    <s v="SO16498"/>
    <x v="0"/>
  </r>
  <r>
    <n v="1"/>
    <s v="SO16499"/>
    <s v="6500016472"/>
    <s v="Wesdome Gold Mines Ltd - Eagle River Mine"/>
    <d v="2025-01-28T09:25:45"/>
    <d v="2025-01-29T16:46:36"/>
    <d v="2025-01-30T00:00:00"/>
    <s v="Ian Trottier"/>
    <x v="0"/>
    <n v="1"/>
    <n v="4138.54"/>
    <n v="4138.54"/>
    <n v="4138.54"/>
    <n v="3662.42"/>
    <n v="476.12"/>
    <n v="4138.54"/>
    <s v="Delivered"/>
    <m/>
    <s v="SO16499"/>
    <x v="0"/>
  </r>
  <r>
    <n v="2"/>
    <s v="SO16501"/>
    <s v="M-083516"/>
    <s v="Grant Aggregate"/>
    <d v="2025-01-28T13:11:22"/>
    <d v="2025-01-29T09:45:57"/>
    <d v="2025-01-30T00:00:00"/>
    <s v="Ian Trottier"/>
    <x v="0"/>
    <n v="1"/>
    <n v="6676.97"/>
    <n v="6676.97"/>
    <n v="6676.97"/>
    <n v="5908.82"/>
    <n v="768.15"/>
    <n v="6676.97"/>
    <s v="To Deliver"/>
    <m/>
    <s v="SO16501"/>
    <x v="0"/>
  </r>
  <r>
    <n v="1"/>
    <s v="SO16503"/>
    <s v="MB21-00186347"/>
    <s v="Motion Industries Inc. (Canada) - Winnipeg"/>
    <d v="2025-01-28T15:01:06"/>
    <d v="2025-01-29T09:12:49"/>
    <d v="2025-01-30T00:00:00"/>
    <s v="Taylor Cook"/>
    <x v="0"/>
    <n v="1"/>
    <n v="132.43"/>
    <n v="132.43"/>
    <n v="132.43"/>
    <n v="126.12"/>
    <n v="6.31"/>
    <n v="132.43"/>
    <s v="Delivered"/>
    <m/>
    <s v="SO16503"/>
    <x v="0"/>
  </r>
  <r>
    <n v="1"/>
    <s v="SO16504"/>
    <s v="OC00142"/>
    <s v="Dynapro Pumps México S de RL de CV"/>
    <d v="2025-01-28T16:18:11"/>
    <d v="2025-01-28T16:17:37"/>
    <d v="2025-03-07T00:00:00"/>
    <s v="Yannett Yeomans"/>
    <x v="1"/>
    <n v="0.69492024842133493"/>
    <n v="661.94646226670147"/>
    <n v="0"/>
    <n v="460"/>
    <n v="460"/>
    <m/>
    <n v="460"/>
    <s v="Delivered"/>
    <m/>
    <s v="SO16504"/>
    <x v="0"/>
  </r>
  <r>
    <n v="1"/>
    <s v="SO16505"/>
    <s v="21292"/>
    <s v="DRN Industriel"/>
    <d v="2025-01-28T17:14:27"/>
    <d v="2025-01-28T17:21:39"/>
    <d v="2025-01-29T00:00:00"/>
    <s v="Taylor Cook"/>
    <x v="0"/>
    <n v="1"/>
    <n v="1254.6099999999999"/>
    <n v="0"/>
    <n v="871.6634119991686"/>
    <n v="1194.8699999999999"/>
    <n v="59.74"/>
    <n v="1254.6099999999999"/>
    <s v="Delivered"/>
    <m/>
    <s v="SO16505"/>
    <x v="0"/>
  </r>
  <r>
    <n v="1"/>
    <s v="SO16509"/>
    <s v="P351539"/>
    <s v="Covia Corp - Junction City"/>
    <d v="2025-01-29T11:56:25"/>
    <d v="2025-01-29T11:57:23"/>
    <d v="2025-01-29T00:00:00"/>
    <s v="Marlen Martinez"/>
    <x v="1"/>
    <n v="0.69492024842133493"/>
    <n v="5157.4263494866482"/>
    <n v="0"/>
    <n v="3584"/>
    <n v="3584"/>
    <m/>
    <n v="3584"/>
    <s v="Delivered"/>
    <m/>
    <s v="SO16509"/>
    <x v="0"/>
  </r>
  <r>
    <n v="1"/>
    <s v="SO16511"/>
    <s v="P351588"/>
    <s v="Covia Corp - Junction City"/>
    <d v="2025-01-29T12:24:16"/>
    <d v="2025-01-29T12:29:07"/>
    <d v="2025-05-13T00:00:00"/>
    <s v="Marlen Martinez"/>
    <x v="1"/>
    <n v="0.69492024842133493"/>
    <n v="8749.9968720343295"/>
    <n v="0"/>
    <n v="6080.55"/>
    <n v="6080.55"/>
    <m/>
    <n v="6080.55"/>
    <s v="Delivered"/>
    <m/>
    <s v="SO16511"/>
    <x v="0"/>
  </r>
  <r>
    <n v="1"/>
    <s v="SO16512"/>
    <s v="M-083523"/>
    <s v="Grant Aggregate"/>
    <d v="2025-01-29T13:37:05"/>
    <d v="2025-01-30T10:43:54"/>
    <d v="2025-02-18T00:00:00"/>
    <s v="Ian Trottier"/>
    <x v="0"/>
    <n v="1"/>
    <n v="1988.36"/>
    <n v="0"/>
    <n v="1379.386222879732"/>
    <n v="1759.61"/>
    <n v="228.75"/>
    <n v="1988.36"/>
    <s v="Delivered"/>
    <m/>
    <s v="SO16512"/>
    <x v="0"/>
  </r>
  <r>
    <n v="2"/>
    <s v="SO16513"/>
    <s v="3113"/>
    <s v="Les Pompes du St-Laurent Inc."/>
    <d v="2025-01-29T13:58:24"/>
    <d v="2025-03-31T16:18:08"/>
    <d v="2025-04-18T00:00:00"/>
    <s v="Ian Trottier"/>
    <x v="0"/>
    <n v="1"/>
    <n v="17592.46"/>
    <n v="0"/>
    <n v="12257.64472282046"/>
    <n v="16754.72"/>
    <n v="837.74"/>
    <n v="17592.46"/>
    <s v="Delivered"/>
    <m/>
    <s v="SO16513"/>
    <x v="0"/>
  </r>
  <r>
    <n v="2"/>
    <s v="SO16515"/>
    <s v="40-1012759"/>
    <s v="Canadian Bearings Ltd."/>
    <d v="2025-01-29T17:29:22"/>
    <d v="2025-02-03T14:22:04"/>
    <d v="2025-03-31T00:00:00"/>
    <s v="Ian Trottier"/>
    <x v="0"/>
    <n v="1"/>
    <n v="1456.77"/>
    <n v="0"/>
    <n v="997.7329272310983"/>
    <n v="1387.4"/>
    <n v="69.37"/>
    <n v="1456.77"/>
    <s v="Delivered"/>
    <m/>
    <s v="SO16515"/>
    <x v="0"/>
  </r>
  <r>
    <n v="2"/>
    <s v="SO16516"/>
    <s v="40-1012965"/>
    <s v="Canadian Bearings Ltd."/>
    <d v="2025-01-29T17:46:04"/>
    <d v="2025-02-11T14:23:14"/>
    <d v="2025-03-04T00:00:00"/>
    <s v="Taylor Cook"/>
    <x v="0"/>
    <n v="1"/>
    <n v="193.03"/>
    <n v="0"/>
    <n v="134.90296737157391"/>
    <n v="183.84"/>
    <n v="9.19"/>
    <n v="193.03"/>
    <s v="Delivered"/>
    <m/>
    <s v="SO16516"/>
    <x v="0"/>
  </r>
  <r>
    <n v="1"/>
    <s v="SO16517"/>
    <s v="AZ52-00109170"/>
    <s v="Motion Industries Inc. (U.S.) - Tucson"/>
    <d v="2025-01-30T11:18:17"/>
    <d v="2025-01-30T11:20:25"/>
    <d v="2025-01-31T00:00:00"/>
    <s v="Ian Trottier"/>
    <x v="1"/>
    <n v="0.69476842365290303"/>
    <n v="239.0436789380793"/>
    <n v="0"/>
    <n v="166.08"/>
    <n v="166.08"/>
    <m/>
    <n v="166.08"/>
    <s v="Delivered"/>
    <m/>
    <s v="SO16517"/>
    <x v="0"/>
  </r>
  <r>
    <n v="1"/>
    <s v="SO16519"/>
    <s v="4500578527"/>
    <s v="Resolute Forest Products - Dolbeau"/>
    <d v="2025-01-30T13:29:31"/>
    <d v="2025-02-05T09:43:07"/>
    <d v="2025-04-16T00:00:00"/>
    <s v="Ian Trottier"/>
    <x v="0"/>
    <n v="1"/>
    <n v="6261.19"/>
    <n v="0"/>
    <n v="4383.382732256362"/>
    <n v="5963.04"/>
    <n v="298.14999999999998"/>
    <n v="6261.19"/>
    <s v="Delivered"/>
    <m/>
    <s v="SO16519"/>
    <x v="0"/>
  </r>
  <r>
    <n v="1"/>
    <s v="SO16520"/>
    <s v="BC65-00079399"/>
    <s v="Motion Industries Inc. (Canada) - Prince George"/>
    <d v="2025-01-30T16:24:32"/>
    <d v="2025-01-30T16:27:03"/>
    <d v="2025-01-31T00:00:00"/>
    <s v="Ian Trottier"/>
    <x v="0"/>
    <n v="1"/>
    <n v="232.68"/>
    <n v="0"/>
    <n v="161.4172415154479"/>
    <n v="221.6"/>
    <n v="11.08"/>
    <n v="232.68"/>
    <s v="Delivered"/>
    <m/>
    <s v="SO16520"/>
    <x v="0"/>
  </r>
  <r>
    <n v="1"/>
    <s v="SO16521"/>
    <s v="4511559088"/>
    <s v="PT Vale Indonesia Tbk."/>
    <d v="2025-01-30T17:41:36"/>
    <d v="2025-01-30T17:44:39"/>
    <d v="2025-03-06T00:00:00"/>
    <s v="Ian Trottier"/>
    <x v="1"/>
    <n v="0.69476842365290303"/>
    <n v="3553.7020911495529"/>
    <n v="0"/>
    <n v="2469"/>
    <n v="2469"/>
    <m/>
    <n v="2469"/>
    <s v="Delivered"/>
    <m/>
    <s v="SO16521"/>
    <x v="0"/>
  </r>
  <r>
    <n v="2"/>
    <s v="SO16522"/>
    <s v="Melissa Rosier - PO"/>
    <s v="D&amp;H Materials Inc"/>
    <d v="2025-01-31T09:46:59"/>
    <d v="2025-01-31T09:40:32"/>
    <d v="2025-04-04T00:00:00"/>
    <s v="Ian Trottier"/>
    <x v="1"/>
    <n v="0.69373062366962301"/>
    <n v="1011.631858325199"/>
    <n v="0"/>
    <n v="701.8"/>
    <n v="701.8"/>
    <m/>
    <n v="701.8"/>
    <s v="Delivered"/>
    <m/>
    <s v="SO16522"/>
    <x v="0"/>
  </r>
  <r>
    <n v="2"/>
    <s v="SO16525"/>
    <s v="P-20325"/>
    <s v="Cartledge &amp; Associates Inc."/>
    <d v="2025-01-31T16:25:15"/>
    <d v="2025-02-03T18:34:20"/>
    <d v="2025-04-14T00:00:00"/>
    <s v="Ian Trottier"/>
    <x v="1"/>
    <n v="0.68831733110963"/>
    <n v="10249.502200717279"/>
    <n v="0"/>
    <n v="7054.91"/>
    <n v="7054.91"/>
    <m/>
    <n v="7054.91"/>
    <s v="Delivered"/>
    <m/>
    <s v="SO16525"/>
    <x v="0"/>
  </r>
  <r>
    <n v="1"/>
    <s v="SO16526"/>
    <s v="4500579153"/>
    <s v="Resolute Forest Products - Saint-Felicien"/>
    <d v="2025-01-31T16:54:28"/>
    <d v="2025-02-07T11:02:12"/>
    <d v="2025-02-10T00:00:00"/>
    <s v="Ian Trottier"/>
    <x v="0"/>
    <n v="1"/>
    <n v="316.85000000000002"/>
    <n v="0"/>
    <n v="221.40096770167111"/>
    <n v="301.76"/>
    <n v="15.09"/>
    <n v="316.85000000000002"/>
    <s v="Delivered"/>
    <m/>
    <s v="SO16526"/>
    <x v="0"/>
  </r>
  <r>
    <n v="2"/>
    <s v="SO16527"/>
    <s v="4500579111"/>
    <s v="Resolute Forest Products - Saint-Felicien"/>
    <d v="2025-01-31T17:00:56"/>
    <d v="2025-02-12T09:54:50"/>
    <d v="2025-05-02T00:00:00"/>
    <s v="Ian Trottier"/>
    <x v="0"/>
    <n v="1"/>
    <n v="6712.59"/>
    <n v="0"/>
    <n v="4697.876514106154"/>
    <n v="6392.94"/>
    <n v="319.64999999999998"/>
    <n v="6712.59"/>
    <s v="Delivered"/>
    <m/>
    <s v="SO16527"/>
    <x v="0"/>
  </r>
  <r>
    <n v="1"/>
    <s v="SO16528"/>
    <s v="PO-40-1013109"/>
    <s v="Canadian Bearings Ltd."/>
    <d v="2025-02-03T09:15:32"/>
    <d v="2025-02-18T15:07:32"/>
    <d v="2025-02-21T00:00:00"/>
    <s v="Taylor Cook"/>
    <x v="0"/>
    <n v="1"/>
    <n v="293.48"/>
    <n v="293.48"/>
    <n v="293.48"/>
    <n v="279.5"/>
    <n v="13.98"/>
    <n v="293.48"/>
    <s v="Delivered"/>
    <m/>
    <s v="SO16528"/>
    <x v="1"/>
  </r>
  <r>
    <n v="1"/>
    <s v="SO16529"/>
    <s v="S305369"/>
    <s v="Kumtor Gold Company"/>
    <d v="2025-02-03T13:28:04"/>
    <d v="2025-02-18T16:23:28"/>
    <m/>
    <s v="Ian Trottier"/>
    <x v="1"/>
    <n v="0.70491579277313177"/>
    <n v="21850.453852659211"/>
    <n v="0"/>
    <n v="15402.73"/>
    <n v="15402.73"/>
    <m/>
    <n v="15402.73"/>
    <s v="Delivered"/>
    <m/>
    <s v="SO16529"/>
    <x v="1"/>
  </r>
  <r>
    <n v="1"/>
    <s v="SO16530"/>
    <s v="11667"/>
    <s v="Les Pompes Diaspec Inc."/>
    <d v="2025-02-03T14:12:03"/>
    <d v="2025-02-03T14:12:03"/>
    <d v="2025-02-03T00:00:00"/>
    <s v="Taylor Cook"/>
    <x v="0"/>
    <n v="1"/>
    <n v="293.94"/>
    <n v="0"/>
    <n v="201.31772114356349"/>
    <n v="279.94"/>
    <n v="14"/>
    <n v="293.94"/>
    <s v="Delivered"/>
    <m/>
    <s v="SO16530"/>
    <x v="1"/>
  </r>
  <r>
    <n v="4"/>
    <s v="SO16531"/>
    <s v="S305276"/>
    <s v="Kumtor Gold Company"/>
    <d v="2025-02-03T15:58:47"/>
    <d v="2025-02-10T15:54:17"/>
    <d v="2025-04-29T00:00:00"/>
    <s v="Ian Trottier"/>
    <x v="1"/>
    <n v="0.69834485616458641"/>
    <n v="55151.891876930713"/>
    <n v="0"/>
    <n v="38515.040000000001"/>
    <n v="38515.040000000001"/>
    <m/>
    <n v="38515.040000000001"/>
    <s v="Delivered"/>
    <m/>
    <s v="SO16531"/>
    <x v="1"/>
  </r>
  <r>
    <n v="1"/>
    <s v="SO16532"/>
    <s v="4004044"/>
    <s v="John Brooks Company Limited"/>
    <d v="2025-02-03T17:31:00"/>
    <d v="2025-02-13T09:32:09"/>
    <d v="2025-05-01T00:00:00"/>
    <s v="Ian Trottier"/>
    <x v="0"/>
    <n v="1"/>
    <n v="6082.12"/>
    <n v="0"/>
    <n v="4274.0647146065348"/>
    <n v="5382.41"/>
    <n v="699.71"/>
    <n v="6082.12"/>
    <s v="Delivered"/>
    <m/>
    <s v="SO16532"/>
    <x v="1"/>
  </r>
  <r>
    <n v="1"/>
    <s v="SO16533"/>
    <s v="PO-40-1013133"/>
    <s v="Canadian Bearings Ltd., Canadian Bearings Ltd. - Quebec City"/>
    <d v="2025-02-03T17:52:08"/>
    <d v="2025-02-18T18:41:06"/>
    <d v="2025-05-05T00:00:00"/>
    <s v="Ian Trottier"/>
    <x v="0"/>
    <n v="1"/>
    <n v="6231.59"/>
    <n v="6231.59"/>
    <n v="6231.59"/>
    <n v="5934.85"/>
    <n v="296.74"/>
    <n v="6231.59"/>
    <s v="Delivered"/>
    <m/>
    <s v="SO16533"/>
    <x v="1"/>
  </r>
  <r>
    <n v="5"/>
    <s v="SO16534"/>
    <s v="S305039"/>
    <s v="Kumtor Gold Company"/>
    <d v="2025-02-04T10:35:20"/>
    <d v="2025-02-04T10:45:14"/>
    <d v="2025-06-03T00:00:00"/>
    <s v="Ian Trottier"/>
    <x v="1"/>
    <n v="0.68489392782051961"/>
    <n v="77306.715462478212"/>
    <n v="0"/>
    <n v="52946.9"/>
    <n v="52946.9"/>
    <m/>
    <n v="52946.9"/>
    <s v="Delivered"/>
    <m/>
    <s v="SO16534"/>
    <x v="1"/>
  </r>
  <r>
    <n v="1"/>
    <s v="SO16535"/>
    <s v="4501101861"/>
    <s v="Barrick Gold - Pueblo Viejo Dominicana Corporation"/>
    <d v="2025-02-04T10:41:44"/>
    <d v="2025-02-04T10:42:05"/>
    <d v="2025-02-19T00:00:00"/>
    <s v="Jeff Bell"/>
    <x v="1"/>
    <n v="0.68489392782051961"/>
    <n v="22748.778120402549"/>
    <n v="0"/>
    <n v="15580.5"/>
    <n v="15580.5"/>
    <m/>
    <n v="15580.5"/>
    <s v="Delivered"/>
    <m/>
    <s v="SO16535"/>
    <x v="1"/>
  </r>
  <r>
    <n v="2"/>
    <s v="SO16537"/>
    <s v="P-20525"/>
    <s v="Cartledge &amp; Associates Inc."/>
    <d v="2025-02-04T12:12:32"/>
    <d v="2025-02-04T17:46:44"/>
    <d v="2025-04-22T00:00:00"/>
    <s v="Ian Trottier"/>
    <x v="1"/>
    <n v="0.68489392782051961"/>
    <n v="5976.3998974636061"/>
    <n v="0"/>
    <n v="4093.2"/>
    <n v="4093.2"/>
    <m/>
    <n v="4093.2"/>
    <s v="Delivered"/>
    <m/>
    <s v="SO16537"/>
    <x v="1"/>
  </r>
  <r>
    <n v="1"/>
    <s v="SO16539"/>
    <s v="068612"/>
    <s v="Grant Aggregate"/>
    <d v="2025-02-04T14:22:02"/>
    <d v="2025-02-04T14:23:53"/>
    <d v="2025-02-05T00:00:00"/>
    <s v="Ian Trottier"/>
    <x v="0"/>
    <n v="1"/>
    <n v="505.23"/>
    <n v="0"/>
    <n v="352.80671767308098"/>
    <n v="447.11"/>
    <n v="58.12"/>
    <n v="505.23"/>
    <s v="Delivered"/>
    <m/>
    <s v="SO16539"/>
    <x v="1"/>
  </r>
  <r>
    <n v="2"/>
    <s v="SO16544"/>
    <s v="MB21-00189084"/>
    <s v="Motion Industries Inc. (Canada) - Winnipeg"/>
    <d v="2025-02-05T12:50:16"/>
    <d v="2025-05-01T10:35:53"/>
    <d v="2025-07-17T00:00:00"/>
    <s v="Ian Trottier"/>
    <x v="0"/>
    <n v="1"/>
    <n v="7864.84"/>
    <n v="0"/>
    <n v="5679.2136625299991"/>
    <n v="7490.32"/>
    <n v="374.52"/>
    <n v="7864.84"/>
    <s v="Delivered"/>
    <m/>
    <s v="SO16544"/>
    <x v="1"/>
  </r>
  <r>
    <n v="1"/>
    <s v="SO16545"/>
    <s v="21316"/>
    <s v="DRN Industriel"/>
    <d v="2025-02-05T12:53:03"/>
    <d v="2025-02-05T17:09:58"/>
    <d v="2025-04-30T00:00:00"/>
    <s v="Ian Trottier"/>
    <x v="0"/>
    <n v="1"/>
    <n v="4559.7299999999996"/>
    <n v="0"/>
    <n v="3192.2113441296779"/>
    <n v="4342.6000000000004"/>
    <n v="217.13"/>
    <n v="4559.7299999999996"/>
    <s v="Delivered"/>
    <m/>
    <s v="SO16545"/>
    <x v="1"/>
  </r>
  <r>
    <n v="1"/>
    <s v="SO16546"/>
    <s v="4501102834"/>
    <s v="Barrick Gold - Pueblo Viejo Dominicana Corporation"/>
    <d v="2025-02-05T14:19:13"/>
    <d v="2025-02-05T17:19:04"/>
    <d v="2025-02-19T00:00:00"/>
    <s v="Jeff Bell"/>
    <x v="1"/>
    <n v="0.69830912193076611"/>
    <n v="29631.719463706959"/>
    <n v="0"/>
    <n v="20692.099999999999"/>
    <n v="20692.099999999999"/>
    <m/>
    <n v="20692.099999999999"/>
    <s v="Delivered"/>
    <m/>
    <s v="SO16546"/>
    <x v="1"/>
  </r>
  <r>
    <n v="1"/>
    <s v="SO16547"/>
    <s v="P352270"/>
    <s v="Covia Corp - Camden"/>
    <d v="2025-02-05T14:28:03"/>
    <d v="2025-02-05T14:27:18"/>
    <d v="2025-05-09T00:00:00"/>
    <s v="Marlen Martinez"/>
    <x v="1"/>
    <n v="0.69830912193076611"/>
    <n v="895.69215173736814"/>
    <n v="0"/>
    <n v="625.47"/>
    <n v="625.47"/>
    <m/>
    <n v="625.47"/>
    <s v="Delivered"/>
    <m/>
    <s v="SO16547"/>
    <x v="1"/>
  </r>
  <r>
    <n v="1"/>
    <s v="SO16549"/>
    <s v="4500580004"/>
    <s v="Resolute Forest Products - Saint-Felicien"/>
    <d v="2025-02-06T09:12:02"/>
    <d v="2025-02-07T11:44:32"/>
    <d v="2025-02-11T00:00:00"/>
    <s v="Ian Trottier"/>
    <x v="0"/>
    <n v="1"/>
    <n v="4349.0200000000004"/>
    <n v="0"/>
    <n v="3038.9055911438272"/>
    <n v="4141.92"/>
    <n v="207.1"/>
    <n v="4349.0200000000004"/>
    <s v="Delivered"/>
    <m/>
    <s v="SO16549"/>
    <x v="1"/>
  </r>
  <r>
    <n v="1"/>
    <s v="SO16550"/>
    <s v="2100504291"/>
    <s v="Wajax Limited - Noranda"/>
    <d v="2025-02-06T10:48:00"/>
    <d v="2025-02-06T11:39:53"/>
    <d v="2025-02-07T00:00:00"/>
    <s v="Ian Trottier"/>
    <x v="0"/>
    <n v="1"/>
    <n v="746.81"/>
    <n v="0"/>
    <n v="521.66267612002866"/>
    <n v="711.25"/>
    <n v="35.56"/>
    <n v="746.81"/>
    <s v="Delivered"/>
    <m/>
    <s v="SO16550"/>
    <x v="1"/>
  </r>
  <r>
    <n v="1"/>
    <s v="SO16551"/>
    <s v="4500580445"/>
    <s v="Resolute Forest Products - Kenogami"/>
    <d v="2025-02-06T11:15:49"/>
    <d v="2025-02-07T11:24:58"/>
    <d v="2025-03-07T00:00:00"/>
    <s v="Ian Trottier"/>
    <x v="0"/>
    <n v="1"/>
    <n v="8183.91"/>
    <n v="0"/>
    <n v="5718.5595505235378"/>
    <n v="7794.2"/>
    <n v="389.71"/>
    <n v="8183.91"/>
    <s v="Delivered"/>
    <m/>
    <s v="SO16551"/>
    <x v="1"/>
  </r>
  <r>
    <n v="1"/>
    <s v="SO16552"/>
    <s v="6752"/>
    <s v="Hyperflo"/>
    <d v="2025-02-06T12:42:32"/>
    <d v="2025-02-06T12:44:02"/>
    <d v="2025-04-03T00:00:00"/>
    <s v="Taylor Cook"/>
    <x v="0"/>
    <n v="1"/>
    <n v="180.92"/>
    <n v="0"/>
    <n v="126.3764697361251"/>
    <n v="172.3"/>
    <n v="8.6199999999999992"/>
    <n v="180.92"/>
    <s v="Delivered"/>
    <m/>
    <s v="SO16552"/>
    <x v="1"/>
  </r>
  <r>
    <n v="2"/>
    <s v="SO16554"/>
    <s v="4501106578"/>
    <s v="Barrick Gold - Pueblo Viejo Dominicana Corporation"/>
    <d v="2025-02-06T15:46:17"/>
    <d v="2025-02-11T16:23:06"/>
    <d v="2025-07-14T00:00:00"/>
    <s v="Jeff Bell"/>
    <x v="1"/>
    <n v="0.69834485616458641"/>
    <n v="45189.049108657709"/>
    <n v="0"/>
    <n v="31557.54"/>
    <n v="31557.54"/>
    <m/>
    <n v="31557.54"/>
    <s v="Delivered"/>
    <m/>
    <s v="SO16554"/>
    <x v="1"/>
  </r>
  <r>
    <n v="1"/>
    <s v="SO16556"/>
    <s v="OC00143"/>
    <s v="Dynapro Pumps México S de RL de CV"/>
    <d v="2025-02-06T18:46:53"/>
    <d v="2025-02-06T18:44:10"/>
    <d v="2025-03-10T00:00:00"/>
    <s v="Yannett Yeomans"/>
    <x v="1"/>
    <n v="0.70008779996396242"/>
    <n v="5240.7712292499091"/>
    <n v="0"/>
    <n v="3669"/>
    <n v="3669"/>
    <m/>
    <n v="3669"/>
    <s v="Delivered"/>
    <m/>
    <s v="SO16556"/>
    <x v="1"/>
  </r>
  <r>
    <n v="1"/>
    <s v="SO16557"/>
    <s v="40-1013039"/>
    <s v="Canadian Bearings Ltd."/>
    <d v="2025-02-07T09:10:50"/>
    <d v="2025-02-17T09:10:50"/>
    <d v="2025-02-18T00:00:00"/>
    <s v="Taylor Cook"/>
    <x v="0"/>
    <n v="1"/>
    <n v="283.87"/>
    <n v="0"/>
    <n v="200.10662574100149"/>
    <n v="270.35000000000002"/>
    <n v="13.52"/>
    <n v="283.87"/>
    <s v="Delivered"/>
    <m/>
    <s v="SO16557"/>
    <x v="1"/>
  </r>
  <r>
    <n v="1"/>
    <s v="SO16558"/>
    <s v="2851"/>
    <s v="Les Pompes du St-Laurent Inc."/>
    <d v="2025-02-07T09:14:26"/>
    <d v="2025-02-07T09:34:13"/>
    <d v="2025-05-02T00:00:00"/>
    <s v="Ian Trottier"/>
    <x v="0"/>
    <n v="1"/>
    <n v="3524.01"/>
    <n v="0"/>
    <n v="2462.424567430538"/>
    <n v="3356.2"/>
    <n v="167.81"/>
    <n v="3524.01"/>
    <s v="Delivered"/>
    <m/>
    <s v="SO16558"/>
    <x v="1"/>
  </r>
  <r>
    <n v="1"/>
    <s v="SO16559"/>
    <s v="PO09020"/>
    <s v="Tantalum Mining Corporation of Canada"/>
    <d v="2025-02-07T09:32:06"/>
    <d v="2025-02-18T09:30:17"/>
    <d v="2025-02-21T00:00:00"/>
    <s v="Taylor Cook"/>
    <x v="0"/>
    <n v="1"/>
    <n v="2120.44"/>
    <n v="2120.44"/>
    <n v="2120.44"/>
    <n v="2019.47"/>
    <n v="100.97"/>
    <n v="2120.44"/>
    <s v="Delivered"/>
    <m/>
    <s v="SO16559"/>
    <x v="1"/>
  </r>
  <r>
    <n v="1"/>
    <s v="SO16560"/>
    <s v="4500580330"/>
    <s v="Resolute Forest Products - Kenogami"/>
    <d v="2025-02-07T10:48:42"/>
    <d v="2025-02-12T10:50:03"/>
    <d v="2025-02-28T00:00:00"/>
    <s v="Ian Trottier"/>
    <x v="0"/>
    <n v="1"/>
    <n v="986.77"/>
    <n v="0"/>
    <n v="690.60133388521115"/>
    <n v="939.78"/>
    <n v="46.99"/>
    <n v="986.77"/>
    <s v="Delivered"/>
    <m/>
    <s v="SO16560"/>
    <x v="1"/>
  </r>
  <r>
    <n v="1"/>
    <s v="SO16561"/>
    <s v="606867"/>
    <s v="Sealtrac Inc."/>
    <d v="2025-02-07T13:07:08"/>
    <d v="2025-02-18T16:40:03"/>
    <d v="2025-02-19T00:00:00"/>
    <s v="Ian Trottier"/>
    <x v="0"/>
    <n v="1"/>
    <n v="607.11"/>
    <n v="607.11"/>
    <n v="607.11"/>
    <n v="537.27"/>
    <n v="69.84"/>
    <n v="607.11"/>
    <s v="Delivered"/>
    <m/>
    <s v="SO16561"/>
    <x v="1"/>
  </r>
  <r>
    <n v="2"/>
    <s v="SO16564"/>
    <s v="007750"/>
    <s v="Sling-Choker Manufacturing - Timmins"/>
    <d v="2025-02-10T09:40:47"/>
    <d v="2025-02-11T13:39:14"/>
    <d v="2025-04-29T00:00:00"/>
    <s v="Taylor Cook"/>
    <x v="0"/>
    <n v="1"/>
    <n v="15007.69"/>
    <n v="0"/>
    <n v="10488.43140647928"/>
    <n v="13281.16"/>
    <n v="1726.53"/>
    <n v="15007.69"/>
    <s v="Delivered"/>
    <m/>
    <s v="SO16564"/>
    <x v="1"/>
  </r>
  <r>
    <n v="1"/>
    <s v="SO16568"/>
    <s v="3069"/>
    <s v="Les Pompes du St-Laurent Inc."/>
    <d v="2025-02-10T13:46:42"/>
    <d v="2025-02-26T12:46:37"/>
    <d v="2025-02-27T00:00:00"/>
    <s v="Ian Trottier"/>
    <x v="0"/>
    <n v="1"/>
    <n v="1269.5899999999999"/>
    <n v="0"/>
    <n v="884.80163848211089"/>
    <n v="1209.1300000000001"/>
    <n v="60.46"/>
    <n v="1269.5899999999999"/>
    <s v="Delivered"/>
    <m/>
    <s v="SO16568"/>
    <x v="1"/>
  </r>
  <r>
    <n v="1"/>
    <s v="SO16569"/>
    <s v="4501107274"/>
    <s v="Barrick Gold - Pueblo Viejo Dominicana Corporation"/>
    <d v="2025-02-10T14:32:14"/>
    <d v="2025-02-10T14:32:17"/>
    <d v="2025-02-19T00:00:00"/>
    <s v="Jeff Bell"/>
    <x v="1"/>
    <n v="0.69968074493980925"/>
    <n v="14139.591623106729"/>
    <n v="0"/>
    <n v="9893.2000000000007"/>
    <n v="9893.2000000000007"/>
    <m/>
    <n v="9893.2000000000007"/>
    <s v="Delivered"/>
    <m/>
    <s v="SO16569"/>
    <x v="1"/>
  </r>
  <r>
    <n v="2"/>
    <s v="SO16570"/>
    <s v="PO003287"/>
    <s v="Eleazar General &amp; Industrial Supplies Limited"/>
    <d v="2025-02-10T16:22:12"/>
    <d v="2025-02-18T10:17:07"/>
    <d v="2025-05-02T00:00:00"/>
    <s v="Taylor Cook"/>
    <x v="1"/>
    <n v="0.70491579277313177"/>
    <n v="6885.1911813557999"/>
    <n v="0"/>
    <n v="4853.4799999999996"/>
    <n v="4853.4799999999996"/>
    <m/>
    <n v="4853.4799999999996"/>
    <s v="Delivered"/>
    <m/>
    <s v="SO16570"/>
    <x v="1"/>
  </r>
  <r>
    <n v="1"/>
    <s v="SO16571"/>
    <s v="P352424"/>
    <s v="Covia Corp - Tunnel City"/>
    <d v="2025-02-10T16:38:59"/>
    <d v="2025-02-10T16:39:02"/>
    <d v="2025-02-12T00:00:00"/>
    <s v="Marlen Martinez"/>
    <x v="1"/>
    <n v="0.69968074493980925"/>
    <n v="10063.16102153949"/>
    <n v="0"/>
    <n v="7041"/>
    <n v="7041"/>
    <m/>
    <n v="7041"/>
    <s v="Delivered"/>
    <m/>
    <s v="SO16571"/>
    <x v="1"/>
  </r>
  <r>
    <n v="1"/>
    <s v="SO16572"/>
    <s v="6767"/>
    <s v="Hyperflo"/>
    <d v="2025-02-10T16:43:22"/>
    <d v="2025-02-11T09:41:59"/>
    <d v="2025-02-12T00:00:00"/>
    <s v="Taylor Cook"/>
    <x v="0"/>
    <n v="1"/>
    <n v="4198.72"/>
    <n v="0"/>
    <n v="2934.3614317068568"/>
    <n v="3998.78"/>
    <n v="199.94"/>
    <n v="4198.72"/>
    <s v="Delivered"/>
    <m/>
    <s v="SO16572"/>
    <x v="1"/>
  </r>
  <r>
    <n v="1"/>
    <s v="SO16574"/>
    <s v="OC00144"/>
    <s v="Dynapro Pumps México S de RL de CV"/>
    <d v="2025-02-10T18:45:35"/>
    <d v="2025-02-10T18:44:48"/>
    <d v="2025-04-11T00:00:00"/>
    <s v="Yannett Yeomans"/>
    <x v="1"/>
    <n v="0.69968074493980925"/>
    <n v="18579.902468401269"/>
    <n v="0"/>
    <n v="13000"/>
    <n v="13000"/>
    <m/>
    <n v="13000"/>
    <s v="Delivered"/>
    <m/>
    <s v="SO16574"/>
    <x v="1"/>
  </r>
  <r>
    <n v="1"/>
    <s v="SO16577"/>
    <s v="4501108170"/>
    <s v="Barrick Gold - Pueblo Viejo Dominicana Corporation"/>
    <d v="2025-02-11T09:45:37"/>
    <d v="2025-02-11T09:45:41"/>
    <d v="2025-02-19T00:00:00"/>
    <s v="Jeff Bell"/>
    <x v="1"/>
    <n v="0.69834485616458641"/>
    <n v="18719.218570314879"/>
    <n v="0"/>
    <n v="13072.47"/>
    <n v="13072.47"/>
    <m/>
    <n v="13072.47"/>
    <s v="Delivered"/>
    <m/>
    <s v="SO16577"/>
    <x v="1"/>
  </r>
  <r>
    <n v="1"/>
    <s v="SO16578"/>
    <s v="606873"/>
    <s v="Sealtrac Inc."/>
    <d v="2025-02-11T09:51:05"/>
    <d v="2025-02-20T11:51:00"/>
    <d v="2025-02-25T00:00:00"/>
    <s v="Taylor Cook"/>
    <x v="0"/>
    <n v="1"/>
    <n v="880.04"/>
    <n v="0"/>
    <n v="619.97308948624664"/>
    <n v="778.8"/>
    <n v="101.24"/>
    <n v="880.04"/>
    <s v="Delivered"/>
    <m/>
    <s v="SO16578"/>
    <x v="1"/>
  </r>
  <r>
    <n v="1"/>
    <s v="SO16579"/>
    <s v="4500580734"/>
    <s v="Resolute Forest Products - Saint-Felicien"/>
    <d v="2025-02-11T10:12:16"/>
    <d v="2025-02-11T17:10:04"/>
    <d v="2025-02-18T00:00:00"/>
    <s v="Ian Trottier"/>
    <x v="0"/>
    <n v="1"/>
    <n v="169.65"/>
    <n v="0"/>
    <n v="118.5633757166632"/>
    <n v="161.57"/>
    <n v="8.08"/>
    <n v="169.65"/>
    <s v="Delivered"/>
    <m/>
    <s v="SO16579"/>
    <x v="1"/>
  </r>
  <r>
    <n v="1"/>
    <s v="SO16580"/>
    <s v="2245211"/>
    <s v="Zijin Mining - Rosebel Goldmines N.V."/>
    <d v="2025-02-11T12:20:36"/>
    <d v="2025-02-12T09:47:31"/>
    <d v="2025-03-21T00:00:00"/>
    <s v="Amanda Qiao"/>
    <x v="1"/>
    <n v="0.69834485616458641"/>
    <n v="225.24687997834619"/>
    <n v="0"/>
    <n v="157.30000000000001"/>
    <n v="157.30000000000001"/>
    <m/>
    <n v="157.30000000000001"/>
    <s v="Delivered"/>
    <m/>
    <s v="SO16580"/>
    <x v="1"/>
  </r>
  <r>
    <n v="2"/>
    <s v="SO16581"/>
    <s v="4500788353"/>
    <s v="AGM Inc."/>
    <d v="2025-02-11T12:25:29"/>
    <d v="2025-04-24T15:32:52"/>
    <d v="2025-06-30T00:00:00"/>
    <s v="Amanda Qiao"/>
    <x v="1"/>
    <n v="0.71976247782558811"/>
    <n v="44264.602534226957"/>
    <n v="0"/>
    <n v="31860"/>
    <n v="31860"/>
    <m/>
    <n v="31860"/>
    <s v="Delivered"/>
    <m/>
    <s v="SO16581"/>
    <x v="1"/>
  </r>
  <r>
    <n v="1"/>
    <s v="SO16583"/>
    <s v="3048"/>
    <s v="Les Pompes du St-Laurent Inc."/>
    <d v="2025-02-11T16:38:26"/>
    <d v="2025-02-11T16:42:35"/>
    <d v="2025-02-12T00:00:00"/>
    <s v="Taylor Cook"/>
    <x v="0"/>
    <n v="1"/>
    <n v="3705.77"/>
    <n v="0"/>
    <n v="2589.853232122246"/>
    <n v="3529.3"/>
    <n v="176.47"/>
    <n v="3705.77"/>
    <s v="Delivered"/>
    <m/>
    <s v="SO16583"/>
    <x v="1"/>
  </r>
  <r>
    <n v="1"/>
    <s v="SO16584"/>
    <s v="P353307"/>
    <s v="Covia Corp - Junction City"/>
    <d v="2025-02-11T17:22:21"/>
    <d v="2025-02-11T17:21:30"/>
    <d v="2025-02-24T00:00:00"/>
    <s v="Marlen Martinez"/>
    <x v="1"/>
    <n v="0.69834485616458641"/>
    <n v="4537.8726169827014"/>
    <n v="0"/>
    <n v="3169"/>
    <n v="3169"/>
    <m/>
    <n v="3169"/>
    <s v="Delivered"/>
    <m/>
    <s v="SO16584"/>
    <x v="1"/>
  </r>
  <r>
    <n v="2"/>
    <s v="SO16586"/>
    <s v="MB21-00186901"/>
    <s v="Motion Industries Inc. (Canada) - Winnipeg"/>
    <d v="2025-02-12T09:42:39"/>
    <d v="2025-03-07T12:06:10"/>
    <d v="2025-04-11T00:00:00"/>
    <s v="Ian Trottier"/>
    <x v="0"/>
    <n v="1"/>
    <n v="129.11000000000001"/>
    <n v="0"/>
    <n v="89.727723880657493"/>
    <n v="122.96"/>
    <n v="6.15"/>
    <n v="129.11000000000001"/>
    <s v="Delivered"/>
    <m/>
    <s v="SO16586"/>
    <x v="1"/>
  </r>
  <r>
    <n v="1"/>
    <s v="SO16588"/>
    <s v="4500581569"/>
    <s v="Resolute Forest Products - Saint-Felicien"/>
    <d v="2025-02-12T11:59:49"/>
    <d v="2025-02-13T17:09:35"/>
    <d v="2025-05-14T00:00:00"/>
    <s v="Amanda Qiao"/>
    <x v="0"/>
    <n v="1"/>
    <n v="2550.67"/>
    <n v="0"/>
    <n v="1792.4224851869831"/>
    <n v="2429.21"/>
    <n v="121.46"/>
    <n v="2550.67"/>
    <s v="Delivered"/>
    <m/>
    <s v="SO16588"/>
    <x v="1"/>
  </r>
  <r>
    <n v="1"/>
    <s v="SO16589"/>
    <s v="P-21825"/>
    <s v="Cartledge &amp; Associates Inc."/>
    <d v="2025-02-12T14:15:28"/>
    <d v="2025-02-18T10:31:18"/>
    <d v="2025-02-19T00:00:00"/>
    <s v="Taylor Cook"/>
    <x v="1"/>
    <n v="0.70491579277313177"/>
    <n v="7479.5600468223229"/>
    <n v="0"/>
    <n v="5272.46"/>
    <n v="5272.46"/>
    <m/>
    <n v="5272.46"/>
    <s v="Delivered"/>
    <m/>
    <s v="SO16589"/>
    <x v="1"/>
  </r>
  <r>
    <n v="1"/>
    <s v="SO16592"/>
    <s v="2245686"/>
    <s v="Zijin Mining - Rosebel Goldmines N.V."/>
    <d v="2025-02-12T18:55:37"/>
    <d v="2025-02-25T16:24:12"/>
    <d v="2025-06-30T00:00:00"/>
    <s v="Amanda Qiao"/>
    <x v="1"/>
    <n v="0.70298555845892441"/>
    <n v="60987.568640793208"/>
    <n v="0"/>
    <n v="42873.38"/>
    <n v="42873.38"/>
    <m/>
    <n v="42873.38"/>
    <s v="Delivered"/>
    <m/>
    <s v="SO16592"/>
    <x v="1"/>
  </r>
  <r>
    <n v="1"/>
    <s v="SO16593"/>
    <s v="4501110739"/>
    <s v="Barrick Gold - Pueblo Viejo Dominicana Corporation"/>
    <d v="2025-02-13T10:23:16"/>
    <d v="2025-02-13T15:26:25"/>
    <d v="2025-09-26T00:00:00"/>
    <s v="Jeff Bell"/>
    <x v="1"/>
    <n v="0.69887047283621118"/>
    <n v="2544.1767381932409"/>
    <n v="0"/>
    <n v="1778.05"/>
    <n v="1778.05"/>
    <m/>
    <n v="1778.05"/>
    <s v="Delivered"/>
    <m/>
    <s v="SO16593"/>
    <x v="1"/>
  </r>
  <r>
    <n v="1"/>
    <s v="SO16595"/>
    <s v="3055"/>
    <s v="Les Pompes du St-Laurent Inc."/>
    <d v="2025-02-13T13:05:12"/>
    <d v="2025-02-14T09:19:02"/>
    <d v="2025-02-17T00:00:00"/>
    <s v="Ian Trottier"/>
    <x v="0"/>
    <n v="1"/>
    <n v="9113.6299999999992"/>
    <n v="0"/>
    <n v="6429.9150958947284"/>
    <n v="8679.65"/>
    <n v="433.98"/>
    <n v="9113.6299999999992"/>
    <s v="Delivered"/>
    <m/>
    <s v="SO16595"/>
    <x v="1"/>
  </r>
  <r>
    <n v="1"/>
    <s v="SO16596"/>
    <s v="3054"/>
    <s v="Les Pompes du St-Laurent Inc."/>
    <d v="2025-02-13T13:43:59"/>
    <d v="2025-02-13T13:45:41"/>
    <d v="2025-02-14T00:00:00"/>
    <s v="Taylor Cook"/>
    <x v="0"/>
    <n v="1"/>
    <n v="3155.25"/>
    <n v="0"/>
    <n v="2217.2766553047741"/>
    <n v="3005"/>
    <n v="150.25"/>
    <n v="3155.25"/>
    <s v="Delivered"/>
    <m/>
    <s v="SO16596"/>
    <x v="1"/>
  </r>
  <r>
    <n v="1"/>
    <s v="SO16597"/>
    <s v="13300"/>
    <s v="Manufacture Sling-Choker (Val-d’Or) Ltée"/>
    <d v="2025-02-13T15:17:21"/>
    <d v="2025-02-17T12:26:21"/>
    <d v="2025-02-18T00:00:00"/>
    <s v="Taylor Cook"/>
    <x v="0"/>
    <n v="1"/>
    <n v="2877.18"/>
    <n v="0"/>
    <n v="2028.1917125779221"/>
    <n v="2740.17"/>
    <n v="137.01"/>
    <n v="2877.18"/>
    <s v="Delivered"/>
    <m/>
    <s v="SO16597"/>
    <x v="1"/>
  </r>
  <r>
    <n v="1"/>
    <s v="SO16598"/>
    <s v="25-30598"/>
    <s v="Advanced Engineered Pump Inc."/>
    <d v="2025-02-13T15:25:08"/>
    <d v="2025-02-19T16:49:06"/>
    <d v="2025-02-20T00:00:00"/>
    <s v="Taylor Cook"/>
    <x v="1"/>
    <n v="0.70492347109945219"/>
    <n v="368.12506695977089"/>
    <n v="0"/>
    <n v="259.5"/>
    <n v="259.5"/>
    <m/>
    <n v="259.5"/>
    <s v="Delivered"/>
    <m/>
    <s v="SO16598"/>
    <x v="1"/>
  </r>
  <r>
    <n v="1"/>
    <s v="SO16599"/>
    <s v="4500581272"/>
    <s v="Resolute Forest Products - Clermont, Resolute Forest Products - Clermont"/>
    <d v="2025-02-13T16:03:07"/>
    <d v="2025-02-18T13:55:19"/>
    <d v="2025-02-21T00:00:00"/>
    <s v="Amanda Qiao"/>
    <x v="0"/>
    <n v="1"/>
    <n v="803.27"/>
    <n v="803.27"/>
    <n v="803.27"/>
    <n v="765.02"/>
    <n v="38.25"/>
    <n v="803.27"/>
    <s v="Delivered"/>
    <m/>
    <s v="SO16599"/>
    <x v="1"/>
  </r>
  <r>
    <n v="1"/>
    <s v="SO16601"/>
    <s v="2100510660"/>
    <s v="Wajax Limited - Noranda"/>
    <d v="2025-02-14T09:01:28"/>
    <d v="2025-02-14T10:07:11"/>
    <d v="2025-05-02T00:00:00"/>
    <s v="Taylor Cook"/>
    <x v="0"/>
    <n v="1"/>
    <n v="10203.23"/>
    <n v="0"/>
    <n v="7198.6576812846224"/>
    <n v="9717.36"/>
    <n v="485.87"/>
    <n v="10203.23"/>
    <s v="Delivered"/>
    <m/>
    <s v="SO16601"/>
    <x v="1"/>
  </r>
  <r>
    <n v="1"/>
    <s v="SO16603"/>
    <s v="00079542"/>
    <s v="Motion Industries Inc. (Canada) - Prince George"/>
    <d v="2025-02-14T09:55:14"/>
    <d v="2025-02-14T09:59:31"/>
    <d v="2025-02-17T00:00:00"/>
    <s v="Taylor Cook"/>
    <x v="0"/>
    <n v="1"/>
    <n v="3553.6"/>
    <n v="0"/>
    <n v="2507.161941484514"/>
    <n v="3384.38"/>
    <n v="169.22"/>
    <n v="3553.6"/>
    <s v="Delivered"/>
    <m/>
    <s v="SO16603"/>
    <x v="1"/>
  </r>
  <r>
    <n v="1"/>
    <s v="SO16604"/>
    <s v="5352366"/>
    <s v="Corrosion Fluid Products Corp."/>
    <d v="2025-02-14T11:32:09"/>
    <d v="2025-03-10T13:51:32"/>
    <d v="2025-06-23T00:00:00"/>
    <s v="Ian Trottier"/>
    <x v="1"/>
    <n v="0.69588843853535265"/>
    <n v="16094.79246928314"/>
    <n v="0"/>
    <n v="11200.18"/>
    <n v="11200.18"/>
    <m/>
    <n v="11200.18"/>
    <s v="Delivered"/>
    <m/>
    <s v="SO16604"/>
    <x v="1"/>
  </r>
  <r>
    <n v="1"/>
    <s v="SO16605"/>
    <s v="M-083565"/>
    <s v="Grant Aggregate"/>
    <d v="2025-02-14T13:44:37"/>
    <d v="2025-02-18T10:23:24"/>
    <d v="2025-02-21T00:00:00"/>
    <s v="Taylor Cook"/>
    <x v="0"/>
    <n v="1"/>
    <n v="193.87"/>
    <n v="193.87"/>
    <n v="193.87"/>
    <n v="171.56"/>
    <n v="22.31"/>
    <n v="193.87"/>
    <s v="Delivered"/>
    <m/>
    <s v="SO16605"/>
    <x v="1"/>
  </r>
  <r>
    <n v="1"/>
    <s v="SO16607"/>
    <s v="PSI15322"/>
    <s v="Progressive Sealing Inc."/>
    <d v="2025-02-16T10:49:20"/>
    <d v="2025-02-19T14:06:22"/>
    <d v="2025-02-20T00:00:00"/>
    <s v="Taylor Cook"/>
    <x v="0"/>
    <n v="1"/>
    <n v="5614.58"/>
    <n v="0"/>
    <n v="3943.5503280605708"/>
    <n v="5347.22"/>
    <n v="267.36"/>
    <n v="5614.58"/>
    <s v="Delivered"/>
    <m/>
    <s v="SO16607"/>
    <x v="1"/>
  </r>
  <r>
    <n v="1"/>
    <s v="SO16609"/>
    <s v="OC00146"/>
    <s v="Dynapro Pumps México S de RL de CV"/>
    <d v="2025-02-17T10:10:06"/>
    <d v="2025-02-17T10:09:50"/>
    <d v="2025-04-11T00:00:00"/>
    <s v="Yannett Yeomans"/>
    <x v="1"/>
    <n v="0.70480367014915091"/>
    <n v="13095.84553957664"/>
    <n v="0"/>
    <n v="9230"/>
    <n v="9230"/>
    <m/>
    <n v="9230"/>
    <s v="Delivered"/>
    <m/>
    <s v="SO16609"/>
    <x v="1"/>
  </r>
  <r>
    <n v="1"/>
    <s v="SO16610"/>
    <s v="OC00147"/>
    <s v="Dynapro Pumps México S de RL de CV"/>
    <d v="2025-02-17T11:00:55"/>
    <d v="2025-02-17T11:00:46"/>
    <d v="2025-03-24T00:00:00"/>
    <s v="Yannett Yeomans"/>
    <x v="1"/>
    <n v="0.70480367014915091"/>
    <n v="8081.683227890413"/>
    <n v="0"/>
    <n v="5696"/>
    <n v="5696"/>
    <m/>
    <n v="5696"/>
    <s v="Delivered"/>
    <m/>
    <s v="SO16610"/>
    <x v="1"/>
  </r>
  <r>
    <n v="1"/>
    <s v="SO16611"/>
    <s v="OC00145"/>
    <s v="Dynapro Pumps México S de RL de CV"/>
    <d v="2025-02-17T11:41:41"/>
    <d v="2025-02-17T11:41:31"/>
    <d v="2025-04-25T00:00:00"/>
    <s v="Yannett Yeomans"/>
    <x v="1"/>
    <n v="0.70480367014915091"/>
    <n v="5587.7972360254244"/>
    <n v="0"/>
    <n v="3938.3"/>
    <n v="3938.3"/>
    <m/>
    <n v="3938.3"/>
    <s v="Delivered"/>
    <m/>
    <s v="SO16611"/>
    <x v="1"/>
  </r>
  <r>
    <n v="2"/>
    <s v="SO16612"/>
    <s v="2067"/>
    <s v="FMI Products"/>
    <d v="2025-02-17T12:33:02"/>
    <d v="2025-02-17T12:33:02"/>
    <d v="2025-04-14T00:00:00"/>
    <s v="Taylor Cook"/>
    <x v="0"/>
    <n v="1"/>
    <n v="1247.44"/>
    <n v="0"/>
    <n v="879.34973478830068"/>
    <n v="1188.04"/>
    <n v="59.4"/>
    <n v="1247.44"/>
    <s v="Delivered"/>
    <m/>
    <s v="SO16612"/>
    <x v="1"/>
  </r>
  <r>
    <n v="1"/>
    <s v="SO16613"/>
    <s v="OC00148"/>
    <s v="Dynapro Pumps México S de RL de CV"/>
    <d v="2025-02-17T13:52:49"/>
    <d v="2025-02-18T10:10:15"/>
    <d v="2025-04-30T00:00:00"/>
    <s v="Yannett Yeomans"/>
    <x v="1"/>
    <n v="0.70491579277313177"/>
    <n v="11791.479330177401"/>
    <n v="0"/>
    <n v="8312"/>
    <n v="8312"/>
    <m/>
    <n v="8312"/>
    <s v="Delivered"/>
    <m/>
    <s v="SO16613"/>
    <x v="1"/>
  </r>
  <r>
    <n v="1"/>
    <s v="SO16615"/>
    <s v="2100512815"/>
    <s v="Wajax Limited - Noranda"/>
    <d v="2025-02-18T09:44:04"/>
    <d v="2025-02-18T17:18:10"/>
    <d v="2025-02-19T00:00:00"/>
    <s v="Taylor Cook"/>
    <x v="0"/>
    <n v="1"/>
    <n v="2758.72"/>
    <n v="2758.72"/>
    <n v="2758.72"/>
    <n v="2627.35"/>
    <n v="131.37"/>
    <n v="2758.72"/>
    <s v="Delivered"/>
    <m/>
    <s v="SO16615"/>
    <x v="1"/>
  </r>
  <r>
    <n v="2"/>
    <s v="SO16617"/>
    <s v="PO-038899"/>
    <s v="Southeast Pump Specialist, Inc."/>
    <d v="2025-02-18T10:02:23"/>
    <d v="2025-02-18T10:02:28"/>
    <d v="2025-06-10T00:00:00"/>
    <s v="Amanda Qiao"/>
    <x v="1"/>
    <n v="0.70491579277313177"/>
    <n v="4742.5097214071429"/>
    <n v="0"/>
    <n v="3343.07"/>
    <n v="3343.07"/>
    <m/>
    <n v="3343.07"/>
    <s v="Delivered"/>
    <m/>
    <s v="SO16617"/>
    <x v="1"/>
  </r>
  <r>
    <n v="1"/>
    <s v="SO16618"/>
    <s v="MB21-00187300"/>
    <s v="Motion Industries Inc. (Canada) - Winnipeg"/>
    <d v="2025-02-18T10:34:14"/>
    <d v="2025-03-03T09:55:20"/>
    <d v="2025-03-04T00:00:00"/>
    <s v="Ian Trottier"/>
    <x v="0"/>
    <n v="1"/>
    <n v="673.27"/>
    <n v="0"/>
    <n v="467.51510004687128"/>
    <n v="641.21"/>
    <n v="32.06"/>
    <n v="673.27"/>
    <s v="Delivered"/>
    <m/>
    <s v="SO16618"/>
    <x v="1"/>
  </r>
  <r>
    <n v="1"/>
    <s v="SO16619"/>
    <s v="4501112337"/>
    <s v="Barrick Gold - Pueblo Viejo Dominicana Corporation"/>
    <d v="2025-02-18T14:00:41"/>
    <d v="2025-02-18T14:01:30"/>
    <d v="2025-09-29T00:00:00"/>
    <s v="Jeff Bell"/>
    <x v="1"/>
    <n v="0.70491579277313177"/>
    <n v="12448.67839529907"/>
    <n v="0"/>
    <n v="8775.27"/>
    <n v="8775.27"/>
    <m/>
    <n v="8775.27"/>
    <s v="Delivered"/>
    <m/>
    <s v="SO16619"/>
    <x v="1"/>
  </r>
  <r>
    <n v="1"/>
    <s v="SO16623"/>
    <s v="62435"/>
    <s v="Harvey Bearings"/>
    <d v="2025-02-18T14:37:57"/>
    <d v="2025-02-18T17:27:32"/>
    <d v="2025-02-19T00:00:00"/>
    <s v="Taylor Cook"/>
    <x v="0"/>
    <n v="1"/>
    <n v="1584.16"/>
    <n v="1584.16"/>
    <n v="1584.16"/>
    <n v="1508.72"/>
    <n v="75.44"/>
    <n v="1584.16"/>
    <s v="Delivered"/>
    <m/>
    <s v="SO16623"/>
    <x v="1"/>
  </r>
  <r>
    <n v="1"/>
    <s v="SO16626"/>
    <s v="2100515134"/>
    <s v="Wajax Limited - Noranda"/>
    <d v="2025-02-18T18:35:06"/>
    <d v="2025-02-21T14:52:50"/>
    <d v="2025-02-25T00:00:00"/>
    <s v="Ian Trottier"/>
    <x v="0"/>
    <n v="1"/>
    <n v="105"/>
    <n v="0"/>
    <n v="73.951217101838466"/>
    <n v="100"/>
    <n v="5"/>
    <n v="105"/>
    <s v="Delivered"/>
    <m/>
    <s v="SO16626"/>
    <x v="1"/>
  </r>
  <r>
    <n v="2"/>
    <s v="SO16628"/>
    <s v="185323"/>
    <s v="Fabrene Inc."/>
    <d v="2025-02-18T19:47:30"/>
    <d v="2025-02-19T10:18:17"/>
    <d v="2025-02-21T00:00:00"/>
    <s v="Taylor Cook"/>
    <x v="0"/>
    <n v="1"/>
    <n v="523.99"/>
    <n v="0"/>
    <n v="368.03838157092048"/>
    <n v="463.71"/>
    <n v="60.28"/>
    <n v="523.99"/>
    <s v="Delivered"/>
    <m/>
    <s v="SO16628"/>
    <x v="1"/>
  </r>
  <r>
    <n v="2"/>
    <s v="SO16630"/>
    <s v="BC65-00079605"/>
    <s v="Motion Industries Inc. (Canada) - Prince George"/>
    <d v="2025-02-18T20:08:04"/>
    <d v="2025-02-18T20:08:04"/>
    <d v="2025-06-06T00:00:00"/>
    <s v="Ian Trottier"/>
    <x v="0"/>
    <n v="1"/>
    <n v="329.35"/>
    <n v="0"/>
    <n v="231.32777528270131"/>
    <n v="313.66000000000003"/>
    <n v="15.69"/>
    <n v="329.35"/>
    <s v="Delivered"/>
    <m/>
    <s v="SO16630"/>
    <x v="1"/>
  </r>
  <r>
    <n v="1"/>
    <s v="SO16636"/>
    <s v="185393"/>
    <s v="Fabrene Inc."/>
    <d v="2025-02-20T09:05:46"/>
    <d v="2025-02-20T10:36:01"/>
    <d v="2025-02-21T00:00:00"/>
    <s v="Ian Trottier"/>
    <x v="0"/>
    <n v="1"/>
    <n v="945.5"/>
    <n v="0"/>
    <n v="666.08853700882491"/>
    <n v="836.73"/>
    <n v="108.77"/>
    <n v="945.5"/>
    <s v="Delivered"/>
    <m/>
    <s v="SO16636"/>
    <x v="1"/>
  </r>
  <r>
    <n v="1"/>
    <s v="SO16637"/>
    <s v="4500582497"/>
    <s v="Resolute Forest Products - Saint-Felicien"/>
    <d v="2025-02-20T09:32:52"/>
    <d v="2025-02-28T15:46:43"/>
    <d v="2025-03-04T00:00:00"/>
    <s v="Ian Trottier"/>
    <x v="0"/>
    <n v="1"/>
    <n v="345.32"/>
    <n v="0"/>
    <n v="239.23970820386629"/>
    <n v="328.88"/>
    <n v="16.440000000000001"/>
    <n v="345.32"/>
    <s v="Delivered"/>
    <m/>
    <s v="SO16637"/>
    <x v="1"/>
  </r>
  <r>
    <n v="1"/>
    <s v="SO16640"/>
    <s v="P-22025"/>
    <s v="Cartledge &amp; Associates Inc."/>
    <d v="2025-02-20T11:28:36"/>
    <d v="2025-02-20T11:30:43"/>
    <d v="2025-04-14T00:00:00"/>
    <s v="Ian Trottier"/>
    <x v="1"/>
    <n v="0.70237672774465254"/>
    <n v="5120.1867287770201"/>
    <n v="0"/>
    <n v="3596.3"/>
    <n v="3596.3"/>
    <m/>
    <n v="3596.3"/>
    <s v="Delivered"/>
    <m/>
    <s v="SO16640"/>
    <x v="1"/>
  </r>
  <r>
    <n v="1"/>
    <s v="SO16642"/>
    <s v="4501116468"/>
    <s v="Barrick Gold - Pueblo Viejo Dominicana Corporation"/>
    <d v="2025-02-20T16:49:34"/>
    <d v="2025-02-21T09:10:58"/>
    <d v="2025-03-21T00:00:00"/>
    <s v="Jeff Bell"/>
    <x v="1"/>
    <n v="0.70448285246834996"/>
    <n v="249.8286500279396"/>
    <n v="0"/>
    <n v="176"/>
    <n v="176"/>
    <m/>
    <n v="176"/>
    <s v="Delivered"/>
    <m/>
    <s v="SO16642"/>
    <x v="1"/>
  </r>
  <r>
    <n v="2"/>
    <s v="SO16645"/>
    <s v="5351972"/>
    <s v="Corrosion Fluid Products Corp., Corrosion Fluid Products Corp. - Chicago"/>
    <d v="2025-02-21T15:09:10"/>
    <d v="2025-03-06T17:58:52"/>
    <d v="2025-07-03T00:00:00"/>
    <s v="Ian Trottier"/>
    <x v="1"/>
    <n v="0.69534626226790575"/>
    <n v="61849.473181507048"/>
    <n v="0"/>
    <n v="43006.8"/>
    <n v="43006.8"/>
    <m/>
    <n v="43006.8"/>
    <s v="Delivered"/>
    <m/>
    <s v="SO16645"/>
    <x v="1"/>
  </r>
  <r>
    <n v="1"/>
    <s v="SO16646"/>
    <s v="MAB15259"/>
    <s v="MAB Equipment Company Inc."/>
    <d v="2025-02-21T16:53:12"/>
    <d v="2025-04-25T12:43:00"/>
    <d v="2025-04-28T00:00:00"/>
    <s v="Ian Trottier"/>
    <x v="1"/>
    <n v="0.71989223732843666"/>
    <n v="5735.5251048723894"/>
    <n v="0"/>
    <n v="4128.96"/>
    <n v="4128.96"/>
    <m/>
    <n v="4128.96"/>
    <s v="Delivered"/>
    <m/>
    <s v="SO16646"/>
    <x v="1"/>
  </r>
  <r>
    <n v="1"/>
    <s v="SO16647"/>
    <s v="P353469"/>
    <s v="Covia Corp - Roff"/>
    <d v="2025-02-21T17:00:07"/>
    <d v="2025-02-21T16:58:48"/>
    <d v="2025-02-26T00:00:00"/>
    <s v="Marlen Martinez"/>
    <x v="1"/>
    <n v="0.70448285246834996"/>
    <n v="9353.6698259040222"/>
    <n v="0"/>
    <n v="6589.5"/>
    <n v="6589.5"/>
    <m/>
    <n v="6589.5"/>
    <s v="Delivered"/>
    <m/>
    <s v="SO16647"/>
    <x v="1"/>
  </r>
  <r>
    <n v="1"/>
    <s v="SO16648"/>
    <s v="BC65-00079680"/>
    <s v="Motion Industries Inc. (Canada) - Prince George"/>
    <d v="2025-02-23T11:22:28"/>
    <d v="2025-02-27T16:04:02"/>
    <d v="2025-03-20T00:00:00"/>
    <s v="Ian Trottier"/>
    <x v="0"/>
    <n v="1"/>
    <n v="224.91"/>
    <n v="0"/>
    <n v="155.96676659343751"/>
    <n v="214.2"/>
    <n v="10.71"/>
    <n v="224.91"/>
    <s v="Delivered"/>
    <m/>
    <s v="SO16648"/>
    <x v="1"/>
  </r>
  <r>
    <n v="4"/>
    <s v="SO16651"/>
    <s v="4500788354"/>
    <s v="AGM Inc."/>
    <d v="2025-02-23T12:06:51"/>
    <d v="2025-03-24T11:04:31"/>
    <d v="2025-07-27T00:00:00"/>
    <s v="Amanda Qiao"/>
    <x v="1"/>
    <n v="0.69694344458511093"/>
    <n v="77514.783186116387"/>
    <n v="0"/>
    <n v="54023.42"/>
    <n v="54023.42"/>
    <m/>
    <n v="54023.42"/>
    <s v="Delivered"/>
    <m/>
    <s v="SO16651"/>
    <x v="1"/>
  </r>
  <r>
    <n v="1"/>
    <s v="SO16653"/>
    <s v="30862"/>
    <s v="First Bauxite Inc."/>
    <d v="2025-02-23T16:03:52"/>
    <d v="2025-07-21T12:10:25"/>
    <d v="2025-09-04T00:00:00"/>
    <s v="Amanda Qiao"/>
    <x v="1"/>
    <n v="0.72845881656938405"/>
    <n v="8554.704615077495"/>
    <n v="0"/>
    <n v="6231.75"/>
    <n v="6231.75"/>
    <m/>
    <n v="6231.75"/>
    <s v="Delivered"/>
    <m/>
    <s v="SO16653"/>
    <x v="1"/>
  </r>
  <r>
    <n v="1"/>
    <s v="SO16654"/>
    <s v="4500563473"/>
    <s v="Glencore Canada Corporation - Rouyn-Noranda, Glencore Canada Corp."/>
    <d v="2025-02-23T21:49:02"/>
    <d v="2025-02-23T21:49:42"/>
    <d v="2025-02-25T00:00:00"/>
    <s v="Ian Trottier"/>
    <x v="0"/>
    <n v="1"/>
    <n v="3134.29"/>
    <n v="0"/>
    <n v="2203.3606060222219"/>
    <n v="2985.04"/>
    <n v="149.25"/>
    <n v="3134.29"/>
    <s v="Delivered"/>
    <m/>
    <s v="SO16654"/>
    <x v="1"/>
  </r>
  <r>
    <n v="1"/>
    <s v="SO16656"/>
    <s v="4560062740"/>
    <s v="Alamos Gold Inc, Alamos Gold Inc Island Gold Division"/>
    <d v="2025-02-24T09:39:39"/>
    <d v="2025-02-24T09:39:39"/>
    <d v="2025-03-06T00:00:00"/>
    <s v="Ian Trottier"/>
    <x v="0"/>
    <n v="1"/>
    <n v="1540.6"/>
    <n v="0"/>
    <n v="1083.0195513618189"/>
    <n v="1363.36"/>
    <n v="177.24"/>
    <n v="1540.6"/>
    <s v="Delivered"/>
    <m/>
    <s v="SO16656"/>
    <x v="1"/>
  </r>
  <r>
    <n v="1"/>
    <s v="SO16657"/>
    <s v="PO-007775"/>
    <s v="Sling-Choker Manufacturing - Timmins"/>
    <d v="2025-02-24T11:00:58"/>
    <d v="2025-02-24T16:00:07"/>
    <d v="2025-02-25T00:00:00"/>
    <s v="Ian Trottier"/>
    <x v="0"/>
    <n v="1"/>
    <n v="169.43"/>
    <n v="0"/>
    <n v="119.10684316969559"/>
    <n v="149.94"/>
    <n v="19.489999999999998"/>
    <n v="169.43"/>
    <s v="Delivered"/>
    <m/>
    <s v="SO16657"/>
    <x v="1"/>
  </r>
  <r>
    <n v="2"/>
    <s v="SO16658"/>
    <s v="OC00150"/>
    <s v="Dynapro Pumps México S de RL de CV"/>
    <d v="2025-02-24T11:14:46"/>
    <d v="2025-02-24T11:14:29"/>
    <d v="2025-03-21T00:00:00"/>
    <s v="Yannett Yeomans"/>
    <x v="1"/>
    <n v="0.70296853684155547"/>
    <n v="5468.2390441983789"/>
    <n v="0"/>
    <n v="3844"/>
    <n v="3844"/>
    <m/>
    <n v="3844"/>
    <s v="Delivered"/>
    <m/>
    <s v="SO16658"/>
    <x v="1"/>
  </r>
  <r>
    <n v="1"/>
    <s v="SO16659"/>
    <s v="PO-007778"/>
    <s v="Sling-Choker Manufacturing - Timmins"/>
    <d v="2025-02-24T11:36:04"/>
    <d v="2025-02-24T15:35:29"/>
    <d v="2025-02-26T00:00:00"/>
    <s v="Ian Trottier"/>
    <x v="0"/>
    <n v="1"/>
    <n v="510.16"/>
    <n v="0"/>
    <n v="358.63511250340491"/>
    <n v="451.47"/>
    <n v="58.69"/>
    <n v="510.16"/>
    <s v="Delivered"/>
    <m/>
    <s v="SO16659"/>
    <x v="1"/>
  </r>
  <r>
    <n v="1"/>
    <s v="SO16660"/>
    <s v="OC00151"/>
    <s v="Dynapro Pumps México S de RL de CV"/>
    <d v="2025-02-24T14:21:25"/>
    <d v="2025-02-24T14:21:09"/>
    <d v="2025-03-28T00:00:00"/>
    <s v="Yannett Yeomans"/>
    <x v="1"/>
    <n v="0.70296853684155547"/>
    <n v="113.8031018563658"/>
    <n v="0"/>
    <n v="80"/>
    <n v="80"/>
    <m/>
    <n v="80"/>
    <s v="Delivered"/>
    <m/>
    <s v="SO16660"/>
    <x v="1"/>
  </r>
  <r>
    <n v="1"/>
    <s v="SO16662"/>
    <s v="BC78-00052744"/>
    <s v="Motion Industries Inc. (Canada) - Quesnel"/>
    <d v="2025-02-24T15:18:17"/>
    <d v="2025-02-27T17:31:25"/>
    <d v="2025-02-28T00:00:00"/>
    <s v="Ian Trottier"/>
    <x v="0"/>
    <n v="1"/>
    <n v="1521.22"/>
    <n v="0"/>
    <n v="1054.9098069328579"/>
    <n v="1448.78"/>
    <n v="72.44"/>
    <n v="1521.22"/>
    <s v="Delivered"/>
    <m/>
    <s v="SO16662"/>
    <x v="1"/>
  </r>
  <r>
    <n v="1"/>
    <s v="SO16663"/>
    <s v="P-22425"/>
    <s v="Cartledge &amp; Associates Inc."/>
    <d v="2025-02-24T15:46:25"/>
    <d v="2025-02-24T15:48:19"/>
    <d v="2025-04-07T00:00:00"/>
    <s v="Ian Trottier"/>
    <x v="1"/>
    <n v="0.70296853684155547"/>
    <n v="6427.869475214452"/>
    <n v="0"/>
    <n v="4518.59"/>
    <n v="4518.59"/>
    <m/>
    <n v="4518.59"/>
    <s v="Delivered"/>
    <m/>
    <s v="SO16663"/>
    <x v="1"/>
  </r>
  <r>
    <n v="1"/>
    <s v="SO16664"/>
    <s v="PO-039100"/>
    <s v="Southeast Pump Specialist, Inc."/>
    <d v="2025-02-24T16:17:19"/>
    <d v="2025-02-25T17:12:26"/>
    <d v="2025-04-08T00:00:00"/>
    <s v="Ian Trottier"/>
    <x v="1"/>
    <n v="0.70298555845892441"/>
    <n v="12206.666121010219"/>
    <n v="0"/>
    <n v="8581.11"/>
    <n v="8581.11"/>
    <m/>
    <n v="8581.11"/>
    <s v="Delivered"/>
    <m/>
    <s v="SO16664"/>
    <x v="1"/>
  </r>
  <r>
    <n v="1"/>
    <s v="SO16665"/>
    <s v="4501118327"/>
    <s v="Barrick Gold - Pueblo Viejo Dominicana Corporation"/>
    <d v="2025-02-24T18:09:03"/>
    <d v="2025-02-24T18:09:41"/>
    <d v="2025-03-11T00:00:00"/>
    <s v="Jeff Bell"/>
    <x v="1"/>
    <n v="0.70296853684155547"/>
    <n v="3907.4579530137848"/>
    <n v="0"/>
    <n v="2746.82"/>
    <n v="2746.82"/>
    <m/>
    <n v="2746.82"/>
    <s v="Delivered"/>
    <m/>
    <s v="SO16665"/>
    <x v="1"/>
  </r>
  <r>
    <n v="1"/>
    <s v="SO16666"/>
    <s v="6824"/>
    <s v="Hyperflo"/>
    <d v="2025-02-25T09:15:37"/>
    <d v="2025-02-26T11:25:09"/>
    <d v="2025-02-27T00:00:00"/>
    <s v="Ian Trottier"/>
    <x v="0"/>
    <n v="1"/>
    <n v="477.52"/>
    <n v="0"/>
    <n v="332.79285313209579"/>
    <n v="454.78"/>
    <n v="22.74"/>
    <n v="477.52"/>
    <s v="Delivered"/>
    <m/>
    <s v="SO16666"/>
    <x v="1"/>
  </r>
  <r>
    <n v="1"/>
    <s v="SO16667"/>
    <s v="M-083580"/>
    <s v="Grant Aggregate"/>
    <d v="2025-02-25T09:26:47"/>
    <d v="2025-02-25T10:37:28"/>
    <d v="2025-02-25T00:00:00"/>
    <s v="Ian Trottier"/>
    <x v="0"/>
    <n v="1"/>
    <n v="132.66"/>
    <n v="0"/>
    <n v="92.7634808680167"/>
    <n v="117.4"/>
    <n v="15.26"/>
    <n v="132.66"/>
    <s v="Delivered"/>
    <m/>
    <s v="SO16667"/>
    <x v="1"/>
  </r>
  <r>
    <n v="1"/>
    <s v="SO16668"/>
    <s v="PO-007788"/>
    <s v="Sling-Choker Manufacturing - Timmins"/>
    <d v="2025-02-25T09:33:22"/>
    <d v="2025-02-26T10:18:21"/>
    <d v="2025-02-27T00:00:00"/>
    <s v="Ian Trottier"/>
    <x v="0"/>
    <n v="1"/>
    <n v="334.54"/>
    <n v="0"/>
    <n v="233.1473468897876"/>
    <n v="296.05"/>
    <n v="38.49"/>
    <n v="334.54"/>
    <s v="Delivered"/>
    <m/>
    <s v="SO16668"/>
    <x v="1"/>
  </r>
  <r>
    <n v="1"/>
    <s v="SO16669"/>
    <s v="4501118996"/>
    <s v="Barrick Gold - Pueblo Viejo Dominicana Corporation"/>
    <d v="2025-02-25T09:44:00"/>
    <d v="2025-02-25T09:45:00"/>
    <d v="2025-03-12T00:00:00"/>
    <s v="Jeff Bell"/>
    <x v="1"/>
    <n v="0.70298555845892441"/>
    <n v="1249.854978423911"/>
    <n v="0"/>
    <n v="878.63"/>
    <n v="878.63"/>
    <m/>
    <n v="878.63"/>
    <s v="Delivered"/>
    <m/>
    <s v="SO16669"/>
    <x v="1"/>
  </r>
  <r>
    <n v="1"/>
    <s v="SO16671"/>
    <s v="129836"/>
    <s v="Cypress Sales Partnership"/>
    <d v="2025-02-25T14:44:46"/>
    <d v="2025-02-27T11:42:59"/>
    <d v="2025-07-31T00:00:00"/>
    <s v="Ian Trottier"/>
    <x v="0"/>
    <n v="1"/>
    <n v="4167.47"/>
    <n v="0"/>
    <n v="2889.986309079869"/>
    <n v="3969.02"/>
    <n v="198.45"/>
    <n v="4167.47"/>
    <s v="Delivered"/>
    <m/>
    <s v="SO16671"/>
    <x v="1"/>
  </r>
  <r>
    <n v="1"/>
    <s v="SO16672"/>
    <s v="4500583205"/>
    <s v="Resolute Forest Products - Kenogami"/>
    <d v="2025-02-25T15:20:49"/>
    <d v="2025-02-25T15:38:22"/>
    <d v="2025-02-28T00:00:00"/>
    <s v="Ian Trottier"/>
    <x v="0"/>
    <n v="1"/>
    <n v="986.77"/>
    <n v="0"/>
    <n v="690.00618133674686"/>
    <n v="939.78"/>
    <n v="46.99"/>
    <n v="986.77"/>
    <s v="Delivered"/>
    <m/>
    <s v="SO16672"/>
    <x v="1"/>
  </r>
  <r>
    <n v="1"/>
    <s v="SO16673"/>
    <s v="2100518557"/>
    <s v="Wajax Limited - Noranda"/>
    <d v="2025-02-25T16:42:47"/>
    <d v="2025-02-26T11:00:17"/>
    <d v="2025-03-19T00:00:00"/>
    <s v="Ian Trottier"/>
    <x v="0"/>
    <n v="1"/>
    <n v="1280.96"/>
    <n v="0"/>
    <n v="892.72560970868142"/>
    <n v="1219.96"/>
    <n v="61"/>
    <n v="1280.96"/>
    <s v="Delivered"/>
    <m/>
    <s v="SO16673"/>
    <x v="1"/>
  </r>
  <r>
    <n v="1"/>
    <s v="SO16674"/>
    <s v="4501119302"/>
    <s v="Barrick Gold - Pueblo Viejo Dominicana Corporation"/>
    <d v="2025-02-25T16:43:43"/>
    <d v="2025-02-25T16:44:36"/>
    <d v="2025-02-25T00:00:00"/>
    <s v="Jeff Bell"/>
    <x v="1"/>
    <n v="0.70298555845892441"/>
    <n v="45278.654187118482"/>
    <n v="0"/>
    <n v="31830.240000000002"/>
    <n v="31830.240000000002"/>
    <m/>
    <n v="31830.240000000002"/>
    <s v="Delivered"/>
    <m/>
    <s v="SO16674"/>
    <x v="1"/>
  </r>
  <r>
    <n v="1"/>
    <s v="SO16676"/>
    <s v="4500057458"/>
    <s v="Alamos Gold Inc, Alamos Gold Inc Island Gold Division"/>
    <d v="2025-02-26T09:59:50"/>
    <d v="2025-02-27T15:36:38"/>
    <d v="2025-03-10T00:00:00"/>
    <s v="Ian Trottier"/>
    <x v="0"/>
    <n v="1"/>
    <n v="1392.37"/>
    <n v="0"/>
    <n v="965.55709751324798"/>
    <n v="1232.19"/>
    <n v="160.18"/>
    <n v="1392.37"/>
    <s v="Delivered"/>
    <m/>
    <s v="SO16676"/>
    <x v="1"/>
  </r>
  <r>
    <n v="1"/>
    <s v="SO16677"/>
    <s v="4500583340"/>
    <s v="Resolute Forest Products - Saint-Felicien"/>
    <d v="2025-02-26T10:08:26"/>
    <d v="2025-05-20T16:02:43"/>
    <d v="2025-05-21T00:00:00"/>
    <s v="Ian Trottier"/>
    <x v="0"/>
    <n v="1"/>
    <n v="297.61"/>
    <n v="0"/>
    <n v="213.44336232893241"/>
    <n v="283.44"/>
    <n v="14.17"/>
    <n v="297.61"/>
    <s v="Delivered"/>
    <m/>
    <s v="SO16677"/>
    <x v="1"/>
  </r>
  <r>
    <n v="2"/>
    <s v="SO16679"/>
    <s v="4501409436"/>
    <s v="ARYA OILFIELD AND NATURAL GAS EQUIPMENT AND SPARE PARTS TRADING L.L.C"/>
    <d v="2025-02-26T12:00:08"/>
    <d v="2025-05-22T23:00:00"/>
    <d v="2025-07-18T00:00:00"/>
    <s v="Alexis Gil Lamadrid"/>
    <x v="1"/>
    <n v="0.72679928805504312"/>
    <n v="39478.216987228247"/>
    <n v="0"/>
    <n v="28692.74"/>
    <n v="28692.74"/>
    <m/>
    <n v="28692.74"/>
    <s v="Delivered"/>
    <m/>
    <s v="SO16679"/>
    <x v="1"/>
  </r>
  <r>
    <n v="1"/>
    <s v="SO16680"/>
    <s v="2083"/>
    <s v="FMI Products"/>
    <d v="2025-02-26T15:04:11"/>
    <d v="2025-05-15T09:53:26"/>
    <d v="2025-05-16T00:00:00"/>
    <s v="Ian Trottier"/>
    <x v="0"/>
    <n v="1"/>
    <n v="123.03"/>
    <n v="0"/>
    <n v="87.941909047642014"/>
    <n v="117.17"/>
    <n v="5.86"/>
    <n v="123.03"/>
    <s v="Delivered"/>
    <m/>
    <s v="SO16680"/>
    <x v="1"/>
  </r>
  <r>
    <n v="1"/>
    <s v="SO16682"/>
    <s v="PO09111"/>
    <s v="Tantalum Mining Corporation of Canada"/>
    <d v="2025-02-26T17:07:27"/>
    <d v="2025-03-06T17:06:44"/>
    <d v="2025-03-07T00:00:00"/>
    <s v="Ian Trottier"/>
    <x v="0"/>
    <n v="1"/>
    <n v="1945.71"/>
    <n v="0"/>
    <n v="1362.5781860617219"/>
    <n v="1853.06"/>
    <n v="92.65"/>
    <n v="1945.71"/>
    <s v="Delivered"/>
    <m/>
    <s v="SO16682"/>
    <x v="1"/>
  </r>
  <r>
    <n v="1"/>
    <s v="SO16683"/>
    <s v="4500583568"/>
    <s v="Resolute Forest Products - Dolbeau"/>
    <d v="2025-02-27T10:02:13"/>
    <d v="2025-02-28T10:02:13"/>
    <d v="2025-03-05T00:00:00"/>
    <s v="Ian Trottier"/>
    <x v="0"/>
    <n v="1"/>
    <n v="232.41"/>
    <n v="0"/>
    <n v="161.015002269375"/>
    <n v="221.34"/>
    <n v="11.07"/>
    <n v="232.41"/>
    <s v="Delivered"/>
    <m/>
    <s v="SO16683"/>
    <x v="1"/>
  </r>
  <r>
    <n v="1"/>
    <s v="SO16685"/>
    <s v="4500564240"/>
    <s v="Glencore Canada Corporation"/>
    <d v="2025-02-27T11:00:34"/>
    <d v="2025-02-27T11:31:59"/>
    <d v="2025-02-28T00:00:00"/>
    <s v="Ian Trottier"/>
    <x v="0"/>
    <n v="1"/>
    <n v="3900.85"/>
    <n v="0"/>
    <n v="2705.0952001512201"/>
    <n v="3715.09"/>
    <n v="185.76"/>
    <n v="3900.85"/>
    <s v="Delivered"/>
    <m/>
    <s v="SO16685"/>
    <x v="1"/>
  </r>
  <r>
    <n v="1"/>
    <s v="SO16687"/>
    <s v="Cory Brown -  Order - Paid in full on March 14th"/>
    <s v="Norsearch Industries (2002)Ltd"/>
    <d v="2025-02-27T12:19:19"/>
    <d v="2025-03-14T14:38:27"/>
    <d v="2025-04-18T00:00:00"/>
    <s v="Ian Trottier"/>
    <x v="0"/>
    <n v="1"/>
    <n v="11384.16"/>
    <n v="0"/>
    <n v="7916.2056228353849"/>
    <n v="10842.06"/>
    <n v="542.1"/>
    <n v="11384.16"/>
    <s v="Delivered"/>
    <m/>
    <s v="SO16687"/>
    <x v="1"/>
  </r>
  <r>
    <n v="3"/>
    <s v="SO16692"/>
    <s v="PO-007796"/>
    <s v="Sling-Choker Manufacturing - Timmins"/>
    <d v="2025-02-28T09:20:36"/>
    <d v="2025-02-28T16:05:44"/>
    <d v="2025-03-03T00:00:00"/>
    <s v="Ian Trottier"/>
    <x v="0"/>
    <n v="1"/>
    <n v="3852.97"/>
    <n v="0"/>
    <n v="2669.3600675264988"/>
    <n v="3409.71"/>
    <n v="443.26"/>
    <n v="3852.97"/>
    <s v="Delivered"/>
    <m/>
    <s v="SO16692"/>
    <x v="1"/>
  </r>
  <r>
    <n v="2"/>
    <s v="SO16693"/>
    <s v="P354000"/>
    <s v="Covia Corp - Blue Mountain"/>
    <d v="2025-02-28T11:11:49"/>
    <d v="2025-02-28T11:09:34"/>
    <d v="2025-06-06T00:00:00"/>
    <s v="Marlen Martinez"/>
    <x v="1"/>
    <n v="0.69691919319001483"/>
    <n v="13417.26571942828"/>
    <n v="0"/>
    <n v="9350.75"/>
    <n v="8275"/>
    <n v="1075.75"/>
    <n v="9350.75"/>
    <s v="Delivered"/>
    <m/>
    <s v="SO16693"/>
    <x v="1"/>
  </r>
  <r>
    <n v="1"/>
    <s v="SO16694"/>
    <s v="4500583779"/>
    <s v="Resolute Forest Products - Saint-Felicien"/>
    <d v="2025-02-28T12:22:56"/>
    <d v="2025-02-28T12:22:56"/>
    <d v="2025-03-21T00:00:00"/>
    <s v="Ian Trottier"/>
    <x v="0"/>
    <n v="1"/>
    <n v="2045.52"/>
    <n v="0"/>
    <n v="1417.148175388546"/>
    <n v="1948.11"/>
    <n v="97.41"/>
    <n v="2045.52"/>
    <s v="Delivered"/>
    <m/>
    <s v="SO16694"/>
    <x v="1"/>
  </r>
  <r>
    <n v="1"/>
    <s v="SO16696"/>
    <s v="5355643"/>
    <s v="Corrosion Fluid Products Corp."/>
    <d v="2025-02-28T14:20:28"/>
    <d v="2025-03-20T09:52:54"/>
    <d v="2025-03-21T00:00:00"/>
    <s v="Ian Trottier"/>
    <x v="1"/>
    <n v="0.69777964949161275"/>
    <n v="182.0632059025491"/>
    <n v="0"/>
    <n v="127.04"/>
    <n v="127.04"/>
    <m/>
    <n v="127.04"/>
    <s v="Delivered"/>
    <m/>
    <s v="SO16696"/>
    <x v="1"/>
  </r>
  <r>
    <n v="1"/>
    <s v="SO16698"/>
    <s v="C002967100"/>
    <s v="Glencore Canada Corporation Closed Sites"/>
    <d v="2025-02-28T16:56:10"/>
    <d v="2025-03-12T10:04:04"/>
    <d v="2025-03-14T00:00:00"/>
    <s v="Ian Trottier"/>
    <x v="0"/>
    <n v="1"/>
    <n v="2197.21"/>
    <n v="0"/>
    <n v="1525.8465398041619"/>
    <n v="2092.58"/>
    <n v="104.63"/>
    <n v="2197.21"/>
    <s v="Delivered"/>
    <m/>
    <s v="SO16698"/>
    <x v="1"/>
  </r>
  <r>
    <n v="2"/>
    <s v="SO16703"/>
    <s v="6847"/>
    <s v="Hyperflo"/>
    <d v="2025-03-03T12:21:23"/>
    <d v="2025-03-03T12:30:14"/>
    <d v="2025-03-31T00:00:00"/>
    <s v="Ian Trottier"/>
    <x v="0"/>
    <n v="1"/>
    <n v="663.2"/>
    <n v="0"/>
    <n v="460.5225457113566"/>
    <n v="631.62"/>
    <n v="31.58"/>
    <n v="663.2"/>
    <s v="Delivered"/>
    <m/>
    <s v="SO16703"/>
    <x v="2"/>
  </r>
  <r>
    <n v="1"/>
    <s v="SO16704"/>
    <s v="Replacement Part for 63-01537"/>
    <s v="Quality Concrete Inc."/>
    <d v="2025-03-03T12:41:04"/>
    <d v="2025-03-03T12:43:19"/>
    <d v="2023-03-11T00:00:00"/>
    <s v="Ian Trottier"/>
    <x v="0"/>
    <n v="1"/>
    <n v="0"/>
    <n v="0"/>
    <n v="0"/>
    <m/>
    <m/>
    <m/>
    <s v="Delivered"/>
    <m/>
    <s v="SO16704"/>
    <x v="2"/>
  </r>
  <r>
    <n v="1"/>
    <s v="SO16705"/>
    <s v="PO-40-1013419"/>
    <s v="Canadian Bearings Ltd."/>
    <d v="2025-03-03T14:55:39"/>
    <d v="2025-03-03T14:56:54"/>
    <d v="2025-03-05T00:00:00"/>
    <s v="Ian Trottier"/>
    <x v="0"/>
    <n v="1"/>
    <n v="283.87"/>
    <n v="0"/>
    <n v="197.11781521574599"/>
    <n v="270.35000000000002"/>
    <n v="13.52"/>
    <n v="283.87"/>
    <s v="Delivered"/>
    <m/>
    <s v="SO16705"/>
    <x v="2"/>
  </r>
  <r>
    <n v="1"/>
    <s v="SO16706"/>
    <s v="6911"/>
    <s v="Hyperflo"/>
    <d v="2025-03-03T17:21:56"/>
    <d v="2025-03-18T11:36:40"/>
    <d v="2025-03-19T00:00:00"/>
    <s v="Ian Trottier"/>
    <x v="0"/>
    <n v="1"/>
    <n v="6899.97"/>
    <n v="0"/>
    <n v="4821.2009685891953"/>
    <n v="6571.4"/>
    <n v="328.57"/>
    <n v="6899.97"/>
    <s v="Delivered"/>
    <m/>
    <s v="SO16706"/>
    <x v="2"/>
  </r>
  <r>
    <n v="2"/>
    <s v="SO16707"/>
    <s v="Melissa Rosier - PO - Email Confirmation - Paid in Full on March 5th 2025"/>
    <s v="D&amp;H Materials Inc"/>
    <d v="2025-03-03T17:30:35"/>
    <d v="2025-03-04T16:51:47"/>
    <d v="2025-05-13T00:00:00"/>
    <s v="Ian Trottier"/>
    <x v="1"/>
    <n v="0.69439467085548334"/>
    <n v="6126.7031251243734"/>
    <n v="0"/>
    <n v="4254.3500000000004"/>
    <n v="4254.3500000000004"/>
    <m/>
    <n v="4254.3500000000004"/>
    <s v="Delivered"/>
    <m/>
    <s v="SO16707"/>
    <x v="2"/>
  </r>
  <r>
    <n v="1"/>
    <s v="SO16708"/>
    <s v="3005395"/>
    <s v="SCG Process"/>
    <d v="2025-03-03T17:38:37"/>
    <d v="2025-03-06T14:51:01"/>
    <d v="2025-03-07T00:00:00"/>
    <s v="Ian Trottier"/>
    <x v="0"/>
    <n v="1"/>
    <n v="1492.58"/>
    <n v="0"/>
    <n v="1045.2518355520631"/>
    <n v="1421.5"/>
    <n v="71.08"/>
    <n v="1492.58"/>
    <s v="Delivered"/>
    <m/>
    <s v="SO16708"/>
    <x v="2"/>
  </r>
  <r>
    <n v="2"/>
    <s v="SO16711"/>
    <s v="2200075271"/>
    <s v="Wajax Limited - Lachine"/>
    <d v="2025-03-04T11:58:51"/>
    <d v="2025-03-05T17:18:01"/>
    <d v="2025-03-26T00:00:00"/>
    <s v="Ian Trottier"/>
    <x v="0"/>
    <n v="1"/>
    <n v="2094.98"/>
    <n v="0"/>
    <n v="1456.7365125260169"/>
    <n v="1995.22"/>
    <n v="99.76"/>
    <n v="2094.98"/>
    <s v="Delivered"/>
    <m/>
    <s v="SO16711"/>
    <x v="2"/>
  </r>
  <r>
    <n v="2"/>
    <s v="SO16712"/>
    <s v="30783"/>
    <s v="First Bauxite Inc."/>
    <d v="2025-03-04T12:17:29"/>
    <d v="2025-03-06T08:48:11"/>
    <d v="2025-04-16T00:00:00"/>
    <s v="Amanda Qiao"/>
    <x v="1"/>
    <n v="0.69534626226790575"/>
    <n v="10642.179877209001"/>
    <n v="0"/>
    <n v="7400"/>
    <n v="7400"/>
    <m/>
    <n v="7400"/>
    <s v="Delivered"/>
    <m/>
    <s v="SO16712"/>
    <x v="2"/>
  </r>
  <r>
    <n v="1"/>
    <s v="SO16714"/>
    <s v="2100524786"/>
    <s v="Wajax Limited - Timmins"/>
    <d v="2025-03-04T16:24:33"/>
    <d v="2025-03-06T12:50:07"/>
    <d v="2025-03-07T00:00:00"/>
    <s v="Ian Trottier"/>
    <x v="0"/>
    <n v="1"/>
    <n v="337.62"/>
    <n v="0"/>
    <n v="236.43484752514951"/>
    <n v="298.77999999999997"/>
    <n v="38.840000000000003"/>
    <n v="337.62"/>
    <s v="Delivered"/>
    <m/>
    <s v="SO16714"/>
    <x v="2"/>
  </r>
  <r>
    <n v="1"/>
    <s v="SO16715"/>
    <s v="2100526890"/>
    <s v="Wajax Limited - Noranda"/>
    <d v="2025-03-04T17:08:13"/>
    <d v="2025-03-10T10:13:29"/>
    <d v="2025-03-12T00:00:00"/>
    <s v="Ian Trottier"/>
    <x v="0"/>
    <n v="1"/>
    <n v="746.81"/>
    <n v="746.81"/>
    <n v="746.81"/>
    <n v="711.25"/>
    <n v="35.56"/>
    <n v="746.81"/>
    <s v="Delivered"/>
    <m/>
    <s v="SO16715"/>
    <x v="2"/>
  </r>
  <r>
    <n v="2"/>
    <s v="SO16718"/>
    <s v="3077"/>
    <s v="Les Pompes du St-Laurent Inc."/>
    <d v="2025-03-04T17:35:06"/>
    <d v="2025-03-05T09:08:22"/>
    <d v="2025-04-02T00:00:00"/>
    <s v="Ian Trottier"/>
    <x v="0"/>
    <n v="1"/>
    <n v="1420.18"/>
    <n v="0"/>
    <n v="987.5168547476344"/>
    <n v="1352.55"/>
    <n v="67.63"/>
    <n v="1420.18"/>
    <s v="Delivered"/>
    <m/>
    <s v="SO16718"/>
    <x v="2"/>
  </r>
  <r>
    <n v="1"/>
    <s v="SO16719"/>
    <s v="OC00154"/>
    <s v="Dynapro Pumps México S de RL de CV"/>
    <d v="2025-03-04T18:09:21"/>
    <d v="2025-03-04T18:09:47"/>
    <d v="2025-03-28T00:00:00"/>
    <s v="Yannett Yeomans"/>
    <x v="1"/>
    <n v="0.69439467085548334"/>
    <n v="86.406193074726431"/>
    <n v="0"/>
    <n v="60"/>
    <n v="60"/>
    <m/>
    <n v="60"/>
    <s v="Delivered"/>
    <m/>
    <s v="SO16719"/>
    <x v="2"/>
  </r>
  <r>
    <n v="1"/>
    <s v="SO16720"/>
    <s v="6863"/>
    <s v="Hyperflo"/>
    <d v="2025-03-05T11:06:14"/>
    <d v="2025-03-05T12:55:23"/>
    <d v="2025-05-07T00:00:00"/>
    <s v="Ian Trottier"/>
    <x v="0"/>
    <n v="1"/>
    <n v="1245.19"/>
    <n v="0"/>
    <n v="865.83821231337356"/>
    <n v="1185.8900000000001"/>
    <n v="59.3"/>
    <n v="1245.19"/>
    <s v="Delivered"/>
    <m/>
    <s v="SO16720"/>
    <x v="2"/>
  </r>
  <r>
    <n v="1"/>
    <s v="SO16725"/>
    <s v="2100524851"/>
    <s v="Wajax Limited - Noranda"/>
    <d v="2025-03-06T11:33:54"/>
    <d v="2025-03-06T14:25:46"/>
    <d v="2025-03-07T00:00:00"/>
    <s v="Ian Trottier"/>
    <x v="0"/>
    <n v="1"/>
    <n v="2043.9"/>
    <n v="0"/>
    <n v="1431.340515540114"/>
    <n v="1946.57"/>
    <n v="97.33"/>
    <n v="2043.9"/>
    <s v="Delivered"/>
    <m/>
    <s v="SO16725"/>
    <x v="2"/>
  </r>
  <r>
    <n v="1"/>
    <s v="SO16727"/>
    <s v="MPO-1008"/>
    <s v="MAB Equipment Company Inc."/>
    <d v="2025-03-06T14:36:26"/>
    <d v="2025-04-10T14:45:25"/>
    <d v="2025-04-11T00:00:00"/>
    <s v="Ian Trottier"/>
    <x v="1"/>
    <n v="0.70412200178460038"/>
    <n v="8672.1050961676501"/>
    <n v="0"/>
    <n v="6106.22"/>
    <n v="6106.22"/>
    <m/>
    <n v="6106.22"/>
    <s v="Delivered"/>
    <m/>
    <s v="SO16727"/>
    <x v="2"/>
  </r>
  <r>
    <n v="1"/>
    <s v="SO16732"/>
    <s v="007750 Replacement"/>
    <s v="Sling-Choker Manufacturing - Timmins"/>
    <d v="2025-03-07T10:41:34"/>
    <d v="2025-03-07T10:42:40"/>
    <d v="2025-03-07T00:00:00"/>
    <s v="Taylor Cook"/>
    <x v="0"/>
    <n v="1"/>
    <n v="0"/>
    <n v="0"/>
    <n v="0"/>
    <m/>
    <m/>
    <m/>
    <s v="Delivered"/>
    <m/>
    <s v="SO16732"/>
    <x v="2"/>
  </r>
  <r>
    <n v="3"/>
    <s v="SO16733"/>
    <s v="PO-007818"/>
    <s v="Sling-Choker Manufacturing - Timmins"/>
    <d v="2025-03-07T11:13:08"/>
    <d v="2025-03-11T16:31:20"/>
    <d v="2025-04-01T00:00:00"/>
    <s v="Ian Trottier"/>
    <x v="0"/>
    <n v="1"/>
    <n v="9600.0499999999993"/>
    <n v="0"/>
    <n v="6636.2105933580606"/>
    <n v="8495.61"/>
    <n v="1104.44"/>
    <n v="9600.0499999999993"/>
    <s v="Delivered"/>
    <m/>
    <s v="SO16733"/>
    <x v="2"/>
  </r>
  <r>
    <n v="1"/>
    <s v="SO16734"/>
    <s v="2200076047"/>
    <s v="Wajax Limited - Lachine"/>
    <d v="2025-03-07T11:31:29"/>
    <d v="2025-03-10T15:15:06"/>
    <d v="2025-03-12T00:00:00"/>
    <s v="Ian Trottier"/>
    <x v="0"/>
    <n v="1"/>
    <n v="2001.4"/>
    <n v="2001.4"/>
    <n v="2001.4"/>
    <n v="1906.1"/>
    <n v="95.3"/>
    <n v="2001.4"/>
    <s v="Delivered"/>
    <m/>
    <s v="SO16734"/>
    <x v="2"/>
  </r>
  <r>
    <n v="1"/>
    <s v="SO16736"/>
    <s v="185533"/>
    <s v="Fabrene Inc."/>
    <d v="2025-03-07T17:03:19"/>
    <d v="2025-03-07T17:05:10"/>
    <d v="2025-03-11T00:00:00"/>
    <s v="Ian Trottier"/>
    <x v="0"/>
    <n v="1"/>
    <n v="945.5"/>
    <n v="0"/>
    <n v="657.09521283526954"/>
    <n v="836.73"/>
    <n v="108.77"/>
    <n v="945.5"/>
    <s v="Delivered"/>
    <m/>
    <s v="SO16736"/>
    <x v="2"/>
  </r>
  <r>
    <n v="1"/>
    <s v="SO16737"/>
    <s v="10372"/>
    <s v="Canadian Industrial Pumps Ltd, Canadian Industrial Pumps Ltd"/>
    <d v="2025-03-07T17:13:35"/>
    <d v="2025-05-15T08:30:12"/>
    <d v="2025-05-16T00:00:00"/>
    <s v="Taylor Cook"/>
    <x v="0"/>
    <n v="1"/>
    <n v="3912.99"/>
    <n v="0"/>
    <n v="2797.0073208512781"/>
    <n v="3726.65"/>
    <n v="186.34"/>
    <n v="3912.99"/>
    <s v="Delivered"/>
    <m/>
    <s v="SO16737"/>
    <x v="2"/>
  </r>
  <r>
    <n v="1"/>
    <s v="SO16738"/>
    <s v="OC00155"/>
    <s v="Dynapro Pumps México S de RL de CV"/>
    <d v="2025-03-07T18:45:04"/>
    <d v="2025-03-07T18:44:44"/>
    <d v="2025-03-28T00:00:00"/>
    <s v="Yannett Yeomans"/>
    <x v="1"/>
    <n v="0.70029870127702598"/>
    <n v="197.05876899150439"/>
    <n v="0"/>
    <n v="138"/>
    <n v="138"/>
    <m/>
    <n v="138"/>
    <s v="Delivered"/>
    <m/>
    <s v="SO16738"/>
    <x v="2"/>
  </r>
  <r>
    <n v="1"/>
    <s v="SO16739"/>
    <s v="2088"/>
    <s v="FMI Products"/>
    <d v="2025-03-10T09:42:26"/>
    <d v="2025-03-10T15:26:46"/>
    <d v="2025-03-12T00:00:00"/>
    <s v="Ian Trottier"/>
    <x v="0"/>
    <n v="1"/>
    <n v="1186.27"/>
    <n v="1186.27"/>
    <n v="1186.27"/>
    <n v="1129.78"/>
    <n v="56.49"/>
    <n v="1186.27"/>
    <s v="Delivered"/>
    <m/>
    <s v="SO16739"/>
    <x v="2"/>
  </r>
  <r>
    <n v="1"/>
    <s v="SO16740"/>
    <s v="03R19523"/>
    <s v="Moffatt Supply &amp; Specialties - Red Lake"/>
    <d v="2025-03-10T12:19:20"/>
    <d v="2025-03-13T09:32:13"/>
    <d v="2025-03-17T00:00:00"/>
    <s v="Ian Trottier"/>
    <x v="0"/>
    <n v="1"/>
    <n v="2152.54"/>
    <n v="0"/>
    <n v="1494.9888863164419"/>
    <n v="1904.9"/>
    <n v="247.64"/>
    <n v="2152.54"/>
    <s v="Delivered"/>
    <m/>
    <s v="SO16740"/>
    <x v="2"/>
  </r>
  <r>
    <n v="1"/>
    <s v="SO16742"/>
    <s v="2100527126"/>
    <s v="Wajax Limited - Noranda"/>
    <d v="2025-03-10T12:48:29"/>
    <d v="2025-03-13T09:39:50"/>
    <d v="2025-03-17T00:00:00"/>
    <s v="Ian Trottier"/>
    <x v="0"/>
    <n v="1"/>
    <n v="209.03"/>
    <n v="0"/>
    <n v="145.17617647371279"/>
    <n v="199.07"/>
    <n v="9.9600000000000009"/>
    <n v="209.03"/>
    <s v="Delivered"/>
    <m/>
    <s v="SO16742"/>
    <x v="2"/>
  </r>
  <r>
    <n v="1"/>
    <s v="SO16744"/>
    <s v="4501129262"/>
    <s v="Barrick Gold - Pueblo Viejo Dominicana Corporation"/>
    <d v="2025-03-10T15:06:15"/>
    <d v="2025-03-10T15:09:23"/>
    <d v="2025-03-25T00:00:00"/>
    <s v="Jeff Bell"/>
    <x v="1"/>
    <n v="0.69588843853535265"/>
    <n v="1262.601807050087"/>
    <n v="0"/>
    <n v="878.63"/>
    <n v="878.63"/>
    <m/>
    <n v="878.63"/>
    <s v="Delivered"/>
    <m/>
    <s v="SO16744"/>
    <x v="2"/>
  </r>
  <r>
    <n v="2"/>
    <s v="SO16746"/>
    <s v="S306168"/>
    <s v="Kumtor Gold Company"/>
    <d v="2025-03-11T09:50:50"/>
    <d v="2025-03-11T10:01:59"/>
    <d v="2025-05-27T00:00:00"/>
    <s v="Ian Trottier"/>
    <x v="1"/>
    <n v="0.69588843853535265"/>
    <n v="4613.8861090402879"/>
    <n v="0"/>
    <n v="3210.75"/>
    <n v="3210.75"/>
    <m/>
    <n v="3210.75"/>
    <s v="Delivered"/>
    <m/>
    <s v="SO16746"/>
    <x v="2"/>
  </r>
  <r>
    <n v="1"/>
    <s v="SO16747"/>
    <s v="PO-039348"/>
    <s v="Southeast Pump Specialist, Inc."/>
    <d v="2025-03-11T10:20:28"/>
    <d v="2025-03-11T10:22:38"/>
    <d v="2025-04-08T00:00:00"/>
    <s v="Ian Trottier"/>
    <x v="1"/>
    <n v="0.69588843853535265"/>
    <n v="12276.55113509404"/>
    <n v="0"/>
    <n v="8543.11"/>
    <n v="8543.11"/>
    <m/>
    <n v="8543.11"/>
    <s v="Delivered"/>
    <m/>
    <s v="SO16747"/>
    <x v="2"/>
  </r>
  <r>
    <n v="1"/>
    <s v="SO16749"/>
    <s v="2100531214"/>
    <s v="Wajax Limited - Noranda"/>
    <d v="2025-03-11T15:21:12"/>
    <d v="2025-03-14T08:22:06"/>
    <d v="2025-03-18T00:00:00"/>
    <s v="Ian Trottier"/>
    <x v="0"/>
    <n v="1"/>
    <n v="177.02"/>
    <n v="0"/>
    <n v="123.0944329097904"/>
    <n v="168.59"/>
    <n v="8.43"/>
    <n v="177.02"/>
    <s v="Delivered"/>
    <m/>
    <s v="SO16749"/>
    <x v="2"/>
  </r>
  <r>
    <n v="1"/>
    <s v="SO16750"/>
    <s v="PONV-25-0706"/>
    <s v="Tech-Flow"/>
    <d v="2025-03-11T15:28:21"/>
    <d v="2025-03-31T17:04:58"/>
    <d v="2025-04-01T00:00:00"/>
    <s v="Ian Trottier"/>
    <x v="1"/>
    <n v="0.69828295020834585"/>
    <n v="624.04502339629346"/>
    <n v="0"/>
    <n v="435.76"/>
    <n v="435.76"/>
    <m/>
    <n v="435.76"/>
    <s v="Delivered"/>
    <m/>
    <s v="SO16750"/>
    <x v="2"/>
  </r>
  <r>
    <n v="1"/>
    <s v="SO16751"/>
    <s v="T161567DS"/>
    <s v="Tencarva Machinery Company"/>
    <d v="2025-03-11T15:36:13"/>
    <d v="2025-04-15T07:59:01"/>
    <d v="2025-08-04T00:00:00"/>
    <s v="Amanda Qiao"/>
    <x v="1"/>
    <n v="0.71974046347359422"/>
    <n v="38671.550944448398"/>
    <n v="0"/>
    <n v="27833.48"/>
    <n v="27833.48"/>
    <m/>
    <n v="27833.48"/>
    <s v="Delivered"/>
    <m/>
    <s v="SO16751"/>
    <x v="2"/>
  </r>
  <r>
    <n v="1"/>
    <s v="SO16752"/>
    <s v="M-083615"/>
    <s v="Grant Aggregate"/>
    <d v="2025-03-11T15:50:54"/>
    <d v="2025-03-11T16:00:00"/>
    <d v="2025-03-12T00:00:00"/>
    <s v="Ian Trottier"/>
    <x v="0"/>
    <n v="1"/>
    <n v="1403.78"/>
    <n v="0"/>
    <n v="970.38866534488659"/>
    <n v="1242.28"/>
    <n v="161.5"/>
    <n v="1403.78"/>
    <s v="Delivered"/>
    <m/>
    <s v="SO16752"/>
    <x v="2"/>
  </r>
  <r>
    <n v="1"/>
    <s v="SO16753"/>
    <s v="P-31125"/>
    <s v="Cartledge &amp; Associates Inc."/>
    <d v="2025-03-11T16:33:17"/>
    <d v="2025-03-11T16:34:26"/>
    <d v="2025-04-08T00:00:00"/>
    <s v="Ian Trottier"/>
    <x v="1"/>
    <n v="0.69588843853535265"/>
    <n v="1877.499219199379"/>
    <n v="0"/>
    <n v="1306.53"/>
    <n v="1306.53"/>
    <m/>
    <n v="1306.53"/>
    <s v="Delivered"/>
    <m/>
    <s v="SO16753"/>
    <x v="2"/>
  </r>
  <r>
    <n v="1"/>
    <s v="SO16754"/>
    <s v="4500585797"/>
    <s v="Resolute Forest Products - Saint-Felicien"/>
    <d v="2025-03-12T08:26:13"/>
    <d v="2025-03-17T08:04:23"/>
    <d v="2025-03-18T00:00:00"/>
    <s v="Ian Trottier"/>
    <x v="0"/>
    <n v="1"/>
    <n v="549.58000000000004"/>
    <n v="549.58000000000004"/>
    <n v="549.58000000000004"/>
    <n v="523.41"/>
    <n v="26.17"/>
    <n v="549.58000000000004"/>
    <s v="Delivered"/>
    <m/>
    <s v="SO16754"/>
    <x v="2"/>
  </r>
  <r>
    <n v="1"/>
    <s v="SO16755"/>
    <s v="4500585840"/>
    <s v="Resolute Forest Products - Saint-Felicien"/>
    <d v="2025-03-12T08:53:57"/>
    <d v="2025-03-12T08:54:43"/>
    <d v="2025-03-13T00:00:00"/>
    <s v="Ian Trottier"/>
    <x v="0"/>
    <n v="1"/>
    <n v="316.85000000000002"/>
    <n v="0"/>
    <n v="220.0356252415331"/>
    <n v="301.76"/>
    <n v="15.09"/>
    <n v="316.85000000000002"/>
    <s v="Delivered"/>
    <m/>
    <s v="SO16755"/>
    <x v="2"/>
  </r>
  <r>
    <n v="1"/>
    <s v="SO16756"/>
    <s v="PO-007824"/>
    <s v="Sling-Choker Manufacturing - Timmins"/>
    <d v="2025-03-12T09:03:19"/>
    <d v="2025-03-13T10:39:03"/>
    <d v="2025-04-10T00:00:00"/>
    <s v="Ian Trottier"/>
    <x v="0"/>
    <n v="1"/>
    <n v="3183.04"/>
    <n v="0"/>
    <n v="2210.6950043672532"/>
    <n v="2816.85"/>
    <n v="366.19"/>
    <n v="3183.04"/>
    <s v="Delivered"/>
    <m/>
    <s v="SO16756"/>
    <x v="2"/>
  </r>
  <r>
    <n v="1"/>
    <s v="SO16757"/>
    <s v="4500566265"/>
    <s v="Glencore Canada Corporation - Rouyn-Noranda"/>
    <d v="2025-03-12T09:33:11"/>
    <d v="2025-03-12T09:48:16"/>
    <d v="2025-03-17T00:00:00"/>
    <s v="Ian Trottier"/>
    <x v="0"/>
    <n v="1"/>
    <n v="1840.09"/>
    <n v="0"/>
    <n v="1277.8455220157571"/>
    <n v="1752.46"/>
    <n v="87.63"/>
    <n v="1840.09"/>
    <s v="Delivered"/>
    <m/>
    <s v="SO16757"/>
    <x v="2"/>
  </r>
  <r>
    <n v="1"/>
    <s v="SO16760"/>
    <s v="2100476726"/>
    <s v="Wajax Limited - Noranda"/>
    <d v="2025-03-12T13:21:44"/>
    <d v="2025-03-12T16:03:40"/>
    <d v="2025-03-13T00:00:00"/>
    <s v="Ian Trottier"/>
    <x v="0"/>
    <n v="1"/>
    <n v="338"/>
    <n v="0"/>
    <n v="234.7231855188202"/>
    <n v="321.89999999999998"/>
    <n v="16.100000000000001"/>
    <n v="338"/>
    <s v="Delivered"/>
    <m/>
    <s v="SO16760"/>
    <x v="2"/>
  </r>
  <r>
    <n v="1"/>
    <s v="SO16761"/>
    <s v="OC00157"/>
    <s v="Dynapro Pumps México S de RL de CV"/>
    <d v="2025-03-12T13:26:31"/>
    <d v="2025-03-12T13:25:42"/>
    <d v="2025-03-12T00:00:00"/>
    <s v="Yannett Yeomans"/>
    <x v="1"/>
    <n v="0.69126833645221231"/>
    <n v="520.78184550969513"/>
    <n v="0"/>
    <n v="360"/>
    <n v="360"/>
    <m/>
    <n v="360"/>
    <s v="Delivered"/>
    <m/>
    <s v="SO16761"/>
    <x v="2"/>
  </r>
  <r>
    <n v="1"/>
    <s v="SO16762"/>
    <s v="2100533807"/>
    <s v="Wajax Limited - Lachine"/>
    <d v="2025-03-12T14:49:57"/>
    <d v="2025-03-18T16:07:48"/>
    <d v="2025-03-19T00:00:00"/>
    <s v="Ian Trottier"/>
    <x v="0"/>
    <n v="1"/>
    <n v="838.92"/>
    <n v="0"/>
    <n v="586.17673940159841"/>
    <n v="798.97"/>
    <n v="39.950000000000003"/>
    <n v="838.92"/>
    <s v="Delivered"/>
    <m/>
    <s v="SO16762"/>
    <x v="2"/>
  </r>
  <r>
    <n v="1"/>
    <s v="SO16764"/>
    <s v="2100531829"/>
    <s v="Wajax Limited - Noranda"/>
    <d v="2025-03-13T08:34:56"/>
    <d v="2025-03-14T14:11:15"/>
    <d v="2025-03-18T00:00:00"/>
    <s v="Ian Trottier"/>
    <x v="0"/>
    <n v="1"/>
    <n v="311.01"/>
    <n v="0"/>
    <n v="216.26708608786541"/>
    <n v="296.2"/>
    <n v="14.81"/>
    <n v="311.01"/>
    <s v="Delivered"/>
    <m/>
    <s v="SO16764"/>
    <x v="2"/>
  </r>
  <r>
    <n v="1"/>
    <s v="SO16765"/>
    <s v="4500566464"/>
    <s v="Glencore Canada Corporation - Rouyn-Noranda"/>
    <d v="2025-03-13T09:52:28"/>
    <d v="2025-03-13T10:06:17"/>
    <d v="2025-03-17T00:00:00"/>
    <s v="Ian Trottier"/>
    <x v="0"/>
    <n v="1"/>
    <n v="4286.34"/>
    <n v="0"/>
    <n v="2976.9624085840992"/>
    <n v="4082.22"/>
    <n v="204.12"/>
    <n v="4286.34"/>
    <s v="Delivered"/>
    <m/>
    <s v="SO16765"/>
    <x v="2"/>
  </r>
  <r>
    <n v="1"/>
    <s v="SO16766"/>
    <s v="4500586022"/>
    <s v="Resolute Forest Products - Alma"/>
    <d v="2025-03-13T10:22:05"/>
    <d v="2025-04-14T15:01:17"/>
    <d v="2025-04-15T00:00:00"/>
    <s v="Ian Trottier"/>
    <x v="0"/>
    <n v="1"/>
    <n v="781.08"/>
    <n v="0"/>
    <n v="562.17488120995495"/>
    <n v="743.88"/>
    <n v="37.200000000000003"/>
    <n v="781.08"/>
    <s v="Delivered"/>
    <m/>
    <s v="SO16766"/>
    <x v="2"/>
  </r>
  <r>
    <n v="1"/>
    <s v="SO16769"/>
    <s v="4500586136"/>
    <s v="Resolute Forest Products - Clermont"/>
    <d v="2025-03-13T15:25:45"/>
    <d v="2025-04-01T10:28:19"/>
    <d v="2025-04-02T00:00:00"/>
    <s v="Ian Trottier"/>
    <x v="0"/>
    <n v="1"/>
    <n v="1089.42"/>
    <n v="0"/>
    <n v="756.8055451792269"/>
    <n v="1037.54"/>
    <n v="51.88"/>
    <n v="1089.42"/>
    <s v="Delivered"/>
    <m/>
    <s v="SO16769"/>
    <x v="2"/>
  </r>
  <r>
    <n v="2"/>
    <s v="SO16770"/>
    <s v="4500566720"/>
    <s v="Glencore Canada Corporation - Rouyn-Noranda"/>
    <d v="2025-03-14T08:07:29"/>
    <d v="2025-03-14T08:10:53"/>
    <d v="2025-03-17T00:00:00"/>
    <s v="Ian Trottier"/>
    <x v="0"/>
    <n v="1"/>
    <n v="364.12"/>
    <n v="0"/>
    <n v="253.19819744160489"/>
    <n v="346.78"/>
    <n v="17.34"/>
    <n v="364.12"/>
    <s v="Delivered"/>
    <m/>
    <s v="SO16770"/>
    <x v="2"/>
  </r>
  <r>
    <n v="1"/>
    <s v="SO16772"/>
    <s v="4500586282"/>
    <s v="Resolute Forest Products - Saint-Felicien"/>
    <d v="2025-03-14T10:44:34"/>
    <d v="2025-03-31T15:08:37"/>
    <d v="2025-04-01T00:00:00"/>
    <s v="Ian Trottier"/>
    <x v="0"/>
    <n v="1"/>
    <n v="2422.23"/>
    <n v="0"/>
    <n v="1687.7022756884139"/>
    <n v="2306.88"/>
    <n v="115.35"/>
    <n v="2422.23"/>
    <s v="Delivered"/>
    <m/>
    <s v="SO16772"/>
    <x v="2"/>
  </r>
  <r>
    <n v="1"/>
    <s v="SO16774"/>
    <s v="25-30654"/>
    <s v="Advanced Engineered Pump Inc."/>
    <d v="2025-03-14T11:44:46"/>
    <d v="2025-03-14T11:46:29"/>
    <d v="2025-03-18T00:00:00"/>
    <s v="Ian Trottier"/>
    <x v="1"/>
    <n v="0.69452316162135974"/>
    <n v="747.27529430177378"/>
    <n v="0"/>
    <n v="519"/>
    <n v="519"/>
    <m/>
    <n v="519"/>
    <s v="Delivered"/>
    <m/>
    <s v="SO16774"/>
    <x v="2"/>
  </r>
  <r>
    <n v="1"/>
    <s v="SO16775"/>
    <s v="130080"/>
    <s v="Cypress Sales Partnership"/>
    <d v="2025-03-14T12:04:45"/>
    <d v="2025-03-17T12:56:15"/>
    <d v="2025-08-18T00:00:00"/>
    <s v="Ian Trottier"/>
    <x v="0"/>
    <n v="1"/>
    <n v="8334.94"/>
    <n v="8334.94"/>
    <n v="8334.94"/>
    <n v="7938.04"/>
    <n v="396.9"/>
    <n v="8334.94"/>
    <s v="Delivered"/>
    <m/>
    <s v="SO16775"/>
    <x v="2"/>
  </r>
  <r>
    <n v="1"/>
    <s v="SO16778"/>
    <s v="AB39-00081077"/>
    <s v="Motion Industries Inc. (Canada) - Red Deer"/>
    <d v="2025-03-17T08:54:42"/>
    <d v="2025-03-20T14:02:23"/>
    <d v="2025-03-21T00:00:00"/>
    <s v="Ian Trottier"/>
    <x v="0"/>
    <n v="1"/>
    <n v="171.09"/>
    <n v="0"/>
    <n v="119.40589572991151"/>
    <n v="171.09"/>
    <m/>
    <n v="171.09"/>
    <s v="Delivered"/>
    <m/>
    <s v="SO16778"/>
    <x v="2"/>
  </r>
  <r>
    <n v="2"/>
    <s v="SO16783"/>
    <s v="S306621"/>
    <s v="Kumtor Gold Company"/>
    <d v="2025-03-17T15:38:41"/>
    <d v="2025-04-02T10:01:04"/>
    <d v="2025-04-30T00:00:00"/>
    <s v="Ian Trottier"/>
    <x v="1"/>
    <n v="0.69468666371025578"/>
    <n v="8032.4271236151872"/>
    <n v="0"/>
    <n v="5580.02"/>
    <n v="5580.02"/>
    <m/>
    <n v="5580.02"/>
    <s v="Delivered"/>
    <m/>
    <s v="SO16783"/>
    <x v="2"/>
  </r>
  <r>
    <n v="1"/>
    <s v="SO16787"/>
    <s v="OC00156"/>
    <s v="Dynapro Pumps México S de RL de CV"/>
    <d v="2025-03-18T10:50:49"/>
    <d v="2025-03-18T10:52:16"/>
    <d v="2025-04-25T00:00:00"/>
    <s v="Yannett Yeomans"/>
    <x v="1"/>
    <n v="0.69620152464306795"/>
    <n v="1291.2927768448999"/>
    <n v="0"/>
    <n v="899"/>
    <n v="899"/>
    <m/>
    <n v="899"/>
    <s v="Delivered"/>
    <m/>
    <s v="SO16787"/>
    <x v="2"/>
  </r>
  <r>
    <n v="2"/>
    <s v="SO16788"/>
    <s v="4500567129"/>
    <s v="Glencore Canada Corporation - Rouyn-Noranda, Glencore Canada Corp."/>
    <d v="2025-03-18T10:59:01"/>
    <d v="2025-03-18T12:57:10"/>
    <d v="2025-04-08T00:00:00"/>
    <s v="Ian Trottier"/>
    <x v="0"/>
    <n v="1"/>
    <n v="2887.52"/>
    <n v="0"/>
    <n v="2017.590543266228"/>
    <n v="2750.02"/>
    <n v="137.5"/>
    <n v="2887.52"/>
    <s v="Delivered"/>
    <m/>
    <s v="SO16788"/>
    <x v="2"/>
  </r>
  <r>
    <n v="1"/>
    <s v="SO16792"/>
    <s v="P355611"/>
    <s v="Covia Corp - Junction City"/>
    <d v="2025-03-18T15:39:58"/>
    <d v="2025-03-25T15:09:34"/>
    <d v="2025-03-31T00:00:00"/>
    <s v="Marlen Martinez"/>
    <x v="1"/>
    <n v="0.69959491803052931"/>
    <n v="15979.247006926031"/>
    <n v="0"/>
    <n v="11179"/>
    <n v="11179"/>
    <m/>
    <n v="11179"/>
    <s v="Delivered"/>
    <m/>
    <s v="SO16792"/>
    <x v="2"/>
  </r>
  <r>
    <n v="1"/>
    <s v="SO16793"/>
    <s v="SUD1005997"/>
    <s v="Process and Steam Specialties, Process and Steam Specialties"/>
    <d v="2025-03-18T16:17:17"/>
    <d v="2025-03-18T16:20:44"/>
    <d v="2025-03-19T00:00:00"/>
    <s v="Ian Trottier"/>
    <x v="0"/>
    <n v="1"/>
    <n v="1561.69"/>
    <n v="0"/>
    <n v="1091.196242974399"/>
    <n v="1487.32"/>
    <n v="74.37"/>
    <n v="1561.69"/>
    <s v="Delivered"/>
    <m/>
    <s v="SO16793"/>
    <x v="2"/>
  </r>
  <r>
    <n v="2"/>
    <s v="SO16794"/>
    <s v="PO-007838"/>
    <s v="Sling-Choker Manufacturing - Timmins"/>
    <d v="2025-03-18T16:45:48"/>
    <d v="2025-03-19T09:06:32"/>
    <d v="2025-06-25T00:00:00"/>
    <s v="Ian Trottier"/>
    <x v="0"/>
    <n v="1"/>
    <n v="14190.21"/>
    <n v="0"/>
    <n v="9901.6397600123782"/>
    <n v="12557.71"/>
    <n v="1632.5"/>
    <n v="14190.21"/>
    <s v="Delivered"/>
    <m/>
    <s v="SO16794"/>
    <x v="2"/>
  </r>
  <r>
    <n v="1"/>
    <s v="SO16796"/>
    <s v="2100534732"/>
    <s v="Wajax Limited - Noranda"/>
    <d v="2025-03-19T08:39:25"/>
    <d v="2025-03-19T12:20:09"/>
    <d v="2025-03-20T00:00:00"/>
    <s v="Ian Trottier"/>
    <x v="0"/>
    <n v="1"/>
    <n v="155.12"/>
    <n v="0"/>
    <n v="108.239579229139"/>
    <n v="147.72999999999999"/>
    <n v="7.39"/>
    <n v="155.12"/>
    <s v="Delivered"/>
    <m/>
    <s v="SO16796"/>
    <x v="2"/>
  </r>
  <r>
    <n v="1"/>
    <s v="SO16797"/>
    <s v="M-083636"/>
    <s v="Grant Aggregate"/>
    <d v="2025-03-19T08:44:18"/>
    <d v="2025-03-20T09:26:37"/>
    <d v="2025-04-03T00:00:00"/>
    <s v="Ian Trottier"/>
    <x v="0"/>
    <n v="1"/>
    <n v="1336.67"/>
    <n v="0"/>
    <n v="932.87906157753673"/>
    <n v="1182.8900000000001"/>
    <n v="153.78"/>
    <n v="1336.67"/>
    <s v="Delivered"/>
    <m/>
    <s v="SO16797"/>
    <x v="2"/>
  </r>
  <r>
    <n v="3"/>
    <s v="SO16798"/>
    <s v="S306876"/>
    <s v="Kumtor Gold Company"/>
    <d v="2025-03-19T11:25:17"/>
    <d v="2025-04-15T09:58:42"/>
    <d v="2025-07-22T00:00:00"/>
    <s v="Ian Trottier"/>
    <x v="1"/>
    <n v="0.71974046347359422"/>
    <n v="12832.08388121817"/>
    <n v="0"/>
    <n v="9235.77"/>
    <n v="9235.77"/>
    <m/>
    <n v="9235.77"/>
    <s v="Delivered"/>
    <m/>
    <s v="SO16798"/>
    <x v="2"/>
  </r>
  <r>
    <n v="1"/>
    <s v="SO16799"/>
    <s v="4500567408"/>
    <s v="Glencore Canada Corporation - Rouyn-Noranda"/>
    <d v="2025-03-19T12:51:14"/>
    <d v="2025-03-19T12:57:59"/>
    <d v="2025-03-20T00:00:00"/>
    <s v="Ian Trottier"/>
    <x v="0"/>
    <n v="1"/>
    <n v="5581.2"/>
    <n v="0"/>
    <n v="3894.4477797425889"/>
    <n v="5315.42"/>
    <n v="265.77999999999997"/>
    <n v="5581.2"/>
    <s v="Delivered"/>
    <m/>
    <s v="SO16799"/>
    <x v="2"/>
  </r>
  <r>
    <n v="1"/>
    <s v="SO16803"/>
    <s v="4500587186"/>
    <s v="Resolute Forest Products - Saint-Felicien"/>
    <d v="2025-03-20T08:46:43"/>
    <d v="2025-04-08T16:05:42"/>
    <d v="2025-04-09T00:00:00"/>
    <s v="Ian Trottier"/>
    <x v="0"/>
    <n v="1"/>
    <n v="1886.26"/>
    <n v="0"/>
    <n v="1328.1571670862199"/>
    <n v="1796.44"/>
    <n v="89.82"/>
    <n v="1886.26"/>
    <s v="Delivered"/>
    <m/>
    <s v="SO16803"/>
    <x v="2"/>
  </r>
  <r>
    <n v="1"/>
    <s v="SO16804"/>
    <s v="4500587239"/>
    <s v="Resolute Forest Products - Saint-Felicien"/>
    <d v="2025-03-20T11:18:55"/>
    <d v="2025-03-20T11:20:09"/>
    <d v="2025-03-21T00:00:00"/>
    <s v="Ian Trottier"/>
    <x v="0"/>
    <n v="1"/>
    <n v="316.85000000000002"/>
    <n v="0"/>
    <n v="221.13366100895701"/>
    <n v="301.76"/>
    <n v="15.09"/>
    <n v="316.85000000000002"/>
    <s v="Delivered"/>
    <m/>
    <s v="SO16804"/>
    <x v="2"/>
  </r>
  <r>
    <n v="1"/>
    <s v="SO16805"/>
    <s v="5400231028"/>
    <s v="Algoma Steel Inc."/>
    <d v="2025-03-20T12:02:37"/>
    <d v="2025-03-26T16:11:27"/>
    <d v="2025-06-04T00:00:00"/>
    <s v="Ian Trottier"/>
    <x v="0"/>
    <n v="1"/>
    <n v="13878.16"/>
    <n v="0"/>
    <n v="9734.5382757816169"/>
    <n v="12281.56"/>
    <n v="1596.6"/>
    <n v="13878.16"/>
    <s v="Delivered"/>
    <m/>
    <s v="SO16805"/>
    <x v="2"/>
  </r>
  <r>
    <n v="2"/>
    <s v="SO16809"/>
    <s v="2100579915"/>
    <s v="Wajax Limited - Noranda"/>
    <d v="2025-03-21T12:44:28"/>
    <d v="2025-05-23T13:43:12"/>
    <d v="2025-08-29T00:00:00"/>
    <s v="Ian Trottier"/>
    <x v="0"/>
    <n v="1"/>
    <n v="8392.52"/>
    <n v="0"/>
    <n v="6099.6775609877104"/>
    <n v="7992.87"/>
    <n v="399.65"/>
    <n v="8392.52"/>
    <s v="Delivered"/>
    <m/>
    <s v="SO16809"/>
    <x v="2"/>
  </r>
  <r>
    <n v="1"/>
    <s v="SO16812"/>
    <s v="1079552"/>
    <s v="Hisco Pump Inc."/>
    <d v="2025-03-21T14:56:26"/>
    <d v="2025-04-11T15:24:55"/>
    <d v="2025-04-14T00:00:00"/>
    <s v="Amanda Qiao"/>
    <x v="1"/>
    <n v="0.70470066534440534"/>
    <n v="6778.1829007718588"/>
    <n v="0"/>
    <n v="4776.59"/>
    <n v="4776.59"/>
    <m/>
    <n v="4776.59"/>
    <s v="Delivered"/>
    <m/>
    <s v="SO16812"/>
    <x v="2"/>
  </r>
  <r>
    <n v="2"/>
    <s v="SO16813"/>
    <s v="4500792148"/>
    <s v="AGM Inc."/>
    <d v="2025-03-21T15:23:50"/>
    <d v="2025-04-01T10:02:50"/>
    <d v="2025-05-06T00:00:00"/>
    <s v="Amanda Qiao"/>
    <x v="1"/>
    <n v="0.69675558294976692"/>
    <n v="19956.495994094501"/>
    <n v="0"/>
    <n v="13904.8"/>
    <n v="13904.8"/>
    <m/>
    <n v="13904.8"/>
    <s v="Delivered"/>
    <m/>
    <s v="SO16813"/>
    <x v="2"/>
  </r>
  <r>
    <n v="1"/>
    <s v="SO16814"/>
    <s v="S306482"/>
    <s v="Kumtor Gold Company"/>
    <d v="2025-03-24T08:05:17"/>
    <d v="2025-03-26T07:52:34"/>
    <d v="2025-03-26T00:00:00"/>
    <s v="Ian Trottier"/>
    <x v="1"/>
    <n v="0.69885068489118096"/>
    <n v="7831.9305086640406"/>
    <n v="0"/>
    <n v="5473.35"/>
    <n v="5473.35"/>
    <m/>
    <n v="5473.35"/>
    <s v="Delivered"/>
    <m/>
    <s v="SO16814"/>
    <x v="2"/>
  </r>
  <r>
    <n v="1"/>
    <s v="SO16815"/>
    <s v="PO-40-1014081"/>
    <s v="Canadian Bearings Ltd."/>
    <d v="2025-03-24T08:45:57"/>
    <d v="2025-03-27T10:02:22"/>
    <d v="2025-04-24T00:00:00"/>
    <s v="Ian Trottier"/>
    <x v="0"/>
    <n v="1"/>
    <n v="2263.5700000000002"/>
    <n v="0"/>
    <n v="1580.9480548073821"/>
    <n v="2155.7800000000002"/>
    <n v="107.79"/>
    <n v="2263.5700000000002"/>
    <s v="Delivered"/>
    <m/>
    <s v="SO16815"/>
    <x v="2"/>
  </r>
  <r>
    <n v="1"/>
    <s v="SO16816"/>
    <s v="PO-40-1013960"/>
    <s v="Canadian Bearings Ltd."/>
    <d v="2025-03-24T11:27:49"/>
    <d v="2025-03-24T11:31:57"/>
    <d v="2025-03-25T00:00:00"/>
    <s v="Ian Trottier"/>
    <x v="0"/>
    <n v="1"/>
    <n v="168.08"/>
    <n v="0"/>
    <n v="117.58791382257139"/>
    <n v="160.08000000000001"/>
    <n v="8"/>
    <n v="168.08"/>
    <s v="Delivered"/>
    <m/>
    <s v="SO16816"/>
    <x v="2"/>
  </r>
  <r>
    <n v="1"/>
    <s v="SO16817"/>
    <s v="1079674"/>
    <s v="Hisco Pump Inc."/>
    <d v="2025-03-24T11:48:19"/>
    <d v="2025-04-28T14:35:28"/>
    <d v="2025-05-12T00:00:00"/>
    <s v="Amanda Qiao"/>
    <x v="1"/>
    <n v="0.72125060891744774"/>
    <n v="1995.3120069597301"/>
    <n v="0"/>
    <n v="1439.12"/>
    <n v="1439.12"/>
    <m/>
    <n v="1439.12"/>
    <s v="Delivered"/>
    <m/>
    <s v="SO16817"/>
    <x v="2"/>
  </r>
  <r>
    <n v="1"/>
    <s v="SO16819"/>
    <s v="4501139731"/>
    <s v="Barrick Gold - Pueblo Viejo Dominicana Corporation"/>
    <d v="2025-03-24T12:48:54"/>
    <d v="2025-03-24T12:50:07"/>
    <d v="2025-04-09T00:00:00"/>
    <s v="Jeff Bell"/>
    <x v="1"/>
    <n v="0.69694344458511093"/>
    <n v="29807.296648534691"/>
    <n v="0"/>
    <n v="20774"/>
    <n v="20774"/>
    <m/>
    <n v="20774"/>
    <s v="Delivered"/>
    <m/>
    <s v="SO16819"/>
    <x v="2"/>
  </r>
  <r>
    <n v="1"/>
    <s v="SO16821"/>
    <s v="PO-40-1014161"/>
    <s v="Canadian Bearings Ltd."/>
    <d v="2025-03-24T14:35:49"/>
    <d v="2025-03-31T12:50:08"/>
    <d v="2025-04-02T00:00:00"/>
    <s v="Ian Trottier"/>
    <x v="0"/>
    <n v="1"/>
    <n v="283.87"/>
    <n v="0"/>
    <n v="197.7880073319503"/>
    <n v="270.35000000000002"/>
    <n v="13.52"/>
    <n v="283.87"/>
    <s v="Delivered"/>
    <m/>
    <s v="SO16821"/>
    <x v="2"/>
  </r>
  <r>
    <n v="1"/>
    <s v="SO16822"/>
    <s v="606884"/>
    <s v="Sealtrac Inc."/>
    <d v="2025-03-24T15:01:48"/>
    <d v="2025-05-01T10:49:24"/>
    <d v="2025-05-02T00:00:00"/>
    <s v="Ian Trottier"/>
    <x v="0"/>
    <n v="1"/>
    <n v="5086.5200000000004"/>
    <n v="0"/>
    <n v="3672.984304668892"/>
    <n v="4501.3500000000004"/>
    <n v="585.16999999999996"/>
    <n v="5086.5200000000004"/>
    <s v="Delivered"/>
    <m/>
    <s v="SO16822"/>
    <x v="2"/>
  </r>
  <r>
    <n v="1"/>
    <s v="SO16824"/>
    <s v="ON50-00002306"/>
    <s v="Motion Industries Inc. (Canada) - Thunder Bay, Motion Industries Canada"/>
    <d v="2025-03-24T15:39:37"/>
    <d v="2025-03-27T14:35:37"/>
    <d v="2025-03-28T00:00:00"/>
    <s v="Ian Trottier"/>
    <x v="0"/>
    <n v="1"/>
    <n v="617.23"/>
    <n v="0"/>
    <n v="431.09272868467087"/>
    <n v="546.22"/>
    <n v="71.010000000000005"/>
    <n v="617.23"/>
    <s v="Delivered"/>
    <m/>
    <s v="SO16824"/>
    <x v="2"/>
  </r>
  <r>
    <n v="1"/>
    <s v="SO16826"/>
    <s v="2100538961"/>
    <s v="Wajax Limited - Noranda"/>
    <d v="2025-03-25T13:42:56"/>
    <d v="2025-03-25T13:45:35"/>
    <d v="2025-03-26T00:00:00"/>
    <s v="Ian Trottier"/>
    <x v="0"/>
    <n v="1"/>
    <n v="173.13"/>
    <n v="0"/>
    <n v="120.99201907521019"/>
    <n v="164.89"/>
    <n v="8.24"/>
    <n v="173.13"/>
    <s v="Delivered"/>
    <m/>
    <s v="SO16826"/>
    <x v="2"/>
  </r>
  <r>
    <n v="1"/>
    <s v="SO16827"/>
    <s v="03R19616"/>
    <s v="Moffatt Supply &amp; Specialties - Red Lake"/>
    <d v="2025-03-25T13:54:15"/>
    <d v="2025-03-25T15:22:24"/>
    <d v="2025-03-26T00:00:00"/>
    <s v="Ian Trottier"/>
    <x v="0"/>
    <n v="1"/>
    <n v="3613.67"/>
    <n v="0"/>
    <n v="2525.4157544707141"/>
    <n v="3197.94"/>
    <n v="415.73"/>
    <n v="3613.67"/>
    <s v="Delivered"/>
    <m/>
    <s v="SO16827"/>
    <x v="2"/>
  </r>
  <r>
    <n v="1"/>
    <s v="SO16829"/>
    <s v="BC65-00080002"/>
    <s v="Motion Industries Inc. (Canada) - Prince George"/>
    <d v="2025-03-25T14:54:08"/>
    <d v="2025-03-27T14:54:08"/>
    <d v="2025-03-28T00:00:00"/>
    <s v="Ian Trottier"/>
    <x v="0"/>
    <n v="1"/>
    <n v="277.45"/>
    <n v="0"/>
    <n v="193.77975401967171"/>
    <n v="264.24"/>
    <n v="13.21"/>
    <n v="277.45"/>
    <s v="Delivered"/>
    <m/>
    <s v="SO16829"/>
    <x v="2"/>
  </r>
  <r>
    <n v="1"/>
    <s v="SO16830"/>
    <s v="6943"/>
    <s v="Hyperflo"/>
    <d v="2025-03-25T15:06:45"/>
    <d v="2025-03-25T15:09:38"/>
    <d v="2025-03-26T00:00:00"/>
    <s v="Ian Trottier"/>
    <x v="0"/>
    <n v="1"/>
    <n v="542.75"/>
    <n v="0"/>
    <n v="379.30120922468848"/>
    <n v="516.9"/>
    <n v="25.85"/>
    <n v="542.75"/>
    <s v="Delivered"/>
    <m/>
    <s v="SO16830"/>
    <x v="2"/>
  </r>
  <r>
    <n v="1"/>
    <s v="SO16833"/>
    <s v="6944"/>
    <s v="Hyperflo"/>
    <d v="2025-03-26T08:01:51"/>
    <d v="2025-03-26T08:02:31"/>
    <d v="2025-03-26T00:00:00"/>
    <s v="Ian Trottier"/>
    <x v="0"/>
    <n v="1"/>
    <n v="361.83"/>
    <n v="0"/>
    <n v="253.7979086799736"/>
    <n v="344.6"/>
    <n v="17.23"/>
    <n v="361.83"/>
    <s v="Delivered"/>
    <m/>
    <s v="SO16833"/>
    <x v="2"/>
  </r>
  <r>
    <n v="2"/>
    <s v="SO16834"/>
    <s v="4501151823"/>
    <s v="Barrick Gold - Pueblo Viejo Dominicana Corporation"/>
    <d v="2025-03-26T12:16:37"/>
    <d v="2025-04-03T12:18:39"/>
    <d v="2025-05-09T00:00:00"/>
    <s v="Wilka Nuñez"/>
    <x v="1"/>
    <n v="0.69879848026194369"/>
    <n v="57048.635802780322"/>
    <n v="0"/>
    <n v="39865.5"/>
    <n v="39865.5"/>
    <m/>
    <n v="39865.5"/>
    <s v="Delivered"/>
    <m/>
    <s v="SO16834"/>
    <x v="2"/>
  </r>
  <r>
    <n v="2"/>
    <s v="SO16835"/>
    <s v="MAB15243 - Paid in full on April 3rd"/>
    <s v="MAB Equipment Company Inc."/>
    <d v="2025-03-26T12:58:30"/>
    <d v="2025-04-03T08:32:24"/>
    <d v="2025-07-17T00:00:00"/>
    <s v="Ian Trottier"/>
    <x v="1"/>
    <n v="0.69879848026194369"/>
    <n v="6611.1906801346231"/>
    <n v="0"/>
    <n v="4619.8900000000003"/>
    <n v="4619.8900000000003"/>
    <m/>
    <n v="4619.8900000000003"/>
    <s v="Delivered"/>
    <m/>
    <s v="SO16835"/>
    <x v="2"/>
  </r>
  <r>
    <n v="1"/>
    <s v="SO16836"/>
    <s v="2100540513"/>
    <s v="Wajax Limited - Noranda"/>
    <d v="2025-03-26T13:31:16"/>
    <d v="2025-03-27T08:05:38"/>
    <d v="2025-03-28T00:00:00"/>
    <s v="Ian Trottier"/>
    <x v="0"/>
    <n v="1"/>
    <n v="2102.94"/>
    <n v="0"/>
    <n v="1468.759040973611"/>
    <n v="2002.8"/>
    <n v="100.14"/>
    <n v="2102.94"/>
    <s v="Delivered"/>
    <m/>
    <s v="SO16836"/>
    <x v="2"/>
  </r>
  <r>
    <n v="1"/>
    <s v="SO16837"/>
    <s v="2100540142"/>
    <s v="Wajax Limited - Noranda"/>
    <d v="2025-03-26T13:43:46"/>
    <d v="2025-03-26T13:54:36"/>
    <d v="2025-03-27T00:00:00"/>
    <s v="Ian Trottier"/>
    <x v="0"/>
    <n v="1"/>
    <n v="3254.54"/>
    <n v="0"/>
    <n v="2282.827420930606"/>
    <n v="3099.56"/>
    <n v="154.97999999999999"/>
    <n v="3254.54"/>
    <s v="Delivered"/>
    <m/>
    <s v="SO16837"/>
    <x v="2"/>
  </r>
  <r>
    <n v="1"/>
    <s v="SO16839"/>
    <s v="6951"/>
    <s v="Hyperflo"/>
    <d v="2025-03-26T15:03:13"/>
    <d v="2025-03-27T09:32:34"/>
    <d v="2025-04-17T00:00:00"/>
    <s v="Ian Trottier"/>
    <x v="0"/>
    <n v="1"/>
    <n v="2175.37"/>
    <n v="0"/>
    <n v="1519.34641737889"/>
    <n v="2071.7800000000002"/>
    <n v="103.59"/>
    <n v="2175.37"/>
    <s v="Delivered"/>
    <m/>
    <s v="SO16839"/>
    <x v="2"/>
  </r>
  <r>
    <n v="1"/>
    <s v="SO16840"/>
    <s v="4501142021"/>
    <s v="Barrick Gold - Pueblo Viejo Dominicana Corporation"/>
    <d v="2025-03-26T15:09:13"/>
    <d v="2025-03-26T15:13:52"/>
    <d v="2025-04-09T00:00:00"/>
    <s v="Amanda Qiao"/>
    <x v="1"/>
    <n v="0.69885068489118096"/>
    <n v="19780.63454592237"/>
    <n v="0"/>
    <n v="13823.71"/>
    <n v="13823.71"/>
    <m/>
    <n v="13823.71"/>
    <s v="Delivered"/>
    <m/>
    <s v="SO16840"/>
    <x v="2"/>
  </r>
  <r>
    <n v="1"/>
    <s v="SO16842"/>
    <s v="PO09308"/>
    <s v="Tantalum Mining Corporation of Canada"/>
    <d v="2025-03-26T16:42:17"/>
    <d v="2025-03-31T13:22:14"/>
    <d v="2025-04-01T00:00:00"/>
    <s v="Ian Trottier"/>
    <x v="0"/>
    <n v="1"/>
    <n v="904.12"/>
    <n v="0"/>
    <n v="629.95065765654329"/>
    <n v="861.07"/>
    <n v="43.05"/>
    <n v="904.12"/>
    <s v="Delivered"/>
    <m/>
    <s v="SO16842"/>
    <x v="2"/>
  </r>
  <r>
    <n v="2"/>
    <s v="SO16844"/>
    <s v="S306532"/>
    <s v="Kumtor Gold Company"/>
    <d v="2025-03-27T08:18:11"/>
    <d v="2025-03-27T08:22:23"/>
    <d v="2025-02-28T00:00:00"/>
    <s v="Ian Trottier"/>
    <x v="1"/>
    <n v="0.70142859541766467"/>
    <n v="1698.1058482378539"/>
    <n v="0"/>
    <n v="1191.0999999999999"/>
    <n v="1191.0999999999999"/>
    <m/>
    <n v="1191.0999999999999"/>
    <s v="Delivered"/>
    <m/>
    <s v="SO16844"/>
    <x v="2"/>
  </r>
  <r>
    <n v="1"/>
    <s v="SO16846"/>
    <s v="PO-40-1014238"/>
    <s v="Canadian Bearings Ltd."/>
    <d v="2025-03-27T09:12:52"/>
    <d v="2025-04-01T15:49:19"/>
    <d v="2025-04-02T00:00:00"/>
    <s v="Taylor Cook"/>
    <x v="0"/>
    <n v="1"/>
    <n v="2143.1"/>
    <n v="0"/>
    <n v="1488.7829889974489"/>
    <n v="2041.05"/>
    <n v="102.05"/>
    <n v="2143.1"/>
    <s v="Delivered"/>
    <m/>
    <s v="SO16846"/>
    <x v="2"/>
  </r>
  <r>
    <n v="1"/>
    <s v="SO16847"/>
    <s v="OC00160"/>
    <s v="Dynapro Pumps México S de RL de CV"/>
    <d v="2025-03-27T10:14:44"/>
    <d v="2025-03-27T10:12:41"/>
    <d v="2025-03-27T00:00:00"/>
    <s v="Yannett Yeomans"/>
    <x v="1"/>
    <n v="0.70142859541766467"/>
    <n v="3227.6984639497118"/>
    <n v="0"/>
    <n v="2264"/>
    <n v="2264"/>
    <m/>
    <n v="2264"/>
    <s v="Delivered"/>
    <m/>
    <s v="SO16847"/>
    <x v="2"/>
  </r>
  <r>
    <n v="2"/>
    <s v="SO16848"/>
    <s v="PO-007864"/>
    <s v="Sling-Choker Manufacturing - Timmins"/>
    <d v="2025-03-27T12:42:59"/>
    <d v="2025-03-27T14:05:20"/>
    <d v="2025-04-24T00:00:00"/>
    <s v="Ian Trottier"/>
    <x v="0"/>
    <n v="1"/>
    <n v="387.84"/>
    <n v="0"/>
    <n v="270.87958118215698"/>
    <n v="343.22"/>
    <n v="44.62"/>
    <n v="387.84"/>
    <s v="Delivered"/>
    <m/>
    <s v="SO16848"/>
    <x v="2"/>
  </r>
  <r>
    <n v="1"/>
    <s v="SO16850"/>
    <s v="BC65-00080086"/>
    <s v="Motion Industries Inc. (Canada) - Prince George"/>
    <d v="2025-03-27T15:24:11"/>
    <d v="2025-04-03T16:17:54"/>
    <d v="2025-04-04T00:00:00"/>
    <s v="Ian Trottier"/>
    <x v="0"/>
    <n v="1"/>
    <n v="1078.71"/>
    <n v="1078.71"/>
    <n v="1078.71"/>
    <n v="1027.3399999999999"/>
    <n v="51.37"/>
    <n v="1078.71"/>
    <s v="Delivered"/>
    <m/>
    <s v="SO16850"/>
    <x v="2"/>
  </r>
  <r>
    <n v="1"/>
    <s v="SO16853"/>
    <s v="PO-007868"/>
    <s v="Sling-Choker Manufacturing - Timmins"/>
    <d v="2025-03-28T08:10:58"/>
    <d v="2025-03-28T12:55:24"/>
    <d v="2025-03-31T00:00:00"/>
    <s v="Ian Trottier"/>
    <x v="0"/>
    <n v="1"/>
    <n v="6280.39"/>
    <n v="0"/>
    <n v="4396.7804534179604"/>
    <n v="5557.87"/>
    <n v="722.52"/>
    <n v="6280.39"/>
    <s v="Delivered"/>
    <m/>
    <s v="SO16853"/>
    <x v="2"/>
  </r>
  <r>
    <n v="1"/>
    <s v="SO16856"/>
    <s v="ON50-00002317"/>
    <s v="Motion Industries Inc. (Canada) - Thunder Bay"/>
    <d v="2025-03-28T10:41:05"/>
    <d v="2025-03-28T12:11:57"/>
    <d v="2025-04-18T00:00:00"/>
    <s v="Ian Trottier"/>
    <x v="0"/>
    <n v="1"/>
    <n v="1655.53"/>
    <n v="0"/>
    <n v="1159.0047662720051"/>
    <n v="1465.07"/>
    <n v="190.46"/>
    <n v="1655.53"/>
    <s v="Delivered"/>
    <m/>
    <s v="SO16856"/>
    <x v="2"/>
  </r>
  <r>
    <n v="1"/>
    <s v="SO16860"/>
    <s v="QC10-00125571"/>
    <s v="Motion Industries Inc. (Canada) - Chicoutimi, Motion Industries Inc. (Canada) - Chicoutimi"/>
    <d v="2025-03-28T15:05:17"/>
    <d v="2025-04-04T13:18:25"/>
    <d v="2025-04-25T00:00:00"/>
    <s v="Ian Trottier"/>
    <x v="0"/>
    <n v="1"/>
    <n v="157.16"/>
    <n v="0"/>
    <n v="110.71929211220299"/>
    <n v="149.68"/>
    <n v="7.48"/>
    <n v="157.16"/>
    <s v="Delivered"/>
    <m/>
    <s v="SO16860"/>
    <x v="2"/>
  </r>
  <r>
    <n v="1"/>
    <s v="SO16865"/>
    <s v="PONV-25-0705"/>
    <s v="Tech-Flow"/>
    <d v="2025-03-31T11:49:46"/>
    <d v="2025-03-31T13:47:23"/>
    <d v="2025-05-05T00:00:00"/>
    <s v="Ian Trottier"/>
    <x v="1"/>
    <n v="0.69828295020834585"/>
    <n v="3654.650309360366"/>
    <n v="0"/>
    <n v="2551.98"/>
    <n v="2551.98"/>
    <m/>
    <n v="2551.98"/>
    <s v="Delivered"/>
    <m/>
    <s v="SO16865"/>
    <x v="2"/>
  </r>
  <r>
    <n v="1"/>
    <s v="SO16866"/>
    <s v="4500588862"/>
    <s v="Resolute Forest Products - Saint-Felicien"/>
    <d v="2025-03-31T12:04:36"/>
    <d v="2025-04-08T16:15:18"/>
    <d v="2025-04-09T00:00:00"/>
    <s v="Ian Trottier"/>
    <x v="0"/>
    <n v="1"/>
    <n v="656.71"/>
    <n v="0"/>
    <n v="462.40395979196501"/>
    <n v="625.44000000000005"/>
    <n v="31.27"/>
    <n v="656.71"/>
    <s v="Delivered"/>
    <m/>
    <s v="SO16866"/>
    <x v="2"/>
  </r>
  <r>
    <n v="1"/>
    <s v="SO16867"/>
    <s v="4500588906"/>
    <s v="Resolute Forest Products - Saint-Felicien"/>
    <d v="2025-03-31T12:15:30"/>
    <d v="2025-03-31T12:24:06"/>
    <d v="2025-04-02T00:00:00"/>
    <s v="Ian Trottier"/>
    <x v="0"/>
    <n v="1"/>
    <n v="316.85000000000002"/>
    <n v="0"/>
    <n v="220.7670064576337"/>
    <n v="301.76"/>
    <n v="15.09"/>
    <n v="316.85000000000002"/>
    <s v="Delivered"/>
    <m/>
    <s v="SO16867"/>
    <x v="2"/>
  </r>
  <r>
    <n v="1"/>
    <s v="SO16868"/>
    <s v="4511745974"/>
    <s v="PT Vale Indonesia Tbk."/>
    <d v="2025-03-31T13:07:54"/>
    <d v="2025-03-31T13:09:22"/>
    <d v="2025-04-01T00:00:00"/>
    <s v="Ian Trottier"/>
    <x v="1"/>
    <n v="0.69828295020834585"/>
    <n v="416.39281026874028"/>
    <n v="0"/>
    <n v="290.76"/>
    <n v="290.76"/>
    <m/>
    <n v="290.76"/>
    <s v="Delivered"/>
    <m/>
    <s v="SO16868"/>
    <x v="2"/>
  </r>
  <r>
    <n v="1"/>
    <s v="SO16870"/>
    <s v="1045"/>
    <s v="Mill-Right Mine Services Inc."/>
    <d v="2025-04-01T07:57:17"/>
    <d v="2025-04-01T07:57:11"/>
    <d v="2025-04-11T00:00:00"/>
    <s v="Amanda Qiao"/>
    <x v="1"/>
    <n v="0.69675558294976692"/>
    <n v="20860.686811386331"/>
    <n v="0"/>
    <n v="14534.8"/>
    <n v="14534.8"/>
    <m/>
    <n v="14534.8"/>
    <s v="Delivered"/>
    <m/>
    <s v="SO16870"/>
    <x v="3"/>
  </r>
  <r>
    <n v="2"/>
    <s v="SO16874"/>
    <s v="PO-0020176"/>
    <s v="MAB Equipment Company Inc."/>
    <d v="2025-04-01T09:10:05"/>
    <d v="2025-05-06T08:57:33"/>
    <d v="2025-09-02T00:00:00"/>
    <s v="Ian Trottier"/>
    <x v="1"/>
    <n v="0.72216450455647252"/>
    <n v="8484.1057146154453"/>
    <n v="0"/>
    <n v="6126.92"/>
    <n v="6126.92"/>
    <m/>
    <n v="6126.92"/>
    <s v="Delivered"/>
    <m/>
    <s v="SO16874"/>
    <x v="3"/>
  </r>
  <r>
    <n v="1"/>
    <s v="SO16875"/>
    <s v="POMPA-CA112182 - Paid in full"/>
    <s v="Pompaction Inc."/>
    <d v="2025-04-01T10:04:08"/>
    <d v="2025-04-02T08:05:37"/>
    <d v="2025-04-25T00:00:00"/>
    <s v="Ian Trottier"/>
    <x v="0"/>
    <n v="1"/>
    <n v="1722.58"/>
    <n v="0"/>
    <n v="1203.736286129619"/>
    <n v="1640.55"/>
    <n v="82.03"/>
    <n v="1722.58"/>
    <s v="Delivered"/>
    <m/>
    <s v="SO16875"/>
    <x v="3"/>
  </r>
  <r>
    <n v="1"/>
    <s v="SO16876"/>
    <s v="03R19644"/>
    <s v="Moffatt Supply &amp; Specialties - Red Lake"/>
    <d v="2025-04-01T10:57:46"/>
    <d v="2025-04-01T12:18:17"/>
    <d v="2025-04-02T00:00:00"/>
    <s v="Ian Trottier"/>
    <x v="0"/>
    <n v="1"/>
    <n v="2152.54"/>
    <n v="0"/>
    <n v="1495.3408311028741"/>
    <n v="1904.9"/>
    <n v="247.64"/>
    <n v="2152.54"/>
    <s v="Delivered"/>
    <m/>
    <s v="SO16876"/>
    <x v="3"/>
  </r>
  <r>
    <n v="1"/>
    <s v="SO16879"/>
    <s v="ON19-00093241"/>
    <s v="Motion Industries Inc. (Canada) - Ottawa"/>
    <d v="2025-04-02T08:54:39"/>
    <d v="2025-04-03T14:17:34"/>
    <d v="2025-05-01T00:00:00"/>
    <s v="Ian Trottier"/>
    <x v="0"/>
    <n v="1"/>
    <n v="228.11"/>
    <n v="228.11"/>
    <n v="228.11"/>
    <n v="201.87"/>
    <n v="26.24"/>
    <n v="228.11"/>
    <s v="Delivered"/>
    <m/>
    <s v="SO16879"/>
    <x v="3"/>
  </r>
  <r>
    <n v="2"/>
    <s v="SO16881"/>
    <s v="PO-007886"/>
    <s v="Sling-Choker Manufacturing - Timmins"/>
    <d v="2025-04-02T12:04:03"/>
    <d v="2025-04-07T13:40:48"/>
    <d v="2025-05-05T00:00:00"/>
    <s v="Ian Trottier"/>
    <x v="0"/>
    <n v="1"/>
    <n v="5485.93"/>
    <n v="0"/>
    <n v="3856.4655425530709"/>
    <n v="4854.8"/>
    <n v="631.13"/>
    <n v="5485.93"/>
    <s v="Delivered"/>
    <m/>
    <s v="SO16881"/>
    <x v="3"/>
  </r>
  <r>
    <n v="1"/>
    <s v="SO16882"/>
    <s v="4500884428"/>
    <s v="Cameco Corporation - Blind River Refinery"/>
    <d v="2025-04-02T13:39:02"/>
    <d v="2025-04-03T14:39:39"/>
    <d v="2025-04-04T00:00:00"/>
    <s v="Ian Trottier"/>
    <x v="0"/>
    <n v="1"/>
    <n v="767.09"/>
    <n v="767.09"/>
    <n v="767.09"/>
    <n v="678.84"/>
    <n v="88.25"/>
    <n v="767.09"/>
    <s v="Delivered"/>
    <m/>
    <s v="SO16882"/>
    <x v="3"/>
  </r>
  <r>
    <n v="1"/>
    <s v="SO16884"/>
    <s v="4501168541"/>
    <s v="Barrick Gold - Pueblo Viejo Dominicana Corporation"/>
    <d v="2025-04-02T15:21:22"/>
    <d v="2025-04-25T10:27:51"/>
    <d v="2025-08-18T00:00:00"/>
    <s v="Wilka Nuñez"/>
    <x v="1"/>
    <n v="0.71989223732843666"/>
    <n v="53490.450380327929"/>
    <n v="0"/>
    <n v="38507.360000000001"/>
    <n v="38507.360000000001"/>
    <m/>
    <n v="38507.360000000001"/>
    <s v="Delivered"/>
    <m/>
    <s v="SO16884"/>
    <x v="3"/>
  </r>
  <r>
    <n v="1"/>
    <s v="SO16885"/>
    <s v="1019583  - REV3"/>
    <s v="Thunder Bay Pulp and Paper Inc"/>
    <d v="2025-04-02T15:36:28"/>
    <d v="2025-04-08T08:47:39"/>
    <d v="2025-06-24T00:00:00"/>
    <s v="Ian Trottier"/>
    <x v="0"/>
    <n v="1"/>
    <n v="37243.99"/>
    <n v="0"/>
    <n v="26224.312793245641"/>
    <n v="32959.279999999999"/>
    <n v="4284.71"/>
    <n v="37243.99"/>
    <s v="Delivered"/>
    <m/>
    <s v="SO16885"/>
    <x v="3"/>
  </r>
  <r>
    <n v="2"/>
    <s v="SO16888"/>
    <s v="25326-5789"/>
    <s v="Mertec Engineering"/>
    <d v="2025-04-03T10:22:18"/>
    <d v="2025-04-04T14:08:07"/>
    <d v="2025-07-04T00:00:00"/>
    <s v="Ian Trottier"/>
    <x v="1"/>
    <n v="0.69879848026194369"/>
    <n v="27268.948828934299"/>
    <n v="0"/>
    <n v="19055.5"/>
    <n v="19055.5"/>
    <m/>
    <n v="19055.5"/>
    <s v="Delivered"/>
    <m/>
    <s v="SO16888"/>
    <x v="3"/>
  </r>
  <r>
    <n v="1"/>
    <s v="SO16903"/>
    <s v="ON33-00092152"/>
    <s v="Motion Industries Inc. (Canada) - Scarborough"/>
    <d v="2025-04-04T13:30:52"/>
    <d v="2025-04-08T13:53:29"/>
    <d v="2025-04-09T00:00:00"/>
    <s v="Ian Trottier"/>
    <x v="0"/>
    <n v="1"/>
    <n v="190.44"/>
    <n v="0"/>
    <n v="134.0929940198593"/>
    <n v="168.53"/>
    <n v="21.91"/>
    <n v="190.44"/>
    <s v="Delivered"/>
    <m/>
    <s v="SO16903"/>
    <x v="3"/>
  </r>
  <r>
    <n v="3"/>
    <s v="SO16918"/>
    <s v="4501209613"/>
    <s v="Barrick Gold - Pueblo Viejo Dominicana Corporation"/>
    <d v="2025-04-07T13:12:45"/>
    <d v="2025-06-12T11:29:34"/>
    <d v="2025-09-17T00:00:00"/>
    <s v="Wilka Nuñez"/>
    <x v="1"/>
    <n v="0.73186663114413975"/>
    <n v="52513.420293417817"/>
    <n v="0"/>
    <n v="38432.82"/>
    <n v="38432.82"/>
    <m/>
    <n v="38432.82"/>
    <s v="Delivered"/>
    <m/>
    <s v="SO16918"/>
    <x v="3"/>
  </r>
  <r>
    <n v="1"/>
    <s v="SO16923"/>
    <s v="2249920"/>
    <s v="Zijin Mining - Rosebel Goldmines N.V."/>
    <d v="2025-04-07T14:27:00"/>
    <d v="2025-05-21T12:30:07"/>
    <d v="2025-06-28T00:00:00"/>
    <s v="Amanda Qiao"/>
    <x v="1"/>
    <n v="0.7168814564314101"/>
    <n v="4250.395895533301"/>
    <n v="0"/>
    <n v="3047.03"/>
    <n v="3047.03"/>
    <m/>
    <n v="3047.03"/>
    <s v="Delivered"/>
    <m/>
    <s v="SO16923"/>
    <x v="3"/>
  </r>
  <r>
    <n v="1"/>
    <s v="SO16931"/>
    <s v="1046"/>
    <s v="Mill-Right Mine Services Inc."/>
    <d v="2025-04-08T07:58:53"/>
    <d v="2025-04-11T10:55:04"/>
    <d v="2025-07-17T00:00:00"/>
    <s v="Amanda Qiao"/>
    <x v="1"/>
    <n v="0.70470066534440534"/>
    <n v="3213.1940714052812"/>
    <n v="0"/>
    <n v="2264.34"/>
    <n v="2264.34"/>
    <m/>
    <n v="2264.34"/>
    <s v="Delivered"/>
    <m/>
    <s v="SO16931"/>
    <x v="3"/>
  </r>
  <r>
    <n v="1"/>
    <s v="SO16932"/>
    <s v="SUD1006029"/>
    <s v="Process and Steam Specialties, Process and Steam Specialties"/>
    <d v="2025-04-08T09:54:41"/>
    <d v="2025-07-14T09:33:55"/>
    <d v="2025-10-03T00:00:00"/>
    <s v="Ian Trottier"/>
    <x v="0"/>
    <n v="1"/>
    <n v="7833.15"/>
    <n v="0"/>
    <n v="5719.7757475539529"/>
    <n v="6931.99"/>
    <n v="901.16"/>
    <n v="7833.15"/>
    <s v="Delivered"/>
    <m/>
    <s v="SO16932"/>
    <x v="3"/>
  </r>
  <r>
    <n v="1"/>
    <s v="SO16934"/>
    <s v="4500590642"/>
    <s v="Resolute Forest Products - Saint-Felicien"/>
    <d v="2025-04-08T15:21:42"/>
    <d v="2025-04-08T15:33:04"/>
    <d v="2025-04-09T00:00:00"/>
    <s v="Ian Trottier"/>
    <x v="0"/>
    <n v="1"/>
    <n v="2209.0500000000002"/>
    <n v="0"/>
    <n v="1555.440708042272"/>
    <n v="2103.86"/>
    <n v="105.19"/>
    <n v="2209.0500000000002"/>
    <s v="Delivered"/>
    <m/>
    <s v="SO16934"/>
    <x v="3"/>
  </r>
  <r>
    <n v="4"/>
    <s v="SO16939"/>
    <s v="P-40925"/>
    <s v="Cartledge &amp; Associates Inc."/>
    <d v="2025-04-08T17:03:26"/>
    <d v="2025-04-09T10:33:18"/>
    <d v="2025-04-10T00:00:00"/>
    <s v="Ian Trottier"/>
    <x v="1"/>
    <n v="0.70297388821094531"/>
    <n v="13846.24687094949"/>
    <n v="0"/>
    <n v="9733.5499999999993"/>
    <n v="9733.5499999999993"/>
    <m/>
    <n v="9733.5499999999993"/>
    <s v="Delivered"/>
    <m/>
    <s v="SO16939"/>
    <x v="3"/>
  </r>
  <r>
    <n v="1"/>
    <s v="SO16941"/>
    <s v="606890"/>
    <s v="Sealtrac Inc."/>
    <d v="2025-04-09T09:08:18"/>
    <d v="2025-04-09T13:38:34"/>
    <d v="2025-07-09T00:00:00"/>
    <s v="Ian Trottier"/>
    <x v="0"/>
    <n v="1"/>
    <n v="4949.3999999999996"/>
    <n v="0"/>
    <n v="3487.8454730556"/>
    <n v="4380"/>
    <n v="569.4"/>
    <n v="4949.3999999999996"/>
    <s v="Delivered"/>
    <m/>
    <s v="SO16941"/>
    <x v="3"/>
  </r>
  <r>
    <n v="1"/>
    <s v="SO16942"/>
    <s v="4511783974"/>
    <s v="PT Vale Indonesia Tbk."/>
    <d v="2025-04-09T09:15:34"/>
    <d v="2025-04-09T09:18:21"/>
    <d v="2025-04-10T00:00:00"/>
    <s v="Ian Trottier"/>
    <x v="1"/>
    <n v="0.70297388821094531"/>
    <n v="45.478218375028149"/>
    <n v="0"/>
    <n v="31.97"/>
    <n v="31.97"/>
    <m/>
    <n v="31.97"/>
    <s v="Delivered"/>
    <m/>
    <s v="SO16942"/>
    <x v="3"/>
  </r>
  <r>
    <n v="1"/>
    <s v="SO16947"/>
    <s v="PO-041091"/>
    <s v="Southeast Pump Specialist, Inc."/>
    <d v="2025-04-09T12:51:03"/>
    <d v="2025-06-20T15:53:37"/>
    <d v="2025-06-23T00:00:00"/>
    <s v="Ian Trottier"/>
    <x v="1"/>
    <n v="0.73067487305017076"/>
    <n v="2860.0682424951929"/>
    <n v="0"/>
    <n v="2089.7800000000002"/>
    <n v="2089.7800000000002"/>
    <m/>
    <n v="2089.7800000000002"/>
    <s v="Delivered"/>
    <m/>
    <s v="SO16947"/>
    <x v="3"/>
  </r>
  <r>
    <n v="2"/>
    <s v="SO16948"/>
    <s v="2100550517"/>
    <s v="Wajax Limited - Lachine"/>
    <d v="2025-04-09T13:29:16"/>
    <d v="2025-04-09T15:58:08"/>
    <d v="2025-04-10T00:00:00"/>
    <s v="Ian Trottier"/>
    <x v="0"/>
    <n v="1"/>
    <n v="1256.1400000000001"/>
    <n v="0"/>
    <n v="885.20269376572139"/>
    <n v="1196.32"/>
    <n v="59.82"/>
    <n v="1256.1400000000001"/>
    <s v="Delivered"/>
    <m/>
    <s v="SO16948"/>
    <x v="3"/>
  </r>
  <r>
    <n v="1"/>
    <s v="SO16949"/>
    <s v="4500564942"/>
    <s v="Glencore Canada Corporation - Rouyn-Noranda"/>
    <d v="2025-04-09T15:33:52"/>
    <d v="2025-04-09T15:36:32"/>
    <d v="2025-04-10T00:00:00"/>
    <s v="Ian Trottier"/>
    <x v="0"/>
    <n v="1"/>
    <n v="1474.74"/>
    <n v="0"/>
    <n v="1039.2502592100079"/>
    <n v="1404.51"/>
    <n v="70.23"/>
    <n v="1474.74"/>
    <s v="Delivered"/>
    <m/>
    <s v="SO16949"/>
    <x v="3"/>
  </r>
  <r>
    <n v="1"/>
    <s v="SO16951"/>
    <s v="4500590836"/>
    <s v="Resolute Forest Products - Clermont"/>
    <d v="2025-04-09T16:30:07"/>
    <d v="2025-04-09T16:31:40"/>
    <d v="2025-04-10T00:00:00"/>
    <s v="Ian Trottier"/>
    <x v="0"/>
    <n v="1"/>
    <n v="28.07"/>
    <n v="0"/>
    <n v="19.780947676217458"/>
    <n v="26.73"/>
    <n v="1.34"/>
    <n v="28.07"/>
    <s v="Delivered"/>
    <m/>
    <s v="SO16951"/>
    <x v="3"/>
  </r>
  <r>
    <n v="1"/>
    <s v="SO16952"/>
    <s v="2100552642"/>
    <s v="Wajax Limited - Noranda"/>
    <d v="2025-04-09T16:48:29"/>
    <d v="2025-04-14T12:58:02"/>
    <d v="2025-05-08T00:00:00"/>
    <s v="Ian Trottier"/>
    <x v="0"/>
    <n v="1"/>
    <n v="3445.52"/>
    <n v="0"/>
    <n v="2479.8801617075378"/>
    <n v="3281.44"/>
    <n v="164.08"/>
    <n v="3445.52"/>
    <s v="Delivered"/>
    <m/>
    <s v="SO16952"/>
    <x v="3"/>
  </r>
  <r>
    <n v="1"/>
    <s v="SO16953"/>
    <s v="OC00161"/>
    <s v="Dynapro Pumps México S de RL de CV"/>
    <d v="2025-04-09T18:22:52"/>
    <d v="2025-04-09T18:22:54"/>
    <d v="2025-05-16T00:00:00"/>
    <s v="Yannett Yeomans"/>
    <x v="1"/>
    <n v="0.70297388821094531"/>
    <n v="7382.9200302282179"/>
    <n v="0"/>
    <n v="5190"/>
    <n v="5190"/>
    <m/>
    <n v="5190"/>
    <s v="Delivered"/>
    <m/>
    <s v="SO16953"/>
    <x v="3"/>
  </r>
  <r>
    <n v="3"/>
    <s v="SO16957"/>
    <s v="PO-007902"/>
    <s v="Sling-Choker Manufacturing - Timmins"/>
    <d v="2025-04-10T08:58:57"/>
    <d v="2025-04-14T16:58:58"/>
    <d v="2025-05-08T00:00:00"/>
    <s v="Ian Trottier"/>
    <x v="0"/>
    <n v="1"/>
    <n v="5871.64"/>
    <n v="0"/>
    <n v="4226.0568949500948"/>
    <n v="5196.1499999999996"/>
    <n v="675.49"/>
    <n v="5871.64"/>
    <s v="Delivered"/>
    <m/>
    <s v="SO16957"/>
    <x v="3"/>
  </r>
  <r>
    <n v="1"/>
    <s v="SO16958"/>
    <s v="PONV-25-0782"/>
    <s v="Tech-Flow"/>
    <d v="2025-04-10T10:30:06"/>
    <d v="2025-04-14T11:41:05"/>
    <d v="2025-06-09T00:00:00"/>
    <s v="Ian Trottier"/>
    <x v="1"/>
    <n v="0.72095821438553542"/>
    <n v="319.35276609093222"/>
    <n v="0"/>
    <n v="230.24"/>
    <n v="230.24"/>
    <m/>
    <n v="230.24"/>
    <s v="Delivered"/>
    <m/>
    <s v="SO16958"/>
    <x v="3"/>
  </r>
  <r>
    <n v="1"/>
    <s v="SO16962"/>
    <s v="AB09-000290234"/>
    <s v="Motion Industries Inc. (Canada) - Calgary"/>
    <d v="2025-04-10T15:27:53"/>
    <d v="2025-04-10T15:59:33"/>
    <d v="2025-04-11T00:00:00"/>
    <s v="Ian Trottier"/>
    <x v="0"/>
    <n v="1"/>
    <n v="153.53"/>
    <n v="0"/>
    <n v="109.582148607286"/>
    <n v="146.22"/>
    <n v="7.31"/>
    <n v="153.53"/>
    <s v="Delivered"/>
    <m/>
    <s v="SO16962"/>
    <x v="3"/>
  </r>
  <r>
    <n v="1"/>
    <s v="SO16963"/>
    <s v="2100551604"/>
    <s v="Wajax Limited - Lachine"/>
    <d v="2025-04-10T15:35:10"/>
    <d v="2025-04-10T15:36:23"/>
    <d v="2025-04-11T00:00:00"/>
    <s v="Ian Trottier"/>
    <x v="0"/>
    <n v="1"/>
    <n v="838.92"/>
    <n v="0"/>
    <n v="598.77975711342629"/>
    <n v="798.97"/>
    <n v="39.950000000000003"/>
    <n v="838.92"/>
    <s v="Delivered"/>
    <m/>
    <s v="SO16963"/>
    <x v="3"/>
  </r>
  <r>
    <n v="1"/>
    <s v="SO16964"/>
    <s v="PONV-25-0777"/>
    <s v="Tech-Flow"/>
    <d v="2025-04-10T16:11:17"/>
    <d v="2025-04-10T16:11:43"/>
    <d v="2025-07-03T00:00:00"/>
    <s v="Ian Trottier"/>
    <x v="1"/>
    <n v="0.70412200178460038"/>
    <n v="7867.7558519108898"/>
    <n v="0"/>
    <n v="5539.86"/>
    <n v="5539.86"/>
    <m/>
    <n v="5539.86"/>
    <s v="Delivered"/>
    <m/>
    <s v="SO16964"/>
    <x v="3"/>
  </r>
  <r>
    <n v="1"/>
    <s v="SO16965"/>
    <s v="7017"/>
    <s v="Hyperflo"/>
    <d v="2025-04-10T16:52:33"/>
    <d v="2025-04-14T08:30:39"/>
    <d v="2025-04-15T00:00:00"/>
    <s v="Ian Trottier"/>
    <x v="0"/>
    <n v="1"/>
    <n v="208.63"/>
    <n v="0"/>
    <n v="150.15945289449601"/>
    <n v="198.69"/>
    <n v="9.94"/>
    <n v="208.63"/>
    <s v="Delivered"/>
    <m/>
    <s v="SO16965"/>
    <x v="3"/>
  </r>
  <r>
    <n v="1"/>
    <s v="SO16967"/>
    <s v="4500593166"/>
    <s v="Resolute Forest Products - Saint-Felicien"/>
    <d v="2025-04-11T08:56:54"/>
    <d v="2025-05-05T13:30:12"/>
    <d v="2025-07-21T00:00:00"/>
    <s v="Ian Trottier"/>
    <x v="0"/>
    <n v="1"/>
    <n v="10372.02"/>
    <n v="10372.02"/>
    <n v="10372.02"/>
    <n v="9878.11"/>
    <n v="493.91"/>
    <n v="10372.02"/>
    <s v="Delivered"/>
    <m/>
    <s v="SO16967"/>
    <x v="3"/>
  </r>
  <r>
    <n v="1"/>
    <s v="SO16968"/>
    <s v="5362319"/>
    <s v="Pierce Pump Company, Pierce Pump Company"/>
    <d v="2025-04-11T12:11:04"/>
    <d v="2025-04-11T15:48:34"/>
    <d v="2025-04-14T00:00:00"/>
    <s v="Taylor Cook"/>
    <x v="1"/>
    <n v="0.70470066534440534"/>
    <n v="4700.4922272652111"/>
    <n v="0"/>
    <n v="3312.44"/>
    <n v="3312.44"/>
    <m/>
    <n v="3312.44"/>
    <s v="Delivered"/>
    <m/>
    <s v="SO16968"/>
    <x v="3"/>
  </r>
  <r>
    <n v="1"/>
    <s v="SO16970"/>
    <s v="4500591345"/>
    <s v="Resolute Forest Products - Kenogami"/>
    <d v="2025-04-11T14:47:33"/>
    <d v="2025-04-11T14:56:02"/>
    <d v="2025-04-14T00:00:00"/>
    <s v="Ian Trottier"/>
    <x v="0"/>
    <n v="1"/>
    <n v="986.77"/>
    <n v="0"/>
    <n v="709.97649734587617"/>
    <n v="939.78"/>
    <n v="46.99"/>
    <n v="986.77"/>
    <s v="Delivered"/>
    <m/>
    <s v="SO16970"/>
    <x v="3"/>
  </r>
  <r>
    <n v="1"/>
    <s v="SO16976"/>
    <s v="4500804288"/>
    <s v="AGM Inc."/>
    <d v="2025-04-14T09:34:43"/>
    <d v="2025-05-08T07:59:54"/>
    <d v="2025-05-09T00:00:00"/>
    <s v="Amanda Qiao"/>
    <x v="1"/>
    <n v="0.72599223409301405"/>
    <n v="6239.7361669568727"/>
    <n v="0"/>
    <n v="4530"/>
    <n v="4530"/>
    <m/>
    <n v="4530"/>
    <s v="Delivered"/>
    <m/>
    <s v="SO16976"/>
    <x v="3"/>
  </r>
  <r>
    <n v="1"/>
    <s v="SO16983"/>
    <s v="MB21-00188690"/>
    <s v="Motion Industries Inc. (Canada) - Winnipeg"/>
    <d v="2025-04-14T13:47:12"/>
    <d v="2025-04-17T11:49:16"/>
    <d v="2025-04-21T00:00:00"/>
    <s v="Ian Trottier"/>
    <x v="0"/>
    <n v="1"/>
    <n v="204.72"/>
    <n v="0"/>
    <n v="147.73001141053911"/>
    <n v="194.97"/>
    <n v="9.75"/>
    <n v="204.72"/>
    <s v="Delivered"/>
    <m/>
    <s v="SO16983"/>
    <x v="3"/>
  </r>
  <r>
    <n v="1"/>
    <s v="SO16985"/>
    <s v="P357437"/>
    <s v="Covia Corp - Junction City"/>
    <d v="2025-04-14T14:13:53"/>
    <d v="2025-04-14T14:12:37"/>
    <d v="2025-04-24T00:00:00"/>
    <s v="Marlen Martinez"/>
    <x v="1"/>
    <n v="0.72095821438553542"/>
    <n v="1482.776641793469"/>
    <n v="0"/>
    <n v="1069.02"/>
    <n v="1069.02"/>
    <m/>
    <n v="1069.02"/>
    <s v="Delivered"/>
    <m/>
    <s v="SO16985"/>
    <x v="3"/>
  </r>
  <r>
    <n v="2"/>
    <s v="SO16989"/>
    <s v="BC65-00080260"/>
    <s v="Motion Industries Inc. (Canada) - Prince George"/>
    <d v="2025-04-14T16:37:53"/>
    <d v="2025-04-14T16:37:53"/>
    <d v="2025-07-31T00:00:00"/>
    <s v="Ian Trottier"/>
    <x v="0"/>
    <n v="1"/>
    <n v="1784.76"/>
    <n v="0"/>
    <n v="1284.563989589132"/>
    <n v="1699.77"/>
    <n v="84.99"/>
    <n v="1784.76"/>
    <s v="Delivered"/>
    <m/>
    <s v="SO16989"/>
    <x v="3"/>
  </r>
  <r>
    <n v="1"/>
    <s v="SO16990"/>
    <s v="7025"/>
    <s v="Hyperflo, Hyperflo"/>
    <d v="2025-04-15T08:10:46"/>
    <d v="2025-04-15T10:46:20"/>
    <d v="2025-04-15T00:00:00"/>
    <s v="Ian Trottier"/>
    <x v="0"/>
    <n v="1"/>
    <n v="96.72"/>
    <n v="0"/>
    <n v="69.349600472038262"/>
    <n v="92.11"/>
    <n v="4.6100000000000003"/>
    <n v="96.72"/>
    <s v="Delivered"/>
    <m/>
    <s v="SO16990"/>
    <x v="3"/>
  </r>
  <r>
    <n v="1"/>
    <s v="SO16991"/>
    <s v="4500591694"/>
    <s v="Resolute Forest Products - Saint-Felicien"/>
    <d v="2025-04-15T09:33:43"/>
    <d v="2025-04-15T09:39:29"/>
    <d v="2025-04-16T00:00:00"/>
    <s v="Ian Trottier"/>
    <x v="0"/>
    <n v="1"/>
    <n v="311.39"/>
    <n v="0"/>
    <n v="223.27101003916451"/>
    <n v="296.56"/>
    <n v="14.83"/>
    <n v="311.39"/>
    <s v="Delivered"/>
    <m/>
    <s v="SO16991"/>
    <x v="3"/>
  </r>
  <r>
    <n v="1"/>
    <s v="SO16992"/>
    <s v="KS10-01410312"/>
    <s v="Motion Industries Inc. (U.S.) - Wichita, Motion Industries Inc. (U.S.) - Wichita"/>
    <d v="2025-04-15T11:10:21"/>
    <d v="2025-04-15T11:04:05"/>
    <d v="2025-04-16T00:00:00"/>
    <s v="Ian Trottier"/>
    <x v="1"/>
    <n v="0.71701406608807139"/>
    <n v="145.1017559078411"/>
    <n v="0"/>
    <n v="104.04"/>
    <n v="104.04"/>
    <m/>
    <n v="104.04"/>
    <s v="Delivered"/>
    <m/>
    <s v="SO16992"/>
    <x v="3"/>
  </r>
  <r>
    <n v="1"/>
    <s v="SO16994"/>
    <s v="2100554981"/>
    <s v="Wajax Limited - Noranda"/>
    <d v="2025-04-15T12:49:57"/>
    <d v="2025-04-16T08:44:09"/>
    <d v="2025-04-23T00:00:00"/>
    <s v="Ian Trottier"/>
    <x v="0"/>
    <n v="1"/>
    <n v="310.23"/>
    <n v="0"/>
    <n v="223.4274177859771"/>
    <n v="295.45999999999998"/>
    <n v="14.77"/>
    <n v="310.23"/>
    <s v="Delivered"/>
    <m/>
    <s v="SO16994"/>
    <x v="3"/>
  </r>
  <r>
    <n v="1"/>
    <s v="SO16995"/>
    <s v="PO13501"/>
    <s v="Manufacture Sling-Choker (Val-d’Or) Ltée, Manufacture Sling-Choker (Val-d’Or) Ltée"/>
    <d v="2025-04-15T13:12:57"/>
    <d v="2025-04-15T16:41:56"/>
    <d v="2025-04-16T00:00:00"/>
    <s v="Ian Trottier"/>
    <x v="0"/>
    <n v="1"/>
    <n v="107.31"/>
    <n v="0"/>
    <n v="76.942779431910949"/>
    <n v="102.2"/>
    <n v="5.1100000000000003"/>
    <n v="107.31"/>
    <s v="Delivered"/>
    <m/>
    <s v="SO16995"/>
    <x v="3"/>
  </r>
  <r>
    <n v="1"/>
    <s v="SO16996"/>
    <s v="L64691-DS"/>
    <s v="Wild Rows Pump &amp; Compression LTD., Wild Rows Pump &amp; Compression LTD."/>
    <d v="2025-04-15T13:23:02"/>
    <d v="2025-04-15T13:15:01"/>
    <d v="2025-05-08T00:00:00"/>
    <s v="Taylor Cook"/>
    <x v="0"/>
    <n v="1"/>
    <n v="456.4"/>
    <n v="0"/>
    <n v="327.24521976259581"/>
    <n v="456.4"/>
    <m/>
    <n v="456.4"/>
    <s v="Delivered"/>
    <m/>
    <s v="SO16996"/>
    <x v="3"/>
  </r>
  <r>
    <n v="1"/>
    <s v="SO17000"/>
    <s v="4500571170"/>
    <s v="Glencore Canada Corporation - Rouyn-Noranda, Glencore Canada Corp."/>
    <d v="2025-04-15T15:08:16"/>
    <d v="2025-04-15T15:10:52"/>
    <d v="2025-04-16T00:00:00"/>
    <s v="Ian Trottier"/>
    <x v="0"/>
    <n v="1"/>
    <n v="44.65"/>
    <n v="0"/>
    <n v="32.014678050832387"/>
    <n v="42.52"/>
    <n v="2.13"/>
    <n v="44.65"/>
    <s v="Delivered"/>
    <m/>
    <s v="SO17000"/>
    <x v="3"/>
  </r>
  <r>
    <n v="1"/>
    <s v="SO17001"/>
    <s v="4500571675"/>
    <s v="Glencore Canada Corporation - Rouyn-Noranda, Glencore Canada Corp."/>
    <d v="2025-04-16T09:11:43"/>
    <d v="2025-04-16T09:17:09"/>
    <d v="2025-05-08T00:00:00"/>
    <s v="Ian Trottier"/>
    <x v="0"/>
    <n v="1"/>
    <n v="1567.15"/>
    <n v="0"/>
    <n v="1128.66027715983"/>
    <n v="1492.52"/>
    <n v="74.63"/>
    <n v="1567.15"/>
    <s v="Delivered"/>
    <m/>
    <s v="SO17001"/>
    <x v="3"/>
  </r>
  <r>
    <n v="1"/>
    <s v="SO17003"/>
    <s v="4511811410"/>
    <s v="PT Vale Indonesia Tbk."/>
    <d v="2025-04-17T08:12:07"/>
    <d v="2025-04-17T08:18:49"/>
    <d v="2025-04-21T00:00:00"/>
    <s v="Ian Trottier"/>
    <x v="1"/>
    <n v="0.72019926437152137"/>
    <n v="471.88329232267211"/>
    <n v="0"/>
    <n v="339.85"/>
    <n v="339.85"/>
    <m/>
    <n v="339.85"/>
    <s v="Delivered"/>
    <m/>
    <s v="SO17003"/>
    <x v="3"/>
  </r>
  <r>
    <n v="1"/>
    <s v="SO17004"/>
    <s v="Darren Approved PO"/>
    <s v="Quality Concrete Inc."/>
    <d v="2025-04-17T09:16:27"/>
    <d v="2025-04-17T09:18:04"/>
    <d v="2025-05-12T00:00:00"/>
    <s v="Ian Trottier"/>
    <x v="0"/>
    <n v="1"/>
    <n v="6675"/>
    <n v="0"/>
    <n v="4816.8123591507838"/>
    <n v="6357.14"/>
    <n v="317.86"/>
    <n v="6675"/>
    <s v="Delivered"/>
    <m/>
    <s v="SO17004"/>
    <x v="3"/>
  </r>
  <r>
    <n v="1"/>
    <s v="SO17005"/>
    <s v="2100560502"/>
    <s v="Wajax Limited - Lachine"/>
    <d v="2025-04-17T09:51:51"/>
    <d v="2025-04-24T15:34:06"/>
    <d v="2025-04-25T00:00:00"/>
    <s v="Ian Trottier"/>
    <x v="0"/>
    <n v="1"/>
    <n v="472.15"/>
    <n v="0"/>
    <n v="339.89711985462128"/>
    <n v="449.67"/>
    <n v="22.48"/>
    <n v="472.15"/>
    <s v="Delivered"/>
    <m/>
    <s v="SO17005"/>
    <x v="3"/>
  </r>
  <r>
    <n v="1"/>
    <s v="SO17006"/>
    <s v="PO13510"/>
    <s v="Manufacture Sling-Choker (Val-d’Or) Ltée"/>
    <d v="2025-04-17T13:21:19"/>
    <d v="2025-04-17T16:35:35"/>
    <d v="2025-04-21T00:00:00"/>
    <s v="Ian Trottier"/>
    <x v="0"/>
    <n v="1"/>
    <n v="131.22999999999999"/>
    <n v="0"/>
    <n v="94.698170170989869"/>
    <n v="124.98"/>
    <n v="6.25"/>
    <n v="131.22999999999999"/>
    <s v="Delivered"/>
    <m/>
    <s v="SO17006"/>
    <x v="3"/>
  </r>
  <r>
    <n v="1"/>
    <s v="SO17008"/>
    <s v="5518 - Paid in full on August 6th 2025"/>
    <s v="MJR Admin"/>
    <d v="2025-04-17T16:06:44"/>
    <d v="2025-08-05T16:55:50"/>
    <d v="2025-09-09T00:00:00"/>
    <s v="Ian Trottier"/>
    <x v="0"/>
    <n v="1"/>
    <n v="7542.77"/>
    <n v="0"/>
    <n v="5473.0502303356379"/>
    <n v="7183.59"/>
    <n v="359.18"/>
    <n v="7542.77"/>
    <s v="Delivered"/>
    <m/>
    <s v="SO17008"/>
    <x v="3"/>
  </r>
  <r>
    <n v="1"/>
    <s v="SO17009"/>
    <s v="PO-007930"/>
    <s v="Sling-Choker Manufacturing - Timmins"/>
    <d v="2025-04-21T11:45:33"/>
    <d v="2025-07-14T10:53:00"/>
    <d v="2025-07-15T00:00:00"/>
    <s v="Ian Trottier"/>
    <x v="0"/>
    <n v="1"/>
    <n v="814.95"/>
    <n v="0"/>
    <n v="595.07749059689843"/>
    <n v="721.19"/>
    <n v="93.76"/>
    <n v="814.95"/>
    <s v="Delivered"/>
    <m/>
    <s v="SO17009"/>
    <x v="3"/>
  </r>
  <r>
    <n v="1"/>
    <s v="SO17010"/>
    <s v="OC00163"/>
    <s v="Dynapro Pumps México S de RL de CV"/>
    <d v="2025-04-21T13:54:37"/>
    <d v="2025-04-21T13:53:51"/>
    <d v="2025-07-31T00:00:00"/>
    <s v="Yannett Yeomans"/>
    <x v="1"/>
    <n v="0.72213687898096424"/>
    <n v="21452.99658682627"/>
    <n v="0"/>
    <n v="15492"/>
    <n v="15492"/>
    <m/>
    <n v="15492"/>
    <s v="Delivered"/>
    <m/>
    <s v="SO17010"/>
    <x v="3"/>
  </r>
  <r>
    <n v="1"/>
    <s v="SO17013"/>
    <s v="4500572350"/>
    <s v="Glencore Canada Corporation - Rouyn-Noranda, Glencore Canada Corp."/>
    <d v="2025-04-22T13:29:35"/>
    <d v="2025-04-22T13:33:59"/>
    <d v="2025-04-23T00:00:00"/>
    <s v="Ian Trottier"/>
    <x v="0"/>
    <n v="1"/>
    <n v="539.67999999999995"/>
    <n v="0"/>
    <n v="390.87901308584662"/>
    <n v="519.21"/>
    <n v="20.47"/>
    <n v="539.67999999999995"/>
    <s v="Delivered"/>
    <m/>
    <s v="SO17013"/>
    <x v="3"/>
  </r>
  <r>
    <n v="1"/>
    <s v="SO17015"/>
    <s v="BC65-00080320"/>
    <s v="Motion Industries Inc. (Canada) - Prince George"/>
    <d v="2025-04-23T08:59:50"/>
    <d v="2025-04-24T15:43:58"/>
    <d v="2025-08-07T00:00:00"/>
    <s v="Ian Trottier"/>
    <x v="0"/>
    <n v="1"/>
    <n v="16616.349999999999"/>
    <n v="0"/>
    <n v="11961.981377732371"/>
    <n v="15825.1"/>
    <n v="791.25"/>
    <n v="16616.349999999999"/>
    <s v="Delivered"/>
    <m/>
    <s v="SO17015"/>
    <x v="3"/>
  </r>
  <r>
    <n v="2"/>
    <s v="SO17017"/>
    <s v="4500572502"/>
    <s v="Glencore Canada Corporation - Rouyn-Noranda"/>
    <d v="2025-04-23T12:12:21"/>
    <d v="2025-04-23T13:47:57"/>
    <d v="2025-07-09T00:00:00"/>
    <s v="Ian Trottier"/>
    <x v="0"/>
    <n v="1"/>
    <n v="8531.2099999999991"/>
    <n v="0"/>
    <n v="6140.4448484504346"/>
    <n v="8124.96"/>
    <n v="406.25"/>
    <n v="8531.2099999999991"/>
    <s v="Delivered"/>
    <m/>
    <s v="SO17017"/>
    <x v="3"/>
  </r>
  <r>
    <n v="1"/>
    <s v="SO17020"/>
    <s v="4500592998"/>
    <s v="Resolute Forest Products - Kenogami"/>
    <d v="2025-04-23T16:21:56"/>
    <d v="2025-04-23T16:23:05"/>
    <d v="2025-04-24T00:00:00"/>
    <s v="Ian Trottier"/>
    <x v="0"/>
    <n v="1"/>
    <n v="1973.54"/>
    <n v="0"/>
    <n v="1420.4800404879111"/>
    <n v="1879.56"/>
    <n v="93.98"/>
    <n v="1973.54"/>
    <s v="Delivered"/>
    <m/>
    <s v="SO17020"/>
    <x v="3"/>
  </r>
  <r>
    <n v="1"/>
    <s v="SO17022"/>
    <s v="P-04252593"/>
    <s v="Industrial Pump Repair Canada"/>
    <d v="2025-04-24T09:39:51"/>
    <d v="2025-04-25T12:30:21"/>
    <d v="2025-04-28T00:00:00"/>
    <s v="Ian Trottier"/>
    <x v="0"/>
    <n v="1"/>
    <n v="474.46"/>
    <n v="0"/>
    <n v="342.36794756113471"/>
    <n v="419.88"/>
    <n v="54.58"/>
    <n v="474.46"/>
    <s v="Delivered"/>
    <m/>
    <s v="SO17022"/>
    <x v="3"/>
  </r>
  <r>
    <n v="1"/>
    <s v="SO17024"/>
    <s v="4501182469"/>
    <s v="Barrick Gold - Pueblo Viejo Dominicana Corporation"/>
    <d v="2025-04-24T09:56:44"/>
    <d v="2025-04-24T09:56:44"/>
    <d v="2025-05-30T00:00:00"/>
    <s v="Wilka Nuñez"/>
    <x v="1"/>
    <n v="0.71976247782558811"/>
    <n v="1750.5775013536081"/>
    <n v="0"/>
    <n v="1260"/>
    <n v="1260"/>
    <m/>
    <n v="1260"/>
    <s v="Delivered"/>
    <m/>
    <s v="SO17024"/>
    <x v="3"/>
  </r>
  <r>
    <n v="1"/>
    <s v="SO17025"/>
    <s v="4501171770"/>
    <s v="Barrick Gold - Pueblo Viejo Dominicana Corporation"/>
    <d v="2025-04-24T11:34:34"/>
    <d v="2025-04-24T11:37:51"/>
    <d v="2025-04-24T00:00:00"/>
    <s v="Wilka Nuñez"/>
    <x v="1"/>
    <n v="0.71976247782558811"/>
    <n v="10352.63747356058"/>
    <n v="0"/>
    <n v="7451.44"/>
    <n v="7451.44"/>
    <m/>
    <n v="7451.44"/>
    <s v="Delivered"/>
    <m/>
    <s v="SO17025"/>
    <x v="3"/>
  </r>
  <r>
    <n v="1"/>
    <s v="SO17026"/>
    <s v="2100560417"/>
    <s v="Wajax Limited - Lachine"/>
    <d v="2025-04-24T12:45:02"/>
    <d v="2025-04-24T14:33:19"/>
    <d v="2025-04-25T00:00:00"/>
    <s v="Ian Trottier"/>
    <x v="0"/>
    <n v="1"/>
    <n v="312.77"/>
    <n v="0"/>
    <n v="225.16069506921511"/>
    <n v="297.88"/>
    <n v="14.89"/>
    <n v="312.77"/>
    <s v="Delivered"/>
    <m/>
    <s v="SO17026"/>
    <x v="3"/>
  </r>
  <r>
    <n v="1"/>
    <s v="SO17027"/>
    <s v="4501171906"/>
    <s v="Barrick Gold - Pueblo Viejo Dominicana Corporation"/>
    <d v="2025-04-24T13:23:07"/>
    <d v="2025-04-24T13:25:44"/>
    <d v="2025-04-24T00:00:00"/>
    <s v="Wilka Nuñez"/>
    <x v="1"/>
    <n v="0.71976247782558811"/>
    <n v="8414.5814578953414"/>
    <n v="0"/>
    <n v="6056.5"/>
    <n v="6056.5"/>
    <m/>
    <n v="6056.5"/>
    <s v="Delivered"/>
    <m/>
    <s v="SO17027"/>
    <x v="3"/>
  </r>
  <r>
    <n v="1"/>
    <s v="SO17028"/>
    <s v="3145"/>
    <s v="Les Pompes du St-Laurent Inc."/>
    <d v="2025-04-24T14:13:34"/>
    <d v="2025-04-24T15:17:50"/>
    <d v="2025-04-25T00:00:00"/>
    <s v="Ian Trottier"/>
    <x v="0"/>
    <n v="1"/>
    <n v="3697.36"/>
    <n v="0"/>
    <n v="2661.7007626086688"/>
    <n v="3521.29"/>
    <n v="176.07"/>
    <n v="3697.36"/>
    <s v="Delivered"/>
    <m/>
    <s v="SO17028"/>
    <x v="3"/>
  </r>
  <r>
    <n v="1"/>
    <s v="SO17029"/>
    <s v="PO-040164"/>
    <s v="Southeast Pump Specialist, Inc."/>
    <d v="2025-04-25T10:28:14"/>
    <d v="2025-04-25T14:08:19"/>
    <d v="2025-04-28T00:00:00"/>
    <s v="Ian Trottier"/>
    <x v="1"/>
    <n v="0.71989223732843666"/>
    <n v="8471.5457172204988"/>
    <n v="0"/>
    <n v="6098.6"/>
    <n v="6098.6"/>
    <m/>
    <n v="6098.6"/>
    <s v="Delivered"/>
    <m/>
    <s v="SO17029"/>
    <x v="3"/>
  </r>
  <r>
    <n v="1"/>
    <s v="SO17030"/>
    <s v="4511832963"/>
    <s v="PT Vale Indonesia Tbk."/>
    <d v="2025-04-25T11:16:40"/>
    <d v="2025-04-25T11:34:40"/>
    <d v="2025-04-28T00:00:00"/>
    <s v="Ian Trottier"/>
    <x v="1"/>
    <n v="0.71989223732843666"/>
    <n v="472.08454596093958"/>
    <n v="0"/>
    <n v="339.85"/>
    <n v="339.85"/>
    <m/>
    <n v="339.85"/>
    <s v="Delivered"/>
    <m/>
    <s v="SO17030"/>
    <x v="3"/>
  </r>
  <r>
    <n v="1"/>
    <s v="SO17031"/>
    <s v="40-1015050"/>
    <s v="Canadian Bearings Ltd."/>
    <d v="2025-04-25T12:00:28"/>
    <d v="2025-05-05T06:27:57"/>
    <d v="2025-05-06T00:00:00"/>
    <s v="Ian Trottier"/>
    <x v="0"/>
    <n v="1"/>
    <n v="464.61"/>
    <n v="464.61"/>
    <n v="464.61"/>
    <n v="442.49"/>
    <n v="22.12"/>
    <n v="464.61"/>
    <s v="Delivered"/>
    <m/>
    <s v="SO17031"/>
    <x v="3"/>
  </r>
  <r>
    <n v="1"/>
    <s v="SO17033"/>
    <s v="PO09506"/>
    <s v="Tantalum Mining Corporation of Canada"/>
    <d v="2025-04-25T13:46:07"/>
    <d v="2025-05-05T11:37:54"/>
    <d v="2025-05-06T00:00:00"/>
    <s v="Ian Trottier"/>
    <x v="0"/>
    <n v="1"/>
    <n v="2189.1799999999998"/>
    <n v="2189.1799999999998"/>
    <n v="2189.1799999999998"/>
    <n v="2084.9299999999998"/>
    <n v="104.25"/>
    <n v="2189.1799999999998"/>
    <s v="Delivered"/>
    <m/>
    <s v="SO17033"/>
    <x v="3"/>
  </r>
  <r>
    <n v="1"/>
    <s v="SO17037"/>
    <s v="SUD1006009"/>
    <s v="Process and Steam Specialties, Process and Steam Specialties"/>
    <d v="2025-04-25T15:02:32"/>
    <d v="2025-05-01T09:59:17"/>
    <d v="2025-05-02T00:00:00"/>
    <s v="Ian Trottier"/>
    <x v="0"/>
    <n v="1"/>
    <n v="1047.51"/>
    <n v="0"/>
    <n v="756.40866230422978"/>
    <n v="997.63"/>
    <n v="49.88"/>
    <n v="1047.51"/>
    <s v="Delivered"/>
    <m/>
    <s v="SO17037"/>
    <x v="3"/>
  </r>
  <r>
    <n v="1"/>
    <s v="SO17044"/>
    <s v="4500595256"/>
    <s v="Resolute Forest Products - Saint-Felicien"/>
    <d v="2025-04-25T16:52:34"/>
    <d v="2025-05-07T13:25:19"/>
    <d v="2025-07-23T00:00:00"/>
    <s v="Ian Trottier"/>
    <x v="0"/>
    <n v="1"/>
    <n v="1931.54"/>
    <n v="0"/>
    <n v="1402.2830398400199"/>
    <n v="1839.56"/>
    <n v="91.98"/>
    <n v="1931.54"/>
    <s v="Delivered"/>
    <m/>
    <s v="SO17044"/>
    <x v="3"/>
  </r>
  <r>
    <n v="1"/>
    <s v="SO17046"/>
    <s v="4500573136"/>
    <s v="Glencore Canada Corporation - Rouyn-Noranda, Glencore Canada Corp."/>
    <d v="2025-04-28T08:51:25"/>
    <d v="2025-04-28T09:44:02"/>
    <d v="2025-04-29T00:00:00"/>
    <s v="Ian Trottier"/>
    <x v="0"/>
    <n v="1"/>
    <n v="159.74"/>
    <n v="0"/>
    <n v="115.25563838707551"/>
    <n v="152.13"/>
    <n v="7.61"/>
    <n v="159.74"/>
    <s v="Delivered"/>
    <m/>
    <s v="SO17046"/>
    <x v="3"/>
  </r>
  <r>
    <n v="1"/>
    <s v="SO17047"/>
    <s v="040201"/>
    <s v="Southeast Pump Specialist, Inc."/>
    <d v="2025-04-28T11:49:06"/>
    <d v="2025-04-29T11:08:32"/>
    <d v="2025-04-30T00:00:00"/>
    <s v="Ian Trottier"/>
    <x v="1"/>
    <n v="0.72124093927420463"/>
    <n v="2608.1714134156041"/>
    <n v="0"/>
    <n v="1881.12"/>
    <n v="1881.12"/>
    <m/>
    <n v="1881.12"/>
    <s v="Delivered"/>
    <m/>
    <s v="SO17047"/>
    <x v="3"/>
  </r>
  <r>
    <n v="1"/>
    <s v="SO17048"/>
    <s v="607001"/>
    <s v="Sealtrac Inc."/>
    <d v="2025-04-28T12:09:16"/>
    <d v="2025-04-28T12:17:15"/>
    <d v="2025-04-29T00:00:00"/>
    <s v="Ian Trottier"/>
    <x v="0"/>
    <n v="1"/>
    <n v="1214.23"/>
    <n v="0"/>
    <n v="876.09148490508733"/>
    <n v="1074.54"/>
    <n v="139.69"/>
    <n v="1214.23"/>
    <s v="Delivered"/>
    <m/>
    <s v="SO17048"/>
    <x v="3"/>
  </r>
  <r>
    <n v="1"/>
    <s v="SO17049"/>
    <s v="4560065429"/>
    <s v="Alamos Gold Inc, Alamos Gold Inc Island Gold Division"/>
    <d v="2025-04-28T12:32:28"/>
    <d v="2025-04-29T14:56:11"/>
    <d v="2025-04-30T00:00:00"/>
    <s v="Ian Trottier"/>
    <x v="0"/>
    <n v="1"/>
    <n v="102.33"/>
    <n v="102.33"/>
    <n v="102.33"/>
    <n v="90.56"/>
    <n v="11.77"/>
    <n v="102.33"/>
    <s v="Delivered"/>
    <m/>
    <s v="SO17049"/>
    <x v="3"/>
  </r>
  <r>
    <n v="1"/>
    <s v="SO17051"/>
    <s v="RJEDD/IPO/2526/00046 - paid in full on June 6th 2025. $20,808.13"/>
    <s v="Jindal Drilling &amp; Industries Limited"/>
    <d v="2025-04-28T13:14:41"/>
    <d v="2025-06-02T12:58:44"/>
    <d v="2025-07-07T00:00:00"/>
    <s v="Ian Trottier"/>
    <x v="1"/>
    <n v="0.72782949041434608"/>
    <n v="28589.292236776691"/>
    <n v="0"/>
    <n v="20808.13"/>
    <n v="20808.13"/>
    <m/>
    <n v="20808.13"/>
    <s v="Delivered"/>
    <m/>
    <s v="SO17051"/>
    <x v="3"/>
  </r>
  <r>
    <n v="1"/>
    <s v="SO17053"/>
    <s v="185878"/>
    <s v="Fabrene Inc."/>
    <d v="2025-04-28T15:28:09"/>
    <d v="2025-04-28T15:28:09"/>
    <d v="2025-04-29T00:00:00"/>
    <s v="Ian Trottier"/>
    <x v="0"/>
    <n v="1"/>
    <n v="259.76"/>
    <n v="0"/>
    <n v="187.42208981737019"/>
    <n v="229.88"/>
    <n v="29.88"/>
    <n v="259.76"/>
    <s v="Delivered"/>
    <m/>
    <s v="SO17053"/>
    <x v="3"/>
  </r>
  <r>
    <n v="1"/>
    <s v="SO17054"/>
    <s v="185850"/>
    <s v="Fabrene Inc."/>
    <d v="2025-04-28T15:30:29"/>
    <d v="2025-04-28T15:32:21"/>
    <d v="2025-04-29T00:00:00"/>
    <s v="Ian Trottier"/>
    <x v="0"/>
    <n v="1"/>
    <n v="480.49"/>
    <n v="0"/>
    <n v="346.68324582825772"/>
    <n v="425.21"/>
    <n v="55.28"/>
    <n v="480.49"/>
    <s v="Delivered"/>
    <m/>
    <s v="SO17054"/>
    <x v="3"/>
  </r>
  <r>
    <n v="1"/>
    <s v="SO17055"/>
    <s v="PONV-25-0896"/>
    <s v="Tech-Flow"/>
    <d v="2025-04-28T15:37:17"/>
    <d v="2025-04-29T11:00:33"/>
    <d v="2025-04-30T00:00:00"/>
    <s v="Ian Trottier"/>
    <x v="1"/>
    <n v="0.72124093927420463"/>
    <n v="3538.3182803905929"/>
    <n v="0"/>
    <n v="2551.98"/>
    <n v="2551.98"/>
    <m/>
    <n v="2551.98"/>
    <s v="Delivered"/>
    <m/>
    <s v="SO17055"/>
    <x v="3"/>
  </r>
  <r>
    <n v="2"/>
    <s v="SO17059"/>
    <s v="OC00165"/>
    <s v="Dynapro Pumps México S de RL de CV"/>
    <d v="2025-04-28T17:03:55"/>
    <d v="2025-04-28T17:04:08"/>
    <d v="2025-06-30T00:00:00"/>
    <s v="Yannett Yeomans"/>
    <x v="1"/>
    <n v="0.72125060891744774"/>
    <n v="42958.715898354742"/>
    <n v="0"/>
    <n v="30984"/>
    <n v="30984"/>
    <m/>
    <n v="30984"/>
    <s v="Delivered"/>
    <m/>
    <s v="SO17059"/>
    <x v="3"/>
  </r>
  <r>
    <n v="2"/>
    <s v="SO17060"/>
    <s v="PO-007949"/>
    <s v="Sling-Choker Manufacturing - Timmins"/>
    <d v="2025-04-29T10:05:03"/>
    <d v="2025-05-05T09:22:51"/>
    <d v="2025-05-26T00:00:00"/>
    <s v="Taylor Cook"/>
    <x v="0"/>
    <n v="1"/>
    <n v="19102.41"/>
    <n v="19102.41"/>
    <n v="19102.41"/>
    <n v="16904.79"/>
    <n v="2197.62"/>
    <n v="19102.41"/>
    <s v="Delivered"/>
    <m/>
    <s v="SO17060"/>
    <x v="3"/>
  </r>
  <r>
    <n v="1"/>
    <s v="SO17061"/>
    <s v="LA73-00118858"/>
    <s v="Motion Industries Inc. (U.S.) - Westlake"/>
    <d v="2025-04-29T10:27:57"/>
    <d v="2025-04-29T13:47:14"/>
    <d v="2025-05-06T00:00:00"/>
    <s v="Ian Trottier"/>
    <x v="1"/>
    <n v="0.72124093927420463"/>
    <n v="185.1531058877263"/>
    <n v="0"/>
    <n v="133.54"/>
    <n v="133.54"/>
    <m/>
    <n v="133.54"/>
    <s v="Delivered"/>
    <m/>
    <s v="SO17061"/>
    <x v="3"/>
  </r>
  <r>
    <n v="1"/>
    <s v="SO17062"/>
    <s v="4501175680"/>
    <s v="Barrick Gold - Pueblo Viejo Dominicana Corporation"/>
    <d v="2025-04-29T10:57:02"/>
    <d v="2025-04-29T14:17:30"/>
    <d v="2025-09-09T00:00:00"/>
    <s v="Wilka Nuñez"/>
    <x v="1"/>
    <n v="0.72124093927420463"/>
    <n v="20638.65095481052"/>
    <n v="0"/>
    <n v="14885.44"/>
    <n v="14885.44"/>
    <m/>
    <n v="14885.44"/>
    <s v="Delivered"/>
    <m/>
    <s v="SO17062"/>
    <x v="3"/>
  </r>
  <r>
    <n v="1"/>
    <s v="SO17063"/>
    <s v="3263"/>
    <s v="Les Pompes du St-Laurent Inc."/>
    <d v="2025-04-29T13:00:52"/>
    <d v="2025-08-06T16:38:44"/>
    <d v="2025-08-27T00:00:00"/>
    <s v="Ian Trottier"/>
    <x v="0"/>
    <n v="1"/>
    <n v="1821.57"/>
    <n v="0"/>
    <n v="1325.6068472676029"/>
    <n v="1734.82"/>
    <n v="86.75"/>
    <n v="1821.57"/>
    <s v="Delivered"/>
    <m/>
    <s v="SO17063"/>
    <x v="3"/>
  </r>
  <r>
    <n v="1"/>
    <s v="SO17073"/>
    <s v="2088"/>
    <s v="FMI Products"/>
    <d v="2025-04-30T11:30:25"/>
    <d v="2025-05-05T13:18:49"/>
    <d v="2025-05-06T00:00:00"/>
    <s v="Ian Trottier"/>
    <x v="0"/>
    <n v="1"/>
    <n v="143.63999999999999"/>
    <n v="143.63999999999999"/>
    <n v="143.63999999999999"/>
    <n v="136.80000000000001"/>
    <n v="6.84"/>
    <n v="143.63999999999999"/>
    <s v="Delivered"/>
    <m/>
    <s v="SO17073"/>
    <x v="3"/>
  </r>
  <r>
    <n v="1"/>
    <s v="SO17079"/>
    <s v="PO13559"/>
    <s v="Manufacture Sling-Choker (Val-d’Or) Ltée"/>
    <d v="2025-05-01T13:11:55"/>
    <d v="2025-05-02T14:10:23"/>
    <d v="2025-05-05T00:00:00"/>
    <s v="Taylor Cook"/>
    <x v="0"/>
    <n v="1"/>
    <n v="505.8"/>
    <n v="0"/>
    <n v="366.71985780098481"/>
    <n v="481.71"/>
    <n v="24.09"/>
    <n v="505.8"/>
    <s v="Delivered"/>
    <m/>
    <s v="SO17079"/>
    <x v="4"/>
  </r>
  <r>
    <n v="1"/>
    <s v="SO17080"/>
    <s v="7100"/>
    <s v="Hyperflo"/>
    <d v="2025-05-01T13:40:37"/>
    <d v="2025-05-02T09:16:59"/>
    <d v="2025-05-05T00:00:00"/>
    <s v="Ian Trottier"/>
    <x v="0"/>
    <n v="1"/>
    <n v="2002.14"/>
    <n v="0"/>
    <n v="1451.6103125695211"/>
    <n v="1906.8"/>
    <n v="95.34"/>
    <n v="2002.14"/>
    <s v="Delivered"/>
    <m/>
    <s v="SO17080"/>
    <x v="4"/>
  </r>
  <r>
    <n v="1"/>
    <s v="SO17082"/>
    <s v="7116"/>
    <s v="Hyperflo"/>
    <d v="2025-05-01T13:59:56"/>
    <d v="2025-05-07T16:12:36"/>
    <d v="2025-05-08T00:00:00"/>
    <s v="Ian Trottier"/>
    <x v="0"/>
    <n v="1"/>
    <n v="5388.29"/>
    <n v="0"/>
    <n v="3911.8566950410468"/>
    <n v="5131.7"/>
    <n v="256.58999999999997"/>
    <n v="5388.29"/>
    <s v="Delivered"/>
    <m/>
    <s v="SO17082"/>
    <x v="4"/>
  </r>
  <r>
    <n v="2"/>
    <s v="SO17086"/>
    <s v="31072"/>
    <s v="First Bauxite Inc."/>
    <d v="2025-05-02T07:53:06"/>
    <d v="2025-05-02T07:55:58"/>
    <d v="2025-06-20T00:00:00"/>
    <s v="Amanda Qiao"/>
    <x v="1"/>
    <n v="0.72210161459482947"/>
    <n v="10427.16128563814"/>
    <n v="0"/>
    <n v="7529.47"/>
    <n v="7529.47"/>
    <m/>
    <n v="7529.47"/>
    <s v="Delivered"/>
    <m/>
    <s v="SO17086"/>
    <x v="4"/>
  </r>
  <r>
    <n v="1"/>
    <s v="SO17095"/>
    <s v="10352"/>
    <s v="Canadian Industrial Pumps Ltd"/>
    <d v="2025-05-02T14:42:25"/>
    <d v="2025-05-07T16:19:21"/>
    <d v="2025-05-07T00:00:00"/>
    <s v="Taylor Cook"/>
    <x v="0"/>
    <n v="1"/>
    <n v="1459.42"/>
    <n v="0"/>
    <n v="1059.527586280027"/>
    <n v="1389.92"/>
    <n v="69.5"/>
    <n v="1459.42"/>
    <s v="Delivered"/>
    <m/>
    <s v="SO17095"/>
    <x v="4"/>
  </r>
  <r>
    <n v="1"/>
    <s v="SO17099"/>
    <s v="4500574169"/>
    <s v="Glencore Canada Corporation - Rouyn-Noranda, Glencore Canada Corp."/>
    <d v="2025-05-05T11:52:33"/>
    <d v="2025-05-05T11:53:09"/>
    <d v="2025-05-06T00:00:00"/>
    <s v="Ian Trottier"/>
    <x v="0"/>
    <n v="1"/>
    <n v="3190.39"/>
    <n v="3190.39"/>
    <n v="3190.39"/>
    <n v="3038.47"/>
    <n v="151.91999999999999"/>
    <n v="3190.39"/>
    <s v="Delivered"/>
    <m/>
    <s v="SO17099"/>
    <x v="4"/>
  </r>
  <r>
    <n v="1"/>
    <s v="SO17100"/>
    <s v="4500593300"/>
    <s v="Resolute Forest Products - Saint-Felicien"/>
    <d v="2025-05-05T12:30:36"/>
    <d v="2025-05-05T15:27:22"/>
    <d v="2025-08-01T00:00:00"/>
    <s v="Ian Trottier"/>
    <x v="0"/>
    <n v="1"/>
    <n v="6506.97"/>
    <n v="6506.97"/>
    <n v="6506.97"/>
    <n v="6197.11"/>
    <n v="309.86"/>
    <n v="6506.97"/>
    <s v="Delivered"/>
    <m/>
    <s v="SO17100"/>
    <x v="4"/>
  </r>
  <r>
    <n v="1"/>
    <s v="SO17101"/>
    <s v="OC00166"/>
    <s v="Dynapro Pumps México S de RL de CV"/>
    <d v="2025-05-05T13:31:36"/>
    <d v="2025-05-05T13:31:02"/>
    <d v="2025-06-27T00:00:00"/>
    <s v="Yannett Yeomans"/>
    <x v="1"/>
    <n v="0.72363703447569616"/>
    <n v="3358.0370879727461"/>
    <n v="0"/>
    <n v="2430"/>
    <n v="2430"/>
    <m/>
    <n v="2430"/>
    <s v="Delivered"/>
    <m/>
    <s v="SO17101"/>
    <x v="4"/>
  </r>
  <r>
    <n v="1"/>
    <s v="SO17102"/>
    <s v="7108"/>
    <s v="Hyperflo"/>
    <d v="2025-05-05T13:42:38"/>
    <d v="2025-05-06T08:25:54"/>
    <d v="2025-05-07T00:00:00"/>
    <s v="Ian Trottier"/>
    <x v="0"/>
    <n v="1"/>
    <n v="1150.52"/>
    <n v="0"/>
    <n v="835.14664945869379"/>
    <n v="1095.73"/>
    <n v="54.79"/>
    <n v="1150.52"/>
    <s v="Delivered"/>
    <m/>
    <s v="SO17102"/>
    <x v="4"/>
  </r>
  <r>
    <n v="1"/>
    <s v="SO17103"/>
    <s v="5400233536"/>
    <s v="Algoma Steel Inc."/>
    <d v="2025-05-05T13:50:00"/>
    <d v="2025-05-15T08:10:06"/>
    <d v="2025-05-16T00:00:00"/>
    <s v="Ian Trottier"/>
    <x v="0"/>
    <n v="1"/>
    <n v="12576.76"/>
    <n v="0"/>
    <n v="8989.8746975048525"/>
    <n v="11129.88"/>
    <n v="1446.88"/>
    <n v="12576.76"/>
    <s v="Delivered"/>
    <m/>
    <s v="SO17103"/>
    <x v="4"/>
  </r>
  <r>
    <n v="1"/>
    <s v="SO17104"/>
    <s v="OC00164"/>
    <s v="Dynapro Pumps México S de RL de CV"/>
    <d v="2025-05-05T15:07:24"/>
    <d v="2025-05-05T18:10:27"/>
    <d v="2025-06-13T00:00:00"/>
    <s v="Yannett Yeomans"/>
    <x v="1"/>
    <n v="0.72363703447569616"/>
    <n v="5722.9243428655509"/>
    <n v="0"/>
    <n v="4141.32"/>
    <n v="4141.32"/>
    <m/>
    <n v="4141.32"/>
    <s v="Delivered"/>
    <m/>
    <s v="SO17104"/>
    <x v="4"/>
  </r>
  <r>
    <n v="1"/>
    <s v="SO17105"/>
    <s v="2100591554"/>
    <s v="Wajax Limited - Noranda"/>
    <d v="2025-05-05T15:19:05"/>
    <d v="2025-06-10T11:40:30"/>
    <d v="2025-08-19T00:00:00"/>
    <s v="Ian Trottier"/>
    <x v="0"/>
    <n v="1"/>
    <n v="1690.27"/>
    <n v="0"/>
    <n v="1235.1409792801639"/>
    <n v="1609.78"/>
    <n v="80.489999999999995"/>
    <n v="1690.27"/>
    <s v="Delivered"/>
    <m/>
    <s v="SO17105"/>
    <x v="4"/>
  </r>
  <r>
    <n v="1"/>
    <s v="SO17106"/>
    <s v="M-083739"/>
    <s v="Grant Aggregate"/>
    <d v="2025-05-05T16:01:20"/>
    <d v="2025-05-05T16:01:50"/>
    <d v="2025-05-06T00:00:00"/>
    <s v="Ian Trottier"/>
    <x v="0"/>
    <n v="1"/>
    <n v="134.91999999999999"/>
    <n v="134.91999999999999"/>
    <n v="134.91999999999999"/>
    <n v="119.4"/>
    <n v="15.52"/>
    <n v="134.91999999999999"/>
    <s v="Delivered"/>
    <m/>
    <s v="SO17106"/>
    <x v="4"/>
  </r>
  <r>
    <n v="1"/>
    <s v="SO17114"/>
    <s v="PO13564"/>
    <s v="Manufacture Sling-Choker (Val-d’Or) Ltée"/>
    <d v="2025-05-06T16:02:44"/>
    <d v="2025-05-06T16:04:46"/>
    <d v="2025-05-07T00:00:00"/>
    <s v="Ian Trottier"/>
    <x v="0"/>
    <n v="1"/>
    <n v="117.99"/>
    <n v="0"/>
    <n v="85.647318751200558"/>
    <n v="112.37"/>
    <n v="5.62"/>
    <n v="117.99"/>
    <s v="Delivered"/>
    <m/>
    <s v="SO17114"/>
    <x v="4"/>
  </r>
  <r>
    <n v="1"/>
    <s v="SO17116"/>
    <s v="5285 - Paid in full on May 7th 2025"/>
    <s v="MJR Admin"/>
    <d v="2025-05-07T08:26:54"/>
    <d v="2025-05-07T10:08:11"/>
    <d v="2025-05-08T00:00:00"/>
    <s v="Ian Trottier"/>
    <x v="0"/>
    <n v="1"/>
    <n v="1298.97"/>
    <n v="0"/>
    <n v="943.04213231980248"/>
    <n v="1237.1099999999999"/>
    <n v="61.86"/>
    <n v="1298.97"/>
    <s v="Delivered"/>
    <m/>
    <s v="SO17116"/>
    <x v="4"/>
  </r>
  <r>
    <n v="1"/>
    <s v="SO17119"/>
    <s v="7128"/>
    <s v="Hyperflo"/>
    <d v="2025-05-07T10:29:14"/>
    <d v="2025-05-12T14:48:54"/>
    <d v="2025-06-16T00:00:00"/>
    <s v="Ian Trottier"/>
    <x v="0"/>
    <n v="1"/>
    <n v="157.08000000000001"/>
    <n v="0"/>
    <n v="112.16196135102641"/>
    <n v="149.6"/>
    <n v="7.48"/>
    <n v="157.08000000000001"/>
    <s v="Delivered"/>
    <m/>
    <s v="SO17119"/>
    <x v="4"/>
  </r>
  <r>
    <n v="1"/>
    <s v="SO17126"/>
    <s v="Darren - PO Email Confirmation"/>
    <s v="Quality Concrete Inc."/>
    <d v="2025-05-07T16:31:56"/>
    <d v="2025-05-07T16:31:58"/>
    <d v="2025-06-04T00:00:00"/>
    <s v="Ian Trottier"/>
    <x v="0"/>
    <n v="1"/>
    <n v="855.1"/>
    <n v="0"/>
    <n v="620.7959593729363"/>
    <n v="814.38"/>
    <n v="40.72"/>
    <n v="855.1"/>
    <s v="Delivered"/>
    <m/>
    <s v="SO17126"/>
    <x v="4"/>
  </r>
  <r>
    <n v="1"/>
    <s v="SO17129"/>
    <s v="2100580915"/>
    <s v="Wajax Limited - Pointe-aux-Trembles"/>
    <d v="2025-05-08T08:59:20"/>
    <d v="2025-05-26T13:08:28"/>
    <d v="2025-05-27T00:00:00"/>
    <s v="Ian Trottier"/>
    <x v="0"/>
    <n v="1"/>
    <n v="135.38999999999999"/>
    <n v="135.38999999999999"/>
    <n v="135.38999999999999"/>
    <n v="128.94"/>
    <n v="6.45"/>
    <n v="135.38999999999999"/>
    <s v="Delivered"/>
    <m/>
    <s v="SO17129"/>
    <x v="4"/>
  </r>
  <r>
    <n v="1"/>
    <s v="SO17130"/>
    <s v="4511879334"/>
    <s v="PT Vale Indonesia Tbk."/>
    <d v="2025-05-08T11:32:45"/>
    <d v="2025-09-26T13:25:51"/>
    <d v="2025-12-19T00:00:00"/>
    <s v="Ian Trottier"/>
    <x v="1"/>
    <n v="0.71817576144916317"/>
    <n v="3401.367925688362"/>
    <n v="0"/>
    <n v="2442.7800000000002"/>
    <n v="2442.7800000000002"/>
    <m/>
    <n v="2442.7800000000002"/>
    <s v="Delivered"/>
    <m/>
    <s v="SO17130"/>
    <x v="4"/>
  </r>
  <r>
    <n v="1"/>
    <s v="SO17133"/>
    <s v="2100570535"/>
    <s v="Wajax Limited - Noranda"/>
    <d v="2025-05-08T14:43:54"/>
    <d v="2025-05-08T16:14:51"/>
    <d v="2025-05-09T00:00:00"/>
    <s v="Ian Trottier"/>
    <x v="0"/>
    <n v="1"/>
    <n v="2758.72"/>
    <n v="0"/>
    <n v="1982.4501957321349"/>
    <n v="2627.35"/>
    <n v="131.37"/>
    <n v="2758.72"/>
    <s v="Delivered"/>
    <m/>
    <s v="SO17133"/>
    <x v="4"/>
  </r>
  <r>
    <n v="2"/>
    <s v="SO17134"/>
    <s v="P359291"/>
    <s v="Covia Corp - Junction City"/>
    <d v="2025-05-08T14:50:13"/>
    <d v="2025-05-16T15:40:29"/>
    <d v="2025-09-19T00:00:00"/>
    <s v="Marlen Martinez"/>
    <x v="1"/>
    <n v="0.7148005287136634"/>
    <n v="4676.6753320898888"/>
    <n v="0"/>
    <n v="3342.89"/>
    <n v="3342.89"/>
    <m/>
    <n v="3342.89"/>
    <s v="Delivered"/>
    <m/>
    <s v="SO17134"/>
    <x v="4"/>
  </r>
  <r>
    <n v="2"/>
    <s v="SO17139"/>
    <s v="4501184273"/>
    <s v="Barrick Gold - Pueblo Viejo Dominicana Corporation"/>
    <d v="2025-05-09T13:16:17"/>
    <d v="2025-05-09T13:43:34"/>
    <d v="2025-05-25T00:00:00"/>
    <s v="Wilka Nuñez"/>
    <x v="1"/>
    <n v="0.71861232590916624"/>
    <n v="16789.984759494779"/>
    <n v="0"/>
    <n v="12065.49"/>
    <n v="12065.49"/>
    <m/>
    <n v="12065.49"/>
    <s v="Delivered"/>
    <m/>
    <s v="SO17139"/>
    <x v="4"/>
  </r>
  <r>
    <n v="1"/>
    <s v="SO17140"/>
    <s v="4500575219"/>
    <s v="Glencore Canada Corporation - Rouyn-Noranda, Glencore Canada Corp."/>
    <d v="2025-05-09T13:22:53"/>
    <d v="2025-05-09T13:36:08"/>
    <d v="2025-05-12T00:00:00"/>
    <s v="Ian Trottier"/>
    <x v="0"/>
    <n v="1"/>
    <n v="1125.9000000000001"/>
    <n v="0"/>
    <n v="808.38208382159405"/>
    <n v="1072.28"/>
    <n v="53.62"/>
    <n v="1125.9000000000001"/>
    <s v="Delivered"/>
    <m/>
    <s v="SO17140"/>
    <x v="4"/>
  </r>
  <r>
    <n v="1"/>
    <s v="SO17142"/>
    <s v="4511884651"/>
    <s v="PT Vale Indonesia Tbk."/>
    <d v="2025-05-09T14:16:12"/>
    <d v="2025-05-09T14:17:34"/>
    <d v="2025-06-06T00:00:00"/>
    <s v="Ian Trottier"/>
    <x v="1"/>
    <n v="0.71861232590916624"/>
    <n v="1362.7653808484561"/>
    <n v="0"/>
    <n v="979.3"/>
    <n v="979.3"/>
    <m/>
    <n v="979.3"/>
    <s v="Delivered"/>
    <m/>
    <s v="SO17142"/>
    <x v="4"/>
  </r>
  <r>
    <n v="1"/>
    <s v="SO17143"/>
    <s v="4500595680"/>
    <s v="Resolute Forest Products - Saint-Felicien"/>
    <d v="2025-05-09T14:23:53"/>
    <d v="2025-05-15T13:28:14"/>
    <d v="2025-05-16T00:00:00"/>
    <s v="Ian Trottier"/>
    <x v="0"/>
    <n v="1"/>
    <n v="429.07"/>
    <n v="0"/>
    <n v="306.69946285517148"/>
    <n v="408.64"/>
    <n v="20.43"/>
    <n v="429.07"/>
    <s v="Delivered"/>
    <m/>
    <s v="SO17143"/>
    <x v="4"/>
  </r>
  <r>
    <n v="1"/>
    <s v="SO17144"/>
    <s v="AZ52-00111768"/>
    <s v="Motion Industries Inc. (U.S.) - Tucson"/>
    <d v="2025-05-12T08:18:33"/>
    <d v="2025-05-12T16:35:29"/>
    <d v="2025-06-16T00:00:00"/>
    <s v="Ian Trottier"/>
    <x v="1"/>
    <n v="0.71740863464391214"/>
    <n v="625.55700939221788"/>
    <n v="0"/>
    <n v="448.78"/>
    <n v="448.78"/>
    <m/>
    <n v="448.78"/>
    <s v="Delivered"/>
    <m/>
    <s v="SO17144"/>
    <x v="4"/>
  </r>
  <r>
    <n v="1"/>
    <s v="SO17145"/>
    <s v="4501185388"/>
    <s v="Barrick Gold - Pueblo Viejo Dominicana Corporation"/>
    <d v="2025-05-12T11:22:11"/>
    <d v="2025-05-12T11:25:12"/>
    <d v="2025-05-24T00:00:00"/>
    <s v="Wilka Nuñez"/>
    <x v="1"/>
    <n v="0.71740863464391214"/>
    <n v="25856.602644889019"/>
    <n v="0"/>
    <n v="18549.75"/>
    <n v="18549.75"/>
    <m/>
    <n v="18549.75"/>
    <s v="Delivered"/>
    <m/>
    <s v="SO17145"/>
    <x v="4"/>
  </r>
  <r>
    <n v="2"/>
    <s v="SO17146"/>
    <s v="4501185524"/>
    <s v="Barrick Gold - Pueblo Viejo Dominicana Corporation"/>
    <d v="2025-05-12T11:40:28"/>
    <d v="2025-05-12T11:43:11"/>
    <d v="2025-05-28T00:00:00"/>
    <s v="Wilka Nuñez"/>
    <x v="1"/>
    <n v="0.71740863464391214"/>
    <n v="17084.87939524692"/>
    <n v="0"/>
    <n v="12256.84"/>
    <n v="12256.84"/>
    <m/>
    <n v="12256.84"/>
    <s v="Delivered"/>
    <m/>
    <s v="SO17146"/>
    <x v="4"/>
  </r>
  <r>
    <n v="1"/>
    <s v="SO17148"/>
    <s v="2100573830"/>
    <s v="Wajax Limited - Témiscaming"/>
    <d v="2025-05-12T12:10:10"/>
    <d v="2025-05-13T12:10:10"/>
    <d v="2025-07-09T00:00:00"/>
    <s v="Ian Trottier"/>
    <x v="0"/>
    <n v="1"/>
    <n v="6152.97"/>
    <n v="0"/>
    <n v="4407.9887868135866"/>
    <n v="5859.97"/>
    <n v="293"/>
    <n v="6152.97"/>
    <s v="Delivered"/>
    <m/>
    <s v="SO17148"/>
    <x v="4"/>
  </r>
  <r>
    <n v="1"/>
    <s v="SO17149"/>
    <s v="4500805495"/>
    <s v="AGM Inc."/>
    <d v="2025-05-12T13:11:46"/>
    <d v="2025-05-12T13:11:56"/>
    <d v="2025-06-03T00:00:00"/>
    <s v="Amanda Qiao"/>
    <x v="1"/>
    <n v="0.71740863464391214"/>
    <n v="5514.8485938753311"/>
    <n v="0"/>
    <n v="3956.4"/>
    <n v="3956.4"/>
    <m/>
    <n v="3956.4"/>
    <s v="Delivered"/>
    <m/>
    <s v="SO17149"/>
    <x v="4"/>
  </r>
  <r>
    <n v="1"/>
    <s v="SO17151"/>
    <s v="4501184153"/>
    <s v="Barrick Gold - Pueblo Viejo Dominicana Corporation"/>
    <d v="2025-05-12T13:19:02"/>
    <d v="2025-05-12T13:50:45"/>
    <d v="2025-05-23T00:00:00"/>
    <s v="Wilka Nuñez"/>
    <x v="1"/>
    <n v="0.71740863464391214"/>
    <n v="58023.109828698012"/>
    <n v="0"/>
    <n v="41626.28"/>
    <n v="41626.28"/>
    <m/>
    <n v="41626.28"/>
    <s v="Delivered"/>
    <m/>
    <s v="SO17151"/>
    <x v="4"/>
  </r>
  <r>
    <n v="1"/>
    <s v="SO17152"/>
    <s v="PSI15675"/>
    <s v="Progressive Sealing Inc."/>
    <d v="2025-05-12T13:26:48"/>
    <d v="2025-05-12T13:30:37"/>
    <d v="2025-05-13T00:00:00"/>
    <s v="Taylor Cook"/>
    <x v="0"/>
    <n v="1"/>
    <n v="2087.66"/>
    <n v="0"/>
    <n v="1490.6801644645"/>
    <n v="2087.66"/>
    <m/>
    <n v="2087.66"/>
    <s v="Delivered"/>
    <m/>
    <s v="SO17152"/>
    <x v="4"/>
  </r>
  <r>
    <n v="1"/>
    <s v="SO17153"/>
    <s v="PO-0020310"/>
    <s v="MAB Equipment Company Inc."/>
    <d v="2025-05-12T13:59:21"/>
    <d v="2025-05-27T13:03:37"/>
    <d v="2025-09-23T00:00:00"/>
    <s v="Ian Trottier"/>
    <x v="1"/>
    <n v="0.72825076867173777"/>
    <n v="13791.54054079309"/>
    <n v="0"/>
    <n v="10043.700000000001"/>
    <n v="10043.700000000001"/>
    <m/>
    <n v="10043.700000000001"/>
    <s v="Delivered"/>
    <m/>
    <s v="SO17153"/>
    <x v="4"/>
  </r>
  <r>
    <n v="1"/>
    <s v="SO17159"/>
    <s v="PO# 70300"/>
    <s v="SRM Materials"/>
    <d v="2025-05-13T08:25:17"/>
    <d v="2025-06-02T08:16:57"/>
    <d v="2025-07-29T00:00:00"/>
    <s v="Ian Trottier"/>
    <x v="1"/>
    <n v="0.72982219017840411"/>
    <n v="13922.076002534601"/>
    <n v="0"/>
    <n v="10160.64"/>
    <n v="10160.64"/>
    <m/>
    <n v="10160.64"/>
    <s v="Delivered"/>
    <m/>
    <s v="SO17159"/>
    <x v="4"/>
  </r>
  <r>
    <n v="1"/>
    <s v="SO17163"/>
    <s v="NC07-00334898"/>
    <s v="Motion Industries Inc. (U.S.) - Charleston"/>
    <d v="2025-05-13T10:30:03"/>
    <d v="2025-06-18T15:28:02"/>
    <d v="2025-09-03T00:00:00"/>
    <s v="Ian Trottier"/>
    <x v="1"/>
    <n v="0.73586843526375945"/>
    <n v="4966.9068883080045"/>
    <n v="0"/>
    <n v="3654.99"/>
    <n v="3654.99"/>
    <m/>
    <n v="3654.99"/>
    <s v="Delivered"/>
    <m/>
    <s v="SO17163"/>
    <x v="4"/>
  </r>
  <r>
    <n v="1"/>
    <s v="SO17164"/>
    <s v="029766"/>
    <s v="Windsor Pump Company, Ltd."/>
    <d v="2025-05-13T12:52:24"/>
    <d v="2025-05-15T12:12:45"/>
    <d v="2025-05-16T00:00:00"/>
    <s v="Ian Trottier"/>
    <x v="0"/>
    <n v="1"/>
    <n v="3106.74"/>
    <n v="0"/>
    <n v="2220.6993945758859"/>
    <n v="2749.33"/>
    <n v="357.41"/>
    <n v="3106.74"/>
    <s v="Delivered"/>
    <m/>
    <s v="SO17164"/>
    <x v="4"/>
  </r>
  <r>
    <n v="1"/>
    <s v="SO17165"/>
    <s v="OC00167"/>
    <s v="Dynapro Pumps México S de RL de CV"/>
    <d v="2025-05-13T13:39:31"/>
    <d v="2025-05-13T13:45:12"/>
    <d v="2025-07-04T00:00:00"/>
    <s v="Yannett Yeomans"/>
    <x v="1"/>
    <n v="0.71404355329148439"/>
    <n v="17040.97732401601"/>
    <n v="0"/>
    <n v="12168"/>
    <n v="12168"/>
    <m/>
    <n v="12168"/>
    <s v="Delivered"/>
    <m/>
    <s v="SO17165"/>
    <x v="4"/>
  </r>
  <r>
    <n v="2"/>
    <s v="SO17169"/>
    <s v="21599"/>
    <s v="DRN Industriel"/>
    <d v="2025-05-13T15:40:20"/>
    <d v="2025-05-28T13:01:55"/>
    <d v="2025-08-13T00:00:00"/>
    <s v="Ian Trottier"/>
    <x v="0"/>
    <n v="1"/>
    <n v="4559.7299999999996"/>
    <n v="0"/>
    <n v="3299.1313442367841"/>
    <n v="4342.6000000000004"/>
    <n v="217.13"/>
    <n v="4559.7299999999996"/>
    <s v="Delivered"/>
    <m/>
    <s v="SO17169"/>
    <x v="4"/>
  </r>
  <r>
    <n v="1"/>
    <s v="SO17170"/>
    <s v="7133"/>
    <s v="Hyperflo"/>
    <d v="2025-05-13T15:49:22"/>
    <d v="2025-05-13T15:52:56"/>
    <d v="2025-05-14T00:00:00"/>
    <s v="Ian Trottier"/>
    <x v="0"/>
    <n v="1"/>
    <n v="2219.0500000000002"/>
    <n v="0"/>
    <n v="1589.727809070853"/>
    <n v="2113.38"/>
    <n v="105.67"/>
    <n v="2219.0500000000002"/>
    <s v="Delivered"/>
    <m/>
    <s v="SO17170"/>
    <x v="4"/>
  </r>
  <r>
    <n v="2"/>
    <s v="SO17172"/>
    <s v="P359867"/>
    <s v="Covia Corp - Camden"/>
    <d v="2025-05-13T17:53:23"/>
    <d v="2025-05-13T17:51:19"/>
    <d v="2025-05-30T00:00:00"/>
    <s v="Marlen Martinez"/>
    <x v="1"/>
    <n v="0.71404355329148439"/>
    <n v="14073.231182717331"/>
    <n v="0"/>
    <n v="10048.9"/>
    <n v="10048.9"/>
    <m/>
    <n v="10048.9"/>
    <s v="Delivered"/>
    <m/>
    <s v="SO17172"/>
    <x v="4"/>
  </r>
  <r>
    <n v="1"/>
    <s v="SO17175"/>
    <s v="4500596465"/>
    <s v="Resolute Forest Products - Saint-Felicien"/>
    <d v="2025-05-14T09:01:14"/>
    <d v="2025-05-15T16:18:29"/>
    <d v="2025-05-16T00:00:00"/>
    <s v="Ian Trottier"/>
    <x v="0"/>
    <n v="1"/>
    <n v="7861.24"/>
    <n v="0"/>
    <n v="5619.2185083449986"/>
    <n v="7486.9"/>
    <n v="374.34"/>
    <n v="7861.24"/>
    <s v="Delivered"/>
    <m/>
    <s v="SO17175"/>
    <x v="4"/>
  </r>
  <r>
    <n v="1"/>
    <s v="SO17176"/>
    <s v="2100579622"/>
    <s v="Wajax Limited - Noranda"/>
    <d v="2025-05-14T09:19:37"/>
    <d v="2025-05-23T08:31:03"/>
    <d v="2025-05-26T00:00:00"/>
    <s v="Ian Trottier"/>
    <x v="0"/>
    <n v="1"/>
    <n v="338"/>
    <n v="0"/>
    <n v="245.65815936260461"/>
    <n v="321.89999999999998"/>
    <n v="16.100000000000001"/>
    <n v="338"/>
    <s v="Delivered"/>
    <m/>
    <s v="SO17176"/>
    <x v="4"/>
  </r>
  <r>
    <n v="1"/>
    <s v="SO17180"/>
    <s v="186096"/>
    <s v="Fabrene Inc."/>
    <d v="2025-05-14T13:43:50"/>
    <d v="2025-05-15T15:10:41"/>
    <d v="2025-05-16T00:00:00"/>
    <s v="Ian Trottier"/>
    <x v="0"/>
    <n v="1"/>
    <n v="1039.53"/>
    <n v="0"/>
    <n v="743.05659361371454"/>
    <n v="919.94"/>
    <n v="119.59"/>
    <n v="1039.53"/>
    <s v="Delivered"/>
    <m/>
    <s v="SO17180"/>
    <x v="4"/>
  </r>
  <r>
    <n v="1"/>
    <s v="SO17190"/>
    <s v="4511902588"/>
    <s v="PT Vale Indonesia Tbk."/>
    <d v="2025-05-15T08:26:12"/>
    <d v="2025-05-15T08:27:23"/>
    <d v="2025-05-16T00:00:00"/>
    <s v="Ian Trottier"/>
    <x v="1"/>
    <n v="0.71604059670124165"/>
    <n v="507.5829522437603"/>
    <n v="0"/>
    <n v="363.45"/>
    <n v="363.45"/>
    <m/>
    <n v="363.45"/>
    <s v="Delivered"/>
    <m/>
    <s v="SO17190"/>
    <x v="4"/>
  </r>
  <r>
    <n v="1"/>
    <s v="SO17191"/>
    <s v="SUD1006011"/>
    <s v="Process and Steam Specialties, Process and Steam Specialties"/>
    <d v="2025-05-15T14:53:28"/>
    <d v="2025-05-15T15:05:25"/>
    <d v="2025-05-16T00:00:00"/>
    <s v="Ian Trottier"/>
    <x v="0"/>
    <n v="1"/>
    <n v="1952.11"/>
    <n v="0"/>
    <n v="1395.3692601072289"/>
    <n v="1859.15"/>
    <n v="92.96"/>
    <n v="1952.11"/>
    <s v="Delivered"/>
    <m/>
    <s v="SO17191"/>
    <x v="4"/>
  </r>
  <r>
    <n v="1"/>
    <s v="SO17193"/>
    <s v="OC00168"/>
    <s v="Dynapro Pumps México S de RL de CV"/>
    <d v="2025-05-15T18:34:14"/>
    <d v="2025-05-15T18:33:33"/>
    <d v="2025-06-06T00:00:00"/>
    <s v="Yannett Yeomans"/>
    <x v="1"/>
    <n v="0.71604059670124165"/>
    <n v="670.35305290137558"/>
    <n v="0"/>
    <n v="480"/>
    <n v="480"/>
    <m/>
    <n v="480"/>
    <s v="Delivered"/>
    <m/>
    <s v="SO17193"/>
    <x v="4"/>
  </r>
  <r>
    <n v="1"/>
    <s v="SO17194"/>
    <s v="PO-0020292"/>
    <s v="MAB Equipment Company Inc."/>
    <d v="2025-05-16T11:56:08"/>
    <d v="2025-05-21T16:37:13"/>
    <d v="2025-05-22T00:00:00"/>
    <s v="Ian Trottier"/>
    <x v="1"/>
    <n v="0.7168814564314101"/>
    <n v="3330.6761928057358"/>
    <n v="0"/>
    <n v="2387.6999999999998"/>
    <n v="2387.6999999999998"/>
    <m/>
    <n v="2387.6999999999998"/>
    <s v="Delivered"/>
    <m/>
    <s v="SO17194"/>
    <x v="4"/>
  </r>
  <r>
    <n v="1"/>
    <s v="SO17197"/>
    <s v="P359876"/>
    <s v="Covia Corp - Junction City"/>
    <d v="2025-05-20T09:04:25"/>
    <d v="2025-05-27T13:21:42"/>
    <d v="2025-05-29T00:00:00"/>
    <s v="Marlen Martinez"/>
    <x v="1"/>
    <n v="0.72825076867173777"/>
    <n v="14434.73931263144"/>
    <n v="0"/>
    <n v="10512.11"/>
    <n v="10512.11"/>
    <m/>
    <n v="10512.11"/>
    <s v="Delivered"/>
    <m/>
    <s v="SO17197"/>
    <x v="4"/>
  </r>
  <r>
    <n v="1"/>
    <s v="SO17199"/>
    <s v="054561-00 - Paid in full on June 3rd"/>
    <s v="F H Pumps, Inc., F H Pumps, Inc"/>
    <d v="2025-05-20T11:33:51"/>
    <d v="2025-05-30T11:33:51"/>
    <d v="2025-06-24T00:00:00"/>
    <s v="Ian Trottier"/>
    <x v="1"/>
    <n v="0.72409668123959414"/>
    <n v="2858.5271188601309"/>
    <n v="0"/>
    <n v="2069.85"/>
    <n v="2069.85"/>
    <m/>
    <n v="2069.85"/>
    <s v="Delivered"/>
    <m/>
    <s v="SO17199"/>
    <x v="4"/>
  </r>
  <r>
    <n v="1"/>
    <s v="SO17200"/>
    <s v="P-05252647"/>
    <s v="Industrial Pump Repair Canada"/>
    <d v="2025-05-20T12:36:43"/>
    <d v="2025-05-21T15:26:54"/>
    <d v="2025-08-06T00:00:00"/>
    <s v="Ian Trottier"/>
    <x v="0"/>
    <n v="1"/>
    <n v="8768.5499999999993"/>
    <n v="0"/>
    <n v="6342.789105492031"/>
    <n v="7759.78"/>
    <n v="1008.77"/>
    <n v="8768.5499999999993"/>
    <s v="Delivered"/>
    <m/>
    <s v="SO17200"/>
    <x v="4"/>
  </r>
  <r>
    <n v="4"/>
    <s v="SO17201"/>
    <s v="4501202872"/>
    <s v="Barrick Gold - Pueblo Viejo Dominicana Corporation"/>
    <d v="2025-05-20T13:49:00"/>
    <d v="2025-06-03T14:37:44"/>
    <d v="2025-11-10T00:00:00"/>
    <s v="Wilka Nuñez"/>
    <x v="1"/>
    <n v="0.72982219017840411"/>
    <n v="112468.2711825125"/>
    <n v="0"/>
    <n v="82081.84"/>
    <n v="82081.84"/>
    <m/>
    <n v="82081.84"/>
    <s v="Delivered"/>
    <m/>
    <s v="SO17201"/>
    <x v="4"/>
  </r>
  <r>
    <n v="1"/>
    <s v="SO17202"/>
    <s v="11888"/>
    <s v="Les Pompes Diaspec Inc."/>
    <d v="2025-05-20T13:57:31"/>
    <d v="2025-05-23T08:56:54"/>
    <d v="2025-05-21T00:00:00"/>
    <s v="Ian Trottier"/>
    <x v="0"/>
    <n v="1"/>
    <n v="2214.0300000000002"/>
    <n v="0"/>
    <n v="1609.155427732507"/>
    <n v="2110.85"/>
    <n v="103.18"/>
    <n v="2214.0300000000002"/>
    <s v="Delivered"/>
    <m/>
    <s v="SO17202"/>
    <x v="4"/>
  </r>
  <r>
    <n v="1"/>
    <s v="SO17205"/>
    <s v="QC10-00126625"/>
    <s v="Motion Industries Inc. (Canada) - Chicoutimi, Motion Industries Inc. (Canada) - Chicoutimi"/>
    <d v="2025-05-20T15:52:23"/>
    <d v="2025-05-28T10:25:17"/>
    <d v="2025-05-29T00:00:00"/>
    <s v="Ian Trottier"/>
    <x v="0"/>
    <n v="1"/>
    <n v="161.09"/>
    <n v="0"/>
    <n v="116.5545039384138"/>
    <n v="153.41999999999999"/>
    <n v="7.67"/>
    <n v="161.09"/>
    <s v="Delivered"/>
    <m/>
    <s v="SO17205"/>
    <x v="4"/>
  </r>
  <r>
    <n v="1"/>
    <s v="SO17207"/>
    <s v="4501193354"/>
    <s v="Barrick Gold - Pueblo Viejo Dominicana Corporation"/>
    <d v="2025-05-21T08:28:15"/>
    <d v="2025-05-21T08:55:57"/>
    <d v="2025-06-13T00:00:00"/>
    <s v="Wilka Nuñez"/>
    <x v="1"/>
    <n v="0.7168814564314101"/>
    <n v="1350.878853556532"/>
    <n v="0"/>
    <n v="968.42"/>
    <n v="968.42"/>
    <m/>
    <n v="968.42"/>
    <s v="Delivered"/>
    <m/>
    <s v="SO17207"/>
    <x v="4"/>
  </r>
  <r>
    <n v="1"/>
    <s v="SO17209"/>
    <s v="OC00169"/>
    <s v="Dynapro Pumps México S de RL de CV"/>
    <d v="2025-05-21T15:12:28"/>
    <d v="2025-05-21T15:12:28"/>
    <d v="2024-08-30T00:00:00"/>
    <s v="Yannett Yeomans"/>
    <x v="1"/>
    <n v="0.7168814564314101"/>
    <n v="22413.747567115872"/>
    <n v="0"/>
    <n v="16068"/>
    <n v="16068"/>
    <m/>
    <n v="16068"/>
    <s v="Delivered"/>
    <m/>
    <s v="SO17209"/>
    <x v="4"/>
  </r>
  <r>
    <n v="1"/>
    <s v="SO17210"/>
    <s v="L65270-DS"/>
    <s v="Wild Rows Pump &amp; Compression LTD."/>
    <d v="2025-05-21T15:28:35"/>
    <d v="2025-05-22T11:15:39"/>
    <d v="2025-05-23T00:00:00"/>
    <s v="Taylor Cook"/>
    <x v="0"/>
    <n v="1"/>
    <n v="200.08"/>
    <n v="0"/>
    <n v="144.37987630494791"/>
    <n v="190.55"/>
    <n v="9.5299999999999994"/>
    <n v="200.08"/>
    <s v="Delivered"/>
    <m/>
    <s v="SO17210"/>
    <x v="4"/>
  </r>
  <r>
    <n v="0"/>
    <s v="SO17211"/>
    <s v="4500141767"/>
    <s v="Agnico Eagle Mines Ltd. - Cochrane"/>
    <d v="2025-05-21T16:16:26"/>
    <d v="2025-12-08T18:44:12"/>
    <d v="2026-01-12T00:00:00"/>
    <s v="Ian Trottier"/>
    <x v="0"/>
    <n v="1"/>
    <n v="10137.280000000001"/>
    <n v="10137.280000000001"/>
    <n v="10137.280000000001"/>
    <n v="8971.0400000000009"/>
    <n v="1166.24"/>
    <n v="10137.280000000001"/>
    <s v="Processing"/>
    <m/>
    <s v="SO17211"/>
    <x v="4"/>
  </r>
  <r>
    <n v="1"/>
    <s v="SO17212"/>
    <s v="4500891930"/>
    <s v="Cameco Corporation - Blind River Refinery"/>
    <d v="2025-05-21T16:57:27"/>
    <d v="2025-05-23T08:59:43"/>
    <d v="2025-06-20T00:00:00"/>
    <s v="Ian Trottier"/>
    <x v="0"/>
    <n v="1"/>
    <n v="33432.959999999999"/>
    <n v="0"/>
    <n v="24299.05152557273"/>
    <n v="29586.69"/>
    <n v="3846.27"/>
    <n v="33432.959999999999"/>
    <s v="Delivered"/>
    <m/>
    <s v="SO17212"/>
    <x v="4"/>
  </r>
  <r>
    <n v="3"/>
    <s v="SO17214"/>
    <s v="PO-007990"/>
    <s v="Sling-Choker Manufacturing - Timmins"/>
    <d v="2025-05-21T17:12:11"/>
    <d v="2025-05-22T12:37:23"/>
    <d v="2025-08-28T00:00:00"/>
    <s v="Ian Trottier"/>
    <x v="0"/>
    <n v="1"/>
    <n v="7310.09"/>
    <n v="0"/>
    <n v="5275.0394341165338"/>
    <n v="6469.1"/>
    <n v="840.99"/>
    <n v="7310.09"/>
    <s v="Delivered"/>
    <m/>
    <s v="SO17214"/>
    <x v="4"/>
  </r>
  <r>
    <n v="1"/>
    <s v="SO17216"/>
    <s v="4500597713"/>
    <s v="Resolute Forest Products - Saint-Felicien"/>
    <d v="2025-05-22T09:25:33"/>
    <d v="2025-05-28T15:36:09"/>
    <d v="2025-08-29T00:00:00"/>
    <s v="Ian Trottier"/>
    <x v="0"/>
    <n v="1"/>
    <n v="2313.13"/>
    <n v="0"/>
    <n v="1673.634115681067"/>
    <n v="2202.98"/>
    <n v="110.15"/>
    <n v="2313.13"/>
    <s v="Delivered"/>
    <m/>
    <s v="SO17216"/>
    <x v="4"/>
  </r>
  <r>
    <n v="1"/>
    <s v="SO17218"/>
    <s v="PO-40-1015625"/>
    <s v="Canadian Bearings Ltd., Canadian Bearings Ltd. - Quebec City"/>
    <d v="2025-05-22T14:24:23"/>
    <d v="2025-05-28T16:39:44"/>
    <d v="2025-08-13T00:00:00"/>
    <s v="Ian Trottier"/>
    <x v="0"/>
    <n v="1"/>
    <n v="6231.59"/>
    <n v="0"/>
    <n v="4508.7831721247758"/>
    <n v="5934.85"/>
    <n v="296.74"/>
    <n v="6231.59"/>
    <s v="Delivered"/>
    <m/>
    <s v="SO17218"/>
    <x v="4"/>
  </r>
  <r>
    <n v="1"/>
    <s v="SO17219"/>
    <s v="2112"/>
    <s v="FMI Products"/>
    <d v="2025-05-22T14:36:45"/>
    <d v="2025-05-23T14:31:17"/>
    <d v="2025-05-26T00:00:00"/>
    <s v="Taylor Cook"/>
    <x v="0"/>
    <n v="1"/>
    <n v="166.72"/>
    <n v="0"/>
    <n v="121.1719773045368"/>
    <n v="158.78"/>
    <n v="7.94"/>
    <n v="166.72"/>
    <s v="Delivered"/>
    <m/>
    <s v="SO17219"/>
    <x v="4"/>
  </r>
  <r>
    <n v="1"/>
    <s v="SO17220"/>
    <s v="4501195681"/>
    <s v="Barrick Gold - Pueblo Viejo Dominicana Corporation"/>
    <d v="2025-05-22T15:32:02"/>
    <d v="2025-05-23T09:47:38"/>
    <d v="2025-06-13T00:00:00"/>
    <s v="Wilka Nuñez"/>
    <x v="1"/>
    <n v="0.72335666735002158"/>
    <n v="3563.166161780624"/>
    <n v="0"/>
    <n v="2577.44"/>
    <n v="2577.44"/>
    <m/>
    <n v="2577.44"/>
    <s v="Delivered"/>
    <m/>
    <s v="SO17220"/>
    <x v="4"/>
  </r>
  <r>
    <n v="1"/>
    <s v="SO17221"/>
    <s v="4511929374"/>
    <s v="PT Vale Indonesia Tbk."/>
    <d v="2025-05-23T07:54:59"/>
    <d v="2025-05-23T07:57:46"/>
    <d v="2025-05-26T00:00:00"/>
    <s v="Ian Trottier"/>
    <x v="1"/>
    <n v="0.72335666735002158"/>
    <n v="3548.636676570371"/>
    <n v="0"/>
    <n v="2566.9299999999998"/>
    <n v="2566.9299999999998"/>
    <m/>
    <n v="2566.9299999999998"/>
    <s v="Delivered"/>
    <m/>
    <s v="SO17221"/>
    <x v="4"/>
  </r>
  <r>
    <n v="1"/>
    <s v="SO17222"/>
    <s v="4511929371"/>
    <s v="PT Vale Indonesia Tbk."/>
    <d v="2025-05-23T08:06:46"/>
    <d v="2025-05-23T08:11:52"/>
    <d v="2025-05-26T00:00:00"/>
    <s v="Ian Trottier"/>
    <x v="1"/>
    <n v="0.72335666735002158"/>
    <n v="2706.700702950176"/>
    <n v="0"/>
    <n v="1957.91"/>
    <n v="1957.91"/>
    <m/>
    <n v="1957.91"/>
    <s v="Delivered"/>
    <m/>
    <s v="SO17222"/>
    <x v="4"/>
  </r>
  <r>
    <n v="1"/>
    <s v="SO17223"/>
    <s v="4511929372"/>
    <s v="PT Vale Indonesia Tbk."/>
    <d v="2025-05-23T08:23:53"/>
    <d v="2025-05-23T08:26:29"/>
    <d v="2025-05-26T00:00:00"/>
    <s v="Ian Trottier"/>
    <x v="1"/>
    <n v="0.72335666735002158"/>
    <n v="3525.093657243006"/>
    <n v="0"/>
    <n v="2549.9"/>
    <n v="2549.9"/>
    <m/>
    <n v="2549.9"/>
    <s v="Delivered"/>
    <m/>
    <s v="SO17223"/>
    <x v="4"/>
  </r>
  <r>
    <n v="1"/>
    <s v="SO17224"/>
    <s v="4511929370"/>
    <s v="PT Vale Indonesia Tbk."/>
    <d v="2025-05-23T08:32:16"/>
    <d v="2025-05-23T08:52:51"/>
    <d v="2025-05-26T00:00:00"/>
    <s v="Ian Trottier"/>
    <x v="1"/>
    <n v="0.72335666735002158"/>
    <n v="2605.4781618374532"/>
    <n v="0"/>
    <n v="1884.69"/>
    <n v="1884.69"/>
    <m/>
    <n v="1884.69"/>
    <s v="Delivered"/>
    <m/>
    <s v="SO17224"/>
    <x v="4"/>
  </r>
  <r>
    <n v="1"/>
    <s v="SO17225"/>
    <s v="2100580158"/>
    <s v="Wajax Limited - Noranda"/>
    <d v="2025-05-23T10:26:55"/>
    <d v="2025-05-23T13:52:43"/>
    <d v="2025-05-26T00:00:00"/>
    <s v="Ian Trottier"/>
    <x v="0"/>
    <n v="1"/>
    <n v="391.77"/>
    <n v="0"/>
    <n v="284.73815708132418"/>
    <n v="373.11"/>
    <n v="18.66"/>
    <n v="391.77"/>
    <s v="Delivered"/>
    <m/>
    <s v="SO17225"/>
    <x v="4"/>
  </r>
  <r>
    <n v="1"/>
    <s v="SO17226"/>
    <s v="4501185837"/>
    <s v="Barrick Gold - Pueblo Viejo Dominicana Corporation"/>
    <d v="2025-05-23T11:11:50"/>
    <d v="2025-05-13T11:11:54"/>
    <d v="2025-09-23T00:00:00"/>
    <s v="Jeff Bell"/>
    <x v="1"/>
    <n v="0.71640017533217071"/>
    <n v="48556.660366353062"/>
    <n v="0"/>
    <n v="34786"/>
    <n v="34786"/>
    <m/>
    <n v="34786"/>
    <s v="Delivered"/>
    <m/>
    <s v="SO17226"/>
    <x v="4"/>
  </r>
  <r>
    <n v="1"/>
    <s v="SO17227"/>
    <s v="4511929373"/>
    <s v="PT Vale Indonesia Tbk."/>
    <d v="2025-05-23T13:17:41"/>
    <d v="2025-05-23T13:18:38"/>
    <d v="2025-05-26T00:00:00"/>
    <s v="Ian Trottier"/>
    <x v="1"/>
    <n v="0.72335666735002158"/>
    <n v="134.69150751997569"/>
    <n v="0"/>
    <n v="97.43"/>
    <n v="97.43"/>
    <m/>
    <n v="97.43"/>
    <s v="Delivered"/>
    <m/>
    <s v="SO17227"/>
    <x v="4"/>
  </r>
  <r>
    <n v="1"/>
    <s v="SO17229"/>
    <s v="3006737"/>
    <s v="SCG Process, SCG Process"/>
    <d v="2025-05-23T13:28:39"/>
    <d v="2025-05-23T15:59:21"/>
    <d v="2025-05-26T00:00:00"/>
    <s v="Ian Trottier"/>
    <x v="0"/>
    <n v="1"/>
    <n v="4547.72"/>
    <n v="0"/>
    <n v="3305.279658273681"/>
    <n v="4331.1499999999996"/>
    <n v="216.57"/>
    <n v="4547.72"/>
    <s v="Delivered"/>
    <m/>
    <s v="SO17229"/>
    <x v="4"/>
  </r>
  <r>
    <n v="1"/>
    <s v="SO17230"/>
    <s v="4500598086"/>
    <s v="Resolute Forest Products - Saint-Felicien"/>
    <d v="2025-05-23T16:50:01"/>
    <d v="2025-05-23T16:52:19"/>
    <d v="2025-05-26T00:00:00"/>
    <s v="Ian Trottier"/>
    <x v="0"/>
    <n v="1"/>
    <n v="551.48"/>
    <n v="0"/>
    <n v="400.81527137659521"/>
    <n v="525.22"/>
    <n v="26.26"/>
    <n v="551.48"/>
    <s v="Delivered"/>
    <m/>
    <s v="SO17230"/>
    <x v="4"/>
  </r>
  <r>
    <n v="1"/>
    <s v="SO17234"/>
    <s v="MB21-00189855"/>
    <s v="Motion Industries Inc. (Canada) - Winnipeg"/>
    <d v="2025-05-26T10:16:05"/>
    <d v="2025-05-27T13:55:26"/>
    <d v="2025-05-28T00:00:00"/>
    <s v="Taylor Cook"/>
    <x v="0"/>
    <n v="1"/>
    <n v="132.43"/>
    <n v="0"/>
    <n v="96.115339593466302"/>
    <n v="126.12"/>
    <n v="6.31"/>
    <n v="132.43"/>
    <s v="Delivered"/>
    <m/>
    <s v="SO17234"/>
    <x v="4"/>
  </r>
  <r>
    <n v="1"/>
    <s v="SO17235"/>
    <s v="7183"/>
    <s v="Hyperflo"/>
    <d v="2025-05-26T10:20:39"/>
    <d v="2025-05-26T13:17:24"/>
    <d v="2025-06-19T00:00:00"/>
    <s v="Ian Trottier"/>
    <x v="0"/>
    <n v="1"/>
    <n v="1112.75"/>
    <n v="1112.75"/>
    <n v="1112.75"/>
    <n v="1059.76"/>
    <n v="52.99"/>
    <n v="1112.75"/>
    <s v="Delivered"/>
    <m/>
    <s v="SO17235"/>
    <x v="4"/>
  </r>
  <r>
    <n v="1"/>
    <s v="SO17237"/>
    <s v="7191"/>
    <s v="Hyperflo"/>
    <d v="2025-05-26T15:00:20"/>
    <d v="2025-05-27T12:44:56"/>
    <d v="2025-05-28T00:00:00"/>
    <s v="Ian Trottier"/>
    <x v="0"/>
    <n v="1"/>
    <n v="1086.52"/>
    <n v="0"/>
    <n v="788.57689930599565"/>
    <n v="1034.78"/>
    <n v="51.74"/>
    <n v="1086.52"/>
    <s v="Delivered"/>
    <m/>
    <s v="SO17237"/>
    <x v="4"/>
  </r>
  <r>
    <n v="1"/>
    <s v="SO17238"/>
    <s v="1048 / Ship to PO# 2250165"/>
    <s v="Mill-Right Mine Services Inc."/>
    <d v="2025-05-26T16:04:09"/>
    <d v="2025-05-26T16:04:51"/>
    <d v="2025-06-05T00:00:00"/>
    <s v="Amanda Qiao"/>
    <x v="1"/>
    <n v="0.72793141414156337"/>
    <n v="5353.8560423250119"/>
    <n v="0"/>
    <n v="3897.24"/>
    <n v="3897.24"/>
    <m/>
    <n v="3897.24"/>
    <s v="Delivered"/>
    <m/>
    <s v="SO17238"/>
    <x v="4"/>
  </r>
  <r>
    <n v="1"/>
    <s v="SO17241"/>
    <s v="2100582744"/>
    <s v="Wajax Limited - Noranda"/>
    <d v="2025-05-27T13:48:13"/>
    <d v="2025-05-28T15:29:22"/>
    <d v="2025-05-29T00:00:00"/>
    <s v="Ian Trottier"/>
    <x v="0"/>
    <n v="1"/>
    <n v="300.67"/>
    <n v="0"/>
    <n v="217.54573653959201"/>
    <n v="286.35000000000002"/>
    <n v="14.32"/>
    <n v="300.67"/>
    <s v="Delivered"/>
    <m/>
    <s v="SO17241"/>
    <x v="4"/>
  </r>
  <r>
    <n v="1"/>
    <s v="SO17242"/>
    <s v="1050 Ship to PO# 2250701"/>
    <s v="Mill-Right Mine Services Inc."/>
    <d v="2025-05-27T14:31:01"/>
    <d v="2025-06-05T14:37:39"/>
    <d v="2025-08-26T00:00:00"/>
    <s v="Amanda Qiao"/>
    <x v="1"/>
    <n v="0.73142063106581767"/>
    <n v="3636.7582305189821"/>
    <n v="0"/>
    <n v="2660"/>
    <n v="2660"/>
    <m/>
    <n v="2660"/>
    <s v="Delivered"/>
    <m/>
    <s v="SO17242"/>
    <x v="4"/>
  </r>
  <r>
    <n v="1"/>
    <s v="SO17243"/>
    <s v="3203"/>
    <s v="Les Pompes du St-Laurent Inc."/>
    <d v="2025-05-27T15:34:02"/>
    <d v="2025-06-10T15:34:02"/>
    <d v="2025-08-26T00:00:00"/>
    <s v="Ian Trottier"/>
    <x v="0"/>
    <n v="1"/>
    <n v="18951.39"/>
    <n v="0"/>
    <n v="13848.461135392759"/>
    <n v="18048.939999999999"/>
    <n v="902.45"/>
    <n v="18951.39"/>
    <s v="Delivered"/>
    <m/>
    <s v="SO17243"/>
    <x v="4"/>
  </r>
  <r>
    <n v="1"/>
    <s v="SO17245"/>
    <s v="MB21-00189885"/>
    <s v="Motion Industries Inc. (Canada) - Winnipeg"/>
    <d v="2025-05-27T17:14:43"/>
    <d v="2025-05-27T17:14:58"/>
    <d v="2025-07-29T00:00:00"/>
    <s v="Ian Trottier"/>
    <x v="0"/>
    <n v="1"/>
    <n v="440.87"/>
    <n v="0"/>
    <n v="319.97560799344171"/>
    <n v="419.88"/>
    <n v="20.99"/>
    <n v="440.87"/>
    <s v="Delivered"/>
    <m/>
    <s v="SO17245"/>
    <x v="4"/>
  </r>
  <r>
    <n v="1"/>
    <s v="SO17246"/>
    <s v="2100583535"/>
    <s v="Wajax Limited - Noranda"/>
    <d v="2025-05-28T08:03:53"/>
    <d v="2025-05-29T11:26:14"/>
    <d v="2025-06-02T00:00:00"/>
    <s v="Ian Trottier"/>
    <x v="0"/>
    <n v="1"/>
    <n v="746.81"/>
    <n v="0"/>
    <n v="540.76264251654129"/>
    <n v="711.25"/>
    <n v="35.56"/>
    <n v="746.81"/>
    <s v="Delivered"/>
    <m/>
    <s v="SO17246"/>
    <x v="4"/>
  </r>
  <r>
    <n v="2"/>
    <s v="SO17249"/>
    <s v="PO-008006"/>
    <s v="Sling-Choker Manufacturing - Timmins"/>
    <d v="2025-05-28T12:49:10"/>
    <d v="2025-05-28T12:51:21"/>
    <d v="2025-05-29T00:00:00"/>
    <s v="Ian Trottier"/>
    <x v="0"/>
    <n v="1"/>
    <n v="4908.1099999999997"/>
    <n v="0"/>
    <n v="3551.197009902342"/>
    <n v="4343.46"/>
    <n v="564.65"/>
    <n v="4908.1099999999997"/>
    <s v="Delivered"/>
    <m/>
    <s v="SO17249"/>
    <x v="4"/>
  </r>
  <r>
    <n v="1"/>
    <s v="SO17250"/>
    <s v="4500598918"/>
    <s v="Resolute Forest Products - Dolbeau"/>
    <d v="2025-05-28T16:27:16"/>
    <d v="2025-05-30T15:51:27"/>
    <d v="2025-06-02T00:00:00"/>
    <s v="Amanda Qiao"/>
    <x v="1"/>
    <n v="0.72738688760819992"/>
    <n v="349.59387408832549"/>
    <n v="0"/>
    <n v="254.29"/>
    <n v="254.29"/>
    <m/>
    <n v="254.29"/>
    <s v="Delivered"/>
    <m/>
    <s v="SO17250"/>
    <x v="4"/>
  </r>
  <r>
    <n v="2"/>
    <s v="SO17253"/>
    <s v="4501197712"/>
    <s v="Barrick Gold - Pueblo Viejo Dominicana Corporation"/>
    <d v="2025-05-29T09:31:13"/>
    <d v="2025-05-29T09:36:40"/>
    <d v="2025-08-25T00:00:00"/>
    <s v="Wilka Nuñez"/>
    <x v="1"/>
    <n v="0.72353655682173823"/>
    <n v="206959.96434205471"/>
    <n v="0"/>
    <n v="149743.1"/>
    <n v="149743.1"/>
    <m/>
    <n v="149743.1"/>
    <s v="Delivered"/>
    <m/>
    <s v="SO17253"/>
    <x v="4"/>
  </r>
  <r>
    <n v="1"/>
    <s v="SO17254"/>
    <s v="BC65-00080665"/>
    <s v="Motion Industries Inc. (Canada) - Prince George"/>
    <d v="2025-05-30T10:50:45"/>
    <d v="2025-05-30T10:52:07"/>
    <d v="2025-06-02T00:00:00"/>
    <s v="Ian Trottier"/>
    <x v="0"/>
    <n v="1"/>
    <n v="3553.6"/>
    <n v="0"/>
    <n v="2584.8420438044991"/>
    <n v="3384.38"/>
    <n v="169.22"/>
    <n v="3553.6"/>
    <s v="Delivered"/>
    <m/>
    <s v="SO17254"/>
    <x v="4"/>
  </r>
  <r>
    <n v="1"/>
    <s v="SO17256"/>
    <s v="BC78-00053869"/>
    <s v="Motion Industries Inc. (Canada) - Quesnel"/>
    <d v="2025-05-30T12:09:06"/>
    <d v="2025-06-03T12:57:04"/>
    <d v="2025-06-05T00:00:00"/>
    <s v="Alexis Gil Lamadrid"/>
    <x v="0"/>
    <n v="1"/>
    <n v="596.54999999999995"/>
    <n v="0"/>
    <n v="434.70757805053648"/>
    <n v="568.13"/>
    <n v="28.42"/>
    <n v="596.54999999999995"/>
    <s v="Delivered"/>
    <m/>
    <s v="SO17256"/>
    <x v="4"/>
  </r>
  <r>
    <n v="1"/>
    <s v="SO17257"/>
    <s v="PO 137523"/>
    <s v="TC Industries of Canada Co."/>
    <d v="2025-05-30T14:09:52"/>
    <d v="2025-05-30T14:48:06"/>
    <d v="2025-06-02T00:00:00"/>
    <s v="Ian Trottier"/>
    <x v="0"/>
    <n v="1"/>
    <n v="863.29"/>
    <n v="0"/>
    <n v="627.94582620328288"/>
    <n v="763.98"/>
    <n v="99.31"/>
    <n v="863.29"/>
    <s v="Delivered"/>
    <m/>
    <s v="SO17257"/>
    <x v="4"/>
  </r>
  <r>
    <n v="1"/>
    <s v="SO17259"/>
    <s v="4500598769"/>
    <s v="Resolute Forest Products - Clermont"/>
    <d v="2025-05-30T16:17:21"/>
    <d v="2025-05-30T16:23:52"/>
    <d v="2025-06-02T00:00:00"/>
    <s v="Amanda Qiao"/>
    <x v="0"/>
    <n v="1"/>
    <n v="26.73"/>
    <n v="0"/>
    <n v="19.44305150576718"/>
    <n v="26.73"/>
    <m/>
    <n v="26.73"/>
    <s v="Delivered"/>
    <m/>
    <s v="SO17259"/>
    <x v="4"/>
  </r>
  <r>
    <n v="1"/>
    <s v="SO17260"/>
    <s v="P-60225"/>
    <s v="Cartledge &amp; Associates Inc."/>
    <d v="2025-05-30T16:32:43"/>
    <d v="2025-06-04T11:23:52"/>
    <d v="2025-06-05T00:00:00"/>
    <s v="Ian Trottier"/>
    <x v="1"/>
    <n v="0.7287026704392533"/>
    <n v="3001.2515237273528"/>
    <n v="0"/>
    <n v="2187.02"/>
    <n v="2187.02"/>
    <m/>
    <n v="2187.02"/>
    <s v="Delivered"/>
    <m/>
    <s v="SO17260"/>
    <x v="4"/>
  </r>
  <r>
    <n v="1"/>
    <s v="SO17261"/>
    <s v="03R19899"/>
    <s v="Moffatt Supply &amp; Specialties - Red Lake"/>
    <d v="2025-05-30T16:43:18"/>
    <d v="2025-05-30T16:46:35"/>
    <d v="2025-06-02T00:00:00"/>
    <s v="Ian Trottier"/>
    <x v="0"/>
    <n v="1"/>
    <n v="3169.03"/>
    <n v="0"/>
    <n v="2305.1108684370138"/>
    <n v="2804.45"/>
    <n v="364.58"/>
    <n v="3169.03"/>
    <s v="Delivered"/>
    <m/>
    <s v="SO17261"/>
    <x v="4"/>
  </r>
  <r>
    <n v="1"/>
    <s v="SO17262"/>
    <s v="BC78-00053939"/>
    <s v="Motion Industries Inc. (Canada) - Quesnel"/>
    <d v="2025-05-30T17:11:12"/>
    <d v="2025-06-10T17:28:38"/>
    <d v="2025-06-13T00:00:00"/>
    <s v="Ian Trottier"/>
    <x v="0"/>
    <n v="1"/>
    <n v="2179.6799999999998"/>
    <n v="0"/>
    <n v="1592.770438875084"/>
    <n v="2075.88"/>
    <n v="103.8"/>
    <n v="2179.6799999999998"/>
    <s v="Delivered"/>
    <m/>
    <s v="SO17262"/>
    <x v="4"/>
  </r>
  <r>
    <n v="1"/>
    <s v="SO17263"/>
    <s v="OC00171"/>
    <s v="Dynapro Pumps México S de RL de CV"/>
    <d v="2025-05-30T18:49:57"/>
    <d v="2025-05-30T18:49:40"/>
    <d v="2025-08-29T00:00:00"/>
    <s v="Yannett Yeomans"/>
    <x v="1"/>
    <n v="0.72409668123959414"/>
    <n v="20508.3110926265"/>
    <n v="0"/>
    <n v="14850"/>
    <n v="14850"/>
    <m/>
    <n v="14850"/>
    <s v="Delivered"/>
    <m/>
    <s v="SO17263"/>
    <x v="4"/>
  </r>
  <r>
    <n v="3"/>
    <s v="SO17264"/>
    <s v="BC65-00080743"/>
    <s v="Motion Industries Inc. (Canada) - Prince George"/>
    <d v="2025-06-02T07:59:08"/>
    <d v="2025-06-05T16:42:34"/>
    <d v="2025-08-21T00:00:00"/>
    <s v="Ian Trottier"/>
    <x v="0"/>
    <n v="1"/>
    <n v="4549.3900000000003"/>
    <n v="0"/>
    <n v="3328.7090648040021"/>
    <n v="4332.75"/>
    <n v="216.64"/>
    <n v="4549.3900000000003"/>
    <s v="Delivered"/>
    <m/>
    <s v="SO17264"/>
    <x v="5"/>
  </r>
  <r>
    <n v="1"/>
    <s v="SO17265"/>
    <s v="1049 Ship to PO# 2250529"/>
    <s v="Mill-Right Mine Services Inc."/>
    <d v="2025-06-02T08:09:17"/>
    <d v="2025-06-02T08:10:22"/>
    <d v="2025-06-06T00:00:00"/>
    <s v="Amanda Qiao"/>
    <x v="1"/>
    <n v="0.72782949041434608"/>
    <n v="2677.3028925918761"/>
    <n v="0"/>
    <n v="1948.62"/>
    <n v="1948.62"/>
    <m/>
    <n v="1948.62"/>
    <s v="Delivered"/>
    <m/>
    <s v="SO17265"/>
    <x v="5"/>
  </r>
  <r>
    <n v="1"/>
    <s v="SO17267"/>
    <s v="1024377"/>
    <s v="Thunder Bay Pulp and Paper Inc"/>
    <d v="2025-06-02T10:00:37"/>
    <d v="2025-06-04T12:25:26"/>
    <d v="2025-08-27T00:00:00"/>
    <s v="Ian Trottier"/>
    <x v="0"/>
    <n v="1"/>
    <n v="13676.48"/>
    <n v="0"/>
    <n v="10003.25963235903"/>
    <n v="12103.08"/>
    <n v="1573.4"/>
    <n v="13676.48"/>
    <s v="Delivered"/>
    <m/>
    <s v="SO17267"/>
    <x v="5"/>
  </r>
  <r>
    <n v="1"/>
    <s v="SO17269"/>
    <s v="PSI15784"/>
    <s v="Progressive Sealing Inc."/>
    <d v="2025-06-02T13:51:26"/>
    <d v="2025-06-06T11:50:44"/>
    <d v="2025-08-08T00:00:00"/>
    <s v="Ian Trottier"/>
    <x v="0"/>
    <n v="1"/>
    <n v="5995.8"/>
    <n v="0"/>
    <n v="4380.871989709558"/>
    <n v="5710.29"/>
    <n v="285.51"/>
    <n v="5995.8"/>
    <s v="Delivered"/>
    <m/>
    <s v="SO17269"/>
    <x v="5"/>
  </r>
  <r>
    <n v="1"/>
    <s v="SO17271"/>
    <s v="4500599181"/>
    <s v="Resolute Forest Products - Saint-Felicien"/>
    <d v="2025-06-02T16:06:54"/>
    <d v="2025-06-03T13:47:36"/>
    <d v="2025-06-04T00:00:00"/>
    <s v="Ian Trottier"/>
    <x v="0"/>
    <n v="1"/>
    <n v="255.73"/>
    <n v="0"/>
    <n v="186.3511339114302"/>
    <n v="243.55"/>
    <n v="12.18"/>
    <n v="255.73"/>
    <s v="Delivered"/>
    <m/>
    <s v="SO17271"/>
    <x v="5"/>
  </r>
  <r>
    <n v="1"/>
    <s v="SO17274"/>
    <s v="4505731755-X46"/>
    <s v="BDI Canada Inc - Saskatoon"/>
    <d v="2025-06-03T13:56:44"/>
    <d v="2025-06-04T13:58:27"/>
    <d v="2025-06-06T00:00:00"/>
    <s v="Ian Trottier"/>
    <x v="0"/>
    <n v="1"/>
    <n v="281.7"/>
    <n v="0"/>
    <n v="206.04119177124079"/>
    <n v="268.29000000000002"/>
    <n v="13.41"/>
    <n v="281.7"/>
    <s v="Delivered"/>
    <m/>
    <s v="SO17274"/>
    <x v="5"/>
  </r>
  <r>
    <n v="1"/>
    <s v="SO17276"/>
    <s v="3202"/>
    <s v="Les Pompes du St-Laurent Inc."/>
    <d v="2025-06-04T08:30:30"/>
    <d v="2025-06-10T16:14:55"/>
    <d v="2025-06-11T00:00:00"/>
    <s v="Ian Trottier"/>
    <x v="0"/>
    <n v="1"/>
    <n v="330.7"/>
    <n v="0"/>
    <n v="241.65436400572119"/>
    <n v="314.95"/>
    <n v="15.75"/>
    <n v="330.7"/>
    <s v="Delivered"/>
    <m/>
    <s v="SO17276"/>
    <x v="5"/>
  </r>
  <r>
    <n v="1"/>
    <s v="SO17277"/>
    <s v="AZ52-00112386"/>
    <s v="Motion Industries Inc. (U.S.) - Tucson"/>
    <d v="2025-06-04T08:47:10"/>
    <d v="2025-06-04T08:48:37"/>
    <d v="2025-06-05T00:00:00"/>
    <s v="Ian Trottier"/>
    <x v="1"/>
    <n v="0.7287026704392533"/>
    <n v="227.91188606443421"/>
    <n v="0"/>
    <n v="166.08"/>
    <n v="166.08"/>
    <m/>
    <n v="166.08"/>
    <s v="Delivered"/>
    <m/>
    <s v="SO17277"/>
    <x v="5"/>
  </r>
  <r>
    <n v="1"/>
    <s v="SO17278"/>
    <s v="4500586136 Replacement"/>
    <s v="Resolute Forest Products - Clermont"/>
    <d v="2025-06-04T08:48:26"/>
    <d v="2025-06-04T08:49:30"/>
    <d v="2025-04-04T00:00:00"/>
    <s v="Ian Trottier"/>
    <x v="0"/>
    <n v="1"/>
    <n v="0"/>
    <n v="0"/>
    <n v="0"/>
    <m/>
    <m/>
    <m/>
    <s v="Delivered"/>
    <m/>
    <s v="SO17278"/>
    <x v="5"/>
  </r>
  <r>
    <n v="1"/>
    <s v="SO17282"/>
    <s v="4500599628"/>
    <s v="Resolute Forest Products - Dolbeau"/>
    <d v="2025-06-04T10:47:53"/>
    <d v="2025-06-04T10:49:46"/>
    <d v="2025-06-05T00:00:00"/>
    <s v="Ian Trottier"/>
    <x v="0"/>
    <n v="1"/>
    <n v="154.94"/>
    <n v="0"/>
    <n v="113.3263125773378"/>
    <n v="147.56"/>
    <n v="7.38"/>
    <n v="154.94"/>
    <s v="Delivered"/>
    <m/>
    <s v="SO17282"/>
    <x v="5"/>
  </r>
  <r>
    <n v="1"/>
    <s v="SO17283"/>
    <s v="4500599579"/>
    <s v="Resolute Forest Products - Saint-Felicien"/>
    <d v="2025-06-04T11:39:43"/>
    <d v="2025-06-05T15:00:46"/>
    <d v="2024-06-10T00:00:00"/>
    <s v="Ian Trottier"/>
    <x v="0"/>
    <n v="1"/>
    <n v="248.38"/>
    <n v="0"/>
    <n v="181.7353002305843"/>
    <n v="236.55"/>
    <n v="11.83"/>
    <n v="248.38"/>
    <s v="Delivered"/>
    <m/>
    <s v="SO17283"/>
    <x v="5"/>
  </r>
  <r>
    <n v="1"/>
    <s v="SO17284"/>
    <s v="4500586136-Replacment"/>
    <s v="Resolute Forest Products - Clermont"/>
    <d v="2025-06-04T12:53:14"/>
    <d v="2025-06-04T12:54:16"/>
    <d v="2025-06-05T00:00:00"/>
    <s v="Ian Trottier"/>
    <x v="0"/>
    <n v="1"/>
    <n v="0"/>
    <n v="0"/>
    <n v="0"/>
    <m/>
    <m/>
    <m/>
    <s v="Delivered"/>
    <m/>
    <s v="SO17284"/>
    <x v="5"/>
  </r>
  <r>
    <n v="1"/>
    <s v="SO17285"/>
    <s v="21868"/>
    <s v="DRN Industriel"/>
    <d v="2025-06-04T12:55:50"/>
    <d v="2025-10-20T08:00:41"/>
    <d v="2025-10-21T00:00:00"/>
    <s v="Ian Trottier"/>
    <x v="0"/>
    <n v="1"/>
    <n v="286.76"/>
    <n v="0"/>
    <n v="204.38087953342111"/>
    <n v="273.10000000000002"/>
    <n v="13.66"/>
    <n v="286.76"/>
    <s v="Delivered"/>
    <m/>
    <s v="SO17285"/>
    <x v="5"/>
  </r>
  <r>
    <n v="1"/>
    <s v="SO17286"/>
    <s v="2100590458"/>
    <s v="Wajax Limited - Pointe-aux-Trembles"/>
    <d v="2025-06-04T13:04:46"/>
    <d v="2025-06-09T08:24:09"/>
    <d v="2025-06-10T00:00:00"/>
    <s v="Ian Trottier"/>
    <x v="0"/>
    <n v="1"/>
    <n v="889.12"/>
    <n v="0"/>
    <n v="650.09066551502087"/>
    <n v="846.78"/>
    <n v="42.34"/>
    <n v="889.12"/>
    <s v="Delivered"/>
    <m/>
    <s v="SO17286"/>
    <x v="5"/>
  </r>
  <r>
    <n v="1"/>
    <s v="SO17289"/>
    <s v="OC00172"/>
    <s v="Dynapro Pumps México S de RL de CV"/>
    <d v="2025-06-05T10:07:12"/>
    <d v="2025-06-05T10:06:57"/>
    <d v="2025-08-22T00:00:00"/>
    <s v="Yannett Yeomans"/>
    <x v="1"/>
    <n v="0.73142063106581767"/>
    <n v="3459.0219260199342"/>
    <n v="0"/>
    <n v="2530"/>
    <n v="2530"/>
    <m/>
    <n v="2530"/>
    <s v="Delivered"/>
    <m/>
    <s v="SO17289"/>
    <x v="5"/>
  </r>
  <r>
    <n v="2"/>
    <s v="SO17291"/>
    <s v="PO-1813"/>
    <s v="EcoVac Solutions Ltd."/>
    <d v="2025-06-05T14:31:43"/>
    <d v="2025-06-05T14:45:26"/>
    <d v="2025-09-25T00:00:00"/>
    <s v="Ian Trottier"/>
    <x v="0"/>
    <n v="1"/>
    <n v="8789.85"/>
    <n v="0"/>
    <n v="6431.3794537877511"/>
    <n v="7778.63"/>
    <n v="1011.22"/>
    <n v="8789.85"/>
    <s v="Delivered"/>
    <m/>
    <s v="SO17291"/>
    <x v="5"/>
  </r>
  <r>
    <n v="2"/>
    <s v="SO17293"/>
    <s v="RJEDD/IPO/2526/00076"/>
    <s v="Jindal Drilling &amp; Industries Limited"/>
    <d v="2025-06-05T16:05:30"/>
    <d v="2025-06-21T16:05:30"/>
    <d v="2025-06-30T00:00:00"/>
    <s v="Ian Trottier"/>
    <x v="1"/>
    <n v="0.72839293326389742"/>
    <n v="13638.31188680806"/>
    <n v="0"/>
    <n v="9934.0499999999993"/>
    <n v="9934.0499999999993"/>
    <m/>
    <n v="9934.0499999999993"/>
    <s v="Delivered"/>
    <m/>
    <s v="SO17293"/>
    <x v="5"/>
  </r>
  <r>
    <n v="2"/>
    <s v="SO17294"/>
    <s v="4500600086"/>
    <s v="Resolute Forest Products - Saint-Felicien"/>
    <d v="2025-06-06T10:57:39"/>
    <d v="2025-06-10T16:05:44"/>
    <d v="2025-08-26T00:00:00"/>
    <s v="Ian Trottier"/>
    <x v="0"/>
    <n v="1"/>
    <n v="4881.34"/>
    <n v="0"/>
    <n v="3566.9704057928252"/>
    <n v="4648.8900000000003"/>
    <n v="232.45"/>
    <n v="4881.34"/>
    <s v="Delivered"/>
    <m/>
    <s v="SO17294"/>
    <x v="5"/>
  </r>
  <r>
    <n v="1"/>
    <s v="SO17297"/>
    <s v="2100594711"/>
    <s v="Wajax Limited - Lachine"/>
    <d v="2025-06-06T11:21:57"/>
    <d v="2025-06-13T11:40:16"/>
    <d v="2025-06-16T00:00:00"/>
    <s v="Ian Trottier"/>
    <x v="0"/>
    <n v="1"/>
    <n v="3201.22"/>
    <n v="0"/>
    <n v="2358.005911200114"/>
    <n v="3048.78"/>
    <n v="152.44"/>
    <n v="3201.22"/>
    <s v="Delivered"/>
    <m/>
    <s v="SO17297"/>
    <x v="5"/>
  </r>
  <r>
    <n v="1"/>
    <s v="SO17298"/>
    <s v="4500896245"/>
    <s v="Cameco Corporation - Blind River Refinery"/>
    <d v="2025-06-06T12:48:17"/>
    <d v="2025-06-23T09:52:03"/>
    <d v="2025-09-08T00:00:00"/>
    <s v="Ian Trottier"/>
    <x v="0"/>
    <n v="1"/>
    <n v="7149.54"/>
    <n v="0"/>
    <n v="5191.5114032325218"/>
    <n v="6327.03"/>
    <n v="822.51"/>
    <n v="7149.54"/>
    <s v="Delivered"/>
    <m/>
    <s v="SO17298"/>
    <x v="5"/>
  </r>
  <r>
    <n v="1"/>
    <s v="SO17299"/>
    <s v="PO 4500600220"/>
    <s v="Resolute Forest Products - Fibrek, Resolute Forest Products - Fibrek"/>
    <d v="2025-06-06T13:10:08"/>
    <d v="2025-06-10T15:34:10"/>
    <d v="2025-06-11T00:00:00"/>
    <s v="Ian Trottier"/>
    <x v="0"/>
    <n v="1"/>
    <n v="1406.84"/>
    <n v="0"/>
    <n v="1028.0285015355571"/>
    <n v="1339.85"/>
    <n v="66.989999999999995"/>
    <n v="1406.84"/>
    <s v="To Deliver"/>
    <m/>
    <s v="SO17299"/>
    <x v="5"/>
  </r>
  <r>
    <n v="1"/>
    <s v="SO17300"/>
    <s v="4501206829"/>
    <s v="Barrick Gold - Pueblo Viejo Dominicana Corporation"/>
    <d v="2025-06-06T14:19:20"/>
    <d v="2025-06-06T14:32:08"/>
    <d v="2025-06-18T00:00:00"/>
    <s v="Wilka Nuñez"/>
    <x v="1"/>
    <n v="0.73168250354531084"/>
    <n v="15638.95534546069"/>
    <n v="0"/>
    <n v="11442.75"/>
    <n v="11442.75"/>
    <m/>
    <n v="11442.75"/>
    <s v="Delivered"/>
    <m/>
    <s v="SO17300"/>
    <x v="5"/>
  </r>
  <r>
    <n v="2"/>
    <s v="SO17304"/>
    <s v="PO-008029"/>
    <s v="Sling-Choker Manufacturing - Timmins"/>
    <d v="2025-06-09T11:16:05"/>
    <d v="2025-06-09T17:16:58"/>
    <d v="2025-08-25T00:00:00"/>
    <s v="Ian Trottier"/>
    <x v="0"/>
    <n v="1"/>
    <n v="9590.9599999999991"/>
    <n v="0"/>
    <n v="7012.5445039229162"/>
    <n v="8487.59"/>
    <n v="1103.3699999999999"/>
    <n v="9590.9599999999991"/>
    <s v="Delivered"/>
    <m/>
    <s v="SO17304"/>
    <x v="5"/>
  </r>
  <r>
    <n v="1"/>
    <s v="SO17311"/>
    <s v="1024866"/>
    <s v="Thunder Bay Pulp and Paper Inc"/>
    <d v="2025-06-09T16:42:49"/>
    <d v="2025-06-16T10:14:59"/>
    <d v="2025-09-14T00:00:00"/>
    <s v="Ian Trottier"/>
    <x v="0"/>
    <n v="1"/>
    <n v="49415.4"/>
    <n v="0"/>
    <n v="36448.314609907138"/>
    <n v="43730.44"/>
    <n v="5684.96"/>
    <n v="49415.4"/>
    <s v="Delivered"/>
    <m/>
    <s v="SO17311"/>
    <x v="5"/>
  </r>
  <r>
    <n v="1"/>
    <s v="SO17312"/>
    <s v="0005999"/>
    <s v="QI Supply Limited"/>
    <d v="2025-06-09T17:07:49"/>
    <d v="2025-06-11T11:46:30"/>
    <d v="2025-09-24T00:00:00"/>
    <s v="Ian Trottier"/>
    <x v="0"/>
    <n v="1"/>
    <n v="10428.75"/>
    <n v="0"/>
    <n v="7632.4541295444478"/>
    <n v="9932.14"/>
    <n v="496.61"/>
    <n v="10428.75"/>
    <s v="Delivered"/>
    <m/>
    <s v="SO17312"/>
    <x v="5"/>
  </r>
  <r>
    <n v="1"/>
    <s v="SO17313"/>
    <s v="OC00174"/>
    <s v="Dynapro Pumps México S de RL de CV"/>
    <d v="2025-06-09T18:42:09"/>
    <d v="2025-06-09T18:40:57"/>
    <d v="2025-06-09T00:00:00"/>
    <s v="Yannett Yeomans"/>
    <x v="1"/>
    <n v="0.73007596812830444"/>
    <n v="3670.8508662060399"/>
    <n v="0"/>
    <n v="2680"/>
    <n v="2680"/>
    <m/>
    <n v="2680"/>
    <s v="Delivered"/>
    <m/>
    <s v="SO17313"/>
    <x v="5"/>
  </r>
  <r>
    <n v="1"/>
    <s v="SO17315"/>
    <s v="1052, ship to PO# 2251390"/>
    <s v="Mill-Right Mine Services Inc."/>
    <d v="2025-06-10T12:40:52"/>
    <d v="2025-06-20T07:49:59"/>
    <d v="2025-10-01T00:00:00"/>
    <s v="Amanda Qiao"/>
    <x v="1"/>
    <n v="0.73067487305017076"/>
    <n v="9028.6394719735035"/>
    <n v="0"/>
    <n v="6597"/>
    <n v="6597"/>
    <m/>
    <n v="6597"/>
    <s v="Delivered"/>
    <m/>
    <s v="SO17315"/>
    <x v="5"/>
  </r>
  <r>
    <n v="1"/>
    <s v="SO17316"/>
    <s v="2100592601"/>
    <s v="Wajax Limited - Noranda"/>
    <d v="2025-06-10T14:25:38"/>
    <d v="2025-06-12T17:14:48"/>
    <d v="2025-06-16T00:00:00"/>
    <s v="Ian Trottier"/>
    <x v="0"/>
    <n v="1"/>
    <n v="1493.63"/>
    <n v="0"/>
    <n v="1096.769802253523"/>
    <n v="1422.5"/>
    <n v="71.13"/>
    <n v="1493.63"/>
    <s v="Delivered"/>
    <m/>
    <s v="SO17316"/>
    <x v="5"/>
  </r>
  <r>
    <n v="1"/>
    <s v="SO17317"/>
    <s v="4500600624"/>
    <s v="Resolute Forest Products - Kenogami"/>
    <d v="2025-06-10T16:29:11"/>
    <d v="2025-06-10T16:30:32"/>
    <d v="2025-06-11T00:00:00"/>
    <s v="Ian Trottier"/>
    <x v="0"/>
    <n v="1"/>
    <n v="1973.54"/>
    <n v="0"/>
    <n v="1442.1365392798641"/>
    <n v="1879.56"/>
    <n v="93.98"/>
    <n v="1973.54"/>
    <s v="Delivered"/>
    <m/>
    <s v="SO17317"/>
    <x v="5"/>
  </r>
  <r>
    <n v="1"/>
    <s v="SO17318"/>
    <s v="2100594290"/>
    <s v="Wajax Limited - Pointe-aux-Trembles, Wajax Limited"/>
    <d v="2025-06-10T16:39:10"/>
    <d v="2025-06-12T17:49:34"/>
    <d v="2025-06-13T00:00:00"/>
    <s v="Marlen Martinez"/>
    <x v="0"/>
    <n v="1"/>
    <n v="480.54"/>
    <n v="0"/>
    <n v="352.85965116856778"/>
    <n v="457.66"/>
    <n v="22.88"/>
    <n v="480.54"/>
    <s v="Delivered"/>
    <m/>
    <s v="SO17318"/>
    <x v="5"/>
  </r>
  <r>
    <n v="1"/>
    <s v="SO17319"/>
    <s v="Purchase Order no. 7269 | Steve"/>
    <s v="Hyperflo"/>
    <d v="2025-06-10T16:44:33"/>
    <d v="2025-06-10T16:44:33"/>
    <d v="2025-06-17T00:00:00"/>
    <s v="Ian Trottier"/>
    <x v="0"/>
    <n v="1"/>
    <n v="477.52"/>
    <n v="0"/>
    <n v="348.94100967648018"/>
    <n v="454.78"/>
    <n v="22.74"/>
    <n v="477.52"/>
    <s v="Delivered"/>
    <m/>
    <s v="SO17319"/>
    <x v="5"/>
  </r>
  <r>
    <n v="1"/>
    <s v="SO17320"/>
    <s v="7247"/>
    <s v="Hyperflo"/>
    <d v="2025-06-10T16:50:31"/>
    <d v="2025-06-11T17:07:06"/>
    <d v="2025-08-27T00:00:00"/>
    <s v="Ian Trottier"/>
    <x v="0"/>
    <n v="1"/>
    <n v="5246.09"/>
    <n v="0"/>
    <n v="3839.4382149789599"/>
    <n v="4996.2700000000004"/>
    <n v="249.82"/>
    <n v="5246.09"/>
    <s v="Delivered"/>
    <m/>
    <s v="SO17320"/>
    <x v="5"/>
  </r>
  <r>
    <n v="3"/>
    <s v="SO17321"/>
    <s v="A20250612"/>
    <s v="Alpha Industrial &amp; Mining Supplies Limited"/>
    <d v="2025-06-11T09:51:29"/>
    <d v="2025-06-12T15:46:43"/>
    <d v="2025-09-04T00:00:00"/>
    <s v="Ian Trottier"/>
    <x v="0"/>
    <n v="1"/>
    <n v="7848.62"/>
    <n v="0"/>
    <n v="5763.2274427823804"/>
    <n v="6945.69"/>
    <n v="902.93"/>
    <n v="7848.62"/>
    <s v="Delivered"/>
    <m/>
    <s v="SO17321"/>
    <x v="5"/>
  </r>
  <r>
    <n v="1"/>
    <s v="SO17322"/>
    <s v="4501209961"/>
    <s v="Barrick Gold - Pueblo Viejo Dominicana Corporation"/>
    <d v="2025-06-11T10:14:14"/>
    <d v="2025-06-11T10:17:49"/>
    <m/>
    <s v="Wilka Nuñez"/>
    <x v="1"/>
    <n v="0.73073590567197222"/>
    <n v="25507.710590544379"/>
    <n v="0"/>
    <n v="18639.400000000001"/>
    <n v="18639.400000000001"/>
    <m/>
    <n v="18639.400000000001"/>
    <s v="Delivered"/>
    <m/>
    <s v="SO17322"/>
    <x v="5"/>
  </r>
  <r>
    <n v="1"/>
    <s v="SO17325"/>
    <s v="3577 - Paid in Full on June 25th via wire transfer."/>
    <s v="Middle Georgia Fluid Sealing LLC"/>
    <d v="2025-06-11T15:45:58"/>
    <d v="2025-06-13T11:50:55"/>
    <d v="2025-06-24T00:00:00"/>
    <s v="Ian Trottier"/>
    <x v="1"/>
    <n v="0.73429818780656719"/>
    <n v="17703.053358786648"/>
    <n v="0"/>
    <n v="12999.32"/>
    <n v="12999.32"/>
    <m/>
    <n v="12999.32"/>
    <s v="Delivered"/>
    <m/>
    <s v="SO17325"/>
    <x v="5"/>
  </r>
  <r>
    <n v="1"/>
    <s v="SO17329"/>
    <s v="BC65-00080832"/>
    <s v="Motion Industries Inc. (Canada) - Prince George"/>
    <d v="2025-06-12T12:14:45"/>
    <d v="2025-06-13T11:56:18"/>
    <d v="2025-06-16T00:00:00"/>
    <s v="Ian Trottier"/>
    <x v="0"/>
    <n v="1"/>
    <n v="601.01"/>
    <n v="0"/>
    <n v="442.70157399065988"/>
    <n v="572.4"/>
    <n v="28.61"/>
    <n v="601.01"/>
    <s v="Delivered"/>
    <m/>
    <s v="SO17329"/>
    <x v="5"/>
  </r>
  <r>
    <n v="2"/>
    <s v="SO17332"/>
    <s v="PO-0020398"/>
    <s v="MAB Equipment Company Inc."/>
    <d v="2025-06-12T17:23:27"/>
    <d v="2025-06-13T15:33:10"/>
    <d v="2025-09-25T00:00:00"/>
    <s v="Ian Trottier"/>
    <x v="1"/>
    <n v="0.73429818780656719"/>
    <n v="3642.0081710789732"/>
    <n v="0"/>
    <n v="2674.32"/>
    <n v="2674.32"/>
    <m/>
    <n v="2674.32"/>
    <s v="Delivered"/>
    <m/>
    <s v="SO17332"/>
    <x v="5"/>
  </r>
  <r>
    <n v="1"/>
    <s v="SO17333"/>
    <s v="2100594387"/>
    <s v="Wajax Limited - Pointe-aux-Trembles, Wajax Limited"/>
    <d v="2025-06-12T18:12:04"/>
    <d v="2025-06-12T18:00:09"/>
    <d v="2025-07-18T00:00:00"/>
    <s v="Marlen Martinez"/>
    <x v="0"/>
    <n v="1"/>
    <n v="717.28"/>
    <n v="0"/>
    <n v="526.69740414989451"/>
    <n v="683.13"/>
    <n v="34.15"/>
    <n v="717.28"/>
    <s v="Delivered"/>
    <m/>
    <s v="SO17333"/>
    <x v="5"/>
  </r>
  <r>
    <n v="1"/>
    <s v="SO17334"/>
    <s v="2252777"/>
    <s v="Zijin Mining - Rosebel Goldmines N.V."/>
    <d v="2025-06-13T07:29:21"/>
    <d v="2025-07-15T08:44:20"/>
    <d v="2025-08-04T00:00:00"/>
    <s v="Amanda Qiao"/>
    <x v="1"/>
    <n v="0.73022664145869165"/>
    <n v="14951.741528068629"/>
    <n v="0"/>
    <n v="10918.16"/>
    <n v="10918.16"/>
    <m/>
    <n v="10918.16"/>
    <s v="Delivered"/>
    <m/>
    <s v="SO17334"/>
    <x v="5"/>
  </r>
  <r>
    <n v="1"/>
    <s v="SO17337"/>
    <s v="10450"/>
    <s v="Canadian Industrial Pumps Ltd, Canadian Industrial Pumps Ltd"/>
    <d v="2025-06-13T08:35:02"/>
    <d v="2025-06-30T12:19:15"/>
    <d v="2025-07-09T00:00:00"/>
    <s v="Taylor Cook"/>
    <x v="0"/>
    <n v="1"/>
    <n v="2720.49"/>
    <n v="0"/>
    <n v="1997.43387246153"/>
    <n v="2720.49"/>
    <m/>
    <n v="2720.49"/>
    <s v="Delivered"/>
    <m/>
    <s v="SO17337"/>
    <x v="5"/>
  </r>
  <r>
    <n v="1"/>
    <s v="SO17338"/>
    <s v="M-083855"/>
    <s v="Grant Aggregate"/>
    <d v="2025-06-13T10:01:27"/>
    <d v="2025-06-16T08:14:28"/>
    <d v="2025-06-18T00:00:00"/>
    <s v="Ian Trottier"/>
    <x v="0"/>
    <n v="1"/>
    <n v="266.38"/>
    <n v="0"/>
    <n v="196.47927661795839"/>
    <n v="235.74"/>
    <n v="30.64"/>
    <n v="266.38"/>
    <s v="Delivered"/>
    <m/>
    <s v="SO17338"/>
    <x v="5"/>
  </r>
  <r>
    <n v="1"/>
    <s v="SO17345"/>
    <s v="4500601157"/>
    <s v="Resolute Forest Products - Saint-Felicien"/>
    <d v="2025-06-13T13:55:41"/>
    <d v="2025-06-13T14:03:32"/>
    <d v="2025-08-22T00:00:00"/>
    <s v="Ian Trottier"/>
    <x v="0"/>
    <n v="1"/>
    <n v="1668.56"/>
    <n v="0"/>
    <n v="1229.054655160239"/>
    <n v="1589.1"/>
    <n v="79.459999999999994"/>
    <n v="1668.56"/>
    <s v="Delivered"/>
    <m/>
    <s v="SO17345"/>
    <x v="5"/>
  </r>
  <r>
    <n v="1"/>
    <s v="SO17346"/>
    <s v="PO-008046"/>
    <s v="Sling-Choker Manufacturing - Timmins"/>
    <d v="2025-06-13T15:19:04"/>
    <d v="2025-06-13T15:21:16"/>
    <d v="2025-06-13T00:00:00"/>
    <s v="Ian Trottier"/>
    <x v="0"/>
    <n v="1"/>
    <n v="4457.7"/>
    <n v="0"/>
    <n v="3283.524078431582"/>
    <n v="3944.87"/>
    <n v="512.83000000000004"/>
    <n v="4457.7"/>
    <s v="Delivered"/>
    <m/>
    <s v="SO17346"/>
    <x v="5"/>
  </r>
  <r>
    <n v="1"/>
    <s v="SO17349"/>
    <s v="PO09675"/>
    <s v="Tantalum Mining Corporation of Canada"/>
    <d v="2025-06-16T08:34:59"/>
    <d v="2025-06-16T08:36:37"/>
    <d v="2025-06-19T00:00:00"/>
    <s v="Taylor Cook"/>
    <x v="0"/>
    <n v="1"/>
    <n v="1003.33"/>
    <n v="0"/>
    <n v="740.04637213415515"/>
    <n v="955.55"/>
    <n v="47.78"/>
    <n v="1003.33"/>
    <s v="Delivered"/>
    <m/>
    <s v="SO17349"/>
    <x v="5"/>
  </r>
  <r>
    <n v="1"/>
    <s v="SO17353"/>
    <s v="2100596118"/>
    <s v="Wajax Limited - Noranda"/>
    <d v="2025-06-16T13:40:23"/>
    <d v="2025-06-16T14:35:22"/>
    <d v="2025-06-20T00:00:00"/>
    <s v="Ian Trottier"/>
    <x v="0"/>
    <n v="1"/>
    <n v="2758.72"/>
    <n v="0"/>
    <n v="2034.8048276578361"/>
    <n v="2627.35"/>
    <n v="131.37"/>
    <n v="2758.72"/>
    <s v="Delivered"/>
    <m/>
    <s v="SO17353"/>
    <x v="5"/>
  </r>
  <r>
    <n v="1"/>
    <s v="SO17355"/>
    <s v="WV70-00220419"/>
    <s v="Motion Industries Inc. (U.S.) - Huntington, Motion Industries, Inc."/>
    <d v="2025-06-16T14:17:37"/>
    <d v="2025-06-18T12:45:05"/>
    <d v="2025-06-25T00:00:00"/>
    <s v="Ian Trottier"/>
    <x v="1"/>
    <n v="0.73586843526375945"/>
    <n v="466.65950534610732"/>
    <n v="0"/>
    <n v="343.4"/>
    <n v="343.4"/>
    <m/>
    <n v="343.4"/>
    <s v="Delivered"/>
    <m/>
    <s v="SO17355"/>
    <x v="5"/>
  </r>
  <r>
    <n v="1"/>
    <s v="SO17356"/>
    <s v="4009449"/>
    <s v="John Brooks Company Limited"/>
    <d v="2025-06-16T14:44:19"/>
    <d v="2025-06-16T14:44:19"/>
    <d v="2025-09-03T00:00:00"/>
    <s v="Ian Trottier"/>
    <x v="0"/>
    <n v="1"/>
    <n v="12164.25"/>
    <n v="0"/>
    <n v="8972.2315511675097"/>
    <n v="10764.82"/>
    <n v="1399.43"/>
    <n v="12164.25"/>
    <s v="Delivered"/>
    <m/>
    <s v="SO17356"/>
    <x v="5"/>
  </r>
  <r>
    <n v="1"/>
    <s v="SO17357"/>
    <s v="186395"/>
    <s v="Fabrene Inc."/>
    <d v="2025-06-16T15:05:53"/>
    <d v="2025-06-17T16:45:04"/>
    <d v="2025-06-23T00:00:00"/>
    <s v="Alexis Gil Lamadrid"/>
    <x v="0"/>
    <n v="1"/>
    <n v="320.69"/>
    <n v="0"/>
    <n v="235.985648504735"/>
    <n v="283.8"/>
    <n v="36.89"/>
    <n v="320.69"/>
    <s v="Delivered"/>
    <m/>
    <s v="SO17357"/>
    <x v="5"/>
  </r>
  <r>
    <n v="1"/>
    <s v="SO17358"/>
    <s v="2254977"/>
    <s v="Zijin Mining - Rosebel Goldmines N.V."/>
    <d v="2025-06-16T15:09:18"/>
    <d v="2025-08-28T11:38:49"/>
    <d v="2025-09-02T00:00:00"/>
    <s v="Amanda Qiao"/>
    <x v="1"/>
    <n v="0.72328577573707276"/>
    <n v="7496.7878283992541"/>
    <n v="0"/>
    <n v="5422.32"/>
    <n v="5422.32"/>
    <m/>
    <n v="5422.32"/>
    <s v="Delivered"/>
    <m/>
    <s v="SO17358"/>
    <x v="5"/>
  </r>
  <r>
    <n v="1"/>
    <s v="SO17360"/>
    <s v="A20250620"/>
    <s v="Alpha Industrial &amp; Mining Supplies Limited"/>
    <d v="2025-06-17T10:36:01"/>
    <d v="2025-06-19T10:36:02"/>
    <d v="2025-07-14T00:00:00"/>
    <s v="Wilka Nuñez"/>
    <x v="0"/>
    <n v="1"/>
    <n v="5855.32"/>
    <n v="0"/>
    <n v="4262.6341917826312"/>
    <n v="5181.7"/>
    <n v="673.62"/>
    <n v="5855.32"/>
    <s v="Delivered"/>
    <m/>
    <s v="SO17360"/>
    <x v="5"/>
  </r>
  <r>
    <n v="2"/>
    <s v="SO17366"/>
    <s v="PO# 1051, Ship to PO# 2251356"/>
    <s v="Mill-Right Mine Services Inc."/>
    <d v="2025-06-18T07:53:00"/>
    <d v="2025-06-18T07:53:44"/>
    <d v="2025-06-20T00:00:00"/>
    <s v="Amanda Qiao"/>
    <x v="1"/>
    <n v="0.73586843526375945"/>
    <n v="2778.8255372946642"/>
    <n v="0"/>
    <n v="2044.85"/>
    <n v="2044.85"/>
    <m/>
    <n v="2044.85"/>
    <s v="Delivered"/>
    <m/>
    <s v="SO17366"/>
    <x v="5"/>
  </r>
  <r>
    <n v="2"/>
    <s v="SO17367"/>
    <s v="40-1016149"/>
    <s v="Canadian Bearings Ltd."/>
    <d v="2025-06-18T12:37:59"/>
    <d v="2025-06-18T13:14:49"/>
    <d v="2025-06-20T00:00:00"/>
    <s v="Ian Trottier"/>
    <x v="0"/>
    <n v="1"/>
    <n v="614.73"/>
    <n v="0"/>
    <n v="449.16776471013151"/>
    <n v="585.46"/>
    <n v="29.27"/>
    <n v="614.73"/>
    <s v="Delivered"/>
    <m/>
    <s v="SO17367"/>
    <x v="5"/>
  </r>
  <r>
    <n v="2"/>
    <s v="SO17368"/>
    <s v="4501226064"/>
    <s v="Barrick Gold - Pueblo Viejo Dominicana Corporation"/>
    <d v="2025-06-18T16:27:44"/>
    <d v="2025-07-01T14:46:51"/>
    <d v="2025-08-08T00:00:00"/>
    <s v="Wilka Nuñez"/>
    <x v="1"/>
    <n v="0.73078653074427524"/>
    <n v="21669.460688981169"/>
    <n v="0"/>
    <n v="15835.75"/>
    <n v="15835.75"/>
    <m/>
    <n v="15835.75"/>
    <s v="Delivered"/>
    <m/>
    <s v="SO17368"/>
    <x v="5"/>
  </r>
  <r>
    <n v="1"/>
    <s v="SO17369"/>
    <s v="4500581058"/>
    <s v="Glencore Canada Corporation - Rouyn-Noranda, Glencore Canada Corp."/>
    <d v="2025-06-18T19:29:59"/>
    <d v="2025-06-19T11:32:47"/>
    <d v="2025-06-20T00:00:00"/>
    <s v="Ian Trottier"/>
    <x v="0"/>
    <n v="1"/>
    <n v="2622.07"/>
    <n v="0"/>
    <n v="1908.849599210203"/>
    <n v="2497.21"/>
    <n v="124.86"/>
    <n v="2622.07"/>
    <s v="Delivered"/>
    <m/>
    <s v="SO17369"/>
    <x v="5"/>
  </r>
  <r>
    <n v="1"/>
    <s v="SO17370"/>
    <s v="3007134"/>
    <s v="SCG Process, SCG Process"/>
    <d v="2025-06-19T10:22:40"/>
    <d v="2025-06-19T10:42:24"/>
    <d v="2025-06-20T00:00:00"/>
    <s v="Ian Trottier"/>
    <x v="0"/>
    <n v="1"/>
    <n v="4547.72"/>
    <n v="0"/>
    <n v="3310.7100494343108"/>
    <n v="4331.1499999999996"/>
    <n v="216.57"/>
    <n v="4547.72"/>
    <s v="Delivered"/>
    <m/>
    <s v="SO17370"/>
    <x v="5"/>
  </r>
  <r>
    <n v="1"/>
    <s v="SO17372"/>
    <s v="3283"/>
    <s v="Les Pompes du St-Laurent Inc."/>
    <d v="2025-06-19T18:09:44"/>
    <d v="2025-08-26T12:29:41"/>
    <d v="2025-08-27T00:00:00"/>
    <s v="Ian Trottier"/>
    <x v="0"/>
    <n v="1"/>
    <n v="1111.57"/>
    <n v="0"/>
    <n v="803.98276973605789"/>
    <n v="1058.6400000000001"/>
    <n v="52.93"/>
    <n v="1111.57"/>
    <s v="Delivered"/>
    <m/>
    <s v="SO17372"/>
    <x v="5"/>
  </r>
  <r>
    <n v="1"/>
    <s v="SO17375"/>
    <s v="186419"/>
    <s v="Fabrene Inc."/>
    <d v="2025-06-20T10:06:03"/>
    <d v="2025-06-20T10:26:55"/>
    <d v="2025-06-23T00:00:00"/>
    <s v="Wilka Nuñez"/>
    <x v="0"/>
    <n v="1"/>
    <n v="480.49"/>
    <n v="0"/>
    <n v="349.758658202079"/>
    <n v="425.21"/>
    <n v="55.28"/>
    <n v="480.49"/>
    <s v="Delivered"/>
    <m/>
    <s v="SO17375"/>
    <x v="5"/>
  </r>
  <r>
    <n v="1"/>
    <s v="SO17379"/>
    <s v="4500602254"/>
    <s v="Resolute Forest Products - Saint-Felicien"/>
    <d v="2025-06-23T06:57:40"/>
    <d v="2025-06-23T06:57:40"/>
    <d v="2025-09-19T00:00:00"/>
    <s v="Ian Trottier"/>
    <x v="0"/>
    <n v="1"/>
    <n v="6506.97"/>
    <n v="0"/>
    <n v="4724.9206180386327"/>
    <n v="6197.11"/>
    <n v="309.86"/>
    <n v="6506.97"/>
    <s v="Delivered"/>
    <m/>
    <s v="SO17379"/>
    <x v="5"/>
  </r>
  <r>
    <n v="2"/>
    <s v="SO17382"/>
    <s v="A20250624"/>
    <s v="Alpha Industrial &amp; Mining Supplies Limited"/>
    <d v="2025-06-23T13:04:41"/>
    <d v="2025-06-24T09:38:16"/>
    <d v="2025-07-16T00:00:00"/>
    <s v="Wilka Nuñez"/>
    <x v="0"/>
    <n v="1"/>
    <n v="544.12"/>
    <n v="0"/>
    <n v="396.8028235847375"/>
    <n v="481.52"/>
    <n v="62.6"/>
    <n v="544.12"/>
    <s v="Delivered"/>
    <m/>
    <s v="SO17382"/>
    <x v="5"/>
  </r>
  <r>
    <n v="1"/>
    <s v="SO17383"/>
    <s v="RJEDD/lPO/2526/00070"/>
    <s v="Jindal Drilling &amp; Industries Limited"/>
    <d v="2025-06-23T14:46:00"/>
    <d v="2025-06-21T14:39:47"/>
    <d v="2025-09-22T00:00:00"/>
    <s v="Alexis Gil Lamadrid"/>
    <x v="1"/>
    <n v="0.72839293326389742"/>
    <n v="5802.1430563067106"/>
    <n v="0"/>
    <n v="4226.24"/>
    <n v="4226.24"/>
    <m/>
    <n v="4226.24"/>
    <s v="Delivered"/>
    <m/>
    <s v="SO17383"/>
    <x v="5"/>
  </r>
  <r>
    <n v="2"/>
    <s v="SO17384"/>
    <s v="RJEDD/lPO/2526/00062"/>
    <s v="Jindal Drilling &amp; Industries Limited"/>
    <d v="2025-06-23T17:16:59"/>
    <d v="2025-06-21T16:52:01"/>
    <d v="2025-06-30T00:00:00"/>
    <s v="Alexis Gil Lamadrid"/>
    <x v="1"/>
    <n v="0.72839293326389742"/>
    <n v="8492.4217651063773"/>
    <n v="0"/>
    <n v="6185.82"/>
    <n v="6185.82"/>
    <m/>
    <n v="6185.82"/>
    <s v="Delivered"/>
    <m/>
    <s v="SO17384"/>
    <x v="5"/>
  </r>
  <r>
    <n v="1"/>
    <s v="SO17385"/>
    <s v="4512028739"/>
    <s v="PT Vale Indonesia Tbk."/>
    <d v="2025-06-23T17:29:04"/>
    <d v="2025-06-23T17:30:45"/>
    <d v="2025-06-24T00:00:00"/>
    <s v="Ian Trottier"/>
    <x v="1"/>
    <n v="0.72839293326389742"/>
    <n v="116.6540696918257"/>
    <n v="0"/>
    <n v="84.97"/>
    <n v="84.97"/>
    <m/>
    <n v="84.97"/>
    <s v="Delivered"/>
    <m/>
    <s v="SO17385"/>
    <x v="5"/>
  </r>
  <r>
    <n v="1"/>
    <s v="SO17386"/>
    <s v="4512028738"/>
    <s v="PT Vale Indonesia Tbk."/>
    <d v="2025-06-23T17:37:16"/>
    <d v="2025-06-23T17:38:36"/>
    <d v="2025-06-24T00:00:00"/>
    <s v="Ian Trottier"/>
    <x v="1"/>
    <n v="0.72839293326389742"/>
    <n v="270.84282533604062"/>
    <n v="0"/>
    <n v="197.28"/>
    <n v="197.28"/>
    <m/>
    <n v="197.28"/>
    <s v="Delivered"/>
    <m/>
    <s v="SO17386"/>
    <x v="5"/>
  </r>
  <r>
    <n v="1"/>
    <s v="SO17388"/>
    <s v="PO#  M-083882"/>
    <s v="Grant Aggregate"/>
    <d v="2025-06-24T09:29:44"/>
    <d v="2025-07-08T07:56:27"/>
    <d v="2025-07-08T00:00:00"/>
    <s v="Ian Trottier"/>
    <x v="0"/>
    <n v="1"/>
    <n v="2569.87"/>
    <n v="2569.87"/>
    <n v="2569.87"/>
    <n v="2274.2199999999998"/>
    <n v="295.64999999999998"/>
    <n v="2569.87"/>
    <s v="Delivered"/>
    <m/>
    <s v="SO17388"/>
    <x v="5"/>
  </r>
  <r>
    <n v="1"/>
    <s v="SO17389"/>
    <s v="SC02-00230914"/>
    <s v="Motion Industries Inc. (U.S.) - Greer"/>
    <d v="2025-06-24T10:06:17"/>
    <d v="2025-07-08T12:27:32"/>
    <d v="2025-07-09T00:00:00"/>
    <s v="Ian Trottier"/>
    <x v="1"/>
    <n v="0.73511294228208912"/>
    <n v="15199.17465378059"/>
    <n v="0"/>
    <n v="11173.11"/>
    <n v="11173.11"/>
    <m/>
    <n v="11173.11"/>
    <s v="Delivered"/>
    <m/>
    <s v="SO17389"/>
    <x v="5"/>
  </r>
  <r>
    <n v="1"/>
    <s v="SO17390"/>
    <s v="4512036945"/>
    <s v="PT Vale Indonesia Tbk."/>
    <d v="2025-06-24T10:12:11"/>
    <d v="2025-06-24T10:12:11"/>
    <m/>
    <s v="Wilka Nuñez"/>
    <x v="1"/>
    <n v="0.72613222714084014"/>
    <n v="2304.800609924439"/>
    <n v="0"/>
    <n v="1673.59"/>
    <n v="1673.59"/>
    <m/>
    <n v="1673.59"/>
    <s v="Delivered"/>
    <m/>
    <s v="SO17390"/>
    <x v="5"/>
  </r>
  <r>
    <n v="2"/>
    <s v="SO17391"/>
    <s v="4512036946"/>
    <s v="PT Vale Indonesia Tbk."/>
    <d v="2025-06-24T10:48:43"/>
    <d v="2025-06-24T10:48:43"/>
    <m/>
    <s v="Wilka Nuñez"/>
    <x v="1"/>
    <n v="0.72613222714084014"/>
    <n v="1404.0831158458541"/>
    <n v="0"/>
    <n v="1019.55"/>
    <n v="1019.55"/>
    <m/>
    <n v="1019.55"/>
    <s v="Delivered"/>
    <m/>
    <s v="SO17391"/>
    <x v="5"/>
  </r>
  <r>
    <n v="1"/>
    <s v="SO17395"/>
    <s v="3233"/>
    <s v="Les Pompes du St-Laurent Inc."/>
    <d v="2025-06-25T07:55:54"/>
    <d v="2025-07-10T16:38:53"/>
    <d v="2025-07-11T00:00:00"/>
    <s v="Ian Trottier"/>
    <x v="0"/>
    <n v="1"/>
    <n v="3155.25"/>
    <n v="3155.25"/>
    <n v="3155.25"/>
    <n v="3005"/>
    <n v="150.25"/>
    <n v="3155.25"/>
    <s v="Delivered"/>
    <m/>
    <s v="SO17395"/>
    <x v="5"/>
  </r>
  <r>
    <n v="1"/>
    <s v="SO17396"/>
    <s v="3030808"/>
    <s v="Flowstar Industrial Inc"/>
    <d v="2025-06-25T08:30:02"/>
    <d v="2025-06-25T08:30:02"/>
    <m/>
    <s v="Ian Trottier"/>
    <x v="0"/>
    <n v="1"/>
    <n v="1397.41"/>
    <n v="1397.41"/>
    <n v="1397.41"/>
    <n v="1225.8"/>
    <n v="171.61"/>
    <n v="1397.41"/>
    <s v="Delivered"/>
    <m/>
    <s v="SO17396"/>
    <x v="5"/>
  </r>
  <r>
    <n v="3"/>
    <s v="SO17397"/>
    <s v="PO-008073"/>
    <s v="Sling-Choker Manufacturing - Timmins"/>
    <d v="2025-06-25T08:50:36"/>
    <d v="2025-06-26T13:21:31"/>
    <m/>
    <s v="Ian Trottier"/>
    <x v="0"/>
    <n v="1"/>
    <n v="876.41"/>
    <n v="0"/>
    <n v="642.94985614592417"/>
    <n v="775.58"/>
    <n v="100.83"/>
    <n v="876.41"/>
    <s v="Delivered"/>
    <m/>
    <s v="SO17397"/>
    <x v="5"/>
  </r>
  <r>
    <n v="1"/>
    <s v="SO17398"/>
    <s v="AB05-00302890"/>
    <s v="Motion Industries Inc. (Canada) - Edmonton"/>
    <d v="2025-06-25T12:06:16"/>
    <d v="2025-06-25T17:02:01"/>
    <d v="2025-07-02T00:00:00"/>
    <s v="Alexis Gil Lamadrid"/>
    <x v="0"/>
    <n v="1"/>
    <n v="132.43"/>
    <n v="132.43"/>
    <n v="132.43"/>
    <n v="126.12"/>
    <n v="6.31"/>
    <n v="132.43"/>
    <s v="Delivered"/>
    <m/>
    <s v="SO17398"/>
    <x v="5"/>
  </r>
  <r>
    <n v="1"/>
    <s v="SO17400"/>
    <s v="U-2251977"/>
    <s v="Zijin Mining - Rosebel Goldmines N.V."/>
    <d v="2025-06-25T14:17:46"/>
    <d v="2025-06-28T09:09:47"/>
    <d v="2025-10-10T00:00:00"/>
    <s v="Amanda Qiao"/>
    <x v="1"/>
    <n v="0.73361766313246568"/>
    <n v="16766.226630204579"/>
    <n v="0"/>
    <n v="12300"/>
    <n v="12300"/>
    <m/>
    <n v="12300"/>
    <s v="Delivered"/>
    <m/>
    <s v="SO17400"/>
    <x v="5"/>
  </r>
  <r>
    <n v="1"/>
    <s v="SO17402"/>
    <s v="186477"/>
    <s v="Fabrene Inc."/>
    <d v="2025-06-25T16:44:45"/>
    <d v="2025-06-25T16:40:57"/>
    <d v="2025-07-02T00:00:00"/>
    <s v="Alexis Gil Lamadrid"/>
    <x v="0"/>
    <n v="1"/>
    <n v="118.65"/>
    <n v="118.65"/>
    <n v="118.65"/>
    <n v="105"/>
    <n v="13.65"/>
    <n v="118.65"/>
    <s v="Delivered"/>
    <m/>
    <s v="SO17402"/>
    <x v="5"/>
  </r>
  <r>
    <n v="1"/>
    <s v="SO17404"/>
    <s v="P07252737"/>
    <s v="Industrial Pump Repair Canada"/>
    <d v="2025-06-26T08:36:44"/>
    <d v="2025-07-09T11:28:48"/>
    <d v="2025-08-13T00:00:00"/>
    <s v="Wilka Nuñez"/>
    <x v="0"/>
    <n v="1"/>
    <n v="150.29"/>
    <n v="0"/>
    <n v="109.73294875244289"/>
    <n v="133"/>
    <n v="17.29"/>
    <n v="150.29"/>
    <s v="Delivered"/>
    <m/>
    <s v="SO17404"/>
    <x v="5"/>
  </r>
  <r>
    <n v="1"/>
    <s v="SO17407"/>
    <s v="ON50-00002822"/>
    <s v="Motion Industries Inc. (Canada) - Winnipeg"/>
    <d v="2025-06-26T16:49:18"/>
    <d v="2025-07-01T09:51:52"/>
    <d v="2025-07-02T00:00:00"/>
    <s v="Wilka Nuñez"/>
    <x v="0"/>
    <n v="1"/>
    <n v="278.16000000000003"/>
    <n v="0"/>
    <n v="203.62659142575569"/>
    <n v="264.91000000000003"/>
    <n v="13.25"/>
    <n v="278.16000000000003"/>
    <s v="Delivered"/>
    <m/>
    <s v="SO17407"/>
    <x v="5"/>
  </r>
  <r>
    <n v="1"/>
    <s v="SO17408"/>
    <s v="BC65-00080989"/>
    <s v="Motion Industries Inc. (Canada) - Prince George"/>
    <d v="2025-06-26T18:35:13"/>
    <d v="2025-06-26T18:37:26"/>
    <d v="2025-07-03T00:00:00"/>
    <s v="Ian Trottier"/>
    <x v="0"/>
    <n v="1"/>
    <n v="198.18"/>
    <n v="0"/>
    <n v="145.38834847959211"/>
    <n v="198.18"/>
    <m/>
    <n v="198.18"/>
    <s v="Delivered"/>
    <m/>
    <s v="SO17408"/>
    <x v="5"/>
  </r>
  <r>
    <n v="2"/>
    <s v="SO17410"/>
    <s v="PO-40-1016426"/>
    <s v="Canadian Bearings Ltd."/>
    <d v="2025-06-27T13:44:01"/>
    <d v="2025-07-07T17:20:09"/>
    <d v="2025-08-11T00:00:00"/>
    <s v="Ian Trottier"/>
    <x v="0"/>
    <n v="1"/>
    <n v="4406.62"/>
    <n v="0"/>
    <n v="3229.0351534718961"/>
    <n v="4196.78"/>
    <n v="209.84"/>
    <n v="4406.62"/>
    <s v="Delivered"/>
    <m/>
    <s v="SO17410"/>
    <x v="5"/>
  </r>
  <r>
    <n v="1"/>
    <s v="SO17413"/>
    <s v="C-3016862763"/>
    <s v="Vallen Canada Inc. - IS Div"/>
    <d v="2025-06-27T19:37:03"/>
    <d v="2025-06-27T19:36:07"/>
    <d v="2025-07-11T00:00:00"/>
    <s v="Alexis Gil Lamadrid"/>
    <x v="0"/>
    <n v="1"/>
    <n v="1976.69"/>
    <n v="0"/>
    <n v="1443.541613185688"/>
    <n v="1749.28"/>
    <n v="227.41"/>
    <n v="1976.69"/>
    <s v="Delivered"/>
    <m/>
    <s v="SO17413"/>
    <x v="5"/>
  </r>
  <r>
    <n v="2"/>
    <s v="SO17421"/>
    <s v="7326"/>
    <s v="Hyperflo"/>
    <d v="2025-07-01T12:22:53"/>
    <d v="2025-07-01T12:20:40"/>
    <d v="2025-09-09T00:00:00"/>
    <s v="Ian Trottier"/>
    <x v="0"/>
    <n v="1"/>
    <n v="11638.66"/>
    <n v="0"/>
    <n v="8520.0627860342447"/>
    <n v="11084.43"/>
    <n v="554.23"/>
    <n v="11638.66"/>
    <s v="Delivered"/>
    <m/>
    <s v="SO17421"/>
    <x v="6"/>
  </r>
  <r>
    <n v="1"/>
    <s v="SO17422"/>
    <s v="PONV-25-1491"/>
    <s v="Tech-Flow"/>
    <d v="2025-07-01T17:21:39"/>
    <d v="2025-07-24T13:14:00"/>
    <d v="2025-09-26T00:00:00"/>
    <s v="Alexis Gil Lamadrid"/>
    <x v="1"/>
    <n v="0.73474516251328958"/>
    <n v="4840.9709671762084"/>
    <n v="0"/>
    <n v="3556.88"/>
    <n v="3556.88"/>
    <m/>
    <n v="3556.88"/>
    <s v="Delivered"/>
    <m/>
    <s v="SO17422"/>
    <x v="6"/>
  </r>
  <r>
    <n v="1"/>
    <s v="SO17423"/>
    <s v="PONV-25-1341"/>
    <s v="Tech-Flow"/>
    <d v="2025-07-01T17:40:47"/>
    <d v="2025-07-01T17:39:30"/>
    <d v="2025-09-26T00:00:00"/>
    <s v="Ian Trottier"/>
    <x v="1"/>
    <n v="0.73078653074427524"/>
    <n v="5852.0646181648326"/>
    <n v="0"/>
    <n v="4276.6099999999997"/>
    <n v="4276.6099999999997"/>
    <m/>
    <n v="4276.6099999999997"/>
    <s v="Delivered"/>
    <m/>
    <s v="SO17423"/>
    <x v="6"/>
  </r>
  <r>
    <n v="2"/>
    <s v="SO17425"/>
    <s v="2251978"/>
    <s v="Zijin Mining - Rosebel Goldmines N.V."/>
    <d v="2025-07-02T09:09:11"/>
    <d v="2025-07-01T09:09:11"/>
    <d v="2025-09-22T00:00:00"/>
    <s v="Amanda Qiao"/>
    <x v="1"/>
    <n v="0.73421842111587643"/>
    <n v="35193.886801052977"/>
    <n v="0"/>
    <n v="25840"/>
    <n v="25840"/>
    <m/>
    <n v="25840"/>
    <s v="Delivered"/>
    <m/>
    <s v="SO17425"/>
    <x v="6"/>
  </r>
  <r>
    <n v="2"/>
    <s v="SO17430"/>
    <s v="PO# 008082"/>
    <s v="Sling-Choker Manufacturing - Timmins"/>
    <d v="2025-07-02T10:22:31"/>
    <d v="2025-07-03T15:10:05"/>
    <d v="2025-10-09T00:00:00"/>
    <s v="Ian Trottier"/>
    <x v="0"/>
    <n v="1"/>
    <n v="3828.5"/>
    <n v="0"/>
    <n v="2823.1158332931159"/>
    <n v="3388.05"/>
    <n v="440.45"/>
    <n v="3828.5"/>
    <s v="Delivered"/>
    <m/>
    <s v="SO17430"/>
    <x v="6"/>
  </r>
  <r>
    <n v="2"/>
    <s v="SO17431"/>
    <s v="PO # 59484"/>
    <s v="Lake Shore Gold Corp"/>
    <d v="2025-07-02T11:32:44"/>
    <d v="2025-07-08T10:05:04"/>
    <m/>
    <s v="Ian Trottier"/>
    <x v="0"/>
    <n v="1"/>
    <n v="485.26"/>
    <n v="485.26"/>
    <n v="485.26"/>
    <n v="429.43"/>
    <n v="55.83"/>
    <n v="485.26"/>
    <s v="Delivered"/>
    <m/>
    <s v="SO17431"/>
    <x v="6"/>
  </r>
  <r>
    <n v="1"/>
    <s v="SO17432"/>
    <s v="1056"/>
    <s v="Mill-Right Mine Services Inc."/>
    <d v="2025-07-02T13:01:24"/>
    <d v="2025-07-30T09:12:44"/>
    <d v="2025-11-11T00:00:00"/>
    <s v="Amanda Qiao"/>
    <x v="1"/>
    <n v="0.72888272157316658"/>
    <n v="861.18106716155762"/>
    <n v="0"/>
    <n v="627.70000000000005"/>
    <n v="627.70000000000005"/>
    <m/>
    <n v="627.70000000000005"/>
    <s v="Delivered"/>
    <m/>
    <s v="SO17432"/>
    <x v="6"/>
  </r>
  <r>
    <n v="1"/>
    <s v="SO17434"/>
    <s v="OC00177"/>
    <s v="Dynapro Pumps México S de RL de CV"/>
    <d v="2025-07-02T18:42:44"/>
    <d v="2025-07-02T18:42:47"/>
    <d v="2025-11-15T00:00:00"/>
    <s v="Yannett Yeomans"/>
    <x v="1"/>
    <n v="0.73421842111587643"/>
    <n v="1195.8294354227751"/>
    <n v="0"/>
    <n v="878"/>
    <n v="878"/>
    <m/>
    <n v="878"/>
    <s v="Delivered"/>
    <m/>
    <s v="SO17434"/>
    <x v="6"/>
  </r>
  <r>
    <n v="0"/>
    <s v="SO17437"/>
    <s v="231167"/>
    <s v="Burlington Pump Inc."/>
    <d v="2025-07-03T11:33:22"/>
    <d v="2025-09-25T07:54:11"/>
    <d v="2026-01-02T00:00:00"/>
    <s v="Wilka Nuñez"/>
    <x v="0"/>
    <n v="1"/>
    <n v="1970.72"/>
    <n v="0"/>
    <n v="1415.323336603095"/>
    <n v="1744"/>
    <n v="226.72"/>
    <n v="1970.72"/>
    <s v="To Deliver"/>
    <m/>
    <s v="SO17437"/>
    <x v="6"/>
  </r>
  <r>
    <n v="1"/>
    <s v="SO17439"/>
    <s v="S303734 Replacement"/>
    <s v="Kumtor Gold Company"/>
    <d v="2025-07-03T16:25:57"/>
    <d v="2025-07-03T16:26:55"/>
    <d v="2025-07-04T00:00:00"/>
    <s v="Ian Trottier"/>
    <x v="1"/>
    <n v="0.7320484304923629"/>
    <n v="0"/>
    <n v="0"/>
    <n v="0"/>
    <m/>
    <m/>
    <m/>
    <s v="Delivered"/>
    <m/>
    <s v="SO17439"/>
    <x v="6"/>
  </r>
  <r>
    <n v="1"/>
    <s v="SO17440"/>
    <s v="4500603259"/>
    <s v="Resolute Forest Products - Fibrek"/>
    <d v="2025-07-03T18:17:06"/>
    <d v="2025-07-03T18:21:27"/>
    <d v="2025-07-11T00:00:00"/>
    <s v="Alexis Gil Lamadrid"/>
    <x v="0"/>
    <n v="1"/>
    <n v="206.81"/>
    <n v="0"/>
    <n v="152.5006100256887"/>
    <n v="196.96"/>
    <n v="9.85"/>
    <n v="206.81"/>
    <s v="Delivered"/>
    <m/>
    <s v="SO17440"/>
    <x v="6"/>
  </r>
  <r>
    <n v="1"/>
    <s v="SO17441"/>
    <s v="2252118"/>
    <s v="Zijin Mining - Rosebel Goldmines N.V."/>
    <d v="2025-07-04T07:43:57"/>
    <d v="2025-07-04T07:44:24"/>
    <d v="2025-09-24T00:00:00"/>
    <s v="Amanda Qiao"/>
    <x v="1"/>
    <n v="0.73739475859817571"/>
    <n v="16680.34639055872"/>
    <n v="0"/>
    <n v="12300"/>
    <n v="12300"/>
    <m/>
    <n v="12300"/>
    <s v="Delivered"/>
    <m/>
    <s v="SO17441"/>
    <x v="6"/>
  </r>
  <r>
    <n v="1"/>
    <s v="SO17442"/>
    <s v="4500125407"/>
    <s v="Agnico Eagle Mines Ltd. - Cochrane"/>
    <d v="2025-07-04T09:18:24"/>
    <d v="2025-07-09T13:12:45"/>
    <d v="2025-07-30T00:00:00"/>
    <s v="Wilka Nuñez"/>
    <x v="0"/>
    <n v="1"/>
    <n v="508.5"/>
    <n v="0"/>
    <n v="371.27689427518283"/>
    <n v="450"/>
    <n v="58.5"/>
    <n v="508.5"/>
    <s v="Delivered"/>
    <m/>
    <s v="SO17442"/>
    <x v="6"/>
  </r>
  <r>
    <n v="1"/>
    <s v="SO17443"/>
    <s v="P-70825"/>
    <s v="Cartledge &amp; Associates Inc."/>
    <d v="2025-07-04T13:18:08"/>
    <d v="2025-07-08T17:11:15"/>
    <d v="2025-07-14T00:00:00"/>
    <s v="Ian Trottier"/>
    <x v="1"/>
    <n v="0.73511294228208912"/>
    <n v="1297.7597660549909"/>
    <n v="0"/>
    <n v="954"/>
    <n v="954"/>
    <m/>
    <n v="954"/>
    <s v="Delivered"/>
    <m/>
    <s v="SO17443"/>
    <x v="6"/>
  </r>
  <r>
    <n v="1"/>
    <s v="SO17444"/>
    <s v="5387042"/>
    <s v="Corrosion Fluid Products Corp., Corrosion Fluid Products Corp. - Chicago"/>
    <d v="2025-07-07T08:05:22"/>
    <d v="2025-07-17T08:50:34"/>
    <d v="2025-10-02T00:00:00"/>
    <s v="Ian Trottier"/>
    <x v="1"/>
    <n v="0.72920119964000452"/>
    <n v="1935.2409193740741"/>
    <n v="0"/>
    <n v="1411.18"/>
    <n v="1411.18"/>
    <m/>
    <n v="1411.18"/>
    <s v="Delivered"/>
    <m/>
    <s v="SO17444"/>
    <x v="6"/>
  </r>
  <r>
    <n v="1"/>
    <s v="SO17446"/>
    <s v="1054"/>
    <s v="Mill-Right Mine Services Inc."/>
    <d v="2025-07-07T09:38:12"/>
    <d v="2025-07-14T09:34:23"/>
    <d v="2025-09-21T00:00:00"/>
    <s v="Amanda Qiao"/>
    <x v="1"/>
    <n v="0.73030448566452189"/>
    <n v="870.13021619575488"/>
    <n v="0"/>
    <n v="635.46"/>
    <n v="635.46"/>
    <m/>
    <n v="635.46"/>
    <s v="Delivered"/>
    <m/>
    <s v="SO17446"/>
    <x v="6"/>
  </r>
  <r>
    <n v="1"/>
    <s v="SO17450"/>
    <s v="P362998"/>
    <s v="Covia Corp - Junction City"/>
    <d v="2025-07-07T12:07:58"/>
    <d v="2025-07-14T11:35:59"/>
    <d v="2025-07-15T00:00:00"/>
    <s v="Marlen Martinez"/>
    <x v="1"/>
    <n v="0.73030448566452189"/>
    <n v="625.39667900904408"/>
    <n v="0"/>
    <n v="456.73"/>
    <n v="456.73"/>
    <m/>
    <n v="456.73"/>
    <s v="Delivered"/>
    <m/>
    <s v="SO17450"/>
    <x v="6"/>
  </r>
  <r>
    <n v="1"/>
    <s v="SO17451"/>
    <s v="PO13590"/>
    <s v="Manufacture Sling-Choker (Val-d’Or) Ltée"/>
    <d v="2025-07-07T13:35:14"/>
    <d v="2025-07-09T16:15:43"/>
    <d v="2025-07-16T00:00:00"/>
    <s v="Ian Trottier"/>
    <x v="0"/>
    <n v="1"/>
    <n v="132.47"/>
    <n v="0"/>
    <n v="96.721829271648886"/>
    <n v="126.16"/>
    <n v="6.31"/>
    <n v="132.47"/>
    <s v="Delivered"/>
    <m/>
    <s v="SO17451"/>
    <x v="6"/>
  </r>
  <r>
    <n v="1"/>
    <s v="SO17452"/>
    <s v="3724"/>
    <s v="Middle Georgia Fluid Sealing LLC"/>
    <d v="2025-07-07T17:11:00"/>
    <d v="2025-07-11T15:44:47"/>
    <d v="2025-07-28T00:00:00"/>
    <s v="Ian Trottier"/>
    <x v="1"/>
    <n v="0.73014138500527581"/>
    <n v="31601.61918480114"/>
    <n v="0"/>
    <n v="23073.65"/>
    <n v="23073.65"/>
    <m/>
    <n v="23073.65"/>
    <s v="Delivered"/>
    <m/>
    <s v="SO17452"/>
    <x v="6"/>
  </r>
  <r>
    <n v="2"/>
    <s v="SO17453"/>
    <s v="4500604129"/>
    <s v="Resolute Forest Products - Fibrek"/>
    <d v="2025-07-07T18:07:02"/>
    <d v="2025-07-09T16:57:41"/>
    <d v="2025-07-23T00:00:00"/>
    <s v="Alexis Gil Lamadrid"/>
    <x v="0"/>
    <n v="1"/>
    <n v="1315.82"/>
    <n v="0"/>
    <n v="960.73463721764199"/>
    <n v="1315.82"/>
    <m/>
    <n v="1315.82"/>
    <s v="Delivered"/>
    <m/>
    <s v="SO17453"/>
    <x v="6"/>
  </r>
  <r>
    <n v="1"/>
    <s v="SO17454"/>
    <s v="4500603419"/>
    <s v="Resolute Forest Products - Clermont"/>
    <d v="2025-07-07T19:27:45"/>
    <d v="2025-07-08T13:35:01"/>
    <d v="2025-08-27T00:00:00"/>
    <s v="Alexis Gil Lamadrid"/>
    <x v="0"/>
    <n v="1"/>
    <n v="803.27"/>
    <n v="803.27"/>
    <n v="803.27"/>
    <n v="765.02"/>
    <n v="38.25"/>
    <n v="803.27"/>
    <s v="Delivered"/>
    <m/>
    <s v="SO17454"/>
    <x v="6"/>
  </r>
  <r>
    <n v="1"/>
    <s v="SO17455"/>
    <s v="4500582108"/>
    <s v="Glencore Canada Corporation - Rouyn-Noranda, Glencore Canada Corp."/>
    <d v="2025-07-08T10:25:26"/>
    <d v="2025-07-08T10:31:29"/>
    <d v="2025-07-11T00:00:00"/>
    <s v="Ian Trottier"/>
    <x v="0"/>
    <n v="1"/>
    <n v="115.14"/>
    <n v="115.14"/>
    <n v="115.14"/>
    <n v="109.66"/>
    <n v="5.48"/>
    <n v="115.14"/>
    <s v="Delivered"/>
    <m/>
    <s v="SO17455"/>
    <x v="6"/>
  </r>
  <r>
    <n v="2"/>
    <s v="SO17456"/>
    <s v="4512094907"/>
    <s v="PT Vale Indonesia Tbk."/>
    <d v="2025-07-08T11:11:51"/>
    <d v="2025-07-09T14:14:01"/>
    <d v="2025-07-24T00:00:00"/>
    <s v="Wilka Nuñez"/>
    <x v="1"/>
    <n v="0.73276914130828075"/>
    <n v="504.7155770502157"/>
    <n v="0"/>
    <n v="369.84"/>
    <n v="369.84"/>
    <m/>
    <n v="369.84"/>
    <s v="Delivered"/>
    <m/>
    <s v="SO17456"/>
    <x v="6"/>
  </r>
  <r>
    <n v="1"/>
    <s v="SO17457"/>
    <s v="PO003472"/>
    <s v="Eleazar General &amp; Industrial Supplies Limited"/>
    <d v="2025-07-08T11:55:12"/>
    <d v="2025-09-11T08:20:06"/>
    <d v="2025-09-15T00:00:00"/>
    <s v="Wilka Nuñez"/>
    <x v="1"/>
    <n v="0.72223660770473652"/>
    <n v="627.21827607109424"/>
    <n v="0"/>
    <n v="453"/>
    <n v="453"/>
    <m/>
    <n v="453"/>
    <s v="Delivered"/>
    <m/>
    <s v="SO17457"/>
    <x v="6"/>
  </r>
  <r>
    <n v="1"/>
    <s v="SO17459"/>
    <s v="2100609815"/>
    <s v="Wajax Limited - Noranda"/>
    <d v="2025-07-08T15:37:59"/>
    <d v="2025-07-09T17:30:31"/>
    <d v="2025-07-10T00:00:00"/>
    <s v="Ian Trottier"/>
    <x v="0"/>
    <n v="1"/>
    <n v="3201.22"/>
    <n v="0"/>
    <n v="2337.3432045065888"/>
    <n v="3048.78"/>
    <n v="152.44"/>
    <n v="3201.22"/>
    <s v="Delivered"/>
    <m/>
    <s v="SO17459"/>
    <x v="6"/>
  </r>
  <r>
    <n v="2"/>
    <s v="SO17461"/>
    <s v="2100610848"/>
    <s v="Wajax Limited - Noranda"/>
    <d v="2025-07-08T17:29:09"/>
    <d v="2025-07-09T18:47:10"/>
    <d v="2025-07-16T00:00:00"/>
    <s v="Ian Trottier"/>
    <x v="0"/>
    <n v="1"/>
    <n v="1033.58"/>
    <n v="0"/>
    <n v="754.65953271375292"/>
    <n v="984.36"/>
    <n v="49.22"/>
    <n v="1033.58"/>
    <s v="Delivered"/>
    <m/>
    <s v="SO17461"/>
    <x v="6"/>
  </r>
  <r>
    <n v="1"/>
    <s v="SO17462"/>
    <s v="607053"/>
    <s v="Sealtrac Inc."/>
    <d v="2025-07-09T16:35:29"/>
    <d v="2025-09-26T15:33:35"/>
    <d v="2025-09-28T00:00:00"/>
    <s v="Ian Trottier"/>
    <x v="0"/>
    <n v="1"/>
    <n v="825.78"/>
    <n v="0"/>
    <n v="592.07402214435069"/>
    <n v="730.78"/>
    <n v="95"/>
    <n v="825.78"/>
    <s v="Delivered"/>
    <m/>
    <s v="SO17462"/>
    <x v="6"/>
  </r>
  <r>
    <n v="2"/>
    <s v="SO17464"/>
    <s v="PO-40-1016572"/>
    <s v="Canadian Bearings Ltd."/>
    <d v="2025-07-09T16:45:58"/>
    <d v="2025-07-11T11:56:46"/>
    <d v="2025-07-25T00:00:00"/>
    <s v="Ian Trottier"/>
    <x v="0"/>
    <n v="1"/>
    <n v="3013.5"/>
    <n v="0"/>
    <n v="2202.6518076182278"/>
    <n v="2870"/>
    <n v="143.5"/>
    <n v="3013.5"/>
    <s v="Delivered"/>
    <m/>
    <s v="SO17464"/>
    <x v="6"/>
  </r>
  <r>
    <n v="1"/>
    <s v="SO17466"/>
    <s v="4500604516"/>
    <s v="Resolute Forest Products - Clermont"/>
    <d v="2025-07-09T17:44:35"/>
    <d v="2025-07-09T18:07:21"/>
    <d v="2025-07-19T00:00:00"/>
    <s v="Alexis Gil Lamadrid"/>
    <x v="1"/>
    <n v="0.73276914130828075"/>
    <n v="1448.4097926190959"/>
    <n v="0"/>
    <n v="1061.3499999999999"/>
    <n v="1010.81"/>
    <n v="50.54"/>
    <n v="1061.3499999999999"/>
    <s v="Delivered"/>
    <m/>
    <s v="SO17466"/>
    <x v="6"/>
  </r>
  <r>
    <n v="1"/>
    <s v="SO17467"/>
    <s v="7369"/>
    <s v="Hyperflo"/>
    <d v="2025-07-09T19:05:44"/>
    <d v="2025-07-09T19:05:57"/>
    <d v="2025-07-16T00:00:00"/>
    <s v="Ian Trottier"/>
    <x v="0"/>
    <n v="1"/>
    <n v="213.9"/>
    <n v="213.9"/>
    <n v="213.9"/>
    <n v="213.9"/>
    <m/>
    <n v="213.9"/>
    <s v="Delivered"/>
    <m/>
    <s v="SO17467"/>
    <x v="6"/>
  </r>
  <r>
    <n v="1"/>
    <s v="SO17468"/>
    <s v="4500604485"/>
    <s v="Resolute Forest Products - Saint-Felicien"/>
    <d v="2025-07-10T08:31:06"/>
    <d v="2025-07-11T17:20:57"/>
    <d v="2025-07-18T00:00:00"/>
    <s v="Ian Trottier"/>
    <x v="0"/>
    <n v="1"/>
    <n v="418.03"/>
    <n v="0"/>
    <n v="305.54987062838819"/>
    <n v="398.12"/>
    <n v="19.91"/>
    <n v="418.03"/>
    <s v="Delivered"/>
    <m/>
    <s v="SO17468"/>
    <x v="6"/>
  </r>
  <r>
    <n v="1"/>
    <s v="SO17471"/>
    <s v="607024"/>
    <s v="Sealtrac Inc."/>
    <d v="2025-07-10T10:10:55"/>
    <d v="2025-07-10T16:13:36"/>
    <d v="2025-08-14T00:00:00"/>
    <s v="Ian Trottier"/>
    <x v="0"/>
    <n v="1"/>
    <n v="1011.03"/>
    <n v="1011.03"/>
    <n v="1011.03"/>
    <n v="894.72"/>
    <n v="116.31"/>
    <n v="1011.03"/>
    <s v="Delivered"/>
    <m/>
    <s v="SO17471"/>
    <x v="6"/>
  </r>
  <r>
    <n v="1"/>
    <s v="SO17472"/>
    <s v="PO003448"/>
    <s v="Eleazar General &amp; Industrial Supplies Limited"/>
    <d v="2025-07-10T10:13:24"/>
    <d v="2025-08-18T13:37:19"/>
    <d v="2025-08-19T00:00:00"/>
    <s v="Ian Trottier"/>
    <x v="1"/>
    <n v="0.7240742470894046"/>
    <n v="4600.0945529951023"/>
    <n v="0"/>
    <n v="3330.81"/>
    <n v="3330.81"/>
    <m/>
    <n v="3330.81"/>
    <s v="Delivered"/>
    <m/>
    <s v="SO17472"/>
    <x v="6"/>
  </r>
  <r>
    <n v="1"/>
    <s v="SO17475"/>
    <s v="1055"/>
    <s v="Mill-Right Mine Services Inc."/>
    <d v="2025-07-10T13:07:37"/>
    <d v="2025-07-22T15:31:03"/>
    <d v="2025-07-23T00:00:00"/>
    <s v="Amanda Qiao"/>
    <x v="0"/>
    <n v="1"/>
    <n v="11078.21"/>
    <n v="11078.21"/>
    <n v="11078.21"/>
    <n v="9803.7199999999993"/>
    <n v="1274.49"/>
    <n v="11078.21"/>
    <s v="Delivered"/>
    <m/>
    <s v="SO17475"/>
    <x v="6"/>
  </r>
  <r>
    <n v="2"/>
    <s v="SO17477"/>
    <s v="4501234300"/>
    <s v="Barrick Gold - Pueblo Viejo Dominicana Corporation"/>
    <d v="2025-07-10T14:18:17"/>
    <d v="2025-07-17T16:04:23"/>
    <d v="2025-12-04T00:00:00"/>
    <s v="Wilka Nuñez"/>
    <x v="1"/>
    <n v="0.72920119964000452"/>
    <n v="92841.399648577761"/>
    <n v="0"/>
    <n v="67700.06"/>
    <n v="67700.06"/>
    <m/>
    <n v="67700.06"/>
    <s v="Delivered"/>
    <m/>
    <s v="SO17477"/>
    <x v="6"/>
  </r>
  <r>
    <n v="1"/>
    <s v="SO17478"/>
    <s v="6961401 - Paid in full on July 11th 2025"/>
    <s v="Stroudsburg Electric Motor Service/BDS"/>
    <d v="2025-07-10T14:25:56"/>
    <d v="2025-07-11T10:12:18"/>
    <d v="2025-07-11T00:00:00"/>
    <s v="Ian Trottier"/>
    <x v="1"/>
    <n v="0.73014138500527581"/>
    <n v="1530.0598253198971"/>
    <n v="0"/>
    <n v="1117.1600000000001"/>
    <n v="1117.1600000000001"/>
    <m/>
    <n v="1117.1600000000001"/>
    <s v="Delivered"/>
    <m/>
    <s v="SO17478"/>
    <x v="6"/>
  </r>
  <r>
    <n v="1"/>
    <s v="SO17481"/>
    <s v="PO-041427"/>
    <s v="Southeast Pump Specialist, Inc."/>
    <d v="2025-07-10T15:12:00"/>
    <d v="2025-07-14T10:10:30"/>
    <d v="2025-08-04T00:00:00"/>
    <s v="Ian Trottier"/>
    <x v="1"/>
    <n v="0.73030448566452189"/>
    <n v="11693.90325218822"/>
    <n v="0"/>
    <n v="8540.11"/>
    <n v="8540.11"/>
    <m/>
    <n v="8540.11"/>
    <s v="Delivered"/>
    <m/>
    <s v="SO17481"/>
    <x v="6"/>
  </r>
  <r>
    <n v="1"/>
    <s v="SO17482"/>
    <s v="PO-041381"/>
    <s v="Southeast Pump Specialist, Inc."/>
    <d v="2025-07-10T15:25:15"/>
    <d v="2025-07-15T15:25:15"/>
    <d v="2025-11-11T00:00:00"/>
    <s v="Ian Trottier"/>
    <x v="1"/>
    <n v="0.73022664145869165"/>
    <n v="5167.2176633580812"/>
    <n v="0"/>
    <n v="3773.24"/>
    <n v="3773.24"/>
    <m/>
    <n v="3773.24"/>
    <s v="Delivered"/>
    <m/>
    <s v="SO17482"/>
    <x v="6"/>
  </r>
  <r>
    <n v="2"/>
    <s v="SO17483"/>
    <s v="4501236472"/>
    <s v="Barrick Gold - Pueblo Viejo Dominicana Corporation"/>
    <d v="2025-07-10T15:30:42"/>
    <d v="2025-07-17T15:05:08"/>
    <d v="2025-12-04T00:00:00"/>
    <s v="Wilka Nuñez"/>
    <x v="1"/>
    <n v="0.72920119964000452"/>
    <n v="35091.878637381451"/>
    <n v="0"/>
    <n v="25589.040000000001"/>
    <n v="25589.040000000001"/>
    <m/>
    <n v="25589.040000000001"/>
    <s v="Delivered"/>
    <m/>
    <s v="SO17483"/>
    <x v="6"/>
  </r>
  <r>
    <n v="2"/>
    <s v="SO17484"/>
    <s v="607025"/>
    <s v="Sealtrac Inc."/>
    <d v="2025-07-10T15:46:47"/>
    <d v="2025-07-10T15:52:43"/>
    <d v="2025-07-11T00:00:00"/>
    <s v="Ian Trottier"/>
    <x v="0"/>
    <n v="1"/>
    <n v="1259.5"/>
    <n v="1259.5"/>
    <n v="1259.5"/>
    <n v="1114.5999999999999"/>
    <n v="144.9"/>
    <n v="1259.5"/>
    <s v="Delivered"/>
    <m/>
    <s v="SO17484"/>
    <x v="6"/>
  </r>
  <r>
    <n v="1"/>
    <s v="SO17485"/>
    <s v="3255"/>
    <s v="Les Pompes du St-Laurent Inc."/>
    <d v="2025-07-10T16:40:18"/>
    <d v="2025-07-11T12:21:22"/>
    <d v="2025-07-14T00:00:00"/>
    <s v="Ian Trottier"/>
    <x v="0"/>
    <n v="1"/>
    <n v="825.91"/>
    <n v="0"/>
    <n v="603.6808211149729"/>
    <n v="786.58"/>
    <n v="39.33"/>
    <n v="825.91"/>
    <s v="Delivered"/>
    <m/>
    <s v="SO17485"/>
    <x v="6"/>
  </r>
  <r>
    <n v="1"/>
    <s v="SO17486"/>
    <s v="OC00180"/>
    <s v="Dynapro Pumps México S de RL de CV"/>
    <d v="2025-07-10T18:53:22"/>
    <d v="2025-07-10T18:52:53"/>
    <d v="2025-08-15T00:00:00"/>
    <s v="Yannett Yeomans"/>
    <x v="1"/>
    <n v="0.73014138500527581"/>
    <n v="3207.5979366421989"/>
    <n v="0"/>
    <n v="2342"/>
    <n v="2342"/>
    <m/>
    <n v="2342"/>
    <s v="Delivered"/>
    <m/>
    <s v="SO17486"/>
    <x v="6"/>
  </r>
  <r>
    <n v="2"/>
    <s v="SO17488"/>
    <s v="PO-40-1016737"/>
    <s v="Canadian Bearings Ltd."/>
    <d v="2025-07-11T13:59:55"/>
    <d v="2025-07-18T13:17:46"/>
    <d v="2025-10-24T00:00:00"/>
    <s v="Ian Trottier"/>
    <x v="0"/>
    <n v="1"/>
    <n v="4054.67"/>
    <n v="0"/>
    <n v="2956.6572436864758"/>
    <n v="3861.59"/>
    <n v="193.08"/>
    <n v="4054.67"/>
    <s v="Delivered"/>
    <m/>
    <s v="SO17488"/>
    <x v="6"/>
  </r>
  <r>
    <n v="0"/>
    <s v="SO17489"/>
    <s v="2100611083"/>
    <s v="Wajax Limited - Timmins"/>
    <d v="2025-07-11T14:49:12"/>
    <d v="2025-09-05T12:41:39"/>
    <d v="2025-11-28T00:00:00"/>
    <s v="Alexis Gil Lamadrid"/>
    <x v="0"/>
    <n v="1"/>
    <n v="1690.5"/>
    <n v="0"/>
    <n v="1222.662773743981"/>
    <n v="1610"/>
    <n v="80.5"/>
    <n v="1690.5"/>
    <s v="Processing"/>
    <m/>
    <s v="SO17489"/>
    <x v="6"/>
  </r>
  <r>
    <n v="1"/>
    <s v="SO17491"/>
    <s v="4500605083"/>
    <s v="Resolute Forest Products - Alma"/>
    <d v="2025-07-11T16:32:41"/>
    <d v="2025-07-14T15:26:46"/>
    <d v="2025-08-25T00:00:00"/>
    <s v="Ian Trottier"/>
    <x v="0"/>
    <n v="1"/>
    <n v="2171.9299999999998"/>
    <n v="0"/>
    <n v="1585.945952699087"/>
    <n v="2068.5"/>
    <n v="103.43"/>
    <n v="2171.9299999999998"/>
    <s v="Delivered"/>
    <m/>
    <s v="SO17491"/>
    <x v="6"/>
  </r>
  <r>
    <n v="2"/>
    <s v="SO17494"/>
    <s v="PO-40-1016782"/>
    <s v="Canadian Bearings Ltd."/>
    <d v="2025-07-11T17:03:18"/>
    <d v="2025-07-11T17:01:33"/>
    <d v="2025-10-28T00:00:00"/>
    <s v="Alexis Gil Lamadrid"/>
    <x v="0"/>
    <n v="1"/>
    <n v="3317.66"/>
    <n v="0"/>
    <n v="2424.9708963207868"/>
    <n v="3159.68"/>
    <n v="157.97999999999999"/>
    <n v="3317.66"/>
    <s v="Delivered"/>
    <m/>
    <s v="SO17494"/>
    <x v="6"/>
  </r>
  <r>
    <n v="2"/>
    <s v="SO17496"/>
    <s v="OC00181"/>
    <s v="Dynapro Pumps México S de RL de CV"/>
    <d v="2025-07-11T18:43:51"/>
    <d v="2025-07-11T18:43:41"/>
    <d v="2025-09-12T00:00:00"/>
    <s v="Yannett Yeomans"/>
    <x v="1"/>
    <n v="0.73014138500527581"/>
    <n v="15706.54702707632"/>
    <n v="0"/>
    <n v="11468"/>
    <n v="11468"/>
    <m/>
    <n v="11468"/>
    <s v="Delivered"/>
    <m/>
    <s v="SO17496"/>
    <x v="6"/>
  </r>
  <r>
    <n v="1"/>
    <s v="SO17497"/>
    <s v="S306876 Replacement"/>
    <s v="Kumtor Gold Company"/>
    <d v="2025-07-14T08:38:21"/>
    <d v="2025-07-14T08:40:14"/>
    <d v="2025-10-15T00:00:00"/>
    <s v="Ian Trottier"/>
    <x v="1"/>
    <n v="0.73030448566452189"/>
    <n v="0"/>
    <n v="0"/>
    <n v="0"/>
    <m/>
    <m/>
    <m/>
    <s v="Delivered"/>
    <m/>
    <s v="SO17497"/>
    <x v="6"/>
  </r>
  <r>
    <n v="2"/>
    <s v="SO17506"/>
    <s v="4500605118"/>
    <s v="Resolute Forest Products - Fibrek"/>
    <d v="2025-07-14T19:02:31"/>
    <d v="2025-07-18T14:20:37"/>
    <d v="2025-08-12T00:00:00"/>
    <s v="Alexis Gil Lamadrid"/>
    <x v="0"/>
    <n v="1"/>
    <n v="3957.98"/>
    <n v="0"/>
    <n v="2886.151089328157"/>
    <n v="3769.5"/>
    <n v="188.48"/>
    <n v="3957.98"/>
    <s v="Delivered"/>
    <m/>
    <s v="SO17506"/>
    <x v="6"/>
  </r>
  <r>
    <n v="1"/>
    <s v="SO17507"/>
    <s v="PO-008114"/>
    <s v="Sling-Choker Manufacturing - Timmins"/>
    <d v="2025-07-15T09:03:02"/>
    <d v="2025-07-16T14:50:51"/>
    <d v="2025-08-05T00:00:00"/>
    <s v="Wilka Nuñez"/>
    <x v="0"/>
    <n v="1"/>
    <n v="2081.71"/>
    <n v="2081.71"/>
    <n v="2081.71"/>
    <n v="1842.22"/>
    <n v="239.49"/>
    <n v="2081.71"/>
    <s v="Delivered"/>
    <m/>
    <s v="SO17507"/>
    <x v="6"/>
  </r>
  <r>
    <n v="3"/>
    <s v="SO17509"/>
    <s v="3732"/>
    <s v="Middle Georgia Fluid Sealing LLC"/>
    <d v="2025-07-15T12:05:51"/>
    <d v="2025-07-15T12:15:55"/>
    <d v="2025-11-18T00:00:00"/>
    <s v="Ian Trottier"/>
    <x v="1"/>
    <n v="0.73022664145869165"/>
    <n v="29253.178105538071"/>
    <n v="0"/>
    <n v="21361.45"/>
    <n v="21361.45"/>
    <m/>
    <n v="21361.45"/>
    <s v="Delivered"/>
    <m/>
    <s v="SO17509"/>
    <x v="6"/>
  </r>
  <r>
    <n v="1"/>
    <s v="SO17512"/>
    <s v="OC00183"/>
    <s v="Dynapro Pumps México S de RL de CV"/>
    <d v="2025-07-15T17:38:19"/>
    <d v="2025-07-15T17:37:12"/>
    <d v="2025-08-04T00:00:00"/>
    <s v="Yannett Yeomans"/>
    <x v="1"/>
    <n v="0.73022664145869165"/>
    <n v="1684.408552313248"/>
    <n v="0"/>
    <n v="1230"/>
    <n v="1230"/>
    <m/>
    <n v="1230"/>
    <s v="Delivered"/>
    <m/>
    <s v="SO17512"/>
    <x v="6"/>
  </r>
  <r>
    <n v="1"/>
    <s v="SO17513"/>
    <s v="OC00184"/>
    <s v="Dynapro Pumps México S de RL de CV"/>
    <d v="2025-07-15T19:15:50"/>
    <d v="2025-07-15T19:15:13"/>
    <d v="2025-08-08T00:00:00"/>
    <s v="Yannett Yeomans"/>
    <x v="1"/>
    <n v="0.73022664145869165"/>
    <n v="7029.3244707511394"/>
    <n v="0"/>
    <n v="5133"/>
    <n v="5133"/>
    <m/>
    <n v="5133"/>
    <s v="Delivered"/>
    <m/>
    <s v="SO17513"/>
    <x v="6"/>
  </r>
  <r>
    <n v="1"/>
    <s v="SO17515"/>
    <s v="4500061809"/>
    <s v="Alamos Gold Inc"/>
    <d v="2025-07-16T08:56:39"/>
    <d v="2025-07-25T08:59:59"/>
    <d v="2025-08-05T00:00:00"/>
    <s v="Ian Trottier"/>
    <x v="0"/>
    <n v="1"/>
    <n v="8966.09"/>
    <n v="0"/>
    <n v="6537.5144387032487"/>
    <n v="7934.6"/>
    <n v="1031.49"/>
    <n v="8966.09"/>
    <s v="Delivered"/>
    <m/>
    <s v="SO17515"/>
    <x v="6"/>
  </r>
  <r>
    <n v="1"/>
    <s v="SO17516"/>
    <s v="2100615718"/>
    <s v="Wajax Limited - Pointe-aux-Trembles, Wajax Limited"/>
    <d v="2025-07-16T10:27:52"/>
    <d v="2025-08-14T09:09:14"/>
    <m/>
    <s v="Wilka Nuñez"/>
    <x v="0"/>
    <n v="1"/>
    <n v="813.49"/>
    <n v="0"/>
    <n v="589.18543519829393"/>
    <n v="774.75"/>
    <n v="38.74"/>
    <n v="813.49"/>
    <s v="Delivered"/>
    <m/>
    <s v="SO17516"/>
    <x v="6"/>
  </r>
  <r>
    <n v="1"/>
    <s v="SO17518"/>
    <s v="OC00185"/>
    <s v="Dynapro Pumps México S de RL de CV"/>
    <d v="2025-07-16T10:48:15"/>
    <d v="2025-07-16T10:48:19"/>
    <d v="2025-08-15T00:00:00"/>
    <s v="Yannett Yeomans"/>
    <x v="1"/>
    <n v="0.73020122780158092"/>
    <n v="3971.5079755905631"/>
    <n v="0"/>
    <n v="2900"/>
    <n v="2900"/>
    <m/>
    <n v="2900"/>
    <s v="Delivered"/>
    <m/>
    <s v="SO17518"/>
    <x v="6"/>
  </r>
  <r>
    <n v="1"/>
    <s v="SO17519"/>
    <s v="186672"/>
    <s v="Fabrene Inc."/>
    <d v="2025-07-16T12:27:49"/>
    <d v="2025-07-16T12:25:13"/>
    <d v="2025-07-24T00:00:00"/>
    <s v="Alexis Gil Lamadrid"/>
    <x v="0"/>
    <n v="1"/>
    <n v="129.44999999999999"/>
    <n v="129.44999999999999"/>
    <n v="129.44999999999999"/>
    <n v="114.56"/>
    <n v="14.89"/>
    <n v="129.44999999999999"/>
    <s v="Delivered"/>
    <m/>
    <s v="SO17519"/>
    <x v="6"/>
  </r>
  <r>
    <n v="1"/>
    <s v="SO17520"/>
    <s v="7411"/>
    <s v="Hyperflo"/>
    <d v="2025-07-16T12:53:46"/>
    <d v="2025-07-17T17:46:30"/>
    <d v="2025-07-24T00:00:00"/>
    <s v="Ian Trottier"/>
    <x v="0"/>
    <n v="1"/>
    <n v="1271.0999999999999"/>
    <n v="0"/>
    <n v="924.4701059745945"/>
    <n v="1210.56"/>
    <n v="60.54"/>
    <n v="1271.0999999999999"/>
    <s v="Delivered"/>
    <m/>
    <s v="SO17520"/>
    <x v="6"/>
  </r>
  <r>
    <n v="1"/>
    <s v="SO17521"/>
    <s v="3246"/>
    <s v="Les Pompes du St-Laurent Inc."/>
    <d v="2025-07-16T13:58:20"/>
    <d v="2025-07-16T15:38:42"/>
    <d v="2025-07-17T00:00:00"/>
    <s v="Ian Trottier"/>
    <x v="0"/>
    <n v="1"/>
    <n v="1364.75"/>
    <n v="1364.75"/>
    <n v="1364.75"/>
    <n v="1299.76"/>
    <n v="64.989999999999995"/>
    <n v="1364.75"/>
    <s v="Delivered"/>
    <m/>
    <s v="SO17521"/>
    <x v="6"/>
  </r>
  <r>
    <n v="1"/>
    <s v="SO17522"/>
    <s v="4500605498"/>
    <s v="Resolute Forest Products - Dolbeau"/>
    <d v="2025-07-16T14:49:14"/>
    <d v="2025-07-16T14:48:26"/>
    <d v="2025-07-16T00:00:00"/>
    <s v="Alexis Gil Lamadrid"/>
    <x v="0"/>
    <n v="1"/>
    <n v="1069.4000000000001"/>
    <n v="1069.4000000000001"/>
    <n v="1069.4000000000001"/>
    <n v="1018.48"/>
    <n v="50.92"/>
    <n v="1069.4000000000001"/>
    <s v="Delivered"/>
    <m/>
    <s v="SO17522"/>
    <x v="6"/>
  </r>
  <r>
    <n v="1"/>
    <s v="SO17523"/>
    <s v="PO _x0009_4501238214"/>
    <s v="Barrick Gold - Pueblo Viejo Dominicana Corporation"/>
    <d v="2025-07-16T15:18:37"/>
    <d v="2025-07-16T15:18:37"/>
    <d v="2025-07-27T00:00:00"/>
    <s v="Wilka Nuñez"/>
    <x v="1"/>
    <n v="0.73020122780158092"/>
    <n v="15081.43177621778"/>
    <n v="0"/>
    <n v="11012.48"/>
    <n v="11012.48"/>
    <m/>
    <n v="11012.48"/>
    <s v="Delivered"/>
    <m/>
    <s v="SO17523"/>
    <x v="6"/>
  </r>
  <r>
    <n v="1"/>
    <s v="SO17524"/>
    <s v="3247"/>
    <s v="Les Pompes du St-Laurent Inc."/>
    <d v="2025-07-16T15:43:48"/>
    <d v="2025-07-16T15:59:36"/>
    <d v="2025-11-12T00:00:00"/>
    <s v="Ian Trottier"/>
    <x v="0"/>
    <n v="1"/>
    <n v="1364.75"/>
    <n v="1364.75"/>
    <n v="1364.75"/>
    <n v="1299.76"/>
    <n v="64.989999999999995"/>
    <n v="1364.75"/>
    <s v="Delivered"/>
    <m/>
    <s v="SO17524"/>
    <x v="6"/>
  </r>
  <r>
    <n v="1"/>
    <s v="SO17525"/>
    <s v="2100625314"/>
    <s v="Wajax Limited - Val D'Or, Composants Industriels Wajax SC -57"/>
    <d v="2025-07-16T17:33:41"/>
    <d v="2025-08-01T17:04:02"/>
    <d v="2025-08-08T00:00:00"/>
    <s v="Alexis Gil Lamadrid"/>
    <x v="0"/>
    <n v="1"/>
    <n v="312.77"/>
    <n v="312.77"/>
    <n v="312.77"/>
    <n v="297.88"/>
    <n v="14.89"/>
    <n v="312.77"/>
    <s v="Delivered"/>
    <m/>
    <s v="SO17525"/>
    <x v="6"/>
  </r>
  <r>
    <n v="2"/>
    <s v="SO17529"/>
    <s v="7445"/>
    <s v="Hyperflo"/>
    <d v="2025-07-17T09:46:00"/>
    <d v="2025-07-23T12:12:10"/>
    <d v="2025-07-30T00:00:00"/>
    <s v="Wilka Nuñez"/>
    <x v="0"/>
    <n v="1"/>
    <n v="381.48"/>
    <n v="0"/>
    <n v="280.29058459556973"/>
    <n v="363.32"/>
    <n v="18.16"/>
    <n v="381.48"/>
    <s v="Delivered"/>
    <m/>
    <s v="SO17529"/>
    <x v="6"/>
  </r>
  <r>
    <n v="1"/>
    <s v="SO17530"/>
    <s v="4500606394"/>
    <s v="Resolute Forest Products - Saint-Felicien"/>
    <d v="2025-07-17T10:25:50"/>
    <d v="2025-07-22T16:14:48"/>
    <d v="2025-10-07T00:00:00"/>
    <s v="Ian Trottier"/>
    <x v="0"/>
    <n v="1"/>
    <n v="3358.67"/>
    <n v="3358.67"/>
    <n v="3358.67"/>
    <n v="3198.73"/>
    <n v="159.94"/>
    <n v="3358.67"/>
    <s v="Delivered"/>
    <m/>
    <s v="SO17530"/>
    <x v="6"/>
  </r>
  <r>
    <n v="2"/>
    <s v="SO17531"/>
    <s v="PO-40-1016692"/>
    <s v="Canadian Bearings Ltd."/>
    <d v="2025-07-17T11:58:06"/>
    <d v="2025-07-17T12:17:45"/>
    <d v="2025-07-30T00:00:00"/>
    <s v="Wilka Nuñez"/>
    <x v="0"/>
    <n v="1"/>
    <n v="1669.33"/>
    <n v="0"/>
    <n v="1214.102495481528"/>
    <n v="1589.84"/>
    <n v="79.489999999999995"/>
    <n v="1669.33"/>
    <s v="Delivered"/>
    <m/>
    <s v="SO17531"/>
    <x v="6"/>
  </r>
  <r>
    <n v="2"/>
    <s v="SO17532"/>
    <s v="3250"/>
    <s v="Les Pompes du St-Laurent Inc."/>
    <d v="2025-07-17T13:02:58"/>
    <d v="2025-07-21T11:36:06"/>
    <d v="2025-10-13T00:00:00"/>
    <s v="Ian Trottier"/>
    <x v="0"/>
    <n v="1"/>
    <n v="25775.86"/>
    <n v="0"/>
    <n v="18828.91720735679"/>
    <n v="24548.44"/>
    <n v="1227.42"/>
    <n v="25775.86"/>
    <s v="Delivered"/>
    <m/>
    <s v="SO17532"/>
    <x v="6"/>
  </r>
  <r>
    <n v="2"/>
    <s v="SO17535"/>
    <s v="1080562"/>
    <s v="Hisco Pump Inc."/>
    <d v="2025-07-17T15:51:55"/>
    <d v="2025-08-11T13:22:14"/>
    <d v="2025-11-24T00:00:00"/>
    <s v="Ian Trottier"/>
    <x v="1"/>
    <n v="0.72687673995949531"/>
    <n v="3595.2725631936241"/>
    <n v="0"/>
    <n v="2613.3200000000002"/>
    <n v="2613.3200000000002"/>
    <m/>
    <n v="2613.3200000000002"/>
    <s v="Delivered"/>
    <m/>
    <s v="SO17535"/>
    <x v="6"/>
  </r>
  <r>
    <n v="2"/>
    <s v="SO17536"/>
    <s v="322573"/>
    <s v="Gibraltar Mine (Canada)"/>
    <d v="2025-07-17T16:48:33"/>
    <d v="2025-07-18T16:38:42"/>
    <d v="2025-10-17T00:00:00"/>
    <s v="Ian Trottier"/>
    <x v="0"/>
    <n v="1"/>
    <n v="7733.66"/>
    <n v="0"/>
    <n v="5639.3693837496876"/>
    <n v="7365.39"/>
    <n v="368.27"/>
    <n v="7733.66"/>
    <s v="Delivered"/>
    <m/>
    <s v="SO17536"/>
    <x v="6"/>
  </r>
  <r>
    <n v="1"/>
    <s v="SO17539"/>
    <s v="2200115440"/>
    <s v="Wajax Limited - Val D'Or, Composants Industriels Wajax SC -57"/>
    <d v="2025-07-17T18:55:29"/>
    <d v="2025-11-13T11:06:44"/>
    <d v="2025-11-20T00:00:00"/>
    <s v="Alexis Gil Lamadrid"/>
    <x v="0"/>
    <n v="1"/>
    <n v="13321.62"/>
    <n v="0"/>
    <n v="9507.56199106844"/>
    <n v="12687.26"/>
    <n v="634.36"/>
    <n v="13321.62"/>
    <s v="Delivered"/>
    <m/>
    <s v="SO17539"/>
    <x v="6"/>
  </r>
  <r>
    <n v="1"/>
    <s v="SO17543"/>
    <s v="OC00186"/>
    <s v="Dynapro Pumps México S de RL de CV"/>
    <d v="2025-07-18T12:49:01"/>
    <d v="2025-07-18T12:45:44"/>
    <d v="2025-11-07T00:00:00"/>
    <s v="Yannett Yeomans"/>
    <x v="1"/>
    <n v="0.72729927305058184"/>
    <n v="85549.377409693567"/>
    <n v="0"/>
    <n v="62220"/>
    <n v="62220"/>
    <m/>
    <n v="62220"/>
    <s v="Delivered"/>
    <m/>
    <s v="SO17543"/>
    <x v="6"/>
  </r>
  <r>
    <n v="1"/>
    <s v="SO17544"/>
    <s v="607030"/>
    <s v="Sealtrac Inc."/>
    <d v="2025-07-18T12:57:58"/>
    <d v="2025-07-18T15:10:05"/>
    <d v="2025-07-21T00:00:00"/>
    <s v="Ian Trottier"/>
    <x v="0"/>
    <n v="1"/>
    <n v="1777.65"/>
    <n v="0"/>
    <n v="1296.258819888983"/>
    <n v="1573.14"/>
    <n v="204.51"/>
    <n v="1777.65"/>
    <s v="Delivered"/>
    <m/>
    <s v="SO17544"/>
    <x v="6"/>
  </r>
  <r>
    <n v="1"/>
    <s v="SO17547"/>
    <s v="3767"/>
    <s v="Middle Georgia Fluid Sealing LLC"/>
    <d v="2025-07-18T16:28:27"/>
    <d v="2025-07-22T09:37:21"/>
    <d v="2025-07-23T00:00:00"/>
    <s v="Ian Trottier"/>
    <x v="1"/>
    <n v="0.72860256766938125"/>
    <n v="20421.256608515891"/>
    <n v="0"/>
    <n v="14878.98"/>
    <n v="14878.98"/>
    <m/>
    <n v="14878.98"/>
    <s v="Delivered"/>
    <m/>
    <s v="SO17547"/>
    <x v="6"/>
  </r>
  <r>
    <n v="1"/>
    <s v="SO17548"/>
    <s v="OC00187"/>
    <s v="Dynapro Pumps México S de RL de CV"/>
    <d v="2025-07-18T17:47:50"/>
    <d v="2025-07-18T17:47:16"/>
    <d v="2025-08-20T00:00:00"/>
    <s v="Yannett Yeomans"/>
    <x v="1"/>
    <n v="0.72729927305058184"/>
    <n v="1223.7053342113029"/>
    <n v="0"/>
    <n v="890"/>
    <n v="890"/>
    <m/>
    <n v="890"/>
    <s v="Delivered"/>
    <m/>
    <s v="SO17548"/>
    <x v="6"/>
  </r>
  <r>
    <n v="1"/>
    <s v="SO17549"/>
    <s v="OC00189"/>
    <s v="Dynapro Pumps México S de RL de CV"/>
    <d v="2025-07-18T20:58:11"/>
    <d v="2025-07-18T20:58:12"/>
    <d v="2025-08-08T00:00:00"/>
    <s v="Yannett Yeomans"/>
    <x v="1"/>
    <n v="0.72729927305058184"/>
    <n v="206.24247205808479"/>
    <n v="0"/>
    <n v="150"/>
    <n v="150"/>
    <m/>
    <n v="150"/>
    <s v="Delivered"/>
    <m/>
    <s v="SO17549"/>
    <x v="6"/>
  </r>
  <r>
    <n v="1"/>
    <s v="SO17550"/>
    <s v="7433"/>
    <s v="Hyperflo"/>
    <d v="2025-07-21T08:46:11"/>
    <d v="2025-07-22T14:37:31"/>
    <d v="2025-07-23T00:00:00"/>
    <s v="Wilka Nuñez"/>
    <x v="0"/>
    <n v="1"/>
    <n v="850.88"/>
    <n v="850.88"/>
    <n v="850.88"/>
    <n v="810.36"/>
    <n v="40.520000000000003"/>
    <n v="850.88"/>
    <s v="Delivered"/>
    <m/>
    <s v="SO17550"/>
    <x v="6"/>
  </r>
  <r>
    <n v="1"/>
    <s v="SO17551"/>
    <s v="3252"/>
    <s v="Les Pompes du St-Laurent Inc."/>
    <d v="2025-07-21T10:03:04"/>
    <d v="2025-07-21T10:59:52"/>
    <d v="2025-07-22T00:00:00"/>
    <s v="Ian Trottier"/>
    <x v="0"/>
    <n v="1"/>
    <n v="1635.52"/>
    <n v="0"/>
    <n v="1194.725245674681"/>
    <n v="1557.64"/>
    <n v="77.88"/>
    <n v="1635.52"/>
    <s v="Delivered"/>
    <m/>
    <s v="SO17551"/>
    <x v="6"/>
  </r>
  <r>
    <n v="1"/>
    <s v="SO17552"/>
    <s v="4560068337"/>
    <s v="Alamos Gold Inc, Alamos Gold Inc Island Gold Division"/>
    <d v="2025-07-21T11:52:58"/>
    <d v="2025-07-21T15:57:29"/>
    <d v="2025-08-04T00:00:00"/>
    <s v="Ian Trottier"/>
    <x v="0"/>
    <n v="1"/>
    <n v="1540.6"/>
    <n v="0"/>
    <n v="1125.387469114663"/>
    <n v="1363.36"/>
    <n v="177.24"/>
    <n v="1540.6"/>
    <s v="Delivered"/>
    <m/>
    <s v="SO17552"/>
    <x v="6"/>
  </r>
  <r>
    <n v="1"/>
    <s v="SO17553"/>
    <s v="PO13837"/>
    <s v="Manufacture Sling-Choker (Val-d’Or) Ltée"/>
    <d v="2025-07-21T12:38:46"/>
    <d v="2025-07-25T12:18:34"/>
    <d v="2025-08-01T00:00:00"/>
    <s v="Alexis Gil Lamadrid"/>
    <x v="0"/>
    <n v="1"/>
    <n v="1133.25"/>
    <n v="0"/>
    <n v="826.29532356472623"/>
    <n v="1079.28"/>
    <n v="53.97"/>
    <n v="1133.25"/>
    <s v="Delivered"/>
    <m/>
    <s v="SO17553"/>
    <x v="6"/>
  </r>
  <r>
    <n v="1"/>
    <s v="SO17554"/>
    <s v="PO# 1053"/>
    <s v="Mill-Right Mine Services Inc."/>
    <d v="2025-07-21T14:33:16"/>
    <d v="2025-07-21T14:37:22"/>
    <d v="2025-07-21T00:00:00"/>
    <s v="Amanda Qiao"/>
    <x v="1"/>
    <n v="0.72845881656938405"/>
    <n v="2724.7250700423742"/>
    <n v="0"/>
    <n v="1984.85"/>
    <n v="1984.85"/>
    <m/>
    <n v="1984.85"/>
    <s v="Delivered"/>
    <m/>
    <s v="SO17554"/>
    <x v="6"/>
  </r>
  <r>
    <n v="1"/>
    <s v="SO17555"/>
    <s v="P363766"/>
    <s v="Covia Corp - Junction City"/>
    <d v="2025-07-21T17:01:03"/>
    <d v="2025-07-24T11:46:31"/>
    <d v="2025-07-31T00:00:00"/>
    <s v="Marlen Martinez"/>
    <x v="1"/>
    <n v="0.73474516251328958"/>
    <n v="8294.6309971653172"/>
    <n v="0"/>
    <n v="6094.44"/>
    <n v="6094.44"/>
    <m/>
    <n v="6094.44"/>
    <s v="Delivered"/>
    <m/>
    <s v="SO17555"/>
    <x v="6"/>
  </r>
  <r>
    <n v="1"/>
    <s v="SO17558"/>
    <s v="19097"/>
    <s v="Adriatic Metals plc - Eastern Mining d.o.o."/>
    <d v="2025-07-22T10:02:36"/>
    <d v="2025-08-13T07:55:38"/>
    <d v="2025-11-04T00:00:00"/>
    <s v="Amanda Qiao"/>
    <x v="1"/>
    <n v="0.72654677831979975"/>
    <n v="49612.772467809147"/>
    <n v="0"/>
    <n v="36046"/>
    <n v="36046"/>
    <m/>
    <n v="36046"/>
    <s v="Delivered"/>
    <m/>
    <s v="SO17558"/>
    <x v="6"/>
  </r>
  <r>
    <n v="1"/>
    <s v="SO17560"/>
    <s v="2100631540"/>
    <s v="Wajax Limited - Noranda, Wajax Limited - Noranda"/>
    <d v="2025-07-22T13:27:28"/>
    <d v="2025-08-12T14:47:35"/>
    <d v="2025-08-19T00:00:00"/>
    <s v="Ian Trottier"/>
    <x v="0"/>
    <n v="1"/>
    <n v="2711.5"/>
    <n v="0"/>
    <n v="1970.031589414137"/>
    <n v="2582.38"/>
    <n v="129.12"/>
    <n v="2711.5"/>
    <s v="Delivered"/>
    <m/>
    <s v="SO17560"/>
    <x v="6"/>
  </r>
  <r>
    <n v="1"/>
    <s v="SO17562"/>
    <s v="FL06-00051881"/>
    <s v="Motion Industries Inc. (U.S.) - Clewiston"/>
    <d v="2025-07-22T17:15:03"/>
    <d v="2025-07-25T18:55:51"/>
    <d v="2025-08-15T00:00:00"/>
    <s v="Alexis Gil Lamadrid"/>
    <x v="1"/>
    <n v="0.73474516251328958"/>
    <n v="8131.744589596985"/>
    <n v="0"/>
    <n v="5974.76"/>
    <n v="5974.76"/>
    <m/>
    <n v="5974.76"/>
    <s v="Delivered"/>
    <m/>
    <s v="SO17562"/>
    <x v="6"/>
  </r>
  <r>
    <n v="1"/>
    <s v="SO17563"/>
    <s v="BC65-00081338"/>
    <s v="Motion Industries Inc. (Canada) - Prince George"/>
    <d v="2025-07-22T17:35:17"/>
    <d v="2025-07-31T17:35:09"/>
    <d v="2025-08-01T00:00:00"/>
    <s v="Wilka Nuñez"/>
    <x v="0"/>
    <n v="1"/>
    <n v="2740.19"/>
    <n v="0"/>
    <n v="1979.1028539885431"/>
    <n v="2609.71"/>
    <n v="130.47999999999999"/>
    <n v="2740.19"/>
    <s v="Delivered"/>
    <m/>
    <s v="SO17563"/>
    <x v="6"/>
  </r>
  <r>
    <n v="2"/>
    <s v="SO17564"/>
    <s v="BC65-00081266"/>
    <s v="Motion Industries Inc. (Canada) - Prince George"/>
    <d v="2025-07-22T17:44:40"/>
    <d v="2025-07-25T17:52:57"/>
    <d v="2025-08-01T00:00:00"/>
    <s v="Alexis Gil Lamadrid"/>
    <x v="0"/>
    <n v="1"/>
    <n v="15897.52"/>
    <n v="0"/>
    <n v="11591.481519767671"/>
    <n v="15140.5"/>
    <n v="757.02"/>
    <n v="15897.52"/>
    <s v="Delivered"/>
    <m/>
    <s v="SO17564"/>
    <x v="6"/>
  </r>
  <r>
    <n v="1"/>
    <s v="SO17565"/>
    <s v="7440"/>
    <s v="Hyperflo"/>
    <d v="2025-07-22T18:22:00"/>
    <d v="2025-07-22T18:20:57"/>
    <d v="2025-07-30T00:00:00"/>
    <s v="Alexis Gil Lamadrid"/>
    <x v="0"/>
    <n v="1"/>
    <n v="87.8"/>
    <n v="87.8"/>
    <n v="87.8"/>
    <n v="83.62"/>
    <n v="4.18"/>
    <n v="87.8"/>
    <s v="Delivered"/>
    <m/>
    <s v="SO17565"/>
    <x v="6"/>
  </r>
  <r>
    <n v="1"/>
    <s v="SO17566"/>
    <s v="7442"/>
    <s v="Hyperflo"/>
    <d v="2025-07-23T09:21:28"/>
    <d v="2025-07-23T10:41:18"/>
    <d v="2025-07-24T00:00:00"/>
    <s v="Wilka Nuñez"/>
    <x v="0"/>
    <n v="1"/>
    <n v="107.95"/>
    <n v="0"/>
    <n v="79.315740293309617"/>
    <n v="102.81"/>
    <n v="5.14"/>
    <n v="107.95"/>
    <s v="Delivered"/>
    <m/>
    <s v="SO17566"/>
    <x v="6"/>
  </r>
  <r>
    <n v="1"/>
    <s v="SO17567"/>
    <s v="3259"/>
    <s v="Les Pompes du St-Laurent Inc."/>
    <d v="2025-07-23T09:34:39"/>
    <d v="2025-07-29T11:27:27"/>
    <d v="2025-07-30T00:00:00"/>
    <s v="Ian Trottier"/>
    <x v="0"/>
    <n v="1"/>
    <n v="6052.79"/>
    <n v="0"/>
    <n v="4392.6777078652849"/>
    <n v="5764.56"/>
    <n v="288.23"/>
    <n v="6052.79"/>
    <s v="Delivered"/>
    <m/>
    <s v="SO17567"/>
    <x v="6"/>
  </r>
  <r>
    <n v="1"/>
    <s v="SO17568"/>
    <s v="10496"/>
    <s v="Canadian Industrial Pumps Ltd, Canadian Industrial Pumps Ltd"/>
    <d v="2025-07-23T11:20:29"/>
    <d v="2025-07-28T11:37:24"/>
    <d v="2025-07-29T00:00:00"/>
    <s v="Ian Trottier"/>
    <x v="0"/>
    <n v="1"/>
    <n v="1459.42"/>
    <n v="0"/>
    <n v="1063.746021518311"/>
    <n v="1389.92"/>
    <n v="69.5"/>
    <n v="1459.42"/>
    <s v="Delivered"/>
    <m/>
    <s v="SO17568"/>
    <x v="6"/>
  </r>
  <r>
    <n v="1"/>
    <s v="SO17570"/>
    <s v="4500606536"/>
    <s v="Resolute Forest Products - Fibrek"/>
    <d v="2025-07-23T14:31:11"/>
    <d v="2025-07-23T14:29:21"/>
    <d v="2025-10-15T00:00:00"/>
    <s v="Alexis Gil Lamadrid"/>
    <x v="0"/>
    <n v="1"/>
    <n v="9874.2000000000007"/>
    <n v="0"/>
    <n v="7255.0206836887246"/>
    <n v="9404"/>
    <n v="470.2"/>
    <n v="9874.2000000000007"/>
    <s v="Delivered"/>
    <m/>
    <s v="SO17570"/>
    <x v="6"/>
  </r>
  <r>
    <n v="2"/>
    <s v="SO17571"/>
    <s v="M-083951"/>
    <s v="Grant Aggregate"/>
    <d v="2025-07-23T14:35:14"/>
    <d v="2025-07-24T09:39:00"/>
    <d v="2025-07-25T00:00:00"/>
    <s v="Ian Trottier"/>
    <x v="0"/>
    <n v="1"/>
    <n v="2798.72"/>
    <n v="0"/>
    <n v="2051.2467249268811"/>
    <n v="2476.7399999999998"/>
    <n v="321.98"/>
    <n v="2798.72"/>
    <s v="Delivered"/>
    <m/>
    <s v="SO17571"/>
    <x v="6"/>
  </r>
  <r>
    <n v="1"/>
    <s v="SO17573"/>
    <s v="4500606522"/>
    <s v="Resolute Forest Products - Saint-Felicien"/>
    <d v="2025-07-23T14:50:02"/>
    <d v="2025-07-23T14:50:02"/>
    <d v="2025-10-15T00:00:00"/>
    <s v="Ian Trottier"/>
    <x v="0"/>
    <n v="1"/>
    <n v="1506.2"/>
    <n v="0"/>
    <n v="1106.6731637775169"/>
    <n v="1434.48"/>
    <n v="71.72"/>
    <n v="1506.2"/>
    <s v="Delivered"/>
    <m/>
    <s v="SO17573"/>
    <x v="6"/>
  </r>
  <r>
    <n v="1"/>
    <s v="SO17574"/>
    <s v="80238 - Paid in full on Sept 23rd 2025, as per Margarita. $1,719.8 USD"/>
    <s v="Irathane Systems Inc, Irathane Systems LLC"/>
    <d v="2025-07-23T15:00:01"/>
    <d v="2025-08-28T11:21:13"/>
    <d v="2025-11-27T00:00:00"/>
    <s v="Ian Trottier"/>
    <x v="1"/>
    <n v="0.72328577573707276"/>
    <n v="2377.8706255453958"/>
    <n v="0"/>
    <n v="1719.88"/>
    <n v="1719.88"/>
    <m/>
    <n v="1719.88"/>
    <s v="Delivered"/>
    <m/>
    <s v="SO17574"/>
    <x v="6"/>
  </r>
  <r>
    <n v="1"/>
    <s v="SO17575"/>
    <s v="4500836869"/>
    <s v="AGM Inc."/>
    <d v="2025-07-24T08:14:27"/>
    <d v="2025-08-05T16:43:58"/>
    <d v="2025-09-22T00:00:00"/>
    <s v="Amanda Qiao"/>
    <x v="1"/>
    <n v="0.72590381117935043"/>
    <n v="76679.635983130938"/>
    <n v="0"/>
    <n v="55662.04"/>
    <n v="55662.04"/>
    <m/>
    <n v="55662.04"/>
    <s v="Delivered"/>
    <m/>
    <s v="SO17575"/>
    <x v="6"/>
  </r>
  <r>
    <n v="1"/>
    <s v="SO17576"/>
    <s v="PO-008136"/>
    <s v="Sling-Choker Manufacturing - Timmins"/>
    <d v="2025-07-24T09:35:59"/>
    <d v="2025-07-24T09:35:59"/>
    <d v="2025-07-29T00:00:00"/>
    <s v="Wilka Nuñez"/>
    <x v="0"/>
    <n v="1"/>
    <n v="422.48"/>
    <n v="0"/>
    <n v="309.64537944028302"/>
    <n v="373.88"/>
    <n v="48.6"/>
    <n v="422.48"/>
    <s v="Delivered"/>
    <m/>
    <s v="SO17576"/>
    <x v="6"/>
  </r>
  <r>
    <n v="2"/>
    <s v="SO17578"/>
    <s v="L66299-DS"/>
    <s v="Wild Rows Pump &amp; Compression LTD."/>
    <d v="2025-07-24T11:25:30"/>
    <d v="2025-07-24T14:38:39"/>
    <d v="2025-11-13T00:00:00"/>
    <s v="Alexis Gil Lamadrid"/>
    <x v="0"/>
    <n v="1"/>
    <n v="1204.22"/>
    <n v="0"/>
    <n v="882.6007357261351"/>
    <n v="1146.8699999999999"/>
    <n v="57.35"/>
    <n v="1204.22"/>
    <s v="Delivered"/>
    <m/>
    <s v="SO17578"/>
    <x v="6"/>
  </r>
  <r>
    <n v="0"/>
    <s v="SO17581"/>
    <s v="4500882717"/>
    <s v="AGM Inc."/>
    <d v="2025-07-24T17:44:58"/>
    <d v="2025-12-11T16:14:27"/>
    <d v="2026-01-08T00:00:00"/>
    <s v="Amanda Qiao"/>
    <x v="1"/>
    <n v="0.72276866354558011"/>
    <n v="33081.124301527161"/>
    <n v="0"/>
    <n v="23910"/>
    <n v="23910"/>
    <m/>
    <n v="23910"/>
    <s v="To Deliver"/>
    <m/>
    <s v="SO17581"/>
    <x v="6"/>
  </r>
  <r>
    <n v="1"/>
    <s v="SO17588"/>
    <s v="4500606894"/>
    <s v="Resolute Forest Products - Dolbeau"/>
    <d v="2025-07-25T15:30:54"/>
    <d v="2025-07-28T15:29:08"/>
    <d v="2025-12-02T00:00:00"/>
    <s v="Alexis Gil Lamadrid"/>
    <x v="0"/>
    <n v="1"/>
    <n v="8080.61"/>
    <n v="0"/>
    <n v="5889.8170087713452"/>
    <n v="7695.82"/>
    <n v="384.79"/>
    <n v="8080.61"/>
    <s v="Delivered"/>
    <m/>
    <s v="SO17588"/>
    <x v="6"/>
  </r>
  <r>
    <n v="1"/>
    <s v="SO17589"/>
    <s v="OC00190"/>
    <s v="Dynapro Pumps México S de RL de CV"/>
    <d v="2025-07-25T17:54:54"/>
    <d v="2025-07-25T17:54:06"/>
    <d v="2025-09-12T00:00:00"/>
    <s v="Yannett Yeomans"/>
    <x v="1"/>
    <n v="0.73474516251328958"/>
    <n v="489.96579816677399"/>
    <n v="0"/>
    <n v="360"/>
    <n v="360"/>
    <m/>
    <n v="360"/>
    <s v="Delivered"/>
    <m/>
    <s v="SO17589"/>
    <x v="6"/>
  </r>
  <r>
    <n v="1"/>
    <s v="SO17590"/>
    <s v="OC00191"/>
    <s v="Dynapro Pumps México S de RL de CV"/>
    <d v="2025-07-25T19:27:25"/>
    <d v="2025-07-25T19:33:10"/>
    <d v="2025-09-25T00:00:00"/>
    <s v="Yannett Yeomans"/>
    <x v="1"/>
    <n v="0.73474516251328958"/>
    <n v="13885.08631360397"/>
    <n v="0"/>
    <n v="10202"/>
    <n v="10202"/>
    <m/>
    <n v="10202"/>
    <s v="Delivered"/>
    <m/>
    <s v="SO17590"/>
    <x v="6"/>
  </r>
  <r>
    <n v="1"/>
    <s v="SO17593"/>
    <s v="PO2517723-250985"/>
    <s v="CK Loosbrock USA LLC"/>
    <d v="2025-07-28T09:34:44"/>
    <d v="2025-09-19T15:40:38"/>
    <d v="2025-10-31T00:00:00"/>
    <s v="Wilka Nuñez"/>
    <x v="1"/>
    <n v="0.72474982902255658"/>
    <n v="6099.4702212788197"/>
    <n v="0"/>
    <n v="4420.59"/>
    <n v="4420.59"/>
    <m/>
    <n v="4420.59"/>
    <s v="Delivered"/>
    <m/>
    <s v="SO17593"/>
    <x v="6"/>
  </r>
  <r>
    <n v="1"/>
    <s v="SO17595"/>
    <s v="P363948"/>
    <s v="Covia Corp - Junction City"/>
    <d v="2025-07-28T13:26:01"/>
    <d v="2025-07-28T13:26:12"/>
    <d v="2025-08-04T00:00:00"/>
    <s v="Marlen Martinez"/>
    <x v="1"/>
    <n v="0.7300328435617468"/>
    <n v="2679.8246370055672"/>
    <n v="0"/>
    <n v="1956.36"/>
    <n v="1956.36"/>
    <m/>
    <n v="1956.36"/>
    <s v="Delivered"/>
    <m/>
    <s v="SO17595"/>
    <x v="6"/>
  </r>
  <r>
    <n v="1"/>
    <s v="SO17596"/>
    <s v="2100622308"/>
    <s v="Wajax Limited - Noranda, Wajax Limited - Noranda"/>
    <d v="2025-07-28T14:46:54"/>
    <d v="2025-07-28T16:37:34"/>
    <d v="2025-08-04T00:00:00"/>
    <s v="Alexis Gil Lamadrid"/>
    <x v="0"/>
    <n v="1"/>
    <n v="275.89999999999998"/>
    <n v="0"/>
    <n v="201.09874288203659"/>
    <n v="262.76"/>
    <n v="13.14"/>
    <n v="275.89999999999998"/>
    <s v="Delivered"/>
    <m/>
    <s v="SO17596"/>
    <x v="6"/>
  </r>
  <r>
    <n v="2"/>
    <s v="SO17597"/>
    <s v="L66377-T"/>
    <s v="Wild Rows Pump &amp; Compression LTD., Wild Rows Pump &amp; Compression LTD."/>
    <d v="2025-07-28T17:26:33"/>
    <d v="2025-07-28T17:18:15"/>
    <d v="2025-07-30T00:00:00"/>
    <s v="Alexis Gil Lamadrid"/>
    <x v="0"/>
    <n v="1"/>
    <n v="2065.2800000000002"/>
    <n v="0"/>
    <n v="1505.34690721063"/>
    <n v="1966.94"/>
    <n v="98.34"/>
    <n v="2065.2800000000002"/>
    <s v="Delivered"/>
    <m/>
    <s v="SO17597"/>
    <x v="6"/>
  </r>
  <r>
    <n v="1"/>
    <s v="SO17598"/>
    <s v="PO-008147"/>
    <s v="Sling-Choker Manufacturing - Timmins"/>
    <d v="2025-07-29T08:33:10"/>
    <d v="2025-08-01T13:37:56"/>
    <d v="2025-09-01T00:00:00"/>
    <s v="Wilka Nuñez"/>
    <x v="0"/>
    <n v="1"/>
    <n v="5632.13"/>
    <n v="5632.13"/>
    <n v="5632.13"/>
    <n v="4984.1899999999996"/>
    <n v="647.94000000000005"/>
    <n v="5632.13"/>
    <s v="Delivered"/>
    <m/>
    <s v="SO17598"/>
    <x v="6"/>
  </r>
  <r>
    <n v="2"/>
    <s v="SO17603"/>
    <s v="3821"/>
    <s v="Middle Georgia Fluid Sealing LLC"/>
    <d v="2025-07-30T09:00:43"/>
    <d v="2025-07-30T09:34:45"/>
    <d v="2025-11-19T00:00:00"/>
    <s v="Ian Trottier"/>
    <x v="1"/>
    <n v="0.72888272157316658"/>
    <n v="26661.257599929661"/>
    <n v="0"/>
    <n v="19432.93"/>
    <n v="19432.93"/>
    <m/>
    <n v="19432.93"/>
    <s v="Delivered"/>
    <m/>
    <s v="SO17603"/>
    <x v="6"/>
  </r>
  <r>
    <n v="1"/>
    <s v="SO17604"/>
    <s v="2100623714"/>
    <s v="Wajax Limited - Noranda"/>
    <d v="2025-07-30T09:26:38"/>
    <d v="2025-07-30T14:07:40"/>
    <d v="2025-10-15T00:00:00"/>
    <s v="Ian Trottier"/>
    <x v="0"/>
    <n v="1"/>
    <n v="1690.27"/>
    <n v="0"/>
    <n v="1223.4150113581929"/>
    <n v="1609.78"/>
    <n v="80.489999999999995"/>
    <n v="1690.27"/>
    <s v="Delivered"/>
    <m/>
    <s v="SO17604"/>
    <x v="6"/>
  </r>
  <r>
    <n v="1"/>
    <s v="SO17608"/>
    <s v="7473"/>
    <s v="Hyperflo"/>
    <d v="2025-07-30T15:05:23"/>
    <d v="2025-07-30T16:11:05"/>
    <d v="2025-07-31T00:00:00"/>
    <s v="Wilka Nuñez"/>
    <x v="0"/>
    <n v="1"/>
    <n v="131.04"/>
    <n v="0"/>
    <n v="94.84656480229647"/>
    <n v="124.8"/>
    <n v="6.24"/>
    <n v="131.04"/>
    <s v="Delivered"/>
    <m/>
    <s v="SO17608"/>
    <x v="6"/>
  </r>
  <r>
    <n v="1"/>
    <s v="SO17610"/>
    <s v="7501"/>
    <s v="Hyperflo, Hyperflo"/>
    <d v="2025-07-30T18:19:18"/>
    <d v="2025-07-30T18:17:47"/>
    <d v="2025-08-12T00:00:00"/>
    <s v="Ian Trottier"/>
    <x v="0"/>
    <n v="1"/>
    <n v="130.43"/>
    <n v="0"/>
    <n v="94.40504767371435"/>
    <n v="124.22"/>
    <n v="6.21"/>
    <n v="130.43"/>
    <s v="Delivered"/>
    <m/>
    <s v="SO17610"/>
    <x v="6"/>
  </r>
  <r>
    <n v="1"/>
    <s v="SO17612"/>
    <s v="OC00193"/>
    <s v="Dynapro Pumps México S de RL de CV"/>
    <d v="2025-07-31T12:14:31"/>
    <d v="2025-08-01T15:06:57"/>
    <d v="2025-09-01T00:00:00"/>
    <s v="Carlos Leon"/>
    <x v="1"/>
    <n v="0.72379857144609638"/>
    <n v="803.81479454650798"/>
    <n v="0"/>
    <n v="581.79999999999995"/>
    <n v="581.79999999999995"/>
    <m/>
    <n v="581.79999999999995"/>
    <s v="Delivered"/>
    <m/>
    <s v="SO17612"/>
    <x v="6"/>
  </r>
  <r>
    <n v="1"/>
    <s v="SO17613"/>
    <s v="OC00194"/>
    <s v="Dynapro Pumps México S de RL de CV"/>
    <d v="2025-07-31T12:25:47"/>
    <d v="2025-08-01T15:17:24"/>
    <d v="2025-11-20T00:00:00"/>
    <s v="Carlos Leon"/>
    <x v="1"/>
    <n v="0.72379857144609638"/>
    <n v="1475.5486431345321"/>
    <n v="0"/>
    <n v="1068"/>
    <n v="1068"/>
    <m/>
    <n v="1068"/>
    <s v="Delivered"/>
    <m/>
    <s v="SO17613"/>
    <x v="6"/>
  </r>
  <r>
    <n v="1"/>
    <s v="SO17615"/>
    <s v="PONV-25-1555"/>
    <s v="Tech-Flow"/>
    <d v="2025-07-31T13:36:01"/>
    <d v="2025-08-01T10:08:57"/>
    <d v="2025-09-05T00:00:00"/>
    <s v="Wilka Nuñez"/>
    <x v="1"/>
    <n v="0.72379857144609638"/>
    <n v="6811.2872758925487"/>
    <n v="0"/>
    <n v="4930"/>
    <n v="4930"/>
    <m/>
    <n v="4930"/>
    <s v="Delivered"/>
    <m/>
    <s v="SO17615"/>
    <x v="6"/>
  </r>
  <r>
    <n v="2"/>
    <s v="SO17621"/>
    <s v="10572"/>
    <s v="Canadian Industrial Pumps Ltd"/>
    <d v="2025-08-01T18:07:47"/>
    <d v="2025-09-03T12:54:38"/>
    <d v="2025-09-17T00:00:00"/>
    <s v="Alexis Gil Lamadrid"/>
    <x v="0"/>
    <n v="1"/>
    <n v="7603.02"/>
    <n v="7603.02"/>
    <n v="7603.02"/>
    <n v="7603.02"/>
    <m/>
    <n v="7603.02"/>
    <s v="Partially Delivered"/>
    <m/>
    <s v="SO17621"/>
    <x v="7"/>
  </r>
  <r>
    <n v="3"/>
    <s v="SO17625"/>
    <s v="4501259937"/>
    <s v="Barrick Gold - Pueblo Viejo Dominicana Corporation"/>
    <d v="2025-08-04T15:26:27"/>
    <d v="2025-08-22T09:57:49"/>
    <d v="2025-12-04T00:00:00"/>
    <s v="Wilka Nuñez"/>
    <x v="1"/>
    <n v="0.71937460738912617"/>
    <n v="95905.386833706652"/>
    <n v="0"/>
    <n v="68991.899999999994"/>
    <n v="68991.899999999994"/>
    <m/>
    <n v="68991.899999999994"/>
    <s v="Delivered"/>
    <m/>
    <s v="SO17625"/>
    <x v="7"/>
  </r>
  <r>
    <n v="1"/>
    <s v="SO17626"/>
    <s v="7514"/>
    <s v="Hyperflo"/>
    <d v="2025-08-05T08:53:48"/>
    <d v="2025-08-06T13:33:05"/>
    <d v="2025-08-07T00:00:00"/>
    <s v="Wilka Nuñez"/>
    <x v="0"/>
    <n v="1"/>
    <n v="380.77"/>
    <n v="0"/>
    <n v="277.09685558835798"/>
    <n v="362.64"/>
    <n v="18.13"/>
    <n v="380.77"/>
    <s v="Delivered"/>
    <m/>
    <s v="SO17626"/>
    <x v="7"/>
  </r>
  <r>
    <n v="1"/>
    <s v="SO17627"/>
    <s v="4501263629"/>
    <s v="Barrick Gold - Pueblo Viejo Dominicana Corporation"/>
    <d v="2025-08-05T09:38:25"/>
    <d v="2025-08-05T09:38:25"/>
    <d v="2025-08-22T00:00:00"/>
    <s v="Wilka Nuñez"/>
    <x v="1"/>
    <n v="0.72590381117935043"/>
    <n v="7978.9083771168953"/>
    <n v="0"/>
    <n v="5791.92"/>
    <n v="5791.92"/>
    <m/>
    <n v="5791.92"/>
    <s v="Delivered"/>
    <m/>
    <s v="SO17627"/>
    <x v="7"/>
  </r>
  <r>
    <n v="1"/>
    <s v="SO17628"/>
    <s v="4501262572"/>
    <s v="Barrick Gold - Pueblo Viejo Dominicana Corporation"/>
    <d v="2025-08-05T09:54:49"/>
    <d v="2025-08-18T15:07:06"/>
    <d v="2025-08-22T00:00:00"/>
    <s v="Wilka Nuñez"/>
    <x v="1"/>
    <n v="0.7240742470894046"/>
    <n v="15526.36355344906"/>
    <n v="0"/>
    <n v="11242.24"/>
    <n v="11242.24"/>
    <m/>
    <n v="11242.24"/>
    <s v="Delivered"/>
    <m/>
    <s v="SO17628"/>
    <x v="7"/>
  </r>
  <r>
    <n v="1"/>
    <s v="SO17630"/>
    <s v="P364562"/>
    <s v="Covia Corp - Junction City"/>
    <d v="2025-08-05T12:38:33"/>
    <d v="2025-08-06T12:55:23"/>
    <d v="2025-08-13T00:00:00"/>
    <s v="Marlen Martinez"/>
    <x v="1"/>
    <n v="0.72590381117935043"/>
    <n v="283.89436289801142"/>
    <n v="0"/>
    <n v="206.08"/>
    <n v="206.08"/>
    <m/>
    <n v="206.08"/>
    <s v="Delivered"/>
    <m/>
    <s v="SO17630"/>
    <x v="7"/>
  </r>
  <r>
    <n v="1"/>
    <s v="SO17636"/>
    <s v="9886237"/>
    <s v="DXP Enterprises, Inc. - Phoenix"/>
    <d v="2025-08-05T17:27:30"/>
    <d v="2025-08-08T16:37:55"/>
    <d v="2025-12-05T00:00:00"/>
    <s v="Ian Trottier"/>
    <x v="1"/>
    <n v="0.72772764552973712"/>
    <n v="3009.065291735601"/>
    <n v="0"/>
    <n v="2189.7800000000002"/>
    <n v="2189.7800000000002"/>
    <m/>
    <n v="2189.7800000000002"/>
    <s v="Delivered"/>
    <m/>
    <s v="SO17636"/>
    <x v="7"/>
  </r>
  <r>
    <n v="1"/>
    <s v="SO17637"/>
    <s v="7504"/>
    <s v="Hyperflo"/>
    <d v="2025-08-06T08:24:46"/>
    <d v="2025-08-06T08:39:23"/>
    <d v="2025-08-07T00:00:00"/>
    <s v="Wilka Nuñez"/>
    <x v="0"/>
    <n v="1"/>
    <n v="904.58"/>
    <n v="0"/>
    <n v="658.28787359328965"/>
    <n v="861.5"/>
    <n v="43.08"/>
    <n v="904.58"/>
    <s v="Delivered"/>
    <m/>
    <s v="SO17637"/>
    <x v="7"/>
  </r>
  <r>
    <n v="1"/>
    <s v="SO17640"/>
    <s v="PO13881"/>
    <s v="Manufacture Sling-Choker (Val-d’Or) Ltée"/>
    <d v="2025-08-06T14:03:58"/>
    <d v="2025-08-08T15:02:06"/>
    <d v="2025-08-15T00:00:00"/>
    <s v="Alexis Gil Lamadrid"/>
    <x v="0"/>
    <n v="1"/>
    <n v="132.47"/>
    <n v="0"/>
    <n v="96.316368556038285"/>
    <n v="126.16"/>
    <n v="6.31"/>
    <n v="132.47"/>
    <s v="Delivered"/>
    <m/>
    <s v="SO17640"/>
    <x v="7"/>
  </r>
  <r>
    <n v="1"/>
    <s v="SO17643"/>
    <s v="3267"/>
    <s v="Les Pompes du St-Laurent Inc."/>
    <d v="2025-08-06T16:46:02"/>
    <d v="2025-08-06T16:50:45"/>
    <d v="2025-10-29T00:00:00"/>
    <s v="Ian Trottier"/>
    <x v="0"/>
    <n v="1"/>
    <n v="9475.69"/>
    <n v="0"/>
    <n v="6895.7215734696747"/>
    <n v="9024.4699999999993"/>
    <n v="451.22"/>
    <n v="9475.69"/>
    <s v="Delivered"/>
    <m/>
    <s v="SO17643"/>
    <x v="7"/>
  </r>
  <r>
    <n v="2"/>
    <s v="SO17644"/>
    <s v="1028955"/>
    <s v="Thunder Bay Pulp and Paper Inc"/>
    <d v="2025-08-06T17:14:24"/>
    <d v="2025-08-13T09:41:13"/>
    <d v="2025-12-03T00:00:00"/>
    <s v="Ian Trottier"/>
    <x v="0"/>
    <n v="1"/>
    <n v="12179.86"/>
    <n v="0"/>
    <n v="8848.266801237718"/>
    <n v="10778.64"/>
    <n v="1401.22"/>
    <n v="12179.86"/>
    <s v="Delivered"/>
    <m/>
    <s v="SO17644"/>
    <x v="7"/>
  </r>
  <r>
    <n v="1"/>
    <s v="SO17645"/>
    <s v="4500607957"/>
    <s v="Resolute Forest Products - Fibrek"/>
    <d v="2025-08-06T17:18:48"/>
    <d v="2025-08-06T17:34:50"/>
    <d v="2025-08-20T00:00:00"/>
    <s v="Alexis Gil Lamadrid"/>
    <x v="0"/>
    <n v="1"/>
    <n v="214.54"/>
    <n v="0"/>
    <n v="156.12668907194981"/>
    <n v="204.32"/>
    <n v="10.220000000000001"/>
    <n v="214.54"/>
    <s v="Delivered"/>
    <m/>
    <s v="SO17645"/>
    <x v="7"/>
  </r>
  <r>
    <n v="1"/>
    <s v="SO17648"/>
    <s v="68-01017"/>
    <s v="Quality Concrete Inc."/>
    <d v="2025-08-07T14:53:06"/>
    <d v="2025-08-11T11:17:34"/>
    <d v="2025-09-29T00:00:00"/>
    <s v="Ian Trottier"/>
    <x v="0"/>
    <n v="1"/>
    <n v="10340.629999999999"/>
    <n v="0"/>
    <n v="7501.2551773007926"/>
    <n v="9848.2199999999993"/>
    <n v="492.41"/>
    <n v="10340.629999999999"/>
    <s v="Delivered"/>
    <m/>
    <s v="SO17648"/>
    <x v="7"/>
  </r>
  <r>
    <n v="1"/>
    <s v="SO17651"/>
    <s v="4512238268"/>
    <s v="PT Vale Indonesia Tbk."/>
    <d v="2025-08-07T17:18:37"/>
    <d v="2025-08-20T08:36:49"/>
    <d v="2025-08-21T00:00:00"/>
    <s v="Ian Trottier"/>
    <x v="1"/>
    <n v="0.72149778458582292"/>
    <n v="12237.903135168541"/>
    <n v="0"/>
    <n v="8829.6200000000008"/>
    <n v="8829.6200000000008"/>
    <m/>
    <n v="8829.6200000000008"/>
    <s v="Delivered"/>
    <m/>
    <s v="SO17651"/>
    <x v="7"/>
  </r>
  <r>
    <n v="1"/>
    <s v="SO17652"/>
    <m/>
    <s v="Dynapro Pumps México S de RL de CV"/>
    <d v="2025-08-07T19:04:50"/>
    <d v="2025-08-07T19:05:50"/>
    <d v="2025-08-08T00:00:00"/>
    <s v="Yannett Yeomans"/>
    <x v="1"/>
    <n v="0.72560216344070383"/>
    <n v="110.2532545116062"/>
    <n v="0"/>
    <n v="80"/>
    <n v="80"/>
    <m/>
    <n v="80"/>
    <s v="Delivered"/>
    <m/>
    <s v="SO17652"/>
    <x v="7"/>
  </r>
  <r>
    <n v="1"/>
    <s v="SO17653"/>
    <s v="P-81125"/>
    <s v="Cartledge &amp; Associates Inc."/>
    <d v="2025-08-08T09:35:56"/>
    <d v="2025-08-11T12:28:24"/>
    <d v="2025-08-13T00:00:00"/>
    <s v="Ian Trottier"/>
    <x v="1"/>
    <n v="0.72687673995949531"/>
    <n v="5760.6740865491647"/>
    <n v="0"/>
    <n v="4187.3"/>
    <n v="4187.3"/>
    <m/>
    <n v="4187.3"/>
    <s v="Delivered"/>
    <m/>
    <s v="SO17653"/>
    <x v="7"/>
  </r>
  <r>
    <n v="1"/>
    <s v="SO17655"/>
    <s v="PO# 1057"/>
    <s v="Mill-Right Mine Services Inc."/>
    <d v="2025-08-08T10:46:30"/>
    <d v="2025-08-08T10:47:03"/>
    <d v="2025-08-11T00:00:00"/>
    <s v="Amanda Qiao"/>
    <x v="1"/>
    <n v="0.72772764552973712"/>
    <n v="2496.6070907989961"/>
    <n v="0"/>
    <n v="1816.85"/>
    <n v="1816.85"/>
    <m/>
    <n v="1816.85"/>
    <s v="Delivered"/>
    <m/>
    <s v="SO17655"/>
    <x v="7"/>
  </r>
  <r>
    <n v="1"/>
    <s v="SO17656"/>
    <s v="MB21-00192067"/>
    <s v="Motion Industries Inc. (Canada) - Winnipeg"/>
    <d v="2025-08-08T18:08:43"/>
    <d v="2025-08-11T11:29:54"/>
    <d v="2025-08-18T00:00:00"/>
    <s v="Ian Trottier"/>
    <x v="0"/>
    <n v="1"/>
    <n v="129.11000000000001"/>
    <n v="0"/>
    <n v="93.658418872090536"/>
    <n v="122.96"/>
    <n v="6.15"/>
    <n v="129.11000000000001"/>
    <s v="Delivered"/>
    <m/>
    <s v="SO17656"/>
    <x v="7"/>
  </r>
  <r>
    <n v="1"/>
    <s v="SO17659"/>
    <s v="2100630473"/>
    <s v="Wajax Limited - Pointe-aux-Trembles"/>
    <d v="2025-08-11T11:04:57"/>
    <d v="2025-08-11T16:48:38"/>
    <d v="2025-08-12T00:00:00"/>
    <s v="Ian Trottier"/>
    <x v="0"/>
    <n v="1"/>
    <n v="2038.62"/>
    <n v="0"/>
    <n v="1478.846920308428"/>
    <n v="1941.54"/>
    <n v="97.08"/>
    <n v="2038.62"/>
    <s v="Delivered"/>
    <m/>
    <s v="SO17659"/>
    <x v="7"/>
  </r>
  <r>
    <n v="1"/>
    <s v="SO17660"/>
    <s v="3275"/>
    <s v="Les Pompes du St-Laurent Inc."/>
    <d v="2025-08-11T12:36:45"/>
    <d v="2025-08-12T11:01:53"/>
    <d v="2025-08-13T00:00:00"/>
    <s v="Ian Trottier"/>
    <x v="0"/>
    <n v="1"/>
    <n v="1488.69"/>
    <n v="0"/>
    <n v="1081.602923416903"/>
    <n v="1417.8"/>
    <n v="70.89"/>
    <n v="1488.69"/>
    <s v="Delivered"/>
    <m/>
    <s v="SO17660"/>
    <x v="7"/>
  </r>
  <r>
    <n v="1"/>
    <s v="SO17661"/>
    <s v="PO13889"/>
    <s v="Manufacture Sling-Choker (Val-d’Or) Ltée"/>
    <d v="2025-08-11T13:31:49"/>
    <d v="2025-08-11T17:27:41"/>
    <d v="2025-08-18T00:00:00"/>
    <s v="Alexis Gil Lamadrid"/>
    <x v="0"/>
    <n v="1"/>
    <n v="2877.18"/>
    <n v="0"/>
    <n v="2087.1514957044492"/>
    <n v="2740.17"/>
    <n v="137.01"/>
    <n v="2877.18"/>
    <s v="Delivered"/>
    <m/>
    <s v="SO17661"/>
    <x v="7"/>
  </r>
  <r>
    <n v="1"/>
    <s v="SO17662"/>
    <s v="4500608996"/>
    <s v="Resolute Forest Products - Fibrek"/>
    <d v="2025-08-11T14:32:24"/>
    <d v="2025-08-11T14:39:21"/>
    <d v="2025-08-25T00:00:00"/>
    <s v="Alexis Gil Lamadrid"/>
    <x v="0"/>
    <n v="1"/>
    <n v="206.81"/>
    <n v="0"/>
    <n v="150.0232174652393"/>
    <n v="196.96"/>
    <n v="9.85"/>
    <n v="206.81"/>
    <s v="Delivered"/>
    <m/>
    <s v="SO17662"/>
    <x v="7"/>
  </r>
  <r>
    <n v="1"/>
    <s v="SO17664"/>
    <s v="P365091"/>
    <s v="Covia Corp - Fort Smith"/>
    <d v="2025-08-11T15:37:32"/>
    <d v="2025-08-14T12:08:35"/>
    <d v="2025-11-26T00:00:00"/>
    <s v="Amanda Qiao"/>
    <x v="1"/>
    <n v="0.72646703666854284"/>
    <n v="18193.90190174658"/>
    <n v="0"/>
    <n v="13217.27"/>
    <n v="13217.27"/>
    <m/>
    <n v="13217.27"/>
    <s v="Delivered"/>
    <m/>
    <s v="SO17664"/>
    <x v="7"/>
  </r>
  <r>
    <n v="1"/>
    <s v="SO17670"/>
    <s v="PO-40-1017155"/>
    <s v="Canadian Bearings Ltd."/>
    <d v="2025-08-13T10:08:00"/>
    <d v="2025-08-13T11:39:14"/>
    <d v="2025-08-14T00:00:00"/>
    <s v="Wilka Nuñez"/>
    <x v="0"/>
    <n v="1"/>
    <n v="517.79999999999995"/>
    <n v="0"/>
    <n v="376.16463158697138"/>
    <n v="493.15"/>
    <n v="24.65"/>
    <n v="517.79999999999995"/>
    <s v="Delivered"/>
    <m/>
    <s v="SO17670"/>
    <x v="7"/>
  </r>
  <r>
    <n v="1"/>
    <s v="SO17673"/>
    <s v="4512219234"/>
    <s v="PT Vale Indonesia Tbk."/>
    <d v="2025-08-13T12:35:34"/>
    <d v="2025-08-13T15:54:13"/>
    <d v="2025-08-25T00:00:00"/>
    <s v="Ian Trottier"/>
    <x v="1"/>
    <n v="0.72654677831979975"/>
    <n v="38.841270572090501"/>
    <n v="0"/>
    <n v="28.22"/>
    <n v="28.22"/>
    <m/>
    <n v="28.22"/>
    <s v="Delivered"/>
    <m/>
    <s v="SO17673"/>
    <x v="7"/>
  </r>
  <r>
    <n v="1"/>
    <s v="SO17674"/>
    <s v="10545"/>
    <s v="Canadian Industrial Pumps Ltd"/>
    <d v="2025-08-13T13:49:18"/>
    <d v="2025-08-19T17:42:00"/>
    <d v="2025-08-31T00:00:00"/>
    <s v="Alexis Gil Lamadrid"/>
    <x v="0"/>
    <n v="1"/>
    <n v="2440.75"/>
    <n v="0"/>
    <n v="1760.995717727847"/>
    <n v="2440.75"/>
    <m/>
    <n v="2440.75"/>
    <s v="Delivered"/>
    <m/>
    <s v="SO17674"/>
    <x v="7"/>
  </r>
  <r>
    <n v="1"/>
    <s v="SO17676"/>
    <s v="4512224031"/>
    <s v="PT Vale Indonesia Tbk."/>
    <d v="2025-08-14T10:01:02"/>
    <d v="2025-08-14T10:10:15"/>
    <d v="2025-08-17T00:00:00"/>
    <s v="Wilka Nuñez"/>
    <x v="1"/>
    <n v="0.72646703666854284"/>
    <n v="2101.2515681375298"/>
    <n v="0"/>
    <n v="1526.49"/>
    <n v="1526.49"/>
    <m/>
    <n v="1526.49"/>
    <s v="Delivered"/>
    <m/>
    <s v="SO17676"/>
    <x v="7"/>
  </r>
  <r>
    <n v="1"/>
    <s v="SO17677"/>
    <s v="4512224278"/>
    <s v="PT Vale Indonesia Tbk."/>
    <d v="2025-08-14T10:10:27"/>
    <d v="2025-08-14T10:17:54"/>
    <d v="2025-08-17T00:00:00"/>
    <s v="Wilka Nuñez"/>
    <x v="1"/>
    <n v="0.72646703666854284"/>
    <n v="649.00398256489234"/>
    <n v="0"/>
    <n v="471.48"/>
    <n v="471.48"/>
    <m/>
    <n v="471.48"/>
    <s v="Delivered"/>
    <m/>
    <s v="SO17677"/>
    <x v="7"/>
  </r>
  <r>
    <n v="1"/>
    <s v="SO17678"/>
    <s v="QC10-00127942"/>
    <s v="Motion Industries Inc. (Canada) - Chicoutimi"/>
    <d v="2025-08-14T12:48:49"/>
    <d v="2025-12-05T11:03:49"/>
    <d v="2025-12-05T00:00:00"/>
    <s v="Ian Trottier"/>
    <x v="0"/>
    <n v="1"/>
    <n v="78.58"/>
    <n v="0"/>
    <n v="56.696283233458729"/>
    <n v="74.84"/>
    <n v="3.74"/>
    <n v="78.58"/>
    <s v="Delivered"/>
    <m/>
    <s v="SO17678"/>
    <x v="7"/>
  </r>
  <r>
    <n v="1"/>
    <s v="SO17679"/>
    <s v="P-90425"/>
    <s v="Cartledge &amp; Associates Inc."/>
    <d v="2025-08-14T13:53:08"/>
    <d v="2025-09-04T17:56:41"/>
    <d v="2025-09-25T00:00:00"/>
    <s v="Ian Trottier"/>
    <x v="1"/>
    <n v="0.72541822568831038"/>
    <n v="2149.8632716599132"/>
    <n v="0"/>
    <n v="1559.55"/>
    <n v="1559.55"/>
    <m/>
    <n v="1559.55"/>
    <s v="Delivered"/>
    <m/>
    <s v="SO17679"/>
    <x v="7"/>
  </r>
  <r>
    <n v="2"/>
    <s v="SO17681"/>
    <s v="S309770"/>
    <s v="Kumtor Gold Company"/>
    <d v="2025-08-14T17:07:22"/>
    <d v="2025-09-03T13:56:39"/>
    <d v="2025-12-31T00:00:00"/>
    <s v="Ian Trottier"/>
    <x v="1"/>
    <n v="0.72690712781787181"/>
    <n v="129950.47975876729"/>
    <n v="0"/>
    <n v="94461.93"/>
    <n v="94461.93"/>
    <m/>
    <n v="94461.93"/>
    <s v="Partially Delivered"/>
    <m/>
    <s v="SO17681"/>
    <x v="7"/>
  </r>
  <r>
    <n v="2"/>
    <s v="SO17682"/>
    <s v="PO# 1058"/>
    <s v="Mill-Right Mine Services Inc."/>
    <d v="2025-08-14T17:09:57"/>
    <d v="2025-08-14T17:11:46"/>
    <d v="2025-08-15T00:00:00"/>
    <s v="Amanda Qiao"/>
    <x v="1"/>
    <n v="0.72646703666854284"/>
    <n v="2732.1955433823841"/>
    <n v="0"/>
    <n v="1984.85"/>
    <n v="1984.85"/>
    <m/>
    <n v="1984.85"/>
    <s v="Delivered"/>
    <m/>
    <s v="SO17682"/>
    <x v="7"/>
  </r>
  <r>
    <n v="1"/>
    <s v="SO17683"/>
    <s v="PO-0020723"/>
    <s v="MAB Equipment Company Inc."/>
    <d v="2025-08-14T18:03:38"/>
    <d v="2025-08-18T12:15:37"/>
    <d v="2025-12-01T00:00:00"/>
    <s v="Alexis Gil Lamadrid"/>
    <x v="1"/>
    <n v="0.7240742470894046"/>
    <n v="7447.2197038851255"/>
    <n v="0"/>
    <n v="5392.34"/>
    <n v="5392.34"/>
    <m/>
    <n v="5392.34"/>
    <s v="To Deliver"/>
    <m/>
    <s v="SO17683"/>
    <x v="7"/>
  </r>
  <r>
    <n v="1"/>
    <s v="SO17684"/>
    <s v="4500609591"/>
    <s v="Resolute Forest Products - Clermont"/>
    <d v="2025-08-14T19:01:41"/>
    <d v="2025-08-20T11:17:24"/>
    <d v="2025-10-21T00:00:00"/>
    <s v="Alexis Gil Lamadrid"/>
    <x v="0"/>
    <n v="1"/>
    <n v="1140.95"/>
    <n v="0"/>
    <n v="822.26908466071973"/>
    <n v="1086.6199999999999"/>
    <n v="54.33"/>
    <n v="1140.95"/>
    <s v="Delivered"/>
    <m/>
    <s v="SO17684"/>
    <x v="7"/>
  </r>
  <r>
    <n v="1"/>
    <s v="SO17685"/>
    <s v="2100635190"/>
    <s v="Wajax Limited - Pointe-aux-Trembles, Wajax Limited"/>
    <d v="2025-08-14T19:25:00"/>
    <d v="2025-08-19T17:15:50"/>
    <d v="2025-08-26T00:00:00"/>
    <s v="Alexis Gil Lamadrid"/>
    <x v="0"/>
    <n v="1"/>
    <n v="248.52"/>
    <n v="0"/>
    <n v="179.30662942526871"/>
    <n v="236.69"/>
    <n v="11.83"/>
    <n v="248.52"/>
    <s v="Delivered"/>
    <m/>
    <s v="SO17685"/>
    <x v="7"/>
  </r>
  <r>
    <n v="1"/>
    <s v="SO17686"/>
    <s v="2201"/>
    <s v="FMI Products"/>
    <d v="2025-08-15T09:33:06"/>
    <d v="2025-08-18T10:15:15"/>
    <d v="2025-08-19T00:00:00"/>
    <s v="Wilka Nuñez"/>
    <x v="0"/>
    <n v="1"/>
    <n v="1745.25"/>
    <n v="0"/>
    <n v="1263.1742452168569"/>
    <n v="1662.14"/>
    <n v="83.11"/>
    <n v="1745.25"/>
    <s v="Delivered"/>
    <m/>
    <s v="SO17686"/>
    <x v="7"/>
  </r>
  <r>
    <n v="1"/>
    <s v="SO17689"/>
    <s v="MB21-00192256"/>
    <s v="Motion Industries Inc. (Canada) - Winnipeg"/>
    <d v="2025-08-15T12:51:01"/>
    <d v="2025-08-15T15:06:32"/>
    <d v="2025-08-22T00:00:00"/>
    <s v="Ian Trottier"/>
    <x v="0"/>
    <n v="1"/>
    <n v="127.69"/>
    <n v="0"/>
    <n v="92.465391035630944"/>
    <n v="121.61"/>
    <n v="6.08"/>
    <n v="127.69"/>
    <s v="Delivered"/>
    <m/>
    <s v="SO17689"/>
    <x v="7"/>
  </r>
  <r>
    <n v="1"/>
    <s v="SO17690"/>
    <s v="A20250809"/>
    <s v="Alpha Industrial &amp; Mining Supplies Limited"/>
    <d v="2025-08-15T14:02:20"/>
    <d v="2025-08-18T13:54:59"/>
    <d v="2025-08-25T00:00:00"/>
    <s v="Alexis Gil Lamadrid"/>
    <x v="0"/>
    <n v="1"/>
    <n v="2100.84"/>
    <n v="0"/>
    <n v="1520.542604968562"/>
    <n v="1859.15"/>
    <n v="241.69"/>
    <n v="2100.84"/>
    <s v="Delivered"/>
    <m/>
    <s v="SO17690"/>
    <x v="7"/>
  </r>
  <r>
    <n v="1"/>
    <s v="SO17691"/>
    <s v="2202"/>
    <s v="FMI Products"/>
    <d v="2025-08-15T14:24:05"/>
    <d v="2025-08-18T11:36:33"/>
    <d v="2025-08-25T00:00:00"/>
    <s v="Alexis Gil Lamadrid"/>
    <x v="0"/>
    <n v="1"/>
    <n v="118.69"/>
    <n v="0"/>
    <n v="85.90525779389128"/>
    <n v="113.04"/>
    <n v="5.65"/>
    <n v="118.69"/>
    <s v="Delivered"/>
    <m/>
    <s v="SO17691"/>
    <x v="7"/>
  </r>
  <r>
    <n v="1"/>
    <s v="SO17692"/>
    <s v="3313"/>
    <s v="Les Pompes du St-Laurent Inc."/>
    <d v="2025-08-15T15:06:39"/>
    <d v="2025-09-23T16:44:52"/>
    <d v="2025-09-24T00:00:00"/>
    <s v="Ian Trottier"/>
    <x v="0"/>
    <n v="1"/>
    <n v="6484.17"/>
    <n v="0"/>
    <n v="4686.8896894315476"/>
    <n v="6175.4"/>
    <n v="308.77"/>
    <n v="6484.17"/>
    <s v="Delivered"/>
    <m/>
    <s v="SO17692"/>
    <x v="7"/>
  </r>
  <r>
    <n v="1"/>
    <s v="SO17693"/>
    <s v="1029134"/>
    <s v="Thunder Bay Pulp and Paper Inc"/>
    <d v="2025-08-15T15:20:52"/>
    <d v="2025-08-15T15:25:05"/>
    <d v="2025-12-05T00:00:00"/>
    <s v="Ian Trottier"/>
    <x v="0"/>
    <n v="1"/>
    <n v="4665.5200000000004"/>
    <n v="0"/>
    <n v="3378.487987975228"/>
    <n v="4128.78"/>
    <n v="536.74"/>
    <n v="4665.5200000000004"/>
    <s v="Delivered"/>
    <m/>
    <s v="SO17693"/>
    <x v="7"/>
  </r>
  <r>
    <n v="1"/>
    <s v="SO17695"/>
    <s v="3031307"/>
    <s v="Flowstar Industrial Inc"/>
    <d v="2025-08-18T11:05:54"/>
    <d v="2025-08-19T17:22:25"/>
    <d v="2025-08-26T00:00:00"/>
    <s v="Marlen Martinez"/>
    <x v="0"/>
    <n v="1"/>
    <n v="184"/>
    <n v="0"/>
    <n v="132.75559236379141"/>
    <n v="160"/>
    <n v="24"/>
    <n v="184"/>
    <s v="Delivered"/>
    <m/>
    <s v="SO17695"/>
    <x v="7"/>
  </r>
  <r>
    <n v="4"/>
    <s v="SO17696"/>
    <s v="S309683"/>
    <s v="Kumtor Gold Company"/>
    <d v="2025-08-18T16:41:05"/>
    <d v="2025-09-03T14:44:25"/>
    <d v="2025-12-31T00:00:00"/>
    <s v="Ian Trottier"/>
    <x v="1"/>
    <n v="0.72690712781787181"/>
    <n v="70310.288679416393"/>
    <n v="0"/>
    <n v="51109.05"/>
    <n v="51109.05"/>
    <m/>
    <n v="51109.05"/>
    <s v="Partially Delivered"/>
    <m/>
    <s v="SO17696"/>
    <x v="7"/>
  </r>
  <r>
    <n v="0"/>
    <s v="SO17698"/>
    <s v="21776 R1"/>
    <s v="DRN Industriel"/>
    <d v="2025-08-19T09:09:59"/>
    <d v="2025-08-25T14:13:58"/>
    <d v="2025-11-17T00:00:00"/>
    <s v="Wilka Nuñez"/>
    <x v="0"/>
    <n v="1"/>
    <n v="5018.46"/>
    <n v="0"/>
    <n v="3628.2446579174521"/>
    <n v="4779.4799999999996"/>
    <n v="238.98"/>
    <n v="5018.46"/>
    <s v="Processing"/>
    <m/>
    <s v="SO17698"/>
    <x v="7"/>
  </r>
  <r>
    <n v="0"/>
    <s v="SO17700"/>
    <s v="1061"/>
    <s v="Mill-Right Mine Services Inc."/>
    <d v="2025-08-19T10:51:12"/>
    <d v="2025-10-09T15:43:00"/>
    <d v="2026-01-13T00:00:00"/>
    <s v="Amanda Qiao"/>
    <x v="0"/>
    <n v="1"/>
    <n v="2724.71"/>
    <n v="0"/>
    <n v="1944.6699197195419"/>
    <n v="2411.25"/>
    <n v="313.45999999999998"/>
    <n v="2724.71"/>
    <s v="To Deliver"/>
    <m/>
    <s v="SO17700"/>
    <x v="7"/>
  </r>
  <r>
    <n v="1"/>
    <s v="SO17701"/>
    <s v="4501270327"/>
    <s v="Barrick Gold - Pueblo Viejo Dominicana Corporation"/>
    <d v="2025-08-19T14:00:07"/>
    <d v="2025-08-27T14:32:40"/>
    <d v="2025-09-04T00:00:00"/>
    <s v="Wilka Nuñez"/>
    <x v="1"/>
    <n v="0.72297969056592093"/>
    <n v="23323.117122143449"/>
    <n v="0"/>
    <n v="16862.14"/>
    <n v="16862.14"/>
    <m/>
    <n v="16862.14"/>
    <s v="Delivered"/>
    <m/>
    <s v="SO17701"/>
    <x v="7"/>
  </r>
  <r>
    <n v="1"/>
    <s v="SO17703"/>
    <s v="4500609934"/>
    <s v="Resolute Forest Products - Saint-Felicien"/>
    <d v="2025-08-19T14:47:36"/>
    <d v="2025-08-19T14:48:29"/>
    <d v="2025-08-26T00:00:00"/>
    <s v="Alexis Gil Lamadrid"/>
    <x v="0"/>
    <n v="1"/>
    <n v="311.39"/>
    <n v="0"/>
    <n v="224.66719514217939"/>
    <n v="296.56"/>
    <n v="14.83"/>
    <n v="311.39"/>
    <s v="Delivered"/>
    <m/>
    <s v="SO17703"/>
    <x v="7"/>
  </r>
  <r>
    <n v="1"/>
    <s v="SO17704"/>
    <s v="4500609960"/>
    <s v="Resolute Forest Products - Saint-Felicien"/>
    <d v="2025-08-19T14:58:20"/>
    <d v="2025-08-19T18:53:46"/>
    <d v="2025-08-26T00:00:00"/>
    <s v="Alexis Gil Lamadrid"/>
    <x v="0"/>
    <n v="1"/>
    <n v="277.49"/>
    <n v="0"/>
    <n v="200.20842024472"/>
    <n v="264.27999999999997"/>
    <n v="13.21"/>
    <n v="277.49"/>
    <s v="Delivered"/>
    <m/>
    <s v="SO17704"/>
    <x v="7"/>
  </r>
  <r>
    <n v="1"/>
    <s v="SO17707"/>
    <s v="PO13911"/>
    <s v="Manufacture Sling-Choker (Val-d’Or) Ltée"/>
    <d v="2025-08-19T18:39:16"/>
    <d v="2025-08-20T13:35:01"/>
    <d v="2025-08-27T00:00:00"/>
    <s v="Alexis Gil Lamadrid"/>
    <x v="0"/>
    <n v="1"/>
    <n v="1457.4"/>
    <n v="0"/>
    <n v="1050.3308330641421"/>
    <n v="1388"/>
    <n v="69.400000000000006"/>
    <n v="1457.4"/>
    <s v="Delivered"/>
    <m/>
    <s v="SO17707"/>
    <x v="7"/>
  </r>
  <r>
    <n v="1"/>
    <s v="SO17709"/>
    <s v="7623"/>
    <s v="Hyperflo"/>
    <d v="2025-08-20T10:15:12"/>
    <d v="2025-09-02T13:20:39"/>
    <d v="2025-09-03T00:00:00"/>
    <s v="Wilka Nuñez"/>
    <x v="0"/>
    <n v="1"/>
    <n v="3039.52"/>
    <n v="0"/>
    <n v="2204.9232053441328"/>
    <n v="2894.78"/>
    <n v="144.74"/>
    <n v="3039.52"/>
    <s v="Delivered"/>
    <m/>
    <s v="SO17709"/>
    <x v="7"/>
  </r>
  <r>
    <n v="1"/>
    <s v="SO17710"/>
    <s v="PO-0020757"/>
    <s v="MAB Equipment Company Inc."/>
    <d v="2025-08-20T11:07:44"/>
    <d v="2025-08-21T16:48:11"/>
    <d v="2025-08-22T00:00:00"/>
    <s v="Ian Trottier"/>
    <x v="1"/>
    <n v="0.72068809734056682"/>
    <n v="3660.529443645501"/>
    <n v="0"/>
    <n v="2638.1"/>
    <n v="2638.1"/>
    <m/>
    <n v="2638.1"/>
    <s v="Delivered"/>
    <m/>
    <s v="SO17710"/>
    <x v="7"/>
  </r>
  <r>
    <n v="0"/>
    <s v="SO17712"/>
    <s v="5397796"/>
    <s v="Corrosion Fluid Products Corp., Corrosion Fluid Products Corp. - Chicago"/>
    <d v="2025-08-20T14:08:22"/>
    <d v="2025-08-27T10:31:55"/>
    <d v="2025-12-24T00:00:00"/>
    <s v="Eduardo Talamantes"/>
    <x v="1"/>
    <n v="0.72297969056592093"/>
    <n v="61475.032535436767"/>
    <n v="0"/>
    <n v="44445.2"/>
    <n v="44445.2"/>
    <m/>
    <n v="44445.2"/>
    <s v="To Deliver"/>
    <m/>
    <s v="SO17712"/>
    <x v="7"/>
  </r>
  <r>
    <n v="1"/>
    <s v="SO17714"/>
    <s v="PO-008196"/>
    <s v="Sling-Choker Manufacturing - Timmins"/>
    <d v="2025-08-20T14:19:42"/>
    <d v="2025-08-20T14:25:19"/>
    <d v="2025-09-10T00:00:00"/>
    <s v="Alexis Gil Lamadrid"/>
    <x v="0"/>
    <n v="1"/>
    <n v="2081.71"/>
    <n v="0"/>
    <n v="1500.263619114831"/>
    <n v="1842.22"/>
    <n v="239.49"/>
    <n v="2081.71"/>
    <s v="Delivered"/>
    <m/>
    <s v="SO17714"/>
    <x v="7"/>
  </r>
  <r>
    <n v="1"/>
    <s v="SO17715"/>
    <s v="4850011463"/>
    <s v="Dome Mine Ltd"/>
    <d v="2025-08-20T14:59:24"/>
    <d v="2025-08-21T18:51:45"/>
    <d v="2025-09-24T00:00:00"/>
    <s v="Alexis Gil Lamadrid"/>
    <x v="0"/>
    <n v="1"/>
    <n v="440.01"/>
    <n v="0"/>
    <n v="316.53202099728941"/>
    <n v="389.39"/>
    <n v="50.62"/>
    <n v="440.01"/>
    <s v="Delivered"/>
    <m/>
    <s v="SO17715"/>
    <x v="7"/>
  </r>
  <r>
    <n v="1"/>
    <s v="SO17718"/>
    <s v="4501270309"/>
    <s v="Barrick Gold - Pueblo Viejo Dominicana Corporation"/>
    <d v="2025-08-20T15:54:27"/>
    <d v="2025-08-28T14:16:17"/>
    <d v="2025-12-03T00:00:00"/>
    <s v="Amanda Qiao"/>
    <x v="1"/>
    <n v="0.72328577573707276"/>
    <n v="48094.406342432107"/>
    <n v="0"/>
    <n v="34786"/>
    <n v="34786"/>
    <m/>
    <n v="34786"/>
    <s v="Delivered"/>
    <m/>
    <s v="SO17718"/>
    <x v="7"/>
  </r>
  <r>
    <n v="1"/>
    <s v="SO17719"/>
    <s v="4500610655"/>
    <s v="Resolute Forest Products - Clermont"/>
    <d v="2025-08-21T09:59:16"/>
    <d v="2025-08-22T16:56:26"/>
    <d v="2025-08-29T00:00:00"/>
    <s v="Ian Trottier"/>
    <x v="0"/>
    <n v="1"/>
    <n v="598.37"/>
    <n v="0"/>
    <n v="432.20949094626451"/>
    <n v="569.88"/>
    <n v="28.49"/>
    <n v="598.37"/>
    <s v="Delivered"/>
    <m/>
    <s v="SO17719"/>
    <x v="7"/>
  </r>
  <r>
    <n v="1"/>
    <s v="SO17721"/>
    <s v="12160"/>
    <s v="Les Pompes Diaspec Inc."/>
    <d v="2025-08-21T12:17:47"/>
    <d v="2025-10-07T12:15:53"/>
    <d v="2025-10-24T00:00:00"/>
    <s v="Alexis Gil Lamadrid"/>
    <x v="0"/>
    <n v="1"/>
    <n v="267.23"/>
    <n v="267.23"/>
    <n v="267.23"/>
    <n v="256.17"/>
    <n v="11.06"/>
    <n v="267.23"/>
    <s v="Delivered"/>
    <m/>
    <s v="SO17721"/>
    <x v="7"/>
  </r>
  <r>
    <n v="1"/>
    <s v="SO17723"/>
    <s v="7578"/>
    <s v="Hyperflo"/>
    <d v="2025-08-21T13:33:49"/>
    <d v="2025-08-25T11:30:18"/>
    <d v="2025-09-01T00:00:00"/>
    <s v="Ian Trottier"/>
    <x v="0"/>
    <n v="1"/>
    <n v="112.94"/>
    <n v="0"/>
    <n v="81.653326252515114"/>
    <n v="107.56"/>
    <n v="5.38"/>
    <n v="112.94"/>
    <s v="Delivered"/>
    <m/>
    <s v="SO17723"/>
    <x v="7"/>
  </r>
  <r>
    <n v="1"/>
    <s v="SO17727"/>
    <s v="21768 R1"/>
    <s v="DRN Industriel"/>
    <d v="2025-08-21T14:31:01"/>
    <d v="2025-08-22T10:47:52"/>
    <d v="2025-11-28T00:00:00"/>
    <s v="Alexis Gil Lamadrid"/>
    <x v="0"/>
    <n v="1"/>
    <n v="3972.86"/>
    <n v="0"/>
    <n v="2869.642191621866"/>
    <n v="3783.68"/>
    <n v="189.18"/>
    <n v="3972.86"/>
    <s v="Delivered"/>
    <m/>
    <s v="SO17727"/>
    <x v="7"/>
  </r>
  <r>
    <n v="1"/>
    <s v="SO17729"/>
    <s v="0207927 - JRF"/>
    <s v="Electric Pump"/>
    <d v="2025-08-21T19:18:07"/>
    <d v="2025-09-04T18:55:53"/>
    <m/>
    <s v="Marlen Martinez"/>
    <x v="1"/>
    <n v="0.72541822568831038"/>
    <n v="2275.9284803376081"/>
    <n v="0"/>
    <n v="1651"/>
    <n v="1651"/>
    <m/>
    <n v="1651"/>
    <s v="Delivered"/>
    <m/>
    <s v="SO17729"/>
    <x v="7"/>
  </r>
  <r>
    <n v="1"/>
    <s v="SO17731"/>
    <s v="PO6529"/>
    <s v="ProPart Pompes du Canada 9425-4380 Quebec Inc"/>
    <d v="2025-08-22T10:37:42"/>
    <d v="2025-08-25T15:46:36"/>
    <d v="2025-08-26T00:00:00"/>
    <s v="Wilka Nuñez"/>
    <x v="0"/>
    <n v="1"/>
    <n v="119.66"/>
    <n v="0"/>
    <n v="86.511749773118098"/>
    <n v="113.96"/>
    <n v="5.7"/>
    <n v="119.66"/>
    <s v="Delivered"/>
    <m/>
    <s v="SO17731"/>
    <x v="7"/>
  </r>
  <r>
    <n v="1"/>
    <s v="SO17737"/>
    <s v="P-82225"/>
    <s v="Cartledge &amp; Associates Inc."/>
    <d v="2025-08-22T13:16:16"/>
    <d v="2025-08-22T17:16:47"/>
    <d v="2025-08-29T00:00:00"/>
    <s v="Ian Trottier"/>
    <x v="1"/>
    <n v="0.71937460738912617"/>
    <n v="4528.6280145801593"/>
    <n v="0"/>
    <n v="3257.78"/>
    <n v="3257.78"/>
    <m/>
    <n v="3257.78"/>
    <s v="Delivered"/>
    <m/>
    <s v="SO17737"/>
    <x v="7"/>
  </r>
  <r>
    <n v="1"/>
    <s v="SO17739"/>
    <s v="7603"/>
    <s v="Hyperflo"/>
    <d v="2025-08-22T14:57:55"/>
    <d v="2025-08-28T11:28:38"/>
    <d v="2025-09-04T00:00:00"/>
    <s v="Alexis Gil Lamadrid"/>
    <x v="0"/>
    <n v="1"/>
    <n v="1924.84"/>
    <n v="0"/>
    <n v="1399.711079033081"/>
    <n v="1833.18"/>
    <n v="91.66"/>
    <n v="1924.84"/>
    <s v="Delivered"/>
    <m/>
    <s v="SO17739"/>
    <x v="7"/>
  </r>
  <r>
    <n v="1"/>
    <s v="SO17740"/>
    <s v="CO81-00108962"/>
    <s v="Motion Industries Inc. (U.S.) - Pueblo"/>
    <d v="2025-08-22T16:14:07"/>
    <d v="2025-08-26T13:53:11"/>
    <d v="2025-12-16T00:00:00"/>
    <s v="Ian Trottier"/>
    <x v="1"/>
    <n v="0.72297969056592093"/>
    <n v="6210.3404266936441"/>
    <n v="0"/>
    <n v="4489.95"/>
    <n v="4489.95"/>
    <m/>
    <n v="4489.95"/>
    <s v="Delivered"/>
    <m/>
    <s v="SO17740"/>
    <x v="7"/>
  </r>
  <r>
    <n v="2"/>
    <s v="SO17741"/>
    <s v="4512247470"/>
    <s v="PT Vale Indonesia Tbk."/>
    <d v="2025-08-22T16:31:11"/>
    <d v="2025-08-22T16:35:45"/>
    <d v="2025-11-14T00:00:00"/>
    <s v="Ian Trottier"/>
    <x v="1"/>
    <n v="0.71937460738912617"/>
    <n v="19807.607682616381"/>
    <n v="0"/>
    <n v="14249.09"/>
    <n v="14249.09"/>
    <m/>
    <n v="14249.09"/>
    <s v="Delivered"/>
    <m/>
    <s v="SO17741"/>
    <x v="7"/>
  </r>
  <r>
    <n v="1"/>
    <s v="SO17742"/>
    <s v="BC65-00081630"/>
    <s v="Motion Industries Inc. (Canada) - Prince George"/>
    <d v="2025-08-22T19:05:19"/>
    <d v="2025-08-28T17:13:54"/>
    <d v="2025-09-04T00:00:00"/>
    <s v="Alexis Gil Lamadrid"/>
    <x v="0"/>
    <n v="1"/>
    <n v="3619.25"/>
    <n v="0"/>
    <n v="2631.857361022463"/>
    <n v="3446.9"/>
    <n v="172.35"/>
    <n v="3619.25"/>
    <s v="Delivered"/>
    <m/>
    <s v="SO17742"/>
    <x v="7"/>
  </r>
  <r>
    <n v="0"/>
    <s v="SO17744"/>
    <s v="PO# 1059 Ship to PO# 2255391"/>
    <s v="Mill-Right Mine Services Inc."/>
    <d v="2025-08-25T07:53:33"/>
    <d v="2025-09-16T15:08:37"/>
    <d v="2025-12-08T00:00:00"/>
    <s v="Amanda Qiao"/>
    <x v="1"/>
    <n v="0.72471536141095205"/>
    <n v="86351.143265630075"/>
    <n v="0"/>
    <n v="62580"/>
    <n v="62580"/>
    <m/>
    <n v="62580"/>
    <s v="Processing"/>
    <m/>
    <s v="SO17744"/>
    <x v="7"/>
  </r>
  <r>
    <n v="1"/>
    <s v="SO17747"/>
    <s v="4500610533"/>
    <s v="Resolute Forest Products - Saint-Felicien"/>
    <d v="2025-08-25T15:26:25"/>
    <d v="2025-08-25T15:25:20"/>
    <d v="2025-09-01T00:00:00"/>
    <s v="Alexis Gil Lamadrid"/>
    <x v="0"/>
    <n v="1"/>
    <n v="8104.05"/>
    <n v="0"/>
    <n v="5859.0635613307513"/>
    <n v="7718.14"/>
    <n v="385.91"/>
    <n v="8104.05"/>
    <s v="Delivered"/>
    <m/>
    <s v="SO17747"/>
    <x v="7"/>
  </r>
  <r>
    <n v="1"/>
    <s v="SO17749"/>
    <s v="4500617962"/>
    <s v="Resolute Forest Products - Saint-Felicien"/>
    <d v="2025-08-25T16:40:12"/>
    <d v="2025-08-25T16:43:04"/>
    <d v="2025-09-01T00:00:00"/>
    <s v="Alexis Gil Lamadrid"/>
    <x v="0"/>
    <n v="1"/>
    <n v="662.17"/>
    <n v="0"/>
    <n v="478.73546170203582"/>
    <n v="630.64"/>
    <n v="31.53"/>
    <n v="662.17"/>
    <s v="Delivered"/>
    <m/>
    <s v="SO17749"/>
    <x v="7"/>
  </r>
  <r>
    <n v="1"/>
    <s v="SO17753"/>
    <s v="A20250826"/>
    <s v="Alpha Industrial &amp; Mining Supplies Limited"/>
    <d v="2025-08-26T13:15:58"/>
    <d v="2025-08-26T17:05:29"/>
    <d v="2025-09-16T00:00:00"/>
    <s v="Alexis Gil Lamadrid"/>
    <x v="0"/>
    <n v="1"/>
    <n v="338.15"/>
    <n v="0"/>
    <n v="244.57908506549111"/>
    <n v="299.25"/>
    <n v="38.9"/>
    <n v="338.15"/>
    <s v="Delivered"/>
    <m/>
    <s v="SO17753"/>
    <x v="7"/>
  </r>
  <r>
    <n v="2"/>
    <s v="SO17756"/>
    <s v="PO-042213"/>
    <s v="Southeast Pump Specialist, Inc."/>
    <d v="2025-08-26T18:02:19"/>
    <d v="2025-08-26T18:02:47"/>
    <d v="2025-09-02T00:00:00"/>
    <s v="Alexis Gil Lamadrid"/>
    <x v="1"/>
    <n v="0.72297969056592093"/>
    <n v="4155.7875542093761"/>
    <n v="0"/>
    <n v="3004.55"/>
    <n v="3004.55"/>
    <m/>
    <n v="3004.55"/>
    <s v="Delivered"/>
    <m/>
    <s v="SO17756"/>
    <x v="7"/>
  </r>
  <r>
    <n v="1"/>
    <s v="SO17758"/>
    <s v="PO-40-1017598"/>
    <s v="Canadian Bearings Ltd."/>
    <d v="2025-08-27T09:39:06"/>
    <d v="2025-09-08T15:52:22"/>
    <d v="2025-09-09T00:00:00"/>
    <s v="Wilka Nuñez"/>
    <x v="0"/>
    <n v="1"/>
    <n v="283.87"/>
    <n v="0"/>
    <n v="205.38609347975159"/>
    <n v="270.35000000000002"/>
    <n v="13.52"/>
    <n v="283.87"/>
    <s v="Delivered"/>
    <m/>
    <s v="SO17758"/>
    <x v="7"/>
  </r>
  <r>
    <n v="2"/>
    <s v="SO17759"/>
    <s v="BC65-00081681"/>
    <s v="Motion Industries Inc. (Canada) - Prince George"/>
    <d v="2025-08-27T12:47:13"/>
    <d v="2025-09-04T15:29:23"/>
    <d v="2026-01-26T00:00:00"/>
    <s v="Alexis Gil Lamadrid"/>
    <x v="0"/>
    <n v="1"/>
    <n v="8475.15"/>
    <n v="0"/>
    <n v="6128.3686907329557"/>
    <n v="8071.57"/>
    <n v="403.58"/>
    <n v="8475.15"/>
    <s v="Delivered"/>
    <m/>
    <s v="SO17759"/>
    <x v="7"/>
  </r>
  <r>
    <n v="2"/>
    <s v="SO17760"/>
    <m/>
    <s v="Dynapro Pumps México S de RL de CV"/>
    <d v="2025-08-27T12:53:29"/>
    <d v="2025-08-27T12:44:55"/>
    <d v="2025-10-13T00:00:00"/>
    <s v="Carlos Leon"/>
    <x v="1"/>
    <n v="0.72297969056592093"/>
    <n v="2697.171200581879"/>
    <n v="0"/>
    <n v="1950"/>
    <n v="1950"/>
    <m/>
    <n v="1950"/>
    <s v="Delivered"/>
    <m/>
    <s v="SO17760"/>
    <x v="7"/>
  </r>
  <r>
    <n v="1"/>
    <s v="SO17761"/>
    <s v="4501270341"/>
    <s v="Barrick Gold - Pueblo Viejo Dominicana Corporation"/>
    <d v="2025-08-27T13:56:22"/>
    <d v="2025-08-27T14:44:07"/>
    <d v="2025-09-01T00:00:00"/>
    <s v="Wilka Nuñez"/>
    <x v="1"/>
    <n v="0.72297969056592093"/>
    <n v="9778.1999857648989"/>
    <n v="0"/>
    <n v="7069.44"/>
    <n v="7069.44"/>
    <m/>
    <n v="7069.44"/>
    <s v="Delivered"/>
    <m/>
    <s v="SO17761"/>
    <x v="7"/>
  </r>
  <r>
    <n v="1"/>
    <s v="SO17763"/>
    <s v="ON08-00285245"/>
    <s v="Motion Industries Inc. (Canada) - North Bay, Motion Industries Canada"/>
    <d v="2025-08-27T14:49:08"/>
    <d v="2025-09-02T14:47:20"/>
    <d v="2025-10-31T00:00:00"/>
    <s v="Alexis Gil Lamadrid"/>
    <x v="0"/>
    <n v="1"/>
    <n v="2911.69"/>
    <n v="0"/>
    <n v="2112.1929935543972"/>
    <n v="2576.7199999999998"/>
    <n v="334.97"/>
    <n v="2911.69"/>
    <s v="Delivered"/>
    <m/>
    <s v="SO17763"/>
    <x v="7"/>
  </r>
  <r>
    <n v="1"/>
    <s v="SO17765"/>
    <s v="3970"/>
    <s v="Middle Georgia Fluid Sealing LLC"/>
    <d v="2025-08-27T16:51:21"/>
    <d v="2025-08-28T09:46:10"/>
    <d v="2025-08-29T00:00:00"/>
    <s v="Ian Trottier"/>
    <x v="1"/>
    <n v="0.72328577573707276"/>
    <n v="18960.735106430871"/>
    <n v="0"/>
    <n v="13714.03"/>
    <n v="13714.03"/>
    <m/>
    <n v="13714.03"/>
    <s v="Delivered"/>
    <m/>
    <s v="SO17765"/>
    <x v="7"/>
  </r>
  <r>
    <n v="2"/>
    <s v="SO17768"/>
    <s v="6500021909"/>
    <s v="Wesdome Gold Mines Ltd - Eagle River Mine"/>
    <d v="2025-08-28T12:57:35"/>
    <d v="2025-09-02T17:17:40"/>
    <d v="2025-09-10T00:00:00"/>
    <s v="Ian Trottier"/>
    <x v="0"/>
    <n v="1"/>
    <n v="27525.7"/>
    <n v="0"/>
    <n v="19967.644454828729"/>
    <n v="27525.7"/>
    <m/>
    <n v="27525.7"/>
    <s v="Delivered"/>
    <m/>
    <s v="SO17768"/>
    <x v="7"/>
  </r>
  <r>
    <n v="2"/>
    <s v="SO17769"/>
    <s v="4501270800"/>
    <s v="Barrick Gold - Pueblo Viejo Dominicana Corporation"/>
    <d v="2025-08-28T13:32:13"/>
    <d v="2025-08-28T13:38:12"/>
    <d v="2025-09-02T00:00:00"/>
    <s v="Wilka Nuñez"/>
    <x v="1"/>
    <n v="0.72328577573707276"/>
    <n v="31086.578437253149"/>
    <n v="0"/>
    <n v="22484.48"/>
    <n v="22484.48"/>
    <m/>
    <n v="22484.48"/>
    <s v="Delivered"/>
    <m/>
    <s v="SO17769"/>
    <x v="7"/>
  </r>
  <r>
    <n v="1"/>
    <s v="SO17774"/>
    <s v="FL06-00052065"/>
    <s v="Motion Industries Inc. (U.S.) - Clewiston"/>
    <d v="2025-08-29T09:23:56"/>
    <d v="2025-08-29T14:55:53"/>
    <d v="2025-09-01T00:00:00"/>
    <s v="Wilka Nuñez"/>
    <x v="1"/>
    <n v="0.72327371605913215"/>
    <n v="371.64353415826872"/>
    <n v="0"/>
    <n v="268.8"/>
    <n v="268.8"/>
    <m/>
    <n v="268.8"/>
    <s v="Delivered"/>
    <m/>
    <s v="SO17774"/>
    <x v="7"/>
  </r>
  <r>
    <n v="1"/>
    <s v="SO17775"/>
    <s v="4512273854"/>
    <s v="PT Vale Indonesia Tbk."/>
    <d v="2025-08-29T09:44:29"/>
    <d v="2025-08-29T11:50:20"/>
    <d v="2025-10-31T00:00:00"/>
    <s v="Wilka Nuñez"/>
    <x v="1"/>
    <n v="0.72327371605913215"/>
    <n v="1484.0578002038781"/>
    <n v="0"/>
    <n v="1073.3800000000001"/>
    <n v="1073.3800000000001"/>
    <m/>
    <n v="1073.3800000000001"/>
    <s v="Delivered"/>
    <m/>
    <s v="SO17775"/>
    <x v="7"/>
  </r>
  <r>
    <n v="1"/>
    <s v="SO17776"/>
    <s v="P366236"/>
    <s v="Covia Corp - Blue Mountain"/>
    <d v="2025-08-29T12:29:13"/>
    <d v="2025-09-02T17:34:00"/>
    <d v="2025-09-09T00:00:00"/>
    <s v="Marlen Martinez"/>
    <x v="1"/>
    <n v="0.72576773408832196"/>
    <n v="8216.692090191882"/>
    <n v="0"/>
    <n v="5963.41"/>
    <n v="5963.41"/>
    <m/>
    <n v="5963.41"/>
    <s v="Delivered"/>
    <m/>
    <s v="SO17776"/>
    <x v="7"/>
  </r>
  <r>
    <n v="1"/>
    <s v="SO17777"/>
    <s v="054868-00"/>
    <s v="F H Pumps, Inc., F H Pumps, Inc"/>
    <d v="2025-08-29T13:51:23"/>
    <d v="2025-08-29T13:52:56"/>
    <d v="2025-09-26T00:00:00"/>
    <s v="Alexis Gil Lamadrid"/>
    <x v="1"/>
    <n v="0.72327371605913215"/>
    <n v="2861.7796472376949"/>
    <n v="0"/>
    <n v="2069.85"/>
    <n v="2069.85"/>
    <m/>
    <n v="2069.85"/>
    <s v="Delivered"/>
    <m/>
    <s v="SO17777"/>
    <x v="7"/>
  </r>
  <r>
    <n v="2"/>
    <s v="SO17778"/>
    <s v="10588"/>
    <s v="Canadian Industrial Pumps Ltd"/>
    <d v="2025-08-29T14:43:03"/>
    <d v="2025-09-15T18:37:18"/>
    <d v="2025-10-13T00:00:00"/>
    <s v="Alexis Gil Lamadrid"/>
    <x v="0"/>
    <n v="1"/>
    <n v="7445.23"/>
    <n v="0"/>
    <n v="5395.6725502376621"/>
    <n v="7090.68"/>
    <n v="354.55"/>
    <n v="7445.23"/>
    <s v="Delivered"/>
    <m/>
    <s v="SO17778"/>
    <x v="7"/>
  </r>
  <r>
    <n v="1"/>
    <s v="SO17779"/>
    <s v="4500611308"/>
    <s v="Resolute Forest Products - Saint-Felicien"/>
    <d v="2025-08-29T17:04:06"/>
    <d v="2025-08-29T17:02:31"/>
    <d v="2025-12-31T00:00:00"/>
    <s v="Alexis Gil Lamadrid"/>
    <x v="0"/>
    <n v="1"/>
    <n v="248.38"/>
    <n v="0"/>
    <n v="180.91508146445111"/>
    <n v="236.55"/>
    <n v="11.83"/>
    <n v="248.38"/>
    <s v="Delivered"/>
    <m/>
    <s v="SO17779"/>
    <x v="7"/>
  </r>
  <r>
    <n v="0"/>
    <s v="SO17781"/>
    <s v="BC65-00081824"/>
    <s v="Motion Industries Inc. (Canada) - Prince George"/>
    <d v="2025-09-01T08:28:11"/>
    <d v="2025-09-18T16:03:10"/>
    <d v="2026-01-29T00:00:00"/>
    <s v="Wilka Nuñez"/>
    <x v="0"/>
    <n v="1"/>
    <n v="4072.96"/>
    <n v="0"/>
    <n v="2951.8770636157119"/>
    <n v="3879.01"/>
    <n v="193.95"/>
    <n v="4072.96"/>
    <s v="To Deliver"/>
    <m/>
    <s v="SO17781"/>
    <x v="8"/>
  </r>
  <r>
    <n v="1"/>
    <s v="SO17782"/>
    <s v="OC00204"/>
    <s v="Dynapro Pumps México S de RL de CV"/>
    <d v="2025-09-01T18:41:24"/>
    <d v="2025-09-01T18:42:03"/>
    <d v="2024-10-04T00:00:00"/>
    <s v="Yannett Yeomans"/>
    <x v="1"/>
    <n v="0.72752560688441315"/>
    <n v="11042.910275564251"/>
    <n v="0"/>
    <n v="8034"/>
    <n v="8034"/>
    <m/>
    <n v="8034"/>
    <s v="Delivered"/>
    <m/>
    <s v="SO17782"/>
    <x v="8"/>
  </r>
  <r>
    <n v="1"/>
    <s v="SO17783"/>
    <s v="4501285694"/>
    <s v="Barrick Gold - Pueblo Viejo Dominicana Corporation"/>
    <d v="2025-09-02T08:28:46"/>
    <d v="2025-09-16T09:45:08"/>
    <d v="2025-09-19T00:00:00"/>
    <s v="Wilka Nuñez"/>
    <x v="1"/>
    <n v="0.72471536141095205"/>
    <n v="7436.1884499148664"/>
    <n v="0"/>
    <n v="5389.12"/>
    <n v="5389.12"/>
    <m/>
    <n v="5389.12"/>
    <s v="Delivered"/>
    <m/>
    <s v="SO17783"/>
    <x v="8"/>
  </r>
  <r>
    <n v="1"/>
    <s v="SO17784"/>
    <s v="2100645192"/>
    <s v="Wajax Limited - Val D'Or, Composants Industriels Wajax SC -57"/>
    <d v="2025-09-02T09:19:21"/>
    <d v="2025-09-03T15:47:36"/>
    <d v="2025-09-04T00:00:00"/>
    <s v="Wilka Nuñez"/>
    <x v="0"/>
    <n v="1"/>
    <n v="3087.15"/>
    <n v="3087.15"/>
    <n v="3087.15"/>
    <n v="2940.13"/>
    <n v="147.02000000000001"/>
    <n v="3087.15"/>
    <s v="Delivered"/>
    <m/>
    <s v="SO17784"/>
    <x v="8"/>
  </r>
  <r>
    <n v="1"/>
    <s v="SO17785"/>
    <s v="PONV-25-1788"/>
    <s v="Tech-Flow"/>
    <d v="2025-09-02T10:22:45"/>
    <d v="2025-09-03T15:19:13"/>
    <d v="2025-11-12T00:00:00"/>
    <s v="Wilka Nuñez"/>
    <x v="1"/>
    <n v="0.72690712781787181"/>
    <n v="1682.4707767983609"/>
    <n v="0"/>
    <n v="1223"/>
    <n v="1223"/>
    <m/>
    <n v="1223"/>
    <s v="Delivered"/>
    <m/>
    <s v="SO17785"/>
    <x v="8"/>
  </r>
  <r>
    <n v="1"/>
    <s v="SO17786"/>
    <s v="OC00201"/>
    <s v="Dynapro Pumps México S de RL de CV"/>
    <d v="2025-09-02T11:52:51"/>
    <d v="2025-09-02T11:54:46"/>
    <d v="2025-09-04T00:00:00"/>
    <s v="Yannett Yeomans"/>
    <x v="1"/>
    <n v="0.72576773408832196"/>
    <n v="3692.6414252439872"/>
    <n v="0"/>
    <n v="2680"/>
    <n v="2680"/>
    <m/>
    <n v="2680"/>
    <s v="Delivered"/>
    <m/>
    <s v="SO17786"/>
    <x v="8"/>
  </r>
  <r>
    <n v="1"/>
    <s v="SO17787"/>
    <s v="MB21-00192787"/>
    <s v="Motion Industries Inc. (Canada) - Winnipeg"/>
    <d v="2025-09-02T12:19:56"/>
    <d v="2025-09-05T13:18:23"/>
    <d v="2025-09-19T00:00:00"/>
    <s v="Ian Trottier"/>
    <x v="0"/>
    <n v="1"/>
    <n v="112.54"/>
    <n v="0"/>
    <n v="81.395130764358285"/>
    <n v="112.54"/>
    <m/>
    <n v="112.54"/>
    <s v="Delivered"/>
    <m/>
    <s v="SO17787"/>
    <x v="8"/>
  </r>
  <r>
    <n v="1"/>
    <s v="SO17788"/>
    <s v="607922"/>
    <s v="Sealtrac Inc."/>
    <d v="2025-09-02T13:45:35"/>
    <d v="2025-09-03T11:28:43"/>
    <d v="2025-09-10T00:00:00"/>
    <s v="Alexis Gil Lamadrid"/>
    <x v="0"/>
    <n v="1"/>
    <n v="1032.47"/>
    <n v="1032.47"/>
    <n v="1032.47"/>
    <n v="913.69"/>
    <n v="118.78"/>
    <n v="1032.47"/>
    <s v="Delivered"/>
    <m/>
    <s v="SO17788"/>
    <x v="8"/>
  </r>
  <r>
    <n v="1"/>
    <s v="SO17794"/>
    <s v="2223"/>
    <s v="FMI Products"/>
    <d v="2025-09-03T11:19:36"/>
    <d v="2025-09-25T11:27:09"/>
    <d v="2025-10-02T00:00:00"/>
    <s v="Alexis Gil Lamadrid"/>
    <x v="0"/>
    <n v="1"/>
    <n v="2324.62"/>
    <n v="0"/>
    <n v="1669.4857385799539"/>
    <n v="2213.92"/>
    <n v="110.7"/>
    <n v="2324.62"/>
    <s v="To Deliver"/>
    <m/>
    <s v="SO17794"/>
    <x v="8"/>
  </r>
  <r>
    <n v="2"/>
    <s v="SO17796"/>
    <s v="607926"/>
    <s v="Sealtrac Inc."/>
    <d v="2025-09-03T14:46:25"/>
    <d v="2025-09-04T11:07:52"/>
    <d v="2025-09-24T00:00:00"/>
    <s v="Alexis Gil Lamadrid"/>
    <x v="0"/>
    <n v="1"/>
    <n v="951.53"/>
    <n v="0"/>
    <n v="688.04996493196336"/>
    <n v="842.06"/>
    <n v="109.47"/>
    <n v="951.53"/>
    <s v="Delivered"/>
    <m/>
    <s v="SO17796"/>
    <x v="8"/>
  </r>
  <r>
    <n v="0"/>
    <s v="SO17797"/>
    <s v="Sample"/>
    <s v="Super Cast Limited"/>
    <d v="2025-09-03T14:57:21"/>
    <d v="2025-09-03T14:57:24"/>
    <d v="2025-11-17T00:00:00"/>
    <s v="Amanda Qiao"/>
    <x v="1"/>
    <n v="0.72690712781787181"/>
    <n v="0"/>
    <n v="0"/>
    <n v="0"/>
    <m/>
    <m/>
    <m/>
    <s v="To Deliver"/>
    <m/>
    <s v="SO17797"/>
    <x v="8"/>
  </r>
  <r>
    <n v="1"/>
    <s v="SO17799"/>
    <s v="PONV-25-1796"/>
    <s v="Tech-Flow"/>
    <d v="2025-09-04T12:06:12"/>
    <d v="2025-09-04T12:08:54"/>
    <d v="2025-11-12T00:00:00"/>
    <s v="Wilka Nuñez"/>
    <x v="1"/>
    <n v="0.72541822568831038"/>
    <n v="1685.9240045141701"/>
    <n v="0"/>
    <n v="1223"/>
    <n v="1223"/>
    <m/>
    <n v="1223"/>
    <s v="Delivered"/>
    <m/>
    <s v="SO17799"/>
    <x v="8"/>
  </r>
  <r>
    <n v="1"/>
    <s v="SO17800"/>
    <s v="7640"/>
    <s v="Hyperflo"/>
    <d v="2025-09-04T13:47:11"/>
    <d v="2025-09-04T15:13:19"/>
    <d v="2025-09-11T00:00:00"/>
    <s v="Ian Trottier"/>
    <x v="0"/>
    <n v="1"/>
    <n v="955.04"/>
    <n v="0"/>
    <n v="690.5880408485516"/>
    <n v="909.56"/>
    <n v="45.48"/>
    <n v="955.04"/>
    <s v="Delivered"/>
    <m/>
    <s v="SO17800"/>
    <x v="8"/>
  </r>
  <r>
    <n v="1"/>
    <s v="SO17801"/>
    <s v="4500612015"/>
    <s v="Resolute Forest Products - Fibrek"/>
    <d v="2025-09-04T18:30:03"/>
    <d v="2025-09-08T15:34:51"/>
    <d v="2025-09-15T00:00:00"/>
    <s v="Alexis Gil Lamadrid"/>
    <x v="0"/>
    <n v="1"/>
    <n v="9474.0499999999993"/>
    <n v="0"/>
    <n v="6854.680378102089"/>
    <n v="9022.9"/>
    <n v="451.15"/>
    <n v="9474.0499999999993"/>
    <s v="Delivered"/>
    <m/>
    <s v="SO17801"/>
    <x v="8"/>
  </r>
  <r>
    <n v="1"/>
    <s v="SO17803"/>
    <s v="7667"/>
    <s v="Hyperflo"/>
    <d v="2025-09-05T11:33:08"/>
    <d v="2025-09-15T14:28:42"/>
    <d v="2025-09-22T00:00:00"/>
    <s v="Ian Trottier"/>
    <x v="0"/>
    <n v="1"/>
    <n v="105.61"/>
    <n v="0"/>
    <n v="76.537189318610643"/>
    <n v="100.58"/>
    <n v="5.03"/>
    <n v="105.61"/>
    <s v="Delivered"/>
    <m/>
    <s v="SO17803"/>
    <x v="8"/>
  </r>
  <r>
    <n v="1"/>
    <s v="SO17804"/>
    <s v="2100646837"/>
    <s v="Wajax Limited - Lachine"/>
    <d v="2025-09-05T12:23:19"/>
    <d v="2025-09-05T12:23:28"/>
    <d v="2025-09-12T00:00:00"/>
    <s v="Alexis Gil Lamadrid"/>
    <x v="0"/>
    <n v="1"/>
    <n v="523.91"/>
    <n v="0"/>
    <n v="378.92058786880182"/>
    <n v="498.96"/>
    <n v="24.95"/>
    <n v="523.91"/>
    <s v="Delivered"/>
    <m/>
    <s v="SO17804"/>
    <x v="8"/>
  </r>
  <r>
    <n v="3"/>
    <s v="SO17806"/>
    <s v="P366673"/>
    <s v="Covia Corp - Junction City"/>
    <d v="2025-09-05T14:28:29"/>
    <d v="2025-09-09T14:06:27"/>
    <d v="2026-01-05T00:00:00"/>
    <s v="Marlen Martinez"/>
    <x v="1"/>
    <n v="0.72308531577554036"/>
    <n v="13645.070346114961"/>
    <n v="0"/>
    <n v="9866.5499999999993"/>
    <n v="9866.5499999999993"/>
    <m/>
    <n v="9866.5499999999993"/>
    <s v="Delivered"/>
    <m/>
    <s v="SO17806"/>
    <x v="8"/>
  </r>
  <r>
    <n v="1"/>
    <s v="SO17809"/>
    <s v="4500612757"/>
    <s v="Resolute Forest Products - Saint-Felicien"/>
    <d v="2025-09-08T12:25:12"/>
    <d v="2025-09-10T16:24:22"/>
    <d v="2026-01-07T00:00:00"/>
    <s v="Ian Trottier"/>
    <x v="0"/>
    <n v="1"/>
    <n v="4172.29"/>
    <n v="0"/>
    <n v="3013.3805759603952"/>
    <n v="3973.6"/>
    <n v="198.69"/>
    <n v="4172.29"/>
    <s v="Delivered"/>
    <m/>
    <s v="SO17809"/>
    <x v="8"/>
  </r>
  <r>
    <n v="1"/>
    <s v="SO17812"/>
    <s v="4500612693"/>
    <s v="Resolute Forest Products - Saint-Felicien"/>
    <d v="2025-09-08T14:48:04"/>
    <d v="2025-09-09T17:01:17"/>
    <d v="2025-09-10T00:00:00"/>
    <s v="Ian Trottier"/>
    <x v="0"/>
    <n v="1"/>
    <n v="4785.87"/>
    <n v="4785.87"/>
    <n v="4785.87"/>
    <n v="4557.97"/>
    <n v="227.9"/>
    <n v="4785.87"/>
    <s v="Delivered"/>
    <m/>
    <s v="SO17812"/>
    <x v="8"/>
  </r>
  <r>
    <n v="1"/>
    <s v="SO17813"/>
    <s v="7658"/>
    <s v="Hyperflo"/>
    <d v="2025-09-08T15:19:38"/>
    <d v="2025-09-11T16:54:10"/>
    <d v="2025-09-18T00:00:00"/>
    <s v="Alexis Gil Lamadrid"/>
    <x v="0"/>
    <n v="1"/>
    <n v="107.95"/>
    <n v="0"/>
    <n v="78.047116684021475"/>
    <n v="102.81"/>
    <n v="5.14"/>
    <n v="107.95"/>
    <s v="Delivered"/>
    <m/>
    <s v="SO17813"/>
    <x v="8"/>
  </r>
  <r>
    <n v="1"/>
    <s v="SO17814"/>
    <s v="PO-008239"/>
    <s v="Sling-Choker Manufacturing - Timmins"/>
    <d v="2025-09-09T09:34:42"/>
    <d v="2025-09-09T09:38:08"/>
    <d v="2025-09-10T00:00:00"/>
    <s v="Wilka Nuñez"/>
    <x v="0"/>
    <n v="1"/>
    <n v="1354.99"/>
    <n v="1354.99"/>
    <n v="1354.99"/>
    <n v="1199.1099999999999"/>
    <n v="155.88"/>
    <n v="1354.99"/>
    <s v="Delivered"/>
    <m/>
    <s v="SO17814"/>
    <x v="8"/>
  </r>
  <r>
    <n v="1"/>
    <s v="SO17817"/>
    <s v="2227"/>
    <s v="FMI Products"/>
    <d v="2025-09-09T12:49:15"/>
    <d v="2025-09-09T14:01:13"/>
    <d v="2025-09-16T00:00:00"/>
    <s v="Alexis Gil Lamadrid"/>
    <x v="0"/>
    <n v="1"/>
    <n v="1186.27"/>
    <n v="1186.27"/>
    <n v="1186.27"/>
    <n v="1129.78"/>
    <n v="56.49"/>
    <n v="1186.27"/>
    <s v="Delivered"/>
    <m/>
    <s v="SO17817"/>
    <x v="8"/>
  </r>
  <r>
    <n v="1"/>
    <s v="SO17818"/>
    <s v="PO-008243"/>
    <s v="Sling-Choker Manufacturing - Timmins"/>
    <d v="2025-09-09T12:53:22"/>
    <d v="2025-09-10T10:36:43"/>
    <d v="2025-09-12T00:00:00"/>
    <s v="Wilka Nuñez"/>
    <x v="0"/>
    <n v="1"/>
    <n v="2585.3000000000002"/>
    <n v="0"/>
    <n v="1867.198301899055"/>
    <n v="2585.3000000000002"/>
    <m/>
    <n v="2585.3000000000002"/>
    <s v="Delivered"/>
    <m/>
    <s v="SO17818"/>
    <x v="8"/>
  </r>
  <r>
    <n v="1"/>
    <s v="SO17824"/>
    <s v="PO-042473"/>
    <s v="Southeast Pump Specialist, Inc."/>
    <d v="2025-09-10T12:27:59"/>
    <d v="2025-09-10T17:22:43"/>
    <d v="2025-09-17T00:00:00"/>
    <s v="Alexis Gil Lamadrid"/>
    <x v="1"/>
    <n v="0.72352165949114577"/>
    <n v="1424.615264075054"/>
    <n v="0"/>
    <n v="1030.74"/>
    <n v="1030.74"/>
    <m/>
    <n v="1030.74"/>
    <s v="Delivered"/>
    <m/>
    <s v="SO17824"/>
    <x v="8"/>
  </r>
  <r>
    <n v="1"/>
    <s v="SO17826"/>
    <s v="3301"/>
    <s v="Les Pompes du St-Laurent Inc."/>
    <d v="2025-09-10T16:36:55"/>
    <d v="2025-09-10T16:34:46"/>
    <d v="2025-09-16T00:00:00"/>
    <s v="Ian Trottier"/>
    <x v="0"/>
    <n v="1"/>
    <n v="2141.87"/>
    <n v="0"/>
    <n v="1546.936922944544"/>
    <n v="2039.88"/>
    <n v="101.99"/>
    <n v="2141.87"/>
    <s v="Delivered"/>
    <m/>
    <s v="SO17826"/>
    <x v="8"/>
  </r>
  <r>
    <n v="1"/>
    <s v="SO17827"/>
    <s v="4500586497"/>
    <s v="Glencore Canada Corporation - Rouyn-Noranda"/>
    <d v="2025-09-10T18:51:22"/>
    <d v="2025-09-10T18:51:32"/>
    <d v="2025-10-31T00:00:00"/>
    <s v="Alexis Gil Lamadrid"/>
    <x v="0"/>
    <n v="1"/>
    <n v="44.65"/>
    <n v="0"/>
    <n v="32.247864534016493"/>
    <n v="42.52"/>
    <n v="2.13"/>
    <n v="44.65"/>
    <s v="Delivered"/>
    <m/>
    <s v="SO17827"/>
    <x v="8"/>
  </r>
  <r>
    <n v="1"/>
    <s v="SO17828"/>
    <s v="2100651726"/>
    <s v="Wajax Limited - Noranda"/>
    <d v="2025-09-11T09:08:52"/>
    <d v="2025-09-12T09:52:27"/>
    <d v="2025-09-19T00:00:00"/>
    <s v="Wilka Nuñez"/>
    <x v="0"/>
    <n v="1"/>
    <n v="155.12"/>
    <n v="0"/>
    <n v="111.9254124085889"/>
    <n v="147.72999999999999"/>
    <n v="7.39"/>
    <n v="155.12"/>
    <s v="Delivered"/>
    <m/>
    <s v="SO17828"/>
    <x v="8"/>
  </r>
  <r>
    <n v="1"/>
    <s v="SO17833"/>
    <s v="BC65-00081753"/>
    <s v="Motion Industries Inc. (Canada) - Prince George"/>
    <d v="2025-09-11T16:51:07"/>
    <d v="2025-09-11T17:04:43"/>
    <d v="2025-09-25T00:00:00"/>
    <s v="Eduardo Talamantes"/>
    <x v="0"/>
    <n v="1"/>
    <n v="5610.53"/>
    <n v="0"/>
    <n v="4056.3750770653351"/>
    <n v="5343.36"/>
    <n v="267.17"/>
    <n v="5610.53"/>
    <s v="Delivered"/>
    <m/>
    <s v="SO17833"/>
    <x v="8"/>
  </r>
  <r>
    <n v="1"/>
    <s v="SO17834"/>
    <s v="4500586645"/>
    <s v="Glencore Canada Corporation - Rouyn-Noranda"/>
    <d v="2025-09-11T19:26:17"/>
    <d v="2025-09-11T19:26:41"/>
    <d v="2025-10-11T00:00:00"/>
    <s v="Alexis Gil Lamadrid"/>
    <x v="0"/>
    <n v="1"/>
    <n v="48.05"/>
    <n v="0"/>
    <n v="34.67003652806018"/>
    <n v="42.52"/>
    <n v="5.53"/>
    <n v="48.05"/>
    <s v="Delivered"/>
    <m/>
    <s v="SO17834"/>
    <x v="8"/>
  </r>
  <r>
    <n v="1"/>
    <s v="SO17835"/>
    <s v="OC00206"/>
    <s v="Dynapro Pumps México S de RL de CV"/>
    <d v="2025-09-12T01:02:22"/>
    <d v="2025-09-12T01:02:22"/>
    <d v="2024-10-11T00:00:00"/>
    <s v="Yannett Yeomans"/>
    <x v="1"/>
    <n v="0.72299320689227853"/>
    <n v="11112.13760158747"/>
    <n v="0"/>
    <n v="8034"/>
    <n v="8034"/>
    <m/>
    <n v="8034"/>
    <s v="Delivered"/>
    <m/>
    <s v="SO17835"/>
    <x v="8"/>
  </r>
  <r>
    <n v="1"/>
    <s v="SO17836"/>
    <s v="7660"/>
    <s v="Hyperflo"/>
    <d v="2025-09-12T08:00:51"/>
    <d v="2025-09-12T08:09:09"/>
    <d v="2025-09-15T00:00:00"/>
    <s v="Wilka Nuñez"/>
    <x v="0"/>
    <n v="1"/>
    <n v="50.4"/>
    <n v="0"/>
    <n v="36.36565746127436"/>
    <n v="48"/>
    <n v="2.4"/>
    <n v="50.4"/>
    <s v="Delivered"/>
    <m/>
    <s v="SO17836"/>
    <x v="8"/>
  </r>
  <r>
    <n v="1"/>
    <s v="SO17837"/>
    <s v="4500613133"/>
    <s v="Resolute Forest Products - Saint-Felicien"/>
    <d v="2025-09-12T12:20:24"/>
    <d v="2025-09-15T17:38:48"/>
    <d v="2025-09-22T00:00:00"/>
    <s v="Alexis Gil Lamadrid"/>
    <x v="0"/>
    <n v="1"/>
    <n v="752.49"/>
    <n v="0"/>
    <n v="545.34106230812733"/>
    <n v="716.65"/>
    <n v="35.840000000000003"/>
    <n v="752.49"/>
    <s v="Delivered"/>
    <m/>
    <s v="SO17837"/>
    <x v="8"/>
  </r>
  <r>
    <n v="1"/>
    <s v="SO17838"/>
    <s v="PO 607046"/>
    <s v="Sealtrac Inc."/>
    <d v="2025-09-12T12:22:11"/>
    <d v="2025-09-16T09:54:03"/>
    <d v="2025-09-23T00:00:00"/>
    <s v="Aleksandar Stankovic"/>
    <x v="0"/>
    <n v="1"/>
    <n v="400.09"/>
    <n v="0"/>
    <n v="291.03410941130858"/>
    <n v="354.06"/>
    <n v="46.03"/>
    <n v="400.09"/>
    <s v="Delivered"/>
    <m/>
    <s v="SO17838"/>
    <x v="8"/>
  </r>
  <r>
    <n v="0"/>
    <s v="SO17839"/>
    <s v="4500882138"/>
    <s v="AGM Inc."/>
    <d v="2025-09-12T16:55:01"/>
    <d v="2025-12-11T16:24:40"/>
    <d v="2026-01-20T00:00:00"/>
    <s v="Amanda Qiao"/>
    <x v="1"/>
    <n v="0.72276866354558011"/>
    <n v="43048.324546015479"/>
    <n v="0"/>
    <n v="31113.98"/>
    <n v="31113.98"/>
    <m/>
    <n v="31113.98"/>
    <s v="To Deliver"/>
    <m/>
    <s v="SO17839"/>
    <x v="8"/>
  </r>
  <r>
    <n v="1"/>
    <s v="SO17844"/>
    <s v="PO-40-1017858"/>
    <s v="Canadian Bearings Ltd."/>
    <d v="2025-09-15T12:16:24"/>
    <d v="2025-09-17T11:14:15"/>
    <d v="2025-09-24T00:00:00"/>
    <s v="Alexis Gil Lamadrid"/>
    <x v="0"/>
    <n v="1"/>
    <n v="293.48"/>
    <n v="0"/>
    <n v="213.25725181381711"/>
    <n v="279.5"/>
    <n v="13.98"/>
    <n v="293.48"/>
    <s v="Delivered"/>
    <m/>
    <s v="SO17844"/>
    <x v="8"/>
  </r>
  <r>
    <n v="1"/>
    <s v="SO17845"/>
    <s v="P367532"/>
    <s v="Covia Corp - Guion"/>
    <d v="2025-09-15T14:30:44"/>
    <d v="2025-09-22T15:52:41"/>
    <d v="2025-09-30T00:00:00"/>
    <s v="Marlen Martinez"/>
    <x v="1"/>
    <n v="0.72585002533058685"/>
    <n v="7133.539738655717"/>
    <n v="0"/>
    <n v="5177.88"/>
    <n v="5177.88"/>
    <m/>
    <n v="5177.88"/>
    <s v="Delivered"/>
    <m/>
    <s v="SO17845"/>
    <x v="8"/>
  </r>
  <r>
    <n v="1"/>
    <s v="SO17846"/>
    <s v="P-91625"/>
    <s v="Cartledge &amp; Associates Inc."/>
    <d v="2025-09-15T14:55:31"/>
    <d v="2025-09-15T14:57:56"/>
    <d v="2025-09-29T00:00:00"/>
    <s v="Ian Trottier"/>
    <x v="1"/>
    <n v="0.72197885363302017"/>
    <n v="18487.272768219409"/>
    <n v="0"/>
    <n v="13347.42"/>
    <n v="13347.42"/>
    <m/>
    <n v="13347.42"/>
    <s v="Delivered"/>
    <m/>
    <s v="SO17846"/>
    <x v="8"/>
  </r>
  <r>
    <n v="1"/>
    <s v="SO17847"/>
    <s v="63-02846"/>
    <s v="Quality Concrete Inc."/>
    <d v="2025-09-15T15:20:58"/>
    <d v="2025-09-16T10:10:33"/>
    <d v="2025-09-16T00:00:00"/>
    <s v="Ian Trottier"/>
    <x v="0"/>
    <n v="1"/>
    <n v="10279.969999999999"/>
    <n v="0"/>
    <n v="7477.8722630532384"/>
    <n v="9790.4500000000007"/>
    <n v="489.52"/>
    <n v="10279.969999999999"/>
    <s v="Delivered"/>
    <m/>
    <s v="SO17847"/>
    <x v="8"/>
  </r>
  <r>
    <n v="1"/>
    <s v="SO17848"/>
    <s v="PO14009"/>
    <s v="Manufacture Sling-Choker (Val-d’Or) Ltée"/>
    <d v="2025-09-15T15:57:44"/>
    <d v="2025-09-19T14:33:36"/>
    <d v="2025-09-22T00:00:00"/>
    <s v="Wilka Nuñez"/>
    <x v="0"/>
    <n v="1"/>
    <n v="1471.51"/>
    <n v="0"/>
    <n v="1068.50590842515"/>
    <n v="1401.44"/>
    <n v="70.069999999999993"/>
    <n v="1471.51"/>
    <s v="Delivered"/>
    <m/>
    <s v="SO17848"/>
    <x v="8"/>
  </r>
  <r>
    <n v="1"/>
    <s v="SO17849"/>
    <m/>
    <s v="Dynapro Pumps México S de RL de CV"/>
    <d v="2025-09-15T16:17:19"/>
    <d v="2025-09-15T16:15:17"/>
    <d v="2025-11-10T00:00:00"/>
    <s v="Carlos Leon"/>
    <x v="1"/>
    <n v="0.72197885363302017"/>
    <n v="2659.3576672481472"/>
    <n v="0"/>
    <n v="1920"/>
    <n v="1920"/>
    <m/>
    <n v="1920"/>
    <s v="Delivered"/>
    <m/>
    <s v="SO17849"/>
    <x v="8"/>
  </r>
  <r>
    <n v="1"/>
    <s v="SO17850"/>
    <s v="4500613310"/>
    <s v="Resolute Forest Products - Saint-Felicien"/>
    <d v="2025-09-15T18:21:38"/>
    <d v="2025-09-15T18:21:52"/>
    <d v="2025-09-22T00:00:00"/>
    <s v="Alexis Gil Lamadrid"/>
    <x v="0"/>
    <n v="1"/>
    <n v="109.1"/>
    <n v="0"/>
    <n v="79.066445929934858"/>
    <n v="103.9"/>
    <n v="5.2"/>
    <n v="109.1"/>
    <s v="Delivered"/>
    <m/>
    <s v="SO17850"/>
    <x v="8"/>
  </r>
  <r>
    <n v="0"/>
    <s v="SO17851"/>
    <s v="2258361"/>
    <s v="Zijin Mining - Rosebel Goldmines N.V."/>
    <d v="2025-09-15T21:29:47"/>
    <d v="2026-01-06T12:03:41"/>
    <d v="2026-03-03T00:00:00"/>
    <s v="Amanda Qiao"/>
    <x v="1"/>
    <n v="0.7282990074408402"/>
    <n v="72398.505917616654"/>
    <n v="0"/>
    <n v="52727.76"/>
    <n v="52727.76"/>
    <m/>
    <n v="52727.76"/>
    <s v="Processing"/>
    <m/>
    <s v="SO17851"/>
    <x v="8"/>
  </r>
  <r>
    <n v="1"/>
    <s v="SO17854"/>
    <s v="10603"/>
    <s v="Canadian Industrial Pumps Ltd, Canadian Industrial Pumps Ltd"/>
    <d v="2025-09-16T12:21:18"/>
    <d v="2025-09-24T09:39:11"/>
    <d v="2025-10-01T00:00:00"/>
    <s v="Wilka Nuñez"/>
    <x v="0"/>
    <n v="1"/>
    <n v="2918.83"/>
    <n v="0"/>
    <n v="2100.5678939757681"/>
    <n v="2779.84"/>
    <n v="138.99"/>
    <n v="2918.83"/>
    <s v="Delivered"/>
    <m/>
    <s v="SO17854"/>
    <x v="8"/>
  </r>
  <r>
    <n v="0"/>
    <s v="SO17856"/>
    <s v="6500022682"/>
    <s v="Wesdome Gold Mines Ltd - Eagle River Mine"/>
    <d v="2025-09-16T13:24:38"/>
    <d v="2025-09-29T16:23:31"/>
    <d v="2025-12-22T00:00:00"/>
    <s v="Ian Trottier"/>
    <x v="0"/>
    <n v="1"/>
    <n v="10962.81"/>
    <n v="0"/>
    <n v="7884.1320713281584"/>
    <n v="9701.6"/>
    <n v="1261.21"/>
    <n v="10962.81"/>
    <s v="Processing"/>
    <m/>
    <s v="SO17856"/>
    <x v="8"/>
  </r>
  <r>
    <n v="1"/>
    <s v="SO17858"/>
    <s v="2100654949"/>
    <s v="Wajax Limited - Noranda"/>
    <d v="2025-09-16T15:11:11"/>
    <d v="2025-09-17T13:13:06"/>
    <d v="2025-09-19T00:00:00"/>
    <s v="Wilka Nuñez"/>
    <x v="0"/>
    <n v="1"/>
    <n v="122.83"/>
    <n v="0"/>
    <n v="89.254423607370711"/>
    <n v="116.98"/>
    <n v="5.85"/>
    <n v="122.83"/>
    <s v="Delivered"/>
    <m/>
    <s v="SO17858"/>
    <x v="8"/>
  </r>
  <r>
    <n v="1"/>
    <s v="SO17860"/>
    <s v="3304"/>
    <s v="Les Pompes du St-Laurent Inc."/>
    <d v="2025-09-16T16:13:12"/>
    <d v="2025-09-16T16:14:30"/>
    <d v="2025-09-17T00:00:00"/>
    <s v="Ian Trottier"/>
    <x v="0"/>
    <n v="1"/>
    <n v="3039.52"/>
    <n v="0"/>
    <n v="2211.0125127792771"/>
    <n v="2894.78"/>
    <n v="144.74"/>
    <n v="3039.52"/>
    <s v="Delivered"/>
    <m/>
    <s v="SO17860"/>
    <x v="8"/>
  </r>
  <r>
    <n v="1"/>
    <s v="SO17862"/>
    <s v="PO10007"/>
    <s v="Tantalum Mining Corporation of Canada"/>
    <d v="2025-09-17T08:42:22"/>
    <d v="2025-10-01T16:39:26"/>
    <d v="2025-12-03T00:00:00"/>
    <s v="Leriel Reyes"/>
    <x v="0"/>
    <n v="1"/>
    <n v="7990.04"/>
    <n v="0"/>
    <n v="5727.7078668064596"/>
    <n v="7609.56"/>
    <n v="380.48"/>
    <n v="7990.04"/>
    <s v="Delivered"/>
    <m/>
    <s v="SO17862"/>
    <x v="8"/>
  </r>
  <r>
    <n v="1"/>
    <s v="SO17863"/>
    <m/>
    <s v="Dynapro Pumps México S de RL de CV"/>
    <d v="2025-09-17T09:36:07"/>
    <d v="2025-09-17T09:40:17"/>
    <d v="2025-10-01T00:00:00"/>
    <s v="Carlos Leon"/>
    <x v="1"/>
    <n v="0.72742160366744635"/>
    <n v="584.25539997337808"/>
    <n v="0"/>
    <n v="425"/>
    <n v="425"/>
    <m/>
    <n v="425"/>
    <s v="Delivered"/>
    <m/>
    <s v="SO17863"/>
    <x v="8"/>
  </r>
  <r>
    <n v="1"/>
    <s v="SO17864"/>
    <s v="7687"/>
    <s v="Hyperflo"/>
    <d v="2025-09-17T10:18:40"/>
    <d v="2025-09-17T10:35:03"/>
    <d v="2025-09-19T00:00:00"/>
    <s v="Wilka Nuñez"/>
    <x v="0"/>
    <n v="1"/>
    <n v="1086.52"/>
    <n v="0"/>
    <n v="789.51979433265831"/>
    <n v="1034.78"/>
    <n v="51.74"/>
    <n v="1086.52"/>
    <s v="Delivered"/>
    <m/>
    <s v="SO17864"/>
    <x v="8"/>
  </r>
  <r>
    <n v="3"/>
    <s v="SO17868"/>
    <s v="5296"/>
    <s v="TC Industries of Canada Co."/>
    <d v="2025-09-17T12:21:12"/>
    <d v="2025-09-18T14:57:43"/>
    <d v="2025-12-11T00:00:00"/>
    <s v="Ian Trottier"/>
    <x v="0"/>
    <n v="1"/>
    <n v="12351.12"/>
    <n v="0"/>
    <n v="8951.4721082370797"/>
    <n v="10930.21"/>
    <n v="1420.91"/>
    <n v="12351.12"/>
    <s v="Processing"/>
    <m/>
    <s v="SO17868"/>
    <x v="8"/>
  </r>
  <r>
    <n v="1"/>
    <s v="SO17870"/>
    <s v="3316"/>
    <s v="Les Pompes du St-Laurent Inc."/>
    <d v="2025-09-17T16:13:44"/>
    <d v="2025-09-25T12:50:52"/>
    <d v="2025-10-23T00:00:00"/>
    <s v="Ian Trottier"/>
    <x v="0"/>
    <n v="1"/>
    <n v="21904.25"/>
    <n v="0"/>
    <n v="15731.10142272283"/>
    <n v="20861.189999999999"/>
    <n v="1043.06"/>
    <n v="21904.25"/>
    <s v="Delivered"/>
    <m/>
    <s v="SO17870"/>
    <x v="8"/>
  </r>
  <r>
    <n v="1"/>
    <s v="SO17873"/>
    <s v="4512339725"/>
    <s v="PT Vale Indonesia Tbk."/>
    <d v="2025-09-17T18:45:48"/>
    <d v="2025-09-17T18:43:47"/>
    <d v="2025-09-22T00:00:00"/>
    <s v="Wilka Nuñez"/>
    <x v="1"/>
    <n v="0.72742160366744635"/>
    <n v="648.15231995164311"/>
    <n v="0"/>
    <n v="471.48"/>
    <n v="471.48"/>
    <m/>
    <n v="471.48"/>
    <s v="Delivered"/>
    <m/>
    <s v="SO17873"/>
    <x v="8"/>
  </r>
  <r>
    <n v="1"/>
    <s v="SO17874"/>
    <s v="324501"/>
    <s v="Gibraltar Mine (Canada)"/>
    <d v="2025-09-18T08:01:58"/>
    <d v="2025-09-18T11:09:04"/>
    <d v="2025-11-13T00:00:00"/>
    <s v="Ian Trottier"/>
    <x v="0"/>
    <n v="1"/>
    <n v="6106.39"/>
    <n v="0"/>
    <n v="4425.6051084450492"/>
    <n v="5815.61"/>
    <n v="290.77999999999997"/>
    <n v="6106.39"/>
    <s v="Delivered"/>
    <m/>
    <s v="SO17874"/>
    <x v="8"/>
  </r>
  <r>
    <n v="1"/>
    <s v="SO17876"/>
    <s v="7698"/>
    <s v="Hyperflo, Hyperflo"/>
    <d v="2025-09-18T09:46:14"/>
    <d v="2025-09-22T16:28:02"/>
    <d v="2025-09-29T00:00:00"/>
    <s v="Aleksandar Stankovic"/>
    <x v="0"/>
    <n v="1"/>
    <n v="588.59"/>
    <n v="0"/>
    <n v="426.02547517035902"/>
    <n v="560.55999999999995"/>
    <n v="28.03"/>
    <n v="588.59"/>
    <s v="Delivered"/>
    <m/>
    <s v="SO17876"/>
    <x v="8"/>
  </r>
  <r>
    <n v="1"/>
    <s v="SO17877"/>
    <s v="ON50-00003207"/>
    <s v="Motion Industries Inc. (Canada) - Thunder Bay"/>
    <d v="2025-09-18T12:52:19"/>
    <d v="2025-09-19T14:33:50"/>
    <d v="2025-09-22T00:00:00"/>
    <s v="Leriel Reyes"/>
    <x v="0"/>
    <n v="1"/>
    <n v="6766.44"/>
    <n v="0"/>
    <n v="4913.3074997820386"/>
    <n v="5988"/>
    <n v="778.44"/>
    <n v="6766.44"/>
    <s v="Delivered"/>
    <m/>
    <s v="SO17877"/>
    <x v="8"/>
  </r>
  <r>
    <n v="1"/>
    <s v="SO17878"/>
    <s v="3102228"/>
    <s v="Lantic Inc."/>
    <d v="2025-09-18T13:16:15"/>
    <d v="2025-09-18T17:15:17"/>
    <d v="2025-09-19T00:00:00"/>
    <s v="Ian Trottier"/>
    <x v="0"/>
    <n v="1"/>
    <n v="1363.01"/>
    <n v="0"/>
    <n v="987.84126445603488"/>
    <n v="1298.0999999999999"/>
    <n v="64.91"/>
    <n v="1363.01"/>
    <s v="Delivered"/>
    <m/>
    <s v="SO17878"/>
    <x v="8"/>
  </r>
  <r>
    <n v="1"/>
    <s v="SO17879"/>
    <s v="4500909582"/>
    <s v="Cameco Corporation - Blind River Refinery"/>
    <d v="2025-09-18T13:24:18"/>
    <d v="2025-09-23T09:43:20"/>
    <d v="2025-12-16T00:00:00"/>
    <s v="Ian Trottier"/>
    <x v="0"/>
    <n v="1"/>
    <n v="9939.7999999999993"/>
    <n v="0"/>
    <n v="7184.6891946095939"/>
    <n v="8796.2800000000007"/>
    <n v="1143.52"/>
    <n v="9939.7999999999993"/>
    <s v="Delivered"/>
    <m/>
    <s v="SO17879"/>
    <x v="8"/>
  </r>
  <r>
    <n v="1"/>
    <s v="SO17880"/>
    <s v="4500613640"/>
    <s v="Resolute Forest Products - Saint-Felicien"/>
    <d v="2025-09-18T17:14:58"/>
    <d v="2025-09-30T18:52:46"/>
    <d v="2025-10-07T00:00:00"/>
    <s v="Alexis Gil Lamadrid"/>
    <x v="0"/>
    <n v="1"/>
    <n v="1421.05"/>
    <n v="0"/>
    <n v="1020.153613009237"/>
    <n v="1353.38"/>
    <n v="67.67"/>
    <n v="1421.05"/>
    <s v="Delivered"/>
    <m/>
    <s v="SO17880"/>
    <x v="8"/>
  </r>
  <r>
    <n v="1"/>
    <s v="SO17889"/>
    <s v="7696"/>
    <s v="Hyperflo"/>
    <d v="2025-09-22T12:08:39"/>
    <d v="2025-09-22T12:17:15"/>
    <d v="2025-09-29T00:00:00"/>
    <s v="Ian Trottier"/>
    <x v="0"/>
    <n v="1"/>
    <n v="316.83"/>
    <n v="0"/>
    <n v="229.32372500080669"/>
    <n v="301.74"/>
    <n v="15.09"/>
    <n v="316.83"/>
    <s v="Delivered"/>
    <m/>
    <s v="SO17889"/>
    <x v="8"/>
  </r>
  <r>
    <n v="2"/>
    <s v="SO17892"/>
    <s v="10676"/>
    <s v="Canadian Industrial Pumps Ltd"/>
    <d v="2025-09-22T16:48:21"/>
    <d v="2025-10-29T13:08:20"/>
    <d v="2025-11-12T00:00:00"/>
    <s v="Alexis Gil Lamadrid"/>
    <x v="0"/>
    <n v="1"/>
    <n v="3635.55"/>
    <n v="0"/>
    <n v="2616.3551289474171"/>
    <n v="3462.42"/>
    <n v="173.13"/>
    <n v="3635.55"/>
    <s v="Delivered"/>
    <m/>
    <s v="SO17892"/>
    <x v="8"/>
  </r>
  <r>
    <n v="1"/>
    <s v="SO17893"/>
    <s v="BC65-00081890"/>
    <s v="Motion Industries Inc. (Canada) - Prince George"/>
    <d v="2025-09-22T18:41:46"/>
    <d v="2025-09-25T15:26:57"/>
    <d v="2025-10-02T00:00:00"/>
    <s v="Ian Trottier"/>
    <x v="0"/>
    <n v="1"/>
    <n v="1957.12"/>
    <n v="0"/>
    <n v="1405.5561462473861"/>
    <n v="1863.92"/>
    <n v="93.2"/>
    <n v="1957.12"/>
    <s v="Delivered"/>
    <m/>
    <s v="SO17893"/>
    <x v="8"/>
  </r>
  <r>
    <n v="0"/>
    <s v="SO17895"/>
    <s v="1060 Ship to PO# 2256099"/>
    <s v="Mill-Right Mine Services Inc."/>
    <d v="2025-09-23T08:11:18"/>
    <d v="2025-09-23T08:12:07"/>
    <d v="2025-12-09T00:00:00"/>
    <s v="Amanda Qiao"/>
    <x v="1"/>
    <n v="0.72380685225769881"/>
    <n v="3675.0135643271769"/>
    <n v="0"/>
    <n v="2660"/>
    <n v="2660"/>
    <m/>
    <n v="2660"/>
    <s v="Processing"/>
    <m/>
    <s v="SO17895"/>
    <x v="8"/>
  </r>
  <r>
    <n v="1"/>
    <s v="SO17896"/>
    <s v="2100661342"/>
    <s v="Wajax Limited - Noranda"/>
    <d v="2025-09-23T08:16:18"/>
    <d v="2025-09-26T10:37:25"/>
    <d v="2025-09-29T00:00:00"/>
    <s v="Wilka Nuñez"/>
    <x v="0"/>
    <n v="1"/>
    <n v="797.17"/>
    <n v="0"/>
    <n v="571.56100684542128"/>
    <n v="759.21"/>
    <n v="37.96"/>
    <n v="797.17"/>
    <s v="Delivered"/>
    <m/>
    <s v="SO17896"/>
    <x v="8"/>
  </r>
  <r>
    <n v="1"/>
    <s v="SO17897"/>
    <s v="OC00209"/>
    <s v="Dynapro Pumps México S de RL de CV"/>
    <d v="2025-09-23T10:52:25"/>
    <d v="2025-09-23T10:51:51"/>
    <d v="2025-09-23T00:00:00"/>
    <s v="Yannett Yeomans"/>
    <x v="1"/>
    <n v="0.72380685225769881"/>
    <n v="690.79202336977005"/>
    <n v="0"/>
    <n v="500"/>
    <n v="500"/>
    <m/>
    <n v="500"/>
    <s v="Delivered"/>
    <m/>
    <s v="SO17897"/>
    <x v="8"/>
  </r>
  <r>
    <n v="1"/>
    <s v="SO17898"/>
    <s v="PO324623"/>
    <s v="Gibraltar Mine (Canada)"/>
    <d v="2025-09-23T11:06:45"/>
    <d v="2025-09-23T14:58:41"/>
    <d v="2025-11-20T00:00:00"/>
    <s v="Aleksandar Stankovic"/>
    <x v="0"/>
    <n v="1"/>
    <n v="21694.41"/>
    <n v="0"/>
    <n v="15681.15989360252"/>
    <n v="20812.96"/>
    <n v="881.45"/>
    <n v="21694.41"/>
    <s v="Delivered"/>
    <m/>
    <s v="SO17898"/>
    <x v="8"/>
  </r>
  <r>
    <n v="2"/>
    <s v="SO17899"/>
    <s v="P367830"/>
    <s v="Covia Corp - Junction City"/>
    <d v="2025-09-23T13:31:53"/>
    <d v="2025-09-26T11:32:11"/>
    <d v="2025-10-24T00:00:00"/>
    <s v="Alexis Gil Lamadrid"/>
    <x v="1"/>
    <n v="0.71817576144916317"/>
    <n v="5107.189906547178"/>
    <n v="0"/>
    <n v="3667.86"/>
    <n v="3667.86"/>
    <m/>
    <n v="3667.86"/>
    <s v="Delivered"/>
    <m/>
    <s v="SO17899"/>
    <x v="8"/>
  </r>
  <r>
    <n v="2"/>
    <s v="SO17900"/>
    <s v="PO2100658530"/>
    <s v="Wajax Limited - Lachine"/>
    <d v="2025-09-23T13:41:12"/>
    <d v="2025-09-23T14:00:25"/>
    <d v="2025-09-30T00:00:00"/>
    <s v="Aleksandar Stankovic"/>
    <x v="0"/>
    <n v="1"/>
    <n v="942.98"/>
    <n v="0"/>
    <n v="681.60508428066521"/>
    <n v="898.07"/>
    <n v="44.91"/>
    <n v="942.98"/>
    <s v="Delivered"/>
    <m/>
    <s v="SO17900"/>
    <x v="8"/>
  </r>
  <r>
    <n v="0"/>
    <s v="SO17901"/>
    <s v="54074193"/>
    <s v="Corrosion Fluid Products Corp."/>
    <d v="2025-09-23T16:21:47"/>
    <d v="2025-09-23T16:21:47"/>
    <d v="2025-11-26T00:00:00"/>
    <s v="Ian Trottier"/>
    <x v="1"/>
    <n v="0.72380685225769881"/>
    <n v="1737.9636515960051"/>
    <n v="0"/>
    <n v="1257.95"/>
    <n v="1257.95"/>
    <m/>
    <n v="1257.95"/>
    <s v="To Deliver"/>
    <m/>
    <s v="SO17901"/>
    <x v="8"/>
  </r>
  <r>
    <n v="1"/>
    <s v="SO17902"/>
    <s v="PO003525"/>
    <s v="Eleazar General &amp; Industrial Supplies Limited"/>
    <d v="2025-09-23T16:38:49"/>
    <d v="2025-11-27T13:59:08"/>
    <d v="2025-12-04T00:00:00"/>
    <s v="Alexis Gil Lamadrid"/>
    <x v="1"/>
    <n v="0.70832754622107197"/>
    <n v="2752.9636682961882"/>
    <n v="0"/>
    <n v="1950"/>
    <n v="1950"/>
    <m/>
    <n v="1950"/>
    <s v="Delivered"/>
    <m/>
    <s v="SO17902"/>
    <x v="8"/>
  </r>
  <r>
    <n v="2"/>
    <s v="SO17903"/>
    <s v="3384"/>
    <s v="Les Pompes du St-Laurent Inc."/>
    <d v="2025-09-23T16:40:30"/>
    <d v="2025-11-06T16:48:54"/>
    <d v="2025-12-04T00:00:00"/>
    <s v="Ian Trottier"/>
    <x v="0"/>
    <n v="1"/>
    <n v="4113.49"/>
    <n v="4113.49"/>
    <n v="4113.49"/>
    <n v="3853"/>
    <n v="260.49"/>
    <n v="4113.49"/>
    <s v="Delivered"/>
    <m/>
    <s v="SO17903"/>
    <x v="8"/>
  </r>
  <r>
    <n v="1"/>
    <s v="SO17904"/>
    <s v="7704"/>
    <s v="Hyperflo, Hyperflo"/>
    <d v="2025-09-24T09:47:07"/>
    <d v="2025-09-24T09:47:21"/>
    <d v="2025-10-01T00:00:00"/>
    <s v="Ian Trottier"/>
    <x v="0"/>
    <n v="1"/>
    <n v="1006.02"/>
    <n v="0"/>
    <n v="723.99328247876781"/>
    <n v="958.11"/>
    <n v="47.91"/>
    <n v="1006.02"/>
    <s v="Delivered"/>
    <m/>
    <s v="SO17904"/>
    <x v="8"/>
  </r>
  <r>
    <n v="1"/>
    <s v="SO17905"/>
    <s v="PO-40-1018016"/>
    <s v="Canadian Bearings Ltd."/>
    <d v="2025-09-24T10:03:23"/>
    <d v="2025-09-24T10:03:29"/>
    <d v="2025-10-01T00:00:00"/>
    <s v="Aleksandar Stankovic"/>
    <x v="0"/>
    <n v="1"/>
    <n v="270.35000000000002"/>
    <n v="0"/>
    <n v="194.56033072715741"/>
    <n v="270.35000000000002"/>
    <m/>
    <n v="270.35000000000002"/>
    <s v="Delivered"/>
    <m/>
    <s v="SO17905"/>
    <x v="8"/>
  </r>
  <r>
    <n v="1"/>
    <s v="SO17906"/>
    <s v="4500587501"/>
    <s v="Glencore Canada Corporation - Rouyn-Noranda"/>
    <d v="2025-09-24T10:52:52"/>
    <d v="2025-09-24T11:03:33"/>
    <d v="2025-09-26T00:00:00"/>
    <s v="Ian Trottier"/>
    <x v="0"/>
    <n v="1"/>
    <n v="12298.19"/>
    <n v="0"/>
    <n v="8850.5267754592933"/>
    <n v="11712.55"/>
    <n v="585.64"/>
    <n v="12298.19"/>
    <s v="Delivered"/>
    <m/>
    <s v="SO17906"/>
    <x v="8"/>
  </r>
  <r>
    <n v="1"/>
    <s v="SO17910"/>
    <s v="4500617120"/>
    <s v="Resolute Forest Products - Saint-Felicien"/>
    <d v="2025-09-24T15:56:44"/>
    <d v="2025-10-10T11:56:12"/>
    <d v="2026-01-02T00:00:00"/>
    <s v="Ian Trottier"/>
    <x v="0"/>
    <n v="1"/>
    <n v="10170.530000000001"/>
    <n v="0"/>
    <n v="7265.0211063684737"/>
    <n v="9686.2199999999993"/>
    <n v="484.31"/>
    <n v="10170.530000000001"/>
    <s v="Delivered"/>
    <m/>
    <s v="SO17910"/>
    <x v="8"/>
  </r>
  <r>
    <n v="1"/>
    <s v="SO17911"/>
    <s v="4487"/>
    <s v="Middle Georgia Fluid Sealing LLC"/>
    <d v="2025-09-24T16:42:23"/>
    <d v="2025-12-10T15:28:38"/>
    <d v="2025-12-12T00:00:00"/>
    <s v="Eduardo Talamantes"/>
    <x v="1"/>
    <n v="0.72282535844006246"/>
    <n v="12990.689784686951"/>
    <n v="0"/>
    <n v="9390"/>
    <n v="9390"/>
    <m/>
    <n v="9390"/>
    <s v="Delivered"/>
    <m/>
    <s v="SO17911"/>
    <x v="8"/>
  </r>
  <r>
    <n v="2"/>
    <s v="SO17914"/>
    <s v="2100660152"/>
    <s v="Wajax Limited - Noranda"/>
    <d v="2025-09-25T09:02:35"/>
    <d v="2025-09-25T10:15:15"/>
    <d v="2025-10-09T00:00:00"/>
    <s v="Wilka Nuñez"/>
    <x v="0"/>
    <n v="1"/>
    <n v="105"/>
    <n v="0"/>
    <n v="75.408454952162131"/>
    <n v="100"/>
    <n v="5"/>
    <n v="105"/>
    <s v="Delivered"/>
    <m/>
    <s v="SO17914"/>
    <x v="8"/>
  </r>
  <r>
    <n v="1"/>
    <s v="SO17916"/>
    <s v="SUD1006055"/>
    <s v="Process and Steam Specialties, Process and Steam Specialties"/>
    <d v="2025-09-25T09:53:36"/>
    <d v="2025-09-30T15:33:42"/>
    <d v="2025-11-07T00:00:00"/>
    <s v="Aleksandar Stankovic"/>
    <x v="0"/>
    <n v="1"/>
    <n v="851.88"/>
    <n v="0"/>
    <n v="611.55375240161072"/>
    <n v="753.88"/>
    <n v="98"/>
    <n v="851.88"/>
    <s v="Delivered"/>
    <m/>
    <s v="SO17916"/>
    <x v="8"/>
  </r>
  <r>
    <n v="1"/>
    <s v="SO17917"/>
    <s v="4500587687"/>
    <s v="Glencore Canada Corporation - Rouyn-Noranda"/>
    <d v="2025-09-25T14:04:44"/>
    <d v="2025-09-25T14:04:56"/>
    <d v="2025-10-02T00:00:00"/>
    <s v="Ian Trottier"/>
    <x v="0"/>
    <n v="1"/>
    <n v="1028.3900000000001"/>
    <n v="0"/>
    <n v="738.56477131670499"/>
    <n v="979.42"/>
    <n v="48.97"/>
    <n v="1028.3900000000001"/>
    <s v="Delivered"/>
    <m/>
    <s v="SO17917"/>
    <x v="8"/>
  </r>
  <r>
    <n v="1"/>
    <s v="SO17920"/>
    <s v="187213"/>
    <s v="Fabrene Inc."/>
    <d v="2025-09-25T15:16:30"/>
    <d v="2025-09-25T15:14:55"/>
    <d v="2025-10-03T00:00:00"/>
    <s v="Alexis Gil Lamadrid"/>
    <x v="0"/>
    <n v="1"/>
    <n v="107.52"/>
    <n v="0"/>
    <n v="77.218257871014018"/>
    <n v="102.4"/>
    <n v="5.12"/>
    <n v="107.52"/>
    <s v="Delivered"/>
    <m/>
    <s v="SO17920"/>
    <x v="8"/>
  </r>
  <r>
    <n v="1"/>
    <s v="SO17921"/>
    <s v="P368033"/>
    <s v="Covia Corp - Fort Smith"/>
    <d v="2025-09-25T15:28:18"/>
    <d v="2025-10-02T14:39:31"/>
    <d v="2025-11-06T00:00:00"/>
    <s v="Leriel Reyes"/>
    <x v="1"/>
    <n v="0.71685596903225257"/>
    <n v="33876.233231040307"/>
    <n v="0"/>
    <n v="24284.38"/>
    <n v="24284.38"/>
    <m/>
    <n v="24284.38"/>
    <s v="Delivered"/>
    <m/>
    <s v="SO17921"/>
    <x v="8"/>
  </r>
  <r>
    <n v="1"/>
    <s v="SO17922"/>
    <s v="3317"/>
    <s v="Les Pompes du St-Laurent Inc."/>
    <d v="2025-09-25T17:18:36"/>
    <d v="2025-09-26T12:38:50"/>
    <d v="2025-11-14T00:00:00"/>
    <s v="Ian Trottier"/>
    <x v="0"/>
    <n v="1"/>
    <n v="2047.12"/>
    <n v="0"/>
    <n v="1467.759660214758"/>
    <n v="1949.64"/>
    <n v="97.48"/>
    <n v="2047.12"/>
    <s v="Delivered"/>
    <m/>
    <s v="SO17922"/>
    <x v="8"/>
  </r>
  <r>
    <n v="1"/>
    <s v="SO17923"/>
    <s v="PO2265"/>
    <s v="FMI Products"/>
    <d v="2025-09-25T17:51:18"/>
    <d v="2025-10-16T09:45:50"/>
    <d v="2025-10-23T00:00:00"/>
    <s v="Aleksandar Stankovic"/>
    <x v="0"/>
    <n v="1"/>
    <n v="5230.8500000000004"/>
    <n v="0"/>
    <n v="3723.749236324129"/>
    <n v="4981.76"/>
    <n v="249.09"/>
    <n v="5230.8500000000004"/>
    <s v="Processing"/>
    <m/>
    <s v="SO17923"/>
    <x v="8"/>
  </r>
  <r>
    <n v="1"/>
    <s v="SO17925"/>
    <s v="7728"/>
    <s v="Hyperflo"/>
    <d v="2025-09-26T07:50:48"/>
    <d v="2025-09-26T09:15:08"/>
    <d v="2025-09-29T00:00:00"/>
    <s v="Wilka Nuñez"/>
    <x v="0"/>
    <n v="1"/>
    <n v="293.48"/>
    <n v="0"/>
    <n v="210.4215214935262"/>
    <n v="279.5"/>
    <n v="13.98"/>
    <n v="293.48"/>
    <s v="Delivered"/>
    <m/>
    <s v="SO17925"/>
    <x v="8"/>
  </r>
  <r>
    <n v="2"/>
    <s v="SO17926"/>
    <s v="4500587758"/>
    <s v="Glencore Canada Corporation - Rouyn-Noranda"/>
    <d v="2025-09-26T08:41:38"/>
    <d v="2025-09-26T08:44:44"/>
    <d v="2025-12-26T00:00:00"/>
    <s v="Ian Trottier"/>
    <x v="0"/>
    <n v="1"/>
    <n v="15035.84"/>
    <n v="0"/>
    <n v="10780.5108686562"/>
    <n v="14319.84"/>
    <n v="716"/>
    <n v="15035.84"/>
    <s v="Processing"/>
    <m/>
    <s v="SO17926"/>
    <x v="8"/>
  </r>
  <r>
    <n v="1"/>
    <s v="SO17928"/>
    <s v="4107"/>
    <s v="Middle Georgia Fluid Sealing LLC"/>
    <d v="2025-09-26T10:24:53"/>
    <d v="2025-09-26T15:50:59"/>
    <d v="2025-09-29T00:00:00"/>
    <s v="Ian Trottier"/>
    <x v="1"/>
    <n v="0.71817576144916317"/>
    <n v="10938.227689763189"/>
    <n v="0"/>
    <n v="7855.57"/>
    <n v="7855.57"/>
    <m/>
    <n v="7855.57"/>
    <s v="Delivered"/>
    <m/>
    <s v="SO17928"/>
    <x v="8"/>
  </r>
  <r>
    <n v="2"/>
    <s v="SO17930"/>
    <s v="OC00210"/>
    <s v="Dynapro Pumps México S de RL de CV"/>
    <d v="2025-09-26T11:58:52"/>
    <d v="2025-09-26T11:57:04"/>
    <d v="2025-11-21T00:00:00"/>
    <s v="Carlos Leon"/>
    <x v="1"/>
    <n v="0.71817576144916317"/>
    <n v="2575.971091348164"/>
    <n v="0"/>
    <n v="1850"/>
    <n v="1850"/>
    <m/>
    <n v="1850"/>
    <s v="Delivered"/>
    <m/>
    <s v="SO17930"/>
    <x v="8"/>
  </r>
  <r>
    <n v="1"/>
    <s v="SO17931"/>
    <s v="3318"/>
    <s v="Les Pompes du St-Laurent Inc."/>
    <d v="2025-09-26T12:04:52"/>
    <d v="2025-09-26T12:05:17"/>
    <d v="2025-09-29T00:00:00"/>
    <s v="Ian Trottier"/>
    <x v="0"/>
    <n v="1"/>
    <n v="1849.22"/>
    <n v="0"/>
    <n v="1325.8678137394661"/>
    <n v="1761.16"/>
    <n v="88.06"/>
    <n v="1849.22"/>
    <s v="Delivered"/>
    <m/>
    <s v="SO17931"/>
    <x v="8"/>
  </r>
  <r>
    <n v="1"/>
    <s v="SO17932"/>
    <m/>
    <s v="Dynapro Pumps México S de RL de CV"/>
    <d v="2025-09-26T12:16:47"/>
    <d v="2025-09-26T12:14:26"/>
    <d v="2025-11-21T00:00:00"/>
    <s v="Carlos Leon"/>
    <x v="1"/>
    <n v="0.71817576144916317"/>
    <n v="4163.3262503410879"/>
    <n v="0"/>
    <n v="2990"/>
    <n v="2990"/>
    <m/>
    <n v="2990"/>
    <s v="Delivered"/>
    <m/>
    <s v="SO17932"/>
    <x v="8"/>
  </r>
  <r>
    <n v="1"/>
    <s v="SO17937"/>
    <s v="OC00213"/>
    <s v="Dynapro Pumps México S de RL de CV"/>
    <d v="2025-09-26T19:31:55"/>
    <d v="2025-09-26T19:31:07"/>
    <d v="2025-11-17T00:00:00"/>
    <s v="Yannett Yeomans"/>
    <x v="1"/>
    <n v="0.71817576144916317"/>
    <n v="1378.492638072802"/>
    <n v="0"/>
    <n v="990"/>
    <n v="990"/>
    <m/>
    <n v="990"/>
    <s v="Delivered"/>
    <m/>
    <s v="SO17937"/>
    <x v="8"/>
  </r>
  <r>
    <n v="1"/>
    <s v="SO17938"/>
    <s v="3326"/>
    <s v="Les Pompes du St-Laurent Inc."/>
    <d v="2025-09-29T11:00:32"/>
    <d v="2025-09-30T16:51:55"/>
    <d v="2025-10-01T00:00:00"/>
    <s v="Ian Trottier"/>
    <x v="0"/>
    <n v="1"/>
    <n v="486.21"/>
    <n v="0"/>
    <n v="349.04393806074461"/>
    <n v="463.06"/>
    <n v="23.15"/>
    <n v="486.21"/>
    <s v="Delivered"/>
    <m/>
    <s v="SO17938"/>
    <x v="8"/>
  </r>
  <r>
    <n v="2"/>
    <s v="SO17939"/>
    <s v="4501315104"/>
    <s v="Barrick Gold - Pueblo Viejo Dominicana Corporation"/>
    <d v="2025-09-29T11:03:59"/>
    <d v="2025-10-22T15:54:34"/>
    <m/>
    <s v="Wilka Nuñez"/>
    <x v="1"/>
    <n v="0.71272450667255238"/>
    <n v="8962.1725367928775"/>
    <n v="0"/>
    <n v="6387.56"/>
    <n v="6387.56"/>
    <m/>
    <n v="6387.56"/>
    <s v="Delivered"/>
    <m/>
    <s v="SO17939"/>
    <x v="8"/>
  </r>
  <r>
    <n v="1"/>
    <s v="SO17941"/>
    <s v="2100662768"/>
    <s v="Wajax Limited - Noranda"/>
    <d v="2025-09-29T12:32:54"/>
    <d v="2025-09-29T17:22:20"/>
    <d v="2025-10-06T00:00:00"/>
    <s v="Alexis Gil Lamadrid"/>
    <x v="0"/>
    <n v="1"/>
    <n v="2758.72"/>
    <n v="0"/>
    <n v="1983.990676461091"/>
    <n v="2627.35"/>
    <n v="131.37"/>
    <n v="2758.72"/>
    <s v="Delivered"/>
    <m/>
    <s v="SO17941"/>
    <x v="8"/>
  </r>
  <r>
    <n v="1"/>
    <s v="SO17942"/>
    <s v="2100664302"/>
    <s v="Wajax Limited - Noranda"/>
    <d v="2025-09-29T13:08:09"/>
    <d v="2025-10-01T14:23:54"/>
    <d v="2025-10-10T00:00:00"/>
    <s v="Aleksandar Stankovic"/>
    <x v="0"/>
    <n v="1"/>
    <n v="177.02"/>
    <n v="0"/>
    <n v="126.8978436380894"/>
    <n v="168.59"/>
    <n v="8.43"/>
    <n v="177.02"/>
    <s v="Delivered"/>
    <m/>
    <s v="SO17942"/>
    <x v="8"/>
  </r>
  <r>
    <n v="1"/>
    <s v="SO17944"/>
    <s v="BC65-00081961"/>
    <s v="Motion Industries Inc. (Canada) - Prince George"/>
    <d v="2025-09-29T15:20:25"/>
    <d v="2025-10-02T18:27:03"/>
    <d v="2025-10-09T00:00:00"/>
    <s v="Alexis Gil Lamadrid"/>
    <x v="0"/>
    <n v="1"/>
    <n v="5540.37"/>
    <n v="0"/>
    <n v="3963.9720676556408"/>
    <n v="5276.54"/>
    <n v="263.83"/>
    <n v="5540.37"/>
    <s v="Delivered"/>
    <m/>
    <s v="SO17944"/>
    <x v="8"/>
  </r>
  <r>
    <n v="1"/>
    <s v="SO17945"/>
    <s v="4500615207"/>
    <s v="Resolute Forest Products - Saint-Felicien"/>
    <d v="2025-09-29T18:19:44"/>
    <d v="2025-09-29T18:22:07"/>
    <d v="2025-10-06T00:00:00"/>
    <s v="Alexis Gil Lamadrid"/>
    <x v="0"/>
    <n v="1"/>
    <n v="1004.5"/>
    <n v="0"/>
    <n v="722.40699835618193"/>
    <n v="956.66"/>
    <n v="47.84"/>
    <n v="1004.5"/>
    <s v="Delivered"/>
    <m/>
    <s v="SO17945"/>
    <x v="8"/>
  </r>
  <r>
    <n v="1"/>
    <s v="SO17946"/>
    <s v="OC00214"/>
    <s v="Dynapro Pumps México S de RL de CV"/>
    <d v="2025-09-29T18:23:58"/>
    <d v="2025-09-29T18:24:00"/>
    <d v="2025-09-30T00:00:00"/>
    <s v="Yannett Yeomans"/>
    <x v="1"/>
    <n v="0.71776007247498441"/>
    <n v="1345.8536313799591"/>
    <n v="0"/>
    <n v="966"/>
    <n v="966"/>
    <m/>
    <n v="966"/>
    <s v="Delivered"/>
    <m/>
    <s v="SO17946"/>
    <x v="8"/>
  </r>
  <r>
    <n v="3"/>
    <s v="SO17947"/>
    <s v="4501270322"/>
    <s v="Barrick Gold - Pueblo Viejo Dominicana Corporation"/>
    <d v="2025-09-30T07:23:04"/>
    <d v="2025-09-30T10:09:30"/>
    <d v="2026-02-03T00:00:00"/>
    <s v="Wilka Nuñez"/>
    <x v="1"/>
    <n v="0.71917073007086307"/>
    <n v="343554.47137796431"/>
    <n v="0"/>
    <n v="247074.32"/>
    <n v="247074.32"/>
    <m/>
    <n v="247074.32"/>
    <s v="Processing"/>
    <m/>
    <s v="SO17947"/>
    <x v="8"/>
  </r>
  <r>
    <n v="1"/>
    <s v="SO17953"/>
    <s v="PO003505"/>
    <s v="Eleazar General &amp; Industrial Supplies Limited"/>
    <d v="2025-10-01T13:46:01"/>
    <d v="2025-10-24T13:44:34"/>
    <d v="2025-11-28T00:00:00"/>
    <s v="Alexis Gil Lamadrid"/>
    <x v="1"/>
    <n v="0.71357793270228831"/>
    <n v="3091.4633131184069"/>
    <n v="0"/>
    <n v="2206"/>
    <n v="2206"/>
    <m/>
    <n v="2206"/>
    <s v="Delivered"/>
    <m/>
    <s v="SO17953"/>
    <x v="9"/>
  </r>
  <r>
    <n v="1"/>
    <s v="SO17954"/>
    <s v="2100667015"/>
    <s v="Wajax Limited - Lachine"/>
    <d v="2025-10-01T18:18:35"/>
    <d v="2025-10-01T18:17:07"/>
    <d v="2026-01-26T00:00:00"/>
    <s v="Alexis Gil Lamadrid"/>
    <x v="0"/>
    <n v="1"/>
    <n v="1506.75"/>
    <n v="0"/>
    <n v="1080.122731339347"/>
    <n v="1435"/>
    <n v="71.75"/>
    <n v="1506.75"/>
    <s v="Delivered"/>
    <m/>
    <s v="SO17954"/>
    <x v="9"/>
  </r>
  <r>
    <n v="1"/>
    <s v="SO17956"/>
    <s v="M-084122"/>
    <s v="Grant Aggregate"/>
    <d v="2025-10-02T08:21:31"/>
    <d v="2025-10-02T14:13:14"/>
    <d v="2025-10-20T00:00:00"/>
    <s v="Ian Trottier"/>
    <x v="0"/>
    <n v="1"/>
    <n v="1988.36"/>
    <n v="0"/>
    <n v="1422.6132010035019"/>
    <n v="1759.61"/>
    <n v="228.75"/>
    <n v="1988.36"/>
    <s v="Delivered"/>
    <m/>
    <s v="SO17956"/>
    <x v="9"/>
  </r>
  <r>
    <n v="1"/>
    <s v="SO17957"/>
    <s v="4500588251"/>
    <s v="Glencore Canada Corporation - Rouyn-Noranda"/>
    <d v="2025-10-02T10:05:03"/>
    <d v="2025-10-02T10:26:15"/>
    <d v="2025-10-06T00:00:00"/>
    <s v="Wilka Nuñez"/>
    <x v="0"/>
    <n v="1"/>
    <n v="3360.7"/>
    <n v="0"/>
    <n v="2404.482178585602"/>
    <n v="3200.66"/>
    <n v="160.04"/>
    <n v="3360.7"/>
    <s v="Delivered"/>
    <m/>
    <s v="SO17957"/>
    <x v="9"/>
  </r>
  <r>
    <n v="1"/>
    <s v="SO17958"/>
    <s v="4500588194"/>
    <s v="Glencore Canada Corporation - Rouyn-Noranda, Glencore Canada Corp."/>
    <d v="2025-10-02T10:27:44"/>
    <d v="2025-10-02T10:28:47"/>
    <d v="2025-10-09T00:00:00"/>
    <s v="Ian Trottier"/>
    <x v="0"/>
    <n v="1"/>
    <n v="1570.3"/>
    <n v="0"/>
    <n v="1123.5035454021399"/>
    <n v="1495.52"/>
    <n v="74.78"/>
    <n v="1570.3"/>
    <s v="Delivered"/>
    <m/>
    <s v="SO17958"/>
    <x v="9"/>
  </r>
  <r>
    <n v="1"/>
    <s v="SO17959"/>
    <s v="SUD1006057"/>
    <s v="Process and Steam Specialties"/>
    <d v="2025-10-02T12:02:12"/>
    <d v="2025-10-02T11:59:56"/>
    <d v="2025-10-23T00:00:00"/>
    <s v="Alexis Gil Lamadrid"/>
    <x v="0"/>
    <n v="1"/>
    <n v="663"/>
    <n v="0"/>
    <n v="474.35703407095377"/>
    <n v="663"/>
    <m/>
    <n v="663"/>
    <s v="Delivered"/>
    <m/>
    <s v="SO17959"/>
    <x v="9"/>
  </r>
  <r>
    <n v="1"/>
    <s v="SO17962"/>
    <s v="10619"/>
    <s v="Canadian Industrial Pumps Ltd"/>
    <d v="2025-10-02T13:01:15"/>
    <d v="2025-10-02T18:11:02"/>
    <d v="2025-10-09T00:00:00"/>
    <s v="Ian Trottier"/>
    <x v="0"/>
    <n v="1"/>
    <n v="391.77"/>
    <n v="0"/>
    <n v="280.29993248563733"/>
    <n v="373.11"/>
    <n v="18.66"/>
    <n v="391.77"/>
    <s v="Delivered"/>
    <m/>
    <s v="SO17962"/>
    <x v="9"/>
  </r>
  <r>
    <n v="1"/>
    <s v="SO17964"/>
    <s v="M-084123"/>
    <s v="Grant Aggregate"/>
    <d v="2025-10-03T08:29:36"/>
    <d v="2025-10-03T09:14:28"/>
    <d v="2025-10-06T00:00:00"/>
    <s v="Wilka Nuñez"/>
    <x v="0"/>
    <n v="1"/>
    <n v="344.29"/>
    <n v="0"/>
    <n v="246.85032511247331"/>
    <n v="304.68"/>
    <n v="39.61"/>
    <n v="344.29"/>
    <s v="Delivered"/>
    <m/>
    <s v="SO17964"/>
    <x v="9"/>
  </r>
  <r>
    <n v="0"/>
    <s v="SO17965"/>
    <s v="4512433925"/>
    <s v="PT Vale Indonesia Tbk."/>
    <d v="2025-10-03T11:45:07"/>
    <d v="2025-12-17T09:13:44"/>
    <d v="2026-01-14T00:00:00"/>
    <s v="Ian Trottier"/>
    <x v="1"/>
    <n v="0.72641002219915185"/>
    <n v="3860.078900771633"/>
    <n v="0"/>
    <n v="2804"/>
    <n v="2804"/>
    <m/>
    <n v="2804"/>
    <s v="Processing"/>
    <m/>
    <s v="SO17965"/>
    <x v="9"/>
  </r>
  <r>
    <n v="1"/>
    <s v="SO17966"/>
    <s v="25-3035"/>
    <s v="Rueck Company Inc."/>
    <d v="2025-10-03T13:47:14"/>
    <d v="2025-10-09T14:30:38"/>
    <d v="2025-10-17T00:00:00"/>
    <s v="Aleksandar Stankovic"/>
    <x v="1"/>
    <n v="0.71662274115503888"/>
    <n v="21115.71281649607"/>
    <n v="0"/>
    <n v="15132"/>
    <n v="15132"/>
    <m/>
    <n v="15132"/>
    <s v="Delivered"/>
    <m/>
    <s v="SO17966"/>
    <x v="9"/>
  </r>
  <r>
    <n v="1"/>
    <s v="SO17968"/>
    <s v="607051"/>
    <s v="Sealtrac Inc."/>
    <d v="2025-10-03T14:48:14"/>
    <d v="2025-10-03T14:59:59"/>
    <d v="2025-10-06T00:00:00"/>
    <s v="Ian Trottier"/>
    <x v="0"/>
    <n v="1"/>
    <n v="1418.24"/>
    <n v="0"/>
    <n v="1016.854991685829"/>
    <n v="1255.08"/>
    <n v="163.16"/>
    <n v="1418.24"/>
    <s v="Delivered"/>
    <m/>
    <s v="SO17968"/>
    <x v="9"/>
  </r>
  <r>
    <n v="1"/>
    <s v="SO17969"/>
    <s v="4500616255"/>
    <s v="Resolute Forest Products - Clermont"/>
    <d v="2025-10-03T17:26:33"/>
    <d v="2025-10-03T17:23:58"/>
    <d v="2025-10-20T00:00:00"/>
    <s v="Alexis Gil Lamadrid"/>
    <x v="0"/>
    <n v="1"/>
    <n v="803.27"/>
    <n v="0"/>
    <n v="575.93151312293833"/>
    <n v="765.02"/>
    <n v="38.25"/>
    <n v="803.27"/>
    <s v="Delivered"/>
    <m/>
    <s v="SO17969"/>
    <x v="9"/>
  </r>
  <r>
    <n v="1"/>
    <s v="SO17978"/>
    <s v="607059"/>
    <s v="Sealtrac Inc."/>
    <d v="2025-10-06T08:44:03"/>
    <d v="2025-10-08T13:50:04"/>
    <d v="2025-10-10T00:00:00"/>
    <s v="Wilka Nuñez"/>
    <x v="0"/>
    <n v="1"/>
    <n v="237.3"/>
    <n v="0"/>
    <n v="170.05457647609069"/>
    <n v="210"/>
    <n v="27.3"/>
    <n v="237.3"/>
    <s v="Delivered"/>
    <m/>
    <s v="SO17978"/>
    <x v="9"/>
  </r>
  <r>
    <n v="1"/>
    <s v="SO17980"/>
    <s v="4500588431"/>
    <s v="Glencore Canada Corporation - Rouyn-Noranda"/>
    <d v="2025-10-06T10:13:57"/>
    <d v="2025-10-06T10:23:36"/>
    <d v="2025-10-08T00:00:00"/>
    <s v="Wilka Nuñez"/>
    <x v="0"/>
    <n v="1"/>
    <n v="1857.58"/>
    <n v="0"/>
    <n v="1331.8192166341139"/>
    <n v="1769.12"/>
    <n v="88.46"/>
    <n v="1857.58"/>
    <s v="Delivered"/>
    <m/>
    <s v="SO17980"/>
    <x v="9"/>
  </r>
  <r>
    <n v="1"/>
    <s v="SO17981"/>
    <s v="4512404066"/>
    <s v="PT Vale Indonesia Tbk."/>
    <d v="2025-10-06T11:23:56"/>
    <d v="2025-10-06T11:29:31"/>
    <d v="2025-10-07T00:00:00"/>
    <s v="Ian Trottier"/>
    <x v="1"/>
    <n v="0.71619571643310909"/>
    <n v="1367.363665447815"/>
    <n v="0"/>
    <n v="979.3"/>
    <n v="979.3"/>
    <m/>
    <n v="979.3"/>
    <s v="Delivered"/>
    <m/>
    <s v="SO17981"/>
    <x v="9"/>
  </r>
  <r>
    <n v="1"/>
    <s v="SO17982"/>
    <s v="PO-008330"/>
    <s v="Sling-Choker Manufacturing - Timmins"/>
    <d v="2025-10-06T11:37:26"/>
    <d v="2025-10-07T08:44:53"/>
    <d v="2025-10-14T00:00:00"/>
    <s v="Aleksandar Stankovic"/>
    <x v="0"/>
    <n v="1"/>
    <n v="2714.99"/>
    <n v="2714.99"/>
    <n v="2714.99"/>
    <n v="2402.65"/>
    <n v="312.33999999999997"/>
    <n v="2714.99"/>
    <s v="Delivered"/>
    <m/>
    <s v="SO17982"/>
    <x v="9"/>
  </r>
  <r>
    <n v="1"/>
    <s v="SO17983"/>
    <s v="4512404006"/>
    <s v="PT Vale Indonesia Tbk."/>
    <d v="2025-10-06T11:56:34"/>
    <d v="2025-10-06T11:57:24"/>
    <d v="2025-12-15T00:00:00"/>
    <s v="Ian Trottier"/>
    <x v="1"/>
    <n v="0.71619571643310909"/>
    <n v="1020.572984770521"/>
    <n v="0"/>
    <n v="730.93"/>
    <n v="730.93"/>
    <m/>
    <n v="730.93"/>
    <s v="Delivered"/>
    <m/>
    <s v="SO17983"/>
    <x v="9"/>
  </r>
  <r>
    <n v="1"/>
    <s v="SO17985"/>
    <s v="2100673685"/>
    <s v="Wajax Limited - Noranda"/>
    <d v="2025-10-06T15:39:28"/>
    <d v="2025-10-16T12:55:07"/>
    <d v="2025-10-17T00:00:00"/>
    <s v="Wilka Nuñez"/>
    <x v="0"/>
    <n v="1"/>
    <n v="173.13"/>
    <n v="0"/>
    <n v="123.2481729135411"/>
    <n v="164.89"/>
    <n v="8.24"/>
    <n v="173.13"/>
    <s v="Delivered"/>
    <m/>
    <s v="SO17985"/>
    <x v="9"/>
  </r>
  <r>
    <n v="1"/>
    <s v="SO17987"/>
    <s v="M-084131"/>
    <s v="Grant Aggregate"/>
    <d v="2025-10-06T17:25:34"/>
    <d v="2025-10-08T11:03:23"/>
    <d v="2025-10-15T00:00:00"/>
    <s v="Ian Trottier"/>
    <x v="0"/>
    <n v="1"/>
    <n v="1995.92"/>
    <n v="0"/>
    <n v="1430.3216615261649"/>
    <n v="1766.3"/>
    <n v="229.62"/>
    <n v="1995.92"/>
    <s v="Delivered"/>
    <m/>
    <s v="SO17987"/>
    <x v="9"/>
  </r>
  <r>
    <n v="1"/>
    <s v="SO17988"/>
    <s v="BC65-00082047"/>
    <s v="Motion Industries Inc. (Canada) - Prince George"/>
    <d v="2025-10-06T19:03:17"/>
    <d v="2025-10-09T16:42:16"/>
    <d v="2025-10-16T00:00:00"/>
    <s v="Alexis Gil Lamadrid"/>
    <x v="0"/>
    <n v="1"/>
    <n v="655.41"/>
    <n v="0"/>
    <n v="467.77679535928041"/>
    <n v="624.20000000000005"/>
    <n v="31.21"/>
    <n v="655.41"/>
    <s v="Delivered"/>
    <m/>
    <s v="SO17988"/>
    <x v="9"/>
  </r>
  <r>
    <n v="1"/>
    <s v="SO17990"/>
    <s v="A20251008"/>
    <s v="Alpha Industrial &amp; Mining Supplies Limited"/>
    <d v="2025-10-07T08:39:26"/>
    <d v="2025-10-07T12:55:15"/>
    <d v="2025-10-09T00:00:00"/>
    <s v="Wilka Nuñez"/>
    <x v="0"/>
    <n v="1"/>
    <n v="4201.68"/>
    <n v="4201.68"/>
    <n v="4201.68"/>
    <n v="3718.3"/>
    <n v="483.38"/>
    <n v="4201.68"/>
    <s v="Delivered"/>
    <m/>
    <s v="SO17990"/>
    <x v="9"/>
  </r>
  <r>
    <n v="1"/>
    <s v="SO17991"/>
    <s v="2241"/>
    <s v="FMI Products"/>
    <d v="2025-10-07T10:50:50"/>
    <d v="2025-10-07T14:50:33"/>
    <d v="2025-10-21T00:00:00"/>
    <s v="Alexis Gil Lamadrid"/>
    <x v="0"/>
    <n v="1"/>
    <n v="1900.5"/>
    <n v="1900.5"/>
    <n v="1900.5"/>
    <n v="1810"/>
    <n v="90.5"/>
    <n v="1900.5"/>
    <s v="Delivered"/>
    <m/>
    <s v="SO17991"/>
    <x v="9"/>
  </r>
  <r>
    <n v="1"/>
    <s v="SO17993"/>
    <s v="4500616451"/>
    <s v="Resolute Forest Products - Saint-Felicien"/>
    <d v="2025-10-07T11:17:49"/>
    <d v="2025-10-07T11:18:29"/>
    <d v="2025-11-25T00:00:00"/>
    <s v="Ian Trottier"/>
    <x v="0"/>
    <n v="1"/>
    <n v="1428.32"/>
    <n v="1428.32"/>
    <n v="1428.32"/>
    <n v="1264"/>
    <n v="164.32"/>
    <n v="1428.32"/>
    <s v="Delivered"/>
    <m/>
    <s v="SO17993"/>
    <x v="9"/>
  </r>
  <r>
    <n v="1"/>
    <s v="SO17996"/>
    <s v="P368732"/>
    <s v="Covia Corp - Junction City"/>
    <d v="2025-10-07T12:17:17"/>
    <d v="2025-10-10T15:44:23"/>
    <d v="2025-10-17T00:00:00"/>
    <s v="Aleksandar Stankovic"/>
    <x v="1"/>
    <n v="0.71662274115503888"/>
    <n v="354.39846576827301"/>
    <n v="0"/>
    <n v="253.97"/>
    <n v="253.97"/>
    <m/>
    <n v="253.97"/>
    <s v="Delivered"/>
    <m/>
    <s v="SO17996"/>
    <x v="9"/>
  </r>
  <r>
    <n v="1"/>
    <s v="SO17997"/>
    <s v="P368642"/>
    <s v="Covia Corp - Guion"/>
    <d v="2025-10-07T12:52:29"/>
    <d v="2025-10-09T15:17:20"/>
    <d v="2025-10-17T00:00:00"/>
    <s v="Aleksandar Stankovic"/>
    <x v="1"/>
    <n v="0.71662274115503888"/>
    <n v="5514.2821641841701"/>
    <n v="0"/>
    <n v="3951.66"/>
    <n v="3951.66"/>
    <m/>
    <n v="3951.66"/>
    <s v="Delivered"/>
    <m/>
    <s v="SO17997"/>
    <x v="9"/>
  </r>
  <r>
    <n v="2"/>
    <s v="SO17999"/>
    <s v="RJSUP/IPO/2526/00090"/>
    <s v="Jindal Drilling &amp; Industries Limited"/>
    <d v="2025-10-07T16:27:13"/>
    <d v="2025-10-21T10:21:21"/>
    <d v="2025-12-08T00:00:00"/>
    <s v="Amanda Qiao"/>
    <x v="1"/>
    <n v="0.71263674064888716"/>
    <n v="17525.2120577282"/>
    <n v="0"/>
    <n v="12489.11"/>
    <n v="12489.11"/>
    <m/>
    <n v="12489.11"/>
    <s v="Delivered"/>
    <m/>
    <s v="SO17999"/>
    <x v="9"/>
  </r>
  <r>
    <n v="1"/>
    <s v="SO18001"/>
    <s v="A20251012"/>
    <s v="Alpha Industrial &amp; Mining Supplies Limited"/>
    <d v="2025-10-08T09:22:31"/>
    <d v="2025-10-09T13:14:29"/>
    <m/>
    <s v="Wilka Nuñez"/>
    <x v="0"/>
    <n v="1"/>
    <n v="5855.32"/>
    <n v="0"/>
    <n v="4179.0372826217208"/>
    <n v="5181.7"/>
    <n v="673.62"/>
    <n v="5855.32"/>
    <s v="Delivered"/>
    <m/>
    <s v="SO18001"/>
    <x v="9"/>
  </r>
  <r>
    <n v="1"/>
    <s v="SO18002"/>
    <s v="4500616629"/>
    <s v="Resolute Forest Products - Clermont"/>
    <d v="2025-10-08T12:38:19"/>
    <d v="2025-10-08T18:25:06"/>
    <d v="2025-10-15T00:00:00"/>
    <s v="Alexis Gil Lamadrid"/>
    <x v="0"/>
    <n v="1"/>
    <n v="1183.46"/>
    <n v="0"/>
    <n v="848.09434924734239"/>
    <n v="1127.0999999999999"/>
    <n v="56.36"/>
    <n v="1183.46"/>
    <s v="Delivered"/>
    <m/>
    <s v="SO18002"/>
    <x v="9"/>
  </r>
  <r>
    <n v="1"/>
    <s v="SO18004"/>
    <s v="2100669071"/>
    <s v="Wajax Limited - Lachine"/>
    <d v="2025-10-08T13:56:53"/>
    <d v="2025-10-08T13:57:00"/>
    <d v="2025-10-15T00:00:00"/>
    <s v="Alexis Gil Lamadrid"/>
    <x v="0"/>
    <n v="1"/>
    <n v="2.63"/>
    <n v="0"/>
    <n v="1.8847178092377519"/>
    <n v="2.5"/>
    <n v="0.13"/>
    <n v="2.63"/>
    <s v="Delivered"/>
    <m/>
    <s v="SO18004"/>
    <x v="9"/>
  </r>
  <r>
    <n v="1"/>
    <s v="SO18008"/>
    <s v="4500588834"/>
    <s v="Glencore Canada Corporation - Rouyn-Noranda"/>
    <d v="2025-10-08T19:13:31"/>
    <d v="2025-10-08T19:13:41"/>
    <d v="2025-10-15T00:00:00"/>
    <s v="Ian Trottier"/>
    <x v="0"/>
    <n v="1"/>
    <n v="402.31"/>
    <n v="0"/>
    <n v="287.13520169205862"/>
    <n v="383.15"/>
    <n v="19.16"/>
    <n v="402.31"/>
    <s v="Delivered"/>
    <m/>
    <s v="SO18008"/>
    <x v="9"/>
  </r>
  <r>
    <n v="1"/>
    <s v="SO18009"/>
    <s v="4500616836"/>
    <s v="Resolute Forest Products - Kenogami"/>
    <d v="2025-10-08T19:28:34"/>
    <d v="2025-10-09T11:46:15"/>
    <d v="2025-10-16T00:00:00"/>
    <s v="Alexis Gil Lamadrid"/>
    <x v="0"/>
    <n v="1"/>
    <n v="1183.46"/>
    <n v="0"/>
    <n v="844.65468368791142"/>
    <n v="1127.0999999999999"/>
    <n v="56.36"/>
    <n v="1183.46"/>
    <s v="Delivered"/>
    <m/>
    <s v="SO18009"/>
    <x v="9"/>
  </r>
  <r>
    <n v="1"/>
    <s v="SO18010"/>
    <s v="4500617746"/>
    <s v="Resolute Forest Products - Clermont"/>
    <d v="2025-10-08T20:29:08"/>
    <d v="2025-10-15T13:06:32"/>
    <d v="2026-01-14T00:00:00"/>
    <s v="Ian Trottier"/>
    <x v="0"/>
    <n v="1"/>
    <n v="7318.61"/>
    <n v="7318.61"/>
    <n v="7318.61"/>
    <n v="6970.1"/>
    <n v="348.51"/>
    <n v="7318.61"/>
    <s v="Delivered"/>
    <m/>
    <s v="SO18010"/>
    <x v="9"/>
  </r>
  <r>
    <n v="1"/>
    <s v="SO18012"/>
    <s v="4512412211"/>
    <s v="PT Vale Indonesia Tbk."/>
    <d v="2025-10-08T21:34:51"/>
    <d v="2025-10-08T21:35:34"/>
    <d v="2025-10-09T00:00:00"/>
    <s v="Ian Trottier"/>
    <x v="1"/>
    <n v="0.71696466189026287"/>
    <n v="39.360377854047279"/>
    <n v="0"/>
    <n v="28.22"/>
    <n v="28.22"/>
    <m/>
    <n v="28.22"/>
    <s v="Delivered"/>
    <m/>
    <s v="SO18012"/>
    <x v="9"/>
  </r>
  <r>
    <n v="2"/>
    <s v="SO18013"/>
    <s v="66071"/>
    <s v="Harvey Bearings"/>
    <d v="2025-10-09T08:55:54"/>
    <d v="2025-10-14T09:56:59"/>
    <d v="2025-10-23T00:00:00"/>
    <s v="Aleksandar Stankovic"/>
    <x v="0"/>
    <n v="1"/>
    <n v="792.08"/>
    <n v="0"/>
    <n v="563.9567810393653"/>
    <n v="754.36"/>
    <n v="37.72"/>
    <n v="792.08"/>
    <s v="Delivered"/>
    <m/>
    <s v="SO18013"/>
    <x v="9"/>
  </r>
  <r>
    <n v="1"/>
    <s v="SO18014"/>
    <s v="7885"/>
    <s v="Hyperflo"/>
    <d v="2025-10-09T09:31:40"/>
    <d v="2025-10-27T14:35:02"/>
    <d v="2025-11-03T00:00:00"/>
    <s v="Aleksandar Stankovic"/>
    <x v="0"/>
    <n v="1"/>
    <n v="8607.9"/>
    <n v="8607.9"/>
    <n v="8607.9"/>
    <n v="8198"/>
    <n v="409.9"/>
    <n v="8607.9"/>
    <s v="Delivered"/>
    <m/>
    <s v="SO18014"/>
    <x v="9"/>
  </r>
  <r>
    <n v="1"/>
    <s v="SO18016"/>
    <s v="4500617055"/>
    <s v="Resolute Forest Products - Saint-Felicien"/>
    <d v="2025-10-09T13:55:58"/>
    <d v="2025-10-09T13:58:22"/>
    <d v="2025-10-16T00:00:00"/>
    <s v="Alexis Gil Lamadrid"/>
    <x v="0"/>
    <n v="1"/>
    <n v="993.26"/>
    <n v="0"/>
    <n v="708.905844827755"/>
    <n v="945.96"/>
    <n v="47.3"/>
    <n v="993.26"/>
    <s v="Delivered"/>
    <m/>
    <s v="SO18016"/>
    <x v="9"/>
  </r>
  <r>
    <n v="1"/>
    <s v="SO18017"/>
    <s v="L67665-DS"/>
    <s v="Wild Rows Pump &amp; Compression LTD., Wild Rows Pump &amp; Compression LTD."/>
    <d v="2025-10-09T14:16:35"/>
    <d v="2025-10-14T12:52:34"/>
    <d v="2026-01-20T00:00:00"/>
    <s v="Wilka Nuñez"/>
    <x v="0"/>
    <n v="1"/>
    <n v="1062.5"/>
    <n v="0"/>
    <n v="756.49439432169174"/>
    <n v="1011.91"/>
    <n v="50.59"/>
    <n v="1062.5"/>
    <s v="Delivered"/>
    <m/>
    <s v="SO18017"/>
    <x v="9"/>
  </r>
  <r>
    <n v="1"/>
    <s v="SO18024"/>
    <s v="2100674278"/>
    <s v="Wajax Limited - Thunder Bay, Wajax Limited - Thunder Bay"/>
    <d v="2025-10-10T12:07:55"/>
    <d v="2025-10-17T10:41:32"/>
    <d v="2025-10-20T00:00:00"/>
    <s v="Alexis Gil Lamadrid"/>
    <x v="0"/>
    <n v="1"/>
    <n v="221.48"/>
    <n v="0"/>
    <n v="157.66750583524691"/>
    <n v="196"/>
    <n v="25.48"/>
    <n v="221.48"/>
    <s v="Delivered"/>
    <m/>
    <s v="SO18024"/>
    <x v="9"/>
  </r>
  <r>
    <n v="1"/>
    <s v="SO18027"/>
    <s v="4500622088"/>
    <s v="Resolute Forest Products - Gatineau"/>
    <d v="2025-10-10T17:23:44"/>
    <d v="2025-11-13T13:29:05"/>
    <d v="2025-11-28T00:00:00"/>
    <s v="Ian Trottier"/>
    <x v="0"/>
    <n v="1"/>
    <n v="2561.06"/>
    <n v="0"/>
    <n v="1827.8134876122981"/>
    <n v="2439.1"/>
    <n v="121.96"/>
    <n v="2561.06"/>
    <s v="Delivered"/>
    <m/>
    <s v="SO18027"/>
    <x v="9"/>
  </r>
  <r>
    <n v="1"/>
    <s v="SO18028"/>
    <s v="PO-10-1080033"/>
    <s v="Canadian Bearings Ltd."/>
    <d v="2025-10-10T18:13:53"/>
    <d v="2025-10-20T09:05:04"/>
    <d v="2025-10-21T00:00:00"/>
    <s v="Ian Trottier"/>
    <x v="0"/>
    <n v="1"/>
    <n v="138.52000000000001"/>
    <n v="0"/>
    <n v="98.726598664281966"/>
    <n v="131.91999999999999"/>
    <n v="6.6"/>
    <n v="138.52000000000001"/>
    <s v="Delivered"/>
    <m/>
    <s v="SO18028"/>
    <x v="9"/>
  </r>
  <r>
    <n v="1"/>
    <s v="SO18030"/>
    <s v="4500616757"/>
    <s v="Resolute Forest Products - Dolbeau"/>
    <d v="2025-10-10T18:35:04"/>
    <d v="2025-10-10T18:36:25"/>
    <d v="2025-12-05T00:00:00"/>
    <s v="Alexis Gil Lamadrid"/>
    <x v="0"/>
    <n v="1"/>
    <n v="1231.9100000000001"/>
    <n v="0"/>
    <n v="879.97893434721561"/>
    <n v="1173.25"/>
    <n v="58.66"/>
    <n v="1231.9100000000001"/>
    <s v="Delivered"/>
    <m/>
    <s v="SO18030"/>
    <x v="9"/>
  </r>
  <r>
    <n v="0"/>
    <s v="SO18036"/>
    <s v="4501309832"/>
    <s v="Barrick Gold - Pueblo Viejo Dominicana Corporation"/>
    <d v="2025-10-14T10:35:27"/>
    <d v="2025-10-14T10:34:26"/>
    <d v="2025-11-24T00:00:00"/>
    <s v="Jeff Bell"/>
    <x v="1"/>
    <n v="0.71199472406747455"/>
    <n v="561.8019157710678"/>
    <n v="0"/>
    <n v="400"/>
    <n v="400"/>
    <m/>
    <n v="400"/>
    <s v="Delivered"/>
    <m/>
    <s v="SO18036"/>
    <x v="9"/>
  </r>
  <r>
    <n v="0"/>
    <s v="SO18040"/>
    <s v="325176"/>
    <s v="Gibraltar Mine (Canada)"/>
    <d v="2025-10-14T17:00:11"/>
    <d v="2025-10-14T17:57:37"/>
    <d v="2026-02-06T00:00:00"/>
    <s v="Aleksandar Stankovic"/>
    <x v="0"/>
    <n v="1"/>
    <n v="30700.95"/>
    <n v="0"/>
    <n v="21858.914423859329"/>
    <n v="29239"/>
    <n v="1461.95"/>
    <n v="30700.95"/>
    <s v="Processing"/>
    <m/>
    <s v="SO18040"/>
    <x v="9"/>
  </r>
  <r>
    <n v="1"/>
    <s v="SO18042"/>
    <s v="4500617289"/>
    <s v="Resolute Forest Products - Saint-Felicien"/>
    <d v="2025-10-14T18:27:59"/>
    <d v="2025-10-14T18:26:15"/>
    <d v="2026-02-18T00:00:00"/>
    <s v="Alexis Gil Lamadrid"/>
    <x v="0"/>
    <n v="1"/>
    <n v="5045.0600000000004"/>
    <n v="0"/>
    <n v="3592.056102603854"/>
    <n v="4804.82"/>
    <n v="240.24"/>
    <n v="5045.0600000000004"/>
    <s v="Delivered"/>
    <m/>
    <s v="SO18042"/>
    <x v="9"/>
  </r>
  <r>
    <n v="1"/>
    <s v="SO18045"/>
    <s v="253135"/>
    <s v="Nord-Flo Inc."/>
    <d v="2025-10-15T11:44:30"/>
    <d v="2025-11-11T10:41:16"/>
    <d v="2025-11-28T00:00:00"/>
    <s v="Amanda Qiao"/>
    <x v="0"/>
    <n v="1"/>
    <n v="9604.41"/>
    <n v="0"/>
    <n v="6855.6421722181158"/>
    <n v="9147.06"/>
    <n v="457.35"/>
    <n v="9604.41"/>
    <s v="Delivered"/>
    <m/>
    <s v="SO18045"/>
    <x v="9"/>
  </r>
  <r>
    <n v="1"/>
    <s v="SO18047"/>
    <s v="7844"/>
    <s v="Hyperflo"/>
    <d v="2025-10-15T14:45:50"/>
    <d v="2025-10-15T16:18:44"/>
    <d v="2025-10-22T00:00:00"/>
    <s v="Aleksandar Stankovic"/>
    <x v="0"/>
    <n v="1"/>
    <n v="157.5"/>
    <n v="157.5"/>
    <n v="157.5"/>
    <n v="150"/>
    <n v="7.5"/>
    <n v="157.5"/>
    <s v="Delivered"/>
    <m/>
    <s v="SO18047"/>
    <x v="9"/>
  </r>
  <r>
    <n v="1"/>
    <s v="SO18048"/>
    <s v="2100672932"/>
    <s v="Wajax Limited - Noranda"/>
    <d v="2025-10-15T15:08:48"/>
    <d v="2025-10-15T15:17:03"/>
    <d v="2025-10-22T00:00:00"/>
    <s v="Aleksandar Stankovic"/>
    <x v="0"/>
    <n v="1"/>
    <n v="177.02"/>
    <n v="177.02"/>
    <n v="177.02"/>
    <n v="168.59"/>
    <n v="8.43"/>
    <n v="177.02"/>
    <s v="Delivered"/>
    <m/>
    <s v="SO18048"/>
    <x v="9"/>
  </r>
  <r>
    <n v="1"/>
    <s v="SO18049"/>
    <s v="4500617755"/>
    <s v="Resolute Forest Products - Saint-Felicien"/>
    <d v="2025-10-15T16:07:00"/>
    <d v="2025-10-15T16:16:12"/>
    <d v="2026-01-21T00:00:00"/>
    <s v="Ian Trottier"/>
    <x v="0"/>
    <n v="1"/>
    <n v="2045.52"/>
    <n v="2045.52"/>
    <n v="2045.52"/>
    <n v="1948.11"/>
    <n v="97.41"/>
    <n v="2045.52"/>
    <s v="Delivered"/>
    <m/>
    <s v="SO18049"/>
    <x v="9"/>
  </r>
  <r>
    <n v="1"/>
    <s v="SO18051"/>
    <s v="4500617764"/>
    <s v="Resolute Forest Products - Dolbeau"/>
    <d v="2025-10-15T16:46:55"/>
    <d v="2025-10-15T16:47:40"/>
    <d v="2025-11-17T00:00:00"/>
    <s v="Ian Trottier"/>
    <x v="0"/>
    <n v="1"/>
    <n v="9653.9"/>
    <n v="9653.9"/>
    <n v="9653.9"/>
    <n v="9194.19"/>
    <n v="459.71"/>
    <n v="9653.9"/>
    <s v="Delivered"/>
    <m/>
    <s v="SO18051"/>
    <x v="9"/>
  </r>
  <r>
    <n v="0"/>
    <s v="SO18052"/>
    <s v="PO 4500617769"/>
    <s v="Resolute Forest Products - Fibrek, Resolute Forest Products - Fibrek"/>
    <d v="2025-10-15T17:08:23"/>
    <d v="2025-10-15T17:10:53"/>
    <d v="2025-10-29T00:00:00"/>
    <s v="Ian Trottier"/>
    <x v="0"/>
    <n v="1"/>
    <n v="0.01"/>
    <n v="0.01"/>
    <n v="0.01"/>
    <n v="0.01"/>
    <m/>
    <n v="0.01"/>
    <s v="To Deliver"/>
    <m/>
    <s v="SO18052"/>
    <x v="9"/>
  </r>
  <r>
    <n v="1"/>
    <s v="SO18053"/>
    <s v="4500617791"/>
    <s v="Resolute Forest Products - Dolbeau"/>
    <d v="2025-10-15T17:34:38"/>
    <d v="2025-10-15T17:36:19"/>
    <d v="2025-12-07T00:00:00"/>
    <s v="Ian Trottier"/>
    <x v="0"/>
    <n v="1"/>
    <n v="7610.52"/>
    <n v="7610.52"/>
    <n v="7610.52"/>
    <n v="7248.11"/>
    <n v="362.41"/>
    <n v="7610.52"/>
    <s v="Delivered"/>
    <m/>
    <s v="SO18053"/>
    <x v="9"/>
  </r>
  <r>
    <n v="1"/>
    <s v="SO18054"/>
    <s v="MTL34770"/>
    <s v="Conval Quebec"/>
    <d v="2025-10-15T17:37:04"/>
    <d v="2025-10-15T17:32:51"/>
    <d v="2025-11-07T00:00:00"/>
    <s v="Aleksandar Stankovic"/>
    <x v="0"/>
    <n v="1"/>
    <n v="273"/>
    <n v="273"/>
    <n v="273"/>
    <n v="260"/>
    <n v="13"/>
    <n v="273"/>
    <s v="Delivered"/>
    <m/>
    <s v="SO18054"/>
    <x v="9"/>
  </r>
  <r>
    <n v="0"/>
    <s v="SO18055"/>
    <s v="4500617789"/>
    <s v="Resolute Forest Products - Saint-Felicien"/>
    <d v="2025-10-15T17:41:45"/>
    <d v="2025-10-15T17:45:16"/>
    <d v="2025-10-30T00:00:00"/>
    <s v="Ian Trottier"/>
    <x v="0"/>
    <n v="1"/>
    <n v="6000.59"/>
    <n v="6000.59"/>
    <n v="6000.59"/>
    <n v="5714.85"/>
    <n v="285.74"/>
    <n v="6000.59"/>
    <s v="Processing"/>
    <m/>
    <s v="SO18055"/>
    <x v="9"/>
  </r>
  <r>
    <n v="1"/>
    <s v="SO18056"/>
    <s v="4500617812"/>
    <s v="Resolute Forest Products - Dolbeau"/>
    <d v="2025-10-15T18:04:00"/>
    <d v="2025-10-15T18:04:57"/>
    <d v="2026-01-13T00:00:00"/>
    <s v="Alexis Gil Lamadrid"/>
    <x v="0"/>
    <n v="1"/>
    <n v="8079.75"/>
    <n v="8079.75"/>
    <n v="8079.75"/>
    <n v="7695"/>
    <n v="384.75"/>
    <n v="8079.75"/>
    <s v="Delivered"/>
    <m/>
    <s v="SO18056"/>
    <x v="9"/>
  </r>
  <r>
    <n v="2"/>
    <s v="SO18057"/>
    <s v="4500617811"/>
    <s v="Resolute Forest Products - Saint-Felicien"/>
    <d v="2025-10-15T18:17:14"/>
    <d v="2025-10-15T18:18:22"/>
    <d v="2026-01-07T00:00:00"/>
    <s v="Ian Trottier"/>
    <x v="0"/>
    <n v="1"/>
    <n v="7424.63"/>
    <n v="7424.63"/>
    <n v="7424.63"/>
    <n v="7071.07"/>
    <n v="353.56"/>
    <n v="7424.63"/>
    <s v="Delivered"/>
    <m/>
    <s v="SO18057"/>
    <x v="9"/>
  </r>
  <r>
    <n v="1"/>
    <s v="SO18058"/>
    <s v="4500617676"/>
    <s v="Resolute Forest Products - Saint-Felicien"/>
    <d v="2025-10-15T18:25:47"/>
    <d v="2025-10-15T18:27:56"/>
    <d v="2025-10-17T00:00:00"/>
    <s v="Amanda Qiao"/>
    <x v="0"/>
    <n v="1"/>
    <n v="4557.97"/>
    <n v="4557.97"/>
    <n v="4557.97"/>
    <n v="4557.97"/>
    <m/>
    <n v="4557.97"/>
    <s v="Delivered"/>
    <m/>
    <s v="SO18058"/>
    <x v="9"/>
  </r>
  <r>
    <n v="1"/>
    <s v="SO18059"/>
    <s v="OC00216"/>
    <s v="Dynapro Pumps México S de RL de CV"/>
    <d v="2025-10-15T18:42:26"/>
    <d v="2025-10-15T18:41:40"/>
    <d v="2025-11-17T00:00:00"/>
    <s v="Yannett Yeomans"/>
    <x v="1"/>
    <n v="0.71286476201025195"/>
    <n v="154.30696797216359"/>
    <n v="0"/>
    <n v="110"/>
    <n v="110"/>
    <m/>
    <n v="110"/>
    <s v="Delivered"/>
    <m/>
    <s v="SO18059"/>
    <x v="9"/>
  </r>
  <r>
    <n v="0"/>
    <s v="SO18062"/>
    <s v="133169"/>
    <s v="Cypress Sales Partnership"/>
    <d v="2025-10-16T08:16:48"/>
    <d v="2025-10-21T09:43:26"/>
    <d v="2026-03-17T00:00:00"/>
    <s v="Ian Trottier"/>
    <x v="0"/>
    <n v="1"/>
    <n v="4167.47"/>
    <n v="0"/>
    <n v="2974.085532896846"/>
    <n v="3969.02"/>
    <n v="198.45"/>
    <n v="4167.47"/>
    <s v="Processing"/>
    <m/>
    <s v="SO18062"/>
    <x v="9"/>
  </r>
  <r>
    <n v="1"/>
    <s v="SO18065"/>
    <s v="OC00217"/>
    <s v="Dynapro Pumps México S de RL de CV"/>
    <d v="2025-10-16T13:16:41"/>
    <d v="2025-10-16T13:15:51"/>
    <d v="2025-10-28T00:00:00"/>
    <s v="Yannett Yeomans"/>
    <x v="1"/>
    <n v="0.71199472406747455"/>
    <n v="386.23881709260911"/>
    <n v="0"/>
    <n v="275"/>
    <n v="275"/>
    <m/>
    <n v="275"/>
    <s v="Delivered"/>
    <m/>
    <s v="SO18065"/>
    <x v="9"/>
  </r>
  <r>
    <n v="1"/>
    <s v="SO18066"/>
    <s v="1229"/>
    <s v="Beaudoin Protective Coating &amp; Fabrication"/>
    <d v="2025-10-16T13:55:52"/>
    <d v="2025-11-18T12:55:44"/>
    <d v="2025-12-16T00:00:00"/>
    <s v="Alexis Gil Lamadrid"/>
    <x v="0"/>
    <n v="1"/>
    <n v="4655.6000000000004"/>
    <n v="0"/>
    <n v="3326.2712357904888"/>
    <n v="4120"/>
    <n v="535.6"/>
    <n v="4655.6000000000004"/>
    <s v="Delivered"/>
    <m/>
    <s v="SO18066"/>
    <x v="9"/>
  </r>
  <r>
    <n v="1"/>
    <s v="SO18068"/>
    <s v="10662"/>
    <s v="Canadian Industrial Pumps Ltd"/>
    <d v="2025-10-16T15:56:39"/>
    <d v="2025-10-22T17:10:32"/>
    <d v="2025-10-29T00:00:00"/>
    <s v="Aleksandar Stankovic"/>
    <x v="0"/>
    <n v="1"/>
    <n v="2350.9499999999998"/>
    <n v="2350.9499999999998"/>
    <n v="2350.9499999999998"/>
    <n v="2239"/>
    <n v="111.95"/>
    <n v="2350.9499999999998"/>
    <s v="Delivered"/>
    <m/>
    <s v="SO18068"/>
    <x v="9"/>
  </r>
  <r>
    <n v="1"/>
    <s v="SO18069"/>
    <s v="2200111610"/>
    <s v="Wajax Limited - Lachine"/>
    <d v="2025-10-16T16:21:20"/>
    <d v="2025-10-17T14:46:51"/>
    <d v="2025-12-29T00:00:00"/>
    <s v="Wilka Nuñez"/>
    <x v="0"/>
    <n v="1"/>
    <n v="111.47"/>
    <n v="0"/>
    <n v="79.353426383668804"/>
    <n v="106.16"/>
    <n v="5.31"/>
    <n v="111.47"/>
    <s v="Partially Delivered"/>
    <m/>
    <s v="SO18069"/>
    <x v="9"/>
  </r>
  <r>
    <n v="1"/>
    <s v="SO18072"/>
    <s v="PO#5314"/>
    <s v="TC Industries of Canada Co., TC Industries of Canada Co."/>
    <d v="2025-10-17T10:49:24"/>
    <d v="2025-10-22T14:04:25"/>
    <d v="2025-11-20T00:00:00"/>
    <s v="Leriel Reyes"/>
    <x v="0"/>
    <n v="1"/>
    <n v="20340.650000000001"/>
    <n v="20340.650000000001"/>
    <n v="20340.650000000001"/>
    <n v="18033.48"/>
    <n v="2307.17"/>
    <n v="20340.650000000001"/>
    <s v="Delivered"/>
    <m/>
    <s v="SO18072"/>
    <x v="9"/>
  </r>
  <r>
    <n v="1"/>
    <s v="SO18073"/>
    <s v="2100680197"/>
    <s v="Wajax Limited - Noranda"/>
    <d v="2025-10-17T10:58:43"/>
    <d v="2025-10-27T14:32:22"/>
    <d v="2025-10-29T00:00:00"/>
    <s v="Wilka Nuñez"/>
    <x v="0"/>
    <n v="1"/>
    <n v="155.12"/>
    <n v="155.12"/>
    <n v="155.12"/>
    <n v="147.72999999999999"/>
    <n v="7.39"/>
    <n v="155.12"/>
    <s v="Delivered"/>
    <m/>
    <s v="SO18073"/>
    <x v="9"/>
  </r>
  <r>
    <n v="1"/>
    <s v="SO18076"/>
    <s v="607062"/>
    <s v="Sealtrac Inc."/>
    <d v="2025-10-17T14:56:09"/>
    <d v="2025-10-17T14:56:36"/>
    <d v="2025-10-20T00:00:00"/>
    <s v="Ian Trottier"/>
    <x v="0"/>
    <n v="1"/>
    <n v="271.67"/>
    <n v="0"/>
    <n v="193.39683632951741"/>
    <n v="240.42"/>
    <n v="31.25"/>
    <n v="271.67"/>
    <s v="Delivered"/>
    <m/>
    <s v="SO18076"/>
    <x v="9"/>
  </r>
  <r>
    <n v="1"/>
    <s v="SO18078"/>
    <s v="4500589465"/>
    <s v="Glencore Canada Corporation - Rouyn-Noranda"/>
    <d v="2025-10-17T17:42:26"/>
    <d v="2025-10-17T17:51:20"/>
    <d v="2025-10-31T00:00:00"/>
    <s v="Ian Trottier"/>
    <x v="0"/>
    <n v="1"/>
    <n v="5178.8900000000003"/>
    <n v="0"/>
    <n v="3686.7557761201988"/>
    <n v="4932.2700000000004"/>
    <n v="246.62"/>
    <n v="5178.8900000000003"/>
    <s v="Delivered"/>
    <m/>
    <s v="SO18078"/>
    <x v="9"/>
  </r>
  <r>
    <n v="1"/>
    <s v="SO18079"/>
    <s v="PO-008367"/>
    <s v="Sling-Choker Manufacturing - Timmins"/>
    <d v="2025-10-20T08:17:34"/>
    <d v="2025-10-20T10:51:31"/>
    <d v="2025-10-22T00:00:00"/>
    <s v="Wilka Nuñez"/>
    <x v="0"/>
    <n v="1"/>
    <n v="3117.08"/>
    <n v="0"/>
    <n v="2221.6193052588801"/>
    <n v="2758.48"/>
    <n v="358.6"/>
    <n v="3117.08"/>
    <s v="Delivered"/>
    <m/>
    <s v="SO18079"/>
    <x v="9"/>
  </r>
  <r>
    <n v="1"/>
    <s v="SO18080"/>
    <s v="4501336391"/>
    <s v="Barrick Gold - Pueblo Viejo Dominicana Corporation"/>
    <d v="2025-10-20T11:34:25"/>
    <d v="2025-11-18T14:17:38"/>
    <d v="2026-01-13T00:00:00"/>
    <s v="Wilka Nuñez"/>
    <x v="1"/>
    <n v="0.7129261885474989"/>
    <n v="1400.481587068924"/>
    <n v="0"/>
    <n v="998.44"/>
    <n v="998.44"/>
    <m/>
    <n v="998.44"/>
    <s v="Delivered"/>
    <m/>
    <s v="SO18080"/>
    <x v="9"/>
  </r>
  <r>
    <n v="1"/>
    <s v="SO18081"/>
    <s v="607065"/>
    <s v="Sealtrac Inc."/>
    <d v="2025-10-20T11:57:25"/>
    <d v="2025-10-23T15:50:59"/>
    <d v="2025-10-24T00:00:00"/>
    <s v="Ian Trottier"/>
    <x v="0"/>
    <n v="1"/>
    <n v="1606.31"/>
    <n v="0"/>
    <n v="1147.998143695695"/>
    <n v="1421.52"/>
    <n v="184.79"/>
    <n v="1606.31"/>
    <s v="Delivered"/>
    <m/>
    <s v="SO18081"/>
    <x v="9"/>
  </r>
  <r>
    <n v="1"/>
    <s v="SO18084"/>
    <s v="21914"/>
    <s v="DRN Industriel"/>
    <d v="2025-10-21T07:22:54"/>
    <d v="2025-11-07T14:07:28"/>
    <m/>
    <s v="Wilka Nuñez"/>
    <x v="0"/>
    <n v="1"/>
    <n v="664.02"/>
    <n v="0"/>
    <n v="471.75056713712871"/>
    <n v="632.4"/>
    <n v="31.62"/>
    <n v="664.02"/>
    <s v="Delivered"/>
    <m/>
    <s v="SO18084"/>
    <x v="9"/>
  </r>
  <r>
    <n v="2"/>
    <s v="SO18089"/>
    <s v="P369494"/>
    <s v="Covia Corp - Junction City"/>
    <d v="2025-10-21T13:16:47"/>
    <d v="2025-10-23T10:54:10"/>
    <d v="2025-10-30T00:00:00"/>
    <s v="Aleksandar Stankovic"/>
    <x v="1"/>
    <n v="0.7136429375368859"/>
    <n v="16129.718931612129"/>
    <n v="0"/>
    <n v="11510.86"/>
    <n v="11510.86"/>
    <m/>
    <n v="11510.86"/>
    <s v="Delivered"/>
    <m/>
    <s v="SO18089"/>
    <x v="9"/>
  </r>
  <r>
    <n v="1"/>
    <s v="SO18095"/>
    <s v="PO-40-1018838"/>
    <s v="Canadian Bearings Ltd."/>
    <d v="2025-10-21T16:59:48"/>
    <d v="2025-10-29T11:57:44"/>
    <d v="2025-11-12T00:00:00"/>
    <s v="Alexis Gil Lamadrid"/>
    <x v="0"/>
    <n v="1"/>
    <n v="409.85"/>
    <n v="0"/>
    <n v="294.95211167473951"/>
    <n v="390.33"/>
    <n v="19.52"/>
    <n v="409.85"/>
    <s v="Delivered"/>
    <m/>
    <s v="SO18095"/>
    <x v="9"/>
  </r>
  <r>
    <n v="1"/>
    <s v="SO18096"/>
    <s v="4500618504"/>
    <s v="Resolute Forest Products - Saint-Felicien"/>
    <d v="2025-10-22T09:10:27"/>
    <d v="2025-10-22T17:28:42"/>
    <d v="2025-10-23T00:00:00"/>
    <s v="Ian Trottier"/>
    <x v="0"/>
    <n v="1"/>
    <n v="4434.6099999999997"/>
    <n v="4434.6099999999997"/>
    <n v="4434.6099999999997"/>
    <n v="4223.4399999999996"/>
    <n v="211.17"/>
    <n v="4434.6099999999997"/>
    <s v="Delivered"/>
    <m/>
    <s v="SO18096"/>
    <x v="9"/>
  </r>
  <r>
    <n v="0"/>
    <s v="SO18103"/>
    <s v="4500879146"/>
    <s v="AGM Inc."/>
    <d v="2025-10-22T17:24:25"/>
    <d v="2025-12-04T17:47:24"/>
    <d v="2026-01-28T00:00:00"/>
    <s v="Amanda Qiao"/>
    <x v="1"/>
    <n v="0.71478261126370946"/>
    <n v="26137.457327018419"/>
    <n v="0"/>
    <n v="18682.599999999999"/>
    <n v="18682.599999999999"/>
    <m/>
    <n v="18682.599999999999"/>
    <s v="To Deliver"/>
    <m/>
    <s v="SO18103"/>
    <x v="9"/>
  </r>
  <r>
    <n v="1"/>
    <s v="SO18104"/>
    <s v="4500618721"/>
    <s v="Resolute Forest Products - Gatineau"/>
    <d v="2025-10-22T18:29:49"/>
    <d v="2025-10-22T18:29:54"/>
    <d v="2025-12-24T00:00:00"/>
    <s v="Ian Trottier"/>
    <x v="0"/>
    <n v="1"/>
    <n v="1043.81"/>
    <n v="1043.81"/>
    <n v="1043.81"/>
    <n v="994.1"/>
    <n v="49.71"/>
    <n v="1043.81"/>
    <s v="Delivered"/>
    <m/>
    <s v="SO18104"/>
    <x v="9"/>
  </r>
  <r>
    <n v="1"/>
    <s v="SO18106"/>
    <s v="PO6601"/>
    <s v="ProPart Pompes du Canada 9425-4380 Quebec Inc"/>
    <d v="2025-10-23T12:03:26"/>
    <d v="2025-10-23T12:03:26"/>
    <d v="2025-10-27T00:00:00"/>
    <s v="Wilka Nuñez"/>
    <x v="0"/>
    <n v="1"/>
    <n v="593.25"/>
    <n v="0"/>
    <n v="423.98409942506169"/>
    <n v="565"/>
    <n v="28.25"/>
    <n v="593.25"/>
    <s v="Delivered"/>
    <m/>
    <s v="SO18106"/>
    <x v="9"/>
  </r>
  <r>
    <n v="1"/>
    <s v="SO18107"/>
    <s v="2378"/>
    <s v="FMI Products"/>
    <d v="2025-10-23T14:45:26"/>
    <d v="2025-10-31T09:19:47"/>
    <d v="2025-11-06T00:00:00"/>
    <s v="Aleksandar Stankovic"/>
    <x v="0"/>
    <n v="1"/>
    <n v="593.34"/>
    <n v="0"/>
    <n v="423.45543151654141"/>
    <n v="565.09"/>
    <n v="28.25"/>
    <n v="593.34"/>
    <s v="Delivered"/>
    <m/>
    <s v="SO18107"/>
    <x v="9"/>
  </r>
  <r>
    <n v="1"/>
    <s v="SO18108"/>
    <s v="2100678961"/>
    <s v="Wajax Limited - Noranda"/>
    <d v="2025-10-23T18:46:26"/>
    <d v="2025-10-23T18:49:05"/>
    <d v="2025-10-30T00:00:00"/>
    <s v="Alexis Gil Lamadrid"/>
    <x v="0"/>
    <n v="1"/>
    <n v="2758.72"/>
    <n v="0"/>
    <n v="1971.602890460862"/>
    <n v="2627.35"/>
    <n v="131.37"/>
    <n v="2758.72"/>
    <s v="Delivered"/>
    <m/>
    <s v="SO18108"/>
    <x v="9"/>
  </r>
  <r>
    <n v="1"/>
    <s v="SO18109"/>
    <s v="3032076"/>
    <s v="Flowstar Industrial Inc"/>
    <d v="2025-10-24T09:21:15"/>
    <d v="2025-11-06T14:59:45"/>
    <d v="2025-11-10T00:00:00"/>
    <s v="Wilka Nuñez"/>
    <x v="0"/>
    <n v="1"/>
    <n v="1612.6"/>
    <n v="1612.6"/>
    <n v="1612.6"/>
    <n v="1414.55"/>
    <n v="198.05"/>
    <n v="1612.6"/>
    <s v="Delivered"/>
    <m/>
    <s v="SO18109"/>
    <x v="9"/>
  </r>
  <r>
    <n v="1"/>
    <s v="SO18110"/>
    <m/>
    <s v="Dynapro Pumps México S de RL de CV"/>
    <d v="2025-10-24T10:07:57"/>
    <d v="2025-10-24T14:00:47"/>
    <d v="2025-12-22T00:00:00"/>
    <s v="Carlos Leon"/>
    <x v="1"/>
    <n v="0.71468031930056763"/>
    <n v="69961.350060588258"/>
    <n v="0"/>
    <n v="50000"/>
    <n v="50000"/>
    <m/>
    <n v="50000"/>
    <s v="Processing"/>
    <m/>
    <s v="SO18110"/>
    <x v="9"/>
  </r>
  <r>
    <n v="2"/>
    <s v="SO18112"/>
    <s v="4500618974"/>
    <s v="Resolute Forest Products - Saint-Felicien"/>
    <d v="2025-10-24T13:28:17"/>
    <d v="2025-10-27T18:18:52"/>
    <d v="2025-12-08T00:00:00"/>
    <s v="Ian Trottier"/>
    <x v="0"/>
    <n v="1"/>
    <n v="3718.02"/>
    <n v="3718.02"/>
    <n v="3718.02"/>
    <n v="3540.97"/>
    <n v="177.05"/>
    <n v="3718.02"/>
    <s v="Delivered"/>
    <m/>
    <s v="SO18112"/>
    <x v="9"/>
  </r>
  <r>
    <n v="2"/>
    <s v="SO18115"/>
    <s v="5414497"/>
    <s v="Pierce Pump Company"/>
    <d v="2025-10-27T12:08:38"/>
    <d v="2025-10-29T16:41:18"/>
    <d v="2025-11-07T00:00:00"/>
    <s v="Aleksandar Stankovic"/>
    <x v="1"/>
    <n v="0.71746735350995994"/>
    <n v="4624.6006647798486"/>
    <n v="0"/>
    <n v="3318"/>
    <n v="3318"/>
    <m/>
    <n v="3318"/>
    <s v="Delivered"/>
    <m/>
    <s v="SO18115"/>
    <x v="9"/>
  </r>
  <r>
    <n v="1"/>
    <s v="SO18116"/>
    <s v="10017456"/>
    <s v="DXP Enterprises, Inc. - Grand Prairie"/>
    <d v="2025-10-27T14:19:35"/>
    <d v="2025-10-30T14:00:47"/>
    <d v="2023-10-31T00:00:00"/>
    <s v="Amanda Qiao"/>
    <x v="1"/>
    <n v="0.71746735350995994"/>
    <n v="4205.3202633395013"/>
    <n v="0"/>
    <n v="3017.18"/>
    <n v="3017.18"/>
    <m/>
    <n v="3017.18"/>
    <s v="Delivered"/>
    <m/>
    <s v="SO18116"/>
    <x v="9"/>
  </r>
  <r>
    <n v="1"/>
    <s v="SO18120"/>
    <s v="3421"/>
    <s v="Les Pompes du St-Laurent Inc."/>
    <d v="2025-10-27T19:14:16"/>
    <d v="2025-12-03T10:06:52"/>
    <d v="2026-02-18T00:00:00"/>
    <s v="Ian Trottier"/>
    <x v="0"/>
    <n v="1"/>
    <n v="14649.57"/>
    <n v="0"/>
    <n v="10499.290339573499"/>
    <n v="13927.52"/>
    <n v="722.05"/>
    <n v="14649.57"/>
    <s v="Processing"/>
    <m/>
    <s v="SO18120"/>
    <x v="9"/>
  </r>
  <r>
    <n v="1"/>
    <s v="SO18122"/>
    <s v="607048"/>
    <s v="Sealtrac Inc."/>
    <d v="2025-10-28T10:19:52"/>
    <d v="2025-10-28T15:58:57"/>
    <d v="2025-11-25T00:00:00"/>
    <s v="Aleksandar Stankovic"/>
    <x v="0"/>
    <n v="1"/>
    <n v="3315.42"/>
    <n v="0"/>
    <n v="2378.705613173991"/>
    <n v="2934"/>
    <n v="381.42"/>
    <n v="3315.42"/>
    <s v="Delivered"/>
    <m/>
    <s v="SO18122"/>
    <x v="9"/>
  </r>
  <r>
    <n v="1"/>
    <s v="SO18123"/>
    <s v="3364"/>
    <s v="Les Pompes du St-Laurent Inc."/>
    <d v="2025-10-28T10:45:33"/>
    <d v="2025-10-31T11:20:59"/>
    <d v="2025-11-25T00:00:00"/>
    <s v="Ian Trottier"/>
    <x v="0"/>
    <n v="1"/>
    <n v="2097.44"/>
    <n v="0"/>
    <n v="1496.902889203584"/>
    <n v="1997.56"/>
    <n v="99.88"/>
    <n v="2097.44"/>
    <s v="Delivered"/>
    <m/>
    <s v="SO18123"/>
    <x v="9"/>
  </r>
  <r>
    <n v="2"/>
    <s v="SO18124"/>
    <s v="4512474161"/>
    <s v="PT Vale Indonesia Tbk."/>
    <d v="2025-10-28T10:56:46"/>
    <d v="2025-10-28T10:56:53"/>
    <d v="2026-02-10T00:00:00"/>
    <s v="Ian Trottier"/>
    <x v="1"/>
    <n v="0.71446482127323563"/>
    <n v="1902.682902675931"/>
    <n v="0"/>
    <n v="1359.4"/>
    <n v="1359.4"/>
    <m/>
    <n v="1359.4"/>
    <s v="Delivered"/>
    <m/>
    <s v="SO18124"/>
    <x v="9"/>
  </r>
  <r>
    <n v="2"/>
    <s v="SO18125"/>
    <s v="4512474160"/>
    <s v="PT Vale Indonesia Tbk."/>
    <d v="2025-10-28T11:07:20"/>
    <d v="2025-10-28T11:07:23"/>
    <d v="2025-11-21T00:00:00"/>
    <s v="Ian Trottier"/>
    <x v="1"/>
    <n v="0.71446482127323563"/>
    <n v="517.64620032784035"/>
    <n v="0"/>
    <n v="369.84"/>
    <n v="369.84"/>
    <m/>
    <n v="369.84"/>
    <s v="Delivered"/>
    <m/>
    <s v="SO18125"/>
    <x v="9"/>
  </r>
  <r>
    <n v="2"/>
    <s v="SO18126"/>
    <s v="PO-008387"/>
    <s v="Sling-Choker Manufacturing - Timmins"/>
    <d v="2025-10-28T11:44:18"/>
    <d v="2025-10-28T13:06:43"/>
    <d v="2025-11-18T00:00:00"/>
    <s v="Ian Trottier"/>
    <x v="0"/>
    <n v="1"/>
    <n v="1946.7"/>
    <n v="0"/>
    <n v="1396.693697077839"/>
    <n v="1722.75"/>
    <n v="223.95"/>
    <n v="1946.7"/>
    <s v="Delivered"/>
    <m/>
    <s v="SO18126"/>
    <x v="9"/>
  </r>
  <r>
    <n v="0"/>
    <s v="SO18127"/>
    <m/>
    <s v="Dynapro Pumps México S de RL de CV"/>
    <d v="2025-10-28T15:31:04"/>
    <d v="2025-10-28T15:32:25"/>
    <d v="2025-12-23T00:00:00"/>
    <s v="Carlos Leon"/>
    <x v="1"/>
    <n v="0.71446482127323563"/>
    <n v="5626.5891339982654"/>
    <n v="0"/>
    <n v="4020"/>
    <n v="4020"/>
    <m/>
    <n v="4020"/>
    <s v="Processing"/>
    <m/>
    <s v="SO18127"/>
    <x v="9"/>
  </r>
  <r>
    <n v="1"/>
    <s v="SO18128"/>
    <s v="OC00223"/>
    <s v="Dynapro Pumps México S de RL de CV"/>
    <d v="2025-10-28T16:05:59"/>
    <d v="2025-10-28T16:07:52"/>
    <d v="2025-11-11T00:00:00"/>
    <s v="Carlos Leon"/>
    <x v="1"/>
    <n v="0.71446482127323563"/>
    <n v="1791.5507690342729"/>
    <n v="0"/>
    <n v="1280"/>
    <n v="1280"/>
    <m/>
    <n v="1280"/>
    <s v="Delivered"/>
    <m/>
    <s v="SO18128"/>
    <x v="9"/>
  </r>
  <r>
    <n v="1"/>
    <s v="SO18131"/>
    <s v="4501327275"/>
    <s v="Barrick Gold - Pueblo Viejo Dominicana Corporation"/>
    <d v="2025-10-29T09:05:09"/>
    <d v="2025-11-06T13:13:33"/>
    <d v="2026-02-26T00:00:00"/>
    <s v="Wilka Nuñez"/>
    <x v="1"/>
    <n v="0.71011069986137554"/>
    <n v="18750.372304767781"/>
    <n v="0"/>
    <n v="13314.84"/>
    <n v="13314.84"/>
    <m/>
    <n v="13314.84"/>
    <s v="Processing"/>
    <m/>
    <s v="SO18131"/>
    <x v="9"/>
  </r>
  <r>
    <n v="1"/>
    <s v="SO18133"/>
    <s v="4512484819"/>
    <s v="PT Vale Indonesia Tbk."/>
    <d v="2025-10-29T10:56:18"/>
    <d v="2025-10-29T11:04:49"/>
    <d v="2025-10-31T00:00:00"/>
    <s v="Ian Trottier"/>
    <x v="1"/>
    <n v="0.71746735350995994"/>
    <n v="1788.973384950235"/>
    <n v="0"/>
    <n v="1283.53"/>
    <n v="1283.53"/>
    <m/>
    <n v="1283.53"/>
    <s v="Delivered"/>
    <m/>
    <s v="SO18133"/>
    <x v="9"/>
  </r>
  <r>
    <n v="1"/>
    <s v="SO18134"/>
    <s v="4512484820"/>
    <s v="PT Vale Indonesia Tbk."/>
    <d v="2025-10-29T11:14:40"/>
    <d v="2025-10-29T11:14:52"/>
    <d v="2025-10-31T00:00:00"/>
    <s v="Ian Trottier"/>
    <x v="1"/>
    <n v="0.71746735350995994"/>
    <n v="4122.6962948620603"/>
    <n v="0"/>
    <n v="2957.9"/>
    <n v="2957.9"/>
    <m/>
    <n v="2957.9"/>
    <s v="Delivered"/>
    <m/>
    <s v="SO18134"/>
    <x v="9"/>
  </r>
  <r>
    <n v="1"/>
    <s v="SO18135"/>
    <s v="4512484821"/>
    <s v="PT Vale Indonesia Tbk."/>
    <d v="2025-10-29T11:17:41"/>
    <d v="2025-10-29T11:17:49"/>
    <d v="2025-10-31T00:00:00"/>
    <s v="Ian Trottier"/>
    <x v="1"/>
    <n v="0.71746735350995994"/>
    <n v="2061.3481474310302"/>
    <n v="0"/>
    <n v="1478.95"/>
    <n v="1478.95"/>
    <m/>
    <n v="1478.95"/>
    <s v="Delivered"/>
    <m/>
    <s v="SO18135"/>
    <x v="9"/>
  </r>
  <r>
    <n v="1"/>
    <s v="SO18136"/>
    <s v="10677"/>
    <s v="Canadian Industrial Pumps Ltd"/>
    <d v="2025-10-29T13:05:27"/>
    <d v="2025-10-29T13:13:00"/>
    <d v="2025-12-22T00:00:00"/>
    <s v="Alexis Gil Lamadrid"/>
    <x v="0"/>
    <n v="1"/>
    <n v="1522.04"/>
    <n v="0"/>
    <n v="1095.3493035340259"/>
    <n v="1449.56"/>
    <n v="72.48"/>
    <n v="1522.04"/>
    <s v="Delivered"/>
    <m/>
    <s v="SO18136"/>
    <x v="9"/>
  </r>
  <r>
    <n v="1"/>
    <s v="SO18137"/>
    <s v="4501321096"/>
    <s v="Barrick Gold - Pueblo Viejo Dominicana Corporation"/>
    <d v="2025-10-29T13:07:06"/>
    <d v="2025-10-30T07:48:55"/>
    <d v="2025-10-31T00:00:00"/>
    <s v="Wilka Nuñez"/>
    <x v="1"/>
    <n v="0.71746735350995994"/>
    <n v="24780.068267946899"/>
    <n v="0"/>
    <n v="17778.89"/>
    <n v="17778.89"/>
    <m/>
    <n v="17778.89"/>
    <s v="Delivered"/>
    <m/>
    <s v="SO18137"/>
    <x v="9"/>
  </r>
  <r>
    <n v="1"/>
    <s v="SO18138"/>
    <s v="PO-40-1019041"/>
    <s v="Canadian Bearings Ltd."/>
    <d v="2025-10-29T13:18:08"/>
    <d v="2025-11-06T12:36:21"/>
    <d v="2025-11-12T00:00:00"/>
    <s v="Aleksandar Stankovic"/>
    <x v="0"/>
    <n v="1"/>
    <n v="1016.4"/>
    <n v="1016.4"/>
    <n v="1016.4"/>
    <n v="968"/>
    <n v="48.4"/>
    <n v="1016.4"/>
    <s v="Delivered"/>
    <m/>
    <s v="SO18138"/>
    <x v="9"/>
  </r>
  <r>
    <n v="1"/>
    <s v="SO18140"/>
    <s v="PO-40-1018891"/>
    <s v="Canadian Bearings Ltd."/>
    <d v="2025-10-29T14:54:18"/>
    <d v="2025-10-31T14:53:10"/>
    <d v="2025-11-11T00:00:00"/>
    <s v="Ian Trottier"/>
    <x v="0"/>
    <n v="1"/>
    <n v="567.74"/>
    <n v="0"/>
    <n v="405.18520020426939"/>
    <n v="540.70000000000005"/>
    <n v="27.04"/>
    <n v="567.74"/>
    <s v="Delivered"/>
    <m/>
    <s v="SO18140"/>
    <x v="9"/>
  </r>
  <r>
    <n v="1"/>
    <s v="SO18142"/>
    <s v="BC65-00082252"/>
    <s v="Motion Industries Inc. (Canada) - Prince George"/>
    <d v="2025-10-29T17:52:38"/>
    <d v="2025-10-30T17:53:19"/>
    <d v="2025-11-06T00:00:00"/>
    <s v="Alexis Gil Lamadrid"/>
    <x v="0"/>
    <n v="1"/>
    <n v="5355.4"/>
    <n v="0"/>
    <n v="3830.1287192295972"/>
    <n v="5100.38"/>
    <n v="255.02"/>
    <n v="5355.4"/>
    <s v="Delivered"/>
    <m/>
    <s v="SO18142"/>
    <x v="9"/>
  </r>
  <r>
    <n v="1"/>
    <s v="SO18143"/>
    <s v="4500619617"/>
    <s v="Resolute Forest Products - Saint-Felicien"/>
    <d v="2025-10-29T19:30:33"/>
    <d v="2025-10-30T19:22:49"/>
    <d v="2025-11-06T00:00:00"/>
    <s v="Alexis Gil Lamadrid"/>
    <x v="0"/>
    <n v="1"/>
    <n v="499.25"/>
    <n v="0"/>
    <n v="356.30519463483552"/>
    <n v="475.48"/>
    <n v="23.77"/>
    <n v="499.25"/>
    <s v="Delivered"/>
    <m/>
    <s v="SO18143"/>
    <x v="9"/>
  </r>
  <r>
    <n v="1"/>
    <s v="SO18145"/>
    <s v="607067"/>
    <s v="Sealtrac Inc."/>
    <d v="2025-10-30T11:08:36"/>
    <d v="2025-10-30T11:09:34"/>
    <d v="2025-11-06T00:00:00"/>
    <s v="Aleksandar Stankovic"/>
    <x v="0"/>
    <n v="1"/>
    <n v="899.21"/>
    <n v="0"/>
    <n v="643.10603234463281"/>
    <n v="795.76"/>
    <n v="103.45"/>
    <n v="899.21"/>
    <s v="Delivered"/>
    <m/>
    <s v="SO18145"/>
    <x v="9"/>
  </r>
  <r>
    <n v="0"/>
    <s v="SO18150"/>
    <s v="PO# 2658"/>
    <s v="AGREGATEC, SRL"/>
    <d v="2025-10-31T11:53:07"/>
    <d v="2025-11-25T10:00:25"/>
    <m/>
    <s v="Wilka Nuñez"/>
    <x v="1"/>
    <n v="0.70860938895411174"/>
    <n v="11948.755029194661"/>
    <n v="0"/>
    <n v="8467"/>
    <n v="8467"/>
    <m/>
    <n v="8467"/>
    <s v="Processing"/>
    <m/>
    <s v="SO18150"/>
    <x v="9"/>
  </r>
  <r>
    <n v="1"/>
    <s v="SO18151"/>
    <s v="607067"/>
    <s v="Sealtrac Inc."/>
    <d v="2025-10-31T15:54:01"/>
    <d v="2025-10-31T15:54:16"/>
    <d v="2025-11-04T00:00:00"/>
    <s v="Ian Trottier"/>
    <x v="0"/>
    <n v="1"/>
    <n v="835.55"/>
    <n v="0"/>
    <n v="596.316084881596"/>
    <n v="795.76"/>
    <n v="39.79"/>
    <n v="835.55"/>
    <s v="To Deliver"/>
    <m/>
    <s v="SO18151"/>
    <x v="9"/>
  </r>
  <r>
    <n v="1"/>
    <s v="SO18152"/>
    <s v="4500620079"/>
    <s v="Resolute Forest Products - Kenogami"/>
    <d v="2025-10-31T16:34:15"/>
    <d v="2025-10-31T16:35:31"/>
    <d v="2025-11-04T00:00:00"/>
    <s v="Ian Trottier"/>
    <x v="0"/>
    <n v="1"/>
    <n v="986.77"/>
    <n v="0"/>
    <n v="704.23891218791516"/>
    <n v="939.78"/>
    <n v="46.99"/>
    <n v="986.77"/>
    <s v="Delivered"/>
    <m/>
    <s v="SO18152"/>
    <x v="9"/>
  </r>
  <r>
    <n v="1"/>
    <s v="SO18153"/>
    <s v="T197971"/>
    <s v="Tencarva Machinery Company"/>
    <d v="2025-11-03T09:10:21"/>
    <d v="2025-11-13T13:26:49"/>
    <m/>
    <s v="Wilka Nuñez"/>
    <x v="1"/>
    <n v="0.71380149037974383"/>
    <n v="972.2591075437382"/>
    <n v="0"/>
    <n v="694"/>
    <n v="694"/>
    <m/>
    <n v="694"/>
    <s v="Delivered"/>
    <m/>
    <s v="SO18153"/>
    <x v="10"/>
  </r>
  <r>
    <n v="2"/>
    <s v="SO18154"/>
    <s v="PO003520"/>
    <s v="Eleazar General &amp; Industrial Supplies Limited"/>
    <d v="2025-11-03T09:40:26"/>
    <d v="2025-11-21T16:45:02"/>
    <d v="2026-01-23T00:00:00"/>
    <s v="Wilka Nuñez"/>
    <x v="1"/>
    <n v="0.71166354456386371"/>
    <n v="6240.4208195344236"/>
    <n v="0"/>
    <n v="4441.08"/>
    <n v="4441.08"/>
    <m/>
    <n v="4441.08"/>
    <s v="Delivered"/>
    <m/>
    <s v="SO18154"/>
    <x v="10"/>
  </r>
  <r>
    <n v="1"/>
    <s v="SO18155"/>
    <s v="4512502587"/>
    <s v="PT Vale Indonesia Tbk."/>
    <d v="2025-11-03T10:27:52"/>
    <d v="2025-11-03T10:34:04"/>
    <d v="2025-11-10T00:00:00"/>
    <s v="Wilka Nuñez"/>
    <x v="1"/>
    <n v="0.71248196503825101"/>
    <n v="204.04727015398211"/>
    <n v="0"/>
    <n v="145.38"/>
    <n v="145.38"/>
    <m/>
    <n v="145.38"/>
    <s v="Delivered"/>
    <m/>
    <s v="SO18155"/>
    <x v="10"/>
  </r>
  <r>
    <n v="1"/>
    <s v="SO18156"/>
    <s v="4512502588"/>
    <s v="PT Vale Indonesia Tbk."/>
    <d v="2025-11-03T10:36:17"/>
    <d v="2025-11-03T10:40:31"/>
    <d v="2025-11-10T00:00:00"/>
    <s v="Wilka Nuñez"/>
    <x v="1"/>
    <n v="0.71248196503825101"/>
    <n v="2121.625632894225"/>
    <n v="0"/>
    <n v="1511.62"/>
    <n v="1511.62"/>
    <m/>
    <n v="1511.62"/>
    <s v="Delivered"/>
    <m/>
    <s v="SO18156"/>
    <x v="10"/>
  </r>
  <r>
    <n v="1"/>
    <s v="SO18158"/>
    <s v="PO-008403"/>
    <s v="Sling-Choker Manufacturing - Timmins"/>
    <d v="2025-11-03T11:01:38"/>
    <d v="2025-11-03T11:05:04"/>
    <d v="2025-11-05T00:00:00"/>
    <s v="Wilka Nuñez"/>
    <x v="0"/>
    <n v="1"/>
    <n v="176.97"/>
    <n v="176.97"/>
    <n v="176.97"/>
    <n v="156.61000000000001"/>
    <n v="20.36"/>
    <n v="176.97"/>
    <s v="Delivered"/>
    <m/>
    <s v="SO18158"/>
    <x v="10"/>
  </r>
  <r>
    <n v="1"/>
    <s v="SO18159"/>
    <s v="6500023665"/>
    <s v="Wesdome Gold Mines Ltd - Eagle River Mine"/>
    <d v="2025-11-03T13:17:39"/>
    <d v="2025-11-05T11:55:15"/>
    <d v="2026-02-18T00:00:00"/>
    <s v="Ian Trottier"/>
    <x v="0"/>
    <n v="1"/>
    <n v="7549.03"/>
    <n v="0"/>
    <n v="5350.6089632477606"/>
    <n v="6680.57"/>
    <n v="868.46"/>
    <n v="7549.03"/>
    <s v="Processing"/>
    <m/>
    <s v="SO18159"/>
    <x v="10"/>
  </r>
  <r>
    <n v="1"/>
    <s v="SO18160"/>
    <s v="3032052"/>
    <s v="Flowstar Industrial Inc"/>
    <d v="2025-11-03T13:20:40"/>
    <d v="2025-11-05T11:46:13"/>
    <d v="2025-11-12T00:00:00"/>
    <s v="Alexis Gil Lamadrid"/>
    <x v="0"/>
    <n v="1"/>
    <n v="663.09"/>
    <n v="0"/>
    <n v="469.98558721318608"/>
    <n v="581.66"/>
    <n v="81.430000000000007"/>
    <n v="663.09"/>
    <s v="Delivered"/>
    <m/>
    <s v="SO18160"/>
    <x v="10"/>
  </r>
  <r>
    <n v="1"/>
    <s v="SO18161"/>
    <s v="6500023664"/>
    <s v="Wesdome Gold Mines Ltd - Eagle River Mine"/>
    <d v="2025-11-03T15:09:51"/>
    <d v="2025-11-05T11:13:48"/>
    <d v="2025-11-26T00:00:00"/>
    <s v="Ian Trottier"/>
    <x v="0"/>
    <n v="1"/>
    <n v="19743.259999999998"/>
    <n v="0"/>
    <n v="13993.64738512511"/>
    <n v="17471.91"/>
    <n v="2271.35"/>
    <n v="19743.259999999998"/>
    <s v="Delivered"/>
    <m/>
    <s v="SO18161"/>
    <x v="10"/>
  </r>
  <r>
    <n v="1"/>
    <s v="SO18163"/>
    <s v="4500620284"/>
    <s v="Resolute Forest Products - Saint-Felicien"/>
    <d v="2025-11-03T17:15:55"/>
    <d v="2025-11-03T17:16:39"/>
    <d v="2025-11-05T00:00:00"/>
    <s v="Ian Trottier"/>
    <x v="0"/>
    <n v="1"/>
    <n v="7748.64"/>
    <n v="7748.64"/>
    <n v="7748.64"/>
    <n v="7379.65"/>
    <n v="368.99"/>
    <n v="7748.64"/>
    <s v="Delivered"/>
    <m/>
    <s v="SO18163"/>
    <x v="10"/>
  </r>
  <r>
    <n v="1"/>
    <s v="SO18164"/>
    <s v="OC00224"/>
    <s v="Dynapro Pumps México S de RL de CV"/>
    <d v="2025-11-03T17:32:46"/>
    <d v="2025-11-03T17:33:11"/>
    <d v="2025-11-06T00:00:00"/>
    <s v="Yannett Yeomans"/>
    <x v="1"/>
    <n v="0.71248196503825101"/>
    <n v="9447.2566749652851"/>
    <n v="0"/>
    <n v="6731"/>
    <n v="6731"/>
    <m/>
    <n v="6731"/>
    <s v="Delivered"/>
    <m/>
    <s v="SO18164"/>
    <x v="10"/>
  </r>
  <r>
    <n v="1"/>
    <s v="SO18165"/>
    <s v="607069"/>
    <s v="Sealtrac Inc."/>
    <d v="2025-11-04T10:26:24"/>
    <d v="2025-11-04T13:01:37"/>
    <d v="2025-11-04T00:00:00"/>
    <s v="Aleksandar Stankovic"/>
    <x v="0"/>
    <n v="1"/>
    <n v="485.63"/>
    <n v="0"/>
    <n v="344.8510591736798"/>
    <n v="429.76"/>
    <n v="55.87"/>
    <n v="485.63"/>
    <s v="Delivered"/>
    <m/>
    <s v="SO18165"/>
    <x v="10"/>
  </r>
  <r>
    <n v="1"/>
    <s v="SO18167"/>
    <s v="2100687350"/>
    <s v="Wajax Limited - Noranda"/>
    <d v="2025-11-04T12:25:02"/>
    <d v="2025-11-07T14:32:56"/>
    <m/>
    <s v="Wilka Nuñez"/>
    <x v="0"/>
    <n v="1"/>
    <n v="2758.72"/>
    <n v="0"/>
    <n v="1959.9224791008401"/>
    <n v="2627.35"/>
    <n v="131.37"/>
    <n v="2758.72"/>
    <s v="Processing"/>
    <m/>
    <s v="SO18167"/>
    <x v="10"/>
  </r>
  <r>
    <n v="1"/>
    <s v="SO18170"/>
    <s v="PO-008410"/>
    <s v="Sling-Choker Manufacturing - Timmins"/>
    <d v="2025-11-04T14:47:06"/>
    <d v="2025-11-04T14:56:22"/>
    <m/>
    <s v="Wilka Nuñez"/>
    <x v="0"/>
    <n v="1"/>
    <n v="2538.02"/>
    <n v="0"/>
    <n v="1802.2751584621681"/>
    <n v="2246.04"/>
    <n v="291.98"/>
    <n v="2538.02"/>
    <s v="Delivered"/>
    <m/>
    <s v="SO18170"/>
    <x v="10"/>
  </r>
  <r>
    <n v="1"/>
    <s v="SO18172"/>
    <s v="2100686594"/>
    <s v="Wajax Limited - Lachine"/>
    <d v="2025-11-04T18:55:47"/>
    <d v="2025-11-04T18:53:12"/>
    <d v="2025-11-11T00:00:00"/>
    <s v="Alexis Gil Lamadrid"/>
    <x v="0"/>
    <n v="1"/>
    <n v="995.31"/>
    <n v="0"/>
    <n v="706.78028067902562"/>
    <n v="947.91"/>
    <n v="47.4"/>
    <n v="995.31"/>
    <s v="Delivered"/>
    <m/>
    <s v="SO18172"/>
    <x v="10"/>
  </r>
  <r>
    <n v="0"/>
    <s v="SO18173"/>
    <s v="607071"/>
    <s v="Sealtrac Inc."/>
    <d v="2025-11-05T09:28:18"/>
    <d v="2025-11-11T16:51:21"/>
    <d v="2026-03-24T00:00:00"/>
    <s v="Ian Trottier"/>
    <x v="0"/>
    <n v="1"/>
    <n v="13850.32"/>
    <n v="0"/>
    <n v="9886.3790582363727"/>
    <n v="12256.92"/>
    <n v="1593.4"/>
    <n v="13850.32"/>
    <s v="Processing"/>
    <m/>
    <s v="SO18173"/>
    <x v="10"/>
  </r>
  <r>
    <n v="0"/>
    <s v="SO18175"/>
    <s v="3032084"/>
    <s v="Flowstar Industrial Inc"/>
    <d v="2025-11-05T13:27:52"/>
    <d v="2025-11-07T12:05:41"/>
    <m/>
    <s v="Wilka Nuñez"/>
    <x v="0"/>
    <n v="1"/>
    <n v="886.92"/>
    <n v="0"/>
    <n v="630.10905244610433"/>
    <n v="778"/>
    <n v="108.92"/>
    <n v="886.92"/>
    <s v="Processing"/>
    <m/>
    <s v="SO18175"/>
    <x v="10"/>
  </r>
  <r>
    <n v="2"/>
    <s v="SO18176"/>
    <s v="P370432"/>
    <s v="Covia Corp - Junction City"/>
    <d v="2025-11-05T13:47:49"/>
    <d v="2025-11-07T11:19:30"/>
    <d v="2025-11-25T00:00:00"/>
    <s v="Marlen Martinez"/>
    <x v="1"/>
    <n v="0.70878099083561219"/>
    <n v="5656.4863502806011"/>
    <n v="0"/>
    <n v="4009.21"/>
    <n v="4009.21"/>
    <m/>
    <n v="4009.21"/>
    <s v="Delivered"/>
    <m/>
    <s v="SO18176"/>
    <x v="10"/>
  </r>
  <r>
    <n v="1"/>
    <s v="SO18179"/>
    <s v="4500624028"/>
    <s v="Resolute Forest Products - Clermont"/>
    <d v="2025-11-05T17:40:28"/>
    <d v="2025-11-28T12:06:59"/>
    <d v="2025-12-19T00:00:00"/>
    <s v="Ian Trottier"/>
    <x v="0"/>
    <n v="1"/>
    <n v="1192.08"/>
    <n v="0"/>
    <n v="852.95743040706941"/>
    <n v="1135.32"/>
    <n v="56.76"/>
    <n v="1192.08"/>
    <s v="Delivered"/>
    <m/>
    <s v="SO18179"/>
    <x v="10"/>
  </r>
  <r>
    <n v="2"/>
    <s v="SO18180"/>
    <s v="815762"/>
    <s v="Diamond Equipment Group Inc"/>
    <d v="2025-11-05T18:00:54"/>
    <d v="2025-11-18T17:44:43"/>
    <d v="2025-11-25T00:00:00"/>
    <s v="Alexis Gil Lamadrid"/>
    <x v="0"/>
    <n v="1"/>
    <n v="34034.85"/>
    <n v="0"/>
    <n v="24316.767456277161"/>
    <n v="32414.15"/>
    <n v="1620.7"/>
    <n v="34034.85"/>
    <s v="Delivered"/>
    <m/>
    <s v="SO18180"/>
    <x v="10"/>
  </r>
  <r>
    <n v="1"/>
    <s v="SO18181"/>
    <s v="4501327269"/>
    <s v="Barrick Gold - Pueblo Viejo Dominicana Corporation"/>
    <d v="2025-11-06T08:14:40"/>
    <d v="2025-11-14T13:34:45"/>
    <d v="2025-11-17T00:00:00"/>
    <s v="Wilka Nuñez"/>
    <x v="1"/>
    <n v="0.71416191615311519"/>
    <n v="32327.13685484487"/>
    <n v="0"/>
    <n v="23086.81"/>
    <n v="23086.81"/>
    <m/>
    <n v="23086.81"/>
    <s v="Partially Delivered"/>
    <m/>
    <s v="SO18181"/>
    <x v="10"/>
  </r>
  <r>
    <n v="1"/>
    <s v="SO18184"/>
    <s v="3383"/>
    <s v="Les Pompes du St-Laurent Inc."/>
    <d v="2025-11-06T11:16:34"/>
    <d v="2025-11-06T16:21:55"/>
    <d v="2025-11-07T00:00:00"/>
    <s v="Ian Trottier"/>
    <x v="0"/>
    <n v="1"/>
    <n v="3554.67"/>
    <n v="3554.67"/>
    <n v="3554.67"/>
    <n v="3385.4"/>
    <n v="169.27"/>
    <n v="3554.67"/>
    <s v="Delivered"/>
    <m/>
    <s v="SO18184"/>
    <x v="10"/>
  </r>
  <r>
    <n v="1"/>
    <s v="SO18186"/>
    <s v="2377"/>
    <s v="FMI Products"/>
    <d v="2025-11-06T12:18:01"/>
    <d v="2025-11-11T13:54:19"/>
    <d v="2025-11-14T00:00:00"/>
    <s v="Aleksandar Stankovic"/>
    <x v="0"/>
    <n v="1"/>
    <n v="1036.67"/>
    <n v="0"/>
    <n v="739.97659103196906"/>
    <n v="987.3"/>
    <n v="49.37"/>
    <n v="1036.67"/>
    <s v="Delivered"/>
    <m/>
    <s v="SO18186"/>
    <x v="10"/>
  </r>
  <r>
    <n v="1"/>
    <s v="SO18187"/>
    <s v="607072"/>
    <s v="Sealtrac Inc."/>
    <d v="2025-11-06T12:31:58"/>
    <d v="2025-11-06T12:32:04"/>
    <d v="2025-11-06T00:00:00"/>
    <s v="Ian Trottier"/>
    <x v="0"/>
    <n v="1"/>
    <n v="307.63"/>
    <n v="307.63"/>
    <n v="307.63"/>
    <n v="292.98"/>
    <n v="14.65"/>
    <n v="307.63"/>
    <s v="Delivered"/>
    <m/>
    <s v="SO18187"/>
    <x v="10"/>
  </r>
  <r>
    <n v="1"/>
    <s v="SO18188"/>
    <s v="PO-0021256"/>
    <s v="MAB Equipment Company Inc."/>
    <d v="2025-11-06T12:43:11"/>
    <d v="2025-11-19T10:08:18"/>
    <d v="2025-11-21T00:00:00"/>
    <s v="Wilka Nuñez"/>
    <x v="1"/>
    <n v="0.71277700095248819"/>
    <n v="6027.2988525991568"/>
    <n v="0"/>
    <n v="4296.12"/>
    <n v="4296.12"/>
    <m/>
    <n v="4296.12"/>
    <s v="Delivered"/>
    <m/>
    <s v="SO18188"/>
    <x v="10"/>
  </r>
  <r>
    <n v="1"/>
    <s v="SO18189"/>
    <s v="1064"/>
    <s v="Mill-Right Mine Services Inc."/>
    <d v="2025-11-06T12:43:39"/>
    <d v="2025-11-10T09:10:02"/>
    <d v="2025-11-11T00:00:00"/>
    <s v="Amanda Qiao"/>
    <x v="0"/>
    <n v="1"/>
    <n v="1642.24"/>
    <n v="0"/>
    <n v="1170.459123806987"/>
    <n v="1642.24"/>
    <m/>
    <n v="1642.24"/>
    <s v="Delivered"/>
    <m/>
    <s v="SO18189"/>
    <x v="10"/>
  </r>
  <r>
    <n v="1"/>
    <s v="SO18191"/>
    <s v="2258683"/>
    <s v="Zijin Mining - Rosebel Goldmines N.V."/>
    <d v="2025-11-07T09:14:11"/>
    <d v="2025-11-10T16:20:42"/>
    <d v="2025-11-24T00:00:00"/>
    <s v="Amanda Qiao"/>
    <x v="1"/>
    <n v="0.71202751048443413"/>
    <n v="150.38744770851221"/>
    <n v="0"/>
    <n v="107.08"/>
    <n v="107.08"/>
    <m/>
    <n v="107.08"/>
    <s v="Delivered"/>
    <m/>
    <s v="SO18191"/>
    <x v="10"/>
  </r>
  <r>
    <n v="0"/>
    <s v="SO18192"/>
    <s v="4500622668"/>
    <s v="Resolute Forest Products - Saint-Felicien"/>
    <d v="2025-11-07T12:25:54"/>
    <d v="2025-11-18T12:49:59"/>
    <d v="2026-03-24T00:00:00"/>
    <s v="Ian Trottier"/>
    <x v="0"/>
    <n v="1"/>
    <n v="11983.95"/>
    <n v="0"/>
    <n v="8562.1333826255341"/>
    <n v="11413.29"/>
    <n v="570.66"/>
    <n v="11983.95"/>
    <s v="Processing"/>
    <m/>
    <s v="SO18192"/>
    <x v="10"/>
  </r>
  <r>
    <n v="0"/>
    <s v="SO18198"/>
    <s v="M25-1321-1"/>
    <s v="Maham LLC"/>
    <d v="2025-11-10T11:25:38"/>
    <d v="2025-12-10T10:28:10"/>
    <d v="2026-04-08T00:00:00"/>
    <s v="Ian Trottier"/>
    <x v="1"/>
    <n v="0.72282535844006246"/>
    <n v="3857.2249402221159"/>
    <n v="0"/>
    <n v="2788.1"/>
    <n v="2788.1"/>
    <m/>
    <n v="2788.1"/>
    <s v="Processing"/>
    <m/>
    <s v="SO18198"/>
    <x v="10"/>
  </r>
  <r>
    <n v="1"/>
    <s v="SO18199"/>
    <s v="607073"/>
    <s v="Sealtrac Inc."/>
    <d v="2025-11-10T12:03:46"/>
    <d v="2025-11-10T12:03:49"/>
    <d v="2025-11-10T00:00:00"/>
    <s v="Ian Trottier"/>
    <x v="0"/>
    <n v="1"/>
    <n v="236.37"/>
    <n v="0"/>
    <n v="168.46588993950789"/>
    <n v="209.18"/>
    <n v="27.19"/>
    <n v="236.37"/>
    <s v="Delivered"/>
    <m/>
    <s v="SO18199"/>
    <x v="10"/>
  </r>
  <r>
    <n v="1"/>
    <s v="SO18200"/>
    <s v="P370544"/>
    <s v="Covia Corp - Junction City"/>
    <d v="2025-11-10T13:11:18"/>
    <d v="2025-11-10T13:11:33"/>
    <d v="2025-11-17T00:00:00"/>
    <s v="Marlen Martinez"/>
    <x v="1"/>
    <n v="0.71202751048443413"/>
    <n v="547.70355675537553"/>
    <n v="0"/>
    <n v="389.98"/>
    <n v="389.98"/>
    <m/>
    <n v="389.98"/>
    <s v="Delivered"/>
    <m/>
    <s v="SO18200"/>
    <x v="10"/>
  </r>
  <r>
    <n v="2"/>
    <s v="SO18204"/>
    <s v="815748"/>
    <s v="Diamond Equipment Group Inc"/>
    <d v="2025-11-10T17:21:35"/>
    <d v="2025-11-18T13:48:39"/>
    <d v="2025-11-25T00:00:00"/>
    <s v="Alexis Gil Lamadrid"/>
    <x v="0"/>
    <n v="1"/>
    <n v="6453.87"/>
    <n v="0"/>
    <n v="4611.0752943833586"/>
    <n v="6146.54"/>
    <n v="307.33"/>
    <n v="6453.87"/>
    <s v="Delivered"/>
    <m/>
    <s v="SO18204"/>
    <x v="10"/>
  </r>
  <r>
    <n v="1"/>
    <s v="SO18206"/>
    <s v="2200115002"/>
    <s v="Wajax Limited - Lachine"/>
    <d v="2025-11-10T17:53:04"/>
    <d v="2025-11-10T18:18:43"/>
    <d v="2025-11-11T00:00:00"/>
    <s v="Ian Trottier"/>
    <x v="0"/>
    <n v="1"/>
    <n v="3099.83"/>
    <n v="0"/>
    <n v="2209.3142937394118"/>
    <n v="2952.22"/>
    <n v="147.61000000000001"/>
    <n v="3099.83"/>
    <s v="Delivered"/>
    <m/>
    <s v="SO18206"/>
    <x v="10"/>
  </r>
  <r>
    <n v="1"/>
    <s v="SO18209"/>
    <s v="326286"/>
    <s v="Gibraltar Mine (Canada)"/>
    <d v="2025-11-11T12:56:16"/>
    <d v="2025-11-11T12:52:15"/>
    <d v="2025-11-13T00:00:00"/>
    <s v="Ian Trottier"/>
    <x v="0"/>
    <n v="1"/>
    <n v="2254.39"/>
    <n v="0"/>
    <n v="1609.186941897191"/>
    <n v="2147.04"/>
    <n v="107.35"/>
    <n v="2254.39"/>
    <s v="Delivered"/>
    <m/>
    <s v="SO18209"/>
    <x v="10"/>
  </r>
  <r>
    <n v="1"/>
    <s v="SO18210"/>
    <s v="607075"/>
    <s v="Sealtrac Inc."/>
    <d v="2025-11-11T13:14:22"/>
    <d v="2025-11-11T13:14:24"/>
    <d v="2025-11-12T00:00:00"/>
    <s v="Ian Trottier"/>
    <x v="0"/>
    <n v="1"/>
    <n v="412.89"/>
    <n v="0"/>
    <n v="294.72149736289242"/>
    <n v="365.39"/>
    <n v="47.5"/>
    <n v="412.89"/>
    <s v="Delivered"/>
    <m/>
    <s v="SO18210"/>
    <x v="10"/>
  </r>
  <r>
    <n v="1"/>
    <s v="SO18211"/>
    <s v="4500621522"/>
    <s v="Resolute Forest Products - Saint-Felicien"/>
    <d v="2025-11-11T13:29:42"/>
    <d v="2025-11-11T17:37:12"/>
    <d v="2025-11-12T00:00:00"/>
    <s v="Ian Trottier"/>
    <x v="0"/>
    <n v="1"/>
    <n v="365.17"/>
    <n v="0"/>
    <n v="260.65889024197111"/>
    <n v="347.78"/>
    <n v="17.39"/>
    <n v="365.17"/>
    <s v="Delivered"/>
    <m/>
    <s v="SO18211"/>
    <x v="10"/>
  </r>
  <r>
    <n v="1"/>
    <s v="SO18212"/>
    <s v="Sump Pump Repair # 1"/>
    <s v="Dynapro Pumps"/>
    <d v="2025-11-11T15:34:32"/>
    <d v="2025-11-11T17:33:49"/>
    <d v="2025-11-17T00:00:00"/>
    <s v="Amanda Qiao"/>
    <x v="1"/>
    <n v="0.71272111494482349"/>
    <n v="5205.7107923443982"/>
    <n v="0"/>
    <n v="3710.22"/>
    <n v="3710.22"/>
    <m/>
    <n v="3710.22"/>
    <s v="To Deliver"/>
    <m/>
    <s v="SO18212"/>
    <x v="10"/>
  </r>
  <r>
    <n v="1"/>
    <s v="SO18213"/>
    <s v="Sump Pump Repair # 2"/>
    <s v="Dynapro Pumps"/>
    <d v="2025-11-11T16:52:03"/>
    <d v="2025-11-11T17:33:21"/>
    <d v="2025-11-17T00:00:00"/>
    <s v="Amanda Qiao"/>
    <x v="1"/>
    <n v="0.71272111494482349"/>
    <n v="4373.8286050937786"/>
    <n v="0"/>
    <n v="3117.32"/>
    <n v="3117.32"/>
    <m/>
    <n v="3117.32"/>
    <s v="Delivered"/>
    <m/>
    <s v="SO18213"/>
    <x v="10"/>
  </r>
  <r>
    <n v="1"/>
    <s v="SO18214"/>
    <s v="326767"/>
    <s v="Gibraltar Mine (Canada)"/>
    <d v="2025-11-12T10:45:49"/>
    <d v="2025-11-25T12:04:07"/>
    <d v="2025-11-26T00:00:00"/>
    <s v="Ian Trottier"/>
    <x v="0"/>
    <n v="1"/>
    <n v="973.46"/>
    <n v="0"/>
    <n v="689.5285331443647"/>
    <n v="927.1"/>
    <n v="46.36"/>
    <n v="973.46"/>
    <s v="Delivered"/>
    <m/>
    <s v="SO18214"/>
    <x v="10"/>
  </r>
  <r>
    <n v="1"/>
    <s v="SO18221"/>
    <s v="4500621924"/>
    <s v="Resolute Forest Products - Clermont"/>
    <d v="2025-11-12T15:41:46"/>
    <d v="2025-11-14T12:52:17"/>
    <d v="2025-11-17T00:00:00"/>
    <s v="Ian Trottier"/>
    <x v="0"/>
    <n v="1"/>
    <n v="365.56"/>
    <n v="0"/>
    <n v="260.66302427220307"/>
    <n v="348.15"/>
    <n v="17.41"/>
    <n v="365.56"/>
    <s v="Delivered"/>
    <m/>
    <s v="SO18221"/>
    <x v="10"/>
  </r>
  <r>
    <n v="1"/>
    <s v="SO18222"/>
    <s v="C003679489"/>
    <s v="Glencore Canada Corporation - Rouyn-Noranda"/>
    <d v="2025-11-12T17:18:09"/>
    <d v="2025-11-12T17:27:31"/>
    <d v="2025-11-26T00:00:00"/>
    <s v="Amanda Qiao"/>
    <x v="0"/>
    <n v="1"/>
    <n v="767.21"/>
    <n v="0"/>
    <n v="547.91216369183155"/>
    <n v="730.68"/>
    <n v="36.53"/>
    <n v="767.21"/>
    <s v="Delivered"/>
    <m/>
    <s v="SO18222"/>
    <x v="10"/>
  </r>
  <r>
    <n v="1"/>
    <s v="SO18223"/>
    <s v="C003679975"/>
    <s v="Glencore Canada Corporation - Rouyn-Noranda"/>
    <d v="2025-11-12T17:25:33"/>
    <d v="2025-11-12T17:26:20"/>
    <d v="2025-11-13T00:00:00"/>
    <s v="Ian Trottier"/>
    <x v="0"/>
    <n v="1"/>
    <n v="3010.94"/>
    <n v="0"/>
    <n v="2150.2986798220609"/>
    <n v="2867.55"/>
    <n v="143.38999999999999"/>
    <n v="3010.94"/>
    <s v="Delivered"/>
    <m/>
    <s v="SO18223"/>
    <x v="10"/>
  </r>
  <r>
    <n v="1"/>
    <s v="SO18224"/>
    <s v="C003679551"/>
    <s v="Glencore Canada Corporation - Rouyn-Noranda"/>
    <d v="2025-11-12T17:41:09"/>
    <d v="2025-11-12T17:41:11"/>
    <d v="2025-11-14T00:00:00"/>
    <s v="Amanda Qiao"/>
    <x v="0"/>
    <n v="1"/>
    <n v="115.14"/>
    <n v="0"/>
    <n v="82.228603025869688"/>
    <n v="109.66"/>
    <n v="5.48"/>
    <n v="115.14"/>
    <s v="Delivered"/>
    <m/>
    <s v="SO18224"/>
    <x v="10"/>
  </r>
  <r>
    <n v="1"/>
    <s v="SO18225"/>
    <s v="C003680502"/>
    <s v="Glencore Canada Corporation - Rouyn-Noranda"/>
    <d v="2025-11-12T17:52:44"/>
    <d v="2025-11-12T17:52:46"/>
    <d v="2025-11-13T00:00:00"/>
    <s v="Ian Trottier"/>
    <x v="0"/>
    <n v="1"/>
    <n v="757.9"/>
    <n v="0"/>
    <n v="541.26331625244597"/>
    <n v="721.12"/>
    <n v="36.78"/>
    <n v="757.9"/>
    <s v="Delivered"/>
    <m/>
    <s v="SO18225"/>
    <x v="10"/>
  </r>
  <r>
    <n v="1"/>
    <s v="SO18226"/>
    <s v="2371"/>
    <s v="FMI Products"/>
    <d v="2025-11-13T11:19:27"/>
    <d v="2025-12-02T11:57:39"/>
    <d v="2025-11-13T00:00:00"/>
    <s v="Aleksandar Stankovic"/>
    <x v="0"/>
    <n v="1"/>
    <n v="1095.1500000000001"/>
    <n v="0"/>
    <n v="782.79417672545151"/>
    <n v="1043"/>
    <n v="52.15"/>
    <n v="1095.1500000000001"/>
    <s v="Delivered"/>
    <m/>
    <s v="SO18226"/>
    <x v="10"/>
  </r>
  <r>
    <n v="1"/>
    <s v="SO18227"/>
    <s v="PO-043662"/>
    <s v="Southeast Pump Specialist, Inc."/>
    <d v="2025-11-13T14:51:28"/>
    <d v="2025-11-13T15:04:02"/>
    <m/>
    <s v="Wilka Nuñez"/>
    <x v="1"/>
    <n v="0.71380149037974383"/>
    <n v="4373.1346068489283"/>
    <n v="0"/>
    <n v="3121.55"/>
    <n v="3121.55"/>
    <m/>
    <n v="3121.55"/>
    <s v="Delivered"/>
    <m/>
    <s v="SO18227"/>
    <x v="10"/>
  </r>
  <r>
    <n v="1"/>
    <s v="SO18228"/>
    <s v="2370"/>
    <s v="FMI Products"/>
    <d v="2025-11-13T17:10:05"/>
    <d v="2025-11-18T11:54:23"/>
    <d v="2025-11-19T00:00:00"/>
    <s v="Ian Trottier"/>
    <x v="0"/>
    <n v="1"/>
    <n v="922.89"/>
    <n v="0"/>
    <n v="659.37418609817951"/>
    <n v="878.94"/>
    <n v="43.95"/>
    <n v="922.89"/>
    <s v="Delivered"/>
    <m/>
    <s v="SO18228"/>
    <x v="10"/>
  </r>
  <r>
    <n v="1"/>
    <s v="SO18230"/>
    <s v="4500622134"/>
    <s v="Resolute Forest Products - Saint-Felicien"/>
    <d v="2025-11-13T17:51:00"/>
    <d v="2025-11-13T17:53:29"/>
    <d v="2025-11-14T00:00:00"/>
    <s v="Ian Trottier"/>
    <x v="0"/>
    <n v="1"/>
    <n v="310.20999999999998"/>
    <n v="0"/>
    <n v="221.39505595035291"/>
    <n v="295.44"/>
    <n v="14.77"/>
    <n v="310.20999999999998"/>
    <s v="Delivered"/>
    <m/>
    <s v="SO18230"/>
    <x v="10"/>
  </r>
  <r>
    <n v="0"/>
    <s v="SO18231"/>
    <s v="TEST BY YANNETT"/>
    <s v="Dynapro Pumps"/>
    <d v="2025-11-13T19:30:16"/>
    <d v="2025-11-14T15:44:16"/>
    <d v="2025-11-17T00:00:00"/>
    <s v="Amanda Qiao"/>
    <x v="1"/>
    <n v="0.71416191615311519"/>
    <n v="4365.0045311736449"/>
    <n v="0"/>
    <n v="3117.32"/>
    <n v="3117.32"/>
    <m/>
    <n v="3117.32"/>
    <s v="Nothing to Deliver"/>
    <m/>
    <s v="SO18231"/>
    <x v="10"/>
  </r>
  <r>
    <n v="1"/>
    <s v="SO18232"/>
    <s v="Sump Pump repair 6&quot;"/>
    <s v="Dynapro Pumps"/>
    <d v="2025-11-14T08:11:00"/>
    <d v="2025-11-14T16:07:31"/>
    <d v="2025-11-14T00:00:00"/>
    <s v="Amanda Qiao"/>
    <x v="1"/>
    <n v="0.71416191615311519"/>
    <n v="4904.0979654382863"/>
    <n v="0"/>
    <n v="3502.32"/>
    <n v="3502.32"/>
    <m/>
    <n v="3502.32"/>
    <s v="Processing"/>
    <m/>
    <s v="SO18232"/>
    <x v="10"/>
  </r>
  <r>
    <n v="1"/>
    <s v="SO18233"/>
    <s v="P11252964"/>
    <s v="Industrial Pump Repair Canada"/>
    <d v="2025-11-14T09:31:29"/>
    <d v="2025-11-17T10:07:27"/>
    <d v="2025-12-05T00:00:00"/>
    <s v="Aleksandar Stankovic"/>
    <x v="0"/>
    <n v="1"/>
    <n v="216.96"/>
    <n v="0"/>
    <n v="154.64409812665181"/>
    <n v="192"/>
    <n v="24.96"/>
    <n v="216.96"/>
    <s v="Delivered"/>
    <m/>
    <s v="SO18233"/>
    <x v="10"/>
  </r>
  <r>
    <n v="1"/>
    <s v="SO18238"/>
    <s v="4500622393"/>
    <s v="Resolute Forest Products - Clermont"/>
    <d v="2025-11-14T14:54:30"/>
    <d v="2025-11-17T17:18:14"/>
    <d v="2025-11-18T00:00:00"/>
    <s v="Ian Trottier"/>
    <x v="0"/>
    <n v="1"/>
    <n v="391.77"/>
    <n v="0"/>
    <n v="279.24464566315629"/>
    <n v="373.11"/>
    <n v="18.66"/>
    <n v="391.77"/>
    <s v="Delivered"/>
    <m/>
    <s v="SO18238"/>
    <x v="10"/>
  </r>
  <r>
    <n v="0"/>
    <s v="SO18240"/>
    <s v="1067"/>
    <s v="Mill-Right Mine Services Inc."/>
    <d v="2025-11-17T09:14:20"/>
    <d v="2025-12-17T17:06:23"/>
    <d v="2026-04-01T00:00:00"/>
    <s v="Amanda Qiao"/>
    <x v="1"/>
    <n v="0.72641002219915185"/>
    <n v="3661.843750375373"/>
    <n v="0"/>
    <n v="2660"/>
    <n v="2660"/>
    <m/>
    <n v="2660"/>
    <s v="Processing"/>
    <m/>
    <s v="SO18240"/>
    <x v="10"/>
  </r>
  <r>
    <n v="0"/>
    <s v="SO18241"/>
    <s v="8035"/>
    <s v="Hyperflo"/>
    <d v="2025-11-17T11:10:52"/>
    <d v="2025-11-20T11:31:14"/>
    <d v="2026-01-15T00:00:00"/>
    <s v="Ian Trottier"/>
    <x v="0"/>
    <n v="1"/>
    <n v="9966.4699999999993"/>
    <n v="0"/>
    <n v="7071.650847930744"/>
    <n v="9491.8799999999992"/>
    <n v="474.59"/>
    <n v="9966.4699999999993"/>
    <s v="Delivered"/>
    <m/>
    <s v="SO18241"/>
    <x v="10"/>
  </r>
  <r>
    <n v="0"/>
    <s v="SO18242"/>
    <s v="4500624264"/>
    <s v="Resolute Forest Products - Saint-Felicien"/>
    <d v="2025-11-17T14:06:39"/>
    <d v="2025-11-28T11:57:34"/>
    <d v="2026-02-20T00:00:00"/>
    <s v="Ian Trottier"/>
    <x v="0"/>
    <n v="1"/>
    <n v="5097.12"/>
    <n v="0"/>
    <n v="3647.092793836388"/>
    <n v="4854.3999999999996"/>
    <n v="242.72"/>
    <n v="5097.12"/>
    <s v="Processing"/>
    <m/>
    <s v="SO18242"/>
    <x v="10"/>
  </r>
  <r>
    <n v="0"/>
    <s v="SO18243"/>
    <s v="2259803"/>
    <s v="Zijin Mining - Rosebel Goldmines N.V., Rosebel Gold Mines N.V."/>
    <d v="2025-11-17T15:39:53"/>
    <d v="2025-12-05T13:59:31"/>
    <d v="2026-03-05T00:00:00"/>
    <s v="Amanda Qiao"/>
    <x v="1"/>
    <n v="0.71669614463588371"/>
    <n v="5407.0334115844707"/>
    <n v="0"/>
    <n v="3875.2"/>
    <n v="3875.2"/>
    <m/>
    <n v="3875.2"/>
    <s v="Processing"/>
    <m/>
    <s v="SO18243"/>
    <x v="10"/>
  </r>
  <r>
    <n v="0"/>
    <s v="SO18245"/>
    <s v="MB21-00194995"/>
    <s v="Motion Industries Inc. (Canada) - Winnipeg"/>
    <d v="2025-11-17T16:03:22"/>
    <d v="2025-11-25T13:37:07"/>
    <d v="2026-03-17T00:00:00"/>
    <s v="Wilka Nuñez"/>
    <x v="0"/>
    <n v="1"/>
    <n v="3677.44"/>
    <n v="0"/>
    <n v="2604.8320515752189"/>
    <n v="3502.32"/>
    <n v="175.12"/>
    <n v="3677.44"/>
    <s v="Processing"/>
    <m/>
    <s v="SO18245"/>
    <x v="10"/>
  </r>
  <r>
    <n v="1"/>
    <s v="SO18247"/>
    <s v="4560073057"/>
    <s v="Alamos Gold Inc"/>
    <d v="2025-11-17T17:30:42"/>
    <d v="2025-11-18T13:45:10"/>
    <d v="2025-11-28T00:00:00"/>
    <s v="Ian Trottier"/>
    <x v="0"/>
    <n v="1"/>
    <n v="2662.01"/>
    <n v="0"/>
    <n v="1901.917538531369"/>
    <n v="2355.7600000000002"/>
    <n v="306.25"/>
    <n v="2662.01"/>
    <s v="Delivered"/>
    <m/>
    <s v="SO18247"/>
    <x v="10"/>
  </r>
  <r>
    <n v="1"/>
    <s v="SO18249"/>
    <s v="PO14217"/>
    <s v="Manufacture Sling-Choker (Val-d’Or) Ltée, Manufacture Sling-Choker (Val-d’Or) Ltée"/>
    <d v="2025-11-18T09:27:02"/>
    <d v="2025-11-20T15:07:13"/>
    <d v="2025-11-27T00:00:00"/>
    <s v="Aleksandar Stankovic"/>
    <x v="0"/>
    <n v="1"/>
    <n v="407.34"/>
    <n v="0"/>
    <n v="289.02572890864161"/>
    <n v="387.94"/>
    <n v="19.399999999999999"/>
    <n v="407.34"/>
    <s v="Delivered"/>
    <m/>
    <s v="SO18249"/>
    <x v="10"/>
  </r>
  <r>
    <n v="1"/>
    <s v="SO18250"/>
    <s v="P371254"/>
    <s v="Covia Corp - Junction City"/>
    <d v="2025-11-18T09:55:32"/>
    <d v="2025-11-26T12:26:36"/>
    <d v="2025-11-21T00:00:00"/>
    <s v="Aleksandar Stankovic"/>
    <x v="1"/>
    <n v="0.70860938895411174"/>
    <n v="451.58871020931758"/>
    <n v="0"/>
    <n v="320"/>
    <n v="320"/>
    <m/>
    <n v="320"/>
    <s v="Delivered"/>
    <m/>
    <s v="SO18250"/>
    <x v="10"/>
  </r>
  <r>
    <n v="1"/>
    <s v="SO18255"/>
    <s v="P371718"/>
    <s v="Covia Corp - Guion"/>
    <d v="2025-11-18T10:35:57"/>
    <d v="2025-12-09T09:12:17"/>
    <d v="2025-12-12T00:00:00"/>
    <s v="Aleksandar Stankovic"/>
    <x v="1"/>
    <n v="0.72376393522263116"/>
    <n v="4181.3219099803691"/>
    <n v="0"/>
    <n v="3026.29"/>
    <n v="3026.29"/>
    <m/>
    <n v="3026.29"/>
    <s v="Delivered"/>
    <m/>
    <s v="SO18255"/>
    <x v="10"/>
  </r>
  <r>
    <n v="0"/>
    <s v="SO18259"/>
    <s v="4500623851"/>
    <s v="Resolute Forest Products - Dolbeau"/>
    <d v="2025-11-18T14:54:39"/>
    <d v="2025-11-25T18:01:55"/>
    <d v="2026-03-03T00:00:00"/>
    <s v="Ian Trottier"/>
    <x v="0"/>
    <n v="1"/>
    <n v="21148.98"/>
    <n v="0"/>
    <n v="14980.40510847853"/>
    <n v="20141.89"/>
    <n v="1007.09"/>
    <n v="21148.98"/>
    <s v="To Deliver"/>
    <m/>
    <s v="SO18259"/>
    <x v="10"/>
  </r>
  <r>
    <n v="1"/>
    <s v="SO18260"/>
    <s v="Warranty Replacment"/>
    <s v="Covia Corp - Junction City"/>
    <d v="2025-11-18T15:29:39"/>
    <d v="2025-11-18T15:29:58"/>
    <d v="2025-11-21T00:00:00"/>
    <s v="Marlen Martinez"/>
    <x v="1"/>
    <n v="0.7129261885474989"/>
    <n v="0"/>
    <n v="0"/>
    <n v="0"/>
    <m/>
    <m/>
    <m/>
    <s v="Delivered"/>
    <m/>
    <s v="SO18260"/>
    <x v="10"/>
  </r>
  <r>
    <n v="0"/>
    <s v="SO18262"/>
    <s v="326566"/>
    <s v="Gibraltar Mine (Canada)"/>
    <d v="2025-11-18T17:58:55"/>
    <d v="2025-11-18T17:59:05"/>
    <d v="2026-03-10T00:00:00"/>
    <s v="Ian Trottier"/>
    <x v="0"/>
    <n v="1"/>
    <n v="1470"/>
    <n v="0"/>
    <n v="1050.2660702405749"/>
    <n v="1400"/>
    <n v="70"/>
    <n v="1470"/>
    <s v="Processing"/>
    <m/>
    <s v="SO18262"/>
    <x v="10"/>
  </r>
  <r>
    <n v="1"/>
    <s v="SO18264"/>
    <s v="6500024345"/>
    <s v="Wesdome Gold Mines Ltd - Eagle River Mine"/>
    <d v="2025-11-19T09:38:15"/>
    <d v="2025-11-25T17:51:09"/>
    <d v="2026-03-17T00:00:00"/>
    <s v="Ian Trottier"/>
    <x v="0"/>
    <n v="1"/>
    <n v="33805.22"/>
    <n v="0"/>
    <n v="23945.168532063512"/>
    <n v="29916.12"/>
    <n v="3889.1"/>
    <n v="33805.22"/>
    <s v="Processing"/>
    <m/>
    <s v="SO18264"/>
    <x v="10"/>
  </r>
  <r>
    <n v="2"/>
    <s v="SO18265"/>
    <s v="PO-008449"/>
    <s v="Sling-Choker Manufacturing - Timmins"/>
    <d v="2025-11-19T09:39:51"/>
    <d v="2025-11-21T15:48:47"/>
    <m/>
    <s v="Wilka Nuñez"/>
    <x v="0"/>
    <n v="1"/>
    <n v="3971.61"/>
    <n v="3971.61"/>
    <n v="3971.61"/>
    <n v="3514.7"/>
    <n v="456.91"/>
    <n v="3971.61"/>
    <s v="Delivered"/>
    <m/>
    <s v="SO18265"/>
    <x v="10"/>
  </r>
  <r>
    <n v="0"/>
    <s v="SO18267"/>
    <s v="PO 607078"/>
    <s v="Sealtrac Inc."/>
    <d v="2025-11-19T16:43:38"/>
    <d v="2025-11-26T14:17:25"/>
    <d v="2026-01-14T00:00:00"/>
    <s v="Leriel Reyes"/>
    <x v="0"/>
    <n v="1"/>
    <n v="6371.36"/>
    <n v="0"/>
    <n v="4534.3424628201174"/>
    <n v="5638.37"/>
    <n v="732.99"/>
    <n v="6371.36"/>
    <s v="Processing"/>
    <m/>
    <s v="SO18267"/>
    <x v="10"/>
  </r>
  <r>
    <n v="1"/>
    <s v="SO18270"/>
    <s v="OC00229"/>
    <s v="Dynapro Pumps México S de RL de CV"/>
    <d v="2025-11-19T19:22:48"/>
    <d v="2025-11-19T19:22:05"/>
    <d v="2025-11-19T00:00:00"/>
    <s v="Yannett Yeomans"/>
    <x v="1"/>
    <n v="0.71277700095248819"/>
    <n v="310.0548975411333"/>
    <n v="0"/>
    <n v="221"/>
    <n v="221"/>
    <m/>
    <n v="221"/>
    <s v="Delivered"/>
    <m/>
    <s v="SO18270"/>
    <x v="10"/>
  </r>
  <r>
    <n v="1"/>
    <s v="SO18271"/>
    <s v="SUD1006067"/>
    <s v="Process and Steam Specialties"/>
    <d v="2025-11-20T10:09:57"/>
    <d v="2025-11-25T12:51:57"/>
    <d v="2026-01-27T00:00:00"/>
    <s v="Wilka Nuñez"/>
    <x v="0"/>
    <n v="1"/>
    <n v="403.14"/>
    <n v="0"/>
    <n v="285.55516698356303"/>
    <n v="356.76"/>
    <n v="46.38"/>
    <n v="403.14"/>
    <s v="Delivered"/>
    <m/>
    <s v="SO18271"/>
    <x v="10"/>
  </r>
  <r>
    <n v="1"/>
    <s v="SO18272"/>
    <s v="4380 Order switched from Qty 3 to 1 as per Bobby."/>
    <s v="Middle Georgia Fluid Sealing LLC"/>
    <d v="2025-11-20T10:45:43"/>
    <d v="2025-11-20T12:03:21"/>
    <d v="2025-12-02T00:00:00"/>
    <s v="Ian Trottier"/>
    <x v="1"/>
    <n v="0.71446671444937049"/>
    <n v="1804.8286560050481"/>
    <n v="0"/>
    <n v="1289.49"/>
    <n v="1289.49"/>
    <m/>
    <n v="1289.49"/>
    <s v="Processing"/>
    <m/>
    <s v="SO18272"/>
    <x v="10"/>
  </r>
  <r>
    <n v="1"/>
    <s v="SO18274"/>
    <s v="PO-0021326"/>
    <s v="MAB Equipment Company Inc."/>
    <d v="2025-11-20T12:21:27"/>
    <d v="2025-12-05T13:30:22"/>
    <d v="2025-12-12T00:00:00"/>
    <s v="Alexis Gil Lamadrid"/>
    <x v="1"/>
    <n v="0.71669614463588371"/>
    <n v="2544.8441625517871"/>
    <n v="0"/>
    <n v="1823.88"/>
    <n v="1823.88"/>
    <m/>
    <n v="1823.88"/>
    <s v="Delivered"/>
    <m/>
    <s v="SO18274"/>
    <x v="10"/>
  </r>
  <r>
    <n v="0"/>
    <s v="SO18275"/>
    <s v="1035349"/>
    <s v="Thunder Bay Pulp and Paper Inc"/>
    <d v="2025-11-20T12:28:14"/>
    <d v="2025-11-20T16:30:37"/>
    <d v="2026-02-19T00:00:00"/>
    <s v="Ian Trottier"/>
    <x v="0"/>
    <n v="1"/>
    <n v="5869.69"/>
    <n v="0"/>
    <n v="4164.8044157651211"/>
    <n v="5194.42"/>
    <n v="675.27"/>
    <n v="5869.69"/>
    <s v="Processing"/>
    <m/>
    <s v="SO18275"/>
    <x v="10"/>
  </r>
  <r>
    <n v="1"/>
    <s v="SO18276"/>
    <s v="4512534698"/>
    <s v="PT Vale Indonesia Tbk."/>
    <d v="2025-11-20T12:55:53"/>
    <d v="2025-11-20T12:56:00"/>
    <d v="2026-01-20T00:00:00"/>
    <s v="Ian Trottier"/>
    <x v="1"/>
    <n v="0.71446671444937049"/>
    <n v="1111.318391664928"/>
    <n v="0"/>
    <n v="794"/>
    <n v="794"/>
    <m/>
    <n v="794"/>
    <s v="Delivered"/>
    <m/>
    <s v="SO18276"/>
    <x v="10"/>
  </r>
  <r>
    <n v="1"/>
    <s v="SO18280"/>
    <s v="PO-40-1019953"/>
    <s v="Canadian Bearings Ltd."/>
    <d v="2025-11-20T14:53:32"/>
    <d v="2025-12-12T14:37:08"/>
    <d v="2025-12-17T00:00:00"/>
    <s v="Aleksandar Stankovic"/>
    <x v="0"/>
    <n v="1"/>
    <n v="2143.0500000000002"/>
    <n v="0"/>
    <n v="1554.553373287768"/>
    <n v="2041"/>
    <n v="102.05"/>
    <n v="2143.0500000000002"/>
    <s v="Delivered"/>
    <m/>
    <s v="SO18280"/>
    <x v="10"/>
  </r>
  <r>
    <n v="1"/>
    <s v="SO18281"/>
    <s v="66821"/>
    <s v="Harvey Bearings, Harvey Bearings"/>
    <d v="2025-11-20T15:05:50"/>
    <d v="2025-11-24T11:37:15"/>
    <d v="2025-12-01T00:00:00"/>
    <s v="Alexis Gil Lamadrid"/>
    <x v="0"/>
    <n v="1"/>
    <n v="792.08"/>
    <n v="0"/>
    <n v="561.27532480277284"/>
    <n v="754.36"/>
    <n v="37.72"/>
    <n v="792.08"/>
    <s v="Delivered"/>
    <m/>
    <s v="SO18281"/>
    <x v="10"/>
  </r>
  <r>
    <n v="1"/>
    <s v="SO18285"/>
    <s v="C003711361"/>
    <s v="Glencore Canada Corporation - Rouyn-Noranda"/>
    <d v="2025-11-21T09:47:57"/>
    <d v="2025-11-21T09:53:18"/>
    <d v="2025-12-12T00:00:00"/>
    <s v="Ian Trottier"/>
    <x v="0"/>
    <n v="1"/>
    <n v="834.4"/>
    <n v="834.4"/>
    <n v="834.4"/>
    <n v="798.91"/>
    <n v="35.49"/>
    <n v="834.4"/>
    <s v="Delivered"/>
    <m/>
    <s v="SO18285"/>
    <x v="10"/>
  </r>
  <r>
    <n v="0"/>
    <s v="SO18286"/>
    <s v="4512704234"/>
    <s v="PT Vale Indonesia Tbk."/>
    <d v="2025-11-21T13:18:38"/>
    <d v="2026-01-05T11:28:38"/>
    <d v="2026-04-27T00:00:00"/>
    <s v="Ian Trottier"/>
    <x v="1"/>
    <n v="0.7282990074408402"/>
    <n v="5306.5704614652186"/>
    <n v="0"/>
    <n v="3864.77"/>
    <n v="3864.77"/>
    <m/>
    <n v="3864.77"/>
    <s v="To Deliver"/>
    <m/>
    <s v="SO18286"/>
    <x v="10"/>
  </r>
  <r>
    <n v="0"/>
    <s v="SO18287"/>
    <s v="OC00231"/>
    <s v="Dynapro Pumps México S de RL de CV"/>
    <d v="2025-11-21T15:15:57"/>
    <d v="2025-11-21T15:16:00"/>
    <d v="2025-12-05T00:00:00"/>
    <s v="Yannett Yeomans"/>
    <x v="1"/>
    <n v="0.71166354456386371"/>
    <n v="421.54751678878279"/>
    <n v="0"/>
    <n v="300"/>
    <n v="300"/>
    <m/>
    <n v="300"/>
    <s v="Processing"/>
    <m/>
    <s v="SO18287"/>
    <x v="10"/>
  </r>
  <r>
    <n v="1"/>
    <s v="SO18289"/>
    <s v="C003711363"/>
    <s v="Glencore Canada Corporation - Rouyn-Noranda"/>
    <d v="2025-11-21T17:42:21"/>
    <d v="2025-11-21T17:43:08"/>
    <d v="2025-11-26T00:00:00"/>
    <s v="Ian Trottier"/>
    <x v="0"/>
    <n v="1"/>
    <n v="1920.14"/>
    <n v="1920.14"/>
    <n v="1920.14"/>
    <n v="1828.7"/>
    <n v="91.44"/>
    <n v="1920.14"/>
    <s v="Delivered"/>
    <m/>
    <s v="SO18289"/>
    <x v="10"/>
  </r>
  <r>
    <n v="1"/>
    <s v="SO18292"/>
    <s v="4500623506"/>
    <s v="Resolute Forest Products - Saint-Felicien"/>
    <d v="2025-11-24T09:02:01"/>
    <d v="2025-11-24T09:05:48"/>
    <d v="2025-11-26T00:00:00"/>
    <s v="Ian Trottier"/>
    <x v="0"/>
    <n v="1"/>
    <n v="3136.64"/>
    <n v="0"/>
    <n v="2222.652553769025"/>
    <n v="2987.28"/>
    <n v="149.36000000000001"/>
    <n v="3136.64"/>
    <s v="Delivered"/>
    <m/>
    <s v="SO18292"/>
    <x v="10"/>
  </r>
  <r>
    <n v="1"/>
    <s v="SO18293"/>
    <s v="4500623507"/>
    <s v="Resolute Forest Products - Saint-Felicien"/>
    <d v="2025-11-24T09:19:15"/>
    <d v="2025-11-24T09:20:33"/>
    <d v="2025-11-26T00:00:00"/>
    <s v="Ian Trottier"/>
    <x v="0"/>
    <n v="1"/>
    <n v="632.49"/>
    <n v="0"/>
    <n v="448.18835241958612"/>
    <n v="559.73"/>
    <n v="72.760000000000005"/>
    <n v="632.49"/>
    <s v="Delivered"/>
    <m/>
    <s v="SO18293"/>
    <x v="10"/>
  </r>
  <r>
    <n v="0"/>
    <s v="SO18295"/>
    <s v="1066"/>
    <s v="Mill-Right Mine Services Inc."/>
    <d v="2025-11-24T09:28:43"/>
    <d v="2025-12-01T10:36:44"/>
    <d v="2026-03-08T00:00:00"/>
    <s v="Amanda Qiao"/>
    <x v="0"/>
    <n v="1"/>
    <n v="4475"/>
    <n v="0"/>
    <n v="3200.5198199589918"/>
    <n v="4475"/>
    <m/>
    <n v="4475"/>
    <s v="Processing"/>
    <m/>
    <s v="SO18295"/>
    <x v="10"/>
  </r>
  <r>
    <n v="1"/>
    <s v="SO18296"/>
    <s v="607081"/>
    <s v="Sealtrac Inc."/>
    <d v="2025-11-24T12:32:16"/>
    <d v="2025-11-24T12:32:38"/>
    <d v="2025-11-25T00:00:00"/>
    <s v="Ian Trottier"/>
    <x v="0"/>
    <n v="1"/>
    <n v="236.37"/>
    <n v="0"/>
    <n v="167.49400126708341"/>
    <n v="209.18"/>
    <n v="27.19"/>
    <n v="236.37"/>
    <s v="Delivered"/>
    <m/>
    <s v="SO18296"/>
    <x v="10"/>
  </r>
  <r>
    <n v="1"/>
    <s v="SO18297"/>
    <s v="4500919990"/>
    <s v="Cameco Corporation - Blind River Refinery"/>
    <d v="2025-11-24T12:49:11"/>
    <d v="2025-11-28T11:34:25"/>
    <d v="2025-12-26T00:00:00"/>
    <s v="Ian Trottier"/>
    <x v="0"/>
    <n v="1"/>
    <n v="472.71"/>
    <n v="0"/>
    <n v="338.23359751671518"/>
    <n v="418.33"/>
    <n v="54.38"/>
    <n v="472.71"/>
    <s v="Delivered"/>
    <m/>
    <s v="SO18297"/>
    <x v="10"/>
  </r>
  <r>
    <n v="1"/>
    <s v="SO18298"/>
    <s v="4394"/>
    <s v="Middle Georgia Fluid Sealing LLC"/>
    <d v="2025-11-24T12:57:07"/>
    <d v="2025-11-24T12:58:46"/>
    <d v="2025-11-26T00:00:00"/>
    <s v="Ian Trottier"/>
    <x v="1"/>
    <n v="0.70945799807796472"/>
    <n v="8739.9113362572807"/>
    <n v="0"/>
    <n v="6200.6"/>
    <n v="6200.6"/>
    <m/>
    <n v="6200.6"/>
    <s v="Delivered"/>
    <m/>
    <s v="SO18298"/>
    <x v="10"/>
  </r>
  <r>
    <n v="1"/>
    <s v="SO18300"/>
    <s v="2100700060"/>
    <s v="Wajax Limited - Noranda, Wajax Limited - Noranda"/>
    <d v="2025-11-24T13:30:12"/>
    <d v="2025-11-24T16:58:15"/>
    <d v="2025-12-01T00:00:00"/>
    <s v="Alexis Gil Lamadrid"/>
    <x v="0"/>
    <n v="1"/>
    <n v="1501.27"/>
    <n v="0"/>
    <n v="1063.814017355139"/>
    <n v="1429.78"/>
    <n v="71.489999999999995"/>
    <n v="1501.27"/>
    <s v="Delivered"/>
    <m/>
    <s v="SO18300"/>
    <x v="10"/>
  </r>
  <r>
    <n v="1"/>
    <s v="SO18301"/>
    <s v="PO-008456"/>
    <s v="Sling-Choker Manufacturing - Timmins"/>
    <d v="2025-11-24T13:32:45"/>
    <d v="2025-11-24T13:32:45"/>
    <d v="2025-11-26T00:00:00"/>
    <s v="Wilka Nuñez"/>
    <x v="0"/>
    <n v="1"/>
    <n v="2302.27"/>
    <n v="0"/>
    <n v="1631.4101379073829"/>
    <n v="2037.41"/>
    <n v="264.86"/>
    <n v="2302.27"/>
    <s v="Delivered"/>
    <m/>
    <s v="SO18301"/>
    <x v="10"/>
  </r>
  <r>
    <n v="0"/>
    <s v="SO18302"/>
    <s v="BC65-00082530"/>
    <s v="Motion Industries Inc. (Canada) - Prince George"/>
    <d v="2025-11-24T14:47:23"/>
    <d v="2025-11-27T17:43:28"/>
    <m/>
    <s v="Wilka Nuñez"/>
    <x v="0"/>
    <n v="1"/>
    <n v="6361.35"/>
    <n v="0"/>
    <n v="4533.636902597138"/>
    <n v="6058.43"/>
    <n v="302.92"/>
    <n v="6361.35"/>
    <s v="Processing"/>
    <m/>
    <s v="SO18302"/>
    <x v="10"/>
  </r>
  <r>
    <n v="1"/>
    <s v="SO18305"/>
    <s v="4560073333"/>
    <s v="Alamos Gold Inc"/>
    <d v="2025-11-25T09:05:40"/>
    <d v="2025-11-25T12:25:43"/>
    <d v="2025-12-12T00:00:00"/>
    <s v="Ian Trottier"/>
    <x v="0"/>
    <n v="1"/>
    <n v="1540.6"/>
    <n v="0"/>
    <n v="1091.249417708184"/>
    <n v="1363.36"/>
    <n v="177.24"/>
    <n v="1540.6"/>
    <s v="Delivered"/>
    <m/>
    <s v="SO18305"/>
    <x v="10"/>
  </r>
  <r>
    <n v="1"/>
    <s v="SO18307"/>
    <s v="PO-008461"/>
    <s v="Sling-Choker Manufacturing - Timmins"/>
    <d v="2025-11-25T10:44:42"/>
    <d v="2025-11-25T11:00:11"/>
    <d v="2025-11-26T00:00:00"/>
    <s v="Wilka Nuñez"/>
    <x v="0"/>
    <n v="1"/>
    <n v="4545.91"/>
    <n v="0"/>
    <n v="3219.993275641833"/>
    <n v="4022.93"/>
    <n v="522.98"/>
    <n v="4545.91"/>
    <s v="Delivered"/>
    <m/>
    <s v="SO18307"/>
    <x v="10"/>
  </r>
  <r>
    <n v="0"/>
    <s v="SO18308"/>
    <s v="607975"/>
    <s v="Sealtrac Inc."/>
    <d v="2025-11-25T14:50:46"/>
    <d v="2025-11-26T14:41:02"/>
    <d v="2025-11-28T00:00:00"/>
    <s v="Ian Trottier"/>
    <x v="0"/>
    <n v="1"/>
    <n v="242.81"/>
    <n v="0"/>
    <n v="172.8019910030751"/>
    <n v="214.88"/>
    <n v="27.93"/>
    <n v="242.81"/>
    <s v="Delivered"/>
    <m/>
    <s v="SO18308"/>
    <x v="10"/>
  </r>
  <r>
    <n v="1"/>
    <s v="SO18311"/>
    <s v="PO14241"/>
    <s v="Manufacture Sling-Choker (Val-d’Or) Ltée"/>
    <d v="2025-11-25T19:07:05"/>
    <d v="2025-11-27T18:04:11"/>
    <d v="2025-12-11T00:00:00"/>
    <s v="Alexis Gil Lamadrid"/>
    <x v="0"/>
    <n v="1"/>
    <n v="1898.98"/>
    <n v="0"/>
    <n v="1353.3740173538499"/>
    <n v="1808.56"/>
    <n v="90.42"/>
    <n v="1898.98"/>
    <s v="Delivered"/>
    <m/>
    <s v="SO18311"/>
    <x v="10"/>
  </r>
  <r>
    <n v="1"/>
    <s v="SO18313"/>
    <s v="PONV-25-2326"/>
    <s v="Tech-Flow"/>
    <d v="2025-11-26T11:13:34"/>
    <d v="2025-11-26T15:08:23"/>
    <d v="2026-02-20T00:00:00"/>
    <s v="Alexis Gil Lamadrid"/>
    <x v="1"/>
    <n v="0.70860938895411174"/>
    <n v="1725.915601831236"/>
    <n v="0"/>
    <n v="1223"/>
    <n v="1223"/>
    <m/>
    <n v="1223"/>
    <s v="Delivered"/>
    <m/>
    <s v="SO18313"/>
    <x v="10"/>
  </r>
  <r>
    <n v="1"/>
    <s v="SO18314"/>
    <s v="PO-40-1019510"/>
    <s v="Canadian Bearings Ltd."/>
    <d v="2025-11-26T11:45:52"/>
    <d v="2025-11-26T11:55:22"/>
    <d v="2025-11-14T00:00:00"/>
    <s v="Wilka Nuñez"/>
    <x v="0"/>
    <n v="1"/>
    <n v="293.48"/>
    <n v="0"/>
    <n v="208.86260170331741"/>
    <n v="279.5"/>
    <n v="13.98"/>
    <n v="293.48"/>
    <s v="Delivered"/>
    <m/>
    <s v="SO18314"/>
    <x v="10"/>
  </r>
  <r>
    <n v="1"/>
    <s v="SO18315"/>
    <s v="P371256"/>
    <s v="Covia Corp - Junction City"/>
    <d v="2025-11-26T12:36:02"/>
    <d v="2025-11-26T12:36:37"/>
    <d v="2025-11-28T00:00:00"/>
    <s v="Marlen Martinez"/>
    <x v="1"/>
    <n v="0.70860938895411174"/>
    <n v="1080.2284191150759"/>
    <n v="0"/>
    <n v="765.46"/>
    <n v="765.46"/>
    <m/>
    <n v="765.46"/>
    <s v="Delivered"/>
    <m/>
    <s v="SO18315"/>
    <x v="10"/>
  </r>
  <r>
    <n v="0"/>
    <s v="SO18316"/>
    <s v="4500919708"/>
    <s v="Cameco Corporation - Blind River Refinery"/>
    <d v="2025-11-26T14:35:55"/>
    <d v="2025-11-26T17:58:37"/>
    <d v="2025-11-28T00:00:00"/>
    <s v="Ian Trottier"/>
    <x v="0"/>
    <n v="1"/>
    <n v="519.66"/>
    <n v="0"/>
    <n v="369.82942483694251"/>
    <n v="459.88"/>
    <n v="59.78"/>
    <n v="519.66"/>
    <s v="Delivered"/>
    <m/>
    <s v="SO18316"/>
    <x v="10"/>
  </r>
  <r>
    <n v="2"/>
    <s v="SO18318"/>
    <s v="PO-40-1019795"/>
    <s v="Canadian Bearings Ltd."/>
    <d v="2025-11-26T15:23:58"/>
    <d v="2025-11-26T15:23:58"/>
    <d v="2025-12-10T00:00:00"/>
    <s v="Wilka Nuñez"/>
    <x v="0"/>
    <n v="1"/>
    <n v="499.24"/>
    <n v="0"/>
    <n v="355.29700584150248"/>
    <n v="475.47"/>
    <n v="23.77"/>
    <n v="499.24"/>
    <s v="Delivered"/>
    <m/>
    <s v="SO18318"/>
    <x v="10"/>
  </r>
  <r>
    <n v="1"/>
    <s v="SO18320"/>
    <s v="3413"/>
    <s v="Les Pompes du St-Laurent Inc."/>
    <d v="2025-11-26T17:33:12"/>
    <d v="2025-11-27T10:50:52"/>
    <d v="2025-12-18T00:00:00"/>
    <s v="Ian Trottier"/>
    <x v="0"/>
    <n v="1"/>
    <n v="5301.19"/>
    <n v="0"/>
    <n v="3778.0770766706619"/>
    <n v="5048.75"/>
    <n v="252.44"/>
    <n v="5301.19"/>
    <s v="Delivered"/>
    <m/>
    <s v="SO18320"/>
    <x v="10"/>
  </r>
  <r>
    <n v="1"/>
    <s v="SO18322"/>
    <s v="7945"/>
    <s v="Hyperflo, Hyperflo"/>
    <d v="2025-11-26T19:14:54"/>
    <d v="2025-11-04T19:14:54"/>
    <d v="2025-12-05T00:00:00"/>
    <s v="Alexis Gil Lamadrid"/>
    <x v="0"/>
    <n v="1"/>
    <n v="678.59"/>
    <n v="0"/>
    <n v="480.97169257113808"/>
    <n v="646.28"/>
    <n v="32.31"/>
    <n v="678.59"/>
    <s v="Delivered"/>
    <m/>
    <s v="SO18322"/>
    <x v="10"/>
  </r>
  <r>
    <n v="1"/>
    <s v="SO18323"/>
    <s v="3414"/>
    <s v="Les Pompes du St-Laurent Inc."/>
    <d v="2025-11-27T09:47:30"/>
    <d v="2025-11-27T10:37:10"/>
    <d v="2025-11-28T00:00:00"/>
    <s v="Ian Trottier"/>
    <x v="0"/>
    <n v="1"/>
    <n v="2901.37"/>
    <n v="0"/>
    <n v="2067.7620473780339"/>
    <n v="2763.21"/>
    <n v="138.16"/>
    <n v="2901.37"/>
    <s v="Delivered"/>
    <m/>
    <s v="SO18323"/>
    <x v="10"/>
  </r>
  <r>
    <n v="0"/>
    <s v="SO18324"/>
    <s v="PO-40-1019694"/>
    <s v="Canadian Bearings Ltd."/>
    <d v="2025-11-27T12:28:09"/>
    <d v="2025-12-03T10:48:42"/>
    <d v="2025-12-10T00:00:00"/>
    <s v="Alexis Gil Lamadrid"/>
    <x v="0"/>
    <n v="1"/>
    <n v="84.04"/>
    <n v="0"/>
    <n v="60.231143995199673"/>
    <n v="80.040000000000006"/>
    <n v="4"/>
    <n v="84.04"/>
    <s v="Delivered"/>
    <m/>
    <s v="SO18324"/>
    <x v="10"/>
  </r>
  <r>
    <n v="0"/>
    <s v="SO18325"/>
    <s v="L68485-DS"/>
    <s v="Wild Rows Pump &amp; Compression LTD., Wild Rows Pump &amp; Compression LTD."/>
    <d v="2025-11-27T12:47:14"/>
    <d v="2025-11-27T17:30:59"/>
    <d v="2025-11-28T00:00:00"/>
    <s v="Wilka Nuñez"/>
    <x v="0"/>
    <n v="1"/>
    <n v="513.16"/>
    <n v="0"/>
    <n v="365.72128760982292"/>
    <n v="488.72"/>
    <n v="24.44"/>
    <n v="513.16"/>
    <s v="Delivered"/>
    <m/>
    <s v="SO18325"/>
    <x v="10"/>
  </r>
  <r>
    <n v="1"/>
    <s v="SO18326"/>
    <s v="03R20852"/>
    <s v="Moffatt Supply &amp; Specialties - Red Lake"/>
    <d v="2025-11-27T14:23:52"/>
    <d v="2025-11-27T17:25:33"/>
    <d v="2025-12-04T00:00:00"/>
    <s v="Alexis Gil Lamadrid"/>
    <x v="0"/>
    <n v="1"/>
    <n v="1219.24"/>
    <n v="0"/>
    <n v="868.93371015940545"/>
    <n v="1078.97"/>
    <n v="140.27000000000001"/>
    <n v="1219.24"/>
    <s v="Delivered"/>
    <m/>
    <s v="SO18326"/>
    <x v="10"/>
  </r>
  <r>
    <n v="1"/>
    <s v="SO18327"/>
    <s v="PO003528"/>
    <s v="Eleazar General &amp; Industrial Supplies Limited"/>
    <d v="2025-11-27T15:32:55"/>
    <d v="2025-12-02T09:46:15"/>
    <d v="2025-12-02T00:00:00"/>
    <s v="Wilka Nuñez"/>
    <x v="1"/>
    <n v="0.71560906819455017"/>
    <n v="4475.9075064280923"/>
    <n v="0"/>
    <n v="3203"/>
    <n v="3203"/>
    <m/>
    <n v="3203"/>
    <s v="Delivered"/>
    <m/>
    <s v="SO18327"/>
    <x v="10"/>
  </r>
  <r>
    <n v="1"/>
    <s v="SO18329"/>
    <s v="4500624287"/>
    <s v="Resolute Forest Products - Saint-Felicien"/>
    <d v="2025-11-28T11:12:56"/>
    <d v="2025-11-28T14:21:42"/>
    <d v="2025-12-02T00:00:00"/>
    <s v="Ian Trottier"/>
    <x v="0"/>
    <n v="1"/>
    <n v="92.24"/>
    <n v="0"/>
    <n v="65.999591789769212"/>
    <n v="87.85"/>
    <n v="4.3899999999999997"/>
    <n v="92.24"/>
    <s v="Delivered"/>
    <m/>
    <s v="SO18329"/>
    <x v="10"/>
  </r>
  <r>
    <n v="1"/>
    <s v="SO18330"/>
    <s v="PO14284"/>
    <s v="Manufacture Sling-Choker (Val-d’Or) Ltée"/>
    <d v="2025-11-28T14:24:15"/>
    <d v="2025-12-12T09:45:11"/>
    <d v="2025-12-16T00:00:00"/>
    <s v="Wilka Nuñez"/>
    <x v="0"/>
    <n v="1"/>
    <n v="1463.93"/>
    <n v="0"/>
    <n v="1061.924509347501"/>
    <n v="1394.21"/>
    <n v="69.72"/>
    <n v="1463.93"/>
    <s v="Partially Delivered"/>
    <m/>
    <s v="SO18330"/>
    <x v="10"/>
  </r>
  <r>
    <n v="0"/>
    <s v="SO18331"/>
    <s v="IA07-00008870"/>
    <s v="Motion Industries Inc. (U.S.) - Mason City"/>
    <d v="2025-11-28T15:44:01"/>
    <d v="2025-12-11T12:35:19"/>
    <d v="2026-04-16T00:00:00"/>
    <s v="Ian Trottier"/>
    <x v="1"/>
    <n v="0.72276866354558011"/>
    <n v="42413.238904991347"/>
    <n v="0"/>
    <n v="30654.959999999999"/>
    <n v="30654.959999999999"/>
    <m/>
    <n v="30654.959999999999"/>
    <s v="To Deliver"/>
    <m/>
    <s v="SO18331"/>
    <x v="10"/>
  </r>
  <r>
    <n v="0"/>
    <s v="SO18335"/>
    <s v="2259921"/>
    <s v="Zijin Mining - Rosebel Goldmines N.V."/>
    <d v="2025-12-01T11:36:18"/>
    <d v="2025-12-11T09:39:51"/>
    <d v="2026-02-05T00:00:00"/>
    <s v="Amanda Qiao"/>
    <x v="1"/>
    <n v="0.72276866354558011"/>
    <n v="11755.90535195383"/>
    <n v="0"/>
    <n v="8496.7999999999993"/>
    <n v="8496.7999999999993"/>
    <m/>
    <n v="8496.7999999999993"/>
    <s v="To Deliver"/>
    <m/>
    <s v="SO18335"/>
    <x v="11"/>
  </r>
  <r>
    <n v="1"/>
    <s v="SO18337"/>
    <s v="3418"/>
    <s v="Les Pompes du St-Laurent Inc."/>
    <d v="2025-12-01T13:21:22"/>
    <d v="2025-12-02T10:16:44"/>
    <d v="2025-12-26T00:00:00"/>
    <s v="Ian Trottier"/>
    <x v="0"/>
    <n v="1"/>
    <n v="10225.31"/>
    <n v="0"/>
    <n v="7308.8737827809209"/>
    <n v="9738.39"/>
    <n v="486.92"/>
    <n v="10225.31"/>
    <s v="Delivered"/>
    <m/>
    <s v="SO18337"/>
    <x v="11"/>
  </r>
  <r>
    <n v="1"/>
    <s v="SO18339"/>
    <s v="4412"/>
    <s v="Middle Georgia Fluid Sealing LLC"/>
    <d v="2025-12-01T14:16:04"/>
    <d v="2025-12-01T16:25:46"/>
    <d v="2025-12-02T00:00:00"/>
    <s v="Ian Trottier"/>
    <x v="1"/>
    <n v="0.71541057771406147"/>
    <n v="7845.1453959955697"/>
    <n v="0"/>
    <n v="5612.5"/>
    <n v="5612.5"/>
    <m/>
    <n v="5612.5"/>
    <s v="Delivered"/>
    <m/>
    <s v="SO18339"/>
    <x v="11"/>
  </r>
  <r>
    <n v="1"/>
    <s v="SO18340"/>
    <s v="PO14253"/>
    <s v="Manufacture Sling-Choker (Val-d’Or) Ltée"/>
    <d v="2025-12-01T15:22:52"/>
    <d v="2025-12-02T17:23:03"/>
    <d v="2025-12-09T00:00:00"/>
    <s v="Alexis Gil Lamadrid"/>
    <x v="0"/>
    <n v="1"/>
    <n v="1119.8"/>
    <n v="0"/>
    <n v="800.41356809310184"/>
    <n v="1066.47"/>
    <n v="53.33"/>
    <n v="1119.8"/>
    <s v="Delivered"/>
    <m/>
    <s v="SO18340"/>
    <x v="11"/>
  </r>
  <r>
    <n v="0"/>
    <s v="SO18341"/>
    <s v="BC65-00082608"/>
    <s v="Motion Industries Inc. (Canada) - Prince George"/>
    <d v="2025-12-01T15:49:35"/>
    <d v="2025-12-04T18:53:23"/>
    <d v="2026-03-27T00:00:00"/>
    <s v="Wilka Nuñez"/>
    <x v="0"/>
    <n v="1"/>
    <n v="9328.56"/>
    <n v="0"/>
    <n v="6691.9814153067418"/>
    <n v="8884.34"/>
    <n v="444.22"/>
    <n v="9328.56"/>
    <s v="Processing"/>
    <m/>
    <s v="SO18341"/>
    <x v="11"/>
  </r>
  <r>
    <n v="0"/>
    <s v="SO18344"/>
    <s v="OC00235"/>
    <s v="Dynapro Pumps México S de RL de CV"/>
    <d v="2025-12-02T11:28:07"/>
    <d v="2025-12-02T11:28:10"/>
    <d v="2025-12-19T00:00:00"/>
    <s v="Yannett Yeomans"/>
    <x v="1"/>
    <n v="0.71560906819455017"/>
    <n v="7396.4965443408973"/>
    <n v="0"/>
    <n v="5293"/>
    <n v="5293"/>
    <m/>
    <n v="5293"/>
    <s v="To Deliver"/>
    <m/>
    <s v="SO18344"/>
    <x v="11"/>
  </r>
  <r>
    <n v="1"/>
    <s v="SO18345"/>
    <s v="C003744426"/>
    <s v="Glencore Canada Corporation - Rouyn-Noranda"/>
    <d v="2025-12-02T12:03:29"/>
    <d v="2025-12-02T13:04:30"/>
    <d v="2026-01-05T00:00:00"/>
    <s v="Amanda Qiao"/>
    <x v="0"/>
    <n v="1"/>
    <n v="3201.63"/>
    <n v="0"/>
    <n v="2288.4694517002299"/>
    <n v="3049.16"/>
    <n v="152.47"/>
    <n v="3201.63"/>
    <s v="Delivered"/>
    <m/>
    <s v="SO18345"/>
    <x v="11"/>
  </r>
  <r>
    <n v="1"/>
    <s v="SO18346"/>
    <s v="6500024645"/>
    <s v="Wesdome Gold Mines Ltd - Eagle River Mine"/>
    <d v="2025-12-02T12:14:25"/>
    <d v="2025-12-04T13:11:36"/>
    <d v="2025-12-29T00:00:00"/>
    <s v="Ian Trottier"/>
    <x v="0"/>
    <n v="1"/>
    <n v="6255.48"/>
    <n v="0"/>
    <n v="4487.461720117898"/>
    <n v="5957.6"/>
    <n v="297.88"/>
    <n v="6255.48"/>
    <s v="Delivered"/>
    <m/>
    <s v="SO18346"/>
    <x v="11"/>
  </r>
  <r>
    <n v="2"/>
    <s v="SO18347"/>
    <s v="P371534"/>
    <s v="Covia Corp - Junction City"/>
    <d v="2025-12-02T14:13:26"/>
    <d v="2025-12-04T11:10:19"/>
    <d v="2026-03-19T00:00:00"/>
    <s v="Aleksandar Stankovic"/>
    <x v="1"/>
    <n v="0.71478261126370946"/>
    <n v="5312.762146362531"/>
    <n v="0"/>
    <n v="3797.47"/>
    <n v="3797.47"/>
    <m/>
    <n v="3797.47"/>
    <s v="Processing"/>
    <m/>
    <s v="SO18347"/>
    <x v="11"/>
  </r>
  <r>
    <n v="1"/>
    <s v="SO18349"/>
    <s v="PO-008485"/>
    <s v="Sling-Choker Manufacturing - Timmins"/>
    <d v="2025-12-02T17:36:14"/>
    <d v="2025-12-03T08:31:49"/>
    <d v="2025-12-08T00:00:00"/>
    <s v="Wilka Nuñez"/>
    <x v="0"/>
    <n v="1"/>
    <n v="2257.12"/>
    <n v="0"/>
    <n v="1617.6692019805459"/>
    <n v="1997.45"/>
    <n v="259.67"/>
    <n v="2257.12"/>
    <s v="Delivered"/>
    <m/>
    <s v="SO18349"/>
    <x v="11"/>
  </r>
  <r>
    <n v="1"/>
    <s v="SO18350"/>
    <s v="C003744417"/>
    <s v="Glencore Canada Corporation - Rouyn-Noranda"/>
    <d v="2025-12-02T18:04:41"/>
    <d v="2025-12-02T18:08:01"/>
    <d v="2025-12-03T00:00:00"/>
    <s v="Ian Trottier"/>
    <x v="0"/>
    <n v="1"/>
    <n v="421.75"/>
    <n v="0"/>
    <n v="301.45956630046948"/>
    <n v="401.67"/>
    <n v="20.079999999999998"/>
    <n v="421.75"/>
    <s v="Delivered"/>
    <m/>
    <s v="SO18350"/>
    <x v="11"/>
  </r>
  <r>
    <n v="1"/>
    <s v="SO18351"/>
    <s v="PO14273"/>
    <s v="Manufacture Sling-Choker (Val-d’Or) Ltée"/>
    <d v="2025-12-02T19:18:56"/>
    <d v="2025-12-09T12:14:35"/>
    <d v="2025-12-16T00:00:00"/>
    <s v="Alexis Gil Lamadrid"/>
    <x v="0"/>
    <n v="1"/>
    <n v="2813.64"/>
    <n v="0"/>
    <n v="2033.770341521297"/>
    <n v="2679.66"/>
    <n v="133.97999999999999"/>
    <n v="2813.64"/>
    <s v="Delivered"/>
    <m/>
    <s v="SO18351"/>
    <x v="11"/>
  </r>
  <r>
    <n v="0"/>
    <s v="SO18354"/>
    <s v="4501356558"/>
    <s v="Barrick Gold - Pueblo Viejo Dominicana Corporation"/>
    <d v="2025-12-03T12:46:09"/>
    <d v="2025-12-12T15:31:05"/>
    <d v="2026-04-24T00:00:00"/>
    <s v="Wilka Nuñez"/>
    <x v="1"/>
    <n v="0.72276866354558011"/>
    <n v="6842.9640761370629"/>
    <n v="0"/>
    <n v="4945.88"/>
    <n v="4945.88"/>
    <m/>
    <n v="4945.88"/>
    <s v="Processing"/>
    <m/>
    <s v="SO18354"/>
    <x v="11"/>
  </r>
  <r>
    <n v="0"/>
    <s v="SO18356"/>
    <s v="4500624263"/>
    <s v="Resolute Forest Products - Saint-Felicien"/>
    <d v="2025-12-03T15:10:33"/>
    <d v="2025-12-03T17:42:58"/>
    <d v="2026-01-21T00:00:00"/>
    <s v="Ian Trottier"/>
    <x v="0"/>
    <n v="1"/>
    <n v="7178.31"/>
    <n v="0"/>
    <n v="5144.6671020012109"/>
    <n v="6836.47"/>
    <n v="341.84"/>
    <n v="7178.31"/>
    <s v="To Deliver"/>
    <m/>
    <s v="SO18356"/>
    <x v="11"/>
  </r>
  <r>
    <n v="1"/>
    <s v="SO18357"/>
    <s v="607083"/>
    <s v="Sealtrac Inc."/>
    <d v="2025-12-03T16:39:33"/>
    <d v="2025-12-03T16:37:51"/>
    <d v="2025-12-03T00:00:00"/>
    <s v="Ian Trottier"/>
    <x v="0"/>
    <n v="1"/>
    <n v="945.49"/>
    <n v="0"/>
    <n v="677.62903779178168"/>
    <n v="836.72"/>
    <n v="108.77"/>
    <n v="945.49"/>
    <s v="Delivered"/>
    <m/>
    <s v="SO18357"/>
    <x v="11"/>
  </r>
  <r>
    <n v="1"/>
    <s v="SO18358"/>
    <s v="PO - 3009833"/>
    <s v="SCG Process"/>
    <d v="2025-12-03T17:41:11"/>
    <d v="2025-12-09T12:50:30"/>
    <d v="2025-12-12T00:00:00"/>
    <s v="Aleksandar Stankovic"/>
    <x v="0"/>
    <n v="1"/>
    <n v="345.11"/>
    <n v="0"/>
    <n v="249.45425945125001"/>
    <n v="328.68"/>
    <n v="16.43"/>
    <n v="345.11"/>
    <s v="Delivered"/>
    <m/>
    <s v="SO18358"/>
    <x v="11"/>
  </r>
  <r>
    <n v="0"/>
    <s v="SO18360"/>
    <s v="OC00236"/>
    <s v="Dynapro Pumps México S de RL de CV"/>
    <d v="2025-12-03T22:57:34"/>
    <d v="2025-12-03T22:57:37"/>
    <d v="2026-01-23T00:00:00"/>
    <s v="Yannett Yeomans"/>
    <x v="1"/>
    <n v="0.7151999597673725"/>
    <n v="43322.150088036811"/>
    <n v="0"/>
    <n v="30984"/>
    <n v="30984"/>
    <m/>
    <n v="30984"/>
    <s v="Processing"/>
    <m/>
    <s v="SO18360"/>
    <x v="11"/>
  </r>
  <r>
    <n v="1"/>
    <s v="SO18361"/>
    <s v="OC00237"/>
    <s v="Dynapro Pumps México S de RL de CV"/>
    <d v="2025-12-03T23:19:10"/>
    <d v="2025-12-03T23:19:12"/>
    <d v="2026-02-06T00:00:00"/>
    <s v="Yannett Yeomans"/>
    <x v="1"/>
    <n v="0.7151999597673725"/>
    <n v="1069.630932653891"/>
    <n v="0"/>
    <n v="765"/>
    <n v="765"/>
    <m/>
    <n v="765"/>
    <s v="Processing"/>
    <m/>
    <s v="SO18361"/>
    <x v="11"/>
  </r>
  <r>
    <n v="0"/>
    <s v="SO18363"/>
    <s v="4501367820"/>
    <s v="Barrick Gold - Pueblo Viejo Dominicana Corporation"/>
    <d v="2025-12-04T09:50:07"/>
    <d v="2025-12-29T12:54:32"/>
    <d v="2026-02-20T00:00:00"/>
    <s v="Wilka Nuñez"/>
    <x v="1"/>
    <n v="0.73120348989748496"/>
    <n v="2730.9497665006538"/>
    <n v="0"/>
    <n v="1996.88"/>
    <n v="1996.88"/>
    <m/>
    <n v="1996.88"/>
    <s v="Processing"/>
    <m/>
    <s v="SO18363"/>
    <x v="11"/>
  </r>
  <r>
    <n v="0"/>
    <s v="SO18365"/>
    <s v="PO 6500024702"/>
    <s v="Wesdome Gold Mines Ltd - Eagle River Mine"/>
    <d v="2025-12-04T11:38:36"/>
    <d v="2025-12-04T11:38:10"/>
    <d v="2026-01-20T00:00:00"/>
    <s v="Leriel Reyes"/>
    <x v="0"/>
    <n v="1"/>
    <n v="16463.419999999998"/>
    <n v="0"/>
    <n v="11810.279472114589"/>
    <n v="14569.4"/>
    <n v="1894.02"/>
    <n v="16463.419999999998"/>
    <s v="Processing"/>
    <m/>
    <s v="SO18365"/>
    <x v="11"/>
  </r>
  <r>
    <n v="1"/>
    <s v="SO18366"/>
    <s v="P372041"/>
    <s v="Covia Corp - Guion"/>
    <d v="2025-12-04T12:39:27"/>
    <d v="2025-12-12T15:04:23"/>
    <d v="2025-12-18T00:00:00"/>
    <s v="Aleksandar Stankovic"/>
    <x v="1"/>
    <n v="0.72276866354558011"/>
    <n v="15111.57103355964"/>
    <n v="0"/>
    <n v="10922.17"/>
    <n v="10922.17"/>
    <m/>
    <n v="10922.17"/>
    <s v="Delivered"/>
    <m/>
    <s v="SO18366"/>
    <x v="11"/>
  </r>
  <r>
    <n v="1"/>
    <s v="SO18367"/>
    <s v="8109"/>
    <s v="Hyperflo"/>
    <d v="2025-12-04T12:59:07"/>
    <d v="2025-12-04T13:26:29"/>
    <d v="2025-12-05T00:00:00"/>
    <s v="Wilka Nuñez"/>
    <x v="0"/>
    <n v="1"/>
    <n v="904.58"/>
    <n v="0"/>
    <n v="648.9139319099811"/>
    <n v="861.5"/>
    <n v="43.08"/>
    <n v="904.58"/>
    <s v="Delivered"/>
    <m/>
    <s v="SO18367"/>
    <x v="11"/>
  </r>
  <r>
    <n v="0"/>
    <s v="SO18368"/>
    <s v="OC00239"/>
    <s v="Dynapro Pumps México S de RL de CV"/>
    <d v="2025-12-05T12:19:25"/>
    <d v="2025-12-05T12:20:25"/>
    <d v="2026-03-19T00:00:00"/>
    <s v="Yannett Yeomans"/>
    <x v="1"/>
    <n v="0.71669614463588371"/>
    <n v="36410.130283674851"/>
    <n v="0"/>
    <n v="26095"/>
    <n v="26095"/>
    <m/>
    <n v="26095"/>
    <s v="Processing"/>
    <m/>
    <s v="SO18368"/>
    <x v="11"/>
  </r>
  <r>
    <n v="0"/>
    <s v="SO18369"/>
    <s v="PO#6500024885"/>
    <s v="Wesdome Gold Mines Ltd - Eagle River Mine"/>
    <d v="2025-12-05T13:01:57"/>
    <d v="2025-12-05T12:59:00"/>
    <d v="2026-01-20T00:00:00"/>
    <s v="Leriel Reyes"/>
    <x v="0"/>
    <n v="1"/>
    <n v="19073.52"/>
    <n v="0"/>
    <n v="13761.74207405243"/>
    <n v="16879.22"/>
    <n v="2194.3000000000002"/>
    <n v="19073.52"/>
    <s v="To Deliver"/>
    <m/>
    <s v="SO18369"/>
    <x v="11"/>
  </r>
  <r>
    <n v="1"/>
    <s v="SO18371"/>
    <s v="2100718534"/>
    <s v="Wajax Limited - Pointe-aux-Trembles"/>
    <d v="2025-12-05T16:56:49"/>
    <d v="2025-12-19T17:21:49"/>
    <d v="2025-12-22T00:00:00"/>
    <s v="Ian Trottier"/>
    <x v="0"/>
    <n v="1"/>
    <n v="4368.47"/>
    <n v="0"/>
    <n v="3169.68656847175"/>
    <n v="4160.45"/>
    <n v="208.02"/>
    <n v="4368.47"/>
    <s v="Delivered"/>
    <m/>
    <s v="SO18371"/>
    <x v="11"/>
  </r>
  <r>
    <n v="2"/>
    <s v="SO18372"/>
    <s v="C003756451"/>
    <s v="Glencore Canada Corporation - Rouyn-Noranda"/>
    <d v="2025-12-05T17:04:50"/>
    <d v="2025-12-05T17:07:31"/>
    <d v="2026-01-23T00:00:00"/>
    <s v="Ian Trottier"/>
    <x v="0"/>
    <n v="1"/>
    <n v="2486.37"/>
    <n v="0"/>
    <n v="1793.941686729127"/>
    <n v="2367.9699999999998"/>
    <n v="118.4"/>
    <n v="2486.37"/>
    <s v="Delivered"/>
    <m/>
    <s v="SO18372"/>
    <x v="11"/>
  </r>
  <r>
    <n v="1"/>
    <s v="SO18373"/>
    <s v="PO - 67000"/>
    <s v="Harvey Bearings"/>
    <d v="2025-12-05T17:53:20"/>
    <d v="2025-12-05T17:53:41"/>
    <d v="2025-12-09T00:00:00"/>
    <s v="Aleksandar Stankovic"/>
    <x v="0"/>
    <n v="1"/>
    <n v="792.08"/>
    <n v="0"/>
    <n v="571.49391732702975"/>
    <n v="754.36"/>
    <n v="37.72"/>
    <n v="792.08"/>
    <s v="Delivered"/>
    <m/>
    <s v="SO18373"/>
    <x v="11"/>
  </r>
  <r>
    <n v="1"/>
    <s v="SO18374"/>
    <s v="PO14293"/>
    <s v="Manufacture Sling-Choker (Val-d’Or) Ltée"/>
    <d v="2025-12-05T18:19:40"/>
    <d v="2025-12-16T11:15:41"/>
    <d v="2025-12-22T00:00:00"/>
    <s v="Alexis Gil Lamadrid"/>
    <x v="0"/>
    <n v="1"/>
    <n v="3512.31"/>
    <n v="0"/>
    <n v="2554.5400080783961"/>
    <n v="3345.05"/>
    <n v="167.26"/>
    <n v="3512.31"/>
    <s v="Processing"/>
    <m/>
    <s v="SO18374"/>
    <x v="11"/>
  </r>
  <r>
    <n v="1"/>
    <s v="SO18375"/>
    <s v="BC65-00082673"/>
    <s v="Motion Industries Inc. (Canada) - Prince George"/>
    <d v="2025-12-05T18:44:55"/>
    <d v="2025-12-11T17:57:20"/>
    <d v="2025-12-15T00:00:00"/>
    <s v="Ian Trottier"/>
    <x v="0"/>
    <n v="1"/>
    <n v="8135.52"/>
    <n v="0"/>
    <n v="5908.3275821363113"/>
    <n v="7748.12"/>
    <n v="387.4"/>
    <n v="8135.52"/>
    <s v="Delivered"/>
    <m/>
    <s v="SO18375"/>
    <x v="11"/>
  </r>
  <r>
    <n v="0"/>
    <s v="SO18377"/>
    <s v="2100709518"/>
    <s v="Wajax Limited - Noranda"/>
    <d v="2025-12-08T11:57:10"/>
    <d v="2025-12-08T14:51:58"/>
    <d v="2026-03-31T00:00:00"/>
    <s v="Alexis Gil Lamadrid"/>
    <x v="0"/>
    <n v="1"/>
    <n v="7284.65"/>
    <n v="7284.65"/>
    <n v="7284.65"/>
    <n v="6937.76"/>
    <n v="346.89"/>
    <n v="7284.65"/>
    <s v="Processing"/>
    <m/>
    <s v="SO18377"/>
    <x v="11"/>
  </r>
  <r>
    <n v="1"/>
    <s v="SO18378"/>
    <s v="3437"/>
    <s v="Les Pompes du St-Laurent Inc."/>
    <d v="2025-12-08T12:15:21"/>
    <d v="2025-12-11T11:43:03"/>
    <d v="2025-12-14T00:00:00"/>
    <s v="Ian Trottier"/>
    <x v="0"/>
    <n v="1"/>
    <n v="3128"/>
    <n v="0"/>
    <n v="2271.673928270397"/>
    <n v="2979.04"/>
    <n v="148.96"/>
    <n v="3128"/>
    <s v="Delivered"/>
    <m/>
    <s v="SO18378"/>
    <x v="11"/>
  </r>
  <r>
    <n v="0"/>
    <s v="SO18380"/>
    <s v="2100713583"/>
    <s v="Wajax Limited - Val D'Or"/>
    <d v="2025-12-08T14:01:27"/>
    <d v="2025-12-15T07:48:53"/>
    <d v="2026-04-20T00:00:00"/>
    <s v="Alexis Gil Lamadrid"/>
    <x v="0"/>
    <n v="1"/>
    <n v="1530.9"/>
    <n v="0"/>
    <n v="1112.0611029846821"/>
    <n v="1458"/>
    <n v="72.900000000000006"/>
    <n v="1530.9"/>
    <s v="Processing"/>
    <m/>
    <s v="SO18380"/>
    <x v="11"/>
  </r>
  <r>
    <n v="0"/>
    <s v="SO18381"/>
    <s v="8147"/>
    <s v="Hyperflo"/>
    <d v="2025-12-08T18:22:14"/>
    <d v="2025-12-11T14:45:01"/>
    <d v="2026-01-22T00:00:00"/>
    <s v="Alexis Gil Lamadrid"/>
    <x v="0"/>
    <n v="1"/>
    <n v="1006.02"/>
    <n v="0"/>
    <n v="730.61042369519976"/>
    <n v="958.11"/>
    <n v="47.91"/>
    <n v="1006.02"/>
    <s v="Processing"/>
    <m/>
    <s v="SO18381"/>
    <x v="11"/>
  </r>
  <r>
    <n v="1"/>
    <s v="SO18383"/>
    <s v="PO10260"/>
    <s v="Tantalum Mining Corporation of Canada"/>
    <d v="2025-12-09T11:13:07"/>
    <d v="2025-12-18T10:56:57"/>
    <d v="2025-12-23T00:00:00"/>
    <s v="Aleksandar Stankovic"/>
    <x v="0"/>
    <n v="1"/>
    <n v="3024.57"/>
    <n v="0"/>
    <n v="2197.5007878411839"/>
    <n v="2880.54"/>
    <n v="144.03"/>
    <n v="3024.57"/>
    <s v="Delivered"/>
    <m/>
    <s v="SO18383"/>
    <x v="11"/>
  </r>
  <r>
    <n v="0"/>
    <s v="SO18384"/>
    <s v="PO-008497"/>
    <s v="Sling-Choker Manufacturing - Timmins"/>
    <d v="2025-12-09T13:32:06"/>
    <d v="2025-12-09T13:32:18"/>
    <d v="2025-12-12T00:00:00"/>
    <s v="Wilka Nuñez"/>
    <x v="0"/>
    <n v="1"/>
    <n v="2603.27"/>
    <n v="0"/>
    <n v="1881.7095708662609"/>
    <n v="2303.7800000000002"/>
    <n v="299.49"/>
    <n v="2603.27"/>
    <s v="To Deliver"/>
    <m/>
    <s v="SO18384"/>
    <x v="11"/>
  </r>
  <r>
    <n v="1"/>
    <s v="SO18385"/>
    <s v="PO14275"/>
    <s v="Manufacture Sling-Choker (Val-d’Or) Ltée"/>
    <d v="2025-12-09T14:44:28"/>
    <d v="2025-12-09T14:44:52"/>
    <d v="2025-12-16T00:00:00"/>
    <s v="Alexis Gil Lamadrid"/>
    <x v="0"/>
    <n v="1"/>
    <n v="878.69"/>
    <n v="0"/>
    <n v="635.13941420769856"/>
    <n v="836.85"/>
    <n v="41.84"/>
    <n v="878.69"/>
    <s v="Delivered"/>
    <m/>
    <s v="SO18385"/>
    <x v="11"/>
  </r>
  <r>
    <n v="0"/>
    <s v="SO18388"/>
    <s v="4500625954"/>
    <s v="Resolute Forest Products - Saint-Felicien"/>
    <d v="2025-12-10T10:51:14"/>
    <d v="2025-12-10T10:51:21"/>
    <d v="2026-03-04T00:00:00"/>
    <s v="Ian Trottier"/>
    <x v="0"/>
    <n v="1"/>
    <n v="5085.2700000000004"/>
    <n v="0"/>
    <n v="3675.4738016684319"/>
    <n v="4843.1099999999997"/>
    <n v="242.16"/>
    <n v="5085.2700000000004"/>
    <s v="Processing"/>
    <m/>
    <s v="SO18388"/>
    <x v="11"/>
  </r>
  <r>
    <n v="1"/>
    <s v="SO18389"/>
    <s v="4500625971"/>
    <s v="Resolute Forest Products - Saint-Felicien"/>
    <d v="2025-12-10T11:49:54"/>
    <d v="2025-12-11T13:05:01"/>
    <d v="2025-12-14T00:00:00"/>
    <s v="Ian Trottier"/>
    <x v="0"/>
    <n v="1"/>
    <n v="418.03"/>
    <n v="0"/>
    <n v="303.58946682700582"/>
    <n v="398.12"/>
    <n v="19.91"/>
    <n v="418.03"/>
    <s v="Delivered"/>
    <m/>
    <s v="SO18389"/>
    <x v="11"/>
  </r>
  <r>
    <n v="1"/>
    <s v="SO18392"/>
    <s v="PO-40-1020047"/>
    <s v="Canadian Bearings Ltd."/>
    <d v="2025-12-10T13:25:50"/>
    <d v="2025-12-16T10:42:23"/>
    <d v="2025-12-22T00:00:00"/>
    <s v="Alexis Gil Lamadrid"/>
    <x v="0"/>
    <n v="1"/>
    <n v="367.91"/>
    <n v="0"/>
    <n v="267.58481294991691"/>
    <n v="350.39"/>
    <n v="17.52"/>
    <n v="367.91"/>
    <s v="Delivered"/>
    <m/>
    <s v="SO18392"/>
    <x v="11"/>
  </r>
  <r>
    <n v="0"/>
    <s v="SO18395"/>
    <s v="OC00241"/>
    <s v="Dynapro Pumps México S de RL de CV"/>
    <d v="2025-12-10T16:58:31"/>
    <d v="2025-12-10T16:58:32"/>
    <d v="2026-01-31T00:00:00"/>
    <s v="Yannett Yeomans"/>
    <x v="1"/>
    <n v="0.72282535844006246"/>
    <n v="15909.79047112885"/>
    <n v="0"/>
    <n v="11500"/>
    <n v="11500"/>
    <m/>
    <n v="11500"/>
    <s v="Processing"/>
    <m/>
    <s v="SO18395"/>
    <x v="11"/>
  </r>
  <r>
    <n v="1"/>
    <s v="SO18402"/>
    <s v="#17183"/>
    <s v="Industrial Rigging &amp; Supply"/>
    <d v="2025-12-11T11:51:13"/>
    <d v="2025-12-15T10:00:37"/>
    <m/>
    <s v="Wilka Nuñez"/>
    <x v="0"/>
    <n v="1"/>
    <n v="1434.24"/>
    <n v="0"/>
    <n v="1041.8463102389121"/>
    <n v="1269.24"/>
    <n v="165"/>
    <n v="1434.24"/>
    <s v="Processing"/>
    <m/>
    <s v="SO18402"/>
    <x v="11"/>
  </r>
  <r>
    <n v="0"/>
    <s v="SO18411"/>
    <s v="8151"/>
    <s v="Hyperflo, Hyperflo"/>
    <d v="2025-12-11T17:37:02"/>
    <d v="2025-12-12T10:08:34"/>
    <d v="2025-12-16T00:00:00"/>
    <s v="Aleksandar Stankovic"/>
    <x v="0"/>
    <n v="1"/>
    <n v="1006.1"/>
    <n v="0"/>
    <n v="729.81785253018995"/>
    <n v="958.19"/>
    <n v="47.91"/>
    <n v="1006.1"/>
    <s v="To Deliver"/>
    <m/>
    <s v="SO18411"/>
    <x v="11"/>
  </r>
  <r>
    <n v="1"/>
    <s v="SO18413"/>
    <s v="144241"/>
    <s v="TC Industries of Canada Co."/>
    <d v="2025-12-12T10:29:09"/>
    <d v="2025-12-12T18:57:43"/>
    <d v="2026-01-07T00:00:00"/>
    <s v="Ian Trottier"/>
    <x v="0"/>
    <n v="1"/>
    <n v="1065.01"/>
    <n v="0"/>
    <n v="772.55075153879091"/>
    <n v="1014.3"/>
    <n v="50.71"/>
    <n v="1065.01"/>
    <s v="Delivered"/>
    <m/>
    <s v="SO18413"/>
    <x v="11"/>
  </r>
  <r>
    <n v="1"/>
    <s v="SO18416"/>
    <s v="2100715890"/>
    <s v="Wajax Limited - Noranda"/>
    <d v="2025-12-12T14:14:07"/>
    <d v="2025-12-16T17:55:16"/>
    <d v="2026-01-09T00:00:00"/>
    <s v="Aleksandar Stankovic"/>
    <x v="0"/>
    <n v="1"/>
    <n v="173.13"/>
    <n v="0"/>
    <n v="125.9192701095896"/>
    <n v="164.89"/>
    <n v="8.24"/>
    <n v="173.13"/>
    <s v="Delivered"/>
    <m/>
    <s v="SO18416"/>
    <x v="11"/>
  </r>
  <r>
    <n v="1"/>
    <s v="SO18417"/>
    <s v="M-084226"/>
    <s v="Grant Aggregate"/>
    <d v="2025-12-12T17:51:43"/>
    <d v="2025-12-12T17:57:56"/>
    <d v="2026-03-06T00:00:00"/>
    <s v="Ian Trottier"/>
    <x v="0"/>
    <n v="1"/>
    <n v="6849.11"/>
    <n v="0"/>
    <n v="4968.296145455769"/>
    <n v="6061.16"/>
    <n v="787.95"/>
    <n v="6849.11"/>
    <s v="Processing"/>
    <m/>
    <s v="SO18417"/>
    <x v="11"/>
  </r>
  <r>
    <n v="0"/>
    <s v="SO18419"/>
    <s v="4501355648"/>
    <s v="Barrick Gold - Pueblo Viejo Dominicana Corporation"/>
    <d v="2025-12-15T08:57:54"/>
    <d v="2025-12-15T09:23:39"/>
    <d v="2026-04-20T00:00:00"/>
    <s v="Wilka Nuñez"/>
    <x v="1"/>
    <n v="0.7258314283835291"/>
    <n v="45786.554150751821"/>
    <n v="0"/>
    <n v="33233.32"/>
    <n v="33233.32"/>
    <m/>
    <n v="33233.32"/>
    <s v="To Deliver"/>
    <m/>
    <s v="SO18419"/>
    <x v="11"/>
  </r>
  <r>
    <n v="1"/>
    <s v="SO18420"/>
    <s v="4500626351"/>
    <s v="Resolute Forest Products - Saint-Felicien"/>
    <d v="2025-12-15T09:43:37"/>
    <d v="2025-12-15T11:38:10"/>
    <d v="2026-03-09T00:00:00"/>
    <s v="Ian Trottier"/>
    <x v="0"/>
    <n v="1"/>
    <n v="1506.2"/>
    <n v="0"/>
    <n v="1094.118775436363"/>
    <n v="1434.48"/>
    <n v="71.72"/>
    <n v="1506.2"/>
    <s v="Delivered"/>
    <m/>
    <s v="SO18420"/>
    <x v="11"/>
  </r>
  <r>
    <n v="0"/>
    <s v="SO18423"/>
    <s v="607089"/>
    <s v="Sealtrac Inc."/>
    <d v="2025-12-15T12:26:57"/>
    <d v="2025-12-15T12:27:04"/>
    <d v="2025-12-16T00:00:00"/>
    <s v="Ian Trottier"/>
    <x v="0"/>
    <n v="1"/>
    <n v="242.81"/>
    <n v="0"/>
    <n v="176.37961749017609"/>
    <n v="214.88"/>
    <n v="27.93"/>
    <n v="242.81"/>
    <s v="To Deliver"/>
    <m/>
    <s v="SO18423"/>
    <x v="11"/>
  </r>
  <r>
    <n v="1"/>
    <s v="SO18424"/>
    <s v="PO-044166"/>
    <s v="Southeast Pump Specialist, Inc."/>
    <d v="2025-12-15T13:30:42"/>
    <d v="2025-12-15T13:30:42"/>
    <d v="2025-12-23T00:00:00"/>
    <s v="Leriel Reyes"/>
    <x v="1"/>
    <n v="0.7258314283835291"/>
    <n v="11928.54106535748"/>
    <n v="0"/>
    <n v="8658.11"/>
    <n v="8658.11"/>
    <m/>
    <n v="8658.11"/>
    <s v="Delivered"/>
    <m/>
    <s v="SO18424"/>
    <x v="11"/>
  </r>
  <r>
    <n v="1"/>
    <s v="SO18425"/>
    <s v="2100713917"/>
    <s v="Wajax Limited - Val D'Or, Wajax Limited - Val D'Or"/>
    <d v="2025-12-15T13:54:30"/>
    <d v="2025-12-15T14:17:10"/>
    <d v="2025-12-15T00:00:00"/>
    <s v="Marlen Martinez"/>
    <x v="0"/>
    <n v="1"/>
    <n v="471.22"/>
    <n v="0"/>
    <n v="342.29893066068428"/>
    <n v="448.78"/>
    <n v="22.44"/>
    <n v="471.22"/>
    <s v="Delivered"/>
    <m/>
    <s v="SO18425"/>
    <x v="11"/>
  </r>
  <r>
    <n v="1"/>
    <s v="SO18429"/>
    <s v="PO-044181"/>
    <s v="Southeast Pump Specialist, Inc."/>
    <d v="2025-12-16T12:26:19"/>
    <d v="2025-12-16T14:27:47"/>
    <d v="2025-12-19T00:00:00"/>
    <s v="Wilka Nuñez"/>
    <x v="1"/>
    <n v="0.72641002219915185"/>
    <n v="6547.2114297125026"/>
    <n v="0"/>
    <n v="4755.96"/>
    <n v="4755.96"/>
    <m/>
    <n v="4755.96"/>
    <s v="Delivered"/>
    <m/>
    <s v="SO18429"/>
    <x v="11"/>
  </r>
  <r>
    <n v="1"/>
    <s v="SO18431"/>
    <s v="PO 2410"/>
    <s v="FMI Products"/>
    <d v="2025-12-16T13:39:15"/>
    <d v="2025-12-17T13:32:38"/>
    <d v="2026-01-02T00:00:00"/>
    <s v="Aleksandar Stankovic"/>
    <x v="0"/>
    <n v="1"/>
    <n v="107.94"/>
    <n v="0"/>
    <n v="78.245352700321064"/>
    <n v="102.8"/>
    <n v="5.14"/>
    <n v="107.94"/>
    <s v="Delivered"/>
    <m/>
    <s v="SO18431"/>
    <x v="11"/>
  </r>
  <r>
    <n v="1"/>
    <s v="SO18432"/>
    <s v="MB21-00195697"/>
    <s v="Motion Industries Inc. (Canada) - Winnipeg"/>
    <d v="2025-12-16T13:46:29"/>
    <d v="2025-12-22T14:31:34"/>
    <d v="2025-12-29T00:00:00"/>
    <s v="Aleksandar Stankovic"/>
    <x v="0"/>
    <n v="1"/>
    <n v="105"/>
    <n v="0"/>
    <n v="76.389850163842553"/>
    <n v="100"/>
    <n v="5"/>
    <n v="105"/>
    <s v="Delivered"/>
    <m/>
    <s v="SO18432"/>
    <x v="11"/>
  </r>
  <r>
    <n v="0"/>
    <s v="SO18433"/>
    <s v="4500626853"/>
    <s v="Resolute Forest Products - Dolbeau"/>
    <d v="2025-12-16T13:59:13"/>
    <d v="2025-12-16T17:26:38"/>
    <d v="2026-03-10T00:00:00"/>
    <s v="Ian Trottier"/>
    <x v="1"/>
    <n v="0.72641002219915185"/>
    <n v="11122.850391765191"/>
    <n v="0"/>
    <n v="8079.75"/>
    <n v="7695"/>
    <n v="384.75"/>
    <n v="8079.75"/>
    <s v="Processing"/>
    <m/>
    <s v="SO18433"/>
    <x v="11"/>
  </r>
  <r>
    <n v="2"/>
    <s v="SO18434"/>
    <s v="2004-10223058/335 - Paid in full on Jan 5th 2026"/>
    <s v="Yossi Avisar Technologies Ltd."/>
    <d v="2025-12-16T14:28:28"/>
    <d v="2025-12-31T11:25:28"/>
    <d v="2026-01-05T00:00:00"/>
    <s v="Ian Trottier"/>
    <x v="1"/>
    <n v="0.73094557927967363"/>
    <n v="9008.3861051447602"/>
    <n v="0"/>
    <n v="6584.64"/>
    <n v="6584.64"/>
    <m/>
    <n v="6584.64"/>
    <s v="Delivered"/>
    <m/>
    <s v="SO18434"/>
    <x v="11"/>
  </r>
  <r>
    <n v="0"/>
    <s v="SO18435"/>
    <s v="2100716052"/>
    <s v="Wajax Limited - Val D'Or, Wajax Limited - Val D'Or"/>
    <d v="2025-12-16T16:19:51"/>
    <d v="2025-12-17T09:46:35"/>
    <d v="2026-01-11T00:00:00"/>
    <s v="Aleksandar Stankovic"/>
    <x v="0"/>
    <n v="1"/>
    <n v="523.91"/>
    <n v="0"/>
    <n v="379.78064418403932"/>
    <n v="498.96"/>
    <n v="24.95"/>
    <n v="523.91"/>
    <s v="Processing"/>
    <m/>
    <s v="SO18435"/>
    <x v="11"/>
  </r>
  <r>
    <n v="0"/>
    <s v="SO18436"/>
    <s v="4512632354"/>
    <s v="PT Vale Indonesia Tbk."/>
    <d v="2025-12-17T09:25:53"/>
    <d v="2025-12-17T09:26:54"/>
    <d v="2026-02-06T00:00:00"/>
    <s v="Ian Trottier"/>
    <x v="1"/>
    <n v="0.72641002219915185"/>
    <n v="1024.214943714014"/>
    <n v="0"/>
    <n v="744"/>
    <n v="744"/>
    <m/>
    <n v="744"/>
    <s v="Processing"/>
    <m/>
    <s v="SO18436"/>
    <x v="11"/>
  </r>
  <r>
    <n v="0"/>
    <s v="SO18437"/>
    <s v="4512632355"/>
    <s v="PT Vale Indonesia Tbk."/>
    <d v="2025-12-17T09:35:53"/>
    <d v="2025-12-17T09:35:55"/>
    <d v="2026-02-06T00:00:00"/>
    <s v="Ian Trottier"/>
    <x v="1"/>
    <n v="0.72641002219915185"/>
    <n v="1024.214943714014"/>
    <n v="0"/>
    <n v="744"/>
    <n v="744"/>
    <m/>
    <n v="744"/>
    <s v="Processing"/>
    <m/>
    <s v="SO18437"/>
    <x v="11"/>
  </r>
  <r>
    <n v="0"/>
    <s v="SO18440"/>
    <s v="AZ52-00117403"/>
    <s v="Motion Industries Inc. (U.S.) - Tucson"/>
    <d v="2025-12-17T12:40:23"/>
    <d v="2025-12-18T09:04:58"/>
    <d v="2026-03-12T00:00:00"/>
    <s v="Wilka Nuñez"/>
    <x v="1"/>
    <n v="0.72731051874077046"/>
    <n v="3586.446136536234"/>
    <n v="0"/>
    <n v="2608.46"/>
    <n v="2608.46"/>
    <m/>
    <n v="2608.46"/>
    <s v="Processing"/>
    <m/>
    <s v="SO18440"/>
    <x v="11"/>
  </r>
  <r>
    <n v="1"/>
    <s v="SO18444"/>
    <s v="4500923304"/>
    <s v="Cameco Corporation - Blind River Refinery"/>
    <d v="2025-12-17T17:59:35"/>
    <d v="2025-12-17T17:59:38"/>
    <d v="2025-12-18T00:00:00"/>
    <s v="Ian Trottier"/>
    <x v="0"/>
    <n v="1"/>
    <n v="219.41"/>
    <n v="0"/>
    <n v="159.04959084655769"/>
    <n v="194.17"/>
    <n v="25.24"/>
    <n v="219.41"/>
    <s v="Delivered"/>
    <m/>
    <s v="SO18444"/>
    <x v="11"/>
  </r>
  <r>
    <n v="1"/>
    <s v="SO18445"/>
    <s v="PO-008523"/>
    <s v="Sling-Choker Manufacturing - Timmins"/>
    <d v="2025-12-18T14:52:34"/>
    <d v="2025-12-22T15:50:25"/>
    <m/>
    <s v="Wilka Nuñez"/>
    <x v="0"/>
    <n v="1"/>
    <n v="15547.2"/>
    <n v="0"/>
    <n v="11310.93598540279"/>
    <n v="13758.59"/>
    <n v="1788.61"/>
    <n v="15547.2"/>
    <s v="Processing"/>
    <m/>
    <s v="SO18445"/>
    <x v="11"/>
  </r>
  <r>
    <n v="0"/>
    <s v="SO18446"/>
    <s v="4500627804"/>
    <s v="Resolute Forest Products - Saint-Felicien"/>
    <d v="2025-12-18T17:53:36"/>
    <d v="2025-12-22T17:50:05"/>
    <d v="2026-01-19T00:00:00"/>
    <s v="Ian Trottier"/>
    <x v="0"/>
    <n v="1"/>
    <n v="1465.82"/>
    <n v="0"/>
    <n v="1066.416858734892"/>
    <n v="1297.19"/>
    <n v="168.63"/>
    <n v="1465.82"/>
    <s v="Processing"/>
    <m/>
    <s v="SO18446"/>
    <x v="11"/>
  </r>
  <r>
    <n v="1"/>
    <s v="SO18452"/>
    <s v="8196"/>
    <s v="Hyperflo"/>
    <d v="2025-12-19T11:22:53"/>
    <d v="2025-12-19T15:36:17"/>
    <d v="2025-12-22T00:00:00"/>
    <s v="Aleksandar Stankovic"/>
    <x v="0"/>
    <n v="1"/>
    <n v="181.21"/>
    <n v="0"/>
    <n v="131.48285396781159"/>
    <n v="172.58"/>
    <n v="8.6300000000000008"/>
    <n v="181.21"/>
    <s v="Delivered"/>
    <m/>
    <s v="SO18452"/>
    <x v="11"/>
  </r>
  <r>
    <n v="0"/>
    <s v="SO18453"/>
    <s v="PO-40-1020263"/>
    <s v="Canadian Bearings Ltd."/>
    <d v="2025-12-19T11:29:44"/>
    <d v="2025-12-29T10:02:00"/>
    <d v="2026-02-04T00:00:00"/>
    <s v="Wilka Nuñez"/>
    <x v="0"/>
    <n v="1"/>
    <n v="96.5"/>
    <n v="0"/>
    <n v="70.527025146096804"/>
    <n v="91.9"/>
    <n v="4.5999999999999996"/>
    <n v="96.5"/>
    <s v="Processing"/>
    <m/>
    <s v="SO18453"/>
    <x v="11"/>
  </r>
  <r>
    <n v="0"/>
    <s v="SO18454"/>
    <s v="4501362599"/>
    <s v="Barrick Gold - Pueblo Viejo Dominicana Corporation"/>
    <d v="2025-12-19T12:25:54"/>
    <d v="2025-12-19T12:34:59"/>
    <d v="2026-02-13T00:00:00"/>
    <s v="Wilka Nuñez"/>
    <x v="1"/>
    <n v="0.72489672688828111"/>
    <n v="8952.4476512088841"/>
    <n v="0"/>
    <n v="6489.6"/>
    <n v="6489.6"/>
    <m/>
    <n v="6489.6"/>
    <s v="To Deliver"/>
    <m/>
    <s v="SO18454"/>
    <x v="11"/>
  </r>
  <r>
    <n v="0"/>
    <s v="SO18455"/>
    <s v="PO -  BC65-00082779"/>
    <s v="Motion Industries Inc. (Canada) - Prince George"/>
    <d v="2025-12-19T15:03:46"/>
    <d v="2025-12-23T16:23:13"/>
    <d v="2026-04-07T00:00:00"/>
    <s v="Aleksandar Stankovic"/>
    <x v="0"/>
    <n v="1"/>
    <n v="9351.15"/>
    <n v="0"/>
    <n v="6819.4420405712654"/>
    <n v="8905.86"/>
    <n v="445.29"/>
    <n v="9351.15"/>
    <s v="To Deliver"/>
    <m/>
    <s v="SO18455"/>
    <x v="11"/>
  </r>
  <r>
    <n v="0"/>
    <s v="SO18456"/>
    <s v="OC00242"/>
    <s v="Dynapro Pumps México S de RL de CV"/>
    <d v="2025-12-19T16:15:15"/>
    <d v="2025-12-19T16:15:17"/>
    <d v="2026-02-20T00:00:00"/>
    <s v="Yannett Yeomans"/>
    <x v="1"/>
    <n v="0.72489672688828111"/>
    <n v="27590.136992137828"/>
    <n v="0"/>
    <n v="20000"/>
    <n v="20000"/>
    <m/>
    <n v="20000"/>
    <s v="Processing"/>
    <m/>
    <s v="SO18456"/>
    <x v="11"/>
  </r>
  <r>
    <n v="0"/>
    <s v="SO18460"/>
    <s v="PONV-25-2458"/>
    <s v="Tech-Flow"/>
    <d v="2025-12-22T10:31:02"/>
    <d v="2025-12-22T17:08:42"/>
    <d v="2026-03-02T00:00:00"/>
    <s v="Aleksandar Stankovic"/>
    <x v="1"/>
    <n v="0.72485477712329316"/>
    <n v="20404.087089963839"/>
    <n v="0"/>
    <n v="14790"/>
    <n v="14790"/>
    <m/>
    <n v="14790"/>
    <s v="Processing"/>
    <m/>
    <s v="SO18460"/>
    <x v="11"/>
  </r>
  <r>
    <n v="1"/>
    <s v="SO18461"/>
    <s v="2200120407"/>
    <s v="Wajax Limited - Noranda"/>
    <d v="2025-12-22T11:17:51"/>
    <d v="2025-12-22T14:55:17"/>
    <m/>
    <s v="Wilka Nuñez"/>
    <x v="0"/>
    <n v="1"/>
    <n v="1128.75"/>
    <n v="0"/>
    <n v="821.19088926130746"/>
    <n v="1075"/>
    <n v="53.75"/>
    <n v="1128.75"/>
    <s v="Delivered"/>
    <m/>
    <s v="SO18461"/>
    <x v="11"/>
  </r>
  <r>
    <n v="1"/>
    <s v="SO18465"/>
    <s v="2100719117"/>
    <s v="Wajax Limited - Noranda"/>
    <d v="2025-12-22T14:35:05"/>
    <d v="2025-12-22T14:40:49"/>
    <m/>
    <s v="Wilka Nuñez"/>
    <x v="0"/>
    <n v="1"/>
    <n v="441.86"/>
    <n v="0"/>
    <n v="321.46303993709972"/>
    <n v="420.82"/>
    <n v="21.04"/>
    <n v="441.86"/>
    <s v="Delivered"/>
    <m/>
    <s v="SO18465"/>
    <x v="11"/>
  </r>
  <r>
    <n v="1"/>
    <s v="SO18466"/>
    <s v="4500628246"/>
    <s v="Resolute Forest Products - Clermont"/>
    <d v="2025-12-23T09:27:15"/>
    <d v="2025-12-30T16:36:07"/>
    <d v="2025-12-31T00:00:00"/>
    <s v="Ian Trottier"/>
    <x v="0"/>
    <n v="1"/>
    <n v="1164.57"/>
    <n v="0"/>
    <n v="851.23729326172952"/>
    <n v="1109.1099999999999"/>
    <n v="55.46"/>
    <n v="1164.57"/>
    <s v="Delivered"/>
    <m/>
    <s v="SO18466"/>
    <x v="11"/>
  </r>
  <r>
    <n v="1"/>
    <s v="SO18467"/>
    <s v="PO-3010045"/>
    <s v="SCG Process"/>
    <d v="2025-12-23T09:27:18"/>
    <d v="2025-12-23T09:30:39"/>
    <d v="2025-12-29T00:00:00"/>
    <s v="Wilka Nuñez"/>
    <x v="0"/>
    <n v="1"/>
    <n v="3055.14"/>
    <n v="0"/>
    <n v="2227.9987120119872"/>
    <n v="2909.65"/>
    <n v="145.49"/>
    <n v="3055.14"/>
    <s v="Delivered"/>
    <m/>
    <s v="SO18467"/>
    <x v="11"/>
  </r>
  <r>
    <n v="0"/>
    <s v="SO18468"/>
    <s v="1068"/>
    <s v="Mill-Right Mine Services Inc."/>
    <d v="2025-12-23T09:31:20"/>
    <d v="2025-12-24T09:24:26"/>
    <d v="2025-12-29T00:00:00"/>
    <s v="Amanda Qiao"/>
    <x v="1"/>
    <n v="0.72752238251278623"/>
    <n v="242.8241443099453"/>
    <n v="0"/>
    <n v="176.66"/>
    <n v="176.66"/>
    <m/>
    <n v="176.66"/>
    <s v="To Deliver"/>
    <m/>
    <s v="SO18468"/>
    <x v="11"/>
  </r>
  <r>
    <n v="0"/>
    <s v="SO18471"/>
    <s v="4500924335"/>
    <s v="Cameco Corporation - Blind River Refinery, Cameco Corporation - Blind River Refinery"/>
    <d v="2025-12-23T17:04:57"/>
    <d v="2025-12-29T11:23:58"/>
    <d v="2026-01-05T00:00:00"/>
    <s v="Ian Trottier"/>
    <x v="0"/>
    <n v="1"/>
    <n v="4960.45"/>
    <n v="0"/>
    <n v="3625.3448900099061"/>
    <n v="4389.78"/>
    <n v="570.66999999999996"/>
    <n v="4960.45"/>
    <s v="To Deliver"/>
    <m/>
    <s v="SO18471"/>
    <x v="11"/>
  </r>
  <r>
    <n v="1"/>
    <s v="SO18472"/>
    <s v="PO-10-1087024"/>
    <s v="Canadian Bearings Ltd."/>
    <d v="2025-12-29T11:27:20"/>
    <d v="2025-12-29T11:27:38"/>
    <d v="2025-12-30T00:00:00"/>
    <s v="Aleksandar Stankovic"/>
    <x v="0"/>
    <n v="1"/>
    <n v="149.07"/>
    <n v="0"/>
    <n v="108.9478097256855"/>
    <n v="131.91999999999999"/>
    <n v="17.149999999999999"/>
    <n v="149.07"/>
    <s v="Delivered"/>
    <m/>
    <s v="SO18472"/>
    <x v="11"/>
  </r>
  <r>
    <n v="0"/>
    <s v="SO18477"/>
    <s v="PO# 8210"/>
    <s v="Hyperflo"/>
    <d v="2025-12-29T14:39:51"/>
    <d v="2025-12-29T14:35:32"/>
    <d v="2026-01-09T00:00:00"/>
    <s v="Aleksandar Stankovic"/>
    <x v="0"/>
    <n v="1"/>
    <n v="962.42"/>
    <n v="0"/>
    <n v="703.38465845706196"/>
    <n v="916.59"/>
    <n v="45.83"/>
    <n v="962.42"/>
    <s v="Processing"/>
    <m/>
    <s v="SO18477"/>
    <x v="11"/>
  </r>
  <r>
    <n v="0"/>
    <s v="SO18479"/>
    <s v="PONV-25-2472"/>
    <s v="Tech-Flow"/>
    <d v="2025-12-29T17:16:34"/>
    <d v="2025-12-29T18:34:42"/>
    <d v="2026-01-05T00:00:00"/>
    <s v="Alexis Gil Lamadrid"/>
    <x v="1"/>
    <n v="0.73120348989748496"/>
    <n v="3490.1091628512181"/>
    <n v="0"/>
    <n v="2551.98"/>
    <n v="2551.98"/>
    <m/>
    <n v="2551.98"/>
    <s v="Processing"/>
    <m/>
    <s v="SO18479"/>
    <x v="11"/>
  </r>
  <r>
    <n v="0"/>
    <s v="SO18482"/>
    <s v="8213"/>
    <s v="Hyperflo"/>
    <d v="2025-12-30T10:43:07"/>
    <d v="2026-01-06T12:29:47"/>
    <d v="2026-01-27T00:00:00"/>
    <s v="Wilka Nuñez"/>
    <x v="0"/>
    <n v="1"/>
    <n v="2991.57"/>
    <n v="2991.57"/>
    <n v="2991.57"/>
    <n v="2849.11"/>
    <n v="142.46"/>
    <n v="2991.57"/>
    <s v="To Deliver"/>
    <m/>
    <s v="SO18482"/>
    <x v="11"/>
  </r>
  <r>
    <n v="0"/>
    <s v="SO18484"/>
    <s v="P-123125"/>
    <s v="Cartledge &amp; Associates Inc."/>
    <d v="2025-12-31T12:18:17"/>
    <d v="2025-12-31T12:21:37"/>
    <m/>
    <s v="Wilka Nuñez"/>
    <x v="1"/>
    <n v="0.73094557927967363"/>
    <n v="4920.0653262641699"/>
    <n v="0"/>
    <n v="3596.3"/>
    <n v="3596.3"/>
    <m/>
    <n v="3596.3"/>
    <s v="To Deliver"/>
    <m/>
    <s v="SO18484"/>
    <x v="11"/>
  </r>
  <r>
    <m/>
    <m/>
    <m/>
    <m/>
    <m/>
    <m/>
    <m/>
    <m/>
    <x v="2"/>
    <m/>
    <m/>
    <m/>
    <m/>
    <m/>
    <m/>
    <m/>
    <m/>
    <m/>
    <m/>
    <x v="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1"/>
    <s v="SO16348"/>
    <m/>
    <x v="0"/>
    <x v="0"/>
    <m/>
    <s v="Ian Trottier"/>
    <n v="1"/>
    <n v="2025"/>
    <s v="INV12491"/>
    <n v="2"/>
    <n v="2025"/>
    <x v="0"/>
    <s v="Wesdome Gold Mines Ltd - Eagle River Mine"/>
    <s v="CAD"/>
    <n v="18278.97"/>
    <n v="12727.321809711637"/>
    <x v="0"/>
    <n v="0"/>
    <n v="12727.321809711637"/>
    <m/>
    <x v="0"/>
    <m/>
    <m/>
    <s v=""/>
    <s v=""/>
    <s v=""/>
    <s v=""/>
    <s v=""/>
    <s v=""/>
    <s v=""/>
    <s v=""/>
    <s v="[AC-98-231-121-501] Suction Side Plate, 8x6-18 SRL-C, Natural Rubber"/>
    <n v="0"/>
    <m/>
    <m/>
    <m/>
    <m/>
    <s v=""/>
    <s v=""/>
    <s v=""/>
    <s v=""/>
  </r>
  <r>
    <n v="1"/>
    <s v="SO16349"/>
    <m/>
    <x v="0"/>
    <x v="1"/>
    <m/>
    <s v="Amanda Qiao"/>
    <n v="1"/>
    <n v="2025"/>
    <s v="INV12951"/>
    <n v="7"/>
    <n v="2025"/>
    <x v="1"/>
    <s v="Zijin Mining - Rosebel Goldmines N.V."/>
    <s v="USD"/>
    <n v="16788.290829708509"/>
    <n v="11639.6"/>
    <x v="0"/>
    <n v="0"/>
    <n v="11639.6"/>
    <m/>
    <x v="0"/>
    <s v="Renewal"/>
    <m/>
    <s v=""/>
    <s v=""/>
    <n v="0.01"/>
    <s v=""/>
    <s v=""/>
    <s v=""/>
    <n v="116.396"/>
    <s v=""/>
    <s v="[100HP-1800-VHS] 100 HP, 1800 RPM, 460/3/60, 404TP Frame, TEFC, NEMA Standard, BMR USA VHS Motor"/>
    <n v="116.396"/>
    <m/>
    <m/>
    <n v="2503"/>
    <m/>
    <s v=""/>
    <s v=""/>
    <n v="0"/>
    <s v=""/>
  </r>
  <r>
    <n v="1"/>
    <s v="SO16350"/>
    <m/>
    <x v="1"/>
    <x v="0"/>
    <m/>
    <s v="Ian Trottier"/>
    <n v="1"/>
    <n v="2025"/>
    <s v="INV12497"/>
    <n v="2"/>
    <n v="2025"/>
    <x v="2"/>
    <s v="Alamos Gold Inc, Alamos Gold Inc Island Gold Division"/>
    <s v="CAD"/>
    <n v="1363.36"/>
    <n v="945.24006147894045"/>
    <x v="0"/>
    <n v="0"/>
    <n v="945.24006147894045"/>
    <m/>
    <x v="1"/>
    <m/>
    <m/>
    <s v=""/>
    <n v="5.0000000000000001E-3"/>
    <s v=""/>
    <s v=""/>
    <s v=""/>
    <n v="4.7262003073947021"/>
    <s v=""/>
    <s v=""/>
    <s v="[AC-52-118-681-804] Mechanical Seal, CSO, Type-9T, Carbon vs' Ceramic/Viton, O-Ring seat"/>
    <n v="4.7262003073947021"/>
    <m/>
    <m/>
    <m/>
    <m/>
    <s v=""/>
    <n v="4.7262003073947021"/>
    <s v=""/>
    <s v=""/>
  </r>
  <r>
    <n v="1"/>
    <s v="SO16353"/>
    <m/>
    <x v="0"/>
    <x v="0"/>
    <m/>
    <s v="Ian Trottier"/>
    <n v="1"/>
    <n v="2025"/>
    <s v="INV12591"/>
    <n v="2"/>
    <n v="2025"/>
    <x v="0"/>
    <s v="Sling-Choker Manufacturing - Timmins"/>
    <s v="CAD"/>
    <n v="2097.09"/>
    <n v="1453.9472190227605"/>
    <x v="0"/>
    <n v="0"/>
    <n v="1453.9472190227605"/>
    <m/>
    <x v="0"/>
    <m/>
    <m/>
    <s v=""/>
    <s v=""/>
    <s v=""/>
    <s v=""/>
    <s v=""/>
    <s v=""/>
    <s v=""/>
    <s v=""/>
    <s v="[G-1ST1F6C4] Pump, 1x1.25-6, Goulds NPE, SS Wet-End, Close-Coupled"/>
    <n v="0"/>
    <m/>
    <m/>
    <m/>
    <m/>
    <s v=""/>
    <s v=""/>
    <s v=""/>
    <s v=""/>
  </r>
  <r>
    <n v="1"/>
    <s v="SO16359"/>
    <m/>
    <x v="0"/>
    <x v="0"/>
    <m/>
    <s v="Ian Trottier"/>
    <n v="1"/>
    <n v="2025"/>
    <s v="INV12502"/>
    <n v="2"/>
    <n v="2025"/>
    <x v="0"/>
    <s v="Corrosion Fluid Products Corp., Corrosion Fluid Products Corp. - Chicago"/>
    <s v="USD"/>
    <n v="144.20876639573115"/>
    <n v="100.41"/>
    <x v="0"/>
    <n v="0"/>
    <n v="100.41"/>
    <m/>
    <x v="0"/>
    <m/>
    <m/>
    <s v=""/>
    <s v=""/>
    <s v=""/>
    <s v=""/>
    <s v=""/>
    <s v=""/>
    <s v=""/>
    <s v=""/>
    <s v="[GA-24059] Flinger, 2.5&quot;, G-Series VSP, 2.5&quot; 1000 Series or 1.5&quot; 5000 Series, Neoprene"/>
    <n v="0"/>
    <m/>
    <m/>
    <m/>
    <m/>
    <s v=""/>
    <s v=""/>
    <s v=""/>
    <s v=""/>
  </r>
  <r>
    <n v="1"/>
    <s v="SO16360"/>
    <m/>
    <x v="0"/>
    <x v="0"/>
    <m/>
    <s v="Ian Trottier"/>
    <n v="1"/>
    <n v="2025"/>
    <s v="INV12492"/>
    <n v="2"/>
    <n v="2025"/>
    <x v="0"/>
    <s v="Hyperflo"/>
    <s v="CAD"/>
    <n v="958.11"/>
    <n v="667.11495774120851"/>
    <x v="0"/>
    <n v="0"/>
    <n v="667.11495774120851"/>
    <m/>
    <x v="0"/>
    <m/>
    <m/>
    <s v=""/>
    <s v=""/>
    <s v=""/>
    <s v=""/>
    <s v=""/>
    <s v=""/>
    <s v=""/>
    <s v=""/>
    <s v="[AC-98-236-360-501] Gland Assembly, 8x6-18 &amp; 10x8-21 SRL-C, 316SS"/>
    <n v="0"/>
    <m/>
    <m/>
    <m/>
    <m/>
    <s v=""/>
    <s v=""/>
    <s v=""/>
    <s v=""/>
  </r>
  <r>
    <n v="1"/>
    <s v="SO16361"/>
    <m/>
    <x v="0"/>
    <x v="0"/>
    <m/>
    <s v="Ian Trottier"/>
    <n v="1"/>
    <n v="2025"/>
    <s v="INV12901"/>
    <n v="5"/>
    <n v="2025"/>
    <x v="0"/>
    <s v="Sling-Choker Manufacturing - Timmins"/>
    <s v="CAD"/>
    <n v="26543.7"/>
    <n v="18457.176791471589"/>
    <x v="0"/>
    <n v="0"/>
    <n v="18457.176791471589"/>
    <m/>
    <x v="0"/>
    <m/>
    <m/>
    <s v=""/>
    <s v=""/>
    <s v=""/>
    <s v=""/>
    <s v=""/>
    <s v=""/>
    <s v=""/>
    <s v=""/>
    <s v="[G-D03046A01 1203] Impeller (Less Rings), 6x8-22, 3410-M, 316SS"/>
    <n v="0"/>
    <m/>
    <m/>
    <m/>
    <m/>
    <s v=""/>
    <s v=""/>
    <s v=""/>
    <s v=""/>
  </r>
  <r>
    <n v="1"/>
    <s v="SO16362"/>
    <m/>
    <x v="2"/>
    <x v="0"/>
    <m/>
    <s v="Marlen Martinez"/>
    <n v="1"/>
    <n v="2025"/>
    <s v="INV12503"/>
    <n v="4"/>
    <n v="2025"/>
    <x v="0"/>
    <s v="Covia Corp - Junction City"/>
    <s v="CAD"/>
    <n v="8795"/>
    <n v="6131.3692546548436"/>
    <x v="0"/>
    <n v="845"/>
    <n v="5286.3692546548436"/>
    <m/>
    <x v="0"/>
    <m/>
    <m/>
    <s v=""/>
    <s v=""/>
    <s v=""/>
    <s v=""/>
    <s v=""/>
    <s v=""/>
    <s v=""/>
    <s v=""/>
    <s v="104069/6007 Throatbush, 12/10 ST, G or F-AH, Natural Rubber, Metric"/>
    <n v="0"/>
    <m/>
    <m/>
    <m/>
    <m/>
    <s v=""/>
    <s v=""/>
    <s v=""/>
    <s v=""/>
  </r>
  <r>
    <n v="1"/>
    <s v="SO16363"/>
    <m/>
    <x v="0"/>
    <x v="0"/>
    <m/>
    <s v="Ian Trottier"/>
    <n v="1"/>
    <n v="2025"/>
    <s v="INV12685"/>
    <n v="4"/>
    <n v="2025"/>
    <x v="0"/>
    <s v="Les Pompes du St-Laurent Inc."/>
    <s v="CAD"/>
    <n v="1081.44"/>
    <n v="752.98744392570018"/>
    <x v="0"/>
    <n v="0"/>
    <n v="752.98744392570018"/>
    <m/>
    <x v="0"/>
    <m/>
    <m/>
    <s v=""/>
    <s v=""/>
    <s v=""/>
    <s v=""/>
    <s v=""/>
    <s v=""/>
    <s v=""/>
    <s v=""/>
    <s v="[Y19847A-CK] Bearing Gasket Kit (3-Piece), Durco Mark 2 Group 1, Cork"/>
    <n v="0"/>
    <m/>
    <m/>
    <m/>
    <m/>
    <s v=""/>
    <s v=""/>
    <s v=""/>
    <s v=""/>
  </r>
  <r>
    <n v="1"/>
    <s v="SO16364"/>
    <m/>
    <x v="0"/>
    <x v="0"/>
    <m/>
    <s v="Ian Trottier"/>
    <n v="1"/>
    <n v="2025"/>
    <s v="INV12837"/>
    <n v="4"/>
    <n v="2025"/>
    <x v="0"/>
    <s v="Eleazar General &amp; Industrial Supplies Limited"/>
    <s v="USD"/>
    <n v="1896.8761542852972"/>
    <n v="1317.49"/>
    <x v="0"/>
    <n v="0"/>
    <n v="1317.49"/>
    <m/>
    <x v="0"/>
    <m/>
    <m/>
    <s v=""/>
    <s v=""/>
    <s v=""/>
    <s v=""/>
    <s v=""/>
    <s v=""/>
    <s v=""/>
    <s v=""/>
    <s v="[AC-98-039-047-506] Impeller (Closed), 5x4-14 SRL-C, Urethane"/>
    <n v="0"/>
    <m/>
    <m/>
    <m/>
    <m/>
    <s v=""/>
    <s v=""/>
    <s v=""/>
    <s v=""/>
  </r>
  <r>
    <n v="1"/>
    <s v="SO16368"/>
    <m/>
    <x v="0"/>
    <x v="0"/>
    <m/>
    <s v="Ian Trottier"/>
    <n v="1"/>
    <n v="2025"/>
    <s v="INV12509"/>
    <n v="3"/>
    <n v="2025"/>
    <x v="0"/>
    <s v="Grant Aggregate"/>
    <s v="CAD"/>
    <n v="15086.8"/>
    <n v="10478.653594277022"/>
    <x v="0"/>
    <n v="0"/>
    <n v="10478.653594277022"/>
    <m/>
    <x v="0"/>
    <m/>
    <m/>
    <s v=""/>
    <s v=""/>
    <s v=""/>
    <s v=""/>
    <s v=""/>
    <s v=""/>
    <s v=""/>
    <s v=""/>
    <s v="[AC-98-431-651-501] Impeller (Closed), 8x6-18 SRL-C, Natural Rubber"/>
    <n v="0"/>
    <m/>
    <m/>
    <m/>
    <m/>
    <s v=""/>
    <s v=""/>
    <s v=""/>
    <s v=""/>
  </r>
  <r>
    <n v="1"/>
    <s v="SO16369"/>
    <m/>
    <x v="0"/>
    <x v="0"/>
    <m/>
    <s v="Ian Trottier"/>
    <n v="1"/>
    <n v="2025"/>
    <s v="INV12493"/>
    <n v="2"/>
    <n v="2025"/>
    <x v="0"/>
    <s v="Manufacture Sling-Choker (Val-d’Or) Ltée"/>
    <s v="CAD"/>
    <n v="112.37"/>
    <n v="78.337915081928912"/>
    <x v="0"/>
    <n v="0"/>
    <n v="78.337915081928912"/>
    <m/>
    <x v="0"/>
    <m/>
    <m/>
    <s v=""/>
    <s v=""/>
    <s v=""/>
    <s v=""/>
    <s v=""/>
    <s v=""/>
    <s v=""/>
    <s v=""/>
    <s v="[AN18] Bearing Lock Nut, 8x6-18 &amp; 10x8-21 SRL-C, Steel"/>
    <n v="0"/>
    <m/>
    <m/>
    <m/>
    <m/>
    <s v=""/>
    <s v=""/>
    <s v=""/>
    <s v=""/>
  </r>
  <r>
    <n v="1"/>
    <s v="SO16372"/>
    <m/>
    <x v="0"/>
    <x v="0"/>
    <m/>
    <s v="Ian Trottier"/>
    <n v="1"/>
    <n v="2025"/>
    <s v="INV12779"/>
    <n v="4"/>
    <n v="2025"/>
    <x v="0"/>
    <s v="Les Pompes du St-Laurent Inc."/>
    <s v="CAD"/>
    <n v="1578.98"/>
    <n v="1097.9446350809351"/>
    <x v="0"/>
    <n v="0"/>
    <n v="1097.9446350809351"/>
    <m/>
    <x v="0"/>
    <m/>
    <m/>
    <s v=""/>
    <s v=""/>
    <s v=""/>
    <s v=""/>
    <s v=""/>
    <s v=""/>
    <s v=""/>
    <s v=""/>
    <s v="[G-R102-871 2229] Shaft (Sleeve Type), 3175-S, 316SS"/>
    <n v="0"/>
    <m/>
    <m/>
    <m/>
    <m/>
    <s v=""/>
    <s v=""/>
    <s v=""/>
    <s v=""/>
  </r>
  <r>
    <n v="1"/>
    <s v="SO16374"/>
    <m/>
    <x v="0"/>
    <x v="0"/>
    <m/>
    <s v="Ian Trottier"/>
    <n v="1"/>
    <n v="2025"/>
    <s v="INV12505"/>
    <n v="2"/>
    <n v="2025"/>
    <x v="0"/>
    <s v="Les Pompes du St-Laurent Inc."/>
    <s v="CAD"/>
    <n v="3603"/>
    <n v="2506.1862808928131"/>
    <x v="0"/>
    <n v="0"/>
    <n v="2506.1862808928131"/>
    <m/>
    <x v="0"/>
    <m/>
    <m/>
    <s v=""/>
    <s v=""/>
    <s v=""/>
    <s v=""/>
    <s v=""/>
    <s v=""/>
    <s v=""/>
    <s v=""/>
    <s v="[DU-DY53443A/FML-CD4] Rear Cover, 13&quot;, Durco Mark 2&amp;3 Group 2, CD4MCu, Flow Modifier Large Bore"/>
    <n v="0"/>
    <m/>
    <m/>
    <m/>
    <m/>
    <s v=""/>
    <s v=""/>
    <s v=""/>
    <s v=""/>
  </r>
  <r>
    <n v="1"/>
    <s v="SO16375"/>
    <m/>
    <x v="2"/>
    <x v="0"/>
    <m/>
    <s v="Marlen Martinez"/>
    <n v="1"/>
    <n v="2025"/>
    <s v="INV12504"/>
    <n v="4"/>
    <n v="2025"/>
    <x v="0"/>
    <s v="Covia Corp - Junction City"/>
    <s v="CAD"/>
    <n v="5506"/>
    <n v="3829.8811164573499"/>
    <x v="0"/>
    <n v="0"/>
    <n v="3829.8811164573499"/>
    <m/>
    <x v="0"/>
    <m/>
    <m/>
    <s v=""/>
    <s v=""/>
    <s v=""/>
    <s v=""/>
    <s v=""/>
    <s v=""/>
    <s v=""/>
    <s v=""/>
    <s v="102917/0003 Volute Liner, 6/4 F-HH, High Chrome"/>
    <n v="0"/>
    <m/>
    <m/>
    <m/>
    <m/>
    <s v=""/>
    <s v=""/>
    <s v=""/>
    <s v=""/>
  </r>
  <r>
    <n v="1"/>
    <s v="SO16376"/>
    <m/>
    <x v="0"/>
    <x v="0"/>
    <m/>
    <s v="Ian Trottier"/>
    <n v="1"/>
    <n v="2025"/>
    <s v="INV12592"/>
    <n v="2"/>
    <n v="2025"/>
    <x v="0"/>
    <s v="Sling-Choker Manufacturing - Timmins"/>
    <s v="CAD"/>
    <n v="12346.61"/>
    <n v="8607.3479196377539"/>
    <x v="0"/>
    <n v="0"/>
    <n v="8607.3479196377539"/>
    <m/>
    <x v="0"/>
    <m/>
    <m/>
    <s v=""/>
    <s v=""/>
    <s v=""/>
    <s v=""/>
    <s v=""/>
    <s v=""/>
    <s v=""/>
    <s v=""/>
    <s v="[D-196 2x3-13 LTX CD4MCu] Pump, 2x3-13, D-196 LTX, CD4MCu"/>
    <n v="0"/>
    <m/>
    <m/>
    <m/>
    <m/>
    <s v=""/>
    <s v=""/>
    <s v=""/>
    <s v=""/>
  </r>
  <r>
    <n v="1"/>
    <s v="SO16377"/>
    <m/>
    <x v="0"/>
    <x v="0"/>
    <m/>
    <s v="Ian Trottier"/>
    <n v="1"/>
    <n v="2025"/>
    <s v="INV12597"/>
    <n v="3"/>
    <n v="2025"/>
    <x v="0"/>
    <s v="Gibraltar Mine (Canada)"/>
    <s v="CAD"/>
    <n v="5112.25"/>
    <n v="3563.9673078009341"/>
    <x v="0"/>
    <n v="0"/>
    <n v="3563.9673078009341"/>
    <m/>
    <x v="0"/>
    <m/>
    <m/>
    <s v=""/>
    <s v=""/>
    <s v=""/>
    <s v=""/>
    <s v=""/>
    <s v=""/>
    <s v=""/>
    <s v=""/>
    <s v="[GA-24263] Impeller, 3.5&quot; G-Series VSP, 1000 Series, Urethane"/>
    <n v="0"/>
    <m/>
    <m/>
    <m/>
    <m/>
    <s v=""/>
    <s v=""/>
    <s v=""/>
    <s v=""/>
  </r>
  <r>
    <n v="1"/>
    <s v="SO16378"/>
    <m/>
    <x v="0"/>
    <x v="0"/>
    <m/>
    <s v="Ian Trottier"/>
    <n v="1"/>
    <n v="2025"/>
    <s v="INV12543"/>
    <n v="2"/>
    <n v="2025"/>
    <x v="0"/>
    <s v="Motion Industries Inc. (Canada) - Quesnel"/>
    <s v="CAD"/>
    <n v="987.57"/>
    <n v="686.93710391932177"/>
    <x v="0"/>
    <n v="0"/>
    <n v="686.93710391932177"/>
    <m/>
    <x v="0"/>
    <m/>
    <m/>
    <s v=""/>
    <s v=""/>
    <s v=""/>
    <s v=""/>
    <s v=""/>
    <s v=""/>
    <s v=""/>
    <s v=""/>
    <s v="[G-73705X 2229] Shaft Sleeve, 3196 MTX, 316SS"/>
    <n v="0"/>
    <m/>
    <m/>
    <m/>
    <m/>
    <s v=""/>
    <s v=""/>
    <s v=""/>
    <s v=""/>
  </r>
  <r>
    <n v="1"/>
    <s v="SO16379"/>
    <m/>
    <x v="0"/>
    <x v="0"/>
    <m/>
    <s v="Taylor Cook"/>
    <n v="1"/>
    <n v="2025"/>
    <s v="INV12494"/>
    <n v="2"/>
    <n v="2025"/>
    <x v="0"/>
    <s v="Sling-Choker Manufacturing - Timmins"/>
    <s v="CAD"/>
    <n v="1776.49"/>
    <n v="1235.6966045360184"/>
    <x v="0"/>
    <n v="0"/>
    <n v="1235.6966045360184"/>
    <m/>
    <x v="0"/>
    <m/>
    <m/>
    <s v=""/>
    <s v=""/>
    <s v=""/>
    <s v=""/>
    <s v=""/>
    <s v=""/>
    <s v=""/>
    <s v=""/>
    <s v="[AC-98-231-070-501] Gland Side Liner, 3x3-10 SRL, Natural Rubber"/>
    <n v="0"/>
    <m/>
    <m/>
    <m/>
    <m/>
    <s v=""/>
    <s v=""/>
    <s v=""/>
    <s v=""/>
  </r>
  <r>
    <n v="3"/>
    <s v="SO16380"/>
    <m/>
    <x v="0"/>
    <x v="0"/>
    <m/>
    <s v="Taylor Cook"/>
    <n v="1"/>
    <n v="2025"/>
    <s v="INV12496"/>
    <n v="1"/>
    <n v="2025"/>
    <x v="0"/>
    <s v="Wild Rows Pump &amp; Compression LTD."/>
    <s v="CAD"/>
    <n v="3955.95"/>
    <n v="2751.6923724390576"/>
    <x v="0"/>
    <n v="0"/>
    <n v="2751.6923724390576"/>
    <m/>
    <x v="0"/>
    <m/>
    <m/>
    <s v=""/>
    <s v=""/>
    <s v=""/>
    <s v=""/>
    <s v=""/>
    <s v=""/>
    <s v=""/>
    <s v=""/>
    <s v="[W-C217/S50] O-Ring Impeller Seal, 3/2 C-AH, Viton"/>
    <n v="0"/>
    <m/>
    <m/>
    <m/>
    <m/>
    <s v=""/>
    <s v=""/>
    <s v=""/>
    <s v=""/>
  </r>
  <r>
    <n v="3"/>
    <s v="SO16380"/>
    <m/>
    <x v="0"/>
    <x v="0"/>
    <m/>
    <n v="0"/>
    <n v="1"/>
    <n v="2025"/>
    <s v="INV12584"/>
    <n v="1"/>
    <n v="2025"/>
    <x v="0"/>
    <s v="Wild Rows Pump &amp; Compression LTD."/>
    <s v="CAD"/>
    <n v="0"/>
    <n v="0"/>
    <x v="1"/>
    <n v="0"/>
    <n v="0"/>
    <m/>
    <x v="0"/>
    <m/>
    <m/>
    <s v=""/>
    <s v=""/>
    <s v=""/>
    <s v=""/>
    <s v=""/>
    <s v=""/>
    <s v=""/>
    <s v=""/>
    <s v="[W-C2017/U38] Cover Plate Liner, 3/2 C-AH, Urethane"/>
    <n v="0"/>
    <m/>
    <m/>
    <m/>
    <m/>
    <s v=""/>
    <s v=""/>
    <s v=""/>
    <s v=""/>
  </r>
  <r>
    <n v="3"/>
    <s v="SO16380"/>
    <m/>
    <x v="0"/>
    <x v="0"/>
    <m/>
    <n v="0"/>
    <n v="1"/>
    <n v="2025"/>
    <s v="INV12953"/>
    <n v="5"/>
    <n v="2025"/>
    <x v="0"/>
    <s v="Wild Rows Pump &amp; Compression LTD."/>
    <s v="CAD"/>
    <n v="0"/>
    <n v="0"/>
    <x v="1"/>
    <n v="0"/>
    <n v="0"/>
    <m/>
    <x v="0"/>
    <m/>
    <m/>
    <s v=""/>
    <s v=""/>
    <s v=""/>
    <s v=""/>
    <s v=""/>
    <s v=""/>
    <s v=""/>
    <s v=""/>
    <s v="[W-C2147/A61] Impeller, 3/2 C-AH, Hyperchrome"/>
    <n v="0"/>
    <m/>
    <m/>
    <m/>
    <m/>
    <s v=""/>
    <s v=""/>
    <s v=""/>
    <s v=""/>
  </r>
  <r>
    <n v="1"/>
    <s v="SO16381"/>
    <m/>
    <x v="0"/>
    <x v="0"/>
    <m/>
    <s v="Ian Trottier"/>
    <n v="1"/>
    <n v="2025"/>
    <s v="INV12500"/>
    <n v="2"/>
    <n v="2025"/>
    <x v="0"/>
    <s v="Hyperflo"/>
    <s v="CAD"/>
    <n v="916.59"/>
    <n v="637.56460816085041"/>
    <x v="0"/>
    <n v="0"/>
    <n v="637.56460816085041"/>
    <m/>
    <x v="0"/>
    <m/>
    <m/>
    <s v=""/>
    <s v=""/>
    <s v=""/>
    <s v=""/>
    <s v=""/>
    <s v=""/>
    <s v=""/>
    <s v=""/>
    <s v="[AC-98-234-808-501] Gland Assembly, 12x10-25 SRL-C, Cast Iron"/>
    <n v="0"/>
    <m/>
    <m/>
    <m/>
    <m/>
    <s v=""/>
    <s v=""/>
    <s v=""/>
    <s v=""/>
  </r>
  <r>
    <n v="1"/>
    <s v="SO16382"/>
    <m/>
    <x v="0"/>
    <x v="0"/>
    <m/>
    <s v="Ian Trottier"/>
    <n v="1"/>
    <n v="2025"/>
    <s v="INV12495"/>
    <n v="2"/>
    <n v="2025"/>
    <x v="0"/>
    <s v="Hoffman-Kane Distributors, Inc."/>
    <s v="USD"/>
    <n v="197.62097170711183"/>
    <n v="137.77000000000001"/>
    <x v="0"/>
    <n v="0"/>
    <n v="137.77000000000001"/>
    <m/>
    <x v="0"/>
    <m/>
    <m/>
    <s v=""/>
    <s v=""/>
    <s v=""/>
    <s v=""/>
    <s v=""/>
    <s v=""/>
    <s v=""/>
    <s v=""/>
    <s v="[W-E4124/S01] Volute Liner Seal, 6/4 D or E-AH, EPDM Rubber"/>
    <n v="0"/>
    <m/>
    <m/>
    <m/>
    <m/>
    <s v=""/>
    <s v=""/>
    <s v=""/>
    <s v=""/>
  </r>
  <r>
    <n v="1"/>
    <s v="SO16383"/>
    <m/>
    <x v="0"/>
    <x v="0"/>
    <m/>
    <s v="Jeff Bell"/>
    <n v="1"/>
    <n v="2025"/>
    <s v="INV12761"/>
    <n v="5"/>
    <n v="2025"/>
    <x v="0"/>
    <s v="Barrick Gold - Pueblo Viejo Dominicana Corporation"/>
    <s v="USD"/>
    <n v="15727.809341434107"/>
    <n v="10940"/>
    <x v="0"/>
    <n v="0"/>
    <n v="10940"/>
    <m/>
    <x v="0"/>
    <m/>
    <m/>
    <s v=""/>
    <s v=""/>
    <s v=""/>
    <s v=""/>
    <s v=""/>
    <s v=""/>
    <s v=""/>
    <s v=""/>
    <s v="[FS-60361M3-01  165MMRKCS-02G2AS2-2Z1-RW/LU] RKCS, 165mm, Slurry Cartridge Seal, Heavy Duty Stationary, Multi-Spring, SC vs SC"/>
    <n v="0"/>
    <m/>
    <m/>
    <m/>
    <m/>
    <s v=""/>
    <s v=""/>
    <s v=""/>
    <s v=""/>
  </r>
  <r>
    <n v="1"/>
    <s v="SO16384"/>
    <m/>
    <x v="1"/>
    <x v="0"/>
    <m/>
    <s v="Ian Trottier"/>
    <n v="1"/>
    <n v="2025"/>
    <s v="INV13051"/>
    <n v="7"/>
    <n v="2025"/>
    <x v="1"/>
    <s v="Les Pompes du St-Laurent Inc."/>
    <s v="CAD"/>
    <n v="1994.78"/>
    <n v="1387.5354619482009"/>
    <x v="0"/>
    <n v="0"/>
    <n v="1387.5354619482009"/>
    <m/>
    <x v="1"/>
    <m/>
    <m/>
    <s v=""/>
    <n v="5.0000000000000001E-3"/>
    <s v=""/>
    <s v=""/>
    <s v=""/>
    <n v="6.9376773097410052"/>
    <s v=""/>
    <s v=""/>
    <s v="[DU-DY53443A/FML-CD4] Rear Cover, 13&quot;, Durco Mark 2&amp;3 Group 2, CD4MCu, Flow Modifier Large Bore"/>
    <n v="6.9376773097410052"/>
    <m/>
    <m/>
    <m/>
    <m/>
    <s v=""/>
    <n v="6.9376773097410052"/>
    <s v=""/>
    <s v=""/>
  </r>
  <r>
    <n v="1"/>
    <s v="SO16385"/>
    <m/>
    <x v="0"/>
    <x v="0"/>
    <m/>
    <s v="Ian Trottier"/>
    <n v="1"/>
    <n v="2025"/>
    <s v="INV12579"/>
    <n v="2"/>
    <n v="2025"/>
    <x v="0"/>
    <s v="Les Pompes Diaspec Inc."/>
    <s v="CAD"/>
    <n v="11636.11"/>
    <n v="8083.3508942471726"/>
    <x v="0"/>
    <n v="0"/>
    <n v="8083.3508942471726"/>
    <m/>
    <x v="0"/>
    <m/>
    <m/>
    <s v=""/>
    <s v=""/>
    <s v=""/>
    <s v=""/>
    <s v=""/>
    <s v=""/>
    <s v=""/>
    <s v=""/>
    <s v="[D-2x3-11-JC-HC] Pump, 2x3-11, Dynapro DC, Frame 1J, High Chrome"/>
    <n v="0"/>
    <m/>
    <m/>
    <m/>
    <m/>
    <s v=""/>
    <s v=""/>
    <s v=""/>
    <s v=""/>
  </r>
  <r>
    <n v="1"/>
    <s v="SO16389"/>
    <m/>
    <x v="0"/>
    <x v="0"/>
    <m/>
    <s v="Taylor Cook"/>
    <n v="1"/>
    <n v="2025"/>
    <s v="INV12501"/>
    <n v="2"/>
    <n v="2025"/>
    <x v="0"/>
    <s v="Hyperflo"/>
    <s v="CAD"/>
    <n v="213.9"/>
    <n v="148.78524715042269"/>
    <x v="0"/>
    <n v="0"/>
    <n v="148.78524715042269"/>
    <m/>
    <x v="0"/>
    <m/>
    <m/>
    <s v=""/>
    <s v=""/>
    <s v=""/>
    <s v=""/>
    <s v=""/>
    <s v=""/>
    <s v=""/>
    <s v=""/>
    <s v="[AC-98-233-700-001] Bearing Cover Gasket (Inboard &amp; Outboard), 8x6-18 &amp; 10x8-21 SRL-C"/>
    <n v="0"/>
    <m/>
    <m/>
    <m/>
    <m/>
    <s v=""/>
    <s v=""/>
    <s v=""/>
    <s v=""/>
  </r>
  <r>
    <n v="2"/>
    <s v="SO16390"/>
    <m/>
    <x v="0"/>
    <x v="0"/>
    <m/>
    <s v="Ian Trottier"/>
    <n v="1"/>
    <n v="2025"/>
    <s v="INV12631"/>
    <n v="4"/>
    <n v="2025"/>
    <x v="0"/>
    <s v="Les Pompes du St-Laurent Inc."/>
    <s v="CAD"/>
    <n v="926.12"/>
    <n v="644.19351608672014"/>
    <x v="0"/>
    <n v="0"/>
    <n v="644.19351608672014"/>
    <m/>
    <x v="0"/>
    <m/>
    <m/>
    <s v=""/>
    <s v=""/>
    <s v=""/>
    <s v=""/>
    <s v=""/>
    <s v=""/>
    <s v=""/>
    <s v=""/>
    <s v="[AC-98-331-958-804] Shaft Sleeve, 3x3-10 SRL, Steel"/>
    <n v="0"/>
    <m/>
    <m/>
    <m/>
    <m/>
    <s v=""/>
    <s v=""/>
    <s v=""/>
    <s v=""/>
  </r>
  <r>
    <n v="2"/>
    <s v="SO16390"/>
    <m/>
    <x v="0"/>
    <x v="0"/>
    <m/>
    <n v="0"/>
    <n v="1"/>
    <n v="2025"/>
    <s v="INV12506"/>
    <n v="2"/>
    <n v="2025"/>
    <x v="0"/>
    <s v="Les Pompes du St-Laurent Inc."/>
    <s v="CAD"/>
    <n v="0"/>
    <n v="0"/>
    <x v="1"/>
    <n v="0"/>
    <n v="0"/>
    <m/>
    <x v="0"/>
    <m/>
    <m/>
    <s v=""/>
    <s v=""/>
    <s v=""/>
    <s v=""/>
    <s v=""/>
    <s v=""/>
    <s v=""/>
    <s v=""/>
    <s v="[AC-98-331-958-804] Shaft Sleeve, 3x3-10 SRL, Steel"/>
    <n v="0"/>
    <m/>
    <m/>
    <m/>
    <m/>
    <s v=""/>
    <s v=""/>
    <s v=""/>
    <s v=""/>
  </r>
  <r>
    <n v="1"/>
    <s v="SO16392"/>
    <m/>
    <x v="0"/>
    <x v="0"/>
    <m/>
    <s v="Ian Trottier"/>
    <n v="1"/>
    <n v="2025"/>
    <s v="INV12706"/>
    <n v="5"/>
    <n v="2025"/>
    <x v="0"/>
    <s v="Resolute Forest Products - Kenogami"/>
    <s v="CAD"/>
    <n v="7408.13"/>
    <n v="5154.72425238303"/>
    <x v="0"/>
    <n v="0"/>
    <n v="5154.72425238303"/>
    <m/>
    <x v="0"/>
    <m/>
    <m/>
    <s v=""/>
    <s v=""/>
    <s v=""/>
    <s v=""/>
    <s v=""/>
    <s v=""/>
    <s v=""/>
    <s v=""/>
    <s v="[58-950-883-001] Stuffing Box Cover, F-6D2 Frame, Allis Chalmers CW, Cast Iron"/>
    <n v="0"/>
    <m/>
    <m/>
    <m/>
    <m/>
    <s v=""/>
    <s v=""/>
    <s v=""/>
    <s v=""/>
  </r>
  <r>
    <n v="2"/>
    <s v="SO16393"/>
    <m/>
    <x v="0"/>
    <x v="0"/>
    <m/>
    <s v="Ian Trottier"/>
    <n v="1"/>
    <n v="2025"/>
    <s v="INV12704"/>
    <n v="4"/>
    <n v="2025"/>
    <x v="0"/>
    <s v="FMI Products"/>
    <s v="CAD"/>
    <n v="2363.9699999999998"/>
    <n v="1644.8973615346806"/>
    <x v="0"/>
    <n v="0"/>
    <n v="1644.8973615346806"/>
    <m/>
    <x v="0"/>
    <m/>
    <m/>
    <s v=""/>
    <s v=""/>
    <s v=""/>
    <s v=""/>
    <s v=""/>
    <s v=""/>
    <s v=""/>
    <s v=""/>
    <s v="[G-247-42 1012] Casing, 2x3-8, 3196 MTX, Ductile Iron"/>
    <n v="0"/>
    <m/>
    <m/>
    <m/>
    <m/>
    <s v=""/>
    <s v=""/>
    <s v=""/>
    <s v=""/>
  </r>
  <r>
    <n v="2"/>
    <s v="SO16393"/>
    <m/>
    <x v="0"/>
    <x v="0"/>
    <m/>
    <n v="0"/>
    <n v="1"/>
    <n v="2025"/>
    <s v="INV12541"/>
    <n v="2"/>
    <n v="2025"/>
    <x v="0"/>
    <s v="FMI Products"/>
    <s v="CAD"/>
    <n v="0"/>
    <n v="0"/>
    <x v="1"/>
    <n v="0"/>
    <n v="0"/>
    <m/>
    <x v="0"/>
    <m/>
    <m/>
    <s v=""/>
    <s v=""/>
    <s v=""/>
    <s v=""/>
    <s v=""/>
    <s v=""/>
    <s v=""/>
    <s v=""/>
    <s v="[G-R100-111 1012] Stuffing Box Cover, 7&quot; &amp; 8&quot;, 3196 MTX, Ductile Iron, Standard Bore, Non-Jacketed"/>
    <n v="0"/>
    <m/>
    <m/>
    <m/>
    <m/>
    <s v=""/>
    <s v=""/>
    <s v=""/>
    <s v=""/>
  </r>
  <r>
    <n v="1"/>
    <s v="SO16397"/>
    <m/>
    <x v="0"/>
    <x v="0"/>
    <m/>
    <s v="Ian Trottier"/>
    <n v="1"/>
    <n v="2025"/>
    <s v="INV12846"/>
    <n v="5"/>
    <n v="2025"/>
    <x v="0"/>
    <s v="Corrosion Fluid Products Corp."/>
    <s v="USD"/>
    <n v="1339.7088038775501"/>
    <n v="926.23"/>
    <x v="0"/>
    <n v="0"/>
    <n v="926.23"/>
    <m/>
    <x v="0"/>
    <m/>
    <m/>
    <s v=""/>
    <s v=""/>
    <s v=""/>
    <s v=""/>
    <s v=""/>
    <s v=""/>
    <s v=""/>
    <s v=""/>
    <s v="[GA-05498,WTW - NU 409 M1 C3] Bearing (Cylinder Roller), G-Series 2&quot; VSP, Steel, #2 Drive"/>
    <n v="0"/>
    <m/>
    <m/>
    <m/>
    <m/>
    <s v=""/>
    <s v=""/>
    <s v=""/>
    <s v=""/>
  </r>
  <r>
    <n v="1"/>
    <s v="SO16399"/>
    <m/>
    <x v="0"/>
    <x v="0"/>
    <m/>
    <s v="Taylor Cook"/>
    <n v="1"/>
    <n v="2025"/>
    <s v="INV12536"/>
    <n v="2"/>
    <n v="2025"/>
    <x v="0"/>
    <s v="Tantalum Mining Corporation of Canada"/>
    <s v="CAD"/>
    <n v="861.07"/>
    <n v="598.16647956313693"/>
    <x v="0"/>
    <n v="0"/>
    <n v="598.16647956313693"/>
    <m/>
    <x v="0"/>
    <m/>
    <m/>
    <s v=""/>
    <s v=""/>
    <s v=""/>
    <s v=""/>
    <s v=""/>
    <s v=""/>
    <s v=""/>
    <s v=""/>
    <s v="[AC-98-236-104-001] Shaft Sleeve, 8x6-18 &amp; 10x8-21 SRL-C, Steel"/>
    <n v="0"/>
    <m/>
    <m/>
    <m/>
    <m/>
    <s v=""/>
    <s v=""/>
    <s v=""/>
    <s v=""/>
  </r>
  <r>
    <n v="1"/>
    <s v="SO16400"/>
    <m/>
    <x v="0"/>
    <x v="0"/>
    <m/>
    <s v="Taylor Cook"/>
    <n v="1"/>
    <n v="2025"/>
    <s v="INV12662"/>
    <n v="4"/>
    <n v="2025"/>
    <x v="0"/>
    <s v="DXP Enterprises, Inc. - Pumping Solutions, Inc. - Hayward California"/>
    <s v="USD"/>
    <n v="3105.4443970498778"/>
    <n v="2160.83"/>
    <x v="0"/>
    <n v="0"/>
    <n v="2160.83"/>
    <m/>
    <x v="0"/>
    <m/>
    <m/>
    <s v=""/>
    <s v=""/>
    <s v=""/>
    <s v=""/>
    <s v=""/>
    <s v=""/>
    <s v=""/>
    <s v=""/>
    <s v="[W-MS-43DWX-TT] Single Cartridge Slurry Mechanical Seal w/Flush Gland, Tungsten vs Tungsten w/EPDM Elastomers, 316SS Gland"/>
    <n v="0"/>
    <m/>
    <m/>
    <m/>
    <m/>
    <s v=""/>
    <s v=""/>
    <s v=""/>
    <s v=""/>
  </r>
  <r>
    <n v="1"/>
    <s v="SO16401"/>
    <m/>
    <x v="0"/>
    <x v="0"/>
    <m/>
    <s v="Taylor Cook"/>
    <n v="1"/>
    <n v="2025"/>
    <s v="INV12574"/>
    <n v="2"/>
    <n v="2025"/>
    <x v="0"/>
    <s v="Motion Industries Inc. (U.S.) - Lakeland"/>
    <s v="USD"/>
    <n v="120.92901319932109"/>
    <n v="84"/>
    <x v="0"/>
    <n v="0"/>
    <n v="84"/>
    <m/>
    <x v="0"/>
    <m/>
    <m/>
    <s v=""/>
    <s v=""/>
    <s v=""/>
    <s v=""/>
    <s v=""/>
    <s v=""/>
    <s v=""/>
    <s v=""/>
    <s v="[W-E111] Premium Slurry Packing (Single Piece), 6/4 or 8/6 E, R-AH, Kevlar Fiber w/Silicon Core"/>
    <n v="0"/>
    <m/>
    <m/>
    <m/>
    <m/>
    <s v=""/>
    <s v=""/>
    <s v=""/>
    <s v=""/>
  </r>
  <r>
    <n v="1"/>
    <s v="SO16402"/>
    <m/>
    <x v="0"/>
    <x v="0"/>
    <m/>
    <s v="Amanda Qiao"/>
    <n v="1"/>
    <n v="2025"/>
    <s v="INV12530"/>
    <n v="3"/>
    <n v="2025"/>
    <x v="0"/>
    <s v="Zijin Mining - Rosebel Goldmines N.V."/>
    <s v="USD"/>
    <n v="5373.7110424893553"/>
    <n v="3732.7"/>
    <x v="0"/>
    <n v="250"/>
    <n v="3482.7"/>
    <m/>
    <x v="0"/>
    <m/>
    <m/>
    <s v=""/>
    <s v=""/>
    <s v=""/>
    <s v=""/>
    <s v=""/>
    <s v=""/>
    <s v=""/>
    <s v=""/>
    <s v="[W-QVR65073E/S40] Shaft, 65QV-SPR, 900mm, Neoprene"/>
    <n v="0"/>
    <m/>
    <m/>
    <m/>
    <m/>
    <s v=""/>
    <s v=""/>
    <s v=""/>
    <s v=""/>
  </r>
  <r>
    <n v="1"/>
    <s v="SO16403"/>
    <m/>
    <x v="0"/>
    <x v="0"/>
    <m/>
    <s v="Taylor Cook"/>
    <n v="1"/>
    <n v="2025"/>
    <s v="INV12508"/>
    <n v="2"/>
    <n v="2025"/>
    <x v="0"/>
    <s v="Motion Industries Inc. (Canada) - Winnipeg"/>
    <s v="CAD"/>
    <n v="540.29999999999995"/>
    <n v="374.24329219542551"/>
    <x v="0"/>
    <n v="0"/>
    <n v="374.24329219542551"/>
    <m/>
    <x v="0"/>
    <m/>
    <m/>
    <s v=""/>
    <s v=""/>
    <s v=""/>
    <s v=""/>
    <s v=""/>
    <s v=""/>
    <s v=""/>
    <s v=""/>
    <s v="[DU-DY21806ACP-DI] Adapter (Bearing Housing), 10&quot;, Durco Mark 2&amp;3 Group 2, Ductile Iron"/>
    <n v="0"/>
    <m/>
    <m/>
    <m/>
    <m/>
    <s v=""/>
    <s v=""/>
    <s v=""/>
    <s v=""/>
  </r>
  <r>
    <n v="1"/>
    <s v="SO16405"/>
    <m/>
    <x v="0"/>
    <x v="0"/>
    <m/>
    <s v="Taylor Cook"/>
    <n v="1"/>
    <n v="2025"/>
    <s v="INV12513"/>
    <n v="2"/>
    <n v="2025"/>
    <x v="0"/>
    <s v="Wajax Limited - Sorel-Tracy"/>
    <s v="CAD"/>
    <n v="2036.82"/>
    <n v="1410.8203265028435"/>
    <x v="0"/>
    <n v="0"/>
    <n v="1410.8203265028435"/>
    <m/>
    <x v="0"/>
    <m/>
    <m/>
    <s v=""/>
    <s v=""/>
    <s v=""/>
    <s v=""/>
    <s v=""/>
    <s v=""/>
    <s v=""/>
    <s v=""/>
    <s v="[AC-98-330-289-501] Impeller (Open), 5x5-14 SRL, Natural Rubber"/>
    <n v="0"/>
    <m/>
    <m/>
    <m/>
    <m/>
    <s v=""/>
    <s v=""/>
    <s v=""/>
    <s v=""/>
  </r>
  <r>
    <n v="1"/>
    <s v="SO16406"/>
    <m/>
    <x v="0"/>
    <x v="0"/>
    <m/>
    <s v="Ian Trottier"/>
    <n v="1"/>
    <n v="2025"/>
    <s v="INV12635"/>
    <n v="4"/>
    <n v="2025"/>
    <x v="0"/>
    <s v="Les Pompes du St-Laurent Inc."/>
    <s v="CAD"/>
    <n v="2246.1999999999998"/>
    <n v="1558.7412911773558"/>
    <x v="0"/>
    <n v="0"/>
    <n v="1558.7412911773558"/>
    <m/>
    <x v="0"/>
    <m/>
    <m/>
    <s v=""/>
    <s v=""/>
    <s v=""/>
    <s v=""/>
    <s v=""/>
    <s v=""/>
    <s v=""/>
    <s v=""/>
    <s v="[G-R100-585 1216] Stuffing Box Cover, 10&quot;, 3196 MTX, CD4MCu, Standard Bore, Non-Jacketed"/>
    <n v="0"/>
    <m/>
    <m/>
    <m/>
    <m/>
    <s v=""/>
    <s v=""/>
    <s v=""/>
    <s v=""/>
  </r>
  <r>
    <n v="1"/>
    <s v="SO16408"/>
    <m/>
    <x v="0"/>
    <x v="0"/>
    <m/>
    <s v="Ian Trottier"/>
    <n v="1"/>
    <n v="2025"/>
    <s v="INV12519"/>
    <n v="2"/>
    <n v="2025"/>
    <x v="0"/>
    <s v="Cartledge &amp; Associates Inc."/>
    <s v="USD"/>
    <n v="4614.2789779870072"/>
    <n v="3202.06"/>
    <x v="0"/>
    <n v="589"/>
    <n v="2613.06"/>
    <m/>
    <x v="0"/>
    <m/>
    <m/>
    <s v=""/>
    <s v=""/>
    <s v=""/>
    <s v=""/>
    <s v=""/>
    <s v=""/>
    <s v=""/>
    <s v=""/>
    <s v="[AC-98-231-121-501] Suction Side Plate, 8x6-18 SRL-C, Natural Rubber"/>
    <n v="0"/>
    <m/>
    <m/>
    <m/>
    <m/>
    <s v=""/>
    <s v=""/>
    <s v=""/>
    <s v=""/>
  </r>
  <r>
    <n v="1"/>
    <s v="SO16409"/>
    <m/>
    <x v="0"/>
    <x v="0"/>
    <m/>
    <s v="Ian Trottier"/>
    <n v="1"/>
    <n v="2025"/>
    <s v="INV12515"/>
    <n v="4"/>
    <n v="2025"/>
    <x v="0"/>
    <s v="Southeast Pump Specialist, Inc."/>
    <s v="USD"/>
    <n v="4344.1588545191835"/>
    <n v="3017.55"/>
    <x v="0"/>
    <n v="603"/>
    <n v="2414.5500000000002"/>
    <m/>
    <x v="0"/>
    <m/>
    <m/>
    <s v=""/>
    <s v=""/>
    <s v=""/>
    <s v=""/>
    <s v=""/>
    <s v=""/>
    <s v=""/>
    <s v=""/>
    <s v="[AC-98-331-910-801] Bearing Cylinder, 8x6-18 &amp; 10x8-21 SRL-C, Cast Iron"/>
    <n v="0"/>
    <m/>
    <m/>
    <m/>
    <m/>
    <s v=""/>
    <s v=""/>
    <s v=""/>
    <s v=""/>
  </r>
  <r>
    <n v="1"/>
    <s v="SO16411"/>
    <m/>
    <x v="0"/>
    <x v="0"/>
    <m/>
    <s v="Ian Trottier"/>
    <n v="1"/>
    <n v="2025"/>
    <s v="INV12535"/>
    <n v="2"/>
    <n v="2025"/>
    <x v="0"/>
    <s v="Les Pompes du St-Laurent Inc."/>
    <s v="CAD"/>
    <n v="2643.9"/>
    <n v="1834.7235774836672"/>
    <x v="0"/>
    <n v="0"/>
    <n v="1834.7235774836672"/>
    <m/>
    <x v="0"/>
    <m/>
    <m/>
    <s v=""/>
    <s v=""/>
    <s v=""/>
    <s v=""/>
    <s v=""/>
    <s v=""/>
    <s v=""/>
    <s v=""/>
    <s v="[DU-DY21806ACP-DI] Adapter (Bearing Housing), 10&quot;, Durco Mark 2&amp;3 Group 2, Ductile Iron"/>
    <n v="0"/>
    <m/>
    <m/>
    <m/>
    <m/>
    <s v=""/>
    <s v=""/>
    <s v=""/>
    <s v=""/>
  </r>
  <r>
    <n v="1"/>
    <s v="SO16412"/>
    <m/>
    <x v="0"/>
    <x v="0"/>
    <m/>
    <s v="Ian Trottier"/>
    <n v="1"/>
    <n v="2025"/>
    <s v="INV12539"/>
    <n v="2"/>
    <n v="2025"/>
    <x v="0"/>
    <s v="Glencore Canada Corporation - Rouyn-Noranda, Glencore Canada Corp."/>
    <s v="CAD"/>
    <n v="2336.66"/>
    <n v="1621.5156377181384"/>
    <x v="0"/>
    <n v="0"/>
    <n v="1621.5156377181384"/>
    <m/>
    <x v="0"/>
    <m/>
    <m/>
    <s v=""/>
    <s v=""/>
    <s v=""/>
    <s v=""/>
    <s v=""/>
    <s v=""/>
    <s v=""/>
    <s v=""/>
    <s v="[AC-98-233-733-514] Deflector (Water Slinger), 2x2-10 SRL, Neoprene/Steel"/>
    <n v="0"/>
    <m/>
    <m/>
    <m/>
    <m/>
    <s v=""/>
    <s v=""/>
    <s v=""/>
    <s v=""/>
  </r>
  <r>
    <n v="1"/>
    <s v="SO16413"/>
    <m/>
    <x v="0"/>
    <x v="0"/>
    <m/>
    <s v="Ian Trottier"/>
    <n v="1"/>
    <n v="2025"/>
    <s v="INV12516"/>
    <n v="2"/>
    <n v="2025"/>
    <x v="0"/>
    <s v="Motion Industries Inc. (U.S.) - Tucson"/>
    <s v="USD"/>
    <n v="478.65402438685237"/>
    <n v="332.16"/>
    <x v="0"/>
    <n v="0"/>
    <n v="332.16"/>
    <m/>
    <x v="0"/>
    <m/>
    <m/>
    <s v=""/>
    <s v=""/>
    <s v=""/>
    <s v=""/>
    <s v=""/>
    <s v=""/>
    <s v=""/>
    <s v=""/>
    <s v="[G-73705X 2229] Shaft Sleeve, 3196 MTX, 316SS"/>
    <n v="0"/>
    <m/>
    <m/>
    <m/>
    <m/>
    <s v=""/>
    <s v=""/>
    <s v=""/>
    <s v=""/>
  </r>
  <r>
    <n v="1"/>
    <s v="SO16414"/>
    <m/>
    <x v="0"/>
    <x v="0"/>
    <m/>
    <s v="Taylor Cook"/>
    <n v="1"/>
    <n v="2025"/>
    <s v="INV12626"/>
    <n v="3"/>
    <n v="2025"/>
    <x v="0"/>
    <s v="Electric Pump"/>
    <s v="USD"/>
    <n v="102.85459393102774"/>
    <n v="71.52"/>
    <x v="0"/>
    <n v="0"/>
    <n v="71.52"/>
    <m/>
    <x v="0"/>
    <m/>
    <m/>
    <s v=""/>
    <s v=""/>
    <s v=""/>
    <s v=""/>
    <s v=""/>
    <s v=""/>
    <s v=""/>
    <s v=""/>
    <s v="[W-D111] Premium Slurry Packing (Single Piece), 4/3 or 6/4 DH, Kevlar Fiber w/Silicon Core"/>
    <n v="0"/>
    <m/>
    <m/>
    <m/>
    <m/>
    <s v=""/>
    <s v=""/>
    <s v=""/>
    <s v=""/>
  </r>
  <r>
    <n v="1"/>
    <s v="SO16417"/>
    <m/>
    <x v="0"/>
    <x v="0"/>
    <m/>
    <s v="Jeff Bell"/>
    <n v="1"/>
    <n v="2025"/>
    <s v="INV12872"/>
    <n v="5"/>
    <n v="2025"/>
    <x v="0"/>
    <s v="Mill-Right Mine Services Inc."/>
    <s v="USD"/>
    <n v="5734.2424643442628"/>
    <n v="3990"/>
    <x v="0"/>
    <n v="0"/>
    <n v="3990"/>
    <m/>
    <x v="0"/>
    <m/>
    <m/>
    <s v=""/>
    <s v=""/>
    <s v=""/>
    <s v=""/>
    <s v=""/>
    <s v=""/>
    <s v=""/>
    <s v=""/>
    <s v="[GA-556540] Impeller, G-Series 6&quot; VSP, 8100 Series, High Chrome"/>
    <n v="0"/>
    <m/>
    <m/>
    <m/>
    <m/>
    <s v=""/>
    <s v=""/>
    <s v=""/>
    <s v=""/>
  </r>
  <r>
    <n v="1"/>
    <s v="SO16422"/>
    <m/>
    <x v="0"/>
    <x v="0"/>
    <m/>
    <s v="Ian Trottier"/>
    <n v="1"/>
    <n v="2025"/>
    <s v="INV12701"/>
    <n v="4"/>
    <n v="2025"/>
    <x v="0"/>
    <s v="Gibraltar Mine (Canada)"/>
    <s v="CAD"/>
    <n v="5815.61"/>
    <n v="4046.6171502661628"/>
    <x v="0"/>
    <n v="0"/>
    <n v="4046.6171502661628"/>
    <m/>
    <x v="0"/>
    <m/>
    <m/>
    <s v=""/>
    <s v=""/>
    <s v=""/>
    <s v=""/>
    <s v=""/>
    <s v=""/>
    <s v=""/>
    <s v=""/>
    <s v="[GA-23965] Impeller, G-Series 2.5&quot; VSP, 1000 Series, Urethane"/>
    <n v="0"/>
    <m/>
    <m/>
    <m/>
    <m/>
    <s v=""/>
    <s v=""/>
    <s v=""/>
    <s v=""/>
  </r>
  <r>
    <n v="1"/>
    <s v="SO16423"/>
    <m/>
    <x v="2"/>
    <x v="0"/>
    <m/>
    <s v="Marlen Martinez"/>
    <n v="1"/>
    <n v="2025"/>
    <s v="INV12544"/>
    <n v="5"/>
    <n v="2025"/>
    <x v="0"/>
    <s v="Covia Corp - Camden"/>
    <s v="CAD"/>
    <n v="5986"/>
    <n v="4162.3684819278751"/>
    <x v="0"/>
    <n v="386"/>
    <n v="3776.3684819278751"/>
    <m/>
    <x v="0"/>
    <m/>
    <m/>
    <s v=""/>
    <s v=""/>
    <s v=""/>
    <s v=""/>
    <s v=""/>
    <s v=""/>
    <s v=""/>
    <s v=""/>
    <s v="102392/6504 Lip Seal, 8/6 E-AH, Nitrile"/>
    <n v="0"/>
    <m/>
    <m/>
    <m/>
    <m/>
    <s v=""/>
    <s v=""/>
    <s v=""/>
    <s v=""/>
  </r>
  <r>
    <n v="1"/>
    <s v="SO16424"/>
    <m/>
    <x v="0"/>
    <x v="0"/>
    <m/>
    <s v="Ian Trottier"/>
    <n v="1"/>
    <n v="2025"/>
    <s v="INV12643"/>
    <n v="3"/>
    <n v="2025"/>
    <x v="0"/>
    <s v="Grant Aggregate"/>
    <s v="CAD"/>
    <n v="21498.92"/>
    <n v="15013.660195093944"/>
    <x v="0"/>
    <n v="0"/>
    <n v="15013.660195093944"/>
    <m/>
    <x v="0"/>
    <m/>
    <m/>
    <s v=""/>
    <s v=""/>
    <s v=""/>
    <s v=""/>
    <s v=""/>
    <s v=""/>
    <s v=""/>
    <s v=""/>
    <s v="[G-D02488A02 1216] Casing, 8x10-13, 3196 XLT, CD4MCu"/>
    <n v="0"/>
    <m/>
    <m/>
    <m/>
    <m/>
    <s v=""/>
    <s v=""/>
    <s v=""/>
    <s v=""/>
  </r>
  <r>
    <n v="1"/>
    <s v="SO16426"/>
    <m/>
    <x v="0"/>
    <x v="0"/>
    <m/>
    <s v="Ian Trottier"/>
    <n v="1"/>
    <n v="2025"/>
    <s v="INV12695"/>
    <n v="2"/>
    <n v="2025"/>
    <x v="0"/>
    <s v="Industrial Rigging &amp; Supply"/>
    <s v="CAD"/>
    <n v="846.16"/>
    <n v="586.7806643577569"/>
    <x v="0"/>
    <n v="0"/>
    <n v="586.7806643577569"/>
    <m/>
    <x v="0"/>
    <m/>
    <m/>
    <s v=""/>
    <s v=""/>
    <s v=""/>
    <s v=""/>
    <s v=""/>
    <s v=""/>
    <s v=""/>
    <s v=""/>
    <s v="[AC-98-234-268-001-SS] Waterseal Bushing, 5x4/5x5/6x6 SRL, 316SS"/>
    <n v="0"/>
    <m/>
    <m/>
    <m/>
    <m/>
    <s v=""/>
    <s v=""/>
    <s v=""/>
    <s v=""/>
  </r>
  <r>
    <n v="1"/>
    <s v="SO16427"/>
    <m/>
    <x v="0"/>
    <x v="0"/>
    <m/>
    <s v="Ian Trottier"/>
    <n v="1"/>
    <n v="2025"/>
    <s v="INV12811"/>
    <n v="5"/>
    <n v="2025"/>
    <x v="0"/>
    <s v="Hyperflo"/>
    <s v="CAD"/>
    <n v="4839.1099999999997"/>
    <n v="3361.6237854283286"/>
    <x v="0"/>
    <n v="0"/>
    <n v="3361.6237854283286"/>
    <m/>
    <x v="0"/>
    <m/>
    <m/>
    <s v=""/>
    <s v=""/>
    <s v=""/>
    <s v=""/>
    <s v=""/>
    <s v=""/>
    <s v=""/>
    <s v=""/>
    <s v="[AC100-CS10-DRS, AC-52-425-728-003] Casing, 2x1-10, Allis-Chalmers CSO, Frame F4B3/F4B5/F4D1, Cast Iron"/>
    <n v="0"/>
    <m/>
    <m/>
    <m/>
    <m/>
    <s v=""/>
    <s v=""/>
    <s v=""/>
    <s v=""/>
  </r>
  <r>
    <n v="1"/>
    <s v="SO16429"/>
    <m/>
    <x v="0"/>
    <x v="0"/>
    <m/>
    <s v="Taylor Cook"/>
    <n v="1"/>
    <n v="2025"/>
    <s v="INV12538"/>
    <n v="2"/>
    <n v="2025"/>
    <x v="0"/>
    <s v="Manufacture Sling-Choker (Val-d’Or) Ltée"/>
    <s v="CAD"/>
    <n v="873.41"/>
    <n v="606.73880743172958"/>
    <x v="0"/>
    <n v="0"/>
    <n v="606.73880743172958"/>
    <m/>
    <x v="0"/>
    <m/>
    <m/>
    <s v=""/>
    <s v=""/>
    <s v=""/>
    <s v=""/>
    <s v=""/>
    <s v=""/>
    <s v=""/>
    <s v=""/>
    <s v="[AC-98-231-071-501] Suction Side Liner, 3x3-10 SRL, Natural Rubber"/>
    <n v="0"/>
    <m/>
    <m/>
    <m/>
    <m/>
    <s v=""/>
    <s v=""/>
    <s v=""/>
    <s v=""/>
  </r>
  <r>
    <n v="0"/>
    <s v="SO16430"/>
    <m/>
    <x v="0"/>
    <x v="0"/>
    <m/>
    <s v="Ian Trottier"/>
    <n v="1"/>
    <n v="2025"/>
    <s v="No Inv"/>
    <s v=""/>
    <s v=""/>
    <x v="0"/>
    <s v="Les Pompes du St-Laurent Inc."/>
    <s v="CAD"/>
    <n v="12078.11"/>
    <n v="8619.9165435572431"/>
    <x v="1"/>
    <n v="0"/>
    <n v="0"/>
    <m/>
    <x v="0"/>
    <m/>
    <m/>
    <s v=""/>
    <s v=""/>
    <s v=""/>
    <s v=""/>
    <s v=""/>
    <s v=""/>
    <s v=""/>
    <s v=""/>
    <e v="#N/A"/>
    <n v="0"/>
    <m/>
    <m/>
    <m/>
    <m/>
    <s v=""/>
    <s v=""/>
    <s v=""/>
    <s v=""/>
  </r>
  <r>
    <n v="1"/>
    <s v="SO16432"/>
    <m/>
    <x v="0"/>
    <x v="0"/>
    <m/>
    <s v="Ian Trottier"/>
    <n v="1"/>
    <n v="2025"/>
    <s v="INV12563"/>
    <n v="2"/>
    <n v="2025"/>
    <x v="0"/>
    <s v="Agnico Eagle Mines Ltd. - Rouyn-Noranda, LaRonde secteur Penna (11102)"/>
    <s v="CAD"/>
    <n v="498.78"/>
    <n v="346.49154734981056"/>
    <x v="0"/>
    <n v="0"/>
    <n v="346.49154734981056"/>
    <m/>
    <x v="0"/>
    <m/>
    <m/>
    <s v=""/>
    <s v=""/>
    <s v=""/>
    <s v=""/>
    <s v=""/>
    <s v=""/>
    <s v=""/>
    <s v=""/>
    <s v="[G-C04677A 3201] Coupling Guard, 3196 MTX, Fabricated Steel, Drum Style"/>
    <n v="0"/>
    <m/>
    <m/>
    <m/>
    <m/>
    <s v=""/>
    <s v=""/>
    <s v=""/>
    <s v=""/>
  </r>
  <r>
    <n v="1"/>
    <s v="SO16433"/>
    <m/>
    <x v="0"/>
    <x v="0"/>
    <m/>
    <s v="Ian Trottier"/>
    <n v="1"/>
    <n v="2025"/>
    <s v="INV12602"/>
    <n v="1"/>
    <n v="2025"/>
    <x v="0"/>
    <s v="Eleazar General &amp; Industrial Supplies Limited"/>
    <s v="USD"/>
    <n v="4777.1969268411485"/>
    <n v="3330.81"/>
    <x v="0"/>
    <n v="0"/>
    <n v="3330.81"/>
    <m/>
    <x v="0"/>
    <m/>
    <m/>
    <s v=""/>
    <s v=""/>
    <s v=""/>
    <s v=""/>
    <s v=""/>
    <s v=""/>
    <s v=""/>
    <s v=""/>
    <s v="[AC-98-331-932-501] Shaft Assembly, 5x4-14 SRL-C &amp; 5x5-14 SRL, 1045 Steel"/>
    <n v="0"/>
    <m/>
    <m/>
    <m/>
    <m/>
    <s v=""/>
    <s v=""/>
    <s v=""/>
    <s v=""/>
  </r>
  <r>
    <n v="1"/>
    <s v="SO16434"/>
    <m/>
    <x v="0"/>
    <x v="0"/>
    <m/>
    <s v="Ian Trottier"/>
    <n v="1"/>
    <n v="2025"/>
    <s v="INV12595"/>
    <n v="3"/>
    <n v="2025"/>
    <x v="0"/>
    <s v="ProPart Pompes du Canada 9425-4380 Quebec Inc"/>
    <s v="CAD"/>
    <n v="5460.46"/>
    <n v="3794.5842196947619"/>
    <x v="0"/>
    <n v="0"/>
    <n v="3794.5842196947619"/>
    <m/>
    <x v="0"/>
    <m/>
    <m/>
    <s v=""/>
    <s v=""/>
    <s v=""/>
    <s v=""/>
    <s v=""/>
    <s v=""/>
    <s v=""/>
    <s v=""/>
    <s v="[AC-98-431-743-501] Shaft Assembly, 10x8-21 SRL-C, 1045 Steel"/>
    <n v="0"/>
    <m/>
    <m/>
    <m/>
    <m/>
    <s v=""/>
    <s v=""/>
    <s v=""/>
    <s v=""/>
  </r>
  <r>
    <n v="1"/>
    <s v="SO16435"/>
    <m/>
    <x v="0"/>
    <x v="0"/>
    <m/>
    <s v="Ian Trottier"/>
    <n v="1"/>
    <n v="2025"/>
    <s v="INV12551"/>
    <n v="2"/>
    <n v="2025"/>
    <x v="0"/>
    <s v="Wajax Limited - Noranda"/>
    <s v="CAD"/>
    <n v="1946.57"/>
    <n v="1352.2395671933934"/>
    <x v="0"/>
    <n v="0"/>
    <n v="1352.2395671933934"/>
    <m/>
    <x v="0"/>
    <m/>
    <m/>
    <s v=""/>
    <s v=""/>
    <s v=""/>
    <s v=""/>
    <s v=""/>
    <s v=""/>
    <s v=""/>
    <s v=""/>
    <s v="[W-D3110/A05] Volute Liner, 4/3 C or D-AH, High Chrome"/>
    <n v="0"/>
    <m/>
    <m/>
    <m/>
    <m/>
    <s v=""/>
    <s v=""/>
    <s v=""/>
    <s v=""/>
  </r>
  <r>
    <n v="1"/>
    <s v="SO16436"/>
    <m/>
    <x v="0"/>
    <x v="0"/>
    <m/>
    <s v="Ian Trottier"/>
    <n v="1"/>
    <n v="2025"/>
    <s v="INV12545"/>
    <n v="2"/>
    <n v="2025"/>
    <x v="0"/>
    <s v="Pierce Pump Company, Pierce Pump Company"/>
    <s v="USD"/>
    <n v="2360.8667091022521"/>
    <n v="1641.63"/>
    <x v="0"/>
    <n v="0"/>
    <n v="1641.63"/>
    <m/>
    <x v="0"/>
    <m/>
    <m/>
    <s v=""/>
    <s v=""/>
    <s v=""/>
    <s v=""/>
    <s v=""/>
    <s v=""/>
    <s v=""/>
    <s v=""/>
    <s v="[NSK-22218EAE4, AC-00-813-261-537] Roller Bearing (Inboard), 8x6-18 &amp; 10x8-21 SRL-C"/>
    <n v="0"/>
    <m/>
    <m/>
    <m/>
    <m/>
    <s v=""/>
    <s v=""/>
    <s v=""/>
    <s v=""/>
  </r>
  <r>
    <n v="1"/>
    <s v="SO16437"/>
    <m/>
    <x v="0"/>
    <x v="0"/>
    <m/>
    <s v="Ian Trottier"/>
    <n v="1"/>
    <n v="2025"/>
    <s v="INV12649"/>
    <n v="2"/>
    <n v="2025"/>
    <x v="0"/>
    <s v="Maham LLC"/>
    <s v="USD"/>
    <n v="29586.190352651185"/>
    <n v="20856"/>
    <x v="0"/>
    <n v="683"/>
    <n v="20173"/>
    <m/>
    <x v="0"/>
    <m/>
    <m/>
    <s v=""/>
    <s v=""/>
    <s v=""/>
    <s v=""/>
    <s v=""/>
    <s v=""/>
    <s v=""/>
    <s v=""/>
    <s v="[G-8x10-18-JC-HC] Pump, 8x10-18, Dynapro DC, Frame 4J, High Chrome"/>
    <n v="0"/>
    <m/>
    <m/>
    <m/>
    <m/>
    <s v=""/>
    <s v=""/>
    <s v=""/>
    <s v=""/>
  </r>
  <r>
    <n v="2"/>
    <s v="SO16438"/>
    <m/>
    <x v="0"/>
    <x v="0"/>
    <m/>
    <s v="Ian Trottier"/>
    <n v="1"/>
    <n v="2025"/>
    <s v="INV12550"/>
    <n v="3"/>
    <n v="2025"/>
    <x v="0"/>
    <s v="Canadian Bearings Ltd."/>
    <s v="CAD"/>
    <n v="621.28"/>
    <n v="430.74593569721873"/>
    <x v="0"/>
    <n v="0"/>
    <n v="430.74593569721873"/>
    <m/>
    <x v="0"/>
    <m/>
    <m/>
    <s v=""/>
    <s v=""/>
    <s v=""/>
    <s v=""/>
    <s v=""/>
    <s v=""/>
    <s v=""/>
    <s v=""/>
    <s v="[AC-52-050-313-000] Shim Kit, Allis Chalmers CSO, Frame F4D1/F4B5"/>
    <n v="0"/>
    <m/>
    <m/>
    <m/>
    <m/>
    <s v=""/>
    <s v=""/>
    <s v=""/>
    <s v=""/>
  </r>
  <r>
    <n v="2"/>
    <s v="SO16438"/>
    <m/>
    <x v="0"/>
    <x v="0"/>
    <m/>
    <n v="0"/>
    <n v="1"/>
    <n v="2025"/>
    <s v="INV12677"/>
    <n v="4"/>
    <n v="2025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52-431-816-007] Casing Gasket, 10&quot;,  Allis Chalmers CSO"/>
    <n v="0"/>
    <m/>
    <m/>
    <m/>
    <m/>
    <s v=""/>
    <s v=""/>
    <s v=""/>
    <s v=""/>
  </r>
  <r>
    <n v="1"/>
    <s v="SO16440"/>
    <m/>
    <x v="0"/>
    <x v="0"/>
    <m/>
    <s v="Ian Trottier"/>
    <n v="1"/>
    <n v="2025"/>
    <s v="INV12653"/>
    <n v="3"/>
    <n v="2025"/>
    <x v="0"/>
    <s v="Process and Steam Specialties, Process and Steam Specialties"/>
    <s v="CAD"/>
    <n v="386.38"/>
    <n v="267.88503514468738"/>
    <x v="0"/>
    <n v="0"/>
    <n v="267.88503514468738"/>
    <m/>
    <x v="0"/>
    <m/>
    <m/>
    <s v=""/>
    <s v=""/>
    <s v=""/>
    <s v=""/>
    <s v=""/>
    <s v=""/>
    <s v=""/>
    <s v=""/>
    <s v="[SA-582399-PS] Replacement Stud, Sala STHM-33WFR"/>
    <n v="0"/>
    <m/>
    <m/>
    <m/>
    <m/>
    <s v=""/>
    <s v=""/>
    <s v=""/>
    <s v=""/>
  </r>
  <r>
    <n v="1"/>
    <s v="SO16446"/>
    <m/>
    <x v="0"/>
    <x v="0"/>
    <m/>
    <s v="Ian Trottier"/>
    <n v="1"/>
    <n v="2025"/>
    <s v="INV12610"/>
    <n v="3"/>
    <n v="2025"/>
    <x v="0"/>
    <s v="Wajax Limited - Timmins"/>
    <s v="CAD"/>
    <n v="1498.47"/>
    <n v="1038.919428058543"/>
    <x v="0"/>
    <n v="0"/>
    <n v="1038.919428058543"/>
    <m/>
    <x v="0"/>
    <m/>
    <m/>
    <s v=""/>
    <s v=""/>
    <s v=""/>
    <s v=""/>
    <s v=""/>
    <s v=""/>
    <s v=""/>
    <s v=""/>
    <s v="[AC-98-110-455-501] Gland Assembly, 10x8-21 SRL-C (Old Style), 1045 Steel"/>
    <n v="0"/>
    <m/>
    <m/>
    <m/>
    <m/>
    <s v=""/>
    <s v=""/>
    <s v=""/>
    <s v=""/>
  </r>
  <r>
    <n v="1"/>
    <s v="SO16448"/>
    <m/>
    <x v="0"/>
    <x v="0"/>
    <m/>
    <s v="Ian Trottier"/>
    <n v="1"/>
    <n v="2025"/>
    <s v="INV12683"/>
    <n v="4"/>
    <n v="2025"/>
    <x v="0"/>
    <s v="Les Pompes du St-Laurent Inc."/>
    <s v="CAD"/>
    <n v="310.95"/>
    <n v="215.58789709156935"/>
    <x v="0"/>
    <n v="0"/>
    <n v="215.58789709156935"/>
    <m/>
    <x v="0"/>
    <m/>
    <m/>
    <s v=""/>
    <s v=""/>
    <s v=""/>
    <s v=""/>
    <s v=""/>
    <s v=""/>
    <s v=""/>
    <s v=""/>
    <s v="[WO-9901615-001, WO-2116818-001] Lantern Ring, Worthington FRBH, Frame 1, Teflon"/>
    <n v="0"/>
    <m/>
    <m/>
    <m/>
    <m/>
    <s v=""/>
    <s v=""/>
    <s v=""/>
    <s v=""/>
  </r>
  <r>
    <n v="1"/>
    <s v="SO16449"/>
    <m/>
    <x v="0"/>
    <x v="0"/>
    <m/>
    <s v="Taylor Cook"/>
    <n v="1"/>
    <n v="2025"/>
    <s v="INV12572"/>
    <n v="2"/>
    <n v="2025"/>
    <x v="0"/>
    <s v="Motion Industries Inc. (Canada) - Prince George"/>
    <s v="CAD"/>
    <n v="12059"/>
    <n v="8397.3669466734264"/>
    <x v="0"/>
    <n v="0"/>
    <n v="8397.3669466734264"/>
    <m/>
    <x v="0"/>
    <m/>
    <m/>
    <s v=""/>
    <s v=""/>
    <s v=""/>
    <s v=""/>
    <s v=""/>
    <s v=""/>
    <s v=""/>
    <s v=""/>
    <s v="[W-E4013/D21] Cover Plate, 6/4 D or E-AH, Ductile Iron"/>
    <n v="0"/>
    <m/>
    <m/>
    <m/>
    <m/>
    <s v=""/>
    <s v=""/>
    <s v=""/>
    <s v=""/>
  </r>
  <r>
    <n v="1"/>
    <s v="SO16451"/>
    <m/>
    <x v="0"/>
    <x v="0"/>
    <m/>
    <s v="Ian Trottier"/>
    <n v="1"/>
    <n v="2025"/>
    <s v="INV12556"/>
    <n v="3"/>
    <n v="2025"/>
    <x v="0"/>
    <s v="PT Vale Indonesia Tbk."/>
    <s v="USD"/>
    <n v="2835.0027305576659"/>
    <n v="1957.91"/>
    <x v="0"/>
    <n v="0"/>
    <n v="1957.91"/>
    <m/>
    <x v="0"/>
    <m/>
    <m/>
    <s v=""/>
    <s v=""/>
    <s v=""/>
    <s v=""/>
    <s v=""/>
    <s v=""/>
    <s v=""/>
    <s v=""/>
    <s v="[AC-98-231-135-503] Suction Side Plate, 10x8-21 SRL-C, Neoprene"/>
    <n v="0"/>
    <m/>
    <m/>
    <m/>
    <m/>
    <s v=""/>
    <s v=""/>
    <s v=""/>
    <s v=""/>
  </r>
  <r>
    <n v="1"/>
    <s v="SO16452"/>
    <m/>
    <x v="0"/>
    <x v="0"/>
    <m/>
    <s v="Ian Trottier"/>
    <n v="1"/>
    <n v="2025"/>
    <s v="INV12557"/>
    <n v="3"/>
    <n v="2025"/>
    <x v="0"/>
    <s v="PT Vale Indonesia Tbk."/>
    <s v="USD"/>
    <n v="3716.8478424189002"/>
    <n v="2566.9299999999998"/>
    <x v="0"/>
    <n v="0"/>
    <n v="2566.9299999999998"/>
    <m/>
    <x v="0"/>
    <m/>
    <m/>
    <s v=""/>
    <s v=""/>
    <s v=""/>
    <s v=""/>
    <s v=""/>
    <s v=""/>
    <s v=""/>
    <s v=""/>
    <s v="[AC-98-431-641-503] Impeller (Closed), 10x8-21 SRL-C, Neoprene"/>
    <n v="0"/>
    <m/>
    <m/>
    <m/>
    <m/>
    <s v=""/>
    <s v=""/>
    <s v=""/>
    <s v=""/>
  </r>
  <r>
    <n v="1"/>
    <s v="SO16453"/>
    <m/>
    <x v="0"/>
    <x v="0"/>
    <m/>
    <s v="Ian Trottier"/>
    <n v="1"/>
    <n v="2025"/>
    <s v="INV12558"/>
    <n v="3"/>
    <n v="2025"/>
    <x v="0"/>
    <s v="PT Vale Indonesia Tbk."/>
    <s v="USD"/>
    <n v="2728.9820759149948"/>
    <n v="1884.69"/>
    <x v="0"/>
    <n v="0"/>
    <n v="1884.69"/>
    <m/>
    <x v="0"/>
    <m/>
    <m/>
    <s v=""/>
    <s v=""/>
    <s v=""/>
    <s v=""/>
    <s v=""/>
    <s v=""/>
    <s v=""/>
    <s v=""/>
    <s v="[AC-98-231-134-503] Suction Side Liner, 10x8-21 SRL-C, Neoprene"/>
    <n v="0"/>
    <m/>
    <m/>
    <m/>
    <m/>
    <s v=""/>
    <s v=""/>
    <s v=""/>
    <s v=""/>
  </r>
  <r>
    <n v="1"/>
    <s v="SO16455"/>
    <m/>
    <x v="0"/>
    <x v="2"/>
    <m/>
    <s v="Ian Trottier"/>
    <n v="1"/>
    <n v="2025"/>
    <s v="INV13057"/>
    <n v="8"/>
    <n v="2025"/>
    <x v="1"/>
    <s v="Quality Concrete Inc."/>
    <s v="CAD"/>
    <n v="24488"/>
    <n v="17011.277540202416"/>
    <x v="0"/>
    <n v="0"/>
    <n v="17011.277540202416"/>
    <m/>
    <x v="0"/>
    <s v="New Opportunity"/>
    <m/>
    <s v=""/>
    <s v=""/>
    <n v="0.02"/>
    <s v=""/>
    <s v=""/>
    <s v=""/>
    <n v="340.22555080404834"/>
    <s v=""/>
    <s v="[W-86EDH/R55] Pump, 8/6 E-DH, W-Series, Natural Rubber"/>
    <n v="340.22555080404834"/>
    <m/>
    <m/>
    <m/>
    <m/>
    <s v=""/>
    <s v=""/>
    <n v="340.22555080404834"/>
    <s v=""/>
  </r>
  <r>
    <n v="1"/>
    <s v="SO16457"/>
    <m/>
    <x v="0"/>
    <x v="0"/>
    <m/>
    <s v="Ian Trottier"/>
    <n v="1"/>
    <n v="2025"/>
    <s v="INV12559"/>
    <n v="2"/>
    <n v="2025"/>
    <x v="0"/>
    <s v="Wajax Limited - Pointe-aux-Trembles, Wajax Limited"/>
    <s v="CAD"/>
    <n v="232.19"/>
    <n v="161.2973101951813"/>
    <x v="0"/>
    <n v="0"/>
    <n v="161.2973101951813"/>
    <m/>
    <x v="0"/>
    <m/>
    <m/>
    <s v=""/>
    <s v=""/>
    <s v=""/>
    <s v=""/>
    <s v=""/>
    <s v=""/>
    <s v=""/>
    <s v=""/>
    <s v="[OLPWZ011006B, G-A04951A219] Bearing Isolator (Outboard), 3196 MTX/MTi, 303SS Rotor / Bronze Stator w/Viton"/>
    <n v="0"/>
    <m/>
    <m/>
    <m/>
    <m/>
    <s v=""/>
    <s v=""/>
    <s v=""/>
    <s v=""/>
  </r>
  <r>
    <n v="1"/>
    <s v="SO16462"/>
    <m/>
    <x v="0"/>
    <x v="0"/>
    <m/>
    <s v="Ian Trottier"/>
    <n v="1"/>
    <n v="2025"/>
    <s v="INV12684"/>
    <n v="4"/>
    <n v="2025"/>
    <x v="0"/>
    <s v="Les Pompes du St-Laurent Inc."/>
    <s v="CAD"/>
    <n v="1927.29"/>
    <n v="1343.1653918431841"/>
    <x v="0"/>
    <n v="0"/>
    <n v="1343.1653918431841"/>
    <m/>
    <x v="0"/>
    <m/>
    <m/>
    <s v=""/>
    <s v=""/>
    <s v=""/>
    <s v=""/>
    <s v=""/>
    <s v=""/>
    <s v=""/>
    <s v=""/>
    <s v="[G-104-557 1216] Casing, 1.5x3-8, 3196 STX, CD4MCu"/>
    <n v="0"/>
    <m/>
    <m/>
    <m/>
    <m/>
    <s v=""/>
    <s v=""/>
    <s v=""/>
    <s v=""/>
  </r>
  <r>
    <n v="1"/>
    <s v="SO16464"/>
    <m/>
    <x v="0"/>
    <x v="0"/>
    <m/>
    <s v="Ian Trottier"/>
    <n v="1"/>
    <n v="2025"/>
    <s v="INV12553"/>
    <n v="3"/>
    <n v="2025"/>
    <x v="0"/>
    <s v="Hyperflo"/>
    <s v="CAD"/>
    <n v="1191.33"/>
    <n v="831.24469174304431"/>
    <x v="0"/>
    <n v="0"/>
    <n v="831.24469174304431"/>
    <m/>
    <x v="0"/>
    <m/>
    <m/>
    <s v=""/>
    <s v=""/>
    <s v=""/>
    <s v=""/>
    <s v=""/>
    <s v=""/>
    <s v=""/>
    <s v=""/>
    <s v="[AC-98-131-246-511] Deflector (Water Slinger), 5x5/5x4/6x6 SRL &amp; SRL-C, Neoprene/Steel"/>
    <n v="0"/>
    <m/>
    <m/>
    <m/>
    <m/>
    <s v=""/>
    <s v=""/>
    <s v=""/>
    <s v=""/>
  </r>
  <r>
    <n v="1"/>
    <s v="SO16466"/>
    <m/>
    <x v="0"/>
    <x v="0"/>
    <m/>
    <s v="Taylor Cook"/>
    <n v="1"/>
    <n v="2025"/>
    <s v="INV12561"/>
    <n v="1"/>
    <n v="2025"/>
    <x v="0"/>
    <s v="Allen Bearings &amp; Technologies Ltd."/>
    <s v="CAD"/>
    <n v="2272.41"/>
    <n v="1578.5934823232349"/>
    <x v="0"/>
    <n v="0"/>
    <n v="1578.5934823232349"/>
    <m/>
    <x v="0"/>
    <m/>
    <m/>
    <s v=""/>
    <s v=""/>
    <s v=""/>
    <s v=""/>
    <s v=""/>
    <s v=""/>
    <s v=""/>
    <s v=""/>
    <s v="[AC-98-330-286-501] Impeller (Open), 3x3-10 SRL, Natural Rubber"/>
    <n v="0"/>
    <m/>
    <m/>
    <m/>
    <m/>
    <s v=""/>
    <s v=""/>
    <s v=""/>
    <s v=""/>
  </r>
  <r>
    <n v="3"/>
    <s v="SO16467"/>
    <m/>
    <x v="0"/>
    <x v="0"/>
    <m/>
    <s v="Taylor Cook"/>
    <n v="1"/>
    <n v="2025"/>
    <s v="INV12954"/>
    <n v="5"/>
    <n v="2025"/>
    <x v="0"/>
    <s v="Wild Rows Pump &amp; Compression LTD."/>
    <s v="CAD"/>
    <n v="1026.9000000000001"/>
    <n v="716.51446194667506"/>
    <x v="0"/>
    <n v="0"/>
    <n v="716.51446194667506"/>
    <m/>
    <x v="0"/>
    <m/>
    <m/>
    <s v=""/>
    <s v=""/>
    <s v=""/>
    <s v=""/>
    <s v=""/>
    <s v=""/>
    <s v=""/>
    <s v=""/>
    <s v="[W-C2036/U38] Frame Plate Liner, 3/2 C-AH, Urethane"/>
    <n v="0"/>
    <m/>
    <m/>
    <m/>
    <m/>
    <s v=""/>
    <s v=""/>
    <s v=""/>
    <s v=""/>
  </r>
  <r>
    <n v="3"/>
    <s v="SO16467"/>
    <m/>
    <x v="0"/>
    <x v="0"/>
    <m/>
    <n v="0"/>
    <n v="1"/>
    <n v="2025"/>
    <s v="INV12582"/>
    <n v="1"/>
    <n v="2025"/>
    <x v="0"/>
    <s v="Wild Rows Pump &amp; Compression LTD."/>
    <s v="CAD"/>
    <n v="0"/>
    <n v="0"/>
    <x v="1"/>
    <n v="0"/>
    <n v="0"/>
    <m/>
    <x v="0"/>
    <m/>
    <m/>
    <s v=""/>
    <s v=""/>
    <s v=""/>
    <s v=""/>
    <s v=""/>
    <s v=""/>
    <s v=""/>
    <s v=""/>
    <s v="[W-C217/S10] O-Ring Impeller Seal, 3/2 C-AH, Nitrile"/>
    <n v="0"/>
    <m/>
    <m/>
    <m/>
    <m/>
    <s v=""/>
    <s v=""/>
    <s v=""/>
    <s v=""/>
  </r>
  <r>
    <n v="3"/>
    <s v="SO16467"/>
    <m/>
    <x v="0"/>
    <x v="0"/>
    <m/>
    <n v="0"/>
    <n v="1"/>
    <n v="2025"/>
    <s v="INV12585"/>
    <n v="1"/>
    <n v="2025"/>
    <x v="0"/>
    <s v="Wild Rows Pump &amp; Compression LTD."/>
    <s v="CAD"/>
    <n v="0"/>
    <n v="0"/>
    <x v="1"/>
    <n v="0"/>
    <n v="0"/>
    <m/>
    <x v="0"/>
    <m/>
    <m/>
    <s v=""/>
    <s v=""/>
    <s v=""/>
    <s v=""/>
    <s v=""/>
    <s v=""/>
    <s v=""/>
    <s v=""/>
    <s v="[M12Z3-40VV] Stud &amp; Lock Nut &amp; Washer, 12x40mm, Zinc"/>
    <n v="0"/>
    <m/>
    <m/>
    <m/>
    <m/>
    <s v=""/>
    <s v=""/>
    <s v=""/>
    <s v=""/>
  </r>
  <r>
    <n v="2"/>
    <s v="SO16470"/>
    <m/>
    <x v="0"/>
    <x v="0"/>
    <m/>
    <s v="Ian Trottier"/>
    <n v="1"/>
    <n v="2025"/>
    <s v="INV12549"/>
    <n v="3"/>
    <n v="2025"/>
    <x v="0"/>
    <s v="Resolute Forest Products - Saint-Felicien"/>
    <s v="CAD"/>
    <n v="1969.52"/>
    <n v="1374.2229653259467"/>
    <x v="0"/>
    <n v="0"/>
    <n v="1374.2229653259467"/>
    <m/>
    <x v="0"/>
    <m/>
    <m/>
    <s v=""/>
    <s v=""/>
    <s v=""/>
    <s v=""/>
    <s v=""/>
    <s v=""/>
    <s v=""/>
    <s v=""/>
    <s v="[52-108-475-015] Deflector (Inboard), Allis-Chalmers PWO, Group 3"/>
    <n v="0"/>
    <m/>
    <m/>
    <m/>
    <m/>
    <s v=""/>
    <s v=""/>
    <s v=""/>
    <s v=""/>
  </r>
  <r>
    <n v="2"/>
    <s v="SO16470"/>
    <m/>
    <x v="0"/>
    <x v="0"/>
    <m/>
    <n v="0"/>
    <n v="1"/>
    <n v="2025"/>
    <s v="INV12697"/>
    <n v="5"/>
    <n v="2025"/>
    <x v="0"/>
    <s v="Resolute Forest Products - Saint-Felicien"/>
    <s v="CAD"/>
    <n v="0"/>
    <n v="0"/>
    <x v="1"/>
    <n v="0"/>
    <n v="0"/>
    <m/>
    <x v="0"/>
    <m/>
    <m/>
    <s v=""/>
    <s v=""/>
    <s v=""/>
    <s v=""/>
    <s v=""/>
    <s v=""/>
    <s v=""/>
    <s v=""/>
    <s v="[AC-52-320-079-100] Impeller, 3x2-8.5, Allis Chalmers CSO, 316SS"/>
    <n v="0"/>
    <m/>
    <m/>
    <m/>
    <m/>
    <s v=""/>
    <s v=""/>
    <s v=""/>
    <s v=""/>
  </r>
  <r>
    <n v="1"/>
    <s v="SO16471"/>
    <m/>
    <x v="0"/>
    <x v="0"/>
    <m/>
    <s v="Taylor Cook"/>
    <n v="1"/>
    <n v="2025"/>
    <s v="INV12593"/>
    <n v="2"/>
    <n v="2025"/>
    <x v="0"/>
    <s v="Sling-Choker Manufacturing - Timmins"/>
    <s v="CAD"/>
    <n v="124.57"/>
    <n v="86.918109382313077"/>
    <x v="0"/>
    <n v="0"/>
    <n v="86.918109382313077"/>
    <m/>
    <x v="0"/>
    <m/>
    <m/>
    <s v=""/>
    <s v=""/>
    <s v=""/>
    <s v=""/>
    <s v=""/>
    <s v=""/>
    <s v=""/>
    <s v=""/>
    <s v="[AC-98-131-246-504] Deflector (Water Slinger), 3x3-10 SRL/SRL-C, Neoprene/Steel"/>
    <n v="0"/>
    <m/>
    <m/>
    <m/>
    <m/>
    <s v=""/>
    <s v=""/>
    <s v=""/>
    <s v=""/>
  </r>
  <r>
    <n v="1"/>
    <s v="SO16474"/>
    <m/>
    <x v="0"/>
    <x v="0"/>
    <m/>
    <s v="Ian Trottier"/>
    <n v="1"/>
    <n v="2025"/>
    <s v="INV12562"/>
    <n v="2"/>
    <n v="2025"/>
    <x v="0"/>
    <s v="Motion Industries Inc. (Canada) - Winnipeg, Motion Industries Inc. (Canada) - Winnipeg"/>
    <s v="CAD"/>
    <n v="637.91"/>
    <n v="443.14211269481069"/>
    <x v="0"/>
    <n v="0"/>
    <n v="443.14211269481069"/>
    <m/>
    <x v="0"/>
    <m/>
    <m/>
    <s v=""/>
    <s v=""/>
    <s v=""/>
    <s v=""/>
    <s v=""/>
    <s v=""/>
    <s v=""/>
    <s v=""/>
    <s v="[DU-DY55718A-CI] Bearing Housing, Durco Mark 3 Group 2, Cast Iron"/>
    <n v="0"/>
    <m/>
    <m/>
    <m/>
    <m/>
    <s v=""/>
    <s v=""/>
    <s v=""/>
    <s v=""/>
  </r>
  <r>
    <n v="1"/>
    <s v="SO16475"/>
    <m/>
    <x v="0"/>
    <x v="0"/>
    <m/>
    <s v="Ian Trottier"/>
    <n v="1"/>
    <n v="2025"/>
    <s v="INV12776"/>
    <n v="4"/>
    <n v="2025"/>
    <x v="0"/>
    <s v="Motion Industries Inc. (Canada) - Winnipeg"/>
    <s v="CAD"/>
    <n v="5107.37"/>
    <n v="3547.9781350254661"/>
    <x v="0"/>
    <n v="0"/>
    <n v="3547.9781350254661"/>
    <m/>
    <x v="0"/>
    <m/>
    <m/>
    <s v=""/>
    <s v=""/>
    <s v=""/>
    <s v=""/>
    <s v=""/>
    <s v=""/>
    <s v=""/>
    <s v=""/>
    <s v="[WO-2113808-183] Stuffing Box Head, Worthington FRB, FRBH 14(15)&quot; Frame 2, CD4MCu"/>
    <n v="0"/>
    <m/>
    <m/>
    <m/>
    <m/>
    <s v=""/>
    <s v=""/>
    <s v=""/>
    <s v=""/>
  </r>
  <r>
    <n v="2"/>
    <s v="SO16476"/>
    <m/>
    <x v="0"/>
    <x v="0"/>
    <m/>
    <s v="Taylor Cook"/>
    <n v="1"/>
    <n v="2025"/>
    <s v="INV12614"/>
    <n v="3"/>
    <n v="2025"/>
    <x v="0"/>
    <s v="Canadian Bearings Ltd."/>
    <s v="CAD"/>
    <n v="2121.09"/>
    <n v="1473.666355725936"/>
    <x v="0"/>
    <n v="0"/>
    <n v="1473.666355725936"/>
    <m/>
    <x v="0"/>
    <m/>
    <m/>
    <s v=""/>
    <s v=""/>
    <s v=""/>
    <s v=""/>
    <s v=""/>
    <s v=""/>
    <s v=""/>
    <s v=""/>
    <s v="[AC-98-233-017-003] Shaft Sleeve, PWO Frame 3&amp;4, 316SS"/>
    <n v="0"/>
    <m/>
    <m/>
    <m/>
    <m/>
    <s v=""/>
    <s v=""/>
    <s v=""/>
    <s v=""/>
  </r>
  <r>
    <n v="2"/>
    <s v="SO16476"/>
    <m/>
    <x v="0"/>
    <x v="0"/>
    <m/>
    <n v="0"/>
    <n v="1"/>
    <n v="2025"/>
    <s v="INV12578"/>
    <n v="3"/>
    <n v="2025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98-430-807-163] Casing Gasket, 21&quot;, PWO Frame 3"/>
    <n v="0"/>
    <m/>
    <m/>
    <m/>
    <m/>
    <s v=""/>
    <s v=""/>
    <s v=""/>
    <s v=""/>
  </r>
  <r>
    <n v="1"/>
    <s v="SO16477"/>
    <m/>
    <x v="0"/>
    <x v="0"/>
    <m/>
    <s v="Taylor Cook"/>
    <n v="1"/>
    <n v="2025"/>
    <s v="INV12589"/>
    <n v="3"/>
    <n v="2025"/>
    <x v="0"/>
    <s v="Canadian Industrial Pumps Ltd"/>
    <s v="CAD"/>
    <n v="2779.84"/>
    <n v="1931.093995318372"/>
    <x v="0"/>
    <n v="0"/>
    <n v="1931.093995318372"/>
    <m/>
    <x v="0"/>
    <m/>
    <m/>
    <s v=""/>
    <s v=""/>
    <s v=""/>
    <s v=""/>
    <s v=""/>
    <s v=""/>
    <s v=""/>
    <s v=""/>
    <s v="[AC-98-236-104-004] Shaft Sleeve, 8x6-18 &amp; 10x8-21 SRL-C, 420SS Heat Treated, Hardened"/>
    <n v="0"/>
    <m/>
    <m/>
    <m/>
    <m/>
    <s v=""/>
    <s v=""/>
    <s v=""/>
    <s v=""/>
  </r>
  <r>
    <n v="1"/>
    <s v="SO16479"/>
    <m/>
    <x v="2"/>
    <x v="0"/>
    <m/>
    <s v="Marlen Martinez"/>
    <n v="1"/>
    <n v="2025"/>
    <s v="INV12599"/>
    <n v="5"/>
    <n v="2025"/>
    <x v="0"/>
    <s v="Covia Corp - Junction City"/>
    <s v="USD"/>
    <n v="6792.4946429303927"/>
    <n v="4730"/>
    <x v="0"/>
    <n v="775"/>
    <n v="3955"/>
    <m/>
    <x v="0"/>
    <m/>
    <m/>
    <s v=""/>
    <s v=""/>
    <s v=""/>
    <s v=""/>
    <s v=""/>
    <s v=""/>
    <s v=""/>
    <s v=""/>
    <s v="105825/0003 Impeller, 300 RSL, High Chrome, 5-Vane"/>
    <n v="0"/>
    <m/>
    <m/>
    <m/>
    <m/>
    <s v=""/>
    <s v=""/>
    <s v=""/>
    <s v=""/>
  </r>
  <r>
    <n v="1"/>
    <s v="SO16481"/>
    <m/>
    <x v="0"/>
    <x v="0"/>
    <m/>
    <s v="Taylor Cook"/>
    <n v="1"/>
    <n v="2025"/>
    <s v="INV12566"/>
    <n v="3"/>
    <n v="2025"/>
    <x v="0"/>
    <s v="Wajax Limited - Val D'Or, Composants Industriels Wajax SC -57"/>
    <s v="CAD"/>
    <n v="228.6"/>
    <n v="159.45128853406686"/>
    <x v="0"/>
    <n v="0"/>
    <n v="159.45128853406686"/>
    <m/>
    <x v="0"/>
    <m/>
    <m/>
    <s v=""/>
    <s v=""/>
    <s v=""/>
    <s v=""/>
    <s v=""/>
    <s v=""/>
    <s v=""/>
    <s v=""/>
    <s v="[G-D04872A 1000] Thrust Bearing Housing, 3196 MTX, Cast Iron"/>
    <n v="0"/>
    <m/>
    <m/>
    <m/>
    <m/>
    <s v=""/>
    <s v=""/>
    <s v=""/>
    <s v=""/>
  </r>
  <r>
    <n v="1"/>
    <s v="SO16482"/>
    <m/>
    <x v="0"/>
    <x v="0"/>
    <m/>
    <s v="Ian Trottier"/>
    <n v="1"/>
    <n v="2025"/>
    <s v="INV12564"/>
    <n v="4"/>
    <n v="2025"/>
    <x v="0"/>
    <s v="Cartledge &amp; Associates Inc."/>
    <s v="USD"/>
    <n v="3298.8116424963114"/>
    <n v="2297.15"/>
    <x v="0"/>
    <n v="499"/>
    <n v="1798.15"/>
    <m/>
    <x v="0"/>
    <m/>
    <m/>
    <s v=""/>
    <s v=""/>
    <s v=""/>
    <s v=""/>
    <s v=""/>
    <s v=""/>
    <s v=""/>
    <s v=""/>
    <s v="[504889] Impeller, 8x6, Denver SRL, Natural Rubber"/>
    <n v="0"/>
    <m/>
    <m/>
    <m/>
    <m/>
    <s v=""/>
    <s v=""/>
    <s v=""/>
    <s v=""/>
  </r>
  <r>
    <n v="1"/>
    <s v="SO16485"/>
    <m/>
    <x v="0"/>
    <x v="0"/>
    <m/>
    <s v="Ian Trottier"/>
    <n v="1"/>
    <n v="2025"/>
    <s v="INV12686"/>
    <n v="4"/>
    <n v="2025"/>
    <x v="0"/>
    <s v="Les Pompes du St-Laurent Inc."/>
    <s v="CAD"/>
    <n v="1914.28"/>
    <n v="1345.2145965349255"/>
    <x v="0"/>
    <n v="0"/>
    <n v="1345.2145965349255"/>
    <m/>
    <x v="0"/>
    <m/>
    <m/>
    <s v=""/>
    <s v=""/>
    <s v=""/>
    <s v=""/>
    <s v=""/>
    <s v=""/>
    <s v=""/>
    <s v=""/>
    <s v="[G-RC03239A 2249] Shaft Assembly, 3180-M, Alloy Steel 4340, w/Key, Locknut &amp; Lockwasher"/>
    <n v="0"/>
    <m/>
    <m/>
    <m/>
    <m/>
    <s v=""/>
    <s v=""/>
    <s v=""/>
    <s v=""/>
  </r>
  <r>
    <n v="1"/>
    <s v="SO16486"/>
    <m/>
    <x v="0"/>
    <x v="0"/>
    <m/>
    <s v="Ian Trottier"/>
    <n v="1"/>
    <n v="2025"/>
    <s v="INV12573"/>
    <n v="3"/>
    <n v="2025"/>
    <x v="0"/>
    <s v="Sealtrac Inc."/>
    <s v="CAD"/>
    <n v="818.44"/>
    <n v="568.7505281179574"/>
    <x v="0"/>
    <n v="0"/>
    <n v="568.7505281179574"/>
    <m/>
    <x v="0"/>
    <m/>
    <m/>
    <s v=""/>
    <s v=""/>
    <s v=""/>
    <s v=""/>
    <s v=""/>
    <s v=""/>
    <s v=""/>
    <s v=""/>
    <s v="[DU-CY50682AA-316] Shaft (Solid), Durco Mark 3 Group 1, 316SS"/>
    <n v="0"/>
    <m/>
    <m/>
    <m/>
    <m/>
    <s v=""/>
    <s v=""/>
    <s v=""/>
    <s v=""/>
  </r>
  <r>
    <n v="1"/>
    <s v="SO16488"/>
    <m/>
    <x v="0"/>
    <x v="0"/>
    <m/>
    <s v="Ian Trottier"/>
    <n v="1"/>
    <n v="2025"/>
    <s v="INV12568"/>
    <n v="3"/>
    <n v="2025"/>
    <x v="0"/>
    <s v="Wajax Limited - Noranda, Wajax Limited - Noranda"/>
    <s v="CAD"/>
    <n v="1429.78"/>
    <n v="997.28899090217874"/>
    <x v="0"/>
    <n v="0"/>
    <n v="997.28899090217874"/>
    <m/>
    <x v="0"/>
    <m/>
    <m/>
    <s v=""/>
    <s v=""/>
    <s v=""/>
    <s v=""/>
    <s v=""/>
    <s v=""/>
    <s v=""/>
    <s v=""/>
    <s v="[AC-98-431-884-001] Suction Side Casing, 2x2-10 SRL, Cast Iron"/>
    <n v="0"/>
    <m/>
    <m/>
    <m/>
    <m/>
    <s v=""/>
    <s v=""/>
    <s v=""/>
    <s v=""/>
  </r>
  <r>
    <n v="1"/>
    <s v="SO16492"/>
    <m/>
    <x v="1"/>
    <x v="0"/>
    <m/>
    <s v="Ian Trottier"/>
    <n v="1"/>
    <n v="2025"/>
    <s v="INV13050"/>
    <n v="8"/>
    <n v="2025"/>
    <x v="1"/>
    <s v="Resolute Forest Products - Saint-Felicien"/>
    <s v="CAD"/>
    <n v="796.11"/>
    <n v="553.23295897070898"/>
    <x v="0"/>
    <n v="0"/>
    <n v="553.23295897070898"/>
    <m/>
    <x v="2"/>
    <m/>
    <m/>
    <s v=""/>
    <n v="0.02"/>
    <s v=""/>
    <s v=""/>
    <s v=""/>
    <n v="11.06465917941418"/>
    <s v=""/>
    <s v=""/>
    <s v="[G-076794 1204] Impeller, 1.5x3-8, 3196 STX, Alloy 20, 5-Vane"/>
    <n v="11.06465917941418"/>
    <m/>
    <m/>
    <m/>
    <m/>
    <s v=""/>
    <n v="11.06465917941418"/>
    <s v=""/>
    <s v=""/>
  </r>
  <r>
    <n v="1"/>
    <s v="SO16494"/>
    <m/>
    <x v="0"/>
    <x v="0"/>
    <m/>
    <s v="Ian Trottier"/>
    <n v="1"/>
    <n v="2025"/>
    <s v="INV12567"/>
    <n v="3"/>
    <n v="2025"/>
    <x v="0"/>
    <s v="DRN Industriel"/>
    <s v="CAD"/>
    <n v="1194.8699999999999"/>
    <n v="833.43640039676484"/>
    <x v="0"/>
    <n v="0"/>
    <n v="833.43640039676484"/>
    <m/>
    <x v="0"/>
    <m/>
    <m/>
    <s v=""/>
    <s v=""/>
    <s v=""/>
    <s v=""/>
    <s v=""/>
    <s v=""/>
    <s v=""/>
    <s v=""/>
    <s v="[AC-98-231-109-503] Gland Side Liner, 3x3-10 SRL-C, Neoprene"/>
    <n v="0"/>
    <m/>
    <m/>
    <m/>
    <m/>
    <s v=""/>
    <s v=""/>
    <s v=""/>
    <s v=""/>
  </r>
  <r>
    <n v="1"/>
    <s v="SO16495"/>
    <m/>
    <x v="0"/>
    <x v="0"/>
    <m/>
    <s v="Taylor Cook"/>
    <n v="1"/>
    <n v="2025"/>
    <s v="INV12570"/>
    <n v="2"/>
    <n v="2025"/>
    <x v="0"/>
    <s v="FMI Products"/>
    <s v="CAD"/>
    <n v="158.78"/>
    <n v="110.33943704433959"/>
    <x v="0"/>
    <n v="0"/>
    <n v="110.33943704433959"/>
    <m/>
    <x v="0"/>
    <m/>
    <m/>
    <s v=""/>
    <s v=""/>
    <s v=""/>
    <s v=""/>
    <s v=""/>
    <s v=""/>
    <s v=""/>
    <s v=""/>
    <s v="[G-R76293] Lantern Ring, 3196 MTX, Teflon"/>
    <n v="0"/>
    <m/>
    <m/>
    <m/>
    <m/>
    <s v=""/>
    <s v=""/>
    <s v=""/>
    <s v=""/>
  </r>
  <r>
    <n v="2"/>
    <s v="SO16496"/>
    <m/>
    <x v="0"/>
    <x v="0"/>
    <m/>
    <s v="Ian Trottier"/>
    <n v="1"/>
    <n v="2025"/>
    <s v="INV12596"/>
    <n v="3"/>
    <n v="2025"/>
    <x v="0"/>
    <s v="ProPart Pompes du Canada 9425-4380 Quebec Inc"/>
    <s v="CAD"/>
    <n v="9500.83"/>
    <n v="6602.3191438088716"/>
    <x v="0"/>
    <n v="0"/>
    <n v="6602.3191438088716"/>
    <m/>
    <x v="0"/>
    <m/>
    <m/>
    <s v=""/>
    <s v=""/>
    <s v=""/>
    <s v=""/>
    <s v=""/>
    <s v=""/>
    <s v=""/>
    <s v=""/>
    <s v="[AC-98-231-135-501] Suction Side Plate, 10x8-21 SRL-C, Natural Rubber"/>
    <n v="0"/>
    <m/>
    <m/>
    <m/>
    <m/>
    <s v=""/>
    <s v=""/>
    <s v=""/>
    <s v=""/>
  </r>
  <r>
    <n v="2"/>
    <s v="SO16496"/>
    <m/>
    <x v="0"/>
    <x v="0"/>
    <m/>
    <n v="0"/>
    <n v="1"/>
    <n v="2025"/>
    <s v="INV12620"/>
    <n v="3"/>
    <n v="2025"/>
    <x v="0"/>
    <s v="ProPart Pompes du Canada 9425-4380 Quebec Inc"/>
    <s v="CAD"/>
    <n v="0"/>
    <n v="0"/>
    <x v="1"/>
    <n v="0"/>
    <n v="0"/>
    <m/>
    <x v="0"/>
    <m/>
    <m/>
    <s v=""/>
    <s v=""/>
    <s v=""/>
    <s v=""/>
    <s v=""/>
    <s v=""/>
    <s v=""/>
    <s v=""/>
    <s v="[AC-98-233-404-001] Shaft Sleeve, 10x8-21 SRL-C (Old Style), Steel"/>
    <n v="0"/>
    <m/>
    <m/>
    <m/>
    <m/>
    <s v=""/>
    <s v=""/>
    <s v=""/>
    <s v=""/>
  </r>
  <r>
    <n v="1"/>
    <s v="SO16497"/>
    <m/>
    <x v="0"/>
    <x v="0"/>
    <m/>
    <s v="Ian Trottier"/>
    <n v="1"/>
    <n v="2025"/>
    <s v="INV12856"/>
    <n v="6"/>
    <n v="2025"/>
    <x v="0"/>
    <s v="Tech-Flow"/>
    <s v="USD"/>
    <n v="3672.3350712508191"/>
    <n v="2551.98"/>
    <x v="0"/>
    <n v="0"/>
    <n v="2551.98"/>
    <m/>
    <x v="0"/>
    <m/>
    <m/>
    <s v=""/>
    <s v=""/>
    <s v=""/>
    <s v=""/>
    <s v=""/>
    <s v=""/>
    <s v=""/>
    <s v=""/>
    <s v="[SA-016628-M1] Casing, 44 WFR, Sala ST, Rubber Lined"/>
    <n v="0"/>
    <m/>
    <m/>
    <m/>
    <m/>
    <s v=""/>
    <s v=""/>
    <s v=""/>
    <s v=""/>
  </r>
  <r>
    <n v="1"/>
    <s v="SO16498"/>
    <m/>
    <x v="0"/>
    <x v="0"/>
    <m/>
    <s v="Ian Trottier"/>
    <n v="1"/>
    <n v="2025"/>
    <s v="INV12594"/>
    <n v="2"/>
    <n v="2025"/>
    <x v="0"/>
    <s v="Sling-Choker Manufacturing - Timmins"/>
    <s v="CAD"/>
    <n v="5089.3900000000003"/>
    <n v="3535.9474676548484"/>
    <x v="0"/>
    <n v="0"/>
    <n v="3535.9474676548484"/>
    <m/>
    <x v="0"/>
    <m/>
    <m/>
    <s v=""/>
    <s v=""/>
    <s v=""/>
    <s v=""/>
    <s v=""/>
    <s v=""/>
    <s v=""/>
    <s v=""/>
    <s v="[AC-98-431-641-501] Impeller (Closed), 10x8-21 SRL-C, Natural Rubber"/>
    <n v="0"/>
    <m/>
    <m/>
    <m/>
    <m/>
    <s v=""/>
    <s v=""/>
    <s v=""/>
    <s v=""/>
  </r>
  <r>
    <n v="1"/>
    <s v="SO16499"/>
    <m/>
    <x v="0"/>
    <x v="0"/>
    <m/>
    <s v="Ian Trottier"/>
    <n v="1"/>
    <n v="2025"/>
    <s v="INV12580"/>
    <n v="2"/>
    <n v="2025"/>
    <x v="0"/>
    <s v="Wesdome Gold Mines Ltd - Eagle River Mine"/>
    <s v="CAD"/>
    <n v="3662.42"/>
    <n v="2544.2030010122567"/>
    <x v="0"/>
    <n v="0"/>
    <n v="2544.2030010122567"/>
    <m/>
    <x v="0"/>
    <m/>
    <m/>
    <s v=""/>
    <s v=""/>
    <s v=""/>
    <s v=""/>
    <s v=""/>
    <s v=""/>
    <s v=""/>
    <s v=""/>
    <s v="[AC-98-236-360-501] Gland Assembly, 8x6-18 &amp; 10x8-21 SRL-C, 316SS"/>
    <n v="0"/>
    <m/>
    <m/>
    <m/>
    <m/>
    <s v=""/>
    <s v=""/>
    <s v=""/>
    <s v=""/>
  </r>
  <r>
    <n v="2"/>
    <s v="SO16501"/>
    <m/>
    <x v="0"/>
    <x v="0"/>
    <m/>
    <s v="Ian Trottier"/>
    <n v="1"/>
    <n v="2025"/>
    <s v="RINV/2025/00001 (Reversal of: INV12581)"/>
    <s v=""/>
    <s v=""/>
    <x v="0"/>
    <s v="Grant Aggregate"/>
    <s v="CAD"/>
    <n v="5908.82"/>
    <n v="4104.7279057129554"/>
    <x v="1"/>
    <n v="0"/>
    <n v="0"/>
    <m/>
    <x v="0"/>
    <m/>
    <m/>
    <s v=""/>
    <s v=""/>
    <s v=""/>
    <s v=""/>
    <s v=""/>
    <s v=""/>
    <s v=""/>
    <s v=""/>
    <e v="#N/A"/>
    <n v="0"/>
    <m/>
    <m/>
    <m/>
    <m/>
    <s v=""/>
    <s v=""/>
    <s v=""/>
    <s v=""/>
  </r>
  <r>
    <n v="2"/>
    <s v="SO16501"/>
    <m/>
    <x v="0"/>
    <x v="0"/>
    <m/>
    <n v="0"/>
    <n v="1"/>
    <n v="2025"/>
    <s v="INV12581"/>
    <n v="3"/>
    <n v="2025"/>
    <x v="0"/>
    <s v="Grant Aggregate"/>
    <s v="CAD"/>
    <n v="0"/>
    <n v="0"/>
    <x v="1"/>
    <n v="0"/>
    <n v="0"/>
    <m/>
    <x v="0"/>
    <m/>
    <m/>
    <s v=""/>
    <s v=""/>
    <s v=""/>
    <s v=""/>
    <s v=""/>
    <s v=""/>
    <s v=""/>
    <s v=""/>
    <s v="[AC-98-431-651-501] Impeller (Closed), 8x6-18 SRL-C, Natural Rubber"/>
    <n v="0"/>
    <m/>
    <m/>
    <m/>
    <m/>
    <s v=""/>
    <s v=""/>
    <s v=""/>
    <s v=""/>
  </r>
  <r>
    <n v="1"/>
    <s v="SO16503"/>
    <m/>
    <x v="0"/>
    <x v="0"/>
    <m/>
    <s v="Taylor Cook"/>
    <n v="1"/>
    <n v="2025"/>
    <s v="INV12576"/>
    <n v="2"/>
    <n v="2025"/>
    <x v="0"/>
    <s v="Motion Industries Inc. (Canada) - Winnipeg"/>
    <s v="CAD"/>
    <n v="126.12"/>
    <n v="87.612803143185602"/>
    <x v="0"/>
    <n v="0"/>
    <n v="87.612803143185602"/>
    <m/>
    <x v="0"/>
    <m/>
    <m/>
    <s v=""/>
    <s v=""/>
    <s v=""/>
    <s v=""/>
    <s v=""/>
    <s v=""/>
    <s v=""/>
    <s v=""/>
    <s v="[DU-SA3210AA00-TFR] Impeller Gasket, Durco Mark 2&amp;3 Group 2, Teflon/Rubber"/>
    <n v="0"/>
    <m/>
    <m/>
    <m/>
    <m/>
    <s v=""/>
    <s v=""/>
    <s v=""/>
    <s v=""/>
  </r>
  <r>
    <n v="1"/>
    <s v="SO16504"/>
    <m/>
    <x v="0"/>
    <x v="0"/>
    <m/>
    <s v="Yannett Yeomans"/>
    <n v="1"/>
    <n v="2025"/>
    <s v="INV12864"/>
    <s v=""/>
    <s v=""/>
    <x v="0"/>
    <s v="Dynapro Pumps México S de RL de CV"/>
    <s v="USD"/>
    <n v="661.94646226670147"/>
    <n v="460"/>
    <x v="1"/>
    <n v="0"/>
    <n v="0"/>
    <m/>
    <x v="0"/>
    <m/>
    <m/>
    <s v=""/>
    <s v=""/>
    <s v=""/>
    <s v=""/>
    <s v=""/>
    <s v=""/>
    <s v=""/>
    <s v=""/>
    <s v="[W-E063/P50] Lantern Ring"/>
    <n v="0"/>
    <m/>
    <m/>
    <m/>
    <m/>
    <s v=""/>
    <s v=""/>
    <s v=""/>
    <s v=""/>
  </r>
  <r>
    <n v="1"/>
    <s v="SO16505"/>
    <m/>
    <x v="0"/>
    <x v="0"/>
    <m/>
    <s v="Taylor Cook"/>
    <n v="1"/>
    <n v="2025"/>
    <s v="INV12577"/>
    <n v="3"/>
    <n v="2025"/>
    <x v="0"/>
    <s v="DRN Industriel"/>
    <s v="CAD"/>
    <n v="1194.8699999999999"/>
    <n v="830.15794637014415"/>
    <x v="0"/>
    <n v="0"/>
    <n v="830.15794637014415"/>
    <m/>
    <x v="0"/>
    <m/>
    <m/>
    <s v=""/>
    <s v=""/>
    <s v=""/>
    <s v=""/>
    <s v=""/>
    <s v=""/>
    <s v=""/>
    <s v=""/>
    <s v="[AC-98-231-108-503] Suction Side Liner, 3x3-10 SRL-C, Neoprene"/>
    <n v="0"/>
    <m/>
    <m/>
    <m/>
    <m/>
    <s v=""/>
    <s v=""/>
    <s v=""/>
    <s v=""/>
  </r>
  <r>
    <n v="1"/>
    <s v="SO16509"/>
    <m/>
    <x v="2"/>
    <x v="0"/>
    <m/>
    <s v="Marlen Martinez"/>
    <n v="1"/>
    <n v="2025"/>
    <s v="INV12600"/>
    <n v="5"/>
    <n v="2025"/>
    <x v="0"/>
    <s v="Covia Corp - Junction City"/>
    <s v="USD"/>
    <n v="5157.4263494866482"/>
    <n v="3584"/>
    <x v="0"/>
    <n v="0"/>
    <n v="3584"/>
    <m/>
    <x v="0"/>
    <m/>
    <m/>
    <s v=""/>
    <s v=""/>
    <s v=""/>
    <s v=""/>
    <s v=""/>
    <s v=""/>
    <s v=""/>
    <s v=""/>
    <s v="103982/6007 Cover Plate Liner, 12/10 F or ST-AH, Natural Rubber"/>
    <n v="0"/>
    <m/>
    <m/>
    <m/>
    <m/>
    <s v=""/>
    <s v=""/>
    <s v=""/>
    <s v=""/>
  </r>
  <r>
    <n v="1"/>
    <s v="SO16511"/>
    <m/>
    <x v="2"/>
    <x v="0"/>
    <m/>
    <s v="Marlen Martinez"/>
    <n v="1"/>
    <n v="2025"/>
    <s v="INV12970"/>
    <n v="8"/>
    <n v="2025"/>
    <x v="0"/>
    <s v="Covia Corp - Junction City"/>
    <s v="USD"/>
    <n v="8749.9968720343295"/>
    <n v="6080.55"/>
    <x v="0"/>
    <n v="574.54999999999995"/>
    <n v="5506"/>
    <m/>
    <x v="0"/>
    <m/>
    <m/>
    <s v=""/>
    <s v=""/>
    <s v=""/>
    <s v=""/>
    <s v=""/>
    <s v=""/>
    <s v=""/>
    <s v=""/>
    <s v="102917/0003Volute Liner, 6/4 F-HH, High Chrome"/>
    <n v="0"/>
    <m/>
    <m/>
    <m/>
    <m/>
    <s v=""/>
    <s v=""/>
    <s v=""/>
    <s v=""/>
  </r>
  <r>
    <n v="1"/>
    <s v="SO16512"/>
    <m/>
    <x v="0"/>
    <x v="0"/>
    <m/>
    <s v="Ian Trottier"/>
    <n v="1"/>
    <n v="2025"/>
    <s v="INV12642"/>
    <n v="3"/>
    <n v="2025"/>
    <x v="0"/>
    <s v="Grant Aggregate"/>
    <s v="CAD"/>
    <n v="1759.61"/>
    <n v="1220.6953427153057"/>
    <x v="0"/>
    <n v="0"/>
    <n v="1220.6953427153057"/>
    <m/>
    <x v="0"/>
    <m/>
    <m/>
    <s v=""/>
    <s v=""/>
    <s v=""/>
    <s v=""/>
    <s v=""/>
    <s v=""/>
    <s v=""/>
    <s v=""/>
    <s v="[G-0D02490A02 1216] Impeller, 8x10-13, 3196 XLT, CD4MCu, 5-Vane"/>
    <n v="0"/>
    <m/>
    <m/>
    <m/>
    <m/>
    <s v=""/>
    <s v=""/>
    <s v=""/>
    <s v=""/>
  </r>
  <r>
    <n v="2"/>
    <s v="SO16513"/>
    <m/>
    <x v="0"/>
    <x v="0"/>
    <m/>
    <s v="Ian Trottier"/>
    <n v="1"/>
    <n v="2025"/>
    <s v="INV12915"/>
    <n v="6"/>
    <n v="2025"/>
    <x v="0"/>
    <s v="Les Pompes du St-Laurent Inc."/>
    <s v="CAD"/>
    <n v="16754.72"/>
    <n v="11673.944700760123"/>
    <x v="0"/>
    <n v="0"/>
    <n v="11673.944700760123"/>
    <m/>
    <x v="0"/>
    <m/>
    <m/>
    <s v=""/>
    <s v=""/>
    <s v=""/>
    <s v=""/>
    <s v=""/>
    <s v=""/>
    <s v=""/>
    <s v=""/>
    <s v="[D-196 1x1.5-8 STX CD4MCu] Pump, 1x1.5-8, D-196 STX, All CD4MCu"/>
    <n v="0"/>
    <m/>
    <m/>
    <m/>
    <m/>
    <s v=""/>
    <s v=""/>
    <s v=""/>
    <s v=""/>
  </r>
  <r>
    <n v="2"/>
    <s v="SO16513"/>
    <m/>
    <x v="0"/>
    <x v="0"/>
    <m/>
    <n v="0"/>
    <n v="1"/>
    <n v="2025"/>
    <s v="INV12833"/>
    <n v="5"/>
    <n v="2025"/>
    <x v="0"/>
    <s v="Les Pompes du St-Laurent Inc."/>
    <s v="CAD"/>
    <n v="0"/>
    <n v="0"/>
    <x v="1"/>
    <n v="0"/>
    <n v="0"/>
    <m/>
    <x v="0"/>
    <m/>
    <m/>
    <s v=""/>
    <s v=""/>
    <s v=""/>
    <s v=""/>
    <s v=""/>
    <s v=""/>
    <s v=""/>
    <s v=""/>
    <s v="[D-196 1x1.5-8 STX CD4MCu] Pump, 1x1.5-8, D-196 STX, All CD4MCu"/>
    <n v="0"/>
    <m/>
    <m/>
    <m/>
    <m/>
    <s v=""/>
    <s v=""/>
    <s v=""/>
    <s v=""/>
  </r>
  <r>
    <n v="2"/>
    <s v="SO16515"/>
    <m/>
    <x v="0"/>
    <x v="0"/>
    <m/>
    <s v="Ian Trottier"/>
    <n v="1"/>
    <n v="2025"/>
    <s v="INV12615"/>
    <n v="3"/>
    <n v="2025"/>
    <x v="0"/>
    <s v="Canadian Bearings Ltd."/>
    <s v="CAD"/>
    <n v="1387.4"/>
    <n v="950.22183545818893"/>
    <x v="0"/>
    <n v="0"/>
    <n v="950.22183545818893"/>
    <m/>
    <x v="0"/>
    <m/>
    <m/>
    <s v=""/>
    <s v=""/>
    <s v=""/>
    <s v=""/>
    <s v=""/>
    <s v=""/>
    <s v=""/>
    <s v=""/>
    <s v="[AC-52-108-475-010] Deflector (Inboard), Allis Chalmers CSO, Frame F4D1, Steel"/>
    <n v="0"/>
    <m/>
    <m/>
    <m/>
    <m/>
    <s v=""/>
    <s v=""/>
    <s v=""/>
    <s v=""/>
  </r>
  <r>
    <n v="2"/>
    <s v="SO16515"/>
    <m/>
    <x v="0"/>
    <x v="0"/>
    <m/>
    <n v="0"/>
    <n v="1"/>
    <n v="2025"/>
    <s v="INV12676"/>
    <n v="4"/>
    <n v="2025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52-231-827-009] Shaft (Sleeve Type), Allis-Chalmers CSO, Frame F4D1, 4140 Steel"/>
    <n v="0"/>
    <m/>
    <m/>
    <m/>
    <m/>
    <s v=""/>
    <s v=""/>
    <s v=""/>
    <s v=""/>
  </r>
  <r>
    <n v="2"/>
    <s v="SO16516"/>
    <m/>
    <x v="0"/>
    <x v="0"/>
    <m/>
    <s v="Taylor Cook"/>
    <n v="1"/>
    <n v="2025"/>
    <s v="INV12638"/>
    <n v="3"/>
    <n v="2025"/>
    <x v="0"/>
    <s v="Canadian Bearings Ltd."/>
    <s v="CAD"/>
    <n v="183.84"/>
    <n v="128.48034772620912"/>
    <x v="0"/>
    <n v="0"/>
    <n v="128.48034772620912"/>
    <m/>
    <x v="0"/>
    <m/>
    <m/>
    <s v=""/>
    <s v=""/>
    <s v=""/>
    <s v=""/>
    <s v=""/>
    <s v=""/>
    <s v=""/>
    <s v=""/>
    <s v="[AC-52-108-475-007] Deflector (Outboard), Allis Chalmers CSO, Frame F4D1, Steel"/>
    <n v="0"/>
    <m/>
    <m/>
    <m/>
    <m/>
    <s v=""/>
    <s v=""/>
    <s v=""/>
    <s v=""/>
  </r>
  <r>
    <n v="2"/>
    <s v="SO16516"/>
    <m/>
    <x v="0"/>
    <x v="0"/>
    <m/>
    <n v="0"/>
    <n v="1"/>
    <n v="2025"/>
    <s v="INV12675"/>
    <n v="4"/>
    <n v="2025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52-431-816-011] Casing Gasket, 8x6-13, Allis Chalmers CSO"/>
    <n v="0"/>
    <m/>
    <m/>
    <m/>
    <m/>
    <s v=""/>
    <s v=""/>
    <s v=""/>
    <s v=""/>
  </r>
  <r>
    <n v="1"/>
    <s v="SO16517"/>
    <m/>
    <x v="0"/>
    <x v="0"/>
    <m/>
    <s v="Ian Trottier"/>
    <n v="1"/>
    <n v="2025"/>
    <s v="INV12587"/>
    <n v="2"/>
    <n v="2025"/>
    <x v="0"/>
    <s v="Motion Industries Inc. (U.S.) - Tucson"/>
    <s v="USD"/>
    <n v="239.0436789380793"/>
    <n v="166.08"/>
    <x v="0"/>
    <n v="0"/>
    <n v="166.08"/>
    <m/>
    <x v="0"/>
    <m/>
    <m/>
    <s v=""/>
    <s v=""/>
    <s v=""/>
    <s v=""/>
    <s v=""/>
    <s v=""/>
    <s v=""/>
    <s v=""/>
    <s v="[G-73705X 2229] Shaft Sleeve, 3196 MTX, 316SS"/>
    <n v="0"/>
    <m/>
    <m/>
    <m/>
    <m/>
    <s v=""/>
    <s v=""/>
    <s v=""/>
    <s v=""/>
  </r>
  <r>
    <n v="1"/>
    <s v="SO16519"/>
    <m/>
    <x v="0"/>
    <x v="0"/>
    <m/>
    <s v="Ian Trottier"/>
    <n v="1"/>
    <n v="2025"/>
    <s v="INV12828"/>
    <n v="6"/>
    <n v="2025"/>
    <x v="0"/>
    <s v="Resolute Forest Products - Dolbeau"/>
    <s v="CAD"/>
    <n v="5963.04"/>
    <n v="4174.6515546971068"/>
    <x v="0"/>
    <n v="0"/>
    <n v="4174.6515546971068"/>
    <m/>
    <x v="0"/>
    <m/>
    <m/>
    <s v=""/>
    <s v=""/>
    <s v=""/>
    <s v=""/>
    <s v=""/>
    <s v=""/>
    <s v=""/>
    <s v=""/>
    <s v="[PM 2083] Impeller, Worthington 4-FRBH-182, 316SS"/>
    <n v="0"/>
    <m/>
    <m/>
    <m/>
    <m/>
    <s v=""/>
    <s v=""/>
    <s v=""/>
    <s v=""/>
  </r>
  <r>
    <n v="1"/>
    <s v="SO16520"/>
    <m/>
    <x v="0"/>
    <x v="0"/>
    <m/>
    <s v="Ian Trottier"/>
    <n v="1"/>
    <n v="2025"/>
    <s v="INV12586"/>
    <n v="2"/>
    <n v="2025"/>
    <x v="0"/>
    <s v="Motion Industries Inc. (Canada) - Prince George"/>
    <s v="CAD"/>
    <n v="221.6"/>
    <n v="153.73070620518845"/>
    <x v="0"/>
    <n v="0"/>
    <n v="153.73070620518845"/>
    <m/>
    <x v="0"/>
    <m/>
    <m/>
    <s v=""/>
    <s v=""/>
    <s v=""/>
    <s v=""/>
    <s v=""/>
    <s v=""/>
    <s v=""/>
    <s v=""/>
    <s v="[W-E4124/S01] Volute Liner Seal, 6/4 D or E-AH, EPDM Rubber"/>
    <n v="0"/>
    <m/>
    <m/>
    <m/>
    <m/>
    <s v=""/>
    <s v=""/>
    <s v=""/>
    <s v=""/>
  </r>
  <r>
    <n v="1"/>
    <s v="SO16521"/>
    <m/>
    <x v="0"/>
    <x v="0"/>
    <m/>
    <s v="Ian Trottier"/>
    <n v="1"/>
    <n v="2025"/>
    <s v="INV12772"/>
    <n v="5"/>
    <n v="2025"/>
    <x v="0"/>
    <s v="PT Vale Indonesia Tbk."/>
    <s v="USD"/>
    <n v="3553.7020911495529"/>
    <n v="2469"/>
    <x v="0"/>
    <n v="0"/>
    <n v="2469"/>
    <m/>
    <x v="0"/>
    <m/>
    <m/>
    <s v=""/>
    <s v=""/>
    <s v=""/>
    <s v=""/>
    <s v=""/>
    <s v=""/>
    <s v=""/>
    <s v=""/>
    <s v="[AC-98-431-743-501] Shaft Assembly, 10x8-21 SRL-C, 1045 Steel"/>
    <n v="0"/>
    <m/>
    <m/>
    <m/>
    <m/>
    <s v=""/>
    <s v=""/>
    <s v=""/>
    <s v=""/>
  </r>
  <r>
    <n v="2"/>
    <s v="SO16522"/>
    <m/>
    <x v="0"/>
    <x v="0"/>
    <m/>
    <s v="Ian Trottier"/>
    <n v="1"/>
    <n v="2025"/>
    <s v="INV12625"/>
    <n v="2"/>
    <n v="2025"/>
    <x v="0"/>
    <s v="D&amp;H Materials Inc"/>
    <s v="USD"/>
    <n v="1011.6318583251989"/>
    <n v="701.8"/>
    <x v="0"/>
    <n v="0"/>
    <n v="701.8"/>
    <m/>
    <x v="0"/>
    <m/>
    <m/>
    <s v=""/>
    <s v=""/>
    <s v=""/>
    <s v=""/>
    <s v=""/>
    <s v=""/>
    <s v=""/>
    <s v=""/>
    <s v="[DE-503562] Packing Set, (5 Pre-Cut Rings), 10x8-21 Denver SRL-C, Premium Kevlar Slurry Packing"/>
    <n v="0"/>
    <m/>
    <m/>
    <m/>
    <m/>
    <s v=""/>
    <s v=""/>
    <s v=""/>
    <s v=""/>
  </r>
  <r>
    <n v="2"/>
    <s v="SO16522"/>
    <m/>
    <x v="0"/>
    <x v="0"/>
    <m/>
    <n v="0"/>
    <n v="1"/>
    <n v="2025"/>
    <s v="INV12921"/>
    <n v="4"/>
    <n v="2025"/>
    <x v="0"/>
    <s v="D&amp;H Materials Inc"/>
    <s v="USD"/>
    <n v="0"/>
    <n v="0"/>
    <x v="1"/>
    <n v="0"/>
    <n v="0"/>
    <m/>
    <x v="0"/>
    <m/>
    <m/>
    <s v=""/>
    <s v=""/>
    <s v=""/>
    <s v=""/>
    <s v=""/>
    <s v=""/>
    <s v=""/>
    <s v=""/>
    <s v="[DE-503453] Lantern Ring, 8x6-18 SRL-C, Denver, Steel"/>
    <n v="0"/>
    <m/>
    <m/>
    <m/>
    <m/>
    <s v=""/>
    <s v=""/>
    <s v=""/>
    <s v=""/>
  </r>
  <r>
    <n v="2"/>
    <s v="SO16525"/>
    <m/>
    <x v="0"/>
    <x v="0"/>
    <m/>
    <s v="Ian Trottier"/>
    <n v="1"/>
    <n v="2025"/>
    <s v="INV12830"/>
    <n v="5"/>
    <n v="2025"/>
    <x v="0"/>
    <s v="Cartledge &amp; Associates Inc."/>
    <s v="USD"/>
    <n v="10249.502200717283"/>
    <n v="7054.91"/>
    <x v="0"/>
    <n v="643"/>
    <n v="6411.91"/>
    <m/>
    <x v="0"/>
    <m/>
    <m/>
    <s v=""/>
    <s v=""/>
    <s v=""/>
    <s v=""/>
    <s v=""/>
    <s v=""/>
    <s v=""/>
    <s v=""/>
    <s v="[504889] Impeller, 8x6, Denver SRL, Natural Rubber"/>
    <n v="0"/>
    <m/>
    <m/>
    <m/>
    <m/>
    <s v=""/>
    <s v=""/>
    <s v=""/>
    <s v=""/>
  </r>
  <r>
    <n v="2"/>
    <s v="SO16525"/>
    <m/>
    <x v="0"/>
    <x v="0"/>
    <m/>
    <n v="0"/>
    <n v="1"/>
    <n v="2025"/>
    <s v="INV12604"/>
    <n v="4"/>
    <n v="2025"/>
    <x v="0"/>
    <s v="Cartledge &amp; Associates Inc."/>
    <s v="USD"/>
    <n v="0"/>
    <n v="0"/>
    <x v="1"/>
    <n v="605"/>
    <n v="0"/>
    <m/>
    <x v="0"/>
    <m/>
    <m/>
    <s v=""/>
    <s v=""/>
    <s v=""/>
    <s v=""/>
    <s v=""/>
    <s v=""/>
    <s v=""/>
    <s v=""/>
    <s v="[AC-98-231-121-501] Suction Side Plate, 8x6-18 SRL-C, Natural Rubber"/>
    <n v="0"/>
    <m/>
    <m/>
    <m/>
    <m/>
    <s v=""/>
    <s v=""/>
    <s v=""/>
    <s v=""/>
  </r>
  <r>
    <n v="1"/>
    <s v="SO16526"/>
    <m/>
    <x v="0"/>
    <x v="0"/>
    <m/>
    <s v="Ian Trottier"/>
    <n v="1"/>
    <n v="2025"/>
    <s v="INV12612"/>
    <n v="4"/>
    <n v="2025"/>
    <x v="0"/>
    <s v="Resolute Forest Products - Saint-Felicien"/>
    <s v="CAD"/>
    <n v="301.76"/>
    <n v="210.85673351319636"/>
    <x v="0"/>
    <n v="0"/>
    <n v="210.85673351319636"/>
    <m/>
    <x v="0"/>
    <m/>
    <m/>
    <s v=""/>
    <s v=""/>
    <s v=""/>
    <s v=""/>
    <s v=""/>
    <s v=""/>
    <s v=""/>
    <s v=""/>
    <s v="[AC-52-108-475-012] Deflector (Inboard), Allis-Chalmers PWO, Group 2"/>
    <n v="0"/>
    <m/>
    <m/>
    <m/>
    <m/>
    <s v=""/>
    <s v=""/>
    <s v=""/>
    <s v=""/>
  </r>
  <r>
    <n v="2"/>
    <s v="SO16527"/>
    <m/>
    <x v="1"/>
    <x v="0"/>
    <m/>
    <s v="Ian Trottier"/>
    <n v="1"/>
    <n v="2025"/>
    <s v="INV13100"/>
    <n v="8"/>
    <n v="2025"/>
    <x v="1"/>
    <s v="Resolute Forest Products - Saint-Felicien"/>
    <s v="CAD"/>
    <n v="6392.94"/>
    <n v="4474.1661090711332"/>
    <x v="0"/>
    <n v="0"/>
    <n v="4474.1661090711332"/>
    <m/>
    <x v="1"/>
    <m/>
    <m/>
    <s v=""/>
    <n v="5.0000000000000001E-3"/>
    <s v=""/>
    <s v=""/>
    <s v=""/>
    <n v="22.370830545355666"/>
    <s v=""/>
    <s v=""/>
    <s v="[AC-52-053-163-000] Frame Assembly, F4D1, Allis-Chalmers CSO, c/w 316SS Shaft"/>
    <n v="22.370830545355666"/>
    <m/>
    <m/>
    <m/>
    <m/>
    <s v=""/>
    <n v="22.370830545355666"/>
    <s v=""/>
    <s v=""/>
  </r>
  <r>
    <n v="2"/>
    <s v="SO16527"/>
    <m/>
    <x v="1"/>
    <x v="0"/>
    <m/>
    <n v="0"/>
    <n v="1"/>
    <n v="2025"/>
    <s v="INV12624"/>
    <n v="4"/>
    <n v="2025"/>
    <x v="1"/>
    <s v="Resolute Forest Products - Saint-Felicien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214-728-003] Packing Gland, Allis Chalmers CSO, Frame F4B3/F4B5/F4D1, 316SS"/>
    <n v="0"/>
    <m/>
    <m/>
    <m/>
    <m/>
    <s v=""/>
    <n v="0"/>
    <s v=""/>
    <s v=""/>
  </r>
  <r>
    <n v="1"/>
    <s v="SO16528"/>
    <m/>
    <x v="0"/>
    <x v="0"/>
    <m/>
    <s v="Taylor Cook"/>
    <n v="2"/>
    <n v="2025"/>
    <s v="INV12637"/>
    <n v="3"/>
    <n v="2025"/>
    <x v="0"/>
    <s v="Canadian Bearings Ltd."/>
    <s v="CAD"/>
    <n v="279.5"/>
    <n v="196.28851884118686"/>
    <x v="0"/>
    <n v="0"/>
    <n v="196.28851884118686"/>
    <m/>
    <x v="0"/>
    <m/>
    <m/>
    <s v=""/>
    <s v=""/>
    <s v=""/>
    <s v=""/>
    <s v=""/>
    <s v=""/>
    <s v=""/>
    <s v=""/>
    <s v="[AC-98-232-857-802] Shim Set, A-C PWO-C Group 2, Plastic"/>
    <n v="0"/>
    <m/>
    <m/>
    <m/>
    <m/>
    <s v=""/>
    <s v=""/>
    <s v=""/>
    <s v=""/>
  </r>
  <r>
    <n v="1"/>
    <s v="SO16529"/>
    <m/>
    <x v="0"/>
    <x v="0"/>
    <m/>
    <s v="Ian Trottier"/>
    <n v="2"/>
    <n v="2025"/>
    <s v="INV12744"/>
    <n v="4"/>
    <n v="2025"/>
    <x v="0"/>
    <s v="Kumtor Gold Company"/>
    <s v="USD"/>
    <n v="21850.453852659211"/>
    <n v="15402.73"/>
    <x v="0"/>
    <n v="0"/>
    <n v="15402.73"/>
    <m/>
    <x v="0"/>
    <m/>
    <m/>
    <s v=""/>
    <s v=""/>
    <s v=""/>
    <s v=""/>
    <s v=""/>
    <s v=""/>
    <s v=""/>
    <s v=""/>
    <s v="[SA-013733-M1] Wear Disc, 44 WFR, Sala STGVA-180, Steel, Rubber Lined"/>
    <n v="0"/>
    <m/>
    <m/>
    <m/>
    <m/>
    <s v=""/>
    <s v=""/>
    <s v=""/>
    <s v=""/>
  </r>
  <r>
    <n v="1"/>
    <s v="SO16530"/>
    <m/>
    <x v="0"/>
    <x v="0"/>
    <m/>
    <s v="Taylor Cook"/>
    <n v="2"/>
    <n v="2025"/>
    <s v="INV12696"/>
    <n v="3"/>
    <n v="2025"/>
    <x v="0"/>
    <s v="Les Pompes Diaspec Inc."/>
    <s v="CAD"/>
    <n v="279.94"/>
    <n v="191.72920615407622"/>
    <x v="0"/>
    <n v="0"/>
    <n v="191.72920615407622"/>
    <m/>
    <x v="0"/>
    <m/>
    <m/>
    <s v=""/>
    <s v=""/>
    <s v=""/>
    <s v=""/>
    <s v=""/>
    <s v=""/>
    <s v=""/>
    <s v=""/>
    <s v="[AC-98-236-245-003] Premium Slurry Packing (5 Piece Set), 5x4/5x5/6x6 SRL &amp; SRL-C, Kevlar Fiber w/Silicon Core"/>
    <n v="0"/>
    <m/>
    <m/>
    <m/>
    <m/>
    <s v=""/>
    <s v=""/>
    <s v=""/>
    <s v=""/>
  </r>
  <r>
    <n v="4"/>
    <s v="SO16531"/>
    <m/>
    <x v="0"/>
    <x v="0"/>
    <m/>
    <s v="Ian Trottier"/>
    <n v="2"/>
    <n v="2025"/>
    <s v="INV12749"/>
    <n v="4"/>
    <n v="2025"/>
    <x v="0"/>
    <s v="Kumtor Gold Company"/>
    <s v="USD"/>
    <n v="55151.891876930713"/>
    <n v="38515.040000000001"/>
    <x v="0"/>
    <n v="0"/>
    <n v="38515.040000000001"/>
    <m/>
    <x v="0"/>
    <m/>
    <m/>
    <s v=""/>
    <s v=""/>
    <s v=""/>
    <s v=""/>
    <s v=""/>
    <s v=""/>
    <s v=""/>
    <s v=""/>
    <s v="[AC-98-231-121-507] Suction Side Plate, 8x6-18 SRL-C, Urethane"/>
    <n v="0"/>
    <m/>
    <m/>
    <m/>
    <m/>
    <s v=""/>
    <s v=""/>
    <s v=""/>
    <s v=""/>
  </r>
  <r>
    <n v="4"/>
    <s v="SO16531"/>
    <m/>
    <x v="0"/>
    <x v="0"/>
    <m/>
    <n v="0"/>
    <n v="2"/>
    <n v="2025"/>
    <s v="INV12782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3-733-513] Deflector (Water Slinger), 8x6-18 &amp; 10x8-21 SRL-C, Neoprene/Steel"/>
    <n v="0"/>
    <m/>
    <m/>
    <m/>
    <m/>
    <s v=""/>
    <s v=""/>
    <s v=""/>
    <s v=""/>
  </r>
  <r>
    <n v="4"/>
    <s v="SO16531"/>
    <m/>
    <x v="0"/>
    <x v="0"/>
    <m/>
    <n v="0"/>
    <n v="2"/>
    <n v="2025"/>
    <s v="INV12822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431-743-501] Shaft Assembly, 10x8-21 SRL-C, 1045 Steel"/>
    <n v="0"/>
    <m/>
    <m/>
    <m/>
    <m/>
    <s v=""/>
    <s v=""/>
    <s v=""/>
    <s v=""/>
  </r>
  <r>
    <n v="4"/>
    <s v="SO16531"/>
    <m/>
    <x v="0"/>
    <x v="0"/>
    <m/>
    <n v="0"/>
    <n v="2"/>
    <n v="2025"/>
    <s v="INV13035"/>
    <n v="6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6-360-501] Gland Assembly, 8x6-18 &amp; 10x8-21 SRL-C, 316SS"/>
    <n v="0"/>
    <m/>
    <m/>
    <m/>
    <m/>
    <s v=""/>
    <s v=""/>
    <s v=""/>
    <s v=""/>
  </r>
  <r>
    <n v="1"/>
    <s v="SO16532"/>
    <m/>
    <x v="0"/>
    <x v="0"/>
    <m/>
    <s v="Ian Trottier"/>
    <n v="2"/>
    <n v="2025"/>
    <s v="INV12898"/>
    <n v="5"/>
    <n v="2025"/>
    <x v="0"/>
    <s v="John Brooks Company Limited"/>
    <s v="CAD"/>
    <n v="5382.41"/>
    <n v="3782.3602067281408"/>
    <x v="0"/>
    <n v="0"/>
    <n v="3782.3602067281408"/>
    <m/>
    <x v="0"/>
    <m/>
    <m/>
    <s v=""/>
    <s v=""/>
    <s v=""/>
    <s v=""/>
    <s v=""/>
    <s v=""/>
    <s v=""/>
    <s v=""/>
    <s v="[M&amp;N# 72] Impeller, 8x5-17, PWO, 3-Vane, 317SS"/>
    <n v="0"/>
    <m/>
    <m/>
    <m/>
    <m/>
    <s v=""/>
    <s v=""/>
    <s v=""/>
    <s v=""/>
  </r>
  <r>
    <n v="1"/>
    <s v="SO16533"/>
    <m/>
    <x v="0"/>
    <x v="0"/>
    <m/>
    <s v="Ian Trottier"/>
    <n v="2"/>
    <n v="2025"/>
    <s v="INV12756"/>
    <n v="5"/>
    <n v="2025"/>
    <x v="0"/>
    <s v="Canadian Bearings Ltd., Canadian Bearings Ltd. - Quebec City"/>
    <s v="CAD"/>
    <n v="5934.85"/>
    <n v="4167.9531879950555"/>
    <x v="0"/>
    <n v="0"/>
    <n v="4167.9531879950555"/>
    <m/>
    <x v="0"/>
    <m/>
    <m/>
    <s v=""/>
    <s v=""/>
    <s v=""/>
    <s v=""/>
    <s v=""/>
    <s v=""/>
    <s v=""/>
    <s v=""/>
    <s v="[AC-52-425-821-006] Casing, 3x1.5-13, Allis Chalmers CSO, 316SS"/>
    <n v="0"/>
    <m/>
    <m/>
    <m/>
    <m/>
    <s v=""/>
    <s v=""/>
    <s v=""/>
    <s v=""/>
  </r>
  <r>
    <n v="5"/>
    <s v="SO16534"/>
    <m/>
    <x v="0"/>
    <x v="0"/>
    <m/>
    <s v="Ian Trottier"/>
    <n v="2"/>
    <n v="2025"/>
    <s v="INV12618"/>
    <n v="3"/>
    <n v="2025"/>
    <x v="0"/>
    <s v="Kumtor Gold Company"/>
    <s v="USD"/>
    <n v="77306.715462478212"/>
    <n v="52946.9"/>
    <x v="0"/>
    <n v="0"/>
    <n v="52946.9"/>
    <m/>
    <x v="0"/>
    <m/>
    <m/>
    <s v=""/>
    <s v=""/>
    <s v=""/>
    <s v=""/>
    <s v=""/>
    <s v=""/>
    <s v=""/>
    <s v=""/>
    <s v="[AC-98-233-700-001] Bearing Cover Gasket (Inboard &amp; Outboard), 8x6-18 &amp; 10x8-21 SRL-C"/>
    <n v="0"/>
    <m/>
    <m/>
    <m/>
    <m/>
    <s v=""/>
    <s v=""/>
    <s v=""/>
    <s v=""/>
  </r>
  <r>
    <n v="5"/>
    <s v="SO16534"/>
    <m/>
    <x v="0"/>
    <x v="0"/>
    <m/>
    <n v="0"/>
    <n v="2"/>
    <n v="2025"/>
    <s v="INV12747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1-121-501] Suction Side Plate, 8x6-18 SRL-C, Natural Rubber"/>
    <n v="0"/>
    <m/>
    <m/>
    <m/>
    <m/>
    <s v=""/>
    <s v=""/>
    <s v=""/>
    <s v=""/>
  </r>
  <r>
    <n v="5"/>
    <s v="SO16534"/>
    <m/>
    <x v="0"/>
    <x v="0"/>
    <m/>
    <n v="0"/>
    <n v="2"/>
    <n v="2025"/>
    <s v="INV12840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00-025-501] Bearing Cylinder Assembly, 8x6-18 SRL"/>
    <n v="0"/>
    <m/>
    <m/>
    <m/>
    <m/>
    <s v=""/>
    <s v=""/>
    <s v=""/>
    <s v=""/>
  </r>
  <r>
    <n v="5"/>
    <s v="SO16534"/>
    <m/>
    <x v="0"/>
    <x v="0"/>
    <m/>
    <n v="0"/>
    <n v="2"/>
    <n v="2025"/>
    <s v="INV12860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1-121-501] Suction Side Plate, 8x6-18 SRL-C, Natural Rubber"/>
    <n v="0"/>
    <m/>
    <m/>
    <m/>
    <m/>
    <s v=""/>
    <s v=""/>
    <s v=""/>
    <s v=""/>
  </r>
  <r>
    <n v="5"/>
    <s v="SO16534"/>
    <m/>
    <x v="0"/>
    <x v="0"/>
    <m/>
    <n v="0"/>
    <n v="2"/>
    <n v="2025"/>
    <s v="INV13074"/>
    <n v="6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00-025-501] Bearing Cylinder Assembly, 8x6-18 SRL"/>
    <n v="0"/>
    <m/>
    <m/>
    <m/>
    <m/>
    <s v=""/>
    <s v=""/>
    <s v=""/>
    <s v=""/>
  </r>
  <r>
    <n v="1"/>
    <s v="SO16535"/>
    <m/>
    <x v="0"/>
    <x v="0"/>
    <m/>
    <s v="Jeff Bell"/>
    <n v="2"/>
    <n v="2025"/>
    <s v="INV12644"/>
    <n v="4"/>
    <n v="2025"/>
    <x v="0"/>
    <s v="Barrick Gold - Pueblo Viejo Dominicana Corporation"/>
    <s v="USD"/>
    <n v="22748.778120402549"/>
    <n v="15580.5"/>
    <x v="0"/>
    <n v="0"/>
    <n v="15580.5"/>
    <m/>
    <x v="0"/>
    <m/>
    <m/>
    <s v=""/>
    <s v=""/>
    <s v=""/>
    <s v=""/>
    <s v=""/>
    <s v=""/>
    <s v=""/>
    <s v=""/>
    <s v="[10JKM, 6-Vane Impeller, CD4] Impeller, 10JKM, Double Keyed, w/Wear Ring"/>
    <n v="0"/>
    <m/>
    <m/>
    <m/>
    <m/>
    <s v=""/>
    <s v=""/>
    <s v=""/>
    <s v=""/>
  </r>
  <r>
    <n v="2"/>
    <s v="SO16537"/>
    <m/>
    <x v="0"/>
    <x v="0"/>
    <m/>
    <s v="Ian Trottier"/>
    <n v="2"/>
    <n v="2025"/>
    <s v="INV12832"/>
    <n v="5"/>
    <n v="2025"/>
    <x v="0"/>
    <s v="Cartledge &amp; Associates Inc."/>
    <s v="USD"/>
    <n v="5976.3998974636061"/>
    <n v="4093.2"/>
    <x v="0"/>
    <n v="0"/>
    <n v="4093.2"/>
    <m/>
    <x v="0"/>
    <m/>
    <m/>
    <s v=""/>
    <s v=""/>
    <s v=""/>
    <s v=""/>
    <s v=""/>
    <s v=""/>
    <s v=""/>
    <s v=""/>
    <s v="[AC-98-231-115-501] Suction Side Liner, 5x4-14 SRL-C, Natural Rubber"/>
    <n v="0"/>
    <m/>
    <m/>
    <m/>
    <m/>
    <s v=""/>
    <s v=""/>
    <s v=""/>
    <s v=""/>
  </r>
  <r>
    <n v="2"/>
    <s v="SO16537"/>
    <m/>
    <x v="0"/>
    <x v="0"/>
    <m/>
    <n v="0"/>
    <n v="2"/>
    <n v="2025"/>
    <s v="INV12605"/>
    <n v="4"/>
    <n v="2025"/>
    <x v="0"/>
    <s v="Cartledge &amp; Associates Inc."/>
    <s v="USD"/>
    <n v="0"/>
    <n v="0"/>
    <x v="1"/>
    <n v="0"/>
    <n v="0"/>
    <m/>
    <x v="0"/>
    <m/>
    <m/>
    <s v=""/>
    <s v=""/>
    <s v=""/>
    <s v=""/>
    <s v=""/>
    <s v=""/>
    <s v=""/>
    <s v=""/>
    <s v="[AC-98-231-115-501] Suction Side Liner, 5x4-14 SRL-C, Natural Rubber"/>
    <n v="0"/>
    <m/>
    <m/>
    <m/>
    <m/>
    <s v=""/>
    <s v=""/>
    <s v=""/>
    <s v=""/>
  </r>
  <r>
    <n v="1"/>
    <s v="SO16539"/>
    <m/>
    <x v="0"/>
    <x v="0"/>
    <m/>
    <s v="Ian Trottier"/>
    <n v="2"/>
    <n v="2025"/>
    <s v="INV12603"/>
    <n v="3"/>
    <n v="2025"/>
    <x v="0"/>
    <s v="Grant Aggregate"/>
    <s v="CAD"/>
    <n v="447.11"/>
    <n v="312.22099150646483"/>
    <x v="0"/>
    <n v="0"/>
    <n v="312.22099150646483"/>
    <m/>
    <x v="0"/>
    <m/>
    <m/>
    <s v=""/>
    <s v=""/>
    <s v=""/>
    <s v=""/>
    <s v=""/>
    <s v=""/>
    <s v=""/>
    <s v=""/>
    <s v="[AC-98-331-936-801] Bearing Cover (Inboard), 8x6-18 &amp; 10x8-21 SRL-C, Cast Iron"/>
    <n v="0"/>
    <m/>
    <m/>
    <m/>
    <m/>
    <s v=""/>
    <s v=""/>
    <s v=""/>
    <s v=""/>
  </r>
  <r>
    <n v="2"/>
    <s v="SO16544"/>
    <m/>
    <x v="1"/>
    <x v="0"/>
    <m/>
    <s v="Ian Trottier"/>
    <n v="2"/>
    <n v="2025"/>
    <s v="INV12940"/>
    <n v="6"/>
    <n v="2025"/>
    <x v="1"/>
    <s v="Motion Industries Inc. (Canada) - Winnipeg"/>
    <s v="CAD"/>
    <n v="7490.32"/>
    <n v="5408.7721658319424"/>
    <x v="0"/>
    <n v="0"/>
    <n v="5408.7721658319424"/>
    <m/>
    <x v="1"/>
    <m/>
    <m/>
    <s v=""/>
    <n v="5.0000000000000001E-3"/>
    <s v=""/>
    <s v=""/>
    <s v=""/>
    <n v="27.043860829159712"/>
    <s v=""/>
    <s v=""/>
    <s v="[2Z104-GA, DU-AY33867K-GTB] Impeller Gasket, Durco Mark 2 Group 2, Grafoil"/>
    <n v="27.043860829159712"/>
    <m/>
    <m/>
    <m/>
    <m/>
    <s v=""/>
    <n v="27.043860829159712"/>
    <s v=""/>
    <s v=""/>
  </r>
  <r>
    <n v="2"/>
    <s v="SO16544"/>
    <m/>
    <x v="1"/>
    <x v="0"/>
    <m/>
    <n v="0"/>
    <n v="2"/>
    <n v="2025"/>
    <s v="INV13261"/>
    <n v="9"/>
    <n v="2025"/>
    <x v="1"/>
    <s v="Motion Industries Inc. (Canada) - Winnipeg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M&amp;N# 5693] Impeller, Worthington 10-FRBH-182, CD4MCu"/>
    <n v="0"/>
    <m/>
    <m/>
    <m/>
    <m/>
    <s v=""/>
    <n v="0"/>
    <s v=""/>
    <s v=""/>
  </r>
  <r>
    <n v="1"/>
    <s v="SO16545"/>
    <m/>
    <x v="1"/>
    <x v="0"/>
    <m/>
    <s v="Ian Trottier"/>
    <n v="2"/>
    <n v="2025"/>
    <s v="INV13030"/>
    <n v="7"/>
    <n v="2025"/>
    <x v="1"/>
    <s v="DRN Industriel"/>
    <s v="CAD"/>
    <n v="4342.6000000000004"/>
    <n v="3040.2012801235032"/>
    <x v="0"/>
    <n v="0"/>
    <n v="3040.2012801235032"/>
    <m/>
    <x v="1"/>
    <m/>
    <m/>
    <s v=""/>
    <n v="5.0000000000000001E-3"/>
    <s v=""/>
    <s v=""/>
    <s v=""/>
    <n v="15.201006400617516"/>
    <s v=""/>
    <s v=""/>
    <s v="[GA-20DELSLV] Valve (Sleeve), 2&quot; G-Series VSP, Delta Series, Natural Rubber"/>
    <n v="15.201006400617516"/>
    <m/>
    <m/>
    <m/>
    <m/>
    <s v=""/>
    <n v="15.201006400617516"/>
    <s v=""/>
    <s v=""/>
  </r>
  <r>
    <n v="1"/>
    <s v="SO16546"/>
    <m/>
    <x v="0"/>
    <x v="0"/>
    <m/>
    <s v="Jeff Bell"/>
    <n v="2"/>
    <n v="2025"/>
    <s v="INV12646"/>
    <n v="4"/>
    <n v="2025"/>
    <x v="0"/>
    <s v="Barrick Gold - Pueblo Viejo Dominicana Corporation"/>
    <s v="USD"/>
    <n v="29631.719463706959"/>
    <n v="20692.099999999999"/>
    <x v="0"/>
    <n v="0"/>
    <n v="20692.099999999999"/>
    <m/>
    <x v="0"/>
    <m/>
    <m/>
    <s v=""/>
    <s v=""/>
    <s v=""/>
    <s v=""/>
    <s v=""/>
    <s v=""/>
    <s v=""/>
    <s v=""/>
    <s v="[D-2001408-2507] Impeller Wear Ring, 10JKH/M, 5.12x5.48x0.88, Duplex SS 2507 w/Ion Nitriding"/>
    <n v="0"/>
    <m/>
    <m/>
    <m/>
    <m/>
    <s v=""/>
    <s v=""/>
    <s v=""/>
    <s v=""/>
  </r>
  <r>
    <n v="1"/>
    <s v="SO16547"/>
    <m/>
    <x v="2"/>
    <x v="0"/>
    <m/>
    <s v="Marlen Martinez"/>
    <n v="2"/>
    <n v="2025"/>
    <s v="INV12962"/>
    <n v="8"/>
    <n v="2025"/>
    <x v="0"/>
    <s v="Covia Corp - Camden"/>
    <s v="USD"/>
    <n v="895.69215173736814"/>
    <n v="625.47"/>
    <x v="0"/>
    <n v="210.47"/>
    <n v="415"/>
    <m/>
    <x v="0"/>
    <m/>
    <m/>
    <s v=""/>
    <s v=""/>
    <s v=""/>
    <s v=""/>
    <s v=""/>
    <s v=""/>
    <s v=""/>
    <s v=""/>
    <s v="[W-E034M/E62] Frame Plate Bolt - 1 nut, 8/6 AH"/>
    <n v="0"/>
    <m/>
    <m/>
    <m/>
    <m/>
    <s v=""/>
    <s v=""/>
    <s v=""/>
    <s v=""/>
  </r>
  <r>
    <n v="1"/>
    <s v="SO16549"/>
    <m/>
    <x v="0"/>
    <x v="0"/>
    <m/>
    <s v="Ian Trottier"/>
    <n v="2"/>
    <n v="2025"/>
    <s v="INV12613"/>
    <n v="4"/>
    <n v="2025"/>
    <x v="0"/>
    <s v="Resolute Forest Products - Saint-Felicien"/>
    <s v="CAD"/>
    <n v="4141.92"/>
    <n v="2894.1931391601879"/>
    <x v="0"/>
    <n v="0"/>
    <n v="2894.1931391601879"/>
    <m/>
    <x v="0"/>
    <m/>
    <m/>
    <s v=""/>
    <s v=""/>
    <s v=""/>
    <s v=""/>
    <s v=""/>
    <s v=""/>
    <s v=""/>
    <s v=""/>
    <s v="[AC-98-232-857-801] Shim Set, A-C PWO-C Group 1, Plastic"/>
    <n v="0"/>
    <m/>
    <m/>
    <m/>
    <m/>
    <s v=""/>
    <s v=""/>
    <s v=""/>
    <s v=""/>
  </r>
  <r>
    <n v="1"/>
    <s v="SO16550"/>
    <m/>
    <x v="0"/>
    <x v="0"/>
    <m/>
    <s v="Ian Trottier"/>
    <n v="2"/>
    <n v="2025"/>
    <s v="INV12607"/>
    <n v="3"/>
    <n v="2025"/>
    <x v="0"/>
    <s v="Wajax Limited - Noranda"/>
    <s v="CAD"/>
    <n v="711.25"/>
    <n v="496.82325945069084"/>
    <x v="0"/>
    <n v="0"/>
    <n v="496.82325945069084"/>
    <m/>
    <x v="0"/>
    <m/>
    <m/>
    <s v=""/>
    <s v=""/>
    <s v=""/>
    <s v=""/>
    <s v=""/>
    <s v=""/>
    <s v=""/>
    <s v=""/>
    <s v="[AC-98-331-958-808] Shaft Sleeve, 5x4/5x5/6x6 SRL, 316SS"/>
    <n v="0"/>
    <m/>
    <m/>
    <m/>
    <m/>
    <s v=""/>
    <s v=""/>
    <s v=""/>
    <s v=""/>
  </r>
  <r>
    <n v="1"/>
    <s v="SO16551"/>
    <m/>
    <x v="0"/>
    <x v="0"/>
    <m/>
    <s v="Ian Trottier"/>
    <n v="2"/>
    <n v="2025"/>
    <s v="INV12743"/>
    <n v="5"/>
    <n v="2025"/>
    <x v="0"/>
    <s v="Resolute Forest Products - Kenogami"/>
    <s v="CAD"/>
    <n v="7794.2"/>
    <n v="5446.2471909747983"/>
    <x v="0"/>
    <n v="0"/>
    <n v="5446.2471909747983"/>
    <m/>
    <x v="0"/>
    <m/>
    <m/>
    <s v=""/>
    <s v=""/>
    <s v=""/>
    <s v=""/>
    <s v=""/>
    <s v=""/>
    <s v=""/>
    <s v=""/>
    <s v="[AC-98-432-883-502] Shaft (Fine Thread), PWO, Frame 3, 316SS"/>
    <n v="0"/>
    <m/>
    <m/>
    <m/>
    <m/>
    <s v=""/>
    <s v=""/>
    <s v=""/>
    <s v=""/>
  </r>
  <r>
    <n v="1"/>
    <s v="SO16552"/>
    <m/>
    <x v="0"/>
    <x v="0"/>
    <m/>
    <s v="Taylor Cook"/>
    <n v="2"/>
    <n v="2025"/>
    <s v="INV12757"/>
    <n v="4"/>
    <n v="2025"/>
    <x v="0"/>
    <s v="Hyperflo"/>
    <s v="CAD"/>
    <n v="172.3"/>
    <n v="120.35521631403029"/>
    <x v="0"/>
    <n v="0"/>
    <n v="120.35521631403029"/>
    <m/>
    <x v="0"/>
    <m/>
    <m/>
    <s v=""/>
    <s v=""/>
    <s v=""/>
    <s v=""/>
    <s v=""/>
    <s v=""/>
    <s v=""/>
    <s v=""/>
    <s v="[AC-98-233-733-513] Deflector (Water Slinger), 8x6-18 &amp; 10x8-21 SRL-C, Neoprene/Steel"/>
    <n v="0"/>
    <m/>
    <m/>
    <m/>
    <m/>
    <s v=""/>
    <s v=""/>
    <s v=""/>
    <s v=""/>
  </r>
  <r>
    <n v="2"/>
    <s v="SO16554"/>
    <m/>
    <x v="0"/>
    <x v="0"/>
    <m/>
    <s v="Jeff Bell"/>
    <n v="2"/>
    <n v="2025"/>
    <s v="INV13151"/>
    <n v="8"/>
    <n v="2025"/>
    <x v="0"/>
    <s v="Barrick Gold - Pueblo Viejo Dominicana Corporation"/>
    <s v="USD"/>
    <n v="45189.049108657709"/>
    <n v="31557.54"/>
    <x v="0"/>
    <n v="0"/>
    <n v="31557.54"/>
    <m/>
    <x v="0"/>
    <m/>
    <m/>
    <s v=""/>
    <s v=""/>
    <s v=""/>
    <s v=""/>
    <s v=""/>
    <s v=""/>
    <s v=""/>
    <s v=""/>
    <s v="Pump, 3/3, Dynapro CVD, High Chrome"/>
    <n v="0"/>
    <m/>
    <m/>
    <m/>
    <m/>
    <s v=""/>
    <s v=""/>
    <s v=""/>
    <s v=""/>
  </r>
  <r>
    <n v="2"/>
    <s v="SO16554"/>
    <m/>
    <x v="0"/>
    <x v="0"/>
    <m/>
    <n v="0"/>
    <n v="2"/>
    <n v="2025"/>
    <s v="INV12765"/>
    <n v="5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85449] Service Kit, Micropump GLH-H25, Gears on Shafts, Bushings and Seals"/>
    <n v="0"/>
    <m/>
    <m/>
    <m/>
    <m/>
    <s v=""/>
    <s v=""/>
    <s v=""/>
    <s v=""/>
  </r>
  <r>
    <n v="1"/>
    <s v="SO16556"/>
    <m/>
    <x v="0"/>
    <x v="0"/>
    <m/>
    <s v="Yannett Yeomans"/>
    <n v="2"/>
    <n v="2025"/>
    <s v="INV12867"/>
    <s v=""/>
    <s v=""/>
    <x v="0"/>
    <s v="Dynapro Pumps México S de RL de CV"/>
    <s v="USD"/>
    <n v="5240.7712292499091"/>
    <n v="3669"/>
    <x v="1"/>
    <n v="0"/>
    <n v="0"/>
    <m/>
    <x v="0"/>
    <m/>
    <m/>
    <s v=""/>
    <s v=""/>
    <s v=""/>
    <s v=""/>
    <s v=""/>
    <s v=""/>
    <s v=""/>
    <s v=""/>
    <s v="[W-RVR10073G] Shaft 1200mm, 100RV-SPR, 1045"/>
    <n v="0"/>
    <m/>
    <m/>
    <m/>
    <m/>
    <s v=""/>
    <s v=""/>
    <s v=""/>
    <s v=""/>
  </r>
  <r>
    <n v="1"/>
    <s v="SO16557"/>
    <m/>
    <x v="0"/>
    <x v="0"/>
    <m/>
    <s v="Taylor Cook"/>
    <n v="2"/>
    <n v="2025"/>
    <s v="INV12636"/>
    <n v="3"/>
    <n v="2025"/>
    <x v="0"/>
    <s v="Canadian Bearings Ltd."/>
    <s v="CAD"/>
    <n v="270.35000000000002"/>
    <n v="190.5760604117369"/>
    <x v="0"/>
    <n v="0"/>
    <n v="190.5760604117369"/>
    <m/>
    <x v="0"/>
    <m/>
    <m/>
    <s v=""/>
    <s v=""/>
    <s v=""/>
    <s v=""/>
    <s v=""/>
    <s v=""/>
    <s v=""/>
    <s v=""/>
    <s v="[AC-98-232-857-801] Shim Set, A-C PWO-C Group 1, Plastic"/>
    <n v="0"/>
    <m/>
    <m/>
    <m/>
    <m/>
    <s v=""/>
    <s v=""/>
    <s v=""/>
    <s v=""/>
  </r>
  <r>
    <n v="1"/>
    <s v="SO16558"/>
    <m/>
    <x v="0"/>
    <x v="0"/>
    <m/>
    <s v="Ian Trottier"/>
    <n v="2"/>
    <n v="2025"/>
    <s v="INV12977"/>
    <n v="5"/>
    <n v="2025"/>
    <x v="0"/>
    <s v="Les Pompes du St-Laurent Inc."/>
    <s v="CAD"/>
    <n v="3356.2"/>
    <n v="2345.1662546957505"/>
    <x v="0"/>
    <n v="0"/>
    <n v="2345.1662546957505"/>
    <m/>
    <x v="0"/>
    <m/>
    <m/>
    <s v=""/>
    <s v=""/>
    <s v=""/>
    <s v=""/>
    <s v=""/>
    <s v=""/>
    <s v=""/>
    <s v=""/>
    <s v="[DU-MY36862A100-HAST-C] Impeller, 3x2-10, Durco Mark 2 Group 2, Hastelloy C, Reverse Vane"/>
    <n v="0"/>
    <m/>
    <m/>
    <m/>
    <m/>
    <s v=""/>
    <s v=""/>
    <s v=""/>
    <s v=""/>
  </r>
  <r>
    <n v="1"/>
    <s v="SO16559"/>
    <m/>
    <x v="0"/>
    <x v="0"/>
    <m/>
    <s v="Taylor Cook"/>
    <n v="2"/>
    <n v="2025"/>
    <s v="INV12640"/>
    <n v="3"/>
    <n v="2025"/>
    <x v="0"/>
    <s v="Tantalum Mining Corporation of Canada"/>
    <s v="CAD"/>
    <n v="2019.47"/>
    <n v="1418.2424870991472"/>
    <x v="0"/>
    <n v="0"/>
    <n v="1418.2424870991472"/>
    <m/>
    <x v="0"/>
    <m/>
    <m/>
    <s v=""/>
    <s v=""/>
    <s v=""/>
    <s v=""/>
    <s v=""/>
    <s v=""/>
    <s v=""/>
    <s v=""/>
    <s v="[AC-98-236-104-001] Shaft Sleeve, 8x6-18 &amp; 10x8-21 SRL-C, Steel"/>
    <n v="0"/>
    <m/>
    <m/>
    <m/>
    <m/>
    <s v=""/>
    <s v=""/>
    <s v=""/>
    <s v=""/>
  </r>
  <r>
    <n v="1"/>
    <s v="SO16560"/>
    <m/>
    <x v="0"/>
    <x v="0"/>
    <m/>
    <s v="Ian Trottier"/>
    <n v="2"/>
    <n v="2025"/>
    <s v="INV12622"/>
    <n v="4"/>
    <n v="2025"/>
    <x v="0"/>
    <s v="Resolute Forest Products - Kenogami"/>
    <s v="CAD"/>
    <n v="939.78"/>
    <n v="657.71488954735526"/>
    <x v="0"/>
    <n v="0"/>
    <n v="657.71488954735526"/>
    <m/>
    <x v="0"/>
    <m/>
    <m/>
    <s v=""/>
    <s v=""/>
    <s v=""/>
    <s v=""/>
    <s v=""/>
    <s v=""/>
    <s v=""/>
    <s v=""/>
    <s v="[AC-98-130-367-001] Shaft Sleeve, PWO Frame 2, 316SS"/>
    <n v="0"/>
    <m/>
    <m/>
    <m/>
    <m/>
    <s v=""/>
    <s v=""/>
    <s v=""/>
    <s v=""/>
  </r>
  <r>
    <n v="1"/>
    <s v="SO16561"/>
    <m/>
    <x v="0"/>
    <x v="0"/>
    <m/>
    <s v="Ian Trottier"/>
    <n v="2"/>
    <n v="2025"/>
    <s v="INV12693"/>
    <n v="4"/>
    <n v="2025"/>
    <x v="0"/>
    <s v="Sealtrac Inc."/>
    <s v="CAD"/>
    <n v="537.27"/>
    <n v="377.31639541253833"/>
    <x v="0"/>
    <n v="0"/>
    <n v="377.31639541253833"/>
    <m/>
    <x v="0"/>
    <m/>
    <m/>
    <s v=""/>
    <s v=""/>
    <s v=""/>
    <s v=""/>
    <s v=""/>
    <s v=""/>
    <s v=""/>
    <s v=""/>
    <s v="[G-C04677A 3201] Coupling Guard, 3196 MTX/LTX, Fabricated Steel, Drum Style"/>
    <n v="0"/>
    <m/>
    <m/>
    <m/>
    <m/>
    <s v=""/>
    <s v=""/>
    <s v=""/>
    <s v=""/>
  </r>
  <r>
    <n v="2"/>
    <s v="SO16564"/>
    <m/>
    <x v="0"/>
    <x v="0"/>
    <m/>
    <s v="Taylor Cook"/>
    <n v="2"/>
    <n v="2025"/>
    <s v="INV12880"/>
    <n v="5"/>
    <n v="2025"/>
    <x v="0"/>
    <s v="Sling-Choker Manufacturing - Timmins"/>
    <s v="CAD"/>
    <n v="13281.16"/>
    <n v="9281.8105690133762"/>
    <x v="0"/>
    <n v="0"/>
    <n v="9281.8105690133762"/>
    <m/>
    <x v="0"/>
    <m/>
    <m/>
    <s v=""/>
    <s v=""/>
    <s v=""/>
    <s v=""/>
    <s v=""/>
    <s v=""/>
    <s v=""/>
    <s v=""/>
    <s v="[G-0C02705A 1203] Impeller, 4x6-19, 3180-M, 316SS, 5-Vane"/>
    <n v="0"/>
    <m/>
    <m/>
    <m/>
    <m/>
    <s v=""/>
    <s v=""/>
    <s v=""/>
    <s v=""/>
  </r>
  <r>
    <n v="2"/>
    <s v="SO16564"/>
    <m/>
    <x v="0"/>
    <x v="0"/>
    <m/>
    <n v="0"/>
    <n v="2"/>
    <n v="2025"/>
    <s v="INV12664"/>
    <n v="3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G-A03190A02 2213] Impeller Key, 3180-M, Steel"/>
    <n v="0"/>
    <m/>
    <m/>
    <m/>
    <m/>
    <s v=""/>
    <s v=""/>
    <s v=""/>
    <s v=""/>
  </r>
  <r>
    <n v="1"/>
    <s v="SO16568"/>
    <m/>
    <x v="0"/>
    <x v="0"/>
    <m/>
    <s v="Ian Trottier"/>
    <n v="2"/>
    <n v="2025"/>
    <s v="INV12741"/>
    <n v="4"/>
    <n v="2025"/>
    <x v="0"/>
    <s v="Les Pompes du St-Laurent Inc."/>
    <s v="CAD"/>
    <n v="1209.1300000000001"/>
    <n v="842.66590406184275"/>
    <x v="0"/>
    <n v="0"/>
    <n v="842.66590406184275"/>
    <m/>
    <x v="0"/>
    <m/>
    <m/>
    <s v=""/>
    <s v=""/>
    <s v=""/>
    <s v=""/>
    <s v=""/>
    <s v=""/>
    <s v=""/>
    <s v=""/>
    <s v="[AC-98-431-858-501] Shaft Assembly, 3x3-10 SRL &amp; SRL-C, 1045 Steel"/>
    <n v="0"/>
    <m/>
    <m/>
    <m/>
    <m/>
    <s v=""/>
    <s v=""/>
    <s v=""/>
    <s v=""/>
  </r>
  <r>
    <n v="1"/>
    <s v="SO16569"/>
    <m/>
    <x v="0"/>
    <x v="0"/>
    <m/>
    <s v="Jeff Bell"/>
    <n v="2"/>
    <n v="2025"/>
    <s v="INV12645"/>
    <n v="4"/>
    <n v="2025"/>
    <x v="0"/>
    <s v="Barrick Gold - Pueblo Viejo Dominicana Corporation"/>
    <s v="USD"/>
    <n v="14139.591623106726"/>
    <n v="9893.2000000000007"/>
    <x v="0"/>
    <n v="0"/>
    <n v="9893.2000000000007"/>
    <m/>
    <x v="0"/>
    <m/>
    <m/>
    <s v=""/>
    <s v=""/>
    <s v=""/>
    <s v=""/>
    <s v=""/>
    <s v=""/>
    <s v=""/>
    <s v=""/>
    <s v="[D-2001408-2507] Impeller Wear Ring, 10JKH/M, 5.12x5.48x0.88, Duplex SS 2507 w/Ion Nitriding"/>
    <n v="0"/>
    <m/>
    <m/>
    <m/>
    <m/>
    <s v=""/>
    <s v=""/>
    <s v=""/>
    <s v=""/>
  </r>
  <r>
    <n v="2"/>
    <s v="SO16570"/>
    <m/>
    <x v="0"/>
    <x v="0"/>
    <m/>
    <s v="Taylor Cook"/>
    <n v="2"/>
    <n v="2025"/>
    <s v="INV12628"/>
    <n v="3"/>
    <n v="2025"/>
    <x v="0"/>
    <s v="Eleazar General &amp; Industrial Supplies Limited"/>
    <s v="USD"/>
    <n v="6885.1911813557999"/>
    <n v="4853.4799999999996"/>
    <x v="0"/>
    <n v="0"/>
    <n v="4853.4799999999996"/>
    <m/>
    <x v="0"/>
    <m/>
    <m/>
    <s v=""/>
    <s v=""/>
    <s v=""/>
    <s v=""/>
    <s v=""/>
    <s v=""/>
    <s v=""/>
    <s v=""/>
    <s v="[AC-98-331-958-831] Shaft Sleeve, 5x4/5x5/6X6 SRL-C &amp; SRL, 420SS Heat Treated, Hardened"/>
    <n v="0"/>
    <m/>
    <m/>
    <m/>
    <m/>
    <s v=""/>
    <s v=""/>
    <s v=""/>
    <s v=""/>
  </r>
  <r>
    <n v="2"/>
    <s v="SO16570"/>
    <m/>
    <x v="0"/>
    <x v="0"/>
    <m/>
    <n v="0"/>
    <n v="2"/>
    <n v="2025"/>
    <s v="INV12836"/>
    <n v="5"/>
    <n v="2025"/>
    <x v="0"/>
    <s v="Eleazar General &amp; Industrial Supplies Limited"/>
    <s v="USD"/>
    <n v="0"/>
    <n v="0"/>
    <x v="1"/>
    <n v="0"/>
    <n v="0"/>
    <m/>
    <x v="0"/>
    <m/>
    <m/>
    <s v=""/>
    <s v=""/>
    <s v=""/>
    <s v=""/>
    <s v=""/>
    <s v=""/>
    <s v=""/>
    <s v=""/>
    <s v="[AC-98-039-047-506] Impeller (Closed), 5x4-14 SRL-C, Urethane"/>
    <n v="0"/>
    <m/>
    <m/>
    <m/>
    <m/>
    <s v=""/>
    <s v=""/>
    <s v=""/>
    <s v=""/>
  </r>
  <r>
    <n v="1"/>
    <s v="SO16571"/>
    <m/>
    <x v="2"/>
    <x v="0"/>
    <m/>
    <s v="Marlen Martinez"/>
    <n v="2"/>
    <n v="2025"/>
    <s v="INV12619"/>
    <n v="5"/>
    <n v="2025"/>
    <x v="0"/>
    <s v="Covia Corp - Tunnel City"/>
    <s v="USD"/>
    <n v="10063.161021539487"/>
    <n v="7041"/>
    <x v="0"/>
    <n v="671"/>
    <n v="6370"/>
    <m/>
    <x v="0"/>
    <m/>
    <m/>
    <s v=""/>
    <s v=""/>
    <s v=""/>
    <s v=""/>
    <s v=""/>
    <s v=""/>
    <s v=""/>
    <s v=""/>
    <s v="102693 Bearing Assembly w/Shaft, 10/8 to 14/12 F-AH, Metric"/>
    <n v="0"/>
    <m/>
    <m/>
    <m/>
    <m/>
    <s v=""/>
    <s v=""/>
    <s v=""/>
    <s v=""/>
  </r>
  <r>
    <n v="1"/>
    <s v="SO16572"/>
    <m/>
    <x v="0"/>
    <x v="0"/>
    <m/>
    <s v="Taylor Cook"/>
    <n v="2"/>
    <n v="2025"/>
    <s v="INV12616"/>
    <n v="4"/>
    <n v="2025"/>
    <x v="0"/>
    <s v="Hyperflo"/>
    <s v="CAD"/>
    <n v="3998.78"/>
    <n v="2794.6292693679848"/>
    <x v="0"/>
    <n v="0"/>
    <n v="2794.6292693679848"/>
    <m/>
    <x v="0"/>
    <m/>
    <m/>
    <s v=""/>
    <s v=""/>
    <s v=""/>
    <s v=""/>
    <s v=""/>
    <s v=""/>
    <s v=""/>
    <s v=""/>
    <s v="[AC-98-431-855-001] Suction Side Casing, 3x3-10 SRL-C, Cast Iron"/>
    <n v="0"/>
    <m/>
    <m/>
    <m/>
    <m/>
    <s v=""/>
    <s v=""/>
    <s v=""/>
    <s v=""/>
  </r>
  <r>
    <n v="1"/>
    <s v="SO16574"/>
    <m/>
    <x v="0"/>
    <x v="0"/>
    <m/>
    <s v="Yannett Yeomans"/>
    <n v="2"/>
    <n v="2025"/>
    <s v="INV13016"/>
    <s v=""/>
    <s v=""/>
    <x v="0"/>
    <s v="Dynapro Pumps México S de RL de CV"/>
    <s v="USD"/>
    <n v="18579.902468401269"/>
    <n v="13000"/>
    <x v="1"/>
    <n v="0"/>
    <n v="0"/>
    <m/>
    <x v="0"/>
    <m/>
    <m/>
    <s v=""/>
    <s v=""/>
    <s v=""/>
    <s v=""/>
    <s v=""/>
    <s v=""/>
    <s v=""/>
    <s v=""/>
    <s v="[468425/0503] Intermediate Bowl, Vertical Turbine Pump, 18DMC-2, 420SS"/>
    <n v="0"/>
    <m/>
    <m/>
    <m/>
    <m/>
    <s v=""/>
    <s v=""/>
    <s v=""/>
    <s v=""/>
  </r>
  <r>
    <n v="1"/>
    <s v="SO16577"/>
    <m/>
    <x v="0"/>
    <x v="0"/>
    <m/>
    <s v="Jeff Bell"/>
    <n v="2"/>
    <n v="2025"/>
    <s v="INV12647"/>
    <n v="4"/>
    <n v="2025"/>
    <x v="0"/>
    <s v="Barrick Gold - Pueblo Viejo Dominicana Corporation"/>
    <s v="USD"/>
    <n v="18719.218570314879"/>
    <n v="13072.47"/>
    <x v="0"/>
    <n v="0"/>
    <n v="13072.47"/>
    <m/>
    <x v="0"/>
    <m/>
    <m/>
    <s v=""/>
    <s v=""/>
    <s v=""/>
    <s v=""/>
    <s v=""/>
    <s v=""/>
    <s v=""/>
    <s v=""/>
    <s v="[37230] Sleeve Bearing (Bowl), ThorPlas-Blue, HPCW"/>
    <n v="0"/>
    <m/>
    <m/>
    <m/>
    <m/>
    <s v=""/>
    <s v=""/>
    <s v=""/>
    <s v=""/>
  </r>
  <r>
    <n v="1"/>
    <s v="SO16578"/>
    <m/>
    <x v="0"/>
    <x v="0"/>
    <m/>
    <s v="Taylor Cook"/>
    <n v="2"/>
    <n v="2025"/>
    <s v="INV12692"/>
    <n v="4"/>
    <n v="2025"/>
    <x v="0"/>
    <s v="Sealtrac Inc."/>
    <s v="CAD"/>
    <n v="778.8"/>
    <n v="548.65124550235089"/>
    <x v="0"/>
    <n v="0"/>
    <n v="548.65124550235089"/>
    <m/>
    <x v="0"/>
    <m/>
    <m/>
    <s v=""/>
    <s v=""/>
    <s v=""/>
    <s v=""/>
    <s v=""/>
    <s v=""/>
    <s v=""/>
    <s v=""/>
    <s v="[G-70782 29 5117] Casing Gasket, 10&quot;, 3196 MTX, Teflon"/>
    <n v="0"/>
    <m/>
    <m/>
    <m/>
    <m/>
    <s v=""/>
    <s v=""/>
    <s v=""/>
    <s v=""/>
  </r>
  <r>
    <n v="1"/>
    <s v="SO16579"/>
    <m/>
    <x v="0"/>
    <x v="0"/>
    <m/>
    <s v="Ian Trottier"/>
    <n v="2"/>
    <n v="2025"/>
    <s v="INV12623"/>
    <n v="4"/>
    <n v="2025"/>
    <x v="0"/>
    <s v="Resolute Forest Products - Saint-Felicien"/>
    <s v="CAD"/>
    <n v="161.57"/>
    <n v="112.91650229614662"/>
    <x v="0"/>
    <n v="0"/>
    <n v="112.91650229614662"/>
    <m/>
    <x v="0"/>
    <m/>
    <m/>
    <s v=""/>
    <s v=""/>
    <s v=""/>
    <s v=""/>
    <s v=""/>
    <s v=""/>
    <s v=""/>
    <s v=""/>
    <s v="[OLPWZ011004B, G-A04951A217] Bearing Isolator (Outboard), 3196 STX/STi, 303SS Rotor / Bronze Stator w/Viton"/>
    <n v="0"/>
    <m/>
    <m/>
    <m/>
    <m/>
    <s v=""/>
    <s v=""/>
    <s v=""/>
    <s v=""/>
  </r>
  <r>
    <n v="1"/>
    <s v="SO16580"/>
    <m/>
    <x v="3"/>
    <x v="0"/>
    <m/>
    <s v="Amanda Qiao"/>
    <n v="2"/>
    <n v="2025"/>
    <s v="INV12712"/>
    <n v="7"/>
    <n v="2025"/>
    <x v="1"/>
    <s v="Zijin Mining - Rosebel Goldmines N.V."/>
    <s v="USD"/>
    <n v="225.24687997834616"/>
    <n v="157.30000000000001"/>
    <x v="0"/>
    <n v="0"/>
    <n v="157.30000000000001"/>
    <m/>
    <x v="1"/>
    <m/>
    <m/>
    <s v=""/>
    <n v="5.0000000000000001E-3"/>
    <s v=""/>
    <s v=""/>
    <s v=""/>
    <n v="0.78650000000000009"/>
    <s v=""/>
    <s v=""/>
    <s v="Gaskets &amp; Seals Set, 65QV-SP"/>
    <n v="0.78650000000000009"/>
    <m/>
    <n v="2503"/>
    <m/>
    <m/>
    <s v=""/>
    <n v="0"/>
    <s v=""/>
    <s v=""/>
  </r>
  <r>
    <n v="2"/>
    <s v="SO16581"/>
    <m/>
    <x v="0"/>
    <x v="1"/>
    <m/>
    <s v="Amanda Qiao"/>
    <n v="2"/>
    <n v="2025"/>
    <s v="INV13214"/>
    <n v="9"/>
    <n v="2025"/>
    <x v="1"/>
    <s v="AGM Inc."/>
    <s v="USD"/>
    <n v="44264.602534226957"/>
    <n v="31860"/>
    <x v="0"/>
    <n v="0"/>
    <n v="31860"/>
    <m/>
    <x v="0"/>
    <s v="Renewal"/>
    <m/>
    <s v=""/>
    <s v=""/>
    <n v="0.01"/>
    <s v=""/>
    <s v=""/>
    <s v=""/>
    <n v="318.60000000000002"/>
    <s v=""/>
    <s v="[81708064] Single Cartridge Seal, 1 3/8&quot;, John Crane 4600 Series, 3196 STX or Durco Mark 3 Group 1, Standard Bore, Carbon vs Silicon Carbide w/Viton Elastomers"/>
    <n v="318.60000000000002"/>
    <m/>
    <m/>
    <n v="2503"/>
    <m/>
    <s v=""/>
    <s v=""/>
    <n v="0"/>
    <s v=""/>
  </r>
  <r>
    <n v="2"/>
    <s v="SO16581"/>
    <m/>
    <x v="0"/>
    <x v="1"/>
    <m/>
    <n v="0"/>
    <n v="2"/>
    <n v="2025"/>
    <s v="INV13188"/>
    <n v="9"/>
    <n v="2025"/>
    <x v="1"/>
    <s v="AGM Inc."/>
    <s v="USD"/>
    <n v="0"/>
    <n v="0"/>
    <x v="1"/>
    <n v="0"/>
    <n v="0"/>
    <m/>
    <x v="0"/>
    <s v="Renewal"/>
    <m/>
    <s v=""/>
    <s v=""/>
    <n v="0.01"/>
    <s v=""/>
    <s v=""/>
    <s v=""/>
    <n v="0"/>
    <s v=""/>
    <s v="[81708064] Single Cartridge Seal, 1 3/8&quot;, John Crane 4600 Series, 3196 STX or Durco Mark 3 Group 1, Standard Bore, Carbon vs Silicon Carbide w/Viton Elastomers"/>
    <n v="0"/>
    <m/>
    <m/>
    <n v="2503"/>
    <m/>
    <s v=""/>
    <s v=""/>
    <n v="0"/>
    <s v=""/>
  </r>
  <r>
    <n v="1"/>
    <s v="SO16583"/>
    <m/>
    <x v="0"/>
    <x v="0"/>
    <m/>
    <s v="Taylor Cook"/>
    <n v="2"/>
    <n v="2025"/>
    <s v="INV12632"/>
    <n v="4"/>
    <n v="2025"/>
    <x v="0"/>
    <s v="Les Pompes du St-Laurent Inc."/>
    <s v="CAD"/>
    <n v="3529.3"/>
    <n v="2466.5235597808401"/>
    <x v="0"/>
    <n v="0"/>
    <n v="2466.5235597808401"/>
    <m/>
    <x v="0"/>
    <m/>
    <m/>
    <s v=""/>
    <s v=""/>
    <s v=""/>
    <s v=""/>
    <s v=""/>
    <s v=""/>
    <s v=""/>
    <s v=""/>
    <s v="[G-R100-533 1216] Stuffing Box Cover, 13&quot;, 3196 LTX, CD4MCu, Standard Bore, Non-Jacketed"/>
    <n v="0"/>
    <m/>
    <m/>
    <m/>
    <m/>
    <s v=""/>
    <s v=""/>
    <s v=""/>
    <s v=""/>
  </r>
  <r>
    <n v="1"/>
    <s v="SO16584"/>
    <m/>
    <x v="2"/>
    <x v="0"/>
    <m/>
    <s v="Marlen Martinez"/>
    <n v="2"/>
    <n v="2025"/>
    <s v="Borrador de factura INV12661"/>
    <s v=""/>
    <s v=""/>
    <x v="0"/>
    <s v="Covia Corp - Junction City"/>
    <s v="USD"/>
    <n v="4537.8726169827014"/>
    <n v="3169"/>
    <x v="1"/>
    <n v="0"/>
    <n v="0"/>
    <m/>
    <x v="0"/>
    <m/>
    <m/>
    <s v=""/>
    <s v=""/>
    <s v=""/>
    <s v=""/>
    <s v=""/>
    <s v=""/>
    <s v=""/>
    <s v=""/>
    <e v="#N/A"/>
    <n v="0"/>
    <m/>
    <m/>
    <m/>
    <m/>
    <s v=""/>
    <s v=""/>
    <s v=""/>
    <s v=""/>
  </r>
  <r>
    <n v="2"/>
    <s v="SO16586"/>
    <m/>
    <x v="0"/>
    <x v="0"/>
    <m/>
    <s v="Ian Trottier"/>
    <n v="2"/>
    <n v="2025"/>
    <s v="INV12904"/>
    <n v="5"/>
    <n v="2025"/>
    <x v="0"/>
    <s v="Motion Industries Inc. (Canada) - Winnipeg"/>
    <s v="CAD"/>
    <n v="122.96"/>
    <n v="85.453651369883389"/>
    <x v="0"/>
    <n v="0"/>
    <n v="85.453651369883389"/>
    <m/>
    <x v="0"/>
    <m/>
    <m/>
    <s v=""/>
    <s v=""/>
    <s v=""/>
    <s v=""/>
    <s v=""/>
    <s v=""/>
    <s v=""/>
    <s v=""/>
    <s v="[2Z104-GA, DU-AY33867K-GTB] Impeller Gasket, Durco Mark 2 Group 2, Grafoil"/>
    <n v="0"/>
    <m/>
    <m/>
    <m/>
    <m/>
    <s v=""/>
    <s v=""/>
    <s v=""/>
    <s v=""/>
  </r>
  <r>
    <n v="2"/>
    <s v="SO16586"/>
    <m/>
    <x v="0"/>
    <x v="0"/>
    <m/>
    <n v="0"/>
    <n v="2"/>
    <n v="2025"/>
    <s v="INV12717"/>
    <n v="4"/>
    <n v="2025"/>
    <x v="0"/>
    <s v="Motion Industries Inc. (Canada) - Winnipeg"/>
    <s v="CAD"/>
    <n v="0"/>
    <n v="0"/>
    <x v="1"/>
    <n v="0"/>
    <n v="0"/>
    <m/>
    <x v="0"/>
    <m/>
    <m/>
    <s v=""/>
    <s v=""/>
    <s v=""/>
    <s v=""/>
    <s v=""/>
    <s v=""/>
    <s v=""/>
    <s v=""/>
    <s v="[2Z104-GA, DU-AY33867K-GTB] Impeller Gasket, Durco Mark 2 Group 2, Grafoil"/>
    <n v="0"/>
    <m/>
    <m/>
    <m/>
    <m/>
    <s v=""/>
    <s v=""/>
    <s v=""/>
    <s v=""/>
  </r>
  <r>
    <n v="1"/>
    <s v="SO16588"/>
    <m/>
    <x v="0"/>
    <x v="0"/>
    <m/>
    <s v="Amanda Qiao"/>
    <n v="2"/>
    <n v="2025"/>
    <s v="INV12879"/>
    <n v="6"/>
    <n v="2025"/>
    <x v="0"/>
    <s v="Resolute Forest Products - Saint-Felicien"/>
    <s v="CAD"/>
    <n v="2429.21"/>
    <n v="1707.0693681429079"/>
    <x v="0"/>
    <n v="0"/>
    <n v="1707.0693681429079"/>
    <m/>
    <x v="0"/>
    <m/>
    <m/>
    <s v=""/>
    <s v=""/>
    <s v=""/>
    <s v=""/>
    <s v=""/>
    <s v=""/>
    <s v=""/>
    <s v=""/>
    <s v="[AC-52-321-473-250, M&amp;N's part # 189] Impeller (Open), 4x3-13, Allis Chalmers CSO, 316SS, 6 Vanes"/>
    <n v="0"/>
    <m/>
    <m/>
    <m/>
    <m/>
    <s v=""/>
    <s v=""/>
    <s v=""/>
    <s v=""/>
  </r>
  <r>
    <n v="1"/>
    <s v="SO16589"/>
    <m/>
    <x v="0"/>
    <x v="0"/>
    <m/>
    <s v="Taylor Cook"/>
    <n v="2"/>
    <n v="2025"/>
    <s v="INV12672"/>
    <n v="3"/>
    <n v="2025"/>
    <x v="0"/>
    <s v="Cartledge &amp; Associates Inc."/>
    <s v="USD"/>
    <n v="7479.5600468223229"/>
    <n v="5272.46"/>
    <x v="0"/>
    <n v="590"/>
    <n v="4682.46"/>
    <m/>
    <x v="0"/>
    <m/>
    <m/>
    <s v=""/>
    <s v=""/>
    <s v=""/>
    <s v=""/>
    <s v=""/>
    <s v=""/>
    <s v=""/>
    <s v=""/>
    <s v="[AC-98-330-307-501] Impeller (Closed), 3x3-10 SRL-C, Natural Rubber"/>
    <n v="0"/>
    <m/>
    <m/>
    <m/>
    <m/>
    <s v=""/>
    <s v=""/>
    <s v=""/>
    <s v=""/>
  </r>
  <r>
    <n v="1"/>
    <s v="SO16592"/>
    <m/>
    <x v="0"/>
    <x v="1"/>
    <m/>
    <s v="Amanda Qiao"/>
    <n v="2"/>
    <n v="2025"/>
    <s v="INV12943"/>
    <n v="9"/>
    <n v="2025"/>
    <x v="1"/>
    <s v="Zijin Mining - Rosebel Goldmines N.V."/>
    <s v="USD"/>
    <n v="60987.568640793208"/>
    <n v="42873.38"/>
    <x v="0"/>
    <n v="0"/>
    <n v="42873.38"/>
    <m/>
    <x v="0"/>
    <s v="New Opportunity"/>
    <m/>
    <s v=""/>
    <s v=""/>
    <n v="0.02"/>
    <s v=""/>
    <s v=""/>
    <s v=""/>
    <n v="857.46759999999995"/>
    <s v=""/>
    <s v="[825-521-011] Pump, NM053BY01L06B with motor"/>
    <n v="857.46759999999995"/>
    <m/>
    <m/>
    <n v="2503"/>
    <m/>
    <s v=""/>
    <s v=""/>
    <n v="0"/>
    <s v=""/>
  </r>
  <r>
    <n v="1"/>
    <s v="SO16593"/>
    <m/>
    <x v="0"/>
    <x v="0"/>
    <m/>
    <s v="Jeff Bell"/>
    <n v="2"/>
    <n v="2025"/>
    <s v="INV13152"/>
    <n v="8"/>
    <n v="2025"/>
    <x v="0"/>
    <s v="Barrick Gold - Pueblo Viejo Dominicana Corporation"/>
    <s v="USD"/>
    <n v="2544.1767381932414"/>
    <n v="1778.05"/>
    <x v="0"/>
    <n v="0"/>
    <n v="1778.05"/>
    <m/>
    <x v="0"/>
    <m/>
    <m/>
    <s v=""/>
    <s v=""/>
    <s v=""/>
    <s v=""/>
    <s v=""/>
    <s v=""/>
    <s v=""/>
    <s v=""/>
    <s v="[PX0404] 40 HP, 1800 RPM, 230/460/3/60, 324T Frame, Premium Efficiency TEFC, Teco-Westinghouse Motor"/>
    <n v="0"/>
    <m/>
    <m/>
    <m/>
    <m/>
    <s v=""/>
    <s v=""/>
    <s v=""/>
    <s v=""/>
  </r>
  <r>
    <n v="1"/>
    <s v="SO16595"/>
    <m/>
    <x v="0"/>
    <x v="0"/>
    <m/>
    <s v="Ian Trottier"/>
    <n v="2"/>
    <n v="2025"/>
    <s v="INV12633"/>
    <n v="4"/>
    <n v="2025"/>
    <x v="0"/>
    <s v="Les Pompes du St-Laurent Inc."/>
    <s v="CAD"/>
    <n v="8679.65"/>
    <n v="6123.7303425838754"/>
    <x v="0"/>
    <n v="0"/>
    <n v="6123.7303425838754"/>
    <m/>
    <x v="0"/>
    <m/>
    <m/>
    <s v=""/>
    <s v=""/>
    <s v=""/>
    <s v=""/>
    <s v=""/>
    <s v=""/>
    <s v=""/>
    <s v=""/>
    <s v="[G-R100-529 1216] Stuffing Box Cover, 13&quot;, 3196 MTX, CD4MCu, Standard Bore, Non-Jacketed"/>
    <n v="0"/>
    <m/>
    <m/>
    <m/>
    <m/>
    <s v=""/>
    <s v=""/>
    <s v=""/>
    <s v=""/>
  </r>
  <r>
    <n v="1"/>
    <s v="SO16596"/>
    <m/>
    <x v="0"/>
    <x v="0"/>
    <m/>
    <s v="Taylor Cook"/>
    <n v="2"/>
    <n v="2025"/>
    <s v="INV12634"/>
    <n v="4"/>
    <n v="2025"/>
    <x v="0"/>
    <s v="Les Pompes du St-Laurent Inc."/>
    <s v="CAD"/>
    <n v="3005"/>
    <n v="2111.6920526712133"/>
    <x v="0"/>
    <n v="0"/>
    <n v="2111.6920526712133"/>
    <m/>
    <x v="0"/>
    <m/>
    <m/>
    <s v=""/>
    <s v=""/>
    <s v=""/>
    <s v=""/>
    <s v=""/>
    <s v=""/>
    <s v=""/>
    <s v=""/>
    <s v="[G-249-61 1216] Casing, 2x3-10, 3196 MTX, CD4MCu"/>
    <n v="0"/>
    <m/>
    <m/>
    <m/>
    <m/>
    <s v=""/>
    <s v=""/>
    <s v=""/>
    <s v=""/>
  </r>
  <r>
    <n v="1"/>
    <s v="SO16597"/>
    <m/>
    <x v="0"/>
    <x v="0"/>
    <m/>
    <s v="Taylor Cook"/>
    <n v="2"/>
    <n v="2025"/>
    <s v="INV12655"/>
    <n v="4"/>
    <n v="2025"/>
    <x v="0"/>
    <s v="Manufacture Sling-Choker (Val-d’Or) Ltée"/>
    <s v="CAD"/>
    <n v="2740.17"/>
    <n v="1931.6101478025862"/>
    <x v="0"/>
    <n v="0"/>
    <n v="1931.6101478025862"/>
    <m/>
    <x v="0"/>
    <m/>
    <m/>
    <s v=""/>
    <s v=""/>
    <s v=""/>
    <s v=""/>
    <s v=""/>
    <s v=""/>
    <s v=""/>
    <s v=""/>
    <s v="[AC-98-231-081-501] Suction Side Liner, 5x5-14 SRL, Natural Rubber"/>
    <n v="0"/>
    <m/>
    <m/>
    <m/>
    <m/>
    <s v=""/>
    <s v=""/>
    <s v=""/>
    <s v=""/>
  </r>
  <r>
    <n v="1"/>
    <s v="SO16598"/>
    <m/>
    <x v="0"/>
    <x v="0"/>
    <m/>
    <s v="Taylor Cook"/>
    <n v="2"/>
    <n v="2025"/>
    <s v="INV12648"/>
    <n v="3"/>
    <n v="2025"/>
    <x v="0"/>
    <s v="Advanced Engineered Pump Inc."/>
    <s v="USD"/>
    <n v="368.12506695977095"/>
    <n v="259.5"/>
    <x v="0"/>
    <n v="0"/>
    <n v="259.5"/>
    <m/>
    <x v="0"/>
    <m/>
    <m/>
    <s v=""/>
    <s v=""/>
    <s v=""/>
    <s v=""/>
    <s v=""/>
    <s v=""/>
    <s v=""/>
    <s v=""/>
    <s v="[AC-52-118-634-007] Deflector (Water Slinger), 12x10-25 SRL-C, Neoprene/Steel"/>
    <n v="0"/>
    <m/>
    <m/>
    <m/>
    <m/>
    <s v=""/>
    <s v=""/>
    <s v=""/>
    <s v=""/>
  </r>
  <r>
    <n v="1"/>
    <s v="SO16599"/>
    <m/>
    <x v="0"/>
    <x v="0"/>
    <m/>
    <s v="Amanda Qiao"/>
    <n v="2"/>
    <n v="2025"/>
    <s v="INV12639"/>
    <n v="4"/>
    <n v="2025"/>
    <x v="0"/>
    <s v="Resolute Forest Products - Clermont, Resolute Forest Products - Clermont"/>
    <s v="CAD"/>
    <n v="765.02"/>
    <n v="537.26169117668974"/>
    <x v="0"/>
    <n v="0"/>
    <n v="537.26169117668974"/>
    <m/>
    <x v="0"/>
    <m/>
    <m/>
    <s v=""/>
    <s v=""/>
    <s v=""/>
    <s v=""/>
    <s v=""/>
    <s v=""/>
    <s v=""/>
    <s v=""/>
    <s v="[G-B00294A 6956] Shaft Sleeve, 3175-S, 316SS, Ni-Chrome Boron"/>
    <n v="0"/>
    <m/>
    <m/>
    <m/>
    <m/>
    <s v=""/>
    <s v=""/>
    <s v=""/>
    <s v=""/>
  </r>
  <r>
    <n v="1"/>
    <s v="SO16601"/>
    <m/>
    <x v="0"/>
    <x v="0"/>
    <m/>
    <s v="Taylor Cook"/>
    <n v="2"/>
    <n v="2025"/>
    <s v="INV13505"/>
    <n v="11"/>
    <n v="2025"/>
    <x v="0"/>
    <s v="Wajax Limited - Noranda"/>
    <s v="CAD"/>
    <n v="9717.36"/>
    <n v="6855.8631145047157"/>
    <x v="0"/>
    <n v="0"/>
    <n v="6855.8631145047157"/>
    <m/>
    <x v="0"/>
    <m/>
    <m/>
    <s v=""/>
    <s v=""/>
    <s v=""/>
    <s v=""/>
    <s v=""/>
    <s v=""/>
    <s v=""/>
    <s v=""/>
    <s v="[AC-SRL 2x2-10] Pump, AC-SRL 2x2-10, Natural Rubber Lined, Motor Mounting Plate, Belt Guard"/>
    <n v="0"/>
    <m/>
    <m/>
    <m/>
    <m/>
    <s v=""/>
    <s v=""/>
    <s v=""/>
    <s v=""/>
  </r>
  <r>
    <n v="1"/>
    <s v="SO16603"/>
    <m/>
    <x v="0"/>
    <x v="0"/>
    <m/>
    <s v="Taylor Cook"/>
    <n v="2"/>
    <n v="2025"/>
    <s v="INV12629"/>
    <n v="3"/>
    <n v="2025"/>
    <x v="0"/>
    <s v="Motion Industries Inc. (Canada) - Prince George"/>
    <s v="CAD"/>
    <n v="3384.38"/>
    <n v="2387.7726056735032"/>
    <x v="0"/>
    <n v="0"/>
    <n v="2387.7726056735032"/>
    <m/>
    <x v="0"/>
    <m/>
    <m/>
    <s v=""/>
    <s v=""/>
    <s v=""/>
    <s v=""/>
    <s v=""/>
    <s v=""/>
    <s v=""/>
    <s v=""/>
    <s v="[SA-138413-M1] Casing, Sala 2&quot;, SPV, VT50, Rubber Lined"/>
    <n v="0"/>
    <m/>
    <m/>
    <m/>
    <m/>
    <s v=""/>
    <s v=""/>
    <s v=""/>
    <s v=""/>
  </r>
  <r>
    <n v="1"/>
    <s v="SO16604"/>
    <m/>
    <x v="1"/>
    <x v="0"/>
    <m/>
    <s v="Ian Trottier"/>
    <n v="2"/>
    <n v="2025"/>
    <s v="INV13207"/>
    <n v="8"/>
    <n v="2025"/>
    <x v="1"/>
    <s v="Corrosion Fluid Products Corp."/>
    <s v="USD"/>
    <n v="16094.792469283144"/>
    <n v="11200.18"/>
    <x v="0"/>
    <n v="0"/>
    <n v="11200.18"/>
    <m/>
    <x v="1"/>
    <m/>
    <m/>
    <s v=""/>
    <n v="5.0000000000000001E-3"/>
    <s v=""/>
    <s v=""/>
    <s v=""/>
    <n v="56.000900000000001"/>
    <s v=""/>
    <s v=""/>
    <s v="[GA-21910] Shaft, 72&quot;, G-Series 4&quot; VSP, 5000 Series, #4 Drive, Neoprene Covered"/>
    <n v="56.000900000000001"/>
    <m/>
    <m/>
    <m/>
    <m/>
    <s v=""/>
    <n v="56.000900000000001"/>
    <s v=""/>
    <s v=""/>
  </r>
  <r>
    <n v="1"/>
    <s v="SO16605"/>
    <m/>
    <x v="0"/>
    <x v="0"/>
    <m/>
    <s v="Taylor Cook"/>
    <n v="2"/>
    <n v="2025"/>
    <s v="INV12641"/>
    <n v="3"/>
    <n v="2025"/>
    <x v="0"/>
    <s v="Grant Aggregate"/>
    <s v="CAD"/>
    <n v="171.56"/>
    <n v="120.48392948978181"/>
    <x v="0"/>
    <n v="0"/>
    <n v="120.48392948978181"/>
    <m/>
    <x v="0"/>
    <m/>
    <m/>
    <s v=""/>
    <s v=""/>
    <s v=""/>
    <s v=""/>
    <s v=""/>
    <s v=""/>
    <s v=""/>
    <s v=""/>
    <s v="[AC-98-233-700-001] Bearing Cover Gasket (Inboard &amp; Outboard), 8x6-18 &amp; 10x8-21 SRL-C"/>
    <n v="0"/>
    <m/>
    <m/>
    <m/>
    <m/>
    <s v=""/>
    <s v=""/>
    <s v=""/>
    <s v=""/>
  </r>
  <r>
    <n v="1"/>
    <s v="SO16607"/>
    <m/>
    <x v="0"/>
    <x v="0"/>
    <m/>
    <s v="Taylor Cook"/>
    <n v="2"/>
    <n v="2025"/>
    <s v="INV12657"/>
    <n v="2"/>
    <n v="2025"/>
    <x v="0"/>
    <s v="Progressive Sealing Inc."/>
    <s v="CAD"/>
    <n v="5347.22"/>
    <n v="3755.7628861307608"/>
    <x v="0"/>
    <n v="0"/>
    <n v="3755.7628861307608"/>
    <m/>
    <x v="0"/>
    <m/>
    <m/>
    <s v=""/>
    <s v=""/>
    <s v=""/>
    <s v=""/>
    <s v=""/>
    <s v=""/>
    <s v=""/>
    <s v=""/>
    <s v="[AC-98-431-799-001] Suction Side Casing, 5x4-14 SRL-C, Cast Iron"/>
    <n v="0"/>
    <m/>
    <m/>
    <m/>
    <m/>
    <s v=""/>
    <s v=""/>
    <s v=""/>
    <s v=""/>
  </r>
  <r>
    <n v="1"/>
    <s v="SO16609"/>
    <m/>
    <x v="0"/>
    <x v="0"/>
    <m/>
    <s v="Yannett Yeomans"/>
    <n v="2"/>
    <n v="2025"/>
    <s v="INV13017"/>
    <s v=""/>
    <s v=""/>
    <x v="0"/>
    <s v="Dynapro Pumps México S de RL de CV"/>
    <s v="USD"/>
    <n v="13095.845539576636"/>
    <n v="9230"/>
    <x v="1"/>
    <n v="0"/>
    <n v="0"/>
    <m/>
    <x v="0"/>
    <m/>
    <m/>
    <s v=""/>
    <s v=""/>
    <s v=""/>
    <s v=""/>
    <s v=""/>
    <s v=""/>
    <s v=""/>
    <s v=""/>
    <s v="[10052/5001] Bowl Bearing, 12RJMC-2, Teflon"/>
    <n v="0"/>
    <m/>
    <m/>
    <m/>
    <m/>
    <s v=""/>
    <s v=""/>
    <s v=""/>
    <s v=""/>
  </r>
  <r>
    <n v="1"/>
    <s v="SO16610"/>
    <m/>
    <x v="0"/>
    <x v="0"/>
    <m/>
    <s v="Yannett Yeomans"/>
    <n v="2"/>
    <n v="2025"/>
    <s v="INV12863"/>
    <s v=""/>
    <s v=""/>
    <x v="0"/>
    <s v="Dynapro Pumps México S de RL de CV"/>
    <s v="USD"/>
    <n v="8081.683227890413"/>
    <n v="5696"/>
    <x v="1"/>
    <n v="0"/>
    <n v="0"/>
    <m/>
    <x v="0"/>
    <m/>
    <m/>
    <s v=""/>
    <s v=""/>
    <s v=""/>
    <s v=""/>
    <s v=""/>
    <s v=""/>
    <s v=""/>
    <s v=""/>
    <s v="[SZ-9321480153] Bearing Housing, Sulzer"/>
    <n v="0"/>
    <m/>
    <m/>
    <m/>
    <m/>
    <s v=""/>
    <s v=""/>
    <s v=""/>
    <s v=""/>
  </r>
  <r>
    <n v="1"/>
    <s v="SO16611"/>
    <m/>
    <x v="0"/>
    <x v="0"/>
    <m/>
    <s v="Yannett Yeomans"/>
    <n v="2"/>
    <n v="2025"/>
    <s v="INV12942"/>
    <s v=""/>
    <s v=""/>
    <x v="0"/>
    <s v="Dynapro Pumps México S de RL de CV"/>
    <s v="USD"/>
    <n v="5587.7972360254244"/>
    <n v="3938.3"/>
    <x v="1"/>
    <n v="0"/>
    <n v="0"/>
    <m/>
    <x v="0"/>
    <m/>
    <m/>
    <s v=""/>
    <s v=""/>
    <s v=""/>
    <s v=""/>
    <s v=""/>
    <s v=""/>
    <s v=""/>
    <s v=""/>
    <s v="[G-D04628A 1000] Thrust Bearing Housing, 3196 LTX, Cast Iron"/>
    <n v="0"/>
    <m/>
    <m/>
    <m/>
    <m/>
    <s v=""/>
    <s v=""/>
    <s v=""/>
    <s v=""/>
  </r>
  <r>
    <n v="2"/>
    <s v="SO16612"/>
    <m/>
    <x v="0"/>
    <x v="0"/>
    <m/>
    <s v="Taylor Cook"/>
    <n v="2"/>
    <n v="2025"/>
    <s v="INV12705"/>
    <n v="4"/>
    <n v="2025"/>
    <x v="0"/>
    <s v="FMI Products"/>
    <s v="CAD"/>
    <n v="1188.04"/>
    <n v="837.47728060499321"/>
    <x v="0"/>
    <n v="0"/>
    <n v="837.47728060499321"/>
    <m/>
    <x v="0"/>
    <m/>
    <m/>
    <s v=""/>
    <s v=""/>
    <s v=""/>
    <s v=""/>
    <s v=""/>
    <s v=""/>
    <s v=""/>
    <s v=""/>
    <s v="[N1300-0393, G-58101 393] Bearing Housing Retaining Ring, 3196 MTX, Carbon Steel"/>
    <n v="0"/>
    <m/>
    <m/>
    <m/>
    <m/>
    <s v=""/>
    <s v=""/>
    <s v=""/>
    <s v=""/>
  </r>
  <r>
    <n v="2"/>
    <s v="SO16612"/>
    <m/>
    <x v="0"/>
    <x v="0"/>
    <m/>
    <n v="0"/>
    <n v="2"/>
    <n v="2025"/>
    <s v="INV13052"/>
    <n v="6"/>
    <n v="2025"/>
    <x v="0"/>
    <s v="FMI Products"/>
    <s v="CAD"/>
    <n v="0"/>
    <n v="0"/>
    <x v="1"/>
    <n v="0"/>
    <n v="0"/>
    <m/>
    <x v="0"/>
    <m/>
    <m/>
    <s v=""/>
    <s v=""/>
    <s v=""/>
    <s v=""/>
    <s v=""/>
    <s v=""/>
    <s v=""/>
    <s v=""/>
    <s v="[G-R100-111 1012] Stuffing Box Cover, 7&quot; &amp; 8&quot;, 3196 MTX, Ductile Iron, Standard Bore, Non-Jacketed"/>
    <n v="0"/>
    <m/>
    <m/>
    <m/>
    <m/>
    <s v=""/>
    <s v=""/>
    <s v=""/>
    <s v=""/>
  </r>
  <r>
    <n v="1"/>
    <s v="SO16613"/>
    <m/>
    <x v="0"/>
    <x v="0"/>
    <m/>
    <s v="Yannett Yeomans"/>
    <n v="2"/>
    <n v="2025"/>
    <s v="INV13018"/>
    <s v=""/>
    <s v=""/>
    <x v="0"/>
    <s v="Dynapro Pumps México S de RL de CV"/>
    <s v="USD"/>
    <n v="11791.479330177403"/>
    <n v="8312"/>
    <x v="1"/>
    <n v="0"/>
    <n v="0"/>
    <m/>
    <x v="0"/>
    <m/>
    <m/>
    <s v=""/>
    <s v=""/>
    <s v=""/>
    <s v=""/>
    <s v=""/>
    <s v=""/>
    <s v=""/>
    <s v=""/>
    <s v="[10023/0523] Guide Bearing Body, 150FY-40, 316LSS with Nitrile"/>
    <n v="0"/>
    <m/>
    <m/>
    <m/>
    <m/>
    <s v=""/>
    <s v=""/>
    <s v=""/>
    <s v=""/>
  </r>
  <r>
    <n v="1"/>
    <s v="SO16615"/>
    <m/>
    <x v="0"/>
    <x v="0"/>
    <m/>
    <s v="Taylor Cook"/>
    <n v="2"/>
    <n v="2025"/>
    <s v="INV12658"/>
    <n v="4"/>
    <n v="2025"/>
    <x v="0"/>
    <s v="Wajax Limited - Noranda"/>
    <s v="CAD"/>
    <n v="2627.35"/>
    <n v="1845.1471913323517"/>
    <x v="0"/>
    <n v="0"/>
    <n v="1845.1471913323517"/>
    <m/>
    <x v="0"/>
    <m/>
    <m/>
    <s v=""/>
    <s v=""/>
    <s v=""/>
    <s v=""/>
    <s v=""/>
    <s v=""/>
    <s v=""/>
    <s v=""/>
    <s v="[W-D3110/A05] Volute Liner, 4/3 C or D-AH, High Chrome"/>
    <n v="0"/>
    <m/>
    <m/>
    <m/>
    <m/>
    <s v=""/>
    <s v=""/>
    <s v=""/>
    <s v=""/>
  </r>
  <r>
    <n v="2"/>
    <s v="SO16617"/>
    <m/>
    <x v="3"/>
    <x v="0"/>
    <m/>
    <s v="Amanda Qiao"/>
    <n v="2"/>
    <n v="2025"/>
    <s v="INV12680"/>
    <n v="5"/>
    <n v="2025"/>
    <x v="1"/>
    <s v="Southeast Pump Specialist, Inc."/>
    <s v="USD"/>
    <n v="4742.5097214071429"/>
    <n v="3343.07"/>
    <x v="0"/>
    <n v="0"/>
    <n v="2754.07"/>
    <m/>
    <x v="1"/>
    <m/>
    <m/>
    <s v=""/>
    <n v="5.0000000000000001E-3"/>
    <s v=""/>
    <s v=""/>
    <s v=""/>
    <n v="13.770350000000001"/>
    <s v=""/>
    <s v=""/>
    <s v="[AC-98-331-901-801] Bearing Cover (Outboard), 8x6-18 &amp; 10x8-21 SRL-C, Cast Iron"/>
    <n v="13.770350000000001"/>
    <m/>
    <n v="2503"/>
    <m/>
    <m/>
    <s v=""/>
    <n v="0"/>
    <s v=""/>
    <s v=""/>
  </r>
  <r>
    <n v="2"/>
    <s v="SO16617"/>
    <m/>
    <x v="3"/>
    <x v="0"/>
    <m/>
    <n v="0"/>
    <n v="2"/>
    <n v="2025"/>
    <s v="INV12965"/>
    <n v="7"/>
    <n v="2025"/>
    <x v="1"/>
    <s v="Southeast Pump Specialist, Inc."/>
    <s v="USD"/>
    <n v="0"/>
    <n v="0"/>
    <x v="1"/>
    <n v="589"/>
    <n v="0"/>
    <m/>
    <x v="1"/>
    <m/>
    <m/>
    <s v=""/>
    <n v="5.0000000000000001E-3"/>
    <s v=""/>
    <s v=""/>
    <s v=""/>
    <n v="0"/>
    <s v=""/>
    <s v=""/>
    <s v="[AC-98-331-910-801] Bearing Cylinder, 8x6-18 &amp; 10x8-21 SRL-C, Cast Iron"/>
    <n v="0"/>
    <m/>
    <n v="2503"/>
    <m/>
    <m/>
    <s v=""/>
    <n v="0"/>
    <s v=""/>
    <s v=""/>
  </r>
  <r>
    <n v="1"/>
    <s v="SO16618"/>
    <m/>
    <x v="0"/>
    <x v="0"/>
    <m/>
    <s v="Ian Trottier"/>
    <n v="2"/>
    <n v="2025"/>
    <s v="INV12700"/>
    <n v="4"/>
    <n v="2025"/>
    <x v="0"/>
    <s v="Motion Industries Inc. (Canada) - Winnipeg"/>
    <s v="CAD"/>
    <n v="641.21"/>
    <n v="445.25280689924449"/>
    <x v="0"/>
    <n v="0"/>
    <n v="445.25280689924449"/>
    <m/>
    <x v="0"/>
    <m/>
    <m/>
    <s v=""/>
    <s v=""/>
    <s v=""/>
    <s v=""/>
    <s v=""/>
    <s v=""/>
    <s v=""/>
    <s v=""/>
    <s v="[DU-DY21857ABP-DI] Adapter (Bearing Housing), 13&quot;, Durco Mark 2&amp;3 Group 2, Ductile Iron"/>
    <n v="0"/>
    <m/>
    <m/>
    <m/>
    <m/>
    <s v=""/>
    <s v=""/>
    <s v=""/>
    <s v=""/>
  </r>
  <r>
    <n v="1"/>
    <s v="SO16619"/>
    <m/>
    <x v="0"/>
    <x v="0"/>
    <m/>
    <s v="Jeff Bell"/>
    <n v="2"/>
    <n v="2025"/>
    <s v="INV12768"/>
    <n v="5"/>
    <n v="2025"/>
    <x v="0"/>
    <s v="Barrick Gold - Pueblo Viejo Dominicana Corporation"/>
    <s v="USD"/>
    <n v="12448.678395299068"/>
    <n v="8775.27"/>
    <x v="0"/>
    <n v="0"/>
    <n v="8775.27"/>
    <m/>
    <x v="0"/>
    <m/>
    <m/>
    <s v=""/>
    <s v=""/>
    <s v=""/>
    <s v=""/>
    <s v=""/>
    <s v=""/>
    <s v=""/>
    <s v=""/>
    <s v="[85449] Service Kit, Micropump GLH-H25, Gears on Shafts, Bushings and Seals"/>
    <n v="0"/>
    <m/>
    <m/>
    <m/>
    <m/>
    <s v=""/>
    <s v=""/>
    <s v=""/>
    <s v=""/>
  </r>
  <r>
    <n v="1"/>
    <s v="SO16623"/>
    <m/>
    <x v="0"/>
    <x v="0"/>
    <m/>
    <s v="Taylor Cook"/>
    <n v="2"/>
    <n v="2025"/>
    <s v="INV12670"/>
    <n v="2"/>
    <n v="2025"/>
    <x v="0"/>
    <s v="Harvey Bearings"/>
    <s v="CAD"/>
    <n v="1508.72"/>
    <n v="1059.5506767301447"/>
    <x v="0"/>
    <n v="0"/>
    <n v="1059.5506767301447"/>
    <m/>
    <x v="0"/>
    <m/>
    <m/>
    <s v=""/>
    <s v=""/>
    <s v=""/>
    <s v=""/>
    <s v=""/>
    <s v=""/>
    <s v=""/>
    <s v=""/>
    <s v="[AC-98-130-366-001] Shaft Sleeve, PWO Frame 1, 316SS"/>
    <n v="0"/>
    <m/>
    <m/>
    <m/>
    <m/>
    <s v=""/>
    <s v=""/>
    <s v=""/>
    <s v=""/>
  </r>
  <r>
    <n v="1"/>
    <s v="SO16626"/>
    <m/>
    <x v="0"/>
    <x v="0"/>
    <m/>
    <s v="Ian Trottier"/>
    <n v="2"/>
    <n v="2025"/>
    <s v="INV12659"/>
    <n v="4"/>
    <n v="2025"/>
    <x v="0"/>
    <s v="Wajax Limited - Noranda"/>
    <s v="CAD"/>
    <n v="100"/>
    <n v="70.429730573179498"/>
    <x v="0"/>
    <n v="0"/>
    <n v="70.429730573179498"/>
    <m/>
    <x v="0"/>
    <m/>
    <m/>
    <s v=""/>
    <s v=""/>
    <s v=""/>
    <s v=""/>
    <s v=""/>
    <s v=""/>
    <s v=""/>
    <s v=""/>
    <s v="[GO351-9607-NSN, G-70782 49 5127] Casing Gasket, 15&quot;, 3196 XLT"/>
    <n v="0"/>
    <m/>
    <m/>
    <m/>
    <m/>
    <s v=""/>
    <s v=""/>
    <s v=""/>
    <s v=""/>
  </r>
  <r>
    <n v="2"/>
    <s v="SO16628"/>
    <m/>
    <x v="0"/>
    <x v="0"/>
    <m/>
    <s v="Taylor Cook"/>
    <n v="2"/>
    <n v="2025"/>
    <s v="INV12668"/>
    <n v="4"/>
    <n v="2025"/>
    <x v="0"/>
    <s v="Fabrene Inc."/>
    <s v="CAD"/>
    <n v="463.71"/>
    <n v="325.69911242247281"/>
    <x v="0"/>
    <n v="0"/>
    <n v="325.69911242247281"/>
    <m/>
    <x v="0"/>
    <m/>
    <m/>
    <s v=""/>
    <s v=""/>
    <s v=""/>
    <s v=""/>
    <s v=""/>
    <s v=""/>
    <s v=""/>
    <s v=""/>
    <s v="[G-77225 6956] Shaft Sleeve, 3196 STX, 316SS, NCB Hardcoated"/>
    <n v="0"/>
    <m/>
    <m/>
    <m/>
    <m/>
    <s v=""/>
    <s v=""/>
    <s v=""/>
    <s v=""/>
  </r>
  <r>
    <n v="2"/>
    <s v="SO16628"/>
    <m/>
    <x v="0"/>
    <x v="0"/>
    <m/>
    <n v="0"/>
    <n v="2"/>
    <n v="2025"/>
    <s v="INV12724"/>
    <n v="4"/>
    <n v="2025"/>
    <x v="0"/>
    <s v="Fabrene Inc."/>
    <s v="CAD"/>
    <n v="0"/>
    <n v="0"/>
    <x v="1"/>
    <n v="0"/>
    <n v="0"/>
    <m/>
    <x v="0"/>
    <m/>
    <m/>
    <s v=""/>
    <s v=""/>
    <s v=""/>
    <s v=""/>
    <s v=""/>
    <s v=""/>
    <s v=""/>
    <s v=""/>
    <s v="[G-70782 81 5127] Casing Gasket, 6&quot;, 3196 STX, Durlon 8500"/>
    <n v="0"/>
    <m/>
    <m/>
    <m/>
    <m/>
    <s v=""/>
    <s v=""/>
    <s v=""/>
    <s v=""/>
  </r>
  <r>
    <n v="2"/>
    <s v="SO16630"/>
    <m/>
    <x v="0"/>
    <x v="0"/>
    <m/>
    <s v="Ian Trottier"/>
    <n v="2"/>
    <n v="2025"/>
    <s v="INV12952"/>
    <n v="6"/>
    <n v="2025"/>
    <x v="0"/>
    <s v="Motion Industries Inc. (Canada) - Prince George"/>
    <s v="CAD"/>
    <n v="313.66000000000003"/>
    <n v="220.3074844243877"/>
    <x v="0"/>
    <n v="0"/>
    <n v="220.3074844243877"/>
    <m/>
    <x v="0"/>
    <m/>
    <m/>
    <s v=""/>
    <s v=""/>
    <s v=""/>
    <s v=""/>
    <s v=""/>
    <s v=""/>
    <s v=""/>
    <s v=""/>
    <s v="[W-M30H5-V] Hex Nut, M30, Zinc Plated"/>
    <n v="0"/>
    <m/>
    <m/>
    <m/>
    <m/>
    <s v=""/>
    <s v=""/>
    <s v=""/>
    <s v=""/>
  </r>
  <r>
    <n v="2"/>
    <s v="SO16630"/>
    <m/>
    <x v="0"/>
    <x v="0"/>
    <m/>
    <n v="0"/>
    <n v="2"/>
    <n v="2025"/>
    <s v="INV12671"/>
    <n v="3"/>
    <n v="2025"/>
    <x v="0"/>
    <s v="Motion Industries Inc. (Canada) - Prince George"/>
    <s v="CAD"/>
    <n v="0"/>
    <n v="0"/>
    <x v="1"/>
    <n v="0"/>
    <n v="0"/>
    <m/>
    <x v="0"/>
    <m/>
    <m/>
    <s v=""/>
    <s v=""/>
    <s v=""/>
    <s v=""/>
    <s v=""/>
    <s v=""/>
    <s v=""/>
    <s v=""/>
    <s v="[W-M30H5-V] Hex Nut, M30, Zinc Plated"/>
    <n v="0"/>
    <m/>
    <m/>
    <m/>
    <m/>
    <s v=""/>
    <s v=""/>
    <s v=""/>
    <s v=""/>
  </r>
  <r>
    <n v="1"/>
    <s v="SO16636"/>
    <m/>
    <x v="0"/>
    <x v="0"/>
    <m/>
    <s v="Ian Trottier"/>
    <n v="2"/>
    <n v="2025"/>
    <s v="INV12651"/>
    <n v="4"/>
    <n v="2025"/>
    <x v="0"/>
    <s v="Fabrene Inc."/>
    <s v="CAD"/>
    <n v="836.73"/>
    <n v="589.46193714584251"/>
    <x v="0"/>
    <n v="0"/>
    <n v="589.46193714584251"/>
    <m/>
    <x v="0"/>
    <m/>
    <m/>
    <s v=""/>
    <s v=""/>
    <s v=""/>
    <s v=""/>
    <s v=""/>
    <s v=""/>
    <s v=""/>
    <s v=""/>
    <s v="[TSSC-J01-1.375(BIG BORE)-00] Single Cartridge Seal, 1 3/8&quot;, D-196 STX or D-III Group 1, Big Bore, Carbon vs Silicon Carbide w/Aflas Elastomers"/>
    <n v="0"/>
    <m/>
    <m/>
    <m/>
    <m/>
    <s v=""/>
    <s v=""/>
    <s v=""/>
    <s v=""/>
  </r>
  <r>
    <n v="1"/>
    <s v="SO16637"/>
    <m/>
    <x v="0"/>
    <x v="0"/>
    <m/>
    <s v="Ian Trottier"/>
    <n v="2"/>
    <n v="2025"/>
    <s v="INV12694"/>
    <n v="5"/>
    <n v="2025"/>
    <x v="0"/>
    <s v="Resolute Forest Products - Saint-Felicien"/>
    <s v="CAD"/>
    <n v="328.88"/>
    <n v="227.84998040683291"/>
    <x v="0"/>
    <n v="0"/>
    <n v="227.84998040683291"/>
    <m/>
    <x v="0"/>
    <m/>
    <m/>
    <s v=""/>
    <s v=""/>
    <s v=""/>
    <s v=""/>
    <s v=""/>
    <s v=""/>
    <s v=""/>
    <s v=""/>
    <s v="[AC-52-108-475-013] Deflector (Outboard), Allis-Chalmers PWO, Group 2"/>
    <n v="0"/>
    <m/>
    <m/>
    <m/>
    <m/>
    <s v=""/>
    <s v=""/>
    <s v=""/>
    <s v=""/>
  </r>
  <r>
    <n v="1"/>
    <s v="SO16640"/>
    <m/>
    <x v="0"/>
    <x v="0"/>
    <m/>
    <s v="Ian Trottier"/>
    <n v="2"/>
    <n v="2025"/>
    <s v="INV12831"/>
    <n v="5"/>
    <n v="2025"/>
    <x v="0"/>
    <s v="Cartledge &amp; Associates Inc."/>
    <s v="USD"/>
    <n v="5120.1867287770201"/>
    <n v="3596.3"/>
    <x v="0"/>
    <n v="0"/>
    <n v="3596.3"/>
    <m/>
    <x v="0"/>
    <m/>
    <m/>
    <s v=""/>
    <s v=""/>
    <s v=""/>
    <s v=""/>
    <s v=""/>
    <s v=""/>
    <s v=""/>
    <s v=""/>
    <s v="[504889] Impeller, 8x6, Denver SRL, Natural Rubber"/>
    <n v="0"/>
    <m/>
    <m/>
    <m/>
    <m/>
    <s v=""/>
    <s v=""/>
    <s v=""/>
    <s v=""/>
  </r>
  <r>
    <n v="1"/>
    <s v="SO16642"/>
    <m/>
    <x v="0"/>
    <x v="0"/>
    <m/>
    <s v="Jeff Bell"/>
    <n v="2"/>
    <n v="2025"/>
    <s v="INV12766"/>
    <n v="4"/>
    <n v="2025"/>
    <x v="0"/>
    <s v="Barrick Gold - Pueblo Viejo Dominicana Corporation"/>
    <s v="USD"/>
    <n v="249.8286500279396"/>
    <n v="176"/>
    <x v="0"/>
    <n v="0"/>
    <n v="176"/>
    <m/>
    <x v="0"/>
    <m/>
    <m/>
    <s v=""/>
    <s v=""/>
    <s v=""/>
    <s v=""/>
    <s v=""/>
    <s v=""/>
    <s v=""/>
    <s v=""/>
    <s v="[GATES - XPC2240] V-Belt, Wedge, Gates, SPC 2240mm, Synthetic Rubber"/>
    <n v="0"/>
    <m/>
    <m/>
    <m/>
    <m/>
    <s v=""/>
    <s v=""/>
    <s v=""/>
    <s v=""/>
  </r>
  <r>
    <n v="2"/>
    <s v="SO16645"/>
    <m/>
    <x v="0"/>
    <x v="2"/>
    <m/>
    <s v="Ian Trottier"/>
    <n v="2"/>
    <n v="2025"/>
    <s v="INV13221"/>
    <n v="8"/>
    <n v="2025"/>
    <x v="1"/>
    <s v="Corrosion Fluid Products Corp., Corrosion Fluid Products Corp. - Chicago"/>
    <s v="USD"/>
    <n v="61849.473181507048"/>
    <n v="43006.8"/>
    <x v="0"/>
    <n v="0"/>
    <n v="43006.8"/>
    <m/>
    <x v="0"/>
    <s v="Renewal"/>
    <m/>
    <s v=""/>
    <s v=""/>
    <n v="0.01"/>
    <s v=""/>
    <s v=""/>
    <s v=""/>
    <n v="430.06800000000004"/>
    <s v=""/>
    <s v="[GA-4SR4*5100x72] Sump Pump, G-Series 4&quot; VSP, 5000 Series, 72&quot; Column, Bearing Frame 4, Acid-Proof, Neoprene Covered"/>
    <n v="430.06800000000004"/>
    <m/>
    <m/>
    <m/>
    <m/>
    <s v=""/>
    <s v=""/>
    <n v="430.06800000000004"/>
    <s v=""/>
  </r>
  <r>
    <n v="2"/>
    <s v="SO16645"/>
    <m/>
    <x v="0"/>
    <x v="2"/>
    <m/>
    <n v="0"/>
    <n v="2"/>
    <n v="2025"/>
    <s v="INV13247"/>
    <n v="9"/>
    <n v="2025"/>
    <x v="1"/>
    <s v="Corrosion Fluid Products Corp., Corrosion Fluid Products Corp. - Chicago"/>
    <s v="USD"/>
    <n v="0"/>
    <n v="0"/>
    <x v="1"/>
    <n v="0"/>
    <n v="0"/>
    <m/>
    <x v="0"/>
    <s v="Renewal"/>
    <m/>
    <s v=""/>
    <s v=""/>
    <n v="0.01"/>
    <s v=""/>
    <s v=""/>
    <s v=""/>
    <n v="0"/>
    <s v=""/>
    <s v="[SHEBELTS] Sheaves and Belts"/>
    <n v="0"/>
    <m/>
    <m/>
    <m/>
    <m/>
    <s v=""/>
    <s v=""/>
    <n v="0"/>
    <s v=""/>
  </r>
  <r>
    <n v="1"/>
    <s v="SO16646"/>
    <m/>
    <x v="0"/>
    <x v="0"/>
    <m/>
    <s v="Ian Trottier"/>
    <n v="2"/>
    <n v="2025"/>
    <s v="INV12920"/>
    <n v="5"/>
    <n v="2025"/>
    <x v="0"/>
    <s v="MAB Equipment Company Inc."/>
    <s v="USD"/>
    <n v="5735.5251048723885"/>
    <n v="4128.96"/>
    <x v="0"/>
    <n v="652"/>
    <n v="3476.96"/>
    <m/>
    <x v="0"/>
    <m/>
    <m/>
    <s v=""/>
    <s v=""/>
    <s v=""/>
    <s v=""/>
    <s v=""/>
    <s v=""/>
    <s v=""/>
    <s v=""/>
    <s v="[W-F078/A05] Stuffing Box, High Chrome"/>
    <n v="0"/>
    <m/>
    <m/>
    <m/>
    <m/>
    <s v=""/>
    <s v=""/>
    <s v=""/>
    <s v=""/>
  </r>
  <r>
    <n v="1"/>
    <s v="SO16647"/>
    <m/>
    <x v="2"/>
    <x v="0"/>
    <m/>
    <s v="Marlen Martinez"/>
    <n v="2"/>
    <n v="2025"/>
    <s v="INV12681"/>
    <n v="6"/>
    <n v="2025"/>
    <x v="2"/>
    <s v="Covia Corp - Roff"/>
    <s v="USD"/>
    <n v="9353.6698259040222"/>
    <n v="6589.5"/>
    <x v="0"/>
    <n v="637"/>
    <n v="5952.5"/>
    <m/>
    <x v="0"/>
    <m/>
    <m/>
    <s v=""/>
    <s v=""/>
    <s v=""/>
    <s v=""/>
    <s v=""/>
    <s v=""/>
    <s v=""/>
    <s v=""/>
    <s v="[AC-98-231-085-501] Suction Side Liner, 6X6-15 SRL, Natural Rubber"/>
    <n v="0"/>
    <m/>
    <m/>
    <m/>
    <m/>
    <s v=""/>
    <s v=""/>
    <s v=""/>
    <s v=""/>
  </r>
  <r>
    <n v="1"/>
    <s v="SO16648"/>
    <m/>
    <x v="0"/>
    <x v="0"/>
    <m/>
    <s v="Ian Trottier"/>
    <n v="2"/>
    <n v="2025"/>
    <s v="INV12777"/>
    <n v="4"/>
    <n v="2025"/>
    <x v="0"/>
    <s v="Motion Industries Inc. (Canada) - Prince George"/>
    <s v="CAD"/>
    <n v="214.2"/>
    <n v="148.53977770803573"/>
    <x v="0"/>
    <n v="0"/>
    <n v="148.53977770803573"/>
    <m/>
    <x v="0"/>
    <m/>
    <m/>
    <s v=""/>
    <s v=""/>
    <s v=""/>
    <s v=""/>
    <s v=""/>
    <s v=""/>
    <s v=""/>
    <s v=""/>
    <s v="Maintenance Kit, 18&quot;, 3175-M"/>
    <n v="0"/>
    <m/>
    <m/>
    <m/>
    <m/>
    <s v=""/>
    <s v=""/>
    <s v=""/>
    <s v=""/>
  </r>
  <r>
    <n v="4"/>
    <s v="SO16651"/>
    <m/>
    <x v="0"/>
    <x v="1"/>
    <m/>
    <s v="Amanda Qiao"/>
    <n v="2"/>
    <n v="2025"/>
    <s v="INV13189"/>
    <n v="9"/>
    <n v="2025"/>
    <x v="1"/>
    <s v="AGM Inc."/>
    <s v="USD"/>
    <n v="77514.783186116387"/>
    <n v="54023.42"/>
    <x v="0"/>
    <n v="0"/>
    <n v="54023.42"/>
    <m/>
    <x v="0"/>
    <s v="Renewal"/>
    <m/>
    <s v=""/>
    <s v=""/>
    <n v="0.01"/>
    <s v=""/>
    <s v=""/>
    <s v=""/>
    <n v="540.23419999999999"/>
    <s v=""/>
    <s v="[D-III 1.5x1-82 G1 CD4] Pump, 1.5x1-82, D-III Mark 3 Group 1, All CD4MCu"/>
    <n v="540.23419999999999"/>
    <m/>
    <m/>
    <n v="2503"/>
    <m/>
    <s v=""/>
    <s v=""/>
    <n v="0"/>
    <s v=""/>
  </r>
  <r>
    <n v="4"/>
    <s v="SO16651"/>
    <m/>
    <x v="0"/>
    <x v="1"/>
    <m/>
    <n v="0"/>
    <n v="2"/>
    <n v="2025"/>
    <s v="INV12886"/>
    <n v="9"/>
    <n v="2025"/>
    <x v="1"/>
    <s v="AGM Inc."/>
    <s v="USD"/>
    <n v="0"/>
    <n v="0"/>
    <x v="1"/>
    <n v="0"/>
    <n v="0"/>
    <m/>
    <x v="0"/>
    <s v="Renewal"/>
    <m/>
    <s v=""/>
    <s v=""/>
    <n v="0.01"/>
    <s v=""/>
    <s v=""/>
    <s v=""/>
    <n v="0"/>
    <s v=""/>
    <s v="[TSSC-J01-1.375(BIG BORE)-00] Single Cartridge Seal, 1 3/8&quot;, D-196 STX or D-III Group 1, Big Bore, Carbon vs Silicon Carbide w/Aflas Elastomers"/>
    <n v="0"/>
    <m/>
    <m/>
    <n v="2503"/>
    <m/>
    <s v=""/>
    <s v=""/>
    <n v="0"/>
    <s v=""/>
  </r>
  <r>
    <n v="4"/>
    <s v="SO16651"/>
    <m/>
    <x v="0"/>
    <x v="1"/>
    <m/>
    <n v="0"/>
    <n v="2"/>
    <n v="2025"/>
    <s v="INV12985"/>
    <n v="9"/>
    <n v="2025"/>
    <x v="1"/>
    <s v="AGM Inc."/>
    <s v="USD"/>
    <n v="0"/>
    <n v="0"/>
    <x v="1"/>
    <n v="0"/>
    <n v="0"/>
    <m/>
    <x v="0"/>
    <s v="Renewal"/>
    <m/>
    <s v=""/>
    <s v=""/>
    <n v="0.01"/>
    <s v=""/>
    <s v=""/>
    <s v=""/>
    <n v="0"/>
    <s v=""/>
    <s v="[TSSC-J01-1.375(BIG BORE)-00] Single Cartridge Seal, 1 3/8&quot;, D-196 STX or D-III Group 1, Big Bore, Carbon vs Silicon Carbide w/Aflas Elastomers"/>
    <n v="0"/>
    <m/>
    <m/>
    <n v="2503"/>
    <m/>
    <s v=""/>
    <s v=""/>
    <n v="0"/>
    <s v=""/>
  </r>
  <r>
    <n v="4"/>
    <s v="SO16651"/>
    <m/>
    <x v="0"/>
    <x v="1"/>
    <m/>
    <n v="0"/>
    <n v="2"/>
    <n v="2025"/>
    <s v="INV13215"/>
    <n v="9"/>
    <n v="2025"/>
    <x v="1"/>
    <s v="AGM Inc."/>
    <s v="USD"/>
    <n v="0"/>
    <n v="0"/>
    <x v="1"/>
    <n v="0"/>
    <n v="0"/>
    <m/>
    <x v="0"/>
    <s v="Renewal"/>
    <m/>
    <s v=""/>
    <s v=""/>
    <n v="0.01"/>
    <s v=""/>
    <s v=""/>
    <s v=""/>
    <n v="0"/>
    <s v=""/>
    <s v="[DU-CY53429A/FML-CD4] Rear Cover, 6&quot; &amp; 8&quot;, Durco Mark 3 Group 1, CD4MCu, Flow Modifier Large Bore"/>
    <n v="0"/>
    <m/>
    <m/>
    <n v="2503"/>
    <m/>
    <s v=""/>
    <s v=""/>
    <n v="0"/>
    <s v=""/>
  </r>
  <r>
    <n v="1"/>
    <s v="SO16653"/>
    <m/>
    <x v="0"/>
    <x v="1"/>
    <m/>
    <s v="Amanda Qiao"/>
    <n v="2"/>
    <n v="2025"/>
    <s v="INV13374"/>
    <n v="9"/>
    <n v="2025"/>
    <x v="1"/>
    <s v="First Bauxite Inc."/>
    <s v="USD"/>
    <n v="8554.704615077495"/>
    <n v="6231.75"/>
    <x v="0"/>
    <n v="0"/>
    <n v="6231.75"/>
    <m/>
    <x v="0"/>
    <s v="Renewal"/>
    <m/>
    <s v=""/>
    <s v=""/>
    <n v="0.01"/>
    <s v=""/>
    <s v=""/>
    <s v=""/>
    <n v="62.317500000000003"/>
    <s v=""/>
    <s v="[D-65QW24-CI] Pump, Submersible, 65QW24, Cast Iron w/316SS Impeller"/>
    <n v="62.317500000000003"/>
    <m/>
    <m/>
    <n v="2503"/>
    <m/>
    <s v=""/>
    <s v=""/>
    <n v="0"/>
    <s v=""/>
  </r>
  <r>
    <n v="1"/>
    <s v="SO16654"/>
    <m/>
    <x v="0"/>
    <x v="0"/>
    <m/>
    <s v="Ian Trottier"/>
    <n v="2"/>
    <n v="2025"/>
    <s v="INV12669"/>
    <n v="4"/>
    <n v="2025"/>
    <x v="0"/>
    <s v="Glencore Canada Corporation - Rouyn-Noranda, Glencore Canada Corp."/>
    <s v="CAD"/>
    <n v="2985.04"/>
    <n v="2098.4400114222271"/>
    <x v="0"/>
    <n v="0"/>
    <n v="2098.4400114222271"/>
    <m/>
    <x v="0"/>
    <m/>
    <m/>
    <s v=""/>
    <s v=""/>
    <s v=""/>
    <s v=""/>
    <s v=""/>
    <s v=""/>
    <s v=""/>
    <s v=""/>
    <s v="[AC-98-331-932-501] Shaft Assembly, 5x4-14 SRL-C &amp; 5x5-14 SRL, 1045 Steel"/>
    <n v="0"/>
    <m/>
    <m/>
    <m/>
    <m/>
    <s v=""/>
    <s v=""/>
    <s v=""/>
    <s v=""/>
  </r>
  <r>
    <n v="1"/>
    <s v="SO16656"/>
    <m/>
    <x v="0"/>
    <x v="0"/>
    <m/>
    <s v="Ian Trottier"/>
    <n v="2"/>
    <n v="2025"/>
    <s v="INV12714"/>
    <n v="4"/>
    <n v="2025"/>
    <x v="0"/>
    <s v="Alamos Gold Inc, Alamos Gold Inc Island Gold Division"/>
    <s v="CAD"/>
    <n v="1363.36"/>
    <n v="958.42239098055916"/>
    <x v="0"/>
    <n v="0"/>
    <n v="958.42239098055916"/>
    <m/>
    <x v="0"/>
    <m/>
    <m/>
    <s v=""/>
    <s v=""/>
    <s v=""/>
    <s v=""/>
    <s v=""/>
    <s v=""/>
    <s v=""/>
    <s v=""/>
    <s v="[AC-52-118-681-804] Mechanical Seal, CSO, Type-9T, Carbon vs' Ceramic/Viton, O-Ring seat"/>
    <n v="0"/>
    <m/>
    <m/>
    <m/>
    <m/>
    <s v=""/>
    <s v=""/>
    <s v=""/>
    <s v=""/>
  </r>
  <r>
    <n v="1"/>
    <s v="SO16657"/>
    <m/>
    <x v="0"/>
    <x v="0"/>
    <m/>
    <s v="Ian Trottier"/>
    <n v="2"/>
    <n v="2025"/>
    <s v="INV12665"/>
    <n v="3"/>
    <n v="2025"/>
    <x v="0"/>
    <s v="Sling-Choker Manufacturing - Timmins"/>
    <s v="CAD"/>
    <n v="149.94"/>
    <n v="105.40565463533115"/>
    <x v="0"/>
    <n v="0"/>
    <n v="105.40565463533115"/>
    <m/>
    <x v="0"/>
    <m/>
    <m/>
    <s v=""/>
    <s v=""/>
    <s v=""/>
    <s v=""/>
    <s v=""/>
    <s v=""/>
    <s v=""/>
    <s v=""/>
    <s v="[AC-52-118-634-007] Deflector (Water Slinger), 12x10-25 SRL-C, Neoprene/Steel"/>
    <m/>
    <m/>
    <m/>
    <m/>
    <m/>
    <s v=""/>
    <s v=""/>
    <s v=""/>
    <s v=""/>
  </r>
  <r>
    <n v="2"/>
    <s v="SO16658"/>
    <m/>
    <x v="0"/>
    <x v="0"/>
    <m/>
    <s v="Yannett Yeomans"/>
    <n v="2"/>
    <n v="2025"/>
    <s v="INV12888"/>
    <s v=""/>
    <s v=""/>
    <x v="0"/>
    <s v="Dynapro Pumps México S de RL de CV"/>
    <s v="USD"/>
    <n v="5468.2390441983789"/>
    <n v="3844"/>
    <x v="1"/>
    <n v="0"/>
    <n v="0"/>
    <m/>
    <x v="0"/>
    <m/>
    <m/>
    <s v=""/>
    <s v=""/>
    <s v=""/>
    <s v=""/>
    <s v=""/>
    <s v=""/>
    <s v=""/>
    <s v=""/>
    <s v="[104088166003] Sleeve of protection, SM203-640, 316SS"/>
    <m/>
    <m/>
    <m/>
    <m/>
    <m/>
    <s v=""/>
    <s v=""/>
    <s v=""/>
    <s v=""/>
  </r>
  <r>
    <n v="2"/>
    <s v="SO16658"/>
    <m/>
    <x v="0"/>
    <x v="0"/>
    <m/>
    <n v="0"/>
    <n v="2"/>
    <n v="2025"/>
    <s v="INV12887"/>
    <s v=""/>
    <s v=""/>
    <x v="0"/>
    <s v="Dynapro Pumps México S de RL de CV"/>
    <s v="USD"/>
    <n v="0"/>
    <n v="0"/>
    <x v="1"/>
    <n v="0"/>
    <n v="0"/>
    <m/>
    <x v="0"/>
    <m/>
    <m/>
    <s v=""/>
    <s v=""/>
    <s v=""/>
    <s v=""/>
    <s v=""/>
    <s v=""/>
    <s v=""/>
    <s v=""/>
    <s v="[18021020286] Lubrication Ring, SM203-640"/>
    <m/>
    <m/>
    <m/>
    <m/>
    <m/>
    <s v=""/>
    <s v=""/>
    <s v=""/>
    <s v=""/>
  </r>
  <r>
    <n v="1"/>
    <s v="SO16659"/>
    <m/>
    <x v="0"/>
    <x v="0"/>
    <m/>
    <s v="Ian Trottier"/>
    <n v="2"/>
    <n v="2025"/>
    <s v="INV12667"/>
    <n v="3"/>
    <n v="2025"/>
    <x v="0"/>
    <s v="Sling-Choker Manufacturing - Timmins"/>
    <s v="CAD"/>
    <n v="451.47"/>
    <n v="317.37689007745064"/>
    <x v="0"/>
    <n v="0"/>
    <n v="317.37689007745064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1"/>
    <s v="SO16660"/>
    <m/>
    <x v="0"/>
    <x v="0"/>
    <m/>
    <s v="Yannett Yeomans"/>
    <n v="2"/>
    <n v="2025"/>
    <s v="INV12866"/>
    <s v=""/>
    <s v=""/>
    <x v="0"/>
    <s v="Dynapro Pumps México S de RL de CV"/>
    <s v="USD"/>
    <n v="113.80310185636584"/>
    <n v="80"/>
    <x v="1"/>
    <n v="0"/>
    <n v="0"/>
    <m/>
    <x v="0"/>
    <m/>
    <m/>
    <s v=""/>
    <s v=""/>
    <s v=""/>
    <s v=""/>
    <s v=""/>
    <s v=""/>
    <s v=""/>
    <s v=""/>
    <s v="[10247/1501] Adjusting Nut w/Bolts, 12RJHC-8, Carbon Steel"/>
    <m/>
    <m/>
    <m/>
    <m/>
    <m/>
    <s v=""/>
    <s v=""/>
    <s v=""/>
    <s v=""/>
  </r>
  <r>
    <n v="1"/>
    <s v="SO16662"/>
    <m/>
    <x v="0"/>
    <x v="0"/>
    <m/>
    <s v="Ian Trottier"/>
    <n v="2"/>
    <n v="2025"/>
    <s v="INV12689"/>
    <n v="3"/>
    <n v="2025"/>
    <x v="0"/>
    <s v="Motion Industries Inc. (Canada) - Quesnel"/>
    <s v="CAD"/>
    <n v="1448.78"/>
    <n v="1004.6753461617556"/>
    <x v="0"/>
    <n v="0"/>
    <n v="1004.6753461617556"/>
    <m/>
    <x v="0"/>
    <m/>
    <m/>
    <s v=""/>
    <s v=""/>
    <s v=""/>
    <s v=""/>
    <s v=""/>
    <s v=""/>
    <s v=""/>
    <s v=""/>
    <s v="[TSSC-J01-2.5(BIG BORE)-00] Single Cartridge Seal, 2 1/2&quot;, D-196 XLT, Big Bore, Carbon vs Silicon Carbide w/Aflas Elastomers"/>
    <m/>
    <m/>
    <m/>
    <m/>
    <m/>
    <s v=""/>
    <s v=""/>
    <s v=""/>
    <s v=""/>
  </r>
  <r>
    <n v="1"/>
    <s v="SO16663"/>
    <m/>
    <x v="0"/>
    <x v="0"/>
    <m/>
    <s v="Ian Trottier"/>
    <n v="2"/>
    <n v="2025"/>
    <s v="INV12855"/>
    <n v="5"/>
    <n v="2025"/>
    <x v="0"/>
    <s v="Cartledge &amp; Associates Inc."/>
    <s v="USD"/>
    <n v="6427.869475214452"/>
    <n v="4518.59"/>
    <x v="0"/>
    <n v="599"/>
    <n v="3919.59"/>
    <m/>
    <x v="0"/>
    <m/>
    <m/>
    <s v=""/>
    <s v=""/>
    <s v=""/>
    <s v=""/>
    <s v=""/>
    <s v=""/>
    <s v=""/>
    <s v=""/>
    <s v="[AC-98-231-121-501] Suction Side Plate, 8x6-18 SRL-C, Natural Rubber"/>
    <m/>
    <m/>
    <m/>
    <m/>
    <m/>
    <s v=""/>
    <s v=""/>
    <s v=""/>
    <s v=""/>
  </r>
  <r>
    <n v="1"/>
    <s v="SO16664"/>
    <m/>
    <x v="0"/>
    <x v="0"/>
    <m/>
    <s v="Ian Trottier"/>
    <n v="2"/>
    <n v="2025"/>
    <s v="INV12821"/>
    <n v="5"/>
    <n v="2025"/>
    <x v="0"/>
    <s v="Southeast Pump Specialist, Inc."/>
    <s v="USD"/>
    <n v="12206.666121010217"/>
    <n v="8581.11"/>
    <x v="0"/>
    <n v="613"/>
    <n v="7968.1100000000006"/>
    <m/>
    <x v="0"/>
    <m/>
    <m/>
    <s v=""/>
    <s v=""/>
    <s v=""/>
    <s v=""/>
    <s v=""/>
    <s v=""/>
    <s v=""/>
    <s v=""/>
    <s v="[G-1.5x2-14-JC-HC] Pump, 1.5x2-14, Dynapro DC, Frame 2J, High Chrome"/>
    <m/>
    <m/>
    <m/>
    <m/>
    <m/>
    <s v=""/>
    <s v=""/>
    <s v=""/>
    <s v=""/>
  </r>
  <r>
    <n v="1"/>
    <s v="SO16665"/>
    <m/>
    <x v="0"/>
    <x v="0"/>
    <m/>
    <s v="Jeff Bell"/>
    <n v="2"/>
    <n v="2025"/>
    <s v="INV12760"/>
    <n v="5"/>
    <n v="2025"/>
    <x v="0"/>
    <s v="Barrick Gold - Pueblo Viejo Dominicana Corporation"/>
    <s v="USD"/>
    <n v="3907.4579530137853"/>
    <n v="2746.82"/>
    <x v="0"/>
    <n v="0"/>
    <n v="2746.82"/>
    <m/>
    <x v="0"/>
    <m/>
    <m/>
    <s v=""/>
    <s v=""/>
    <s v=""/>
    <s v=""/>
    <s v=""/>
    <s v=""/>
    <s v=""/>
    <s v=""/>
    <s v="[37230] Sleeve Bearing (Bowl), ThorPlas-Blue, HPCW"/>
    <m/>
    <m/>
    <m/>
    <m/>
    <m/>
    <s v=""/>
    <s v=""/>
    <s v=""/>
    <s v=""/>
  </r>
  <r>
    <n v="1"/>
    <s v="SO16666"/>
    <m/>
    <x v="0"/>
    <x v="0"/>
    <m/>
    <s v="Ian Trottier"/>
    <n v="2"/>
    <n v="2025"/>
    <s v="INV12687"/>
    <n v="4"/>
    <n v="2025"/>
    <x v="0"/>
    <s v="Hyperflo"/>
    <s v="CAD"/>
    <n v="454.78"/>
    <n v="316.94491067895484"/>
    <x v="0"/>
    <n v="0"/>
    <n v="316.94491067895484"/>
    <m/>
    <x v="0"/>
    <m/>
    <m/>
    <s v=""/>
    <s v=""/>
    <s v=""/>
    <s v=""/>
    <s v=""/>
    <s v=""/>
    <s v=""/>
    <s v=""/>
    <s v="[AC-98-211-426-501] Impeller, 2x2-10 SRL, Natural Rubber"/>
    <m/>
    <m/>
    <m/>
    <m/>
    <m/>
    <s v=""/>
    <s v=""/>
    <s v=""/>
    <s v=""/>
  </r>
  <r>
    <n v="1"/>
    <s v="SO16667"/>
    <m/>
    <x v="0"/>
    <x v="0"/>
    <m/>
    <s v="Ian Trottier"/>
    <n v="2"/>
    <n v="2025"/>
    <s v="INV12673"/>
    <n v="3"/>
    <n v="2025"/>
    <x v="0"/>
    <s v="Grant Aggregate"/>
    <s v="CAD"/>
    <n v="117.4"/>
    <n v="82.092813613034537"/>
    <x v="0"/>
    <n v="0"/>
    <n v="82.092813613034537"/>
    <m/>
    <x v="0"/>
    <m/>
    <m/>
    <s v=""/>
    <s v=""/>
    <s v=""/>
    <s v=""/>
    <s v=""/>
    <s v=""/>
    <s v=""/>
    <s v=""/>
    <s v="[SKF-34886, G-8690-23660] Oil Seal (Inboard), 8x6-18 &amp; 10x8-21 SRL-C"/>
    <m/>
    <m/>
    <m/>
    <m/>
    <m/>
    <s v=""/>
    <s v=""/>
    <s v=""/>
    <s v=""/>
  </r>
  <r>
    <n v="1"/>
    <s v="SO16668"/>
    <m/>
    <x v="0"/>
    <x v="0"/>
    <m/>
    <s v="Ian Trottier"/>
    <n v="2"/>
    <n v="2025"/>
    <s v="INV12792"/>
    <n v="4"/>
    <n v="2025"/>
    <x v="0"/>
    <s v="Sling-Choker Manufacturing - Timmins"/>
    <s v="CAD"/>
    <n v="296.05"/>
    <n v="206.32292714390394"/>
    <x v="0"/>
    <n v="0"/>
    <n v="206.32292714390394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6669"/>
    <m/>
    <x v="0"/>
    <x v="0"/>
    <m/>
    <s v="Jeff Bell"/>
    <n v="2"/>
    <n v="2025"/>
    <s v="INV12764"/>
    <n v="5"/>
    <n v="2025"/>
    <x v="0"/>
    <s v="Barrick Gold - Pueblo Viejo Dominicana Corporation"/>
    <s v="USD"/>
    <n v="1249.854978423911"/>
    <n v="878.63"/>
    <x v="0"/>
    <n v="0"/>
    <n v="878.63"/>
    <m/>
    <x v="0"/>
    <m/>
    <m/>
    <s v=""/>
    <s v=""/>
    <s v=""/>
    <s v=""/>
    <s v=""/>
    <s v=""/>
    <s v=""/>
    <s v=""/>
    <s v="[37231] Sleeve Bearing (Suction Bell), ThorPlas-Blue, HPCW"/>
    <m/>
    <m/>
    <m/>
    <m/>
    <m/>
    <s v=""/>
    <s v=""/>
    <s v=""/>
    <s v=""/>
  </r>
  <r>
    <n v="1"/>
    <s v="SO16671"/>
    <m/>
    <x v="1"/>
    <x v="0"/>
    <m/>
    <s v="Ian Trottier"/>
    <n v="2"/>
    <n v="2025"/>
    <s v="INV13192"/>
    <n v="9"/>
    <n v="2025"/>
    <x v="1"/>
    <s v="Cypress Sales Partnership"/>
    <s v="CAD"/>
    <n v="3969.02"/>
    <n v="2752.368573850365"/>
    <x v="0"/>
    <n v="0"/>
    <n v="2752.368573850365"/>
    <m/>
    <x v="1"/>
    <m/>
    <m/>
    <s v=""/>
    <n v="5.0000000000000001E-3"/>
    <s v=""/>
    <s v=""/>
    <s v=""/>
    <n v="13.761842869251826"/>
    <s v=""/>
    <s v=""/>
    <s v="[DU-CY21853A-CD4] Casing, 3x1.5-13, Durco Mark 2&amp;3 Group 2, CD4MCu , #300 Flat Face Flanges"/>
    <n v="13.761842869251826"/>
    <m/>
    <m/>
    <m/>
    <m/>
    <s v=""/>
    <n v="13.761842869251826"/>
    <s v=""/>
    <s v=""/>
  </r>
  <r>
    <n v="1"/>
    <s v="SO16672"/>
    <m/>
    <x v="0"/>
    <x v="0"/>
    <m/>
    <s v="Ian Trottier"/>
    <n v="2"/>
    <n v="2025"/>
    <s v="INV12678"/>
    <n v="4"/>
    <n v="2025"/>
    <x v="0"/>
    <s v="Resolute Forest Products - Kenogami"/>
    <s v="CAD"/>
    <n v="939.78"/>
    <n v="657.14807817084829"/>
    <x v="0"/>
    <n v="0"/>
    <n v="657.14807817084829"/>
    <m/>
    <x v="0"/>
    <m/>
    <m/>
    <s v=""/>
    <s v=""/>
    <s v=""/>
    <s v=""/>
    <s v=""/>
    <s v=""/>
    <s v=""/>
    <s v=""/>
    <s v="[AC-98-130-367-001] Shaft Sleeve, PWO Frame 2, 316SS"/>
    <m/>
    <m/>
    <m/>
    <m/>
    <m/>
    <s v=""/>
    <s v=""/>
    <s v=""/>
    <s v=""/>
  </r>
  <r>
    <n v="1"/>
    <s v="SO16673"/>
    <m/>
    <x v="0"/>
    <x v="0"/>
    <m/>
    <s v="Ian Trottier"/>
    <n v="2"/>
    <n v="2025"/>
    <s v="INV12716"/>
    <n v="4"/>
    <n v="2025"/>
    <x v="0"/>
    <s v="Wajax Limited - Noranda"/>
    <s v="CAD"/>
    <n v="1219.96"/>
    <n v="850.21353892409047"/>
    <x v="0"/>
    <n v="0"/>
    <n v="850.21353892409047"/>
    <m/>
    <x v="0"/>
    <m/>
    <m/>
    <s v=""/>
    <s v=""/>
    <s v=""/>
    <s v=""/>
    <s v=""/>
    <s v=""/>
    <s v=""/>
    <s v=""/>
    <s v="[AC-98-331-958-810] Shaft Sleeve, 2x2-10 SRL, 316SS"/>
    <m/>
    <m/>
    <m/>
    <m/>
    <m/>
    <s v=""/>
    <s v=""/>
    <s v=""/>
    <s v=""/>
  </r>
  <r>
    <n v="1"/>
    <s v="SO16674"/>
    <m/>
    <x v="0"/>
    <x v="0"/>
    <m/>
    <s v="Jeff Bell"/>
    <n v="2"/>
    <n v="2025"/>
    <s v="INV12763"/>
    <n v="5"/>
    <n v="2025"/>
    <x v="0"/>
    <s v="Barrick Gold - Pueblo Viejo Dominicana Corporation"/>
    <s v="USD"/>
    <n v="45278.654187118482"/>
    <n v="31830.240000000002"/>
    <x v="0"/>
    <n v="0"/>
    <n v="31830.240000000002"/>
    <m/>
    <x v="0"/>
    <m/>
    <m/>
    <s v=""/>
    <s v=""/>
    <s v=""/>
    <s v=""/>
    <s v=""/>
    <s v=""/>
    <s v=""/>
    <s v=""/>
    <s v="Shaft, HPCW, 17-4PH SS"/>
    <m/>
    <m/>
    <m/>
    <m/>
    <m/>
    <s v=""/>
    <s v=""/>
    <s v=""/>
    <s v=""/>
  </r>
  <r>
    <n v="1"/>
    <s v="SO16676"/>
    <m/>
    <x v="0"/>
    <x v="0"/>
    <m/>
    <s v="Ian Trottier"/>
    <n v="2"/>
    <n v="2025"/>
    <s v="INV12727"/>
    <n v="4"/>
    <n v="2025"/>
    <x v="0"/>
    <s v="Alamos Gold Inc, Alamos Gold Inc Island Gold Division"/>
    <s v="CAD"/>
    <n v="1232.19"/>
    <n v="854.47819184904097"/>
    <x v="0"/>
    <n v="0"/>
    <n v="854.47819184904097"/>
    <m/>
    <x v="0"/>
    <m/>
    <m/>
    <s v=""/>
    <s v=""/>
    <s v=""/>
    <s v=""/>
    <s v=""/>
    <s v=""/>
    <s v=""/>
    <s v=""/>
    <s v="[FS-58960] Single Cartridge Mechanical Seal w/F-V-D Gland, 1 3/8&quot;, VSM3, Standard Bore, Carbon vs Silicon/FKM, 316ss Gland, Hasteloy-C Springs"/>
    <m/>
    <m/>
    <m/>
    <m/>
    <m/>
    <s v=""/>
    <s v=""/>
    <s v=""/>
    <s v=""/>
  </r>
  <r>
    <n v="1"/>
    <s v="SO16677"/>
    <m/>
    <x v="1"/>
    <x v="0"/>
    <m/>
    <s v="Ian Trottier"/>
    <n v="2"/>
    <n v="2025"/>
    <s v="INV13004"/>
    <n v="7"/>
    <n v="2025"/>
    <x v="1"/>
    <s v="Resolute Forest Products - Saint-Felicien"/>
    <s v="CAD"/>
    <n v="283.44"/>
    <n v="203.28075877326904"/>
    <x v="0"/>
    <n v="0"/>
    <n v="203.28075877326904"/>
    <m/>
    <x v="1"/>
    <m/>
    <m/>
    <s v=""/>
    <n v="5.0000000000000001E-3"/>
    <s v=""/>
    <s v=""/>
    <s v=""/>
    <n v="1.0164037938663453"/>
    <s v=""/>
    <s v=""/>
    <s v="[AC-98-232-857-802] Shim Set, A-C PWO-C Group 2, Plastic"/>
    <n v="1.0164037938663453"/>
    <m/>
    <m/>
    <m/>
    <m/>
    <s v=""/>
    <n v="1.0164037938663453"/>
    <s v=""/>
    <s v=""/>
  </r>
  <r>
    <n v="2"/>
    <s v="SO16679"/>
    <m/>
    <x v="4"/>
    <x v="0"/>
    <m/>
    <s v="Alexis Gil Lamadrid"/>
    <n v="2"/>
    <n v="2025"/>
    <s v="INV13003"/>
    <n v="7"/>
    <n v="2025"/>
    <x v="3"/>
    <s v="ARYA OILFIELD AND NATURAL GAS EQUIPMENT AND SPARE PARTS TRADING L.L.C"/>
    <s v="USD"/>
    <n v="39478.216987228247"/>
    <n v="28692.74"/>
    <x v="0"/>
    <n v="0"/>
    <n v="28692.74"/>
    <m/>
    <x v="1"/>
    <m/>
    <m/>
    <s v=""/>
    <n v="5.0000000000000001E-3"/>
    <s v=""/>
    <s v=""/>
    <s v=""/>
    <n v="143.46370000000002"/>
    <s v=""/>
    <s v=""/>
    <s v="[AC-98-231-135-501] Suction Side Plate, 10x8-21 SRL-C, Natural Rubber"/>
    <m/>
    <m/>
    <m/>
    <m/>
    <m/>
    <s v=""/>
    <n v="143.46370000000002"/>
    <s v=""/>
    <s v=""/>
  </r>
  <r>
    <n v="2"/>
    <s v="SO16679"/>
    <m/>
    <x v="4"/>
    <x v="0"/>
    <m/>
    <n v="0"/>
    <n v="2"/>
    <n v="2025"/>
    <s v="INV13003"/>
    <n v="7"/>
    <n v="2025"/>
    <x v="3"/>
    <s v="ARYA OILFIELD AND NATURAL GAS EQUIPMENT AND SPARE PARTS TRADING L.L.C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AC-98-231-135-501] Suction Side Plate, 10x8-21 SRL-C, Natural Rubber"/>
    <m/>
    <m/>
    <m/>
    <m/>
    <m/>
    <s v=""/>
    <n v="0"/>
    <s v=""/>
    <s v=""/>
  </r>
  <r>
    <n v="1"/>
    <s v="SO16680"/>
    <m/>
    <x v="0"/>
    <x v="0"/>
    <m/>
    <s v="Ian Trottier"/>
    <n v="2"/>
    <n v="2025"/>
    <s v="INV12989"/>
    <n v="6"/>
    <n v="2025"/>
    <x v="0"/>
    <s v="FMI Products"/>
    <s v="CAD"/>
    <n v="117.17"/>
    <n v="83.753177949379946"/>
    <x v="0"/>
    <n v="0"/>
    <n v="83.753177949379946"/>
    <m/>
    <x v="0"/>
    <m/>
    <m/>
    <s v=""/>
    <s v=""/>
    <s v=""/>
    <s v=""/>
    <s v=""/>
    <s v=""/>
    <s v=""/>
    <s v=""/>
    <s v="[G-R76293] Lantern Ring, 3196 MTX, Teflon"/>
    <m/>
    <m/>
    <m/>
    <m/>
    <m/>
    <s v=""/>
    <s v=""/>
    <s v=""/>
    <s v=""/>
  </r>
  <r>
    <n v="1"/>
    <s v="SO16682"/>
    <m/>
    <x v="0"/>
    <x v="0"/>
    <m/>
    <s v="Ian Trottier"/>
    <n v="2"/>
    <n v="2025"/>
    <s v="INV12719"/>
    <n v="4"/>
    <n v="2025"/>
    <x v="0"/>
    <s v="Tantalum Mining Corporation of Canada"/>
    <s v="CAD"/>
    <n v="1853.06"/>
    <n v="1297.6955113884053"/>
    <x v="0"/>
    <n v="0"/>
    <n v="1297.6955113884053"/>
    <m/>
    <x v="0"/>
    <m/>
    <m/>
    <s v=""/>
    <s v=""/>
    <s v=""/>
    <s v=""/>
    <s v=""/>
    <s v=""/>
    <s v=""/>
    <s v=""/>
    <s v="[AC-98-231-108-501] Suction Side Liner, 3x3-10 SRL-C, Natural Rubber"/>
    <m/>
    <m/>
    <m/>
    <m/>
    <m/>
    <s v=""/>
    <s v=""/>
    <s v=""/>
    <s v=""/>
  </r>
  <r>
    <n v="1"/>
    <s v="SO16683"/>
    <m/>
    <x v="0"/>
    <x v="0"/>
    <m/>
    <s v="Ian Trottier"/>
    <n v="2"/>
    <n v="2025"/>
    <s v="INV12698"/>
    <n v="5"/>
    <n v="2025"/>
    <x v="0"/>
    <s v="Resolute Forest Products - Dolbeau"/>
    <s v="CAD"/>
    <n v="221.34"/>
    <n v="153.34564176370839"/>
    <x v="0"/>
    <n v="0"/>
    <n v="153.34564176370839"/>
    <m/>
    <x v="0"/>
    <m/>
    <m/>
    <s v=""/>
    <s v=""/>
    <s v=""/>
    <s v=""/>
    <s v=""/>
    <s v=""/>
    <s v=""/>
    <s v=""/>
    <s v="[WO-9070000-012] Casing Gasket, 18&quot;, Worthington FRBH"/>
    <m/>
    <m/>
    <m/>
    <m/>
    <m/>
    <s v=""/>
    <s v=""/>
    <s v=""/>
    <s v=""/>
  </r>
  <r>
    <n v="1"/>
    <s v="SO16685"/>
    <m/>
    <x v="0"/>
    <x v="0"/>
    <m/>
    <s v="Ian Trottier"/>
    <n v="2"/>
    <n v="2025"/>
    <s v="INV12709"/>
    <n v="3"/>
    <n v="2025"/>
    <x v="0"/>
    <s v="Glencore Canada Corporation"/>
    <s v="CAD"/>
    <n v="3715.09"/>
    <n v="2576.2775105758478"/>
    <x v="0"/>
    <n v="0"/>
    <n v="2576.2775105758478"/>
    <m/>
    <x v="0"/>
    <m/>
    <m/>
    <s v=""/>
    <s v=""/>
    <s v=""/>
    <s v=""/>
    <s v=""/>
    <s v=""/>
    <s v=""/>
    <s v=""/>
    <s v="[AC-98-231-115-501] Suction Side Liner, 5x4-14 SRL-C, Natural Rubber"/>
    <m/>
    <m/>
    <m/>
    <m/>
    <m/>
    <s v=""/>
    <s v=""/>
    <s v=""/>
    <s v=""/>
  </r>
  <r>
    <n v="1"/>
    <s v="SO16687"/>
    <m/>
    <x v="0"/>
    <x v="0"/>
    <m/>
    <s v="Ian Trottier"/>
    <n v="2"/>
    <n v="2025"/>
    <s v="INV12896"/>
    <n v="4"/>
    <n v="2025"/>
    <x v="0"/>
    <s v="Norsearch Industries (2002)Ltd"/>
    <s v="CAD"/>
    <n v="10842.06"/>
    <n v="7539.2454370914156"/>
    <x v="0"/>
    <n v="0"/>
    <n v="7539.2454370914156"/>
    <m/>
    <x v="0"/>
    <m/>
    <m/>
    <s v=""/>
    <s v=""/>
    <s v=""/>
    <s v=""/>
    <s v=""/>
    <s v=""/>
    <s v=""/>
    <s v=""/>
    <s v="[G-D08742A 1216] Casing, 4x6-10G, 3196 MTX/LTX, CD4MCu"/>
    <m/>
    <m/>
    <m/>
    <m/>
    <m/>
    <s v=""/>
    <s v=""/>
    <s v=""/>
    <s v=""/>
  </r>
  <r>
    <n v="3"/>
    <s v="SO16692"/>
    <m/>
    <x v="0"/>
    <x v="0"/>
    <m/>
    <s v="Ian Trottier"/>
    <n v="2"/>
    <n v="2025"/>
    <s v="INV12807"/>
    <n v="5"/>
    <n v="2025"/>
    <x v="0"/>
    <s v="Sling-Choker Manufacturing - Timmins"/>
    <s v="CAD"/>
    <n v="3409.71"/>
    <n v="2362.2669566193817"/>
    <x v="0"/>
    <n v="0"/>
    <n v="2362.2669566193817"/>
    <m/>
    <x v="0"/>
    <m/>
    <m/>
    <s v=""/>
    <s v=""/>
    <s v=""/>
    <s v=""/>
    <s v=""/>
    <s v=""/>
    <s v=""/>
    <s v=""/>
    <s v="[AC-98-233-700-001] Bearing Cover Gasket (Inboard &amp; Outboard), 8x6-18 &amp; 10x8-21 SRL-C"/>
    <m/>
    <m/>
    <m/>
    <m/>
    <m/>
    <s v=""/>
    <s v=""/>
    <s v=""/>
    <s v=""/>
  </r>
  <r>
    <n v="3"/>
    <s v="SO16692"/>
    <m/>
    <x v="0"/>
    <x v="0"/>
    <m/>
    <n v="0"/>
    <n v="2"/>
    <n v="2025"/>
    <s v="INV12793"/>
    <n v="4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3"/>
    <s v="SO16692"/>
    <m/>
    <x v="0"/>
    <x v="0"/>
    <m/>
    <n v="0"/>
    <n v="2"/>
    <n v="2025"/>
    <s v="INV12853"/>
    <n v="5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2"/>
    <s v="SO16693"/>
    <m/>
    <x v="2"/>
    <x v="0"/>
    <m/>
    <s v="Marlen Martinez"/>
    <n v="2"/>
    <n v="2025"/>
    <s v="INV12734"/>
    <n v="6"/>
    <n v="2025"/>
    <x v="0"/>
    <s v="Covia Corp - Blue Mountain"/>
    <s v="USD"/>
    <n v="11873.686477370158"/>
    <n v="8275"/>
    <x v="1"/>
    <n v="395"/>
    <n v="0"/>
    <m/>
    <x v="0"/>
    <m/>
    <m/>
    <s v=""/>
    <s v=""/>
    <s v=""/>
    <s v=""/>
    <s v=""/>
    <s v=""/>
    <s v=""/>
    <s v=""/>
    <s v="100512/6518 O-Ring Impeller Seal, 1.5/1 or 2/1.5 B-AH, Viton"/>
    <m/>
    <m/>
    <m/>
    <m/>
    <m/>
    <s v=""/>
    <s v=""/>
    <s v=""/>
    <s v=""/>
  </r>
  <r>
    <n v="2"/>
    <s v="SO16693"/>
    <m/>
    <x v="0"/>
    <x v="0"/>
    <m/>
    <n v="0"/>
    <n v="2"/>
    <n v="2025"/>
    <s v="INV13075"/>
    <n v="9"/>
    <n v="2025"/>
    <x v="0"/>
    <s v="Covia Corp - Blue Mountain"/>
    <s v="USD"/>
    <n v="0"/>
    <n v="0"/>
    <x v="1"/>
    <n v="282.64999999999998"/>
    <n v="0"/>
    <m/>
    <x v="0"/>
    <m/>
    <m/>
    <s v=""/>
    <s v=""/>
    <s v=""/>
    <s v=""/>
    <s v=""/>
    <s v=""/>
    <s v=""/>
    <s v=""/>
    <s v="100425/1002Frame Plate, 2/1.5 B-AH, Ductile Iron"/>
    <m/>
    <m/>
    <m/>
    <m/>
    <m/>
    <s v=""/>
    <s v=""/>
    <s v=""/>
    <s v=""/>
  </r>
  <r>
    <n v="1"/>
    <s v="SO16694"/>
    <m/>
    <x v="0"/>
    <x v="0"/>
    <m/>
    <s v="Ian Trottier"/>
    <n v="2"/>
    <n v="2025"/>
    <s v="INV12775"/>
    <n v="5"/>
    <n v="2025"/>
    <x v="0"/>
    <s v="Resolute Forest Products - Saint-Felicien"/>
    <s v="CAD"/>
    <n v="1948.11"/>
    <n v="1349.6619597736421"/>
    <x v="0"/>
    <n v="0"/>
    <n v="1349.6619597736421"/>
    <m/>
    <x v="0"/>
    <m/>
    <m/>
    <s v=""/>
    <s v=""/>
    <s v=""/>
    <s v=""/>
    <s v=""/>
    <s v=""/>
    <s v=""/>
    <s v=""/>
    <s v="[AC-52-430-274-501] Frame, Allis-Chalmers CSO, F4D1, Cast Iron"/>
    <m/>
    <m/>
    <m/>
    <m/>
    <m/>
    <s v=""/>
    <s v=""/>
    <s v=""/>
    <s v=""/>
  </r>
  <r>
    <n v="1"/>
    <s v="SO16696"/>
    <m/>
    <x v="0"/>
    <x v="0"/>
    <m/>
    <s v="Ian Trottier"/>
    <n v="2"/>
    <n v="2025"/>
    <s v="INV12767"/>
    <n v="4"/>
    <n v="2025"/>
    <x v="0"/>
    <s v="Corrosion Fluid Products Corp."/>
    <s v="USD"/>
    <n v="182.06320590254907"/>
    <n v="127.04"/>
    <x v="0"/>
    <n v="0"/>
    <n v="127.04"/>
    <m/>
    <x v="0"/>
    <m/>
    <m/>
    <s v=""/>
    <s v=""/>
    <s v=""/>
    <s v=""/>
    <s v=""/>
    <s v=""/>
    <s v=""/>
    <s v=""/>
    <s v="[W-C111] Premium Slurry Packing (Single Piece), 3/2 C-AH, Kevlar Fiber w/Silicon Core"/>
    <m/>
    <m/>
    <m/>
    <m/>
    <m/>
    <s v=""/>
    <s v=""/>
    <s v=""/>
    <s v=""/>
  </r>
  <r>
    <n v="1"/>
    <s v="SO16698"/>
    <m/>
    <x v="0"/>
    <x v="0"/>
    <m/>
    <s v="Ian Trottier"/>
    <n v="2"/>
    <n v="2025"/>
    <s v="INV12730"/>
    <n v="4"/>
    <n v="2025"/>
    <x v="0"/>
    <s v="Glencore Canada Corporation Closed Sites"/>
    <s v="CAD"/>
    <n v="2092.58"/>
    <n v="1453.1865193874928"/>
    <x v="0"/>
    <n v="0"/>
    <n v="1453.1865193874928"/>
    <m/>
    <x v="0"/>
    <m/>
    <m/>
    <s v=""/>
    <s v=""/>
    <s v=""/>
    <s v=""/>
    <s v=""/>
    <s v=""/>
    <s v=""/>
    <s v=""/>
    <s v="[AC-98-231-055-501] Gland Side Liner, 2x2-10 SRL, Natural Rubber"/>
    <m/>
    <m/>
    <m/>
    <m/>
    <m/>
    <s v=""/>
    <s v=""/>
    <s v=""/>
    <s v=""/>
  </r>
  <r>
    <n v="2"/>
    <s v="SO16703"/>
    <m/>
    <x v="1"/>
    <x v="0"/>
    <m/>
    <s v="Ian Trottier"/>
    <n v="3"/>
    <n v="2025"/>
    <s v="INV13091"/>
    <n v="8"/>
    <n v="2025"/>
    <x v="1"/>
    <s v="Hyperflo"/>
    <s v="CAD"/>
    <n v="631.62"/>
    <n v="438.59356200574041"/>
    <x v="0"/>
    <n v="0"/>
    <n v="438.59356200574041"/>
    <m/>
    <x v="1"/>
    <m/>
    <m/>
    <s v=""/>
    <n v="5.0000000000000001E-3"/>
    <s v=""/>
    <s v=""/>
    <s v=""/>
    <n v="2.1929678100287022"/>
    <s v=""/>
    <s v=""/>
    <s v="[AC125-CS02-3SS, AC-52-108-789-004] Packing Base Ring, Allis Chalmers CSO, Frame F4B3/F4B5/F4D1, 316SS"/>
    <n v="2.1929678100287022"/>
    <m/>
    <m/>
    <m/>
    <m/>
    <s v=""/>
    <n v="2.1929678100287022"/>
    <s v=""/>
    <s v=""/>
  </r>
  <r>
    <n v="2"/>
    <s v="SO16703"/>
    <m/>
    <x v="1"/>
    <x v="0"/>
    <m/>
    <n v="0"/>
    <n v="3"/>
    <n v="2025"/>
    <s v="INV12721"/>
    <n v="4"/>
    <n v="2025"/>
    <x v="1"/>
    <s v="Hyperflo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050-313-000] Shim Kit, Allis Chalmers CSO, Frame F4D1/F4B5"/>
    <n v="0"/>
    <m/>
    <m/>
    <m/>
    <m/>
    <s v=""/>
    <n v="0"/>
    <s v=""/>
    <s v=""/>
  </r>
  <r>
    <n v="1"/>
    <s v="SO16704"/>
    <m/>
    <x v="0"/>
    <x v="0"/>
    <m/>
    <s v="Ian Trottier"/>
    <n v="3"/>
    <n v="2025"/>
    <s v="INV12702"/>
    <n v="1"/>
    <n v="1900"/>
    <x v="0"/>
    <s v="Quality Concrete Inc."/>
    <s v="CAD"/>
    <n v="0"/>
    <n v="0"/>
    <x v="0"/>
    <n v="0"/>
    <n v="0"/>
    <m/>
    <x v="0"/>
    <m/>
    <m/>
    <s v=""/>
    <s v=""/>
    <s v=""/>
    <s v=""/>
    <s v=""/>
    <s v=""/>
    <s v=""/>
    <s v=""/>
    <s v="[AC-98-530-586-001] Pedestal, 8x6-18 &amp; 10x8-21 SRL-C, Cast Iron"/>
    <m/>
    <m/>
    <m/>
    <m/>
    <m/>
    <s v=""/>
    <s v=""/>
    <s v=""/>
    <s v=""/>
  </r>
  <r>
    <n v="1"/>
    <s v="SO16705"/>
    <m/>
    <x v="0"/>
    <x v="0"/>
    <m/>
    <s v="Ian Trottier"/>
    <n v="3"/>
    <n v="2025"/>
    <s v="INV12699"/>
    <n v="4"/>
    <n v="2025"/>
    <x v="0"/>
    <s v="Canadian Bearings Ltd."/>
    <s v="CAD"/>
    <n v="270.35000000000002"/>
    <n v="187.72959926577988"/>
    <x v="0"/>
    <n v="0"/>
    <n v="187.72959926577988"/>
    <m/>
    <x v="0"/>
    <m/>
    <m/>
    <s v=""/>
    <s v=""/>
    <s v=""/>
    <s v=""/>
    <s v=""/>
    <s v=""/>
    <s v=""/>
    <s v=""/>
    <s v="[AC-98-232-857-801] Shim Set, A-C PWO-C Group 1, Plastic"/>
    <m/>
    <m/>
    <m/>
    <m/>
    <m/>
    <s v=""/>
    <s v=""/>
    <s v=""/>
    <s v=""/>
  </r>
  <r>
    <n v="1"/>
    <s v="SO16706"/>
    <m/>
    <x v="0"/>
    <x v="0"/>
    <m/>
    <s v="Ian Trottier"/>
    <n v="3"/>
    <n v="2025"/>
    <s v="INV12755"/>
    <n v="4"/>
    <n v="2025"/>
    <x v="0"/>
    <s v="Hyperflo"/>
    <s v="CAD"/>
    <n v="6571.4"/>
    <n v="4591.6199700849475"/>
    <x v="0"/>
    <n v="0"/>
    <n v="4591.6199700849475"/>
    <m/>
    <x v="0"/>
    <m/>
    <m/>
    <s v=""/>
    <s v=""/>
    <s v=""/>
    <s v=""/>
    <s v=""/>
    <s v=""/>
    <s v=""/>
    <s v=""/>
    <s v="[AC-98-431-833-001] Suction Side Casing, 5x5-14 SRL, Cast Iron"/>
    <m/>
    <m/>
    <m/>
    <m/>
    <m/>
    <s v=""/>
    <s v=""/>
    <s v=""/>
    <s v=""/>
  </r>
  <r>
    <n v="2"/>
    <s v="SO16707"/>
    <m/>
    <x v="0"/>
    <x v="0"/>
    <m/>
    <s v="Ian Trottier"/>
    <n v="3"/>
    <n v="2025"/>
    <s v="INV12803"/>
    <n v="4"/>
    <n v="2025"/>
    <x v="0"/>
    <s v="D&amp;H Materials Inc"/>
    <s v="USD"/>
    <n v="6126.7031251243734"/>
    <n v="4254.3500000000004"/>
    <x v="0"/>
    <n v="0"/>
    <n v="4254.3500000000004"/>
    <m/>
    <x v="0"/>
    <m/>
    <m/>
    <s v=""/>
    <s v=""/>
    <s v=""/>
    <s v=""/>
    <s v=""/>
    <s v=""/>
    <s v=""/>
    <s v=""/>
    <s v="[DE-503562 Packing Set, (5 Pre-Cut Rings), 10x8-21 Denver SRL-C, Premium Kevlar Slurry Packing"/>
    <m/>
    <m/>
    <m/>
    <m/>
    <m/>
    <s v=""/>
    <s v=""/>
    <s v=""/>
    <s v=""/>
  </r>
  <r>
    <n v="2"/>
    <s v="SO16707"/>
    <m/>
    <x v="0"/>
    <x v="0"/>
    <m/>
    <n v="0"/>
    <n v="3"/>
    <n v="2025"/>
    <s v="INV12946"/>
    <n v="5"/>
    <n v="2025"/>
    <x v="0"/>
    <s v="D&amp;H Materials Inc"/>
    <s v="USD"/>
    <n v="0"/>
    <n v="0"/>
    <x v="1"/>
    <n v="0"/>
    <n v="0"/>
    <m/>
    <x v="0"/>
    <m/>
    <m/>
    <s v=""/>
    <s v=""/>
    <s v=""/>
    <s v=""/>
    <s v=""/>
    <s v=""/>
    <s v=""/>
    <s v=""/>
    <s v="[DE-503453] Lantern Ring, 8x6-18 SRL-C, Denver, Steel"/>
    <m/>
    <m/>
    <m/>
    <m/>
    <m/>
    <s v=""/>
    <s v=""/>
    <s v=""/>
    <s v=""/>
  </r>
  <r>
    <n v="1"/>
    <s v="SO16708"/>
    <m/>
    <x v="0"/>
    <x v="0"/>
    <m/>
    <s v="Ian Trottier"/>
    <n v="3"/>
    <n v="2025"/>
    <s v="INV12713"/>
    <n v="4"/>
    <n v="2025"/>
    <x v="0"/>
    <s v="SCG Process"/>
    <s v="CAD"/>
    <n v="1421.5"/>
    <n v="995.47460386529212"/>
    <x v="0"/>
    <n v="0"/>
    <n v="995.47460386529212"/>
    <m/>
    <x v="0"/>
    <m/>
    <m/>
    <s v=""/>
    <s v=""/>
    <s v=""/>
    <s v=""/>
    <s v=""/>
    <s v=""/>
    <s v=""/>
    <s v=""/>
    <s v="[AC-98-039-047-503] Impeller (Closed), 5x4-14 SRL-C, Neoprene"/>
    <m/>
    <m/>
    <m/>
    <m/>
    <m/>
    <s v=""/>
    <s v=""/>
    <s v=""/>
    <s v=""/>
  </r>
  <r>
    <n v="2"/>
    <s v="SO16711"/>
    <m/>
    <x v="0"/>
    <x v="0"/>
    <m/>
    <s v="Ian Trottier"/>
    <n v="3"/>
    <n v="2025"/>
    <s v="INV12750"/>
    <n v="4"/>
    <n v="2025"/>
    <x v="0"/>
    <s v="Wajax Limited - Lachine"/>
    <s v="CAD"/>
    <n v="1995.22"/>
    <n v="1387.3687694021708"/>
    <x v="0"/>
    <n v="0"/>
    <n v="1387.3687694021708"/>
    <m/>
    <x v="0"/>
    <m/>
    <m/>
    <s v=""/>
    <s v=""/>
    <s v=""/>
    <s v=""/>
    <s v=""/>
    <s v=""/>
    <s v=""/>
    <s v=""/>
    <s v="[AC-98-331-958-803] Shaft Sleeve, 5x4/5x5/6x6 SRL &amp; SRL-C, Steel"/>
    <m/>
    <m/>
    <m/>
    <m/>
    <m/>
    <s v=""/>
    <s v=""/>
    <s v=""/>
    <s v=""/>
  </r>
  <r>
    <n v="2"/>
    <s v="SO16711"/>
    <m/>
    <x v="0"/>
    <x v="0"/>
    <m/>
    <n v="0"/>
    <n v="3"/>
    <n v="2025"/>
    <s v="INV12817"/>
    <n v="5"/>
    <n v="2025"/>
    <x v="0"/>
    <s v="Wajax Limited - Lachine"/>
    <s v="CAD"/>
    <n v="0"/>
    <n v="0"/>
    <x v="1"/>
    <n v="0"/>
    <n v="0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2"/>
    <s v="SO16712"/>
    <m/>
    <x v="0"/>
    <x v="0"/>
    <m/>
    <s v="Amanda Qiao"/>
    <n v="3"/>
    <n v="2025"/>
    <s v="INV12703"/>
    <n v="3"/>
    <n v="2025"/>
    <x v="0"/>
    <s v="First Bauxite Inc."/>
    <s v="USD"/>
    <n v="10642.179877209002"/>
    <n v="7400"/>
    <x v="1"/>
    <n v="0"/>
    <n v="0"/>
    <m/>
    <x v="0"/>
    <m/>
    <m/>
    <s v=""/>
    <s v=""/>
    <s v=""/>
    <s v=""/>
    <s v=""/>
    <s v=""/>
    <s v=""/>
    <s v=""/>
    <s v="[D-MCL-108S17-DC] Drive Coupling, MCL-108S17"/>
    <m/>
    <m/>
    <m/>
    <m/>
    <m/>
    <s v=""/>
    <s v=""/>
    <s v=""/>
    <s v=""/>
  </r>
  <r>
    <n v="2"/>
    <s v="SO16712"/>
    <m/>
    <x v="0"/>
    <x v="0"/>
    <m/>
    <n v="0"/>
    <n v="3"/>
    <n v="2025"/>
    <s v="INV12703"/>
    <n v="3"/>
    <n v="2025"/>
    <x v="0"/>
    <s v="First Bauxite Inc."/>
    <s v="USD"/>
    <n v="0"/>
    <n v="0"/>
    <x v="1"/>
    <n v="0"/>
    <n v="0"/>
    <m/>
    <x v="0"/>
    <m/>
    <m/>
    <s v=""/>
    <s v=""/>
    <s v=""/>
    <s v=""/>
    <s v=""/>
    <s v=""/>
    <s v=""/>
    <s v=""/>
    <s v="[D-MCL-108S17-DC] Drive Coupling, MCL-108S17"/>
    <m/>
    <m/>
    <m/>
    <m/>
    <m/>
    <s v=""/>
    <s v=""/>
    <s v=""/>
    <s v=""/>
  </r>
  <r>
    <n v="1"/>
    <s v="SO16714"/>
    <m/>
    <x v="0"/>
    <x v="0"/>
    <m/>
    <s v="Ian Trottier"/>
    <n v="3"/>
    <n v="2025"/>
    <s v="INV12715"/>
    <n v="4"/>
    <n v="2025"/>
    <x v="0"/>
    <s v="Wajax Limited - Timmins"/>
    <s v="CAD"/>
    <n v="298.77999999999997"/>
    <n v="209.23524596754982"/>
    <x v="0"/>
    <n v="0"/>
    <n v="209.23524596754982"/>
    <m/>
    <x v="0"/>
    <m/>
    <m/>
    <s v=""/>
    <s v=""/>
    <s v=""/>
    <s v=""/>
    <s v=""/>
    <s v=""/>
    <s v=""/>
    <s v=""/>
    <s v="[GA-24563] Impeller Nut, 4&quot;, G-Series VSP, Natural Rubber"/>
    <m/>
    <m/>
    <m/>
    <m/>
    <m/>
    <s v=""/>
    <s v=""/>
    <s v=""/>
    <s v=""/>
  </r>
  <r>
    <n v="1"/>
    <s v="SO16715"/>
    <m/>
    <x v="0"/>
    <x v="0"/>
    <m/>
    <s v="Ian Trottier"/>
    <n v="3"/>
    <n v="2025"/>
    <s v="INV12725"/>
    <n v="4"/>
    <n v="2025"/>
    <x v="0"/>
    <s v="Wajax Limited - Noranda"/>
    <s v="CAD"/>
    <n v="711.25"/>
    <n v="497.88775997583059"/>
    <x v="0"/>
    <n v="0"/>
    <n v="497.88775997583059"/>
    <m/>
    <x v="0"/>
    <m/>
    <m/>
    <s v=""/>
    <s v=""/>
    <s v=""/>
    <s v=""/>
    <s v=""/>
    <s v=""/>
    <s v=""/>
    <s v=""/>
    <s v="[AC-98-331-958-808] Shaft Sleeve, 5x4/5x5/6x6 SRL, 316SS"/>
    <m/>
    <m/>
    <m/>
    <m/>
    <m/>
    <s v=""/>
    <s v=""/>
    <s v=""/>
    <s v=""/>
  </r>
  <r>
    <n v="2"/>
    <s v="SO16718"/>
    <m/>
    <x v="0"/>
    <x v="0"/>
    <m/>
    <s v="Ian Trottier"/>
    <n v="3"/>
    <n v="2025"/>
    <s v="INV12710"/>
    <n v="4"/>
    <n v="2025"/>
    <x v="0"/>
    <s v="Les Pompes du St-Laurent Inc."/>
    <s v="CAD"/>
    <n v="1352.55"/>
    <n v="940.49058703045591"/>
    <x v="0"/>
    <n v="0"/>
    <n v="940.49058703045591"/>
    <m/>
    <x v="0"/>
    <m/>
    <m/>
    <s v=""/>
    <s v=""/>
    <s v=""/>
    <s v=""/>
    <s v=""/>
    <s v=""/>
    <s v=""/>
    <s v=""/>
    <s v="Shaft Sleeve, 3196 XLT, 316SS, NCB Hardcoated"/>
    <m/>
    <m/>
    <m/>
    <m/>
    <m/>
    <s v=""/>
    <s v=""/>
    <s v=""/>
    <s v=""/>
  </r>
  <r>
    <n v="2"/>
    <s v="SO16718"/>
    <m/>
    <x v="0"/>
    <x v="0"/>
    <m/>
    <n v="0"/>
    <n v="3"/>
    <n v="2025"/>
    <s v="INV12780"/>
    <n v="4"/>
    <n v="2025"/>
    <x v="0"/>
    <s v="Les Pompes du St-Laurent Inc."/>
    <s v="CAD"/>
    <n v="0"/>
    <n v="0"/>
    <x v="1"/>
    <n v="0"/>
    <n v="0"/>
    <m/>
    <x v="0"/>
    <m/>
    <m/>
    <s v=""/>
    <s v=""/>
    <s v=""/>
    <s v=""/>
    <s v=""/>
    <s v=""/>
    <s v=""/>
    <s v=""/>
    <s v="[DU-SA3210AA00-TFR] Impeller Gasket, Durco Mark 2&amp;3 Group 2, Teflon/Rubber"/>
    <m/>
    <m/>
    <m/>
    <m/>
    <m/>
    <s v=""/>
    <s v=""/>
    <s v=""/>
    <s v=""/>
  </r>
  <r>
    <n v="1"/>
    <s v="SO16719"/>
    <m/>
    <x v="0"/>
    <x v="0"/>
    <m/>
    <s v="Yannett Yeomans"/>
    <n v="3"/>
    <n v="2025"/>
    <s v="INV12889"/>
    <s v=""/>
    <s v=""/>
    <x v="0"/>
    <s v="Dynapro Pumps México S de RL de CV"/>
    <s v="USD"/>
    <n v="86.406193074726431"/>
    <n v="60"/>
    <x v="1"/>
    <n v="0"/>
    <n v="0"/>
    <m/>
    <x v="0"/>
    <m/>
    <m/>
    <s v=""/>
    <s v=""/>
    <s v=""/>
    <s v=""/>
    <s v=""/>
    <s v=""/>
    <s v=""/>
    <s v=""/>
    <s v="Seal Guard Top A388509-01"/>
    <m/>
    <m/>
    <m/>
    <m/>
    <m/>
    <s v=""/>
    <s v=""/>
    <s v=""/>
    <s v=""/>
  </r>
  <r>
    <n v="1"/>
    <s v="SO16720"/>
    <m/>
    <x v="1"/>
    <x v="0"/>
    <m/>
    <s v="Ian Trottier"/>
    <n v="3"/>
    <n v="2025"/>
    <s v="INV13090"/>
    <n v="8"/>
    <n v="2025"/>
    <x v="1"/>
    <s v="Hyperflo"/>
    <s v="CAD"/>
    <n v="1185.8900000000001"/>
    <n v="824.60417896088677"/>
    <x v="0"/>
    <n v="0"/>
    <n v="824.60417896088677"/>
    <m/>
    <x v="1"/>
    <m/>
    <m/>
    <s v=""/>
    <n v="5.0000000000000001E-3"/>
    <s v=""/>
    <s v=""/>
    <s v=""/>
    <n v="4.1230208948044336"/>
    <s v=""/>
    <s v=""/>
    <s v="[AC-52-231-827-009] Shaft (Sleeve Type), Allis-Chalmers CSO, Frame F4D1, 4140 Steel"/>
    <n v="4.1230208948044336"/>
    <m/>
    <m/>
    <m/>
    <m/>
    <s v=""/>
    <n v="4.1230208948044336"/>
    <s v=""/>
    <s v=""/>
  </r>
  <r>
    <n v="1"/>
    <s v="SO16725"/>
    <m/>
    <x v="0"/>
    <x v="0"/>
    <m/>
    <s v="Ian Trottier"/>
    <n v="3"/>
    <n v="2025"/>
    <s v="INV12718"/>
    <n v="4"/>
    <n v="2025"/>
    <x v="0"/>
    <s v="Wajax Limited - Noranda"/>
    <s v="CAD"/>
    <n v="1946.57"/>
    <n v="1363.1804429448209"/>
    <x v="0"/>
    <n v="0"/>
    <n v="1363.1804429448209"/>
    <m/>
    <x v="0"/>
    <m/>
    <m/>
    <s v=""/>
    <s v=""/>
    <s v=""/>
    <s v=""/>
    <s v=""/>
    <s v=""/>
    <s v=""/>
    <s v=""/>
    <s v="[W-D3110/A05] Volute Liner, 4/3 C or D-AH, High Chrome"/>
    <m/>
    <m/>
    <m/>
    <m/>
    <m/>
    <s v=""/>
    <s v=""/>
    <s v=""/>
    <s v=""/>
  </r>
  <r>
    <n v="1"/>
    <s v="SO16727"/>
    <m/>
    <x v="0"/>
    <x v="0"/>
    <m/>
    <s v="Ian Trottier"/>
    <n v="3"/>
    <n v="2025"/>
    <s v="INV12862"/>
    <n v="5"/>
    <n v="2025"/>
    <x v="0"/>
    <s v="MAB Equipment Company Inc."/>
    <s v="USD"/>
    <n v="8672.1050961676501"/>
    <n v="6106.22"/>
    <x v="0"/>
    <n v="608"/>
    <n v="5498.22"/>
    <m/>
    <x v="0"/>
    <m/>
    <m/>
    <s v=""/>
    <s v=""/>
    <s v=""/>
    <s v=""/>
    <s v=""/>
    <s v=""/>
    <s v=""/>
    <s v=""/>
    <s v="[W-SP15092/A05] Casing w/Flange, 150SV-SP, High Chrome"/>
    <m/>
    <m/>
    <m/>
    <m/>
    <m/>
    <s v=""/>
    <s v=""/>
    <s v=""/>
    <s v=""/>
  </r>
  <r>
    <n v="1"/>
    <s v="SO16732"/>
    <m/>
    <x v="0"/>
    <x v="0"/>
    <m/>
    <s v="Taylor Cook"/>
    <n v="3"/>
    <n v="2025"/>
    <s v="INV12971"/>
    <s v=""/>
    <s v="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3"/>
    <s v="SO16733"/>
    <m/>
    <x v="0"/>
    <x v="0"/>
    <m/>
    <s v="Ian Trottier"/>
    <n v="3"/>
    <n v="2025"/>
    <s v="INV12804"/>
    <n v="5"/>
    <n v="2025"/>
    <x v="0"/>
    <s v="Sling-Choker Manufacturing - Timmins"/>
    <s v="CAD"/>
    <n v="8495.61"/>
    <n v="5872.7461918467798"/>
    <x v="0"/>
    <n v="0"/>
    <n v="5872.7461918467798"/>
    <m/>
    <x v="0"/>
    <m/>
    <m/>
    <s v=""/>
    <s v=""/>
    <s v=""/>
    <s v=""/>
    <s v=""/>
    <s v=""/>
    <s v=""/>
    <s v=""/>
    <s v="[AC-98-233-700-001] Bearing Cover Gasket (Inboard &amp; Outboard), 8x6-18 &amp; 10x8-21 SRL-C"/>
    <m/>
    <m/>
    <m/>
    <m/>
    <m/>
    <s v=""/>
    <s v=""/>
    <s v=""/>
    <s v=""/>
  </r>
  <r>
    <n v="3"/>
    <s v="SO16733"/>
    <m/>
    <x v="0"/>
    <x v="0"/>
    <m/>
    <n v="0"/>
    <n v="3"/>
    <n v="2025"/>
    <s v="INV12794"/>
    <n v="4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234-013-001] Waterseal Bushing, 3x3-10 SRL, Cast Iron"/>
    <m/>
    <m/>
    <m/>
    <m/>
    <m/>
    <s v=""/>
    <s v=""/>
    <s v=""/>
    <s v=""/>
  </r>
  <r>
    <n v="3"/>
    <s v="SO16733"/>
    <m/>
    <x v="0"/>
    <x v="0"/>
    <m/>
    <n v="0"/>
    <n v="3"/>
    <n v="2025"/>
    <s v="INV12852"/>
    <n v="5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236-570-001] Sleeve Washer (Impeller), 16x14-34 SRL-C"/>
    <m/>
    <m/>
    <m/>
    <m/>
    <m/>
    <s v=""/>
    <s v=""/>
    <s v=""/>
    <s v=""/>
  </r>
  <r>
    <n v="1"/>
    <s v="SO16734"/>
    <m/>
    <x v="0"/>
    <x v="0"/>
    <m/>
    <s v="Ian Trottier"/>
    <n v="3"/>
    <n v="2025"/>
    <s v="INV12736"/>
    <n v="4"/>
    <n v="2025"/>
    <x v="0"/>
    <s v="Wajax Limited - Lachine"/>
    <s v="CAD"/>
    <n v="1906.1"/>
    <n v="1334.3041958382153"/>
    <x v="0"/>
    <n v="0"/>
    <n v="1334.3041958382153"/>
    <m/>
    <x v="0"/>
    <m/>
    <m/>
    <s v=""/>
    <s v=""/>
    <s v=""/>
    <s v=""/>
    <s v=""/>
    <s v=""/>
    <s v=""/>
    <s v=""/>
    <s v="[AC-98-234-268-001-SS] Waterseal Bushing, 5x4/5x5/6x6 SRL, 316SS"/>
    <m/>
    <m/>
    <m/>
    <m/>
    <m/>
    <s v=""/>
    <s v=""/>
    <s v=""/>
    <s v=""/>
  </r>
  <r>
    <n v="1"/>
    <s v="SO16736"/>
    <m/>
    <x v="0"/>
    <x v="0"/>
    <m/>
    <s v="Ian Trottier"/>
    <n v="3"/>
    <n v="2025"/>
    <s v="INV12720"/>
    <n v="4"/>
    <n v="2025"/>
    <x v="0"/>
    <s v="Fabrene Inc."/>
    <s v="CAD"/>
    <n v="836.73"/>
    <n v="581.50320194146491"/>
    <x v="0"/>
    <n v="0"/>
    <n v="581.50320194146491"/>
    <m/>
    <x v="0"/>
    <m/>
    <m/>
    <s v=""/>
    <s v=""/>
    <s v=""/>
    <s v=""/>
    <s v=""/>
    <s v=""/>
    <s v=""/>
    <s v=""/>
    <s v="[TSSC-J01-1.375(BIG BORE)-00] Single Cartridge Seal, 1 3/8&quot;, D-196 STX or D-III Group 1, Big Bore, Carbon vs Silicon Carbide w/Aflas Elastomers"/>
    <m/>
    <m/>
    <m/>
    <m/>
    <m/>
    <s v=""/>
    <s v=""/>
    <s v=""/>
    <s v=""/>
  </r>
  <r>
    <n v="1"/>
    <s v="SO16737"/>
    <m/>
    <x v="0"/>
    <x v="0"/>
    <m/>
    <s v="Taylor Cook"/>
    <n v="3"/>
    <n v="2025"/>
    <s v="INV12988"/>
    <n v="6"/>
    <n v="2025"/>
    <x v="0"/>
    <s v="Canadian Industrial Pumps Ltd, Canadian Industrial Pumps Ltd"/>
    <s v="CAD"/>
    <n v="3726.65"/>
    <n v="2663.811390330774"/>
    <x v="0"/>
    <n v="0"/>
    <n v="2663.811390330774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1"/>
    <s v="SO16738"/>
    <m/>
    <x v="0"/>
    <x v="0"/>
    <m/>
    <s v="Yannett Yeomans"/>
    <n v="3"/>
    <n v="2025"/>
    <s v="INV12865"/>
    <s v=""/>
    <s v=""/>
    <x v="0"/>
    <s v="Dynapro Pumps México S de RL de CV"/>
    <s v="USD"/>
    <n v="197.05876899150439"/>
    <n v="138"/>
    <x v="1"/>
    <n v="0"/>
    <n v="0"/>
    <m/>
    <x v="0"/>
    <m/>
    <m/>
    <s v=""/>
    <s v=""/>
    <s v=""/>
    <s v=""/>
    <s v=""/>
    <s v=""/>
    <s v=""/>
    <s v=""/>
    <s v="Labyrinth, 4/3 or 6/4 D-AH, Ductile Iron"/>
    <m/>
    <m/>
    <m/>
    <m/>
    <m/>
    <s v=""/>
    <s v=""/>
    <s v=""/>
    <s v=""/>
  </r>
  <r>
    <n v="1"/>
    <s v="SO16739"/>
    <m/>
    <x v="0"/>
    <x v="0"/>
    <m/>
    <s v="Ian Trottier"/>
    <n v="3"/>
    <n v="2025"/>
    <s v="INV12737"/>
    <n v="4"/>
    <n v="2025"/>
    <x v="0"/>
    <s v="FMI Products"/>
    <s v="CAD"/>
    <n v="1129.78"/>
    <n v="790.86626849278571"/>
    <x v="0"/>
    <n v="0"/>
    <n v="790.86626849278571"/>
    <m/>
    <x v="0"/>
    <m/>
    <m/>
    <s v=""/>
    <s v=""/>
    <s v=""/>
    <s v=""/>
    <s v=""/>
    <s v=""/>
    <s v=""/>
    <s v=""/>
    <s v="[AC-98-231-115-501] Suction Side Liner, 5x4-14 SRL-C, Natural Rubber"/>
    <m/>
    <m/>
    <m/>
    <m/>
    <m/>
    <s v=""/>
    <s v=""/>
    <s v=""/>
    <s v=""/>
  </r>
  <r>
    <n v="1"/>
    <s v="SO16740"/>
    <m/>
    <x v="0"/>
    <x v="0"/>
    <m/>
    <s v="Ian Trottier"/>
    <n v="3"/>
    <n v="2025"/>
    <s v="INV12742"/>
    <n v="5"/>
    <n v="2025"/>
    <x v="0"/>
    <s v="Moffatt Supply &amp; Specialties - Red Lake"/>
    <s v="CAD"/>
    <n v="1904.9"/>
    <n v="1322.9971705725284"/>
    <x v="0"/>
    <n v="0"/>
    <n v="1322.9971705725284"/>
    <m/>
    <x v="0"/>
    <m/>
    <m/>
    <s v=""/>
    <s v=""/>
    <s v=""/>
    <s v=""/>
    <s v=""/>
    <s v=""/>
    <s v=""/>
    <s v=""/>
    <s v="[AC-98-330-307-501] Impeller (Closed), 3x3-10 SRL-C, Natural Rubber"/>
    <m/>
    <m/>
    <m/>
    <m/>
    <m/>
    <s v=""/>
    <s v=""/>
    <s v=""/>
    <s v=""/>
  </r>
  <r>
    <n v="1"/>
    <s v="SO16742"/>
    <m/>
    <x v="0"/>
    <x v="0"/>
    <m/>
    <s v="Ian Trottier"/>
    <n v="3"/>
    <n v="2025"/>
    <s v="INV12731"/>
    <n v="4"/>
    <n v="2025"/>
    <x v="0"/>
    <s v="Wajax Limited - Noranda"/>
    <s v="CAD"/>
    <n v="199.07"/>
    <n v="138.25872578396402"/>
    <x v="0"/>
    <n v="0"/>
    <n v="138.25872578396402"/>
    <m/>
    <x v="0"/>
    <m/>
    <m/>
    <s v=""/>
    <s v=""/>
    <s v=""/>
    <s v=""/>
    <s v=""/>
    <s v=""/>
    <s v=""/>
    <s v=""/>
    <s v="[AC-98-131-246-511] Deflector (Water Slinger), 5x5/5x4/6x6 SRL &amp; SRL-C, Neoprene/Steel"/>
    <m/>
    <m/>
    <m/>
    <m/>
    <m/>
    <s v=""/>
    <s v=""/>
    <s v=""/>
    <s v=""/>
  </r>
  <r>
    <n v="1"/>
    <s v="SO16744"/>
    <m/>
    <x v="0"/>
    <x v="0"/>
    <m/>
    <s v="Jeff Bell"/>
    <n v="3"/>
    <n v="2025"/>
    <s v="INV12762"/>
    <n v="5"/>
    <n v="2025"/>
    <x v="0"/>
    <s v="Barrick Gold - Pueblo Viejo Dominicana Corporation"/>
    <s v="USD"/>
    <n v="1262.6018070500875"/>
    <n v="878.63"/>
    <x v="0"/>
    <n v="0"/>
    <n v="878.63"/>
    <m/>
    <x v="0"/>
    <m/>
    <m/>
    <s v=""/>
    <s v=""/>
    <s v=""/>
    <s v=""/>
    <s v=""/>
    <s v=""/>
    <s v=""/>
    <s v=""/>
    <s v="[37231] Sleeve Bearing (Suction Bell), ThorPlas-Blue, HPCW"/>
    <m/>
    <m/>
    <m/>
    <m/>
    <m/>
    <s v=""/>
    <s v=""/>
    <s v=""/>
    <s v=""/>
  </r>
  <r>
    <n v="2"/>
    <s v="SO16746"/>
    <m/>
    <x v="0"/>
    <x v="0"/>
    <m/>
    <s v="Ian Trottier"/>
    <n v="3"/>
    <n v="2025"/>
    <s v="INV13036"/>
    <n v="6"/>
    <n v="2025"/>
    <x v="0"/>
    <s v="Kumtor Gold Company"/>
    <s v="USD"/>
    <n v="4613.8861090402879"/>
    <n v="3210.75"/>
    <x v="0"/>
    <n v="0"/>
    <n v="3210.75"/>
    <m/>
    <x v="0"/>
    <m/>
    <m/>
    <s v=""/>
    <s v=""/>
    <s v=""/>
    <s v=""/>
    <s v=""/>
    <s v=""/>
    <s v=""/>
    <s v=""/>
    <s v="[AC-98-236-360-501] Gland Assembly, 8x6-18 &amp; 10x8-21 SRL-C, 316SS"/>
    <m/>
    <m/>
    <m/>
    <m/>
    <m/>
    <s v=""/>
    <s v=""/>
    <s v=""/>
    <s v=""/>
  </r>
  <r>
    <n v="2"/>
    <s v="SO16746"/>
    <m/>
    <x v="0"/>
    <x v="0"/>
    <m/>
    <n v="0"/>
    <n v="3"/>
    <n v="2025"/>
    <s v="INV12748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N18] Bearing Lock Nut, 8x6-18 &amp; 10x8-21 SRL-C, Steel"/>
    <m/>
    <m/>
    <m/>
    <m/>
    <m/>
    <s v=""/>
    <s v=""/>
    <s v=""/>
    <s v=""/>
  </r>
  <r>
    <n v="1"/>
    <s v="SO16747"/>
    <m/>
    <x v="0"/>
    <x v="2"/>
    <m/>
    <s v="Ian Trottier"/>
    <n v="3"/>
    <n v="2025"/>
    <s v="INV13095"/>
    <n v="8"/>
    <n v="2025"/>
    <x v="1"/>
    <s v="Southeast Pump Specialist, Inc."/>
    <s v="USD"/>
    <n v="12276.551135094038"/>
    <n v="8543.11"/>
    <x v="0"/>
    <n v="575"/>
    <n v="7968.1100000000006"/>
    <m/>
    <x v="0"/>
    <s v="Renewal"/>
    <m/>
    <s v=""/>
    <s v=""/>
    <n v="0.01"/>
    <s v=""/>
    <s v=""/>
    <s v=""/>
    <n v="79.681100000000001"/>
    <s v=""/>
    <s v="[G-1.5x2-14-JC-HC] Pump, 1.5x2-14, Dynapro DC, Frame 2J, High Chrome"/>
    <n v="79.681100000000001"/>
    <m/>
    <m/>
    <m/>
    <m/>
    <s v=""/>
    <s v=""/>
    <n v="79.681100000000001"/>
    <s v=""/>
  </r>
  <r>
    <n v="1"/>
    <s v="SO16749"/>
    <m/>
    <x v="0"/>
    <x v="0"/>
    <m/>
    <s v="Ian Trottier"/>
    <n v="3"/>
    <n v="2025"/>
    <s v="INV12732"/>
    <n v="4"/>
    <n v="2025"/>
    <x v="0"/>
    <s v="Wajax Limited - Noranda"/>
    <s v="CAD"/>
    <n v="168.59"/>
    <n v="117.23246211875248"/>
    <x v="0"/>
    <n v="0"/>
    <n v="117.23246211875248"/>
    <m/>
    <x v="0"/>
    <m/>
    <m/>
    <s v=""/>
    <s v=""/>
    <s v=""/>
    <s v=""/>
    <s v=""/>
    <s v=""/>
    <s v=""/>
    <s v=""/>
    <s v="[AC-98-5414-HC6] Stuffing Box Gasket, 5x4-14 SRL-C, Rubber, 3-Piece Design"/>
    <m/>
    <m/>
    <m/>
    <m/>
    <m/>
    <s v=""/>
    <s v=""/>
    <s v=""/>
    <s v=""/>
  </r>
  <r>
    <n v="1"/>
    <s v="SO16750"/>
    <m/>
    <x v="0"/>
    <x v="0"/>
    <m/>
    <s v="Ian Trottier"/>
    <n v="3"/>
    <n v="2025"/>
    <s v="INV12808"/>
    <n v="5"/>
    <n v="2025"/>
    <x v="0"/>
    <s v="Tech-Flow"/>
    <s v="USD"/>
    <n v="624.04502339629346"/>
    <n v="435.76"/>
    <x v="0"/>
    <n v="0"/>
    <n v="435.76"/>
    <m/>
    <x v="0"/>
    <m/>
    <m/>
    <s v=""/>
    <s v=""/>
    <s v=""/>
    <s v=""/>
    <s v=""/>
    <s v=""/>
    <s v=""/>
    <s v=""/>
    <s v="[DE-503191] Expeller, 5x4, 5x5, 6x6, D-SRL, Cast Steel"/>
    <m/>
    <m/>
    <m/>
    <m/>
    <m/>
    <s v=""/>
    <s v=""/>
    <s v=""/>
    <s v=""/>
  </r>
  <r>
    <n v="1"/>
    <s v="SO16751"/>
    <m/>
    <x v="0"/>
    <x v="1"/>
    <m/>
    <s v="Amanda Qiao"/>
    <n v="3"/>
    <n v="2025"/>
    <s v="INV13179"/>
    <n v="8"/>
    <n v="2025"/>
    <x v="1"/>
    <s v="Tencarva Machinery Company"/>
    <s v="USD"/>
    <n v="38671.550944448398"/>
    <n v="27833.48"/>
    <x v="0"/>
    <n v="1250"/>
    <n v="26583.48"/>
    <m/>
    <x v="0"/>
    <s v="Renewal"/>
    <m/>
    <s v=""/>
    <s v=""/>
    <n v="0.01"/>
    <s v=""/>
    <s v=""/>
    <s v=""/>
    <n v="265.83479999999997"/>
    <s v=""/>
    <s v="[W-65QVSPR-1500-RBR] Sump Pump, W-Series, 65QV-SPR, Natural Rubber, 1500mm Column"/>
    <m/>
    <m/>
    <m/>
    <n v="2503"/>
    <m/>
    <s v=""/>
    <s v=""/>
    <n v="0"/>
    <s v=""/>
  </r>
  <r>
    <n v="1"/>
    <s v="SO16752"/>
    <m/>
    <x v="0"/>
    <x v="0"/>
    <m/>
    <s v="Ian Trottier"/>
    <n v="3"/>
    <n v="2025"/>
    <s v="INV12726"/>
    <n v="5"/>
    <n v="2025"/>
    <x v="0"/>
    <s v="Grant Aggregate"/>
    <s v="CAD"/>
    <n v="1242.28"/>
    <n v="858.74882900785428"/>
    <x v="0"/>
    <n v="0"/>
    <n v="858.74882900785428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1"/>
    <s v="SO16753"/>
    <m/>
    <x v="0"/>
    <x v="0"/>
    <m/>
    <s v="Ian Trottier"/>
    <n v="3"/>
    <n v="2025"/>
    <s v="INV12854"/>
    <n v="5"/>
    <n v="2025"/>
    <x v="0"/>
    <s v="Cartledge &amp; Associates Inc."/>
    <s v="USD"/>
    <n v="1877.4992191993795"/>
    <n v="1306.53"/>
    <x v="0"/>
    <n v="0"/>
    <n v="1306.53"/>
    <m/>
    <x v="0"/>
    <m/>
    <m/>
    <s v=""/>
    <s v=""/>
    <s v=""/>
    <s v=""/>
    <s v=""/>
    <s v=""/>
    <s v=""/>
    <s v=""/>
    <s v="[AC-98-231-121-501] Suction Side Plate, 8x6-18 SRL-C, Natural Rubber"/>
    <m/>
    <m/>
    <m/>
    <m/>
    <m/>
    <s v=""/>
    <s v=""/>
    <s v=""/>
    <s v=""/>
  </r>
  <r>
    <n v="1"/>
    <s v="SO16754"/>
    <m/>
    <x v="0"/>
    <x v="0"/>
    <m/>
    <s v="Ian Trottier"/>
    <n v="3"/>
    <n v="2025"/>
    <s v="INV12753"/>
    <n v="5"/>
    <n v="2025"/>
    <x v="0"/>
    <s v="Resolute Forest Products - Saint-Felicien"/>
    <s v="CAD"/>
    <n v="523.41"/>
    <n v="366.39639008639642"/>
    <x v="0"/>
    <n v="0"/>
    <n v="366.39639008639642"/>
    <m/>
    <x v="0"/>
    <m/>
    <m/>
    <s v=""/>
    <s v=""/>
    <s v=""/>
    <s v=""/>
    <s v=""/>
    <s v=""/>
    <s v=""/>
    <s v=""/>
    <s v="[AC-52-108-475-013] Deflector (Outboard), Allis-Chalmers PWO, Group 2"/>
    <m/>
    <m/>
    <m/>
    <m/>
    <m/>
    <s v=""/>
    <s v=""/>
    <s v=""/>
    <s v=""/>
  </r>
  <r>
    <n v="1"/>
    <s v="SO16755"/>
    <m/>
    <x v="0"/>
    <x v="0"/>
    <m/>
    <s v="Ian Trottier"/>
    <n v="3"/>
    <n v="2025"/>
    <s v="INV12729"/>
    <n v="5"/>
    <n v="2025"/>
    <x v="0"/>
    <s v="Resolute Forest Products - Saint-Felicien"/>
    <s v="CAD"/>
    <n v="301.76"/>
    <n v="209.55641556851828"/>
    <x v="0"/>
    <n v="0"/>
    <n v="209.55641556851828"/>
    <m/>
    <x v="0"/>
    <m/>
    <m/>
    <s v=""/>
    <s v=""/>
    <s v=""/>
    <s v=""/>
    <s v=""/>
    <s v=""/>
    <s v=""/>
    <s v=""/>
    <s v="[AC-52-108-475-012] Deflector (Inboard), Allis-Chalmers PWO, Group 2"/>
    <m/>
    <m/>
    <m/>
    <m/>
    <m/>
    <s v=""/>
    <s v=""/>
    <s v=""/>
    <s v=""/>
  </r>
  <r>
    <n v="1"/>
    <s v="SO16756"/>
    <m/>
    <x v="0"/>
    <x v="0"/>
    <m/>
    <s v="Ian Trottier"/>
    <n v="3"/>
    <n v="2025"/>
    <s v="INV12796"/>
    <n v="4"/>
    <n v="2025"/>
    <x v="0"/>
    <s v="Sling-Choker Manufacturing - Timmins"/>
    <s v="CAD"/>
    <n v="2816.85"/>
    <n v="1956.3675678131274"/>
    <x v="0"/>
    <n v="0"/>
    <n v="1956.3675678131274"/>
    <m/>
    <x v="0"/>
    <m/>
    <m/>
    <s v=""/>
    <s v=""/>
    <s v=""/>
    <s v=""/>
    <s v=""/>
    <s v=""/>
    <s v=""/>
    <s v=""/>
    <s v="[G-B02191A02 3211] Throttle Bushing, 3180-M, 316SS"/>
    <m/>
    <m/>
    <m/>
    <m/>
    <m/>
    <s v=""/>
    <s v=""/>
    <s v=""/>
    <s v=""/>
  </r>
  <r>
    <n v="1"/>
    <s v="SO16757"/>
    <m/>
    <x v="0"/>
    <x v="0"/>
    <m/>
    <s v="Ian Trottier"/>
    <n v="3"/>
    <n v="2025"/>
    <s v="INV12740"/>
    <n v="4"/>
    <n v="2025"/>
    <x v="0"/>
    <s v="Glencore Canada Corporation - Rouyn-Noranda"/>
    <s v="CAD"/>
    <n v="1752.46"/>
    <n v="1216.9911056044725"/>
    <x v="0"/>
    <n v="0"/>
    <n v="1216.9911056044725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6760"/>
    <m/>
    <x v="0"/>
    <x v="0"/>
    <m/>
    <s v="Ian Trottier"/>
    <n v="3"/>
    <n v="2025"/>
    <s v="INV12728"/>
    <n v="4"/>
    <n v="2025"/>
    <x v="0"/>
    <s v="Wajax Limited - Noranda"/>
    <s v="CAD"/>
    <n v="321.89999999999998"/>
    <n v="223.54258407842667"/>
    <x v="0"/>
    <n v="0"/>
    <n v="223.54258407842667"/>
    <m/>
    <x v="0"/>
    <m/>
    <m/>
    <s v=""/>
    <s v=""/>
    <s v=""/>
    <s v=""/>
    <s v=""/>
    <s v=""/>
    <s v=""/>
    <s v=""/>
    <s v="[G-76772X 2229] Shaft Sleeve, 3196 STX, 316SS"/>
    <m/>
    <m/>
    <m/>
    <m/>
    <m/>
    <s v=""/>
    <s v=""/>
    <s v=""/>
    <s v=""/>
  </r>
  <r>
    <n v="1"/>
    <s v="SO16761"/>
    <m/>
    <x v="0"/>
    <x v="0"/>
    <m/>
    <s v="Yannett Yeomans"/>
    <n v="3"/>
    <n v="2025"/>
    <s v="INV13019"/>
    <s v=""/>
    <s v=""/>
    <x v="0"/>
    <s v="Dynapro Pumps México S de RL de CV"/>
    <s v="USD"/>
    <n v="520.78184550969513"/>
    <n v="360"/>
    <x v="1"/>
    <n v="0"/>
    <n v="0"/>
    <m/>
    <x v="0"/>
    <m/>
    <m/>
    <s v=""/>
    <s v=""/>
    <s v=""/>
    <s v=""/>
    <s v=""/>
    <s v=""/>
    <s v=""/>
    <s v=""/>
    <s v="[468440/6505] Intermediate Bowl Bushing (Bearing), Vertical Turbine Pump, 18DMC 2-Stages, NBR"/>
    <m/>
    <m/>
    <m/>
    <m/>
    <m/>
    <s v=""/>
    <s v=""/>
    <s v=""/>
    <s v=""/>
  </r>
  <r>
    <n v="1"/>
    <s v="SO16762"/>
    <m/>
    <x v="0"/>
    <x v="0"/>
    <m/>
    <s v="Ian Trottier"/>
    <n v="3"/>
    <n v="2025"/>
    <s v="INV12751"/>
    <n v="4"/>
    <n v="2025"/>
    <x v="0"/>
    <s v="Wajax Limited - Lachine"/>
    <s v="CAD"/>
    <n v="798.97"/>
    <n v="558.26256315226135"/>
    <x v="0"/>
    <n v="0"/>
    <n v="558.26256315226135"/>
    <m/>
    <x v="0"/>
    <m/>
    <m/>
    <s v=""/>
    <s v=""/>
    <s v=""/>
    <s v=""/>
    <s v=""/>
    <s v=""/>
    <s v=""/>
    <s v=""/>
    <s v="[W-S239M/C21] Release Collar Assembly, 10/8 to 14/12 ST-AH, 420SS, Metric"/>
    <m/>
    <m/>
    <m/>
    <m/>
    <m/>
    <s v=""/>
    <s v=""/>
    <s v=""/>
    <s v=""/>
  </r>
  <r>
    <n v="1"/>
    <s v="SO16764"/>
    <m/>
    <x v="0"/>
    <x v="0"/>
    <m/>
    <s v="Ian Trottier"/>
    <n v="3"/>
    <n v="2025"/>
    <s v="INV12735"/>
    <n v="4"/>
    <n v="2025"/>
    <x v="0"/>
    <s v="Wajax Limited - Noranda"/>
    <s v="CAD"/>
    <n v="296.2"/>
    <n v="205.96865341701468"/>
    <x v="0"/>
    <n v="0"/>
    <n v="205.96865341701468"/>
    <m/>
    <x v="0"/>
    <m/>
    <m/>
    <s v=""/>
    <s v=""/>
    <s v=""/>
    <s v=""/>
    <s v=""/>
    <s v=""/>
    <s v=""/>
    <s v=""/>
    <s v="[W-B075/C21] Shaft Sleeve, 1.5/1 or 2/1.5 B-AH, 420SS Heat Treated, Hardened"/>
    <m/>
    <m/>
    <m/>
    <m/>
    <m/>
    <s v=""/>
    <s v=""/>
    <s v=""/>
    <s v=""/>
  </r>
  <r>
    <n v="1"/>
    <s v="SO16765"/>
    <m/>
    <x v="0"/>
    <x v="0"/>
    <m/>
    <s v="Ian Trottier"/>
    <n v="3"/>
    <n v="2025"/>
    <s v="INV12738"/>
    <n v="4"/>
    <n v="2025"/>
    <x v="0"/>
    <s v="Glencore Canada Corporation - Rouyn-Noranda"/>
    <s v="CAD"/>
    <n v="4082.22"/>
    <n v="2835.196340833947"/>
    <x v="0"/>
    <n v="0"/>
    <n v="2835.196340833947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6766"/>
    <m/>
    <x v="0"/>
    <x v="0"/>
    <m/>
    <s v="Ian Trottier"/>
    <n v="3"/>
    <n v="2025"/>
    <s v="INV12883"/>
    <n v="6"/>
    <n v="2025"/>
    <x v="0"/>
    <s v="Resolute Forest Products - Alma"/>
    <s v="CAD"/>
    <n v="743.88"/>
    <n v="535.40053596873713"/>
    <x v="0"/>
    <n v="0"/>
    <n v="535.40053596873713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6769"/>
    <m/>
    <x v="0"/>
    <x v="0"/>
    <m/>
    <s v="Ian Trottier"/>
    <n v="3"/>
    <n v="2025"/>
    <s v="INV12975"/>
    <n v="5"/>
    <n v="2025"/>
    <x v="0"/>
    <s v="Resolute Forest Products - Clermont"/>
    <s v="CAD"/>
    <n v="1037.54"/>
    <n v="720.76520106593875"/>
    <x v="0"/>
    <n v="0"/>
    <n v="720.76520106593875"/>
    <m/>
    <x v="0"/>
    <m/>
    <m/>
    <s v=""/>
    <s v=""/>
    <s v=""/>
    <s v=""/>
    <s v=""/>
    <s v=""/>
    <s v=""/>
    <s v=""/>
    <s v="[G-75752 1203] Shaft Sleeve, 3175-L, 316SS"/>
    <m/>
    <m/>
    <m/>
    <m/>
    <m/>
    <s v=""/>
    <s v=""/>
    <s v=""/>
    <s v=""/>
  </r>
  <r>
    <n v="2"/>
    <s v="SO16770"/>
    <m/>
    <x v="0"/>
    <x v="0"/>
    <m/>
    <s v="Ian Trottier"/>
    <n v="3"/>
    <n v="2025"/>
    <s v="INV12739"/>
    <n v="4"/>
    <n v="2025"/>
    <x v="0"/>
    <s v="Glencore Canada Corporation - Rouyn-Noranda"/>
    <s v="CAD"/>
    <n v="346.78"/>
    <n v="241.14047816324214"/>
    <x v="0"/>
    <n v="0"/>
    <n v="241.14047816324214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2"/>
    <s v="SO16770"/>
    <m/>
    <x v="0"/>
    <x v="0"/>
    <m/>
    <n v="0"/>
    <n v="3"/>
    <n v="2025"/>
    <s v="INV12787"/>
    <n v="5"/>
    <n v="2025"/>
    <x v="0"/>
    <s v="Glencore Canada Corporation - Rouyn-Noranda"/>
    <s v="CAD"/>
    <n v="0"/>
    <n v="0"/>
    <x v="1"/>
    <n v="0"/>
    <n v="0"/>
    <m/>
    <x v="0"/>
    <m/>
    <m/>
    <s v=""/>
    <s v=""/>
    <s v=""/>
    <s v=""/>
    <s v=""/>
    <s v=""/>
    <s v=""/>
    <s v=""/>
    <s v="[AC-98-236-245-003] Premium Slurry Packing (5 Piece Set), 5x4/5x5/6x6 SRL &amp; SRL-C, Kevlar Fiber w/Silicon Core"/>
    <m/>
    <m/>
    <m/>
    <m/>
    <m/>
    <s v=""/>
    <s v=""/>
    <s v=""/>
    <s v=""/>
  </r>
  <r>
    <n v="1"/>
    <s v="SO16772"/>
    <m/>
    <x v="0"/>
    <x v="0"/>
    <m/>
    <s v="Ian Trottier"/>
    <n v="3"/>
    <n v="2025"/>
    <s v="INV12812"/>
    <n v="6"/>
    <n v="2025"/>
    <x v="0"/>
    <s v="Resolute Forest Products - Saint-Felicien"/>
    <s v="CAD"/>
    <n v="2306.88"/>
    <n v="1607.3315191951583"/>
    <x v="0"/>
    <n v="0"/>
    <n v="1607.3315191951583"/>
    <m/>
    <x v="0"/>
    <m/>
    <m/>
    <s v=""/>
    <s v=""/>
    <s v=""/>
    <s v=""/>
    <s v=""/>
    <s v=""/>
    <s v=""/>
    <s v=""/>
    <s v="[52-108-475-015] Deflector (Inboard), Allis-Chalmers PWO, Group 3"/>
    <m/>
    <m/>
    <m/>
    <m/>
    <m/>
    <s v=""/>
    <s v=""/>
    <s v=""/>
    <s v=""/>
  </r>
  <r>
    <n v="1"/>
    <s v="SO16774"/>
    <m/>
    <x v="0"/>
    <x v="0"/>
    <m/>
    <s v="Ian Trottier"/>
    <n v="3"/>
    <n v="2025"/>
    <s v="INV12733"/>
    <n v="5"/>
    <n v="2025"/>
    <x v="0"/>
    <s v="Advanced Engineered Pump Inc."/>
    <s v="USD"/>
    <n v="747.27529430177378"/>
    <n v="519"/>
    <x v="0"/>
    <n v="0"/>
    <n v="519"/>
    <m/>
    <x v="0"/>
    <m/>
    <m/>
    <s v=""/>
    <s v=""/>
    <s v=""/>
    <s v=""/>
    <s v=""/>
    <s v=""/>
    <s v=""/>
    <s v=""/>
    <s v="[AC-52-118-634-007] Deflector (Water Slinger), 12x10-25 SRL-C, Neoprene/Steel"/>
    <m/>
    <m/>
    <m/>
    <m/>
    <m/>
    <s v=""/>
    <s v=""/>
    <s v=""/>
    <s v=""/>
  </r>
  <r>
    <n v="1"/>
    <s v="SO16775"/>
    <m/>
    <x v="1"/>
    <x v="0"/>
    <m/>
    <s v="Ian Trottier"/>
    <n v="3"/>
    <n v="2025"/>
    <s v="INV13191"/>
    <n v="9"/>
    <n v="2025"/>
    <x v="1"/>
    <s v="Cypress Sales Partnership"/>
    <s v="CAD"/>
    <n v="7938.04"/>
    <n v="5556.7704101209729"/>
    <x v="0"/>
    <n v="0"/>
    <n v="5556.7704101209729"/>
    <m/>
    <x v="1"/>
    <m/>
    <m/>
    <s v=""/>
    <n v="5.0000000000000001E-3"/>
    <s v=""/>
    <s v=""/>
    <s v=""/>
    <n v="27.783852050604864"/>
    <s v=""/>
    <s v=""/>
    <s v="[DU-CY21853A-CD4] Casing, 3x1.5-13, Durco Mark 2&amp;3 Group 2, CD4MCu , #300 Flat Face Flanges"/>
    <n v="27.783852050604864"/>
    <m/>
    <m/>
    <m/>
    <m/>
    <s v=""/>
    <n v="27.783852050604864"/>
    <s v=""/>
    <s v=""/>
  </r>
  <r>
    <n v="1"/>
    <s v="SO16778"/>
    <m/>
    <x v="0"/>
    <x v="0"/>
    <m/>
    <s v="Ian Trottier"/>
    <n v="3"/>
    <n v="2025"/>
    <s v="INV12759"/>
    <n v="4"/>
    <n v="2025"/>
    <x v="0"/>
    <s v="Motion Industries Inc. (Canada) - Red Deer"/>
    <s v="CAD"/>
    <n v="171.09"/>
    <n v="119.40589572991151"/>
    <x v="0"/>
    <n v="0"/>
    <n v="119.40589572991151"/>
    <m/>
    <x v="0"/>
    <m/>
    <m/>
    <s v=""/>
    <s v=""/>
    <s v=""/>
    <s v=""/>
    <s v=""/>
    <s v=""/>
    <s v=""/>
    <s v=""/>
    <s v="[OLPWZ011004B, G-A04951A217] Bearing Isolator (Outboard), 3196 STX/STi, 303SS Rotor / Bronze Stator w/Viton"/>
    <m/>
    <m/>
    <m/>
    <m/>
    <m/>
    <s v=""/>
    <s v=""/>
    <s v=""/>
    <s v=""/>
  </r>
  <r>
    <n v="2"/>
    <s v="SO16783"/>
    <m/>
    <x v="0"/>
    <x v="0"/>
    <m/>
    <s v="Ian Trottier"/>
    <n v="3"/>
    <n v="2025"/>
    <s v="INV12917"/>
    <n v="5"/>
    <n v="2025"/>
    <x v="0"/>
    <s v="Kumtor Gold Company"/>
    <s v="USD"/>
    <n v="8032.4271236151872"/>
    <n v="5580.02"/>
    <x v="0"/>
    <n v="0"/>
    <n v="5580.02"/>
    <m/>
    <x v="0"/>
    <m/>
    <m/>
    <s v=""/>
    <s v=""/>
    <s v=""/>
    <s v=""/>
    <s v=""/>
    <s v=""/>
    <s v=""/>
    <s v=""/>
    <s v="[AC-98-233-731-001] Half Seal Cage, 8x6-18 &amp; 10x8-21 SRL-C,  Steel"/>
    <m/>
    <m/>
    <m/>
    <m/>
    <m/>
    <s v=""/>
    <s v=""/>
    <s v=""/>
    <s v=""/>
  </r>
  <r>
    <n v="2"/>
    <s v="SO16783"/>
    <m/>
    <x v="0"/>
    <x v="0"/>
    <m/>
    <n v="0"/>
    <n v="3"/>
    <n v="2025"/>
    <s v="INV12823"/>
    <n v="4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3-731-001] Half Seal Cage, 8x6-18 &amp; 10x8-21 SRL-C,  Steel"/>
    <m/>
    <m/>
    <m/>
    <m/>
    <m/>
    <s v=""/>
    <s v=""/>
    <s v=""/>
    <s v=""/>
  </r>
  <r>
    <n v="1"/>
    <s v="SO16787"/>
    <m/>
    <x v="0"/>
    <x v="0"/>
    <m/>
    <s v="Yannett Yeomans"/>
    <n v="3"/>
    <n v="2025"/>
    <s v="INV12958"/>
    <s v=""/>
    <s v=""/>
    <x v="0"/>
    <s v="Dynapro Pumps México S de RL de CV"/>
    <s v="USD"/>
    <n v="1291.2927768448997"/>
    <n v="899"/>
    <x v="1"/>
    <n v="0"/>
    <n v="0"/>
    <m/>
    <x v="0"/>
    <m/>
    <m/>
    <s v=""/>
    <s v=""/>
    <s v=""/>
    <s v=""/>
    <s v=""/>
    <s v=""/>
    <s v=""/>
    <s v=""/>
    <s v="[W-0352] DYNAPRO SUBMERGED PUMP, 316SS"/>
    <m/>
    <m/>
    <m/>
    <m/>
    <m/>
    <s v=""/>
    <s v=""/>
    <s v=""/>
    <s v=""/>
  </r>
  <r>
    <n v="2"/>
    <s v="SO16788"/>
    <m/>
    <x v="0"/>
    <x v="0"/>
    <m/>
    <s v="Ian Trottier"/>
    <n v="3"/>
    <n v="2025"/>
    <s v="INV12799"/>
    <n v="5"/>
    <n v="2025"/>
    <x v="0"/>
    <s v="Glencore Canada Corporation - Rouyn-Noranda, Glencore Canada Corp."/>
    <s v="CAD"/>
    <n v="2750.02"/>
    <n v="1921.5154685657562"/>
    <x v="0"/>
    <n v="0"/>
    <n v="1921.5154685657562"/>
    <m/>
    <x v="0"/>
    <m/>
    <m/>
    <s v=""/>
    <s v=""/>
    <s v=""/>
    <s v=""/>
    <s v=""/>
    <s v=""/>
    <s v=""/>
    <s v=""/>
    <s v="[AC-98-236-245-002] Premium Slurry Packing (5 Piece Set), 3x3-10 SRL and SRL-C, Kevlar Fiber w/Silicon Core"/>
    <m/>
    <m/>
    <m/>
    <m/>
    <m/>
    <s v=""/>
    <s v=""/>
    <s v=""/>
    <s v=""/>
  </r>
  <r>
    <n v="2"/>
    <s v="SO16788"/>
    <m/>
    <x v="0"/>
    <x v="0"/>
    <m/>
    <n v="0"/>
    <n v="3"/>
    <n v="2025"/>
    <s v="INV12813"/>
    <n v="5"/>
    <n v="2025"/>
    <x v="0"/>
    <s v="Glencore Canada Corporation - Rouyn-Noranda, Glencore Canada Corp."/>
    <s v="CAD"/>
    <n v="0"/>
    <n v="0"/>
    <x v="1"/>
    <n v="0"/>
    <n v="0"/>
    <m/>
    <x v="0"/>
    <m/>
    <m/>
    <s v=""/>
    <s v=""/>
    <s v=""/>
    <s v=""/>
    <s v=""/>
    <s v=""/>
    <s v=""/>
    <s v=""/>
    <s v="[AC-98-234-108-001] Half Seal Cage, 2x2-10 SRL, Cast Iron"/>
    <m/>
    <m/>
    <m/>
    <m/>
    <m/>
    <s v=""/>
    <s v=""/>
    <s v=""/>
    <s v=""/>
  </r>
  <r>
    <n v="1"/>
    <s v="SO16792"/>
    <m/>
    <x v="2"/>
    <x v="0"/>
    <m/>
    <s v="Marlen Martinez"/>
    <n v="3"/>
    <n v="2025"/>
    <s v="INV12802"/>
    <n v="7"/>
    <n v="2025"/>
    <x v="2"/>
    <s v="Covia Corp - Junction City"/>
    <s v="USD"/>
    <n v="15979.247006926034"/>
    <n v="11179"/>
    <x v="0"/>
    <n v="749"/>
    <n v="10430"/>
    <m/>
    <x v="0"/>
    <m/>
    <m/>
    <s v=""/>
    <s v=""/>
    <s v=""/>
    <s v=""/>
    <s v=""/>
    <s v=""/>
    <s v=""/>
    <s v=""/>
    <s v="102813/1003 Labyrinth, 8/6 to 14/12 F-AH, Zinc Plated"/>
    <m/>
    <m/>
    <m/>
    <m/>
    <m/>
    <s v=""/>
    <s v=""/>
    <s v=""/>
    <s v=""/>
  </r>
  <r>
    <n v="1"/>
    <s v="SO16793"/>
    <m/>
    <x v="0"/>
    <x v="0"/>
    <m/>
    <s v="Ian Trottier"/>
    <n v="3"/>
    <n v="2025"/>
    <s v="INV12752"/>
    <n v="5"/>
    <n v="2025"/>
    <x v="0"/>
    <s v="Process and Steam Specialties, Process and Steam Specialties"/>
    <s v="CAD"/>
    <n v="1487.32"/>
    <n v="1039.2318552982238"/>
    <x v="0"/>
    <n v="0"/>
    <n v="1039.2318552982238"/>
    <m/>
    <x v="0"/>
    <m/>
    <m/>
    <s v=""/>
    <s v=""/>
    <s v=""/>
    <s v=""/>
    <s v=""/>
    <s v=""/>
    <s v=""/>
    <s v=""/>
    <s v="[SA-013733-M1] Wear Disc, 44 WFR, Sala STGVA-180, Steel, Rubber Lined"/>
    <m/>
    <m/>
    <m/>
    <m/>
    <m/>
    <s v=""/>
    <s v=""/>
    <s v=""/>
    <s v=""/>
  </r>
  <r>
    <n v="2"/>
    <s v="SO16794"/>
    <m/>
    <x v="0"/>
    <x v="2"/>
    <m/>
    <s v="Ian Trottier"/>
    <n v="3"/>
    <n v="2025"/>
    <s v="INV12795"/>
    <n v="4"/>
    <n v="2025"/>
    <x v="1"/>
    <s v="Sling-Choker Manufacturing - Timmins"/>
    <s v="CAD"/>
    <n v="12557.71"/>
    <n v="8762.5144822173206"/>
    <x v="0"/>
    <n v="0"/>
    <n v="8762.5144822173206"/>
    <m/>
    <x v="0"/>
    <s v="Renewal"/>
    <m/>
    <s v=""/>
    <s v=""/>
    <n v="0.01"/>
    <s v=""/>
    <s v=""/>
    <s v=""/>
    <n v="87.625144822173212"/>
    <s v=""/>
    <s v="[G-73705X 2229] Shaft Sleeve, 3196 MTX, 316SS"/>
    <n v="87.625144822173212"/>
    <m/>
    <m/>
    <m/>
    <m/>
    <s v=""/>
    <s v=""/>
    <n v="87.625144822173212"/>
    <s v=""/>
  </r>
  <r>
    <n v="2"/>
    <s v="SO16794"/>
    <m/>
    <x v="0"/>
    <x v="2"/>
    <m/>
    <n v="0"/>
    <n v="3"/>
    <n v="2025"/>
    <s v="INV13161"/>
    <n v="8"/>
    <n v="2025"/>
    <x v="1"/>
    <s v="Sling-Choker Manufacturing - Timmins"/>
    <s v="CAD"/>
    <n v="0"/>
    <n v="0"/>
    <x v="1"/>
    <n v="0"/>
    <n v="0"/>
    <m/>
    <x v="0"/>
    <s v="Renewal"/>
    <m/>
    <s v=""/>
    <s v=""/>
    <n v="0.01"/>
    <s v=""/>
    <s v=""/>
    <s v=""/>
    <n v="0"/>
    <s v=""/>
    <s v="[D-196 2x3-13 LTX CD4MCu] Pump, 2x3-13, D-196 LTX, CD4MCu"/>
    <n v="0"/>
    <m/>
    <m/>
    <m/>
    <m/>
    <s v=""/>
    <s v=""/>
    <n v="0"/>
    <s v=""/>
  </r>
  <r>
    <n v="1"/>
    <s v="SO16796"/>
    <m/>
    <x v="0"/>
    <x v="0"/>
    <m/>
    <s v="Ian Trottier"/>
    <n v="3"/>
    <n v="2025"/>
    <s v="INV12754"/>
    <n v="4"/>
    <n v="2025"/>
    <x v="0"/>
    <s v="Wajax Limited - Noranda"/>
    <s v="CAD"/>
    <n v="147.72999999999999"/>
    <n v="103.08298761939596"/>
    <x v="0"/>
    <n v="0"/>
    <n v="103.08298761939596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6797"/>
    <m/>
    <x v="0"/>
    <x v="0"/>
    <m/>
    <s v="Ian Trottier"/>
    <n v="3"/>
    <n v="2025"/>
    <s v="INV12826"/>
    <n v="5"/>
    <n v="2025"/>
    <x v="0"/>
    <s v="Grant Aggregate"/>
    <s v="CAD"/>
    <n v="1182.8900000000001"/>
    <n v="825.55403588728143"/>
    <x v="0"/>
    <n v="0"/>
    <n v="825.55403588728143"/>
    <m/>
    <x v="0"/>
    <m/>
    <m/>
    <s v=""/>
    <s v=""/>
    <s v=""/>
    <s v=""/>
    <s v=""/>
    <s v=""/>
    <s v=""/>
    <s v=""/>
    <s v="[ML2225-7/8] Packing 7/8&quot; x 7/8&quot;, Synthetic Filament w/PTFE Lubricant, 10 lbs."/>
    <m/>
    <m/>
    <m/>
    <m/>
    <m/>
    <s v=""/>
    <s v=""/>
    <s v=""/>
    <s v=""/>
  </r>
  <r>
    <n v="3"/>
    <s v="SO16798"/>
    <m/>
    <x v="1"/>
    <x v="0"/>
    <m/>
    <s v="Ian Trottier"/>
    <n v="3"/>
    <n v="2025"/>
    <s v="INV12968"/>
    <n v="5"/>
    <n v="2025"/>
    <x v="1"/>
    <s v="Kumtor Gold Company"/>
    <s v="USD"/>
    <n v="12832.083881218166"/>
    <n v="9235.77"/>
    <x v="0"/>
    <n v="0"/>
    <n v="9235.77"/>
    <m/>
    <x v="1"/>
    <m/>
    <m/>
    <s v=""/>
    <n v="5.0000000000000001E-3"/>
    <s v=""/>
    <s v=""/>
    <s v=""/>
    <n v="46.178850000000004"/>
    <s v=""/>
    <s v=""/>
    <s v="[SA-202316-M1] Impeller (Agitator), Sala VS150, High Chrome"/>
    <n v="46.178850000000004"/>
    <m/>
    <m/>
    <m/>
    <m/>
    <s v=""/>
    <n v="46.178850000000004"/>
    <s v=""/>
    <s v=""/>
  </r>
  <r>
    <n v="3"/>
    <s v="SO16798"/>
    <m/>
    <x v="1"/>
    <x v="0"/>
    <m/>
    <n v="0"/>
    <n v="3"/>
    <n v="2025"/>
    <s v="INV12916"/>
    <n v="5"/>
    <n v="2025"/>
    <x v="1"/>
    <s v="Kumtor Gold Company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SA-202316-M1] Impeller (Agitator), Sala VS150, High Chrome"/>
    <n v="0"/>
    <m/>
    <m/>
    <m/>
    <m/>
    <s v=""/>
    <n v="0"/>
    <s v=""/>
    <s v=""/>
  </r>
  <r>
    <n v="3"/>
    <s v="SO16798"/>
    <m/>
    <x v="1"/>
    <x v="0"/>
    <m/>
    <n v="0"/>
    <n v="3"/>
    <n v="2025"/>
    <s v="INV13275"/>
    <n v="8"/>
    <n v="2025"/>
    <x v="1"/>
    <s v="Kumtor Gold Company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FAS-10570, FASM-2157] Mechanical Seal, Ingersoll Dresser, 40-25CPX200 &amp; 65-40CPX160, Sil-Carb vs' Sil-Carb, Viton Bellows"/>
    <n v="0"/>
    <m/>
    <m/>
    <m/>
    <m/>
    <s v=""/>
    <n v="0"/>
    <s v=""/>
    <s v=""/>
  </r>
  <r>
    <n v="1"/>
    <s v="SO16799"/>
    <m/>
    <x v="0"/>
    <x v="0"/>
    <m/>
    <s v="Ian Trottier"/>
    <n v="3"/>
    <n v="2025"/>
    <s v="INV12788"/>
    <n v="5"/>
    <n v="2025"/>
    <x v="0"/>
    <s v="Glencore Canada Corporation - Rouyn-Noranda"/>
    <s v="CAD"/>
    <n v="5315.42"/>
    <n v="3708.9919045007082"/>
    <x v="0"/>
    <n v="0"/>
    <n v="3708.9919045007082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6803"/>
    <m/>
    <x v="0"/>
    <x v="0"/>
    <m/>
    <s v="Ian Trottier"/>
    <n v="3"/>
    <n v="2025"/>
    <s v="INV12848"/>
    <n v="6"/>
    <n v="2025"/>
    <x v="0"/>
    <s v="Resolute Forest Products - Saint-Felicien"/>
    <s v="CAD"/>
    <n v="1796.44"/>
    <n v="1264.9129288859272"/>
    <x v="0"/>
    <n v="0"/>
    <n v="1264.9129288859272"/>
    <m/>
    <x v="0"/>
    <m/>
    <m/>
    <s v=""/>
    <s v=""/>
    <s v=""/>
    <s v=""/>
    <s v=""/>
    <s v=""/>
    <s v=""/>
    <s v=""/>
    <s v="[AC-98-330-286-503] Impeller (Open), 3x3-10 SRL, Neoprene"/>
    <m/>
    <m/>
    <m/>
    <m/>
    <m/>
    <s v=""/>
    <s v=""/>
    <s v=""/>
    <s v=""/>
  </r>
  <r>
    <n v="1"/>
    <s v="SO16804"/>
    <m/>
    <x v="0"/>
    <x v="0"/>
    <m/>
    <s v="Ian Trottier"/>
    <n v="3"/>
    <n v="2025"/>
    <s v="INV12758"/>
    <n v="5"/>
    <n v="2025"/>
    <x v="0"/>
    <s v="Resolute Forest Products - Saint-Felicien"/>
    <s v="CAD"/>
    <n v="301.76"/>
    <n v="210.60215731754099"/>
    <x v="0"/>
    <n v="0"/>
    <n v="210.60215731754099"/>
    <m/>
    <x v="0"/>
    <m/>
    <m/>
    <s v=""/>
    <s v=""/>
    <s v=""/>
    <s v=""/>
    <s v=""/>
    <s v=""/>
    <s v=""/>
    <s v=""/>
    <s v="[AC-52-108-475-012] Deflector (Inboard), Allis-Chalmers PWO, Group 2"/>
    <m/>
    <m/>
    <m/>
    <m/>
    <m/>
    <s v=""/>
    <s v=""/>
    <s v=""/>
    <s v=""/>
  </r>
  <r>
    <n v="1"/>
    <s v="SO16805"/>
    <m/>
    <x v="0"/>
    <x v="0"/>
    <m/>
    <s v="Ian Trottier"/>
    <n v="3"/>
    <n v="2025"/>
    <s v="INV13049"/>
    <n v="6"/>
    <n v="2025"/>
    <x v="0"/>
    <s v="Algoma Steel Inc."/>
    <s v="CAD"/>
    <n v="12281.56"/>
    <n v="8614.6373803377737"/>
    <x v="0"/>
    <n v="0"/>
    <n v="8614.6373803377737"/>
    <m/>
    <x v="0"/>
    <m/>
    <m/>
    <s v=""/>
    <s v=""/>
    <s v=""/>
    <s v=""/>
    <s v=""/>
    <s v=""/>
    <s v=""/>
    <s v=""/>
    <s v="[G-C03061A01 1001] Suction Side Plate, 18x18-22XL, 3180-XL, Ductile Iron"/>
    <m/>
    <m/>
    <m/>
    <m/>
    <m/>
    <s v=""/>
    <s v=""/>
    <s v=""/>
    <s v=""/>
  </r>
  <r>
    <n v="2"/>
    <s v="SO16809"/>
    <m/>
    <x v="0"/>
    <x v="0"/>
    <m/>
    <s v="Ian Trottier"/>
    <n v="3"/>
    <n v="2025"/>
    <s v="INV13438"/>
    <s v=""/>
    <s v=""/>
    <x v="0"/>
    <s v="Wajax Limited - Noranda"/>
    <s v="CAD"/>
    <n v="7992.87"/>
    <n v="5809.212225516512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6809"/>
    <m/>
    <x v="0"/>
    <x v="0"/>
    <m/>
    <n v="0"/>
    <n v="3"/>
    <n v="2025"/>
    <s v="INV13026"/>
    <n v="7"/>
    <n v="2025"/>
    <x v="0"/>
    <s v="Wajax Limited - Noranda"/>
    <s v="CAD"/>
    <n v="0"/>
    <n v="0"/>
    <x v="1"/>
    <n v="0"/>
    <n v="0"/>
    <m/>
    <x v="0"/>
    <m/>
    <m/>
    <s v=""/>
    <s v=""/>
    <s v=""/>
    <s v=""/>
    <s v=""/>
    <s v=""/>
    <s v=""/>
    <s v=""/>
    <s v="[G-C02495A032 5302] Shaft Sleeve O-Ring, 5x4-14 SRL-C, Buna"/>
    <m/>
    <m/>
    <m/>
    <m/>
    <m/>
    <s v=""/>
    <s v=""/>
    <s v=""/>
    <s v=""/>
  </r>
  <r>
    <n v="1"/>
    <s v="SO16812"/>
    <m/>
    <x v="0"/>
    <x v="0"/>
    <m/>
    <s v="Amanda Qiao"/>
    <n v="3"/>
    <n v="2025"/>
    <s v="INV12869"/>
    <n v="5"/>
    <n v="2025"/>
    <x v="0"/>
    <s v="Hisco Pump Inc."/>
    <s v="USD"/>
    <n v="6778.1829007718588"/>
    <n v="4776.59"/>
    <x v="0"/>
    <n v="543"/>
    <n v="4233.59"/>
    <m/>
    <x v="0"/>
    <m/>
    <m/>
    <s v=""/>
    <s v=""/>
    <s v=""/>
    <s v=""/>
    <s v=""/>
    <s v=""/>
    <s v=""/>
    <s v=""/>
    <s v="[AC-98-431-641-501] Impeller (Closed), 10x8-21 SRL-C, Natural Rubber"/>
    <m/>
    <m/>
    <m/>
    <m/>
    <m/>
    <s v=""/>
    <s v=""/>
    <s v=""/>
    <s v=""/>
  </r>
  <r>
    <n v="2"/>
    <s v="SO16813"/>
    <m/>
    <x v="0"/>
    <x v="1"/>
    <m/>
    <s v="Amanda Qiao"/>
    <n v="3"/>
    <n v="2025"/>
    <s v="INV12986"/>
    <n v="7"/>
    <n v="2025"/>
    <x v="1"/>
    <s v="AGM Inc."/>
    <s v="USD"/>
    <n v="19956.495994094497"/>
    <n v="13904.8"/>
    <x v="0"/>
    <n v="0"/>
    <n v="13904.8"/>
    <m/>
    <x v="0"/>
    <s v="Renewal"/>
    <m/>
    <s v=""/>
    <s v=""/>
    <n v="0.01"/>
    <s v=""/>
    <s v=""/>
    <s v=""/>
    <n v="139.048"/>
    <s v=""/>
    <s v="[W-SH075/C21] Shaft Sleeve, 10/8 to 14/12 ST-AH, 420SS Heat Treated, Hardened"/>
    <m/>
    <m/>
    <m/>
    <n v="2503"/>
    <m/>
    <s v=""/>
    <s v=""/>
    <n v="0"/>
    <s v=""/>
  </r>
  <r>
    <n v="2"/>
    <s v="SO16813"/>
    <m/>
    <x v="0"/>
    <x v="1"/>
    <m/>
    <n v="0"/>
    <n v="3"/>
    <n v="2025"/>
    <s v="INV12845"/>
    <n v="8"/>
    <n v="2025"/>
    <x v="1"/>
    <s v="AGM Inc."/>
    <s v="USD"/>
    <n v="0"/>
    <n v="0"/>
    <x v="1"/>
    <n v="0"/>
    <n v="0"/>
    <m/>
    <x v="0"/>
    <s v="Renewal"/>
    <m/>
    <s v=""/>
    <s v=""/>
    <n v="0.01"/>
    <s v=""/>
    <s v=""/>
    <s v=""/>
    <n v="0"/>
    <s v=""/>
    <s v="[W-SH075/C21] Shaft Sleeve, 10/8 to 14/12 ST-AH, 420SS Heat Treated, Hardened"/>
    <m/>
    <m/>
    <m/>
    <n v="2503"/>
    <m/>
    <s v=""/>
    <s v=""/>
    <n v="0"/>
    <s v=""/>
  </r>
  <r>
    <n v="1"/>
    <s v="SO16814"/>
    <m/>
    <x v="0"/>
    <x v="0"/>
    <m/>
    <s v="Ian Trottier"/>
    <n v="3"/>
    <n v="2025"/>
    <s v="INV12781"/>
    <n v="4"/>
    <n v="2025"/>
    <x v="0"/>
    <s v="Kumtor Gold Company"/>
    <s v="USD"/>
    <n v="7831.9305086640406"/>
    <n v="5473.35"/>
    <x v="0"/>
    <n v="0"/>
    <n v="5473.35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1"/>
    <s v="SO16815"/>
    <m/>
    <x v="0"/>
    <x v="0"/>
    <m/>
    <s v="Ian Trottier"/>
    <n v="3"/>
    <n v="2025"/>
    <s v="INV12814"/>
    <n v="5"/>
    <n v="2025"/>
    <x v="0"/>
    <s v="Canadian Bearings Ltd."/>
    <s v="CAD"/>
    <n v="2155.7800000000002"/>
    <n v="1505.6641489296369"/>
    <x v="0"/>
    <n v="0"/>
    <n v="1505.6641489296369"/>
    <m/>
    <x v="0"/>
    <m/>
    <m/>
    <s v=""/>
    <s v=""/>
    <s v=""/>
    <s v=""/>
    <s v=""/>
    <s v=""/>
    <s v=""/>
    <s v=""/>
    <s v="[AC-98-236-348-501] Packing Gland (2 Half/Set), Allis Chalmers PWO, Group 3 &amp; 4, 316SS"/>
    <m/>
    <m/>
    <m/>
    <m/>
    <m/>
    <s v=""/>
    <s v=""/>
    <s v=""/>
    <s v=""/>
  </r>
  <r>
    <n v="1"/>
    <s v="SO16816"/>
    <m/>
    <x v="0"/>
    <x v="0"/>
    <m/>
    <s v="Ian Trottier"/>
    <n v="3"/>
    <n v="2025"/>
    <s v="INV12778"/>
    <n v="5"/>
    <n v="2025"/>
    <x v="0"/>
    <s v="Canadian Bearings Ltd."/>
    <s v="CAD"/>
    <n v="160.08000000000001"/>
    <n v="111.99115447832716"/>
    <x v="0"/>
    <n v="0"/>
    <n v="111.99115447832716"/>
    <m/>
    <x v="0"/>
    <m/>
    <m/>
    <s v=""/>
    <s v=""/>
    <s v=""/>
    <s v=""/>
    <s v=""/>
    <s v=""/>
    <s v=""/>
    <s v=""/>
    <s v="[AC-98-430-807-163] Casing Gasket, 21&quot;, PWO Frame 3"/>
    <m/>
    <m/>
    <m/>
    <m/>
    <m/>
    <s v=""/>
    <s v=""/>
    <s v=""/>
    <s v=""/>
  </r>
  <r>
    <n v="1"/>
    <s v="SO16817"/>
    <m/>
    <x v="0"/>
    <x v="0"/>
    <m/>
    <s v="Amanda Qiao"/>
    <n v="3"/>
    <n v="2025"/>
    <s v="INV13007"/>
    <n v="7"/>
    <n v="2025"/>
    <x v="0"/>
    <s v="Hisco Pump Inc."/>
    <s v="USD"/>
    <n v="1995.3120069597298"/>
    <n v="1439.12"/>
    <x v="0"/>
    <n v="0"/>
    <n v="1439.12"/>
    <m/>
    <x v="0"/>
    <m/>
    <m/>
    <s v=""/>
    <s v=""/>
    <s v=""/>
    <s v=""/>
    <s v=""/>
    <s v=""/>
    <s v=""/>
    <s v=""/>
    <s v="[AC-98-233-404-001] Shaft Sleeve, 10x8-21 SRL-C (Old Style), Steel"/>
    <m/>
    <m/>
    <m/>
    <m/>
    <m/>
    <s v=""/>
    <s v=""/>
    <s v=""/>
    <s v=""/>
  </r>
  <r>
    <n v="1"/>
    <s v="SO16819"/>
    <m/>
    <x v="0"/>
    <x v="0"/>
    <m/>
    <s v="Jeff Bell"/>
    <n v="3"/>
    <n v="2025"/>
    <s v="INV12835"/>
    <n v="5"/>
    <n v="2025"/>
    <x v="0"/>
    <s v="Barrick Gold - Pueblo Viejo Dominicana Corporation"/>
    <s v="USD"/>
    <n v="29807.296648534691"/>
    <n v="20774"/>
    <x v="0"/>
    <n v="0"/>
    <n v="20774"/>
    <m/>
    <x v="0"/>
    <m/>
    <m/>
    <s v=""/>
    <s v=""/>
    <s v=""/>
    <s v=""/>
    <s v=""/>
    <s v=""/>
    <s v=""/>
    <s v=""/>
    <s v="[10JKH, 7-Vane Impeller, CD4MCu] Impeller, 10JKH, Double Keyed, w/Wear Ring"/>
    <m/>
    <m/>
    <m/>
    <m/>
    <m/>
    <s v=""/>
    <s v=""/>
    <s v=""/>
    <s v=""/>
  </r>
  <r>
    <n v="1"/>
    <s v="SO16821"/>
    <m/>
    <x v="0"/>
    <x v="0"/>
    <m/>
    <s v="Ian Trottier"/>
    <n v="3"/>
    <n v="2025"/>
    <s v="INV12976"/>
    <n v="6"/>
    <n v="2025"/>
    <x v="0"/>
    <s v="Canadian Bearings Ltd."/>
    <s v="CAD"/>
    <n v="270.35000000000002"/>
    <n v="188.36787185046947"/>
    <x v="0"/>
    <n v="0"/>
    <n v="188.36787185046947"/>
    <m/>
    <x v="0"/>
    <m/>
    <m/>
    <s v=""/>
    <s v=""/>
    <s v=""/>
    <s v=""/>
    <s v=""/>
    <s v=""/>
    <s v=""/>
    <s v=""/>
    <s v="[AC-98-232-857-801] Shim Set, A-C PWO-C Group 1, Plastic"/>
    <m/>
    <m/>
    <m/>
    <m/>
    <m/>
    <s v=""/>
    <s v=""/>
    <s v=""/>
    <s v=""/>
  </r>
  <r>
    <n v="1"/>
    <s v="SO16822"/>
    <m/>
    <x v="0"/>
    <x v="0"/>
    <m/>
    <s v="Ian Trottier"/>
    <n v="3"/>
    <n v="2025"/>
    <s v="INV12937"/>
    <n v="6"/>
    <n v="2025"/>
    <x v="0"/>
    <s v="Sealtrac Inc."/>
    <s v="CAD"/>
    <n v="4501.3500000000004"/>
    <n v="3250.4321028564359"/>
    <x v="0"/>
    <n v="0"/>
    <n v="3250.4321028564359"/>
    <m/>
    <x v="0"/>
    <m/>
    <m/>
    <s v=""/>
    <s v=""/>
    <s v=""/>
    <s v=""/>
    <s v=""/>
    <s v=""/>
    <s v=""/>
    <s v=""/>
    <s v="[DU-AY38913AA-316] Shaft Sleeve, Durco Mark 2&amp;3 Group 2, 316SS"/>
    <m/>
    <m/>
    <m/>
    <m/>
    <m/>
    <s v=""/>
    <s v=""/>
    <s v=""/>
    <s v=""/>
  </r>
  <r>
    <n v="1"/>
    <s v="SO16824"/>
    <m/>
    <x v="0"/>
    <x v="0"/>
    <m/>
    <s v="Ian Trottier"/>
    <n v="3"/>
    <n v="2025"/>
    <s v="INV12798"/>
    <n v="5"/>
    <n v="2025"/>
    <x v="0"/>
    <s v="Motion Industries Inc. (Canada) - Thunder Bay, Motion Industries Canada"/>
    <s v="CAD"/>
    <n v="546.22"/>
    <n v="381.49712467336474"/>
    <x v="0"/>
    <n v="0"/>
    <n v="381.49712467336474"/>
    <m/>
    <x v="0"/>
    <m/>
    <m/>
    <s v=""/>
    <s v=""/>
    <s v=""/>
    <s v=""/>
    <s v=""/>
    <s v=""/>
    <s v=""/>
    <s v=""/>
    <s v="[OLPWZ011009B, G-A04951A222] Bearing Isolator (Inboard), 3196 XLT/XLTi, 303SS Rotor / Bronze Stator w/Viton"/>
    <m/>
    <m/>
    <m/>
    <m/>
    <m/>
    <s v=""/>
    <s v=""/>
    <s v=""/>
    <s v=""/>
  </r>
  <r>
    <n v="1"/>
    <s v="SO16826"/>
    <m/>
    <x v="0"/>
    <x v="0"/>
    <m/>
    <s v="Ian Trottier"/>
    <n v="3"/>
    <n v="2025"/>
    <s v="INV12784"/>
    <n v="4"/>
    <n v="2025"/>
    <x v="0"/>
    <s v="Wajax Limited - Noranda"/>
    <s v="CAD"/>
    <n v="164.89"/>
    <n v="115.23348943170686"/>
    <x v="0"/>
    <n v="0"/>
    <n v="115.23348943170686"/>
    <m/>
    <x v="0"/>
    <m/>
    <m/>
    <s v=""/>
    <s v=""/>
    <s v=""/>
    <s v=""/>
    <s v=""/>
    <s v=""/>
    <s v=""/>
    <s v=""/>
    <s v="[AC-98-5414-HC7] Suction Side Plate Gasket, 5x4-14 SRL-C, Rubber, 3-Piece Design"/>
    <m/>
    <m/>
    <m/>
    <m/>
    <m/>
    <s v=""/>
    <s v=""/>
    <s v=""/>
    <s v=""/>
  </r>
  <r>
    <n v="1"/>
    <s v="SO16827"/>
    <m/>
    <x v="0"/>
    <x v="0"/>
    <m/>
    <s v="Ian Trottier"/>
    <n v="3"/>
    <n v="2025"/>
    <s v="INV12791"/>
    <n v="5"/>
    <n v="2025"/>
    <x v="0"/>
    <s v="Moffatt Supply &amp; Specialties - Red Lake"/>
    <s v="CAD"/>
    <n v="3197.94"/>
    <n v="2234.8825592409034"/>
    <x v="0"/>
    <n v="0"/>
    <n v="2234.8825592409034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1"/>
    <s v="SO16829"/>
    <m/>
    <x v="0"/>
    <x v="0"/>
    <m/>
    <s v="Ian Trottier"/>
    <n v="3"/>
    <n v="2025"/>
    <s v="INV12797"/>
    <n v="5"/>
    <n v="2025"/>
    <x v="0"/>
    <s v="Motion Industries Inc. (Canada) - Prince George"/>
    <s v="CAD"/>
    <n v="264.24"/>
    <n v="184.55347703066519"/>
    <x v="0"/>
    <n v="0"/>
    <n v="184.55347703066519"/>
    <m/>
    <x v="0"/>
    <m/>
    <m/>
    <s v=""/>
    <s v=""/>
    <s v=""/>
    <s v=""/>
    <s v=""/>
    <s v=""/>
    <s v=""/>
    <s v=""/>
    <s v="[W-D111] Premium Slurry Packing (Single Piece), 4/3 or 6/4 DH, Kevlar Fiber w/Silicon Core"/>
    <m/>
    <m/>
    <m/>
    <m/>
    <m/>
    <s v=""/>
    <s v=""/>
    <s v=""/>
    <s v=""/>
  </r>
  <r>
    <n v="1"/>
    <s v="SO16830"/>
    <m/>
    <x v="0"/>
    <x v="0"/>
    <m/>
    <s v="Ian Trottier"/>
    <n v="3"/>
    <n v="2025"/>
    <s v="INV12786"/>
    <n v="4"/>
    <n v="2025"/>
    <x v="0"/>
    <s v="Hyperflo"/>
    <s v="CAD"/>
    <n v="516.9"/>
    <n v="361.2359190202514"/>
    <x v="0"/>
    <n v="0"/>
    <n v="361.2359190202514"/>
    <m/>
    <x v="0"/>
    <m/>
    <m/>
    <s v=""/>
    <s v=""/>
    <s v=""/>
    <s v=""/>
    <s v=""/>
    <s v=""/>
    <s v=""/>
    <s v=""/>
    <s v="[AC-98-233-733-513] Deflector (Water Slinger), 8x6-18 &amp; 10x8-21 SRL-C, Neoprene/Steel"/>
    <m/>
    <m/>
    <m/>
    <m/>
    <m/>
    <s v=""/>
    <s v=""/>
    <s v=""/>
    <s v=""/>
  </r>
  <r>
    <n v="1"/>
    <s v="SO16833"/>
    <m/>
    <x v="0"/>
    <x v="0"/>
    <m/>
    <s v="Ian Trottier"/>
    <n v="3"/>
    <n v="2025"/>
    <s v="INV12785"/>
    <n v="4"/>
    <n v="2025"/>
    <x v="0"/>
    <s v="Hyperflo"/>
    <s v="CAD"/>
    <n v="344.6"/>
    <n v="241.71229398092726"/>
    <x v="0"/>
    <n v="0"/>
    <n v="241.71229398092726"/>
    <m/>
    <x v="0"/>
    <m/>
    <m/>
    <s v=""/>
    <s v=""/>
    <s v=""/>
    <s v=""/>
    <s v=""/>
    <s v=""/>
    <s v=""/>
    <s v=""/>
    <s v="[AC-98-233-733-513] Deflector (Water Slinger), 8x6-18 &amp; 10x8-21 SRL-C, Neoprene/Steel"/>
    <m/>
    <m/>
    <m/>
    <m/>
    <m/>
    <s v=""/>
    <s v=""/>
    <s v=""/>
    <s v=""/>
  </r>
  <r>
    <n v="2"/>
    <s v="SO16834"/>
    <m/>
    <x v="5"/>
    <x v="0"/>
    <m/>
    <s v="Wilka Nuñez"/>
    <n v="3"/>
    <n v="2025"/>
    <s v="INV12908"/>
    <n v="6"/>
    <n v="2025"/>
    <x v="1"/>
    <s v="Barrick Gold - Pueblo Viejo Dominicana Corporation"/>
    <s v="USD"/>
    <n v="57048.635802780322"/>
    <n v="39865.5"/>
    <x v="0"/>
    <n v="0"/>
    <n v="39865.5"/>
    <m/>
    <x v="1"/>
    <m/>
    <m/>
    <s v=""/>
    <n v="5.0000000000000001E-3"/>
    <s v=""/>
    <s v=""/>
    <s v=""/>
    <n v="199.32750000000001"/>
    <s v=""/>
    <s v=""/>
    <s v="[AM-MH150S12-15-CD4] Backplate, DW-ME6/6-12S, CD4MCu"/>
    <m/>
    <m/>
    <n v="2503"/>
    <m/>
    <m/>
    <s v=""/>
    <n v="0"/>
    <s v=""/>
    <s v=""/>
  </r>
  <r>
    <n v="2"/>
    <s v="SO16834"/>
    <m/>
    <x v="5"/>
    <x v="0"/>
    <m/>
    <n v="0"/>
    <n v="3"/>
    <n v="2025"/>
    <s v="INV12982"/>
    <n v="6"/>
    <n v="2025"/>
    <x v="1"/>
    <s v="Barrick Gold - Pueblo Viejo Dominicana Corporation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AM-MH150S12-06-CD4, L-P 6614S G0904 CD4 ZD] Shaft, DW-ME6/6-12S, CD4MCu"/>
    <m/>
    <m/>
    <n v="2503"/>
    <m/>
    <m/>
    <s v=""/>
    <n v="0"/>
    <s v=""/>
    <s v=""/>
  </r>
  <r>
    <n v="2"/>
    <s v="SO16835"/>
    <m/>
    <x v="0"/>
    <x v="0"/>
    <m/>
    <s v="Ian Trottier"/>
    <n v="3"/>
    <n v="2025"/>
    <s v="INV12825"/>
    <n v="4"/>
    <n v="2025"/>
    <x v="0"/>
    <s v="MAB Equipment Company Inc."/>
    <s v="USD"/>
    <n v="6611.1906801346231"/>
    <n v="4619.8900000000003"/>
    <x v="0"/>
    <n v="645"/>
    <n v="3974.8900000000003"/>
    <m/>
    <x v="0"/>
    <m/>
    <m/>
    <s v=""/>
    <s v=""/>
    <s v=""/>
    <s v=""/>
    <s v=""/>
    <s v=""/>
    <s v=""/>
    <s v=""/>
    <s v="[W-F6015M/E62] Cover Plate Bolt w/2 Nuts Metric, 8/6 E, F or R-AH"/>
    <m/>
    <m/>
    <m/>
    <m/>
    <m/>
    <s v=""/>
    <s v=""/>
    <s v=""/>
    <s v=""/>
  </r>
  <r>
    <n v="2"/>
    <s v="SO16835"/>
    <m/>
    <x v="0"/>
    <x v="0"/>
    <m/>
    <n v="0"/>
    <n v="3"/>
    <n v="2025"/>
    <s v="INV13129"/>
    <n v="6"/>
    <n v="2025"/>
    <x v="0"/>
    <s v="MAB Equipment Company Inc."/>
    <s v="USD"/>
    <n v="0"/>
    <n v="0"/>
    <x v="1"/>
    <n v="0"/>
    <n v="0"/>
    <m/>
    <x v="0"/>
    <m/>
    <m/>
    <s v=""/>
    <s v=""/>
    <s v=""/>
    <s v=""/>
    <s v=""/>
    <s v=""/>
    <s v=""/>
    <s v=""/>
    <s v="[W-D3147/U38] Impeller, 4/3 C or D-AH, Urethane"/>
    <m/>
    <m/>
    <m/>
    <m/>
    <m/>
    <s v=""/>
    <s v=""/>
    <s v=""/>
    <s v=""/>
  </r>
  <r>
    <n v="1"/>
    <s v="SO16836"/>
    <m/>
    <x v="0"/>
    <x v="0"/>
    <m/>
    <s v="Ian Trottier"/>
    <n v="3"/>
    <n v="2025"/>
    <s v="INV12790"/>
    <n v="4"/>
    <n v="2025"/>
    <x v="0"/>
    <s v="Wajax Limited - Noranda"/>
    <s v="CAD"/>
    <n v="2002.8"/>
    <n v="1398.8181342605819"/>
    <x v="0"/>
    <n v="0"/>
    <n v="1398.8181342605819"/>
    <m/>
    <x v="0"/>
    <m/>
    <m/>
    <s v=""/>
    <s v=""/>
    <s v=""/>
    <s v=""/>
    <s v=""/>
    <s v=""/>
    <s v=""/>
    <s v=""/>
    <s v="[AC-98-331-958-808] Shaft Sleeve, 5x4/5x5/6x6 SRL, 316SS"/>
    <m/>
    <m/>
    <m/>
    <m/>
    <m/>
    <s v=""/>
    <s v=""/>
    <s v=""/>
    <s v=""/>
  </r>
  <r>
    <n v="1"/>
    <s v="SO16837"/>
    <m/>
    <x v="0"/>
    <x v="0"/>
    <m/>
    <s v="Ian Trottier"/>
    <n v="3"/>
    <n v="2025"/>
    <s v="INV12789"/>
    <n v="4"/>
    <n v="2025"/>
    <x v="0"/>
    <s v="Wajax Limited - Noranda"/>
    <s v="CAD"/>
    <n v="3099.56"/>
    <n v="2174.1200172127765"/>
    <x v="0"/>
    <n v="0"/>
    <n v="2174.1200172127765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1"/>
    <s v="SO16839"/>
    <m/>
    <x v="0"/>
    <x v="0"/>
    <m/>
    <s v="Ian Trottier"/>
    <n v="3"/>
    <n v="2025"/>
    <s v="INV12927"/>
    <n v="6"/>
    <n v="2025"/>
    <x v="0"/>
    <s v="Hyperflo"/>
    <s v="CAD"/>
    <n v="2071.7800000000002"/>
    <n v="1446.9959228072635"/>
    <x v="0"/>
    <n v="0"/>
    <n v="1446.9959228072635"/>
    <m/>
    <x v="0"/>
    <m/>
    <m/>
    <s v=""/>
    <s v=""/>
    <s v=""/>
    <s v=""/>
    <s v=""/>
    <s v=""/>
    <s v=""/>
    <s v=""/>
    <s v="[AC-98-431-743-501] Shaft Assembly, 10x8-21 SRL-C, 1045 Steel"/>
    <m/>
    <m/>
    <m/>
    <m/>
    <m/>
    <s v=""/>
    <s v=""/>
    <s v=""/>
    <s v=""/>
  </r>
  <r>
    <n v="1"/>
    <s v="SO16840"/>
    <m/>
    <x v="0"/>
    <x v="0"/>
    <m/>
    <s v="Amanda Qiao"/>
    <n v="3"/>
    <n v="2025"/>
    <s v="INV12834"/>
    <n v="5"/>
    <n v="2025"/>
    <x v="0"/>
    <s v="Barrick Gold - Pueblo Viejo Dominicana Corporation"/>
    <s v="USD"/>
    <n v="19780.634545922367"/>
    <n v="13823.71"/>
    <x v="0"/>
    <n v="0"/>
    <n v="13823.71"/>
    <m/>
    <x v="0"/>
    <m/>
    <m/>
    <s v=""/>
    <s v=""/>
    <s v=""/>
    <s v=""/>
    <s v=""/>
    <s v=""/>
    <s v=""/>
    <s v=""/>
    <s v="[37230] Sleeve Bearing (Bowl), ThorPlas-Blue, HPCW"/>
    <m/>
    <m/>
    <m/>
    <m/>
    <m/>
    <s v=""/>
    <s v=""/>
    <s v=""/>
    <s v=""/>
  </r>
  <r>
    <n v="1"/>
    <s v="SO16842"/>
    <m/>
    <x v="0"/>
    <x v="0"/>
    <m/>
    <s v="Ian Trottier"/>
    <n v="3"/>
    <n v="2025"/>
    <s v="INV12810"/>
    <n v="5"/>
    <n v="2025"/>
    <x v="0"/>
    <s v="Tantalum Mining Corporation of Canada"/>
    <s v="CAD"/>
    <n v="861.07"/>
    <n v="599.95532981055578"/>
    <x v="0"/>
    <n v="0"/>
    <n v="599.95532981055578"/>
    <m/>
    <x v="0"/>
    <m/>
    <m/>
    <s v=""/>
    <s v=""/>
    <s v=""/>
    <s v=""/>
    <s v=""/>
    <s v=""/>
    <s v=""/>
    <s v=""/>
    <s v="[AC-98-236-104-001] Shaft Sleeve, 8x6-18 &amp; 10x8-21 SRL-C, Steel"/>
    <m/>
    <m/>
    <m/>
    <m/>
    <m/>
    <s v=""/>
    <s v=""/>
    <s v=""/>
    <s v=""/>
  </r>
  <r>
    <n v="2"/>
    <s v="SO16844"/>
    <m/>
    <x v="0"/>
    <x v="0"/>
    <m/>
    <s v="Ian Trottier"/>
    <n v="3"/>
    <n v="2025"/>
    <s v="INV12824"/>
    <s v=""/>
    <s v=""/>
    <x v="0"/>
    <s v="Kumtor Gold Company"/>
    <s v="USD"/>
    <n v="1698.1058482378539"/>
    <n v="1191.0999999999999"/>
    <x v="1"/>
    <n v="0"/>
    <n v="0"/>
    <m/>
    <x v="0"/>
    <m/>
    <m/>
    <s v=""/>
    <s v=""/>
    <s v=""/>
    <s v=""/>
    <s v=""/>
    <s v=""/>
    <s v=""/>
    <s v=""/>
    <s v="[W-C2127/R55] Impeller, 3/2 C-AH, Natural Rubber"/>
    <m/>
    <m/>
    <m/>
    <m/>
    <m/>
    <s v=""/>
    <s v=""/>
    <s v=""/>
    <s v=""/>
  </r>
  <r>
    <n v="2"/>
    <s v="SO16844"/>
    <m/>
    <x v="0"/>
    <x v="0"/>
    <m/>
    <n v="0"/>
    <n v="3"/>
    <n v="2025"/>
    <s v="INV12918"/>
    <n v="5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W-C2036HS1/R55] Frame Plate Liner (Hi-Seal), 3/2 C-AH, Natural Rubber"/>
    <m/>
    <m/>
    <m/>
    <m/>
    <m/>
    <s v=""/>
    <s v=""/>
    <s v=""/>
    <s v=""/>
  </r>
  <r>
    <n v="1"/>
    <s v="SO16846"/>
    <m/>
    <x v="0"/>
    <x v="0"/>
    <m/>
    <s v="Taylor Cook"/>
    <n v="3"/>
    <n v="2025"/>
    <s v="INV12974"/>
    <n v="6"/>
    <n v="2025"/>
    <x v="0"/>
    <s v="Canadian Bearings Ltd."/>
    <s v="CAD"/>
    <n v="2041.05"/>
    <n v="1417.8902149658172"/>
    <x v="0"/>
    <n v="0"/>
    <n v="1417.8902149658172"/>
    <m/>
    <x v="0"/>
    <m/>
    <m/>
    <s v=""/>
    <s v=""/>
    <s v=""/>
    <s v=""/>
    <s v=""/>
    <s v=""/>
    <s v=""/>
    <s v=""/>
    <s v="[AC-98-233-017-003] Shaft Sleeve, PWO Frame 3&amp;4, 316SS"/>
    <m/>
    <m/>
    <m/>
    <m/>
    <m/>
    <s v=""/>
    <s v=""/>
    <s v=""/>
    <s v=""/>
  </r>
  <r>
    <n v="1"/>
    <s v="SO16847"/>
    <m/>
    <x v="0"/>
    <x v="0"/>
    <m/>
    <s v="Yannett Yeomans"/>
    <n v="3"/>
    <n v="2025"/>
    <s v="INV13115"/>
    <s v=""/>
    <s v=""/>
    <x v="0"/>
    <s v="Dynapro Pumps México S de RL de CV"/>
    <s v="USD"/>
    <n v="3227.6984639497118"/>
    <n v="2264"/>
    <x v="1"/>
    <n v="0"/>
    <n v="0"/>
    <m/>
    <x v="0"/>
    <m/>
    <m/>
    <s v=""/>
    <s v=""/>
    <s v=""/>
    <s v=""/>
    <s v=""/>
    <s v=""/>
    <s v=""/>
    <s v=""/>
    <s v="[W-SP10116-1/R55] Upper Strainer, 100RV-SP, Natural Rubber"/>
    <m/>
    <m/>
    <m/>
    <m/>
    <m/>
    <s v=""/>
    <s v=""/>
    <s v=""/>
    <s v=""/>
  </r>
  <r>
    <n v="2"/>
    <s v="SO16848"/>
    <m/>
    <x v="0"/>
    <x v="0"/>
    <m/>
    <s v="Ian Trottier"/>
    <n v="3"/>
    <n v="2025"/>
    <s v="INV12805"/>
    <n v="5"/>
    <n v="2025"/>
    <x v="0"/>
    <s v="Sling-Choker Manufacturing - Timmins"/>
    <s v="CAD"/>
    <n v="343.22"/>
    <n v="239.71557821096312"/>
    <x v="0"/>
    <n v="0"/>
    <n v="239.71557821096312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2"/>
    <s v="SO16848"/>
    <m/>
    <x v="0"/>
    <x v="0"/>
    <m/>
    <n v="0"/>
    <n v="3"/>
    <n v="2025"/>
    <s v="INV12900"/>
    <n v="5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52-431-816-110] Casing Gasket, 19&quot;, Goulds PS+, F23A1"/>
    <m/>
    <m/>
    <m/>
    <m/>
    <m/>
    <s v=""/>
    <s v=""/>
    <s v=""/>
    <s v=""/>
  </r>
  <r>
    <n v="1"/>
    <s v="SO16850"/>
    <m/>
    <x v="0"/>
    <x v="0"/>
    <m/>
    <s v="Ian Trottier"/>
    <n v="3"/>
    <n v="2025"/>
    <s v="INV12818"/>
    <n v="5"/>
    <n v="2025"/>
    <x v="0"/>
    <s v="Motion Industries Inc. (Canada) - Prince George"/>
    <s v="CAD"/>
    <n v="1027.3399999999999"/>
    <n v="719.15643069746181"/>
    <x v="0"/>
    <n v="0"/>
    <n v="719.15643069746181"/>
    <m/>
    <x v="0"/>
    <m/>
    <m/>
    <s v=""/>
    <s v=""/>
    <s v=""/>
    <s v=""/>
    <s v=""/>
    <s v=""/>
    <s v=""/>
    <s v=""/>
    <s v="[M48x200MM 8.8GR] Throatbush Set Screw - Pusher, 650 MCR"/>
    <m/>
    <m/>
    <m/>
    <m/>
    <m/>
    <s v=""/>
    <s v=""/>
    <s v=""/>
    <s v=""/>
  </r>
  <r>
    <n v="1"/>
    <s v="SO16853"/>
    <m/>
    <x v="0"/>
    <x v="0"/>
    <m/>
    <s v="Ian Trottier"/>
    <n v="3"/>
    <n v="2025"/>
    <s v="INV12806"/>
    <n v="5"/>
    <n v="2025"/>
    <x v="0"/>
    <s v="Sling-Choker Manufacturing - Timmins"/>
    <s v="CAD"/>
    <n v="5557.87"/>
    <n v="3890.9580740428664"/>
    <x v="0"/>
    <n v="0"/>
    <n v="3890.9580740428664"/>
    <m/>
    <x v="0"/>
    <m/>
    <m/>
    <s v=""/>
    <s v=""/>
    <s v=""/>
    <s v=""/>
    <s v=""/>
    <s v=""/>
    <s v=""/>
    <s v=""/>
    <s v="[AC-98-231-115-501] Suction Side Liner, 5x4-14 SRL-C, Natural Rubber"/>
    <m/>
    <m/>
    <m/>
    <m/>
    <m/>
    <s v=""/>
    <s v=""/>
    <s v=""/>
    <s v=""/>
  </r>
  <r>
    <n v="1"/>
    <s v="SO16856"/>
    <m/>
    <x v="0"/>
    <x v="0"/>
    <m/>
    <s v="Ian Trottier"/>
    <n v="3"/>
    <n v="2025"/>
    <s v="INV12893"/>
    <n v="5"/>
    <n v="2025"/>
    <x v="0"/>
    <s v="Motion Industries Inc. (Canada) - Thunder Bay"/>
    <s v="CAD"/>
    <n v="1465.07"/>
    <n v="1025.6673771675091"/>
    <x v="0"/>
    <n v="0"/>
    <n v="1025.6673771675091"/>
    <m/>
    <x v="0"/>
    <m/>
    <m/>
    <s v=""/>
    <s v=""/>
    <s v=""/>
    <s v=""/>
    <s v=""/>
    <s v=""/>
    <s v=""/>
    <s v=""/>
    <s v="[G-C04110A01 1203] Stuffing Box Cover, 10&quot;, 3196 MTX, 316SS, VPE Enlarged Taper Bore"/>
    <m/>
    <m/>
    <m/>
    <m/>
    <m/>
    <s v=""/>
    <s v=""/>
    <s v=""/>
    <s v=""/>
  </r>
  <r>
    <n v="1"/>
    <s v="SO16860"/>
    <m/>
    <x v="0"/>
    <x v="0"/>
    <m/>
    <s v="Ian Trottier"/>
    <n v="3"/>
    <n v="2025"/>
    <s v="INV12827"/>
    <n v="5"/>
    <n v="2025"/>
    <x v="0"/>
    <s v="Motion Industries Inc. (Canada) - Chicoutimi, Motion Industries Inc. (Canada) - Chicoutimi"/>
    <s v="CAD"/>
    <n v="149.68"/>
    <n v="105.44962868003657"/>
    <x v="0"/>
    <n v="0"/>
    <n v="105.44962868003657"/>
    <m/>
    <x v="0"/>
    <m/>
    <m/>
    <s v=""/>
    <s v=""/>
    <s v=""/>
    <s v=""/>
    <s v=""/>
    <s v=""/>
    <s v=""/>
    <s v=""/>
    <s v="[AC-52-235-695-005] Oil Slinger, Allis Chalmers CSO, Steel"/>
    <m/>
    <m/>
    <m/>
    <m/>
    <m/>
    <s v=""/>
    <s v=""/>
    <s v=""/>
    <s v=""/>
  </r>
  <r>
    <n v="1"/>
    <s v="SO16865"/>
    <m/>
    <x v="0"/>
    <x v="0"/>
    <m/>
    <s v="Ian Trottier"/>
    <n v="3"/>
    <n v="2025"/>
    <s v="INV12857"/>
    <n v="6"/>
    <n v="2025"/>
    <x v="0"/>
    <s v="Tech-Flow"/>
    <s v="USD"/>
    <n v="3654.6503093603656"/>
    <n v="2551.98"/>
    <x v="0"/>
    <n v="0"/>
    <n v="2551.98"/>
    <m/>
    <x v="0"/>
    <m/>
    <m/>
    <s v=""/>
    <s v=""/>
    <s v=""/>
    <s v=""/>
    <s v=""/>
    <s v=""/>
    <s v=""/>
    <s v=""/>
    <s v="[SA-016628-M1] Casing, 44 WFR, Sala ST, Rubber Lined"/>
    <m/>
    <m/>
    <m/>
    <m/>
    <m/>
    <s v=""/>
    <s v=""/>
    <s v=""/>
    <s v=""/>
  </r>
  <r>
    <n v="1"/>
    <s v="SO16866"/>
    <m/>
    <x v="0"/>
    <x v="0"/>
    <m/>
    <s v="Ian Trottier"/>
    <n v="3"/>
    <n v="2025"/>
    <s v="INV12882"/>
    <n v="6"/>
    <n v="2025"/>
    <x v="0"/>
    <s v="Resolute Forest Products - Saint-Felicien"/>
    <s v="CAD"/>
    <n v="625.44000000000005"/>
    <n v="440.38606479616055"/>
    <x v="0"/>
    <n v="0"/>
    <n v="440.38606479616055"/>
    <m/>
    <x v="0"/>
    <m/>
    <m/>
    <s v=""/>
    <s v=""/>
    <s v=""/>
    <s v=""/>
    <s v=""/>
    <s v=""/>
    <s v=""/>
    <s v=""/>
    <s v="[AC-52-108-475-013] Deflector (Outboard), Allis-Chalmers PWO, Group 2"/>
    <m/>
    <m/>
    <m/>
    <m/>
    <m/>
    <s v=""/>
    <s v=""/>
    <s v=""/>
    <s v=""/>
  </r>
  <r>
    <n v="1"/>
    <s v="SO16867"/>
    <m/>
    <x v="0"/>
    <x v="0"/>
    <m/>
    <s v="Ian Trottier"/>
    <n v="3"/>
    <n v="2025"/>
    <s v="INV12809"/>
    <n v="5"/>
    <n v="2025"/>
    <x v="0"/>
    <s v="Resolute Forest Products - Saint-Felicien"/>
    <s v="CAD"/>
    <n v="301.76"/>
    <n v="210.2529647109217"/>
    <x v="0"/>
    <n v="0"/>
    <n v="210.2529647109217"/>
    <m/>
    <x v="0"/>
    <m/>
    <m/>
    <s v=""/>
    <s v=""/>
    <s v=""/>
    <s v=""/>
    <s v=""/>
    <s v=""/>
    <s v=""/>
    <s v=""/>
    <s v="[AC-52-108-475-012] Deflector (Inboard), Allis-Chalmers PWO, Group 2"/>
    <m/>
    <m/>
    <m/>
    <m/>
    <m/>
    <s v=""/>
    <s v=""/>
    <s v=""/>
    <s v=""/>
  </r>
  <r>
    <n v="1"/>
    <s v="SO16868"/>
    <m/>
    <x v="0"/>
    <x v="0"/>
    <m/>
    <s v="Ian Trottier"/>
    <n v="3"/>
    <n v="2025"/>
    <s v="INV12885"/>
    <n v="6"/>
    <n v="2025"/>
    <x v="0"/>
    <s v="PT Vale Indonesia Tbk."/>
    <s v="USD"/>
    <n v="416.39281026874033"/>
    <n v="290.76"/>
    <x v="0"/>
    <n v="0"/>
    <n v="290.76"/>
    <m/>
    <x v="0"/>
    <m/>
    <m/>
    <s v=""/>
    <s v=""/>
    <s v=""/>
    <s v=""/>
    <s v=""/>
    <s v=""/>
    <s v=""/>
    <s v=""/>
    <s v="[G-67868-211-212 5108] Gasket Material (2 Piece Set), Armstrong Syntheseal N-8090, 16&quot; x 17 3/4&quot;"/>
    <m/>
    <m/>
    <m/>
    <m/>
    <m/>
    <s v=""/>
    <s v=""/>
    <s v=""/>
    <s v=""/>
  </r>
  <r>
    <n v="1"/>
    <s v="SO16870"/>
    <m/>
    <x v="0"/>
    <x v="0"/>
    <m/>
    <s v="Amanda Qiao"/>
    <n v="4"/>
    <n v="2025"/>
    <s v="INV12871"/>
    <n v="5"/>
    <n v="2025"/>
    <x v="0"/>
    <s v="Mill-Right Mine Services Inc."/>
    <s v="USD"/>
    <n v="20860.686811386335"/>
    <n v="14534.8"/>
    <x v="0"/>
    <n v="0"/>
    <n v="14534.8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m/>
    <m/>
    <m/>
    <m/>
    <m/>
    <s v=""/>
    <s v=""/>
    <s v=""/>
    <s v=""/>
  </r>
  <r>
    <n v="2"/>
    <s v="SO16874"/>
    <m/>
    <x v="1"/>
    <x v="0"/>
    <m/>
    <s v="Ian Trottier"/>
    <n v="4"/>
    <n v="2025"/>
    <s v="INV12963"/>
    <n v="6"/>
    <n v="2025"/>
    <x v="1"/>
    <s v="MAB Equipment Company Inc."/>
    <s v="USD"/>
    <n v="8484.1057146154453"/>
    <n v="6126.92"/>
    <x v="0"/>
    <n v="695"/>
    <n v="5431.92"/>
    <m/>
    <x v="2"/>
    <m/>
    <m/>
    <s v=""/>
    <n v="0.02"/>
    <s v=""/>
    <s v=""/>
    <s v=""/>
    <n v="108.6384"/>
    <s v=""/>
    <s v=""/>
    <s v="[W-D026M/E62] Liner Stud w/Nut, 4/3 C or D-AH, Metric"/>
    <n v="108.6384"/>
    <m/>
    <m/>
    <m/>
    <m/>
    <s v=""/>
    <n v="108.6384"/>
    <s v=""/>
    <s v=""/>
  </r>
  <r>
    <n v="2"/>
    <s v="SO16874"/>
    <m/>
    <x v="1"/>
    <x v="0"/>
    <m/>
    <n v="0"/>
    <n v="4"/>
    <n v="2025"/>
    <s v="INV13301"/>
    <n v="9"/>
    <n v="2025"/>
    <x v="1"/>
    <s v="MAB Equipment Company Inc."/>
    <s v="USD"/>
    <n v="0"/>
    <n v="0"/>
    <x v="1"/>
    <n v="698"/>
    <n v="0"/>
    <m/>
    <x v="2"/>
    <m/>
    <m/>
    <s v=""/>
    <n v="0.02"/>
    <s v=""/>
    <s v=""/>
    <s v=""/>
    <n v="0"/>
    <s v=""/>
    <s v=""/>
    <s v="[W-C076/C21] Shaft Sleeve (Long), 4/3 C-AH, 420SS"/>
    <n v="0"/>
    <m/>
    <m/>
    <m/>
    <m/>
    <s v=""/>
    <n v="0"/>
    <s v=""/>
    <s v=""/>
  </r>
  <r>
    <n v="1"/>
    <s v="SO16875"/>
    <m/>
    <x v="0"/>
    <x v="0"/>
    <m/>
    <s v="Ian Trottier"/>
    <n v="4"/>
    <n v="2025"/>
    <s v="INV12906"/>
    <n v="4"/>
    <n v="2025"/>
    <x v="0"/>
    <s v="Pompaction Inc."/>
    <s v="CAD"/>
    <n v="1640.55"/>
    <n v="1146.4138467937316"/>
    <x v="0"/>
    <n v="0"/>
    <n v="1146.4138467937316"/>
    <m/>
    <x v="0"/>
    <m/>
    <m/>
    <s v=""/>
    <s v=""/>
    <s v=""/>
    <s v=""/>
    <s v=""/>
    <s v=""/>
    <s v=""/>
    <s v=""/>
    <s v="[AC-98-234-109-001] Sleeve Spacer, 2x2-10 SRL, Steel"/>
    <m/>
    <m/>
    <m/>
    <m/>
    <m/>
    <s v=""/>
    <s v=""/>
    <s v=""/>
    <s v=""/>
  </r>
  <r>
    <n v="1"/>
    <s v="SO16876"/>
    <m/>
    <x v="0"/>
    <x v="0"/>
    <m/>
    <s v="Ian Trottier"/>
    <n v="4"/>
    <n v="2025"/>
    <s v="INV12815"/>
    <n v="5"/>
    <n v="2025"/>
    <x v="0"/>
    <s v="Moffatt Supply &amp; Specialties - Red Lake"/>
    <s v="CAD"/>
    <n v="1904.9"/>
    <n v="1323.3086257016662"/>
    <x v="0"/>
    <n v="0"/>
    <n v="1323.3086257016662"/>
    <m/>
    <x v="0"/>
    <m/>
    <m/>
    <s v=""/>
    <s v=""/>
    <s v=""/>
    <s v=""/>
    <s v=""/>
    <s v=""/>
    <s v=""/>
    <s v=""/>
    <s v="[AC-98-330-307-501] Impeller (Closed), 3x3-10 SRL-C, Natural Rubber"/>
    <m/>
    <m/>
    <m/>
    <m/>
    <m/>
    <s v=""/>
    <s v=""/>
    <s v=""/>
    <s v=""/>
  </r>
  <r>
    <n v="1"/>
    <s v="SO16879"/>
    <m/>
    <x v="0"/>
    <x v="0"/>
    <m/>
    <s v="Ian Trottier"/>
    <n v="4"/>
    <n v="2025"/>
    <s v="INV12894"/>
    <n v="5"/>
    <n v="2025"/>
    <x v="0"/>
    <s v="Motion Industries Inc. (Canada) - Ottawa"/>
    <s v="CAD"/>
    <n v="201.87"/>
    <n v="144.67251352655083"/>
    <x v="0"/>
    <n v="0"/>
    <n v="144.67251352655083"/>
    <m/>
    <x v="0"/>
    <m/>
    <m/>
    <s v=""/>
    <s v=""/>
    <s v=""/>
    <s v=""/>
    <s v=""/>
    <s v=""/>
    <s v=""/>
    <s v=""/>
    <s v="[DU-BY50424B-TSSR] Oil Seal (Outboard), Durco Mark 2&amp;3 Group 1, Teflon/Stainless Steel/Rubber"/>
    <m/>
    <m/>
    <m/>
    <m/>
    <m/>
    <s v=""/>
    <s v=""/>
    <s v=""/>
    <s v=""/>
  </r>
  <r>
    <n v="2"/>
    <s v="SO16881"/>
    <m/>
    <x v="0"/>
    <x v="0"/>
    <m/>
    <s v="Ian Trottier"/>
    <n v="4"/>
    <n v="2025"/>
    <s v="INV12881"/>
    <n v="5"/>
    <n v="2025"/>
    <x v="0"/>
    <s v="Sling-Choker Manufacturing - Timmins"/>
    <s v="CAD"/>
    <n v="4854.8"/>
    <n v="3412.7976324864967"/>
    <x v="0"/>
    <n v="0"/>
    <n v="3412.7976324864967"/>
    <m/>
    <x v="0"/>
    <m/>
    <m/>
    <s v=""/>
    <s v=""/>
    <s v=""/>
    <s v=""/>
    <s v=""/>
    <s v=""/>
    <s v=""/>
    <s v=""/>
    <s v="[AC-98-233-700-001] Bearing Cover Gasket (Inboard &amp; Outboard), 8x6-18 &amp; 10x8-21 SRL-C"/>
    <m/>
    <m/>
    <m/>
    <m/>
    <m/>
    <s v=""/>
    <s v=""/>
    <s v=""/>
    <s v=""/>
  </r>
  <r>
    <n v="2"/>
    <s v="SO16881"/>
    <m/>
    <x v="0"/>
    <x v="0"/>
    <m/>
    <n v="0"/>
    <n v="4"/>
    <n v="2025"/>
    <s v="INV13022"/>
    <n v="6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230-834-001] Water Seal Bushing, 16x14-34 SRL-C"/>
    <m/>
    <m/>
    <m/>
    <m/>
    <m/>
    <s v=""/>
    <s v=""/>
    <s v=""/>
    <s v=""/>
  </r>
  <r>
    <n v="1"/>
    <s v="SO16882"/>
    <m/>
    <x v="0"/>
    <x v="0"/>
    <m/>
    <s v="Ian Trottier"/>
    <n v="4"/>
    <n v="2025"/>
    <s v="INV12819"/>
    <n v="5"/>
    <n v="2025"/>
    <x v="0"/>
    <s v="Cameco Corporation - Blind River Refinery"/>
    <s v="CAD"/>
    <n v="678.84"/>
    <n v="486.49868272830912"/>
    <x v="0"/>
    <n v="0"/>
    <n v="486.49868272830912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6884"/>
    <s v="Pierre D"/>
    <x v="5"/>
    <x v="0"/>
    <m/>
    <s v="Wilka Nuñez"/>
    <n v="4"/>
    <n v="2025"/>
    <s v="INV13122"/>
    <n v="7"/>
    <n v="2025"/>
    <x v="1"/>
    <s v="Barrick Gold - Pueblo Viejo Dominicana Corporation"/>
    <s v="USD"/>
    <n v="53490.450380327929"/>
    <n v="38507.360000000001"/>
    <x v="0"/>
    <n v="0"/>
    <n v="38507.360000000001"/>
    <m/>
    <x v="0"/>
    <m/>
    <m/>
    <s v=""/>
    <s v=""/>
    <s v=""/>
    <s v=""/>
    <s v=""/>
    <s v=""/>
    <s v=""/>
    <s v=""/>
    <s v="Mag Drive Gear Pump, Micropump GLH-H25, With Motor"/>
    <m/>
    <m/>
    <m/>
    <m/>
    <m/>
    <s v=""/>
    <s v=""/>
    <s v=""/>
    <s v=""/>
  </r>
  <r>
    <n v="1"/>
    <s v="SO16885"/>
    <m/>
    <x v="0"/>
    <x v="0"/>
    <m/>
    <s v="Ian Trottier"/>
    <n v="4"/>
    <n v="2025"/>
    <s v="INV13098"/>
    <n v="8"/>
    <n v="2025"/>
    <x v="0"/>
    <s v="Thunder Bay Pulp and Paper Inc"/>
    <s v="CAD"/>
    <n v="32959.279999999999"/>
    <n v="23207.354210979145"/>
    <x v="0"/>
    <n v="0"/>
    <n v="23207.354210979145"/>
    <m/>
    <x v="0"/>
    <m/>
    <m/>
    <s v=""/>
    <s v=""/>
    <s v=""/>
    <s v=""/>
    <s v=""/>
    <s v=""/>
    <s v=""/>
    <s v=""/>
    <s v="[AC-98-432-073-005P] Impeller, 12x10-17, PWO, 4-Vane, 317SS"/>
    <m/>
    <m/>
    <m/>
    <m/>
    <m/>
    <s v=""/>
    <s v=""/>
    <s v=""/>
    <s v=""/>
  </r>
  <r>
    <n v="2"/>
    <s v="SO16888"/>
    <m/>
    <x v="1"/>
    <x v="0"/>
    <m/>
    <s v="Ian Trottier"/>
    <n v="4"/>
    <n v="2025"/>
    <s v="INV12829"/>
    <n v="4"/>
    <n v="2025"/>
    <x v="1"/>
    <s v="Mertec Engineering"/>
    <s v="USD"/>
    <n v="27268.948828934303"/>
    <n v="19055.5"/>
    <x v="0"/>
    <n v="743"/>
    <n v="18312.5"/>
    <m/>
    <x v="1"/>
    <m/>
    <m/>
    <s v=""/>
    <n v="5.0000000000000001E-3"/>
    <s v=""/>
    <s v=""/>
    <s v=""/>
    <n v="91.5625"/>
    <s v=""/>
    <s v=""/>
    <s v="[AC-98-332-251-504] Suction Wear Plate, 12x10-25 SRL-C, Urethane"/>
    <n v="91.5625"/>
    <m/>
    <m/>
    <m/>
    <m/>
    <s v=""/>
    <n v="91.5625"/>
    <s v=""/>
    <s v=""/>
  </r>
  <r>
    <n v="2"/>
    <s v="SO16888"/>
    <m/>
    <x v="1"/>
    <x v="0"/>
    <m/>
    <n v="0"/>
    <n v="4"/>
    <n v="2025"/>
    <s v="INV13216"/>
    <n v="7"/>
    <n v="2025"/>
    <x v="1"/>
    <s v="Mertec Engineering"/>
    <s v="USD"/>
    <n v="0"/>
    <n v="0"/>
    <x v="1"/>
    <n v="690"/>
    <n v="0"/>
    <m/>
    <x v="1"/>
    <m/>
    <m/>
    <s v=""/>
    <n v="5.0000000000000001E-3"/>
    <s v=""/>
    <s v=""/>
    <s v=""/>
    <n v="0"/>
    <s v=""/>
    <s v=""/>
    <s v="[AC-98-234-903-504] Suction Side Liner, 12x10-25 SRL-C, Urethane"/>
    <n v="0"/>
    <m/>
    <m/>
    <m/>
    <m/>
    <s v=""/>
    <n v="0"/>
    <s v=""/>
    <s v=""/>
  </r>
  <r>
    <n v="1"/>
    <s v="SO16903"/>
    <m/>
    <x v="0"/>
    <x v="0"/>
    <m/>
    <s v="Ian Trottier"/>
    <n v="4"/>
    <n v="2025"/>
    <s v="INV12843"/>
    <n v="5"/>
    <n v="2025"/>
    <x v="0"/>
    <s v="Motion Industries Inc. (Canada) - Scarborough"/>
    <s v="CAD"/>
    <n v="168.53"/>
    <n v="118.66568096075871"/>
    <x v="0"/>
    <n v="0"/>
    <n v="118.66568096075871"/>
    <m/>
    <x v="0"/>
    <m/>
    <m/>
    <s v=""/>
    <s v=""/>
    <s v=""/>
    <s v=""/>
    <s v=""/>
    <s v=""/>
    <s v=""/>
    <s v=""/>
    <s v="[G-76772X 2229] Shaft Sleeve, 3196 STX, 316SS"/>
    <m/>
    <m/>
    <m/>
    <m/>
    <m/>
    <s v=""/>
    <s v=""/>
    <s v=""/>
    <s v=""/>
  </r>
  <r>
    <n v="3"/>
    <s v="SO16918"/>
    <m/>
    <x v="0"/>
    <x v="0"/>
    <m/>
    <s v="Wilka Nuñez"/>
    <n v="4"/>
    <n v="2025"/>
    <s v="INV13121"/>
    <n v="7"/>
    <n v="2025"/>
    <x v="0"/>
    <s v="Barrick Gold - Pueblo Viejo Dominicana Corporation"/>
    <s v="USD"/>
    <n v="52513.420293417817"/>
    <n v="38432.82"/>
    <x v="0"/>
    <n v="0"/>
    <n v="38432.82"/>
    <m/>
    <x v="0"/>
    <m/>
    <m/>
    <s v=""/>
    <s v=""/>
    <s v=""/>
    <s v=""/>
    <s v=""/>
    <s v=""/>
    <s v=""/>
    <s v=""/>
    <s v="[AM-HH200C21-07-316SS] Wear Ring, DW-AE8/6-21W, 316SS"/>
    <m/>
    <m/>
    <m/>
    <m/>
    <m/>
    <s v=""/>
    <s v=""/>
    <s v=""/>
    <s v=""/>
  </r>
  <r>
    <n v="3"/>
    <s v="SO16918"/>
    <m/>
    <x v="0"/>
    <x v="0"/>
    <m/>
    <n v="0"/>
    <n v="4"/>
    <n v="2025"/>
    <s v="INV13251"/>
    <s v=""/>
    <s v="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AM-HH200C21-11] Gasket, Casing, DW-AE8/6-21W, Aramid Fiber"/>
    <m/>
    <m/>
    <m/>
    <m/>
    <m/>
    <s v=""/>
    <s v=""/>
    <s v=""/>
    <s v=""/>
  </r>
  <r>
    <n v="3"/>
    <s v="SO16918"/>
    <m/>
    <x v="0"/>
    <x v="0"/>
    <m/>
    <n v="0"/>
    <n v="4"/>
    <n v="2025"/>
    <s v="INV13475"/>
    <n v="12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AM-HH200C21-BLT] Diesel Engine Belt, QSC8.3-C260, DW-AE8/6-21W"/>
    <m/>
    <m/>
    <m/>
    <m/>
    <m/>
    <s v=""/>
    <s v=""/>
    <s v=""/>
    <s v=""/>
  </r>
  <r>
    <n v="1"/>
    <s v="SO16923"/>
    <m/>
    <x v="3"/>
    <x v="0"/>
    <m/>
    <s v="Amanda Qiao"/>
    <n v="4"/>
    <n v="2025"/>
    <s v="INV13044"/>
    <n v="8"/>
    <n v="2025"/>
    <x v="1"/>
    <s v="Zijin Mining - Rosebel Goldmines N.V."/>
    <s v="USD"/>
    <n v="4250.395895533301"/>
    <n v="3047.03"/>
    <x v="0"/>
    <n v="214.7"/>
    <n v="2832.3300000000004"/>
    <m/>
    <x v="1"/>
    <m/>
    <m/>
    <s v=""/>
    <n v="5.0000000000000001E-3"/>
    <s v=""/>
    <s v=""/>
    <s v=""/>
    <n v="14.161650000000002"/>
    <s v=""/>
    <s v=""/>
    <s v="[W-SPR65153/R55] Column Clamp, 65QV-SPR, Natural Rubber"/>
    <n v="14.161650000000002"/>
    <m/>
    <n v="2503"/>
    <m/>
    <m/>
    <s v=""/>
    <n v="0"/>
    <s v=""/>
    <s v=""/>
  </r>
  <r>
    <n v="1"/>
    <s v="SO16931"/>
    <m/>
    <x v="0"/>
    <x v="0"/>
    <m/>
    <s v="Amanda Qiao"/>
    <n v="4"/>
    <n v="2025"/>
    <s v="INV13234"/>
    <s v=""/>
    <s v=""/>
    <x v="0"/>
    <s v="Mill-Right Mine Services Inc."/>
    <s v="USD"/>
    <n v="3213.1940714052807"/>
    <n v="2264.3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6932"/>
    <m/>
    <x v="0"/>
    <x v="0"/>
    <m/>
    <s v="Ian Trottier"/>
    <n v="4"/>
    <n v="2025"/>
    <s v="INV13407"/>
    <s v=""/>
    <s v=""/>
    <x v="0"/>
    <s v="Process and Steam Specialties, Process and Steam Specialties"/>
    <s v="CAD"/>
    <n v="6931.99"/>
    <n v="5061.7476091082808"/>
    <x v="1"/>
    <n v="0"/>
    <n v="0"/>
    <m/>
    <x v="0"/>
    <m/>
    <m/>
    <s v=""/>
    <s v=""/>
    <s v=""/>
    <s v=""/>
    <s v=""/>
    <s v=""/>
    <s v=""/>
    <s v=""/>
    <s v="[SA-055496-M1] Casing, Sala VT80, Rubber Lined"/>
    <m/>
    <m/>
    <m/>
    <m/>
    <m/>
    <s v=""/>
    <s v=""/>
    <s v=""/>
    <s v=""/>
  </r>
  <r>
    <n v="1"/>
    <s v="SO16934"/>
    <m/>
    <x v="0"/>
    <x v="0"/>
    <m/>
    <s v="Ian Trottier"/>
    <n v="4"/>
    <n v="2025"/>
    <s v="INV12842"/>
    <n v="6"/>
    <n v="2025"/>
    <x v="0"/>
    <s v="Resolute Forest Products - Saint-Felicien"/>
    <s v="CAD"/>
    <n v="2103.86"/>
    <n v="1481.3741146745499"/>
    <x v="0"/>
    <n v="0"/>
    <n v="1481.3741146745499"/>
    <m/>
    <x v="0"/>
    <m/>
    <m/>
    <s v=""/>
    <s v=""/>
    <s v=""/>
    <s v=""/>
    <s v=""/>
    <s v=""/>
    <s v=""/>
    <s v=""/>
    <s v="[AC-98-037-796-503] Impeller (Open), 6x6-15 SRL, Neoprene"/>
    <m/>
    <m/>
    <m/>
    <m/>
    <m/>
    <s v=""/>
    <s v=""/>
    <s v=""/>
    <s v=""/>
  </r>
  <r>
    <n v="4"/>
    <s v="SO16939"/>
    <m/>
    <x v="0"/>
    <x v="0"/>
    <m/>
    <s v="Ian Trottier"/>
    <n v="4"/>
    <n v="2025"/>
    <s v="INV12841"/>
    <n v="5"/>
    <n v="2025"/>
    <x v="0"/>
    <s v="Cartledge &amp; Associates Inc."/>
    <s v="USD"/>
    <n v="13846.246870949491"/>
    <n v="9733.5499999999993"/>
    <x v="0"/>
    <n v="615"/>
    <n v="9118.5499999999993"/>
    <m/>
    <x v="0"/>
    <m/>
    <m/>
    <s v=""/>
    <s v=""/>
    <s v=""/>
    <s v=""/>
    <s v=""/>
    <s v=""/>
    <s v=""/>
    <s v=""/>
    <s v="[DE-504978] Impeller, 10x8, Denver SRL, Natural Rubber"/>
    <m/>
    <m/>
    <m/>
    <m/>
    <m/>
    <s v=""/>
    <s v=""/>
    <s v=""/>
    <s v=""/>
  </r>
  <r>
    <n v="4"/>
    <s v="SO16939"/>
    <m/>
    <x v="0"/>
    <x v="0"/>
    <m/>
    <n v="0"/>
    <n v="4"/>
    <n v="2025"/>
    <s v="(* 72154)"/>
    <s v=""/>
    <s v=""/>
    <x v="0"/>
    <s v="Cartledge &amp; Associates Inc.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4"/>
    <s v="SO16939"/>
    <m/>
    <x v="0"/>
    <x v="0"/>
    <m/>
    <n v="0"/>
    <n v="4"/>
    <n v="2025"/>
    <s v="INV12838"/>
    <s v=""/>
    <s v=""/>
    <x v="0"/>
    <s v="Cartledge &amp; Associates Inc.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4"/>
    <s v="SO16939"/>
    <m/>
    <x v="0"/>
    <x v="0"/>
    <m/>
    <n v="0"/>
    <n v="4"/>
    <n v="2025"/>
    <s v="INV12839"/>
    <s v=""/>
    <s v=""/>
    <x v="0"/>
    <s v="Cartledge &amp; Associates Inc.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6941"/>
    <m/>
    <x v="0"/>
    <x v="2"/>
    <m/>
    <s v="Ian Trottier"/>
    <n v="4"/>
    <n v="2025"/>
    <s v="INV13135"/>
    <n v="7"/>
    <n v="2025"/>
    <x v="1"/>
    <s v="Sealtrac Inc."/>
    <s v="CAD"/>
    <n v="4380"/>
    <n v="3086.5889142084957"/>
    <x v="0"/>
    <n v="0"/>
    <n v="3086.5889142084957"/>
    <m/>
    <x v="0"/>
    <s v="Renewal"/>
    <m/>
    <s v=""/>
    <s v=""/>
    <n v="0.01"/>
    <s v=""/>
    <s v=""/>
    <s v=""/>
    <n v="30.865889142084956"/>
    <s v=""/>
    <s v="[G-22BF1JAA0] Pump, 1x2-7, 3656-S, Gould's, Closed Coupled, Cast Iron, Bronze Fitted"/>
    <n v="30.865889142084956"/>
    <m/>
    <m/>
    <m/>
    <m/>
    <s v=""/>
    <s v=""/>
    <n v="30.865889142084956"/>
    <s v=""/>
  </r>
  <r>
    <n v="1"/>
    <s v="SO16942"/>
    <m/>
    <x v="0"/>
    <x v="0"/>
    <m/>
    <s v="Ian Trottier"/>
    <n v="4"/>
    <n v="2025"/>
    <s v="INV12884"/>
    <n v="6"/>
    <n v="2025"/>
    <x v="0"/>
    <s v="PT Vale Indonesia Tbk."/>
    <s v="USD"/>
    <n v="45.478218375028149"/>
    <n v="31.97"/>
    <x v="0"/>
    <n v="0"/>
    <n v="31.97"/>
    <m/>
    <x v="0"/>
    <m/>
    <m/>
    <s v=""/>
    <s v=""/>
    <s v=""/>
    <s v=""/>
    <s v=""/>
    <s v=""/>
    <s v=""/>
    <s v=""/>
    <s v="[G-735192] Deflector, 3196 MTX, Plastic"/>
    <m/>
    <m/>
    <m/>
    <m/>
    <m/>
    <s v=""/>
    <s v=""/>
    <s v=""/>
    <s v=""/>
  </r>
  <r>
    <n v="1"/>
    <s v="SO16947"/>
    <m/>
    <x v="1"/>
    <x v="0"/>
    <m/>
    <s v="Ian Trottier"/>
    <n v="4"/>
    <n v="2025"/>
    <s v="INV13123"/>
    <n v="8"/>
    <n v="2025"/>
    <x v="1"/>
    <s v="Southeast Pump Specialist, Inc."/>
    <s v="USD"/>
    <n v="2860.0682424951929"/>
    <n v="2089.7800000000002"/>
    <x v="0"/>
    <n v="595"/>
    <n v="1494.7800000000002"/>
    <m/>
    <x v="1"/>
    <m/>
    <m/>
    <s v=""/>
    <n v="5.0000000000000001E-3"/>
    <s v=""/>
    <s v=""/>
    <s v=""/>
    <n v="7.4739000000000013"/>
    <s v=""/>
    <s v=""/>
    <s v="[AC-98-431-849-001] Suction Side Casing, 3x3-10 SRL, Cast Iron"/>
    <n v="7.4739000000000013"/>
    <m/>
    <m/>
    <m/>
    <m/>
    <s v=""/>
    <n v="7.4739000000000013"/>
    <s v=""/>
    <s v=""/>
  </r>
  <r>
    <n v="2"/>
    <s v="SO16948"/>
    <m/>
    <x v="0"/>
    <x v="0"/>
    <m/>
    <s v="Ian Trottier"/>
    <n v="4"/>
    <n v="2025"/>
    <s v="INV12913"/>
    <n v="5"/>
    <n v="2025"/>
    <x v="0"/>
    <s v="Wajax Limited - Lachine"/>
    <s v="CAD"/>
    <n v="1196.32"/>
    <n v="843.04749996481894"/>
    <x v="0"/>
    <n v="0"/>
    <n v="843.04749996481894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2"/>
    <s v="SO16948"/>
    <m/>
    <x v="0"/>
    <x v="0"/>
    <m/>
    <n v="0"/>
    <n v="4"/>
    <n v="2025"/>
    <s v="INV12851"/>
    <n v="5"/>
    <n v="2025"/>
    <x v="0"/>
    <s v="Wajax Limited - Lachine"/>
    <s v="CAD"/>
    <n v="0"/>
    <n v="0"/>
    <x v="1"/>
    <n v="0"/>
    <n v="0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6949"/>
    <m/>
    <x v="0"/>
    <x v="0"/>
    <m/>
    <s v="Ian Trottier"/>
    <n v="4"/>
    <n v="2025"/>
    <s v="INV12847"/>
    <n v="5"/>
    <n v="2025"/>
    <x v="0"/>
    <s v="Glencore Canada Corporation - Rouyn-Noranda"/>
    <s v="CAD"/>
    <n v="1404.51"/>
    <n v="989.75913148287032"/>
    <x v="0"/>
    <n v="0"/>
    <n v="989.75913148287032"/>
    <m/>
    <x v="0"/>
    <m/>
    <m/>
    <s v=""/>
    <s v=""/>
    <s v=""/>
    <s v=""/>
    <s v=""/>
    <s v=""/>
    <s v=""/>
    <s v=""/>
    <s v="[AC-98-233-815-001] Half Seal Cage, 5x4/5x5/6x6 SRL &amp; SRL-C, Steel"/>
    <m/>
    <m/>
    <m/>
    <m/>
    <m/>
    <s v=""/>
    <s v=""/>
    <s v=""/>
    <s v=""/>
  </r>
  <r>
    <n v="1"/>
    <s v="SO16951"/>
    <m/>
    <x v="0"/>
    <x v="0"/>
    <m/>
    <s v="Ian Trottier"/>
    <n v="4"/>
    <n v="2025"/>
    <s v="INV12874"/>
    <n v="6"/>
    <n v="2025"/>
    <x v="0"/>
    <s v="Resolute Forest Products - Clermont"/>
    <s v="CAD"/>
    <n v="26.73"/>
    <n v="18.836648784655956"/>
    <x v="0"/>
    <n v="0"/>
    <n v="18.836648784655956"/>
    <m/>
    <x v="0"/>
    <m/>
    <m/>
    <s v=""/>
    <s v=""/>
    <s v=""/>
    <s v=""/>
    <s v=""/>
    <s v=""/>
    <s v=""/>
    <s v=""/>
    <s v="[156 Teflon, G-C02495A998 6359] Shaft Sleeve O-Ring, 3175-L, Teflon"/>
    <m/>
    <m/>
    <m/>
    <m/>
    <m/>
    <s v=""/>
    <s v=""/>
    <s v=""/>
    <s v=""/>
  </r>
  <r>
    <n v="1"/>
    <s v="SO16952"/>
    <m/>
    <x v="0"/>
    <x v="0"/>
    <m/>
    <s v="Ian Trottier"/>
    <n v="4"/>
    <n v="2025"/>
    <s v="INV12925"/>
    <n v="6"/>
    <n v="2025"/>
    <x v="0"/>
    <s v="Wajax Limited - Noranda"/>
    <s v="CAD"/>
    <n v="3281.44"/>
    <n v="2361.7851464607907"/>
    <x v="0"/>
    <n v="0"/>
    <n v="2361.7851464607907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1"/>
    <s v="SO16953"/>
    <m/>
    <x v="0"/>
    <x v="0"/>
    <m/>
    <s v="Yannett Yeomans"/>
    <n v="4"/>
    <n v="2025"/>
    <s v="INV13204"/>
    <s v=""/>
    <s v=""/>
    <x v="0"/>
    <s v="Dynapro Pumps México S de RL de CV"/>
    <s v="USD"/>
    <n v="7382.9200302282179"/>
    <n v="5190"/>
    <x v="1"/>
    <n v="0"/>
    <n v="0"/>
    <m/>
    <x v="0"/>
    <m/>
    <m/>
    <s v=""/>
    <s v=""/>
    <s v=""/>
    <s v=""/>
    <s v=""/>
    <s v=""/>
    <s v=""/>
    <s v=""/>
    <s v="[10374/0505] Lineshaft, 316SS, 45MM, 12RJHC-8"/>
    <m/>
    <m/>
    <m/>
    <m/>
    <m/>
    <s v=""/>
    <s v=""/>
    <s v=""/>
    <s v=""/>
  </r>
  <r>
    <n v="3"/>
    <s v="SO16957"/>
    <m/>
    <x v="0"/>
    <x v="0"/>
    <m/>
    <s v="Ian Trottier"/>
    <n v="4"/>
    <n v="2025"/>
    <s v="INV12902"/>
    <n v="5"/>
    <n v="2025"/>
    <x v="0"/>
    <s v="Sling-Choker Manufacturing - Timmins"/>
    <s v="CAD"/>
    <n v="5196.1499999999996"/>
    <n v="3739.8794092783164"/>
    <x v="0"/>
    <n v="0"/>
    <n v="3739.8794092783164"/>
    <m/>
    <x v="0"/>
    <m/>
    <m/>
    <s v=""/>
    <s v=""/>
    <s v=""/>
    <s v=""/>
    <s v=""/>
    <s v=""/>
    <s v=""/>
    <s v=""/>
    <s v="[AC-98-432-133-501] Shaft Assembly, 12x10-25 SRL-C, 1045 Steel"/>
    <m/>
    <m/>
    <m/>
    <m/>
    <m/>
    <s v=""/>
    <s v=""/>
    <s v=""/>
    <s v=""/>
  </r>
  <r>
    <n v="3"/>
    <s v="SO16957"/>
    <m/>
    <x v="0"/>
    <x v="0"/>
    <m/>
    <n v="0"/>
    <n v="4"/>
    <n v="2025"/>
    <s v="INV12973"/>
    <s v=""/>
    <s v="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236-570-001] Sleeve Washer (Impeller), 16x14-34 SRL-C"/>
    <m/>
    <m/>
    <m/>
    <m/>
    <m/>
    <s v=""/>
    <s v=""/>
    <s v=""/>
    <s v=""/>
  </r>
  <r>
    <n v="3"/>
    <s v="SO16957"/>
    <m/>
    <x v="0"/>
    <x v="0"/>
    <m/>
    <n v="0"/>
    <n v="4"/>
    <n v="2025"/>
    <s v="INV13008"/>
    <n v="6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236-570-001] Sleeve Washer (Impeller), 16x14-34 SRL-C"/>
    <m/>
    <m/>
    <m/>
    <m/>
    <m/>
    <s v=""/>
    <s v=""/>
    <s v=""/>
    <s v=""/>
  </r>
  <r>
    <n v="1"/>
    <s v="SO16958"/>
    <m/>
    <x v="1"/>
    <x v="0"/>
    <m/>
    <s v="Ian Trottier"/>
    <n v="4"/>
    <n v="2025"/>
    <s v="INV12999"/>
    <n v="7"/>
    <n v="2025"/>
    <x v="1"/>
    <s v="Tech-Flow"/>
    <s v="USD"/>
    <n v="319.35276609093216"/>
    <n v="230.24"/>
    <x v="0"/>
    <n v="0"/>
    <n v="230.24"/>
    <m/>
    <x v="1"/>
    <m/>
    <m/>
    <s v=""/>
    <n v="5.0000000000000001E-3"/>
    <s v=""/>
    <s v=""/>
    <s v=""/>
    <n v="1.1512"/>
    <s v=""/>
    <s v=""/>
    <s v="[SA-100201-1] Stud 5/8 UNC X 3-1/4 GR 5"/>
    <n v="1.1512"/>
    <m/>
    <m/>
    <m/>
    <m/>
    <s v=""/>
    <n v="1.1512"/>
    <s v=""/>
    <s v=""/>
  </r>
  <r>
    <n v="1"/>
    <s v="SO16962"/>
    <m/>
    <x v="0"/>
    <x v="0"/>
    <m/>
    <s v="Ian Trottier"/>
    <n v="4"/>
    <n v="2025"/>
    <s v="INV12861"/>
    <n v="5"/>
    <n v="2025"/>
    <x v="0"/>
    <s v="Motion Industries Inc. (Canada) - Calgary"/>
    <s v="CAD"/>
    <n v="146.22"/>
    <n v="104.36463081715209"/>
    <x v="0"/>
    <n v="0"/>
    <n v="104.36463081715209"/>
    <m/>
    <x v="0"/>
    <m/>
    <m/>
    <s v=""/>
    <s v=""/>
    <s v=""/>
    <s v=""/>
    <s v=""/>
    <s v=""/>
    <s v=""/>
    <s v=""/>
    <s v="[WO-9070000-012] Casing Gasket, 18&quot;, Worthington FRBH"/>
    <m/>
    <m/>
    <m/>
    <m/>
    <m/>
    <s v=""/>
    <s v=""/>
    <s v=""/>
    <s v=""/>
  </r>
  <r>
    <n v="1"/>
    <s v="SO16963"/>
    <m/>
    <x v="0"/>
    <x v="0"/>
    <m/>
    <s v="Ian Trottier"/>
    <n v="4"/>
    <n v="2025"/>
    <s v="INV12868"/>
    <n v="5"/>
    <n v="2025"/>
    <x v="0"/>
    <s v="Wajax Limited - Lachine"/>
    <s v="CAD"/>
    <n v="798.97"/>
    <n v="570.26541570222935"/>
    <x v="0"/>
    <n v="0"/>
    <n v="570.26541570222935"/>
    <m/>
    <x v="0"/>
    <m/>
    <m/>
    <s v=""/>
    <s v=""/>
    <s v=""/>
    <s v=""/>
    <s v=""/>
    <s v=""/>
    <s v=""/>
    <s v=""/>
    <s v="[W-S239M/C21] Release Collar Assembly, 10/8 to 14/12 ST-AH, 420SS, Metric"/>
    <m/>
    <m/>
    <m/>
    <m/>
    <m/>
    <s v=""/>
    <s v=""/>
    <s v=""/>
    <s v=""/>
  </r>
  <r>
    <n v="1"/>
    <s v="SO16964"/>
    <m/>
    <x v="0"/>
    <x v="2"/>
    <m/>
    <s v="Ian Trottier"/>
    <n v="4"/>
    <n v="2025"/>
    <s v="INV13001"/>
    <n v="7"/>
    <n v="2025"/>
    <x v="1"/>
    <s v="Tech-Flow"/>
    <s v="USD"/>
    <n v="7867.7558519108898"/>
    <n v="5539.86"/>
    <x v="0"/>
    <n v="0"/>
    <n v="5539.86"/>
    <m/>
    <x v="0"/>
    <s v="Renewal"/>
    <m/>
    <s v=""/>
    <s v=""/>
    <n v="0.01"/>
    <s v=""/>
    <s v=""/>
    <s v=""/>
    <n v="55.398599999999995"/>
    <s v=""/>
    <s v="[SA-13168-M1] Bearing Cylinder Assembly, Sala STHM 22WFR, 1045 Steel Shaft"/>
    <n v="55.398599999999995"/>
    <m/>
    <m/>
    <m/>
    <m/>
    <s v=""/>
    <s v=""/>
    <n v="55.398599999999995"/>
    <s v=""/>
  </r>
  <r>
    <n v="1"/>
    <s v="SO16965"/>
    <m/>
    <x v="0"/>
    <x v="0"/>
    <m/>
    <s v="Ian Trottier"/>
    <n v="4"/>
    <n v="2025"/>
    <s v="INV12873"/>
    <n v="5"/>
    <n v="2025"/>
    <x v="0"/>
    <s v="Hyperflo"/>
    <s v="CAD"/>
    <n v="198.69"/>
    <n v="143.00523268756848"/>
    <x v="0"/>
    <n v="0"/>
    <n v="143.00523268756848"/>
    <m/>
    <x v="0"/>
    <m/>
    <m/>
    <s v=""/>
    <s v=""/>
    <s v=""/>
    <s v=""/>
    <s v=""/>
    <s v=""/>
    <s v=""/>
    <s v=""/>
    <s v="[AC-98-233-733-513] Deflector (Water Slinger), 8x6-18 &amp; 10x8-21 SRL-C, Neoprene/Steel"/>
    <m/>
    <m/>
    <m/>
    <m/>
    <m/>
    <s v=""/>
    <s v=""/>
    <s v=""/>
    <s v=""/>
  </r>
  <r>
    <n v="1"/>
    <s v="SO16967"/>
    <m/>
    <x v="1"/>
    <x v="0"/>
    <m/>
    <s v="Ian Trottier"/>
    <n v="4"/>
    <n v="2025"/>
    <s v="INV13141"/>
    <n v="8"/>
    <n v="2025"/>
    <x v="1"/>
    <s v="Resolute Forest Products - Saint-Felicien"/>
    <s v="CAD"/>
    <n v="9878.11"/>
    <n v="7079.2638955355278"/>
    <x v="0"/>
    <n v="0"/>
    <n v="7079.2638955355278"/>
    <m/>
    <x v="2"/>
    <m/>
    <m/>
    <s v=""/>
    <n v="0.02"/>
    <s v=""/>
    <s v=""/>
    <s v=""/>
    <n v="141.58527791071057"/>
    <s v=""/>
    <s v=""/>
    <s v="[G-RC04063A03 1220] Stuffing Box Cover, 13&quot;, 3196 XLT, Titanium, Big Bore, Non-Jacketed"/>
    <n v="141.58527791071057"/>
    <m/>
    <m/>
    <m/>
    <m/>
    <s v=""/>
    <n v="141.58527791071057"/>
    <s v=""/>
    <s v=""/>
  </r>
  <r>
    <n v="1"/>
    <s v="SO16968"/>
    <m/>
    <x v="0"/>
    <x v="0"/>
    <m/>
    <s v="Taylor Cook"/>
    <n v="4"/>
    <n v="2025"/>
    <s v="INV12870"/>
    <n v="5"/>
    <n v="2025"/>
    <x v="0"/>
    <s v="Pierce Pump Company, Pierce Pump Company"/>
    <s v="USD"/>
    <n v="4700.4922272652111"/>
    <n v="3312.44"/>
    <x v="0"/>
    <n v="0"/>
    <n v="3312.44"/>
    <m/>
    <x v="0"/>
    <m/>
    <m/>
    <s v=""/>
    <s v=""/>
    <s v=""/>
    <s v=""/>
    <s v=""/>
    <s v=""/>
    <s v=""/>
    <s v=""/>
    <s v="[NSK-22218EAE4, AC-00-813-261-537] Roller Bearing (Inboard), 8x6-18 &amp; 10x8-21 SRL-C"/>
    <m/>
    <m/>
    <m/>
    <m/>
    <m/>
    <s v=""/>
    <s v=""/>
    <s v=""/>
    <s v=""/>
  </r>
  <r>
    <n v="1"/>
    <s v="SO16970"/>
    <m/>
    <x v="0"/>
    <x v="0"/>
    <m/>
    <s v="Ian Trottier"/>
    <n v="4"/>
    <n v="2025"/>
    <s v="INV12877"/>
    <n v="6"/>
    <n v="2025"/>
    <x v="0"/>
    <s v="Resolute Forest Products - Kenogami"/>
    <s v="CAD"/>
    <n v="939.78"/>
    <n v="676.16740747662323"/>
    <x v="0"/>
    <n v="0"/>
    <n v="676.16740747662323"/>
    <m/>
    <x v="0"/>
    <m/>
    <m/>
    <s v=""/>
    <s v=""/>
    <s v=""/>
    <s v=""/>
    <s v=""/>
    <s v=""/>
    <s v=""/>
    <s v=""/>
    <s v="[AC-98-130-367-001] Shaft Sleeve, PWO Frame 2, 316SS"/>
    <m/>
    <m/>
    <m/>
    <m/>
    <m/>
    <s v=""/>
    <s v=""/>
    <s v=""/>
    <s v=""/>
  </r>
  <r>
    <n v="1"/>
    <s v="SO16976"/>
    <m/>
    <x v="3"/>
    <x v="0"/>
    <m/>
    <s v="Amanda Qiao"/>
    <n v="4"/>
    <n v="2025"/>
    <s v="INV12969"/>
    <n v="8"/>
    <n v="2025"/>
    <x v="1"/>
    <s v="AGM Inc."/>
    <s v="USD"/>
    <n v="6239.7361669568727"/>
    <n v="4530"/>
    <x v="0"/>
    <n v="0"/>
    <n v="4530"/>
    <m/>
    <x v="1"/>
    <m/>
    <m/>
    <s v=""/>
    <n v="5.0000000000000001E-3"/>
    <s v=""/>
    <s v=""/>
    <s v=""/>
    <n v="22.650000000000002"/>
    <s v=""/>
    <s v=""/>
    <s v="[W-G078/G01] Stuffing Box, 10/8 to 14/12, Cast Iron"/>
    <n v="22.650000000000002"/>
    <m/>
    <n v="2503"/>
    <m/>
    <m/>
    <s v=""/>
    <n v="0"/>
    <s v=""/>
    <s v=""/>
  </r>
  <r>
    <n v="1"/>
    <s v="SO16983"/>
    <m/>
    <x v="0"/>
    <x v="0"/>
    <m/>
    <s v="Ian Trottier"/>
    <n v="4"/>
    <n v="2025"/>
    <s v="INV12890"/>
    <n v="5"/>
    <n v="2025"/>
    <x v="0"/>
    <s v="Motion Industries Inc. (Canada) - Winnipeg"/>
    <s v="CAD"/>
    <n v="194.97"/>
    <n v="140.69421807694806"/>
    <x v="0"/>
    <n v="0"/>
    <n v="140.69421807694806"/>
    <m/>
    <x v="0"/>
    <m/>
    <m/>
    <s v=""/>
    <s v=""/>
    <s v=""/>
    <s v=""/>
    <s v=""/>
    <s v=""/>
    <s v=""/>
    <s v=""/>
    <s v="[WO-390078-00] Seal Ring, Worthington FRBH, Frame Size 5, Rubber"/>
    <m/>
    <m/>
    <m/>
    <m/>
    <m/>
    <s v=""/>
    <s v=""/>
    <s v=""/>
    <s v=""/>
  </r>
  <r>
    <n v="1"/>
    <s v="SO16985"/>
    <m/>
    <x v="2"/>
    <x v="0"/>
    <m/>
    <s v="Marlen Martinez"/>
    <n v="4"/>
    <n v="2025"/>
    <s v="INV12903"/>
    <n v="7"/>
    <n v="2025"/>
    <x v="2"/>
    <s v="Covia Corp - Junction City"/>
    <s v="USD"/>
    <n v="1482.7766417934688"/>
    <n v="1069.02"/>
    <x v="0"/>
    <n v="171.5"/>
    <n v="897.52"/>
    <m/>
    <x v="0"/>
    <m/>
    <m/>
    <s v=""/>
    <s v=""/>
    <s v=""/>
    <s v=""/>
    <s v=""/>
    <s v=""/>
    <s v=""/>
    <s v=""/>
    <s v="106003/0505 Lantern Ring, 300 RSL, 316SS"/>
    <m/>
    <m/>
    <m/>
    <m/>
    <m/>
    <s v=""/>
    <s v=""/>
    <s v=""/>
    <s v=""/>
  </r>
  <r>
    <n v="2"/>
    <s v="SO16989"/>
    <m/>
    <x v="1"/>
    <x v="0"/>
    <m/>
    <s v="Ian Trottier"/>
    <n v="4"/>
    <n v="2025"/>
    <s v="INV12923"/>
    <n v="5"/>
    <n v="2025"/>
    <x v="1"/>
    <s v="Motion Industries Inc. (Canada) - Prince George"/>
    <s v="CAD"/>
    <n v="1699.77"/>
    <n v="1223.3932475985112"/>
    <x v="0"/>
    <n v="0"/>
    <n v="1223.3932475985112"/>
    <m/>
    <x v="1"/>
    <m/>
    <m/>
    <s v=""/>
    <n v="5.0000000000000001E-3"/>
    <s v=""/>
    <s v=""/>
    <s v=""/>
    <n v="6.116966237992556"/>
    <s v=""/>
    <s v=""/>
    <s v="[W-U111-TEFKVSC-PIECE] Premium Slurry Packing (Single Piece), 20/18 U-AH, PTFE Lubricated Kevlar w/Silicon Core"/>
    <n v="6.116966237992556"/>
    <m/>
    <m/>
    <m/>
    <m/>
    <s v=""/>
    <n v="6.116966237992556"/>
    <s v=""/>
    <s v=""/>
  </r>
  <r>
    <n v="2"/>
    <s v="SO16989"/>
    <m/>
    <x v="1"/>
    <x v="0"/>
    <m/>
    <n v="0"/>
    <n v="4"/>
    <n v="2025"/>
    <s v="INV13125"/>
    <n v="7"/>
    <n v="2025"/>
    <x v="1"/>
    <s v="Motion Industries Inc. (Canada) - Prince George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M48H5-V] Hex Nut, M48, Zinc Plated"/>
    <n v="0"/>
    <m/>
    <m/>
    <m/>
    <m/>
    <s v=""/>
    <n v="0"/>
    <s v=""/>
    <s v=""/>
  </r>
  <r>
    <n v="1"/>
    <s v="SO16990"/>
    <m/>
    <x v="0"/>
    <x v="0"/>
    <m/>
    <s v="Ian Trottier"/>
    <n v="4"/>
    <n v="2025"/>
    <s v="INV12878"/>
    <n v="5"/>
    <n v="2025"/>
    <x v="0"/>
    <s v="Hyperflo, Hyperflo"/>
    <s v="CAD"/>
    <n v="92.11"/>
    <n v="66.044165627372251"/>
    <x v="0"/>
    <n v="0"/>
    <n v="66.044165627372251"/>
    <m/>
    <x v="0"/>
    <m/>
    <m/>
    <s v=""/>
    <s v=""/>
    <s v=""/>
    <s v=""/>
    <s v=""/>
    <s v=""/>
    <s v=""/>
    <s v=""/>
    <s v="[AC-98-233-979-004] Sleeve Washer (Impeller), 3x3-10 SRL &amp; SRL-C, Steel"/>
    <m/>
    <m/>
    <m/>
    <m/>
    <m/>
    <s v=""/>
    <s v=""/>
    <s v=""/>
    <s v=""/>
  </r>
  <r>
    <n v="1"/>
    <s v="SO16991"/>
    <m/>
    <x v="0"/>
    <x v="0"/>
    <m/>
    <s v="Ian Trottier"/>
    <n v="4"/>
    <n v="2025"/>
    <s v="INV12876"/>
    <n v="6"/>
    <n v="2025"/>
    <x v="0"/>
    <s v="Resolute Forest Products - Saint-Felicien"/>
    <s v="CAD"/>
    <n v="296.56"/>
    <n v="212.63769143907842"/>
    <x v="0"/>
    <n v="0"/>
    <n v="212.63769143907842"/>
    <m/>
    <x v="0"/>
    <m/>
    <m/>
    <s v=""/>
    <s v=""/>
    <s v=""/>
    <s v=""/>
    <s v=""/>
    <s v=""/>
    <s v=""/>
    <s v=""/>
    <s v="[AC-98-131-246-511] Deflector (Water Slinger), 5x5/5x4/6x6 SRL &amp; SRL-C, Neoprene/Steel"/>
    <m/>
    <m/>
    <m/>
    <m/>
    <m/>
    <s v=""/>
    <s v=""/>
    <s v=""/>
    <s v=""/>
  </r>
  <r>
    <n v="1"/>
    <s v="SO16992"/>
    <m/>
    <x v="0"/>
    <x v="0"/>
    <m/>
    <s v="Ian Trottier"/>
    <n v="4"/>
    <n v="2025"/>
    <s v="INV12984"/>
    <n v="6"/>
    <n v="2025"/>
    <x v="0"/>
    <s v="Motion Industries Inc. (U.S.) - Wichita, Motion Industries Inc. (U.S.) - Wichita"/>
    <s v="USD"/>
    <n v="145.10175590784112"/>
    <n v="104.04"/>
    <x v="0"/>
    <n v="0"/>
    <n v="104.04"/>
    <m/>
    <x v="0"/>
    <m/>
    <m/>
    <s v=""/>
    <s v=""/>
    <s v=""/>
    <s v=""/>
    <s v=""/>
    <s v=""/>
    <s v=""/>
    <s v=""/>
    <s v="[023-Teflon, G-C02495A23 6359] Impeller O-Ring, 3196 STX, Teflon"/>
    <m/>
    <m/>
    <m/>
    <m/>
    <m/>
    <s v=""/>
    <s v=""/>
    <s v=""/>
    <s v=""/>
  </r>
  <r>
    <n v="1"/>
    <s v="SO16994"/>
    <m/>
    <x v="0"/>
    <x v="0"/>
    <m/>
    <s v="Ian Trottier"/>
    <n v="4"/>
    <n v="2025"/>
    <s v="INV12912"/>
    <n v="5"/>
    <n v="2025"/>
    <x v="0"/>
    <s v="Wajax Limited - Noranda"/>
    <s v="CAD"/>
    <n v="295.45999999999998"/>
    <n v="212.79007465120969"/>
    <x v="0"/>
    <n v="0"/>
    <n v="212.79007465120969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6995"/>
    <m/>
    <x v="0"/>
    <x v="0"/>
    <m/>
    <s v="Ian Trottier"/>
    <n v="4"/>
    <n v="2025"/>
    <s v="INV12895"/>
    <n v="5"/>
    <n v="2025"/>
    <x v="0"/>
    <s v="Manufacture Sling-Choker (Val-d’Or) Ltée, Manufacture Sling-Choker (Val-d’Or) Ltée"/>
    <s v="CAD"/>
    <n v="102.2"/>
    <n v="73.278837554200905"/>
    <x v="0"/>
    <n v="0"/>
    <n v="73.278837554200905"/>
    <m/>
    <x v="0"/>
    <m/>
    <m/>
    <s v=""/>
    <s v=""/>
    <s v=""/>
    <s v=""/>
    <s v=""/>
    <s v=""/>
    <s v=""/>
    <s v=""/>
    <s v="[CR 17386, G-8690-93904] Bearing Seal (Inboard), 3x3-10 SRL &amp; SRL-C, Neoprene/Steel"/>
    <m/>
    <m/>
    <m/>
    <m/>
    <m/>
    <s v=""/>
    <s v=""/>
    <s v=""/>
    <s v=""/>
  </r>
  <r>
    <n v="1"/>
    <s v="SO16996"/>
    <m/>
    <x v="0"/>
    <x v="0"/>
    <m/>
    <s v="Taylor Cook"/>
    <n v="4"/>
    <n v="2025"/>
    <s v="INV12966"/>
    <n v="5"/>
    <n v="2025"/>
    <x v="0"/>
    <s v="Wild Rows Pump &amp; Compression LTD., Wild Rows Pump &amp; Compression LTD."/>
    <s v="CAD"/>
    <n v="456.4"/>
    <n v="327.24521976259581"/>
    <x v="0"/>
    <n v="0"/>
    <n v="327.24521976259581"/>
    <m/>
    <x v="0"/>
    <m/>
    <m/>
    <s v=""/>
    <s v=""/>
    <s v=""/>
    <s v=""/>
    <s v=""/>
    <s v=""/>
    <s v=""/>
    <s v=""/>
    <s v="[W-C2017/U38] Cover Plate Liner, 3/2 C-AH, Urethane"/>
    <m/>
    <m/>
    <m/>
    <m/>
    <m/>
    <s v=""/>
    <s v=""/>
    <s v=""/>
    <s v=""/>
  </r>
  <r>
    <n v="1"/>
    <s v="SO17000"/>
    <m/>
    <x v="0"/>
    <x v="0"/>
    <m/>
    <s v="Ian Trottier"/>
    <n v="4"/>
    <n v="2025"/>
    <s v="INV12875"/>
    <n v="5"/>
    <n v="2025"/>
    <x v="0"/>
    <s v="Glencore Canada Corporation - Rouyn-Noranda, Glencore Canada Corp."/>
    <s v="CAD"/>
    <n v="42.52"/>
    <n v="30.487438090064799"/>
    <x v="0"/>
    <n v="0"/>
    <n v="30.487438090064799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1"/>
    <s v="SO17001"/>
    <m/>
    <x v="0"/>
    <x v="0"/>
    <m/>
    <s v="Ian Trottier"/>
    <n v="4"/>
    <n v="2025"/>
    <s v="INV12932"/>
    <n v="6"/>
    <n v="2025"/>
    <x v="0"/>
    <s v="Glencore Canada Corporation - Rouyn-Noranda, Glencore Canada Corp."/>
    <s v="CAD"/>
    <n v="1492.52"/>
    <n v="1074.9118060597832"/>
    <x v="0"/>
    <n v="0"/>
    <n v="1074.9118060597832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1"/>
    <s v="SO17003"/>
    <m/>
    <x v="0"/>
    <x v="0"/>
    <m/>
    <s v="Ian Trottier"/>
    <n v="4"/>
    <n v="2025"/>
    <s v="INV12891"/>
    <n v="6"/>
    <n v="2025"/>
    <x v="0"/>
    <s v="PT Vale Indonesia Tbk."/>
    <s v="USD"/>
    <n v="471.88329232267211"/>
    <n v="339.85"/>
    <x v="0"/>
    <n v="0"/>
    <n v="339.85"/>
    <m/>
    <x v="0"/>
    <m/>
    <m/>
    <s v=""/>
    <s v=""/>
    <s v=""/>
    <s v=""/>
    <s v=""/>
    <s v=""/>
    <s v=""/>
    <s v=""/>
    <s v="[W-B073M/E05] Shaft, 1.5/1 or 2/1.5 B-AH, 1045 Steel, Metric"/>
    <m/>
    <m/>
    <m/>
    <m/>
    <m/>
    <s v=""/>
    <s v=""/>
    <s v=""/>
    <s v=""/>
  </r>
  <r>
    <n v="1"/>
    <s v="SO17004"/>
    <m/>
    <x v="1"/>
    <x v="0"/>
    <m/>
    <s v="Ian Trottier"/>
    <n v="4"/>
    <n v="2025"/>
    <s v="INV13056"/>
    <n v="8"/>
    <n v="2025"/>
    <x v="1"/>
    <s v="Quality Concrete Inc."/>
    <s v="CAD"/>
    <n v="6357.14"/>
    <n v="4587.4382802774253"/>
    <x v="0"/>
    <n v="0"/>
    <n v="4587.4382802774253"/>
    <m/>
    <x v="1"/>
    <m/>
    <m/>
    <s v=""/>
    <n v="5.0000000000000001E-3"/>
    <s v=""/>
    <s v=""/>
    <s v=""/>
    <n v="22.937191401387128"/>
    <s v=""/>
    <s v=""/>
    <s v="[RDNPRO159] REPAIR - P/N 4533-1AL - 8X6 LINATEX OLD STYLE IMPELLER, RUBBER LINED, REMOVE OLD RUBBER AND REBUILD BACK TO OEM SPEC USING LINATEX RED RUBBER."/>
    <n v="22.937191401387128"/>
    <m/>
    <m/>
    <m/>
    <m/>
    <s v=""/>
    <n v="22.937191401387128"/>
    <s v=""/>
    <s v=""/>
  </r>
  <r>
    <n v="1"/>
    <s v="SO17005"/>
    <m/>
    <x v="0"/>
    <x v="0"/>
    <m/>
    <s v="Ian Trottier"/>
    <n v="4"/>
    <n v="2025"/>
    <s v="INV12930"/>
    <n v="6"/>
    <n v="2025"/>
    <x v="0"/>
    <s v="Wajax Limited - Lachine"/>
    <s v="CAD"/>
    <n v="449.67"/>
    <n v="323.7139423594781"/>
    <x v="0"/>
    <n v="0"/>
    <n v="323.7139423594781"/>
    <m/>
    <x v="0"/>
    <m/>
    <m/>
    <s v=""/>
    <s v=""/>
    <s v=""/>
    <s v=""/>
    <s v=""/>
    <s v=""/>
    <s v=""/>
    <s v=""/>
    <s v="[W-G039M/E62] Frame Plate Stud w/2 Nuts, 10/8 to 14/12, Metric"/>
    <m/>
    <m/>
    <m/>
    <m/>
    <m/>
    <s v=""/>
    <s v=""/>
    <s v=""/>
    <s v=""/>
  </r>
  <r>
    <n v="1"/>
    <s v="SO17006"/>
    <m/>
    <x v="0"/>
    <x v="0"/>
    <m/>
    <s v="Ian Trottier"/>
    <n v="4"/>
    <n v="2025"/>
    <s v="INV12892"/>
    <n v="5"/>
    <n v="2025"/>
    <x v="0"/>
    <s v="Manufacture Sling-Choker (Val-d’Or) Ltée"/>
    <s v="CAD"/>
    <n v="124.98"/>
    <n v="90.188046239200744"/>
    <x v="0"/>
    <n v="0"/>
    <n v="90.188046239200744"/>
    <m/>
    <x v="0"/>
    <m/>
    <m/>
    <s v=""/>
    <s v=""/>
    <s v=""/>
    <s v=""/>
    <s v=""/>
    <s v=""/>
    <s v=""/>
    <s v=""/>
    <s v="[AC-98-131-246-504] Deflector (Water Slinger), 3x3-10 SRL/SRL-C, Neoprene/Steel"/>
    <m/>
    <m/>
    <m/>
    <m/>
    <m/>
    <s v=""/>
    <s v=""/>
    <s v=""/>
    <s v=""/>
  </r>
  <r>
    <n v="1"/>
    <s v="SO17008"/>
    <m/>
    <x v="0"/>
    <x v="0"/>
    <m/>
    <s v="Ian Trottier"/>
    <n v="4"/>
    <n v="2025"/>
    <s v="INV13372"/>
    <n v="9"/>
    <n v="2025"/>
    <x v="0"/>
    <s v="MJR Admin"/>
    <s v="CAD"/>
    <n v="7183.59"/>
    <n v="5212.4284452710053"/>
    <x v="0"/>
    <n v="0"/>
    <n v="5212.4284452710053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7009"/>
    <m/>
    <x v="5"/>
    <x v="0"/>
    <m/>
    <s v="Ian Trottier"/>
    <n v="4"/>
    <n v="2025"/>
    <s v="INV13230"/>
    <n v="8"/>
    <n v="2025"/>
    <x v="1"/>
    <s v="Sling-Choker Manufacturing - Timmins"/>
    <s v="CAD"/>
    <n v="721.19"/>
    <n v="526.61382347822223"/>
    <x v="0"/>
    <n v="0"/>
    <n v="526.61382347822223"/>
    <m/>
    <x v="1"/>
    <m/>
    <m/>
    <s v=""/>
    <n v="5.0000000000000001E-3"/>
    <s v=""/>
    <s v=""/>
    <s v=""/>
    <n v="2.6330691173911114"/>
    <s v=""/>
    <s v=""/>
    <s v="[AC-98-233-700-002] Bearing Cover Gasket (Inboard &amp; Outboard), 5x4/5x5/6x6 SRL &amp; SRL-C"/>
    <m/>
    <m/>
    <n v="2503"/>
    <m/>
    <m/>
    <s v=""/>
    <n v="0"/>
    <s v=""/>
    <s v=""/>
  </r>
  <r>
    <n v="1"/>
    <s v="SO17010"/>
    <m/>
    <x v="0"/>
    <x v="0"/>
    <m/>
    <s v="Yannett Yeomans"/>
    <n v="4"/>
    <n v="2025"/>
    <s v="INV13272"/>
    <s v=""/>
    <s v=""/>
    <x v="0"/>
    <s v="Dynapro Pumps México S de RL de CV"/>
    <s v="USD"/>
    <n v="21452.99658682627"/>
    <n v="15492"/>
    <x v="1"/>
    <n v="0"/>
    <n v="0"/>
    <m/>
    <x v="0"/>
    <m/>
    <m/>
    <s v=""/>
    <s v=""/>
    <s v=""/>
    <s v=""/>
    <s v=""/>
    <s v=""/>
    <s v=""/>
    <s v=""/>
    <s v="[6254C-00-0028G] Pump Casing, Dynapro 6X8 MDX-025, High Chrome"/>
    <m/>
    <m/>
    <m/>
    <m/>
    <m/>
    <s v=""/>
    <s v=""/>
    <s v=""/>
    <s v=""/>
  </r>
  <r>
    <n v="1"/>
    <s v="SO17013"/>
    <m/>
    <x v="0"/>
    <x v="0"/>
    <m/>
    <s v="Ian Trottier"/>
    <n v="4"/>
    <n v="2025"/>
    <s v="INV12905"/>
    <n v="6"/>
    <n v="2025"/>
    <x v="0"/>
    <s v="Glencore Canada Corporation - Rouyn-Noranda, Glencore Canada Corp."/>
    <s v="CAD"/>
    <n v="519.21"/>
    <n v="376.05301731452425"/>
    <x v="0"/>
    <n v="0"/>
    <n v="376.05301731452425"/>
    <m/>
    <x v="0"/>
    <m/>
    <m/>
    <s v=""/>
    <s v=""/>
    <s v=""/>
    <s v=""/>
    <s v=""/>
    <s v=""/>
    <s v=""/>
    <s v=""/>
    <s v="[AC-98-233-700-002] Bearing Cover Gasket (Inboard &amp; Outboard), 5x4/5x5/6x6 SRL &amp; SRL-C"/>
    <m/>
    <m/>
    <m/>
    <m/>
    <m/>
    <s v=""/>
    <s v=""/>
    <s v=""/>
    <s v=""/>
  </r>
  <r>
    <n v="1"/>
    <s v="SO17015"/>
    <m/>
    <x v="1"/>
    <x v="0"/>
    <m/>
    <s v="Ian Trottier"/>
    <n v="4"/>
    <n v="2025"/>
    <s v="INV13105"/>
    <n v="7"/>
    <n v="2025"/>
    <x v="1"/>
    <s v="Motion Industries Inc. (Canada) - Prince George"/>
    <s v="CAD"/>
    <n v="15825.1"/>
    <n v="11392.366644946247"/>
    <x v="0"/>
    <n v="0"/>
    <n v="11392.366644946247"/>
    <m/>
    <x v="1"/>
    <m/>
    <m/>
    <s v=""/>
    <n v="5.0000000000000001E-3"/>
    <s v=""/>
    <s v=""/>
    <s v=""/>
    <n v="56.961833224731237"/>
    <s v=""/>
    <s v=""/>
    <s v="[W-G12043TL1M/R55] Frame Plate Liner (Thick), 14/12 ST-AH, Natural Rubber, Metric"/>
    <n v="56.961833224731237"/>
    <m/>
    <m/>
    <m/>
    <m/>
    <s v=""/>
    <n v="56.961833224731237"/>
    <s v=""/>
    <s v=""/>
  </r>
  <r>
    <n v="2"/>
    <s v="SO17017"/>
    <m/>
    <x v="1"/>
    <x v="0"/>
    <m/>
    <s v="Ian Trottier"/>
    <n v="4"/>
    <n v="2025"/>
    <s v="INV12914"/>
    <n v="6"/>
    <n v="2025"/>
    <x v="1"/>
    <s v="Glencore Canada Corporation - Rouyn-Noranda"/>
    <s v="CAD"/>
    <n v="8124.96"/>
    <n v="5848.0413418337903"/>
    <x v="0"/>
    <n v="0"/>
    <n v="5848.0413418337903"/>
    <m/>
    <x v="1"/>
    <m/>
    <m/>
    <s v=""/>
    <n v="5.0000000000000001E-3"/>
    <s v=""/>
    <s v=""/>
    <s v=""/>
    <n v="29.240206709168952"/>
    <s v=""/>
    <s v=""/>
    <s v="[AC-98-331-958-831] Shaft Sleeve, 5x4/5x5/6X6 SRL-C &amp; SRL, 420SS Heat Treated, Hardened"/>
    <n v="29.240206709168952"/>
    <m/>
    <m/>
    <m/>
    <m/>
    <s v=""/>
    <n v="29.240206709168952"/>
    <s v=""/>
    <s v=""/>
  </r>
  <r>
    <n v="2"/>
    <s v="SO17017"/>
    <m/>
    <x v="1"/>
    <x v="0"/>
    <m/>
    <n v="0"/>
    <n v="4"/>
    <n v="2025"/>
    <s v="INV13032"/>
    <n v="7"/>
    <n v="2025"/>
    <x v="1"/>
    <s v="Glencore Canada Corporation - Rouyn-Noranda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236-256-501] Gland Assembly, 5x4-14 SRL-C, 316SS"/>
    <n v="0"/>
    <m/>
    <m/>
    <m/>
    <m/>
    <s v=""/>
    <n v="0"/>
    <s v=""/>
    <s v=""/>
  </r>
  <r>
    <n v="1"/>
    <s v="SO17020"/>
    <m/>
    <x v="0"/>
    <x v="0"/>
    <m/>
    <s v="Ian Trottier"/>
    <n v="4"/>
    <n v="2025"/>
    <s v="INV12911"/>
    <n v="6"/>
    <n v="2025"/>
    <x v="0"/>
    <s v="Resolute Forest Products - Kenogami"/>
    <s v="CAD"/>
    <n v="1879.56"/>
    <n v="1352.8367628218623"/>
    <x v="0"/>
    <n v="0"/>
    <n v="1352.8367628218623"/>
    <m/>
    <x v="0"/>
    <m/>
    <m/>
    <s v=""/>
    <s v=""/>
    <s v=""/>
    <s v=""/>
    <s v=""/>
    <s v=""/>
    <s v=""/>
    <s v=""/>
    <s v="[AC-98-130-367-001] Shaft Sleeve, PWO Frame 2, 316SS"/>
    <m/>
    <m/>
    <m/>
    <m/>
    <m/>
    <s v=""/>
    <s v=""/>
    <s v=""/>
    <s v=""/>
  </r>
  <r>
    <n v="1"/>
    <s v="SO17022"/>
    <m/>
    <x v="0"/>
    <x v="0"/>
    <m/>
    <s v="Ian Trottier"/>
    <n v="4"/>
    <n v="2025"/>
    <s v="INV12926"/>
    <n v="4"/>
    <n v="2025"/>
    <x v="0"/>
    <s v="Industrial Pump Repair Canada"/>
    <s v="CAD"/>
    <n v="419.88"/>
    <n v="302.98329431768587"/>
    <x v="0"/>
    <n v="0"/>
    <n v="302.98329431768587"/>
    <m/>
    <x v="0"/>
    <m/>
    <m/>
    <s v=""/>
    <s v=""/>
    <s v=""/>
    <s v=""/>
    <s v=""/>
    <s v=""/>
    <s v=""/>
    <s v=""/>
    <s v="[DU-CY50682AA-316] Shaft (Solid), Durco Mark 3 Group 1, 316SS"/>
    <m/>
    <m/>
    <m/>
    <m/>
    <m/>
    <s v=""/>
    <s v=""/>
    <s v=""/>
    <s v=""/>
  </r>
  <r>
    <n v="1"/>
    <s v="SO17024"/>
    <m/>
    <x v="5"/>
    <x v="0"/>
    <m/>
    <s v="Wilka Nuñez"/>
    <n v="4"/>
    <n v="2025"/>
    <s v="INV13067"/>
    <n v="7"/>
    <n v="2025"/>
    <x v="1"/>
    <s v="Barrick Gold - Pueblo Viejo Dominicana Corporation"/>
    <s v="USD"/>
    <n v="1750.5775013536083"/>
    <n v="1260"/>
    <x v="0"/>
    <n v="0"/>
    <n v="1260"/>
    <m/>
    <x v="2"/>
    <m/>
    <m/>
    <s v=""/>
    <n v="0.02"/>
    <s v=""/>
    <s v=""/>
    <s v=""/>
    <n v="25.2"/>
    <s v=""/>
    <s v=""/>
    <s v="[DVT‐GV16D20‐4/0503-LR] Lantern Ring, Dynapro Vertical Turbine Pump, 16DMC 4-Stages, Teflon"/>
    <m/>
    <m/>
    <n v="2503"/>
    <m/>
    <m/>
    <s v=""/>
    <n v="0"/>
    <s v=""/>
    <s v=""/>
  </r>
  <r>
    <n v="1"/>
    <s v="SO17025"/>
    <m/>
    <x v="0"/>
    <x v="0"/>
    <m/>
    <s v="Wilka Nuñez"/>
    <n v="4"/>
    <n v="2025"/>
    <s v="INV12909"/>
    <n v="6"/>
    <n v="2025"/>
    <x v="0"/>
    <s v="Barrick Gold - Pueblo Viejo Dominicana Corporation"/>
    <s v="USD"/>
    <n v="10352.63747356058"/>
    <n v="7451.44"/>
    <x v="0"/>
    <n v="0"/>
    <n v="7451.44"/>
    <m/>
    <x v="0"/>
    <m/>
    <m/>
    <s v=""/>
    <s v=""/>
    <s v=""/>
    <s v=""/>
    <s v=""/>
    <s v=""/>
    <s v=""/>
    <s v=""/>
    <s v="[D-2001407-2507] Bowl Wear Ring, 10JKH/M, 05.50x05.88x0.88, Duplex SS 2507 w/Ion Nitriding"/>
    <m/>
    <m/>
    <m/>
    <m/>
    <m/>
    <s v=""/>
    <s v=""/>
    <s v=""/>
    <s v=""/>
  </r>
  <r>
    <n v="1"/>
    <s v="SO17026"/>
    <m/>
    <x v="0"/>
    <x v="0"/>
    <m/>
    <s v="Ian Trottier"/>
    <n v="4"/>
    <n v="2025"/>
    <s v="INV12931"/>
    <n v="6"/>
    <n v="2025"/>
    <x v="0"/>
    <s v="Wajax Limited - Lachine"/>
    <s v="CAD"/>
    <n v="297.88"/>
    <n v="214.44149965539472"/>
    <x v="0"/>
    <n v="0"/>
    <n v="214.44149965539472"/>
    <m/>
    <x v="0"/>
    <m/>
    <m/>
    <s v=""/>
    <s v=""/>
    <s v=""/>
    <s v=""/>
    <s v=""/>
    <s v=""/>
    <s v=""/>
    <s v=""/>
    <s v="[G-76230X 2229] Shaft Sleeve, 13&quot; and 15&quot;, 3196 XLT, 316SS"/>
    <m/>
    <m/>
    <m/>
    <m/>
    <m/>
    <s v=""/>
    <s v=""/>
    <s v=""/>
    <s v=""/>
  </r>
  <r>
    <n v="1"/>
    <s v="SO17027"/>
    <m/>
    <x v="0"/>
    <x v="0"/>
    <m/>
    <s v="Wilka Nuñez"/>
    <n v="4"/>
    <n v="2025"/>
    <s v="INV12910"/>
    <n v="6"/>
    <n v="2025"/>
    <x v="0"/>
    <s v="Barrick Gold - Pueblo Viejo Dominicana Corporation"/>
    <s v="USD"/>
    <n v="8414.5814578953414"/>
    <n v="6056.5"/>
    <x v="0"/>
    <n v="0"/>
    <n v="6056.5"/>
    <m/>
    <x v="0"/>
    <m/>
    <m/>
    <s v=""/>
    <s v=""/>
    <s v=""/>
    <s v=""/>
    <s v=""/>
    <s v=""/>
    <s v=""/>
    <s v=""/>
    <s v="[D-2001417-CD4] Bell,10JKH/M, BW-FLG-STD-STEP-CUT_NR, CD4MCu"/>
    <m/>
    <m/>
    <m/>
    <m/>
    <m/>
    <s v=""/>
    <s v=""/>
    <s v=""/>
    <s v=""/>
  </r>
  <r>
    <n v="1"/>
    <s v="SO17028"/>
    <m/>
    <x v="0"/>
    <x v="0"/>
    <m/>
    <s v="Ian Trottier"/>
    <n v="4"/>
    <n v="2025"/>
    <s v="INV12933"/>
    <n v="6"/>
    <n v="2025"/>
    <x v="0"/>
    <s v="Les Pompes du St-Laurent Inc."/>
    <s v="CAD"/>
    <n v="3521.29"/>
    <n v="2534.9493363822507"/>
    <x v="0"/>
    <n v="0"/>
    <n v="2534.9493363822507"/>
    <m/>
    <x v="0"/>
    <m/>
    <m/>
    <s v=""/>
    <s v=""/>
    <s v=""/>
    <s v=""/>
    <s v=""/>
    <s v=""/>
    <s v=""/>
    <s v=""/>
    <s v="[DU-CY21805A/CBS-DC20] Rear Cover, 10&quot;, Durco Mark 2&amp;3 Group 2, Alloy 20, Small Bore"/>
    <m/>
    <m/>
    <m/>
    <m/>
    <m/>
    <s v=""/>
    <s v=""/>
    <s v=""/>
    <s v=""/>
  </r>
  <r>
    <n v="1"/>
    <s v="SO17029"/>
    <m/>
    <x v="1"/>
    <x v="0"/>
    <m/>
    <s v="Ian Trottier"/>
    <n v="4"/>
    <n v="2025"/>
    <s v="INV12919"/>
    <n v="7"/>
    <n v="2025"/>
    <x v="1"/>
    <s v="Southeast Pump Specialist, Inc."/>
    <s v="USD"/>
    <n v="8471.5457172204988"/>
    <n v="6098.6"/>
    <x v="0"/>
    <n v="562"/>
    <n v="5536.6"/>
    <m/>
    <x v="1"/>
    <m/>
    <m/>
    <s v=""/>
    <n v="5.0000000000000001E-3"/>
    <s v=""/>
    <s v=""/>
    <s v=""/>
    <n v="27.683000000000003"/>
    <s v=""/>
    <s v=""/>
    <s v="[D-1J2311-2] Casing, 2x3-11, Goulds JC, Frame 1J, High Chrome, OEM# 055891G0001228"/>
    <n v="27.683000000000003"/>
    <m/>
    <m/>
    <m/>
    <m/>
    <s v=""/>
    <n v="27.683000000000003"/>
    <s v=""/>
    <s v=""/>
  </r>
  <r>
    <n v="1"/>
    <s v="SO17030"/>
    <m/>
    <x v="1"/>
    <x v="0"/>
    <m/>
    <s v="Ian Trottier"/>
    <n v="4"/>
    <n v="2025"/>
    <s v="INV12922"/>
    <n v="7"/>
    <n v="2025"/>
    <x v="1"/>
    <s v="PT Vale Indonesia Tbk."/>
    <s v="USD"/>
    <n v="472.08454596093964"/>
    <n v="339.85"/>
    <x v="0"/>
    <n v="0"/>
    <n v="339.85"/>
    <m/>
    <x v="1"/>
    <m/>
    <m/>
    <s v=""/>
    <n v="5.0000000000000001E-3"/>
    <s v=""/>
    <s v=""/>
    <s v=""/>
    <n v="1.6992500000000001"/>
    <s v=""/>
    <s v=""/>
    <s v="[W-B073M/E05] Shaft, 1.5/1 or 2/1.5 B-AH, 1045 Steel, Metric"/>
    <n v="1.6992500000000001"/>
    <m/>
    <m/>
    <m/>
    <m/>
    <s v=""/>
    <n v="1.6992500000000001"/>
    <s v=""/>
    <s v=""/>
  </r>
  <r>
    <n v="1"/>
    <s v="SO17031"/>
    <m/>
    <x v="0"/>
    <x v="0"/>
    <m/>
    <s v="Ian Trottier"/>
    <n v="4"/>
    <n v="2025"/>
    <s v="INV12945"/>
    <n v="5"/>
    <n v="2025"/>
    <x v="0"/>
    <s v="Canadian Bearings Ltd."/>
    <s v="CAD"/>
    <n v="442.49"/>
    <n v="317.11567102770829"/>
    <x v="0"/>
    <n v="0"/>
    <n v="317.11567102770829"/>
    <m/>
    <x v="0"/>
    <m/>
    <m/>
    <s v=""/>
    <s v=""/>
    <s v=""/>
    <s v=""/>
    <s v=""/>
    <s v=""/>
    <s v=""/>
    <s v=""/>
    <s v="[AC-52-050-313-000] Shim Kit, Allis Chalmers CSO, Frame F4D1/F4B5"/>
    <m/>
    <m/>
    <m/>
    <m/>
    <m/>
    <s v=""/>
    <s v=""/>
    <s v=""/>
    <s v=""/>
  </r>
  <r>
    <n v="1"/>
    <s v="SO17033"/>
    <m/>
    <x v="0"/>
    <x v="0"/>
    <m/>
    <s v="Ian Trottier"/>
    <n v="4"/>
    <n v="2025"/>
    <s v="INV12948"/>
    <n v="6"/>
    <n v="2025"/>
    <x v="0"/>
    <s v="Tantalum Mining Corporation of Canada"/>
    <s v="CAD"/>
    <n v="2084.9299999999998"/>
    <n v="1494.1896449542357"/>
    <x v="0"/>
    <n v="0"/>
    <n v="1494.1896449542357"/>
    <m/>
    <x v="0"/>
    <m/>
    <m/>
    <s v=""/>
    <s v=""/>
    <s v=""/>
    <s v=""/>
    <s v=""/>
    <s v=""/>
    <s v=""/>
    <s v=""/>
    <s v="[AC-98-331-958-822] Shaft Sleeve, 3x3-10 SRL &amp; SRL-C, 420SS Heat Treated, Hardened"/>
    <m/>
    <m/>
    <m/>
    <m/>
    <m/>
    <s v=""/>
    <s v=""/>
    <s v=""/>
    <s v=""/>
  </r>
  <r>
    <n v="1"/>
    <s v="SO17037"/>
    <m/>
    <x v="0"/>
    <x v="0"/>
    <m/>
    <s v="Ian Trottier"/>
    <n v="4"/>
    <n v="2025"/>
    <s v="INV12939"/>
    <n v="6"/>
    <n v="2025"/>
    <x v="0"/>
    <s v="Process and Steam Specialties, Process and Steam Specialties"/>
    <s v="CAD"/>
    <n v="997.63"/>
    <n v="720.39023376823968"/>
    <x v="0"/>
    <n v="0"/>
    <n v="720.39023376823968"/>
    <m/>
    <x v="0"/>
    <m/>
    <m/>
    <s v=""/>
    <s v=""/>
    <s v=""/>
    <s v=""/>
    <s v=""/>
    <s v=""/>
    <s v=""/>
    <s v=""/>
    <s v="[SA-234602-M1] Impeller, VT50, Natural Rubber"/>
    <m/>
    <m/>
    <m/>
    <m/>
    <m/>
    <s v=""/>
    <s v=""/>
    <s v=""/>
    <s v=""/>
  </r>
  <r>
    <n v="1"/>
    <s v="SO17044"/>
    <m/>
    <x v="1"/>
    <x v="0"/>
    <m/>
    <s v="Ian Trottier"/>
    <n v="4"/>
    <n v="2025"/>
    <s v="INV13088"/>
    <n v="8"/>
    <n v="2025"/>
    <x v="1"/>
    <s v="Resolute Forest Products - Saint-Felicien"/>
    <s v="CAD"/>
    <n v="1839.56"/>
    <n v="1335.5062741481445"/>
    <x v="0"/>
    <n v="0"/>
    <n v="1335.5062741481445"/>
    <m/>
    <x v="2"/>
    <m/>
    <m/>
    <s v=""/>
    <n v="0.02"/>
    <s v=""/>
    <s v=""/>
    <s v=""/>
    <n v="26.710125482962891"/>
    <s v=""/>
    <s v=""/>
    <s v="[G-A02827A04 2156] Impeller Nut &amp; Washer, 3196 XLT, Titanium"/>
    <n v="26.710125482962891"/>
    <m/>
    <m/>
    <m/>
    <m/>
    <s v=""/>
    <n v="26.710125482962891"/>
    <s v=""/>
    <s v=""/>
  </r>
  <r>
    <n v="1"/>
    <s v="SO17046"/>
    <m/>
    <x v="0"/>
    <x v="0"/>
    <m/>
    <s v="Ian Trottier"/>
    <n v="4"/>
    <n v="2025"/>
    <s v="INV12956"/>
    <n v="6"/>
    <n v="2025"/>
    <x v="0"/>
    <s v="Glencore Canada Corporation - Rouyn-Noranda, Glencore Canada Corp."/>
    <s v="CAD"/>
    <n v="152.13"/>
    <n v="109.76486958699009"/>
    <x v="0"/>
    <n v="0"/>
    <n v="109.76486958699009"/>
    <m/>
    <x v="0"/>
    <m/>
    <m/>
    <s v=""/>
    <s v=""/>
    <s v=""/>
    <s v=""/>
    <s v=""/>
    <s v=""/>
    <s v=""/>
    <s v=""/>
    <s v="[AC-98-236-245-003] Premium Slurry Packing (5 Piece Set), 5x4/5x5/6x6 SRL &amp; SRL-C, Kevlar Fiber w/Silicon Core"/>
    <m/>
    <m/>
    <m/>
    <m/>
    <m/>
    <s v=""/>
    <s v=""/>
    <s v=""/>
    <s v=""/>
  </r>
  <r>
    <n v="1"/>
    <s v="SO17047"/>
    <m/>
    <x v="0"/>
    <x v="0"/>
    <m/>
    <s v="Ian Trottier"/>
    <n v="4"/>
    <n v="2025"/>
    <s v="INV12929"/>
    <n v="7"/>
    <n v="2025"/>
    <x v="0"/>
    <s v="Southeast Pump Specialist, Inc."/>
    <s v="USD"/>
    <n v="2608.1714134156036"/>
    <n v="1881.12"/>
    <x v="0"/>
    <n v="562"/>
    <n v="1319.12"/>
    <m/>
    <x v="0"/>
    <m/>
    <m/>
    <s v=""/>
    <s v=""/>
    <s v=""/>
    <s v=""/>
    <s v=""/>
    <s v=""/>
    <s v=""/>
    <s v=""/>
    <s v="[W-S009] Bearing, 10/8 to 14/12 ST, FF-AH or 150/200 SV-SP or 300/350 Type L"/>
    <m/>
    <m/>
    <m/>
    <m/>
    <m/>
    <s v=""/>
    <s v=""/>
    <s v=""/>
    <s v=""/>
  </r>
  <r>
    <n v="1"/>
    <s v="SO17048"/>
    <m/>
    <x v="0"/>
    <x v="0"/>
    <m/>
    <s v="Ian Trottier"/>
    <n v="4"/>
    <n v="2025"/>
    <s v="INV12936"/>
    <n v="6"/>
    <n v="2025"/>
    <x v="0"/>
    <s v="Sealtrac Inc."/>
    <s v="CAD"/>
    <n v="1074.54"/>
    <n v="775.3023267337428"/>
    <x v="0"/>
    <n v="0"/>
    <n v="775.3023267337428"/>
    <m/>
    <x v="0"/>
    <m/>
    <m/>
    <s v=""/>
    <s v=""/>
    <s v=""/>
    <s v=""/>
    <s v=""/>
    <s v=""/>
    <s v=""/>
    <s v=""/>
    <s v="[G-C04677A 3201] Coupling Guard, 3196 MTX/LTX, Fabricated Steel, Drum Style"/>
    <m/>
    <m/>
    <m/>
    <m/>
    <m/>
    <s v=""/>
    <s v=""/>
    <s v=""/>
    <s v=""/>
  </r>
  <r>
    <n v="1"/>
    <s v="SO17049"/>
    <m/>
    <x v="0"/>
    <x v="0"/>
    <m/>
    <s v="Ian Trottier"/>
    <n v="4"/>
    <n v="2025"/>
    <s v="INV12938"/>
    <n v="5"/>
    <n v="2025"/>
    <x v="0"/>
    <s v="Alamos Gold Inc, Alamos Gold Inc Island Gold Division"/>
    <s v="CAD"/>
    <n v="90.56"/>
    <n v="64.900890795880727"/>
    <x v="0"/>
    <n v="0"/>
    <n v="64.900890795880727"/>
    <m/>
    <x v="0"/>
    <m/>
    <m/>
    <s v=""/>
    <s v=""/>
    <s v=""/>
    <s v=""/>
    <s v=""/>
    <s v=""/>
    <s v=""/>
    <s v=""/>
    <s v="[023-Teflon, G-C02495A23 6359] Impeller O-Ring, 3196 STX, Teflon"/>
    <m/>
    <m/>
    <m/>
    <m/>
    <m/>
    <s v=""/>
    <s v=""/>
    <s v=""/>
    <s v=""/>
  </r>
  <r>
    <n v="1"/>
    <s v="SO17051"/>
    <m/>
    <x v="0"/>
    <x v="0"/>
    <m/>
    <s v="Ian Trottier"/>
    <n v="4"/>
    <n v="2025"/>
    <s v="INV13133"/>
    <n v="6"/>
    <n v="2025"/>
    <x v="0"/>
    <s v="Jindal Drilling &amp; Industries Limited"/>
    <s v="USD"/>
    <n v="28589.292236776691"/>
    <n v="20808.13"/>
    <x v="0"/>
    <n v="0"/>
    <n v="20808.13"/>
    <m/>
    <x v="0"/>
    <m/>
    <m/>
    <s v=""/>
    <s v=""/>
    <s v=""/>
    <s v=""/>
    <s v=""/>
    <s v=""/>
    <s v=""/>
    <s v=""/>
    <s v="[G-056185G180 1228] Casing, 4x6-14, Goulds JC, Frame 3J, High Chrome, OEM# 056185G1801228"/>
    <m/>
    <m/>
    <m/>
    <m/>
    <m/>
    <s v=""/>
    <s v=""/>
    <s v=""/>
    <s v=""/>
  </r>
  <r>
    <n v="1"/>
    <s v="SO17053"/>
    <m/>
    <x v="0"/>
    <x v="0"/>
    <m/>
    <s v="Ian Trottier"/>
    <n v="4"/>
    <n v="2025"/>
    <s v="INV12934"/>
    <n v="6"/>
    <n v="2025"/>
    <x v="0"/>
    <s v="Fabrene Inc."/>
    <s v="CAD"/>
    <n v="229.88"/>
    <n v="165.86306593477462"/>
    <x v="0"/>
    <n v="0"/>
    <n v="165.86306593477462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7054"/>
    <m/>
    <x v="0"/>
    <x v="0"/>
    <m/>
    <s v="Ian Trottier"/>
    <n v="4"/>
    <n v="2025"/>
    <s v="INV12924"/>
    <n v="6"/>
    <n v="2025"/>
    <x v="0"/>
    <s v="Fabrene Inc."/>
    <s v="CAD"/>
    <n v="425.21"/>
    <n v="306.79760860503541"/>
    <x v="0"/>
    <n v="0"/>
    <n v="306.79760860503541"/>
    <m/>
    <x v="0"/>
    <m/>
    <m/>
    <s v=""/>
    <s v=""/>
    <s v=""/>
    <s v=""/>
    <s v=""/>
    <s v=""/>
    <s v=""/>
    <s v=""/>
    <s v="[G-77225 6956] Shaft Sleeve, 3196 STX, 316SS, NCB Hardcoated"/>
    <m/>
    <m/>
    <m/>
    <m/>
    <m/>
    <s v=""/>
    <s v=""/>
    <s v=""/>
    <s v=""/>
  </r>
  <r>
    <n v="1"/>
    <s v="SO17055"/>
    <m/>
    <x v="0"/>
    <x v="0"/>
    <m/>
    <s v="Ian Trottier"/>
    <n v="4"/>
    <n v="2025"/>
    <s v="INV12928"/>
    <n v="6"/>
    <n v="2025"/>
    <x v="0"/>
    <s v="Tech-Flow"/>
    <s v="USD"/>
    <n v="3538.3182803905934"/>
    <n v="2551.98"/>
    <x v="0"/>
    <n v="0"/>
    <n v="2551.98"/>
    <m/>
    <x v="0"/>
    <m/>
    <m/>
    <s v=""/>
    <s v=""/>
    <s v=""/>
    <s v=""/>
    <s v=""/>
    <s v=""/>
    <s v=""/>
    <s v=""/>
    <s v="[SA-016628-M1] Casing, 44 WFR, Sala ST, Rubber Lined"/>
    <m/>
    <m/>
    <m/>
    <m/>
    <m/>
    <s v=""/>
    <s v=""/>
    <s v=""/>
    <s v=""/>
  </r>
  <r>
    <n v="2"/>
    <s v="SO17059"/>
    <m/>
    <x v="0"/>
    <x v="0"/>
    <m/>
    <s v="Yannett Yeomans"/>
    <n v="4"/>
    <n v="2025"/>
    <s v="INV13394"/>
    <s v=""/>
    <s v=""/>
    <x v="0"/>
    <s v="Dynapro Pumps México S de RL de CV"/>
    <s v="USD"/>
    <n v="42958.715898354742"/>
    <n v="30984"/>
    <x v="1"/>
    <n v="0"/>
    <n v="0"/>
    <m/>
    <x v="0"/>
    <m/>
    <m/>
    <s v=""/>
    <s v=""/>
    <s v=""/>
    <s v=""/>
    <s v=""/>
    <s v=""/>
    <s v=""/>
    <s v=""/>
    <s v="[6254C-00-0028G] Pump Casing, Dynapro 6X8 MDX-025, High Chrome"/>
    <m/>
    <m/>
    <m/>
    <m/>
    <m/>
    <s v=""/>
    <s v=""/>
    <s v=""/>
    <s v=""/>
  </r>
  <r>
    <n v="2"/>
    <s v="SO17059"/>
    <m/>
    <x v="0"/>
    <x v="0"/>
    <m/>
    <n v="0"/>
    <n v="4"/>
    <n v="2025"/>
    <s v="INV13273"/>
    <s v=""/>
    <s v=""/>
    <x v="0"/>
    <s v="Dynapro Pumps México S de RL de CV"/>
    <s v="USD"/>
    <n v="0"/>
    <n v="0"/>
    <x v="1"/>
    <n v="0"/>
    <n v="0"/>
    <m/>
    <x v="0"/>
    <m/>
    <m/>
    <s v=""/>
    <s v=""/>
    <s v=""/>
    <s v=""/>
    <s v=""/>
    <s v=""/>
    <s v=""/>
    <s v=""/>
    <s v="[6254C-00-0028G] Pump Casing, Dynapro 6X8 MDX-025, High Chrome"/>
    <m/>
    <m/>
    <m/>
    <m/>
    <m/>
    <s v=""/>
    <s v=""/>
    <s v=""/>
    <s v=""/>
  </r>
  <r>
    <n v="2"/>
    <s v="SO17060"/>
    <m/>
    <x v="0"/>
    <x v="0"/>
    <m/>
    <s v="Taylor Cook"/>
    <n v="4"/>
    <n v="2025"/>
    <s v="INV13021"/>
    <n v="6"/>
    <n v="2025"/>
    <x v="0"/>
    <s v="Sling-Choker Manufacturing - Timmins"/>
    <s v="CAD"/>
    <n v="16904.79"/>
    <n v="12115.0168917546"/>
    <x v="0"/>
    <n v="0"/>
    <n v="12115.0168917546"/>
    <m/>
    <x v="0"/>
    <m/>
    <m/>
    <s v=""/>
    <s v=""/>
    <s v=""/>
    <s v=""/>
    <s v=""/>
    <s v=""/>
    <s v=""/>
    <s v=""/>
    <s v="[AC-98-131-246-511] Deflector (Water Slinger), 5x5/5x4/6x6 SRL &amp; SRL-C, Neoprene/Steel"/>
    <m/>
    <m/>
    <m/>
    <m/>
    <m/>
    <s v=""/>
    <s v=""/>
    <s v=""/>
    <s v=""/>
  </r>
  <r>
    <n v="2"/>
    <s v="SO17060"/>
    <m/>
    <x v="0"/>
    <x v="0"/>
    <m/>
    <n v="0"/>
    <n v="4"/>
    <n v="2025"/>
    <s v="INV13114"/>
    <n v="7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G-RC03132A 2229] Shaft (Less Sleeve), 3196 LTX, 316SS"/>
    <m/>
    <m/>
    <m/>
    <m/>
    <m/>
    <s v=""/>
    <s v=""/>
    <s v=""/>
    <s v=""/>
  </r>
  <r>
    <n v="1"/>
    <s v="SO17061"/>
    <m/>
    <x v="0"/>
    <x v="0"/>
    <m/>
    <s v="Ian Trottier"/>
    <n v="4"/>
    <n v="2025"/>
    <s v="INV12995"/>
    <n v="6"/>
    <n v="2025"/>
    <x v="0"/>
    <s v="Motion Industries Inc. (U.S.) - Westlake"/>
    <s v="USD"/>
    <n v="185.1531058877263"/>
    <n v="133.54"/>
    <x v="0"/>
    <n v="0"/>
    <n v="133.54"/>
    <m/>
    <x v="0"/>
    <m/>
    <m/>
    <s v=""/>
    <s v=""/>
    <s v=""/>
    <s v=""/>
    <s v=""/>
    <s v=""/>
    <s v=""/>
    <s v=""/>
    <s v="[AC-52-118-010-002] Shaft Sleeve, Allis Chalmers 2000 Series, 330 Frame, Bronze"/>
    <m/>
    <m/>
    <m/>
    <m/>
    <m/>
    <s v=""/>
    <s v=""/>
    <s v=""/>
    <s v=""/>
  </r>
  <r>
    <n v="1"/>
    <s v="SO17062"/>
    <m/>
    <x v="5"/>
    <x v="0"/>
    <m/>
    <s v="Wilka Nuñez"/>
    <n v="4"/>
    <n v="2025"/>
    <s v="INV13187"/>
    <n v="8"/>
    <n v="2025"/>
    <x v="1"/>
    <s v="Barrick Gold - Pueblo Viejo Dominicana Corporation"/>
    <s v="USD"/>
    <n v="20638.65095481052"/>
    <n v="14885.44"/>
    <x v="0"/>
    <n v="0"/>
    <n v="14885.44"/>
    <m/>
    <x v="2"/>
    <m/>
    <m/>
    <s v=""/>
    <n v="0.02"/>
    <s v=""/>
    <s v=""/>
    <s v=""/>
    <n v="297.7088"/>
    <s v=""/>
    <s v=""/>
    <s v="[85449] Service Kit, Micropump GLH-H25, Gears on Shafts, Bushings and Seals"/>
    <m/>
    <m/>
    <n v="2503"/>
    <m/>
    <m/>
    <s v=""/>
    <n v="0"/>
    <s v=""/>
    <s v=""/>
  </r>
  <r>
    <n v="1"/>
    <s v="SO17063"/>
    <m/>
    <x v="0"/>
    <x v="0"/>
    <m/>
    <s v="Ian Trottier"/>
    <n v="4"/>
    <n v="2025"/>
    <s v="INV13386"/>
    <n v="10"/>
    <n v="2025"/>
    <x v="0"/>
    <s v="Les Pompes du St-Laurent Inc."/>
    <s v="CAD"/>
    <n v="1734.82"/>
    <n v="1262.4764740178982"/>
    <x v="0"/>
    <n v="0"/>
    <n v="1262.4764740178982"/>
    <m/>
    <x v="0"/>
    <m/>
    <m/>
    <s v=""/>
    <s v=""/>
    <s v=""/>
    <s v=""/>
    <s v=""/>
    <s v=""/>
    <s v=""/>
    <s v=""/>
    <s v="[G-RC03355A 1203] Plain Gland Assembly, 3196 XLT, 316SS"/>
    <m/>
    <m/>
    <m/>
    <m/>
    <m/>
    <s v=""/>
    <s v=""/>
    <s v=""/>
    <s v=""/>
  </r>
  <r>
    <n v="1"/>
    <s v="SO17073"/>
    <m/>
    <x v="0"/>
    <x v="0"/>
    <m/>
    <s v="Ian Trottier"/>
    <n v="4"/>
    <n v="2025"/>
    <s v="INV12949"/>
    <n v="5"/>
    <n v="2025"/>
    <x v="0"/>
    <s v="FMI Products"/>
    <s v="CAD"/>
    <n v="136.80000000000001"/>
    <n v="98.039331502611361"/>
    <x v="0"/>
    <n v="0"/>
    <n v="98.039331502611361"/>
    <m/>
    <x v="0"/>
    <m/>
    <m/>
    <s v=""/>
    <s v=""/>
    <s v=""/>
    <s v=""/>
    <s v=""/>
    <s v=""/>
    <s v=""/>
    <s v=""/>
    <s v="[G-70782 29 5127] Casing Gasket, 10&quot;, 3196 MTX, Durlon 8500"/>
    <m/>
    <m/>
    <m/>
    <m/>
    <m/>
    <s v=""/>
    <s v=""/>
    <s v=""/>
    <s v=""/>
  </r>
  <r>
    <n v="1"/>
    <s v="SO17079"/>
    <m/>
    <x v="0"/>
    <x v="0"/>
    <m/>
    <s v="Taylor Cook"/>
    <n v="5"/>
    <n v="2025"/>
    <s v="INV12944"/>
    <n v="6"/>
    <n v="2025"/>
    <x v="0"/>
    <s v="Manufacture Sling-Choker (Val-d’Or) Ltée"/>
    <s v="CAD"/>
    <n v="481.71"/>
    <n v="349.25390016075994"/>
    <x v="0"/>
    <n v="0"/>
    <n v="349.25390016075994"/>
    <m/>
    <x v="0"/>
    <m/>
    <m/>
    <s v=""/>
    <s v=""/>
    <s v=""/>
    <s v=""/>
    <s v=""/>
    <s v=""/>
    <s v=""/>
    <s v=""/>
    <s v="[AC-98-233-732-001] Waterseal Bushing, 8x6-18 &amp; 10x8-21 SRL-C, Steel"/>
    <m/>
    <m/>
    <m/>
    <m/>
    <m/>
    <s v=""/>
    <s v=""/>
    <s v=""/>
    <s v=""/>
  </r>
  <r>
    <n v="1"/>
    <s v="SO17080"/>
    <m/>
    <x v="0"/>
    <x v="0"/>
    <m/>
    <s v="Ian Trottier"/>
    <n v="5"/>
    <n v="2025"/>
    <s v="INV12941"/>
    <n v="6"/>
    <n v="2025"/>
    <x v="0"/>
    <s v="Hyperflo"/>
    <s v="CAD"/>
    <n v="1906.8"/>
    <n v="1382.4860119709722"/>
    <x v="0"/>
    <n v="0"/>
    <n v="1382.4860119709722"/>
    <m/>
    <x v="0"/>
    <m/>
    <m/>
    <s v=""/>
    <s v=""/>
    <s v=""/>
    <s v=""/>
    <s v=""/>
    <s v=""/>
    <s v=""/>
    <s v=""/>
    <s v="[AC-98-231-054-501] Suction Side Liner, 2x2-10 SRL, Natural Rubber"/>
    <m/>
    <m/>
    <m/>
    <m/>
    <m/>
    <s v=""/>
    <s v=""/>
    <s v=""/>
    <s v=""/>
  </r>
  <r>
    <n v="1"/>
    <s v="SO17082"/>
    <m/>
    <x v="0"/>
    <x v="0"/>
    <m/>
    <s v="Ian Trottier"/>
    <n v="5"/>
    <n v="2025"/>
    <s v="INV12961"/>
    <n v="6"/>
    <n v="2025"/>
    <x v="0"/>
    <s v="Hyperflo"/>
    <s v="CAD"/>
    <n v="5131.7"/>
    <n v="3725.5743476951202"/>
    <x v="0"/>
    <n v="0"/>
    <n v="3725.5743476951202"/>
    <m/>
    <x v="0"/>
    <m/>
    <m/>
    <s v=""/>
    <s v=""/>
    <s v=""/>
    <s v=""/>
    <s v=""/>
    <s v=""/>
    <s v=""/>
    <s v=""/>
    <s v="[AC-98-431-775-001] Suction Side Casing, 8x6-18 SRL-C, Cast Iron"/>
    <m/>
    <m/>
    <m/>
    <m/>
    <m/>
    <s v=""/>
    <s v=""/>
    <s v=""/>
    <s v=""/>
  </r>
  <r>
    <n v="2"/>
    <s v="SO17086"/>
    <m/>
    <x v="0"/>
    <x v="0"/>
    <m/>
    <s v="Amanda Qiao"/>
    <n v="5"/>
    <n v="2025"/>
    <s v="INV13109"/>
    <s v=""/>
    <s v=""/>
    <x v="0"/>
    <s v="First Bauxite Inc."/>
    <s v="USD"/>
    <n v="10427.161285638142"/>
    <n v="7529.47"/>
    <x v="0"/>
    <n v="129.47"/>
    <n v="7400"/>
    <m/>
    <x v="0"/>
    <m/>
    <m/>
    <s v=""/>
    <s v=""/>
    <s v=""/>
    <s v=""/>
    <s v=""/>
    <s v=""/>
    <s v=""/>
    <s v=""/>
    <s v="[D-MCL-108S17-DC] Drive Coupling, MCL-108S17"/>
    <m/>
    <m/>
    <m/>
    <m/>
    <m/>
    <s v=""/>
    <s v=""/>
    <s v=""/>
    <s v=""/>
  </r>
  <r>
    <n v="2"/>
    <s v="SO17086"/>
    <m/>
    <x v="0"/>
    <x v="0"/>
    <m/>
    <n v="0"/>
    <n v="5"/>
    <n v="2025"/>
    <s v="INV12935"/>
    <s v=""/>
    <s v=""/>
    <x v="0"/>
    <s v="First Bauxite Inc."/>
    <s v="USD"/>
    <n v="0"/>
    <n v="0"/>
    <x v="1"/>
    <n v="0"/>
    <n v="0"/>
    <m/>
    <x v="0"/>
    <m/>
    <m/>
    <s v=""/>
    <s v=""/>
    <s v=""/>
    <s v=""/>
    <s v=""/>
    <s v=""/>
    <s v=""/>
    <s v=""/>
    <s v="Down payment of 100.0%"/>
    <m/>
    <m/>
    <m/>
    <m/>
    <m/>
    <s v=""/>
    <s v=""/>
    <s v=""/>
    <s v=""/>
  </r>
  <r>
    <n v="1"/>
    <s v="SO17095"/>
    <m/>
    <x v="0"/>
    <x v="0"/>
    <m/>
    <s v="Taylor Cook"/>
    <n v="5"/>
    <n v="2025"/>
    <s v="INV12960"/>
    <n v="6"/>
    <n v="2025"/>
    <x v="0"/>
    <s v="Canadian Industrial Pumps Ltd"/>
    <s v="CAD"/>
    <n v="1389.92"/>
    <n v="1009.0711260105625"/>
    <x v="0"/>
    <n v="0"/>
    <n v="1009.0711260105625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1"/>
    <s v="SO17099"/>
    <m/>
    <x v="0"/>
    <x v="0"/>
    <m/>
    <s v="Ian Trottier"/>
    <n v="5"/>
    <n v="2025"/>
    <s v="INV12950"/>
    <n v="6"/>
    <n v="2025"/>
    <x v="0"/>
    <s v="Glencore Canada Corporation - Rouyn-Noranda, Glencore Canada Corp."/>
    <s v="CAD"/>
    <n v="3038.47"/>
    <n v="2193.5481362451369"/>
    <x v="0"/>
    <n v="0"/>
    <n v="2193.5481362451369"/>
    <m/>
    <x v="0"/>
    <m/>
    <m/>
    <s v=""/>
    <s v=""/>
    <s v=""/>
    <s v=""/>
    <s v=""/>
    <s v=""/>
    <s v=""/>
    <s v=""/>
    <s v="[AC-98-431-799-001] Suction Side Casing, 5x4-14 SRL-C, Cast Iron"/>
    <m/>
    <m/>
    <m/>
    <m/>
    <m/>
    <s v=""/>
    <s v=""/>
    <s v=""/>
    <s v=""/>
  </r>
  <r>
    <n v="1"/>
    <s v="SO17100"/>
    <m/>
    <x v="0"/>
    <x v="0"/>
    <m/>
    <s v="Ian Trottier"/>
    <n v="5"/>
    <n v="2025"/>
    <s v="INV13099"/>
    <n v="12"/>
    <n v="2025"/>
    <x v="0"/>
    <s v="Resolute Forest Products - Saint-Felicien"/>
    <s v="CAD"/>
    <n v="6197.11"/>
    <n v="4473.8500266930723"/>
    <x v="0"/>
    <n v="0"/>
    <n v="4473.8500266930723"/>
    <m/>
    <x v="0"/>
    <m/>
    <m/>
    <s v=""/>
    <s v=""/>
    <s v=""/>
    <s v=""/>
    <s v=""/>
    <s v=""/>
    <s v=""/>
    <s v=""/>
    <s v="[M&amp;N # 75] Impeller, 12x10-17, PWO, 4-Vane, 316SS"/>
    <m/>
    <m/>
    <m/>
    <m/>
    <m/>
    <s v=""/>
    <s v=""/>
    <s v=""/>
    <s v=""/>
  </r>
  <r>
    <n v="1"/>
    <s v="SO17101"/>
    <m/>
    <x v="0"/>
    <x v="0"/>
    <m/>
    <s v="Yannett Yeomans"/>
    <n v="5"/>
    <n v="2025"/>
    <s v="INV13206"/>
    <s v=""/>
    <s v=""/>
    <x v="0"/>
    <s v="Dynapro Pumps México S de RL de CV"/>
    <s v="USD"/>
    <n v="3358.0370879727457"/>
    <n v="2430"/>
    <x v="1"/>
    <n v="0"/>
    <n v="0"/>
    <m/>
    <x v="0"/>
    <m/>
    <m/>
    <s v=""/>
    <s v=""/>
    <s v=""/>
    <s v=""/>
    <s v=""/>
    <s v=""/>
    <s v=""/>
    <s v=""/>
    <s v="[10251/0505] Impeller, 12RJHC-8, 316SS"/>
    <m/>
    <m/>
    <m/>
    <m/>
    <m/>
    <s v=""/>
    <s v=""/>
    <s v=""/>
    <s v=""/>
  </r>
  <r>
    <n v="1"/>
    <s v="SO17102"/>
    <m/>
    <x v="0"/>
    <x v="0"/>
    <m/>
    <s v="Ian Trottier"/>
    <n v="5"/>
    <n v="2025"/>
    <s v="INV12947"/>
    <n v="6"/>
    <n v="2025"/>
    <x v="0"/>
    <s v="Hyperflo"/>
    <s v="CAD"/>
    <n v="1095.73"/>
    <n v="795.37534176839563"/>
    <x v="0"/>
    <n v="0"/>
    <n v="795.37534176839563"/>
    <m/>
    <x v="0"/>
    <m/>
    <m/>
    <s v=""/>
    <s v=""/>
    <s v=""/>
    <s v=""/>
    <s v=""/>
    <s v=""/>
    <s v=""/>
    <s v=""/>
    <s v="[AC-98-331-983-801] Bearing Cylinder, 3x3-10 SRL &amp; SRL-C, Cast Iron"/>
    <m/>
    <m/>
    <m/>
    <m/>
    <m/>
    <s v=""/>
    <s v=""/>
    <s v=""/>
    <s v=""/>
  </r>
  <r>
    <n v="1"/>
    <s v="SO17103"/>
    <m/>
    <x v="0"/>
    <x v="0"/>
    <m/>
    <s v="Ian Trottier"/>
    <n v="5"/>
    <n v="2025"/>
    <s v="INV12987"/>
    <n v="5"/>
    <n v="2025"/>
    <x v="0"/>
    <s v="Algoma Steel Inc."/>
    <s v="CAD"/>
    <n v="11129.88"/>
    <n v="7955.6441085196266"/>
    <x v="0"/>
    <n v="0"/>
    <n v="7955.6441085196266"/>
    <m/>
    <x v="0"/>
    <m/>
    <m/>
    <s v=""/>
    <s v=""/>
    <s v=""/>
    <s v=""/>
    <s v=""/>
    <s v=""/>
    <s v=""/>
    <s v=""/>
    <s v="[G-254-50 1216] Casing, 6x8-13, 3196 XLT, CD4MCu"/>
    <m/>
    <m/>
    <m/>
    <m/>
    <m/>
    <s v=""/>
    <s v=""/>
    <s v=""/>
    <s v=""/>
  </r>
  <r>
    <n v="1"/>
    <s v="SO17104"/>
    <m/>
    <x v="0"/>
    <x v="0"/>
    <m/>
    <s v="Yannett Yeomans"/>
    <n v="5"/>
    <n v="2025"/>
    <s v="INV13116"/>
    <s v=""/>
    <s v=""/>
    <x v="0"/>
    <s v="Dynapro Pumps México S de RL de CV"/>
    <s v="USD"/>
    <n v="5722.9243428655509"/>
    <n v="4141.32"/>
    <x v="1"/>
    <n v="0"/>
    <n v="0"/>
    <m/>
    <x v="0"/>
    <m/>
    <m/>
    <s v=""/>
    <s v=""/>
    <s v=""/>
    <s v=""/>
    <s v=""/>
    <s v=""/>
    <s v=""/>
    <s v=""/>
    <s v="[W-SP15116L/D21] Lower Strainer, 150 or 200 SV-SP, Ductile Iron"/>
    <m/>
    <m/>
    <m/>
    <m/>
    <m/>
    <s v=""/>
    <s v=""/>
    <s v=""/>
    <s v=""/>
  </r>
  <r>
    <n v="1"/>
    <s v="SO17105"/>
    <m/>
    <x v="0"/>
    <x v="0"/>
    <m/>
    <s v="Ian Trottier"/>
    <n v="5"/>
    <n v="2025"/>
    <s v="INV13436"/>
    <s v=""/>
    <s v=""/>
    <x v="0"/>
    <s v="Wajax Limited - Noranda"/>
    <s v="CAD"/>
    <n v="1609.78"/>
    <n v="1176.324046232626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106"/>
    <m/>
    <x v="0"/>
    <x v="0"/>
    <m/>
    <s v="Ian Trottier"/>
    <n v="5"/>
    <n v="2025"/>
    <s v="INV12955"/>
    <n v="6"/>
    <n v="2025"/>
    <x v="0"/>
    <s v="Grant Aggregate"/>
    <s v="CAD"/>
    <n v="119.4"/>
    <n v="86.197871780096349"/>
    <x v="0"/>
    <n v="0"/>
    <n v="86.197871780096349"/>
    <m/>
    <x v="0"/>
    <m/>
    <m/>
    <s v=""/>
    <s v=""/>
    <s v=""/>
    <s v=""/>
    <s v=""/>
    <s v=""/>
    <s v=""/>
    <s v=""/>
    <s v="[G-A01081A12] Premium Packing, 3196 XLT, 5 Pre-Cut Rings, Graphite"/>
    <m/>
    <m/>
    <m/>
    <m/>
    <m/>
    <s v=""/>
    <s v=""/>
    <s v=""/>
    <s v=""/>
  </r>
  <r>
    <n v="1"/>
    <s v="SO17114"/>
    <m/>
    <x v="0"/>
    <x v="0"/>
    <m/>
    <s v="Ian Trottier"/>
    <n v="5"/>
    <n v="2025"/>
    <s v="INV12957"/>
    <n v="6"/>
    <n v="2025"/>
    <x v="0"/>
    <s v="Manufacture Sling-Choker (Val-d’Or) Ltée"/>
    <s v="CAD"/>
    <n v="112.37"/>
    <n v="81.567838020784876"/>
    <x v="0"/>
    <n v="0"/>
    <n v="81.567838020784876"/>
    <m/>
    <x v="0"/>
    <m/>
    <m/>
    <s v=""/>
    <s v=""/>
    <s v=""/>
    <s v=""/>
    <s v=""/>
    <s v=""/>
    <s v=""/>
    <s v=""/>
    <s v="[AN18] Bearing Lock Nut, 8x6-18 &amp; 10x8-21 SRL-C, Steel"/>
    <m/>
    <m/>
    <m/>
    <m/>
    <m/>
    <s v=""/>
    <s v=""/>
    <s v=""/>
    <s v=""/>
  </r>
  <r>
    <n v="1"/>
    <s v="SO17116"/>
    <m/>
    <x v="0"/>
    <x v="0"/>
    <m/>
    <s v="Ian Trottier"/>
    <n v="5"/>
    <n v="2025"/>
    <s v="INV12959"/>
    <n v="5"/>
    <n v="2025"/>
    <x v="0"/>
    <s v="MJR Admin"/>
    <s v="CAD"/>
    <n v="1237.1099999999999"/>
    <n v="898.13225271880856"/>
    <x v="0"/>
    <n v="0"/>
    <n v="898.13225271880856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7119"/>
    <m/>
    <x v="1"/>
    <x v="0"/>
    <m/>
    <s v="Ian Trottier"/>
    <n v="5"/>
    <n v="2025"/>
    <s v="INV13089"/>
    <n v="8"/>
    <n v="2025"/>
    <x v="1"/>
    <s v="Hyperflo"/>
    <s v="CAD"/>
    <n v="149.6"/>
    <n v="106.82091557240609"/>
    <x v="0"/>
    <n v="0"/>
    <n v="106.82091557240609"/>
    <m/>
    <x v="1"/>
    <m/>
    <m/>
    <s v=""/>
    <n v="5.0000000000000001E-3"/>
    <s v=""/>
    <s v=""/>
    <s v=""/>
    <n v="0.53410457786203047"/>
    <s v=""/>
    <s v=""/>
    <s v="[G-9008-31365] Breather, 3196 MTX, Carbon Steel"/>
    <n v="0.53410457786203047"/>
    <m/>
    <m/>
    <m/>
    <m/>
    <s v=""/>
    <n v="0.53410457786203047"/>
    <s v=""/>
    <s v=""/>
  </r>
  <r>
    <n v="1"/>
    <s v="SO17126"/>
    <m/>
    <x v="1"/>
    <x v="0"/>
    <m/>
    <s v="Ian Trottier"/>
    <n v="5"/>
    <n v="2025"/>
    <s v="INV13058"/>
    <n v="8"/>
    <n v="2025"/>
    <x v="1"/>
    <s v="Quality Concrete Inc."/>
    <s v="CAD"/>
    <n v="814.38"/>
    <n v="591.23355560066875"/>
    <x v="0"/>
    <n v="0"/>
    <n v="591.23355560066875"/>
    <m/>
    <x v="2"/>
    <m/>
    <m/>
    <s v=""/>
    <n v="0.02"/>
    <s v=""/>
    <s v=""/>
    <s v=""/>
    <n v="11.824671112013375"/>
    <s v=""/>
    <s v=""/>
    <s v="[LX-4533-1-6] Gland Seal, Linatex SRL, Linatex Red Rubber"/>
    <n v="11.824671112013375"/>
    <m/>
    <m/>
    <m/>
    <m/>
    <s v=""/>
    <n v="11.824671112013375"/>
    <s v=""/>
    <s v=""/>
  </r>
  <r>
    <n v="1"/>
    <s v="SO17129"/>
    <m/>
    <x v="1"/>
    <x v="0"/>
    <m/>
    <s v="Ian Trottier"/>
    <n v="5"/>
    <n v="2025"/>
    <s v="INV13028"/>
    <n v="7"/>
    <n v="2025"/>
    <x v="1"/>
    <s v="Wajax Limited - Pointe-aux-Trembles"/>
    <s v="CAD"/>
    <n v="128.94"/>
    <n v="93.085038419812591"/>
    <x v="0"/>
    <n v="0"/>
    <n v="93.085038419812591"/>
    <m/>
    <x v="1"/>
    <m/>
    <m/>
    <s v=""/>
    <n v="5.0000000000000001E-3"/>
    <s v=""/>
    <s v=""/>
    <s v=""/>
    <n v="0.46542519209906297"/>
    <s v=""/>
    <s v=""/>
    <s v="[G-A01154A04] Sight Glass, 3/4&quot;, Goulds, Bronze, Threaded"/>
    <n v="0.46542519209906297"/>
    <m/>
    <m/>
    <m/>
    <m/>
    <s v=""/>
    <n v="0.46542519209906297"/>
    <s v=""/>
    <s v=""/>
  </r>
  <r>
    <n v="1"/>
    <s v="SO17130"/>
    <m/>
    <x v="0"/>
    <x v="0"/>
    <m/>
    <s v="Ian Trottier"/>
    <n v="5"/>
    <n v="2025"/>
    <s v="INV13595"/>
    <s v=""/>
    <s v=""/>
    <x v="0"/>
    <s v="PT Vale Indonesia Tbk."/>
    <s v="USD"/>
    <n v="3401.367925688362"/>
    <n v="2442.7800000000002"/>
    <x v="1"/>
    <n v="0"/>
    <n v="0"/>
    <m/>
    <x v="0"/>
    <m/>
    <m/>
    <s v=""/>
    <s v=""/>
    <s v=""/>
    <s v=""/>
    <s v=""/>
    <s v=""/>
    <s v=""/>
    <s v=""/>
    <s v="[AC-52-127-508-001] Casing Wear Ring,  Allis Chalmers 9100-M Series 14x10-20L, Bronze"/>
    <m/>
    <m/>
    <m/>
    <m/>
    <m/>
    <s v=""/>
    <s v=""/>
    <s v=""/>
    <s v=""/>
  </r>
  <r>
    <n v="1"/>
    <s v="SO17133"/>
    <m/>
    <x v="0"/>
    <x v="0"/>
    <m/>
    <s v="Ian Trottier"/>
    <n v="5"/>
    <n v="2025"/>
    <s v="INV12964"/>
    <n v="6"/>
    <n v="2025"/>
    <x v="0"/>
    <s v="Wajax Limited - Noranda"/>
    <s v="CAD"/>
    <n v="2627.35"/>
    <n v="1888.0460944774479"/>
    <x v="0"/>
    <n v="0"/>
    <n v="1888.0460944774479"/>
    <m/>
    <x v="0"/>
    <m/>
    <m/>
    <s v=""/>
    <s v=""/>
    <s v=""/>
    <s v=""/>
    <s v=""/>
    <s v=""/>
    <s v=""/>
    <s v=""/>
    <s v="[W-D3110/A05] Volute Liner, 4/3 C or D-AH, High Chrome"/>
    <m/>
    <m/>
    <m/>
    <m/>
    <m/>
    <s v=""/>
    <s v=""/>
    <s v=""/>
    <s v=""/>
  </r>
  <r>
    <n v="2"/>
    <s v="SO17134"/>
    <m/>
    <x v="2"/>
    <x v="0"/>
    <m/>
    <s v="Marlen Martinez"/>
    <n v="5"/>
    <n v="2025"/>
    <s v="INV13063"/>
    <n v="9"/>
    <n v="2025"/>
    <x v="2"/>
    <s v="Covia Corp - Junction City"/>
    <s v="USD"/>
    <n v="4676.6753320898888"/>
    <n v="3342.89"/>
    <x v="0"/>
    <n v="184.82"/>
    <n v="3158.0699999999997"/>
    <m/>
    <x v="0"/>
    <m/>
    <m/>
    <s v=""/>
    <s v=""/>
    <s v=""/>
    <s v=""/>
    <s v=""/>
    <s v=""/>
    <s v=""/>
    <s v=""/>
    <s v="106804/6502Discharge Joint Ring, EPDM"/>
    <m/>
    <m/>
    <m/>
    <m/>
    <m/>
    <s v=""/>
    <s v=""/>
    <s v=""/>
    <s v=""/>
  </r>
  <r>
    <n v="2"/>
    <s v="SO17134"/>
    <m/>
    <x v="0"/>
    <x v="0"/>
    <m/>
    <n v="0"/>
    <n v="5"/>
    <n v="2025"/>
    <s v="INV12996"/>
    <n v="8"/>
    <n v="2025"/>
    <x v="0"/>
    <s v="Covia Corp - Junction City"/>
    <s v="USD"/>
    <n v="0"/>
    <n v="0"/>
    <x v="1"/>
    <n v="517.53"/>
    <n v="0"/>
    <m/>
    <x v="0"/>
    <m/>
    <m/>
    <s v=""/>
    <s v=""/>
    <s v=""/>
    <s v=""/>
    <s v=""/>
    <s v=""/>
    <s v=""/>
    <s v=""/>
    <s v="106154/0003 Throatbush, 300 RSL, High Chrome"/>
    <m/>
    <m/>
    <m/>
    <m/>
    <m/>
    <s v=""/>
    <s v=""/>
    <s v=""/>
    <s v=""/>
  </r>
  <r>
    <n v="2"/>
    <s v="SO17139"/>
    <m/>
    <x v="0"/>
    <x v="0"/>
    <m/>
    <s v="Wilka Nuñez"/>
    <n v="5"/>
    <n v="2025"/>
    <s v="INV12978"/>
    <n v="7"/>
    <n v="2025"/>
    <x v="0"/>
    <s v="Barrick Gold - Pueblo Viejo Dominicana Corporation"/>
    <s v="USD"/>
    <n v="16789.984759494782"/>
    <n v="12065.49"/>
    <x v="0"/>
    <n v="0"/>
    <n v="12065.49"/>
    <m/>
    <x v="0"/>
    <m/>
    <m/>
    <s v=""/>
    <s v=""/>
    <s v=""/>
    <s v=""/>
    <s v=""/>
    <s v=""/>
    <s v=""/>
    <s v=""/>
    <s v="[D-2001408-2507] Impeller Wear Ring, 10JKH/M, 5.12x5.48x0.88, Duplex SS 2507 w/Ion Nitriding"/>
    <m/>
    <m/>
    <m/>
    <m/>
    <m/>
    <s v=""/>
    <s v=""/>
    <s v=""/>
    <s v=""/>
  </r>
  <r>
    <n v="2"/>
    <s v="SO17139"/>
    <m/>
    <x v="0"/>
    <x v="0"/>
    <m/>
    <n v="0"/>
    <n v="5"/>
    <n v="2025"/>
    <s v="INV13066"/>
    <n v="7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37230] Sleeve Bearing (Bowl), ThorPlas-Blue, HPCW"/>
    <m/>
    <m/>
    <m/>
    <m/>
    <m/>
    <s v=""/>
    <s v=""/>
    <s v=""/>
    <s v=""/>
  </r>
  <r>
    <n v="1"/>
    <s v="SO17140"/>
    <m/>
    <x v="0"/>
    <x v="0"/>
    <m/>
    <s v="Ian Trottier"/>
    <n v="5"/>
    <n v="2025"/>
    <s v="INV12967"/>
    <n v="6"/>
    <n v="2025"/>
    <x v="0"/>
    <s v="Glencore Canada Corporation - Rouyn-Noranda, Glencore Canada Corp."/>
    <s v="CAD"/>
    <n v="1072.28"/>
    <n v="769.88359609220959"/>
    <x v="0"/>
    <n v="0"/>
    <n v="769.88359609220959"/>
    <m/>
    <x v="0"/>
    <m/>
    <m/>
    <s v=""/>
    <s v=""/>
    <s v=""/>
    <s v=""/>
    <s v=""/>
    <s v=""/>
    <s v=""/>
    <s v=""/>
    <s v="[AC-98-233-700-003] Bearing End Cover Gasket, 3x3-10 SRL &amp; SRL-C"/>
    <m/>
    <m/>
    <m/>
    <m/>
    <m/>
    <s v=""/>
    <s v=""/>
    <s v=""/>
    <s v=""/>
  </r>
  <r>
    <n v="1"/>
    <s v="SO17142"/>
    <m/>
    <x v="1"/>
    <x v="0"/>
    <m/>
    <s v="Ian Trottier"/>
    <n v="5"/>
    <n v="2025"/>
    <s v="INV13015"/>
    <n v="7"/>
    <n v="2025"/>
    <x v="1"/>
    <s v="PT Vale Indonesia Tbk."/>
    <s v="USD"/>
    <n v="1362.7653808484563"/>
    <n v="979.3"/>
    <x v="0"/>
    <n v="0"/>
    <n v="979.3"/>
    <m/>
    <x v="1"/>
    <m/>
    <m/>
    <s v=""/>
    <n v="5.0000000000000001E-3"/>
    <s v=""/>
    <s v=""/>
    <s v=""/>
    <n v="4.8964999999999996"/>
    <s v=""/>
    <s v=""/>
    <s v="[G-67868-205-206 5108] Gasket Material, Garlock 3000, 1/64&quot; Thick, 24&quot; x 36&quot;"/>
    <n v="4.8964999999999996"/>
    <m/>
    <m/>
    <m/>
    <m/>
    <s v=""/>
    <n v="4.8964999999999996"/>
    <s v=""/>
    <s v=""/>
  </r>
  <r>
    <n v="1"/>
    <s v="SO17143"/>
    <m/>
    <x v="1"/>
    <x v="0"/>
    <m/>
    <s v="Ian Trottier"/>
    <n v="5"/>
    <n v="2025"/>
    <s v="INV12993"/>
    <n v="7"/>
    <n v="2025"/>
    <x v="1"/>
    <s v="Resolute Forest Products - Saint-Felicien"/>
    <s v="CAD"/>
    <n v="408.64"/>
    <n v="292.09608805355128"/>
    <x v="0"/>
    <n v="0"/>
    <n v="292.09608805355128"/>
    <m/>
    <x v="1"/>
    <m/>
    <m/>
    <s v=""/>
    <n v="5.0000000000000001E-3"/>
    <s v=""/>
    <s v=""/>
    <s v=""/>
    <n v="1.4604804402677565"/>
    <s v=""/>
    <s v=""/>
    <s v="[AC-98-233-992-001] Half Seal Cage, 3x3-10 SRL &amp; SRL-C, Cast Iron"/>
    <n v="1.4604804402677565"/>
    <m/>
    <m/>
    <m/>
    <m/>
    <s v=""/>
    <n v="1.4604804402677565"/>
    <s v=""/>
    <s v=""/>
  </r>
  <r>
    <n v="1"/>
    <s v="SO17144"/>
    <m/>
    <x v="1"/>
    <x v="0"/>
    <m/>
    <s v="Ian Trottier"/>
    <n v="5"/>
    <n v="2025"/>
    <s v="INV13084"/>
    <n v="7"/>
    <n v="2025"/>
    <x v="1"/>
    <s v="Motion Industries Inc. (U.S.) - Tucson"/>
    <s v="USD"/>
    <n v="625.55700939221788"/>
    <n v="448.78"/>
    <x v="0"/>
    <n v="0"/>
    <n v="448.78"/>
    <m/>
    <x v="1"/>
    <m/>
    <m/>
    <s v=""/>
    <n v="5.0000000000000001E-3"/>
    <s v=""/>
    <s v=""/>
    <s v=""/>
    <n v="2.2439"/>
    <s v=""/>
    <s v=""/>
    <s v="[IR-1895A162X18W004-379] Shaft Sleeve, Ingersoll-Rand, HOC-2, 316SS"/>
    <n v="2.2439"/>
    <m/>
    <m/>
    <m/>
    <m/>
    <s v=""/>
    <n v="2.2439"/>
    <s v=""/>
    <s v=""/>
  </r>
  <r>
    <n v="1"/>
    <s v="SO17145"/>
    <m/>
    <x v="0"/>
    <x v="0"/>
    <m/>
    <s v="Wilka Nuñez"/>
    <n v="5"/>
    <n v="2025"/>
    <s v="INV12981"/>
    <n v="6"/>
    <n v="2025"/>
    <x v="0"/>
    <s v="Barrick Gold - Pueblo Viejo Dominicana Corporation"/>
    <s v="USD"/>
    <n v="25856.602644889022"/>
    <n v="18549.75"/>
    <x v="0"/>
    <n v="0"/>
    <n v="18549.75"/>
    <m/>
    <x v="0"/>
    <m/>
    <m/>
    <s v=""/>
    <s v=""/>
    <s v=""/>
    <s v=""/>
    <s v=""/>
    <s v=""/>
    <s v=""/>
    <s v=""/>
    <s v="[D-2001408-2507] Impeller Wear Ring, 10JKH/M, 5.12x5.48x0.88, Duplex SS 2507 w/Ion Nitriding"/>
    <m/>
    <m/>
    <m/>
    <m/>
    <m/>
    <s v=""/>
    <s v=""/>
    <s v=""/>
    <s v=""/>
  </r>
  <r>
    <n v="2"/>
    <s v="SO17146"/>
    <m/>
    <x v="0"/>
    <x v="0"/>
    <m/>
    <s v="Wilka Nuñez"/>
    <n v="5"/>
    <n v="2025"/>
    <s v="INV12980"/>
    <n v="6"/>
    <n v="2025"/>
    <x v="0"/>
    <s v="Barrick Gold - Pueblo Viejo Dominicana Corporation"/>
    <s v="USD"/>
    <n v="17084.87939524692"/>
    <n v="12256.84"/>
    <x v="0"/>
    <n v="0"/>
    <n v="12256.84"/>
    <m/>
    <x v="0"/>
    <m/>
    <m/>
    <s v=""/>
    <s v=""/>
    <s v=""/>
    <s v=""/>
    <s v=""/>
    <s v=""/>
    <s v=""/>
    <s v=""/>
    <s v="[2-170V70B (brown)] O-Ring, 10JKH/M, 07.75IDx.09RD, Viton"/>
    <m/>
    <m/>
    <m/>
    <m/>
    <m/>
    <s v=""/>
    <s v=""/>
    <s v=""/>
    <s v=""/>
  </r>
  <r>
    <n v="2"/>
    <s v="SO17146"/>
    <m/>
    <x v="0"/>
    <x v="0"/>
    <m/>
    <n v="0"/>
    <n v="5"/>
    <n v="2025"/>
    <s v="INV13068"/>
    <n v="8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37230] Sleeve Bearing (Bowl), ThorPlas-Blue, HPCW"/>
    <m/>
    <m/>
    <m/>
    <m/>
    <m/>
    <s v=""/>
    <s v=""/>
    <s v=""/>
    <s v=""/>
  </r>
  <r>
    <n v="1"/>
    <s v="SO17148"/>
    <m/>
    <x v="1"/>
    <x v="0"/>
    <m/>
    <s v="Ian Trottier"/>
    <n v="5"/>
    <n v="2025"/>
    <s v="INV13086"/>
    <n v="7"/>
    <n v="2025"/>
    <x v="1"/>
    <s v="Wajax Limited - Témiscaming"/>
    <s v="CAD"/>
    <n v="5859.97"/>
    <n v="4198.0835354412602"/>
    <x v="0"/>
    <n v="0"/>
    <n v="4198.0835354412602"/>
    <m/>
    <x v="1"/>
    <m/>
    <m/>
    <s v=""/>
    <n v="5.0000000000000001E-3"/>
    <s v=""/>
    <s v=""/>
    <s v=""/>
    <n v="20.990417677206302"/>
    <s v=""/>
    <s v=""/>
    <s v="[SA-134421-2] Sleeve, Sala 3x3 STHM, 316SS"/>
    <n v="20.990417677206302"/>
    <m/>
    <m/>
    <m/>
    <m/>
    <s v=""/>
    <n v="20.990417677206302"/>
    <s v=""/>
    <s v=""/>
  </r>
  <r>
    <n v="1"/>
    <s v="SO17149"/>
    <m/>
    <x v="0"/>
    <x v="1"/>
    <m/>
    <s v="Amanda Qiao"/>
    <n v="5"/>
    <n v="2025"/>
    <s v="INV13190"/>
    <n v="8"/>
    <n v="2025"/>
    <x v="1"/>
    <s v="AGM Inc."/>
    <s v="USD"/>
    <n v="5514.8485938753311"/>
    <n v="3956.4"/>
    <x v="0"/>
    <n v="0"/>
    <n v="3956.4"/>
    <m/>
    <x v="0"/>
    <s v="New Opportunity"/>
    <m/>
    <s v=""/>
    <s v=""/>
    <n v="0.02"/>
    <s v=""/>
    <s v=""/>
    <s v=""/>
    <n v="79.128"/>
    <s v=""/>
    <s v="[D-7J] 7JE EPDM Sleeve"/>
    <m/>
    <m/>
    <m/>
    <n v="2503"/>
    <m/>
    <s v=""/>
    <s v=""/>
    <n v="0"/>
    <s v=""/>
  </r>
  <r>
    <n v="1"/>
    <s v="SO17151"/>
    <m/>
    <x v="0"/>
    <x v="0"/>
    <m/>
    <s v="Wilka Nuñez"/>
    <n v="5"/>
    <n v="2025"/>
    <s v="INV12983"/>
    <n v="6"/>
    <n v="2025"/>
    <x v="0"/>
    <s v="Barrick Gold - Pueblo Viejo Dominicana Corporation"/>
    <s v="USD"/>
    <n v="58023.109828698012"/>
    <n v="41626.28"/>
    <x v="0"/>
    <n v="0"/>
    <n v="41626.28"/>
    <m/>
    <x v="0"/>
    <m/>
    <m/>
    <s v=""/>
    <s v=""/>
    <s v=""/>
    <s v=""/>
    <s v=""/>
    <s v=""/>
    <s v=""/>
    <s v=""/>
    <s v="[10JKM, 6-Vane Impeller, CD4] Impeller, 10JKM, Double Keyed, w/Wear Ring"/>
    <m/>
    <m/>
    <m/>
    <m/>
    <m/>
    <s v=""/>
    <s v=""/>
    <s v=""/>
    <s v=""/>
  </r>
  <r>
    <n v="1"/>
    <s v="SO17152"/>
    <m/>
    <x v="0"/>
    <x v="0"/>
    <m/>
    <s v="Taylor Cook"/>
    <n v="5"/>
    <n v="2025"/>
    <s v="INV12991"/>
    <n v="6"/>
    <n v="2025"/>
    <x v="0"/>
    <s v="Progressive Sealing Inc."/>
    <s v="CAD"/>
    <n v="2087.66"/>
    <n v="1490.6801644645"/>
    <x v="0"/>
    <n v="0"/>
    <n v="1490.6801644645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1"/>
    <s v="SO17153"/>
    <m/>
    <x v="1"/>
    <x v="0"/>
    <m/>
    <s v="Ian Trottier"/>
    <n v="5"/>
    <n v="2025"/>
    <s v="INV13302"/>
    <n v="9"/>
    <n v="2025"/>
    <x v="1"/>
    <s v="MAB Equipment Company Inc."/>
    <s v="USD"/>
    <n v="13791.540540793088"/>
    <n v="10043.700000000001"/>
    <x v="0"/>
    <n v="817"/>
    <n v="9226.7000000000007"/>
    <m/>
    <x v="2"/>
    <m/>
    <m/>
    <s v=""/>
    <n v="0.02"/>
    <s v=""/>
    <s v=""/>
    <s v=""/>
    <n v="184.53400000000002"/>
    <s v=""/>
    <s v=""/>
    <s v="[W-F6147/U38] Impeller, 8/6 E, F or R-AH, Urethane"/>
    <n v="184.53400000000002"/>
    <m/>
    <m/>
    <m/>
    <m/>
    <s v=""/>
    <n v="184.53400000000002"/>
    <s v=""/>
    <s v=""/>
  </r>
  <r>
    <n v="1"/>
    <s v="SO17159"/>
    <m/>
    <x v="0"/>
    <x v="0"/>
    <m/>
    <s v="Ian Trottier"/>
    <n v="5"/>
    <n v="2025"/>
    <s v="INV13340"/>
    <n v="11"/>
    <n v="2025"/>
    <x v="0"/>
    <s v="SRM Materials"/>
    <s v="USD"/>
    <n v="13922.076002534595"/>
    <n v="10160.64"/>
    <x v="0"/>
    <n v="643"/>
    <n v="9517.64"/>
    <m/>
    <x v="0"/>
    <m/>
    <m/>
    <s v=""/>
    <s v=""/>
    <s v=""/>
    <s v=""/>
    <s v=""/>
    <s v=""/>
    <s v=""/>
    <s v=""/>
    <s v="[5530] Impeller (Closed), Ahlstrom APT 53-8, CD4MCu"/>
    <m/>
    <m/>
    <m/>
    <m/>
    <m/>
    <s v=""/>
    <s v=""/>
    <s v=""/>
    <s v=""/>
  </r>
  <r>
    <n v="1"/>
    <s v="SO17163"/>
    <m/>
    <x v="0"/>
    <x v="0"/>
    <m/>
    <s v="Ian Trottier"/>
    <n v="5"/>
    <n v="2025"/>
    <s v="INV13440"/>
    <n v="10"/>
    <n v="2025"/>
    <x v="0"/>
    <s v="Motion Industries Inc. (U.S.) - Charleston"/>
    <s v="USD"/>
    <n v="4966.9068883080045"/>
    <n v="3654.99"/>
    <x v="0"/>
    <n v="0"/>
    <n v="3654.99"/>
    <m/>
    <x v="0"/>
    <m/>
    <m/>
    <s v=""/>
    <s v=""/>
    <s v=""/>
    <s v=""/>
    <s v=""/>
    <s v=""/>
    <s v=""/>
    <s v=""/>
    <s v="[GA-22702] Impeller, G-Series 3.5&quot; VSP, High Chrome"/>
    <m/>
    <m/>
    <m/>
    <m/>
    <m/>
    <s v=""/>
    <s v=""/>
    <s v=""/>
    <s v=""/>
  </r>
  <r>
    <n v="1"/>
    <s v="SO17164"/>
    <m/>
    <x v="1"/>
    <x v="0"/>
    <m/>
    <s v="Ian Trottier"/>
    <n v="5"/>
    <n v="2025"/>
    <s v="INV12997"/>
    <n v="7"/>
    <n v="2025"/>
    <x v="1"/>
    <s v="Windsor Pump Company, Ltd."/>
    <s v="CAD"/>
    <n v="2749.33"/>
    <n v="1965.2225376083354"/>
    <x v="0"/>
    <n v="0"/>
    <n v="1965.2225376083354"/>
    <m/>
    <x v="1"/>
    <m/>
    <m/>
    <s v=""/>
    <n v="5.0000000000000001E-3"/>
    <s v=""/>
    <s v=""/>
    <s v=""/>
    <n v="9.8261126880416771"/>
    <s v=""/>
    <s v=""/>
    <s v="[AC-98-231-079-501] Gland Side Liner, 5x5-14 SRL, Natural Rubber"/>
    <n v="9.8261126880416771"/>
    <m/>
    <m/>
    <m/>
    <m/>
    <s v=""/>
    <n v="9.8261126880416771"/>
    <s v=""/>
    <s v=""/>
  </r>
  <r>
    <n v="1"/>
    <s v="SO17165"/>
    <m/>
    <x v="0"/>
    <x v="0"/>
    <m/>
    <s v="Yannett Yeomans"/>
    <n v="5"/>
    <n v="2025"/>
    <s v="INV13347"/>
    <s v=""/>
    <s v=""/>
    <x v="0"/>
    <s v="Dynapro Pumps México S de RL de CV"/>
    <s v="USD"/>
    <n v="17040.977324016007"/>
    <n v="12168"/>
    <x v="1"/>
    <n v="0"/>
    <n v="0"/>
    <m/>
    <x v="0"/>
    <m/>
    <m/>
    <s v=""/>
    <s v=""/>
    <s v=""/>
    <s v=""/>
    <s v=""/>
    <s v=""/>
    <s v=""/>
    <s v=""/>
    <s v="[CB38-83-185-105] Pump Coupling, XS500-710, Cast Iron"/>
    <m/>
    <m/>
    <m/>
    <m/>
    <m/>
    <s v=""/>
    <s v=""/>
    <s v=""/>
    <s v=""/>
  </r>
  <r>
    <n v="2"/>
    <s v="SO17169"/>
    <m/>
    <x v="0"/>
    <x v="0"/>
    <m/>
    <s v="Ian Trottier"/>
    <n v="5"/>
    <n v="2025"/>
    <s v="INV13445"/>
    <s v=""/>
    <s v=""/>
    <x v="0"/>
    <s v="DRN Industriel"/>
    <s v="CAD"/>
    <n v="4342.6000000000004"/>
    <n v="3142.029851654080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7169"/>
    <m/>
    <x v="0"/>
    <x v="0"/>
    <m/>
    <n v="0"/>
    <n v="5"/>
    <n v="2025"/>
    <s v="INV13213"/>
    <n v="9"/>
    <n v="2025"/>
    <x v="0"/>
    <s v="DRN Industriel"/>
    <s v="CAD"/>
    <n v="0"/>
    <n v="0"/>
    <x v="1"/>
    <n v="0"/>
    <n v="0"/>
    <m/>
    <x v="0"/>
    <m/>
    <m/>
    <s v=""/>
    <s v=""/>
    <s v=""/>
    <s v=""/>
    <s v=""/>
    <s v=""/>
    <s v=""/>
    <s v=""/>
    <s v="[GA-40DELSLV] Valve (Sleeve), 4&quot; G-Series VSP, Delta Series, Natural Rubber"/>
    <m/>
    <m/>
    <m/>
    <m/>
    <m/>
    <s v=""/>
    <s v=""/>
    <s v=""/>
    <s v=""/>
  </r>
  <r>
    <n v="1"/>
    <s v="SO17170"/>
    <m/>
    <x v="1"/>
    <x v="0"/>
    <m/>
    <s v="Ian Trottier"/>
    <n v="5"/>
    <n v="2025"/>
    <s v="INV12990"/>
    <n v="7"/>
    <n v="2025"/>
    <x v="1"/>
    <s v="Hyperflo"/>
    <s v="CAD"/>
    <n v="2113.38"/>
    <n v="1514.0258025435026"/>
    <x v="0"/>
    <n v="0"/>
    <n v="1514.0258025435026"/>
    <m/>
    <x v="1"/>
    <m/>
    <m/>
    <s v=""/>
    <n v="5.0000000000000001E-3"/>
    <s v=""/>
    <s v=""/>
    <s v=""/>
    <n v="7.5701290127175129"/>
    <s v=""/>
    <s v=""/>
    <s v="[AC-98-431-743-501] Shaft Assembly, 10x8-21 SRL-C, 1045 Steel"/>
    <n v="7.5701290127175129"/>
    <m/>
    <m/>
    <m/>
    <m/>
    <s v=""/>
    <n v="7.5701290127175129"/>
    <s v=""/>
    <s v=""/>
  </r>
  <r>
    <n v="2"/>
    <s v="SO17172"/>
    <m/>
    <x v="2"/>
    <x v="0"/>
    <m/>
    <s v="Marlen Martinez"/>
    <n v="5"/>
    <n v="2025"/>
    <s v="INV13305"/>
    <n v="11"/>
    <n v="2025"/>
    <x v="2"/>
    <s v="Covia Corp - Camden"/>
    <s v="USD"/>
    <n v="14073.231182717327"/>
    <n v="10048.9"/>
    <x v="0"/>
    <n v="540.91999999999996"/>
    <n v="9507.98"/>
    <m/>
    <x v="0"/>
    <m/>
    <m/>
    <s v=""/>
    <s v=""/>
    <s v=""/>
    <s v=""/>
    <s v=""/>
    <s v=""/>
    <s v=""/>
    <s v=""/>
    <s v="[W-EAM029/R55] Expeller Ring, 8/6 E or R-AH, Natural Rubber"/>
    <m/>
    <m/>
    <m/>
    <m/>
    <m/>
    <s v=""/>
    <s v=""/>
    <s v=""/>
    <s v=""/>
  </r>
  <r>
    <n v="2"/>
    <s v="SO17172"/>
    <m/>
    <x v="0"/>
    <x v="0"/>
    <m/>
    <n v="0"/>
    <n v="5"/>
    <n v="2025"/>
    <s v="INV13037"/>
    <n v="9"/>
    <n v="2025"/>
    <x v="0"/>
    <s v="Covia Corp - Camden"/>
    <s v="USD"/>
    <n v="0"/>
    <n v="0"/>
    <x v="1"/>
    <n v="519.94000000000005"/>
    <n v="0"/>
    <m/>
    <x v="0"/>
    <m/>
    <m/>
    <s v=""/>
    <s v=""/>
    <s v=""/>
    <s v=""/>
    <s v=""/>
    <s v=""/>
    <s v=""/>
    <s v=""/>
    <s v="101881/6007 Expeller Ring, 8/6 E or R-AH, Natural Rubber"/>
    <m/>
    <m/>
    <m/>
    <m/>
    <m/>
    <s v=""/>
    <s v=""/>
    <s v=""/>
    <s v=""/>
  </r>
  <r>
    <n v="1"/>
    <s v="SO17175"/>
    <m/>
    <x v="1"/>
    <x v="0"/>
    <m/>
    <s v="Ian Trottier"/>
    <n v="5"/>
    <n v="2025"/>
    <s v="INV12998"/>
    <n v="7"/>
    <n v="2025"/>
    <x v="1"/>
    <s v="Resolute Forest Products - Saint-Felicien"/>
    <s v="CAD"/>
    <n v="7486.9"/>
    <n v="5351.6400784263251"/>
    <x v="0"/>
    <n v="0"/>
    <n v="5351.6400784263251"/>
    <m/>
    <x v="1"/>
    <m/>
    <m/>
    <s v=""/>
    <n v="5.0000000000000001E-3"/>
    <s v=""/>
    <s v=""/>
    <s v=""/>
    <n v="26.758200392131627"/>
    <s v=""/>
    <s v=""/>
    <s v="[AC-52-108-475-013] Deflector (Outboard), Allis-Chalmers PWO, Group 2"/>
    <n v="26.758200392131627"/>
    <m/>
    <m/>
    <m/>
    <m/>
    <s v=""/>
    <n v="26.758200392131627"/>
    <s v=""/>
    <s v=""/>
  </r>
  <r>
    <n v="1"/>
    <s v="SO17176"/>
    <m/>
    <x v="1"/>
    <x v="0"/>
    <m/>
    <s v="Ian Trottier"/>
    <n v="5"/>
    <n v="2025"/>
    <s v="INV13006"/>
    <n v="7"/>
    <n v="2025"/>
    <x v="1"/>
    <s v="Wajax Limited - Noranda"/>
    <s v="CAD"/>
    <n v="321.89999999999998"/>
    <n v="233.95669082491841"/>
    <x v="0"/>
    <n v="0"/>
    <n v="233.95669082491841"/>
    <m/>
    <x v="1"/>
    <m/>
    <m/>
    <s v=""/>
    <n v="5.0000000000000001E-3"/>
    <s v=""/>
    <s v=""/>
    <s v=""/>
    <n v="1.1697834541245922"/>
    <s v=""/>
    <s v=""/>
    <s v="[G-76772X 2229] Shaft Sleeve, 3196 STX, 316SS"/>
    <n v="1.1697834541245922"/>
    <m/>
    <m/>
    <m/>
    <m/>
    <s v=""/>
    <n v="1.1697834541245922"/>
    <s v=""/>
    <s v=""/>
  </r>
  <r>
    <n v="1"/>
    <s v="SO17180"/>
    <m/>
    <x v="0"/>
    <x v="0"/>
    <m/>
    <s v="Ian Trottier"/>
    <n v="5"/>
    <n v="2025"/>
    <s v="INV12992"/>
    <n v="6"/>
    <n v="2025"/>
    <x v="0"/>
    <s v="Fabrene Inc."/>
    <s v="CAD"/>
    <n v="919.94"/>
    <n v="657.57359838484751"/>
    <x v="0"/>
    <n v="0"/>
    <n v="657.57359838484751"/>
    <m/>
    <x v="0"/>
    <m/>
    <m/>
    <s v=""/>
    <s v=""/>
    <s v=""/>
    <s v=""/>
    <s v=""/>
    <s v=""/>
    <s v=""/>
    <s v=""/>
    <s v="[TSSC-J01-1.75(BIG BORE)-00] Single Cartridge Seal, 1 3/4&quot;, D-196 MTX, Big Bore, Carbon vs Silicon Carbide w/Aflas Elastomers"/>
    <m/>
    <m/>
    <m/>
    <m/>
    <m/>
    <s v=""/>
    <s v=""/>
    <s v=""/>
    <s v=""/>
  </r>
  <r>
    <n v="1"/>
    <s v="SO17190"/>
    <m/>
    <x v="1"/>
    <x v="0"/>
    <m/>
    <s v="Ian Trottier"/>
    <n v="5"/>
    <n v="2025"/>
    <s v="INV13014"/>
    <n v="7"/>
    <n v="2025"/>
    <x v="1"/>
    <s v="PT Vale Indonesia Tbk."/>
    <s v="USD"/>
    <n v="507.5829522437603"/>
    <n v="363.45"/>
    <x v="0"/>
    <n v="0"/>
    <n v="363.45"/>
    <m/>
    <x v="1"/>
    <m/>
    <m/>
    <s v=""/>
    <n v="5.0000000000000001E-3"/>
    <s v=""/>
    <s v=""/>
    <s v=""/>
    <n v="1.81725"/>
    <s v=""/>
    <s v=""/>
    <s v="[G-67868-211-212 5108] Gasket Material (2 Piece Set), Armstrong Syntheseal N-8090, 16&quot; x 17 3/4&quot;"/>
    <n v="1.81725"/>
    <m/>
    <m/>
    <m/>
    <m/>
    <s v=""/>
    <n v="1.81725"/>
    <s v=""/>
    <s v=""/>
  </r>
  <r>
    <n v="1"/>
    <s v="SO17191"/>
    <m/>
    <x v="0"/>
    <x v="0"/>
    <m/>
    <s v="Ian Trottier"/>
    <n v="5"/>
    <n v="2025"/>
    <s v="INV12994"/>
    <n v="6"/>
    <n v="2025"/>
    <x v="0"/>
    <s v="Process and Steam Specialties, Process and Steam Specialties"/>
    <s v="CAD"/>
    <n v="1859.15"/>
    <n v="1328.9214029580069"/>
    <x v="0"/>
    <n v="0"/>
    <n v="1328.9214029580069"/>
    <m/>
    <x v="0"/>
    <m/>
    <m/>
    <s v=""/>
    <s v=""/>
    <s v=""/>
    <s v=""/>
    <s v=""/>
    <s v=""/>
    <s v=""/>
    <s v=""/>
    <s v="[SA-013733-M1] Wear Disc, 44 WFR, Sala STGVA-180, Steel, Rubber Lined"/>
    <m/>
    <m/>
    <m/>
    <m/>
    <m/>
    <s v=""/>
    <s v=""/>
    <s v=""/>
    <s v=""/>
  </r>
  <r>
    <n v="1"/>
    <s v="SO17193"/>
    <m/>
    <x v="0"/>
    <x v="0"/>
    <m/>
    <s v="Yannett Yeomans"/>
    <n v="5"/>
    <n v="2025"/>
    <s v="INV13205"/>
    <s v=""/>
    <s v=""/>
    <x v="0"/>
    <s v="Dynapro Pumps México S de RL de CV"/>
    <s v="USD"/>
    <n v="670.35305290137558"/>
    <n v="480"/>
    <x v="1"/>
    <n v="0"/>
    <n v="0"/>
    <m/>
    <x v="0"/>
    <m/>
    <m/>
    <s v=""/>
    <s v=""/>
    <s v=""/>
    <s v=""/>
    <s v=""/>
    <s v=""/>
    <s v=""/>
    <s v=""/>
    <s v="[10064/2001] Spider w/Bearing, 18BHC-1, Cast Iron/Teflon"/>
    <m/>
    <m/>
    <m/>
    <m/>
    <m/>
    <s v=""/>
    <s v=""/>
    <s v=""/>
    <s v=""/>
  </r>
  <r>
    <n v="1"/>
    <s v="SO17194"/>
    <m/>
    <x v="1"/>
    <x v="0"/>
    <m/>
    <s v="Ian Trottier"/>
    <n v="5"/>
    <n v="2025"/>
    <s v="INV13000"/>
    <n v="9"/>
    <n v="2025"/>
    <x v="1"/>
    <s v="MAB Equipment Company Inc."/>
    <s v="USD"/>
    <n v="3330.6761928057358"/>
    <n v="2387.6999999999998"/>
    <x v="0"/>
    <n v="644"/>
    <n v="1743.6999999999998"/>
    <m/>
    <x v="1"/>
    <m/>
    <m/>
    <s v=""/>
    <n v="5.0000000000000001E-3"/>
    <s v=""/>
    <s v=""/>
    <s v=""/>
    <n v="8.7184999999999988"/>
    <s v=""/>
    <s v=""/>
    <s v="[W-F6018/R55] Cover Plate Liner, 8/6 E or F-AH, Natural Rubber"/>
    <n v="8.7184999999999988"/>
    <m/>
    <m/>
    <m/>
    <m/>
    <s v=""/>
    <n v="8.7184999999999988"/>
    <s v=""/>
    <s v=""/>
  </r>
  <r>
    <n v="1"/>
    <s v="SO17197"/>
    <m/>
    <x v="2"/>
    <x v="0"/>
    <m/>
    <s v="Marlen Martinez"/>
    <n v="5"/>
    <n v="2025"/>
    <s v="INV13033"/>
    <n v="9"/>
    <n v="2025"/>
    <x v="2"/>
    <s v="Covia Corp - Junction City"/>
    <s v="USD"/>
    <n v="14434.739312631444"/>
    <n v="10512.11"/>
    <x v="0"/>
    <n v="658.69"/>
    <n v="9853.42"/>
    <m/>
    <x v="0"/>
    <m/>
    <m/>
    <s v=""/>
    <s v=""/>
    <s v=""/>
    <s v=""/>
    <s v=""/>
    <s v=""/>
    <s v=""/>
    <s v=""/>
    <s v="106163/0003Volute Liner, 300 RSL, High Chrome"/>
    <m/>
    <m/>
    <m/>
    <m/>
    <m/>
    <s v=""/>
    <s v=""/>
    <s v=""/>
    <s v=""/>
  </r>
  <r>
    <n v="1"/>
    <s v="SO17199"/>
    <m/>
    <x v="0"/>
    <x v="0"/>
    <m/>
    <s v="Ian Trottier"/>
    <n v="5"/>
    <n v="2025"/>
    <s v="INV13073"/>
    <n v="6"/>
    <n v="2025"/>
    <x v="0"/>
    <s v="F H Pumps, Inc., F H Pumps, Inc"/>
    <s v="USD"/>
    <n v="2858.5271188601314"/>
    <n v="2069.85"/>
    <x v="0"/>
    <n v="0"/>
    <n v="2069.85"/>
    <m/>
    <x v="0"/>
    <m/>
    <m/>
    <s v=""/>
    <s v=""/>
    <s v=""/>
    <s v=""/>
    <s v=""/>
    <s v=""/>
    <s v=""/>
    <s v=""/>
    <s v="[AC-98-236-198-801] Shaft Collar, 8x8-25 SRL-XT, Steel"/>
    <m/>
    <m/>
    <m/>
    <m/>
    <m/>
    <s v=""/>
    <s v=""/>
    <s v=""/>
    <s v=""/>
  </r>
  <r>
    <n v="1"/>
    <s v="SO17200"/>
    <m/>
    <x v="1"/>
    <x v="0"/>
    <m/>
    <s v="Ian Trottier"/>
    <n v="5"/>
    <n v="2025"/>
    <s v="INV13160"/>
    <n v="8"/>
    <n v="2025"/>
    <x v="1"/>
    <s v="Industrial Pump Repair Canada"/>
    <s v="CAD"/>
    <n v="7759.78"/>
    <n v="5613.0886001693507"/>
    <x v="0"/>
    <n v="0"/>
    <n v="5613.0886001693507"/>
    <m/>
    <x v="2"/>
    <m/>
    <m/>
    <s v=""/>
    <n v="0.02"/>
    <s v=""/>
    <s v=""/>
    <s v=""/>
    <n v="112.26177200338702"/>
    <s v=""/>
    <s v=""/>
    <s v="[WO-2114552-317] Impeller, Worthington 6-FRBH-223, 317SS"/>
    <n v="112.26177200338702"/>
    <m/>
    <m/>
    <m/>
    <m/>
    <s v=""/>
    <n v="112.26177200338702"/>
    <s v=""/>
    <s v=""/>
  </r>
  <r>
    <n v="4"/>
    <s v="SO17201"/>
    <m/>
    <x v="0"/>
    <x v="0"/>
    <m/>
    <s v="Wilka Nuñez"/>
    <n v="5"/>
    <n v="2025"/>
    <s v="INV13742"/>
    <s v=""/>
    <s v=""/>
    <x v="0"/>
    <s v="Barrick Gold - Pueblo Viejo Dominicana Corporation"/>
    <s v="USD"/>
    <n v="112468.27118251254"/>
    <n v="82081.84"/>
    <x v="1"/>
    <n v="0"/>
    <n v="0"/>
    <m/>
    <x v="0"/>
    <m/>
    <m/>
    <s v=""/>
    <s v=""/>
    <s v=""/>
    <s v=""/>
    <s v=""/>
    <s v=""/>
    <s v=""/>
    <s v=""/>
    <s v="[G-247-45 1204] Casing, 3x4-8G, 3196 MTX, Alloy 20"/>
    <m/>
    <m/>
    <m/>
    <m/>
    <m/>
    <s v=""/>
    <s v=""/>
    <s v=""/>
    <s v=""/>
  </r>
  <r>
    <n v="4"/>
    <s v="SO17201"/>
    <m/>
    <x v="0"/>
    <x v="0"/>
    <m/>
    <n v="0"/>
    <n v="5"/>
    <n v="2025"/>
    <s v="INV13250"/>
    <n v="9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G-R196-MKM8] Maintenance Kit, 8&quot;, 3196 MTX"/>
    <m/>
    <m/>
    <m/>
    <m/>
    <m/>
    <s v=""/>
    <s v=""/>
    <s v=""/>
    <s v=""/>
  </r>
  <r>
    <n v="4"/>
    <s v="SO17201"/>
    <m/>
    <x v="0"/>
    <x v="0"/>
    <m/>
    <n v="0"/>
    <n v="5"/>
    <n v="2025"/>
    <s v="INV13476"/>
    <n v="11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G-D04872A 1216] Thrust Bearing Housing, 3196 MTX, CD4MCu"/>
    <m/>
    <m/>
    <m/>
    <m/>
    <m/>
    <s v=""/>
    <s v=""/>
    <s v=""/>
    <s v=""/>
  </r>
  <r>
    <n v="4"/>
    <s v="SO17201"/>
    <m/>
    <x v="0"/>
    <x v="0"/>
    <m/>
    <n v="0"/>
    <n v="5"/>
    <n v="2025"/>
    <s v="INV13644"/>
    <n v="12"/>
    <n v="2025"/>
    <x v="0"/>
    <s v="Barrick Gold - Pueblo Viejo Dominicana Corporation"/>
    <s v="USD"/>
    <n v="0"/>
    <n v="0"/>
    <x v="1"/>
    <n v="0"/>
    <n v="0"/>
    <m/>
    <x v="0"/>
    <m/>
    <m/>
    <s v=""/>
    <s v=""/>
    <s v=""/>
    <s v=""/>
    <s v=""/>
    <s v=""/>
    <s v=""/>
    <s v=""/>
    <s v="[G-247-45 1204] Casing, 3x4-8G, 3196 MTX, Alloy 20"/>
    <m/>
    <m/>
    <m/>
    <m/>
    <m/>
    <s v=""/>
    <s v=""/>
    <s v=""/>
    <s v=""/>
  </r>
  <r>
    <n v="1"/>
    <s v="SO17202"/>
    <m/>
    <x v="0"/>
    <x v="0"/>
    <m/>
    <s v="Ian Trottier"/>
    <n v="5"/>
    <n v="2025"/>
    <s v="INV13002"/>
    <n v="6"/>
    <n v="2025"/>
    <x v="0"/>
    <s v="Les Pompes Diaspec Inc."/>
    <s v="CAD"/>
    <n v="2110.85"/>
    <n v="1534.1642771909874"/>
    <x v="0"/>
    <n v="45"/>
    <n v="1489.1642771909874"/>
    <m/>
    <x v="0"/>
    <m/>
    <m/>
    <s v=""/>
    <s v=""/>
    <s v=""/>
    <s v=""/>
    <s v=""/>
    <s v=""/>
    <s v=""/>
    <s v=""/>
    <s v="[AC-98-432-884-801] Bearing Housing, PWO, Frame 2, Oil"/>
    <n v="0"/>
    <m/>
    <m/>
    <m/>
    <m/>
    <s v=""/>
    <s v=""/>
    <s v=""/>
    <s v=""/>
  </r>
  <r>
    <n v="1"/>
    <s v="SO17205"/>
    <m/>
    <x v="1"/>
    <x v="0"/>
    <m/>
    <s v="Ian Trottier"/>
    <n v="5"/>
    <n v="2025"/>
    <s v="INV13047"/>
    <n v="7"/>
    <n v="2025"/>
    <x v="1"/>
    <s v="Motion Industries Inc. (Canada) - Chicoutimi, Motion Industries Inc. (Canada) - Chicoutimi"/>
    <s v="CAD"/>
    <n v="153.41999999999999"/>
    <n v="111.00497854759105"/>
    <x v="0"/>
    <n v="0"/>
    <n v="111.00497854759105"/>
    <m/>
    <x v="1"/>
    <m/>
    <m/>
    <s v=""/>
    <n v="5.0000000000000001E-3"/>
    <s v=""/>
    <s v=""/>
    <s v=""/>
    <n v="0.5550248927379553"/>
    <s v=""/>
    <s v=""/>
    <s v="[AC-52-235-695-005] Oil Slinger, Allis Chalmers CSO, Steel"/>
    <m/>
    <m/>
    <m/>
    <m/>
    <m/>
    <s v=""/>
    <n v="0.5550248927379553"/>
    <s v=""/>
    <s v=""/>
  </r>
  <r>
    <n v="1"/>
    <s v="SO17207"/>
    <m/>
    <x v="0"/>
    <x v="0"/>
    <m/>
    <s v="Wilka Nuñez"/>
    <n v="5"/>
    <n v="2025"/>
    <s v="INV13069"/>
    <n v="8"/>
    <n v="2025"/>
    <x v="0"/>
    <s v="Barrick Gold - Pueblo Viejo Dominicana Corporation"/>
    <s v="USD"/>
    <n v="1350.8788535565316"/>
    <n v="968.42"/>
    <x v="0"/>
    <n v="0"/>
    <n v="968.42"/>
    <m/>
    <x v="0"/>
    <m/>
    <m/>
    <s v=""/>
    <s v=""/>
    <s v=""/>
    <s v=""/>
    <s v=""/>
    <s v=""/>
    <s v=""/>
    <s v=""/>
    <s v="[37229] Sleeve Bearing (Stuffing Box), ThorPlas-Blue, HPCW"/>
    <m/>
    <m/>
    <m/>
    <m/>
    <m/>
    <s v=""/>
    <s v=""/>
    <s v=""/>
    <s v=""/>
  </r>
  <r>
    <n v="1"/>
    <s v="SO17209"/>
    <m/>
    <x v="0"/>
    <x v="0"/>
    <m/>
    <s v="Yannett Yeomans"/>
    <n v="5"/>
    <n v="2025"/>
    <s v="INV13322"/>
    <s v=""/>
    <s v=""/>
    <x v="0"/>
    <s v="Dynapro Pumps México S de RL de CV"/>
    <s v="USD"/>
    <n v="22413.747567115872"/>
    <n v="16068"/>
    <x v="1"/>
    <n v="0"/>
    <n v="0"/>
    <m/>
    <x v="0"/>
    <m/>
    <m/>
    <s v=""/>
    <s v=""/>
    <s v=""/>
    <s v=""/>
    <s v=""/>
    <s v=""/>
    <s v=""/>
    <s v=""/>
    <s v="[150SV-SP] Vertical Sump Pump, 150SV-SP, High Chrome"/>
    <m/>
    <m/>
    <m/>
    <m/>
    <m/>
    <s v=""/>
    <s v=""/>
    <s v=""/>
    <s v=""/>
  </r>
  <r>
    <n v="1"/>
    <s v="SO17210"/>
    <m/>
    <x v="0"/>
    <x v="0"/>
    <m/>
    <s v="Taylor Cook"/>
    <n v="5"/>
    <n v="2025"/>
    <s v="INV13005"/>
    <n v="6"/>
    <n v="2025"/>
    <x v="0"/>
    <s v="Wild Rows Pump &amp; Compression LTD."/>
    <s v="CAD"/>
    <n v="190.55"/>
    <n v="137.50292597914748"/>
    <x v="0"/>
    <n v="0"/>
    <n v="137.50292597914748"/>
    <m/>
    <x v="0"/>
    <m/>
    <m/>
    <s v=""/>
    <s v=""/>
    <s v=""/>
    <s v=""/>
    <s v=""/>
    <s v=""/>
    <s v=""/>
    <s v=""/>
    <s v="[W-C2060/S01] Intake Joint Ring, 3/2 C-AH, EPDM"/>
    <n v="0"/>
    <m/>
    <m/>
    <m/>
    <m/>
    <s v=""/>
    <s v=""/>
    <s v=""/>
    <s v=""/>
  </r>
  <r>
    <n v="0"/>
    <s v="SO17211"/>
    <m/>
    <x v="0"/>
    <x v="0"/>
    <m/>
    <s v="Ian Trottier"/>
    <n v="5"/>
    <n v="2025"/>
    <s v="No Inv"/>
    <s v=""/>
    <s v=""/>
    <x v="0"/>
    <s v="Agnico Eagle Mines Ltd. - Cochrane"/>
    <s v="CAD"/>
    <n v="8971.0400000000009"/>
    <n v="6476.42006410482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212"/>
    <m/>
    <x v="1"/>
    <x v="0"/>
    <m/>
    <s v="Ian Trottier"/>
    <n v="5"/>
    <n v="2025"/>
    <s v="INV13055"/>
    <n v="7"/>
    <n v="2025"/>
    <x v="1"/>
    <s v="Cameco Corporation - Blind River Refinery"/>
    <s v="CAD"/>
    <n v="29586.69"/>
    <n v="21503.58522790526"/>
    <x v="0"/>
    <n v="0"/>
    <n v="21503.58522790526"/>
    <m/>
    <x v="1"/>
    <m/>
    <m/>
    <s v=""/>
    <n v="5.0000000000000001E-3"/>
    <s v=""/>
    <s v=""/>
    <s v=""/>
    <n v="107.5179261395263"/>
    <s v=""/>
    <s v=""/>
    <s v="[G-259-63 01 1203] Casing, 10x12-18, 3175-M, 316SS"/>
    <m/>
    <m/>
    <m/>
    <m/>
    <m/>
    <s v=""/>
    <n v="107.5179261395263"/>
    <s v=""/>
    <s v=""/>
  </r>
  <r>
    <n v="3"/>
    <s v="SO17214"/>
    <m/>
    <x v="1"/>
    <x v="0"/>
    <m/>
    <s v="Ian Trottier"/>
    <n v="5"/>
    <n v="2025"/>
    <s v="INV13020"/>
    <n v="6"/>
    <n v="2025"/>
    <x v="2"/>
    <s v="Sling-Choker Manufacturing - Timmins"/>
    <s v="CAD"/>
    <n v="6469.1"/>
    <n v="4668.1720202136048"/>
    <x v="0"/>
    <n v="0"/>
    <n v="4668.1720202136048"/>
    <m/>
    <x v="1"/>
    <m/>
    <m/>
    <s v=""/>
    <n v="5.0000000000000001E-3"/>
    <s v=""/>
    <s v=""/>
    <s v=""/>
    <n v="23.340860101068024"/>
    <s v=""/>
    <s v=""/>
    <s v="[G-00-737-851-110] Sight Glass (Press-In), PWO Frame 2"/>
    <m/>
    <m/>
    <m/>
    <m/>
    <m/>
    <s v=""/>
    <n v="23.340860101068024"/>
    <s v=""/>
    <s v=""/>
  </r>
  <r>
    <n v="3"/>
    <s v="SO17214"/>
    <m/>
    <x v="1"/>
    <x v="0"/>
    <m/>
    <n v="0"/>
    <n v="5"/>
    <n v="2025"/>
    <s v="INV13163"/>
    <n v="8"/>
    <n v="2025"/>
    <x v="2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331-932-501] Shaft Assembly, 5x4-14 SRL-C &amp; 5x5-14 SRL, 1045 Steel"/>
    <m/>
    <m/>
    <m/>
    <m/>
    <m/>
    <s v=""/>
    <n v="0"/>
    <s v=""/>
    <s v=""/>
  </r>
  <r>
    <n v="3"/>
    <s v="SO17214"/>
    <m/>
    <x v="1"/>
    <x v="0"/>
    <m/>
    <n v="0"/>
    <n v="5"/>
    <n v="2025"/>
    <s v="INV13388"/>
    <n v="10"/>
    <n v="2025"/>
    <x v="2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PVR4005E] Bearing Assembly, 40 PV-SP, Rubber, 900mm"/>
    <n v="0"/>
    <m/>
    <m/>
    <m/>
    <m/>
    <s v=""/>
    <n v="0"/>
    <s v=""/>
    <s v=""/>
  </r>
  <r>
    <n v="1"/>
    <s v="SO17216"/>
    <m/>
    <x v="0"/>
    <x v="0"/>
    <m/>
    <s v="Ian Trottier"/>
    <n v="5"/>
    <n v="2025"/>
    <s v="INV13040"/>
    <n v="7"/>
    <n v="2025"/>
    <x v="0"/>
    <s v="Resolute Forest Products - Saint-Felicien"/>
    <s v="CAD"/>
    <n v="2202.98"/>
    <n v="1593.9365639471523"/>
    <x v="0"/>
    <n v="0"/>
    <n v="1593.9365639471523"/>
    <m/>
    <x v="0"/>
    <m/>
    <m/>
    <s v=""/>
    <s v=""/>
    <s v=""/>
    <s v=""/>
    <s v=""/>
    <s v=""/>
    <s v=""/>
    <s v=""/>
    <s v="[AC-98-432-884-801] Bearing Housing, PWO, Frame 2, Oil"/>
    <m/>
    <m/>
    <m/>
    <m/>
    <m/>
    <s v=""/>
    <s v=""/>
    <s v=""/>
    <s v=""/>
  </r>
  <r>
    <n v="1"/>
    <s v="SO17218"/>
    <m/>
    <x v="1"/>
    <x v="0"/>
    <m/>
    <s v="Ian Trottier"/>
    <n v="5"/>
    <n v="2025"/>
    <s v="INV13118"/>
    <n v="7"/>
    <n v="2025"/>
    <x v="1"/>
    <s v="Canadian Bearings Ltd., Canadian Bearings Ltd. - Quebec City"/>
    <s v="CAD"/>
    <n v="5934.85"/>
    <n v="4294.0809342534931"/>
    <x v="0"/>
    <n v="0"/>
    <n v="4294.0809342534931"/>
    <m/>
    <x v="1"/>
    <m/>
    <m/>
    <s v=""/>
    <n v="5.0000000000000001E-3"/>
    <s v=""/>
    <s v=""/>
    <s v=""/>
    <n v="21.470404671267467"/>
    <s v=""/>
    <s v=""/>
    <s v="[AC-52-425-821-006] Casing, 3x1.5-13, Allis Chalmers CSO, 316SS"/>
    <m/>
    <m/>
    <m/>
    <m/>
    <m/>
    <s v=""/>
    <n v="21.470404671267467"/>
    <s v=""/>
    <s v=""/>
  </r>
  <r>
    <n v="1"/>
    <s v="SO17219"/>
    <m/>
    <x v="0"/>
    <x v="0"/>
    <m/>
    <s v="Taylor Cook"/>
    <n v="5"/>
    <n v="2025"/>
    <s v="INV13024"/>
    <n v="6"/>
    <n v="2025"/>
    <x v="0"/>
    <s v="FMI Products"/>
    <s v="CAD"/>
    <n v="158.78"/>
    <n v="115.40119095737975"/>
    <x v="0"/>
    <n v="0"/>
    <n v="115.40119095737975"/>
    <m/>
    <x v="0"/>
    <m/>
    <m/>
    <s v=""/>
    <s v=""/>
    <s v=""/>
    <s v=""/>
    <s v=""/>
    <s v=""/>
    <s v=""/>
    <s v=""/>
    <s v="[G-R76293] Lantern Ring, 3196 MTX, Teflon"/>
    <n v="0"/>
    <m/>
    <m/>
    <m/>
    <m/>
    <s v=""/>
    <s v=""/>
    <s v=""/>
    <s v=""/>
  </r>
  <r>
    <n v="1"/>
    <s v="SO17220"/>
    <m/>
    <x v="0"/>
    <x v="0"/>
    <m/>
    <s v="Wilka Nuñez"/>
    <n v="5"/>
    <n v="2025"/>
    <s v="INV13070"/>
    <n v="7"/>
    <n v="2025"/>
    <x v="0"/>
    <s v="Barrick Gold - Pueblo Viejo Dominicana Corporation"/>
    <s v="USD"/>
    <n v="3563.166161780624"/>
    <n v="2577.44"/>
    <x v="0"/>
    <n v="0"/>
    <n v="2577.44"/>
    <m/>
    <x v="0"/>
    <m/>
    <m/>
    <s v=""/>
    <s v=""/>
    <s v=""/>
    <s v=""/>
    <s v=""/>
    <s v=""/>
    <s v=""/>
    <s v=""/>
    <s v="[OLPWZ011005B, G-A04951A218] Bearing Isolator (Inboard), 3196 MTX/MTi, 303SS Rotor / Bronze Stator w/Viton"/>
    <n v="0"/>
    <m/>
    <m/>
    <m/>
    <m/>
    <s v=""/>
    <s v=""/>
    <s v=""/>
    <s v=""/>
  </r>
  <r>
    <n v="1"/>
    <s v="SO17221"/>
    <m/>
    <x v="1"/>
    <x v="0"/>
    <m/>
    <s v="Ian Trottier"/>
    <n v="5"/>
    <n v="2025"/>
    <s v="INV13013"/>
    <n v="7"/>
    <n v="2025"/>
    <x v="1"/>
    <s v="PT Vale Indonesia Tbk."/>
    <s v="USD"/>
    <n v="3548.636676570371"/>
    <n v="2566.9299999999998"/>
    <x v="0"/>
    <n v="0"/>
    <n v="2566.9299999999998"/>
    <m/>
    <x v="1"/>
    <m/>
    <m/>
    <s v=""/>
    <n v="5.0000000000000001E-3"/>
    <s v=""/>
    <s v=""/>
    <s v=""/>
    <n v="12.83465"/>
    <s v=""/>
    <s v=""/>
    <s v="[AC-98-431-641-503] Impeller (Closed), 10x8-21 SRL-C, Neoprene"/>
    <n v="12.83465"/>
    <m/>
    <m/>
    <m/>
    <m/>
    <s v=""/>
    <n v="12.83465"/>
    <s v=""/>
    <s v=""/>
  </r>
  <r>
    <n v="1"/>
    <s v="SO17222"/>
    <m/>
    <x v="1"/>
    <x v="0"/>
    <m/>
    <s v="Ian Trottier"/>
    <n v="5"/>
    <n v="2025"/>
    <s v="INV13012"/>
    <n v="7"/>
    <n v="2025"/>
    <x v="1"/>
    <s v="PT Vale Indonesia Tbk."/>
    <s v="USD"/>
    <n v="2706.700702950176"/>
    <n v="1957.91"/>
    <x v="0"/>
    <n v="0"/>
    <n v="1957.91"/>
    <m/>
    <x v="1"/>
    <m/>
    <m/>
    <s v=""/>
    <n v="5.0000000000000001E-3"/>
    <s v=""/>
    <s v=""/>
    <s v=""/>
    <n v="9.7895500000000002"/>
    <s v=""/>
    <s v=""/>
    <s v="[AC-98-231-135-503] Suction Side Plate, 10x8-21 SRL-C, Neoprene"/>
    <n v="9.7895500000000002"/>
    <m/>
    <m/>
    <m/>
    <m/>
    <s v=""/>
    <n v="9.7895500000000002"/>
    <s v=""/>
    <s v=""/>
  </r>
  <r>
    <n v="1"/>
    <s v="SO17223"/>
    <m/>
    <x v="1"/>
    <x v="0"/>
    <m/>
    <s v="Ian Trottier"/>
    <n v="5"/>
    <n v="2025"/>
    <s v="INV13011"/>
    <n v="7"/>
    <n v="2025"/>
    <x v="1"/>
    <s v="PT Vale Indonesia Tbk."/>
    <s v="USD"/>
    <n v="3525.093657243006"/>
    <n v="2549.9"/>
    <x v="0"/>
    <n v="0"/>
    <n v="2549.9"/>
    <m/>
    <x v="1"/>
    <m/>
    <m/>
    <s v=""/>
    <n v="5.0000000000000001E-3"/>
    <s v=""/>
    <s v=""/>
    <s v=""/>
    <n v="12.749500000000001"/>
    <s v=""/>
    <s v=""/>
    <s v="[AC-98-231-136-503] Gland Side Liner, 10x8-21 SRL-C, Neoprene"/>
    <n v="12.749500000000001"/>
    <m/>
    <m/>
    <m/>
    <m/>
    <s v=""/>
    <n v="12.749500000000001"/>
    <s v=""/>
    <s v=""/>
  </r>
  <r>
    <n v="1"/>
    <s v="SO17224"/>
    <m/>
    <x v="1"/>
    <x v="0"/>
    <m/>
    <s v="Ian Trottier"/>
    <n v="5"/>
    <n v="2025"/>
    <s v="INV13010"/>
    <n v="7"/>
    <n v="2025"/>
    <x v="1"/>
    <s v="PT Vale Indonesia Tbk."/>
    <s v="USD"/>
    <n v="2605.4781618374527"/>
    <n v="1884.69"/>
    <x v="0"/>
    <n v="0"/>
    <n v="1884.69"/>
    <m/>
    <x v="1"/>
    <m/>
    <m/>
    <s v=""/>
    <n v="5.0000000000000001E-3"/>
    <s v=""/>
    <s v=""/>
    <s v=""/>
    <n v="9.4234500000000008"/>
    <s v=""/>
    <s v=""/>
    <s v="[AC-98-231-134-503] Suction Side Liner, 10x8-21 SRL-C, Neoprene"/>
    <m/>
    <m/>
    <m/>
    <m/>
    <m/>
    <s v=""/>
    <n v="9.4234500000000008"/>
    <s v=""/>
    <s v=""/>
  </r>
  <r>
    <n v="1"/>
    <s v="SO17225"/>
    <m/>
    <x v="1"/>
    <x v="0"/>
    <m/>
    <s v="Ian Trottier"/>
    <n v="5"/>
    <n v="2025"/>
    <s v="INV13025"/>
    <n v="7"/>
    <n v="2025"/>
    <x v="1"/>
    <s v="Wajax Limited - Noranda"/>
    <s v="CAD"/>
    <n v="373.11"/>
    <n v="271.17608236621709"/>
    <x v="0"/>
    <n v="0"/>
    <n v="271.17608236621709"/>
    <m/>
    <x v="1"/>
    <m/>
    <m/>
    <s v=""/>
    <n v="5.0000000000000001E-3"/>
    <s v=""/>
    <s v=""/>
    <s v=""/>
    <n v="1.3558804118310854"/>
    <s v=""/>
    <s v=""/>
    <s v="[AC-98-234-268-001-SS] Waterseal Bushing, 5x4/5x5/6x6 SRL, 316SS"/>
    <n v="1.3558804118310854"/>
    <m/>
    <m/>
    <m/>
    <m/>
    <s v=""/>
    <n v="1.3558804118310854"/>
    <s v=""/>
    <s v=""/>
  </r>
  <r>
    <n v="1"/>
    <s v="SO17226"/>
    <m/>
    <x v="0"/>
    <x v="0"/>
    <m/>
    <s v="Jeff Bell"/>
    <n v="5"/>
    <n v="2025"/>
    <s v="INV13186"/>
    <n v="8"/>
    <n v="2025"/>
    <x v="0"/>
    <s v="Barrick Gold - Pueblo Viejo Dominicana Corporation"/>
    <s v="USD"/>
    <n v="48556.660366353062"/>
    <n v="34786"/>
    <x v="0"/>
    <n v="0"/>
    <n v="34786"/>
    <m/>
    <x v="0"/>
    <m/>
    <m/>
    <s v=""/>
    <s v=""/>
    <s v=""/>
    <s v=""/>
    <s v=""/>
    <s v=""/>
    <s v=""/>
    <s v=""/>
    <s v="Mag Drive Gear Pump, Micropump GLH-H25, With Motor"/>
    <n v="0"/>
    <m/>
    <m/>
    <m/>
    <m/>
    <s v=""/>
    <s v=""/>
    <s v=""/>
    <s v=""/>
  </r>
  <r>
    <n v="1"/>
    <s v="SO17227"/>
    <m/>
    <x v="1"/>
    <x v="0"/>
    <m/>
    <s v="Ian Trottier"/>
    <n v="5"/>
    <n v="2025"/>
    <s v="INV13009"/>
    <n v="7"/>
    <n v="2025"/>
    <x v="1"/>
    <s v="PT Vale Indonesia Tbk."/>
    <s v="USD"/>
    <n v="134.69150751997572"/>
    <n v="97.43"/>
    <x v="0"/>
    <n v="0"/>
    <n v="97.43"/>
    <m/>
    <x v="1"/>
    <m/>
    <m/>
    <s v=""/>
    <n v="5.0000000000000001E-3"/>
    <s v=""/>
    <s v=""/>
    <s v=""/>
    <n v="0.48715000000000003"/>
    <s v=""/>
    <s v=""/>
    <s v="[AC-98-233-733-513] Deflector (Water Slinger), 8x6-18 &amp; 10x8-21 SRL-C, Neoprene/Steel"/>
    <n v="0.48715000000000003"/>
    <m/>
    <m/>
    <m/>
    <m/>
    <s v=""/>
    <n v="0.48715000000000003"/>
    <s v=""/>
    <s v=""/>
  </r>
  <r>
    <n v="1"/>
    <s v="SO17229"/>
    <m/>
    <x v="1"/>
    <x v="0"/>
    <m/>
    <s v="Ian Trottier"/>
    <n v="5"/>
    <n v="2025"/>
    <s v="INV13023"/>
    <n v="7"/>
    <n v="2025"/>
    <x v="1"/>
    <s v="SCG Process, SCG Process"/>
    <s v="CAD"/>
    <n v="4331.1499999999996"/>
    <n v="3147.8767364595997"/>
    <x v="0"/>
    <n v="0"/>
    <n v="3147.8767364595997"/>
    <m/>
    <x v="1"/>
    <m/>
    <m/>
    <s v=""/>
    <n v="5.0000000000000001E-3"/>
    <s v=""/>
    <s v=""/>
    <s v=""/>
    <n v="15.739383682298"/>
    <s v=""/>
    <s v=""/>
    <s v="[AC-98-231-116-503] Gland Side Liner, 5X4-14 SRL-C, Neoprene"/>
    <m/>
    <m/>
    <m/>
    <m/>
    <m/>
    <s v=""/>
    <n v="15.739383682298"/>
    <s v=""/>
    <s v=""/>
  </r>
  <r>
    <n v="1"/>
    <s v="SO17230"/>
    <m/>
    <x v="1"/>
    <x v="0"/>
    <m/>
    <s v="Ian Trottier"/>
    <n v="5"/>
    <n v="2025"/>
    <s v="INV13027"/>
    <n v="7"/>
    <n v="2025"/>
    <x v="1"/>
    <s v="Resolute Forest Products - Saint-Felicien"/>
    <s v="CAD"/>
    <n v="525.22"/>
    <n v="381.72952207226979"/>
    <x v="0"/>
    <n v="0"/>
    <n v="381.72952207226979"/>
    <m/>
    <x v="1"/>
    <m/>
    <m/>
    <s v=""/>
    <n v="5.0000000000000001E-3"/>
    <s v=""/>
    <s v=""/>
    <s v=""/>
    <n v="1.908647610361349"/>
    <s v=""/>
    <s v=""/>
    <s v="[AC-98-232-857-802] Shim Set, A-C PWO-C Group 2, Plastic"/>
    <n v="1.908647610361349"/>
    <m/>
    <m/>
    <m/>
    <m/>
    <s v=""/>
    <n v="1.908647610361349"/>
    <s v=""/>
    <s v=""/>
  </r>
  <r>
    <n v="1"/>
    <s v="SO17234"/>
    <m/>
    <x v="0"/>
    <x v="0"/>
    <m/>
    <s v="Taylor Cook"/>
    <n v="5"/>
    <n v="2025"/>
    <s v="INV13031"/>
    <n v="6"/>
    <n v="2025"/>
    <x v="0"/>
    <s v="Motion Industries Inc. (Canada) - Winnipeg"/>
    <s v="CAD"/>
    <n v="126.12"/>
    <n v="91.535653775790749"/>
    <x v="0"/>
    <n v="0"/>
    <n v="91.535653775790749"/>
    <m/>
    <x v="0"/>
    <m/>
    <m/>
    <s v=""/>
    <s v=""/>
    <s v=""/>
    <s v=""/>
    <s v=""/>
    <s v=""/>
    <s v=""/>
    <s v=""/>
    <s v="[DU-SA3210AA00-TFR] Impeller Gasket, Durco Mark 2&amp;3 Group 2, Teflon/Rubber"/>
    <n v="0"/>
    <m/>
    <m/>
    <m/>
    <m/>
    <s v=""/>
    <s v=""/>
    <s v=""/>
    <s v=""/>
  </r>
  <r>
    <n v="1"/>
    <s v="SO17235"/>
    <m/>
    <x v="1"/>
    <x v="0"/>
    <m/>
    <s v="Ian Trottier"/>
    <n v="5"/>
    <n v="2025"/>
    <s v="INV13079"/>
    <n v="8"/>
    <n v="2025"/>
    <x v="1"/>
    <s v="Hyperflo"/>
    <s v="CAD"/>
    <n v="1059.76"/>
    <n v="765.06747569241963"/>
    <x v="0"/>
    <n v="0"/>
    <n v="765.06747569241963"/>
    <m/>
    <x v="1"/>
    <m/>
    <m/>
    <s v=""/>
    <n v="5.0000000000000001E-3"/>
    <s v=""/>
    <s v=""/>
    <s v=""/>
    <n v="3.8253373784620983"/>
    <s v=""/>
    <s v=""/>
    <s v="[AC-98-331-958-810] Shaft Sleeve, 2x2-10 SRL, 316SS"/>
    <m/>
    <m/>
    <m/>
    <m/>
    <m/>
    <s v=""/>
    <n v="3.8253373784620983"/>
    <s v=""/>
    <s v=""/>
  </r>
  <r>
    <n v="1"/>
    <s v="SO17237"/>
    <m/>
    <x v="1"/>
    <x v="0"/>
    <m/>
    <s v="Ian Trottier"/>
    <n v="5"/>
    <n v="2025"/>
    <s v="INV13029"/>
    <n v="8"/>
    <n v="2025"/>
    <x v="1"/>
    <s v="Hyperflo"/>
    <s v="CAD"/>
    <n v="1034.78"/>
    <n v="751.02492716549909"/>
    <x v="0"/>
    <n v="0"/>
    <n v="751.02492716549909"/>
    <m/>
    <x v="1"/>
    <m/>
    <m/>
    <s v=""/>
    <n v="5.0000000000000001E-3"/>
    <s v=""/>
    <s v=""/>
    <s v=""/>
    <n v="3.7551246358274954"/>
    <s v=""/>
    <s v=""/>
    <s v="[AC-98-039-047-501] Impeller (Closed), 5x4-14 SRL-C, Natural Rubber"/>
    <n v="3.7551246358274954"/>
    <m/>
    <m/>
    <m/>
    <m/>
    <s v=""/>
    <n v="3.7551246358274954"/>
    <s v=""/>
    <s v=""/>
  </r>
  <r>
    <n v="1"/>
    <s v="SO17238"/>
    <m/>
    <x v="0"/>
    <x v="0"/>
    <m/>
    <s v="Amanda Qiao"/>
    <n v="5"/>
    <n v="2025"/>
    <s v="INV13045"/>
    <n v="7"/>
    <n v="2025"/>
    <x v="0"/>
    <s v="Mill-Right Mine Services Inc."/>
    <s v="USD"/>
    <n v="5353.8560423250119"/>
    <n v="3897.24"/>
    <x v="0"/>
    <n v="263.54000000000002"/>
    <n v="3633.7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m/>
    <m/>
    <m/>
    <m/>
    <m/>
    <s v=""/>
    <s v=""/>
    <s v=""/>
    <s v=""/>
  </r>
  <r>
    <n v="1"/>
    <s v="SO17241"/>
    <m/>
    <x v="1"/>
    <x v="0"/>
    <m/>
    <s v="Ian Trottier"/>
    <n v="5"/>
    <n v="2025"/>
    <s v="INV13041"/>
    <n v="7"/>
    <n v="2025"/>
    <x v="1"/>
    <s v="Wajax Limited - Noranda"/>
    <s v="CAD"/>
    <n v="286.35000000000002"/>
    <n v="207.18469304590474"/>
    <x v="0"/>
    <n v="0"/>
    <n v="207.18469304590474"/>
    <m/>
    <x v="1"/>
    <m/>
    <m/>
    <s v=""/>
    <n v="5.0000000000000001E-3"/>
    <s v=""/>
    <s v=""/>
    <s v=""/>
    <n v="1.0359234652295237"/>
    <s v=""/>
    <s v=""/>
    <s v="[SKF-22340] Bearing Seal (Inboard &amp; Outboard), 5x4-14 SRL/SRL-C, 6x6-15 SRL"/>
    <n v="1.0359234652295237"/>
    <m/>
    <m/>
    <m/>
    <m/>
    <s v=""/>
    <n v="1.0359234652295237"/>
    <s v=""/>
    <s v=""/>
  </r>
  <r>
    <n v="1"/>
    <s v="SO17242"/>
    <m/>
    <x v="0"/>
    <x v="0"/>
    <m/>
    <s v="Amanda Qiao"/>
    <n v="5"/>
    <n v="2025"/>
    <s v="INV13482"/>
    <n v="10"/>
    <n v="2025"/>
    <x v="0"/>
    <s v="Mill-Right Mine Services Inc."/>
    <s v="USD"/>
    <n v="3636.7582305189817"/>
    <n v="2660"/>
    <x v="0"/>
    <n v="0"/>
    <n v="2660"/>
    <m/>
    <x v="0"/>
    <m/>
    <m/>
    <s v=""/>
    <s v=""/>
    <s v=""/>
    <s v=""/>
    <s v=""/>
    <s v=""/>
    <s v=""/>
    <s v=""/>
    <s v="[GA-556540] Impeller, G-Series 6&quot; VSP, 8100 Series, High Chrome"/>
    <n v="0"/>
    <m/>
    <m/>
    <m/>
    <m/>
    <s v=""/>
    <s v=""/>
    <s v=""/>
    <s v=""/>
  </r>
  <r>
    <n v="1"/>
    <s v="SO17243"/>
    <m/>
    <x v="1"/>
    <x v="0"/>
    <m/>
    <s v="Ian Trottier"/>
    <n v="5"/>
    <n v="2025"/>
    <s v="INV13338"/>
    <n v="9"/>
    <n v="2025"/>
    <x v="1"/>
    <s v="Les Pompes du St-Laurent Inc."/>
    <s v="CAD"/>
    <n v="18048.939999999999"/>
    <n v="13189.008517319087"/>
    <x v="0"/>
    <n v="0"/>
    <n v="13189.008517319087"/>
    <m/>
    <x v="1"/>
    <m/>
    <m/>
    <s v=""/>
    <n v="5.0000000000000001E-3"/>
    <s v=""/>
    <s v=""/>
    <s v=""/>
    <n v="65.945042586595434"/>
    <s v=""/>
    <s v=""/>
    <s v="[G-243-90 1216] Impeller, 6x8-13, 3171-L, CD4MCu"/>
    <n v="65.945042586595434"/>
    <m/>
    <m/>
    <m/>
    <m/>
    <s v=""/>
    <n v="65.945042586595434"/>
    <s v=""/>
    <s v=""/>
  </r>
  <r>
    <n v="1"/>
    <s v="SO17245"/>
    <m/>
    <x v="1"/>
    <x v="0"/>
    <m/>
    <s v="Ian Trottier"/>
    <n v="5"/>
    <n v="2025"/>
    <s v="INV13269"/>
    <n v="9"/>
    <n v="2025"/>
    <x v="1"/>
    <s v="Motion Industries Inc. (Canada) - Winnipeg"/>
    <s v="CAD"/>
    <n v="419.88"/>
    <n v="304.74143916412163"/>
    <x v="0"/>
    <n v="0"/>
    <n v="304.74143916412163"/>
    <m/>
    <x v="1"/>
    <m/>
    <m/>
    <s v=""/>
    <n v="5.0000000000000001E-3"/>
    <s v=""/>
    <s v=""/>
    <s v=""/>
    <n v="1.5237071958206081"/>
    <s v=""/>
    <s v=""/>
    <s v="[WO-960617-00] Impeller Washer, Worthington D1011/D1012, Frame 5, 316SS"/>
    <n v="1.5237071958206081"/>
    <m/>
    <m/>
    <m/>
    <m/>
    <s v=""/>
    <n v="1.5237071958206081"/>
    <s v=""/>
    <s v=""/>
  </r>
  <r>
    <n v="1"/>
    <s v="SO17246"/>
    <m/>
    <x v="1"/>
    <x v="0"/>
    <m/>
    <s v="Ian Trottier"/>
    <n v="5"/>
    <n v="2025"/>
    <s v="INV13042"/>
    <n v="7"/>
    <n v="2025"/>
    <x v="1"/>
    <s v="Wajax Limited - Noranda"/>
    <s v="CAD"/>
    <n v="711.25"/>
    <n v="515.01376453166131"/>
    <x v="0"/>
    <n v="0"/>
    <n v="515.01376453166131"/>
    <m/>
    <x v="1"/>
    <m/>
    <m/>
    <s v=""/>
    <n v="5.0000000000000001E-3"/>
    <s v=""/>
    <s v=""/>
    <s v=""/>
    <n v="2.5750688226583067"/>
    <s v=""/>
    <s v=""/>
    <s v="[AC-98-331-958-808] Shaft Sleeve, 5x4/5x5/6x6 SRL, 316SS"/>
    <n v="2.5750688226583067"/>
    <m/>
    <m/>
    <m/>
    <m/>
    <s v=""/>
    <n v="2.5750688226583067"/>
    <s v=""/>
    <s v=""/>
  </r>
  <r>
    <n v="2"/>
    <s v="SO17249"/>
    <m/>
    <x v="1"/>
    <x v="0"/>
    <m/>
    <s v="Ian Trottier"/>
    <n v="5"/>
    <n v="2025"/>
    <s v="(* 77703)"/>
    <s v=""/>
    <s v=""/>
    <x v="1"/>
    <s v="Sling-Choker Manufacturing - Timmins"/>
    <s v="CAD"/>
    <n v="4343.46"/>
    <n v="3142.6520930929478"/>
    <x v="0"/>
    <n v="0"/>
    <n v="3142.6520930929478"/>
    <m/>
    <x v="1"/>
    <m/>
    <m/>
    <s v=""/>
    <n v="5.0000000000000001E-3"/>
    <s v=""/>
    <s v=""/>
    <s v=""/>
    <n v="15.713260465464739"/>
    <s v=""/>
    <s v=""/>
    <e v="#N/A"/>
    <n v="15.713260465464739"/>
    <m/>
    <m/>
    <m/>
    <m/>
    <s v=""/>
    <n v="15.713260465464739"/>
    <s v=""/>
    <s v=""/>
  </r>
  <r>
    <n v="2"/>
    <s v="SO17249"/>
    <m/>
    <x v="1"/>
    <x v="0"/>
    <m/>
    <n v="0"/>
    <n v="5"/>
    <n v="2025"/>
    <s v="INV13112"/>
    <n v="7"/>
    <n v="2025"/>
    <x v="1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231-135-501] Suction Side Plate, 10x8-21 SRL-C, Natural Rubber"/>
    <m/>
    <m/>
    <m/>
    <m/>
    <m/>
    <s v=""/>
    <n v="0"/>
    <s v=""/>
    <s v=""/>
  </r>
  <r>
    <n v="1"/>
    <s v="SO17250"/>
    <m/>
    <x v="3"/>
    <x v="0"/>
    <m/>
    <s v="Amanda Qiao"/>
    <n v="5"/>
    <n v="2025"/>
    <s v="INV13048"/>
    <n v="7"/>
    <n v="2025"/>
    <x v="1"/>
    <s v="Resolute Forest Products - Dolbeau"/>
    <s v="USD"/>
    <n v="349.59387408832549"/>
    <n v="254.29"/>
    <x v="0"/>
    <n v="0"/>
    <n v="254.29"/>
    <m/>
    <x v="1"/>
    <m/>
    <m/>
    <s v=""/>
    <n v="5.0000000000000001E-3"/>
    <s v=""/>
    <s v=""/>
    <s v=""/>
    <n v="1.27145"/>
    <s v=""/>
    <s v=""/>
    <s v="[G-D08717A03 6241] Labyrinth Seal (Outboard), 3196 MTX, Carbon Teflon"/>
    <m/>
    <m/>
    <n v="2503"/>
    <m/>
    <m/>
    <s v=""/>
    <n v="0"/>
    <s v=""/>
    <s v=""/>
  </r>
  <r>
    <n v="2"/>
    <s v="SO17253"/>
    <m/>
    <x v="5"/>
    <x v="0"/>
    <m/>
    <s v="Wilka Nuñez"/>
    <n v="5"/>
    <n v="2025"/>
    <s v="INV13071"/>
    <n v="7"/>
    <n v="2025"/>
    <x v="2"/>
    <s v="Barrick Gold - Pueblo Viejo Dominicana Corporation"/>
    <s v="USD"/>
    <n v="206959.96434205474"/>
    <n v="149743.1"/>
    <x v="0"/>
    <n v="0"/>
    <n v="149743.1"/>
    <m/>
    <x v="3"/>
    <m/>
    <m/>
    <s v=""/>
    <n v="0"/>
    <s v=""/>
    <s v=""/>
    <s v=""/>
    <n v="0"/>
    <s v=""/>
    <s v=""/>
    <s v="[D-2001405-CD4] Bowl,10JKH/M, BW-INT-STEP-NO-SL-SP, CD4MCu"/>
    <n v="0"/>
    <m/>
    <m/>
    <m/>
    <m/>
    <s v=""/>
    <n v="0"/>
    <s v=""/>
    <s v=""/>
  </r>
  <r>
    <n v="2"/>
    <s v="SO17253"/>
    <m/>
    <x v="5"/>
    <x v="0"/>
    <m/>
    <n v="0"/>
    <n v="5"/>
    <n v="2025"/>
    <s v="INV13477"/>
    <n v="11"/>
    <n v="2025"/>
    <x v="2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10JKM, 6-Vane Impeller, CD4] Impeller, 10JKM, Double Keyed, w/Wear Ring"/>
    <m/>
    <m/>
    <m/>
    <m/>
    <m/>
    <s v=""/>
    <n v="0"/>
    <s v=""/>
    <s v=""/>
  </r>
  <r>
    <n v="1"/>
    <s v="SO17254"/>
    <m/>
    <x v="1"/>
    <x v="0"/>
    <m/>
    <s v="Ian Trottier"/>
    <n v="5"/>
    <n v="2025"/>
    <s v="INV13046"/>
    <n v="7"/>
    <n v="2025"/>
    <x v="1"/>
    <s v="Motion Industries Inc. (Canada) - Prince George"/>
    <s v="CAD"/>
    <n v="3384.38"/>
    <n v="2461.7536346834399"/>
    <x v="0"/>
    <n v="0"/>
    <n v="2461.7536346834399"/>
    <m/>
    <x v="1"/>
    <m/>
    <m/>
    <s v=""/>
    <n v="5.0000000000000001E-3"/>
    <s v=""/>
    <s v=""/>
    <s v=""/>
    <n v="12.308768173417199"/>
    <s v=""/>
    <s v=""/>
    <s v="[SA-138413-M1] Casing, Sala 2&quot;, SPV, VT50, Rubber Lined"/>
    <m/>
    <m/>
    <m/>
    <m/>
    <m/>
    <s v=""/>
    <n v="12.308768173417199"/>
    <s v=""/>
    <s v=""/>
  </r>
  <r>
    <n v="1"/>
    <s v="SO17256"/>
    <m/>
    <x v="4"/>
    <x v="0"/>
    <m/>
    <s v="Alexis Gil Lamadrid"/>
    <n v="5"/>
    <n v="2025"/>
    <s v="INV13061"/>
    <n v="7"/>
    <n v="2025"/>
    <x v="1"/>
    <s v="Motion Industries Inc. (Canada) - Quesnel"/>
    <s v="CAD"/>
    <n v="568.13"/>
    <n v="413.99784815665294"/>
    <x v="0"/>
    <n v="0"/>
    <n v="413.99784815665294"/>
    <m/>
    <x v="1"/>
    <m/>
    <m/>
    <s v=""/>
    <n v="5.0000000000000001E-3"/>
    <s v=""/>
    <s v=""/>
    <s v=""/>
    <n v="2.0699892407832645"/>
    <s v=""/>
    <s v=""/>
    <s v="[OLPWZ011009B, G-A04951A222] Bearing Isolator (Inboard), 3196 XLT/XLTi, 303SS Rotor / Bronze Stator w/Viton"/>
    <n v="2.0699892407832645"/>
    <m/>
    <n v="2503"/>
    <m/>
    <m/>
    <s v=""/>
    <n v="0"/>
    <s v=""/>
    <s v=""/>
  </r>
  <r>
    <n v="1"/>
    <s v="SO17257"/>
    <m/>
    <x v="0"/>
    <x v="0"/>
    <m/>
    <s v="Ian Trottier"/>
    <n v="5"/>
    <n v="2025"/>
    <s v="INV13077"/>
    <n v="6"/>
    <n v="2025"/>
    <x v="0"/>
    <s v="TC Industries of Canada Co."/>
    <s v="CAD"/>
    <n v="763.98"/>
    <n v="555.70903439491258"/>
    <x v="0"/>
    <n v="0"/>
    <n v="555.70903439491258"/>
    <m/>
    <x v="0"/>
    <m/>
    <m/>
    <s v=""/>
    <s v=""/>
    <s v=""/>
    <s v=""/>
    <s v=""/>
    <s v=""/>
    <s v=""/>
    <s v=""/>
    <s v="[G-A01075A268 5026] Packing (5 Piece Set), 3175-M, Teflon Impregnated Kevlar"/>
    <n v="0"/>
    <m/>
    <m/>
    <m/>
    <m/>
    <s v=""/>
    <s v=""/>
    <s v=""/>
    <s v=""/>
  </r>
  <r>
    <n v="1"/>
    <s v="SO17259"/>
    <m/>
    <x v="3"/>
    <x v="0"/>
    <m/>
    <s v="Amanda Qiao"/>
    <n v="5"/>
    <n v="2025"/>
    <s v="INV13059"/>
    <n v="8"/>
    <n v="2025"/>
    <x v="1"/>
    <s v="Resolute Forest Products - Clermont"/>
    <s v="CAD"/>
    <n v="26.73"/>
    <n v="19.44305150576718"/>
    <x v="0"/>
    <n v="0"/>
    <n v="19.44305150576718"/>
    <m/>
    <x v="1"/>
    <m/>
    <m/>
    <s v=""/>
    <n v="5.0000000000000001E-3"/>
    <s v=""/>
    <s v=""/>
    <s v=""/>
    <n v="9.7215257528835905E-2"/>
    <s v=""/>
    <s v=""/>
    <s v="[156 Teflon, G-C02495A998 6359] Shaft Sleeve O-Ring, 3175-L, Teflon"/>
    <n v="9.7215257528835905E-2"/>
    <m/>
    <n v="2503"/>
    <m/>
    <m/>
    <s v=""/>
    <n v="0"/>
    <s v=""/>
    <s v=""/>
  </r>
  <r>
    <n v="1"/>
    <s v="SO17260"/>
    <m/>
    <x v="1"/>
    <x v="0"/>
    <m/>
    <s v="Ian Trottier"/>
    <n v="5"/>
    <n v="2025"/>
    <s v="INV13064"/>
    <n v="7"/>
    <n v="2025"/>
    <x v="1"/>
    <s v="Cartledge &amp; Associates Inc."/>
    <s v="USD"/>
    <n v="3001.2515237273528"/>
    <n v="2187.02"/>
    <x v="0"/>
    <n v="589"/>
    <n v="1598.02"/>
    <m/>
    <x v="1"/>
    <m/>
    <m/>
    <s v=""/>
    <n v="5.0000000000000001E-3"/>
    <s v=""/>
    <s v=""/>
    <s v=""/>
    <n v="7.9901"/>
    <s v=""/>
    <s v=""/>
    <s v="[AC-98-231-123-501] Gland Side Liner, 8x6-18 SRL-C, Natural Rubber"/>
    <n v="7.9901"/>
    <m/>
    <m/>
    <m/>
    <m/>
    <s v=""/>
    <n v="7.9901"/>
    <s v=""/>
    <s v=""/>
  </r>
  <r>
    <n v="1"/>
    <s v="SO17261"/>
    <m/>
    <x v="1"/>
    <x v="0"/>
    <m/>
    <s v="Ian Trottier"/>
    <n v="5"/>
    <n v="2025"/>
    <s v="INV13053"/>
    <n v="7"/>
    <n v="2025"/>
    <x v="1"/>
    <s v="Moffatt Supply &amp; Specialties - Red Lake"/>
    <s v="CAD"/>
    <n v="2804.45"/>
    <n v="2039.9201569528161"/>
    <x v="0"/>
    <n v="0"/>
    <n v="2039.9201569528161"/>
    <m/>
    <x v="1"/>
    <m/>
    <m/>
    <s v=""/>
    <n v="5.0000000000000001E-3"/>
    <s v=""/>
    <s v=""/>
    <s v=""/>
    <n v="10.199600784764081"/>
    <s v=""/>
    <s v=""/>
    <s v="[AC-98-330-307-501] Impeller (Closed), 3x3-10 SRL-C, Natural Rubber"/>
    <m/>
    <m/>
    <m/>
    <m/>
    <m/>
    <s v=""/>
    <n v="10.199600784764081"/>
    <s v=""/>
    <s v=""/>
  </r>
  <r>
    <n v="1"/>
    <s v="SO17262"/>
    <m/>
    <x v="1"/>
    <x v="0"/>
    <m/>
    <s v="Ian Trottier"/>
    <n v="5"/>
    <n v="2025"/>
    <s v="INV13085"/>
    <n v="7"/>
    <n v="2025"/>
    <x v="1"/>
    <s v="Motion Industries Inc. (Canada) - Quesnel"/>
    <s v="CAD"/>
    <n v="2075.88"/>
    <n v="1516.9200518663336"/>
    <x v="0"/>
    <n v="0"/>
    <n v="1516.9200518663336"/>
    <m/>
    <x v="2"/>
    <m/>
    <m/>
    <s v=""/>
    <n v="0.02"/>
    <s v=""/>
    <s v=""/>
    <s v=""/>
    <n v="30.338401037326673"/>
    <s v=""/>
    <s v=""/>
    <s v="[G-70782 28 5127] Casing Gasket, 13&quot;, 3196 MTX/LTX, Durlon 8500"/>
    <n v="30.338401037326673"/>
    <m/>
    <m/>
    <m/>
    <m/>
    <s v=""/>
    <n v="30.338401037326673"/>
    <s v=""/>
    <s v=""/>
  </r>
  <r>
    <n v="1"/>
    <s v="SO17263"/>
    <m/>
    <x v="0"/>
    <x v="0"/>
    <m/>
    <s v="Yannett Yeomans"/>
    <n v="5"/>
    <n v="2025"/>
    <s v="INV13315"/>
    <s v=""/>
    <s v=""/>
    <x v="0"/>
    <s v="Dynapro Pumps México S de RL de CV"/>
    <s v="USD"/>
    <n v="20508.311092626496"/>
    <n v="14850"/>
    <x v="1"/>
    <n v="0"/>
    <n v="0"/>
    <m/>
    <x v="0"/>
    <m/>
    <m/>
    <s v=""/>
    <s v=""/>
    <s v=""/>
    <s v=""/>
    <s v=""/>
    <s v=""/>
    <s v=""/>
    <s v=""/>
    <s v="[10045/5001] Bowl Bearing, 12RJHC-8, Teflon"/>
    <n v="0"/>
    <m/>
    <m/>
    <m/>
    <m/>
    <s v=""/>
    <s v=""/>
    <s v=""/>
    <s v=""/>
  </r>
  <r>
    <n v="3"/>
    <s v="SO17264"/>
    <m/>
    <x v="1"/>
    <x v="0"/>
    <m/>
    <s v="Ian Trottier"/>
    <n v="6"/>
    <n v="2025"/>
    <s v="INV13126"/>
    <n v="7"/>
    <n v="2025"/>
    <x v="1"/>
    <s v="Motion Industries Inc. (Canada) - Prince George"/>
    <s v="CAD"/>
    <n v="4332.75"/>
    <n v="3170.1973672359454"/>
    <x v="0"/>
    <n v="0"/>
    <n v="3170.1973672359454"/>
    <m/>
    <x v="1"/>
    <m/>
    <m/>
    <s v=""/>
    <n v="5.0000000000000001E-3"/>
    <s v=""/>
    <s v=""/>
    <s v=""/>
    <n v="15.850986836179727"/>
    <s v=""/>
    <s v=""/>
    <s v="[W-U111-TEFKVSC-PIECE] Premium Slurry Packing (Single Piece), 20/18 U-AH, PTFE Lubricated Kevlar w/Silicon Core"/>
    <n v="15.850986836179727"/>
    <m/>
    <m/>
    <m/>
    <m/>
    <s v=""/>
    <n v="15.850986836179727"/>
    <s v=""/>
    <s v=""/>
  </r>
  <r>
    <n v="3"/>
    <s v="SO17264"/>
    <m/>
    <x v="1"/>
    <x v="0"/>
    <m/>
    <n v="0"/>
    <n v="6"/>
    <n v="2025"/>
    <s v="INV13094"/>
    <n v="7"/>
    <n v="2025"/>
    <x v="1"/>
    <s v="Motion Industries Inc. (Canada) - Prince George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U111-TEFKVSC-PIECE] Premium Slurry Packing (Single Piece), 20/18 U-AH, PTFE Lubricated Kevlar w/Silicon Core"/>
    <m/>
    <m/>
    <m/>
    <m/>
    <m/>
    <s v=""/>
    <n v="0"/>
    <s v=""/>
    <s v=""/>
  </r>
  <r>
    <n v="3"/>
    <s v="SO17264"/>
    <m/>
    <x v="1"/>
    <x v="0"/>
    <m/>
    <n v="0"/>
    <n v="6"/>
    <n v="2025"/>
    <s v="INV13197"/>
    <n v="8"/>
    <n v="2025"/>
    <x v="1"/>
    <s v="Motion Industries Inc. (Canada) - Prince George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SA-234602-M1] Impeller, VT50, Natural Rubber"/>
    <m/>
    <m/>
    <m/>
    <m/>
    <m/>
    <s v=""/>
    <n v="0"/>
    <s v=""/>
    <s v=""/>
  </r>
  <r>
    <n v="1"/>
    <s v="SO17265"/>
    <m/>
    <x v="0"/>
    <x v="0"/>
    <m/>
    <s v="Amanda Qiao"/>
    <n v="6"/>
    <n v="2025"/>
    <s v="INV13043"/>
    <n v="7"/>
    <n v="2025"/>
    <x v="0"/>
    <s v="Mill-Right Mine Services Inc."/>
    <s v="USD"/>
    <n v="2677.3028925918761"/>
    <n v="1948.62"/>
    <x v="0"/>
    <n v="131.77000000000001"/>
    <n v="1816.85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n v="0"/>
    <m/>
    <m/>
    <m/>
    <m/>
    <s v=""/>
    <s v=""/>
    <s v=""/>
    <s v=""/>
  </r>
  <r>
    <n v="1"/>
    <s v="SO17267"/>
    <m/>
    <x v="0"/>
    <x v="0"/>
    <m/>
    <s v="Ian Trottier"/>
    <n v="6"/>
    <n v="2025"/>
    <s v="INV13603"/>
    <n v="11"/>
    <n v="2025"/>
    <x v="0"/>
    <s v="Thunder Bay Pulp and Paper Inc"/>
    <s v="CAD"/>
    <n v="12103.08"/>
    <n v="8852.4424114400717"/>
    <x v="0"/>
    <n v="0"/>
    <n v="8852.4424114400717"/>
    <m/>
    <x v="0"/>
    <m/>
    <m/>
    <s v=""/>
    <s v=""/>
    <s v=""/>
    <s v=""/>
    <s v=""/>
    <s v=""/>
    <s v=""/>
    <s v=""/>
    <s v="[M&amp;N # 7346] Casing, 4x3-11, Worthington 3M111, High Chrome"/>
    <n v="0"/>
    <m/>
    <m/>
    <m/>
    <m/>
    <s v=""/>
    <s v=""/>
    <s v=""/>
    <s v=""/>
  </r>
  <r>
    <n v="1"/>
    <s v="SO17269"/>
    <m/>
    <x v="1"/>
    <x v="0"/>
    <m/>
    <s v="Ian Trottier"/>
    <n v="6"/>
    <n v="2025"/>
    <s v="INV13260"/>
    <n v="9"/>
    <n v="2025"/>
    <x v="1"/>
    <s v="Progressive Sealing Inc."/>
    <s v="CAD"/>
    <n v="5710.29"/>
    <n v="4172.2621692048751"/>
    <x v="0"/>
    <n v="0"/>
    <n v="4172.2621692048751"/>
    <m/>
    <x v="1"/>
    <m/>
    <m/>
    <s v=""/>
    <n v="5.0000000000000001E-3"/>
    <s v=""/>
    <s v=""/>
    <s v=""/>
    <n v="20.861310846024377"/>
    <s v=""/>
    <s v=""/>
    <s v="[WO-2114547-CD4] Impeller, Worthington 8-FRBH-152, CD4MCu"/>
    <n v="20.861310846024377"/>
    <m/>
    <m/>
    <m/>
    <m/>
    <s v=""/>
    <n v="20.861310846024377"/>
    <s v=""/>
    <s v=""/>
  </r>
  <r>
    <n v="1"/>
    <s v="SO17271"/>
    <m/>
    <x v="1"/>
    <x v="0"/>
    <m/>
    <s v="Ian Trottier"/>
    <n v="6"/>
    <n v="2025"/>
    <s v="INV13060"/>
    <n v="8"/>
    <n v="2025"/>
    <x v="1"/>
    <s v="Resolute Forest Products - Saint-Felicien"/>
    <s v="CAD"/>
    <n v="243.55"/>
    <n v="177.47553538548013"/>
    <x v="0"/>
    <n v="0"/>
    <n v="177.47553538548013"/>
    <m/>
    <x v="1"/>
    <m/>
    <m/>
    <s v=""/>
    <n v="5.0000000000000001E-3"/>
    <s v=""/>
    <s v=""/>
    <s v=""/>
    <n v="0.88737767692740066"/>
    <s v=""/>
    <s v=""/>
    <s v="[OLPWZ011006B, G-A04951A219] Bearing Isolator (Outboard), 3196 MTX/MTi, 303SS Rotor / Bronze Stator w/Viton"/>
    <n v="0.88737767692740066"/>
    <m/>
    <m/>
    <m/>
    <m/>
    <s v=""/>
    <n v="0.88737767692740066"/>
    <s v=""/>
    <s v=""/>
  </r>
  <r>
    <n v="1"/>
    <s v="SO17274"/>
    <m/>
    <x v="1"/>
    <x v="0"/>
    <m/>
    <s v="Ian Trottier"/>
    <n v="6"/>
    <n v="2025"/>
    <s v="INV13065"/>
    <n v="8"/>
    <n v="2025"/>
    <x v="1"/>
    <s v="BDI Canada Inc - Saskatoon"/>
    <s v="CAD"/>
    <n v="268.29000000000002"/>
    <n v="196.23284110864822"/>
    <x v="0"/>
    <n v="0"/>
    <n v="196.23284110864822"/>
    <m/>
    <x v="1"/>
    <m/>
    <m/>
    <s v=""/>
    <n v="5.0000000000000001E-3"/>
    <s v=""/>
    <s v=""/>
    <s v=""/>
    <n v="0.98116420554324113"/>
    <s v=""/>
    <s v=""/>
    <s v="[OLPWZ011009B, G-A04951A222] Bearing Isolator (Inboard), 3196 XLT/XLTi, 303SS Rotor / Bronze Stator w/Viton"/>
    <n v="0.98116420554324113"/>
    <m/>
    <m/>
    <m/>
    <m/>
    <s v=""/>
    <n v="0.98116420554324113"/>
    <s v=""/>
    <s v=""/>
  </r>
  <r>
    <n v="1"/>
    <s v="SO17276"/>
    <m/>
    <x v="1"/>
    <x v="0"/>
    <m/>
    <s v="Ian Trottier"/>
    <n v="6"/>
    <n v="2025"/>
    <s v="INV13081"/>
    <n v="7"/>
    <n v="2025"/>
    <x v="1"/>
    <s v="Les Pompes du St-Laurent Inc."/>
    <s v="CAD"/>
    <n v="314.95"/>
    <n v="230.14527349138766"/>
    <x v="0"/>
    <n v="0"/>
    <n v="230.14527349138766"/>
    <m/>
    <x v="1"/>
    <m/>
    <m/>
    <s v=""/>
    <n v="5.0000000000000001E-3"/>
    <s v=""/>
    <s v=""/>
    <s v=""/>
    <n v="1.1507263674569383"/>
    <s v=""/>
    <s v=""/>
    <s v="[G-B02092A 1001] Frame Foot, 3196 MTX, 8.25&quot; Centerline"/>
    <m/>
    <m/>
    <m/>
    <m/>
    <m/>
    <s v=""/>
    <n v="1.1507263674569383"/>
    <s v=""/>
    <s v=""/>
  </r>
  <r>
    <n v="1"/>
    <s v="SO17277"/>
    <m/>
    <x v="1"/>
    <x v="0"/>
    <m/>
    <s v="Ian Trottier"/>
    <n v="6"/>
    <n v="2025"/>
    <s v="INV13054"/>
    <n v="7"/>
    <n v="2025"/>
    <x v="1"/>
    <s v="Motion Industries Inc. (U.S.) - Tucson"/>
    <s v="USD"/>
    <n v="227.91188606443416"/>
    <n v="166.08"/>
    <x v="0"/>
    <n v="0"/>
    <n v="166.08"/>
    <m/>
    <x v="1"/>
    <m/>
    <m/>
    <s v=""/>
    <n v="5.0000000000000001E-3"/>
    <s v=""/>
    <s v=""/>
    <s v=""/>
    <n v="0.83040000000000003"/>
    <s v=""/>
    <s v=""/>
    <s v="[G-73705X 2229] Shaft Sleeve, 3196 MTX, 316SS"/>
    <n v="0.83040000000000003"/>
    <m/>
    <m/>
    <m/>
    <m/>
    <s v=""/>
    <n v="0.83040000000000003"/>
    <s v=""/>
    <s v=""/>
  </r>
  <r>
    <n v="1"/>
    <s v="SO17278"/>
    <m/>
    <x v="0"/>
    <x v="0"/>
    <m/>
    <s v="Ian Trottier"/>
    <n v="6"/>
    <n v="2025"/>
    <s v="INV13131"/>
    <s v=""/>
    <s v=""/>
    <x v="0"/>
    <s v="Resolute Forest Products - Clermont"/>
    <s v="CAD"/>
    <n v="0"/>
    <n v="0"/>
    <x v="1"/>
    <n v="0"/>
    <n v="0"/>
    <m/>
    <x v="0"/>
    <m/>
    <m/>
    <s v=""/>
    <s v=""/>
    <s v=""/>
    <s v=""/>
    <s v=""/>
    <s v=""/>
    <s v=""/>
    <s v=""/>
    <e v="#N/A"/>
    <n v="0"/>
    <m/>
    <m/>
    <m/>
    <m/>
    <s v=""/>
    <s v=""/>
    <s v=""/>
    <s v=""/>
  </r>
  <r>
    <n v="1"/>
    <s v="SO17282"/>
    <m/>
    <x v="1"/>
    <x v="0"/>
    <m/>
    <s v="Ian Trottier"/>
    <n v="6"/>
    <n v="2025"/>
    <s v="INV13087"/>
    <n v="8"/>
    <n v="2025"/>
    <x v="1"/>
    <s v="Resolute Forest Products - Dolbeau"/>
    <s v="CAD"/>
    <n v="147.56"/>
    <n v="107.92842832007207"/>
    <x v="0"/>
    <n v="0"/>
    <n v="107.92842832007207"/>
    <m/>
    <x v="1"/>
    <m/>
    <m/>
    <s v=""/>
    <n v="5.0000000000000001E-3"/>
    <s v=""/>
    <s v=""/>
    <s v=""/>
    <n v="0.53964214160036039"/>
    <s v=""/>
    <s v=""/>
    <s v="[WO-9070000-012] Casing Gasket, 18&quot;, Worthington FRBH"/>
    <m/>
    <m/>
    <m/>
    <m/>
    <m/>
    <s v=""/>
    <n v="0.53964214160036039"/>
    <s v=""/>
    <s v=""/>
  </r>
  <r>
    <n v="1"/>
    <s v="SO17283"/>
    <m/>
    <x v="1"/>
    <x v="0"/>
    <m/>
    <s v="Ian Trottier"/>
    <n v="6"/>
    <n v="2025"/>
    <s v="INV13076"/>
    <n v="8"/>
    <n v="2025"/>
    <x v="1"/>
    <s v="Resolute Forest Products - Saint-Felicien"/>
    <s v="CAD"/>
    <n v="236.55"/>
    <n v="173.0794962136433"/>
    <x v="0"/>
    <n v="0"/>
    <n v="173.0794962136433"/>
    <m/>
    <x v="1"/>
    <m/>
    <m/>
    <s v=""/>
    <n v="5.0000000000000001E-3"/>
    <s v=""/>
    <s v=""/>
    <s v=""/>
    <n v="0.86539748106821646"/>
    <s v=""/>
    <s v=""/>
    <s v="[OLPWZ011003B, G-A04951A216] Bearing Isolator (Inboard), 3196 STX/STi, 303SS Rotor / Bronze Stator w/Viton"/>
    <m/>
    <m/>
    <m/>
    <m/>
    <m/>
    <s v=""/>
    <n v="0.86539748106821646"/>
    <s v=""/>
    <s v=""/>
  </r>
  <r>
    <n v="1"/>
    <s v="SO17284"/>
    <m/>
    <x v="0"/>
    <x v="0"/>
    <m/>
    <s v="Ian Trottier"/>
    <n v="6"/>
    <n v="2025"/>
    <s v="INV13132"/>
    <s v=""/>
    <s v=""/>
    <x v="0"/>
    <s v="Resolute Forest Products - Clermont"/>
    <s v="CAD"/>
    <n v="0"/>
    <n v="0"/>
    <x v="1"/>
    <n v="0"/>
    <n v="0"/>
    <m/>
    <x v="0"/>
    <m/>
    <m/>
    <s v=""/>
    <s v=""/>
    <s v=""/>
    <s v=""/>
    <s v=""/>
    <s v=""/>
    <s v=""/>
    <s v=""/>
    <e v="#N/A"/>
    <n v="0"/>
    <m/>
    <m/>
    <m/>
    <m/>
    <s v=""/>
    <s v=""/>
    <s v=""/>
    <s v=""/>
  </r>
  <r>
    <n v="1"/>
    <s v="SO17285"/>
    <m/>
    <x v="0"/>
    <x v="0"/>
    <m/>
    <s v="Ian Trottier"/>
    <n v="6"/>
    <n v="2025"/>
    <s v="INV13544"/>
    <n v="11"/>
    <n v="2025"/>
    <x v="0"/>
    <s v="DRN Industriel"/>
    <s v="CAD"/>
    <n v="273.10000000000002"/>
    <n v="194.64506277227406"/>
    <x v="0"/>
    <n v="0"/>
    <n v="194.64506277227406"/>
    <m/>
    <x v="0"/>
    <m/>
    <m/>
    <s v=""/>
    <s v=""/>
    <s v=""/>
    <s v=""/>
    <s v=""/>
    <s v=""/>
    <s v=""/>
    <s v=""/>
    <s v="[AC-98-232-857-802] Shim Set, A-C PWO-C Group 2, Plastic"/>
    <m/>
    <m/>
    <m/>
    <m/>
    <m/>
    <s v=""/>
    <s v=""/>
    <s v=""/>
    <s v=""/>
  </r>
  <r>
    <n v="1"/>
    <s v="SO17286"/>
    <m/>
    <x v="1"/>
    <x v="0"/>
    <m/>
    <s v="Ian Trottier"/>
    <n v="6"/>
    <n v="2025"/>
    <s v="INV13078"/>
    <n v="7"/>
    <n v="2025"/>
    <x v="1"/>
    <s v="Wajax Limited - Pointe-aux-Trembles"/>
    <s v="CAD"/>
    <n v="846.78"/>
    <n v="619.13327081249929"/>
    <x v="0"/>
    <n v="0"/>
    <n v="619.13327081249929"/>
    <m/>
    <x v="1"/>
    <m/>
    <m/>
    <s v=""/>
    <n v="5.0000000000000001E-3"/>
    <s v=""/>
    <s v=""/>
    <s v=""/>
    <n v="3.0956663540624967"/>
    <s v=""/>
    <s v=""/>
    <s v="[AC-98-331-954-801] Bearing Cover (Inboard), 5x4/5x5/6x6 SRL &amp; SRL-C, Cast Iron"/>
    <n v="3.0956663540624967"/>
    <m/>
    <m/>
    <m/>
    <m/>
    <s v=""/>
    <n v="3.0956663540624967"/>
    <s v=""/>
    <s v=""/>
  </r>
  <r>
    <n v="1"/>
    <s v="SO17289"/>
    <m/>
    <x v="0"/>
    <x v="0"/>
    <m/>
    <s v="Yannett Yeomans"/>
    <n v="6"/>
    <n v="2025"/>
    <s v="INV13316"/>
    <s v=""/>
    <s v=""/>
    <x v="0"/>
    <s v="Dynapro Pumps México S de RL de CV"/>
    <s v="USD"/>
    <n v="3459.0219260199337"/>
    <n v="2530"/>
    <x v="1"/>
    <n v="0"/>
    <n v="0"/>
    <m/>
    <x v="0"/>
    <m/>
    <m/>
    <s v=""/>
    <s v=""/>
    <s v=""/>
    <s v=""/>
    <s v=""/>
    <s v=""/>
    <s v=""/>
    <s v=""/>
    <s v="[10257/1501] Adjusting Nut, 11CLC-7, Carbon Steel"/>
    <n v="0"/>
    <m/>
    <m/>
    <m/>
    <m/>
    <s v=""/>
    <s v=""/>
    <s v=""/>
    <s v=""/>
  </r>
  <r>
    <n v="2"/>
    <s v="SO17291"/>
    <m/>
    <x v="1"/>
    <x v="0"/>
    <m/>
    <s v="Ian Trottier"/>
    <n v="6"/>
    <n v="2025"/>
    <s v="INV13138"/>
    <n v="8"/>
    <n v="2025"/>
    <x v="1"/>
    <s v="EcoVac Solutions Ltd."/>
    <s v="CAD"/>
    <n v="7778.63"/>
    <n v="5691.4874725526615"/>
    <x v="0"/>
    <n v="0"/>
    <n v="5691.4874725526615"/>
    <m/>
    <x v="1"/>
    <m/>
    <m/>
    <s v=""/>
    <n v="5.0000000000000001E-3"/>
    <s v=""/>
    <s v=""/>
    <s v=""/>
    <n v="28.457437362763308"/>
    <s v=""/>
    <s v=""/>
    <s v="[W-F064/S10] O-Ring Impeller Seal, 6/4 to 8/6 AH and 150 to 200 SV-SP, Nitrile"/>
    <m/>
    <m/>
    <m/>
    <m/>
    <m/>
    <s v=""/>
    <n v="28.457437362763308"/>
    <s v=""/>
    <s v=""/>
  </r>
  <r>
    <n v="2"/>
    <s v="SO17291"/>
    <m/>
    <x v="1"/>
    <x v="0"/>
    <m/>
    <n v="0"/>
    <n v="6"/>
    <n v="2025"/>
    <s v="INV13311"/>
    <n v="9"/>
    <n v="2025"/>
    <x v="1"/>
    <s v="EcoVac Solution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E063HS1/P05] Lantern Ring (Hi-Seal), 6/4 to 8/6 E-AH, Ryton"/>
    <m/>
    <m/>
    <m/>
    <m/>
    <m/>
    <s v=""/>
    <n v="0"/>
    <s v=""/>
    <s v=""/>
  </r>
  <r>
    <n v="2"/>
    <s v="SO17293"/>
    <m/>
    <x v="0"/>
    <x v="0"/>
    <m/>
    <s v="Ian Trottier"/>
    <n v="6"/>
    <n v="2025"/>
    <s v="INV13147"/>
    <n v="7"/>
    <n v="2025"/>
    <x v="0"/>
    <s v="Jindal Drilling &amp; Industries Limited"/>
    <s v="USD"/>
    <n v="13638.311886808056"/>
    <n v="9934.0499999999993"/>
    <x v="0"/>
    <n v="0"/>
    <n v="9934.0499999999993"/>
    <m/>
    <x v="0"/>
    <m/>
    <m/>
    <s v=""/>
    <s v=""/>
    <s v=""/>
    <s v=""/>
    <s v=""/>
    <s v=""/>
    <s v=""/>
    <s v=""/>
    <s v="[D-PE3J-304] Shaft, Goulds JC Frame 3J, 4140 Steel"/>
    <m/>
    <m/>
    <m/>
    <m/>
    <m/>
    <s v=""/>
    <s v=""/>
    <s v=""/>
    <s v=""/>
  </r>
  <r>
    <n v="2"/>
    <s v="SO17293"/>
    <m/>
    <x v="0"/>
    <x v="0"/>
    <m/>
    <n v="0"/>
    <n v="6"/>
    <n v="2025"/>
    <s v="INV13289"/>
    <n v="8"/>
    <n v="2025"/>
    <x v="0"/>
    <s v="Jindal Drilling &amp; Industries Limited"/>
    <s v="USD"/>
    <n v="0"/>
    <n v="0"/>
    <x v="1"/>
    <n v="0"/>
    <n v="0"/>
    <m/>
    <x v="0"/>
    <m/>
    <m/>
    <s v=""/>
    <s v=""/>
    <s v=""/>
    <s v=""/>
    <s v=""/>
    <s v=""/>
    <s v=""/>
    <s v=""/>
    <s v="[Timken National 416271] Oil Seal, Goulds JC, Frame 3J"/>
    <m/>
    <m/>
    <m/>
    <m/>
    <m/>
    <s v=""/>
    <s v=""/>
    <s v=""/>
    <s v=""/>
  </r>
  <r>
    <n v="2"/>
    <s v="SO17294"/>
    <m/>
    <x v="1"/>
    <x v="0"/>
    <m/>
    <s v="Ian Trottier"/>
    <n v="6"/>
    <n v="2025"/>
    <s v="INV13082"/>
    <n v="8"/>
    <n v="2025"/>
    <x v="2"/>
    <s v="Resolute Forest Products - Saint-Felicien"/>
    <s v="CAD"/>
    <n v="4648.8900000000003"/>
    <n v="3397.110844519375"/>
    <x v="0"/>
    <n v="0"/>
    <n v="3397.110844519375"/>
    <m/>
    <x v="1"/>
    <m/>
    <m/>
    <s v=""/>
    <n v="5.0000000000000001E-3"/>
    <s v=""/>
    <s v=""/>
    <s v=""/>
    <n v="16.985554222596875"/>
    <s v=""/>
    <s v=""/>
    <s v="[AC-98-432-884-801] Bearing Housing, PWO, Frame 2, Oil"/>
    <n v="16.985554222596875"/>
    <m/>
    <m/>
    <m/>
    <m/>
    <s v=""/>
    <n v="16.985554222596875"/>
    <s v=""/>
    <s v=""/>
  </r>
  <r>
    <n v="2"/>
    <s v="SO17294"/>
    <m/>
    <x v="1"/>
    <x v="0"/>
    <m/>
    <n v="0"/>
    <n v="6"/>
    <n v="2025"/>
    <s v="INV13257"/>
    <n v="10"/>
    <n v="2025"/>
    <x v="2"/>
    <s v="Resolute Forest Products - Saint-Felicien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Impeller, 1x1.5-8, 3196 STX, Titanium, 5-Vane"/>
    <m/>
    <m/>
    <m/>
    <m/>
    <m/>
    <s v=""/>
    <n v="0"/>
    <s v=""/>
    <s v=""/>
  </r>
  <r>
    <n v="1"/>
    <s v="SO17297"/>
    <m/>
    <x v="1"/>
    <x v="0"/>
    <m/>
    <s v="Ian Trottier"/>
    <n v="6"/>
    <n v="2025"/>
    <s v="INV13097"/>
    <n v="7"/>
    <n v="2025"/>
    <x v="1"/>
    <s v="Wajax Limited - Lachine"/>
    <s v="CAD"/>
    <n v="3048.78"/>
    <n v="2245.7192139086615"/>
    <x v="0"/>
    <n v="0"/>
    <n v="2245.7192139086615"/>
    <m/>
    <x v="1"/>
    <m/>
    <m/>
    <s v=""/>
    <n v="5.0000000000000001E-3"/>
    <s v=""/>
    <s v=""/>
    <s v=""/>
    <n v="11.228596069543308"/>
    <s v=""/>
    <s v=""/>
    <s v="[AC-98-431-797-501] Gland Side Casing, 5x4-14 SRL-C, Cast Iron"/>
    <n v="11.228596069543308"/>
    <m/>
    <m/>
    <m/>
    <m/>
    <s v=""/>
    <n v="11.228596069543308"/>
    <s v=""/>
    <s v=""/>
  </r>
  <r>
    <n v="1"/>
    <s v="SO17298"/>
    <m/>
    <x v="0"/>
    <x v="0"/>
    <m/>
    <s v="Ian Trottier"/>
    <n v="6"/>
    <n v="2025"/>
    <s v="INV13622"/>
    <n v="12"/>
    <n v="2025"/>
    <x v="0"/>
    <s v="Cameco Corporation - Blind River Refinery"/>
    <s v="CAD"/>
    <n v="6327.03"/>
    <n v="4594.26038508691"/>
    <x v="0"/>
    <n v="0"/>
    <n v="4594.26038508691"/>
    <m/>
    <x v="0"/>
    <m/>
    <m/>
    <s v=""/>
    <s v=""/>
    <s v=""/>
    <s v=""/>
    <s v=""/>
    <s v=""/>
    <s v=""/>
    <s v=""/>
    <s v="[G-259-84 1216] Impeller, 10x12-18, 3175-M, CD4MCu"/>
    <m/>
    <m/>
    <m/>
    <m/>
    <m/>
    <s v=""/>
    <s v=""/>
    <s v=""/>
    <s v=""/>
  </r>
  <r>
    <n v="1"/>
    <s v="SO17299"/>
    <m/>
    <x v="1"/>
    <x v="0"/>
    <m/>
    <s v="Ian Trottier"/>
    <n v="6"/>
    <n v="2025"/>
    <s v="INV13080"/>
    <n v="8"/>
    <n v="2025"/>
    <x v="1"/>
    <s v="Resolute Forest Products - Fibrek, Resolute Forest Products - Fibrek"/>
    <s v="CAD"/>
    <n v="1339.85"/>
    <n v="979.07650321459164"/>
    <x v="1"/>
    <n v="0"/>
    <n v="0"/>
    <m/>
    <x v="1"/>
    <m/>
    <m/>
    <s v=""/>
    <n v="5.0000000000000001E-3"/>
    <s v=""/>
    <s v=""/>
    <s v=""/>
    <n v="0"/>
    <s v=""/>
    <s v=""/>
    <s v="[AC-98-332-783-801] Bearing Housing Assembly, PWO Frame 1, Cast Iron"/>
    <m/>
    <m/>
    <m/>
    <m/>
    <m/>
    <s v=""/>
    <n v="0"/>
    <s v=""/>
    <s v=""/>
  </r>
  <r>
    <n v="1"/>
    <s v="SO17300"/>
    <m/>
    <x v="0"/>
    <x v="0"/>
    <m/>
    <s v="Wilka Nuñez"/>
    <n v="6"/>
    <n v="2025"/>
    <s v="INV13072"/>
    <n v="7"/>
    <n v="2025"/>
    <x v="0"/>
    <s v="Barrick Gold - Pueblo Viejo Dominicana Corporation"/>
    <s v="USD"/>
    <n v="15638.95534546069"/>
    <n v="11442.75"/>
    <x v="0"/>
    <n v="0"/>
    <n v="11442.75"/>
    <m/>
    <x v="0"/>
    <m/>
    <m/>
    <s v=""/>
    <s v=""/>
    <s v=""/>
    <s v=""/>
    <s v=""/>
    <s v=""/>
    <s v=""/>
    <s v=""/>
    <s v="[D-2001417-CD4] Bell,10JKH/M, BW-FLG-STD-STEP-CUT_NR, CD4MCu"/>
    <m/>
    <m/>
    <m/>
    <m/>
    <m/>
    <s v=""/>
    <s v=""/>
    <s v=""/>
    <s v=""/>
  </r>
  <r>
    <n v="2"/>
    <s v="SO17304"/>
    <m/>
    <x v="0"/>
    <x v="0"/>
    <m/>
    <s v="Ian Trottier"/>
    <n v="6"/>
    <n v="2025"/>
    <s v="INV13330"/>
    <n v="10"/>
    <n v="2025"/>
    <x v="0"/>
    <s v="Sling-Choker Manufacturing - Timmins"/>
    <s v="CAD"/>
    <n v="8487.59"/>
    <n v="6205.8024020589301"/>
    <x v="0"/>
    <n v="0"/>
    <n v="6205.8024020589301"/>
    <m/>
    <x v="0"/>
    <m/>
    <m/>
    <s v=""/>
    <s v=""/>
    <s v=""/>
    <s v=""/>
    <s v=""/>
    <s v=""/>
    <s v=""/>
    <s v=""/>
    <s v="[G-0C02705A 1203] Impeller, 4x6-19, 3180-M, 316SS, 5-Vane"/>
    <m/>
    <m/>
    <m/>
    <m/>
    <m/>
    <s v=""/>
    <s v=""/>
    <s v=""/>
    <s v=""/>
  </r>
  <r>
    <n v="2"/>
    <s v="SO17304"/>
    <m/>
    <x v="0"/>
    <x v="0"/>
    <m/>
    <n v="0"/>
    <n v="6"/>
    <n v="2025"/>
    <s v="INV13164"/>
    <n v="8"/>
    <n v="2025"/>
    <x v="0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G-B02191A02 3211] Throttle Bushing, 3180-M, 316SS"/>
    <m/>
    <m/>
    <m/>
    <m/>
    <m/>
    <s v=""/>
    <s v=""/>
    <s v=""/>
    <s v=""/>
  </r>
  <r>
    <n v="1"/>
    <s v="SO17311"/>
    <m/>
    <x v="0"/>
    <x v="0"/>
    <m/>
    <s v="Ian Trottier"/>
    <n v="6"/>
    <n v="2025"/>
    <s v="INV13585"/>
    <n v="12"/>
    <n v="2025"/>
    <x v="0"/>
    <s v="Thunder Bay Pulp and Paper Inc"/>
    <s v="CAD"/>
    <n v="43730.44"/>
    <n v="32255.143844827067"/>
    <x v="0"/>
    <n v="0"/>
    <n v="32255.143844827067"/>
    <m/>
    <x v="0"/>
    <m/>
    <m/>
    <s v=""/>
    <s v=""/>
    <s v=""/>
    <s v=""/>
    <s v=""/>
    <s v=""/>
    <s v=""/>
    <s v=""/>
    <s v="Back Pullout, Worthington FRBH, Frame 2, 316SS"/>
    <m/>
    <m/>
    <m/>
    <m/>
    <m/>
    <s v=""/>
    <s v=""/>
    <s v=""/>
    <s v=""/>
  </r>
  <r>
    <n v="1"/>
    <s v="SO17312"/>
    <m/>
    <x v="0"/>
    <x v="0"/>
    <m/>
    <s v="Ian Trottier"/>
    <n v="6"/>
    <n v="2025"/>
    <s v="INV13490"/>
    <n v="10"/>
    <n v="2025"/>
    <x v="0"/>
    <s v="QI Supply Limited"/>
    <s v="CAD"/>
    <n v="9932.14"/>
    <n v="7269.0018418519558"/>
    <x v="0"/>
    <n v="0"/>
    <n v="7269.0018418519558"/>
    <m/>
    <x v="0"/>
    <m/>
    <m/>
    <s v=""/>
    <s v=""/>
    <s v=""/>
    <s v=""/>
    <s v=""/>
    <s v=""/>
    <s v=""/>
    <s v=""/>
    <s v="[DE-503628] Bearing Assembly, 10x8-21 SRL-C, Denver"/>
    <m/>
    <m/>
    <m/>
    <m/>
    <m/>
    <s v=""/>
    <s v=""/>
    <s v=""/>
    <s v=""/>
  </r>
  <r>
    <n v="1"/>
    <s v="SO17313"/>
    <m/>
    <x v="0"/>
    <x v="0"/>
    <m/>
    <s v="Yannett Yeomans"/>
    <n v="6"/>
    <n v="2025"/>
    <s v="INV13346"/>
    <s v=""/>
    <s v=""/>
    <x v="0"/>
    <s v="Dynapro Pumps México S de RL de CV"/>
    <s v="USD"/>
    <n v="3670.8508662060403"/>
    <n v="2680"/>
    <x v="1"/>
    <n v="0"/>
    <n v="0"/>
    <m/>
    <x v="0"/>
    <m/>
    <m/>
    <s v=""/>
    <s v=""/>
    <s v=""/>
    <s v=""/>
    <s v=""/>
    <s v=""/>
    <s v=""/>
    <s v=""/>
    <s v="[D-JC20-CS-1/2-316SS] Cyclone Separator, 1/2&quot; NPT, 316SS, Female Connections, JC Type 20"/>
    <n v="0"/>
    <m/>
    <m/>
    <m/>
    <m/>
    <s v=""/>
    <s v=""/>
    <s v=""/>
    <s v=""/>
  </r>
  <r>
    <n v="1"/>
    <s v="SO17315"/>
    <m/>
    <x v="0"/>
    <x v="0"/>
    <m/>
    <s v="Amanda Qiao"/>
    <n v="6"/>
    <n v="2025"/>
    <s v="INV13535"/>
    <s v=""/>
    <s v=""/>
    <x v="0"/>
    <s v="Mill-Right Mine Services Inc."/>
    <s v="USD"/>
    <n v="9028.6394719735035"/>
    <n v="6597"/>
    <x v="1"/>
    <n v="667"/>
    <n v="0"/>
    <m/>
    <x v="0"/>
    <m/>
    <m/>
    <s v=""/>
    <s v=""/>
    <s v=""/>
    <s v=""/>
    <s v=""/>
    <s v=""/>
    <s v=""/>
    <s v=""/>
    <s v="[W-SPR65116/S44] Upper Strainer, 65QV-SPR, Neoprene"/>
    <n v="0"/>
    <m/>
    <m/>
    <m/>
    <m/>
    <s v=""/>
    <s v=""/>
    <s v=""/>
    <s v=""/>
  </r>
  <r>
    <n v="1"/>
    <s v="SO17316"/>
    <m/>
    <x v="1"/>
    <x v="0"/>
    <m/>
    <s v="Ian Trottier"/>
    <n v="6"/>
    <n v="2025"/>
    <s v="INV13092"/>
    <n v="7"/>
    <n v="2025"/>
    <x v="1"/>
    <s v="Wajax Limited - Noranda"/>
    <s v="CAD"/>
    <n v="1422.5"/>
    <n v="1044.5391721548419"/>
    <x v="0"/>
    <n v="0"/>
    <n v="1044.5391721548419"/>
    <m/>
    <x v="1"/>
    <m/>
    <m/>
    <s v=""/>
    <n v="5.0000000000000001E-3"/>
    <s v=""/>
    <s v=""/>
    <s v=""/>
    <n v="5.22269586077421"/>
    <s v=""/>
    <s v=""/>
    <s v="[AC-98-331-958-808] Shaft Sleeve, 5x4/5x5/6x6 SRL, 316SS"/>
    <m/>
    <m/>
    <m/>
    <m/>
    <m/>
    <s v=""/>
    <n v="5.22269586077421"/>
    <s v=""/>
    <s v=""/>
  </r>
  <r>
    <n v="1"/>
    <s v="SO17317"/>
    <m/>
    <x v="1"/>
    <x v="0"/>
    <m/>
    <s v="Ian Trottier"/>
    <n v="6"/>
    <n v="2025"/>
    <s v="INV13083"/>
    <n v="8"/>
    <n v="2025"/>
    <x v="1"/>
    <s v="Resolute Forest Products - Kenogami"/>
    <s v="CAD"/>
    <n v="1879.56"/>
    <n v="1373.461978864812"/>
    <x v="0"/>
    <n v="0"/>
    <n v="1373.461978864812"/>
    <m/>
    <x v="1"/>
    <m/>
    <m/>
    <s v=""/>
    <n v="5.0000000000000001E-3"/>
    <s v=""/>
    <s v=""/>
    <s v=""/>
    <n v="6.8673098943240598"/>
    <s v=""/>
    <s v=""/>
    <s v="[AC-98-130-367-001] Shaft Sleeve, PWO Frame 2, 316SS"/>
    <m/>
    <m/>
    <m/>
    <m/>
    <m/>
    <s v=""/>
    <n v="6.8673098943240598"/>
    <s v=""/>
    <s v=""/>
  </r>
  <r>
    <n v="1"/>
    <s v="SO17318"/>
    <m/>
    <x v="2"/>
    <x v="0"/>
    <m/>
    <s v="Marlen Martinez"/>
    <n v="6"/>
    <n v="2025"/>
    <s v="INV13093"/>
    <n v="7"/>
    <n v="2025"/>
    <x v="2"/>
    <s v="Wajax Limited - Pointe-aux-Trembles, Wajax Limited"/>
    <s v="CAD"/>
    <n v="457.66"/>
    <n v="336.05890863155349"/>
    <x v="0"/>
    <n v="0"/>
    <n v="336.05890863155349"/>
    <m/>
    <x v="0"/>
    <m/>
    <m/>
    <s v=""/>
    <s v=""/>
    <s v=""/>
    <s v=""/>
    <s v=""/>
    <s v=""/>
    <s v=""/>
    <s v=""/>
    <s v="[OLPWZ011006B, G-A04951A219] Bearing Isolator (Outboard), 3196 MTX/MTi, 303SS Rotor / Bronze Stator w/Viton"/>
    <n v="0"/>
    <m/>
    <m/>
    <m/>
    <m/>
    <s v=""/>
    <s v=""/>
    <s v=""/>
    <s v=""/>
  </r>
  <r>
    <n v="1"/>
    <s v="SO17319"/>
    <m/>
    <x v="0"/>
    <x v="0"/>
    <m/>
    <s v="Ian Trottier"/>
    <n v="6"/>
    <n v="2025"/>
    <s v="INV13102"/>
    <n v="8"/>
    <n v="2025"/>
    <x v="0"/>
    <s v="Hyperflo"/>
    <s v="CAD"/>
    <n v="454.78"/>
    <n v="332.3240751814995"/>
    <x v="0"/>
    <n v="0"/>
    <n v="332.3240751814995"/>
    <m/>
    <x v="0"/>
    <m/>
    <m/>
    <s v=""/>
    <s v=""/>
    <s v=""/>
    <s v=""/>
    <s v=""/>
    <s v=""/>
    <s v=""/>
    <s v=""/>
    <s v="[AC-98-211-426-501] Impeller, 2x2-10 SRL, Natural Rubber"/>
    <n v="0"/>
    <m/>
    <m/>
    <m/>
    <m/>
    <s v=""/>
    <s v=""/>
    <s v=""/>
    <s v=""/>
  </r>
  <r>
    <n v="1"/>
    <s v="SO17320"/>
    <m/>
    <x v="1"/>
    <x v="0"/>
    <m/>
    <s v="Ian Trottier"/>
    <n v="6"/>
    <n v="2025"/>
    <s v="INV13218"/>
    <n v="8"/>
    <n v="2025"/>
    <x v="1"/>
    <s v="Hyperflo"/>
    <s v="CAD"/>
    <n v="4996.2700000000004"/>
    <n v="3656.6032931865307"/>
    <x v="0"/>
    <n v="0"/>
    <n v="3656.6032931865307"/>
    <m/>
    <x v="1"/>
    <m/>
    <m/>
    <s v=""/>
    <n v="5.0000000000000001E-3"/>
    <s v=""/>
    <s v=""/>
    <s v=""/>
    <n v="18.283016465932654"/>
    <s v=""/>
    <s v=""/>
    <s v="[AC-52-431-816-007] Casing Gasket, 10&quot;,  Allis Chalmers CSO"/>
    <n v="18.283016465932654"/>
    <m/>
    <m/>
    <m/>
    <m/>
    <s v=""/>
    <n v="18.283016465932654"/>
    <s v=""/>
    <s v=""/>
  </r>
  <r>
    <n v="3"/>
    <s v="SO17321"/>
    <m/>
    <x v="1"/>
    <x v="0"/>
    <m/>
    <s v="Ian Trottier"/>
    <n v="6"/>
    <n v="2025"/>
    <s v="INV13284"/>
    <n v="8"/>
    <n v="2025"/>
    <x v="1"/>
    <s v="Alpha Industrial &amp; Mining Supplies Limited"/>
    <s v="CAD"/>
    <n v="6945.69"/>
    <n v="5100.207580066196"/>
    <x v="0"/>
    <n v="0"/>
    <n v="5100.207580066196"/>
    <m/>
    <x v="2"/>
    <m/>
    <m/>
    <s v=""/>
    <n v="0.02"/>
    <s v=""/>
    <s v=""/>
    <s v=""/>
    <n v="102.00415160132393"/>
    <s v=""/>
    <s v=""/>
    <s v="[SA-567450] Bearing Housing, Sala STHM-33WFR, Cast Iron"/>
    <n v="102.00415160132393"/>
    <m/>
    <m/>
    <m/>
    <m/>
    <s v=""/>
    <n v="102.00415160132393"/>
    <s v=""/>
    <s v=""/>
  </r>
  <r>
    <n v="3"/>
    <s v="SO17321"/>
    <m/>
    <x v="1"/>
    <x v="0"/>
    <m/>
    <n v="0"/>
    <n v="6"/>
    <n v="2025"/>
    <s v="INV13142"/>
    <n v="7"/>
    <n v="2025"/>
    <x v="1"/>
    <s v="Alpha Industrial &amp; Mining Supplies Limited"/>
    <s v="CAD"/>
    <n v="0"/>
    <n v="0"/>
    <x v="1"/>
    <n v="0"/>
    <n v="0"/>
    <m/>
    <x v="2"/>
    <m/>
    <m/>
    <s v=""/>
    <n v="0.02"/>
    <s v=""/>
    <s v=""/>
    <s v=""/>
    <n v="0"/>
    <s v=""/>
    <s v=""/>
    <s v="[SA-567131] Labyrinth Ring, Sala STHM-33WFR, Steel"/>
    <m/>
    <m/>
    <m/>
    <m/>
    <m/>
    <s v=""/>
    <n v="0"/>
    <s v=""/>
    <s v=""/>
  </r>
  <r>
    <n v="3"/>
    <s v="SO17321"/>
    <m/>
    <x v="1"/>
    <x v="0"/>
    <m/>
    <n v="0"/>
    <n v="6"/>
    <n v="2025"/>
    <s v="INV13170"/>
    <n v="7"/>
    <n v="2025"/>
    <x v="1"/>
    <s v="Alpha Industrial &amp; Mining Supplies Limited"/>
    <s v="CAD"/>
    <n v="0"/>
    <n v="0"/>
    <x v="1"/>
    <n v="0"/>
    <n v="0"/>
    <m/>
    <x v="2"/>
    <m/>
    <m/>
    <s v=""/>
    <n v="0.02"/>
    <s v=""/>
    <s v=""/>
    <s v=""/>
    <n v="0"/>
    <s v=""/>
    <s v=""/>
    <s v="[SA-567162] Shaft Sleeve, Sala STHM-22/33/44WFR, 316SS"/>
    <m/>
    <m/>
    <m/>
    <m/>
    <m/>
    <s v=""/>
    <n v="0"/>
    <s v=""/>
    <s v=""/>
  </r>
  <r>
    <n v="1"/>
    <s v="SO17322"/>
    <m/>
    <x v="5"/>
    <x v="0"/>
    <m/>
    <s v="Wilka Nuñez"/>
    <n v="6"/>
    <n v="2025"/>
    <s v="INV13120"/>
    <n v="8"/>
    <n v="2025"/>
    <x v="1"/>
    <s v="Barrick Gold - Pueblo Viejo Dominicana Corporation"/>
    <s v="USD"/>
    <n v="25507.710590544375"/>
    <n v="18639.400000000001"/>
    <x v="0"/>
    <n v="0"/>
    <n v="18639.400000000001"/>
    <m/>
    <x v="2"/>
    <m/>
    <m/>
    <s v=""/>
    <n v="0.02"/>
    <s v=""/>
    <s v=""/>
    <s v=""/>
    <n v="372.78800000000001"/>
    <s v=""/>
    <s v=""/>
    <s v="[AM-HH200C21-09-CD4] Impeller, DW-AE8/6-21W, CD4MCu"/>
    <m/>
    <m/>
    <n v="2503"/>
    <m/>
    <m/>
    <s v=""/>
    <n v="0"/>
    <s v=""/>
    <s v=""/>
  </r>
  <r>
    <n v="1"/>
    <s v="SO17325"/>
    <m/>
    <x v="0"/>
    <x v="0"/>
    <m/>
    <s v="Ian Trottier"/>
    <n v="6"/>
    <n v="2025"/>
    <s v="INV13139"/>
    <n v="7"/>
    <n v="2025"/>
    <x v="0"/>
    <s v="Middle Georgia Fluid Sealing LLC"/>
    <s v="USD"/>
    <n v="17703.053358786648"/>
    <n v="12999.32"/>
    <x v="0"/>
    <n v="628"/>
    <n v="12371.32"/>
    <m/>
    <x v="0"/>
    <m/>
    <m/>
    <s v=""/>
    <s v=""/>
    <s v=""/>
    <s v=""/>
    <s v=""/>
    <s v=""/>
    <s v=""/>
    <s v=""/>
    <s v="[G-1.5x2-14-JC-HC] Pump, 1.5x2-14, Dynapro DC, Frame 2J, High Chrome"/>
    <m/>
    <m/>
    <m/>
    <m/>
    <m/>
    <s v=""/>
    <s v=""/>
    <s v=""/>
    <s v=""/>
  </r>
  <r>
    <n v="1"/>
    <s v="SO17329"/>
    <m/>
    <x v="4"/>
    <x v="0"/>
    <m/>
    <s v="Ian Trottier"/>
    <n v="6"/>
    <n v="2025"/>
    <s v="INV13096"/>
    <n v="7"/>
    <n v="2025"/>
    <x v="1"/>
    <s v="Motion Industries Inc. (Canada) - Prince George"/>
    <s v="CAD"/>
    <n v="572.4"/>
    <n v="421.62756185796195"/>
    <x v="0"/>
    <n v="0"/>
    <n v="421.62756185796195"/>
    <m/>
    <x v="1"/>
    <m/>
    <m/>
    <s v=""/>
    <n v="5.0000000000000001E-3"/>
    <s v=""/>
    <s v=""/>
    <s v=""/>
    <n v="2.10813780928981"/>
    <s v=""/>
    <s v=""/>
    <s v="[W-E4124/S01] Volute Liner Seal, 6/4 D or E-AH, EPDM Rubber"/>
    <m/>
    <m/>
    <n v="2503"/>
    <m/>
    <m/>
    <s v=""/>
    <n v="0"/>
    <s v=""/>
    <s v=""/>
  </r>
  <r>
    <n v="2"/>
    <s v="SO17332"/>
    <m/>
    <x v="1"/>
    <x v="0"/>
    <m/>
    <s v="Ian Trottier"/>
    <n v="6"/>
    <n v="2025"/>
    <s v="INV13130"/>
    <n v="8"/>
    <n v="2025"/>
    <x v="2"/>
    <s v="MAB Equipment Company Inc."/>
    <s v="USD"/>
    <n v="3642.0081710789732"/>
    <n v="2674.32"/>
    <x v="0"/>
    <n v="143"/>
    <n v="2531.3200000000002"/>
    <m/>
    <x v="2"/>
    <m/>
    <m/>
    <s v=""/>
    <n v="0.02"/>
    <s v=""/>
    <s v=""/>
    <s v=""/>
    <n v="50.626400000000004"/>
    <s v=""/>
    <s v=""/>
    <s v="[W-E118/C02] Lantern Restrictor, 6/4 or 8/6 E-AH and 8/6 R-AH, Ni Resist"/>
    <m/>
    <m/>
    <m/>
    <m/>
    <m/>
    <s v=""/>
    <n v="50.626400000000004"/>
    <s v=""/>
    <s v=""/>
  </r>
  <r>
    <n v="2"/>
    <s v="SO17332"/>
    <m/>
    <x v="1"/>
    <x v="0"/>
    <m/>
    <n v="0"/>
    <n v="6"/>
    <n v="2025"/>
    <s v="INV13414"/>
    <n v="11"/>
    <n v="2025"/>
    <x v="2"/>
    <s v="MAB Equipment Company Inc."/>
    <s v="USD"/>
    <n v="0"/>
    <n v="0"/>
    <x v="1"/>
    <n v="648"/>
    <n v="0"/>
    <m/>
    <x v="2"/>
    <m/>
    <m/>
    <s v=""/>
    <n v="0.02"/>
    <s v=""/>
    <s v=""/>
    <s v=""/>
    <n v="0"/>
    <s v=""/>
    <s v=""/>
    <s v="[W-DAM078HS1/D21] Stuffing Box (High-Seal), 6/4 D-AH, Ductile Iron"/>
    <m/>
    <m/>
    <m/>
    <m/>
    <m/>
    <s v=""/>
    <n v="0"/>
    <s v=""/>
    <s v=""/>
  </r>
  <r>
    <n v="1"/>
    <s v="SO17333"/>
    <m/>
    <x v="2"/>
    <x v="0"/>
    <m/>
    <s v="Marlen Martinez"/>
    <n v="6"/>
    <n v="2025"/>
    <s v="INV13157"/>
    <n v="8"/>
    <n v="2025"/>
    <x v="2"/>
    <s v="Wajax Limited - Pointe-aux-Trembles, Wajax Limited"/>
    <s v="CAD"/>
    <n v="683.13"/>
    <n v="501.62112103630022"/>
    <x v="0"/>
    <n v="0"/>
    <n v="501.62112103630022"/>
    <m/>
    <x v="0"/>
    <m/>
    <m/>
    <s v=""/>
    <s v=""/>
    <s v=""/>
    <s v=""/>
    <s v=""/>
    <s v=""/>
    <s v=""/>
    <s v=""/>
    <s v="[OLPWZ011005B, G-A04951A218] Bearing Isolator (Inboard), 3196 MTX/MTi, 303SS Rotor / Bronze Stator w/Viton"/>
    <m/>
    <m/>
    <m/>
    <m/>
    <m/>
    <s v=""/>
    <s v=""/>
    <s v=""/>
    <s v=""/>
  </r>
  <r>
    <n v="1"/>
    <s v="SO17334"/>
    <m/>
    <x v="0"/>
    <x v="0"/>
    <m/>
    <s v="Amanda Qiao"/>
    <n v="6"/>
    <n v="2025"/>
    <s v="INV13223"/>
    <s v=""/>
    <s v=""/>
    <x v="0"/>
    <s v="Zijin Mining - Rosebel Goldmines N.V."/>
    <s v="USD"/>
    <n v="14951.741528068627"/>
    <n v="10918.16"/>
    <x v="1"/>
    <n v="0"/>
    <n v="0"/>
    <m/>
    <x v="0"/>
    <m/>
    <m/>
    <s v=""/>
    <s v=""/>
    <s v=""/>
    <s v=""/>
    <s v=""/>
    <s v=""/>
    <s v=""/>
    <s v=""/>
    <s v="[W-SP15092/A05] Casing w/Flange, 150SV-SP, High Chrome"/>
    <n v="0"/>
    <m/>
    <m/>
    <m/>
    <m/>
    <s v=""/>
    <s v=""/>
    <s v=""/>
    <s v=""/>
  </r>
  <r>
    <n v="1"/>
    <s v="SO17337"/>
    <m/>
    <x v="0"/>
    <x v="0"/>
    <m/>
    <s v="Taylor Cook"/>
    <n v="6"/>
    <n v="2025"/>
    <s v="INV13235"/>
    <n v="10"/>
    <n v="2025"/>
    <x v="0"/>
    <s v="Canadian Industrial Pumps Ltd, Canadian Industrial Pumps Ltd"/>
    <s v="CAD"/>
    <n v="2720.49"/>
    <n v="1997.43387246153"/>
    <x v="0"/>
    <n v="0"/>
    <n v="1997.43387246153"/>
    <m/>
    <x v="0"/>
    <m/>
    <m/>
    <s v=""/>
    <s v=""/>
    <s v=""/>
    <s v=""/>
    <s v=""/>
    <s v=""/>
    <s v=""/>
    <s v=""/>
    <s v="[AC-98-431-971-501] Bearing Cover (Outboard), 12x10-25 SRL-C, Cast Iron"/>
    <m/>
    <m/>
    <m/>
    <m/>
    <m/>
    <s v=""/>
    <s v=""/>
    <s v=""/>
    <s v=""/>
  </r>
  <r>
    <n v="1"/>
    <s v="SO17338"/>
    <m/>
    <x v="1"/>
    <x v="0"/>
    <m/>
    <s v="Ian Trottier"/>
    <n v="6"/>
    <n v="2025"/>
    <s v="INV13101"/>
    <n v="7"/>
    <n v="2025"/>
    <x v="1"/>
    <s v="Grant Aggregate"/>
    <s v="CAD"/>
    <n v="235.74"/>
    <n v="173.87951298865349"/>
    <x v="0"/>
    <n v="0"/>
    <n v="173.87951298865349"/>
    <m/>
    <x v="1"/>
    <m/>
    <m/>
    <s v=""/>
    <n v="5.0000000000000001E-3"/>
    <s v=""/>
    <s v=""/>
    <s v=""/>
    <n v="0.86939756494326748"/>
    <s v=""/>
    <s v=""/>
    <s v="[G-A01081A12] Premium Packing, 3196 XLT, 5 Pre-Cut Rings, Graphite"/>
    <n v="0.86939756494326748"/>
    <m/>
    <m/>
    <m/>
    <m/>
    <s v=""/>
    <n v="0.86939756494326748"/>
    <s v=""/>
    <s v=""/>
  </r>
  <r>
    <n v="1"/>
    <s v="SO17345"/>
    <m/>
    <x v="0"/>
    <x v="0"/>
    <m/>
    <s v="Ian Trottier"/>
    <n v="6"/>
    <n v="2025"/>
    <s v="INV13258"/>
    <n v="10"/>
    <n v="2025"/>
    <x v="0"/>
    <s v="Resolute Forest Products - Saint-Felicien"/>
    <s v="CAD"/>
    <n v="1589.1"/>
    <n v="1170.5247354096562"/>
    <x v="0"/>
    <n v="0"/>
    <n v="1170.5247354096562"/>
    <m/>
    <x v="0"/>
    <m/>
    <m/>
    <s v=""/>
    <s v=""/>
    <s v=""/>
    <s v=""/>
    <s v=""/>
    <s v=""/>
    <s v=""/>
    <s v=""/>
    <s v="[G-RC04057A01 1204] Stuffing Box Cover, 8&quot;, 3196 STX, Alloy 20, Big Bore, Non-Jacketed"/>
    <m/>
    <m/>
    <m/>
    <m/>
    <m/>
    <s v=""/>
    <s v=""/>
    <s v=""/>
    <s v=""/>
  </r>
  <r>
    <n v="1"/>
    <s v="SO17346"/>
    <m/>
    <x v="1"/>
    <x v="0"/>
    <m/>
    <s v="Ian Trottier"/>
    <n v="6"/>
    <n v="2025"/>
    <s v="INV13113"/>
    <n v="7"/>
    <n v="2025"/>
    <x v="1"/>
    <s v="Sling-Choker Manufacturing - Timmins"/>
    <s v="CAD"/>
    <n v="3944.87"/>
    <n v="2905.7755414860567"/>
    <x v="0"/>
    <n v="0"/>
    <n v="2905.7755414860567"/>
    <m/>
    <x v="1"/>
    <m/>
    <m/>
    <s v=""/>
    <n v="5.0000000000000001E-3"/>
    <s v=""/>
    <s v=""/>
    <s v=""/>
    <n v="14.528877707430283"/>
    <s v=""/>
    <s v=""/>
    <s v="[G-00-737-851-110] Sight Glass (Press-In), PWO Frame 2"/>
    <m/>
    <m/>
    <m/>
    <m/>
    <m/>
    <s v=""/>
    <n v="14.528877707430283"/>
    <s v=""/>
    <s v=""/>
  </r>
  <r>
    <n v="1"/>
    <s v="SO17349"/>
    <m/>
    <x v="0"/>
    <x v="0"/>
    <m/>
    <s v="Taylor Cook"/>
    <n v="6"/>
    <n v="2025"/>
    <s v="INV13107"/>
    <n v="7"/>
    <n v="2025"/>
    <x v="0"/>
    <s v="Tantalum Mining Corporation of Canada"/>
    <s v="CAD"/>
    <n v="955.55"/>
    <n v="704.80431253206018"/>
    <x v="0"/>
    <n v="0"/>
    <n v="704.80431253206018"/>
    <m/>
    <x v="0"/>
    <m/>
    <m/>
    <s v=""/>
    <s v=""/>
    <s v=""/>
    <s v=""/>
    <s v=""/>
    <s v=""/>
    <s v=""/>
    <s v=""/>
    <s v="[AC-98-231-109-501] Gland Side Liner, 3x3-10 SRL-C, Natural Rubber"/>
    <m/>
    <m/>
    <m/>
    <m/>
    <m/>
    <s v=""/>
    <s v=""/>
    <s v=""/>
    <s v=""/>
  </r>
  <r>
    <n v="1"/>
    <s v="SO17353"/>
    <m/>
    <x v="4"/>
    <x v="0"/>
    <m/>
    <s v="Ian Trottier"/>
    <n v="6"/>
    <n v="2025"/>
    <s v="INV13103"/>
    <n v="7"/>
    <n v="2025"/>
    <x v="1"/>
    <s v="Wajax Limited - Noranda"/>
    <s v="CAD"/>
    <n v="2627.35"/>
    <n v="1937.9076035069945"/>
    <x v="0"/>
    <n v="0"/>
    <n v="1937.9076035069945"/>
    <m/>
    <x v="1"/>
    <m/>
    <m/>
    <s v=""/>
    <n v="5.0000000000000001E-3"/>
    <s v=""/>
    <s v=""/>
    <s v=""/>
    <n v="9.6895380175349732"/>
    <s v=""/>
    <s v=""/>
    <s v="[W-D3110/A05] Volute Liner, 4/3 C or D-AH, High Chrome"/>
    <n v="9.6895380175349732"/>
    <m/>
    <n v="2503"/>
    <m/>
    <m/>
    <s v=""/>
    <n v="0"/>
    <s v=""/>
    <s v=""/>
  </r>
  <r>
    <n v="1"/>
    <s v="SO17355"/>
    <m/>
    <x v="4"/>
    <x v="0"/>
    <m/>
    <s v="Ian Trottier"/>
    <n v="6"/>
    <n v="2025"/>
    <s v="INV13104"/>
    <n v="7"/>
    <n v="2025"/>
    <x v="1"/>
    <s v="Motion Industries Inc. (U.S.) - Huntington, Motion Industries, Inc."/>
    <s v="USD"/>
    <n v="466.65950534610732"/>
    <n v="343.4"/>
    <x v="0"/>
    <n v="0"/>
    <n v="343.4"/>
    <m/>
    <x v="1"/>
    <m/>
    <m/>
    <s v=""/>
    <n v="5.0000000000000001E-3"/>
    <s v=""/>
    <s v=""/>
    <s v=""/>
    <n v="1.7169999999999999"/>
    <s v=""/>
    <s v=""/>
    <s v="[W-C2132L/S01] Discharge Joint Ring, 3/2 C-AH, EPDM Rubber"/>
    <m/>
    <m/>
    <n v="2503"/>
    <m/>
    <m/>
    <s v=""/>
    <n v="0"/>
    <s v=""/>
    <s v=""/>
  </r>
  <r>
    <n v="1"/>
    <s v="SO17356"/>
    <m/>
    <x v="1"/>
    <x v="0"/>
    <m/>
    <s v="Ian Trottier"/>
    <n v="6"/>
    <n v="2025"/>
    <s v="INV13287"/>
    <n v="9"/>
    <n v="2025"/>
    <x v="1"/>
    <s v="John Brooks Company Limited"/>
    <s v="CAD"/>
    <n v="10764.82"/>
    <n v="7940.0257020892386"/>
    <x v="0"/>
    <n v="0"/>
    <n v="7940.0257020892386"/>
    <m/>
    <x v="2"/>
    <m/>
    <m/>
    <s v=""/>
    <n v="0.02"/>
    <s v=""/>
    <s v=""/>
    <s v=""/>
    <n v="158.80051404178477"/>
    <s v=""/>
    <s v=""/>
    <s v="[M&amp;N# 72] Impeller, 8x5-17, PWO, 3-Vane, 317SS"/>
    <m/>
    <m/>
    <m/>
    <m/>
    <m/>
    <s v=""/>
    <n v="158.80051404178477"/>
    <s v=""/>
    <s v=""/>
  </r>
  <r>
    <n v="1"/>
    <s v="SO17357"/>
    <m/>
    <x v="4"/>
    <x v="0"/>
    <m/>
    <s v="Alexis Gil Lamadrid"/>
    <n v="6"/>
    <n v="2025"/>
    <s v="INV13106"/>
    <n v="7"/>
    <n v="2025"/>
    <x v="1"/>
    <s v="Fabrene Inc."/>
    <s v="CAD"/>
    <n v="283.8"/>
    <n v="208.8394619278549"/>
    <x v="0"/>
    <n v="0"/>
    <n v="208.8394619278549"/>
    <m/>
    <x v="1"/>
    <m/>
    <m/>
    <s v=""/>
    <n v="5.0000000000000001E-3"/>
    <s v=""/>
    <s v=""/>
    <s v=""/>
    <n v="1.0441973096392745"/>
    <s v=""/>
    <s v=""/>
    <s v="[G-C03340A 1000] Thrust Bearing Housing, 3196 STX, Cast Iron"/>
    <m/>
    <m/>
    <n v="2503"/>
    <m/>
    <m/>
    <s v=""/>
    <n v="0"/>
    <s v=""/>
    <s v=""/>
  </r>
  <r>
    <n v="1"/>
    <s v="SO17358"/>
    <m/>
    <x v="0"/>
    <x v="0"/>
    <m/>
    <s v="Amanda Qiao"/>
    <n v="6"/>
    <n v="2025"/>
    <s v="INV13380"/>
    <n v="11"/>
    <n v="2025"/>
    <x v="0"/>
    <s v="Zijin Mining - Rosebel Goldmines N.V."/>
    <s v="USD"/>
    <n v="7496.7878283992541"/>
    <n v="5422.32"/>
    <x v="0"/>
    <n v="890"/>
    <n v="4532.32"/>
    <m/>
    <x v="0"/>
    <m/>
    <m/>
    <s v=""/>
    <s v=""/>
    <s v=""/>
    <s v=""/>
    <s v=""/>
    <s v=""/>
    <s v=""/>
    <s v=""/>
    <s v="[DU-PE2YRB-LHS-4140-H] Power End, Durco Mark 3 Group 2, 4140 Steel Shaft (Hook Sleeve), 316SS Sleeve"/>
    <m/>
    <m/>
    <m/>
    <m/>
    <m/>
    <s v=""/>
    <s v=""/>
    <s v=""/>
    <s v=""/>
  </r>
  <r>
    <n v="1"/>
    <s v="SO17360"/>
    <m/>
    <x v="5"/>
    <x v="0"/>
    <m/>
    <s v="Wilka Nuñez"/>
    <n v="6"/>
    <n v="2025"/>
    <s v="INV13228"/>
    <n v="8"/>
    <n v="2025"/>
    <x v="1"/>
    <s v="Alpha Industrial &amp; Mining Supplies Limited"/>
    <s v="CAD"/>
    <n v="5181.7"/>
    <n v="3772.2432918371774"/>
    <x v="0"/>
    <n v="0"/>
    <n v="3772.2432918371774"/>
    <m/>
    <x v="1"/>
    <m/>
    <m/>
    <s v=""/>
    <n v="5.0000000000000001E-3"/>
    <s v=""/>
    <s v=""/>
    <s v=""/>
    <n v="18.861216459185886"/>
    <s v=""/>
    <s v=""/>
    <s v="[Alternate OEM P/N: 567428-PS, SA-14007-M4] Shaft, 22/33/44 WFR, Sala STGVA-180, 1045 Steel"/>
    <m/>
    <m/>
    <n v="2503"/>
    <m/>
    <m/>
    <s v=""/>
    <n v="0"/>
    <s v=""/>
    <s v=""/>
  </r>
  <r>
    <n v="2"/>
    <s v="SO17366"/>
    <m/>
    <x v="0"/>
    <x v="0"/>
    <m/>
    <s v="Amanda Qiao"/>
    <n v="6"/>
    <n v="2025"/>
    <s v="INV13145"/>
    <n v="10"/>
    <n v="2025"/>
    <x v="0"/>
    <s v="Mill-Right Mine Services Inc."/>
    <s v="USD"/>
    <n v="2778.8255372946637"/>
    <n v="2044.85"/>
    <x v="1"/>
    <n v="228"/>
    <n v="0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n v="0"/>
    <m/>
    <m/>
    <m/>
    <m/>
    <s v=""/>
    <s v=""/>
    <s v=""/>
    <s v=""/>
  </r>
  <r>
    <n v="2"/>
    <s v="SO17366"/>
    <m/>
    <x v="0"/>
    <x v="0"/>
    <m/>
    <n v="0"/>
    <n v="6"/>
    <n v="2025"/>
    <s v="INV13145"/>
    <n v="10"/>
    <n v="2025"/>
    <x v="0"/>
    <s v="Mill-Right Mine Services Inc."/>
    <s v="USD"/>
    <n v="0"/>
    <n v="0"/>
    <x v="1"/>
    <n v="228"/>
    <n v="0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n v="0"/>
    <m/>
    <m/>
    <m/>
    <m/>
    <s v=""/>
    <s v=""/>
    <s v=""/>
    <s v=""/>
  </r>
  <r>
    <n v="2"/>
    <s v="SO17367"/>
    <m/>
    <x v="1"/>
    <x v="0"/>
    <m/>
    <s v="Ian Trottier"/>
    <n v="6"/>
    <n v="2025"/>
    <s v="INV13117"/>
    <n v="7"/>
    <n v="2025"/>
    <x v="1"/>
    <s v="Canadian Bearings Ltd."/>
    <s v="CAD"/>
    <n v="585.46"/>
    <n v="427.78091117595301"/>
    <x v="0"/>
    <n v="0"/>
    <n v="427.78091117595301"/>
    <m/>
    <x v="1"/>
    <m/>
    <m/>
    <s v=""/>
    <n v="5.0000000000000001E-3"/>
    <s v=""/>
    <s v=""/>
    <s v=""/>
    <n v="2.138904555879765"/>
    <s v=""/>
    <s v=""/>
    <s v="[AC-52-050-313-000] Shim Kit, Allis Chalmers CSO, Frame F4D1/F4B5"/>
    <m/>
    <m/>
    <m/>
    <m/>
    <m/>
    <s v=""/>
    <n v="2.138904555879765"/>
    <s v=""/>
    <s v=""/>
  </r>
  <r>
    <n v="2"/>
    <s v="SO17367"/>
    <m/>
    <x v="1"/>
    <x v="0"/>
    <m/>
    <n v="0"/>
    <n v="6"/>
    <n v="2025"/>
    <s v="INV13159"/>
    <n v="7"/>
    <n v="2025"/>
    <x v="1"/>
    <s v="Canadian Bearing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431-816-007] Casing Gasket, 10&quot;,  Allis Chalmers CSO"/>
    <m/>
    <m/>
    <m/>
    <m/>
    <m/>
    <s v=""/>
    <n v="0"/>
    <s v=""/>
    <s v=""/>
  </r>
  <r>
    <n v="2"/>
    <s v="SO17368"/>
    <m/>
    <x v="5"/>
    <x v="0"/>
    <m/>
    <s v="Wilka Nuñez"/>
    <n v="6"/>
    <n v="2025"/>
    <s v="INV13185"/>
    <n v="8"/>
    <n v="2025"/>
    <x v="2"/>
    <s v="Barrick Gold - Pueblo Viejo Dominicana Corporation"/>
    <s v="USD"/>
    <n v="21669.460688981169"/>
    <n v="15835.75"/>
    <x v="0"/>
    <n v="0"/>
    <n v="15835.75"/>
    <m/>
    <x v="3"/>
    <m/>
    <m/>
    <s v=""/>
    <n v="0"/>
    <s v=""/>
    <s v=""/>
    <s v=""/>
    <n v="0"/>
    <s v=""/>
    <s v=""/>
    <s v="[D-2001407-2507] Bowl Wear Ring, 10JKH/M, 05.50x05.88x0.88, Duplex SS 2507 w/Ion Nitriding"/>
    <n v="0"/>
    <m/>
    <m/>
    <m/>
    <m/>
    <s v=""/>
    <n v="0"/>
    <s v=""/>
    <s v=""/>
  </r>
  <r>
    <n v="2"/>
    <s v="SO17368"/>
    <m/>
    <x v="5"/>
    <x v="0"/>
    <m/>
    <n v="0"/>
    <n v="6"/>
    <n v="2025"/>
    <s v="INV13248"/>
    <n v="10"/>
    <n v="2025"/>
    <x v="2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37230] Sleeve Bearing (Bowl), ThorPlas-Blue, HPCW"/>
    <n v="0"/>
    <m/>
    <m/>
    <m/>
    <m/>
    <s v=""/>
    <n v="0"/>
    <s v=""/>
    <s v=""/>
  </r>
  <r>
    <n v="1"/>
    <s v="SO17369"/>
    <m/>
    <x v="1"/>
    <x v="0"/>
    <m/>
    <s v="Ian Trottier"/>
    <n v="6"/>
    <n v="2025"/>
    <s v="INV13111"/>
    <n v="7"/>
    <n v="2025"/>
    <x v="1"/>
    <s v="Glencore Canada Corporation - Rouyn-Noranda, Glencore Canada Corp."/>
    <s v="CAD"/>
    <n v="2497.21"/>
    <n v="1817.9523459113259"/>
    <x v="0"/>
    <n v="0"/>
    <n v="1817.9523459113259"/>
    <m/>
    <x v="1"/>
    <m/>
    <m/>
    <s v=""/>
    <n v="5.0000000000000001E-3"/>
    <s v=""/>
    <s v=""/>
    <s v=""/>
    <n v="9.0897617295566295"/>
    <s v=""/>
    <s v=""/>
    <s v="[AC-98-431-857-501] Gland Side Casing, 3x3-10 SRL-C, Cast Iron"/>
    <m/>
    <m/>
    <m/>
    <m/>
    <m/>
    <s v=""/>
    <n v="9.0897617295566295"/>
    <s v=""/>
    <s v=""/>
  </r>
  <r>
    <n v="1"/>
    <s v="SO17370"/>
    <m/>
    <x v="1"/>
    <x v="0"/>
    <m/>
    <s v="Ian Trottier"/>
    <n v="6"/>
    <n v="2025"/>
    <s v="INV13110"/>
    <n v="8"/>
    <n v="2025"/>
    <x v="1"/>
    <s v="SCG Process, SCG Process"/>
    <s v="CAD"/>
    <n v="4331.1499999999996"/>
    <n v="3153.0485233495938"/>
    <x v="0"/>
    <n v="0"/>
    <n v="3153.0485233495938"/>
    <m/>
    <x v="1"/>
    <m/>
    <m/>
    <s v=""/>
    <n v="5.0000000000000001E-3"/>
    <s v=""/>
    <s v=""/>
    <s v=""/>
    <n v="15.765242616747969"/>
    <s v=""/>
    <s v=""/>
    <s v="[AC-98-039-047-503] Impeller (Closed), 5x4-14 SRL-C, Neoprene"/>
    <m/>
    <m/>
    <m/>
    <m/>
    <m/>
    <s v=""/>
    <n v="15.765242616747969"/>
    <s v=""/>
    <s v=""/>
  </r>
  <r>
    <n v="1"/>
    <s v="SO17372"/>
    <m/>
    <x v="0"/>
    <x v="0"/>
    <m/>
    <s v="Ian Trottier"/>
    <n v="6"/>
    <n v="2025"/>
    <s v="INV13406"/>
    <n v="10"/>
    <n v="2025"/>
    <x v="0"/>
    <s v="Les Pompes du St-Laurent Inc."/>
    <s v="CAD"/>
    <n v="1058.6400000000001"/>
    <n v="765.69925362629476"/>
    <x v="0"/>
    <n v="0"/>
    <n v="765.69925362629476"/>
    <m/>
    <x v="0"/>
    <m/>
    <m/>
    <s v=""/>
    <s v=""/>
    <s v=""/>
    <s v=""/>
    <s v=""/>
    <s v=""/>
    <s v=""/>
    <s v=""/>
    <s v="Impeller, 2x3-13, 3196 MTX, Alloy-20, 5-Vane"/>
    <m/>
    <m/>
    <m/>
    <m/>
    <m/>
    <s v=""/>
    <s v=""/>
    <s v=""/>
    <s v=""/>
  </r>
  <r>
    <n v="1"/>
    <s v="SO17375"/>
    <m/>
    <x v="5"/>
    <x v="0"/>
    <m/>
    <s v="Wilka Nuñez"/>
    <n v="6"/>
    <n v="2025"/>
    <s v="INV13124"/>
    <n v="8"/>
    <n v="2025"/>
    <x v="1"/>
    <s v="Fabrene Inc."/>
    <s v="CAD"/>
    <n v="425.21"/>
    <n v="309.51919718226395"/>
    <x v="0"/>
    <n v="0"/>
    <n v="309.51919718226395"/>
    <m/>
    <x v="1"/>
    <m/>
    <m/>
    <s v=""/>
    <n v="5.0000000000000001E-3"/>
    <s v=""/>
    <s v=""/>
    <s v=""/>
    <n v="1.5475959859113197"/>
    <s v=""/>
    <s v=""/>
    <s v="[G-77225 6956] Shaft Sleeve, 3196 STX, 316SS, NCB Hardcoated"/>
    <m/>
    <m/>
    <n v="2503"/>
    <m/>
    <m/>
    <s v=""/>
    <n v="0"/>
    <s v=""/>
    <s v=""/>
  </r>
  <r>
    <n v="1"/>
    <s v="SO17379"/>
    <m/>
    <x v="0"/>
    <x v="0"/>
    <m/>
    <s v="Ian Trottier"/>
    <n v="6"/>
    <n v="2025"/>
    <s v="INV13503"/>
    <n v="12"/>
    <n v="2025"/>
    <x v="0"/>
    <s v="Resolute Forest Products - Saint-Felicien"/>
    <s v="CAD"/>
    <n v="6197.11"/>
    <n v="4499.9212861367714"/>
    <x v="0"/>
    <n v="0"/>
    <n v="4499.9212861367714"/>
    <m/>
    <x v="0"/>
    <m/>
    <m/>
    <s v=""/>
    <s v=""/>
    <s v=""/>
    <s v=""/>
    <s v=""/>
    <s v=""/>
    <s v=""/>
    <s v=""/>
    <s v="[M&amp;N # 75] Impeller, 12x10-17, PWO, 4-Vane, 316SS"/>
    <m/>
    <m/>
    <m/>
    <m/>
    <m/>
    <s v=""/>
    <s v=""/>
    <s v=""/>
    <s v=""/>
  </r>
  <r>
    <n v="2"/>
    <s v="SO17382"/>
    <m/>
    <x v="5"/>
    <x v="0"/>
    <m/>
    <s v="Wilka Nuñez"/>
    <n v="6"/>
    <n v="2025"/>
    <s v="INV13227"/>
    <n v="8"/>
    <n v="2025"/>
    <x v="1"/>
    <s v="Alpha Industrial &amp; Mining Supplies Limited"/>
    <s v="CAD"/>
    <n v="481.52"/>
    <n v="351.15139236293976"/>
    <x v="0"/>
    <n v="0"/>
    <n v="351.15139236293976"/>
    <m/>
    <x v="1"/>
    <m/>
    <m/>
    <s v=""/>
    <n v="5.0000000000000001E-3"/>
    <s v=""/>
    <s v=""/>
    <s v=""/>
    <n v="1.7557569618146989"/>
    <s v=""/>
    <s v=""/>
    <s v="[SA-567046] Impeller Washer, 33/44 WFR, Sala STGVA-180, 316SS"/>
    <m/>
    <m/>
    <n v="2503"/>
    <m/>
    <m/>
    <s v=""/>
    <n v="0"/>
    <s v=""/>
    <s v=""/>
  </r>
  <r>
    <n v="2"/>
    <s v="SO17382"/>
    <m/>
    <x v="5"/>
    <x v="0"/>
    <m/>
    <n v="0"/>
    <n v="6"/>
    <n v="2025"/>
    <s v="INV13169"/>
    <n v="8"/>
    <n v="2025"/>
    <x v="1"/>
    <s v="Alpha Industrial &amp; Mining Supplies Limited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SA-567046] Impeller Washer, 33/44 WFR, Sala STGVA-180, 316SS"/>
    <m/>
    <m/>
    <n v="2503"/>
    <m/>
    <m/>
    <s v=""/>
    <n v="0"/>
    <s v=""/>
    <s v=""/>
  </r>
  <r>
    <n v="1"/>
    <s v="SO17383"/>
    <m/>
    <x v="4"/>
    <x v="0"/>
    <m/>
    <s v="Alexis Gil Lamadrid"/>
    <n v="6"/>
    <n v="2025"/>
    <s v="INV13526"/>
    <n v="10"/>
    <n v="2025"/>
    <x v="2"/>
    <s v="Jindal Drilling &amp; Industries Limited"/>
    <s v="USD"/>
    <n v="5802.1430563067106"/>
    <n v="4226.24"/>
    <x v="0"/>
    <n v="0"/>
    <n v="4226.24"/>
    <m/>
    <x v="1"/>
    <m/>
    <m/>
    <s v=""/>
    <n v="5.0000000000000001E-3"/>
    <s v=""/>
    <s v=""/>
    <s v=""/>
    <n v="21.1312"/>
    <s v=""/>
    <s v=""/>
    <s v="[G-056185G180 1228] Casing, 4x6-14, Goulds JC, Frame 3J, High Chrome, OEM# 056185G1801228"/>
    <m/>
    <m/>
    <m/>
    <m/>
    <m/>
    <s v=""/>
    <n v="21.1312"/>
    <s v=""/>
    <s v=""/>
  </r>
  <r>
    <n v="2"/>
    <s v="SO17384"/>
    <m/>
    <x v="4"/>
    <x v="0"/>
    <m/>
    <s v="Alexis Gil Lamadrid"/>
    <n v="6"/>
    <n v="2025"/>
    <s v="INV13148"/>
    <n v="7"/>
    <n v="2025"/>
    <x v="2"/>
    <s v="Jindal Drilling &amp; Industries Limited"/>
    <s v="USD"/>
    <n v="8492.4217651063773"/>
    <n v="6185.82"/>
    <x v="0"/>
    <n v="0"/>
    <n v="6185.82"/>
    <m/>
    <x v="1"/>
    <m/>
    <m/>
    <s v=""/>
    <n v="5.0000000000000001E-3"/>
    <s v=""/>
    <s v=""/>
    <s v=""/>
    <n v="30.929099999999998"/>
    <s v=""/>
    <s v=""/>
    <s v="[D-PE3J-304] Shaft, Goulds JC Frame 3J, 4140 Steel"/>
    <n v="30.929099999999998"/>
    <m/>
    <m/>
    <m/>
    <m/>
    <s v=""/>
    <n v="30.929099999999998"/>
    <s v=""/>
    <s v=""/>
  </r>
  <r>
    <n v="2"/>
    <s v="SO17384"/>
    <m/>
    <x v="4"/>
    <x v="0"/>
    <m/>
    <n v="0"/>
    <n v="6"/>
    <n v="2025"/>
    <s v="INV13290"/>
    <n v="8"/>
    <n v="2025"/>
    <x v="2"/>
    <s v="Jindal Drilling &amp; Industries Limited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Timken National 416271] Oil Seal, Goulds JC, Frame 3J"/>
    <n v="0"/>
    <m/>
    <m/>
    <m/>
    <m/>
    <s v=""/>
    <n v="0"/>
    <s v=""/>
    <s v=""/>
  </r>
  <r>
    <n v="1"/>
    <s v="SO17385"/>
    <m/>
    <x v="1"/>
    <x v="0"/>
    <m/>
    <s v="Ian Trottier"/>
    <n v="6"/>
    <n v="2025"/>
    <s v="INV13127"/>
    <n v="8"/>
    <n v="2025"/>
    <x v="1"/>
    <s v="PT Vale Indonesia Tbk."/>
    <s v="USD"/>
    <n v="116.65406969182565"/>
    <n v="84.97"/>
    <x v="0"/>
    <n v="0"/>
    <n v="84.97"/>
    <m/>
    <x v="1"/>
    <m/>
    <m/>
    <s v=""/>
    <n v="5.0000000000000001E-3"/>
    <s v=""/>
    <s v=""/>
    <s v=""/>
    <n v="0.42485000000000001"/>
    <s v=""/>
    <s v=""/>
    <s v="Down payment of 100.0%"/>
    <m/>
    <m/>
    <m/>
    <m/>
    <m/>
    <s v=""/>
    <n v="0.42485000000000001"/>
    <s v=""/>
    <s v=""/>
  </r>
  <r>
    <n v="1"/>
    <s v="SO17386"/>
    <m/>
    <x v="1"/>
    <x v="0"/>
    <m/>
    <s v="Ian Trottier"/>
    <n v="6"/>
    <n v="2025"/>
    <s v="INV13128"/>
    <n v="8"/>
    <n v="2025"/>
    <x v="1"/>
    <s v="PT Vale Indonesia Tbk."/>
    <s v="USD"/>
    <n v="270.84282533604056"/>
    <n v="197.28"/>
    <x v="0"/>
    <n v="0"/>
    <n v="197.28"/>
    <m/>
    <x v="1"/>
    <m/>
    <m/>
    <s v=""/>
    <n v="5.0000000000000001E-3"/>
    <s v=""/>
    <s v=""/>
    <s v=""/>
    <n v="0.98640000000000005"/>
    <s v=""/>
    <s v=""/>
    <s v="[52-108-475-015] Deflector (Inboard), Allis-Chalmers PWO, Group 3"/>
    <n v="0.98640000000000005"/>
    <m/>
    <m/>
    <m/>
    <m/>
    <s v=""/>
    <n v="0.98640000000000005"/>
    <s v=""/>
    <s v=""/>
  </r>
  <r>
    <n v="1"/>
    <s v="SO17388"/>
    <m/>
    <x v="0"/>
    <x v="0"/>
    <m/>
    <s v="Ian Trottier"/>
    <n v="6"/>
    <n v="2025"/>
    <s v="INV13497"/>
    <n v="12"/>
    <n v="2025"/>
    <x v="0"/>
    <s v="Grant Aggregate"/>
    <s v="CAD"/>
    <n v="2274.2199999999998"/>
    <n v="1661.0422290258998"/>
    <x v="0"/>
    <n v="0"/>
    <n v="1661.0422290258998"/>
    <m/>
    <x v="0"/>
    <m/>
    <m/>
    <s v=""/>
    <s v=""/>
    <s v=""/>
    <s v=""/>
    <s v=""/>
    <s v=""/>
    <s v=""/>
    <s v=""/>
    <s v="[AC-98-037-796-501] Impeller (Open), 6x6-15 AC SRL, Natural Rubber"/>
    <m/>
    <m/>
    <m/>
    <m/>
    <m/>
    <s v=""/>
    <s v=""/>
    <s v=""/>
    <s v=""/>
  </r>
  <r>
    <n v="1"/>
    <s v="SO17389"/>
    <m/>
    <x v="0"/>
    <x v="2"/>
    <m/>
    <s v="Ian Trottier"/>
    <n v="6"/>
    <n v="2025"/>
    <s v="INV13155"/>
    <n v="8"/>
    <n v="2025"/>
    <x v="1"/>
    <s v="Motion Industries Inc. (U.S.) - Greer"/>
    <s v="USD"/>
    <n v="15199.174653780587"/>
    <n v="11173.11"/>
    <x v="0"/>
    <n v="0"/>
    <n v="11173.11"/>
    <m/>
    <x v="0"/>
    <s v="Renewal"/>
    <m/>
    <s v=""/>
    <s v=""/>
    <n v="0.01"/>
    <s v=""/>
    <s v=""/>
    <s v=""/>
    <n v="111.73110000000001"/>
    <s v=""/>
    <s v="Pump, 2x3-14, Dynapro DC, Frame 2J, High Chrome"/>
    <m/>
    <m/>
    <m/>
    <m/>
    <m/>
    <s v=""/>
    <s v=""/>
    <n v="111.73110000000001"/>
    <s v=""/>
  </r>
  <r>
    <n v="1"/>
    <s v="SO17390"/>
    <m/>
    <x v="5"/>
    <x v="0"/>
    <m/>
    <s v="Wilka Nuñez"/>
    <n v="6"/>
    <n v="2025"/>
    <s v="INV13177"/>
    <n v="9"/>
    <n v="2025"/>
    <x v="1"/>
    <s v="PT Vale Indonesia Tbk."/>
    <s v="USD"/>
    <n v="2304.8006099244394"/>
    <n v="1673.59"/>
    <x v="0"/>
    <n v="0"/>
    <n v="1673.59"/>
    <m/>
    <x v="1"/>
    <m/>
    <m/>
    <s v=""/>
    <n v="5.0000000000000001E-3"/>
    <s v=""/>
    <s v=""/>
    <s v=""/>
    <n v="8.3679500000000004"/>
    <s v=""/>
    <s v=""/>
    <s v="[AC-98-432-883-501] Shaft (Fine Thread), PWO, Frame 3, 1045 Steel"/>
    <m/>
    <m/>
    <n v="2503"/>
    <m/>
    <m/>
    <s v=""/>
    <n v="0"/>
    <s v=""/>
    <s v=""/>
  </r>
  <r>
    <n v="2"/>
    <s v="SO17391"/>
    <m/>
    <x v="5"/>
    <x v="0"/>
    <m/>
    <s v="Wilka Nuñez"/>
    <n v="6"/>
    <n v="2025"/>
    <s v="INV13203"/>
    <n v="9"/>
    <n v="2025"/>
    <x v="1"/>
    <s v="PT Vale Indonesia Tbk."/>
    <s v="USD"/>
    <n v="1404.0831158458536"/>
    <n v="1019.55"/>
    <x v="0"/>
    <n v="0"/>
    <n v="1019.55"/>
    <m/>
    <x v="1"/>
    <m/>
    <m/>
    <s v=""/>
    <n v="5.0000000000000001E-3"/>
    <s v=""/>
    <s v=""/>
    <s v=""/>
    <n v="5.0977499999999996"/>
    <s v=""/>
    <s v=""/>
    <s v="[W-B073M/E05] Shaft, 1.5/1 or 2/1.5 B-AH, 1045 Steel, Metric"/>
    <n v="5.0977499999999996"/>
    <m/>
    <n v="2503"/>
    <m/>
    <m/>
    <s v=""/>
    <n v="0"/>
    <s v=""/>
    <s v=""/>
  </r>
  <r>
    <n v="2"/>
    <s v="SO17391"/>
    <m/>
    <x v="5"/>
    <x v="0"/>
    <m/>
    <n v="0"/>
    <n v="6"/>
    <n v="2025"/>
    <s v="INV13136"/>
    <n v="9"/>
    <n v="2025"/>
    <x v="1"/>
    <s v="PT Vale Indonesia Tbk.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W-B073M/E05] Shaft, 1.5/1 or 2/1.5 B-AH, 1045 Steel, Metric"/>
    <m/>
    <m/>
    <n v="2503"/>
    <m/>
    <m/>
    <s v=""/>
    <n v="0"/>
    <s v=""/>
    <s v=""/>
  </r>
  <r>
    <n v="1"/>
    <s v="SO17395"/>
    <m/>
    <x v="1"/>
    <x v="0"/>
    <m/>
    <s v="Ian Trottier"/>
    <n v="6"/>
    <n v="2025"/>
    <s v="INV13172"/>
    <n v="8"/>
    <n v="2025"/>
    <x v="1"/>
    <s v="Les Pompes du St-Laurent Inc."/>
    <s v="CAD"/>
    <n v="3005"/>
    <n v="2194.7884981324714"/>
    <x v="0"/>
    <n v="0"/>
    <n v="2194.7884981324714"/>
    <m/>
    <x v="1"/>
    <m/>
    <m/>
    <s v=""/>
    <n v="5.0000000000000001E-3"/>
    <s v=""/>
    <s v=""/>
    <s v=""/>
    <n v="10.973942490662358"/>
    <s v=""/>
    <s v=""/>
    <s v="[G-249-61 1216] Casing, 2x3-10, 3196 MTX, CD4MCu"/>
    <m/>
    <m/>
    <m/>
    <m/>
    <m/>
    <s v=""/>
    <n v="10.973942490662358"/>
    <s v=""/>
    <s v=""/>
  </r>
  <r>
    <n v="1"/>
    <s v="SO17396"/>
    <m/>
    <x v="5"/>
    <x v="0"/>
    <m/>
    <s v="Ian Trottier"/>
    <n v="6"/>
    <n v="2025"/>
    <s v="INV13180"/>
    <n v="8"/>
    <n v="2025"/>
    <x v="1"/>
    <s v="Flowstar Industrial Inc"/>
    <s v="CAD"/>
    <n v="1225.8"/>
    <n v="895.29841630974499"/>
    <x v="0"/>
    <n v="0"/>
    <n v="895.29841630974499"/>
    <m/>
    <x v="1"/>
    <m/>
    <m/>
    <s v=""/>
    <n v="5.0000000000000001E-3"/>
    <s v=""/>
    <s v=""/>
    <s v=""/>
    <n v="4.4764920815487255"/>
    <s v=""/>
    <s v=""/>
    <s v="[AC-98-331-958-805] Shaft Sleeve, 2x2-10 SRL, Steel"/>
    <m/>
    <m/>
    <n v="2503"/>
    <m/>
    <m/>
    <s v=""/>
    <n v="0"/>
    <s v=""/>
    <s v=""/>
  </r>
  <r>
    <n v="3"/>
    <s v="SO17397"/>
    <m/>
    <x v="5"/>
    <x v="0"/>
    <m/>
    <s v="Ian Trottier"/>
    <n v="6"/>
    <n v="2025"/>
    <s v="INV13162"/>
    <n v="8"/>
    <n v="2025"/>
    <x v="1"/>
    <s v="Sling-Choker Manufacturing - Timmins"/>
    <s v="CAD"/>
    <n v="775.58"/>
    <n v="568.97918717227765"/>
    <x v="0"/>
    <n v="0"/>
    <n v="568.97918717227765"/>
    <m/>
    <x v="1"/>
    <m/>
    <m/>
    <s v=""/>
    <n v="5.0000000000000001E-3"/>
    <s v=""/>
    <s v=""/>
    <s v=""/>
    <n v="2.8448959358613881"/>
    <s v=""/>
    <s v=""/>
    <s v="[AC-98-233-193-501] Slinger Assembly, PWO Frame 2, Oil"/>
    <m/>
    <m/>
    <n v="2503"/>
    <m/>
    <m/>
    <s v=""/>
    <n v="0"/>
    <s v=""/>
    <s v=""/>
  </r>
  <r>
    <n v="3"/>
    <s v="SO17397"/>
    <m/>
    <x v="5"/>
    <x v="0"/>
    <m/>
    <n v="0"/>
    <n v="6"/>
    <n v="2025"/>
    <s v="(* 78441)"/>
    <s v=""/>
    <s v=""/>
    <x v="1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e v="#N/A"/>
    <m/>
    <m/>
    <n v="2503"/>
    <m/>
    <m/>
    <s v=""/>
    <n v="0"/>
    <s v=""/>
    <s v=""/>
  </r>
  <r>
    <n v="3"/>
    <s v="SO17397"/>
    <m/>
    <x v="5"/>
    <x v="0"/>
    <m/>
    <n v="0"/>
    <n v="6"/>
    <n v="2025"/>
    <s v="INV13231"/>
    <n v="8"/>
    <n v="2025"/>
    <x v="1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234-802-001] Water Seal Bushing, 12x10-25 SRL-C, One-Piece, Steel"/>
    <m/>
    <m/>
    <n v="2503"/>
    <m/>
    <m/>
    <s v=""/>
    <n v="0"/>
    <s v=""/>
    <s v=""/>
  </r>
  <r>
    <n v="1"/>
    <s v="SO17398"/>
    <m/>
    <x v="4"/>
    <x v="0"/>
    <m/>
    <s v="Alexis Gil Lamadrid"/>
    <n v="6"/>
    <n v="2025"/>
    <s v="INV13134"/>
    <n v="8"/>
    <n v="2025"/>
    <x v="1"/>
    <s v="Motion Industries Inc. (Canada) - Edmonton"/>
    <s v="CAD"/>
    <n v="126.12"/>
    <n v="92.115382823450034"/>
    <x v="0"/>
    <n v="0"/>
    <n v="92.115382823450034"/>
    <m/>
    <x v="1"/>
    <m/>
    <m/>
    <s v=""/>
    <n v="5.0000000000000001E-3"/>
    <s v=""/>
    <s v=""/>
    <s v=""/>
    <n v="0.46057691411725016"/>
    <s v=""/>
    <s v=""/>
    <s v="[DU-SA3210AA00-TFR] Impeller Gasket, Durco Mark 2&amp;3 Group 2, Teflon/Rubber"/>
    <m/>
    <m/>
    <n v="2503"/>
    <m/>
    <m/>
    <s v=""/>
    <n v="0"/>
    <s v=""/>
    <s v=""/>
  </r>
  <r>
    <n v="1"/>
    <s v="SO17400"/>
    <m/>
    <x v="0"/>
    <x v="0"/>
    <m/>
    <s v="Amanda Qiao"/>
    <n v="6"/>
    <n v="2025"/>
    <s v="INV13587"/>
    <s v=""/>
    <s v=""/>
    <x v="0"/>
    <s v="Zijin Mining - Rosebel Goldmines N.V."/>
    <s v="USD"/>
    <n v="16766.226630204583"/>
    <n v="12300"/>
    <x v="1"/>
    <n v="0"/>
    <n v="0"/>
    <m/>
    <x v="0"/>
    <m/>
    <m/>
    <s v=""/>
    <s v=""/>
    <s v=""/>
    <s v=""/>
    <s v=""/>
    <s v=""/>
    <s v=""/>
    <s v=""/>
    <s v="[D-196 LF 1.5x3-13 LTX DI/316] Pump, 1.5x3-13, D-196 Low-Flow LTX, Ductile Iron w/316SS Impeller"/>
    <m/>
    <m/>
    <m/>
    <m/>
    <m/>
    <s v=""/>
    <s v=""/>
    <s v=""/>
    <s v=""/>
  </r>
  <r>
    <n v="1"/>
    <s v="SO17402"/>
    <m/>
    <x v="4"/>
    <x v="0"/>
    <m/>
    <s v="Alexis Gil Lamadrid"/>
    <n v="6"/>
    <n v="2025"/>
    <s v="INV13175"/>
    <n v="8"/>
    <n v="2025"/>
    <x v="1"/>
    <s v="Fabrene Inc."/>
    <s v="CAD"/>
    <n v="105"/>
    <n v="76.689781132748593"/>
    <x v="0"/>
    <n v="0"/>
    <n v="76.689781132748593"/>
    <m/>
    <x v="1"/>
    <m/>
    <m/>
    <s v=""/>
    <n v="5.0000000000000001E-3"/>
    <s v=""/>
    <s v=""/>
    <s v=""/>
    <n v="0.38344890566374296"/>
    <s v=""/>
    <s v=""/>
    <s v="[G-70782 81 5127] Casing Gasket, 6&quot;, 3196 STX, Durlon 8500"/>
    <m/>
    <m/>
    <n v="2503"/>
    <m/>
    <m/>
    <s v=""/>
    <n v="0"/>
    <s v=""/>
    <s v=""/>
  </r>
  <r>
    <n v="1"/>
    <s v="SO17404"/>
    <m/>
    <x v="5"/>
    <x v="0"/>
    <m/>
    <s v="Wilka Nuñez"/>
    <n v="6"/>
    <n v="2025"/>
    <s v="INV13268"/>
    <n v="8"/>
    <n v="2025"/>
    <x v="1"/>
    <s v="Industrial Pump Repair Canada"/>
    <s v="CAD"/>
    <n v="133"/>
    <n v="97.108804205701688"/>
    <x v="0"/>
    <n v="0"/>
    <n v="97.108804205701688"/>
    <m/>
    <x v="1"/>
    <m/>
    <m/>
    <s v=""/>
    <n v="5.0000000000000001E-3"/>
    <s v=""/>
    <s v=""/>
    <s v=""/>
    <n v="0.48554402102850847"/>
    <s v=""/>
    <s v=""/>
    <s v="[WO-4670386] Impeller Washer, Worthington D-1011, Frame 3, Steel."/>
    <m/>
    <m/>
    <n v="2503"/>
    <m/>
    <m/>
    <s v=""/>
    <n v="0"/>
    <s v=""/>
    <s v=""/>
  </r>
  <r>
    <n v="1"/>
    <s v="SO17407"/>
    <m/>
    <x v="5"/>
    <x v="0"/>
    <m/>
    <s v="Wilka Nuñez"/>
    <n v="6"/>
    <n v="2025"/>
    <s v="INV13143"/>
    <n v="8"/>
    <n v="2025"/>
    <x v="1"/>
    <s v="Motion Industries Inc. (Canada) - Winnipeg"/>
    <s v="CAD"/>
    <n v="264.91000000000003"/>
    <n v="193.92694972173189"/>
    <x v="0"/>
    <n v="0"/>
    <n v="193.92694972173189"/>
    <m/>
    <x v="1"/>
    <m/>
    <m/>
    <s v=""/>
    <n v="5.0000000000000001E-3"/>
    <s v=""/>
    <s v=""/>
    <s v=""/>
    <n v="0.9696347486086595"/>
    <s v=""/>
    <s v=""/>
    <s v="[OLPWZ011009B, G-A04951A222] Bearing Isolator (Inboard), 3196 XLT/XLTi, 303SS Rotor / Bronze Stator w/Viton"/>
    <m/>
    <m/>
    <n v="2503"/>
    <m/>
    <m/>
    <s v=""/>
    <n v="0"/>
    <s v=""/>
    <s v=""/>
  </r>
  <r>
    <n v="1"/>
    <s v="SO17408"/>
    <m/>
    <x v="4"/>
    <x v="0"/>
    <m/>
    <s v="Ian Trottier"/>
    <n v="6"/>
    <n v="2025"/>
    <s v="INV13140"/>
    <n v="8"/>
    <n v="2025"/>
    <x v="1"/>
    <s v="Motion Industries Inc. (Canada) - Prince George"/>
    <s v="CAD"/>
    <n v="198.18"/>
    <n v="145.38834847959211"/>
    <x v="0"/>
    <n v="0"/>
    <n v="145.38834847959211"/>
    <m/>
    <x v="1"/>
    <m/>
    <m/>
    <s v=""/>
    <n v="5.0000000000000001E-3"/>
    <s v=""/>
    <s v=""/>
    <s v=""/>
    <n v="0.72694174239796061"/>
    <s v=""/>
    <s v=""/>
    <s v="[W-D111] Premium Slurry Packing (Single Piece), 4/3 or 6/4 DH, Kevlar Fiber w/Silicon Core"/>
    <m/>
    <m/>
    <n v="2503"/>
    <m/>
    <m/>
    <s v=""/>
    <n v="0"/>
    <s v=""/>
    <s v=""/>
  </r>
  <r>
    <n v="2"/>
    <s v="SO17410"/>
    <m/>
    <x v="0"/>
    <x v="0"/>
    <m/>
    <s v="Ian Trottier"/>
    <n v="6"/>
    <n v="2025"/>
    <s v="INV13153"/>
    <n v="7"/>
    <n v="2025"/>
    <x v="0"/>
    <s v="Canadian Bearings Ltd."/>
    <s v="CAD"/>
    <n v="4196.78"/>
    <n v="3075.2708768597663"/>
    <x v="0"/>
    <n v="0"/>
    <n v="3075.2708768597663"/>
    <m/>
    <x v="0"/>
    <m/>
    <m/>
    <s v=""/>
    <s v=""/>
    <s v=""/>
    <s v=""/>
    <s v=""/>
    <s v=""/>
    <s v=""/>
    <s v=""/>
    <s v="[AC-98-233-017-003] Shaft Sleeve, PWO Frame 3&amp;4, 316SS"/>
    <m/>
    <m/>
    <m/>
    <m/>
    <m/>
    <s v=""/>
    <s v=""/>
    <s v=""/>
    <s v=""/>
  </r>
  <r>
    <n v="2"/>
    <s v="SO17410"/>
    <m/>
    <x v="0"/>
    <x v="0"/>
    <m/>
    <n v="0"/>
    <n v="6"/>
    <n v="2025"/>
    <s v="INV13259"/>
    <n v="10"/>
    <n v="2025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98-236-348-501] Packing Gland (2 Half/Set), Allis Chalmers PWO, Group 3 &amp; 4, 316SS"/>
    <m/>
    <m/>
    <m/>
    <m/>
    <m/>
    <s v=""/>
    <s v=""/>
    <s v=""/>
    <s v=""/>
  </r>
  <r>
    <n v="1"/>
    <s v="SO17413"/>
    <m/>
    <x v="4"/>
    <x v="0"/>
    <m/>
    <s v="Alexis Gil Lamadrid"/>
    <n v="6"/>
    <n v="2025"/>
    <s v="INV13154"/>
    <n v="7"/>
    <n v="2025"/>
    <x v="1"/>
    <s v="Vallen Canada Inc. - IS Div"/>
    <s v="CAD"/>
    <n v="1749.28"/>
    <n v="1277.4681275837183"/>
    <x v="0"/>
    <n v="0"/>
    <n v="1277.4681275837183"/>
    <m/>
    <x v="1"/>
    <m/>
    <m/>
    <s v=""/>
    <n v="5.0000000000000001E-3"/>
    <s v=""/>
    <s v=""/>
    <s v=""/>
    <n v="6.3873406379185917"/>
    <s v=""/>
    <s v=""/>
    <s v="[W-SH076/C21] Shaft Sleeve (Long), 10/8 to 14/12 ST-AH, 420SS"/>
    <m/>
    <m/>
    <n v="2503"/>
    <m/>
    <m/>
    <s v=""/>
    <n v="0"/>
    <s v=""/>
    <s v=""/>
  </r>
  <r>
    <n v="2"/>
    <s v="SO17421"/>
    <m/>
    <x v="4"/>
    <x v="0"/>
    <m/>
    <s v="Ian Trottier"/>
    <n v="7"/>
    <n v="2025"/>
    <s v="INV13149"/>
    <n v="8"/>
    <n v="2025"/>
    <x v="2"/>
    <s v="Hyperflo"/>
    <s v="CAD"/>
    <n v="11084.43"/>
    <n v="8114.3395844024626"/>
    <x v="0"/>
    <n v="0"/>
    <n v="8114.3395844024626"/>
    <m/>
    <x v="1"/>
    <m/>
    <m/>
    <s v=""/>
    <n v="5.0000000000000001E-3"/>
    <s v=""/>
    <s v=""/>
    <s v=""/>
    <n v="40.571697922012312"/>
    <s v=""/>
    <s v=""/>
    <s v="[AC-98-231-134-507] Suction Side Liner, 10x8-21 SRL-C, Urethane"/>
    <m/>
    <m/>
    <m/>
    <m/>
    <m/>
    <s v=""/>
    <n v="40.571697922012312"/>
    <s v=""/>
    <s v=""/>
  </r>
  <r>
    <n v="2"/>
    <s v="SO17421"/>
    <m/>
    <x v="4"/>
    <x v="0"/>
    <m/>
    <n v="0"/>
    <n v="7"/>
    <n v="2025"/>
    <s v="INV13502"/>
    <n v="11"/>
    <n v="2025"/>
    <x v="2"/>
    <s v="Hyperflo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231-134-507] Suction Side Liner, 10x8-21 SRL-C, Urethane"/>
    <m/>
    <m/>
    <m/>
    <m/>
    <m/>
    <s v=""/>
    <n v="0"/>
    <s v=""/>
    <s v=""/>
  </r>
  <r>
    <n v="1"/>
    <s v="SO17422"/>
    <m/>
    <x v="4"/>
    <x v="0"/>
    <m/>
    <s v="Alexis Gil Lamadrid"/>
    <n v="7"/>
    <n v="2025"/>
    <s v="INV13455"/>
    <n v="11"/>
    <n v="2025"/>
    <x v="2"/>
    <s v="Tech-Flow"/>
    <s v="USD"/>
    <n v="4840.9709671762084"/>
    <n v="3556.88"/>
    <x v="0"/>
    <n v="0"/>
    <n v="3556.88"/>
    <m/>
    <x v="1"/>
    <m/>
    <m/>
    <s v=""/>
    <n v="5.0000000000000001E-3"/>
    <s v=""/>
    <s v=""/>
    <s v=""/>
    <n v="17.784400000000002"/>
    <s v=""/>
    <s v=""/>
    <s v="[SA-10237M1] Impeller, Sala Vasa G 253-3, Natural Rubber"/>
    <m/>
    <m/>
    <m/>
    <m/>
    <m/>
    <s v=""/>
    <n v="17.784400000000002"/>
    <s v=""/>
    <s v=""/>
  </r>
  <r>
    <n v="1"/>
    <s v="SO17423"/>
    <m/>
    <x v="4"/>
    <x v="0"/>
    <m/>
    <s v="Ian Trottier"/>
    <n v="7"/>
    <n v="2025"/>
    <s v="INV13456"/>
    <n v="11"/>
    <n v="2025"/>
    <x v="2"/>
    <s v="Tech-Flow"/>
    <s v="USD"/>
    <n v="5852.0646181648326"/>
    <n v="4276.6099999999997"/>
    <x v="0"/>
    <n v="0"/>
    <n v="4276.6099999999997"/>
    <m/>
    <x v="1"/>
    <m/>
    <m/>
    <s v=""/>
    <n v="5.0000000000000001E-3"/>
    <s v=""/>
    <s v=""/>
    <s v=""/>
    <n v="21.383049999999997"/>
    <s v=""/>
    <s v=""/>
    <s v="[SA-11177-M1] Casing, Type C, Natural Rubber Lined, VASA G 253-3"/>
    <m/>
    <m/>
    <m/>
    <m/>
    <m/>
    <s v=""/>
    <n v="21.383049999999997"/>
    <s v=""/>
    <s v=""/>
  </r>
  <r>
    <n v="2"/>
    <s v="SO17425"/>
    <m/>
    <x v="0"/>
    <x v="1"/>
    <m/>
    <s v="Amanda Qiao"/>
    <n v="7"/>
    <n v="2025"/>
    <s v="INV13379"/>
    <n v="11"/>
    <n v="2025"/>
    <x v="2"/>
    <s v="Zijin Mining - Rosebel Goldmines N.V."/>
    <s v="USD"/>
    <n v="35193.886801052977"/>
    <n v="25840"/>
    <x v="0"/>
    <n v="0"/>
    <n v="25840"/>
    <m/>
    <x v="0"/>
    <s v="Renewal"/>
    <m/>
    <s v=""/>
    <s v=""/>
    <n v="0.01"/>
    <s v=""/>
    <s v=""/>
    <s v=""/>
    <n v="258.39999999999998"/>
    <s v=""/>
    <s v="[D-196 LF 1.5x3-13 LTX DI/316] Pump, 1.5x3-13, D-196 Low-Flow LTX, Ductile Iron w/316SS Impeller"/>
    <m/>
    <m/>
    <m/>
    <m/>
    <m/>
    <s v=""/>
    <s v=""/>
    <n v="258.39999999999998"/>
    <s v=""/>
  </r>
  <r>
    <n v="2"/>
    <s v="SO17425"/>
    <m/>
    <x v="0"/>
    <x v="0"/>
    <m/>
    <n v="0"/>
    <n v="7"/>
    <n v="2025"/>
    <s v="INV13193"/>
    <n v="8"/>
    <n v="2025"/>
    <x v="0"/>
    <s v="Zijin Mining - Rosebel Goldmines N.V."/>
    <s v="USD"/>
    <n v="0"/>
    <n v="0"/>
    <x v="1"/>
    <n v="1240"/>
    <n v="0"/>
    <m/>
    <x v="0"/>
    <m/>
    <m/>
    <s v=""/>
    <s v=""/>
    <s v=""/>
    <s v=""/>
    <s v=""/>
    <s v=""/>
    <s v=""/>
    <s v=""/>
    <s v="[D-196 LF 1.5x3-13 LTX DI/316] Pump, 1.5x3-13, D-196 Low-Flow LTX, Ductile Iron w/316SS Impeller"/>
    <m/>
    <m/>
    <m/>
    <m/>
    <m/>
    <s v=""/>
    <s v=""/>
    <s v=""/>
    <s v=""/>
  </r>
  <r>
    <n v="2"/>
    <s v="SO17430"/>
    <m/>
    <x v="5"/>
    <x v="0"/>
    <m/>
    <s v="Ian Trottier"/>
    <n v="7"/>
    <n v="2025"/>
    <s v="INV13523"/>
    <n v="11"/>
    <n v="2025"/>
    <x v="2"/>
    <s v="Sling-Choker Manufacturing - Timmins"/>
    <s v="CAD"/>
    <n v="3388.05"/>
    <n v="2498.3303118685494"/>
    <x v="0"/>
    <n v="0"/>
    <n v="2498.3303118685494"/>
    <m/>
    <x v="1"/>
    <m/>
    <m/>
    <s v=""/>
    <n v="5.0000000000000001E-3"/>
    <s v=""/>
    <s v=""/>
    <s v=""/>
    <n v="12.491651559342747"/>
    <s v=""/>
    <s v=""/>
    <s v="[AC-52-226-071-229] Impeller, 3x2.5-9, Allis Chalmers 2000 Series, Cast Iron"/>
    <m/>
    <m/>
    <m/>
    <m/>
    <m/>
    <s v=""/>
    <n v="12.491651559342747"/>
    <s v=""/>
    <s v=""/>
  </r>
  <r>
    <n v="2"/>
    <s v="SO17430"/>
    <m/>
    <x v="5"/>
    <x v="0"/>
    <m/>
    <n v="0"/>
    <n v="7"/>
    <n v="2025"/>
    <s v="INV13326"/>
    <n v="9"/>
    <n v="2025"/>
    <x v="2"/>
    <s v="Sling-Choker Manufacturing - Timmins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G-A01081A06] Premium Packing, 3196 MTX, 5 Pre-Cut Rings, Graphite"/>
    <m/>
    <m/>
    <m/>
    <m/>
    <m/>
    <s v=""/>
    <n v="0"/>
    <s v=""/>
    <s v=""/>
  </r>
  <r>
    <n v="2"/>
    <s v="SO17431"/>
    <m/>
    <x v="5"/>
    <x v="0"/>
    <m/>
    <s v="Ian Trottier"/>
    <n v="7"/>
    <n v="2025"/>
    <s v="INV13496"/>
    <n v="12"/>
    <n v="2025"/>
    <x v="2"/>
    <s v="Lake Shore Gold Corp"/>
    <s v="CAD"/>
    <n v="429.43"/>
    <n v="313.29403374402921"/>
    <x v="0"/>
    <n v="0"/>
    <n v="313.29403374402921"/>
    <m/>
    <x v="1"/>
    <m/>
    <m/>
    <s v=""/>
    <n v="5.0000000000000001E-3"/>
    <s v=""/>
    <s v=""/>
    <s v=""/>
    <n v="1.5664701687201461"/>
    <s v=""/>
    <s v=""/>
    <s v="[AC-52-118-013-001] Shaft Sleeve, Allis Chalmers 2000 Series, 316SS"/>
    <m/>
    <m/>
    <m/>
    <m/>
    <m/>
    <s v=""/>
    <n v="1.5664701687201461"/>
    <s v=""/>
    <s v=""/>
  </r>
  <r>
    <n v="2"/>
    <s v="SO17431"/>
    <m/>
    <x v="5"/>
    <x v="0"/>
    <m/>
    <n v="0"/>
    <n v="7"/>
    <n v="2025"/>
    <s v="INV13156"/>
    <n v="9"/>
    <n v="2025"/>
    <x v="2"/>
    <s v="Lake Shore Gold Corp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431-816-003] Casing Gasket, 8&quot;, Allis Chalmers CSO &amp; 731+"/>
    <m/>
    <m/>
    <m/>
    <m/>
    <m/>
    <s v=""/>
    <n v="0"/>
    <s v=""/>
    <s v=""/>
  </r>
  <r>
    <n v="1"/>
    <s v="SO17432"/>
    <m/>
    <x v="0"/>
    <x v="0"/>
    <m/>
    <s v="Amanda Qiao"/>
    <n v="7"/>
    <n v="2025"/>
    <s v="INV13534"/>
    <s v=""/>
    <s v=""/>
    <x v="0"/>
    <s v="Mill-Right Mine Services Inc."/>
    <s v="USD"/>
    <n v="861.18106716155762"/>
    <n v="627.70000000000005"/>
    <x v="1"/>
    <n v="0"/>
    <n v="0"/>
    <m/>
    <x v="0"/>
    <m/>
    <m/>
    <s v=""/>
    <s v=""/>
    <s v=""/>
    <s v=""/>
    <s v=""/>
    <s v=""/>
    <s v=""/>
    <s v=""/>
    <s v="[W-SV024L-1/HT200] Lower End Cover, 150SV-SP or 200SV-SP, Cast Iron"/>
    <m/>
    <m/>
    <m/>
    <m/>
    <m/>
    <s v=""/>
    <s v=""/>
    <s v=""/>
    <s v=""/>
  </r>
  <r>
    <n v="1"/>
    <s v="SO17434"/>
    <m/>
    <x v="0"/>
    <x v="0"/>
    <m/>
    <s v="Yannett Yeomans"/>
    <n v="7"/>
    <n v="2025"/>
    <s v="INV13358"/>
    <s v=""/>
    <s v=""/>
    <x v="0"/>
    <s v="Dynapro Pumps México S de RL de CV"/>
    <s v="USD"/>
    <n v="1195.8294354227753"/>
    <n v="878"/>
    <x v="1"/>
    <n v="0"/>
    <n v="0"/>
    <m/>
    <x v="0"/>
    <m/>
    <m/>
    <s v=""/>
    <s v=""/>
    <s v=""/>
    <s v=""/>
    <s v=""/>
    <s v=""/>
    <s v=""/>
    <s v=""/>
    <s v="[D-2J3411-1] Casing, 3x4-11, Goulds JC, Frame 2J, Cast Iron, OEM#056185G4011002"/>
    <m/>
    <m/>
    <m/>
    <m/>
    <m/>
    <s v=""/>
    <s v=""/>
    <s v=""/>
    <s v=""/>
  </r>
  <r>
    <n v="0"/>
    <s v="SO17437"/>
    <m/>
    <x v="0"/>
    <x v="0"/>
    <m/>
    <s v="Wilka Nuñez"/>
    <n v="7"/>
    <n v="2025"/>
    <s v="No Inv"/>
    <s v=""/>
    <s v=""/>
    <x v="0"/>
    <s v="Burlington Pump Inc."/>
    <s v="CAD"/>
    <n v="1744"/>
    <n v="1252.498527967340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439"/>
    <m/>
    <x v="0"/>
    <x v="0"/>
    <m/>
    <s v="Ian Trottier"/>
    <n v="7"/>
    <n v="2025"/>
    <s v="INV13146"/>
    <n v="1"/>
    <n v="1900"/>
    <x v="0"/>
    <s v="Kumtor Gold Company"/>
    <s v="USD"/>
    <n v="0"/>
    <n v="0"/>
    <x v="0"/>
    <n v="0"/>
    <n v="0"/>
    <m/>
    <x v="0"/>
    <m/>
    <m/>
    <s v=""/>
    <s v=""/>
    <s v=""/>
    <s v=""/>
    <s v=""/>
    <s v=""/>
    <s v=""/>
    <s v=""/>
    <s v="[SA-202316-M1] Impeller (Agitator), Sala VS150, High Chrome"/>
    <m/>
    <m/>
    <m/>
    <m/>
    <m/>
    <s v=""/>
    <s v=""/>
    <s v=""/>
    <s v=""/>
  </r>
  <r>
    <n v="1"/>
    <s v="SO17440"/>
    <m/>
    <x v="4"/>
    <x v="0"/>
    <m/>
    <s v="Alexis Gil Lamadrid"/>
    <n v="7"/>
    <n v="2025"/>
    <s v="INV13150"/>
    <n v="9"/>
    <n v="2025"/>
    <x v="1"/>
    <s v="Resolute Forest Products - Fibrek"/>
    <s v="CAD"/>
    <n v="196.96"/>
    <n v="145.23727165349666"/>
    <x v="0"/>
    <n v="0"/>
    <n v="145.23727165349666"/>
    <m/>
    <x v="1"/>
    <m/>
    <m/>
    <s v=""/>
    <n v="5.0000000000000001E-3"/>
    <s v=""/>
    <s v=""/>
    <s v=""/>
    <n v="0.72618635826748335"/>
    <s v=""/>
    <s v=""/>
    <s v="[AC-52-050-313-000] Shim Kit, Allis Chalmers CSO, Frame F4D1/F4B5"/>
    <m/>
    <m/>
    <n v="2503"/>
    <m/>
    <m/>
    <s v=""/>
    <n v="0"/>
    <s v=""/>
    <s v=""/>
  </r>
  <r>
    <n v="1"/>
    <s v="SO17441"/>
    <m/>
    <x v="0"/>
    <x v="0"/>
    <m/>
    <s v="Amanda Qiao"/>
    <n v="7"/>
    <n v="2025"/>
    <s v="INV13586"/>
    <s v=""/>
    <s v=""/>
    <x v="0"/>
    <s v="Zijin Mining - Rosebel Goldmines N.V."/>
    <s v="USD"/>
    <n v="16680.346390558723"/>
    <n v="12300"/>
    <x v="1"/>
    <n v="0"/>
    <n v="0"/>
    <m/>
    <x v="0"/>
    <m/>
    <m/>
    <s v=""/>
    <s v=""/>
    <s v=""/>
    <s v=""/>
    <s v=""/>
    <s v=""/>
    <s v=""/>
    <s v=""/>
    <s v="[D-196 LF 1.5x3-13 LTX DI/316] Pump, 1.5x3-13, D-196 Low-Flow LTX, Ductile Iron w/316SS Impeller"/>
    <n v="0"/>
    <m/>
    <m/>
    <m/>
    <m/>
    <s v=""/>
    <s v=""/>
    <s v=""/>
    <s v=""/>
  </r>
  <r>
    <n v="1"/>
    <s v="SO17442"/>
    <m/>
    <x v="5"/>
    <x v="0"/>
    <m/>
    <s v="Wilka Nuñez"/>
    <n v="7"/>
    <n v="2025"/>
    <s v="INV13278"/>
    <n v="9"/>
    <n v="2025"/>
    <x v="1"/>
    <s v="Agnico Eagle Mines Ltd. - Cochrane"/>
    <s v="CAD"/>
    <n v="450"/>
    <n v="328.56362325237416"/>
    <x v="0"/>
    <n v="0"/>
    <n v="328.56362325237416"/>
    <m/>
    <x v="1"/>
    <m/>
    <m/>
    <s v=""/>
    <n v="5.0000000000000001E-3"/>
    <s v=""/>
    <s v=""/>
    <s v=""/>
    <n v="1.6428181162618709"/>
    <s v=""/>
    <s v=""/>
    <s v="[G-RC01298A 1203] Gland Assembly, 3196 LTX, 316SS"/>
    <m/>
    <m/>
    <n v="2503"/>
    <m/>
    <m/>
    <s v=""/>
    <n v="0"/>
    <s v=""/>
    <s v=""/>
  </r>
  <r>
    <n v="1"/>
    <s v="SO17443"/>
    <m/>
    <x v="1"/>
    <x v="0"/>
    <m/>
    <s v="Ian Trottier"/>
    <n v="7"/>
    <n v="2025"/>
    <s v="INV13178"/>
    <n v="8"/>
    <n v="2025"/>
    <x v="1"/>
    <s v="Cartledge &amp; Associates Inc."/>
    <s v="USD"/>
    <n v="1297.7597660549909"/>
    <n v="954"/>
    <x v="0"/>
    <n v="0"/>
    <n v="954"/>
    <m/>
    <x v="1"/>
    <m/>
    <m/>
    <s v=""/>
    <n v="5.0000000000000001E-3"/>
    <s v=""/>
    <s v=""/>
    <s v=""/>
    <n v="4.7700000000000005"/>
    <s v=""/>
    <s v=""/>
    <s v="[AC-98-231-115-501] Suction Side Liner, 5x4-14 SRL-C, Natural Rubber"/>
    <m/>
    <m/>
    <m/>
    <m/>
    <m/>
    <s v=""/>
    <n v="4.7700000000000005"/>
    <s v=""/>
    <s v=""/>
  </r>
  <r>
    <n v="1"/>
    <s v="SO17444"/>
    <m/>
    <x v="0"/>
    <x v="0"/>
    <m/>
    <s v="Ian Trottier"/>
    <n v="7"/>
    <n v="2025"/>
    <s v="INV13451"/>
    <n v="10"/>
    <n v="2025"/>
    <x v="0"/>
    <s v="Corrosion Fluid Products Corp., Corrosion Fluid Products Corp. - Chicago"/>
    <s v="USD"/>
    <n v="1935.2409193740741"/>
    <n v="1411.18"/>
    <x v="0"/>
    <n v="0"/>
    <n v="1411.18"/>
    <m/>
    <x v="0"/>
    <m/>
    <m/>
    <s v=""/>
    <s v=""/>
    <s v=""/>
    <s v=""/>
    <s v=""/>
    <s v=""/>
    <s v=""/>
    <s v=""/>
    <s v="[462-902A1-462D] Lower Bearing, 1.5&quot; VSP, 5100 Series, Drive #1"/>
    <m/>
    <m/>
    <m/>
    <m/>
    <m/>
    <s v=""/>
    <s v=""/>
    <s v=""/>
    <s v=""/>
  </r>
  <r>
    <n v="1"/>
    <s v="SO17446"/>
    <m/>
    <x v="0"/>
    <x v="0"/>
    <m/>
    <s v="Amanda Qiao"/>
    <n v="7"/>
    <n v="2025"/>
    <s v="INV13756"/>
    <s v=""/>
    <s v=""/>
    <x v="0"/>
    <s v="Mill-Right Mine Services Inc."/>
    <s v="USD"/>
    <n v="870.13021619575488"/>
    <n v="635.46"/>
    <x v="1"/>
    <n v="0"/>
    <n v="0"/>
    <m/>
    <x v="0"/>
    <m/>
    <m/>
    <s v=""/>
    <s v=""/>
    <s v=""/>
    <s v=""/>
    <s v=""/>
    <s v=""/>
    <s v=""/>
    <s v=""/>
    <s v="[W-P009] Bearing, 40PV-SP"/>
    <m/>
    <m/>
    <m/>
    <m/>
    <m/>
    <s v=""/>
    <s v=""/>
    <s v=""/>
    <s v=""/>
  </r>
  <r>
    <n v="1"/>
    <s v="SO17450"/>
    <m/>
    <x v="2"/>
    <x v="0"/>
    <m/>
    <s v="Marlen Martinez"/>
    <n v="7"/>
    <n v="2025"/>
    <s v="INV13184"/>
    <n v="11"/>
    <n v="2025"/>
    <x v="2"/>
    <s v="Covia Corp - Junction City"/>
    <s v="USD"/>
    <n v="625.39667900904408"/>
    <n v="456.73"/>
    <x v="0"/>
    <n v="173.61"/>
    <n v="283.12"/>
    <m/>
    <x v="0"/>
    <m/>
    <m/>
    <s v=""/>
    <s v=""/>
    <s v=""/>
    <s v=""/>
    <s v=""/>
    <s v=""/>
    <s v=""/>
    <s v=""/>
    <s v="104233/6502Volute Liner Seal, 14/12 F, G or ST-AH, EPDM Rubber"/>
    <n v="0"/>
    <m/>
    <m/>
    <m/>
    <m/>
    <s v=""/>
    <s v=""/>
    <s v=""/>
    <s v=""/>
  </r>
  <r>
    <n v="1"/>
    <s v="SO17451"/>
    <m/>
    <x v="4"/>
    <x v="0"/>
    <m/>
    <s v="Ian Trottier"/>
    <n v="7"/>
    <n v="2025"/>
    <s v="INV13183"/>
    <n v="8"/>
    <n v="2025"/>
    <x v="1"/>
    <s v="Manufacture Sling-Choker (Val-d’Or) Ltée"/>
    <s v="CAD"/>
    <n v="126.16"/>
    <n v="92.114637132265599"/>
    <x v="0"/>
    <n v="0"/>
    <n v="92.114637132265599"/>
    <m/>
    <x v="1"/>
    <m/>
    <m/>
    <s v=""/>
    <n v="5.0000000000000001E-3"/>
    <s v=""/>
    <s v=""/>
    <s v=""/>
    <n v="0.46057318566132799"/>
    <s v=""/>
    <s v=""/>
    <s v="[W18] Bearing Lock Washer, 8x6-18 &amp; 10x8-21 SRL-C, Steel"/>
    <m/>
    <m/>
    <n v="2503"/>
    <m/>
    <m/>
    <s v=""/>
    <n v="0"/>
    <s v=""/>
    <s v=""/>
  </r>
  <r>
    <n v="1"/>
    <s v="SO17452"/>
    <m/>
    <x v="0"/>
    <x v="2"/>
    <m/>
    <s v="Ian Trottier"/>
    <n v="7"/>
    <n v="2025"/>
    <s v="INV13239"/>
    <n v="9"/>
    <n v="2025"/>
    <x v="1"/>
    <s v="Middle Georgia Fluid Sealing LLC"/>
    <s v="USD"/>
    <n v="31601.619184801144"/>
    <n v="23073.65"/>
    <x v="0"/>
    <n v="895"/>
    <n v="22178.65"/>
    <m/>
    <x v="0"/>
    <s v="New Opportunity"/>
    <m/>
    <s v=""/>
    <s v=""/>
    <n v="0.02"/>
    <s v=""/>
    <s v=""/>
    <s v=""/>
    <n v="443.57300000000004"/>
    <s v=""/>
    <s v="[G-1.5x2-14-JC-HC] Pump, 1.5x2-14, Dynapro DC, Frame 2J, High Chrome"/>
    <m/>
    <m/>
    <m/>
    <m/>
    <m/>
    <s v=""/>
    <s v=""/>
    <n v="443.57300000000004"/>
    <s v=""/>
  </r>
  <r>
    <n v="2"/>
    <s v="SO17453"/>
    <m/>
    <x v="4"/>
    <x v="0"/>
    <m/>
    <s v="Alexis Gil Lamadrid"/>
    <n v="7"/>
    <n v="2025"/>
    <s v="INV13267"/>
    <n v="10"/>
    <n v="2025"/>
    <x v="2"/>
    <s v="Resolute Forest Products - Fibrek"/>
    <s v="CAD"/>
    <n v="1315.82"/>
    <n v="960.73463721764199"/>
    <x v="0"/>
    <n v="0"/>
    <n v="960.73463721764199"/>
    <m/>
    <x v="1"/>
    <m/>
    <m/>
    <s v=""/>
    <n v="5.0000000000000001E-3"/>
    <s v=""/>
    <s v=""/>
    <s v=""/>
    <n v="4.8036731860882105"/>
    <s v=""/>
    <s v=""/>
    <s v="[G-76772X 2156] Shaft Sleeve, 3196 STX, Titanium"/>
    <m/>
    <m/>
    <m/>
    <m/>
    <m/>
    <s v=""/>
    <n v="4.8036731860882105"/>
    <s v=""/>
    <s v=""/>
  </r>
  <r>
    <n v="2"/>
    <s v="SO17453"/>
    <m/>
    <x v="4"/>
    <x v="0"/>
    <m/>
    <n v="0"/>
    <n v="7"/>
    <n v="2025"/>
    <s v="INV13158"/>
    <n v="9"/>
    <n v="2025"/>
    <x v="2"/>
    <s v="Resolute Forest Products - Fibrek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G-262-94 1013] Frame Adapter, 13&quot;, 3196 MTX/LTX, Ductile Iron"/>
    <m/>
    <m/>
    <m/>
    <m/>
    <m/>
    <s v=""/>
    <n v="0"/>
    <s v=""/>
    <s v=""/>
  </r>
  <r>
    <n v="1"/>
    <s v="SO17454"/>
    <m/>
    <x v="4"/>
    <x v="0"/>
    <m/>
    <s v="Alexis Gil Lamadrid"/>
    <n v="7"/>
    <n v="2025"/>
    <s v="INV13266"/>
    <n v="10"/>
    <n v="2025"/>
    <x v="2"/>
    <s v="Resolute Forest Products - Clermont"/>
    <s v="CAD"/>
    <n v="765.02"/>
    <n v="558.12635748517152"/>
    <x v="0"/>
    <n v="0"/>
    <n v="558.12635748517152"/>
    <m/>
    <x v="1"/>
    <m/>
    <m/>
    <s v=""/>
    <n v="5.0000000000000001E-3"/>
    <s v=""/>
    <s v=""/>
    <s v=""/>
    <n v="2.7906317874258577"/>
    <s v=""/>
    <s v=""/>
    <s v="[G-B00294A 6956] Shaft Sleeve, 3175-S, 316SS, Ni-Chrome Boron"/>
    <m/>
    <m/>
    <m/>
    <m/>
    <m/>
    <s v=""/>
    <n v="2.7906317874258577"/>
    <s v=""/>
    <s v=""/>
  </r>
  <r>
    <n v="1"/>
    <s v="SO17455"/>
    <m/>
    <x v="5"/>
    <x v="0"/>
    <m/>
    <s v="Ian Trottier"/>
    <n v="7"/>
    <n v="2025"/>
    <s v="INV13323"/>
    <n v="10"/>
    <n v="2025"/>
    <x v="2"/>
    <s v="Glencore Canada Corporation - Rouyn-Noranda, Glencore Canada Corp."/>
    <s v="CAD"/>
    <n v="109.66"/>
    <n v="80.003315418974552"/>
    <x v="0"/>
    <n v="0"/>
    <n v="80.003315418974552"/>
    <m/>
    <x v="1"/>
    <m/>
    <m/>
    <s v=""/>
    <n v="5.0000000000000001E-3"/>
    <s v=""/>
    <s v=""/>
    <s v=""/>
    <n v="0.40001657709487276"/>
    <s v=""/>
    <s v=""/>
    <s v="[AC-98-236-245-002] Premium Slurry Packing (5 Piece Set), 3x3-10 SRL and SRL-C, Kevlar Fiber w/Silicon Core"/>
    <m/>
    <m/>
    <m/>
    <m/>
    <m/>
    <s v=""/>
    <n v="0.40001657709487276"/>
    <s v=""/>
    <s v=""/>
  </r>
  <r>
    <n v="2"/>
    <s v="SO17456"/>
    <m/>
    <x v="5"/>
    <x v="0"/>
    <m/>
    <s v="Wilka Nuñez"/>
    <n v="7"/>
    <n v="2025"/>
    <s v="INV13276"/>
    <n v="9"/>
    <n v="2025"/>
    <x v="1"/>
    <s v="PT Vale Indonesia Tbk."/>
    <s v="USD"/>
    <n v="504.7155770502157"/>
    <n v="369.84"/>
    <x v="0"/>
    <n v="0"/>
    <n v="369.84"/>
    <m/>
    <x v="1"/>
    <m/>
    <m/>
    <s v=""/>
    <n v="5.0000000000000001E-3"/>
    <s v=""/>
    <s v=""/>
    <s v=""/>
    <n v="1.8492"/>
    <s v=""/>
    <s v=""/>
    <s v="[G-D08717A03 6241] Labyrinth Seal (Outboard), 3196 MTX, Carbon Teflon"/>
    <m/>
    <m/>
    <n v="2503"/>
    <m/>
    <m/>
    <s v=""/>
    <n v="0"/>
    <s v=""/>
    <s v=""/>
  </r>
  <r>
    <n v="2"/>
    <s v="SO17456"/>
    <m/>
    <x v="5"/>
    <x v="0"/>
    <m/>
    <n v="0"/>
    <n v="7"/>
    <n v="2025"/>
    <s v="INV13176"/>
    <n v="9"/>
    <n v="2025"/>
    <x v="1"/>
    <s v="PT Vale Indonesia Tbk.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G-D08717A03 6241] Labyrinth Seal (Outboard), 3196 MTX, Carbon Teflon"/>
    <n v="0"/>
    <m/>
    <n v="2503"/>
    <m/>
    <m/>
    <s v=""/>
    <n v="0"/>
    <s v=""/>
    <s v=""/>
  </r>
  <r>
    <n v="1"/>
    <s v="SO17457"/>
    <m/>
    <x v="5"/>
    <x v="0"/>
    <m/>
    <s v="Wilka Nuñez"/>
    <n v="7"/>
    <n v="2025"/>
    <s v="INV13393"/>
    <n v="10"/>
    <n v="2025"/>
    <x v="2"/>
    <s v="Eleazar General &amp; Industrial Supplies Limited"/>
    <s v="USD"/>
    <n v="627.21827607109424"/>
    <n v="453"/>
    <x v="0"/>
    <n v="0"/>
    <n v="453"/>
    <m/>
    <x v="1"/>
    <m/>
    <m/>
    <s v=""/>
    <n v="5.0000000000000001E-3"/>
    <s v=""/>
    <s v=""/>
    <s v=""/>
    <n v="2.2650000000000001"/>
    <s v=""/>
    <s v=""/>
    <s v="[AC-98-131-246-511] Deflector (Water Slinger), 5x5/5x4/6x6 SRL &amp; SRL-C, Neoprene/Steel"/>
    <m/>
    <m/>
    <m/>
    <m/>
    <m/>
    <s v=""/>
    <n v="2.2650000000000001"/>
    <s v=""/>
    <s v=""/>
  </r>
  <r>
    <n v="1"/>
    <s v="SO17459"/>
    <m/>
    <x v="1"/>
    <x v="0"/>
    <m/>
    <s v="Ian Trottier"/>
    <n v="7"/>
    <n v="2025"/>
    <s v="INV13173"/>
    <n v="8"/>
    <n v="2025"/>
    <x v="1"/>
    <s v="Wajax Limited - Noranda"/>
    <s v="CAD"/>
    <n v="3048.78"/>
    <n v="2226.040451776385"/>
    <x v="0"/>
    <n v="0"/>
    <n v="2226.040451776385"/>
    <m/>
    <x v="1"/>
    <m/>
    <m/>
    <s v=""/>
    <n v="5.0000000000000001E-3"/>
    <s v=""/>
    <s v=""/>
    <s v=""/>
    <n v="11.130202258881924"/>
    <s v=""/>
    <s v=""/>
    <s v="[AC-98-431-797-501] Gland Side Casing, 5x4-14 SRL-C, Cast Iron"/>
    <m/>
    <m/>
    <m/>
    <m/>
    <m/>
    <s v=""/>
    <n v="11.130202258881924"/>
    <s v=""/>
    <s v=""/>
  </r>
  <r>
    <n v="2"/>
    <s v="SO17461"/>
    <m/>
    <x v="4"/>
    <x v="0"/>
    <m/>
    <s v="Ian Trottier"/>
    <n v="7"/>
    <n v="2025"/>
    <s v="INV13201"/>
    <n v="8"/>
    <n v="2025"/>
    <x v="1"/>
    <s v="Wajax Limited - Noranda"/>
    <s v="CAD"/>
    <n v="984.36"/>
    <n v="718.72197374379334"/>
    <x v="0"/>
    <n v="0"/>
    <n v="718.72197374379334"/>
    <m/>
    <x v="1"/>
    <m/>
    <m/>
    <s v=""/>
    <n v="5.0000000000000001E-3"/>
    <s v=""/>
    <s v=""/>
    <s v=""/>
    <n v="3.5936098687189668"/>
    <s v=""/>
    <s v=""/>
    <s v="[W-E025] End Cover Shim Set, 6/4 or 8/6 E-AH"/>
    <m/>
    <m/>
    <n v="2503"/>
    <m/>
    <m/>
    <s v=""/>
    <n v="0"/>
    <s v=""/>
    <s v=""/>
  </r>
  <r>
    <n v="2"/>
    <s v="SO17461"/>
    <m/>
    <x v="4"/>
    <x v="0"/>
    <m/>
    <n v="0"/>
    <n v="7"/>
    <n v="2025"/>
    <s v="INV13174"/>
    <n v="8"/>
    <n v="2025"/>
    <x v="1"/>
    <s v="Wajax Limited - Noranda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234-268-001-SS] Waterseal Bushing, 5x4/5x5/6x6 SRL, 316SS"/>
    <m/>
    <m/>
    <n v="2503"/>
    <m/>
    <m/>
    <s v=""/>
    <n v="0"/>
    <s v=""/>
    <s v=""/>
  </r>
  <r>
    <n v="1"/>
    <s v="SO17462"/>
    <m/>
    <x v="0"/>
    <x v="0"/>
    <m/>
    <s v="Ian Trottier"/>
    <n v="7"/>
    <n v="2025"/>
    <s v="INV13466"/>
    <n v="11"/>
    <n v="2025"/>
    <x v="0"/>
    <s v="Sealtrac Inc."/>
    <s v="CAD"/>
    <n v="730.78"/>
    <n v="523.96019993539267"/>
    <x v="0"/>
    <n v="0"/>
    <n v="523.96019993539267"/>
    <m/>
    <x v="0"/>
    <m/>
    <m/>
    <s v=""/>
    <s v=""/>
    <s v=""/>
    <s v=""/>
    <s v=""/>
    <s v=""/>
    <s v=""/>
    <s v=""/>
    <s v="[G-R104-733 2238] Shaft (Sleeve Type), 3196 MTX, 4140"/>
    <m/>
    <m/>
    <m/>
    <m/>
    <m/>
    <s v=""/>
    <s v=""/>
    <s v=""/>
    <s v=""/>
  </r>
  <r>
    <n v="2"/>
    <s v="SO17464"/>
    <m/>
    <x v="4"/>
    <x v="0"/>
    <m/>
    <s v="Ian Trottier"/>
    <n v="7"/>
    <n v="2025"/>
    <s v="INV13181"/>
    <n v="7"/>
    <n v="2025"/>
    <x v="2"/>
    <s v="Canadian Bearings Ltd."/>
    <s v="CAD"/>
    <n v="2870"/>
    <n v="2097.763626303074"/>
    <x v="0"/>
    <n v="0"/>
    <n v="2097.763626303074"/>
    <m/>
    <x v="1"/>
    <m/>
    <m/>
    <s v=""/>
    <n v="5.0000000000000001E-3"/>
    <s v=""/>
    <s v=""/>
    <s v=""/>
    <n v="10.488818131515371"/>
    <s v=""/>
    <s v=""/>
    <s v="[AC-52-109-019-003] Shaft Sleeve, Allis-Chalmers CSO, Frame F4B3/F4B5/F4D1, 316SS"/>
    <m/>
    <m/>
    <m/>
    <m/>
    <m/>
    <s v=""/>
    <n v="10.488818131515371"/>
    <s v=""/>
    <s v=""/>
  </r>
  <r>
    <n v="2"/>
    <s v="SO17464"/>
    <m/>
    <x v="4"/>
    <x v="0"/>
    <m/>
    <n v="0"/>
    <n v="7"/>
    <n v="2025"/>
    <s v="INV13271"/>
    <n v="10"/>
    <n v="2025"/>
    <x v="2"/>
    <s v="Canadian Bearing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231-827-009] Shaft (Sleeve Type), Allis-Chalmers CSO, Frame F4D1, 4140 Steel"/>
    <m/>
    <m/>
    <m/>
    <m/>
    <m/>
    <s v=""/>
    <n v="0"/>
    <s v=""/>
    <s v=""/>
  </r>
  <r>
    <n v="1"/>
    <s v="SO17466"/>
    <m/>
    <x v="4"/>
    <x v="0"/>
    <m/>
    <s v="Alexis Gil Lamadrid"/>
    <n v="7"/>
    <n v="2025"/>
    <s v="INV13167"/>
    <n v="9"/>
    <n v="2025"/>
    <x v="1"/>
    <s v="Resolute Forest Products - Clermont"/>
    <s v="USD"/>
    <n v="1379.4385475830861"/>
    <n v="1010.81"/>
    <x v="0"/>
    <n v="0"/>
    <n v="1010.81"/>
    <m/>
    <x v="1"/>
    <m/>
    <m/>
    <s v=""/>
    <n v="5.0000000000000001E-3"/>
    <s v=""/>
    <s v=""/>
    <s v=""/>
    <n v="5.0540500000000002"/>
    <s v=""/>
    <s v=""/>
    <s v="[G-75752 1203] Shaft Sleeve, 3175-L, 316SS"/>
    <n v="5.0540500000000002"/>
    <m/>
    <n v="2503"/>
    <m/>
    <m/>
    <s v=""/>
    <n v="0"/>
    <s v=""/>
    <s v=""/>
  </r>
  <r>
    <n v="1"/>
    <s v="SO17467"/>
    <m/>
    <x v="4"/>
    <x v="0"/>
    <m/>
    <s v="Ian Trottier"/>
    <n v="7"/>
    <n v="2025"/>
    <s v="INV13166"/>
    <n v="8"/>
    <n v="2025"/>
    <x v="1"/>
    <s v="Hyperflo"/>
    <s v="CAD"/>
    <n v="213.9"/>
    <n v="156.05242721246267"/>
    <x v="0"/>
    <n v="0"/>
    <n v="156.05242721246267"/>
    <m/>
    <x v="1"/>
    <m/>
    <m/>
    <s v=""/>
    <n v="5.0000000000000001E-3"/>
    <s v=""/>
    <s v=""/>
    <s v=""/>
    <n v="0.78026213606231343"/>
    <s v=""/>
    <s v=""/>
    <s v="[AC-98-233-733-513] Deflector (Water Slinger), 8x6-18 &amp; 10x8-21 SRL-C, Neoprene/Steel"/>
    <n v="0.78026213606231343"/>
    <m/>
    <n v="2503"/>
    <m/>
    <m/>
    <s v=""/>
    <n v="0"/>
    <s v=""/>
    <s v=""/>
  </r>
  <r>
    <n v="1"/>
    <s v="SO17468"/>
    <m/>
    <x v="1"/>
    <x v="0"/>
    <m/>
    <s v="Ian Trottier"/>
    <n v="7"/>
    <n v="2025"/>
    <s v="INV13182"/>
    <n v="9"/>
    <n v="2025"/>
    <x v="1"/>
    <s v="Resolute Forest Products - Saint-Felicien"/>
    <s v="CAD"/>
    <n v="398.12"/>
    <n v="290.99709230096863"/>
    <x v="0"/>
    <n v="0"/>
    <n v="290.99709230096863"/>
    <m/>
    <x v="1"/>
    <m/>
    <m/>
    <s v=""/>
    <n v="5.0000000000000001E-3"/>
    <s v=""/>
    <s v=""/>
    <s v=""/>
    <n v="1.4549854615048432"/>
    <s v=""/>
    <s v=""/>
    <s v="[OLPWZ011004B, G-A04951A217] Bearing Isolator (Outboard), 3196 STX/STi, 303SS Rotor / Bronze Stator w/Viton"/>
    <m/>
    <m/>
    <m/>
    <m/>
    <m/>
    <s v=""/>
    <n v="1.4549854615048432"/>
    <s v=""/>
    <s v=""/>
  </r>
  <r>
    <n v="1"/>
    <s v="SO17471"/>
    <m/>
    <x v="1"/>
    <x v="0"/>
    <m/>
    <s v="Ian Trottier"/>
    <n v="7"/>
    <n v="2025"/>
    <s v="INV13304"/>
    <n v="9"/>
    <n v="2025"/>
    <x v="1"/>
    <s v="Sealtrac Inc."/>
    <s v="CAD"/>
    <n v="894.72"/>
    <n v="652.75001250834316"/>
    <x v="0"/>
    <n v="0"/>
    <n v="652.75001250834316"/>
    <m/>
    <x v="1"/>
    <m/>
    <m/>
    <s v=""/>
    <n v="5.0000000000000001E-3"/>
    <s v=""/>
    <s v=""/>
    <s v=""/>
    <n v="3.2637500625417157"/>
    <s v=""/>
    <s v=""/>
    <s v="[DU-BY26972AB-A20] Mechanical Seal Gland, Durco Mark 2&amp;3 Group 2, Alloy 20, Standard Bore"/>
    <n v="3.2637500625417157"/>
    <m/>
    <m/>
    <m/>
    <m/>
    <s v=""/>
    <n v="3.2637500625417157"/>
    <s v=""/>
    <s v=""/>
  </r>
  <r>
    <n v="1"/>
    <s v="SO17472"/>
    <m/>
    <x v="5"/>
    <x v="0"/>
    <m/>
    <s v="Ian Trottier"/>
    <n v="7"/>
    <n v="2025"/>
    <s v="INV13331"/>
    <n v="10"/>
    <n v="2025"/>
    <x v="2"/>
    <s v="Eleazar General &amp; Industrial Supplies Limited"/>
    <s v="USD"/>
    <n v="4600.0945529951023"/>
    <n v="3330.81"/>
    <x v="0"/>
    <n v="0"/>
    <n v="3330.81"/>
    <m/>
    <x v="1"/>
    <m/>
    <m/>
    <s v=""/>
    <n v="5.0000000000000001E-3"/>
    <s v=""/>
    <s v=""/>
    <s v=""/>
    <n v="16.654050000000002"/>
    <s v=""/>
    <s v=""/>
    <s v="[AC-98-331-932-501] Shaft Assembly, 5x4-14 SRL-C &amp; 5x5-14 SRL, 1045 Steel"/>
    <m/>
    <m/>
    <m/>
    <m/>
    <m/>
    <s v=""/>
    <n v="16.654050000000002"/>
    <s v=""/>
    <s v=""/>
  </r>
  <r>
    <n v="1"/>
    <s v="SO17475"/>
    <m/>
    <x v="3"/>
    <x v="0"/>
    <m/>
    <s v="Amanda Qiao"/>
    <n v="7"/>
    <n v="2025"/>
    <s v="INV13220"/>
    <n v="9"/>
    <n v="2025"/>
    <x v="1"/>
    <s v="Mill-Right Mine Services Inc."/>
    <s v="CAD"/>
    <n v="9803.7199999999993"/>
    <n v="7152.3810271686043"/>
    <x v="0"/>
    <n v="276.14000000000004"/>
    <n v="6876.241027168604"/>
    <m/>
    <x v="1"/>
    <m/>
    <m/>
    <s v=""/>
    <n v="5.0000000000000001E-3"/>
    <s v=""/>
    <s v=""/>
    <s v=""/>
    <n v="34.381205135843018"/>
    <s v=""/>
    <s v=""/>
    <s v="[W-SP10092/A05] Casing w/Flange, 100RV-SP, High Chrome"/>
    <m/>
    <m/>
    <n v="2503"/>
    <m/>
    <m/>
    <s v=""/>
    <n v="0"/>
    <s v=""/>
    <s v=""/>
  </r>
  <r>
    <n v="2"/>
    <s v="SO17477"/>
    <m/>
    <x v="5"/>
    <x v="0"/>
    <m/>
    <s v="Wilka Nuñez"/>
    <n v="7"/>
    <n v="2025"/>
    <s v="INV13252"/>
    <n v="9"/>
    <n v="2025"/>
    <x v="1"/>
    <s v="Barrick Gold - Pueblo Viejo Dominicana Corporation"/>
    <s v="USD"/>
    <n v="92841.399648577761"/>
    <n v="67700.06"/>
    <x v="0"/>
    <n v="0"/>
    <n v="67700.06"/>
    <m/>
    <x v="3"/>
    <m/>
    <m/>
    <s v=""/>
    <n v="0"/>
    <s v=""/>
    <s v=""/>
    <s v=""/>
    <n v="0"/>
    <s v=""/>
    <s v=""/>
    <s v="[106345/6516] Upper Strainer, 100ZJL-RV, Neoprene"/>
    <m/>
    <m/>
    <m/>
    <m/>
    <m/>
    <s v=""/>
    <n v="0"/>
    <s v=""/>
    <s v=""/>
  </r>
  <r>
    <n v="2"/>
    <s v="SO17477"/>
    <m/>
    <x v="5"/>
    <x v="0"/>
    <m/>
    <n v="0"/>
    <n v="7"/>
    <n v="2025"/>
    <s v="INV13574"/>
    <n v="12"/>
    <n v="2025"/>
    <x v="1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W-RV10005L/0512] Bearing Assembly, 100ZJL-RV, 316L-SS Bearing Cylinder, 1800mm 316SS Shaft"/>
    <n v="0"/>
    <m/>
    <m/>
    <m/>
    <m/>
    <s v=""/>
    <n v="0"/>
    <s v=""/>
    <s v=""/>
  </r>
  <r>
    <n v="1"/>
    <s v="SO17478"/>
    <m/>
    <x v="0"/>
    <x v="0"/>
    <m/>
    <s v="Ian Trottier"/>
    <n v="7"/>
    <n v="2025"/>
    <s v="INV13165"/>
    <n v="11"/>
    <n v="2025"/>
    <x v="0"/>
    <s v="Stroudsburg Electric Motor Service/BDS"/>
    <s v="USD"/>
    <n v="1530.0598253198971"/>
    <n v="1117.1600000000001"/>
    <x v="0"/>
    <n v="377.6"/>
    <n v="739.56000000000006"/>
    <m/>
    <x v="0"/>
    <m/>
    <m/>
    <s v=""/>
    <s v=""/>
    <s v=""/>
    <s v=""/>
    <s v=""/>
    <s v=""/>
    <s v=""/>
    <s v=""/>
    <s v="[AC-98-211-426-501] Impeller, 2x2-10 SRL, Natural Rubber"/>
    <m/>
    <m/>
    <m/>
    <m/>
    <m/>
    <s v=""/>
    <s v=""/>
    <s v=""/>
    <s v=""/>
  </r>
  <r>
    <n v="1"/>
    <s v="SO17481"/>
    <m/>
    <x v="0"/>
    <x v="2"/>
    <m/>
    <s v="Ian Trottier"/>
    <n v="7"/>
    <n v="2025"/>
    <s v="INV13229"/>
    <n v="9"/>
    <n v="2025"/>
    <x v="1"/>
    <s v="Southeast Pump Specialist, Inc."/>
    <s v="USD"/>
    <n v="11693.903252188224"/>
    <n v="8540.11"/>
    <x v="0"/>
    <n v="572"/>
    <n v="7968.1100000000006"/>
    <m/>
    <x v="0"/>
    <s v="New Opportunity"/>
    <m/>
    <s v=""/>
    <s v=""/>
    <n v="0.02"/>
    <s v=""/>
    <s v=""/>
    <s v=""/>
    <n v="159.3622"/>
    <s v=""/>
    <s v="[G-1.5x2-14-JC-HC] Pump, 1.5x2-14, Dynapro DC, Frame 2J, High Chrome"/>
    <m/>
    <m/>
    <m/>
    <m/>
    <m/>
    <s v=""/>
    <s v=""/>
    <n v="159.3622"/>
    <s v=""/>
  </r>
  <r>
    <n v="1"/>
    <s v="SO17482"/>
    <m/>
    <x v="0"/>
    <x v="0"/>
    <m/>
    <s v="Ian Trottier"/>
    <n v="7"/>
    <n v="2025"/>
    <s v="INV13668"/>
    <s v=""/>
    <s v=""/>
    <x v="0"/>
    <s v="Southeast Pump Specialist, Inc."/>
    <s v="USD"/>
    <n v="5167.2176633580812"/>
    <n v="3773.24"/>
    <x v="1"/>
    <n v="658"/>
    <n v="0"/>
    <m/>
    <x v="0"/>
    <m/>
    <m/>
    <s v=""/>
    <s v=""/>
    <s v=""/>
    <s v=""/>
    <s v=""/>
    <s v=""/>
    <s v=""/>
    <s v=""/>
    <s v="[D-2J15214-2] Casing, 1.5x2-14, Goulds JC, Frame 2J, High Chrome, OEM# 055892G0001228"/>
    <m/>
    <m/>
    <m/>
    <m/>
    <m/>
    <s v=""/>
    <s v=""/>
    <s v=""/>
    <s v=""/>
  </r>
  <r>
    <n v="2"/>
    <s v="SO17483"/>
    <m/>
    <x v="5"/>
    <x v="0"/>
    <m/>
    <s v="Wilka Nuñez"/>
    <n v="7"/>
    <n v="2025"/>
    <s v="INV13249"/>
    <n v="9"/>
    <n v="2025"/>
    <x v="1"/>
    <s v="Barrick Gold - Pueblo Viejo Dominicana Corporation"/>
    <s v="USD"/>
    <n v="35091.878637381451"/>
    <n v="25589.040000000001"/>
    <x v="0"/>
    <n v="0"/>
    <n v="25589.040000000001"/>
    <m/>
    <x v="3"/>
    <m/>
    <m/>
    <s v=""/>
    <n v="0"/>
    <s v=""/>
    <s v=""/>
    <s v=""/>
    <n v="0"/>
    <s v=""/>
    <s v=""/>
    <s v="[W-SP10092/A05] Casing w/Flange, 100RV-SP, High Chrome"/>
    <n v="0"/>
    <m/>
    <m/>
    <m/>
    <m/>
    <s v=""/>
    <n v="0"/>
    <s v=""/>
    <s v=""/>
  </r>
  <r>
    <n v="2"/>
    <s v="SO17483"/>
    <m/>
    <x v="5"/>
    <x v="0"/>
    <m/>
    <n v="0"/>
    <n v="7"/>
    <n v="2025"/>
    <s v="INV13576"/>
    <s v=""/>
    <s v=""/>
    <x v="1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W-RV10154L/C41-CC] Discharge Pipe, 100ZJL-RV, 1800mm, 316L-SS, Ceramic Coated"/>
    <n v="0"/>
    <m/>
    <m/>
    <m/>
    <m/>
    <s v=""/>
    <n v="0"/>
    <s v=""/>
    <s v=""/>
  </r>
  <r>
    <n v="2"/>
    <s v="SO17484"/>
    <m/>
    <x v="1"/>
    <x v="0"/>
    <m/>
    <s v="Ian Trottier"/>
    <n v="7"/>
    <n v="2025"/>
    <s v="INV13303"/>
    <n v="9"/>
    <n v="2025"/>
    <x v="1"/>
    <s v="Sealtrac Inc."/>
    <s v="CAD"/>
    <n v="1114.5999999999999"/>
    <n v="813.16519575040149"/>
    <x v="0"/>
    <n v="0"/>
    <n v="813.16519575040149"/>
    <m/>
    <x v="1"/>
    <m/>
    <m/>
    <s v=""/>
    <n v="5.0000000000000001E-3"/>
    <s v=""/>
    <s v=""/>
    <s v=""/>
    <n v="4.0658259787520077"/>
    <s v=""/>
    <s v=""/>
    <s v="[G-70782 28 5117] Casing Gasket, 13&quot;, 3196 MTX, Teflon"/>
    <n v="4.0658259787520077"/>
    <m/>
    <m/>
    <m/>
    <m/>
    <s v=""/>
    <n v="4.0658259787520077"/>
    <s v=""/>
    <s v=""/>
  </r>
  <r>
    <n v="2"/>
    <s v="SO17484"/>
    <m/>
    <x v="1"/>
    <x v="0"/>
    <m/>
    <n v="0"/>
    <n v="7"/>
    <n v="2025"/>
    <s v="INV13168"/>
    <n v="9"/>
    <n v="2025"/>
    <x v="1"/>
    <s v="Sealtrac Inc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G-70782 28 5117] Casing Gasket, 13&quot;, 3196 MTX, Teflon"/>
    <m/>
    <m/>
    <m/>
    <m/>
    <m/>
    <s v=""/>
    <n v="0"/>
    <s v=""/>
    <s v=""/>
  </r>
  <r>
    <n v="1"/>
    <s v="SO17485"/>
    <m/>
    <x v="1"/>
    <x v="0"/>
    <m/>
    <s v="Ian Trottier"/>
    <n v="7"/>
    <n v="2025"/>
    <s v="INV13171"/>
    <n v="8"/>
    <n v="2025"/>
    <x v="1"/>
    <s v="Les Pompes du St-Laurent Inc."/>
    <s v="CAD"/>
    <n v="786.58"/>
    <n v="574.93341922560012"/>
    <x v="0"/>
    <n v="0"/>
    <n v="574.93341922560012"/>
    <m/>
    <x v="1"/>
    <m/>
    <m/>
    <s v=""/>
    <n v="5.0000000000000001E-3"/>
    <s v=""/>
    <s v=""/>
    <s v=""/>
    <n v="2.8746670961280008"/>
    <s v=""/>
    <s v=""/>
    <s v="[G-0100-161 1216] Impeller, 2x3-8, 3196 MTX, CD4MCu, 5-Vane"/>
    <m/>
    <m/>
    <m/>
    <m/>
    <m/>
    <s v=""/>
    <n v="2.8746670961280008"/>
    <s v=""/>
    <s v=""/>
  </r>
  <r>
    <n v="1"/>
    <s v="SO17486"/>
    <m/>
    <x v="0"/>
    <x v="0"/>
    <m/>
    <s v="Yannett Yeomans"/>
    <n v="7"/>
    <n v="2025"/>
    <s v="INV13355"/>
    <s v=""/>
    <s v=""/>
    <x v="0"/>
    <s v="Dynapro Pumps México S de RL de CV"/>
    <s v="USD"/>
    <n v="3207.5979366421989"/>
    <n v="2342"/>
    <x v="1"/>
    <n v="0"/>
    <n v="0"/>
    <m/>
    <x v="0"/>
    <m/>
    <m/>
    <s v=""/>
    <s v=""/>
    <s v=""/>
    <s v=""/>
    <s v=""/>
    <s v=""/>
    <s v=""/>
    <s v=""/>
    <s v="[W-RVR10102L/R55] Column 1800mm, 100RV-SPR, Natural Rubber"/>
    <m/>
    <m/>
    <m/>
    <m/>
    <m/>
    <s v=""/>
    <s v=""/>
    <s v=""/>
    <s v=""/>
  </r>
  <r>
    <n v="2"/>
    <s v="SO17488"/>
    <m/>
    <x v="4"/>
    <x v="0"/>
    <m/>
    <s v="Ian Trottier"/>
    <n v="7"/>
    <n v="2025"/>
    <s v="INV13208"/>
    <n v="7"/>
    <n v="2025"/>
    <x v="2"/>
    <s v="Canadian Bearings Ltd."/>
    <s v="CAD"/>
    <n v="3861.59"/>
    <n v="2815.8636943690262"/>
    <x v="0"/>
    <n v="0"/>
    <n v="2815.8636943690262"/>
    <m/>
    <x v="1"/>
    <m/>
    <m/>
    <s v=""/>
    <n v="5.0000000000000001E-3"/>
    <s v=""/>
    <s v=""/>
    <s v=""/>
    <n v="14.079318471845131"/>
    <s v=""/>
    <s v=""/>
    <s v="[AC-52-431-816-011] Casing Gasket, 8x6-13, Allis Chalmers CSO"/>
    <m/>
    <m/>
    <m/>
    <m/>
    <m/>
    <s v=""/>
    <n v="14.079318471845131"/>
    <s v=""/>
    <s v=""/>
  </r>
  <r>
    <n v="2"/>
    <s v="SO17488"/>
    <m/>
    <x v="4"/>
    <x v="0"/>
    <m/>
    <n v="0"/>
    <n v="7"/>
    <n v="2025"/>
    <s v="INV13310"/>
    <n v="10"/>
    <n v="2025"/>
    <x v="2"/>
    <s v="Canadian Bearing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321-368-101] Impeller, 3x1.5-13, Allis Chalmers CSO, 316SS"/>
    <m/>
    <m/>
    <m/>
    <m/>
    <m/>
    <s v=""/>
    <n v="0"/>
    <s v=""/>
    <s v=""/>
  </r>
  <r>
    <n v="0"/>
    <s v="SO17489"/>
    <m/>
    <x v="0"/>
    <x v="0"/>
    <m/>
    <s v="Alexis Gil Lamadrid"/>
    <n v="7"/>
    <n v="2025"/>
    <s v="No Inv"/>
    <s v=""/>
    <s v=""/>
    <x v="0"/>
    <s v="Wajax Limited - Timmins"/>
    <s v="CAD"/>
    <n v="1610"/>
    <n v="1164.440736899029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491"/>
    <m/>
    <x v="4"/>
    <x v="0"/>
    <m/>
    <s v="Ian Trottier"/>
    <n v="7"/>
    <n v="2025"/>
    <s v="INV13401"/>
    <n v="11"/>
    <n v="2025"/>
    <x v="2"/>
    <s v="Resolute Forest Products - Alma"/>
    <s v="CAD"/>
    <n v="2068.5"/>
    <n v="1510.4212397075696"/>
    <x v="0"/>
    <n v="0"/>
    <n v="1510.4212397075696"/>
    <m/>
    <x v="1"/>
    <m/>
    <m/>
    <s v=""/>
    <n v="5.0000000000000001E-3"/>
    <s v=""/>
    <s v=""/>
    <s v=""/>
    <n v="7.5521061985378486"/>
    <s v=""/>
    <s v=""/>
    <s v="[G-71940 2229] Shaft Sleeve, 3138-M, 316SS"/>
    <m/>
    <m/>
    <m/>
    <m/>
    <m/>
    <s v=""/>
    <n v="7.5521061985378486"/>
    <s v=""/>
    <s v=""/>
  </r>
  <r>
    <n v="2"/>
    <s v="SO17494"/>
    <m/>
    <x v="4"/>
    <x v="0"/>
    <m/>
    <s v="Alexis Gil Lamadrid"/>
    <n v="7"/>
    <n v="2025"/>
    <s v="INV13245"/>
    <n v="9"/>
    <n v="2025"/>
    <x v="2"/>
    <s v="Canadian Bearings Ltd."/>
    <s v="CAD"/>
    <n v="3159.68"/>
    <n v="2309.4988762220555"/>
    <x v="0"/>
    <n v="0"/>
    <n v="2309.4988762220555"/>
    <m/>
    <x v="1"/>
    <m/>
    <m/>
    <s v=""/>
    <n v="5.0000000000000001E-3"/>
    <s v=""/>
    <s v=""/>
    <s v=""/>
    <n v="11.547494381110278"/>
    <s v=""/>
    <s v=""/>
    <s v="[AC-52-050-313-000] Shim Kit, Allis Chalmers CSO, Frame F4D1/F4B5"/>
    <m/>
    <m/>
    <m/>
    <m/>
    <m/>
    <s v=""/>
    <n v="11.547494381110278"/>
    <s v=""/>
    <s v=""/>
  </r>
  <r>
    <n v="2"/>
    <s v="SO17494"/>
    <m/>
    <x v="4"/>
    <x v="0"/>
    <m/>
    <n v="0"/>
    <n v="7"/>
    <n v="2025"/>
    <s v="INV13382"/>
    <n v="10"/>
    <n v="2025"/>
    <x v="2"/>
    <s v="Canadian Bearing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320-795-003] Stuffing Box Cover, 13&quot;, Allis Chalmers CSO, Frame F4B, 316SS"/>
    <m/>
    <m/>
    <m/>
    <m/>
    <m/>
    <s v=""/>
    <n v="0"/>
    <s v=""/>
    <s v=""/>
  </r>
  <r>
    <n v="2"/>
    <s v="SO17496"/>
    <m/>
    <x v="0"/>
    <x v="0"/>
    <m/>
    <s v="Yannett Yeomans"/>
    <n v="7"/>
    <n v="2025"/>
    <s v="INV13682"/>
    <s v=""/>
    <s v=""/>
    <x v="0"/>
    <s v="Dynapro Pumps México S de RL de CV"/>
    <s v="USD"/>
    <n v="15706.547027076318"/>
    <n v="11468"/>
    <x v="0"/>
    <n v="0"/>
    <n v="11468"/>
    <m/>
    <x v="0"/>
    <m/>
    <m/>
    <s v=""/>
    <s v=""/>
    <s v=""/>
    <s v=""/>
    <s v=""/>
    <s v=""/>
    <s v=""/>
    <s v=""/>
    <s v="[104081867006] Impeller, SM203-640, 316SS"/>
    <m/>
    <m/>
    <m/>
    <m/>
    <m/>
    <s v=""/>
    <s v=""/>
    <s v=""/>
    <s v=""/>
  </r>
  <r>
    <n v="2"/>
    <s v="SO17496"/>
    <m/>
    <x v="0"/>
    <x v="0"/>
    <m/>
    <n v="0"/>
    <n v="7"/>
    <n v="2025"/>
    <s v="INV13369"/>
    <s v=""/>
    <s v=""/>
    <x v="0"/>
    <s v="Dynapro Pumps México S de RL de CV"/>
    <s v="USD"/>
    <n v="0"/>
    <n v="0"/>
    <x v="1"/>
    <n v="0"/>
    <n v="0"/>
    <m/>
    <x v="0"/>
    <m/>
    <m/>
    <s v=""/>
    <s v=""/>
    <s v=""/>
    <s v=""/>
    <s v=""/>
    <s v=""/>
    <s v=""/>
    <s v=""/>
    <s v="Key, item 444, Sulzer SM203-640"/>
    <m/>
    <m/>
    <m/>
    <m/>
    <m/>
    <s v=""/>
    <s v=""/>
    <s v=""/>
    <s v=""/>
  </r>
  <r>
    <n v="1"/>
    <s v="SO17497"/>
    <m/>
    <x v="0"/>
    <x v="0"/>
    <m/>
    <s v="Ian Trottier"/>
    <n v="7"/>
    <n v="2025"/>
    <s v="INV13352"/>
    <n v="1"/>
    <n v="1900"/>
    <x v="0"/>
    <s v="Kumtor Gold Company"/>
    <s v="USD"/>
    <n v="0"/>
    <n v="0"/>
    <x v="0"/>
    <n v="0"/>
    <n v="0"/>
    <m/>
    <x v="0"/>
    <m/>
    <m/>
    <s v=""/>
    <s v=""/>
    <s v=""/>
    <s v=""/>
    <s v=""/>
    <s v=""/>
    <s v=""/>
    <s v=""/>
    <s v="[SA-202316-M1] Impeller (Agitator), Sala VS150, High Chrome"/>
    <m/>
    <m/>
    <m/>
    <m/>
    <m/>
    <s v=""/>
    <s v=""/>
    <s v=""/>
    <s v=""/>
  </r>
  <r>
    <n v="2"/>
    <s v="SO17506"/>
    <m/>
    <x v="4"/>
    <x v="0"/>
    <m/>
    <s v="Alexis Gil Lamadrid"/>
    <n v="7"/>
    <n v="2025"/>
    <s v="INV13210"/>
    <n v="9"/>
    <n v="2025"/>
    <x v="1"/>
    <s v="Resolute Forest Products - Fibrek"/>
    <s v="CAD"/>
    <n v="3769.5"/>
    <n v="2748.7118507982573"/>
    <x v="0"/>
    <n v="0"/>
    <n v="2748.7118507982573"/>
    <m/>
    <x v="1"/>
    <m/>
    <m/>
    <s v=""/>
    <n v="5.0000000000000001E-3"/>
    <s v=""/>
    <s v=""/>
    <s v=""/>
    <n v="13.743559253991286"/>
    <s v=""/>
    <s v=""/>
    <s v="[AC-98-233-992-001] Half Seal Cage, 3x3-10 SRL &amp; SRL-C, Cast Iron"/>
    <m/>
    <m/>
    <n v="2503"/>
    <m/>
    <m/>
    <s v=""/>
    <n v="0"/>
    <s v=""/>
    <s v=""/>
  </r>
  <r>
    <n v="2"/>
    <s v="SO17506"/>
    <m/>
    <x v="4"/>
    <x v="0"/>
    <m/>
    <n v="0"/>
    <n v="7"/>
    <n v="2025"/>
    <s v="INV13233"/>
    <n v="9"/>
    <n v="2025"/>
    <x v="1"/>
    <s v="Resolute Forest Products - Fibrek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432-884-801] Bearing Housing, PWO, Frame 2, Oil"/>
    <m/>
    <m/>
    <n v="2503"/>
    <m/>
    <m/>
    <s v=""/>
    <n v="0"/>
    <s v=""/>
    <s v=""/>
  </r>
  <r>
    <n v="1"/>
    <s v="SO17507"/>
    <m/>
    <x v="5"/>
    <x v="0"/>
    <m/>
    <s v="Wilka Nuñez"/>
    <n v="7"/>
    <n v="2025"/>
    <s v="INV13329"/>
    <n v="10"/>
    <n v="2025"/>
    <x v="2"/>
    <s v="Sling-Choker Manufacturing - Timmins"/>
    <s v="CAD"/>
    <n v="1842.22"/>
    <n v="1344.0060891039877"/>
    <x v="0"/>
    <n v="0"/>
    <n v="1344.0060891039877"/>
    <m/>
    <x v="1"/>
    <m/>
    <m/>
    <s v=""/>
    <n v="5.0000000000000001E-3"/>
    <s v=""/>
    <s v=""/>
    <s v=""/>
    <n v="6.7200304455199387"/>
    <s v=""/>
    <s v=""/>
    <s v="[G-0B10588 1216] Impeller, 2x3-13, 3196 LTX, CD4MCu, 5-Vane"/>
    <m/>
    <m/>
    <m/>
    <m/>
    <m/>
    <s v=""/>
    <n v="6.7200304455199387"/>
    <s v=""/>
    <s v=""/>
  </r>
  <r>
    <n v="3"/>
    <s v="SO17509"/>
    <m/>
    <x v="0"/>
    <x v="0"/>
    <m/>
    <s v="Ian Trottier"/>
    <n v="7"/>
    <n v="2025"/>
    <s v="INV13671"/>
    <n v="12"/>
    <n v="2025"/>
    <x v="0"/>
    <s v="Middle Georgia Fluid Sealing LLC"/>
    <s v="USD"/>
    <n v="29253.178105538074"/>
    <n v="21361.45"/>
    <x v="0"/>
    <n v="782"/>
    <n v="20579.45"/>
    <m/>
    <x v="0"/>
    <m/>
    <m/>
    <s v=""/>
    <s v=""/>
    <s v=""/>
    <s v=""/>
    <s v=""/>
    <s v=""/>
    <s v=""/>
    <s v=""/>
    <s v="[G-1.5x2-14-JC-HC] Pump, 1.5x2-14, Dynapro DC, Frame 2J, High Chrome"/>
    <m/>
    <m/>
    <m/>
    <m/>
    <m/>
    <s v=""/>
    <s v=""/>
    <s v=""/>
    <s v=""/>
  </r>
  <r>
    <n v="3"/>
    <s v="SO17509"/>
    <m/>
    <x v="0"/>
    <x v="0"/>
    <m/>
    <n v="0"/>
    <n v="7"/>
    <n v="2025"/>
    <s v="INV13238"/>
    <n v="9"/>
    <n v="2025"/>
    <x v="0"/>
    <s v="Middle Georgia Fluid Sealing LLC"/>
    <s v="USD"/>
    <n v="0"/>
    <n v="0"/>
    <x v="1"/>
    <n v="0"/>
    <n v="0"/>
    <m/>
    <x v="0"/>
    <m/>
    <m/>
    <s v=""/>
    <s v=""/>
    <s v=""/>
    <s v=""/>
    <s v=""/>
    <s v=""/>
    <s v=""/>
    <s v=""/>
    <s v="[D-WE1J-8] Stuffing Box Cover, Goulds JC, Frame 1J, High Chrome, OEM# 048945G0001228"/>
    <m/>
    <m/>
    <m/>
    <m/>
    <m/>
    <s v=""/>
    <s v=""/>
    <s v=""/>
    <s v=""/>
  </r>
  <r>
    <n v="3"/>
    <s v="SO17509"/>
    <m/>
    <x v="0"/>
    <x v="0"/>
    <m/>
    <n v="0"/>
    <n v="7"/>
    <n v="2025"/>
    <s v="INV13681"/>
    <n v="12"/>
    <n v="2025"/>
    <x v="0"/>
    <s v="Middle Georgia Fluid Sealing LLC"/>
    <s v="USD"/>
    <n v="0"/>
    <n v="0"/>
    <x v="1"/>
    <n v="0"/>
    <n v="0"/>
    <m/>
    <x v="0"/>
    <m/>
    <m/>
    <s v=""/>
    <s v=""/>
    <s v=""/>
    <s v=""/>
    <s v=""/>
    <s v=""/>
    <s v=""/>
    <s v=""/>
    <s v="[D-2J15214-14] Suction Cover, 1.5x2-14, Goulds JC Frame 2J, High Chrome, OEM# 050049G0001228"/>
    <m/>
    <m/>
    <m/>
    <m/>
    <m/>
    <s v=""/>
    <s v=""/>
    <s v=""/>
    <s v=""/>
  </r>
  <r>
    <n v="1"/>
    <s v="SO17512"/>
    <m/>
    <x v="0"/>
    <x v="0"/>
    <m/>
    <s v="Yannett Yeomans"/>
    <n v="7"/>
    <n v="2025"/>
    <s v="INV13317"/>
    <s v=""/>
    <s v=""/>
    <x v="0"/>
    <s v="Dynapro Pumps México S de RL de CV"/>
    <s v="USD"/>
    <n v="1684.408552313248"/>
    <n v="1230"/>
    <x v="1"/>
    <n v="0"/>
    <n v="0"/>
    <m/>
    <x v="0"/>
    <m/>
    <m/>
    <s v=""/>
    <s v=""/>
    <s v=""/>
    <s v=""/>
    <s v=""/>
    <s v=""/>
    <s v=""/>
    <s v=""/>
    <s v="[10039/5001] Bowl Bearing, 11CLC-1, Teflon"/>
    <n v="0"/>
    <m/>
    <m/>
    <m/>
    <m/>
    <s v=""/>
    <s v=""/>
    <s v=""/>
    <s v=""/>
  </r>
  <r>
    <n v="1"/>
    <s v="SO17513"/>
    <m/>
    <x v="0"/>
    <x v="0"/>
    <m/>
    <s v="Yannett Yeomans"/>
    <n v="7"/>
    <n v="2025"/>
    <s v="INV13458"/>
    <s v=""/>
    <s v=""/>
    <x v="0"/>
    <s v="Dynapro Pumps México S de RL de CV"/>
    <s v="USD"/>
    <n v="7029.3244707511394"/>
    <n v="5133"/>
    <x v="1"/>
    <n v="0"/>
    <n v="0"/>
    <m/>
    <x v="0"/>
    <m/>
    <m/>
    <s v=""/>
    <s v=""/>
    <s v=""/>
    <s v=""/>
    <s v=""/>
    <s v=""/>
    <s v=""/>
    <s v=""/>
    <s v="[G-RD04573A01 1216] Stuffing Box Cover, 17&quot;, 3196 X17, CD4MCu, Standard Bore, Non-Jacketed"/>
    <m/>
    <m/>
    <m/>
    <m/>
    <m/>
    <s v=""/>
    <s v=""/>
    <s v=""/>
    <s v=""/>
  </r>
  <r>
    <n v="1"/>
    <s v="SO17515"/>
    <m/>
    <x v="1"/>
    <x v="0"/>
    <m/>
    <s v="Ian Trottier"/>
    <n v="7"/>
    <n v="2025"/>
    <s v="INV13299"/>
    <n v="9"/>
    <n v="2025"/>
    <x v="1"/>
    <s v="Alamos Gold Inc"/>
    <s v="CAD"/>
    <n v="7934.6"/>
    <n v="5785.4161697389609"/>
    <x v="0"/>
    <n v="0"/>
    <n v="5785.4161697389609"/>
    <m/>
    <x v="2"/>
    <m/>
    <m/>
    <s v=""/>
    <n v="0.02"/>
    <s v=""/>
    <s v=""/>
    <s v=""/>
    <n v="115.70832339477921"/>
    <s v=""/>
    <s v=""/>
    <s v="[G-R196-MKM8] Maintenance Kit, 8&quot;, 3196 MTX"/>
    <m/>
    <m/>
    <m/>
    <m/>
    <m/>
    <s v=""/>
    <n v="115.70832339477921"/>
    <s v=""/>
    <s v=""/>
  </r>
  <r>
    <n v="1"/>
    <s v="SO17516"/>
    <m/>
    <x v="0"/>
    <x v="0"/>
    <m/>
    <s v="Wilka Nuñez"/>
    <n v="7"/>
    <n v="2025"/>
    <s v="INV13300"/>
    <n v="10"/>
    <n v="2025"/>
    <x v="0"/>
    <s v="Wajax Limited - Pointe-aux-Trembles, Wajax Limited"/>
    <s v="CAD"/>
    <n v="774.75"/>
    <n v="561.1272614535867"/>
    <x v="0"/>
    <n v="0"/>
    <n v="561.1272614535867"/>
    <m/>
    <x v="0"/>
    <m/>
    <m/>
    <s v=""/>
    <s v=""/>
    <s v=""/>
    <s v=""/>
    <s v=""/>
    <s v=""/>
    <s v=""/>
    <s v=""/>
    <s v="[W-SPR65092/R55] Casing, 65QV-SPR, Natural Rubber"/>
    <m/>
    <m/>
    <m/>
    <m/>
    <m/>
    <s v=""/>
    <s v=""/>
    <s v=""/>
    <s v=""/>
  </r>
  <r>
    <n v="1"/>
    <s v="SO17518"/>
    <m/>
    <x v="0"/>
    <x v="0"/>
    <m/>
    <s v="Yannett Yeomans"/>
    <n v="7"/>
    <n v="2025"/>
    <s v="INV13469"/>
    <s v=""/>
    <s v=""/>
    <x v="0"/>
    <s v="Dynapro Pumps México S de RL de CV"/>
    <s v="USD"/>
    <n v="3971.5079755905626"/>
    <n v="2900"/>
    <x v="1"/>
    <n v="0"/>
    <n v="0"/>
    <m/>
    <x v="0"/>
    <m/>
    <m/>
    <s v=""/>
    <s v=""/>
    <s v=""/>
    <s v=""/>
    <s v=""/>
    <s v=""/>
    <s v=""/>
    <s v=""/>
    <s v="[JC-SCS-1 3/4-4610-MT-SB] Single Cartridge Seal, 1 3/4&quot;, D-196 MT, Standard Bore, Carbon vs Silicon Carbide 316SS Gland"/>
    <m/>
    <m/>
    <m/>
    <m/>
    <m/>
    <s v=""/>
    <s v=""/>
    <s v=""/>
    <s v=""/>
  </r>
  <r>
    <n v="1"/>
    <s v="SO17519"/>
    <m/>
    <x v="4"/>
    <x v="0"/>
    <m/>
    <s v="Alexis Gil Lamadrid"/>
    <n v="7"/>
    <n v="2025"/>
    <s v="INV13198"/>
    <n v="8"/>
    <n v="2025"/>
    <x v="1"/>
    <s v="Fabrene Inc."/>
    <s v="CAD"/>
    <n v="114.56"/>
    <n v="83.578148954930924"/>
    <x v="0"/>
    <n v="0"/>
    <n v="83.578148954930924"/>
    <m/>
    <x v="1"/>
    <m/>
    <m/>
    <s v=""/>
    <n v="5.0000000000000001E-3"/>
    <s v=""/>
    <s v=""/>
    <s v=""/>
    <n v="0.41789074477465465"/>
    <s v=""/>
    <s v=""/>
    <s v="[AC-52-118-634-001] Deflector (Inboard), Allis-Chalmers CSO, Frame F4C1"/>
    <n v="0.41789074477465465"/>
    <m/>
    <n v="2503"/>
    <m/>
    <m/>
    <s v=""/>
    <n v="0"/>
    <s v=""/>
    <s v=""/>
  </r>
  <r>
    <n v="1"/>
    <s v="SO17520"/>
    <m/>
    <x v="4"/>
    <x v="0"/>
    <m/>
    <s v="Ian Trottier"/>
    <n v="7"/>
    <n v="2025"/>
    <s v="INV13217"/>
    <n v="8"/>
    <n v="2025"/>
    <x v="1"/>
    <s v="Hyperflo"/>
    <s v="CAD"/>
    <n v="1210.56"/>
    <n v="880.43940798411234"/>
    <x v="0"/>
    <n v="0"/>
    <n v="880.43940798411234"/>
    <m/>
    <x v="1"/>
    <m/>
    <m/>
    <s v=""/>
    <n v="5.0000000000000001E-3"/>
    <s v=""/>
    <s v=""/>
    <s v=""/>
    <n v="4.4021970399205621"/>
    <s v=""/>
    <s v=""/>
    <s v="[AC-98-231-055-501] Gland Side Liner, 2x2-10 SRL, Natural Rubber"/>
    <m/>
    <m/>
    <n v="2503"/>
    <m/>
    <m/>
    <s v=""/>
    <n v="0"/>
    <s v=""/>
    <s v=""/>
  </r>
  <r>
    <n v="1"/>
    <s v="SO17521"/>
    <m/>
    <x v="1"/>
    <x v="0"/>
    <m/>
    <s v="Ian Trottier"/>
    <n v="7"/>
    <n v="2025"/>
    <s v="INV13200"/>
    <n v="8"/>
    <n v="2025"/>
    <x v="1"/>
    <s v="Les Pompes du St-Laurent Inc."/>
    <s v="CAD"/>
    <n v="1299.76"/>
    <n v="948.25012993768348"/>
    <x v="0"/>
    <n v="0"/>
    <n v="948.25012993768348"/>
    <m/>
    <x v="1"/>
    <m/>
    <m/>
    <s v=""/>
    <n v="5.0000000000000001E-3"/>
    <s v=""/>
    <s v=""/>
    <s v=""/>
    <n v="4.7412506496884177"/>
    <s v=""/>
    <s v=""/>
    <s v="[DU-MY49112A130-CD4] Impeller, 3x2-13, Durco Mark 2&amp;3 Group 2, CD4MCu, Reverse Vane"/>
    <m/>
    <m/>
    <m/>
    <m/>
    <m/>
    <s v=""/>
    <n v="4.7412506496884177"/>
    <s v=""/>
    <s v=""/>
  </r>
  <r>
    <n v="1"/>
    <s v="SO17522"/>
    <m/>
    <x v="4"/>
    <x v="0"/>
    <m/>
    <s v="Alexis Gil Lamadrid"/>
    <n v="7"/>
    <n v="2025"/>
    <s v="INV13209"/>
    <n v="9"/>
    <n v="2025"/>
    <x v="1"/>
    <s v="Resolute Forest Products - Dolbeau"/>
    <s v="CAD"/>
    <n v="1018.48"/>
    <n v="743.04009381649837"/>
    <x v="0"/>
    <n v="0"/>
    <n v="743.04009381649837"/>
    <m/>
    <x v="1"/>
    <m/>
    <m/>
    <s v=""/>
    <n v="5.0000000000000001E-3"/>
    <s v=""/>
    <s v=""/>
    <s v=""/>
    <n v="3.7152004690824918"/>
    <s v=""/>
    <s v=""/>
    <s v="[JC-SCS-13/4-5610-MTX-SB] Single Cartridge Seal, 1 3/4&quot;, D-196 MTX, Standard Bore, Carbon vs Silicon Carbide, 316SS Gland w/Aflas Elastomers"/>
    <m/>
    <m/>
    <n v="2503"/>
    <m/>
    <m/>
    <s v=""/>
    <n v="0"/>
    <s v=""/>
    <s v=""/>
  </r>
  <r>
    <n v="1"/>
    <s v="SO17523"/>
    <m/>
    <x v="5"/>
    <x v="0"/>
    <m/>
    <s v="Wilka Nuñez"/>
    <n v="7"/>
    <n v="2025"/>
    <s v="INV13253"/>
    <n v="9"/>
    <n v="2025"/>
    <x v="1"/>
    <s v="Barrick Gold - Pueblo Viejo Dominicana Corporation"/>
    <s v="USD"/>
    <n v="15081.43177621778"/>
    <n v="11012.48"/>
    <x v="0"/>
    <n v="0"/>
    <n v="11012.48"/>
    <m/>
    <x v="2"/>
    <m/>
    <m/>
    <s v=""/>
    <n v="0.02"/>
    <s v=""/>
    <s v=""/>
    <s v=""/>
    <n v="220.24959999999999"/>
    <s v=""/>
    <s v=""/>
    <s v="[W-SP15092/A05] Casing w/Flange, 150SV-SP, High Chrome"/>
    <m/>
    <m/>
    <n v="2503"/>
    <m/>
    <m/>
    <s v=""/>
    <n v="0"/>
    <s v=""/>
    <s v=""/>
  </r>
  <r>
    <n v="1"/>
    <s v="SO17524"/>
    <m/>
    <x v="0"/>
    <x v="0"/>
    <m/>
    <s v="Ian Trottier"/>
    <n v="7"/>
    <n v="2025"/>
    <s v="INV13404"/>
    <n v="10"/>
    <n v="2025"/>
    <x v="0"/>
    <s v="Les Pompes du St-Laurent Inc."/>
    <s v="CAD"/>
    <n v="1299.76"/>
    <n v="948.25012993768348"/>
    <x v="0"/>
    <n v="0"/>
    <n v="948.25012993768348"/>
    <m/>
    <x v="0"/>
    <m/>
    <m/>
    <s v=""/>
    <s v=""/>
    <s v=""/>
    <s v=""/>
    <s v=""/>
    <s v=""/>
    <s v=""/>
    <s v=""/>
    <s v="[DU-MY49112A130-CD4] Impeller, 3x2-13, Durco Mark 2&amp;3 Group 2, CD4MCu, Reverse Vane"/>
    <m/>
    <m/>
    <m/>
    <m/>
    <m/>
    <s v=""/>
    <s v=""/>
    <s v=""/>
    <s v=""/>
  </r>
  <r>
    <n v="1"/>
    <s v="SO17525"/>
    <m/>
    <x v="4"/>
    <x v="0"/>
    <m/>
    <s v="Alexis Gil Lamadrid"/>
    <n v="7"/>
    <n v="2025"/>
    <s v="INV13256"/>
    <n v="10"/>
    <n v="2025"/>
    <x v="2"/>
    <s v="Wajax Limited - Val D'Or, Composants Industriels Wajax SC -57"/>
    <s v="CAD"/>
    <n v="297.88"/>
    <n v="217.32069667156793"/>
    <x v="0"/>
    <n v="0"/>
    <n v="217.32069667156793"/>
    <m/>
    <x v="1"/>
    <m/>
    <m/>
    <s v=""/>
    <n v="5.0000000000000001E-3"/>
    <s v=""/>
    <s v=""/>
    <s v=""/>
    <n v="1.0866034833578397"/>
    <s v=""/>
    <s v=""/>
    <s v="[G-76230X 2229] Shaft Sleeve, 13&quot; and 15&quot;, 3196 XLT, 316SS"/>
    <m/>
    <m/>
    <m/>
    <m/>
    <m/>
    <s v=""/>
    <n v="1.0866034833578397"/>
    <s v=""/>
    <s v=""/>
  </r>
  <r>
    <n v="2"/>
    <s v="SO17529"/>
    <m/>
    <x v="5"/>
    <x v="0"/>
    <m/>
    <s v="Wilka Nuñez"/>
    <n v="7"/>
    <n v="2025"/>
    <s v="INV13225"/>
    <n v="8"/>
    <n v="2025"/>
    <x v="1"/>
    <s v="Hyperflo"/>
    <s v="CAD"/>
    <n v="363.32"/>
    <n v="266.94761244432834"/>
    <x v="0"/>
    <n v="0"/>
    <n v="266.94761244432834"/>
    <m/>
    <x v="1"/>
    <m/>
    <m/>
    <s v=""/>
    <n v="5.0000000000000001E-3"/>
    <s v=""/>
    <s v=""/>
    <s v=""/>
    <n v="1.3347380622216418"/>
    <s v=""/>
    <s v=""/>
    <s v="[AC-52-108-475-013] Deflector (Outboard), Allis-Chalmers PWO, Group 2"/>
    <m/>
    <m/>
    <n v="2503"/>
    <m/>
    <m/>
    <s v=""/>
    <n v="0"/>
    <s v=""/>
    <s v=""/>
  </r>
  <r>
    <n v="2"/>
    <s v="SO17529"/>
    <m/>
    <x v="5"/>
    <x v="0"/>
    <m/>
    <n v="0"/>
    <n v="7"/>
    <n v="2025"/>
    <s v="INV13243"/>
    <n v="9"/>
    <n v="2025"/>
    <x v="1"/>
    <s v="Hyperflo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RR-N1300-0625, G-58101 625] Bearing Housing Retaining Ring, PWO-C Group 2, Carbon Steel"/>
    <m/>
    <m/>
    <n v="2503"/>
    <m/>
    <m/>
    <s v=""/>
    <n v="0"/>
    <s v=""/>
    <s v=""/>
  </r>
  <r>
    <n v="1"/>
    <s v="SO17530"/>
    <m/>
    <x v="4"/>
    <x v="0"/>
    <m/>
    <s v="Ian Trottier"/>
    <n v="7"/>
    <n v="2025"/>
    <s v="INV13461"/>
    <n v="11"/>
    <n v="2025"/>
    <x v="2"/>
    <s v="Resolute Forest Products - Saint-Felicien"/>
    <s v="CAD"/>
    <n v="3198.73"/>
    <n v="2333.6586278509617"/>
    <x v="0"/>
    <n v="0"/>
    <n v="2333.6586278509617"/>
    <m/>
    <x v="1"/>
    <m/>
    <m/>
    <s v=""/>
    <n v="5.0000000000000001E-3"/>
    <s v=""/>
    <s v=""/>
    <s v=""/>
    <n v="11.668293139254809"/>
    <s v=""/>
    <s v=""/>
    <s v="[AC-52-423-692-016] Stuffing Box Cover, 11&quot;, CSO F4D1, 317SS"/>
    <m/>
    <m/>
    <m/>
    <m/>
    <m/>
    <s v=""/>
    <n v="11.668293139254809"/>
    <s v=""/>
    <s v=""/>
  </r>
  <r>
    <n v="2"/>
    <s v="SO17531"/>
    <m/>
    <x v="5"/>
    <x v="0"/>
    <m/>
    <s v="Wilka Nuñez"/>
    <n v="7"/>
    <n v="2025"/>
    <s v="INV13196"/>
    <n v="7"/>
    <n v="2025"/>
    <x v="2"/>
    <s v="Canadian Bearings Ltd."/>
    <s v="CAD"/>
    <n v="1589.84"/>
    <n v="1156.2894762667372"/>
    <x v="0"/>
    <n v="0"/>
    <n v="1156.2894762667372"/>
    <m/>
    <x v="1"/>
    <m/>
    <m/>
    <s v=""/>
    <n v="5.0000000000000001E-3"/>
    <s v=""/>
    <s v=""/>
    <s v=""/>
    <n v="5.7814473813336864"/>
    <s v=""/>
    <s v=""/>
    <s v="[AC-52-108-475-007] Deflector (Outboard), Allis Chalmers CSO, Frame F4D1, Steel"/>
    <m/>
    <m/>
    <m/>
    <m/>
    <m/>
    <s v=""/>
    <n v="5.7814473813336864"/>
    <s v=""/>
    <s v=""/>
  </r>
  <r>
    <n v="2"/>
    <s v="SO17531"/>
    <m/>
    <x v="5"/>
    <x v="0"/>
    <m/>
    <n v="0"/>
    <n v="7"/>
    <n v="2025"/>
    <s v="INV13270"/>
    <n v="10"/>
    <n v="2025"/>
    <x v="2"/>
    <s v="Canadian Bearings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52-231-827-009] Shaft (Sleeve Type), Allis-Chalmers CSO, Frame F4D1, 4140 Steel"/>
    <m/>
    <m/>
    <m/>
    <m/>
    <m/>
    <s v=""/>
    <n v="0"/>
    <s v=""/>
    <s v=""/>
  </r>
  <r>
    <n v="2"/>
    <s v="SO17532"/>
    <m/>
    <x v="0"/>
    <x v="0"/>
    <m/>
    <s v="Ian Trottier"/>
    <n v="7"/>
    <n v="2025"/>
    <s v="INV13719"/>
    <s v=""/>
    <s v=""/>
    <x v="0"/>
    <s v="Les Pompes du St-Laurent Inc."/>
    <s v="CAD"/>
    <n v="24548.44"/>
    <n v="17932.303493647378"/>
    <x v="1"/>
    <n v="0"/>
    <n v="0"/>
    <m/>
    <x v="0"/>
    <m/>
    <m/>
    <s v=""/>
    <s v=""/>
    <s v=""/>
    <s v=""/>
    <s v=""/>
    <s v=""/>
    <s v=""/>
    <s v=""/>
    <s v="Rear Cover, 13&quot;, Durco Mark 2&amp;3 Group 2, Hastelloy-C, Small Bore"/>
    <m/>
    <m/>
    <m/>
    <m/>
    <m/>
    <s v=""/>
    <s v=""/>
    <s v=""/>
    <s v=""/>
  </r>
  <r>
    <n v="2"/>
    <s v="SO17532"/>
    <m/>
    <x v="0"/>
    <x v="0"/>
    <m/>
    <n v="0"/>
    <n v="7"/>
    <n v="2025"/>
    <s v="INV13511"/>
    <s v=""/>
    <s v=""/>
    <x v="0"/>
    <s v="Les Pompes du St-Laurent Inc."/>
    <s v="CA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7535"/>
    <m/>
    <x v="1"/>
    <x v="0"/>
    <m/>
    <s v="Ian Trottier"/>
    <n v="7"/>
    <n v="2025"/>
    <s v="INV13555"/>
    <n v="12"/>
    <n v="2025"/>
    <x v="2"/>
    <s v="Hisco Pump Inc."/>
    <s v="USD"/>
    <n v="3595.2725631936241"/>
    <n v="2613.3200000000002"/>
    <x v="0"/>
    <n v="0"/>
    <n v="2613.3200000000002"/>
    <m/>
    <x v="1"/>
    <m/>
    <m/>
    <s v=""/>
    <n v="5.0000000000000001E-3"/>
    <s v=""/>
    <s v=""/>
    <s v=""/>
    <n v="13.066600000000001"/>
    <s v=""/>
    <s v=""/>
    <s v="[W-E044/C23] Gland Split w/Bolt &amp; Nut, 6/4 or 8/6 E-AH, 316SS"/>
    <m/>
    <m/>
    <m/>
    <m/>
    <m/>
    <s v=""/>
    <n v="13.066600000000001"/>
    <s v=""/>
    <s v=""/>
  </r>
  <r>
    <n v="2"/>
    <s v="SO17535"/>
    <m/>
    <x v="1"/>
    <x v="0"/>
    <m/>
    <n v="0"/>
    <n v="7"/>
    <n v="2025"/>
    <s v="INV13288"/>
    <n v="10"/>
    <n v="2025"/>
    <x v="2"/>
    <s v="Hisco Pump Inc."/>
    <s v="USD"/>
    <n v="0"/>
    <n v="0"/>
    <x v="1"/>
    <n v="0"/>
    <n v="0"/>
    <m/>
    <x v="1"/>
    <m/>
    <m/>
    <s v=""/>
    <n v="5.0000000000000001E-3"/>
    <s v=""/>
    <s v=""/>
    <s v=""/>
    <n v="0"/>
    <s v=""/>
    <s v=""/>
    <s v="[W-E044/C23] Gland Split w/Bolt &amp; Nut, 6/4 or 8/6 E-AH, 316SS"/>
    <m/>
    <m/>
    <m/>
    <m/>
    <m/>
    <s v=""/>
    <n v="0"/>
    <s v=""/>
    <s v=""/>
  </r>
  <r>
    <n v="2"/>
    <s v="SO17536"/>
    <m/>
    <x v="1"/>
    <x v="0"/>
    <m/>
    <s v="Ian Trottier"/>
    <n v="7"/>
    <n v="2025"/>
    <s v="INV13325"/>
    <n v="9"/>
    <n v="2025"/>
    <x v="2"/>
    <s v="Gibraltar Mine (Canada)"/>
    <s v="CAD"/>
    <n v="7365.39"/>
    <n v="5370.8276372863711"/>
    <x v="0"/>
    <n v="0"/>
    <n v="5370.8276372863711"/>
    <m/>
    <x v="1"/>
    <m/>
    <m/>
    <s v=""/>
    <n v="5.0000000000000001E-3"/>
    <s v=""/>
    <s v=""/>
    <s v=""/>
    <n v="26.854138186431857"/>
    <s v=""/>
    <s v=""/>
    <s v="[GA-23965] Impeller, G-Series 2.5&quot; VSP, 1000 Series, Urethane"/>
    <m/>
    <m/>
    <m/>
    <m/>
    <m/>
    <s v=""/>
    <n v="26.854138186431857"/>
    <s v=""/>
    <s v=""/>
  </r>
  <r>
    <n v="2"/>
    <s v="SO17536"/>
    <m/>
    <x v="1"/>
    <x v="0"/>
    <m/>
    <n v="0"/>
    <n v="7"/>
    <n v="2025"/>
    <s v="INV13491"/>
    <n v="11"/>
    <n v="2025"/>
    <x v="2"/>
    <s v="Gibraltar Mine (Canada)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GA-20442] Discharge Pipe, 60&quot;, G-Series 2.5&quot; VSP, 1000 Series, Rubber Lined Inside"/>
    <m/>
    <m/>
    <m/>
    <m/>
    <m/>
    <s v=""/>
    <n v="0"/>
    <s v=""/>
    <s v=""/>
  </r>
  <r>
    <n v="1"/>
    <s v="SO17539"/>
    <m/>
    <x v="0"/>
    <x v="0"/>
    <m/>
    <s v="Alexis Gil Lamadrid"/>
    <n v="7"/>
    <n v="2025"/>
    <s v="INV13693"/>
    <n v="1"/>
    <n v="2026"/>
    <x v="0"/>
    <s v="Wajax Limited - Val D'Or, Composants Industriels Wajax SC -57"/>
    <s v="CAD"/>
    <n v="12687.26"/>
    <n v="9054.8229830007876"/>
    <x v="0"/>
    <n v="0"/>
    <n v="9054.8229830007876"/>
    <m/>
    <x v="0"/>
    <m/>
    <m/>
    <s v=""/>
    <s v=""/>
    <s v=""/>
    <s v=""/>
    <s v=""/>
    <s v=""/>
    <s v=""/>
    <s v=""/>
    <s v="[G-254-50 1216] Casing, 6x8-13, 3196 XLT, CD4MCu"/>
    <m/>
    <m/>
    <m/>
    <m/>
    <m/>
    <s v=""/>
    <s v=""/>
    <s v=""/>
    <s v=""/>
  </r>
  <r>
    <n v="1"/>
    <s v="SO17543"/>
    <m/>
    <x v="0"/>
    <x v="0"/>
    <m/>
    <s v="Yannett Yeomans"/>
    <n v="7"/>
    <n v="2025"/>
    <s v="INV13709"/>
    <s v=""/>
    <s v=""/>
    <x v="0"/>
    <s v="Dynapro Pumps México S de RL de CV"/>
    <s v="USD"/>
    <n v="85549.377409693567"/>
    <n v="62220"/>
    <x v="1"/>
    <n v="0"/>
    <n v="0"/>
    <m/>
    <x v="0"/>
    <m/>
    <m/>
    <s v=""/>
    <s v=""/>
    <s v=""/>
    <s v=""/>
    <s v=""/>
    <s v=""/>
    <s v=""/>
    <s v=""/>
    <s v="[XS500-710] Horizontal Split Case Pump 24/20, 420SS"/>
    <n v="0"/>
    <m/>
    <m/>
    <m/>
    <m/>
    <s v=""/>
    <s v=""/>
    <s v=""/>
    <s v=""/>
  </r>
  <r>
    <n v="1"/>
    <s v="SO17544"/>
    <m/>
    <x v="0"/>
    <x v="0"/>
    <m/>
    <s v="Ian Trottier"/>
    <n v="7"/>
    <n v="2025"/>
    <s v="INV13199"/>
    <n v="9"/>
    <n v="2025"/>
    <x v="0"/>
    <s v="Sealtrac Inc."/>
    <s v="CAD"/>
    <n v="1573.14"/>
    <n v="1147.1305374624671"/>
    <x v="0"/>
    <n v="0"/>
    <n v="1147.1305374624671"/>
    <m/>
    <x v="0"/>
    <m/>
    <m/>
    <s v=""/>
    <s v=""/>
    <s v=""/>
    <s v=""/>
    <s v=""/>
    <s v=""/>
    <s v=""/>
    <s v=""/>
    <s v="[DU-MY36847AA130-CD4] Impeller, 4x3-13, Durco Mark 2&amp;3 Group 2, CD4MCu, Reverse Vane"/>
    <m/>
    <m/>
    <m/>
    <m/>
    <m/>
    <s v=""/>
    <s v=""/>
    <s v=""/>
    <s v=""/>
  </r>
  <r>
    <n v="1"/>
    <s v="SO17547"/>
    <m/>
    <x v="1"/>
    <x v="0"/>
    <m/>
    <s v="Ian Trottier"/>
    <n v="7"/>
    <n v="2025"/>
    <s v="INV13240"/>
    <n v="9"/>
    <n v="2025"/>
    <x v="1"/>
    <s v="Middle Georgia Fluid Sealing LLC"/>
    <s v="USD"/>
    <n v="20421.256608515894"/>
    <n v="14878.98"/>
    <x v="0"/>
    <n v="0"/>
    <n v="14878.98"/>
    <m/>
    <x v="2"/>
    <m/>
    <m/>
    <s v=""/>
    <n v="0.02"/>
    <s v=""/>
    <s v=""/>
    <s v=""/>
    <n v="297.57959999999997"/>
    <s v=""/>
    <s v=""/>
    <s v="[D-2J15214-4] Casing, 1.5x2-14, Goulds JC, Frame 2J, CD4MCu, OEM# 055892G0001247"/>
    <m/>
    <m/>
    <m/>
    <m/>
    <m/>
    <s v=""/>
    <n v="297.57959999999997"/>
    <s v=""/>
    <s v=""/>
  </r>
  <r>
    <n v="1"/>
    <s v="SO17548"/>
    <m/>
    <x v="0"/>
    <x v="0"/>
    <m/>
    <s v="Yannett Yeomans"/>
    <n v="7"/>
    <n v="2025"/>
    <s v="INV13356"/>
    <s v=""/>
    <s v=""/>
    <x v="0"/>
    <s v="Dynapro Pumps México S de RL de CV"/>
    <s v="USD"/>
    <n v="1223.7053342113031"/>
    <n v="890"/>
    <x v="1"/>
    <n v="0"/>
    <n v="0"/>
    <m/>
    <x v="0"/>
    <m/>
    <m/>
    <s v=""/>
    <s v=""/>
    <s v=""/>
    <s v=""/>
    <s v=""/>
    <s v=""/>
    <s v=""/>
    <s v=""/>
    <s v="[W-RVR10154L/R55] Discharge Pipe 1800mm, 100RV-SPR, Natural Rubber"/>
    <m/>
    <m/>
    <m/>
    <m/>
    <m/>
    <s v=""/>
    <s v=""/>
    <s v=""/>
    <s v=""/>
  </r>
  <r>
    <n v="1"/>
    <s v="SO17549"/>
    <m/>
    <x v="0"/>
    <x v="0"/>
    <m/>
    <s v="Yannett Yeomans"/>
    <n v="7"/>
    <n v="2025"/>
    <s v="INV13371"/>
    <s v=""/>
    <s v=""/>
    <x v="0"/>
    <s v="Dynapro Pumps México S de RL de CV"/>
    <s v="USD"/>
    <n v="206.24247205808479"/>
    <n v="150"/>
    <x v="1"/>
    <n v="0"/>
    <n v="0"/>
    <m/>
    <x v="0"/>
    <m/>
    <m/>
    <s v=""/>
    <s v=""/>
    <s v=""/>
    <s v=""/>
    <s v=""/>
    <s v=""/>
    <s v=""/>
    <s v=""/>
    <s v="[D-500S-98B-17/E05] Right Round Nut, 500S-98B, M105x2 RH, 1045 Steel"/>
    <n v="0"/>
    <m/>
    <m/>
    <m/>
    <m/>
    <s v=""/>
    <s v=""/>
    <s v=""/>
    <s v=""/>
  </r>
  <r>
    <n v="1"/>
    <s v="SO17550"/>
    <m/>
    <x v="5"/>
    <x v="0"/>
    <m/>
    <s v="Wilka Nuñez"/>
    <n v="7"/>
    <n v="2025"/>
    <s v="INV13219"/>
    <n v="8"/>
    <n v="2025"/>
    <x v="1"/>
    <s v="Hyperflo"/>
    <s v="CAD"/>
    <n v="810.36"/>
    <n v="591.20451106073517"/>
    <x v="0"/>
    <n v="0"/>
    <n v="591.20451106073517"/>
    <m/>
    <x v="1"/>
    <m/>
    <m/>
    <s v=""/>
    <n v="5.0000000000000001E-3"/>
    <s v=""/>
    <s v=""/>
    <s v=""/>
    <n v="2.9560225553036759"/>
    <s v=""/>
    <s v=""/>
    <s v="[AC-98-432-037-001] Bearing Cylinder Strap (Set of 2), 8x6/10x8 SRL-C, Cast Iron"/>
    <n v="2.9560225553036759"/>
    <m/>
    <n v="2503"/>
    <m/>
    <m/>
    <s v=""/>
    <n v="0"/>
    <s v=""/>
    <s v=""/>
  </r>
  <r>
    <n v="1"/>
    <s v="SO17551"/>
    <m/>
    <x v="1"/>
    <x v="0"/>
    <m/>
    <s v="Ian Trottier"/>
    <n v="7"/>
    <n v="2025"/>
    <s v="INV13212"/>
    <n v="8"/>
    <n v="2025"/>
    <x v="1"/>
    <s v="Les Pompes du St-Laurent Inc."/>
    <s v="CAD"/>
    <n v="1557.64"/>
    <n v="1137.8349587120367"/>
    <x v="0"/>
    <n v="0"/>
    <n v="1137.8349587120367"/>
    <m/>
    <x v="1"/>
    <m/>
    <m/>
    <s v=""/>
    <n v="5.0000000000000001E-3"/>
    <s v=""/>
    <s v=""/>
    <s v=""/>
    <n v="5.6891747935601833"/>
    <s v=""/>
    <s v=""/>
    <s v="[DU-DY55718A-CI] Bearing Housing, Durco Mark 3 Group 2, Cast Iron"/>
    <m/>
    <m/>
    <m/>
    <m/>
    <m/>
    <s v=""/>
    <n v="5.6891747935601833"/>
    <s v=""/>
    <s v=""/>
  </r>
  <r>
    <n v="1"/>
    <s v="SO17552"/>
    <m/>
    <x v="1"/>
    <x v="0"/>
    <m/>
    <s v="Ian Trottier"/>
    <n v="7"/>
    <n v="2025"/>
    <s v="INV13277"/>
    <n v="9"/>
    <n v="2025"/>
    <x v="1"/>
    <s v="Alamos Gold Inc, Alamos Gold Inc Island Gold Division"/>
    <s v="CAD"/>
    <n v="1363.36"/>
    <n v="995.91604562648774"/>
    <x v="0"/>
    <n v="0"/>
    <n v="995.91604562648774"/>
    <m/>
    <x v="1"/>
    <m/>
    <m/>
    <s v=""/>
    <n v="5.0000000000000001E-3"/>
    <s v=""/>
    <s v=""/>
    <s v=""/>
    <n v="4.9795802281324386"/>
    <s v=""/>
    <s v=""/>
    <s v="[AC-52-118-681-804] Mechanical Seal, CSO, Type-9T, Carbon vs' Ceramic/Viton, O-Ring seat"/>
    <m/>
    <m/>
    <m/>
    <m/>
    <m/>
    <s v=""/>
    <n v="4.9795802281324386"/>
    <s v=""/>
    <s v=""/>
  </r>
  <r>
    <n v="1"/>
    <s v="SO17553"/>
    <m/>
    <x v="4"/>
    <x v="0"/>
    <m/>
    <s v="Alexis Gil Lamadrid"/>
    <n v="7"/>
    <n v="2025"/>
    <s v="INV13237"/>
    <n v="9"/>
    <n v="2025"/>
    <x v="1"/>
    <s v="Manufacture Sling-Choker (Val-d’Or) Ltée"/>
    <s v="CAD"/>
    <n v="1079.28"/>
    <n v="786.94376070323199"/>
    <x v="0"/>
    <n v="0"/>
    <n v="786.94376070323199"/>
    <m/>
    <x v="1"/>
    <m/>
    <m/>
    <s v=""/>
    <n v="5.0000000000000001E-3"/>
    <s v=""/>
    <s v=""/>
    <s v=""/>
    <n v="3.93471880351616"/>
    <s v=""/>
    <s v=""/>
    <s v="[AC-98-330-286-501] Impeller (Open), 3x3-10 SRL, Natural Rubber"/>
    <m/>
    <m/>
    <n v="2503"/>
    <m/>
    <m/>
    <s v=""/>
    <n v="0"/>
    <s v=""/>
    <s v=""/>
  </r>
  <r>
    <n v="1"/>
    <s v="SO17554"/>
    <m/>
    <x v="0"/>
    <x v="0"/>
    <m/>
    <s v="Amanda Qiao"/>
    <n v="7"/>
    <n v="2025"/>
    <s v="INV13222"/>
    <n v="9"/>
    <n v="2025"/>
    <x v="0"/>
    <s v="Mill-Right Mine Services Inc."/>
    <s v="USD"/>
    <n v="2724.7250700423742"/>
    <n v="1984.85"/>
    <x v="0"/>
    <n v="168"/>
    <n v="1816.85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m/>
    <m/>
    <m/>
    <m/>
    <m/>
    <s v=""/>
    <s v=""/>
    <s v=""/>
    <s v=""/>
  </r>
  <r>
    <n v="1"/>
    <s v="SO17555"/>
    <m/>
    <x v="2"/>
    <x v="0"/>
    <m/>
    <s v="Marlen Martinez"/>
    <n v="7"/>
    <n v="2025"/>
    <s v="INV13242"/>
    <n v="10"/>
    <n v="2025"/>
    <x v="2"/>
    <s v="Covia Corp - Junction City"/>
    <s v="USD"/>
    <n v="8294.6309971653172"/>
    <n v="6094.44"/>
    <x v="0"/>
    <n v="498.44"/>
    <n v="5596"/>
    <m/>
    <x v="0"/>
    <m/>
    <m/>
    <s v=""/>
    <s v=""/>
    <s v=""/>
    <s v=""/>
    <s v=""/>
    <s v=""/>
    <s v=""/>
    <s v=""/>
    <s v="[W-RSL30147/A05] Impeller, 300 RSL, High Chrome, 5-Vane"/>
    <m/>
    <m/>
    <m/>
    <m/>
    <m/>
    <s v=""/>
    <s v=""/>
    <s v=""/>
    <s v=""/>
  </r>
  <r>
    <n v="1"/>
    <s v="SO17558"/>
    <m/>
    <x v="0"/>
    <x v="0"/>
    <m/>
    <s v="Amanda Qiao"/>
    <n v="7"/>
    <n v="2025"/>
    <s v="INV13674"/>
    <s v=""/>
    <s v=""/>
    <x v="0"/>
    <s v="Adriatic Metals plc - Eastern Mining d.o.o."/>
    <s v="USD"/>
    <n v="49612.772467809154"/>
    <n v="3604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560"/>
    <m/>
    <x v="4"/>
    <x v="0"/>
    <m/>
    <s v="Ian Trottier"/>
    <n v="7"/>
    <n v="2025"/>
    <s v="INV13296"/>
    <n v="10"/>
    <n v="2025"/>
    <x v="2"/>
    <s v="Wajax Limited - Noranda, Wajax Limited - Noranda"/>
    <s v="CAD"/>
    <n v="2582.38"/>
    <n v="1876.2198693974844"/>
    <x v="0"/>
    <n v="0"/>
    <n v="1876.2198693974844"/>
    <m/>
    <x v="1"/>
    <m/>
    <m/>
    <s v=""/>
    <n v="5.0000000000000001E-3"/>
    <s v=""/>
    <s v=""/>
    <s v=""/>
    <n v="9.3810993469874226"/>
    <s v=""/>
    <s v=""/>
    <s v="[AC-98-231-116-501] Gland Side Liner, 5x4-14 SRL-C, Natural Rubber"/>
    <m/>
    <m/>
    <m/>
    <m/>
    <m/>
    <s v=""/>
    <n v="9.3810993469874226"/>
    <s v=""/>
    <s v=""/>
  </r>
  <r>
    <n v="1"/>
    <s v="SO17562"/>
    <m/>
    <x v="0"/>
    <x v="0"/>
    <m/>
    <s v="Alexis Gil Lamadrid"/>
    <n v="7"/>
    <n v="2025"/>
    <s v="INV13274"/>
    <s v=""/>
    <s v=""/>
    <x v="0"/>
    <s v="Motion Industries Inc. (U.S.) - Clewiston"/>
    <s v="USD"/>
    <n v="8131.744589596985"/>
    <n v="5974.76"/>
    <x v="1"/>
    <n v="0"/>
    <n v="0"/>
    <m/>
    <x v="0"/>
    <m/>
    <m/>
    <s v=""/>
    <s v=""/>
    <s v=""/>
    <s v=""/>
    <s v=""/>
    <s v=""/>
    <s v=""/>
    <s v=""/>
    <s v="[G-0C03124A 1203] Impeller 4-Vane Open 316SS"/>
    <m/>
    <m/>
    <m/>
    <m/>
    <m/>
    <s v=""/>
    <s v=""/>
    <s v=""/>
    <s v=""/>
  </r>
  <r>
    <n v="1"/>
    <s v="SO17563"/>
    <m/>
    <x v="5"/>
    <x v="0"/>
    <m/>
    <s v="Wilka Nuñez"/>
    <n v="7"/>
    <n v="2025"/>
    <s v="INV13263"/>
    <n v="9"/>
    <n v="2025"/>
    <x v="1"/>
    <s v="Motion Industries Inc. (Canada) - Prince George"/>
    <s v="CAD"/>
    <n v="2609.71"/>
    <n v="1884.8636441569529"/>
    <x v="0"/>
    <n v="0"/>
    <n v="1884.8636441569529"/>
    <m/>
    <x v="1"/>
    <m/>
    <m/>
    <s v=""/>
    <n v="5.0000000000000001E-3"/>
    <s v=""/>
    <s v=""/>
    <s v=""/>
    <n v="9.4243182207847642"/>
    <s v=""/>
    <s v=""/>
    <s v="[W-E4041M/A05] Frame Plate Liner Insert, 6/4 D or E-AH, High Chrome"/>
    <m/>
    <m/>
    <n v="2503"/>
    <m/>
    <m/>
    <s v=""/>
    <n v="0"/>
    <s v=""/>
    <s v=""/>
  </r>
  <r>
    <n v="2"/>
    <s v="SO17564"/>
    <m/>
    <x v="4"/>
    <x v="0"/>
    <m/>
    <s v="Alexis Gil Lamadrid"/>
    <n v="7"/>
    <n v="2025"/>
    <s v="INV13262"/>
    <n v="9"/>
    <n v="2025"/>
    <x v="2"/>
    <s v="Motion Industries Inc. (Canada) - Prince George"/>
    <s v="CAD"/>
    <n v="15140.5"/>
    <n v="11039.509681386935"/>
    <x v="0"/>
    <n v="0"/>
    <n v="11039.509681386935"/>
    <m/>
    <x v="1"/>
    <m/>
    <m/>
    <s v=""/>
    <n v="5.0000000000000001E-3"/>
    <s v=""/>
    <s v=""/>
    <s v=""/>
    <n v="55.197548406934679"/>
    <s v=""/>
    <s v=""/>
    <s v="[W-E111] Premium Slurry Packing (Single Piece), 6/4 or 8/6 E, R-AH, Kevlar Fiber w/Silicon Core"/>
    <m/>
    <m/>
    <m/>
    <m/>
    <m/>
    <s v=""/>
    <n v="55.197548406934679"/>
    <s v=""/>
    <s v=""/>
  </r>
  <r>
    <n v="2"/>
    <s v="SO17564"/>
    <m/>
    <x v="4"/>
    <x v="0"/>
    <m/>
    <n v="0"/>
    <n v="7"/>
    <n v="2025"/>
    <s v="INV13495"/>
    <n v="10"/>
    <n v="2025"/>
    <x v="2"/>
    <s v="Motion Industries Inc. (Canada) - Prince George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D111] Premium Slurry Packing (Single Piece), 4/3 or 6/4 DH, Kevlar Fiber w/Silicon Core"/>
    <m/>
    <m/>
    <m/>
    <m/>
    <m/>
    <s v=""/>
    <n v="0"/>
    <s v=""/>
    <s v=""/>
  </r>
  <r>
    <n v="1"/>
    <s v="SO17565"/>
    <m/>
    <x v="4"/>
    <x v="0"/>
    <m/>
    <s v="Alexis Gil Lamadrid"/>
    <n v="7"/>
    <n v="2025"/>
    <s v="INV13226"/>
    <n v="10"/>
    <n v="2025"/>
    <x v="2"/>
    <s v="Hyperflo"/>
    <s v="CAD"/>
    <n v="83.62"/>
    <n v="61.005628627892143"/>
    <x v="0"/>
    <n v="0"/>
    <n v="61.005628627892143"/>
    <m/>
    <x v="1"/>
    <m/>
    <m/>
    <s v=""/>
    <n v="5.0000000000000001E-3"/>
    <s v=""/>
    <s v=""/>
    <s v=""/>
    <n v="0.30502814313946075"/>
    <s v=""/>
    <s v=""/>
    <s v="[AC-98-332-013-820] Fastener Kit (Suction Side Liner), 8x8/10x10/14x12 SRL-XT"/>
    <n v="0.30502814313946075"/>
    <m/>
    <m/>
    <m/>
    <m/>
    <s v=""/>
    <n v="0.30502814313946075"/>
    <s v=""/>
    <s v=""/>
  </r>
  <r>
    <n v="1"/>
    <s v="SO17566"/>
    <m/>
    <x v="5"/>
    <x v="0"/>
    <m/>
    <s v="Wilka Nuñez"/>
    <n v="7"/>
    <n v="2025"/>
    <s v="INV13224"/>
    <n v="8"/>
    <n v="2025"/>
    <x v="1"/>
    <s v="Hyperflo"/>
    <s v="CAD"/>
    <n v="102.81"/>
    <n v="75.539150157991301"/>
    <x v="0"/>
    <n v="0"/>
    <n v="75.539150157991301"/>
    <m/>
    <x v="1"/>
    <m/>
    <m/>
    <s v=""/>
    <n v="5.0000000000000001E-3"/>
    <s v=""/>
    <s v=""/>
    <s v=""/>
    <n v="0.37769575078995654"/>
    <s v=""/>
    <s v=""/>
    <s v="[AC-98-332-015-816] Fastener Kit (Suction Side Plate), 12x10-25 SRL-C"/>
    <n v="0.37769575078995654"/>
    <m/>
    <n v="2503"/>
    <m/>
    <m/>
    <s v=""/>
    <n v="0"/>
    <s v=""/>
    <s v=""/>
  </r>
  <r>
    <n v="1"/>
    <s v="SO17567"/>
    <m/>
    <x v="1"/>
    <x v="0"/>
    <m/>
    <s v="Ian Trottier"/>
    <n v="7"/>
    <n v="2025"/>
    <s v="INV13244"/>
    <n v="9"/>
    <n v="2025"/>
    <x v="1"/>
    <s v="Les Pompes du St-Laurent Inc."/>
    <s v="CAD"/>
    <n v="5764.56"/>
    <n v="4183.5011965807353"/>
    <x v="0"/>
    <n v="0"/>
    <n v="4183.5011965807353"/>
    <m/>
    <x v="2"/>
    <m/>
    <m/>
    <s v=""/>
    <n v="0.02"/>
    <s v=""/>
    <s v=""/>
    <s v=""/>
    <n v="83.670023931614708"/>
    <s v=""/>
    <s v=""/>
    <s v="[AC-98-331-606-808] Suction Side Plate, 8x4(5)(6)-17, PWO, CD4MCu"/>
    <m/>
    <m/>
    <m/>
    <m/>
    <m/>
    <s v=""/>
    <n v="83.670023931614708"/>
    <s v=""/>
    <s v=""/>
  </r>
  <r>
    <n v="1"/>
    <s v="SO17568"/>
    <m/>
    <x v="1"/>
    <x v="0"/>
    <m/>
    <s v="Ian Trottier"/>
    <n v="7"/>
    <n v="2025"/>
    <s v="INV13236"/>
    <n v="9"/>
    <n v="2025"/>
    <x v="1"/>
    <s v="Canadian Industrial Pumps Ltd, Canadian Industrial Pumps Ltd"/>
    <s v="CAD"/>
    <n v="1389.92"/>
    <n v="1013.0886723689759"/>
    <x v="0"/>
    <n v="0"/>
    <n v="1013.0886723689759"/>
    <m/>
    <x v="1"/>
    <m/>
    <m/>
    <s v=""/>
    <n v="5.0000000000000001E-3"/>
    <s v=""/>
    <s v=""/>
    <s v=""/>
    <n v="5.0654433618448795"/>
    <s v=""/>
    <s v=""/>
    <s v="[AC-98-236-104-004] Shaft Sleeve, 8x6-18 &amp; 10x8-21 SRL-C, 420SS Heat Treated, Hardened"/>
    <m/>
    <m/>
    <m/>
    <m/>
    <m/>
    <s v=""/>
    <n v="5.0654433618448795"/>
    <s v=""/>
    <s v=""/>
  </r>
  <r>
    <n v="1"/>
    <s v="SO17570"/>
    <m/>
    <x v="0"/>
    <x v="0"/>
    <m/>
    <s v="Alexis Gil Lamadrid"/>
    <n v="7"/>
    <n v="2025"/>
    <s v="INV13506"/>
    <n v="12"/>
    <n v="2025"/>
    <x v="0"/>
    <s v="Resolute Forest Products - Fibrek"/>
    <s v="CAD"/>
    <n v="9404"/>
    <n v="6909.5435082749755"/>
    <x v="0"/>
    <n v="0"/>
    <n v="6909.5435082749755"/>
    <m/>
    <x v="0"/>
    <m/>
    <m/>
    <s v=""/>
    <s v=""/>
    <s v=""/>
    <s v=""/>
    <s v=""/>
    <s v=""/>
    <s v=""/>
    <s v=""/>
    <s v="[SA-573563PS-329] Casing Cover, Sala STHM 5x4, 329SS"/>
    <m/>
    <m/>
    <m/>
    <m/>
    <m/>
    <s v=""/>
    <s v=""/>
    <s v=""/>
    <s v=""/>
  </r>
  <r>
    <n v="2"/>
    <s v="SO17571"/>
    <m/>
    <x v="0"/>
    <x v="0"/>
    <m/>
    <s v="Ian Trottier"/>
    <n v="7"/>
    <n v="2025"/>
    <s v="INV13232"/>
    <n v="9"/>
    <n v="2025"/>
    <x v="0"/>
    <s v="Grant Aggregate"/>
    <s v="CAD"/>
    <n v="2476.7399999999998"/>
    <n v="1815.2601237334939"/>
    <x v="0"/>
    <n v="0"/>
    <n v="1815.2601237334939"/>
    <m/>
    <x v="0"/>
    <m/>
    <m/>
    <s v=""/>
    <s v=""/>
    <s v=""/>
    <s v=""/>
    <s v=""/>
    <s v=""/>
    <s v=""/>
    <s v=""/>
    <s v="[AC-98-236-104-004] Shaft Sleeve, 8x6-18 &amp; 10x8-21 SRL-C, 420SS Heat Treated, Hardened"/>
    <m/>
    <m/>
    <m/>
    <m/>
    <m/>
    <s v=""/>
    <s v=""/>
    <s v=""/>
    <s v=""/>
  </r>
  <r>
    <n v="2"/>
    <s v="SO17571"/>
    <m/>
    <x v="0"/>
    <x v="0"/>
    <m/>
    <n v="0"/>
    <n v="7"/>
    <n v="2025"/>
    <s v="(* 78449)"/>
    <s v=""/>
    <s v=""/>
    <x v="0"/>
    <s v="Grant Aggregate"/>
    <s v="CA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573"/>
    <m/>
    <x v="4"/>
    <x v="0"/>
    <m/>
    <s v="Ian Trottier"/>
    <n v="7"/>
    <n v="2025"/>
    <s v="INV13431"/>
    <n v="11"/>
    <n v="2025"/>
    <x v="2"/>
    <s v="Resolute Forest Products - Saint-Felicien"/>
    <s v="CAD"/>
    <n v="1434.48"/>
    <n v="1053.9772407220639"/>
    <x v="0"/>
    <n v="0"/>
    <n v="1053.9772407220639"/>
    <m/>
    <x v="1"/>
    <m/>
    <m/>
    <s v=""/>
    <n v="5.0000000000000001E-3"/>
    <s v=""/>
    <s v=""/>
    <s v=""/>
    <n v="5.2698862036103193"/>
    <s v=""/>
    <s v=""/>
    <s v="[52-321-237-100] Impeller, 2x1-10, Allis-Chalmers CSO, 317SS"/>
    <m/>
    <m/>
    <m/>
    <m/>
    <m/>
    <s v=""/>
    <n v="5.2698862036103193"/>
    <s v=""/>
    <s v=""/>
  </r>
  <r>
    <n v="1"/>
    <s v="SO17574"/>
    <m/>
    <x v="0"/>
    <x v="0"/>
    <m/>
    <s v="Ian Trottier"/>
    <n v="7"/>
    <n v="2025"/>
    <s v="INV13551"/>
    <n v="9"/>
    <n v="2025"/>
    <x v="0"/>
    <s v="Irathane Systems Inc, Irathane Systems LLC"/>
    <s v="USD"/>
    <n v="2377.8706255453958"/>
    <n v="1719.88"/>
    <x v="0"/>
    <n v="0"/>
    <n v="1719.88"/>
    <m/>
    <x v="0"/>
    <m/>
    <m/>
    <s v=""/>
    <s v=""/>
    <s v=""/>
    <s v=""/>
    <s v=""/>
    <s v=""/>
    <s v=""/>
    <s v=""/>
    <s v="[SA-57396] Casing, Sala VT40, Natural Rubber"/>
    <m/>
    <m/>
    <m/>
    <m/>
    <m/>
    <s v=""/>
    <s v=""/>
    <s v=""/>
    <s v=""/>
  </r>
  <r>
    <n v="1"/>
    <s v="SO17575"/>
    <m/>
    <x v="0"/>
    <x v="0"/>
    <m/>
    <s v="Amanda Qiao"/>
    <n v="7"/>
    <n v="2025"/>
    <s v="INV13433"/>
    <n v="11"/>
    <n v="2025"/>
    <x v="0"/>
    <s v="AGM Inc."/>
    <s v="USD"/>
    <n v="76679.635983130938"/>
    <n v="55662.04"/>
    <x v="0"/>
    <n v="0"/>
    <n v="55662.04"/>
    <m/>
    <x v="0"/>
    <m/>
    <m/>
    <s v=""/>
    <s v=""/>
    <s v=""/>
    <s v=""/>
    <s v=""/>
    <s v=""/>
    <s v=""/>
    <s v=""/>
    <s v="[D-III 1.5x1-82 G1 CD4] Pump, 1.5x1-82, D-III Mark 3 Group 1, All CD4MCu"/>
    <m/>
    <m/>
    <m/>
    <m/>
    <m/>
    <s v=""/>
    <s v=""/>
    <s v=""/>
    <s v=""/>
  </r>
  <r>
    <n v="1"/>
    <s v="SO17576"/>
    <m/>
    <x v="5"/>
    <x v="0"/>
    <m/>
    <s v="Wilka Nuñez"/>
    <n v="7"/>
    <n v="2025"/>
    <s v="INV13328"/>
    <n v="9"/>
    <n v="2025"/>
    <x v="1"/>
    <s v="Sling-Choker Manufacturing - Timmins"/>
    <s v="CAD"/>
    <n v="373.88"/>
    <n v="274.02531354178421"/>
    <x v="0"/>
    <n v="0"/>
    <n v="274.02531354178421"/>
    <m/>
    <x v="1"/>
    <m/>
    <m/>
    <s v=""/>
    <n v="5.0000000000000001E-3"/>
    <s v=""/>
    <s v=""/>
    <s v=""/>
    <n v="1.3701265677089212"/>
    <s v=""/>
    <s v=""/>
    <s v="[D-WE1J-4] Shaft Sleeve, Goulds JC Frame 1J, 420SS Heat Treated, Hardened"/>
    <m/>
    <m/>
    <n v="2503"/>
    <m/>
    <m/>
    <s v=""/>
    <n v="0"/>
    <s v=""/>
    <s v=""/>
  </r>
  <r>
    <n v="2"/>
    <s v="SO17578"/>
    <m/>
    <x v="0"/>
    <x v="0"/>
    <m/>
    <s v="Alexis Gil Lamadrid"/>
    <n v="7"/>
    <n v="2025"/>
    <s v="INV13314"/>
    <n v="9"/>
    <n v="2025"/>
    <x v="0"/>
    <s v="Wild Rows Pump &amp; Compression LTD."/>
    <s v="CAD"/>
    <n v="1146.8699999999999"/>
    <n v="840.56759211957319"/>
    <x v="1"/>
    <n v="0"/>
    <n v="0"/>
    <m/>
    <x v="0"/>
    <m/>
    <m/>
    <s v=""/>
    <s v=""/>
    <s v=""/>
    <s v=""/>
    <s v=""/>
    <s v=""/>
    <s v=""/>
    <s v=""/>
    <s v="[W-C2036M/U38] Frame Plate Liner, Urethane"/>
    <m/>
    <m/>
    <m/>
    <m/>
    <m/>
    <s v=""/>
    <s v=""/>
    <s v=""/>
    <s v=""/>
  </r>
  <r>
    <n v="2"/>
    <s v="SO17578"/>
    <m/>
    <x v="0"/>
    <x v="0"/>
    <m/>
    <n v="0"/>
    <n v="7"/>
    <n v="2025"/>
    <s v="INV13265"/>
    <s v=""/>
    <s v=""/>
    <x v="0"/>
    <s v="Wild Rows Pump &amp; Compression LTD."/>
    <s v="CAD"/>
    <n v="0"/>
    <n v="0"/>
    <x v="1"/>
    <n v="0"/>
    <n v="0"/>
    <m/>
    <x v="0"/>
    <m/>
    <m/>
    <s v=""/>
    <s v=""/>
    <s v=""/>
    <s v=""/>
    <s v=""/>
    <s v=""/>
    <s v=""/>
    <s v=""/>
    <s v="[W-C2060/S01] Intake Joint Ring, 3/2 C-AH, EPDM"/>
    <m/>
    <m/>
    <m/>
    <m/>
    <m/>
    <s v=""/>
    <s v=""/>
    <s v=""/>
    <s v=""/>
  </r>
  <r>
    <n v="0"/>
    <s v="SO17581"/>
    <m/>
    <x v="0"/>
    <x v="0"/>
    <m/>
    <s v="Amanda Qiao"/>
    <n v="7"/>
    <n v="2025"/>
    <s v="No Inv"/>
    <s v=""/>
    <s v=""/>
    <x v="0"/>
    <s v="AGM Inc."/>
    <s v="USD"/>
    <n v="33081.124301527161"/>
    <n v="2391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588"/>
    <m/>
    <x v="4"/>
    <x v="0"/>
    <m/>
    <s v="Alexis Gil Lamadrid"/>
    <n v="7"/>
    <n v="2025"/>
    <s v="INV13427"/>
    <n v="11"/>
    <n v="2025"/>
    <x v="2"/>
    <s v="Resolute Forest Products - Dolbeau"/>
    <s v="CAD"/>
    <n v="7695.82"/>
    <n v="5609.3502263372065"/>
    <x v="0"/>
    <n v="0"/>
    <n v="5609.3502263372065"/>
    <m/>
    <x v="1"/>
    <m/>
    <m/>
    <s v=""/>
    <n v="5.0000000000000001E-3"/>
    <s v=""/>
    <s v=""/>
    <s v=""/>
    <n v="28.046751131686033"/>
    <s v=""/>
    <s v=""/>
    <s v="[WO-2114552-316] Impeller, Worthington 6-FRBH-223, 316SS"/>
    <m/>
    <m/>
    <m/>
    <m/>
    <m/>
    <s v=""/>
    <n v="28.046751131686033"/>
    <s v=""/>
    <s v=""/>
  </r>
  <r>
    <n v="1"/>
    <s v="SO17589"/>
    <m/>
    <x v="0"/>
    <x v="0"/>
    <m/>
    <s v="Yannett Yeomans"/>
    <n v="7"/>
    <n v="2025"/>
    <s v="INV13370"/>
    <s v=""/>
    <s v=""/>
    <x v="0"/>
    <s v="Dynapro Pumps México S de RL de CV"/>
    <s v="USD"/>
    <n v="489.96579816677399"/>
    <n v="360"/>
    <x v="1"/>
    <n v="0"/>
    <n v="0"/>
    <m/>
    <x v="0"/>
    <m/>
    <m/>
    <s v=""/>
    <s v=""/>
    <s v=""/>
    <s v=""/>
    <s v=""/>
    <s v=""/>
    <s v=""/>
    <s v=""/>
    <s v="[W-E090SQ/S10] Lip Seal, 8/6 E-AH, Nitrile"/>
    <m/>
    <m/>
    <m/>
    <m/>
    <m/>
    <s v=""/>
    <s v=""/>
    <s v=""/>
    <s v=""/>
  </r>
  <r>
    <n v="1"/>
    <s v="SO17590"/>
    <m/>
    <x v="0"/>
    <x v="0"/>
    <m/>
    <s v="Yannett Yeomans"/>
    <n v="7"/>
    <n v="2025"/>
    <s v="INV13470"/>
    <s v=""/>
    <s v=""/>
    <x v="0"/>
    <s v="Dynapro Pumps México S de RL de CV"/>
    <s v="USD"/>
    <n v="13885.086313603968"/>
    <n v="10202"/>
    <x v="1"/>
    <n v="0"/>
    <n v="0"/>
    <m/>
    <x v="0"/>
    <m/>
    <m/>
    <s v=""/>
    <s v=""/>
    <s v=""/>
    <s v=""/>
    <s v=""/>
    <s v=""/>
    <s v=""/>
    <s v=""/>
    <s v="[SH675] Submersible Sewage Pump D-SS, SH675"/>
    <m/>
    <m/>
    <m/>
    <m/>
    <m/>
    <s v=""/>
    <s v=""/>
    <s v=""/>
    <s v=""/>
  </r>
  <r>
    <n v="1"/>
    <s v="SO17593"/>
    <m/>
    <x v="5"/>
    <x v="0"/>
    <m/>
    <s v="Wilka Nuñez"/>
    <n v="7"/>
    <n v="2025"/>
    <s v="INV13588"/>
    <n v="9"/>
    <n v="2025"/>
    <x v="2"/>
    <s v="CK Loosbrock USA LLC"/>
    <s v="USD"/>
    <n v="6099.4702212788197"/>
    <n v="4420.59"/>
    <x v="0"/>
    <n v="0"/>
    <n v="4420.59"/>
    <m/>
    <x v="1"/>
    <m/>
    <m/>
    <s v=""/>
    <n v="5.0000000000000001E-3"/>
    <s v=""/>
    <s v=""/>
    <s v=""/>
    <n v="22.10295"/>
    <s v=""/>
    <s v=""/>
    <s v="[GA-16983] Impeller, 3x4 G-Series Vacseal Horizontal, Natural Rubber"/>
    <m/>
    <m/>
    <m/>
    <m/>
    <m/>
    <s v=""/>
    <n v="22.10295"/>
    <s v=""/>
    <s v=""/>
  </r>
  <r>
    <n v="1"/>
    <s v="SO17595"/>
    <m/>
    <x v="0"/>
    <x v="0"/>
    <m/>
    <s v="Marlen Martinez"/>
    <n v="7"/>
    <n v="2025"/>
    <s v="INV13241"/>
    <n v="10"/>
    <n v="2025"/>
    <x v="2"/>
    <s v="Covia Corp - Junction City"/>
    <s v="USD"/>
    <n v="2679.8246370055667"/>
    <n v="1956.36"/>
    <x v="0"/>
    <n v="0"/>
    <n v="1956.36"/>
    <m/>
    <x v="0"/>
    <m/>
    <m/>
    <s v=""/>
    <s v=""/>
    <s v=""/>
    <s v=""/>
    <s v=""/>
    <s v=""/>
    <s v=""/>
    <s v=""/>
    <s v="[W-R063/C23] Lantern Ring, 300 RSL, 316SS"/>
    <m/>
    <m/>
    <m/>
    <m/>
    <m/>
    <s v=""/>
    <s v=""/>
    <s v=""/>
    <s v=""/>
  </r>
  <r>
    <n v="1"/>
    <s v="SO17596"/>
    <m/>
    <x v="4"/>
    <x v="0"/>
    <m/>
    <s v="Alexis Gil Lamadrid"/>
    <n v="7"/>
    <n v="2025"/>
    <s v="INV13246"/>
    <n v="9"/>
    <n v="2025"/>
    <x v="1"/>
    <s v="Wajax Limited - Noranda, Wajax Limited - Noranda"/>
    <s v="CAD"/>
    <n v="262.76"/>
    <n v="191.52122392056518"/>
    <x v="0"/>
    <n v="0"/>
    <n v="191.52122392056518"/>
    <m/>
    <x v="1"/>
    <m/>
    <m/>
    <s v=""/>
    <n v="5.0000000000000001E-3"/>
    <s v=""/>
    <s v=""/>
    <s v=""/>
    <n v="0.95760611960282593"/>
    <s v=""/>
    <s v=""/>
    <s v="[AC-98-233-700-002] Bearing Cover Gasket (Inboard &amp; Outboard), 5x4/5x5/6x6 SRL &amp; SRL-C"/>
    <m/>
    <m/>
    <n v="2503"/>
    <m/>
    <m/>
    <s v=""/>
    <n v="0"/>
    <s v=""/>
    <s v=""/>
  </r>
  <r>
    <n v="2"/>
    <s v="SO17597"/>
    <m/>
    <x v="4"/>
    <x v="0"/>
    <m/>
    <s v="Alexis Gil Lamadrid"/>
    <n v="7"/>
    <n v="2025"/>
    <s v="INV13313"/>
    <n v="9"/>
    <n v="2025"/>
    <x v="1"/>
    <s v="Wild Rows Pump &amp; Compression LTD., Wild Rows Pump &amp; Compression LTD."/>
    <s v="CAD"/>
    <n v="1966.94"/>
    <n v="1433.6685803711248"/>
    <x v="0"/>
    <n v="0"/>
    <n v="1433.6685803711248"/>
    <m/>
    <x v="1"/>
    <m/>
    <m/>
    <s v=""/>
    <n v="5.0000000000000001E-3"/>
    <s v=""/>
    <s v=""/>
    <s v=""/>
    <n v="7.1683429018556239"/>
    <s v=""/>
    <s v=""/>
    <s v="[W-C2036M/U38] Frame Plate Liner, 3/2C-AH, Urethane"/>
    <m/>
    <m/>
    <n v="2503"/>
    <m/>
    <m/>
    <s v=""/>
    <n v="0"/>
    <s v=""/>
    <s v=""/>
  </r>
  <r>
    <n v="2"/>
    <s v="SO17597"/>
    <m/>
    <x v="4"/>
    <x v="0"/>
    <m/>
    <n v="0"/>
    <n v="7"/>
    <n v="2025"/>
    <s v="INV13264"/>
    <n v="8"/>
    <n v="2025"/>
    <x v="1"/>
    <s v="Wild Rows Pump &amp; Compression LTD., Wild Rows Pump &amp; Compression LTD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W-C2147/A61] Impeller, 3/2 C-AH, Hyperchrome"/>
    <m/>
    <m/>
    <n v="2503"/>
    <m/>
    <m/>
    <s v=""/>
    <n v="0"/>
    <s v=""/>
    <s v=""/>
  </r>
  <r>
    <n v="1"/>
    <s v="SO17598"/>
    <m/>
    <x v="5"/>
    <x v="0"/>
    <m/>
    <s v="Wilka Nuñez"/>
    <n v="7"/>
    <n v="2025"/>
    <s v="INV13327"/>
    <n v="9"/>
    <n v="2025"/>
    <x v="1"/>
    <s v="Sling-Choker Manufacturing - Timmins"/>
    <s v="CAD"/>
    <n v="4984.1899999999996"/>
    <n v="3636.2550125670141"/>
    <x v="0"/>
    <n v="0"/>
    <n v="3636.2550125670141"/>
    <m/>
    <x v="1"/>
    <m/>
    <m/>
    <s v=""/>
    <n v="5.0000000000000001E-3"/>
    <s v=""/>
    <s v=""/>
    <s v=""/>
    <n v="18.18127506283507"/>
    <s v=""/>
    <s v=""/>
    <s v="[G-P9610M0R000050] Power End, 3996 MT, 10 Inch, Grease Lube, 4140 Shaft"/>
    <m/>
    <m/>
    <n v="2503"/>
    <m/>
    <m/>
    <s v=""/>
    <n v="0"/>
    <s v=""/>
    <s v=""/>
  </r>
  <r>
    <n v="2"/>
    <s v="SO17603"/>
    <m/>
    <x v="0"/>
    <x v="0"/>
    <m/>
    <s v="Ian Trottier"/>
    <n v="7"/>
    <n v="2025"/>
    <s v="INV13670"/>
    <n v="12"/>
    <n v="2025"/>
    <x v="0"/>
    <s v="Middle Georgia Fluid Sealing LLC"/>
    <s v="USD"/>
    <n v="26661.257599929657"/>
    <n v="19432.93"/>
    <x v="0"/>
    <n v="0"/>
    <n v="19432.93"/>
    <m/>
    <x v="0"/>
    <m/>
    <m/>
    <s v=""/>
    <s v=""/>
    <s v=""/>
    <s v=""/>
    <s v=""/>
    <s v=""/>
    <s v=""/>
    <s v=""/>
    <s v="[D-2J15214-2] Casing, 1.5x2-14, Goulds JC, Frame 2J, High Chrome, OEM# 055892G0001228"/>
    <m/>
    <m/>
    <m/>
    <m/>
    <m/>
    <s v=""/>
    <s v=""/>
    <s v=""/>
    <s v=""/>
  </r>
  <r>
    <n v="2"/>
    <s v="SO17603"/>
    <m/>
    <x v="0"/>
    <x v="0"/>
    <m/>
    <n v="0"/>
    <n v="7"/>
    <n v="2025"/>
    <s v="INV13254"/>
    <n v="9"/>
    <n v="2025"/>
    <x v="0"/>
    <s v="Middle Georgia Fluid Sealing LLC"/>
    <s v="USD"/>
    <n v="0"/>
    <n v="0"/>
    <x v="1"/>
    <n v="594"/>
    <n v="0"/>
    <m/>
    <x v="0"/>
    <m/>
    <m/>
    <s v=""/>
    <s v=""/>
    <s v=""/>
    <s v=""/>
    <s v=""/>
    <s v=""/>
    <s v=""/>
    <s v=""/>
    <s v="[D-WE2J-8] Stuffing Box Cover, Goulds JC, Frame 2J, High Chrome, OEM# 048877G0001228"/>
    <m/>
    <m/>
    <m/>
    <m/>
    <m/>
    <s v=""/>
    <s v=""/>
    <s v=""/>
    <s v=""/>
  </r>
  <r>
    <n v="1"/>
    <s v="SO17604"/>
    <m/>
    <x v="0"/>
    <x v="0"/>
    <m/>
    <s v="Ian Trottier"/>
    <n v="7"/>
    <n v="2025"/>
    <s v="INV13437"/>
    <s v=""/>
    <s v=""/>
    <x v="0"/>
    <s v="Wajax Limited - Noranda"/>
    <s v="CAD"/>
    <n v="1609.78"/>
    <n v="1165.156464342496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608"/>
    <m/>
    <x v="5"/>
    <x v="0"/>
    <m/>
    <s v="Wilka Nuñez"/>
    <n v="7"/>
    <n v="2025"/>
    <s v="INV13255"/>
    <n v="9"/>
    <n v="2025"/>
    <x v="1"/>
    <s v="Hyperflo"/>
    <s v="CAD"/>
    <n v="124.8"/>
    <n v="90.330061716472827"/>
    <x v="0"/>
    <n v="0"/>
    <n v="90.330061716472827"/>
    <m/>
    <x v="1"/>
    <m/>
    <m/>
    <s v=""/>
    <n v="5.0000000000000001E-3"/>
    <s v=""/>
    <s v=""/>
    <s v=""/>
    <n v="0.45165030858236416"/>
    <s v=""/>
    <s v=""/>
    <s v="[AC-98-233-700-001] Bearing Cover Gasket (Inboard &amp; Outboard), 8x6-18 &amp; 10x8-21 SRL-C"/>
    <m/>
    <m/>
    <n v="2503"/>
    <m/>
    <m/>
    <s v=""/>
    <n v="0"/>
    <s v=""/>
    <s v=""/>
  </r>
  <r>
    <n v="1"/>
    <s v="SO17610"/>
    <m/>
    <x v="4"/>
    <x v="0"/>
    <m/>
    <s v="Ian Trottier"/>
    <n v="7"/>
    <n v="2025"/>
    <s v="INV13281"/>
    <n v="9"/>
    <n v="2025"/>
    <x v="1"/>
    <s v="Hyperflo, Hyperflo"/>
    <s v="CAD"/>
    <n v="124.22"/>
    <n v="89.910258545034097"/>
    <x v="0"/>
    <n v="0"/>
    <n v="89.910258545034097"/>
    <m/>
    <x v="1"/>
    <m/>
    <m/>
    <s v=""/>
    <n v="5.0000000000000001E-3"/>
    <s v=""/>
    <s v=""/>
    <s v=""/>
    <n v="0.44955129272517047"/>
    <s v=""/>
    <s v=""/>
    <s v="[AC-98-332-013-813] Fastener Kit (Gland Side Liner), 6x6-15 SRL"/>
    <m/>
    <m/>
    <n v="2503"/>
    <m/>
    <m/>
    <s v=""/>
    <n v="0"/>
    <s v=""/>
    <s v=""/>
  </r>
  <r>
    <n v="1"/>
    <s v="SO17612"/>
    <m/>
    <x v="0"/>
    <x v="0"/>
    <m/>
    <s v="Carlos Leon"/>
    <n v="7"/>
    <n v="2025"/>
    <s v="INV13459"/>
    <s v=""/>
    <s v=""/>
    <x v="0"/>
    <s v="Dynapro Pumps México S de RL de CV"/>
    <s v="USD"/>
    <n v="803.81479454650798"/>
    <n v="581.79999999999995"/>
    <x v="1"/>
    <n v="0"/>
    <n v="0"/>
    <m/>
    <x v="0"/>
    <m/>
    <m/>
    <s v=""/>
    <s v=""/>
    <s v=""/>
    <s v=""/>
    <s v=""/>
    <s v=""/>
    <s v=""/>
    <s v=""/>
    <s v="[W-E4083/R55] Throatbush, 6/4 DH, Natural Rubber"/>
    <m/>
    <m/>
    <m/>
    <m/>
    <m/>
    <s v=""/>
    <s v=""/>
    <s v=""/>
    <s v=""/>
  </r>
  <r>
    <n v="1"/>
    <s v="SO17613"/>
    <m/>
    <x v="0"/>
    <x v="0"/>
    <m/>
    <s v="Carlos Leon"/>
    <n v="7"/>
    <n v="2025"/>
    <s v="INV13357"/>
    <s v=""/>
    <s v=""/>
    <x v="0"/>
    <s v="Dynapro Pumps México S de RL de CV"/>
    <s v="USD"/>
    <n v="1475.5486431345319"/>
    <n v="1068"/>
    <x v="1"/>
    <n v="0"/>
    <n v="0"/>
    <m/>
    <x v="0"/>
    <m/>
    <m/>
    <s v=""/>
    <s v=""/>
    <s v=""/>
    <s v=""/>
    <s v=""/>
    <s v=""/>
    <s v=""/>
    <s v=""/>
    <s v="[W-SPR10206A/R55] Impeller, 100RV-SP, 5-Vane, Natural Rubber"/>
    <m/>
    <m/>
    <m/>
    <m/>
    <m/>
    <s v=""/>
    <s v=""/>
    <s v=""/>
    <s v=""/>
  </r>
  <r>
    <n v="1"/>
    <s v="SO17615"/>
    <m/>
    <x v="5"/>
    <x v="0"/>
    <m/>
    <s v="Wilka Nuñez"/>
    <n v="7"/>
    <n v="2025"/>
    <s v="INV13363"/>
    <n v="10"/>
    <n v="2025"/>
    <x v="2"/>
    <s v="Tech-Flow"/>
    <s v="USD"/>
    <n v="6811.2872758925487"/>
    <n v="4930"/>
    <x v="0"/>
    <n v="0"/>
    <n v="4930"/>
    <m/>
    <x v="1"/>
    <m/>
    <m/>
    <s v=""/>
    <n v="5.0000000000000001E-3"/>
    <s v=""/>
    <s v=""/>
    <s v=""/>
    <n v="24.650000000000002"/>
    <s v=""/>
    <s v=""/>
    <s v="[SA-567243] Wear Disc, Sala 6x5 VSP-VF, High Chrome"/>
    <m/>
    <m/>
    <m/>
    <m/>
    <m/>
    <s v=""/>
    <n v="24.650000000000002"/>
    <s v=""/>
    <s v=""/>
  </r>
  <r>
    <n v="2"/>
    <s v="SO17621"/>
    <m/>
    <x v="0"/>
    <x v="0"/>
    <m/>
    <s v="Alexis Gil Lamadrid"/>
    <n v="8"/>
    <n v="2025"/>
    <s v="INV13392"/>
    <n v="10"/>
    <n v="2025"/>
    <x v="0"/>
    <s v="Canadian Industrial Pumps Ltd"/>
    <s v="CAD"/>
    <n v="7603.02"/>
    <n v="5506.5517257967967"/>
    <x v="1"/>
    <n v="0"/>
    <n v="0"/>
    <m/>
    <x v="0"/>
    <m/>
    <m/>
    <s v=""/>
    <s v=""/>
    <s v=""/>
    <s v=""/>
    <s v=""/>
    <s v=""/>
    <s v=""/>
    <s v=""/>
    <s v="[NSK-22318EAE4  or FAG 22318 EAS M C3  or SKF 22318CC/W33, AC-00-813-261-541] Roller Bearing (Outboard), 8x6-18 &amp; 10x8-21 SRL-C"/>
    <m/>
    <m/>
    <m/>
    <m/>
    <m/>
    <s v=""/>
    <s v=""/>
    <s v=""/>
    <s v=""/>
  </r>
  <r>
    <n v="2"/>
    <s v="SO17621"/>
    <m/>
    <x v="0"/>
    <x v="0"/>
    <m/>
    <n v="0"/>
    <n v="8"/>
    <n v="2025"/>
    <s v="Borrador de nota de crédito RINV/2025/00003"/>
    <s v=""/>
    <s v=""/>
    <x v="0"/>
    <s v="Canadian Industrial Pumps Ltd"/>
    <s v="CA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3"/>
    <s v="SO17625"/>
    <m/>
    <x v="5"/>
    <x v="0"/>
    <m/>
    <s v="Wilka Nuñez"/>
    <n v="8"/>
    <n v="2025"/>
    <s v="INV13478"/>
    <s v=""/>
    <s v=""/>
    <x v="0"/>
    <s v="Barrick Gold - Pueblo Viejo Dominicana Corporation"/>
    <s v="USD"/>
    <n v="95905.386833706652"/>
    <n v="68991.899999999994"/>
    <x v="0"/>
    <n v="0"/>
    <n v="68991.899999999994"/>
    <m/>
    <x v="3"/>
    <m/>
    <m/>
    <s v=""/>
    <n v="0"/>
    <s v=""/>
    <s v=""/>
    <s v=""/>
    <n v="0"/>
    <s v=""/>
    <s v=""/>
    <s v="[10JKM, 6-Vane Impeller, CD4] Impeller, 10JKM, Double Keyed, w/Wear Ring"/>
    <m/>
    <m/>
    <m/>
    <m/>
    <m/>
    <s v=""/>
    <n v="0"/>
    <s v=""/>
    <s v=""/>
  </r>
  <r>
    <n v="3"/>
    <s v="SO17625"/>
    <m/>
    <x v="5"/>
    <x v="0"/>
    <m/>
    <n v="0"/>
    <n v="8"/>
    <n v="2025"/>
    <s v="INV13335"/>
    <n v="12"/>
    <n v="2025"/>
    <x v="0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10JKH, 7-Vane Impeller, CD4MCu] Impeller, 10JKH, Double Keyed, w/Wear Ring"/>
    <m/>
    <m/>
    <m/>
    <m/>
    <m/>
    <s v=""/>
    <n v="0"/>
    <s v=""/>
    <s v=""/>
  </r>
  <r>
    <n v="3"/>
    <s v="SO17625"/>
    <m/>
    <x v="5"/>
    <x v="0"/>
    <m/>
    <n v="0"/>
    <n v="8"/>
    <n v="2025"/>
    <s v="INV13573"/>
    <n v="12"/>
    <n v="2025"/>
    <x v="0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D-2001407-2507] Bowl Wear Ring, 10JKH/M, 05.50x05.88x0.88, Duplex SS 2507 w/Ion Nitriding"/>
    <m/>
    <m/>
    <m/>
    <m/>
    <m/>
    <s v=""/>
    <n v="0"/>
    <s v=""/>
    <s v=""/>
  </r>
  <r>
    <n v="1"/>
    <s v="SO17626"/>
    <m/>
    <x v="5"/>
    <x v="0"/>
    <m/>
    <s v="Wilka Nuñez"/>
    <n v="8"/>
    <n v="2025"/>
    <s v="INV13280"/>
    <n v="9"/>
    <n v="2025"/>
    <x v="1"/>
    <s v="Hyperflo"/>
    <s v="CAD"/>
    <n v="362.64"/>
    <n v="263.90315337490387"/>
    <x v="0"/>
    <n v="0"/>
    <n v="263.90315337490387"/>
    <m/>
    <x v="1"/>
    <m/>
    <m/>
    <s v=""/>
    <n v="5.0000000000000001E-3"/>
    <s v=""/>
    <s v=""/>
    <s v=""/>
    <n v="1.3195157668745194"/>
    <s v=""/>
    <s v=""/>
    <s v="[AC-98-132-163-001] Spacer, 10x10-28 SRL-XT"/>
    <m/>
    <m/>
    <n v="2503"/>
    <m/>
    <m/>
    <s v=""/>
    <n v="0"/>
    <s v=""/>
    <s v=""/>
  </r>
  <r>
    <n v="1"/>
    <s v="SO17627"/>
    <m/>
    <x v="5"/>
    <x v="0"/>
    <m/>
    <s v="Wilka Nuñez"/>
    <n v="8"/>
    <n v="2025"/>
    <s v="INV13333"/>
    <n v="10"/>
    <n v="2025"/>
    <x v="2"/>
    <s v="Barrick Gold - Pueblo Viejo Dominicana Corporation"/>
    <s v="USD"/>
    <n v="7978.9083771168953"/>
    <n v="5791.92"/>
    <x v="0"/>
    <n v="0"/>
    <n v="5791.92"/>
    <m/>
    <x v="3"/>
    <m/>
    <m/>
    <s v=""/>
    <n v="0"/>
    <s v=""/>
    <s v=""/>
    <s v=""/>
    <n v="0"/>
    <s v=""/>
    <s v=""/>
    <s v="[37230] Sleeve Bearing (Bowl), ThorPlas-Blue, HPCW"/>
    <m/>
    <m/>
    <m/>
    <m/>
    <m/>
    <s v=""/>
    <n v="0"/>
    <s v=""/>
    <s v=""/>
  </r>
  <r>
    <n v="1"/>
    <s v="SO17628"/>
    <m/>
    <x v="5"/>
    <x v="0"/>
    <m/>
    <s v="Wilka Nuñez"/>
    <n v="8"/>
    <n v="2025"/>
    <s v="INV13334"/>
    <n v="9"/>
    <n v="2025"/>
    <x v="2"/>
    <s v="Barrick Gold - Pueblo Viejo Dominicana Corporation"/>
    <s v="USD"/>
    <n v="15526.363553449059"/>
    <n v="11242.24"/>
    <x v="0"/>
    <n v="0"/>
    <n v="11242.24"/>
    <m/>
    <x v="3"/>
    <m/>
    <m/>
    <s v=""/>
    <n v="0"/>
    <s v=""/>
    <s v=""/>
    <s v=""/>
    <n v="0"/>
    <s v=""/>
    <s v=""/>
    <s v="[D-2001408-2507] Impeller Wear Ring, 10JKH/M, 5.12x5.48x0.88, Duplex SS 2507 w/Ion Nitriding"/>
    <m/>
    <m/>
    <m/>
    <m/>
    <m/>
    <s v=""/>
    <n v="0"/>
    <s v=""/>
    <s v=""/>
  </r>
  <r>
    <n v="1"/>
    <s v="SO17630"/>
    <m/>
    <x v="2"/>
    <x v="0"/>
    <m/>
    <s v="Marlen Martinez"/>
    <n v="8"/>
    <n v="2025"/>
    <s v="INV13282"/>
    <n v="11"/>
    <n v="2025"/>
    <x v="2"/>
    <s v="Covia Corp - Junction City"/>
    <s v="USD"/>
    <n v="283.89436289801137"/>
    <n v="206.08"/>
    <x v="0"/>
    <n v="186.51"/>
    <n v="19.570000000000022"/>
    <m/>
    <x v="0"/>
    <m/>
    <m/>
    <s v=""/>
    <s v=""/>
    <s v=""/>
    <s v=""/>
    <s v=""/>
    <s v=""/>
    <s v=""/>
    <s v=""/>
    <s v="[W-S30132/S01] Discharge Joint Ring, EPDM"/>
    <m/>
    <m/>
    <m/>
    <m/>
    <m/>
    <s v=""/>
    <s v=""/>
    <s v=""/>
    <s v=""/>
  </r>
  <r>
    <n v="1"/>
    <s v="SO17636"/>
    <m/>
    <x v="0"/>
    <x v="0"/>
    <m/>
    <s v="Ian Trottier"/>
    <n v="8"/>
    <n v="2025"/>
    <s v="INV13817"/>
    <s v=""/>
    <s v=""/>
    <x v="0"/>
    <s v="DXP Enterprises, Inc. - Phoenix"/>
    <s v="USD"/>
    <n v="3009.0652917356006"/>
    <n v="2189.780000000000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637"/>
    <m/>
    <x v="5"/>
    <x v="0"/>
    <m/>
    <s v="Wilka Nuñez"/>
    <n v="8"/>
    <n v="2025"/>
    <s v="INV13279"/>
    <n v="9"/>
    <n v="2025"/>
    <x v="1"/>
    <s v="Hyperflo"/>
    <s v="CAD"/>
    <n v="861.5"/>
    <n v="626.93736662386857"/>
    <x v="0"/>
    <n v="0"/>
    <n v="626.93736662386857"/>
    <m/>
    <x v="1"/>
    <m/>
    <m/>
    <s v=""/>
    <n v="5.0000000000000001E-3"/>
    <s v=""/>
    <s v=""/>
    <s v=""/>
    <n v="3.1346868331193427"/>
    <s v=""/>
    <s v=""/>
    <s v="[AC-98-233-733-513] Deflector (Water Slinger), 8x6-18 &amp; 10x8-21 SRL-C, Neoprene/Steel"/>
    <m/>
    <m/>
    <n v="2503"/>
    <m/>
    <m/>
    <s v=""/>
    <n v="0"/>
    <s v=""/>
    <s v=""/>
  </r>
  <r>
    <n v="1"/>
    <s v="SO17640"/>
    <m/>
    <x v="4"/>
    <x v="0"/>
    <m/>
    <s v="Alexis Gil Lamadrid"/>
    <n v="8"/>
    <n v="2025"/>
    <s v="INV13286"/>
    <n v="9"/>
    <n v="2025"/>
    <x v="1"/>
    <s v="Manufacture Sling-Choker (Val-d’Or) Ltée"/>
    <s v="CAD"/>
    <n v="126.16"/>
    <n v="91.728489899824794"/>
    <x v="0"/>
    <n v="0"/>
    <n v="91.728489899824794"/>
    <m/>
    <x v="1"/>
    <m/>
    <m/>
    <s v=""/>
    <n v="5.0000000000000001E-3"/>
    <s v=""/>
    <s v=""/>
    <s v=""/>
    <n v="0.45864244949912397"/>
    <s v=""/>
    <s v=""/>
    <s v="[AN18] Bearing Lock Nut, 8x6-18 &amp; 10x8-21 SRL-C, Steel"/>
    <m/>
    <m/>
    <n v="2503"/>
    <m/>
    <m/>
    <s v=""/>
    <n v="0"/>
    <s v=""/>
    <s v=""/>
  </r>
  <r>
    <n v="1"/>
    <s v="SO17643"/>
    <m/>
    <x v="0"/>
    <x v="0"/>
    <m/>
    <s v="Ian Trottier"/>
    <n v="8"/>
    <n v="2025"/>
    <s v="INV13558"/>
    <n v="12"/>
    <n v="2025"/>
    <x v="0"/>
    <s v="Les Pompes du St-Laurent Inc."/>
    <s v="CAD"/>
    <n v="9024.4699999999993"/>
    <n v="6567.3563052537465"/>
    <x v="0"/>
    <n v="0"/>
    <n v="6567.3563052537465"/>
    <m/>
    <x v="0"/>
    <m/>
    <m/>
    <s v=""/>
    <s v=""/>
    <s v=""/>
    <s v=""/>
    <s v=""/>
    <s v=""/>
    <s v=""/>
    <s v=""/>
    <s v="[G-243-90 1216] Impeller, 6x8-13, 3171-L, CD4MCu"/>
    <m/>
    <m/>
    <m/>
    <m/>
    <m/>
    <s v=""/>
    <s v=""/>
    <s v=""/>
    <s v=""/>
  </r>
  <r>
    <n v="2"/>
    <s v="SO17644"/>
    <m/>
    <x v="0"/>
    <x v="0"/>
    <m/>
    <s v="Ian Trottier"/>
    <n v="8"/>
    <n v="2025"/>
    <s v="INV13529"/>
    <n v="12"/>
    <n v="2025"/>
    <x v="0"/>
    <s v="Thunder Bay Pulp and Paper Inc"/>
    <s v="CAD"/>
    <n v="10778.64"/>
    <n v="7830.3266601170226"/>
    <x v="0"/>
    <n v="0"/>
    <n v="7830.3266601170226"/>
    <m/>
    <x v="0"/>
    <m/>
    <m/>
    <s v=""/>
    <s v=""/>
    <s v=""/>
    <s v=""/>
    <s v=""/>
    <s v=""/>
    <s v=""/>
    <s v=""/>
    <s v="[AC-98-431-614-007] Impeller, 6x3-14, PWO, 317SS"/>
    <m/>
    <m/>
    <m/>
    <m/>
    <m/>
    <s v=""/>
    <s v=""/>
    <s v=""/>
    <s v=""/>
  </r>
  <r>
    <n v="2"/>
    <s v="SO17644"/>
    <m/>
    <x v="0"/>
    <x v="0"/>
    <m/>
    <n v="0"/>
    <n v="8"/>
    <n v="2025"/>
    <s v="INV13507"/>
    <n v="12"/>
    <n v="2025"/>
    <x v="0"/>
    <s v="Thunder Bay Pulp and Paper Inc"/>
    <s v="CAD"/>
    <n v="0"/>
    <n v="0"/>
    <x v="1"/>
    <n v="0"/>
    <n v="0"/>
    <m/>
    <x v="0"/>
    <m/>
    <m/>
    <s v=""/>
    <s v=""/>
    <s v=""/>
    <s v=""/>
    <s v=""/>
    <s v=""/>
    <s v=""/>
    <s v=""/>
    <s v="[AC-98-530-477-006] Impeller, 10x8-17, PWO, 317SS"/>
    <m/>
    <m/>
    <m/>
    <m/>
    <m/>
    <s v=""/>
    <s v=""/>
    <s v=""/>
    <s v=""/>
  </r>
  <r>
    <n v="1"/>
    <s v="SO17645"/>
    <m/>
    <x v="4"/>
    <x v="0"/>
    <m/>
    <s v="Alexis Gil Lamadrid"/>
    <n v="8"/>
    <n v="2025"/>
    <s v="INV13341"/>
    <n v="10"/>
    <n v="2025"/>
    <x v="2"/>
    <s v="Resolute Forest Products - Fibrek"/>
    <s v="CAD"/>
    <n v="204.32"/>
    <n v="148.68931253463592"/>
    <x v="0"/>
    <n v="0"/>
    <n v="148.68931253463592"/>
    <m/>
    <x v="1"/>
    <m/>
    <m/>
    <s v=""/>
    <n v="5.0000000000000001E-3"/>
    <s v=""/>
    <s v=""/>
    <s v=""/>
    <n v="0.74344656267317955"/>
    <s v=""/>
    <s v=""/>
    <s v="[AC-98-233-992-001] Half Seal Cage, 3x3-10 SRL &amp; SRL-C, Cast Iron"/>
    <m/>
    <m/>
    <m/>
    <m/>
    <m/>
    <s v=""/>
    <n v="0.74344656267317955"/>
    <s v=""/>
    <s v=""/>
  </r>
  <r>
    <n v="1"/>
    <s v="SO17648"/>
    <m/>
    <x v="0"/>
    <x v="0"/>
    <m/>
    <s v="Ian Trottier"/>
    <n v="8"/>
    <n v="2025"/>
    <s v="INV13444"/>
    <s v=""/>
    <s v=""/>
    <x v="0"/>
    <s v="Quality Concrete Inc."/>
    <s v="CAD"/>
    <n v="9848.2199999999993"/>
    <n v="7144.053240682357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651"/>
    <m/>
    <x v="0"/>
    <x v="0"/>
    <m/>
    <s v="Ian Trottier"/>
    <n v="8"/>
    <n v="2025"/>
    <s v="INV13321"/>
    <n v="10"/>
    <n v="2025"/>
    <x v="0"/>
    <s v="PT Vale Indonesia Tbk."/>
    <s v="USD"/>
    <n v="12237.903135168544"/>
    <n v="8829.6200000000008"/>
    <x v="0"/>
    <n v="0"/>
    <n v="8829.6200000000008"/>
    <m/>
    <x v="0"/>
    <m/>
    <m/>
    <s v=""/>
    <s v=""/>
    <s v=""/>
    <s v=""/>
    <s v=""/>
    <s v=""/>
    <s v=""/>
    <s v=""/>
    <s v="[AC-98-530-594-001] Pedestal, 5x4/5x5/6x6 SRL &amp; SRL-C, Cast Iron"/>
    <m/>
    <m/>
    <m/>
    <m/>
    <m/>
    <s v=""/>
    <s v=""/>
    <s v=""/>
    <s v=""/>
  </r>
  <r>
    <n v="1"/>
    <s v="SO17652"/>
    <m/>
    <x v="0"/>
    <x v="0"/>
    <m/>
    <s v="Yannett Yeomans"/>
    <n v="8"/>
    <n v="2025"/>
    <s v="INV13285"/>
    <s v=""/>
    <s v=""/>
    <x v="0"/>
    <s v="Dynapro Pumps México S de RL de CV"/>
    <s v="USD"/>
    <n v="110.2532545116062"/>
    <n v="80"/>
    <x v="1"/>
    <n v="198"/>
    <n v="0"/>
    <m/>
    <x v="0"/>
    <m/>
    <m/>
    <s v=""/>
    <s v=""/>
    <s v=""/>
    <s v=""/>
    <s v=""/>
    <s v=""/>
    <s v=""/>
    <s v=""/>
    <s v="[W-E4132H/S01] Discharge Joint Ring, 6/4 F-HH, EPDM"/>
    <m/>
    <m/>
    <m/>
    <m/>
    <m/>
    <s v=""/>
    <s v=""/>
    <s v=""/>
    <s v=""/>
  </r>
  <r>
    <n v="1"/>
    <s v="SO17653"/>
    <m/>
    <x v="5"/>
    <x v="0"/>
    <m/>
    <s v="Ian Trottier"/>
    <n v="8"/>
    <n v="2025"/>
    <s v="INV13291"/>
    <n v="10"/>
    <n v="2025"/>
    <x v="2"/>
    <s v="Cartledge &amp; Associates Inc."/>
    <s v="USD"/>
    <n v="5760.6740865491647"/>
    <n v="4187.3"/>
    <x v="0"/>
    <n v="591"/>
    <n v="3596.3"/>
    <m/>
    <x v="1"/>
    <m/>
    <m/>
    <s v=""/>
    <n v="5.0000000000000001E-3"/>
    <s v=""/>
    <s v=""/>
    <s v=""/>
    <n v="17.9815"/>
    <s v=""/>
    <s v=""/>
    <s v="[504889] Impeller, 8x6, Denver SRL, Natural Rubber"/>
    <m/>
    <m/>
    <m/>
    <m/>
    <m/>
    <s v=""/>
    <n v="17.9815"/>
    <s v=""/>
    <s v=""/>
  </r>
  <r>
    <n v="1"/>
    <s v="SO17655"/>
    <m/>
    <x v="0"/>
    <x v="0"/>
    <m/>
    <s v="Amanda Qiao"/>
    <n v="8"/>
    <n v="2025"/>
    <s v="INV13434"/>
    <s v=""/>
    <s v=""/>
    <x v="0"/>
    <s v="Mill-Right Mine Services Inc."/>
    <s v="USD"/>
    <n v="2496.6070907989961"/>
    <n v="1816.8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656"/>
    <m/>
    <x v="4"/>
    <x v="0"/>
    <m/>
    <s v="Ian Trottier"/>
    <n v="8"/>
    <n v="2025"/>
    <s v="INV13293"/>
    <n v="9"/>
    <n v="2025"/>
    <x v="1"/>
    <s v="Motion Industries Inc. (Canada) - Winnipeg"/>
    <s v="CAD"/>
    <n v="122.96"/>
    <n v="89.197112419737039"/>
    <x v="0"/>
    <n v="0"/>
    <n v="89.197112419737039"/>
    <m/>
    <x v="1"/>
    <m/>
    <m/>
    <s v=""/>
    <n v="5.0000000000000001E-3"/>
    <s v=""/>
    <s v=""/>
    <s v=""/>
    <n v="0.44598556209868523"/>
    <s v=""/>
    <s v=""/>
    <s v="[2Z104-GA, DU-AY33867K-GTB] Impeller Gasket, Durco Mark 2 Group 2, Grafoil"/>
    <m/>
    <m/>
    <n v="2503"/>
    <m/>
    <m/>
    <s v=""/>
    <n v="0"/>
    <s v=""/>
    <s v=""/>
  </r>
  <r>
    <n v="1"/>
    <s v="SO17659"/>
    <m/>
    <x v="0"/>
    <x v="0"/>
    <m/>
    <s v="Ian Trottier"/>
    <n v="8"/>
    <n v="2025"/>
    <s v="INV13294"/>
    <n v="10"/>
    <n v="2025"/>
    <x v="0"/>
    <s v="Wajax Limited - Pointe-aux-Trembles"/>
    <s v="CAD"/>
    <n v="1941.54"/>
    <n v="1408.4235657727411"/>
    <x v="0"/>
    <n v="0"/>
    <n v="1408.4235657727411"/>
    <m/>
    <x v="0"/>
    <m/>
    <m/>
    <s v=""/>
    <s v=""/>
    <s v=""/>
    <s v=""/>
    <s v=""/>
    <s v=""/>
    <s v=""/>
    <s v=""/>
    <s v="[D-3J4614-6] Suction Cover Liner, 4x6-14, Goulds JC, Frame 3J, High Chrome, OEM# 048944G0001228"/>
    <m/>
    <m/>
    <m/>
    <m/>
    <m/>
    <s v=""/>
    <s v=""/>
    <s v=""/>
    <s v=""/>
  </r>
  <r>
    <n v="1"/>
    <s v="SO17660"/>
    <m/>
    <x v="0"/>
    <x v="0"/>
    <m/>
    <s v="Ian Trottier"/>
    <n v="8"/>
    <n v="2025"/>
    <s v="INV13297"/>
    <n v="9"/>
    <n v="2025"/>
    <x v="0"/>
    <s v="Les Pompes du St-Laurent Inc."/>
    <s v="CAD"/>
    <n v="1417.8"/>
    <n v="1030.0980223018123"/>
    <x v="0"/>
    <n v="0"/>
    <n v="1030.0980223018123"/>
    <m/>
    <x v="0"/>
    <m/>
    <m/>
    <s v=""/>
    <s v=""/>
    <s v=""/>
    <s v=""/>
    <s v=""/>
    <s v=""/>
    <s v=""/>
    <s v=""/>
    <s v="[G-R102-871 2238] Shaft (Sleeve Type), 3175-S, 4140 Steel"/>
    <m/>
    <m/>
    <m/>
    <m/>
    <m/>
    <s v=""/>
    <s v=""/>
    <s v=""/>
    <s v=""/>
  </r>
  <r>
    <n v="1"/>
    <s v="SO17661"/>
    <m/>
    <x v="4"/>
    <x v="0"/>
    <m/>
    <s v="Alexis Gil Lamadrid"/>
    <n v="8"/>
    <n v="2025"/>
    <s v="INV13295"/>
    <n v="9"/>
    <n v="2025"/>
    <x v="1"/>
    <s v="Manufacture Sling-Choker (Val-d’Or) Ltée"/>
    <s v="CAD"/>
    <n v="2740.17"/>
    <n v="1987.7622929342137"/>
    <x v="0"/>
    <n v="0"/>
    <n v="1987.7622929342137"/>
    <m/>
    <x v="1"/>
    <m/>
    <m/>
    <s v=""/>
    <n v="5.0000000000000001E-3"/>
    <s v=""/>
    <s v=""/>
    <s v=""/>
    <n v="9.938811464671069"/>
    <s v=""/>
    <s v=""/>
    <s v="[AC-98-231-081-501] Suction Side Liner, 5x5-14 SRL, Natural Rubber"/>
    <m/>
    <m/>
    <n v="2503"/>
    <m/>
    <m/>
    <s v=""/>
    <n v="0"/>
    <s v=""/>
    <s v=""/>
  </r>
  <r>
    <n v="1"/>
    <s v="SO17662"/>
    <m/>
    <x v="4"/>
    <x v="0"/>
    <m/>
    <s v="Alexis Gil Lamadrid"/>
    <n v="8"/>
    <n v="2025"/>
    <s v="INV13292"/>
    <n v="10"/>
    <n v="2025"/>
    <x v="2"/>
    <s v="Resolute Forest Products - Fibrek"/>
    <s v="CAD"/>
    <n v="196.96"/>
    <n v="142.87787298464065"/>
    <x v="0"/>
    <n v="0"/>
    <n v="142.87787298464065"/>
    <m/>
    <x v="1"/>
    <m/>
    <m/>
    <s v=""/>
    <n v="5.0000000000000001E-3"/>
    <s v=""/>
    <s v=""/>
    <s v=""/>
    <n v="0.71438936492320326"/>
    <s v=""/>
    <s v=""/>
    <s v="[AC-52-050-313-000] Shim Kit, Allis Chalmers CSO, Frame F4D1/F4B5"/>
    <m/>
    <m/>
    <m/>
    <m/>
    <m/>
    <s v=""/>
    <n v="0.71438936492320326"/>
    <s v=""/>
    <s v=""/>
  </r>
  <r>
    <n v="1"/>
    <s v="SO17664"/>
    <m/>
    <x v="0"/>
    <x v="0"/>
    <m/>
    <s v="Amanda Qiao"/>
    <n v="8"/>
    <n v="2025"/>
    <s v="INV13660"/>
    <s v=""/>
    <s v=""/>
    <x v="0"/>
    <s v="Covia Corp - Fort Smith"/>
    <s v="USD"/>
    <n v="18193.901901746576"/>
    <n v="13217.27"/>
    <x v="1"/>
    <n v="585"/>
    <n v="0"/>
    <m/>
    <x v="0"/>
    <m/>
    <m/>
    <s v=""/>
    <s v=""/>
    <s v=""/>
    <s v=""/>
    <s v=""/>
    <s v=""/>
    <s v=""/>
    <s v=""/>
    <s v="Sump Pump, W-Series, 100RV-SPR, Natural Rubber, 1500mm Column"/>
    <m/>
    <m/>
    <m/>
    <m/>
    <m/>
    <s v=""/>
    <s v=""/>
    <s v=""/>
    <s v=""/>
  </r>
  <r>
    <n v="1"/>
    <s v="SO17670"/>
    <m/>
    <x v="5"/>
    <x v="0"/>
    <m/>
    <s v="Wilka Nuñez"/>
    <n v="8"/>
    <n v="2025"/>
    <s v="INV13298"/>
    <n v="9"/>
    <n v="2025"/>
    <x v="1"/>
    <s v="Canadian Bearings Ltd."/>
    <s v="CAD"/>
    <n v="493.15"/>
    <n v="358.25721913309184"/>
    <x v="0"/>
    <n v="0"/>
    <n v="358.25721913309184"/>
    <m/>
    <x v="1"/>
    <m/>
    <m/>
    <s v=""/>
    <n v="5.0000000000000001E-3"/>
    <s v=""/>
    <s v=""/>
    <s v=""/>
    <n v="1.7912860956654593"/>
    <s v=""/>
    <s v=""/>
    <s v="[AC-52-050-313-000] Shim Kit, Allis Chalmers CSO, Frame F4D1/F4B5"/>
    <m/>
    <m/>
    <n v="2503"/>
    <m/>
    <m/>
    <s v=""/>
    <n v="0"/>
    <s v=""/>
    <s v=""/>
  </r>
  <r>
    <n v="1"/>
    <s v="SO17673"/>
    <m/>
    <x v="5"/>
    <x v="0"/>
    <m/>
    <s v="Ian Trottier"/>
    <n v="8"/>
    <n v="2025"/>
    <s v="INV13308"/>
    <n v="10"/>
    <n v="2025"/>
    <x v="2"/>
    <s v="PT Vale Indonesia Tbk."/>
    <s v="USD"/>
    <n v="38.841270572090501"/>
    <n v="28.22"/>
    <x v="0"/>
    <n v="0"/>
    <n v="28.22"/>
    <m/>
    <x v="1"/>
    <m/>
    <m/>
    <s v=""/>
    <n v="5.0000000000000001E-3"/>
    <s v=""/>
    <s v=""/>
    <s v=""/>
    <n v="0.1411"/>
    <s v=""/>
    <s v=""/>
    <s v="[028-Teflon, G-C02495A28 6359] Impeller O-Ring, 3196 MTX, Teflon"/>
    <m/>
    <m/>
    <m/>
    <m/>
    <m/>
    <s v=""/>
    <n v="0.1411"/>
    <s v=""/>
    <s v=""/>
  </r>
  <r>
    <n v="1"/>
    <s v="SO17674"/>
    <m/>
    <x v="4"/>
    <x v="0"/>
    <m/>
    <s v="Alexis Gil Lamadrid"/>
    <n v="8"/>
    <n v="2025"/>
    <s v="INV13366"/>
    <n v="10"/>
    <n v="2025"/>
    <x v="2"/>
    <s v="Canadian Industrial Pumps Ltd"/>
    <s v="CAD"/>
    <n v="2440.75"/>
    <n v="1760.995717727847"/>
    <x v="0"/>
    <n v="0"/>
    <n v="1760.995717727847"/>
    <m/>
    <x v="1"/>
    <m/>
    <m/>
    <s v=""/>
    <n v="5.0000000000000001E-3"/>
    <s v=""/>
    <s v=""/>
    <s v=""/>
    <n v="8.8049785886392353"/>
    <s v=""/>
    <s v=""/>
    <s v="[AC-98-233-700-001] Bearing Cover Gasket (Inboard &amp; Outboard), 8x6-18 &amp; 10x8-21 SRL-C"/>
    <m/>
    <m/>
    <m/>
    <m/>
    <m/>
    <s v=""/>
    <n v="8.8049785886392353"/>
    <s v=""/>
    <s v=""/>
  </r>
  <r>
    <n v="1"/>
    <s v="SO17676"/>
    <m/>
    <x v="5"/>
    <x v="0"/>
    <m/>
    <s v="Wilka Nuñez"/>
    <n v="8"/>
    <n v="2025"/>
    <s v="INV13309"/>
    <n v="10"/>
    <n v="2025"/>
    <x v="2"/>
    <s v="PT Vale Indonesia Tbk."/>
    <s v="USD"/>
    <n v="2101.2515681375298"/>
    <n v="1526.49"/>
    <x v="0"/>
    <n v="0"/>
    <n v="1526.49"/>
    <m/>
    <x v="1"/>
    <m/>
    <m/>
    <s v=""/>
    <n v="5.0000000000000001E-3"/>
    <s v=""/>
    <s v=""/>
    <s v=""/>
    <n v="7.6324500000000004"/>
    <s v=""/>
    <s v=""/>
    <s v="[G-67868-211-212 5108] Gasket Material (2 Piece Set), Armstrong Syntheseal N-8090, 16&quot; x 17 3/4&quot;"/>
    <m/>
    <m/>
    <m/>
    <m/>
    <m/>
    <s v=""/>
    <n v="7.6324500000000004"/>
    <s v=""/>
    <s v=""/>
  </r>
  <r>
    <n v="1"/>
    <s v="SO17677"/>
    <m/>
    <x v="5"/>
    <x v="0"/>
    <m/>
    <s v="Wilka Nuñez"/>
    <n v="8"/>
    <n v="2025"/>
    <s v="INV13307"/>
    <n v="10"/>
    <n v="2025"/>
    <x v="2"/>
    <s v="PT Vale Indonesia Tbk."/>
    <s v="USD"/>
    <n v="649.00398256489234"/>
    <n v="471.48"/>
    <x v="0"/>
    <n v="0"/>
    <n v="471.48"/>
    <m/>
    <x v="1"/>
    <m/>
    <m/>
    <s v=""/>
    <n v="5.0000000000000001E-3"/>
    <s v=""/>
    <s v=""/>
    <s v=""/>
    <n v="2.3574000000000002"/>
    <s v=""/>
    <s v=""/>
    <s v="[G-R104-733 2238] Shaft (Sleeve Type), 3196 MTX, 4140"/>
    <m/>
    <m/>
    <m/>
    <m/>
    <m/>
    <s v=""/>
    <n v="2.3574000000000002"/>
    <s v=""/>
    <s v=""/>
  </r>
  <r>
    <n v="1"/>
    <s v="SO17678"/>
    <m/>
    <x v="0"/>
    <x v="0"/>
    <m/>
    <s v="Ian Trottier"/>
    <n v="8"/>
    <n v="2025"/>
    <s v="INV13744"/>
    <s v=""/>
    <s v=""/>
    <x v="0"/>
    <s v="Motion Industries Inc. (Canada) - Chicoutimi"/>
    <s v="CAD"/>
    <n v="74.84"/>
    <n v="53.997834527768539"/>
    <x v="1"/>
    <n v="0"/>
    <n v="0"/>
    <m/>
    <x v="0"/>
    <m/>
    <m/>
    <s v=""/>
    <s v=""/>
    <s v=""/>
    <s v=""/>
    <s v=""/>
    <s v=""/>
    <s v=""/>
    <s v=""/>
    <s v="[AC-52-235-695-005] Oil Slinger, Allis Chalmers CSO, Steel"/>
    <m/>
    <m/>
    <m/>
    <m/>
    <m/>
    <s v=""/>
    <s v=""/>
    <s v=""/>
    <s v=""/>
  </r>
  <r>
    <n v="1"/>
    <s v="SO17679"/>
    <m/>
    <x v="0"/>
    <x v="0"/>
    <m/>
    <s v="Ian Trottier"/>
    <n v="8"/>
    <n v="2025"/>
    <s v="INV13628"/>
    <n v="12"/>
    <n v="2025"/>
    <x v="0"/>
    <s v="Cartledge &amp; Associates Inc."/>
    <s v="USD"/>
    <n v="2149.8632716599127"/>
    <n v="1559.55"/>
    <x v="0"/>
    <n v="0"/>
    <n v="1559.55"/>
    <m/>
    <x v="0"/>
    <m/>
    <m/>
    <s v=""/>
    <s v=""/>
    <s v=""/>
    <s v=""/>
    <s v=""/>
    <s v=""/>
    <s v=""/>
    <s v=""/>
    <s v="[DE-503541] Shaft Sleeve, Denver, 8x6-18 &amp; 10x8-21 SRL-C, 316SS"/>
    <m/>
    <m/>
    <m/>
    <m/>
    <m/>
    <s v=""/>
    <s v=""/>
    <s v=""/>
    <s v=""/>
  </r>
  <r>
    <n v="2"/>
    <s v="SO17681"/>
    <m/>
    <x v="0"/>
    <x v="0"/>
    <m/>
    <s v="Ian Trottier"/>
    <n v="8"/>
    <n v="2025"/>
    <s v="INV13422"/>
    <n v="9"/>
    <n v="2025"/>
    <x v="0"/>
    <s v="Kumtor Gold Company"/>
    <s v="USD"/>
    <n v="129950.47975876725"/>
    <n v="94461.93"/>
    <x v="1"/>
    <n v="0"/>
    <n v="0"/>
    <m/>
    <x v="0"/>
    <m/>
    <m/>
    <s v=""/>
    <s v=""/>
    <s v=""/>
    <s v=""/>
    <s v=""/>
    <s v=""/>
    <s v=""/>
    <s v=""/>
    <s v="[AC-98-431-651-507] Impeller (Closed), 8x6-18 SRL-C, Urethane"/>
    <m/>
    <m/>
    <m/>
    <m/>
    <m/>
    <s v=""/>
    <s v=""/>
    <s v=""/>
    <s v=""/>
  </r>
  <r>
    <n v="2"/>
    <s v="SO17681"/>
    <m/>
    <x v="0"/>
    <x v="0"/>
    <m/>
    <n v="0"/>
    <n v="8"/>
    <n v="2025"/>
    <s v="INV13751"/>
    <n v="12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C-98-236-018-001] Seal Cage, 10x10-28 SRL-XT, 1045 Steel, Low Dillusion"/>
    <m/>
    <m/>
    <m/>
    <m/>
    <m/>
    <s v=""/>
    <s v=""/>
    <s v=""/>
    <s v=""/>
  </r>
  <r>
    <n v="2"/>
    <s v="SO17682"/>
    <m/>
    <x v="0"/>
    <x v="0"/>
    <m/>
    <s v="Amanda Qiao"/>
    <n v="8"/>
    <n v="2025"/>
    <s v="INV13306"/>
    <n v="10"/>
    <n v="2025"/>
    <x v="0"/>
    <s v="Mill-Right Mine Services Inc."/>
    <s v="USD"/>
    <n v="2732.1955433823841"/>
    <n v="1984.85"/>
    <x v="1"/>
    <n v="0"/>
    <n v="0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m/>
    <m/>
    <m/>
    <m/>
    <m/>
    <s v=""/>
    <s v=""/>
    <s v=""/>
    <s v=""/>
  </r>
  <r>
    <n v="2"/>
    <s v="SO17682"/>
    <m/>
    <x v="0"/>
    <x v="0"/>
    <m/>
    <n v="0"/>
    <n v="8"/>
    <n v="2025"/>
    <s v="INV13306"/>
    <n v="10"/>
    <n v="2025"/>
    <x v="0"/>
    <s v="Mill-Right Mine Services Inc."/>
    <s v="USD"/>
    <n v="0"/>
    <n v="0"/>
    <x v="1"/>
    <n v="0"/>
    <n v="0"/>
    <m/>
    <x v="0"/>
    <m/>
    <m/>
    <s v=""/>
    <s v=""/>
    <s v=""/>
    <s v=""/>
    <s v=""/>
    <s v=""/>
    <s v=""/>
    <s v=""/>
    <s v="[FS58979M4] Single Cartridge Mechanical Seal, 1 7/8&quot;, VBRB3, Big Bore, Carbon vs Silicon Carbide, TFEP, A276 Bellows, 316SS"/>
    <m/>
    <m/>
    <m/>
    <m/>
    <m/>
    <s v=""/>
    <s v=""/>
    <s v=""/>
    <s v=""/>
  </r>
  <r>
    <n v="1"/>
    <s v="SO17683"/>
    <m/>
    <x v="0"/>
    <x v="0"/>
    <m/>
    <s v="Alexis Gil Lamadrid"/>
    <n v="8"/>
    <n v="2025"/>
    <s v="INV13332"/>
    <n v="11"/>
    <n v="2025"/>
    <x v="0"/>
    <s v="MAB Equipment Company Inc."/>
    <s v="USD"/>
    <n v="7447.2197038851245"/>
    <n v="5392.34"/>
    <x v="1"/>
    <n v="608"/>
    <n v="0"/>
    <m/>
    <x v="0"/>
    <m/>
    <m/>
    <s v=""/>
    <s v=""/>
    <s v=""/>
    <s v=""/>
    <s v=""/>
    <s v=""/>
    <s v=""/>
    <s v=""/>
    <s v="[W-E4083/A05] Throatbush, 6/4 D or E-AH, High Chrome"/>
    <m/>
    <m/>
    <m/>
    <m/>
    <m/>
    <s v=""/>
    <s v=""/>
    <s v=""/>
    <s v=""/>
  </r>
  <r>
    <n v="1"/>
    <s v="SO17684"/>
    <m/>
    <x v="4"/>
    <x v="0"/>
    <m/>
    <s v="Alexis Gil Lamadrid"/>
    <n v="8"/>
    <n v="2025"/>
    <s v="INV13432"/>
    <n v="11"/>
    <n v="2025"/>
    <x v="2"/>
    <s v="Resolute Forest Products - Clermont"/>
    <s v="CAD"/>
    <n v="1086.6199999999999"/>
    <n v="783.11410033220659"/>
    <x v="0"/>
    <n v="0"/>
    <n v="783.11410033220659"/>
    <m/>
    <x v="1"/>
    <m/>
    <m/>
    <s v=""/>
    <n v="5.0000000000000001E-3"/>
    <s v=""/>
    <s v=""/>
    <s v=""/>
    <n v="3.9155705016610329"/>
    <s v=""/>
    <s v=""/>
    <s v="[G-75752 1203] Shaft Sleeve, 3175-L, 316SS"/>
    <m/>
    <m/>
    <m/>
    <m/>
    <m/>
    <s v=""/>
    <n v="3.9155705016610329"/>
    <s v=""/>
    <s v=""/>
  </r>
  <r>
    <n v="1"/>
    <s v="SO17685"/>
    <m/>
    <x v="4"/>
    <x v="0"/>
    <m/>
    <s v="Alexis Gil Lamadrid"/>
    <n v="8"/>
    <n v="2025"/>
    <s v="INV13336"/>
    <n v="10"/>
    <n v="2025"/>
    <x v="2"/>
    <s v="Wajax Limited - Pointe-aux-Trembles, Wajax Limited"/>
    <s v="CAD"/>
    <n v="236.69"/>
    <n v="170.77131063361841"/>
    <x v="0"/>
    <n v="0"/>
    <n v="170.77131063361841"/>
    <m/>
    <x v="1"/>
    <m/>
    <m/>
    <s v=""/>
    <n v="5.0000000000000001E-3"/>
    <s v=""/>
    <s v=""/>
    <s v=""/>
    <n v="0.85385655316809206"/>
    <s v=""/>
    <s v=""/>
    <s v="[OLPWZ011007B, G-A04951A220] Bearing Isolator (Inboard), 3196 LTX/LTi, 303SS Rotor / Bronze Stator w/Viton"/>
    <m/>
    <m/>
    <m/>
    <m/>
    <m/>
    <s v=""/>
    <n v="0.85385655316809206"/>
    <s v=""/>
    <s v=""/>
  </r>
  <r>
    <n v="1"/>
    <s v="SO17686"/>
    <m/>
    <x v="5"/>
    <x v="0"/>
    <m/>
    <s v="Wilka Nuñez"/>
    <n v="8"/>
    <n v="2025"/>
    <s v="INV13319"/>
    <n v="9"/>
    <n v="2025"/>
    <x v="1"/>
    <s v="FMI Products"/>
    <s v="CAD"/>
    <n v="1662.14"/>
    <n v="1203.0210227444472"/>
    <x v="0"/>
    <n v="0"/>
    <n v="1203.0210227444472"/>
    <m/>
    <x v="1"/>
    <m/>
    <m/>
    <s v=""/>
    <n v="5.0000000000000001E-3"/>
    <s v=""/>
    <s v=""/>
    <s v=""/>
    <n v="6.0151051137222362"/>
    <s v=""/>
    <s v=""/>
    <s v="[G-247-42 1012] Casing, 2x3-8, 3196 MTX, Ductile Iron"/>
    <m/>
    <m/>
    <n v="2503"/>
    <m/>
    <m/>
    <s v=""/>
    <n v="0"/>
    <s v=""/>
    <s v=""/>
  </r>
  <r>
    <n v="1"/>
    <s v="SO17689"/>
    <m/>
    <x v="4"/>
    <x v="0"/>
    <m/>
    <s v="Ian Trottier"/>
    <n v="8"/>
    <n v="2025"/>
    <s v="INV13312"/>
    <n v="9"/>
    <n v="2025"/>
    <x v="1"/>
    <s v="Motion Industries Inc. (Canada) - Winnipeg"/>
    <s v="CAD"/>
    <n v="121.61"/>
    <n v="88.062622005192878"/>
    <x v="0"/>
    <n v="0"/>
    <n v="88.062622005192878"/>
    <m/>
    <x v="1"/>
    <m/>
    <m/>
    <s v=""/>
    <n v="5.0000000000000001E-3"/>
    <s v=""/>
    <s v=""/>
    <s v=""/>
    <n v="0.4403131100259644"/>
    <s v=""/>
    <s v=""/>
    <s v="[DU-SA3211AA00-TFR] Impeller Gasket, Durco Mark 2 Group 1, Teflon/Rubber"/>
    <m/>
    <m/>
    <n v="2503"/>
    <m/>
    <m/>
    <s v=""/>
    <n v="0"/>
    <s v=""/>
    <s v=""/>
  </r>
  <r>
    <n v="1"/>
    <s v="SO17690"/>
    <m/>
    <x v="4"/>
    <x v="0"/>
    <m/>
    <s v="Alexis Gil Lamadrid"/>
    <n v="8"/>
    <n v="2025"/>
    <s v="INV13318"/>
    <n v="8"/>
    <n v="2025"/>
    <x v="1"/>
    <s v="Alpha Industrial &amp; Mining Supplies Limited"/>
    <s v="CAD"/>
    <n v="1859.15"/>
    <n v="1345.6126044950124"/>
    <x v="0"/>
    <n v="0"/>
    <n v="1345.6126044950124"/>
    <m/>
    <x v="1"/>
    <m/>
    <m/>
    <s v=""/>
    <n v="5.0000000000000001E-3"/>
    <s v=""/>
    <s v=""/>
    <s v=""/>
    <n v="6.7280630224750624"/>
    <s v=""/>
    <s v=""/>
    <s v="[SA-013733-M1] Wear Disc, 44 WFR, Sala STGVA-180, Steel, Rubber Lined"/>
    <m/>
    <m/>
    <n v="2503"/>
    <m/>
    <m/>
    <s v=""/>
    <n v="0"/>
    <s v=""/>
    <s v=""/>
  </r>
  <r>
    <n v="1"/>
    <s v="SO17691"/>
    <m/>
    <x v="4"/>
    <x v="0"/>
    <m/>
    <s v="Alexis Gil Lamadrid"/>
    <n v="8"/>
    <n v="2025"/>
    <s v="INV13320"/>
    <n v="9"/>
    <n v="2025"/>
    <x v="1"/>
    <s v="FMI Products"/>
    <s v="CAD"/>
    <n v="113.04"/>
    <n v="81.815909857793173"/>
    <x v="0"/>
    <n v="0"/>
    <n v="81.815909857793173"/>
    <m/>
    <x v="1"/>
    <m/>
    <m/>
    <s v=""/>
    <n v="5.0000000000000001E-3"/>
    <s v=""/>
    <s v=""/>
    <s v=""/>
    <n v="0.40907954928896589"/>
    <s v=""/>
    <s v=""/>
    <s v="[G-70782 20 5127] Casing Gasket, 7/8&quot;, 3196 MTX, Durlon 8500"/>
    <m/>
    <m/>
    <n v="2503"/>
    <m/>
    <m/>
    <s v=""/>
    <n v="0"/>
    <s v=""/>
    <s v=""/>
  </r>
  <r>
    <n v="1"/>
    <s v="SO17692"/>
    <m/>
    <x v="0"/>
    <x v="0"/>
    <m/>
    <s v="Ian Trottier"/>
    <n v="8"/>
    <n v="2025"/>
    <s v="INV13439"/>
    <s v=""/>
    <s v=""/>
    <x v="0"/>
    <s v="Les Pompes du St-Laurent Inc."/>
    <s v="CAD"/>
    <n v="6175.4"/>
    <n v="4463.70446612528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693"/>
    <m/>
    <x v="0"/>
    <x v="0"/>
    <m/>
    <s v="Ian Trottier"/>
    <n v="8"/>
    <n v="2025"/>
    <s v="INV13528"/>
    <n v="12"/>
    <n v="2025"/>
    <x v="0"/>
    <s v="Thunder Bay Pulp and Paper Inc"/>
    <s v="CAD"/>
    <n v="4128.78"/>
    <n v="2989.8132759032987"/>
    <x v="0"/>
    <n v="0"/>
    <n v="2989.8132759032987"/>
    <m/>
    <x v="0"/>
    <m/>
    <m/>
    <s v=""/>
    <s v=""/>
    <s v=""/>
    <s v=""/>
    <s v=""/>
    <s v=""/>
    <s v=""/>
    <s v=""/>
    <s v="[AC-98-431-614-007] Impeller, 6x3-14, PWO, 317SS"/>
    <m/>
    <m/>
    <m/>
    <m/>
    <m/>
    <s v=""/>
    <s v=""/>
    <s v=""/>
    <s v=""/>
  </r>
  <r>
    <n v="1"/>
    <s v="SO17695"/>
    <m/>
    <x v="4"/>
    <x v="0"/>
    <m/>
    <s v="Marlen Martinez"/>
    <n v="8"/>
    <n v="2025"/>
    <s v="INV13344"/>
    <n v="10"/>
    <n v="2025"/>
    <x v="2"/>
    <s v="Flowstar Industrial Inc"/>
    <s v="CAD"/>
    <n v="160"/>
    <n v="115.43964553373166"/>
    <x v="0"/>
    <n v="0"/>
    <n v="115.43964553373166"/>
    <m/>
    <x v="1"/>
    <m/>
    <m/>
    <s v=""/>
    <n v="5.0000000000000001E-3"/>
    <s v=""/>
    <s v=""/>
    <s v=""/>
    <n v="0.57719822766865836"/>
    <s v=""/>
    <s v=""/>
    <s v="[M12*45, W-D045M] Gland Bolt w/Nut &amp; Washer, 4/3 or 6/4 D-AH"/>
    <m/>
    <m/>
    <m/>
    <m/>
    <m/>
    <s v=""/>
    <n v="0.57719822766865836"/>
    <s v=""/>
    <s v=""/>
  </r>
  <r>
    <n v="4"/>
    <s v="SO17696"/>
    <m/>
    <x v="0"/>
    <x v="0"/>
    <m/>
    <s v="Ian Trottier"/>
    <n v="8"/>
    <n v="2025"/>
    <s v="INV13752"/>
    <s v=""/>
    <s v=""/>
    <x v="0"/>
    <s v="Kumtor Gold Company"/>
    <s v="USD"/>
    <n v="70310.288679416393"/>
    <n v="51109.05"/>
    <x v="1"/>
    <n v="0"/>
    <n v="0"/>
    <m/>
    <x v="0"/>
    <m/>
    <m/>
    <s v=""/>
    <s v=""/>
    <s v=""/>
    <s v=""/>
    <s v=""/>
    <s v=""/>
    <s v=""/>
    <s v=""/>
    <s v="[SA-13576-M1] Casing, Sala STHM, 33-WFR, High Chrome"/>
    <m/>
    <m/>
    <m/>
    <m/>
    <m/>
    <s v=""/>
    <s v=""/>
    <s v=""/>
    <s v=""/>
  </r>
  <r>
    <n v="4"/>
    <s v="SO17696"/>
    <m/>
    <x v="0"/>
    <x v="0"/>
    <m/>
    <n v="0"/>
    <n v="8"/>
    <n v="2025"/>
    <s v="(* 80548)"/>
    <s v=""/>
    <s v="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4"/>
    <s v="SO17696"/>
    <m/>
    <x v="0"/>
    <x v="0"/>
    <m/>
    <n v="0"/>
    <n v="8"/>
    <n v="2025"/>
    <s v="INV13423"/>
    <n v="9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Alternate P/N 567426, SA-013732-1 , 100518-1] Gland Side Casing, Sala STHM-33-WFR, Cast Iron"/>
    <m/>
    <m/>
    <m/>
    <m/>
    <m/>
    <s v=""/>
    <s v=""/>
    <s v=""/>
    <s v=""/>
  </r>
  <r>
    <n v="4"/>
    <s v="SO17696"/>
    <m/>
    <x v="0"/>
    <x v="0"/>
    <m/>
    <n v="0"/>
    <n v="8"/>
    <n v="2025"/>
    <s v="INV13499"/>
    <n v="10"/>
    <n v="2025"/>
    <x v="0"/>
    <s v="Kumtor Gold Company"/>
    <s v="USD"/>
    <n v="0"/>
    <n v="0"/>
    <x v="1"/>
    <n v="0"/>
    <n v="0"/>
    <m/>
    <x v="0"/>
    <m/>
    <m/>
    <s v=""/>
    <s v=""/>
    <s v=""/>
    <s v=""/>
    <s v=""/>
    <s v=""/>
    <s v=""/>
    <s v=""/>
    <s v="[SA-013826-1] Shaft Sleeve, Sala STGVA-33-WFR, Steel"/>
    <m/>
    <m/>
    <m/>
    <m/>
    <m/>
    <s v=""/>
    <s v=""/>
    <s v=""/>
    <s v=""/>
  </r>
  <r>
    <n v="0"/>
    <s v="SO17698"/>
    <m/>
    <x v="0"/>
    <x v="0"/>
    <m/>
    <s v="Wilka Nuñez"/>
    <n v="8"/>
    <n v="2025"/>
    <s v="No Inv"/>
    <s v=""/>
    <s v=""/>
    <x v="0"/>
    <s v="DRN Industriel"/>
    <s v="CAD"/>
    <n v="4779.4799999999996"/>
    <n v="3455.466971466008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7700"/>
    <m/>
    <x v="0"/>
    <x v="0"/>
    <m/>
    <s v="Amanda Qiao"/>
    <n v="8"/>
    <n v="2025"/>
    <s v="No Inv"/>
    <s v=""/>
    <s v=""/>
    <x v="0"/>
    <s v="Mill-Right Mine Services Inc."/>
    <s v="CAD"/>
    <n v="2411.25"/>
    <n v="1720.948410628560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701"/>
    <m/>
    <x v="5"/>
    <x v="0"/>
    <m/>
    <s v="Wilka Nuñez"/>
    <n v="8"/>
    <n v="2025"/>
    <s v="INV13376"/>
    <n v="10"/>
    <n v="2025"/>
    <x v="2"/>
    <s v="Barrick Gold - Pueblo Viejo Dominicana Corporation"/>
    <s v="USD"/>
    <n v="23323.117122143445"/>
    <n v="16862.14"/>
    <x v="0"/>
    <n v="0"/>
    <n v="16862.14"/>
    <m/>
    <x v="3"/>
    <m/>
    <m/>
    <s v=""/>
    <n v="0"/>
    <s v=""/>
    <s v=""/>
    <s v=""/>
    <n v="0"/>
    <s v=""/>
    <s v=""/>
    <s v="[37231] Sleeve Bearing (Suction Bell), ThorPlas-Blue, HPCW"/>
    <m/>
    <m/>
    <m/>
    <m/>
    <m/>
    <s v=""/>
    <n v="0"/>
    <s v=""/>
    <s v=""/>
  </r>
  <r>
    <n v="1"/>
    <s v="SO17703"/>
    <m/>
    <x v="4"/>
    <x v="0"/>
    <m/>
    <s v="Alexis Gil Lamadrid"/>
    <n v="8"/>
    <n v="2025"/>
    <s v="INV13324"/>
    <n v="10"/>
    <n v="2025"/>
    <x v="2"/>
    <s v="Resolute Forest Products - Saint-Felicien"/>
    <s v="CAD"/>
    <n v="296.56"/>
    <n v="213.96738299677165"/>
    <x v="0"/>
    <n v="0"/>
    <n v="213.96738299677165"/>
    <m/>
    <x v="1"/>
    <m/>
    <m/>
    <s v=""/>
    <n v="5.0000000000000001E-3"/>
    <s v=""/>
    <s v=""/>
    <s v=""/>
    <n v="1.0698369149838582"/>
    <s v=""/>
    <s v=""/>
    <s v="[AC-98-131-246-511] Deflector (Water Slinger), 5x5/5x4/6x6 SRL &amp; SRL-C, Neoprene/Steel"/>
    <m/>
    <m/>
    <m/>
    <m/>
    <m/>
    <s v=""/>
    <n v="1.0698369149838582"/>
    <s v=""/>
    <s v=""/>
  </r>
  <r>
    <n v="1"/>
    <s v="SO17704"/>
    <m/>
    <x v="4"/>
    <x v="0"/>
    <m/>
    <s v="Alexis Gil Lamadrid"/>
    <n v="8"/>
    <n v="2025"/>
    <s v="INV13337"/>
    <n v="10"/>
    <n v="2025"/>
    <x v="2"/>
    <s v="Resolute Forest Products - Saint-Felicien"/>
    <s v="CAD"/>
    <n v="264.27999999999997"/>
    <n v="190.67743451034127"/>
    <x v="0"/>
    <n v="0"/>
    <n v="190.67743451034127"/>
    <m/>
    <x v="1"/>
    <m/>
    <m/>
    <s v=""/>
    <n v="5.0000000000000001E-3"/>
    <s v=""/>
    <s v=""/>
    <s v=""/>
    <n v="0.95338717255170635"/>
    <s v=""/>
    <s v=""/>
    <s v="[AC-98-131-246-504] Deflector (Water Slinger), 3x3-10 SRL/SRL-C, Neoprene/Steel"/>
    <m/>
    <m/>
    <m/>
    <m/>
    <m/>
    <s v=""/>
    <n v="0.95338717255170635"/>
    <s v=""/>
    <s v=""/>
  </r>
  <r>
    <n v="1"/>
    <s v="SO17707"/>
    <m/>
    <x v="4"/>
    <x v="0"/>
    <m/>
    <s v="Alexis Gil Lamadrid"/>
    <n v="8"/>
    <n v="2025"/>
    <s v="INV13343"/>
    <n v="9"/>
    <n v="2025"/>
    <x v="1"/>
    <s v="Manufacture Sling-Choker (Val-d’Or) Ltée"/>
    <s v="CAD"/>
    <n v="1388"/>
    <n v="1000.3150791087068"/>
    <x v="0"/>
    <n v="0"/>
    <n v="1000.3150791087068"/>
    <m/>
    <x v="1"/>
    <m/>
    <m/>
    <s v=""/>
    <n v="5.0000000000000001E-3"/>
    <s v=""/>
    <s v=""/>
    <s v=""/>
    <n v="5.0015753955435338"/>
    <s v=""/>
    <s v=""/>
    <s v="[AC-98-231-079-501] Gland Side Liner, 5x5-14 SRL, Natural Rubber"/>
    <m/>
    <m/>
    <n v="2503"/>
    <m/>
    <m/>
    <s v=""/>
    <n v="0"/>
    <s v=""/>
    <s v=""/>
  </r>
  <r>
    <n v="1"/>
    <s v="SO17709"/>
    <m/>
    <x v="5"/>
    <x v="0"/>
    <m/>
    <s v="Wilka Nuñez"/>
    <n v="8"/>
    <n v="2025"/>
    <s v="INV13365"/>
    <n v="10"/>
    <n v="2025"/>
    <x v="2"/>
    <s v="Hyperflo"/>
    <s v="CAD"/>
    <n v="2894.78"/>
    <n v="2099.9261713580067"/>
    <x v="0"/>
    <n v="0"/>
    <n v="2099.9261713580067"/>
    <m/>
    <x v="1"/>
    <m/>
    <m/>
    <s v=""/>
    <n v="5.0000000000000001E-3"/>
    <s v=""/>
    <s v=""/>
    <s v=""/>
    <n v="10.499630856790034"/>
    <s v=""/>
    <s v=""/>
    <s v="[AC-98-332-762-801] Stuffing Box, 12x10-25 or 14x12-29 SRL-C, Cast Iron"/>
    <m/>
    <m/>
    <m/>
    <m/>
    <m/>
    <s v=""/>
    <n v="10.499630856790034"/>
    <s v=""/>
    <s v=""/>
  </r>
  <r>
    <n v="1"/>
    <s v="SO17710"/>
    <m/>
    <x v="0"/>
    <x v="0"/>
    <m/>
    <s v="Ian Trottier"/>
    <n v="8"/>
    <n v="2025"/>
    <s v="INV13413"/>
    <n v="11"/>
    <n v="2025"/>
    <x v="0"/>
    <s v="MAB Equipment Company Inc."/>
    <s v="USD"/>
    <n v="3660.529443645501"/>
    <n v="2638.1"/>
    <x v="0"/>
    <n v="644"/>
    <n v="1994.1"/>
    <m/>
    <x v="0"/>
    <m/>
    <m/>
    <s v=""/>
    <s v=""/>
    <s v=""/>
    <s v=""/>
    <s v=""/>
    <s v=""/>
    <s v=""/>
    <s v=""/>
    <s v="[504889] Impeller, 8x6, Denver SRL, Natural Rubber"/>
    <m/>
    <m/>
    <m/>
    <m/>
    <m/>
    <s v=""/>
    <s v=""/>
    <s v=""/>
    <s v=""/>
  </r>
  <r>
    <n v="0"/>
    <s v="SO17712"/>
    <m/>
    <x v="0"/>
    <x v="0"/>
    <m/>
    <s v="Eduardo Talamantes"/>
    <n v="8"/>
    <n v="2025"/>
    <s v="No Inv"/>
    <s v=""/>
    <s v=""/>
    <x v="0"/>
    <s v="Corrosion Fluid Products Corp., Corrosion Fluid Products Corp. - Chicago"/>
    <s v="USD"/>
    <n v="61475.032535436767"/>
    <n v="44445.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714"/>
    <m/>
    <x v="4"/>
    <x v="0"/>
    <m/>
    <s v="Alexis Gil Lamadrid"/>
    <n v="8"/>
    <n v="2025"/>
    <s v="INV13387"/>
    <n v="10"/>
    <n v="2025"/>
    <x v="2"/>
    <s v="Sling-Choker Manufacturing - Timmins"/>
    <s v="CAD"/>
    <n v="1842.22"/>
    <n v="1327.6660266827389"/>
    <x v="0"/>
    <n v="0"/>
    <n v="1327.6660266827389"/>
    <m/>
    <x v="1"/>
    <m/>
    <m/>
    <s v=""/>
    <n v="5.0000000000000001E-3"/>
    <s v=""/>
    <s v=""/>
    <s v=""/>
    <n v="6.638330133413695"/>
    <s v=""/>
    <s v=""/>
    <s v="[G-0B10588 1216] Impeller, 2x3-13, 3196 LTX, CD4MCu, 5-Vane"/>
    <m/>
    <m/>
    <m/>
    <m/>
    <m/>
    <s v=""/>
    <n v="6.638330133413695"/>
    <s v=""/>
    <s v=""/>
  </r>
  <r>
    <n v="1"/>
    <s v="SO17715"/>
    <m/>
    <x v="4"/>
    <x v="0"/>
    <m/>
    <s v="Alexis Gil Lamadrid"/>
    <n v="8"/>
    <n v="2025"/>
    <s v="INV13385"/>
    <n v="10"/>
    <n v="2025"/>
    <x v="2"/>
    <s v="Dome Mine Ltd"/>
    <s v="CAD"/>
    <n v="389.39"/>
    <n v="280.11727837125181"/>
    <x v="0"/>
    <n v="0"/>
    <n v="280.11727837125181"/>
    <m/>
    <x v="1"/>
    <m/>
    <m/>
    <s v=""/>
    <n v="5.0000000000000001E-3"/>
    <s v=""/>
    <s v=""/>
    <s v=""/>
    <n v="1.4005863918562591"/>
    <s v=""/>
    <s v=""/>
    <s v="[G-D08717A06 6241] Thrust Bearing Labyrinth Seal (Inboard) w/O-Rings, 3196 LTX, Carbon Teflon w/Viton"/>
    <m/>
    <m/>
    <m/>
    <m/>
    <m/>
    <s v=""/>
    <n v="1.4005863918562591"/>
    <s v=""/>
    <s v=""/>
  </r>
  <r>
    <n v="1"/>
    <s v="SO17718"/>
    <m/>
    <x v="0"/>
    <x v="1"/>
    <m/>
    <s v="Amanda Qiao"/>
    <n v="8"/>
    <n v="2025"/>
    <s v="INV13739"/>
    <s v=""/>
    <s v=""/>
    <x v="0"/>
    <s v="Barrick Gold - Pueblo Viejo Dominicana Corporation"/>
    <s v="USD"/>
    <n v="48094.406342432107"/>
    <n v="34786"/>
    <x v="1"/>
    <n v="0"/>
    <n v="0"/>
    <m/>
    <x v="0"/>
    <m/>
    <m/>
    <s v=""/>
    <s v=""/>
    <s v=""/>
    <s v=""/>
    <s v=""/>
    <s v=""/>
    <s v=""/>
    <s v=""/>
    <s v="Mag Drive Gear Pump, Micropump GLH-H25, With Motor"/>
    <m/>
    <m/>
    <m/>
    <m/>
    <m/>
    <s v=""/>
    <s v=""/>
    <s v=""/>
    <s v=""/>
  </r>
  <r>
    <n v="1"/>
    <s v="SO17719"/>
    <m/>
    <x v="4"/>
    <x v="0"/>
    <m/>
    <s v="Ian Trottier"/>
    <n v="8"/>
    <n v="2025"/>
    <s v="INV13342"/>
    <n v="10"/>
    <n v="2025"/>
    <x v="2"/>
    <s v="Resolute Forest Products - Clermont"/>
    <s v="CAD"/>
    <n v="569.88"/>
    <n v="411.63083827808413"/>
    <x v="0"/>
    <n v="0"/>
    <n v="411.63083827808413"/>
    <m/>
    <x v="1"/>
    <m/>
    <m/>
    <s v=""/>
    <n v="5.0000000000000001E-3"/>
    <s v=""/>
    <s v=""/>
    <s v=""/>
    <n v="2.0581541913904209"/>
    <s v=""/>
    <s v=""/>
    <s v="[G-262-93 1013] Frame Adapter, 10&quot;, 3196 MTX/LTX, Ductile Iron"/>
    <m/>
    <m/>
    <m/>
    <m/>
    <m/>
    <s v=""/>
    <n v="2.0581541913904209"/>
    <s v=""/>
    <s v=""/>
  </r>
  <r>
    <n v="1"/>
    <s v="SO17721"/>
    <m/>
    <x v="0"/>
    <x v="0"/>
    <m/>
    <s v="Alexis Gil Lamadrid"/>
    <n v="8"/>
    <n v="2025"/>
    <s v="INV13606"/>
    <n v="12"/>
    <n v="2025"/>
    <x v="0"/>
    <s v="Les Pompes Diaspec Inc."/>
    <s v="CAD"/>
    <n v="256.17"/>
    <n v="185.53329540069151"/>
    <x v="0"/>
    <n v="35"/>
    <n v="150.53329540069151"/>
    <m/>
    <x v="0"/>
    <m/>
    <m/>
    <s v=""/>
    <s v=""/>
    <s v=""/>
    <s v=""/>
    <s v=""/>
    <s v=""/>
    <s v=""/>
    <s v=""/>
    <s v="[AC-52-430-298-006] Seal Cage (Lantern Ring), Allis Chalmers PWO, Group 2"/>
    <m/>
    <m/>
    <m/>
    <m/>
    <m/>
    <s v=""/>
    <s v=""/>
    <s v=""/>
    <s v=""/>
  </r>
  <r>
    <n v="1"/>
    <s v="SO17723"/>
    <m/>
    <x v="4"/>
    <x v="0"/>
    <m/>
    <s v="Ian Trottier"/>
    <n v="8"/>
    <n v="2025"/>
    <s v="INV13350"/>
    <n v="10"/>
    <n v="2025"/>
    <x v="2"/>
    <s v="Hyperflo"/>
    <s v="CAD"/>
    <n v="107.56"/>
    <n v="77.763695517270463"/>
    <x v="0"/>
    <n v="0"/>
    <n v="77.763695517270463"/>
    <m/>
    <x v="1"/>
    <m/>
    <m/>
    <s v=""/>
    <n v="5.0000000000000001E-3"/>
    <s v=""/>
    <s v=""/>
    <s v=""/>
    <n v="0.38881847758635235"/>
    <s v=""/>
    <s v=""/>
    <s v="[AC-98-332-013-811] Fastener Kit (Suction Side Liner), 5x4-14 SRL-C or 6x6-15 SRL"/>
    <m/>
    <m/>
    <m/>
    <m/>
    <m/>
    <s v=""/>
    <n v="0.38881847758635235"/>
    <s v=""/>
    <s v=""/>
  </r>
  <r>
    <n v="1"/>
    <s v="SO17727"/>
    <m/>
    <x v="0"/>
    <x v="0"/>
    <m/>
    <s v="Alexis Gil Lamadrid"/>
    <n v="8"/>
    <n v="2025"/>
    <s v="INV13635"/>
    <n v="12"/>
    <n v="2025"/>
    <x v="0"/>
    <s v="DRN Industriel"/>
    <s v="CAD"/>
    <n v="3783.68"/>
    <n v="2732.9953151119903"/>
    <x v="0"/>
    <n v="0"/>
    <n v="2732.9953151119903"/>
    <m/>
    <x v="0"/>
    <m/>
    <m/>
    <s v=""/>
    <s v=""/>
    <s v=""/>
    <s v=""/>
    <s v=""/>
    <s v=""/>
    <s v=""/>
    <s v=""/>
    <s v="[GA-20DELSLV] Valve (Sleeve), 2&quot; G-Series VSP, Delta Series, Natural Rubber"/>
    <m/>
    <m/>
    <m/>
    <m/>
    <m/>
    <s v=""/>
    <s v=""/>
    <s v=""/>
    <s v=""/>
  </r>
  <r>
    <n v="1"/>
    <s v="SO17729"/>
    <m/>
    <x v="4"/>
    <x v="0"/>
    <m/>
    <s v="Marlen Martinez"/>
    <n v="8"/>
    <n v="2025"/>
    <s v="INV13403"/>
    <n v="11"/>
    <n v="2025"/>
    <x v="2"/>
    <s v="Electric Pump"/>
    <s v="USD"/>
    <n v="2275.9284803376077"/>
    <n v="1651"/>
    <x v="0"/>
    <n v="591"/>
    <n v="1060"/>
    <m/>
    <x v="1"/>
    <m/>
    <m/>
    <s v=""/>
    <n v="5.0000000000000001E-3"/>
    <s v=""/>
    <s v=""/>
    <s v=""/>
    <n v="5.3"/>
    <s v=""/>
    <s v=""/>
    <s v="[W-F078/D21] Stuffing Box, 8/6 F-AH, Ductile Iron"/>
    <m/>
    <m/>
    <m/>
    <m/>
    <m/>
    <s v=""/>
    <n v="5.3"/>
    <s v=""/>
    <s v=""/>
  </r>
  <r>
    <n v="1"/>
    <s v="SO17731"/>
    <m/>
    <x v="5"/>
    <x v="0"/>
    <m/>
    <s v="Wilka Nuñez"/>
    <n v="8"/>
    <n v="2025"/>
    <s v="INV13348"/>
    <n v="10"/>
    <n v="2025"/>
    <x v="2"/>
    <s v="ProPart Pompes du Canada 9425-4380 Quebec Inc"/>
    <s v="CAD"/>
    <n v="113.96"/>
    <n v="82.390765536892346"/>
    <x v="0"/>
    <n v="0"/>
    <n v="82.390765536892346"/>
    <m/>
    <x v="1"/>
    <m/>
    <m/>
    <s v=""/>
    <n v="5.0000000000000001E-3"/>
    <s v=""/>
    <s v=""/>
    <s v=""/>
    <n v="0.41195382768446176"/>
    <s v=""/>
    <s v=""/>
    <s v="[AC-98-430-807-010] Bearing Cover Gasket (Inboard &amp; Outboard), 10x8-21 SRL-C OLD STYLE"/>
    <m/>
    <m/>
    <m/>
    <m/>
    <m/>
    <s v=""/>
    <n v="0.41195382768446176"/>
    <s v=""/>
    <s v=""/>
  </r>
  <r>
    <n v="1"/>
    <s v="SO17737"/>
    <m/>
    <x v="4"/>
    <x v="0"/>
    <m/>
    <s v="Ian Trottier"/>
    <n v="8"/>
    <n v="2025"/>
    <s v="INV13339"/>
    <n v="10"/>
    <n v="2025"/>
    <x v="2"/>
    <s v="Cartledge &amp; Associates Inc."/>
    <s v="USD"/>
    <n v="4528.6280145801593"/>
    <n v="3257.78"/>
    <x v="0"/>
    <n v="590"/>
    <n v="2667.78"/>
    <m/>
    <x v="1"/>
    <m/>
    <m/>
    <s v=""/>
    <n v="5.0000000000000001E-3"/>
    <s v=""/>
    <s v=""/>
    <s v=""/>
    <n v="13.338900000000001"/>
    <s v=""/>
    <s v=""/>
    <s v="[AC-98-039-047-501] Impeller (Closed), 5x4-14 SRL-C, Natural Rubber"/>
    <m/>
    <m/>
    <m/>
    <m/>
    <m/>
    <s v=""/>
    <n v="13.338900000000001"/>
    <s v=""/>
    <s v=""/>
  </r>
  <r>
    <n v="1"/>
    <s v="SO17739"/>
    <m/>
    <x v="4"/>
    <x v="0"/>
    <m/>
    <s v="Alexis Gil Lamadrid"/>
    <n v="8"/>
    <n v="2025"/>
    <s v="INV13359"/>
    <n v="10"/>
    <n v="2025"/>
    <x v="2"/>
    <s v="Hyperflo"/>
    <s v="CAD"/>
    <n v="1833.18"/>
    <n v="1333.0574779523824"/>
    <x v="0"/>
    <n v="0"/>
    <n v="1333.0574779523824"/>
    <m/>
    <x v="1"/>
    <m/>
    <m/>
    <s v=""/>
    <n v="5.0000000000000001E-3"/>
    <s v=""/>
    <s v=""/>
    <s v=""/>
    <n v="6.6652873897619127"/>
    <s v=""/>
    <s v=""/>
    <s v="[AC-98-234-808-501] Gland Assembly, 12x10-25 SRL-C, Cast Iron"/>
    <m/>
    <m/>
    <m/>
    <m/>
    <m/>
    <s v=""/>
    <n v="6.6652873897619127"/>
    <s v=""/>
    <s v=""/>
  </r>
  <r>
    <n v="1"/>
    <s v="SO17740"/>
    <m/>
    <x v="0"/>
    <x v="0"/>
    <m/>
    <s v="Ian Trottier"/>
    <n v="8"/>
    <n v="2025"/>
    <s v="INV13753"/>
    <s v=""/>
    <s v=""/>
    <x v="0"/>
    <s v="Motion Industries Inc. (U.S.) - Pueblo"/>
    <s v="USD"/>
    <n v="6210.3404266936441"/>
    <n v="4489.95"/>
    <x v="1"/>
    <n v="0"/>
    <n v="0"/>
    <m/>
    <x v="0"/>
    <m/>
    <m/>
    <s v=""/>
    <s v=""/>
    <s v=""/>
    <s v=""/>
    <s v=""/>
    <s v=""/>
    <s v=""/>
    <s v=""/>
    <s v="[W-TL40018M/R55] Cover Plate Liner w/T40023ME62, 400 STL, Natural Rubber"/>
    <m/>
    <m/>
    <m/>
    <m/>
    <m/>
    <s v=""/>
    <s v=""/>
    <s v=""/>
    <s v=""/>
  </r>
  <r>
    <n v="2"/>
    <s v="SO17741"/>
    <m/>
    <x v="0"/>
    <x v="0"/>
    <m/>
    <s v="Ian Trottier"/>
    <n v="8"/>
    <n v="2025"/>
    <s v="INV13452"/>
    <s v=""/>
    <s v=""/>
    <x v="0"/>
    <s v="PT Vale Indonesia Tbk."/>
    <s v="USD"/>
    <n v="19807.607682616384"/>
    <n v="14249.09"/>
    <x v="0"/>
    <n v="0"/>
    <n v="14249.09"/>
    <m/>
    <x v="0"/>
    <m/>
    <m/>
    <s v=""/>
    <s v=""/>
    <s v=""/>
    <s v=""/>
    <s v=""/>
    <s v=""/>
    <s v=""/>
    <s v=""/>
    <s v="[G-67868-211-212 5108] Gasket Material (2 Piece Set), Armstrong Syntheseal N-8090, 16&quot; x 17 3/4&quot;"/>
    <m/>
    <m/>
    <m/>
    <m/>
    <m/>
    <s v=""/>
    <s v=""/>
    <s v=""/>
    <s v=""/>
  </r>
  <r>
    <n v="2"/>
    <s v="SO17741"/>
    <m/>
    <x v="0"/>
    <x v="0"/>
    <m/>
    <n v="0"/>
    <n v="8"/>
    <n v="2025"/>
    <s v="INV13690"/>
    <s v=""/>
    <s v=""/>
    <x v="0"/>
    <s v="PT Vale Indonesia Tbk."/>
    <s v="USD"/>
    <n v="0"/>
    <n v="0"/>
    <x v="1"/>
    <n v="0"/>
    <n v="0"/>
    <m/>
    <x v="0"/>
    <m/>
    <m/>
    <s v=""/>
    <s v=""/>
    <s v=""/>
    <s v=""/>
    <s v=""/>
    <s v=""/>
    <s v=""/>
    <s v=""/>
    <s v="[G-252-821 1101] Impeller, 6x8-22DV, 3405-L, Bronze, 5-Vane"/>
    <m/>
    <m/>
    <m/>
    <m/>
    <m/>
    <s v=""/>
    <s v=""/>
    <s v=""/>
    <s v=""/>
  </r>
  <r>
    <n v="1"/>
    <s v="SO17742"/>
    <m/>
    <x v="4"/>
    <x v="0"/>
    <m/>
    <s v="Alexis Gil Lamadrid"/>
    <n v="8"/>
    <n v="2025"/>
    <s v="INV13364"/>
    <n v="10"/>
    <n v="2025"/>
    <x v="2"/>
    <s v="Motion Industries Inc. (Canada) - Prince George"/>
    <s v="CAD"/>
    <n v="3446.9"/>
    <n v="2506.5273572448236"/>
    <x v="0"/>
    <n v="0"/>
    <n v="2506.5273572448236"/>
    <m/>
    <x v="1"/>
    <m/>
    <m/>
    <s v=""/>
    <n v="5.0000000000000001E-3"/>
    <s v=""/>
    <s v=""/>
    <s v=""/>
    <n v="12.532636786224119"/>
    <s v=""/>
    <s v=""/>
    <s v="[W-B111] Premium Slurry Packing (Single Piece), 1.5/1 or 2/1.5 B-AH, Kevlar Fiber w/Silicon Core"/>
    <m/>
    <m/>
    <m/>
    <m/>
    <m/>
    <s v=""/>
    <n v="12.532636786224119"/>
    <s v=""/>
    <s v=""/>
  </r>
  <r>
    <n v="0"/>
    <s v="SO17744"/>
    <m/>
    <x v="0"/>
    <x v="0"/>
    <m/>
    <s v="Amanda Qiao"/>
    <n v="8"/>
    <n v="2025"/>
    <s v="No Inv"/>
    <s v=""/>
    <s v=""/>
    <x v="0"/>
    <s v="Mill-Right Mine Services Inc."/>
    <s v="USD"/>
    <n v="86351.143265630075"/>
    <n v="6258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747"/>
    <m/>
    <x v="4"/>
    <x v="0"/>
    <m/>
    <s v="Alexis Gil Lamadrid"/>
    <n v="8"/>
    <n v="2025"/>
    <s v="INV13354"/>
    <n v="10"/>
    <n v="2025"/>
    <x v="2"/>
    <s v="Resolute Forest Products - Saint-Felicien"/>
    <s v="CAD"/>
    <n v="7718.14"/>
    <n v="5580.0584689444568"/>
    <x v="0"/>
    <n v="0"/>
    <n v="5580.0584689444568"/>
    <m/>
    <x v="1"/>
    <m/>
    <m/>
    <s v=""/>
    <n v="5.0000000000000001E-3"/>
    <s v=""/>
    <s v=""/>
    <s v=""/>
    <n v="27.900292344722285"/>
    <s v=""/>
    <s v=""/>
    <s v="[AC-98-330-286-503] Impeller (Open), 3x3-10 SRL, Neoprene"/>
    <m/>
    <m/>
    <m/>
    <m/>
    <m/>
    <s v=""/>
    <n v="27.900292344722285"/>
    <s v=""/>
    <s v=""/>
  </r>
  <r>
    <n v="1"/>
    <s v="SO17749"/>
    <m/>
    <x v="0"/>
    <x v="0"/>
    <m/>
    <s v="Alexis Gil Lamadrid"/>
    <n v="8"/>
    <n v="2025"/>
    <s v="INV13349"/>
    <s v=""/>
    <s v=""/>
    <x v="0"/>
    <s v="Resolute Forest Products - Saint-Felicien"/>
    <s v="CAD"/>
    <n v="630.64"/>
    <n v="455.93991205849238"/>
    <x v="1"/>
    <n v="0"/>
    <n v="0"/>
    <m/>
    <x v="0"/>
    <m/>
    <m/>
    <s v=""/>
    <s v=""/>
    <s v=""/>
    <s v=""/>
    <s v=""/>
    <s v=""/>
    <s v=""/>
    <s v=""/>
    <s v="[AC-52-108-475-012] Deflector (Inboard), Allis-Chalmers PWO, Group 2"/>
    <m/>
    <m/>
    <m/>
    <m/>
    <m/>
    <s v=""/>
    <s v=""/>
    <s v=""/>
    <s v=""/>
  </r>
  <r>
    <n v="1"/>
    <s v="SO17753"/>
    <m/>
    <x v="4"/>
    <x v="0"/>
    <m/>
    <s v="Alexis Gil Lamadrid"/>
    <n v="8"/>
    <n v="2025"/>
    <s v="INV13367"/>
    <n v="9"/>
    <n v="2025"/>
    <x v="1"/>
    <s v="Alpha Industrial &amp; Mining Supplies Limited"/>
    <s v="CAD"/>
    <n v="299.25"/>
    <n v="216.443268389319"/>
    <x v="0"/>
    <n v="0"/>
    <n v="216.443268389319"/>
    <m/>
    <x v="1"/>
    <m/>
    <m/>
    <s v=""/>
    <n v="5.0000000000000001E-3"/>
    <s v=""/>
    <s v=""/>
    <s v=""/>
    <n v="1.0822163419465951"/>
    <s v=""/>
    <s v=""/>
    <s v="[SA-134427-2] Lantern Ring, Sala STGVA STD33, 316SS"/>
    <m/>
    <m/>
    <n v="2503"/>
    <m/>
    <m/>
    <s v=""/>
    <n v="0"/>
    <s v=""/>
    <s v=""/>
  </r>
  <r>
    <n v="2"/>
    <s v="SO17756"/>
    <m/>
    <x v="4"/>
    <x v="0"/>
    <m/>
    <s v="Alexis Gil Lamadrid"/>
    <n v="8"/>
    <n v="2025"/>
    <s v="INV13353"/>
    <n v="11"/>
    <n v="2025"/>
    <x v="2"/>
    <s v="Southeast Pump Specialist, Inc."/>
    <s v="USD"/>
    <n v="4155.7875542093761"/>
    <n v="3004.55"/>
    <x v="0"/>
    <n v="590"/>
    <n v="2414.5500000000002"/>
    <m/>
    <x v="1"/>
    <m/>
    <m/>
    <s v=""/>
    <n v="5.0000000000000001E-3"/>
    <s v=""/>
    <s v=""/>
    <s v=""/>
    <n v="12.072750000000001"/>
    <s v=""/>
    <s v=""/>
    <s v="[AC-98-331-910-801] Bearing Cylinder, 8x6-18 &amp; 10x8-21 SRL-C, Cast Iron"/>
    <m/>
    <m/>
    <m/>
    <m/>
    <m/>
    <s v=""/>
    <n v="12.072750000000001"/>
    <s v=""/>
    <s v=""/>
  </r>
  <r>
    <n v="2"/>
    <s v="SO17756"/>
    <m/>
    <x v="4"/>
    <x v="0"/>
    <m/>
    <n v="0"/>
    <n v="8"/>
    <n v="2025"/>
    <s v="(* 79207)"/>
    <s v=""/>
    <s v=""/>
    <x v="2"/>
    <s v="Southeast Pump Specialist, Inc."/>
    <s v="USD"/>
    <n v="0"/>
    <n v="0"/>
    <x v="1"/>
    <n v="0"/>
    <n v="0"/>
    <m/>
    <x v="1"/>
    <m/>
    <m/>
    <s v=""/>
    <n v="5.0000000000000001E-3"/>
    <s v=""/>
    <s v=""/>
    <s v=""/>
    <n v="0"/>
    <s v=""/>
    <s v=""/>
    <e v="#N/A"/>
    <m/>
    <m/>
    <m/>
    <m/>
    <m/>
    <s v=""/>
    <n v="0"/>
    <s v=""/>
    <s v=""/>
  </r>
  <r>
    <n v="1"/>
    <s v="SO17758"/>
    <m/>
    <x v="5"/>
    <x v="0"/>
    <m/>
    <s v="Wilka Nuñez"/>
    <n v="8"/>
    <n v="2025"/>
    <s v="INV13391"/>
    <n v="10"/>
    <n v="2025"/>
    <x v="2"/>
    <s v="Canadian Bearings Ltd."/>
    <s v="CAD"/>
    <n v="270.35000000000002"/>
    <n v="195.6040806434313"/>
    <x v="0"/>
    <n v="0"/>
    <n v="195.6040806434313"/>
    <m/>
    <x v="1"/>
    <m/>
    <m/>
    <s v=""/>
    <n v="5.0000000000000001E-3"/>
    <s v=""/>
    <s v=""/>
    <s v=""/>
    <n v="0.97802040321715655"/>
    <s v=""/>
    <s v=""/>
    <s v="[AC-98-232-857-801] Shim Set, A-C PWO-C Group 1, Plastic"/>
    <m/>
    <m/>
    <m/>
    <m/>
    <m/>
    <s v=""/>
    <n v="0.97802040321715655"/>
    <s v=""/>
    <s v=""/>
  </r>
  <r>
    <n v="2"/>
    <s v="SO17759"/>
    <m/>
    <x v="0"/>
    <x v="0"/>
    <m/>
    <s v="Alexis Gil Lamadrid"/>
    <n v="8"/>
    <n v="2025"/>
    <s v="INV13584"/>
    <n v="12"/>
    <n v="2025"/>
    <x v="0"/>
    <s v="Motion Industries Inc. (Canada) - Prince George"/>
    <s v="CAD"/>
    <n v="8071.57"/>
    <n v="5836.5405772239319"/>
    <x v="0"/>
    <n v="0"/>
    <n v="5836.5405772239319"/>
    <m/>
    <x v="0"/>
    <m/>
    <m/>
    <s v=""/>
    <s v=""/>
    <s v=""/>
    <s v=""/>
    <s v=""/>
    <s v=""/>
    <s v=""/>
    <s v=""/>
    <s v="[G-R175MKM18] Maintenance Kit, 18&quot;, 3175-M"/>
    <m/>
    <m/>
    <m/>
    <m/>
    <m/>
    <s v=""/>
    <s v=""/>
    <s v=""/>
    <s v=""/>
  </r>
  <r>
    <n v="2"/>
    <s v="SO17759"/>
    <m/>
    <x v="0"/>
    <x v="0"/>
    <m/>
    <n v="0"/>
    <n v="8"/>
    <n v="2025"/>
    <s v="INV13636"/>
    <n v="12"/>
    <n v="2025"/>
    <x v="0"/>
    <s v="Motion Industries Inc. (Canada) - Prince George"/>
    <s v="CAD"/>
    <n v="0"/>
    <n v="0"/>
    <x v="1"/>
    <n v="0"/>
    <n v="0"/>
    <m/>
    <x v="0"/>
    <m/>
    <m/>
    <s v=""/>
    <s v=""/>
    <s v=""/>
    <s v=""/>
    <s v=""/>
    <s v=""/>
    <s v=""/>
    <s v=""/>
    <s v="[W-FAHF6056QU1/A05] Impeller, 6&quot; E, EE or F-AHF, 4VOG, Flow Inducer, High Chrome"/>
    <m/>
    <m/>
    <m/>
    <m/>
    <m/>
    <s v=""/>
    <s v=""/>
    <s v=""/>
    <s v=""/>
  </r>
  <r>
    <n v="2"/>
    <s v="SO17760"/>
    <m/>
    <x v="0"/>
    <x v="0"/>
    <m/>
    <s v="Carlos Leon"/>
    <n v="8"/>
    <n v="2025"/>
    <s v="INV13686"/>
    <s v=""/>
    <s v=""/>
    <x v="0"/>
    <s v="Dynapro Pumps México S de RL de CV"/>
    <s v="USD"/>
    <n v="2697.1712005818786"/>
    <n v="1950"/>
    <x v="1"/>
    <n v="0"/>
    <n v="0"/>
    <m/>
    <x v="0"/>
    <m/>
    <m/>
    <s v=""/>
    <s v=""/>
    <s v=""/>
    <s v=""/>
    <s v=""/>
    <s v=""/>
    <s v=""/>
    <s v=""/>
    <s v="[D-500S-98B-03/C21] Wear Ring, 500S-98B, 420SS"/>
    <m/>
    <m/>
    <m/>
    <m/>
    <m/>
    <s v=""/>
    <s v=""/>
    <s v=""/>
    <s v=""/>
  </r>
  <r>
    <n v="2"/>
    <s v="SO17760"/>
    <m/>
    <x v="0"/>
    <x v="0"/>
    <m/>
    <n v="0"/>
    <n v="8"/>
    <n v="2025"/>
    <s v="INV13673"/>
    <s v=""/>
    <s v=""/>
    <x v="0"/>
    <s v="Dynapro Pumps México S de RL de CV"/>
    <s v="USD"/>
    <n v="0"/>
    <n v="0"/>
    <x v="1"/>
    <n v="0"/>
    <n v="0"/>
    <m/>
    <x v="0"/>
    <m/>
    <m/>
    <s v=""/>
    <s v=""/>
    <s v=""/>
    <s v=""/>
    <s v=""/>
    <s v=""/>
    <s v=""/>
    <s v=""/>
    <s v="[D-500S-98B-20/E05] Key, 500S-98B, C28x160, 1045 Steel"/>
    <m/>
    <m/>
    <m/>
    <m/>
    <m/>
    <s v=""/>
    <s v=""/>
    <s v=""/>
    <s v=""/>
  </r>
  <r>
    <n v="1"/>
    <s v="SO17761"/>
    <m/>
    <x v="5"/>
    <x v="0"/>
    <m/>
    <s v="Wilka Nuñez"/>
    <n v="8"/>
    <n v="2025"/>
    <s v="INV13378"/>
    <n v="10"/>
    <n v="2025"/>
    <x v="2"/>
    <s v="Barrick Gold - Pueblo Viejo Dominicana Corporation"/>
    <s v="USD"/>
    <n v="9778.1999857648989"/>
    <n v="7069.44"/>
    <x v="0"/>
    <n v="0"/>
    <n v="7069.44"/>
    <m/>
    <x v="3"/>
    <m/>
    <m/>
    <s v=""/>
    <n v="0"/>
    <s v=""/>
    <s v=""/>
    <s v=""/>
    <n v="0"/>
    <s v=""/>
    <s v=""/>
    <s v="[D-2001412-4PHSS] Hex Cap Screw, 10JKH/M, 0.44-14NCx1.50, 17-4PH SS"/>
    <m/>
    <m/>
    <m/>
    <m/>
    <m/>
    <s v=""/>
    <n v="0"/>
    <s v=""/>
    <s v=""/>
  </r>
  <r>
    <n v="1"/>
    <s v="SO17763"/>
    <m/>
    <x v="4"/>
    <x v="0"/>
    <m/>
    <s v="Alexis Gil Lamadrid"/>
    <n v="8"/>
    <n v="2025"/>
    <s v="INV13417"/>
    <n v="10"/>
    <n v="2025"/>
    <x v="2"/>
    <s v="Motion Industries Inc. (Canada) - North Bay, Motion Industries Canada"/>
    <s v="CAD"/>
    <n v="2576.7199999999998"/>
    <n v="1869.1996504955835"/>
    <x v="0"/>
    <n v="0"/>
    <n v="1869.1996504955835"/>
    <m/>
    <x v="1"/>
    <m/>
    <m/>
    <s v=""/>
    <n v="5.0000000000000001E-3"/>
    <s v=""/>
    <s v=""/>
    <s v=""/>
    <n v="9.3459982524779175"/>
    <s v=""/>
    <s v=""/>
    <s v="[DU-CY21693AB-BBC8] Shaft (Solid), 3x2-8, Durco Mark 2 Group 2, 1144 Material w/BBC8 Sleeve"/>
    <m/>
    <m/>
    <m/>
    <m/>
    <m/>
    <s v=""/>
    <n v="9.3459982524779175"/>
    <s v=""/>
    <s v=""/>
  </r>
  <r>
    <n v="1"/>
    <s v="SO17765"/>
    <m/>
    <x v="0"/>
    <x v="0"/>
    <m/>
    <s v="Ian Trottier"/>
    <n v="8"/>
    <n v="2025"/>
    <s v="INV13384"/>
    <n v="10"/>
    <n v="2025"/>
    <x v="0"/>
    <s v="Middle Georgia Fluid Sealing LLC"/>
    <s v="USD"/>
    <n v="18960.735106430871"/>
    <n v="13714.03"/>
    <x v="0"/>
    <n v="622"/>
    <n v="13092.03"/>
    <m/>
    <x v="0"/>
    <m/>
    <m/>
    <s v=""/>
    <s v=""/>
    <s v=""/>
    <s v=""/>
    <s v=""/>
    <s v=""/>
    <s v=""/>
    <s v=""/>
    <s v="[G-249-63 1216] Casing, 1.5x3-13, 3196 MTX, CD4MCu"/>
    <m/>
    <m/>
    <m/>
    <m/>
    <m/>
    <s v=""/>
    <s v=""/>
    <s v=""/>
    <s v=""/>
  </r>
  <r>
    <n v="2"/>
    <s v="SO17768"/>
    <m/>
    <x v="1"/>
    <x v="0"/>
    <m/>
    <s v="Ian Trottier"/>
    <n v="8"/>
    <n v="2025"/>
    <s v="INV13383"/>
    <n v="10"/>
    <n v="2025"/>
    <x v="2"/>
    <s v="Wesdome Gold Mines Ltd - Eagle River Mine"/>
    <s v="CAD"/>
    <n v="27525.7"/>
    <n v="19967.644454828729"/>
    <x v="0"/>
    <n v="0"/>
    <n v="19967.644454828729"/>
    <m/>
    <x v="1"/>
    <m/>
    <m/>
    <s v=""/>
    <n v="5.0000000000000001E-3"/>
    <s v=""/>
    <s v=""/>
    <s v=""/>
    <n v="99.838222274143646"/>
    <s v=""/>
    <s v=""/>
    <s v="[AC-98-331-958-831] Shaft Sleeve, 5x4/5x5/6X6 SRL-C &amp; SRL, 420SS Heat Treated, Hardened"/>
    <m/>
    <m/>
    <m/>
    <m/>
    <m/>
    <s v=""/>
    <n v="99.838222274143646"/>
    <s v=""/>
    <s v=""/>
  </r>
  <r>
    <n v="2"/>
    <s v="SO17768"/>
    <m/>
    <x v="1"/>
    <x v="0"/>
    <m/>
    <n v="0"/>
    <n v="8"/>
    <n v="2025"/>
    <s v="INV13426"/>
    <n v="1"/>
    <n v="1900"/>
    <x v="2"/>
    <s v="Wesdome Gold Mines Ltd - Eagle River Mine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332-013-811] Fastener Kit (Suction Side Liner), 5x4-14 SRL-C or 6x6-15 SRL"/>
    <m/>
    <m/>
    <m/>
    <m/>
    <m/>
    <s v=""/>
    <n v="0"/>
    <s v=""/>
    <s v=""/>
  </r>
  <r>
    <n v="2"/>
    <s v="SO17769"/>
    <m/>
    <x v="5"/>
    <x v="0"/>
    <m/>
    <s v="Wilka Nuñez"/>
    <n v="8"/>
    <n v="2025"/>
    <s v="INV13643"/>
    <n v="1"/>
    <n v="2026"/>
    <x v="2"/>
    <s v="Barrick Gold - Pueblo Viejo Dominicana Corporation"/>
    <s v="USD"/>
    <n v="31086.578437253145"/>
    <n v="22484.48"/>
    <x v="0"/>
    <n v="0"/>
    <n v="22484.48"/>
    <m/>
    <x v="3"/>
    <m/>
    <m/>
    <s v=""/>
    <n v="0"/>
    <s v=""/>
    <s v=""/>
    <s v=""/>
    <n v="0"/>
    <s v=""/>
    <s v=""/>
    <s v="[D-2001408-2507] Impeller Wear Ring, 10JKH/M, 5.12x5.48x0.88, Duplex SS 2507 w/Ion Nitriding"/>
    <m/>
    <m/>
    <m/>
    <m/>
    <m/>
    <s v=""/>
    <n v="0"/>
    <s v=""/>
    <s v=""/>
  </r>
  <r>
    <n v="2"/>
    <s v="SO17769"/>
    <m/>
    <x v="5"/>
    <x v="0"/>
    <m/>
    <n v="0"/>
    <n v="8"/>
    <n v="2025"/>
    <s v="INV13377"/>
    <n v="10"/>
    <n v="2025"/>
    <x v="2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D-2001408-2507] Impeller Wear Ring, 10JKH/M, 5.12x5.48x0.88, Duplex SS 2507 w/Ion Nitriding"/>
    <m/>
    <m/>
    <m/>
    <m/>
    <m/>
    <s v=""/>
    <n v="0"/>
    <s v=""/>
    <s v=""/>
  </r>
  <r>
    <n v="1"/>
    <s v="SO17774"/>
    <m/>
    <x v="5"/>
    <x v="0"/>
    <m/>
    <s v="Wilka Nuñez"/>
    <n v="8"/>
    <n v="2025"/>
    <s v="INV13362"/>
    <n v="11"/>
    <n v="2025"/>
    <x v="2"/>
    <s v="Motion Industries Inc. (U.S.) - Clewiston"/>
    <s v="USD"/>
    <n v="371.64353415826866"/>
    <n v="268.8"/>
    <x v="0"/>
    <n v="0"/>
    <n v="268.8"/>
    <m/>
    <x v="1"/>
    <m/>
    <m/>
    <s v=""/>
    <n v="5.0000000000000001E-3"/>
    <s v=""/>
    <s v=""/>
    <s v=""/>
    <n v="1.3440000000000001"/>
    <s v=""/>
    <s v=""/>
    <s v="[OLPWZ011010B, G-A04951A223] Bearing Isolator (Outboard), 3196 XLT/XLTi, 303SS Rotor / Bronze Stator w/Viton"/>
    <m/>
    <m/>
    <m/>
    <m/>
    <m/>
    <s v=""/>
    <n v="1.3440000000000001"/>
    <s v=""/>
    <s v=""/>
  </r>
  <r>
    <n v="1"/>
    <s v="SO17775"/>
    <m/>
    <x v="0"/>
    <x v="0"/>
    <m/>
    <s v="Wilka Nuñez"/>
    <n v="8"/>
    <n v="2025"/>
    <s v="INV13791"/>
    <s v=""/>
    <s v=""/>
    <x v="0"/>
    <s v="PT Vale Indonesia Tbk."/>
    <s v="USD"/>
    <n v="1484.0578002038783"/>
    <n v="1073.3800000000001"/>
    <x v="1"/>
    <n v="0"/>
    <n v="0"/>
    <m/>
    <x v="0"/>
    <m/>
    <m/>
    <s v=""/>
    <s v=""/>
    <s v=""/>
    <s v=""/>
    <s v=""/>
    <s v=""/>
    <s v=""/>
    <s v=""/>
    <s v="[G-R72489 6956] Shaft Sleeve, 3405-L, Ni-Chrome Boron On 316SS, Locking"/>
    <m/>
    <m/>
    <m/>
    <m/>
    <m/>
    <s v=""/>
    <s v=""/>
    <s v=""/>
    <s v=""/>
  </r>
  <r>
    <n v="1"/>
    <s v="SO17776"/>
    <m/>
    <x v="2"/>
    <x v="0"/>
    <m/>
    <s v="Marlen Martinez"/>
    <n v="8"/>
    <n v="2025"/>
    <s v="INV13368"/>
    <n v="12"/>
    <n v="2025"/>
    <x v="0"/>
    <s v="Covia Corp - Blue Mountain"/>
    <s v="USD"/>
    <n v="8216.692090191882"/>
    <n v="5963.41"/>
    <x v="0"/>
    <n v="288.35000000000002"/>
    <n v="5675.0599999999995"/>
    <m/>
    <x v="0"/>
    <m/>
    <m/>
    <s v=""/>
    <s v=""/>
    <s v=""/>
    <s v=""/>
    <s v=""/>
    <s v=""/>
    <s v=""/>
    <s v=""/>
    <s v="[W-B117/C21] Shaft Spacer, 1.5/1 or 2/1.5 B-AH, 420SS"/>
    <m/>
    <m/>
    <m/>
    <m/>
    <m/>
    <s v=""/>
    <s v=""/>
    <s v=""/>
    <s v=""/>
  </r>
  <r>
    <n v="1"/>
    <s v="SO17777"/>
    <m/>
    <x v="4"/>
    <x v="0"/>
    <m/>
    <s v="Alexis Gil Lamadrid"/>
    <n v="8"/>
    <n v="2025"/>
    <s v="INV13409"/>
    <n v="9"/>
    <n v="2025"/>
    <x v="2"/>
    <s v="F H Pumps, Inc., F H Pumps, Inc"/>
    <s v="USD"/>
    <n v="2861.7796472376949"/>
    <n v="2069.85"/>
    <x v="0"/>
    <n v="0"/>
    <n v="2069.85"/>
    <m/>
    <x v="1"/>
    <m/>
    <m/>
    <s v=""/>
    <n v="5.0000000000000001E-3"/>
    <s v=""/>
    <s v=""/>
    <s v=""/>
    <n v="10.34925"/>
    <s v=""/>
    <s v=""/>
    <s v="[AC-98-236-198-801] Shaft Collar, 8x8-25 SRL-XT, Steel"/>
    <m/>
    <m/>
    <m/>
    <m/>
    <m/>
    <s v=""/>
    <n v="10.34925"/>
    <s v=""/>
    <s v=""/>
  </r>
  <r>
    <n v="2"/>
    <s v="SO17778"/>
    <m/>
    <x v="4"/>
    <x v="0"/>
    <m/>
    <s v="Alexis Gil Lamadrid"/>
    <n v="8"/>
    <n v="2025"/>
    <s v="INV13513"/>
    <n v="11"/>
    <n v="2025"/>
    <x v="2"/>
    <s v="Canadian Industrial Pumps Ltd"/>
    <s v="CAD"/>
    <n v="7090.68"/>
    <n v="5138.7247188494093"/>
    <x v="0"/>
    <n v="0"/>
    <n v="5138.7247188494093"/>
    <m/>
    <x v="1"/>
    <m/>
    <m/>
    <s v=""/>
    <n v="5.0000000000000001E-3"/>
    <s v=""/>
    <s v=""/>
    <s v=""/>
    <n v="25.693623594247047"/>
    <s v=""/>
    <s v=""/>
    <s v="[AC-98-233-700-001] Bearing Cover Gasket (Inboard &amp; Outboard), 8x6-18 &amp; 10x8-21 SRL-C"/>
    <m/>
    <m/>
    <m/>
    <m/>
    <m/>
    <s v=""/>
    <n v="25.693623594247047"/>
    <s v=""/>
    <s v=""/>
  </r>
  <r>
    <n v="2"/>
    <s v="SO17778"/>
    <m/>
    <x v="4"/>
    <x v="0"/>
    <m/>
    <n v="0"/>
    <n v="8"/>
    <n v="2025"/>
    <s v="INV13541"/>
    <n v="12"/>
    <n v="2025"/>
    <x v="2"/>
    <s v="Canadian Industrial Pumps Ltd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NSK-22218EAE4, AC-00-813-261-537] Roller Bearing (Inboard), 8x6-18 &amp; 10x8-21 SRL-C"/>
    <m/>
    <m/>
    <m/>
    <m/>
    <m/>
    <s v=""/>
    <n v="0"/>
    <s v=""/>
    <s v=""/>
  </r>
  <r>
    <n v="1"/>
    <s v="SO17779"/>
    <m/>
    <x v="4"/>
    <x v="0"/>
    <m/>
    <s v="Alexis Gil Lamadrid"/>
    <n v="8"/>
    <n v="2025"/>
    <s v="INV13430"/>
    <n v="11"/>
    <n v="2025"/>
    <x v="2"/>
    <s v="Resolute Forest Products - Saint-Felicien"/>
    <s v="CAD"/>
    <n v="236.55"/>
    <n v="172.29834334654927"/>
    <x v="0"/>
    <n v="0"/>
    <n v="172.29834334654927"/>
    <m/>
    <x v="1"/>
    <m/>
    <m/>
    <s v=""/>
    <n v="5.0000000000000001E-3"/>
    <s v=""/>
    <s v=""/>
    <s v=""/>
    <n v="0.86149171673274638"/>
    <s v=""/>
    <s v=""/>
    <s v="[OLPWZ011003B, G-A04951A216] Bearing Isolator (Inboard), 3196 STX/STi, 303SS Rotor / Bronze Stator w/Viton"/>
    <m/>
    <m/>
    <m/>
    <m/>
    <m/>
    <s v=""/>
    <n v="0.86149171673274638"/>
    <s v=""/>
    <s v=""/>
  </r>
  <r>
    <n v="0"/>
    <s v="SO17781"/>
    <m/>
    <x v="0"/>
    <x v="0"/>
    <m/>
    <s v="Wilka Nuñez"/>
    <n v="9"/>
    <n v="2025"/>
    <s v="No Inv"/>
    <s v=""/>
    <s v=""/>
    <x v="0"/>
    <s v="Motion Industries Inc. (Canada) - Prince George"/>
    <s v="CAD"/>
    <n v="3879.01"/>
    <n v="2811.311834276787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782"/>
    <m/>
    <x v="0"/>
    <x v="0"/>
    <m/>
    <s v="Yannett Yeomans"/>
    <n v="9"/>
    <n v="2025"/>
    <s v="INV13687"/>
    <s v=""/>
    <s v=""/>
    <x v="0"/>
    <s v="Dynapro Pumps México S de RL de CV"/>
    <s v="USD"/>
    <n v="11042.910275564245"/>
    <n v="8034"/>
    <x v="1"/>
    <n v="0"/>
    <n v="0"/>
    <m/>
    <x v="0"/>
    <m/>
    <m/>
    <s v=""/>
    <s v=""/>
    <s v=""/>
    <s v=""/>
    <s v=""/>
    <s v=""/>
    <s v=""/>
    <s v=""/>
    <s v="[150SV-SP] Vertical Sump Pump, 150SV-SP, High Chrome"/>
    <m/>
    <m/>
    <m/>
    <m/>
    <m/>
    <s v=""/>
    <s v=""/>
    <s v=""/>
    <s v=""/>
  </r>
  <r>
    <n v="1"/>
    <s v="SO17783"/>
    <m/>
    <x v="5"/>
    <x v="0"/>
    <m/>
    <s v="Wilka Nuñez"/>
    <n v="9"/>
    <n v="2025"/>
    <s v="INV13479"/>
    <n v="11"/>
    <n v="2025"/>
    <x v="2"/>
    <s v="Barrick Gold - Pueblo Viejo Dominicana Corporation"/>
    <s v="USD"/>
    <n v="7436.1884499148664"/>
    <n v="5389.12"/>
    <x v="0"/>
    <n v="0"/>
    <n v="5389.12"/>
    <m/>
    <x v="3"/>
    <m/>
    <m/>
    <s v=""/>
    <n v="0"/>
    <s v=""/>
    <s v=""/>
    <s v=""/>
    <n v="0"/>
    <s v=""/>
    <s v=""/>
    <s v="[37230] Sleeve Bearing (Bowl), ThorPlas-Blue, HPCW"/>
    <m/>
    <m/>
    <m/>
    <m/>
    <m/>
    <s v=""/>
    <n v="0"/>
    <s v=""/>
    <s v=""/>
  </r>
  <r>
    <n v="1"/>
    <s v="SO17784"/>
    <m/>
    <x v="0"/>
    <x v="0"/>
    <m/>
    <s v="Wilka Nuñez"/>
    <n v="9"/>
    <n v="2025"/>
    <s v="INV13361"/>
    <n v="1"/>
    <n v="2026"/>
    <x v="0"/>
    <s v="Wajax Limited - Val D'Or, Composants Industriels Wajax SC -57"/>
    <s v="CAD"/>
    <n v="2940.13"/>
    <n v="2123.0211762593731"/>
    <x v="0"/>
    <n v="0"/>
    <n v="2123.0211762593731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7785"/>
    <m/>
    <x v="0"/>
    <x v="0"/>
    <m/>
    <s v="Wilka Nuñez"/>
    <n v="9"/>
    <n v="2025"/>
    <s v="INV13665"/>
    <s v=""/>
    <s v=""/>
    <x v="0"/>
    <s v="Tech-Flow"/>
    <s v="USD"/>
    <n v="1682.4707767983607"/>
    <n v="1223"/>
    <x v="1"/>
    <n v="0"/>
    <n v="0"/>
    <m/>
    <x v="0"/>
    <m/>
    <m/>
    <s v=""/>
    <s v=""/>
    <s v=""/>
    <s v=""/>
    <s v=""/>
    <s v=""/>
    <s v=""/>
    <s v=""/>
    <s v="[SA-013733-M2] Wear Disc, 44 WFR, Sala STGVA-180, High Chrome"/>
    <m/>
    <m/>
    <m/>
    <m/>
    <m/>
    <s v=""/>
    <s v=""/>
    <s v=""/>
    <s v=""/>
  </r>
  <r>
    <n v="1"/>
    <s v="SO17786"/>
    <m/>
    <x v="0"/>
    <x v="0"/>
    <m/>
    <s v="Yannett Yeomans"/>
    <n v="9"/>
    <n v="2025"/>
    <s v="INV13375"/>
    <s v=""/>
    <s v=""/>
    <x v="0"/>
    <s v="Dynapro Pumps México S de RL de CV"/>
    <s v="USD"/>
    <n v="3692.6414252439868"/>
    <n v="2680"/>
    <x v="1"/>
    <n v="0"/>
    <n v="0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1"/>
    <s v="SO17787"/>
    <m/>
    <x v="0"/>
    <x v="0"/>
    <m/>
    <s v="Ian Trottier"/>
    <n v="9"/>
    <n v="2025"/>
    <s v="INV13397"/>
    <n v="10"/>
    <n v="2025"/>
    <x v="0"/>
    <s v="Motion Industries Inc. (Canada) - Winnipeg"/>
    <s v="CAD"/>
    <n v="112.54"/>
    <n v="81.395130764358285"/>
    <x v="0"/>
    <n v="0"/>
    <n v="81.395130764358285"/>
    <m/>
    <x v="0"/>
    <m/>
    <m/>
    <s v=""/>
    <s v=""/>
    <s v=""/>
    <s v=""/>
    <s v=""/>
    <s v=""/>
    <s v=""/>
    <s v=""/>
    <s v="[WO-390009-10] Gasket Case, Worthington D800/D1000/D-1011, Frame 3"/>
    <m/>
    <m/>
    <m/>
    <m/>
    <m/>
    <s v=""/>
    <s v=""/>
    <s v=""/>
    <s v=""/>
  </r>
  <r>
    <n v="1"/>
    <s v="SO17788"/>
    <m/>
    <x v="4"/>
    <x v="0"/>
    <m/>
    <s v="Alexis Gil Lamadrid"/>
    <n v="9"/>
    <n v="2025"/>
    <s v="INV13360"/>
    <n v="10"/>
    <n v="2025"/>
    <x v="2"/>
    <s v="Sealtrac Inc."/>
    <s v="CAD"/>
    <n v="913.69"/>
    <n v="659.76103727944917"/>
    <x v="0"/>
    <n v="0"/>
    <n v="659.76103727944917"/>
    <m/>
    <x v="1"/>
    <m/>
    <m/>
    <s v=""/>
    <n v="5.0000000000000001E-3"/>
    <s v=""/>
    <s v=""/>
    <s v=""/>
    <n v="3.2988051863972458"/>
    <s v=""/>
    <s v=""/>
    <s v="[DU-CY21361AB-316] Shaft (Solid), Durco Mark 2&amp;3 Group 2, 316SS"/>
    <m/>
    <m/>
    <m/>
    <m/>
    <m/>
    <s v=""/>
    <n v="3.2988051863972458"/>
    <s v=""/>
    <s v=""/>
  </r>
  <r>
    <n v="1"/>
    <s v="SO17794"/>
    <m/>
    <x v="0"/>
    <x v="0"/>
    <m/>
    <s v="Alexis Gil Lamadrid"/>
    <n v="9"/>
    <n v="2025"/>
    <s v="INV13545"/>
    <n v="12"/>
    <n v="2025"/>
    <x v="0"/>
    <s v="FMI Products"/>
    <s v="CAD"/>
    <n v="2213.92"/>
    <n v="1589.9836817875316"/>
    <x v="1"/>
    <n v="0"/>
    <n v="0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2"/>
    <s v="SO17796"/>
    <m/>
    <x v="4"/>
    <x v="0"/>
    <m/>
    <s v="Alexis Gil Lamadrid"/>
    <n v="9"/>
    <n v="2025"/>
    <s v="INV13579"/>
    <n v="12"/>
    <n v="2025"/>
    <x v="2"/>
    <s v="Sealtrac Inc."/>
    <s v="CAD"/>
    <n v="842.06"/>
    <n v="608.89236647358371"/>
    <x v="0"/>
    <n v="0"/>
    <n v="608.89236647358371"/>
    <m/>
    <x v="1"/>
    <m/>
    <m/>
    <s v=""/>
    <n v="5.0000000000000001E-3"/>
    <s v=""/>
    <s v=""/>
    <s v=""/>
    <n v="3.0444618323679187"/>
    <s v=""/>
    <s v=""/>
    <s v="[G-R104-731 2229] Shaft (Less Sleeve), 3196 MTX, 316SS"/>
    <m/>
    <m/>
    <m/>
    <m/>
    <m/>
    <s v=""/>
    <n v="3.0444618323679187"/>
    <s v=""/>
    <s v=""/>
  </r>
  <r>
    <n v="2"/>
    <s v="SO17796"/>
    <m/>
    <x v="4"/>
    <x v="0"/>
    <m/>
    <n v="0"/>
    <n v="9"/>
    <n v="2025"/>
    <s v="INV13416"/>
    <n v="11"/>
    <n v="2025"/>
    <x v="2"/>
    <s v="Sealtrac Inc.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SKF or NSK 3309 BTNC3, G-8049-30900] Bearing (Outboard), 3196 MTX, Deep Groove, Double Row"/>
    <m/>
    <m/>
    <m/>
    <m/>
    <m/>
    <s v=""/>
    <n v="0"/>
    <s v=""/>
    <s v=""/>
  </r>
  <r>
    <n v="0"/>
    <s v="SO17797"/>
    <m/>
    <x v="0"/>
    <x v="0"/>
    <m/>
    <s v="Amanda Qiao"/>
    <n v="9"/>
    <n v="2025"/>
    <s v="No Inv"/>
    <s v=""/>
    <s v=""/>
    <x v="0"/>
    <s v="Super Cast Limited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799"/>
    <m/>
    <x v="0"/>
    <x v="0"/>
    <m/>
    <s v="Wilka Nuñez"/>
    <n v="9"/>
    <n v="2025"/>
    <s v="INV13664"/>
    <s v=""/>
    <s v=""/>
    <x v="0"/>
    <s v="Tech-Flow"/>
    <s v="USD"/>
    <n v="1685.9240045141698"/>
    <n v="1223"/>
    <x v="1"/>
    <n v="0"/>
    <n v="0"/>
    <m/>
    <x v="0"/>
    <m/>
    <m/>
    <s v=""/>
    <s v=""/>
    <s v=""/>
    <s v=""/>
    <s v=""/>
    <s v=""/>
    <s v=""/>
    <s v=""/>
    <s v="[SA-013733-M2] Wear Disc, 44 WFR, Sala STGVA-180, High Chrome"/>
    <m/>
    <m/>
    <m/>
    <m/>
    <m/>
    <s v=""/>
    <s v=""/>
    <s v=""/>
    <s v=""/>
  </r>
  <r>
    <n v="1"/>
    <s v="SO17800"/>
    <m/>
    <x v="4"/>
    <x v="0"/>
    <m/>
    <s v="Ian Trottier"/>
    <n v="9"/>
    <n v="2025"/>
    <s v="INV13373"/>
    <n v="10"/>
    <n v="2025"/>
    <x v="2"/>
    <s v="Hyperflo"/>
    <s v="CAD"/>
    <n v="909.56"/>
    <n v="657.70151871566486"/>
    <x v="0"/>
    <n v="0"/>
    <n v="657.70151871566486"/>
    <m/>
    <x v="1"/>
    <m/>
    <m/>
    <s v=""/>
    <n v="5.0000000000000001E-3"/>
    <s v=""/>
    <s v=""/>
    <s v=""/>
    <n v="3.2885075935783243"/>
    <s v=""/>
    <s v=""/>
    <s v="[AC-98-211-426-501] Impeller, 2x2-10 SRL, Natural Rubber"/>
    <m/>
    <m/>
    <m/>
    <m/>
    <m/>
    <s v=""/>
    <n v="3.2885075935783243"/>
    <s v=""/>
    <s v=""/>
  </r>
  <r>
    <n v="1"/>
    <s v="SO17801"/>
    <m/>
    <x v="4"/>
    <x v="0"/>
    <m/>
    <s v="Alexis Gil Lamadrid"/>
    <n v="9"/>
    <n v="2025"/>
    <s v="INV13396"/>
    <n v="11"/>
    <n v="2025"/>
    <x v="2"/>
    <s v="Resolute Forest Products - Fibrek"/>
    <s v="CAD"/>
    <n v="9022.9"/>
    <n v="6528.2635814226587"/>
    <x v="0"/>
    <n v="0"/>
    <n v="6528.2635814226587"/>
    <m/>
    <x v="1"/>
    <m/>
    <m/>
    <s v=""/>
    <n v="5.0000000000000001E-3"/>
    <s v=""/>
    <s v=""/>
    <s v=""/>
    <n v="32.641317907113297"/>
    <s v=""/>
    <s v=""/>
    <s v="[AC-98-432-884-801] Bearing Housing, PWO, Frame 2, Oil"/>
    <m/>
    <m/>
    <m/>
    <m/>
    <m/>
    <s v=""/>
    <n v="32.641317907113297"/>
    <s v=""/>
    <s v=""/>
  </r>
  <r>
    <n v="1"/>
    <s v="SO17803"/>
    <m/>
    <x v="4"/>
    <x v="0"/>
    <m/>
    <s v="Ian Trottier"/>
    <n v="9"/>
    <n v="2025"/>
    <s v="INV13410"/>
    <n v="10"/>
    <n v="2025"/>
    <x v="2"/>
    <s v="Hyperflo"/>
    <s v="CAD"/>
    <n v="100.58"/>
    <n v="72.891871050713561"/>
    <x v="0"/>
    <n v="0"/>
    <n v="72.891871050713561"/>
    <m/>
    <x v="1"/>
    <m/>
    <m/>
    <s v=""/>
    <n v="5.0000000000000001E-3"/>
    <s v=""/>
    <s v=""/>
    <s v=""/>
    <n v="0.36445935525356782"/>
    <s v=""/>
    <s v=""/>
    <s v="[AC-98-233-733-514] Deflector (Water Slinger), 2x2-10 SRL, Neoprene/Steel"/>
    <m/>
    <m/>
    <m/>
    <m/>
    <m/>
    <s v=""/>
    <n v="0.36445935525356782"/>
    <s v=""/>
    <s v=""/>
  </r>
  <r>
    <n v="1"/>
    <s v="SO17804"/>
    <m/>
    <x v="4"/>
    <x v="0"/>
    <m/>
    <s v="Alexis Gil Lamadrid"/>
    <n v="9"/>
    <n v="2025"/>
    <s v="INV13381"/>
    <n v="10"/>
    <n v="2025"/>
    <x v="2"/>
    <s v="Wajax Limited - Lachine"/>
    <s v="CAD"/>
    <n v="498.96"/>
    <n v="360.87537272244725"/>
    <x v="0"/>
    <n v="0"/>
    <n v="360.87537272244725"/>
    <m/>
    <x v="1"/>
    <m/>
    <m/>
    <s v=""/>
    <n v="5.0000000000000001E-3"/>
    <s v=""/>
    <s v=""/>
    <s v=""/>
    <n v="1.8043768636122364"/>
    <s v=""/>
    <s v=""/>
    <s v="[AC-98-331-958-803] Shaft Sleeve, 5x4/5x5/6x6 SRL &amp; SRL-C, Steel"/>
    <m/>
    <m/>
    <m/>
    <m/>
    <m/>
    <s v=""/>
    <n v="1.8043768636122364"/>
    <s v=""/>
    <s v=""/>
  </r>
  <r>
    <n v="3"/>
    <s v="SO17806"/>
    <m/>
    <x v="2"/>
    <x v="0"/>
    <m/>
    <s v="Marlen Martinez"/>
    <n v="9"/>
    <n v="2025"/>
    <s v="INV13552"/>
    <s v=""/>
    <s v=""/>
    <x v="0"/>
    <s v="Covia Corp - Junction City"/>
    <s v="USD"/>
    <n v="13645.070346114962"/>
    <n v="9866.5499999999993"/>
    <x v="0"/>
    <n v="69.97"/>
    <n v="9796.58"/>
    <m/>
    <x v="0"/>
    <m/>
    <m/>
    <s v=""/>
    <s v=""/>
    <s v=""/>
    <s v=""/>
    <s v=""/>
    <s v=""/>
    <s v=""/>
    <s v=""/>
    <s v="[W-E4132H/S01] Discharge Joint Ring, 6/4 F-HH, EPDM"/>
    <m/>
    <m/>
    <m/>
    <m/>
    <m/>
    <s v=""/>
    <s v=""/>
    <s v=""/>
    <s v=""/>
  </r>
  <r>
    <n v="3"/>
    <s v="SO17806"/>
    <m/>
    <x v="0"/>
    <x v="0"/>
    <m/>
    <n v="0"/>
    <n v="9"/>
    <n v="2025"/>
    <s v="INV13533"/>
    <s v=""/>
    <s v=""/>
    <x v="0"/>
    <s v="Covia Corp - Junction City"/>
    <s v="USD"/>
    <n v="0"/>
    <n v="0"/>
    <x v="1"/>
    <n v="478.15"/>
    <n v="0"/>
    <m/>
    <x v="0"/>
    <m/>
    <m/>
    <s v=""/>
    <s v=""/>
    <s v=""/>
    <s v=""/>
    <s v=""/>
    <s v=""/>
    <s v=""/>
    <s v=""/>
    <s v="[W-G8124/S01] Volute Liner Seal, 10/8 ST, FF or F-AH, EPDM Rubber"/>
    <m/>
    <m/>
    <m/>
    <m/>
    <m/>
    <s v=""/>
    <s v=""/>
    <s v=""/>
    <s v=""/>
  </r>
  <r>
    <n v="3"/>
    <s v="SO17806"/>
    <m/>
    <x v="0"/>
    <x v="0"/>
    <m/>
    <n v="0"/>
    <n v="9"/>
    <n v="2025"/>
    <s v="INV13678"/>
    <s v=""/>
    <s v=""/>
    <x v="0"/>
    <s v="Covia Corp - Junction City"/>
    <s v="USD"/>
    <n v="0"/>
    <n v="0"/>
    <x v="1"/>
    <n v="513.36"/>
    <n v="0"/>
    <m/>
    <x v="0"/>
    <m/>
    <m/>
    <s v=""/>
    <s v=""/>
    <s v=""/>
    <s v=""/>
    <s v=""/>
    <s v=""/>
    <s v=""/>
    <s v=""/>
    <s v="[W-FH4110/A05] Volute Liner, 6/4 F-HH, High Chrome"/>
    <m/>
    <m/>
    <m/>
    <m/>
    <m/>
    <s v=""/>
    <s v=""/>
    <s v=""/>
    <s v=""/>
  </r>
  <r>
    <n v="1"/>
    <s v="SO17809"/>
    <m/>
    <x v="0"/>
    <x v="0"/>
    <m/>
    <s v="Ian Trottier"/>
    <n v="9"/>
    <n v="2025"/>
    <s v="INV13442"/>
    <s v=""/>
    <s v=""/>
    <x v="0"/>
    <s v="Resolute Forest Products - Saint-Felicien"/>
    <s v="CAD"/>
    <n v="3973.6"/>
    <n v="2869.879384375541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12"/>
    <m/>
    <x v="4"/>
    <x v="0"/>
    <m/>
    <s v="Ian Trottier"/>
    <n v="9"/>
    <n v="2025"/>
    <s v="INV13390"/>
    <n v="11"/>
    <n v="2025"/>
    <x v="2"/>
    <s v="Resolute Forest Products - Saint-Felicien"/>
    <s v="CAD"/>
    <n v="4557.97"/>
    <n v="3291.2377448462944"/>
    <x v="0"/>
    <n v="0"/>
    <n v="3291.2377448462944"/>
    <m/>
    <x v="1"/>
    <m/>
    <m/>
    <s v=""/>
    <n v="5.0000000000000001E-3"/>
    <s v=""/>
    <s v=""/>
    <s v=""/>
    <n v="16.456188724231474"/>
    <s v=""/>
    <s v=""/>
    <s v="[AC-98-431-577-501] Frame, 14&quot;, Allis Chalmers PWO, Frame A1, Oil-Lubed, Cast Iron"/>
    <m/>
    <m/>
    <m/>
    <m/>
    <m/>
    <s v=""/>
    <n v="16.456188724231474"/>
    <s v=""/>
    <s v=""/>
  </r>
  <r>
    <n v="1"/>
    <s v="SO17813"/>
    <m/>
    <x v="4"/>
    <x v="0"/>
    <m/>
    <s v="Alexis Gil Lamadrid"/>
    <n v="9"/>
    <n v="2025"/>
    <s v="INV13399"/>
    <n v="10"/>
    <n v="2025"/>
    <x v="2"/>
    <s v="Hyperflo"/>
    <s v="CAD"/>
    <n v="102.81"/>
    <n v="74.33093160059515"/>
    <x v="0"/>
    <n v="0"/>
    <n v="74.33093160059515"/>
    <m/>
    <x v="1"/>
    <m/>
    <m/>
    <s v=""/>
    <n v="5.0000000000000001E-3"/>
    <s v=""/>
    <s v=""/>
    <s v=""/>
    <n v="0.37165465800297576"/>
    <s v=""/>
    <s v=""/>
    <s v="[AC-98-332-015-816] Fastener Kit (Suction Side Plate), 12x10-25 SRL-C"/>
    <m/>
    <m/>
    <m/>
    <m/>
    <m/>
    <s v=""/>
    <n v="0.37165465800297576"/>
    <s v=""/>
    <s v=""/>
  </r>
  <r>
    <n v="1"/>
    <s v="SO17814"/>
    <m/>
    <x v="5"/>
    <x v="0"/>
    <m/>
    <s v="Wilka Nuñez"/>
    <n v="9"/>
    <n v="2025"/>
    <s v="INV13389"/>
    <n v="10"/>
    <n v="2025"/>
    <x v="2"/>
    <s v="Sling-Choker Manufacturing - Timmins"/>
    <s v="CAD"/>
    <n v="1199.1099999999999"/>
    <n v="865.85828608407678"/>
    <x v="0"/>
    <n v="0"/>
    <n v="865.85828608407678"/>
    <m/>
    <x v="1"/>
    <m/>
    <m/>
    <s v=""/>
    <n v="5.0000000000000001E-3"/>
    <s v=""/>
    <s v=""/>
    <s v=""/>
    <n v="4.3292914304203842"/>
    <s v=""/>
    <s v=""/>
    <s v="[AC-98-431-858-501] Shaft Assembly, 3x3-10 SRL &amp; SRL-C, 1045 Steel"/>
    <m/>
    <m/>
    <m/>
    <m/>
    <m/>
    <s v=""/>
    <n v="4.3292914304203842"/>
    <s v=""/>
    <s v=""/>
  </r>
  <r>
    <n v="1"/>
    <s v="SO17817"/>
    <m/>
    <x v="4"/>
    <x v="0"/>
    <m/>
    <s v="Alexis Gil Lamadrid"/>
    <n v="9"/>
    <n v="2025"/>
    <s v="INV13447"/>
    <n v="10"/>
    <n v="2025"/>
    <x v="2"/>
    <s v="FMI Products"/>
    <s v="CAD"/>
    <n v="1129.78"/>
    <n v="815.79619422077076"/>
    <x v="0"/>
    <n v="0"/>
    <n v="815.79619422077076"/>
    <m/>
    <x v="1"/>
    <m/>
    <m/>
    <s v=""/>
    <n v="5.0000000000000001E-3"/>
    <s v=""/>
    <s v=""/>
    <s v=""/>
    <n v="4.0789809711038538"/>
    <s v=""/>
    <s v=""/>
    <s v="[AC-98-231-115-501] Suction Side Liner, 5x4-14 SRL-C, Natural Rubber"/>
    <m/>
    <m/>
    <m/>
    <m/>
    <m/>
    <s v=""/>
    <n v="4.0789809711038538"/>
    <s v=""/>
    <s v=""/>
  </r>
  <r>
    <n v="1"/>
    <s v="SO17818"/>
    <m/>
    <x v="5"/>
    <x v="0"/>
    <m/>
    <s v="Wilka Nuñez"/>
    <n v="9"/>
    <n v="2025"/>
    <s v="INV13400"/>
    <n v="10"/>
    <n v="2025"/>
    <x v="2"/>
    <s v="Sling-Choker Manufacturing - Timmins"/>
    <s v="CAD"/>
    <n v="2585.3000000000002"/>
    <n v="1867.198301899055"/>
    <x v="0"/>
    <n v="0"/>
    <n v="1867.198301899055"/>
    <m/>
    <x v="1"/>
    <m/>
    <m/>
    <s v=""/>
    <n v="5.0000000000000001E-3"/>
    <s v=""/>
    <s v=""/>
    <s v=""/>
    <n v="9.3359915094952743"/>
    <s v=""/>
    <s v=""/>
    <s v="[AC-98-431-768-501] Shaft Assembly, 8x6-18 SRL-C, 1045 Steel"/>
    <m/>
    <m/>
    <m/>
    <m/>
    <m/>
    <s v=""/>
    <n v="9.3359915094952743"/>
    <s v=""/>
    <s v=""/>
  </r>
  <r>
    <n v="1"/>
    <s v="SO17824"/>
    <m/>
    <x v="4"/>
    <x v="0"/>
    <m/>
    <s v="Alexis Gil Lamadrid"/>
    <n v="9"/>
    <n v="2025"/>
    <s v="INV13395"/>
    <n v="11"/>
    <n v="2025"/>
    <x v="2"/>
    <s v="Southeast Pump Specialist, Inc."/>
    <s v="USD"/>
    <n v="1424.615264075054"/>
    <n v="1030.74"/>
    <x v="0"/>
    <n v="571"/>
    <n v="459.74"/>
    <m/>
    <x v="1"/>
    <m/>
    <m/>
    <s v=""/>
    <n v="5.0000000000000001E-3"/>
    <s v=""/>
    <s v=""/>
    <s v=""/>
    <n v="2.2987000000000002"/>
    <s v=""/>
    <s v=""/>
    <s v="[AC-98-231-079-501] Gland Side Liner, 5x5-14 SRL, Natural Rubber"/>
    <m/>
    <m/>
    <m/>
    <m/>
    <m/>
    <s v=""/>
    <n v="2.2987000000000002"/>
    <s v=""/>
    <s v=""/>
  </r>
  <r>
    <n v="1"/>
    <s v="SO17826"/>
    <m/>
    <x v="0"/>
    <x v="0"/>
    <m/>
    <s v="Ian Trottier"/>
    <n v="9"/>
    <n v="2025"/>
    <s v="INV13405"/>
    <n v="10"/>
    <n v="2025"/>
    <x v="0"/>
    <s v="Les Pompes du St-Laurent Inc."/>
    <s v="CAD"/>
    <n v="2039.88"/>
    <n v="1473.276011324738"/>
    <x v="0"/>
    <n v="0"/>
    <n v="1473.276011324738"/>
    <m/>
    <x v="0"/>
    <m/>
    <m/>
    <s v=""/>
    <s v=""/>
    <s v=""/>
    <s v=""/>
    <s v=""/>
    <s v=""/>
    <s v=""/>
    <s v=""/>
    <s v="[DU-MY36847AA130-A20] Impeller, 4x3-13, Durco Mark 2&amp;3 Group 2, Alloy 20, Reverse Vane"/>
    <m/>
    <m/>
    <m/>
    <m/>
    <m/>
    <s v=""/>
    <s v=""/>
    <s v=""/>
    <s v=""/>
  </r>
  <r>
    <n v="1"/>
    <s v="SO17827"/>
    <m/>
    <x v="4"/>
    <x v="0"/>
    <m/>
    <s v="Alexis Gil Lamadrid"/>
    <n v="9"/>
    <n v="2025"/>
    <s v="INV13428"/>
    <n v="10"/>
    <n v="2025"/>
    <x v="2"/>
    <s v="Glencore Canada Corporation - Rouyn-Noranda"/>
    <s v="CAD"/>
    <n v="42.52"/>
    <n v="30.709500559605409"/>
    <x v="0"/>
    <n v="0"/>
    <n v="30.709500559605409"/>
    <m/>
    <x v="1"/>
    <m/>
    <m/>
    <s v=""/>
    <n v="5.0000000000000001E-3"/>
    <s v=""/>
    <s v=""/>
    <s v=""/>
    <n v="0.15354750279802706"/>
    <s v=""/>
    <s v=""/>
    <s v="[AC-98-233-700-002] Bearing Cover Gasket (Inboard &amp; Outboard), 5x4/5x5/6x6 SRL &amp; SRL-C"/>
    <m/>
    <m/>
    <m/>
    <m/>
    <m/>
    <s v=""/>
    <n v="0.15354750279802706"/>
    <s v=""/>
    <s v=""/>
  </r>
  <r>
    <n v="1"/>
    <s v="SO17828"/>
    <m/>
    <x v="5"/>
    <x v="0"/>
    <m/>
    <s v="Wilka Nuñez"/>
    <n v="9"/>
    <n v="2025"/>
    <s v="INV13408"/>
    <n v="10"/>
    <n v="2025"/>
    <x v="2"/>
    <s v="Wajax Limited - Noranda"/>
    <s v="CAD"/>
    <n v="147.72999999999999"/>
    <n v="106.59322572924727"/>
    <x v="0"/>
    <n v="0"/>
    <n v="106.59322572924727"/>
    <m/>
    <x v="1"/>
    <m/>
    <m/>
    <s v=""/>
    <n v="5.0000000000000001E-3"/>
    <s v=""/>
    <s v=""/>
    <s v=""/>
    <n v="0.53296612864623638"/>
    <s v=""/>
    <s v=""/>
    <s v="[AC-98-233-979-003] Sleeve Washer (Impeller), 5x5/5x4/6x6 SRL &amp; SRL-C"/>
    <m/>
    <m/>
    <m/>
    <m/>
    <m/>
    <s v=""/>
    <n v="0.53296612864623638"/>
    <s v=""/>
    <s v=""/>
  </r>
  <r>
    <n v="1"/>
    <s v="SO17833"/>
    <m/>
    <x v="0"/>
    <x v="3"/>
    <m/>
    <s v="Eduardo Talamantes"/>
    <n v="9"/>
    <n v="2025"/>
    <s v="INV13448"/>
    <n v="10"/>
    <n v="2025"/>
    <x v="2"/>
    <s v="Motion Industries Inc. (Canada) - Prince George"/>
    <s v="CAD"/>
    <n v="5343.36"/>
    <n v="3863.2129819799252"/>
    <x v="0"/>
    <n v="0"/>
    <n v="3863.2129819799252"/>
    <m/>
    <x v="0"/>
    <s v="New Opportunity"/>
    <m/>
    <s v=""/>
    <s v=""/>
    <n v="0.02"/>
    <s v=""/>
    <s v=""/>
    <s v=""/>
    <n v="77.264259639598507"/>
    <s v=""/>
    <s v="[D-196S2x3-64W-1] Pump, 2x3-6, D-196 STX, All WCB w/CD4 Impeller"/>
    <m/>
    <m/>
    <m/>
    <m/>
    <m/>
    <s v=""/>
    <s v=""/>
    <n v="77.264259639598507"/>
    <s v=""/>
  </r>
  <r>
    <n v="1"/>
    <s v="SO17834"/>
    <m/>
    <x v="4"/>
    <x v="0"/>
    <m/>
    <s v="Alexis Gil Lamadrid"/>
    <n v="9"/>
    <n v="2025"/>
    <s v="INV13429"/>
    <n v="10"/>
    <n v="2025"/>
    <x v="2"/>
    <s v="Glencore Canada Corporation - Rouyn-Noranda"/>
    <s v="CAD"/>
    <n v="42.52"/>
    <n v="30.679915778837024"/>
    <x v="0"/>
    <n v="0"/>
    <n v="30.679915778837024"/>
    <m/>
    <x v="1"/>
    <m/>
    <m/>
    <s v=""/>
    <n v="5.0000000000000001E-3"/>
    <s v=""/>
    <s v=""/>
    <s v=""/>
    <n v="0.15339957889418512"/>
    <s v=""/>
    <s v=""/>
    <s v="[AC-98-233-700-002] Bearing Cover Gasket (Inboard &amp; Outboard), 5x4/5x5/6x6 SRL &amp; SRL-C"/>
    <m/>
    <m/>
    <m/>
    <m/>
    <m/>
    <s v=""/>
    <n v="0.15339957889418512"/>
    <s v=""/>
    <s v=""/>
  </r>
  <r>
    <n v="1"/>
    <s v="SO17835"/>
    <m/>
    <x v="0"/>
    <x v="0"/>
    <m/>
    <s v="Yannett Yeomans"/>
    <n v="9"/>
    <n v="2025"/>
    <s v="INV13688"/>
    <s v=""/>
    <s v=""/>
    <x v="0"/>
    <s v="Dynapro Pumps México S de RL de CV"/>
    <s v="USD"/>
    <n v="11112.137601587474"/>
    <n v="8034"/>
    <x v="1"/>
    <n v="0"/>
    <n v="0"/>
    <m/>
    <x v="0"/>
    <m/>
    <m/>
    <s v=""/>
    <s v=""/>
    <s v=""/>
    <s v=""/>
    <s v=""/>
    <s v=""/>
    <s v=""/>
    <s v=""/>
    <s v="[150SV-SP] Vertical Sump Pump, 150SV-SP, High Chrome"/>
    <m/>
    <m/>
    <m/>
    <m/>
    <m/>
    <s v=""/>
    <s v=""/>
    <s v=""/>
    <s v=""/>
  </r>
  <r>
    <n v="1"/>
    <s v="SO17836"/>
    <m/>
    <x v="5"/>
    <x v="0"/>
    <m/>
    <s v="Wilka Nuñez"/>
    <n v="9"/>
    <n v="2025"/>
    <s v="INV13398"/>
    <n v="10"/>
    <n v="2025"/>
    <x v="2"/>
    <s v="Hyperflo"/>
    <s v="CAD"/>
    <n v="48"/>
    <n v="34.633959486927964"/>
    <x v="0"/>
    <n v="0"/>
    <n v="34.633959486927964"/>
    <m/>
    <x v="1"/>
    <m/>
    <m/>
    <s v=""/>
    <n v="5.0000000000000001E-3"/>
    <s v=""/>
    <s v=""/>
    <s v=""/>
    <n v="0.17316979743463981"/>
    <s v=""/>
    <s v=""/>
    <s v="[ARR-N1300-0625, G-58101 625] Bearing Housing Retaining Ring, PWO-C Group 2, Carbon Steel"/>
    <m/>
    <m/>
    <m/>
    <m/>
    <m/>
    <s v=""/>
    <n v="0.17316979743463981"/>
    <s v=""/>
    <s v=""/>
  </r>
  <r>
    <n v="1"/>
    <s v="SO17837"/>
    <m/>
    <x v="4"/>
    <x v="0"/>
    <m/>
    <s v="Alexis Gil Lamadrid"/>
    <n v="9"/>
    <n v="2025"/>
    <s v="INV13419"/>
    <n v="11"/>
    <n v="2025"/>
    <x v="2"/>
    <s v="Resolute Forest Products - Saint-Felicien"/>
    <s v="CAD"/>
    <n v="716.65"/>
    <n v="519.36726375515877"/>
    <x v="0"/>
    <n v="0"/>
    <n v="519.36726375515877"/>
    <m/>
    <x v="1"/>
    <m/>
    <m/>
    <s v=""/>
    <n v="5.0000000000000001E-3"/>
    <s v=""/>
    <s v=""/>
    <s v=""/>
    <n v="2.5968363187757939"/>
    <s v=""/>
    <s v=""/>
    <s v="[OLPWZ011005B, G-A04951A218] Bearing Isolator (Inboard), 3196 MTX/MTi, 303SS Rotor / Bronze Stator w/Viton"/>
    <m/>
    <m/>
    <m/>
    <m/>
    <m/>
    <s v=""/>
    <n v="2.5968363187757939"/>
    <s v=""/>
    <s v=""/>
  </r>
  <r>
    <n v="1"/>
    <s v="SO17838"/>
    <m/>
    <x v="6"/>
    <x v="0"/>
    <m/>
    <s v="Aleksandar Stankovic"/>
    <n v="9"/>
    <n v="2025"/>
    <s v="INV13415"/>
    <n v="11"/>
    <n v="2025"/>
    <x v="2"/>
    <s v="Sealtrac Inc."/>
    <s v="CAD"/>
    <n v="354.06"/>
    <n v="257.55089299449605"/>
    <x v="0"/>
    <n v="0"/>
    <n v="257.55089299449605"/>
    <m/>
    <x v="0"/>
    <m/>
    <m/>
    <s v=""/>
    <s v=""/>
    <s v=""/>
    <s v=""/>
    <s v=""/>
    <s v=""/>
    <s v=""/>
    <s v=""/>
    <s v="[G-70782 29 5117] Casing Gasket, 10&quot;, 3196 MTX, Teflon"/>
    <m/>
    <m/>
    <m/>
    <m/>
    <m/>
    <s v=""/>
    <s v=""/>
    <s v=""/>
    <s v=""/>
  </r>
  <r>
    <n v="0"/>
    <s v="SO17839"/>
    <m/>
    <x v="0"/>
    <x v="0"/>
    <m/>
    <s v="Amanda Qiao"/>
    <n v="9"/>
    <n v="2025"/>
    <s v="No Inv"/>
    <s v=""/>
    <s v=""/>
    <x v="0"/>
    <s v="AGM Inc."/>
    <s v="USD"/>
    <n v="43048.324546015479"/>
    <n v="31113.9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44"/>
    <m/>
    <x v="4"/>
    <x v="0"/>
    <m/>
    <s v="Alexis Gil Lamadrid"/>
    <n v="9"/>
    <n v="2025"/>
    <s v="INV13421"/>
    <n v="10"/>
    <n v="2025"/>
    <x v="2"/>
    <s v="Canadian Bearings Ltd."/>
    <s v="CAD"/>
    <n v="279.5"/>
    <n v="203.09868434633321"/>
    <x v="0"/>
    <n v="0"/>
    <n v="203.09868434633321"/>
    <m/>
    <x v="1"/>
    <m/>
    <m/>
    <s v=""/>
    <n v="5.0000000000000001E-3"/>
    <s v=""/>
    <s v=""/>
    <s v=""/>
    <n v="1.015493421731666"/>
    <s v=""/>
    <s v=""/>
    <s v="[AC-98-232-857-802] Shim Set, A-C PWO-C Group 2, Plastic"/>
    <m/>
    <m/>
    <m/>
    <m/>
    <m/>
    <s v=""/>
    <n v="1.015493421731666"/>
    <s v=""/>
    <s v=""/>
  </r>
  <r>
    <n v="1"/>
    <s v="SO17845"/>
    <m/>
    <x v="2"/>
    <x v="0"/>
    <m/>
    <s v="Marlen Martinez"/>
    <n v="9"/>
    <n v="2025"/>
    <s v="INV13454"/>
    <n v="12"/>
    <n v="2025"/>
    <x v="4"/>
    <s v="Covia Corp - Guion"/>
    <s v="USD"/>
    <n v="7133.539738655717"/>
    <n v="5177.88"/>
    <x v="0"/>
    <n v="550.76"/>
    <n v="4627.12"/>
    <m/>
    <x v="0"/>
    <m/>
    <m/>
    <s v=""/>
    <s v=""/>
    <s v=""/>
    <s v=""/>
    <s v=""/>
    <s v=""/>
    <s v=""/>
    <s v=""/>
    <s v="[W-G8060/S01] Intake Joint Ring, 10/8 ST, FF or F-AH, EPDM Rubber"/>
    <m/>
    <m/>
    <m/>
    <m/>
    <m/>
    <s v=""/>
    <s v=""/>
    <s v=""/>
    <s v=""/>
  </r>
  <r>
    <n v="1"/>
    <s v="SO17846"/>
    <m/>
    <x v="4"/>
    <x v="0"/>
    <m/>
    <s v="Ian Trottier"/>
    <n v="9"/>
    <n v="2025"/>
    <s v="INV13446"/>
    <n v="11"/>
    <n v="2025"/>
    <x v="2"/>
    <s v="Cartledge &amp; Associates Inc."/>
    <s v="USD"/>
    <n v="18487.272768219409"/>
    <n v="13347.42"/>
    <x v="0"/>
    <n v="794"/>
    <n v="12553.42"/>
    <m/>
    <x v="1"/>
    <m/>
    <m/>
    <s v=""/>
    <n v="5.0000000000000001E-3"/>
    <s v=""/>
    <s v=""/>
    <s v=""/>
    <n v="62.767099999999999"/>
    <s v=""/>
    <s v=""/>
    <s v="[504889] Impeller, 8x6, Denver SRL, Natural Rubber"/>
    <m/>
    <m/>
    <m/>
    <m/>
    <m/>
    <s v=""/>
    <n v="62.767099999999999"/>
    <s v=""/>
    <s v=""/>
  </r>
  <r>
    <n v="1"/>
    <s v="SO17847"/>
    <m/>
    <x v="0"/>
    <x v="0"/>
    <m/>
    <s v="Ian Trottier"/>
    <n v="9"/>
    <n v="2025"/>
    <s v="INV13402"/>
    <n v="11"/>
    <n v="2025"/>
    <x v="2"/>
    <s v="Quality Concrete Inc."/>
    <s v="CAD"/>
    <n v="9790.4500000000007"/>
    <n v="7121.7848396259506"/>
    <x v="0"/>
    <n v="0"/>
    <n v="7121.7848396259506"/>
    <m/>
    <x v="0"/>
    <m/>
    <m/>
    <s v=""/>
    <s v=""/>
    <s v=""/>
    <s v=""/>
    <s v=""/>
    <s v=""/>
    <s v=""/>
    <s v=""/>
    <s v="[NSK-22318EAE4  or FAG 22318 EAS M C3  or SKF 22318CC/W33, AC-00-813-261-541] Roller Bearing (Outboard), 8x6-18 &amp; 10x8-21 SRL-C"/>
    <m/>
    <m/>
    <m/>
    <m/>
    <m/>
    <s v=""/>
    <s v=""/>
    <s v=""/>
    <s v=""/>
  </r>
  <r>
    <n v="1"/>
    <s v="SO17848"/>
    <m/>
    <x v="0"/>
    <x v="0"/>
    <m/>
    <s v="Wilka Nuñez"/>
    <n v="9"/>
    <n v="2025"/>
    <s v="INV13435"/>
    <s v=""/>
    <s v=""/>
    <x v="4"/>
    <s v="Manufacture Sling-Choker (Val-d’Or) Ltée"/>
    <s v="CAD"/>
    <n v="1401.44"/>
    <n v="1017.626057793247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49"/>
    <m/>
    <x v="0"/>
    <x v="0"/>
    <m/>
    <s v="Carlos Leon"/>
    <n v="9"/>
    <n v="2025"/>
    <s v="INV13685"/>
    <s v=""/>
    <s v=""/>
    <x v="4"/>
    <s v="Dynapro Pumps México S de RL de CV"/>
    <s v="USD"/>
    <n v="2659.3576672481472"/>
    <n v="1920"/>
    <x v="1"/>
    <n v="0"/>
    <n v="0"/>
    <m/>
    <x v="0"/>
    <m/>
    <m/>
    <s v=""/>
    <s v=""/>
    <s v=""/>
    <s v=""/>
    <s v=""/>
    <s v=""/>
    <s v=""/>
    <s v=""/>
    <s v="[10046/5001] Suction Bell Bearing, 12RJHC-8, Teflon"/>
    <m/>
    <m/>
    <m/>
    <m/>
    <m/>
    <s v=""/>
    <s v=""/>
    <s v=""/>
    <s v=""/>
  </r>
  <r>
    <n v="1"/>
    <s v="SO17850"/>
    <m/>
    <x v="4"/>
    <x v="0"/>
    <m/>
    <s v="Alexis Gil Lamadrid"/>
    <n v="9"/>
    <n v="2025"/>
    <s v="INV13418"/>
    <n v="11"/>
    <n v="2025"/>
    <x v="2"/>
    <s v="Resolute Forest Products - Saint-Felicien"/>
    <s v="CAD"/>
    <n v="103.9"/>
    <n v="75.297926050597908"/>
    <x v="0"/>
    <n v="0"/>
    <n v="75.297926050597908"/>
    <m/>
    <x v="1"/>
    <m/>
    <m/>
    <s v=""/>
    <n v="5.0000000000000001E-3"/>
    <s v=""/>
    <s v=""/>
    <s v=""/>
    <n v="0.37648963025298954"/>
    <s v=""/>
    <s v=""/>
    <s v="[52-108-475-015] Deflector (Inboard), Allis-Chalmers PWO, Group 3"/>
    <m/>
    <m/>
    <m/>
    <m/>
    <m/>
    <s v=""/>
    <n v="0.37648963025298954"/>
    <s v=""/>
    <s v=""/>
  </r>
  <r>
    <n v="0"/>
    <s v="SO17851"/>
    <m/>
    <x v="0"/>
    <x v="0"/>
    <m/>
    <s v="Amanda Qiao"/>
    <n v="9"/>
    <n v="2025"/>
    <s v="No Inv"/>
    <s v=""/>
    <s v=""/>
    <x v="0"/>
    <s v="Zijin Mining - Rosebel Goldmines N.V."/>
    <s v="USD"/>
    <n v="72398.505917616654"/>
    <n v="52727.7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54"/>
    <m/>
    <x v="5"/>
    <x v="0"/>
    <m/>
    <s v="Wilka Nuñez"/>
    <n v="9"/>
    <n v="2025"/>
    <s v="INV13472"/>
    <n v="11"/>
    <n v="2025"/>
    <x v="2"/>
    <s v="Canadian Industrial Pumps Ltd, Canadian Industrial Pumps Ltd"/>
    <s v="CAD"/>
    <n v="2779.84"/>
    <n v="2000.5422221882056"/>
    <x v="0"/>
    <n v="0"/>
    <n v="2000.5422221882056"/>
    <m/>
    <x v="1"/>
    <m/>
    <m/>
    <s v=""/>
    <n v="5.0000000000000001E-3"/>
    <s v=""/>
    <s v=""/>
    <s v=""/>
    <n v="10.002711110941028"/>
    <s v=""/>
    <s v=""/>
    <s v="[AC-98-236-104-004] Shaft Sleeve, 8x6-18 &amp; 10x8-21 SRL-C, 420SS Heat Treated, Hardened"/>
    <m/>
    <m/>
    <m/>
    <m/>
    <m/>
    <s v=""/>
    <n v="10.002711110941028"/>
    <s v=""/>
    <s v=""/>
  </r>
  <r>
    <n v="0"/>
    <s v="SO17856"/>
    <m/>
    <x v="0"/>
    <x v="0"/>
    <m/>
    <s v="Ian Trottier"/>
    <n v="9"/>
    <n v="2025"/>
    <s v="No Inv"/>
    <s v=""/>
    <s v=""/>
    <x v="4"/>
    <s v="Wesdome Gold Mines Ltd - Eagle River Mine"/>
    <s v="CAD"/>
    <n v="9701.6"/>
    <n v="6977.106754855485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58"/>
    <m/>
    <x v="5"/>
    <x v="0"/>
    <m/>
    <s v="Wilka Nuñez"/>
    <n v="9"/>
    <n v="2025"/>
    <s v="INV13420"/>
    <n v="10"/>
    <n v="2025"/>
    <x v="2"/>
    <s v="Wajax Limited - Noranda"/>
    <s v="CAD"/>
    <n v="116.98"/>
    <n v="85.003520911749789"/>
    <x v="0"/>
    <n v="0"/>
    <n v="85.003520911749789"/>
    <m/>
    <x v="1"/>
    <m/>
    <m/>
    <s v=""/>
    <n v="5.0000000000000001E-3"/>
    <s v=""/>
    <s v=""/>
    <s v=""/>
    <n v="0.42501760455874893"/>
    <s v=""/>
    <s v=""/>
    <s v="[GO351-9607-NSN, G-70782 49 5127] Casing Gasket, 15&quot;, 3196 XLT"/>
    <m/>
    <m/>
    <m/>
    <m/>
    <m/>
    <s v=""/>
    <n v="0.42501760455874893"/>
    <s v=""/>
    <s v=""/>
  </r>
  <r>
    <n v="1"/>
    <s v="SO17860"/>
    <m/>
    <x v="0"/>
    <x v="0"/>
    <m/>
    <s v="Ian Trottier"/>
    <n v="9"/>
    <n v="2025"/>
    <s v="INV13412"/>
    <n v="10"/>
    <n v="2025"/>
    <x v="2"/>
    <s v="Les Pompes du St-Laurent Inc."/>
    <s v="CAD"/>
    <n v="2894.78"/>
    <n v="2105.7255098644509"/>
    <x v="0"/>
    <n v="0"/>
    <n v="2105.7255098644509"/>
    <m/>
    <x v="0"/>
    <m/>
    <m/>
    <s v=""/>
    <s v=""/>
    <s v=""/>
    <s v=""/>
    <s v=""/>
    <s v=""/>
    <s v=""/>
    <s v=""/>
    <s v="[AC-98-331-606-808] Suction Side Plate, 8x4(5)(6)-17, PWO, CD4MCu"/>
    <m/>
    <m/>
    <m/>
    <m/>
    <m/>
    <s v=""/>
    <s v=""/>
    <s v=""/>
    <s v=""/>
  </r>
  <r>
    <n v="1"/>
    <s v="SO17862"/>
    <m/>
    <x v="0"/>
    <x v="4"/>
    <m/>
    <s v="Leriel Reyes"/>
    <n v="9"/>
    <n v="2025"/>
    <s v="INV13538"/>
    <n v="11"/>
    <n v="2025"/>
    <x v="2"/>
    <s v="Tantalum Mining Corporation of Canada"/>
    <s v="CAD"/>
    <n v="7609.56"/>
    <n v="5454.9585077090678"/>
    <x v="0"/>
    <n v="0"/>
    <n v="5454.9585077090678"/>
    <m/>
    <x v="0"/>
    <s v="Renewal"/>
    <m/>
    <s v=""/>
    <s v=""/>
    <n v="0.01"/>
    <s v=""/>
    <s v=""/>
    <s v=""/>
    <n v="54.549585077090683"/>
    <s v=""/>
    <s v="[10SVR50] Repair Stacker Kit, Goulds 10SV, 5-Stage, Stainless Steel"/>
    <m/>
    <m/>
    <m/>
    <m/>
    <m/>
    <s v=""/>
    <s v=""/>
    <n v="54.549585077090683"/>
    <s v=""/>
  </r>
  <r>
    <n v="1"/>
    <s v="SO17863"/>
    <m/>
    <x v="0"/>
    <x v="0"/>
    <m/>
    <s v="Carlos Leon"/>
    <n v="9"/>
    <n v="2025"/>
    <s v="INV13684"/>
    <s v=""/>
    <s v=""/>
    <x v="4"/>
    <s v="Dynapro Pumps México S de RL de CV"/>
    <s v="USD"/>
    <n v="584.25539997337808"/>
    <n v="425"/>
    <x v="1"/>
    <n v="0"/>
    <n v="0"/>
    <m/>
    <x v="0"/>
    <m/>
    <m/>
    <s v=""/>
    <s v=""/>
    <s v=""/>
    <s v=""/>
    <s v=""/>
    <s v=""/>
    <s v=""/>
    <s v=""/>
    <s v="[W-E028/A05] Expeller, 6/4 E-AH, High Chrome"/>
    <m/>
    <m/>
    <m/>
    <m/>
    <m/>
    <s v=""/>
    <s v=""/>
    <s v=""/>
    <s v=""/>
  </r>
  <r>
    <n v="1"/>
    <s v="SO17864"/>
    <m/>
    <x v="5"/>
    <x v="0"/>
    <m/>
    <s v="Wilka Nuñez"/>
    <n v="9"/>
    <n v="2025"/>
    <s v="INV13411"/>
    <n v="10"/>
    <n v="2025"/>
    <x v="2"/>
    <s v="Hyperflo"/>
    <s v="CAD"/>
    <n v="1034.78"/>
    <n v="751.92292160249985"/>
    <x v="0"/>
    <n v="0"/>
    <n v="751.92292160249985"/>
    <m/>
    <x v="1"/>
    <m/>
    <m/>
    <s v=""/>
    <n v="5.0000000000000001E-3"/>
    <s v=""/>
    <s v=""/>
    <s v=""/>
    <n v="3.7596146080124995"/>
    <s v=""/>
    <s v=""/>
    <s v="[AC-98-039-047-501] Impeller (Closed), 5x4-14 SRL-C, Natural Rubber"/>
    <m/>
    <m/>
    <m/>
    <m/>
    <m/>
    <s v=""/>
    <n v="3.7596146080124995"/>
    <s v=""/>
    <s v=""/>
  </r>
  <r>
    <n v="3"/>
    <s v="SO17868"/>
    <m/>
    <x v="0"/>
    <x v="0"/>
    <m/>
    <s v="Ian Trottier"/>
    <n v="9"/>
    <n v="2025"/>
    <s v="INV13540"/>
    <n v="11"/>
    <n v="2025"/>
    <x v="2"/>
    <s v="TC Industries of Canada Co."/>
    <s v="CAD"/>
    <n v="10930.21"/>
    <n v="7921.6678286806373"/>
    <x v="1"/>
    <n v="0"/>
    <n v="0"/>
    <m/>
    <x v="0"/>
    <m/>
    <m/>
    <s v=""/>
    <s v=""/>
    <s v=""/>
    <s v=""/>
    <s v=""/>
    <s v=""/>
    <s v=""/>
    <s v=""/>
    <s v="[AC-52-431-816-031] Casing Gasket, 12x10-17, Allis Chalmers CW"/>
    <m/>
    <m/>
    <m/>
    <m/>
    <m/>
    <s v=""/>
    <s v=""/>
    <s v=""/>
    <s v=""/>
  </r>
  <r>
    <n v="3"/>
    <s v="SO17868"/>
    <m/>
    <x v="0"/>
    <x v="0"/>
    <m/>
    <n v="0"/>
    <n v="9"/>
    <n v="2025"/>
    <s v="INV13563"/>
    <n v="10"/>
    <n v="2025"/>
    <x v="2"/>
    <s v="TC Industries of Canada Co."/>
    <s v="CAD"/>
    <n v="0"/>
    <n v="0"/>
    <x v="1"/>
    <n v="0"/>
    <n v="0"/>
    <m/>
    <x v="0"/>
    <m/>
    <m/>
    <s v=""/>
    <s v=""/>
    <s v=""/>
    <s v=""/>
    <s v=""/>
    <s v=""/>
    <s v=""/>
    <s v=""/>
    <s v="[AC-52-217-769-504] Rear Wear Plate, 10x8-17, Allis Chalmers CW, High Chrome"/>
    <m/>
    <m/>
    <m/>
    <m/>
    <m/>
    <s v=""/>
    <s v=""/>
    <s v=""/>
    <s v=""/>
  </r>
  <r>
    <n v="3"/>
    <s v="SO17868"/>
    <m/>
    <x v="0"/>
    <x v="0"/>
    <m/>
    <n v="0"/>
    <n v="9"/>
    <n v="2025"/>
    <s v="INV13580"/>
    <n v="10"/>
    <n v="2025"/>
    <x v="2"/>
    <s v="TC Industries of Canada Co."/>
    <s v="CAD"/>
    <n v="0"/>
    <n v="0"/>
    <x v="1"/>
    <n v="0"/>
    <n v="0"/>
    <m/>
    <x v="0"/>
    <m/>
    <m/>
    <s v=""/>
    <s v=""/>
    <s v=""/>
    <s v=""/>
    <s v=""/>
    <s v=""/>
    <s v=""/>
    <s v=""/>
    <s v="[AC-52-430-298-006] Seal Cage (Lantern Ring), Allis Chalmers PWO, Group 2"/>
    <m/>
    <m/>
    <m/>
    <m/>
    <m/>
    <s v=""/>
    <s v=""/>
    <s v=""/>
    <s v=""/>
  </r>
  <r>
    <n v="1"/>
    <s v="SO17870"/>
    <m/>
    <x v="0"/>
    <x v="0"/>
    <m/>
    <s v="Ian Trottier"/>
    <n v="9"/>
    <n v="2025"/>
    <s v="INV13567"/>
    <n v="12"/>
    <n v="2025"/>
    <x v="4"/>
    <s v="Les Pompes du St-Laurent Inc."/>
    <s v="CAD"/>
    <n v="20861.189999999999"/>
    <n v="14982.001012985666"/>
    <x v="0"/>
    <n v="0"/>
    <n v="14982.001012985666"/>
    <m/>
    <x v="0"/>
    <m/>
    <m/>
    <s v=""/>
    <s v=""/>
    <s v=""/>
    <s v=""/>
    <s v=""/>
    <s v=""/>
    <s v=""/>
    <s v=""/>
    <s v="[AC-98-232-892-006] Casing, 8x6-17, PWO, 316SS"/>
    <m/>
    <m/>
    <m/>
    <m/>
    <m/>
    <s v=""/>
    <s v=""/>
    <s v=""/>
    <s v=""/>
  </r>
  <r>
    <n v="1"/>
    <s v="SO17873"/>
    <m/>
    <x v="0"/>
    <x v="0"/>
    <m/>
    <s v="Wilka Nuñez"/>
    <n v="9"/>
    <n v="2025"/>
    <s v="INV13453"/>
    <s v=""/>
    <s v=""/>
    <x v="4"/>
    <s v="PT Vale Indonesia Tbk."/>
    <s v="USD"/>
    <n v="648.15231995164311"/>
    <n v="471.48"/>
    <x v="1"/>
    <n v="0"/>
    <n v="0"/>
    <m/>
    <x v="0"/>
    <m/>
    <m/>
    <s v=""/>
    <s v=""/>
    <s v=""/>
    <s v=""/>
    <s v=""/>
    <s v=""/>
    <s v=""/>
    <s v=""/>
    <s v="[G-R104-733 2238] Shaft (Sleeve Type), 3196 MTX, 4140"/>
    <m/>
    <m/>
    <m/>
    <m/>
    <m/>
    <s v=""/>
    <s v=""/>
    <s v=""/>
    <s v=""/>
  </r>
  <r>
    <n v="1"/>
    <s v="SO17874"/>
    <m/>
    <x v="0"/>
    <x v="0"/>
    <m/>
    <s v="Ian Trottier"/>
    <n v="9"/>
    <n v="2025"/>
    <s v="INV13494"/>
    <n v="10"/>
    <n v="2025"/>
    <x v="2"/>
    <s v="Gibraltar Mine (Canada)"/>
    <s v="CAD"/>
    <n v="5815.61"/>
    <n v="4214.8623531618696"/>
    <x v="0"/>
    <n v="0"/>
    <n v="4214.8623531618696"/>
    <m/>
    <x v="0"/>
    <m/>
    <m/>
    <s v=""/>
    <s v=""/>
    <s v=""/>
    <s v=""/>
    <s v=""/>
    <s v=""/>
    <s v=""/>
    <s v=""/>
    <s v="[GA-23965] Impeller, G-Series 2.5&quot; VSP, 1000 Series, Urethane"/>
    <m/>
    <m/>
    <m/>
    <m/>
    <m/>
    <s v=""/>
    <s v=""/>
    <s v=""/>
    <s v=""/>
  </r>
  <r>
    <n v="1"/>
    <s v="SO17876"/>
    <m/>
    <x v="6"/>
    <x v="0"/>
    <m/>
    <s v="Aleksandar Stankovic"/>
    <n v="9"/>
    <n v="2025"/>
    <s v="INV13425"/>
    <n v="10"/>
    <n v="2025"/>
    <x v="2"/>
    <s v="Hyperflo, Hyperflo"/>
    <s v="CAD"/>
    <n v="560.55999999999995"/>
    <n v="405.73716910157566"/>
    <x v="0"/>
    <n v="0"/>
    <n v="405.73716910157566"/>
    <m/>
    <x v="0"/>
    <m/>
    <m/>
    <s v=""/>
    <s v=""/>
    <s v=""/>
    <s v=""/>
    <s v=""/>
    <s v=""/>
    <s v=""/>
    <s v=""/>
    <s v="[AC-98-332-015-808] Fastener Kit (Gland Side Liner), 8x6-18 &amp; 10x8-21 SRL-C"/>
    <m/>
    <m/>
    <m/>
    <m/>
    <m/>
    <s v=""/>
    <s v=""/>
    <s v=""/>
    <s v=""/>
  </r>
  <r>
    <n v="1"/>
    <s v="SO17877"/>
    <m/>
    <x v="0"/>
    <x v="0"/>
    <m/>
    <s v="Leriel Reyes"/>
    <n v="9"/>
    <n v="2025"/>
    <s v="INV13493"/>
    <s v=""/>
    <s v=""/>
    <x v="4"/>
    <s v="Motion Industries Inc. (Canada) - Thunder Bay"/>
    <s v="CAD"/>
    <n v="5988"/>
    <n v="4348.059734320389"/>
    <x v="1"/>
    <n v="0"/>
    <n v="0"/>
    <m/>
    <x v="0"/>
    <m/>
    <m/>
    <s v=""/>
    <s v=""/>
    <s v=""/>
    <s v=""/>
    <s v=""/>
    <s v=""/>
    <s v=""/>
    <s v=""/>
    <s v="[W-2/1.5BAH] Pump, W-Series 2/1.5 B-AH, High Chrome, Gland Seal"/>
    <m/>
    <m/>
    <m/>
    <m/>
    <m/>
    <s v=""/>
    <s v=""/>
    <s v=""/>
    <s v=""/>
  </r>
  <r>
    <n v="1"/>
    <s v="SO17878"/>
    <m/>
    <x v="0"/>
    <x v="0"/>
    <m/>
    <s v="Ian Trottier"/>
    <n v="9"/>
    <n v="2025"/>
    <s v="INV13441"/>
    <s v=""/>
    <s v=""/>
    <x v="4"/>
    <s v="Lantic Inc."/>
    <s v="CAD"/>
    <n v="1298.0999999999999"/>
    <n v="940.7977530541805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79"/>
    <m/>
    <x v="0"/>
    <x v="0"/>
    <m/>
    <s v="Ian Trottier"/>
    <n v="9"/>
    <n v="2025"/>
    <s v="INV13736"/>
    <s v=""/>
    <s v=""/>
    <x v="4"/>
    <s v="Cameco Corporation - Blind River Refinery"/>
    <s v="CAD"/>
    <n v="8796.2800000000007"/>
    <n v="6358.1297278376314"/>
    <x v="1"/>
    <n v="0"/>
    <n v="0"/>
    <m/>
    <x v="0"/>
    <m/>
    <m/>
    <s v=""/>
    <s v=""/>
    <s v=""/>
    <s v=""/>
    <s v=""/>
    <s v=""/>
    <s v=""/>
    <s v=""/>
    <s v="Impeller, 12x14-22, 3175-L, 316SS, 4-Vane"/>
    <m/>
    <m/>
    <m/>
    <m/>
    <m/>
    <s v=""/>
    <s v=""/>
    <s v=""/>
    <s v=""/>
  </r>
  <r>
    <n v="1"/>
    <s v="SO17880"/>
    <m/>
    <x v="4"/>
    <x v="0"/>
    <m/>
    <s v="Alexis Gil Lamadrid"/>
    <n v="9"/>
    <n v="2025"/>
    <s v="INV13473"/>
    <n v="11"/>
    <n v="2025"/>
    <x v="2"/>
    <s v="Resolute Forest Products - Saint-Felicien"/>
    <s v="CAD"/>
    <n v="1353.38"/>
    <n v="971.57418583050651"/>
    <x v="0"/>
    <n v="0"/>
    <n v="971.57418583050651"/>
    <m/>
    <x v="1"/>
    <m/>
    <m/>
    <s v=""/>
    <n v="5.0000000000000001E-3"/>
    <s v=""/>
    <s v=""/>
    <s v=""/>
    <n v="4.8578709291525328"/>
    <s v=""/>
    <s v=""/>
    <s v="[AC-52-319-367-100] Impeller, 3x1.5-8.5, Allis Chalmers CSO, 316SS"/>
    <m/>
    <m/>
    <m/>
    <m/>
    <m/>
    <s v=""/>
    <n v="4.8578709291525328"/>
    <s v=""/>
    <s v=""/>
  </r>
  <r>
    <n v="1"/>
    <s v="SO17889"/>
    <m/>
    <x v="4"/>
    <x v="0"/>
    <m/>
    <s v="Ian Trottier"/>
    <n v="9"/>
    <n v="2025"/>
    <s v="INV13424"/>
    <n v="10"/>
    <n v="2025"/>
    <x v="2"/>
    <s v="Hyperflo"/>
    <s v="CAD"/>
    <n v="301.74"/>
    <n v="218.40147960023805"/>
    <x v="0"/>
    <n v="0"/>
    <n v="218.40147960023805"/>
    <m/>
    <x v="1"/>
    <m/>
    <m/>
    <s v=""/>
    <n v="5.0000000000000001E-3"/>
    <s v=""/>
    <s v=""/>
    <s v=""/>
    <n v="1.0920073980011902"/>
    <s v=""/>
    <s v=""/>
    <s v="[AC-98-233-733-514] Deflector (Water Slinger), 2x2-10 SRL, Neoprene/Steel"/>
    <m/>
    <m/>
    <m/>
    <m/>
    <m/>
    <s v=""/>
    <n v="1.0920073980011902"/>
    <s v=""/>
    <s v=""/>
  </r>
  <r>
    <n v="2"/>
    <s v="SO17892"/>
    <m/>
    <x v="0"/>
    <x v="0"/>
    <m/>
    <s v="Alexis Gil Lamadrid"/>
    <n v="9"/>
    <n v="2025"/>
    <s v="INV13577"/>
    <n v="12"/>
    <n v="2025"/>
    <x v="4"/>
    <s v="Canadian Industrial Pumps Ltd"/>
    <s v="CAD"/>
    <n v="3462.42"/>
    <n v="2491.7606209707242"/>
    <x v="0"/>
    <n v="0"/>
    <n v="2491.7606209707242"/>
    <m/>
    <x v="0"/>
    <m/>
    <m/>
    <s v=""/>
    <s v=""/>
    <s v=""/>
    <s v=""/>
    <s v=""/>
    <s v=""/>
    <s v=""/>
    <s v=""/>
    <s v="[AC-98-331-958-823] Shaft Sleeve, 2x2-10 SRL, 420SS Heat Treated, Hardened"/>
    <m/>
    <m/>
    <m/>
    <m/>
    <m/>
    <s v=""/>
    <s v=""/>
    <s v=""/>
    <s v=""/>
  </r>
  <r>
    <n v="2"/>
    <s v="SO17892"/>
    <m/>
    <x v="0"/>
    <x v="0"/>
    <m/>
    <n v="0"/>
    <n v="9"/>
    <n v="2025"/>
    <s v="INV13598"/>
    <n v="12"/>
    <n v="2025"/>
    <x v="4"/>
    <s v="Canadian Industrial Pumps Ltd"/>
    <s v="CAD"/>
    <n v="0"/>
    <n v="0"/>
    <x v="1"/>
    <n v="0"/>
    <n v="0"/>
    <m/>
    <x v="0"/>
    <m/>
    <m/>
    <s v=""/>
    <s v=""/>
    <s v=""/>
    <s v=""/>
    <s v=""/>
    <s v=""/>
    <s v=""/>
    <s v=""/>
    <s v="[CR11138, G-8690-93353] Bearing Seal (Outboard), 2x2-10 SRL, Neoprene/Steel"/>
    <m/>
    <m/>
    <m/>
    <m/>
    <m/>
    <s v=""/>
    <s v=""/>
    <s v=""/>
    <s v=""/>
  </r>
  <r>
    <n v="1"/>
    <s v="SO17893"/>
    <m/>
    <x v="0"/>
    <x v="0"/>
    <m/>
    <s v="Ian Trottier"/>
    <n v="9"/>
    <n v="2025"/>
    <s v="INV13498"/>
    <n v="10"/>
    <n v="2025"/>
    <x v="4"/>
    <s v="Motion Industries Inc. (Canada) - Prince George"/>
    <s v="CAD"/>
    <n v="1863.92"/>
    <n v="1338.6221652803242"/>
    <x v="0"/>
    <n v="0"/>
    <n v="1338.6221652803242"/>
    <m/>
    <x v="0"/>
    <m/>
    <m/>
    <s v=""/>
    <s v=""/>
    <s v=""/>
    <s v=""/>
    <s v=""/>
    <s v=""/>
    <s v=""/>
    <s v=""/>
    <s v="[SA-138413-M1] Casing, Sala 2&quot;, SPV, VT50, Rubber Lined"/>
    <m/>
    <m/>
    <m/>
    <m/>
    <m/>
    <s v=""/>
    <s v=""/>
    <s v=""/>
    <s v=""/>
  </r>
  <r>
    <n v="0"/>
    <s v="SO17895"/>
    <m/>
    <x v="0"/>
    <x v="0"/>
    <m/>
    <s v="Amanda Qiao"/>
    <n v="9"/>
    <n v="2025"/>
    <s v="No Inv"/>
    <s v=""/>
    <s v=""/>
    <x v="4"/>
    <s v="Mill-Right Mine Services Inc."/>
    <s v="USD"/>
    <n v="3675.0135643271769"/>
    <n v="266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896"/>
    <m/>
    <x v="5"/>
    <x v="0"/>
    <m/>
    <s v="Wilka Nuñez"/>
    <n v="9"/>
    <n v="2025"/>
    <s v="INV13485"/>
    <n v="11"/>
    <n v="2025"/>
    <x v="2"/>
    <s v="Wajax Limited - Noranda"/>
    <s v="CAD"/>
    <n v="759.21"/>
    <n v="544.34415746592617"/>
    <x v="0"/>
    <n v="0"/>
    <n v="544.34415746592617"/>
    <m/>
    <x v="1"/>
    <m/>
    <m/>
    <s v=""/>
    <n v="5.0000000000000001E-3"/>
    <s v=""/>
    <s v=""/>
    <s v=""/>
    <n v="2.7217207873296307"/>
    <s v=""/>
    <s v=""/>
    <s v="[AC-98-233-979-003] Sleeve Washer (Impeller), 5x5/5x4/6x6 SRL &amp; SRL-C"/>
    <m/>
    <m/>
    <m/>
    <m/>
    <m/>
    <s v=""/>
    <n v="2.7217207873296307"/>
    <s v=""/>
    <s v=""/>
  </r>
  <r>
    <n v="1"/>
    <s v="SO17897"/>
    <m/>
    <x v="0"/>
    <x v="0"/>
    <m/>
    <s v="Yannett Yeomans"/>
    <n v="9"/>
    <n v="2025"/>
    <s v="INV13520"/>
    <s v=""/>
    <s v=""/>
    <x v="4"/>
    <s v="Dynapro Pumps México S de RL de CV"/>
    <s v="USD"/>
    <n v="690.79202336977005"/>
    <n v="500"/>
    <x v="1"/>
    <n v="0"/>
    <n v="0"/>
    <m/>
    <x v="0"/>
    <m/>
    <m/>
    <s v=""/>
    <s v=""/>
    <s v=""/>
    <s v=""/>
    <s v=""/>
    <s v=""/>
    <s v=""/>
    <s v=""/>
    <s v="[M74-140] Mechanical Seal, XS500-710"/>
    <m/>
    <m/>
    <m/>
    <m/>
    <m/>
    <s v=""/>
    <s v=""/>
    <s v=""/>
    <s v=""/>
  </r>
  <r>
    <n v="1"/>
    <s v="SO17898"/>
    <m/>
    <x v="0"/>
    <x v="0"/>
    <m/>
    <s v="Aleksandar Stankovic"/>
    <n v="9"/>
    <n v="2025"/>
    <s v="INV13659"/>
    <s v=""/>
    <s v=""/>
    <x v="4"/>
    <s v="Gibraltar Mine (Canada)"/>
    <s v="CAD"/>
    <n v="20812.96"/>
    <n v="15044.02994223643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7899"/>
    <m/>
    <x v="0"/>
    <x v="0"/>
    <m/>
    <s v="Alexis Gil Lamadrid"/>
    <n v="9"/>
    <n v="2025"/>
    <s v="INV13532"/>
    <s v=""/>
    <s v=""/>
    <x v="4"/>
    <s v="Covia Corp - Junction City"/>
    <s v="USD"/>
    <n v="5107.189906547178"/>
    <n v="3667.86"/>
    <x v="0"/>
    <n v="189.32"/>
    <n v="3478.54"/>
    <m/>
    <x v="0"/>
    <m/>
    <m/>
    <s v=""/>
    <s v=""/>
    <s v=""/>
    <s v=""/>
    <s v=""/>
    <s v=""/>
    <s v=""/>
    <s v=""/>
    <s v="[W-SL30083M/A05] Throatbush, 300 RSL, High Chrome"/>
    <m/>
    <m/>
    <m/>
    <m/>
    <m/>
    <s v=""/>
    <s v=""/>
    <s v=""/>
    <s v=""/>
  </r>
  <r>
    <n v="2"/>
    <s v="SO17899"/>
    <m/>
    <x v="0"/>
    <x v="0"/>
    <m/>
    <n v="0"/>
    <n v="9"/>
    <n v="2025"/>
    <s v="INV13553"/>
    <s v=""/>
    <s v=""/>
    <x v="4"/>
    <s v="Covia Corp - Junction City"/>
    <s v="USD"/>
    <n v="0"/>
    <n v="0"/>
    <x v="1"/>
    <n v="131.16"/>
    <n v="0"/>
    <m/>
    <x v="0"/>
    <m/>
    <m/>
    <s v=""/>
    <s v=""/>
    <s v=""/>
    <s v=""/>
    <s v=""/>
    <s v=""/>
    <s v=""/>
    <s v=""/>
    <s v="[W-S30124/S01] Volute Liner Seal, 300 RSL, EPDM"/>
    <m/>
    <m/>
    <m/>
    <m/>
    <m/>
    <s v=""/>
    <s v=""/>
    <s v=""/>
    <s v=""/>
  </r>
  <r>
    <n v="2"/>
    <s v="SO17900"/>
    <m/>
    <x v="6"/>
    <x v="0"/>
    <m/>
    <s v="Aleksandar Stankovic"/>
    <n v="9"/>
    <n v="2025"/>
    <s v="INV13517"/>
    <n v="11"/>
    <n v="2025"/>
    <x v="2"/>
    <s v="Wajax Limited - Lachine"/>
    <s v="CAD"/>
    <n v="898.07"/>
    <n v="649.14322471307662"/>
    <x v="1"/>
    <n v="0"/>
    <n v="0"/>
    <m/>
    <x v="0"/>
    <m/>
    <m/>
    <s v=""/>
    <s v=""/>
    <s v=""/>
    <s v=""/>
    <s v=""/>
    <s v=""/>
    <s v=""/>
    <s v=""/>
    <s v="[W-QV064/S10] Impeller Sealing O-Ring, 65QV-SP, Nitrile"/>
    <m/>
    <m/>
    <m/>
    <m/>
    <m/>
    <s v=""/>
    <s v=""/>
    <s v=""/>
    <s v=""/>
  </r>
  <r>
    <n v="2"/>
    <s v="SO17900"/>
    <m/>
    <x v="6"/>
    <x v="0"/>
    <m/>
    <n v="0"/>
    <n v="9"/>
    <n v="2025"/>
    <s v="INV13633"/>
    <s v=""/>
    <s v=""/>
    <x v="2"/>
    <s v="Wajax Limited - Lachine"/>
    <s v="CAD"/>
    <n v="0"/>
    <n v="0"/>
    <x v="1"/>
    <n v="0"/>
    <n v="0"/>
    <m/>
    <x v="0"/>
    <m/>
    <m/>
    <s v=""/>
    <s v=""/>
    <s v=""/>
    <s v=""/>
    <s v=""/>
    <s v=""/>
    <s v=""/>
    <s v=""/>
    <s v="[W-SP65125/R55] Casing Seal, 65QV-SP, Natural Rubber"/>
    <m/>
    <m/>
    <m/>
    <m/>
    <m/>
    <s v=""/>
    <s v=""/>
    <s v=""/>
    <s v=""/>
  </r>
  <r>
    <n v="0"/>
    <s v="SO17901"/>
    <m/>
    <x v="0"/>
    <x v="0"/>
    <m/>
    <s v="Ian Trottier"/>
    <n v="9"/>
    <n v="2025"/>
    <s v="No Inv"/>
    <s v=""/>
    <s v=""/>
    <x v="4"/>
    <s v="Corrosion Fluid Products Corp."/>
    <s v="USD"/>
    <n v="1737.9636515960046"/>
    <n v="1257.9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02"/>
    <m/>
    <x v="0"/>
    <x v="0"/>
    <m/>
    <s v="Alexis Gil Lamadrid"/>
    <n v="9"/>
    <n v="2025"/>
    <s v="INV13711"/>
    <s v=""/>
    <s v=""/>
    <x v="4"/>
    <s v="Eleazar General &amp; Industrial Supplies Limited"/>
    <s v="USD"/>
    <n v="2752.9636682961882"/>
    <n v="1950"/>
    <x v="1"/>
    <n v="0"/>
    <n v="0"/>
    <m/>
    <x v="0"/>
    <m/>
    <m/>
    <s v=""/>
    <s v=""/>
    <s v=""/>
    <s v=""/>
    <s v=""/>
    <s v=""/>
    <s v=""/>
    <s v=""/>
    <s v="[W-F111] Premium Slurry Packing (Single Piece), 8/6 F-AH, Kevlar Fiber w/Silicon Core"/>
    <m/>
    <m/>
    <m/>
    <m/>
    <m/>
    <s v=""/>
    <s v=""/>
    <s v=""/>
    <s v=""/>
  </r>
  <r>
    <n v="2"/>
    <s v="SO17903"/>
    <m/>
    <x v="0"/>
    <x v="0"/>
    <m/>
    <s v="Ian Trottier"/>
    <n v="9"/>
    <n v="2025"/>
    <s v="INV13625"/>
    <s v=""/>
    <s v=""/>
    <x v="4"/>
    <s v="Les Pompes du St-Laurent Inc."/>
    <s v="CAD"/>
    <n v="3853"/>
    <n v="2782.1901045625073"/>
    <x v="1"/>
    <n v="0"/>
    <n v="0"/>
    <m/>
    <x v="0"/>
    <m/>
    <m/>
    <s v=""/>
    <s v=""/>
    <s v=""/>
    <s v=""/>
    <s v=""/>
    <s v=""/>
    <s v=""/>
    <s v=""/>
    <s v="[G-249-61 1216] Casing, 2x3-10, 3196 MTX, CD4MCu"/>
    <m/>
    <m/>
    <m/>
    <m/>
    <m/>
    <s v=""/>
    <s v=""/>
    <s v=""/>
    <s v=""/>
  </r>
  <r>
    <n v="2"/>
    <s v="SO17903"/>
    <m/>
    <x v="0"/>
    <x v="0"/>
    <m/>
    <n v="0"/>
    <n v="9"/>
    <n v="2025"/>
    <s v="INV13763"/>
    <s v=""/>
    <s v=""/>
    <x v="4"/>
    <s v="Les Pompes du St-Laurent Inc."/>
    <s v="CA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04"/>
    <m/>
    <x v="0"/>
    <x v="0"/>
    <m/>
    <s v="Ian Trottier"/>
    <n v="9"/>
    <n v="2025"/>
    <s v="INV13464"/>
    <n v="11"/>
    <n v="2025"/>
    <x v="2"/>
    <s v="Hyperflo, Hyperflo"/>
    <s v="CAD"/>
    <n v="958.11"/>
    <n v="689.51432762343916"/>
    <x v="0"/>
    <n v="0"/>
    <n v="689.51432762343916"/>
    <m/>
    <x v="0"/>
    <m/>
    <m/>
    <s v=""/>
    <s v=""/>
    <s v=""/>
    <s v=""/>
    <s v=""/>
    <s v=""/>
    <s v=""/>
    <s v=""/>
    <s v="[AC-98-236-360-501] Gland Assembly, 8x6-18 &amp; 10x8-21 SRL-C, 316SS"/>
    <m/>
    <m/>
    <m/>
    <m/>
    <m/>
    <s v=""/>
    <s v=""/>
    <s v=""/>
    <s v=""/>
  </r>
  <r>
    <n v="1"/>
    <s v="SO17905"/>
    <m/>
    <x v="0"/>
    <x v="0"/>
    <m/>
    <s v="Aleksandar Stankovic"/>
    <n v="9"/>
    <n v="2025"/>
    <s v="INV13443"/>
    <s v=""/>
    <s v=""/>
    <x v="4"/>
    <s v="Canadian Bearings Ltd."/>
    <s v="CAD"/>
    <n v="270.35000000000002"/>
    <n v="194.5603307271574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06"/>
    <m/>
    <x v="0"/>
    <x v="0"/>
    <m/>
    <s v="Ian Trottier"/>
    <n v="9"/>
    <n v="2025"/>
    <s v="INV13449"/>
    <n v="11"/>
    <n v="2025"/>
    <x v="2"/>
    <s v="Glencore Canada Corporation - Rouyn-Noranda"/>
    <s v="CAD"/>
    <n v="11712.55"/>
    <n v="8429.0645520930902"/>
    <x v="0"/>
    <n v="0"/>
    <n v="8429.0645520930902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7910"/>
    <m/>
    <x v="0"/>
    <x v="0"/>
    <m/>
    <s v="Ian Trottier"/>
    <n v="9"/>
    <n v="2025"/>
    <s v="INV13836"/>
    <s v=""/>
    <s v=""/>
    <x v="4"/>
    <s v="Resolute Forest Products - Saint-Felicien"/>
    <s v="CAD"/>
    <n v="9686.2199999999993"/>
    <n v="6919.068400656448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11"/>
    <m/>
    <x v="0"/>
    <x v="0"/>
    <m/>
    <s v="Eduardo Talamantes"/>
    <n v="9"/>
    <n v="2025"/>
    <s v="INV13755"/>
    <n v="12"/>
    <n v="2025"/>
    <x v="0"/>
    <s v="Middle Georgia Fluid Sealing LLC"/>
    <s v="USD"/>
    <n v="12990.689784686947"/>
    <n v="9390"/>
    <x v="0"/>
    <n v="692"/>
    <n v="8698"/>
    <m/>
    <x v="0"/>
    <m/>
    <m/>
    <s v=""/>
    <s v=""/>
    <s v=""/>
    <s v=""/>
    <s v=""/>
    <s v=""/>
    <s v=""/>
    <s v=""/>
    <s v="[D-2x3-11-JC-HC] Pump, 2x3-11, Dynapro DC, Frame 1J, High Chrome"/>
    <m/>
    <m/>
    <m/>
    <m/>
    <m/>
    <s v=""/>
    <s v=""/>
    <s v=""/>
    <s v=""/>
  </r>
  <r>
    <n v="2"/>
    <s v="SO17914"/>
    <m/>
    <x v="5"/>
    <x v="0"/>
    <m/>
    <s v="Wilka Nuñez"/>
    <n v="9"/>
    <n v="2025"/>
    <s v="INV13631"/>
    <n v="1"/>
    <n v="2026"/>
    <x v="5"/>
    <s v="Wajax Limited - Noranda"/>
    <s v="CAD"/>
    <n v="100"/>
    <n v="71.817576144916316"/>
    <x v="0"/>
    <n v="0"/>
    <n v="71.817576144916316"/>
    <m/>
    <x v="1"/>
    <m/>
    <m/>
    <s v=""/>
    <n v="5.0000000000000001E-3"/>
    <s v=""/>
    <s v=""/>
    <s v=""/>
    <n v="0.35908788072458159"/>
    <s v=""/>
    <s v=""/>
    <s v="[GO351-9607-NSN, G-70782 49 5127] Casing Gasket, 15&quot;, 3196 XLT"/>
    <m/>
    <m/>
    <m/>
    <m/>
    <m/>
    <s v=""/>
    <n v="0.35908788072458159"/>
    <s v=""/>
    <s v=""/>
  </r>
  <r>
    <n v="2"/>
    <s v="SO17914"/>
    <m/>
    <x v="5"/>
    <x v="0"/>
    <m/>
    <n v="0"/>
    <n v="9"/>
    <n v="2025"/>
    <s v="INV13486"/>
    <n v="11"/>
    <n v="2025"/>
    <x v="4"/>
    <s v="Wajax Limited - Noranda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GO351-9607-NSN, G-70782 49 5127] Casing Gasket, 15&quot;, 3196 XLT"/>
    <m/>
    <m/>
    <m/>
    <m/>
    <m/>
    <s v=""/>
    <n v="0"/>
    <s v=""/>
    <s v=""/>
  </r>
  <r>
    <n v="1"/>
    <s v="SO17916"/>
    <m/>
    <x v="6"/>
    <x v="0"/>
    <m/>
    <s v="Aleksandar Stankovic"/>
    <n v="9"/>
    <n v="2025"/>
    <s v="INV13647"/>
    <n v="11"/>
    <n v="2025"/>
    <x v="2"/>
    <s v="Process and Steam Specialties, Process and Steam Specialties"/>
    <s v="CAD"/>
    <n v="753.88"/>
    <n v="541.20080628788833"/>
    <x v="0"/>
    <n v="0"/>
    <n v="541.20080628788833"/>
    <m/>
    <x v="0"/>
    <m/>
    <m/>
    <s v=""/>
    <s v=""/>
    <s v=""/>
    <s v=""/>
    <s v=""/>
    <s v=""/>
    <s v=""/>
    <s v=""/>
    <s v="[SA-134422-1] Gland, Sala STHM-33WFR, Cast Iron"/>
    <m/>
    <m/>
    <m/>
    <m/>
    <m/>
    <s v=""/>
    <s v=""/>
    <s v=""/>
    <s v=""/>
  </r>
  <r>
    <n v="1"/>
    <s v="SO17917"/>
    <m/>
    <x v="4"/>
    <x v="0"/>
    <m/>
    <s v="Ian Trottier"/>
    <n v="9"/>
    <n v="2025"/>
    <s v="INV13463"/>
    <n v="11"/>
    <n v="2025"/>
    <x v="2"/>
    <s v="Glencore Canada Corporation - Rouyn-Noranda"/>
    <s v="CAD"/>
    <n v="979.42"/>
    <n v="703.39570427853937"/>
    <x v="0"/>
    <n v="0"/>
    <n v="703.39570427853937"/>
    <m/>
    <x v="1"/>
    <m/>
    <m/>
    <s v=""/>
    <n v="5.0000000000000001E-3"/>
    <s v=""/>
    <s v=""/>
    <s v=""/>
    <n v="3.516978521392697"/>
    <s v=""/>
    <s v=""/>
    <s v="[AC-98-330-307-501] Impeller (Closed), 3x3-10 SRL-C, Natural Rubber"/>
    <m/>
    <m/>
    <m/>
    <m/>
    <m/>
    <s v=""/>
    <n v="3.516978521392697"/>
    <s v=""/>
    <s v=""/>
  </r>
  <r>
    <n v="1"/>
    <s v="SO17920"/>
    <m/>
    <x v="4"/>
    <x v="0"/>
    <m/>
    <s v="Alexis Gil Lamadrid"/>
    <n v="9"/>
    <n v="2025"/>
    <s v="INV13462"/>
    <n v="11"/>
    <n v="2025"/>
    <x v="2"/>
    <s v="Fabrene Inc."/>
    <s v="CAD"/>
    <n v="102.4"/>
    <n v="73.541197972394315"/>
    <x v="0"/>
    <n v="0"/>
    <n v="73.541197972394315"/>
    <m/>
    <x v="1"/>
    <m/>
    <m/>
    <s v=""/>
    <n v="5.0000000000000001E-3"/>
    <s v=""/>
    <s v=""/>
    <s v=""/>
    <n v="0.36770598986197156"/>
    <s v=""/>
    <s v=""/>
    <s v="[028-Teflon, G-C02495A28 6359] Impeller O-Ring, 3196 MTX, Teflon"/>
    <m/>
    <m/>
    <m/>
    <m/>
    <m/>
    <s v=""/>
    <n v="0.36770598986197156"/>
    <s v=""/>
    <s v=""/>
  </r>
  <r>
    <n v="1"/>
    <s v="SO17921"/>
    <m/>
    <x v="0"/>
    <x v="0"/>
    <m/>
    <s v="Leriel Reyes"/>
    <n v="9"/>
    <n v="2025"/>
    <s v="INV13661"/>
    <s v=""/>
    <s v=""/>
    <x v="4"/>
    <s v="Covia Corp - Fort Smith"/>
    <s v="USD"/>
    <n v="33876.233231040314"/>
    <n v="24284.38"/>
    <x v="1"/>
    <n v="585"/>
    <n v="0"/>
    <m/>
    <x v="0"/>
    <m/>
    <m/>
    <s v=""/>
    <s v=""/>
    <s v=""/>
    <s v=""/>
    <s v=""/>
    <s v=""/>
    <s v=""/>
    <s v=""/>
    <s v="[D-196 8x10-15G XLT CD4MCu] Pump D-196 XLTX 8x10-15G All CD4MCu"/>
    <m/>
    <m/>
    <m/>
    <m/>
    <m/>
    <s v=""/>
    <s v=""/>
    <s v=""/>
    <s v=""/>
  </r>
  <r>
    <n v="1"/>
    <s v="SO17922"/>
    <m/>
    <x v="0"/>
    <x v="0"/>
    <m/>
    <s v="Ian Trottier"/>
    <n v="9"/>
    <n v="2025"/>
    <s v="INV13626"/>
    <n v="12"/>
    <n v="2025"/>
    <x v="4"/>
    <s v="Les Pompes du St-Laurent Inc."/>
    <s v="CAD"/>
    <n v="1949.64"/>
    <n v="1397.8677087523454"/>
    <x v="0"/>
    <n v="0"/>
    <n v="1397.8677087523454"/>
    <m/>
    <x v="0"/>
    <m/>
    <m/>
    <s v=""/>
    <s v=""/>
    <s v=""/>
    <s v=""/>
    <s v=""/>
    <s v=""/>
    <s v=""/>
    <s v=""/>
    <s v="[DU-MY49112A130-CD4] Impeller, 3x2-13, Durco Mark 2&amp;3 Group 2, CD4MCu, Reverse Vane"/>
    <m/>
    <m/>
    <m/>
    <m/>
    <m/>
    <s v=""/>
    <s v=""/>
    <s v=""/>
    <s v=""/>
  </r>
  <r>
    <n v="1"/>
    <s v="SO17923"/>
    <m/>
    <x v="0"/>
    <x v="0"/>
    <m/>
    <s v="Aleksandar Stankovic"/>
    <n v="9"/>
    <n v="2025"/>
    <s v="INV13539"/>
    <n v="11"/>
    <n v="2025"/>
    <x v="2"/>
    <s v="FMI Products"/>
    <s v="CAD"/>
    <n v="4981.76"/>
    <n v="3546.4264881520389"/>
    <x v="1"/>
    <n v="0"/>
    <n v="0"/>
    <m/>
    <x v="0"/>
    <m/>
    <m/>
    <s v=""/>
    <s v=""/>
    <s v=""/>
    <s v=""/>
    <s v=""/>
    <s v=""/>
    <s v=""/>
    <s v=""/>
    <s v="[GA-27769] Impeller, G-Series 2.5&quot; VSP, 1000 Series, 316SS"/>
    <m/>
    <m/>
    <m/>
    <m/>
    <m/>
    <s v=""/>
    <s v=""/>
    <s v=""/>
    <s v=""/>
  </r>
  <r>
    <n v="1"/>
    <s v="SO17925"/>
    <m/>
    <x v="5"/>
    <x v="0"/>
    <m/>
    <s v="Wilka Nuñez"/>
    <n v="9"/>
    <n v="2025"/>
    <s v="INV13465"/>
    <n v="11"/>
    <n v="2025"/>
    <x v="2"/>
    <s v="Hyperflo"/>
    <s v="CAD"/>
    <n v="279.5"/>
    <n v="200.39803481477637"/>
    <x v="0"/>
    <n v="0"/>
    <n v="200.39803481477637"/>
    <m/>
    <x v="1"/>
    <m/>
    <m/>
    <s v=""/>
    <n v="5.0000000000000001E-3"/>
    <s v=""/>
    <s v=""/>
    <s v=""/>
    <n v="1.0019901740738819"/>
    <s v=""/>
    <s v=""/>
    <s v="[AC-98-232-857-802] Shim Set, A-C PWO-C Group 2, Plastic"/>
    <m/>
    <m/>
    <m/>
    <m/>
    <m/>
    <s v=""/>
    <n v="1.0019901740738819"/>
    <s v=""/>
    <s v=""/>
  </r>
  <r>
    <n v="2"/>
    <s v="SO17926"/>
    <m/>
    <x v="0"/>
    <x v="0"/>
    <m/>
    <s v="Ian Trottier"/>
    <n v="9"/>
    <n v="2025"/>
    <s v="INV13450"/>
    <n v="11"/>
    <n v="2025"/>
    <x v="2"/>
    <s v="Glencore Canada Corporation - Rouyn-Noranda"/>
    <s v="CAD"/>
    <n v="14319.84"/>
    <n v="10267.147745481316"/>
    <x v="1"/>
    <n v="0"/>
    <n v="0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2"/>
    <s v="SO17926"/>
    <m/>
    <x v="0"/>
    <x v="0"/>
    <m/>
    <n v="0"/>
    <n v="9"/>
    <n v="2025"/>
    <s v="INV13550"/>
    <s v=""/>
    <s v=""/>
    <x v="2"/>
    <s v="Glencore Canada Corporation - Rouyn-Noranda"/>
    <s v="CAD"/>
    <n v="0"/>
    <n v="0"/>
    <x v="1"/>
    <n v="0"/>
    <n v="0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1"/>
    <s v="SO17928"/>
    <m/>
    <x v="0"/>
    <x v="0"/>
    <m/>
    <s v="Ian Trottier"/>
    <n v="9"/>
    <n v="2025"/>
    <s v="INV13460"/>
    <n v="11"/>
    <n v="2025"/>
    <x v="2"/>
    <s v="Middle Georgia Fluid Sealing LLC"/>
    <s v="USD"/>
    <n v="10938.227689763189"/>
    <n v="7855.57"/>
    <x v="0"/>
    <n v="690"/>
    <n v="7165.57"/>
    <m/>
    <x v="0"/>
    <m/>
    <m/>
    <s v=""/>
    <s v=""/>
    <s v=""/>
    <s v=""/>
    <s v=""/>
    <s v=""/>
    <s v=""/>
    <s v=""/>
    <s v="[D-PE1J-100] Power End, Goulds JC, Frame 1J, Grease-Lubed, SKF Bearings, 4140 Steel Shaft"/>
    <m/>
    <m/>
    <m/>
    <m/>
    <m/>
    <s v=""/>
    <s v=""/>
    <s v=""/>
    <s v=""/>
  </r>
  <r>
    <n v="2"/>
    <s v="SO17930"/>
    <m/>
    <x v="0"/>
    <x v="0"/>
    <m/>
    <s v="Carlos Leon"/>
    <n v="9"/>
    <n v="2025"/>
    <s v="INV13683"/>
    <s v=""/>
    <s v=""/>
    <x v="4"/>
    <s v="Dynapro Pumps México S de RL de CV"/>
    <s v="USD"/>
    <n v="2575.9710913481645"/>
    <n v="1850"/>
    <x v="0"/>
    <n v="0"/>
    <n v="1850"/>
    <m/>
    <x v="0"/>
    <m/>
    <m/>
    <s v=""/>
    <s v=""/>
    <s v=""/>
    <s v=""/>
    <s v=""/>
    <s v=""/>
    <s v=""/>
    <s v=""/>
    <s v="[SZ-EL1208506M] Deflector, Sulzer"/>
    <m/>
    <m/>
    <m/>
    <m/>
    <m/>
    <s v=""/>
    <s v=""/>
    <s v=""/>
    <s v=""/>
  </r>
  <r>
    <n v="2"/>
    <s v="SO17930"/>
    <m/>
    <x v="0"/>
    <x v="0"/>
    <m/>
    <n v="0"/>
    <n v="9"/>
    <n v="2025"/>
    <s v="INV13710"/>
    <s v=""/>
    <s v=""/>
    <x v="4"/>
    <s v="Dynapro Pumps México S de RL de CV"/>
    <s v="USD"/>
    <n v="0"/>
    <n v="0"/>
    <x v="1"/>
    <n v="0"/>
    <n v="0"/>
    <m/>
    <x v="0"/>
    <m/>
    <m/>
    <s v=""/>
    <s v=""/>
    <s v=""/>
    <s v=""/>
    <s v=""/>
    <s v=""/>
    <s v=""/>
    <s v=""/>
    <s v="[D-500S-98B-04/C21] Shaft, 500S-98B, 420SS"/>
    <m/>
    <m/>
    <m/>
    <m/>
    <m/>
    <s v=""/>
    <s v=""/>
    <s v=""/>
    <s v=""/>
  </r>
  <r>
    <n v="1"/>
    <s v="SO17931"/>
    <m/>
    <x v="0"/>
    <x v="0"/>
    <m/>
    <s v="Ian Trottier"/>
    <n v="9"/>
    <n v="2025"/>
    <s v="INV13468"/>
    <n v="11"/>
    <n v="2025"/>
    <x v="2"/>
    <s v="Les Pompes du St-Laurent Inc."/>
    <s v="CAD"/>
    <n v="1761.16"/>
    <n v="1262.7298854897731"/>
    <x v="0"/>
    <n v="0"/>
    <n v="1262.7298854897731"/>
    <m/>
    <x v="0"/>
    <m/>
    <m/>
    <s v=""/>
    <s v=""/>
    <s v=""/>
    <s v=""/>
    <s v=""/>
    <s v=""/>
    <s v=""/>
    <s v=""/>
    <s v="[DU-DY21855A/CBS-CD4] Rear Cover, 13&quot;, Durco Mark 2&amp;3 Group 2, CD4MCu, Small Bore"/>
    <m/>
    <m/>
    <m/>
    <m/>
    <m/>
    <s v=""/>
    <s v=""/>
    <s v=""/>
    <s v=""/>
  </r>
  <r>
    <n v="1"/>
    <s v="SO17932"/>
    <m/>
    <x v="0"/>
    <x v="0"/>
    <m/>
    <s v="Carlos Leon"/>
    <n v="9"/>
    <n v="2025"/>
    <s v="INV13672"/>
    <s v=""/>
    <s v=""/>
    <x v="4"/>
    <s v="Dynapro Pumps México S de RL de CV"/>
    <s v="USD"/>
    <n v="4163.3262503410879"/>
    <n v="2990"/>
    <x v="1"/>
    <n v="0"/>
    <n v="0"/>
    <m/>
    <x v="0"/>
    <m/>
    <m/>
    <s v=""/>
    <s v=""/>
    <s v=""/>
    <s v=""/>
    <s v=""/>
    <s v=""/>
    <s v=""/>
    <s v=""/>
    <s v="[DC-MS000021] Mechanical Seal, Dynapro Vertical Turbine, 12RJHC-8, A20"/>
    <m/>
    <m/>
    <m/>
    <m/>
    <m/>
    <s v=""/>
    <s v=""/>
    <s v=""/>
    <s v=""/>
  </r>
  <r>
    <n v="1"/>
    <s v="SO17937"/>
    <m/>
    <x v="0"/>
    <x v="0"/>
    <m/>
    <s v="Yannett Yeomans"/>
    <n v="9"/>
    <n v="2025"/>
    <s v="INV13613"/>
    <s v=""/>
    <s v=""/>
    <x v="4"/>
    <s v="Dynapro Pumps México S de RL de CV"/>
    <s v="USD"/>
    <n v="1378.4926380728016"/>
    <n v="990"/>
    <x v="1"/>
    <n v="0"/>
    <n v="0"/>
    <m/>
    <x v="0"/>
    <m/>
    <m/>
    <s v=""/>
    <s v=""/>
    <s v=""/>
    <s v=""/>
    <s v=""/>
    <s v=""/>
    <s v=""/>
    <s v=""/>
    <s v="[B1205I-76-110-05] End Cover, XS500-710, Carbon Steel"/>
    <m/>
    <m/>
    <m/>
    <m/>
    <m/>
    <s v=""/>
    <s v=""/>
    <s v=""/>
    <s v=""/>
  </r>
  <r>
    <n v="1"/>
    <s v="SO17938"/>
    <m/>
    <x v="0"/>
    <x v="0"/>
    <m/>
    <s v="Ian Trottier"/>
    <n v="9"/>
    <n v="2025"/>
    <s v="INV13467"/>
    <n v="11"/>
    <n v="2025"/>
    <x v="2"/>
    <s v="Les Pompes du St-Laurent Inc."/>
    <s v="CAD"/>
    <n v="463.06"/>
    <n v="332.42484925939078"/>
    <x v="0"/>
    <n v="0"/>
    <n v="332.42484925939078"/>
    <m/>
    <x v="0"/>
    <m/>
    <m/>
    <s v=""/>
    <s v=""/>
    <s v=""/>
    <s v=""/>
    <s v=""/>
    <s v=""/>
    <s v=""/>
    <s v=""/>
    <s v="[AC-98-331-958-804] Shaft Sleeve, 3x3-10 SRL, Steel"/>
    <m/>
    <m/>
    <m/>
    <m/>
    <m/>
    <s v=""/>
    <s v=""/>
    <s v=""/>
    <s v=""/>
  </r>
  <r>
    <n v="2"/>
    <s v="SO17939"/>
    <m/>
    <x v="5"/>
    <x v="0"/>
    <m/>
    <s v="Wilka Nuñez"/>
    <n v="9"/>
    <n v="2025"/>
    <s v="INV13740"/>
    <s v=""/>
    <s v=""/>
    <x v="4"/>
    <s v="Barrick Gold - Pueblo Viejo Dominicana Corporation"/>
    <s v="USD"/>
    <n v="8962.1725367928775"/>
    <n v="6387.56"/>
    <x v="0"/>
    <n v="0"/>
    <n v="6387.56"/>
    <m/>
    <x v="3"/>
    <m/>
    <m/>
    <s v=""/>
    <n v="0"/>
    <s v=""/>
    <s v=""/>
    <s v=""/>
    <n v="0"/>
    <s v=""/>
    <s v=""/>
    <s v="[37231] Sleeve Bearing (Suction Bell), ThorPlas-Blue, HPCW"/>
    <m/>
    <m/>
    <m/>
    <m/>
    <m/>
    <s v=""/>
    <n v="0"/>
    <s v=""/>
    <s v=""/>
  </r>
  <r>
    <n v="2"/>
    <s v="SO17939"/>
    <m/>
    <x v="5"/>
    <x v="0"/>
    <m/>
    <n v="0"/>
    <n v="9"/>
    <n v="2025"/>
    <s v="INV13575"/>
    <s v=""/>
    <s v=""/>
    <x v="4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37230] Sleeve Bearing (Bowl), ThorPlas-Blue, HPCW"/>
    <m/>
    <m/>
    <m/>
    <m/>
    <m/>
    <s v=""/>
    <n v="0"/>
    <s v=""/>
    <s v=""/>
  </r>
  <r>
    <n v="1"/>
    <s v="SO17941"/>
    <m/>
    <x v="4"/>
    <x v="0"/>
    <m/>
    <s v="Alexis Gil Lamadrid"/>
    <n v="9"/>
    <n v="2025"/>
    <s v="INV13484"/>
    <n v="11"/>
    <n v="2025"/>
    <x v="2"/>
    <s v="Wajax Limited - Noranda"/>
    <s v="CAD"/>
    <n v="2627.35"/>
    <n v="1889.5132176516818"/>
    <x v="0"/>
    <n v="0"/>
    <n v="1889.5132176516818"/>
    <m/>
    <x v="1"/>
    <m/>
    <m/>
    <s v=""/>
    <n v="5.0000000000000001E-3"/>
    <s v=""/>
    <s v=""/>
    <s v=""/>
    <n v="9.4475660882584087"/>
    <s v=""/>
    <s v=""/>
    <s v="[W-D3110/A05] Volute Liner, 4/3 C or D-AH, High Chrome"/>
    <m/>
    <m/>
    <m/>
    <m/>
    <m/>
    <s v=""/>
    <n v="9.4475660882584087"/>
    <s v=""/>
    <s v=""/>
  </r>
  <r>
    <n v="1"/>
    <s v="SO17942"/>
    <m/>
    <x v="6"/>
    <x v="0"/>
    <m/>
    <s v="Aleksandar Stankovic"/>
    <n v="9"/>
    <n v="2025"/>
    <s v="INV13487"/>
    <n v="11"/>
    <n v="2025"/>
    <x v="2"/>
    <s v="Wajax Limited - Noranda"/>
    <s v="CAD"/>
    <n v="168.59"/>
    <n v="120.85474781914751"/>
    <x v="0"/>
    <n v="0"/>
    <n v="120.85474781914751"/>
    <m/>
    <x v="0"/>
    <m/>
    <m/>
    <s v=""/>
    <s v=""/>
    <s v=""/>
    <s v=""/>
    <s v=""/>
    <s v=""/>
    <s v=""/>
    <s v=""/>
    <s v="[AC-98-5414-HC6] Stuffing Box Gasket, 5x4-14 SRL-C, Rubber, 3-Piece Design"/>
    <m/>
    <m/>
    <m/>
    <m/>
    <m/>
    <s v=""/>
    <s v=""/>
    <s v=""/>
    <s v=""/>
  </r>
  <r>
    <n v="1"/>
    <s v="SO17944"/>
    <m/>
    <x v="4"/>
    <x v="0"/>
    <m/>
    <s v="Alexis Gil Lamadrid"/>
    <n v="9"/>
    <n v="2025"/>
    <s v="INV13492"/>
    <n v="11"/>
    <n v="2025"/>
    <x v="2"/>
    <s v="Motion Industries Inc. (Canada) - Prince George"/>
    <s v="CAD"/>
    <n v="5276.54"/>
    <n v="3775.209448803545"/>
    <x v="0"/>
    <n v="0"/>
    <n v="3775.209448803545"/>
    <m/>
    <x v="1"/>
    <m/>
    <m/>
    <s v=""/>
    <n v="5.0000000000000001E-3"/>
    <s v=""/>
    <s v=""/>
    <s v=""/>
    <n v="18.876047244017727"/>
    <s v=""/>
    <s v=""/>
    <s v="[W-D111] Premium Slurry Packing (Single Piece), 4/3 or 6/4 DH, Kevlar Fiber w/Silicon Core"/>
    <m/>
    <m/>
    <m/>
    <m/>
    <m/>
    <s v=""/>
    <n v="18.876047244017727"/>
    <s v=""/>
    <s v=""/>
  </r>
  <r>
    <n v="1"/>
    <s v="SO17945"/>
    <m/>
    <x v="4"/>
    <x v="0"/>
    <m/>
    <s v="Alexis Gil Lamadrid"/>
    <n v="9"/>
    <n v="2025"/>
    <s v="INV13474"/>
    <n v="11"/>
    <n v="2025"/>
    <x v="2"/>
    <s v="Resolute Forest Products - Saint-Felicien"/>
    <s v="CAD"/>
    <n v="956.66"/>
    <n v="688.00187062959185"/>
    <x v="0"/>
    <n v="0"/>
    <n v="688.00187062959185"/>
    <m/>
    <x v="1"/>
    <m/>
    <m/>
    <s v=""/>
    <n v="5.0000000000000001E-3"/>
    <s v=""/>
    <s v=""/>
    <s v=""/>
    <n v="3.4400093531479592"/>
    <s v=""/>
    <s v=""/>
    <s v="[OLPWZ011003B, G-A04951A216] Bearing Isolator (Inboard), 3196 STX/STi, 303SS Rotor / Bronze Stator w/Viton"/>
    <m/>
    <m/>
    <m/>
    <m/>
    <m/>
    <s v=""/>
    <n v="3.4400093531479592"/>
    <s v=""/>
    <s v=""/>
  </r>
  <r>
    <n v="1"/>
    <s v="SO17946"/>
    <m/>
    <x v="0"/>
    <x v="0"/>
    <m/>
    <s v="Yannett Yeomans"/>
    <n v="9"/>
    <n v="2025"/>
    <s v="INV13471"/>
    <s v=""/>
    <s v=""/>
    <x v="4"/>
    <s v="Dynapro Pumps México S de RL de CV"/>
    <s v="USD"/>
    <n v="1345.8536313799586"/>
    <n v="966"/>
    <x v="1"/>
    <n v="0"/>
    <n v="0"/>
    <m/>
    <x v="0"/>
    <m/>
    <m/>
    <s v=""/>
    <s v=""/>
    <s v=""/>
    <s v=""/>
    <s v=""/>
    <s v=""/>
    <s v=""/>
    <s v=""/>
    <s v="[D-2J3411-12] Impeller, 3x4-11, Goulds JC, Frame 2J, CD4MCu, OEM# 056185G4201247"/>
    <m/>
    <m/>
    <m/>
    <m/>
    <m/>
    <s v=""/>
    <s v=""/>
    <s v=""/>
    <s v=""/>
  </r>
  <r>
    <n v="3"/>
    <s v="SO17947"/>
    <m/>
    <x v="5"/>
    <x v="0"/>
    <m/>
    <s v="Wilka Nuñez"/>
    <n v="9"/>
    <n v="2025"/>
    <s v="INV13480"/>
    <s v=""/>
    <s v=""/>
    <x v="4"/>
    <s v="Barrick Gold - Pueblo Viejo Dominicana Corporation"/>
    <s v="USD"/>
    <n v="343554.47137796431"/>
    <n v="247074.32"/>
    <x v="1"/>
    <n v="0"/>
    <n v="0"/>
    <m/>
    <x v="3"/>
    <m/>
    <m/>
    <s v=""/>
    <n v="0"/>
    <s v=""/>
    <s v=""/>
    <s v=""/>
    <n v="0"/>
    <s v=""/>
    <s v=""/>
    <s v="[D-2001405-CD4] Bowl,10JKH/M, BW-INT-STEP-NO-SL-SP, CD4MCu"/>
    <m/>
    <m/>
    <m/>
    <m/>
    <m/>
    <s v=""/>
    <n v="0"/>
    <s v=""/>
    <s v=""/>
  </r>
  <r>
    <n v="3"/>
    <s v="SO17947"/>
    <m/>
    <x v="5"/>
    <x v="0"/>
    <m/>
    <n v="0"/>
    <n v="9"/>
    <n v="2025"/>
    <s v="INV13572"/>
    <n v="12"/>
    <n v="2025"/>
    <x v="4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D-2001407-2507] Bowl Wear Ring, 10JKH/M, 05.50x05.88x0.88, Duplex SS 2507 w/Ion Nitriding"/>
    <m/>
    <m/>
    <m/>
    <m/>
    <m/>
    <s v=""/>
    <n v="0"/>
    <s v=""/>
    <s v=""/>
  </r>
  <r>
    <n v="3"/>
    <s v="SO17947"/>
    <m/>
    <x v="5"/>
    <x v="0"/>
    <m/>
    <n v="0"/>
    <n v="9"/>
    <n v="2025"/>
    <s v="INV13741"/>
    <s v=""/>
    <s v=""/>
    <x v="4"/>
    <s v="Barrick Gold - Pueblo Viejo Dominicana Corporation"/>
    <s v="USD"/>
    <n v="0"/>
    <n v="0"/>
    <x v="1"/>
    <n v="0"/>
    <n v="0"/>
    <m/>
    <x v="3"/>
    <m/>
    <m/>
    <s v=""/>
    <n v="0"/>
    <s v=""/>
    <s v=""/>
    <s v=""/>
    <n v="0"/>
    <s v=""/>
    <s v=""/>
    <s v="[D-2001407-2507] Bowl Wear Ring, 10JKH/M, 05.50x05.88x0.88, Duplex SS 2507 w/Ion Nitriding"/>
    <m/>
    <m/>
    <m/>
    <m/>
    <m/>
    <s v=""/>
    <n v="0"/>
    <s v=""/>
    <s v=""/>
  </r>
  <r>
    <n v="1"/>
    <s v="SO17953"/>
    <m/>
    <x v="0"/>
    <x v="0"/>
    <m/>
    <s v="Alexis Gil Lamadrid"/>
    <n v="10"/>
    <n v="2025"/>
    <s v="INV13715"/>
    <s v=""/>
    <s v=""/>
    <x v="4"/>
    <s v="Eleazar General &amp; Industrial Supplies Limited"/>
    <s v="USD"/>
    <n v="3091.4633131184073"/>
    <n v="2206"/>
    <x v="1"/>
    <n v="0"/>
    <n v="0"/>
    <m/>
    <x v="0"/>
    <m/>
    <m/>
    <s v=""/>
    <s v=""/>
    <s v=""/>
    <s v=""/>
    <s v=""/>
    <s v=""/>
    <s v=""/>
    <s v=""/>
    <s v="[AC-98-431-799-001] Suction Side Casing, 5x4-14 SRL-C, Cast Iron"/>
    <m/>
    <m/>
    <m/>
    <m/>
    <m/>
    <s v=""/>
    <s v=""/>
    <s v=""/>
    <s v=""/>
  </r>
  <r>
    <n v="1"/>
    <s v="SO17954"/>
    <m/>
    <x v="0"/>
    <x v="0"/>
    <m/>
    <s v="Alexis Gil Lamadrid"/>
    <n v="10"/>
    <n v="2025"/>
    <s v="INV13833"/>
    <s v=""/>
    <s v=""/>
    <x v="4"/>
    <s v="Wajax Limited - Lachine"/>
    <s v="CAD"/>
    <n v="1435"/>
    <n v="1028.688315561282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56"/>
    <m/>
    <x v="0"/>
    <x v="0"/>
    <m/>
    <s v="Ian Trottier"/>
    <n v="10"/>
    <n v="2025"/>
    <s v="INV13570"/>
    <n v="12"/>
    <n v="2025"/>
    <x v="4"/>
    <s v="Grant Aggregate"/>
    <s v="CAD"/>
    <n v="1759.61"/>
    <n v="1258.9492921894284"/>
    <x v="0"/>
    <n v="0"/>
    <n v="1258.9492921894284"/>
    <m/>
    <x v="0"/>
    <m/>
    <m/>
    <s v=""/>
    <s v=""/>
    <s v=""/>
    <s v=""/>
    <s v=""/>
    <s v=""/>
    <s v=""/>
    <s v=""/>
    <s v="[G-0D02490A02 1216] Impeller, 8x10-13, 3196 XLT, CD4MCu, 5-Vane"/>
    <m/>
    <m/>
    <m/>
    <m/>
    <m/>
    <s v=""/>
    <s v=""/>
    <s v=""/>
    <s v=""/>
  </r>
  <r>
    <n v="1"/>
    <s v="SO17957"/>
    <m/>
    <x v="0"/>
    <x v="0"/>
    <m/>
    <s v="Wilka Nuñez"/>
    <n v="10"/>
    <n v="2025"/>
    <s v="INV13489"/>
    <s v=""/>
    <s v=""/>
    <x v="4"/>
    <s v="Glencore Canada Corporation - Rouyn-Noranda"/>
    <s v="CAD"/>
    <n v="3200.66"/>
    <n v="2289.978257420119"/>
    <x v="1"/>
    <n v="0"/>
    <n v="0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7958"/>
    <m/>
    <x v="0"/>
    <x v="0"/>
    <m/>
    <s v="Ian Trottier"/>
    <n v="10"/>
    <n v="2025"/>
    <s v="INV13488"/>
    <s v=""/>
    <s v=""/>
    <x v="4"/>
    <s v="Glencore Canada Corporation - Rouyn-Noranda, Glencore Canada Corp."/>
    <s v="CAD"/>
    <n v="1495.52"/>
    <n v="1070.0006509710299"/>
    <x v="1"/>
    <n v="0"/>
    <n v="0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1"/>
    <s v="SO17959"/>
    <m/>
    <x v="4"/>
    <x v="0"/>
    <m/>
    <s v="Alexis Gil Lamadrid"/>
    <n v="10"/>
    <n v="2025"/>
    <s v="INV13508"/>
    <n v="11"/>
    <n v="2025"/>
    <x v="2"/>
    <s v="Process and Steam Specialties"/>
    <s v="CAD"/>
    <n v="663"/>
    <n v="474.35703407095377"/>
    <x v="0"/>
    <n v="0"/>
    <n v="474.35703407095377"/>
    <m/>
    <x v="1"/>
    <m/>
    <m/>
    <s v=""/>
    <n v="5.0000000000000001E-3"/>
    <s v=""/>
    <s v=""/>
    <s v=""/>
    <n v="2.371785170354769"/>
    <s v=""/>
    <s v=""/>
    <s v="[SA-013826-1] Shaft Sleeve, Sala STGVA-33-WFR, Steel"/>
    <m/>
    <m/>
    <m/>
    <m/>
    <m/>
    <s v=""/>
    <n v="2.371785170354769"/>
    <s v=""/>
    <s v=""/>
  </r>
  <r>
    <n v="1"/>
    <s v="SO17962"/>
    <m/>
    <x v="4"/>
    <x v="0"/>
    <m/>
    <s v="Ian Trottier"/>
    <n v="10"/>
    <n v="2025"/>
    <s v="INV13481"/>
    <n v="11"/>
    <n v="2025"/>
    <x v="2"/>
    <s v="Canadian Industrial Pumps Ltd"/>
    <s v="CAD"/>
    <n v="373.11"/>
    <n v="266.9492503502467"/>
    <x v="0"/>
    <n v="0"/>
    <n v="266.9492503502467"/>
    <m/>
    <x v="1"/>
    <m/>
    <m/>
    <s v=""/>
    <n v="5.0000000000000001E-3"/>
    <s v=""/>
    <s v=""/>
    <s v=""/>
    <n v="1.3347462517512336"/>
    <s v=""/>
    <s v=""/>
    <s v="[AC-98-234-268-001-SS] Waterseal Bushing, 5x4/5x5/6x6 SRL, 316SS"/>
    <m/>
    <m/>
    <m/>
    <m/>
    <m/>
    <s v=""/>
    <n v="1.3347462517512336"/>
    <s v=""/>
    <s v=""/>
  </r>
  <r>
    <n v="1"/>
    <s v="SO17964"/>
    <m/>
    <x v="0"/>
    <x v="0"/>
    <m/>
    <s v="Wilka Nuñez"/>
    <n v="10"/>
    <n v="2025"/>
    <s v="INV13501"/>
    <n v="12"/>
    <n v="2025"/>
    <x v="4"/>
    <s v="Grant Aggregate"/>
    <s v="CAD"/>
    <n v="304.68"/>
    <n v="218.45059994559344"/>
    <x v="0"/>
    <n v="0"/>
    <n v="218.45059994559344"/>
    <m/>
    <x v="0"/>
    <m/>
    <m/>
    <s v=""/>
    <s v=""/>
    <s v=""/>
    <s v=""/>
    <s v=""/>
    <s v=""/>
    <s v=""/>
    <s v=""/>
    <s v="[AC-98-236-245-004] Premium Slurry Packing (5 Piece Set), 8x6-18 &amp; 10x8-21 SRL-C, Kevlar Fiber w/Silicon Core"/>
    <m/>
    <m/>
    <m/>
    <m/>
    <m/>
    <s v=""/>
    <s v=""/>
    <s v=""/>
    <s v=""/>
  </r>
  <r>
    <n v="0"/>
    <s v="SO17965"/>
    <m/>
    <x v="0"/>
    <x v="0"/>
    <m/>
    <s v="Ian Trottier"/>
    <n v="10"/>
    <n v="2025"/>
    <s v="No Inv"/>
    <s v=""/>
    <s v=""/>
    <x v="0"/>
    <s v="PT Vale Indonesia Tbk."/>
    <s v="USD"/>
    <n v="3860.0789007716335"/>
    <n v="280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7966"/>
    <m/>
    <x v="6"/>
    <x v="0"/>
    <m/>
    <s v="Aleksandar Stankovic"/>
    <n v="10"/>
    <n v="2025"/>
    <s v="INV13521"/>
    <n v="11"/>
    <n v="2025"/>
    <x v="2"/>
    <s v="Rueck Company Inc."/>
    <s v="USD"/>
    <n v="21115.71281649607"/>
    <n v="15132"/>
    <x v="0"/>
    <n v="120"/>
    <n v="15012"/>
    <m/>
    <x v="0"/>
    <m/>
    <m/>
    <s v=""/>
    <s v=""/>
    <s v=""/>
    <s v=""/>
    <s v=""/>
    <s v=""/>
    <s v=""/>
    <s v=""/>
    <s v="[AC-98-530-742-501] Impeller (Closed),12x10-25 SRL-C, Natural Rubber"/>
    <m/>
    <m/>
    <m/>
    <m/>
    <m/>
    <s v=""/>
    <s v=""/>
    <s v=""/>
    <s v=""/>
  </r>
  <r>
    <n v="1"/>
    <s v="SO17968"/>
    <m/>
    <x v="0"/>
    <x v="0"/>
    <m/>
    <s v="Ian Trottier"/>
    <n v="10"/>
    <n v="2025"/>
    <s v="INV13500"/>
    <n v="11"/>
    <n v="2025"/>
    <x v="2"/>
    <s v="Sealtrac Inc."/>
    <s v="CAD"/>
    <n v="1255.08"/>
    <n v="899.8719278578028"/>
    <x v="0"/>
    <n v="0"/>
    <n v="899.8719278578028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7969"/>
    <m/>
    <x v="0"/>
    <x v="0"/>
    <m/>
    <s v="Alexis Gil Lamadrid"/>
    <n v="10"/>
    <n v="2025"/>
    <s v="INV13578"/>
    <n v="12"/>
    <n v="2025"/>
    <x v="4"/>
    <s v="Resolute Forest Products - Clermont"/>
    <s v="CAD"/>
    <n v="765.02"/>
    <n v="548.50688581586553"/>
    <x v="0"/>
    <n v="0"/>
    <n v="548.50688581586553"/>
    <m/>
    <x v="0"/>
    <m/>
    <m/>
    <s v=""/>
    <s v=""/>
    <s v=""/>
    <s v=""/>
    <s v=""/>
    <s v=""/>
    <s v=""/>
    <s v=""/>
    <s v="[G-B00294A 6956] Shaft Sleeve, 3175-S, 316SS, Ni-Chrome Boron"/>
    <m/>
    <m/>
    <m/>
    <m/>
    <m/>
    <s v=""/>
    <s v=""/>
    <s v=""/>
    <s v=""/>
  </r>
  <r>
    <n v="1"/>
    <s v="SO17978"/>
    <m/>
    <x v="5"/>
    <x v="0"/>
    <m/>
    <s v="Wilka Nuñez"/>
    <n v="10"/>
    <n v="2025"/>
    <s v="INV13514"/>
    <n v="11"/>
    <n v="2025"/>
    <x v="2"/>
    <s v="Sealtrac Inc."/>
    <s v="CAD"/>
    <n v="210"/>
    <n v="150.49077564255811"/>
    <x v="0"/>
    <n v="0"/>
    <n v="150.49077564255811"/>
    <m/>
    <x v="1"/>
    <m/>
    <m/>
    <s v=""/>
    <n v="5.0000000000000001E-3"/>
    <s v=""/>
    <s v=""/>
    <s v=""/>
    <n v="0.75245387821279053"/>
    <s v=""/>
    <s v=""/>
    <s v="[G-70782 81 5117] Casing Gasket, 6&quot;, 3196 STX, Teflon"/>
    <m/>
    <m/>
    <m/>
    <m/>
    <m/>
    <s v=""/>
    <n v="0.75245387821279053"/>
    <s v=""/>
    <s v=""/>
  </r>
  <r>
    <n v="1"/>
    <s v="SO17980"/>
    <m/>
    <x v="0"/>
    <x v="0"/>
    <m/>
    <s v="Wilka Nuñez"/>
    <n v="10"/>
    <n v="2025"/>
    <s v="INV13504"/>
    <s v=""/>
    <s v=""/>
    <x v="4"/>
    <s v="Glencore Canada Corporation - Rouyn-Noranda"/>
    <s v="CAD"/>
    <n v="1769.12"/>
    <n v="1268.3965226433011"/>
    <x v="1"/>
    <n v="0"/>
    <n v="0"/>
    <m/>
    <x v="0"/>
    <m/>
    <m/>
    <s v=""/>
    <s v=""/>
    <s v=""/>
    <s v=""/>
    <s v=""/>
    <s v=""/>
    <s v=""/>
    <s v=""/>
    <s v="[AC-98-236-256-501] Gland Assembly, 5x4-14 SRL-C, 316SS"/>
    <m/>
    <m/>
    <m/>
    <m/>
    <m/>
    <s v=""/>
    <s v=""/>
    <s v=""/>
    <s v=""/>
  </r>
  <r>
    <n v="1"/>
    <s v="SO17981"/>
    <m/>
    <x v="0"/>
    <x v="0"/>
    <m/>
    <s v="Ian Trottier"/>
    <n v="10"/>
    <n v="2025"/>
    <s v="INV13483"/>
    <s v=""/>
    <s v=""/>
    <x v="4"/>
    <s v="PT Vale Indonesia Tbk."/>
    <s v="USD"/>
    <n v="1367.363665447815"/>
    <n v="979.3"/>
    <x v="1"/>
    <n v="0"/>
    <n v="0"/>
    <m/>
    <x v="0"/>
    <m/>
    <m/>
    <s v=""/>
    <s v=""/>
    <s v=""/>
    <s v=""/>
    <s v=""/>
    <s v=""/>
    <s v=""/>
    <s v=""/>
    <s v="[G-67868-205-206 5108] Gasket Material, Garlock 3000, 1/64&quot; Thick, 24&quot; x 36&quot;"/>
    <m/>
    <m/>
    <m/>
    <m/>
    <m/>
    <s v=""/>
    <s v=""/>
    <s v=""/>
    <s v=""/>
  </r>
  <r>
    <n v="1"/>
    <s v="SO17982"/>
    <m/>
    <x v="6"/>
    <x v="0"/>
    <m/>
    <s v="Aleksandar Stankovic"/>
    <n v="10"/>
    <n v="2025"/>
    <s v="INV13522"/>
    <n v="11"/>
    <n v="2025"/>
    <x v="2"/>
    <s v="Sling-Choker Manufacturing - Timmins"/>
    <s v="CAD"/>
    <n v="2402.65"/>
    <n v="1718.41979557274"/>
    <x v="0"/>
    <n v="0"/>
    <n v="1718.41979557274"/>
    <m/>
    <x v="0"/>
    <m/>
    <m/>
    <s v=""/>
    <s v=""/>
    <s v=""/>
    <s v=""/>
    <s v=""/>
    <s v=""/>
    <s v=""/>
    <s v=""/>
    <s v="[AC-98-231-116-501] Gland Side Liner, 5x4-14 SRL-C, Natural Rubber"/>
    <m/>
    <m/>
    <m/>
    <m/>
    <m/>
    <s v=""/>
    <s v=""/>
    <s v=""/>
    <s v=""/>
  </r>
  <r>
    <n v="1"/>
    <s v="SO17983"/>
    <m/>
    <x v="0"/>
    <x v="0"/>
    <m/>
    <s v="Ian Trottier"/>
    <n v="10"/>
    <n v="2025"/>
    <s v="INV13596"/>
    <s v=""/>
    <s v=""/>
    <x v="4"/>
    <s v="PT Vale Indonesia Tbk."/>
    <s v="USD"/>
    <n v="1020.5729847705212"/>
    <n v="730.93"/>
    <x v="1"/>
    <n v="0"/>
    <n v="0"/>
    <m/>
    <x v="0"/>
    <m/>
    <m/>
    <s v=""/>
    <s v=""/>
    <s v=""/>
    <s v=""/>
    <s v=""/>
    <s v=""/>
    <s v=""/>
    <s v=""/>
    <s v="[G-71224-1001] Casing Wear Ring 3405-M, 4x6-17G, Cast Iron"/>
    <m/>
    <m/>
    <m/>
    <m/>
    <m/>
    <s v=""/>
    <s v=""/>
    <s v=""/>
    <s v=""/>
  </r>
  <r>
    <n v="1"/>
    <s v="SO17985"/>
    <m/>
    <x v="0"/>
    <x v="0"/>
    <m/>
    <s v="Wilka Nuñez"/>
    <n v="10"/>
    <n v="2025"/>
    <s v="INV13582"/>
    <n v="12"/>
    <n v="2025"/>
    <x v="4"/>
    <s v="Wajax Limited - Noranda"/>
    <s v="CAD"/>
    <n v="164.89"/>
    <n v="117.38226322251366"/>
    <x v="0"/>
    <n v="0"/>
    <n v="117.38226322251366"/>
    <m/>
    <x v="0"/>
    <m/>
    <m/>
    <s v=""/>
    <s v=""/>
    <s v=""/>
    <s v=""/>
    <s v=""/>
    <s v=""/>
    <s v=""/>
    <s v=""/>
    <s v="[AC-98-5414-HC7] Suction Side Plate Gasket, 5x4-14 SRL-C, Rubber, 3-Piece Design"/>
    <m/>
    <m/>
    <m/>
    <m/>
    <m/>
    <s v=""/>
    <s v=""/>
    <s v=""/>
    <s v=""/>
  </r>
  <r>
    <n v="1"/>
    <s v="SO17987"/>
    <m/>
    <x v="0"/>
    <x v="0"/>
    <m/>
    <s v="Ian Trottier"/>
    <n v="10"/>
    <n v="2025"/>
    <s v="INV13510"/>
    <n v="12"/>
    <n v="2025"/>
    <x v="4"/>
    <s v="Grant Aggregate"/>
    <s v="CAD"/>
    <n v="1766.3"/>
    <n v="1265.7707477021447"/>
    <x v="0"/>
    <n v="0"/>
    <n v="1265.7707477021447"/>
    <m/>
    <x v="0"/>
    <m/>
    <m/>
    <s v=""/>
    <s v=""/>
    <s v=""/>
    <s v=""/>
    <s v=""/>
    <s v=""/>
    <s v=""/>
    <s v=""/>
    <s v="[AC-98-234-265-001] Waterseal Bushing, 8x6-18 &amp; 10x8-21 SRL-C, 316SS"/>
    <m/>
    <m/>
    <m/>
    <m/>
    <m/>
    <s v=""/>
    <s v=""/>
    <s v=""/>
    <s v=""/>
  </r>
  <r>
    <n v="1"/>
    <s v="SO17988"/>
    <m/>
    <x v="4"/>
    <x v="0"/>
    <m/>
    <s v="Alexis Gil Lamadrid"/>
    <n v="10"/>
    <n v="2025"/>
    <s v="INV13519"/>
    <n v="11"/>
    <n v="2025"/>
    <x v="2"/>
    <s v="Motion Industries Inc. (Canada) - Prince George"/>
    <s v="CAD"/>
    <n v="624.20000000000005"/>
    <n v="445.50170986598141"/>
    <x v="0"/>
    <n v="0"/>
    <n v="445.50170986598141"/>
    <m/>
    <x v="1"/>
    <m/>
    <m/>
    <s v=""/>
    <n v="5.0000000000000001E-3"/>
    <s v=""/>
    <s v=""/>
    <s v=""/>
    <n v="2.2275085493299072"/>
    <s v=""/>
    <s v=""/>
    <s v="[M48x200MM 8.8GR] Throatbush Set Screw - Pusher, 650 MCR"/>
    <m/>
    <m/>
    <m/>
    <m/>
    <m/>
    <s v=""/>
    <n v="2.2275085493299072"/>
    <s v=""/>
    <s v=""/>
  </r>
  <r>
    <n v="1"/>
    <s v="SO17990"/>
    <m/>
    <x v="5"/>
    <x v="0"/>
    <m/>
    <s v="Wilka Nuñez"/>
    <n v="10"/>
    <n v="2025"/>
    <s v="INV13509"/>
    <n v="11"/>
    <n v="2025"/>
    <x v="2"/>
    <s v="Alpha Industrial &amp; Mining Supplies Limited"/>
    <s v="CAD"/>
    <n v="3718.3"/>
    <n v="2659.3970515381429"/>
    <x v="0"/>
    <n v="0"/>
    <n v="2659.3970515381429"/>
    <m/>
    <x v="1"/>
    <m/>
    <m/>
    <s v=""/>
    <n v="5.0000000000000001E-3"/>
    <s v=""/>
    <s v=""/>
    <s v=""/>
    <n v="13.296985257690714"/>
    <s v=""/>
    <s v=""/>
    <s v="[SA-013733-M1] Wear Disc, 44 WFR, Sala STGVA-180, Steel, Rubber Lined"/>
    <m/>
    <m/>
    <m/>
    <m/>
    <m/>
    <s v=""/>
    <n v="13.296985257690714"/>
    <s v=""/>
    <s v=""/>
  </r>
  <r>
    <n v="1"/>
    <s v="SO17991"/>
    <m/>
    <x v="4"/>
    <x v="0"/>
    <m/>
    <s v="Alexis Gil Lamadrid"/>
    <n v="10"/>
    <n v="2025"/>
    <s v="INV13527"/>
    <n v="11"/>
    <n v="2025"/>
    <x v="2"/>
    <s v="FMI Products"/>
    <s v="CAD"/>
    <n v="1810"/>
    <n v="1294.5455351327323"/>
    <x v="0"/>
    <n v="0"/>
    <n v="1294.5455351327323"/>
    <m/>
    <x v="1"/>
    <m/>
    <m/>
    <s v=""/>
    <n v="5.0000000000000001E-3"/>
    <s v=""/>
    <s v=""/>
    <s v=""/>
    <n v="6.4727276756636618"/>
    <s v=""/>
    <s v=""/>
    <s v="[AC-98-233-404-001] Shaft Sleeve, 10x8-21 SRL-C (Old Style), Steel"/>
    <m/>
    <m/>
    <m/>
    <m/>
    <m/>
    <s v=""/>
    <n v="6.4727276756636618"/>
    <s v=""/>
    <s v=""/>
  </r>
  <r>
    <n v="1"/>
    <s v="SO17993"/>
    <m/>
    <x v="0"/>
    <x v="0"/>
    <m/>
    <s v="Ian Trottier"/>
    <n v="10"/>
    <n v="2025"/>
    <s v="INV13612"/>
    <n v="1"/>
    <n v="2026"/>
    <x v="4"/>
    <s v="Resolute Forest Products - Saint-Felicien"/>
    <s v="CAD"/>
    <n v="1264"/>
    <n v="904.03621900981966"/>
    <x v="0"/>
    <n v="0"/>
    <n v="904.03621900981966"/>
    <m/>
    <x v="0"/>
    <m/>
    <m/>
    <s v=""/>
    <s v=""/>
    <s v=""/>
    <s v=""/>
    <s v=""/>
    <s v=""/>
    <s v=""/>
    <s v=""/>
    <s v="[D-TAG2X4] Dynapro Pump Tag, 2&quot; x 4&quot;"/>
    <m/>
    <m/>
    <m/>
    <m/>
    <m/>
    <s v=""/>
    <s v=""/>
    <s v=""/>
    <s v=""/>
  </r>
  <r>
    <n v="1"/>
    <s v="SO17996"/>
    <m/>
    <x v="0"/>
    <x v="0"/>
    <m/>
    <s v="Aleksandar Stankovic"/>
    <n v="10"/>
    <n v="2025"/>
    <s v="INV13531"/>
    <s v=""/>
    <s v=""/>
    <x v="4"/>
    <s v="Covia Corp - Junction City"/>
    <s v="USD"/>
    <n v="354.39846576827301"/>
    <n v="253.97"/>
    <x v="1"/>
    <n v="32.479999999999997"/>
    <n v="0"/>
    <m/>
    <x v="0"/>
    <m/>
    <m/>
    <s v=""/>
    <s v=""/>
    <s v=""/>
    <s v=""/>
    <s v=""/>
    <s v=""/>
    <s v=""/>
    <s v=""/>
    <s v="[W-G10060/S01] Intake Joint Ring, 12/10 F, G or ST-AH, EPDM"/>
    <m/>
    <m/>
    <m/>
    <m/>
    <m/>
    <s v=""/>
    <s v=""/>
    <s v=""/>
    <s v=""/>
  </r>
  <r>
    <n v="1"/>
    <s v="SO17997"/>
    <m/>
    <x v="0"/>
    <x v="0"/>
    <m/>
    <s v="Aleksandar Stankovic"/>
    <n v="10"/>
    <n v="2025"/>
    <s v="INV13525"/>
    <s v=""/>
    <s v=""/>
    <x v="4"/>
    <s v="Covia Corp - Guion"/>
    <s v="USD"/>
    <n v="5514.2821641841701"/>
    <n v="3951.66"/>
    <x v="1"/>
    <n v="542.64"/>
    <n v="0"/>
    <m/>
    <x v="0"/>
    <m/>
    <m/>
    <s v=""/>
    <s v=""/>
    <s v=""/>
    <s v=""/>
    <s v=""/>
    <s v=""/>
    <s v=""/>
    <s v=""/>
    <s v="[W-F6147/R55] Impeller, 8/6 E, F or R-AH, Natural Rubber"/>
    <m/>
    <m/>
    <m/>
    <m/>
    <m/>
    <s v=""/>
    <s v=""/>
    <s v=""/>
    <s v=""/>
  </r>
  <r>
    <n v="2"/>
    <s v="SO17999"/>
    <m/>
    <x v="0"/>
    <x v="0"/>
    <m/>
    <s v="Amanda Qiao"/>
    <n v="10"/>
    <n v="2025"/>
    <s v="INV13765"/>
    <s v=""/>
    <s v=""/>
    <x v="2"/>
    <s v="Jindal Drilling &amp; Industries Limited"/>
    <s v="USD"/>
    <n v="17525.2120577282"/>
    <n v="12489.11"/>
    <x v="1"/>
    <n v="0"/>
    <n v="0"/>
    <m/>
    <x v="0"/>
    <m/>
    <m/>
    <s v=""/>
    <s v=""/>
    <s v=""/>
    <s v=""/>
    <s v=""/>
    <s v=""/>
    <s v=""/>
    <s v=""/>
    <s v="Pump, 4x6-14, Dynapro DC, Frame 3J, High Chrome"/>
    <m/>
    <m/>
    <m/>
    <m/>
    <m/>
    <s v=""/>
    <s v=""/>
    <s v=""/>
    <s v=""/>
  </r>
  <r>
    <n v="2"/>
    <s v="SO17999"/>
    <m/>
    <x v="0"/>
    <x v="0"/>
    <m/>
    <n v="0"/>
    <n v="10"/>
    <n v="2025"/>
    <s v="INV13536"/>
    <n v="10"/>
    <n v="2025"/>
    <x v="2"/>
    <s v="Jindal Drilling &amp; Industries Limited"/>
    <s v="USD"/>
    <n v="0"/>
    <n v="0"/>
    <x v="1"/>
    <n v="0"/>
    <n v="0"/>
    <m/>
    <x v="0"/>
    <m/>
    <m/>
    <s v=""/>
    <s v=""/>
    <s v=""/>
    <s v=""/>
    <s v=""/>
    <s v=""/>
    <s v=""/>
    <s v=""/>
    <s v="Down payment of 100.0%"/>
    <m/>
    <m/>
    <m/>
    <m/>
    <m/>
    <s v=""/>
    <s v=""/>
    <s v=""/>
    <s v=""/>
  </r>
  <r>
    <n v="1"/>
    <s v="SO18001"/>
    <m/>
    <x v="0"/>
    <x v="0"/>
    <m/>
    <s v="Wilka Nuñez"/>
    <n v="10"/>
    <n v="2025"/>
    <s v="INV13597"/>
    <s v=""/>
    <s v=""/>
    <x v="4"/>
    <s v="Alpha Industrial &amp; Mining Supplies Limited"/>
    <s v="CAD"/>
    <n v="5181.7"/>
    <n v="3698.2637135734635"/>
    <x v="1"/>
    <n v="0"/>
    <n v="0"/>
    <m/>
    <x v="0"/>
    <m/>
    <m/>
    <s v=""/>
    <s v=""/>
    <s v=""/>
    <s v=""/>
    <s v=""/>
    <s v=""/>
    <s v=""/>
    <s v=""/>
    <s v="[Alternate OEM P/N: 567428-PS, SA-14007-M4] Shaft, 22/33/44 WFR, Sala STGVA-180, 1045 Steel"/>
    <m/>
    <m/>
    <m/>
    <m/>
    <m/>
    <s v=""/>
    <s v=""/>
    <s v=""/>
    <s v=""/>
  </r>
  <r>
    <n v="1"/>
    <s v="SO18002"/>
    <m/>
    <x v="0"/>
    <x v="0"/>
    <m/>
    <s v="Alexis Gil Lamadrid"/>
    <n v="10"/>
    <n v="2025"/>
    <s v="INV13524"/>
    <n v="12"/>
    <n v="2025"/>
    <x v="4"/>
    <s v="Resolute Forest Products - Clermont"/>
    <s v="CAD"/>
    <n v="1127.0999999999999"/>
    <n v="807.70549155584422"/>
    <x v="0"/>
    <n v="0"/>
    <n v="807.70549155584422"/>
    <m/>
    <x v="0"/>
    <m/>
    <m/>
    <s v=""/>
    <s v=""/>
    <s v=""/>
    <s v=""/>
    <s v=""/>
    <s v=""/>
    <s v=""/>
    <s v=""/>
    <s v="[G-B00296A 6956] Shaft Sleeve, 3175-L, 316SS, Ni-Chrome Boron"/>
    <m/>
    <m/>
    <m/>
    <m/>
    <m/>
    <s v=""/>
    <s v=""/>
    <s v=""/>
    <s v=""/>
  </r>
  <r>
    <n v="1"/>
    <s v="SO18004"/>
    <m/>
    <x v="4"/>
    <x v="0"/>
    <m/>
    <s v="Alexis Gil Lamadrid"/>
    <n v="10"/>
    <n v="2025"/>
    <s v="INV13516"/>
    <n v="11"/>
    <n v="2025"/>
    <x v="2"/>
    <s v="Wajax Limited - Lachine"/>
    <s v="CAD"/>
    <n v="2.5"/>
    <n v="1.7915568528875969"/>
    <x v="0"/>
    <n v="0"/>
    <n v="1.7915568528875969"/>
    <m/>
    <x v="1"/>
    <m/>
    <m/>
    <s v=""/>
    <n v="5.0000000000000001E-3"/>
    <s v=""/>
    <s v=""/>
    <s v=""/>
    <n v="8.9577842644379853E-3"/>
    <s v=""/>
    <s v=""/>
    <s v="[029V, G-C02495A029 5304] Shaft Sleeve O-Ring, 3x3-10 SRL, Viton"/>
    <m/>
    <m/>
    <m/>
    <m/>
    <m/>
    <s v=""/>
    <n v="8.9577842644379853E-3"/>
    <s v=""/>
    <s v=""/>
  </r>
  <r>
    <n v="1"/>
    <s v="SO18008"/>
    <m/>
    <x v="0"/>
    <x v="0"/>
    <m/>
    <s v="Ian Trottier"/>
    <n v="10"/>
    <n v="2025"/>
    <s v="INV13512"/>
    <s v=""/>
    <s v=""/>
    <x v="4"/>
    <s v="Glencore Canada Corporation - Rouyn-Noranda"/>
    <s v="CAD"/>
    <n v="383.15"/>
    <n v="273.46039752507335"/>
    <x v="1"/>
    <n v="0"/>
    <n v="0"/>
    <m/>
    <x v="0"/>
    <m/>
    <m/>
    <s v=""/>
    <s v=""/>
    <s v=""/>
    <s v=""/>
    <s v=""/>
    <s v=""/>
    <s v=""/>
    <s v=""/>
    <s v="[AC-98-234-268-001-SS] Waterseal Bushing, 5x4/5x5/6x6 SRL, 316SS"/>
    <m/>
    <m/>
    <m/>
    <m/>
    <m/>
    <s v=""/>
    <s v=""/>
    <s v=""/>
    <s v=""/>
  </r>
  <r>
    <n v="1"/>
    <s v="SO18009"/>
    <m/>
    <x v="0"/>
    <x v="0"/>
    <m/>
    <s v="Alexis Gil Lamadrid"/>
    <n v="10"/>
    <n v="2025"/>
    <s v="INV13518"/>
    <n v="12"/>
    <n v="2025"/>
    <x v="4"/>
    <s v="Resolute Forest Products - Kenogami"/>
    <s v="CAD"/>
    <n v="1127.0999999999999"/>
    <n v="804.42963343471251"/>
    <x v="0"/>
    <n v="0"/>
    <n v="804.42963343471251"/>
    <m/>
    <x v="0"/>
    <m/>
    <m/>
    <s v=""/>
    <s v=""/>
    <s v=""/>
    <s v=""/>
    <s v=""/>
    <s v=""/>
    <s v=""/>
    <s v=""/>
    <s v="[G-B00296A 6956] Shaft Sleeve, 3175-L, 316SS, Ni-Chrome Boron"/>
    <m/>
    <m/>
    <m/>
    <m/>
    <m/>
    <s v=""/>
    <s v=""/>
    <s v=""/>
    <s v=""/>
  </r>
  <r>
    <n v="1"/>
    <s v="SO18010"/>
    <m/>
    <x v="0"/>
    <x v="0"/>
    <m/>
    <s v="Ian Trottier"/>
    <n v="10"/>
    <n v="2025"/>
    <s v="INV13788"/>
    <s v=""/>
    <s v=""/>
    <x v="4"/>
    <s v="Resolute Forest Products - Clermont"/>
    <s v="CAD"/>
    <n v="6970.1"/>
    <n v="4985.1446599053361"/>
    <x v="1"/>
    <n v="0"/>
    <n v="0"/>
    <m/>
    <x v="0"/>
    <m/>
    <m/>
    <s v=""/>
    <s v=""/>
    <s v=""/>
    <s v=""/>
    <s v=""/>
    <s v=""/>
    <s v=""/>
    <s v=""/>
    <s v="[M&amp;N# 57] Impeller, 10x12-22, 3175-L, 316SS, 4-Vane"/>
    <m/>
    <m/>
    <m/>
    <m/>
    <m/>
    <s v=""/>
    <s v=""/>
    <s v=""/>
    <s v=""/>
  </r>
  <r>
    <n v="1"/>
    <s v="SO18012"/>
    <m/>
    <x v="0"/>
    <x v="0"/>
    <m/>
    <s v="Ian Trottier"/>
    <n v="10"/>
    <n v="2025"/>
    <s v="INV13594"/>
    <s v=""/>
    <s v=""/>
    <x v="4"/>
    <s v="PT Vale Indonesia Tbk."/>
    <s v="USD"/>
    <n v="39.360377854047279"/>
    <n v="28.22"/>
    <x v="1"/>
    <n v="0"/>
    <n v="0"/>
    <m/>
    <x v="0"/>
    <m/>
    <m/>
    <s v=""/>
    <s v=""/>
    <s v=""/>
    <s v=""/>
    <s v=""/>
    <s v=""/>
    <s v=""/>
    <s v=""/>
    <s v="[028-Teflon, G-C02495A28 6359] Impeller O-Ring, 3196 MTX, Teflon"/>
    <m/>
    <m/>
    <m/>
    <m/>
    <m/>
    <s v=""/>
    <s v=""/>
    <s v=""/>
    <s v=""/>
  </r>
  <r>
    <n v="2"/>
    <s v="SO18013"/>
    <m/>
    <x v="6"/>
    <x v="0"/>
    <m/>
    <s v="Aleksandar Stankovic"/>
    <n v="10"/>
    <n v="2025"/>
    <s v="Borrador de factura (* 80533)"/>
    <s v=""/>
    <s v=""/>
    <x v="4"/>
    <s v="Harvey Bearings"/>
    <s v="CAD"/>
    <n v="754.36"/>
    <n v="537.10034004754016"/>
    <x v="0"/>
    <n v="0"/>
    <n v="537.10034004754016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013"/>
    <m/>
    <x v="6"/>
    <x v="0"/>
    <m/>
    <n v="0"/>
    <n v="10"/>
    <n v="2025"/>
    <s v="INV13530"/>
    <n v="10"/>
    <n v="2025"/>
    <x v="4"/>
    <s v="Harvey Bearings"/>
    <s v="CAD"/>
    <n v="0"/>
    <n v="0"/>
    <x v="1"/>
    <n v="0"/>
    <n v="0"/>
    <m/>
    <x v="0"/>
    <m/>
    <m/>
    <s v=""/>
    <s v=""/>
    <s v=""/>
    <s v=""/>
    <s v=""/>
    <s v=""/>
    <s v=""/>
    <s v=""/>
    <s v="Down payment of 100.0%"/>
    <m/>
    <m/>
    <m/>
    <m/>
    <m/>
    <s v=""/>
    <s v=""/>
    <s v=""/>
    <s v=""/>
  </r>
  <r>
    <n v="1"/>
    <s v="SO18014"/>
    <m/>
    <x v="0"/>
    <x v="0"/>
    <m/>
    <s v="Aleksandar Stankovic"/>
    <n v="10"/>
    <n v="2025"/>
    <s v="INV13561"/>
    <n v="12"/>
    <n v="2025"/>
    <x v="4"/>
    <s v="Hyperflo"/>
    <s v="CAD"/>
    <n v="8198"/>
    <n v="5863.3614900652701"/>
    <x v="0"/>
    <n v="0"/>
    <n v="5863.3614900652701"/>
    <m/>
    <x v="0"/>
    <m/>
    <m/>
    <s v=""/>
    <s v=""/>
    <s v=""/>
    <s v=""/>
    <s v=""/>
    <s v=""/>
    <s v=""/>
    <s v=""/>
    <s v="[AC-98-431-676-501] Gland Side Casing, 10x8-21 SRL-C, Cast Iron"/>
    <m/>
    <m/>
    <m/>
    <m/>
    <m/>
    <s v=""/>
    <s v=""/>
    <s v=""/>
    <s v=""/>
  </r>
  <r>
    <n v="1"/>
    <s v="SO18016"/>
    <m/>
    <x v="0"/>
    <x v="0"/>
    <m/>
    <s v="Alexis Gil Lamadrid"/>
    <n v="10"/>
    <n v="2025"/>
    <s v="INV13515"/>
    <n v="12"/>
    <n v="2025"/>
    <x v="4"/>
    <s v="Resolute Forest Products - Saint-Felicien"/>
    <s v="CAD"/>
    <n v="945.96"/>
    <n v="675.14706418587593"/>
    <x v="0"/>
    <n v="0"/>
    <n v="675.14706418587593"/>
    <m/>
    <x v="0"/>
    <m/>
    <m/>
    <s v=""/>
    <s v=""/>
    <s v=""/>
    <s v=""/>
    <s v=""/>
    <s v=""/>
    <s v=""/>
    <s v=""/>
    <s v="[AC-52-108-475-012] Deflector (Inboard), Allis-Chalmers PWO, Group 2"/>
    <m/>
    <m/>
    <m/>
    <m/>
    <m/>
    <s v=""/>
    <s v=""/>
    <s v=""/>
    <s v=""/>
  </r>
  <r>
    <n v="1"/>
    <s v="SO18017"/>
    <m/>
    <x v="0"/>
    <x v="0"/>
    <m/>
    <s v="Wilka Nuñez"/>
    <n v="10"/>
    <n v="2025"/>
    <s v="INV13831"/>
    <s v=""/>
    <s v=""/>
    <x v="4"/>
    <s v="Wild Rows Pump &amp; Compression LTD., Wild Rows Pump &amp; Compression LTD."/>
    <s v="CAD"/>
    <n v="1011.91"/>
    <n v="720.4745812311181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24"/>
    <m/>
    <x v="4"/>
    <x v="0"/>
    <m/>
    <s v="Alexis Gil Lamadrid"/>
    <n v="10"/>
    <n v="2025"/>
    <s v="INV13543"/>
    <n v="11"/>
    <n v="2025"/>
    <x v="2"/>
    <s v="Wajax Limited - Thunder Bay, Wajax Limited - Thunder Bay"/>
    <s v="CAD"/>
    <n v="196"/>
    <n v="139.52876622588224"/>
    <x v="0"/>
    <n v="0"/>
    <n v="139.52876622588224"/>
    <m/>
    <x v="1"/>
    <m/>
    <m/>
    <s v=""/>
    <n v="5.0000000000000001E-3"/>
    <s v=""/>
    <s v=""/>
    <s v=""/>
    <n v="0.6976438311294112"/>
    <s v=""/>
    <s v=""/>
    <s v="[W-G045M/C23] Gland Bolt w/Nut &amp; Washer, 10/8 to 14/12"/>
    <m/>
    <m/>
    <m/>
    <m/>
    <m/>
    <s v=""/>
    <n v="0.6976438311294112"/>
    <s v=""/>
    <s v=""/>
  </r>
  <r>
    <n v="1"/>
    <s v="SO18027"/>
    <m/>
    <x v="0"/>
    <x v="0"/>
    <m/>
    <s v="Ian Trottier"/>
    <n v="10"/>
    <n v="2025"/>
    <s v="INV13825"/>
    <s v=""/>
    <s v=""/>
    <x v="4"/>
    <s v="Resolute Forest Products - Gatineau"/>
    <s v="CAD"/>
    <n v="2439.1"/>
    <n v="1740.7713515634762"/>
    <x v="1"/>
    <n v="0"/>
    <n v="0"/>
    <m/>
    <x v="0"/>
    <m/>
    <m/>
    <s v=""/>
    <s v=""/>
    <s v=""/>
    <s v=""/>
    <s v=""/>
    <s v=""/>
    <s v=""/>
    <s v=""/>
    <s v="[G-0D04563A02 1216] Impeller, 4x6-17, 3196 X17, CD4MCu"/>
    <m/>
    <m/>
    <m/>
    <m/>
    <m/>
    <s v=""/>
    <s v=""/>
    <s v=""/>
    <s v=""/>
  </r>
  <r>
    <n v="1"/>
    <s v="SO18028"/>
    <m/>
    <x v="0"/>
    <x v="0"/>
    <m/>
    <s v="Ian Trottier"/>
    <n v="10"/>
    <n v="2025"/>
    <s v="INV13547"/>
    <n v="12"/>
    <n v="2025"/>
    <x v="4"/>
    <s v="Canadian Bearings Ltd."/>
    <s v="CAD"/>
    <n v="131.91999999999999"/>
    <n v="94.022616920243095"/>
    <x v="0"/>
    <n v="0"/>
    <n v="94.022616920243095"/>
    <m/>
    <x v="0"/>
    <m/>
    <m/>
    <s v=""/>
    <s v=""/>
    <s v=""/>
    <s v=""/>
    <s v=""/>
    <s v=""/>
    <s v=""/>
    <s v=""/>
    <s v="[AC-52-431-816-007] Casing Gasket, 10&quot;,  Allis Chalmers CSO"/>
    <m/>
    <m/>
    <m/>
    <m/>
    <m/>
    <s v=""/>
    <s v=""/>
    <s v=""/>
    <s v=""/>
  </r>
  <r>
    <n v="1"/>
    <s v="SO18030"/>
    <m/>
    <x v="0"/>
    <x v="0"/>
    <m/>
    <s v="Alexis Gil Lamadrid"/>
    <n v="10"/>
    <n v="2025"/>
    <s v="INV13581"/>
    <n v="12"/>
    <n v="2025"/>
    <x v="4"/>
    <s v="Resolute Forest Products - Dolbeau"/>
    <s v="CAD"/>
    <n v="1173.25"/>
    <n v="838.07687633258161"/>
    <x v="0"/>
    <n v="0"/>
    <n v="838.07687633258161"/>
    <m/>
    <x v="0"/>
    <m/>
    <m/>
    <s v=""/>
    <s v=""/>
    <s v=""/>
    <s v=""/>
    <s v=""/>
    <s v=""/>
    <s v=""/>
    <s v=""/>
    <s v="[WO-9090140-183] Impeller Nut, Worthington, 8FRBH152 316SS"/>
    <m/>
    <m/>
    <m/>
    <m/>
    <m/>
    <s v=""/>
    <s v=""/>
    <s v=""/>
    <s v=""/>
  </r>
  <r>
    <n v="0"/>
    <s v="SO18036"/>
    <m/>
    <x v="0"/>
    <x v="0"/>
    <m/>
    <s v="Jeff Bell"/>
    <n v="10"/>
    <n v="2025"/>
    <s v="No Inv"/>
    <s v=""/>
    <s v=""/>
    <x v="4"/>
    <s v="Barrick Gold - Pueblo Viejo Dominicana Corporation"/>
    <s v="USD"/>
    <n v="561.8019157710678"/>
    <n v="40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040"/>
    <m/>
    <x v="0"/>
    <x v="0"/>
    <m/>
    <s v="Aleksandar Stankovic"/>
    <n v="10"/>
    <n v="2025"/>
    <s v="No Inv"/>
    <s v=""/>
    <s v=""/>
    <x v="4"/>
    <s v="Gibraltar Mine (Canada)"/>
    <s v="CAD"/>
    <n v="29239"/>
    <n v="20818.01373700888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42"/>
    <m/>
    <x v="0"/>
    <x v="0"/>
    <m/>
    <s v="Alexis Gil Lamadrid"/>
    <n v="10"/>
    <n v="2025"/>
    <s v="INV13835"/>
    <s v=""/>
    <s v=""/>
    <x v="4"/>
    <s v="Resolute Forest Products - Saint-Felicien"/>
    <s v="CAD"/>
    <n v="4804.82"/>
    <n v="3421.006490093883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45"/>
    <m/>
    <x v="0"/>
    <x v="0"/>
    <m/>
    <s v="Amanda Qiao"/>
    <n v="10"/>
    <n v="2025"/>
    <s v="INV13764"/>
    <s v=""/>
    <s v=""/>
    <x v="4"/>
    <s v="Nord-Flo Inc."/>
    <s v="CAD"/>
    <n v="9147.06"/>
    <n v="6529.1850605929394"/>
    <x v="1"/>
    <n v="0"/>
    <n v="0"/>
    <m/>
    <x v="0"/>
    <m/>
    <m/>
    <s v=""/>
    <s v=""/>
    <s v=""/>
    <s v=""/>
    <s v=""/>
    <s v=""/>
    <s v=""/>
    <s v=""/>
    <s v="[W-32CWXR] Pump, W-Series 3/2 C-DHR, Natural Rubber"/>
    <m/>
    <m/>
    <m/>
    <m/>
    <m/>
    <s v=""/>
    <s v=""/>
    <s v=""/>
    <s v=""/>
  </r>
  <r>
    <n v="1"/>
    <s v="SO18047"/>
    <m/>
    <x v="6"/>
    <x v="0"/>
    <m/>
    <s v="Aleksandar Stankovic"/>
    <n v="10"/>
    <n v="2025"/>
    <s v="INV13537"/>
    <n v="11"/>
    <n v="2025"/>
    <x v="2"/>
    <s v="Hyperflo"/>
    <s v="CAD"/>
    <n v="150"/>
    <n v="107.28277915464632"/>
    <x v="0"/>
    <n v="0"/>
    <n v="107.28277915464632"/>
    <m/>
    <x v="0"/>
    <m/>
    <m/>
    <s v=""/>
    <s v=""/>
    <s v=""/>
    <s v=""/>
    <s v=""/>
    <s v=""/>
    <s v=""/>
    <s v=""/>
    <s v="[AC-98-235-087-806] Fastener Kit (Suction Side Liner), 12x10-25 SRL C"/>
    <m/>
    <m/>
    <m/>
    <m/>
    <m/>
    <s v=""/>
    <s v=""/>
    <s v=""/>
    <s v=""/>
  </r>
  <r>
    <n v="1"/>
    <s v="SO18048"/>
    <m/>
    <x v="0"/>
    <x v="0"/>
    <m/>
    <s v="Aleksandar Stankovic"/>
    <n v="10"/>
    <n v="2025"/>
    <s v="INV13583"/>
    <n v="1"/>
    <n v="2026"/>
    <x v="4"/>
    <s v="Wajax Limited - Noranda"/>
    <s v="CAD"/>
    <n v="168.59"/>
    <n v="120.5786915845455"/>
    <x v="0"/>
    <n v="0"/>
    <n v="120.5786915845455"/>
    <m/>
    <x v="0"/>
    <m/>
    <m/>
    <s v=""/>
    <s v=""/>
    <s v=""/>
    <s v=""/>
    <s v=""/>
    <s v=""/>
    <s v=""/>
    <s v=""/>
    <s v="[AC-98-5414-HC6] Stuffing Box Gasket, 5x4-14 SRL-C, Rubber, 3-Piece Design"/>
    <m/>
    <m/>
    <m/>
    <m/>
    <m/>
    <s v=""/>
    <s v=""/>
    <s v=""/>
    <s v=""/>
  </r>
  <r>
    <n v="1"/>
    <s v="SO18049"/>
    <m/>
    <x v="0"/>
    <x v="0"/>
    <m/>
    <s v="Ian Trottier"/>
    <n v="10"/>
    <n v="2025"/>
    <s v="INV13796"/>
    <s v=""/>
    <s v=""/>
    <x v="4"/>
    <s v="Resolute Forest Products - Saint-Felicien"/>
    <s v="CAD"/>
    <n v="1948.11"/>
    <n v="1393.3243659930536"/>
    <x v="1"/>
    <n v="0"/>
    <n v="0"/>
    <m/>
    <x v="0"/>
    <m/>
    <m/>
    <s v=""/>
    <s v=""/>
    <s v=""/>
    <s v=""/>
    <s v=""/>
    <s v=""/>
    <s v=""/>
    <s v=""/>
    <s v="[AC-52-430-274-501] Frame, Allis-Chalmers CSO, F4D1, Cast Iron"/>
    <m/>
    <m/>
    <m/>
    <m/>
    <m/>
    <s v=""/>
    <s v=""/>
    <s v=""/>
    <s v=""/>
  </r>
  <r>
    <n v="1"/>
    <s v="SO18051"/>
    <m/>
    <x v="0"/>
    <x v="0"/>
    <m/>
    <s v="Ian Trottier"/>
    <n v="10"/>
    <n v="2025"/>
    <s v="INV13616"/>
    <s v=""/>
    <s v=""/>
    <x v="4"/>
    <s v="Resolute Forest Products - Dolbeau"/>
    <s v="CAD"/>
    <n v="9194.19"/>
    <n v="6575.8550351723852"/>
    <x v="1"/>
    <n v="0"/>
    <n v="0"/>
    <m/>
    <x v="0"/>
    <m/>
    <m/>
    <s v=""/>
    <s v=""/>
    <s v=""/>
    <s v=""/>
    <s v=""/>
    <s v=""/>
    <s v=""/>
    <s v=""/>
    <s v="Impeller, Worthington 14-FRBH-183, 316SS"/>
    <m/>
    <m/>
    <m/>
    <m/>
    <m/>
    <s v=""/>
    <s v=""/>
    <s v=""/>
    <s v=""/>
  </r>
  <r>
    <n v="0"/>
    <s v="SO18052"/>
    <m/>
    <x v="0"/>
    <x v="0"/>
    <m/>
    <s v="Ian Trottier"/>
    <n v="10"/>
    <n v="2025"/>
    <s v="No Inv"/>
    <s v=""/>
    <s v=""/>
    <x v="4"/>
    <s v="Resolute Forest Products - Fibrek, Resolute Forest Products - Fibrek"/>
    <s v="CAD"/>
    <n v="0.01"/>
    <n v="7.152185276976422E-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53"/>
    <m/>
    <x v="0"/>
    <x v="0"/>
    <m/>
    <s v="Ian Trottier"/>
    <n v="10"/>
    <n v="2025"/>
    <s v="INV13542"/>
    <n v="12"/>
    <n v="2025"/>
    <x v="4"/>
    <s v="Resolute Forest Products - Dolbeau"/>
    <s v="CAD"/>
    <n v="7248.11"/>
    <n v="5183.9825627905566"/>
    <x v="0"/>
    <n v="0"/>
    <n v="5183.9825627905566"/>
    <m/>
    <x v="0"/>
    <m/>
    <m/>
    <s v=""/>
    <s v=""/>
    <s v=""/>
    <s v=""/>
    <s v=""/>
    <s v=""/>
    <s v=""/>
    <s v=""/>
    <s v="[AC-98-332-134-802] Side Plate, 12x10-21, PWO, 316SS"/>
    <m/>
    <m/>
    <m/>
    <m/>
    <m/>
    <s v=""/>
    <s v=""/>
    <s v=""/>
    <s v=""/>
  </r>
  <r>
    <n v="1"/>
    <s v="SO18054"/>
    <m/>
    <x v="0"/>
    <x v="0"/>
    <m/>
    <s v="Aleksandar Stankovic"/>
    <n v="10"/>
    <n v="2025"/>
    <s v="INV13611"/>
    <s v=""/>
    <s v=""/>
    <x v="4"/>
    <s v="Conval Quebec"/>
    <s v="CAD"/>
    <n v="260"/>
    <n v="185.95681720138697"/>
    <x v="1"/>
    <n v="0"/>
    <n v="0"/>
    <m/>
    <x v="0"/>
    <m/>
    <m/>
    <s v=""/>
    <s v=""/>
    <s v=""/>
    <s v=""/>
    <s v=""/>
    <s v=""/>
    <s v=""/>
    <s v=""/>
    <s v="[SA-115473-1] Spacer (Outer), Sala VSP 3 &amp; 4, Steel"/>
    <m/>
    <m/>
    <m/>
    <m/>
    <m/>
    <s v=""/>
    <s v=""/>
    <s v=""/>
    <s v=""/>
  </r>
  <r>
    <n v="0"/>
    <s v="SO18055"/>
    <m/>
    <x v="0"/>
    <x v="0"/>
    <m/>
    <s v="Ian Trottier"/>
    <n v="10"/>
    <n v="2025"/>
    <s v="No Inv"/>
    <s v=""/>
    <s v=""/>
    <x v="4"/>
    <s v="Resolute Forest Products - Saint-Felicien"/>
    <s v="CAD"/>
    <n v="5714.85"/>
    <n v="4087.366603012870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56"/>
    <m/>
    <x v="0"/>
    <x v="0"/>
    <m/>
    <s v="Alexis Gil Lamadrid"/>
    <n v="10"/>
    <n v="2025"/>
    <s v="INV13701"/>
    <s v=""/>
    <s v=""/>
    <x v="4"/>
    <s v="Resolute Forest Products - Dolbeau"/>
    <s v="CAD"/>
    <n v="7695"/>
    <n v="5503.6065706333566"/>
    <x v="1"/>
    <n v="0"/>
    <n v="0"/>
    <m/>
    <x v="0"/>
    <m/>
    <m/>
    <s v=""/>
    <s v=""/>
    <s v=""/>
    <s v=""/>
    <s v=""/>
    <s v=""/>
    <s v=""/>
    <s v=""/>
    <s v="[WO-2114552-316] Impeller, Worthington 6-FRBH-223, 316SS"/>
    <m/>
    <m/>
    <m/>
    <m/>
    <m/>
    <s v=""/>
    <s v=""/>
    <s v=""/>
    <s v=""/>
  </r>
  <r>
    <n v="2"/>
    <s v="SO18057"/>
    <m/>
    <x v="0"/>
    <x v="2"/>
    <m/>
    <s v="Ian Trottier"/>
    <n v="10"/>
    <n v="2025"/>
    <s v="INV13549"/>
    <n v="12"/>
    <n v="2025"/>
    <x v="2"/>
    <s v="Resolute Forest Products - Saint-Felicien"/>
    <s v="CAD"/>
    <n v="7071.07"/>
    <n v="5057.360274646966"/>
    <x v="0"/>
    <n v="0"/>
    <n v="5057.360274646966"/>
    <m/>
    <x v="0"/>
    <s v="Renewal"/>
    <m/>
    <s v=""/>
    <s v=""/>
    <n v="0.01"/>
    <s v=""/>
    <s v=""/>
    <s v=""/>
    <n v="50.57360274646966"/>
    <s v=""/>
    <s v="[AC-98-200-038-501] Bearing Cylinder Assembly, 5x4 SRL, 1045 Steel Shaft"/>
    <m/>
    <m/>
    <m/>
    <m/>
    <m/>
    <s v=""/>
    <s v=""/>
    <n v="50.57360274646966"/>
    <s v=""/>
  </r>
  <r>
    <n v="2"/>
    <s v="SO18057"/>
    <m/>
    <x v="0"/>
    <x v="2"/>
    <m/>
    <n v="0"/>
    <n v="10"/>
    <n v="2025"/>
    <s v="INV13655"/>
    <s v=""/>
    <s v=""/>
    <x v="2"/>
    <s v="Resolute Forest Products - Saint-Felicien"/>
    <s v="CAD"/>
    <n v="0"/>
    <n v="0"/>
    <x v="1"/>
    <n v="0"/>
    <n v="0"/>
    <m/>
    <x v="0"/>
    <s v="Renewal"/>
    <m/>
    <s v=""/>
    <s v=""/>
    <n v="0.01"/>
    <s v=""/>
    <s v=""/>
    <s v=""/>
    <n v="0"/>
    <s v=""/>
    <s v="[AC-98-331-931-801] Bearing Cylinder, 5x4-14 SRL-C, Cast Iron"/>
    <m/>
    <m/>
    <m/>
    <m/>
    <m/>
    <s v=""/>
    <s v=""/>
    <n v="0"/>
    <s v=""/>
  </r>
  <r>
    <n v="1"/>
    <s v="SO18058"/>
    <m/>
    <x v="0"/>
    <x v="0"/>
    <m/>
    <s v="Amanda Qiao"/>
    <n v="10"/>
    <n v="2025"/>
    <s v="INV13546"/>
    <n v="12"/>
    <n v="2025"/>
    <x v="4"/>
    <s v="Resolute Forest Products - Saint-Felicien"/>
    <s v="CAD"/>
    <n v="4557.97"/>
    <n v="3259.9445926900221"/>
    <x v="0"/>
    <n v="0"/>
    <n v="3259.9445926900221"/>
    <m/>
    <x v="0"/>
    <m/>
    <m/>
    <s v=""/>
    <s v=""/>
    <s v=""/>
    <s v=""/>
    <s v=""/>
    <s v=""/>
    <s v=""/>
    <s v=""/>
    <s v="[AC-98-431-577-501] Frame, 14&quot;, Allis Chalmers PWO, Frame A1, Oil-Lubed, Cast Iron"/>
    <m/>
    <m/>
    <m/>
    <m/>
    <m/>
    <s v=""/>
    <s v=""/>
    <s v=""/>
    <s v=""/>
  </r>
  <r>
    <n v="1"/>
    <s v="SO18059"/>
    <m/>
    <x v="0"/>
    <x v="0"/>
    <m/>
    <s v="Yannett Yeomans"/>
    <n v="10"/>
    <n v="2025"/>
    <s v="INV13821"/>
    <s v=""/>
    <s v=""/>
    <x v="0"/>
    <s v="Dynapro Pumps México S de RL de CV"/>
    <s v="USD"/>
    <n v="154.30696797216365"/>
    <n v="11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062"/>
    <m/>
    <x v="0"/>
    <x v="0"/>
    <m/>
    <s v="Ian Trottier"/>
    <n v="10"/>
    <n v="2025"/>
    <s v="No Inv"/>
    <s v=""/>
    <s v=""/>
    <x v="4"/>
    <s v="Cypress Sales Partnership"/>
    <s v="CAD"/>
    <n v="3969.02"/>
    <n v="2832.463091942650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65"/>
    <m/>
    <x v="0"/>
    <x v="0"/>
    <m/>
    <s v="Yannett Yeomans"/>
    <n v="10"/>
    <n v="2025"/>
    <s v="INV13822"/>
    <s v=""/>
    <s v=""/>
    <x v="0"/>
    <s v="Dynapro Pumps México S de RL de CV"/>
    <s v="USD"/>
    <n v="386.23881709260911"/>
    <n v="27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66"/>
    <m/>
    <x v="0"/>
    <x v="0"/>
    <m/>
    <s v="Alexis Gil Lamadrid"/>
    <n v="10"/>
    <n v="2025"/>
    <s v="INV13760"/>
    <n v="12"/>
    <n v="2025"/>
    <x v="4"/>
    <s v="Beaudoin Protective Coating &amp; Fabrication"/>
    <s v="CAD"/>
    <n v="4120"/>
    <n v="2943.602863531406"/>
    <x v="0"/>
    <n v="0"/>
    <n v="2943.602863531406"/>
    <m/>
    <x v="0"/>
    <m/>
    <m/>
    <s v=""/>
    <s v=""/>
    <s v=""/>
    <s v=""/>
    <s v=""/>
    <s v=""/>
    <s v=""/>
    <s v=""/>
    <s v="[AC-98-231-070-504] Gland Side Liner, 3x3-10 SRL, Hypalon"/>
    <m/>
    <m/>
    <m/>
    <m/>
    <m/>
    <s v=""/>
    <s v=""/>
    <s v=""/>
    <s v=""/>
  </r>
  <r>
    <n v="1"/>
    <s v="SO18068"/>
    <m/>
    <x v="0"/>
    <x v="0"/>
    <m/>
    <s v="Aleksandar Stankovic"/>
    <n v="10"/>
    <n v="2025"/>
    <s v="INV13562"/>
    <n v="12"/>
    <n v="2025"/>
    <x v="4"/>
    <s v="Canadian Industrial Pumps Ltd"/>
    <s v="CAD"/>
    <n v="2239"/>
    <n v="1601.3742835150208"/>
    <x v="0"/>
    <n v="0"/>
    <n v="1601.3742835150208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8069"/>
    <m/>
    <x v="0"/>
    <x v="0"/>
    <m/>
    <s v="Wilka Nuñez"/>
    <n v="10"/>
    <n v="2025"/>
    <s v="INV13634"/>
    <n v="1"/>
    <n v="2026"/>
    <x v="4"/>
    <s v="Wajax Limited - Lachine"/>
    <s v="CAD"/>
    <n v="106.16"/>
    <n v="75.573335829283934"/>
    <x v="1"/>
    <n v="0"/>
    <n v="0"/>
    <m/>
    <x v="0"/>
    <m/>
    <m/>
    <s v=""/>
    <s v=""/>
    <s v=""/>
    <s v=""/>
    <s v=""/>
    <s v=""/>
    <s v=""/>
    <s v=""/>
    <s v="[W-QV064/S10] Impeller Sealing O-Ring, 65QV-SP, Nitrile"/>
    <m/>
    <m/>
    <m/>
    <m/>
    <m/>
    <s v=""/>
    <s v=""/>
    <s v=""/>
    <s v=""/>
  </r>
  <r>
    <n v="1"/>
    <s v="SO18072"/>
    <m/>
    <x v="0"/>
    <x v="0"/>
    <m/>
    <s v="Leriel Reyes"/>
    <n v="10"/>
    <n v="2025"/>
    <s v="INV13780"/>
    <s v=""/>
    <s v=""/>
    <x v="4"/>
    <s v="TC Industries of Canada Co., TC Industries of Canada Co."/>
    <s v="CAD"/>
    <n v="18033.48"/>
    <n v="12897.879014864875"/>
    <x v="1"/>
    <n v="286"/>
    <n v="0"/>
    <m/>
    <x v="0"/>
    <m/>
    <m/>
    <s v=""/>
    <s v=""/>
    <s v=""/>
    <s v=""/>
    <s v=""/>
    <s v=""/>
    <s v=""/>
    <s v=""/>
    <s v="[D-196 3x4-8 MTX CD4MCu] Pump, 3x4-8, D-196 MTX, All CD4MCu"/>
    <m/>
    <m/>
    <m/>
    <m/>
    <m/>
    <s v=""/>
    <s v=""/>
    <s v=""/>
    <s v=""/>
  </r>
  <r>
    <n v="1"/>
    <s v="SO18073"/>
    <m/>
    <x v="0"/>
    <x v="0"/>
    <m/>
    <s v="Wilka Nuñez"/>
    <n v="10"/>
    <n v="2025"/>
    <s v="INV13565"/>
    <n v="12"/>
    <n v="2025"/>
    <x v="4"/>
    <s v="Wajax Limited - Noranda"/>
    <s v="CAD"/>
    <n v="147.72999999999999"/>
    <n v="105.65923309677267"/>
    <x v="0"/>
    <n v="0"/>
    <n v="105.65923309677267"/>
    <m/>
    <x v="0"/>
    <m/>
    <m/>
    <s v=""/>
    <s v=""/>
    <s v=""/>
    <s v=""/>
    <s v=""/>
    <s v=""/>
    <s v=""/>
    <s v=""/>
    <s v="[AC-98-233-979-003] Sleeve Washer (Impeller), 5x5/5x4/6x6 SRL &amp; SRL-C"/>
    <m/>
    <m/>
    <m/>
    <m/>
    <m/>
    <s v=""/>
    <s v=""/>
    <s v=""/>
    <s v=""/>
  </r>
  <r>
    <n v="1"/>
    <s v="SO18076"/>
    <m/>
    <x v="0"/>
    <x v="0"/>
    <m/>
    <s v="Ian Trottier"/>
    <n v="10"/>
    <n v="2025"/>
    <s v="INV13548"/>
    <n v="11"/>
    <n v="2025"/>
    <x v="2"/>
    <s v="Sealtrac Inc."/>
    <s v="CAD"/>
    <n v="240.42"/>
    <n v="171.15054069401322"/>
    <x v="0"/>
    <n v="0"/>
    <n v="171.15054069401322"/>
    <m/>
    <x v="0"/>
    <m/>
    <m/>
    <s v=""/>
    <s v=""/>
    <s v=""/>
    <s v=""/>
    <s v=""/>
    <s v=""/>
    <s v=""/>
    <s v=""/>
    <s v="[G-D06611A 3201] Coupling Guard, 3196 STX, Fabricated Steel, Drum Style"/>
    <m/>
    <m/>
    <m/>
    <m/>
    <m/>
    <s v=""/>
    <s v=""/>
    <s v=""/>
    <s v=""/>
  </r>
  <r>
    <n v="1"/>
    <s v="SO18078"/>
    <m/>
    <x v="0"/>
    <x v="0"/>
    <m/>
    <s v="Ian Trottier"/>
    <n v="10"/>
    <n v="2025"/>
    <s v="INV13560"/>
    <s v=""/>
    <s v=""/>
    <x v="4"/>
    <s v="Glencore Canada Corporation - Rouyn-Noranda"/>
    <s v="CAD"/>
    <n v="4932.2700000000004"/>
    <n v="3511.1915703721015"/>
    <x v="1"/>
    <n v="0"/>
    <n v="0"/>
    <m/>
    <x v="0"/>
    <m/>
    <m/>
    <s v=""/>
    <s v=""/>
    <s v=""/>
    <s v=""/>
    <s v=""/>
    <s v=""/>
    <s v=""/>
    <s v=""/>
    <s v="[AC-98-331-958-831] Shaft Sleeve, 5x4/5x5/6X6 SRL-C &amp; SRL, 420SS Heat Treated, Hardened"/>
    <m/>
    <m/>
    <m/>
    <m/>
    <m/>
    <s v=""/>
    <s v=""/>
    <s v=""/>
    <s v=""/>
  </r>
  <r>
    <n v="1"/>
    <s v="SO18079"/>
    <m/>
    <x v="5"/>
    <x v="0"/>
    <m/>
    <s v="Wilka Nuñez"/>
    <n v="10"/>
    <n v="2025"/>
    <s v="INV13557"/>
    <n v="11"/>
    <n v="2025"/>
    <x v="2"/>
    <s v="Sling-Choker Manufacturing - Timmins"/>
    <s v="CAD"/>
    <n v="2758.48"/>
    <n v="1966.0362971661029"/>
    <x v="0"/>
    <n v="0"/>
    <n v="1966.0362971661029"/>
    <m/>
    <x v="1"/>
    <m/>
    <m/>
    <s v=""/>
    <n v="5.0000000000000001E-3"/>
    <s v=""/>
    <s v=""/>
    <s v=""/>
    <n v="9.830181485830515"/>
    <s v=""/>
    <s v=""/>
    <s v="[AC-98-130-364-006] Bearing Cover Gasket (Inboard), 12x10-25 SRL-C"/>
    <m/>
    <m/>
    <m/>
    <m/>
    <m/>
    <s v=""/>
    <n v="9.830181485830515"/>
    <s v=""/>
    <s v=""/>
  </r>
  <r>
    <n v="1"/>
    <s v="SO18080"/>
    <m/>
    <x v="5"/>
    <x v="0"/>
    <m/>
    <s v="Wilka Nuñez"/>
    <n v="10"/>
    <n v="2025"/>
    <s v="INV13738"/>
    <s v=""/>
    <s v=""/>
    <x v="4"/>
    <s v="Barrick Gold - Pueblo Viejo Dominicana Corporation"/>
    <s v="USD"/>
    <n v="1400.4815870689238"/>
    <n v="998.44"/>
    <x v="1"/>
    <n v="0"/>
    <n v="0"/>
    <m/>
    <x v="3"/>
    <m/>
    <m/>
    <s v=""/>
    <n v="0"/>
    <s v=""/>
    <s v=""/>
    <s v=""/>
    <n v="0"/>
    <s v=""/>
    <s v=""/>
    <s v="[37231] Sleeve Bearing (Suction Bell), ThorPlas-Blue, HPCW"/>
    <m/>
    <m/>
    <m/>
    <m/>
    <m/>
    <s v=""/>
    <n v="0"/>
    <s v=""/>
    <s v=""/>
  </r>
  <r>
    <n v="1"/>
    <s v="SO18081"/>
    <m/>
    <x v="0"/>
    <x v="0"/>
    <m/>
    <s v="Ian Trottier"/>
    <n v="10"/>
    <n v="2025"/>
    <s v="INV13568"/>
    <n v="12"/>
    <n v="2025"/>
    <x v="4"/>
    <s v="Sealtrac Inc."/>
    <s v="CAD"/>
    <n v="1421.52"/>
    <n v="1015.9323674921432"/>
    <x v="0"/>
    <n v="0"/>
    <n v="1015.9323674921432"/>
    <m/>
    <x v="0"/>
    <m/>
    <m/>
    <s v=""/>
    <s v=""/>
    <s v=""/>
    <s v=""/>
    <s v=""/>
    <s v=""/>
    <s v=""/>
    <s v=""/>
    <s v="[G-0100-163 1216] Impeller, 3x4-8, 3196 MTX, CD4MCu, 4-Vane"/>
    <m/>
    <m/>
    <m/>
    <m/>
    <m/>
    <s v=""/>
    <s v=""/>
    <s v=""/>
    <s v=""/>
  </r>
  <r>
    <n v="1"/>
    <s v="SO18084"/>
    <m/>
    <x v="0"/>
    <x v="0"/>
    <m/>
    <s v="Wilka Nuñez"/>
    <n v="10"/>
    <n v="2025"/>
    <s v="INV13621"/>
    <n v="12"/>
    <n v="2025"/>
    <x v="4"/>
    <s v="DRN Industriel"/>
    <s v="CAD"/>
    <n v="632.4"/>
    <n v="449.28625441631306"/>
    <x v="0"/>
    <n v="0"/>
    <n v="449.28625441631306"/>
    <m/>
    <x v="0"/>
    <m/>
    <m/>
    <s v=""/>
    <s v=""/>
    <s v=""/>
    <s v=""/>
    <s v=""/>
    <s v=""/>
    <s v=""/>
    <s v=""/>
    <s v="[52-108-475-015] Deflector (Inboard), Allis-Chalmers PWO, Group 3"/>
    <m/>
    <m/>
    <m/>
    <m/>
    <m/>
    <s v=""/>
    <s v=""/>
    <s v=""/>
    <s v=""/>
  </r>
  <r>
    <n v="2"/>
    <s v="SO18089"/>
    <m/>
    <x v="0"/>
    <x v="0"/>
    <m/>
    <s v="Aleksandar Stankovic"/>
    <n v="10"/>
    <n v="2025"/>
    <s v="INV13554"/>
    <s v=""/>
    <s v=""/>
    <x v="4"/>
    <s v="Covia Corp - Junction City"/>
    <s v="USD"/>
    <n v="16129.718931612129"/>
    <n v="11510.86"/>
    <x v="1"/>
    <n v="397.25"/>
    <n v="0"/>
    <m/>
    <x v="0"/>
    <m/>
    <m/>
    <s v=""/>
    <s v=""/>
    <s v=""/>
    <s v=""/>
    <s v=""/>
    <s v=""/>
    <s v=""/>
    <s v=""/>
    <s v="[W-F108H/D21] Piston Ring, Ductile Iron"/>
    <m/>
    <m/>
    <m/>
    <m/>
    <m/>
    <s v=""/>
    <s v=""/>
    <s v=""/>
    <s v=""/>
  </r>
  <r>
    <n v="2"/>
    <s v="SO18089"/>
    <m/>
    <x v="0"/>
    <x v="0"/>
    <m/>
    <n v="0"/>
    <n v="10"/>
    <n v="2025"/>
    <s v="INV13838"/>
    <s v=""/>
    <s v=""/>
    <x v="4"/>
    <s v="Covia Corp - Junction City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095"/>
    <m/>
    <x v="0"/>
    <x v="0"/>
    <m/>
    <s v="Alexis Gil Lamadrid"/>
    <n v="10"/>
    <n v="2025"/>
    <s v="INV13571"/>
    <n v="12"/>
    <n v="2025"/>
    <x v="4"/>
    <s v="Canadian Bearings Ltd."/>
    <s v="CAD"/>
    <n v="390.33"/>
    <n v="280.90437416128111"/>
    <x v="0"/>
    <n v="0"/>
    <n v="280.90437416128111"/>
    <m/>
    <x v="0"/>
    <m/>
    <m/>
    <s v=""/>
    <s v=""/>
    <s v=""/>
    <s v=""/>
    <s v=""/>
    <s v=""/>
    <s v=""/>
    <s v=""/>
    <s v="[AC-52-050-313-000] Shim Kit, Allis Chalmers CSO, Frame F4D1/F4B5"/>
    <m/>
    <m/>
    <m/>
    <m/>
    <m/>
    <s v=""/>
    <s v=""/>
    <s v=""/>
    <s v=""/>
  </r>
  <r>
    <n v="1"/>
    <s v="SO18096"/>
    <m/>
    <x v="0"/>
    <x v="0"/>
    <m/>
    <s v="Ian Trottier"/>
    <n v="10"/>
    <n v="2025"/>
    <s v="INV13559"/>
    <n v="12"/>
    <n v="2025"/>
    <x v="4"/>
    <s v="Resolute Forest Products - Saint-Felicien"/>
    <s v="CAD"/>
    <n v="4223.4399999999996"/>
    <n v="3020.6825386193295"/>
    <x v="0"/>
    <n v="0"/>
    <n v="3020.6825386193295"/>
    <m/>
    <x v="0"/>
    <m/>
    <m/>
    <s v=""/>
    <s v=""/>
    <s v=""/>
    <s v=""/>
    <s v=""/>
    <s v=""/>
    <s v=""/>
    <s v=""/>
    <s v="[52-231-883-001 52-110-878-001(aluminum version), AC-98-131-579-501] Slinger Assembly, PWO Frame 1, Oil"/>
    <m/>
    <m/>
    <m/>
    <m/>
    <m/>
    <s v=""/>
    <s v=""/>
    <s v=""/>
    <s v=""/>
  </r>
  <r>
    <n v="0"/>
    <s v="SO18103"/>
    <m/>
    <x v="0"/>
    <x v="0"/>
    <m/>
    <s v="Amanda Qiao"/>
    <n v="10"/>
    <n v="2025"/>
    <s v="No Inv"/>
    <s v=""/>
    <s v=""/>
    <x v="0"/>
    <s v="AGM Inc."/>
    <s v="USD"/>
    <n v="26137.457327018416"/>
    <n v="18682.59999999999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04"/>
    <m/>
    <x v="0"/>
    <x v="0"/>
    <m/>
    <s v="Ian Trottier"/>
    <n v="10"/>
    <n v="2025"/>
    <s v="INV13799"/>
    <s v=""/>
    <s v=""/>
    <x v="4"/>
    <s v="Resolute Forest Products - Gatineau"/>
    <s v="CAD"/>
    <n v="994.1"/>
    <n v="710.99873838422604"/>
    <x v="1"/>
    <n v="0"/>
    <n v="0"/>
    <m/>
    <x v="0"/>
    <m/>
    <m/>
    <s v=""/>
    <s v=""/>
    <s v=""/>
    <s v=""/>
    <s v=""/>
    <s v=""/>
    <s v=""/>
    <s v=""/>
    <s v="[G-B02301A-6956] Shaft Sleeve, 3196 X-17, 316SS, NCB Hard Coated"/>
    <m/>
    <m/>
    <m/>
    <m/>
    <m/>
    <s v=""/>
    <s v=""/>
    <s v=""/>
    <s v=""/>
  </r>
  <r>
    <n v="1"/>
    <s v="SO18106"/>
    <m/>
    <x v="0"/>
    <x v="0"/>
    <m/>
    <s v="Wilka Nuñez"/>
    <n v="10"/>
    <n v="2025"/>
    <s v="INV13564"/>
    <n v="12"/>
    <n v="2025"/>
    <x v="4"/>
    <s v="ProPart Pompes du Canada 9425-4380 Quebec Inc"/>
    <s v="CAD"/>
    <n v="565"/>
    <n v="403.79438040482063"/>
    <x v="0"/>
    <n v="0"/>
    <n v="403.79438040482063"/>
    <m/>
    <x v="0"/>
    <m/>
    <m/>
    <s v=""/>
    <s v=""/>
    <s v=""/>
    <s v=""/>
    <s v=""/>
    <s v=""/>
    <s v=""/>
    <s v=""/>
    <s v="[AC-98-234-271-001] Waterseal Bushing, 3x3 SRL-C, 316SS"/>
    <m/>
    <m/>
    <m/>
    <m/>
    <m/>
    <s v=""/>
    <s v=""/>
    <s v=""/>
    <s v=""/>
  </r>
  <r>
    <n v="1"/>
    <s v="SO18107"/>
    <m/>
    <x v="6"/>
    <x v="0"/>
    <m/>
    <s v="Aleksandar Stankovic"/>
    <n v="10"/>
    <n v="2025"/>
    <s v="INV13602"/>
    <n v="11"/>
    <n v="2025"/>
    <x v="2"/>
    <s v="FMI Products"/>
    <s v="CAD"/>
    <n v="565.09"/>
    <n v="403.29394579108504"/>
    <x v="0"/>
    <n v="0"/>
    <n v="403.29394579108504"/>
    <m/>
    <x v="0"/>
    <m/>
    <m/>
    <s v=""/>
    <s v=""/>
    <s v=""/>
    <s v=""/>
    <s v=""/>
    <s v=""/>
    <s v=""/>
    <s v=""/>
    <s v="[G-R100-111 1012] Stuffing Box Cover, 7&quot; &amp; 8&quot;, 3196 MTX, Ductile Iron, Standard Bore, Non-Jacketed"/>
    <m/>
    <m/>
    <m/>
    <m/>
    <m/>
    <s v=""/>
    <s v=""/>
    <s v=""/>
    <s v=""/>
  </r>
  <r>
    <n v="1"/>
    <s v="SO18108"/>
    <m/>
    <x v="0"/>
    <x v="0"/>
    <m/>
    <s v="Alexis Gil Lamadrid"/>
    <n v="10"/>
    <n v="2025"/>
    <s v="INV13566"/>
    <n v="12"/>
    <n v="2025"/>
    <x v="4"/>
    <s v="Wajax Limited - Noranda"/>
    <s v="CAD"/>
    <n v="2627.35"/>
    <n v="1877.7153369143466"/>
    <x v="0"/>
    <n v="0"/>
    <n v="1877.7153369143466"/>
    <m/>
    <x v="0"/>
    <m/>
    <m/>
    <s v=""/>
    <s v=""/>
    <s v=""/>
    <s v=""/>
    <s v=""/>
    <s v=""/>
    <s v=""/>
    <s v=""/>
    <s v="[W-D3110/A05] Volute Liner, 4/3 C or D-AH, High Chrome"/>
    <m/>
    <m/>
    <m/>
    <m/>
    <m/>
    <s v=""/>
    <s v=""/>
    <s v=""/>
    <s v=""/>
  </r>
  <r>
    <n v="1"/>
    <s v="SO18109"/>
    <m/>
    <x v="0"/>
    <x v="0"/>
    <m/>
    <s v="Wilka Nuñez"/>
    <n v="10"/>
    <n v="2025"/>
    <s v="INV13624"/>
    <n v="12"/>
    <n v="2025"/>
    <x v="4"/>
    <s v="Flowstar Industrial Inc"/>
    <s v="CAD"/>
    <n v="1414.55"/>
    <n v="1011.7123683546997"/>
    <x v="0"/>
    <n v="0"/>
    <n v="1011.7123683546997"/>
    <m/>
    <x v="0"/>
    <m/>
    <m/>
    <s v=""/>
    <s v=""/>
    <s v=""/>
    <s v=""/>
    <s v=""/>
    <s v=""/>
    <s v=""/>
    <s v=""/>
    <s v="[REM - W 06, G-8910-0006] Bearing Lock Washer, Steel"/>
    <m/>
    <m/>
    <m/>
    <m/>
    <m/>
    <s v=""/>
    <s v=""/>
    <s v=""/>
    <s v=""/>
  </r>
  <r>
    <n v="1"/>
    <s v="SO18110"/>
    <m/>
    <x v="0"/>
    <x v="0"/>
    <m/>
    <s v="Carlos Leon"/>
    <n v="10"/>
    <n v="2025"/>
    <s v="INV13818"/>
    <s v=""/>
    <s v=""/>
    <x v="4"/>
    <s v="Dynapro Pumps México S de RL de CV"/>
    <s v="USD"/>
    <n v="69961.350060588258"/>
    <n v="5000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112"/>
    <m/>
    <x v="1"/>
    <x v="0"/>
    <m/>
    <s v="Ian Trottier"/>
    <n v="10"/>
    <n v="2025"/>
    <s v="INV13632"/>
    <s v=""/>
    <s v=""/>
    <x v="2"/>
    <s v="Resolute Forest Products - Saint-Felicien"/>
    <s v="CAD"/>
    <n v="3540.97"/>
    <n v="2532.5673500215198"/>
    <x v="0"/>
    <n v="0"/>
    <n v="2532.5673500215198"/>
    <m/>
    <x v="1"/>
    <m/>
    <m/>
    <s v=""/>
    <n v="5.0000000000000001E-3"/>
    <s v=""/>
    <s v=""/>
    <s v=""/>
    <n v="12.6628367501076"/>
    <s v=""/>
    <s v=""/>
    <s v="[AC-98-431-849-001] Suction Side Casing, 3x3-10 SRL, Cast Iron"/>
    <m/>
    <m/>
    <m/>
    <m/>
    <m/>
    <s v=""/>
    <n v="12.6628367501076"/>
    <s v=""/>
    <s v=""/>
  </r>
  <r>
    <n v="2"/>
    <s v="SO18112"/>
    <m/>
    <x v="1"/>
    <x v="0"/>
    <m/>
    <n v="0"/>
    <n v="10"/>
    <n v="2025"/>
    <s v="INV13569"/>
    <n v="12"/>
    <n v="2025"/>
    <x v="2"/>
    <s v="Resolute Forest Products - Saint-Felicien"/>
    <s v="CAD"/>
    <n v="0"/>
    <n v="0"/>
    <x v="1"/>
    <n v="0"/>
    <n v="0"/>
    <m/>
    <x v="1"/>
    <m/>
    <m/>
    <s v=""/>
    <n v="5.0000000000000001E-3"/>
    <s v=""/>
    <s v=""/>
    <s v=""/>
    <n v="0"/>
    <s v=""/>
    <s v=""/>
    <s v="[AC-98-330-286-503] Impeller (Open), 3x3-10 SRL, Neoprene"/>
    <m/>
    <m/>
    <m/>
    <m/>
    <m/>
    <s v=""/>
    <n v="0"/>
    <s v=""/>
    <s v=""/>
  </r>
  <r>
    <n v="2"/>
    <s v="SO18115"/>
    <m/>
    <x v="6"/>
    <x v="0"/>
    <m/>
    <s v="Aleksandar Stankovic"/>
    <n v="10"/>
    <n v="2025"/>
    <s v="INV13666"/>
    <s v=""/>
    <s v=""/>
    <x v="4"/>
    <s v="Pierce Pump Company"/>
    <s v="USD"/>
    <n v="4624.6006647798495"/>
    <n v="3318"/>
    <x v="0"/>
    <n v="0"/>
    <n v="3318"/>
    <m/>
    <x v="0"/>
    <m/>
    <m/>
    <s v=""/>
    <s v=""/>
    <s v=""/>
    <s v=""/>
    <s v=""/>
    <s v=""/>
    <s v=""/>
    <s v=""/>
    <s v="[NSK-22218EAE4, AC-00-813-261-537] Roller Bearing (Inboard), 8x6-18 &amp; 10x8-21 SRL-C"/>
    <m/>
    <m/>
    <m/>
    <m/>
    <m/>
    <s v=""/>
    <s v=""/>
    <s v=""/>
    <s v=""/>
  </r>
  <r>
    <n v="2"/>
    <s v="SO18115"/>
    <m/>
    <x v="6"/>
    <x v="0"/>
    <m/>
    <n v="0"/>
    <n v="10"/>
    <n v="2025"/>
    <s v="INV13615"/>
    <s v=""/>
    <s v=""/>
    <x v="4"/>
    <s v="Pierce Pump Company"/>
    <s v="USD"/>
    <n v="0"/>
    <n v="0"/>
    <x v="1"/>
    <n v="0"/>
    <n v="0"/>
    <m/>
    <x v="0"/>
    <m/>
    <m/>
    <s v=""/>
    <s v=""/>
    <s v=""/>
    <s v=""/>
    <s v=""/>
    <s v=""/>
    <s v=""/>
    <s v=""/>
    <s v="[NSK-22218EAE4, AC-00-813-261-537] Roller Bearing (Inboard), 8x6-18 &amp; 10x8-21 SRL-C"/>
    <m/>
    <m/>
    <m/>
    <m/>
    <m/>
    <s v=""/>
    <s v=""/>
    <s v=""/>
    <s v=""/>
  </r>
  <r>
    <n v="1"/>
    <s v="SO18116"/>
    <m/>
    <x v="0"/>
    <x v="0"/>
    <m/>
    <s v="Amanda Qiao"/>
    <n v="10"/>
    <n v="2025"/>
    <s v="INV13605"/>
    <n v="12"/>
    <n v="2025"/>
    <x v="4"/>
    <s v="DXP Enterprises, Inc. - Grand Prairie"/>
    <s v="USD"/>
    <n v="4205.3202633395013"/>
    <n v="3017.18"/>
    <x v="0"/>
    <n v="713"/>
    <n v="2304.1799999999998"/>
    <m/>
    <x v="0"/>
    <m/>
    <m/>
    <s v=""/>
    <s v=""/>
    <s v=""/>
    <s v=""/>
    <s v=""/>
    <s v=""/>
    <s v=""/>
    <s v=""/>
    <s v="[AC-98-431-768-501] Shaft Assembly, 8x6-18 SRL-C, 1045 Steel"/>
    <m/>
    <m/>
    <m/>
    <m/>
    <m/>
    <s v=""/>
    <s v=""/>
    <s v=""/>
    <s v=""/>
  </r>
  <r>
    <n v="1"/>
    <s v="SO18120"/>
    <m/>
    <x v="0"/>
    <x v="0"/>
    <m/>
    <s v="Ian Trottier"/>
    <n v="10"/>
    <n v="2025"/>
    <s v="INV13770"/>
    <s v=""/>
    <s v=""/>
    <x v="4"/>
    <s v="Les Pompes du St-Laurent Inc."/>
    <s v="CAD"/>
    <n v="13927.52"/>
    <n v="9981.799888339161"/>
    <x v="1"/>
    <n v="0"/>
    <n v="0"/>
    <m/>
    <x v="0"/>
    <m/>
    <m/>
    <s v=""/>
    <s v=""/>
    <s v=""/>
    <s v=""/>
    <s v=""/>
    <s v=""/>
    <s v=""/>
    <s v=""/>
    <s v="[G-77-59 1001] Bearing Housing, 3405-M, Cast Iron"/>
    <m/>
    <m/>
    <m/>
    <m/>
    <m/>
    <s v=""/>
    <s v=""/>
    <s v=""/>
    <s v=""/>
  </r>
  <r>
    <n v="1"/>
    <s v="SO18122"/>
    <m/>
    <x v="0"/>
    <x v="0"/>
    <m/>
    <s v="Aleksandar Stankovic"/>
    <n v="10"/>
    <n v="2025"/>
    <s v="INV13608"/>
    <s v=""/>
    <s v=""/>
    <x v="4"/>
    <s v="Sealtrac Inc."/>
    <s v="CAD"/>
    <n v="2934"/>
    <n v="2105.0492151982221"/>
    <x v="1"/>
    <n v="0"/>
    <n v="0"/>
    <m/>
    <x v="0"/>
    <m/>
    <m/>
    <s v=""/>
    <s v=""/>
    <s v=""/>
    <s v=""/>
    <s v=""/>
    <s v=""/>
    <s v=""/>
    <s v=""/>
    <s v="[G-0C01360A 1203] Flush Gland, 3196 STX, 316SS, Big Bore"/>
    <m/>
    <m/>
    <m/>
    <m/>
    <m/>
    <s v=""/>
    <s v=""/>
    <s v=""/>
    <s v=""/>
  </r>
  <r>
    <n v="1"/>
    <s v="SO18123"/>
    <m/>
    <x v="0"/>
    <x v="0"/>
    <m/>
    <s v="Ian Trottier"/>
    <n v="10"/>
    <n v="2025"/>
    <s v="INV13762"/>
    <s v=""/>
    <s v=""/>
    <x v="4"/>
    <s v="Les Pompes du St-Laurent Inc."/>
    <s v="CAD"/>
    <n v="1997.56"/>
    <n v="1425.620439849297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124"/>
    <m/>
    <x v="0"/>
    <x v="0"/>
    <m/>
    <s v="Ian Trottier"/>
    <n v="10"/>
    <n v="2025"/>
    <s v="INV13815"/>
    <s v=""/>
    <s v=""/>
    <x v="4"/>
    <s v="PT Vale Indonesia Tbk."/>
    <s v="USD"/>
    <n v="1902.6829026759308"/>
    <n v="1359.4"/>
    <x v="0"/>
    <n v="0"/>
    <n v="1359.4"/>
    <m/>
    <x v="0"/>
    <m/>
    <m/>
    <s v=""/>
    <s v=""/>
    <s v=""/>
    <s v=""/>
    <s v=""/>
    <s v=""/>
    <s v=""/>
    <s v=""/>
    <s v="[W-B073M/E05] Shaft, 1.5/1 or 2/1.5 B-AH, 1045 Steel, Metric"/>
    <m/>
    <m/>
    <m/>
    <m/>
    <m/>
    <s v=""/>
    <s v=""/>
    <s v=""/>
    <s v=""/>
  </r>
  <r>
    <n v="2"/>
    <s v="SO18124"/>
    <m/>
    <x v="0"/>
    <x v="0"/>
    <m/>
    <n v="0"/>
    <n v="10"/>
    <n v="2025"/>
    <s v="INV13592"/>
    <s v=""/>
    <s v=""/>
    <x v="4"/>
    <s v="PT Vale Indonesia Tbk."/>
    <s v="USD"/>
    <n v="0"/>
    <n v="0"/>
    <x v="1"/>
    <n v="0"/>
    <n v="0"/>
    <m/>
    <x v="0"/>
    <m/>
    <m/>
    <s v=""/>
    <s v=""/>
    <s v=""/>
    <s v=""/>
    <s v=""/>
    <s v=""/>
    <s v=""/>
    <s v=""/>
    <s v="[W-B073M/E05] Shaft, 1.5/1 or 2/1.5 B-AH, 1045 Steel, Metric"/>
    <m/>
    <m/>
    <m/>
    <m/>
    <m/>
    <s v=""/>
    <s v=""/>
    <s v=""/>
    <s v=""/>
  </r>
  <r>
    <n v="2"/>
    <s v="SO18125"/>
    <m/>
    <x v="0"/>
    <x v="0"/>
    <m/>
    <s v="Ian Trottier"/>
    <n v="10"/>
    <n v="2025"/>
    <s v="INV13778"/>
    <s v=""/>
    <s v=""/>
    <x v="4"/>
    <s v="PT Vale Indonesia Tbk."/>
    <s v="USD"/>
    <n v="517.64620032784035"/>
    <n v="369.84"/>
    <x v="0"/>
    <n v="0"/>
    <n v="369.84"/>
    <m/>
    <x v="0"/>
    <m/>
    <m/>
    <s v=""/>
    <s v=""/>
    <s v=""/>
    <s v=""/>
    <s v=""/>
    <s v=""/>
    <s v=""/>
    <s v=""/>
    <s v="[G-D08717A03 6241] Labyrinth Seal (Outboard), 3196 MTX, Carbon Teflon"/>
    <m/>
    <m/>
    <m/>
    <m/>
    <m/>
    <s v=""/>
    <s v=""/>
    <s v=""/>
    <s v=""/>
  </r>
  <r>
    <n v="2"/>
    <s v="SO18125"/>
    <m/>
    <x v="0"/>
    <x v="0"/>
    <m/>
    <n v="0"/>
    <n v="10"/>
    <n v="2025"/>
    <s v="INV13593"/>
    <s v=""/>
    <s v=""/>
    <x v="4"/>
    <s v="PT Vale Indonesia Tbk."/>
    <s v="USD"/>
    <n v="0"/>
    <n v="0"/>
    <x v="1"/>
    <n v="0"/>
    <n v="0"/>
    <m/>
    <x v="0"/>
    <m/>
    <m/>
    <s v=""/>
    <s v=""/>
    <s v=""/>
    <s v=""/>
    <s v=""/>
    <s v=""/>
    <s v=""/>
    <s v=""/>
    <s v="[G-D08717A03 6241] Labyrinth Seal (Outboard), 3196 MTX, Carbon Teflon"/>
    <m/>
    <m/>
    <m/>
    <m/>
    <m/>
    <s v=""/>
    <s v=""/>
    <s v=""/>
    <s v=""/>
  </r>
  <r>
    <n v="2"/>
    <s v="SO18126"/>
    <m/>
    <x v="0"/>
    <x v="0"/>
    <m/>
    <s v="Ian Trottier"/>
    <n v="10"/>
    <n v="2025"/>
    <s v="INV13704"/>
    <n v="12"/>
    <n v="2025"/>
    <x v="4"/>
    <s v="Sling-Choker Manufacturing - Timmins"/>
    <s v="CAD"/>
    <n v="1722.75"/>
    <n v="1236.0168832592835"/>
    <x v="0"/>
    <n v="0"/>
    <n v="1236.0168832592835"/>
    <m/>
    <x v="0"/>
    <m/>
    <m/>
    <s v=""/>
    <s v=""/>
    <s v=""/>
    <s v=""/>
    <s v=""/>
    <s v=""/>
    <s v=""/>
    <s v=""/>
    <s v="[AC-98-233-992-001] Half Seal Cage, 3x3-10 SRL &amp; SRL-C, Cast Iron"/>
    <m/>
    <m/>
    <m/>
    <m/>
    <m/>
    <s v=""/>
    <s v=""/>
    <s v=""/>
    <s v=""/>
  </r>
  <r>
    <n v="2"/>
    <s v="SO18126"/>
    <m/>
    <x v="0"/>
    <x v="0"/>
    <m/>
    <n v="0"/>
    <n v="10"/>
    <n v="2025"/>
    <s v="INV13806"/>
    <s v=""/>
    <s v=""/>
    <x v="4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AC-98-039-047-501] Impeller (Closed), 5x4-14 SRL-C, Natural Rubber"/>
    <m/>
    <m/>
    <m/>
    <m/>
    <m/>
    <s v=""/>
    <s v=""/>
    <s v=""/>
    <s v=""/>
  </r>
  <r>
    <n v="0"/>
    <s v="SO18127"/>
    <m/>
    <x v="0"/>
    <x v="0"/>
    <m/>
    <s v="Carlos Leon"/>
    <n v="10"/>
    <n v="2025"/>
    <s v="No Inv"/>
    <s v=""/>
    <s v=""/>
    <x v="4"/>
    <s v="Dynapro Pumps México S de RL de CV"/>
    <s v="USD"/>
    <n v="5626.5891339982645"/>
    <n v="402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28"/>
    <m/>
    <x v="0"/>
    <x v="0"/>
    <m/>
    <s v="Carlos Leon"/>
    <n v="10"/>
    <n v="2025"/>
    <s v="INV13823"/>
    <s v=""/>
    <s v=""/>
    <x v="4"/>
    <s v="Dynapro Pumps México S de RL de CV"/>
    <s v="USD"/>
    <n v="1791.5507690342733"/>
    <n v="128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31"/>
    <m/>
    <x v="5"/>
    <x v="0"/>
    <m/>
    <s v="Wilka Nuñez"/>
    <n v="10"/>
    <n v="2025"/>
    <s v="INV13646"/>
    <n v="12"/>
    <n v="2025"/>
    <x v="4"/>
    <s v="Barrick Gold - Pueblo Viejo Dominicana Corporation"/>
    <s v="USD"/>
    <n v="18750.372304767778"/>
    <n v="13314.84"/>
    <x v="1"/>
    <n v="0"/>
    <n v="0"/>
    <m/>
    <x v="0"/>
    <m/>
    <m/>
    <s v=""/>
    <s v=""/>
    <s v=""/>
    <s v=""/>
    <s v=""/>
    <s v=""/>
    <s v=""/>
    <s v=""/>
    <s v="Shaft, 500S-35, 4340 Steel"/>
    <m/>
    <m/>
    <m/>
    <m/>
    <m/>
    <s v=""/>
    <s v=""/>
    <s v=""/>
    <s v=""/>
  </r>
  <r>
    <n v="1"/>
    <s v="SO18133"/>
    <m/>
    <x v="0"/>
    <x v="0"/>
    <m/>
    <s v="Ian Trottier"/>
    <n v="10"/>
    <n v="2025"/>
    <s v="INV13590"/>
    <s v=""/>
    <s v=""/>
    <x v="4"/>
    <s v="PT Vale Indonesia Tbk."/>
    <s v="USD"/>
    <n v="1788.9733849502352"/>
    <n v="1283.53"/>
    <x v="1"/>
    <n v="0"/>
    <n v="0"/>
    <m/>
    <x v="0"/>
    <m/>
    <m/>
    <s v=""/>
    <s v=""/>
    <s v=""/>
    <s v=""/>
    <s v=""/>
    <s v=""/>
    <s v=""/>
    <s v=""/>
    <s v="[AC-98-231-121-501] Suction Side Plate, 8x6-18 SRL-C, Natural Rubber"/>
    <m/>
    <m/>
    <m/>
    <m/>
    <m/>
    <s v=""/>
    <s v=""/>
    <s v=""/>
    <s v=""/>
  </r>
  <r>
    <n v="1"/>
    <s v="SO18134"/>
    <m/>
    <x v="0"/>
    <x v="0"/>
    <m/>
    <s v="Ian Trottier"/>
    <n v="10"/>
    <n v="2025"/>
    <s v="INV13591"/>
    <s v=""/>
    <s v=""/>
    <x v="4"/>
    <s v="PT Vale Indonesia Tbk."/>
    <s v="USD"/>
    <n v="4122.6962948620603"/>
    <n v="2957.9"/>
    <x v="1"/>
    <n v="0"/>
    <n v="0"/>
    <m/>
    <x v="0"/>
    <m/>
    <m/>
    <s v=""/>
    <s v=""/>
    <s v=""/>
    <s v=""/>
    <s v=""/>
    <s v=""/>
    <s v=""/>
    <s v=""/>
    <s v="[AC-98-231-123-501] Gland Side Liner, 8x6-18 SRL-C, Natural Rubber"/>
    <m/>
    <m/>
    <m/>
    <m/>
    <m/>
    <s v=""/>
    <s v=""/>
    <s v=""/>
    <s v=""/>
  </r>
  <r>
    <n v="1"/>
    <s v="SO18135"/>
    <m/>
    <x v="0"/>
    <x v="0"/>
    <m/>
    <s v="Ian Trottier"/>
    <n v="10"/>
    <n v="2025"/>
    <s v="INV13589"/>
    <s v=""/>
    <s v=""/>
    <x v="4"/>
    <s v="PT Vale Indonesia Tbk."/>
    <s v="USD"/>
    <n v="2061.3481474310302"/>
    <n v="1478.95"/>
    <x v="1"/>
    <n v="0"/>
    <n v="0"/>
    <m/>
    <x v="0"/>
    <m/>
    <m/>
    <s v=""/>
    <s v=""/>
    <s v=""/>
    <s v=""/>
    <s v=""/>
    <s v=""/>
    <s v=""/>
    <s v=""/>
    <s v="[AC-98-431-651-501] Impeller (Closed), 8x6-18 SRL-C, Natural Rubber"/>
    <m/>
    <m/>
    <m/>
    <m/>
    <m/>
    <s v=""/>
    <s v=""/>
    <s v=""/>
    <s v=""/>
  </r>
  <r>
    <n v="1"/>
    <s v="SO18136"/>
    <m/>
    <x v="0"/>
    <x v="0"/>
    <m/>
    <s v="Alexis Gil Lamadrid"/>
    <n v="10"/>
    <n v="2025"/>
    <s v="INV13735"/>
    <s v=""/>
    <s v=""/>
    <x v="4"/>
    <s v="Canadian Industrial Pumps Ltd"/>
    <s v="CAD"/>
    <n v="1449.56"/>
    <n v="1043.1884421111026"/>
    <x v="1"/>
    <n v="0"/>
    <n v="0"/>
    <m/>
    <x v="0"/>
    <m/>
    <m/>
    <s v=""/>
    <s v=""/>
    <s v=""/>
    <s v=""/>
    <s v=""/>
    <s v=""/>
    <s v=""/>
    <s v=""/>
    <s v="[AC-98-211-426-501] Impeller, 2x2-10 SRL, Natural Rubber"/>
    <m/>
    <m/>
    <m/>
    <m/>
    <m/>
    <s v=""/>
    <s v=""/>
    <s v=""/>
    <s v=""/>
  </r>
  <r>
    <n v="1"/>
    <s v="SO18137"/>
    <m/>
    <x v="5"/>
    <x v="0"/>
    <m/>
    <s v="Wilka Nuñez"/>
    <n v="10"/>
    <n v="2025"/>
    <s v="INV13642"/>
    <n v="1"/>
    <n v="2026"/>
    <x v="5"/>
    <s v="Barrick Gold - Pueblo Viejo Dominicana Corporation"/>
    <s v="USD"/>
    <n v="24780.068267946899"/>
    <n v="17778.89"/>
    <x v="0"/>
    <n v="0"/>
    <n v="17778.89"/>
    <m/>
    <x v="3"/>
    <m/>
    <m/>
    <s v=""/>
    <n v="0"/>
    <s v=""/>
    <s v=""/>
    <s v=""/>
    <n v="0"/>
    <s v=""/>
    <s v=""/>
    <s v="[D-500S-35-IMP-CD4] Impeller, 500S-35, CD4MCu"/>
    <m/>
    <m/>
    <m/>
    <m/>
    <m/>
    <s v=""/>
    <n v="0"/>
    <s v=""/>
    <s v=""/>
  </r>
  <r>
    <n v="1"/>
    <s v="SO18138"/>
    <m/>
    <x v="0"/>
    <x v="0"/>
    <m/>
    <s v="Aleksandar Stankovic"/>
    <n v="10"/>
    <n v="2025"/>
    <s v="INV13618"/>
    <n v="12"/>
    <n v="2025"/>
    <x v="4"/>
    <s v="Canadian Bearings Ltd."/>
    <s v="CAD"/>
    <n v="968"/>
    <n v="692.33153481131762"/>
    <x v="0"/>
    <n v="0"/>
    <n v="692.33153481131762"/>
    <m/>
    <x v="0"/>
    <m/>
    <m/>
    <s v=""/>
    <s v=""/>
    <s v=""/>
    <s v=""/>
    <s v=""/>
    <s v=""/>
    <s v=""/>
    <s v=""/>
    <s v="[AC-98-130-367-001] Shaft Sleeve, PWO Frame 2, 316SS"/>
    <m/>
    <m/>
    <m/>
    <m/>
    <m/>
    <s v=""/>
    <s v=""/>
    <s v=""/>
    <s v=""/>
  </r>
  <r>
    <n v="1"/>
    <s v="SO18140"/>
    <m/>
    <x v="0"/>
    <x v="0"/>
    <m/>
    <s v="Ian Trottier"/>
    <n v="10"/>
    <n v="2025"/>
    <s v="INV13617"/>
    <n v="12"/>
    <n v="2025"/>
    <x v="4"/>
    <s v="Canadian Bearings Ltd."/>
    <s v="CAD"/>
    <n v="540.70000000000005"/>
    <n v="385.88726838068209"/>
    <x v="0"/>
    <n v="0"/>
    <n v="385.88726838068209"/>
    <m/>
    <x v="0"/>
    <m/>
    <m/>
    <s v=""/>
    <s v=""/>
    <s v=""/>
    <s v=""/>
    <s v=""/>
    <s v=""/>
    <s v=""/>
    <s v=""/>
    <s v="[AC-98-232-857-801] Shim Set, A-C PWO-C Group 1, Plastic"/>
    <m/>
    <m/>
    <m/>
    <m/>
    <m/>
    <s v=""/>
    <s v=""/>
    <s v=""/>
    <s v=""/>
  </r>
  <r>
    <n v="1"/>
    <s v="SO18142"/>
    <m/>
    <x v="0"/>
    <x v="0"/>
    <m/>
    <s v="Alexis Gil Lamadrid"/>
    <n v="10"/>
    <n v="2025"/>
    <s v="INV13601"/>
    <n v="12"/>
    <n v="2025"/>
    <x v="2"/>
    <s v="Motion Industries Inc. (Canada) - Prince George"/>
    <s v="CAD"/>
    <n v="5100.38"/>
    <n v="3647.7409562281537"/>
    <x v="0"/>
    <n v="0"/>
    <n v="3647.7409562281537"/>
    <m/>
    <x v="0"/>
    <m/>
    <m/>
    <s v=""/>
    <s v=""/>
    <s v=""/>
    <s v=""/>
    <s v=""/>
    <s v=""/>
    <s v=""/>
    <s v=""/>
    <s v="[W-U111-TEFKVSC-PIECE] Premium Slurry Packing (Single Piece), 20/18 U-AH, PTFE Lubricated Kevlar w/Silicon Core"/>
    <m/>
    <m/>
    <m/>
    <m/>
    <m/>
    <s v=""/>
    <s v=""/>
    <s v=""/>
    <s v=""/>
  </r>
  <r>
    <n v="1"/>
    <s v="SO18143"/>
    <m/>
    <x v="0"/>
    <x v="0"/>
    <m/>
    <s v="Alexis Gil Lamadrid"/>
    <n v="10"/>
    <n v="2025"/>
    <s v="INV13600"/>
    <n v="1"/>
    <n v="2026"/>
    <x v="4"/>
    <s v="Resolute Forest Products - Saint-Felicien"/>
    <s v="CAD"/>
    <n v="475.48"/>
    <n v="339.34099938902671"/>
    <x v="0"/>
    <n v="0"/>
    <n v="339.34099938902671"/>
    <m/>
    <x v="0"/>
    <m/>
    <m/>
    <s v=""/>
    <s v=""/>
    <s v=""/>
    <s v=""/>
    <s v=""/>
    <s v=""/>
    <s v=""/>
    <s v=""/>
    <s v="[AC-52-430-298-007] Seal Cage (Lantern Ring), Allis Chalmers PWO, Group 3"/>
    <m/>
    <m/>
    <m/>
    <m/>
    <m/>
    <s v=""/>
    <s v=""/>
    <s v=""/>
    <s v=""/>
  </r>
  <r>
    <n v="1"/>
    <s v="SO18145"/>
    <m/>
    <x v="0"/>
    <x v="0"/>
    <m/>
    <s v="Aleksandar Stankovic"/>
    <n v="10"/>
    <n v="2025"/>
    <s v="INV13607"/>
    <s v=""/>
    <s v=""/>
    <x v="4"/>
    <s v="Sealtrac Inc."/>
    <s v="CAD"/>
    <n v="795.76"/>
    <n v="569.11962311202603"/>
    <x v="1"/>
    <n v="0"/>
    <n v="0"/>
    <m/>
    <x v="0"/>
    <m/>
    <m/>
    <s v=""/>
    <s v=""/>
    <s v=""/>
    <s v=""/>
    <s v=""/>
    <s v=""/>
    <s v=""/>
    <s v=""/>
    <s v="[G-R104-733 2238] Shaft (Sleeve Type), 3196 MTX, 4140"/>
    <m/>
    <m/>
    <m/>
    <m/>
    <m/>
    <s v=""/>
    <s v=""/>
    <s v=""/>
    <s v=""/>
  </r>
  <r>
    <n v="0"/>
    <s v="SO18150"/>
    <m/>
    <x v="5"/>
    <x v="4"/>
    <m/>
    <s v="Wilka Nuñez"/>
    <n v="10"/>
    <n v="2025"/>
    <s v="No Inv"/>
    <s v=""/>
    <s v=""/>
    <x v="4"/>
    <s v="AGREGATEC, SRL"/>
    <s v="USD"/>
    <n v="11948.755029194663"/>
    <n v="846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51"/>
    <m/>
    <x v="0"/>
    <x v="0"/>
    <m/>
    <s v="Ian Trottier"/>
    <n v="10"/>
    <n v="2025"/>
    <s v="INV13614"/>
    <n v="12"/>
    <n v="2025"/>
    <x v="4"/>
    <s v="Sealtrac Inc."/>
    <s v="CAD"/>
    <n v="795.76"/>
    <n v="567.91872144740455"/>
    <x v="1"/>
    <n v="0"/>
    <n v="0"/>
    <m/>
    <x v="0"/>
    <m/>
    <m/>
    <s v=""/>
    <s v=""/>
    <s v=""/>
    <s v=""/>
    <s v=""/>
    <s v=""/>
    <s v=""/>
    <s v=""/>
    <s v="[G-76772X 2229] Shaft Sleeve, 3196 STX, 316SS"/>
    <m/>
    <m/>
    <m/>
    <m/>
    <m/>
    <s v=""/>
    <s v=""/>
    <s v=""/>
    <s v=""/>
  </r>
  <r>
    <n v="1"/>
    <s v="SO18152"/>
    <m/>
    <x v="0"/>
    <x v="0"/>
    <m/>
    <s v="Ian Trottier"/>
    <n v="10"/>
    <n v="2025"/>
    <s v="INV13599"/>
    <n v="1"/>
    <n v="2026"/>
    <x v="4"/>
    <s v="Resolute Forest Products - Kenogami"/>
    <s v="CAD"/>
    <n v="939.78"/>
    <n v="670.70304619714716"/>
    <x v="0"/>
    <n v="0"/>
    <n v="670.70304619714716"/>
    <m/>
    <x v="0"/>
    <m/>
    <m/>
    <s v=""/>
    <s v=""/>
    <s v=""/>
    <s v=""/>
    <s v=""/>
    <s v=""/>
    <s v=""/>
    <s v=""/>
    <s v="[AC-98-130-367-001] Shaft Sleeve, PWO Frame 2, 316SS"/>
    <m/>
    <m/>
    <m/>
    <m/>
    <m/>
    <s v=""/>
    <s v=""/>
    <s v=""/>
    <s v=""/>
  </r>
  <r>
    <n v="1"/>
    <s v="SO18153"/>
    <m/>
    <x v="0"/>
    <x v="0"/>
    <m/>
    <s v="Wilka Nuñez"/>
    <n v="11"/>
    <n v="2025"/>
    <s v="INV13675"/>
    <s v=""/>
    <s v=""/>
    <x v="4"/>
    <s v="Tencarva Machinery Company"/>
    <s v="USD"/>
    <n v="972.2591075437382"/>
    <n v="694"/>
    <x v="1"/>
    <n v="0"/>
    <n v="0"/>
    <m/>
    <x v="0"/>
    <m/>
    <m/>
    <s v=""/>
    <s v=""/>
    <s v=""/>
    <s v=""/>
    <s v=""/>
    <s v=""/>
    <s v=""/>
    <s v=""/>
    <s v="[W-E025] End Cover Shim Set, 6/4 or 8/6 E-AH"/>
    <m/>
    <m/>
    <m/>
    <m/>
    <m/>
    <s v=""/>
    <s v=""/>
    <s v=""/>
    <s v=""/>
  </r>
  <r>
    <n v="2"/>
    <s v="SO18154"/>
    <m/>
    <x v="0"/>
    <x v="0"/>
    <m/>
    <s v="Wilka Nuñez"/>
    <n v="11"/>
    <n v="2025"/>
    <s v="INV13816"/>
    <s v=""/>
    <s v=""/>
    <x v="4"/>
    <s v="Eleazar General &amp; Industrial Supplies Limited"/>
    <s v="USD"/>
    <n v="6240.4208195344245"/>
    <n v="4441.08"/>
    <x v="0"/>
    <n v="0"/>
    <n v="4441.08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2"/>
    <s v="SO18154"/>
    <m/>
    <x v="0"/>
    <x v="0"/>
    <m/>
    <n v="0"/>
    <n v="11"/>
    <n v="2025"/>
    <s v="INV13716"/>
    <s v=""/>
    <s v=""/>
    <x v="4"/>
    <s v="Eleazar General &amp; Industrial Supplies Limited"/>
    <s v="USD"/>
    <n v="0"/>
    <n v="0"/>
    <x v="1"/>
    <n v="0"/>
    <n v="0"/>
    <m/>
    <x v="0"/>
    <m/>
    <m/>
    <s v=""/>
    <s v=""/>
    <s v=""/>
    <s v=""/>
    <s v=""/>
    <s v=""/>
    <s v=""/>
    <s v=""/>
    <s v="[AC-98-331-932-501] Shaft Assembly, 5x4-14 SRL-C &amp; 5x5-14 SRL, 1045 Steel"/>
    <m/>
    <m/>
    <m/>
    <m/>
    <m/>
    <s v=""/>
    <s v=""/>
    <s v=""/>
    <s v=""/>
  </r>
  <r>
    <n v="1"/>
    <s v="SO18155"/>
    <m/>
    <x v="0"/>
    <x v="0"/>
    <m/>
    <s v="Wilka Nuñez"/>
    <n v="11"/>
    <n v="2025"/>
    <s v="INV13691"/>
    <s v=""/>
    <s v=""/>
    <x v="4"/>
    <s v="PT Vale Indonesia Tbk."/>
    <s v="USD"/>
    <n v="204.04727015398205"/>
    <n v="145.38"/>
    <x v="1"/>
    <n v="0"/>
    <n v="0"/>
    <m/>
    <x v="0"/>
    <m/>
    <m/>
    <s v=""/>
    <s v=""/>
    <s v=""/>
    <s v=""/>
    <s v=""/>
    <s v=""/>
    <s v=""/>
    <s v=""/>
    <s v="[G-67868-211-212 5108] Gasket Material (2 Piece Set), Armstrong Syntheseal N-8090, 16&quot; x 17 3/4&quot;"/>
    <m/>
    <m/>
    <m/>
    <m/>
    <m/>
    <s v=""/>
    <s v=""/>
    <s v=""/>
    <s v=""/>
  </r>
  <r>
    <n v="1"/>
    <s v="SO18156"/>
    <m/>
    <x v="0"/>
    <x v="0"/>
    <m/>
    <s v="Wilka Nuñez"/>
    <n v="11"/>
    <n v="2025"/>
    <s v="INV13692"/>
    <s v=""/>
    <s v=""/>
    <x v="4"/>
    <s v="PT Vale Indonesia Tbk."/>
    <s v="USD"/>
    <n v="2121.6256328942245"/>
    <n v="1511.62"/>
    <x v="1"/>
    <n v="0"/>
    <n v="0"/>
    <m/>
    <x v="0"/>
    <m/>
    <m/>
    <s v=""/>
    <s v=""/>
    <s v=""/>
    <s v=""/>
    <s v=""/>
    <s v=""/>
    <s v=""/>
    <s v=""/>
    <s v="[AC-98-236-104-002] Shaft Sleeve, 8x6-18 &amp; 10X8-21 SRL-C, 316SS"/>
    <m/>
    <m/>
    <m/>
    <m/>
    <m/>
    <s v=""/>
    <s v=""/>
    <s v=""/>
    <s v=""/>
  </r>
  <r>
    <n v="1"/>
    <s v="SO18158"/>
    <m/>
    <x v="0"/>
    <x v="0"/>
    <m/>
    <s v="Wilka Nuñez"/>
    <n v="11"/>
    <n v="2025"/>
    <s v="INV13705"/>
    <n v="12"/>
    <n v="2025"/>
    <x v="4"/>
    <s v="Sling-Choker Manufacturing - Timmins"/>
    <s v="CAD"/>
    <n v="156.61000000000001"/>
    <n v="111.90228921868423"/>
    <x v="0"/>
    <n v="0"/>
    <n v="111.90228921868423"/>
    <m/>
    <x v="0"/>
    <m/>
    <m/>
    <s v=""/>
    <s v=""/>
    <s v=""/>
    <s v=""/>
    <s v=""/>
    <s v=""/>
    <s v=""/>
    <s v=""/>
    <s v="[AC-98-233-815-001] Half Seal Cage, 5x4/5x5/6x6 SRL &amp; SRL-C, Steel"/>
    <m/>
    <m/>
    <m/>
    <m/>
    <m/>
    <s v=""/>
    <s v=""/>
    <s v=""/>
    <s v=""/>
  </r>
  <r>
    <n v="1"/>
    <s v="SO18159"/>
    <m/>
    <x v="0"/>
    <x v="0"/>
    <m/>
    <s v="Ian Trottier"/>
    <n v="11"/>
    <n v="2025"/>
    <s v="INV13775"/>
    <s v=""/>
    <s v=""/>
    <x v="4"/>
    <s v="Wesdome Gold Mines Ltd - Eagle River Mine"/>
    <s v="CAD"/>
    <n v="6680.57"/>
    <n v="4735.061023946665"/>
    <x v="1"/>
    <n v="0"/>
    <n v="0"/>
    <m/>
    <x v="0"/>
    <m/>
    <m/>
    <s v=""/>
    <s v=""/>
    <s v=""/>
    <s v=""/>
    <s v=""/>
    <s v=""/>
    <s v=""/>
    <s v=""/>
    <s v="[AC-98-331-958-823] Shaft Sleeve, 2x2-10 SRL, 420SS Heat Treated, Hardened"/>
    <m/>
    <m/>
    <m/>
    <m/>
    <m/>
    <s v=""/>
    <s v=""/>
    <s v=""/>
    <s v=""/>
  </r>
  <r>
    <n v="1"/>
    <s v="SO18160"/>
    <m/>
    <x v="0"/>
    <x v="0"/>
    <m/>
    <s v="Alexis Gil Lamadrid"/>
    <n v="11"/>
    <n v="2025"/>
    <s v="INV13623"/>
    <n v="12"/>
    <n v="2025"/>
    <x v="4"/>
    <s v="Flowstar Industrial Inc"/>
    <s v="CAD"/>
    <n v="581.66"/>
    <n v="412.26955112944216"/>
    <x v="0"/>
    <n v="0"/>
    <n v="412.26955112944216"/>
    <m/>
    <x v="0"/>
    <m/>
    <m/>
    <s v=""/>
    <s v=""/>
    <s v=""/>
    <s v=""/>
    <s v=""/>
    <s v=""/>
    <s v=""/>
    <s v=""/>
    <s v="[G-D04871A 1001] Thrust Bearing Housing, 3196 XLT, Cast Iron"/>
    <m/>
    <m/>
    <m/>
    <m/>
    <m/>
    <s v=""/>
    <s v=""/>
    <s v=""/>
    <s v=""/>
  </r>
  <r>
    <n v="1"/>
    <s v="SO18161"/>
    <m/>
    <x v="0"/>
    <x v="0"/>
    <m/>
    <s v="Ian Trottier"/>
    <n v="11"/>
    <n v="2025"/>
    <s v="INV13776"/>
    <s v=""/>
    <s v=""/>
    <x v="4"/>
    <s v="Wesdome Gold Mines Ltd - Eagle River Mine"/>
    <s v="CAD"/>
    <n v="17471.91"/>
    <n v="12383.757681590643"/>
    <x v="1"/>
    <n v="0"/>
    <n v="0"/>
    <m/>
    <x v="0"/>
    <m/>
    <m/>
    <s v=""/>
    <s v=""/>
    <s v=""/>
    <s v=""/>
    <s v=""/>
    <s v=""/>
    <s v=""/>
    <s v=""/>
    <s v="[AC-98-331-958-822] Shaft Sleeve, 3x3-10 SRL &amp; SRL-C, 420SS Heat Treated, Hardened"/>
    <m/>
    <m/>
    <m/>
    <m/>
    <m/>
    <s v=""/>
    <s v=""/>
    <s v=""/>
    <s v=""/>
  </r>
  <r>
    <n v="1"/>
    <s v="SO18163"/>
    <m/>
    <x v="0"/>
    <x v="0"/>
    <m/>
    <s v="Ian Trottier"/>
    <n v="11"/>
    <n v="2025"/>
    <s v="INV13604"/>
    <n v="1"/>
    <n v="2026"/>
    <x v="4"/>
    <s v="Resolute Forest Products - Saint-Felicien"/>
    <s v="CAD"/>
    <n v="7379.65"/>
    <n v="5272.9693418853394"/>
    <x v="0"/>
    <n v="0"/>
    <n v="5272.9693418853394"/>
    <m/>
    <x v="0"/>
    <m/>
    <m/>
    <s v=""/>
    <s v=""/>
    <s v=""/>
    <s v=""/>
    <s v=""/>
    <s v=""/>
    <s v=""/>
    <s v=""/>
    <s v="[AC-98-236-257-501] Packing Gland (2 Half/Set), Allis Chalmers PWO, Group 2, 316SS"/>
    <m/>
    <m/>
    <m/>
    <m/>
    <m/>
    <s v=""/>
    <s v=""/>
    <s v=""/>
    <s v=""/>
  </r>
  <r>
    <n v="1"/>
    <s v="SO18164"/>
    <m/>
    <x v="0"/>
    <x v="0"/>
    <m/>
    <s v="Yannett Yeomans"/>
    <n v="11"/>
    <n v="2025"/>
    <s v="INV13630"/>
    <s v=""/>
    <s v=""/>
    <x v="4"/>
    <s v="Dynapro Pumps México S de RL de CV"/>
    <s v="USD"/>
    <n v="9447.2566749652851"/>
    <n v="673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65"/>
    <m/>
    <x v="0"/>
    <x v="0"/>
    <m/>
    <s v="Aleksandar Stankovic"/>
    <n v="11"/>
    <n v="2025"/>
    <s v="INV13609"/>
    <n v="12"/>
    <n v="2025"/>
    <x v="4"/>
    <s v="Sealtrac Inc."/>
    <s v="CAD"/>
    <n v="429.76"/>
    <n v="305.17717437242476"/>
    <x v="0"/>
    <n v="0"/>
    <n v="305.17717437242476"/>
    <m/>
    <x v="0"/>
    <m/>
    <m/>
    <s v=""/>
    <s v=""/>
    <s v=""/>
    <s v=""/>
    <s v=""/>
    <s v=""/>
    <s v=""/>
    <s v=""/>
    <s v="[DU-AY38913AA-316] Shaft Sleeve, Durco Mark 2&amp;3 Group 2, 316SS"/>
    <m/>
    <m/>
    <m/>
    <m/>
    <m/>
    <s v=""/>
    <s v=""/>
    <s v=""/>
    <s v=""/>
  </r>
  <r>
    <n v="1"/>
    <s v="SO18167"/>
    <m/>
    <x v="0"/>
    <x v="0"/>
    <m/>
    <s v="Wilka Nuñez"/>
    <n v="11"/>
    <n v="2025"/>
    <s v="INV13629"/>
    <n v="1"/>
    <n v="2026"/>
    <x v="4"/>
    <s v="Wajax Limited - Noranda"/>
    <s v="CAD"/>
    <n v="2627.35"/>
    <n v="1866.5911457000318"/>
    <x v="1"/>
    <n v="0"/>
    <n v="0"/>
    <m/>
    <x v="0"/>
    <m/>
    <m/>
    <s v=""/>
    <s v=""/>
    <s v=""/>
    <s v=""/>
    <s v=""/>
    <s v=""/>
    <s v=""/>
    <s v=""/>
    <s v="[W-D3110/A05] Volute Liner, 4/3 C or D-AH, High Chrome"/>
    <m/>
    <m/>
    <m/>
    <m/>
    <m/>
    <s v=""/>
    <s v=""/>
    <s v=""/>
    <s v=""/>
  </r>
  <r>
    <n v="1"/>
    <s v="SO18170"/>
    <m/>
    <x v="0"/>
    <x v="0"/>
    <m/>
    <s v="Wilka Nuñez"/>
    <n v="11"/>
    <n v="2025"/>
    <s v="INV13706"/>
    <n v="12"/>
    <n v="2025"/>
    <x v="4"/>
    <s v="Sling-Choker Manufacturing - Timmins"/>
    <s v="CAD"/>
    <n v="2246.04"/>
    <n v="1594.9370363166436"/>
    <x v="0"/>
    <n v="0"/>
    <n v="1594.9370363166436"/>
    <m/>
    <x v="0"/>
    <m/>
    <m/>
    <s v=""/>
    <s v=""/>
    <s v=""/>
    <s v=""/>
    <s v=""/>
    <s v=""/>
    <s v=""/>
    <s v=""/>
    <s v="[AC-98-231-115-501] Suction Side Liner, 5x4-14 SRL-C, Natural Rubber"/>
    <m/>
    <m/>
    <m/>
    <m/>
    <m/>
    <s v=""/>
    <s v=""/>
    <s v=""/>
    <s v=""/>
  </r>
  <r>
    <n v="1"/>
    <s v="SO18172"/>
    <m/>
    <x v="0"/>
    <x v="0"/>
    <m/>
    <s v="Alexis Gil Lamadrid"/>
    <n v="11"/>
    <n v="2025"/>
    <s v="INV13610"/>
    <n v="12"/>
    <n v="2025"/>
    <x v="4"/>
    <s v="Wajax Limited - Lachine"/>
    <s v="CAD"/>
    <n v="947.91"/>
    <n v="673.12103350559642"/>
    <x v="0"/>
    <n v="0"/>
    <n v="673.12103350559642"/>
    <m/>
    <x v="0"/>
    <m/>
    <m/>
    <s v=""/>
    <s v=""/>
    <s v=""/>
    <s v=""/>
    <s v=""/>
    <s v=""/>
    <s v=""/>
    <s v=""/>
    <s v="[W-S239M/C21] Release Collar Assembly, 10/8 to 14/12 ST-AH, 420SS, Metric"/>
    <m/>
    <m/>
    <m/>
    <m/>
    <m/>
    <s v=""/>
    <s v=""/>
    <s v=""/>
    <s v=""/>
  </r>
  <r>
    <n v="0"/>
    <s v="SO18173"/>
    <m/>
    <x v="0"/>
    <x v="0"/>
    <m/>
    <s v="Ian Trottier"/>
    <n v="11"/>
    <n v="2025"/>
    <s v="No Inv"/>
    <s v=""/>
    <s v=""/>
    <x v="4"/>
    <s v="Sealtrac Inc."/>
    <s v="CAD"/>
    <n v="12256.92"/>
    <n v="8749.007763465289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175"/>
    <m/>
    <x v="0"/>
    <x v="0"/>
    <m/>
    <s v="Wilka Nuñez"/>
    <n v="11"/>
    <n v="2025"/>
    <s v="No Inv"/>
    <s v=""/>
    <s v=""/>
    <x v="4"/>
    <s v="Flowstar Industrial Inc"/>
    <s v="CAD"/>
    <n v="778"/>
    <n v="552.7272389878108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176"/>
    <m/>
    <x v="2"/>
    <x v="0"/>
    <m/>
    <s v="Marlen Martinez"/>
    <n v="11"/>
    <n v="2025"/>
    <s v="INV13677"/>
    <s v=""/>
    <s v=""/>
    <x v="4"/>
    <s v="Covia Corp - Junction City"/>
    <s v="USD"/>
    <n v="5656.4863502806011"/>
    <n v="4009.21"/>
    <x v="1"/>
    <n v="65"/>
    <n v="0"/>
    <m/>
    <x v="0"/>
    <m/>
    <m/>
    <s v=""/>
    <s v=""/>
    <s v=""/>
    <s v=""/>
    <s v=""/>
    <s v=""/>
    <s v=""/>
    <s v=""/>
    <s v="[W-S30122/S01] Seal Ring, 300 RSL, EPDM Rubber"/>
    <m/>
    <m/>
    <m/>
    <m/>
    <m/>
    <s v=""/>
    <s v=""/>
    <s v=""/>
    <s v=""/>
  </r>
  <r>
    <n v="2"/>
    <s v="SO18176"/>
    <m/>
    <x v="2"/>
    <x v="0"/>
    <m/>
    <n v="0"/>
    <n v="11"/>
    <n v="2025"/>
    <s v="INV13840"/>
    <s v=""/>
    <s v=""/>
    <x v="4"/>
    <s v="Covia Corp - Junction City"/>
    <s v="USD"/>
    <n v="0"/>
    <n v="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79"/>
    <m/>
    <x v="0"/>
    <x v="0"/>
    <m/>
    <s v="Ian Trottier"/>
    <n v="11"/>
    <n v="2025"/>
    <s v="INV13732"/>
    <s v=""/>
    <s v=""/>
    <x v="4"/>
    <s v="Resolute Forest Products - Clermont"/>
    <s v="CAD"/>
    <n v="1135.32"/>
    <n v="812.34449859888105"/>
    <x v="1"/>
    <n v="0"/>
    <n v="0"/>
    <m/>
    <x v="0"/>
    <m/>
    <m/>
    <s v=""/>
    <s v=""/>
    <s v=""/>
    <s v=""/>
    <s v=""/>
    <s v=""/>
    <s v=""/>
    <s v=""/>
    <s v="[G-262-93 1013] Frame Adapter, 10&quot;, 3196 MTX/LTX, Ductile Iron"/>
    <m/>
    <m/>
    <m/>
    <m/>
    <m/>
    <s v=""/>
    <s v=""/>
    <s v=""/>
    <s v=""/>
  </r>
  <r>
    <n v="2"/>
    <s v="SO18180"/>
    <m/>
    <x v="4"/>
    <x v="0"/>
    <m/>
    <s v="Alexis Gil Lamadrid"/>
    <n v="11"/>
    <n v="2025"/>
    <s v="INV13694"/>
    <n v="11"/>
    <n v="2025"/>
    <x v="2"/>
    <s v="Diamond Equipment Group Inc"/>
    <s v="CAD"/>
    <n v="32414.15"/>
    <n v="23158.831252169068"/>
    <x v="0"/>
    <n v="0"/>
    <n v="23158.831252169068"/>
    <m/>
    <x v="2"/>
    <m/>
    <m/>
    <s v=""/>
    <n v="0.02"/>
    <s v=""/>
    <s v=""/>
    <s v=""/>
    <n v="463.17662504338136"/>
    <s v=""/>
    <s v=""/>
    <s v="[AC-98-231-120-501] Suction Side Liner, 8x6-18 SRL-C, Natural Rubber"/>
    <m/>
    <m/>
    <m/>
    <m/>
    <m/>
    <s v=""/>
    <n v="463.17662504338136"/>
    <s v=""/>
    <s v=""/>
  </r>
  <r>
    <n v="2"/>
    <s v="SO18180"/>
    <m/>
    <x v="4"/>
    <x v="0"/>
    <m/>
    <n v="0"/>
    <n v="11"/>
    <n v="2025"/>
    <s v="INV13662"/>
    <s v=""/>
    <s v=""/>
    <x v="2"/>
    <s v="Diamond Equipment Group Inc"/>
    <s v="CAD"/>
    <n v="0"/>
    <n v="0"/>
    <x v="1"/>
    <n v="0"/>
    <n v="0"/>
    <m/>
    <x v="2"/>
    <m/>
    <m/>
    <s v=""/>
    <n v="0.02"/>
    <s v=""/>
    <s v=""/>
    <s v=""/>
    <n v="0"/>
    <s v=""/>
    <s v=""/>
    <s v="Down payment of 100.0%"/>
    <m/>
    <m/>
    <m/>
    <m/>
    <m/>
    <s v=""/>
    <n v="0"/>
    <s v=""/>
    <s v=""/>
  </r>
  <r>
    <n v="1"/>
    <s v="SO18181"/>
    <m/>
    <x v="5"/>
    <x v="0"/>
    <m/>
    <s v="Wilka Nuñez"/>
    <n v="11"/>
    <n v="2025"/>
    <s v="INV13645"/>
    <s v=""/>
    <s v=""/>
    <x v="4"/>
    <s v="Barrick Gold - Pueblo Viejo Dominicana Corporation"/>
    <s v="USD"/>
    <n v="32327.13685484487"/>
    <n v="23086.81"/>
    <x v="1"/>
    <n v="0"/>
    <n v="0"/>
    <m/>
    <x v="3"/>
    <m/>
    <m/>
    <s v=""/>
    <n v="0"/>
    <s v=""/>
    <s v=""/>
    <s v=""/>
    <n v="0"/>
    <s v=""/>
    <s v=""/>
    <s v="[W-SP15092/A05] Casing w/Flange, 150SV-SP, High Chrome"/>
    <m/>
    <m/>
    <m/>
    <m/>
    <m/>
    <s v=""/>
    <n v="0"/>
    <s v=""/>
    <s v=""/>
  </r>
  <r>
    <n v="1"/>
    <s v="SO18184"/>
    <m/>
    <x v="0"/>
    <x v="0"/>
    <m/>
    <s v="Ian Trottier"/>
    <n v="11"/>
    <n v="2025"/>
    <s v="INV13627"/>
    <n v="12"/>
    <n v="2025"/>
    <x v="4"/>
    <s v="Les Pompes du St-Laurent Inc."/>
    <s v="CAD"/>
    <n v="3385.4"/>
    <n v="2418.9643695864474"/>
    <x v="0"/>
    <n v="0"/>
    <n v="2418.9643695864474"/>
    <m/>
    <x v="0"/>
    <m/>
    <m/>
    <s v=""/>
    <s v=""/>
    <s v=""/>
    <s v=""/>
    <s v=""/>
    <s v=""/>
    <s v=""/>
    <s v=""/>
    <s v="[G-262-93 1013] Frame Adapter, 10&quot;, 3196 MTX/LTX, Ductile Iron"/>
    <m/>
    <m/>
    <m/>
    <m/>
    <m/>
    <s v=""/>
    <s v=""/>
    <s v=""/>
    <s v=""/>
  </r>
  <r>
    <n v="1"/>
    <s v="SO18186"/>
    <m/>
    <x v="0"/>
    <x v="0"/>
    <m/>
    <s v="Aleksandar Stankovic"/>
    <n v="11"/>
    <n v="2025"/>
    <s v="INV13639"/>
    <n v="12"/>
    <n v="2025"/>
    <x v="4"/>
    <s v="FMI Products"/>
    <s v="CAD"/>
    <n v="987.3"/>
    <n v="704.73621145192101"/>
    <x v="0"/>
    <n v="0"/>
    <n v="704.73621145192101"/>
    <m/>
    <x v="0"/>
    <m/>
    <m/>
    <s v=""/>
    <s v=""/>
    <s v=""/>
    <s v=""/>
    <s v=""/>
    <s v=""/>
    <s v=""/>
    <s v=""/>
    <s v="[G-RD04540AA 1001] Bearing Frame, 3196 MTX, Cast Iron, Includes Sight Glass and Plugs"/>
    <m/>
    <m/>
    <m/>
    <m/>
    <m/>
    <s v=""/>
    <s v=""/>
    <s v=""/>
    <s v=""/>
  </r>
  <r>
    <n v="1"/>
    <s v="SO18187"/>
    <m/>
    <x v="0"/>
    <x v="0"/>
    <m/>
    <s v="Ian Trottier"/>
    <n v="11"/>
    <n v="2025"/>
    <s v="INV13619"/>
    <n v="12"/>
    <n v="2025"/>
    <x v="4"/>
    <s v="Sealtrac Inc."/>
    <s v="CAD"/>
    <n v="292.98"/>
    <n v="209.34252407438927"/>
    <x v="0"/>
    <n v="0"/>
    <n v="209.34252407438927"/>
    <m/>
    <x v="0"/>
    <m/>
    <m/>
    <s v=""/>
    <s v=""/>
    <s v=""/>
    <s v=""/>
    <s v=""/>
    <s v=""/>
    <s v=""/>
    <s v=""/>
    <s v="[DU-MY50798A62-CD4] Impeller, 1.5x1-62, Durco Mark 3 Group 1, CD4MCu, Reverse Vane"/>
    <m/>
    <m/>
    <m/>
    <m/>
    <m/>
    <s v=""/>
    <s v=""/>
    <s v=""/>
    <s v=""/>
  </r>
  <r>
    <n v="1"/>
    <s v="SO18188"/>
    <m/>
    <x v="0"/>
    <x v="0"/>
    <m/>
    <s v="Wilka Nuñez"/>
    <n v="11"/>
    <n v="2025"/>
    <s v="INV13689"/>
    <s v=""/>
    <s v=""/>
    <x v="4"/>
    <s v="MAB Equipment Company Inc."/>
    <s v="USD"/>
    <n v="6027.2988525991568"/>
    <n v="4296.12"/>
    <x v="1"/>
    <n v="704"/>
    <n v="0"/>
    <m/>
    <x v="0"/>
    <m/>
    <m/>
    <s v=""/>
    <s v=""/>
    <s v=""/>
    <s v=""/>
    <s v=""/>
    <s v=""/>
    <s v=""/>
    <s v=""/>
    <s v="[504889] Impeller, 8x6, Denver SRL, Natural Rubber"/>
    <m/>
    <m/>
    <m/>
    <m/>
    <m/>
    <s v=""/>
    <s v=""/>
    <s v=""/>
    <s v=""/>
  </r>
  <r>
    <n v="1"/>
    <s v="SO18189"/>
    <m/>
    <x v="0"/>
    <x v="0"/>
    <m/>
    <s v="Amanda Qiao"/>
    <n v="11"/>
    <n v="2025"/>
    <s v="INV13637"/>
    <s v=""/>
    <s v=""/>
    <x v="4"/>
    <s v="Mill-Right Mine Services Inc."/>
    <s v="CAD"/>
    <n v="1642.24"/>
    <n v="1170.459123806987"/>
    <x v="1"/>
    <n v="0"/>
    <n v="0"/>
    <m/>
    <x v="0"/>
    <m/>
    <m/>
    <s v=""/>
    <s v=""/>
    <s v=""/>
    <s v=""/>
    <s v=""/>
    <s v=""/>
    <s v=""/>
    <s v=""/>
    <s v="[G-D02451A 1012] Casing, 2x3-13, 3196 MTX, Ductile Iron"/>
    <m/>
    <m/>
    <m/>
    <m/>
    <m/>
    <s v=""/>
    <s v=""/>
    <s v=""/>
    <s v=""/>
  </r>
  <r>
    <n v="1"/>
    <s v="SO18191"/>
    <m/>
    <x v="0"/>
    <x v="0"/>
    <m/>
    <s v="Amanda Qiao"/>
    <n v="11"/>
    <n v="2025"/>
    <s v="INV13757"/>
    <s v=""/>
    <s v=""/>
    <x v="4"/>
    <s v="Zijin Mining - Rosebel Goldmines N.V."/>
    <s v="USD"/>
    <n v="150.38744770851224"/>
    <n v="107.08"/>
    <x v="1"/>
    <n v="0"/>
    <n v="0"/>
    <m/>
    <x v="0"/>
    <m/>
    <m/>
    <s v=""/>
    <s v=""/>
    <s v=""/>
    <s v=""/>
    <s v=""/>
    <s v=""/>
    <s v=""/>
    <s v=""/>
    <s v="[DU-SA3210AA00-TFR] Impeller Gasket, Durco Mark 2&amp;3 Group 2, Teflon/Rubber"/>
    <m/>
    <m/>
    <m/>
    <m/>
    <m/>
    <s v=""/>
    <s v=""/>
    <s v=""/>
    <s v=""/>
  </r>
  <r>
    <n v="0"/>
    <s v="SO18192"/>
    <m/>
    <x v="0"/>
    <x v="0"/>
    <m/>
    <s v="Ian Trottier"/>
    <n v="11"/>
    <n v="2025"/>
    <s v="No Inv"/>
    <s v=""/>
    <s v=""/>
    <x v="4"/>
    <s v="Resolute Forest Products - Saint-Felicien"/>
    <s v="CAD"/>
    <n v="11413.29"/>
    <n v="8154.415807357856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198"/>
    <m/>
    <x v="0"/>
    <x v="0"/>
    <m/>
    <s v="Ian Trottier"/>
    <n v="11"/>
    <n v="2025"/>
    <s v="No Inv"/>
    <s v=""/>
    <s v=""/>
    <x v="0"/>
    <s v="Maham LLC"/>
    <s v="USD"/>
    <n v="3857.2249402221164"/>
    <n v="2788.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199"/>
    <m/>
    <x v="0"/>
    <x v="0"/>
    <m/>
    <s v="Ian Trottier"/>
    <n v="11"/>
    <n v="2025"/>
    <s v="INV13620"/>
    <n v="12"/>
    <n v="2025"/>
    <x v="4"/>
    <s v="Sealtrac Inc."/>
    <s v="CAD"/>
    <n v="209.18"/>
    <n v="149.08700282415813"/>
    <x v="0"/>
    <n v="0"/>
    <n v="149.08700282415813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8200"/>
    <m/>
    <x v="2"/>
    <x v="0"/>
    <m/>
    <s v="Marlen Martinez"/>
    <n v="11"/>
    <n v="2025"/>
    <s v="INV13676"/>
    <s v=""/>
    <s v=""/>
    <x v="4"/>
    <s v="Covia Corp - Junction City"/>
    <s v="USD"/>
    <n v="547.70355675537553"/>
    <n v="389.98"/>
    <x v="1"/>
    <n v="25"/>
    <n v="0"/>
    <m/>
    <x v="0"/>
    <m/>
    <m/>
    <s v=""/>
    <s v=""/>
    <s v=""/>
    <s v=""/>
    <s v=""/>
    <s v=""/>
    <s v=""/>
    <s v=""/>
    <s v="[W-R067/C02] Neck Ring, 300 RSL, Ni-Resist"/>
    <m/>
    <m/>
    <m/>
    <m/>
    <m/>
    <s v=""/>
    <s v=""/>
    <s v=""/>
    <s v=""/>
  </r>
  <r>
    <n v="2"/>
    <s v="SO18204"/>
    <m/>
    <x v="4"/>
    <x v="0"/>
    <m/>
    <s v="Alexis Gil Lamadrid"/>
    <n v="11"/>
    <n v="2025"/>
    <s v="INV13695"/>
    <n v="11"/>
    <n v="2025"/>
    <x v="2"/>
    <s v="Diamond Equipment Group Inc"/>
    <s v="CAD"/>
    <n v="6146.54"/>
    <n v="4391.4982390316336"/>
    <x v="0"/>
    <n v="0"/>
    <n v="4391.4982390316336"/>
    <m/>
    <x v="2"/>
    <m/>
    <m/>
    <s v=""/>
    <n v="0.02"/>
    <s v=""/>
    <s v=""/>
    <s v=""/>
    <n v="87.829964780632679"/>
    <s v=""/>
    <s v=""/>
    <s v="[AC-98-231-081-501] Suction Side Liner, 5x5-14 SRL, Natural Rubber"/>
    <m/>
    <m/>
    <m/>
    <m/>
    <m/>
    <s v=""/>
    <n v="87.829964780632679"/>
    <s v=""/>
    <s v=""/>
  </r>
  <r>
    <n v="2"/>
    <s v="SO18204"/>
    <m/>
    <x v="4"/>
    <x v="0"/>
    <m/>
    <n v="0"/>
    <n v="11"/>
    <n v="2025"/>
    <s v="INV13663"/>
    <s v=""/>
    <s v=""/>
    <x v="2"/>
    <s v="Diamond Equipment Group Inc"/>
    <s v="CAD"/>
    <n v="0"/>
    <n v="0"/>
    <x v="1"/>
    <n v="0"/>
    <n v="0"/>
    <m/>
    <x v="2"/>
    <m/>
    <m/>
    <s v=""/>
    <n v="0.02"/>
    <s v=""/>
    <s v=""/>
    <s v=""/>
    <n v="0"/>
    <s v=""/>
    <s v=""/>
    <s v="Down payment of 100.0%"/>
    <m/>
    <m/>
    <m/>
    <m/>
    <m/>
    <s v=""/>
    <n v="0"/>
    <s v=""/>
    <s v=""/>
  </r>
  <r>
    <n v="1"/>
    <s v="SO18206"/>
    <m/>
    <x v="0"/>
    <x v="0"/>
    <m/>
    <s v="Ian Trottier"/>
    <n v="11"/>
    <n v="2025"/>
    <s v="INV13658"/>
    <n v="1"/>
    <n v="2026"/>
    <x v="4"/>
    <s v="Wajax Limited - Lachine"/>
    <s v="CAD"/>
    <n v="2952.22"/>
    <n v="2104.1095299624062"/>
    <x v="0"/>
    <n v="0"/>
    <n v="2104.1095299624062"/>
    <m/>
    <x v="0"/>
    <m/>
    <m/>
    <s v=""/>
    <s v=""/>
    <s v=""/>
    <s v=""/>
    <s v=""/>
    <s v=""/>
    <s v=""/>
    <s v=""/>
    <s v="[AC-98-231-134-501] Suction Side Liner, 10x8-21 SRL-C, Natural Rubber"/>
    <m/>
    <m/>
    <m/>
    <m/>
    <m/>
    <s v=""/>
    <s v=""/>
    <s v=""/>
    <s v=""/>
  </r>
  <r>
    <n v="1"/>
    <s v="SO18209"/>
    <m/>
    <x v="0"/>
    <x v="0"/>
    <m/>
    <s v="Ian Trottier"/>
    <n v="11"/>
    <n v="2025"/>
    <s v="INV13648"/>
    <n v="12"/>
    <n v="2025"/>
    <x v="4"/>
    <s v="Gibraltar Mine (Canada)"/>
    <s v="CAD"/>
    <n v="2147.04"/>
    <n v="1532.5603519049257"/>
    <x v="0"/>
    <n v="0"/>
    <n v="1532.5603519049257"/>
    <m/>
    <x v="0"/>
    <m/>
    <m/>
    <s v=""/>
    <s v=""/>
    <s v=""/>
    <s v=""/>
    <s v=""/>
    <s v=""/>
    <s v=""/>
    <s v=""/>
    <s v="[AC-98-231-123-501] Gland Side Liner, 8x6-18 SRL-C, Natural Rubber"/>
    <m/>
    <m/>
    <m/>
    <m/>
    <m/>
    <s v=""/>
    <s v=""/>
    <s v=""/>
    <s v=""/>
  </r>
  <r>
    <n v="1"/>
    <s v="SO18210"/>
    <m/>
    <x v="0"/>
    <x v="0"/>
    <m/>
    <s v="Ian Trottier"/>
    <n v="11"/>
    <n v="2025"/>
    <s v="INV13652"/>
    <n v="12"/>
    <n v="2025"/>
    <x v="4"/>
    <s v="Sealtrac Inc."/>
    <s v="CAD"/>
    <n v="365.39"/>
    <n v="260.81592656985458"/>
    <x v="0"/>
    <n v="0"/>
    <n v="260.81592656985458"/>
    <m/>
    <x v="0"/>
    <m/>
    <m/>
    <s v=""/>
    <s v=""/>
    <s v=""/>
    <s v=""/>
    <s v=""/>
    <s v=""/>
    <s v=""/>
    <s v=""/>
    <s v="[G-R104-733 2238] Shaft (Sleeve Type), 3196 MTX, 4140"/>
    <m/>
    <m/>
    <m/>
    <m/>
    <m/>
    <s v=""/>
    <s v=""/>
    <s v=""/>
    <s v=""/>
  </r>
  <r>
    <n v="1"/>
    <s v="SO18211"/>
    <m/>
    <x v="0"/>
    <x v="0"/>
    <m/>
    <s v="Ian Trottier"/>
    <n v="11"/>
    <n v="2025"/>
    <s v="INV13638"/>
    <s v=""/>
    <s v=""/>
    <x v="4"/>
    <s v="Resolute Forest Products - Saint-Felicien"/>
    <s v="CAD"/>
    <n v="347.78"/>
    <n v="248.24588232426734"/>
    <x v="1"/>
    <n v="0"/>
    <n v="0"/>
    <m/>
    <x v="0"/>
    <m/>
    <m/>
    <s v=""/>
    <s v=""/>
    <s v=""/>
    <s v=""/>
    <s v=""/>
    <s v=""/>
    <s v=""/>
    <s v=""/>
    <s v="[OLPWZ011009B, G-A04951A222] Bearing Isolator (Inboard), 3196 XLT/XLTi, 303SS Rotor / Bronze Stator w/Viton"/>
    <m/>
    <m/>
    <m/>
    <m/>
    <m/>
    <s v=""/>
    <s v=""/>
    <s v=""/>
    <s v=""/>
  </r>
  <r>
    <n v="1"/>
    <s v="SO18212"/>
    <m/>
    <x v="0"/>
    <x v="0"/>
    <m/>
    <s v="Amanda Qiao"/>
    <n v="11"/>
    <n v="2025"/>
    <s v="INV13640"/>
    <s v=""/>
    <s v=""/>
    <x v="4"/>
    <s v="Dynapro Pumps"/>
    <s v="USD"/>
    <n v="5205.7107923443982"/>
    <n v="3710.2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13"/>
    <m/>
    <x v="0"/>
    <x v="0"/>
    <m/>
    <s v="Amanda Qiao"/>
    <n v="11"/>
    <n v="2025"/>
    <s v="INV13731"/>
    <s v=""/>
    <s v=""/>
    <x v="4"/>
    <s v="Dynapro Pumps"/>
    <s v="USD"/>
    <n v="4373.8286050937786"/>
    <n v="3117.3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14"/>
    <m/>
    <x v="0"/>
    <x v="0"/>
    <m/>
    <s v="Ian Trottier"/>
    <n v="11"/>
    <n v="2025"/>
    <s v="INV13708"/>
    <s v=""/>
    <s v=""/>
    <x v="4"/>
    <s v="Gibraltar Mine (Canada)"/>
    <s v="CAD"/>
    <n v="927.1"/>
    <n v="656.69046810155589"/>
    <x v="1"/>
    <n v="0"/>
    <n v="0"/>
    <m/>
    <x v="0"/>
    <m/>
    <m/>
    <s v=""/>
    <s v=""/>
    <s v=""/>
    <s v=""/>
    <s v=""/>
    <s v=""/>
    <s v=""/>
    <s v=""/>
    <s v="[AC-98-432-037-001] Bearing Cylinder Strap (Set of 2), 8x6/10x8 SRL-C, Cast Iron"/>
    <m/>
    <m/>
    <m/>
    <m/>
    <m/>
    <s v=""/>
    <s v=""/>
    <s v=""/>
    <s v=""/>
  </r>
  <r>
    <n v="1"/>
    <s v="SO18221"/>
    <m/>
    <x v="0"/>
    <x v="0"/>
    <m/>
    <s v="Ian Trottier"/>
    <n v="11"/>
    <n v="2025"/>
    <s v="INV13656"/>
    <s v=""/>
    <s v=""/>
    <x v="4"/>
    <s v="Resolute Forest Products - Clermont"/>
    <s v="CAD"/>
    <n v="348.15"/>
    <n v="248.24880156572792"/>
    <x v="1"/>
    <n v="0"/>
    <n v="0"/>
    <m/>
    <x v="0"/>
    <m/>
    <m/>
    <s v=""/>
    <s v=""/>
    <s v=""/>
    <s v=""/>
    <s v=""/>
    <s v=""/>
    <s v=""/>
    <s v=""/>
    <s v="[G-91967X 2229] Shaft Sleeve, 3196 LTX, 316SS"/>
    <m/>
    <m/>
    <m/>
    <m/>
    <m/>
    <s v=""/>
    <s v=""/>
    <s v=""/>
    <s v=""/>
  </r>
  <r>
    <n v="1"/>
    <s v="SO18222"/>
    <m/>
    <x v="0"/>
    <x v="0"/>
    <m/>
    <s v="Amanda Qiao"/>
    <n v="11"/>
    <n v="2025"/>
    <s v="INV13653"/>
    <n v="12"/>
    <n v="2025"/>
    <x v="4"/>
    <s v="Glencore Canada Corporation - Rouyn-Noranda"/>
    <s v="CAD"/>
    <n v="730.68"/>
    <n v="521.82382889475821"/>
    <x v="0"/>
    <n v="0"/>
    <n v="521.82382889475821"/>
    <m/>
    <x v="0"/>
    <m/>
    <m/>
    <s v=""/>
    <s v=""/>
    <s v=""/>
    <s v=""/>
    <s v=""/>
    <s v=""/>
    <s v=""/>
    <s v=""/>
    <s v="[AC-98-233-993-001] Water Seal Bushing, 3x3-10 SRL-C, Cast Iron"/>
    <m/>
    <m/>
    <m/>
    <m/>
    <m/>
    <s v=""/>
    <s v=""/>
    <s v=""/>
    <s v=""/>
  </r>
  <r>
    <n v="1"/>
    <s v="SO18223"/>
    <m/>
    <x v="0"/>
    <x v="0"/>
    <m/>
    <s v="Ian Trottier"/>
    <n v="11"/>
    <n v="2025"/>
    <s v="INV13650"/>
    <s v=""/>
    <s v=""/>
    <x v="4"/>
    <s v="Glencore Canada Corporation - Rouyn-Noranda"/>
    <s v="CAD"/>
    <n v="2867.55"/>
    <n v="2047.8950026648658"/>
    <x v="1"/>
    <n v="0"/>
    <n v="0"/>
    <m/>
    <x v="0"/>
    <m/>
    <m/>
    <s v=""/>
    <s v=""/>
    <s v=""/>
    <s v=""/>
    <s v=""/>
    <s v=""/>
    <s v=""/>
    <s v=""/>
    <s v="[AC-98-331-958-804] Shaft Sleeve, 3x3-10 SRL, Steel"/>
    <m/>
    <m/>
    <m/>
    <m/>
    <m/>
    <s v=""/>
    <s v=""/>
    <s v=""/>
    <s v=""/>
  </r>
  <r>
    <n v="1"/>
    <s v="SO18224"/>
    <m/>
    <x v="0"/>
    <x v="0"/>
    <m/>
    <s v="Amanda Qiao"/>
    <n v="11"/>
    <n v="2025"/>
    <s v="INV13649"/>
    <s v=""/>
    <s v=""/>
    <x v="4"/>
    <s v="Glencore Canada Corporation - Rouyn-Noranda"/>
    <s v="CAD"/>
    <n v="109.66"/>
    <n v="78.314995725350613"/>
    <x v="1"/>
    <n v="0"/>
    <n v="0"/>
    <m/>
    <x v="0"/>
    <m/>
    <m/>
    <s v=""/>
    <s v=""/>
    <s v=""/>
    <s v=""/>
    <s v=""/>
    <s v=""/>
    <s v=""/>
    <s v=""/>
    <s v="[AC-98-236-245-002] Premium Slurry Packing (5 Piece Set), 3x3-10 SRL and SRL-C, Kevlar Fiber w/Silicon Core"/>
    <m/>
    <m/>
    <m/>
    <m/>
    <m/>
    <s v=""/>
    <s v=""/>
    <s v=""/>
    <s v=""/>
  </r>
  <r>
    <n v="1"/>
    <s v="SO18225"/>
    <m/>
    <x v="0"/>
    <x v="0"/>
    <m/>
    <s v="Ian Trottier"/>
    <n v="11"/>
    <n v="2025"/>
    <s v="INV13651"/>
    <s v=""/>
    <s v=""/>
    <x v="4"/>
    <s v="Glencore Canada Corporation - Rouyn-Noranda"/>
    <s v="CAD"/>
    <n v="721.12"/>
    <n v="514.99644097633438"/>
    <x v="1"/>
    <n v="0"/>
    <n v="0"/>
    <m/>
    <x v="0"/>
    <m/>
    <m/>
    <s v=""/>
    <s v=""/>
    <s v=""/>
    <s v=""/>
    <s v=""/>
    <s v=""/>
    <s v=""/>
    <s v=""/>
    <s v="[AC-98-330-286-501] Impeller (Open), 3x3-10 SRL, Natural Rubber"/>
    <m/>
    <m/>
    <m/>
    <m/>
    <m/>
    <s v=""/>
    <s v=""/>
    <s v=""/>
    <s v=""/>
  </r>
  <r>
    <n v="1"/>
    <s v="SO18226"/>
    <m/>
    <x v="0"/>
    <x v="0"/>
    <m/>
    <s v="Aleksandar Stankovic"/>
    <n v="11"/>
    <n v="2025"/>
    <s v="INV13721"/>
    <n v="12"/>
    <n v="2025"/>
    <x v="4"/>
    <s v="FMI Products"/>
    <s v="CAD"/>
    <n v="1043"/>
    <n v="745.51826354804894"/>
    <x v="0"/>
    <n v="0"/>
    <n v="745.51826354804894"/>
    <m/>
    <x v="0"/>
    <m/>
    <m/>
    <s v=""/>
    <s v=""/>
    <s v=""/>
    <s v=""/>
    <s v=""/>
    <s v=""/>
    <s v=""/>
    <s v=""/>
    <s v="[AC-98-331-936-801] Bearing Cover (Inboard), 8x6-18 &amp; 10x8-21 SRL-C, Cast Iron"/>
    <m/>
    <m/>
    <m/>
    <m/>
    <m/>
    <s v=""/>
    <s v=""/>
    <s v=""/>
    <s v=""/>
  </r>
  <r>
    <n v="1"/>
    <s v="SO18227"/>
    <m/>
    <x v="0"/>
    <x v="0"/>
    <m/>
    <s v="Wilka Nuñez"/>
    <n v="11"/>
    <n v="2025"/>
    <s v="INV13641"/>
    <s v=""/>
    <s v=""/>
    <x v="4"/>
    <s v="Southeast Pump Specialist, Inc."/>
    <s v="USD"/>
    <n v="4373.1346068489283"/>
    <n v="3121.55"/>
    <x v="1"/>
    <n v="707"/>
    <n v="0"/>
    <m/>
    <x v="0"/>
    <m/>
    <m/>
    <s v=""/>
    <s v=""/>
    <s v=""/>
    <s v=""/>
    <s v=""/>
    <s v=""/>
    <s v=""/>
    <s v=""/>
    <s v="[AC-98-331-910-801] Bearing Cylinder, 8x6-18 &amp; 10x8-21 SRL-C, Cast Iron"/>
    <m/>
    <m/>
    <m/>
    <m/>
    <m/>
    <s v=""/>
    <s v=""/>
    <s v=""/>
    <s v=""/>
  </r>
  <r>
    <n v="1"/>
    <s v="SO18228"/>
    <m/>
    <x v="0"/>
    <x v="0"/>
    <m/>
    <s v="Ian Trottier"/>
    <n v="11"/>
    <n v="2025"/>
    <s v="INV13669"/>
    <n v="12"/>
    <n v="2025"/>
    <x v="4"/>
    <s v="FMI Products"/>
    <s v="CAD"/>
    <n v="878.94"/>
    <n v="627.97337399812977"/>
    <x v="0"/>
    <n v="0"/>
    <n v="627.97337399812977"/>
    <m/>
    <x v="0"/>
    <m/>
    <m/>
    <s v=""/>
    <s v=""/>
    <s v=""/>
    <s v=""/>
    <s v=""/>
    <s v=""/>
    <s v=""/>
    <s v=""/>
    <s v="[JC-SCS-13/4-5610-MTX-SB] Single Cartridge Seal, 1 3/4&quot;, D-196 MTX, Standard Bore, Carbon vs Silicon Carbide, 316SS Gland w/Aflas Elastomers"/>
    <m/>
    <m/>
    <m/>
    <m/>
    <m/>
    <s v=""/>
    <s v=""/>
    <s v=""/>
    <s v=""/>
  </r>
  <r>
    <n v="1"/>
    <s v="SO18230"/>
    <m/>
    <x v="0"/>
    <x v="0"/>
    <m/>
    <s v="Ian Trottier"/>
    <n v="11"/>
    <n v="2025"/>
    <s v="INV13654"/>
    <s v=""/>
    <s v=""/>
    <x v="4"/>
    <s v="Resolute Forest Products - Saint-Felicien"/>
    <s v="CAD"/>
    <n v="295.44"/>
    <n v="210.85379365582111"/>
    <x v="1"/>
    <n v="0"/>
    <n v="0"/>
    <m/>
    <x v="0"/>
    <m/>
    <m/>
    <s v=""/>
    <s v=""/>
    <s v=""/>
    <s v=""/>
    <s v=""/>
    <s v=""/>
    <s v=""/>
    <s v=""/>
    <s v="[AC-52-050-313-000] Shim Kit, Allis Chalmers CSO, Frame F4D1/F4B5"/>
    <m/>
    <m/>
    <m/>
    <m/>
    <m/>
    <s v=""/>
    <s v=""/>
    <s v=""/>
    <s v=""/>
  </r>
  <r>
    <n v="0"/>
    <s v="SO18231"/>
    <m/>
    <x v="0"/>
    <x v="0"/>
    <m/>
    <s v="Amanda Qiao"/>
    <n v="11"/>
    <n v="2025"/>
    <s v="No Inv"/>
    <s v=""/>
    <s v=""/>
    <x v="4"/>
    <s v="Dynapro Pumps"/>
    <s v="USD"/>
    <n v="4365.0045311736449"/>
    <n v="3117.3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32"/>
    <m/>
    <x v="0"/>
    <x v="0"/>
    <m/>
    <s v="Amanda Qiao"/>
    <n v="11"/>
    <n v="2025"/>
    <s v="INV13730"/>
    <s v=""/>
    <s v=""/>
    <x v="4"/>
    <s v="Dynapro Pumps"/>
    <s v="USD"/>
    <n v="4904.0979654382863"/>
    <n v="3502.3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33"/>
    <m/>
    <x v="0"/>
    <x v="0"/>
    <m/>
    <s v="Aleksandar Stankovic"/>
    <n v="11"/>
    <n v="2025"/>
    <s v="INV13749"/>
    <s v=""/>
    <s v=""/>
    <x v="4"/>
    <s v="Industrial Pump Repair Canada"/>
    <s v="CAD"/>
    <n v="192"/>
    <n v="136.85318418287773"/>
    <x v="1"/>
    <n v="0"/>
    <n v="0"/>
    <m/>
    <x v="0"/>
    <m/>
    <m/>
    <s v=""/>
    <s v=""/>
    <s v=""/>
    <s v=""/>
    <s v=""/>
    <s v=""/>
    <s v=""/>
    <s v=""/>
    <s v="[DU-SA3210AA00-TFR] Impeller Gasket, Durco Mark 2&amp;3 Group 2, Teflon/Rubber"/>
    <m/>
    <m/>
    <m/>
    <m/>
    <m/>
    <s v=""/>
    <s v=""/>
    <s v=""/>
    <s v=""/>
  </r>
  <r>
    <n v="1"/>
    <s v="SO18238"/>
    <m/>
    <x v="0"/>
    <x v="0"/>
    <m/>
    <s v="Ian Trottier"/>
    <n v="11"/>
    <n v="2025"/>
    <s v="INV13657"/>
    <s v=""/>
    <s v=""/>
    <x v="4"/>
    <s v="Resolute Forest Products - Clermont"/>
    <s v="CAD"/>
    <n v="373.11"/>
    <n v="265.94422682538288"/>
    <x v="1"/>
    <n v="0"/>
    <n v="0"/>
    <m/>
    <x v="0"/>
    <m/>
    <m/>
    <s v=""/>
    <s v=""/>
    <s v=""/>
    <s v=""/>
    <s v=""/>
    <s v=""/>
    <s v=""/>
    <s v=""/>
    <s v="[G-R104-435 2229] Shaft (Sleeve Type), 3196 STX, 316SS"/>
    <m/>
    <m/>
    <m/>
    <m/>
    <m/>
    <s v=""/>
    <s v=""/>
    <s v=""/>
    <s v=""/>
  </r>
  <r>
    <n v="0"/>
    <s v="SO18240"/>
    <m/>
    <x v="0"/>
    <x v="0"/>
    <m/>
    <s v="Amanda Qiao"/>
    <n v="11"/>
    <n v="2025"/>
    <s v="No Inv"/>
    <s v=""/>
    <s v=""/>
    <x v="0"/>
    <s v="Mill-Right Mine Services Inc."/>
    <s v="USD"/>
    <n v="3661.8437503753726"/>
    <n v="266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241"/>
    <m/>
    <x v="0"/>
    <x v="0"/>
    <m/>
    <s v="Ian Trottier"/>
    <n v="11"/>
    <n v="2025"/>
    <s v="No Inv"/>
    <s v=""/>
    <s v=""/>
    <x v="4"/>
    <s v="Hyperflo"/>
    <s v="CAD"/>
    <n v="9491.8799999999992"/>
    <n v="6734.908272483323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242"/>
    <m/>
    <x v="0"/>
    <x v="0"/>
    <m/>
    <s v="Ian Trottier"/>
    <n v="11"/>
    <n v="2025"/>
    <s v="No Inv"/>
    <s v=""/>
    <s v=""/>
    <x v="4"/>
    <s v="Resolute Forest Products - Saint-Felicien"/>
    <s v="CAD"/>
    <n v="4854.3999999999996"/>
    <n v="3473.421708415607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243"/>
    <m/>
    <x v="0"/>
    <x v="0"/>
    <m/>
    <s v="Amanda Qiao"/>
    <n v="11"/>
    <n v="2025"/>
    <s v="No Inv"/>
    <s v=""/>
    <s v=""/>
    <x v="0"/>
    <s v="Zijin Mining - Rosebel Goldmines N.V., Rosebel Gold Mines N.V."/>
    <s v="USD"/>
    <n v="5407.0334115844707"/>
    <n v="3875.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245"/>
    <m/>
    <x v="0"/>
    <x v="0"/>
    <m/>
    <s v="Wilka Nuñez"/>
    <n v="11"/>
    <n v="2025"/>
    <s v="No Inv"/>
    <s v=""/>
    <s v=""/>
    <x v="4"/>
    <s v="Motion Industries Inc. (Canada) - Winnipeg"/>
    <s v="CAD"/>
    <n v="3502.32"/>
    <n v="2480.789731680984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47"/>
    <m/>
    <x v="0"/>
    <x v="0"/>
    <m/>
    <s v="Ian Trottier"/>
    <n v="11"/>
    <n v="2025"/>
    <s v="INV13734"/>
    <n v="12"/>
    <n v="2025"/>
    <x v="4"/>
    <s v="Alamos Gold Inc"/>
    <s v="CAD"/>
    <n v="2355.7600000000002"/>
    <n v="1683.1121072312492"/>
    <x v="0"/>
    <n v="0"/>
    <n v="1683.1121072312492"/>
    <m/>
    <x v="0"/>
    <m/>
    <m/>
    <s v=""/>
    <s v=""/>
    <s v=""/>
    <s v=""/>
    <s v=""/>
    <s v=""/>
    <s v=""/>
    <s v=""/>
    <s v="[FS-58961M3] Single Cartridge Mechanical Seal w/Big Bore Flush Gland, 1 3/8&quot;, SMSX1, Carbon vs Silicon Carbide, Viton O-Rings"/>
    <m/>
    <m/>
    <m/>
    <m/>
    <m/>
    <s v=""/>
    <s v=""/>
    <s v=""/>
    <s v=""/>
  </r>
  <r>
    <n v="1"/>
    <s v="SO18249"/>
    <m/>
    <x v="0"/>
    <x v="0"/>
    <m/>
    <s v="Aleksandar Stankovic"/>
    <n v="11"/>
    <n v="2025"/>
    <s v="INV13698"/>
    <n v="12"/>
    <n v="2025"/>
    <x v="4"/>
    <s v="Manufacture Sling-Choker (Val-d’Or) Ltée, Manufacture Sling-Choker (Val-d’Or) Ltée"/>
    <s v="CAD"/>
    <n v="387.94"/>
    <n v="275.26057169150693"/>
    <x v="0"/>
    <n v="0"/>
    <n v="275.26057169150693"/>
    <m/>
    <x v="0"/>
    <m/>
    <m/>
    <s v=""/>
    <s v=""/>
    <s v=""/>
    <s v=""/>
    <s v=""/>
    <s v=""/>
    <s v=""/>
    <s v=""/>
    <s v="[G-00-737-851-110] Sight Glass (Press-In), PWO Frame 2"/>
    <m/>
    <m/>
    <m/>
    <m/>
    <m/>
    <s v=""/>
    <s v=""/>
    <s v=""/>
    <s v=""/>
  </r>
  <r>
    <n v="1"/>
    <s v="SO18250"/>
    <m/>
    <x v="0"/>
    <x v="0"/>
    <m/>
    <s v="Aleksandar Stankovic"/>
    <n v="11"/>
    <n v="2025"/>
    <s v="INV13713"/>
    <s v=""/>
    <s v=""/>
    <x v="4"/>
    <s v="Covia Corp - Junction City"/>
    <s v="USD"/>
    <n v="451.58871020931764"/>
    <n v="320"/>
    <x v="1"/>
    <n v="190.96"/>
    <n v="0"/>
    <m/>
    <x v="0"/>
    <m/>
    <m/>
    <s v=""/>
    <s v=""/>
    <s v=""/>
    <s v=""/>
    <s v=""/>
    <s v=""/>
    <s v=""/>
    <s v=""/>
    <s v="[W-E4132H/S01] Discharge Joint Ring, 6/4 F-HH, EPDM"/>
    <m/>
    <m/>
    <m/>
    <m/>
    <m/>
    <s v=""/>
    <s v=""/>
    <s v=""/>
    <s v=""/>
  </r>
  <r>
    <n v="1"/>
    <s v="SO18255"/>
    <m/>
    <x v="0"/>
    <x v="0"/>
    <m/>
    <s v="Aleksandar Stankovic"/>
    <n v="11"/>
    <n v="2025"/>
    <s v="INV13750"/>
    <s v=""/>
    <s v=""/>
    <x v="0"/>
    <s v="Covia Corp - Guion"/>
    <s v="USD"/>
    <n v="4181.3219099803691"/>
    <n v="3026.29"/>
    <x v="1"/>
    <n v="492.64"/>
    <n v="0"/>
    <m/>
    <x v="0"/>
    <m/>
    <m/>
    <s v=""/>
    <s v=""/>
    <s v=""/>
    <s v=""/>
    <s v=""/>
    <s v=""/>
    <s v=""/>
    <s v=""/>
    <s v="[W-G111] Premium Slurry Packing (Single Piece), 10/8 to 14/12, Kevlar Fiber w/Silicon Core"/>
    <m/>
    <m/>
    <m/>
    <m/>
    <m/>
    <s v=""/>
    <s v=""/>
    <s v=""/>
    <s v=""/>
  </r>
  <r>
    <n v="0"/>
    <s v="SO18259"/>
    <m/>
    <x v="0"/>
    <x v="0"/>
    <m/>
    <s v="Ian Trottier"/>
    <n v="11"/>
    <n v="2025"/>
    <s v="No Inv"/>
    <s v=""/>
    <s v=""/>
    <x v="4"/>
    <s v="Resolute Forest Products - Dolbeau"/>
    <s v="CAD"/>
    <n v="20141.89"/>
    <n v="14267.05551995474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60"/>
    <m/>
    <x v="2"/>
    <x v="0"/>
    <m/>
    <s v="Marlen Martinez"/>
    <n v="11"/>
    <n v="2025"/>
    <s v="INV13679"/>
    <n v="1"/>
    <n v="1900"/>
    <x v="2"/>
    <s v="Covia Corp - Junction City"/>
    <s v="USD"/>
    <n v="0"/>
    <n v="0"/>
    <x v="0"/>
    <n v="0"/>
    <n v="0"/>
    <m/>
    <x v="0"/>
    <m/>
    <m/>
    <s v=""/>
    <s v=""/>
    <s v=""/>
    <s v=""/>
    <s v=""/>
    <s v=""/>
    <s v=""/>
    <s v=""/>
    <s v="[W-F108H/D21] Piston Ring, Ductile Iron"/>
    <m/>
    <m/>
    <m/>
    <m/>
    <m/>
    <s v=""/>
    <s v=""/>
    <s v=""/>
    <s v=""/>
  </r>
  <r>
    <n v="0"/>
    <s v="SO18262"/>
    <m/>
    <x v="0"/>
    <x v="0"/>
    <m/>
    <s v="Ian Trottier"/>
    <n v="11"/>
    <n v="2025"/>
    <s v="No Inv"/>
    <s v=""/>
    <s v=""/>
    <x v="4"/>
    <s v="Gibraltar Mine (Canada)"/>
    <s v="CAD"/>
    <n v="1400"/>
    <n v="1000.253400229118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64"/>
    <m/>
    <x v="0"/>
    <x v="0"/>
    <m/>
    <s v="Ian Trottier"/>
    <n v="11"/>
    <n v="2025"/>
    <s v="INV13707"/>
    <n v="12"/>
    <n v="2025"/>
    <x v="4"/>
    <s v="Wesdome Gold Mines Ltd - Eagle River Mine"/>
    <s v="CAD"/>
    <n v="29916.12"/>
    <n v="21190.411872055138"/>
    <x v="1"/>
    <n v="0"/>
    <n v="0"/>
    <m/>
    <x v="0"/>
    <m/>
    <m/>
    <s v=""/>
    <s v=""/>
    <s v=""/>
    <s v=""/>
    <s v=""/>
    <s v=""/>
    <s v=""/>
    <s v=""/>
    <s v="[AC-98-231-120-501] Suction Side Liner, 8x6-18 SRL-C, Natural Rubber"/>
    <m/>
    <m/>
    <m/>
    <m/>
    <m/>
    <s v=""/>
    <s v=""/>
    <s v=""/>
    <s v=""/>
  </r>
  <r>
    <n v="2"/>
    <s v="SO18265"/>
    <m/>
    <x v="0"/>
    <x v="0"/>
    <m/>
    <s v="Wilka Nuñez"/>
    <n v="11"/>
    <n v="2025"/>
    <s v="INV13702"/>
    <n v="12"/>
    <n v="2025"/>
    <x v="4"/>
    <s v="Sling-Choker Manufacturing - Timmins"/>
    <s v="CAD"/>
    <n v="3514.7"/>
    <n v="2511.3528888123965"/>
    <x v="0"/>
    <n v="0"/>
    <n v="2511.3528888123965"/>
    <m/>
    <x v="0"/>
    <m/>
    <m/>
    <s v=""/>
    <s v=""/>
    <s v=""/>
    <s v=""/>
    <s v=""/>
    <s v=""/>
    <s v=""/>
    <s v=""/>
    <s v="[AC-98-233-992-001] Half Seal Cage, 3x3-10 SRL &amp; SRL-C, Cast Iron"/>
    <m/>
    <m/>
    <m/>
    <m/>
    <m/>
    <s v=""/>
    <s v=""/>
    <s v=""/>
    <s v=""/>
  </r>
  <r>
    <n v="2"/>
    <s v="SO18265"/>
    <m/>
    <x v="0"/>
    <x v="0"/>
    <m/>
    <n v="0"/>
    <n v="11"/>
    <n v="2025"/>
    <s v="INV13805"/>
    <s v=""/>
    <s v=""/>
    <x v="4"/>
    <s v="Sling-Choker Manufacturing - Timmins"/>
    <s v="CAD"/>
    <n v="0"/>
    <n v="0"/>
    <x v="1"/>
    <n v="0"/>
    <n v="0"/>
    <m/>
    <x v="0"/>
    <m/>
    <m/>
    <s v=""/>
    <s v=""/>
    <s v=""/>
    <s v=""/>
    <s v=""/>
    <s v=""/>
    <s v=""/>
    <s v=""/>
    <s v="[G-0B10592 1216] Impeller, 3x4-13, 3196 LTX, CD4MCu, 6-Vane"/>
    <m/>
    <m/>
    <m/>
    <m/>
    <m/>
    <s v=""/>
    <s v=""/>
    <s v=""/>
    <s v=""/>
  </r>
  <r>
    <n v="0"/>
    <s v="SO18267"/>
    <m/>
    <x v="0"/>
    <x v="0"/>
    <m/>
    <s v="Leriel Reyes"/>
    <n v="11"/>
    <n v="2025"/>
    <s v="No Inv"/>
    <s v=""/>
    <s v=""/>
    <x v="4"/>
    <s v="Sealtrac Inc."/>
    <s v="CAD"/>
    <n v="5638.37"/>
    <n v="4012.69124835059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70"/>
    <m/>
    <x v="0"/>
    <x v="0"/>
    <m/>
    <s v="Yannett Yeomans"/>
    <n v="11"/>
    <n v="2025"/>
    <s v="INV13819"/>
    <s v=""/>
    <s v=""/>
    <x v="0"/>
    <s v="Dynapro Pumps México S de RL de CV"/>
    <s v="USD"/>
    <n v="310.0548975411333"/>
    <n v="22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71"/>
    <m/>
    <x v="0"/>
    <x v="0"/>
    <m/>
    <s v="Wilka Nuñez"/>
    <n v="11"/>
    <n v="2025"/>
    <s v="INV13784"/>
    <s v=""/>
    <s v=""/>
    <x v="4"/>
    <s v="Process and Steam Specialties"/>
    <s v="CAD"/>
    <n v="356.76"/>
    <n v="252.70293538982972"/>
    <x v="1"/>
    <n v="0"/>
    <n v="0"/>
    <m/>
    <x v="0"/>
    <m/>
    <m/>
    <s v=""/>
    <s v=""/>
    <s v=""/>
    <s v=""/>
    <s v=""/>
    <s v=""/>
    <s v=""/>
    <s v=""/>
    <s v="[SA-567160] Gasket, Sala STHM-33WFR, Rubber"/>
    <m/>
    <m/>
    <m/>
    <m/>
    <m/>
    <s v=""/>
    <s v=""/>
    <s v=""/>
    <s v=""/>
  </r>
  <r>
    <n v="1"/>
    <s v="SO18272"/>
    <m/>
    <x v="0"/>
    <x v="0"/>
    <m/>
    <s v="Ian Trottier"/>
    <n v="11"/>
    <n v="2025"/>
    <s v="INV13667"/>
    <n v="12"/>
    <n v="2025"/>
    <x v="4"/>
    <s v="Middle Georgia Fluid Sealing LLC"/>
    <s v="USD"/>
    <n v="1804.8286560050483"/>
    <n v="1289.49"/>
    <x v="1"/>
    <n v="0"/>
    <n v="0"/>
    <m/>
    <x v="0"/>
    <m/>
    <m/>
    <s v=""/>
    <s v=""/>
    <s v=""/>
    <s v=""/>
    <s v=""/>
    <s v=""/>
    <s v=""/>
    <s v=""/>
    <s v="[D1J2311-6] Suction Cover Liner, 2x3-11, Goulds JC, Frame 1J, High Chrome, OEM# 048940G0001228"/>
    <m/>
    <m/>
    <m/>
    <m/>
    <m/>
    <s v=""/>
    <s v=""/>
    <s v=""/>
    <s v=""/>
  </r>
  <r>
    <n v="1"/>
    <s v="SO18274"/>
    <m/>
    <x v="0"/>
    <x v="0"/>
    <m/>
    <s v="Alexis Gil Lamadrid"/>
    <n v="11"/>
    <n v="2025"/>
    <s v="INV13743"/>
    <s v=""/>
    <s v=""/>
    <x v="0"/>
    <s v="MAB Equipment Company Inc."/>
    <s v="USD"/>
    <n v="2544.8441625517871"/>
    <n v="1823.88"/>
    <x v="1"/>
    <n v="199"/>
    <n v="0"/>
    <m/>
    <x v="0"/>
    <m/>
    <m/>
    <s v=""/>
    <s v=""/>
    <s v=""/>
    <s v=""/>
    <s v=""/>
    <s v=""/>
    <s v=""/>
    <s v=""/>
    <s v="[W-E109/S50] Shaft Sleeve O-Ring, 6/4 E-AH or 8/6 E,R or F-AH, Viton"/>
    <m/>
    <m/>
    <m/>
    <m/>
    <m/>
    <s v=""/>
    <s v=""/>
    <s v=""/>
    <s v=""/>
  </r>
  <r>
    <n v="0"/>
    <s v="SO18275"/>
    <m/>
    <x v="0"/>
    <x v="0"/>
    <m/>
    <s v="Ian Trottier"/>
    <n v="11"/>
    <n v="2025"/>
    <s v="No Inv"/>
    <s v=""/>
    <s v=""/>
    <x v="4"/>
    <s v="Thunder Bay Pulp and Paper Inc"/>
    <s v="CAD"/>
    <n v="5194.42"/>
    <n v="3685.670512980866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76"/>
    <m/>
    <x v="0"/>
    <x v="0"/>
    <m/>
    <s v="Ian Trottier"/>
    <n v="11"/>
    <n v="2025"/>
    <s v="INV13777"/>
    <s v=""/>
    <s v=""/>
    <x v="4"/>
    <s v="PT Vale Indonesia Tbk."/>
    <s v="USD"/>
    <n v="1111.3183916649284"/>
    <n v="794"/>
    <x v="1"/>
    <n v="0"/>
    <n v="0"/>
    <m/>
    <x v="0"/>
    <m/>
    <m/>
    <s v=""/>
    <s v=""/>
    <s v=""/>
    <s v=""/>
    <s v=""/>
    <s v=""/>
    <s v=""/>
    <s v=""/>
    <s v="[G-R72360 6956] Shaft Sleeve, 3405-M, Ni-Chrome Boron On 316SS"/>
    <m/>
    <m/>
    <m/>
    <m/>
    <m/>
    <s v=""/>
    <s v=""/>
    <s v=""/>
    <s v=""/>
  </r>
  <r>
    <n v="1"/>
    <s v="SO18280"/>
    <m/>
    <x v="0"/>
    <x v="0"/>
    <m/>
    <s v="Aleksandar Stankovic"/>
    <n v="11"/>
    <n v="2025"/>
    <s v="INV13782"/>
    <s v=""/>
    <s v=""/>
    <x v="0"/>
    <s v="Canadian Bearings Ltd."/>
    <s v="CAD"/>
    <n v="2041"/>
    <n v="1480.5270221788264"/>
    <x v="1"/>
    <n v="0"/>
    <n v="0"/>
    <m/>
    <x v="0"/>
    <m/>
    <m/>
    <s v=""/>
    <s v=""/>
    <s v=""/>
    <s v=""/>
    <s v=""/>
    <s v=""/>
    <s v=""/>
    <s v=""/>
    <s v="[AC-98-233-017-003] Shaft Sleeve, PWO Frame 3&amp;4, 316SS"/>
    <m/>
    <m/>
    <m/>
    <m/>
    <m/>
    <s v=""/>
    <s v=""/>
    <s v=""/>
    <s v=""/>
  </r>
  <r>
    <n v="1"/>
    <s v="SO18281"/>
    <m/>
    <x v="0"/>
    <x v="0"/>
    <m/>
    <s v="Alexis Gil Lamadrid"/>
    <n v="11"/>
    <n v="2025"/>
    <s v="INV13697"/>
    <n v="12"/>
    <n v="2025"/>
    <x v="4"/>
    <s v="Harvey Bearings, Harvey Bearings"/>
    <s v="CAD"/>
    <n v="754.36"/>
    <n v="534.54657865142372"/>
    <x v="0"/>
    <n v="0"/>
    <n v="534.54657865142372"/>
    <m/>
    <x v="0"/>
    <m/>
    <m/>
    <s v=""/>
    <s v=""/>
    <s v=""/>
    <s v=""/>
    <s v=""/>
    <s v=""/>
    <s v=""/>
    <s v=""/>
    <s v="[AC-98-130-366-001] Shaft Sleeve, PWO Frame 1, 316SS"/>
    <m/>
    <m/>
    <m/>
    <m/>
    <m/>
    <s v=""/>
    <s v=""/>
    <s v=""/>
    <s v=""/>
  </r>
  <r>
    <n v="1"/>
    <s v="SO18285"/>
    <m/>
    <x v="0"/>
    <x v="0"/>
    <m/>
    <s v="Ian Trottier"/>
    <n v="11"/>
    <n v="2025"/>
    <s v="INV13723"/>
    <s v=""/>
    <s v=""/>
    <x v="4"/>
    <s v="Glencore Canada Corporation - Rouyn-Noranda"/>
    <s v="CAD"/>
    <n v="798.91"/>
    <n v="570.84386616243535"/>
    <x v="1"/>
    <n v="0"/>
    <n v="0"/>
    <m/>
    <x v="0"/>
    <m/>
    <m/>
    <s v=""/>
    <s v=""/>
    <s v=""/>
    <s v=""/>
    <s v=""/>
    <s v=""/>
    <s v=""/>
    <s v=""/>
    <s v="[AC-98-331-958-805] Shaft Sleeve, 2x2-10 SRL, Steel"/>
    <m/>
    <m/>
    <m/>
    <m/>
    <m/>
    <s v=""/>
    <s v=""/>
    <s v=""/>
    <s v=""/>
  </r>
  <r>
    <n v="0"/>
    <s v="SO18286"/>
    <m/>
    <x v="0"/>
    <x v="0"/>
    <m/>
    <s v="Ian Trottier"/>
    <n v="11"/>
    <n v="2025"/>
    <s v="No Inv"/>
    <s v=""/>
    <s v=""/>
    <x v="0"/>
    <s v="PT Vale Indonesia Tbk."/>
    <s v="USD"/>
    <n v="5306.5704614652186"/>
    <n v="3864.7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287"/>
    <m/>
    <x v="0"/>
    <x v="0"/>
    <m/>
    <s v="Yannett Yeomans"/>
    <n v="11"/>
    <n v="2025"/>
    <s v="No Inv"/>
    <s v=""/>
    <s v=""/>
    <x v="4"/>
    <s v="Dynapro Pumps México S de RL de CV"/>
    <s v="USD"/>
    <n v="421.54751678878279"/>
    <n v="30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89"/>
    <m/>
    <x v="0"/>
    <x v="0"/>
    <m/>
    <s v="Ian Trottier"/>
    <n v="11"/>
    <n v="2025"/>
    <s v="INV13699"/>
    <s v=""/>
    <s v=""/>
    <x v="4"/>
    <s v="Glencore Canada Corporation - Rouyn-Noranda"/>
    <s v="CAD"/>
    <n v="1828.7"/>
    <n v="1306.6580441492104"/>
    <x v="1"/>
    <n v="0"/>
    <n v="0"/>
    <m/>
    <x v="0"/>
    <m/>
    <m/>
    <s v=""/>
    <s v=""/>
    <s v=""/>
    <s v=""/>
    <s v=""/>
    <s v=""/>
    <s v=""/>
    <s v=""/>
    <s v="[AC-98-431-882-501] Gland Side Casing, 2x2-10 SRL, Cast Iron"/>
    <m/>
    <m/>
    <m/>
    <m/>
    <m/>
    <s v=""/>
    <s v=""/>
    <s v=""/>
    <s v=""/>
  </r>
  <r>
    <n v="1"/>
    <s v="SO18292"/>
    <m/>
    <x v="0"/>
    <x v="0"/>
    <m/>
    <s v="Ian Trottier"/>
    <n v="11"/>
    <n v="2025"/>
    <s v="INV13729"/>
    <s v=""/>
    <s v=""/>
    <x v="4"/>
    <s v="Resolute Forest Products - Saint-Felicien"/>
    <s v="CAD"/>
    <n v="2987.28"/>
    <n v="2116.8146554348391"/>
    <x v="1"/>
    <n v="0"/>
    <n v="0"/>
    <m/>
    <x v="0"/>
    <m/>
    <m/>
    <s v=""/>
    <s v=""/>
    <s v=""/>
    <s v=""/>
    <s v=""/>
    <s v=""/>
    <s v=""/>
    <s v=""/>
    <s v="[AC-98-232-674-801] Bearing Cover (Inboard), Allis Chalmers PWO, Frame A2, Oil, Cast Iron"/>
    <m/>
    <m/>
    <m/>
    <m/>
    <m/>
    <s v=""/>
    <s v=""/>
    <s v=""/>
    <s v=""/>
  </r>
  <r>
    <n v="1"/>
    <s v="SO18293"/>
    <m/>
    <x v="0"/>
    <x v="0"/>
    <m/>
    <s v="Ian Trottier"/>
    <n v="11"/>
    <n v="2025"/>
    <s v="INV13728"/>
    <s v=""/>
    <s v=""/>
    <x v="4"/>
    <s v="Resolute Forest Products - Saint-Felicien"/>
    <s v="CAD"/>
    <n v="559.73"/>
    <n v="396.62993327928496"/>
    <x v="1"/>
    <n v="0"/>
    <n v="0"/>
    <m/>
    <x v="0"/>
    <m/>
    <m/>
    <s v=""/>
    <s v=""/>
    <s v=""/>
    <s v=""/>
    <s v=""/>
    <s v=""/>
    <s v=""/>
    <s v=""/>
    <s v="[AC-98-236-257-501] Packing Gland (2 Half/Set), Allis Chalmers PWO, Group 2, 316SS"/>
    <m/>
    <m/>
    <m/>
    <m/>
    <m/>
    <s v=""/>
    <s v=""/>
    <s v=""/>
    <s v=""/>
  </r>
  <r>
    <n v="0"/>
    <s v="SO18295"/>
    <m/>
    <x v="0"/>
    <x v="0"/>
    <m/>
    <s v="Amanda Qiao"/>
    <n v="11"/>
    <n v="2025"/>
    <s v="No Inv"/>
    <s v=""/>
    <s v=""/>
    <x v="4"/>
    <s v="Mill-Right Mine Services Inc."/>
    <s v="CAD"/>
    <n v="4475"/>
    <n v="3200.519819958991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296"/>
    <m/>
    <x v="0"/>
    <x v="0"/>
    <m/>
    <s v="Ian Trottier"/>
    <n v="11"/>
    <n v="2025"/>
    <s v="INV13700"/>
    <n v="12"/>
    <n v="2025"/>
    <x v="4"/>
    <s v="Sealtrac Inc."/>
    <s v="CAD"/>
    <n v="209.18"/>
    <n v="148.2269119814211"/>
    <x v="0"/>
    <n v="0"/>
    <n v="148.2269119814211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8297"/>
    <m/>
    <x v="0"/>
    <x v="0"/>
    <m/>
    <s v="Ian Trottier"/>
    <n v="11"/>
    <n v="2025"/>
    <s v="INV13737"/>
    <s v=""/>
    <s v=""/>
    <x v="4"/>
    <s v="Cameco Corporation - Blind River Refinery"/>
    <s v="CAD"/>
    <n v="418.33"/>
    <n v="299.32360400492365"/>
    <x v="1"/>
    <n v="0"/>
    <n v="0"/>
    <m/>
    <x v="0"/>
    <m/>
    <m/>
    <s v=""/>
    <s v=""/>
    <s v=""/>
    <s v=""/>
    <s v=""/>
    <s v=""/>
    <s v=""/>
    <s v=""/>
    <s v="[LPE-0875-1250-B48, G-D08717A01 6241] Thrust Bearing Labyrinth Seal (Outboard) w/O-Rings, 3196 STX, Carbon Teflon w/Viton"/>
    <m/>
    <m/>
    <m/>
    <m/>
    <m/>
    <s v=""/>
    <s v=""/>
    <s v=""/>
    <s v=""/>
  </r>
  <r>
    <n v="1"/>
    <s v="SO18298"/>
    <m/>
    <x v="0"/>
    <x v="0"/>
    <m/>
    <s v="Ian Trottier"/>
    <n v="11"/>
    <n v="2025"/>
    <s v="INV13680"/>
    <n v="12"/>
    <n v="2025"/>
    <x v="4"/>
    <s v="Middle Georgia Fluid Sealing LLC"/>
    <s v="USD"/>
    <n v="8739.9113362572807"/>
    <n v="6200.6"/>
    <x v="0"/>
    <n v="664"/>
    <n v="5536.6"/>
    <m/>
    <x v="0"/>
    <m/>
    <m/>
    <s v=""/>
    <s v=""/>
    <s v=""/>
    <s v=""/>
    <s v=""/>
    <s v=""/>
    <s v=""/>
    <s v=""/>
    <s v="[D-1J2311-2] Casing, 2x3-11, Goulds JC, Frame 1J, High Chrome, OEM# 055891G0001228"/>
    <m/>
    <m/>
    <m/>
    <m/>
    <m/>
    <s v=""/>
    <s v=""/>
    <s v=""/>
    <s v=""/>
  </r>
  <r>
    <n v="1"/>
    <s v="SO18300"/>
    <m/>
    <x v="0"/>
    <x v="0"/>
    <m/>
    <s v="Alexis Gil Lamadrid"/>
    <n v="11"/>
    <n v="2025"/>
    <s v="INV13696"/>
    <n v="1"/>
    <n v="2026"/>
    <x v="4"/>
    <s v="Wajax Limited - Noranda, Wajax Limited - Noranda"/>
    <s v="CAD"/>
    <n v="1429.78"/>
    <n v="1013.1555321388096"/>
    <x v="0"/>
    <n v="0"/>
    <n v="1013.1555321388096"/>
    <m/>
    <x v="0"/>
    <m/>
    <m/>
    <s v=""/>
    <s v=""/>
    <s v=""/>
    <s v=""/>
    <s v=""/>
    <s v=""/>
    <s v=""/>
    <s v=""/>
    <s v="[AC-98-431-884-001] Suction Side Casing, 2x2-10 SRL, Cast Iron"/>
    <m/>
    <m/>
    <m/>
    <m/>
    <m/>
    <s v=""/>
    <s v=""/>
    <s v=""/>
    <s v=""/>
  </r>
  <r>
    <n v="1"/>
    <s v="SO18301"/>
    <m/>
    <x v="0"/>
    <x v="0"/>
    <m/>
    <s v="Wilka Nuñez"/>
    <n v="11"/>
    <n v="2025"/>
    <s v="INV13703"/>
    <n v="12"/>
    <n v="2025"/>
    <x v="4"/>
    <s v="Sling-Choker Manufacturing - Timmins"/>
    <s v="CAD"/>
    <n v="2037.41"/>
    <n v="1443.7278551489969"/>
    <x v="0"/>
    <n v="0"/>
    <n v="1443.7278551489969"/>
    <m/>
    <x v="0"/>
    <m/>
    <m/>
    <s v=""/>
    <s v=""/>
    <s v=""/>
    <s v=""/>
    <s v=""/>
    <s v=""/>
    <s v=""/>
    <s v=""/>
    <s v="[G-R196-MKL13] Maintenance Kit, 13&quot;, 3196 LTX"/>
    <m/>
    <m/>
    <m/>
    <m/>
    <m/>
    <s v=""/>
    <s v=""/>
    <s v=""/>
    <s v=""/>
  </r>
  <r>
    <n v="0"/>
    <s v="SO18302"/>
    <m/>
    <x v="0"/>
    <x v="0"/>
    <m/>
    <s v="Wilka Nuñez"/>
    <n v="11"/>
    <n v="2025"/>
    <s v="No Inv"/>
    <s v=""/>
    <s v=""/>
    <x v="4"/>
    <s v="Motion Industries Inc. (Canada) - Prince George"/>
    <s v="CAD"/>
    <n v="6058.43"/>
    <n v="4317.750449165912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05"/>
    <m/>
    <x v="0"/>
    <x v="0"/>
    <m/>
    <s v="Ian Trottier"/>
    <n v="11"/>
    <n v="2025"/>
    <s v="INV13773"/>
    <s v=""/>
    <s v=""/>
    <x v="4"/>
    <s v="Alamos Gold Inc"/>
    <s v="CAD"/>
    <n v="1363.36"/>
    <n v="965.7054434159611"/>
    <x v="1"/>
    <n v="0"/>
    <n v="0"/>
    <m/>
    <x v="0"/>
    <m/>
    <m/>
    <s v=""/>
    <s v=""/>
    <s v=""/>
    <s v=""/>
    <s v=""/>
    <s v=""/>
    <s v=""/>
    <s v=""/>
    <s v="[AC-52-118-681-804] Mechanical Seal, CSO, Type-9T, Carbon vs' Ceramic/Viton, O-Ring seat"/>
    <m/>
    <m/>
    <m/>
    <m/>
    <m/>
    <s v=""/>
    <s v=""/>
    <s v=""/>
    <s v=""/>
  </r>
  <r>
    <n v="1"/>
    <s v="SO18307"/>
    <m/>
    <x v="0"/>
    <x v="0"/>
    <m/>
    <s v="Wilka Nuñez"/>
    <n v="11"/>
    <n v="2025"/>
    <s v="INV13807"/>
    <s v=""/>
    <s v=""/>
    <x v="4"/>
    <s v="Sling-Choker Manufacturing - Timmins"/>
    <s v="CAD"/>
    <n v="4022.93"/>
    <n v="2849.5521355191368"/>
    <x v="1"/>
    <n v="0"/>
    <n v="0"/>
    <m/>
    <x v="0"/>
    <m/>
    <m/>
    <s v=""/>
    <s v=""/>
    <s v=""/>
    <s v=""/>
    <s v=""/>
    <s v=""/>
    <s v=""/>
    <s v=""/>
    <s v="[AC-98-431-858-501] Shaft Assembly, 3x3-10 SRL &amp; SRL-C, 1045 Steel"/>
    <m/>
    <m/>
    <m/>
    <m/>
    <m/>
    <s v=""/>
    <s v=""/>
    <s v=""/>
    <s v=""/>
  </r>
  <r>
    <n v="0"/>
    <s v="SO18308"/>
    <m/>
    <x v="0"/>
    <x v="0"/>
    <m/>
    <s v="Ian Trottier"/>
    <n v="11"/>
    <n v="2025"/>
    <s v="No Inv"/>
    <s v=""/>
    <s v=""/>
    <x v="4"/>
    <s v="Sealtrac Inc."/>
    <s v="CAD"/>
    <n v="214.88"/>
    <n v="152.9248870587734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11"/>
    <m/>
    <x v="0"/>
    <x v="0"/>
    <m/>
    <s v="Alexis Gil Lamadrid"/>
    <n v="11"/>
    <n v="2025"/>
    <s v="INV13726"/>
    <s v=""/>
    <s v=""/>
    <x v="4"/>
    <s v="Manufacture Sling-Choker (Val-d’Or) Ltée"/>
    <s v="CAD"/>
    <n v="1808.56"/>
    <n v="1288.9330655538649"/>
    <x v="1"/>
    <n v="0"/>
    <n v="0"/>
    <m/>
    <x v="0"/>
    <m/>
    <m/>
    <s v=""/>
    <s v=""/>
    <s v=""/>
    <s v=""/>
    <s v=""/>
    <s v=""/>
    <s v=""/>
    <s v=""/>
    <s v="[AC-98-233-732-001] Waterseal Bushing, 8x6-18 &amp; 10x8-21 SRL-C, Steel"/>
    <m/>
    <m/>
    <m/>
    <m/>
    <m/>
    <s v=""/>
    <s v=""/>
    <s v=""/>
    <s v=""/>
  </r>
  <r>
    <n v="1"/>
    <s v="SO18313"/>
    <m/>
    <x v="0"/>
    <x v="0"/>
    <m/>
    <s v="Alexis Gil Lamadrid"/>
    <n v="11"/>
    <n v="2025"/>
    <s v="INV13781"/>
    <s v=""/>
    <s v=""/>
    <x v="4"/>
    <s v="Tech-Flow"/>
    <s v="USD"/>
    <n v="1725.9156018312358"/>
    <n v="1223"/>
    <x v="1"/>
    <n v="0"/>
    <n v="0"/>
    <m/>
    <x v="0"/>
    <m/>
    <m/>
    <s v=""/>
    <s v=""/>
    <s v=""/>
    <s v=""/>
    <s v=""/>
    <s v=""/>
    <s v=""/>
    <s v=""/>
    <s v="[SA-013733-M2] Wear Disc, 44 WFR, Sala STGVA-180, High Chrome"/>
    <m/>
    <m/>
    <m/>
    <m/>
    <m/>
    <s v=""/>
    <s v=""/>
    <s v=""/>
    <s v=""/>
  </r>
  <r>
    <n v="1"/>
    <s v="SO18314"/>
    <m/>
    <x v="0"/>
    <x v="0"/>
    <m/>
    <s v="Wilka Nuñez"/>
    <n v="11"/>
    <n v="2025"/>
    <s v="INV13718"/>
    <s v=""/>
    <s v=""/>
    <x v="4"/>
    <s v="Canadian Bearings Ltd."/>
    <s v="CAD"/>
    <n v="279.5"/>
    <n v="198.91337459478402"/>
    <x v="1"/>
    <n v="0"/>
    <n v="0"/>
    <m/>
    <x v="0"/>
    <m/>
    <m/>
    <s v=""/>
    <s v=""/>
    <s v=""/>
    <s v=""/>
    <s v=""/>
    <s v=""/>
    <s v=""/>
    <s v=""/>
    <s v="[AC-98-232-857-802] Shim Set, A-C PWO-C Group 2, Plastic"/>
    <m/>
    <m/>
    <m/>
    <m/>
    <m/>
    <s v=""/>
    <s v=""/>
    <s v=""/>
    <s v=""/>
  </r>
  <r>
    <n v="1"/>
    <s v="SO18315"/>
    <m/>
    <x v="2"/>
    <x v="0"/>
    <m/>
    <s v="Marlen Martinez"/>
    <n v="11"/>
    <n v="2025"/>
    <s v="INV13712"/>
    <s v=""/>
    <s v=""/>
    <x v="4"/>
    <s v="Covia Corp - Junction City"/>
    <s v="USD"/>
    <n v="1080.2284191150759"/>
    <n v="765.46"/>
    <x v="1"/>
    <n v="309"/>
    <n v="0"/>
    <m/>
    <x v="0"/>
    <m/>
    <m/>
    <s v=""/>
    <s v=""/>
    <s v=""/>
    <s v=""/>
    <s v=""/>
    <s v=""/>
    <s v=""/>
    <s v=""/>
    <s v="[W-S30124/S01] Volute Liner Seal, 300 RSL, EPDM"/>
    <m/>
    <m/>
    <m/>
    <m/>
    <m/>
    <s v=""/>
    <s v=""/>
    <s v=""/>
    <s v=""/>
  </r>
  <r>
    <n v="0"/>
    <s v="SO18316"/>
    <m/>
    <x v="0"/>
    <x v="0"/>
    <m/>
    <s v="Ian Trottier"/>
    <n v="11"/>
    <n v="2025"/>
    <s v="No Inv"/>
    <s v=""/>
    <s v=""/>
    <x v="4"/>
    <s v="Cameco Corporation - Blind River Refinery"/>
    <s v="CAD"/>
    <n v="459.88"/>
    <n v="327.285447973700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318"/>
    <m/>
    <x v="0"/>
    <x v="0"/>
    <m/>
    <s v="Wilka Nuñez"/>
    <n v="11"/>
    <n v="2025"/>
    <s v="INV13797"/>
    <s v=""/>
    <s v=""/>
    <x v="0"/>
    <s v="Canadian Bearings Ltd."/>
    <s v="CAD"/>
    <n v="475.47"/>
    <n v="338.38047305396037"/>
    <x v="0"/>
    <n v="0"/>
    <n v="338.38047305396037"/>
    <m/>
    <x v="0"/>
    <m/>
    <m/>
    <s v=""/>
    <s v=""/>
    <s v=""/>
    <s v=""/>
    <s v=""/>
    <s v=""/>
    <s v=""/>
    <s v=""/>
    <s v="[AC-52-050-313-000] Shim Kit, Allis Chalmers CSO, Frame F4D1/F4B5"/>
    <m/>
    <m/>
    <m/>
    <m/>
    <m/>
    <s v=""/>
    <s v=""/>
    <s v=""/>
    <s v=""/>
  </r>
  <r>
    <n v="2"/>
    <s v="SO18318"/>
    <m/>
    <x v="0"/>
    <x v="0"/>
    <m/>
    <n v="0"/>
    <n v="11"/>
    <n v="2025"/>
    <s v="INV13758"/>
    <s v=""/>
    <s v=""/>
    <x v="0"/>
    <s v="Canadian Bearings Ltd."/>
    <s v="CAD"/>
    <n v="0"/>
    <n v="0"/>
    <x v="1"/>
    <n v="0"/>
    <n v="0"/>
    <m/>
    <x v="0"/>
    <m/>
    <m/>
    <s v=""/>
    <s v=""/>
    <s v=""/>
    <s v=""/>
    <s v=""/>
    <s v=""/>
    <s v=""/>
    <s v=""/>
    <s v="[AC-52-109-019-003] Shaft Sleeve, Allis-Chalmers CSO, Frame F4B3/F4B5/F4D1, 316SS"/>
    <m/>
    <m/>
    <m/>
    <m/>
    <m/>
    <s v=""/>
    <s v=""/>
    <s v=""/>
    <s v=""/>
  </r>
  <r>
    <n v="1"/>
    <s v="SO18320"/>
    <m/>
    <x v="0"/>
    <x v="0"/>
    <m/>
    <s v="Ian Trottier"/>
    <n v="11"/>
    <n v="2025"/>
    <s v="INV13761"/>
    <s v=""/>
    <s v=""/>
    <x v="4"/>
    <s v="Les Pompes du St-Laurent Inc."/>
    <s v="CAD"/>
    <n v="5048.75"/>
    <n v="3598.166947579884"/>
    <x v="1"/>
    <n v="0"/>
    <n v="0"/>
    <m/>
    <x v="0"/>
    <m/>
    <m/>
    <s v=""/>
    <s v=""/>
    <s v=""/>
    <s v=""/>
    <s v=""/>
    <s v=""/>
    <s v=""/>
    <s v=""/>
    <s v="[G-B00294A 6956] Shaft Sleeve, 3175-S, 316SS, Ni-Chrome Boron"/>
    <m/>
    <m/>
    <m/>
    <m/>
    <m/>
    <s v=""/>
    <s v=""/>
    <s v=""/>
    <s v=""/>
  </r>
  <r>
    <n v="1"/>
    <s v="SO18322"/>
    <m/>
    <x v="0"/>
    <x v="0"/>
    <m/>
    <s v="Alexis Gil Lamadrid"/>
    <n v="11"/>
    <n v="2025"/>
    <s v="INV13745"/>
    <s v=""/>
    <s v=""/>
    <x v="4"/>
    <s v="Hyperflo, Hyperflo"/>
    <s v="CAD"/>
    <n v="646.28"/>
    <n v="458.0709787572394"/>
    <x v="1"/>
    <n v="0"/>
    <n v="0"/>
    <m/>
    <x v="0"/>
    <m/>
    <m/>
    <s v=""/>
    <s v=""/>
    <s v=""/>
    <s v=""/>
    <s v=""/>
    <s v=""/>
    <s v=""/>
    <s v=""/>
    <s v="[AC-98-332-015-815] Fastener Kit (Suction Side Plate), 8x6-18 SRL-C"/>
    <m/>
    <m/>
    <m/>
    <m/>
    <m/>
    <s v=""/>
    <s v=""/>
    <s v=""/>
    <s v=""/>
  </r>
  <r>
    <n v="1"/>
    <s v="SO18323"/>
    <m/>
    <x v="0"/>
    <x v="0"/>
    <m/>
    <s v="Ian Trottier"/>
    <n v="11"/>
    <n v="2025"/>
    <s v="INV13722"/>
    <s v=""/>
    <s v=""/>
    <x v="4"/>
    <s v="Les Pompes du St-Laurent Inc."/>
    <s v="CAD"/>
    <n v="2763.21"/>
    <n v="1969.2975273527534"/>
    <x v="1"/>
    <n v="0"/>
    <n v="0"/>
    <m/>
    <x v="0"/>
    <m/>
    <m/>
    <s v=""/>
    <s v=""/>
    <s v=""/>
    <s v=""/>
    <s v=""/>
    <s v=""/>
    <s v=""/>
    <s v=""/>
    <s v="[G-RD04539AA 1013] Frame, 3196 STX, Cast Iron, Includes Sight Glass and Plugs"/>
    <m/>
    <m/>
    <m/>
    <m/>
    <m/>
    <s v=""/>
    <s v=""/>
    <s v=""/>
    <s v=""/>
  </r>
  <r>
    <n v="0"/>
    <s v="SO18324"/>
    <m/>
    <x v="0"/>
    <x v="0"/>
    <m/>
    <s v="Alexis Gil Lamadrid"/>
    <n v="11"/>
    <n v="2025"/>
    <s v="No Inv"/>
    <s v=""/>
    <s v=""/>
    <x v="4"/>
    <s v="Canadian Bearings Ltd."/>
    <s v="CAD"/>
    <n v="80.040000000000006"/>
    <n v="57.36435941665613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25"/>
    <m/>
    <x v="0"/>
    <x v="0"/>
    <m/>
    <s v="Wilka Nuñez"/>
    <n v="11"/>
    <n v="2025"/>
    <s v="No Inv"/>
    <s v=""/>
    <s v=""/>
    <x v="4"/>
    <s v="Wild Rows Pump &amp; Compression LTD., Wild Rows Pump &amp; Compression LTD."/>
    <s v="CAD"/>
    <n v="488.72"/>
    <n v="348.3032732104464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26"/>
    <m/>
    <x v="0"/>
    <x v="0"/>
    <m/>
    <s v="Alexis Gil Lamadrid"/>
    <n v="11"/>
    <n v="2025"/>
    <s v="INV13720"/>
    <s v=""/>
    <s v=""/>
    <x v="4"/>
    <s v="Moffatt Supply &amp; Specialties - Red Lake"/>
    <s v="CAD"/>
    <n v="1078.97"/>
    <n v="768.96542538851565"/>
    <x v="1"/>
    <n v="0"/>
    <n v="0"/>
    <m/>
    <x v="0"/>
    <m/>
    <m/>
    <s v=""/>
    <s v=""/>
    <s v=""/>
    <s v=""/>
    <s v=""/>
    <s v=""/>
    <s v=""/>
    <s v=""/>
    <s v="[AC-98-330-289-501] Impeller (Open), 5x5-14 SRL, Natural Rubber"/>
    <m/>
    <m/>
    <m/>
    <m/>
    <m/>
    <s v=""/>
    <s v=""/>
    <s v=""/>
    <s v=""/>
  </r>
  <r>
    <n v="1"/>
    <s v="SO18327"/>
    <m/>
    <x v="0"/>
    <x v="0"/>
    <m/>
    <s v="Wilka Nuñez"/>
    <n v="11"/>
    <n v="2025"/>
    <s v="INV13717"/>
    <s v=""/>
    <s v=""/>
    <x v="4"/>
    <s v="Eleazar General &amp; Industrial Supplies Limited"/>
    <s v="USD"/>
    <n v="4475.9075064280923"/>
    <n v="3203"/>
    <x v="1"/>
    <n v="0"/>
    <n v="0"/>
    <m/>
    <x v="0"/>
    <m/>
    <m/>
    <s v=""/>
    <s v=""/>
    <s v=""/>
    <s v=""/>
    <s v=""/>
    <s v=""/>
    <s v=""/>
    <s v=""/>
    <s v="[W-F8147/R55] Impeller, 10/8 E-M, Natural Rubber"/>
    <m/>
    <m/>
    <m/>
    <m/>
    <m/>
    <s v=""/>
    <s v=""/>
    <s v=""/>
    <s v=""/>
  </r>
  <r>
    <n v="1"/>
    <s v="SO18329"/>
    <m/>
    <x v="0"/>
    <x v="0"/>
    <m/>
    <s v="Ian Trottier"/>
    <n v="11"/>
    <n v="2025"/>
    <s v="INV13725"/>
    <s v=""/>
    <s v=""/>
    <x v="4"/>
    <s v="Resolute Forest Products - Saint-Felicien"/>
    <s v="CAD"/>
    <n v="87.85"/>
    <n v="62.858457705238784"/>
    <x v="1"/>
    <n v="0"/>
    <n v="0"/>
    <m/>
    <x v="0"/>
    <m/>
    <m/>
    <s v=""/>
    <s v=""/>
    <s v=""/>
    <s v=""/>
    <s v=""/>
    <s v=""/>
    <s v=""/>
    <s v=""/>
    <s v="[AC-98-131-246-509  -  52-108-475-014] Deflector (Outboard), Allis-Chalmers PWO, Group 3"/>
    <m/>
    <m/>
    <m/>
    <m/>
    <m/>
    <s v=""/>
    <s v=""/>
    <s v=""/>
    <s v=""/>
  </r>
  <r>
    <n v="1"/>
    <s v="SO18330"/>
    <m/>
    <x v="0"/>
    <x v="0"/>
    <m/>
    <s v="Wilka Nuñez"/>
    <n v="11"/>
    <n v="2025"/>
    <s v="INV13783"/>
    <s v=""/>
    <s v=""/>
    <x v="0"/>
    <s v="Manufacture Sling-Choker (Val-d’Or) Ltée"/>
    <s v="CAD"/>
    <n v="1394.21"/>
    <n v="1011.3501124899274"/>
    <x v="1"/>
    <n v="0"/>
    <n v="0"/>
    <m/>
    <x v="0"/>
    <m/>
    <m/>
    <s v=""/>
    <s v=""/>
    <s v=""/>
    <s v=""/>
    <s v=""/>
    <s v=""/>
    <s v=""/>
    <s v=""/>
    <s v="[OLPWZ011005B, G-A04951A218] Bearing Isolator (Inboard), 3196 MTX/MTi, 303SS Rotor / Bronze Stator w/Viton"/>
    <m/>
    <m/>
    <m/>
    <m/>
    <m/>
    <s v=""/>
    <s v=""/>
    <s v=""/>
    <s v=""/>
  </r>
  <r>
    <n v="0"/>
    <s v="SO18331"/>
    <m/>
    <x v="0"/>
    <x v="0"/>
    <m/>
    <s v="Ian Trottier"/>
    <n v="11"/>
    <n v="2025"/>
    <s v="No Inv"/>
    <s v=""/>
    <s v=""/>
    <x v="0"/>
    <s v="Motion Industries Inc. (U.S.) - Mason City"/>
    <s v="USD"/>
    <n v="42413.238904991347"/>
    <n v="30654.95999999999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35"/>
    <m/>
    <x v="0"/>
    <x v="0"/>
    <m/>
    <s v="Amanda Qiao"/>
    <n v="12"/>
    <n v="2025"/>
    <s v="No Inv"/>
    <s v=""/>
    <s v=""/>
    <x v="0"/>
    <s v="Zijin Mining - Rosebel Goldmines N.V."/>
    <s v="USD"/>
    <n v="11755.905351953827"/>
    <n v="8496.799999999999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37"/>
    <m/>
    <x v="0"/>
    <x v="0"/>
    <m/>
    <s v="Ian Trottier"/>
    <n v="12"/>
    <n v="2025"/>
    <s v="INV13771"/>
    <s v=""/>
    <s v=""/>
    <x v="4"/>
    <s v="Les Pompes du St-Laurent Inc."/>
    <s v="CAD"/>
    <n v="9738.39"/>
    <n v="6960.8318337043947"/>
    <x v="1"/>
    <n v="0"/>
    <n v="0"/>
    <m/>
    <x v="0"/>
    <m/>
    <m/>
    <s v=""/>
    <s v=""/>
    <s v=""/>
    <s v=""/>
    <s v=""/>
    <s v=""/>
    <s v=""/>
    <s v=""/>
    <s v="[DU-DY43289A-CD4] Casing, (Recessed), 3x3R-10, Durco Mark 2&amp;3, Group 2, CD4MCu"/>
    <m/>
    <m/>
    <m/>
    <m/>
    <m/>
    <s v=""/>
    <s v=""/>
    <s v=""/>
    <s v=""/>
  </r>
  <r>
    <n v="1"/>
    <s v="SO18339"/>
    <m/>
    <x v="0"/>
    <x v="0"/>
    <m/>
    <s v="Ian Trottier"/>
    <n v="12"/>
    <n v="2025"/>
    <s v="INV13714"/>
    <n v="12"/>
    <n v="2025"/>
    <x v="4"/>
    <s v="Middle Georgia Fluid Sealing LLC"/>
    <s v="USD"/>
    <n v="7845.1453959955697"/>
    <n v="5612.5"/>
    <x v="0"/>
    <n v="607"/>
    <n v="5005.5"/>
    <m/>
    <x v="0"/>
    <m/>
    <m/>
    <s v=""/>
    <s v=""/>
    <s v=""/>
    <s v=""/>
    <s v=""/>
    <s v=""/>
    <s v=""/>
    <s v=""/>
    <s v="[D-1J2311-14] Suction Cover, 2x3-11, Goulds JC, Frame 1J, High Chrome, OEM# 050387G0001228"/>
    <m/>
    <m/>
    <m/>
    <m/>
    <m/>
    <s v=""/>
    <s v=""/>
    <s v=""/>
    <s v=""/>
  </r>
  <r>
    <n v="1"/>
    <s v="SO18340"/>
    <m/>
    <x v="0"/>
    <x v="0"/>
    <m/>
    <s v="Alexis Gil Lamadrid"/>
    <n v="12"/>
    <n v="2025"/>
    <s v="INV13727"/>
    <s v=""/>
    <s v=""/>
    <x v="4"/>
    <s v="Manufacture Sling-Choker (Val-d’Or) Ltée"/>
    <s v="CAD"/>
    <n v="1066.47"/>
    <n v="762.29421143440823"/>
    <x v="1"/>
    <n v="0"/>
    <n v="0"/>
    <m/>
    <x v="0"/>
    <m/>
    <m/>
    <s v=""/>
    <s v=""/>
    <s v=""/>
    <s v=""/>
    <s v=""/>
    <s v=""/>
    <s v=""/>
    <s v=""/>
    <s v="[AC-98-236-360-501-CI] Gland Assembly, 8x6-18 &amp; 10x8-21 SRL-C, Cast Iron"/>
    <m/>
    <m/>
    <m/>
    <m/>
    <m/>
    <s v=""/>
    <s v=""/>
    <s v=""/>
    <s v=""/>
  </r>
  <r>
    <n v="0"/>
    <s v="SO18341"/>
    <m/>
    <x v="0"/>
    <x v="0"/>
    <m/>
    <s v="Wilka Nuñez"/>
    <n v="12"/>
    <n v="2025"/>
    <s v="No Inv"/>
    <s v=""/>
    <s v=""/>
    <x v="0"/>
    <s v="Motion Industries Inc. (Canada) - Prince George"/>
    <s v="CAD"/>
    <n v="8884.34"/>
    <n v="6373.313584011498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44"/>
    <m/>
    <x v="0"/>
    <x v="0"/>
    <m/>
    <s v="Yannett Yeomans"/>
    <n v="12"/>
    <n v="2025"/>
    <s v="No Inv"/>
    <s v=""/>
    <s v=""/>
    <x v="4"/>
    <s v="Dynapro Pumps México S de RL de CV"/>
    <s v="USD"/>
    <n v="7396.4965443408973"/>
    <n v="529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45"/>
    <m/>
    <x v="0"/>
    <x v="0"/>
    <m/>
    <s v="Amanda Qiao"/>
    <n v="12"/>
    <n v="2025"/>
    <s v="INV13834"/>
    <s v=""/>
    <s v=""/>
    <x v="4"/>
    <s v="Glencore Canada Corporation - Rouyn-Noranda"/>
    <s v="CAD"/>
    <n v="3049.16"/>
    <n v="2179.486546960851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46"/>
    <m/>
    <x v="0"/>
    <x v="0"/>
    <m/>
    <s v="Ian Trottier"/>
    <n v="12"/>
    <n v="2025"/>
    <s v="INV13792"/>
    <s v=""/>
    <s v=""/>
    <x v="0"/>
    <s v="Wesdome Gold Mines Ltd - Eagle River Mine"/>
    <s v="CAD"/>
    <n v="5957.6"/>
    <n v="4273.773066778951"/>
    <x v="1"/>
    <n v="0"/>
    <n v="0"/>
    <m/>
    <x v="0"/>
    <m/>
    <m/>
    <s v=""/>
    <s v=""/>
    <s v=""/>
    <s v=""/>
    <s v=""/>
    <s v=""/>
    <s v=""/>
    <s v=""/>
    <s v="[BG-A-402V] Mechanical Seal, Bell &amp; Gossett, E-80 4x4-7B, Carbon/Ceramic/304SS"/>
    <m/>
    <m/>
    <m/>
    <m/>
    <m/>
    <s v=""/>
    <s v=""/>
    <s v=""/>
    <s v=""/>
  </r>
  <r>
    <n v="2"/>
    <s v="SO18347"/>
    <m/>
    <x v="0"/>
    <x v="0"/>
    <m/>
    <s v="Aleksandar Stankovic"/>
    <n v="12"/>
    <n v="2025"/>
    <s v="INV13839"/>
    <s v=""/>
    <s v=""/>
    <x v="0"/>
    <s v="Covia Corp - Junction City"/>
    <s v="USD"/>
    <n v="5312.762146362531"/>
    <n v="3797.4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347"/>
    <m/>
    <x v="0"/>
    <x v="0"/>
    <m/>
    <n v="0"/>
    <n v="12"/>
    <n v="2025"/>
    <s v="INV13754"/>
    <s v=""/>
    <s v=""/>
    <x v="0"/>
    <s v="Covia Corp - Junction City"/>
    <s v="USD"/>
    <n v="0"/>
    <n v="0"/>
    <x v="1"/>
    <n v="65"/>
    <n v="0"/>
    <m/>
    <x v="0"/>
    <m/>
    <m/>
    <s v=""/>
    <s v=""/>
    <s v=""/>
    <s v=""/>
    <s v=""/>
    <s v=""/>
    <s v=""/>
    <s v=""/>
    <s v="[W-F061M/E62] Labyrinth Lock Nut, 8/6 to 14/12 F-AH, Metric"/>
    <m/>
    <m/>
    <m/>
    <m/>
    <m/>
    <s v=""/>
    <s v=""/>
    <s v=""/>
    <s v=""/>
  </r>
  <r>
    <n v="1"/>
    <s v="SO18349"/>
    <m/>
    <x v="0"/>
    <x v="0"/>
    <m/>
    <s v="Wilka Nuñez"/>
    <n v="12"/>
    <n v="2025"/>
    <s v="INV13808"/>
    <s v=""/>
    <s v=""/>
    <x v="4"/>
    <s v="Sling-Choker Manufacturing - Timmins"/>
    <s v="CAD"/>
    <n v="1997.45"/>
    <n v="1431.5647141029463"/>
    <x v="1"/>
    <n v="0"/>
    <n v="0"/>
    <m/>
    <x v="0"/>
    <m/>
    <m/>
    <s v=""/>
    <s v=""/>
    <s v=""/>
    <s v=""/>
    <s v=""/>
    <s v=""/>
    <s v=""/>
    <s v=""/>
    <s v="[AC-98-231-121-501] Suction Side Plate, 8x6-18 SRL-C, Natural Rubber"/>
    <m/>
    <m/>
    <m/>
    <m/>
    <m/>
    <s v=""/>
    <s v=""/>
    <s v=""/>
    <s v=""/>
  </r>
  <r>
    <n v="1"/>
    <s v="SO18350"/>
    <m/>
    <x v="0"/>
    <x v="0"/>
    <m/>
    <s v="Ian Trottier"/>
    <n v="12"/>
    <n v="2025"/>
    <s v="INV13724"/>
    <s v=""/>
    <s v=""/>
    <x v="4"/>
    <s v="Glencore Canada Corporation - Rouyn-Noranda"/>
    <s v="CAD"/>
    <n v="401.67"/>
    <n v="287.10673146629421"/>
    <x v="1"/>
    <n v="0"/>
    <n v="0"/>
    <m/>
    <x v="0"/>
    <m/>
    <m/>
    <s v=""/>
    <s v=""/>
    <s v=""/>
    <s v=""/>
    <s v=""/>
    <s v=""/>
    <s v=""/>
    <s v=""/>
    <s v="[AC-98-233-813-001] Neck Bushing, 5x4/5x5/6x6 SRL &amp; SRL-C"/>
    <m/>
    <m/>
    <m/>
    <m/>
    <m/>
    <s v=""/>
    <s v=""/>
    <s v=""/>
    <s v=""/>
  </r>
  <r>
    <n v="1"/>
    <s v="SO18351"/>
    <m/>
    <x v="0"/>
    <x v="0"/>
    <m/>
    <s v="Alexis Gil Lamadrid"/>
    <n v="12"/>
    <n v="2025"/>
    <s v="INV13767"/>
    <s v=""/>
    <s v=""/>
    <x v="0"/>
    <s v="Manufacture Sling-Choker (Val-d’Or) Ltée"/>
    <s v="CAD"/>
    <n v="2679.66"/>
    <n v="1936.9261999974974"/>
    <x v="1"/>
    <n v="0"/>
    <n v="0"/>
    <m/>
    <x v="0"/>
    <m/>
    <m/>
    <s v=""/>
    <s v=""/>
    <s v=""/>
    <s v=""/>
    <s v=""/>
    <s v=""/>
    <s v=""/>
    <s v=""/>
    <s v="[AC-98-431-651-507] Impeller (Closed), 8x6-18 SRL-C, Urethane"/>
    <m/>
    <m/>
    <m/>
    <m/>
    <m/>
    <s v=""/>
    <s v=""/>
    <s v=""/>
    <s v=""/>
  </r>
  <r>
    <n v="0"/>
    <s v="SO18354"/>
    <m/>
    <x v="0"/>
    <x v="0"/>
    <m/>
    <s v="Wilka Nuñez"/>
    <n v="12"/>
    <n v="2025"/>
    <s v="No Inv"/>
    <s v=""/>
    <s v=""/>
    <x v="0"/>
    <s v="Barrick Gold - Pueblo Viejo Dominicana Corporation"/>
    <s v="USD"/>
    <n v="6842.9640761370629"/>
    <n v="4945.8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56"/>
    <m/>
    <x v="0"/>
    <x v="0"/>
    <m/>
    <s v="Ian Trottier"/>
    <n v="12"/>
    <n v="2025"/>
    <s v="No Inv"/>
    <s v=""/>
    <s v=""/>
    <x v="4"/>
    <s v="Resolute Forest Products - Saint-Felicien"/>
    <s v="CAD"/>
    <n v="6836.47"/>
    <n v="4899.671691918880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57"/>
    <m/>
    <x v="0"/>
    <x v="0"/>
    <m/>
    <s v="Ian Trottier"/>
    <n v="12"/>
    <n v="2025"/>
    <s v="INV13759"/>
    <n v="12"/>
    <n v="2025"/>
    <x v="0"/>
    <s v="Sealtrac Inc."/>
    <s v="CAD"/>
    <n v="836.72"/>
    <n v="599.67399813973668"/>
    <x v="0"/>
    <n v="0"/>
    <n v="599.67399813973668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8358"/>
    <m/>
    <x v="0"/>
    <x v="0"/>
    <m/>
    <s v="Aleksandar Stankovic"/>
    <n v="12"/>
    <n v="2025"/>
    <s v="INV13774"/>
    <s v=""/>
    <s v=""/>
    <x v="0"/>
    <s v="SCG Process"/>
    <s v="CAD"/>
    <n v="328.68"/>
    <n v="237.57823881207977"/>
    <x v="1"/>
    <n v="0"/>
    <n v="0"/>
    <m/>
    <x v="0"/>
    <m/>
    <m/>
    <s v=""/>
    <s v=""/>
    <s v=""/>
    <s v=""/>
    <s v=""/>
    <s v=""/>
    <s v=""/>
    <s v=""/>
    <s v="[AC-98-233-212-501] Slinger Assembly, PWO Frame 3, Oil"/>
    <m/>
    <m/>
    <m/>
    <m/>
    <m/>
    <s v=""/>
    <s v=""/>
    <s v=""/>
    <s v=""/>
  </r>
  <r>
    <n v="0"/>
    <s v="SO18360"/>
    <m/>
    <x v="0"/>
    <x v="0"/>
    <m/>
    <s v="Yannett Yeomans"/>
    <n v="12"/>
    <n v="2025"/>
    <s v="No Inv"/>
    <s v=""/>
    <s v=""/>
    <x v="0"/>
    <s v="Dynapro Pumps México S de RL de CV"/>
    <s v="USD"/>
    <n v="43322.150088036811"/>
    <n v="3098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61"/>
    <m/>
    <x v="0"/>
    <x v="0"/>
    <m/>
    <s v="Yannett Yeomans"/>
    <n v="12"/>
    <n v="2025"/>
    <s v="INV13820"/>
    <s v=""/>
    <s v=""/>
    <x v="0"/>
    <s v="Dynapro Pumps México S de RL de CV"/>
    <s v="USD"/>
    <n v="1069.630932653891"/>
    <n v="76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63"/>
    <m/>
    <x v="0"/>
    <x v="0"/>
    <m/>
    <s v="Wilka Nuñez"/>
    <n v="12"/>
    <n v="2025"/>
    <s v="No Inv"/>
    <s v=""/>
    <s v=""/>
    <x v="0"/>
    <s v="Barrick Gold - Pueblo Viejo Dominicana Corporation"/>
    <s v="USD"/>
    <n v="2730.9497665006543"/>
    <n v="1996.8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65"/>
    <m/>
    <x v="0"/>
    <x v="0"/>
    <m/>
    <s v="Leriel Reyes"/>
    <n v="12"/>
    <n v="2025"/>
    <s v="No Inv"/>
    <s v=""/>
    <s v=""/>
    <x v="0"/>
    <s v="Wesdome Gold Mines Ltd - Eagle River Mine"/>
    <s v="CAD"/>
    <n v="14569.4"/>
    <n v="10451.57602375608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66"/>
    <m/>
    <x v="0"/>
    <x v="0"/>
    <m/>
    <s v="Aleksandar Stankovic"/>
    <n v="12"/>
    <n v="2025"/>
    <s v="INV13779"/>
    <s v=""/>
    <s v=""/>
    <x v="0"/>
    <s v="Covia Corp - Guion"/>
    <s v="USD"/>
    <n v="15111.571033559638"/>
    <n v="10922.17"/>
    <x v="1"/>
    <n v="563"/>
    <n v="0"/>
    <m/>
    <x v="0"/>
    <m/>
    <m/>
    <s v=""/>
    <s v=""/>
    <s v=""/>
    <s v=""/>
    <s v=""/>
    <s v=""/>
    <s v=""/>
    <s v=""/>
    <s v="[W-G8036M/R55] Frame Plate Liner, 10/8 F or ST-AH, Natural Rubber"/>
    <m/>
    <m/>
    <m/>
    <m/>
    <m/>
    <s v=""/>
    <s v=""/>
    <s v=""/>
    <s v=""/>
  </r>
  <r>
    <n v="1"/>
    <s v="SO18367"/>
    <m/>
    <x v="0"/>
    <x v="0"/>
    <m/>
    <s v="Wilka Nuñez"/>
    <n v="12"/>
    <n v="2025"/>
    <s v="INV13733"/>
    <s v=""/>
    <s v=""/>
    <x v="0"/>
    <s v="Hyperflo"/>
    <s v="CAD"/>
    <n v="861.5"/>
    <n v="618.00985246241203"/>
    <x v="1"/>
    <n v="0"/>
    <n v="0"/>
    <m/>
    <x v="0"/>
    <m/>
    <m/>
    <s v=""/>
    <s v=""/>
    <s v=""/>
    <s v=""/>
    <s v=""/>
    <s v=""/>
    <s v=""/>
    <s v=""/>
    <s v="[AC-98-233-733-513] Deflector (Water Slinger), 8x6-18 &amp; 10x8-21 SRL-C, Neoprene/Steel"/>
    <m/>
    <m/>
    <m/>
    <m/>
    <m/>
    <s v=""/>
    <s v=""/>
    <s v=""/>
    <s v=""/>
  </r>
  <r>
    <n v="0"/>
    <s v="SO18368"/>
    <m/>
    <x v="0"/>
    <x v="0"/>
    <m/>
    <s v="Yannett Yeomans"/>
    <n v="12"/>
    <n v="2025"/>
    <s v="No Inv"/>
    <s v=""/>
    <s v=""/>
    <x v="0"/>
    <s v="Dynapro Pumps México S de RL de CV"/>
    <s v="USD"/>
    <n v="36410.130283674851"/>
    <n v="2609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69"/>
    <m/>
    <x v="0"/>
    <x v="0"/>
    <m/>
    <s v="Leriel Reyes"/>
    <n v="12"/>
    <n v="2025"/>
    <s v="No Inv"/>
    <s v=""/>
    <s v=""/>
    <x v="0"/>
    <s v="Wesdome Gold Mines Ltd - Eagle River Mine"/>
    <s v="CAD"/>
    <n v="16879.22"/>
    <n v="12178.53191498932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71"/>
    <m/>
    <x v="0"/>
    <x v="0"/>
    <m/>
    <s v="Ian Trottier"/>
    <n v="12"/>
    <n v="2025"/>
    <s v="INV13795"/>
    <s v=""/>
    <s v=""/>
    <x v="0"/>
    <s v="Wajax Limited - Pointe-aux-Trembles"/>
    <s v="CAD"/>
    <n v="4160.45"/>
    <n v="3018.7508404082641"/>
    <x v="1"/>
    <n v="0"/>
    <n v="0"/>
    <m/>
    <x v="0"/>
    <m/>
    <m/>
    <s v=""/>
    <s v=""/>
    <s v=""/>
    <s v=""/>
    <s v=""/>
    <s v=""/>
    <s v=""/>
    <s v=""/>
    <s v="[D-3J4614-6] Suction Cover Liner, 4x6-14, Goulds JC, Frame 3J, High Chrome, OEM# 048944G0001228"/>
    <m/>
    <m/>
    <m/>
    <m/>
    <m/>
    <s v=""/>
    <s v=""/>
    <s v=""/>
    <s v=""/>
  </r>
  <r>
    <n v="2"/>
    <s v="SO18372"/>
    <m/>
    <x v="0"/>
    <x v="0"/>
    <m/>
    <s v="Ian Trottier"/>
    <n v="12"/>
    <n v="2025"/>
    <s v="INV13824"/>
    <s v=""/>
    <s v=""/>
    <x v="0"/>
    <s v="Glencore Canada Corporation - Rouyn-Noranda"/>
    <s v="CAD"/>
    <n v="2367.9699999999998"/>
    <n v="1708.5148613939079"/>
    <x v="1"/>
    <n v="0"/>
    <n v="0"/>
    <m/>
    <x v="0"/>
    <m/>
    <m/>
    <s v=""/>
    <s v=""/>
    <s v=""/>
    <s v=""/>
    <s v=""/>
    <s v=""/>
    <s v=""/>
    <s v=""/>
    <s v="[AC-52-126-488-803] Mechanical Seal, Type-21, Allis-Chalmers 8000 Series, Carbon vs' Ni-Resist w/EPR Elastom"/>
    <m/>
    <m/>
    <m/>
    <m/>
    <m/>
    <s v=""/>
    <s v=""/>
    <s v=""/>
    <s v=""/>
  </r>
  <r>
    <n v="2"/>
    <s v="SO18372"/>
    <m/>
    <x v="0"/>
    <x v="0"/>
    <m/>
    <n v="0"/>
    <n v="12"/>
    <n v="2025"/>
    <s v="INV13747"/>
    <s v=""/>
    <s v=""/>
    <x v="0"/>
    <s v="Glencore Canada Corporation - Rouyn-Noranda"/>
    <s v="CAD"/>
    <n v="0"/>
    <n v="0"/>
    <x v="1"/>
    <n v="0"/>
    <n v="0"/>
    <m/>
    <x v="0"/>
    <m/>
    <m/>
    <s v=""/>
    <s v=""/>
    <s v=""/>
    <s v=""/>
    <s v=""/>
    <s v=""/>
    <s v=""/>
    <s v=""/>
    <s v="[AC-52-126-488-803] Mechanical Seal, Type-21, Allis-Chalmers 8000 Series, Carbon vs' Ni-Resist w/EPR Elastom"/>
    <m/>
    <m/>
    <m/>
    <m/>
    <m/>
    <s v=""/>
    <s v=""/>
    <s v=""/>
    <s v=""/>
  </r>
  <r>
    <n v="1"/>
    <s v="SO18373"/>
    <m/>
    <x v="0"/>
    <x v="0"/>
    <m/>
    <s v="Aleksandar Stankovic"/>
    <n v="12"/>
    <n v="2025"/>
    <s v="INV13748"/>
    <s v=""/>
    <s v=""/>
    <x v="0"/>
    <s v="Harvey Bearings"/>
    <s v="CAD"/>
    <n v="754.36"/>
    <n v="544.27854695841097"/>
    <x v="1"/>
    <n v="0"/>
    <n v="0"/>
    <m/>
    <x v="0"/>
    <m/>
    <m/>
    <s v=""/>
    <s v=""/>
    <s v=""/>
    <s v=""/>
    <s v=""/>
    <s v=""/>
    <s v=""/>
    <s v=""/>
    <s v="[AC-98-130-366-001] Shaft Sleeve, PWO Frame 1, 316SS"/>
    <m/>
    <m/>
    <m/>
    <m/>
    <m/>
    <s v=""/>
    <s v=""/>
    <s v=""/>
    <s v=""/>
  </r>
  <r>
    <n v="1"/>
    <s v="SO18374"/>
    <m/>
    <x v="0"/>
    <x v="0"/>
    <m/>
    <s v="Alexis Gil Lamadrid"/>
    <n v="12"/>
    <n v="2025"/>
    <s v="INV13803"/>
    <s v=""/>
    <s v=""/>
    <x v="0"/>
    <s v="Manufacture Sling-Choker (Val-d’Or) Ltée"/>
    <s v="CAD"/>
    <n v="3345.05"/>
    <n v="2432.8900507138151"/>
    <x v="1"/>
    <n v="0"/>
    <n v="0"/>
    <m/>
    <x v="0"/>
    <m/>
    <m/>
    <s v=""/>
    <s v=""/>
    <s v=""/>
    <s v=""/>
    <s v=""/>
    <s v=""/>
    <s v=""/>
    <s v=""/>
    <s v="[AC-98-233-815-001] Half Seal Cage, 5x4/5x5/6x6 SRL &amp; SRL-C, Steel"/>
    <m/>
    <m/>
    <m/>
    <m/>
    <m/>
    <s v=""/>
    <s v=""/>
    <s v=""/>
    <s v=""/>
  </r>
  <r>
    <n v="1"/>
    <s v="SO18375"/>
    <m/>
    <x v="0"/>
    <x v="0"/>
    <m/>
    <s v="Ian Trottier"/>
    <n v="12"/>
    <n v="2025"/>
    <s v="INV13793"/>
    <s v=""/>
    <s v=""/>
    <x v="0"/>
    <s v="Motion Industries Inc. (Canada) - Prince George"/>
    <s v="CAD"/>
    <n v="7748.12"/>
    <n v="5626.9827995877331"/>
    <x v="1"/>
    <n v="0"/>
    <n v="0"/>
    <m/>
    <x v="0"/>
    <m/>
    <m/>
    <s v=""/>
    <s v=""/>
    <s v=""/>
    <s v=""/>
    <s v=""/>
    <s v=""/>
    <s v=""/>
    <s v=""/>
    <s v="[W-E4147/A05] Impeller, 6/4 D or E-AH, High Chrome"/>
    <m/>
    <m/>
    <m/>
    <m/>
    <m/>
    <s v=""/>
    <s v=""/>
    <s v=""/>
    <s v=""/>
  </r>
  <r>
    <n v="0"/>
    <s v="SO18377"/>
    <m/>
    <x v="0"/>
    <x v="0"/>
    <m/>
    <s v="Alexis Gil Lamadrid"/>
    <n v="12"/>
    <n v="2025"/>
    <s v="No Inv"/>
    <s v=""/>
    <s v=""/>
    <x v="0"/>
    <s v="Wajax Limited - Noranda"/>
    <s v="CAD"/>
    <n v="6937.76"/>
    <n v="5021.581737664912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78"/>
    <m/>
    <x v="0"/>
    <x v="0"/>
    <m/>
    <s v="Ian Trottier"/>
    <n v="12"/>
    <n v="2025"/>
    <s v="INV13769"/>
    <s v=""/>
    <s v=""/>
    <x v="0"/>
    <s v="Les Pompes du St-Laurent Inc."/>
    <s v="CAD"/>
    <n v="2979.04"/>
    <n v="2163.4934460596683"/>
    <x v="1"/>
    <n v="0"/>
    <n v="0"/>
    <m/>
    <x v="0"/>
    <m/>
    <m/>
    <s v=""/>
    <s v=""/>
    <s v=""/>
    <s v=""/>
    <s v=""/>
    <s v=""/>
    <s v=""/>
    <s v=""/>
    <s v="[G-R102-871 2238] Shaft (Sleeve Type), 3175-S, 4140 Steel"/>
    <m/>
    <m/>
    <m/>
    <m/>
    <m/>
    <s v=""/>
    <s v=""/>
    <s v=""/>
    <s v=""/>
  </r>
  <r>
    <n v="0"/>
    <s v="SO18380"/>
    <m/>
    <x v="0"/>
    <x v="0"/>
    <m/>
    <s v="Alexis Gil Lamadrid"/>
    <n v="12"/>
    <n v="2025"/>
    <s v="No Inv"/>
    <s v=""/>
    <s v=""/>
    <x v="0"/>
    <s v="Wajax Limited - Val D'Or"/>
    <s v="CAD"/>
    <n v="1458"/>
    <n v="1059.105812366363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381"/>
    <m/>
    <x v="0"/>
    <x v="0"/>
    <m/>
    <s v="Alexis Gil Lamadrid"/>
    <n v="12"/>
    <n v="2025"/>
    <s v="No Inv"/>
    <s v=""/>
    <s v=""/>
    <x v="0"/>
    <s v="Hyperflo"/>
    <s v="CAD"/>
    <n v="958.11"/>
    <n v="695.8163386877079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83"/>
    <m/>
    <x v="0"/>
    <x v="0"/>
    <m/>
    <s v="Aleksandar Stankovic"/>
    <n v="12"/>
    <n v="2025"/>
    <s v="INV13810"/>
    <s v=""/>
    <s v=""/>
    <x v="0"/>
    <s v="Tantalum Mining Corporation of Canada"/>
    <s v="CAD"/>
    <n v="2880.54"/>
    <n v="2092.8558173254523"/>
    <x v="1"/>
    <n v="0"/>
    <n v="0"/>
    <m/>
    <x v="0"/>
    <m/>
    <m/>
    <s v=""/>
    <s v=""/>
    <s v=""/>
    <s v=""/>
    <s v=""/>
    <s v=""/>
    <s v=""/>
    <s v=""/>
    <s v="[AC-98-331-958-822] Shaft Sleeve, 3x3-10 SRL &amp; SRL-C, 420SS Heat Treated, Hardened"/>
    <m/>
    <m/>
    <m/>
    <m/>
    <m/>
    <s v=""/>
    <s v=""/>
    <s v=""/>
    <s v=""/>
  </r>
  <r>
    <n v="0"/>
    <s v="SO18384"/>
    <m/>
    <x v="0"/>
    <x v="0"/>
    <m/>
    <s v="Wilka Nuñez"/>
    <n v="12"/>
    <n v="2025"/>
    <s v="No Inv"/>
    <s v=""/>
    <s v=""/>
    <x v="0"/>
    <s v="Sling-Choker Manufacturing - Timmins"/>
    <s v="CAD"/>
    <n v="2303.7800000000002"/>
    <n v="1665.230604267046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85"/>
    <m/>
    <x v="0"/>
    <x v="0"/>
    <m/>
    <s v="Alexis Gil Lamadrid"/>
    <n v="12"/>
    <n v="2025"/>
    <s v="INV13766"/>
    <s v=""/>
    <s v=""/>
    <x v="0"/>
    <s v="Manufacture Sling-Choker (Val-d’Or) Ltée"/>
    <s v="CAD"/>
    <n v="836.85"/>
    <n v="604.8964012105663"/>
    <x v="1"/>
    <n v="0"/>
    <n v="0"/>
    <m/>
    <x v="0"/>
    <m/>
    <m/>
    <s v=""/>
    <s v=""/>
    <s v=""/>
    <s v=""/>
    <s v=""/>
    <s v=""/>
    <s v=""/>
    <s v=""/>
    <s v="[AC-98-331-936-801] Bearing Cover (Inboard), 8x6-18 &amp; 10x8-21 SRL-C, Cast Iron"/>
    <m/>
    <m/>
    <m/>
    <m/>
    <m/>
    <s v=""/>
    <s v=""/>
    <s v=""/>
    <s v=""/>
  </r>
  <r>
    <n v="0"/>
    <s v="SO18388"/>
    <m/>
    <x v="0"/>
    <x v="0"/>
    <m/>
    <s v="Ian Trottier"/>
    <n v="12"/>
    <n v="2025"/>
    <s v="No Inv"/>
    <s v=""/>
    <s v=""/>
    <x v="0"/>
    <s v="Resolute Forest Products - Saint-Felicien"/>
    <s v="CAD"/>
    <n v="4843.1099999999997"/>
    <n v="3500.448142104233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389"/>
    <m/>
    <x v="0"/>
    <x v="0"/>
    <m/>
    <s v="Ian Trottier"/>
    <n v="12"/>
    <n v="2025"/>
    <s v="INV13768"/>
    <s v=""/>
    <s v=""/>
    <x v="0"/>
    <s v="Resolute Forest Products - Saint-Felicien"/>
    <s v="CAD"/>
    <n v="398.12"/>
    <n v="289.13005892679371"/>
    <x v="1"/>
    <n v="0"/>
    <n v="0"/>
    <m/>
    <x v="0"/>
    <m/>
    <m/>
    <s v=""/>
    <s v=""/>
    <s v=""/>
    <s v=""/>
    <s v=""/>
    <s v=""/>
    <s v=""/>
    <s v=""/>
    <s v="[OLPWZ011004B, G-A04951A217] Bearing Isolator (Outboard), 3196 STX/STi, 303SS Rotor / Bronze Stator w/Viton"/>
    <m/>
    <m/>
    <m/>
    <m/>
    <m/>
    <s v=""/>
    <s v=""/>
    <s v=""/>
    <s v=""/>
  </r>
  <r>
    <n v="1"/>
    <s v="SO18392"/>
    <m/>
    <x v="0"/>
    <x v="0"/>
    <m/>
    <s v="Alexis Gil Lamadrid"/>
    <n v="12"/>
    <n v="2025"/>
    <s v="INV13786"/>
    <s v=""/>
    <s v=""/>
    <x v="0"/>
    <s v="Canadian Bearings Ltd."/>
    <s v="CAD"/>
    <n v="350.39"/>
    <n v="254.84233266157858"/>
    <x v="1"/>
    <n v="0"/>
    <n v="0"/>
    <m/>
    <x v="0"/>
    <m/>
    <m/>
    <s v=""/>
    <s v=""/>
    <s v=""/>
    <s v=""/>
    <s v=""/>
    <s v=""/>
    <s v=""/>
    <s v=""/>
    <s v="[AC-98-430-807-163] Casing Gasket, 21&quot;, PWO Frame 3"/>
    <m/>
    <m/>
    <m/>
    <m/>
    <m/>
    <s v=""/>
    <s v=""/>
    <s v=""/>
    <s v=""/>
  </r>
  <r>
    <n v="0"/>
    <s v="SO18395"/>
    <m/>
    <x v="0"/>
    <x v="0"/>
    <m/>
    <s v="Yannett Yeomans"/>
    <n v="12"/>
    <n v="2025"/>
    <s v="No Inv"/>
    <s v=""/>
    <s v=""/>
    <x v="0"/>
    <s v="Dynapro Pumps México S de RL de CV"/>
    <s v="USD"/>
    <n v="15909.790471128848"/>
    <n v="1150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02"/>
    <m/>
    <x v="0"/>
    <x v="0"/>
    <m/>
    <s v="Wilka Nuñez"/>
    <n v="12"/>
    <n v="2025"/>
    <s v="INV13801"/>
    <s v=""/>
    <s v=""/>
    <x v="0"/>
    <s v="Industrial Rigging &amp; Supply"/>
    <s v="CAD"/>
    <n v="1269.24"/>
    <n v="921.98865657605188"/>
    <x v="1"/>
    <n v="0"/>
    <n v="0"/>
    <m/>
    <x v="0"/>
    <m/>
    <m/>
    <s v=""/>
    <s v=""/>
    <s v=""/>
    <s v=""/>
    <s v=""/>
    <s v=""/>
    <s v=""/>
    <s v=""/>
    <s v="[AC-98-234-268-001-SS] Waterseal Bushing, 5x4/5x5/6x6 SRL, 316SS"/>
    <m/>
    <m/>
    <m/>
    <m/>
    <m/>
    <s v=""/>
    <s v=""/>
    <s v=""/>
    <s v=""/>
  </r>
  <r>
    <n v="0"/>
    <s v="SO18411"/>
    <m/>
    <x v="0"/>
    <x v="0"/>
    <m/>
    <s v="Aleksandar Stankovic"/>
    <n v="12"/>
    <n v="2025"/>
    <s v="No Inv"/>
    <s v=""/>
    <s v=""/>
    <x v="0"/>
    <s v="Hyperflo, Hyperflo"/>
    <s v="CAD"/>
    <n v="958.19"/>
    <n v="695.0642760321068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13"/>
    <m/>
    <x v="0"/>
    <x v="0"/>
    <m/>
    <s v="Ian Trottier"/>
    <n v="12"/>
    <n v="2025"/>
    <s v="INV13794"/>
    <s v=""/>
    <s v=""/>
    <x v="0"/>
    <s v="TC Industries of Canada Co."/>
    <s v="CAD"/>
    <n v="1014.3"/>
    <n v="735.76607476530319"/>
    <x v="1"/>
    <n v="0"/>
    <n v="0"/>
    <m/>
    <x v="0"/>
    <m/>
    <m/>
    <s v=""/>
    <s v=""/>
    <s v=""/>
    <s v=""/>
    <s v=""/>
    <s v=""/>
    <s v=""/>
    <s v=""/>
    <s v="[AC-52-430-298-006] Seal Cage (Lantern Ring), Allis Chalmers PWO, Group 2"/>
    <m/>
    <m/>
    <m/>
    <m/>
    <m/>
    <s v=""/>
    <s v=""/>
    <s v=""/>
    <s v=""/>
  </r>
  <r>
    <n v="1"/>
    <s v="SO18416"/>
    <m/>
    <x v="0"/>
    <x v="0"/>
    <m/>
    <s v="Aleksandar Stankovic"/>
    <n v="12"/>
    <n v="2025"/>
    <s v="INV13832"/>
    <s v=""/>
    <s v=""/>
    <x v="0"/>
    <s v="Wajax Limited - Noranda"/>
    <s v="CAD"/>
    <n v="164.89"/>
    <n v="119.9262314351656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17"/>
    <m/>
    <x v="0"/>
    <x v="0"/>
    <m/>
    <s v="Ian Trottier"/>
    <n v="12"/>
    <n v="2025"/>
    <s v="INV13785"/>
    <s v=""/>
    <s v=""/>
    <x v="0"/>
    <s v="Grant Aggregate"/>
    <s v="CAD"/>
    <n v="6061.16"/>
    <n v="4396.72276616826"/>
    <x v="1"/>
    <n v="0"/>
    <n v="0"/>
    <m/>
    <x v="0"/>
    <m/>
    <m/>
    <s v=""/>
    <s v=""/>
    <s v=""/>
    <s v=""/>
    <s v=""/>
    <s v=""/>
    <s v=""/>
    <s v=""/>
    <s v="[AC-98-431-651-501] Impeller (Closed), 8x6-18 SRL-C, Natural Rubber"/>
    <m/>
    <m/>
    <m/>
    <m/>
    <m/>
    <s v=""/>
    <s v=""/>
    <s v=""/>
    <s v=""/>
  </r>
  <r>
    <n v="0"/>
    <s v="SO18419"/>
    <m/>
    <x v="0"/>
    <x v="0"/>
    <m/>
    <s v="Wilka Nuñez"/>
    <n v="12"/>
    <n v="2025"/>
    <s v="No Inv"/>
    <s v=""/>
    <s v=""/>
    <x v="0"/>
    <s v="Barrick Gold - Pueblo Viejo Dominicana Corporation"/>
    <s v="USD"/>
    <n v="45786.554150751821"/>
    <n v="33233.3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20"/>
    <m/>
    <x v="0"/>
    <x v="0"/>
    <m/>
    <s v="Ian Trottier"/>
    <n v="12"/>
    <n v="2025"/>
    <s v="INV13828"/>
    <s v=""/>
    <s v=""/>
    <x v="0"/>
    <s v="Resolute Forest Products - Saint-Felicien"/>
    <s v="CAD"/>
    <n v="1434.48"/>
    <n v="1042.0206486442396"/>
    <x v="1"/>
    <n v="0"/>
    <n v="0"/>
    <m/>
    <x v="0"/>
    <m/>
    <m/>
    <s v=""/>
    <s v=""/>
    <s v=""/>
    <s v=""/>
    <s v=""/>
    <s v=""/>
    <s v=""/>
    <s v=""/>
    <s v="[52-321-237-100] Impeller, 2x1-10, Allis-Chalmers CSO, 317SS"/>
    <m/>
    <m/>
    <m/>
    <m/>
    <m/>
    <s v=""/>
    <s v=""/>
    <s v=""/>
    <s v=""/>
  </r>
  <r>
    <n v="0"/>
    <s v="SO18423"/>
    <m/>
    <x v="0"/>
    <x v="0"/>
    <m/>
    <s v="Ian Trottier"/>
    <n v="12"/>
    <n v="2025"/>
    <s v="No Inv"/>
    <s v=""/>
    <s v=""/>
    <x v="0"/>
    <s v="Sealtrac Inc."/>
    <s v="CAD"/>
    <n v="214.88"/>
    <n v="156.0909855701537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24"/>
    <m/>
    <x v="0"/>
    <x v="0"/>
    <m/>
    <s v="Leriel Reyes"/>
    <n v="12"/>
    <n v="2025"/>
    <s v="INV13814"/>
    <s v=""/>
    <s v=""/>
    <x v="0"/>
    <s v="Southeast Pump Specialist, Inc."/>
    <s v="USD"/>
    <n v="11928.541065357476"/>
    <n v="8658.11"/>
    <x v="1"/>
    <n v="690"/>
    <n v="0"/>
    <m/>
    <x v="0"/>
    <m/>
    <m/>
    <s v=""/>
    <s v=""/>
    <s v=""/>
    <s v=""/>
    <s v=""/>
    <s v=""/>
    <s v=""/>
    <s v=""/>
    <s v="[G-1.5x2-14-JC-HC] Pump, 1.5x2-14, Dynapro DC, Frame 2J, High Chrome"/>
    <m/>
    <m/>
    <m/>
    <m/>
    <m/>
    <s v=""/>
    <s v=""/>
    <s v=""/>
    <s v=""/>
  </r>
  <r>
    <n v="1"/>
    <s v="SO18425"/>
    <m/>
    <x v="0"/>
    <x v="0"/>
    <m/>
    <s v="Marlen Martinez"/>
    <n v="12"/>
    <n v="2025"/>
    <s v="INV13787"/>
    <s v=""/>
    <s v=""/>
    <x v="0"/>
    <s v="Wajax Limited - Val D'Or, Wajax Limited - Val D'Or"/>
    <s v="CAD"/>
    <n v="448.78"/>
    <n v="325.99828976253531"/>
    <x v="1"/>
    <n v="0"/>
    <n v="0"/>
    <m/>
    <x v="0"/>
    <m/>
    <m/>
    <s v=""/>
    <s v=""/>
    <s v=""/>
    <s v=""/>
    <s v=""/>
    <s v=""/>
    <s v=""/>
    <s v=""/>
    <s v="[AC-98-110-406-001] Slinger, Water Ring, 10x8 SRL-C (Old Style), Steel"/>
    <m/>
    <m/>
    <m/>
    <m/>
    <m/>
    <s v=""/>
    <s v=""/>
    <s v=""/>
    <s v=""/>
  </r>
  <r>
    <n v="1"/>
    <s v="SO18429"/>
    <m/>
    <x v="0"/>
    <x v="0"/>
    <m/>
    <s v="Wilka Nuñez"/>
    <n v="12"/>
    <n v="2025"/>
    <s v="INV13813"/>
    <s v=""/>
    <s v=""/>
    <x v="0"/>
    <s v="Southeast Pump Specialist, Inc."/>
    <s v="USD"/>
    <n v="6547.2114297125026"/>
    <n v="4755.96"/>
    <x v="1"/>
    <n v="633"/>
    <n v="0"/>
    <m/>
    <x v="0"/>
    <m/>
    <m/>
    <s v=""/>
    <s v=""/>
    <s v=""/>
    <s v=""/>
    <s v=""/>
    <s v=""/>
    <s v=""/>
    <s v=""/>
    <s v="[AC-98-231-079-501] Gland Side Liner, 5x5-14 SRL, Natural Rubber"/>
    <m/>
    <m/>
    <m/>
    <m/>
    <m/>
    <s v=""/>
    <s v=""/>
    <s v=""/>
    <s v=""/>
  </r>
  <r>
    <n v="1"/>
    <s v="SO18431"/>
    <m/>
    <x v="0"/>
    <x v="0"/>
    <m/>
    <s v="Aleksandar Stankovic"/>
    <n v="12"/>
    <n v="2025"/>
    <s v="INV13802"/>
    <s v=""/>
    <s v=""/>
    <x v="0"/>
    <s v="FMI Products"/>
    <s v="CAD"/>
    <n v="102.8"/>
    <n v="74.519383524115298"/>
    <x v="1"/>
    <n v="0"/>
    <n v="0"/>
    <m/>
    <x v="0"/>
    <m/>
    <m/>
    <s v=""/>
    <s v=""/>
    <s v=""/>
    <s v=""/>
    <s v=""/>
    <s v=""/>
    <s v=""/>
    <s v=""/>
    <s v="[G-C02495A032 5302] Shaft Sleeve O-Ring, 5x4-14 SRL-C, Buna"/>
    <m/>
    <m/>
    <m/>
    <m/>
    <m/>
    <s v=""/>
    <s v=""/>
    <s v=""/>
    <s v=""/>
  </r>
  <r>
    <n v="1"/>
    <s v="SO18432"/>
    <m/>
    <x v="0"/>
    <x v="0"/>
    <m/>
    <s v="Aleksandar Stankovic"/>
    <n v="12"/>
    <n v="2025"/>
    <s v="INV13829"/>
    <s v=""/>
    <s v=""/>
    <x v="0"/>
    <s v="Motion Industries Inc. (Canada) - Winnipeg"/>
    <s v="CAD"/>
    <n v="100"/>
    <n v="72.752238251278627"/>
    <x v="1"/>
    <n v="0"/>
    <n v="0"/>
    <m/>
    <x v="0"/>
    <m/>
    <m/>
    <s v=""/>
    <s v=""/>
    <s v=""/>
    <s v=""/>
    <s v=""/>
    <s v=""/>
    <s v=""/>
    <s v=""/>
    <s v="[DU-Y22774B-TM] Rear Cover/Casing Gasket, 10&quot;, Durco Mark 2&amp;3 Group 2, Teflon"/>
    <m/>
    <m/>
    <m/>
    <m/>
    <m/>
    <s v=""/>
    <s v=""/>
    <s v=""/>
    <s v=""/>
  </r>
  <r>
    <n v="0"/>
    <s v="SO18433"/>
    <m/>
    <x v="0"/>
    <x v="0"/>
    <m/>
    <s v="Ian Trottier"/>
    <n v="12"/>
    <n v="2025"/>
    <s v="No Inv"/>
    <s v=""/>
    <s v=""/>
    <x v="0"/>
    <s v="Resolute Forest Products - Dolbeau"/>
    <s v="USD"/>
    <n v="10593.190849300185"/>
    <n v="7695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434"/>
    <m/>
    <x v="0"/>
    <x v="0"/>
    <m/>
    <s v="Ian Trottier"/>
    <n v="12"/>
    <n v="2025"/>
    <s v="INV13837"/>
    <s v=""/>
    <s v=""/>
    <x v="0"/>
    <s v="Yossi Avisar Technologies Ltd."/>
    <s v="USD"/>
    <n v="9008.3861051447602"/>
    <n v="6584.64"/>
    <x v="0"/>
    <n v="0"/>
    <n v="6584.64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2"/>
    <s v="SO18434"/>
    <m/>
    <x v="0"/>
    <x v="0"/>
    <m/>
    <n v="0"/>
    <n v="12"/>
    <n v="2025"/>
    <s v="INV13812"/>
    <n v="1"/>
    <n v="2026"/>
    <x v="0"/>
    <s v="Yossi Avisar Technologies Ltd."/>
    <s v="USD"/>
    <n v="0"/>
    <n v="0"/>
    <x v="1"/>
    <n v="0"/>
    <n v="0"/>
    <m/>
    <x v="0"/>
    <m/>
    <m/>
    <s v=""/>
    <s v=""/>
    <s v=""/>
    <s v=""/>
    <s v=""/>
    <s v=""/>
    <s v=""/>
    <s v=""/>
    <s v="Impeller (Closed), 8x6-18 SRL-C, Neoprene"/>
    <m/>
    <m/>
    <m/>
    <m/>
    <m/>
    <s v=""/>
    <s v=""/>
    <s v=""/>
    <s v=""/>
  </r>
  <r>
    <n v="0"/>
    <s v="SO18435"/>
    <m/>
    <x v="0"/>
    <x v="0"/>
    <m/>
    <s v="Aleksandar Stankovic"/>
    <n v="12"/>
    <n v="2025"/>
    <s v="No Inv"/>
    <s v=""/>
    <s v=""/>
    <x v="0"/>
    <s v="Wajax Limited - Val D'Or, Wajax Limited - Val D'Or"/>
    <s v="CAD"/>
    <n v="498.96"/>
    <n v="361.6944708481767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36"/>
    <m/>
    <x v="0"/>
    <x v="0"/>
    <m/>
    <s v="Ian Trottier"/>
    <n v="12"/>
    <n v="2025"/>
    <s v="No Inv"/>
    <s v=""/>
    <s v=""/>
    <x v="0"/>
    <s v="PT Vale Indonesia Tbk."/>
    <s v="USD"/>
    <n v="1024.214943714014"/>
    <n v="74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37"/>
    <m/>
    <x v="0"/>
    <x v="0"/>
    <m/>
    <s v="Ian Trottier"/>
    <n v="12"/>
    <n v="2025"/>
    <s v="No Inv"/>
    <s v=""/>
    <s v=""/>
    <x v="0"/>
    <s v="PT Vale Indonesia Tbk."/>
    <s v="USD"/>
    <n v="1024.214943714014"/>
    <n v="74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40"/>
    <m/>
    <x v="0"/>
    <x v="0"/>
    <m/>
    <s v="Wilka Nuñez"/>
    <n v="12"/>
    <n v="2025"/>
    <s v="No Inv"/>
    <s v=""/>
    <s v=""/>
    <x v="0"/>
    <s v="Motion Industries Inc. (U.S.) - Tucson"/>
    <s v="USD"/>
    <n v="3586.4461365362336"/>
    <n v="2608.4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44"/>
    <m/>
    <x v="0"/>
    <x v="0"/>
    <m/>
    <s v="Ian Trottier"/>
    <n v="12"/>
    <n v="2025"/>
    <s v="INV13800"/>
    <s v=""/>
    <s v=""/>
    <x v="0"/>
    <s v="Cameco Corporation - Blind River Refinery"/>
    <s v="CAD"/>
    <n v="194.17"/>
    <n v="140.75319745989748"/>
    <x v="1"/>
    <n v="0"/>
    <n v="0"/>
    <m/>
    <x v="0"/>
    <m/>
    <m/>
    <s v=""/>
    <s v=""/>
    <s v=""/>
    <s v=""/>
    <s v=""/>
    <s v=""/>
    <s v=""/>
    <s v=""/>
    <s v="[G-76782 1013] Adapter Ring, 3196 STX, 8&quot; Pumps, Cast Iron"/>
    <m/>
    <m/>
    <m/>
    <m/>
    <m/>
    <s v=""/>
    <s v=""/>
    <s v=""/>
    <s v=""/>
  </r>
  <r>
    <n v="1"/>
    <s v="SO18445"/>
    <m/>
    <x v="0"/>
    <x v="0"/>
    <m/>
    <s v="Wilka Nuñez"/>
    <n v="12"/>
    <n v="2025"/>
    <s v="INV13809"/>
    <s v=""/>
    <s v=""/>
    <x v="0"/>
    <s v="Sling-Choker Manufacturing - Timmins"/>
    <s v="CAD"/>
    <n v="13758.59"/>
    <n v="10009.682176816596"/>
    <x v="1"/>
    <n v="0"/>
    <n v="0"/>
    <m/>
    <x v="0"/>
    <m/>
    <m/>
    <s v=""/>
    <s v=""/>
    <s v=""/>
    <s v=""/>
    <s v=""/>
    <s v=""/>
    <s v=""/>
    <s v=""/>
    <s v="[AC-98-130-364-006] Bearing Cover Gasket (Inboard), 12x10-25 SRL-C"/>
    <m/>
    <m/>
    <m/>
    <m/>
    <m/>
    <s v=""/>
    <s v=""/>
    <s v=""/>
    <s v=""/>
  </r>
  <r>
    <n v="0"/>
    <s v="SO18446"/>
    <m/>
    <x v="0"/>
    <x v="0"/>
    <m/>
    <s v="Ian Trottier"/>
    <n v="12"/>
    <n v="2025"/>
    <s v="No Inv"/>
    <s v=""/>
    <s v=""/>
    <x v="0"/>
    <s v="Resolute Forest Products - Saint-Felicien"/>
    <s v="CAD"/>
    <n v="1297.19"/>
    <n v="943.7347593717609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52"/>
    <m/>
    <x v="0"/>
    <x v="0"/>
    <m/>
    <s v="Aleksandar Stankovic"/>
    <n v="12"/>
    <n v="2025"/>
    <s v="INV13798"/>
    <s v=""/>
    <s v=""/>
    <x v="0"/>
    <s v="Hyperflo"/>
    <s v="CAD"/>
    <n v="172.58"/>
    <n v="125.22107465241943"/>
    <x v="1"/>
    <n v="0"/>
    <n v="0"/>
    <m/>
    <x v="0"/>
    <m/>
    <m/>
    <s v=""/>
    <s v=""/>
    <s v=""/>
    <s v=""/>
    <s v=""/>
    <s v=""/>
    <s v=""/>
    <s v=""/>
    <s v="[AC-98-332-015-804] Fastener Kit (Casing Side Plate), 10x8-21 SRL-C"/>
    <m/>
    <m/>
    <m/>
    <m/>
    <m/>
    <s v=""/>
    <s v=""/>
    <s v=""/>
    <s v=""/>
  </r>
  <r>
    <n v="0"/>
    <s v="SO18453"/>
    <m/>
    <x v="0"/>
    <x v="0"/>
    <m/>
    <s v="Wilka Nuñez"/>
    <n v="12"/>
    <n v="2025"/>
    <s v="No Inv"/>
    <s v=""/>
    <s v=""/>
    <x v="0"/>
    <s v="Canadian Bearings Ltd."/>
    <s v="CAD"/>
    <n v="91.9"/>
    <n v="67.16511513913261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54"/>
    <m/>
    <x v="0"/>
    <x v="0"/>
    <m/>
    <s v="Wilka Nuñez"/>
    <n v="12"/>
    <n v="2025"/>
    <s v="No Inv"/>
    <s v=""/>
    <s v=""/>
    <x v="0"/>
    <s v="Barrick Gold - Pueblo Viejo Dominicana Corporation"/>
    <s v="USD"/>
    <n v="8952.4476512088841"/>
    <n v="6489.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55"/>
    <m/>
    <x v="0"/>
    <x v="0"/>
    <m/>
    <s v="Aleksandar Stankovic"/>
    <n v="12"/>
    <n v="2025"/>
    <s v="No Inv"/>
    <s v=""/>
    <s v=""/>
    <x v="0"/>
    <s v="Motion Industries Inc. (Canada) - Prince George"/>
    <s v="CAD"/>
    <n v="8905.86"/>
    <n v="6494.708788912808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56"/>
    <m/>
    <x v="0"/>
    <x v="0"/>
    <m/>
    <s v="Yannett Yeomans"/>
    <n v="12"/>
    <n v="2025"/>
    <s v="No Inv"/>
    <s v=""/>
    <s v=""/>
    <x v="0"/>
    <s v="Dynapro Pumps México S de RL de CV"/>
    <s v="USD"/>
    <n v="27590.136992137832"/>
    <n v="2000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60"/>
    <m/>
    <x v="0"/>
    <x v="0"/>
    <m/>
    <s v="Aleksandar Stankovic"/>
    <n v="12"/>
    <n v="2025"/>
    <s v="No Inv"/>
    <s v=""/>
    <s v=""/>
    <x v="0"/>
    <s v="Tech-Flow"/>
    <s v="USD"/>
    <n v="20404.087089963836"/>
    <n v="14790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61"/>
    <m/>
    <x v="0"/>
    <x v="0"/>
    <m/>
    <s v="Wilka Nuñez"/>
    <n v="12"/>
    <n v="2025"/>
    <s v="INV13827"/>
    <s v=""/>
    <s v=""/>
    <x v="0"/>
    <s v="Wajax Limited - Noranda"/>
    <s v="CAD"/>
    <n v="1075"/>
    <n v="782.08656120124522"/>
    <x v="1"/>
    <n v="0"/>
    <n v="0"/>
    <m/>
    <x v="0"/>
    <m/>
    <m/>
    <s v=""/>
    <s v=""/>
    <s v=""/>
    <s v=""/>
    <s v=""/>
    <s v=""/>
    <s v=""/>
    <s v=""/>
    <s v="[G-0B10009 1216] Impeller, 1x2-10, 3196 MTX, CD4MCu, 5-Vane"/>
    <m/>
    <m/>
    <m/>
    <m/>
    <m/>
    <s v=""/>
    <s v=""/>
    <s v=""/>
    <s v=""/>
  </r>
  <r>
    <n v="1"/>
    <s v="SO18465"/>
    <m/>
    <x v="0"/>
    <x v="0"/>
    <m/>
    <s v="Wilka Nuñez"/>
    <n v="12"/>
    <n v="2025"/>
    <s v="INV13826"/>
    <s v=""/>
    <s v=""/>
    <x v="0"/>
    <s v="Wajax Limited - Noranda"/>
    <s v="CAD"/>
    <n v="420.82"/>
    <n v="306.15596900903068"/>
    <x v="1"/>
    <n v="0"/>
    <n v="0"/>
    <m/>
    <x v="0"/>
    <m/>
    <m/>
    <s v=""/>
    <s v=""/>
    <s v=""/>
    <s v=""/>
    <s v=""/>
    <s v=""/>
    <s v=""/>
    <s v=""/>
    <s v="[G-73705X 2229] Shaft Sleeve, 3196 MTX, 316SS"/>
    <m/>
    <m/>
    <m/>
    <m/>
    <m/>
    <s v=""/>
    <s v=""/>
    <s v=""/>
    <s v=""/>
  </r>
  <r>
    <n v="1"/>
    <s v="SO18466"/>
    <m/>
    <x v="0"/>
    <x v="0"/>
    <m/>
    <s v="Ian Trottier"/>
    <n v="12"/>
    <n v="2025"/>
    <s v="INV13830"/>
    <s v=""/>
    <s v=""/>
    <x v="0"/>
    <s v="Resolute Forest Products - Clermont"/>
    <s v="CAD"/>
    <n v="1109.1099999999999"/>
    <n v="810.6990514348787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67"/>
    <m/>
    <x v="0"/>
    <x v="0"/>
    <m/>
    <s v="Wilka Nuñez"/>
    <n v="12"/>
    <n v="2025"/>
    <s v="INV13804"/>
    <s v=""/>
    <s v=""/>
    <x v="0"/>
    <s v="SCG Process"/>
    <s v="CAD"/>
    <n v="2909.65"/>
    <n v="2121.8983262324082"/>
    <x v="1"/>
    <n v="0"/>
    <n v="0"/>
    <m/>
    <x v="0"/>
    <m/>
    <m/>
    <s v=""/>
    <s v=""/>
    <s v=""/>
    <s v=""/>
    <s v=""/>
    <s v=""/>
    <s v=""/>
    <s v=""/>
    <s v="[AC-98-231-115-503] Suction Side Liner, 5X4-14 SRL-C, Neoprene"/>
    <m/>
    <m/>
    <m/>
    <m/>
    <m/>
    <s v=""/>
    <s v=""/>
    <s v=""/>
    <s v=""/>
  </r>
  <r>
    <n v="0"/>
    <s v="SO18468"/>
    <m/>
    <x v="0"/>
    <x v="0"/>
    <m/>
    <s v="Amanda Qiao"/>
    <n v="12"/>
    <n v="2025"/>
    <s v="No Inv"/>
    <s v=""/>
    <s v=""/>
    <x v="0"/>
    <s v="Mill-Right Mine Services Inc."/>
    <s v="USD"/>
    <n v="242.82414430994527"/>
    <n v="176.66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71"/>
    <m/>
    <x v="0"/>
    <x v="0"/>
    <m/>
    <s v="Ian Trottier"/>
    <n v="12"/>
    <n v="2025"/>
    <s v="No Inv"/>
    <s v=""/>
    <s v=""/>
    <x v="0"/>
    <s v="Cameco Corporation - Blind River Refinery, Cameco Corporation - Blind River Refinery"/>
    <s v="CAD"/>
    <n v="4389.78"/>
    <n v="3208.2707196459364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1"/>
    <s v="SO18472"/>
    <m/>
    <x v="0"/>
    <x v="0"/>
    <m/>
    <s v="Aleksandar Stankovic"/>
    <n v="12"/>
    <n v="2025"/>
    <s v="INV13811"/>
    <s v=""/>
    <s v=""/>
    <x v="0"/>
    <s v="Canadian Bearings Ltd."/>
    <s v="CAD"/>
    <n v="131.91999999999999"/>
    <n v="96.413732199721153"/>
    <x v="1"/>
    <n v="0"/>
    <n v="0"/>
    <m/>
    <x v="0"/>
    <m/>
    <m/>
    <s v=""/>
    <s v=""/>
    <s v=""/>
    <s v=""/>
    <s v=""/>
    <s v=""/>
    <s v=""/>
    <s v=""/>
    <s v="[AC-52-431-816-007] Casing Gasket, 10&quot;,  Allis Chalmers CSO"/>
    <m/>
    <m/>
    <m/>
    <m/>
    <m/>
    <s v=""/>
    <s v=""/>
    <s v=""/>
    <s v=""/>
  </r>
  <r>
    <n v="0"/>
    <s v="SO18477"/>
    <m/>
    <x v="0"/>
    <x v="0"/>
    <m/>
    <s v="Aleksandar Stankovic"/>
    <n v="12"/>
    <n v="2025"/>
    <s v="No Inv"/>
    <s v=""/>
    <s v=""/>
    <x v="0"/>
    <s v="Hyperflo"/>
    <s v="CAD"/>
    <n v="916.59"/>
    <n v="669.8898028876774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79"/>
    <m/>
    <x v="0"/>
    <x v="0"/>
    <m/>
    <s v="Alexis Gil Lamadrid"/>
    <n v="12"/>
    <n v="2025"/>
    <s v="No Inv"/>
    <s v=""/>
    <s v=""/>
    <x v="0"/>
    <s v="Tech-Flow"/>
    <s v="USD"/>
    <n v="3490.1091628512177"/>
    <n v="2551.98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82"/>
    <m/>
    <x v="0"/>
    <x v="0"/>
    <m/>
    <s v="Wilka Nuñez"/>
    <n v="12"/>
    <n v="2025"/>
    <s v="No Inv"/>
    <s v=""/>
    <s v=""/>
    <x v="0"/>
    <s v="Hyperflo"/>
    <s v="CAD"/>
    <n v="2849.11"/>
    <n v="2062.198569076832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s v="SO18484"/>
    <m/>
    <x v="0"/>
    <x v="0"/>
    <m/>
    <s v="Wilka Nuñez"/>
    <n v="12"/>
    <n v="2025"/>
    <s v="No Inv"/>
    <s v=""/>
    <s v=""/>
    <x v="0"/>
    <s v="Cartledge &amp; Associates Inc."/>
    <s v="USD"/>
    <n v="4920.0653262641699"/>
    <n v="3596.3"/>
    <x v="1"/>
    <n v="0"/>
    <n v="0"/>
    <m/>
    <x v="0"/>
    <m/>
    <m/>
    <s v=""/>
    <s v=""/>
    <s v=""/>
    <s v=""/>
    <s v=""/>
    <s v=""/>
    <s v=""/>
    <s v=""/>
    <e v="#N/A"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  <r>
    <n v="0"/>
    <n v="0"/>
    <m/>
    <x v="0"/>
    <x v="0"/>
    <m/>
    <n v="0"/>
    <n v="0"/>
    <n v="0"/>
    <n v="0"/>
    <n v="0"/>
    <n v="0"/>
    <x v="0"/>
    <n v="0"/>
    <n v="0"/>
    <n v="0"/>
    <n v="0"/>
    <x v="2"/>
    <n v="0"/>
    <n v="0"/>
    <m/>
    <x v="0"/>
    <m/>
    <m/>
    <s v=""/>
    <s v=""/>
    <s v=""/>
    <s v=""/>
    <s v=""/>
    <s v=""/>
    <s v=""/>
    <s v=""/>
    <m/>
    <m/>
    <m/>
    <m/>
    <m/>
    <m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pageFields count="1">
    <pageField fld="8" item="1" hier="-1"/>
  </pageFields>
  <dataFields count="1">
    <dataField name="Average of Tasa de divisa" fld="9" subtotal="average" baseField="19" baseItem="3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gridDropZones="1" multipleFieldFilters="0">
  <location ref="A3:I500" firstHeaderRow="1" firstDataRow="2" firstDataCol="5" rowPageCount="1" colPageCount="1"/>
  <pivotFields count="4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1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4"/>
        <item x="935"/>
        <item x="936"/>
        <item x="937"/>
        <item x="938"/>
        <item x="939"/>
        <item x="940"/>
        <item x="941"/>
        <item x="942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9"/>
        <item x="1010"/>
        <item x="1011"/>
        <item x="1012"/>
        <item x="1013"/>
        <item x="1014"/>
        <item x="1015"/>
        <item x="1017"/>
        <item x="1018"/>
        <item x="1020"/>
        <item x="1021"/>
        <item x="1022"/>
        <item x="1023"/>
        <item x="1025"/>
        <item x="1026"/>
        <item x="1027"/>
        <item x="1028"/>
        <item x="1029"/>
        <item x="1030"/>
        <item x="1032"/>
        <item x="1033"/>
        <item x="1035"/>
        <item x="1036"/>
        <item x="1038"/>
        <item x="1039"/>
        <item x="1041"/>
        <item x="1042"/>
        <item x="1043"/>
        <item x="1044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1"/>
        <item x="1062"/>
        <item x="1063"/>
        <item x="1065"/>
        <item x="1066"/>
        <item x="1068"/>
        <item x="1150"/>
        <item x="635"/>
        <item x="943"/>
        <item x="1008"/>
        <item m="1" x="1151"/>
        <item x="1045"/>
        <item x="1064"/>
        <item x="1067"/>
        <item x="1072"/>
        <item x="1073"/>
        <item x="1074"/>
        <item x="1076"/>
        <item x="1077"/>
        <item x="1080"/>
        <item x="1081"/>
        <item x="1084"/>
        <item x="451"/>
        <item x="662"/>
        <item x="706"/>
        <item x="796"/>
        <item x="804"/>
        <item x="837"/>
        <item x="868"/>
        <item x="916"/>
        <item x="918"/>
        <item x="933"/>
        <item x="992"/>
        <item x="1016"/>
        <item x="1019"/>
        <item x="1024"/>
        <item x="1031"/>
        <item x="1034"/>
        <item x="1037"/>
        <item x="1040"/>
        <item x="1060"/>
        <item x="1069"/>
        <item x="1070"/>
        <item x="1071"/>
        <item x="1075"/>
        <item x="1078"/>
        <item x="1079"/>
        <item x="1082"/>
        <item x="1083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t="default"/>
      </items>
    </pivotField>
    <pivotField compact="0" numFmtId="14" outline="0" showAll="0"/>
    <pivotField axis="axisRow" compact="0" outline="0" showAll="0" defaultSubtotal="0">
      <items count="1250">
        <item x="396"/>
        <item x="563"/>
        <item x="660"/>
        <item x="784"/>
        <item x="884"/>
        <item x="856"/>
        <item x="1042"/>
        <item x="176"/>
        <item x="809"/>
        <item x="0"/>
        <item x="5"/>
        <item x="11"/>
        <item x="18"/>
        <item x="23"/>
        <item x="19"/>
        <item x="2"/>
        <item x="22"/>
        <item x="27"/>
        <item x="4"/>
        <item x="7"/>
        <item x="14"/>
        <item x="13"/>
        <item x="29"/>
        <item x="38"/>
        <item x="10"/>
        <item x="39"/>
        <item x="42"/>
        <item x="45"/>
        <item x="41"/>
        <item x="37"/>
        <item x="43"/>
        <item x="34"/>
        <item x="53"/>
        <item x="44"/>
        <item x="32"/>
        <item x="17"/>
        <item x="49"/>
        <item x="59"/>
        <item x="78"/>
        <item x="61"/>
        <item x="58"/>
        <item x="73"/>
        <item x="67"/>
        <item x="68"/>
        <item x="69"/>
        <item x="71"/>
        <item x="74"/>
        <item x="81"/>
        <item x="55"/>
        <item x="88"/>
        <item x="87"/>
        <item x="93"/>
        <item x="91"/>
        <item x="94"/>
        <item x="66"/>
        <item x="90"/>
        <item x="36"/>
        <item x="102"/>
        <item x="104"/>
        <item x="84"/>
        <item x="26"/>
        <item x="99"/>
        <item x="101"/>
        <item x="76"/>
        <item x="20"/>
        <item x="77"/>
        <item x="116"/>
        <item x="114"/>
        <item x="85"/>
        <item x="3"/>
        <item x="15"/>
        <item x="80"/>
        <item x="98"/>
        <item x="57"/>
        <item x="95"/>
        <item x="16"/>
        <item x="86"/>
        <item x="105"/>
        <item x="56"/>
        <item x="142"/>
        <item x="121"/>
        <item x="141"/>
        <item x="149"/>
        <item x="64"/>
        <item x="122"/>
        <item x="148"/>
        <item x="83"/>
        <item x="110"/>
        <item x="167"/>
        <item x="134"/>
        <item x="166"/>
        <item x="96"/>
        <item x="158"/>
        <item x="171"/>
        <item x="124"/>
        <item x="118"/>
        <item x="46"/>
        <item x="164"/>
        <item x="189"/>
        <item x="28"/>
        <item x="175"/>
        <item x="183"/>
        <item x="184"/>
        <item x="40"/>
        <item x="155"/>
        <item x="125"/>
        <item x="112"/>
        <item x="187"/>
        <item x="157"/>
        <item x="191"/>
        <item x="107"/>
        <item x="50"/>
        <item x="139"/>
        <item x="163"/>
        <item x="146"/>
        <item x="169"/>
        <item x="186"/>
        <item x="60"/>
        <item x="210"/>
        <item x="63"/>
        <item x="185"/>
        <item x="192"/>
        <item x="199"/>
        <item x="205"/>
        <item x="35"/>
        <item x="161"/>
        <item x="226"/>
        <item x="229"/>
        <item x="206"/>
        <item x="224"/>
        <item x="204"/>
        <item x="209"/>
        <item x="180"/>
        <item x="236"/>
        <item x="113"/>
        <item x="111"/>
        <item x="62"/>
        <item x="240"/>
        <item x="200"/>
        <item x="217"/>
        <item x="65"/>
        <item x="72"/>
        <item x="8"/>
        <item x="89"/>
        <item x="235"/>
        <item x="231"/>
        <item x="170"/>
        <item x="159"/>
        <item x="211"/>
        <item x="51"/>
        <item x="127"/>
        <item x="79"/>
        <item x="248"/>
        <item x="262"/>
        <item x="202"/>
        <item x="48"/>
        <item x="261"/>
        <item x="269"/>
        <item x="31"/>
        <item x="196"/>
        <item x="30"/>
        <item x="249"/>
        <item x="272"/>
        <item x="172"/>
        <item x="266"/>
        <item x="225"/>
        <item x="270"/>
        <item x="241"/>
        <item x="178"/>
        <item x="276"/>
        <item x="247"/>
        <item x="283"/>
        <item x="260"/>
        <item x="207"/>
        <item x="271"/>
        <item x="296"/>
        <item x="243"/>
        <item x="302"/>
        <item x="299"/>
        <item x="258"/>
        <item x="288"/>
        <item x="293"/>
        <item x="312"/>
        <item x="254"/>
        <item x="305"/>
        <item x="282"/>
        <item x="286"/>
        <item x="306"/>
        <item x="309"/>
        <item x="301"/>
        <item x="162"/>
        <item x="287"/>
        <item x="150"/>
        <item x="126"/>
        <item x="135"/>
        <item x="291"/>
        <item x="128"/>
        <item x="267"/>
        <item x="304"/>
        <item x="321"/>
        <item x="298"/>
        <item x="324"/>
        <item x="263"/>
        <item x="133"/>
        <item x="151"/>
        <item x="331"/>
        <item x="314"/>
        <item x="234"/>
        <item x="24"/>
        <item x="289"/>
        <item x="242"/>
        <item x="238"/>
        <item x="153"/>
        <item x="213"/>
        <item x="257"/>
        <item x="203"/>
        <item x="117"/>
        <item x="256"/>
        <item x="82"/>
        <item x="218"/>
        <item x="340"/>
        <item x="12"/>
        <item x="273"/>
        <item x="338"/>
        <item x="129"/>
        <item x="346"/>
        <item x="350"/>
        <item x="349"/>
        <item x="310"/>
        <item x="329"/>
        <item x="356"/>
        <item x="355"/>
        <item x="347"/>
        <item x="237"/>
        <item x="252"/>
        <item x="280"/>
        <item x="322"/>
        <item x="300"/>
        <item x="348"/>
        <item x="345"/>
        <item x="318"/>
        <item x="320"/>
        <item x="264"/>
        <item x="279"/>
        <item x="364"/>
        <item x="367"/>
        <item x="251"/>
        <item x="294"/>
        <item x="372"/>
        <item x="359"/>
        <item x="52"/>
        <item x="311"/>
        <item x="319"/>
        <item x="339"/>
        <item x="378"/>
        <item x="268"/>
        <item x="366"/>
        <item x="382"/>
        <item x="233"/>
        <item x="130"/>
        <item x="316"/>
        <item x="360"/>
        <item x="353"/>
        <item x="325"/>
        <item x="369"/>
        <item x="115"/>
        <item x="385"/>
        <item x="120"/>
        <item x="212"/>
        <item x="140"/>
        <item x="109"/>
        <item x="358"/>
        <item x="342"/>
        <item x="165"/>
        <item x="9"/>
        <item x="397"/>
        <item x="398"/>
        <item x="136"/>
        <item x="395"/>
        <item x="394"/>
        <item x="387"/>
        <item x="337"/>
        <item x="33"/>
        <item x="404"/>
        <item x="330"/>
        <item x="403"/>
        <item x="281"/>
        <item x="253"/>
        <item x="297"/>
        <item x="232"/>
        <item x="97"/>
        <item x="370"/>
        <item x="137"/>
        <item x="412"/>
        <item x="277"/>
        <item x="194"/>
        <item x="103"/>
        <item x="285"/>
        <item x="230"/>
        <item x="154"/>
        <item x="413"/>
        <item x="335"/>
        <item x="417"/>
        <item x="374"/>
        <item x="47"/>
        <item x="415"/>
        <item x="405"/>
        <item x="430"/>
        <item x="425"/>
        <item x="418"/>
        <item x="424"/>
        <item x="179"/>
        <item x="160"/>
        <item x="380"/>
        <item x="371"/>
        <item x="307"/>
        <item x="400"/>
        <item x="373"/>
        <item x="220"/>
        <item x="228"/>
        <item x="227"/>
        <item x="274"/>
        <item x="420"/>
        <item x="432"/>
        <item x="435"/>
        <item x="368"/>
        <item x="379"/>
        <item x="428"/>
        <item x="250"/>
        <item x="132"/>
        <item x="365"/>
        <item x="6"/>
        <item x="408"/>
        <item x="421"/>
        <item x="177"/>
        <item x="439"/>
        <item x="377"/>
        <item x="351"/>
        <item x="446"/>
        <item x="448"/>
        <item x="443"/>
        <item x="427"/>
        <item x="402"/>
        <item x="441"/>
        <item x="108"/>
        <item x="327"/>
        <item x="315"/>
        <item x="361"/>
        <item x="450"/>
        <item x="216"/>
        <item x="119"/>
        <item x="451"/>
        <item x="422"/>
        <item x="462"/>
        <item x="406"/>
        <item x="444"/>
        <item x="357"/>
        <item x="463"/>
        <item x="457"/>
        <item x="434"/>
        <item x="447"/>
        <item x="431"/>
        <item x="449"/>
        <item x="461"/>
        <item x="476"/>
        <item x="458"/>
        <item x="344"/>
        <item x="459"/>
        <item x="454"/>
        <item x="143"/>
        <item x="473"/>
        <item x="195"/>
        <item x="181"/>
        <item x="472"/>
        <item x="452"/>
        <item x="265"/>
        <item x="481"/>
        <item x="453"/>
        <item x="471"/>
        <item x="478"/>
        <item x="1"/>
        <item x="208"/>
        <item x="21"/>
        <item x="75"/>
        <item x="485"/>
        <item x="456"/>
        <item x="486"/>
        <item x="317"/>
        <item x="487"/>
        <item x="477"/>
        <item x="474"/>
        <item x="147"/>
        <item x="375"/>
        <item x="492"/>
        <item x="201"/>
        <item x="429"/>
        <item x="497"/>
        <item x="326"/>
        <item x="419"/>
        <item x="106"/>
        <item x="278"/>
        <item x="409"/>
        <item x="362"/>
        <item x="308"/>
        <item x="343"/>
        <item x="156"/>
        <item x="495"/>
        <item x="502"/>
        <item x="501"/>
        <item x="352"/>
        <item x="506"/>
        <item x="426"/>
        <item x="221"/>
        <item x="336"/>
        <item x="482"/>
        <item x="284"/>
        <item x="246"/>
        <item x="515"/>
        <item x="507"/>
        <item x="520"/>
        <item x="499"/>
        <item x="522"/>
        <item x="468"/>
        <item x="494"/>
        <item x="511"/>
        <item x="518"/>
        <item x="411"/>
        <item x="524"/>
        <item x="414"/>
        <item x="532"/>
        <item x="245"/>
        <item x="244"/>
        <item x="536"/>
        <item x="519"/>
        <item x="341"/>
        <item x="410"/>
        <item x="551"/>
        <item x="548"/>
        <item x="547"/>
        <item x="546"/>
        <item x="545"/>
        <item x="521"/>
        <item x="498"/>
        <item x="168"/>
        <item x="193"/>
        <item x="198"/>
        <item x="303"/>
        <item x="538"/>
        <item x="466"/>
        <item x="381"/>
        <item x="552"/>
        <item x="543"/>
        <item x="549"/>
        <item x="334"/>
        <item x="553"/>
        <item x="490"/>
        <item x="556"/>
        <item x="145"/>
        <item x="554"/>
        <item x="442"/>
        <item x="525"/>
        <item x="131"/>
        <item x="290"/>
        <item x="517"/>
        <item x="541"/>
        <item x="558"/>
        <item x="562"/>
        <item x="579"/>
        <item x="391"/>
        <item x="557"/>
        <item x="568"/>
        <item x="533"/>
        <item x="565"/>
        <item x="332"/>
        <item x="92"/>
        <item x="25"/>
        <item x="197"/>
        <item x="573"/>
        <item x="585"/>
        <item x="537"/>
        <item x="433"/>
        <item x="70"/>
        <item x="489"/>
        <item x="571"/>
        <item x="582"/>
        <item x="569"/>
        <item x="493"/>
        <item x="572"/>
        <item x="583"/>
        <item x="496"/>
        <item x="445"/>
        <item x="503"/>
        <item x="534"/>
        <item x="544"/>
        <item x="566"/>
        <item x="602"/>
        <item x="526"/>
        <item x="138"/>
        <item x="255"/>
        <item x="588"/>
        <item x="570"/>
        <item x="591"/>
        <item x="555"/>
        <item x="601"/>
        <item x="584"/>
        <item x="597"/>
        <item x="610"/>
        <item x="500"/>
        <item x="574"/>
        <item x="504"/>
        <item x="587"/>
        <item x="455"/>
        <item x="488"/>
        <item x="275"/>
        <item x="259"/>
        <item x="609"/>
        <item x="611"/>
        <item x="577"/>
        <item x="292"/>
        <item x="619"/>
        <item x="599"/>
        <item x="384"/>
        <item x="479"/>
        <item x="123"/>
        <item x="625"/>
        <item x="612"/>
        <item x="629"/>
        <item x="630"/>
        <item x="440"/>
        <item x="632"/>
        <item x="628"/>
        <item x="475"/>
        <item x="641"/>
        <item x="640"/>
        <item x="564"/>
        <item x="627"/>
        <item x="467"/>
        <item x="363"/>
        <item x="483"/>
        <item x="636"/>
        <item x="542"/>
        <item x="617"/>
        <item x="388"/>
        <item x="383"/>
        <item x="401"/>
        <item x="643"/>
        <item x="423"/>
        <item x="576"/>
        <item x="650"/>
        <item x="651"/>
        <item x="354"/>
        <item x="620"/>
        <item x="586"/>
        <item x="589"/>
        <item x="460"/>
        <item x="662"/>
        <item x="399"/>
        <item x="656"/>
        <item x="593"/>
        <item x="618"/>
        <item x="667"/>
        <item x="416"/>
        <item x="615"/>
        <item x="666"/>
        <item x="635"/>
        <item x="683"/>
        <item x="595"/>
        <item x="648"/>
        <item x="671"/>
        <item x="684"/>
        <item x="152"/>
        <item x="182"/>
        <item x="668"/>
        <item x="670"/>
        <item x="653"/>
        <item x="680"/>
        <item x="622"/>
        <item x="694"/>
        <item x="637"/>
        <item x="527"/>
        <item x="323"/>
        <item x="659"/>
        <item x="539"/>
        <item x="604"/>
        <item x="714"/>
        <item x="707"/>
        <item x="706"/>
        <item x="720"/>
        <item x="646"/>
        <item x="616"/>
        <item x="721"/>
        <item x="657"/>
        <item x="700"/>
        <item x="702"/>
        <item x="664"/>
        <item x="698"/>
        <item x="654"/>
        <item x="687"/>
        <item x="295"/>
        <item x="658"/>
        <item x="704"/>
        <item x="708"/>
        <item x="691"/>
        <item x="690"/>
        <item x="638"/>
        <item x="550"/>
        <item x="469"/>
        <item x="174"/>
        <item x="219"/>
        <item x="505"/>
        <item x="313"/>
        <item x="239"/>
        <item x="676"/>
        <item x="752"/>
        <item x="578"/>
        <item x="742"/>
        <item x="762"/>
        <item x="744"/>
        <item x="701"/>
        <item x="655"/>
        <item x="407"/>
        <item x="523"/>
        <item x="480"/>
        <item x="190"/>
        <item x="723"/>
        <item x="745"/>
        <item x="731"/>
        <item x="767"/>
        <item x="514"/>
        <item x="173"/>
        <item x="222"/>
        <item x="386"/>
        <item x="743"/>
        <item x="613"/>
        <item x="766"/>
        <item x="711"/>
        <item x="214"/>
        <item x="770"/>
        <item x="623"/>
        <item x="779"/>
        <item x="749"/>
        <item x="778"/>
        <item x="645"/>
        <item x="634"/>
        <item x="715"/>
        <item x="437"/>
        <item x="661"/>
        <item x="783"/>
        <item x="732"/>
        <item x="392"/>
        <item x="624"/>
        <item x="781"/>
        <item x="769"/>
        <item x="735"/>
        <item x="692"/>
        <item x="763"/>
        <item x="795"/>
        <item x="771"/>
        <item x="750"/>
        <item x="780"/>
        <item x="726"/>
        <item x="796"/>
        <item x="215"/>
        <item x="639"/>
        <item x="717"/>
        <item x="529"/>
        <item x="389"/>
        <item x="712"/>
        <item x="746"/>
        <item x="801"/>
        <item x="803"/>
        <item x="748"/>
        <item x="598"/>
        <item x="626"/>
        <item x="669"/>
        <item x="581"/>
        <item x="144"/>
        <item x="776"/>
        <item x="775"/>
        <item x="798"/>
        <item x="790"/>
        <item x="695"/>
        <item x="693"/>
        <item x="665"/>
        <item x="561"/>
        <item x="753"/>
        <item x="705"/>
        <item x="438"/>
        <item x="465"/>
        <item x="774"/>
        <item x="328"/>
        <item x="697"/>
        <item x="768"/>
        <item x="686"/>
        <item x="818"/>
        <item x="813"/>
        <item x="804"/>
        <item x="816"/>
        <item x="614"/>
        <item x="826"/>
        <item x="819"/>
        <item x="631"/>
        <item x="757"/>
        <item x="596"/>
        <item x="649"/>
        <item x="827"/>
        <item x="833"/>
        <item x="829"/>
        <item x="830"/>
        <item x="832"/>
        <item x="773"/>
        <item x="831"/>
        <item x="835"/>
        <item x="739"/>
        <item x="740"/>
        <item x="376"/>
        <item x="508"/>
        <item x="719"/>
        <item x="709"/>
        <item x="516"/>
        <item x="844"/>
        <item x="839"/>
        <item x="836"/>
        <item x="838"/>
        <item x="724"/>
        <item x="594"/>
        <item x="849"/>
        <item x="797"/>
        <item x="789"/>
        <item x="575"/>
        <item x="592"/>
        <item x="737"/>
        <item x="850"/>
        <item x="848"/>
        <item x="851"/>
        <item x="825"/>
        <item x="535"/>
        <item x="696"/>
        <item x="860"/>
        <item x="758"/>
        <item x="678"/>
        <item x="799"/>
        <item x="788"/>
        <item x="733"/>
        <item x="603"/>
        <item x="710"/>
        <item x="845"/>
        <item x="814"/>
        <item x="815"/>
        <item x="811"/>
        <item x="847"/>
        <item x="861"/>
        <item x="560"/>
        <item x="874"/>
        <item x="509"/>
        <item x="823"/>
        <item x="868"/>
        <item x="862"/>
        <item x="854"/>
        <item x="607"/>
        <item x="512"/>
        <item x="873"/>
        <item x="881"/>
        <item x="870"/>
        <item x="730"/>
        <item x="883"/>
        <item x="880"/>
        <item x="722"/>
        <item x="764"/>
        <item x="806"/>
        <item x="682"/>
        <item x="875"/>
        <item x="910"/>
        <item x="906"/>
        <item x="897"/>
        <item x="807"/>
        <item x="879"/>
        <item x="863"/>
        <item x="837"/>
        <item x="882"/>
        <item x="899"/>
        <item x="729"/>
        <item x="792"/>
        <item x="765"/>
        <item x="436"/>
        <item x="915"/>
        <item x="223"/>
        <item x="908"/>
        <item x="859"/>
        <item x="896"/>
        <item x="890"/>
        <item x="675"/>
        <item x="633"/>
        <item x="918"/>
        <item x="727"/>
        <item x="893"/>
        <item x="892"/>
        <item x="866"/>
        <item x="470"/>
        <item x="865"/>
        <item x="540"/>
        <item x="925"/>
        <item x="923"/>
        <item x="885"/>
        <item x="808"/>
        <item x="699"/>
        <item x="464"/>
        <item x="928"/>
        <item x="916"/>
        <item x="909"/>
        <item x="935"/>
        <item x="924"/>
        <item x="927"/>
        <item x="725"/>
        <item x="941"/>
        <item x="872"/>
        <item x="747"/>
        <item x="929"/>
        <item x="642"/>
        <item x="393"/>
        <item x="931"/>
        <item x="900"/>
        <item x="917"/>
        <item x="950"/>
        <item x="947"/>
        <item x="864"/>
        <item x="621"/>
        <item x="937"/>
        <item x="913"/>
        <item x="891"/>
        <item x="944"/>
        <item x="936"/>
        <item x="946"/>
        <item x="938"/>
        <item x="842"/>
        <item x="857"/>
        <item x="962"/>
        <item x="957"/>
        <item x="894"/>
        <item x="791"/>
        <item x="930"/>
        <item x="933"/>
        <item x="903"/>
        <item x="785"/>
        <item x="846"/>
        <item x="787"/>
        <item x="828"/>
        <item x="942"/>
        <item x="484"/>
        <item x="802"/>
        <item x="333"/>
        <item x="852"/>
        <item x="510"/>
        <item x="959"/>
        <item x="922"/>
        <item x="977"/>
        <item x="824"/>
        <item x="513"/>
        <item x="940"/>
        <item x="926"/>
        <item x="932"/>
        <item x="978"/>
        <item x="990"/>
        <item x="688"/>
        <item x="877"/>
        <item x="955"/>
        <item x="939"/>
        <item x="673"/>
        <item x="674"/>
        <item x="738"/>
        <item x="805"/>
        <item x="992"/>
        <item x="751"/>
        <item x="985"/>
        <item x="984"/>
        <item x="976"/>
        <item x="989"/>
        <item x="703"/>
        <item x="998"/>
        <item x="995"/>
        <item x="741"/>
        <item x="793"/>
        <item x="1005"/>
        <item x="945"/>
        <item x="961"/>
        <item x="1004"/>
        <item x="390"/>
        <item x="530"/>
        <item x="567"/>
        <item x="810"/>
        <item x="905"/>
        <item x="1006"/>
        <item x="1015"/>
        <item x="559"/>
        <item x="1022"/>
        <item x="1001"/>
        <item x="966"/>
        <item x="982"/>
        <item x="1002"/>
        <item x="1013"/>
        <item x="1012"/>
        <item x="606"/>
        <item x="759"/>
        <item x="1003"/>
        <item x="958"/>
        <item x="956"/>
        <item x="777"/>
        <item x="679"/>
        <item x="652"/>
        <item x="965"/>
        <item x="858"/>
        <item x="1018"/>
        <item x="1016"/>
        <item x="672"/>
        <item x="644"/>
        <item x="1021"/>
        <item x="188"/>
        <item x="782"/>
        <item x="822"/>
        <item x="1014"/>
        <item x="1028"/>
        <item x="1026"/>
        <item x="755"/>
        <item x="1038"/>
        <item x="901"/>
        <item x="1020"/>
        <item x="1045"/>
        <item x="1037"/>
        <item x="971"/>
        <item x="1039"/>
        <item x="1027"/>
        <item x="967"/>
        <item x="1017"/>
        <item x="1023"/>
        <item x="677"/>
        <item x="1036"/>
        <item x="1032"/>
        <item x="647"/>
        <item x="1029"/>
        <item x="853"/>
        <item x="821"/>
        <item x="1043"/>
        <item x="1031"/>
        <item x="969"/>
        <item x="920"/>
        <item x="681"/>
        <item x="608"/>
        <item x="1034"/>
        <item x="1053"/>
        <item x="948"/>
        <item x="988"/>
        <item x="951"/>
        <item x="902"/>
        <item x="1057"/>
        <item x="1047"/>
        <item x="590"/>
        <item x="911"/>
        <item x="1062"/>
        <item x="1049"/>
        <item x="1070"/>
        <item x="1060"/>
        <item x="991"/>
        <item x="786"/>
        <item x="919"/>
        <item x="970"/>
        <item x="1076"/>
        <item x="756"/>
        <item x="1072"/>
        <item x="820"/>
        <item x="1079"/>
        <item x="1071"/>
        <item x="1044"/>
        <item x="1066"/>
        <item x="952"/>
        <item x="1081"/>
        <item x="1069"/>
        <item x="1083"/>
        <item x="954"/>
        <item x="1074"/>
        <item x="1087"/>
        <item x="1011"/>
        <item x="1078"/>
        <item x="1007"/>
        <item x="812"/>
        <item x="713"/>
        <item x="1000"/>
        <item x="718"/>
        <item x="963"/>
        <item x="1019"/>
        <item x="912"/>
        <item x="953"/>
        <item x="1050"/>
        <item x="1025"/>
        <item x="1054"/>
        <item x="886"/>
        <item x="605"/>
        <item x="685"/>
        <item x="663"/>
        <item x="794"/>
        <item x="1104"/>
        <item x="1102"/>
        <item x="1103"/>
        <item x="1095"/>
        <item x="1097"/>
        <item x="1041"/>
        <item x="491"/>
        <item x="1024"/>
        <item x="1035"/>
        <item x="964"/>
        <item x="1113"/>
        <item x="1110"/>
        <item x="1109"/>
        <item x="1082"/>
        <item x="580"/>
        <item x="1123"/>
        <item x="1090"/>
        <item x="869"/>
        <item x="1111"/>
        <item x="1092"/>
        <item x="1125"/>
        <item x="1128"/>
        <item x="1058"/>
        <item x="1030"/>
        <item x="997"/>
        <item x="1112"/>
        <item x="1089"/>
        <item x="1056"/>
        <item x="1108"/>
        <item x="1107"/>
        <item x="1137"/>
        <item x="1141"/>
        <item x="1075"/>
        <item x="600"/>
        <item x="1121"/>
        <item x="1084"/>
        <item x="974"/>
        <item x="987"/>
        <item x="1135"/>
        <item x="841"/>
        <item x="1126"/>
        <item x="1124"/>
        <item x="981"/>
        <item x="1086"/>
        <item x="972"/>
        <item x="1067"/>
        <item x="871"/>
        <item x="887"/>
        <item x="1139"/>
        <item x="1148"/>
        <item x="1136"/>
        <item x="1149"/>
        <item x="1158"/>
        <item x="1106"/>
        <item x="895"/>
        <item x="531"/>
        <item x="1134"/>
        <item x="1101"/>
        <item x="983"/>
        <item x="1146"/>
        <item x="1155"/>
        <item x="1154"/>
        <item x="1156"/>
        <item x="1147"/>
        <item x="1153"/>
        <item x="1160"/>
        <item x="1061"/>
        <item x="1152"/>
        <item x="1163"/>
        <item x="1145"/>
        <item x="968"/>
        <item x="834"/>
        <item x="986"/>
        <item x="1133"/>
        <item x="1144"/>
        <item x="914"/>
        <item x="907"/>
        <item x="1088"/>
        <item x="1174"/>
        <item x="716"/>
        <item x="1159"/>
        <item x="800"/>
        <item x="734"/>
        <item x="996"/>
        <item x="889"/>
        <item x="772"/>
        <item x="1114"/>
        <item x="1142"/>
        <item x="1129"/>
        <item x="921"/>
        <item x="1168"/>
        <item x="1185"/>
        <item x="736"/>
        <item x="728"/>
        <item x="993"/>
        <item x="949"/>
        <item x="943"/>
        <item x="888"/>
        <item x="904"/>
        <item x="934"/>
        <item x="1138"/>
        <item x="878"/>
        <item x="1117"/>
        <item x="1118"/>
        <item x="760"/>
        <item x="1132"/>
        <item x="1143"/>
        <item x="1186"/>
        <item x="1178"/>
        <item x="1165"/>
        <item x="1180"/>
        <item x="1183"/>
        <item x="1059"/>
        <item x="1170"/>
        <item x="1187"/>
        <item x="1098"/>
        <item x="1119"/>
        <item x="1127"/>
        <item x="1169"/>
        <item x="1151"/>
        <item x="54"/>
        <item x="100"/>
        <item x="1249"/>
        <item x="754"/>
        <item x="761"/>
        <item x="973"/>
        <item x="994"/>
        <item x="1009"/>
        <item x="1116"/>
        <item x="1166"/>
        <item x="1192"/>
        <item x="1193"/>
        <item x="1199"/>
        <item x="1200"/>
        <item x="1204"/>
        <item x="528"/>
        <item x="689"/>
        <item x="817"/>
        <item x="840"/>
        <item x="843"/>
        <item x="855"/>
        <item x="867"/>
        <item x="876"/>
        <item x="898"/>
        <item x="960"/>
        <item x="975"/>
        <item x="979"/>
        <item x="980"/>
        <item x="999"/>
        <item x="1008"/>
        <item x="1010"/>
        <item x="1033"/>
        <item x="1040"/>
        <item x="1046"/>
        <item x="1048"/>
        <item x="1051"/>
        <item x="1052"/>
        <item x="1055"/>
        <item x="1063"/>
        <item x="1064"/>
        <item x="1065"/>
        <item x="1068"/>
        <item x="1073"/>
        <item x="1077"/>
        <item x="1080"/>
        <item x="1085"/>
        <item x="1091"/>
        <item x="1093"/>
        <item x="1094"/>
        <item x="1096"/>
        <item x="1099"/>
        <item x="1100"/>
        <item x="1105"/>
        <item x="1115"/>
        <item x="1120"/>
        <item x="1122"/>
        <item x="1130"/>
        <item x="1131"/>
        <item x="1140"/>
        <item x="1150"/>
        <item x="1157"/>
        <item x="1161"/>
        <item x="1162"/>
        <item x="1164"/>
        <item x="1167"/>
        <item x="1171"/>
        <item x="1172"/>
        <item x="1173"/>
        <item x="1175"/>
        <item x="1176"/>
        <item x="1177"/>
        <item x="1179"/>
        <item x="1181"/>
        <item x="1182"/>
        <item x="1184"/>
        <item x="1188"/>
        <item x="1189"/>
        <item x="1190"/>
        <item x="1191"/>
        <item x="1194"/>
        <item x="1195"/>
        <item x="1196"/>
        <item x="1197"/>
        <item x="1198"/>
        <item x="1201"/>
        <item x="1202"/>
        <item x="1203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67">
        <item x="130"/>
        <item x="62"/>
        <item x="61"/>
        <item x="111"/>
        <item x="33"/>
        <item x="153"/>
        <item x="129"/>
        <item x="2"/>
        <item x="85"/>
        <item x="45"/>
        <item x="118"/>
        <item x="71"/>
        <item x="15"/>
        <item x="114"/>
        <item x="149"/>
        <item x="126"/>
        <item x="92"/>
        <item x="38"/>
        <item x="59"/>
        <item x="48"/>
        <item x="78"/>
        <item x="25"/>
        <item x="133"/>
        <item x="148"/>
        <item x="19"/>
        <item x="4"/>
        <item x="74"/>
        <item x="31"/>
        <item x="135"/>
        <item x="141"/>
        <item x="6"/>
        <item x="68"/>
        <item x="60"/>
        <item x="70"/>
        <item x="56"/>
        <item x="154"/>
        <item x="137"/>
        <item x="52"/>
        <item x="152"/>
        <item x="134"/>
        <item x="21"/>
        <item x="155"/>
        <item x="54"/>
        <item x="115"/>
        <item x="8"/>
        <item x="29"/>
        <item x="110"/>
        <item x="66"/>
        <item x="69"/>
        <item x="122"/>
        <item x="18"/>
        <item x="11"/>
        <item x="72"/>
        <item x="81"/>
        <item x="27"/>
        <item x="75"/>
        <item x="9"/>
        <item x="65"/>
        <item x="157"/>
        <item x="86"/>
        <item x="14"/>
        <item x="5"/>
        <item x="97"/>
        <item x="102"/>
        <item x="32"/>
        <item x="132"/>
        <item x="103"/>
        <item x="58"/>
        <item x="57"/>
        <item x="125"/>
        <item x="142"/>
        <item x="16"/>
        <item x="7"/>
        <item x="67"/>
        <item x="37"/>
        <item x="10"/>
        <item x="99"/>
        <item x="94"/>
        <item x="119"/>
        <item x="30"/>
        <item x="101"/>
        <item x="79"/>
        <item x="96"/>
        <item x="89"/>
        <item x="123"/>
        <item x="139"/>
        <item x="91"/>
        <item x="41"/>
        <item x="12"/>
        <item x="84"/>
        <item x="95"/>
        <item x="88"/>
        <item x="87"/>
        <item x="23"/>
        <item x="47"/>
        <item x="108"/>
        <item x="131"/>
        <item x="121"/>
        <item x="120"/>
        <item x="22"/>
        <item x="138"/>
        <item x="28"/>
        <item x="104"/>
        <item x="98"/>
        <item x="147"/>
        <item x="73"/>
        <item x="151"/>
        <item x="36"/>
        <item x="90"/>
        <item x="143"/>
        <item x="39"/>
        <item x="64"/>
        <item x="34"/>
        <item x="42"/>
        <item x="117"/>
        <item x="43"/>
        <item x="82"/>
        <item x="83"/>
        <item x="63"/>
        <item x="55"/>
        <item x="127"/>
        <item x="116"/>
        <item x="146"/>
        <item x="17"/>
        <item x="46"/>
        <item x="144"/>
        <item x="76"/>
        <item x="112"/>
        <item x="50"/>
        <item x="3"/>
        <item x="26"/>
        <item x="107"/>
        <item x="128"/>
        <item x="140"/>
        <item x="20"/>
        <item x="113"/>
        <item x="150"/>
        <item x="53"/>
        <item x="80"/>
        <item x="93"/>
        <item x="124"/>
        <item x="77"/>
        <item x="35"/>
        <item x="51"/>
        <item x="105"/>
        <item x="44"/>
        <item x="24"/>
        <item x="106"/>
        <item x="145"/>
        <item x="40"/>
        <item x="49"/>
        <item x="0"/>
        <item m="1" x="166"/>
        <item m="1" x="164"/>
        <item x="109"/>
        <item x="1"/>
        <item x="163"/>
        <item m="1" x="165"/>
        <item x="13"/>
        <item x="100"/>
        <item x="136"/>
        <item x="156"/>
        <item x="158"/>
        <item x="159"/>
        <item x="160"/>
        <item x="161"/>
        <item x="162"/>
      </items>
    </pivotField>
    <pivotField axis="axisRow" compact="0" outline="0" showAll="0" defaultSubtotal="0">
      <items count="3">
        <item x="0"/>
        <item x="1"/>
        <item x="2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numFmtId="43" outline="0" showAll="0"/>
    <pivotField dataField="1" compact="0" numFmtId="43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Page" compact="0" outline="0" multipleItemSelectionAllowed="1" showAll="0" defaultSubtotal="0">
      <items count="4">
        <item h="1" x="2"/>
        <item x="1"/>
        <item h="1" x="0"/>
        <item h="1" x="3"/>
      </items>
    </pivotField>
    <pivotField compact="0" outline="0" showAll="0" defaultSubtotal="0"/>
    <pivotField compact="0" outline="0" showAll="0" defaultSubtotal="0"/>
  </pivotFields>
  <rowFields count="5">
    <field x="25"/>
    <field x="27"/>
    <field x="31"/>
    <field x="32"/>
    <field x="40"/>
  </rowFields>
  <rowItems count="496">
    <i>
      <x v="19"/>
      <x v="14"/>
      <x v="158"/>
      <x/>
      <x v="1"/>
    </i>
    <i r="1">
      <x v="64"/>
      <x v="158"/>
      <x/>
      <x v="1"/>
    </i>
    <i r="1">
      <x v="382"/>
      <x v="158"/>
      <x/>
      <x v="1"/>
    </i>
    <i t="default">
      <x v="19"/>
    </i>
    <i>
      <x v="26"/>
      <x v="22"/>
      <x v="72"/>
      <x/>
      <x v="1"/>
    </i>
    <i r="1">
      <x v="99"/>
      <x v="72"/>
      <x/>
      <x v="1"/>
    </i>
    <i t="default">
      <x v="26"/>
    </i>
    <i>
      <x v="28"/>
      <x v="34"/>
      <x v="50"/>
      <x/>
      <x v="1"/>
    </i>
    <i r="1">
      <x v="158"/>
      <x v="50"/>
      <x/>
      <x v="1"/>
    </i>
    <i t="default">
      <x v="28"/>
    </i>
    <i>
      <x v="57"/>
      <x v="39"/>
      <x v="17"/>
      <x/>
      <x v="1"/>
    </i>
    <i r="1">
      <x v="136"/>
      <x v="17"/>
      <x/>
      <x v="1"/>
    </i>
    <i t="default">
      <x v="57"/>
    </i>
    <i>
      <x v="70"/>
      <x v="63"/>
      <x v="158"/>
      <x/>
      <x v="1"/>
    </i>
    <i r="1">
      <x v="65"/>
      <x v="158"/>
      <x/>
      <x v="1"/>
    </i>
    <i r="1">
      <x v="383"/>
      <x v="158"/>
      <x/>
      <x v="1"/>
    </i>
    <i t="default">
      <x v="70"/>
    </i>
    <i>
      <x v="71"/>
      <x v="38"/>
      <x v="124"/>
      <x/>
      <x v="1"/>
    </i>
    <i r="1">
      <x v="151"/>
      <x v="124"/>
      <x/>
      <x v="1"/>
    </i>
    <i t="default">
      <x v="71"/>
    </i>
    <i>
      <x v="75"/>
      <x v="59"/>
      <x v="17"/>
      <x/>
      <x v="1"/>
    </i>
    <i r="1">
      <x v="86"/>
      <x v="17"/>
      <x/>
      <x v="1"/>
    </i>
    <i t="default">
      <x v="75"/>
    </i>
    <i>
      <x v="86"/>
      <x v="74"/>
      <x v="112"/>
      <x/>
      <x v="1"/>
    </i>
    <i r="1">
      <x v="91"/>
      <x v="112"/>
      <x/>
      <x v="1"/>
    </i>
    <i t="default">
      <x v="86"/>
    </i>
    <i>
      <x v="90"/>
      <x v="62"/>
      <x v="56"/>
      <x/>
      <x v="1"/>
    </i>
    <i r="1">
      <x v="1120"/>
      <x v="56"/>
      <x/>
      <x/>
    </i>
    <i t="default">
      <x v="90"/>
    </i>
    <i>
      <x v="97"/>
      <x v="270"/>
      <x v="72"/>
      <x/>
      <x v="1"/>
    </i>
    <i r="1">
      <x v="344"/>
      <x v="72"/>
      <x/>
      <x v="1"/>
    </i>
    <i t="default">
      <x v="97"/>
    </i>
    <i>
      <x v="98"/>
      <x v="87"/>
      <x v="17"/>
      <x/>
      <x v="1"/>
    </i>
    <i r="1">
      <x v="135"/>
      <x v="17"/>
      <x/>
      <x v="1"/>
    </i>
    <i t="default">
      <x v="98"/>
    </i>
    <i>
      <x v="99"/>
      <x v="106"/>
      <x v="17"/>
      <x/>
      <x v="1"/>
    </i>
    <i r="1">
      <x v="134"/>
      <x v="17"/>
      <x/>
      <x v="1"/>
    </i>
    <i t="default">
      <x v="99"/>
    </i>
    <i>
      <x v="104"/>
      <x v="95"/>
      <x v="34"/>
      <x v="1"/>
      <x v="1"/>
    </i>
    <i r="1">
      <x v="350"/>
      <x v="34"/>
      <x v="1"/>
      <x v="1"/>
    </i>
    <i t="default">
      <x v="104"/>
    </i>
    <i>
      <x v="105"/>
      <x v="80"/>
      <x v="21"/>
      <x v="1"/>
      <x v="1"/>
    </i>
    <i r="1">
      <x v="267"/>
      <x v="21"/>
      <x v="1"/>
      <x v="1"/>
    </i>
    <i t="default">
      <x v="105"/>
    </i>
    <i>
      <x v="107"/>
      <x v="94"/>
      <x v="124"/>
      <x/>
      <x v="1"/>
    </i>
    <i r="1">
      <x v="523"/>
      <x v="124"/>
      <x/>
      <x v="1"/>
    </i>
    <i t="default">
      <x v="107"/>
    </i>
    <i>
      <x v="111"/>
      <x v="196"/>
      <x v="68"/>
      <x v="1"/>
      <x v="1"/>
    </i>
    <i r="1">
      <x v="224"/>
      <x v="68"/>
      <x v="1"/>
      <x v="1"/>
    </i>
    <i r="1">
      <x v="259"/>
      <x v="68"/>
      <x v="1"/>
      <x v="1"/>
    </i>
    <i r="1">
      <x v="461"/>
      <x v="68"/>
      <x v="1"/>
      <x v="1"/>
    </i>
    <i t="default">
      <x v="111"/>
    </i>
    <i>
      <x v="114"/>
      <x v="89"/>
      <x v="68"/>
      <x v="1"/>
      <x v="1"/>
    </i>
    <i r="1">
      <x v="194"/>
      <x v="68"/>
      <x v="1"/>
      <x v="1"/>
    </i>
    <i r="1">
      <x v="277"/>
      <x v="68"/>
      <x v="1"/>
      <x v="1"/>
    </i>
    <i r="1">
      <x v="292"/>
      <x v="68"/>
      <x v="1"/>
      <x v="1"/>
    </i>
    <i r="1">
      <x v="497"/>
      <x v="68"/>
      <x v="1"/>
      <x v="1"/>
    </i>
    <i t="default">
      <x v="114"/>
    </i>
    <i>
      <x v="116"/>
      <x v="81"/>
      <x v="21"/>
      <x v="1"/>
      <x v="1"/>
    </i>
    <i r="1">
      <x v="269"/>
      <x v="21"/>
      <x v="1"/>
      <x v="1"/>
    </i>
    <i t="default">
      <x v="116"/>
    </i>
    <i>
      <x v="118"/>
      <x v="369"/>
      <x v="93"/>
      <x/>
      <x v="1"/>
    </i>
    <i r="1">
      <x v="676"/>
      <x v="93"/>
      <x/>
      <x v="1"/>
    </i>
    <i t="default">
      <x v="118"/>
    </i>
    <i>
      <x v="126"/>
      <x v="212"/>
      <x v="12"/>
      <x v="1"/>
      <x v="1"/>
    </i>
    <i r="1">
      <x v="570"/>
      <x v="12"/>
      <x v="1"/>
      <x v="1"/>
    </i>
    <i t="default">
      <x v="126"/>
    </i>
    <i>
      <x v="133"/>
      <x v="125"/>
      <x v="129"/>
      <x/>
      <x v="1"/>
    </i>
    <i r="1">
      <x v="312"/>
      <x v="129"/>
      <x/>
      <x v="1"/>
    </i>
    <i t="default">
      <x v="133"/>
    </i>
    <i>
      <x v="136"/>
      <x v="97"/>
      <x v="44"/>
      <x v="1"/>
      <x v="1"/>
    </i>
    <i r="1">
      <x v="273"/>
      <x v="44"/>
      <x v="1"/>
      <x v="1"/>
    </i>
    <i t="default">
      <x v="136"/>
    </i>
    <i>
      <x v="144"/>
      <x v="607"/>
      <x v="2"/>
      <x v="1"/>
      <x v="1"/>
    </i>
    <i r="1">
      <x v="629"/>
      <x v="2"/>
      <x v="1"/>
      <x v="1"/>
    </i>
    <i t="default">
      <x v="144"/>
    </i>
    <i>
      <x v="147"/>
      <x v="168"/>
      <x v="93"/>
      <x/>
      <x v="1"/>
    </i>
    <i r="1">
      <x v="334"/>
      <x v="93"/>
      <x/>
      <x v="1"/>
    </i>
    <i t="default">
      <x v="147"/>
    </i>
    <i>
      <x v="165"/>
      <x v="159"/>
      <x v="50"/>
      <x/>
      <x v="1"/>
    </i>
    <i r="1">
      <x v="476"/>
      <x v="50"/>
      <x/>
      <x v="1"/>
    </i>
    <i t="default">
      <x v="165"/>
    </i>
    <i>
      <x v="168"/>
      <x v="138"/>
      <x v="130"/>
      <x v="1"/>
      <x v="1"/>
    </i>
    <i r="1">
      <x v="394"/>
      <x v="130"/>
      <x v="1"/>
      <x v="1"/>
    </i>
    <i t="default">
      <x v="168"/>
    </i>
    <i>
      <x v="173"/>
      <x v="128"/>
      <x v="47"/>
      <x/>
      <x v="1"/>
    </i>
    <i r="1">
      <x v="173"/>
      <x v="47"/>
      <x/>
      <x v="1"/>
    </i>
    <i t="default">
      <x v="173"/>
    </i>
    <i>
      <x v="174"/>
      <x v="131"/>
      <x v="87"/>
      <x/>
      <x v="1"/>
    </i>
    <i r="1">
      <x v="381"/>
      <x v="87"/>
      <x/>
      <x v="1"/>
    </i>
    <i t="default">
      <x v="174"/>
    </i>
    <i>
      <x v="179"/>
      <x v="636"/>
      <x v="25"/>
      <x v="1"/>
      <x v="1"/>
    </i>
    <i r="1">
      <x v="662"/>
      <x v="25"/>
      <x v="1"/>
      <x v="1"/>
    </i>
    <i t="default">
      <x v="179"/>
    </i>
    <i>
      <x v="183"/>
      <x v="318"/>
      <x v="2"/>
      <x v="1"/>
      <x v="1"/>
    </i>
    <i r="1">
      <x v="412"/>
      <x v="2"/>
      <x v="1"/>
      <x v="1"/>
    </i>
    <i r="1">
      <x v="608"/>
      <x v="2"/>
      <x v="1"/>
      <x v="1"/>
    </i>
    <i r="1">
      <x v="630"/>
      <x v="2"/>
      <x v="1"/>
      <x v="1"/>
    </i>
    <i t="default">
      <x v="183"/>
    </i>
    <i>
      <x v="188"/>
      <x v="319"/>
      <x v="42"/>
      <x v="1"/>
      <x/>
    </i>
    <i r="1">
      <x v="320"/>
      <x v="42"/>
      <x v="1"/>
      <x/>
    </i>
    <i t="default">
      <x v="188"/>
    </i>
    <i>
      <x v="205"/>
      <x v="430"/>
      <x v="11"/>
      <x v="1"/>
      <x v="1"/>
    </i>
    <i t="default">
      <x v="205"/>
    </i>
    <i>
      <x v="211"/>
      <x v="234"/>
      <x v="129"/>
      <x/>
      <x v="1"/>
    </i>
    <i r="1">
      <x v="246"/>
      <x v="129"/>
      <x/>
      <x v="1"/>
    </i>
    <i r="1">
      <x v="287"/>
      <x v="129"/>
      <x/>
      <x v="1"/>
    </i>
    <i t="default">
      <x v="211"/>
    </i>
    <i>
      <x v="212"/>
      <x v="183"/>
      <x v="26"/>
      <x v="1"/>
      <x v="1"/>
    </i>
    <i r="1">
      <x v="498"/>
      <x v="26"/>
      <x v="1"/>
      <x v="1"/>
    </i>
    <i t="default">
      <x v="212"/>
    </i>
    <i>
      <x v="216"/>
      <x v="172"/>
      <x v="61"/>
      <x/>
      <x v="1"/>
    </i>
    <i r="1">
      <x v="514"/>
      <x v="61"/>
      <x/>
      <x v="1"/>
    </i>
    <i t="default">
      <x v="216"/>
    </i>
    <i>
      <x v="220"/>
      <x v="242"/>
      <x v="34"/>
      <x v="1"/>
      <x v="1"/>
    </i>
    <i r="1">
      <x v="375"/>
      <x v="34"/>
      <x v="1"/>
      <x v="1"/>
    </i>
    <i t="default">
      <x v="220"/>
    </i>
    <i>
      <x v="222"/>
      <x v="197"/>
      <x v="141"/>
      <x/>
      <x v="1"/>
    </i>
    <i r="1">
      <x v="255"/>
      <x v="141"/>
      <x/>
      <x v="1"/>
    </i>
    <i t="default">
      <x v="222"/>
    </i>
    <i>
      <x v="223"/>
      <x v="157"/>
      <x v="48"/>
      <x v="1"/>
      <x v="1"/>
    </i>
    <i t="default">
      <x v="223"/>
    </i>
    <i>
      <x v="226"/>
      <x v="162"/>
      <x v="72"/>
      <x/>
      <x v="1"/>
    </i>
    <i r="1">
      <x v="222"/>
      <x v="72"/>
      <x/>
      <x v="1"/>
    </i>
    <i t="default">
      <x v="226"/>
    </i>
    <i>
      <x v="232"/>
      <x v="235"/>
      <x v="129"/>
      <x/>
      <x v="1"/>
    </i>
    <i r="1">
      <x v="243"/>
      <x v="129"/>
      <x/>
      <x v="1"/>
    </i>
    <i r="1">
      <x v="286"/>
      <x v="129"/>
      <x/>
      <x v="1"/>
    </i>
    <i t="default">
      <x v="232"/>
    </i>
    <i>
      <x v="241"/>
      <x v="195"/>
      <x v="68"/>
      <x v="1"/>
      <x v="1"/>
    </i>
    <i r="1">
      <x v="462"/>
      <x v="68"/>
      <x v="1"/>
      <x v="1"/>
    </i>
    <i t="default">
      <x v="241"/>
    </i>
    <i>
      <x v="259"/>
      <x v="188"/>
      <x v="53"/>
      <x/>
      <x v="1"/>
    </i>
    <i r="1">
      <x v="228"/>
      <x v="53"/>
      <x/>
      <x v="1"/>
    </i>
    <i t="default">
      <x v="259"/>
    </i>
    <i>
      <x v="264"/>
      <x v="260"/>
      <x v="68"/>
      <x v="1"/>
      <x v="1"/>
    </i>
    <i r="1">
      <x v="346"/>
      <x v="68"/>
      <x v="1"/>
      <x v="1"/>
    </i>
    <i t="default">
      <x v="264"/>
    </i>
    <i>
      <x v="266"/>
      <x v="240"/>
      <x v="54"/>
      <x/>
      <x v="1"/>
    </i>
    <i r="1">
      <x v="252"/>
      <x v="54"/>
      <x/>
      <x v="1"/>
    </i>
    <i t="default">
      <x v="266"/>
    </i>
    <i>
      <x v="269"/>
      <x v="236"/>
      <x v="129"/>
      <x/>
      <x v="1"/>
    </i>
    <i r="1">
      <x v="580"/>
      <x v="129"/>
      <x/>
      <x v="1"/>
    </i>
    <i t="default">
      <x v="269"/>
    </i>
    <i>
      <x v="272"/>
      <x v="345"/>
      <x v="68"/>
      <x v="1"/>
      <x v="1"/>
    </i>
    <i r="1">
      <x v="397"/>
      <x v="68"/>
      <x v="1"/>
      <x v="1"/>
    </i>
    <i r="1">
      <x v="690"/>
      <x v="68"/>
      <x v="1"/>
      <x v="1"/>
    </i>
    <i t="default">
      <x v="272"/>
    </i>
    <i>
      <x v="277"/>
      <x v="453"/>
      <x v="142"/>
      <x/>
      <x v="1"/>
    </i>
    <i r="1">
      <x v="850"/>
      <x v="142"/>
      <x/>
      <x/>
    </i>
    <i t="default">
      <x v="277"/>
    </i>
    <i>
      <x v="279"/>
      <x v="281"/>
      <x v="2"/>
      <x v="1"/>
      <x v="1"/>
    </i>
    <i r="1">
      <x v="413"/>
      <x v="2"/>
      <x v="1"/>
      <x v="1"/>
    </i>
    <i t="default">
      <x v="279"/>
    </i>
    <i>
      <x v="293"/>
      <x v="337"/>
      <x v="12"/>
      <x v="1"/>
      <x v="1"/>
    </i>
    <i r="1">
      <x v="409"/>
      <x v="12"/>
      <x v="1"/>
      <x v="1"/>
    </i>
    <i t="default">
      <x v="293"/>
    </i>
    <i>
      <x v="294"/>
      <x v="262"/>
      <x v="73"/>
      <x v="1"/>
      <x v="1"/>
    </i>
    <i r="1">
      <x v="550"/>
      <x v="73"/>
      <x v="1"/>
      <x v="1"/>
    </i>
    <i t="default">
      <x v="294"/>
    </i>
    <i>
      <x v="300"/>
      <x v="261"/>
      <x v="68"/>
      <x v="1"/>
      <x/>
    </i>
    <i r="1">
      <x v="347"/>
      <x v="68"/>
      <x v="1"/>
      <x v="1"/>
    </i>
    <i t="default">
      <x v="300"/>
    </i>
    <i>
      <x v="303"/>
      <x v="244"/>
      <x v="129"/>
      <x/>
      <x v="1"/>
    </i>
    <i r="1">
      <x v="330"/>
      <x v="129"/>
      <x/>
      <x v="1"/>
    </i>
    <i t="default">
      <x v="303"/>
    </i>
    <i>
      <x v="313"/>
      <x v="392"/>
      <x v="73"/>
      <x v="1"/>
      <x v="1"/>
    </i>
    <i r="1">
      <x v="715"/>
      <x v="73"/>
      <x v="1"/>
      <x v="1"/>
    </i>
    <i t="default">
      <x v="313"/>
    </i>
    <i>
      <x v="317"/>
      <x v="313"/>
      <x v="129"/>
      <x/>
      <x v="1"/>
    </i>
    <i r="1">
      <x v="449"/>
      <x v="129"/>
      <x/>
      <x v="1"/>
    </i>
    <i t="default">
      <x v="317"/>
    </i>
    <i>
      <x v="321"/>
      <x v="266"/>
      <x v="77"/>
      <x v="1"/>
      <x v="1"/>
    </i>
    <i r="1">
      <x v="631"/>
      <x v="77"/>
      <x v="1"/>
      <x v="1"/>
    </i>
    <i t="default">
      <x v="321"/>
    </i>
    <i>
      <x v="323"/>
      <x v="542"/>
      <x v="12"/>
      <x v="1"/>
      <x v="1"/>
    </i>
    <i r="1">
      <x v="666"/>
      <x v="12"/>
      <x v="1"/>
      <x/>
    </i>
    <i r="1">
      <x v="886"/>
      <x v="12"/>
      <x v="1"/>
      <x v="1"/>
    </i>
    <i t="default">
      <x v="323"/>
    </i>
    <i>
      <x v="328"/>
      <x/>
      <x v="21"/>
      <x v="1"/>
      <x/>
    </i>
    <i r="1">
      <x v="275"/>
      <x v="21"/>
      <x v="1"/>
      <x/>
    </i>
    <i r="1">
      <x v="276"/>
      <x v="21"/>
      <x v="1"/>
      <x/>
    </i>
    <i r="1">
      <x v="278"/>
      <x v="21"/>
      <x v="1"/>
      <x v="1"/>
    </i>
    <i t="default">
      <x v="328"/>
    </i>
    <i>
      <x v="332"/>
      <x v="285"/>
      <x v="141"/>
      <x/>
      <x v="1"/>
    </i>
    <i r="1">
      <x v="342"/>
      <x v="141"/>
      <x/>
      <x v="1"/>
    </i>
    <i t="default">
      <x v="332"/>
    </i>
    <i>
      <x v="337"/>
      <x v="332"/>
      <x v="129"/>
      <x/>
      <x v="1"/>
    </i>
    <i r="1">
      <x v="401"/>
      <x v="129"/>
      <x/>
      <x/>
    </i>
    <i r="1">
      <x v="435"/>
      <x v="129"/>
      <x/>
      <x v="1"/>
    </i>
    <i t="default">
      <x v="337"/>
    </i>
    <i>
      <x v="349"/>
      <x v="352"/>
      <x v="87"/>
      <x/>
      <x v="1"/>
    </i>
    <i r="1">
      <x v="546"/>
      <x v="87"/>
      <x/>
      <x v="1"/>
    </i>
    <i t="default">
      <x v="349"/>
    </i>
    <i>
      <x v="367"/>
      <x v="343"/>
      <x v="53"/>
      <x/>
      <x v="1"/>
    </i>
    <i r="1">
      <x v="459"/>
      <x v="53"/>
      <x/>
      <x v="1"/>
    </i>
    <i t="default">
      <x v="367"/>
    </i>
    <i>
      <x v="389"/>
      <x v="688"/>
      <x v="42"/>
      <x v="1"/>
      <x/>
    </i>
    <i r="1">
      <x v="806"/>
      <x v="42"/>
      <x v="1"/>
      <x/>
    </i>
    <i t="default">
      <x v="389"/>
    </i>
    <i>
      <x v="390"/>
      <x v="448"/>
      <x v="129"/>
      <x/>
      <x v="1"/>
    </i>
    <i r="1">
      <x v="536"/>
      <x v="129"/>
      <x/>
      <x v="1"/>
    </i>
    <i t="default">
      <x v="390"/>
    </i>
    <i>
      <x v="398"/>
      <x v="364"/>
      <x v="48"/>
      <x v="1"/>
      <x/>
    </i>
    <i r="1">
      <x v="531"/>
      <x v="48"/>
      <x v="1"/>
      <x/>
    </i>
    <i t="default">
      <x v="398"/>
    </i>
    <i>
      <x v="415"/>
      <x v="423"/>
      <x v="30"/>
      <x v="1"/>
      <x v="1"/>
    </i>
    <i r="1">
      <x v="486"/>
      <x v="30"/>
      <x v="1"/>
      <x v="1"/>
    </i>
    <i t="default">
      <x v="415"/>
    </i>
    <i>
      <x v="416"/>
      <x v="406"/>
      <x v="12"/>
      <x v="1"/>
      <x v="1"/>
    </i>
    <i r="1">
      <x v="489"/>
      <x v="12"/>
      <x v="1"/>
      <x v="1"/>
    </i>
    <i t="default">
      <x v="416"/>
    </i>
    <i>
      <x v="422"/>
      <x v="407"/>
      <x v="12"/>
      <x v="1"/>
      <x v="1"/>
    </i>
    <i r="1">
      <x v="491"/>
      <x v="12"/>
      <x v="1"/>
      <x v="1"/>
    </i>
    <i t="default">
      <x v="422"/>
    </i>
    <i>
      <x v="432"/>
      <x v="628"/>
      <x v="37"/>
      <x/>
      <x v="1"/>
    </i>
    <i r="1">
      <x v="857"/>
      <x v="37"/>
      <x/>
      <x/>
    </i>
    <i t="default">
      <x v="432"/>
    </i>
    <i>
      <x v="434"/>
      <x v="463"/>
      <x v="27"/>
      <x v="1"/>
      <x v="1"/>
    </i>
    <i r="1">
      <x v="719"/>
      <x v="27"/>
      <x v="1"/>
      <x v="1"/>
    </i>
    <i t="default">
      <x v="434"/>
    </i>
    <i>
      <x v="445"/>
      <x v="665"/>
      <x v="12"/>
      <x v="1"/>
      <x v="1"/>
    </i>
    <i r="1">
      <x v="887"/>
      <x v="12"/>
      <x v="1"/>
      <x v="1"/>
    </i>
    <i r="1">
      <x v="1054"/>
      <x v="12"/>
      <x v="1"/>
      <x v="1"/>
    </i>
    <i r="1">
      <x v="1134"/>
      <x v="12"/>
      <x v="1"/>
      <x/>
    </i>
    <i t="default">
      <x v="445"/>
    </i>
    <i>
      <x v="452"/>
      <x v="447"/>
      <x v="129"/>
      <x/>
      <x v="1"/>
    </i>
    <i r="1">
      <x v="582"/>
      <x v="129"/>
      <x/>
      <x v="1"/>
    </i>
    <i r="1">
      <x v="800"/>
      <x v="129"/>
      <x/>
      <x v="1"/>
    </i>
    <i t="default">
      <x v="452"/>
    </i>
    <i>
      <x v="475"/>
      <x v="1"/>
      <x v="129"/>
      <x/>
      <x/>
    </i>
    <i r="1">
      <x v="534"/>
      <x v="129"/>
      <x/>
      <x v="1"/>
    </i>
    <i t="default">
      <x v="475"/>
    </i>
    <i>
      <x v="477"/>
      <x v="494"/>
      <x v="12"/>
      <x v="1"/>
      <x v="1"/>
    </i>
    <i r="1">
      <x v="888"/>
      <x v="12"/>
      <x v="1"/>
      <x v="1"/>
    </i>
    <i t="default">
      <x v="477"/>
    </i>
    <i>
      <x v="486"/>
      <x v="517"/>
      <x v="87"/>
      <x/>
      <x v="1"/>
    </i>
    <i r="1">
      <x v="547"/>
      <x v="87"/>
      <x/>
      <x v="1"/>
    </i>
    <i r="1">
      <x v="614"/>
      <x v="87"/>
      <x/>
      <x v="1"/>
    </i>
    <i t="default">
      <x v="486"/>
    </i>
    <i>
      <x v="501"/>
      <x v="558"/>
      <x v="43"/>
      <x/>
      <x v="1"/>
    </i>
    <i r="1">
      <x v="725"/>
      <x v="43"/>
      <x/>
      <x v="1"/>
    </i>
    <i t="default">
      <x v="501"/>
    </i>
    <i>
      <x v="502"/>
      <x v="566"/>
      <x v="66"/>
      <x v="1"/>
      <x v="1"/>
    </i>
    <i r="1">
      <x v="703"/>
      <x v="66"/>
      <x v="1"/>
      <x v="1"/>
    </i>
    <i t="default">
      <x v="502"/>
    </i>
    <i>
      <x v="503"/>
      <x v="505"/>
      <x v="124"/>
      <x/>
      <x v="1"/>
    </i>
    <i r="1">
      <x v="672"/>
      <x v="124"/>
      <x/>
      <x v="1"/>
    </i>
    <i t="default">
      <x v="503"/>
    </i>
    <i>
      <x v="508"/>
      <x v="583"/>
      <x v="129"/>
      <x/>
      <x v="1"/>
    </i>
    <i r="1">
      <x v="744"/>
      <x v="129"/>
      <x/>
      <x v="1"/>
    </i>
    <i t="default">
      <x v="508"/>
    </i>
    <i>
      <x v="518"/>
      <x v="562"/>
      <x v="10"/>
      <x/>
      <x v="1"/>
    </i>
    <i r="1">
      <x v="589"/>
      <x v="10"/>
      <x/>
      <x v="1"/>
    </i>
    <i r="1">
      <x v="698"/>
      <x v="10"/>
      <x/>
      <x v="1"/>
    </i>
    <i t="default">
      <x v="518"/>
    </i>
    <i>
      <x v="522"/>
      <x v="551"/>
      <x v="73"/>
      <x v="1"/>
      <x v="1"/>
    </i>
    <i r="1">
      <x v="826"/>
      <x v="73"/>
      <x v="1"/>
      <x v="1"/>
    </i>
    <i t="default">
      <x v="522"/>
    </i>
    <i>
      <x v="536"/>
      <x v="564"/>
      <x v="79"/>
      <x v="1"/>
      <x v="1"/>
    </i>
    <i t="default">
      <x v="536"/>
    </i>
    <i>
      <x v="537"/>
      <x v="539"/>
      <x v="17"/>
      <x/>
      <x v="1"/>
    </i>
    <i r="1">
      <x v="578"/>
      <x v="17"/>
      <x/>
      <x v="1"/>
    </i>
    <i t="default">
      <x v="537"/>
    </i>
    <i>
      <x v="538"/>
      <x v="604"/>
      <x v="12"/>
      <x v="1"/>
      <x v="1"/>
    </i>
    <i r="1">
      <x v="663"/>
      <x v="12"/>
      <x v="1"/>
      <x v="1"/>
    </i>
    <i t="default">
      <x v="538"/>
    </i>
    <i>
      <x v="544"/>
      <x v="588"/>
      <x v="10"/>
      <x/>
      <x v="1"/>
    </i>
    <i r="1">
      <x v="642"/>
      <x v="10"/>
      <x/>
      <x v="1"/>
    </i>
    <i t="default">
      <x v="544"/>
    </i>
    <i>
      <x v="546"/>
      <x v="567"/>
      <x v="66"/>
      <x v="1"/>
      <x v="1"/>
    </i>
    <i r="1">
      <x v="704"/>
      <x v="66"/>
      <x v="1"/>
      <x v="1"/>
    </i>
    <i t="default">
      <x v="546"/>
    </i>
    <i>
      <x v="552"/>
      <x v="557"/>
      <x v="113"/>
      <x v="1"/>
      <x v="1"/>
    </i>
    <i r="1">
      <x v="619"/>
      <x v="113"/>
      <x v="1"/>
      <x v="1"/>
    </i>
    <i t="default">
      <x v="552"/>
    </i>
    <i>
      <x v="555"/>
      <x v="2"/>
      <x v="129"/>
      <x/>
      <x/>
    </i>
    <i r="1">
      <x v="581"/>
      <x v="129"/>
      <x/>
      <x v="1"/>
    </i>
    <i r="1">
      <x v="646"/>
      <x v="129"/>
      <x/>
      <x v="1"/>
    </i>
    <i t="default">
      <x v="555"/>
    </i>
    <i>
      <x v="562"/>
      <x v="572"/>
      <x v="17"/>
      <x/>
      <x v="1"/>
    </i>
    <i r="1">
      <x v="674"/>
      <x v="17"/>
      <x/>
      <x v="1"/>
    </i>
    <i t="default">
      <x v="562"/>
    </i>
    <i>
      <x v="564"/>
      <x v="568"/>
      <x v="61"/>
      <x/>
      <x v="1"/>
    </i>
    <i r="1">
      <x v="913"/>
      <x v="61"/>
      <x/>
      <x v="1"/>
    </i>
    <i t="default">
      <x v="564"/>
    </i>
    <i>
      <x v="567"/>
      <x v="612"/>
      <x v="155"/>
      <x v="1"/>
      <x v="1"/>
    </i>
    <i r="1">
      <x v="791"/>
      <x v="155"/>
      <x v="1"/>
      <x v="1"/>
    </i>
    <i t="default">
      <x v="567"/>
    </i>
    <i>
      <x v="568"/>
      <x v="740"/>
      <x v="129"/>
      <x/>
      <x v="1"/>
    </i>
    <i r="1">
      <x v="934"/>
      <x v="129"/>
      <x/>
      <x v="1"/>
    </i>
    <i t="default">
      <x v="568"/>
    </i>
    <i>
      <x v="569"/>
      <x v="575"/>
      <x v="69"/>
      <x/>
      <x v="1"/>
    </i>
    <i r="1">
      <x v="907"/>
      <x v="69"/>
      <x/>
      <x v="1"/>
    </i>
    <i t="default">
      <x v="569"/>
    </i>
    <i>
      <x v="583"/>
      <x v="577"/>
      <x v="120"/>
      <x/>
      <x v="1"/>
    </i>
    <i r="1">
      <x v="682"/>
      <x v="120"/>
      <x/>
      <x v="1"/>
    </i>
    <i t="default">
      <x v="583"/>
    </i>
    <i>
      <x v="586"/>
      <x v="595"/>
      <x v="113"/>
      <x v="1"/>
      <x v="1"/>
    </i>
    <i r="1">
      <x v="691"/>
      <x v="113"/>
      <x v="1"/>
      <x v="1"/>
    </i>
    <i t="default">
      <x v="586"/>
    </i>
    <i>
      <x v="589"/>
      <x v="593"/>
      <x v="142"/>
      <x/>
      <x v="1"/>
    </i>
    <i r="1">
      <x v="618"/>
      <x v="142"/>
      <x/>
      <x v="1"/>
    </i>
    <i t="default">
      <x v="589"/>
    </i>
    <i>
      <x v="591"/>
      <x v="600"/>
      <x v="17"/>
      <x/>
      <x v="1"/>
    </i>
    <i r="1">
      <x v="686"/>
      <x v="17"/>
      <x/>
      <x v="1"/>
    </i>
    <i t="default">
      <x v="591"/>
    </i>
    <i>
      <x v="598"/>
      <x v="667"/>
      <x v="12"/>
      <x v="1"/>
      <x v="1"/>
    </i>
    <i r="1">
      <x v="984"/>
      <x v="12"/>
      <x v="1"/>
      <x v="1"/>
    </i>
    <i t="default">
      <x v="598"/>
    </i>
    <i>
      <x v="602"/>
      <x v="664"/>
      <x v="12"/>
      <x v="1"/>
      <x v="1"/>
    </i>
    <i r="1">
      <x v="986"/>
      <x v="12"/>
      <x v="1"/>
      <x/>
    </i>
    <i t="default">
      <x v="602"/>
    </i>
    <i>
      <x v="603"/>
      <x v="587"/>
      <x v="128"/>
      <x/>
      <x v="1"/>
    </i>
    <i r="1">
      <x v="717"/>
      <x v="128"/>
      <x/>
      <x v="1"/>
    </i>
    <i t="default">
      <x v="603"/>
    </i>
    <i>
      <x v="606"/>
      <x v="624"/>
      <x v="17"/>
      <x/>
      <x v="1"/>
    </i>
    <i r="1">
      <x v="724"/>
      <x v="17"/>
      <x/>
      <x v="1"/>
    </i>
    <i t="default">
      <x v="606"/>
    </i>
    <i>
      <x v="609"/>
      <x v="660"/>
      <x v="17"/>
      <x/>
      <x v="1"/>
    </i>
    <i r="1">
      <x v="794"/>
      <x v="17"/>
      <x/>
      <x v="1"/>
    </i>
    <i t="default">
      <x v="609"/>
    </i>
    <i>
      <x v="610"/>
      <x v="781"/>
      <x v="42"/>
      <x v="1"/>
      <x/>
    </i>
    <i r="1">
      <x v="1092"/>
      <x v="42"/>
      <x v="1"/>
      <x/>
    </i>
    <i t="default">
      <x v="610"/>
    </i>
    <i>
      <x v="612"/>
      <x v="626"/>
      <x v="120"/>
      <x/>
      <x v="1"/>
    </i>
    <i r="1">
      <x v="648"/>
      <x v="120"/>
      <x/>
      <x v="1"/>
    </i>
    <i t="default">
      <x v="612"/>
    </i>
    <i>
      <x v="614"/>
      <x v="653"/>
      <x v="78"/>
      <x v="1"/>
      <x v="1"/>
    </i>
    <i r="1">
      <x v="1081"/>
      <x v="78"/>
      <x v="1"/>
      <x v="1"/>
    </i>
    <i r="1">
      <x v="1091"/>
      <x v="78"/>
      <x v="1"/>
      <x v="1"/>
    </i>
    <i t="default">
      <x v="614"/>
    </i>
    <i>
      <x v="627"/>
      <x v="640"/>
      <x v="61"/>
      <x/>
      <x v="1"/>
    </i>
    <i r="1">
      <x v="658"/>
      <x v="61"/>
      <x/>
      <x v="1"/>
    </i>
    <i t="default">
      <x v="627"/>
    </i>
    <i>
      <x v="629"/>
      <x v="613"/>
      <x v="17"/>
      <x/>
      <x v="1"/>
    </i>
    <i r="1">
      <x v="685"/>
      <x v="17"/>
      <x/>
      <x v="1"/>
    </i>
    <i t="default">
      <x v="629"/>
    </i>
    <i>
      <x v="630"/>
      <x v="922"/>
      <x v="72"/>
      <x/>
      <x/>
    </i>
    <i r="1">
      <x v="1122"/>
      <x v="72"/>
      <x/>
      <x/>
    </i>
    <i t="default">
      <x v="630"/>
    </i>
    <i>
      <x v="631"/>
      <x v="702"/>
      <x v="59"/>
      <x v="1"/>
      <x v="1"/>
    </i>
    <i r="1">
      <x v="966"/>
      <x v="59"/>
      <x v="1"/>
      <x v="1"/>
    </i>
    <i t="default">
      <x v="631"/>
    </i>
    <i>
      <x v="632"/>
      <x v="739"/>
      <x v="51"/>
      <x/>
      <x v="1"/>
    </i>
    <i r="1">
      <x v="902"/>
      <x v="51"/>
      <x/>
      <x v="1"/>
    </i>
    <i t="default">
      <x v="632"/>
    </i>
    <i>
      <x v="648"/>
      <x v="677"/>
      <x v="87"/>
      <x/>
      <x v="1"/>
    </i>
    <i r="1">
      <x v="906"/>
      <x v="87"/>
      <x/>
      <x v="1"/>
    </i>
    <i t="default">
      <x v="648"/>
    </i>
    <i>
      <x v="654"/>
      <x v="3"/>
      <x v="56"/>
      <x/>
      <x/>
    </i>
    <i r="1">
      <x v="647"/>
      <x v="56"/>
      <x/>
      <x v="1"/>
    </i>
    <i t="default">
      <x v="654"/>
    </i>
    <i>
      <x v="659"/>
      <x v="680"/>
      <x v="158"/>
      <x/>
      <x/>
    </i>
    <i r="1">
      <x v="728"/>
      <x v="158"/>
      <x/>
      <x v="1"/>
    </i>
    <i t="default">
      <x v="659"/>
    </i>
    <i>
      <x v="666"/>
      <x v="679"/>
      <x v="159"/>
      <x/>
      <x v="1"/>
    </i>
    <i r="1">
      <x v="727"/>
      <x v="159"/>
      <x/>
      <x v="1"/>
    </i>
    <i t="default">
      <x v="666"/>
    </i>
    <i>
      <x v="668"/>
      <x v="669"/>
      <x v="78"/>
      <x v="1"/>
      <x v="1"/>
    </i>
    <i r="1">
      <x v="1080"/>
      <x v="78"/>
      <x v="1"/>
      <x v="1"/>
    </i>
    <i t="default">
      <x v="668"/>
    </i>
    <i>
      <x v="675"/>
      <x v="8"/>
      <x v="19"/>
      <x/>
      <x/>
    </i>
    <i r="1">
      <x v="804"/>
      <x v="19"/>
      <x/>
      <x v="1"/>
    </i>
    <i t="default">
      <x v="675"/>
    </i>
    <i>
      <x v="676"/>
      <x v="749"/>
      <x v="12"/>
      <x v="1"/>
      <x v="1"/>
    </i>
    <i r="1">
      <x v="889"/>
      <x v="12"/>
      <x v="1"/>
      <x/>
    </i>
    <i r="1">
      <x v="983"/>
      <x v="12"/>
      <x v="1"/>
      <x v="1"/>
    </i>
    <i t="default">
      <x v="676"/>
    </i>
    <i>
      <x v="685"/>
      <x v="918"/>
      <x v="139"/>
      <x/>
      <x v="1"/>
    </i>
    <i r="1">
      <x v="940"/>
      <x v="139"/>
      <x/>
      <x v="1"/>
    </i>
    <i t="default">
      <x v="685"/>
    </i>
    <i>
      <x v="704"/>
      <x v="834"/>
      <x v="68"/>
      <x v="1"/>
      <x v="1"/>
    </i>
    <i r="1">
      <x v="1138"/>
      <x v="68"/>
      <x v="1"/>
      <x v="1"/>
    </i>
    <i t="default">
      <x v="704"/>
    </i>
    <i>
      <x v="705"/>
      <x v="720"/>
      <x v="79"/>
      <x v="1"/>
      <x v="1"/>
    </i>
    <i t="default">
      <x v="705"/>
    </i>
    <i>
      <x v="716"/>
      <x v="5"/>
      <x v="68"/>
      <x v="1"/>
      <x/>
    </i>
    <i r="1">
      <x v="835"/>
      <x v="68"/>
      <x v="1"/>
      <x v="1"/>
    </i>
    <i r="1">
      <x v="910"/>
      <x v="68"/>
      <x v="1"/>
      <x v="1"/>
    </i>
    <i r="1">
      <x v="1139"/>
      <x v="68"/>
      <x v="1"/>
      <x/>
    </i>
    <i t="default">
      <x v="716"/>
    </i>
    <i>
      <x v="738"/>
      <x v="864"/>
      <x v="113"/>
      <x v="1"/>
      <x/>
    </i>
    <i r="1">
      <x v="1100"/>
      <x v="113"/>
      <x v="1"/>
      <x/>
    </i>
    <i t="default">
      <x v="738"/>
    </i>
    <i>
      <x v="744"/>
      <x v="4"/>
      <x v="130"/>
      <x v="1"/>
      <x/>
    </i>
    <i r="1">
      <x v="765"/>
      <x v="130"/>
      <x v="1"/>
      <x v="1"/>
    </i>
    <i t="default">
      <x v="744"/>
    </i>
    <i>
      <x v="746"/>
      <x v="994"/>
      <x v="87"/>
      <x/>
      <x v="1"/>
    </i>
    <i r="1">
      <x v="1046"/>
      <x v="87"/>
      <x/>
      <x v="1"/>
    </i>
    <i t="default">
      <x v="746"/>
    </i>
    <i>
      <x v="747"/>
      <x v="1083"/>
      <x v="42"/>
      <x v="1"/>
      <x/>
    </i>
    <i r="1">
      <x v="1096"/>
      <x v="42"/>
      <x v="1"/>
      <x/>
    </i>
    <i t="default">
      <x v="747"/>
    </i>
    <i>
      <x v="751"/>
      <x v="795"/>
      <x v="151"/>
      <x/>
      <x v="1"/>
    </i>
    <i r="1">
      <x v="838"/>
      <x v="151"/>
      <x/>
      <x v="1"/>
    </i>
    <i t="default">
      <x v="751"/>
    </i>
    <i>
      <x v="752"/>
      <x v="789"/>
      <x v="12"/>
      <x v="1"/>
      <x v="1"/>
    </i>
    <i r="1">
      <x v="1053"/>
      <x v="12"/>
      <x v="1"/>
      <x v="1"/>
    </i>
    <i t="default">
      <x v="752"/>
    </i>
    <i>
      <x v="757"/>
      <x v="924"/>
      <x v="19"/>
      <x/>
      <x v="1"/>
    </i>
    <i r="1">
      <x v="952"/>
      <x v="19"/>
      <x/>
      <x v="1"/>
    </i>
    <i t="default">
      <x v="757"/>
    </i>
    <i>
      <x v="768"/>
      <x v="828"/>
      <x v="128"/>
      <x/>
      <x v="1"/>
    </i>
    <i r="1">
      <x v="989"/>
      <x v="128"/>
      <x/>
      <x v="1"/>
    </i>
    <i t="default">
      <x v="768"/>
    </i>
    <i>
      <x v="775"/>
      <x v="944"/>
      <x v="30"/>
      <x v="1"/>
      <x/>
    </i>
    <i r="1">
      <x v="963"/>
      <x v="30"/>
      <x v="1"/>
      <x/>
    </i>
    <i r="1">
      <x v="1088"/>
      <x v="30"/>
      <x v="1"/>
      <x/>
    </i>
    <i t="default">
      <x v="775"/>
    </i>
    <i>
      <x v="806"/>
      <x v="951"/>
      <x v="135"/>
      <x/>
      <x v="1"/>
    </i>
    <i r="1">
      <x v="973"/>
      <x v="135"/>
      <x/>
      <x v="1"/>
    </i>
    <i r="1">
      <x v="990"/>
      <x v="135"/>
      <x/>
      <x v="1"/>
    </i>
    <i t="default">
      <x v="806"/>
    </i>
    <i>
      <x v="816"/>
      <x v="987"/>
      <x v="19"/>
      <x/>
      <x v="1"/>
    </i>
    <i r="1">
      <x v="1008"/>
      <x v="19"/>
      <x/>
      <x v="1"/>
    </i>
    <i t="default">
      <x v="816"/>
    </i>
    <i>
      <x v="822"/>
      <x v="943"/>
      <x v="30"/>
      <x v="1"/>
      <x/>
    </i>
    <i r="1">
      <x v="964"/>
      <x v="30"/>
      <x v="1"/>
      <x/>
    </i>
    <i t="default">
      <x v="822"/>
    </i>
    <i>
      <x v="823"/>
      <x v="928"/>
      <x v="141"/>
      <x/>
      <x v="1"/>
    </i>
    <i r="1">
      <x v="1043"/>
      <x v="141"/>
      <x/>
      <x/>
    </i>
    <i t="default">
      <x v="823"/>
    </i>
    <i>
      <x v="826"/>
      <x v="1035"/>
      <x v="72"/>
      <x/>
      <x/>
    </i>
    <i r="1">
      <x v="1144"/>
      <x v="72"/>
      <x/>
      <x/>
    </i>
    <i t="default">
      <x v="826"/>
    </i>
    <i>
      <x v="831"/>
      <x v="897"/>
      <x v="142"/>
      <x/>
      <x v="1"/>
    </i>
    <i r="1">
      <x v="1041"/>
      <x v="142"/>
      <x/>
      <x v="1"/>
    </i>
    <i t="default">
      <x v="831"/>
    </i>
    <i>
      <x v="839"/>
      <x v="862"/>
      <x v="53"/>
      <x/>
      <x v="1"/>
    </i>
    <i r="1">
      <x v="961"/>
      <x v="53"/>
      <x/>
      <x/>
    </i>
    <i t="default">
      <x v="839"/>
    </i>
    <i>
      <x v="841"/>
      <x v="1093"/>
      <x v="42"/>
      <x v="1"/>
      <x/>
    </i>
    <i r="1">
      <x v="1125"/>
      <x v="42"/>
      <x v="1"/>
      <x/>
    </i>
    <i t="default">
      <x v="841"/>
    </i>
    <i>
      <x v="846"/>
      <x v="985"/>
      <x v="12"/>
      <x v="1"/>
      <x/>
    </i>
    <i r="1">
      <x v="1147"/>
      <x v="12"/>
      <x v="1"/>
      <x/>
    </i>
    <i t="default">
      <x v="846"/>
    </i>
    <i>
      <x v="852"/>
      <x v="891"/>
      <x v="12"/>
      <x v="1"/>
      <x/>
    </i>
    <i r="1">
      <x v="982"/>
      <x v="12"/>
      <x v="1"/>
      <x v="1"/>
    </i>
    <i r="1">
      <x v="1148"/>
      <x v="12"/>
      <x v="1"/>
      <x/>
    </i>
    <i t="default">
      <x v="852"/>
    </i>
    <i>
      <x v="877"/>
      <x v="947"/>
      <x v="66"/>
      <x v="1"/>
      <x v="1"/>
    </i>
    <i r="1">
      <x v="1150"/>
      <x v="66"/>
      <x v="1"/>
      <x/>
    </i>
    <i t="default">
      <x v="877"/>
    </i>
    <i>
      <x v="885"/>
      <x v="6"/>
      <x v="57"/>
      <x/>
      <x/>
    </i>
    <i r="1">
      <x v="941"/>
      <x v="57"/>
      <x/>
      <x v="1"/>
    </i>
    <i t="default">
      <x v="885"/>
    </i>
    <i>
      <x v="906"/>
      <x v="960"/>
      <x v="124"/>
      <x/>
      <x v="1"/>
    </i>
    <i r="1">
      <x v="1065"/>
      <x v="124"/>
      <x/>
      <x/>
    </i>
    <i t="default">
      <x v="906"/>
    </i>
    <i>
      <x v="920"/>
      <x v="965"/>
      <x v="30"/>
      <x v="1"/>
      <x/>
    </i>
    <i r="1">
      <x v="1162"/>
      <x v="30"/>
      <x v="1"/>
      <x/>
    </i>
    <i t="default">
      <x v="920"/>
    </i>
    <i>
      <x v="929"/>
      <x v="979"/>
      <x v="124"/>
      <x/>
      <x v="1"/>
    </i>
    <i r="1">
      <x v="1042"/>
      <x v="124"/>
      <x/>
      <x/>
    </i>
    <i t="default">
      <x v="929"/>
    </i>
    <i>
      <x v="930"/>
      <x v="1025"/>
      <x v="106"/>
      <x v="1"/>
      <x/>
    </i>
    <i r="1">
      <x v="1076"/>
      <x v="106"/>
      <x v="1"/>
      <x/>
    </i>
    <i t="default">
      <x v="930"/>
    </i>
    <i>
      <x v="934"/>
      <x v="1002"/>
      <x v="113"/>
      <x v="1"/>
      <x/>
    </i>
    <i r="1">
      <x v="1167"/>
      <x v="113"/>
      <x v="1"/>
      <x/>
    </i>
    <i t="default">
      <x v="934"/>
    </i>
    <i>
      <x v="935"/>
      <x v="1003"/>
      <x v="113"/>
      <x v="1"/>
      <x/>
    </i>
    <i r="1">
      <x v="1168"/>
      <x v="113"/>
      <x v="1"/>
      <x/>
    </i>
    <i t="default">
      <x v="935"/>
    </i>
    <i>
      <x v="936"/>
      <x v="1114"/>
      <x v="129"/>
      <x/>
      <x v="1"/>
    </i>
    <i r="1">
      <x v="1169"/>
      <x v="129"/>
      <x/>
      <x/>
    </i>
    <i t="default">
      <x v="936"/>
    </i>
    <i>
      <x v="954"/>
      <x v="1127"/>
      <x v="44"/>
      <x v="1"/>
      <x/>
    </i>
    <i r="1">
      <x v="1172"/>
      <x v="44"/>
      <x v="1"/>
      <x/>
    </i>
    <i t="default">
      <x v="954"/>
    </i>
    <i>
      <x v="969"/>
      <x v="1087"/>
      <x v="30"/>
      <x v="1"/>
      <x/>
    </i>
    <i r="1">
      <x v="1175"/>
      <x v="30"/>
      <x v="1"/>
      <x/>
    </i>
    <i t="default">
      <x v="969"/>
    </i>
    <i>
      <x v="971"/>
      <x v="1072"/>
      <x v="35"/>
      <x/>
      <x/>
    </i>
    <i r="1">
      <x v="1104"/>
      <x v="35"/>
      <x/>
      <x v="1"/>
    </i>
    <i t="default">
      <x v="971"/>
    </i>
    <i>
      <x v="982"/>
      <x v="1073"/>
      <x v="35"/>
      <x/>
      <x/>
    </i>
    <i r="1">
      <x v="1105"/>
      <x v="35"/>
      <x/>
      <x v="1"/>
    </i>
    <i t="default">
      <x v="982"/>
    </i>
    <i>
      <x v="1012"/>
      <x v="1112"/>
      <x v="129"/>
      <x/>
      <x v="1"/>
    </i>
    <i r="1">
      <x v="1184"/>
      <x v="129"/>
      <x/>
      <x/>
    </i>
    <i t="default">
      <x v="1012"/>
    </i>
    <i>
      <x v="1078"/>
      <x v="1198"/>
      <x v="17"/>
      <x/>
      <x/>
    </i>
    <i r="1">
      <x v="1199"/>
      <x v="17"/>
      <x/>
      <x/>
    </i>
    <i t="default">
      <x v="1078"/>
    </i>
    <i>
      <x v="1084"/>
      <x v="1209"/>
      <x v="30"/>
      <x v="1"/>
      <x/>
    </i>
    <i r="1">
      <x v="1210"/>
      <x v="30"/>
      <x v="1"/>
      <x/>
    </i>
    <i t="default">
      <x v="1084"/>
    </i>
    <i>
      <x v="1098"/>
      <x v="1220"/>
      <x v="53"/>
      <x/>
      <x/>
    </i>
    <i r="1">
      <x v="1221"/>
      <x v="53"/>
      <x/>
      <x/>
    </i>
    <i t="default">
      <x v="1098"/>
    </i>
    <i>
      <x v="1127"/>
      <x v="1240"/>
      <x v="165"/>
      <x v="1"/>
      <x/>
    </i>
    <i r="1">
      <x v="1241"/>
      <x v="165"/>
      <x v="1"/>
      <x v="1"/>
    </i>
    <i t="default">
      <x v="1127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1" hier="-1"/>
  </pageFields>
  <dataFields count="4">
    <dataField name=" Odoo CAD" fld="33" baseField="30" baseItem="0" numFmtId="169"/>
    <dataField name=" Odoo USA" fld="34" baseField="30" baseItem="0" numFmtId="169"/>
    <dataField name=" Xero CAD" fld="36" baseField="30" baseItem="0" numFmtId="169"/>
    <dataField name=" Xero USD" fld="37" baseField="30" baseItem="0" numFmtId="169"/>
  </dataFields>
  <formats count="1">
    <format dxfId="1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14:F23" firstHeaderRow="1" firstDataRow="2" firstDataCol="1" rowPageCount="1" colPageCount="1"/>
  <pivotFields count="42">
    <pivotField numFmtId="3" showAll="0"/>
    <pivotField showAll="0"/>
    <pivotField showAll="0"/>
    <pivotField axis="axisRow" showAll="0">
      <items count="9">
        <item x="3"/>
        <item x="4"/>
        <item x="5"/>
        <item m="1" x="7"/>
        <item x="2"/>
        <item x="6"/>
        <item x="1"/>
        <item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h="1" x="0"/>
        <item m="1" x="6"/>
        <item x="4"/>
        <item h="1"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12"/>
  </colFields>
  <colItems count="5">
    <i>
      <x/>
    </i>
    <i>
      <x v="1"/>
    </i>
    <i>
      <x v="2"/>
    </i>
    <i>
      <x v="5"/>
    </i>
    <i t="grand">
      <x/>
    </i>
  </colItems>
  <pageFields count="1">
    <pageField fld="17" hier="-1"/>
  </pageFields>
  <dataFields count="1">
    <dataField name=" KAS" fld="29" baseField="3" baseItem="0" numFmtId="169"/>
  </dataFields>
  <formats count="2">
    <format dxfId="4">
      <pivotArea collapsedLevelsAreSubtotals="1" fieldPosition="0">
        <references count="2">
          <reference field="3" count="1">
            <x v="0"/>
          </reference>
          <reference field="12" count="1" selected="0">
            <x v="1"/>
          </reference>
        </references>
      </pivotArea>
    </format>
    <format dxfId="3">
      <pivotArea collapsedLevelsAreSubtotals="1" fieldPosition="0">
        <references count="2">
          <reference field="3" count="1">
            <x v="2"/>
          </reference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27:F36" firstHeaderRow="1" firstDataRow="2" firstDataCol="1" rowPageCount="1" colPageCount="1"/>
  <pivotFields count="42">
    <pivotField numFmtId="3" showAll="0"/>
    <pivotField showAll="0"/>
    <pivotField showAll="0"/>
    <pivotField axis="axisRow" showAll="0">
      <items count="9">
        <item x="3"/>
        <item x="4"/>
        <item x="5"/>
        <item m="1" x="7"/>
        <item x="2"/>
        <item x="6"/>
        <item x="1"/>
        <item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h="1" x="0"/>
        <item m="1" x="6"/>
        <item x="4"/>
        <item h="1"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12"/>
  </colFields>
  <colItems count="5">
    <i>
      <x/>
    </i>
    <i>
      <x v="1"/>
    </i>
    <i>
      <x v="2"/>
    </i>
    <i>
      <x v="5"/>
    </i>
    <i t="grand">
      <x/>
    </i>
  </colItems>
  <pageFields count="1">
    <pageField fld="17" hier="-1"/>
  </pageFields>
  <dataFields count="1">
    <dataField name=" Stat KAS" fld="39" baseField="3" baseItem="2" numFmtId="169"/>
  </dataFields>
  <formats count="2">
    <format dxfId="6">
      <pivotArea collapsedLevelsAreSubtotals="1" fieldPosition="0">
        <references count="2">
          <reference field="3" count="1">
            <x v="0"/>
          </reference>
          <reference field="12" count="1" selected="0">
            <x v="1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42:H51" firstHeaderRow="1" firstDataRow="2" firstDataCol="1" rowPageCount="1" colPageCount="1"/>
  <pivotFields count="42">
    <pivotField numFmtId="3" showAll="0"/>
    <pivotField showAll="0"/>
    <pivotField showAll="0"/>
    <pivotField axis="axisRow" showAll="0">
      <items count="9">
        <item x="3"/>
        <item x="4"/>
        <item x="5"/>
        <item m="1" x="7"/>
        <item x="0"/>
        <item x="2"/>
        <item x="6"/>
        <item x="1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x="0"/>
        <item m="1" x="6"/>
        <item x="4"/>
        <item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17" hier="-1"/>
  </pageFields>
  <dataFields count="1">
    <dataField name=" Total" fld="19" baseField="3" baseItem="0" numFmtId="169"/>
  </dataFields>
  <formats count="3">
    <format dxfId="9">
      <pivotArea collapsedLevelsAreSubtotals="1" fieldPosition="0">
        <references count="2">
          <reference field="3" count="1">
            <x v="0"/>
          </reference>
          <reference field="12" count="1" selected="0">
            <x v="1"/>
          </reference>
        </references>
      </pivotArea>
    </format>
    <format dxfId="8">
      <pivotArea collapsedLevelsAreSubtotals="1" fieldPosition="0">
        <references count="2">
          <reference field="3" count="1">
            <x v="2"/>
          </reference>
          <reference field="12" count="1" selected="0">
            <x v="1"/>
          </reference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27:P34" firstHeaderRow="1" firstDataRow="2" firstDataCol="1" rowPageCount="1" colPageCount="1"/>
  <pivotFields count="42">
    <pivotField numFmtId="3"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x="0"/>
        <item m="1" x="6"/>
        <item x="4"/>
        <item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17" hier="-1"/>
  </pageFields>
  <dataFields count="1">
    <dataField name=" Stat AE" fld="40" baseField="4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58:D63" firstHeaderRow="1" firstDataRow="2" firstDataCol="1" rowPageCount="2" colPageCount="1"/>
  <pivotFields count="42">
    <pivotField numFmtId="3" showAll="0"/>
    <pivotField showAll="0"/>
    <pivotField showAll="0"/>
    <pivotField axis="axisRow" showAll="0">
      <items count="9">
        <item x="3"/>
        <item x="4"/>
        <item x="5"/>
        <item m="1" x="7"/>
        <item x="2"/>
        <item x="6"/>
        <item x="1"/>
        <item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h="1" x="0"/>
        <item m="1" x="6"/>
        <item x="4"/>
        <item h="1"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6"/>
    </i>
    <i t="grand">
      <x/>
    </i>
  </rowItems>
  <colFields count="1">
    <field x="12"/>
  </colFields>
  <colItems count="3">
    <i>
      <x v="1"/>
    </i>
    <i>
      <x v="2"/>
    </i>
    <i t="grand">
      <x/>
    </i>
  </colItems>
  <pageFields count="2">
    <pageField fld="17" hier="-1"/>
    <pageField fld="21" item="1" hier="-1"/>
  </pageFields>
  <dataFields count="1">
    <dataField name=" KAS" fld="29" baseField="3" baseItem="0" numFmtId="169"/>
  </dataFields>
  <formats count="3">
    <format dxfId="12">
      <pivotArea collapsedLevelsAreSubtotals="1" fieldPosition="0">
        <references count="2">
          <reference field="3" count="1">
            <x v="0"/>
          </reference>
          <reference field="12" count="1" selected="0">
            <x v="1"/>
          </reference>
        </references>
      </pivotArea>
    </format>
    <format dxfId="11">
      <pivotArea collapsedLevelsAreSubtotals="1" fieldPosition="0">
        <references count="2">
          <reference field="3" count="1">
            <x v="2"/>
          </reference>
          <reference field="12" count="1" selected="0">
            <x v="1"/>
          </reference>
        </references>
      </pivotArea>
    </format>
    <format dxfId="10">
      <pivotArea collapsedLevelsAreSubtotals="1" fieldPosition="0">
        <references count="2">
          <reference field="3" count="1">
            <x v="1"/>
          </reference>
          <reference field="1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42:P49" firstHeaderRow="1" firstDataRow="2" firstDataCol="1" rowPageCount="1" colPageCount="1"/>
  <pivotFields count="42">
    <pivotField numFmtId="3"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x="0"/>
        <item m="1" x="6"/>
        <item x="4"/>
        <item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17" hier="-1"/>
  </pageFields>
  <dataFields count="1">
    <dataField name=" Total" fld="19" baseField="3" baseItem="0" numFmtId="169"/>
  </dataFields>
  <formats count="1"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14:P21" firstHeaderRow="1" firstDataRow="2" firstDataCol="1" rowPageCount="1" colPageCount="1"/>
  <pivotFields count="42">
    <pivotField numFmtId="3"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x="0"/>
        <item m="1" x="6"/>
        <item x="4"/>
        <item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17" hier="-1"/>
  </pageFields>
  <dataFields count="1">
    <dataField name=" AE" fld="30" baseField="4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J10" firstHeaderRow="1" firstDataRow="3" firstDataCol="1" rowPageCount="1" colPageCount="1"/>
  <pivotFields count="42">
    <pivotField numFmtId="3" showAll="0"/>
    <pivotField showAll="0"/>
    <pivotField showAll="0"/>
    <pivotField axis="axisRow" showAll="0">
      <items count="9">
        <item x="3"/>
        <item x="4"/>
        <item x="5"/>
        <item m="1" x="7"/>
        <item x="0"/>
        <item x="2"/>
        <item x="6"/>
        <item x="1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axis="axisCol" showAll="0">
      <items count="8">
        <item x="3"/>
        <item x="1"/>
        <item x="2"/>
        <item h="1" x="0"/>
        <item h="1" m="1" x="6"/>
        <item h="1" x="4"/>
        <item h="1" x="5"/>
        <item t="default"/>
      </items>
    </pivotField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axis="axisCol" showAll="0">
      <items count="5">
        <item h="1"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7"/>
    </i>
    <i t="grand">
      <x/>
    </i>
  </rowItems>
  <colFields count="2">
    <field x="12"/>
    <field x="21"/>
  </colFields>
  <colItems count="9">
    <i>
      <x/>
      <x v="2"/>
    </i>
    <i t="default">
      <x/>
    </i>
    <i>
      <x v="1"/>
      <x v="1"/>
    </i>
    <i r="1">
      <x v="2"/>
    </i>
    <i t="default">
      <x v="1"/>
    </i>
    <i>
      <x v="2"/>
      <x v="1"/>
    </i>
    <i r="1">
      <x v="2"/>
    </i>
    <i t="default">
      <x v="2"/>
    </i>
    <i t="grand">
      <x/>
    </i>
  </colItems>
  <pageFields count="1">
    <pageField fld="17" hier="-1"/>
  </pageFields>
  <dataFields count="1">
    <dataField name=" Total" fld="19" baseField="3" baseItem="0" numFmtId="169"/>
  </dataFields>
  <formats count="3">
    <format dxfId="2">
      <pivotArea collapsedLevelsAreSubtotals="1" fieldPosition="0">
        <references count="2">
          <reference field="3" count="1">
            <x v="0"/>
          </reference>
          <reference field="12" count="1" selected="0">
            <x v="1"/>
          </reference>
        </references>
      </pivotArea>
    </format>
    <format dxfId="1">
      <pivotArea collapsedLevelsAreSubtotals="1" fieldPosition="0">
        <references count="2">
          <reference field="3" count="1">
            <x v="2"/>
          </reference>
          <reference field="12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1000000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4:M7" firstHeaderRow="1" firstDataRow="2" firstDataCol="1" rowPageCount="2" colPageCount="1"/>
  <pivotFields count="46">
    <pivotField numFmtId="3" showAll="0"/>
    <pivotField showAll="0"/>
    <pivotField showAll="0"/>
    <pivotField axis="axisPage" multipleItemSelectionAllowed="1" showAll="0">
      <items count="8">
        <item h="1" x="6"/>
        <item x="4"/>
        <item h="1" x="3"/>
        <item h="1" x="2"/>
        <item h="1" x="1"/>
        <item h="1" x="5"/>
        <item h="1"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x="5"/>
        <item x="2"/>
        <item x="0"/>
        <item x="3"/>
        <item x="6"/>
        <item m="1" x="11"/>
        <item x="4"/>
        <item x="8"/>
        <item m="1" x="10"/>
        <item x="9"/>
        <item x="7"/>
        <item t="default"/>
      </items>
    </pivotField>
    <pivotField numFmtId="43" showAll="0"/>
    <pivotField showAll="0" defaultSubtotal="0"/>
  </pivotFields>
  <rowFields count="1">
    <field x="43"/>
  </rowFields>
  <rowItems count="2">
    <i>
      <x v="1"/>
    </i>
    <i t="grand">
      <x/>
    </i>
  </rowItems>
  <colFields count="1">
    <field x="42"/>
  </colFields>
  <colItems count="4">
    <i>
      <x v="1"/>
    </i>
    <i>
      <x v="2"/>
    </i>
    <i>
      <x v="3"/>
    </i>
    <i t="grand">
      <x/>
    </i>
  </colItems>
  <pageFields count="2">
    <pageField fld="17" hier="-1"/>
    <pageField fld="3" hier="-1"/>
  </pageFields>
  <dataFields count="1">
    <dataField name=" Total" fld="19" baseField="42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F00000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D7" firstHeaderRow="1" firstDataRow="2" firstDataCol="1" rowPageCount="1" colPageCount="1"/>
  <pivotFields count="46"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h="1" x="5"/>
        <item h="1" x="2"/>
        <item h="1" x="0"/>
        <item h="1" x="3"/>
        <item x="6"/>
        <item h="1" m="1" x="11"/>
        <item h="1" x="4"/>
        <item h="1" x="8"/>
        <item h="1" m="1" x="10"/>
        <item h="1" x="9"/>
        <item h="1" x="7"/>
        <item t="default"/>
      </items>
    </pivotField>
    <pivotField numFmtId="43" showAll="0"/>
    <pivotField showAll="0" defaultSubtotal="0"/>
  </pivotFields>
  <rowFields count="1">
    <field x="43"/>
  </rowFields>
  <rowItems count="3">
    <i>
      <x/>
    </i>
    <i>
      <x v="5"/>
    </i>
    <i t="grand">
      <x/>
    </i>
  </rowItems>
  <colFields count="1">
    <field x="42"/>
  </colFields>
  <colItems count="3">
    <i>
      <x v="2"/>
    </i>
    <i>
      <x v="3"/>
    </i>
    <i t="grand">
      <x/>
    </i>
  </colItems>
  <pageFields count="1">
    <pageField fld="17" hier="-1"/>
  </pageFields>
  <dataFields count="1">
    <dataField name=" Total" fld="19" baseField="42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E000000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12:K15" firstHeaderRow="1" firstDataRow="2" firstDataCol="1" rowPageCount="2" colPageCount="1"/>
  <pivotFields count="46">
    <pivotField numFmtId="3" showAll="0"/>
    <pivotField showAll="0"/>
    <pivotField showAll="0"/>
    <pivotField axis="axisPage" multipleItemSelectionAllowed="1" showAll="0">
      <items count="8">
        <item x="6"/>
        <item h="1" x="4"/>
        <item h="1" x="3"/>
        <item h="1" x="2"/>
        <item h="1" x="1"/>
        <item h="1" x="5"/>
        <item h="1"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x="5"/>
        <item x="2"/>
        <item x="0"/>
        <item x="3"/>
        <item x="6"/>
        <item m="1" x="11"/>
        <item x="4"/>
        <item x="8"/>
        <item m="1" x="10"/>
        <item x="9"/>
        <item x="7"/>
        <item t="default"/>
      </items>
    </pivotField>
    <pivotField numFmtId="43" showAll="0"/>
    <pivotField showAll="0" defaultSubtotal="0"/>
  </pivotFields>
  <rowFields count="1">
    <field x="43"/>
  </rowFields>
  <rowItems count="2">
    <i>
      <x v="1"/>
    </i>
    <i t="grand">
      <x/>
    </i>
  </rowItems>
  <colFields count="1">
    <field x="42"/>
  </colFields>
  <colItems count="2">
    <i>
      <x v="3"/>
    </i>
    <i t="grand">
      <x/>
    </i>
  </colItems>
  <pageFields count="2">
    <pageField fld="17" hier="-1"/>
    <pageField fld="3" hier="-1"/>
  </pageFields>
  <dataFields count="1">
    <dataField name=" Total" fld="19" baseField="42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D00000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17:G29" firstHeaderRow="1" firstDataRow="2" firstDataCol="1" rowPageCount="1" colPageCount="1"/>
  <pivotFields count="46"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dataField="1" numFmtId="169" showAll="0"/>
    <pivotField axis="axisPage" multipleItemSelectionAllowed="1" showAll="0">
      <items count="4">
        <item x="2"/>
        <item x="1"/>
        <item h="1"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x="5"/>
        <item x="2"/>
        <item x="0"/>
        <item x="3"/>
        <item x="6"/>
        <item m="1" x="11"/>
        <item x="4"/>
        <item x="8"/>
        <item m="1" x="10"/>
        <item x="9"/>
        <item x="7"/>
        <item t="default"/>
      </items>
    </pivotField>
    <pivotField numFmtId="43" showAll="0"/>
    <pivotField showAll="0" defaultSubtotal="0"/>
  </pivotFields>
  <rowFields count="1">
    <field x="43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0"/>
    </i>
    <i>
      <x v="11"/>
    </i>
    <i t="grand">
      <x/>
    </i>
  </rowItems>
  <colFields count="1">
    <field x="4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7" hier="-1"/>
  </pageFields>
  <dataFields count="1">
    <dataField name="Sum of USD" fld="16" baseField="43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C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P11:R14" firstHeaderRow="1" firstDataRow="2" firstDataCol="1" rowPageCount="1" colPageCount="1"/>
  <pivotFields count="46"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h="1" x="5"/>
        <item h="1" x="2"/>
        <item h="1" x="0"/>
        <item h="1" x="3"/>
        <item h="1" x="6"/>
        <item h="1" m="1" x="11"/>
        <item h="1" x="4"/>
        <item h="1" x="8"/>
        <item h="1" m="1" x="10"/>
        <item h="1" x="9"/>
        <item h="1" x="7"/>
        <item t="default"/>
      </items>
    </pivotField>
    <pivotField dataField="1" numFmtId="43" showAll="0"/>
    <pivotField showAll="0" defaultSubtotal="0"/>
  </pivotFields>
  <rowFields count="1">
    <field x="43"/>
  </rowFields>
  <rowItems count="2">
    <i>
      <x/>
    </i>
    <i t="grand">
      <x/>
    </i>
  </rowItems>
  <colFields count="1">
    <field x="42"/>
  </colFields>
  <colItems count="2">
    <i>
      <x v="2"/>
    </i>
    <i t="grand">
      <x/>
    </i>
  </colItems>
  <pageFields count="1">
    <pageField fld="17" hier="-1"/>
  </pageFields>
  <dataFields count="1">
    <dataField name="Sum of %" fld="44" baseField="43" baseItem="5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B000000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20:L24" firstHeaderRow="1" firstDataRow="2" firstDataCol="1" rowPageCount="2" colPageCount="1"/>
  <pivotFields count="46">
    <pivotField numFmtId="3" showAll="0"/>
    <pivotField showAll="0"/>
    <pivotField showAll="0"/>
    <pivotField axis="axisPage" multipleItemSelectionAllowed="1" showAll="0">
      <items count="8">
        <item h="1" x="6"/>
        <item h="1" x="4"/>
        <item h="1" x="3"/>
        <item h="1" x="2"/>
        <item x="1"/>
        <item h="1" x="5"/>
        <item h="1" x="0"/>
        <item t="default"/>
      </items>
    </pivotField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x="1"/>
        <item x="5"/>
        <item x="2"/>
        <item x="0"/>
        <item x="3"/>
        <item x="6"/>
        <item m="1" x="11"/>
        <item x="4"/>
        <item x="8"/>
        <item m="1" x="10"/>
        <item x="9"/>
        <item x="7"/>
        <item t="default"/>
      </items>
    </pivotField>
    <pivotField numFmtId="43" showAll="0"/>
    <pivotField showAll="0" defaultSubtotal="0"/>
  </pivotFields>
  <rowFields count="1">
    <field x="43"/>
  </rowFields>
  <rowItems count="3">
    <i>
      <x v="1"/>
    </i>
    <i>
      <x v="2"/>
    </i>
    <i t="grand">
      <x/>
    </i>
  </rowItems>
  <colFields count="1">
    <field x="42"/>
  </colFields>
  <colItems count="3">
    <i>
      <x/>
    </i>
    <i>
      <x v="3"/>
    </i>
    <i t="grand">
      <x/>
    </i>
  </colItems>
  <pageFields count="2">
    <pageField fld="17" hier="-1"/>
    <pageField fld="3" hier="-1"/>
  </pageFields>
  <dataFields count="1">
    <dataField name=" Total" fld="19" baseField="42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A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P3:S6" firstHeaderRow="1" firstDataRow="2" firstDataCol="1" rowPageCount="1" colPageCount="1"/>
  <pivotFields count="46"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69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5">
        <item x="2"/>
        <item x="4"/>
        <item x="1"/>
        <item x="3"/>
        <item x="0"/>
      </items>
    </pivotField>
    <pivotField axis="axisRow" showAll="0">
      <items count="13">
        <item h="1" x="1"/>
        <item h="1" x="5"/>
        <item h="1" x="2"/>
        <item h="1" x="0"/>
        <item h="1" x="3"/>
        <item x="6"/>
        <item h="1" m="1" x="11"/>
        <item h="1" x="4"/>
        <item h="1" x="8"/>
        <item h="1" m="1" x="10"/>
        <item h="1" x="9"/>
        <item h="1" x="7"/>
        <item t="default"/>
      </items>
    </pivotField>
    <pivotField dataField="1" numFmtId="43" showAll="0"/>
    <pivotField showAll="0" defaultSubtotal="0"/>
  </pivotFields>
  <rowFields count="1">
    <field x="43"/>
  </rowFields>
  <rowItems count="2">
    <i>
      <x v="5"/>
    </i>
    <i t="grand">
      <x/>
    </i>
  </rowItems>
  <colFields count="1">
    <field x="42"/>
  </colFields>
  <colItems count="3">
    <i>
      <x v="2"/>
    </i>
    <i>
      <x v="3"/>
    </i>
    <i t="grand">
      <x/>
    </i>
  </colItems>
  <pageFields count="1">
    <pageField fld="17" hier="-1"/>
  </pageFields>
  <dataFields count="1">
    <dataField name="Sum of %" fld="44" baseField="43" baseItem="5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T6" totalsRowShown="0">
  <autoFilter ref="A3:AT6" xr:uid="{00000000-0009-0000-0100-000001000000}"/>
  <tableColumns count="46">
    <tableColumn id="1" xr3:uid="{00000000-0010-0000-0000-000001000000}" name="No.Inv"/>
    <tableColumn id="2" xr3:uid="{00000000-0010-0000-0000-000002000000}" name="SO"/>
    <tableColumn id="3" xr3:uid="{00000000-0010-0000-0000-000003000000}" name="Sales P"/>
    <tableColumn id="4" xr3:uid="{00000000-0010-0000-0000-000004000000}" name="KAS P"/>
    <tableColumn id="5" xr3:uid="{00000000-0010-0000-0000-000005000000}" name="AE P"/>
    <tableColumn id="6" xr3:uid="{00000000-0010-0000-0000-000006000000}" name="FST P"/>
    <tableColumn id="7" xr3:uid="{00000000-0010-0000-0000-000007000000}" name="Odoo Sales Person"/>
    <tableColumn id="8" xr3:uid="{00000000-0010-0000-0000-000008000000}" name="SO Mth"/>
    <tableColumn id="9" xr3:uid="{00000000-0010-0000-0000-000009000000}" name="SO Year"/>
    <tableColumn id="10" xr3:uid="{00000000-0010-0000-0000-00000A000000}" name="INVOICE"/>
    <tableColumn id="11" xr3:uid="{00000000-0010-0000-0000-00000B000000}" name="Inv Mth Paid"/>
    <tableColumn id="12" xr3:uid="{00000000-0010-0000-0000-00000C000000}" name="Inv Year Paid"/>
    <tableColumn id="13" xr3:uid="{00000000-0010-0000-0000-00000D000000}" name="Qtr"/>
    <tableColumn id="14" xr3:uid="{00000000-0010-0000-0000-00000E000000}" name="Contact"/>
    <tableColumn id="15" xr3:uid="{00000000-0010-0000-0000-00000F000000}" name="Curr"/>
    <tableColumn id="16" xr3:uid="{00000000-0010-0000-0000-000010000000}" name="CAD"/>
    <tableColumn id="17" xr3:uid="{00000000-0010-0000-0000-000011000000}" name="USD"/>
    <tableColumn id="18" xr3:uid="{00000000-0010-0000-0000-000012000000}" name="Delv and Paid"/>
    <tableColumn id="19" xr3:uid="{00000000-0010-0000-0000-000013000000}" name="Freight"/>
    <tableColumn id="20" xr3:uid="{00000000-0010-0000-0000-000014000000}" name="Total"/>
    <tableColumn id="21" xr3:uid="{00000000-0010-0000-0000-000015000000}" name="Deal Sales"/>
    <tableColumn id="22" xr3:uid="{00000000-0010-0000-0000-000016000000}" name="Deal KAS"/>
    <tableColumn id="23" xr3:uid="{00000000-0010-0000-0000-000017000000}" name="Deal AE"/>
    <tableColumn id="24" xr3:uid="{00000000-0010-0000-0000-000018000000}" name="Deal FST"/>
    <tableColumn id="25" xr3:uid="{00000000-0010-0000-0000-000019000000}" name="Sales %"/>
    <tableColumn id="26" xr3:uid="{00000000-0010-0000-0000-00001A000000}" name="KAS %"/>
    <tableColumn id="27" xr3:uid="{00000000-0010-0000-0000-00001B000000}" name="AE %"/>
    <tableColumn id="28" xr3:uid="{00000000-0010-0000-0000-00001C000000}" name="FST %"/>
    <tableColumn id="29" xr3:uid="{00000000-0010-0000-0000-00001D000000}" name="Sales"/>
    <tableColumn id="30" xr3:uid="{00000000-0010-0000-0000-00001E000000}" name="KAS"/>
    <tableColumn id="31" xr3:uid="{00000000-0010-0000-0000-00001F000000}" name="AE"/>
    <tableColumn id="32" xr3:uid="{00000000-0010-0000-0000-000020000000}" name="FST"/>
    <tableColumn id="33" xr3:uid="{00000000-0010-0000-0000-000021000000}" name="Líneas de la orden/Producto/Nombre"/>
    <tableColumn id="34" xr3:uid="{00000000-0010-0000-0000-000022000000}" name="Total2"/>
    <tableColumn id="35" xr3:uid="{00000000-0010-0000-0000-000023000000}" name="PQ Sales"/>
    <tableColumn id="36" xr3:uid="{00000000-0010-0000-0000-000024000000}" name="PQ KAS"/>
    <tableColumn id="37" xr3:uid="{00000000-0010-0000-0000-000025000000}" name="PQ AE"/>
    <tableColumn id="38" xr3:uid="{00000000-0010-0000-0000-000026000000}" name="PQ FST"/>
    <tableColumn id="39" xr3:uid="{00000000-0010-0000-0000-000027000000}" name="Stat Sales"/>
    <tableColumn id="40" xr3:uid="{00000000-0010-0000-0000-000028000000}" name="Stat KAS"/>
    <tableColumn id="41" xr3:uid="{00000000-0010-0000-0000-000029000000}" name="Stat AE"/>
    <tableColumn id="42" xr3:uid="{00000000-0010-0000-0000-00002A000000}" name="Stat FST"/>
    <tableColumn id="43" xr3:uid="{00000000-0010-0000-0000-00002B000000}" name="QTR M"/>
    <tableColumn id="44" xr3:uid="{00000000-0010-0000-0000-00002C000000}" name="Manager"/>
    <tableColumn id="45" xr3:uid="{00000000-0010-0000-0000-00002D000000}" name="%"/>
    <tableColumn id="46" xr3:uid="{00000000-0010-0000-0000-00002E000000}" name="YES 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AT12" totalsRowShown="0">
  <autoFilter ref="A3:AT12" xr:uid="{00000000-0009-0000-0100-000002000000}"/>
  <tableColumns count="46">
    <tableColumn id="1" xr3:uid="{00000000-0010-0000-0100-000001000000}" name="No.Inv"/>
    <tableColumn id="2" xr3:uid="{00000000-0010-0000-0100-000002000000}" name="SO"/>
    <tableColumn id="3" xr3:uid="{00000000-0010-0000-0100-000003000000}" name="Sales P"/>
    <tableColumn id="4" xr3:uid="{00000000-0010-0000-0100-000004000000}" name="KAS P"/>
    <tableColumn id="5" xr3:uid="{00000000-0010-0000-0100-000005000000}" name="AE P"/>
    <tableColumn id="6" xr3:uid="{00000000-0010-0000-0100-000006000000}" name="FST P"/>
    <tableColumn id="7" xr3:uid="{00000000-0010-0000-0100-000007000000}" name="Odoo Sales Person"/>
    <tableColumn id="8" xr3:uid="{00000000-0010-0000-0100-000008000000}" name="SO Mth"/>
    <tableColumn id="9" xr3:uid="{00000000-0010-0000-0100-000009000000}" name="SO Year"/>
    <tableColumn id="10" xr3:uid="{00000000-0010-0000-0100-00000A000000}" name="INVOICE"/>
    <tableColumn id="11" xr3:uid="{00000000-0010-0000-0100-00000B000000}" name="Inv Mth Paid"/>
    <tableColumn id="12" xr3:uid="{00000000-0010-0000-0100-00000C000000}" name="Inv Year Paid"/>
    <tableColumn id="13" xr3:uid="{00000000-0010-0000-0100-00000D000000}" name="Qtr"/>
    <tableColumn id="14" xr3:uid="{00000000-0010-0000-0100-00000E000000}" name="Contact"/>
    <tableColumn id="15" xr3:uid="{00000000-0010-0000-0100-00000F000000}" name="Curr"/>
    <tableColumn id="16" xr3:uid="{00000000-0010-0000-0100-000010000000}" name="CAD"/>
    <tableColumn id="17" xr3:uid="{00000000-0010-0000-0100-000011000000}" name="USD"/>
    <tableColumn id="18" xr3:uid="{00000000-0010-0000-0100-000012000000}" name="Delv and Paid"/>
    <tableColumn id="19" xr3:uid="{00000000-0010-0000-0100-000013000000}" name="Freight"/>
    <tableColumn id="20" xr3:uid="{00000000-0010-0000-0100-000014000000}" name="Total"/>
    <tableColumn id="21" xr3:uid="{00000000-0010-0000-0100-000015000000}" name="Deal Sales"/>
    <tableColumn id="22" xr3:uid="{00000000-0010-0000-0100-000016000000}" name="Deal KAS"/>
    <tableColumn id="23" xr3:uid="{00000000-0010-0000-0100-000017000000}" name="Deal AE"/>
    <tableColumn id="24" xr3:uid="{00000000-0010-0000-0100-000018000000}" name="Deal FST"/>
    <tableColumn id="25" xr3:uid="{00000000-0010-0000-0100-000019000000}" name="Sales %"/>
    <tableColumn id="26" xr3:uid="{00000000-0010-0000-0100-00001A000000}" name="KAS %"/>
    <tableColumn id="27" xr3:uid="{00000000-0010-0000-0100-00001B000000}" name="AE %"/>
    <tableColumn id="28" xr3:uid="{00000000-0010-0000-0100-00001C000000}" name="FST %"/>
    <tableColumn id="29" xr3:uid="{00000000-0010-0000-0100-00001D000000}" name="Sales"/>
    <tableColumn id="30" xr3:uid="{00000000-0010-0000-0100-00001E000000}" name="KAS"/>
    <tableColumn id="31" xr3:uid="{00000000-0010-0000-0100-00001F000000}" name="AE"/>
    <tableColumn id="32" xr3:uid="{00000000-0010-0000-0100-000020000000}" name="FST"/>
    <tableColumn id="33" xr3:uid="{00000000-0010-0000-0100-000021000000}" name="Líneas de la orden/Producto/Nombre"/>
    <tableColumn id="34" xr3:uid="{00000000-0010-0000-0100-000022000000}" name="Total2"/>
    <tableColumn id="35" xr3:uid="{00000000-0010-0000-0100-000023000000}" name="PQ Sales"/>
    <tableColumn id="36" xr3:uid="{00000000-0010-0000-0100-000024000000}" name="PQ KAS"/>
    <tableColumn id="37" xr3:uid="{00000000-0010-0000-0100-000025000000}" name="PQ AE"/>
    <tableColumn id="38" xr3:uid="{00000000-0010-0000-0100-000026000000}" name="PQ FST"/>
    <tableColumn id="39" xr3:uid="{00000000-0010-0000-0100-000027000000}" name="Stat Sales"/>
    <tableColumn id="40" xr3:uid="{00000000-0010-0000-0100-000028000000}" name="Stat KAS"/>
    <tableColumn id="41" xr3:uid="{00000000-0010-0000-0100-000029000000}" name="Stat AE"/>
    <tableColumn id="42" xr3:uid="{00000000-0010-0000-0100-00002A000000}" name="Stat FST"/>
    <tableColumn id="43" xr3:uid="{00000000-0010-0000-0100-00002B000000}" name="QTR M"/>
    <tableColumn id="44" xr3:uid="{00000000-0010-0000-0100-00002C000000}" name="Manager"/>
    <tableColumn id="45" xr3:uid="{00000000-0010-0000-0100-00002D000000}" name="%"/>
    <tableColumn id="46" xr3:uid="{00000000-0010-0000-0100-00002E000000}" name="YES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Project%20Commission/Dynapro_Commission_Policies_Slides.ppt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6.xml"/><Relationship Id="rId9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25" workbookViewId="0">
      <selection activeCell="B40" sqref="B40"/>
    </sheetView>
  </sheetViews>
  <sheetFormatPr defaultColWidth="9.140625" defaultRowHeight="15" x14ac:dyDescent="0.25"/>
  <cols>
    <col min="1" max="1" width="40" bestFit="1" customWidth="1"/>
    <col min="3" max="3" width="12.28515625" bestFit="1" customWidth="1"/>
    <col min="4" max="4" width="15.28515625" bestFit="1" customWidth="1"/>
    <col min="5" max="5" width="14.42578125" bestFit="1" customWidth="1"/>
    <col min="6" max="6" width="16.85546875" bestFit="1" customWidth="1"/>
    <col min="7" max="7" width="18.42578125" bestFit="1" customWidth="1"/>
    <col min="11" max="11" width="22" bestFit="1" customWidth="1"/>
    <col min="12" max="12" width="15.7109375" bestFit="1" customWidth="1"/>
    <col min="13" max="13" width="29.85546875" bestFit="1" customWidth="1"/>
    <col min="14" max="15" width="18.140625" bestFit="1" customWidth="1"/>
  </cols>
  <sheetData>
    <row r="1" spans="1:15" x14ac:dyDescent="0.25">
      <c r="A1" t="s">
        <v>5807</v>
      </c>
      <c r="F1" t="s">
        <v>5808</v>
      </c>
      <c r="K1" s="34" t="s">
        <v>5809</v>
      </c>
      <c r="L1" s="34" t="s">
        <v>5810</v>
      </c>
      <c r="M1" s="34" t="s">
        <v>5811</v>
      </c>
      <c r="N1" s="34" t="s">
        <v>5812</v>
      </c>
      <c r="O1" s="34" t="s">
        <v>5843</v>
      </c>
    </row>
    <row r="2" spans="1:15" x14ac:dyDescent="0.25">
      <c r="A2" s="35" t="s">
        <v>5801</v>
      </c>
      <c r="D2" t="s">
        <v>5807</v>
      </c>
      <c r="E2" s="35" t="s">
        <v>5801</v>
      </c>
      <c r="F2" s="36" t="s">
        <v>5800</v>
      </c>
      <c r="H2" t="s">
        <v>5803</v>
      </c>
      <c r="M2" s="34" t="s">
        <v>5811</v>
      </c>
      <c r="N2" s="34" t="s">
        <v>5813</v>
      </c>
      <c r="O2" s="34" t="s">
        <v>5844</v>
      </c>
    </row>
    <row r="3" spans="1:15" x14ac:dyDescent="0.25">
      <c r="A3" s="36" t="s">
        <v>5800</v>
      </c>
      <c r="C3" t="s">
        <v>5814</v>
      </c>
      <c r="D3" s="36">
        <v>0.03</v>
      </c>
      <c r="E3" s="36">
        <v>0.03</v>
      </c>
      <c r="F3" s="36">
        <v>0.01</v>
      </c>
      <c r="G3" t="s">
        <v>5815</v>
      </c>
      <c r="H3" s="36">
        <v>0</v>
      </c>
      <c r="M3" s="34" t="s">
        <v>5811</v>
      </c>
      <c r="N3" s="34" t="s">
        <v>5816</v>
      </c>
      <c r="O3" s="34" t="s">
        <v>5845</v>
      </c>
    </row>
    <row r="4" spans="1:15" x14ac:dyDescent="0.25">
      <c r="A4" t="s">
        <v>5803</v>
      </c>
      <c r="C4" t="s">
        <v>5796</v>
      </c>
      <c r="D4" s="36">
        <v>0.03</v>
      </c>
      <c r="E4" s="36">
        <v>0.02</v>
      </c>
      <c r="F4" s="37">
        <v>5.0000000000000001E-3</v>
      </c>
      <c r="G4" t="s">
        <v>5815</v>
      </c>
      <c r="H4" s="38">
        <v>0</v>
      </c>
      <c r="M4" s="34" t="s">
        <v>5811</v>
      </c>
      <c r="N4" s="34" t="s">
        <v>5817</v>
      </c>
      <c r="O4" s="34" t="s">
        <v>5846</v>
      </c>
    </row>
    <row r="5" spans="1:15" x14ac:dyDescent="0.25">
      <c r="C5" t="s">
        <v>5818</v>
      </c>
      <c r="D5" s="36">
        <v>0.03</v>
      </c>
      <c r="E5" s="36">
        <v>0.02</v>
      </c>
      <c r="F5" s="36">
        <v>0.01</v>
      </c>
      <c r="G5" t="s">
        <v>5819</v>
      </c>
      <c r="H5" s="36">
        <v>0</v>
      </c>
      <c r="K5" s="34" t="s">
        <v>5820</v>
      </c>
      <c r="L5" s="34" t="s">
        <v>21</v>
      </c>
      <c r="M5" s="34" t="s">
        <v>5821</v>
      </c>
      <c r="N5" s="34" t="s">
        <v>5822</v>
      </c>
      <c r="O5" s="34" t="s">
        <v>5847</v>
      </c>
    </row>
    <row r="6" spans="1:15" x14ac:dyDescent="0.25">
      <c r="C6" t="s">
        <v>5798</v>
      </c>
      <c r="D6" s="36">
        <v>0.03</v>
      </c>
      <c r="E6" s="36">
        <v>0.01</v>
      </c>
      <c r="F6" s="36">
        <v>0</v>
      </c>
      <c r="H6" s="36">
        <v>0</v>
      </c>
      <c r="M6" s="34" t="s">
        <v>5823</v>
      </c>
      <c r="N6" s="34" t="s">
        <v>67</v>
      </c>
      <c r="O6" s="34" t="s">
        <v>5848</v>
      </c>
    </row>
    <row r="7" spans="1:15" x14ac:dyDescent="0.25">
      <c r="M7" s="34" t="s">
        <v>5824</v>
      </c>
      <c r="N7" s="34" t="s">
        <v>5825</v>
      </c>
      <c r="O7" s="34" t="s">
        <v>5825</v>
      </c>
    </row>
    <row r="8" spans="1:15" x14ac:dyDescent="0.25">
      <c r="F8" s="36">
        <v>0.02</v>
      </c>
      <c r="G8" t="s">
        <v>5826</v>
      </c>
      <c r="M8" s="34" t="s">
        <v>5823</v>
      </c>
      <c r="N8" s="34" t="s">
        <v>657</v>
      </c>
      <c r="O8" s="34" t="s">
        <v>5849</v>
      </c>
    </row>
    <row r="9" spans="1:15" x14ac:dyDescent="0.25">
      <c r="A9" t="s">
        <v>5827</v>
      </c>
      <c r="B9" t="s">
        <v>5828</v>
      </c>
      <c r="C9" t="s">
        <v>5829</v>
      </c>
      <c r="D9" s="39">
        <v>1.4999999999999999E-2</v>
      </c>
      <c r="K9" s="34" t="s">
        <v>5830</v>
      </c>
      <c r="L9" s="34" t="s">
        <v>5831</v>
      </c>
      <c r="M9" s="34" t="s">
        <v>5832</v>
      </c>
      <c r="N9" s="34" t="s">
        <v>5833</v>
      </c>
      <c r="O9" s="34" t="s">
        <v>5850</v>
      </c>
    </row>
    <row r="10" spans="1:15" x14ac:dyDescent="0.25">
      <c r="A10" t="s">
        <v>5834</v>
      </c>
      <c r="B10" t="s">
        <v>5828</v>
      </c>
      <c r="C10" t="s">
        <v>5796</v>
      </c>
      <c r="D10" s="39">
        <v>1.4999999999999999E-2</v>
      </c>
      <c r="M10" s="34" t="s">
        <v>5835</v>
      </c>
      <c r="N10" s="34" t="s">
        <v>5836</v>
      </c>
      <c r="O10" s="34" t="s">
        <v>5851</v>
      </c>
    </row>
    <row r="11" spans="1:15" x14ac:dyDescent="0.25">
      <c r="B11" t="s">
        <v>5828</v>
      </c>
      <c r="C11" t="s">
        <v>5837</v>
      </c>
      <c r="D11" s="39">
        <v>1.4999999999999999E-2</v>
      </c>
      <c r="M11" s="34" t="s">
        <v>5835</v>
      </c>
      <c r="N11" s="34" t="s">
        <v>5838</v>
      </c>
      <c r="O11" s="34" t="s">
        <v>5915</v>
      </c>
    </row>
    <row r="12" spans="1:15" x14ac:dyDescent="0.25">
      <c r="M12" s="34" t="s">
        <v>5835</v>
      </c>
      <c r="N12" s="34" t="s">
        <v>74</v>
      </c>
      <c r="O12" s="34" t="s">
        <v>5852</v>
      </c>
    </row>
    <row r="13" spans="1:15" x14ac:dyDescent="0.25">
      <c r="L13" t="s">
        <v>5839</v>
      </c>
      <c r="M13" s="34" t="s">
        <v>5840</v>
      </c>
      <c r="N13" s="34" t="s">
        <v>5841</v>
      </c>
      <c r="O13" s="34" t="s">
        <v>5853</v>
      </c>
    </row>
    <row r="14" spans="1:15" x14ac:dyDescent="0.25">
      <c r="N14" s="34" t="s">
        <v>21</v>
      </c>
      <c r="O14" s="34" t="s">
        <v>5925</v>
      </c>
    </row>
    <row r="15" spans="1:15" x14ac:dyDescent="0.25">
      <c r="N15" s="34" t="s">
        <v>71</v>
      </c>
      <c r="O15" s="34" t="s">
        <v>5938</v>
      </c>
    </row>
    <row r="16" spans="1:15" x14ac:dyDescent="0.25">
      <c r="A16" s="40" t="s">
        <v>5842</v>
      </c>
      <c r="N16" s="34" t="s">
        <v>5802</v>
      </c>
      <c r="O16" s="34" t="s">
        <v>5802</v>
      </c>
    </row>
    <row r="19" spans="2:3" x14ac:dyDescent="0.25">
      <c r="B19">
        <v>2501</v>
      </c>
      <c r="C19" t="s">
        <v>5899</v>
      </c>
    </row>
    <row r="20" spans="2:3" x14ac:dyDescent="0.25">
      <c r="B20">
        <v>2502</v>
      </c>
      <c r="C20" t="s">
        <v>5901</v>
      </c>
    </row>
    <row r="21" spans="2:3" x14ac:dyDescent="0.25">
      <c r="B21">
        <v>2503</v>
      </c>
      <c r="C21" t="s">
        <v>5902</v>
      </c>
    </row>
    <row r="22" spans="2:3" x14ac:dyDescent="0.25">
      <c r="B22">
        <v>2504</v>
      </c>
      <c r="C22" t="s">
        <v>5903</v>
      </c>
    </row>
    <row r="23" spans="2:3" x14ac:dyDescent="0.25">
      <c r="B23">
        <v>2601</v>
      </c>
      <c r="C23" t="s">
        <v>5900</v>
      </c>
    </row>
    <row r="24" spans="2:3" x14ac:dyDescent="0.25">
      <c r="B24">
        <v>2602</v>
      </c>
      <c r="C24" t="s">
        <v>5904</v>
      </c>
    </row>
    <row r="25" spans="2:3" x14ac:dyDescent="0.25">
      <c r="B25">
        <v>2603</v>
      </c>
      <c r="C25" t="s">
        <v>5905</v>
      </c>
    </row>
    <row r="26" spans="2:3" x14ac:dyDescent="0.25">
      <c r="B26">
        <v>2604</v>
      </c>
      <c r="C26" t="s">
        <v>5906</v>
      </c>
    </row>
    <row r="39" spans="1:2" x14ac:dyDescent="0.25">
      <c r="A39" t="s">
        <v>6352</v>
      </c>
      <c r="B39" t="s">
        <v>5779</v>
      </c>
    </row>
    <row r="40" spans="1:2" x14ac:dyDescent="0.25">
      <c r="A40" s="2" t="s">
        <v>901</v>
      </c>
      <c r="B40" t="s">
        <v>5847</v>
      </c>
    </row>
    <row r="41" spans="1:2" x14ac:dyDescent="0.25">
      <c r="A41" s="2" t="s">
        <v>232</v>
      </c>
      <c r="B41" t="s">
        <v>5847</v>
      </c>
    </row>
    <row r="42" spans="1:2" ht="30" x14ac:dyDescent="0.25">
      <c r="A42" s="2" t="s">
        <v>6193</v>
      </c>
      <c r="B42" t="s">
        <v>5847</v>
      </c>
    </row>
    <row r="43" spans="1:2" x14ac:dyDescent="0.25">
      <c r="A43" s="2" t="s">
        <v>239</v>
      </c>
      <c r="B43" t="s">
        <v>5847</v>
      </c>
    </row>
    <row r="44" spans="1:2" x14ac:dyDescent="0.25">
      <c r="A44" s="2" t="s">
        <v>986</v>
      </c>
      <c r="B44" t="s">
        <v>5847</v>
      </c>
    </row>
  </sheetData>
  <hyperlinks>
    <hyperlink ref="A16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7" sqref="B7"/>
    </sheetView>
  </sheetViews>
  <sheetFormatPr defaultColWidth="9.140625" defaultRowHeight="15" x14ac:dyDescent="0.25"/>
  <cols>
    <col min="1" max="1" width="13.140625" bestFit="1" customWidth="1"/>
    <col min="2" max="2" width="23.5703125" bestFit="1" customWidth="1"/>
  </cols>
  <sheetData>
    <row r="1" spans="1:2" x14ac:dyDescent="0.25">
      <c r="A1" s="14" t="s">
        <v>8</v>
      </c>
      <c r="B1" t="s">
        <v>51</v>
      </c>
    </row>
    <row r="3" spans="1:2" x14ac:dyDescent="0.25">
      <c r="A3" s="14" t="s">
        <v>3833</v>
      </c>
      <c r="B3" t="s">
        <v>3835</v>
      </c>
    </row>
    <row r="4" spans="1:2" x14ac:dyDescent="0.25">
      <c r="A4" s="15">
        <v>1</v>
      </c>
      <c r="B4" s="16">
        <v>0.69467810928627971</v>
      </c>
    </row>
    <row r="5" spans="1:2" x14ac:dyDescent="0.25">
      <c r="A5" s="15">
        <v>2</v>
      </c>
      <c r="B5" s="16">
        <v>0.70228450390406749</v>
      </c>
    </row>
    <row r="6" spans="1:2" x14ac:dyDescent="0.25">
      <c r="A6" s="15">
        <v>3</v>
      </c>
      <c r="B6" s="16">
        <v>0.70001794021206409</v>
      </c>
    </row>
    <row r="7" spans="1:2" x14ac:dyDescent="0.25">
      <c r="A7" s="15">
        <v>4</v>
      </c>
      <c r="B7" s="16">
        <v>0.71666177998984903</v>
      </c>
    </row>
    <row r="8" spans="1:2" x14ac:dyDescent="0.25">
      <c r="A8" s="15">
        <v>5</v>
      </c>
      <c r="B8" s="16">
        <v>0.72192522428891415</v>
      </c>
    </row>
    <row r="9" spans="1:2" x14ac:dyDescent="0.25">
      <c r="A9" s="15">
        <v>6</v>
      </c>
      <c r="B9" s="16">
        <v>0.73037886793093898</v>
      </c>
    </row>
    <row r="10" spans="1:2" x14ac:dyDescent="0.25">
      <c r="A10" s="15">
        <v>7</v>
      </c>
      <c r="B10" s="16">
        <v>0.72955786448089144</v>
      </c>
    </row>
    <row r="11" spans="1:2" x14ac:dyDescent="0.25">
      <c r="A11" s="15">
        <v>8</v>
      </c>
      <c r="B11" s="16">
        <v>0.72425848226057499</v>
      </c>
    </row>
    <row r="12" spans="1:2" x14ac:dyDescent="0.25">
      <c r="A12" s="15">
        <v>9</v>
      </c>
      <c r="B12" s="16">
        <v>0.72208411745717815</v>
      </c>
    </row>
    <row r="13" spans="1:2" x14ac:dyDescent="0.25">
      <c r="A13" s="15">
        <v>10</v>
      </c>
      <c r="B13" s="16">
        <v>0.71521852769764216</v>
      </c>
    </row>
    <row r="14" spans="1:2" x14ac:dyDescent="0.25">
      <c r="A14" s="15">
        <v>11</v>
      </c>
      <c r="B14" s="16">
        <v>0.71452837761754817</v>
      </c>
    </row>
    <row r="15" spans="1:2" x14ac:dyDescent="0.25">
      <c r="A15" s="15">
        <v>12</v>
      </c>
      <c r="B15" s="16">
        <v>0.72380447545964588</v>
      </c>
    </row>
    <row r="16" spans="1:2" x14ac:dyDescent="0.25">
      <c r="A16" s="15" t="s">
        <v>3834</v>
      </c>
      <c r="B16" s="16">
        <v>0.71631821543279461</v>
      </c>
    </row>
  </sheetData>
  <pageMargins left="0.7" right="0.7" top="0.75" bottom="0.75" header="0.3" footer="0.3"/>
  <pageSetup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T115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25" sqref="D225"/>
    </sheetView>
  </sheetViews>
  <sheetFormatPr defaultColWidth="44.140625" defaultRowHeight="15" x14ac:dyDescent="0.25"/>
  <cols>
    <col min="1" max="1" width="13.85546875" customWidth="1"/>
    <col min="2" max="2" width="15.85546875" customWidth="1"/>
    <col min="3" max="3" width="18.28515625" customWidth="1"/>
    <col min="4" max="4" width="44" bestFit="1" customWidth="1"/>
    <col min="5" max="6" width="18.28515625" bestFit="1" customWidth="1"/>
    <col min="7" max="7" width="13.42578125" bestFit="1" customWidth="1"/>
    <col min="8" max="8" width="20" bestFit="1" customWidth="1"/>
    <col min="9" max="9" width="6.28515625" bestFit="1" customWidth="1"/>
    <col min="10" max="10" width="13.28515625" bestFit="1" customWidth="1"/>
    <col min="11" max="11" width="10.140625" bestFit="1" customWidth="1"/>
    <col min="12" max="12" width="10" bestFit="1" customWidth="1"/>
    <col min="13" max="13" width="10.140625" bestFit="1" customWidth="1"/>
    <col min="14" max="14" width="21.140625" bestFit="1" customWidth="1"/>
    <col min="15" max="15" width="10.28515625" bestFit="1" customWidth="1"/>
    <col min="16" max="16" width="10.140625" bestFit="1" customWidth="1"/>
    <col min="17" max="17" width="17.7109375" bestFit="1" customWidth="1"/>
    <col min="18" max="18" width="19.5703125" bestFit="1" customWidth="1"/>
    <col min="19" max="19" width="11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4" t="s">
        <v>2269</v>
      </c>
      <c r="T1" s="44" t="s">
        <v>3832</v>
      </c>
    </row>
    <row r="2" spans="1:20" x14ac:dyDescent="0.25">
      <c r="A2" s="2">
        <v>1</v>
      </c>
      <c r="B2" s="2" t="s">
        <v>2257</v>
      </c>
      <c r="C2" s="2" t="s">
        <v>2258</v>
      </c>
      <c r="D2" s="2" t="s">
        <v>83</v>
      </c>
      <c r="E2" s="3">
        <v>45659.400416666656</v>
      </c>
      <c r="F2" s="3">
        <v>45663.595729166656</v>
      </c>
      <c r="G2" s="4">
        <v>45664</v>
      </c>
      <c r="H2" s="2" t="s">
        <v>21</v>
      </c>
      <c r="I2" s="2" t="s">
        <v>22</v>
      </c>
      <c r="J2" s="2">
        <v>1</v>
      </c>
      <c r="K2" s="2">
        <v>20655.240000000002</v>
      </c>
      <c r="L2" s="2">
        <v>0</v>
      </c>
      <c r="M2" s="2">
        <v>14381.876360474809</v>
      </c>
      <c r="N2" s="2">
        <v>18278.97</v>
      </c>
      <c r="O2" s="2">
        <v>2376.27</v>
      </c>
      <c r="P2" s="2">
        <v>20655.240000000002</v>
      </c>
      <c r="Q2" s="2" t="s">
        <v>44</v>
      </c>
      <c r="R2" s="2"/>
      <c r="S2" t="str">
        <f>VLOOKUP(B2,CASOPOInvCL!$B$1:$D$1600,1,FALSE)</f>
        <v>SO16348</v>
      </c>
      <c r="T2">
        <f>MONTH(E2)</f>
        <v>1</v>
      </c>
    </row>
    <row r="3" spans="1:20" x14ac:dyDescent="0.25">
      <c r="A3" s="2">
        <v>1</v>
      </c>
      <c r="B3" s="2" t="s">
        <v>2263</v>
      </c>
      <c r="C3" s="2" t="s">
        <v>2264</v>
      </c>
      <c r="D3" s="2" t="s">
        <v>232</v>
      </c>
      <c r="E3" s="3">
        <v>45659.434884259259</v>
      </c>
      <c r="F3" s="3">
        <v>45660.646631944437</v>
      </c>
      <c r="G3" s="4">
        <v>45815</v>
      </c>
      <c r="H3" s="2" t="s">
        <v>180</v>
      </c>
      <c r="I3" s="2" t="s">
        <v>51</v>
      </c>
      <c r="J3" s="2">
        <v>0.69331655724015695</v>
      </c>
      <c r="K3" s="2">
        <v>16788.290829708509</v>
      </c>
      <c r="L3" s="2">
        <v>0</v>
      </c>
      <c r="M3" s="2">
        <v>11639.6</v>
      </c>
      <c r="N3" s="2">
        <v>11639.6</v>
      </c>
      <c r="O3" s="2"/>
      <c r="P3" s="2">
        <v>11639.6</v>
      </c>
      <c r="Q3" s="2" t="s">
        <v>44</v>
      </c>
      <c r="R3" s="2"/>
      <c r="S3" t="str">
        <f>VLOOKUP(B3,CASOPOInvCL!$B$1:$D$1600,1,FALSE)</f>
        <v>SO16349</v>
      </c>
      <c r="T3">
        <f t="shared" ref="T3:T66" si="0">MONTH(E3)</f>
        <v>1</v>
      </c>
    </row>
    <row r="4" spans="1:20" ht="30" x14ac:dyDescent="0.25">
      <c r="A4" s="2">
        <v>1</v>
      </c>
      <c r="B4" s="2" t="s">
        <v>2267</v>
      </c>
      <c r="C4" s="2" t="s">
        <v>2268</v>
      </c>
      <c r="D4" s="2" t="s">
        <v>981</v>
      </c>
      <c r="E4" s="3">
        <v>45659.437025462961</v>
      </c>
      <c r="F4" s="3">
        <v>45659.439340277779</v>
      </c>
      <c r="G4" s="4">
        <v>45670</v>
      </c>
      <c r="H4" s="2" t="s">
        <v>21</v>
      </c>
      <c r="I4" s="2" t="s">
        <v>22</v>
      </c>
      <c r="J4" s="2">
        <v>1</v>
      </c>
      <c r="K4" s="2">
        <v>1540.6</v>
      </c>
      <c r="L4" s="2">
        <v>0</v>
      </c>
      <c r="M4" s="2">
        <v>1068.123488084186</v>
      </c>
      <c r="N4" s="2">
        <v>1363.36</v>
      </c>
      <c r="O4" s="2">
        <v>177.24</v>
      </c>
      <c r="P4" s="2">
        <v>1540.6</v>
      </c>
      <c r="Q4" s="2" t="s">
        <v>44</v>
      </c>
      <c r="R4" s="2"/>
      <c r="S4" t="str">
        <f>VLOOKUP(B4,CASOPOInvCL!$B$1:$D$1600,1,FALSE)</f>
        <v>SO16350</v>
      </c>
      <c r="T4">
        <f t="shared" si="0"/>
        <v>1</v>
      </c>
    </row>
    <row r="5" spans="1:20" x14ac:dyDescent="0.25">
      <c r="A5" s="2">
        <v>1</v>
      </c>
      <c r="B5" s="2" t="s">
        <v>2265</v>
      </c>
      <c r="C5" s="2" t="s">
        <v>2266</v>
      </c>
      <c r="D5" s="2" t="s">
        <v>98</v>
      </c>
      <c r="E5" s="3">
        <v>45659.57403935185</v>
      </c>
      <c r="F5" s="3">
        <v>45659.706597222219</v>
      </c>
      <c r="G5" s="4">
        <v>45673</v>
      </c>
      <c r="H5" s="2" t="s">
        <v>21</v>
      </c>
      <c r="I5" s="2" t="s">
        <v>22</v>
      </c>
      <c r="J5" s="2">
        <v>1</v>
      </c>
      <c r="K5" s="2">
        <v>2369.71</v>
      </c>
      <c r="L5" s="2">
        <v>0</v>
      </c>
      <c r="M5" s="2">
        <v>1642.9591788575719</v>
      </c>
      <c r="N5" s="2">
        <v>2097.09</v>
      </c>
      <c r="O5" s="2">
        <v>272.62</v>
      </c>
      <c r="P5" s="2">
        <v>2369.71</v>
      </c>
      <c r="Q5" s="2" t="s">
        <v>44</v>
      </c>
      <c r="R5" s="2"/>
      <c r="S5" t="str">
        <f>VLOOKUP(B5,CASOPOInvCL!$B$1:$D$1600,1,FALSE)</f>
        <v>SO16353</v>
      </c>
      <c r="T5">
        <f t="shared" si="0"/>
        <v>1</v>
      </c>
    </row>
    <row r="6" spans="1:20" ht="30" x14ac:dyDescent="0.25">
      <c r="A6" s="2">
        <v>1</v>
      </c>
      <c r="B6" s="2" t="s">
        <v>2253</v>
      </c>
      <c r="C6" s="2" t="s">
        <v>2254</v>
      </c>
      <c r="D6" s="2" t="s">
        <v>767</v>
      </c>
      <c r="E6" s="3">
        <v>45663.493020833332</v>
      </c>
      <c r="F6" s="3">
        <v>45664.591782407413</v>
      </c>
      <c r="G6" s="4">
        <v>45665</v>
      </c>
      <c r="H6" s="2" t="s">
        <v>21</v>
      </c>
      <c r="I6" s="2" t="s">
        <v>51</v>
      </c>
      <c r="J6" s="2">
        <v>0.69628221993425443</v>
      </c>
      <c r="K6" s="2">
        <v>144.20876639573109</v>
      </c>
      <c r="L6" s="2">
        <v>0</v>
      </c>
      <c r="M6" s="2">
        <v>100.41</v>
      </c>
      <c r="N6" s="2">
        <v>100.41</v>
      </c>
      <c r="O6" s="2"/>
      <c r="P6" s="2">
        <v>100.41</v>
      </c>
      <c r="Q6" s="2" t="s">
        <v>44</v>
      </c>
      <c r="R6" s="2"/>
      <c r="S6" t="str">
        <f>VLOOKUP(B6,CASOPOInvCL!$B$1:$D$1600,1,FALSE)</f>
        <v>SO16359</v>
      </c>
      <c r="T6">
        <f t="shared" si="0"/>
        <v>1</v>
      </c>
    </row>
    <row r="7" spans="1:20" x14ac:dyDescent="0.25">
      <c r="A7" s="2">
        <v>1</v>
      </c>
      <c r="B7" s="2" t="s">
        <v>2259</v>
      </c>
      <c r="C7" s="2" t="s">
        <v>2260</v>
      </c>
      <c r="D7" s="2" t="s">
        <v>146</v>
      </c>
      <c r="E7" s="3">
        <v>45663.509131944447</v>
      </c>
      <c r="F7" s="3">
        <v>45663.583483796298</v>
      </c>
      <c r="G7" s="4">
        <v>45664</v>
      </c>
      <c r="H7" s="2" t="s">
        <v>21</v>
      </c>
      <c r="I7" s="2" t="s">
        <v>22</v>
      </c>
      <c r="J7" s="2">
        <v>1</v>
      </c>
      <c r="K7" s="2">
        <v>1006.02</v>
      </c>
      <c r="L7" s="2">
        <v>0</v>
      </c>
      <c r="M7" s="2">
        <v>700.47383889825858</v>
      </c>
      <c r="N7" s="2">
        <v>958.11</v>
      </c>
      <c r="O7" s="2">
        <v>47.91</v>
      </c>
      <c r="P7" s="2">
        <v>1006.02</v>
      </c>
      <c r="Q7" s="2" t="s">
        <v>44</v>
      </c>
      <c r="R7" s="2"/>
      <c r="S7" t="str">
        <f>VLOOKUP(B7,CASOPOInvCL!$B$1:$D$1600,1,FALSE)</f>
        <v>SO16360</v>
      </c>
      <c r="T7">
        <f t="shared" si="0"/>
        <v>1</v>
      </c>
    </row>
    <row r="8" spans="1:20" x14ac:dyDescent="0.25">
      <c r="A8" s="2">
        <v>1</v>
      </c>
      <c r="B8" s="2" t="s">
        <v>2177</v>
      </c>
      <c r="C8" s="2" t="s">
        <v>2178</v>
      </c>
      <c r="D8" s="2" t="s">
        <v>98</v>
      </c>
      <c r="E8" s="3">
        <v>45663.523599537039</v>
      </c>
      <c r="F8" s="3">
        <v>45673.551666666674</v>
      </c>
      <c r="G8" s="4">
        <v>45750</v>
      </c>
      <c r="H8" s="2" t="s">
        <v>21</v>
      </c>
      <c r="I8" s="2" t="s">
        <v>22</v>
      </c>
      <c r="J8" s="2">
        <v>1</v>
      </c>
      <c r="K8" s="2">
        <v>29994.38</v>
      </c>
      <c r="L8" s="2">
        <v>0</v>
      </c>
      <c r="M8" s="2">
        <v>20856.609079012331</v>
      </c>
      <c r="N8" s="2">
        <v>26543.7</v>
      </c>
      <c r="O8" s="2">
        <v>3450.68</v>
      </c>
      <c r="P8" s="2">
        <v>29994.38</v>
      </c>
      <c r="Q8" s="2" t="s">
        <v>44</v>
      </c>
      <c r="R8" s="2"/>
      <c r="S8" t="str">
        <f>VLOOKUP(B8,CASOPOInvCL!$B$1:$D$1600,1,FALSE)</f>
        <v>SO16361</v>
      </c>
      <c r="T8">
        <f t="shared" si="0"/>
        <v>1</v>
      </c>
    </row>
    <row r="9" spans="1:20" x14ac:dyDescent="0.25">
      <c r="A9" s="2">
        <v>1</v>
      </c>
      <c r="B9" s="2" t="s">
        <v>2255</v>
      </c>
      <c r="C9" s="2" t="s">
        <v>2256</v>
      </c>
      <c r="D9" s="2" t="s">
        <v>70</v>
      </c>
      <c r="E9" s="3">
        <v>45663.530717592592</v>
      </c>
      <c r="F9" s="3">
        <v>45664.582141203697</v>
      </c>
      <c r="G9" s="4">
        <v>45665</v>
      </c>
      <c r="H9" s="2" t="s">
        <v>71</v>
      </c>
      <c r="I9" s="2" t="s">
        <v>22</v>
      </c>
      <c r="J9" s="2">
        <v>1</v>
      </c>
      <c r="K9" s="2">
        <v>8795</v>
      </c>
      <c r="L9" s="2">
        <v>0</v>
      </c>
      <c r="M9" s="2">
        <v>6131.3692546548436</v>
      </c>
      <c r="N9" s="2">
        <v>8795</v>
      </c>
      <c r="O9" s="2"/>
      <c r="P9" s="2">
        <v>8795</v>
      </c>
      <c r="Q9" s="2" t="s">
        <v>44</v>
      </c>
      <c r="R9" s="2"/>
      <c r="S9" t="str">
        <f>VLOOKUP(B9,CASOPOInvCL!$B$1:$D$1600,1,FALSE)</f>
        <v>SO16362</v>
      </c>
      <c r="T9">
        <f t="shared" si="0"/>
        <v>1</v>
      </c>
    </row>
    <row r="10" spans="1:20" x14ac:dyDescent="0.25">
      <c r="A10" s="2">
        <v>1</v>
      </c>
      <c r="B10" s="2" t="s">
        <v>2261</v>
      </c>
      <c r="C10" s="2" t="s">
        <v>2262</v>
      </c>
      <c r="D10" s="2" t="s">
        <v>54</v>
      </c>
      <c r="E10" s="3">
        <v>45663.564351851863</v>
      </c>
      <c r="F10" s="3">
        <v>45663.564988425933</v>
      </c>
      <c r="G10" s="4">
        <v>45698</v>
      </c>
      <c r="H10" s="2" t="s">
        <v>21</v>
      </c>
      <c r="I10" s="2" t="s">
        <v>22</v>
      </c>
      <c r="J10" s="2">
        <v>1</v>
      </c>
      <c r="K10" s="2">
        <v>1135.51</v>
      </c>
      <c r="L10" s="2">
        <v>0</v>
      </c>
      <c r="M10" s="2">
        <v>790.63542355754521</v>
      </c>
      <c r="N10" s="2">
        <v>1081.44</v>
      </c>
      <c r="O10" s="2">
        <v>54.07</v>
      </c>
      <c r="P10" s="2">
        <v>1135.51</v>
      </c>
      <c r="Q10" s="2" t="s">
        <v>44</v>
      </c>
      <c r="R10" s="2"/>
      <c r="S10" t="str">
        <f>VLOOKUP(B10,CASOPOInvCL!$B$1:$D$1600,1,FALSE)</f>
        <v>SO16363</v>
      </c>
      <c r="T10">
        <f t="shared" si="0"/>
        <v>1</v>
      </c>
    </row>
    <row r="11" spans="1:20" x14ac:dyDescent="0.25">
      <c r="A11" s="2">
        <v>1</v>
      </c>
      <c r="B11" s="2" t="s">
        <v>2218</v>
      </c>
      <c r="C11" s="2" t="s">
        <v>2219</v>
      </c>
      <c r="D11" s="2" t="s">
        <v>50</v>
      </c>
      <c r="E11" s="3">
        <v>45663.56958333333</v>
      </c>
      <c r="F11" s="3">
        <v>45667.612847222219</v>
      </c>
      <c r="G11" s="4">
        <v>45751</v>
      </c>
      <c r="H11" s="2" t="s">
        <v>21</v>
      </c>
      <c r="I11" s="2" t="s">
        <v>51</v>
      </c>
      <c r="J11" s="2">
        <v>0.69455773220809047</v>
      </c>
      <c r="K11" s="2">
        <v>1896.8761542852969</v>
      </c>
      <c r="L11" s="2">
        <v>0</v>
      </c>
      <c r="M11" s="2">
        <v>1317.49</v>
      </c>
      <c r="N11" s="2">
        <v>1317.49</v>
      </c>
      <c r="O11" s="2"/>
      <c r="P11" s="2">
        <v>1317.49</v>
      </c>
      <c r="Q11" s="2" t="s">
        <v>44</v>
      </c>
      <c r="R11" s="2"/>
      <c r="S11" t="str">
        <f>VLOOKUP(B11,CASOPOInvCL!$B$1:$D$1600,1,FALSE)</f>
        <v>SO16364</v>
      </c>
      <c r="T11">
        <f t="shared" si="0"/>
        <v>1</v>
      </c>
    </row>
    <row r="12" spans="1:20" x14ac:dyDescent="0.25">
      <c r="A12" s="2">
        <v>1</v>
      </c>
      <c r="B12" s="2" t="s">
        <v>2224</v>
      </c>
      <c r="C12" s="2" t="s">
        <v>2225</v>
      </c>
      <c r="D12" s="2" t="s">
        <v>465</v>
      </c>
      <c r="E12" s="3">
        <v>45663.693715277783</v>
      </c>
      <c r="F12" s="3">
        <v>45666.407743055563</v>
      </c>
      <c r="G12" s="4">
        <v>45667</v>
      </c>
      <c r="H12" s="2" t="s">
        <v>21</v>
      </c>
      <c r="I12" s="2" t="s">
        <v>22</v>
      </c>
      <c r="J12" s="2">
        <v>1</v>
      </c>
      <c r="K12" s="2">
        <v>17048.099999999999</v>
      </c>
      <c r="L12" s="2">
        <v>0</v>
      </c>
      <c r="M12" s="2">
        <v>11840.88967445675</v>
      </c>
      <c r="N12" s="2">
        <v>15086.8</v>
      </c>
      <c r="O12" s="2">
        <v>1961.3</v>
      </c>
      <c r="P12" s="2">
        <v>17048.099999999999</v>
      </c>
      <c r="Q12" s="2" t="s">
        <v>44</v>
      </c>
      <c r="R12" s="2"/>
      <c r="S12" t="str">
        <f>VLOOKUP(B12,CASOPOInvCL!$B$1:$D$1600,1,FALSE)</f>
        <v>SO16368</v>
      </c>
      <c r="T12">
        <f t="shared" si="0"/>
        <v>1</v>
      </c>
    </row>
    <row r="13" spans="1:20" x14ac:dyDescent="0.25">
      <c r="A13" s="2">
        <v>1</v>
      </c>
      <c r="B13" s="2" t="s">
        <v>2251</v>
      </c>
      <c r="C13" s="2" t="s">
        <v>2252</v>
      </c>
      <c r="D13" s="2" t="s">
        <v>35</v>
      </c>
      <c r="E13" s="3">
        <v>45664.409247685187</v>
      </c>
      <c r="F13" s="3">
        <v>45664.621874999997</v>
      </c>
      <c r="G13" s="4">
        <v>45665</v>
      </c>
      <c r="H13" s="2" t="s">
        <v>21</v>
      </c>
      <c r="I13" s="2" t="s">
        <v>22</v>
      </c>
      <c r="J13" s="2">
        <v>1</v>
      </c>
      <c r="K13" s="2">
        <v>117.99</v>
      </c>
      <c r="L13" s="2">
        <v>0</v>
      </c>
      <c r="M13" s="2">
        <v>82.255856549940304</v>
      </c>
      <c r="N13" s="2">
        <v>112.37</v>
      </c>
      <c r="O13" s="2">
        <v>5.62</v>
      </c>
      <c r="P13" s="2">
        <v>117.99</v>
      </c>
      <c r="Q13" s="2" t="s">
        <v>44</v>
      </c>
      <c r="R13" s="2"/>
      <c r="S13" t="str">
        <f>VLOOKUP(B13,CASOPOInvCL!$B$1:$D$1600,1,FALSE)</f>
        <v>SO16369</v>
      </c>
      <c r="T13">
        <f t="shared" si="0"/>
        <v>1</v>
      </c>
    </row>
    <row r="14" spans="1:20" x14ac:dyDescent="0.25">
      <c r="A14" s="2">
        <v>1</v>
      </c>
      <c r="B14" s="2" t="s">
        <v>2175</v>
      </c>
      <c r="C14" s="2" t="s">
        <v>2176</v>
      </c>
      <c r="D14" s="2" t="s">
        <v>54</v>
      </c>
      <c r="E14" s="3">
        <v>45664.490856481483</v>
      </c>
      <c r="F14" s="3">
        <v>45673.632268518522</v>
      </c>
      <c r="G14" s="4">
        <v>45720</v>
      </c>
      <c r="H14" s="2" t="s">
        <v>21</v>
      </c>
      <c r="I14" s="2" t="s">
        <v>22</v>
      </c>
      <c r="J14" s="2">
        <v>1</v>
      </c>
      <c r="K14" s="2">
        <v>1657.93</v>
      </c>
      <c r="L14" s="2">
        <v>0</v>
      </c>
      <c r="M14" s="2">
        <v>1152.842562185547</v>
      </c>
      <c r="N14" s="2">
        <v>1578.98</v>
      </c>
      <c r="O14" s="2">
        <v>78.95</v>
      </c>
      <c r="P14" s="2">
        <v>1657.93</v>
      </c>
      <c r="Q14" s="2" t="s">
        <v>44</v>
      </c>
      <c r="R14" s="2"/>
      <c r="S14" t="str">
        <f>VLOOKUP(B14,CASOPOInvCL!$B$1:$D$1600,1,FALSE)</f>
        <v>SO16372</v>
      </c>
      <c r="T14">
        <f t="shared" si="0"/>
        <v>1</v>
      </c>
    </row>
    <row r="15" spans="1:20" x14ac:dyDescent="0.25">
      <c r="A15" s="2">
        <v>1</v>
      </c>
      <c r="B15" s="2" t="s">
        <v>2228</v>
      </c>
      <c r="C15" s="2" t="s">
        <v>2229</v>
      </c>
      <c r="D15" s="2" t="s">
        <v>54</v>
      </c>
      <c r="E15" s="3">
        <v>45664.532511574071</v>
      </c>
      <c r="F15" s="3">
        <v>45665.677407407413</v>
      </c>
      <c r="G15" s="4">
        <v>45666</v>
      </c>
      <c r="H15" s="2" t="s">
        <v>21</v>
      </c>
      <c r="I15" s="2" t="s">
        <v>22</v>
      </c>
      <c r="J15" s="2">
        <v>1</v>
      </c>
      <c r="K15" s="2">
        <v>3783.15</v>
      </c>
      <c r="L15" s="2">
        <v>0</v>
      </c>
      <c r="M15" s="2">
        <v>2631.4955949374539</v>
      </c>
      <c r="N15" s="2">
        <v>3603</v>
      </c>
      <c r="O15" s="2">
        <v>180.15</v>
      </c>
      <c r="P15" s="2">
        <v>3783.15</v>
      </c>
      <c r="Q15" s="2" t="s">
        <v>44</v>
      </c>
      <c r="R15" s="2"/>
      <c r="S15" t="str">
        <f>VLOOKUP(B15,CASOPOInvCL!$B$1:$D$1600,1,FALSE)</f>
        <v>SO16374</v>
      </c>
      <c r="T15">
        <f t="shared" si="0"/>
        <v>1</v>
      </c>
    </row>
    <row r="16" spans="1:20" x14ac:dyDescent="0.25">
      <c r="A16" s="2">
        <v>1</v>
      </c>
      <c r="B16" s="2" t="s">
        <v>2236</v>
      </c>
      <c r="C16" s="2" t="s">
        <v>2237</v>
      </c>
      <c r="D16" s="2" t="s">
        <v>70</v>
      </c>
      <c r="E16" s="3">
        <v>45664.544502314813</v>
      </c>
      <c r="F16" s="3">
        <v>45665.577222222222</v>
      </c>
      <c r="G16" s="4">
        <v>45666</v>
      </c>
      <c r="H16" s="2" t="s">
        <v>71</v>
      </c>
      <c r="I16" s="2" t="s">
        <v>22</v>
      </c>
      <c r="J16" s="2">
        <v>1</v>
      </c>
      <c r="K16" s="2">
        <v>5506</v>
      </c>
      <c r="L16" s="2">
        <v>0</v>
      </c>
      <c r="M16" s="2">
        <v>3829.8811164573499</v>
      </c>
      <c r="N16" s="2">
        <v>5506</v>
      </c>
      <c r="O16" s="2"/>
      <c r="P16" s="2">
        <v>5506</v>
      </c>
      <c r="Q16" s="2" t="s">
        <v>44</v>
      </c>
      <c r="R16" s="2"/>
      <c r="S16" t="str">
        <f>VLOOKUP(B16,CASOPOInvCL!$B$1:$D$1600,1,FALSE)</f>
        <v>SO16375</v>
      </c>
      <c r="T16">
        <f t="shared" si="0"/>
        <v>1</v>
      </c>
    </row>
    <row r="17" spans="1:20" x14ac:dyDescent="0.25">
      <c r="A17" s="2">
        <v>1</v>
      </c>
      <c r="B17" s="2" t="s">
        <v>2249</v>
      </c>
      <c r="C17" s="2" t="s">
        <v>2250</v>
      </c>
      <c r="D17" s="2" t="s">
        <v>98</v>
      </c>
      <c r="E17" s="3">
        <v>45664.556076388893</v>
      </c>
      <c r="F17" s="3">
        <v>45664.681759259263</v>
      </c>
      <c r="G17" s="4">
        <v>45326</v>
      </c>
      <c r="H17" s="2" t="s">
        <v>21</v>
      </c>
      <c r="I17" s="2" t="s">
        <v>22</v>
      </c>
      <c r="J17" s="2">
        <v>1</v>
      </c>
      <c r="K17" s="2">
        <v>13951.67</v>
      </c>
      <c r="L17" s="2">
        <v>0</v>
      </c>
      <c r="M17" s="2">
        <v>9726.3036371904873</v>
      </c>
      <c r="N17" s="2">
        <v>12346.61</v>
      </c>
      <c r="O17" s="2">
        <v>1605.06</v>
      </c>
      <c r="P17" s="2">
        <v>13951.67</v>
      </c>
      <c r="Q17" s="2" t="s">
        <v>44</v>
      </c>
      <c r="R17" s="2"/>
      <c r="S17" t="str">
        <f>VLOOKUP(B17,CASOPOInvCL!$B$1:$D$1600,1,FALSE)</f>
        <v>SO16376</v>
      </c>
      <c r="T17">
        <f t="shared" si="0"/>
        <v>1</v>
      </c>
    </row>
    <row r="18" spans="1:20" x14ac:dyDescent="0.25">
      <c r="A18" s="2">
        <v>1</v>
      </c>
      <c r="B18" s="2" t="s">
        <v>2247</v>
      </c>
      <c r="C18" s="2" t="s">
        <v>2248</v>
      </c>
      <c r="D18" s="2" t="s">
        <v>95</v>
      </c>
      <c r="E18" s="3">
        <v>45664.680543981478</v>
      </c>
      <c r="F18" s="3">
        <v>45664.716041666667</v>
      </c>
      <c r="G18" s="4">
        <v>45706</v>
      </c>
      <c r="H18" s="2" t="s">
        <v>21</v>
      </c>
      <c r="I18" s="2" t="s">
        <v>22</v>
      </c>
      <c r="J18" s="2">
        <v>1</v>
      </c>
      <c r="K18" s="2">
        <v>5367.86</v>
      </c>
      <c r="L18" s="2">
        <v>0</v>
      </c>
      <c r="M18" s="2">
        <v>3742.1639303344559</v>
      </c>
      <c r="N18" s="2">
        <v>5112.25</v>
      </c>
      <c r="O18" s="2">
        <v>255.61</v>
      </c>
      <c r="P18" s="2">
        <v>5367.86</v>
      </c>
      <c r="Q18" s="2" t="s">
        <v>44</v>
      </c>
      <c r="R18" s="2"/>
      <c r="S18" t="str">
        <f>VLOOKUP(B18,CASOPOInvCL!$B$1:$D$1600,1,FALSE)</f>
        <v>SO16377</v>
      </c>
      <c r="T18">
        <f t="shared" si="0"/>
        <v>1</v>
      </c>
    </row>
    <row r="19" spans="1:20" x14ac:dyDescent="0.25">
      <c r="A19" s="2">
        <v>1</v>
      </c>
      <c r="B19" s="2" t="s">
        <v>2243</v>
      </c>
      <c r="C19" s="2" t="s">
        <v>2244</v>
      </c>
      <c r="D19" s="2" t="s">
        <v>1236</v>
      </c>
      <c r="E19" s="3">
        <v>45664.694398148153</v>
      </c>
      <c r="F19" s="3">
        <v>45665.3905787037</v>
      </c>
      <c r="G19" s="4">
        <v>45693</v>
      </c>
      <c r="H19" s="2" t="s">
        <v>21</v>
      </c>
      <c r="I19" s="2" t="s">
        <v>22</v>
      </c>
      <c r="J19" s="2">
        <v>1</v>
      </c>
      <c r="K19" s="2">
        <v>1036.94</v>
      </c>
      <c r="L19" s="2">
        <v>0</v>
      </c>
      <c r="M19" s="2">
        <v>721.27804665806116</v>
      </c>
      <c r="N19" s="2">
        <v>987.57</v>
      </c>
      <c r="O19" s="2">
        <v>49.37</v>
      </c>
      <c r="P19" s="2">
        <v>1036.94</v>
      </c>
      <c r="Q19" s="2" t="s">
        <v>44</v>
      </c>
      <c r="R19" s="2"/>
      <c r="S19" t="str">
        <f>VLOOKUP(B19,CASOPOInvCL!$B$1:$D$1600,1,FALSE)</f>
        <v>SO16378</v>
      </c>
      <c r="T19">
        <f t="shared" si="0"/>
        <v>1</v>
      </c>
    </row>
    <row r="20" spans="1:20" x14ac:dyDescent="0.25">
      <c r="A20" s="2">
        <v>1</v>
      </c>
      <c r="B20" s="2" t="s">
        <v>2245</v>
      </c>
      <c r="C20" s="2" t="s">
        <v>2246</v>
      </c>
      <c r="D20" s="2" t="s">
        <v>98</v>
      </c>
      <c r="E20" s="3">
        <v>45665.302384259259</v>
      </c>
      <c r="F20" s="3">
        <v>45665.37672453704</v>
      </c>
      <c r="G20" s="4">
        <v>45665</v>
      </c>
      <c r="H20" s="2" t="s">
        <v>1132</v>
      </c>
      <c r="I20" s="2" t="s">
        <v>22</v>
      </c>
      <c r="J20" s="2">
        <v>1</v>
      </c>
      <c r="K20" s="2">
        <v>2007.42</v>
      </c>
      <c r="L20" s="2">
        <v>0</v>
      </c>
      <c r="M20" s="2">
        <v>1396.3276336358181</v>
      </c>
      <c r="N20" s="2">
        <v>1776.49</v>
      </c>
      <c r="O20" s="2">
        <v>230.93</v>
      </c>
      <c r="P20" s="2">
        <v>2007.42</v>
      </c>
      <c r="Q20" s="2" t="s">
        <v>44</v>
      </c>
      <c r="R20" s="2"/>
      <c r="S20" t="str">
        <f>VLOOKUP(B20,CASOPOInvCL!$B$1:$D$1600,1,FALSE)</f>
        <v>SO16379</v>
      </c>
      <c r="T20">
        <f t="shared" si="0"/>
        <v>1</v>
      </c>
    </row>
    <row r="21" spans="1:20" s="20" customFormat="1" x14ac:dyDescent="0.25">
      <c r="A21" s="2">
        <v>3</v>
      </c>
      <c r="B21" s="2" t="s">
        <v>2232</v>
      </c>
      <c r="C21" s="2" t="s">
        <v>2233</v>
      </c>
      <c r="D21" s="2" t="s">
        <v>6166</v>
      </c>
      <c r="E21" s="3">
        <v>45665.427476851852</v>
      </c>
      <c r="F21" s="3">
        <v>45665.650752314818</v>
      </c>
      <c r="G21" s="4">
        <v>45777</v>
      </c>
      <c r="H21" s="2" t="s">
        <v>1132</v>
      </c>
      <c r="I21" s="2" t="s">
        <v>22</v>
      </c>
      <c r="J21" s="2">
        <v>1</v>
      </c>
      <c r="K21" s="2">
        <v>4153.74</v>
      </c>
      <c r="L21" s="2">
        <v>0</v>
      </c>
      <c r="M21" s="2">
        <v>2889.2717741869869</v>
      </c>
      <c r="N21" s="2">
        <v>3955.95</v>
      </c>
      <c r="O21" s="2">
        <v>197.79</v>
      </c>
      <c r="P21" s="2">
        <v>4153.74</v>
      </c>
      <c r="Q21" s="2" t="s">
        <v>44</v>
      </c>
      <c r="R21" s="2"/>
      <c r="S21" t="str">
        <f>VLOOKUP(B21,CASOPOInvCL!$B$1:$D$1600,1,FALSE)</f>
        <v>SO16380</v>
      </c>
      <c r="T21">
        <f t="shared" si="0"/>
        <v>1</v>
      </c>
    </row>
    <row r="22" spans="1:20" x14ac:dyDescent="0.25">
      <c r="A22" s="2">
        <v>1</v>
      </c>
      <c r="B22" s="2" t="s">
        <v>2238</v>
      </c>
      <c r="C22" s="2" t="s">
        <v>2239</v>
      </c>
      <c r="D22" s="2" t="s">
        <v>146</v>
      </c>
      <c r="E22" s="3">
        <v>45665.433240740742</v>
      </c>
      <c r="F22" s="3">
        <v>45665.477326388893</v>
      </c>
      <c r="G22" s="4">
        <v>45666</v>
      </c>
      <c r="H22" s="2" t="s">
        <v>21</v>
      </c>
      <c r="I22" s="2" t="s">
        <v>22</v>
      </c>
      <c r="J22" s="2">
        <v>1</v>
      </c>
      <c r="K22" s="2">
        <v>962.42</v>
      </c>
      <c r="L22" s="2">
        <v>0</v>
      </c>
      <c r="M22" s="2">
        <v>669.44318636049445</v>
      </c>
      <c r="N22" s="2">
        <v>916.59</v>
      </c>
      <c r="O22" s="2">
        <v>45.83</v>
      </c>
      <c r="P22" s="2">
        <v>962.42</v>
      </c>
      <c r="Q22" s="2" t="s">
        <v>44</v>
      </c>
      <c r="R22" s="2"/>
      <c r="S22" t="str">
        <f>VLOOKUP(B22,CASOPOInvCL!$B$1:$D$1600,1,FALSE)</f>
        <v>SO16381</v>
      </c>
      <c r="T22">
        <f t="shared" si="0"/>
        <v>1</v>
      </c>
    </row>
    <row r="23" spans="1:20" x14ac:dyDescent="0.25">
      <c r="A23" s="2">
        <v>1</v>
      </c>
      <c r="B23" s="2" t="s">
        <v>2240</v>
      </c>
      <c r="C23" s="2" t="s">
        <v>2241</v>
      </c>
      <c r="D23" s="2" t="s">
        <v>2242</v>
      </c>
      <c r="E23" s="3">
        <v>45665.456134259257</v>
      </c>
      <c r="F23" s="3">
        <v>45665.459224537037</v>
      </c>
      <c r="G23" s="4">
        <v>45666</v>
      </c>
      <c r="H23" s="2" t="s">
        <v>21</v>
      </c>
      <c r="I23" s="2" t="s">
        <v>51</v>
      </c>
      <c r="J23" s="2">
        <v>0.6971426099664404</v>
      </c>
      <c r="K23" s="2">
        <v>197.62097170711181</v>
      </c>
      <c r="L23" s="2">
        <v>0</v>
      </c>
      <c r="M23" s="2">
        <v>137.77000000000001</v>
      </c>
      <c r="N23" s="2">
        <v>137.77000000000001</v>
      </c>
      <c r="O23" s="2"/>
      <c r="P23" s="2">
        <v>137.77000000000001</v>
      </c>
      <c r="Q23" s="2" t="s">
        <v>44</v>
      </c>
      <c r="R23" s="2"/>
      <c r="S23" t="str">
        <f>VLOOKUP(B23,CASOPOInvCL!$B$1:$D$1600,1,FALSE)</f>
        <v>SO16382</v>
      </c>
      <c r="T23">
        <f t="shared" si="0"/>
        <v>1</v>
      </c>
    </row>
    <row r="24" spans="1:20" ht="30" x14ac:dyDescent="0.25">
      <c r="A24" s="2">
        <v>1</v>
      </c>
      <c r="B24" s="2" t="s">
        <v>2222</v>
      </c>
      <c r="C24" s="2" t="s">
        <v>2223</v>
      </c>
      <c r="D24" s="2" t="s">
        <v>159</v>
      </c>
      <c r="E24" s="3">
        <v>45665.470312500001</v>
      </c>
      <c r="F24" s="3">
        <v>45666.818449074082</v>
      </c>
      <c r="G24" s="4">
        <v>45665</v>
      </c>
      <c r="H24" s="2" t="s">
        <v>426</v>
      </c>
      <c r="I24" s="2" t="s">
        <v>51</v>
      </c>
      <c r="J24" s="2">
        <v>0.69558320313428079</v>
      </c>
      <c r="K24" s="2">
        <v>15727.809341434109</v>
      </c>
      <c r="L24" s="2">
        <v>0</v>
      </c>
      <c r="M24" s="2">
        <v>10940</v>
      </c>
      <c r="N24" s="2">
        <v>10940</v>
      </c>
      <c r="O24" s="2"/>
      <c r="P24" s="2">
        <v>10940</v>
      </c>
      <c r="Q24" s="2" t="s">
        <v>44</v>
      </c>
      <c r="R24" s="2"/>
      <c r="S24" t="str">
        <f>VLOOKUP(B24,CASOPOInvCL!$B$1:$D$1600,1,FALSE)</f>
        <v>SO16383</v>
      </c>
      <c r="T24">
        <f t="shared" si="0"/>
        <v>1</v>
      </c>
    </row>
    <row r="25" spans="1:20" x14ac:dyDescent="0.25">
      <c r="A25" s="2">
        <v>1</v>
      </c>
      <c r="B25" s="2" t="s">
        <v>2226</v>
      </c>
      <c r="C25" s="2" t="s">
        <v>2227</v>
      </c>
      <c r="D25" s="2" t="s">
        <v>54</v>
      </c>
      <c r="E25" s="3">
        <v>45665.494166666656</v>
      </c>
      <c r="F25" s="3">
        <v>45665.681377314817</v>
      </c>
      <c r="G25" s="4">
        <v>45791</v>
      </c>
      <c r="H25" s="2" t="s">
        <v>21</v>
      </c>
      <c r="I25" s="2" t="s">
        <v>22</v>
      </c>
      <c r="J25" s="2">
        <v>1</v>
      </c>
      <c r="K25" s="2">
        <v>2094.52</v>
      </c>
      <c r="L25" s="2">
        <v>0</v>
      </c>
      <c r="M25" s="2">
        <v>1456.9129306288139</v>
      </c>
      <c r="N25" s="2">
        <v>1994.78</v>
      </c>
      <c r="O25" s="2">
        <v>99.74</v>
      </c>
      <c r="P25" s="2">
        <v>2094.52</v>
      </c>
      <c r="Q25" s="2" t="s">
        <v>44</v>
      </c>
      <c r="R25" s="2"/>
      <c r="S25" t="str">
        <f>VLOOKUP(B25,CASOPOInvCL!$B$1:$D$1600,1,FALSE)</f>
        <v>SO16384</v>
      </c>
      <c r="T25">
        <f t="shared" si="0"/>
        <v>1</v>
      </c>
    </row>
    <row r="26" spans="1:20" x14ac:dyDescent="0.25">
      <c r="A26" s="2">
        <v>1</v>
      </c>
      <c r="B26" s="2" t="s">
        <v>2094</v>
      </c>
      <c r="C26" s="2" t="s">
        <v>2095</v>
      </c>
      <c r="D26" s="2" t="s">
        <v>472</v>
      </c>
      <c r="E26" s="3">
        <v>45665.500972222217</v>
      </c>
      <c r="F26" s="3">
        <v>45686.418217592603</v>
      </c>
      <c r="G26" s="4">
        <v>45687</v>
      </c>
      <c r="H26" s="2" t="s">
        <v>21</v>
      </c>
      <c r="I26" s="2" t="s">
        <v>22</v>
      </c>
      <c r="J26" s="2">
        <v>1</v>
      </c>
      <c r="K26" s="2">
        <v>12217.92</v>
      </c>
      <c r="L26" s="2">
        <v>12217.92</v>
      </c>
      <c r="M26" s="2">
        <v>12217.92</v>
      </c>
      <c r="N26" s="2">
        <v>11636.11</v>
      </c>
      <c r="O26" s="2">
        <v>581.80999999999995</v>
      </c>
      <c r="P26" s="2">
        <v>12217.92</v>
      </c>
      <c r="Q26" s="2" t="s">
        <v>44</v>
      </c>
      <c r="R26" s="2"/>
      <c r="S26" t="str">
        <f>VLOOKUP(B26,CASOPOInvCL!$B$1:$D$1600,1,FALSE)</f>
        <v>SO16385</v>
      </c>
      <c r="T26">
        <f t="shared" si="0"/>
        <v>1</v>
      </c>
    </row>
    <row r="27" spans="1:20" x14ac:dyDescent="0.25">
      <c r="A27" s="2">
        <v>1</v>
      </c>
      <c r="B27" s="2" t="s">
        <v>2234</v>
      </c>
      <c r="C27" s="2" t="s">
        <v>2235</v>
      </c>
      <c r="D27" s="2" t="s">
        <v>146</v>
      </c>
      <c r="E27" s="3">
        <v>45665.569305555553</v>
      </c>
      <c r="F27" s="3">
        <v>45665.636180555557</v>
      </c>
      <c r="G27" s="4">
        <v>45666</v>
      </c>
      <c r="H27" s="2" t="s">
        <v>1132</v>
      </c>
      <c r="I27" s="2" t="s">
        <v>22</v>
      </c>
      <c r="J27" s="2">
        <v>1</v>
      </c>
      <c r="K27" s="2">
        <v>224.6</v>
      </c>
      <c r="L27" s="2">
        <v>0</v>
      </c>
      <c r="M27" s="2">
        <v>156.22798742395949</v>
      </c>
      <c r="N27" s="2">
        <v>213.9</v>
      </c>
      <c r="O27" s="2">
        <v>10.7</v>
      </c>
      <c r="P27" s="2">
        <v>224.6</v>
      </c>
      <c r="Q27" s="2" t="s">
        <v>44</v>
      </c>
      <c r="R27" s="2"/>
      <c r="S27" t="str">
        <f>VLOOKUP(B27,CASOPOInvCL!$B$1:$D$1600,1,FALSE)</f>
        <v>SO16389</v>
      </c>
      <c r="T27">
        <f t="shared" si="0"/>
        <v>1</v>
      </c>
    </row>
    <row r="28" spans="1:20" x14ac:dyDescent="0.25">
      <c r="A28" s="2">
        <v>2</v>
      </c>
      <c r="B28" s="2" t="s">
        <v>2230</v>
      </c>
      <c r="C28" s="2" t="s">
        <v>2231</v>
      </c>
      <c r="D28" s="2" t="s">
        <v>54</v>
      </c>
      <c r="E28" s="3">
        <v>45665.671296296299</v>
      </c>
      <c r="F28" s="3">
        <v>45665.673564814817</v>
      </c>
      <c r="G28" s="4">
        <v>45688</v>
      </c>
      <c r="H28" s="2" t="s">
        <v>21</v>
      </c>
      <c r="I28" s="2" t="s">
        <v>22</v>
      </c>
      <c r="J28" s="2">
        <v>1</v>
      </c>
      <c r="K28" s="2">
        <v>972.43</v>
      </c>
      <c r="L28" s="2">
        <v>0</v>
      </c>
      <c r="M28" s="2">
        <v>676.40597422386861</v>
      </c>
      <c r="N28" s="2">
        <v>926.12</v>
      </c>
      <c r="O28" s="2">
        <v>46.31</v>
      </c>
      <c r="P28" s="2">
        <v>972.43</v>
      </c>
      <c r="Q28" s="2" t="s">
        <v>44</v>
      </c>
      <c r="R28" s="2"/>
      <c r="S28" t="str">
        <f>VLOOKUP(B28,CASOPOInvCL!$B$1:$D$1600,1,FALSE)</f>
        <v>SO16390</v>
      </c>
      <c r="T28">
        <f t="shared" si="0"/>
        <v>1</v>
      </c>
    </row>
    <row r="29" spans="1:20" x14ac:dyDescent="0.25">
      <c r="A29" s="2">
        <v>1</v>
      </c>
      <c r="B29" s="2" t="s">
        <v>2194</v>
      </c>
      <c r="C29" s="2" t="s">
        <v>2195</v>
      </c>
      <c r="D29" s="2" t="s">
        <v>290</v>
      </c>
      <c r="E29" s="3">
        <v>45666.437789351847</v>
      </c>
      <c r="F29" s="3">
        <v>45671.640162037038</v>
      </c>
      <c r="G29" s="4">
        <v>45744</v>
      </c>
      <c r="H29" s="2" t="s">
        <v>21</v>
      </c>
      <c r="I29" s="2" t="s">
        <v>22</v>
      </c>
      <c r="J29" s="2">
        <v>1</v>
      </c>
      <c r="K29" s="2">
        <v>7778.54</v>
      </c>
      <c r="L29" s="2">
        <v>0</v>
      </c>
      <c r="M29" s="2">
        <v>5412.4629003718201</v>
      </c>
      <c r="N29" s="2">
        <v>7408.13</v>
      </c>
      <c r="O29" s="2">
        <v>370.41</v>
      </c>
      <c r="P29" s="2">
        <v>7778.54</v>
      </c>
      <c r="Q29" s="2" t="s">
        <v>44</v>
      </c>
      <c r="R29" s="2"/>
      <c r="S29" t="str">
        <f>VLOOKUP(B29,CASOPOInvCL!$B$1:$D$1600,1,FALSE)</f>
        <v>SO16392</v>
      </c>
      <c r="T29">
        <f t="shared" si="0"/>
        <v>1</v>
      </c>
    </row>
    <row r="30" spans="1:20" x14ac:dyDescent="0.25">
      <c r="A30" s="2">
        <v>2</v>
      </c>
      <c r="B30" s="2" t="s">
        <v>2200</v>
      </c>
      <c r="C30" s="2" t="s">
        <v>2201</v>
      </c>
      <c r="D30" s="2" t="s">
        <v>171</v>
      </c>
      <c r="E30" s="3">
        <v>45666.496747685182</v>
      </c>
      <c r="F30" s="3">
        <v>45671.440046296288</v>
      </c>
      <c r="G30" s="4">
        <v>45706</v>
      </c>
      <c r="H30" s="2" t="s">
        <v>21</v>
      </c>
      <c r="I30" s="2" t="s">
        <v>22</v>
      </c>
      <c r="J30" s="2">
        <v>1</v>
      </c>
      <c r="K30" s="2">
        <v>2482.17</v>
      </c>
      <c r="L30" s="2">
        <v>0</v>
      </c>
      <c r="M30" s="2">
        <v>1727.1432733412601</v>
      </c>
      <c r="N30" s="2">
        <v>2363.9699999999998</v>
      </c>
      <c r="O30" s="2">
        <v>118.2</v>
      </c>
      <c r="P30" s="2">
        <v>2482.17</v>
      </c>
      <c r="Q30" s="2" t="s">
        <v>44</v>
      </c>
      <c r="R30" s="2"/>
      <c r="S30" t="str">
        <f>VLOOKUP(B30,CASOPOInvCL!$B$1:$D$1600,1,FALSE)</f>
        <v>SO16393</v>
      </c>
      <c r="T30">
        <f t="shared" si="0"/>
        <v>1</v>
      </c>
    </row>
    <row r="31" spans="1:20" x14ac:dyDescent="0.25">
      <c r="A31" s="2">
        <v>1</v>
      </c>
      <c r="B31" s="2" t="s">
        <v>1853</v>
      </c>
      <c r="C31" s="2" t="s">
        <v>1854</v>
      </c>
      <c r="D31" s="2" t="s">
        <v>581</v>
      </c>
      <c r="E31" s="3">
        <v>45666.710902777777</v>
      </c>
      <c r="F31" s="3">
        <v>45719.693657407413</v>
      </c>
      <c r="G31" s="4">
        <v>45733</v>
      </c>
      <c r="H31" s="2" t="s">
        <v>21</v>
      </c>
      <c r="I31" s="2" t="s">
        <v>51</v>
      </c>
      <c r="J31" s="2">
        <v>0.6913666591718971</v>
      </c>
      <c r="K31" s="2">
        <v>1339.7088038775501</v>
      </c>
      <c r="L31" s="2">
        <v>0</v>
      </c>
      <c r="M31" s="2">
        <v>926.23</v>
      </c>
      <c r="N31" s="2">
        <v>926.23</v>
      </c>
      <c r="O31" s="2"/>
      <c r="P31" s="2">
        <v>926.23</v>
      </c>
      <c r="Q31" s="2" t="s">
        <v>44</v>
      </c>
      <c r="R31" s="2"/>
      <c r="S31" t="str">
        <f>VLOOKUP(B31,CASOPOInvCL!$B$1:$D$1600,1,FALSE)</f>
        <v>SO16397</v>
      </c>
      <c r="T31">
        <f t="shared" si="0"/>
        <v>1</v>
      </c>
    </row>
    <row r="32" spans="1:20" x14ac:dyDescent="0.25">
      <c r="A32" s="2">
        <v>1</v>
      </c>
      <c r="B32" s="2" t="s">
        <v>2183</v>
      </c>
      <c r="C32" s="2" t="s">
        <v>2184</v>
      </c>
      <c r="D32" s="2" t="s">
        <v>509</v>
      </c>
      <c r="E32" s="3">
        <v>45667.392928240741</v>
      </c>
      <c r="F32" s="3">
        <v>45672.575254629628</v>
      </c>
      <c r="G32" s="4">
        <v>45673</v>
      </c>
      <c r="H32" s="2" t="s">
        <v>1132</v>
      </c>
      <c r="I32" s="2" t="s">
        <v>22</v>
      </c>
      <c r="J32" s="2">
        <v>1</v>
      </c>
      <c r="K32" s="2">
        <v>904.12</v>
      </c>
      <c r="L32" s="2">
        <v>904.12</v>
      </c>
      <c r="M32" s="2">
        <v>904.12</v>
      </c>
      <c r="N32" s="2">
        <v>861.07</v>
      </c>
      <c r="O32" s="2">
        <v>43.05</v>
      </c>
      <c r="P32" s="2">
        <v>904.12</v>
      </c>
      <c r="Q32" s="2" t="s">
        <v>44</v>
      </c>
      <c r="R32" s="2"/>
      <c r="S32" t="str">
        <f>VLOOKUP(B32,CASOPOInvCL!$B$1:$D$1600,1,FALSE)</f>
        <v>SO16399</v>
      </c>
      <c r="T32">
        <f t="shared" si="0"/>
        <v>1</v>
      </c>
    </row>
    <row r="33" spans="1:20" ht="30" x14ac:dyDescent="0.25">
      <c r="A33" s="2">
        <v>1</v>
      </c>
      <c r="B33" s="2" t="s">
        <v>2187</v>
      </c>
      <c r="C33" s="2" t="s">
        <v>2188</v>
      </c>
      <c r="D33" s="2" t="s">
        <v>2189</v>
      </c>
      <c r="E33" s="3">
        <v>45667.397164351853</v>
      </c>
      <c r="F33" s="3">
        <v>45672.521296296298</v>
      </c>
      <c r="G33" s="4">
        <v>45707</v>
      </c>
      <c r="H33" s="2" t="s">
        <v>1132</v>
      </c>
      <c r="I33" s="2" t="s">
        <v>51</v>
      </c>
      <c r="J33" s="2">
        <v>0.69581989684077217</v>
      </c>
      <c r="K33" s="2">
        <v>3105.4443970498778</v>
      </c>
      <c r="L33" s="2">
        <v>0</v>
      </c>
      <c r="M33" s="2">
        <v>2160.83</v>
      </c>
      <c r="N33" s="2">
        <v>2160.83</v>
      </c>
      <c r="O33" s="2"/>
      <c r="P33" s="2">
        <v>2160.83</v>
      </c>
      <c r="Q33" s="2" t="s">
        <v>44</v>
      </c>
      <c r="R33" s="2"/>
      <c r="S33" t="str">
        <f>VLOOKUP(B33,CASOPOInvCL!$B$1:$D$1600,1,FALSE)</f>
        <v>SO16400</v>
      </c>
      <c r="T33">
        <f t="shared" si="0"/>
        <v>1</v>
      </c>
    </row>
    <row r="34" spans="1:20" x14ac:dyDescent="0.25">
      <c r="A34" s="2">
        <v>1</v>
      </c>
      <c r="B34" s="2" t="s">
        <v>2206</v>
      </c>
      <c r="C34" s="2" t="s">
        <v>2207</v>
      </c>
      <c r="D34" s="2" t="s">
        <v>2208</v>
      </c>
      <c r="E34" s="3">
        <v>45667.413298611107</v>
      </c>
      <c r="F34" s="3">
        <v>45670.587326388893</v>
      </c>
      <c r="G34" s="4">
        <v>45671</v>
      </c>
      <c r="H34" s="2" t="s">
        <v>1132</v>
      </c>
      <c r="I34" s="2" t="s">
        <v>51</v>
      </c>
      <c r="J34" s="2">
        <v>0.69462238860369352</v>
      </c>
      <c r="K34" s="2">
        <v>120.9290131993211</v>
      </c>
      <c r="L34" s="2">
        <v>0</v>
      </c>
      <c r="M34" s="2">
        <v>84</v>
      </c>
      <c r="N34" s="2">
        <v>84</v>
      </c>
      <c r="O34" s="2"/>
      <c r="P34" s="2">
        <v>84</v>
      </c>
      <c r="Q34" s="2" t="s">
        <v>44</v>
      </c>
      <c r="R34" s="2"/>
      <c r="S34" t="str">
        <f>VLOOKUP(B34,CASOPOInvCL!$B$1:$D$1600,1,FALSE)</f>
        <v>SO16401</v>
      </c>
      <c r="T34">
        <f t="shared" si="0"/>
        <v>1</v>
      </c>
    </row>
    <row r="35" spans="1:20" x14ac:dyDescent="0.25">
      <c r="A35" s="2">
        <v>1</v>
      </c>
      <c r="B35" s="2" t="s">
        <v>2211</v>
      </c>
      <c r="C35" s="2" t="s">
        <v>2212</v>
      </c>
      <c r="D35" s="2" t="s">
        <v>232</v>
      </c>
      <c r="E35" s="3">
        <v>45667.484953703701</v>
      </c>
      <c r="F35" s="3">
        <v>45670.436354166668</v>
      </c>
      <c r="G35" s="4">
        <v>45710</v>
      </c>
      <c r="H35" s="2" t="s">
        <v>180</v>
      </c>
      <c r="I35" s="2" t="s">
        <v>51</v>
      </c>
      <c r="J35" s="2">
        <v>0.69462238860369352</v>
      </c>
      <c r="K35" s="2">
        <v>5373.7110424893553</v>
      </c>
      <c r="L35" s="2">
        <v>0</v>
      </c>
      <c r="M35" s="2">
        <v>3732.7</v>
      </c>
      <c r="N35" s="2">
        <v>3732.7</v>
      </c>
      <c r="O35" s="2"/>
      <c r="P35" s="2">
        <v>3732.7</v>
      </c>
      <c r="Q35" s="2" t="s">
        <v>44</v>
      </c>
      <c r="R35" s="2"/>
      <c r="S35" t="str">
        <f>VLOOKUP(B35,CASOPOInvCL!$B$1:$D$1600,1,FALSE)</f>
        <v>SO16402</v>
      </c>
      <c r="T35">
        <f t="shared" si="0"/>
        <v>1</v>
      </c>
    </row>
    <row r="36" spans="1:20" x14ac:dyDescent="0.25">
      <c r="A36" s="2">
        <v>1</v>
      </c>
      <c r="B36" s="2" t="s">
        <v>2220</v>
      </c>
      <c r="C36" s="2" t="s">
        <v>2221</v>
      </c>
      <c r="D36" s="2" t="s">
        <v>86</v>
      </c>
      <c r="E36" s="3">
        <v>45667.524398148147</v>
      </c>
      <c r="F36" s="3">
        <v>45667.607708333337</v>
      </c>
      <c r="G36" s="4">
        <v>45670</v>
      </c>
      <c r="H36" s="2" t="s">
        <v>1132</v>
      </c>
      <c r="I36" s="2" t="s">
        <v>22</v>
      </c>
      <c r="J36" s="2">
        <v>1</v>
      </c>
      <c r="K36" s="2">
        <v>540.29999999999995</v>
      </c>
      <c r="L36" s="2">
        <v>0</v>
      </c>
      <c r="M36" s="2">
        <v>374.24329219542551</v>
      </c>
      <c r="N36" s="2">
        <v>540.29999999999995</v>
      </c>
      <c r="O36" s="2"/>
      <c r="P36" s="2">
        <v>540.29999999999995</v>
      </c>
      <c r="Q36" s="2" t="s">
        <v>44</v>
      </c>
      <c r="R36" s="2"/>
      <c r="S36" t="str">
        <f>VLOOKUP(B36,CASOPOInvCL!$B$1:$D$1600,1,FALSE)</f>
        <v>SO16403</v>
      </c>
      <c r="T36">
        <f t="shared" si="0"/>
        <v>1</v>
      </c>
    </row>
    <row r="37" spans="1:20" x14ac:dyDescent="0.25">
      <c r="A37" s="2">
        <v>1</v>
      </c>
      <c r="B37" s="2" t="s">
        <v>2215</v>
      </c>
      <c r="C37" s="2" t="s">
        <v>2216</v>
      </c>
      <c r="D37" s="2" t="s">
        <v>2217</v>
      </c>
      <c r="E37" s="3">
        <v>45667.625011574077</v>
      </c>
      <c r="F37" s="3">
        <v>45667.701006944437</v>
      </c>
      <c r="G37" s="4">
        <v>45670</v>
      </c>
      <c r="H37" s="2" t="s">
        <v>1132</v>
      </c>
      <c r="I37" s="2" t="s">
        <v>22</v>
      </c>
      <c r="J37" s="2">
        <v>1</v>
      </c>
      <c r="K37" s="2">
        <v>2138.66</v>
      </c>
      <c r="L37" s="2">
        <v>0</v>
      </c>
      <c r="M37" s="2">
        <v>1481.360650169662</v>
      </c>
      <c r="N37" s="2">
        <v>2036.82</v>
      </c>
      <c r="O37" s="2">
        <v>101.84</v>
      </c>
      <c r="P37" s="2">
        <v>2138.66</v>
      </c>
      <c r="Q37" s="2" t="s">
        <v>44</v>
      </c>
      <c r="R37" s="2"/>
      <c r="S37" t="str">
        <f>VLOOKUP(B37,CASOPOInvCL!$B$1:$D$1600,1,FALSE)</f>
        <v>SO16405</v>
      </c>
      <c r="T37">
        <f t="shared" si="0"/>
        <v>1</v>
      </c>
    </row>
    <row r="38" spans="1:20" x14ac:dyDescent="0.25">
      <c r="A38" s="2">
        <v>1</v>
      </c>
      <c r="B38" s="2" t="s">
        <v>2204</v>
      </c>
      <c r="C38" s="2" t="s">
        <v>2205</v>
      </c>
      <c r="D38" s="2" t="s">
        <v>54</v>
      </c>
      <c r="E38" s="3">
        <v>45667.648553240739</v>
      </c>
      <c r="F38" s="3">
        <v>45670.592569444438</v>
      </c>
      <c r="G38" s="4">
        <v>45698</v>
      </c>
      <c r="H38" s="2" t="s">
        <v>21</v>
      </c>
      <c r="I38" s="2" t="s">
        <v>22</v>
      </c>
      <c r="J38" s="2">
        <v>1</v>
      </c>
      <c r="K38" s="2">
        <v>2358.5100000000002</v>
      </c>
      <c r="L38" s="2">
        <v>0</v>
      </c>
      <c r="M38" s="2">
        <v>1636.6783557362239</v>
      </c>
      <c r="N38" s="2">
        <v>2246.1999999999998</v>
      </c>
      <c r="O38" s="2">
        <v>112.31</v>
      </c>
      <c r="P38" s="2">
        <v>2358.5100000000002</v>
      </c>
      <c r="Q38" s="2" t="s">
        <v>44</v>
      </c>
      <c r="R38" s="2"/>
      <c r="S38" t="str">
        <f>VLOOKUP(B38,CASOPOInvCL!$B$1:$D$1600,1,FALSE)</f>
        <v>SO16406</v>
      </c>
      <c r="T38">
        <f t="shared" si="0"/>
        <v>1</v>
      </c>
    </row>
    <row r="39" spans="1:20" x14ac:dyDescent="0.25">
      <c r="A39" s="2">
        <v>1</v>
      </c>
      <c r="B39" s="2" t="s">
        <v>2196</v>
      </c>
      <c r="C39" s="2" t="s">
        <v>2197</v>
      </c>
      <c r="D39" s="2" t="s">
        <v>644</v>
      </c>
      <c r="E39" s="3">
        <v>45670.402974537043</v>
      </c>
      <c r="F39" s="3">
        <v>45671.538425925923</v>
      </c>
      <c r="G39" s="4">
        <v>45672</v>
      </c>
      <c r="H39" s="2" t="s">
        <v>21</v>
      </c>
      <c r="I39" s="2" t="s">
        <v>51</v>
      </c>
      <c r="J39" s="2">
        <v>0.69394590471790418</v>
      </c>
      <c r="K39" s="2">
        <v>4614.2789779870072</v>
      </c>
      <c r="L39" s="2">
        <v>0</v>
      </c>
      <c r="M39" s="2">
        <v>3202.06</v>
      </c>
      <c r="N39" s="2">
        <v>3202.06</v>
      </c>
      <c r="O39" s="2"/>
      <c r="P39" s="2">
        <v>3202.06</v>
      </c>
      <c r="Q39" s="2" t="s">
        <v>44</v>
      </c>
      <c r="R39" s="2"/>
      <c r="S39" t="str">
        <f>VLOOKUP(B39,CASOPOInvCL!$B$1:$D$1600,1,FALSE)</f>
        <v>SO16408</v>
      </c>
      <c r="T39">
        <f t="shared" si="0"/>
        <v>1</v>
      </c>
    </row>
    <row r="40" spans="1:20" x14ac:dyDescent="0.25">
      <c r="A40" s="2">
        <v>1</v>
      </c>
      <c r="B40" s="2" t="s">
        <v>2213</v>
      </c>
      <c r="C40" s="2" t="s">
        <v>2214</v>
      </c>
      <c r="D40" s="2" t="s">
        <v>192</v>
      </c>
      <c r="E40" s="3">
        <v>45670.409097222233</v>
      </c>
      <c r="F40" s="3">
        <v>45670.429930555547</v>
      </c>
      <c r="G40" s="4">
        <v>45671</v>
      </c>
      <c r="H40" s="2" t="s">
        <v>21</v>
      </c>
      <c r="I40" s="2" t="s">
        <v>51</v>
      </c>
      <c r="J40" s="2">
        <v>0.69462238860369352</v>
      </c>
      <c r="K40" s="2">
        <v>4344.1588545191826</v>
      </c>
      <c r="L40" s="2">
        <v>0</v>
      </c>
      <c r="M40" s="2">
        <v>3017.55</v>
      </c>
      <c r="N40" s="2">
        <v>3017.55</v>
      </c>
      <c r="O40" s="2"/>
      <c r="P40" s="2">
        <v>3017.55</v>
      </c>
      <c r="Q40" s="2" t="s">
        <v>44</v>
      </c>
      <c r="R40" s="2"/>
      <c r="S40" t="str">
        <f>VLOOKUP(B40,CASOPOInvCL!$B$1:$D$1600,1,FALSE)</f>
        <v>SO16409</v>
      </c>
      <c r="T40">
        <f t="shared" si="0"/>
        <v>1</v>
      </c>
    </row>
    <row r="41" spans="1:20" x14ac:dyDescent="0.25">
      <c r="A41" s="2">
        <v>1</v>
      </c>
      <c r="B41" s="2" t="s">
        <v>2202</v>
      </c>
      <c r="C41" s="2" t="s">
        <v>2203</v>
      </c>
      <c r="D41" s="2" t="s">
        <v>54</v>
      </c>
      <c r="E41" s="3">
        <v>45670.481087962973</v>
      </c>
      <c r="F41" s="3">
        <v>45670.620324074072</v>
      </c>
      <c r="G41" s="4">
        <v>45671</v>
      </c>
      <c r="H41" s="2" t="s">
        <v>21</v>
      </c>
      <c r="I41" s="2" t="s">
        <v>22</v>
      </c>
      <c r="J41" s="2">
        <v>1</v>
      </c>
      <c r="K41" s="2">
        <v>2776.1</v>
      </c>
      <c r="L41" s="2">
        <v>0</v>
      </c>
      <c r="M41" s="2">
        <v>1926.4632260873741</v>
      </c>
      <c r="N41" s="2">
        <v>2643.9</v>
      </c>
      <c r="O41" s="2">
        <v>132.19999999999999</v>
      </c>
      <c r="P41" s="2">
        <v>2776.1</v>
      </c>
      <c r="Q41" s="2" t="s">
        <v>44</v>
      </c>
      <c r="R41" s="2"/>
      <c r="S41" t="str">
        <f>VLOOKUP(B41,CASOPOInvCL!$B$1:$D$1600,1,FALSE)</f>
        <v>SO16411</v>
      </c>
      <c r="T41">
        <f t="shared" si="0"/>
        <v>1</v>
      </c>
    </row>
    <row r="42" spans="1:20" ht="30" x14ac:dyDescent="0.25">
      <c r="A42" s="2">
        <v>1</v>
      </c>
      <c r="B42" s="2" t="s">
        <v>2209</v>
      </c>
      <c r="C42" s="2" t="s">
        <v>2210</v>
      </c>
      <c r="D42" s="2" t="s">
        <v>502</v>
      </c>
      <c r="E42" s="3">
        <v>45670.526250000003</v>
      </c>
      <c r="F42" s="3">
        <v>45670.532361111109</v>
      </c>
      <c r="G42" s="4">
        <v>45670</v>
      </c>
      <c r="H42" s="2" t="s">
        <v>21</v>
      </c>
      <c r="I42" s="2" t="s">
        <v>22</v>
      </c>
      <c r="J42" s="2">
        <v>1</v>
      </c>
      <c r="K42" s="2">
        <v>2453.4899999999998</v>
      </c>
      <c r="L42" s="2">
        <v>0</v>
      </c>
      <c r="M42" s="2">
        <v>1702.589337766331</v>
      </c>
      <c r="N42" s="2">
        <v>2336.66</v>
      </c>
      <c r="O42" s="2">
        <v>116.83</v>
      </c>
      <c r="P42" s="2">
        <v>2453.4899999999998</v>
      </c>
      <c r="Q42" s="2" t="s">
        <v>44</v>
      </c>
      <c r="R42" s="2"/>
      <c r="S42" t="str">
        <f>VLOOKUP(B42,CASOPOInvCL!$B$1:$D$1600,1,FALSE)</f>
        <v>SO16412</v>
      </c>
      <c r="T42">
        <f t="shared" si="0"/>
        <v>1</v>
      </c>
    </row>
    <row r="43" spans="1:20" x14ac:dyDescent="0.25">
      <c r="A43" s="2">
        <v>1</v>
      </c>
      <c r="B43" s="2" t="s">
        <v>2198</v>
      </c>
      <c r="C43" s="2" t="s">
        <v>2199</v>
      </c>
      <c r="D43" s="2" t="s">
        <v>1288</v>
      </c>
      <c r="E43" s="3">
        <v>45670.539398148147</v>
      </c>
      <c r="F43" s="3">
        <v>45671.512743055559</v>
      </c>
      <c r="G43" s="4">
        <v>45672</v>
      </c>
      <c r="H43" s="2" t="s">
        <v>21</v>
      </c>
      <c r="I43" s="2" t="s">
        <v>51</v>
      </c>
      <c r="J43" s="2">
        <v>0.69394590471790418</v>
      </c>
      <c r="K43" s="2">
        <v>478.65402438685243</v>
      </c>
      <c r="L43" s="2">
        <v>0</v>
      </c>
      <c r="M43" s="2">
        <v>332.16</v>
      </c>
      <c r="N43" s="2">
        <v>332.16</v>
      </c>
      <c r="O43" s="2"/>
      <c r="P43" s="2">
        <v>332.16</v>
      </c>
      <c r="Q43" s="2" t="s">
        <v>44</v>
      </c>
      <c r="R43" s="2"/>
      <c r="S43" t="str">
        <f>VLOOKUP(B43,CASOPOInvCL!$B$1:$D$1600,1,FALSE)</f>
        <v>SO16413</v>
      </c>
      <c r="T43">
        <f t="shared" si="0"/>
        <v>1</v>
      </c>
    </row>
    <row r="44" spans="1:20" x14ac:dyDescent="0.25">
      <c r="A44" s="2">
        <v>1</v>
      </c>
      <c r="B44" s="2" t="s">
        <v>2171</v>
      </c>
      <c r="C44" s="2" t="s">
        <v>2172</v>
      </c>
      <c r="D44" s="2" t="s">
        <v>694</v>
      </c>
      <c r="E44" s="3">
        <v>45670.543414351851</v>
      </c>
      <c r="F44" s="3">
        <v>45674.551886574067</v>
      </c>
      <c r="G44" s="4">
        <v>45676</v>
      </c>
      <c r="H44" s="2" t="s">
        <v>1132</v>
      </c>
      <c r="I44" s="2" t="s">
        <v>51</v>
      </c>
      <c r="J44" s="2">
        <v>0.69535056497291603</v>
      </c>
      <c r="K44" s="2">
        <v>102.85459393102769</v>
      </c>
      <c r="L44" s="2">
        <v>0</v>
      </c>
      <c r="M44" s="2">
        <v>71.52</v>
      </c>
      <c r="N44" s="2">
        <v>71.52</v>
      </c>
      <c r="O44" s="2"/>
      <c r="P44" s="2">
        <v>71.52</v>
      </c>
      <c r="Q44" s="2" t="s">
        <v>44</v>
      </c>
      <c r="R44" s="2"/>
      <c r="S44" t="str">
        <f>VLOOKUP(B44,CASOPOInvCL!$B$1:$D$1600,1,FALSE)</f>
        <v>SO16414</v>
      </c>
      <c r="T44">
        <f t="shared" si="0"/>
        <v>1</v>
      </c>
    </row>
    <row r="45" spans="1:20" x14ac:dyDescent="0.25">
      <c r="A45" s="2">
        <v>1</v>
      </c>
      <c r="B45" s="2" t="s">
        <v>2190</v>
      </c>
      <c r="C45" s="2" t="s">
        <v>2191</v>
      </c>
      <c r="D45" s="2" t="s">
        <v>239</v>
      </c>
      <c r="E45" s="3">
        <v>45670.659629629627</v>
      </c>
      <c r="F45" s="3">
        <v>45672.474236111113</v>
      </c>
      <c r="G45" s="4">
        <v>45749</v>
      </c>
      <c r="H45" s="2" t="s">
        <v>426</v>
      </c>
      <c r="I45" s="2" t="s">
        <v>51</v>
      </c>
      <c r="J45" s="2">
        <v>0.69581989684077217</v>
      </c>
      <c r="K45" s="2">
        <v>5734.2424643442628</v>
      </c>
      <c r="L45" s="2">
        <v>0</v>
      </c>
      <c r="M45" s="2">
        <v>3990</v>
      </c>
      <c r="N45" s="2">
        <v>3990</v>
      </c>
      <c r="O45" s="2"/>
      <c r="P45" s="2">
        <v>3990</v>
      </c>
      <c r="Q45" s="2" t="s">
        <v>44</v>
      </c>
      <c r="R45" s="2"/>
      <c r="S45" t="str">
        <f>VLOOKUP(B45,CASOPOInvCL!$B$1:$D$1600,1,FALSE)</f>
        <v>SO16417</v>
      </c>
      <c r="T45">
        <f t="shared" si="0"/>
        <v>1</v>
      </c>
    </row>
    <row r="46" spans="1:20" x14ac:dyDescent="0.25">
      <c r="A46" s="2">
        <v>1</v>
      </c>
      <c r="B46" s="2" t="s">
        <v>2192</v>
      </c>
      <c r="C46" s="2" t="s">
        <v>2193</v>
      </c>
      <c r="D46" s="2" t="s">
        <v>95</v>
      </c>
      <c r="E46" s="3">
        <v>45671.432951388888</v>
      </c>
      <c r="F46" s="3">
        <v>45671.691076388888</v>
      </c>
      <c r="G46" s="4">
        <v>45727</v>
      </c>
      <c r="H46" s="2" t="s">
        <v>21</v>
      </c>
      <c r="I46" s="2" t="s">
        <v>22</v>
      </c>
      <c r="J46" s="2">
        <v>1</v>
      </c>
      <c r="K46" s="2">
        <v>6106.39</v>
      </c>
      <c r="L46" s="2">
        <v>0</v>
      </c>
      <c r="M46" s="2">
        <v>4248.9476598695228</v>
      </c>
      <c r="N46" s="2">
        <v>5815.61</v>
      </c>
      <c r="O46" s="2">
        <v>290.77999999999997</v>
      </c>
      <c r="P46" s="2">
        <v>6106.39</v>
      </c>
      <c r="Q46" s="2" t="s">
        <v>44</v>
      </c>
      <c r="R46" s="2"/>
      <c r="S46" t="str">
        <f>VLOOKUP(B46,CASOPOInvCL!$B$1:$D$1600,1,FALSE)</f>
        <v>SO16422</v>
      </c>
      <c r="T46">
        <f t="shared" si="0"/>
        <v>1</v>
      </c>
    </row>
    <row r="47" spans="1:20" x14ac:dyDescent="0.25">
      <c r="A47" s="2">
        <v>1</v>
      </c>
      <c r="B47" s="2" t="s">
        <v>2173</v>
      </c>
      <c r="C47" s="2" t="s">
        <v>2174</v>
      </c>
      <c r="D47" s="2" t="s">
        <v>1423</v>
      </c>
      <c r="E47" s="3">
        <v>45671.519143518519</v>
      </c>
      <c r="F47" s="3">
        <v>45673.685069444437</v>
      </c>
      <c r="G47" s="4">
        <v>45677</v>
      </c>
      <c r="H47" s="2" t="s">
        <v>71</v>
      </c>
      <c r="I47" s="2" t="s">
        <v>22</v>
      </c>
      <c r="J47" s="2">
        <v>1</v>
      </c>
      <c r="K47" s="2">
        <v>5986</v>
      </c>
      <c r="L47" s="2">
        <v>0</v>
      </c>
      <c r="M47" s="2">
        <v>4162.3684819278751</v>
      </c>
      <c r="N47" s="2">
        <v>5986</v>
      </c>
      <c r="O47" s="2"/>
      <c r="P47" s="2">
        <v>5986</v>
      </c>
      <c r="Q47" s="2" t="s">
        <v>44</v>
      </c>
      <c r="R47" s="2"/>
      <c r="S47" t="str">
        <f>VLOOKUP(B47,CASOPOInvCL!$B$1:$D$1600,1,FALSE)</f>
        <v>SO16423</v>
      </c>
      <c r="T47">
        <f t="shared" si="0"/>
        <v>1</v>
      </c>
    </row>
    <row r="48" spans="1:20" x14ac:dyDescent="0.25">
      <c r="A48" s="2">
        <v>1</v>
      </c>
      <c r="B48" s="2" t="s">
        <v>2036</v>
      </c>
      <c r="C48" s="2" t="s">
        <v>2037</v>
      </c>
      <c r="D48" s="2" t="s">
        <v>465</v>
      </c>
      <c r="E48" s="3">
        <v>45671.532835648148</v>
      </c>
      <c r="F48" s="3">
        <v>45698.559374999997</v>
      </c>
      <c r="G48" s="4">
        <v>45699</v>
      </c>
      <c r="H48" s="2" t="s">
        <v>21</v>
      </c>
      <c r="I48" s="2" t="s">
        <v>22</v>
      </c>
      <c r="J48" s="2">
        <v>1</v>
      </c>
      <c r="K48" s="2">
        <v>24293.77</v>
      </c>
      <c r="L48" s="2">
        <v>0</v>
      </c>
      <c r="M48" s="2">
        <v>16965.42931634554</v>
      </c>
      <c r="N48" s="2">
        <v>21498.92</v>
      </c>
      <c r="O48" s="2">
        <v>2794.85</v>
      </c>
      <c r="P48" s="2">
        <v>24293.77</v>
      </c>
      <c r="Q48" s="2" t="s">
        <v>44</v>
      </c>
      <c r="R48" s="2"/>
      <c r="S48" t="str">
        <f>VLOOKUP(B48,CASOPOInvCL!$B$1:$D$1600,1,FALSE)</f>
        <v>SO16424</v>
      </c>
      <c r="T48">
        <f t="shared" si="0"/>
        <v>1</v>
      </c>
    </row>
    <row r="49" spans="1:20" ht="60" x14ac:dyDescent="0.25">
      <c r="A49" s="2">
        <v>1</v>
      </c>
      <c r="B49" s="2" t="s">
        <v>1879</v>
      </c>
      <c r="C49" s="2" t="s">
        <v>1880</v>
      </c>
      <c r="D49" s="2" t="s">
        <v>1881</v>
      </c>
      <c r="E49" s="3">
        <v>45671.563206018523</v>
      </c>
      <c r="F49" s="3">
        <v>45715.641250000001</v>
      </c>
      <c r="G49" s="4">
        <v>45716</v>
      </c>
      <c r="H49" s="2" t="s">
        <v>21</v>
      </c>
      <c r="I49" s="2" t="s">
        <v>22</v>
      </c>
      <c r="J49" s="2">
        <v>1</v>
      </c>
      <c r="K49" s="2">
        <v>956.16</v>
      </c>
      <c r="L49" s="2">
        <v>0</v>
      </c>
      <c r="M49" s="2">
        <v>663.06159595385373</v>
      </c>
      <c r="N49" s="2">
        <v>846.16</v>
      </c>
      <c r="O49" s="2">
        <v>110</v>
      </c>
      <c r="P49" s="2">
        <v>956.16</v>
      </c>
      <c r="Q49" s="2" t="s">
        <v>44</v>
      </c>
      <c r="R49" s="2"/>
      <c r="S49" t="str">
        <f>VLOOKUP(B49,CASOPOInvCL!$B$1:$D$1600,1,FALSE)</f>
        <v>SO16426</v>
      </c>
      <c r="T49">
        <f t="shared" si="0"/>
        <v>1</v>
      </c>
    </row>
    <row r="50" spans="1:20" x14ac:dyDescent="0.25">
      <c r="A50" s="2">
        <v>1</v>
      </c>
      <c r="B50" s="2" t="s">
        <v>2185</v>
      </c>
      <c r="C50" s="2" t="s">
        <v>2186</v>
      </c>
      <c r="D50" s="2" t="s">
        <v>146</v>
      </c>
      <c r="E50" s="3">
        <v>45671.576388888891</v>
      </c>
      <c r="F50" s="3">
        <v>45672.536736111113</v>
      </c>
      <c r="G50" s="4">
        <v>45749</v>
      </c>
      <c r="H50" s="2" t="s">
        <v>21</v>
      </c>
      <c r="I50" s="2" t="s">
        <v>22</v>
      </c>
      <c r="J50" s="2">
        <v>1</v>
      </c>
      <c r="K50" s="2">
        <v>5081.07</v>
      </c>
      <c r="L50" s="2">
        <v>5081.07</v>
      </c>
      <c r="M50" s="2">
        <v>5081.07</v>
      </c>
      <c r="N50" s="2">
        <v>4839.1099999999997</v>
      </c>
      <c r="O50" s="2">
        <v>241.96</v>
      </c>
      <c r="P50" s="2">
        <v>5081.07</v>
      </c>
      <c r="Q50" s="2" t="s">
        <v>44</v>
      </c>
      <c r="R50" s="2"/>
      <c r="S50" t="str">
        <f>VLOOKUP(B50,CASOPOInvCL!$B$1:$D$1600,1,FALSE)</f>
        <v>SO16427</v>
      </c>
      <c r="T50">
        <f t="shared" si="0"/>
        <v>1</v>
      </c>
    </row>
    <row r="51" spans="1:20" x14ac:dyDescent="0.25">
      <c r="A51" s="2">
        <v>1</v>
      </c>
      <c r="B51" s="2" t="s">
        <v>2181</v>
      </c>
      <c r="C51" s="2" t="s">
        <v>2182</v>
      </c>
      <c r="D51" s="2" t="s">
        <v>35</v>
      </c>
      <c r="E51" s="3">
        <v>45671.672847222217</v>
      </c>
      <c r="F51" s="3">
        <v>45672.589062500003</v>
      </c>
      <c r="G51" s="4">
        <v>45673</v>
      </c>
      <c r="H51" s="2" t="s">
        <v>1132</v>
      </c>
      <c r="I51" s="2" t="s">
        <v>22</v>
      </c>
      <c r="J51" s="2">
        <v>1</v>
      </c>
      <c r="K51" s="2">
        <v>917.08</v>
      </c>
      <c r="L51" s="2">
        <v>917.08</v>
      </c>
      <c r="M51" s="2">
        <v>917.08</v>
      </c>
      <c r="N51" s="2">
        <v>873.41</v>
      </c>
      <c r="O51" s="2">
        <v>43.67</v>
      </c>
      <c r="P51" s="2">
        <v>917.08</v>
      </c>
      <c r="Q51" s="2" t="s">
        <v>44</v>
      </c>
      <c r="R51" s="2"/>
      <c r="S51" t="str">
        <f>VLOOKUP(B51,CASOPOInvCL!$B$1:$D$1600,1,FALSE)</f>
        <v>SO16429</v>
      </c>
      <c r="T51">
        <f t="shared" si="0"/>
        <v>1</v>
      </c>
    </row>
    <row r="52" spans="1:20" x14ac:dyDescent="0.25">
      <c r="A52" s="2">
        <v>0</v>
      </c>
      <c r="B52" s="2" t="s">
        <v>295</v>
      </c>
      <c r="C52" s="2" t="s">
        <v>296</v>
      </c>
      <c r="D52" s="2" t="s">
        <v>54</v>
      </c>
      <c r="E52" s="3">
        <v>45671.753703703696</v>
      </c>
      <c r="F52" s="3">
        <v>45961.597928240742</v>
      </c>
      <c r="G52" s="4">
        <v>46045</v>
      </c>
      <c r="H52" s="2" t="s">
        <v>21</v>
      </c>
      <c r="I52" s="2" t="s">
        <v>22</v>
      </c>
      <c r="J52" s="2">
        <v>1</v>
      </c>
      <c r="K52" s="2">
        <v>12682.02</v>
      </c>
      <c r="L52" s="2">
        <v>0</v>
      </c>
      <c r="M52" s="2">
        <v>9050.9155822992016</v>
      </c>
      <c r="N52" s="2">
        <v>12078.11</v>
      </c>
      <c r="O52" s="2">
        <v>603.91</v>
      </c>
      <c r="P52" s="2">
        <v>12682.02</v>
      </c>
      <c r="Q52" s="2" t="s">
        <v>29</v>
      </c>
      <c r="R52" s="2"/>
      <c r="S52" t="str">
        <f>VLOOKUP(B52,CASOPOInvCL!$B$1:$D$1600,1,FALSE)</f>
        <v>SO16430</v>
      </c>
      <c r="T52">
        <f t="shared" si="0"/>
        <v>1</v>
      </c>
    </row>
    <row r="53" spans="1:20" ht="30" x14ac:dyDescent="0.25">
      <c r="A53" s="2">
        <v>1</v>
      </c>
      <c r="B53" s="2" t="s">
        <v>2142</v>
      </c>
      <c r="C53" s="2" t="s">
        <v>2143</v>
      </c>
      <c r="D53" s="2" t="s">
        <v>2144</v>
      </c>
      <c r="E53" s="3">
        <v>45672.438981481479</v>
      </c>
      <c r="F53" s="3">
        <v>45679.399062500001</v>
      </c>
      <c r="G53" s="4">
        <v>45680</v>
      </c>
      <c r="H53" s="2" t="s">
        <v>21</v>
      </c>
      <c r="I53" s="2" t="s">
        <v>22</v>
      </c>
      <c r="J53" s="2">
        <v>1</v>
      </c>
      <c r="K53" s="2">
        <v>523.72</v>
      </c>
      <c r="L53" s="2">
        <v>523.72</v>
      </c>
      <c r="M53" s="2">
        <v>523.72</v>
      </c>
      <c r="N53" s="2">
        <v>498.78</v>
      </c>
      <c r="O53" s="2">
        <v>24.94</v>
      </c>
      <c r="P53" s="2">
        <v>523.72</v>
      </c>
      <c r="Q53" s="2" t="s">
        <v>44</v>
      </c>
      <c r="R53" s="2"/>
      <c r="S53" t="str">
        <f>VLOOKUP(B53,CASOPOInvCL!$B$1:$D$1600,1,FALSE)</f>
        <v>SO16432</v>
      </c>
      <c r="T53">
        <f t="shared" si="0"/>
        <v>1</v>
      </c>
    </row>
    <row r="54" spans="1:20" x14ac:dyDescent="0.25">
      <c r="A54" s="2">
        <v>1</v>
      </c>
      <c r="B54" s="2" t="s">
        <v>2110</v>
      </c>
      <c r="C54" s="2" t="s">
        <v>2111</v>
      </c>
      <c r="D54" s="2" t="s">
        <v>50</v>
      </c>
      <c r="E54" s="3">
        <v>45672.524525462963</v>
      </c>
      <c r="F54" s="3">
        <v>45684.62809027778</v>
      </c>
      <c r="G54" s="4">
        <v>45685</v>
      </c>
      <c r="H54" s="2" t="s">
        <v>21</v>
      </c>
      <c r="I54" s="2" t="s">
        <v>51</v>
      </c>
      <c r="J54" s="2">
        <v>0.69723104385450763</v>
      </c>
      <c r="K54" s="2">
        <v>4777.1969268411494</v>
      </c>
      <c r="L54" s="2">
        <v>0</v>
      </c>
      <c r="M54" s="2">
        <v>3330.81</v>
      </c>
      <c r="N54" s="2">
        <v>3330.81</v>
      </c>
      <c r="O54" s="2"/>
      <c r="P54" s="2">
        <v>3330.81</v>
      </c>
      <c r="Q54" s="2" t="s">
        <v>44</v>
      </c>
      <c r="R54" s="2"/>
      <c r="S54" t="str">
        <f>VLOOKUP(B54,CASOPOInvCL!$B$1:$D$1600,1,FALSE)</f>
        <v>SO16433</v>
      </c>
      <c r="T54">
        <f t="shared" si="0"/>
        <v>1</v>
      </c>
    </row>
    <row r="55" spans="1:20" ht="30" x14ac:dyDescent="0.25">
      <c r="A55" s="2">
        <v>1</v>
      </c>
      <c r="B55" s="2" t="s">
        <v>2114</v>
      </c>
      <c r="C55" s="2" t="s">
        <v>2115</v>
      </c>
      <c r="D55" s="2" t="s">
        <v>353</v>
      </c>
      <c r="E55" s="3">
        <v>45672.551655092589</v>
      </c>
      <c r="F55" s="3">
        <v>45684.57366898148</v>
      </c>
      <c r="G55" s="4">
        <v>45685</v>
      </c>
      <c r="H55" s="2" t="s">
        <v>21</v>
      </c>
      <c r="I55" s="2" t="s">
        <v>22</v>
      </c>
      <c r="J55" s="2">
        <v>1</v>
      </c>
      <c r="K55" s="2">
        <v>5733.49</v>
      </c>
      <c r="L55" s="2">
        <v>0</v>
      </c>
      <c r="M55" s="2">
        <v>3984.3182951212389</v>
      </c>
      <c r="N55" s="2">
        <v>5460.46</v>
      </c>
      <c r="O55" s="2">
        <v>273.02999999999997</v>
      </c>
      <c r="P55" s="2">
        <v>5733.49</v>
      </c>
      <c r="Q55" s="2" t="s">
        <v>44</v>
      </c>
      <c r="R55" s="2"/>
      <c r="S55" t="str">
        <f>VLOOKUP(B55,CASOPOInvCL!$B$1:$D$1600,1,FALSE)</f>
        <v>SO16434</v>
      </c>
      <c r="T55">
        <f t="shared" si="0"/>
        <v>1</v>
      </c>
    </row>
    <row r="56" spans="1:20" x14ac:dyDescent="0.25">
      <c r="A56" s="2">
        <v>1</v>
      </c>
      <c r="B56" s="2" t="s">
        <v>2179</v>
      </c>
      <c r="C56" s="2" t="s">
        <v>2180</v>
      </c>
      <c r="D56" s="2" t="s">
        <v>242</v>
      </c>
      <c r="E56" s="3">
        <v>45672.55232638889</v>
      </c>
      <c r="F56" s="3">
        <v>45672.640763888892</v>
      </c>
      <c r="G56" s="4">
        <v>45673</v>
      </c>
      <c r="H56" s="2" t="s">
        <v>21</v>
      </c>
      <c r="I56" s="2" t="s">
        <v>22</v>
      </c>
      <c r="J56" s="2">
        <v>1</v>
      </c>
      <c r="K56" s="2">
        <v>2043.9</v>
      </c>
      <c r="L56" s="2">
        <v>2043.9</v>
      </c>
      <c r="M56" s="2">
        <v>2043.9</v>
      </c>
      <c r="N56" s="2">
        <v>1946.57</v>
      </c>
      <c r="O56" s="2">
        <v>97.33</v>
      </c>
      <c r="P56" s="2">
        <v>2043.9</v>
      </c>
      <c r="Q56" s="2" t="s">
        <v>44</v>
      </c>
      <c r="R56" s="2"/>
      <c r="S56" t="str">
        <f>VLOOKUP(B56,CASOPOInvCL!$B$1:$D$1600,1,FALSE)</f>
        <v>SO16435</v>
      </c>
      <c r="T56">
        <f t="shared" si="0"/>
        <v>1</v>
      </c>
    </row>
    <row r="57" spans="1:20" x14ac:dyDescent="0.25">
      <c r="A57" s="2">
        <v>1</v>
      </c>
      <c r="B57" s="2" t="s">
        <v>2167</v>
      </c>
      <c r="C57" s="2" t="s">
        <v>2168</v>
      </c>
      <c r="D57" s="2" t="s">
        <v>1607</v>
      </c>
      <c r="E57" s="3">
        <v>45672.677824074082</v>
      </c>
      <c r="F57" s="3">
        <v>45674.643530092602</v>
      </c>
      <c r="G57" s="4">
        <v>45677</v>
      </c>
      <c r="H57" s="2" t="s">
        <v>21</v>
      </c>
      <c r="I57" s="2" t="s">
        <v>51</v>
      </c>
      <c r="J57" s="2">
        <v>0.69535056497291603</v>
      </c>
      <c r="K57" s="2">
        <v>2360.8667091022521</v>
      </c>
      <c r="L57" s="2">
        <v>0</v>
      </c>
      <c r="M57" s="2">
        <v>1641.63</v>
      </c>
      <c r="N57" s="2">
        <v>1641.63</v>
      </c>
      <c r="O57" s="2"/>
      <c r="P57" s="2">
        <v>1641.63</v>
      </c>
      <c r="Q57" s="2" t="s">
        <v>44</v>
      </c>
      <c r="R57" s="2"/>
      <c r="S57" t="str">
        <f>VLOOKUP(B57,CASOPOInvCL!$B$1:$D$1600,1,FALSE)</f>
        <v>SO16436</v>
      </c>
      <c r="T57">
        <f t="shared" si="0"/>
        <v>1</v>
      </c>
    </row>
    <row r="58" spans="1:20" x14ac:dyDescent="0.25">
      <c r="A58" s="2">
        <v>1</v>
      </c>
      <c r="B58" s="2" t="s">
        <v>1940</v>
      </c>
      <c r="C58" s="2"/>
      <c r="D58" s="2" t="s">
        <v>1941</v>
      </c>
      <c r="E58" s="3">
        <v>45672.716689814813</v>
      </c>
      <c r="F58" s="3">
        <v>45707.600613425922</v>
      </c>
      <c r="G58" s="4">
        <v>45709</v>
      </c>
      <c r="H58" s="2" t="s">
        <v>21</v>
      </c>
      <c r="I58" s="2" t="s">
        <v>51</v>
      </c>
      <c r="J58" s="2">
        <v>0.70492347109945219</v>
      </c>
      <c r="K58" s="2">
        <v>29586.190352651189</v>
      </c>
      <c r="L58" s="2">
        <v>0</v>
      </c>
      <c r="M58" s="2">
        <v>20856</v>
      </c>
      <c r="N58" s="2">
        <v>20856</v>
      </c>
      <c r="O58" s="2"/>
      <c r="P58" s="2">
        <v>20856</v>
      </c>
      <c r="Q58" s="2" t="s">
        <v>44</v>
      </c>
      <c r="R58" s="2"/>
      <c r="S58" t="str">
        <f>VLOOKUP(B58,CASOPOInvCL!$B$1:$D$1600,1,FALSE)</f>
        <v>SO16437</v>
      </c>
      <c r="T58">
        <f t="shared" si="0"/>
        <v>1</v>
      </c>
    </row>
    <row r="59" spans="1:20" x14ac:dyDescent="0.25">
      <c r="A59" s="2">
        <v>2</v>
      </c>
      <c r="B59" s="2" t="s">
        <v>2161</v>
      </c>
      <c r="C59" s="2" t="s">
        <v>2162</v>
      </c>
      <c r="D59" s="2" t="s">
        <v>77</v>
      </c>
      <c r="E59" s="3">
        <v>45673.429166666669</v>
      </c>
      <c r="F59" s="3">
        <v>45674.728703703702</v>
      </c>
      <c r="G59" s="4">
        <v>45695</v>
      </c>
      <c r="H59" s="2" t="s">
        <v>21</v>
      </c>
      <c r="I59" s="2" t="s">
        <v>22</v>
      </c>
      <c r="J59" s="2">
        <v>1</v>
      </c>
      <c r="K59" s="2">
        <v>702.05</v>
      </c>
      <c r="L59" s="2">
        <v>0</v>
      </c>
      <c r="M59" s="2">
        <v>486.74540329035608</v>
      </c>
      <c r="N59" s="2">
        <v>621.28</v>
      </c>
      <c r="O59" s="2">
        <v>80.77</v>
      </c>
      <c r="P59" s="2">
        <v>702.05</v>
      </c>
      <c r="Q59" s="2" t="s">
        <v>44</v>
      </c>
      <c r="R59" s="2"/>
      <c r="S59" t="str">
        <f>VLOOKUP(B59,CASOPOInvCL!$B$1:$D$1600,1,FALSE)</f>
        <v>SO16438</v>
      </c>
      <c r="T59">
        <f t="shared" si="0"/>
        <v>1</v>
      </c>
    </row>
    <row r="60" spans="1:20" ht="30" x14ac:dyDescent="0.25">
      <c r="A60" s="2">
        <v>1</v>
      </c>
      <c r="B60" s="2" t="s">
        <v>2163</v>
      </c>
      <c r="C60" s="2" t="s">
        <v>2164</v>
      </c>
      <c r="D60" s="2" t="s">
        <v>518</v>
      </c>
      <c r="E60" s="3">
        <v>45673.598599537043</v>
      </c>
      <c r="F60" s="3">
        <v>45674.701782407406</v>
      </c>
      <c r="G60" s="4">
        <v>45727</v>
      </c>
      <c r="H60" s="2" t="s">
        <v>21</v>
      </c>
      <c r="I60" s="2" t="s">
        <v>22</v>
      </c>
      <c r="J60" s="2">
        <v>1</v>
      </c>
      <c r="K60" s="2">
        <v>386.38</v>
      </c>
      <c r="L60" s="2">
        <v>0</v>
      </c>
      <c r="M60" s="2">
        <v>267.88503514468738</v>
      </c>
      <c r="N60" s="2">
        <v>386.38</v>
      </c>
      <c r="O60" s="2"/>
      <c r="P60" s="2">
        <v>386.38</v>
      </c>
      <c r="Q60" s="2" t="s">
        <v>44</v>
      </c>
      <c r="R60" s="2"/>
      <c r="S60" t="str">
        <f>VLOOKUP(B60,CASOPOInvCL!$B$1:$D$1600,1,FALSE)</f>
        <v>SO16440</v>
      </c>
      <c r="T60">
        <f t="shared" si="0"/>
        <v>1</v>
      </c>
    </row>
    <row r="61" spans="1:20" x14ac:dyDescent="0.25">
      <c r="A61" s="2">
        <v>1</v>
      </c>
      <c r="B61" s="2" t="s">
        <v>2169</v>
      </c>
      <c r="C61" s="2" t="s">
        <v>2170</v>
      </c>
      <c r="D61" s="2" t="s">
        <v>689</v>
      </c>
      <c r="E61" s="3">
        <v>45674.554166666669</v>
      </c>
      <c r="F61" s="3">
        <v>45674.556469907409</v>
      </c>
      <c r="G61" s="4">
        <v>45695</v>
      </c>
      <c r="H61" s="2" t="s">
        <v>21</v>
      </c>
      <c r="I61" s="2" t="s">
        <v>22</v>
      </c>
      <c r="J61" s="2">
        <v>1</v>
      </c>
      <c r="K61" s="2">
        <v>1693.27</v>
      </c>
      <c r="L61" s="2">
        <v>0</v>
      </c>
      <c r="M61" s="2">
        <v>1173.9781910540009</v>
      </c>
      <c r="N61" s="2">
        <v>1498.47</v>
      </c>
      <c r="O61" s="2">
        <v>194.8</v>
      </c>
      <c r="P61" s="2">
        <v>1693.27</v>
      </c>
      <c r="Q61" s="2" t="s">
        <v>44</v>
      </c>
      <c r="R61" s="2"/>
      <c r="S61" t="str">
        <f>VLOOKUP(B61,CASOPOInvCL!$B$1:$D$1600,1,FALSE)</f>
        <v>SO16446</v>
      </c>
      <c r="T61">
        <f t="shared" si="0"/>
        <v>1</v>
      </c>
    </row>
    <row r="62" spans="1:20" x14ac:dyDescent="0.25">
      <c r="A62" s="2">
        <v>1</v>
      </c>
      <c r="B62" s="2" t="s">
        <v>2165</v>
      </c>
      <c r="C62" s="2" t="s">
        <v>2166</v>
      </c>
      <c r="D62" s="2" t="s">
        <v>54</v>
      </c>
      <c r="E62" s="3">
        <v>45674.676678240743</v>
      </c>
      <c r="F62" s="3">
        <v>45674.682997685188</v>
      </c>
      <c r="G62" s="4">
        <v>45702</v>
      </c>
      <c r="H62" s="2" t="s">
        <v>21</v>
      </c>
      <c r="I62" s="2" t="s">
        <v>22</v>
      </c>
      <c r="J62" s="2">
        <v>1</v>
      </c>
      <c r="K62" s="2">
        <v>326.5</v>
      </c>
      <c r="L62" s="2">
        <v>0</v>
      </c>
      <c r="M62" s="2">
        <v>226.36902524649429</v>
      </c>
      <c r="N62" s="2">
        <v>310.95</v>
      </c>
      <c r="O62" s="2">
        <v>15.55</v>
      </c>
      <c r="P62" s="2">
        <v>326.5</v>
      </c>
      <c r="Q62" s="2" t="s">
        <v>44</v>
      </c>
      <c r="R62" s="2"/>
      <c r="S62" t="str">
        <f>VLOOKUP(B62,CASOPOInvCL!$B$1:$D$1600,1,FALSE)</f>
        <v>SO16448</v>
      </c>
      <c r="T62">
        <f t="shared" si="0"/>
        <v>1</v>
      </c>
    </row>
    <row r="63" spans="1:20" x14ac:dyDescent="0.25">
      <c r="A63" s="2">
        <v>1</v>
      </c>
      <c r="B63" s="2" t="s">
        <v>2128</v>
      </c>
      <c r="C63" s="2" t="s">
        <v>2129</v>
      </c>
      <c r="D63" s="2" t="s">
        <v>39</v>
      </c>
      <c r="E63" s="3">
        <v>45674.743449074071</v>
      </c>
      <c r="F63" s="3">
        <v>45680.694108796299</v>
      </c>
      <c r="G63" s="4">
        <v>45681</v>
      </c>
      <c r="H63" s="2" t="s">
        <v>1132</v>
      </c>
      <c r="I63" s="2" t="s">
        <v>22</v>
      </c>
      <c r="J63" s="2">
        <v>1</v>
      </c>
      <c r="K63" s="2">
        <v>12661.94</v>
      </c>
      <c r="L63" s="2">
        <v>0</v>
      </c>
      <c r="M63" s="2">
        <v>8817.2283304388529</v>
      </c>
      <c r="N63" s="2">
        <v>12059</v>
      </c>
      <c r="O63" s="2">
        <v>602.94000000000005</v>
      </c>
      <c r="P63" s="2">
        <v>12661.94</v>
      </c>
      <c r="Q63" s="2" t="s">
        <v>44</v>
      </c>
      <c r="R63" s="2"/>
      <c r="S63" t="str">
        <f>VLOOKUP(B63,CASOPOInvCL!$B$1:$D$1600,1,FALSE)</f>
        <v>SO16449</v>
      </c>
      <c r="T63">
        <f t="shared" si="0"/>
        <v>1</v>
      </c>
    </row>
    <row r="64" spans="1:20" x14ac:dyDescent="0.25">
      <c r="A64" s="2">
        <v>1</v>
      </c>
      <c r="B64" s="2" t="s">
        <v>2159</v>
      </c>
      <c r="C64" s="2" t="s">
        <v>2160</v>
      </c>
      <c r="D64" s="2" t="s">
        <v>141</v>
      </c>
      <c r="E64" s="3">
        <v>45677.476111111107</v>
      </c>
      <c r="F64" s="3">
        <v>45677.476770833331</v>
      </c>
      <c r="G64" s="4">
        <v>45678</v>
      </c>
      <c r="H64" s="2" t="s">
        <v>21</v>
      </c>
      <c r="I64" s="2" t="s">
        <v>51</v>
      </c>
      <c r="J64" s="2">
        <v>0.69062014611000555</v>
      </c>
      <c r="K64" s="2">
        <v>2835.0027305576659</v>
      </c>
      <c r="L64" s="2">
        <v>0</v>
      </c>
      <c r="M64" s="2">
        <v>1957.91</v>
      </c>
      <c r="N64" s="2">
        <v>1957.91</v>
      </c>
      <c r="O64" s="2"/>
      <c r="P64" s="2">
        <v>1957.91</v>
      </c>
      <c r="Q64" s="2" t="s">
        <v>44</v>
      </c>
      <c r="R64" s="2"/>
      <c r="S64" t="str">
        <f>VLOOKUP(B64,CASOPOInvCL!$B$1:$D$1600,1,FALSE)</f>
        <v>SO16451</v>
      </c>
      <c r="T64">
        <f t="shared" si="0"/>
        <v>1</v>
      </c>
    </row>
    <row r="65" spans="1:20" x14ac:dyDescent="0.25">
      <c r="A65" s="2">
        <v>1</v>
      </c>
      <c r="B65" s="2" t="s">
        <v>2157</v>
      </c>
      <c r="C65" s="2" t="s">
        <v>2158</v>
      </c>
      <c r="D65" s="2" t="s">
        <v>141</v>
      </c>
      <c r="E65" s="3">
        <v>45677.488182870373</v>
      </c>
      <c r="F65" s="3">
        <v>45677.488958333342</v>
      </c>
      <c r="G65" s="4">
        <v>45678</v>
      </c>
      <c r="H65" s="2" t="s">
        <v>21</v>
      </c>
      <c r="I65" s="2" t="s">
        <v>51</v>
      </c>
      <c r="J65" s="2">
        <v>0.69062014611000555</v>
      </c>
      <c r="K65" s="2">
        <v>3716.8478424189002</v>
      </c>
      <c r="L65" s="2">
        <v>0</v>
      </c>
      <c r="M65" s="2">
        <v>2566.9299999999998</v>
      </c>
      <c r="N65" s="2">
        <v>2566.9299999999998</v>
      </c>
      <c r="O65" s="2"/>
      <c r="P65" s="2">
        <v>2566.9299999999998</v>
      </c>
      <c r="Q65" s="2" t="s">
        <v>44</v>
      </c>
      <c r="R65" s="2"/>
      <c r="S65" t="str">
        <f>VLOOKUP(B65,CASOPOInvCL!$B$1:$D$1600,1,FALSE)</f>
        <v>SO16452</v>
      </c>
      <c r="T65">
        <f t="shared" si="0"/>
        <v>1</v>
      </c>
    </row>
    <row r="66" spans="1:20" x14ac:dyDescent="0.25">
      <c r="A66" s="2">
        <v>1</v>
      </c>
      <c r="B66" s="2" t="s">
        <v>2155</v>
      </c>
      <c r="C66" s="2" t="s">
        <v>2156</v>
      </c>
      <c r="D66" s="2" t="s">
        <v>141</v>
      </c>
      <c r="E66" s="3">
        <v>45677.493460648147</v>
      </c>
      <c r="F66" s="3">
        <v>45677.494074074071</v>
      </c>
      <c r="G66" s="4">
        <v>45678</v>
      </c>
      <c r="H66" s="2" t="s">
        <v>21</v>
      </c>
      <c r="I66" s="2" t="s">
        <v>51</v>
      </c>
      <c r="J66" s="2">
        <v>0.69062014611000555</v>
      </c>
      <c r="K66" s="2">
        <v>2728.9820759149952</v>
      </c>
      <c r="L66" s="2">
        <v>0</v>
      </c>
      <c r="M66" s="2">
        <v>1884.69</v>
      </c>
      <c r="N66" s="2">
        <v>1884.69</v>
      </c>
      <c r="O66" s="2"/>
      <c r="P66" s="2">
        <v>1884.69</v>
      </c>
      <c r="Q66" s="2" t="s">
        <v>44</v>
      </c>
      <c r="R66" s="2"/>
      <c r="S66" t="str">
        <f>VLOOKUP(B66,CASOPOInvCL!$B$1:$D$1600,1,FALSE)</f>
        <v>SO16453</v>
      </c>
      <c r="T66">
        <f t="shared" si="0"/>
        <v>1</v>
      </c>
    </row>
    <row r="67" spans="1:20" x14ac:dyDescent="0.25">
      <c r="A67" s="2">
        <v>1</v>
      </c>
      <c r="B67" s="2" t="s">
        <v>2135</v>
      </c>
      <c r="C67" s="2" t="s">
        <v>2136</v>
      </c>
      <c r="D67" s="2" t="s">
        <v>630</v>
      </c>
      <c r="E67" s="3">
        <v>45677.628912037027</v>
      </c>
      <c r="F67" s="3">
        <v>45679.702696759261</v>
      </c>
      <c r="G67" s="4">
        <v>45805</v>
      </c>
      <c r="H67" s="2" t="s">
        <v>21</v>
      </c>
      <c r="I67" s="2" t="s">
        <v>22</v>
      </c>
      <c r="J67" s="2">
        <v>1</v>
      </c>
      <c r="K67" s="2">
        <v>25712.400000000001</v>
      </c>
      <c r="L67" s="2">
        <v>25712.400000000001</v>
      </c>
      <c r="M67" s="2">
        <v>25712.400000000001</v>
      </c>
      <c r="N67" s="2">
        <v>24488</v>
      </c>
      <c r="O67" s="2">
        <v>1224.4000000000001</v>
      </c>
      <c r="P67" s="2">
        <v>25712.400000000001</v>
      </c>
      <c r="Q67" s="2" t="s">
        <v>44</v>
      </c>
      <c r="R67" s="2"/>
      <c r="S67" t="str">
        <f>VLOOKUP(B67,CASOPOInvCL!$B$1:$D$1600,1,FALSE)</f>
        <v>SO16455</v>
      </c>
      <c r="T67">
        <f t="shared" ref="T67:T130" si="1">MONTH(E67)</f>
        <v>1</v>
      </c>
    </row>
    <row r="68" spans="1:20" ht="30" x14ac:dyDescent="0.25">
      <c r="A68" s="2">
        <v>1</v>
      </c>
      <c r="B68" s="2" t="s">
        <v>2145</v>
      </c>
      <c r="C68" s="2" t="s">
        <v>2146</v>
      </c>
      <c r="D68" s="2" t="s">
        <v>818</v>
      </c>
      <c r="E68" s="3">
        <v>45677.655810185177</v>
      </c>
      <c r="F68" s="3">
        <v>45679.387071759258</v>
      </c>
      <c r="G68" s="4">
        <v>45680</v>
      </c>
      <c r="H68" s="2" t="s">
        <v>21</v>
      </c>
      <c r="I68" s="2" t="s">
        <v>22</v>
      </c>
      <c r="J68" s="2">
        <v>1</v>
      </c>
      <c r="K68" s="2">
        <v>243.8</v>
      </c>
      <c r="L68" s="2">
        <v>243.8</v>
      </c>
      <c r="M68" s="2">
        <v>243.8</v>
      </c>
      <c r="N68" s="2">
        <v>232.19</v>
      </c>
      <c r="O68" s="2">
        <v>11.61</v>
      </c>
      <c r="P68" s="2">
        <v>243.8</v>
      </c>
      <c r="Q68" s="2" t="s">
        <v>44</v>
      </c>
      <c r="R68" s="2"/>
      <c r="S68" t="str">
        <f>VLOOKUP(B68,CASOPOInvCL!$B$1:$D$1600,1,FALSE)</f>
        <v>SO16457</v>
      </c>
      <c r="T68">
        <f t="shared" si="1"/>
        <v>1</v>
      </c>
    </row>
    <row r="69" spans="1:20" x14ac:dyDescent="0.25">
      <c r="A69" s="2">
        <v>1</v>
      </c>
      <c r="B69" s="2" t="s">
        <v>1887</v>
      </c>
      <c r="C69" s="2" t="s">
        <v>1888</v>
      </c>
      <c r="D69" s="2" t="s">
        <v>54</v>
      </c>
      <c r="E69" s="3">
        <v>45678.375219907408</v>
      </c>
      <c r="F69" s="3">
        <v>45714.687037037038</v>
      </c>
      <c r="G69" s="4">
        <v>45715</v>
      </c>
      <c r="H69" s="2" t="s">
        <v>21</v>
      </c>
      <c r="I69" s="2" t="s">
        <v>22</v>
      </c>
      <c r="J69" s="2">
        <v>1</v>
      </c>
      <c r="K69" s="2">
        <v>2023.65</v>
      </c>
      <c r="L69" s="2">
        <v>0</v>
      </c>
      <c r="M69" s="2">
        <v>1410.320525298974</v>
      </c>
      <c r="N69" s="2">
        <v>1927.29</v>
      </c>
      <c r="O69" s="2">
        <v>96.36</v>
      </c>
      <c r="P69" s="2">
        <v>2023.65</v>
      </c>
      <c r="Q69" s="2" t="s">
        <v>44</v>
      </c>
      <c r="R69" s="2"/>
      <c r="S69" t="str">
        <f>VLOOKUP(B69,CASOPOInvCL!$B$1:$D$1600,1,FALSE)</f>
        <v>SO16462</v>
      </c>
      <c r="T69">
        <f t="shared" si="1"/>
        <v>1</v>
      </c>
    </row>
    <row r="70" spans="1:20" x14ac:dyDescent="0.25">
      <c r="A70" s="2">
        <v>1</v>
      </c>
      <c r="B70" s="2" t="s">
        <v>2147</v>
      </c>
      <c r="C70" s="2" t="s">
        <v>2148</v>
      </c>
      <c r="D70" s="2" t="s">
        <v>146</v>
      </c>
      <c r="E70" s="3">
        <v>45678.390636574077</v>
      </c>
      <c r="F70" s="3">
        <v>45678.624884259261</v>
      </c>
      <c r="G70" s="4">
        <v>45679</v>
      </c>
      <c r="H70" s="2" t="s">
        <v>21</v>
      </c>
      <c r="I70" s="2" t="s">
        <v>22</v>
      </c>
      <c r="J70" s="2">
        <v>1</v>
      </c>
      <c r="K70" s="2">
        <v>1250.9000000000001</v>
      </c>
      <c r="L70" s="2">
        <v>0</v>
      </c>
      <c r="M70" s="2">
        <v>872.8093684381106</v>
      </c>
      <c r="N70" s="2">
        <v>1191.33</v>
      </c>
      <c r="O70" s="2">
        <v>59.57</v>
      </c>
      <c r="P70" s="2">
        <v>1250.9000000000001</v>
      </c>
      <c r="Q70" s="2" t="s">
        <v>44</v>
      </c>
      <c r="R70" s="2"/>
      <c r="S70" t="str">
        <f>VLOOKUP(B70,CASOPOInvCL!$B$1:$D$1600,1,FALSE)</f>
        <v>SO16464</v>
      </c>
      <c r="T70">
        <f t="shared" si="1"/>
        <v>1</v>
      </c>
    </row>
    <row r="71" spans="1:20" x14ac:dyDescent="0.25">
      <c r="A71" s="2">
        <v>1</v>
      </c>
      <c r="B71" s="2" t="s">
        <v>2132</v>
      </c>
      <c r="C71" s="2" t="s">
        <v>2133</v>
      </c>
      <c r="D71" s="2" t="s">
        <v>2134</v>
      </c>
      <c r="E71" s="3">
        <v>45678.453356481477</v>
      </c>
      <c r="F71" s="3">
        <v>45679.718935185178</v>
      </c>
      <c r="G71" s="4">
        <v>45681</v>
      </c>
      <c r="H71" s="2" t="s">
        <v>1132</v>
      </c>
      <c r="I71" s="2" t="s">
        <v>22</v>
      </c>
      <c r="J71" s="2">
        <v>1</v>
      </c>
      <c r="K71" s="2">
        <v>2386.02</v>
      </c>
      <c r="L71" s="2">
        <v>2386.02</v>
      </c>
      <c r="M71" s="2">
        <v>2386.02</v>
      </c>
      <c r="N71" s="2">
        <v>2272.41</v>
      </c>
      <c r="O71" s="2">
        <v>113.61</v>
      </c>
      <c r="P71" s="2">
        <v>2386.02</v>
      </c>
      <c r="Q71" s="2" t="s">
        <v>44</v>
      </c>
      <c r="R71" s="2"/>
      <c r="S71" t="str">
        <f>VLOOKUP(B71,CASOPOInvCL!$B$1:$D$1600,1,FALSE)</f>
        <v>SO16466</v>
      </c>
      <c r="T71">
        <f t="shared" si="1"/>
        <v>1</v>
      </c>
    </row>
    <row r="72" spans="1:20" x14ac:dyDescent="0.25">
      <c r="A72" s="2">
        <v>3</v>
      </c>
      <c r="B72" s="2" t="s">
        <v>2151</v>
      </c>
      <c r="C72" s="2" t="s">
        <v>2152</v>
      </c>
      <c r="D72" s="2" t="s">
        <v>6166</v>
      </c>
      <c r="E72" s="3">
        <v>45678.482210648152</v>
      </c>
      <c r="F72" s="3">
        <v>45678.611527777779</v>
      </c>
      <c r="G72" s="4">
        <v>45790</v>
      </c>
      <c r="H72" s="2" t="s">
        <v>1132</v>
      </c>
      <c r="I72" s="2" t="s">
        <v>22</v>
      </c>
      <c r="J72" s="2">
        <v>1</v>
      </c>
      <c r="K72" s="2">
        <v>1078.24</v>
      </c>
      <c r="L72" s="2">
        <v>0</v>
      </c>
      <c r="M72" s="2">
        <v>752.33669631841735</v>
      </c>
      <c r="N72" s="2">
        <v>1026.9000000000001</v>
      </c>
      <c r="O72" s="2">
        <v>51.34</v>
      </c>
      <c r="P72" s="2">
        <v>1078.24</v>
      </c>
      <c r="Q72" s="2" t="s">
        <v>44</v>
      </c>
      <c r="R72" s="2"/>
      <c r="S72" t="str">
        <f>VLOOKUP(B72,CASOPOInvCL!$B$1:$D$1600,1,FALSE)</f>
        <v>SO16467</v>
      </c>
      <c r="T72">
        <f t="shared" si="1"/>
        <v>1</v>
      </c>
    </row>
    <row r="73" spans="1:20" x14ac:dyDescent="0.25">
      <c r="A73" s="2">
        <v>2</v>
      </c>
      <c r="B73" s="2" t="s">
        <v>2153</v>
      </c>
      <c r="C73" s="2" t="s">
        <v>2154</v>
      </c>
      <c r="D73" s="2" t="s">
        <v>20</v>
      </c>
      <c r="E73" s="3">
        <v>45678.533587962957</v>
      </c>
      <c r="F73" s="3">
        <v>45678.538969907408</v>
      </c>
      <c r="G73" s="4">
        <v>45754</v>
      </c>
      <c r="H73" s="2" t="s">
        <v>21</v>
      </c>
      <c r="I73" s="2" t="s">
        <v>22</v>
      </c>
      <c r="J73" s="2">
        <v>1</v>
      </c>
      <c r="K73" s="2">
        <v>2068.0100000000002</v>
      </c>
      <c r="L73" s="2">
        <v>0</v>
      </c>
      <c r="M73" s="2">
        <v>1442.9438820239</v>
      </c>
      <c r="N73" s="2">
        <v>1969.52</v>
      </c>
      <c r="O73" s="2">
        <v>98.49</v>
      </c>
      <c r="P73" s="2">
        <v>2068.0100000000002</v>
      </c>
      <c r="Q73" s="2" t="s">
        <v>44</v>
      </c>
      <c r="R73" s="2"/>
      <c r="S73" t="str">
        <f>VLOOKUP(B73,CASOPOInvCL!$B$1:$D$1600,1,FALSE)</f>
        <v>SO16470</v>
      </c>
      <c r="T73">
        <f t="shared" si="1"/>
        <v>1</v>
      </c>
    </row>
    <row r="74" spans="1:20" x14ac:dyDescent="0.25">
      <c r="A74" s="2">
        <v>1</v>
      </c>
      <c r="B74" s="2" t="s">
        <v>2149</v>
      </c>
      <c r="C74" s="2" t="s">
        <v>2150</v>
      </c>
      <c r="D74" s="2" t="s">
        <v>98</v>
      </c>
      <c r="E74" s="3">
        <v>45678.617488425924</v>
      </c>
      <c r="F74" s="3">
        <v>45678.618668981479</v>
      </c>
      <c r="G74" s="4">
        <v>45679</v>
      </c>
      <c r="H74" s="2" t="s">
        <v>1132</v>
      </c>
      <c r="I74" s="2" t="s">
        <v>22</v>
      </c>
      <c r="J74" s="2">
        <v>1</v>
      </c>
      <c r="K74" s="2">
        <v>140.76</v>
      </c>
      <c r="L74" s="2">
        <v>0</v>
      </c>
      <c r="M74" s="2">
        <v>98.214602847028885</v>
      </c>
      <c r="N74" s="2">
        <v>124.57</v>
      </c>
      <c r="O74" s="2">
        <v>16.190000000000001</v>
      </c>
      <c r="P74" s="2">
        <v>140.76</v>
      </c>
      <c r="Q74" s="2" t="s">
        <v>44</v>
      </c>
      <c r="R74" s="2"/>
      <c r="S74" t="str">
        <f>VLOOKUP(B74,CASOPOInvCL!$B$1:$D$1600,1,FALSE)</f>
        <v>SO16471</v>
      </c>
      <c r="T74">
        <f t="shared" si="1"/>
        <v>1</v>
      </c>
    </row>
    <row r="75" spans="1:20" ht="30" x14ac:dyDescent="0.25">
      <c r="A75" s="2">
        <v>1</v>
      </c>
      <c r="B75" s="2" t="s">
        <v>2139</v>
      </c>
      <c r="C75" s="2" t="s">
        <v>2140</v>
      </c>
      <c r="D75" s="2" t="s">
        <v>2141</v>
      </c>
      <c r="E75" s="3">
        <v>45679.438518518517</v>
      </c>
      <c r="F75" s="3">
        <v>45679.525219907409</v>
      </c>
      <c r="G75" s="4">
        <v>45680</v>
      </c>
      <c r="H75" s="2" t="s">
        <v>21</v>
      </c>
      <c r="I75" s="2" t="s">
        <v>22</v>
      </c>
      <c r="J75" s="2">
        <v>1</v>
      </c>
      <c r="K75" s="2">
        <v>720.84</v>
      </c>
      <c r="L75" s="2">
        <v>720.84</v>
      </c>
      <c r="M75" s="2">
        <v>720.84</v>
      </c>
      <c r="N75" s="2">
        <v>637.91</v>
      </c>
      <c r="O75" s="2">
        <v>82.93</v>
      </c>
      <c r="P75" s="2">
        <v>720.84</v>
      </c>
      <c r="Q75" s="2" t="s">
        <v>44</v>
      </c>
      <c r="R75" s="2"/>
      <c r="S75" t="str">
        <f>VLOOKUP(B75,CASOPOInvCL!$B$1:$D$1600,1,FALSE)</f>
        <v>SO16474</v>
      </c>
      <c r="T75">
        <f t="shared" si="1"/>
        <v>1</v>
      </c>
    </row>
    <row r="76" spans="1:20" x14ac:dyDescent="0.25">
      <c r="A76" s="2">
        <v>1</v>
      </c>
      <c r="B76" s="2" t="s">
        <v>2137</v>
      </c>
      <c r="C76" s="2" t="s">
        <v>2138</v>
      </c>
      <c r="D76" s="2" t="s">
        <v>86</v>
      </c>
      <c r="E76" s="3">
        <v>45679.443865740737</v>
      </c>
      <c r="F76" s="3">
        <v>45679.584548611107</v>
      </c>
      <c r="G76" s="4">
        <v>45749</v>
      </c>
      <c r="H76" s="2" t="s">
        <v>21</v>
      </c>
      <c r="I76" s="2" t="s">
        <v>22</v>
      </c>
      <c r="J76" s="2">
        <v>1</v>
      </c>
      <c r="K76" s="2">
        <v>5362.74</v>
      </c>
      <c r="L76" s="2">
        <v>5362.74</v>
      </c>
      <c r="M76" s="2">
        <v>5362.74</v>
      </c>
      <c r="N76" s="2">
        <v>5107.37</v>
      </c>
      <c r="O76" s="2">
        <v>255.37</v>
      </c>
      <c r="P76" s="2">
        <v>5362.74</v>
      </c>
      <c r="Q76" s="2" t="s">
        <v>44</v>
      </c>
      <c r="R76" s="2"/>
      <c r="S76" t="str">
        <f>VLOOKUP(B76,CASOPOInvCL!$B$1:$D$1600,1,FALSE)</f>
        <v>SO16475</v>
      </c>
      <c r="T76">
        <f t="shared" si="1"/>
        <v>1</v>
      </c>
    </row>
    <row r="77" spans="1:20" x14ac:dyDescent="0.25">
      <c r="A77" s="2">
        <v>2</v>
      </c>
      <c r="B77" s="2" t="s">
        <v>2104</v>
      </c>
      <c r="C77" s="2" t="s">
        <v>2105</v>
      </c>
      <c r="D77" s="2" t="s">
        <v>77</v>
      </c>
      <c r="E77" s="3">
        <v>45680.388379629629</v>
      </c>
      <c r="F77" s="3">
        <v>45685.579131944447</v>
      </c>
      <c r="G77" s="4">
        <v>45706</v>
      </c>
      <c r="H77" s="2" t="s">
        <v>1132</v>
      </c>
      <c r="I77" s="2" t="s">
        <v>22</v>
      </c>
      <c r="J77" s="2">
        <v>1</v>
      </c>
      <c r="K77" s="2">
        <v>2227.14</v>
      </c>
      <c r="L77" s="2">
        <v>0</v>
      </c>
      <c r="M77" s="2">
        <v>1547.346547054326</v>
      </c>
      <c r="N77" s="2">
        <v>2121.09</v>
      </c>
      <c r="O77" s="2">
        <v>106.05</v>
      </c>
      <c r="P77" s="2">
        <v>2227.14</v>
      </c>
      <c r="Q77" s="2" t="s">
        <v>44</v>
      </c>
      <c r="R77" s="2"/>
      <c r="S77" t="str">
        <f>VLOOKUP(B77,CASOPOInvCL!$B$1:$D$1600,1,FALSE)</f>
        <v>SO16476</v>
      </c>
      <c r="T77">
        <f t="shared" si="1"/>
        <v>1</v>
      </c>
    </row>
    <row r="78" spans="1:20" x14ac:dyDescent="0.25">
      <c r="A78" s="2">
        <v>1</v>
      </c>
      <c r="B78" s="2" t="s">
        <v>2084</v>
      </c>
      <c r="C78" s="2" t="s">
        <v>2085</v>
      </c>
      <c r="D78" s="2" t="s">
        <v>316</v>
      </c>
      <c r="E78" s="3">
        <v>45680.455196759263</v>
      </c>
      <c r="F78" s="3">
        <v>45686.747233796297</v>
      </c>
      <c r="G78" s="4">
        <v>45687</v>
      </c>
      <c r="H78" s="2" t="s">
        <v>1132</v>
      </c>
      <c r="I78" s="2" t="s">
        <v>22</v>
      </c>
      <c r="J78" s="2">
        <v>1</v>
      </c>
      <c r="K78" s="2">
        <v>2779.84</v>
      </c>
      <c r="L78" s="2">
        <v>2779.84</v>
      </c>
      <c r="M78" s="2">
        <v>2779.84</v>
      </c>
      <c r="N78" s="2">
        <v>2779.84</v>
      </c>
      <c r="O78" s="2"/>
      <c r="P78" s="2">
        <v>2779.84</v>
      </c>
      <c r="Q78" s="2" t="s">
        <v>44</v>
      </c>
      <c r="R78" s="2"/>
      <c r="S78" t="str">
        <f>VLOOKUP(B78,CASOPOInvCL!$B$1:$D$1600,1,FALSE)</f>
        <v>SO16477</v>
      </c>
      <c r="T78">
        <f t="shared" si="1"/>
        <v>1</v>
      </c>
    </row>
    <row r="79" spans="1:20" x14ac:dyDescent="0.25">
      <c r="A79" s="2">
        <v>1</v>
      </c>
      <c r="B79" s="2" t="s">
        <v>2130</v>
      </c>
      <c r="C79" s="2" t="s">
        <v>2131</v>
      </c>
      <c r="D79" s="2" t="s">
        <v>70</v>
      </c>
      <c r="E79" s="3">
        <v>45680.598680555559</v>
      </c>
      <c r="F79" s="3">
        <v>45680.596458333333</v>
      </c>
      <c r="G79" s="4">
        <v>45688</v>
      </c>
      <c r="H79" s="2" t="s">
        <v>71</v>
      </c>
      <c r="I79" s="2" t="s">
        <v>51</v>
      </c>
      <c r="J79" s="2">
        <v>0.69635682450231584</v>
      </c>
      <c r="K79" s="2">
        <v>6792.4946429303927</v>
      </c>
      <c r="L79" s="2">
        <v>0</v>
      </c>
      <c r="M79" s="2">
        <v>4730</v>
      </c>
      <c r="N79" s="2">
        <v>4730</v>
      </c>
      <c r="O79" s="2"/>
      <c r="P79" s="2">
        <v>4730</v>
      </c>
      <c r="Q79" s="2" t="s">
        <v>44</v>
      </c>
      <c r="R79" s="2"/>
      <c r="S79" t="str">
        <f>VLOOKUP(B79,CASOPOInvCL!$B$1:$D$1600,1,FALSE)</f>
        <v>SO16479</v>
      </c>
      <c r="T79">
        <f t="shared" si="1"/>
        <v>1</v>
      </c>
    </row>
    <row r="80" spans="1:20" ht="30" x14ac:dyDescent="0.25">
      <c r="A80" s="2">
        <v>1</v>
      </c>
      <c r="B80" s="2" t="s">
        <v>2120</v>
      </c>
      <c r="C80" s="2" t="s">
        <v>2121</v>
      </c>
      <c r="D80" s="2" t="s">
        <v>201</v>
      </c>
      <c r="E80" s="3">
        <v>45680.711076388892</v>
      </c>
      <c r="F80" s="3">
        <v>45681.711377314823</v>
      </c>
      <c r="G80" s="4">
        <v>45684</v>
      </c>
      <c r="H80" s="2" t="s">
        <v>1132</v>
      </c>
      <c r="I80" s="2" t="s">
        <v>22</v>
      </c>
      <c r="J80" s="2">
        <v>1</v>
      </c>
      <c r="K80" s="2">
        <v>240.03</v>
      </c>
      <c r="L80" s="2">
        <v>0</v>
      </c>
      <c r="M80" s="2">
        <v>167.4238529607702</v>
      </c>
      <c r="N80" s="2">
        <v>228.6</v>
      </c>
      <c r="O80" s="2">
        <v>11.43</v>
      </c>
      <c r="P80" s="2">
        <v>240.03</v>
      </c>
      <c r="Q80" s="2" t="s">
        <v>44</v>
      </c>
      <c r="R80" s="2"/>
      <c r="S80" t="str">
        <f>VLOOKUP(B80,CASOPOInvCL!$B$1:$D$1600,1,FALSE)</f>
        <v>SO16481</v>
      </c>
      <c r="T80">
        <f t="shared" si="1"/>
        <v>1</v>
      </c>
    </row>
    <row r="81" spans="1:20" x14ac:dyDescent="0.25">
      <c r="A81" s="2">
        <v>1</v>
      </c>
      <c r="B81" s="2" t="s">
        <v>2126</v>
      </c>
      <c r="C81" s="2" t="s">
        <v>2127</v>
      </c>
      <c r="D81" s="2" t="s">
        <v>644</v>
      </c>
      <c r="E81" s="3">
        <v>45680.715937499997</v>
      </c>
      <c r="F81" s="3">
        <v>45681.510208333333</v>
      </c>
      <c r="G81" s="4">
        <v>45684</v>
      </c>
      <c r="H81" s="2" t="s">
        <v>21</v>
      </c>
      <c r="I81" s="2" t="s">
        <v>51</v>
      </c>
      <c r="J81" s="2">
        <v>0.69635682450231584</v>
      </c>
      <c r="K81" s="2">
        <v>3298.8116424963109</v>
      </c>
      <c r="L81" s="2">
        <v>0</v>
      </c>
      <c r="M81" s="2">
        <v>2297.15</v>
      </c>
      <c r="N81" s="2">
        <v>2297.15</v>
      </c>
      <c r="O81" s="2"/>
      <c r="P81" s="2">
        <v>2297.15</v>
      </c>
      <c r="Q81" s="2" t="s">
        <v>44</v>
      </c>
      <c r="R81" s="2"/>
      <c r="S81" t="str">
        <f>VLOOKUP(B81,CASOPOInvCL!$B$1:$D$1600,1,FALSE)</f>
        <v>SO16482</v>
      </c>
      <c r="T81">
        <f t="shared" si="1"/>
        <v>1</v>
      </c>
    </row>
    <row r="82" spans="1:20" x14ac:dyDescent="0.25">
      <c r="A82" s="2">
        <v>1</v>
      </c>
      <c r="B82" s="2" t="s">
        <v>2001</v>
      </c>
      <c r="C82" s="2" t="s">
        <v>2002</v>
      </c>
      <c r="D82" s="2" t="s">
        <v>54</v>
      </c>
      <c r="E82" s="3">
        <v>45681.398310185177</v>
      </c>
      <c r="F82" s="3">
        <v>45701.526701388888</v>
      </c>
      <c r="G82" s="4">
        <v>45722</v>
      </c>
      <c r="H82" s="2" t="s">
        <v>21</v>
      </c>
      <c r="I82" s="2" t="s">
        <v>22</v>
      </c>
      <c r="J82" s="2">
        <v>1</v>
      </c>
      <c r="K82" s="2">
        <v>2009.99</v>
      </c>
      <c r="L82" s="2">
        <v>0</v>
      </c>
      <c r="M82" s="2">
        <v>1412.472515457109</v>
      </c>
      <c r="N82" s="2">
        <v>1914.28</v>
      </c>
      <c r="O82" s="2">
        <v>95.71</v>
      </c>
      <c r="P82" s="2">
        <v>2009.99</v>
      </c>
      <c r="Q82" s="2" t="s">
        <v>44</v>
      </c>
      <c r="R82" s="2"/>
      <c r="S82" t="str">
        <f>VLOOKUP(B82,CASOPOInvCL!$B$1:$D$1600,1,FALSE)</f>
        <v>SO16485</v>
      </c>
      <c r="T82">
        <f t="shared" si="1"/>
        <v>1</v>
      </c>
    </row>
    <row r="83" spans="1:20" x14ac:dyDescent="0.25">
      <c r="A83" s="2">
        <v>1</v>
      </c>
      <c r="B83" s="2" t="s">
        <v>2112</v>
      </c>
      <c r="C83" s="2" t="s">
        <v>2113</v>
      </c>
      <c r="D83" s="2" t="s">
        <v>64</v>
      </c>
      <c r="E83" s="3">
        <v>45681.407349537039</v>
      </c>
      <c r="F83" s="3">
        <v>45684.609768518523</v>
      </c>
      <c r="G83" s="4">
        <v>45685</v>
      </c>
      <c r="H83" s="2" t="s">
        <v>21</v>
      </c>
      <c r="I83" s="2" t="s">
        <v>22</v>
      </c>
      <c r="J83" s="2">
        <v>1</v>
      </c>
      <c r="K83" s="2">
        <v>924.84</v>
      </c>
      <c r="L83" s="2">
        <v>0</v>
      </c>
      <c r="M83" s="2">
        <v>642.69004254998742</v>
      </c>
      <c r="N83" s="2">
        <v>818.44</v>
      </c>
      <c r="O83" s="2">
        <v>106.4</v>
      </c>
      <c r="P83" s="2">
        <v>924.84</v>
      </c>
      <c r="Q83" s="2" t="s">
        <v>44</v>
      </c>
      <c r="R83" s="2"/>
      <c r="S83" t="str">
        <f>VLOOKUP(B83,CASOPOInvCL!$B$1:$D$1600,1,FALSE)</f>
        <v>SO16486</v>
      </c>
      <c r="T83">
        <f t="shared" si="1"/>
        <v>1</v>
      </c>
    </row>
    <row r="84" spans="1:20" ht="30" x14ac:dyDescent="0.25">
      <c r="A84" s="2">
        <v>1</v>
      </c>
      <c r="B84" s="2" t="s">
        <v>2122</v>
      </c>
      <c r="C84" s="2" t="s">
        <v>2123</v>
      </c>
      <c r="D84" s="2" t="s">
        <v>104</v>
      </c>
      <c r="E84" s="3">
        <v>45681.488738425927</v>
      </c>
      <c r="F84" s="3">
        <v>45681.68246527778</v>
      </c>
      <c r="G84" s="4">
        <v>45684</v>
      </c>
      <c r="H84" s="2" t="s">
        <v>21</v>
      </c>
      <c r="I84" s="2" t="s">
        <v>22</v>
      </c>
      <c r="J84" s="2">
        <v>1</v>
      </c>
      <c r="K84" s="2">
        <v>1501.27</v>
      </c>
      <c r="L84" s="2">
        <v>0</v>
      </c>
      <c r="M84" s="2">
        <v>1047.154137959486</v>
      </c>
      <c r="N84" s="2">
        <v>1429.78</v>
      </c>
      <c r="O84" s="2">
        <v>71.489999999999995</v>
      </c>
      <c r="P84" s="2">
        <v>1501.27</v>
      </c>
      <c r="Q84" s="2" t="s">
        <v>44</v>
      </c>
      <c r="R84" s="2"/>
      <c r="S84" t="str">
        <f>VLOOKUP(B84,CASOPOInvCL!$B$1:$D$1600,1,FALSE)</f>
        <v>SO16488</v>
      </c>
      <c r="T84">
        <f t="shared" si="1"/>
        <v>1</v>
      </c>
    </row>
    <row r="85" spans="1:20" x14ac:dyDescent="0.25">
      <c r="A85" s="2">
        <v>1</v>
      </c>
      <c r="B85" s="2" t="s">
        <v>2118</v>
      </c>
      <c r="C85" s="2" t="s">
        <v>2119</v>
      </c>
      <c r="D85" s="2" t="s">
        <v>20</v>
      </c>
      <c r="E85" s="3">
        <v>45681.5469212963</v>
      </c>
      <c r="F85" s="3">
        <v>45684.388310185182</v>
      </c>
      <c r="G85" s="4">
        <v>45786</v>
      </c>
      <c r="H85" s="2" t="s">
        <v>21</v>
      </c>
      <c r="I85" s="2" t="s">
        <v>22</v>
      </c>
      <c r="J85" s="2">
        <v>1</v>
      </c>
      <c r="K85" s="2">
        <v>835.92</v>
      </c>
      <c r="L85" s="2">
        <v>0</v>
      </c>
      <c r="M85" s="2">
        <v>580.89773406036227</v>
      </c>
      <c r="N85" s="2">
        <v>796.11</v>
      </c>
      <c r="O85" s="2">
        <v>39.81</v>
      </c>
      <c r="P85" s="2">
        <v>835.92</v>
      </c>
      <c r="Q85" s="2" t="s">
        <v>44</v>
      </c>
      <c r="R85" s="2"/>
      <c r="S85" t="str">
        <f>VLOOKUP(B85,CASOPOInvCL!$B$1:$D$1600,1,FALSE)</f>
        <v>SO16492</v>
      </c>
      <c r="T85">
        <f t="shared" si="1"/>
        <v>1</v>
      </c>
    </row>
    <row r="86" spans="1:20" x14ac:dyDescent="0.25">
      <c r="A86" s="2">
        <v>1</v>
      </c>
      <c r="B86" s="2" t="s">
        <v>2124</v>
      </c>
      <c r="C86" s="2" t="s">
        <v>2125</v>
      </c>
      <c r="D86" s="2" t="s">
        <v>245</v>
      </c>
      <c r="E86" s="3">
        <v>45681.637499999997</v>
      </c>
      <c r="F86" s="3">
        <v>45681.639016203713</v>
      </c>
      <c r="G86" s="4">
        <v>45758</v>
      </c>
      <c r="H86" s="2" t="s">
        <v>21</v>
      </c>
      <c r="I86" s="2" t="s">
        <v>22</v>
      </c>
      <c r="J86" s="2">
        <v>1</v>
      </c>
      <c r="K86" s="2">
        <v>1254.6099999999999</v>
      </c>
      <c r="L86" s="2">
        <v>0</v>
      </c>
      <c r="M86" s="2">
        <v>875.10577912390897</v>
      </c>
      <c r="N86" s="2">
        <v>1194.8699999999999</v>
      </c>
      <c r="O86" s="2">
        <v>59.74</v>
      </c>
      <c r="P86" s="2">
        <v>1254.6099999999999</v>
      </c>
      <c r="Q86" s="2" t="s">
        <v>44</v>
      </c>
      <c r="R86" s="2"/>
      <c r="S86" t="str">
        <f>VLOOKUP(B86,CASOPOInvCL!$B$1:$D$1600,1,FALSE)</f>
        <v>SO16494</v>
      </c>
      <c r="T86">
        <f t="shared" si="1"/>
        <v>1</v>
      </c>
    </row>
    <row r="87" spans="1:20" x14ac:dyDescent="0.25">
      <c r="A87" s="2">
        <v>1</v>
      </c>
      <c r="B87" s="2" t="s">
        <v>2108</v>
      </c>
      <c r="C87" s="2" t="s">
        <v>2109</v>
      </c>
      <c r="D87" s="2" t="s">
        <v>171</v>
      </c>
      <c r="E87" s="3">
        <v>45681.696122685193</v>
      </c>
      <c r="F87" s="3">
        <v>45684.686585648153</v>
      </c>
      <c r="G87" s="4">
        <v>45685</v>
      </c>
      <c r="H87" s="2" t="s">
        <v>1132</v>
      </c>
      <c r="I87" s="2" t="s">
        <v>22</v>
      </c>
      <c r="J87" s="2">
        <v>1</v>
      </c>
      <c r="K87" s="2">
        <v>166.72</v>
      </c>
      <c r="L87" s="2">
        <v>0</v>
      </c>
      <c r="M87" s="2">
        <v>115.85710381680499</v>
      </c>
      <c r="N87" s="2">
        <v>158.78</v>
      </c>
      <c r="O87" s="2">
        <v>7.94</v>
      </c>
      <c r="P87" s="2">
        <v>166.72</v>
      </c>
      <c r="Q87" s="2" t="s">
        <v>44</v>
      </c>
      <c r="R87" s="2"/>
      <c r="S87" t="str">
        <f>VLOOKUP(B87,CASOPOInvCL!$B$1:$D$1600,1,FALSE)</f>
        <v>SO16495</v>
      </c>
      <c r="T87">
        <f t="shared" si="1"/>
        <v>1</v>
      </c>
    </row>
    <row r="88" spans="1:20" ht="30" x14ac:dyDescent="0.25">
      <c r="A88" s="2">
        <v>2</v>
      </c>
      <c r="B88" s="2" t="s">
        <v>2116</v>
      </c>
      <c r="C88" s="2" t="s">
        <v>2117</v>
      </c>
      <c r="D88" s="2" t="s">
        <v>353</v>
      </c>
      <c r="E88" s="3">
        <v>45684.515011574083</v>
      </c>
      <c r="F88" s="3">
        <v>45684.524189814823</v>
      </c>
      <c r="G88" s="4">
        <v>45705</v>
      </c>
      <c r="H88" s="2" t="s">
        <v>21</v>
      </c>
      <c r="I88" s="2" t="s">
        <v>22</v>
      </c>
      <c r="J88" s="2">
        <v>1</v>
      </c>
      <c r="K88" s="2">
        <v>9975.8700000000008</v>
      </c>
      <c r="L88" s="2">
        <v>0</v>
      </c>
      <c r="M88" s="2">
        <v>6932.4340586189428</v>
      </c>
      <c r="N88" s="2">
        <v>9500.83</v>
      </c>
      <c r="O88" s="2">
        <v>475.04</v>
      </c>
      <c r="P88" s="2">
        <v>9975.8700000000008</v>
      </c>
      <c r="Q88" s="2" t="s">
        <v>44</v>
      </c>
      <c r="R88" s="2"/>
      <c r="S88" t="str">
        <f>VLOOKUP(B88,CASOPOInvCL!$B$1:$D$1600,1,FALSE)</f>
        <v>SO16496</v>
      </c>
      <c r="T88">
        <f t="shared" si="1"/>
        <v>1</v>
      </c>
    </row>
    <row r="89" spans="1:20" x14ac:dyDescent="0.25">
      <c r="A89" s="2">
        <v>1</v>
      </c>
      <c r="B89" s="2" t="s">
        <v>2088</v>
      </c>
      <c r="C89" s="2" t="s">
        <v>2089</v>
      </c>
      <c r="D89" s="2" t="s">
        <v>61</v>
      </c>
      <c r="E89" s="3">
        <v>45684.643483796302</v>
      </c>
      <c r="F89" s="3">
        <v>45686.559201388889</v>
      </c>
      <c r="G89" s="4">
        <v>45756</v>
      </c>
      <c r="H89" s="2" t="s">
        <v>21</v>
      </c>
      <c r="I89" s="2" t="s">
        <v>51</v>
      </c>
      <c r="J89" s="2">
        <v>0.69492024842133493</v>
      </c>
      <c r="K89" s="2">
        <v>3672.3350712508191</v>
      </c>
      <c r="L89" s="2">
        <v>0</v>
      </c>
      <c r="M89" s="2">
        <v>2551.98</v>
      </c>
      <c r="N89" s="2">
        <v>2551.98</v>
      </c>
      <c r="O89" s="2"/>
      <c r="P89" s="2">
        <v>2551.98</v>
      </c>
      <c r="Q89" s="2" t="s">
        <v>44</v>
      </c>
      <c r="R89" s="2"/>
      <c r="S89" t="str">
        <f>VLOOKUP(B89,CASOPOInvCL!$B$1:$D$1600,1,FALSE)</f>
        <v>SO16497</v>
      </c>
      <c r="T89">
        <f t="shared" si="1"/>
        <v>1</v>
      </c>
    </row>
    <row r="90" spans="1:20" x14ac:dyDescent="0.25">
      <c r="A90" s="2">
        <v>1</v>
      </c>
      <c r="B90" s="2" t="s">
        <v>2106</v>
      </c>
      <c r="C90" s="2" t="s">
        <v>2107</v>
      </c>
      <c r="D90" s="2" t="s">
        <v>98</v>
      </c>
      <c r="E90" s="3">
        <v>45685.307245370372</v>
      </c>
      <c r="F90" s="3">
        <v>45685.404328703713</v>
      </c>
      <c r="G90" s="4">
        <v>45686</v>
      </c>
      <c r="H90" s="2" t="s">
        <v>21</v>
      </c>
      <c r="I90" s="2" t="s">
        <v>22</v>
      </c>
      <c r="J90" s="2">
        <v>1</v>
      </c>
      <c r="K90" s="2">
        <v>5751.01</v>
      </c>
      <c r="L90" s="2">
        <v>0</v>
      </c>
      <c r="M90" s="2">
        <v>3995.620152112082</v>
      </c>
      <c r="N90" s="2">
        <v>5089.3900000000003</v>
      </c>
      <c r="O90" s="2">
        <v>661.62</v>
      </c>
      <c r="P90" s="2">
        <v>5751.01</v>
      </c>
      <c r="Q90" s="2" t="s">
        <v>44</v>
      </c>
      <c r="R90" s="2"/>
      <c r="S90" t="str">
        <f>VLOOKUP(B90,CASOPOInvCL!$B$1:$D$1600,1,FALSE)</f>
        <v>SO16498</v>
      </c>
      <c r="T90">
        <f t="shared" si="1"/>
        <v>1</v>
      </c>
    </row>
    <row r="91" spans="1:20" x14ac:dyDescent="0.25">
      <c r="A91" s="2">
        <v>1</v>
      </c>
      <c r="B91" s="2" t="s">
        <v>2086</v>
      </c>
      <c r="C91" s="2" t="s">
        <v>2087</v>
      </c>
      <c r="D91" s="2" t="s">
        <v>83</v>
      </c>
      <c r="E91" s="3">
        <v>45685.392881944441</v>
      </c>
      <c r="F91" s="3">
        <v>45686.69902777778</v>
      </c>
      <c r="G91" s="4">
        <v>45687</v>
      </c>
      <c r="H91" s="2" t="s">
        <v>21</v>
      </c>
      <c r="I91" s="2" t="s">
        <v>22</v>
      </c>
      <c r="J91" s="2">
        <v>1</v>
      </c>
      <c r="K91" s="2">
        <v>4138.54</v>
      </c>
      <c r="L91" s="2">
        <v>4138.54</v>
      </c>
      <c r="M91" s="2">
        <v>4138.54</v>
      </c>
      <c r="N91" s="2">
        <v>3662.42</v>
      </c>
      <c r="O91" s="2">
        <v>476.12</v>
      </c>
      <c r="P91" s="2">
        <v>4138.54</v>
      </c>
      <c r="Q91" s="2" t="s">
        <v>44</v>
      </c>
      <c r="R91" s="2"/>
      <c r="S91" t="str">
        <f>VLOOKUP(B91,CASOPOInvCL!$B$1:$D$1600,1,FALSE)</f>
        <v>SO16499</v>
      </c>
      <c r="T91">
        <f t="shared" si="1"/>
        <v>1</v>
      </c>
    </row>
    <row r="92" spans="1:20" x14ac:dyDescent="0.25">
      <c r="A92" s="2">
        <v>2</v>
      </c>
      <c r="B92" s="2" t="s">
        <v>2096</v>
      </c>
      <c r="C92" s="2" t="s">
        <v>2097</v>
      </c>
      <c r="D92" s="2" t="s">
        <v>465</v>
      </c>
      <c r="E92" s="3">
        <v>45685.549560185187</v>
      </c>
      <c r="F92" s="3">
        <v>45686.406909722216</v>
      </c>
      <c r="G92" s="4">
        <v>45687</v>
      </c>
      <c r="H92" s="2" t="s">
        <v>21</v>
      </c>
      <c r="I92" s="2" t="s">
        <v>22</v>
      </c>
      <c r="J92" s="2">
        <v>1</v>
      </c>
      <c r="K92" s="2">
        <v>6676.97</v>
      </c>
      <c r="L92" s="2">
        <v>6676.97</v>
      </c>
      <c r="M92" s="2">
        <v>6676.97</v>
      </c>
      <c r="N92" s="2">
        <v>5908.82</v>
      </c>
      <c r="O92" s="2">
        <v>768.15</v>
      </c>
      <c r="P92" s="2">
        <v>6676.97</v>
      </c>
      <c r="Q92" s="2" t="s">
        <v>23</v>
      </c>
      <c r="R92" s="2"/>
      <c r="S92" t="str">
        <f>VLOOKUP(B92,CASOPOInvCL!$B$1:$D$1600,1,FALSE)</f>
        <v>SO16501</v>
      </c>
      <c r="T92">
        <f t="shared" si="1"/>
        <v>1</v>
      </c>
    </row>
    <row r="93" spans="1:20" x14ac:dyDescent="0.25">
      <c r="A93" s="2">
        <v>1</v>
      </c>
      <c r="B93" s="2" t="s">
        <v>2098</v>
      </c>
      <c r="C93" s="2" t="s">
        <v>2099</v>
      </c>
      <c r="D93" s="2" t="s">
        <v>86</v>
      </c>
      <c r="E93" s="3">
        <v>45685.625763888893</v>
      </c>
      <c r="F93" s="3">
        <v>45686.383900462963</v>
      </c>
      <c r="G93" s="4">
        <v>45687</v>
      </c>
      <c r="H93" s="2" t="s">
        <v>1132</v>
      </c>
      <c r="I93" s="2" t="s">
        <v>22</v>
      </c>
      <c r="J93" s="2">
        <v>1</v>
      </c>
      <c r="K93" s="2">
        <v>132.43</v>
      </c>
      <c r="L93" s="2">
        <v>132.43</v>
      </c>
      <c r="M93" s="2">
        <v>132.43</v>
      </c>
      <c r="N93" s="2">
        <v>126.12</v>
      </c>
      <c r="O93" s="2">
        <v>6.31</v>
      </c>
      <c r="P93" s="2">
        <v>132.43</v>
      </c>
      <c r="Q93" s="2" t="s">
        <v>44</v>
      </c>
      <c r="R93" s="2"/>
      <c r="S93" t="str">
        <f>VLOOKUP(B93,CASOPOInvCL!$B$1:$D$1600,1,FALSE)</f>
        <v>SO16503</v>
      </c>
      <c r="T93">
        <f t="shared" si="1"/>
        <v>1</v>
      </c>
    </row>
    <row r="94" spans="1:20" x14ac:dyDescent="0.25">
      <c r="A94" s="2">
        <v>1</v>
      </c>
      <c r="B94" s="2" t="s">
        <v>2102</v>
      </c>
      <c r="C94" s="2" t="s">
        <v>2103</v>
      </c>
      <c r="D94" s="2" t="s">
        <v>129</v>
      </c>
      <c r="E94" s="3">
        <v>45685.679293981477</v>
      </c>
      <c r="F94" s="3">
        <v>45685.678900462961</v>
      </c>
      <c r="G94" s="4">
        <v>45723</v>
      </c>
      <c r="H94" s="2" t="s">
        <v>130</v>
      </c>
      <c r="I94" s="2" t="s">
        <v>51</v>
      </c>
      <c r="J94" s="2">
        <v>0.69492024842133493</v>
      </c>
      <c r="K94" s="2">
        <v>661.94646226670147</v>
      </c>
      <c r="L94" s="2">
        <v>0</v>
      </c>
      <c r="M94" s="2">
        <v>460</v>
      </c>
      <c r="N94" s="2">
        <v>460</v>
      </c>
      <c r="O94" s="2"/>
      <c r="P94" s="2">
        <v>460</v>
      </c>
      <c r="Q94" s="2" t="s">
        <v>44</v>
      </c>
      <c r="R94" s="2"/>
      <c r="S94" t="str">
        <f>VLOOKUP(B94,CASOPOInvCL!$B$1:$D$1600,1,FALSE)</f>
        <v>SO16504</v>
      </c>
      <c r="T94">
        <f t="shared" si="1"/>
        <v>1</v>
      </c>
    </row>
    <row r="95" spans="1:20" x14ac:dyDescent="0.25">
      <c r="A95" s="2">
        <v>1</v>
      </c>
      <c r="B95" s="2" t="s">
        <v>2100</v>
      </c>
      <c r="C95" s="2" t="s">
        <v>2101</v>
      </c>
      <c r="D95" s="2" t="s">
        <v>245</v>
      </c>
      <c r="E95" s="3">
        <v>45685.718368055554</v>
      </c>
      <c r="F95" s="3">
        <v>45685.723368055558</v>
      </c>
      <c r="G95" s="4">
        <v>45686</v>
      </c>
      <c r="H95" s="2" t="s">
        <v>1132</v>
      </c>
      <c r="I95" s="2" t="s">
        <v>22</v>
      </c>
      <c r="J95" s="2">
        <v>1</v>
      </c>
      <c r="K95" s="2">
        <v>1254.6099999999999</v>
      </c>
      <c r="L95" s="2">
        <v>0</v>
      </c>
      <c r="M95" s="2">
        <v>871.6634119991686</v>
      </c>
      <c r="N95" s="2">
        <v>1194.8699999999999</v>
      </c>
      <c r="O95" s="2">
        <v>59.74</v>
      </c>
      <c r="P95" s="2">
        <v>1254.6099999999999</v>
      </c>
      <c r="Q95" s="2" t="s">
        <v>44</v>
      </c>
      <c r="R95" s="2"/>
      <c r="S95" t="str">
        <f>VLOOKUP(B95,CASOPOInvCL!$B$1:$D$1600,1,FALSE)</f>
        <v>SO16505</v>
      </c>
      <c r="T95">
        <f t="shared" si="1"/>
        <v>1</v>
      </c>
    </row>
    <row r="96" spans="1:20" x14ac:dyDescent="0.25">
      <c r="A96" s="2">
        <v>1</v>
      </c>
      <c r="B96" s="2" t="s">
        <v>2092</v>
      </c>
      <c r="C96" s="2" t="s">
        <v>2093</v>
      </c>
      <c r="D96" s="2" t="s">
        <v>70</v>
      </c>
      <c r="E96" s="3">
        <v>45686.497511574067</v>
      </c>
      <c r="F96" s="3">
        <v>45686.498182870368</v>
      </c>
      <c r="G96" s="4">
        <v>45686</v>
      </c>
      <c r="H96" s="2" t="s">
        <v>71</v>
      </c>
      <c r="I96" s="2" t="s">
        <v>51</v>
      </c>
      <c r="J96" s="2">
        <v>0.69492024842133493</v>
      </c>
      <c r="K96" s="2">
        <v>5157.4263494866482</v>
      </c>
      <c r="L96" s="2">
        <v>0</v>
      </c>
      <c r="M96" s="2">
        <v>3584</v>
      </c>
      <c r="N96" s="2">
        <v>3584</v>
      </c>
      <c r="O96" s="2"/>
      <c r="P96" s="2">
        <v>3584</v>
      </c>
      <c r="Q96" s="2" t="s">
        <v>44</v>
      </c>
      <c r="R96" s="2"/>
      <c r="S96" t="str">
        <f>VLOOKUP(B96,CASOPOInvCL!$B$1:$D$1600,1,FALSE)</f>
        <v>SO16509</v>
      </c>
      <c r="T96">
        <f t="shared" si="1"/>
        <v>1</v>
      </c>
    </row>
    <row r="97" spans="1:20" x14ac:dyDescent="0.25">
      <c r="A97" s="2">
        <v>1</v>
      </c>
      <c r="B97" s="2" t="s">
        <v>2090</v>
      </c>
      <c r="C97" s="2" t="s">
        <v>2091</v>
      </c>
      <c r="D97" s="2" t="s">
        <v>70</v>
      </c>
      <c r="E97" s="3">
        <v>45686.516851851848</v>
      </c>
      <c r="F97" s="3">
        <v>45686.520219907397</v>
      </c>
      <c r="G97" s="4">
        <v>45790</v>
      </c>
      <c r="H97" s="2" t="s">
        <v>71</v>
      </c>
      <c r="I97" s="2" t="s">
        <v>51</v>
      </c>
      <c r="J97" s="2">
        <v>0.69492024842133493</v>
      </c>
      <c r="K97" s="2">
        <v>8749.9968720343295</v>
      </c>
      <c r="L97" s="2">
        <v>0</v>
      </c>
      <c r="M97" s="2">
        <v>6080.55</v>
      </c>
      <c r="N97" s="2">
        <v>6080.55</v>
      </c>
      <c r="O97" s="2"/>
      <c r="P97" s="2">
        <v>6080.55</v>
      </c>
      <c r="Q97" s="2" t="s">
        <v>44</v>
      </c>
      <c r="R97" s="2"/>
      <c r="S97" t="str">
        <f>VLOOKUP(B97,CASOPOInvCL!$B$1:$D$1600,1,FALSE)</f>
        <v>SO16511</v>
      </c>
      <c r="T97">
        <f t="shared" si="1"/>
        <v>1</v>
      </c>
    </row>
    <row r="98" spans="1:20" x14ac:dyDescent="0.25">
      <c r="A98" s="2">
        <v>1</v>
      </c>
      <c r="B98" s="2" t="s">
        <v>2082</v>
      </c>
      <c r="C98" s="2" t="s">
        <v>2083</v>
      </c>
      <c r="D98" s="2" t="s">
        <v>465</v>
      </c>
      <c r="E98" s="3">
        <v>45686.567418981482</v>
      </c>
      <c r="F98" s="3">
        <v>45687.447152777779</v>
      </c>
      <c r="G98" s="4">
        <v>45706</v>
      </c>
      <c r="H98" s="2" t="s">
        <v>21</v>
      </c>
      <c r="I98" s="2" t="s">
        <v>22</v>
      </c>
      <c r="J98" s="2">
        <v>1</v>
      </c>
      <c r="K98" s="2">
        <v>1988.36</v>
      </c>
      <c r="L98" s="2">
        <v>0</v>
      </c>
      <c r="M98" s="2">
        <v>1379.386222879732</v>
      </c>
      <c r="N98" s="2">
        <v>1759.61</v>
      </c>
      <c r="O98" s="2">
        <v>228.75</v>
      </c>
      <c r="P98" s="2">
        <v>1988.36</v>
      </c>
      <c r="Q98" s="2" t="s">
        <v>44</v>
      </c>
      <c r="R98" s="2"/>
      <c r="S98" t="str">
        <f>VLOOKUP(B98,CASOPOInvCL!$B$1:$D$1600,1,FALSE)</f>
        <v>SO16512</v>
      </c>
      <c r="T98">
        <f t="shared" si="1"/>
        <v>1</v>
      </c>
    </row>
    <row r="99" spans="1:20" x14ac:dyDescent="0.25">
      <c r="A99" s="2">
        <v>2</v>
      </c>
      <c r="B99" s="2" t="s">
        <v>1683</v>
      </c>
      <c r="C99" s="2" t="s">
        <v>1684</v>
      </c>
      <c r="D99" s="2" t="s">
        <v>54</v>
      </c>
      <c r="E99" s="3">
        <v>45686.58222222222</v>
      </c>
      <c r="F99" s="3">
        <v>45747.679259259261</v>
      </c>
      <c r="G99" s="4">
        <v>45765</v>
      </c>
      <c r="H99" s="2" t="s">
        <v>21</v>
      </c>
      <c r="I99" s="2" t="s">
        <v>22</v>
      </c>
      <c r="J99" s="2">
        <v>1</v>
      </c>
      <c r="K99" s="2">
        <v>17592.46</v>
      </c>
      <c r="L99" s="2">
        <v>0</v>
      </c>
      <c r="M99" s="2">
        <v>12257.64472282046</v>
      </c>
      <c r="N99" s="2">
        <v>16754.72</v>
      </c>
      <c r="O99" s="2">
        <v>837.74</v>
      </c>
      <c r="P99" s="2">
        <v>17592.46</v>
      </c>
      <c r="Q99" s="2" t="s">
        <v>44</v>
      </c>
      <c r="R99" s="2"/>
      <c r="S99" t="str">
        <f>VLOOKUP(B99,CASOPOInvCL!$B$1:$D$1600,1,FALSE)</f>
        <v>SO16513</v>
      </c>
      <c r="T99">
        <f t="shared" si="1"/>
        <v>1</v>
      </c>
    </row>
    <row r="100" spans="1:20" x14ac:dyDescent="0.25">
      <c r="A100" s="2">
        <v>2</v>
      </c>
      <c r="B100" s="2" t="s">
        <v>2070</v>
      </c>
      <c r="C100" s="2" t="s">
        <v>2071</v>
      </c>
      <c r="D100" s="2" t="s">
        <v>77</v>
      </c>
      <c r="E100" s="3">
        <v>45686.728726851848</v>
      </c>
      <c r="F100" s="3">
        <v>45691.598657407398</v>
      </c>
      <c r="G100" s="4">
        <v>45747</v>
      </c>
      <c r="H100" s="2" t="s">
        <v>21</v>
      </c>
      <c r="I100" s="2" t="s">
        <v>22</v>
      </c>
      <c r="J100" s="2">
        <v>1</v>
      </c>
      <c r="K100" s="2">
        <v>1456.77</v>
      </c>
      <c r="L100" s="2">
        <v>0</v>
      </c>
      <c r="M100" s="2">
        <v>997.7329272310983</v>
      </c>
      <c r="N100" s="2">
        <v>1387.4</v>
      </c>
      <c r="O100" s="2">
        <v>69.37</v>
      </c>
      <c r="P100" s="2">
        <v>1456.77</v>
      </c>
      <c r="Q100" s="2" t="s">
        <v>44</v>
      </c>
      <c r="R100" s="2"/>
      <c r="S100" t="str">
        <f>VLOOKUP(B100,CASOPOInvCL!$B$1:$D$1600,1,FALSE)</f>
        <v>SO16515</v>
      </c>
      <c r="T100">
        <f t="shared" si="1"/>
        <v>1</v>
      </c>
    </row>
    <row r="101" spans="1:20" x14ac:dyDescent="0.25">
      <c r="A101" s="2">
        <v>2</v>
      </c>
      <c r="B101" s="2" t="s">
        <v>2019</v>
      </c>
      <c r="C101" s="2" t="s">
        <v>2020</v>
      </c>
      <c r="D101" s="2" t="s">
        <v>77</v>
      </c>
      <c r="E101" s="3">
        <v>45686.740324074082</v>
      </c>
      <c r="F101" s="3">
        <v>45699.59946759259</v>
      </c>
      <c r="G101" s="4">
        <v>45720</v>
      </c>
      <c r="H101" s="2" t="s">
        <v>1132</v>
      </c>
      <c r="I101" s="2" t="s">
        <v>22</v>
      </c>
      <c r="J101" s="2">
        <v>1</v>
      </c>
      <c r="K101" s="2">
        <v>193.03</v>
      </c>
      <c r="L101" s="2">
        <v>0</v>
      </c>
      <c r="M101" s="2">
        <v>134.90296737157391</v>
      </c>
      <c r="N101" s="2">
        <v>183.84</v>
      </c>
      <c r="O101" s="2">
        <v>9.19</v>
      </c>
      <c r="P101" s="2">
        <v>193.03</v>
      </c>
      <c r="Q101" s="2" t="s">
        <v>44</v>
      </c>
      <c r="R101" s="2"/>
      <c r="S101" t="str">
        <f>VLOOKUP(B101,CASOPOInvCL!$B$1:$D$1600,1,FALSE)</f>
        <v>SO16516</v>
      </c>
      <c r="T101">
        <f t="shared" si="1"/>
        <v>1</v>
      </c>
    </row>
    <row r="102" spans="1:20" x14ac:dyDescent="0.25">
      <c r="A102" s="2">
        <v>1</v>
      </c>
      <c r="B102" s="2" t="s">
        <v>2080</v>
      </c>
      <c r="C102" s="2" t="s">
        <v>2081</v>
      </c>
      <c r="D102" s="2" t="s">
        <v>1288</v>
      </c>
      <c r="E102" s="3">
        <v>45687.471030092587</v>
      </c>
      <c r="F102" s="3">
        <v>45687.472511574073</v>
      </c>
      <c r="G102" s="4">
        <v>45688</v>
      </c>
      <c r="H102" s="2" t="s">
        <v>21</v>
      </c>
      <c r="I102" s="2" t="s">
        <v>51</v>
      </c>
      <c r="J102" s="2">
        <v>0.69476842365290303</v>
      </c>
      <c r="K102" s="2">
        <v>239.0436789380793</v>
      </c>
      <c r="L102" s="2">
        <v>0</v>
      </c>
      <c r="M102" s="2">
        <v>166.08</v>
      </c>
      <c r="N102" s="2">
        <v>166.08</v>
      </c>
      <c r="O102" s="2"/>
      <c r="P102" s="2">
        <v>166.08</v>
      </c>
      <c r="Q102" s="2" t="s">
        <v>44</v>
      </c>
      <c r="R102" s="2"/>
      <c r="S102" t="str">
        <f>VLOOKUP(B102,CASOPOInvCL!$B$1:$D$1600,1,FALSE)</f>
        <v>SO16517</v>
      </c>
      <c r="T102">
        <f t="shared" si="1"/>
        <v>1</v>
      </c>
    </row>
    <row r="103" spans="1:20" x14ac:dyDescent="0.25">
      <c r="A103" s="2">
        <v>1</v>
      </c>
      <c r="B103" s="2" t="s">
        <v>2058</v>
      </c>
      <c r="C103" s="2" t="s">
        <v>2059</v>
      </c>
      <c r="D103" s="2" t="s">
        <v>80</v>
      </c>
      <c r="E103" s="3">
        <v>45687.562164351853</v>
      </c>
      <c r="F103" s="3">
        <v>45693.404942129629</v>
      </c>
      <c r="G103" s="4">
        <v>45763</v>
      </c>
      <c r="H103" s="2" t="s">
        <v>21</v>
      </c>
      <c r="I103" s="2" t="s">
        <v>22</v>
      </c>
      <c r="J103" s="2">
        <v>1</v>
      </c>
      <c r="K103" s="2">
        <v>6261.19</v>
      </c>
      <c r="L103" s="2">
        <v>0</v>
      </c>
      <c r="M103" s="2">
        <v>4383.382732256362</v>
      </c>
      <c r="N103" s="2">
        <v>5963.04</v>
      </c>
      <c r="O103" s="2">
        <v>298.14999999999998</v>
      </c>
      <c r="P103" s="2">
        <v>6261.19</v>
      </c>
      <c r="Q103" s="2" t="s">
        <v>44</v>
      </c>
      <c r="R103" s="2"/>
      <c r="S103" t="str">
        <f>VLOOKUP(B103,CASOPOInvCL!$B$1:$D$1600,1,FALSE)</f>
        <v>SO16519</v>
      </c>
      <c r="T103">
        <f t="shared" si="1"/>
        <v>1</v>
      </c>
    </row>
    <row r="104" spans="1:20" x14ac:dyDescent="0.25">
      <c r="A104" s="2">
        <v>1</v>
      </c>
      <c r="B104" s="2" t="s">
        <v>2078</v>
      </c>
      <c r="C104" s="2" t="s">
        <v>2079</v>
      </c>
      <c r="D104" s="2" t="s">
        <v>39</v>
      </c>
      <c r="E104" s="3">
        <v>45687.683703703697</v>
      </c>
      <c r="F104" s="3">
        <v>45687.68545138889</v>
      </c>
      <c r="G104" s="4">
        <v>45688</v>
      </c>
      <c r="H104" s="2" t="s">
        <v>21</v>
      </c>
      <c r="I104" s="2" t="s">
        <v>22</v>
      </c>
      <c r="J104" s="2">
        <v>1</v>
      </c>
      <c r="K104" s="2">
        <v>232.68</v>
      </c>
      <c r="L104" s="2">
        <v>0</v>
      </c>
      <c r="M104" s="2">
        <v>161.4172415154479</v>
      </c>
      <c r="N104" s="2">
        <v>221.6</v>
      </c>
      <c r="O104" s="2">
        <v>11.08</v>
      </c>
      <c r="P104" s="2">
        <v>232.68</v>
      </c>
      <c r="Q104" s="2" t="s">
        <v>44</v>
      </c>
      <c r="R104" s="2"/>
      <c r="S104" t="str">
        <f>VLOOKUP(B104,CASOPOInvCL!$B$1:$D$1600,1,FALSE)</f>
        <v>SO16520</v>
      </c>
      <c r="T104">
        <f t="shared" si="1"/>
        <v>1</v>
      </c>
    </row>
    <row r="105" spans="1:20" x14ac:dyDescent="0.25">
      <c r="A105" s="2">
        <v>1</v>
      </c>
      <c r="B105" s="2" t="s">
        <v>2076</v>
      </c>
      <c r="C105" s="2" t="s">
        <v>2077</v>
      </c>
      <c r="D105" s="2" t="s">
        <v>141</v>
      </c>
      <c r="E105" s="3">
        <v>45687.737222222233</v>
      </c>
      <c r="F105" s="3">
        <v>45687.739340277767</v>
      </c>
      <c r="G105" s="4">
        <v>45722</v>
      </c>
      <c r="H105" s="2" t="s">
        <v>21</v>
      </c>
      <c r="I105" s="2" t="s">
        <v>51</v>
      </c>
      <c r="J105" s="2">
        <v>0.69476842365290303</v>
      </c>
      <c r="K105" s="2">
        <v>3553.7020911495529</v>
      </c>
      <c r="L105" s="2">
        <v>0</v>
      </c>
      <c r="M105" s="2">
        <v>2469</v>
      </c>
      <c r="N105" s="2">
        <v>2469</v>
      </c>
      <c r="O105" s="2"/>
      <c r="P105" s="2">
        <v>2469</v>
      </c>
      <c r="Q105" s="2" t="s">
        <v>44</v>
      </c>
      <c r="R105" s="2"/>
      <c r="S105" t="str">
        <f>VLOOKUP(B105,CASOPOInvCL!$B$1:$D$1600,1,FALSE)</f>
        <v>SO16521</v>
      </c>
      <c r="T105">
        <f t="shared" si="1"/>
        <v>1</v>
      </c>
    </row>
    <row r="106" spans="1:20" x14ac:dyDescent="0.25">
      <c r="A106" s="2">
        <v>2</v>
      </c>
      <c r="B106" s="2" t="s">
        <v>2074</v>
      </c>
      <c r="C106" s="2" t="s">
        <v>2075</v>
      </c>
      <c r="D106" s="2" t="s">
        <v>1852</v>
      </c>
      <c r="E106" s="3">
        <v>45688.407627314817</v>
      </c>
      <c r="F106" s="3">
        <v>45688.403148148151</v>
      </c>
      <c r="G106" s="4">
        <v>45751</v>
      </c>
      <c r="H106" s="2" t="s">
        <v>21</v>
      </c>
      <c r="I106" s="2" t="s">
        <v>51</v>
      </c>
      <c r="J106" s="2">
        <v>0.69373062366962301</v>
      </c>
      <c r="K106" s="2">
        <v>1011.631858325199</v>
      </c>
      <c r="L106" s="2">
        <v>0</v>
      </c>
      <c r="M106" s="2">
        <v>701.8</v>
      </c>
      <c r="N106" s="2">
        <v>701.8</v>
      </c>
      <c r="O106" s="2"/>
      <c r="P106" s="2">
        <v>701.8</v>
      </c>
      <c r="Q106" s="2" t="s">
        <v>44</v>
      </c>
      <c r="R106" s="2"/>
      <c r="S106" t="str">
        <f>VLOOKUP(B106,CASOPOInvCL!$B$1:$D$1600,1,FALSE)</f>
        <v>SO16522</v>
      </c>
      <c r="T106">
        <f t="shared" si="1"/>
        <v>1</v>
      </c>
    </row>
    <row r="107" spans="1:20" x14ac:dyDescent="0.25">
      <c r="A107" s="2">
        <v>2</v>
      </c>
      <c r="B107" s="2" t="s">
        <v>2068</v>
      </c>
      <c r="C107" s="2" t="s">
        <v>2069</v>
      </c>
      <c r="D107" s="2" t="s">
        <v>644</v>
      </c>
      <c r="E107" s="3">
        <v>45688.684201388889</v>
      </c>
      <c r="F107" s="3">
        <v>45691.773842592593</v>
      </c>
      <c r="G107" s="4">
        <v>45761</v>
      </c>
      <c r="H107" s="2" t="s">
        <v>21</v>
      </c>
      <c r="I107" s="2" t="s">
        <v>51</v>
      </c>
      <c r="J107" s="2">
        <v>0.68831733110963</v>
      </c>
      <c r="K107" s="2">
        <v>10249.502200717279</v>
      </c>
      <c r="L107" s="2">
        <v>0</v>
      </c>
      <c r="M107" s="2">
        <v>7054.91</v>
      </c>
      <c r="N107" s="2">
        <v>7054.91</v>
      </c>
      <c r="O107" s="2"/>
      <c r="P107" s="2">
        <v>7054.91</v>
      </c>
      <c r="Q107" s="2" t="s">
        <v>44</v>
      </c>
      <c r="R107" s="2"/>
      <c r="S107" t="str">
        <f>VLOOKUP(B107,CASOPOInvCL!$B$1:$D$1600,1,FALSE)</f>
        <v>SO16525</v>
      </c>
      <c r="T107">
        <f t="shared" si="1"/>
        <v>1</v>
      </c>
    </row>
    <row r="108" spans="1:20" x14ac:dyDescent="0.25">
      <c r="A108" s="2">
        <v>1</v>
      </c>
      <c r="B108" s="2" t="s">
        <v>2042</v>
      </c>
      <c r="C108" s="2" t="s">
        <v>2043</v>
      </c>
      <c r="D108" s="2" t="s">
        <v>20</v>
      </c>
      <c r="E108" s="3">
        <v>45688.70449074074</v>
      </c>
      <c r="F108" s="3">
        <v>45695.459861111107</v>
      </c>
      <c r="G108" s="4">
        <v>45698</v>
      </c>
      <c r="H108" s="2" t="s">
        <v>21</v>
      </c>
      <c r="I108" s="2" t="s">
        <v>22</v>
      </c>
      <c r="J108" s="2">
        <v>1</v>
      </c>
      <c r="K108" s="2">
        <v>316.85000000000002</v>
      </c>
      <c r="L108" s="2">
        <v>0</v>
      </c>
      <c r="M108" s="2">
        <v>221.40096770167111</v>
      </c>
      <c r="N108" s="2">
        <v>301.76</v>
      </c>
      <c r="O108" s="2">
        <v>15.09</v>
      </c>
      <c r="P108" s="2">
        <v>316.85000000000002</v>
      </c>
      <c r="Q108" s="2" t="s">
        <v>44</v>
      </c>
      <c r="R108" s="2"/>
      <c r="S108" t="str">
        <f>VLOOKUP(B108,CASOPOInvCL!$B$1:$D$1600,1,FALSE)</f>
        <v>SO16526</v>
      </c>
      <c r="T108">
        <f t="shared" si="1"/>
        <v>1</v>
      </c>
    </row>
    <row r="109" spans="1:20" x14ac:dyDescent="0.25">
      <c r="A109" s="2">
        <v>2</v>
      </c>
      <c r="B109" s="2" t="s">
        <v>2007</v>
      </c>
      <c r="C109" s="2" t="s">
        <v>2008</v>
      </c>
      <c r="D109" s="2" t="s">
        <v>20</v>
      </c>
      <c r="E109" s="3">
        <v>45688.708981481483</v>
      </c>
      <c r="F109" s="3">
        <v>45700.413078703707</v>
      </c>
      <c r="G109" s="4">
        <v>45779</v>
      </c>
      <c r="H109" s="2" t="s">
        <v>21</v>
      </c>
      <c r="I109" s="2" t="s">
        <v>22</v>
      </c>
      <c r="J109" s="2">
        <v>1</v>
      </c>
      <c r="K109" s="2">
        <v>6712.59</v>
      </c>
      <c r="L109" s="2">
        <v>0</v>
      </c>
      <c r="M109" s="2">
        <v>4697.876514106154</v>
      </c>
      <c r="N109" s="2">
        <v>6392.94</v>
      </c>
      <c r="O109" s="2">
        <v>319.64999999999998</v>
      </c>
      <c r="P109" s="2">
        <v>6712.59</v>
      </c>
      <c r="Q109" s="2" t="s">
        <v>44</v>
      </c>
      <c r="R109" s="2"/>
      <c r="S109" t="str">
        <f>VLOOKUP(B109,CASOPOInvCL!$B$1:$D$1600,1,FALSE)</f>
        <v>SO16527</v>
      </c>
      <c r="T109">
        <f t="shared" si="1"/>
        <v>1</v>
      </c>
    </row>
    <row r="110" spans="1:20" x14ac:dyDescent="0.25">
      <c r="A110" s="2">
        <v>1</v>
      </c>
      <c r="B110" s="2" t="s">
        <v>1958</v>
      </c>
      <c r="C110" s="2" t="s">
        <v>1959</v>
      </c>
      <c r="D110" s="2" t="s">
        <v>77</v>
      </c>
      <c r="E110" s="3">
        <v>45691.385787037027</v>
      </c>
      <c r="F110" s="3">
        <v>45706.630231481482</v>
      </c>
      <c r="G110" s="4">
        <v>45709</v>
      </c>
      <c r="H110" s="2" t="s">
        <v>1132</v>
      </c>
      <c r="I110" s="2" t="s">
        <v>22</v>
      </c>
      <c r="J110" s="2">
        <v>1</v>
      </c>
      <c r="K110" s="2">
        <v>293.48</v>
      </c>
      <c r="L110" s="2">
        <v>293.48</v>
      </c>
      <c r="M110" s="2">
        <v>293.48</v>
      </c>
      <c r="N110" s="2">
        <v>279.5</v>
      </c>
      <c r="O110" s="2">
        <v>13.98</v>
      </c>
      <c r="P110" s="2">
        <v>293.48</v>
      </c>
      <c r="Q110" s="2" t="s">
        <v>44</v>
      </c>
      <c r="R110" s="2"/>
      <c r="S110" t="str">
        <f>VLOOKUP(B110,CASOPOInvCL!$B$1:$D$1600,1,FALSE)</f>
        <v>SO16528</v>
      </c>
      <c r="T110">
        <f t="shared" si="1"/>
        <v>2</v>
      </c>
    </row>
    <row r="111" spans="1:20" x14ac:dyDescent="0.25">
      <c r="A111" s="2">
        <v>1</v>
      </c>
      <c r="B111" s="2" t="s">
        <v>1956</v>
      </c>
      <c r="C111" s="2" t="s">
        <v>1957</v>
      </c>
      <c r="D111" s="2" t="s">
        <v>714</v>
      </c>
      <c r="E111" s="3">
        <v>45691.561157407406</v>
      </c>
      <c r="F111" s="3">
        <v>45706.682962962957</v>
      </c>
      <c r="G111" s="2"/>
      <c r="H111" s="2" t="s">
        <v>21</v>
      </c>
      <c r="I111" s="2" t="s">
        <v>51</v>
      </c>
      <c r="J111" s="2">
        <v>0.70491579277313177</v>
      </c>
      <c r="K111" s="2">
        <v>21850.453852659211</v>
      </c>
      <c r="L111" s="2">
        <v>0</v>
      </c>
      <c r="M111" s="2">
        <v>15402.73</v>
      </c>
      <c r="N111" s="2">
        <v>15402.73</v>
      </c>
      <c r="O111" s="2"/>
      <c r="P111" s="2">
        <v>15402.73</v>
      </c>
      <c r="Q111" s="2" t="s">
        <v>44</v>
      </c>
      <c r="R111" s="2"/>
      <c r="S111" t="str">
        <f>VLOOKUP(B111,CASOPOInvCL!$B$1:$D$1600,1,FALSE)</f>
        <v>SO16529</v>
      </c>
      <c r="T111">
        <f t="shared" si="1"/>
        <v>2</v>
      </c>
    </row>
    <row r="112" spans="1:20" x14ac:dyDescent="0.25">
      <c r="A112" s="2">
        <v>1</v>
      </c>
      <c r="B112" s="2" t="s">
        <v>2072</v>
      </c>
      <c r="C112" s="2" t="s">
        <v>2073</v>
      </c>
      <c r="D112" s="2" t="s">
        <v>472</v>
      </c>
      <c r="E112" s="3">
        <v>45691.59170138889</v>
      </c>
      <c r="F112" s="3">
        <v>45691.59170138889</v>
      </c>
      <c r="G112" s="4">
        <v>45691</v>
      </c>
      <c r="H112" s="2" t="s">
        <v>1132</v>
      </c>
      <c r="I112" s="2" t="s">
        <v>22</v>
      </c>
      <c r="J112" s="2">
        <v>1</v>
      </c>
      <c r="K112" s="2">
        <v>293.94</v>
      </c>
      <c r="L112" s="2">
        <v>0</v>
      </c>
      <c r="M112" s="2">
        <v>201.31772114356349</v>
      </c>
      <c r="N112" s="2">
        <v>279.94</v>
      </c>
      <c r="O112" s="2">
        <v>14</v>
      </c>
      <c r="P112" s="2">
        <v>293.94</v>
      </c>
      <c r="Q112" s="2" t="s">
        <v>44</v>
      </c>
      <c r="R112" s="2"/>
      <c r="S112" t="str">
        <f>VLOOKUP(B112,CASOPOInvCL!$B$1:$D$1600,1,FALSE)</f>
        <v>SO16530</v>
      </c>
      <c r="T112">
        <f t="shared" si="1"/>
        <v>2</v>
      </c>
    </row>
    <row r="113" spans="1:20" x14ac:dyDescent="0.25">
      <c r="A113" s="2">
        <v>4</v>
      </c>
      <c r="B113" s="2" t="s">
        <v>2032</v>
      </c>
      <c r="C113" s="2" t="s">
        <v>2033</v>
      </c>
      <c r="D113" s="2" t="s">
        <v>714</v>
      </c>
      <c r="E113" s="3">
        <v>45691.665821759263</v>
      </c>
      <c r="F113" s="3">
        <v>45698.66269675926</v>
      </c>
      <c r="G113" s="4">
        <v>45776</v>
      </c>
      <c r="H113" s="2" t="s">
        <v>21</v>
      </c>
      <c r="I113" s="2" t="s">
        <v>51</v>
      </c>
      <c r="J113" s="2">
        <v>0.69834485616458641</v>
      </c>
      <c r="K113" s="2">
        <v>55151.891876930713</v>
      </c>
      <c r="L113" s="2">
        <v>0</v>
      </c>
      <c r="M113" s="2">
        <v>38515.040000000001</v>
      </c>
      <c r="N113" s="2">
        <v>38515.040000000001</v>
      </c>
      <c r="O113" s="2"/>
      <c r="P113" s="2">
        <v>38515.040000000001</v>
      </c>
      <c r="Q113" s="2" t="s">
        <v>44</v>
      </c>
      <c r="R113" s="2"/>
      <c r="S113" t="str">
        <f>VLOOKUP(B113,CASOPOInvCL!$B$1:$D$1600,1,FALSE)</f>
        <v>SO16531</v>
      </c>
      <c r="T113">
        <f t="shared" si="1"/>
        <v>2</v>
      </c>
    </row>
    <row r="114" spans="1:20" x14ac:dyDescent="0.25">
      <c r="A114" s="2">
        <v>1</v>
      </c>
      <c r="B114" s="2" t="s">
        <v>2003</v>
      </c>
      <c r="C114" s="2" t="s">
        <v>2004</v>
      </c>
      <c r="D114" s="2" t="s">
        <v>1196</v>
      </c>
      <c r="E114" s="3">
        <v>45691.729861111111</v>
      </c>
      <c r="F114" s="3">
        <v>45701.397326388891</v>
      </c>
      <c r="G114" s="4">
        <v>45778</v>
      </c>
      <c r="H114" s="2" t="s">
        <v>21</v>
      </c>
      <c r="I114" s="2" t="s">
        <v>22</v>
      </c>
      <c r="J114" s="2">
        <v>1</v>
      </c>
      <c r="K114" s="2">
        <v>6082.12</v>
      </c>
      <c r="L114" s="2">
        <v>0</v>
      </c>
      <c r="M114" s="2">
        <v>4274.0647146065348</v>
      </c>
      <c r="N114" s="2">
        <v>5382.41</v>
      </c>
      <c r="O114" s="2">
        <v>699.71</v>
      </c>
      <c r="P114" s="2">
        <v>6082.12</v>
      </c>
      <c r="Q114" s="2" t="s">
        <v>44</v>
      </c>
      <c r="R114" s="2"/>
      <c r="S114" t="str">
        <f>VLOOKUP(B114,CASOPOInvCL!$B$1:$D$1600,1,FALSE)</f>
        <v>SO16532</v>
      </c>
      <c r="T114">
        <f t="shared" si="1"/>
        <v>2</v>
      </c>
    </row>
    <row r="115" spans="1:20" ht="30" x14ac:dyDescent="0.25">
      <c r="A115" s="2">
        <v>1</v>
      </c>
      <c r="B115" s="2" t="s">
        <v>1948</v>
      </c>
      <c r="C115" s="2" t="s">
        <v>1949</v>
      </c>
      <c r="D115" s="2" t="s">
        <v>1322</v>
      </c>
      <c r="E115" s="3">
        <v>45691.744537037041</v>
      </c>
      <c r="F115" s="3">
        <v>45706.778541666667</v>
      </c>
      <c r="G115" s="4">
        <v>45782</v>
      </c>
      <c r="H115" s="2" t="s">
        <v>21</v>
      </c>
      <c r="I115" s="2" t="s">
        <v>22</v>
      </c>
      <c r="J115" s="2">
        <v>1</v>
      </c>
      <c r="K115" s="2">
        <v>6231.59</v>
      </c>
      <c r="L115" s="2">
        <v>6231.59</v>
      </c>
      <c r="M115" s="2">
        <v>6231.59</v>
      </c>
      <c r="N115" s="2">
        <v>5934.85</v>
      </c>
      <c r="O115" s="2">
        <v>296.74</v>
      </c>
      <c r="P115" s="2">
        <v>6231.59</v>
      </c>
      <c r="Q115" s="2" t="s">
        <v>44</v>
      </c>
      <c r="R115" s="2"/>
      <c r="S115" t="str">
        <f>VLOOKUP(B115,CASOPOInvCL!$B$1:$D$1600,1,FALSE)</f>
        <v>SO16533</v>
      </c>
      <c r="T115">
        <f t="shared" si="1"/>
        <v>2</v>
      </c>
    </row>
    <row r="116" spans="1:20" x14ac:dyDescent="0.25">
      <c r="A116" s="2">
        <v>5</v>
      </c>
      <c r="B116" s="2" t="s">
        <v>2064</v>
      </c>
      <c r="C116" s="2" t="s">
        <v>2065</v>
      </c>
      <c r="D116" s="2" t="s">
        <v>714</v>
      </c>
      <c r="E116" s="3">
        <v>45692.441203703696</v>
      </c>
      <c r="F116" s="3">
        <v>45692.448078703703</v>
      </c>
      <c r="G116" s="4">
        <v>45811</v>
      </c>
      <c r="H116" s="2" t="s">
        <v>21</v>
      </c>
      <c r="I116" s="2" t="s">
        <v>51</v>
      </c>
      <c r="J116" s="2">
        <v>0.68489392782051961</v>
      </c>
      <c r="K116" s="2">
        <v>77306.715462478212</v>
      </c>
      <c r="L116" s="2">
        <v>0</v>
      </c>
      <c r="M116" s="2">
        <v>52946.9</v>
      </c>
      <c r="N116" s="2">
        <v>52946.9</v>
      </c>
      <c r="O116" s="2"/>
      <c r="P116" s="2">
        <v>52946.9</v>
      </c>
      <c r="Q116" s="2" t="s">
        <v>44</v>
      </c>
      <c r="R116" s="2"/>
      <c r="S116" t="str">
        <f>VLOOKUP(B116,CASOPOInvCL!$B$1:$D$1600,1,FALSE)</f>
        <v>SO16534</v>
      </c>
      <c r="T116">
        <f t="shared" si="1"/>
        <v>2</v>
      </c>
    </row>
    <row r="117" spans="1:20" ht="30" x14ac:dyDescent="0.25">
      <c r="A117" s="2">
        <v>1</v>
      </c>
      <c r="B117" s="2" t="s">
        <v>2066</v>
      </c>
      <c r="C117" s="2" t="s">
        <v>2067</v>
      </c>
      <c r="D117" s="2" t="s">
        <v>159</v>
      </c>
      <c r="E117" s="3">
        <v>45692.445648148147</v>
      </c>
      <c r="F117" s="3">
        <v>45692.445891203701</v>
      </c>
      <c r="G117" s="4">
        <v>45707</v>
      </c>
      <c r="H117" s="2" t="s">
        <v>426</v>
      </c>
      <c r="I117" s="2" t="s">
        <v>51</v>
      </c>
      <c r="J117" s="2">
        <v>0.68489392782051961</v>
      </c>
      <c r="K117" s="2">
        <v>22748.778120402549</v>
      </c>
      <c r="L117" s="2">
        <v>0</v>
      </c>
      <c r="M117" s="2">
        <v>15580.5</v>
      </c>
      <c r="N117" s="2">
        <v>15580.5</v>
      </c>
      <c r="O117" s="2"/>
      <c r="P117" s="2">
        <v>15580.5</v>
      </c>
      <c r="Q117" s="2" t="s">
        <v>44</v>
      </c>
      <c r="R117" s="2"/>
      <c r="S117" t="str">
        <f>VLOOKUP(B117,CASOPOInvCL!$B$1:$D$1600,1,FALSE)</f>
        <v>SO16535</v>
      </c>
      <c r="T117">
        <f t="shared" si="1"/>
        <v>2</v>
      </c>
    </row>
    <row r="118" spans="1:20" x14ac:dyDescent="0.25">
      <c r="A118" s="2">
        <v>2</v>
      </c>
      <c r="B118" s="2" t="s">
        <v>2060</v>
      </c>
      <c r="C118" s="2" t="s">
        <v>2061</v>
      </c>
      <c r="D118" s="2" t="s">
        <v>644</v>
      </c>
      <c r="E118" s="3">
        <v>45692.508703703701</v>
      </c>
      <c r="F118" s="3">
        <v>45692.740787037037</v>
      </c>
      <c r="G118" s="4">
        <v>45769</v>
      </c>
      <c r="H118" s="2" t="s">
        <v>21</v>
      </c>
      <c r="I118" s="2" t="s">
        <v>51</v>
      </c>
      <c r="J118" s="2">
        <v>0.68489392782051961</v>
      </c>
      <c r="K118" s="2">
        <v>5976.3998974636061</v>
      </c>
      <c r="L118" s="2">
        <v>0</v>
      </c>
      <c r="M118" s="2">
        <v>4093.2</v>
      </c>
      <c r="N118" s="2">
        <v>4093.2</v>
      </c>
      <c r="O118" s="2"/>
      <c r="P118" s="2">
        <v>4093.2</v>
      </c>
      <c r="Q118" s="2" t="s">
        <v>44</v>
      </c>
      <c r="R118" s="2"/>
      <c r="S118" t="str">
        <f>VLOOKUP(B118,CASOPOInvCL!$B$1:$D$1600,1,FALSE)</f>
        <v>SO16537</v>
      </c>
      <c r="T118">
        <f t="shared" si="1"/>
        <v>2</v>
      </c>
    </row>
    <row r="119" spans="1:20" x14ac:dyDescent="0.25">
      <c r="A119" s="2">
        <v>1</v>
      </c>
      <c r="B119" s="2" t="s">
        <v>2062</v>
      </c>
      <c r="C119" s="2" t="s">
        <v>2063</v>
      </c>
      <c r="D119" s="2" t="s">
        <v>465</v>
      </c>
      <c r="E119" s="3">
        <v>45692.598634259259</v>
      </c>
      <c r="F119" s="3">
        <v>45692.599918981483</v>
      </c>
      <c r="G119" s="4">
        <v>45693</v>
      </c>
      <c r="H119" s="2" t="s">
        <v>21</v>
      </c>
      <c r="I119" s="2" t="s">
        <v>22</v>
      </c>
      <c r="J119" s="2">
        <v>1</v>
      </c>
      <c r="K119" s="2">
        <v>505.23</v>
      </c>
      <c r="L119" s="2">
        <v>0</v>
      </c>
      <c r="M119" s="2">
        <v>352.80671767308098</v>
      </c>
      <c r="N119" s="2">
        <v>447.11</v>
      </c>
      <c r="O119" s="2">
        <v>58.12</v>
      </c>
      <c r="P119" s="2">
        <v>505.23</v>
      </c>
      <c r="Q119" s="2" t="s">
        <v>44</v>
      </c>
      <c r="R119" s="2"/>
      <c r="S119" t="str">
        <f>VLOOKUP(B119,CASOPOInvCL!$B$1:$D$1600,1,FALSE)</f>
        <v>SO16539</v>
      </c>
      <c r="T119">
        <f t="shared" si="1"/>
        <v>2</v>
      </c>
    </row>
    <row r="120" spans="1:20" x14ac:dyDescent="0.25">
      <c r="A120" s="2">
        <v>2</v>
      </c>
      <c r="B120" s="2" t="s">
        <v>1501</v>
      </c>
      <c r="C120" s="2" t="s">
        <v>1502</v>
      </c>
      <c r="D120" s="2" t="s">
        <v>86</v>
      </c>
      <c r="E120" s="3">
        <v>45693.534907407397</v>
      </c>
      <c r="F120" s="3">
        <v>45778.44158564815</v>
      </c>
      <c r="G120" s="4">
        <v>45855</v>
      </c>
      <c r="H120" s="2" t="s">
        <v>21</v>
      </c>
      <c r="I120" s="2" t="s">
        <v>22</v>
      </c>
      <c r="J120" s="2">
        <v>1</v>
      </c>
      <c r="K120" s="2">
        <v>7864.84</v>
      </c>
      <c r="L120" s="2">
        <v>0</v>
      </c>
      <c r="M120" s="2">
        <v>5679.2136625299991</v>
      </c>
      <c r="N120" s="2">
        <v>7490.32</v>
      </c>
      <c r="O120" s="2">
        <v>374.52</v>
      </c>
      <c r="P120" s="2">
        <v>7864.84</v>
      </c>
      <c r="Q120" s="2" t="s">
        <v>44</v>
      </c>
      <c r="R120" s="2"/>
      <c r="S120" t="str">
        <f>VLOOKUP(B120,CASOPOInvCL!$B$1:$D$1600,1,FALSE)</f>
        <v>SO16544</v>
      </c>
      <c r="T120">
        <f t="shared" si="1"/>
        <v>2</v>
      </c>
    </row>
    <row r="121" spans="1:20" x14ac:dyDescent="0.25">
      <c r="A121" s="2">
        <v>1</v>
      </c>
      <c r="B121" s="2" t="s">
        <v>2054</v>
      </c>
      <c r="C121" s="2" t="s">
        <v>2055</v>
      </c>
      <c r="D121" s="2" t="s">
        <v>245</v>
      </c>
      <c r="E121" s="3">
        <v>45693.536840277768</v>
      </c>
      <c r="F121" s="3">
        <v>45693.715254629627</v>
      </c>
      <c r="G121" s="4">
        <v>45777</v>
      </c>
      <c r="H121" s="2" t="s">
        <v>21</v>
      </c>
      <c r="I121" s="2" t="s">
        <v>22</v>
      </c>
      <c r="J121" s="2">
        <v>1</v>
      </c>
      <c r="K121" s="2">
        <v>4559.7299999999996</v>
      </c>
      <c r="L121" s="2">
        <v>0</v>
      </c>
      <c r="M121" s="2">
        <v>3192.2113441296779</v>
      </c>
      <c r="N121" s="2">
        <v>4342.6000000000004</v>
      </c>
      <c r="O121" s="2">
        <v>217.13</v>
      </c>
      <c r="P121" s="2">
        <v>4559.7299999999996</v>
      </c>
      <c r="Q121" s="2" t="s">
        <v>44</v>
      </c>
      <c r="R121" s="2"/>
      <c r="S121" t="str">
        <f>VLOOKUP(B121,CASOPOInvCL!$B$1:$D$1600,1,FALSE)</f>
        <v>SO16545</v>
      </c>
      <c r="T121">
        <f t="shared" si="1"/>
        <v>2</v>
      </c>
    </row>
    <row r="122" spans="1:20" ht="30" x14ac:dyDescent="0.25">
      <c r="A122" s="2">
        <v>1</v>
      </c>
      <c r="B122" s="2" t="s">
        <v>2052</v>
      </c>
      <c r="C122" s="2" t="s">
        <v>2053</v>
      </c>
      <c r="D122" s="2" t="s">
        <v>159</v>
      </c>
      <c r="E122" s="3">
        <v>45693.596678240741</v>
      </c>
      <c r="F122" s="3">
        <v>45693.721574074072</v>
      </c>
      <c r="G122" s="4">
        <v>45707</v>
      </c>
      <c r="H122" s="2" t="s">
        <v>426</v>
      </c>
      <c r="I122" s="2" t="s">
        <v>51</v>
      </c>
      <c r="J122" s="2">
        <v>0.69830912193076611</v>
      </c>
      <c r="K122" s="2">
        <v>29631.719463706959</v>
      </c>
      <c r="L122" s="2">
        <v>0</v>
      </c>
      <c r="M122" s="2">
        <v>20692.099999999999</v>
      </c>
      <c r="N122" s="2">
        <v>20692.099999999999</v>
      </c>
      <c r="O122" s="2"/>
      <c r="P122" s="2">
        <v>20692.099999999999</v>
      </c>
      <c r="Q122" s="2" t="s">
        <v>44</v>
      </c>
      <c r="R122" s="2"/>
      <c r="S122" t="str">
        <f>VLOOKUP(B122,CASOPOInvCL!$B$1:$D$1600,1,FALSE)</f>
        <v>SO16546</v>
      </c>
      <c r="T122">
        <f t="shared" si="1"/>
        <v>2</v>
      </c>
    </row>
    <row r="123" spans="1:20" x14ac:dyDescent="0.25">
      <c r="A123" s="2">
        <v>1</v>
      </c>
      <c r="B123" s="2" t="s">
        <v>2056</v>
      </c>
      <c r="C123" s="2" t="s">
        <v>2057</v>
      </c>
      <c r="D123" s="2" t="s">
        <v>1423</v>
      </c>
      <c r="E123" s="3">
        <v>45693.602812500001</v>
      </c>
      <c r="F123" s="3">
        <v>45693.60229166667</v>
      </c>
      <c r="G123" s="4">
        <v>45786</v>
      </c>
      <c r="H123" s="2" t="s">
        <v>71</v>
      </c>
      <c r="I123" s="2" t="s">
        <v>51</v>
      </c>
      <c r="J123" s="2">
        <v>0.69830912193076611</v>
      </c>
      <c r="K123" s="2">
        <v>895.69215173736814</v>
      </c>
      <c r="L123" s="2">
        <v>0</v>
      </c>
      <c r="M123" s="2">
        <v>625.47</v>
      </c>
      <c r="N123" s="2">
        <v>625.47</v>
      </c>
      <c r="O123" s="2"/>
      <c r="P123" s="2">
        <v>625.47</v>
      </c>
      <c r="Q123" s="2" t="s">
        <v>44</v>
      </c>
      <c r="R123" s="2"/>
      <c r="S123" t="str">
        <f>VLOOKUP(B123,CASOPOInvCL!$B$1:$D$1600,1,FALSE)</f>
        <v>SO16547</v>
      </c>
      <c r="T123">
        <f t="shared" si="1"/>
        <v>2</v>
      </c>
    </row>
    <row r="124" spans="1:20" x14ac:dyDescent="0.25">
      <c r="A124" s="2">
        <v>1</v>
      </c>
      <c r="B124" s="2" t="s">
        <v>2038</v>
      </c>
      <c r="C124" s="2" t="s">
        <v>2039</v>
      </c>
      <c r="D124" s="2" t="s">
        <v>20</v>
      </c>
      <c r="E124" s="3">
        <v>45694.383356481478</v>
      </c>
      <c r="F124" s="3">
        <v>45695.489259259259</v>
      </c>
      <c r="G124" s="4">
        <v>45699</v>
      </c>
      <c r="H124" s="2" t="s">
        <v>21</v>
      </c>
      <c r="I124" s="2" t="s">
        <v>22</v>
      </c>
      <c r="J124" s="2">
        <v>1</v>
      </c>
      <c r="K124" s="2">
        <v>4349.0200000000004</v>
      </c>
      <c r="L124" s="2">
        <v>0</v>
      </c>
      <c r="M124" s="2">
        <v>3038.9055911438272</v>
      </c>
      <c r="N124" s="2">
        <v>4141.92</v>
      </c>
      <c r="O124" s="2">
        <v>207.1</v>
      </c>
      <c r="P124" s="2">
        <v>4349.0200000000004</v>
      </c>
      <c r="Q124" s="2" t="s">
        <v>44</v>
      </c>
      <c r="R124" s="2"/>
      <c r="S124" t="str">
        <f>VLOOKUP(B124,CASOPOInvCL!$B$1:$D$1600,1,FALSE)</f>
        <v>SO16549</v>
      </c>
      <c r="T124">
        <f t="shared" si="1"/>
        <v>2</v>
      </c>
    </row>
    <row r="125" spans="1:20" x14ac:dyDescent="0.25">
      <c r="A125" s="2">
        <v>1</v>
      </c>
      <c r="B125" s="2" t="s">
        <v>2050</v>
      </c>
      <c r="C125" s="2" t="s">
        <v>2051</v>
      </c>
      <c r="D125" s="2" t="s">
        <v>242</v>
      </c>
      <c r="E125" s="3">
        <v>45694.45</v>
      </c>
      <c r="F125" s="3">
        <v>45694.486030092587</v>
      </c>
      <c r="G125" s="4">
        <v>45695</v>
      </c>
      <c r="H125" s="2" t="s">
        <v>21</v>
      </c>
      <c r="I125" s="2" t="s">
        <v>22</v>
      </c>
      <c r="J125" s="2">
        <v>1</v>
      </c>
      <c r="K125" s="2">
        <v>746.81</v>
      </c>
      <c r="L125" s="2">
        <v>0</v>
      </c>
      <c r="M125" s="2">
        <v>521.66267612002866</v>
      </c>
      <c r="N125" s="2">
        <v>711.25</v>
      </c>
      <c r="O125" s="2">
        <v>35.56</v>
      </c>
      <c r="P125" s="2">
        <v>746.81</v>
      </c>
      <c r="Q125" s="2" t="s">
        <v>44</v>
      </c>
      <c r="R125" s="2"/>
      <c r="S125" t="str">
        <f>VLOOKUP(B125,CASOPOInvCL!$B$1:$D$1600,1,FALSE)</f>
        <v>SO16550</v>
      </c>
      <c r="T125">
        <f t="shared" si="1"/>
        <v>2</v>
      </c>
    </row>
    <row r="126" spans="1:20" x14ac:dyDescent="0.25">
      <c r="A126" s="2">
        <v>1</v>
      </c>
      <c r="B126" s="2" t="s">
        <v>2040</v>
      </c>
      <c r="C126" s="2" t="s">
        <v>2041</v>
      </c>
      <c r="D126" s="2" t="s">
        <v>290</v>
      </c>
      <c r="E126" s="3">
        <v>45694.469317129631</v>
      </c>
      <c r="F126" s="3">
        <v>45695.475671296299</v>
      </c>
      <c r="G126" s="4">
        <v>45723</v>
      </c>
      <c r="H126" s="2" t="s">
        <v>21</v>
      </c>
      <c r="I126" s="2" t="s">
        <v>22</v>
      </c>
      <c r="J126" s="2">
        <v>1</v>
      </c>
      <c r="K126" s="2">
        <v>8183.91</v>
      </c>
      <c r="L126" s="2">
        <v>0</v>
      </c>
      <c r="M126" s="2">
        <v>5718.5595505235378</v>
      </c>
      <c r="N126" s="2">
        <v>7794.2</v>
      </c>
      <c r="O126" s="2">
        <v>389.71</v>
      </c>
      <c r="P126" s="2">
        <v>8183.91</v>
      </c>
      <c r="Q126" s="2" t="s">
        <v>44</v>
      </c>
      <c r="R126" s="2"/>
      <c r="S126" t="str">
        <f>VLOOKUP(B126,CASOPOInvCL!$B$1:$D$1600,1,FALSE)</f>
        <v>SO16551</v>
      </c>
      <c r="T126">
        <f t="shared" si="1"/>
        <v>2</v>
      </c>
    </row>
    <row r="127" spans="1:20" x14ac:dyDescent="0.25">
      <c r="A127" s="2">
        <v>1</v>
      </c>
      <c r="B127" s="2" t="s">
        <v>2048</v>
      </c>
      <c r="C127" s="2" t="s">
        <v>2049</v>
      </c>
      <c r="D127" s="2" t="s">
        <v>146</v>
      </c>
      <c r="E127" s="3">
        <v>45694.529537037037</v>
      </c>
      <c r="F127" s="3">
        <v>45694.530578703707</v>
      </c>
      <c r="G127" s="4">
        <v>45750</v>
      </c>
      <c r="H127" s="2" t="s">
        <v>1132</v>
      </c>
      <c r="I127" s="2" t="s">
        <v>22</v>
      </c>
      <c r="J127" s="2">
        <v>1</v>
      </c>
      <c r="K127" s="2">
        <v>180.92</v>
      </c>
      <c r="L127" s="2">
        <v>0</v>
      </c>
      <c r="M127" s="2">
        <v>126.3764697361251</v>
      </c>
      <c r="N127" s="2">
        <v>172.3</v>
      </c>
      <c r="O127" s="2">
        <v>8.6199999999999992</v>
      </c>
      <c r="P127" s="2">
        <v>180.92</v>
      </c>
      <c r="Q127" s="2" t="s">
        <v>44</v>
      </c>
      <c r="R127" s="2"/>
      <c r="S127" t="str">
        <f>VLOOKUP(B127,CASOPOInvCL!$B$1:$D$1600,1,FALSE)</f>
        <v>SO16552</v>
      </c>
      <c r="T127">
        <f t="shared" si="1"/>
        <v>2</v>
      </c>
    </row>
    <row r="128" spans="1:20" ht="30" x14ac:dyDescent="0.25">
      <c r="A128" s="2">
        <v>2</v>
      </c>
      <c r="B128" s="2" t="s">
        <v>2017</v>
      </c>
      <c r="C128" s="2" t="s">
        <v>2018</v>
      </c>
      <c r="D128" s="2" t="s">
        <v>159</v>
      </c>
      <c r="E128" s="3">
        <v>45694.657141203701</v>
      </c>
      <c r="F128" s="3">
        <v>45699.682708333326</v>
      </c>
      <c r="G128" s="4">
        <v>45852</v>
      </c>
      <c r="H128" s="2" t="s">
        <v>426</v>
      </c>
      <c r="I128" s="2" t="s">
        <v>51</v>
      </c>
      <c r="J128" s="2">
        <v>0.69834485616458641</v>
      </c>
      <c r="K128" s="2">
        <v>45189.049108657709</v>
      </c>
      <c r="L128" s="2">
        <v>0</v>
      </c>
      <c r="M128" s="2">
        <v>31557.54</v>
      </c>
      <c r="N128" s="2">
        <v>31557.54</v>
      </c>
      <c r="O128" s="2"/>
      <c r="P128" s="2">
        <v>31557.54</v>
      </c>
      <c r="Q128" s="2" t="s">
        <v>44</v>
      </c>
      <c r="R128" s="2"/>
      <c r="S128" t="str">
        <f>VLOOKUP(B128,CASOPOInvCL!$B$1:$D$1600,1,FALSE)</f>
        <v>SO16554</v>
      </c>
      <c r="T128">
        <f t="shared" si="1"/>
        <v>2</v>
      </c>
    </row>
    <row r="129" spans="1:20" x14ac:dyDescent="0.25">
      <c r="A129" s="2">
        <v>1</v>
      </c>
      <c r="B129" s="2" t="s">
        <v>2046</v>
      </c>
      <c r="C129" s="2" t="s">
        <v>2047</v>
      </c>
      <c r="D129" s="2" t="s">
        <v>129</v>
      </c>
      <c r="E129" s="3">
        <v>45694.782557870371</v>
      </c>
      <c r="F129" s="3">
        <v>45694.780671296299</v>
      </c>
      <c r="G129" s="4">
        <v>45726</v>
      </c>
      <c r="H129" s="2" t="s">
        <v>130</v>
      </c>
      <c r="I129" s="2" t="s">
        <v>51</v>
      </c>
      <c r="J129" s="2">
        <v>0.70008779996396242</v>
      </c>
      <c r="K129" s="2">
        <v>5240.7712292499091</v>
      </c>
      <c r="L129" s="2">
        <v>0</v>
      </c>
      <c r="M129" s="2">
        <v>3669</v>
      </c>
      <c r="N129" s="2">
        <v>3669</v>
      </c>
      <c r="O129" s="2"/>
      <c r="P129" s="2">
        <v>3669</v>
      </c>
      <c r="Q129" s="2" t="s">
        <v>44</v>
      </c>
      <c r="R129" s="2"/>
      <c r="S129" t="str">
        <f>VLOOKUP(B129,CASOPOInvCL!$B$1:$D$1600,1,FALSE)</f>
        <v>SO16556</v>
      </c>
      <c r="T129">
        <f t="shared" si="1"/>
        <v>2</v>
      </c>
    </row>
    <row r="130" spans="1:20" x14ac:dyDescent="0.25">
      <c r="A130" s="2">
        <v>1</v>
      </c>
      <c r="B130" s="2" t="s">
        <v>1987</v>
      </c>
      <c r="C130" s="2" t="s">
        <v>1988</v>
      </c>
      <c r="D130" s="2" t="s">
        <v>77</v>
      </c>
      <c r="E130" s="3">
        <v>45695.382523148153</v>
      </c>
      <c r="F130" s="3">
        <v>45705.382523148153</v>
      </c>
      <c r="G130" s="4">
        <v>45706</v>
      </c>
      <c r="H130" s="2" t="s">
        <v>1132</v>
      </c>
      <c r="I130" s="2" t="s">
        <v>22</v>
      </c>
      <c r="J130" s="2">
        <v>1</v>
      </c>
      <c r="K130" s="2">
        <v>283.87</v>
      </c>
      <c r="L130" s="2">
        <v>0</v>
      </c>
      <c r="M130" s="2">
        <v>200.10662574100149</v>
      </c>
      <c r="N130" s="2">
        <v>270.35000000000002</v>
      </c>
      <c r="O130" s="2">
        <v>13.52</v>
      </c>
      <c r="P130" s="2">
        <v>283.87</v>
      </c>
      <c r="Q130" s="2" t="s">
        <v>44</v>
      </c>
      <c r="R130" s="2"/>
      <c r="S130" t="str">
        <f>VLOOKUP(B130,CASOPOInvCL!$B$1:$D$1600,1,FALSE)</f>
        <v>SO16557</v>
      </c>
      <c r="T130">
        <f t="shared" si="1"/>
        <v>2</v>
      </c>
    </row>
    <row r="131" spans="1:20" x14ac:dyDescent="0.25">
      <c r="A131" s="2">
        <v>1</v>
      </c>
      <c r="B131" s="2" t="s">
        <v>2044</v>
      </c>
      <c r="C131" s="2" t="s">
        <v>2045</v>
      </c>
      <c r="D131" s="2" t="s">
        <v>54</v>
      </c>
      <c r="E131" s="3">
        <v>45695.385023148148</v>
      </c>
      <c r="F131" s="3">
        <v>45695.398761574077</v>
      </c>
      <c r="G131" s="4">
        <v>45779</v>
      </c>
      <c r="H131" s="2" t="s">
        <v>21</v>
      </c>
      <c r="I131" s="2" t="s">
        <v>22</v>
      </c>
      <c r="J131" s="2">
        <v>1</v>
      </c>
      <c r="K131" s="2">
        <v>3524.01</v>
      </c>
      <c r="L131" s="2">
        <v>0</v>
      </c>
      <c r="M131" s="2">
        <v>2462.424567430538</v>
      </c>
      <c r="N131" s="2">
        <v>3356.2</v>
      </c>
      <c r="O131" s="2">
        <v>167.81</v>
      </c>
      <c r="P131" s="2">
        <v>3524.01</v>
      </c>
      <c r="Q131" s="2" t="s">
        <v>44</v>
      </c>
      <c r="R131" s="2"/>
      <c r="S131" t="str">
        <f>VLOOKUP(B131,CASOPOInvCL!$B$1:$D$1600,1,FALSE)</f>
        <v>SO16558</v>
      </c>
      <c r="T131">
        <f t="shared" ref="T131:T194" si="2">MONTH(E131)</f>
        <v>2</v>
      </c>
    </row>
    <row r="132" spans="1:20" x14ac:dyDescent="0.25">
      <c r="A132" s="2">
        <v>1</v>
      </c>
      <c r="B132" s="2" t="s">
        <v>1975</v>
      </c>
      <c r="C132" s="2" t="s">
        <v>1976</v>
      </c>
      <c r="D132" s="2" t="s">
        <v>509</v>
      </c>
      <c r="E132" s="3">
        <v>45695.397291666668</v>
      </c>
      <c r="F132" s="3">
        <v>45706.39603009259</v>
      </c>
      <c r="G132" s="4">
        <v>45709</v>
      </c>
      <c r="H132" s="2" t="s">
        <v>1132</v>
      </c>
      <c r="I132" s="2" t="s">
        <v>22</v>
      </c>
      <c r="J132" s="2">
        <v>1</v>
      </c>
      <c r="K132" s="2">
        <v>2120.44</v>
      </c>
      <c r="L132" s="2">
        <v>2120.44</v>
      </c>
      <c r="M132" s="2">
        <v>2120.44</v>
      </c>
      <c r="N132" s="2">
        <v>2019.47</v>
      </c>
      <c r="O132" s="2">
        <v>100.97</v>
      </c>
      <c r="P132" s="2">
        <v>2120.44</v>
      </c>
      <c r="Q132" s="2" t="s">
        <v>44</v>
      </c>
      <c r="R132" s="2"/>
      <c r="S132" t="str">
        <f>VLOOKUP(B132,CASOPOInvCL!$B$1:$D$1600,1,FALSE)</f>
        <v>SO16559</v>
      </c>
      <c r="T132">
        <f t="shared" si="2"/>
        <v>2</v>
      </c>
    </row>
    <row r="133" spans="1:20" x14ac:dyDescent="0.25">
      <c r="A133" s="2">
        <v>1</v>
      </c>
      <c r="B133" s="2" t="s">
        <v>2005</v>
      </c>
      <c r="C133" s="2" t="s">
        <v>2006</v>
      </c>
      <c r="D133" s="2" t="s">
        <v>290</v>
      </c>
      <c r="E133" s="3">
        <v>45695.450486111113</v>
      </c>
      <c r="F133" s="3">
        <v>45700.451423611114</v>
      </c>
      <c r="G133" s="4">
        <v>45716</v>
      </c>
      <c r="H133" s="2" t="s">
        <v>21</v>
      </c>
      <c r="I133" s="2" t="s">
        <v>22</v>
      </c>
      <c r="J133" s="2">
        <v>1</v>
      </c>
      <c r="K133" s="2">
        <v>986.77</v>
      </c>
      <c r="L133" s="2">
        <v>0</v>
      </c>
      <c r="M133" s="2">
        <v>690.60133388521115</v>
      </c>
      <c r="N133" s="2">
        <v>939.78</v>
      </c>
      <c r="O133" s="2">
        <v>46.99</v>
      </c>
      <c r="P133" s="2">
        <v>986.77</v>
      </c>
      <c r="Q133" s="2" t="s">
        <v>44</v>
      </c>
      <c r="R133" s="2"/>
      <c r="S133" t="str">
        <f>VLOOKUP(B133,CASOPOInvCL!$B$1:$D$1600,1,FALSE)</f>
        <v>SO16560</v>
      </c>
      <c r="T133">
        <f t="shared" si="2"/>
        <v>2</v>
      </c>
    </row>
    <row r="134" spans="1:20" x14ac:dyDescent="0.25">
      <c r="A134" s="2">
        <v>1</v>
      </c>
      <c r="B134" s="2" t="s">
        <v>1954</v>
      </c>
      <c r="C134" s="2" t="s">
        <v>1955</v>
      </c>
      <c r="D134" s="2" t="s">
        <v>64</v>
      </c>
      <c r="E134" s="3">
        <v>45695.546620370369</v>
      </c>
      <c r="F134" s="3">
        <v>45706.694479166668</v>
      </c>
      <c r="G134" s="4">
        <v>45707</v>
      </c>
      <c r="H134" s="2" t="s">
        <v>21</v>
      </c>
      <c r="I134" s="2" t="s">
        <v>22</v>
      </c>
      <c r="J134" s="2">
        <v>1</v>
      </c>
      <c r="K134" s="2">
        <v>607.11</v>
      </c>
      <c r="L134" s="2">
        <v>607.11</v>
      </c>
      <c r="M134" s="2">
        <v>607.11</v>
      </c>
      <c r="N134" s="2">
        <v>537.27</v>
      </c>
      <c r="O134" s="2">
        <v>69.84</v>
      </c>
      <c r="P134" s="2">
        <v>607.11</v>
      </c>
      <c r="Q134" s="2" t="s">
        <v>44</v>
      </c>
      <c r="R134" s="2"/>
      <c r="S134" t="str">
        <f>VLOOKUP(B134,CASOPOInvCL!$B$1:$D$1600,1,FALSE)</f>
        <v>SO16561</v>
      </c>
      <c r="T134">
        <f t="shared" si="2"/>
        <v>2</v>
      </c>
    </row>
    <row r="135" spans="1:20" x14ac:dyDescent="0.25">
      <c r="A135" s="2">
        <v>2</v>
      </c>
      <c r="B135" s="2" t="s">
        <v>2021</v>
      </c>
      <c r="C135" s="2" t="s">
        <v>2022</v>
      </c>
      <c r="D135" s="2" t="s">
        <v>98</v>
      </c>
      <c r="E135" s="3">
        <v>45698.403321759259</v>
      </c>
      <c r="F135" s="3">
        <v>45699.568912037037</v>
      </c>
      <c r="G135" s="4">
        <v>45776</v>
      </c>
      <c r="H135" s="2" t="s">
        <v>1132</v>
      </c>
      <c r="I135" s="2" t="s">
        <v>22</v>
      </c>
      <c r="J135" s="2">
        <v>1</v>
      </c>
      <c r="K135" s="2">
        <v>15007.69</v>
      </c>
      <c r="L135" s="2">
        <v>0</v>
      </c>
      <c r="M135" s="2">
        <v>10488.43140647928</v>
      </c>
      <c r="N135" s="2">
        <v>13281.16</v>
      </c>
      <c r="O135" s="2">
        <v>1726.53</v>
      </c>
      <c r="P135" s="2">
        <v>15007.69</v>
      </c>
      <c r="Q135" s="2" t="s">
        <v>44</v>
      </c>
      <c r="R135" s="2"/>
      <c r="S135" t="str">
        <f>VLOOKUP(B135,CASOPOInvCL!$B$1:$D$1600,1,FALSE)</f>
        <v>SO16564</v>
      </c>
      <c r="T135">
        <f t="shared" si="2"/>
        <v>2</v>
      </c>
    </row>
    <row r="136" spans="1:20" x14ac:dyDescent="0.25">
      <c r="A136" s="2">
        <v>1</v>
      </c>
      <c r="B136" s="2" t="s">
        <v>1889</v>
      </c>
      <c r="C136" s="2" t="s">
        <v>1890</v>
      </c>
      <c r="D136" s="2" t="s">
        <v>54</v>
      </c>
      <c r="E136" s="3">
        <v>45698.574097222219</v>
      </c>
      <c r="F136" s="3">
        <v>45714.532372685193</v>
      </c>
      <c r="G136" s="4">
        <v>45715</v>
      </c>
      <c r="H136" s="2" t="s">
        <v>21</v>
      </c>
      <c r="I136" s="2" t="s">
        <v>22</v>
      </c>
      <c r="J136" s="2">
        <v>1</v>
      </c>
      <c r="K136" s="2">
        <v>1269.5899999999999</v>
      </c>
      <c r="L136" s="2">
        <v>0</v>
      </c>
      <c r="M136" s="2">
        <v>884.80163848211089</v>
      </c>
      <c r="N136" s="2">
        <v>1209.1300000000001</v>
      </c>
      <c r="O136" s="2">
        <v>60.46</v>
      </c>
      <c r="P136" s="2">
        <v>1269.5899999999999</v>
      </c>
      <c r="Q136" s="2" t="s">
        <v>44</v>
      </c>
      <c r="R136" s="2"/>
      <c r="S136" t="str">
        <f>VLOOKUP(B136,CASOPOInvCL!$B$1:$D$1600,1,FALSE)</f>
        <v>SO16568</v>
      </c>
      <c r="T136">
        <f t="shared" si="2"/>
        <v>2</v>
      </c>
    </row>
    <row r="137" spans="1:20" ht="30" x14ac:dyDescent="0.25">
      <c r="A137" s="2">
        <v>1</v>
      </c>
      <c r="B137" s="2" t="s">
        <v>2034</v>
      </c>
      <c r="C137" s="2" t="s">
        <v>2035</v>
      </c>
      <c r="D137" s="2" t="s">
        <v>159</v>
      </c>
      <c r="E137" s="3">
        <v>45698.605717592603</v>
      </c>
      <c r="F137" s="3">
        <v>45698.605752314812</v>
      </c>
      <c r="G137" s="4">
        <v>45707</v>
      </c>
      <c r="H137" s="2" t="s">
        <v>426</v>
      </c>
      <c r="I137" s="2" t="s">
        <v>51</v>
      </c>
      <c r="J137" s="2">
        <v>0.69968074493980925</v>
      </c>
      <c r="K137" s="2">
        <v>14139.591623106729</v>
      </c>
      <c r="L137" s="2">
        <v>0</v>
      </c>
      <c r="M137" s="2">
        <v>9893.2000000000007</v>
      </c>
      <c r="N137" s="2">
        <v>9893.2000000000007</v>
      </c>
      <c r="O137" s="2"/>
      <c r="P137" s="2">
        <v>9893.2000000000007</v>
      </c>
      <c r="Q137" s="2" t="s">
        <v>44</v>
      </c>
      <c r="R137" s="2"/>
      <c r="S137" t="str">
        <f>VLOOKUP(B137,CASOPOInvCL!$B$1:$D$1600,1,FALSE)</f>
        <v>SO16569</v>
      </c>
      <c r="T137">
        <f t="shared" si="2"/>
        <v>2</v>
      </c>
    </row>
    <row r="138" spans="1:20" x14ac:dyDescent="0.25">
      <c r="A138" s="2">
        <v>2</v>
      </c>
      <c r="B138" s="2" t="s">
        <v>1969</v>
      </c>
      <c r="C138" s="2" t="s">
        <v>1970</v>
      </c>
      <c r="D138" s="2" t="s">
        <v>50</v>
      </c>
      <c r="E138" s="3">
        <v>45698.682083333333</v>
      </c>
      <c r="F138" s="3">
        <v>45706.428553240738</v>
      </c>
      <c r="G138" s="4">
        <v>45779</v>
      </c>
      <c r="H138" s="2" t="s">
        <v>1132</v>
      </c>
      <c r="I138" s="2" t="s">
        <v>51</v>
      </c>
      <c r="J138" s="2">
        <v>0.70491579277313177</v>
      </c>
      <c r="K138" s="2">
        <v>6885.1911813557999</v>
      </c>
      <c r="L138" s="2">
        <v>0</v>
      </c>
      <c r="M138" s="2">
        <v>4853.4799999999996</v>
      </c>
      <c r="N138" s="2">
        <v>4853.4799999999996</v>
      </c>
      <c r="O138" s="2"/>
      <c r="P138" s="2">
        <v>4853.4799999999996</v>
      </c>
      <c r="Q138" s="2" t="s">
        <v>44</v>
      </c>
      <c r="R138" s="2"/>
      <c r="S138" t="str">
        <f>VLOOKUP(B138,CASOPOInvCL!$B$1:$D$1600,1,FALSE)</f>
        <v>SO16570</v>
      </c>
      <c r="T138">
        <f t="shared" si="2"/>
        <v>2</v>
      </c>
    </row>
    <row r="139" spans="1:20" x14ac:dyDescent="0.25">
      <c r="A139" s="2">
        <v>1</v>
      </c>
      <c r="B139" s="2" t="s">
        <v>2029</v>
      </c>
      <c r="C139" s="2" t="s">
        <v>2030</v>
      </c>
      <c r="D139" s="2" t="s">
        <v>2031</v>
      </c>
      <c r="E139" s="3">
        <v>45698.693738425929</v>
      </c>
      <c r="F139" s="3">
        <v>45698.693773148138</v>
      </c>
      <c r="G139" s="4">
        <v>45700</v>
      </c>
      <c r="H139" s="2" t="s">
        <v>71</v>
      </c>
      <c r="I139" s="2" t="s">
        <v>51</v>
      </c>
      <c r="J139" s="2">
        <v>0.69968074493980925</v>
      </c>
      <c r="K139" s="2">
        <v>10063.16102153949</v>
      </c>
      <c r="L139" s="2">
        <v>0</v>
      </c>
      <c r="M139" s="2">
        <v>7041</v>
      </c>
      <c r="N139" s="2">
        <v>7041</v>
      </c>
      <c r="O139" s="2"/>
      <c r="P139" s="2">
        <v>7041</v>
      </c>
      <c r="Q139" s="2" t="s">
        <v>44</v>
      </c>
      <c r="R139" s="2"/>
      <c r="S139" t="str">
        <f>VLOOKUP(B139,CASOPOInvCL!$B$1:$D$1600,1,FALSE)</f>
        <v>SO16571</v>
      </c>
      <c r="T139">
        <f t="shared" si="2"/>
        <v>2</v>
      </c>
    </row>
    <row r="140" spans="1:20" x14ac:dyDescent="0.25">
      <c r="A140" s="2">
        <v>1</v>
      </c>
      <c r="B140" s="2" t="s">
        <v>2025</v>
      </c>
      <c r="C140" s="2" t="s">
        <v>2026</v>
      </c>
      <c r="D140" s="2" t="s">
        <v>146</v>
      </c>
      <c r="E140" s="3">
        <v>45698.696782407409</v>
      </c>
      <c r="F140" s="3">
        <v>45699.40415509259</v>
      </c>
      <c r="G140" s="4">
        <v>45700</v>
      </c>
      <c r="H140" s="2" t="s">
        <v>1132</v>
      </c>
      <c r="I140" s="2" t="s">
        <v>22</v>
      </c>
      <c r="J140" s="2">
        <v>1</v>
      </c>
      <c r="K140" s="2">
        <v>4198.72</v>
      </c>
      <c r="L140" s="2">
        <v>0</v>
      </c>
      <c r="M140" s="2">
        <v>2934.3614317068568</v>
      </c>
      <c r="N140" s="2">
        <v>3998.78</v>
      </c>
      <c r="O140" s="2">
        <v>199.94</v>
      </c>
      <c r="P140" s="2">
        <v>4198.72</v>
      </c>
      <c r="Q140" s="2" t="s">
        <v>44</v>
      </c>
      <c r="R140" s="2"/>
      <c r="S140" t="str">
        <f>VLOOKUP(B140,CASOPOInvCL!$B$1:$D$1600,1,FALSE)</f>
        <v>SO16572</v>
      </c>
      <c r="T140">
        <f t="shared" si="2"/>
        <v>2</v>
      </c>
    </row>
    <row r="141" spans="1:20" x14ac:dyDescent="0.25">
      <c r="A141" s="2">
        <v>1</v>
      </c>
      <c r="B141" s="2" t="s">
        <v>2027</v>
      </c>
      <c r="C141" s="2" t="s">
        <v>2028</v>
      </c>
      <c r="D141" s="2" t="s">
        <v>129</v>
      </c>
      <c r="E141" s="3">
        <v>45698.781655092593</v>
      </c>
      <c r="F141" s="3">
        <v>45698.781111111108</v>
      </c>
      <c r="G141" s="4">
        <v>45758</v>
      </c>
      <c r="H141" s="2" t="s">
        <v>130</v>
      </c>
      <c r="I141" s="2" t="s">
        <v>51</v>
      </c>
      <c r="J141" s="2">
        <v>0.69968074493980925</v>
      </c>
      <c r="K141" s="2">
        <v>18579.902468401269</v>
      </c>
      <c r="L141" s="2">
        <v>0</v>
      </c>
      <c r="M141" s="2">
        <v>13000</v>
      </c>
      <c r="N141" s="2">
        <v>13000</v>
      </c>
      <c r="O141" s="2"/>
      <c r="P141" s="2">
        <v>13000</v>
      </c>
      <c r="Q141" s="2" t="s">
        <v>44</v>
      </c>
      <c r="R141" s="2"/>
      <c r="S141" t="str">
        <f>VLOOKUP(B141,CASOPOInvCL!$B$1:$D$1600,1,FALSE)</f>
        <v>SO16574</v>
      </c>
      <c r="T141">
        <f t="shared" si="2"/>
        <v>2</v>
      </c>
    </row>
    <row r="142" spans="1:20" ht="30" x14ac:dyDescent="0.25">
      <c r="A142" s="2">
        <v>1</v>
      </c>
      <c r="B142" s="2" t="s">
        <v>2023</v>
      </c>
      <c r="C142" s="2" t="s">
        <v>2024</v>
      </c>
      <c r="D142" s="2" t="s">
        <v>159</v>
      </c>
      <c r="E142" s="3">
        <v>45699.406678240739</v>
      </c>
      <c r="F142" s="3">
        <v>45699.406724537039</v>
      </c>
      <c r="G142" s="4">
        <v>45707</v>
      </c>
      <c r="H142" s="2" t="s">
        <v>426</v>
      </c>
      <c r="I142" s="2" t="s">
        <v>51</v>
      </c>
      <c r="J142" s="2">
        <v>0.69834485616458641</v>
      </c>
      <c r="K142" s="2">
        <v>18719.218570314879</v>
      </c>
      <c r="L142" s="2">
        <v>0</v>
      </c>
      <c r="M142" s="2">
        <v>13072.47</v>
      </c>
      <c r="N142" s="2">
        <v>13072.47</v>
      </c>
      <c r="O142" s="2"/>
      <c r="P142" s="2">
        <v>13072.47</v>
      </c>
      <c r="Q142" s="2" t="s">
        <v>44</v>
      </c>
      <c r="R142" s="2"/>
      <c r="S142" t="str">
        <f>VLOOKUP(B142,CASOPOInvCL!$B$1:$D$1600,1,FALSE)</f>
        <v>SO16577</v>
      </c>
      <c r="T142">
        <f t="shared" si="2"/>
        <v>2</v>
      </c>
    </row>
    <row r="143" spans="1:20" x14ac:dyDescent="0.25">
      <c r="A143" s="2">
        <v>1</v>
      </c>
      <c r="B143" s="2" t="s">
        <v>1932</v>
      </c>
      <c r="C143" s="2" t="s">
        <v>1933</v>
      </c>
      <c r="D143" s="2" t="s">
        <v>64</v>
      </c>
      <c r="E143" s="3">
        <v>45699.410474537042</v>
      </c>
      <c r="F143" s="3">
        <v>45708.493750000001</v>
      </c>
      <c r="G143" s="4">
        <v>45713</v>
      </c>
      <c r="H143" s="2" t="s">
        <v>1132</v>
      </c>
      <c r="I143" s="2" t="s">
        <v>22</v>
      </c>
      <c r="J143" s="2">
        <v>1</v>
      </c>
      <c r="K143" s="2">
        <v>880.04</v>
      </c>
      <c r="L143" s="2">
        <v>0</v>
      </c>
      <c r="M143" s="2">
        <v>619.97308948624664</v>
      </c>
      <c r="N143" s="2">
        <v>778.8</v>
      </c>
      <c r="O143" s="2">
        <v>101.24</v>
      </c>
      <c r="P143" s="2">
        <v>880.04</v>
      </c>
      <c r="Q143" s="2" t="s">
        <v>44</v>
      </c>
      <c r="R143" s="2"/>
      <c r="S143" t="str">
        <f>VLOOKUP(B143,CASOPOInvCL!$B$1:$D$1600,1,FALSE)</f>
        <v>SO16578</v>
      </c>
      <c r="T143">
        <f t="shared" si="2"/>
        <v>2</v>
      </c>
    </row>
    <row r="144" spans="1:20" x14ac:dyDescent="0.25">
      <c r="A144" s="2">
        <v>1</v>
      </c>
      <c r="B144" s="2" t="s">
        <v>2013</v>
      </c>
      <c r="C144" s="2" t="s">
        <v>2014</v>
      </c>
      <c r="D144" s="2" t="s">
        <v>20</v>
      </c>
      <c r="E144" s="3">
        <v>45699.425185185188</v>
      </c>
      <c r="F144" s="3">
        <v>45699.715324074074</v>
      </c>
      <c r="G144" s="4">
        <v>45706</v>
      </c>
      <c r="H144" s="2" t="s">
        <v>21</v>
      </c>
      <c r="I144" s="2" t="s">
        <v>22</v>
      </c>
      <c r="J144" s="2">
        <v>1</v>
      </c>
      <c r="K144" s="2">
        <v>169.65</v>
      </c>
      <c r="L144" s="2">
        <v>0</v>
      </c>
      <c r="M144" s="2">
        <v>118.5633757166632</v>
      </c>
      <c r="N144" s="2">
        <v>161.57</v>
      </c>
      <c r="O144" s="2">
        <v>8.08</v>
      </c>
      <c r="P144" s="2">
        <v>169.65</v>
      </c>
      <c r="Q144" s="2" t="s">
        <v>44</v>
      </c>
      <c r="R144" s="2"/>
      <c r="S144" t="str">
        <f>VLOOKUP(B144,CASOPOInvCL!$B$1:$D$1600,1,FALSE)</f>
        <v>SO16579</v>
      </c>
      <c r="T144">
        <f t="shared" si="2"/>
        <v>2</v>
      </c>
    </row>
    <row r="145" spans="1:20" x14ac:dyDescent="0.25">
      <c r="A145" s="2">
        <v>1</v>
      </c>
      <c r="B145" s="2" t="s">
        <v>2009</v>
      </c>
      <c r="C145" s="2" t="s">
        <v>2010</v>
      </c>
      <c r="D145" s="2" t="s">
        <v>232</v>
      </c>
      <c r="E145" s="3">
        <v>45699.514305555553</v>
      </c>
      <c r="F145" s="3">
        <v>45700.407997685194</v>
      </c>
      <c r="G145" s="4">
        <v>45737</v>
      </c>
      <c r="H145" s="2" t="s">
        <v>180</v>
      </c>
      <c r="I145" s="2" t="s">
        <v>51</v>
      </c>
      <c r="J145" s="2">
        <v>0.69834485616458641</v>
      </c>
      <c r="K145" s="2">
        <v>225.24687997834619</v>
      </c>
      <c r="L145" s="2">
        <v>0</v>
      </c>
      <c r="M145" s="2">
        <v>157.30000000000001</v>
      </c>
      <c r="N145" s="2">
        <v>157.30000000000001</v>
      </c>
      <c r="O145" s="2"/>
      <c r="P145" s="2">
        <v>157.30000000000001</v>
      </c>
      <c r="Q145" s="2" t="s">
        <v>44</v>
      </c>
      <c r="R145" s="2"/>
      <c r="S145" t="str">
        <f>VLOOKUP(B145,CASOPOInvCL!$B$1:$D$1600,1,FALSE)</f>
        <v>SO16580</v>
      </c>
      <c r="T145">
        <f t="shared" si="2"/>
        <v>2</v>
      </c>
    </row>
    <row r="146" spans="1:20" x14ac:dyDescent="0.25">
      <c r="A146" s="2">
        <v>2</v>
      </c>
      <c r="B146" s="2" t="s">
        <v>1542</v>
      </c>
      <c r="C146" s="2" t="s">
        <v>1543</v>
      </c>
      <c r="D146" s="2" t="s">
        <v>901</v>
      </c>
      <c r="E146" s="3">
        <v>45699.517696759263</v>
      </c>
      <c r="F146" s="3">
        <v>45771.647824074083</v>
      </c>
      <c r="G146" s="4">
        <v>45838</v>
      </c>
      <c r="H146" s="2" t="s">
        <v>180</v>
      </c>
      <c r="I146" s="2" t="s">
        <v>51</v>
      </c>
      <c r="J146" s="2">
        <v>0.71976247782558811</v>
      </c>
      <c r="K146" s="2">
        <v>44264.602534226957</v>
      </c>
      <c r="L146" s="2">
        <v>0</v>
      </c>
      <c r="M146" s="2">
        <v>31860</v>
      </c>
      <c r="N146" s="2">
        <v>31860</v>
      </c>
      <c r="O146" s="2"/>
      <c r="P146" s="2">
        <v>31860</v>
      </c>
      <c r="Q146" s="2" t="s">
        <v>44</v>
      </c>
      <c r="R146" s="2"/>
      <c r="S146" t="str">
        <f>VLOOKUP(B146,CASOPOInvCL!$B$1:$D$1600,1,FALSE)</f>
        <v>SO16581</v>
      </c>
      <c r="T146">
        <f t="shared" si="2"/>
        <v>2</v>
      </c>
    </row>
    <row r="147" spans="1:20" x14ac:dyDescent="0.25">
      <c r="A147" s="2">
        <v>1</v>
      </c>
      <c r="B147" s="2" t="s">
        <v>2015</v>
      </c>
      <c r="C147" s="2" t="s">
        <v>2016</v>
      </c>
      <c r="D147" s="2" t="s">
        <v>54</v>
      </c>
      <c r="E147" s="3">
        <v>45699.693356481483</v>
      </c>
      <c r="F147" s="3">
        <v>45699.696238425917</v>
      </c>
      <c r="G147" s="4">
        <v>45700</v>
      </c>
      <c r="H147" s="2" t="s">
        <v>1132</v>
      </c>
      <c r="I147" s="2" t="s">
        <v>22</v>
      </c>
      <c r="J147" s="2">
        <v>1</v>
      </c>
      <c r="K147" s="2">
        <v>3705.77</v>
      </c>
      <c r="L147" s="2">
        <v>0</v>
      </c>
      <c r="M147" s="2">
        <v>2589.853232122246</v>
      </c>
      <c r="N147" s="2">
        <v>3529.3</v>
      </c>
      <c r="O147" s="2">
        <v>176.47</v>
      </c>
      <c r="P147" s="2">
        <v>3705.77</v>
      </c>
      <c r="Q147" s="2" t="s">
        <v>44</v>
      </c>
      <c r="R147" s="2"/>
      <c r="S147" t="str">
        <f>VLOOKUP(B147,CASOPOInvCL!$B$1:$D$1600,1,FALSE)</f>
        <v>SO16583</v>
      </c>
      <c r="T147">
        <f t="shared" si="2"/>
        <v>2</v>
      </c>
    </row>
    <row r="148" spans="1:20" x14ac:dyDescent="0.25">
      <c r="A148" s="2">
        <v>1</v>
      </c>
      <c r="B148" s="2" t="s">
        <v>2011</v>
      </c>
      <c r="C148" s="2" t="s">
        <v>2012</v>
      </c>
      <c r="D148" s="2" t="s">
        <v>70</v>
      </c>
      <c r="E148" s="3">
        <v>45699.723854166667</v>
      </c>
      <c r="F148" s="3">
        <v>45699.723263888889</v>
      </c>
      <c r="G148" s="4">
        <v>45712</v>
      </c>
      <c r="H148" s="2" t="s">
        <v>71</v>
      </c>
      <c r="I148" s="2" t="s">
        <v>51</v>
      </c>
      <c r="J148" s="2">
        <v>0.69834485616458641</v>
      </c>
      <c r="K148" s="2">
        <v>4537.8726169827014</v>
      </c>
      <c r="L148" s="2">
        <v>0</v>
      </c>
      <c r="M148" s="2">
        <v>3169</v>
      </c>
      <c r="N148" s="2">
        <v>3169</v>
      </c>
      <c r="O148" s="2"/>
      <c r="P148" s="2">
        <v>3169</v>
      </c>
      <c r="Q148" s="2" t="s">
        <v>44</v>
      </c>
      <c r="R148" s="2"/>
      <c r="S148" t="str">
        <f>VLOOKUP(B148,CASOPOInvCL!$B$1:$D$1600,1,FALSE)</f>
        <v>SO16584</v>
      </c>
      <c r="T148">
        <f t="shared" si="2"/>
        <v>2</v>
      </c>
    </row>
    <row r="149" spans="1:20" x14ac:dyDescent="0.25">
      <c r="A149" s="2">
        <v>2</v>
      </c>
      <c r="B149" s="2" t="s">
        <v>1825</v>
      </c>
      <c r="C149" s="2" t="s">
        <v>1826</v>
      </c>
      <c r="D149" s="2" t="s">
        <v>86</v>
      </c>
      <c r="E149" s="3">
        <v>45700.404618055552</v>
      </c>
      <c r="F149" s="3">
        <v>45723.504282407397</v>
      </c>
      <c r="G149" s="4">
        <v>45758</v>
      </c>
      <c r="H149" s="2" t="s">
        <v>21</v>
      </c>
      <c r="I149" s="2" t="s">
        <v>22</v>
      </c>
      <c r="J149" s="2">
        <v>1</v>
      </c>
      <c r="K149" s="2">
        <v>129.11000000000001</v>
      </c>
      <c r="L149" s="2">
        <v>0</v>
      </c>
      <c r="M149" s="2">
        <v>89.727723880657493</v>
      </c>
      <c r="N149" s="2">
        <v>122.96</v>
      </c>
      <c r="O149" s="2">
        <v>6.15</v>
      </c>
      <c r="P149" s="2">
        <v>129.11000000000001</v>
      </c>
      <c r="Q149" s="2" t="s">
        <v>44</v>
      </c>
      <c r="R149" s="2"/>
      <c r="S149" t="str">
        <f>VLOOKUP(B149,CASOPOInvCL!$B$1:$D$1600,1,FALSE)</f>
        <v>SO16586</v>
      </c>
      <c r="T149">
        <f t="shared" si="2"/>
        <v>2</v>
      </c>
    </row>
    <row r="150" spans="1:20" x14ac:dyDescent="0.25">
      <c r="A150" s="2">
        <v>1</v>
      </c>
      <c r="B150" s="2" t="s">
        <v>1995</v>
      </c>
      <c r="C150" s="2" t="s">
        <v>1996</v>
      </c>
      <c r="D150" s="2" t="s">
        <v>20</v>
      </c>
      <c r="E150" s="3">
        <v>45700.499872685177</v>
      </c>
      <c r="F150" s="3">
        <v>45701.714988425927</v>
      </c>
      <c r="G150" s="4">
        <v>45791</v>
      </c>
      <c r="H150" s="2" t="s">
        <v>180</v>
      </c>
      <c r="I150" s="2" t="s">
        <v>22</v>
      </c>
      <c r="J150" s="2">
        <v>1</v>
      </c>
      <c r="K150" s="2">
        <v>2550.67</v>
      </c>
      <c r="L150" s="2">
        <v>0</v>
      </c>
      <c r="M150" s="2">
        <v>1792.4224851869831</v>
      </c>
      <c r="N150" s="2">
        <v>2429.21</v>
      </c>
      <c r="O150" s="2">
        <v>121.46</v>
      </c>
      <c r="P150" s="2">
        <v>2550.67</v>
      </c>
      <c r="Q150" s="2" t="s">
        <v>44</v>
      </c>
      <c r="R150" s="2"/>
      <c r="S150" t="str">
        <f>VLOOKUP(B150,CASOPOInvCL!$B$1:$D$1600,1,FALSE)</f>
        <v>SO16588</v>
      </c>
      <c r="T150">
        <f t="shared" si="2"/>
        <v>2</v>
      </c>
    </row>
    <row r="151" spans="1:20" x14ac:dyDescent="0.25">
      <c r="A151" s="2">
        <v>1</v>
      </c>
      <c r="B151" s="2" t="s">
        <v>1965</v>
      </c>
      <c r="C151" s="2" t="s">
        <v>1966</v>
      </c>
      <c r="D151" s="2" t="s">
        <v>644</v>
      </c>
      <c r="E151" s="3">
        <v>45700.594074074077</v>
      </c>
      <c r="F151" s="3">
        <v>45706.438402777778</v>
      </c>
      <c r="G151" s="4">
        <v>45707</v>
      </c>
      <c r="H151" s="2" t="s">
        <v>1132</v>
      </c>
      <c r="I151" s="2" t="s">
        <v>51</v>
      </c>
      <c r="J151" s="2">
        <v>0.70491579277313177</v>
      </c>
      <c r="K151" s="2">
        <v>7479.5600468223229</v>
      </c>
      <c r="L151" s="2">
        <v>0</v>
      </c>
      <c r="M151" s="2">
        <v>5272.46</v>
      </c>
      <c r="N151" s="2">
        <v>5272.46</v>
      </c>
      <c r="O151" s="2"/>
      <c r="P151" s="2">
        <v>5272.46</v>
      </c>
      <c r="Q151" s="2" t="s">
        <v>44</v>
      </c>
      <c r="R151" s="2"/>
      <c r="S151" t="str">
        <f>VLOOKUP(B151,CASOPOInvCL!$B$1:$D$1600,1,FALSE)</f>
        <v>SO16589</v>
      </c>
      <c r="T151">
        <f t="shared" si="2"/>
        <v>2</v>
      </c>
    </row>
    <row r="152" spans="1:20" x14ac:dyDescent="0.25">
      <c r="A152" s="2">
        <v>1</v>
      </c>
      <c r="B152" s="2" t="s">
        <v>1901</v>
      </c>
      <c r="C152" s="2" t="s">
        <v>1902</v>
      </c>
      <c r="D152" s="2" t="s">
        <v>232</v>
      </c>
      <c r="E152" s="3">
        <v>45700.788622685177</v>
      </c>
      <c r="F152" s="3">
        <v>45713.683472222219</v>
      </c>
      <c r="G152" s="4">
        <v>45838</v>
      </c>
      <c r="H152" s="2" t="s">
        <v>180</v>
      </c>
      <c r="I152" s="2" t="s">
        <v>51</v>
      </c>
      <c r="J152" s="2">
        <v>0.70298555845892441</v>
      </c>
      <c r="K152" s="2">
        <v>60987.568640793208</v>
      </c>
      <c r="L152" s="2">
        <v>0</v>
      </c>
      <c r="M152" s="2">
        <v>42873.38</v>
      </c>
      <c r="N152" s="2">
        <v>42873.38</v>
      </c>
      <c r="O152" s="2"/>
      <c r="P152" s="2">
        <v>42873.38</v>
      </c>
      <c r="Q152" s="2" t="s">
        <v>44</v>
      </c>
      <c r="R152" s="2"/>
      <c r="S152" t="str">
        <f>VLOOKUP(B152,CASOPOInvCL!$B$1:$D$1600,1,FALSE)</f>
        <v>SO16592</v>
      </c>
      <c r="T152">
        <f t="shared" si="2"/>
        <v>2</v>
      </c>
    </row>
    <row r="153" spans="1:20" ht="30" x14ac:dyDescent="0.25">
      <c r="A153" s="2">
        <v>1</v>
      </c>
      <c r="B153" s="2" t="s">
        <v>1997</v>
      </c>
      <c r="C153" s="2" t="s">
        <v>1998</v>
      </c>
      <c r="D153" s="2" t="s">
        <v>159</v>
      </c>
      <c r="E153" s="3">
        <v>45701.432824074072</v>
      </c>
      <c r="F153" s="3">
        <v>45701.64334490741</v>
      </c>
      <c r="G153" s="4">
        <v>45926</v>
      </c>
      <c r="H153" s="2" t="s">
        <v>426</v>
      </c>
      <c r="I153" s="2" t="s">
        <v>51</v>
      </c>
      <c r="J153" s="2">
        <v>0.69887047283621118</v>
      </c>
      <c r="K153" s="2">
        <v>2544.1767381932409</v>
      </c>
      <c r="L153" s="2">
        <v>0</v>
      </c>
      <c r="M153" s="2">
        <v>1778.05</v>
      </c>
      <c r="N153" s="2">
        <v>1778.05</v>
      </c>
      <c r="O153" s="2"/>
      <c r="P153" s="2">
        <v>1778.05</v>
      </c>
      <c r="Q153" s="2" t="s">
        <v>44</v>
      </c>
      <c r="R153" s="2"/>
      <c r="S153" t="str">
        <f>VLOOKUP(B153,CASOPOInvCL!$B$1:$D$1600,1,FALSE)</f>
        <v>SO16593</v>
      </c>
      <c r="T153">
        <f t="shared" si="2"/>
        <v>2</v>
      </c>
    </row>
    <row r="154" spans="1:20" x14ac:dyDescent="0.25">
      <c r="A154" s="2">
        <v>1</v>
      </c>
      <c r="B154" s="2" t="s">
        <v>1993</v>
      </c>
      <c r="C154" s="2" t="s">
        <v>1994</v>
      </c>
      <c r="D154" s="2" t="s">
        <v>54</v>
      </c>
      <c r="E154" s="3">
        <v>45701.545277777783</v>
      </c>
      <c r="F154" s="3">
        <v>45702.38821759259</v>
      </c>
      <c r="G154" s="4">
        <v>45705</v>
      </c>
      <c r="H154" s="2" t="s">
        <v>21</v>
      </c>
      <c r="I154" s="2" t="s">
        <v>22</v>
      </c>
      <c r="J154" s="2">
        <v>1</v>
      </c>
      <c r="K154" s="2">
        <v>9113.6299999999992</v>
      </c>
      <c r="L154" s="2">
        <v>0</v>
      </c>
      <c r="M154" s="2">
        <v>6429.9150958947284</v>
      </c>
      <c r="N154" s="2">
        <v>8679.65</v>
      </c>
      <c r="O154" s="2">
        <v>433.98</v>
      </c>
      <c r="P154" s="2">
        <v>9113.6299999999992</v>
      </c>
      <c r="Q154" s="2" t="s">
        <v>44</v>
      </c>
      <c r="R154" s="2"/>
      <c r="S154" t="str">
        <f>VLOOKUP(B154,CASOPOInvCL!$B$1:$D$1600,1,FALSE)</f>
        <v>SO16595</v>
      </c>
      <c r="T154">
        <f t="shared" si="2"/>
        <v>2</v>
      </c>
    </row>
    <row r="155" spans="1:20" x14ac:dyDescent="0.25">
      <c r="A155" s="2">
        <v>1</v>
      </c>
      <c r="B155" s="2" t="s">
        <v>1999</v>
      </c>
      <c r="C155" s="2" t="s">
        <v>2000</v>
      </c>
      <c r="D155" s="2" t="s">
        <v>54</v>
      </c>
      <c r="E155" s="3">
        <v>45701.572210648148</v>
      </c>
      <c r="F155" s="3">
        <v>45701.573391203703</v>
      </c>
      <c r="G155" s="4">
        <v>45702</v>
      </c>
      <c r="H155" s="2" t="s">
        <v>1132</v>
      </c>
      <c r="I155" s="2" t="s">
        <v>22</v>
      </c>
      <c r="J155" s="2">
        <v>1</v>
      </c>
      <c r="K155" s="2">
        <v>3155.25</v>
      </c>
      <c r="L155" s="2">
        <v>0</v>
      </c>
      <c r="M155" s="2">
        <v>2217.2766553047741</v>
      </c>
      <c r="N155" s="2">
        <v>3005</v>
      </c>
      <c r="O155" s="2">
        <v>150.25</v>
      </c>
      <c r="P155" s="2">
        <v>3155.25</v>
      </c>
      <c r="Q155" s="2" t="s">
        <v>44</v>
      </c>
      <c r="R155" s="2"/>
      <c r="S155" t="str">
        <f>VLOOKUP(B155,CASOPOInvCL!$B$1:$D$1600,1,FALSE)</f>
        <v>SO16596</v>
      </c>
      <c r="T155">
        <f t="shared" si="2"/>
        <v>2</v>
      </c>
    </row>
    <row r="156" spans="1:20" x14ac:dyDescent="0.25">
      <c r="A156" s="2">
        <v>1</v>
      </c>
      <c r="B156" s="2" t="s">
        <v>1979</v>
      </c>
      <c r="C156" s="2" t="s">
        <v>1980</v>
      </c>
      <c r="D156" s="2" t="s">
        <v>35</v>
      </c>
      <c r="E156" s="3">
        <v>45701.637048611112</v>
      </c>
      <c r="F156" s="3">
        <v>45705.51829861111</v>
      </c>
      <c r="G156" s="4">
        <v>45706</v>
      </c>
      <c r="H156" s="2" t="s">
        <v>1132</v>
      </c>
      <c r="I156" s="2" t="s">
        <v>22</v>
      </c>
      <c r="J156" s="2">
        <v>1</v>
      </c>
      <c r="K156" s="2">
        <v>2877.18</v>
      </c>
      <c r="L156" s="2">
        <v>0</v>
      </c>
      <c r="M156" s="2">
        <v>2028.1917125779221</v>
      </c>
      <c r="N156" s="2">
        <v>2740.17</v>
      </c>
      <c r="O156" s="2">
        <v>137.01</v>
      </c>
      <c r="P156" s="2">
        <v>2877.18</v>
      </c>
      <c r="Q156" s="2" t="s">
        <v>44</v>
      </c>
      <c r="R156" s="2"/>
      <c r="S156" t="str">
        <f>VLOOKUP(B156,CASOPOInvCL!$B$1:$D$1600,1,FALSE)</f>
        <v>SO16597</v>
      </c>
      <c r="T156">
        <f t="shared" si="2"/>
        <v>2</v>
      </c>
    </row>
    <row r="157" spans="1:20" x14ac:dyDescent="0.25">
      <c r="A157" s="2">
        <v>1</v>
      </c>
      <c r="B157" s="2" t="s">
        <v>1938</v>
      </c>
      <c r="C157" s="2" t="s">
        <v>1939</v>
      </c>
      <c r="D157" s="2" t="s">
        <v>1778</v>
      </c>
      <c r="E157" s="3">
        <v>45701.642453703702</v>
      </c>
      <c r="F157" s="3">
        <v>45707.70076388889</v>
      </c>
      <c r="G157" s="4">
        <v>45708</v>
      </c>
      <c r="H157" s="2" t="s">
        <v>1132</v>
      </c>
      <c r="I157" s="2" t="s">
        <v>51</v>
      </c>
      <c r="J157" s="2">
        <v>0.70492347109945219</v>
      </c>
      <c r="K157" s="2">
        <v>368.12506695977089</v>
      </c>
      <c r="L157" s="2">
        <v>0</v>
      </c>
      <c r="M157" s="2">
        <v>259.5</v>
      </c>
      <c r="N157" s="2">
        <v>259.5</v>
      </c>
      <c r="O157" s="2"/>
      <c r="P157" s="2">
        <v>259.5</v>
      </c>
      <c r="Q157" s="2" t="s">
        <v>44</v>
      </c>
      <c r="R157" s="2"/>
      <c r="S157" t="str">
        <f>VLOOKUP(B157,CASOPOInvCL!$B$1:$D$1600,1,FALSE)</f>
        <v>SO16598</v>
      </c>
      <c r="T157">
        <f t="shared" si="2"/>
        <v>2</v>
      </c>
    </row>
    <row r="158" spans="1:20" ht="30" x14ac:dyDescent="0.25">
      <c r="A158" s="2">
        <v>1</v>
      </c>
      <c r="B158" s="2" t="s">
        <v>1962</v>
      </c>
      <c r="C158" s="2" t="s">
        <v>1963</v>
      </c>
      <c r="D158" s="2" t="s">
        <v>1964</v>
      </c>
      <c r="E158" s="3">
        <v>45701.66883101852</v>
      </c>
      <c r="F158" s="3">
        <v>45706.580081018517</v>
      </c>
      <c r="G158" s="4">
        <v>45709</v>
      </c>
      <c r="H158" s="2" t="s">
        <v>180</v>
      </c>
      <c r="I158" s="2" t="s">
        <v>22</v>
      </c>
      <c r="J158" s="2">
        <v>1</v>
      </c>
      <c r="K158" s="2">
        <v>803.27</v>
      </c>
      <c r="L158" s="2">
        <v>803.27</v>
      </c>
      <c r="M158" s="2">
        <v>803.27</v>
      </c>
      <c r="N158" s="2">
        <v>765.02</v>
      </c>
      <c r="O158" s="2">
        <v>38.25</v>
      </c>
      <c r="P158" s="2">
        <v>803.27</v>
      </c>
      <c r="Q158" s="2" t="s">
        <v>44</v>
      </c>
      <c r="R158" s="2"/>
      <c r="S158" t="str">
        <f>VLOOKUP(B158,CASOPOInvCL!$B$1:$D$1600,1,FALSE)</f>
        <v>SO16599</v>
      </c>
      <c r="T158">
        <f t="shared" si="2"/>
        <v>2</v>
      </c>
    </row>
    <row r="159" spans="1:20" x14ac:dyDescent="0.25">
      <c r="A159" s="2">
        <v>1</v>
      </c>
      <c r="B159" s="2" t="s">
        <v>1989</v>
      </c>
      <c r="C159" s="2" t="s">
        <v>1990</v>
      </c>
      <c r="D159" s="2" t="s">
        <v>242</v>
      </c>
      <c r="E159" s="3">
        <v>45702.376018518517</v>
      </c>
      <c r="F159" s="3">
        <v>45702.421655092592</v>
      </c>
      <c r="G159" s="4">
        <v>45779</v>
      </c>
      <c r="H159" s="2" t="s">
        <v>1132</v>
      </c>
      <c r="I159" s="2" t="s">
        <v>22</v>
      </c>
      <c r="J159" s="2">
        <v>1</v>
      </c>
      <c r="K159" s="2">
        <v>10203.23</v>
      </c>
      <c r="L159" s="2">
        <v>0</v>
      </c>
      <c r="M159" s="2">
        <v>7198.6576812846224</v>
      </c>
      <c r="N159" s="2">
        <v>9717.36</v>
      </c>
      <c r="O159" s="2">
        <v>485.87</v>
      </c>
      <c r="P159" s="2">
        <v>10203.23</v>
      </c>
      <c r="Q159" s="2" t="s">
        <v>44</v>
      </c>
      <c r="R159" s="2"/>
      <c r="S159" t="str">
        <f>VLOOKUP(B159,CASOPOInvCL!$B$1:$D$1600,1,FALSE)</f>
        <v>SO16601</v>
      </c>
      <c r="T159">
        <f t="shared" si="2"/>
        <v>2</v>
      </c>
    </row>
    <row r="160" spans="1:20" x14ac:dyDescent="0.25">
      <c r="A160" s="2">
        <v>1</v>
      </c>
      <c r="B160" s="2" t="s">
        <v>1991</v>
      </c>
      <c r="C160" s="2" t="s">
        <v>1992</v>
      </c>
      <c r="D160" s="2" t="s">
        <v>39</v>
      </c>
      <c r="E160" s="3">
        <v>45702.413356481477</v>
      </c>
      <c r="F160" s="3">
        <v>45702.416331018518</v>
      </c>
      <c r="G160" s="4">
        <v>45705</v>
      </c>
      <c r="H160" s="2" t="s">
        <v>1132</v>
      </c>
      <c r="I160" s="2" t="s">
        <v>22</v>
      </c>
      <c r="J160" s="2">
        <v>1</v>
      </c>
      <c r="K160" s="2">
        <v>3553.6</v>
      </c>
      <c r="L160" s="2">
        <v>0</v>
      </c>
      <c r="M160" s="2">
        <v>2507.161941484514</v>
      </c>
      <c r="N160" s="2">
        <v>3384.38</v>
      </c>
      <c r="O160" s="2">
        <v>169.22</v>
      </c>
      <c r="P160" s="2">
        <v>3553.6</v>
      </c>
      <c r="Q160" s="2" t="s">
        <v>44</v>
      </c>
      <c r="R160" s="2"/>
      <c r="S160" t="str">
        <f>VLOOKUP(B160,CASOPOInvCL!$B$1:$D$1600,1,FALSE)</f>
        <v>SO16603</v>
      </c>
      <c r="T160">
        <f t="shared" si="2"/>
        <v>2</v>
      </c>
    </row>
    <row r="161" spans="1:20" x14ac:dyDescent="0.25">
      <c r="A161" s="2">
        <v>1</v>
      </c>
      <c r="B161" s="2" t="s">
        <v>1817</v>
      </c>
      <c r="C161" s="2" t="s">
        <v>1818</v>
      </c>
      <c r="D161" s="2" t="s">
        <v>581</v>
      </c>
      <c r="E161" s="3">
        <v>45702.48065972222</v>
      </c>
      <c r="F161" s="3">
        <v>45726.577453703707</v>
      </c>
      <c r="G161" s="4">
        <v>45831</v>
      </c>
      <c r="H161" s="2" t="s">
        <v>21</v>
      </c>
      <c r="I161" s="2" t="s">
        <v>51</v>
      </c>
      <c r="J161" s="2">
        <v>0.69588843853535265</v>
      </c>
      <c r="K161" s="2">
        <v>16094.79246928314</v>
      </c>
      <c r="L161" s="2">
        <v>0</v>
      </c>
      <c r="M161" s="2">
        <v>11200.18</v>
      </c>
      <c r="N161" s="2">
        <v>11200.18</v>
      </c>
      <c r="O161" s="2"/>
      <c r="P161" s="2">
        <v>11200.18</v>
      </c>
      <c r="Q161" s="2" t="s">
        <v>44</v>
      </c>
      <c r="R161" s="2"/>
      <c r="S161" t="str">
        <f>VLOOKUP(B161,CASOPOInvCL!$B$1:$D$1600,1,FALSE)</f>
        <v>SO16604</v>
      </c>
      <c r="T161">
        <f t="shared" si="2"/>
        <v>2</v>
      </c>
    </row>
    <row r="162" spans="1:20" x14ac:dyDescent="0.25">
      <c r="A162" s="2">
        <v>1</v>
      </c>
      <c r="B162" s="2" t="s">
        <v>1967</v>
      </c>
      <c r="C162" s="2" t="s">
        <v>1968</v>
      </c>
      <c r="D162" s="2" t="s">
        <v>465</v>
      </c>
      <c r="E162" s="3">
        <v>45702.572650462957</v>
      </c>
      <c r="F162" s="3">
        <v>45706.432916666658</v>
      </c>
      <c r="G162" s="4">
        <v>45709</v>
      </c>
      <c r="H162" s="2" t="s">
        <v>1132</v>
      </c>
      <c r="I162" s="2" t="s">
        <v>22</v>
      </c>
      <c r="J162" s="2">
        <v>1</v>
      </c>
      <c r="K162" s="2">
        <v>193.87</v>
      </c>
      <c r="L162" s="2">
        <v>193.87</v>
      </c>
      <c r="M162" s="2">
        <v>193.87</v>
      </c>
      <c r="N162" s="2">
        <v>171.56</v>
      </c>
      <c r="O162" s="2">
        <v>22.31</v>
      </c>
      <c r="P162" s="2">
        <v>193.87</v>
      </c>
      <c r="Q162" s="2" t="s">
        <v>44</v>
      </c>
      <c r="R162" s="2"/>
      <c r="S162" t="str">
        <f>VLOOKUP(B162,CASOPOInvCL!$B$1:$D$1600,1,FALSE)</f>
        <v>SO16605</v>
      </c>
      <c r="T162">
        <f t="shared" si="2"/>
        <v>2</v>
      </c>
    </row>
    <row r="163" spans="1:20" x14ac:dyDescent="0.25">
      <c r="A163" s="2">
        <v>1</v>
      </c>
      <c r="B163" s="2" t="s">
        <v>1942</v>
      </c>
      <c r="C163" s="2" t="s">
        <v>1943</v>
      </c>
      <c r="D163" s="2" t="s">
        <v>1261</v>
      </c>
      <c r="E163" s="3">
        <v>45704.450925925928</v>
      </c>
      <c r="F163" s="3">
        <v>45707.587754629632</v>
      </c>
      <c r="G163" s="4">
        <v>45708</v>
      </c>
      <c r="H163" s="2" t="s">
        <v>1132</v>
      </c>
      <c r="I163" s="2" t="s">
        <v>22</v>
      </c>
      <c r="J163" s="2">
        <v>1</v>
      </c>
      <c r="K163" s="2">
        <v>5614.58</v>
      </c>
      <c r="L163" s="2">
        <v>0</v>
      </c>
      <c r="M163" s="2">
        <v>3943.5503280605708</v>
      </c>
      <c r="N163" s="2">
        <v>5347.22</v>
      </c>
      <c r="O163" s="2">
        <v>267.36</v>
      </c>
      <c r="P163" s="2">
        <v>5614.58</v>
      </c>
      <c r="Q163" s="2" t="s">
        <v>44</v>
      </c>
      <c r="R163" s="2"/>
      <c r="S163" t="str">
        <f>VLOOKUP(B163,CASOPOInvCL!$B$1:$D$1600,1,FALSE)</f>
        <v>SO16607</v>
      </c>
      <c r="T163">
        <f t="shared" si="2"/>
        <v>2</v>
      </c>
    </row>
    <row r="164" spans="1:20" x14ac:dyDescent="0.25">
      <c r="A164" s="2">
        <v>1</v>
      </c>
      <c r="B164" s="2" t="s">
        <v>1985</v>
      </c>
      <c r="C164" s="2" t="s">
        <v>1986</v>
      </c>
      <c r="D164" s="2" t="s">
        <v>129</v>
      </c>
      <c r="E164" s="3">
        <v>45705.423680555563</v>
      </c>
      <c r="F164" s="3">
        <v>45705.423495370371</v>
      </c>
      <c r="G164" s="4">
        <v>45758</v>
      </c>
      <c r="H164" s="2" t="s">
        <v>130</v>
      </c>
      <c r="I164" s="2" t="s">
        <v>51</v>
      </c>
      <c r="J164" s="2">
        <v>0.70480367014915091</v>
      </c>
      <c r="K164" s="2">
        <v>13095.84553957664</v>
      </c>
      <c r="L164" s="2">
        <v>0</v>
      </c>
      <c r="M164" s="2">
        <v>9230</v>
      </c>
      <c r="N164" s="2">
        <v>9230</v>
      </c>
      <c r="O164" s="2"/>
      <c r="P164" s="2">
        <v>9230</v>
      </c>
      <c r="Q164" s="2" t="s">
        <v>44</v>
      </c>
      <c r="R164" s="2"/>
      <c r="S164" t="str">
        <f>VLOOKUP(B164,CASOPOInvCL!$B$1:$D$1600,1,FALSE)</f>
        <v>SO16609</v>
      </c>
      <c r="T164">
        <f t="shared" si="2"/>
        <v>2</v>
      </c>
    </row>
    <row r="165" spans="1:20" x14ac:dyDescent="0.25">
      <c r="A165" s="2">
        <v>1</v>
      </c>
      <c r="B165" s="2" t="s">
        <v>1983</v>
      </c>
      <c r="C165" s="2" t="s">
        <v>1984</v>
      </c>
      <c r="D165" s="2" t="s">
        <v>129</v>
      </c>
      <c r="E165" s="3">
        <v>45705.458969907413</v>
      </c>
      <c r="F165" s="3">
        <v>45705.458865740737</v>
      </c>
      <c r="G165" s="4">
        <v>45740</v>
      </c>
      <c r="H165" s="2" t="s">
        <v>130</v>
      </c>
      <c r="I165" s="2" t="s">
        <v>51</v>
      </c>
      <c r="J165" s="2">
        <v>0.70480367014915091</v>
      </c>
      <c r="K165" s="2">
        <v>8081.683227890413</v>
      </c>
      <c r="L165" s="2">
        <v>0</v>
      </c>
      <c r="M165" s="2">
        <v>5696</v>
      </c>
      <c r="N165" s="2">
        <v>5696</v>
      </c>
      <c r="O165" s="2"/>
      <c r="P165" s="2">
        <v>5696</v>
      </c>
      <c r="Q165" s="2" t="s">
        <v>44</v>
      </c>
      <c r="R165" s="2"/>
      <c r="S165" t="str">
        <f>VLOOKUP(B165,CASOPOInvCL!$B$1:$D$1600,1,FALSE)</f>
        <v>SO16610</v>
      </c>
      <c r="T165">
        <f t="shared" si="2"/>
        <v>2</v>
      </c>
    </row>
    <row r="166" spans="1:20" x14ac:dyDescent="0.25">
      <c r="A166" s="2">
        <v>1</v>
      </c>
      <c r="B166" s="2" t="s">
        <v>1981</v>
      </c>
      <c r="C166" s="2" t="s">
        <v>1982</v>
      </c>
      <c r="D166" s="2" t="s">
        <v>129</v>
      </c>
      <c r="E166" s="3">
        <v>45705.487280092602</v>
      </c>
      <c r="F166" s="3">
        <v>45705.487164351849</v>
      </c>
      <c r="G166" s="4">
        <v>45772</v>
      </c>
      <c r="H166" s="2" t="s">
        <v>130</v>
      </c>
      <c r="I166" s="2" t="s">
        <v>51</v>
      </c>
      <c r="J166" s="2">
        <v>0.70480367014915091</v>
      </c>
      <c r="K166" s="2">
        <v>5587.7972360254244</v>
      </c>
      <c r="L166" s="2">
        <v>0</v>
      </c>
      <c r="M166" s="2">
        <v>3938.3</v>
      </c>
      <c r="N166" s="2">
        <v>3938.3</v>
      </c>
      <c r="O166" s="2"/>
      <c r="P166" s="2">
        <v>3938.3</v>
      </c>
      <c r="Q166" s="2" t="s">
        <v>44</v>
      </c>
      <c r="R166" s="2"/>
      <c r="S166" t="str">
        <f>VLOOKUP(B166,CASOPOInvCL!$B$1:$D$1600,1,FALSE)</f>
        <v>SO16611</v>
      </c>
      <c r="T166">
        <f t="shared" si="2"/>
        <v>2</v>
      </c>
    </row>
    <row r="167" spans="1:20" x14ac:dyDescent="0.25">
      <c r="A167" s="2">
        <v>2</v>
      </c>
      <c r="B167" s="2" t="s">
        <v>1977</v>
      </c>
      <c r="C167" s="2" t="s">
        <v>1978</v>
      </c>
      <c r="D167" s="2" t="s">
        <v>171</v>
      </c>
      <c r="E167" s="3">
        <v>45705.522939814808</v>
      </c>
      <c r="F167" s="3">
        <v>45705.522939814808</v>
      </c>
      <c r="G167" s="4">
        <v>45761</v>
      </c>
      <c r="H167" s="2" t="s">
        <v>1132</v>
      </c>
      <c r="I167" s="2" t="s">
        <v>22</v>
      </c>
      <c r="J167" s="2">
        <v>1</v>
      </c>
      <c r="K167" s="2">
        <v>1247.44</v>
      </c>
      <c r="L167" s="2">
        <v>0</v>
      </c>
      <c r="M167" s="2">
        <v>879.34973478830068</v>
      </c>
      <c r="N167" s="2">
        <v>1188.04</v>
      </c>
      <c r="O167" s="2">
        <v>59.4</v>
      </c>
      <c r="P167" s="2">
        <v>1247.44</v>
      </c>
      <c r="Q167" s="2" t="s">
        <v>44</v>
      </c>
      <c r="R167" s="2"/>
      <c r="S167" t="str">
        <f>VLOOKUP(B167,CASOPOInvCL!$B$1:$D$1600,1,FALSE)</f>
        <v>SO16612</v>
      </c>
      <c r="T167">
        <f t="shared" si="2"/>
        <v>2</v>
      </c>
    </row>
    <row r="168" spans="1:20" x14ac:dyDescent="0.25">
      <c r="A168" s="2">
        <v>1</v>
      </c>
      <c r="B168" s="2" t="s">
        <v>1971</v>
      </c>
      <c r="C168" s="2" t="s">
        <v>1972</v>
      </c>
      <c r="D168" s="2" t="s">
        <v>129</v>
      </c>
      <c r="E168" s="3">
        <v>45705.578344907408</v>
      </c>
      <c r="F168" s="3">
        <v>45706.423784722218</v>
      </c>
      <c r="G168" s="4">
        <v>45777</v>
      </c>
      <c r="H168" s="2" t="s">
        <v>130</v>
      </c>
      <c r="I168" s="2" t="s">
        <v>51</v>
      </c>
      <c r="J168" s="2">
        <v>0.70491579277313177</v>
      </c>
      <c r="K168" s="2">
        <v>11791.479330177401</v>
      </c>
      <c r="L168" s="2">
        <v>0</v>
      </c>
      <c r="M168" s="2">
        <v>8312</v>
      </c>
      <c r="N168" s="2">
        <v>8312</v>
      </c>
      <c r="O168" s="2"/>
      <c r="P168" s="2">
        <v>8312</v>
      </c>
      <c r="Q168" s="2" t="s">
        <v>44</v>
      </c>
      <c r="R168" s="2"/>
      <c r="S168" t="str">
        <f>VLOOKUP(B168,CASOPOInvCL!$B$1:$D$1600,1,FALSE)</f>
        <v>SO16613</v>
      </c>
      <c r="T168">
        <f t="shared" si="2"/>
        <v>2</v>
      </c>
    </row>
    <row r="169" spans="1:20" x14ac:dyDescent="0.25">
      <c r="A169" s="2">
        <v>1</v>
      </c>
      <c r="B169" s="2" t="s">
        <v>1952</v>
      </c>
      <c r="C169" s="2" t="s">
        <v>1953</v>
      </c>
      <c r="D169" s="2" t="s">
        <v>242</v>
      </c>
      <c r="E169" s="3">
        <v>45706.405601851853</v>
      </c>
      <c r="F169" s="3">
        <v>45706.720949074072</v>
      </c>
      <c r="G169" s="4">
        <v>45707</v>
      </c>
      <c r="H169" s="2" t="s">
        <v>1132</v>
      </c>
      <c r="I169" s="2" t="s">
        <v>22</v>
      </c>
      <c r="J169" s="2">
        <v>1</v>
      </c>
      <c r="K169" s="2">
        <v>2758.72</v>
      </c>
      <c r="L169" s="2">
        <v>2758.72</v>
      </c>
      <c r="M169" s="2">
        <v>2758.72</v>
      </c>
      <c r="N169" s="2">
        <v>2627.35</v>
      </c>
      <c r="O169" s="2">
        <v>131.37</v>
      </c>
      <c r="P169" s="2">
        <v>2758.72</v>
      </c>
      <c r="Q169" s="2" t="s">
        <v>44</v>
      </c>
      <c r="R169" s="2"/>
      <c r="S169" t="str">
        <f>VLOOKUP(B169,CASOPOInvCL!$B$1:$D$1600,1,FALSE)</f>
        <v>SO16615</v>
      </c>
      <c r="T169">
        <f t="shared" si="2"/>
        <v>2</v>
      </c>
    </row>
    <row r="170" spans="1:20" x14ac:dyDescent="0.25">
      <c r="A170" s="2">
        <v>2</v>
      </c>
      <c r="B170" s="2" t="s">
        <v>1973</v>
      </c>
      <c r="C170" s="2" t="s">
        <v>1974</v>
      </c>
      <c r="D170" s="2" t="s">
        <v>192</v>
      </c>
      <c r="E170" s="3">
        <v>45706.418321759258</v>
      </c>
      <c r="F170" s="3">
        <v>45706.418379629627</v>
      </c>
      <c r="G170" s="4">
        <v>45818</v>
      </c>
      <c r="H170" s="2" t="s">
        <v>180</v>
      </c>
      <c r="I170" s="2" t="s">
        <v>51</v>
      </c>
      <c r="J170" s="2">
        <v>0.70491579277313177</v>
      </c>
      <c r="K170" s="2">
        <v>4742.5097214071429</v>
      </c>
      <c r="L170" s="2">
        <v>0</v>
      </c>
      <c r="M170" s="2">
        <v>3343.07</v>
      </c>
      <c r="N170" s="2">
        <v>3343.07</v>
      </c>
      <c r="O170" s="2"/>
      <c r="P170" s="2">
        <v>3343.07</v>
      </c>
      <c r="Q170" s="2" t="s">
        <v>44</v>
      </c>
      <c r="R170" s="2"/>
      <c r="S170" t="str">
        <f>VLOOKUP(B170,CASOPOInvCL!$B$1:$D$1600,1,FALSE)</f>
        <v>SO16617</v>
      </c>
      <c r="T170">
        <f t="shared" si="2"/>
        <v>2</v>
      </c>
    </row>
    <row r="171" spans="1:20" x14ac:dyDescent="0.25">
      <c r="A171" s="2">
        <v>1</v>
      </c>
      <c r="B171" s="2" t="s">
        <v>1861</v>
      </c>
      <c r="C171" s="2" t="s">
        <v>1862</v>
      </c>
      <c r="D171" s="2" t="s">
        <v>86</v>
      </c>
      <c r="E171" s="3">
        <v>45706.440439814818</v>
      </c>
      <c r="F171" s="3">
        <v>45719.413425925923</v>
      </c>
      <c r="G171" s="4">
        <v>45720</v>
      </c>
      <c r="H171" s="2" t="s">
        <v>21</v>
      </c>
      <c r="I171" s="2" t="s">
        <v>22</v>
      </c>
      <c r="J171" s="2">
        <v>1</v>
      </c>
      <c r="K171" s="2">
        <v>673.27</v>
      </c>
      <c r="L171" s="2">
        <v>0</v>
      </c>
      <c r="M171" s="2">
        <v>467.51510004687128</v>
      </c>
      <c r="N171" s="2">
        <v>641.21</v>
      </c>
      <c r="O171" s="2">
        <v>32.06</v>
      </c>
      <c r="P171" s="2">
        <v>673.27</v>
      </c>
      <c r="Q171" s="2" t="s">
        <v>44</v>
      </c>
      <c r="R171" s="2"/>
      <c r="S171" t="str">
        <f>VLOOKUP(B171,CASOPOInvCL!$B$1:$D$1600,1,FALSE)</f>
        <v>SO16618</v>
      </c>
      <c r="T171">
        <f t="shared" si="2"/>
        <v>2</v>
      </c>
    </row>
    <row r="172" spans="1:20" ht="30" x14ac:dyDescent="0.25">
      <c r="A172" s="2">
        <v>1</v>
      </c>
      <c r="B172" s="2" t="s">
        <v>1960</v>
      </c>
      <c r="C172" s="2" t="s">
        <v>1961</v>
      </c>
      <c r="D172" s="2" t="s">
        <v>159</v>
      </c>
      <c r="E172" s="3">
        <v>45706.583807870367</v>
      </c>
      <c r="F172" s="3">
        <v>45706.584374999999</v>
      </c>
      <c r="G172" s="4">
        <v>45929</v>
      </c>
      <c r="H172" s="2" t="s">
        <v>426</v>
      </c>
      <c r="I172" s="2" t="s">
        <v>51</v>
      </c>
      <c r="J172" s="2">
        <v>0.70491579277313177</v>
      </c>
      <c r="K172" s="2">
        <v>12448.67839529907</v>
      </c>
      <c r="L172" s="2">
        <v>0</v>
      </c>
      <c r="M172" s="2">
        <v>8775.27</v>
      </c>
      <c r="N172" s="2">
        <v>8775.27</v>
      </c>
      <c r="O172" s="2"/>
      <c r="P172" s="2">
        <v>8775.27</v>
      </c>
      <c r="Q172" s="2" t="s">
        <v>44</v>
      </c>
      <c r="R172" s="2"/>
      <c r="S172" t="str">
        <f>VLOOKUP(B172,CASOPOInvCL!$B$1:$D$1600,1,FALSE)</f>
        <v>SO16619</v>
      </c>
      <c r="T172">
        <f t="shared" si="2"/>
        <v>2</v>
      </c>
    </row>
    <row r="173" spans="1:20" x14ac:dyDescent="0.25">
      <c r="A173" s="2">
        <v>1</v>
      </c>
      <c r="B173" s="2" t="s">
        <v>1950</v>
      </c>
      <c r="C173" s="2" t="s">
        <v>1951</v>
      </c>
      <c r="D173" s="2" t="s">
        <v>429</v>
      </c>
      <c r="E173" s="3">
        <v>45706.6096875</v>
      </c>
      <c r="F173" s="3">
        <v>45706.727453703701</v>
      </c>
      <c r="G173" s="4">
        <v>45707</v>
      </c>
      <c r="H173" s="2" t="s">
        <v>1132</v>
      </c>
      <c r="I173" s="2" t="s">
        <v>22</v>
      </c>
      <c r="J173" s="2">
        <v>1</v>
      </c>
      <c r="K173" s="2">
        <v>1584.16</v>
      </c>
      <c r="L173" s="2">
        <v>1584.16</v>
      </c>
      <c r="M173" s="2">
        <v>1584.16</v>
      </c>
      <c r="N173" s="2">
        <v>1508.72</v>
      </c>
      <c r="O173" s="2">
        <v>75.44</v>
      </c>
      <c r="P173" s="2">
        <v>1584.16</v>
      </c>
      <c r="Q173" s="2" t="s">
        <v>44</v>
      </c>
      <c r="R173" s="2"/>
      <c r="S173" t="str">
        <f>VLOOKUP(B173,CASOPOInvCL!$B$1:$D$1600,1,FALSE)</f>
        <v>SO16623</v>
      </c>
      <c r="T173">
        <f t="shared" si="2"/>
        <v>2</v>
      </c>
    </row>
    <row r="174" spans="1:20" x14ac:dyDescent="0.25">
      <c r="A174" s="2">
        <v>1</v>
      </c>
      <c r="B174" s="2" t="s">
        <v>1928</v>
      </c>
      <c r="C174" s="2" t="s">
        <v>1929</v>
      </c>
      <c r="D174" s="2" t="s">
        <v>242</v>
      </c>
      <c r="E174" s="3">
        <v>45706.774375000001</v>
      </c>
      <c r="F174" s="3">
        <v>45709.620023148149</v>
      </c>
      <c r="G174" s="4">
        <v>45713</v>
      </c>
      <c r="H174" s="2" t="s">
        <v>21</v>
      </c>
      <c r="I174" s="2" t="s">
        <v>22</v>
      </c>
      <c r="J174" s="2">
        <v>1</v>
      </c>
      <c r="K174" s="2">
        <v>105</v>
      </c>
      <c r="L174" s="2">
        <v>0</v>
      </c>
      <c r="M174" s="2">
        <v>73.951217101838466</v>
      </c>
      <c r="N174" s="2">
        <v>100</v>
      </c>
      <c r="O174" s="2">
        <v>5</v>
      </c>
      <c r="P174" s="2">
        <v>105</v>
      </c>
      <c r="Q174" s="2" t="s">
        <v>44</v>
      </c>
      <c r="R174" s="2"/>
      <c r="S174" t="str">
        <f>VLOOKUP(B174,CASOPOInvCL!$B$1:$D$1600,1,FALSE)</f>
        <v>SO16626</v>
      </c>
      <c r="T174">
        <f t="shared" si="2"/>
        <v>2</v>
      </c>
    </row>
    <row r="175" spans="1:20" x14ac:dyDescent="0.25">
      <c r="A175" s="2">
        <v>2</v>
      </c>
      <c r="B175" s="2" t="s">
        <v>1944</v>
      </c>
      <c r="C175" s="2" t="s">
        <v>1945</v>
      </c>
      <c r="D175" s="2" t="s">
        <v>556</v>
      </c>
      <c r="E175" s="3">
        <v>45706.824652777781</v>
      </c>
      <c r="F175" s="3">
        <v>45707.429363425923</v>
      </c>
      <c r="G175" s="4">
        <v>45709</v>
      </c>
      <c r="H175" s="2" t="s">
        <v>1132</v>
      </c>
      <c r="I175" s="2" t="s">
        <v>22</v>
      </c>
      <c r="J175" s="2">
        <v>1</v>
      </c>
      <c r="K175" s="2">
        <v>523.99</v>
      </c>
      <c r="L175" s="2">
        <v>0</v>
      </c>
      <c r="M175" s="2">
        <v>368.03838157092048</v>
      </c>
      <c r="N175" s="2">
        <v>463.71</v>
      </c>
      <c r="O175" s="2">
        <v>60.28</v>
      </c>
      <c r="P175" s="2">
        <v>523.99</v>
      </c>
      <c r="Q175" s="2" t="s">
        <v>44</v>
      </c>
      <c r="R175" s="2"/>
      <c r="S175" t="str">
        <f>VLOOKUP(B175,CASOPOInvCL!$B$1:$D$1600,1,FALSE)</f>
        <v>SO16628</v>
      </c>
      <c r="T175">
        <f t="shared" si="2"/>
        <v>2</v>
      </c>
    </row>
    <row r="176" spans="1:20" x14ac:dyDescent="0.25">
      <c r="A176" s="2">
        <v>2</v>
      </c>
      <c r="B176" s="2" t="s">
        <v>1946</v>
      </c>
      <c r="C176" s="2" t="s">
        <v>1947</v>
      </c>
      <c r="D176" s="2" t="s">
        <v>39</v>
      </c>
      <c r="E176" s="3">
        <v>45706.838935185187</v>
      </c>
      <c r="F176" s="3">
        <v>45706.838935185187</v>
      </c>
      <c r="G176" s="4">
        <v>45814</v>
      </c>
      <c r="H176" s="2" t="s">
        <v>21</v>
      </c>
      <c r="I176" s="2" t="s">
        <v>22</v>
      </c>
      <c r="J176" s="2">
        <v>1</v>
      </c>
      <c r="K176" s="2">
        <v>329.35</v>
      </c>
      <c r="L176" s="2">
        <v>0</v>
      </c>
      <c r="M176" s="2">
        <v>231.32777528270131</v>
      </c>
      <c r="N176" s="2">
        <v>313.66000000000003</v>
      </c>
      <c r="O176" s="2">
        <v>15.69</v>
      </c>
      <c r="P176" s="2">
        <v>329.35</v>
      </c>
      <c r="Q176" s="2" t="s">
        <v>44</v>
      </c>
      <c r="R176" s="2"/>
      <c r="S176" t="str">
        <f>VLOOKUP(B176,CASOPOInvCL!$B$1:$D$1600,1,FALSE)</f>
        <v>SO16630</v>
      </c>
      <c r="T176">
        <f t="shared" si="2"/>
        <v>2</v>
      </c>
    </row>
    <row r="177" spans="1:20" x14ac:dyDescent="0.25">
      <c r="A177" s="2">
        <v>1</v>
      </c>
      <c r="B177" s="2" t="s">
        <v>1936</v>
      </c>
      <c r="C177" s="2" t="s">
        <v>1937</v>
      </c>
      <c r="D177" s="2" t="s">
        <v>556</v>
      </c>
      <c r="E177" s="3">
        <v>45708.379004629627</v>
      </c>
      <c r="F177" s="3">
        <v>45708.441678240742</v>
      </c>
      <c r="G177" s="4">
        <v>45709</v>
      </c>
      <c r="H177" s="2" t="s">
        <v>21</v>
      </c>
      <c r="I177" s="2" t="s">
        <v>22</v>
      </c>
      <c r="J177" s="2">
        <v>1</v>
      </c>
      <c r="K177" s="2">
        <v>945.5</v>
      </c>
      <c r="L177" s="2">
        <v>0</v>
      </c>
      <c r="M177" s="2">
        <v>666.08853700882491</v>
      </c>
      <c r="N177" s="2">
        <v>836.73</v>
      </c>
      <c r="O177" s="2">
        <v>108.77</v>
      </c>
      <c r="P177" s="2">
        <v>945.5</v>
      </c>
      <c r="Q177" s="2" t="s">
        <v>44</v>
      </c>
      <c r="R177" s="2"/>
      <c r="S177" t="str">
        <f>VLOOKUP(B177,CASOPOInvCL!$B$1:$D$1600,1,FALSE)</f>
        <v>SO16636</v>
      </c>
      <c r="T177">
        <f t="shared" si="2"/>
        <v>2</v>
      </c>
    </row>
    <row r="178" spans="1:20" x14ac:dyDescent="0.25">
      <c r="A178" s="2">
        <v>1</v>
      </c>
      <c r="B178" s="2" t="s">
        <v>1865</v>
      </c>
      <c r="C178" s="2" t="s">
        <v>1866</v>
      </c>
      <c r="D178" s="2" t="s">
        <v>20</v>
      </c>
      <c r="E178" s="3">
        <v>45708.397824074083</v>
      </c>
      <c r="F178" s="3">
        <v>45716.657442129632</v>
      </c>
      <c r="G178" s="4">
        <v>45720</v>
      </c>
      <c r="H178" s="2" t="s">
        <v>21</v>
      </c>
      <c r="I178" s="2" t="s">
        <v>22</v>
      </c>
      <c r="J178" s="2">
        <v>1</v>
      </c>
      <c r="K178" s="2">
        <v>345.32</v>
      </c>
      <c r="L178" s="2">
        <v>0</v>
      </c>
      <c r="M178" s="2">
        <v>239.23970820386629</v>
      </c>
      <c r="N178" s="2">
        <v>328.88</v>
      </c>
      <c r="O178" s="2">
        <v>16.440000000000001</v>
      </c>
      <c r="P178" s="2">
        <v>345.32</v>
      </c>
      <c r="Q178" s="2" t="s">
        <v>44</v>
      </c>
      <c r="R178" s="2"/>
      <c r="S178" t="str">
        <f>VLOOKUP(B178,CASOPOInvCL!$B$1:$D$1600,1,FALSE)</f>
        <v>SO16637</v>
      </c>
      <c r="T178">
        <f t="shared" si="2"/>
        <v>2</v>
      </c>
    </row>
    <row r="179" spans="1:20" x14ac:dyDescent="0.25">
      <c r="A179" s="2">
        <v>1</v>
      </c>
      <c r="B179" s="2" t="s">
        <v>1934</v>
      </c>
      <c r="C179" s="2" t="s">
        <v>1935</v>
      </c>
      <c r="D179" s="2" t="s">
        <v>644</v>
      </c>
      <c r="E179" s="3">
        <v>45708.478194444448</v>
      </c>
      <c r="F179" s="3">
        <v>45708.479664351849</v>
      </c>
      <c r="G179" s="4">
        <v>45761</v>
      </c>
      <c r="H179" s="2" t="s">
        <v>21</v>
      </c>
      <c r="I179" s="2" t="s">
        <v>51</v>
      </c>
      <c r="J179" s="2">
        <v>0.70237672774465254</v>
      </c>
      <c r="K179" s="2">
        <v>5120.1867287770201</v>
      </c>
      <c r="L179" s="2">
        <v>0</v>
      </c>
      <c r="M179" s="2">
        <v>3596.3</v>
      </c>
      <c r="N179" s="2">
        <v>3596.3</v>
      </c>
      <c r="O179" s="2"/>
      <c r="P179" s="2">
        <v>3596.3</v>
      </c>
      <c r="Q179" s="2" t="s">
        <v>44</v>
      </c>
      <c r="R179" s="2"/>
      <c r="S179" t="str">
        <f>VLOOKUP(B179,CASOPOInvCL!$B$1:$D$1600,1,FALSE)</f>
        <v>SO16640</v>
      </c>
      <c r="T179">
        <f t="shared" si="2"/>
        <v>2</v>
      </c>
    </row>
    <row r="180" spans="1:20" ht="30" x14ac:dyDescent="0.25">
      <c r="A180" s="2">
        <v>1</v>
      </c>
      <c r="B180" s="2" t="s">
        <v>1930</v>
      </c>
      <c r="C180" s="2" t="s">
        <v>1931</v>
      </c>
      <c r="D180" s="2" t="s">
        <v>159</v>
      </c>
      <c r="E180" s="3">
        <v>45708.70108796296</v>
      </c>
      <c r="F180" s="3">
        <v>45709.382615740738</v>
      </c>
      <c r="G180" s="4">
        <v>45737</v>
      </c>
      <c r="H180" s="2" t="s">
        <v>426</v>
      </c>
      <c r="I180" s="2" t="s">
        <v>51</v>
      </c>
      <c r="J180" s="2">
        <v>0.70448285246834996</v>
      </c>
      <c r="K180" s="2">
        <v>249.8286500279396</v>
      </c>
      <c r="L180" s="2">
        <v>0</v>
      </c>
      <c r="M180" s="2">
        <v>176</v>
      </c>
      <c r="N180" s="2">
        <v>176</v>
      </c>
      <c r="O180" s="2"/>
      <c r="P180" s="2">
        <v>176</v>
      </c>
      <c r="Q180" s="2" t="s">
        <v>44</v>
      </c>
      <c r="R180" s="2"/>
      <c r="S180" t="str">
        <f>VLOOKUP(B180,CASOPOInvCL!$B$1:$D$1600,1,FALSE)</f>
        <v>SO16642</v>
      </c>
      <c r="T180">
        <f t="shared" si="2"/>
        <v>2</v>
      </c>
    </row>
    <row r="181" spans="1:20" ht="30" x14ac:dyDescent="0.25">
      <c r="A181" s="2">
        <v>2</v>
      </c>
      <c r="B181" s="2" t="s">
        <v>1829</v>
      </c>
      <c r="C181" s="2" t="s">
        <v>1830</v>
      </c>
      <c r="D181" s="2" t="s">
        <v>767</v>
      </c>
      <c r="E181" s="3">
        <v>45709.631365740737</v>
      </c>
      <c r="F181" s="3">
        <v>45722.749212962961</v>
      </c>
      <c r="G181" s="4">
        <v>45841</v>
      </c>
      <c r="H181" s="2" t="s">
        <v>21</v>
      </c>
      <c r="I181" s="2" t="s">
        <v>51</v>
      </c>
      <c r="J181" s="2">
        <v>0.69534626226790575</v>
      </c>
      <c r="K181" s="2">
        <v>61849.473181507048</v>
      </c>
      <c r="L181" s="2">
        <v>0</v>
      </c>
      <c r="M181" s="2">
        <v>43006.8</v>
      </c>
      <c r="N181" s="2">
        <v>43006.8</v>
      </c>
      <c r="O181" s="2"/>
      <c r="P181" s="2">
        <v>43006.8</v>
      </c>
      <c r="Q181" s="2" t="s">
        <v>44</v>
      </c>
      <c r="R181" s="2"/>
      <c r="S181" t="str">
        <f>VLOOKUP(B181,CASOPOInvCL!$B$1:$D$1600,1,FALSE)</f>
        <v>SO16645</v>
      </c>
      <c r="T181">
        <f t="shared" si="2"/>
        <v>2</v>
      </c>
    </row>
    <row r="182" spans="1:20" x14ac:dyDescent="0.25">
      <c r="A182" s="2">
        <v>1</v>
      </c>
      <c r="B182" s="2" t="s">
        <v>1530</v>
      </c>
      <c r="C182" s="2" t="s">
        <v>1531</v>
      </c>
      <c r="D182" s="2" t="s">
        <v>149</v>
      </c>
      <c r="E182" s="3">
        <v>45709.703611111108</v>
      </c>
      <c r="F182" s="3">
        <v>45772.529861111107</v>
      </c>
      <c r="G182" s="4">
        <v>45775</v>
      </c>
      <c r="H182" s="2" t="s">
        <v>21</v>
      </c>
      <c r="I182" s="2" t="s">
        <v>51</v>
      </c>
      <c r="J182" s="2">
        <v>0.71989223732843666</v>
      </c>
      <c r="K182" s="2">
        <v>5735.5251048723894</v>
      </c>
      <c r="L182" s="2">
        <v>0</v>
      </c>
      <c r="M182" s="2">
        <v>4128.96</v>
      </c>
      <c r="N182" s="2">
        <v>4128.96</v>
      </c>
      <c r="O182" s="2"/>
      <c r="P182" s="2">
        <v>4128.96</v>
      </c>
      <c r="Q182" s="2" t="s">
        <v>44</v>
      </c>
      <c r="R182" s="2"/>
      <c r="S182" t="str">
        <f>VLOOKUP(B182,CASOPOInvCL!$B$1:$D$1600,1,FALSE)</f>
        <v>SO16646</v>
      </c>
      <c r="T182">
        <f t="shared" si="2"/>
        <v>2</v>
      </c>
    </row>
    <row r="183" spans="1:20" x14ac:dyDescent="0.25">
      <c r="A183" s="2">
        <v>1</v>
      </c>
      <c r="B183" s="2" t="s">
        <v>1925</v>
      </c>
      <c r="C183" s="2" t="s">
        <v>1926</v>
      </c>
      <c r="D183" s="2" t="s">
        <v>1927</v>
      </c>
      <c r="E183" s="3">
        <v>45709.708414351851</v>
      </c>
      <c r="F183" s="3">
        <v>45709.707499999997</v>
      </c>
      <c r="G183" s="4">
        <v>45714</v>
      </c>
      <c r="H183" s="2" t="s">
        <v>71</v>
      </c>
      <c r="I183" s="2" t="s">
        <v>51</v>
      </c>
      <c r="J183" s="2">
        <v>0.70448285246834996</v>
      </c>
      <c r="K183" s="2">
        <v>9353.6698259040222</v>
      </c>
      <c r="L183" s="2">
        <v>0</v>
      </c>
      <c r="M183" s="2">
        <v>6589.5</v>
      </c>
      <c r="N183" s="2">
        <v>6589.5</v>
      </c>
      <c r="O183" s="2"/>
      <c r="P183" s="2">
        <v>6589.5</v>
      </c>
      <c r="Q183" s="2" t="s">
        <v>44</v>
      </c>
      <c r="R183" s="2"/>
      <c r="S183" t="str">
        <f>VLOOKUP(B183,CASOPOInvCL!$B$1:$D$1600,1,FALSE)</f>
        <v>SO16647</v>
      </c>
      <c r="T183">
        <f t="shared" si="2"/>
        <v>2</v>
      </c>
    </row>
    <row r="184" spans="1:20" x14ac:dyDescent="0.25">
      <c r="A184" s="2">
        <v>1</v>
      </c>
      <c r="B184" s="2" t="s">
        <v>1875</v>
      </c>
      <c r="C184" s="2" t="s">
        <v>1876</v>
      </c>
      <c r="D184" s="2" t="s">
        <v>39</v>
      </c>
      <c r="E184" s="3">
        <v>45711.473935185182</v>
      </c>
      <c r="F184" s="3">
        <v>45715.66946759259</v>
      </c>
      <c r="G184" s="4">
        <v>45736</v>
      </c>
      <c r="H184" s="2" t="s">
        <v>21</v>
      </c>
      <c r="I184" s="2" t="s">
        <v>22</v>
      </c>
      <c r="J184" s="2">
        <v>1</v>
      </c>
      <c r="K184" s="2">
        <v>224.91</v>
      </c>
      <c r="L184" s="2">
        <v>0</v>
      </c>
      <c r="M184" s="2">
        <v>155.96676659343751</v>
      </c>
      <c r="N184" s="2">
        <v>214.2</v>
      </c>
      <c r="O184" s="2">
        <v>10.71</v>
      </c>
      <c r="P184" s="2">
        <v>224.91</v>
      </c>
      <c r="Q184" s="2" t="s">
        <v>44</v>
      </c>
      <c r="R184" s="2"/>
      <c r="S184" t="str">
        <f>VLOOKUP(B184,CASOPOInvCL!$B$1:$D$1600,1,FALSE)</f>
        <v>SO16648</v>
      </c>
      <c r="T184">
        <f t="shared" si="2"/>
        <v>2</v>
      </c>
    </row>
    <row r="185" spans="1:20" x14ac:dyDescent="0.25">
      <c r="A185" s="2">
        <v>4</v>
      </c>
      <c r="B185" s="2" t="s">
        <v>1740</v>
      </c>
      <c r="C185" s="2" t="s">
        <v>1741</v>
      </c>
      <c r="D185" s="2" t="s">
        <v>901</v>
      </c>
      <c r="E185" s="3">
        <v>45711.504756944443</v>
      </c>
      <c r="F185" s="3">
        <v>45740.461469907408</v>
      </c>
      <c r="G185" s="4">
        <v>45865</v>
      </c>
      <c r="H185" s="2" t="s">
        <v>180</v>
      </c>
      <c r="I185" s="2" t="s">
        <v>51</v>
      </c>
      <c r="J185" s="2">
        <v>0.69694344458511093</v>
      </c>
      <c r="K185" s="2">
        <v>77514.783186116387</v>
      </c>
      <c r="L185" s="2">
        <v>0</v>
      </c>
      <c r="M185" s="2">
        <v>54023.42</v>
      </c>
      <c r="N185" s="2">
        <v>54023.42</v>
      </c>
      <c r="O185" s="2"/>
      <c r="P185" s="2">
        <v>54023.42</v>
      </c>
      <c r="Q185" s="2" t="s">
        <v>44</v>
      </c>
      <c r="R185" s="2"/>
      <c r="S185" t="str">
        <f>VLOOKUP(B185,CASOPOInvCL!$B$1:$D$1600,1,FALSE)</f>
        <v>SO16651</v>
      </c>
      <c r="T185">
        <f t="shared" si="2"/>
        <v>2</v>
      </c>
    </row>
    <row r="186" spans="1:20" x14ac:dyDescent="0.25">
      <c r="A186" s="2">
        <v>1</v>
      </c>
      <c r="B186" s="2" t="s">
        <v>984</v>
      </c>
      <c r="C186" s="2" t="s">
        <v>985</v>
      </c>
      <c r="D186" s="2" t="s">
        <v>986</v>
      </c>
      <c r="E186" s="3">
        <v>45711.669351851851</v>
      </c>
      <c r="F186" s="3">
        <v>45859.507233796299</v>
      </c>
      <c r="G186" s="4">
        <v>45904</v>
      </c>
      <c r="H186" s="2" t="s">
        <v>180</v>
      </c>
      <c r="I186" s="2" t="s">
        <v>51</v>
      </c>
      <c r="J186" s="2">
        <v>0.72845881656938405</v>
      </c>
      <c r="K186" s="2">
        <v>8554.704615077495</v>
      </c>
      <c r="L186" s="2">
        <v>0</v>
      </c>
      <c r="M186" s="2">
        <v>6231.75</v>
      </c>
      <c r="N186" s="2">
        <v>6231.75</v>
      </c>
      <c r="O186" s="2"/>
      <c r="P186" s="2">
        <v>6231.75</v>
      </c>
      <c r="Q186" s="2" t="s">
        <v>44</v>
      </c>
      <c r="R186" s="2"/>
      <c r="S186" t="str">
        <f>VLOOKUP(B186,CASOPOInvCL!$B$1:$D$1600,1,FALSE)</f>
        <v>SO16653</v>
      </c>
      <c r="T186">
        <f t="shared" si="2"/>
        <v>2</v>
      </c>
    </row>
    <row r="187" spans="1:20" ht="30" x14ac:dyDescent="0.25">
      <c r="A187" s="2">
        <v>1</v>
      </c>
      <c r="B187" s="2" t="s">
        <v>1923</v>
      </c>
      <c r="C187" s="2" t="s">
        <v>1924</v>
      </c>
      <c r="D187" s="2" t="s">
        <v>502</v>
      </c>
      <c r="E187" s="3">
        <v>45711.909050925933</v>
      </c>
      <c r="F187" s="3">
        <v>45711.909513888888</v>
      </c>
      <c r="G187" s="4">
        <v>45713</v>
      </c>
      <c r="H187" s="2" t="s">
        <v>21</v>
      </c>
      <c r="I187" s="2" t="s">
        <v>22</v>
      </c>
      <c r="J187" s="2">
        <v>1</v>
      </c>
      <c r="K187" s="2">
        <v>3134.29</v>
      </c>
      <c r="L187" s="2">
        <v>0</v>
      </c>
      <c r="M187" s="2">
        <v>2203.3606060222219</v>
      </c>
      <c r="N187" s="2">
        <v>2985.04</v>
      </c>
      <c r="O187" s="2">
        <v>149.25</v>
      </c>
      <c r="P187" s="2">
        <v>3134.29</v>
      </c>
      <c r="Q187" s="2" t="s">
        <v>44</v>
      </c>
      <c r="R187" s="2"/>
      <c r="S187" t="str">
        <f>VLOOKUP(B187,CASOPOInvCL!$B$1:$D$1600,1,FALSE)</f>
        <v>SO16654</v>
      </c>
      <c r="T187">
        <f t="shared" si="2"/>
        <v>2</v>
      </c>
    </row>
    <row r="188" spans="1:20" ht="30" x14ac:dyDescent="0.25">
      <c r="A188" s="2">
        <v>1</v>
      </c>
      <c r="B188" s="2" t="s">
        <v>1921</v>
      </c>
      <c r="C188" s="2" t="s">
        <v>1922</v>
      </c>
      <c r="D188" s="2" t="s">
        <v>981</v>
      </c>
      <c r="E188" s="3">
        <v>45712.40253472222</v>
      </c>
      <c r="F188" s="3">
        <v>45712.40253472222</v>
      </c>
      <c r="G188" s="4">
        <v>45722</v>
      </c>
      <c r="H188" s="2" t="s">
        <v>21</v>
      </c>
      <c r="I188" s="2" t="s">
        <v>22</v>
      </c>
      <c r="J188" s="2">
        <v>1</v>
      </c>
      <c r="K188" s="2">
        <v>1540.6</v>
      </c>
      <c r="L188" s="2">
        <v>0</v>
      </c>
      <c r="M188" s="2">
        <v>1083.0195513618189</v>
      </c>
      <c r="N188" s="2">
        <v>1363.36</v>
      </c>
      <c r="O188" s="2">
        <v>177.24</v>
      </c>
      <c r="P188" s="2">
        <v>1540.6</v>
      </c>
      <c r="Q188" s="2" t="s">
        <v>44</v>
      </c>
      <c r="R188" s="2"/>
      <c r="S188" t="str">
        <f>VLOOKUP(B188,CASOPOInvCL!$B$1:$D$1600,1,FALSE)</f>
        <v>SO16656</v>
      </c>
      <c r="T188">
        <f t="shared" si="2"/>
        <v>2</v>
      </c>
    </row>
    <row r="189" spans="1:20" x14ac:dyDescent="0.25">
      <c r="A189" s="2">
        <v>1</v>
      </c>
      <c r="B189" s="2" t="s">
        <v>1911</v>
      </c>
      <c r="C189" s="2" t="s">
        <v>1912</v>
      </c>
      <c r="D189" s="2" t="s">
        <v>98</v>
      </c>
      <c r="E189" s="3">
        <v>45712.459004629629</v>
      </c>
      <c r="F189" s="3">
        <v>45712.666747685187</v>
      </c>
      <c r="G189" s="4">
        <v>45713</v>
      </c>
      <c r="H189" s="2" t="s">
        <v>21</v>
      </c>
      <c r="I189" s="2" t="s">
        <v>22</v>
      </c>
      <c r="J189" s="2">
        <v>1</v>
      </c>
      <c r="K189" s="2">
        <v>169.43</v>
      </c>
      <c r="L189" s="2">
        <v>0</v>
      </c>
      <c r="M189" s="2">
        <v>119.10684316969559</v>
      </c>
      <c r="N189" s="2">
        <v>149.94</v>
      </c>
      <c r="O189" s="2">
        <v>19.489999999999998</v>
      </c>
      <c r="P189" s="2">
        <v>169.43</v>
      </c>
      <c r="Q189" s="2" t="s">
        <v>44</v>
      </c>
      <c r="R189" s="2"/>
      <c r="S189" t="str">
        <f>VLOOKUP(B189,CASOPOInvCL!$B$1:$D$1600,1,FALSE)</f>
        <v>SO16657</v>
      </c>
      <c r="T189">
        <f t="shared" si="2"/>
        <v>2</v>
      </c>
    </row>
    <row r="190" spans="1:20" x14ac:dyDescent="0.25">
      <c r="A190" s="2">
        <v>2</v>
      </c>
      <c r="B190" s="2" t="s">
        <v>1919</v>
      </c>
      <c r="C190" s="2" t="s">
        <v>1920</v>
      </c>
      <c r="D190" s="2" t="s">
        <v>129</v>
      </c>
      <c r="E190" s="3">
        <v>45712.468587962961</v>
      </c>
      <c r="F190" s="3">
        <v>45712.468391203707</v>
      </c>
      <c r="G190" s="4">
        <v>45737</v>
      </c>
      <c r="H190" s="2" t="s">
        <v>130</v>
      </c>
      <c r="I190" s="2" t="s">
        <v>51</v>
      </c>
      <c r="J190" s="2">
        <v>0.70296853684155547</v>
      </c>
      <c r="K190" s="2">
        <v>5468.2390441983789</v>
      </c>
      <c r="L190" s="2">
        <v>0</v>
      </c>
      <c r="M190" s="2">
        <v>3844</v>
      </c>
      <c r="N190" s="2">
        <v>3844</v>
      </c>
      <c r="O190" s="2"/>
      <c r="P190" s="2">
        <v>3844</v>
      </c>
      <c r="Q190" s="2" t="s">
        <v>44</v>
      </c>
      <c r="R190" s="2"/>
      <c r="S190" t="str">
        <f>VLOOKUP(B190,CASOPOInvCL!$B$1:$D$1600,1,FALSE)</f>
        <v>SO16658</v>
      </c>
      <c r="T190">
        <f t="shared" si="2"/>
        <v>2</v>
      </c>
    </row>
    <row r="191" spans="1:20" x14ac:dyDescent="0.25">
      <c r="A191" s="2">
        <v>1</v>
      </c>
      <c r="B191" s="2" t="s">
        <v>1915</v>
      </c>
      <c r="C191" s="2" t="s">
        <v>1916</v>
      </c>
      <c r="D191" s="2" t="s">
        <v>98</v>
      </c>
      <c r="E191" s="3">
        <v>45712.48337962963</v>
      </c>
      <c r="F191" s="3">
        <v>45712.649641203701</v>
      </c>
      <c r="G191" s="4">
        <v>45714</v>
      </c>
      <c r="H191" s="2" t="s">
        <v>21</v>
      </c>
      <c r="I191" s="2" t="s">
        <v>22</v>
      </c>
      <c r="J191" s="2">
        <v>1</v>
      </c>
      <c r="K191" s="2">
        <v>510.16</v>
      </c>
      <c r="L191" s="2">
        <v>0</v>
      </c>
      <c r="M191" s="2">
        <v>358.63511250340491</v>
      </c>
      <c r="N191" s="2">
        <v>451.47</v>
      </c>
      <c r="O191" s="2">
        <v>58.69</v>
      </c>
      <c r="P191" s="2">
        <v>510.16</v>
      </c>
      <c r="Q191" s="2" t="s">
        <v>44</v>
      </c>
      <c r="R191" s="2"/>
      <c r="S191" t="str">
        <f>VLOOKUP(B191,CASOPOInvCL!$B$1:$D$1600,1,FALSE)</f>
        <v>SO16659</v>
      </c>
      <c r="T191">
        <f t="shared" si="2"/>
        <v>2</v>
      </c>
    </row>
    <row r="192" spans="1:20" x14ac:dyDescent="0.25">
      <c r="A192" s="2">
        <v>1</v>
      </c>
      <c r="B192" s="2" t="s">
        <v>1917</v>
      </c>
      <c r="C192" s="2" t="s">
        <v>1918</v>
      </c>
      <c r="D192" s="2" t="s">
        <v>129</v>
      </c>
      <c r="E192" s="3">
        <v>45712.59820601852</v>
      </c>
      <c r="F192" s="3">
        <v>45712.598020833328</v>
      </c>
      <c r="G192" s="4">
        <v>45744</v>
      </c>
      <c r="H192" s="2" t="s">
        <v>130</v>
      </c>
      <c r="I192" s="2" t="s">
        <v>51</v>
      </c>
      <c r="J192" s="2">
        <v>0.70296853684155547</v>
      </c>
      <c r="K192" s="2">
        <v>113.8031018563658</v>
      </c>
      <c r="L192" s="2">
        <v>0</v>
      </c>
      <c r="M192" s="2">
        <v>80</v>
      </c>
      <c r="N192" s="2">
        <v>80</v>
      </c>
      <c r="O192" s="2"/>
      <c r="P192" s="2">
        <v>80</v>
      </c>
      <c r="Q192" s="2" t="s">
        <v>44</v>
      </c>
      <c r="R192" s="2"/>
      <c r="S192" t="str">
        <f>VLOOKUP(B192,CASOPOInvCL!$B$1:$D$1600,1,FALSE)</f>
        <v>SO16660</v>
      </c>
      <c r="T192">
        <f t="shared" si="2"/>
        <v>2</v>
      </c>
    </row>
    <row r="193" spans="1:20" x14ac:dyDescent="0.25">
      <c r="A193" s="2">
        <v>1</v>
      </c>
      <c r="B193" s="2" t="s">
        <v>1873</v>
      </c>
      <c r="C193" s="2" t="s">
        <v>1874</v>
      </c>
      <c r="D193" s="2" t="s">
        <v>1236</v>
      </c>
      <c r="E193" s="3">
        <v>45712.637696759259</v>
      </c>
      <c r="F193" s="3">
        <v>45715.730150462958</v>
      </c>
      <c r="G193" s="4">
        <v>45716</v>
      </c>
      <c r="H193" s="2" t="s">
        <v>21</v>
      </c>
      <c r="I193" s="2" t="s">
        <v>22</v>
      </c>
      <c r="J193" s="2">
        <v>1</v>
      </c>
      <c r="K193" s="2">
        <v>1521.22</v>
      </c>
      <c r="L193" s="2">
        <v>0</v>
      </c>
      <c r="M193" s="2">
        <v>1054.9098069328579</v>
      </c>
      <c r="N193" s="2">
        <v>1448.78</v>
      </c>
      <c r="O193" s="2">
        <v>72.44</v>
      </c>
      <c r="P193" s="2">
        <v>1521.22</v>
      </c>
      <c r="Q193" s="2" t="s">
        <v>44</v>
      </c>
      <c r="R193" s="2"/>
      <c r="S193" t="str">
        <f>VLOOKUP(B193,CASOPOInvCL!$B$1:$D$1600,1,FALSE)</f>
        <v>SO16662</v>
      </c>
      <c r="T193">
        <f t="shared" si="2"/>
        <v>2</v>
      </c>
    </row>
    <row r="194" spans="1:20" x14ac:dyDescent="0.25">
      <c r="A194" s="2">
        <v>1</v>
      </c>
      <c r="B194" s="2" t="s">
        <v>1913</v>
      </c>
      <c r="C194" s="2" t="s">
        <v>1914</v>
      </c>
      <c r="D194" s="2" t="s">
        <v>644</v>
      </c>
      <c r="E194" s="3">
        <v>45712.657233796293</v>
      </c>
      <c r="F194" s="3">
        <v>45712.658553240741</v>
      </c>
      <c r="G194" s="4">
        <v>45754</v>
      </c>
      <c r="H194" s="2" t="s">
        <v>21</v>
      </c>
      <c r="I194" s="2" t="s">
        <v>51</v>
      </c>
      <c r="J194" s="2">
        <v>0.70296853684155547</v>
      </c>
      <c r="K194" s="2">
        <v>6427.869475214452</v>
      </c>
      <c r="L194" s="2">
        <v>0</v>
      </c>
      <c r="M194" s="2">
        <v>4518.59</v>
      </c>
      <c r="N194" s="2">
        <v>4518.59</v>
      </c>
      <c r="O194" s="2"/>
      <c r="P194" s="2">
        <v>4518.59</v>
      </c>
      <c r="Q194" s="2" t="s">
        <v>44</v>
      </c>
      <c r="R194" s="2"/>
      <c r="S194" t="str">
        <f>VLOOKUP(B194,CASOPOInvCL!$B$1:$D$1600,1,FALSE)</f>
        <v>SO16663</v>
      </c>
      <c r="T194">
        <f t="shared" si="2"/>
        <v>2</v>
      </c>
    </row>
    <row r="195" spans="1:20" x14ac:dyDescent="0.25">
      <c r="A195" s="2">
        <v>1</v>
      </c>
      <c r="B195" s="2" t="s">
        <v>1897</v>
      </c>
      <c r="C195" s="2" t="s">
        <v>1898</v>
      </c>
      <c r="D195" s="2" t="s">
        <v>192</v>
      </c>
      <c r="E195" s="3">
        <v>45712.67869212963</v>
      </c>
      <c r="F195" s="3">
        <v>45713.716967592591</v>
      </c>
      <c r="G195" s="4">
        <v>45755</v>
      </c>
      <c r="H195" s="2" t="s">
        <v>21</v>
      </c>
      <c r="I195" s="2" t="s">
        <v>51</v>
      </c>
      <c r="J195" s="2">
        <v>0.70298555845892441</v>
      </c>
      <c r="K195" s="2">
        <v>12206.666121010219</v>
      </c>
      <c r="L195" s="2">
        <v>0</v>
      </c>
      <c r="M195" s="2">
        <v>8581.11</v>
      </c>
      <c r="N195" s="2">
        <v>8581.11</v>
      </c>
      <c r="O195" s="2"/>
      <c r="P195" s="2">
        <v>8581.11</v>
      </c>
      <c r="Q195" s="2" t="s">
        <v>44</v>
      </c>
      <c r="R195" s="2"/>
      <c r="S195" t="str">
        <f>VLOOKUP(B195,CASOPOInvCL!$B$1:$D$1600,1,FALSE)</f>
        <v>SO16664</v>
      </c>
      <c r="T195">
        <f t="shared" ref="T195:T258" si="3">MONTH(E195)</f>
        <v>2</v>
      </c>
    </row>
    <row r="196" spans="1:20" ht="30" x14ac:dyDescent="0.25">
      <c r="A196" s="2">
        <v>1</v>
      </c>
      <c r="B196" s="2" t="s">
        <v>1909</v>
      </c>
      <c r="C196" s="2" t="s">
        <v>1910</v>
      </c>
      <c r="D196" s="2" t="s">
        <v>159</v>
      </c>
      <c r="E196" s="3">
        <v>45712.756284722222</v>
      </c>
      <c r="F196" s="3">
        <v>45712.756724537037</v>
      </c>
      <c r="G196" s="4">
        <v>45727</v>
      </c>
      <c r="H196" s="2" t="s">
        <v>426</v>
      </c>
      <c r="I196" s="2" t="s">
        <v>51</v>
      </c>
      <c r="J196" s="2">
        <v>0.70296853684155547</v>
      </c>
      <c r="K196" s="2">
        <v>3907.4579530137848</v>
      </c>
      <c r="L196" s="2">
        <v>0</v>
      </c>
      <c r="M196" s="2">
        <v>2746.82</v>
      </c>
      <c r="N196" s="2">
        <v>2746.82</v>
      </c>
      <c r="O196" s="2"/>
      <c r="P196" s="2">
        <v>2746.82</v>
      </c>
      <c r="Q196" s="2" t="s">
        <v>44</v>
      </c>
      <c r="R196" s="2"/>
      <c r="S196" t="str">
        <f>VLOOKUP(B196,CASOPOInvCL!$B$1:$D$1600,1,FALSE)</f>
        <v>SO16665</v>
      </c>
      <c r="T196">
        <f t="shared" si="3"/>
        <v>2</v>
      </c>
    </row>
    <row r="197" spans="1:20" x14ac:dyDescent="0.25">
      <c r="A197" s="2">
        <v>1</v>
      </c>
      <c r="B197" s="2" t="s">
        <v>1891</v>
      </c>
      <c r="C197" s="2" t="s">
        <v>1892</v>
      </c>
      <c r="D197" s="2" t="s">
        <v>146</v>
      </c>
      <c r="E197" s="3">
        <v>45713.385844907411</v>
      </c>
      <c r="F197" s="3">
        <v>45714.475798611107</v>
      </c>
      <c r="G197" s="4">
        <v>45715</v>
      </c>
      <c r="H197" s="2" t="s">
        <v>21</v>
      </c>
      <c r="I197" s="2" t="s">
        <v>22</v>
      </c>
      <c r="J197" s="2">
        <v>1</v>
      </c>
      <c r="K197" s="2">
        <v>477.52</v>
      </c>
      <c r="L197" s="2">
        <v>0</v>
      </c>
      <c r="M197" s="2">
        <v>332.79285313209579</v>
      </c>
      <c r="N197" s="2">
        <v>454.78</v>
      </c>
      <c r="O197" s="2">
        <v>22.74</v>
      </c>
      <c r="P197" s="2">
        <v>477.52</v>
      </c>
      <c r="Q197" s="2" t="s">
        <v>44</v>
      </c>
      <c r="R197" s="2"/>
      <c r="S197" t="str">
        <f>VLOOKUP(B197,CASOPOInvCL!$B$1:$D$1600,1,FALSE)</f>
        <v>SO16666</v>
      </c>
      <c r="T197">
        <f t="shared" si="3"/>
        <v>2</v>
      </c>
    </row>
    <row r="198" spans="1:20" x14ac:dyDescent="0.25">
      <c r="A198" s="2">
        <v>1</v>
      </c>
      <c r="B198" s="2" t="s">
        <v>1905</v>
      </c>
      <c r="C198" s="2" t="s">
        <v>1906</v>
      </c>
      <c r="D198" s="2" t="s">
        <v>465</v>
      </c>
      <c r="E198" s="3">
        <v>45713.393599537027</v>
      </c>
      <c r="F198" s="3">
        <v>45713.442685185182</v>
      </c>
      <c r="G198" s="4">
        <v>45713</v>
      </c>
      <c r="H198" s="2" t="s">
        <v>21</v>
      </c>
      <c r="I198" s="2" t="s">
        <v>22</v>
      </c>
      <c r="J198" s="2">
        <v>1</v>
      </c>
      <c r="K198" s="2">
        <v>132.66</v>
      </c>
      <c r="L198" s="2">
        <v>0</v>
      </c>
      <c r="M198" s="2">
        <v>92.7634808680167</v>
      </c>
      <c r="N198" s="2">
        <v>117.4</v>
      </c>
      <c r="O198" s="2">
        <v>15.26</v>
      </c>
      <c r="P198" s="2">
        <v>132.66</v>
      </c>
      <c r="Q198" s="2" t="s">
        <v>44</v>
      </c>
      <c r="R198" s="2"/>
      <c r="S198" t="str">
        <f>VLOOKUP(B198,CASOPOInvCL!$B$1:$D$1600,1,FALSE)</f>
        <v>SO16667</v>
      </c>
      <c r="T198">
        <f t="shared" si="3"/>
        <v>2</v>
      </c>
    </row>
    <row r="199" spans="1:20" x14ac:dyDescent="0.25">
      <c r="A199" s="2">
        <v>1</v>
      </c>
      <c r="B199" s="2" t="s">
        <v>1895</v>
      </c>
      <c r="C199" s="2" t="s">
        <v>1896</v>
      </c>
      <c r="D199" s="2" t="s">
        <v>98</v>
      </c>
      <c r="E199" s="3">
        <v>45713.3981712963</v>
      </c>
      <c r="F199" s="3">
        <v>45714.429409722223</v>
      </c>
      <c r="G199" s="4">
        <v>45715</v>
      </c>
      <c r="H199" s="2" t="s">
        <v>21</v>
      </c>
      <c r="I199" s="2" t="s">
        <v>22</v>
      </c>
      <c r="J199" s="2">
        <v>1</v>
      </c>
      <c r="K199" s="2">
        <v>334.54</v>
      </c>
      <c r="L199" s="2">
        <v>0</v>
      </c>
      <c r="M199" s="2">
        <v>233.1473468897876</v>
      </c>
      <c r="N199" s="2">
        <v>296.05</v>
      </c>
      <c r="O199" s="2">
        <v>38.49</v>
      </c>
      <c r="P199" s="2">
        <v>334.54</v>
      </c>
      <c r="Q199" s="2" t="s">
        <v>44</v>
      </c>
      <c r="R199" s="2"/>
      <c r="S199" t="str">
        <f>VLOOKUP(B199,CASOPOInvCL!$B$1:$D$1600,1,FALSE)</f>
        <v>SO16668</v>
      </c>
      <c r="T199">
        <f t="shared" si="3"/>
        <v>2</v>
      </c>
    </row>
    <row r="200" spans="1:20" ht="30" x14ac:dyDescent="0.25">
      <c r="A200" s="2">
        <v>1</v>
      </c>
      <c r="B200" s="2" t="s">
        <v>1907</v>
      </c>
      <c r="C200" s="2" t="s">
        <v>1908</v>
      </c>
      <c r="D200" s="2" t="s">
        <v>159</v>
      </c>
      <c r="E200" s="3">
        <v>45713.405555555553</v>
      </c>
      <c r="F200" s="3">
        <v>45713.40625</v>
      </c>
      <c r="G200" s="4">
        <v>45728</v>
      </c>
      <c r="H200" s="2" t="s">
        <v>426</v>
      </c>
      <c r="I200" s="2" t="s">
        <v>51</v>
      </c>
      <c r="J200" s="2">
        <v>0.70298555845892441</v>
      </c>
      <c r="K200" s="2">
        <v>1249.854978423911</v>
      </c>
      <c r="L200" s="2">
        <v>0</v>
      </c>
      <c r="M200" s="2">
        <v>878.63</v>
      </c>
      <c r="N200" s="2">
        <v>878.63</v>
      </c>
      <c r="O200" s="2"/>
      <c r="P200" s="2">
        <v>878.63</v>
      </c>
      <c r="Q200" s="2" t="s">
        <v>44</v>
      </c>
      <c r="R200" s="2"/>
      <c r="S200" t="str">
        <f>VLOOKUP(B200,CASOPOInvCL!$B$1:$D$1600,1,FALSE)</f>
        <v>SO16669</v>
      </c>
      <c r="T200">
        <f t="shared" si="3"/>
        <v>2</v>
      </c>
    </row>
    <row r="201" spans="1:20" x14ac:dyDescent="0.25">
      <c r="A201" s="2">
        <v>1</v>
      </c>
      <c r="B201" s="2" t="s">
        <v>1882</v>
      </c>
      <c r="C201" s="2" t="s">
        <v>1883</v>
      </c>
      <c r="D201" s="2" t="s">
        <v>372</v>
      </c>
      <c r="E201" s="3">
        <v>45713.614421296297</v>
      </c>
      <c r="F201" s="3">
        <v>45715.488182870373</v>
      </c>
      <c r="G201" s="4">
        <v>45869</v>
      </c>
      <c r="H201" s="2" t="s">
        <v>21</v>
      </c>
      <c r="I201" s="2" t="s">
        <v>22</v>
      </c>
      <c r="J201" s="2">
        <v>1</v>
      </c>
      <c r="K201" s="2">
        <v>4167.47</v>
      </c>
      <c r="L201" s="2">
        <v>0</v>
      </c>
      <c r="M201" s="2">
        <v>2889.986309079869</v>
      </c>
      <c r="N201" s="2">
        <v>3969.02</v>
      </c>
      <c r="O201" s="2">
        <v>198.45</v>
      </c>
      <c r="P201" s="2">
        <v>4167.47</v>
      </c>
      <c r="Q201" s="2" t="s">
        <v>44</v>
      </c>
      <c r="R201" s="2"/>
      <c r="S201" t="str">
        <f>VLOOKUP(B201,CASOPOInvCL!$B$1:$D$1600,1,FALSE)</f>
        <v>SO16671</v>
      </c>
      <c r="T201">
        <f t="shared" si="3"/>
        <v>2</v>
      </c>
    </row>
    <row r="202" spans="1:20" x14ac:dyDescent="0.25">
      <c r="A202" s="2">
        <v>1</v>
      </c>
      <c r="B202" s="2" t="s">
        <v>1903</v>
      </c>
      <c r="C202" s="2" t="s">
        <v>1904</v>
      </c>
      <c r="D202" s="2" t="s">
        <v>290</v>
      </c>
      <c r="E202" s="3">
        <v>45713.639456018522</v>
      </c>
      <c r="F202" s="3">
        <v>45713.651643518519</v>
      </c>
      <c r="G202" s="4">
        <v>45716</v>
      </c>
      <c r="H202" s="2" t="s">
        <v>21</v>
      </c>
      <c r="I202" s="2" t="s">
        <v>22</v>
      </c>
      <c r="J202" s="2">
        <v>1</v>
      </c>
      <c r="K202" s="2">
        <v>986.77</v>
      </c>
      <c r="L202" s="2">
        <v>0</v>
      </c>
      <c r="M202" s="2">
        <v>690.00618133674686</v>
      </c>
      <c r="N202" s="2">
        <v>939.78</v>
      </c>
      <c r="O202" s="2">
        <v>46.99</v>
      </c>
      <c r="P202" s="2">
        <v>986.77</v>
      </c>
      <c r="Q202" s="2" t="s">
        <v>44</v>
      </c>
      <c r="R202" s="2"/>
      <c r="S202" t="str">
        <f>VLOOKUP(B202,CASOPOInvCL!$B$1:$D$1600,1,FALSE)</f>
        <v>SO16672</v>
      </c>
      <c r="T202">
        <f t="shared" si="3"/>
        <v>2</v>
      </c>
    </row>
    <row r="203" spans="1:20" x14ac:dyDescent="0.25">
      <c r="A203" s="2">
        <v>1</v>
      </c>
      <c r="B203" s="2" t="s">
        <v>1893</v>
      </c>
      <c r="C203" s="2" t="s">
        <v>1894</v>
      </c>
      <c r="D203" s="2" t="s">
        <v>242</v>
      </c>
      <c r="E203" s="3">
        <v>45713.696377314824</v>
      </c>
      <c r="F203" s="3">
        <v>45714.45853009259</v>
      </c>
      <c r="G203" s="4">
        <v>45735</v>
      </c>
      <c r="H203" s="2" t="s">
        <v>21</v>
      </c>
      <c r="I203" s="2" t="s">
        <v>22</v>
      </c>
      <c r="J203" s="2">
        <v>1</v>
      </c>
      <c r="K203" s="2">
        <v>1280.96</v>
      </c>
      <c r="L203" s="2">
        <v>0</v>
      </c>
      <c r="M203" s="2">
        <v>892.72560970868142</v>
      </c>
      <c r="N203" s="2">
        <v>1219.96</v>
      </c>
      <c r="O203" s="2">
        <v>61</v>
      </c>
      <c r="P203" s="2">
        <v>1280.96</v>
      </c>
      <c r="Q203" s="2" t="s">
        <v>44</v>
      </c>
      <c r="R203" s="2"/>
      <c r="S203" t="str">
        <f>VLOOKUP(B203,CASOPOInvCL!$B$1:$D$1600,1,FALSE)</f>
        <v>SO16673</v>
      </c>
      <c r="T203">
        <f t="shared" si="3"/>
        <v>2</v>
      </c>
    </row>
    <row r="204" spans="1:20" ht="30" x14ac:dyDescent="0.25">
      <c r="A204" s="2">
        <v>1</v>
      </c>
      <c r="B204" s="2" t="s">
        <v>1899</v>
      </c>
      <c r="C204" s="2" t="s">
        <v>1900</v>
      </c>
      <c r="D204" s="2" t="s">
        <v>159</v>
      </c>
      <c r="E204" s="3">
        <v>45713.697025462963</v>
      </c>
      <c r="F204" s="3">
        <v>45713.697638888887</v>
      </c>
      <c r="G204" s="4">
        <v>45713</v>
      </c>
      <c r="H204" s="2" t="s">
        <v>426</v>
      </c>
      <c r="I204" s="2" t="s">
        <v>51</v>
      </c>
      <c r="J204" s="2">
        <v>0.70298555845892441</v>
      </c>
      <c r="K204" s="2">
        <v>45278.654187118482</v>
      </c>
      <c r="L204" s="2">
        <v>0</v>
      </c>
      <c r="M204" s="2">
        <v>31830.240000000002</v>
      </c>
      <c r="N204" s="2">
        <v>31830.240000000002</v>
      </c>
      <c r="O204" s="2"/>
      <c r="P204" s="2">
        <v>31830.240000000002</v>
      </c>
      <c r="Q204" s="2" t="s">
        <v>44</v>
      </c>
      <c r="R204" s="2"/>
      <c r="S204" t="str">
        <f>VLOOKUP(B204,CASOPOInvCL!$B$1:$D$1600,1,FALSE)</f>
        <v>SO16674</v>
      </c>
      <c r="T204">
        <f t="shared" si="3"/>
        <v>2</v>
      </c>
    </row>
    <row r="205" spans="1:20" ht="30" x14ac:dyDescent="0.25">
      <c r="A205" s="2">
        <v>1</v>
      </c>
      <c r="B205" s="2" t="s">
        <v>1877</v>
      </c>
      <c r="C205" s="2" t="s">
        <v>1878</v>
      </c>
      <c r="D205" s="2" t="s">
        <v>981</v>
      </c>
      <c r="E205" s="3">
        <v>45714.416550925933</v>
      </c>
      <c r="F205" s="3">
        <v>45715.650439814817</v>
      </c>
      <c r="G205" s="4">
        <v>45726</v>
      </c>
      <c r="H205" s="2" t="s">
        <v>21</v>
      </c>
      <c r="I205" s="2" t="s">
        <v>22</v>
      </c>
      <c r="J205" s="2">
        <v>1</v>
      </c>
      <c r="K205" s="2">
        <v>1392.37</v>
      </c>
      <c r="L205" s="2">
        <v>0</v>
      </c>
      <c r="M205" s="2">
        <v>965.55709751324798</v>
      </c>
      <c r="N205" s="2">
        <v>1232.19</v>
      </c>
      <c r="O205" s="2">
        <v>160.18</v>
      </c>
      <c r="P205" s="2">
        <v>1392.37</v>
      </c>
      <c r="Q205" s="2" t="s">
        <v>44</v>
      </c>
      <c r="R205" s="2"/>
      <c r="S205" t="str">
        <f>VLOOKUP(B205,CASOPOInvCL!$B$1:$D$1600,1,FALSE)</f>
        <v>SO16676</v>
      </c>
      <c r="T205">
        <f t="shared" si="3"/>
        <v>2</v>
      </c>
    </row>
    <row r="206" spans="1:20" x14ac:dyDescent="0.25">
      <c r="A206" s="2">
        <v>1</v>
      </c>
      <c r="B206" s="2" t="s">
        <v>1395</v>
      </c>
      <c r="C206" s="2" t="s">
        <v>1396</v>
      </c>
      <c r="D206" s="2" t="s">
        <v>20</v>
      </c>
      <c r="E206" s="3">
        <v>45714.422523148147</v>
      </c>
      <c r="F206" s="3">
        <v>45797.668553240743</v>
      </c>
      <c r="G206" s="4">
        <v>45798</v>
      </c>
      <c r="H206" s="2" t="s">
        <v>21</v>
      </c>
      <c r="I206" s="2" t="s">
        <v>22</v>
      </c>
      <c r="J206" s="2">
        <v>1</v>
      </c>
      <c r="K206" s="2">
        <v>297.61</v>
      </c>
      <c r="L206" s="2">
        <v>0</v>
      </c>
      <c r="M206" s="2">
        <v>213.44336232893241</v>
      </c>
      <c r="N206" s="2">
        <v>283.44</v>
      </c>
      <c r="O206" s="2">
        <v>14.17</v>
      </c>
      <c r="P206" s="2">
        <v>297.61</v>
      </c>
      <c r="Q206" s="2" t="s">
        <v>44</v>
      </c>
      <c r="R206" s="2"/>
      <c r="S206" t="str">
        <f>VLOOKUP(B206,CASOPOInvCL!$B$1:$D$1600,1,FALSE)</f>
        <v>SO16677</v>
      </c>
      <c r="T206">
        <f t="shared" si="3"/>
        <v>2</v>
      </c>
    </row>
    <row r="207" spans="1:20" ht="30" x14ac:dyDescent="0.25">
      <c r="A207" s="2">
        <v>2</v>
      </c>
      <c r="B207" s="2" t="s">
        <v>1378</v>
      </c>
      <c r="C207" s="2" t="s">
        <v>1379</v>
      </c>
      <c r="D207" s="2" t="s">
        <v>1380</v>
      </c>
      <c r="E207" s="3">
        <v>45714.500092592592</v>
      </c>
      <c r="F207" s="3">
        <v>45799.958333333343</v>
      </c>
      <c r="G207" s="4">
        <v>45856</v>
      </c>
      <c r="H207" s="2" t="s">
        <v>36</v>
      </c>
      <c r="I207" s="2" t="s">
        <v>51</v>
      </c>
      <c r="J207" s="2">
        <v>0.72679928805504312</v>
      </c>
      <c r="K207" s="2">
        <v>39478.216987228247</v>
      </c>
      <c r="L207" s="2">
        <v>0</v>
      </c>
      <c r="M207" s="2">
        <v>28692.74</v>
      </c>
      <c r="N207" s="2">
        <v>28692.74</v>
      </c>
      <c r="O207" s="2"/>
      <c r="P207" s="2">
        <v>28692.74</v>
      </c>
      <c r="Q207" s="2" t="s">
        <v>44</v>
      </c>
      <c r="R207" s="2"/>
      <c r="S207" t="str">
        <f>VLOOKUP(B207,CASOPOInvCL!$B$1:$D$1600,1,FALSE)</f>
        <v>SO16679</v>
      </c>
      <c r="T207">
        <f t="shared" si="3"/>
        <v>2</v>
      </c>
    </row>
    <row r="208" spans="1:20" x14ac:dyDescent="0.25">
      <c r="A208" s="2">
        <v>1</v>
      </c>
      <c r="B208" s="2" t="s">
        <v>1412</v>
      </c>
      <c r="C208" s="2" t="s">
        <v>1413</v>
      </c>
      <c r="D208" s="2" t="s">
        <v>171</v>
      </c>
      <c r="E208" s="3">
        <v>45714.627905092602</v>
      </c>
      <c r="F208" s="3">
        <v>45792.412106481483</v>
      </c>
      <c r="G208" s="4">
        <v>45793</v>
      </c>
      <c r="H208" s="2" t="s">
        <v>21</v>
      </c>
      <c r="I208" s="2" t="s">
        <v>22</v>
      </c>
      <c r="J208" s="2">
        <v>1</v>
      </c>
      <c r="K208" s="2">
        <v>123.03</v>
      </c>
      <c r="L208" s="2">
        <v>0</v>
      </c>
      <c r="M208" s="2">
        <v>87.941909047642014</v>
      </c>
      <c r="N208" s="2">
        <v>117.17</v>
      </c>
      <c r="O208" s="2">
        <v>5.86</v>
      </c>
      <c r="P208" s="2">
        <v>123.03</v>
      </c>
      <c r="Q208" s="2" t="s">
        <v>44</v>
      </c>
      <c r="R208" s="2"/>
      <c r="S208" t="str">
        <f>VLOOKUP(B208,CASOPOInvCL!$B$1:$D$1600,1,FALSE)</f>
        <v>SO16680</v>
      </c>
      <c r="T208">
        <f t="shared" si="3"/>
        <v>2</v>
      </c>
    </row>
    <row r="209" spans="1:20" x14ac:dyDescent="0.25">
      <c r="A209" s="2">
        <v>1</v>
      </c>
      <c r="B209" s="2" t="s">
        <v>1831</v>
      </c>
      <c r="C209" s="2" t="s">
        <v>1832</v>
      </c>
      <c r="D209" s="2" t="s">
        <v>509</v>
      </c>
      <c r="E209" s="3">
        <v>45714.713506944441</v>
      </c>
      <c r="F209" s="3">
        <v>45722.713009259263</v>
      </c>
      <c r="G209" s="4">
        <v>45723</v>
      </c>
      <c r="H209" s="2" t="s">
        <v>21</v>
      </c>
      <c r="I209" s="2" t="s">
        <v>22</v>
      </c>
      <c r="J209" s="2">
        <v>1</v>
      </c>
      <c r="K209" s="2">
        <v>1945.71</v>
      </c>
      <c r="L209" s="2">
        <v>0</v>
      </c>
      <c r="M209" s="2">
        <v>1362.5781860617219</v>
      </c>
      <c r="N209" s="2">
        <v>1853.06</v>
      </c>
      <c r="O209" s="2">
        <v>92.65</v>
      </c>
      <c r="P209" s="2">
        <v>1945.71</v>
      </c>
      <c r="Q209" s="2" t="s">
        <v>44</v>
      </c>
      <c r="R209" s="2"/>
      <c r="S209" t="str">
        <f>VLOOKUP(B209,CASOPOInvCL!$B$1:$D$1600,1,FALSE)</f>
        <v>SO16682</v>
      </c>
      <c r="T209">
        <f t="shared" si="3"/>
        <v>2</v>
      </c>
    </row>
    <row r="210" spans="1:20" x14ac:dyDescent="0.25">
      <c r="A210" s="2">
        <v>1</v>
      </c>
      <c r="B210" s="2" t="s">
        <v>1871</v>
      </c>
      <c r="C210" s="2" t="s">
        <v>1872</v>
      </c>
      <c r="D210" s="2" t="s">
        <v>80</v>
      </c>
      <c r="E210" s="3">
        <v>45715.418206018519</v>
      </c>
      <c r="F210" s="3">
        <v>45716.418206018519</v>
      </c>
      <c r="G210" s="4">
        <v>45721</v>
      </c>
      <c r="H210" s="2" t="s">
        <v>21</v>
      </c>
      <c r="I210" s="2" t="s">
        <v>22</v>
      </c>
      <c r="J210" s="2">
        <v>1</v>
      </c>
      <c r="K210" s="2">
        <v>232.41</v>
      </c>
      <c r="L210" s="2">
        <v>0</v>
      </c>
      <c r="M210" s="2">
        <v>161.015002269375</v>
      </c>
      <c r="N210" s="2">
        <v>221.34</v>
      </c>
      <c r="O210" s="2">
        <v>11.07</v>
      </c>
      <c r="P210" s="2">
        <v>232.41</v>
      </c>
      <c r="Q210" s="2" t="s">
        <v>44</v>
      </c>
      <c r="R210" s="2"/>
      <c r="S210" t="str">
        <f>VLOOKUP(B210,CASOPOInvCL!$B$1:$D$1600,1,FALSE)</f>
        <v>SO16683</v>
      </c>
      <c r="T210">
        <f t="shared" si="3"/>
        <v>2</v>
      </c>
    </row>
    <row r="211" spans="1:20" x14ac:dyDescent="0.25">
      <c r="A211" s="2">
        <v>1</v>
      </c>
      <c r="B211" s="2" t="s">
        <v>1884</v>
      </c>
      <c r="C211" s="2" t="s">
        <v>1885</v>
      </c>
      <c r="D211" s="2" t="s">
        <v>1886</v>
      </c>
      <c r="E211" s="3">
        <v>45715.458726851852</v>
      </c>
      <c r="F211" s="3">
        <v>45715.480543981481</v>
      </c>
      <c r="G211" s="4">
        <v>45716</v>
      </c>
      <c r="H211" s="2" t="s">
        <v>21</v>
      </c>
      <c r="I211" s="2" t="s">
        <v>22</v>
      </c>
      <c r="J211" s="2">
        <v>1</v>
      </c>
      <c r="K211" s="2">
        <v>3900.85</v>
      </c>
      <c r="L211" s="2">
        <v>0</v>
      </c>
      <c r="M211" s="2">
        <v>2705.0952001512201</v>
      </c>
      <c r="N211" s="2">
        <v>3715.09</v>
      </c>
      <c r="O211" s="2">
        <v>185.76</v>
      </c>
      <c r="P211" s="2">
        <v>3900.85</v>
      </c>
      <c r="Q211" s="2" t="s">
        <v>44</v>
      </c>
      <c r="R211" s="2"/>
      <c r="S211" t="str">
        <f>VLOOKUP(B211,CASOPOInvCL!$B$1:$D$1600,1,FALSE)</f>
        <v>SO16685</v>
      </c>
      <c r="T211">
        <f t="shared" si="3"/>
        <v>2</v>
      </c>
    </row>
    <row r="212" spans="1:20" ht="45" x14ac:dyDescent="0.25">
      <c r="A212" s="2">
        <v>1</v>
      </c>
      <c r="B212" s="2" t="s">
        <v>1771</v>
      </c>
      <c r="C212" s="2" t="s">
        <v>1772</v>
      </c>
      <c r="D212" s="2" t="s">
        <v>1773</v>
      </c>
      <c r="E212" s="3">
        <v>45715.513414351852</v>
      </c>
      <c r="F212" s="3">
        <v>45730.610034722216</v>
      </c>
      <c r="G212" s="4">
        <v>45765</v>
      </c>
      <c r="H212" s="2" t="s">
        <v>21</v>
      </c>
      <c r="I212" s="2" t="s">
        <v>22</v>
      </c>
      <c r="J212" s="2">
        <v>1</v>
      </c>
      <c r="K212" s="2">
        <v>11384.16</v>
      </c>
      <c r="L212" s="2">
        <v>0</v>
      </c>
      <c r="M212" s="2">
        <v>7916.2056228353849</v>
      </c>
      <c r="N212" s="2">
        <v>10842.06</v>
      </c>
      <c r="O212" s="2">
        <v>542.1</v>
      </c>
      <c r="P212" s="2">
        <v>11384.16</v>
      </c>
      <c r="Q212" s="2" t="s">
        <v>44</v>
      </c>
      <c r="R212" s="2"/>
      <c r="S212" t="str">
        <f>VLOOKUP(B212,CASOPOInvCL!$B$1:$D$1600,1,FALSE)</f>
        <v>SO16687</v>
      </c>
      <c r="T212">
        <f t="shared" si="3"/>
        <v>2</v>
      </c>
    </row>
    <row r="213" spans="1:20" x14ac:dyDescent="0.25">
      <c r="A213" s="2">
        <v>3</v>
      </c>
      <c r="B213" s="2" t="s">
        <v>1863</v>
      </c>
      <c r="C213" s="2" t="s">
        <v>1864</v>
      </c>
      <c r="D213" s="2" t="s">
        <v>98</v>
      </c>
      <c r="E213" s="3">
        <v>45716.389305555553</v>
      </c>
      <c r="F213" s="3">
        <v>45716.670648148152</v>
      </c>
      <c r="G213" s="4">
        <v>45719</v>
      </c>
      <c r="H213" s="2" t="s">
        <v>21</v>
      </c>
      <c r="I213" s="2" t="s">
        <v>22</v>
      </c>
      <c r="J213" s="2">
        <v>1</v>
      </c>
      <c r="K213" s="2">
        <v>3852.97</v>
      </c>
      <c r="L213" s="2">
        <v>0</v>
      </c>
      <c r="M213" s="2">
        <v>2669.3600675264988</v>
      </c>
      <c r="N213" s="2">
        <v>3409.71</v>
      </c>
      <c r="O213" s="2">
        <v>443.26</v>
      </c>
      <c r="P213" s="2">
        <v>3852.97</v>
      </c>
      <c r="Q213" s="2" t="s">
        <v>44</v>
      </c>
      <c r="R213" s="2"/>
      <c r="S213" t="str">
        <f>VLOOKUP(B213,CASOPOInvCL!$B$1:$D$1600,1,FALSE)</f>
        <v>SO16692</v>
      </c>
      <c r="T213">
        <f t="shared" si="3"/>
        <v>2</v>
      </c>
    </row>
    <row r="214" spans="1:20" x14ac:dyDescent="0.25">
      <c r="A214" s="2">
        <v>2</v>
      </c>
      <c r="B214" s="2" t="s">
        <v>1869</v>
      </c>
      <c r="C214" s="2" t="s">
        <v>1870</v>
      </c>
      <c r="D214" s="2" t="s">
        <v>723</v>
      </c>
      <c r="E214" s="3">
        <v>45716.466539351852</v>
      </c>
      <c r="F214" s="3">
        <v>45716.46497685185</v>
      </c>
      <c r="G214" s="4">
        <v>45814</v>
      </c>
      <c r="H214" s="2" t="s">
        <v>71</v>
      </c>
      <c r="I214" s="2" t="s">
        <v>51</v>
      </c>
      <c r="J214" s="2">
        <v>0.69691919319001483</v>
      </c>
      <c r="K214" s="2">
        <v>13417.26571942828</v>
      </c>
      <c r="L214" s="2">
        <v>0</v>
      </c>
      <c r="M214" s="2">
        <v>9350.75</v>
      </c>
      <c r="N214" s="2">
        <v>8275</v>
      </c>
      <c r="O214" s="2">
        <v>1075.75</v>
      </c>
      <c r="P214" s="2">
        <v>9350.75</v>
      </c>
      <c r="Q214" s="2" t="s">
        <v>44</v>
      </c>
      <c r="R214" s="2"/>
      <c r="S214" t="str">
        <f>VLOOKUP(B214,CASOPOInvCL!$B$1:$D$1600,1,FALSE)</f>
        <v>SO16693</v>
      </c>
      <c r="T214">
        <f t="shared" si="3"/>
        <v>2</v>
      </c>
    </row>
    <row r="215" spans="1:20" x14ac:dyDescent="0.25">
      <c r="A215" s="2">
        <v>1</v>
      </c>
      <c r="B215" s="2" t="s">
        <v>1867</v>
      </c>
      <c r="C215" s="2" t="s">
        <v>1868</v>
      </c>
      <c r="D215" s="2" t="s">
        <v>20</v>
      </c>
      <c r="E215" s="3">
        <v>45716.515925925924</v>
      </c>
      <c r="F215" s="3">
        <v>45716.515925925924</v>
      </c>
      <c r="G215" s="4">
        <v>45737</v>
      </c>
      <c r="H215" s="2" t="s">
        <v>21</v>
      </c>
      <c r="I215" s="2" t="s">
        <v>22</v>
      </c>
      <c r="J215" s="2">
        <v>1</v>
      </c>
      <c r="K215" s="2">
        <v>2045.52</v>
      </c>
      <c r="L215" s="2">
        <v>0</v>
      </c>
      <c r="M215" s="2">
        <v>1417.148175388546</v>
      </c>
      <c r="N215" s="2">
        <v>1948.11</v>
      </c>
      <c r="O215" s="2">
        <v>97.41</v>
      </c>
      <c r="P215" s="2">
        <v>2045.52</v>
      </c>
      <c r="Q215" s="2" t="s">
        <v>44</v>
      </c>
      <c r="R215" s="2"/>
      <c r="S215" t="str">
        <f>VLOOKUP(B215,CASOPOInvCL!$B$1:$D$1600,1,FALSE)</f>
        <v>SO16694</v>
      </c>
      <c r="T215">
        <f t="shared" si="3"/>
        <v>2</v>
      </c>
    </row>
    <row r="216" spans="1:20" x14ac:dyDescent="0.25">
      <c r="A216" s="2">
        <v>1</v>
      </c>
      <c r="B216" s="2" t="s">
        <v>1747</v>
      </c>
      <c r="C216" s="2" t="s">
        <v>1748</v>
      </c>
      <c r="D216" s="2" t="s">
        <v>581</v>
      </c>
      <c r="E216" s="3">
        <v>45716.597546296303</v>
      </c>
      <c r="F216" s="3">
        <v>45736.411736111113</v>
      </c>
      <c r="G216" s="4">
        <v>45737</v>
      </c>
      <c r="H216" s="2" t="s">
        <v>21</v>
      </c>
      <c r="I216" s="2" t="s">
        <v>51</v>
      </c>
      <c r="J216" s="2">
        <v>0.69777964949161275</v>
      </c>
      <c r="K216" s="2">
        <v>182.0632059025491</v>
      </c>
      <c r="L216" s="2">
        <v>0</v>
      </c>
      <c r="M216" s="2">
        <v>127.04</v>
      </c>
      <c r="N216" s="2">
        <v>127.04</v>
      </c>
      <c r="O216" s="2"/>
      <c r="P216" s="2">
        <v>127.04</v>
      </c>
      <c r="Q216" s="2" t="s">
        <v>44</v>
      </c>
      <c r="R216" s="2"/>
      <c r="S216" t="str">
        <f>VLOOKUP(B216,CASOPOInvCL!$B$1:$D$1600,1,FALSE)</f>
        <v>SO16696</v>
      </c>
      <c r="T216">
        <f t="shared" si="3"/>
        <v>2</v>
      </c>
    </row>
    <row r="217" spans="1:20" x14ac:dyDescent="0.25">
      <c r="A217" s="2">
        <v>1</v>
      </c>
      <c r="B217" s="2" t="s">
        <v>1795</v>
      </c>
      <c r="C217" s="2" t="s">
        <v>1796</v>
      </c>
      <c r="D217" s="2" t="s">
        <v>1797</v>
      </c>
      <c r="E217" s="3">
        <v>45716.705671296288</v>
      </c>
      <c r="F217" s="3">
        <v>45728.419490740736</v>
      </c>
      <c r="G217" s="4">
        <v>45730</v>
      </c>
      <c r="H217" s="2" t="s">
        <v>21</v>
      </c>
      <c r="I217" s="2" t="s">
        <v>22</v>
      </c>
      <c r="J217" s="2">
        <v>1</v>
      </c>
      <c r="K217" s="2">
        <v>2197.21</v>
      </c>
      <c r="L217" s="2">
        <v>0</v>
      </c>
      <c r="M217" s="2">
        <v>1525.8465398041619</v>
      </c>
      <c r="N217" s="2">
        <v>2092.58</v>
      </c>
      <c r="O217" s="2">
        <v>104.63</v>
      </c>
      <c r="P217" s="2">
        <v>2197.21</v>
      </c>
      <c r="Q217" s="2" t="s">
        <v>44</v>
      </c>
      <c r="R217" s="2"/>
      <c r="S217" t="str">
        <f>VLOOKUP(B217,CASOPOInvCL!$B$1:$D$1600,1,FALSE)</f>
        <v>SO16698</v>
      </c>
      <c r="T217">
        <f t="shared" si="3"/>
        <v>2</v>
      </c>
    </row>
    <row r="218" spans="1:20" x14ac:dyDescent="0.25">
      <c r="A218" s="2">
        <v>2</v>
      </c>
      <c r="B218" s="2" t="s">
        <v>1859</v>
      </c>
      <c r="C218" s="2" t="s">
        <v>1860</v>
      </c>
      <c r="D218" s="2" t="s">
        <v>146</v>
      </c>
      <c r="E218" s="3">
        <v>45719.514849537038</v>
      </c>
      <c r="F218" s="3">
        <v>45719.520995370367</v>
      </c>
      <c r="G218" s="4">
        <v>45747</v>
      </c>
      <c r="H218" s="2" t="s">
        <v>21</v>
      </c>
      <c r="I218" s="2" t="s">
        <v>22</v>
      </c>
      <c r="J218" s="2">
        <v>1</v>
      </c>
      <c r="K218" s="2">
        <v>663.2</v>
      </c>
      <c r="L218" s="2">
        <v>0</v>
      </c>
      <c r="M218" s="2">
        <v>460.5225457113566</v>
      </c>
      <c r="N218" s="2">
        <v>631.62</v>
      </c>
      <c r="O218" s="2">
        <v>31.58</v>
      </c>
      <c r="P218" s="2">
        <v>663.2</v>
      </c>
      <c r="Q218" s="2" t="s">
        <v>44</v>
      </c>
      <c r="R218" s="2"/>
      <c r="S218" t="str">
        <f>VLOOKUP(B218,CASOPOInvCL!$B$1:$D$1600,1,FALSE)</f>
        <v>SO16703</v>
      </c>
      <c r="T218">
        <f t="shared" si="3"/>
        <v>3</v>
      </c>
    </row>
    <row r="219" spans="1:20" ht="30" x14ac:dyDescent="0.25">
      <c r="A219" s="2">
        <v>1</v>
      </c>
      <c r="B219" s="2" t="s">
        <v>1857</v>
      </c>
      <c r="C219" s="2" t="s">
        <v>1858</v>
      </c>
      <c r="D219" s="2" t="s">
        <v>630</v>
      </c>
      <c r="E219" s="3">
        <v>45719.52851851852</v>
      </c>
      <c r="F219" s="3">
        <v>45719.530081018522</v>
      </c>
      <c r="G219" s="4">
        <v>44996</v>
      </c>
      <c r="H219" s="2" t="s">
        <v>21</v>
      </c>
      <c r="I219" s="2" t="s">
        <v>22</v>
      </c>
      <c r="J219" s="2">
        <v>1</v>
      </c>
      <c r="K219" s="2">
        <v>0</v>
      </c>
      <c r="L219" s="2">
        <v>0</v>
      </c>
      <c r="M219" s="2">
        <v>0</v>
      </c>
      <c r="N219" s="2"/>
      <c r="O219" s="2"/>
      <c r="P219" s="2"/>
      <c r="Q219" s="2" t="s">
        <v>44</v>
      </c>
      <c r="R219" s="2"/>
      <c r="S219" t="str">
        <f>VLOOKUP(B219,CASOPOInvCL!$B$1:$D$1600,1,FALSE)</f>
        <v>SO16704</v>
      </c>
      <c r="T219">
        <f t="shared" si="3"/>
        <v>3</v>
      </c>
    </row>
    <row r="220" spans="1:20" x14ac:dyDescent="0.25">
      <c r="A220" s="2">
        <v>1</v>
      </c>
      <c r="B220" s="2" t="s">
        <v>1855</v>
      </c>
      <c r="C220" s="2" t="s">
        <v>1856</v>
      </c>
      <c r="D220" s="2" t="s">
        <v>77</v>
      </c>
      <c r="E220" s="3">
        <v>45719.621979166674</v>
      </c>
      <c r="F220" s="3">
        <v>45719.622847222221</v>
      </c>
      <c r="G220" s="4">
        <v>45721</v>
      </c>
      <c r="H220" s="2" t="s">
        <v>21</v>
      </c>
      <c r="I220" s="2" t="s">
        <v>22</v>
      </c>
      <c r="J220" s="2">
        <v>1</v>
      </c>
      <c r="K220" s="2">
        <v>283.87</v>
      </c>
      <c r="L220" s="2">
        <v>0</v>
      </c>
      <c r="M220" s="2">
        <v>197.11781521574599</v>
      </c>
      <c r="N220" s="2">
        <v>270.35000000000002</v>
      </c>
      <c r="O220" s="2">
        <v>13.52</v>
      </c>
      <c r="P220" s="2">
        <v>283.87</v>
      </c>
      <c r="Q220" s="2" t="s">
        <v>44</v>
      </c>
      <c r="R220" s="2"/>
      <c r="S220" t="str">
        <f>VLOOKUP(B220,CASOPOInvCL!$B$1:$D$1600,1,FALSE)</f>
        <v>SO16705</v>
      </c>
      <c r="T220">
        <f t="shared" si="3"/>
        <v>3</v>
      </c>
    </row>
    <row r="221" spans="1:20" x14ac:dyDescent="0.25">
      <c r="A221" s="2">
        <v>1</v>
      </c>
      <c r="B221" s="2" t="s">
        <v>1763</v>
      </c>
      <c r="C221" s="2" t="s">
        <v>1764</v>
      </c>
      <c r="D221" s="2" t="s">
        <v>146</v>
      </c>
      <c r="E221" s="3">
        <v>45719.723564814813</v>
      </c>
      <c r="F221" s="3">
        <v>45734.483796296299</v>
      </c>
      <c r="G221" s="4">
        <v>45735</v>
      </c>
      <c r="H221" s="2" t="s">
        <v>21</v>
      </c>
      <c r="I221" s="2" t="s">
        <v>22</v>
      </c>
      <c r="J221" s="2">
        <v>1</v>
      </c>
      <c r="K221" s="2">
        <v>6899.97</v>
      </c>
      <c r="L221" s="2">
        <v>0</v>
      </c>
      <c r="M221" s="2">
        <v>4821.2009685891953</v>
      </c>
      <c r="N221" s="2">
        <v>6571.4</v>
      </c>
      <c r="O221" s="2">
        <v>328.57</v>
      </c>
      <c r="P221" s="2">
        <v>6899.97</v>
      </c>
      <c r="Q221" s="2" t="s">
        <v>44</v>
      </c>
      <c r="R221" s="2"/>
      <c r="S221" t="str">
        <f>VLOOKUP(B221,CASOPOInvCL!$B$1:$D$1600,1,FALSE)</f>
        <v>SO16706</v>
      </c>
      <c r="T221">
        <f t="shared" si="3"/>
        <v>3</v>
      </c>
    </row>
    <row r="222" spans="1:20" ht="75" x14ac:dyDescent="0.25">
      <c r="A222" s="2">
        <v>2</v>
      </c>
      <c r="B222" s="2" t="s">
        <v>1850</v>
      </c>
      <c r="C222" s="2" t="s">
        <v>1851</v>
      </c>
      <c r="D222" s="2" t="s">
        <v>1852</v>
      </c>
      <c r="E222" s="3">
        <v>45719.729571759257</v>
      </c>
      <c r="F222" s="3">
        <v>45720.702627314808</v>
      </c>
      <c r="G222" s="4">
        <v>45790</v>
      </c>
      <c r="H222" s="2" t="s">
        <v>21</v>
      </c>
      <c r="I222" s="2" t="s">
        <v>51</v>
      </c>
      <c r="J222" s="2">
        <v>0.69439467085548334</v>
      </c>
      <c r="K222" s="2">
        <v>6126.7031251243734</v>
      </c>
      <c r="L222" s="2">
        <v>0</v>
      </c>
      <c r="M222" s="2">
        <v>4254.3500000000004</v>
      </c>
      <c r="N222" s="2">
        <v>4254.3500000000004</v>
      </c>
      <c r="O222" s="2"/>
      <c r="P222" s="2">
        <v>4254.3500000000004</v>
      </c>
      <c r="Q222" s="2" t="s">
        <v>44</v>
      </c>
      <c r="R222" s="2"/>
      <c r="S222" t="str">
        <f>VLOOKUP(B222,CASOPOInvCL!$B$1:$D$1600,1,FALSE)</f>
        <v>SO16707</v>
      </c>
      <c r="T222">
        <f t="shared" si="3"/>
        <v>3</v>
      </c>
    </row>
    <row r="223" spans="1:20" x14ac:dyDescent="0.25">
      <c r="A223" s="2">
        <v>1</v>
      </c>
      <c r="B223" s="2" t="s">
        <v>1833</v>
      </c>
      <c r="C223" s="2" t="s">
        <v>1834</v>
      </c>
      <c r="D223" s="2" t="s">
        <v>1835</v>
      </c>
      <c r="E223" s="3">
        <v>45719.735150462962</v>
      </c>
      <c r="F223" s="3">
        <v>45722.618761574071</v>
      </c>
      <c r="G223" s="4">
        <v>45723</v>
      </c>
      <c r="H223" s="2" t="s">
        <v>21</v>
      </c>
      <c r="I223" s="2" t="s">
        <v>22</v>
      </c>
      <c r="J223" s="2">
        <v>1</v>
      </c>
      <c r="K223" s="2">
        <v>1492.58</v>
      </c>
      <c r="L223" s="2">
        <v>0</v>
      </c>
      <c r="M223" s="2">
        <v>1045.2518355520631</v>
      </c>
      <c r="N223" s="2">
        <v>1421.5</v>
      </c>
      <c r="O223" s="2">
        <v>71.08</v>
      </c>
      <c r="P223" s="2">
        <v>1492.58</v>
      </c>
      <c r="Q223" s="2" t="s">
        <v>44</v>
      </c>
      <c r="R223" s="2"/>
      <c r="S223" t="str">
        <f>VLOOKUP(B223,CASOPOInvCL!$B$1:$D$1600,1,FALSE)</f>
        <v>SO16708</v>
      </c>
      <c r="T223">
        <f t="shared" si="3"/>
        <v>3</v>
      </c>
    </row>
    <row r="224" spans="1:20" x14ac:dyDescent="0.25">
      <c r="A224" s="2">
        <v>2</v>
      </c>
      <c r="B224" s="2" t="s">
        <v>1842</v>
      </c>
      <c r="C224" s="2" t="s">
        <v>1843</v>
      </c>
      <c r="D224" s="2" t="s">
        <v>229</v>
      </c>
      <c r="E224" s="3">
        <v>45720.499201388891</v>
      </c>
      <c r="F224" s="3">
        <v>45721.72084490741</v>
      </c>
      <c r="G224" s="4">
        <v>45742</v>
      </c>
      <c r="H224" s="2" t="s">
        <v>21</v>
      </c>
      <c r="I224" s="2" t="s">
        <v>22</v>
      </c>
      <c r="J224" s="2">
        <v>1</v>
      </c>
      <c r="K224" s="2">
        <v>2094.98</v>
      </c>
      <c r="L224" s="2">
        <v>0</v>
      </c>
      <c r="M224" s="2">
        <v>1456.7365125260169</v>
      </c>
      <c r="N224" s="2">
        <v>1995.22</v>
      </c>
      <c r="O224" s="2">
        <v>99.76</v>
      </c>
      <c r="P224" s="2">
        <v>2094.98</v>
      </c>
      <c r="Q224" s="2" t="s">
        <v>44</v>
      </c>
      <c r="R224" s="2"/>
      <c r="S224" t="str">
        <f>VLOOKUP(B224,CASOPOInvCL!$B$1:$D$1600,1,FALSE)</f>
        <v>SO16711</v>
      </c>
      <c r="T224">
        <f t="shared" si="3"/>
        <v>3</v>
      </c>
    </row>
    <row r="225" spans="1:20" x14ac:dyDescent="0.25">
      <c r="A225" s="2">
        <v>2</v>
      </c>
      <c r="B225" s="2" t="s">
        <v>1840</v>
      </c>
      <c r="C225" s="2" t="s">
        <v>1841</v>
      </c>
      <c r="D225" s="2" t="s">
        <v>986</v>
      </c>
      <c r="E225" s="3">
        <v>45720.512141203697</v>
      </c>
      <c r="F225" s="3">
        <v>45722.366793981477</v>
      </c>
      <c r="G225" s="4">
        <v>45763</v>
      </c>
      <c r="H225" s="2" t="s">
        <v>180</v>
      </c>
      <c r="I225" s="2" t="s">
        <v>51</v>
      </c>
      <c r="J225" s="2">
        <v>0.69534626226790575</v>
      </c>
      <c r="K225" s="2">
        <v>10642.179877209001</v>
      </c>
      <c r="L225" s="2">
        <v>0</v>
      </c>
      <c r="M225" s="2">
        <v>7400</v>
      </c>
      <c r="N225" s="2">
        <v>7400</v>
      </c>
      <c r="O225" s="2"/>
      <c r="P225" s="2">
        <v>7400</v>
      </c>
      <c r="Q225" s="2" t="s">
        <v>44</v>
      </c>
      <c r="R225" s="2"/>
      <c r="S225" t="str">
        <f>VLOOKUP(B225,CASOPOInvCL!$B$1:$D$1600,1,FALSE)</f>
        <v>SO16712</v>
      </c>
      <c r="T225">
        <f t="shared" si="3"/>
        <v>3</v>
      </c>
    </row>
    <row r="226" spans="1:20" x14ac:dyDescent="0.25">
      <c r="A226" s="2">
        <v>1</v>
      </c>
      <c r="B226" s="2" t="s">
        <v>1838</v>
      </c>
      <c r="C226" s="2" t="s">
        <v>1839</v>
      </c>
      <c r="D226" s="2" t="s">
        <v>689</v>
      </c>
      <c r="E226" s="3">
        <v>45720.683715277781</v>
      </c>
      <c r="F226" s="3">
        <v>45722.534803240742</v>
      </c>
      <c r="G226" s="4">
        <v>45723</v>
      </c>
      <c r="H226" s="2" t="s">
        <v>21</v>
      </c>
      <c r="I226" s="2" t="s">
        <v>22</v>
      </c>
      <c r="J226" s="2">
        <v>1</v>
      </c>
      <c r="K226" s="2">
        <v>337.62</v>
      </c>
      <c r="L226" s="2">
        <v>0</v>
      </c>
      <c r="M226" s="2">
        <v>236.43484752514951</v>
      </c>
      <c r="N226" s="2">
        <v>298.77999999999997</v>
      </c>
      <c r="O226" s="2">
        <v>38.840000000000003</v>
      </c>
      <c r="P226" s="2">
        <v>337.62</v>
      </c>
      <c r="Q226" s="2" t="s">
        <v>44</v>
      </c>
      <c r="R226" s="2"/>
      <c r="S226" t="str">
        <f>VLOOKUP(B226,CASOPOInvCL!$B$1:$D$1600,1,FALSE)</f>
        <v>SO16714</v>
      </c>
      <c r="T226">
        <f t="shared" si="3"/>
        <v>3</v>
      </c>
    </row>
    <row r="227" spans="1:20" x14ac:dyDescent="0.25">
      <c r="A227" s="2">
        <v>1</v>
      </c>
      <c r="B227" s="2" t="s">
        <v>1819</v>
      </c>
      <c r="C227" s="2" t="s">
        <v>1820</v>
      </c>
      <c r="D227" s="2" t="s">
        <v>242</v>
      </c>
      <c r="E227" s="3">
        <v>45720.714039351849</v>
      </c>
      <c r="F227" s="3">
        <v>45726.426030092603</v>
      </c>
      <c r="G227" s="4">
        <v>45728</v>
      </c>
      <c r="H227" s="2" t="s">
        <v>21</v>
      </c>
      <c r="I227" s="2" t="s">
        <v>22</v>
      </c>
      <c r="J227" s="2">
        <v>1</v>
      </c>
      <c r="K227" s="2">
        <v>746.81</v>
      </c>
      <c r="L227" s="2">
        <v>746.81</v>
      </c>
      <c r="M227" s="2">
        <v>746.81</v>
      </c>
      <c r="N227" s="2">
        <v>711.25</v>
      </c>
      <c r="O227" s="2">
        <v>35.56</v>
      </c>
      <c r="P227" s="2">
        <v>746.81</v>
      </c>
      <c r="Q227" s="2" t="s">
        <v>44</v>
      </c>
      <c r="R227" s="2"/>
      <c r="S227" t="str">
        <f>VLOOKUP(B227,CASOPOInvCL!$B$1:$D$1600,1,FALSE)</f>
        <v>SO16715</v>
      </c>
      <c r="T227">
        <f t="shared" si="3"/>
        <v>3</v>
      </c>
    </row>
    <row r="228" spans="1:20" x14ac:dyDescent="0.25">
      <c r="A228" s="2">
        <v>2</v>
      </c>
      <c r="B228" s="2" t="s">
        <v>1846</v>
      </c>
      <c r="C228" s="2" t="s">
        <v>1847</v>
      </c>
      <c r="D228" s="2" t="s">
        <v>54</v>
      </c>
      <c r="E228" s="3">
        <v>45720.732708333337</v>
      </c>
      <c r="F228" s="3">
        <v>45721.380810185183</v>
      </c>
      <c r="G228" s="4">
        <v>45749</v>
      </c>
      <c r="H228" s="2" t="s">
        <v>21</v>
      </c>
      <c r="I228" s="2" t="s">
        <v>22</v>
      </c>
      <c r="J228" s="2">
        <v>1</v>
      </c>
      <c r="K228" s="2">
        <v>1420.18</v>
      </c>
      <c r="L228" s="2">
        <v>0</v>
      </c>
      <c r="M228" s="2">
        <v>987.5168547476344</v>
      </c>
      <c r="N228" s="2">
        <v>1352.55</v>
      </c>
      <c r="O228" s="2">
        <v>67.63</v>
      </c>
      <c r="P228" s="2">
        <v>1420.18</v>
      </c>
      <c r="Q228" s="2" t="s">
        <v>44</v>
      </c>
      <c r="R228" s="2"/>
      <c r="S228" t="str">
        <f>VLOOKUP(B228,CASOPOInvCL!$B$1:$D$1600,1,FALSE)</f>
        <v>SO16718</v>
      </c>
      <c r="T228">
        <f t="shared" si="3"/>
        <v>3</v>
      </c>
    </row>
    <row r="229" spans="1:20" x14ac:dyDescent="0.25">
      <c r="A229" s="2">
        <v>1</v>
      </c>
      <c r="B229" s="2" t="s">
        <v>1848</v>
      </c>
      <c r="C229" s="2" t="s">
        <v>1849</v>
      </c>
      <c r="D229" s="2" t="s">
        <v>129</v>
      </c>
      <c r="E229" s="3">
        <v>45720.756493055553</v>
      </c>
      <c r="F229" s="3">
        <v>45720.756793981483</v>
      </c>
      <c r="G229" s="4">
        <v>45744</v>
      </c>
      <c r="H229" s="2" t="s">
        <v>130</v>
      </c>
      <c r="I229" s="2" t="s">
        <v>51</v>
      </c>
      <c r="J229" s="2">
        <v>0.69439467085548334</v>
      </c>
      <c r="K229" s="2">
        <v>86.406193074726431</v>
      </c>
      <c r="L229" s="2">
        <v>0</v>
      </c>
      <c r="M229" s="2">
        <v>60</v>
      </c>
      <c r="N229" s="2">
        <v>60</v>
      </c>
      <c r="O229" s="2"/>
      <c r="P229" s="2">
        <v>60</v>
      </c>
      <c r="Q229" s="2" t="s">
        <v>44</v>
      </c>
      <c r="R229" s="2"/>
      <c r="S229" t="str">
        <f>VLOOKUP(B229,CASOPOInvCL!$B$1:$D$1600,1,FALSE)</f>
        <v>SO16719</v>
      </c>
      <c r="T229">
        <f t="shared" si="3"/>
        <v>3</v>
      </c>
    </row>
    <row r="230" spans="1:20" x14ac:dyDescent="0.25">
      <c r="A230" s="2">
        <v>1</v>
      </c>
      <c r="B230" s="2" t="s">
        <v>1844</v>
      </c>
      <c r="C230" s="2" t="s">
        <v>1845</v>
      </c>
      <c r="D230" s="2" t="s">
        <v>146</v>
      </c>
      <c r="E230" s="3">
        <v>45721.46266203704</v>
      </c>
      <c r="F230" s="3">
        <v>45721.538460648153</v>
      </c>
      <c r="G230" s="4">
        <v>45784</v>
      </c>
      <c r="H230" s="2" t="s">
        <v>21</v>
      </c>
      <c r="I230" s="2" t="s">
        <v>22</v>
      </c>
      <c r="J230" s="2">
        <v>1</v>
      </c>
      <c r="K230" s="2">
        <v>1245.19</v>
      </c>
      <c r="L230" s="2">
        <v>0</v>
      </c>
      <c r="M230" s="2">
        <v>865.83821231337356</v>
      </c>
      <c r="N230" s="2">
        <v>1185.8900000000001</v>
      </c>
      <c r="O230" s="2">
        <v>59.3</v>
      </c>
      <c r="P230" s="2">
        <v>1245.19</v>
      </c>
      <c r="Q230" s="2" t="s">
        <v>44</v>
      </c>
      <c r="R230" s="2"/>
      <c r="S230" t="str">
        <f>VLOOKUP(B230,CASOPOInvCL!$B$1:$D$1600,1,FALSE)</f>
        <v>SO16720</v>
      </c>
      <c r="T230">
        <f t="shared" si="3"/>
        <v>3</v>
      </c>
    </row>
    <row r="231" spans="1:20" x14ac:dyDescent="0.25">
      <c r="A231" s="2">
        <v>1</v>
      </c>
      <c r="B231" s="2" t="s">
        <v>1836</v>
      </c>
      <c r="C231" s="2" t="s">
        <v>1837</v>
      </c>
      <c r="D231" s="2" t="s">
        <v>242</v>
      </c>
      <c r="E231" s="3">
        <v>45722.481874999998</v>
      </c>
      <c r="F231" s="3">
        <v>45722.601226851853</v>
      </c>
      <c r="G231" s="4">
        <v>45723</v>
      </c>
      <c r="H231" s="2" t="s">
        <v>21</v>
      </c>
      <c r="I231" s="2" t="s">
        <v>22</v>
      </c>
      <c r="J231" s="2">
        <v>1</v>
      </c>
      <c r="K231" s="2">
        <v>2043.9</v>
      </c>
      <c r="L231" s="2">
        <v>0</v>
      </c>
      <c r="M231" s="2">
        <v>1431.340515540114</v>
      </c>
      <c r="N231" s="2">
        <v>1946.57</v>
      </c>
      <c r="O231" s="2">
        <v>97.33</v>
      </c>
      <c r="P231" s="2">
        <v>2043.9</v>
      </c>
      <c r="Q231" s="2" t="s">
        <v>44</v>
      </c>
      <c r="R231" s="2"/>
      <c r="S231" t="str">
        <f>VLOOKUP(B231,CASOPOInvCL!$B$1:$D$1600,1,FALSE)</f>
        <v>SO16725</v>
      </c>
      <c r="T231">
        <f t="shared" si="3"/>
        <v>3</v>
      </c>
    </row>
    <row r="232" spans="1:20" x14ac:dyDescent="0.25">
      <c r="A232" s="2">
        <v>1</v>
      </c>
      <c r="B232" s="2" t="s">
        <v>1621</v>
      </c>
      <c r="C232" s="2" t="s">
        <v>1622</v>
      </c>
      <c r="D232" s="2" t="s">
        <v>149</v>
      </c>
      <c r="E232" s="3">
        <v>45722.608634259261</v>
      </c>
      <c r="F232" s="3">
        <v>45757.614872685182</v>
      </c>
      <c r="G232" s="4">
        <v>45758</v>
      </c>
      <c r="H232" s="2" t="s">
        <v>21</v>
      </c>
      <c r="I232" s="2" t="s">
        <v>51</v>
      </c>
      <c r="J232" s="2">
        <v>0.70412200178460038</v>
      </c>
      <c r="K232" s="2">
        <v>8672.1050961676501</v>
      </c>
      <c r="L232" s="2">
        <v>0</v>
      </c>
      <c r="M232" s="2">
        <v>6106.22</v>
      </c>
      <c r="N232" s="2">
        <v>6106.22</v>
      </c>
      <c r="O232" s="2"/>
      <c r="P232" s="2">
        <v>6106.22</v>
      </c>
      <c r="Q232" s="2" t="s">
        <v>44</v>
      </c>
      <c r="R232" s="2"/>
      <c r="S232" t="str">
        <f>VLOOKUP(B232,CASOPOInvCL!$B$1:$D$1600,1,FALSE)</f>
        <v>SO16727</v>
      </c>
      <c r="T232">
        <f t="shared" si="3"/>
        <v>3</v>
      </c>
    </row>
    <row r="233" spans="1:20" ht="30" x14ac:dyDescent="0.25">
      <c r="A233" s="2">
        <v>1</v>
      </c>
      <c r="B233" s="2" t="s">
        <v>1827</v>
      </c>
      <c r="C233" s="2" t="s">
        <v>1828</v>
      </c>
      <c r="D233" s="2" t="s">
        <v>98</v>
      </c>
      <c r="E233" s="3">
        <v>45723.445532407408</v>
      </c>
      <c r="F233" s="3">
        <v>45723.446296296293</v>
      </c>
      <c r="G233" s="4">
        <v>45723</v>
      </c>
      <c r="H233" s="2" t="s">
        <v>1132</v>
      </c>
      <c r="I233" s="2" t="s">
        <v>22</v>
      </c>
      <c r="J233" s="2">
        <v>1</v>
      </c>
      <c r="K233" s="2">
        <v>0</v>
      </c>
      <c r="L233" s="2">
        <v>0</v>
      </c>
      <c r="M233" s="2">
        <v>0</v>
      </c>
      <c r="N233" s="2"/>
      <c r="O233" s="2"/>
      <c r="P233" s="2"/>
      <c r="Q233" s="2" t="s">
        <v>44</v>
      </c>
      <c r="R233" s="2"/>
      <c r="S233" t="str">
        <f>VLOOKUP(B233,CASOPOInvCL!$B$1:$D$1600,1,FALSE)</f>
        <v>SO16732</v>
      </c>
      <c r="T233">
        <f t="shared" si="3"/>
        <v>3</v>
      </c>
    </row>
    <row r="234" spans="1:20" x14ac:dyDescent="0.25">
      <c r="A234" s="2">
        <v>3</v>
      </c>
      <c r="B234" s="2" t="s">
        <v>1804</v>
      </c>
      <c r="C234" s="2" t="s">
        <v>1805</v>
      </c>
      <c r="D234" s="2" t="s">
        <v>98</v>
      </c>
      <c r="E234" s="3">
        <v>45723.467453703714</v>
      </c>
      <c r="F234" s="3">
        <v>45727.688425925917</v>
      </c>
      <c r="G234" s="4">
        <v>45748</v>
      </c>
      <c r="H234" s="2" t="s">
        <v>21</v>
      </c>
      <c r="I234" s="2" t="s">
        <v>22</v>
      </c>
      <c r="J234" s="2">
        <v>1</v>
      </c>
      <c r="K234" s="2">
        <v>9600.0499999999993</v>
      </c>
      <c r="L234" s="2">
        <v>0</v>
      </c>
      <c r="M234" s="2">
        <v>6636.2105933580606</v>
      </c>
      <c r="N234" s="2">
        <v>8495.61</v>
      </c>
      <c r="O234" s="2">
        <v>1104.44</v>
      </c>
      <c r="P234" s="2">
        <v>9600.0499999999993</v>
      </c>
      <c r="Q234" s="2" t="s">
        <v>44</v>
      </c>
      <c r="R234" s="2"/>
      <c r="S234" t="str">
        <f>VLOOKUP(B234,CASOPOInvCL!$B$1:$D$1600,1,FALSE)</f>
        <v>SO16733</v>
      </c>
      <c r="T234">
        <f t="shared" si="3"/>
        <v>3</v>
      </c>
    </row>
    <row r="235" spans="1:20" x14ac:dyDescent="0.25">
      <c r="A235" s="2">
        <v>1</v>
      </c>
      <c r="B235" s="2" t="s">
        <v>1813</v>
      </c>
      <c r="C235" s="2" t="s">
        <v>1814</v>
      </c>
      <c r="D235" s="2" t="s">
        <v>229</v>
      </c>
      <c r="E235" s="3">
        <v>45723.480196759258</v>
      </c>
      <c r="F235" s="3">
        <v>45726.63548611111</v>
      </c>
      <c r="G235" s="4">
        <v>45728</v>
      </c>
      <c r="H235" s="2" t="s">
        <v>21</v>
      </c>
      <c r="I235" s="2" t="s">
        <v>22</v>
      </c>
      <c r="J235" s="2">
        <v>1</v>
      </c>
      <c r="K235" s="2">
        <v>2001.4</v>
      </c>
      <c r="L235" s="2">
        <v>2001.4</v>
      </c>
      <c r="M235" s="2">
        <v>2001.4</v>
      </c>
      <c r="N235" s="2">
        <v>1906.1</v>
      </c>
      <c r="O235" s="2">
        <v>95.3</v>
      </c>
      <c r="P235" s="2">
        <v>2001.4</v>
      </c>
      <c r="Q235" s="2" t="s">
        <v>44</v>
      </c>
      <c r="R235" s="2"/>
      <c r="S235" t="str">
        <f>VLOOKUP(B235,CASOPOInvCL!$B$1:$D$1600,1,FALSE)</f>
        <v>SO16734</v>
      </c>
      <c r="T235">
        <f t="shared" si="3"/>
        <v>3</v>
      </c>
    </row>
    <row r="236" spans="1:20" x14ac:dyDescent="0.25">
      <c r="A236" s="2">
        <v>1</v>
      </c>
      <c r="B236" s="2" t="s">
        <v>1823</v>
      </c>
      <c r="C236" s="2" t="s">
        <v>1824</v>
      </c>
      <c r="D236" s="2" t="s">
        <v>556</v>
      </c>
      <c r="E236" s="3">
        <v>45723.710636574076</v>
      </c>
      <c r="F236" s="3">
        <v>45723.711921296293</v>
      </c>
      <c r="G236" s="4">
        <v>45727</v>
      </c>
      <c r="H236" s="2" t="s">
        <v>21</v>
      </c>
      <c r="I236" s="2" t="s">
        <v>22</v>
      </c>
      <c r="J236" s="2">
        <v>1</v>
      </c>
      <c r="K236" s="2">
        <v>945.5</v>
      </c>
      <c r="L236" s="2">
        <v>0</v>
      </c>
      <c r="M236" s="2">
        <v>657.09521283526954</v>
      </c>
      <c r="N236" s="2">
        <v>836.73</v>
      </c>
      <c r="O236" s="2">
        <v>108.77</v>
      </c>
      <c r="P236" s="2">
        <v>945.5</v>
      </c>
      <c r="Q236" s="2" t="s">
        <v>44</v>
      </c>
      <c r="R236" s="2"/>
      <c r="S236" t="str">
        <f>VLOOKUP(B236,CASOPOInvCL!$B$1:$D$1600,1,FALSE)</f>
        <v>SO16736</v>
      </c>
      <c r="T236">
        <f t="shared" si="3"/>
        <v>3</v>
      </c>
    </row>
    <row r="237" spans="1:20" ht="30" x14ac:dyDescent="0.25">
      <c r="A237" s="2">
        <v>1</v>
      </c>
      <c r="B237" s="2" t="s">
        <v>1414</v>
      </c>
      <c r="C237" s="2" t="s">
        <v>1415</v>
      </c>
      <c r="D237" s="2" t="s">
        <v>576</v>
      </c>
      <c r="E237" s="3">
        <v>45723.717766203707</v>
      </c>
      <c r="F237" s="3">
        <v>45792.354305555556</v>
      </c>
      <c r="G237" s="4">
        <v>45793</v>
      </c>
      <c r="H237" s="2" t="s">
        <v>1132</v>
      </c>
      <c r="I237" s="2" t="s">
        <v>22</v>
      </c>
      <c r="J237" s="2">
        <v>1</v>
      </c>
      <c r="K237" s="2">
        <v>3912.99</v>
      </c>
      <c r="L237" s="2">
        <v>0</v>
      </c>
      <c r="M237" s="2">
        <v>2797.0073208512781</v>
      </c>
      <c r="N237" s="2">
        <v>3726.65</v>
      </c>
      <c r="O237" s="2">
        <v>186.34</v>
      </c>
      <c r="P237" s="2">
        <v>3912.99</v>
      </c>
      <c r="Q237" s="2" t="s">
        <v>44</v>
      </c>
      <c r="R237" s="2"/>
      <c r="S237" t="str">
        <f>VLOOKUP(B237,CASOPOInvCL!$B$1:$D$1600,1,FALSE)</f>
        <v>SO16737</v>
      </c>
      <c r="T237">
        <f t="shared" si="3"/>
        <v>3</v>
      </c>
    </row>
    <row r="238" spans="1:20" x14ac:dyDescent="0.25">
      <c r="A238" s="2">
        <v>1</v>
      </c>
      <c r="B238" s="2" t="s">
        <v>1821</v>
      </c>
      <c r="C238" s="2" t="s">
        <v>1822</v>
      </c>
      <c r="D238" s="2" t="s">
        <v>129</v>
      </c>
      <c r="E238" s="3">
        <v>45723.7812962963</v>
      </c>
      <c r="F238" s="3">
        <v>45723.781064814822</v>
      </c>
      <c r="G238" s="4">
        <v>45744</v>
      </c>
      <c r="H238" s="2" t="s">
        <v>130</v>
      </c>
      <c r="I238" s="2" t="s">
        <v>51</v>
      </c>
      <c r="J238" s="2">
        <v>0.70029870127702598</v>
      </c>
      <c r="K238" s="2">
        <v>197.05876899150439</v>
      </c>
      <c r="L238" s="2">
        <v>0</v>
      </c>
      <c r="M238" s="2">
        <v>138</v>
      </c>
      <c r="N238" s="2">
        <v>138</v>
      </c>
      <c r="O238" s="2"/>
      <c r="P238" s="2">
        <v>138</v>
      </c>
      <c r="Q238" s="2" t="s">
        <v>44</v>
      </c>
      <c r="R238" s="2"/>
      <c r="S238" t="str">
        <f>VLOOKUP(B238,CASOPOInvCL!$B$1:$D$1600,1,FALSE)</f>
        <v>SO16738</v>
      </c>
      <c r="T238">
        <f t="shared" si="3"/>
        <v>3</v>
      </c>
    </row>
    <row r="239" spans="1:20" x14ac:dyDescent="0.25">
      <c r="A239" s="2">
        <v>1</v>
      </c>
      <c r="B239" s="2" t="s">
        <v>1812</v>
      </c>
      <c r="C239" s="2" t="s">
        <v>1484</v>
      </c>
      <c r="D239" s="2" t="s">
        <v>171</v>
      </c>
      <c r="E239" s="3">
        <v>45726.404467592591</v>
      </c>
      <c r="F239" s="3">
        <v>45726.643587962957</v>
      </c>
      <c r="G239" s="4">
        <v>45728</v>
      </c>
      <c r="H239" s="2" t="s">
        <v>21</v>
      </c>
      <c r="I239" s="2" t="s">
        <v>22</v>
      </c>
      <c r="J239" s="2">
        <v>1</v>
      </c>
      <c r="K239" s="2">
        <v>1186.27</v>
      </c>
      <c r="L239" s="2">
        <v>1186.27</v>
      </c>
      <c r="M239" s="2">
        <v>1186.27</v>
      </c>
      <c r="N239" s="2">
        <v>1129.78</v>
      </c>
      <c r="O239" s="2">
        <v>56.49</v>
      </c>
      <c r="P239" s="2">
        <v>1186.27</v>
      </c>
      <c r="Q239" s="2" t="s">
        <v>44</v>
      </c>
      <c r="R239" s="2"/>
      <c r="S239" t="str">
        <f>VLOOKUP(B239,CASOPOInvCL!$B$1:$D$1600,1,FALSE)</f>
        <v>SO16739</v>
      </c>
      <c r="T239">
        <f t="shared" si="3"/>
        <v>3</v>
      </c>
    </row>
    <row r="240" spans="1:20" x14ac:dyDescent="0.25">
      <c r="A240" s="2">
        <v>1</v>
      </c>
      <c r="B240" s="2" t="s">
        <v>1789</v>
      </c>
      <c r="C240" s="2" t="s">
        <v>1790</v>
      </c>
      <c r="D240" s="2" t="s">
        <v>47</v>
      </c>
      <c r="E240" s="3">
        <v>45726.513425925928</v>
      </c>
      <c r="F240" s="3">
        <v>45729.397372685176</v>
      </c>
      <c r="G240" s="4">
        <v>45733</v>
      </c>
      <c r="H240" s="2" t="s">
        <v>21</v>
      </c>
      <c r="I240" s="2" t="s">
        <v>22</v>
      </c>
      <c r="J240" s="2">
        <v>1</v>
      </c>
      <c r="K240" s="2">
        <v>2152.54</v>
      </c>
      <c r="L240" s="2">
        <v>0</v>
      </c>
      <c r="M240" s="2">
        <v>1494.9888863164419</v>
      </c>
      <c r="N240" s="2">
        <v>1904.9</v>
      </c>
      <c r="O240" s="2">
        <v>247.64</v>
      </c>
      <c r="P240" s="2">
        <v>2152.54</v>
      </c>
      <c r="Q240" s="2" t="s">
        <v>44</v>
      </c>
      <c r="R240" s="2"/>
      <c r="S240" t="str">
        <f>VLOOKUP(B240,CASOPOInvCL!$B$1:$D$1600,1,FALSE)</f>
        <v>SO16740</v>
      </c>
      <c r="T240">
        <f t="shared" si="3"/>
        <v>3</v>
      </c>
    </row>
    <row r="241" spans="1:20" x14ac:dyDescent="0.25">
      <c r="A241" s="2">
        <v>1</v>
      </c>
      <c r="B241" s="2" t="s">
        <v>1787</v>
      </c>
      <c r="C241" s="2" t="s">
        <v>1788</v>
      </c>
      <c r="D241" s="2" t="s">
        <v>242</v>
      </c>
      <c r="E241" s="3">
        <v>45726.533668981479</v>
      </c>
      <c r="F241" s="3">
        <v>45729.402662037042</v>
      </c>
      <c r="G241" s="4">
        <v>45733</v>
      </c>
      <c r="H241" s="2" t="s">
        <v>21</v>
      </c>
      <c r="I241" s="2" t="s">
        <v>22</v>
      </c>
      <c r="J241" s="2">
        <v>1</v>
      </c>
      <c r="K241" s="2">
        <v>209.03</v>
      </c>
      <c r="L241" s="2">
        <v>0</v>
      </c>
      <c r="M241" s="2">
        <v>145.17617647371279</v>
      </c>
      <c r="N241" s="2">
        <v>199.07</v>
      </c>
      <c r="O241" s="2">
        <v>9.9600000000000009</v>
      </c>
      <c r="P241" s="2">
        <v>209.03</v>
      </c>
      <c r="Q241" s="2" t="s">
        <v>44</v>
      </c>
      <c r="R241" s="2"/>
      <c r="S241" t="str">
        <f>VLOOKUP(B241,CASOPOInvCL!$B$1:$D$1600,1,FALSE)</f>
        <v>SO16742</v>
      </c>
      <c r="T241">
        <f t="shared" si="3"/>
        <v>3</v>
      </c>
    </row>
    <row r="242" spans="1:20" ht="30" x14ac:dyDescent="0.25">
      <c r="A242" s="2">
        <v>1</v>
      </c>
      <c r="B242" s="2" t="s">
        <v>1815</v>
      </c>
      <c r="C242" s="2" t="s">
        <v>1816</v>
      </c>
      <c r="D242" s="2" t="s">
        <v>159</v>
      </c>
      <c r="E242" s="3">
        <v>45726.629340277781</v>
      </c>
      <c r="F242" s="3">
        <v>45726.631516203714</v>
      </c>
      <c r="G242" s="4">
        <v>45741</v>
      </c>
      <c r="H242" s="2" t="s">
        <v>426</v>
      </c>
      <c r="I242" s="2" t="s">
        <v>51</v>
      </c>
      <c r="J242" s="2">
        <v>0.69588843853535265</v>
      </c>
      <c r="K242" s="2">
        <v>1262.601807050087</v>
      </c>
      <c r="L242" s="2">
        <v>0</v>
      </c>
      <c r="M242" s="2">
        <v>878.63</v>
      </c>
      <c r="N242" s="2">
        <v>878.63</v>
      </c>
      <c r="O242" s="2"/>
      <c r="P242" s="2">
        <v>878.63</v>
      </c>
      <c r="Q242" s="2" t="s">
        <v>44</v>
      </c>
      <c r="R242" s="2"/>
      <c r="S242" t="str">
        <f>VLOOKUP(B242,CASOPOInvCL!$B$1:$D$1600,1,FALSE)</f>
        <v>SO16744</v>
      </c>
      <c r="T242">
        <f t="shared" si="3"/>
        <v>3</v>
      </c>
    </row>
    <row r="243" spans="1:20" x14ac:dyDescent="0.25">
      <c r="A243" s="2">
        <v>2</v>
      </c>
      <c r="B243" s="2" t="s">
        <v>1810</v>
      </c>
      <c r="C243" s="2" t="s">
        <v>1811</v>
      </c>
      <c r="D243" s="2" t="s">
        <v>714</v>
      </c>
      <c r="E243" s="3">
        <v>45727.410300925927</v>
      </c>
      <c r="F243" s="3">
        <v>45727.418043981481</v>
      </c>
      <c r="G243" s="4">
        <v>45804</v>
      </c>
      <c r="H243" s="2" t="s">
        <v>21</v>
      </c>
      <c r="I243" s="2" t="s">
        <v>51</v>
      </c>
      <c r="J243" s="2">
        <v>0.69588843853535265</v>
      </c>
      <c r="K243" s="2">
        <v>4613.8861090402879</v>
      </c>
      <c r="L243" s="2">
        <v>0</v>
      </c>
      <c r="M243" s="2">
        <v>3210.75</v>
      </c>
      <c r="N243" s="2">
        <v>3210.75</v>
      </c>
      <c r="O243" s="2"/>
      <c r="P243" s="2">
        <v>3210.75</v>
      </c>
      <c r="Q243" s="2" t="s">
        <v>44</v>
      </c>
      <c r="R243" s="2"/>
      <c r="S243" t="str">
        <f>VLOOKUP(B243,CASOPOInvCL!$B$1:$D$1600,1,FALSE)</f>
        <v>SO16746</v>
      </c>
      <c r="T243">
        <f t="shared" si="3"/>
        <v>3</v>
      </c>
    </row>
    <row r="244" spans="1:20" x14ac:dyDescent="0.25">
      <c r="A244" s="2">
        <v>1</v>
      </c>
      <c r="B244" s="2" t="s">
        <v>1808</v>
      </c>
      <c r="C244" s="2" t="s">
        <v>1809</v>
      </c>
      <c r="D244" s="2" t="s">
        <v>192</v>
      </c>
      <c r="E244" s="3">
        <v>45727.430879629632</v>
      </c>
      <c r="F244" s="3">
        <v>45727.432384259257</v>
      </c>
      <c r="G244" s="4">
        <v>45755</v>
      </c>
      <c r="H244" s="2" t="s">
        <v>21</v>
      </c>
      <c r="I244" s="2" t="s">
        <v>51</v>
      </c>
      <c r="J244" s="2">
        <v>0.69588843853535265</v>
      </c>
      <c r="K244" s="2">
        <v>12276.55113509404</v>
      </c>
      <c r="L244" s="2">
        <v>0</v>
      </c>
      <c r="M244" s="2">
        <v>8543.11</v>
      </c>
      <c r="N244" s="2">
        <v>8543.11</v>
      </c>
      <c r="O244" s="2"/>
      <c r="P244" s="2">
        <v>8543.11</v>
      </c>
      <c r="Q244" s="2" t="s">
        <v>44</v>
      </c>
      <c r="R244" s="2"/>
      <c r="S244" t="str">
        <f>VLOOKUP(B244,CASOPOInvCL!$B$1:$D$1600,1,FALSE)</f>
        <v>SO16747</v>
      </c>
      <c r="T244">
        <f t="shared" si="3"/>
        <v>3</v>
      </c>
    </row>
    <row r="245" spans="1:20" x14ac:dyDescent="0.25">
      <c r="A245" s="2">
        <v>1</v>
      </c>
      <c r="B245" s="2" t="s">
        <v>1779</v>
      </c>
      <c r="C245" s="2" t="s">
        <v>1780</v>
      </c>
      <c r="D245" s="2" t="s">
        <v>242</v>
      </c>
      <c r="E245" s="3">
        <v>45727.639722222222</v>
      </c>
      <c r="F245" s="3">
        <v>45730.348680555559</v>
      </c>
      <c r="G245" s="4">
        <v>45734</v>
      </c>
      <c r="H245" s="2" t="s">
        <v>21</v>
      </c>
      <c r="I245" s="2" t="s">
        <v>22</v>
      </c>
      <c r="J245" s="2">
        <v>1</v>
      </c>
      <c r="K245" s="2">
        <v>177.02</v>
      </c>
      <c r="L245" s="2">
        <v>0</v>
      </c>
      <c r="M245" s="2">
        <v>123.0944329097904</v>
      </c>
      <c r="N245" s="2">
        <v>168.59</v>
      </c>
      <c r="O245" s="2">
        <v>8.43</v>
      </c>
      <c r="P245" s="2">
        <v>177.02</v>
      </c>
      <c r="Q245" s="2" t="s">
        <v>44</v>
      </c>
      <c r="R245" s="2"/>
      <c r="S245" t="str">
        <f>VLOOKUP(B245,CASOPOInvCL!$B$1:$D$1600,1,FALSE)</f>
        <v>SO16749</v>
      </c>
      <c r="T245">
        <f t="shared" si="3"/>
        <v>3</v>
      </c>
    </row>
    <row r="246" spans="1:20" x14ac:dyDescent="0.25">
      <c r="A246" s="2">
        <v>1</v>
      </c>
      <c r="B246" s="2" t="s">
        <v>1681</v>
      </c>
      <c r="C246" s="2" t="s">
        <v>1682</v>
      </c>
      <c r="D246" s="2" t="s">
        <v>61</v>
      </c>
      <c r="E246" s="3">
        <v>45727.644687499997</v>
      </c>
      <c r="F246" s="3">
        <v>45747.711782407408</v>
      </c>
      <c r="G246" s="4">
        <v>45748</v>
      </c>
      <c r="H246" s="2" t="s">
        <v>21</v>
      </c>
      <c r="I246" s="2" t="s">
        <v>51</v>
      </c>
      <c r="J246" s="2">
        <v>0.69828295020834585</v>
      </c>
      <c r="K246" s="2">
        <v>624.04502339629346</v>
      </c>
      <c r="L246" s="2">
        <v>0</v>
      </c>
      <c r="M246" s="2">
        <v>435.76</v>
      </c>
      <c r="N246" s="2">
        <v>435.76</v>
      </c>
      <c r="O246" s="2"/>
      <c r="P246" s="2">
        <v>435.76</v>
      </c>
      <c r="Q246" s="2" t="s">
        <v>44</v>
      </c>
      <c r="R246" s="2"/>
      <c r="S246" t="str">
        <f>VLOOKUP(B246,CASOPOInvCL!$B$1:$D$1600,1,FALSE)</f>
        <v>SO16750</v>
      </c>
      <c r="T246">
        <f t="shared" si="3"/>
        <v>3</v>
      </c>
    </row>
    <row r="247" spans="1:20" x14ac:dyDescent="0.25">
      <c r="A247" s="2">
        <v>1</v>
      </c>
      <c r="B247" s="2" t="s">
        <v>1589</v>
      </c>
      <c r="C247" s="2" t="s">
        <v>1590</v>
      </c>
      <c r="D247" s="2" t="s">
        <v>198</v>
      </c>
      <c r="E247" s="3">
        <v>45727.650150462963</v>
      </c>
      <c r="F247" s="3">
        <v>45762.332650462973</v>
      </c>
      <c r="G247" s="4">
        <v>45873</v>
      </c>
      <c r="H247" s="2" t="s">
        <v>180</v>
      </c>
      <c r="I247" s="2" t="s">
        <v>51</v>
      </c>
      <c r="J247" s="2">
        <v>0.71974046347359422</v>
      </c>
      <c r="K247" s="2">
        <v>38671.550944448398</v>
      </c>
      <c r="L247" s="2">
        <v>0</v>
      </c>
      <c r="M247" s="2">
        <v>27833.48</v>
      </c>
      <c r="N247" s="2">
        <v>27833.48</v>
      </c>
      <c r="O247" s="2"/>
      <c r="P247" s="2">
        <v>27833.48</v>
      </c>
      <c r="Q247" s="2" t="s">
        <v>44</v>
      </c>
      <c r="R247" s="2"/>
      <c r="S247" t="str">
        <f>VLOOKUP(B247,CASOPOInvCL!$B$1:$D$1600,1,FALSE)</f>
        <v>SO16751</v>
      </c>
      <c r="T247">
        <f t="shared" si="3"/>
        <v>3</v>
      </c>
    </row>
    <row r="248" spans="1:20" x14ac:dyDescent="0.25">
      <c r="A248" s="2">
        <v>1</v>
      </c>
      <c r="B248" s="2" t="s">
        <v>1806</v>
      </c>
      <c r="C248" s="2" t="s">
        <v>1807</v>
      </c>
      <c r="D248" s="2" t="s">
        <v>465</v>
      </c>
      <c r="E248" s="3">
        <v>45727.66034722222</v>
      </c>
      <c r="F248" s="3">
        <v>45727.666666666657</v>
      </c>
      <c r="G248" s="4">
        <v>45728</v>
      </c>
      <c r="H248" s="2" t="s">
        <v>21</v>
      </c>
      <c r="I248" s="2" t="s">
        <v>22</v>
      </c>
      <c r="J248" s="2">
        <v>1</v>
      </c>
      <c r="K248" s="2">
        <v>1403.78</v>
      </c>
      <c r="L248" s="2">
        <v>0</v>
      </c>
      <c r="M248" s="2">
        <v>970.38866534488659</v>
      </c>
      <c r="N248" s="2">
        <v>1242.28</v>
      </c>
      <c r="O248" s="2">
        <v>161.5</v>
      </c>
      <c r="P248" s="2">
        <v>1403.78</v>
      </c>
      <c r="Q248" s="2" t="s">
        <v>44</v>
      </c>
      <c r="R248" s="2"/>
      <c r="S248" t="str">
        <f>VLOOKUP(B248,CASOPOInvCL!$B$1:$D$1600,1,FALSE)</f>
        <v>SO16752</v>
      </c>
      <c r="T248">
        <f t="shared" si="3"/>
        <v>3</v>
      </c>
    </row>
    <row r="249" spans="1:20" x14ac:dyDescent="0.25">
      <c r="A249" s="2">
        <v>1</v>
      </c>
      <c r="B249" s="2" t="s">
        <v>1802</v>
      </c>
      <c r="C249" s="2" t="s">
        <v>1803</v>
      </c>
      <c r="D249" s="2" t="s">
        <v>644</v>
      </c>
      <c r="E249" s="3">
        <v>45727.689780092587</v>
      </c>
      <c r="F249" s="3">
        <v>45727.690578703703</v>
      </c>
      <c r="G249" s="4">
        <v>45755</v>
      </c>
      <c r="H249" s="2" t="s">
        <v>21</v>
      </c>
      <c r="I249" s="2" t="s">
        <v>51</v>
      </c>
      <c r="J249" s="2">
        <v>0.69588843853535265</v>
      </c>
      <c r="K249" s="2">
        <v>1877.499219199379</v>
      </c>
      <c r="L249" s="2">
        <v>0</v>
      </c>
      <c r="M249" s="2">
        <v>1306.53</v>
      </c>
      <c r="N249" s="2">
        <v>1306.53</v>
      </c>
      <c r="O249" s="2"/>
      <c r="P249" s="2">
        <v>1306.53</v>
      </c>
      <c r="Q249" s="2" t="s">
        <v>44</v>
      </c>
      <c r="R249" s="2"/>
      <c r="S249" t="str">
        <f>VLOOKUP(B249,CASOPOInvCL!$B$1:$D$1600,1,FALSE)</f>
        <v>SO16753</v>
      </c>
      <c r="T249">
        <f t="shared" si="3"/>
        <v>3</v>
      </c>
    </row>
    <row r="250" spans="1:20" x14ac:dyDescent="0.25">
      <c r="A250" s="2">
        <v>1</v>
      </c>
      <c r="B250" s="2" t="s">
        <v>1769</v>
      </c>
      <c r="C250" s="2" t="s">
        <v>1770</v>
      </c>
      <c r="D250" s="2" t="s">
        <v>20</v>
      </c>
      <c r="E250" s="3">
        <v>45728.351539351846</v>
      </c>
      <c r="F250" s="3">
        <v>45733.336377314823</v>
      </c>
      <c r="G250" s="4">
        <v>45734</v>
      </c>
      <c r="H250" s="2" t="s">
        <v>21</v>
      </c>
      <c r="I250" s="2" t="s">
        <v>22</v>
      </c>
      <c r="J250" s="2">
        <v>1</v>
      </c>
      <c r="K250" s="2">
        <v>549.58000000000004</v>
      </c>
      <c r="L250" s="2">
        <v>549.58000000000004</v>
      </c>
      <c r="M250" s="2">
        <v>549.58000000000004</v>
      </c>
      <c r="N250" s="2">
        <v>523.41</v>
      </c>
      <c r="O250" s="2">
        <v>26.17</v>
      </c>
      <c r="P250" s="2">
        <v>549.58000000000004</v>
      </c>
      <c r="Q250" s="2" t="s">
        <v>44</v>
      </c>
      <c r="R250" s="2"/>
      <c r="S250" t="str">
        <f>VLOOKUP(B250,CASOPOInvCL!$B$1:$D$1600,1,FALSE)</f>
        <v>SO16754</v>
      </c>
      <c r="T250">
        <f t="shared" si="3"/>
        <v>3</v>
      </c>
    </row>
    <row r="251" spans="1:20" x14ac:dyDescent="0.25">
      <c r="A251" s="2">
        <v>1</v>
      </c>
      <c r="B251" s="2" t="s">
        <v>1800</v>
      </c>
      <c r="C251" s="2" t="s">
        <v>1801</v>
      </c>
      <c r="D251" s="2" t="s">
        <v>20</v>
      </c>
      <c r="E251" s="3">
        <v>45728.370798611111</v>
      </c>
      <c r="F251" s="3">
        <v>45728.371331018519</v>
      </c>
      <c r="G251" s="4">
        <v>45729</v>
      </c>
      <c r="H251" s="2" t="s">
        <v>21</v>
      </c>
      <c r="I251" s="2" t="s">
        <v>22</v>
      </c>
      <c r="J251" s="2">
        <v>1</v>
      </c>
      <c r="K251" s="2">
        <v>316.85000000000002</v>
      </c>
      <c r="L251" s="2">
        <v>0</v>
      </c>
      <c r="M251" s="2">
        <v>220.0356252415331</v>
      </c>
      <c r="N251" s="2">
        <v>301.76</v>
      </c>
      <c r="O251" s="2">
        <v>15.09</v>
      </c>
      <c r="P251" s="2">
        <v>316.85000000000002</v>
      </c>
      <c r="Q251" s="2" t="s">
        <v>44</v>
      </c>
      <c r="R251" s="2"/>
      <c r="S251" t="str">
        <f>VLOOKUP(B251,CASOPOInvCL!$B$1:$D$1600,1,FALSE)</f>
        <v>SO16755</v>
      </c>
      <c r="T251">
        <f t="shared" si="3"/>
        <v>3</v>
      </c>
    </row>
    <row r="252" spans="1:20" x14ac:dyDescent="0.25">
      <c r="A252" s="2">
        <v>1</v>
      </c>
      <c r="B252" s="2" t="s">
        <v>1783</v>
      </c>
      <c r="C252" s="2" t="s">
        <v>1784</v>
      </c>
      <c r="D252" s="2" t="s">
        <v>98</v>
      </c>
      <c r="E252" s="3">
        <v>45728.377303240741</v>
      </c>
      <c r="F252" s="3">
        <v>45729.443784722222</v>
      </c>
      <c r="G252" s="4">
        <v>45757</v>
      </c>
      <c r="H252" s="2" t="s">
        <v>21</v>
      </c>
      <c r="I252" s="2" t="s">
        <v>22</v>
      </c>
      <c r="J252" s="2">
        <v>1</v>
      </c>
      <c r="K252" s="2">
        <v>3183.04</v>
      </c>
      <c r="L252" s="2">
        <v>0</v>
      </c>
      <c r="M252" s="2">
        <v>2210.6950043672532</v>
      </c>
      <c r="N252" s="2">
        <v>2816.85</v>
      </c>
      <c r="O252" s="2">
        <v>366.19</v>
      </c>
      <c r="P252" s="2">
        <v>3183.04</v>
      </c>
      <c r="Q252" s="2" t="s">
        <v>44</v>
      </c>
      <c r="R252" s="2"/>
      <c r="S252" t="str">
        <f>VLOOKUP(B252,CASOPOInvCL!$B$1:$D$1600,1,FALSE)</f>
        <v>SO16756</v>
      </c>
      <c r="T252">
        <f t="shared" si="3"/>
        <v>3</v>
      </c>
    </row>
    <row r="253" spans="1:20" x14ac:dyDescent="0.25">
      <c r="A253" s="2">
        <v>1</v>
      </c>
      <c r="B253" s="2" t="s">
        <v>1798</v>
      </c>
      <c r="C253" s="2" t="s">
        <v>1799</v>
      </c>
      <c r="D253" s="2" t="s">
        <v>121</v>
      </c>
      <c r="E253" s="3">
        <v>45728.398043981477</v>
      </c>
      <c r="F253" s="3">
        <v>45728.408518518518</v>
      </c>
      <c r="G253" s="4">
        <v>45733</v>
      </c>
      <c r="H253" s="2" t="s">
        <v>21</v>
      </c>
      <c r="I253" s="2" t="s">
        <v>22</v>
      </c>
      <c r="J253" s="2">
        <v>1</v>
      </c>
      <c r="K253" s="2">
        <v>1840.09</v>
      </c>
      <c r="L253" s="2">
        <v>0</v>
      </c>
      <c r="M253" s="2">
        <v>1277.8455220157571</v>
      </c>
      <c r="N253" s="2">
        <v>1752.46</v>
      </c>
      <c r="O253" s="2">
        <v>87.63</v>
      </c>
      <c r="P253" s="2">
        <v>1840.09</v>
      </c>
      <c r="Q253" s="2" t="s">
        <v>44</v>
      </c>
      <c r="R253" s="2"/>
      <c r="S253" t="str">
        <f>VLOOKUP(B253,CASOPOInvCL!$B$1:$D$1600,1,FALSE)</f>
        <v>SO16757</v>
      </c>
      <c r="T253">
        <f t="shared" si="3"/>
        <v>3</v>
      </c>
    </row>
    <row r="254" spans="1:20" x14ac:dyDescent="0.25">
      <c r="A254" s="2">
        <v>1</v>
      </c>
      <c r="B254" s="2" t="s">
        <v>1791</v>
      </c>
      <c r="C254" s="2" t="s">
        <v>1792</v>
      </c>
      <c r="D254" s="2" t="s">
        <v>242</v>
      </c>
      <c r="E254" s="3">
        <v>45728.556759259263</v>
      </c>
      <c r="F254" s="3">
        <v>45728.669212962966</v>
      </c>
      <c r="G254" s="4">
        <v>45729</v>
      </c>
      <c r="H254" s="2" t="s">
        <v>21</v>
      </c>
      <c r="I254" s="2" t="s">
        <v>22</v>
      </c>
      <c r="J254" s="2">
        <v>1</v>
      </c>
      <c r="K254" s="2">
        <v>338</v>
      </c>
      <c r="L254" s="2">
        <v>0</v>
      </c>
      <c r="M254" s="2">
        <v>234.7231855188202</v>
      </c>
      <c r="N254" s="2">
        <v>321.89999999999998</v>
      </c>
      <c r="O254" s="2">
        <v>16.100000000000001</v>
      </c>
      <c r="P254" s="2">
        <v>338</v>
      </c>
      <c r="Q254" s="2" t="s">
        <v>44</v>
      </c>
      <c r="R254" s="2"/>
      <c r="S254" t="str">
        <f>VLOOKUP(B254,CASOPOInvCL!$B$1:$D$1600,1,FALSE)</f>
        <v>SO16760</v>
      </c>
      <c r="T254">
        <f t="shared" si="3"/>
        <v>3</v>
      </c>
    </row>
    <row r="255" spans="1:20" x14ac:dyDescent="0.25">
      <c r="A255" s="2">
        <v>1</v>
      </c>
      <c r="B255" s="2" t="s">
        <v>1793</v>
      </c>
      <c r="C255" s="2" t="s">
        <v>1794</v>
      </c>
      <c r="D255" s="2" t="s">
        <v>129</v>
      </c>
      <c r="E255" s="3">
        <v>45728.560081018521</v>
      </c>
      <c r="F255" s="3">
        <v>45728.559513888889</v>
      </c>
      <c r="G255" s="4">
        <v>45728</v>
      </c>
      <c r="H255" s="2" t="s">
        <v>130</v>
      </c>
      <c r="I255" s="2" t="s">
        <v>51</v>
      </c>
      <c r="J255" s="2">
        <v>0.69126833645221231</v>
      </c>
      <c r="K255" s="2">
        <v>520.78184550969513</v>
      </c>
      <c r="L255" s="2">
        <v>0</v>
      </c>
      <c r="M255" s="2">
        <v>360</v>
      </c>
      <c r="N255" s="2">
        <v>360</v>
      </c>
      <c r="O255" s="2"/>
      <c r="P255" s="2">
        <v>360</v>
      </c>
      <c r="Q255" s="2" t="s">
        <v>44</v>
      </c>
      <c r="R255" s="2"/>
      <c r="S255" t="str">
        <f>VLOOKUP(B255,CASOPOInvCL!$B$1:$D$1600,1,FALSE)</f>
        <v>SO16761</v>
      </c>
      <c r="T255">
        <f t="shared" si="3"/>
        <v>3</v>
      </c>
    </row>
    <row r="256" spans="1:20" x14ac:dyDescent="0.25">
      <c r="A256" s="2">
        <v>1</v>
      </c>
      <c r="B256" s="2" t="s">
        <v>1759</v>
      </c>
      <c r="C256" s="2" t="s">
        <v>1760</v>
      </c>
      <c r="D256" s="2" t="s">
        <v>229</v>
      </c>
      <c r="E256" s="3">
        <v>45728.618020833332</v>
      </c>
      <c r="F256" s="3">
        <v>45734.672083333331</v>
      </c>
      <c r="G256" s="4">
        <v>45735</v>
      </c>
      <c r="H256" s="2" t="s">
        <v>21</v>
      </c>
      <c r="I256" s="2" t="s">
        <v>22</v>
      </c>
      <c r="J256" s="2">
        <v>1</v>
      </c>
      <c r="K256" s="2">
        <v>838.92</v>
      </c>
      <c r="L256" s="2">
        <v>0</v>
      </c>
      <c r="M256" s="2">
        <v>586.17673940159841</v>
      </c>
      <c r="N256" s="2">
        <v>798.97</v>
      </c>
      <c r="O256" s="2">
        <v>39.950000000000003</v>
      </c>
      <c r="P256" s="2">
        <v>838.92</v>
      </c>
      <c r="Q256" s="2" t="s">
        <v>44</v>
      </c>
      <c r="R256" s="2"/>
      <c r="S256" t="str">
        <f>VLOOKUP(B256,CASOPOInvCL!$B$1:$D$1600,1,FALSE)</f>
        <v>SO16762</v>
      </c>
      <c r="T256">
        <f t="shared" si="3"/>
        <v>3</v>
      </c>
    </row>
    <row r="257" spans="1:20" x14ac:dyDescent="0.25">
      <c r="A257" s="2">
        <v>1</v>
      </c>
      <c r="B257" s="2" t="s">
        <v>1774</v>
      </c>
      <c r="C257" s="2" t="s">
        <v>1775</v>
      </c>
      <c r="D257" s="2" t="s">
        <v>242</v>
      </c>
      <c r="E257" s="3">
        <v>45729.357592592591</v>
      </c>
      <c r="F257" s="3">
        <v>45730.591145833343</v>
      </c>
      <c r="G257" s="4">
        <v>45734</v>
      </c>
      <c r="H257" s="2" t="s">
        <v>21</v>
      </c>
      <c r="I257" s="2" t="s">
        <v>22</v>
      </c>
      <c r="J257" s="2">
        <v>1</v>
      </c>
      <c r="K257" s="2">
        <v>311.01</v>
      </c>
      <c r="L257" s="2">
        <v>0</v>
      </c>
      <c r="M257" s="2">
        <v>216.26708608786541</v>
      </c>
      <c r="N257" s="2">
        <v>296.2</v>
      </c>
      <c r="O257" s="2">
        <v>14.81</v>
      </c>
      <c r="P257" s="2">
        <v>311.01</v>
      </c>
      <c r="Q257" s="2" t="s">
        <v>44</v>
      </c>
      <c r="R257" s="2"/>
      <c r="S257" t="str">
        <f>VLOOKUP(B257,CASOPOInvCL!$B$1:$D$1600,1,FALSE)</f>
        <v>SO16764</v>
      </c>
      <c r="T257">
        <f t="shared" si="3"/>
        <v>3</v>
      </c>
    </row>
    <row r="258" spans="1:20" x14ac:dyDescent="0.25">
      <c r="A258" s="2">
        <v>1</v>
      </c>
      <c r="B258" s="2" t="s">
        <v>1785</v>
      </c>
      <c r="C258" s="2" t="s">
        <v>1786</v>
      </c>
      <c r="D258" s="2" t="s">
        <v>121</v>
      </c>
      <c r="E258" s="3">
        <v>45729.411435185182</v>
      </c>
      <c r="F258" s="3">
        <v>45729.421030092592</v>
      </c>
      <c r="G258" s="4">
        <v>45733</v>
      </c>
      <c r="H258" s="2" t="s">
        <v>21</v>
      </c>
      <c r="I258" s="2" t="s">
        <v>22</v>
      </c>
      <c r="J258" s="2">
        <v>1</v>
      </c>
      <c r="K258" s="2">
        <v>4286.34</v>
      </c>
      <c r="L258" s="2">
        <v>0</v>
      </c>
      <c r="M258" s="2">
        <v>2976.9624085840992</v>
      </c>
      <c r="N258" s="2">
        <v>4082.22</v>
      </c>
      <c r="O258" s="2">
        <v>204.12</v>
      </c>
      <c r="P258" s="2">
        <v>4286.34</v>
      </c>
      <c r="Q258" s="2" t="s">
        <v>44</v>
      </c>
      <c r="R258" s="2"/>
      <c r="S258" t="str">
        <f>VLOOKUP(B258,CASOPOInvCL!$B$1:$D$1600,1,FALSE)</f>
        <v>SO16765</v>
      </c>
      <c r="T258">
        <f t="shared" si="3"/>
        <v>3</v>
      </c>
    </row>
    <row r="259" spans="1:20" x14ac:dyDescent="0.25">
      <c r="A259" s="2">
        <v>1</v>
      </c>
      <c r="B259" s="2" t="s">
        <v>1595</v>
      </c>
      <c r="C259" s="2" t="s">
        <v>1596</v>
      </c>
      <c r="D259" s="2" t="s">
        <v>1039</v>
      </c>
      <c r="E259" s="3">
        <v>45729.432002314818</v>
      </c>
      <c r="F259" s="3">
        <v>45761.625891203701</v>
      </c>
      <c r="G259" s="4">
        <v>45762</v>
      </c>
      <c r="H259" s="2" t="s">
        <v>21</v>
      </c>
      <c r="I259" s="2" t="s">
        <v>22</v>
      </c>
      <c r="J259" s="2">
        <v>1</v>
      </c>
      <c r="K259" s="2">
        <v>781.08</v>
      </c>
      <c r="L259" s="2">
        <v>0</v>
      </c>
      <c r="M259" s="2">
        <v>562.17488120995495</v>
      </c>
      <c r="N259" s="2">
        <v>743.88</v>
      </c>
      <c r="O259" s="2">
        <v>37.200000000000003</v>
      </c>
      <c r="P259" s="2">
        <v>781.08</v>
      </c>
      <c r="Q259" s="2" t="s">
        <v>44</v>
      </c>
      <c r="R259" s="2"/>
      <c r="S259" t="str">
        <f>VLOOKUP(B259,CASOPOInvCL!$B$1:$D$1600,1,FALSE)</f>
        <v>SO16766</v>
      </c>
      <c r="T259">
        <f t="shared" ref="T259:T322" si="4">MONTH(E259)</f>
        <v>3</v>
      </c>
    </row>
    <row r="260" spans="1:20" x14ac:dyDescent="0.25">
      <c r="A260" s="2">
        <v>1</v>
      </c>
      <c r="B260" s="2" t="s">
        <v>1675</v>
      </c>
      <c r="C260" s="2" t="s">
        <v>1676</v>
      </c>
      <c r="D260" s="2" t="s">
        <v>26</v>
      </c>
      <c r="E260" s="3">
        <v>45729.642881944441</v>
      </c>
      <c r="F260" s="3">
        <v>45748.436331018522</v>
      </c>
      <c r="G260" s="4">
        <v>45749</v>
      </c>
      <c r="H260" s="2" t="s">
        <v>21</v>
      </c>
      <c r="I260" s="2" t="s">
        <v>22</v>
      </c>
      <c r="J260" s="2">
        <v>1</v>
      </c>
      <c r="K260" s="2">
        <v>1089.42</v>
      </c>
      <c r="L260" s="2">
        <v>0</v>
      </c>
      <c r="M260" s="2">
        <v>756.8055451792269</v>
      </c>
      <c r="N260" s="2">
        <v>1037.54</v>
      </c>
      <c r="O260" s="2">
        <v>51.88</v>
      </c>
      <c r="P260" s="2">
        <v>1089.42</v>
      </c>
      <c r="Q260" s="2" t="s">
        <v>44</v>
      </c>
      <c r="R260" s="2"/>
      <c r="S260" t="str">
        <f>VLOOKUP(B260,CASOPOInvCL!$B$1:$D$1600,1,FALSE)</f>
        <v>SO16769</v>
      </c>
      <c r="T260">
        <f t="shared" si="4"/>
        <v>3</v>
      </c>
    </row>
    <row r="261" spans="1:20" x14ac:dyDescent="0.25">
      <c r="A261" s="2">
        <v>2</v>
      </c>
      <c r="B261" s="2" t="s">
        <v>1781</v>
      </c>
      <c r="C261" s="2" t="s">
        <v>1782</v>
      </c>
      <c r="D261" s="2" t="s">
        <v>121</v>
      </c>
      <c r="E261" s="3">
        <v>45730.338530092587</v>
      </c>
      <c r="F261" s="3">
        <v>45730.340891203698</v>
      </c>
      <c r="G261" s="4">
        <v>45733</v>
      </c>
      <c r="H261" s="2" t="s">
        <v>21</v>
      </c>
      <c r="I261" s="2" t="s">
        <v>22</v>
      </c>
      <c r="J261" s="2">
        <v>1</v>
      </c>
      <c r="K261" s="2">
        <v>364.12</v>
      </c>
      <c r="L261" s="2">
        <v>0</v>
      </c>
      <c r="M261" s="2">
        <v>253.19819744160489</v>
      </c>
      <c r="N261" s="2">
        <v>346.78</v>
      </c>
      <c r="O261" s="2">
        <v>17.34</v>
      </c>
      <c r="P261" s="2">
        <v>364.12</v>
      </c>
      <c r="Q261" s="2" t="s">
        <v>44</v>
      </c>
      <c r="R261" s="2"/>
      <c r="S261" t="str">
        <f>VLOOKUP(B261,CASOPOInvCL!$B$1:$D$1600,1,FALSE)</f>
        <v>SO16770</v>
      </c>
      <c r="T261">
        <f t="shared" si="4"/>
        <v>3</v>
      </c>
    </row>
    <row r="262" spans="1:20" x14ac:dyDescent="0.25">
      <c r="A262" s="2">
        <v>1</v>
      </c>
      <c r="B262" s="2" t="s">
        <v>1685</v>
      </c>
      <c r="C262" s="2" t="s">
        <v>1686</v>
      </c>
      <c r="D262" s="2" t="s">
        <v>20</v>
      </c>
      <c r="E262" s="3">
        <v>45730.447615740741</v>
      </c>
      <c r="F262" s="3">
        <v>45747.630983796298</v>
      </c>
      <c r="G262" s="4">
        <v>45748</v>
      </c>
      <c r="H262" s="2" t="s">
        <v>21</v>
      </c>
      <c r="I262" s="2" t="s">
        <v>22</v>
      </c>
      <c r="J262" s="2">
        <v>1</v>
      </c>
      <c r="K262" s="2">
        <v>2422.23</v>
      </c>
      <c r="L262" s="2">
        <v>0</v>
      </c>
      <c r="M262" s="2">
        <v>1687.7022756884139</v>
      </c>
      <c r="N262" s="2">
        <v>2306.88</v>
      </c>
      <c r="O262" s="2">
        <v>115.35</v>
      </c>
      <c r="P262" s="2">
        <v>2422.23</v>
      </c>
      <c r="Q262" s="2" t="s">
        <v>44</v>
      </c>
      <c r="R262" s="2"/>
      <c r="S262" t="str">
        <f>VLOOKUP(B262,CASOPOInvCL!$B$1:$D$1600,1,FALSE)</f>
        <v>SO16772</v>
      </c>
      <c r="T262">
        <f t="shared" si="4"/>
        <v>3</v>
      </c>
    </row>
    <row r="263" spans="1:20" x14ac:dyDescent="0.25">
      <c r="A263" s="2">
        <v>1</v>
      </c>
      <c r="B263" s="2" t="s">
        <v>1776</v>
      </c>
      <c r="C263" s="2" t="s">
        <v>1777</v>
      </c>
      <c r="D263" s="2" t="s">
        <v>1778</v>
      </c>
      <c r="E263" s="3">
        <v>45730.489421296297</v>
      </c>
      <c r="F263" s="3">
        <v>45730.490613425929</v>
      </c>
      <c r="G263" s="4">
        <v>45734</v>
      </c>
      <c r="H263" s="2" t="s">
        <v>21</v>
      </c>
      <c r="I263" s="2" t="s">
        <v>51</v>
      </c>
      <c r="J263" s="2">
        <v>0.69452316162135974</v>
      </c>
      <c r="K263" s="2">
        <v>747.27529430177378</v>
      </c>
      <c r="L263" s="2">
        <v>0</v>
      </c>
      <c r="M263" s="2">
        <v>519</v>
      </c>
      <c r="N263" s="2">
        <v>519</v>
      </c>
      <c r="O263" s="2"/>
      <c r="P263" s="2">
        <v>519</v>
      </c>
      <c r="Q263" s="2" t="s">
        <v>44</v>
      </c>
      <c r="R263" s="2"/>
      <c r="S263" t="str">
        <f>VLOOKUP(B263,CASOPOInvCL!$B$1:$D$1600,1,FALSE)</f>
        <v>SO16774</v>
      </c>
      <c r="T263">
        <f t="shared" si="4"/>
        <v>3</v>
      </c>
    </row>
    <row r="264" spans="1:20" x14ac:dyDescent="0.25">
      <c r="A264" s="2">
        <v>1</v>
      </c>
      <c r="B264" s="2" t="s">
        <v>1767</v>
      </c>
      <c r="C264" s="2" t="s">
        <v>1768</v>
      </c>
      <c r="D264" s="2" t="s">
        <v>372</v>
      </c>
      <c r="E264" s="3">
        <v>45730.503298611111</v>
      </c>
      <c r="F264" s="3">
        <v>45733.5390625</v>
      </c>
      <c r="G264" s="4">
        <v>45887</v>
      </c>
      <c r="H264" s="2" t="s">
        <v>21</v>
      </c>
      <c r="I264" s="2" t="s">
        <v>22</v>
      </c>
      <c r="J264" s="2">
        <v>1</v>
      </c>
      <c r="K264" s="2">
        <v>8334.94</v>
      </c>
      <c r="L264" s="2">
        <v>8334.94</v>
      </c>
      <c r="M264" s="2">
        <v>8334.94</v>
      </c>
      <c r="N264" s="2">
        <v>7938.04</v>
      </c>
      <c r="O264" s="2">
        <v>396.9</v>
      </c>
      <c r="P264" s="2">
        <v>8334.94</v>
      </c>
      <c r="Q264" s="2" t="s">
        <v>44</v>
      </c>
      <c r="R264" s="2"/>
      <c r="S264" t="str">
        <f>VLOOKUP(B264,CASOPOInvCL!$B$1:$D$1600,1,FALSE)</f>
        <v>SO16775</v>
      </c>
      <c r="T264">
        <f t="shared" si="4"/>
        <v>3</v>
      </c>
    </row>
    <row r="265" spans="1:20" x14ac:dyDescent="0.25">
      <c r="A265" s="2">
        <v>1</v>
      </c>
      <c r="B265" s="2" t="s">
        <v>1742</v>
      </c>
      <c r="C265" s="2" t="s">
        <v>1743</v>
      </c>
      <c r="D265" s="2" t="s">
        <v>1744</v>
      </c>
      <c r="E265" s="3">
        <v>45733.371319444443</v>
      </c>
      <c r="F265" s="3">
        <v>45736.584988425922</v>
      </c>
      <c r="G265" s="4">
        <v>45737</v>
      </c>
      <c r="H265" s="2" t="s">
        <v>21</v>
      </c>
      <c r="I265" s="2" t="s">
        <v>22</v>
      </c>
      <c r="J265" s="2">
        <v>1</v>
      </c>
      <c r="K265" s="2">
        <v>171.09</v>
      </c>
      <c r="L265" s="2">
        <v>0</v>
      </c>
      <c r="M265" s="2">
        <v>119.40589572991151</v>
      </c>
      <c r="N265" s="2">
        <v>171.09</v>
      </c>
      <c r="O265" s="2"/>
      <c r="P265" s="2">
        <v>171.09</v>
      </c>
      <c r="Q265" s="2" t="s">
        <v>44</v>
      </c>
      <c r="R265" s="2"/>
      <c r="S265" t="str">
        <f>VLOOKUP(B265,CASOPOInvCL!$B$1:$D$1600,1,FALSE)</f>
        <v>SO16778</v>
      </c>
      <c r="T265">
        <f t="shared" si="4"/>
        <v>3</v>
      </c>
    </row>
    <row r="266" spans="1:20" x14ac:dyDescent="0.25">
      <c r="A266" s="2">
        <v>2</v>
      </c>
      <c r="B266" s="2" t="s">
        <v>1666</v>
      </c>
      <c r="C266" s="2" t="s">
        <v>1667</v>
      </c>
      <c r="D266" s="2" t="s">
        <v>714</v>
      </c>
      <c r="E266" s="3">
        <v>45733.651863425926</v>
      </c>
      <c r="F266" s="3">
        <v>45749.417407407411</v>
      </c>
      <c r="G266" s="4">
        <v>45777</v>
      </c>
      <c r="H266" s="2" t="s">
        <v>21</v>
      </c>
      <c r="I266" s="2" t="s">
        <v>51</v>
      </c>
      <c r="J266" s="2">
        <v>0.69468666371025578</v>
      </c>
      <c r="K266" s="2">
        <v>8032.4271236151872</v>
      </c>
      <c r="L266" s="2">
        <v>0</v>
      </c>
      <c r="M266" s="2">
        <v>5580.02</v>
      </c>
      <c r="N266" s="2">
        <v>5580.02</v>
      </c>
      <c r="O266" s="2"/>
      <c r="P266" s="2">
        <v>5580.02</v>
      </c>
      <c r="Q266" s="2" t="s">
        <v>44</v>
      </c>
      <c r="R266" s="2"/>
      <c r="S266" t="str">
        <f>VLOOKUP(B266,CASOPOInvCL!$B$1:$D$1600,1,FALSE)</f>
        <v>SO16783</v>
      </c>
      <c r="T266">
        <f t="shared" si="4"/>
        <v>3</v>
      </c>
    </row>
    <row r="267" spans="1:20" x14ac:dyDescent="0.25">
      <c r="A267" s="2">
        <v>1</v>
      </c>
      <c r="B267" s="2" t="s">
        <v>1765</v>
      </c>
      <c r="C267" s="2" t="s">
        <v>1766</v>
      </c>
      <c r="D267" s="2" t="s">
        <v>129</v>
      </c>
      <c r="E267" s="3">
        <v>45734.451956018522</v>
      </c>
      <c r="F267" s="3">
        <v>45734.452962962961</v>
      </c>
      <c r="G267" s="4">
        <v>45772</v>
      </c>
      <c r="H267" s="2" t="s">
        <v>130</v>
      </c>
      <c r="I267" s="2" t="s">
        <v>51</v>
      </c>
      <c r="J267" s="2">
        <v>0.69620152464306795</v>
      </c>
      <c r="K267" s="2">
        <v>1291.2927768448999</v>
      </c>
      <c r="L267" s="2">
        <v>0</v>
      </c>
      <c r="M267" s="2">
        <v>899</v>
      </c>
      <c r="N267" s="2">
        <v>899</v>
      </c>
      <c r="O267" s="2"/>
      <c r="P267" s="2">
        <v>899</v>
      </c>
      <c r="Q267" s="2" t="s">
        <v>44</v>
      </c>
      <c r="R267" s="2"/>
      <c r="S267" t="str">
        <f>VLOOKUP(B267,CASOPOInvCL!$B$1:$D$1600,1,FALSE)</f>
        <v>SO16787</v>
      </c>
      <c r="T267">
        <f t="shared" si="4"/>
        <v>3</v>
      </c>
    </row>
    <row r="268" spans="1:20" ht="30" x14ac:dyDescent="0.25">
      <c r="A268" s="2">
        <v>2</v>
      </c>
      <c r="B268" s="2" t="s">
        <v>1761</v>
      </c>
      <c r="C268" s="2" t="s">
        <v>1762</v>
      </c>
      <c r="D268" s="2" t="s">
        <v>502</v>
      </c>
      <c r="E268" s="3">
        <v>45734.457650462973</v>
      </c>
      <c r="F268" s="3">
        <v>45734.539699074077</v>
      </c>
      <c r="G268" s="4">
        <v>45755</v>
      </c>
      <c r="H268" s="2" t="s">
        <v>21</v>
      </c>
      <c r="I268" s="2" t="s">
        <v>22</v>
      </c>
      <c r="J268" s="2">
        <v>1</v>
      </c>
      <c r="K268" s="2">
        <v>2887.52</v>
      </c>
      <c r="L268" s="2">
        <v>0</v>
      </c>
      <c r="M268" s="2">
        <v>2017.590543266228</v>
      </c>
      <c r="N268" s="2">
        <v>2750.02</v>
      </c>
      <c r="O268" s="2">
        <v>137.5</v>
      </c>
      <c r="P268" s="2">
        <v>2887.52</v>
      </c>
      <c r="Q268" s="2" t="s">
        <v>44</v>
      </c>
      <c r="R268" s="2"/>
      <c r="S268" t="str">
        <f>VLOOKUP(B268,CASOPOInvCL!$B$1:$D$1600,1,FALSE)</f>
        <v>SO16788</v>
      </c>
      <c r="T268">
        <f t="shared" si="4"/>
        <v>3</v>
      </c>
    </row>
    <row r="269" spans="1:20" x14ac:dyDescent="0.25">
      <c r="A269" s="2">
        <v>1</v>
      </c>
      <c r="B269" s="2" t="s">
        <v>1732</v>
      </c>
      <c r="C269" s="2" t="s">
        <v>1733</v>
      </c>
      <c r="D269" s="2" t="s">
        <v>70</v>
      </c>
      <c r="E269" s="3">
        <v>45734.652754629627</v>
      </c>
      <c r="F269" s="3">
        <v>45741.631643518522</v>
      </c>
      <c r="G269" s="4">
        <v>45747</v>
      </c>
      <c r="H269" s="2" t="s">
        <v>71</v>
      </c>
      <c r="I269" s="2" t="s">
        <v>51</v>
      </c>
      <c r="J269" s="2">
        <v>0.69959491803052931</v>
      </c>
      <c r="K269" s="2">
        <v>15979.247006926031</v>
      </c>
      <c r="L269" s="2">
        <v>0</v>
      </c>
      <c r="M269" s="2">
        <v>11179</v>
      </c>
      <c r="N269" s="2">
        <v>11179</v>
      </c>
      <c r="O269" s="2"/>
      <c r="P269" s="2">
        <v>11179</v>
      </c>
      <c r="Q269" s="2" t="s">
        <v>44</v>
      </c>
      <c r="R269" s="2"/>
      <c r="S269" t="str">
        <f>VLOOKUP(B269,CASOPOInvCL!$B$1:$D$1600,1,FALSE)</f>
        <v>SO16792</v>
      </c>
      <c r="T269">
        <f t="shared" si="4"/>
        <v>3</v>
      </c>
    </row>
    <row r="270" spans="1:20" ht="30" x14ac:dyDescent="0.25">
      <c r="A270" s="2">
        <v>1</v>
      </c>
      <c r="B270" s="2" t="s">
        <v>1757</v>
      </c>
      <c r="C270" s="2" t="s">
        <v>1758</v>
      </c>
      <c r="D270" s="2" t="s">
        <v>518</v>
      </c>
      <c r="E270" s="3">
        <v>45734.678668981483</v>
      </c>
      <c r="F270" s="3">
        <v>45734.681064814817</v>
      </c>
      <c r="G270" s="4">
        <v>45735</v>
      </c>
      <c r="H270" s="2" t="s">
        <v>21</v>
      </c>
      <c r="I270" s="2" t="s">
        <v>22</v>
      </c>
      <c r="J270" s="2">
        <v>1</v>
      </c>
      <c r="K270" s="2">
        <v>1561.69</v>
      </c>
      <c r="L270" s="2">
        <v>0</v>
      </c>
      <c r="M270" s="2">
        <v>1091.196242974399</v>
      </c>
      <c r="N270" s="2">
        <v>1487.32</v>
      </c>
      <c r="O270" s="2">
        <v>74.37</v>
      </c>
      <c r="P270" s="2">
        <v>1561.69</v>
      </c>
      <c r="Q270" s="2" t="s">
        <v>44</v>
      </c>
      <c r="R270" s="2"/>
      <c r="S270" t="str">
        <f>VLOOKUP(B270,CASOPOInvCL!$B$1:$D$1600,1,FALSE)</f>
        <v>SO16793</v>
      </c>
      <c r="T270">
        <f t="shared" si="4"/>
        <v>3</v>
      </c>
    </row>
    <row r="271" spans="1:20" x14ac:dyDescent="0.25">
      <c r="A271" s="2">
        <v>2</v>
      </c>
      <c r="B271" s="2" t="s">
        <v>1755</v>
      </c>
      <c r="C271" s="2" t="s">
        <v>1756</v>
      </c>
      <c r="D271" s="2" t="s">
        <v>98</v>
      </c>
      <c r="E271" s="3">
        <v>45734.698472222219</v>
      </c>
      <c r="F271" s="3">
        <v>45735.379537037043</v>
      </c>
      <c r="G271" s="4">
        <v>45833</v>
      </c>
      <c r="H271" s="2" t="s">
        <v>21</v>
      </c>
      <c r="I271" s="2" t="s">
        <v>22</v>
      </c>
      <c r="J271" s="2">
        <v>1</v>
      </c>
      <c r="K271" s="2">
        <v>14190.21</v>
      </c>
      <c r="L271" s="2">
        <v>0</v>
      </c>
      <c r="M271" s="2">
        <v>9901.6397600123782</v>
      </c>
      <c r="N271" s="2">
        <v>12557.71</v>
      </c>
      <c r="O271" s="2">
        <v>1632.5</v>
      </c>
      <c r="P271" s="2">
        <v>14190.21</v>
      </c>
      <c r="Q271" s="2" t="s">
        <v>44</v>
      </c>
      <c r="R271" s="2"/>
      <c r="S271" t="str">
        <f>VLOOKUP(B271,CASOPOInvCL!$B$1:$D$1600,1,FALSE)</f>
        <v>SO16794</v>
      </c>
      <c r="T271">
        <f t="shared" si="4"/>
        <v>3</v>
      </c>
    </row>
    <row r="272" spans="1:20" x14ac:dyDescent="0.25">
      <c r="A272" s="2">
        <v>1</v>
      </c>
      <c r="B272" s="2" t="s">
        <v>1753</v>
      </c>
      <c r="C272" s="2" t="s">
        <v>1754</v>
      </c>
      <c r="D272" s="2" t="s">
        <v>242</v>
      </c>
      <c r="E272" s="3">
        <v>45735.360706018517</v>
      </c>
      <c r="F272" s="3">
        <v>45735.513993055552</v>
      </c>
      <c r="G272" s="4">
        <v>45736</v>
      </c>
      <c r="H272" s="2" t="s">
        <v>21</v>
      </c>
      <c r="I272" s="2" t="s">
        <v>22</v>
      </c>
      <c r="J272" s="2">
        <v>1</v>
      </c>
      <c r="K272" s="2">
        <v>155.12</v>
      </c>
      <c r="L272" s="2">
        <v>0</v>
      </c>
      <c r="M272" s="2">
        <v>108.239579229139</v>
      </c>
      <c r="N272" s="2">
        <v>147.72999999999999</v>
      </c>
      <c r="O272" s="2">
        <v>7.39</v>
      </c>
      <c r="P272" s="2">
        <v>155.12</v>
      </c>
      <c r="Q272" s="2" t="s">
        <v>44</v>
      </c>
      <c r="R272" s="2"/>
      <c r="S272" t="str">
        <f>VLOOKUP(B272,CASOPOInvCL!$B$1:$D$1600,1,FALSE)</f>
        <v>SO16796</v>
      </c>
      <c r="T272">
        <f t="shared" si="4"/>
        <v>3</v>
      </c>
    </row>
    <row r="273" spans="1:20" x14ac:dyDescent="0.25">
      <c r="A273" s="2">
        <v>1</v>
      </c>
      <c r="B273" s="2" t="s">
        <v>1749</v>
      </c>
      <c r="C273" s="2" t="s">
        <v>1750</v>
      </c>
      <c r="D273" s="2" t="s">
        <v>465</v>
      </c>
      <c r="E273" s="3">
        <v>45735.36409722222</v>
      </c>
      <c r="F273" s="3">
        <v>45736.393483796302</v>
      </c>
      <c r="G273" s="4">
        <v>45750</v>
      </c>
      <c r="H273" s="2" t="s">
        <v>21</v>
      </c>
      <c r="I273" s="2" t="s">
        <v>22</v>
      </c>
      <c r="J273" s="2">
        <v>1</v>
      </c>
      <c r="K273" s="2">
        <v>1336.67</v>
      </c>
      <c r="L273" s="2">
        <v>0</v>
      </c>
      <c r="M273" s="2">
        <v>932.87906157753673</v>
      </c>
      <c r="N273" s="2">
        <v>1182.8900000000001</v>
      </c>
      <c r="O273" s="2">
        <v>153.78</v>
      </c>
      <c r="P273" s="2">
        <v>1336.67</v>
      </c>
      <c r="Q273" s="2" t="s">
        <v>44</v>
      </c>
      <c r="R273" s="2"/>
      <c r="S273" t="str">
        <f>VLOOKUP(B273,CASOPOInvCL!$B$1:$D$1600,1,FALSE)</f>
        <v>SO16797</v>
      </c>
      <c r="T273">
        <f t="shared" si="4"/>
        <v>3</v>
      </c>
    </row>
    <row r="274" spans="1:20" x14ac:dyDescent="0.25">
      <c r="A274" s="2">
        <v>3</v>
      </c>
      <c r="B274" s="2" t="s">
        <v>1585</v>
      </c>
      <c r="C274" s="2" t="s">
        <v>1586</v>
      </c>
      <c r="D274" s="2" t="s">
        <v>714</v>
      </c>
      <c r="E274" s="3">
        <v>45735.475891203707</v>
      </c>
      <c r="F274" s="3">
        <v>45762.415763888886</v>
      </c>
      <c r="G274" s="4">
        <v>45860</v>
      </c>
      <c r="H274" s="2" t="s">
        <v>21</v>
      </c>
      <c r="I274" s="2" t="s">
        <v>51</v>
      </c>
      <c r="J274" s="2">
        <v>0.71974046347359422</v>
      </c>
      <c r="K274" s="2">
        <v>12832.08388121817</v>
      </c>
      <c r="L274" s="2">
        <v>0</v>
      </c>
      <c r="M274" s="2">
        <v>9235.77</v>
      </c>
      <c r="N274" s="2">
        <v>9235.77</v>
      </c>
      <c r="O274" s="2"/>
      <c r="P274" s="2">
        <v>9235.77</v>
      </c>
      <c r="Q274" s="2" t="s">
        <v>44</v>
      </c>
      <c r="R274" s="2"/>
      <c r="S274" t="str">
        <f>VLOOKUP(B274,CASOPOInvCL!$B$1:$D$1600,1,FALSE)</f>
        <v>SO16798</v>
      </c>
      <c r="T274">
        <f t="shared" si="4"/>
        <v>3</v>
      </c>
    </row>
    <row r="275" spans="1:20" x14ac:dyDescent="0.25">
      <c r="A275" s="2">
        <v>1</v>
      </c>
      <c r="B275" s="2" t="s">
        <v>1751</v>
      </c>
      <c r="C275" s="2" t="s">
        <v>1752</v>
      </c>
      <c r="D275" s="2" t="s">
        <v>121</v>
      </c>
      <c r="E275" s="3">
        <v>45735.535578703697</v>
      </c>
      <c r="F275" s="3">
        <v>45735.540266203701</v>
      </c>
      <c r="G275" s="4">
        <v>45736</v>
      </c>
      <c r="H275" s="2" t="s">
        <v>21</v>
      </c>
      <c r="I275" s="2" t="s">
        <v>22</v>
      </c>
      <c r="J275" s="2">
        <v>1</v>
      </c>
      <c r="K275" s="2">
        <v>5581.2</v>
      </c>
      <c r="L275" s="2">
        <v>0</v>
      </c>
      <c r="M275" s="2">
        <v>3894.4477797425889</v>
      </c>
      <c r="N275" s="2">
        <v>5315.42</v>
      </c>
      <c r="O275" s="2">
        <v>265.77999999999997</v>
      </c>
      <c r="P275" s="2">
        <v>5581.2</v>
      </c>
      <c r="Q275" s="2" t="s">
        <v>44</v>
      </c>
      <c r="R275" s="2"/>
      <c r="S275" t="str">
        <f>VLOOKUP(B275,CASOPOInvCL!$B$1:$D$1600,1,FALSE)</f>
        <v>SO16799</v>
      </c>
      <c r="T275">
        <f t="shared" si="4"/>
        <v>3</v>
      </c>
    </row>
    <row r="276" spans="1:20" x14ac:dyDescent="0.25">
      <c r="A276" s="2">
        <v>1</v>
      </c>
      <c r="B276" s="2" t="s">
        <v>1639</v>
      </c>
      <c r="C276" s="2" t="s">
        <v>1640</v>
      </c>
      <c r="D276" s="2" t="s">
        <v>20</v>
      </c>
      <c r="E276" s="3">
        <v>45736.36577546296</v>
      </c>
      <c r="F276" s="3">
        <v>45755.670624999999</v>
      </c>
      <c r="G276" s="4">
        <v>45756</v>
      </c>
      <c r="H276" s="2" t="s">
        <v>21</v>
      </c>
      <c r="I276" s="2" t="s">
        <v>22</v>
      </c>
      <c r="J276" s="2">
        <v>1</v>
      </c>
      <c r="K276" s="2">
        <v>1886.26</v>
      </c>
      <c r="L276" s="2">
        <v>0</v>
      </c>
      <c r="M276" s="2">
        <v>1328.1571670862199</v>
      </c>
      <c r="N276" s="2">
        <v>1796.44</v>
      </c>
      <c r="O276" s="2">
        <v>89.82</v>
      </c>
      <c r="P276" s="2">
        <v>1886.26</v>
      </c>
      <c r="Q276" s="2" t="s">
        <v>44</v>
      </c>
      <c r="R276" s="2"/>
      <c r="S276" t="str">
        <f>VLOOKUP(B276,CASOPOInvCL!$B$1:$D$1600,1,FALSE)</f>
        <v>SO16803</v>
      </c>
      <c r="T276">
        <f t="shared" si="4"/>
        <v>3</v>
      </c>
    </row>
    <row r="277" spans="1:20" x14ac:dyDescent="0.25">
      <c r="A277" s="2">
        <v>1</v>
      </c>
      <c r="B277" s="2" t="s">
        <v>1745</v>
      </c>
      <c r="C277" s="2" t="s">
        <v>1746</v>
      </c>
      <c r="D277" s="2" t="s">
        <v>20</v>
      </c>
      <c r="E277" s="3">
        <v>45736.47146990741</v>
      </c>
      <c r="F277" s="3">
        <v>45736.472326388888</v>
      </c>
      <c r="G277" s="4">
        <v>45737</v>
      </c>
      <c r="H277" s="2" t="s">
        <v>21</v>
      </c>
      <c r="I277" s="2" t="s">
        <v>22</v>
      </c>
      <c r="J277" s="2">
        <v>1</v>
      </c>
      <c r="K277" s="2">
        <v>316.85000000000002</v>
      </c>
      <c r="L277" s="2">
        <v>0</v>
      </c>
      <c r="M277" s="2">
        <v>221.13366100895701</v>
      </c>
      <c r="N277" s="2">
        <v>301.76</v>
      </c>
      <c r="O277" s="2">
        <v>15.09</v>
      </c>
      <c r="P277" s="2">
        <v>316.85000000000002</v>
      </c>
      <c r="Q277" s="2" t="s">
        <v>44</v>
      </c>
      <c r="R277" s="2"/>
      <c r="S277" t="str">
        <f>VLOOKUP(B277,CASOPOInvCL!$B$1:$D$1600,1,FALSE)</f>
        <v>SO16804</v>
      </c>
      <c r="T277">
        <f t="shared" si="4"/>
        <v>3</v>
      </c>
    </row>
    <row r="278" spans="1:20" x14ac:dyDescent="0.25">
      <c r="A278" s="2">
        <v>1</v>
      </c>
      <c r="B278" s="2" t="s">
        <v>1718</v>
      </c>
      <c r="C278" s="2" t="s">
        <v>1719</v>
      </c>
      <c r="D278" s="2" t="s">
        <v>1420</v>
      </c>
      <c r="E278" s="3">
        <v>45736.501817129632</v>
      </c>
      <c r="F278" s="3">
        <v>45742.674618055556</v>
      </c>
      <c r="G278" s="4">
        <v>45812</v>
      </c>
      <c r="H278" s="2" t="s">
        <v>21</v>
      </c>
      <c r="I278" s="2" t="s">
        <v>22</v>
      </c>
      <c r="J278" s="2">
        <v>1</v>
      </c>
      <c r="K278" s="2">
        <v>13878.16</v>
      </c>
      <c r="L278" s="2">
        <v>0</v>
      </c>
      <c r="M278" s="2">
        <v>9734.5382757816169</v>
      </c>
      <c r="N278" s="2">
        <v>12281.56</v>
      </c>
      <c r="O278" s="2">
        <v>1596.6</v>
      </c>
      <c r="P278" s="2">
        <v>13878.16</v>
      </c>
      <c r="Q278" s="2" t="s">
        <v>44</v>
      </c>
      <c r="R278" s="2"/>
      <c r="S278" t="str">
        <f>VLOOKUP(B278,CASOPOInvCL!$B$1:$D$1600,1,FALSE)</f>
        <v>SO16805</v>
      </c>
      <c r="T278">
        <f t="shared" si="4"/>
        <v>3</v>
      </c>
    </row>
    <row r="279" spans="1:20" x14ac:dyDescent="0.25">
      <c r="A279" s="2">
        <v>2</v>
      </c>
      <c r="B279" s="2" t="s">
        <v>1358</v>
      </c>
      <c r="C279" s="2" t="s">
        <v>1359</v>
      </c>
      <c r="D279" s="2" t="s">
        <v>242</v>
      </c>
      <c r="E279" s="3">
        <v>45737.53087962963</v>
      </c>
      <c r="F279" s="3">
        <v>45800.571666666663</v>
      </c>
      <c r="G279" s="4">
        <v>45898</v>
      </c>
      <c r="H279" s="2" t="s">
        <v>21</v>
      </c>
      <c r="I279" s="2" t="s">
        <v>22</v>
      </c>
      <c r="J279" s="2">
        <v>1</v>
      </c>
      <c r="K279" s="2">
        <v>8392.52</v>
      </c>
      <c r="L279" s="2">
        <v>0</v>
      </c>
      <c r="M279" s="2">
        <v>6099.6775609877104</v>
      </c>
      <c r="N279" s="2">
        <v>7992.87</v>
      </c>
      <c r="O279" s="2">
        <v>399.65</v>
      </c>
      <c r="P279" s="2">
        <v>8392.52</v>
      </c>
      <c r="Q279" s="2" t="s">
        <v>44</v>
      </c>
      <c r="R279" s="2"/>
      <c r="S279" t="str">
        <f>VLOOKUP(B279,CASOPOInvCL!$B$1:$D$1600,1,FALSE)</f>
        <v>SO16809</v>
      </c>
      <c r="T279">
        <f t="shared" si="4"/>
        <v>3</v>
      </c>
    </row>
    <row r="280" spans="1:20" x14ac:dyDescent="0.25">
      <c r="A280" s="2">
        <v>1</v>
      </c>
      <c r="B280" s="2" t="s">
        <v>1608</v>
      </c>
      <c r="C280" s="2" t="s">
        <v>1609</v>
      </c>
      <c r="D280" s="2" t="s">
        <v>869</v>
      </c>
      <c r="E280" s="3">
        <v>45737.622523148151</v>
      </c>
      <c r="F280" s="3">
        <v>45758.64230324074</v>
      </c>
      <c r="G280" s="4">
        <v>45761</v>
      </c>
      <c r="H280" s="2" t="s">
        <v>180</v>
      </c>
      <c r="I280" s="2" t="s">
        <v>51</v>
      </c>
      <c r="J280" s="2">
        <v>0.70470066534440534</v>
      </c>
      <c r="K280" s="2">
        <v>6778.1829007718588</v>
      </c>
      <c r="L280" s="2">
        <v>0</v>
      </c>
      <c r="M280" s="2">
        <v>4776.59</v>
      </c>
      <c r="N280" s="2">
        <v>4776.59</v>
      </c>
      <c r="O280" s="2"/>
      <c r="P280" s="2">
        <v>4776.59</v>
      </c>
      <c r="Q280" s="2" t="s">
        <v>44</v>
      </c>
      <c r="R280" s="2"/>
      <c r="S280" t="str">
        <f>VLOOKUP(B280,CASOPOInvCL!$B$1:$D$1600,1,FALSE)</f>
        <v>SO16812</v>
      </c>
      <c r="T280">
        <f t="shared" si="4"/>
        <v>3</v>
      </c>
    </row>
    <row r="281" spans="1:20" x14ac:dyDescent="0.25">
      <c r="A281" s="2">
        <v>2</v>
      </c>
      <c r="B281" s="2" t="s">
        <v>1677</v>
      </c>
      <c r="C281" s="2" t="s">
        <v>1678</v>
      </c>
      <c r="D281" s="2" t="s">
        <v>901</v>
      </c>
      <c r="E281" s="3">
        <v>45737.641550925917</v>
      </c>
      <c r="F281" s="3">
        <v>45748.418634259258</v>
      </c>
      <c r="G281" s="4">
        <v>45783</v>
      </c>
      <c r="H281" s="2" t="s">
        <v>180</v>
      </c>
      <c r="I281" s="2" t="s">
        <v>51</v>
      </c>
      <c r="J281" s="2">
        <v>0.69675558294976692</v>
      </c>
      <c r="K281" s="2">
        <v>19956.495994094501</v>
      </c>
      <c r="L281" s="2">
        <v>0</v>
      </c>
      <c r="M281" s="2">
        <v>13904.8</v>
      </c>
      <c r="N281" s="2">
        <v>13904.8</v>
      </c>
      <c r="O281" s="2"/>
      <c r="P281" s="2">
        <v>13904.8</v>
      </c>
      <c r="Q281" s="2" t="s">
        <v>44</v>
      </c>
      <c r="R281" s="2"/>
      <c r="S281" t="str">
        <f>VLOOKUP(B281,CASOPOInvCL!$B$1:$D$1600,1,FALSE)</f>
        <v>SO16813</v>
      </c>
      <c r="T281">
        <f t="shared" si="4"/>
        <v>3</v>
      </c>
    </row>
    <row r="282" spans="1:20" x14ac:dyDescent="0.25">
      <c r="A282" s="2">
        <v>1</v>
      </c>
      <c r="B282" s="2" t="s">
        <v>1726</v>
      </c>
      <c r="C282" s="2" t="s">
        <v>1727</v>
      </c>
      <c r="D282" s="2" t="s">
        <v>714</v>
      </c>
      <c r="E282" s="3">
        <v>45740.337002314824</v>
      </c>
      <c r="F282" s="3">
        <v>45742.3281712963</v>
      </c>
      <c r="G282" s="4">
        <v>45742</v>
      </c>
      <c r="H282" s="2" t="s">
        <v>21</v>
      </c>
      <c r="I282" s="2" t="s">
        <v>51</v>
      </c>
      <c r="J282" s="2">
        <v>0.69885068489118096</v>
      </c>
      <c r="K282" s="2">
        <v>7831.9305086640406</v>
      </c>
      <c r="L282" s="2">
        <v>0</v>
      </c>
      <c r="M282" s="2">
        <v>5473.35</v>
      </c>
      <c r="N282" s="2">
        <v>5473.35</v>
      </c>
      <c r="O282" s="2"/>
      <c r="P282" s="2">
        <v>5473.35</v>
      </c>
      <c r="Q282" s="2" t="s">
        <v>44</v>
      </c>
      <c r="R282" s="2"/>
      <c r="S282" t="str">
        <f>VLOOKUP(B282,CASOPOInvCL!$B$1:$D$1600,1,FALSE)</f>
        <v>SO16814</v>
      </c>
      <c r="T282">
        <f t="shared" si="4"/>
        <v>3</v>
      </c>
    </row>
    <row r="283" spans="1:20" x14ac:dyDescent="0.25">
      <c r="A283" s="2">
        <v>1</v>
      </c>
      <c r="B283" s="2" t="s">
        <v>1710</v>
      </c>
      <c r="C283" s="2" t="s">
        <v>1711</v>
      </c>
      <c r="D283" s="2" t="s">
        <v>77</v>
      </c>
      <c r="E283" s="3">
        <v>45740.365243055552</v>
      </c>
      <c r="F283" s="3">
        <v>45743.418310185189</v>
      </c>
      <c r="G283" s="4">
        <v>45771</v>
      </c>
      <c r="H283" s="2" t="s">
        <v>21</v>
      </c>
      <c r="I283" s="2" t="s">
        <v>22</v>
      </c>
      <c r="J283" s="2">
        <v>1</v>
      </c>
      <c r="K283" s="2">
        <v>2263.5700000000002</v>
      </c>
      <c r="L283" s="2">
        <v>0</v>
      </c>
      <c r="M283" s="2">
        <v>1580.9480548073821</v>
      </c>
      <c r="N283" s="2">
        <v>2155.7800000000002</v>
      </c>
      <c r="O283" s="2">
        <v>107.79</v>
      </c>
      <c r="P283" s="2">
        <v>2263.5700000000002</v>
      </c>
      <c r="Q283" s="2" t="s">
        <v>44</v>
      </c>
      <c r="R283" s="2"/>
      <c r="S283" t="str">
        <f>VLOOKUP(B283,CASOPOInvCL!$B$1:$D$1600,1,FALSE)</f>
        <v>SO16815</v>
      </c>
      <c r="T283">
        <f t="shared" si="4"/>
        <v>3</v>
      </c>
    </row>
    <row r="284" spans="1:20" x14ac:dyDescent="0.25">
      <c r="A284" s="2">
        <v>1</v>
      </c>
      <c r="B284" s="2" t="s">
        <v>1738</v>
      </c>
      <c r="C284" s="2" t="s">
        <v>1739</v>
      </c>
      <c r="D284" s="2" t="s">
        <v>77</v>
      </c>
      <c r="E284" s="3">
        <v>45740.477650462963</v>
      </c>
      <c r="F284" s="3">
        <v>45740.480520833327</v>
      </c>
      <c r="G284" s="4">
        <v>45741</v>
      </c>
      <c r="H284" s="2" t="s">
        <v>21</v>
      </c>
      <c r="I284" s="2" t="s">
        <v>22</v>
      </c>
      <c r="J284" s="2">
        <v>1</v>
      </c>
      <c r="K284" s="2">
        <v>168.08</v>
      </c>
      <c r="L284" s="2">
        <v>0</v>
      </c>
      <c r="M284" s="2">
        <v>117.58791382257139</v>
      </c>
      <c r="N284" s="2">
        <v>160.08000000000001</v>
      </c>
      <c r="O284" s="2">
        <v>8</v>
      </c>
      <c r="P284" s="2">
        <v>168.08</v>
      </c>
      <c r="Q284" s="2" t="s">
        <v>44</v>
      </c>
      <c r="R284" s="2"/>
      <c r="S284" t="str">
        <f>VLOOKUP(B284,CASOPOInvCL!$B$1:$D$1600,1,FALSE)</f>
        <v>SO16816</v>
      </c>
      <c r="T284">
        <f t="shared" si="4"/>
        <v>3</v>
      </c>
    </row>
    <row r="285" spans="1:20" x14ac:dyDescent="0.25">
      <c r="A285" s="2">
        <v>1</v>
      </c>
      <c r="B285" s="2" t="s">
        <v>1522</v>
      </c>
      <c r="C285" s="2" t="s">
        <v>1523</v>
      </c>
      <c r="D285" s="2" t="s">
        <v>869</v>
      </c>
      <c r="E285" s="3">
        <v>45740.491886574076</v>
      </c>
      <c r="F285" s="3">
        <v>45775.60796296296</v>
      </c>
      <c r="G285" s="4">
        <v>45789</v>
      </c>
      <c r="H285" s="2" t="s">
        <v>180</v>
      </c>
      <c r="I285" s="2" t="s">
        <v>51</v>
      </c>
      <c r="J285" s="2">
        <v>0.72125060891744774</v>
      </c>
      <c r="K285" s="2">
        <v>1995.3120069597301</v>
      </c>
      <c r="L285" s="2">
        <v>0</v>
      </c>
      <c r="M285" s="2">
        <v>1439.12</v>
      </c>
      <c r="N285" s="2">
        <v>1439.12</v>
      </c>
      <c r="O285" s="2"/>
      <c r="P285" s="2">
        <v>1439.12</v>
      </c>
      <c r="Q285" s="2" t="s">
        <v>44</v>
      </c>
      <c r="R285" s="2"/>
      <c r="S285" t="str">
        <f>VLOOKUP(B285,CASOPOInvCL!$B$1:$D$1600,1,FALSE)</f>
        <v>SO16817</v>
      </c>
      <c r="T285">
        <f t="shared" si="4"/>
        <v>3</v>
      </c>
    </row>
    <row r="286" spans="1:20" ht="30" x14ac:dyDescent="0.25">
      <c r="A286" s="2">
        <v>1</v>
      </c>
      <c r="B286" s="2" t="s">
        <v>1736</v>
      </c>
      <c r="C286" s="2" t="s">
        <v>1737</v>
      </c>
      <c r="D286" s="2" t="s">
        <v>159</v>
      </c>
      <c r="E286" s="3">
        <v>45740.533958333333</v>
      </c>
      <c r="F286" s="3">
        <v>45740.534803240742</v>
      </c>
      <c r="G286" s="4">
        <v>45756</v>
      </c>
      <c r="H286" s="2" t="s">
        <v>426</v>
      </c>
      <c r="I286" s="2" t="s">
        <v>51</v>
      </c>
      <c r="J286" s="2">
        <v>0.69694344458511093</v>
      </c>
      <c r="K286" s="2">
        <v>29807.296648534691</v>
      </c>
      <c r="L286" s="2">
        <v>0</v>
      </c>
      <c r="M286" s="2">
        <v>20774</v>
      </c>
      <c r="N286" s="2">
        <v>20774</v>
      </c>
      <c r="O286" s="2"/>
      <c r="P286" s="2">
        <v>20774</v>
      </c>
      <c r="Q286" s="2" t="s">
        <v>44</v>
      </c>
      <c r="R286" s="2"/>
      <c r="S286" t="str">
        <f>VLOOKUP(B286,CASOPOInvCL!$B$1:$D$1600,1,FALSE)</f>
        <v>SO16819</v>
      </c>
      <c r="T286">
        <f t="shared" si="4"/>
        <v>3</v>
      </c>
    </row>
    <row r="287" spans="1:20" x14ac:dyDescent="0.25">
      <c r="A287" s="2">
        <v>1</v>
      </c>
      <c r="B287" s="2" t="s">
        <v>1693</v>
      </c>
      <c r="C287" s="2" t="s">
        <v>1694</v>
      </c>
      <c r="D287" s="2" t="s">
        <v>77</v>
      </c>
      <c r="E287" s="3">
        <v>45740.608206018522</v>
      </c>
      <c r="F287" s="3">
        <v>45747.534814814811</v>
      </c>
      <c r="G287" s="4">
        <v>45749</v>
      </c>
      <c r="H287" s="2" t="s">
        <v>21</v>
      </c>
      <c r="I287" s="2" t="s">
        <v>22</v>
      </c>
      <c r="J287" s="2">
        <v>1</v>
      </c>
      <c r="K287" s="2">
        <v>283.87</v>
      </c>
      <c r="L287" s="2">
        <v>0</v>
      </c>
      <c r="M287" s="2">
        <v>197.7880073319503</v>
      </c>
      <c r="N287" s="2">
        <v>270.35000000000002</v>
      </c>
      <c r="O287" s="2">
        <v>13.52</v>
      </c>
      <c r="P287" s="2">
        <v>283.87</v>
      </c>
      <c r="Q287" s="2" t="s">
        <v>44</v>
      </c>
      <c r="R287" s="2"/>
      <c r="S287" t="str">
        <f>VLOOKUP(B287,CASOPOInvCL!$B$1:$D$1600,1,FALSE)</f>
        <v>SO16821</v>
      </c>
      <c r="T287">
        <f t="shared" si="4"/>
        <v>3</v>
      </c>
    </row>
    <row r="288" spans="1:20" x14ac:dyDescent="0.25">
      <c r="A288" s="2">
        <v>1</v>
      </c>
      <c r="B288" s="2" t="s">
        <v>1499</v>
      </c>
      <c r="C288" s="2" t="s">
        <v>1500</v>
      </c>
      <c r="D288" s="2" t="s">
        <v>64</v>
      </c>
      <c r="E288" s="3">
        <v>45740.626250000001</v>
      </c>
      <c r="F288" s="3">
        <v>45778.450972222221</v>
      </c>
      <c r="G288" s="4">
        <v>45779</v>
      </c>
      <c r="H288" s="2" t="s">
        <v>21</v>
      </c>
      <c r="I288" s="2" t="s">
        <v>22</v>
      </c>
      <c r="J288" s="2">
        <v>1</v>
      </c>
      <c r="K288" s="2">
        <v>5086.5200000000004</v>
      </c>
      <c r="L288" s="2">
        <v>0</v>
      </c>
      <c r="M288" s="2">
        <v>3672.984304668892</v>
      </c>
      <c r="N288" s="2">
        <v>4501.3500000000004</v>
      </c>
      <c r="O288" s="2">
        <v>585.16999999999996</v>
      </c>
      <c r="P288" s="2">
        <v>5086.5200000000004</v>
      </c>
      <c r="Q288" s="2" t="s">
        <v>44</v>
      </c>
      <c r="R288" s="2"/>
      <c r="S288" t="str">
        <f>VLOOKUP(B288,CASOPOInvCL!$B$1:$D$1600,1,FALSE)</f>
        <v>SO16822</v>
      </c>
      <c r="T288">
        <f t="shared" si="4"/>
        <v>3</v>
      </c>
    </row>
    <row r="289" spans="1:20" ht="30" x14ac:dyDescent="0.25">
      <c r="A289" s="2">
        <v>1</v>
      </c>
      <c r="B289" s="2" t="s">
        <v>1703</v>
      </c>
      <c r="C289" s="2" t="s">
        <v>1704</v>
      </c>
      <c r="D289" s="2" t="s">
        <v>1705</v>
      </c>
      <c r="E289" s="3">
        <v>45740.652511574073</v>
      </c>
      <c r="F289" s="3">
        <v>45743.608067129629</v>
      </c>
      <c r="G289" s="4">
        <v>45744</v>
      </c>
      <c r="H289" s="2" t="s">
        <v>21</v>
      </c>
      <c r="I289" s="2" t="s">
        <v>22</v>
      </c>
      <c r="J289" s="2">
        <v>1</v>
      </c>
      <c r="K289" s="2">
        <v>617.23</v>
      </c>
      <c r="L289" s="2">
        <v>0</v>
      </c>
      <c r="M289" s="2">
        <v>431.09272868467087</v>
      </c>
      <c r="N289" s="2">
        <v>546.22</v>
      </c>
      <c r="O289" s="2">
        <v>71.010000000000005</v>
      </c>
      <c r="P289" s="2">
        <v>617.23</v>
      </c>
      <c r="Q289" s="2" t="s">
        <v>44</v>
      </c>
      <c r="R289" s="2"/>
      <c r="S289" t="str">
        <f>VLOOKUP(B289,CASOPOInvCL!$B$1:$D$1600,1,FALSE)</f>
        <v>SO16824</v>
      </c>
      <c r="T289">
        <f t="shared" si="4"/>
        <v>3</v>
      </c>
    </row>
    <row r="290" spans="1:20" x14ac:dyDescent="0.25">
      <c r="A290" s="2">
        <v>1</v>
      </c>
      <c r="B290" s="2" t="s">
        <v>1734</v>
      </c>
      <c r="C290" s="2" t="s">
        <v>1735</v>
      </c>
      <c r="D290" s="2" t="s">
        <v>242</v>
      </c>
      <c r="E290" s="3">
        <v>45741.571481481478</v>
      </c>
      <c r="F290" s="3">
        <v>45741.573321759257</v>
      </c>
      <c r="G290" s="4">
        <v>45742</v>
      </c>
      <c r="H290" s="2" t="s">
        <v>21</v>
      </c>
      <c r="I290" s="2" t="s">
        <v>22</v>
      </c>
      <c r="J290" s="2">
        <v>1</v>
      </c>
      <c r="K290" s="2">
        <v>173.13</v>
      </c>
      <c r="L290" s="2">
        <v>0</v>
      </c>
      <c r="M290" s="2">
        <v>120.99201907521019</v>
      </c>
      <c r="N290" s="2">
        <v>164.89</v>
      </c>
      <c r="O290" s="2">
        <v>8.24</v>
      </c>
      <c r="P290" s="2">
        <v>173.13</v>
      </c>
      <c r="Q290" s="2" t="s">
        <v>44</v>
      </c>
      <c r="R290" s="2"/>
      <c r="S290" t="str">
        <f>VLOOKUP(B290,CASOPOInvCL!$B$1:$D$1600,1,FALSE)</f>
        <v>SO16826</v>
      </c>
      <c r="T290">
        <f t="shared" si="4"/>
        <v>3</v>
      </c>
    </row>
    <row r="291" spans="1:20" x14ac:dyDescent="0.25">
      <c r="A291" s="2">
        <v>1</v>
      </c>
      <c r="B291" s="2" t="s">
        <v>1728</v>
      </c>
      <c r="C291" s="2" t="s">
        <v>1729</v>
      </c>
      <c r="D291" s="2" t="s">
        <v>47</v>
      </c>
      <c r="E291" s="3">
        <v>45741.579340277778</v>
      </c>
      <c r="F291" s="3">
        <v>45741.640555555547</v>
      </c>
      <c r="G291" s="4">
        <v>45742</v>
      </c>
      <c r="H291" s="2" t="s">
        <v>21</v>
      </c>
      <c r="I291" s="2" t="s">
        <v>22</v>
      </c>
      <c r="J291" s="2">
        <v>1</v>
      </c>
      <c r="K291" s="2">
        <v>3613.67</v>
      </c>
      <c r="L291" s="2">
        <v>0</v>
      </c>
      <c r="M291" s="2">
        <v>2525.4157544707141</v>
      </c>
      <c r="N291" s="2">
        <v>3197.94</v>
      </c>
      <c r="O291" s="2">
        <v>415.73</v>
      </c>
      <c r="P291" s="2">
        <v>3613.67</v>
      </c>
      <c r="Q291" s="2" t="s">
        <v>44</v>
      </c>
      <c r="R291" s="2"/>
      <c r="S291" t="str">
        <f>VLOOKUP(B291,CASOPOInvCL!$B$1:$D$1600,1,FALSE)</f>
        <v>SO16827</v>
      </c>
      <c r="T291">
        <f t="shared" si="4"/>
        <v>3</v>
      </c>
    </row>
    <row r="292" spans="1:20" x14ac:dyDescent="0.25">
      <c r="A292" s="2">
        <v>1</v>
      </c>
      <c r="B292" s="2" t="s">
        <v>1701</v>
      </c>
      <c r="C292" s="2" t="s">
        <v>1702</v>
      </c>
      <c r="D292" s="2" t="s">
        <v>39</v>
      </c>
      <c r="E292" s="3">
        <v>45741.620925925927</v>
      </c>
      <c r="F292" s="3">
        <v>45743.620925925927</v>
      </c>
      <c r="G292" s="4">
        <v>45744</v>
      </c>
      <c r="H292" s="2" t="s">
        <v>21</v>
      </c>
      <c r="I292" s="2" t="s">
        <v>22</v>
      </c>
      <c r="J292" s="2">
        <v>1</v>
      </c>
      <c r="K292" s="2">
        <v>277.45</v>
      </c>
      <c r="L292" s="2">
        <v>0</v>
      </c>
      <c r="M292" s="2">
        <v>193.77975401967171</v>
      </c>
      <c r="N292" s="2">
        <v>264.24</v>
      </c>
      <c r="O292" s="2">
        <v>13.21</v>
      </c>
      <c r="P292" s="2">
        <v>277.45</v>
      </c>
      <c r="Q292" s="2" t="s">
        <v>44</v>
      </c>
      <c r="R292" s="2"/>
      <c r="S292" t="str">
        <f>VLOOKUP(B292,CASOPOInvCL!$B$1:$D$1600,1,FALSE)</f>
        <v>SO16829</v>
      </c>
      <c r="T292">
        <f t="shared" si="4"/>
        <v>3</v>
      </c>
    </row>
    <row r="293" spans="1:20" x14ac:dyDescent="0.25">
      <c r="A293" s="2">
        <v>1</v>
      </c>
      <c r="B293" s="2" t="s">
        <v>1730</v>
      </c>
      <c r="C293" s="2" t="s">
        <v>1731</v>
      </c>
      <c r="D293" s="2" t="s">
        <v>146</v>
      </c>
      <c r="E293" s="3">
        <v>45741.629687499997</v>
      </c>
      <c r="F293" s="3">
        <v>45741.631689814807</v>
      </c>
      <c r="G293" s="4">
        <v>45742</v>
      </c>
      <c r="H293" s="2" t="s">
        <v>21</v>
      </c>
      <c r="I293" s="2" t="s">
        <v>22</v>
      </c>
      <c r="J293" s="2">
        <v>1</v>
      </c>
      <c r="K293" s="2">
        <v>542.75</v>
      </c>
      <c r="L293" s="2">
        <v>0</v>
      </c>
      <c r="M293" s="2">
        <v>379.30120922468848</v>
      </c>
      <c r="N293" s="2">
        <v>516.9</v>
      </c>
      <c r="O293" s="2">
        <v>25.85</v>
      </c>
      <c r="P293" s="2">
        <v>542.75</v>
      </c>
      <c r="Q293" s="2" t="s">
        <v>44</v>
      </c>
      <c r="R293" s="2"/>
      <c r="S293" t="str">
        <f>VLOOKUP(B293,CASOPOInvCL!$B$1:$D$1600,1,FALSE)</f>
        <v>SO16830</v>
      </c>
      <c r="T293">
        <f t="shared" si="4"/>
        <v>3</v>
      </c>
    </row>
    <row r="294" spans="1:20" x14ac:dyDescent="0.25">
      <c r="A294" s="2">
        <v>1</v>
      </c>
      <c r="B294" s="2" t="s">
        <v>1724</v>
      </c>
      <c r="C294" s="2" t="s">
        <v>1725</v>
      </c>
      <c r="D294" s="2" t="s">
        <v>146</v>
      </c>
      <c r="E294" s="3">
        <v>45742.334618055553</v>
      </c>
      <c r="F294" s="3">
        <v>45742.335081018522</v>
      </c>
      <c r="G294" s="4">
        <v>45742</v>
      </c>
      <c r="H294" s="2" t="s">
        <v>21</v>
      </c>
      <c r="I294" s="2" t="s">
        <v>22</v>
      </c>
      <c r="J294" s="2">
        <v>1</v>
      </c>
      <c r="K294" s="2">
        <v>361.83</v>
      </c>
      <c r="L294" s="2">
        <v>0</v>
      </c>
      <c r="M294" s="2">
        <v>253.7979086799736</v>
      </c>
      <c r="N294" s="2">
        <v>344.6</v>
      </c>
      <c r="O294" s="2">
        <v>17.23</v>
      </c>
      <c r="P294" s="2">
        <v>361.83</v>
      </c>
      <c r="Q294" s="2" t="s">
        <v>44</v>
      </c>
      <c r="R294" s="2"/>
      <c r="S294" t="str">
        <f>VLOOKUP(B294,CASOPOInvCL!$B$1:$D$1600,1,FALSE)</f>
        <v>SO16833</v>
      </c>
      <c r="T294">
        <f t="shared" si="4"/>
        <v>3</v>
      </c>
    </row>
    <row r="295" spans="1:20" ht="30" x14ac:dyDescent="0.25">
      <c r="A295" s="2">
        <v>2</v>
      </c>
      <c r="B295" s="2" t="s">
        <v>1662</v>
      </c>
      <c r="C295" s="2" t="s">
        <v>1663</v>
      </c>
      <c r="D295" s="2" t="s">
        <v>159</v>
      </c>
      <c r="E295" s="3">
        <v>45742.51153935185</v>
      </c>
      <c r="F295" s="3">
        <v>45750.51295138889</v>
      </c>
      <c r="G295" s="4">
        <v>45786</v>
      </c>
      <c r="H295" s="2" t="s">
        <v>40</v>
      </c>
      <c r="I295" s="2" t="s">
        <v>51</v>
      </c>
      <c r="J295" s="2">
        <v>0.69879848026194369</v>
      </c>
      <c r="K295" s="2">
        <v>57048.635802780322</v>
      </c>
      <c r="L295" s="2">
        <v>0</v>
      </c>
      <c r="M295" s="2">
        <v>39865.5</v>
      </c>
      <c r="N295" s="2">
        <v>39865.5</v>
      </c>
      <c r="O295" s="2"/>
      <c r="P295" s="2">
        <v>39865.5</v>
      </c>
      <c r="Q295" s="2" t="s">
        <v>44</v>
      </c>
      <c r="R295" s="2"/>
      <c r="S295" t="str">
        <f>VLOOKUP(B295,CASOPOInvCL!$B$1:$D$1600,1,FALSE)</f>
        <v>SO16834</v>
      </c>
      <c r="T295">
        <f t="shared" si="4"/>
        <v>3</v>
      </c>
    </row>
    <row r="296" spans="1:20" ht="30" x14ac:dyDescent="0.25">
      <c r="A296" s="2">
        <v>2</v>
      </c>
      <c r="B296" s="2" t="s">
        <v>1664</v>
      </c>
      <c r="C296" s="2" t="s">
        <v>1665</v>
      </c>
      <c r="D296" s="2" t="s">
        <v>149</v>
      </c>
      <c r="E296" s="3">
        <v>45742.540625000001</v>
      </c>
      <c r="F296" s="3">
        <v>45750.355833333328</v>
      </c>
      <c r="G296" s="4">
        <v>45855</v>
      </c>
      <c r="H296" s="2" t="s">
        <v>21</v>
      </c>
      <c r="I296" s="2" t="s">
        <v>51</v>
      </c>
      <c r="J296" s="2">
        <v>0.69879848026194369</v>
      </c>
      <c r="K296" s="2">
        <v>6611.1906801346231</v>
      </c>
      <c r="L296" s="2">
        <v>0</v>
      </c>
      <c r="M296" s="2">
        <v>4619.8900000000003</v>
      </c>
      <c r="N296" s="2">
        <v>4619.8900000000003</v>
      </c>
      <c r="O296" s="2"/>
      <c r="P296" s="2">
        <v>4619.8900000000003</v>
      </c>
      <c r="Q296" s="2" t="s">
        <v>44</v>
      </c>
      <c r="R296" s="2"/>
      <c r="S296" t="str">
        <f>VLOOKUP(B296,CASOPOInvCL!$B$1:$D$1600,1,FALSE)</f>
        <v>SO16835</v>
      </c>
      <c r="T296">
        <f t="shared" si="4"/>
        <v>3</v>
      </c>
    </row>
    <row r="297" spans="1:20" x14ac:dyDescent="0.25">
      <c r="A297" s="2">
        <v>1</v>
      </c>
      <c r="B297" s="2" t="s">
        <v>1716</v>
      </c>
      <c r="C297" s="2" t="s">
        <v>1717</v>
      </c>
      <c r="D297" s="2" t="s">
        <v>242</v>
      </c>
      <c r="E297" s="3">
        <v>45742.563379629632</v>
      </c>
      <c r="F297" s="3">
        <v>45743.337245370371</v>
      </c>
      <c r="G297" s="4">
        <v>45744</v>
      </c>
      <c r="H297" s="2" t="s">
        <v>21</v>
      </c>
      <c r="I297" s="2" t="s">
        <v>22</v>
      </c>
      <c r="J297" s="2">
        <v>1</v>
      </c>
      <c r="K297" s="2">
        <v>2102.94</v>
      </c>
      <c r="L297" s="2">
        <v>0</v>
      </c>
      <c r="M297" s="2">
        <v>1468.759040973611</v>
      </c>
      <c r="N297" s="2">
        <v>2002.8</v>
      </c>
      <c r="O297" s="2">
        <v>100.14</v>
      </c>
      <c r="P297" s="2">
        <v>2102.94</v>
      </c>
      <c r="Q297" s="2" t="s">
        <v>44</v>
      </c>
      <c r="R297" s="2"/>
      <c r="S297" t="str">
        <f>VLOOKUP(B297,CASOPOInvCL!$B$1:$D$1600,1,FALSE)</f>
        <v>SO16836</v>
      </c>
      <c r="T297">
        <f t="shared" si="4"/>
        <v>3</v>
      </c>
    </row>
    <row r="298" spans="1:20" x14ac:dyDescent="0.25">
      <c r="A298" s="2">
        <v>1</v>
      </c>
      <c r="B298" s="2" t="s">
        <v>1722</v>
      </c>
      <c r="C298" s="2" t="s">
        <v>1723</v>
      </c>
      <c r="D298" s="2" t="s">
        <v>242</v>
      </c>
      <c r="E298" s="3">
        <v>45742.572060185194</v>
      </c>
      <c r="F298" s="3">
        <v>45742.579583333332</v>
      </c>
      <c r="G298" s="4">
        <v>45743</v>
      </c>
      <c r="H298" s="2" t="s">
        <v>21</v>
      </c>
      <c r="I298" s="2" t="s">
        <v>22</v>
      </c>
      <c r="J298" s="2">
        <v>1</v>
      </c>
      <c r="K298" s="2">
        <v>3254.54</v>
      </c>
      <c r="L298" s="2">
        <v>0</v>
      </c>
      <c r="M298" s="2">
        <v>2282.827420930606</v>
      </c>
      <c r="N298" s="2">
        <v>3099.56</v>
      </c>
      <c r="O298" s="2">
        <v>154.97999999999999</v>
      </c>
      <c r="P298" s="2">
        <v>3254.54</v>
      </c>
      <c r="Q298" s="2" t="s">
        <v>44</v>
      </c>
      <c r="R298" s="2"/>
      <c r="S298" t="str">
        <f>VLOOKUP(B298,CASOPOInvCL!$B$1:$D$1600,1,FALSE)</f>
        <v>SO16837</v>
      </c>
      <c r="T298">
        <f t="shared" si="4"/>
        <v>3</v>
      </c>
    </row>
    <row r="299" spans="1:20" x14ac:dyDescent="0.25">
      <c r="A299" s="2">
        <v>1</v>
      </c>
      <c r="B299" s="2" t="s">
        <v>1712</v>
      </c>
      <c r="C299" s="2" t="s">
        <v>1713</v>
      </c>
      <c r="D299" s="2" t="s">
        <v>146</v>
      </c>
      <c r="E299" s="3">
        <v>45742.627233796287</v>
      </c>
      <c r="F299" s="3">
        <v>45743.397615740738</v>
      </c>
      <c r="G299" s="4">
        <v>45764</v>
      </c>
      <c r="H299" s="2" t="s">
        <v>21</v>
      </c>
      <c r="I299" s="2" t="s">
        <v>22</v>
      </c>
      <c r="J299" s="2">
        <v>1</v>
      </c>
      <c r="K299" s="2">
        <v>2175.37</v>
      </c>
      <c r="L299" s="2">
        <v>0</v>
      </c>
      <c r="M299" s="2">
        <v>1519.34641737889</v>
      </c>
      <c r="N299" s="2">
        <v>2071.7800000000002</v>
      </c>
      <c r="O299" s="2">
        <v>103.59</v>
      </c>
      <c r="P299" s="2">
        <v>2175.37</v>
      </c>
      <c r="Q299" s="2" t="s">
        <v>44</v>
      </c>
      <c r="R299" s="2"/>
      <c r="S299" t="str">
        <f>VLOOKUP(B299,CASOPOInvCL!$B$1:$D$1600,1,FALSE)</f>
        <v>SO16839</v>
      </c>
      <c r="T299">
        <f t="shared" si="4"/>
        <v>3</v>
      </c>
    </row>
    <row r="300" spans="1:20" ht="30" x14ac:dyDescent="0.25">
      <c r="A300" s="2">
        <v>1</v>
      </c>
      <c r="B300" s="2" t="s">
        <v>1720</v>
      </c>
      <c r="C300" s="2" t="s">
        <v>1721</v>
      </c>
      <c r="D300" s="2" t="s">
        <v>159</v>
      </c>
      <c r="E300" s="3">
        <v>45742.63140046296</v>
      </c>
      <c r="F300" s="3">
        <v>45742.634629629632</v>
      </c>
      <c r="G300" s="4">
        <v>45756</v>
      </c>
      <c r="H300" s="2" t="s">
        <v>180</v>
      </c>
      <c r="I300" s="2" t="s">
        <v>51</v>
      </c>
      <c r="J300" s="2">
        <v>0.69885068489118096</v>
      </c>
      <c r="K300" s="2">
        <v>19780.63454592237</v>
      </c>
      <c r="L300" s="2">
        <v>0</v>
      </c>
      <c r="M300" s="2">
        <v>13823.71</v>
      </c>
      <c r="N300" s="2">
        <v>13823.71</v>
      </c>
      <c r="O300" s="2"/>
      <c r="P300" s="2">
        <v>13823.71</v>
      </c>
      <c r="Q300" s="2" t="s">
        <v>44</v>
      </c>
      <c r="R300" s="2"/>
      <c r="S300" t="str">
        <f>VLOOKUP(B300,CASOPOInvCL!$B$1:$D$1600,1,FALSE)</f>
        <v>SO16840</v>
      </c>
      <c r="T300">
        <f t="shared" si="4"/>
        <v>3</v>
      </c>
    </row>
    <row r="301" spans="1:20" x14ac:dyDescent="0.25">
      <c r="A301" s="2">
        <v>1</v>
      </c>
      <c r="B301" s="2" t="s">
        <v>1689</v>
      </c>
      <c r="C301" s="2" t="s">
        <v>1690</v>
      </c>
      <c r="D301" s="2" t="s">
        <v>509</v>
      </c>
      <c r="E301" s="3">
        <v>45742.696030092593</v>
      </c>
      <c r="F301" s="3">
        <v>45747.557106481479</v>
      </c>
      <c r="G301" s="4">
        <v>45748</v>
      </c>
      <c r="H301" s="2" t="s">
        <v>21</v>
      </c>
      <c r="I301" s="2" t="s">
        <v>22</v>
      </c>
      <c r="J301" s="2">
        <v>1</v>
      </c>
      <c r="K301" s="2">
        <v>904.12</v>
      </c>
      <c r="L301" s="2">
        <v>0</v>
      </c>
      <c r="M301" s="2">
        <v>629.95065765654329</v>
      </c>
      <c r="N301" s="2">
        <v>861.07</v>
      </c>
      <c r="O301" s="2">
        <v>43.05</v>
      </c>
      <c r="P301" s="2">
        <v>904.12</v>
      </c>
      <c r="Q301" s="2" t="s">
        <v>44</v>
      </c>
      <c r="R301" s="2"/>
      <c r="S301" t="str">
        <f>VLOOKUP(B301,CASOPOInvCL!$B$1:$D$1600,1,FALSE)</f>
        <v>SO16842</v>
      </c>
      <c r="T301">
        <f t="shared" si="4"/>
        <v>3</v>
      </c>
    </row>
    <row r="302" spans="1:20" x14ac:dyDescent="0.25">
      <c r="A302" s="2">
        <v>2</v>
      </c>
      <c r="B302" s="2" t="s">
        <v>1714</v>
      </c>
      <c r="C302" s="2" t="s">
        <v>1715</v>
      </c>
      <c r="D302" s="2" t="s">
        <v>714</v>
      </c>
      <c r="E302" s="3">
        <v>45743.345960648148</v>
      </c>
      <c r="F302" s="3">
        <v>45743.348877314813</v>
      </c>
      <c r="G302" s="4">
        <v>45716</v>
      </c>
      <c r="H302" s="2" t="s">
        <v>21</v>
      </c>
      <c r="I302" s="2" t="s">
        <v>51</v>
      </c>
      <c r="J302" s="2">
        <v>0.70142859541766467</v>
      </c>
      <c r="K302" s="2">
        <v>1698.1058482378539</v>
      </c>
      <c r="L302" s="2">
        <v>0</v>
      </c>
      <c r="M302" s="2">
        <v>1191.0999999999999</v>
      </c>
      <c r="N302" s="2">
        <v>1191.0999999999999</v>
      </c>
      <c r="O302" s="2"/>
      <c r="P302" s="2">
        <v>1191.0999999999999</v>
      </c>
      <c r="Q302" s="2" t="s">
        <v>44</v>
      </c>
      <c r="R302" s="2"/>
      <c r="S302" t="str">
        <f>VLOOKUP(B302,CASOPOInvCL!$B$1:$D$1600,1,FALSE)</f>
        <v>SO16844</v>
      </c>
      <c r="T302">
        <f t="shared" si="4"/>
        <v>3</v>
      </c>
    </row>
    <row r="303" spans="1:20" x14ac:dyDescent="0.25">
      <c r="A303" s="2">
        <v>1</v>
      </c>
      <c r="B303" s="2" t="s">
        <v>1671</v>
      </c>
      <c r="C303" s="2" t="s">
        <v>1672</v>
      </c>
      <c r="D303" s="2" t="s">
        <v>77</v>
      </c>
      <c r="E303" s="3">
        <v>45743.383935185193</v>
      </c>
      <c r="F303" s="3">
        <v>45748.659247685187</v>
      </c>
      <c r="G303" s="4">
        <v>45749</v>
      </c>
      <c r="H303" s="2" t="s">
        <v>1132</v>
      </c>
      <c r="I303" s="2" t="s">
        <v>22</v>
      </c>
      <c r="J303" s="2">
        <v>1</v>
      </c>
      <c r="K303" s="2">
        <v>2143.1</v>
      </c>
      <c r="L303" s="2">
        <v>0</v>
      </c>
      <c r="M303" s="2">
        <v>1488.7829889974489</v>
      </c>
      <c r="N303" s="2">
        <v>2041.05</v>
      </c>
      <c r="O303" s="2">
        <v>102.05</v>
      </c>
      <c r="P303" s="2">
        <v>2143.1</v>
      </c>
      <c r="Q303" s="2" t="s">
        <v>44</v>
      </c>
      <c r="R303" s="2"/>
      <c r="S303" t="str">
        <f>VLOOKUP(B303,CASOPOInvCL!$B$1:$D$1600,1,FALSE)</f>
        <v>SO16846</v>
      </c>
      <c r="T303">
        <f t="shared" si="4"/>
        <v>3</v>
      </c>
    </row>
    <row r="304" spans="1:20" x14ac:dyDescent="0.25">
      <c r="A304" s="2">
        <v>1</v>
      </c>
      <c r="B304" s="2" t="s">
        <v>1708</v>
      </c>
      <c r="C304" s="2" t="s">
        <v>1709</v>
      </c>
      <c r="D304" s="2" t="s">
        <v>129</v>
      </c>
      <c r="E304" s="3">
        <v>45743.426898148151</v>
      </c>
      <c r="F304" s="3">
        <v>45743.425474537027</v>
      </c>
      <c r="G304" s="4">
        <v>45743</v>
      </c>
      <c r="H304" s="2" t="s">
        <v>130</v>
      </c>
      <c r="I304" s="2" t="s">
        <v>51</v>
      </c>
      <c r="J304" s="2">
        <v>0.70142859541766467</v>
      </c>
      <c r="K304" s="2">
        <v>3227.6984639497118</v>
      </c>
      <c r="L304" s="2">
        <v>0</v>
      </c>
      <c r="M304" s="2">
        <v>2264</v>
      </c>
      <c r="N304" s="2">
        <v>2264</v>
      </c>
      <c r="O304" s="2"/>
      <c r="P304" s="2">
        <v>2264</v>
      </c>
      <c r="Q304" s="2" t="s">
        <v>44</v>
      </c>
      <c r="R304" s="2"/>
      <c r="S304" t="str">
        <f>VLOOKUP(B304,CASOPOInvCL!$B$1:$D$1600,1,FALSE)</f>
        <v>SO16847</v>
      </c>
      <c r="T304">
        <f t="shared" si="4"/>
        <v>3</v>
      </c>
    </row>
    <row r="305" spans="1:20" x14ac:dyDescent="0.25">
      <c r="A305" s="2">
        <v>2</v>
      </c>
      <c r="B305" s="2" t="s">
        <v>1706</v>
      </c>
      <c r="C305" s="2" t="s">
        <v>1707</v>
      </c>
      <c r="D305" s="2" t="s">
        <v>98</v>
      </c>
      <c r="E305" s="3">
        <v>45743.529849537037</v>
      </c>
      <c r="F305" s="3">
        <v>45743.587037037039</v>
      </c>
      <c r="G305" s="4">
        <v>45771</v>
      </c>
      <c r="H305" s="2" t="s">
        <v>21</v>
      </c>
      <c r="I305" s="2" t="s">
        <v>22</v>
      </c>
      <c r="J305" s="2">
        <v>1</v>
      </c>
      <c r="K305" s="2">
        <v>387.84</v>
      </c>
      <c r="L305" s="2">
        <v>0</v>
      </c>
      <c r="M305" s="2">
        <v>270.87958118215698</v>
      </c>
      <c r="N305" s="2">
        <v>343.22</v>
      </c>
      <c r="O305" s="2">
        <v>44.62</v>
      </c>
      <c r="P305" s="2">
        <v>387.84</v>
      </c>
      <c r="Q305" s="2" t="s">
        <v>44</v>
      </c>
      <c r="R305" s="2"/>
      <c r="S305" t="str">
        <f>VLOOKUP(B305,CASOPOInvCL!$B$1:$D$1600,1,FALSE)</f>
        <v>SO16848</v>
      </c>
      <c r="T305">
        <f t="shared" si="4"/>
        <v>3</v>
      </c>
    </row>
    <row r="306" spans="1:20" x14ac:dyDescent="0.25">
      <c r="A306" s="2">
        <v>1</v>
      </c>
      <c r="B306" s="2" t="s">
        <v>1655</v>
      </c>
      <c r="C306" s="2" t="s">
        <v>1656</v>
      </c>
      <c r="D306" s="2" t="s">
        <v>39</v>
      </c>
      <c r="E306" s="3">
        <v>45743.641793981478</v>
      </c>
      <c r="F306" s="3">
        <v>45750.679097222222</v>
      </c>
      <c r="G306" s="4">
        <v>45751</v>
      </c>
      <c r="H306" s="2" t="s">
        <v>21</v>
      </c>
      <c r="I306" s="2" t="s">
        <v>22</v>
      </c>
      <c r="J306" s="2">
        <v>1</v>
      </c>
      <c r="K306" s="2">
        <v>1078.71</v>
      </c>
      <c r="L306" s="2">
        <v>1078.71</v>
      </c>
      <c r="M306" s="2">
        <v>1078.71</v>
      </c>
      <c r="N306" s="2">
        <v>1027.3399999999999</v>
      </c>
      <c r="O306" s="2">
        <v>51.37</v>
      </c>
      <c r="P306" s="2">
        <v>1078.71</v>
      </c>
      <c r="Q306" s="2" t="s">
        <v>44</v>
      </c>
      <c r="R306" s="2"/>
      <c r="S306" t="str">
        <f>VLOOKUP(B306,CASOPOInvCL!$B$1:$D$1600,1,FALSE)</f>
        <v>SO16850</v>
      </c>
      <c r="T306">
        <f t="shared" si="4"/>
        <v>3</v>
      </c>
    </row>
    <row r="307" spans="1:20" x14ac:dyDescent="0.25">
      <c r="A307" s="2">
        <v>1</v>
      </c>
      <c r="B307" s="2" t="s">
        <v>1697</v>
      </c>
      <c r="C307" s="2" t="s">
        <v>1698</v>
      </c>
      <c r="D307" s="2" t="s">
        <v>98</v>
      </c>
      <c r="E307" s="3">
        <v>45744.340949074067</v>
      </c>
      <c r="F307" s="3">
        <v>45744.538472222222</v>
      </c>
      <c r="G307" s="4">
        <v>45747</v>
      </c>
      <c r="H307" s="2" t="s">
        <v>21</v>
      </c>
      <c r="I307" s="2" t="s">
        <v>22</v>
      </c>
      <c r="J307" s="2">
        <v>1</v>
      </c>
      <c r="K307" s="2">
        <v>6280.39</v>
      </c>
      <c r="L307" s="2">
        <v>0</v>
      </c>
      <c r="M307" s="2">
        <v>4396.7804534179604</v>
      </c>
      <c r="N307" s="2">
        <v>5557.87</v>
      </c>
      <c r="O307" s="2">
        <v>722.52</v>
      </c>
      <c r="P307" s="2">
        <v>6280.39</v>
      </c>
      <c r="Q307" s="2" t="s">
        <v>44</v>
      </c>
      <c r="R307" s="2"/>
      <c r="S307" t="str">
        <f>VLOOKUP(B307,CASOPOInvCL!$B$1:$D$1600,1,FALSE)</f>
        <v>SO16853</v>
      </c>
      <c r="T307">
        <f t="shared" si="4"/>
        <v>3</v>
      </c>
    </row>
    <row r="308" spans="1:20" x14ac:dyDescent="0.25">
      <c r="A308" s="2">
        <v>1</v>
      </c>
      <c r="B308" s="2" t="s">
        <v>1699</v>
      </c>
      <c r="C308" s="2" t="s">
        <v>1700</v>
      </c>
      <c r="D308" s="2" t="s">
        <v>602</v>
      </c>
      <c r="E308" s="3">
        <v>45744.445196759261</v>
      </c>
      <c r="F308" s="3">
        <v>45744.508298611108</v>
      </c>
      <c r="G308" s="4">
        <v>45765</v>
      </c>
      <c r="H308" s="2" t="s">
        <v>21</v>
      </c>
      <c r="I308" s="2" t="s">
        <v>22</v>
      </c>
      <c r="J308" s="2">
        <v>1</v>
      </c>
      <c r="K308" s="2">
        <v>1655.53</v>
      </c>
      <c r="L308" s="2">
        <v>0</v>
      </c>
      <c r="M308" s="2">
        <v>1159.0047662720051</v>
      </c>
      <c r="N308" s="2">
        <v>1465.07</v>
      </c>
      <c r="O308" s="2">
        <v>190.46</v>
      </c>
      <c r="P308" s="2">
        <v>1655.53</v>
      </c>
      <c r="Q308" s="2" t="s">
        <v>44</v>
      </c>
      <c r="R308" s="2"/>
      <c r="S308" t="str">
        <f>VLOOKUP(B308,CASOPOInvCL!$B$1:$D$1600,1,FALSE)</f>
        <v>SO16856</v>
      </c>
      <c r="T308">
        <f t="shared" si="4"/>
        <v>3</v>
      </c>
    </row>
    <row r="309" spans="1:20" ht="30" x14ac:dyDescent="0.25">
      <c r="A309" s="2">
        <v>1</v>
      </c>
      <c r="B309" s="2" t="s">
        <v>1653</v>
      </c>
      <c r="C309" s="2" t="s">
        <v>1654</v>
      </c>
      <c r="D309" s="2" t="s">
        <v>1333</v>
      </c>
      <c r="E309" s="3">
        <v>45744.628668981481</v>
      </c>
      <c r="F309" s="3">
        <v>45751.554456018523</v>
      </c>
      <c r="G309" s="4">
        <v>45772</v>
      </c>
      <c r="H309" s="2" t="s">
        <v>21</v>
      </c>
      <c r="I309" s="2" t="s">
        <v>22</v>
      </c>
      <c r="J309" s="2">
        <v>1</v>
      </c>
      <c r="K309" s="2">
        <v>157.16</v>
      </c>
      <c r="L309" s="2">
        <v>0</v>
      </c>
      <c r="M309" s="2">
        <v>110.71929211220299</v>
      </c>
      <c r="N309" s="2">
        <v>149.68</v>
      </c>
      <c r="O309" s="2">
        <v>7.48</v>
      </c>
      <c r="P309" s="2">
        <v>157.16</v>
      </c>
      <c r="Q309" s="2" t="s">
        <v>44</v>
      </c>
      <c r="R309" s="2"/>
      <c r="S309" t="str">
        <f>VLOOKUP(B309,CASOPOInvCL!$B$1:$D$1600,1,FALSE)</f>
        <v>SO16860</v>
      </c>
      <c r="T309">
        <f t="shared" si="4"/>
        <v>3</v>
      </c>
    </row>
    <row r="310" spans="1:20" x14ac:dyDescent="0.25">
      <c r="A310" s="2">
        <v>1</v>
      </c>
      <c r="B310" s="2" t="s">
        <v>1687</v>
      </c>
      <c r="C310" s="2" t="s">
        <v>1688</v>
      </c>
      <c r="D310" s="2" t="s">
        <v>61</v>
      </c>
      <c r="E310" s="3">
        <v>45747.492893518523</v>
      </c>
      <c r="F310" s="3">
        <v>45747.574571759258</v>
      </c>
      <c r="G310" s="4">
        <v>45782</v>
      </c>
      <c r="H310" s="2" t="s">
        <v>21</v>
      </c>
      <c r="I310" s="2" t="s">
        <v>51</v>
      </c>
      <c r="J310" s="2">
        <v>0.69828295020834585</v>
      </c>
      <c r="K310" s="2">
        <v>3654.650309360366</v>
      </c>
      <c r="L310" s="2">
        <v>0</v>
      </c>
      <c r="M310" s="2">
        <v>2551.98</v>
      </c>
      <c r="N310" s="2">
        <v>2551.98</v>
      </c>
      <c r="O310" s="2"/>
      <c r="P310" s="2">
        <v>2551.98</v>
      </c>
      <c r="Q310" s="2" t="s">
        <v>44</v>
      </c>
      <c r="R310" s="2"/>
      <c r="S310" t="str">
        <f>VLOOKUP(B310,CASOPOInvCL!$B$1:$D$1600,1,FALSE)</f>
        <v>SO16865</v>
      </c>
      <c r="T310">
        <f t="shared" si="4"/>
        <v>3</v>
      </c>
    </row>
    <row r="311" spans="1:20" x14ac:dyDescent="0.25">
      <c r="A311" s="2">
        <v>1</v>
      </c>
      <c r="B311" s="2" t="s">
        <v>1637</v>
      </c>
      <c r="C311" s="2" t="s">
        <v>1638</v>
      </c>
      <c r="D311" s="2" t="s">
        <v>20</v>
      </c>
      <c r="E311" s="3">
        <v>45747.503194444442</v>
      </c>
      <c r="F311" s="3">
        <v>45755.677291666667</v>
      </c>
      <c r="G311" s="4">
        <v>45756</v>
      </c>
      <c r="H311" s="2" t="s">
        <v>21</v>
      </c>
      <c r="I311" s="2" t="s">
        <v>22</v>
      </c>
      <c r="J311" s="2">
        <v>1</v>
      </c>
      <c r="K311" s="2">
        <v>656.71</v>
      </c>
      <c r="L311" s="2">
        <v>0</v>
      </c>
      <c r="M311" s="2">
        <v>462.40395979196501</v>
      </c>
      <c r="N311" s="2">
        <v>625.44000000000005</v>
      </c>
      <c r="O311" s="2">
        <v>31.27</v>
      </c>
      <c r="P311" s="2">
        <v>656.71</v>
      </c>
      <c r="Q311" s="2" t="s">
        <v>44</v>
      </c>
      <c r="R311" s="2"/>
      <c r="S311" t="str">
        <f>VLOOKUP(B311,CASOPOInvCL!$B$1:$D$1600,1,FALSE)</f>
        <v>SO16866</v>
      </c>
      <c r="T311">
        <f t="shared" si="4"/>
        <v>3</v>
      </c>
    </row>
    <row r="312" spans="1:20" x14ac:dyDescent="0.25">
      <c r="A312" s="2">
        <v>1</v>
      </c>
      <c r="B312" s="2" t="s">
        <v>1695</v>
      </c>
      <c r="C312" s="2" t="s">
        <v>1696</v>
      </c>
      <c r="D312" s="2" t="s">
        <v>20</v>
      </c>
      <c r="E312" s="3">
        <v>45747.510763888888</v>
      </c>
      <c r="F312" s="3">
        <v>45747.516736111109</v>
      </c>
      <c r="G312" s="4">
        <v>45749</v>
      </c>
      <c r="H312" s="2" t="s">
        <v>21</v>
      </c>
      <c r="I312" s="2" t="s">
        <v>22</v>
      </c>
      <c r="J312" s="2">
        <v>1</v>
      </c>
      <c r="K312" s="2">
        <v>316.85000000000002</v>
      </c>
      <c r="L312" s="2">
        <v>0</v>
      </c>
      <c r="M312" s="2">
        <v>220.7670064576337</v>
      </c>
      <c r="N312" s="2">
        <v>301.76</v>
      </c>
      <c r="O312" s="2">
        <v>15.09</v>
      </c>
      <c r="P312" s="2">
        <v>316.85000000000002</v>
      </c>
      <c r="Q312" s="2" t="s">
        <v>44</v>
      </c>
      <c r="R312" s="2"/>
      <c r="S312" t="str">
        <f>VLOOKUP(B312,CASOPOInvCL!$B$1:$D$1600,1,FALSE)</f>
        <v>SO16867</v>
      </c>
      <c r="T312">
        <f t="shared" si="4"/>
        <v>3</v>
      </c>
    </row>
    <row r="313" spans="1:20" x14ac:dyDescent="0.25">
      <c r="A313" s="2">
        <v>1</v>
      </c>
      <c r="B313" s="2" t="s">
        <v>1691</v>
      </c>
      <c r="C313" s="2" t="s">
        <v>1692</v>
      </c>
      <c r="D313" s="2" t="s">
        <v>141</v>
      </c>
      <c r="E313" s="3">
        <v>45747.547152777777</v>
      </c>
      <c r="F313" s="3">
        <v>45747.548171296286</v>
      </c>
      <c r="G313" s="4">
        <v>45748</v>
      </c>
      <c r="H313" s="2" t="s">
        <v>21</v>
      </c>
      <c r="I313" s="2" t="s">
        <v>51</v>
      </c>
      <c r="J313" s="2">
        <v>0.69828295020834585</v>
      </c>
      <c r="K313" s="2">
        <v>416.39281026874028</v>
      </c>
      <c r="L313" s="2">
        <v>0</v>
      </c>
      <c r="M313" s="2">
        <v>290.76</v>
      </c>
      <c r="N313" s="2">
        <v>290.76</v>
      </c>
      <c r="O313" s="2"/>
      <c r="P313" s="2">
        <v>290.76</v>
      </c>
      <c r="Q313" s="2" t="s">
        <v>44</v>
      </c>
      <c r="R313" s="2"/>
      <c r="S313" t="str">
        <f>VLOOKUP(B313,CASOPOInvCL!$B$1:$D$1600,1,FALSE)</f>
        <v>SO16868</v>
      </c>
      <c r="T313">
        <f t="shared" si="4"/>
        <v>3</v>
      </c>
    </row>
    <row r="314" spans="1:20" x14ac:dyDescent="0.25">
      <c r="A314" s="2">
        <v>1</v>
      </c>
      <c r="B314" s="2" t="s">
        <v>1679</v>
      </c>
      <c r="C314" s="2" t="s">
        <v>1680</v>
      </c>
      <c r="D314" s="2" t="s">
        <v>239</v>
      </c>
      <c r="E314" s="3">
        <v>45748.331446759257</v>
      </c>
      <c r="F314" s="3">
        <v>45748.331377314818</v>
      </c>
      <c r="G314" s="4">
        <v>45758</v>
      </c>
      <c r="H314" s="2" t="s">
        <v>180</v>
      </c>
      <c r="I314" s="2" t="s">
        <v>51</v>
      </c>
      <c r="J314" s="2">
        <v>0.69675558294976692</v>
      </c>
      <c r="K314" s="2">
        <v>20860.686811386331</v>
      </c>
      <c r="L314" s="2">
        <v>0</v>
      </c>
      <c r="M314" s="2">
        <v>14534.8</v>
      </c>
      <c r="N314" s="2">
        <v>14534.8</v>
      </c>
      <c r="O314" s="2"/>
      <c r="P314" s="2">
        <v>14534.8</v>
      </c>
      <c r="Q314" s="2" t="s">
        <v>44</v>
      </c>
      <c r="R314" s="2"/>
      <c r="S314" t="str">
        <f>VLOOKUP(B314,CASOPOInvCL!$B$1:$D$1600,1,FALSE)</f>
        <v>SO16870</v>
      </c>
      <c r="T314">
        <f t="shared" si="4"/>
        <v>4</v>
      </c>
    </row>
    <row r="315" spans="1:20" x14ac:dyDescent="0.25">
      <c r="A315" s="2">
        <v>2</v>
      </c>
      <c r="B315" s="2" t="s">
        <v>1469</v>
      </c>
      <c r="C315" s="2" t="s">
        <v>1470</v>
      </c>
      <c r="D315" s="2" t="s">
        <v>149</v>
      </c>
      <c r="E315" s="3">
        <v>45748.382002314807</v>
      </c>
      <c r="F315" s="3">
        <v>45783.373298611114</v>
      </c>
      <c r="G315" s="4">
        <v>45902</v>
      </c>
      <c r="H315" s="2" t="s">
        <v>21</v>
      </c>
      <c r="I315" s="2" t="s">
        <v>51</v>
      </c>
      <c r="J315" s="2">
        <v>0.72216450455647252</v>
      </c>
      <c r="K315" s="2">
        <v>8484.1057146154453</v>
      </c>
      <c r="L315" s="2">
        <v>0</v>
      </c>
      <c r="M315" s="2">
        <v>6126.92</v>
      </c>
      <c r="N315" s="2">
        <v>6126.92</v>
      </c>
      <c r="O315" s="2"/>
      <c r="P315" s="2">
        <v>6126.92</v>
      </c>
      <c r="Q315" s="2" t="s">
        <v>44</v>
      </c>
      <c r="R315" s="2"/>
      <c r="S315" t="str">
        <f>VLOOKUP(B315,CASOPOInvCL!$B$1:$D$1600,1,FALSE)</f>
        <v>SO16874</v>
      </c>
      <c r="T315">
        <f t="shared" si="4"/>
        <v>4</v>
      </c>
    </row>
    <row r="316" spans="1:20" ht="30" x14ac:dyDescent="0.25">
      <c r="A316" s="2">
        <v>1</v>
      </c>
      <c r="B316" s="2" t="s">
        <v>1668</v>
      </c>
      <c r="C316" s="2" t="s">
        <v>1669</v>
      </c>
      <c r="D316" s="2" t="s">
        <v>1670</v>
      </c>
      <c r="E316" s="3">
        <v>45748.419537037043</v>
      </c>
      <c r="F316" s="3">
        <v>45749.337233796286</v>
      </c>
      <c r="G316" s="4">
        <v>45772</v>
      </c>
      <c r="H316" s="2" t="s">
        <v>21</v>
      </c>
      <c r="I316" s="2" t="s">
        <v>22</v>
      </c>
      <c r="J316" s="2">
        <v>1</v>
      </c>
      <c r="K316" s="2">
        <v>1722.58</v>
      </c>
      <c r="L316" s="2">
        <v>0</v>
      </c>
      <c r="M316" s="2">
        <v>1203.736286129619</v>
      </c>
      <c r="N316" s="2">
        <v>1640.55</v>
      </c>
      <c r="O316" s="2">
        <v>82.03</v>
      </c>
      <c r="P316" s="2">
        <v>1722.58</v>
      </c>
      <c r="Q316" s="2" t="s">
        <v>44</v>
      </c>
      <c r="R316" s="2"/>
      <c r="S316" t="str">
        <f>VLOOKUP(B316,CASOPOInvCL!$B$1:$D$1600,1,FALSE)</f>
        <v>SO16875</v>
      </c>
      <c r="T316">
        <f t="shared" si="4"/>
        <v>4</v>
      </c>
    </row>
    <row r="317" spans="1:20" x14ac:dyDescent="0.25">
      <c r="A317" s="2">
        <v>1</v>
      </c>
      <c r="B317" s="2" t="s">
        <v>1673</v>
      </c>
      <c r="C317" s="2" t="s">
        <v>1674</v>
      </c>
      <c r="D317" s="2" t="s">
        <v>47</v>
      </c>
      <c r="E317" s="3">
        <v>45748.456782407397</v>
      </c>
      <c r="F317" s="3">
        <v>45748.512696759259</v>
      </c>
      <c r="G317" s="4">
        <v>45749</v>
      </c>
      <c r="H317" s="2" t="s">
        <v>21</v>
      </c>
      <c r="I317" s="2" t="s">
        <v>22</v>
      </c>
      <c r="J317" s="2">
        <v>1</v>
      </c>
      <c r="K317" s="2">
        <v>2152.54</v>
      </c>
      <c r="L317" s="2">
        <v>0</v>
      </c>
      <c r="M317" s="2">
        <v>1495.3408311028741</v>
      </c>
      <c r="N317" s="2">
        <v>1904.9</v>
      </c>
      <c r="O317" s="2">
        <v>247.64</v>
      </c>
      <c r="P317" s="2">
        <v>2152.54</v>
      </c>
      <c r="Q317" s="2" t="s">
        <v>44</v>
      </c>
      <c r="R317" s="2"/>
      <c r="S317" t="str">
        <f>VLOOKUP(B317,CASOPOInvCL!$B$1:$D$1600,1,FALSE)</f>
        <v>SO16876</v>
      </c>
      <c r="T317">
        <f t="shared" si="4"/>
        <v>4</v>
      </c>
    </row>
    <row r="318" spans="1:20" x14ac:dyDescent="0.25">
      <c r="A318" s="2">
        <v>1</v>
      </c>
      <c r="B318" s="2" t="s">
        <v>1659</v>
      </c>
      <c r="C318" s="2" t="s">
        <v>1660</v>
      </c>
      <c r="D318" s="2" t="s">
        <v>1661</v>
      </c>
      <c r="E318" s="3">
        <v>45749.37128472222</v>
      </c>
      <c r="F318" s="3">
        <v>45750.595532407409</v>
      </c>
      <c r="G318" s="4">
        <v>45778</v>
      </c>
      <c r="H318" s="2" t="s">
        <v>21</v>
      </c>
      <c r="I318" s="2" t="s">
        <v>22</v>
      </c>
      <c r="J318" s="2">
        <v>1</v>
      </c>
      <c r="K318" s="2">
        <v>228.11</v>
      </c>
      <c r="L318" s="2">
        <v>228.11</v>
      </c>
      <c r="M318" s="2">
        <v>228.11</v>
      </c>
      <c r="N318" s="2">
        <v>201.87</v>
      </c>
      <c r="O318" s="2">
        <v>26.24</v>
      </c>
      <c r="P318" s="2">
        <v>228.11</v>
      </c>
      <c r="Q318" s="2" t="s">
        <v>44</v>
      </c>
      <c r="R318" s="2"/>
      <c r="S318" t="str">
        <f>VLOOKUP(B318,CASOPOInvCL!$B$1:$D$1600,1,FALSE)</f>
        <v>SO16879</v>
      </c>
      <c r="T318">
        <f t="shared" si="4"/>
        <v>4</v>
      </c>
    </row>
    <row r="319" spans="1:20" x14ac:dyDescent="0.25">
      <c r="A319" s="2">
        <v>2</v>
      </c>
      <c r="B319" s="2" t="s">
        <v>1648</v>
      </c>
      <c r="C319" s="2" t="s">
        <v>1649</v>
      </c>
      <c r="D319" s="2" t="s">
        <v>98</v>
      </c>
      <c r="E319" s="3">
        <v>45749.502812500003</v>
      </c>
      <c r="F319" s="3">
        <v>45754.57</v>
      </c>
      <c r="G319" s="4">
        <v>45782</v>
      </c>
      <c r="H319" s="2" t="s">
        <v>21</v>
      </c>
      <c r="I319" s="2" t="s">
        <v>22</v>
      </c>
      <c r="J319" s="2">
        <v>1</v>
      </c>
      <c r="K319" s="2">
        <v>5485.93</v>
      </c>
      <c r="L319" s="2">
        <v>0</v>
      </c>
      <c r="M319" s="2">
        <v>3856.4655425530709</v>
      </c>
      <c r="N319" s="2">
        <v>4854.8</v>
      </c>
      <c r="O319" s="2">
        <v>631.13</v>
      </c>
      <c r="P319" s="2">
        <v>5485.93</v>
      </c>
      <c r="Q319" s="2" t="s">
        <v>44</v>
      </c>
      <c r="R319" s="2"/>
      <c r="S319" t="str">
        <f>VLOOKUP(B319,CASOPOInvCL!$B$1:$D$1600,1,FALSE)</f>
        <v>SO16881</v>
      </c>
      <c r="T319">
        <f t="shared" si="4"/>
        <v>4</v>
      </c>
    </row>
    <row r="320" spans="1:20" x14ac:dyDescent="0.25">
      <c r="A320" s="2">
        <v>1</v>
      </c>
      <c r="B320" s="2" t="s">
        <v>1657</v>
      </c>
      <c r="C320" s="2" t="s">
        <v>1658</v>
      </c>
      <c r="D320" s="2" t="s">
        <v>32</v>
      </c>
      <c r="E320" s="3">
        <v>45749.568773148138</v>
      </c>
      <c r="F320" s="3">
        <v>45750.610868055563</v>
      </c>
      <c r="G320" s="4">
        <v>45751</v>
      </c>
      <c r="H320" s="2" t="s">
        <v>21</v>
      </c>
      <c r="I320" s="2" t="s">
        <v>22</v>
      </c>
      <c r="J320" s="2">
        <v>1</v>
      </c>
      <c r="K320" s="2">
        <v>767.09</v>
      </c>
      <c r="L320" s="2">
        <v>767.09</v>
      </c>
      <c r="M320" s="2">
        <v>767.09</v>
      </c>
      <c r="N320" s="2">
        <v>678.84</v>
      </c>
      <c r="O320" s="2">
        <v>88.25</v>
      </c>
      <c r="P320" s="2">
        <v>767.09</v>
      </c>
      <c r="Q320" s="2" t="s">
        <v>44</v>
      </c>
      <c r="R320" s="2"/>
      <c r="S320" t="str">
        <f>VLOOKUP(B320,CASOPOInvCL!$B$1:$D$1600,1,FALSE)</f>
        <v>SO16882</v>
      </c>
      <c r="T320">
        <f t="shared" si="4"/>
        <v>4</v>
      </c>
    </row>
    <row r="321" spans="1:20" ht="30" x14ac:dyDescent="0.25">
      <c r="A321" s="2">
        <v>1</v>
      </c>
      <c r="B321" s="2" t="s">
        <v>1536</v>
      </c>
      <c r="C321" s="2" t="s">
        <v>1537</v>
      </c>
      <c r="D321" s="2" t="s">
        <v>159</v>
      </c>
      <c r="E321" s="3">
        <v>45749.639837962961</v>
      </c>
      <c r="F321" s="3">
        <v>45772.436006944437</v>
      </c>
      <c r="G321" s="4">
        <v>45887</v>
      </c>
      <c r="H321" s="2" t="s">
        <v>40</v>
      </c>
      <c r="I321" s="2" t="s">
        <v>51</v>
      </c>
      <c r="J321" s="2">
        <v>0.71989223732843666</v>
      </c>
      <c r="K321" s="2">
        <v>53490.450380327929</v>
      </c>
      <c r="L321" s="2">
        <v>0</v>
      </c>
      <c r="M321" s="2">
        <v>38507.360000000001</v>
      </c>
      <c r="N321" s="2">
        <v>38507.360000000001</v>
      </c>
      <c r="O321" s="2"/>
      <c r="P321" s="2">
        <v>38507.360000000001</v>
      </c>
      <c r="Q321" s="2" t="s">
        <v>44</v>
      </c>
      <c r="R321" s="2"/>
      <c r="S321" t="str">
        <f>VLOOKUP(B321,CASOPOInvCL!$B$1:$D$1600,1,FALSE)</f>
        <v>SO16884</v>
      </c>
      <c r="T321">
        <f t="shared" si="4"/>
        <v>4</v>
      </c>
    </row>
    <row r="322" spans="1:20" x14ac:dyDescent="0.25">
      <c r="A322" s="2">
        <v>1</v>
      </c>
      <c r="B322" s="2" t="s">
        <v>1646</v>
      </c>
      <c r="C322" s="2" t="s">
        <v>1647</v>
      </c>
      <c r="D322" s="2" t="s">
        <v>135</v>
      </c>
      <c r="E322" s="3">
        <v>45749.650324074071</v>
      </c>
      <c r="F322" s="3">
        <v>45755.366423611107</v>
      </c>
      <c r="G322" s="4">
        <v>45832</v>
      </c>
      <c r="H322" s="2" t="s">
        <v>21</v>
      </c>
      <c r="I322" s="2" t="s">
        <v>22</v>
      </c>
      <c r="J322" s="2">
        <v>1</v>
      </c>
      <c r="K322" s="2">
        <v>37243.99</v>
      </c>
      <c r="L322" s="2">
        <v>0</v>
      </c>
      <c r="M322" s="2">
        <v>26224.312793245641</v>
      </c>
      <c r="N322" s="2">
        <v>32959.279999999999</v>
      </c>
      <c r="O322" s="2">
        <v>4284.71</v>
      </c>
      <c r="P322" s="2">
        <v>37243.99</v>
      </c>
      <c r="Q322" s="2" t="s">
        <v>44</v>
      </c>
      <c r="R322" s="2"/>
      <c r="S322" t="str">
        <f>VLOOKUP(B322,CASOPOInvCL!$B$1:$D$1600,1,FALSE)</f>
        <v>SO16885</v>
      </c>
      <c r="T322">
        <f t="shared" si="4"/>
        <v>4</v>
      </c>
    </row>
    <row r="323" spans="1:20" x14ac:dyDescent="0.25">
      <c r="A323" s="2">
        <v>2</v>
      </c>
      <c r="B323" s="2" t="s">
        <v>1650</v>
      </c>
      <c r="C323" s="2" t="s">
        <v>1651</v>
      </c>
      <c r="D323" s="2" t="s">
        <v>1652</v>
      </c>
      <c r="E323" s="3">
        <v>45750.432152777779</v>
      </c>
      <c r="F323" s="3">
        <v>45751.588969907411</v>
      </c>
      <c r="G323" s="4">
        <v>45842</v>
      </c>
      <c r="H323" s="2" t="s">
        <v>21</v>
      </c>
      <c r="I323" s="2" t="s">
        <v>51</v>
      </c>
      <c r="J323" s="2">
        <v>0.69879848026194369</v>
      </c>
      <c r="K323" s="2">
        <v>27268.948828934299</v>
      </c>
      <c r="L323" s="2">
        <v>0</v>
      </c>
      <c r="M323" s="2">
        <v>19055.5</v>
      </c>
      <c r="N323" s="2">
        <v>19055.5</v>
      </c>
      <c r="O323" s="2"/>
      <c r="P323" s="2">
        <v>19055.5</v>
      </c>
      <c r="Q323" s="2" t="s">
        <v>44</v>
      </c>
      <c r="R323" s="2"/>
      <c r="S323" t="str">
        <f>VLOOKUP(B323,CASOPOInvCL!$B$1:$D$1600,1,FALSE)</f>
        <v>SO16888</v>
      </c>
      <c r="T323">
        <f t="shared" ref="T323:T386" si="5">MONTH(E323)</f>
        <v>4</v>
      </c>
    </row>
    <row r="324" spans="1:20" x14ac:dyDescent="0.25">
      <c r="A324" s="2">
        <v>1</v>
      </c>
      <c r="B324" s="2" t="s">
        <v>1643</v>
      </c>
      <c r="C324" s="2" t="s">
        <v>1644</v>
      </c>
      <c r="D324" s="2" t="s">
        <v>1645</v>
      </c>
      <c r="E324" s="3">
        <v>45751.563101851847</v>
      </c>
      <c r="F324" s="3">
        <v>45755.57880787037</v>
      </c>
      <c r="G324" s="4">
        <v>45756</v>
      </c>
      <c r="H324" s="2" t="s">
        <v>21</v>
      </c>
      <c r="I324" s="2" t="s">
        <v>22</v>
      </c>
      <c r="J324" s="2">
        <v>1</v>
      </c>
      <c r="K324" s="2">
        <v>190.44</v>
      </c>
      <c r="L324" s="2">
        <v>0</v>
      </c>
      <c r="M324" s="2">
        <v>134.0929940198593</v>
      </c>
      <c r="N324" s="2">
        <v>168.53</v>
      </c>
      <c r="O324" s="2">
        <v>21.91</v>
      </c>
      <c r="P324" s="2">
        <v>190.44</v>
      </c>
      <c r="Q324" s="2" t="s">
        <v>44</v>
      </c>
      <c r="R324" s="2"/>
      <c r="S324" t="str">
        <f>VLOOKUP(B324,CASOPOInvCL!$B$1:$D$1600,1,FALSE)</f>
        <v>SO16903</v>
      </c>
      <c r="T324">
        <f t="shared" si="5"/>
        <v>4</v>
      </c>
    </row>
    <row r="325" spans="1:20" ht="30" x14ac:dyDescent="0.25">
      <c r="A325" s="2">
        <v>3</v>
      </c>
      <c r="B325" s="2" t="s">
        <v>1225</v>
      </c>
      <c r="C325" s="2" t="s">
        <v>1226</v>
      </c>
      <c r="D325" s="2" t="s">
        <v>159</v>
      </c>
      <c r="E325" s="3">
        <v>45754.550520833327</v>
      </c>
      <c r="F325" s="3">
        <v>45820.478865740741</v>
      </c>
      <c r="G325" s="4">
        <v>45917</v>
      </c>
      <c r="H325" s="2" t="s">
        <v>40</v>
      </c>
      <c r="I325" s="2" t="s">
        <v>51</v>
      </c>
      <c r="J325" s="2">
        <v>0.73186663114413975</v>
      </c>
      <c r="K325" s="2">
        <v>52513.420293417817</v>
      </c>
      <c r="L325" s="2">
        <v>0</v>
      </c>
      <c r="M325" s="2">
        <v>38432.82</v>
      </c>
      <c r="N325" s="2">
        <v>38432.82</v>
      </c>
      <c r="O325" s="2"/>
      <c r="P325" s="2">
        <v>38432.82</v>
      </c>
      <c r="Q325" s="2" t="s">
        <v>44</v>
      </c>
      <c r="R325" s="2"/>
      <c r="S325" t="str">
        <f>VLOOKUP(B325,CASOPOInvCL!$B$1:$D$1600,1,FALSE)</f>
        <v>SO16918</v>
      </c>
      <c r="T325">
        <f t="shared" si="5"/>
        <v>4</v>
      </c>
    </row>
    <row r="326" spans="1:20" x14ac:dyDescent="0.25">
      <c r="A326" s="2">
        <v>1</v>
      </c>
      <c r="B326" s="2" t="s">
        <v>1391</v>
      </c>
      <c r="C326" s="2" t="s">
        <v>1392</v>
      </c>
      <c r="D326" s="2" t="s">
        <v>232</v>
      </c>
      <c r="E326" s="3">
        <v>45754.602083333331</v>
      </c>
      <c r="F326" s="3">
        <v>45798.520914351851</v>
      </c>
      <c r="G326" s="4">
        <v>45836</v>
      </c>
      <c r="H326" s="2" t="s">
        <v>180</v>
      </c>
      <c r="I326" s="2" t="s">
        <v>51</v>
      </c>
      <c r="J326" s="2">
        <v>0.7168814564314101</v>
      </c>
      <c r="K326" s="2">
        <v>4250.395895533301</v>
      </c>
      <c r="L326" s="2">
        <v>0</v>
      </c>
      <c r="M326" s="2">
        <v>3047.03</v>
      </c>
      <c r="N326" s="2">
        <v>3047.03</v>
      </c>
      <c r="O326" s="2"/>
      <c r="P326" s="2">
        <v>3047.03</v>
      </c>
      <c r="Q326" s="2" t="s">
        <v>44</v>
      </c>
      <c r="R326" s="2"/>
      <c r="S326" t="str">
        <f>VLOOKUP(B326,CASOPOInvCL!$B$1:$D$1600,1,FALSE)</f>
        <v>SO16923</v>
      </c>
      <c r="T326">
        <f t="shared" si="5"/>
        <v>4</v>
      </c>
    </row>
    <row r="327" spans="1:20" x14ac:dyDescent="0.25">
      <c r="A327" s="2">
        <v>1</v>
      </c>
      <c r="B327" s="2" t="s">
        <v>1612</v>
      </c>
      <c r="C327" s="2" t="s">
        <v>1613</v>
      </c>
      <c r="D327" s="2" t="s">
        <v>239</v>
      </c>
      <c r="E327" s="3">
        <v>45755.332557870373</v>
      </c>
      <c r="F327" s="3">
        <v>45758.454907407409</v>
      </c>
      <c r="G327" s="4">
        <v>45855</v>
      </c>
      <c r="H327" s="2" t="s">
        <v>180</v>
      </c>
      <c r="I327" s="2" t="s">
        <v>51</v>
      </c>
      <c r="J327" s="2">
        <v>0.70470066534440534</v>
      </c>
      <c r="K327" s="2">
        <v>3213.1940714052812</v>
      </c>
      <c r="L327" s="2">
        <v>0</v>
      </c>
      <c r="M327" s="2">
        <v>2264.34</v>
      </c>
      <c r="N327" s="2">
        <v>2264.34</v>
      </c>
      <c r="O327" s="2"/>
      <c r="P327" s="2">
        <v>2264.34</v>
      </c>
      <c r="Q327" s="2" t="s">
        <v>44</v>
      </c>
      <c r="R327" s="2"/>
      <c r="S327" t="str">
        <f>VLOOKUP(B327,CASOPOInvCL!$B$1:$D$1600,1,FALSE)</f>
        <v>SO16931</v>
      </c>
      <c r="T327">
        <f t="shared" si="5"/>
        <v>4</v>
      </c>
    </row>
    <row r="328" spans="1:20" ht="30" x14ac:dyDescent="0.25">
      <c r="A328" s="2">
        <v>1</v>
      </c>
      <c r="B328" s="2" t="s">
        <v>1048</v>
      </c>
      <c r="C328" s="2" t="s">
        <v>1049</v>
      </c>
      <c r="D328" s="2" t="s">
        <v>518</v>
      </c>
      <c r="E328" s="3">
        <v>45755.412974537037</v>
      </c>
      <c r="F328" s="3">
        <v>45852.398553240739</v>
      </c>
      <c r="G328" s="4">
        <v>45933</v>
      </c>
      <c r="H328" s="2" t="s">
        <v>21</v>
      </c>
      <c r="I328" s="2" t="s">
        <v>22</v>
      </c>
      <c r="J328" s="2">
        <v>1</v>
      </c>
      <c r="K328" s="2">
        <v>7833.15</v>
      </c>
      <c r="L328" s="2">
        <v>0</v>
      </c>
      <c r="M328" s="2">
        <v>5719.7757475539529</v>
      </c>
      <c r="N328" s="2">
        <v>6931.99</v>
      </c>
      <c r="O328" s="2">
        <v>901.16</v>
      </c>
      <c r="P328" s="2">
        <v>7833.15</v>
      </c>
      <c r="Q328" s="2" t="s">
        <v>44</v>
      </c>
      <c r="R328" s="2"/>
      <c r="S328" t="str">
        <f>VLOOKUP(B328,CASOPOInvCL!$B$1:$D$1600,1,FALSE)</f>
        <v>SO16932</v>
      </c>
      <c r="T328">
        <f t="shared" si="5"/>
        <v>4</v>
      </c>
    </row>
    <row r="329" spans="1:20" x14ac:dyDescent="0.25">
      <c r="A329" s="2">
        <v>1</v>
      </c>
      <c r="B329" s="2" t="s">
        <v>1641</v>
      </c>
      <c r="C329" s="2" t="s">
        <v>1642</v>
      </c>
      <c r="D329" s="2" t="s">
        <v>20</v>
      </c>
      <c r="E329" s="3">
        <v>45755.640069444453</v>
      </c>
      <c r="F329" s="3">
        <v>45755.647962962961</v>
      </c>
      <c r="G329" s="4">
        <v>45756</v>
      </c>
      <c r="H329" s="2" t="s">
        <v>21</v>
      </c>
      <c r="I329" s="2" t="s">
        <v>22</v>
      </c>
      <c r="J329" s="2">
        <v>1</v>
      </c>
      <c r="K329" s="2">
        <v>2209.0500000000002</v>
      </c>
      <c r="L329" s="2">
        <v>0</v>
      </c>
      <c r="M329" s="2">
        <v>1555.440708042272</v>
      </c>
      <c r="N329" s="2">
        <v>2103.86</v>
      </c>
      <c r="O329" s="2">
        <v>105.19</v>
      </c>
      <c r="P329" s="2">
        <v>2209.0500000000002</v>
      </c>
      <c r="Q329" s="2" t="s">
        <v>44</v>
      </c>
      <c r="R329" s="2"/>
      <c r="S329" t="str">
        <f>VLOOKUP(B329,CASOPOInvCL!$B$1:$D$1600,1,FALSE)</f>
        <v>SO16934</v>
      </c>
      <c r="T329">
        <f t="shared" si="5"/>
        <v>4</v>
      </c>
    </row>
    <row r="330" spans="1:20" x14ac:dyDescent="0.25">
      <c r="A330" s="2">
        <v>4</v>
      </c>
      <c r="B330" s="2" t="s">
        <v>1633</v>
      </c>
      <c r="C330" s="2" t="s">
        <v>1634</v>
      </c>
      <c r="D330" s="2" t="s">
        <v>644</v>
      </c>
      <c r="E330" s="3">
        <v>45755.710717592592</v>
      </c>
      <c r="F330" s="3">
        <v>45756.439791666657</v>
      </c>
      <c r="G330" s="4">
        <v>45757</v>
      </c>
      <c r="H330" s="2" t="s">
        <v>21</v>
      </c>
      <c r="I330" s="2" t="s">
        <v>51</v>
      </c>
      <c r="J330" s="2">
        <v>0.70297388821094531</v>
      </c>
      <c r="K330" s="2">
        <v>13846.24687094949</v>
      </c>
      <c r="L330" s="2">
        <v>0</v>
      </c>
      <c r="M330" s="2">
        <v>9733.5499999999993</v>
      </c>
      <c r="N330" s="2">
        <v>9733.5499999999993</v>
      </c>
      <c r="O330" s="2"/>
      <c r="P330" s="2">
        <v>9733.5499999999993</v>
      </c>
      <c r="Q330" s="2" t="s">
        <v>44</v>
      </c>
      <c r="R330" s="2"/>
      <c r="S330" t="str">
        <f>VLOOKUP(B330,CASOPOInvCL!$B$1:$D$1600,1,FALSE)</f>
        <v>SO16939</v>
      </c>
      <c r="T330">
        <f t="shared" si="5"/>
        <v>4</v>
      </c>
    </row>
    <row r="331" spans="1:20" x14ac:dyDescent="0.25">
      <c r="A331" s="2">
        <v>1</v>
      </c>
      <c r="B331" s="2" t="s">
        <v>1631</v>
      </c>
      <c r="C331" s="2" t="s">
        <v>1632</v>
      </c>
      <c r="D331" s="2" t="s">
        <v>64</v>
      </c>
      <c r="E331" s="3">
        <v>45756.38076388889</v>
      </c>
      <c r="F331" s="3">
        <v>45756.568449074082</v>
      </c>
      <c r="G331" s="4">
        <v>45847</v>
      </c>
      <c r="H331" s="2" t="s">
        <v>21</v>
      </c>
      <c r="I331" s="2" t="s">
        <v>22</v>
      </c>
      <c r="J331" s="2">
        <v>1</v>
      </c>
      <c r="K331" s="2">
        <v>4949.3999999999996</v>
      </c>
      <c r="L331" s="2">
        <v>0</v>
      </c>
      <c r="M331" s="2">
        <v>3487.8454730556</v>
      </c>
      <c r="N331" s="2">
        <v>4380</v>
      </c>
      <c r="O331" s="2">
        <v>569.4</v>
      </c>
      <c r="P331" s="2">
        <v>4949.3999999999996</v>
      </c>
      <c r="Q331" s="2" t="s">
        <v>44</v>
      </c>
      <c r="R331" s="2"/>
      <c r="S331" t="str">
        <f>VLOOKUP(B331,CASOPOInvCL!$B$1:$D$1600,1,FALSE)</f>
        <v>SO16941</v>
      </c>
      <c r="T331">
        <f t="shared" si="5"/>
        <v>4</v>
      </c>
    </row>
    <row r="332" spans="1:20" x14ac:dyDescent="0.25">
      <c r="A332" s="2">
        <v>1</v>
      </c>
      <c r="B332" s="2" t="s">
        <v>1635</v>
      </c>
      <c r="C332" s="2" t="s">
        <v>1636</v>
      </c>
      <c r="D332" s="2" t="s">
        <v>141</v>
      </c>
      <c r="E332" s="3">
        <v>45756.385810185187</v>
      </c>
      <c r="F332" s="3">
        <v>45756.387743055559</v>
      </c>
      <c r="G332" s="4">
        <v>45757</v>
      </c>
      <c r="H332" s="2" t="s">
        <v>21</v>
      </c>
      <c r="I332" s="2" t="s">
        <v>51</v>
      </c>
      <c r="J332" s="2">
        <v>0.70297388821094531</v>
      </c>
      <c r="K332" s="2">
        <v>45.478218375028149</v>
      </c>
      <c r="L332" s="2">
        <v>0</v>
      </c>
      <c r="M332" s="2">
        <v>31.97</v>
      </c>
      <c r="N332" s="2">
        <v>31.97</v>
      </c>
      <c r="O332" s="2"/>
      <c r="P332" s="2">
        <v>31.97</v>
      </c>
      <c r="Q332" s="2" t="s">
        <v>44</v>
      </c>
      <c r="R332" s="2"/>
      <c r="S332" t="str">
        <f>VLOOKUP(B332,CASOPOInvCL!$B$1:$D$1600,1,FALSE)</f>
        <v>SO16942</v>
      </c>
      <c r="T332">
        <f t="shared" si="5"/>
        <v>4</v>
      </c>
    </row>
    <row r="333" spans="1:20" x14ac:dyDescent="0.25">
      <c r="A333" s="2">
        <v>1</v>
      </c>
      <c r="B333" s="2" t="s">
        <v>1169</v>
      </c>
      <c r="C333" s="2" t="s">
        <v>1170</v>
      </c>
      <c r="D333" s="2" t="s">
        <v>192</v>
      </c>
      <c r="E333" s="3">
        <v>45756.535451388889</v>
      </c>
      <c r="F333" s="3">
        <v>45828.662233796298</v>
      </c>
      <c r="G333" s="4">
        <v>45831</v>
      </c>
      <c r="H333" s="2" t="s">
        <v>21</v>
      </c>
      <c r="I333" s="2" t="s">
        <v>51</v>
      </c>
      <c r="J333" s="2">
        <v>0.73067487305017076</v>
      </c>
      <c r="K333" s="2">
        <v>2860.0682424951929</v>
      </c>
      <c r="L333" s="2">
        <v>0</v>
      </c>
      <c r="M333" s="2">
        <v>2089.7800000000002</v>
      </c>
      <c r="N333" s="2">
        <v>2089.7800000000002</v>
      </c>
      <c r="O333" s="2"/>
      <c r="P333" s="2">
        <v>2089.7800000000002</v>
      </c>
      <c r="Q333" s="2" t="s">
        <v>44</v>
      </c>
      <c r="R333" s="2"/>
      <c r="S333" t="str">
        <f>VLOOKUP(B333,CASOPOInvCL!$B$1:$D$1600,1,FALSE)</f>
        <v>SO16947</v>
      </c>
      <c r="T333">
        <f t="shared" si="5"/>
        <v>4</v>
      </c>
    </row>
    <row r="334" spans="1:20" x14ac:dyDescent="0.25">
      <c r="A334" s="2">
        <v>2</v>
      </c>
      <c r="B334" s="2" t="s">
        <v>1627</v>
      </c>
      <c r="C334" s="2" t="s">
        <v>1628</v>
      </c>
      <c r="D334" s="2" t="s">
        <v>229</v>
      </c>
      <c r="E334" s="3">
        <v>45756.561990740738</v>
      </c>
      <c r="F334" s="3">
        <v>45756.665370370371</v>
      </c>
      <c r="G334" s="4">
        <v>45757</v>
      </c>
      <c r="H334" s="2" t="s">
        <v>21</v>
      </c>
      <c r="I334" s="2" t="s">
        <v>22</v>
      </c>
      <c r="J334" s="2">
        <v>1</v>
      </c>
      <c r="K334" s="2">
        <v>1256.1400000000001</v>
      </c>
      <c r="L334" s="2">
        <v>0</v>
      </c>
      <c r="M334" s="2">
        <v>885.20269376572139</v>
      </c>
      <c r="N334" s="2">
        <v>1196.32</v>
      </c>
      <c r="O334" s="2">
        <v>59.82</v>
      </c>
      <c r="P334" s="2">
        <v>1256.1400000000001</v>
      </c>
      <c r="Q334" s="2" t="s">
        <v>44</v>
      </c>
      <c r="R334" s="2"/>
      <c r="S334" t="str">
        <f>VLOOKUP(B334,CASOPOInvCL!$B$1:$D$1600,1,FALSE)</f>
        <v>SO16948</v>
      </c>
      <c r="T334">
        <f t="shared" si="5"/>
        <v>4</v>
      </c>
    </row>
    <row r="335" spans="1:20" x14ac:dyDescent="0.25">
      <c r="A335" s="2">
        <v>1</v>
      </c>
      <c r="B335" s="2" t="s">
        <v>1629</v>
      </c>
      <c r="C335" s="2" t="s">
        <v>1630</v>
      </c>
      <c r="D335" s="2" t="s">
        <v>121</v>
      </c>
      <c r="E335" s="3">
        <v>45756.648518518523</v>
      </c>
      <c r="F335" s="3">
        <v>45756.650370370371</v>
      </c>
      <c r="G335" s="4">
        <v>45757</v>
      </c>
      <c r="H335" s="2" t="s">
        <v>21</v>
      </c>
      <c r="I335" s="2" t="s">
        <v>22</v>
      </c>
      <c r="J335" s="2">
        <v>1</v>
      </c>
      <c r="K335" s="2">
        <v>1474.74</v>
      </c>
      <c r="L335" s="2">
        <v>0</v>
      </c>
      <c r="M335" s="2">
        <v>1039.2502592100079</v>
      </c>
      <c r="N335" s="2">
        <v>1404.51</v>
      </c>
      <c r="O335" s="2">
        <v>70.23</v>
      </c>
      <c r="P335" s="2">
        <v>1474.74</v>
      </c>
      <c r="Q335" s="2" t="s">
        <v>44</v>
      </c>
      <c r="R335" s="2"/>
      <c r="S335" t="str">
        <f>VLOOKUP(B335,CASOPOInvCL!$B$1:$D$1600,1,FALSE)</f>
        <v>SO16949</v>
      </c>
      <c r="T335">
        <f t="shared" si="5"/>
        <v>4</v>
      </c>
    </row>
    <row r="336" spans="1:20" x14ac:dyDescent="0.25">
      <c r="A336" s="2">
        <v>1</v>
      </c>
      <c r="B336" s="2" t="s">
        <v>1625</v>
      </c>
      <c r="C336" s="2" t="s">
        <v>1626</v>
      </c>
      <c r="D336" s="2" t="s">
        <v>26</v>
      </c>
      <c r="E336" s="3">
        <v>45756.687581018523</v>
      </c>
      <c r="F336" s="3">
        <v>45756.688657407409</v>
      </c>
      <c r="G336" s="4">
        <v>45757</v>
      </c>
      <c r="H336" s="2" t="s">
        <v>21</v>
      </c>
      <c r="I336" s="2" t="s">
        <v>22</v>
      </c>
      <c r="J336" s="2">
        <v>1</v>
      </c>
      <c r="K336" s="2">
        <v>28.07</v>
      </c>
      <c r="L336" s="2">
        <v>0</v>
      </c>
      <c r="M336" s="2">
        <v>19.780947676217458</v>
      </c>
      <c r="N336" s="2">
        <v>26.73</v>
      </c>
      <c r="O336" s="2">
        <v>1.34</v>
      </c>
      <c r="P336" s="2">
        <v>28.07</v>
      </c>
      <c r="Q336" s="2" t="s">
        <v>44</v>
      </c>
      <c r="R336" s="2"/>
      <c r="S336" t="str">
        <f>VLOOKUP(B336,CASOPOInvCL!$B$1:$D$1600,1,FALSE)</f>
        <v>SO16951</v>
      </c>
      <c r="T336">
        <f t="shared" si="5"/>
        <v>4</v>
      </c>
    </row>
    <row r="337" spans="1:20" x14ac:dyDescent="0.25">
      <c r="A337" s="2">
        <v>1</v>
      </c>
      <c r="B337" s="2" t="s">
        <v>1599</v>
      </c>
      <c r="C337" s="2" t="s">
        <v>1600</v>
      </c>
      <c r="D337" s="2" t="s">
        <v>242</v>
      </c>
      <c r="E337" s="3">
        <v>45756.700335648151</v>
      </c>
      <c r="F337" s="3">
        <v>45761.540300925917</v>
      </c>
      <c r="G337" s="4">
        <v>45785</v>
      </c>
      <c r="H337" s="2" t="s">
        <v>21</v>
      </c>
      <c r="I337" s="2" t="s">
        <v>22</v>
      </c>
      <c r="J337" s="2">
        <v>1</v>
      </c>
      <c r="K337" s="2">
        <v>3445.52</v>
      </c>
      <c r="L337" s="2">
        <v>0</v>
      </c>
      <c r="M337" s="2">
        <v>2479.8801617075378</v>
      </c>
      <c r="N337" s="2">
        <v>3281.44</v>
      </c>
      <c r="O337" s="2">
        <v>164.08</v>
      </c>
      <c r="P337" s="2">
        <v>3445.52</v>
      </c>
      <c r="Q337" s="2" t="s">
        <v>44</v>
      </c>
      <c r="R337" s="2"/>
      <c r="S337" t="str">
        <f>VLOOKUP(B337,CASOPOInvCL!$B$1:$D$1600,1,FALSE)</f>
        <v>SO16952</v>
      </c>
      <c r="T337">
        <f t="shared" si="5"/>
        <v>4</v>
      </c>
    </row>
    <row r="338" spans="1:20" x14ac:dyDescent="0.25">
      <c r="A338" s="2">
        <v>1</v>
      </c>
      <c r="B338" s="2" t="s">
        <v>1623</v>
      </c>
      <c r="C338" s="2" t="s">
        <v>1624</v>
      </c>
      <c r="D338" s="2" t="s">
        <v>129</v>
      </c>
      <c r="E338" s="3">
        <v>45756.765879629631</v>
      </c>
      <c r="F338" s="3">
        <v>45756.765902777777</v>
      </c>
      <c r="G338" s="4">
        <v>45793</v>
      </c>
      <c r="H338" s="2" t="s">
        <v>130</v>
      </c>
      <c r="I338" s="2" t="s">
        <v>51</v>
      </c>
      <c r="J338" s="2">
        <v>0.70297388821094531</v>
      </c>
      <c r="K338" s="2">
        <v>7382.9200302282179</v>
      </c>
      <c r="L338" s="2">
        <v>0</v>
      </c>
      <c r="M338" s="2">
        <v>5190</v>
      </c>
      <c r="N338" s="2">
        <v>5190</v>
      </c>
      <c r="O338" s="2"/>
      <c r="P338" s="2">
        <v>5190</v>
      </c>
      <c r="Q338" s="2" t="s">
        <v>44</v>
      </c>
      <c r="R338" s="2"/>
      <c r="S338" t="str">
        <f>VLOOKUP(B338,CASOPOInvCL!$B$1:$D$1600,1,FALSE)</f>
        <v>SO16953</v>
      </c>
      <c r="T338">
        <f t="shared" si="5"/>
        <v>4</v>
      </c>
    </row>
    <row r="339" spans="1:20" x14ac:dyDescent="0.25">
      <c r="A339" s="2">
        <v>3</v>
      </c>
      <c r="B339" s="2" t="s">
        <v>1591</v>
      </c>
      <c r="C339" s="2" t="s">
        <v>1592</v>
      </c>
      <c r="D339" s="2" t="s">
        <v>98</v>
      </c>
      <c r="E339" s="3">
        <v>45757.37427083333</v>
      </c>
      <c r="F339" s="3">
        <v>45761.707615740743</v>
      </c>
      <c r="G339" s="4">
        <v>45785</v>
      </c>
      <c r="H339" s="2" t="s">
        <v>21</v>
      </c>
      <c r="I339" s="2" t="s">
        <v>22</v>
      </c>
      <c r="J339" s="2">
        <v>1</v>
      </c>
      <c r="K339" s="2">
        <v>5871.64</v>
      </c>
      <c r="L339" s="2">
        <v>0</v>
      </c>
      <c r="M339" s="2">
        <v>4226.0568949500948</v>
      </c>
      <c r="N339" s="2">
        <v>5196.1499999999996</v>
      </c>
      <c r="O339" s="2">
        <v>675.49</v>
      </c>
      <c r="P339" s="2">
        <v>5871.64</v>
      </c>
      <c r="Q339" s="2" t="s">
        <v>44</v>
      </c>
      <c r="R339" s="2"/>
      <c r="S339" t="str">
        <f>VLOOKUP(B339,CASOPOInvCL!$B$1:$D$1600,1,FALSE)</f>
        <v>SO16957</v>
      </c>
      <c r="T339">
        <f t="shared" si="5"/>
        <v>4</v>
      </c>
    </row>
    <row r="340" spans="1:20" x14ac:dyDescent="0.25">
      <c r="A340" s="2">
        <v>1</v>
      </c>
      <c r="B340" s="2" t="s">
        <v>1601</v>
      </c>
      <c r="C340" s="2" t="s">
        <v>1602</v>
      </c>
      <c r="D340" s="2" t="s">
        <v>61</v>
      </c>
      <c r="E340" s="3">
        <v>45757.437569444453</v>
      </c>
      <c r="F340" s="3">
        <v>45761.486863425933</v>
      </c>
      <c r="G340" s="4">
        <v>45817</v>
      </c>
      <c r="H340" s="2" t="s">
        <v>21</v>
      </c>
      <c r="I340" s="2" t="s">
        <v>51</v>
      </c>
      <c r="J340" s="2">
        <v>0.72095821438553542</v>
      </c>
      <c r="K340" s="2">
        <v>319.35276609093222</v>
      </c>
      <c r="L340" s="2">
        <v>0</v>
      </c>
      <c r="M340" s="2">
        <v>230.24</v>
      </c>
      <c r="N340" s="2">
        <v>230.24</v>
      </c>
      <c r="O340" s="2"/>
      <c r="P340" s="2">
        <v>230.24</v>
      </c>
      <c r="Q340" s="2" t="s">
        <v>44</v>
      </c>
      <c r="R340" s="2"/>
      <c r="S340" t="str">
        <f>VLOOKUP(B340,CASOPOInvCL!$B$1:$D$1600,1,FALSE)</f>
        <v>SO16958</v>
      </c>
      <c r="T340">
        <f t="shared" si="5"/>
        <v>4</v>
      </c>
    </row>
    <row r="341" spans="1:20" x14ac:dyDescent="0.25">
      <c r="A341" s="2">
        <v>1</v>
      </c>
      <c r="B341" s="2" t="s">
        <v>1616</v>
      </c>
      <c r="C341" s="2" t="s">
        <v>1617</v>
      </c>
      <c r="D341" s="2" t="s">
        <v>1618</v>
      </c>
      <c r="E341" s="3">
        <v>45757.644363425927</v>
      </c>
      <c r="F341" s="3">
        <v>45757.666354166657</v>
      </c>
      <c r="G341" s="4">
        <v>45758</v>
      </c>
      <c r="H341" s="2" t="s">
        <v>21</v>
      </c>
      <c r="I341" s="2" t="s">
        <v>22</v>
      </c>
      <c r="J341" s="2">
        <v>1</v>
      </c>
      <c r="K341" s="2">
        <v>153.53</v>
      </c>
      <c r="L341" s="2">
        <v>0</v>
      </c>
      <c r="M341" s="2">
        <v>109.582148607286</v>
      </c>
      <c r="N341" s="2">
        <v>146.22</v>
      </c>
      <c r="O341" s="2">
        <v>7.31</v>
      </c>
      <c r="P341" s="2">
        <v>153.53</v>
      </c>
      <c r="Q341" s="2" t="s">
        <v>44</v>
      </c>
      <c r="R341" s="2"/>
      <c r="S341" t="str">
        <f>VLOOKUP(B341,CASOPOInvCL!$B$1:$D$1600,1,FALSE)</f>
        <v>SO16962</v>
      </c>
      <c r="T341">
        <f t="shared" si="5"/>
        <v>4</v>
      </c>
    </row>
    <row r="342" spans="1:20" x14ac:dyDescent="0.25">
      <c r="A342" s="2">
        <v>1</v>
      </c>
      <c r="B342" s="2" t="s">
        <v>1619</v>
      </c>
      <c r="C342" s="2" t="s">
        <v>1620</v>
      </c>
      <c r="D342" s="2" t="s">
        <v>229</v>
      </c>
      <c r="E342" s="3">
        <v>45757.649421296293</v>
      </c>
      <c r="F342" s="3">
        <v>45757.650266203702</v>
      </c>
      <c r="G342" s="4">
        <v>45758</v>
      </c>
      <c r="H342" s="2" t="s">
        <v>21</v>
      </c>
      <c r="I342" s="2" t="s">
        <v>22</v>
      </c>
      <c r="J342" s="2">
        <v>1</v>
      </c>
      <c r="K342" s="2">
        <v>838.92</v>
      </c>
      <c r="L342" s="2">
        <v>0</v>
      </c>
      <c r="M342" s="2">
        <v>598.77975711342629</v>
      </c>
      <c r="N342" s="2">
        <v>798.97</v>
      </c>
      <c r="O342" s="2">
        <v>39.950000000000003</v>
      </c>
      <c r="P342" s="2">
        <v>838.92</v>
      </c>
      <c r="Q342" s="2" t="s">
        <v>44</v>
      </c>
      <c r="R342" s="2"/>
      <c r="S342" t="str">
        <f>VLOOKUP(B342,CASOPOInvCL!$B$1:$D$1600,1,FALSE)</f>
        <v>SO16963</v>
      </c>
      <c r="T342">
        <f t="shared" si="5"/>
        <v>4</v>
      </c>
    </row>
    <row r="343" spans="1:20" x14ac:dyDescent="0.25">
      <c r="A343" s="2">
        <v>1</v>
      </c>
      <c r="B343" s="2" t="s">
        <v>1614</v>
      </c>
      <c r="C343" s="2" t="s">
        <v>1615</v>
      </c>
      <c r="D343" s="2" t="s">
        <v>61</v>
      </c>
      <c r="E343" s="3">
        <v>45757.674502314818</v>
      </c>
      <c r="F343" s="3">
        <v>45757.674803240741</v>
      </c>
      <c r="G343" s="4">
        <v>45841</v>
      </c>
      <c r="H343" s="2" t="s">
        <v>21</v>
      </c>
      <c r="I343" s="2" t="s">
        <v>51</v>
      </c>
      <c r="J343" s="2">
        <v>0.70412200178460038</v>
      </c>
      <c r="K343" s="2">
        <v>7867.7558519108898</v>
      </c>
      <c r="L343" s="2">
        <v>0</v>
      </c>
      <c r="M343" s="2">
        <v>5539.86</v>
      </c>
      <c r="N343" s="2">
        <v>5539.86</v>
      </c>
      <c r="O343" s="2"/>
      <c r="P343" s="2">
        <v>5539.86</v>
      </c>
      <c r="Q343" s="2" t="s">
        <v>44</v>
      </c>
      <c r="R343" s="2"/>
      <c r="S343" t="str">
        <f>VLOOKUP(B343,CASOPOInvCL!$B$1:$D$1600,1,FALSE)</f>
        <v>SO16964</v>
      </c>
      <c r="T343">
        <f t="shared" si="5"/>
        <v>4</v>
      </c>
    </row>
    <row r="344" spans="1:20" x14ac:dyDescent="0.25">
      <c r="A344" s="2">
        <v>1</v>
      </c>
      <c r="B344" s="2" t="s">
        <v>1603</v>
      </c>
      <c r="C344" s="2" t="s">
        <v>1604</v>
      </c>
      <c r="D344" s="2" t="s">
        <v>146</v>
      </c>
      <c r="E344" s="3">
        <v>45757.703159722223</v>
      </c>
      <c r="F344" s="3">
        <v>45761.354618055557</v>
      </c>
      <c r="G344" s="4">
        <v>45762</v>
      </c>
      <c r="H344" s="2" t="s">
        <v>21</v>
      </c>
      <c r="I344" s="2" t="s">
        <v>22</v>
      </c>
      <c r="J344" s="2">
        <v>1</v>
      </c>
      <c r="K344" s="2">
        <v>208.63</v>
      </c>
      <c r="L344" s="2">
        <v>0</v>
      </c>
      <c r="M344" s="2">
        <v>150.15945289449601</v>
      </c>
      <c r="N344" s="2">
        <v>198.69</v>
      </c>
      <c r="O344" s="2">
        <v>9.94</v>
      </c>
      <c r="P344" s="2">
        <v>208.63</v>
      </c>
      <c r="Q344" s="2" t="s">
        <v>44</v>
      </c>
      <c r="R344" s="2"/>
      <c r="S344" t="str">
        <f>VLOOKUP(B344,CASOPOInvCL!$B$1:$D$1600,1,FALSE)</f>
        <v>SO16965</v>
      </c>
      <c r="T344">
        <f t="shared" si="5"/>
        <v>4</v>
      </c>
    </row>
    <row r="345" spans="1:20" x14ac:dyDescent="0.25">
      <c r="A345" s="2">
        <v>1</v>
      </c>
      <c r="B345" s="2" t="s">
        <v>1481</v>
      </c>
      <c r="C345" s="2" t="s">
        <v>1482</v>
      </c>
      <c r="D345" s="2" t="s">
        <v>20</v>
      </c>
      <c r="E345" s="3">
        <v>45758.372847222221</v>
      </c>
      <c r="F345" s="3">
        <v>45782.562638888892</v>
      </c>
      <c r="G345" s="4">
        <v>45859</v>
      </c>
      <c r="H345" s="2" t="s">
        <v>21</v>
      </c>
      <c r="I345" s="2" t="s">
        <v>22</v>
      </c>
      <c r="J345" s="2">
        <v>1</v>
      </c>
      <c r="K345" s="2">
        <v>10372.02</v>
      </c>
      <c r="L345" s="2">
        <v>10372.02</v>
      </c>
      <c r="M345" s="2">
        <v>10372.02</v>
      </c>
      <c r="N345" s="2">
        <v>9878.11</v>
      </c>
      <c r="O345" s="2">
        <v>493.91</v>
      </c>
      <c r="P345" s="2">
        <v>10372.02</v>
      </c>
      <c r="Q345" s="2" t="s">
        <v>44</v>
      </c>
      <c r="R345" s="2"/>
      <c r="S345" t="str">
        <f>VLOOKUP(B345,CASOPOInvCL!$B$1:$D$1600,1,FALSE)</f>
        <v>SO16967</v>
      </c>
      <c r="T345">
        <f t="shared" si="5"/>
        <v>4</v>
      </c>
    </row>
    <row r="346" spans="1:20" x14ac:dyDescent="0.25">
      <c r="A346" s="2">
        <v>1</v>
      </c>
      <c r="B346" s="2" t="s">
        <v>1605</v>
      </c>
      <c r="C346" s="2" t="s">
        <v>1606</v>
      </c>
      <c r="D346" s="2" t="s">
        <v>1607</v>
      </c>
      <c r="E346" s="3">
        <v>45758.507685185177</v>
      </c>
      <c r="F346" s="3">
        <v>45758.658726851849</v>
      </c>
      <c r="G346" s="4">
        <v>45761</v>
      </c>
      <c r="H346" s="2" t="s">
        <v>1132</v>
      </c>
      <c r="I346" s="2" t="s">
        <v>51</v>
      </c>
      <c r="J346" s="2">
        <v>0.70470066534440534</v>
      </c>
      <c r="K346" s="2">
        <v>4700.4922272652111</v>
      </c>
      <c r="L346" s="2">
        <v>0</v>
      </c>
      <c r="M346" s="2">
        <v>3312.44</v>
      </c>
      <c r="N346" s="2">
        <v>3312.44</v>
      </c>
      <c r="O346" s="2"/>
      <c r="P346" s="2">
        <v>3312.44</v>
      </c>
      <c r="Q346" s="2" t="s">
        <v>44</v>
      </c>
      <c r="R346" s="2"/>
      <c r="S346" t="str">
        <f>VLOOKUP(B346,CASOPOInvCL!$B$1:$D$1600,1,FALSE)</f>
        <v>SO16968</v>
      </c>
      <c r="T346">
        <f t="shared" si="5"/>
        <v>4</v>
      </c>
    </row>
    <row r="347" spans="1:20" x14ac:dyDescent="0.25">
      <c r="A347" s="2">
        <v>1</v>
      </c>
      <c r="B347" s="2" t="s">
        <v>1610</v>
      </c>
      <c r="C347" s="2" t="s">
        <v>1611</v>
      </c>
      <c r="D347" s="2" t="s">
        <v>290</v>
      </c>
      <c r="E347" s="3">
        <v>45758.616354166668</v>
      </c>
      <c r="F347" s="3">
        <v>45758.622245370367</v>
      </c>
      <c r="G347" s="4">
        <v>45761</v>
      </c>
      <c r="H347" s="2" t="s">
        <v>21</v>
      </c>
      <c r="I347" s="2" t="s">
        <v>22</v>
      </c>
      <c r="J347" s="2">
        <v>1</v>
      </c>
      <c r="K347" s="2">
        <v>986.77</v>
      </c>
      <c r="L347" s="2">
        <v>0</v>
      </c>
      <c r="M347" s="2">
        <v>709.97649734587617</v>
      </c>
      <c r="N347" s="2">
        <v>939.78</v>
      </c>
      <c r="O347" s="2">
        <v>46.99</v>
      </c>
      <c r="P347" s="2">
        <v>986.77</v>
      </c>
      <c r="Q347" s="2" t="s">
        <v>44</v>
      </c>
      <c r="R347" s="2"/>
      <c r="S347" t="str">
        <f>VLOOKUP(B347,CASOPOInvCL!$B$1:$D$1600,1,FALSE)</f>
        <v>SO16970</v>
      </c>
      <c r="T347">
        <f t="shared" si="5"/>
        <v>4</v>
      </c>
    </row>
    <row r="348" spans="1:20" x14ac:dyDescent="0.25">
      <c r="A348" s="2">
        <v>1</v>
      </c>
      <c r="B348" s="2" t="s">
        <v>1455</v>
      </c>
      <c r="C348" s="2" t="s">
        <v>1456</v>
      </c>
      <c r="D348" s="2" t="s">
        <v>901</v>
      </c>
      <c r="E348" s="3">
        <v>45761.399108796293</v>
      </c>
      <c r="F348" s="3">
        <v>45785.33326388889</v>
      </c>
      <c r="G348" s="4">
        <v>45786</v>
      </c>
      <c r="H348" s="2" t="s">
        <v>180</v>
      </c>
      <c r="I348" s="2" t="s">
        <v>51</v>
      </c>
      <c r="J348" s="2">
        <v>0.72599223409301405</v>
      </c>
      <c r="K348" s="2">
        <v>6239.7361669568727</v>
      </c>
      <c r="L348" s="2">
        <v>0</v>
      </c>
      <c r="M348" s="2">
        <v>4530</v>
      </c>
      <c r="N348" s="2">
        <v>4530</v>
      </c>
      <c r="O348" s="2"/>
      <c r="P348" s="2">
        <v>4530</v>
      </c>
      <c r="Q348" s="2" t="s">
        <v>44</v>
      </c>
      <c r="R348" s="2"/>
      <c r="S348" t="str">
        <f>VLOOKUP(B348,CASOPOInvCL!$B$1:$D$1600,1,FALSE)</f>
        <v>SO16976</v>
      </c>
      <c r="T348">
        <f t="shared" si="5"/>
        <v>4</v>
      </c>
    </row>
    <row r="349" spans="1:20" x14ac:dyDescent="0.25">
      <c r="A349" s="2">
        <v>1</v>
      </c>
      <c r="B349" s="2" t="s">
        <v>1564</v>
      </c>
      <c r="C349" s="2" t="s">
        <v>1565</v>
      </c>
      <c r="D349" s="2" t="s">
        <v>86</v>
      </c>
      <c r="E349" s="3">
        <v>45761.574444444443</v>
      </c>
      <c r="F349" s="3">
        <v>45764.492546296293</v>
      </c>
      <c r="G349" s="4">
        <v>45768</v>
      </c>
      <c r="H349" s="2" t="s">
        <v>21</v>
      </c>
      <c r="I349" s="2" t="s">
        <v>22</v>
      </c>
      <c r="J349" s="2">
        <v>1</v>
      </c>
      <c r="K349" s="2">
        <v>204.72</v>
      </c>
      <c r="L349" s="2">
        <v>0</v>
      </c>
      <c r="M349" s="2">
        <v>147.73001141053911</v>
      </c>
      <c r="N349" s="2">
        <v>194.97</v>
      </c>
      <c r="O349" s="2">
        <v>9.75</v>
      </c>
      <c r="P349" s="2">
        <v>204.72</v>
      </c>
      <c r="Q349" s="2" t="s">
        <v>44</v>
      </c>
      <c r="R349" s="2"/>
      <c r="S349" t="str">
        <f>VLOOKUP(B349,CASOPOInvCL!$B$1:$D$1600,1,FALSE)</f>
        <v>SO16983</v>
      </c>
      <c r="T349">
        <f t="shared" si="5"/>
        <v>4</v>
      </c>
    </row>
    <row r="350" spans="1:20" x14ac:dyDescent="0.25">
      <c r="A350" s="2">
        <v>1</v>
      </c>
      <c r="B350" s="2" t="s">
        <v>1597</v>
      </c>
      <c r="C350" s="2" t="s">
        <v>1598</v>
      </c>
      <c r="D350" s="2" t="s">
        <v>70</v>
      </c>
      <c r="E350" s="3">
        <v>45761.592974537038</v>
      </c>
      <c r="F350" s="3">
        <v>45761.592094907413</v>
      </c>
      <c r="G350" s="4">
        <v>45771</v>
      </c>
      <c r="H350" s="2" t="s">
        <v>71</v>
      </c>
      <c r="I350" s="2" t="s">
        <v>51</v>
      </c>
      <c r="J350" s="2">
        <v>0.72095821438553542</v>
      </c>
      <c r="K350" s="2">
        <v>1482.776641793469</v>
      </c>
      <c r="L350" s="2">
        <v>0</v>
      </c>
      <c r="M350" s="2">
        <v>1069.02</v>
      </c>
      <c r="N350" s="2">
        <v>1069.02</v>
      </c>
      <c r="O350" s="2"/>
      <c r="P350" s="2">
        <v>1069.02</v>
      </c>
      <c r="Q350" s="2" t="s">
        <v>44</v>
      </c>
      <c r="R350" s="2"/>
      <c r="S350" t="str">
        <f>VLOOKUP(B350,CASOPOInvCL!$B$1:$D$1600,1,FALSE)</f>
        <v>SO16985</v>
      </c>
      <c r="T350">
        <f t="shared" si="5"/>
        <v>4</v>
      </c>
    </row>
    <row r="351" spans="1:20" x14ac:dyDescent="0.25">
      <c r="A351" s="2">
        <v>2</v>
      </c>
      <c r="B351" s="2" t="s">
        <v>1593</v>
      </c>
      <c r="C351" s="2" t="s">
        <v>1594</v>
      </c>
      <c r="D351" s="2" t="s">
        <v>39</v>
      </c>
      <c r="E351" s="3">
        <v>45761.692974537043</v>
      </c>
      <c r="F351" s="3">
        <v>45761.692974537043</v>
      </c>
      <c r="G351" s="4">
        <v>45869</v>
      </c>
      <c r="H351" s="2" t="s">
        <v>21</v>
      </c>
      <c r="I351" s="2" t="s">
        <v>22</v>
      </c>
      <c r="J351" s="2">
        <v>1</v>
      </c>
      <c r="K351" s="2">
        <v>1784.76</v>
      </c>
      <c r="L351" s="2">
        <v>0</v>
      </c>
      <c r="M351" s="2">
        <v>1284.563989589132</v>
      </c>
      <c r="N351" s="2">
        <v>1699.77</v>
      </c>
      <c r="O351" s="2">
        <v>84.99</v>
      </c>
      <c r="P351" s="2">
        <v>1784.76</v>
      </c>
      <c r="Q351" s="2" t="s">
        <v>44</v>
      </c>
      <c r="R351" s="2"/>
      <c r="S351" t="str">
        <f>VLOOKUP(B351,CASOPOInvCL!$B$1:$D$1600,1,FALSE)</f>
        <v>SO16989</v>
      </c>
      <c r="T351">
        <f t="shared" si="5"/>
        <v>4</v>
      </c>
    </row>
    <row r="352" spans="1:20" x14ac:dyDescent="0.25">
      <c r="A352" s="2">
        <v>1</v>
      </c>
      <c r="B352" s="2" t="s">
        <v>1583</v>
      </c>
      <c r="C352" s="2" t="s">
        <v>1584</v>
      </c>
      <c r="D352" s="2" t="s">
        <v>271</v>
      </c>
      <c r="E352" s="3">
        <v>45762.340810185182</v>
      </c>
      <c r="F352" s="3">
        <v>45762.448842592603</v>
      </c>
      <c r="G352" s="4">
        <v>45762</v>
      </c>
      <c r="H352" s="2" t="s">
        <v>21</v>
      </c>
      <c r="I352" s="2" t="s">
        <v>22</v>
      </c>
      <c r="J352" s="2">
        <v>1</v>
      </c>
      <c r="K352" s="2">
        <v>96.72</v>
      </c>
      <c r="L352" s="2">
        <v>0</v>
      </c>
      <c r="M352" s="2">
        <v>69.349600472038262</v>
      </c>
      <c r="N352" s="2">
        <v>92.11</v>
      </c>
      <c r="O352" s="2">
        <v>4.6100000000000003</v>
      </c>
      <c r="P352" s="2">
        <v>96.72</v>
      </c>
      <c r="Q352" s="2" t="s">
        <v>44</v>
      </c>
      <c r="R352" s="2"/>
      <c r="S352" t="str">
        <f>VLOOKUP(B352,CASOPOInvCL!$B$1:$D$1600,1,FALSE)</f>
        <v>SO16990</v>
      </c>
      <c r="T352">
        <f t="shared" si="5"/>
        <v>4</v>
      </c>
    </row>
    <row r="353" spans="1:20" x14ac:dyDescent="0.25">
      <c r="A353" s="2">
        <v>1</v>
      </c>
      <c r="B353" s="2" t="s">
        <v>1587</v>
      </c>
      <c r="C353" s="2" t="s">
        <v>1588</v>
      </c>
      <c r="D353" s="2" t="s">
        <v>20</v>
      </c>
      <c r="E353" s="3">
        <v>45762.398414351846</v>
      </c>
      <c r="F353" s="3">
        <v>45762.402418981481</v>
      </c>
      <c r="G353" s="4">
        <v>45763</v>
      </c>
      <c r="H353" s="2" t="s">
        <v>21</v>
      </c>
      <c r="I353" s="2" t="s">
        <v>22</v>
      </c>
      <c r="J353" s="2">
        <v>1</v>
      </c>
      <c r="K353" s="2">
        <v>311.39</v>
      </c>
      <c r="L353" s="2">
        <v>0</v>
      </c>
      <c r="M353" s="2">
        <v>223.27101003916451</v>
      </c>
      <c r="N353" s="2">
        <v>296.56</v>
      </c>
      <c r="O353" s="2">
        <v>14.83</v>
      </c>
      <c r="P353" s="2">
        <v>311.39</v>
      </c>
      <c r="Q353" s="2" t="s">
        <v>44</v>
      </c>
      <c r="R353" s="2"/>
      <c r="S353" t="str">
        <f>VLOOKUP(B353,CASOPOInvCL!$B$1:$D$1600,1,FALSE)</f>
        <v>SO16991</v>
      </c>
      <c r="T353">
        <f t="shared" si="5"/>
        <v>4</v>
      </c>
    </row>
    <row r="354" spans="1:20" ht="30" x14ac:dyDescent="0.25">
      <c r="A354" s="2">
        <v>1</v>
      </c>
      <c r="B354" s="2" t="s">
        <v>1580</v>
      </c>
      <c r="C354" s="2" t="s">
        <v>1581</v>
      </c>
      <c r="D354" s="2" t="s">
        <v>1582</v>
      </c>
      <c r="E354" s="3">
        <v>45762.465520833342</v>
      </c>
      <c r="F354" s="3">
        <v>45762.461168981477</v>
      </c>
      <c r="G354" s="4">
        <v>45763</v>
      </c>
      <c r="H354" s="2" t="s">
        <v>21</v>
      </c>
      <c r="I354" s="2" t="s">
        <v>51</v>
      </c>
      <c r="J354" s="2">
        <v>0.71701406608807139</v>
      </c>
      <c r="K354" s="2">
        <v>145.1017559078411</v>
      </c>
      <c r="L354" s="2">
        <v>0</v>
      </c>
      <c r="M354" s="2">
        <v>104.04</v>
      </c>
      <c r="N354" s="2">
        <v>104.04</v>
      </c>
      <c r="O354" s="2"/>
      <c r="P354" s="2">
        <v>104.04</v>
      </c>
      <c r="Q354" s="2" t="s">
        <v>44</v>
      </c>
      <c r="R354" s="2"/>
      <c r="S354" t="str">
        <f>VLOOKUP(B354,CASOPOInvCL!$B$1:$D$1600,1,FALSE)</f>
        <v>SO16992</v>
      </c>
      <c r="T354">
        <f t="shared" si="5"/>
        <v>4</v>
      </c>
    </row>
    <row r="355" spans="1:20" x14ac:dyDescent="0.25">
      <c r="A355" s="2">
        <v>1</v>
      </c>
      <c r="B355" s="2" t="s">
        <v>1572</v>
      </c>
      <c r="C355" s="2" t="s">
        <v>1573</v>
      </c>
      <c r="D355" s="2" t="s">
        <v>242</v>
      </c>
      <c r="E355" s="3">
        <v>45762.534687500003</v>
      </c>
      <c r="F355" s="3">
        <v>45763.363993055558</v>
      </c>
      <c r="G355" s="4">
        <v>45770</v>
      </c>
      <c r="H355" s="2" t="s">
        <v>21</v>
      </c>
      <c r="I355" s="2" t="s">
        <v>22</v>
      </c>
      <c r="J355" s="2">
        <v>1</v>
      </c>
      <c r="K355" s="2">
        <v>310.23</v>
      </c>
      <c r="L355" s="2">
        <v>0</v>
      </c>
      <c r="M355" s="2">
        <v>223.4274177859771</v>
      </c>
      <c r="N355" s="2">
        <v>295.45999999999998</v>
      </c>
      <c r="O355" s="2">
        <v>14.77</v>
      </c>
      <c r="P355" s="2">
        <v>310.23</v>
      </c>
      <c r="Q355" s="2" t="s">
        <v>44</v>
      </c>
      <c r="R355" s="2"/>
      <c r="S355" t="str">
        <f>VLOOKUP(B355,CASOPOInvCL!$B$1:$D$1600,1,FALSE)</f>
        <v>SO16994</v>
      </c>
      <c r="T355">
        <f t="shared" si="5"/>
        <v>4</v>
      </c>
    </row>
    <row r="356" spans="1:20" ht="30" x14ac:dyDescent="0.25">
      <c r="A356" s="2">
        <v>1</v>
      </c>
      <c r="B356" s="2" t="s">
        <v>1574</v>
      </c>
      <c r="C356" s="2" t="s">
        <v>1575</v>
      </c>
      <c r="D356" s="2" t="s">
        <v>138</v>
      </c>
      <c r="E356" s="3">
        <v>45762.550659722219</v>
      </c>
      <c r="F356" s="3">
        <v>45762.695787037039</v>
      </c>
      <c r="G356" s="4">
        <v>45763</v>
      </c>
      <c r="H356" s="2" t="s">
        <v>21</v>
      </c>
      <c r="I356" s="2" t="s">
        <v>22</v>
      </c>
      <c r="J356" s="2">
        <v>1</v>
      </c>
      <c r="K356" s="2">
        <v>107.31</v>
      </c>
      <c r="L356" s="2">
        <v>0</v>
      </c>
      <c r="M356" s="2">
        <v>76.942779431910949</v>
      </c>
      <c r="N356" s="2">
        <v>102.2</v>
      </c>
      <c r="O356" s="2">
        <v>5.1100000000000003</v>
      </c>
      <c r="P356" s="2">
        <v>107.31</v>
      </c>
      <c r="Q356" s="2" t="s">
        <v>44</v>
      </c>
      <c r="R356" s="2"/>
      <c r="S356" t="str">
        <f>VLOOKUP(B356,CASOPOInvCL!$B$1:$D$1600,1,FALSE)</f>
        <v>SO16995</v>
      </c>
      <c r="T356">
        <f t="shared" si="5"/>
        <v>4</v>
      </c>
    </row>
    <row r="357" spans="1:20" ht="30" x14ac:dyDescent="0.25">
      <c r="A357" s="2">
        <v>1</v>
      </c>
      <c r="B357" s="2" t="s">
        <v>1578</v>
      </c>
      <c r="C357" s="2" t="s">
        <v>1579</v>
      </c>
      <c r="D357" s="2" t="s">
        <v>6167</v>
      </c>
      <c r="E357" s="3">
        <v>45762.557662037027</v>
      </c>
      <c r="F357" s="3">
        <v>45762.552094907413</v>
      </c>
      <c r="G357" s="4">
        <v>45785</v>
      </c>
      <c r="H357" s="2" t="s">
        <v>1132</v>
      </c>
      <c r="I357" s="2" t="s">
        <v>22</v>
      </c>
      <c r="J357" s="2">
        <v>1</v>
      </c>
      <c r="K357" s="2">
        <v>456.4</v>
      </c>
      <c r="L357" s="2">
        <v>0</v>
      </c>
      <c r="M357" s="2">
        <v>327.24521976259581</v>
      </c>
      <c r="N357" s="2">
        <v>456.4</v>
      </c>
      <c r="O357" s="2"/>
      <c r="P357" s="2">
        <v>456.4</v>
      </c>
      <c r="Q357" s="2" t="s">
        <v>44</v>
      </c>
      <c r="R357" s="2"/>
      <c r="S357" t="str">
        <f>VLOOKUP(B357,CASOPOInvCL!$B$1:$D$1600,1,FALSE)</f>
        <v>SO16996</v>
      </c>
      <c r="T357">
        <f t="shared" si="5"/>
        <v>4</v>
      </c>
    </row>
    <row r="358" spans="1:20" ht="30" x14ac:dyDescent="0.25">
      <c r="A358" s="2">
        <v>1</v>
      </c>
      <c r="B358" s="2" t="s">
        <v>1576</v>
      </c>
      <c r="C358" s="2" t="s">
        <v>1577</v>
      </c>
      <c r="D358" s="2" t="s">
        <v>502</v>
      </c>
      <c r="E358" s="3">
        <v>45762.630740740737</v>
      </c>
      <c r="F358" s="3">
        <v>45762.6325462963</v>
      </c>
      <c r="G358" s="4">
        <v>45763</v>
      </c>
      <c r="H358" s="2" t="s">
        <v>21</v>
      </c>
      <c r="I358" s="2" t="s">
        <v>22</v>
      </c>
      <c r="J358" s="2">
        <v>1</v>
      </c>
      <c r="K358" s="2">
        <v>44.65</v>
      </c>
      <c r="L358" s="2">
        <v>0</v>
      </c>
      <c r="M358" s="2">
        <v>32.014678050832387</v>
      </c>
      <c r="N358" s="2">
        <v>42.52</v>
      </c>
      <c r="O358" s="2">
        <v>2.13</v>
      </c>
      <c r="P358" s="2">
        <v>44.65</v>
      </c>
      <c r="Q358" s="2" t="s">
        <v>44</v>
      </c>
      <c r="R358" s="2"/>
      <c r="S358" t="str">
        <f>VLOOKUP(B358,CASOPOInvCL!$B$1:$D$1600,1,FALSE)</f>
        <v>SO17000</v>
      </c>
      <c r="T358">
        <f t="shared" si="5"/>
        <v>4</v>
      </c>
    </row>
    <row r="359" spans="1:20" ht="30" x14ac:dyDescent="0.25">
      <c r="A359" s="2">
        <v>1</v>
      </c>
      <c r="B359" s="2" t="s">
        <v>1570</v>
      </c>
      <c r="C359" s="2" t="s">
        <v>1571</v>
      </c>
      <c r="D359" s="2" t="s">
        <v>502</v>
      </c>
      <c r="E359" s="3">
        <v>45763.383136574077</v>
      </c>
      <c r="F359" s="3">
        <v>45763.38690972222</v>
      </c>
      <c r="G359" s="4">
        <v>45785</v>
      </c>
      <c r="H359" s="2" t="s">
        <v>21</v>
      </c>
      <c r="I359" s="2" t="s">
        <v>22</v>
      </c>
      <c r="J359" s="2">
        <v>1</v>
      </c>
      <c r="K359" s="2">
        <v>1567.15</v>
      </c>
      <c r="L359" s="2">
        <v>0</v>
      </c>
      <c r="M359" s="2">
        <v>1128.66027715983</v>
      </c>
      <c r="N359" s="2">
        <v>1492.52</v>
      </c>
      <c r="O359" s="2">
        <v>74.63</v>
      </c>
      <c r="P359" s="2">
        <v>1567.15</v>
      </c>
      <c r="Q359" s="2" t="s">
        <v>44</v>
      </c>
      <c r="R359" s="2"/>
      <c r="S359" t="str">
        <f>VLOOKUP(B359,CASOPOInvCL!$B$1:$D$1600,1,FALSE)</f>
        <v>SO17001</v>
      </c>
      <c r="T359">
        <f t="shared" si="5"/>
        <v>4</v>
      </c>
    </row>
    <row r="360" spans="1:20" x14ac:dyDescent="0.25">
      <c r="A360" s="2">
        <v>1</v>
      </c>
      <c r="B360" s="2" t="s">
        <v>1568</v>
      </c>
      <c r="C360" s="2" t="s">
        <v>1569</v>
      </c>
      <c r="D360" s="2" t="s">
        <v>141</v>
      </c>
      <c r="E360" s="3">
        <v>45764.341747685183</v>
      </c>
      <c r="F360" s="3">
        <v>45764.346400462957</v>
      </c>
      <c r="G360" s="4">
        <v>45768</v>
      </c>
      <c r="H360" s="2" t="s">
        <v>21</v>
      </c>
      <c r="I360" s="2" t="s">
        <v>51</v>
      </c>
      <c r="J360" s="2">
        <v>0.72019926437152137</v>
      </c>
      <c r="K360" s="2">
        <v>471.88329232267211</v>
      </c>
      <c r="L360" s="2">
        <v>0</v>
      </c>
      <c r="M360" s="2">
        <v>339.85</v>
      </c>
      <c r="N360" s="2">
        <v>339.85</v>
      </c>
      <c r="O360" s="2"/>
      <c r="P360" s="2">
        <v>339.85</v>
      </c>
      <c r="Q360" s="2" t="s">
        <v>44</v>
      </c>
      <c r="R360" s="2"/>
      <c r="S360" t="str">
        <f>VLOOKUP(B360,CASOPOInvCL!$B$1:$D$1600,1,FALSE)</f>
        <v>SO17003</v>
      </c>
      <c r="T360">
        <f t="shared" si="5"/>
        <v>4</v>
      </c>
    </row>
    <row r="361" spans="1:20" ht="30" x14ac:dyDescent="0.25">
      <c r="A361" s="2">
        <v>1</v>
      </c>
      <c r="B361" s="2" t="s">
        <v>1566</v>
      </c>
      <c r="C361" s="2" t="s">
        <v>1567</v>
      </c>
      <c r="D361" s="2" t="s">
        <v>630</v>
      </c>
      <c r="E361" s="3">
        <v>45764.386423611111</v>
      </c>
      <c r="F361" s="3">
        <v>45764.387546296297</v>
      </c>
      <c r="G361" s="4">
        <v>45789</v>
      </c>
      <c r="H361" s="2" t="s">
        <v>21</v>
      </c>
      <c r="I361" s="2" t="s">
        <v>22</v>
      </c>
      <c r="J361" s="2">
        <v>1</v>
      </c>
      <c r="K361" s="2">
        <v>6675</v>
      </c>
      <c r="L361" s="2">
        <v>0</v>
      </c>
      <c r="M361" s="2">
        <v>4816.8123591507838</v>
      </c>
      <c r="N361" s="2">
        <v>6357.14</v>
      </c>
      <c r="O361" s="2">
        <v>317.86</v>
      </c>
      <c r="P361" s="2">
        <v>6675</v>
      </c>
      <c r="Q361" s="2" t="s">
        <v>44</v>
      </c>
      <c r="R361" s="2"/>
      <c r="S361" t="str">
        <f>VLOOKUP(B361,CASOPOInvCL!$B$1:$D$1600,1,FALSE)</f>
        <v>SO17004</v>
      </c>
      <c r="T361">
        <f t="shared" si="5"/>
        <v>4</v>
      </c>
    </row>
    <row r="362" spans="1:20" x14ac:dyDescent="0.25">
      <c r="A362" s="2">
        <v>1</v>
      </c>
      <c r="B362" s="2" t="s">
        <v>1540</v>
      </c>
      <c r="C362" s="2" t="s">
        <v>1541</v>
      </c>
      <c r="D362" s="2" t="s">
        <v>229</v>
      </c>
      <c r="E362" s="3">
        <v>45764.411006944443</v>
      </c>
      <c r="F362" s="3">
        <v>45771.648680555547</v>
      </c>
      <c r="G362" s="4">
        <v>45772</v>
      </c>
      <c r="H362" s="2" t="s">
        <v>21</v>
      </c>
      <c r="I362" s="2" t="s">
        <v>22</v>
      </c>
      <c r="J362" s="2">
        <v>1</v>
      </c>
      <c r="K362" s="2">
        <v>472.15</v>
      </c>
      <c r="L362" s="2">
        <v>0</v>
      </c>
      <c r="M362" s="2">
        <v>339.89711985462128</v>
      </c>
      <c r="N362" s="2">
        <v>449.67</v>
      </c>
      <c r="O362" s="2">
        <v>22.48</v>
      </c>
      <c r="P362" s="2">
        <v>472.15</v>
      </c>
      <c r="Q362" s="2" t="s">
        <v>44</v>
      </c>
      <c r="R362" s="2"/>
      <c r="S362" t="str">
        <f>VLOOKUP(B362,CASOPOInvCL!$B$1:$D$1600,1,FALSE)</f>
        <v>SO17005</v>
      </c>
      <c r="T362">
        <f t="shared" si="5"/>
        <v>4</v>
      </c>
    </row>
    <row r="363" spans="1:20" x14ac:dyDescent="0.25">
      <c r="A363" s="2">
        <v>1</v>
      </c>
      <c r="B363" s="2" t="s">
        <v>1562</v>
      </c>
      <c r="C363" s="2" t="s">
        <v>1563</v>
      </c>
      <c r="D363" s="2" t="s">
        <v>35</v>
      </c>
      <c r="E363" s="3">
        <v>45764.556469907409</v>
      </c>
      <c r="F363" s="3">
        <v>45764.691377314812</v>
      </c>
      <c r="G363" s="4">
        <v>45768</v>
      </c>
      <c r="H363" s="2" t="s">
        <v>21</v>
      </c>
      <c r="I363" s="2" t="s">
        <v>22</v>
      </c>
      <c r="J363" s="2">
        <v>1</v>
      </c>
      <c r="K363" s="2">
        <v>131.22999999999999</v>
      </c>
      <c r="L363" s="2">
        <v>0</v>
      </c>
      <c r="M363" s="2">
        <v>94.698170170989869</v>
      </c>
      <c r="N363" s="2">
        <v>124.98</v>
      </c>
      <c r="O363" s="2">
        <v>6.25</v>
      </c>
      <c r="P363" s="2">
        <v>131.22999999999999</v>
      </c>
      <c r="Q363" s="2" t="s">
        <v>44</v>
      </c>
      <c r="R363" s="2"/>
      <c r="S363" t="str">
        <f>VLOOKUP(B363,CASOPOInvCL!$B$1:$D$1600,1,FALSE)</f>
        <v>SO17006</v>
      </c>
      <c r="T363">
        <f t="shared" si="5"/>
        <v>4</v>
      </c>
    </row>
    <row r="364" spans="1:20" ht="30" x14ac:dyDescent="0.25">
      <c r="A364" s="2">
        <v>1</v>
      </c>
      <c r="B364" s="2" t="s">
        <v>896</v>
      </c>
      <c r="C364" s="2" t="s">
        <v>897</v>
      </c>
      <c r="D364" s="2" t="s">
        <v>898</v>
      </c>
      <c r="E364" s="3">
        <v>45764.671342592592</v>
      </c>
      <c r="F364" s="3">
        <v>45874.705439814818</v>
      </c>
      <c r="G364" s="4">
        <v>45909</v>
      </c>
      <c r="H364" s="2" t="s">
        <v>21</v>
      </c>
      <c r="I364" s="2" t="s">
        <v>22</v>
      </c>
      <c r="J364" s="2">
        <v>1</v>
      </c>
      <c r="K364" s="2">
        <v>7542.77</v>
      </c>
      <c r="L364" s="2">
        <v>0</v>
      </c>
      <c r="M364" s="2">
        <v>5473.0502303356379</v>
      </c>
      <c r="N364" s="2">
        <v>7183.59</v>
      </c>
      <c r="O364" s="2">
        <v>359.18</v>
      </c>
      <c r="P364" s="2">
        <v>7542.77</v>
      </c>
      <c r="Q364" s="2" t="s">
        <v>44</v>
      </c>
      <c r="R364" s="2"/>
      <c r="S364" t="str">
        <f>VLOOKUP(B364,CASOPOInvCL!$B$1:$D$1600,1,FALSE)</f>
        <v>SO17008</v>
      </c>
      <c r="T364">
        <f t="shared" si="5"/>
        <v>4</v>
      </c>
    </row>
    <row r="365" spans="1:20" x14ac:dyDescent="0.25">
      <c r="A365" s="2">
        <v>1</v>
      </c>
      <c r="B365" s="2" t="s">
        <v>1042</v>
      </c>
      <c r="C365" s="2" t="s">
        <v>1043</v>
      </c>
      <c r="D365" s="2" t="s">
        <v>98</v>
      </c>
      <c r="E365" s="3">
        <v>45768.489965277768</v>
      </c>
      <c r="F365" s="3">
        <v>45852.453472222223</v>
      </c>
      <c r="G365" s="4">
        <v>45853</v>
      </c>
      <c r="H365" s="2" t="s">
        <v>21</v>
      </c>
      <c r="I365" s="2" t="s">
        <v>22</v>
      </c>
      <c r="J365" s="2">
        <v>1</v>
      </c>
      <c r="K365" s="2">
        <v>814.95</v>
      </c>
      <c r="L365" s="2">
        <v>0</v>
      </c>
      <c r="M365" s="2">
        <v>595.07749059689843</v>
      </c>
      <c r="N365" s="2">
        <v>721.19</v>
      </c>
      <c r="O365" s="2">
        <v>93.76</v>
      </c>
      <c r="P365" s="2">
        <v>814.95</v>
      </c>
      <c r="Q365" s="2" t="s">
        <v>44</v>
      </c>
      <c r="R365" s="2"/>
      <c r="S365" t="str">
        <f>VLOOKUP(B365,CASOPOInvCL!$B$1:$D$1600,1,FALSE)</f>
        <v>SO17009</v>
      </c>
      <c r="T365">
        <f t="shared" si="5"/>
        <v>4</v>
      </c>
    </row>
    <row r="366" spans="1:20" x14ac:dyDescent="0.25">
      <c r="A366" s="2">
        <v>1</v>
      </c>
      <c r="B366" s="2" t="s">
        <v>1560</v>
      </c>
      <c r="C366" s="2" t="s">
        <v>1561</v>
      </c>
      <c r="D366" s="2" t="s">
        <v>129</v>
      </c>
      <c r="E366" s="3">
        <v>45768.579594907409</v>
      </c>
      <c r="F366" s="3">
        <v>45768.579062500001</v>
      </c>
      <c r="G366" s="4">
        <v>45869</v>
      </c>
      <c r="H366" s="2" t="s">
        <v>130</v>
      </c>
      <c r="I366" s="2" t="s">
        <v>51</v>
      </c>
      <c r="J366" s="2">
        <v>0.72213687898096424</v>
      </c>
      <c r="K366" s="2">
        <v>21452.99658682627</v>
      </c>
      <c r="L366" s="2">
        <v>0</v>
      </c>
      <c r="M366" s="2">
        <v>15492</v>
      </c>
      <c r="N366" s="2">
        <v>15492</v>
      </c>
      <c r="O366" s="2"/>
      <c r="P366" s="2">
        <v>15492</v>
      </c>
      <c r="Q366" s="2" t="s">
        <v>44</v>
      </c>
      <c r="R366" s="2"/>
      <c r="S366" t="str">
        <f>VLOOKUP(B366,CASOPOInvCL!$B$1:$D$1600,1,FALSE)</f>
        <v>SO17010</v>
      </c>
      <c r="T366">
        <f t="shared" si="5"/>
        <v>4</v>
      </c>
    </row>
    <row r="367" spans="1:20" ht="30" x14ac:dyDescent="0.25">
      <c r="A367" s="2">
        <v>1</v>
      </c>
      <c r="B367" s="2" t="s">
        <v>1558</v>
      </c>
      <c r="C367" s="2" t="s">
        <v>1559</v>
      </c>
      <c r="D367" s="2" t="s">
        <v>502</v>
      </c>
      <c r="E367" s="3">
        <v>45769.562210648153</v>
      </c>
      <c r="F367" s="3">
        <v>45769.565266203703</v>
      </c>
      <c r="G367" s="4">
        <v>45770</v>
      </c>
      <c r="H367" s="2" t="s">
        <v>21</v>
      </c>
      <c r="I367" s="2" t="s">
        <v>22</v>
      </c>
      <c r="J367" s="2">
        <v>1</v>
      </c>
      <c r="K367" s="2">
        <v>539.67999999999995</v>
      </c>
      <c r="L367" s="2">
        <v>0</v>
      </c>
      <c r="M367" s="2">
        <v>390.87901308584662</v>
      </c>
      <c r="N367" s="2">
        <v>519.21</v>
      </c>
      <c r="O367" s="2">
        <v>20.47</v>
      </c>
      <c r="P367" s="2">
        <v>539.67999999999995</v>
      </c>
      <c r="Q367" s="2" t="s">
        <v>44</v>
      </c>
      <c r="R367" s="2"/>
      <c r="S367" t="str">
        <f>VLOOKUP(B367,CASOPOInvCL!$B$1:$D$1600,1,FALSE)</f>
        <v>SO17013</v>
      </c>
      <c r="T367">
        <f t="shared" si="5"/>
        <v>4</v>
      </c>
    </row>
    <row r="368" spans="1:20" x14ac:dyDescent="0.25">
      <c r="A368" s="2">
        <v>1</v>
      </c>
      <c r="B368" s="2" t="s">
        <v>1538</v>
      </c>
      <c r="C368" s="2" t="s">
        <v>1539</v>
      </c>
      <c r="D368" s="2" t="s">
        <v>39</v>
      </c>
      <c r="E368" s="3">
        <v>45770.374884259261</v>
      </c>
      <c r="F368" s="3">
        <v>45771.655532407407</v>
      </c>
      <c r="G368" s="4">
        <v>45876</v>
      </c>
      <c r="H368" s="2" t="s">
        <v>21</v>
      </c>
      <c r="I368" s="2" t="s">
        <v>22</v>
      </c>
      <c r="J368" s="2">
        <v>1</v>
      </c>
      <c r="K368" s="2">
        <v>16616.349999999999</v>
      </c>
      <c r="L368" s="2">
        <v>0</v>
      </c>
      <c r="M368" s="2">
        <v>11961.981377732371</v>
      </c>
      <c r="N368" s="2">
        <v>15825.1</v>
      </c>
      <c r="O368" s="2">
        <v>791.25</v>
      </c>
      <c r="P368" s="2">
        <v>16616.349999999999</v>
      </c>
      <c r="Q368" s="2" t="s">
        <v>44</v>
      </c>
      <c r="R368" s="2"/>
      <c r="S368" t="str">
        <f>VLOOKUP(B368,CASOPOInvCL!$B$1:$D$1600,1,FALSE)</f>
        <v>SO17015</v>
      </c>
      <c r="T368">
        <f t="shared" si="5"/>
        <v>4</v>
      </c>
    </row>
    <row r="369" spans="1:20" x14ac:dyDescent="0.25">
      <c r="A369" s="2">
        <v>2</v>
      </c>
      <c r="B369" s="2" t="s">
        <v>1556</v>
      </c>
      <c r="C369" s="2" t="s">
        <v>1557</v>
      </c>
      <c r="D369" s="2" t="s">
        <v>121</v>
      </c>
      <c r="E369" s="3">
        <v>45770.508576388893</v>
      </c>
      <c r="F369" s="3">
        <v>45770.574965277781</v>
      </c>
      <c r="G369" s="4">
        <v>45847</v>
      </c>
      <c r="H369" s="2" t="s">
        <v>21</v>
      </c>
      <c r="I369" s="2" t="s">
        <v>22</v>
      </c>
      <c r="J369" s="2">
        <v>1</v>
      </c>
      <c r="K369" s="2">
        <v>8531.2099999999991</v>
      </c>
      <c r="L369" s="2">
        <v>0</v>
      </c>
      <c r="M369" s="2">
        <v>6140.4448484504346</v>
      </c>
      <c r="N369" s="2">
        <v>8124.96</v>
      </c>
      <c r="O369" s="2">
        <v>406.25</v>
      </c>
      <c r="P369" s="2">
        <v>8531.2099999999991</v>
      </c>
      <c r="Q369" s="2" t="s">
        <v>44</v>
      </c>
      <c r="R369" s="2"/>
      <c r="S369" t="str">
        <f>VLOOKUP(B369,CASOPOInvCL!$B$1:$D$1600,1,FALSE)</f>
        <v>SO17017</v>
      </c>
      <c r="T369">
        <f t="shared" si="5"/>
        <v>4</v>
      </c>
    </row>
    <row r="370" spans="1:20" x14ac:dyDescent="0.25">
      <c r="A370" s="2">
        <v>1</v>
      </c>
      <c r="B370" s="2" t="s">
        <v>1554</v>
      </c>
      <c r="C370" s="2" t="s">
        <v>1555</v>
      </c>
      <c r="D370" s="2" t="s">
        <v>290</v>
      </c>
      <c r="E370" s="3">
        <v>45770.681898148148</v>
      </c>
      <c r="F370" s="3">
        <v>45770.682696759257</v>
      </c>
      <c r="G370" s="4">
        <v>45771</v>
      </c>
      <c r="H370" s="2" t="s">
        <v>21</v>
      </c>
      <c r="I370" s="2" t="s">
        <v>22</v>
      </c>
      <c r="J370" s="2">
        <v>1</v>
      </c>
      <c r="K370" s="2">
        <v>1973.54</v>
      </c>
      <c r="L370" s="2">
        <v>0</v>
      </c>
      <c r="M370" s="2">
        <v>1420.4800404879111</v>
      </c>
      <c r="N370" s="2">
        <v>1879.56</v>
      </c>
      <c r="O370" s="2">
        <v>93.98</v>
      </c>
      <c r="P370" s="2">
        <v>1973.54</v>
      </c>
      <c r="Q370" s="2" t="s">
        <v>44</v>
      </c>
      <c r="R370" s="2"/>
      <c r="S370" t="str">
        <f>VLOOKUP(B370,CASOPOInvCL!$B$1:$D$1600,1,FALSE)</f>
        <v>SO17020</v>
      </c>
      <c r="T370">
        <f t="shared" si="5"/>
        <v>4</v>
      </c>
    </row>
    <row r="371" spans="1:20" x14ac:dyDescent="0.25">
      <c r="A371" s="2">
        <v>1</v>
      </c>
      <c r="B371" s="2" t="s">
        <v>1532</v>
      </c>
      <c r="C371" s="2" t="s">
        <v>1533</v>
      </c>
      <c r="D371" s="2" t="s">
        <v>176</v>
      </c>
      <c r="E371" s="3">
        <v>45771.402673611112</v>
      </c>
      <c r="F371" s="3">
        <v>45772.52107638889</v>
      </c>
      <c r="G371" s="4">
        <v>45775</v>
      </c>
      <c r="H371" s="2" t="s">
        <v>21</v>
      </c>
      <c r="I371" s="2" t="s">
        <v>22</v>
      </c>
      <c r="J371" s="2">
        <v>1</v>
      </c>
      <c r="K371" s="2">
        <v>474.46</v>
      </c>
      <c r="L371" s="2">
        <v>0</v>
      </c>
      <c r="M371" s="2">
        <v>342.36794756113471</v>
      </c>
      <c r="N371" s="2">
        <v>419.88</v>
      </c>
      <c r="O371" s="2">
        <v>54.58</v>
      </c>
      <c r="P371" s="2">
        <v>474.46</v>
      </c>
      <c r="Q371" s="2" t="s">
        <v>44</v>
      </c>
      <c r="R371" s="2"/>
      <c r="S371" t="str">
        <f>VLOOKUP(B371,CASOPOInvCL!$B$1:$D$1600,1,FALSE)</f>
        <v>SO17022</v>
      </c>
      <c r="T371">
        <f t="shared" si="5"/>
        <v>4</v>
      </c>
    </row>
    <row r="372" spans="1:20" ht="30" x14ac:dyDescent="0.25">
      <c r="A372" s="2">
        <v>1</v>
      </c>
      <c r="B372" s="2" t="s">
        <v>1552</v>
      </c>
      <c r="C372" s="2" t="s">
        <v>1553</v>
      </c>
      <c r="D372" s="2" t="s">
        <v>159</v>
      </c>
      <c r="E372" s="3">
        <v>45771.414398148147</v>
      </c>
      <c r="F372" s="3">
        <v>45771.414398148147</v>
      </c>
      <c r="G372" s="4">
        <v>45807</v>
      </c>
      <c r="H372" s="2" t="s">
        <v>40</v>
      </c>
      <c r="I372" s="2" t="s">
        <v>51</v>
      </c>
      <c r="J372" s="2">
        <v>0.71976247782558811</v>
      </c>
      <c r="K372" s="2">
        <v>1750.5775013536081</v>
      </c>
      <c r="L372" s="2">
        <v>0</v>
      </c>
      <c r="M372" s="2">
        <v>1260</v>
      </c>
      <c r="N372" s="2">
        <v>1260</v>
      </c>
      <c r="O372" s="2"/>
      <c r="P372" s="2">
        <v>1260</v>
      </c>
      <c r="Q372" s="2" t="s">
        <v>44</v>
      </c>
      <c r="R372" s="2"/>
      <c r="S372" t="str">
        <f>VLOOKUP(B372,CASOPOInvCL!$B$1:$D$1600,1,FALSE)</f>
        <v>SO17024</v>
      </c>
      <c r="T372">
        <f t="shared" si="5"/>
        <v>4</v>
      </c>
    </row>
    <row r="373" spans="1:20" ht="30" x14ac:dyDescent="0.25">
      <c r="A373" s="2">
        <v>1</v>
      </c>
      <c r="B373" s="2" t="s">
        <v>1550</v>
      </c>
      <c r="C373" s="2" t="s">
        <v>1551</v>
      </c>
      <c r="D373" s="2" t="s">
        <v>159</v>
      </c>
      <c r="E373" s="3">
        <v>45771.48233796296</v>
      </c>
      <c r="F373" s="3">
        <v>45771.484618055547</v>
      </c>
      <c r="G373" s="4">
        <v>45771</v>
      </c>
      <c r="H373" s="2" t="s">
        <v>40</v>
      </c>
      <c r="I373" s="2" t="s">
        <v>51</v>
      </c>
      <c r="J373" s="2">
        <v>0.71976247782558811</v>
      </c>
      <c r="K373" s="2">
        <v>10352.63747356058</v>
      </c>
      <c r="L373" s="2">
        <v>0</v>
      </c>
      <c r="M373" s="2">
        <v>7451.44</v>
      </c>
      <c r="N373" s="2">
        <v>7451.44</v>
      </c>
      <c r="O373" s="2"/>
      <c r="P373" s="2">
        <v>7451.44</v>
      </c>
      <c r="Q373" s="2" t="s">
        <v>44</v>
      </c>
      <c r="R373" s="2"/>
      <c r="S373" t="str">
        <f>VLOOKUP(B373,CASOPOInvCL!$B$1:$D$1600,1,FALSE)</f>
        <v>SO17025</v>
      </c>
      <c r="T373">
        <f t="shared" si="5"/>
        <v>4</v>
      </c>
    </row>
    <row r="374" spans="1:20" x14ac:dyDescent="0.25">
      <c r="A374" s="2">
        <v>1</v>
      </c>
      <c r="B374" s="2" t="s">
        <v>1546</v>
      </c>
      <c r="C374" s="2" t="s">
        <v>1547</v>
      </c>
      <c r="D374" s="2" t="s">
        <v>229</v>
      </c>
      <c r="E374" s="3">
        <v>45771.531273148154</v>
      </c>
      <c r="F374" s="3">
        <v>45771.606469907398</v>
      </c>
      <c r="G374" s="4">
        <v>45772</v>
      </c>
      <c r="H374" s="2" t="s">
        <v>21</v>
      </c>
      <c r="I374" s="2" t="s">
        <v>22</v>
      </c>
      <c r="J374" s="2">
        <v>1</v>
      </c>
      <c r="K374" s="2">
        <v>312.77</v>
      </c>
      <c r="L374" s="2">
        <v>0</v>
      </c>
      <c r="M374" s="2">
        <v>225.16069506921511</v>
      </c>
      <c r="N374" s="2">
        <v>297.88</v>
      </c>
      <c r="O374" s="2">
        <v>14.89</v>
      </c>
      <c r="P374" s="2">
        <v>312.77</v>
      </c>
      <c r="Q374" s="2" t="s">
        <v>44</v>
      </c>
      <c r="R374" s="2"/>
      <c r="S374" t="str">
        <f>VLOOKUP(B374,CASOPOInvCL!$B$1:$D$1600,1,FALSE)</f>
        <v>SO17026</v>
      </c>
      <c r="T374">
        <f t="shared" si="5"/>
        <v>4</v>
      </c>
    </row>
    <row r="375" spans="1:20" ht="30" x14ac:dyDescent="0.25">
      <c r="A375" s="2">
        <v>1</v>
      </c>
      <c r="B375" s="2" t="s">
        <v>1548</v>
      </c>
      <c r="C375" s="2" t="s">
        <v>1549</v>
      </c>
      <c r="D375" s="2" t="s">
        <v>159</v>
      </c>
      <c r="E375" s="3">
        <v>45771.557719907411</v>
      </c>
      <c r="F375" s="3">
        <v>45771.559537037043</v>
      </c>
      <c r="G375" s="4">
        <v>45771</v>
      </c>
      <c r="H375" s="2" t="s">
        <v>40</v>
      </c>
      <c r="I375" s="2" t="s">
        <v>51</v>
      </c>
      <c r="J375" s="2">
        <v>0.71976247782558811</v>
      </c>
      <c r="K375" s="2">
        <v>8414.5814578953414</v>
      </c>
      <c r="L375" s="2">
        <v>0</v>
      </c>
      <c r="M375" s="2">
        <v>6056.5</v>
      </c>
      <c r="N375" s="2">
        <v>6056.5</v>
      </c>
      <c r="O375" s="2"/>
      <c r="P375" s="2">
        <v>6056.5</v>
      </c>
      <c r="Q375" s="2" t="s">
        <v>44</v>
      </c>
      <c r="R375" s="2"/>
      <c r="S375" t="str">
        <f>VLOOKUP(B375,CASOPOInvCL!$B$1:$D$1600,1,FALSE)</f>
        <v>SO17027</v>
      </c>
      <c r="T375">
        <f t="shared" si="5"/>
        <v>4</v>
      </c>
    </row>
    <row r="376" spans="1:20" x14ac:dyDescent="0.25">
      <c r="A376" s="2">
        <v>1</v>
      </c>
      <c r="B376" s="2" t="s">
        <v>1544</v>
      </c>
      <c r="C376" s="2" t="s">
        <v>1545</v>
      </c>
      <c r="D376" s="2" t="s">
        <v>54</v>
      </c>
      <c r="E376" s="3">
        <v>45771.59275462963</v>
      </c>
      <c r="F376" s="3">
        <v>45771.637384259258</v>
      </c>
      <c r="G376" s="4">
        <v>45772</v>
      </c>
      <c r="H376" s="2" t="s">
        <v>21</v>
      </c>
      <c r="I376" s="2" t="s">
        <v>22</v>
      </c>
      <c r="J376" s="2">
        <v>1</v>
      </c>
      <c r="K376" s="2">
        <v>3697.36</v>
      </c>
      <c r="L376" s="2">
        <v>0</v>
      </c>
      <c r="M376" s="2">
        <v>2661.7007626086688</v>
      </c>
      <c r="N376" s="2">
        <v>3521.29</v>
      </c>
      <c r="O376" s="2">
        <v>176.07</v>
      </c>
      <c r="P376" s="2">
        <v>3697.36</v>
      </c>
      <c r="Q376" s="2" t="s">
        <v>44</v>
      </c>
      <c r="R376" s="2"/>
      <c r="S376" t="str">
        <f>VLOOKUP(B376,CASOPOInvCL!$B$1:$D$1600,1,FALSE)</f>
        <v>SO17028</v>
      </c>
      <c r="T376">
        <f t="shared" si="5"/>
        <v>4</v>
      </c>
    </row>
    <row r="377" spans="1:20" x14ac:dyDescent="0.25">
      <c r="A377" s="2">
        <v>1</v>
      </c>
      <c r="B377" s="2" t="s">
        <v>1528</v>
      </c>
      <c r="C377" s="2" t="s">
        <v>1529</v>
      </c>
      <c r="D377" s="2" t="s">
        <v>192</v>
      </c>
      <c r="E377" s="3">
        <v>45772.436273148152</v>
      </c>
      <c r="F377" s="3">
        <v>45772.589108796303</v>
      </c>
      <c r="G377" s="4">
        <v>45775</v>
      </c>
      <c r="H377" s="2" t="s">
        <v>21</v>
      </c>
      <c r="I377" s="2" t="s">
        <v>51</v>
      </c>
      <c r="J377" s="2">
        <v>0.71989223732843666</v>
      </c>
      <c r="K377" s="2">
        <v>8471.5457172204988</v>
      </c>
      <c r="L377" s="2">
        <v>0</v>
      </c>
      <c r="M377" s="2">
        <v>6098.6</v>
      </c>
      <c r="N377" s="2">
        <v>6098.6</v>
      </c>
      <c r="O377" s="2"/>
      <c r="P377" s="2">
        <v>6098.6</v>
      </c>
      <c r="Q377" s="2" t="s">
        <v>44</v>
      </c>
      <c r="R377" s="2"/>
      <c r="S377" t="str">
        <f>VLOOKUP(B377,CASOPOInvCL!$B$1:$D$1600,1,FALSE)</f>
        <v>SO17029</v>
      </c>
      <c r="T377">
        <f t="shared" si="5"/>
        <v>4</v>
      </c>
    </row>
    <row r="378" spans="1:20" x14ac:dyDescent="0.25">
      <c r="A378" s="2">
        <v>1</v>
      </c>
      <c r="B378" s="2" t="s">
        <v>1534</v>
      </c>
      <c r="C378" s="2" t="s">
        <v>1535</v>
      </c>
      <c r="D378" s="2" t="s">
        <v>141</v>
      </c>
      <c r="E378" s="3">
        <v>45772.469907407409</v>
      </c>
      <c r="F378" s="3">
        <v>45772.482407407413</v>
      </c>
      <c r="G378" s="4">
        <v>45775</v>
      </c>
      <c r="H378" s="2" t="s">
        <v>21</v>
      </c>
      <c r="I378" s="2" t="s">
        <v>51</v>
      </c>
      <c r="J378" s="2">
        <v>0.71989223732843666</v>
      </c>
      <c r="K378" s="2">
        <v>472.08454596093958</v>
      </c>
      <c r="L378" s="2">
        <v>0</v>
      </c>
      <c r="M378" s="2">
        <v>339.85</v>
      </c>
      <c r="N378" s="2">
        <v>339.85</v>
      </c>
      <c r="O378" s="2"/>
      <c r="P378" s="2">
        <v>339.85</v>
      </c>
      <c r="Q378" s="2" t="s">
        <v>44</v>
      </c>
      <c r="R378" s="2"/>
      <c r="S378" t="str">
        <f>VLOOKUP(B378,CASOPOInvCL!$B$1:$D$1600,1,FALSE)</f>
        <v>SO17030</v>
      </c>
      <c r="T378">
        <f t="shared" si="5"/>
        <v>4</v>
      </c>
    </row>
    <row r="379" spans="1:20" x14ac:dyDescent="0.25">
      <c r="A379" s="2">
        <v>1</v>
      </c>
      <c r="B379" s="2" t="s">
        <v>1491</v>
      </c>
      <c r="C379" s="2" t="s">
        <v>1492</v>
      </c>
      <c r="D379" s="2" t="s">
        <v>77</v>
      </c>
      <c r="E379" s="3">
        <v>45772.500324074077</v>
      </c>
      <c r="F379" s="3">
        <v>45782.269409722219</v>
      </c>
      <c r="G379" s="4">
        <v>45783</v>
      </c>
      <c r="H379" s="2" t="s">
        <v>21</v>
      </c>
      <c r="I379" s="2" t="s">
        <v>22</v>
      </c>
      <c r="J379" s="2">
        <v>1</v>
      </c>
      <c r="K379" s="2">
        <v>464.61</v>
      </c>
      <c r="L379" s="2">
        <v>464.61</v>
      </c>
      <c r="M379" s="2">
        <v>464.61</v>
      </c>
      <c r="N379" s="2">
        <v>442.49</v>
      </c>
      <c r="O379" s="2">
        <v>22.12</v>
      </c>
      <c r="P379" s="2">
        <v>464.61</v>
      </c>
      <c r="Q379" s="2" t="s">
        <v>44</v>
      </c>
      <c r="R379" s="2"/>
      <c r="S379" t="str">
        <f>VLOOKUP(B379,CASOPOInvCL!$B$1:$D$1600,1,FALSE)</f>
        <v>SO17031</v>
      </c>
      <c r="T379">
        <f t="shared" si="5"/>
        <v>4</v>
      </c>
    </row>
    <row r="380" spans="1:20" x14ac:dyDescent="0.25">
      <c r="A380" s="2">
        <v>1</v>
      </c>
      <c r="B380" s="2" t="s">
        <v>1487</v>
      </c>
      <c r="C380" s="2" t="s">
        <v>1488</v>
      </c>
      <c r="D380" s="2" t="s">
        <v>509</v>
      </c>
      <c r="E380" s="3">
        <v>45772.573692129627</v>
      </c>
      <c r="F380" s="3">
        <v>45782.484652777777</v>
      </c>
      <c r="G380" s="4">
        <v>45783</v>
      </c>
      <c r="H380" s="2" t="s">
        <v>21</v>
      </c>
      <c r="I380" s="2" t="s">
        <v>22</v>
      </c>
      <c r="J380" s="2">
        <v>1</v>
      </c>
      <c r="K380" s="2">
        <v>2189.1799999999998</v>
      </c>
      <c r="L380" s="2">
        <v>2189.1799999999998</v>
      </c>
      <c r="M380" s="2">
        <v>2189.1799999999998</v>
      </c>
      <c r="N380" s="2">
        <v>2084.9299999999998</v>
      </c>
      <c r="O380" s="2">
        <v>104.25</v>
      </c>
      <c r="P380" s="2">
        <v>2189.1799999999998</v>
      </c>
      <c r="Q380" s="2" t="s">
        <v>44</v>
      </c>
      <c r="R380" s="2"/>
      <c r="S380" t="str">
        <f>VLOOKUP(B380,CASOPOInvCL!$B$1:$D$1600,1,FALSE)</f>
        <v>SO17033</v>
      </c>
      <c r="T380">
        <f t="shared" si="5"/>
        <v>4</v>
      </c>
    </row>
    <row r="381" spans="1:20" ht="30" x14ac:dyDescent="0.25">
      <c r="A381" s="2">
        <v>1</v>
      </c>
      <c r="B381" s="2" t="s">
        <v>1503</v>
      </c>
      <c r="C381" s="2" t="s">
        <v>1504</v>
      </c>
      <c r="D381" s="2" t="s">
        <v>518</v>
      </c>
      <c r="E381" s="3">
        <v>45772.626759259263</v>
      </c>
      <c r="F381" s="3">
        <v>45778.416168981479</v>
      </c>
      <c r="G381" s="4">
        <v>45779</v>
      </c>
      <c r="H381" s="2" t="s">
        <v>21</v>
      </c>
      <c r="I381" s="2" t="s">
        <v>22</v>
      </c>
      <c r="J381" s="2">
        <v>1</v>
      </c>
      <c r="K381" s="2">
        <v>1047.51</v>
      </c>
      <c r="L381" s="2">
        <v>0</v>
      </c>
      <c r="M381" s="2">
        <v>756.40866230422978</v>
      </c>
      <c r="N381" s="2">
        <v>997.63</v>
      </c>
      <c r="O381" s="2">
        <v>49.88</v>
      </c>
      <c r="P381" s="2">
        <v>1047.51</v>
      </c>
      <c r="Q381" s="2" t="s">
        <v>44</v>
      </c>
      <c r="R381" s="2"/>
      <c r="S381" t="str">
        <f>VLOOKUP(B381,CASOPOInvCL!$B$1:$D$1600,1,FALSE)</f>
        <v>SO17037</v>
      </c>
      <c r="T381">
        <f t="shared" si="5"/>
        <v>4</v>
      </c>
    </row>
    <row r="382" spans="1:20" x14ac:dyDescent="0.25">
      <c r="A382" s="2">
        <v>1</v>
      </c>
      <c r="B382" s="2" t="s">
        <v>1463</v>
      </c>
      <c r="C382" s="2" t="s">
        <v>1464</v>
      </c>
      <c r="D382" s="2" t="s">
        <v>20</v>
      </c>
      <c r="E382" s="3">
        <v>45772.7031712963</v>
      </c>
      <c r="F382" s="3">
        <v>45784.559247685182</v>
      </c>
      <c r="G382" s="4">
        <v>45861</v>
      </c>
      <c r="H382" s="2" t="s">
        <v>21</v>
      </c>
      <c r="I382" s="2" t="s">
        <v>22</v>
      </c>
      <c r="J382" s="2">
        <v>1</v>
      </c>
      <c r="K382" s="2">
        <v>1931.54</v>
      </c>
      <c r="L382" s="2">
        <v>0</v>
      </c>
      <c r="M382" s="2">
        <v>1402.2830398400199</v>
      </c>
      <c r="N382" s="2">
        <v>1839.56</v>
      </c>
      <c r="O382" s="2">
        <v>91.98</v>
      </c>
      <c r="P382" s="2">
        <v>1931.54</v>
      </c>
      <c r="Q382" s="2" t="s">
        <v>44</v>
      </c>
      <c r="R382" s="2"/>
      <c r="S382" t="str">
        <f>VLOOKUP(B382,CASOPOInvCL!$B$1:$D$1600,1,FALSE)</f>
        <v>SO17044</v>
      </c>
      <c r="T382">
        <f t="shared" si="5"/>
        <v>4</v>
      </c>
    </row>
    <row r="383" spans="1:20" ht="30" x14ac:dyDescent="0.25">
      <c r="A383" s="2">
        <v>1</v>
      </c>
      <c r="B383" s="2" t="s">
        <v>1526</v>
      </c>
      <c r="C383" s="2" t="s">
        <v>1527</v>
      </c>
      <c r="D383" s="2" t="s">
        <v>502</v>
      </c>
      <c r="E383" s="3">
        <v>45775.369039351863</v>
      </c>
      <c r="F383" s="3">
        <v>45775.405578703707</v>
      </c>
      <c r="G383" s="4">
        <v>45776</v>
      </c>
      <c r="H383" s="2" t="s">
        <v>21</v>
      </c>
      <c r="I383" s="2" t="s">
        <v>22</v>
      </c>
      <c r="J383" s="2">
        <v>1</v>
      </c>
      <c r="K383" s="2">
        <v>159.74</v>
      </c>
      <c r="L383" s="2">
        <v>0</v>
      </c>
      <c r="M383" s="2">
        <v>115.25563838707551</v>
      </c>
      <c r="N383" s="2">
        <v>152.13</v>
      </c>
      <c r="O383" s="2">
        <v>7.61</v>
      </c>
      <c r="P383" s="2">
        <v>159.74</v>
      </c>
      <c r="Q383" s="2" t="s">
        <v>44</v>
      </c>
      <c r="R383" s="2"/>
      <c r="S383" t="str">
        <f>VLOOKUP(B383,CASOPOInvCL!$B$1:$D$1600,1,FALSE)</f>
        <v>SO17046</v>
      </c>
      <c r="T383">
        <f t="shared" si="5"/>
        <v>4</v>
      </c>
    </row>
    <row r="384" spans="1:20" x14ac:dyDescent="0.25">
      <c r="A384" s="2">
        <v>1</v>
      </c>
      <c r="B384" s="2" t="s">
        <v>1512</v>
      </c>
      <c r="C384" s="2" t="s">
        <v>1513</v>
      </c>
      <c r="D384" s="2" t="s">
        <v>192</v>
      </c>
      <c r="E384" s="3">
        <v>45775.492430555547</v>
      </c>
      <c r="F384" s="3">
        <v>45776.464259259257</v>
      </c>
      <c r="G384" s="4">
        <v>45777</v>
      </c>
      <c r="H384" s="2" t="s">
        <v>21</v>
      </c>
      <c r="I384" s="2" t="s">
        <v>51</v>
      </c>
      <c r="J384" s="2">
        <v>0.72124093927420463</v>
      </c>
      <c r="K384" s="2">
        <v>2608.1714134156041</v>
      </c>
      <c r="L384" s="2">
        <v>0</v>
      </c>
      <c r="M384" s="2">
        <v>1881.12</v>
      </c>
      <c r="N384" s="2">
        <v>1881.12</v>
      </c>
      <c r="O384" s="2"/>
      <c r="P384" s="2">
        <v>1881.12</v>
      </c>
      <c r="Q384" s="2" t="s">
        <v>44</v>
      </c>
      <c r="R384" s="2"/>
      <c r="S384" t="str">
        <f>VLOOKUP(B384,CASOPOInvCL!$B$1:$D$1600,1,FALSE)</f>
        <v>SO17047</v>
      </c>
      <c r="T384">
        <f t="shared" si="5"/>
        <v>4</v>
      </c>
    </row>
    <row r="385" spans="1:20" x14ac:dyDescent="0.25">
      <c r="A385" s="2">
        <v>1</v>
      </c>
      <c r="B385" s="2" t="s">
        <v>1524</v>
      </c>
      <c r="C385" s="2" t="s">
        <v>1525</v>
      </c>
      <c r="D385" s="2" t="s">
        <v>64</v>
      </c>
      <c r="E385" s="3">
        <v>45775.506435185183</v>
      </c>
      <c r="F385" s="3">
        <v>45775.511979166673</v>
      </c>
      <c r="G385" s="4">
        <v>45776</v>
      </c>
      <c r="H385" s="2" t="s">
        <v>21</v>
      </c>
      <c r="I385" s="2" t="s">
        <v>22</v>
      </c>
      <c r="J385" s="2">
        <v>1</v>
      </c>
      <c r="K385" s="2">
        <v>1214.23</v>
      </c>
      <c r="L385" s="2">
        <v>0</v>
      </c>
      <c r="M385" s="2">
        <v>876.09148490508733</v>
      </c>
      <c r="N385" s="2">
        <v>1074.54</v>
      </c>
      <c r="O385" s="2">
        <v>139.69</v>
      </c>
      <c r="P385" s="2">
        <v>1214.23</v>
      </c>
      <c r="Q385" s="2" t="s">
        <v>44</v>
      </c>
      <c r="R385" s="2"/>
      <c r="S385" t="str">
        <f>VLOOKUP(B385,CASOPOInvCL!$B$1:$D$1600,1,FALSE)</f>
        <v>SO17048</v>
      </c>
      <c r="T385">
        <f t="shared" si="5"/>
        <v>4</v>
      </c>
    </row>
    <row r="386" spans="1:20" ht="30" x14ac:dyDescent="0.25">
      <c r="A386" s="2">
        <v>1</v>
      </c>
      <c r="B386" s="2" t="s">
        <v>1505</v>
      </c>
      <c r="C386" s="2" t="s">
        <v>1506</v>
      </c>
      <c r="D386" s="2" t="s">
        <v>981</v>
      </c>
      <c r="E386" s="3">
        <v>45775.522546296299</v>
      </c>
      <c r="F386" s="3">
        <v>45776.622349537043</v>
      </c>
      <c r="G386" s="4">
        <v>45777</v>
      </c>
      <c r="H386" s="2" t="s">
        <v>21</v>
      </c>
      <c r="I386" s="2" t="s">
        <v>22</v>
      </c>
      <c r="J386" s="2">
        <v>1</v>
      </c>
      <c r="K386" s="2">
        <v>102.33</v>
      </c>
      <c r="L386" s="2">
        <v>102.33</v>
      </c>
      <c r="M386" s="2">
        <v>102.33</v>
      </c>
      <c r="N386" s="2">
        <v>90.56</v>
      </c>
      <c r="O386" s="2">
        <v>11.77</v>
      </c>
      <c r="P386" s="2">
        <v>102.33</v>
      </c>
      <c r="Q386" s="2" t="s">
        <v>44</v>
      </c>
      <c r="R386" s="2"/>
      <c r="S386" t="str">
        <f>VLOOKUP(B386,CASOPOInvCL!$B$1:$D$1600,1,FALSE)</f>
        <v>SO17049</v>
      </c>
      <c r="T386">
        <f t="shared" si="5"/>
        <v>4</v>
      </c>
    </row>
    <row r="387" spans="1:20" ht="60" x14ac:dyDescent="0.25">
      <c r="A387" s="2">
        <v>1</v>
      </c>
      <c r="B387" s="2" t="s">
        <v>1295</v>
      </c>
      <c r="C387" s="2" t="s">
        <v>1296</v>
      </c>
      <c r="D387" s="2" t="s">
        <v>369</v>
      </c>
      <c r="E387" s="3">
        <v>45775.551863425928</v>
      </c>
      <c r="F387" s="3">
        <v>45810.54078703704</v>
      </c>
      <c r="G387" s="4">
        <v>45845</v>
      </c>
      <c r="H387" s="2" t="s">
        <v>21</v>
      </c>
      <c r="I387" s="2" t="s">
        <v>51</v>
      </c>
      <c r="J387" s="2">
        <v>0.72782949041434608</v>
      </c>
      <c r="K387" s="2">
        <v>28589.292236776691</v>
      </c>
      <c r="L387" s="2">
        <v>0</v>
      </c>
      <c r="M387" s="2">
        <v>20808.13</v>
      </c>
      <c r="N387" s="2">
        <v>20808.13</v>
      </c>
      <c r="O387" s="2"/>
      <c r="P387" s="2">
        <v>20808.13</v>
      </c>
      <c r="Q387" s="2" t="s">
        <v>44</v>
      </c>
      <c r="R387" s="2"/>
      <c r="S387" t="str">
        <f>VLOOKUP(B387,CASOPOInvCL!$B$1:$D$1600,1,FALSE)</f>
        <v>SO17051</v>
      </c>
      <c r="T387">
        <f t="shared" ref="T387:T450" si="6">MONTH(E387)</f>
        <v>4</v>
      </c>
    </row>
    <row r="388" spans="1:20" x14ac:dyDescent="0.25">
      <c r="A388" s="2">
        <v>1</v>
      </c>
      <c r="B388" s="2" t="s">
        <v>1520</v>
      </c>
      <c r="C388" s="2" t="s">
        <v>1521</v>
      </c>
      <c r="D388" s="2" t="s">
        <v>556</v>
      </c>
      <c r="E388" s="3">
        <v>45775.644548611112</v>
      </c>
      <c r="F388" s="3">
        <v>45775.644548611112</v>
      </c>
      <c r="G388" s="4">
        <v>45776</v>
      </c>
      <c r="H388" s="2" t="s">
        <v>21</v>
      </c>
      <c r="I388" s="2" t="s">
        <v>22</v>
      </c>
      <c r="J388" s="2">
        <v>1</v>
      </c>
      <c r="K388" s="2">
        <v>259.76</v>
      </c>
      <c r="L388" s="2">
        <v>0</v>
      </c>
      <c r="M388" s="2">
        <v>187.42208981737019</v>
      </c>
      <c r="N388" s="2">
        <v>229.88</v>
      </c>
      <c r="O388" s="2">
        <v>29.88</v>
      </c>
      <c r="P388" s="2">
        <v>259.76</v>
      </c>
      <c r="Q388" s="2" t="s">
        <v>44</v>
      </c>
      <c r="R388" s="2"/>
      <c r="S388" t="str">
        <f>VLOOKUP(B388,CASOPOInvCL!$B$1:$D$1600,1,FALSE)</f>
        <v>SO17053</v>
      </c>
      <c r="T388">
        <f t="shared" si="6"/>
        <v>4</v>
      </c>
    </row>
    <row r="389" spans="1:20" x14ac:dyDescent="0.25">
      <c r="A389" s="2">
        <v>1</v>
      </c>
      <c r="B389" s="2" t="s">
        <v>1518</v>
      </c>
      <c r="C389" s="2" t="s">
        <v>1519</v>
      </c>
      <c r="D389" s="2" t="s">
        <v>556</v>
      </c>
      <c r="E389" s="3">
        <v>45775.646168981482</v>
      </c>
      <c r="F389" s="3">
        <v>45775.647465277783</v>
      </c>
      <c r="G389" s="4">
        <v>45776</v>
      </c>
      <c r="H389" s="2" t="s">
        <v>21</v>
      </c>
      <c r="I389" s="2" t="s">
        <v>22</v>
      </c>
      <c r="J389" s="2">
        <v>1</v>
      </c>
      <c r="K389" s="2">
        <v>480.49</v>
      </c>
      <c r="L389" s="2">
        <v>0</v>
      </c>
      <c r="M389" s="2">
        <v>346.68324582825772</v>
      </c>
      <c r="N389" s="2">
        <v>425.21</v>
      </c>
      <c r="O389" s="2">
        <v>55.28</v>
      </c>
      <c r="P389" s="2">
        <v>480.49</v>
      </c>
      <c r="Q389" s="2" t="s">
        <v>44</v>
      </c>
      <c r="R389" s="2"/>
      <c r="S389" t="str">
        <f>VLOOKUP(B389,CASOPOInvCL!$B$1:$D$1600,1,FALSE)</f>
        <v>SO17054</v>
      </c>
      <c r="T389">
        <f t="shared" si="6"/>
        <v>4</v>
      </c>
    </row>
    <row r="390" spans="1:20" x14ac:dyDescent="0.25">
      <c r="A390" s="2">
        <v>1</v>
      </c>
      <c r="B390" s="2" t="s">
        <v>1514</v>
      </c>
      <c r="C390" s="2" t="s">
        <v>1515</v>
      </c>
      <c r="D390" s="2" t="s">
        <v>61</v>
      </c>
      <c r="E390" s="3">
        <v>45775.650891203702</v>
      </c>
      <c r="F390" s="3">
        <v>45776.458715277768</v>
      </c>
      <c r="G390" s="4">
        <v>45777</v>
      </c>
      <c r="H390" s="2" t="s">
        <v>21</v>
      </c>
      <c r="I390" s="2" t="s">
        <v>51</v>
      </c>
      <c r="J390" s="2">
        <v>0.72124093927420463</v>
      </c>
      <c r="K390" s="2">
        <v>3538.3182803905929</v>
      </c>
      <c r="L390" s="2">
        <v>0</v>
      </c>
      <c r="M390" s="2">
        <v>2551.98</v>
      </c>
      <c r="N390" s="2">
        <v>2551.98</v>
      </c>
      <c r="O390" s="2"/>
      <c r="P390" s="2">
        <v>2551.98</v>
      </c>
      <c r="Q390" s="2" t="s">
        <v>44</v>
      </c>
      <c r="R390" s="2"/>
      <c r="S390" t="str">
        <f>VLOOKUP(B390,CASOPOInvCL!$B$1:$D$1600,1,FALSE)</f>
        <v>SO17055</v>
      </c>
      <c r="T390">
        <f t="shared" si="6"/>
        <v>4</v>
      </c>
    </row>
    <row r="391" spans="1:20" x14ac:dyDescent="0.25">
      <c r="A391" s="2">
        <v>2</v>
      </c>
      <c r="B391" s="2" t="s">
        <v>1516</v>
      </c>
      <c r="C391" s="2" t="s">
        <v>1517</v>
      </c>
      <c r="D391" s="2" t="s">
        <v>129</v>
      </c>
      <c r="E391" s="3">
        <v>45775.711053240739</v>
      </c>
      <c r="F391" s="3">
        <v>45775.7112037037</v>
      </c>
      <c r="G391" s="4">
        <v>45838</v>
      </c>
      <c r="H391" s="2" t="s">
        <v>130</v>
      </c>
      <c r="I391" s="2" t="s">
        <v>51</v>
      </c>
      <c r="J391" s="2">
        <v>0.72125060891744774</v>
      </c>
      <c r="K391" s="2">
        <v>42958.715898354742</v>
      </c>
      <c r="L391" s="2">
        <v>0</v>
      </c>
      <c r="M391" s="2">
        <v>30984</v>
      </c>
      <c r="N391" s="2">
        <v>30984</v>
      </c>
      <c r="O391" s="2"/>
      <c r="P391" s="2">
        <v>30984</v>
      </c>
      <c r="Q391" s="2" t="s">
        <v>44</v>
      </c>
      <c r="R391" s="2"/>
      <c r="S391" t="str">
        <f>VLOOKUP(B391,CASOPOInvCL!$B$1:$D$1600,1,FALSE)</f>
        <v>SO17059</v>
      </c>
      <c r="T391">
        <f t="shared" si="6"/>
        <v>4</v>
      </c>
    </row>
    <row r="392" spans="1:20" x14ac:dyDescent="0.25">
      <c r="A392" s="2">
        <v>2</v>
      </c>
      <c r="B392" s="2" t="s">
        <v>1489</v>
      </c>
      <c r="C392" s="2" t="s">
        <v>1490</v>
      </c>
      <c r="D392" s="2" t="s">
        <v>98</v>
      </c>
      <c r="E392" s="3">
        <v>45776.420173611114</v>
      </c>
      <c r="F392" s="3">
        <v>45782.390868055547</v>
      </c>
      <c r="G392" s="4">
        <v>45803</v>
      </c>
      <c r="H392" s="2" t="s">
        <v>1132</v>
      </c>
      <c r="I392" s="2" t="s">
        <v>22</v>
      </c>
      <c r="J392" s="2">
        <v>1</v>
      </c>
      <c r="K392" s="2">
        <v>19102.41</v>
      </c>
      <c r="L392" s="2">
        <v>19102.41</v>
      </c>
      <c r="M392" s="2">
        <v>19102.41</v>
      </c>
      <c r="N392" s="2">
        <v>16904.79</v>
      </c>
      <c r="O392" s="2">
        <v>2197.62</v>
      </c>
      <c r="P392" s="2">
        <v>19102.41</v>
      </c>
      <c r="Q392" s="2" t="s">
        <v>44</v>
      </c>
      <c r="R392" s="2"/>
      <c r="S392" t="str">
        <f>VLOOKUP(B392,CASOPOInvCL!$B$1:$D$1600,1,FALSE)</f>
        <v>SO17060</v>
      </c>
      <c r="T392">
        <f t="shared" si="6"/>
        <v>4</v>
      </c>
    </row>
    <row r="393" spans="1:20" x14ac:dyDescent="0.25">
      <c r="A393" s="2">
        <v>1</v>
      </c>
      <c r="B393" s="2" t="s">
        <v>1509</v>
      </c>
      <c r="C393" s="2" t="s">
        <v>1510</v>
      </c>
      <c r="D393" s="2" t="s">
        <v>1511</v>
      </c>
      <c r="E393" s="3">
        <v>45776.436076388891</v>
      </c>
      <c r="F393" s="3">
        <v>45776.574467592603</v>
      </c>
      <c r="G393" s="4">
        <v>45783</v>
      </c>
      <c r="H393" s="2" t="s">
        <v>21</v>
      </c>
      <c r="I393" s="2" t="s">
        <v>51</v>
      </c>
      <c r="J393" s="2">
        <v>0.72124093927420463</v>
      </c>
      <c r="K393" s="2">
        <v>185.1531058877263</v>
      </c>
      <c r="L393" s="2">
        <v>0</v>
      </c>
      <c r="M393" s="2">
        <v>133.54</v>
      </c>
      <c r="N393" s="2">
        <v>133.54</v>
      </c>
      <c r="O393" s="2"/>
      <c r="P393" s="2">
        <v>133.54</v>
      </c>
      <c r="Q393" s="2" t="s">
        <v>44</v>
      </c>
      <c r="R393" s="2"/>
      <c r="S393" t="str">
        <f>VLOOKUP(B393,CASOPOInvCL!$B$1:$D$1600,1,FALSE)</f>
        <v>SO17061</v>
      </c>
      <c r="T393">
        <f t="shared" si="6"/>
        <v>4</v>
      </c>
    </row>
    <row r="394" spans="1:20" ht="30" x14ac:dyDescent="0.25">
      <c r="A394" s="2">
        <v>1</v>
      </c>
      <c r="B394" s="2" t="s">
        <v>1507</v>
      </c>
      <c r="C394" s="2" t="s">
        <v>1508</v>
      </c>
      <c r="D394" s="2" t="s">
        <v>159</v>
      </c>
      <c r="E394" s="3">
        <v>45776.456273148149</v>
      </c>
      <c r="F394" s="3">
        <v>45776.595486111109</v>
      </c>
      <c r="G394" s="4">
        <v>45909</v>
      </c>
      <c r="H394" s="2" t="s">
        <v>40</v>
      </c>
      <c r="I394" s="2" t="s">
        <v>51</v>
      </c>
      <c r="J394" s="2">
        <v>0.72124093927420463</v>
      </c>
      <c r="K394" s="2">
        <v>20638.65095481052</v>
      </c>
      <c r="L394" s="2">
        <v>0</v>
      </c>
      <c r="M394" s="2">
        <v>14885.44</v>
      </c>
      <c r="N394" s="2">
        <v>14885.44</v>
      </c>
      <c r="O394" s="2"/>
      <c r="P394" s="2">
        <v>14885.44</v>
      </c>
      <c r="Q394" s="2" t="s">
        <v>44</v>
      </c>
      <c r="R394" s="2"/>
      <c r="S394" t="str">
        <f>VLOOKUP(B394,CASOPOInvCL!$B$1:$D$1600,1,FALSE)</f>
        <v>SO17062</v>
      </c>
      <c r="T394">
        <f t="shared" si="6"/>
        <v>4</v>
      </c>
    </row>
    <row r="395" spans="1:20" x14ac:dyDescent="0.25">
      <c r="A395" s="2">
        <v>1</v>
      </c>
      <c r="B395" s="2" t="s">
        <v>888</v>
      </c>
      <c r="C395" s="2" t="s">
        <v>889</v>
      </c>
      <c r="D395" s="2" t="s">
        <v>54</v>
      </c>
      <c r="E395" s="3">
        <v>45776.542268518519</v>
      </c>
      <c r="F395" s="3">
        <v>45875.693564814806</v>
      </c>
      <c r="G395" s="4">
        <v>45896</v>
      </c>
      <c r="H395" s="2" t="s">
        <v>21</v>
      </c>
      <c r="I395" s="2" t="s">
        <v>22</v>
      </c>
      <c r="J395" s="2">
        <v>1</v>
      </c>
      <c r="K395" s="2">
        <v>1821.57</v>
      </c>
      <c r="L395" s="2">
        <v>0</v>
      </c>
      <c r="M395" s="2">
        <v>1325.6068472676029</v>
      </c>
      <c r="N395" s="2">
        <v>1734.82</v>
      </c>
      <c r="O395" s="2">
        <v>86.75</v>
      </c>
      <c r="P395" s="2">
        <v>1821.57</v>
      </c>
      <c r="Q395" s="2" t="s">
        <v>44</v>
      </c>
      <c r="R395" s="2"/>
      <c r="S395" t="str">
        <f>VLOOKUP(B395,CASOPOInvCL!$B$1:$D$1600,1,FALSE)</f>
        <v>SO17063</v>
      </c>
      <c r="T395">
        <f t="shared" si="6"/>
        <v>4</v>
      </c>
    </row>
    <row r="396" spans="1:20" x14ac:dyDescent="0.25">
      <c r="A396" s="2">
        <v>1</v>
      </c>
      <c r="B396" s="2" t="s">
        <v>1483</v>
      </c>
      <c r="C396" s="2" t="s">
        <v>1484</v>
      </c>
      <c r="D396" s="2" t="s">
        <v>171</v>
      </c>
      <c r="E396" s="3">
        <v>45777.479456018518</v>
      </c>
      <c r="F396" s="3">
        <v>45782.5547337963</v>
      </c>
      <c r="G396" s="4">
        <v>45783</v>
      </c>
      <c r="H396" s="2" t="s">
        <v>21</v>
      </c>
      <c r="I396" s="2" t="s">
        <v>22</v>
      </c>
      <c r="J396" s="2">
        <v>1</v>
      </c>
      <c r="K396" s="2">
        <v>143.63999999999999</v>
      </c>
      <c r="L396" s="2">
        <v>143.63999999999999</v>
      </c>
      <c r="M396" s="2">
        <v>143.63999999999999</v>
      </c>
      <c r="N396" s="2">
        <v>136.80000000000001</v>
      </c>
      <c r="O396" s="2">
        <v>6.84</v>
      </c>
      <c r="P396" s="2">
        <v>143.63999999999999</v>
      </c>
      <c r="Q396" s="2" t="s">
        <v>44</v>
      </c>
      <c r="R396" s="2"/>
      <c r="S396" t="str">
        <f>VLOOKUP(B396,CASOPOInvCL!$B$1:$D$1600,1,FALSE)</f>
        <v>SO17073</v>
      </c>
      <c r="T396">
        <f t="shared" si="6"/>
        <v>4</v>
      </c>
    </row>
    <row r="397" spans="1:20" x14ac:dyDescent="0.25">
      <c r="A397" s="2">
        <v>1</v>
      </c>
      <c r="B397" s="2" t="s">
        <v>1493</v>
      </c>
      <c r="C397" s="2" t="s">
        <v>1494</v>
      </c>
      <c r="D397" s="2" t="s">
        <v>35</v>
      </c>
      <c r="E397" s="3">
        <v>45778.549942129634</v>
      </c>
      <c r="F397" s="3">
        <v>45779.590543981481</v>
      </c>
      <c r="G397" s="4">
        <v>45782</v>
      </c>
      <c r="H397" s="2" t="s">
        <v>1132</v>
      </c>
      <c r="I397" s="2" t="s">
        <v>22</v>
      </c>
      <c r="J397" s="2">
        <v>1</v>
      </c>
      <c r="K397" s="2">
        <v>505.8</v>
      </c>
      <c r="L397" s="2">
        <v>0</v>
      </c>
      <c r="M397" s="2">
        <v>366.71985780098481</v>
      </c>
      <c r="N397" s="2">
        <v>481.71</v>
      </c>
      <c r="O397" s="2">
        <v>24.09</v>
      </c>
      <c r="P397" s="2">
        <v>505.8</v>
      </c>
      <c r="Q397" s="2" t="s">
        <v>44</v>
      </c>
      <c r="R397" s="2"/>
      <c r="S397" t="str">
        <f>VLOOKUP(B397,CASOPOInvCL!$B$1:$D$1600,1,FALSE)</f>
        <v>SO17079</v>
      </c>
      <c r="T397">
        <f t="shared" si="6"/>
        <v>5</v>
      </c>
    </row>
    <row r="398" spans="1:20" x14ac:dyDescent="0.25">
      <c r="A398" s="2">
        <v>1</v>
      </c>
      <c r="B398" s="2" t="s">
        <v>1495</v>
      </c>
      <c r="C398" s="2" t="s">
        <v>1496</v>
      </c>
      <c r="D398" s="2" t="s">
        <v>146</v>
      </c>
      <c r="E398" s="3">
        <v>45778.569872685177</v>
      </c>
      <c r="F398" s="3">
        <v>45779.386793981481</v>
      </c>
      <c r="G398" s="4">
        <v>45782</v>
      </c>
      <c r="H398" s="2" t="s">
        <v>21</v>
      </c>
      <c r="I398" s="2" t="s">
        <v>22</v>
      </c>
      <c r="J398" s="2">
        <v>1</v>
      </c>
      <c r="K398" s="2">
        <v>2002.14</v>
      </c>
      <c r="L398" s="2">
        <v>0</v>
      </c>
      <c r="M398" s="2">
        <v>1451.6103125695211</v>
      </c>
      <c r="N398" s="2">
        <v>1906.8</v>
      </c>
      <c r="O398" s="2">
        <v>95.34</v>
      </c>
      <c r="P398" s="2">
        <v>2002.14</v>
      </c>
      <c r="Q398" s="2" t="s">
        <v>44</v>
      </c>
      <c r="R398" s="2"/>
      <c r="S398" t="str">
        <f>VLOOKUP(B398,CASOPOInvCL!$B$1:$D$1600,1,FALSE)</f>
        <v>SO17080</v>
      </c>
      <c r="T398">
        <f t="shared" si="6"/>
        <v>5</v>
      </c>
    </row>
    <row r="399" spans="1:20" x14ac:dyDescent="0.25">
      <c r="A399" s="2">
        <v>1</v>
      </c>
      <c r="B399" s="2" t="s">
        <v>1461</v>
      </c>
      <c r="C399" s="2" t="s">
        <v>1462</v>
      </c>
      <c r="D399" s="2" t="s">
        <v>146</v>
      </c>
      <c r="E399" s="3">
        <v>45778.583287037043</v>
      </c>
      <c r="F399" s="3">
        <v>45784.675416666672</v>
      </c>
      <c r="G399" s="4">
        <v>45785</v>
      </c>
      <c r="H399" s="2" t="s">
        <v>21</v>
      </c>
      <c r="I399" s="2" t="s">
        <v>22</v>
      </c>
      <c r="J399" s="2">
        <v>1</v>
      </c>
      <c r="K399" s="2">
        <v>5388.29</v>
      </c>
      <c r="L399" s="2">
        <v>0</v>
      </c>
      <c r="M399" s="2">
        <v>3911.8566950410468</v>
      </c>
      <c r="N399" s="2">
        <v>5131.7</v>
      </c>
      <c r="O399" s="2">
        <v>256.58999999999997</v>
      </c>
      <c r="P399" s="2">
        <v>5388.29</v>
      </c>
      <c r="Q399" s="2" t="s">
        <v>44</v>
      </c>
      <c r="R399" s="2"/>
      <c r="S399" t="str">
        <f>VLOOKUP(B399,CASOPOInvCL!$B$1:$D$1600,1,FALSE)</f>
        <v>SO17082</v>
      </c>
      <c r="T399">
        <f t="shared" si="6"/>
        <v>5</v>
      </c>
    </row>
    <row r="400" spans="1:20" x14ac:dyDescent="0.25">
      <c r="A400" s="2">
        <v>2</v>
      </c>
      <c r="B400" s="2" t="s">
        <v>1497</v>
      </c>
      <c r="C400" s="2" t="s">
        <v>1498</v>
      </c>
      <c r="D400" s="2" t="s">
        <v>986</v>
      </c>
      <c r="E400" s="3">
        <v>45779.328541666669</v>
      </c>
      <c r="F400" s="3">
        <v>45779.33053240741</v>
      </c>
      <c r="G400" s="4">
        <v>45828</v>
      </c>
      <c r="H400" s="2" t="s">
        <v>180</v>
      </c>
      <c r="I400" s="2" t="s">
        <v>51</v>
      </c>
      <c r="J400" s="2">
        <v>0.72210161459482947</v>
      </c>
      <c r="K400" s="2">
        <v>10427.16128563814</v>
      </c>
      <c r="L400" s="2">
        <v>0</v>
      </c>
      <c r="M400" s="2">
        <v>7529.47</v>
      </c>
      <c r="N400" s="2">
        <v>7529.47</v>
      </c>
      <c r="O400" s="2"/>
      <c r="P400" s="2">
        <v>7529.47</v>
      </c>
      <c r="Q400" s="2" t="s">
        <v>44</v>
      </c>
      <c r="R400" s="2"/>
      <c r="S400" t="str">
        <f>VLOOKUP(B400,CASOPOInvCL!$B$1:$D$1600,1,FALSE)</f>
        <v>SO17086</v>
      </c>
      <c r="T400">
        <f t="shared" si="6"/>
        <v>5</v>
      </c>
    </row>
    <row r="401" spans="1:20" x14ac:dyDescent="0.25">
      <c r="A401" s="2">
        <v>1</v>
      </c>
      <c r="B401" s="2" t="s">
        <v>1459</v>
      </c>
      <c r="C401" s="2" t="s">
        <v>1460</v>
      </c>
      <c r="D401" s="2" t="s">
        <v>316</v>
      </c>
      <c r="E401" s="3">
        <v>45779.61278935185</v>
      </c>
      <c r="F401" s="3">
        <v>45784.680104166669</v>
      </c>
      <c r="G401" s="4">
        <v>45784</v>
      </c>
      <c r="H401" s="2" t="s">
        <v>1132</v>
      </c>
      <c r="I401" s="2" t="s">
        <v>22</v>
      </c>
      <c r="J401" s="2">
        <v>1</v>
      </c>
      <c r="K401" s="2">
        <v>1459.42</v>
      </c>
      <c r="L401" s="2">
        <v>0</v>
      </c>
      <c r="M401" s="2">
        <v>1059.527586280027</v>
      </c>
      <c r="N401" s="2">
        <v>1389.92</v>
      </c>
      <c r="O401" s="2">
        <v>69.5</v>
      </c>
      <c r="P401" s="2">
        <v>1459.42</v>
      </c>
      <c r="Q401" s="2" t="s">
        <v>44</v>
      </c>
      <c r="R401" s="2"/>
      <c r="S401" t="str">
        <f>VLOOKUP(B401,CASOPOInvCL!$B$1:$D$1600,1,FALSE)</f>
        <v>SO17095</v>
      </c>
      <c r="T401">
        <f t="shared" si="6"/>
        <v>5</v>
      </c>
    </row>
    <row r="402" spans="1:20" ht="30" x14ac:dyDescent="0.25">
      <c r="A402" s="2">
        <v>1</v>
      </c>
      <c r="B402" s="2" t="s">
        <v>1485</v>
      </c>
      <c r="C402" s="2" t="s">
        <v>1486</v>
      </c>
      <c r="D402" s="2" t="s">
        <v>502</v>
      </c>
      <c r="E402" s="3">
        <v>45782.494826388887</v>
      </c>
      <c r="F402" s="3">
        <v>45782.495243055557</v>
      </c>
      <c r="G402" s="4">
        <v>45783</v>
      </c>
      <c r="H402" s="2" t="s">
        <v>21</v>
      </c>
      <c r="I402" s="2" t="s">
        <v>22</v>
      </c>
      <c r="J402" s="2">
        <v>1</v>
      </c>
      <c r="K402" s="2">
        <v>3190.39</v>
      </c>
      <c r="L402" s="2">
        <v>3190.39</v>
      </c>
      <c r="M402" s="2">
        <v>3190.39</v>
      </c>
      <c r="N402" s="2">
        <v>3038.47</v>
      </c>
      <c r="O402" s="2">
        <v>151.91999999999999</v>
      </c>
      <c r="P402" s="2">
        <v>3190.39</v>
      </c>
      <c r="Q402" s="2" t="s">
        <v>44</v>
      </c>
      <c r="R402" s="2"/>
      <c r="S402" t="str">
        <f>VLOOKUP(B402,CASOPOInvCL!$B$1:$D$1600,1,FALSE)</f>
        <v>SO17099</v>
      </c>
      <c r="T402">
        <f t="shared" si="6"/>
        <v>5</v>
      </c>
    </row>
    <row r="403" spans="1:20" x14ac:dyDescent="0.25">
      <c r="A403" s="2">
        <v>1</v>
      </c>
      <c r="B403" s="2" t="s">
        <v>1477</v>
      </c>
      <c r="C403" s="2" t="s">
        <v>1478</v>
      </c>
      <c r="D403" s="2" t="s">
        <v>20</v>
      </c>
      <c r="E403" s="3">
        <v>45782.521249999998</v>
      </c>
      <c r="F403" s="3">
        <v>45782.644004629627</v>
      </c>
      <c r="G403" s="4">
        <v>45870</v>
      </c>
      <c r="H403" s="2" t="s">
        <v>21</v>
      </c>
      <c r="I403" s="2" t="s">
        <v>22</v>
      </c>
      <c r="J403" s="2">
        <v>1</v>
      </c>
      <c r="K403" s="2">
        <v>6506.97</v>
      </c>
      <c r="L403" s="2">
        <v>6506.97</v>
      </c>
      <c r="M403" s="2">
        <v>6506.97</v>
      </c>
      <c r="N403" s="2">
        <v>6197.11</v>
      </c>
      <c r="O403" s="2">
        <v>309.86</v>
      </c>
      <c r="P403" s="2">
        <v>6506.97</v>
      </c>
      <c r="Q403" s="2" t="s">
        <v>44</v>
      </c>
      <c r="R403" s="2"/>
      <c r="S403" t="str">
        <f>VLOOKUP(B403,CASOPOInvCL!$B$1:$D$1600,1,FALSE)</f>
        <v>SO17100</v>
      </c>
      <c r="T403">
        <f t="shared" si="6"/>
        <v>5</v>
      </c>
    </row>
    <row r="404" spans="1:20" x14ac:dyDescent="0.25">
      <c r="A404" s="2">
        <v>1</v>
      </c>
      <c r="B404" s="2" t="s">
        <v>1479</v>
      </c>
      <c r="C404" s="2" t="s">
        <v>1480</v>
      </c>
      <c r="D404" s="2" t="s">
        <v>129</v>
      </c>
      <c r="E404" s="3">
        <v>45782.563611111109</v>
      </c>
      <c r="F404" s="3">
        <v>45782.563217592593</v>
      </c>
      <c r="G404" s="4">
        <v>45835</v>
      </c>
      <c r="H404" s="2" t="s">
        <v>130</v>
      </c>
      <c r="I404" s="2" t="s">
        <v>51</v>
      </c>
      <c r="J404" s="2">
        <v>0.72363703447569616</v>
      </c>
      <c r="K404" s="2">
        <v>3358.0370879727461</v>
      </c>
      <c r="L404" s="2">
        <v>0</v>
      </c>
      <c r="M404" s="2">
        <v>2430</v>
      </c>
      <c r="N404" s="2">
        <v>2430</v>
      </c>
      <c r="O404" s="2"/>
      <c r="P404" s="2">
        <v>2430</v>
      </c>
      <c r="Q404" s="2" t="s">
        <v>44</v>
      </c>
      <c r="R404" s="2"/>
      <c r="S404" t="str">
        <f>VLOOKUP(B404,CASOPOInvCL!$B$1:$D$1600,1,FALSE)</f>
        <v>SO17101</v>
      </c>
      <c r="T404">
        <f t="shared" si="6"/>
        <v>5</v>
      </c>
    </row>
    <row r="405" spans="1:20" x14ac:dyDescent="0.25">
      <c r="A405" s="2">
        <v>1</v>
      </c>
      <c r="B405" s="2" t="s">
        <v>1471</v>
      </c>
      <c r="C405" s="2" t="s">
        <v>1472</v>
      </c>
      <c r="D405" s="2" t="s">
        <v>146</v>
      </c>
      <c r="E405" s="3">
        <v>45782.571273148147</v>
      </c>
      <c r="F405" s="3">
        <v>45783.351319444453</v>
      </c>
      <c r="G405" s="4">
        <v>45784</v>
      </c>
      <c r="H405" s="2" t="s">
        <v>21</v>
      </c>
      <c r="I405" s="2" t="s">
        <v>22</v>
      </c>
      <c r="J405" s="2">
        <v>1</v>
      </c>
      <c r="K405" s="2">
        <v>1150.52</v>
      </c>
      <c r="L405" s="2">
        <v>0</v>
      </c>
      <c r="M405" s="2">
        <v>835.14664945869379</v>
      </c>
      <c r="N405" s="2">
        <v>1095.73</v>
      </c>
      <c r="O405" s="2">
        <v>54.79</v>
      </c>
      <c r="P405" s="2">
        <v>1150.52</v>
      </c>
      <c r="Q405" s="2" t="s">
        <v>44</v>
      </c>
      <c r="R405" s="2"/>
      <c r="S405" t="str">
        <f>VLOOKUP(B405,CASOPOInvCL!$B$1:$D$1600,1,FALSE)</f>
        <v>SO17102</v>
      </c>
      <c r="T405">
        <f t="shared" si="6"/>
        <v>5</v>
      </c>
    </row>
    <row r="406" spans="1:20" x14ac:dyDescent="0.25">
      <c r="A406" s="2">
        <v>1</v>
      </c>
      <c r="B406" s="2" t="s">
        <v>1418</v>
      </c>
      <c r="C406" s="2" t="s">
        <v>1419</v>
      </c>
      <c r="D406" s="2" t="s">
        <v>1420</v>
      </c>
      <c r="E406" s="3">
        <v>45782.576388888891</v>
      </c>
      <c r="F406" s="3">
        <v>45792.34034722222</v>
      </c>
      <c r="G406" s="4">
        <v>45793</v>
      </c>
      <c r="H406" s="2" t="s">
        <v>21</v>
      </c>
      <c r="I406" s="2" t="s">
        <v>22</v>
      </c>
      <c r="J406" s="2">
        <v>1</v>
      </c>
      <c r="K406" s="2">
        <v>12576.76</v>
      </c>
      <c r="L406" s="2">
        <v>0</v>
      </c>
      <c r="M406" s="2">
        <v>8989.8746975048525</v>
      </c>
      <c r="N406" s="2">
        <v>11129.88</v>
      </c>
      <c r="O406" s="2">
        <v>1446.88</v>
      </c>
      <c r="P406" s="2">
        <v>12576.76</v>
      </c>
      <c r="Q406" s="2" t="s">
        <v>44</v>
      </c>
      <c r="R406" s="2"/>
      <c r="S406" t="str">
        <f>VLOOKUP(B406,CASOPOInvCL!$B$1:$D$1600,1,FALSE)</f>
        <v>SO17103</v>
      </c>
      <c r="T406">
        <f t="shared" si="6"/>
        <v>5</v>
      </c>
    </row>
    <row r="407" spans="1:20" x14ac:dyDescent="0.25">
      <c r="A407" s="2">
        <v>1</v>
      </c>
      <c r="B407" s="2" t="s">
        <v>1473</v>
      </c>
      <c r="C407" s="2" t="s">
        <v>1474</v>
      </c>
      <c r="D407" s="2" t="s">
        <v>129</v>
      </c>
      <c r="E407" s="3">
        <v>45782.63013888889</v>
      </c>
      <c r="F407" s="3">
        <v>45782.757256944453</v>
      </c>
      <c r="G407" s="4">
        <v>45821</v>
      </c>
      <c r="H407" s="2" t="s">
        <v>130</v>
      </c>
      <c r="I407" s="2" t="s">
        <v>51</v>
      </c>
      <c r="J407" s="2">
        <v>0.72363703447569616</v>
      </c>
      <c r="K407" s="2">
        <v>5722.9243428655509</v>
      </c>
      <c r="L407" s="2">
        <v>0</v>
      </c>
      <c r="M407" s="2">
        <v>4141.32</v>
      </c>
      <c r="N407" s="2">
        <v>4141.32</v>
      </c>
      <c r="O407" s="2"/>
      <c r="P407" s="2">
        <v>4141.32</v>
      </c>
      <c r="Q407" s="2" t="s">
        <v>44</v>
      </c>
      <c r="R407" s="2"/>
      <c r="S407" t="str">
        <f>VLOOKUP(B407,CASOPOInvCL!$B$1:$D$1600,1,FALSE)</f>
        <v>SO17104</v>
      </c>
      <c r="T407">
        <f t="shared" si="6"/>
        <v>5</v>
      </c>
    </row>
    <row r="408" spans="1:20" x14ac:dyDescent="0.25">
      <c r="A408" s="2">
        <v>1</v>
      </c>
      <c r="B408" s="2" t="s">
        <v>1249</v>
      </c>
      <c r="C408" s="2" t="s">
        <v>1250</v>
      </c>
      <c r="D408" s="2" t="s">
        <v>242</v>
      </c>
      <c r="E408" s="3">
        <v>45782.638252314813</v>
      </c>
      <c r="F408" s="3">
        <v>45818.486458333333</v>
      </c>
      <c r="G408" s="4">
        <v>45888</v>
      </c>
      <c r="H408" s="2" t="s">
        <v>21</v>
      </c>
      <c r="I408" s="2" t="s">
        <v>22</v>
      </c>
      <c r="J408" s="2">
        <v>1</v>
      </c>
      <c r="K408" s="2">
        <v>1690.27</v>
      </c>
      <c r="L408" s="2">
        <v>0</v>
      </c>
      <c r="M408" s="2">
        <v>1235.1409792801639</v>
      </c>
      <c r="N408" s="2">
        <v>1609.78</v>
      </c>
      <c r="O408" s="2">
        <v>80.489999999999995</v>
      </c>
      <c r="P408" s="2">
        <v>1690.27</v>
      </c>
      <c r="Q408" s="2" t="s">
        <v>44</v>
      </c>
      <c r="R408" s="2"/>
      <c r="S408" t="str">
        <f>VLOOKUP(B408,CASOPOInvCL!$B$1:$D$1600,1,FALSE)</f>
        <v>SO17105</v>
      </c>
      <c r="T408">
        <f t="shared" si="6"/>
        <v>5</v>
      </c>
    </row>
    <row r="409" spans="1:20" x14ac:dyDescent="0.25">
      <c r="A409" s="2">
        <v>1</v>
      </c>
      <c r="B409" s="2" t="s">
        <v>1475</v>
      </c>
      <c r="C409" s="2" t="s">
        <v>1476</v>
      </c>
      <c r="D409" s="2" t="s">
        <v>465</v>
      </c>
      <c r="E409" s="3">
        <v>45782.667592592603</v>
      </c>
      <c r="F409" s="3">
        <v>45782.667939814812</v>
      </c>
      <c r="G409" s="4">
        <v>45783</v>
      </c>
      <c r="H409" s="2" t="s">
        <v>21</v>
      </c>
      <c r="I409" s="2" t="s">
        <v>22</v>
      </c>
      <c r="J409" s="2">
        <v>1</v>
      </c>
      <c r="K409" s="2">
        <v>134.91999999999999</v>
      </c>
      <c r="L409" s="2">
        <v>134.91999999999999</v>
      </c>
      <c r="M409" s="2">
        <v>134.91999999999999</v>
      </c>
      <c r="N409" s="2">
        <v>119.4</v>
      </c>
      <c r="O409" s="2">
        <v>15.52</v>
      </c>
      <c r="P409" s="2">
        <v>134.91999999999999</v>
      </c>
      <c r="Q409" s="2" t="s">
        <v>44</v>
      </c>
      <c r="R409" s="2"/>
      <c r="S409" t="str">
        <f>VLOOKUP(B409,CASOPOInvCL!$B$1:$D$1600,1,FALSE)</f>
        <v>SO17106</v>
      </c>
      <c r="T409">
        <f t="shared" si="6"/>
        <v>5</v>
      </c>
    </row>
    <row r="410" spans="1:20" x14ac:dyDescent="0.25">
      <c r="A410" s="2">
        <v>1</v>
      </c>
      <c r="B410" s="2" t="s">
        <v>1467</v>
      </c>
      <c r="C410" s="2" t="s">
        <v>1468</v>
      </c>
      <c r="D410" s="2" t="s">
        <v>35</v>
      </c>
      <c r="E410" s="3">
        <v>45783.668564814812</v>
      </c>
      <c r="F410" s="3">
        <v>45783.669976851852</v>
      </c>
      <c r="G410" s="4">
        <v>45784</v>
      </c>
      <c r="H410" s="2" t="s">
        <v>21</v>
      </c>
      <c r="I410" s="2" t="s">
        <v>22</v>
      </c>
      <c r="J410" s="2">
        <v>1</v>
      </c>
      <c r="K410" s="2">
        <v>117.99</v>
      </c>
      <c r="L410" s="2">
        <v>0</v>
      </c>
      <c r="M410" s="2">
        <v>85.647318751200558</v>
      </c>
      <c r="N410" s="2">
        <v>112.37</v>
      </c>
      <c r="O410" s="2">
        <v>5.62</v>
      </c>
      <c r="P410" s="2">
        <v>117.99</v>
      </c>
      <c r="Q410" s="2" t="s">
        <v>44</v>
      </c>
      <c r="R410" s="2"/>
      <c r="S410" t="str">
        <f>VLOOKUP(B410,CASOPOInvCL!$B$1:$D$1600,1,FALSE)</f>
        <v>SO17114</v>
      </c>
      <c r="T410">
        <f t="shared" si="6"/>
        <v>5</v>
      </c>
    </row>
    <row r="411" spans="1:20" ht="30" x14ac:dyDescent="0.25">
      <c r="A411" s="2">
        <v>1</v>
      </c>
      <c r="B411" s="2" t="s">
        <v>1465</v>
      </c>
      <c r="C411" s="2" t="s">
        <v>1466</v>
      </c>
      <c r="D411" s="2" t="s">
        <v>898</v>
      </c>
      <c r="E411" s="3">
        <v>45784.352013888893</v>
      </c>
      <c r="F411" s="3">
        <v>45784.422349537039</v>
      </c>
      <c r="G411" s="4">
        <v>45785</v>
      </c>
      <c r="H411" s="2" t="s">
        <v>21</v>
      </c>
      <c r="I411" s="2" t="s">
        <v>22</v>
      </c>
      <c r="J411" s="2">
        <v>1</v>
      </c>
      <c r="K411" s="2">
        <v>1298.97</v>
      </c>
      <c r="L411" s="2">
        <v>0</v>
      </c>
      <c r="M411" s="2">
        <v>943.04213231980248</v>
      </c>
      <c r="N411" s="2">
        <v>1237.1099999999999</v>
      </c>
      <c r="O411" s="2">
        <v>61.86</v>
      </c>
      <c r="P411" s="2">
        <v>1298.97</v>
      </c>
      <c r="Q411" s="2" t="s">
        <v>44</v>
      </c>
      <c r="R411" s="2"/>
      <c r="S411" t="str">
        <f>VLOOKUP(B411,CASOPOInvCL!$B$1:$D$1600,1,FALSE)</f>
        <v>SO17116</v>
      </c>
      <c r="T411">
        <f t="shared" si="6"/>
        <v>5</v>
      </c>
    </row>
    <row r="412" spans="1:20" x14ac:dyDescent="0.25">
      <c r="A412" s="2">
        <v>1</v>
      </c>
      <c r="B412" s="2" t="s">
        <v>1435</v>
      </c>
      <c r="C412" s="2" t="s">
        <v>1436</v>
      </c>
      <c r="D412" s="2" t="s">
        <v>146</v>
      </c>
      <c r="E412" s="3">
        <v>45784.436967592592</v>
      </c>
      <c r="F412" s="3">
        <v>45789.617291666669</v>
      </c>
      <c r="G412" s="4">
        <v>45824</v>
      </c>
      <c r="H412" s="2" t="s">
        <v>21</v>
      </c>
      <c r="I412" s="2" t="s">
        <v>22</v>
      </c>
      <c r="J412" s="2">
        <v>1</v>
      </c>
      <c r="K412" s="2">
        <v>157.08000000000001</v>
      </c>
      <c r="L412" s="2">
        <v>0</v>
      </c>
      <c r="M412" s="2">
        <v>112.16196135102641</v>
      </c>
      <c r="N412" s="2">
        <v>149.6</v>
      </c>
      <c r="O412" s="2">
        <v>7.48</v>
      </c>
      <c r="P412" s="2">
        <v>157.08000000000001</v>
      </c>
      <c r="Q412" s="2" t="s">
        <v>44</v>
      </c>
      <c r="R412" s="2"/>
      <c r="S412" t="str">
        <f>VLOOKUP(B412,CASOPOInvCL!$B$1:$D$1600,1,FALSE)</f>
        <v>SO17119</v>
      </c>
      <c r="T412">
        <f t="shared" si="6"/>
        <v>5</v>
      </c>
    </row>
    <row r="413" spans="1:20" ht="30" x14ac:dyDescent="0.25">
      <c r="A413" s="2">
        <v>1</v>
      </c>
      <c r="B413" s="2" t="s">
        <v>1457</v>
      </c>
      <c r="C413" s="2" t="s">
        <v>1458</v>
      </c>
      <c r="D413" s="2" t="s">
        <v>630</v>
      </c>
      <c r="E413" s="3">
        <v>45784.688842592594</v>
      </c>
      <c r="F413" s="3">
        <v>45784.68886574074</v>
      </c>
      <c r="G413" s="4">
        <v>45812</v>
      </c>
      <c r="H413" s="2" t="s">
        <v>21</v>
      </c>
      <c r="I413" s="2" t="s">
        <v>22</v>
      </c>
      <c r="J413" s="2">
        <v>1</v>
      </c>
      <c r="K413" s="2">
        <v>855.1</v>
      </c>
      <c r="L413" s="2">
        <v>0</v>
      </c>
      <c r="M413" s="2">
        <v>620.7959593729363</v>
      </c>
      <c r="N413" s="2">
        <v>814.38</v>
      </c>
      <c r="O413" s="2">
        <v>40.72</v>
      </c>
      <c r="P413" s="2">
        <v>855.1</v>
      </c>
      <c r="Q413" s="2" t="s">
        <v>44</v>
      </c>
      <c r="R413" s="2"/>
      <c r="S413" t="str">
        <f>VLOOKUP(B413,CASOPOInvCL!$B$1:$D$1600,1,FALSE)</f>
        <v>SO17126</v>
      </c>
      <c r="T413">
        <f t="shared" si="6"/>
        <v>5</v>
      </c>
    </row>
    <row r="414" spans="1:20" x14ac:dyDescent="0.25">
      <c r="A414" s="2">
        <v>1</v>
      </c>
      <c r="B414" s="2" t="s">
        <v>1348</v>
      </c>
      <c r="C414" s="2" t="s">
        <v>1349</v>
      </c>
      <c r="D414" s="2" t="s">
        <v>864</v>
      </c>
      <c r="E414" s="3">
        <v>45785.374537037038</v>
      </c>
      <c r="F414" s="3">
        <v>45803.547546296293</v>
      </c>
      <c r="G414" s="4">
        <v>45804</v>
      </c>
      <c r="H414" s="2" t="s">
        <v>21</v>
      </c>
      <c r="I414" s="2" t="s">
        <v>22</v>
      </c>
      <c r="J414" s="2">
        <v>1</v>
      </c>
      <c r="K414" s="2">
        <v>135.38999999999999</v>
      </c>
      <c r="L414" s="2">
        <v>135.38999999999999</v>
      </c>
      <c r="M414" s="2">
        <v>135.38999999999999</v>
      </c>
      <c r="N414" s="2">
        <v>128.94</v>
      </c>
      <c r="O414" s="2">
        <v>6.45</v>
      </c>
      <c r="P414" s="2">
        <v>135.38999999999999</v>
      </c>
      <c r="Q414" s="2" t="s">
        <v>44</v>
      </c>
      <c r="R414" s="2"/>
      <c r="S414" t="str">
        <f>VLOOKUP(B414,CASOPOInvCL!$B$1:$D$1600,1,FALSE)</f>
        <v>SO17129</v>
      </c>
      <c r="T414">
        <f t="shared" si="6"/>
        <v>5</v>
      </c>
    </row>
    <row r="415" spans="1:20" x14ac:dyDescent="0.25">
      <c r="A415" s="2">
        <v>1</v>
      </c>
      <c r="B415" s="2" t="s">
        <v>535</v>
      </c>
      <c r="C415" s="2" t="s">
        <v>536</v>
      </c>
      <c r="D415" s="2" t="s">
        <v>141</v>
      </c>
      <c r="E415" s="3">
        <v>45785.481076388889</v>
      </c>
      <c r="F415" s="3">
        <v>45926.559618055559</v>
      </c>
      <c r="G415" s="4">
        <v>46010</v>
      </c>
      <c r="H415" s="2" t="s">
        <v>21</v>
      </c>
      <c r="I415" s="2" t="s">
        <v>51</v>
      </c>
      <c r="J415" s="2">
        <v>0.71817576144916317</v>
      </c>
      <c r="K415" s="2">
        <v>3401.367925688362</v>
      </c>
      <c r="L415" s="2">
        <v>0</v>
      </c>
      <c r="M415" s="2">
        <v>2442.7800000000002</v>
      </c>
      <c r="N415" s="2">
        <v>2442.7800000000002</v>
      </c>
      <c r="O415" s="2"/>
      <c r="P415" s="2">
        <v>2442.7800000000002</v>
      </c>
      <c r="Q415" s="2" t="s">
        <v>44</v>
      </c>
      <c r="R415" s="2"/>
      <c r="S415" t="str">
        <f>VLOOKUP(B415,CASOPOInvCL!$B$1:$D$1600,1,FALSE)</f>
        <v>SO17130</v>
      </c>
      <c r="T415">
        <f t="shared" si="6"/>
        <v>5</v>
      </c>
    </row>
    <row r="416" spans="1:20" x14ac:dyDescent="0.25">
      <c r="A416" s="2">
        <v>1</v>
      </c>
      <c r="B416" s="2" t="s">
        <v>1453</v>
      </c>
      <c r="C416" s="2" t="s">
        <v>1454</v>
      </c>
      <c r="D416" s="2" t="s">
        <v>242</v>
      </c>
      <c r="E416" s="3">
        <v>45785.613819444443</v>
      </c>
      <c r="F416" s="3">
        <v>45785.676979166667</v>
      </c>
      <c r="G416" s="4">
        <v>45786</v>
      </c>
      <c r="H416" s="2" t="s">
        <v>21</v>
      </c>
      <c r="I416" s="2" t="s">
        <v>22</v>
      </c>
      <c r="J416" s="2">
        <v>1</v>
      </c>
      <c r="K416" s="2">
        <v>2758.72</v>
      </c>
      <c r="L416" s="2">
        <v>0</v>
      </c>
      <c r="M416" s="2">
        <v>1982.4501957321349</v>
      </c>
      <c r="N416" s="2">
        <v>2627.35</v>
      </c>
      <c r="O416" s="2">
        <v>131.37</v>
      </c>
      <c r="P416" s="2">
        <v>2758.72</v>
      </c>
      <c r="Q416" s="2" t="s">
        <v>44</v>
      </c>
      <c r="R416" s="2"/>
      <c r="S416" t="str">
        <f>VLOOKUP(B416,CASOPOInvCL!$B$1:$D$1600,1,FALSE)</f>
        <v>SO17133</v>
      </c>
      <c r="T416">
        <f t="shared" si="6"/>
        <v>5</v>
      </c>
    </row>
    <row r="417" spans="1:20" x14ac:dyDescent="0.25">
      <c r="A417" s="2">
        <v>2</v>
      </c>
      <c r="B417" s="2" t="s">
        <v>1397</v>
      </c>
      <c r="C417" s="2" t="s">
        <v>1398</v>
      </c>
      <c r="D417" s="2" t="s">
        <v>70</v>
      </c>
      <c r="E417" s="3">
        <v>45785.618206018517</v>
      </c>
      <c r="F417" s="3">
        <v>45793.653113425928</v>
      </c>
      <c r="G417" s="4">
        <v>45919</v>
      </c>
      <c r="H417" s="2" t="s">
        <v>71</v>
      </c>
      <c r="I417" s="2" t="s">
        <v>51</v>
      </c>
      <c r="J417" s="2">
        <v>0.7148005287136634</v>
      </c>
      <c r="K417" s="2">
        <v>4676.6753320898888</v>
      </c>
      <c r="L417" s="2">
        <v>0</v>
      </c>
      <c r="M417" s="2">
        <v>3342.89</v>
      </c>
      <c r="N417" s="2">
        <v>3342.89</v>
      </c>
      <c r="O417" s="2"/>
      <c r="P417" s="2">
        <v>3342.89</v>
      </c>
      <c r="Q417" s="2" t="s">
        <v>44</v>
      </c>
      <c r="R417" s="2"/>
      <c r="S417" t="str">
        <f>VLOOKUP(B417,CASOPOInvCL!$B$1:$D$1600,1,FALSE)</f>
        <v>SO17134</v>
      </c>
      <c r="T417">
        <f t="shared" si="6"/>
        <v>5</v>
      </c>
    </row>
    <row r="418" spans="1:20" ht="30" x14ac:dyDescent="0.25">
      <c r="A418" s="2">
        <v>2</v>
      </c>
      <c r="B418" s="2" t="s">
        <v>1449</v>
      </c>
      <c r="C418" s="2" t="s">
        <v>1450</v>
      </c>
      <c r="D418" s="2" t="s">
        <v>159</v>
      </c>
      <c r="E418" s="3">
        <v>45786.552974537037</v>
      </c>
      <c r="F418" s="3">
        <v>45786.571921296287</v>
      </c>
      <c r="G418" s="4">
        <v>45802</v>
      </c>
      <c r="H418" s="2" t="s">
        <v>40</v>
      </c>
      <c r="I418" s="2" t="s">
        <v>51</v>
      </c>
      <c r="J418" s="2">
        <v>0.71861232590916624</v>
      </c>
      <c r="K418" s="2">
        <v>16789.984759494779</v>
      </c>
      <c r="L418" s="2">
        <v>0</v>
      </c>
      <c r="M418" s="2">
        <v>12065.49</v>
      </c>
      <c r="N418" s="2">
        <v>12065.49</v>
      </c>
      <c r="O418" s="2"/>
      <c r="P418" s="2">
        <v>12065.49</v>
      </c>
      <c r="Q418" s="2" t="s">
        <v>44</v>
      </c>
      <c r="R418" s="2"/>
      <c r="S418" t="str">
        <f>VLOOKUP(B418,CASOPOInvCL!$B$1:$D$1600,1,FALSE)</f>
        <v>SO17139</v>
      </c>
      <c r="T418">
        <f t="shared" si="6"/>
        <v>5</v>
      </c>
    </row>
    <row r="419" spans="1:20" ht="30" x14ac:dyDescent="0.25">
      <c r="A419" s="2">
        <v>1</v>
      </c>
      <c r="B419" s="2" t="s">
        <v>1451</v>
      </c>
      <c r="C419" s="2" t="s">
        <v>1452</v>
      </c>
      <c r="D419" s="2" t="s">
        <v>502</v>
      </c>
      <c r="E419" s="3">
        <v>45786.557557870372</v>
      </c>
      <c r="F419" s="3">
        <v>45786.566759259258</v>
      </c>
      <c r="G419" s="4">
        <v>45789</v>
      </c>
      <c r="H419" s="2" t="s">
        <v>21</v>
      </c>
      <c r="I419" s="2" t="s">
        <v>22</v>
      </c>
      <c r="J419" s="2">
        <v>1</v>
      </c>
      <c r="K419" s="2">
        <v>1125.9000000000001</v>
      </c>
      <c r="L419" s="2">
        <v>0</v>
      </c>
      <c r="M419" s="2">
        <v>808.38208382159405</v>
      </c>
      <c r="N419" s="2">
        <v>1072.28</v>
      </c>
      <c r="O419" s="2">
        <v>53.62</v>
      </c>
      <c r="P419" s="2">
        <v>1125.9000000000001</v>
      </c>
      <c r="Q419" s="2" t="s">
        <v>44</v>
      </c>
      <c r="R419" s="2"/>
      <c r="S419" t="str">
        <f>VLOOKUP(B419,CASOPOInvCL!$B$1:$D$1600,1,FALSE)</f>
        <v>SO17140</v>
      </c>
      <c r="T419">
        <f t="shared" si="6"/>
        <v>5</v>
      </c>
    </row>
    <row r="420" spans="1:20" x14ac:dyDescent="0.25">
      <c r="A420" s="2">
        <v>1</v>
      </c>
      <c r="B420" s="2" t="s">
        <v>1447</v>
      </c>
      <c r="C420" s="2" t="s">
        <v>1448</v>
      </c>
      <c r="D420" s="2" t="s">
        <v>141</v>
      </c>
      <c r="E420" s="3">
        <v>45786.594583333332</v>
      </c>
      <c r="F420" s="3">
        <v>45786.595532407409</v>
      </c>
      <c r="G420" s="4">
        <v>45814</v>
      </c>
      <c r="H420" s="2" t="s">
        <v>21</v>
      </c>
      <c r="I420" s="2" t="s">
        <v>51</v>
      </c>
      <c r="J420" s="2">
        <v>0.71861232590916624</v>
      </c>
      <c r="K420" s="2">
        <v>1362.7653808484561</v>
      </c>
      <c r="L420" s="2">
        <v>0</v>
      </c>
      <c r="M420" s="2">
        <v>979.3</v>
      </c>
      <c r="N420" s="2">
        <v>979.3</v>
      </c>
      <c r="O420" s="2"/>
      <c r="P420" s="2">
        <v>979.3</v>
      </c>
      <c r="Q420" s="2" t="s">
        <v>44</v>
      </c>
      <c r="R420" s="2"/>
      <c r="S420" t="str">
        <f>VLOOKUP(B420,CASOPOInvCL!$B$1:$D$1600,1,FALSE)</f>
        <v>SO17142</v>
      </c>
      <c r="T420">
        <f t="shared" si="6"/>
        <v>5</v>
      </c>
    </row>
    <row r="421" spans="1:20" x14ac:dyDescent="0.25">
      <c r="A421" s="2">
        <v>1</v>
      </c>
      <c r="B421" s="2" t="s">
        <v>1407</v>
      </c>
      <c r="C421" s="2" t="s">
        <v>1408</v>
      </c>
      <c r="D421" s="2" t="s">
        <v>20</v>
      </c>
      <c r="E421" s="3">
        <v>45786.599918981483</v>
      </c>
      <c r="F421" s="3">
        <v>45792.561273148152</v>
      </c>
      <c r="G421" s="4">
        <v>45793</v>
      </c>
      <c r="H421" s="2" t="s">
        <v>21</v>
      </c>
      <c r="I421" s="2" t="s">
        <v>22</v>
      </c>
      <c r="J421" s="2">
        <v>1</v>
      </c>
      <c r="K421" s="2">
        <v>429.07</v>
      </c>
      <c r="L421" s="2">
        <v>0</v>
      </c>
      <c r="M421" s="2">
        <v>306.69946285517148</v>
      </c>
      <c r="N421" s="2">
        <v>408.64</v>
      </c>
      <c r="O421" s="2">
        <v>20.43</v>
      </c>
      <c r="P421" s="2">
        <v>429.07</v>
      </c>
      <c r="Q421" s="2" t="s">
        <v>44</v>
      </c>
      <c r="R421" s="2"/>
      <c r="S421" t="str">
        <f>VLOOKUP(B421,CASOPOInvCL!$B$1:$D$1600,1,FALSE)</f>
        <v>SO17143</v>
      </c>
      <c r="T421">
        <f t="shared" si="6"/>
        <v>5</v>
      </c>
    </row>
    <row r="422" spans="1:20" x14ac:dyDescent="0.25">
      <c r="A422" s="2">
        <v>1</v>
      </c>
      <c r="B422" s="2" t="s">
        <v>1433</v>
      </c>
      <c r="C422" s="2" t="s">
        <v>1434</v>
      </c>
      <c r="D422" s="2" t="s">
        <v>1288</v>
      </c>
      <c r="E422" s="3">
        <v>45789.346215277779</v>
      </c>
      <c r="F422" s="3">
        <v>45789.691307870373</v>
      </c>
      <c r="G422" s="4">
        <v>45824</v>
      </c>
      <c r="H422" s="2" t="s">
        <v>21</v>
      </c>
      <c r="I422" s="2" t="s">
        <v>51</v>
      </c>
      <c r="J422" s="2">
        <v>0.71740863464391214</v>
      </c>
      <c r="K422" s="2">
        <v>625.55700939221788</v>
      </c>
      <c r="L422" s="2">
        <v>0</v>
      </c>
      <c r="M422" s="2">
        <v>448.78</v>
      </c>
      <c r="N422" s="2">
        <v>448.78</v>
      </c>
      <c r="O422" s="2"/>
      <c r="P422" s="2">
        <v>448.78</v>
      </c>
      <c r="Q422" s="2" t="s">
        <v>44</v>
      </c>
      <c r="R422" s="2"/>
      <c r="S422" t="str">
        <f>VLOOKUP(B422,CASOPOInvCL!$B$1:$D$1600,1,FALSE)</f>
        <v>SO17144</v>
      </c>
      <c r="T422">
        <f t="shared" si="6"/>
        <v>5</v>
      </c>
    </row>
    <row r="423" spans="1:20" ht="30" x14ac:dyDescent="0.25">
      <c r="A423" s="2">
        <v>1</v>
      </c>
      <c r="B423" s="2" t="s">
        <v>1445</v>
      </c>
      <c r="C423" s="2" t="s">
        <v>1446</v>
      </c>
      <c r="D423" s="2" t="s">
        <v>159</v>
      </c>
      <c r="E423" s="3">
        <v>45789.473738425928</v>
      </c>
      <c r="F423" s="3">
        <v>45789.47583333333</v>
      </c>
      <c r="G423" s="4">
        <v>45801</v>
      </c>
      <c r="H423" s="2" t="s">
        <v>40</v>
      </c>
      <c r="I423" s="2" t="s">
        <v>51</v>
      </c>
      <c r="J423" s="2">
        <v>0.71740863464391214</v>
      </c>
      <c r="K423" s="2">
        <v>25856.602644889019</v>
      </c>
      <c r="L423" s="2">
        <v>0</v>
      </c>
      <c r="M423" s="2">
        <v>18549.75</v>
      </c>
      <c r="N423" s="2">
        <v>18549.75</v>
      </c>
      <c r="O423" s="2"/>
      <c r="P423" s="2">
        <v>18549.75</v>
      </c>
      <c r="Q423" s="2" t="s">
        <v>44</v>
      </c>
      <c r="R423" s="2"/>
      <c r="S423" t="str">
        <f>VLOOKUP(B423,CASOPOInvCL!$B$1:$D$1600,1,FALSE)</f>
        <v>SO17145</v>
      </c>
      <c r="T423">
        <f t="shared" si="6"/>
        <v>5</v>
      </c>
    </row>
    <row r="424" spans="1:20" ht="30" x14ac:dyDescent="0.25">
      <c r="A424" s="2">
        <v>2</v>
      </c>
      <c r="B424" s="2" t="s">
        <v>1443</v>
      </c>
      <c r="C424" s="2" t="s">
        <v>1444</v>
      </c>
      <c r="D424" s="2" t="s">
        <v>159</v>
      </c>
      <c r="E424" s="3">
        <v>45789.486435185187</v>
      </c>
      <c r="F424" s="3">
        <v>45789.488321759258</v>
      </c>
      <c r="G424" s="4">
        <v>45805</v>
      </c>
      <c r="H424" s="2" t="s">
        <v>40</v>
      </c>
      <c r="I424" s="2" t="s">
        <v>51</v>
      </c>
      <c r="J424" s="2">
        <v>0.71740863464391214</v>
      </c>
      <c r="K424" s="2">
        <v>17084.87939524692</v>
      </c>
      <c r="L424" s="2">
        <v>0</v>
      </c>
      <c r="M424" s="2">
        <v>12256.84</v>
      </c>
      <c r="N424" s="2">
        <v>12256.84</v>
      </c>
      <c r="O424" s="2"/>
      <c r="P424" s="2">
        <v>12256.84</v>
      </c>
      <c r="Q424" s="2" t="s">
        <v>44</v>
      </c>
      <c r="R424" s="2"/>
      <c r="S424" t="str">
        <f>VLOOKUP(B424,CASOPOInvCL!$B$1:$D$1600,1,FALSE)</f>
        <v>SO17146</v>
      </c>
      <c r="T424">
        <f t="shared" si="6"/>
        <v>5</v>
      </c>
    </row>
    <row r="425" spans="1:20" x14ac:dyDescent="0.25">
      <c r="A425" s="2">
        <v>1</v>
      </c>
      <c r="B425" s="2" t="s">
        <v>1428</v>
      </c>
      <c r="C425" s="2" t="s">
        <v>1429</v>
      </c>
      <c r="D425" s="2" t="s">
        <v>1430</v>
      </c>
      <c r="E425" s="3">
        <v>45789.507060185177</v>
      </c>
      <c r="F425" s="3">
        <v>45790.507060185177</v>
      </c>
      <c r="G425" s="4">
        <v>45847</v>
      </c>
      <c r="H425" s="2" t="s">
        <v>21</v>
      </c>
      <c r="I425" s="2" t="s">
        <v>22</v>
      </c>
      <c r="J425" s="2">
        <v>1</v>
      </c>
      <c r="K425" s="2">
        <v>6152.97</v>
      </c>
      <c r="L425" s="2">
        <v>0</v>
      </c>
      <c r="M425" s="2">
        <v>4407.9887868135866</v>
      </c>
      <c r="N425" s="2">
        <v>5859.97</v>
      </c>
      <c r="O425" s="2">
        <v>293</v>
      </c>
      <c r="P425" s="2">
        <v>6152.97</v>
      </c>
      <c r="Q425" s="2" t="s">
        <v>44</v>
      </c>
      <c r="R425" s="2"/>
      <c r="S425" t="str">
        <f>VLOOKUP(B425,CASOPOInvCL!$B$1:$D$1600,1,FALSE)</f>
        <v>SO17148</v>
      </c>
      <c r="T425">
        <f t="shared" si="6"/>
        <v>5</v>
      </c>
    </row>
    <row r="426" spans="1:20" x14ac:dyDescent="0.25">
      <c r="A426" s="2">
        <v>1</v>
      </c>
      <c r="B426" s="2" t="s">
        <v>1441</v>
      </c>
      <c r="C426" s="2" t="s">
        <v>1442</v>
      </c>
      <c r="D426" s="2" t="s">
        <v>901</v>
      </c>
      <c r="E426" s="3">
        <v>45789.549837962957</v>
      </c>
      <c r="F426" s="3">
        <v>45789.549953703703</v>
      </c>
      <c r="G426" s="4">
        <v>45811</v>
      </c>
      <c r="H426" s="2" t="s">
        <v>180</v>
      </c>
      <c r="I426" s="2" t="s">
        <v>51</v>
      </c>
      <c r="J426" s="2">
        <v>0.71740863464391214</v>
      </c>
      <c r="K426" s="2">
        <v>5514.8485938753311</v>
      </c>
      <c r="L426" s="2">
        <v>0</v>
      </c>
      <c r="M426" s="2">
        <v>3956.4</v>
      </c>
      <c r="N426" s="2">
        <v>3956.4</v>
      </c>
      <c r="O426" s="2"/>
      <c r="P426" s="2">
        <v>3956.4</v>
      </c>
      <c r="Q426" s="2" t="s">
        <v>44</v>
      </c>
      <c r="R426" s="2"/>
      <c r="S426" t="str">
        <f>VLOOKUP(B426,CASOPOInvCL!$B$1:$D$1600,1,FALSE)</f>
        <v>SO17149</v>
      </c>
      <c r="T426">
        <f t="shared" si="6"/>
        <v>5</v>
      </c>
    </row>
    <row r="427" spans="1:20" ht="30" x14ac:dyDescent="0.25">
      <c r="A427" s="2">
        <v>1</v>
      </c>
      <c r="B427" s="2" t="s">
        <v>1437</v>
      </c>
      <c r="C427" s="2" t="s">
        <v>1438</v>
      </c>
      <c r="D427" s="2" t="s">
        <v>159</v>
      </c>
      <c r="E427" s="3">
        <v>45789.554884259262</v>
      </c>
      <c r="F427" s="3">
        <v>45789.576909722222</v>
      </c>
      <c r="G427" s="4">
        <v>45800</v>
      </c>
      <c r="H427" s="2" t="s">
        <v>40</v>
      </c>
      <c r="I427" s="2" t="s">
        <v>51</v>
      </c>
      <c r="J427" s="2">
        <v>0.71740863464391214</v>
      </c>
      <c r="K427" s="2">
        <v>58023.109828698012</v>
      </c>
      <c r="L427" s="2">
        <v>0</v>
      </c>
      <c r="M427" s="2">
        <v>41626.28</v>
      </c>
      <c r="N427" s="2">
        <v>41626.28</v>
      </c>
      <c r="O427" s="2"/>
      <c r="P427" s="2">
        <v>41626.28</v>
      </c>
      <c r="Q427" s="2" t="s">
        <v>44</v>
      </c>
      <c r="R427" s="2"/>
      <c r="S427" t="str">
        <f>VLOOKUP(B427,CASOPOInvCL!$B$1:$D$1600,1,FALSE)</f>
        <v>SO17151</v>
      </c>
      <c r="T427">
        <f t="shared" si="6"/>
        <v>5</v>
      </c>
    </row>
    <row r="428" spans="1:20" x14ac:dyDescent="0.25">
      <c r="A428" s="2">
        <v>1</v>
      </c>
      <c r="B428" s="2" t="s">
        <v>1439</v>
      </c>
      <c r="C428" s="2" t="s">
        <v>1440</v>
      </c>
      <c r="D428" s="2" t="s">
        <v>1261</v>
      </c>
      <c r="E428" s="3">
        <v>45789.560277777768</v>
      </c>
      <c r="F428" s="3">
        <v>45789.562928240739</v>
      </c>
      <c r="G428" s="4">
        <v>45790</v>
      </c>
      <c r="H428" s="2" t="s">
        <v>1132</v>
      </c>
      <c r="I428" s="2" t="s">
        <v>22</v>
      </c>
      <c r="J428" s="2">
        <v>1</v>
      </c>
      <c r="K428" s="2">
        <v>2087.66</v>
      </c>
      <c r="L428" s="2">
        <v>0</v>
      </c>
      <c r="M428" s="2">
        <v>1490.6801644645</v>
      </c>
      <c r="N428" s="2">
        <v>2087.66</v>
      </c>
      <c r="O428" s="2"/>
      <c r="P428" s="2">
        <v>2087.66</v>
      </c>
      <c r="Q428" s="2" t="s">
        <v>44</v>
      </c>
      <c r="R428" s="2"/>
      <c r="S428" t="str">
        <f>VLOOKUP(B428,CASOPOInvCL!$B$1:$D$1600,1,FALSE)</f>
        <v>SO17152</v>
      </c>
      <c r="T428">
        <f t="shared" si="6"/>
        <v>5</v>
      </c>
    </row>
    <row r="429" spans="1:20" x14ac:dyDescent="0.25">
      <c r="A429" s="2">
        <v>1</v>
      </c>
      <c r="B429" s="2" t="s">
        <v>1340</v>
      </c>
      <c r="C429" s="2" t="s">
        <v>1341</v>
      </c>
      <c r="D429" s="2" t="s">
        <v>149</v>
      </c>
      <c r="E429" s="3">
        <v>45789.582881944443</v>
      </c>
      <c r="F429" s="3">
        <v>45804.544178240743</v>
      </c>
      <c r="G429" s="4">
        <v>45923</v>
      </c>
      <c r="H429" s="2" t="s">
        <v>21</v>
      </c>
      <c r="I429" s="2" t="s">
        <v>51</v>
      </c>
      <c r="J429" s="2">
        <v>0.72825076867173777</v>
      </c>
      <c r="K429" s="2">
        <v>13791.54054079309</v>
      </c>
      <c r="L429" s="2">
        <v>0</v>
      </c>
      <c r="M429" s="2">
        <v>10043.700000000001</v>
      </c>
      <c r="N429" s="2">
        <v>10043.700000000001</v>
      </c>
      <c r="O429" s="2"/>
      <c r="P429" s="2">
        <v>10043.700000000001</v>
      </c>
      <c r="Q429" s="2" t="s">
        <v>44</v>
      </c>
      <c r="R429" s="2"/>
      <c r="S429" t="str">
        <f>VLOOKUP(B429,CASOPOInvCL!$B$1:$D$1600,1,FALSE)</f>
        <v>SO17153</v>
      </c>
      <c r="T429">
        <f t="shared" si="6"/>
        <v>5</v>
      </c>
    </row>
    <row r="430" spans="1:20" x14ac:dyDescent="0.25">
      <c r="A430" s="2">
        <v>1</v>
      </c>
      <c r="B430" s="2" t="s">
        <v>1297</v>
      </c>
      <c r="C430" s="2" t="s">
        <v>1298</v>
      </c>
      <c r="D430" s="2" t="s">
        <v>1299</v>
      </c>
      <c r="E430" s="3">
        <v>45790.350891203707</v>
      </c>
      <c r="F430" s="3">
        <v>45810.345104166663</v>
      </c>
      <c r="G430" s="4">
        <v>45867</v>
      </c>
      <c r="H430" s="2" t="s">
        <v>21</v>
      </c>
      <c r="I430" s="2" t="s">
        <v>51</v>
      </c>
      <c r="J430" s="2">
        <v>0.72982219017840411</v>
      </c>
      <c r="K430" s="2">
        <v>13922.076002534601</v>
      </c>
      <c r="L430" s="2">
        <v>0</v>
      </c>
      <c r="M430" s="2">
        <v>10160.64</v>
      </c>
      <c r="N430" s="2">
        <v>10160.64</v>
      </c>
      <c r="O430" s="2"/>
      <c r="P430" s="2">
        <v>10160.64</v>
      </c>
      <c r="Q430" s="2" t="s">
        <v>44</v>
      </c>
      <c r="R430" s="2"/>
      <c r="S430" t="str">
        <f>VLOOKUP(B430,CASOPOInvCL!$B$1:$D$1600,1,FALSE)</f>
        <v>SO17159</v>
      </c>
      <c r="T430">
        <f t="shared" si="6"/>
        <v>5</v>
      </c>
    </row>
    <row r="431" spans="1:20" x14ac:dyDescent="0.25">
      <c r="A431" s="2">
        <v>1</v>
      </c>
      <c r="B431" s="2" t="s">
        <v>1182</v>
      </c>
      <c r="C431" s="2" t="s">
        <v>1183</v>
      </c>
      <c r="D431" s="2" t="s">
        <v>1184</v>
      </c>
      <c r="E431" s="3">
        <v>45790.437534722223</v>
      </c>
      <c r="F431" s="3">
        <v>45826.644467592603</v>
      </c>
      <c r="G431" s="4">
        <v>45903</v>
      </c>
      <c r="H431" s="2" t="s">
        <v>21</v>
      </c>
      <c r="I431" s="2" t="s">
        <v>51</v>
      </c>
      <c r="J431" s="2">
        <v>0.73586843526375945</v>
      </c>
      <c r="K431" s="2">
        <v>4966.9068883080045</v>
      </c>
      <c r="L431" s="2">
        <v>0</v>
      </c>
      <c r="M431" s="2">
        <v>3654.99</v>
      </c>
      <c r="N431" s="2">
        <v>3654.99</v>
      </c>
      <c r="O431" s="2"/>
      <c r="P431" s="2">
        <v>3654.99</v>
      </c>
      <c r="Q431" s="2" t="s">
        <v>44</v>
      </c>
      <c r="R431" s="2"/>
      <c r="S431" t="str">
        <f>VLOOKUP(B431,CASOPOInvCL!$B$1:$D$1600,1,FALSE)</f>
        <v>SO17163</v>
      </c>
      <c r="T431">
        <f t="shared" si="6"/>
        <v>5</v>
      </c>
    </row>
    <row r="432" spans="1:20" x14ac:dyDescent="0.25">
      <c r="A432" s="2">
        <v>1</v>
      </c>
      <c r="B432" s="2" t="s">
        <v>1409</v>
      </c>
      <c r="C432" s="2" t="s">
        <v>1410</v>
      </c>
      <c r="D432" s="2" t="s">
        <v>1411</v>
      </c>
      <c r="E432" s="3">
        <v>45790.53638888889</v>
      </c>
      <c r="F432" s="3">
        <v>45792.50885416667</v>
      </c>
      <c r="G432" s="4">
        <v>45793</v>
      </c>
      <c r="H432" s="2" t="s">
        <v>21</v>
      </c>
      <c r="I432" s="2" t="s">
        <v>22</v>
      </c>
      <c r="J432" s="2">
        <v>1</v>
      </c>
      <c r="K432" s="2">
        <v>3106.74</v>
      </c>
      <c r="L432" s="2">
        <v>0</v>
      </c>
      <c r="M432" s="2">
        <v>2220.6993945758859</v>
      </c>
      <c r="N432" s="2">
        <v>2749.33</v>
      </c>
      <c r="O432" s="2">
        <v>357.41</v>
      </c>
      <c r="P432" s="2">
        <v>3106.74</v>
      </c>
      <c r="Q432" s="2" t="s">
        <v>44</v>
      </c>
      <c r="R432" s="2"/>
      <c r="S432" t="str">
        <f>VLOOKUP(B432,CASOPOInvCL!$B$1:$D$1600,1,FALSE)</f>
        <v>SO17164</v>
      </c>
      <c r="T432">
        <f t="shared" si="6"/>
        <v>5</v>
      </c>
    </row>
    <row r="433" spans="1:20" x14ac:dyDescent="0.25">
      <c r="A433" s="2">
        <v>1</v>
      </c>
      <c r="B433" s="2" t="s">
        <v>1426</v>
      </c>
      <c r="C433" s="2" t="s">
        <v>1427</v>
      </c>
      <c r="D433" s="2" t="s">
        <v>129</v>
      </c>
      <c r="E433" s="3">
        <v>45790.569108796299</v>
      </c>
      <c r="F433" s="3">
        <v>45790.573055555556</v>
      </c>
      <c r="G433" s="4">
        <v>45842</v>
      </c>
      <c r="H433" s="2" t="s">
        <v>130</v>
      </c>
      <c r="I433" s="2" t="s">
        <v>51</v>
      </c>
      <c r="J433" s="2">
        <v>0.71404355329148439</v>
      </c>
      <c r="K433" s="2">
        <v>17040.97732401601</v>
      </c>
      <c r="L433" s="2">
        <v>0</v>
      </c>
      <c r="M433" s="2">
        <v>12168</v>
      </c>
      <c r="N433" s="2">
        <v>12168</v>
      </c>
      <c r="O433" s="2"/>
      <c r="P433" s="2">
        <v>12168</v>
      </c>
      <c r="Q433" s="2" t="s">
        <v>44</v>
      </c>
      <c r="R433" s="2"/>
      <c r="S433" t="str">
        <f>VLOOKUP(B433,CASOPOInvCL!$B$1:$D$1600,1,FALSE)</f>
        <v>SO17165</v>
      </c>
      <c r="T433">
        <f t="shared" si="6"/>
        <v>5</v>
      </c>
    </row>
    <row r="434" spans="1:20" x14ac:dyDescent="0.25">
      <c r="A434" s="2">
        <v>2</v>
      </c>
      <c r="B434" s="2" t="s">
        <v>1327</v>
      </c>
      <c r="C434" s="2" t="s">
        <v>1328</v>
      </c>
      <c r="D434" s="2" t="s">
        <v>245</v>
      </c>
      <c r="E434" s="3">
        <v>45790.653009259258</v>
      </c>
      <c r="F434" s="3">
        <v>45805.542997685188</v>
      </c>
      <c r="G434" s="4">
        <v>45882</v>
      </c>
      <c r="H434" s="2" t="s">
        <v>21</v>
      </c>
      <c r="I434" s="2" t="s">
        <v>22</v>
      </c>
      <c r="J434" s="2">
        <v>1</v>
      </c>
      <c r="K434" s="2">
        <v>4559.7299999999996</v>
      </c>
      <c r="L434" s="2">
        <v>0</v>
      </c>
      <c r="M434" s="2">
        <v>3299.1313442367841</v>
      </c>
      <c r="N434" s="2">
        <v>4342.6000000000004</v>
      </c>
      <c r="O434" s="2">
        <v>217.13</v>
      </c>
      <c r="P434" s="2">
        <v>4559.7299999999996</v>
      </c>
      <c r="Q434" s="2" t="s">
        <v>44</v>
      </c>
      <c r="R434" s="2"/>
      <c r="S434" t="str">
        <f>VLOOKUP(B434,CASOPOInvCL!$B$1:$D$1600,1,FALSE)</f>
        <v>SO17169</v>
      </c>
      <c r="T434">
        <f t="shared" si="6"/>
        <v>5</v>
      </c>
    </row>
    <row r="435" spans="1:20" x14ac:dyDescent="0.25">
      <c r="A435" s="2">
        <v>1</v>
      </c>
      <c r="B435" s="2" t="s">
        <v>1424</v>
      </c>
      <c r="C435" s="2" t="s">
        <v>1425</v>
      </c>
      <c r="D435" s="2" t="s">
        <v>146</v>
      </c>
      <c r="E435" s="3">
        <v>45790.659282407411</v>
      </c>
      <c r="F435" s="3">
        <v>45790.661759259259</v>
      </c>
      <c r="G435" s="4">
        <v>45791</v>
      </c>
      <c r="H435" s="2" t="s">
        <v>21</v>
      </c>
      <c r="I435" s="2" t="s">
        <v>22</v>
      </c>
      <c r="J435" s="2">
        <v>1</v>
      </c>
      <c r="K435" s="2">
        <v>2219.0500000000002</v>
      </c>
      <c r="L435" s="2">
        <v>0</v>
      </c>
      <c r="M435" s="2">
        <v>1589.727809070853</v>
      </c>
      <c r="N435" s="2">
        <v>2113.38</v>
      </c>
      <c r="O435" s="2">
        <v>105.67</v>
      </c>
      <c r="P435" s="2">
        <v>2219.0500000000002</v>
      </c>
      <c r="Q435" s="2" t="s">
        <v>44</v>
      </c>
      <c r="R435" s="2"/>
      <c r="S435" t="str">
        <f>VLOOKUP(B435,CASOPOInvCL!$B$1:$D$1600,1,FALSE)</f>
        <v>SO17170</v>
      </c>
      <c r="T435">
        <f t="shared" si="6"/>
        <v>5</v>
      </c>
    </row>
    <row r="436" spans="1:20" x14ac:dyDescent="0.25">
      <c r="A436" s="2">
        <v>2</v>
      </c>
      <c r="B436" s="2" t="s">
        <v>1421</v>
      </c>
      <c r="C436" s="2" t="s">
        <v>1422</v>
      </c>
      <c r="D436" s="2" t="s">
        <v>1423</v>
      </c>
      <c r="E436" s="3">
        <v>45790.745405092603</v>
      </c>
      <c r="F436" s="3">
        <v>45790.743969907409</v>
      </c>
      <c r="G436" s="4">
        <v>45807</v>
      </c>
      <c r="H436" s="2" t="s">
        <v>71</v>
      </c>
      <c r="I436" s="2" t="s">
        <v>51</v>
      </c>
      <c r="J436" s="2">
        <v>0.71404355329148439</v>
      </c>
      <c r="K436" s="2">
        <v>14073.231182717331</v>
      </c>
      <c r="L436" s="2">
        <v>0</v>
      </c>
      <c r="M436" s="2">
        <v>10048.9</v>
      </c>
      <c r="N436" s="2">
        <v>10048.9</v>
      </c>
      <c r="O436" s="2"/>
      <c r="P436" s="2">
        <v>10048.9</v>
      </c>
      <c r="Q436" s="2" t="s">
        <v>44</v>
      </c>
      <c r="R436" s="2"/>
      <c r="S436" t="str">
        <f>VLOOKUP(B436,CASOPOInvCL!$B$1:$D$1600,1,FALSE)</f>
        <v>SO17172</v>
      </c>
      <c r="T436">
        <f t="shared" si="6"/>
        <v>5</v>
      </c>
    </row>
    <row r="437" spans="1:20" x14ac:dyDescent="0.25">
      <c r="A437" s="2">
        <v>1</v>
      </c>
      <c r="B437" s="2" t="s">
        <v>1401</v>
      </c>
      <c r="C437" s="2" t="s">
        <v>1402</v>
      </c>
      <c r="D437" s="2" t="s">
        <v>20</v>
      </c>
      <c r="E437" s="3">
        <v>45791.375856481478</v>
      </c>
      <c r="F437" s="3">
        <v>45792.679502314822</v>
      </c>
      <c r="G437" s="4">
        <v>45793</v>
      </c>
      <c r="H437" s="2" t="s">
        <v>21</v>
      </c>
      <c r="I437" s="2" t="s">
        <v>22</v>
      </c>
      <c r="J437" s="2">
        <v>1</v>
      </c>
      <c r="K437" s="2">
        <v>7861.24</v>
      </c>
      <c r="L437" s="2">
        <v>0</v>
      </c>
      <c r="M437" s="2">
        <v>5619.2185083449986</v>
      </c>
      <c r="N437" s="2">
        <v>7486.9</v>
      </c>
      <c r="O437" s="2">
        <v>374.34</v>
      </c>
      <c r="P437" s="2">
        <v>7861.24</v>
      </c>
      <c r="Q437" s="2" t="s">
        <v>44</v>
      </c>
      <c r="R437" s="2"/>
      <c r="S437" t="str">
        <f>VLOOKUP(B437,CASOPOInvCL!$B$1:$D$1600,1,FALSE)</f>
        <v>SO17175</v>
      </c>
      <c r="T437">
        <f t="shared" si="6"/>
        <v>5</v>
      </c>
    </row>
    <row r="438" spans="1:20" x14ac:dyDescent="0.25">
      <c r="A438" s="2">
        <v>1</v>
      </c>
      <c r="B438" s="2" t="s">
        <v>1370</v>
      </c>
      <c r="C438" s="2" t="s">
        <v>1371</v>
      </c>
      <c r="D438" s="2" t="s">
        <v>242</v>
      </c>
      <c r="E438" s="3">
        <v>45791.388622685183</v>
      </c>
      <c r="F438" s="3">
        <v>45800.354895833327</v>
      </c>
      <c r="G438" s="4">
        <v>45803</v>
      </c>
      <c r="H438" s="2" t="s">
        <v>21</v>
      </c>
      <c r="I438" s="2" t="s">
        <v>22</v>
      </c>
      <c r="J438" s="2">
        <v>1</v>
      </c>
      <c r="K438" s="2">
        <v>338</v>
      </c>
      <c r="L438" s="2">
        <v>0</v>
      </c>
      <c r="M438" s="2">
        <v>245.65815936260461</v>
      </c>
      <c r="N438" s="2">
        <v>321.89999999999998</v>
      </c>
      <c r="O438" s="2">
        <v>16.100000000000001</v>
      </c>
      <c r="P438" s="2">
        <v>338</v>
      </c>
      <c r="Q438" s="2" t="s">
        <v>44</v>
      </c>
      <c r="R438" s="2"/>
      <c r="S438" t="str">
        <f>VLOOKUP(B438,CASOPOInvCL!$B$1:$D$1600,1,FALSE)</f>
        <v>SO17176</v>
      </c>
      <c r="T438">
        <f t="shared" si="6"/>
        <v>5</v>
      </c>
    </row>
    <row r="439" spans="1:20" x14ac:dyDescent="0.25">
      <c r="A439" s="2">
        <v>1</v>
      </c>
      <c r="B439" s="2" t="s">
        <v>1403</v>
      </c>
      <c r="C439" s="2" t="s">
        <v>1404</v>
      </c>
      <c r="D439" s="2" t="s">
        <v>556</v>
      </c>
      <c r="E439" s="3">
        <v>45791.572106481479</v>
      </c>
      <c r="F439" s="3">
        <v>45792.632418981477</v>
      </c>
      <c r="G439" s="4">
        <v>45793</v>
      </c>
      <c r="H439" s="2" t="s">
        <v>21</v>
      </c>
      <c r="I439" s="2" t="s">
        <v>22</v>
      </c>
      <c r="J439" s="2">
        <v>1</v>
      </c>
      <c r="K439" s="2">
        <v>1039.53</v>
      </c>
      <c r="L439" s="2">
        <v>0</v>
      </c>
      <c r="M439" s="2">
        <v>743.05659361371454</v>
      </c>
      <c r="N439" s="2">
        <v>919.94</v>
      </c>
      <c r="O439" s="2">
        <v>119.59</v>
      </c>
      <c r="P439" s="2">
        <v>1039.53</v>
      </c>
      <c r="Q439" s="2" t="s">
        <v>44</v>
      </c>
      <c r="R439" s="2"/>
      <c r="S439" t="str">
        <f>VLOOKUP(B439,CASOPOInvCL!$B$1:$D$1600,1,FALSE)</f>
        <v>SO17180</v>
      </c>
      <c r="T439">
        <f t="shared" si="6"/>
        <v>5</v>
      </c>
    </row>
    <row r="440" spans="1:20" x14ac:dyDescent="0.25">
      <c r="A440" s="2">
        <v>1</v>
      </c>
      <c r="B440" s="2" t="s">
        <v>1416</v>
      </c>
      <c r="C440" s="2" t="s">
        <v>1417</v>
      </c>
      <c r="D440" s="2" t="s">
        <v>141</v>
      </c>
      <c r="E440" s="3">
        <v>45792.351527777777</v>
      </c>
      <c r="F440" s="3">
        <v>45792.352349537039</v>
      </c>
      <c r="G440" s="4">
        <v>45793</v>
      </c>
      <c r="H440" s="2" t="s">
        <v>21</v>
      </c>
      <c r="I440" s="2" t="s">
        <v>51</v>
      </c>
      <c r="J440" s="2">
        <v>0.71604059670124165</v>
      </c>
      <c r="K440" s="2">
        <v>507.5829522437603</v>
      </c>
      <c r="L440" s="2">
        <v>0</v>
      </c>
      <c r="M440" s="2">
        <v>363.45</v>
      </c>
      <c r="N440" s="2">
        <v>363.45</v>
      </c>
      <c r="O440" s="2"/>
      <c r="P440" s="2">
        <v>363.45</v>
      </c>
      <c r="Q440" s="2" t="s">
        <v>44</v>
      </c>
      <c r="R440" s="2"/>
      <c r="S440" t="str">
        <f>VLOOKUP(B440,CASOPOInvCL!$B$1:$D$1600,1,FALSE)</f>
        <v>SO17190</v>
      </c>
      <c r="T440">
        <f t="shared" si="6"/>
        <v>5</v>
      </c>
    </row>
    <row r="441" spans="1:20" ht="30" x14ac:dyDescent="0.25">
      <c r="A441" s="2">
        <v>1</v>
      </c>
      <c r="B441" s="2" t="s">
        <v>1405</v>
      </c>
      <c r="C441" s="2" t="s">
        <v>1406</v>
      </c>
      <c r="D441" s="2" t="s">
        <v>518</v>
      </c>
      <c r="E441" s="3">
        <v>45792.620462962957</v>
      </c>
      <c r="F441" s="3">
        <v>45792.628761574073</v>
      </c>
      <c r="G441" s="4">
        <v>45793</v>
      </c>
      <c r="H441" s="2" t="s">
        <v>21</v>
      </c>
      <c r="I441" s="2" t="s">
        <v>22</v>
      </c>
      <c r="J441" s="2">
        <v>1</v>
      </c>
      <c r="K441" s="2">
        <v>1952.11</v>
      </c>
      <c r="L441" s="2">
        <v>0</v>
      </c>
      <c r="M441" s="2">
        <v>1395.3692601072289</v>
      </c>
      <c r="N441" s="2">
        <v>1859.15</v>
      </c>
      <c r="O441" s="2">
        <v>92.96</v>
      </c>
      <c r="P441" s="2">
        <v>1952.11</v>
      </c>
      <c r="Q441" s="2" t="s">
        <v>44</v>
      </c>
      <c r="R441" s="2"/>
      <c r="S441" t="str">
        <f>VLOOKUP(B441,CASOPOInvCL!$B$1:$D$1600,1,FALSE)</f>
        <v>SO17191</v>
      </c>
      <c r="T441">
        <f t="shared" si="6"/>
        <v>5</v>
      </c>
    </row>
    <row r="442" spans="1:20" x14ac:dyDescent="0.25">
      <c r="A442" s="2">
        <v>1</v>
      </c>
      <c r="B442" s="2" t="s">
        <v>1399</v>
      </c>
      <c r="C442" s="2" t="s">
        <v>1400</v>
      </c>
      <c r="D442" s="2" t="s">
        <v>129</v>
      </c>
      <c r="E442" s="3">
        <v>45792.773773148147</v>
      </c>
      <c r="F442" s="3">
        <v>45792.773298611108</v>
      </c>
      <c r="G442" s="4">
        <v>45814</v>
      </c>
      <c r="H442" s="2" t="s">
        <v>130</v>
      </c>
      <c r="I442" s="2" t="s">
        <v>51</v>
      </c>
      <c r="J442" s="2">
        <v>0.71604059670124165</v>
      </c>
      <c r="K442" s="2">
        <v>670.35305290137558</v>
      </c>
      <c r="L442" s="2">
        <v>0</v>
      </c>
      <c r="M442" s="2">
        <v>480</v>
      </c>
      <c r="N442" s="2">
        <v>480</v>
      </c>
      <c r="O442" s="2"/>
      <c r="P442" s="2">
        <v>480</v>
      </c>
      <c r="Q442" s="2" t="s">
        <v>44</v>
      </c>
      <c r="R442" s="2"/>
      <c r="S442" t="str">
        <f>VLOOKUP(B442,CASOPOInvCL!$B$1:$D$1600,1,FALSE)</f>
        <v>SO17193</v>
      </c>
      <c r="T442">
        <f t="shared" si="6"/>
        <v>5</v>
      </c>
    </row>
    <row r="443" spans="1:20" x14ac:dyDescent="0.25">
      <c r="A443" s="2">
        <v>1</v>
      </c>
      <c r="B443" s="2" t="s">
        <v>1385</v>
      </c>
      <c r="C443" s="2" t="s">
        <v>1386</v>
      </c>
      <c r="D443" s="2" t="s">
        <v>149</v>
      </c>
      <c r="E443" s="3">
        <v>45793.497314814813</v>
      </c>
      <c r="F443" s="3">
        <v>45798.692511574067</v>
      </c>
      <c r="G443" s="4">
        <v>45799</v>
      </c>
      <c r="H443" s="2" t="s">
        <v>21</v>
      </c>
      <c r="I443" s="2" t="s">
        <v>51</v>
      </c>
      <c r="J443" s="2">
        <v>0.7168814564314101</v>
      </c>
      <c r="K443" s="2">
        <v>3330.6761928057358</v>
      </c>
      <c r="L443" s="2">
        <v>0</v>
      </c>
      <c r="M443" s="2">
        <v>2387.6999999999998</v>
      </c>
      <c r="N443" s="2">
        <v>2387.6999999999998</v>
      </c>
      <c r="O443" s="2"/>
      <c r="P443" s="2">
        <v>2387.6999999999998</v>
      </c>
      <c r="Q443" s="2" t="s">
        <v>44</v>
      </c>
      <c r="R443" s="2"/>
      <c r="S443" t="str">
        <f>VLOOKUP(B443,CASOPOInvCL!$B$1:$D$1600,1,FALSE)</f>
        <v>SO17194</v>
      </c>
      <c r="T443">
        <f t="shared" si="6"/>
        <v>5</v>
      </c>
    </row>
    <row r="444" spans="1:20" x14ac:dyDescent="0.25">
      <c r="A444" s="2">
        <v>1</v>
      </c>
      <c r="B444" s="2" t="s">
        <v>1338</v>
      </c>
      <c r="C444" s="2" t="s">
        <v>1339</v>
      </c>
      <c r="D444" s="2" t="s">
        <v>70</v>
      </c>
      <c r="E444" s="3">
        <v>45797.378067129634</v>
      </c>
      <c r="F444" s="3">
        <v>45804.55673611111</v>
      </c>
      <c r="G444" s="4">
        <v>45806</v>
      </c>
      <c r="H444" s="2" t="s">
        <v>71</v>
      </c>
      <c r="I444" s="2" t="s">
        <v>51</v>
      </c>
      <c r="J444" s="2">
        <v>0.72825076867173777</v>
      </c>
      <c r="K444" s="2">
        <v>14434.73931263144</v>
      </c>
      <c r="L444" s="2">
        <v>0</v>
      </c>
      <c r="M444" s="2">
        <v>10512.11</v>
      </c>
      <c r="N444" s="2">
        <v>10512.11</v>
      </c>
      <c r="O444" s="2"/>
      <c r="P444" s="2">
        <v>10512.11</v>
      </c>
      <c r="Q444" s="2" t="s">
        <v>44</v>
      </c>
      <c r="R444" s="2"/>
      <c r="S444" t="str">
        <f>VLOOKUP(B444,CASOPOInvCL!$B$1:$D$1600,1,FALSE)</f>
        <v>SO17197</v>
      </c>
      <c r="T444">
        <f t="shared" si="6"/>
        <v>5</v>
      </c>
    </row>
    <row r="445" spans="1:20" ht="30" x14ac:dyDescent="0.25">
      <c r="A445" s="2">
        <v>1</v>
      </c>
      <c r="B445" s="2" t="s">
        <v>1312</v>
      </c>
      <c r="C445" s="2" t="s">
        <v>1313</v>
      </c>
      <c r="D445" s="2" t="s">
        <v>742</v>
      </c>
      <c r="E445" s="3">
        <v>45797.481840277767</v>
      </c>
      <c r="F445" s="3">
        <v>45807.481840277767</v>
      </c>
      <c r="G445" s="4">
        <v>45832</v>
      </c>
      <c r="H445" s="2" t="s">
        <v>21</v>
      </c>
      <c r="I445" s="2" t="s">
        <v>51</v>
      </c>
      <c r="J445" s="2">
        <v>0.72409668123959414</v>
      </c>
      <c r="K445" s="2">
        <v>2858.5271188601309</v>
      </c>
      <c r="L445" s="2">
        <v>0</v>
      </c>
      <c r="M445" s="2">
        <v>2069.85</v>
      </c>
      <c r="N445" s="2">
        <v>2069.85</v>
      </c>
      <c r="O445" s="2"/>
      <c r="P445" s="2">
        <v>2069.85</v>
      </c>
      <c r="Q445" s="2" t="s">
        <v>44</v>
      </c>
      <c r="R445" s="2"/>
      <c r="S445" t="str">
        <f>VLOOKUP(B445,CASOPOInvCL!$B$1:$D$1600,1,FALSE)</f>
        <v>SO17199</v>
      </c>
      <c r="T445">
        <f t="shared" si="6"/>
        <v>5</v>
      </c>
    </row>
    <row r="446" spans="1:20" x14ac:dyDescent="0.25">
      <c r="A446" s="2">
        <v>1</v>
      </c>
      <c r="B446" s="2" t="s">
        <v>1387</v>
      </c>
      <c r="C446" s="2" t="s">
        <v>1388</v>
      </c>
      <c r="D446" s="2" t="s">
        <v>176</v>
      </c>
      <c r="E446" s="3">
        <v>45797.525497685187</v>
      </c>
      <c r="F446" s="3">
        <v>45798.643680555557</v>
      </c>
      <c r="G446" s="4">
        <v>45875</v>
      </c>
      <c r="H446" s="2" t="s">
        <v>21</v>
      </c>
      <c r="I446" s="2" t="s">
        <v>22</v>
      </c>
      <c r="J446" s="2">
        <v>1</v>
      </c>
      <c r="K446" s="2">
        <v>8768.5499999999993</v>
      </c>
      <c r="L446" s="2">
        <v>0</v>
      </c>
      <c r="M446" s="2">
        <v>6342.789105492031</v>
      </c>
      <c r="N446" s="2">
        <v>7759.78</v>
      </c>
      <c r="O446" s="2">
        <v>1008.77</v>
      </c>
      <c r="P446" s="2">
        <v>8768.5499999999993</v>
      </c>
      <c r="Q446" s="2" t="s">
        <v>44</v>
      </c>
      <c r="R446" s="2"/>
      <c r="S446" t="str">
        <f>VLOOKUP(B446,CASOPOInvCL!$B$1:$D$1600,1,FALSE)</f>
        <v>SO17200</v>
      </c>
      <c r="T446">
        <f t="shared" si="6"/>
        <v>5</v>
      </c>
    </row>
    <row r="447" spans="1:20" ht="30" x14ac:dyDescent="0.25">
      <c r="A447" s="2">
        <v>4</v>
      </c>
      <c r="B447" s="2" t="s">
        <v>1289</v>
      </c>
      <c r="C447" s="2" t="s">
        <v>1290</v>
      </c>
      <c r="D447" s="2" t="s">
        <v>159</v>
      </c>
      <c r="E447" s="3">
        <v>45797.575694444437</v>
      </c>
      <c r="F447" s="3">
        <v>45811.609537037039</v>
      </c>
      <c r="G447" s="4">
        <v>45971</v>
      </c>
      <c r="H447" s="2" t="s">
        <v>40</v>
      </c>
      <c r="I447" s="2" t="s">
        <v>51</v>
      </c>
      <c r="J447" s="2">
        <v>0.72982219017840411</v>
      </c>
      <c r="K447" s="2">
        <v>112468.2711825125</v>
      </c>
      <c r="L447" s="2">
        <v>0</v>
      </c>
      <c r="M447" s="2">
        <v>82081.84</v>
      </c>
      <c r="N447" s="2">
        <v>82081.84</v>
      </c>
      <c r="O447" s="2"/>
      <c r="P447" s="2">
        <v>82081.84</v>
      </c>
      <c r="Q447" s="2" t="s">
        <v>44</v>
      </c>
      <c r="R447" s="2"/>
      <c r="S447" t="str">
        <f>VLOOKUP(B447,CASOPOInvCL!$B$1:$D$1600,1,FALSE)</f>
        <v>SO17201</v>
      </c>
      <c r="T447">
        <f t="shared" si="6"/>
        <v>5</v>
      </c>
    </row>
    <row r="448" spans="1:20" x14ac:dyDescent="0.25">
      <c r="A448" s="2">
        <v>1</v>
      </c>
      <c r="B448" s="2" t="s">
        <v>1366</v>
      </c>
      <c r="C448" s="2" t="s">
        <v>1367</v>
      </c>
      <c r="D448" s="2" t="s">
        <v>472</v>
      </c>
      <c r="E448" s="3">
        <v>45797.581608796303</v>
      </c>
      <c r="F448" s="3">
        <v>45800.372847222221</v>
      </c>
      <c r="G448" s="4">
        <v>45798</v>
      </c>
      <c r="H448" s="2" t="s">
        <v>21</v>
      </c>
      <c r="I448" s="2" t="s">
        <v>22</v>
      </c>
      <c r="J448" s="2">
        <v>1</v>
      </c>
      <c r="K448" s="2">
        <v>2214.0300000000002</v>
      </c>
      <c r="L448" s="2">
        <v>0</v>
      </c>
      <c r="M448" s="2">
        <v>1609.155427732507</v>
      </c>
      <c r="N448" s="2">
        <v>2110.85</v>
      </c>
      <c r="O448" s="2">
        <v>103.18</v>
      </c>
      <c r="P448" s="2">
        <v>2214.0300000000002</v>
      </c>
      <c r="Q448" s="2" t="s">
        <v>44</v>
      </c>
      <c r="R448" s="2"/>
      <c r="S448" t="str">
        <f>VLOOKUP(B448,CASOPOInvCL!$B$1:$D$1600,1,FALSE)</f>
        <v>SO17202</v>
      </c>
      <c r="T448">
        <f t="shared" si="6"/>
        <v>5</v>
      </c>
    </row>
    <row r="449" spans="1:20" ht="30" x14ac:dyDescent="0.25">
      <c r="A449" s="2">
        <v>1</v>
      </c>
      <c r="B449" s="2" t="s">
        <v>1331</v>
      </c>
      <c r="C449" s="2" t="s">
        <v>1332</v>
      </c>
      <c r="D449" s="2" t="s">
        <v>1333</v>
      </c>
      <c r="E449" s="3">
        <v>45797.661377314813</v>
      </c>
      <c r="F449" s="3">
        <v>45805.434224537043</v>
      </c>
      <c r="G449" s="4">
        <v>45806</v>
      </c>
      <c r="H449" s="2" t="s">
        <v>21</v>
      </c>
      <c r="I449" s="2" t="s">
        <v>22</v>
      </c>
      <c r="J449" s="2">
        <v>1</v>
      </c>
      <c r="K449" s="2">
        <v>161.09</v>
      </c>
      <c r="L449" s="2">
        <v>0</v>
      </c>
      <c r="M449" s="2">
        <v>116.5545039384138</v>
      </c>
      <c r="N449" s="2">
        <v>153.41999999999999</v>
      </c>
      <c r="O449" s="2">
        <v>7.67</v>
      </c>
      <c r="P449" s="2">
        <v>161.09</v>
      </c>
      <c r="Q449" s="2" t="s">
        <v>44</v>
      </c>
      <c r="R449" s="2"/>
      <c r="S449" t="str">
        <f>VLOOKUP(B449,CASOPOInvCL!$B$1:$D$1600,1,FALSE)</f>
        <v>SO17205</v>
      </c>
      <c r="T449">
        <f t="shared" si="6"/>
        <v>5</v>
      </c>
    </row>
    <row r="450" spans="1:20" ht="30" x14ac:dyDescent="0.25">
      <c r="A450" s="2">
        <v>1</v>
      </c>
      <c r="B450" s="2" t="s">
        <v>1393</v>
      </c>
      <c r="C450" s="2" t="s">
        <v>1394</v>
      </c>
      <c r="D450" s="2" t="s">
        <v>159</v>
      </c>
      <c r="E450" s="3">
        <v>45798.352951388893</v>
      </c>
      <c r="F450" s="3">
        <v>45798.372187499997</v>
      </c>
      <c r="G450" s="4">
        <v>45821</v>
      </c>
      <c r="H450" s="2" t="s">
        <v>40</v>
      </c>
      <c r="I450" s="2" t="s">
        <v>51</v>
      </c>
      <c r="J450" s="2">
        <v>0.7168814564314101</v>
      </c>
      <c r="K450" s="2">
        <v>1350.878853556532</v>
      </c>
      <c r="L450" s="2">
        <v>0</v>
      </c>
      <c r="M450" s="2">
        <v>968.42</v>
      </c>
      <c r="N450" s="2">
        <v>968.42</v>
      </c>
      <c r="O450" s="2"/>
      <c r="P450" s="2">
        <v>968.42</v>
      </c>
      <c r="Q450" s="2" t="s">
        <v>44</v>
      </c>
      <c r="R450" s="2"/>
      <c r="S450" t="str">
        <f>VLOOKUP(B450,CASOPOInvCL!$B$1:$D$1600,1,FALSE)</f>
        <v>SO17207</v>
      </c>
      <c r="T450">
        <f t="shared" si="6"/>
        <v>5</v>
      </c>
    </row>
    <row r="451" spans="1:20" x14ac:dyDescent="0.25">
      <c r="A451" s="2">
        <v>1</v>
      </c>
      <c r="B451" s="2" t="s">
        <v>1389</v>
      </c>
      <c r="C451" s="2" t="s">
        <v>1390</v>
      </c>
      <c r="D451" s="2" t="s">
        <v>129</v>
      </c>
      <c r="E451" s="3">
        <v>45798.633657407408</v>
      </c>
      <c r="F451" s="3">
        <v>45798.633657407408</v>
      </c>
      <c r="G451" s="4">
        <v>45534</v>
      </c>
      <c r="H451" s="2" t="s">
        <v>130</v>
      </c>
      <c r="I451" s="2" t="s">
        <v>51</v>
      </c>
      <c r="J451" s="2">
        <v>0.7168814564314101</v>
      </c>
      <c r="K451" s="2">
        <v>22413.747567115872</v>
      </c>
      <c r="L451" s="2">
        <v>0</v>
      </c>
      <c r="M451" s="2">
        <v>16068</v>
      </c>
      <c r="N451" s="2">
        <v>16068</v>
      </c>
      <c r="O451" s="2"/>
      <c r="P451" s="2">
        <v>16068</v>
      </c>
      <c r="Q451" s="2" t="s">
        <v>44</v>
      </c>
      <c r="R451" s="2"/>
      <c r="S451" t="str">
        <f>VLOOKUP(B451,CASOPOInvCL!$B$1:$D$1600,1,FALSE)</f>
        <v>SO17209</v>
      </c>
      <c r="T451">
        <f t="shared" ref="T451:T514" si="7">MONTH(E451)</f>
        <v>5</v>
      </c>
    </row>
    <row r="452" spans="1:20" x14ac:dyDescent="0.25">
      <c r="A452" s="2">
        <v>1</v>
      </c>
      <c r="B452" s="2" t="s">
        <v>1383</v>
      </c>
      <c r="C452" s="2" t="s">
        <v>1384</v>
      </c>
      <c r="D452" s="2" t="s">
        <v>6166</v>
      </c>
      <c r="E452" s="3">
        <v>45798.644849537042</v>
      </c>
      <c r="F452" s="3">
        <v>45799.469201388893</v>
      </c>
      <c r="G452" s="4">
        <v>45800</v>
      </c>
      <c r="H452" s="2" t="s">
        <v>1132</v>
      </c>
      <c r="I452" s="2" t="s">
        <v>22</v>
      </c>
      <c r="J452" s="2">
        <v>1</v>
      </c>
      <c r="K452" s="2">
        <v>200.08</v>
      </c>
      <c r="L452" s="2">
        <v>0</v>
      </c>
      <c r="M452" s="2">
        <v>144.37987630494791</v>
      </c>
      <c r="N452" s="2">
        <v>190.55</v>
      </c>
      <c r="O452" s="2">
        <v>9.5299999999999994</v>
      </c>
      <c r="P452" s="2">
        <v>200.08</v>
      </c>
      <c r="Q452" s="2" t="s">
        <v>44</v>
      </c>
      <c r="R452" s="2"/>
      <c r="S452" t="str">
        <f>VLOOKUP(B452,CASOPOInvCL!$B$1:$D$1600,1,FALSE)</f>
        <v>SO17210</v>
      </c>
      <c r="T452">
        <f t="shared" si="7"/>
        <v>5</v>
      </c>
    </row>
    <row r="453" spans="1:20" x14ac:dyDescent="0.25">
      <c r="A453" s="2">
        <v>0</v>
      </c>
      <c r="B453" s="2" t="s">
        <v>6168</v>
      </c>
      <c r="C453" s="2" t="s">
        <v>6169</v>
      </c>
      <c r="D453" s="2" t="s">
        <v>1091</v>
      </c>
      <c r="E453" s="3">
        <v>45798.678078703713</v>
      </c>
      <c r="F453" s="3">
        <v>45999.780694444453</v>
      </c>
      <c r="G453" s="4">
        <v>46034</v>
      </c>
      <c r="H453" s="2" t="s">
        <v>21</v>
      </c>
      <c r="I453" s="2" t="s">
        <v>22</v>
      </c>
      <c r="J453" s="2">
        <v>1</v>
      </c>
      <c r="K453" s="2">
        <v>10137.280000000001</v>
      </c>
      <c r="L453" s="2">
        <v>10137.280000000001</v>
      </c>
      <c r="M453" s="2">
        <v>10137.280000000001</v>
      </c>
      <c r="N453" s="2">
        <v>8971.0400000000009</v>
      </c>
      <c r="O453" s="2">
        <v>1166.24</v>
      </c>
      <c r="P453" s="2">
        <v>10137.280000000001</v>
      </c>
      <c r="Q453" s="2" t="s">
        <v>29</v>
      </c>
      <c r="R453" s="2"/>
      <c r="S453" t="str">
        <f>VLOOKUP(B453,CASOPOInvCL!$B$1:$D$1600,1,FALSE)</f>
        <v>SO17211</v>
      </c>
      <c r="T453">
        <f t="shared" si="7"/>
        <v>5</v>
      </c>
    </row>
    <row r="454" spans="1:20" x14ac:dyDescent="0.25">
      <c r="A454" s="2">
        <v>1</v>
      </c>
      <c r="B454" s="2" t="s">
        <v>1364</v>
      </c>
      <c r="C454" s="2" t="s">
        <v>1365</v>
      </c>
      <c r="D454" s="2" t="s">
        <v>32</v>
      </c>
      <c r="E454" s="3">
        <v>45798.706562500003</v>
      </c>
      <c r="F454" s="3">
        <v>45800.374803240738</v>
      </c>
      <c r="G454" s="4">
        <v>45828</v>
      </c>
      <c r="H454" s="2" t="s">
        <v>21</v>
      </c>
      <c r="I454" s="2" t="s">
        <v>22</v>
      </c>
      <c r="J454" s="2">
        <v>1</v>
      </c>
      <c r="K454" s="2">
        <v>33432.959999999999</v>
      </c>
      <c r="L454" s="2">
        <v>0</v>
      </c>
      <c r="M454" s="2">
        <v>24299.05152557273</v>
      </c>
      <c r="N454" s="2">
        <v>29586.69</v>
      </c>
      <c r="O454" s="2">
        <v>3846.27</v>
      </c>
      <c r="P454" s="2">
        <v>33432.959999999999</v>
      </c>
      <c r="Q454" s="2" t="s">
        <v>44</v>
      </c>
      <c r="R454" s="2"/>
      <c r="S454" t="str">
        <f>VLOOKUP(B454,CASOPOInvCL!$B$1:$D$1600,1,FALSE)</f>
        <v>SO17212</v>
      </c>
      <c r="T454">
        <f t="shared" si="7"/>
        <v>5</v>
      </c>
    </row>
    <row r="455" spans="1:20" x14ac:dyDescent="0.25">
      <c r="A455" s="2">
        <v>3</v>
      </c>
      <c r="B455" s="2" t="s">
        <v>1381</v>
      </c>
      <c r="C455" s="2" t="s">
        <v>1382</v>
      </c>
      <c r="D455" s="2" t="s">
        <v>98</v>
      </c>
      <c r="E455" s="3">
        <v>45798.716793981483</v>
      </c>
      <c r="F455" s="3">
        <v>45799.525960648149</v>
      </c>
      <c r="G455" s="4">
        <v>45897</v>
      </c>
      <c r="H455" s="2" t="s">
        <v>21</v>
      </c>
      <c r="I455" s="2" t="s">
        <v>22</v>
      </c>
      <c r="J455" s="2">
        <v>1</v>
      </c>
      <c r="K455" s="2">
        <v>7310.09</v>
      </c>
      <c r="L455" s="2">
        <v>0</v>
      </c>
      <c r="M455" s="2">
        <v>5275.0394341165338</v>
      </c>
      <c r="N455" s="2">
        <v>6469.1</v>
      </c>
      <c r="O455" s="2">
        <v>840.99</v>
      </c>
      <c r="P455" s="2">
        <v>7310.09</v>
      </c>
      <c r="Q455" s="2" t="s">
        <v>44</v>
      </c>
      <c r="R455" s="2"/>
      <c r="S455" t="str">
        <f>VLOOKUP(B455,CASOPOInvCL!$B$1:$D$1600,1,FALSE)</f>
        <v>SO17214</v>
      </c>
      <c r="T455">
        <f t="shared" si="7"/>
        <v>5</v>
      </c>
    </row>
    <row r="456" spans="1:20" x14ac:dyDescent="0.25">
      <c r="A456" s="2">
        <v>1</v>
      </c>
      <c r="B456" s="2" t="s">
        <v>1323</v>
      </c>
      <c r="C456" s="2" t="s">
        <v>1324</v>
      </c>
      <c r="D456" s="2" t="s">
        <v>20</v>
      </c>
      <c r="E456" s="3">
        <v>45799.392743055563</v>
      </c>
      <c r="F456" s="3">
        <v>45805.650104166663</v>
      </c>
      <c r="G456" s="4">
        <v>45898</v>
      </c>
      <c r="H456" s="2" t="s">
        <v>21</v>
      </c>
      <c r="I456" s="2" t="s">
        <v>22</v>
      </c>
      <c r="J456" s="2">
        <v>1</v>
      </c>
      <c r="K456" s="2">
        <v>2313.13</v>
      </c>
      <c r="L456" s="2">
        <v>0</v>
      </c>
      <c r="M456" s="2">
        <v>1673.634115681067</v>
      </c>
      <c r="N456" s="2">
        <v>2202.98</v>
      </c>
      <c r="O456" s="2">
        <v>110.15</v>
      </c>
      <c r="P456" s="2">
        <v>2313.13</v>
      </c>
      <c r="Q456" s="2" t="s">
        <v>44</v>
      </c>
      <c r="R456" s="2"/>
      <c r="S456" t="str">
        <f>VLOOKUP(B456,CASOPOInvCL!$B$1:$D$1600,1,FALSE)</f>
        <v>SO17216</v>
      </c>
      <c r="T456">
        <f t="shared" si="7"/>
        <v>5</v>
      </c>
    </row>
    <row r="457" spans="1:20" ht="30" x14ac:dyDescent="0.25">
      <c r="A457" s="2">
        <v>1</v>
      </c>
      <c r="B457" s="2" t="s">
        <v>1320</v>
      </c>
      <c r="C457" s="2" t="s">
        <v>1321</v>
      </c>
      <c r="D457" s="2" t="s">
        <v>1322</v>
      </c>
      <c r="E457" s="3">
        <v>45799.600266203714</v>
      </c>
      <c r="F457" s="3">
        <v>45805.69425925926</v>
      </c>
      <c r="G457" s="4">
        <v>45882</v>
      </c>
      <c r="H457" s="2" t="s">
        <v>21</v>
      </c>
      <c r="I457" s="2" t="s">
        <v>22</v>
      </c>
      <c r="J457" s="2">
        <v>1</v>
      </c>
      <c r="K457" s="2">
        <v>6231.59</v>
      </c>
      <c r="L457" s="2">
        <v>0</v>
      </c>
      <c r="M457" s="2">
        <v>4508.7831721247758</v>
      </c>
      <c r="N457" s="2">
        <v>5934.85</v>
      </c>
      <c r="O457" s="2">
        <v>296.74</v>
      </c>
      <c r="P457" s="2">
        <v>6231.59</v>
      </c>
      <c r="Q457" s="2" t="s">
        <v>44</v>
      </c>
      <c r="R457" s="2"/>
      <c r="S457" t="str">
        <f>VLOOKUP(B457,CASOPOInvCL!$B$1:$D$1600,1,FALSE)</f>
        <v>SO17218</v>
      </c>
      <c r="T457">
        <f t="shared" si="7"/>
        <v>5</v>
      </c>
    </row>
    <row r="458" spans="1:20" x14ac:dyDescent="0.25">
      <c r="A458" s="2">
        <v>1</v>
      </c>
      <c r="B458" s="2" t="s">
        <v>1354</v>
      </c>
      <c r="C458" s="2" t="s">
        <v>1355</v>
      </c>
      <c r="D458" s="2" t="s">
        <v>171</v>
      </c>
      <c r="E458" s="3">
        <v>45799.608854166669</v>
      </c>
      <c r="F458" s="3">
        <v>45800.605057870373</v>
      </c>
      <c r="G458" s="4">
        <v>45803</v>
      </c>
      <c r="H458" s="2" t="s">
        <v>1132</v>
      </c>
      <c r="I458" s="2" t="s">
        <v>22</v>
      </c>
      <c r="J458" s="2">
        <v>1</v>
      </c>
      <c r="K458" s="2">
        <v>166.72</v>
      </c>
      <c r="L458" s="2">
        <v>0</v>
      </c>
      <c r="M458" s="2">
        <v>121.1719773045368</v>
      </c>
      <c r="N458" s="2">
        <v>158.78</v>
      </c>
      <c r="O458" s="2">
        <v>7.94</v>
      </c>
      <c r="P458" s="2">
        <v>166.72</v>
      </c>
      <c r="Q458" s="2" t="s">
        <v>44</v>
      </c>
      <c r="R458" s="2"/>
      <c r="S458" t="str">
        <f>VLOOKUP(B458,CASOPOInvCL!$B$1:$D$1600,1,FALSE)</f>
        <v>SO17219</v>
      </c>
      <c r="T458">
        <f t="shared" si="7"/>
        <v>5</v>
      </c>
    </row>
    <row r="459" spans="1:20" ht="30" x14ac:dyDescent="0.25">
      <c r="A459" s="2">
        <v>1</v>
      </c>
      <c r="B459" s="2" t="s">
        <v>1362</v>
      </c>
      <c r="C459" s="2" t="s">
        <v>1363</v>
      </c>
      <c r="D459" s="2" t="s">
        <v>159</v>
      </c>
      <c r="E459" s="3">
        <v>45799.647245370368</v>
      </c>
      <c r="F459" s="3">
        <v>45800.408078703702</v>
      </c>
      <c r="G459" s="4">
        <v>45821</v>
      </c>
      <c r="H459" s="2" t="s">
        <v>40</v>
      </c>
      <c r="I459" s="2" t="s">
        <v>51</v>
      </c>
      <c r="J459" s="2">
        <v>0.72335666735002158</v>
      </c>
      <c r="K459" s="2">
        <v>3563.166161780624</v>
      </c>
      <c r="L459" s="2">
        <v>0</v>
      </c>
      <c r="M459" s="2">
        <v>2577.44</v>
      </c>
      <c r="N459" s="2">
        <v>2577.44</v>
      </c>
      <c r="O459" s="2"/>
      <c r="P459" s="2">
        <v>2577.44</v>
      </c>
      <c r="Q459" s="2" t="s">
        <v>44</v>
      </c>
      <c r="R459" s="2"/>
      <c r="S459" t="str">
        <f>VLOOKUP(B459,CASOPOInvCL!$B$1:$D$1600,1,FALSE)</f>
        <v>SO17220</v>
      </c>
      <c r="T459">
        <f t="shared" si="7"/>
        <v>5</v>
      </c>
    </row>
    <row r="460" spans="1:20" x14ac:dyDescent="0.25">
      <c r="A460" s="2">
        <v>1</v>
      </c>
      <c r="B460" s="2" t="s">
        <v>1376</v>
      </c>
      <c r="C460" s="2" t="s">
        <v>1377</v>
      </c>
      <c r="D460" s="2" t="s">
        <v>141</v>
      </c>
      <c r="E460" s="3">
        <v>45800.32984953704</v>
      </c>
      <c r="F460" s="3">
        <v>45800.331782407397</v>
      </c>
      <c r="G460" s="4">
        <v>45803</v>
      </c>
      <c r="H460" s="2" t="s">
        <v>21</v>
      </c>
      <c r="I460" s="2" t="s">
        <v>51</v>
      </c>
      <c r="J460" s="2">
        <v>0.72335666735002158</v>
      </c>
      <c r="K460" s="2">
        <v>3548.636676570371</v>
      </c>
      <c r="L460" s="2">
        <v>0</v>
      </c>
      <c r="M460" s="2">
        <v>2566.9299999999998</v>
      </c>
      <c r="N460" s="2">
        <v>2566.9299999999998</v>
      </c>
      <c r="O460" s="2"/>
      <c r="P460" s="2">
        <v>2566.9299999999998</v>
      </c>
      <c r="Q460" s="2" t="s">
        <v>44</v>
      </c>
      <c r="R460" s="2"/>
      <c r="S460" t="str">
        <f>VLOOKUP(B460,CASOPOInvCL!$B$1:$D$1600,1,FALSE)</f>
        <v>SO17221</v>
      </c>
      <c r="T460">
        <f t="shared" si="7"/>
        <v>5</v>
      </c>
    </row>
    <row r="461" spans="1:20" x14ac:dyDescent="0.25">
      <c r="A461" s="2">
        <v>1</v>
      </c>
      <c r="B461" s="2" t="s">
        <v>1374</v>
      </c>
      <c r="C461" s="2" t="s">
        <v>1375</v>
      </c>
      <c r="D461" s="2" t="s">
        <v>141</v>
      </c>
      <c r="E461" s="3">
        <v>45800.33803240741</v>
      </c>
      <c r="F461" s="3">
        <v>45800.341574074067</v>
      </c>
      <c r="G461" s="4">
        <v>45803</v>
      </c>
      <c r="H461" s="2" t="s">
        <v>21</v>
      </c>
      <c r="I461" s="2" t="s">
        <v>51</v>
      </c>
      <c r="J461" s="2">
        <v>0.72335666735002158</v>
      </c>
      <c r="K461" s="2">
        <v>2706.700702950176</v>
      </c>
      <c r="L461" s="2">
        <v>0</v>
      </c>
      <c r="M461" s="2">
        <v>1957.91</v>
      </c>
      <c r="N461" s="2">
        <v>1957.91</v>
      </c>
      <c r="O461" s="2"/>
      <c r="P461" s="2">
        <v>1957.91</v>
      </c>
      <c r="Q461" s="2" t="s">
        <v>44</v>
      </c>
      <c r="R461" s="2"/>
      <c r="S461" t="str">
        <f>VLOOKUP(B461,CASOPOInvCL!$B$1:$D$1600,1,FALSE)</f>
        <v>SO17222</v>
      </c>
      <c r="T461">
        <f t="shared" si="7"/>
        <v>5</v>
      </c>
    </row>
    <row r="462" spans="1:20" x14ac:dyDescent="0.25">
      <c r="A462" s="2">
        <v>1</v>
      </c>
      <c r="B462" s="2" t="s">
        <v>1372</v>
      </c>
      <c r="C462" s="2" t="s">
        <v>1373</v>
      </c>
      <c r="D462" s="2" t="s">
        <v>141</v>
      </c>
      <c r="E462" s="3">
        <v>45800.349918981483</v>
      </c>
      <c r="F462" s="3">
        <v>45800.351724537039</v>
      </c>
      <c r="G462" s="4">
        <v>45803</v>
      </c>
      <c r="H462" s="2" t="s">
        <v>21</v>
      </c>
      <c r="I462" s="2" t="s">
        <v>51</v>
      </c>
      <c r="J462" s="2">
        <v>0.72335666735002158</v>
      </c>
      <c r="K462" s="2">
        <v>3525.093657243006</v>
      </c>
      <c r="L462" s="2">
        <v>0</v>
      </c>
      <c r="M462" s="2">
        <v>2549.9</v>
      </c>
      <c r="N462" s="2">
        <v>2549.9</v>
      </c>
      <c r="O462" s="2"/>
      <c r="P462" s="2">
        <v>2549.9</v>
      </c>
      <c r="Q462" s="2" t="s">
        <v>44</v>
      </c>
      <c r="R462" s="2"/>
      <c r="S462" t="str">
        <f>VLOOKUP(B462,CASOPOInvCL!$B$1:$D$1600,1,FALSE)</f>
        <v>SO17223</v>
      </c>
      <c r="T462">
        <f t="shared" si="7"/>
        <v>5</v>
      </c>
    </row>
    <row r="463" spans="1:20" x14ac:dyDescent="0.25">
      <c r="A463" s="2">
        <v>1</v>
      </c>
      <c r="B463" s="2" t="s">
        <v>1368</v>
      </c>
      <c r="C463" s="2" t="s">
        <v>1369</v>
      </c>
      <c r="D463" s="2" t="s">
        <v>141</v>
      </c>
      <c r="E463" s="3">
        <v>45800.355740740742</v>
      </c>
      <c r="F463" s="3">
        <v>45800.370034722233</v>
      </c>
      <c r="G463" s="4">
        <v>45803</v>
      </c>
      <c r="H463" s="2" t="s">
        <v>21</v>
      </c>
      <c r="I463" s="2" t="s">
        <v>51</v>
      </c>
      <c r="J463" s="2">
        <v>0.72335666735002158</v>
      </c>
      <c r="K463" s="2">
        <v>2605.4781618374532</v>
      </c>
      <c r="L463" s="2">
        <v>0</v>
      </c>
      <c r="M463" s="2">
        <v>1884.69</v>
      </c>
      <c r="N463" s="2">
        <v>1884.69</v>
      </c>
      <c r="O463" s="2"/>
      <c r="P463" s="2">
        <v>1884.69</v>
      </c>
      <c r="Q463" s="2" t="s">
        <v>44</v>
      </c>
      <c r="R463" s="2"/>
      <c r="S463" t="str">
        <f>VLOOKUP(B463,CASOPOInvCL!$B$1:$D$1600,1,FALSE)</f>
        <v>SO17224</v>
      </c>
      <c r="T463">
        <f t="shared" si="7"/>
        <v>5</v>
      </c>
    </row>
    <row r="464" spans="1:20" x14ac:dyDescent="0.25">
      <c r="A464" s="2">
        <v>1</v>
      </c>
      <c r="B464" s="2" t="s">
        <v>1356</v>
      </c>
      <c r="C464" s="2" t="s">
        <v>1357</v>
      </c>
      <c r="D464" s="2" t="s">
        <v>242</v>
      </c>
      <c r="E464" s="3">
        <v>45800.435358796298</v>
      </c>
      <c r="F464" s="3">
        <v>45800.578275462962</v>
      </c>
      <c r="G464" s="4">
        <v>45803</v>
      </c>
      <c r="H464" s="2" t="s">
        <v>21</v>
      </c>
      <c r="I464" s="2" t="s">
        <v>22</v>
      </c>
      <c r="J464" s="2">
        <v>1</v>
      </c>
      <c r="K464" s="2">
        <v>391.77</v>
      </c>
      <c r="L464" s="2">
        <v>0</v>
      </c>
      <c r="M464" s="2">
        <v>284.73815708132418</v>
      </c>
      <c r="N464" s="2">
        <v>373.11</v>
      </c>
      <c r="O464" s="2">
        <v>18.66</v>
      </c>
      <c r="P464" s="2">
        <v>391.77</v>
      </c>
      <c r="Q464" s="2" t="s">
        <v>44</v>
      </c>
      <c r="R464" s="2"/>
      <c r="S464" t="str">
        <f>VLOOKUP(B464,CASOPOInvCL!$B$1:$D$1600,1,FALSE)</f>
        <v>SO17225</v>
      </c>
      <c r="T464">
        <f t="shared" si="7"/>
        <v>5</v>
      </c>
    </row>
    <row r="465" spans="1:20" ht="30" x14ac:dyDescent="0.25">
      <c r="A465" s="2">
        <v>1</v>
      </c>
      <c r="B465" s="2" t="s">
        <v>1431</v>
      </c>
      <c r="C465" s="2" t="s">
        <v>1432</v>
      </c>
      <c r="D465" s="2" t="s">
        <v>159</v>
      </c>
      <c r="E465" s="3">
        <v>45800.466550925928</v>
      </c>
      <c r="F465" s="3">
        <v>45790.466597222221</v>
      </c>
      <c r="G465" s="4">
        <v>45923</v>
      </c>
      <c r="H465" s="2" t="s">
        <v>426</v>
      </c>
      <c r="I465" s="2" t="s">
        <v>51</v>
      </c>
      <c r="J465" s="2">
        <v>0.71640017533217071</v>
      </c>
      <c r="K465" s="2">
        <v>48556.660366353062</v>
      </c>
      <c r="L465" s="2">
        <v>0</v>
      </c>
      <c r="M465" s="2">
        <v>34786</v>
      </c>
      <c r="N465" s="2">
        <v>34786</v>
      </c>
      <c r="O465" s="2"/>
      <c r="P465" s="2">
        <v>34786</v>
      </c>
      <c r="Q465" s="2" t="s">
        <v>44</v>
      </c>
      <c r="R465" s="2"/>
      <c r="S465" t="str">
        <f>VLOOKUP(B465,CASOPOInvCL!$B$1:$D$1600,1,FALSE)</f>
        <v>SO17226</v>
      </c>
      <c r="T465">
        <f t="shared" si="7"/>
        <v>5</v>
      </c>
    </row>
    <row r="466" spans="1:20" x14ac:dyDescent="0.25">
      <c r="A466" s="2">
        <v>1</v>
      </c>
      <c r="B466" s="2" t="s">
        <v>1360</v>
      </c>
      <c r="C466" s="2" t="s">
        <v>1361</v>
      </c>
      <c r="D466" s="2" t="s">
        <v>141</v>
      </c>
      <c r="E466" s="3">
        <v>45800.553946759261</v>
      </c>
      <c r="F466" s="3">
        <v>45800.554606481477</v>
      </c>
      <c r="G466" s="4">
        <v>45803</v>
      </c>
      <c r="H466" s="2" t="s">
        <v>21</v>
      </c>
      <c r="I466" s="2" t="s">
        <v>51</v>
      </c>
      <c r="J466" s="2">
        <v>0.72335666735002158</v>
      </c>
      <c r="K466" s="2">
        <v>134.69150751997569</v>
      </c>
      <c r="L466" s="2">
        <v>0</v>
      </c>
      <c r="M466" s="2">
        <v>97.43</v>
      </c>
      <c r="N466" s="2">
        <v>97.43</v>
      </c>
      <c r="O466" s="2"/>
      <c r="P466" s="2">
        <v>97.43</v>
      </c>
      <c r="Q466" s="2" t="s">
        <v>44</v>
      </c>
      <c r="R466" s="2"/>
      <c r="S466" t="str">
        <f>VLOOKUP(B466,CASOPOInvCL!$B$1:$D$1600,1,FALSE)</f>
        <v>SO17227</v>
      </c>
      <c r="T466">
        <f t="shared" si="7"/>
        <v>5</v>
      </c>
    </row>
    <row r="467" spans="1:20" x14ac:dyDescent="0.25">
      <c r="A467" s="2">
        <v>1</v>
      </c>
      <c r="B467" s="2" t="s">
        <v>1352</v>
      </c>
      <c r="C467" s="2" t="s">
        <v>1353</v>
      </c>
      <c r="D467" s="2" t="s">
        <v>1179</v>
      </c>
      <c r="E467" s="3">
        <v>45800.561562499999</v>
      </c>
      <c r="F467" s="3">
        <v>45800.666215277779</v>
      </c>
      <c r="G467" s="4">
        <v>45803</v>
      </c>
      <c r="H467" s="2" t="s">
        <v>21</v>
      </c>
      <c r="I467" s="2" t="s">
        <v>22</v>
      </c>
      <c r="J467" s="2">
        <v>1</v>
      </c>
      <c r="K467" s="2">
        <v>4547.72</v>
      </c>
      <c r="L467" s="2">
        <v>0</v>
      </c>
      <c r="M467" s="2">
        <v>3305.279658273681</v>
      </c>
      <c r="N467" s="2">
        <v>4331.1499999999996</v>
      </c>
      <c r="O467" s="2">
        <v>216.57</v>
      </c>
      <c r="P467" s="2">
        <v>4547.72</v>
      </c>
      <c r="Q467" s="2" t="s">
        <v>44</v>
      </c>
      <c r="R467" s="2"/>
      <c r="S467" t="str">
        <f>VLOOKUP(B467,CASOPOInvCL!$B$1:$D$1600,1,FALSE)</f>
        <v>SO17229</v>
      </c>
      <c r="T467">
        <f t="shared" si="7"/>
        <v>5</v>
      </c>
    </row>
    <row r="468" spans="1:20" x14ac:dyDescent="0.25">
      <c r="A468" s="2">
        <v>1</v>
      </c>
      <c r="B468" s="2" t="s">
        <v>1350</v>
      </c>
      <c r="C468" s="2" t="s">
        <v>1351</v>
      </c>
      <c r="D468" s="2" t="s">
        <v>20</v>
      </c>
      <c r="E468" s="3">
        <v>45800.70140046296</v>
      </c>
      <c r="F468" s="3">
        <v>45800.702997685177</v>
      </c>
      <c r="G468" s="4">
        <v>45803</v>
      </c>
      <c r="H468" s="2" t="s">
        <v>21</v>
      </c>
      <c r="I468" s="2" t="s">
        <v>22</v>
      </c>
      <c r="J468" s="2">
        <v>1</v>
      </c>
      <c r="K468" s="2">
        <v>551.48</v>
      </c>
      <c r="L468" s="2">
        <v>0</v>
      </c>
      <c r="M468" s="2">
        <v>400.81527137659521</v>
      </c>
      <c r="N468" s="2">
        <v>525.22</v>
      </c>
      <c r="O468" s="2">
        <v>26.26</v>
      </c>
      <c r="P468" s="2">
        <v>551.48</v>
      </c>
      <c r="Q468" s="2" t="s">
        <v>44</v>
      </c>
      <c r="R468" s="2"/>
      <c r="S468" t="str">
        <f>VLOOKUP(B468,CASOPOInvCL!$B$1:$D$1600,1,FALSE)</f>
        <v>SO17230</v>
      </c>
      <c r="T468">
        <f t="shared" si="7"/>
        <v>5</v>
      </c>
    </row>
    <row r="469" spans="1:20" x14ac:dyDescent="0.25">
      <c r="A469" s="2">
        <v>1</v>
      </c>
      <c r="B469" s="2" t="s">
        <v>1336</v>
      </c>
      <c r="C469" s="2" t="s">
        <v>1337</v>
      </c>
      <c r="D469" s="2" t="s">
        <v>86</v>
      </c>
      <c r="E469" s="3">
        <v>45803.427835648137</v>
      </c>
      <c r="F469" s="3">
        <v>45804.58016203704</v>
      </c>
      <c r="G469" s="4">
        <v>45805</v>
      </c>
      <c r="H469" s="2" t="s">
        <v>1132</v>
      </c>
      <c r="I469" s="2" t="s">
        <v>22</v>
      </c>
      <c r="J469" s="2">
        <v>1</v>
      </c>
      <c r="K469" s="2">
        <v>132.43</v>
      </c>
      <c r="L469" s="2">
        <v>0</v>
      </c>
      <c r="M469" s="2">
        <v>96.115339593466302</v>
      </c>
      <c r="N469" s="2">
        <v>126.12</v>
      </c>
      <c r="O469" s="2">
        <v>6.31</v>
      </c>
      <c r="P469" s="2">
        <v>132.43</v>
      </c>
      <c r="Q469" s="2" t="s">
        <v>44</v>
      </c>
      <c r="R469" s="2"/>
      <c r="S469" t="str">
        <f>VLOOKUP(B469,CASOPOInvCL!$B$1:$D$1600,1,FALSE)</f>
        <v>SO17234</v>
      </c>
      <c r="T469">
        <f t="shared" si="7"/>
        <v>5</v>
      </c>
    </row>
    <row r="470" spans="1:20" x14ac:dyDescent="0.25">
      <c r="A470" s="2">
        <v>1</v>
      </c>
      <c r="B470" s="2" t="s">
        <v>1346</v>
      </c>
      <c r="C470" s="2" t="s">
        <v>1347</v>
      </c>
      <c r="D470" s="2" t="s">
        <v>146</v>
      </c>
      <c r="E470" s="3">
        <v>45803.431006944447</v>
      </c>
      <c r="F470" s="3">
        <v>45803.553749999999</v>
      </c>
      <c r="G470" s="4">
        <v>45827</v>
      </c>
      <c r="H470" s="2" t="s">
        <v>21</v>
      </c>
      <c r="I470" s="2" t="s">
        <v>22</v>
      </c>
      <c r="J470" s="2">
        <v>1</v>
      </c>
      <c r="K470" s="2">
        <v>1112.75</v>
      </c>
      <c r="L470" s="2">
        <v>1112.75</v>
      </c>
      <c r="M470" s="2">
        <v>1112.75</v>
      </c>
      <c r="N470" s="2">
        <v>1059.76</v>
      </c>
      <c r="O470" s="2">
        <v>52.99</v>
      </c>
      <c r="P470" s="2">
        <v>1112.75</v>
      </c>
      <c r="Q470" s="2" t="s">
        <v>44</v>
      </c>
      <c r="R470" s="2"/>
      <c r="S470" t="str">
        <f>VLOOKUP(B470,CASOPOInvCL!$B$1:$D$1600,1,FALSE)</f>
        <v>SO17235</v>
      </c>
      <c r="T470">
        <f t="shared" si="7"/>
        <v>5</v>
      </c>
    </row>
    <row r="471" spans="1:20" x14ac:dyDescent="0.25">
      <c r="A471" s="2">
        <v>1</v>
      </c>
      <c r="B471" s="2" t="s">
        <v>1342</v>
      </c>
      <c r="C471" s="2" t="s">
        <v>1343</v>
      </c>
      <c r="D471" s="2" t="s">
        <v>146</v>
      </c>
      <c r="E471" s="3">
        <v>45803.625231481477</v>
      </c>
      <c r="F471" s="3">
        <v>45804.5312037037</v>
      </c>
      <c r="G471" s="4">
        <v>45805</v>
      </c>
      <c r="H471" s="2" t="s">
        <v>21</v>
      </c>
      <c r="I471" s="2" t="s">
        <v>22</v>
      </c>
      <c r="J471" s="2">
        <v>1</v>
      </c>
      <c r="K471" s="2">
        <v>1086.52</v>
      </c>
      <c r="L471" s="2">
        <v>0</v>
      </c>
      <c r="M471" s="2">
        <v>788.57689930599565</v>
      </c>
      <c r="N471" s="2">
        <v>1034.78</v>
      </c>
      <c r="O471" s="2">
        <v>51.74</v>
      </c>
      <c r="P471" s="2">
        <v>1086.52</v>
      </c>
      <c r="Q471" s="2" t="s">
        <v>44</v>
      </c>
      <c r="R471" s="2"/>
      <c r="S471" t="str">
        <f>VLOOKUP(B471,CASOPOInvCL!$B$1:$D$1600,1,FALSE)</f>
        <v>SO17237</v>
      </c>
      <c r="T471">
        <f t="shared" si="7"/>
        <v>5</v>
      </c>
    </row>
    <row r="472" spans="1:20" ht="30" x14ac:dyDescent="0.25">
      <c r="A472" s="2">
        <v>1</v>
      </c>
      <c r="B472" s="2" t="s">
        <v>1344</v>
      </c>
      <c r="C472" s="2" t="s">
        <v>1345</v>
      </c>
      <c r="D472" s="2" t="s">
        <v>239</v>
      </c>
      <c r="E472" s="3">
        <v>45803.669548611113</v>
      </c>
      <c r="F472" s="3">
        <v>45803.670034722221</v>
      </c>
      <c r="G472" s="4">
        <v>45813</v>
      </c>
      <c r="H472" s="2" t="s">
        <v>180</v>
      </c>
      <c r="I472" s="2" t="s">
        <v>51</v>
      </c>
      <c r="J472" s="2">
        <v>0.72793141414156337</v>
      </c>
      <c r="K472" s="2">
        <v>5353.8560423250119</v>
      </c>
      <c r="L472" s="2">
        <v>0</v>
      </c>
      <c r="M472" s="2">
        <v>3897.24</v>
      </c>
      <c r="N472" s="2">
        <v>3897.24</v>
      </c>
      <c r="O472" s="2"/>
      <c r="P472" s="2">
        <v>3897.24</v>
      </c>
      <c r="Q472" s="2" t="s">
        <v>44</v>
      </c>
      <c r="R472" s="2"/>
      <c r="S472" t="str">
        <f>VLOOKUP(B472,CASOPOInvCL!$B$1:$D$1600,1,FALSE)</f>
        <v>SO17238</v>
      </c>
      <c r="T472">
        <f t="shared" si="7"/>
        <v>5</v>
      </c>
    </row>
    <row r="473" spans="1:20" x14ac:dyDescent="0.25">
      <c r="A473" s="2">
        <v>1</v>
      </c>
      <c r="B473" s="2" t="s">
        <v>1325</v>
      </c>
      <c r="C473" s="2" t="s">
        <v>1326</v>
      </c>
      <c r="D473" s="2" t="s">
        <v>242</v>
      </c>
      <c r="E473" s="3">
        <v>45804.575150462973</v>
      </c>
      <c r="F473" s="3">
        <v>45805.64539351852</v>
      </c>
      <c r="G473" s="4">
        <v>45806</v>
      </c>
      <c r="H473" s="2" t="s">
        <v>21</v>
      </c>
      <c r="I473" s="2" t="s">
        <v>22</v>
      </c>
      <c r="J473" s="2">
        <v>1</v>
      </c>
      <c r="K473" s="2">
        <v>300.67</v>
      </c>
      <c r="L473" s="2">
        <v>0</v>
      </c>
      <c r="M473" s="2">
        <v>217.54573653959201</v>
      </c>
      <c r="N473" s="2">
        <v>286.35000000000002</v>
      </c>
      <c r="O473" s="2">
        <v>14.32</v>
      </c>
      <c r="P473" s="2">
        <v>300.67</v>
      </c>
      <c r="Q473" s="2" t="s">
        <v>44</v>
      </c>
      <c r="R473" s="2"/>
      <c r="S473" t="str">
        <f>VLOOKUP(B473,CASOPOInvCL!$B$1:$D$1600,1,FALSE)</f>
        <v>SO17241</v>
      </c>
      <c r="T473">
        <f t="shared" si="7"/>
        <v>5</v>
      </c>
    </row>
    <row r="474" spans="1:20" ht="30" x14ac:dyDescent="0.25">
      <c r="A474" s="2">
        <v>1</v>
      </c>
      <c r="B474" s="2" t="s">
        <v>1269</v>
      </c>
      <c r="C474" s="2" t="s">
        <v>1270</v>
      </c>
      <c r="D474" s="2" t="s">
        <v>239</v>
      </c>
      <c r="E474" s="3">
        <v>45804.604872685188</v>
      </c>
      <c r="F474" s="3">
        <v>45813.609479166669</v>
      </c>
      <c r="G474" s="4">
        <v>45895</v>
      </c>
      <c r="H474" s="2" t="s">
        <v>180</v>
      </c>
      <c r="I474" s="2" t="s">
        <v>51</v>
      </c>
      <c r="J474" s="2">
        <v>0.73142063106581767</v>
      </c>
      <c r="K474" s="2">
        <v>3636.7582305189821</v>
      </c>
      <c r="L474" s="2">
        <v>0</v>
      </c>
      <c r="M474" s="2">
        <v>2660</v>
      </c>
      <c r="N474" s="2">
        <v>2660</v>
      </c>
      <c r="O474" s="2"/>
      <c r="P474" s="2">
        <v>2660</v>
      </c>
      <c r="Q474" s="2" t="s">
        <v>44</v>
      </c>
      <c r="R474" s="2"/>
      <c r="S474" t="str">
        <f>VLOOKUP(B474,CASOPOInvCL!$B$1:$D$1600,1,FALSE)</f>
        <v>SO17242</v>
      </c>
      <c r="T474">
        <f t="shared" si="7"/>
        <v>5</v>
      </c>
    </row>
    <row r="475" spans="1:20" x14ac:dyDescent="0.25">
      <c r="A475" s="2">
        <v>1</v>
      </c>
      <c r="B475" s="2" t="s">
        <v>1247</v>
      </c>
      <c r="C475" s="2" t="s">
        <v>1248</v>
      </c>
      <c r="D475" s="2" t="s">
        <v>54</v>
      </c>
      <c r="E475" s="3">
        <v>45804.648634259262</v>
      </c>
      <c r="F475" s="3">
        <v>45818.648634259262</v>
      </c>
      <c r="G475" s="4">
        <v>45895</v>
      </c>
      <c r="H475" s="2" t="s">
        <v>21</v>
      </c>
      <c r="I475" s="2" t="s">
        <v>22</v>
      </c>
      <c r="J475" s="2">
        <v>1</v>
      </c>
      <c r="K475" s="2">
        <v>18951.39</v>
      </c>
      <c r="L475" s="2">
        <v>0</v>
      </c>
      <c r="M475" s="2">
        <v>13848.461135392759</v>
      </c>
      <c r="N475" s="2">
        <v>18048.939999999999</v>
      </c>
      <c r="O475" s="2">
        <v>902.45</v>
      </c>
      <c r="P475" s="2">
        <v>18951.39</v>
      </c>
      <c r="Q475" s="2" t="s">
        <v>44</v>
      </c>
      <c r="R475" s="2"/>
      <c r="S475" t="str">
        <f>VLOOKUP(B475,CASOPOInvCL!$B$1:$D$1600,1,FALSE)</f>
        <v>SO17243</v>
      </c>
      <c r="T475">
        <f t="shared" si="7"/>
        <v>5</v>
      </c>
    </row>
    <row r="476" spans="1:20" x14ac:dyDescent="0.25">
      <c r="A476" s="2">
        <v>1</v>
      </c>
      <c r="B476" s="2" t="s">
        <v>1334</v>
      </c>
      <c r="C476" s="2" t="s">
        <v>1335</v>
      </c>
      <c r="D476" s="2" t="s">
        <v>86</v>
      </c>
      <c r="E476" s="3">
        <v>45804.718553240738</v>
      </c>
      <c r="F476" s="3">
        <v>45804.718726851846</v>
      </c>
      <c r="G476" s="4">
        <v>45867</v>
      </c>
      <c r="H476" s="2" t="s">
        <v>21</v>
      </c>
      <c r="I476" s="2" t="s">
        <v>22</v>
      </c>
      <c r="J476" s="2">
        <v>1</v>
      </c>
      <c r="K476" s="2">
        <v>440.87</v>
      </c>
      <c r="L476" s="2">
        <v>0</v>
      </c>
      <c r="M476" s="2">
        <v>319.97560799344171</v>
      </c>
      <c r="N476" s="2">
        <v>419.88</v>
      </c>
      <c r="O476" s="2">
        <v>20.99</v>
      </c>
      <c r="P476" s="2">
        <v>440.87</v>
      </c>
      <c r="Q476" s="2" t="s">
        <v>44</v>
      </c>
      <c r="R476" s="2"/>
      <c r="S476" t="str">
        <f>VLOOKUP(B476,CASOPOInvCL!$B$1:$D$1600,1,FALSE)</f>
        <v>SO17245</v>
      </c>
      <c r="T476">
        <f t="shared" si="7"/>
        <v>5</v>
      </c>
    </row>
    <row r="477" spans="1:20" x14ac:dyDescent="0.25">
      <c r="A477" s="2">
        <v>1</v>
      </c>
      <c r="B477" s="2" t="s">
        <v>1316</v>
      </c>
      <c r="C477" s="2" t="s">
        <v>1317</v>
      </c>
      <c r="D477" s="2" t="s">
        <v>242</v>
      </c>
      <c r="E477" s="3">
        <v>45805.336030092592</v>
      </c>
      <c r="F477" s="3">
        <v>45806.476550925923</v>
      </c>
      <c r="G477" s="4">
        <v>45810</v>
      </c>
      <c r="H477" s="2" t="s">
        <v>21</v>
      </c>
      <c r="I477" s="2" t="s">
        <v>22</v>
      </c>
      <c r="J477" s="2">
        <v>1</v>
      </c>
      <c r="K477" s="2">
        <v>746.81</v>
      </c>
      <c r="L477" s="2">
        <v>0</v>
      </c>
      <c r="M477" s="2">
        <v>540.76264251654129</v>
      </c>
      <c r="N477" s="2">
        <v>711.25</v>
      </c>
      <c r="O477" s="2">
        <v>35.56</v>
      </c>
      <c r="P477" s="2">
        <v>746.81</v>
      </c>
      <c r="Q477" s="2" t="s">
        <v>44</v>
      </c>
      <c r="R477" s="2"/>
      <c r="S477" t="str">
        <f>VLOOKUP(B477,CASOPOInvCL!$B$1:$D$1600,1,FALSE)</f>
        <v>SO17246</v>
      </c>
      <c r="T477">
        <f t="shared" si="7"/>
        <v>5</v>
      </c>
    </row>
    <row r="478" spans="1:20" x14ac:dyDescent="0.25">
      <c r="A478" s="2">
        <v>2</v>
      </c>
      <c r="B478" s="2" t="s">
        <v>1329</v>
      </c>
      <c r="C478" s="2" t="s">
        <v>1330</v>
      </c>
      <c r="D478" s="2" t="s">
        <v>98</v>
      </c>
      <c r="E478" s="3">
        <v>45805.534143518518</v>
      </c>
      <c r="F478" s="3">
        <v>45805.53565972222</v>
      </c>
      <c r="G478" s="4">
        <v>45806</v>
      </c>
      <c r="H478" s="2" t="s">
        <v>21</v>
      </c>
      <c r="I478" s="2" t="s">
        <v>22</v>
      </c>
      <c r="J478" s="2">
        <v>1</v>
      </c>
      <c r="K478" s="2">
        <v>4908.1099999999997</v>
      </c>
      <c r="L478" s="2">
        <v>0</v>
      </c>
      <c r="M478" s="2">
        <v>3551.197009902342</v>
      </c>
      <c r="N478" s="2">
        <v>4343.46</v>
      </c>
      <c r="O478" s="2">
        <v>564.65</v>
      </c>
      <c r="P478" s="2">
        <v>4908.1099999999997</v>
      </c>
      <c r="Q478" s="2" t="s">
        <v>44</v>
      </c>
      <c r="R478" s="2"/>
      <c r="S478" t="str">
        <f>VLOOKUP(B478,CASOPOInvCL!$B$1:$D$1600,1,FALSE)</f>
        <v>SO17249</v>
      </c>
      <c r="T478">
        <f t="shared" si="7"/>
        <v>5</v>
      </c>
    </row>
    <row r="479" spans="1:20" x14ac:dyDescent="0.25">
      <c r="A479" s="2">
        <v>1</v>
      </c>
      <c r="B479" s="2" t="s">
        <v>1308</v>
      </c>
      <c r="C479" s="2" t="s">
        <v>1309</v>
      </c>
      <c r="D479" s="2" t="s">
        <v>80</v>
      </c>
      <c r="E479" s="3">
        <v>45805.685601851852</v>
      </c>
      <c r="F479" s="3">
        <v>45807.660729166673</v>
      </c>
      <c r="G479" s="4">
        <v>45810</v>
      </c>
      <c r="H479" s="2" t="s">
        <v>180</v>
      </c>
      <c r="I479" s="2" t="s">
        <v>51</v>
      </c>
      <c r="J479" s="2">
        <v>0.72738688760819992</v>
      </c>
      <c r="K479" s="2">
        <v>349.59387408832549</v>
      </c>
      <c r="L479" s="2">
        <v>0</v>
      </c>
      <c r="M479" s="2">
        <v>254.29</v>
      </c>
      <c r="N479" s="2">
        <v>254.29</v>
      </c>
      <c r="O479" s="2"/>
      <c r="P479" s="2">
        <v>254.29</v>
      </c>
      <c r="Q479" s="2" t="s">
        <v>44</v>
      </c>
      <c r="R479" s="2"/>
      <c r="S479" t="str">
        <f>VLOOKUP(B479,CASOPOInvCL!$B$1:$D$1600,1,FALSE)</f>
        <v>SO17250</v>
      </c>
      <c r="T479">
        <f t="shared" si="7"/>
        <v>5</v>
      </c>
    </row>
    <row r="480" spans="1:20" ht="30" x14ac:dyDescent="0.25">
      <c r="A480" s="2">
        <v>2</v>
      </c>
      <c r="B480" s="2" t="s">
        <v>1318</v>
      </c>
      <c r="C480" s="2" t="s">
        <v>1319</v>
      </c>
      <c r="D480" s="2" t="s">
        <v>159</v>
      </c>
      <c r="E480" s="3">
        <v>45806.396678240737</v>
      </c>
      <c r="F480" s="3">
        <v>45806.400462962964</v>
      </c>
      <c r="G480" s="4">
        <v>45894</v>
      </c>
      <c r="H480" s="2" t="s">
        <v>40</v>
      </c>
      <c r="I480" s="2" t="s">
        <v>51</v>
      </c>
      <c r="J480" s="2">
        <v>0.72353655682173823</v>
      </c>
      <c r="K480" s="2">
        <v>206959.96434205471</v>
      </c>
      <c r="L480" s="2">
        <v>0</v>
      </c>
      <c r="M480" s="2">
        <v>149743.1</v>
      </c>
      <c r="N480" s="2">
        <v>149743.1</v>
      </c>
      <c r="O480" s="2"/>
      <c r="P480" s="2">
        <v>149743.1</v>
      </c>
      <c r="Q480" s="2" t="s">
        <v>44</v>
      </c>
      <c r="R480" s="2"/>
      <c r="S480" t="str">
        <f>VLOOKUP(B480,CASOPOInvCL!$B$1:$D$1600,1,FALSE)</f>
        <v>SO17253</v>
      </c>
      <c r="T480">
        <f t="shared" si="7"/>
        <v>5</v>
      </c>
    </row>
    <row r="481" spans="1:20" x14ac:dyDescent="0.25">
      <c r="A481" s="2">
        <v>1</v>
      </c>
      <c r="B481" s="2" t="s">
        <v>1314</v>
      </c>
      <c r="C481" s="2" t="s">
        <v>1315</v>
      </c>
      <c r="D481" s="2" t="s">
        <v>39</v>
      </c>
      <c r="E481" s="3">
        <v>45807.451909722222</v>
      </c>
      <c r="F481" s="3">
        <v>45807.4528587963</v>
      </c>
      <c r="G481" s="4">
        <v>45810</v>
      </c>
      <c r="H481" s="2" t="s">
        <v>21</v>
      </c>
      <c r="I481" s="2" t="s">
        <v>22</v>
      </c>
      <c r="J481" s="2">
        <v>1</v>
      </c>
      <c r="K481" s="2">
        <v>3553.6</v>
      </c>
      <c r="L481" s="2">
        <v>0</v>
      </c>
      <c r="M481" s="2">
        <v>2584.8420438044991</v>
      </c>
      <c r="N481" s="2">
        <v>3384.38</v>
      </c>
      <c r="O481" s="2">
        <v>169.22</v>
      </c>
      <c r="P481" s="2">
        <v>3553.6</v>
      </c>
      <c r="Q481" s="2" t="s">
        <v>44</v>
      </c>
      <c r="R481" s="2"/>
      <c r="S481" t="str">
        <f>VLOOKUP(B481,CASOPOInvCL!$B$1:$D$1600,1,FALSE)</f>
        <v>SO17254</v>
      </c>
      <c r="T481">
        <f t="shared" si="7"/>
        <v>5</v>
      </c>
    </row>
    <row r="482" spans="1:20" x14ac:dyDescent="0.25">
      <c r="A482" s="2">
        <v>1</v>
      </c>
      <c r="B482" s="2" t="s">
        <v>1293</v>
      </c>
      <c r="C482" s="2" t="s">
        <v>1294</v>
      </c>
      <c r="D482" s="2" t="s">
        <v>1236</v>
      </c>
      <c r="E482" s="3">
        <v>45807.506319444437</v>
      </c>
      <c r="F482" s="3">
        <v>45811.539629629631</v>
      </c>
      <c r="G482" s="4">
        <v>45813</v>
      </c>
      <c r="H482" s="2" t="s">
        <v>36</v>
      </c>
      <c r="I482" s="2" t="s">
        <v>22</v>
      </c>
      <c r="J482" s="2">
        <v>1</v>
      </c>
      <c r="K482" s="2">
        <v>596.54999999999995</v>
      </c>
      <c r="L482" s="2">
        <v>0</v>
      </c>
      <c r="M482" s="2">
        <v>434.70757805053648</v>
      </c>
      <c r="N482" s="2">
        <v>568.13</v>
      </c>
      <c r="O482" s="2">
        <v>28.42</v>
      </c>
      <c r="P482" s="2">
        <v>596.54999999999995</v>
      </c>
      <c r="Q482" s="2" t="s">
        <v>44</v>
      </c>
      <c r="R482" s="2"/>
      <c r="S482" t="str">
        <f>VLOOKUP(B482,CASOPOInvCL!$B$1:$D$1600,1,FALSE)</f>
        <v>SO17256</v>
      </c>
      <c r="T482">
        <f t="shared" si="7"/>
        <v>5</v>
      </c>
    </row>
    <row r="483" spans="1:20" x14ac:dyDescent="0.25">
      <c r="A483" s="2">
        <v>1</v>
      </c>
      <c r="B483" s="2" t="s">
        <v>1310</v>
      </c>
      <c r="C483" s="2" t="s">
        <v>1311</v>
      </c>
      <c r="D483" s="2" t="s">
        <v>612</v>
      </c>
      <c r="E483" s="3">
        <v>45807.590185185189</v>
      </c>
      <c r="F483" s="3">
        <v>45807.616736111107</v>
      </c>
      <c r="G483" s="4">
        <v>45810</v>
      </c>
      <c r="H483" s="2" t="s">
        <v>21</v>
      </c>
      <c r="I483" s="2" t="s">
        <v>22</v>
      </c>
      <c r="J483" s="2">
        <v>1</v>
      </c>
      <c r="K483" s="2">
        <v>863.29</v>
      </c>
      <c r="L483" s="2">
        <v>0</v>
      </c>
      <c r="M483" s="2">
        <v>627.94582620328288</v>
      </c>
      <c r="N483" s="2">
        <v>763.98</v>
      </c>
      <c r="O483" s="2">
        <v>99.31</v>
      </c>
      <c r="P483" s="2">
        <v>863.29</v>
      </c>
      <c r="Q483" s="2" t="s">
        <v>44</v>
      </c>
      <c r="R483" s="2"/>
      <c r="S483" t="str">
        <f>VLOOKUP(B483,CASOPOInvCL!$B$1:$D$1600,1,FALSE)</f>
        <v>SO17257</v>
      </c>
      <c r="T483">
        <f t="shared" si="7"/>
        <v>5</v>
      </c>
    </row>
    <row r="484" spans="1:20" x14ac:dyDescent="0.25">
      <c r="A484" s="2">
        <v>1</v>
      </c>
      <c r="B484" s="2" t="s">
        <v>1306</v>
      </c>
      <c r="C484" s="2" t="s">
        <v>1307</v>
      </c>
      <c r="D484" s="2" t="s">
        <v>26</v>
      </c>
      <c r="E484" s="3">
        <v>45807.678715277783</v>
      </c>
      <c r="F484" s="3">
        <v>45807.683240740742</v>
      </c>
      <c r="G484" s="4">
        <v>45810</v>
      </c>
      <c r="H484" s="2" t="s">
        <v>180</v>
      </c>
      <c r="I484" s="2" t="s">
        <v>22</v>
      </c>
      <c r="J484" s="2">
        <v>1</v>
      </c>
      <c r="K484" s="2">
        <v>26.73</v>
      </c>
      <c r="L484" s="2">
        <v>0</v>
      </c>
      <c r="M484" s="2">
        <v>19.44305150576718</v>
      </c>
      <c r="N484" s="2">
        <v>26.73</v>
      </c>
      <c r="O484" s="2"/>
      <c r="P484" s="2">
        <v>26.73</v>
      </c>
      <c r="Q484" s="2" t="s">
        <v>44</v>
      </c>
      <c r="R484" s="2"/>
      <c r="S484" t="str">
        <f>VLOOKUP(B484,CASOPOInvCL!$B$1:$D$1600,1,FALSE)</f>
        <v>SO17259</v>
      </c>
      <c r="T484">
        <f t="shared" si="7"/>
        <v>5</v>
      </c>
    </row>
    <row r="485" spans="1:20" x14ac:dyDescent="0.25">
      <c r="A485" s="2">
        <v>1</v>
      </c>
      <c r="B485" s="2" t="s">
        <v>1280</v>
      </c>
      <c r="C485" s="2" t="s">
        <v>1281</v>
      </c>
      <c r="D485" s="2" t="s">
        <v>644</v>
      </c>
      <c r="E485" s="3">
        <v>45807.689386574071</v>
      </c>
      <c r="F485" s="3">
        <v>45812.474907407413</v>
      </c>
      <c r="G485" s="4">
        <v>45813</v>
      </c>
      <c r="H485" s="2" t="s">
        <v>21</v>
      </c>
      <c r="I485" s="2" t="s">
        <v>51</v>
      </c>
      <c r="J485" s="2">
        <v>0.7287026704392533</v>
      </c>
      <c r="K485" s="2">
        <v>3001.2515237273528</v>
      </c>
      <c r="L485" s="2">
        <v>0</v>
      </c>
      <c r="M485" s="2">
        <v>2187.02</v>
      </c>
      <c r="N485" s="2">
        <v>2187.02</v>
      </c>
      <c r="O485" s="2"/>
      <c r="P485" s="2">
        <v>2187.02</v>
      </c>
      <c r="Q485" s="2" t="s">
        <v>44</v>
      </c>
      <c r="R485" s="2"/>
      <c r="S485" t="str">
        <f>VLOOKUP(B485,CASOPOInvCL!$B$1:$D$1600,1,FALSE)</f>
        <v>SO17260</v>
      </c>
      <c r="T485">
        <f t="shared" si="7"/>
        <v>5</v>
      </c>
    </row>
    <row r="486" spans="1:20" x14ac:dyDescent="0.25">
      <c r="A486" s="2">
        <v>1</v>
      </c>
      <c r="B486" s="2" t="s">
        <v>1304</v>
      </c>
      <c r="C486" s="2" t="s">
        <v>1305</v>
      </c>
      <c r="D486" s="2" t="s">
        <v>47</v>
      </c>
      <c r="E486" s="3">
        <v>45807.696736111109</v>
      </c>
      <c r="F486" s="3">
        <v>45807.699016203696</v>
      </c>
      <c r="G486" s="4">
        <v>45810</v>
      </c>
      <c r="H486" s="2" t="s">
        <v>21</v>
      </c>
      <c r="I486" s="2" t="s">
        <v>22</v>
      </c>
      <c r="J486" s="2">
        <v>1</v>
      </c>
      <c r="K486" s="2">
        <v>3169.03</v>
      </c>
      <c r="L486" s="2">
        <v>0</v>
      </c>
      <c r="M486" s="2">
        <v>2305.1108684370138</v>
      </c>
      <c r="N486" s="2">
        <v>2804.45</v>
      </c>
      <c r="O486" s="2">
        <v>364.58</v>
      </c>
      <c r="P486" s="2">
        <v>3169.03</v>
      </c>
      <c r="Q486" s="2" t="s">
        <v>44</v>
      </c>
      <c r="R486" s="2"/>
      <c r="S486" t="str">
        <f>VLOOKUP(B486,CASOPOInvCL!$B$1:$D$1600,1,FALSE)</f>
        <v>SO17261</v>
      </c>
      <c r="T486">
        <f t="shared" si="7"/>
        <v>5</v>
      </c>
    </row>
    <row r="487" spans="1:20" x14ac:dyDescent="0.25">
      <c r="A487" s="2">
        <v>1</v>
      </c>
      <c r="B487" s="2" t="s">
        <v>1234</v>
      </c>
      <c r="C487" s="2" t="s">
        <v>1235</v>
      </c>
      <c r="D487" s="2" t="s">
        <v>1236</v>
      </c>
      <c r="E487" s="3">
        <v>45807.716111111113</v>
      </c>
      <c r="F487" s="3">
        <v>45818.728217592587</v>
      </c>
      <c r="G487" s="4">
        <v>45821</v>
      </c>
      <c r="H487" s="2" t="s">
        <v>21</v>
      </c>
      <c r="I487" s="2" t="s">
        <v>22</v>
      </c>
      <c r="J487" s="2">
        <v>1</v>
      </c>
      <c r="K487" s="2">
        <v>2179.6799999999998</v>
      </c>
      <c r="L487" s="2">
        <v>0</v>
      </c>
      <c r="M487" s="2">
        <v>1592.770438875084</v>
      </c>
      <c r="N487" s="2">
        <v>2075.88</v>
      </c>
      <c r="O487" s="2">
        <v>103.8</v>
      </c>
      <c r="P487" s="2">
        <v>2179.6799999999998</v>
      </c>
      <c r="Q487" s="2" t="s">
        <v>44</v>
      </c>
      <c r="R487" s="2"/>
      <c r="S487" t="str">
        <f>VLOOKUP(B487,CASOPOInvCL!$B$1:$D$1600,1,FALSE)</f>
        <v>SO17262</v>
      </c>
      <c r="T487">
        <f t="shared" si="7"/>
        <v>5</v>
      </c>
    </row>
    <row r="488" spans="1:20" x14ac:dyDescent="0.25">
      <c r="A488" s="2">
        <v>1</v>
      </c>
      <c r="B488" s="2" t="s">
        <v>1302</v>
      </c>
      <c r="C488" s="2" t="s">
        <v>1303</v>
      </c>
      <c r="D488" s="2" t="s">
        <v>129</v>
      </c>
      <c r="E488" s="3">
        <v>45807.784687500003</v>
      </c>
      <c r="F488" s="3">
        <v>45807.784490740742</v>
      </c>
      <c r="G488" s="4">
        <v>45898</v>
      </c>
      <c r="H488" s="2" t="s">
        <v>130</v>
      </c>
      <c r="I488" s="2" t="s">
        <v>51</v>
      </c>
      <c r="J488" s="2">
        <v>0.72409668123959414</v>
      </c>
      <c r="K488" s="2">
        <v>20508.3110926265</v>
      </c>
      <c r="L488" s="2">
        <v>0</v>
      </c>
      <c r="M488" s="2">
        <v>14850</v>
      </c>
      <c r="N488" s="2">
        <v>14850</v>
      </c>
      <c r="O488" s="2"/>
      <c r="P488" s="2">
        <v>14850</v>
      </c>
      <c r="Q488" s="2" t="s">
        <v>44</v>
      </c>
      <c r="R488" s="2"/>
      <c r="S488" t="str">
        <f>VLOOKUP(B488,CASOPOInvCL!$B$1:$D$1600,1,FALSE)</f>
        <v>SO17263</v>
      </c>
      <c r="T488">
        <f t="shared" si="7"/>
        <v>5</v>
      </c>
    </row>
    <row r="489" spans="1:20" x14ac:dyDescent="0.25">
      <c r="A489" s="2">
        <v>3</v>
      </c>
      <c r="B489" s="2" t="s">
        <v>1262</v>
      </c>
      <c r="C489" s="2" t="s">
        <v>1263</v>
      </c>
      <c r="D489" s="2" t="s">
        <v>39</v>
      </c>
      <c r="E489" s="3">
        <v>45810.332731481481</v>
      </c>
      <c r="F489" s="3">
        <v>45813.696226851847</v>
      </c>
      <c r="G489" s="4">
        <v>45890</v>
      </c>
      <c r="H489" s="2" t="s">
        <v>21</v>
      </c>
      <c r="I489" s="2" t="s">
        <v>22</v>
      </c>
      <c r="J489" s="2">
        <v>1</v>
      </c>
      <c r="K489" s="2">
        <v>4549.3900000000003</v>
      </c>
      <c r="L489" s="2">
        <v>0</v>
      </c>
      <c r="M489" s="2">
        <v>3328.7090648040021</v>
      </c>
      <c r="N489" s="2">
        <v>4332.75</v>
      </c>
      <c r="O489" s="2">
        <v>216.64</v>
      </c>
      <c r="P489" s="2">
        <v>4549.3900000000003</v>
      </c>
      <c r="Q489" s="2" t="s">
        <v>44</v>
      </c>
      <c r="R489" s="2"/>
      <c r="S489" t="str">
        <f>VLOOKUP(B489,CASOPOInvCL!$B$1:$D$1600,1,FALSE)</f>
        <v>SO17264</v>
      </c>
      <c r="T489">
        <f t="shared" si="7"/>
        <v>6</v>
      </c>
    </row>
    <row r="490" spans="1:20" ht="30" x14ac:dyDescent="0.25">
      <c r="A490" s="2">
        <v>1</v>
      </c>
      <c r="B490" s="2" t="s">
        <v>1300</v>
      </c>
      <c r="C490" s="2" t="s">
        <v>1301</v>
      </c>
      <c r="D490" s="2" t="s">
        <v>239</v>
      </c>
      <c r="E490" s="3">
        <v>45810.339780092603</v>
      </c>
      <c r="F490" s="3">
        <v>45810.340532407397</v>
      </c>
      <c r="G490" s="4">
        <v>45814</v>
      </c>
      <c r="H490" s="2" t="s">
        <v>180</v>
      </c>
      <c r="I490" s="2" t="s">
        <v>51</v>
      </c>
      <c r="J490" s="2">
        <v>0.72782949041434608</v>
      </c>
      <c r="K490" s="2">
        <v>2677.3028925918761</v>
      </c>
      <c r="L490" s="2">
        <v>0</v>
      </c>
      <c r="M490" s="2">
        <v>1948.62</v>
      </c>
      <c r="N490" s="2">
        <v>1948.62</v>
      </c>
      <c r="O490" s="2"/>
      <c r="P490" s="2">
        <v>1948.62</v>
      </c>
      <c r="Q490" s="2" t="s">
        <v>44</v>
      </c>
      <c r="R490" s="2"/>
      <c r="S490" t="str">
        <f>VLOOKUP(B490,CASOPOInvCL!$B$1:$D$1600,1,FALSE)</f>
        <v>SO17265</v>
      </c>
      <c r="T490">
        <f t="shared" si="7"/>
        <v>6</v>
      </c>
    </row>
    <row r="491" spans="1:20" x14ac:dyDescent="0.25">
      <c r="A491" s="2">
        <v>1</v>
      </c>
      <c r="B491" s="2" t="s">
        <v>1278</v>
      </c>
      <c r="C491" s="2" t="s">
        <v>1279</v>
      </c>
      <c r="D491" s="2" t="s">
        <v>135</v>
      </c>
      <c r="E491" s="3">
        <v>45810.417094907411</v>
      </c>
      <c r="F491" s="3">
        <v>45812.51766203704</v>
      </c>
      <c r="G491" s="4">
        <v>45896</v>
      </c>
      <c r="H491" s="2" t="s">
        <v>21</v>
      </c>
      <c r="I491" s="2" t="s">
        <v>22</v>
      </c>
      <c r="J491" s="2">
        <v>1</v>
      </c>
      <c r="K491" s="2">
        <v>13676.48</v>
      </c>
      <c r="L491" s="2">
        <v>0</v>
      </c>
      <c r="M491" s="2">
        <v>10003.25963235903</v>
      </c>
      <c r="N491" s="2">
        <v>12103.08</v>
      </c>
      <c r="O491" s="2">
        <v>1573.4</v>
      </c>
      <c r="P491" s="2">
        <v>13676.48</v>
      </c>
      <c r="Q491" s="2" t="s">
        <v>44</v>
      </c>
      <c r="R491" s="2"/>
      <c r="S491" t="str">
        <f>VLOOKUP(B491,CASOPOInvCL!$B$1:$D$1600,1,FALSE)</f>
        <v>SO17267</v>
      </c>
      <c r="T491">
        <f t="shared" si="7"/>
        <v>6</v>
      </c>
    </row>
    <row r="492" spans="1:20" x14ac:dyDescent="0.25">
      <c r="A492" s="2">
        <v>1</v>
      </c>
      <c r="B492" s="2" t="s">
        <v>1259</v>
      </c>
      <c r="C492" s="2" t="s">
        <v>1260</v>
      </c>
      <c r="D492" s="2" t="s">
        <v>1261</v>
      </c>
      <c r="E492" s="3">
        <v>45810.577384259261</v>
      </c>
      <c r="F492" s="3">
        <v>45814.493564814817</v>
      </c>
      <c r="G492" s="4">
        <v>45877</v>
      </c>
      <c r="H492" s="2" t="s">
        <v>21</v>
      </c>
      <c r="I492" s="2" t="s">
        <v>22</v>
      </c>
      <c r="J492" s="2">
        <v>1</v>
      </c>
      <c r="K492" s="2">
        <v>5995.8</v>
      </c>
      <c r="L492" s="2">
        <v>0</v>
      </c>
      <c r="M492" s="2">
        <v>4380.871989709558</v>
      </c>
      <c r="N492" s="2">
        <v>5710.29</v>
      </c>
      <c r="O492" s="2">
        <v>285.51</v>
      </c>
      <c r="P492" s="2">
        <v>5995.8</v>
      </c>
      <c r="Q492" s="2" t="s">
        <v>44</v>
      </c>
      <c r="R492" s="2"/>
      <c r="S492" t="str">
        <f>VLOOKUP(B492,CASOPOInvCL!$B$1:$D$1600,1,FALSE)</f>
        <v>SO17269</v>
      </c>
      <c r="T492">
        <f t="shared" si="7"/>
        <v>6</v>
      </c>
    </row>
    <row r="493" spans="1:20" x14ac:dyDescent="0.25">
      <c r="A493" s="2">
        <v>1</v>
      </c>
      <c r="B493" s="2" t="s">
        <v>1291</v>
      </c>
      <c r="C493" s="2" t="s">
        <v>1292</v>
      </c>
      <c r="D493" s="2" t="s">
        <v>20</v>
      </c>
      <c r="E493" s="3">
        <v>45810.671458333331</v>
      </c>
      <c r="F493" s="3">
        <v>45811.57472222222</v>
      </c>
      <c r="G493" s="4">
        <v>45812</v>
      </c>
      <c r="H493" s="2" t="s">
        <v>21</v>
      </c>
      <c r="I493" s="2" t="s">
        <v>22</v>
      </c>
      <c r="J493" s="2">
        <v>1</v>
      </c>
      <c r="K493" s="2">
        <v>255.73</v>
      </c>
      <c r="L493" s="2">
        <v>0</v>
      </c>
      <c r="M493" s="2">
        <v>186.3511339114302</v>
      </c>
      <c r="N493" s="2">
        <v>243.55</v>
      </c>
      <c r="O493" s="2">
        <v>12.18</v>
      </c>
      <c r="P493" s="2">
        <v>255.73</v>
      </c>
      <c r="Q493" s="2" t="s">
        <v>44</v>
      </c>
      <c r="R493" s="2"/>
      <c r="S493" t="str">
        <f>VLOOKUP(B493,CASOPOInvCL!$B$1:$D$1600,1,FALSE)</f>
        <v>SO17271</v>
      </c>
      <c r="T493">
        <f t="shared" si="7"/>
        <v>6</v>
      </c>
    </row>
    <row r="494" spans="1:20" x14ac:dyDescent="0.25">
      <c r="A494" s="2">
        <v>1</v>
      </c>
      <c r="B494" s="2" t="s">
        <v>1273</v>
      </c>
      <c r="C494" s="2" t="s">
        <v>1274</v>
      </c>
      <c r="D494" s="2" t="s">
        <v>1275</v>
      </c>
      <c r="E494" s="3">
        <v>45811.581064814818</v>
      </c>
      <c r="F494" s="3">
        <v>45812.582256944443</v>
      </c>
      <c r="G494" s="4">
        <v>45814</v>
      </c>
      <c r="H494" s="2" t="s">
        <v>21</v>
      </c>
      <c r="I494" s="2" t="s">
        <v>22</v>
      </c>
      <c r="J494" s="2">
        <v>1</v>
      </c>
      <c r="K494" s="2">
        <v>281.7</v>
      </c>
      <c r="L494" s="2">
        <v>0</v>
      </c>
      <c r="M494" s="2">
        <v>206.04119177124079</v>
      </c>
      <c r="N494" s="2">
        <v>268.29000000000002</v>
      </c>
      <c r="O494" s="2">
        <v>13.41</v>
      </c>
      <c r="P494" s="2">
        <v>281.7</v>
      </c>
      <c r="Q494" s="2" t="s">
        <v>44</v>
      </c>
      <c r="R494" s="2"/>
      <c r="S494" t="str">
        <f>VLOOKUP(B494,CASOPOInvCL!$B$1:$D$1600,1,FALSE)</f>
        <v>SO17274</v>
      </c>
      <c r="T494">
        <f t="shared" si="7"/>
        <v>6</v>
      </c>
    </row>
    <row r="495" spans="1:20" x14ac:dyDescent="0.25">
      <c r="A495" s="2">
        <v>1</v>
      </c>
      <c r="B495" s="2" t="s">
        <v>1241</v>
      </c>
      <c r="C495" s="2" t="s">
        <v>1242</v>
      </c>
      <c r="D495" s="2" t="s">
        <v>54</v>
      </c>
      <c r="E495" s="3">
        <v>45812.354513888888</v>
      </c>
      <c r="F495" s="3">
        <v>45818.677025462966</v>
      </c>
      <c r="G495" s="4">
        <v>45819</v>
      </c>
      <c r="H495" s="2" t="s">
        <v>21</v>
      </c>
      <c r="I495" s="2" t="s">
        <v>22</v>
      </c>
      <c r="J495" s="2">
        <v>1</v>
      </c>
      <c r="K495" s="2">
        <v>330.7</v>
      </c>
      <c r="L495" s="2">
        <v>0</v>
      </c>
      <c r="M495" s="2">
        <v>241.65436400572119</v>
      </c>
      <c r="N495" s="2">
        <v>314.95</v>
      </c>
      <c r="O495" s="2">
        <v>15.75</v>
      </c>
      <c r="P495" s="2">
        <v>330.7</v>
      </c>
      <c r="Q495" s="2" t="s">
        <v>44</v>
      </c>
      <c r="R495" s="2"/>
      <c r="S495" t="str">
        <f>VLOOKUP(B495,CASOPOInvCL!$B$1:$D$1600,1,FALSE)</f>
        <v>SO17276</v>
      </c>
      <c r="T495">
        <f t="shared" si="7"/>
        <v>6</v>
      </c>
    </row>
    <row r="496" spans="1:20" x14ac:dyDescent="0.25">
      <c r="A496" s="2">
        <v>1</v>
      </c>
      <c r="B496" s="2" t="s">
        <v>1286</v>
      </c>
      <c r="C496" s="2" t="s">
        <v>1287</v>
      </c>
      <c r="D496" s="2" t="s">
        <v>1288</v>
      </c>
      <c r="E496" s="3">
        <v>45812.366087962961</v>
      </c>
      <c r="F496" s="3">
        <v>45812.367094907408</v>
      </c>
      <c r="G496" s="4">
        <v>45813</v>
      </c>
      <c r="H496" s="2" t="s">
        <v>21</v>
      </c>
      <c r="I496" s="2" t="s">
        <v>51</v>
      </c>
      <c r="J496" s="2">
        <v>0.7287026704392533</v>
      </c>
      <c r="K496" s="2">
        <v>227.91188606443421</v>
      </c>
      <c r="L496" s="2">
        <v>0</v>
      </c>
      <c r="M496" s="2">
        <v>166.08</v>
      </c>
      <c r="N496" s="2">
        <v>166.08</v>
      </c>
      <c r="O496" s="2"/>
      <c r="P496" s="2">
        <v>166.08</v>
      </c>
      <c r="Q496" s="2" t="s">
        <v>44</v>
      </c>
      <c r="R496" s="2"/>
      <c r="S496" t="str">
        <f>VLOOKUP(B496,CASOPOInvCL!$B$1:$D$1600,1,FALSE)</f>
        <v>SO17277</v>
      </c>
      <c r="T496">
        <f t="shared" si="7"/>
        <v>6</v>
      </c>
    </row>
    <row r="497" spans="1:20" ht="30" x14ac:dyDescent="0.25">
      <c r="A497" s="2">
        <v>1</v>
      </c>
      <c r="B497" s="2" t="s">
        <v>1284</v>
      </c>
      <c r="C497" s="2" t="s">
        <v>1285</v>
      </c>
      <c r="D497" s="2" t="s">
        <v>26</v>
      </c>
      <c r="E497" s="3">
        <v>45812.366967592592</v>
      </c>
      <c r="F497" s="3">
        <v>45812.367708333331</v>
      </c>
      <c r="G497" s="4">
        <v>45751</v>
      </c>
      <c r="H497" s="2" t="s">
        <v>21</v>
      </c>
      <c r="I497" s="2" t="s">
        <v>22</v>
      </c>
      <c r="J497" s="2">
        <v>1</v>
      </c>
      <c r="K497" s="2">
        <v>0</v>
      </c>
      <c r="L497" s="2">
        <v>0</v>
      </c>
      <c r="M497" s="2">
        <v>0</v>
      </c>
      <c r="N497" s="2"/>
      <c r="O497" s="2"/>
      <c r="P497" s="2"/>
      <c r="Q497" s="2" t="s">
        <v>44</v>
      </c>
      <c r="R497" s="2"/>
      <c r="S497" t="str">
        <f>VLOOKUP(B497,CASOPOInvCL!$B$1:$D$1600,1,FALSE)</f>
        <v>SO17278</v>
      </c>
      <c r="T497">
        <f t="shared" si="7"/>
        <v>6</v>
      </c>
    </row>
    <row r="498" spans="1:20" x14ac:dyDescent="0.25">
      <c r="A498" s="2">
        <v>1</v>
      </c>
      <c r="B498" s="2" t="s">
        <v>1282</v>
      </c>
      <c r="C498" s="2" t="s">
        <v>1283</v>
      </c>
      <c r="D498" s="2" t="s">
        <v>80</v>
      </c>
      <c r="E498" s="3">
        <v>45812.449918981481</v>
      </c>
      <c r="F498" s="3">
        <v>45812.451226851852</v>
      </c>
      <c r="G498" s="4">
        <v>45813</v>
      </c>
      <c r="H498" s="2" t="s">
        <v>21</v>
      </c>
      <c r="I498" s="2" t="s">
        <v>22</v>
      </c>
      <c r="J498" s="2">
        <v>1</v>
      </c>
      <c r="K498" s="2">
        <v>154.94</v>
      </c>
      <c r="L498" s="2">
        <v>0</v>
      </c>
      <c r="M498" s="2">
        <v>113.3263125773378</v>
      </c>
      <c r="N498" s="2">
        <v>147.56</v>
      </c>
      <c r="O498" s="2">
        <v>7.38</v>
      </c>
      <c r="P498" s="2">
        <v>154.94</v>
      </c>
      <c r="Q498" s="2" t="s">
        <v>44</v>
      </c>
      <c r="R498" s="2"/>
      <c r="S498" t="str">
        <f>VLOOKUP(B498,CASOPOInvCL!$B$1:$D$1600,1,FALSE)</f>
        <v>SO17282</v>
      </c>
      <c r="T498">
        <f t="shared" si="7"/>
        <v>6</v>
      </c>
    </row>
    <row r="499" spans="1:20" x14ac:dyDescent="0.25">
      <c r="A499" s="2">
        <v>1</v>
      </c>
      <c r="B499" s="2" t="s">
        <v>1264</v>
      </c>
      <c r="C499" s="2" t="s">
        <v>1265</v>
      </c>
      <c r="D499" s="2" t="s">
        <v>20</v>
      </c>
      <c r="E499" s="3">
        <v>45812.485914351862</v>
      </c>
      <c r="F499" s="3">
        <v>45813.625532407408</v>
      </c>
      <c r="G499" s="4">
        <v>45453</v>
      </c>
      <c r="H499" s="2" t="s">
        <v>21</v>
      </c>
      <c r="I499" s="2" t="s">
        <v>22</v>
      </c>
      <c r="J499" s="2">
        <v>1</v>
      </c>
      <c r="K499" s="2">
        <v>248.38</v>
      </c>
      <c r="L499" s="2">
        <v>0</v>
      </c>
      <c r="M499" s="2">
        <v>181.7353002305843</v>
      </c>
      <c r="N499" s="2">
        <v>236.55</v>
      </c>
      <c r="O499" s="2">
        <v>11.83</v>
      </c>
      <c r="P499" s="2">
        <v>248.38</v>
      </c>
      <c r="Q499" s="2" t="s">
        <v>44</v>
      </c>
      <c r="R499" s="2"/>
      <c r="S499" t="str">
        <f>VLOOKUP(B499,CASOPOInvCL!$B$1:$D$1600,1,FALSE)</f>
        <v>SO17283</v>
      </c>
      <c r="T499">
        <f t="shared" si="7"/>
        <v>6</v>
      </c>
    </row>
    <row r="500" spans="1:20" ht="30" x14ac:dyDescent="0.25">
      <c r="A500" s="2">
        <v>1</v>
      </c>
      <c r="B500" s="2" t="s">
        <v>1276</v>
      </c>
      <c r="C500" s="2" t="s">
        <v>1277</v>
      </c>
      <c r="D500" s="2" t="s">
        <v>26</v>
      </c>
      <c r="E500" s="3">
        <v>45812.53696759259</v>
      </c>
      <c r="F500" s="3">
        <v>45812.537685185183</v>
      </c>
      <c r="G500" s="4">
        <v>45813</v>
      </c>
      <c r="H500" s="2" t="s">
        <v>21</v>
      </c>
      <c r="I500" s="2" t="s">
        <v>22</v>
      </c>
      <c r="J500" s="2">
        <v>1</v>
      </c>
      <c r="K500" s="2">
        <v>0</v>
      </c>
      <c r="L500" s="2">
        <v>0</v>
      </c>
      <c r="M500" s="2">
        <v>0</v>
      </c>
      <c r="N500" s="2"/>
      <c r="O500" s="2"/>
      <c r="P500" s="2"/>
      <c r="Q500" s="2" t="s">
        <v>44</v>
      </c>
      <c r="R500" s="2"/>
      <c r="S500" t="str">
        <f>VLOOKUP(B500,CASOPOInvCL!$B$1:$D$1600,1,FALSE)</f>
        <v>SO17284</v>
      </c>
      <c r="T500">
        <f t="shared" si="7"/>
        <v>6</v>
      </c>
    </row>
    <row r="501" spans="1:20" x14ac:dyDescent="0.25">
      <c r="A501" s="2">
        <v>1</v>
      </c>
      <c r="B501" s="2" t="s">
        <v>377</v>
      </c>
      <c r="C501" s="2" t="s">
        <v>378</v>
      </c>
      <c r="D501" s="2" t="s">
        <v>245</v>
      </c>
      <c r="E501" s="3">
        <v>45812.538773148153</v>
      </c>
      <c r="F501" s="3">
        <v>45950.333807870367</v>
      </c>
      <c r="G501" s="4">
        <v>45951</v>
      </c>
      <c r="H501" s="2" t="s">
        <v>21</v>
      </c>
      <c r="I501" s="2" t="s">
        <v>22</v>
      </c>
      <c r="J501" s="2">
        <v>1</v>
      </c>
      <c r="K501" s="2">
        <v>286.76</v>
      </c>
      <c r="L501" s="2">
        <v>0</v>
      </c>
      <c r="M501" s="2">
        <v>204.38087953342111</v>
      </c>
      <c r="N501" s="2">
        <v>273.10000000000002</v>
      </c>
      <c r="O501" s="2">
        <v>13.66</v>
      </c>
      <c r="P501" s="2">
        <v>286.76</v>
      </c>
      <c r="Q501" s="2" t="s">
        <v>44</v>
      </c>
      <c r="R501" s="2"/>
      <c r="S501" t="str">
        <f>VLOOKUP(B501,CASOPOInvCL!$B$1:$D$1600,1,FALSE)</f>
        <v>SO17285</v>
      </c>
      <c r="T501">
        <f t="shared" si="7"/>
        <v>6</v>
      </c>
    </row>
    <row r="502" spans="1:20" x14ac:dyDescent="0.25">
      <c r="A502" s="2">
        <v>1</v>
      </c>
      <c r="B502" s="2" t="s">
        <v>1255</v>
      </c>
      <c r="C502" s="2" t="s">
        <v>1256</v>
      </c>
      <c r="D502" s="2" t="s">
        <v>864</v>
      </c>
      <c r="E502" s="3">
        <v>45812.544976851852</v>
      </c>
      <c r="F502" s="3">
        <v>45817.350104166668</v>
      </c>
      <c r="G502" s="4">
        <v>45818</v>
      </c>
      <c r="H502" s="2" t="s">
        <v>21</v>
      </c>
      <c r="I502" s="2" t="s">
        <v>22</v>
      </c>
      <c r="J502" s="2">
        <v>1</v>
      </c>
      <c r="K502" s="2">
        <v>889.12</v>
      </c>
      <c r="L502" s="2">
        <v>0</v>
      </c>
      <c r="M502" s="2">
        <v>650.09066551502087</v>
      </c>
      <c r="N502" s="2">
        <v>846.78</v>
      </c>
      <c r="O502" s="2">
        <v>42.34</v>
      </c>
      <c r="P502" s="2">
        <v>889.12</v>
      </c>
      <c r="Q502" s="2" t="s">
        <v>44</v>
      </c>
      <c r="R502" s="2"/>
      <c r="S502" t="str">
        <f>VLOOKUP(B502,CASOPOInvCL!$B$1:$D$1600,1,FALSE)</f>
        <v>SO17286</v>
      </c>
      <c r="T502">
        <f t="shared" si="7"/>
        <v>6</v>
      </c>
    </row>
    <row r="503" spans="1:20" x14ac:dyDescent="0.25">
      <c r="A503" s="2">
        <v>1</v>
      </c>
      <c r="B503" s="2" t="s">
        <v>1271</v>
      </c>
      <c r="C503" s="2" t="s">
        <v>1272</v>
      </c>
      <c r="D503" s="2" t="s">
        <v>129</v>
      </c>
      <c r="E503" s="3">
        <v>45813.421666666669</v>
      </c>
      <c r="F503" s="3">
        <v>45813.421493055554</v>
      </c>
      <c r="G503" s="4">
        <v>45891</v>
      </c>
      <c r="H503" s="2" t="s">
        <v>130</v>
      </c>
      <c r="I503" s="2" t="s">
        <v>51</v>
      </c>
      <c r="J503" s="2">
        <v>0.73142063106581767</v>
      </c>
      <c r="K503" s="2">
        <v>3459.0219260199342</v>
      </c>
      <c r="L503" s="2">
        <v>0</v>
      </c>
      <c r="M503" s="2">
        <v>2530</v>
      </c>
      <c r="N503" s="2">
        <v>2530</v>
      </c>
      <c r="O503" s="2"/>
      <c r="P503" s="2">
        <v>2530</v>
      </c>
      <c r="Q503" s="2" t="s">
        <v>44</v>
      </c>
      <c r="R503" s="2"/>
      <c r="S503" t="str">
        <f>VLOOKUP(B503,CASOPOInvCL!$B$1:$D$1600,1,FALSE)</f>
        <v>SO17289</v>
      </c>
      <c r="T503">
        <f t="shared" si="7"/>
        <v>6</v>
      </c>
    </row>
    <row r="504" spans="1:20" x14ac:dyDescent="0.25">
      <c r="A504" s="2">
        <v>2</v>
      </c>
      <c r="B504" s="2" t="s">
        <v>1266</v>
      </c>
      <c r="C504" s="2" t="s">
        <v>1267</v>
      </c>
      <c r="D504" s="2" t="s">
        <v>1268</v>
      </c>
      <c r="E504" s="3">
        <v>45813.605358796303</v>
      </c>
      <c r="F504" s="3">
        <v>45813.614884259259</v>
      </c>
      <c r="G504" s="4">
        <v>45925</v>
      </c>
      <c r="H504" s="2" t="s">
        <v>21</v>
      </c>
      <c r="I504" s="2" t="s">
        <v>22</v>
      </c>
      <c r="J504" s="2">
        <v>1</v>
      </c>
      <c r="K504" s="2">
        <v>8789.85</v>
      </c>
      <c r="L504" s="2">
        <v>0</v>
      </c>
      <c r="M504" s="2">
        <v>6431.3794537877511</v>
      </c>
      <c r="N504" s="2">
        <v>7778.63</v>
      </c>
      <c r="O504" s="2">
        <v>1011.22</v>
      </c>
      <c r="P504" s="2">
        <v>8789.85</v>
      </c>
      <c r="Q504" s="2" t="s">
        <v>44</v>
      </c>
      <c r="R504" s="2"/>
      <c r="S504" t="str">
        <f>VLOOKUP(B504,CASOPOInvCL!$B$1:$D$1600,1,FALSE)</f>
        <v>SO17291</v>
      </c>
      <c r="T504">
        <f t="shared" si="7"/>
        <v>6</v>
      </c>
    </row>
    <row r="505" spans="1:20" ht="30" x14ac:dyDescent="0.25">
      <c r="A505" s="2">
        <v>2</v>
      </c>
      <c r="B505" s="2" t="s">
        <v>1165</v>
      </c>
      <c r="C505" s="2" t="s">
        <v>1166</v>
      </c>
      <c r="D505" s="2" t="s">
        <v>369</v>
      </c>
      <c r="E505" s="3">
        <v>45813.670486111107</v>
      </c>
      <c r="F505" s="3">
        <v>45829.670486111107</v>
      </c>
      <c r="G505" s="4">
        <v>45838</v>
      </c>
      <c r="H505" s="2" t="s">
        <v>21</v>
      </c>
      <c r="I505" s="2" t="s">
        <v>51</v>
      </c>
      <c r="J505" s="2">
        <v>0.72839293326389742</v>
      </c>
      <c r="K505" s="2">
        <v>13638.31188680806</v>
      </c>
      <c r="L505" s="2">
        <v>0</v>
      </c>
      <c r="M505" s="2">
        <v>9934.0499999999993</v>
      </c>
      <c r="N505" s="2">
        <v>9934.0499999999993</v>
      </c>
      <c r="O505" s="2"/>
      <c r="P505" s="2">
        <v>9934.0499999999993</v>
      </c>
      <c r="Q505" s="2" t="s">
        <v>44</v>
      </c>
      <c r="R505" s="2"/>
      <c r="S505" t="str">
        <f>VLOOKUP(B505,CASOPOInvCL!$B$1:$D$1600,1,FALSE)</f>
        <v>SO17293</v>
      </c>
      <c r="T505">
        <f t="shared" si="7"/>
        <v>6</v>
      </c>
    </row>
    <row r="506" spans="1:20" x14ac:dyDescent="0.25">
      <c r="A506" s="2">
        <v>2</v>
      </c>
      <c r="B506" s="2" t="s">
        <v>1243</v>
      </c>
      <c r="C506" s="2" t="s">
        <v>1244</v>
      </c>
      <c r="D506" s="2" t="s">
        <v>20</v>
      </c>
      <c r="E506" s="3">
        <v>45814.456701388888</v>
      </c>
      <c r="F506" s="3">
        <v>45818.670648148152</v>
      </c>
      <c r="G506" s="4">
        <v>45895</v>
      </c>
      <c r="H506" s="2" t="s">
        <v>21</v>
      </c>
      <c r="I506" s="2" t="s">
        <v>22</v>
      </c>
      <c r="J506" s="2">
        <v>1</v>
      </c>
      <c r="K506" s="2">
        <v>4881.34</v>
      </c>
      <c r="L506" s="2">
        <v>0</v>
      </c>
      <c r="M506" s="2">
        <v>3566.9704057928252</v>
      </c>
      <c r="N506" s="2">
        <v>4648.8900000000003</v>
      </c>
      <c r="O506" s="2">
        <v>232.45</v>
      </c>
      <c r="P506" s="2">
        <v>4881.34</v>
      </c>
      <c r="Q506" s="2" t="s">
        <v>44</v>
      </c>
      <c r="R506" s="2"/>
      <c r="S506" t="str">
        <f>VLOOKUP(B506,CASOPOInvCL!$B$1:$D$1600,1,FALSE)</f>
        <v>SO17294</v>
      </c>
      <c r="T506">
        <f t="shared" si="7"/>
        <v>6</v>
      </c>
    </row>
    <row r="507" spans="1:20" x14ac:dyDescent="0.25">
      <c r="A507" s="2">
        <v>1</v>
      </c>
      <c r="B507" s="2" t="s">
        <v>1215</v>
      </c>
      <c r="C507" s="2" t="s">
        <v>1216</v>
      </c>
      <c r="D507" s="2" t="s">
        <v>229</v>
      </c>
      <c r="E507" s="3">
        <v>45814.473576388889</v>
      </c>
      <c r="F507" s="3">
        <v>45821.486296296287</v>
      </c>
      <c r="G507" s="4">
        <v>45824</v>
      </c>
      <c r="H507" s="2" t="s">
        <v>21</v>
      </c>
      <c r="I507" s="2" t="s">
        <v>22</v>
      </c>
      <c r="J507" s="2">
        <v>1</v>
      </c>
      <c r="K507" s="2">
        <v>3201.22</v>
      </c>
      <c r="L507" s="2">
        <v>0</v>
      </c>
      <c r="M507" s="2">
        <v>2358.005911200114</v>
      </c>
      <c r="N507" s="2">
        <v>3048.78</v>
      </c>
      <c r="O507" s="2">
        <v>152.44</v>
      </c>
      <c r="P507" s="2">
        <v>3201.22</v>
      </c>
      <c r="Q507" s="2" t="s">
        <v>44</v>
      </c>
      <c r="R507" s="2"/>
      <c r="S507" t="str">
        <f>VLOOKUP(B507,CASOPOInvCL!$B$1:$D$1600,1,FALSE)</f>
        <v>SO17297</v>
      </c>
      <c r="T507">
        <f t="shared" si="7"/>
        <v>6</v>
      </c>
    </row>
    <row r="508" spans="1:20" x14ac:dyDescent="0.25">
      <c r="A508" s="2">
        <v>1</v>
      </c>
      <c r="B508" s="2" t="s">
        <v>1159</v>
      </c>
      <c r="C508" s="2" t="s">
        <v>1160</v>
      </c>
      <c r="D508" s="2" t="s">
        <v>32</v>
      </c>
      <c r="E508" s="3">
        <v>45814.533530092587</v>
      </c>
      <c r="F508" s="3">
        <v>45831.411145833343</v>
      </c>
      <c r="G508" s="4">
        <v>45908</v>
      </c>
      <c r="H508" s="2" t="s">
        <v>21</v>
      </c>
      <c r="I508" s="2" t="s">
        <v>22</v>
      </c>
      <c r="J508" s="2">
        <v>1</v>
      </c>
      <c r="K508" s="2">
        <v>7149.54</v>
      </c>
      <c r="L508" s="2">
        <v>0</v>
      </c>
      <c r="M508" s="2">
        <v>5191.5114032325218</v>
      </c>
      <c r="N508" s="2">
        <v>6327.03</v>
      </c>
      <c r="O508" s="2">
        <v>822.51</v>
      </c>
      <c r="P508" s="2">
        <v>7149.54</v>
      </c>
      <c r="Q508" s="2" t="s">
        <v>44</v>
      </c>
      <c r="R508" s="2"/>
      <c r="S508" t="str">
        <f>VLOOKUP(B508,CASOPOInvCL!$B$1:$D$1600,1,FALSE)</f>
        <v>SO17298</v>
      </c>
      <c r="T508">
        <f t="shared" si="7"/>
        <v>6</v>
      </c>
    </row>
    <row r="509" spans="1:20" ht="30" x14ac:dyDescent="0.25">
      <c r="A509" s="2">
        <v>1</v>
      </c>
      <c r="B509" s="2" t="s">
        <v>1245</v>
      </c>
      <c r="C509" s="2" t="s">
        <v>1246</v>
      </c>
      <c r="D509" s="2" t="s">
        <v>407</v>
      </c>
      <c r="E509" s="3">
        <v>45814.548703703702</v>
      </c>
      <c r="F509" s="3">
        <v>45818.648726851847</v>
      </c>
      <c r="G509" s="4">
        <v>45819</v>
      </c>
      <c r="H509" s="2" t="s">
        <v>21</v>
      </c>
      <c r="I509" s="2" t="s">
        <v>22</v>
      </c>
      <c r="J509" s="2">
        <v>1</v>
      </c>
      <c r="K509" s="2">
        <v>1406.84</v>
      </c>
      <c r="L509" s="2">
        <v>0</v>
      </c>
      <c r="M509" s="2">
        <v>1028.0285015355571</v>
      </c>
      <c r="N509" s="2">
        <v>1339.85</v>
      </c>
      <c r="O509" s="2">
        <v>66.989999999999995</v>
      </c>
      <c r="P509" s="2">
        <v>1406.84</v>
      </c>
      <c r="Q509" s="2" t="s">
        <v>23</v>
      </c>
      <c r="R509" s="2"/>
      <c r="S509" t="str">
        <f>VLOOKUP(B509,CASOPOInvCL!$B$1:$D$1600,1,FALSE)</f>
        <v>SO17299</v>
      </c>
      <c r="T509">
        <f t="shared" si="7"/>
        <v>6</v>
      </c>
    </row>
    <row r="510" spans="1:20" ht="30" x14ac:dyDescent="0.25">
      <c r="A510" s="2">
        <v>1</v>
      </c>
      <c r="B510" s="2" t="s">
        <v>1257</v>
      </c>
      <c r="C510" s="2" t="s">
        <v>1258</v>
      </c>
      <c r="D510" s="2" t="s">
        <v>159</v>
      </c>
      <c r="E510" s="3">
        <v>45814.596759259257</v>
      </c>
      <c r="F510" s="3">
        <v>45814.60564814815</v>
      </c>
      <c r="G510" s="4">
        <v>45826</v>
      </c>
      <c r="H510" s="2" t="s">
        <v>40</v>
      </c>
      <c r="I510" s="2" t="s">
        <v>51</v>
      </c>
      <c r="J510" s="2">
        <v>0.73168250354531084</v>
      </c>
      <c r="K510" s="2">
        <v>15638.95534546069</v>
      </c>
      <c r="L510" s="2">
        <v>0</v>
      </c>
      <c r="M510" s="2">
        <v>11442.75</v>
      </c>
      <c r="N510" s="2">
        <v>11442.75</v>
      </c>
      <c r="O510" s="2"/>
      <c r="P510" s="2">
        <v>11442.75</v>
      </c>
      <c r="Q510" s="2" t="s">
        <v>44</v>
      </c>
      <c r="R510" s="2"/>
      <c r="S510" t="str">
        <f>VLOOKUP(B510,CASOPOInvCL!$B$1:$D$1600,1,FALSE)</f>
        <v>SO17300</v>
      </c>
      <c r="T510">
        <f t="shared" si="7"/>
        <v>6</v>
      </c>
    </row>
    <row r="511" spans="1:20" x14ac:dyDescent="0.25">
      <c r="A511" s="2">
        <v>2</v>
      </c>
      <c r="B511" s="2" t="s">
        <v>1253</v>
      </c>
      <c r="C511" s="2" t="s">
        <v>1254</v>
      </c>
      <c r="D511" s="2" t="s">
        <v>98</v>
      </c>
      <c r="E511" s="3">
        <v>45817.469502314823</v>
      </c>
      <c r="F511" s="3">
        <v>45817.72011574074</v>
      </c>
      <c r="G511" s="4">
        <v>45894</v>
      </c>
      <c r="H511" s="2" t="s">
        <v>21</v>
      </c>
      <c r="I511" s="2" t="s">
        <v>22</v>
      </c>
      <c r="J511" s="2">
        <v>1</v>
      </c>
      <c r="K511" s="2">
        <v>9590.9599999999991</v>
      </c>
      <c r="L511" s="2">
        <v>0</v>
      </c>
      <c r="M511" s="2">
        <v>7012.5445039229162</v>
      </c>
      <c r="N511" s="2">
        <v>8487.59</v>
      </c>
      <c r="O511" s="2">
        <v>1103.3699999999999</v>
      </c>
      <c r="P511" s="2">
        <v>9590.9599999999991</v>
      </c>
      <c r="Q511" s="2" t="s">
        <v>44</v>
      </c>
      <c r="R511" s="2"/>
      <c r="S511" t="str">
        <f>VLOOKUP(B511,CASOPOInvCL!$B$1:$D$1600,1,FALSE)</f>
        <v>SO17304</v>
      </c>
      <c r="T511">
        <f t="shared" si="7"/>
        <v>6</v>
      </c>
    </row>
    <row r="512" spans="1:20" x14ac:dyDescent="0.25">
      <c r="A512" s="2">
        <v>1</v>
      </c>
      <c r="B512" s="2" t="s">
        <v>1199</v>
      </c>
      <c r="C512" s="2" t="s">
        <v>1200</v>
      </c>
      <c r="D512" s="2" t="s">
        <v>135</v>
      </c>
      <c r="E512" s="3">
        <v>45817.696400462963</v>
      </c>
      <c r="F512" s="3">
        <v>45824.427071759259</v>
      </c>
      <c r="G512" s="4">
        <v>45914</v>
      </c>
      <c r="H512" s="2" t="s">
        <v>21</v>
      </c>
      <c r="I512" s="2" t="s">
        <v>22</v>
      </c>
      <c r="J512" s="2">
        <v>1</v>
      </c>
      <c r="K512" s="2">
        <v>49415.4</v>
      </c>
      <c r="L512" s="2">
        <v>0</v>
      </c>
      <c r="M512" s="2">
        <v>36448.314609907138</v>
      </c>
      <c r="N512" s="2">
        <v>43730.44</v>
      </c>
      <c r="O512" s="2">
        <v>5684.96</v>
      </c>
      <c r="P512" s="2">
        <v>49415.4</v>
      </c>
      <c r="Q512" s="2" t="s">
        <v>44</v>
      </c>
      <c r="R512" s="2"/>
      <c r="S512" t="str">
        <f>VLOOKUP(B512,CASOPOInvCL!$B$1:$D$1600,1,FALSE)</f>
        <v>SO17311</v>
      </c>
      <c r="T512">
        <f t="shared" si="7"/>
        <v>6</v>
      </c>
    </row>
    <row r="513" spans="1:20" x14ac:dyDescent="0.25">
      <c r="A513" s="2">
        <v>1</v>
      </c>
      <c r="B513" s="2" t="s">
        <v>1229</v>
      </c>
      <c r="C513" s="2" t="s">
        <v>1230</v>
      </c>
      <c r="D513" s="2" t="s">
        <v>1231</v>
      </c>
      <c r="E513" s="3">
        <v>45817.713761574072</v>
      </c>
      <c r="F513" s="3">
        <v>45819.490624999999</v>
      </c>
      <c r="G513" s="4">
        <v>45924</v>
      </c>
      <c r="H513" s="2" t="s">
        <v>21</v>
      </c>
      <c r="I513" s="2" t="s">
        <v>22</v>
      </c>
      <c r="J513" s="2">
        <v>1</v>
      </c>
      <c r="K513" s="2">
        <v>10428.75</v>
      </c>
      <c r="L513" s="2">
        <v>0</v>
      </c>
      <c r="M513" s="2">
        <v>7632.4541295444478</v>
      </c>
      <c r="N513" s="2">
        <v>9932.14</v>
      </c>
      <c r="O513" s="2">
        <v>496.61</v>
      </c>
      <c r="P513" s="2">
        <v>10428.75</v>
      </c>
      <c r="Q513" s="2" t="s">
        <v>44</v>
      </c>
      <c r="R513" s="2"/>
      <c r="S513" t="str">
        <f>VLOOKUP(B513,CASOPOInvCL!$B$1:$D$1600,1,FALSE)</f>
        <v>SO17312</v>
      </c>
      <c r="T513">
        <f t="shared" si="7"/>
        <v>6</v>
      </c>
    </row>
    <row r="514" spans="1:20" x14ac:dyDescent="0.25">
      <c r="A514" s="2">
        <v>1</v>
      </c>
      <c r="B514" s="2" t="s">
        <v>1251</v>
      </c>
      <c r="C514" s="2" t="s">
        <v>1252</v>
      </c>
      <c r="D514" s="2" t="s">
        <v>129</v>
      </c>
      <c r="E514" s="3">
        <v>45817.779270833344</v>
      </c>
      <c r="F514" s="3">
        <v>45817.778437499997</v>
      </c>
      <c r="G514" s="4">
        <v>45817</v>
      </c>
      <c r="H514" s="2" t="s">
        <v>130</v>
      </c>
      <c r="I514" s="2" t="s">
        <v>51</v>
      </c>
      <c r="J514" s="2">
        <v>0.73007596812830444</v>
      </c>
      <c r="K514" s="2">
        <v>3670.8508662060399</v>
      </c>
      <c r="L514" s="2">
        <v>0</v>
      </c>
      <c r="M514" s="2">
        <v>2680</v>
      </c>
      <c r="N514" s="2">
        <v>2680</v>
      </c>
      <c r="O514" s="2"/>
      <c r="P514" s="2">
        <v>2680</v>
      </c>
      <c r="Q514" s="2" t="s">
        <v>44</v>
      </c>
      <c r="R514" s="2"/>
      <c r="S514" t="str">
        <f>VLOOKUP(B514,CASOPOInvCL!$B$1:$D$1600,1,FALSE)</f>
        <v>SO17313</v>
      </c>
      <c r="T514">
        <f t="shared" si="7"/>
        <v>6</v>
      </c>
    </row>
    <row r="515" spans="1:20" ht="30" x14ac:dyDescent="0.25">
      <c r="A515" s="2">
        <v>1</v>
      </c>
      <c r="B515" s="2" t="s">
        <v>1173</v>
      </c>
      <c r="C515" s="2" t="s">
        <v>1174</v>
      </c>
      <c r="D515" s="2" t="s">
        <v>239</v>
      </c>
      <c r="E515" s="3">
        <v>45818.528379629628</v>
      </c>
      <c r="F515" s="3">
        <v>45828.326377314806</v>
      </c>
      <c r="G515" s="4">
        <v>45931</v>
      </c>
      <c r="H515" s="2" t="s">
        <v>180</v>
      </c>
      <c r="I515" s="2" t="s">
        <v>51</v>
      </c>
      <c r="J515" s="2">
        <v>0.73067487305017076</v>
      </c>
      <c r="K515" s="2">
        <v>9028.6394719735035</v>
      </c>
      <c r="L515" s="2">
        <v>0</v>
      </c>
      <c r="M515" s="2">
        <v>6597</v>
      </c>
      <c r="N515" s="2">
        <v>6597</v>
      </c>
      <c r="O515" s="2"/>
      <c r="P515" s="2">
        <v>6597</v>
      </c>
      <c r="Q515" s="2" t="s">
        <v>44</v>
      </c>
      <c r="R515" s="2"/>
      <c r="S515" t="str">
        <f>VLOOKUP(B515,CASOPOInvCL!$B$1:$D$1600,1,FALSE)</f>
        <v>SO17315</v>
      </c>
      <c r="T515">
        <f t="shared" ref="T515:T578" si="8">MONTH(E515)</f>
        <v>6</v>
      </c>
    </row>
    <row r="516" spans="1:20" x14ac:dyDescent="0.25">
      <c r="A516" s="2">
        <v>1</v>
      </c>
      <c r="B516" s="2" t="s">
        <v>1221</v>
      </c>
      <c r="C516" s="2" t="s">
        <v>1222</v>
      </c>
      <c r="D516" s="2" t="s">
        <v>242</v>
      </c>
      <c r="E516" s="3">
        <v>45818.601134259261</v>
      </c>
      <c r="F516" s="3">
        <v>45820.718611111108</v>
      </c>
      <c r="G516" s="4">
        <v>45824</v>
      </c>
      <c r="H516" s="2" t="s">
        <v>21</v>
      </c>
      <c r="I516" s="2" t="s">
        <v>22</v>
      </c>
      <c r="J516" s="2">
        <v>1</v>
      </c>
      <c r="K516" s="2">
        <v>1493.63</v>
      </c>
      <c r="L516" s="2">
        <v>0</v>
      </c>
      <c r="M516" s="2">
        <v>1096.769802253523</v>
      </c>
      <c r="N516" s="2">
        <v>1422.5</v>
      </c>
      <c r="O516" s="2">
        <v>71.13</v>
      </c>
      <c r="P516" s="2">
        <v>1493.63</v>
      </c>
      <c r="Q516" s="2" t="s">
        <v>44</v>
      </c>
      <c r="R516" s="2"/>
      <c r="S516" t="str">
        <f>VLOOKUP(B516,CASOPOInvCL!$B$1:$D$1600,1,FALSE)</f>
        <v>SO17316</v>
      </c>
      <c r="T516">
        <f t="shared" si="8"/>
        <v>6</v>
      </c>
    </row>
    <row r="517" spans="1:20" x14ac:dyDescent="0.25">
      <c r="A517" s="2">
        <v>1</v>
      </c>
      <c r="B517" s="2" t="s">
        <v>1239</v>
      </c>
      <c r="C517" s="2" t="s">
        <v>1240</v>
      </c>
      <c r="D517" s="2" t="s">
        <v>290</v>
      </c>
      <c r="E517" s="3">
        <v>45818.686932870369</v>
      </c>
      <c r="F517" s="3">
        <v>45818.68787037037</v>
      </c>
      <c r="G517" s="4">
        <v>45819</v>
      </c>
      <c r="H517" s="2" t="s">
        <v>21</v>
      </c>
      <c r="I517" s="2" t="s">
        <v>22</v>
      </c>
      <c r="J517" s="2">
        <v>1</v>
      </c>
      <c r="K517" s="2">
        <v>1973.54</v>
      </c>
      <c r="L517" s="2">
        <v>0</v>
      </c>
      <c r="M517" s="2">
        <v>1442.1365392798641</v>
      </c>
      <c r="N517" s="2">
        <v>1879.56</v>
      </c>
      <c r="O517" s="2">
        <v>93.98</v>
      </c>
      <c r="P517" s="2">
        <v>1973.54</v>
      </c>
      <c r="Q517" s="2" t="s">
        <v>44</v>
      </c>
      <c r="R517" s="2"/>
      <c r="S517" t="str">
        <f>VLOOKUP(B517,CASOPOInvCL!$B$1:$D$1600,1,FALSE)</f>
        <v>SO17317</v>
      </c>
      <c r="T517">
        <f t="shared" si="8"/>
        <v>6</v>
      </c>
    </row>
    <row r="518" spans="1:20" ht="30" x14ac:dyDescent="0.25">
      <c r="A518" s="2">
        <v>1</v>
      </c>
      <c r="B518" s="2" t="s">
        <v>1219</v>
      </c>
      <c r="C518" s="2" t="s">
        <v>1220</v>
      </c>
      <c r="D518" s="2" t="s">
        <v>818</v>
      </c>
      <c r="E518" s="3">
        <v>45818.693865740737</v>
      </c>
      <c r="F518" s="3">
        <v>45820.742754629631</v>
      </c>
      <c r="G518" s="4">
        <v>45821</v>
      </c>
      <c r="H518" s="2" t="s">
        <v>71</v>
      </c>
      <c r="I518" s="2" t="s">
        <v>22</v>
      </c>
      <c r="J518" s="2">
        <v>1</v>
      </c>
      <c r="K518" s="2">
        <v>480.54</v>
      </c>
      <c r="L518" s="2">
        <v>0</v>
      </c>
      <c r="M518" s="2">
        <v>352.85965116856778</v>
      </c>
      <c r="N518" s="2">
        <v>457.66</v>
      </c>
      <c r="O518" s="2">
        <v>22.88</v>
      </c>
      <c r="P518" s="2">
        <v>480.54</v>
      </c>
      <c r="Q518" s="2" t="s">
        <v>44</v>
      </c>
      <c r="R518" s="2"/>
      <c r="S518" t="str">
        <f>VLOOKUP(B518,CASOPOInvCL!$B$1:$D$1600,1,FALSE)</f>
        <v>SO17318</v>
      </c>
      <c r="T518">
        <f t="shared" si="8"/>
        <v>6</v>
      </c>
    </row>
    <row r="519" spans="1:20" ht="30" x14ac:dyDescent="0.25">
      <c r="A519" s="2">
        <v>1</v>
      </c>
      <c r="B519" s="2" t="s">
        <v>1237</v>
      </c>
      <c r="C519" s="2" t="s">
        <v>1238</v>
      </c>
      <c r="D519" s="2" t="s">
        <v>146</v>
      </c>
      <c r="E519" s="3">
        <v>45818.697604166657</v>
      </c>
      <c r="F519" s="3">
        <v>45818.697604166657</v>
      </c>
      <c r="G519" s="4">
        <v>45825</v>
      </c>
      <c r="H519" s="2" t="s">
        <v>21</v>
      </c>
      <c r="I519" s="2" t="s">
        <v>22</v>
      </c>
      <c r="J519" s="2">
        <v>1</v>
      </c>
      <c r="K519" s="2">
        <v>477.52</v>
      </c>
      <c r="L519" s="2">
        <v>0</v>
      </c>
      <c r="M519" s="2">
        <v>348.94100967648018</v>
      </c>
      <c r="N519" s="2">
        <v>454.78</v>
      </c>
      <c r="O519" s="2">
        <v>22.74</v>
      </c>
      <c r="P519" s="2">
        <v>477.52</v>
      </c>
      <c r="Q519" s="2" t="s">
        <v>44</v>
      </c>
      <c r="R519" s="2"/>
      <c r="S519" t="str">
        <f>VLOOKUP(B519,CASOPOInvCL!$B$1:$D$1600,1,FALSE)</f>
        <v>SO17319</v>
      </c>
      <c r="T519">
        <f t="shared" si="8"/>
        <v>6</v>
      </c>
    </row>
    <row r="520" spans="1:20" x14ac:dyDescent="0.25">
      <c r="A520" s="2">
        <v>1</v>
      </c>
      <c r="B520" s="2" t="s">
        <v>1227</v>
      </c>
      <c r="C520" s="2" t="s">
        <v>1228</v>
      </c>
      <c r="D520" s="2" t="s">
        <v>146</v>
      </c>
      <c r="E520" s="3">
        <v>45818.701747685183</v>
      </c>
      <c r="F520" s="3">
        <v>45819.713263888887</v>
      </c>
      <c r="G520" s="4">
        <v>45896</v>
      </c>
      <c r="H520" s="2" t="s">
        <v>21</v>
      </c>
      <c r="I520" s="2" t="s">
        <v>22</v>
      </c>
      <c r="J520" s="2">
        <v>1</v>
      </c>
      <c r="K520" s="2">
        <v>5246.09</v>
      </c>
      <c r="L520" s="2">
        <v>0</v>
      </c>
      <c r="M520" s="2">
        <v>3839.4382149789599</v>
      </c>
      <c r="N520" s="2">
        <v>4996.2700000000004</v>
      </c>
      <c r="O520" s="2">
        <v>249.82</v>
      </c>
      <c r="P520" s="2">
        <v>5246.09</v>
      </c>
      <c r="Q520" s="2" t="s">
        <v>44</v>
      </c>
      <c r="R520" s="2"/>
      <c r="S520" t="str">
        <f>VLOOKUP(B520,CASOPOInvCL!$B$1:$D$1600,1,FALSE)</f>
        <v>SO17320</v>
      </c>
      <c r="T520">
        <f t="shared" si="8"/>
        <v>6</v>
      </c>
    </row>
    <row r="521" spans="1:20" x14ac:dyDescent="0.25">
      <c r="A521" s="2">
        <v>3</v>
      </c>
      <c r="B521" s="2" t="s">
        <v>1223</v>
      </c>
      <c r="C521" s="2" t="s">
        <v>1224</v>
      </c>
      <c r="D521" s="2" t="s">
        <v>450</v>
      </c>
      <c r="E521" s="3">
        <v>45819.410752314812</v>
      </c>
      <c r="F521" s="3">
        <v>45820.657442129632</v>
      </c>
      <c r="G521" s="4">
        <v>45904</v>
      </c>
      <c r="H521" s="2" t="s">
        <v>21</v>
      </c>
      <c r="I521" s="2" t="s">
        <v>22</v>
      </c>
      <c r="J521" s="2">
        <v>1</v>
      </c>
      <c r="K521" s="2">
        <v>7848.62</v>
      </c>
      <c r="L521" s="2">
        <v>0</v>
      </c>
      <c r="M521" s="2">
        <v>5763.2274427823804</v>
      </c>
      <c r="N521" s="2">
        <v>6945.69</v>
      </c>
      <c r="O521" s="2">
        <v>902.93</v>
      </c>
      <c r="P521" s="2">
        <v>7848.62</v>
      </c>
      <c r="Q521" s="2" t="s">
        <v>44</v>
      </c>
      <c r="R521" s="2"/>
      <c r="S521" t="str">
        <f>VLOOKUP(B521,CASOPOInvCL!$B$1:$D$1600,1,FALSE)</f>
        <v>SO17321</v>
      </c>
      <c r="T521">
        <f t="shared" si="8"/>
        <v>6</v>
      </c>
    </row>
    <row r="522" spans="1:20" ht="30" x14ac:dyDescent="0.25">
      <c r="A522" s="2">
        <v>1</v>
      </c>
      <c r="B522" s="2" t="s">
        <v>1232</v>
      </c>
      <c r="C522" s="2" t="s">
        <v>1233</v>
      </c>
      <c r="D522" s="2" t="s">
        <v>159</v>
      </c>
      <c r="E522" s="3">
        <v>45819.426550925928</v>
      </c>
      <c r="F522" s="3">
        <v>45819.429039351853</v>
      </c>
      <c r="G522" s="2"/>
      <c r="H522" s="2" t="s">
        <v>40</v>
      </c>
      <c r="I522" s="2" t="s">
        <v>51</v>
      </c>
      <c r="J522" s="2">
        <v>0.73073590567197222</v>
      </c>
      <c r="K522" s="2">
        <v>25507.710590544379</v>
      </c>
      <c r="L522" s="2">
        <v>0</v>
      </c>
      <c r="M522" s="2">
        <v>18639.400000000001</v>
      </c>
      <c r="N522" s="2">
        <v>18639.400000000001</v>
      </c>
      <c r="O522" s="2"/>
      <c r="P522" s="2">
        <v>18639.400000000001</v>
      </c>
      <c r="Q522" s="2" t="s">
        <v>44</v>
      </c>
      <c r="R522" s="2"/>
      <c r="S522" t="str">
        <f>VLOOKUP(B522,CASOPOInvCL!$B$1:$D$1600,1,FALSE)</f>
        <v>SO17322</v>
      </c>
      <c r="T522">
        <f t="shared" si="8"/>
        <v>6</v>
      </c>
    </row>
    <row r="523" spans="1:20" ht="45" x14ac:dyDescent="0.25">
      <c r="A523" s="2">
        <v>1</v>
      </c>
      <c r="B523" s="2" t="s">
        <v>1213</v>
      </c>
      <c r="C523" s="2" t="s">
        <v>1214</v>
      </c>
      <c r="D523" s="2" t="s">
        <v>109</v>
      </c>
      <c r="E523" s="3">
        <v>45819.656921296293</v>
      </c>
      <c r="F523" s="3">
        <v>45821.493692129632</v>
      </c>
      <c r="G523" s="4">
        <v>45832</v>
      </c>
      <c r="H523" s="2" t="s">
        <v>21</v>
      </c>
      <c r="I523" s="2" t="s">
        <v>51</v>
      </c>
      <c r="J523" s="2">
        <v>0.73429818780656719</v>
      </c>
      <c r="K523" s="2">
        <v>17703.053358786648</v>
      </c>
      <c r="L523" s="2">
        <v>0</v>
      </c>
      <c r="M523" s="2">
        <v>12999.32</v>
      </c>
      <c r="N523" s="2">
        <v>12999.32</v>
      </c>
      <c r="O523" s="2"/>
      <c r="P523" s="2">
        <v>12999.32</v>
      </c>
      <c r="Q523" s="2" t="s">
        <v>44</v>
      </c>
      <c r="R523" s="2"/>
      <c r="S523" t="str">
        <f>VLOOKUP(B523,CASOPOInvCL!$B$1:$D$1600,1,FALSE)</f>
        <v>SO17325</v>
      </c>
      <c r="T523">
        <f t="shared" si="8"/>
        <v>6</v>
      </c>
    </row>
    <row r="524" spans="1:20" x14ac:dyDescent="0.25">
      <c r="A524" s="2">
        <v>1</v>
      </c>
      <c r="B524" s="2" t="s">
        <v>1211</v>
      </c>
      <c r="C524" s="2" t="s">
        <v>1212</v>
      </c>
      <c r="D524" s="2" t="s">
        <v>39</v>
      </c>
      <c r="E524" s="3">
        <v>45820.510243055563</v>
      </c>
      <c r="F524" s="3">
        <v>45821.497430555559</v>
      </c>
      <c r="G524" s="4">
        <v>45824</v>
      </c>
      <c r="H524" s="2" t="s">
        <v>21</v>
      </c>
      <c r="I524" s="2" t="s">
        <v>22</v>
      </c>
      <c r="J524" s="2">
        <v>1</v>
      </c>
      <c r="K524" s="2">
        <v>601.01</v>
      </c>
      <c r="L524" s="2">
        <v>0</v>
      </c>
      <c r="M524" s="2">
        <v>442.70157399065988</v>
      </c>
      <c r="N524" s="2">
        <v>572.4</v>
      </c>
      <c r="O524" s="2">
        <v>28.61</v>
      </c>
      <c r="P524" s="2">
        <v>601.01</v>
      </c>
      <c r="Q524" s="2" t="s">
        <v>44</v>
      </c>
      <c r="R524" s="2"/>
      <c r="S524" t="str">
        <f>VLOOKUP(B524,CASOPOInvCL!$B$1:$D$1600,1,FALSE)</f>
        <v>SO17329</v>
      </c>
      <c r="T524">
        <f t="shared" si="8"/>
        <v>6</v>
      </c>
    </row>
    <row r="525" spans="1:20" x14ac:dyDescent="0.25">
      <c r="A525" s="2">
        <v>2</v>
      </c>
      <c r="B525" s="2" t="s">
        <v>1205</v>
      </c>
      <c r="C525" s="2" t="s">
        <v>1206</v>
      </c>
      <c r="D525" s="2" t="s">
        <v>149</v>
      </c>
      <c r="E525" s="3">
        <v>45820.724618055552</v>
      </c>
      <c r="F525" s="3">
        <v>45821.648032407407</v>
      </c>
      <c r="G525" s="4">
        <v>45925</v>
      </c>
      <c r="H525" s="2" t="s">
        <v>21</v>
      </c>
      <c r="I525" s="2" t="s">
        <v>51</v>
      </c>
      <c r="J525" s="2">
        <v>0.73429818780656719</v>
      </c>
      <c r="K525" s="2">
        <v>3642.0081710789732</v>
      </c>
      <c r="L525" s="2">
        <v>0</v>
      </c>
      <c r="M525" s="2">
        <v>2674.32</v>
      </c>
      <c r="N525" s="2">
        <v>2674.32</v>
      </c>
      <c r="O525" s="2"/>
      <c r="P525" s="2">
        <v>2674.32</v>
      </c>
      <c r="Q525" s="2" t="s">
        <v>44</v>
      </c>
      <c r="R525" s="2"/>
      <c r="S525" t="str">
        <f>VLOOKUP(B525,CASOPOInvCL!$B$1:$D$1600,1,FALSE)</f>
        <v>SO17332</v>
      </c>
      <c r="T525">
        <f t="shared" si="8"/>
        <v>6</v>
      </c>
    </row>
    <row r="526" spans="1:20" ht="30" x14ac:dyDescent="0.25">
      <c r="A526" s="2">
        <v>1</v>
      </c>
      <c r="B526" s="2" t="s">
        <v>1217</v>
      </c>
      <c r="C526" s="2" t="s">
        <v>1218</v>
      </c>
      <c r="D526" s="2" t="s">
        <v>818</v>
      </c>
      <c r="E526" s="3">
        <v>45820.758379629631</v>
      </c>
      <c r="F526" s="3">
        <v>45820.750104166669</v>
      </c>
      <c r="G526" s="4">
        <v>45856</v>
      </c>
      <c r="H526" s="2" t="s">
        <v>71</v>
      </c>
      <c r="I526" s="2" t="s">
        <v>22</v>
      </c>
      <c r="J526" s="2">
        <v>1</v>
      </c>
      <c r="K526" s="2">
        <v>717.28</v>
      </c>
      <c r="L526" s="2">
        <v>0</v>
      </c>
      <c r="M526" s="2">
        <v>526.69740414989451</v>
      </c>
      <c r="N526" s="2">
        <v>683.13</v>
      </c>
      <c r="O526" s="2">
        <v>34.15</v>
      </c>
      <c r="P526" s="2">
        <v>717.28</v>
      </c>
      <c r="Q526" s="2" t="s">
        <v>44</v>
      </c>
      <c r="R526" s="2"/>
      <c r="S526" t="str">
        <f>VLOOKUP(B526,CASOPOInvCL!$B$1:$D$1600,1,FALSE)</f>
        <v>SO17333</v>
      </c>
      <c r="T526">
        <f t="shared" si="8"/>
        <v>6</v>
      </c>
    </row>
    <row r="527" spans="1:20" x14ac:dyDescent="0.25">
      <c r="A527" s="2">
        <v>1</v>
      </c>
      <c r="B527" s="2" t="s">
        <v>1035</v>
      </c>
      <c r="C527" s="2" t="s">
        <v>1036</v>
      </c>
      <c r="D527" s="2" t="s">
        <v>232</v>
      </c>
      <c r="E527" s="3">
        <v>45821.312048611107</v>
      </c>
      <c r="F527" s="3">
        <v>45853.364120370366</v>
      </c>
      <c r="G527" s="4">
        <v>45873</v>
      </c>
      <c r="H527" s="2" t="s">
        <v>180</v>
      </c>
      <c r="I527" s="2" t="s">
        <v>51</v>
      </c>
      <c r="J527" s="2">
        <v>0.73022664145869165</v>
      </c>
      <c r="K527" s="2">
        <v>14951.741528068629</v>
      </c>
      <c r="L527" s="2">
        <v>0</v>
      </c>
      <c r="M527" s="2">
        <v>10918.16</v>
      </c>
      <c r="N527" s="2">
        <v>10918.16</v>
      </c>
      <c r="O527" s="2"/>
      <c r="P527" s="2">
        <v>10918.16</v>
      </c>
      <c r="Q527" s="2" t="s">
        <v>44</v>
      </c>
      <c r="R527" s="2"/>
      <c r="S527" t="str">
        <f>VLOOKUP(B527,CASOPOInvCL!$B$1:$D$1600,1,FALSE)</f>
        <v>SO17334</v>
      </c>
      <c r="T527">
        <f t="shared" si="8"/>
        <v>6</v>
      </c>
    </row>
    <row r="528" spans="1:20" ht="30" x14ac:dyDescent="0.25">
      <c r="A528" s="2">
        <v>1</v>
      </c>
      <c r="B528" s="2" t="s">
        <v>1130</v>
      </c>
      <c r="C528" s="2" t="s">
        <v>1131</v>
      </c>
      <c r="D528" s="2" t="s">
        <v>576</v>
      </c>
      <c r="E528" s="3">
        <v>45821.357662037037</v>
      </c>
      <c r="F528" s="3">
        <v>45838.513368055559</v>
      </c>
      <c r="G528" s="4">
        <v>45847</v>
      </c>
      <c r="H528" s="2" t="s">
        <v>1132</v>
      </c>
      <c r="I528" s="2" t="s">
        <v>22</v>
      </c>
      <c r="J528" s="2">
        <v>1</v>
      </c>
      <c r="K528" s="2">
        <v>2720.49</v>
      </c>
      <c r="L528" s="2">
        <v>0</v>
      </c>
      <c r="M528" s="2">
        <v>1997.43387246153</v>
      </c>
      <c r="N528" s="2">
        <v>2720.49</v>
      </c>
      <c r="O528" s="2"/>
      <c r="P528" s="2">
        <v>2720.49</v>
      </c>
      <c r="Q528" s="2" t="s">
        <v>44</v>
      </c>
      <c r="R528" s="2"/>
      <c r="S528" t="str">
        <f>VLOOKUP(B528,CASOPOInvCL!$B$1:$D$1600,1,FALSE)</f>
        <v>SO17337</v>
      </c>
      <c r="T528">
        <f t="shared" si="8"/>
        <v>6</v>
      </c>
    </row>
    <row r="529" spans="1:20" x14ac:dyDescent="0.25">
      <c r="A529" s="2">
        <v>1</v>
      </c>
      <c r="B529" s="2" t="s">
        <v>1203</v>
      </c>
      <c r="C529" s="2" t="s">
        <v>1204</v>
      </c>
      <c r="D529" s="2" t="s">
        <v>465</v>
      </c>
      <c r="E529" s="3">
        <v>45821.417673611111</v>
      </c>
      <c r="F529" s="3">
        <v>45824.34337962963</v>
      </c>
      <c r="G529" s="4">
        <v>45826</v>
      </c>
      <c r="H529" s="2" t="s">
        <v>21</v>
      </c>
      <c r="I529" s="2" t="s">
        <v>22</v>
      </c>
      <c r="J529" s="2">
        <v>1</v>
      </c>
      <c r="K529" s="2">
        <v>266.38</v>
      </c>
      <c r="L529" s="2">
        <v>0</v>
      </c>
      <c r="M529" s="2">
        <v>196.47927661795839</v>
      </c>
      <c r="N529" s="2">
        <v>235.74</v>
      </c>
      <c r="O529" s="2">
        <v>30.64</v>
      </c>
      <c r="P529" s="2">
        <v>266.38</v>
      </c>
      <c r="Q529" s="2" t="s">
        <v>44</v>
      </c>
      <c r="R529" s="2"/>
      <c r="S529" t="str">
        <f>VLOOKUP(B529,CASOPOInvCL!$B$1:$D$1600,1,FALSE)</f>
        <v>SO17338</v>
      </c>
      <c r="T529">
        <f t="shared" si="8"/>
        <v>6</v>
      </c>
    </row>
    <row r="530" spans="1:20" x14ac:dyDescent="0.25">
      <c r="A530" s="2">
        <v>1</v>
      </c>
      <c r="B530" s="2" t="s">
        <v>1209</v>
      </c>
      <c r="C530" s="2" t="s">
        <v>1210</v>
      </c>
      <c r="D530" s="2" t="s">
        <v>20</v>
      </c>
      <c r="E530" s="3">
        <v>45821.580335648148</v>
      </c>
      <c r="F530" s="3">
        <v>45821.585787037038</v>
      </c>
      <c r="G530" s="4">
        <v>45891</v>
      </c>
      <c r="H530" s="2" t="s">
        <v>21</v>
      </c>
      <c r="I530" s="2" t="s">
        <v>22</v>
      </c>
      <c r="J530" s="2">
        <v>1</v>
      </c>
      <c r="K530" s="2">
        <v>1668.56</v>
      </c>
      <c r="L530" s="2">
        <v>0</v>
      </c>
      <c r="M530" s="2">
        <v>1229.054655160239</v>
      </c>
      <c r="N530" s="2">
        <v>1589.1</v>
      </c>
      <c r="O530" s="2">
        <v>79.459999999999994</v>
      </c>
      <c r="P530" s="2">
        <v>1668.56</v>
      </c>
      <c r="Q530" s="2" t="s">
        <v>44</v>
      </c>
      <c r="R530" s="2"/>
      <c r="S530" t="str">
        <f>VLOOKUP(B530,CASOPOInvCL!$B$1:$D$1600,1,FALSE)</f>
        <v>SO17345</v>
      </c>
      <c r="T530">
        <f t="shared" si="8"/>
        <v>6</v>
      </c>
    </row>
    <row r="531" spans="1:20" x14ac:dyDescent="0.25">
      <c r="A531" s="2">
        <v>1</v>
      </c>
      <c r="B531" s="2" t="s">
        <v>1207</v>
      </c>
      <c r="C531" s="2" t="s">
        <v>1208</v>
      </c>
      <c r="D531" s="2" t="s">
        <v>98</v>
      </c>
      <c r="E531" s="3">
        <v>45821.638240740736</v>
      </c>
      <c r="F531" s="3">
        <v>45821.639768518522</v>
      </c>
      <c r="G531" s="4">
        <v>45821</v>
      </c>
      <c r="H531" s="2" t="s">
        <v>21</v>
      </c>
      <c r="I531" s="2" t="s">
        <v>22</v>
      </c>
      <c r="J531" s="2">
        <v>1</v>
      </c>
      <c r="K531" s="2">
        <v>4457.7</v>
      </c>
      <c r="L531" s="2">
        <v>0</v>
      </c>
      <c r="M531" s="2">
        <v>3283.524078431582</v>
      </c>
      <c r="N531" s="2">
        <v>3944.87</v>
      </c>
      <c r="O531" s="2">
        <v>512.83000000000004</v>
      </c>
      <c r="P531" s="2">
        <v>4457.7</v>
      </c>
      <c r="Q531" s="2" t="s">
        <v>44</v>
      </c>
      <c r="R531" s="2"/>
      <c r="S531" t="str">
        <f>VLOOKUP(B531,CASOPOInvCL!$B$1:$D$1600,1,FALSE)</f>
        <v>SO17346</v>
      </c>
      <c r="T531">
        <f t="shared" si="8"/>
        <v>6</v>
      </c>
    </row>
    <row r="532" spans="1:20" x14ac:dyDescent="0.25">
      <c r="A532" s="2">
        <v>1</v>
      </c>
      <c r="B532" s="2" t="s">
        <v>1201</v>
      </c>
      <c r="C532" s="2" t="s">
        <v>1202</v>
      </c>
      <c r="D532" s="2" t="s">
        <v>509</v>
      </c>
      <c r="E532" s="3">
        <v>45824.357627314806</v>
      </c>
      <c r="F532" s="3">
        <v>45824.358761574083</v>
      </c>
      <c r="G532" s="4">
        <v>45827</v>
      </c>
      <c r="H532" s="2" t="s">
        <v>1132</v>
      </c>
      <c r="I532" s="2" t="s">
        <v>22</v>
      </c>
      <c r="J532" s="2">
        <v>1</v>
      </c>
      <c r="K532" s="2">
        <v>1003.33</v>
      </c>
      <c r="L532" s="2">
        <v>0</v>
      </c>
      <c r="M532" s="2">
        <v>740.04637213415515</v>
      </c>
      <c r="N532" s="2">
        <v>955.55</v>
      </c>
      <c r="O532" s="2">
        <v>47.78</v>
      </c>
      <c r="P532" s="2">
        <v>1003.33</v>
      </c>
      <c r="Q532" s="2" t="s">
        <v>44</v>
      </c>
      <c r="R532" s="2"/>
      <c r="S532" t="str">
        <f>VLOOKUP(B532,CASOPOInvCL!$B$1:$D$1600,1,FALSE)</f>
        <v>SO17349</v>
      </c>
      <c r="T532">
        <f t="shared" si="8"/>
        <v>6</v>
      </c>
    </row>
    <row r="533" spans="1:20" x14ac:dyDescent="0.25">
      <c r="A533" s="2">
        <v>1</v>
      </c>
      <c r="B533" s="2" t="s">
        <v>1197</v>
      </c>
      <c r="C533" s="2" t="s">
        <v>1198</v>
      </c>
      <c r="D533" s="2" t="s">
        <v>242</v>
      </c>
      <c r="E533" s="3">
        <v>45824.569710648153</v>
      </c>
      <c r="F533" s="3">
        <v>45824.607893518521</v>
      </c>
      <c r="G533" s="4">
        <v>45828</v>
      </c>
      <c r="H533" s="2" t="s">
        <v>21</v>
      </c>
      <c r="I533" s="2" t="s">
        <v>22</v>
      </c>
      <c r="J533" s="2">
        <v>1</v>
      </c>
      <c r="K533" s="2">
        <v>2758.72</v>
      </c>
      <c r="L533" s="2">
        <v>0</v>
      </c>
      <c r="M533" s="2">
        <v>2034.8048276578361</v>
      </c>
      <c r="N533" s="2">
        <v>2627.35</v>
      </c>
      <c r="O533" s="2">
        <v>131.37</v>
      </c>
      <c r="P533" s="2">
        <v>2758.72</v>
      </c>
      <c r="Q533" s="2" t="s">
        <v>44</v>
      </c>
      <c r="R533" s="2"/>
      <c r="S533" t="str">
        <f>VLOOKUP(B533,CASOPOInvCL!$B$1:$D$1600,1,FALSE)</f>
        <v>SO17353</v>
      </c>
      <c r="T533">
        <f t="shared" si="8"/>
        <v>6</v>
      </c>
    </row>
    <row r="534" spans="1:20" ht="30" x14ac:dyDescent="0.25">
      <c r="A534" s="2">
        <v>1</v>
      </c>
      <c r="B534" s="2" t="s">
        <v>1187</v>
      </c>
      <c r="C534" s="2" t="s">
        <v>1188</v>
      </c>
      <c r="D534" s="2" t="s">
        <v>1189</v>
      </c>
      <c r="E534" s="3">
        <v>45824.595567129632</v>
      </c>
      <c r="F534" s="3">
        <v>45826.531307870369</v>
      </c>
      <c r="G534" s="4">
        <v>45833</v>
      </c>
      <c r="H534" s="2" t="s">
        <v>21</v>
      </c>
      <c r="I534" s="2" t="s">
        <v>51</v>
      </c>
      <c r="J534" s="2">
        <v>0.73586843526375945</v>
      </c>
      <c r="K534" s="2">
        <v>466.65950534610732</v>
      </c>
      <c r="L534" s="2">
        <v>0</v>
      </c>
      <c r="M534" s="2">
        <v>343.4</v>
      </c>
      <c r="N534" s="2">
        <v>343.4</v>
      </c>
      <c r="O534" s="2"/>
      <c r="P534" s="2">
        <v>343.4</v>
      </c>
      <c r="Q534" s="2" t="s">
        <v>44</v>
      </c>
      <c r="R534" s="2"/>
      <c r="S534" t="str">
        <f>VLOOKUP(B534,CASOPOInvCL!$B$1:$D$1600,1,FALSE)</f>
        <v>SO17355</v>
      </c>
      <c r="T534">
        <f t="shared" si="8"/>
        <v>6</v>
      </c>
    </row>
    <row r="535" spans="1:20" x14ac:dyDescent="0.25">
      <c r="A535" s="2">
        <v>1</v>
      </c>
      <c r="B535" s="2" t="s">
        <v>1194</v>
      </c>
      <c r="C535" s="2" t="s">
        <v>1195</v>
      </c>
      <c r="D535" s="2" t="s">
        <v>1196</v>
      </c>
      <c r="E535" s="3">
        <v>45824.614108796297</v>
      </c>
      <c r="F535" s="3">
        <v>45824.614108796297</v>
      </c>
      <c r="G535" s="4">
        <v>45903</v>
      </c>
      <c r="H535" s="2" t="s">
        <v>21</v>
      </c>
      <c r="I535" s="2" t="s">
        <v>22</v>
      </c>
      <c r="J535" s="2">
        <v>1</v>
      </c>
      <c r="K535" s="2">
        <v>12164.25</v>
      </c>
      <c r="L535" s="2">
        <v>0</v>
      </c>
      <c r="M535" s="2">
        <v>8972.2315511675097</v>
      </c>
      <c r="N535" s="2">
        <v>10764.82</v>
      </c>
      <c r="O535" s="2">
        <v>1399.43</v>
      </c>
      <c r="P535" s="2">
        <v>12164.25</v>
      </c>
      <c r="Q535" s="2" t="s">
        <v>44</v>
      </c>
      <c r="R535" s="2"/>
      <c r="S535" t="str">
        <f>VLOOKUP(B535,CASOPOInvCL!$B$1:$D$1600,1,FALSE)</f>
        <v>SO17356</v>
      </c>
      <c r="T535">
        <f t="shared" si="8"/>
        <v>6</v>
      </c>
    </row>
    <row r="536" spans="1:20" x14ac:dyDescent="0.25">
      <c r="A536" s="2">
        <v>1</v>
      </c>
      <c r="B536" s="2" t="s">
        <v>1192</v>
      </c>
      <c r="C536" s="2" t="s">
        <v>1193</v>
      </c>
      <c r="D536" s="2" t="s">
        <v>556</v>
      </c>
      <c r="E536" s="3">
        <v>45824.62908564815</v>
      </c>
      <c r="F536" s="3">
        <v>45825.697962962957</v>
      </c>
      <c r="G536" s="4">
        <v>45831</v>
      </c>
      <c r="H536" s="2" t="s">
        <v>36</v>
      </c>
      <c r="I536" s="2" t="s">
        <v>22</v>
      </c>
      <c r="J536" s="2">
        <v>1</v>
      </c>
      <c r="K536" s="2">
        <v>320.69</v>
      </c>
      <c r="L536" s="2">
        <v>0</v>
      </c>
      <c r="M536" s="2">
        <v>235.985648504735</v>
      </c>
      <c r="N536" s="2">
        <v>283.8</v>
      </c>
      <c r="O536" s="2">
        <v>36.89</v>
      </c>
      <c r="P536" s="2">
        <v>320.69</v>
      </c>
      <c r="Q536" s="2" t="s">
        <v>44</v>
      </c>
      <c r="R536" s="2"/>
      <c r="S536" t="str">
        <f>VLOOKUP(B536,CASOPOInvCL!$B$1:$D$1600,1,FALSE)</f>
        <v>SO17357</v>
      </c>
      <c r="T536">
        <f t="shared" si="8"/>
        <v>6</v>
      </c>
    </row>
    <row r="537" spans="1:20" x14ac:dyDescent="0.25">
      <c r="A537" s="2">
        <v>1</v>
      </c>
      <c r="B537" s="2" t="s">
        <v>751</v>
      </c>
      <c r="C537" s="2" t="s">
        <v>752</v>
      </c>
      <c r="D537" s="2" t="s">
        <v>232</v>
      </c>
      <c r="E537" s="3">
        <v>45824.631458333337</v>
      </c>
      <c r="F537" s="3">
        <v>45897.485289351847</v>
      </c>
      <c r="G537" s="4">
        <v>45902</v>
      </c>
      <c r="H537" s="2" t="s">
        <v>180</v>
      </c>
      <c r="I537" s="2" t="s">
        <v>51</v>
      </c>
      <c r="J537" s="2">
        <v>0.72328577573707276</v>
      </c>
      <c r="K537" s="2">
        <v>7496.7878283992541</v>
      </c>
      <c r="L537" s="2">
        <v>0</v>
      </c>
      <c r="M537" s="2">
        <v>5422.32</v>
      </c>
      <c r="N537" s="2">
        <v>5422.32</v>
      </c>
      <c r="O537" s="2"/>
      <c r="P537" s="2">
        <v>5422.32</v>
      </c>
      <c r="Q537" s="2" t="s">
        <v>44</v>
      </c>
      <c r="R537" s="2"/>
      <c r="S537" t="str">
        <f>VLOOKUP(B537,CASOPOInvCL!$B$1:$D$1600,1,FALSE)</f>
        <v>SO17358</v>
      </c>
      <c r="T537">
        <f t="shared" si="8"/>
        <v>6</v>
      </c>
    </row>
    <row r="538" spans="1:20" x14ac:dyDescent="0.25">
      <c r="A538" s="2">
        <v>1</v>
      </c>
      <c r="B538" s="2" t="s">
        <v>1180</v>
      </c>
      <c r="C538" s="2" t="s">
        <v>1181</v>
      </c>
      <c r="D538" s="2" t="s">
        <v>450</v>
      </c>
      <c r="E538" s="3">
        <v>45825.441678240742</v>
      </c>
      <c r="F538" s="3">
        <v>45827.441689814812</v>
      </c>
      <c r="G538" s="4">
        <v>45852</v>
      </c>
      <c r="H538" s="2" t="s">
        <v>40</v>
      </c>
      <c r="I538" s="2" t="s">
        <v>22</v>
      </c>
      <c r="J538" s="2">
        <v>1</v>
      </c>
      <c r="K538" s="2">
        <v>5855.32</v>
      </c>
      <c r="L538" s="2">
        <v>0</v>
      </c>
      <c r="M538" s="2">
        <v>4262.6341917826312</v>
      </c>
      <c r="N538" s="2">
        <v>5181.7</v>
      </c>
      <c r="O538" s="2">
        <v>673.62</v>
      </c>
      <c r="P538" s="2">
        <v>5855.32</v>
      </c>
      <c r="Q538" s="2" t="s">
        <v>44</v>
      </c>
      <c r="R538" s="2"/>
      <c r="S538" t="str">
        <f>VLOOKUP(B538,CASOPOInvCL!$B$1:$D$1600,1,FALSE)</f>
        <v>SO17360</v>
      </c>
      <c r="T538">
        <f t="shared" si="8"/>
        <v>6</v>
      </c>
    </row>
    <row r="539" spans="1:20" ht="30" x14ac:dyDescent="0.25">
      <c r="A539" s="2">
        <v>2</v>
      </c>
      <c r="B539" s="2" t="s">
        <v>1190</v>
      </c>
      <c r="C539" s="2" t="s">
        <v>1191</v>
      </c>
      <c r="D539" s="2" t="s">
        <v>239</v>
      </c>
      <c r="E539" s="3">
        <v>45826.328472222223</v>
      </c>
      <c r="F539" s="3">
        <v>45826.328981481478</v>
      </c>
      <c r="G539" s="4">
        <v>45828</v>
      </c>
      <c r="H539" s="2" t="s">
        <v>180</v>
      </c>
      <c r="I539" s="2" t="s">
        <v>51</v>
      </c>
      <c r="J539" s="2">
        <v>0.73586843526375945</v>
      </c>
      <c r="K539" s="2">
        <v>2778.8255372946642</v>
      </c>
      <c r="L539" s="2">
        <v>0</v>
      </c>
      <c r="M539" s="2">
        <v>2044.85</v>
      </c>
      <c r="N539" s="2">
        <v>2044.85</v>
      </c>
      <c r="O539" s="2"/>
      <c r="P539" s="2">
        <v>2044.85</v>
      </c>
      <c r="Q539" s="2" t="s">
        <v>44</v>
      </c>
      <c r="R539" s="2"/>
      <c r="S539" t="str">
        <f>VLOOKUP(B539,CASOPOInvCL!$B$1:$D$1600,1,FALSE)</f>
        <v>SO17366</v>
      </c>
      <c r="T539">
        <f t="shared" si="8"/>
        <v>6</v>
      </c>
    </row>
    <row r="540" spans="1:20" x14ac:dyDescent="0.25">
      <c r="A540" s="2">
        <v>2</v>
      </c>
      <c r="B540" s="2" t="s">
        <v>1185</v>
      </c>
      <c r="C540" s="2" t="s">
        <v>1186</v>
      </c>
      <c r="D540" s="2" t="s">
        <v>77</v>
      </c>
      <c r="E540" s="3">
        <v>45826.526377314818</v>
      </c>
      <c r="F540" s="3">
        <v>45826.55195601852</v>
      </c>
      <c r="G540" s="4">
        <v>45828</v>
      </c>
      <c r="H540" s="2" t="s">
        <v>21</v>
      </c>
      <c r="I540" s="2" t="s">
        <v>22</v>
      </c>
      <c r="J540" s="2">
        <v>1</v>
      </c>
      <c r="K540" s="2">
        <v>614.73</v>
      </c>
      <c r="L540" s="2">
        <v>0</v>
      </c>
      <c r="M540" s="2">
        <v>449.16776471013151</v>
      </c>
      <c r="N540" s="2">
        <v>585.46</v>
      </c>
      <c r="O540" s="2">
        <v>29.27</v>
      </c>
      <c r="P540" s="2">
        <v>614.73</v>
      </c>
      <c r="Q540" s="2" t="s">
        <v>44</v>
      </c>
      <c r="R540" s="2"/>
      <c r="S540" t="str">
        <f>VLOOKUP(B540,CASOPOInvCL!$B$1:$D$1600,1,FALSE)</f>
        <v>SO17367</v>
      </c>
      <c r="T540">
        <f t="shared" si="8"/>
        <v>6</v>
      </c>
    </row>
    <row r="541" spans="1:20" ht="30" x14ac:dyDescent="0.25">
      <c r="A541" s="2">
        <v>2</v>
      </c>
      <c r="B541" s="2" t="s">
        <v>1122</v>
      </c>
      <c r="C541" s="2" t="s">
        <v>1123</v>
      </c>
      <c r="D541" s="2" t="s">
        <v>159</v>
      </c>
      <c r="E541" s="3">
        <v>45826.685925925929</v>
      </c>
      <c r="F541" s="3">
        <v>45839.615868055553</v>
      </c>
      <c r="G541" s="4">
        <v>45877</v>
      </c>
      <c r="H541" s="2" t="s">
        <v>40</v>
      </c>
      <c r="I541" s="2" t="s">
        <v>51</v>
      </c>
      <c r="J541" s="2">
        <v>0.73078653074427524</v>
      </c>
      <c r="K541" s="2">
        <v>21669.460688981169</v>
      </c>
      <c r="L541" s="2">
        <v>0</v>
      </c>
      <c r="M541" s="2">
        <v>15835.75</v>
      </c>
      <c r="N541" s="2">
        <v>15835.75</v>
      </c>
      <c r="O541" s="2"/>
      <c r="P541" s="2">
        <v>15835.75</v>
      </c>
      <c r="Q541" s="2" t="s">
        <v>44</v>
      </c>
      <c r="R541" s="2"/>
      <c r="S541" t="str">
        <f>VLOOKUP(B541,CASOPOInvCL!$B$1:$D$1600,1,FALSE)</f>
        <v>SO17368</v>
      </c>
      <c r="T541">
        <f t="shared" si="8"/>
        <v>6</v>
      </c>
    </row>
    <row r="542" spans="1:20" ht="30" x14ac:dyDescent="0.25">
      <c r="A542" s="2">
        <v>1</v>
      </c>
      <c r="B542" s="2" t="s">
        <v>1175</v>
      </c>
      <c r="C542" s="2" t="s">
        <v>1176</v>
      </c>
      <c r="D542" s="2" t="s">
        <v>502</v>
      </c>
      <c r="E542" s="3">
        <v>45826.812488425923</v>
      </c>
      <c r="F542" s="3">
        <v>45827.481099537043</v>
      </c>
      <c r="G542" s="4">
        <v>45828</v>
      </c>
      <c r="H542" s="2" t="s">
        <v>21</v>
      </c>
      <c r="I542" s="2" t="s">
        <v>22</v>
      </c>
      <c r="J542" s="2">
        <v>1</v>
      </c>
      <c r="K542" s="2">
        <v>2622.07</v>
      </c>
      <c r="L542" s="2">
        <v>0</v>
      </c>
      <c r="M542" s="2">
        <v>1908.849599210203</v>
      </c>
      <c r="N542" s="2">
        <v>2497.21</v>
      </c>
      <c r="O542" s="2">
        <v>124.86</v>
      </c>
      <c r="P542" s="2">
        <v>2622.07</v>
      </c>
      <c r="Q542" s="2" t="s">
        <v>44</v>
      </c>
      <c r="R542" s="2"/>
      <c r="S542" t="str">
        <f>VLOOKUP(B542,CASOPOInvCL!$B$1:$D$1600,1,FALSE)</f>
        <v>SO17369</v>
      </c>
      <c r="T542">
        <f t="shared" si="8"/>
        <v>6</v>
      </c>
    </row>
    <row r="543" spans="1:20" x14ac:dyDescent="0.25">
      <c r="A543" s="2">
        <v>1</v>
      </c>
      <c r="B543" s="2" t="s">
        <v>1177</v>
      </c>
      <c r="C543" s="2" t="s">
        <v>1178</v>
      </c>
      <c r="D543" s="2" t="s">
        <v>1179</v>
      </c>
      <c r="E543" s="3">
        <v>45827.43240740741</v>
      </c>
      <c r="F543" s="3">
        <v>45827.446111111109</v>
      </c>
      <c r="G543" s="4">
        <v>45828</v>
      </c>
      <c r="H543" s="2" t="s">
        <v>21</v>
      </c>
      <c r="I543" s="2" t="s">
        <v>22</v>
      </c>
      <c r="J543" s="2">
        <v>1</v>
      </c>
      <c r="K543" s="2">
        <v>4547.72</v>
      </c>
      <c r="L543" s="2">
        <v>0</v>
      </c>
      <c r="M543" s="2">
        <v>3310.7100494343108</v>
      </c>
      <c r="N543" s="2">
        <v>4331.1499999999996</v>
      </c>
      <c r="O543" s="2">
        <v>216.57</v>
      </c>
      <c r="P543" s="2">
        <v>4547.72</v>
      </c>
      <c r="Q543" s="2" t="s">
        <v>44</v>
      </c>
      <c r="R543" s="2"/>
      <c r="S543" t="str">
        <f>VLOOKUP(B543,CASOPOInvCL!$B$1:$D$1600,1,FALSE)</f>
        <v>SO17370</v>
      </c>
      <c r="T543">
        <f t="shared" si="8"/>
        <v>6</v>
      </c>
    </row>
    <row r="544" spans="1:20" x14ac:dyDescent="0.25">
      <c r="A544" s="2">
        <v>1</v>
      </c>
      <c r="B544" s="2" t="s">
        <v>775</v>
      </c>
      <c r="C544" s="2" t="s">
        <v>776</v>
      </c>
      <c r="D544" s="2" t="s">
        <v>54</v>
      </c>
      <c r="E544" s="3">
        <v>45827.75675925926</v>
      </c>
      <c r="F544" s="3">
        <v>45895.520613425928</v>
      </c>
      <c r="G544" s="4">
        <v>45896</v>
      </c>
      <c r="H544" s="2" t="s">
        <v>21</v>
      </c>
      <c r="I544" s="2" t="s">
        <v>22</v>
      </c>
      <c r="J544" s="2">
        <v>1</v>
      </c>
      <c r="K544" s="2">
        <v>1111.57</v>
      </c>
      <c r="L544" s="2">
        <v>0</v>
      </c>
      <c r="M544" s="2">
        <v>803.98276973605789</v>
      </c>
      <c r="N544" s="2">
        <v>1058.6400000000001</v>
      </c>
      <c r="O544" s="2">
        <v>52.93</v>
      </c>
      <c r="P544" s="2">
        <v>1111.57</v>
      </c>
      <c r="Q544" s="2" t="s">
        <v>44</v>
      </c>
      <c r="R544" s="2"/>
      <c r="S544" t="str">
        <f>VLOOKUP(B544,CASOPOInvCL!$B$1:$D$1600,1,FALSE)</f>
        <v>SO17372</v>
      </c>
      <c r="T544">
        <f t="shared" si="8"/>
        <v>6</v>
      </c>
    </row>
    <row r="545" spans="1:20" x14ac:dyDescent="0.25">
      <c r="A545" s="2">
        <v>1</v>
      </c>
      <c r="B545" s="2" t="s">
        <v>1171</v>
      </c>
      <c r="C545" s="2" t="s">
        <v>1172</v>
      </c>
      <c r="D545" s="2" t="s">
        <v>556</v>
      </c>
      <c r="E545" s="3">
        <v>45828.420868055553</v>
      </c>
      <c r="F545" s="3">
        <v>45828.435358796298</v>
      </c>
      <c r="G545" s="4">
        <v>45831</v>
      </c>
      <c r="H545" s="2" t="s">
        <v>40</v>
      </c>
      <c r="I545" s="2" t="s">
        <v>22</v>
      </c>
      <c r="J545" s="2">
        <v>1</v>
      </c>
      <c r="K545" s="2">
        <v>480.49</v>
      </c>
      <c r="L545" s="2">
        <v>0</v>
      </c>
      <c r="M545" s="2">
        <v>349.758658202079</v>
      </c>
      <c r="N545" s="2">
        <v>425.21</v>
      </c>
      <c r="O545" s="2">
        <v>55.28</v>
      </c>
      <c r="P545" s="2">
        <v>480.49</v>
      </c>
      <c r="Q545" s="2" t="s">
        <v>44</v>
      </c>
      <c r="R545" s="2"/>
      <c r="S545" t="str">
        <f>VLOOKUP(B545,CASOPOInvCL!$B$1:$D$1600,1,FALSE)</f>
        <v>SO17375</v>
      </c>
      <c r="T545">
        <f t="shared" si="8"/>
        <v>6</v>
      </c>
    </row>
    <row r="546" spans="1:20" x14ac:dyDescent="0.25">
      <c r="A546" s="2">
        <v>1</v>
      </c>
      <c r="B546" s="2" t="s">
        <v>1161</v>
      </c>
      <c r="C546" s="2" t="s">
        <v>1162</v>
      </c>
      <c r="D546" s="2" t="s">
        <v>20</v>
      </c>
      <c r="E546" s="3">
        <v>45831.290046296293</v>
      </c>
      <c r="F546" s="3">
        <v>45831.290046296293</v>
      </c>
      <c r="G546" s="4">
        <v>45919</v>
      </c>
      <c r="H546" s="2" t="s">
        <v>21</v>
      </c>
      <c r="I546" s="2" t="s">
        <v>22</v>
      </c>
      <c r="J546" s="2">
        <v>1</v>
      </c>
      <c r="K546" s="2">
        <v>6506.97</v>
      </c>
      <c r="L546" s="2">
        <v>0</v>
      </c>
      <c r="M546" s="2">
        <v>4724.9206180386327</v>
      </c>
      <c r="N546" s="2">
        <v>6197.11</v>
      </c>
      <c r="O546" s="2">
        <v>309.86</v>
      </c>
      <c r="P546" s="2">
        <v>6506.97</v>
      </c>
      <c r="Q546" s="2" t="s">
        <v>44</v>
      </c>
      <c r="R546" s="2"/>
      <c r="S546" t="str">
        <f>VLOOKUP(B546,CASOPOInvCL!$B$1:$D$1600,1,FALSE)</f>
        <v>SO17379</v>
      </c>
      <c r="T546">
        <f t="shared" si="8"/>
        <v>6</v>
      </c>
    </row>
    <row r="547" spans="1:20" x14ac:dyDescent="0.25">
      <c r="A547" s="2">
        <v>2</v>
      </c>
      <c r="B547" s="2" t="s">
        <v>1153</v>
      </c>
      <c r="C547" s="2" t="s">
        <v>1154</v>
      </c>
      <c r="D547" s="2" t="s">
        <v>450</v>
      </c>
      <c r="E547" s="3">
        <v>45831.544918981483</v>
      </c>
      <c r="F547" s="3">
        <v>45832.401574074072</v>
      </c>
      <c r="G547" s="4">
        <v>45854</v>
      </c>
      <c r="H547" s="2" t="s">
        <v>40</v>
      </c>
      <c r="I547" s="2" t="s">
        <v>22</v>
      </c>
      <c r="J547" s="2">
        <v>1</v>
      </c>
      <c r="K547" s="2">
        <v>544.12</v>
      </c>
      <c r="L547" s="2">
        <v>0</v>
      </c>
      <c r="M547" s="2">
        <v>396.8028235847375</v>
      </c>
      <c r="N547" s="2">
        <v>481.52</v>
      </c>
      <c r="O547" s="2">
        <v>62.6</v>
      </c>
      <c r="P547" s="2">
        <v>544.12</v>
      </c>
      <c r="Q547" s="2" t="s">
        <v>44</v>
      </c>
      <c r="R547" s="2"/>
      <c r="S547" t="str">
        <f>VLOOKUP(B547,CASOPOInvCL!$B$1:$D$1600,1,FALSE)</f>
        <v>SO17382</v>
      </c>
      <c r="T547">
        <f t="shared" si="8"/>
        <v>6</v>
      </c>
    </row>
    <row r="548" spans="1:20" ht="30" x14ac:dyDescent="0.25">
      <c r="A548" s="2">
        <v>1</v>
      </c>
      <c r="B548" s="2" t="s">
        <v>1167</v>
      </c>
      <c r="C548" s="2" t="s">
        <v>1168</v>
      </c>
      <c r="D548" s="2" t="s">
        <v>369</v>
      </c>
      <c r="E548" s="3">
        <v>45831.615277777782</v>
      </c>
      <c r="F548" s="3">
        <v>45829.610960648148</v>
      </c>
      <c r="G548" s="4">
        <v>45922</v>
      </c>
      <c r="H548" s="2" t="s">
        <v>36</v>
      </c>
      <c r="I548" s="2" t="s">
        <v>51</v>
      </c>
      <c r="J548" s="2">
        <v>0.72839293326389742</v>
      </c>
      <c r="K548" s="2">
        <v>5802.1430563067106</v>
      </c>
      <c r="L548" s="2">
        <v>0</v>
      </c>
      <c r="M548" s="2">
        <v>4226.24</v>
      </c>
      <c r="N548" s="2">
        <v>4226.24</v>
      </c>
      <c r="O548" s="2"/>
      <c r="P548" s="2">
        <v>4226.24</v>
      </c>
      <c r="Q548" s="2" t="s">
        <v>44</v>
      </c>
      <c r="R548" s="2"/>
      <c r="S548" t="str">
        <f>VLOOKUP(B548,CASOPOInvCL!$B$1:$D$1600,1,FALSE)</f>
        <v>SO17383</v>
      </c>
      <c r="T548">
        <f t="shared" si="8"/>
        <v>6</v>
      </c>
    </row>
    <row r="549" spans="1:20" ht="30" x14ac:dyDescent="0.25">
      <c r="A549" s="2">
        <v>2</v>
      </c>
      <c r="B549" s="2" t="s">
        <v>1163</v>
      </c>
      <c r="C549" s="2" t="s">
        <v>1164</v>
      </c>
      <c r="D549" s="2" t="s">
        <v>369</v>
      </c>
      <c r="E549" s="3">
        <v>45831.720127314817</v>
      </c>
      <c r="F549" s="3">
        <v>45829.702789351853</v>
      </c>
      <c r="G549" s="4">
        <v>45838</v>
      </c>
      <c r="H549" s="2" t="s">
        <v>36</v>
      </c>
      <c r="I549" s="2" t="s">
        <v>51</v>
      </c>
      <c r="J549" s="2">
        <v>0.72839293326389742</v>
      </c>
      <c r="K549" s="2">
        <v>8492.4217651063773</v>
      </c>
      <c r="L549" s="2">
        <v>0</v>
      </c>
      <c r="M549" s="2">
        <v>6185.82</v>
      </c>
      <c r="N549" s="2">
        <v>6185.82</v>
      </c>
      <c r="O549" s="2"/>
      <c r="P549" s="2">
        <v>6185.82</v>
      </c>
      <c r="Q549" s="2" t="s">
        <v>44</v>
      </c>
      <c r="R549" s="2"/>
      <c r="S549" t="str">
        <f>VLOOKUP(B549,CASOPOInvCL!$B$1:$D$1600,1,FALSE)</f>
        <v>SO17384</v>
      </c>
      <c r="T549">
        <f t="shared" si="8"/>
        <v>6</v>
      </c>
    </row>
    <row r="550" spans="1:20" x14ac:dyDescent="0.25">
      <c r="A550" s="2">
        <v>1</v>
      </c>
      <c r="B550" s="2" t="s">
        <v>1157</v>
      </c>
      <c r="C550" s="2" t="s">
        <v>1158</v>
      </c>
      <c r="D550" s="2" t="s">
        <v>141</v>
      </c>
      <c r="E550" s="3">
        <v>45831.728518518517</v>
      </c>
      <c r="F550" s="3">
        <v>45831.729687500003</v>
      </c>
      <c r="G550" s="4">
        <v>45832</v>
      </c>
      <c r="H550" s="2" t="s">
        <v>21</v>
      </c>
      <c r="I550" s="2" t="s">
        <v>51</v>
      </c>
      <c r="J550" s="2">
        <v>0.72839293326389742</v>
      </c>
      <c r="K550" s="2">
        <v>116.6540696918257</v>
      </c>
      <c r="L550" s="2">
        <v>0</v>
      </c>
      <c r="M550" s="2">
        <v>84.97</v>
      </c>
      <c r="N550" s="2">
        <v>84.97</v>
      </c>
      <c r="O550" s="2"/>
      <c r="P550" s="2">
        <v>84.97</v>
      </c>
      <c r="Q550" s="2" t="s">
        <v>44</v>
      </c>
      <c r="R550" s="2"/>
      <c r="S550" t="str">
        <f>VLOOKUP(B550,CASOPOInvCL!$B$1:$D$1600,1,FALSE)</f>
        <v>SO17385</v>
      </c>
      <c r="T550">
        <f t="shared" si="8"/>
        <v>6</v>
      </c>
    </row>
    <row r="551" spans="1:20" x14ac:dyDescent="0.25">
      <c r="A551" s="2">
        <v>1</v>
      </c>
      <c r="B551" s="2" t="s">
        <v>1155</v>
      </c>
      <c r="C551" s="2" t="s">
        <v>1156</v>
      </c>
      <c r="D551" s="2" t="s">
        <v>141</v>
      </c>
      <c r="E551" s="3">
        <v>45831.734212962961</v>
      </c>
      <c r="F551" s="3">
        <v>45831.735138888893</v>
      </c>
      <c r="G551" s="4">
        <v>45832</v>
      </c>
      <c r="H551" s="2" t="s">
        <v>21</v>
      </c>
      <c r="I551" s="2" t="s">
        <v>51</v>
      </c>
      <c r="J551" s="2">
        <v>0.72839293326389742</v>
      </c>
      <c r="K551" s="2">
        <v>270.84282533604062</v>
      </c>
      <c r="L551" s="2">
        <v>0</v>
      </c>
      <c r="M551" s="2">
        <v>197.28</v>
      </c>
      <c r="N551" s="2">
        <v>197.28</v>
      </c>
      <c r="O551" s="2"/>
      <c r="P551" s="2">
        <v>197.28</v>
      </c>
      <c r="Q551" s="2" t="s">
        <v>44</v>
      </c>
      <c r="R551" s="2"/>
      <c r="S551" t="str">
        <f>VLOOKUP(B551,CASOPOInvCL!$B$1:$D$1600,1,FALSE)</f>
        <v>SO17386</v>
      </c>
      <c r="T551">
        <f t="shared" si="8"/>
        <v>6</v>
      </c>
    </row>
    <row r="552" spans="1:20" x14ac:dyDescent="0.25">
      <c r="A552" s="2">
        <v>1</v>
      </c>
      <c r="B552" s="2" t="s">
        <v>1106</v>
      </c>
      <c r="C552" s="2" t="s">
        <v>1107</v>
      </c>
      <c r="D552" s="2" t="s">
        <v>465</v>
      </c>
      <c r="E552" s="3">
        <v>45832.395648148151</v>
      </c>
      <c r="F552" s="3">
        <v>45846.330868055556</v>
      </c>
      <c r="G552" s="4">
        <v>45846</v>
      </c>
      <c r="H552" s="2" t="s">
        <v>21</v>
      </c>
      <c r="I552" s="2" t="s">
        <v>22</v>
      </c>
      <c r="J552" s="2">
        <v>1</v>
      </c>
      <c r="K552" s="2">
        <v>2569.87</v>
      </c>
      <c r="L552" s="2">
        <v>2569.87</v>
      </c>
      <c r="M552" s="2">
        <v>2569.87</v>
      </c>
      <c r="N552" s="2">
        <v>2274.2199999999998</v>
      </c>
      <c r="O552" s="2">
        <v>295.64999999999998</v>
      </c>
      <c r="P552" s="2">
        <v>2569.87</v>
      </c>
      <c r="Q552" s="2" t="s">
        <v>44</v>
      </c>
      <c r="R552" s="2"/>
      <c r="S552" t="str">
        <f>VLOOKUP(B552,CASOPOInvCL!$B$1:$D$1600,1,FALSE)</f>
        <v>SO17388</v>
      </c>
      <c r="T552">
        <f t="shared" si="8"/>
        <v>6</v>
      </c>
    </row>
    <row r="553" spans="1:20" x14ac:dyDescent="0.25">
      <c r="A553" s="2">
        <v>1</v>
      </c>
      <c r="B553" s="2" t="s">
        <v>1098</v>
      </c>
      <c r="C553" s="2" t="s">
        <v>1099</v>
      </c>
      <c r="D553" s="2" t="s">
        <v>1100</v>
      </c>
      <c r="E553" s="3">
        <v>45832.421030092592</v>
      </c>
      <c r="F553" s="3">
        <v>45846.519120370373</v>
      </c>
      <c r="G553" s="4">
        <v>45847</v>
      </c>
      <c r="H553" s="2" t="s">
        <v>21</v>
      </c>
      <c r="I553" s="2" t="s">
        <v>51</v>
      </c>
      <c r="J553" s="2">
        <v>0.73511294228208912</v>
      </c>
      <c r="K553" s="2">
        <v>15199.17465378059</v>
      </c>
      <c r="L553" s="2">
        <v>0</v>
      </c>
      <c r="M553" s="2">
        <v>11173.11</v>
      </c>
      <c r="N553" s="2">
        <v>11173.11</v>
      </c>
      <c r="O553" s="2"/>
      <c r="P553" s="2">
        <v>11173.11</v>
      </c>
      <c r="Q553" s="2" t="s">
        <v>44</v>
      </c>
      <c r="R553" s="2"/>
      <c r="S553" t="str">
        <f>VLOOKUP(B553,CASOPOInvCL!$B$1:$D$1600,1,FALSE)</f>
        <v>SO17389</v>
      </c>
      <c r="T553">
        <f t="shared" si="8"/>
        <v>6</v>
      </c>
    </row>
    <row r="554" spans="1:20" x14ac:dyDescent="0.25">
      <c r="A554" s="2">
        <v>1</v>
      </c>
      <c r="B554" s="2" t="s">
        <v>1151</v>
      </c>
      <c r="C554" s="2" t="s">
        <v>1152</v>
      </c>
      <c r="D554" s="2" t="s">
        <v>141</v>
      </c>
      <c r="E554" s="3">
        <v>45832.425127314818</v>
      </c>
      <c r="F554" s="3">
        <v>45832.425127314818</v>
      </c>
      <c r="G554" s="2"/>
      <c r="H554" s="2" t="s">
        <v>40</v>
      </c>
      <c r="I554" s="2" t="s">
        <v>51</v>
      </c>
      <c r="J554" s="2">
        <v>0.72613222714084014</v>
      </c>
      <c r="K554" s="2">
        <v>2304.800609924439</v>
      </c>
      <c r="L554" s="2">
        <v>0</v>
      </c>
      <c r="M554" s="2">
        <v>1673.59</v>
      </c>
      <c r="N554" s="2">
        <v>1673.59</v>
      </c>
      <c r="O554" s="2"/>
      <c r="P554" s="2">
        <v>1673.59</v>
      </c>
      <c r="Q554" s="2" t="s">
        <v>44</v>
      </c>
      <c r="R554" s="2"/>
      <c r="S554" t="str">
        <f>VLOOKUP(B554,CASOPOInvCL!$B$1:$D$1600,1,FALSE)</f>
        <v>SO17390</v>
      </c>
      <c r="T554">
        <f t="shared" si="8"/>
        <v>6</v>
      </c>
    </row>
    <row r="555" spans="1:20" x14ac:dyDescent="0.25">
      <c r="A555" s="2">
        <v>2</v>
      </c>
      <c r="B555" s="2" t="s">
        <v>1149</v>
      </c>
      <c r="C555" s="2" t="s">
        <v>1150</v>
      </c>
      <c r="D555" s="2" t="s">
        <v>141</v>
      </c>
      <c r="E555" s="3">
        <v>45832.450497685182</v>
      </c>
      <c r="F555" s="3">
        <v>45832.450497685182</v>
      </c>
      <c r="G555" s="2"/>
      <c r="H555" s="2" t="s">
        <v>40</v>
      </c>
      <c r="I555" s="2" t="s">
        <v>51</v>
      </c>
      <c r="J555" s="2">
        <v>0.72613222714084014</v>
      </c>
      <c r="K555" s="2">
        <v>1404.0831158458541</v>
      </c>
      <c r="L555" s="2">
        <v>0</v>
      </c>
      <c r="M555" s="2">
        <v>1019.55</v>
      </c>
      <c r="N555" s="2">
        <v>1019.55</v>
      </c>
      <c r="O555" s="2"/>
      <c r="P555" s="2">
        <v>1019.55</v>
      </c>
      <c r="Q555" s="2" t="s">
        <v>44</v>
      </c>
      <c r="R555" s="2"/>
      <c r="S555" t="str">
        <f>VLOOKUP(B555,CASOPOInvCL!$B$1:$D$1600,1,FALSE)</f>
        <v>SO17391</v>
      </c>
      <c r="T555">
        <f t="shared" si="8"/>
        <v>6</v>
      </c>
    </row>
    <row r="556" spans="1:20" x14ac:dyDescent="0.25">
      <c r="A556" s="2">
        <v>1</v>
      </c>
      <c r="B556" s="2" t="s">
        <v>1069</v>
      </c>
      <c r="C556" s="2" t="s">
        <v>1070</v>
      </c>
      <c r="D556" s="2" t="s">
        <v>54</v>
      </c>
      <c r="E556" s="3">
        <v>45833.33048611111</v>
      </c>
      <c r="F556" s="3">
        <v>45848.693668981483</v>
      </c>
      <c r="G556" s="4">
        <v>45849</v>
      </c>
      <c r="H556" s="2" t="s">
        <v>21</v>
      </c>
      <c r="I556" s="2" t="s">
        <v>22</v>
      </c>
      <c r="J556" s="2">
        <v>1</v>
      </c>
      <c r="K556" s="2">
        <v>3155.25</v>
      </c>
      <c r="L556" s="2">
        <v>3155.25</v>
      </c>
      <c r="M556" s="2">
        <v>3155.25</v>
      </c>
      <c r="N556" s="2">
        <v>3005</v>
      </c>
      <c r="O556" s="2">
        <v>150.25</v>
      </c>
      <c r="P556" s="2">
        <v>3155.25</v>
      </c>
      <c r="Q556" s="2" t="s">
        <v>44</v>
      </c>
      <c r="R556" s="2"/>
      <c r="S556" t="str">
        <f>VLOOKUP(B556,CASOPOInvCL!$B$1:$D$1600,1,FALSE)</f>
        <v>SO17395</v>
      </c>
      <c r="T556">
        <f t="shared" si="8"/>
        <v>6</v>
      </c>
    </row>
    <row r="557" spans="1:20" x14ac:dyDescent="0.25">
      <c r="A557" s="2">
        <v>1</v>
      </c>
      <c r="B557" s="2" t="s">
        <v>1147</v>
      </c>
      <c r="C557" s="2" t="s">
        <v>1148</v>
      </c>
      <c r="D557" s="2" t="s">
        <v>248</v>
      </c>
      <c r="E557" s="3">
        <v>45833.354189814818</v>
      </c>
      <c r="F557" s="3">
        <v>45833.354189814818</v>
      </c>
      <c r="G557" s="2"/>
      <c r="H557" s="2" t="s">
        <v>21</v>
      </c>
      <c r="I557" s="2" t="s">
        <v>22</v>
      </c>
      <c r="J557" s="2">
        <v>1</v>
      </c>
      <c r="K557" s="2">
        <v>1397.41</v>
      </c>
      <c r="L557" s="2">
        <v>1397.41</v>
      </c>
      <c r="M557" s="2">
        <v>1397.41</v>
      </c>
      <c r="N557" s="2">
        <v>1225.8</v>
      </c>
      <c r="O557" s="2">
        <v>171.61</v>
      </c>
      <c r="P557" s="2">
        <v>1397.41</v>
      </c>
      <c r="Q557" s="2" t="s">
        <v>44</v>
      </c>
      <c r="R557" s="2"/>
      <c r="S557" t="str">
        <f>VLOOKUP(B557,CASOPOInvCL!$B$1:$D$1600,1,FALSE)</f>
        <v>SO17396</v>
      </c>
      <c r="T557">
        <f t="shared" si="8"/>
        <v>6</v>
      </c>
    </row>
    <row r="558" spans="1:20" x14ac:dyDescent="0.25">
      <c r="A558" s="2">
        <v>3</v>
      </c>
      <c r="B558" s="2" t="s">
        <v>1140</v>
      </c>
      <c r="C558" s="2" t="s">
        <v>1141</v>
      </c>
      <c r="D558" s="2" t="s">
        <v>98</v>
      </c>
      <c r="E558" s="3">
        <v>45833.368472222217</v>
      </c>
      <c r="F558" s="3">
        <v>45834.556608796287</v>
      </c>
      <c r="G558" s="2"/>
      <c r="H558" s="2" t="s">
        <v>21</v>
      </c>
      <c r="I558" s="2" t="s">
        <v>22</v>
      </c>
      <c r="J558" s="2">
        <v>1</v>
      </c>
      <c r="K558" s="2">
        <v>876.41</v>
      </c>
      <c r="L558" s="2">
        <v>0</v>
      </c>
      <c r="M558" s="2">
        <v>642.94985614592417</v>
      </c>
      <c r="N558" s="2">
        <v>775.58</v>
      </c>
      <c r="O558" s="2">
        <v>100.83</v>
      </c>
      <c r="P558" s="2">
        <v>876.41</v>
      </c>
      <c r="Q558" s="2" t="s">
        <v>44</v>
      </c>
      <c r="R558" s="2"/>
      <c r="S558" t="str">
        <f>VLOOKUP(B558,CASOPOInvCL!$B$1:$D$1600,1,FALSE)</f>
        <v>SO17397</v>
      </c>
      <c r="T558">
        <f t="shared" si="8"/>
        <v>6</v>
      </c>
    </row>
    <row r="559" spans="1:20" x14ac:dyDescent="0.25">
      <c r="A559" s="2">
        <v>1</v>
      </c>
      <c r="B559" s="2" t="s">
        <v>1142</v>
      </c>
      <c r="C559" s="2" t="s">
        <v>1143</v>
      </c>
      <c r="D559" s="2" t="s">
        <v>1144</v>
      </c>
      <c r="E559" s="3">
        <v>45833.504351851851</v>
      </c>
      <c r="F559" s="3">
        <v>45833.709733796299</v>
      </c>
      <c r="G559" s="4">
        <v>45840</v>
      </c>
      <c r="H559" s="2" t="s">
        <v>36</v>
      </c>
      <c r="I559" s="2" t="s">
        <v>22</v>
      </c>
      <c r="J559" s="2">
        <v>1</v>
      </c>
      <c r="K559" s="2">
        <v>132.43</v>
      </c>
      <c r="L559" s="2">
        <v>132.43</v>
      </c>
      <c r="M559" s="2">
        <v>132.43</v>
      </c>
      <c r="N559" s="2">
        <v>126.12</v>
      </c>
      <c r="O559" s="2">
        <v>6.31</v>
      </c>
      <c r="P559" s="2">
        <v>132.43</v>
      </c>
      <c r="Q559" s="2" t="s">
        <v>44</v>
      </c>
      <c r="R559" s="2"/>
      <c r="S559" t="str">
        <f>VLOOKUP(B559,CASOPOInvCL!$B$1:$D$1600,1,FALSE)</f>
        <v>SO17398</v>
      </c>
      <c r="T559">
        <f t="shared" si="8"/>
        <v>6</v>
      </c>
    </row>
    <row r="560" spans="1:20" x14ac:dyDescent="0.25">
      <c r="A560" s="2">
        <v>1</v>
      </c>
      <c r="B560" s="2" t="s">
        <v>1133</v>
      </c>
      <c r="C560" s="2" t="s">
        <v>1134</v>
      </c>
      <c r="D560" s="2" t="s">
        <v>232</v>
      </c>
      <c r="E560" s="3">
        <v>45833.595671296287</v>
      </c>
      <c r="F560" s="3">
        <v>45836.381793981483</v>
      </c>
      <c r="G560" s="4">
        <v>45940</v>
      </c>
      <c r="H560" s="2" t="s">
        <v>180</v>
      </c>
      <c r="I560" s="2" t="s">
        <v>51</v>
      </c>
      <c r="J560" s="2">
        <v>0.73361766313246568</v>
      </c>
      <c r="K560" s="2">
        <v>16766.226630204579</v>
      </c>
      <c r="L560" s="2">
        <v>0</v>
      </c>
      <c r="M560" s="2">
        <v>12300</v>
      </c>
      <c r="N560" s="2">
        <v>12300</v>
      </c>
      <c r="O560" s="2"/>
      <c r="P560" s="2">
        <v>12300</v>
      </c>
      <c r="Q560" s="2" t="s">
        <v>44</v>
      </c>
      <c r="R560" s="2"/>
      <c r="S560" t="str">
        <f>VLOOKUP(B560,CASOPOInvCL!$B$1:$D$1600,1,FALSE)</f>
        <v>SO17400</v>
      </c>
      <c r="T560">
        <f t="shared" si="8"/>
        <v>6</v>
      </c>
    </row>
    <row r="561" spans="1:20" x14ac:dyDescent="0.25">
      <c r="A561" s="2">
        <v>1</v>
      </c>
      <c r="B561" s="2" t="s">
        <v>1145</v>
      </c>
      <c r="C561" s="2" t="s">
        <v>1146</v>
      </c>
      <c r="D561" s="2" t="s">
        <v>556</v>
      </c>
      <c r="E561" s="3">
        <v>45833.697743055563</v>
      </c>
      <c r="F561" s="3">
        <v>45833.695104166669</v>
      </c>
      <c r="G561" s="4">
        <v>45840</v>
      </c>
      <c r="H561" s="2" t="s">
        <v>36</v>
      </c>
      <c r="I561" s="2" t="s">
        <v>22</v>
      </c>
      <c r="J561" s="2">
        <v>1</v>
      </c>
      <c r="K561" s="2">
        <v>118.65</v>
      </c>
      <c r="L561" s="2">
        <v>118.65</v>
      </c>
      <c r="M561" s="2">
        <v>118.65</v>
      </c>
      <c r="N561" s="2">
        <v>105</v>
      </c>
      <c r="O561" s="2">
        <v>13.65</v>
      </c>
      <c r="P561" s="2">
        <v>118.65</v>
      </c>
      <c r="Q561" s="2" t="s">
        <v>44</v>
      </c>
      <c r="R561" s="2"/>
      <c r="S561" t="str">
        <f>VLOOKUP(B561,CASOPOInvCL!$B$1:$D$1600,1,FALSE)</f>
        <v>SO17402</v>
      </c>
      <c r="T561">
        <f t="shared" si="8"/>
        <v>6</v>
      </c>
    </row>
    <row r="562" spans="1:20" x14ac:dyDescent="0.25">
      <c r="A562" s="2">
        <v>1</v>
      </c>
      <c r="B562" s="2" t="s">
        <v>1092</v>
      </c>
      <c r="C562" s="2" t="s">
        <v>1093</v>
      </c>
      <c r="D562" s="2" t="s">
        <v>176</v>
      </c>
      <c r="E562" s="3">
        <v>45834.358842592592</v>
      </c>
      <c r="F562" s="3">
        <v>45847.478333333333</v>
      </c>
      <c r="G562" s="4">
        <v>45882</v>
      </c>
      <c r="H562" s="2" t="s">
        <v>40</v>
      </c>
      <c r="I562" s="2" t="s">
        <v>22</v>
      </c>
      <c r="J562" s="2">
        <v>1</v>
      </c>
      <c r="K562" s="2">
        <v>150.29</v>
      </c>
      <c r="L562" s="2">
        <v>0</v>
      </c>
      <c r="M562" s="2">
        <v>109.73294875244289</v>
      </c>
      <c r="N562" s="2">
        <v>133</v>
      </c>
      <c r="O562" s="2">
        <v>17.29</v>
      </c>
      <c r="P562" s="2">
        <v>150.29</v>
      </c>
      <c r="Q562" s="2" t="s">
        <v>44</v>
      </c>
      <c r="R562" s="2"/>
      <c r="S562" t="str">
        <f>VLOOKUP(B562,CASOPOInvCL!$B$1:$D$1600,1,FALSE)</f>
        <v>SO17404</v>
      </c>
      <c r="T562">
        <f t="shared" si="8"/>
        <v>6</v>
      </c>
    </row>
    <row r="563" spans="1:20" x14ac:dyDescent="0.25">
      <c r="A563" s="2">
        <v>1</v>
      </c>
      <c r="B563" s="2" t="s">
        <v>1126</v>
      </c>
      <c r="C563" s="2" t="s">
        <v>1127</v>
      </c>
      <c r="D563" s="2" t="s">
        <v>86</v>
      </c>
      <c r="E563" s="3">
        <v>45834.700902777768</v>
      </c>
      <c r="F563" s="3">
        <v>45839.41101851852</v>
      </c>
      <c r="G563" s="4">
        <v>45840</v>
      </c>
      <c r="H563" s="2" t="s">
        <v>40</v>
      </c>
      <c r="I563" s="2" t="s">
        <v>22</v>
      </c>
      <c r="J563" s="2">
        <v>1</v>
      </c>
      <c r="K563" s="2">
        <v>278.16000000000003</v>
      </c>
      <c r="L563" s="2">
        <v>0</v>
      </c>
      <c r="M563" s="2">
        <v>203.62659142575569</v>
      </c>
      <c r="N563" s="2">
        <v>264.91000000000003</v>
      </c>
      <c r="O563" s="2">
        <v>13.25</v>
      </c>
      <c r="P563" s="2">
        <v>278.16000000000003</v>
      </c>
      <c r="Q563" s="2" t="s">
        <v>44</v>
      </c>
      <c r="R563" s="2"/>
      <c r="S563" t="str">
        <f>VLOOKUP(B563,CASOPOInvCL!$B$1:$D$1600,1,FALSE)</f>
        <v>SO17407</v>
      </c>
      <c r="T563">
        <f t="shared" si="8"/>
        <v>6</v>
      </c>
    </row>
    <row r="564" spans="1:20" x14ac:dyDescent="0.25">
      <c r="A564" s="2">
        <v>1</v>
      </c>
      <c r="B564" s="2" t="s">
        <v>1138</v>
      </c>
      <c r="C564" s="2" t="s">
        <v>1139</v>
      </c>
      <c r="D564" s="2" t="s">
        <v>39</v>
      </c>
      <c r="E564" s="3">
        <v>45834.774456018517</v>
      </c>
      <c r="F564" s="3">
        <v>45834.775995370372</v>
      </c>
      <c r="G564" s="4">
        <v>45841</v>
      </c>
      <c r="H564" s="2" t="s">
        <v>21</v>
      </c>
      <c r="I564" s="2" t="s">
        <v>22</v>
      </c>
      <c r="J564" s="2">
        <v>1</v>
      </c>
      <c r="K564" s="2">
        <v>198.18</v>
      </c>
      <c r="L564" s="2">
        <v>0</v>
      </c>
      <c r="M564" s="2">
        <v>145.38834847959211</v>
      </c>
      <c r="N564" s="2">
        <v>198.18</v>
      </c>
      <c r="O564" s="2"/>
      <c r="P564" s="2">
        <v>198.18</v>
      </c>
      <c r="Q564" s="2" t="s">
        <v>44</v>
      </c>
      <c r="R564" s="2"/>
      <c r="S564" t="str">
        <f>VLOOKUP(B564,CASOPOInvCL!$B$1:$D$1600,1,FALSE)</f>
        <v>SO17408</v>
      </c>
      <c r="T564">
        <f t="shared" si="8"/>
        <v>6</v>
      </c>
    </row>
    <row r="565" spans="1:20" x14ac:dyDescent="0.25">
      <c r="A565" s="2">
        <v>2</v>
      </c>
      <c r="B565" s="2" t="s">
        <v>1108</v>
      </c>
      <c r="C565" s="2" t="s">
        <v>1109</v>
      </c>
      <c r="D565" s="2" t="s">
        <v>77</v>
      </c>
      <c r="E565" s="3">
        <v>45835.572233796287</v>
      </c>
      <c r="F565" s="3">
        <v>45845.722326388888</v>
      </c>
      <c r="G565" s="4">
        <v>45880</v>
      </c>
      <c r="H565" s="2" t="s">
        <v>21</v>
      </c>
      <c r="I565" s="2" t="s">
        <v>22</v>
      </c>
      <c r="J565" s="2">
        <v>1</v>
      </c>
      <c r="K565" s="2">
        <v>4406.62</v>
      </c>
      <c r="L565" s="2">
        <v>0</v>
      </c>
      <c r="M565" s="2">
        <v>3229.0351534718961</v>
      </c>
      <c r="N565" s="2">
        <v>4196.78</v>
      </c>
      <c r="O565" s="2">
        <v>209.84</v>
      </c>
      <c r="P565" s="2">
        <v>4406.62</v>
      </c>
      <c r="Q565" s="2" t="s">
        <v>44</v>
      </c>
      <c r="R565" s="2"/>
      <c r="S565" t="str">
        <f>VLOOKUP(B565,CASOPOInvCL!$B$1:$D$1600,1,FALSE)</f>
        <v>SO17410</v>
      </c>
      <c r="T565">
        <f t="shared" si="8"/>
        <v>6</v>
      </c>
    </row>
    <row r="566" spans="1:20" x14ac:dyDescent="0.25">
      <c r="A566" s="2">
        <v>1</v>
      </c>
      <c r="B566" s="2" t="s">
        <v>1135</v>
      </c>
      <c r="C566" s="2" t="s">
        <v>1136</v>
      </c>
      <c r="D566" s="2" t="s">
        <v>1137</v>
      </c>
      <c r="E566" s="3">
        <v>45835.817395833343</v>
      </c>
      <c r="F566" s="3">
        <v>45835.816747685189</v>
      </c>
      <c r="G566" s="4">
        <v>45849</v>
      </c>
      <c r="H566" s="2" t="s">
        <v>36</v>
      </c>
      <c r="I566" s="2" t="s">
        <v>22</v>
      </c>
      <c r="J566" s="2">
        <v>1</v>
      </c>
      <c r="K566" s="2">
        <v>1976.69</v>
      </c>
      <c r="L566" s="2">
        <v>0</v>
      </c>
      <c r="M566" s="2">
        <v>1443.541613185688</v>
      </c>
      <c r="N566" s="2">
        <v>1749.28</v>
      </c>
      <c r="O566" s="2">
        <v>227.41</v>
      </c>
      <c r="P566" s="2">
        <v>1976.69</v>
      </c>
      <c r="Q566" s="2" t="s">
        <v>44</v>
      </c>
      <c r="R566" s="2"/>
      <c r="S566" t="str">
        <f>VLOOKUP(B566,CASOPOInvCL!$B$1:$D$1600,1,FALSE)</f>
        <v>SO17413</v>
      </c>
      <c r="T566">
        <f t="shared" si="8"/>
        <v>6</v>
      </c>
    </row>
    <row r="567" spans="1:20" x14ac:dyDescent="0.25">
      <c r="A567" s="2">
        <v>2</v>
      </c>
      <c r="B567" s="2" t="s">
        <v>1124</v>
      </c>
      <c r="C567" s="2" t="s">
        <v>1125</v>
      </c>
      <c r="D567" s="2" t="s">
        <v>146</v>
      </c>
      <c r="E567" s="3">
        <v>45839.5158912037</v>
      </c>
      <c r="F567" s="3">
        <v>45839.514351851853</v>
      </c>
      <c r="G567" s="4">
        <v>45909</v>
      </c>
      <c r="H567" s="2" t="s">
        <v>21</v>
      </c>
      <c r="I567" s="2" t="s">
        <v>22</v>
      </c>
      <c r="J567" s="2">
        <v>1</v>
      </c>
      <c r="K567" s="2">
        <v>11638.66</v>
      </c>
      <c r="L567" s="2">
        <v>0</v>
      </c>
      <c r="M567" s="2">
        <v>8520.0627860342447</v>
      </c>
      <c r="N567" s="2">
        <v>11084.43</v>
      </c>
      <c r="O567" s="2">
        <v>554.23</v>
      </c>
      <c r="P567" s="2">
        <v>11638.66</v>
      </c>
      <c r="Q567" s="2" t="s">
        <v>44</v>
      </c>
      <c r="R567" s="2"/>
      <c r="S567" t="str">
        <f>VLOOKUP(B567,CASOPOInvCL!$B$1:$D$1600,1,FALSE)</f>
        <v>SO17421</v>
      </c>
      <c r="T567">
        <f t="shared" si="8"/>
        <v>7</v>
      </c>
    </row>
    <row r="568" spans="1:20" x14ac:dyDescent="0.25">
      <c r="A568" s="2">
        <v>1</v>
      </c>
      <c r="B568" s="2" t="s">
        <v>953</v>
      </c>
      <c r="C568" s="2" t="s">
        <v>954</v>
      </c>
      <c r="D568" s="2" t="s">
        <v>61</v>
      </c>
      <c r="E568" s="3">
        <v>45839.723368055558</v>
      </c>
      <c r="F568" s="3">
        <v>45862.551388888889</v>
      </c>
      <c r="G568" s="4">
        <v>45926</v>
      </c>
      <c r="H568" s="2" t="s">
        <v>36</v>
      </c>
      <c r="I568" s="2" t="s">
        <v>51</v>
      </c>
      <c r="J568" s="2">
        <v>0.73474516251328958</v>
      </c>
      <c r="K568" s="2">
        <v>4840.9709671762084</v>
      </c>
      <c r="L568" s="2">
        <v>0</v>
      </c>
      <c r="M568" s="2">
        <v>3556.88</v>
      </c>
      <c r="N568" s="2">
        <v>3556.88</v>
      </c>
      <c r="O568" s="2"/>
      <c r="P568" s="2">
        <v>3556.88</v>
      </c>
      <c r="Q568" s="2" t="s">
        <v>44</v>
      </c>
      <c r="R568" s="2"/>
      <c r="S568" t="str">
        <f>VLOOKUP(B568,CASOPOInvCL!$B$1:$D$1600,1,FALSE)</f>
        <v>SO17422</v>
      </c>
      <c r="T568">
        <f t="shared" si="8"/>
        <v>7</v>
      </c>
    </row>
    <row r="569" spans="1:20" x14ac:dyDescent="0.25">
      <c r="A569" s="2">
        <v>1</v>
      </c>
      <c r="B569" s="2" t="s">
        <v>1120</v>
      </c>
      <c r="C569" s="2" t="s">
        <v>1121</v>
      </c>
      <c r="D569" s="2" t="s">
        <v>61</v>
      </c>
      <c r="E569" s="3">
        <v>45839.736655092587</v>
      </c>
      <c r="F569" s="3">
        <v>45839.735763888893</v>
      </c>
      <c r="G569" s="4">
        <v>45926</v>
      </c>
      <c r="H569" s="2" t="s">
        <v>21</v>
      </c>
      <c r="I569" s="2" t="s">
        <v>51</v>
      </c>
      <c r="J569" s="2">
        <v>0.73078653074427524</v>
      </c>
      <c r="K569" s="2">
        <v>5852.0646181648326</v>
      </c>
      <c r="L569" s="2">
        <v>0</v>
      </c>
      <c r="M569" s="2">
        <v>4276.6099999999997</v>
      </c>
      <c r="N569" s="2">
        <v>4276.6099999999997</v>
      </c>
      <c r="O569" s="2"/>
      <c r="P569" s="2">
        <v>4276.6099999999997</v>
      </c>
      <c r="Q569" s="2" t="s">
        <v>44</v>
      </c>
      <c r="R569" s="2"/>
      <c r="S569" t="str">
        <f>VLOOKUP(B569,CASOPOInvCL!$B$1:$D$1600,1,FALSE)</f>
        <v>SO17423</v>
      </c>
      <c r="T569">
        <f t="shared" si="8"/>
        <v>7</v>
      </c>
    </row>
    <row r="570" spans="1:20" x14ac:dyDescent="0.25">
      <c r="A570" s="2">
        <v>2</v>
      </c>
      <c r="B570" s="2" t="s">
        <v>1128</v>
      </c>
      <c r="C570" s="2" t="s">
        <v>1129</v>
      </c>
      <c r="D570" s="2" t="s">
        <v>232</v>
      </c>
      <c r="E570" s="3">
        <v>45840.381377314807</v>
      </c>
      <c r="F570" s="3">
        <v>45839.381377314807</v>
      </c>
      <c r="G570" s="4">
        <v>45922</v>
      </c>
      <c r="H570" s="2" t="s">
        <v>180</v>
      </c>
      <c r="I570" s="2" t="s">
        <v>51</v>
      </c>
      <c r="J570" s="2">
        <v>0.73421842111587643</v>
      </c>
      <c r="K570" s="2">
        <v>35193.886801052977</v>
      </c>
      <c r="L570" s="2">
        <v>0</v>
      </c>
      <c r="M570" s="2">
        <v>25840</v>
      </c>
      <c r="N570" s="2">
        <v>25840</v>
      </c>
      <c r="O570" s="2"/>
      <c r="P570" s="2">
        <v>25840</v>
      </c>
      <c r="Q570" s="2" t="s">
        <v>44</v>
      </c>
      <c r="R570" s="2"/>
      <c r="S570" t="str">
        <f>VLOOKUP(B570,CASOPOInvCL!$B$1:$D$1600,1,FALSE)</f>
        <v>SO17425</v>
      </c>
      <c r="T570">
        <f t="shared" si="8"/>
        <v>7</v>
      </c>
    </row>
    <row r="571" spans="1:20" x14ac:dyDescent="0.25">
      <c r="A571" s="2">
        <v>2</v>
      </c>
      <c r="B571" s="2" t="s">
        <v>1116</v>
      </c>
      <c r="C571" s="2" t="s">
        <v>1117</v>
      </c>
      <c r="D571" s="2" t="s">
        <v>98</v>
      </c>
      <c r="E571" s="3">
        <v>45840.432303240741</v>
      </c>
      <c r="F571" s="3">
        <v>45841.632002314807</v>
      </c>
      <c r="G571" s="4">
        <v>45939</v>
      </c>
      <c r="H571" s="2" t="s">
        <v>21</v>
      </c>
      <c r="I571" s="2" t="s">
        <v>22</v>
      </c>
      <c r="J571" s="2">
        <v>1</v>
      </c>
      <c r="K571" s="2">
        <v>3828.5</v>
      </c>
      <c r="L571" s="2">
        <v>0</v>
      </c>
      <c r="M571" s="2">
        <v>2823.1158332931159</v>
      </c>
      <c r="N571" s="2">
        <v>3388.05</v>
      </c>
      <c r="O571" s="2">
        <v>440.45</v>
      </c>
      <c r="P571" s="2">
        <v>3828.5</v>
      </c>
      <c r="Q571" s="2" t="s">
        <v>44</v>
      </c>
      <c r="R571" s="2"/>
      <c r="S571" t="str">
        <f>VLOOKUP(B571,CASOPOInvCL!$B$1:$D$1600,1,FALSE)</f>
        <v>SO17430</v>
      </c>
      <c r="T571">
        <f t="shared" si="8"/>
        <v>7</v>
      </c>
    </row>
    <row r="572" spans="1:20" x14ac:dyDescent="0.25">
      <c r="A572" s="2">
        <v>2</v>
      </c>
      <c r="B572" s="2" t="s">
        <v>1103</v>
      </c>
      <c r="C572" s="2" t="s">
        <v>1104</v>
      </c>
      <c r="D572" s="2" t="s">
        <v>1105</v>
      </c>
      <c r="E572" s="3">
        <v>45840.481064814812</v>
      </c>
      <c r="F572" s="3">
        <v>45846.420185185183</v>
      </c>
      <c r="G572" s="2"/>
      <c r="H572" s="2" t="s">
        <v>21</v>
      </c>
      <c r="I572" s="2" t="s">
        <v>22</v>
      </c>
      <c r="J572" s="2">
        <v>1</v>
      </c>
      <c r="K572" s="2">
        <v>485.26</v>
      </c>
      <c r="L572" s="2">
        <v>485.26</v>
      </c>
      <c r="M572" s="2">
        <v>485.26</v>
      </c>
      <c r="N572" s="2">
        <v>429.43</v>
      </c>
      <c r="O572" s="2">
        <v>55.83</v>
      </c>
      <c r="P572" s="2">
        <v>485.26</v>
      </c>
      <c r="Q572" s="2" t="s">
        <v>44</v>
      </c>
      <c r="R572" s="2"/>
      <c r="S572" t="str">
        <f>VLOOKUP(B572,CASOPOInvCL!$B$1:$D$1600,1,FALSE)</f>
        <v>SO17431</v>
      </c>
      <c r="T572">
        <f t="shared" si="8"/>
        <v>7</v>
      </c>
    </row>
    <row r="573" spans="1:20" x14ac:dyDescent="0.25">
      <c r="A573" s="2">
        <v>1</v>
      </c>
      <c r="B573" s="2" t="s">
        <v>924</v>
      </c>
      <c r="C573" s="2" t="s">
        <v>925</v>
      </c>
      <c r="D573" s="2" t="s">
        <v>239</v>
      </c>
      <c r="E573" s="3">
        <v>45840.542638888888</v>
      </c>
      <c r="F573" s="3">
        <v>45868.383842592593</v>
      </c>
      <c r="G573" s="4">
        <v>45972</v>
      </c>
      <c r="H573" s="2" t="s">
        <v>180</v>
      </c>
      <c r="I573" s="2" t="s">
        <v>51</v>
      </c>
      <c r="J573" s="2">
        <v>0.72888272157316658</v>
      </c>
      <c r="K573" s="2">
        <v>861.18106716155762</v>
      </c>
      <c r="L573" s="2">
        <v>0</v>
      </c>
      <c r="M573" s="2">
        <v>627.70000000000005</v>
      </c>
      <c r="N573" s="2">
        <v>627.70000000000005</v>
      </c>
      <c r="O573" s="2"/>
      <c r="P573" s="2">
        <v>627.70000000000005</v>
      </c>
      <c r="Q573" s="2" t="s">
        <v>44</v>
      </c>
      <c r="R573" s="2"/>
      <c r="S573" t="str">
        <f>VLOOKUP(B573,CASOPOInvCL!$B$1:$D$1600,1,FALSE)</f>
        <v>SO17432</v>
      </c>
      <c r="T573">
        <f t="shared" si="8"/>
        <v>7</v>
      </c>
    </row>
    <row r="574" spans="1:20" x14ac:dyDescent="0.25">
      <c r="A574" s="2">
        <v>1</v>
      </c>
      <c r="B574" s="2" t="s">
        <v>1118</v>
      </c>
      <c r="C574" s="2" t="s">
        <v>1119</v>
      </c>
      <c r="D574" s="2" t="s">
        <v>129</v>
      </c>
      <c r="E574" s="3">
        <v>45840.779675925929</v>
      </c>
      <c r="F574" s="3">
        <v>45840.779710648138</v>
      </c>
      <c r="G574" s="4">
        <v>45976</v>
      </c>
      <c r="H574" s="2" t="s">
        <v>130</v>
      </c>
      <c r="I574" s="2" t="s">
        <v>51</v>
      </c>
      <c r="J574" s="2">
        <v>0.73421842111587643</v>
      </c>
      <c r="K574" s="2">
        <v>1195.8294354227751</v>
      </c>
      <c r="L574" s="2">
        <v>0</v>
      </c>
      <c r="M574" s="2">
        <v>878</v>
      </c>
      <c r="N574" s="2">
        <v>878</v>
      </c>
      <c r="O574" s="2"/>
      <c r="P574" s="2">
        <v>878</v>
      </c>
      <c r="Q574" s="2" t="s">
        <v>44</v>
      </c>
      <c r="R574" s="2"/>
      <c r="S574" t="str">
        <f>VLOOKUP(B574,CASOPOInvCL!$B$1:$D$1600,1,FALSE)</f>
        <v>SO17434</v>
      </c>
      <c r="T574">
        <f t="shared" si="8"/>
        <v>7</v>
      </c>
    </row>
    <row r="575" spans="1:20" x14ac:dyDescent="0.25">
      <c r="A575" s="2">
        <v>0</v>
      </c>
      <c r="B575" s="2" t="s">
        <v>565</v>
      </c>
      <c r="C575" s="2" t="s">
        <v>566</v>
      </c>
      <c r="D575" s="2" t="s">
        <v>567</v>
      </c>
      <c r="E575" s="3">
        <v>45841.481504629628</v>
      </c>
      <c r="F575" s="3">
        <v>45925.329293981478</v>
      </c>
      <c r="G575" s="4">
        <v>46024</v>
      </c>
      <c r="H575" s="2" t="s">
        <v>40</v>
      </c>
      <c r="I575" s="2" t="s">
        <v>22</v>
      </c>
      <c r="J575" s="2">
        <v>1</v>
      </c>
      <c r="K575" s="2">
        <v>1970.72</v>
      </c>
      <c r="L575" s="2">
        <v>0</v>
      </c>
      <c r="M575" s="2">
        <v>1415.323336603095</v>
      </c>
      <c r="N575" s="2">
        <v>1744</v>
      </c>
      <c r="O575" s="2">
        <v>226.72</v>
      </c>
      <c r="P575" s="2">
        <v>1970.72</v>
      </c>
      <c r="Q575" s="2" t="s">
        <v>23</v>
      </c>
      <c r="R575" s="2"/>
      <c r="S575" t="str">
        <f>VLOOKUP(B575,CASOPOInvCL!$B$1:$D$1600,1,FALSE)</f>
        <v>SO17437</v>
      </c>
      <c r="T575">
        <f t="shared" si="8"/>
        <v>7</v>
      </c>
    </row>
    <row r="576" spans="1:20" ht="30" x14ac:dyDescent="0.25">
      <c r="A576" s="2">
        <v>1</v>
      </c>
      <c r="B576" s="2" t="s">
        <v>1114</v>
      </c>
      <c r="C576" s="2" t="s">
        <v>1115</v>
      </c>
      <c r="D576" s="2" t="s">
        <v>714</v>
      </c>
      <c r="E576" s="3">
        <v>45841.684687499997</v>
      </c>
      <c r="F576" s="3">
        <v>45841.685358796298</v>
      </c>
      <c r="G576" s="4">
        <v>45842</v>
      </c>
      <c r="H576" s="2" t="s">
        <v>21</v>
      </c>
      <c r="I576" s="2" t="s">
        <v>51</v>
      </c>
      <c r="J576" s="2">
        <v>0.7320484304923629</v>
      </c>
      <c r="K576" s="2">
        <v>0</v>
      </c>
      <c r="L576" s="2">
        <v>0</v>
      </c>
      <c r="M576" s="2">
        <v>0</v>
      </c>
      <c r="N576" s="2"/>
      <c r="O576" s="2"/>
      <c r="P576" s="2"/>
      <c r="Q576" s="2" t="s">
        <v>44</v>
      </c>
      <c r="R576" s="2"/>
      <c r="S576" t="str">
        <f>VLOOKUP(B576,CASOPOInvCL!$B$1:$D$1600,1,FALSE)</f>
        <v>SO17439</v>
      </c>
      <c r="T576">
        <f t="shared" si="8"/>
        <v>7</v>
      </c>
    </row>
    <row r="577" spans="1:20" x14ac:dyDescent="0.25">
      <c r="A577" s="2">
        <v>1</v>
      </c>
      <c r="B577" s="2" t="s">
        <v>1112</v>
      </c>
      <c r="C577" s="2" t="s">
        <v>1113</v>
      </c>
      <c r="D577" s="2" t="s">
        <v>684</v>
      </c>
      <c r="E577" s="3">
        <v>45841.761874999997</v>
      </c>
      <c r="F577" s="3">
        <v>45841.76489583333</v>
      </c>
      <c r="G577" s="4">
        <v>45849</v>
      </c>
      <c r="H577" s="2" t="s">
        <v>36</v>
      </c>
      <c r="I577" s="2" t="s">
        <v>22</v>
      </c>
      <c r="J577" s="2">
        <v>1</v>
      </c>
      <c r="K577" s="2">
        <v>206.81</v>
      </c>
      <c r="L577" s="2">
        <v>0</v>
      </c>
      <c r="M577" s="2">
        <v>152.5006100256887</v>
      </c>
      <c r="N577" s="2">
        <v>196.96</v>
      </c>
      <c r="O577" s="2">
        <v>9.85</v>
      </c>
      <c r="P577" s="2">
        <v>206.81</v>
      </c>
      <c r="Q577" s="2" t="s">
        <v>44</v>
      </c>
      <c r="R577" s="2"/>
      <c r="S577" t="str">
        <f>VLOOKUP(B577,CASOPOInvCL!$B$1:$D$1600,1,FALSE)</f>
        <v>SO17440</v>
      </c>
      <c r="T577">
        <f t="shared" si="8"/>
        <v>7</v>
      </c>
    </row>
    <row r="578" spans="1:20" x14ac:dyDescent="0.25">
      <c r="A578" s="2">
        <v>1</v>
      </c>
      <c r="B578" s="2" t="s">
        <v>1110</v>
      </c>
      <c r="C578" s="2" t="s">
        <v>1111</v>
      </c>
      <c r="D578" s="2" t="s">
        <v>232</v>
      </c>
      <c r="E578" s="3">
        <v>45842.322187500002</v>
      </c>
      <c r="F578" s="3">
        <v>45842.322500000002</v>
      </c>
      <c r="G578" s="4">
        <v>45924</v>
      </c>
      <c r="H578" s="2" t="s">
        <v>180</v>
      </c>
      <c r="I578" s="2" t="s">
        <v>51</v>
      </c>
      <c r="J578" s="2">
        <v>0.73739475859817571</v>
      </c>
      <c r="K578" s="2">
        <v>16680.34639055872</v>
      </c>
      <c r="L578" s="2">
        <v>0</v>
      </c>
      <c r="M578" s="2">
        <v>12300</v>
      </c>
      <c r="N578" s="2">
        <v>12300</v>
      </c>
      <c r="O578" s="2"/>
      <c r="P578" s="2">
        <v>12300</v>
      </c>
      <c r="Q578" s="2" t="s">
        <v>44</v>
      </c>
      <c r="R578" s="2"/>
      <c r="S578" t="str">
        <f>VLOOKUP(B578,CASOPOInvCL!$B$1:$D$1600,1,FALSE)</f>
        <v>SO17441</v>
      </c>
      <c r="T578">
        <f t="shared" si="8"/>
        <v>7</v>
      </c>
    </row>
    <row r="579" spans="1:20" x14ac:dyDescent="0.25">
      <c r="A579" s="2">
        <v>1</v>
      </c>
      <c r="B579" s="2" t="s">
        <v>1089</v>
      </c>
      <c r="C579" s="2" t="s">
        <v>1090</v>
      </c>
      <c r="D579" s="2" t="s">
        <v>1091</v>
      </c>
      <c r="E579" s="3">
        <v>45842.387777777767</v>
      </c>
      <c r="F579" s="3">
        <v>45847.550520833327</v>
      </c>
      <c r="G579" s="4">
        <v>45868</v>
      </c>
      <c r="H579" s="2" t="s">
        <v>40</v>
      </c>
      <c r="I579" s="2" t="s">
        <v>22</v>
      </c>
      <c r="J579" s="2">
        <v>1</v>
      </c>
      <c r="K579" s="2">
        <v>508.5</v>
      </c>
      <c r="L579" s="2">
        <v>0</v>
      </c>
      <c r="M579" s="2">
        <v>371.27689427518283</v>
      </c>
      <c r="N579" s="2">
        <v>450</v>
      </c>
      <c r="O579" s="2">
        <v>58.5</v>
      </c>
      <c r="P579" s="2">
        <v>508.5</v>
      </c>
      <c r="Q579" s="2" t="s">
        <v>44</v>
      </c>
      <c r="R579" s="2"/>
      <c r="S579" t="str">
        <f>VLOOKUP(B579,CASOPOInvCL!$B$1:$D$1600,1,FALSE)</f>
        <v>SO17442</v>
      </c>
      <c r="T579">
        <f t="shared" ref="T579:T642" si="9">MONTH(E579)</f>
        <v>7</v>
      </c>
    </row>
    <row r="580" spans="1:20" x14ac:dyDescent="0.25">
      <c r="A580" s="2">
        <v>1</v>
      </c>
      <c r="B580" s="2" t="s">
        <v>1094</v>
      </c>
      <c r="C580" s="2" t="s">
        <v>1095</v>
      </c>
      <c r="D580" s="2" t="s">
        <v>644</v>
      </c>
      <c r="E580" s="3">
        <v>45842.554259259261</v>
      </c>
      <c r="F580" s="3">
        <v>45846.716145833343</v>
      </c>
      <c r="G580" s="4">
        <v>45852</v>
      </c>
      <c r="H580" s="2" t="s">
        <v>21</v>
      </c>
      <c r="I580" s="2" t="s">
        <v>51</v>
      </c>
      <c r="J580" s="2">
        <v>0.73511294228208912</v>
      </c>
      <c r="K580" s="2">
        <v>1297.7597660549909</v>
      </c>
      <c r="L580" s="2">
        <v>0</v>
      </c>
      <c r="M580" s="2">
        <v>954</v>
      </c>
      <c r="N580" s="2">
        <v>954</v>
      </c>
      <c r="O580" s="2"/>
      <c r="P580" s="2">
        <v>954</v>
      </c>
      <c r="Q580" s="2" t="s">
        <v>44</v>
      </c>
      <c r="R580" s="2"/>
      <c r="S580" t="str">
        <f>VLOOKUP(B580,CASOPOInvCL!$B$1:$D$1600,1,FALSE)</f>
        <v>SO17443</v>
      </c>
      <c r="T580">
        <f t="shared" si="9"/>
        <v>7</v>
      </c>
    </row>
    <row r="581" spans="1:20" ht="30" x14ac:dyDescent="0.25">
      <c r="A581" s="2">
        <v>1</v>
      </c>
      <c r="B581" s="2" t="s">
        <v>1011</v>
      </c>
      <c r="C581" s="2" t="s">
        <v>1012</v>
      </c>
      <c r="D581" s="2" t="s">
        <v>767</v>
      </c>
      <c r="E581" s="3">
        <v>45845.337060185193</v>
      </c>
      <c r="F581" s="3">
        <v>45855.368449074071</v>
      </c>
      <c r="G581" s="4">
        <v>45932</v>
      </c>
      <c r="H581" s="2" t="s">
        <v>21</v>
      </c>
      <c r="I581" s="2" t="s">
        <v>51</v>
      </c>
      <c r="J581" s="2">
        <v>0.72920119964000452</v>
      </c>
      <c r="K581" s="2">
        <v>1935.2409193740741</v>
      </c>
      <c r="L581" s="2">
        <v>0</v>
      </c>
      <c r="M581" s="2">
        <v>1411.18</v>
      </c>
      <c r="N581" s="2">
        <v>1411.18</v>
      </c>
      <c r="O581" s="2"/>
      <c r="P581" s="2">
        <v>1411.18</v>
      </c>
      <c r="Q581" s="2" t="s">
        <v>44</v>
      </c>
      <c r="R581" s="2"/>
      <c r="S581" t="str">
        <f>VLOOKUP(B581,CASOPOInvCL!$B$1:$D$1600,1,FALSE)</f>
        <v>SO17444</v>
      </c>
      <c r="T581">
        <f t="shared" si="9"/>
        <v>7</v>
      </c>
    </row>
    <row r="582" spans="1:20" x14ac:dyDescent="0.25">
      <c r="A582" s="2">
        <v>1</v>
      </c>
      <c r="B582" s="2" t="s">
        <v>1046</v>
      </c>
      <c r="C582" s="2" t="s">
        <v>1047</v>
      </c>
      <c r="D582" s="2" t="s">
        <v>239</v>
      </c>
      <c r="E582" s="3">
        <v>45845.40152777778</v>
      </c>
      <c r="F582" s="3">
        <v>45852.398877314823</v>
      </c>
      <c r="G582" s="4">
        <v>45921</v>
      </c>
      <c r="H582" s="2" t="s">
        <v>180</v>
      </c>
      <c r="I582" s="2" t="s">
        <v>51</v>
      </c>
      <c r="J582" s="2">
        <v>0.73030448566452189</v>
      </c>
      <c r="K582" s="2">
        <v>870.13021619575488</v>
      </c>
      <c r="L582" s="2">
        <v>0</v>
      </c>
      <c r="M582" s="2">
        <v>635.46</v>
      </c>
      <c r="N582" s="2">
        <v>635.46</v>
      </c>
      <c r="O582" s="2"/>
      <c r="P582" s="2">
        <v>635.46</v>
      </c>
      <c r="Q582" s="2" t="s">
        <v>44</v>
      </c>
      <c r="R582" s="2"/>
      <c r="S582" t="str">
        <f>VLOOKUP(B582,CASOPOInvCL!$B$1:$D$1600,1,FALSE)</f>
        <v>SO17446</v>
      </c>
      <c r="T582">
        <f t="shared" si="9"/>
        <v>7</v>
      </c>
    </row>
    <row r="583" spans="1:20" x14ac:dyDescent="0.25">
      <c r="A583" s="2">
        <v>1</v>
      </c>
      <c r="B583" s="2" t="s">
        <v>1040</v>
      </c>
      <c r="C583" s="2" t="s">
        <v>1041</v>
      </c>
      <c r="D583" s="2" t="s">
        <v>70</v>
      </c>
      <c r="E583" s="3">
        <v>45845.505532407413</v>
      </c>
      <c r="F583" s="3">
        <v>45852.48332175926</v>
      </c>
      <c r="G583" s="4">
        <v>45853</v>
      </c>
      <c r="H583" s="2" t="s">
        <v>71</v>
      </c>
      <c r="I583" s="2" t="s">
        <v>51</v>
      </c>
      <c r="J583" s="2">
        <v>0.73030448566452189</v>
      </c>
      <c r="K583" s="2">
        <v>625.39667900904408</v>
      </c>
      <c r="L583" s="2">
        <v>0</v>
      </c>
      <c r="M583" s="2">
        <v>456.73</v>
      </c>
      <c r="N583" s="2">
        <v>456.73</v>
      </c>
      <c r="O583" s="2"/>
      <c r="P583" s="2">
        <v>456.73</v>
      </c>
      <c r="Q583" s="2" t="s">
        <v>44</v>
      </c>
      <c r="R583" s="2"/>
      <c r="S583" t="str">
        <f>VLOOKUP(B583,CASOPOInvCL!$B$1:$D$1600,1,FALSE)</f>
        <v>SO17450</v>
      </c>
      <c r="T583">
        <f t="shared" si="9"/>
        <v>7</v>
      </c>
    </row>
    <row r="584" spans="1:20" x14ac:dyDescent="0.25">
      <c r="A584" s="2">
        <v>1</v>
      </c>
      <c r="B584" s="2" t="s">
        <v>1085</v>
      </c>
      <c r="C584" s="2" t="s">
        <v>1086</v>
      </c>
      <c r="D584" s="2" t="s">
        <v>35</v>
      </c>
      <c r="E584" s="3">
        <v>45845.566134259258</v>
      </c>
      <c r="F584" s="3">
        <v>45847.677581018521</v>
      </c>
      <c r="G584" s="4">
        <v>45854</v>
      </c>
      <c r="H584" s="2" t="s">
        <v>21</v>
      </c>
      <c r="I584" s="2" t="s">
        <v>22</v>
      </c>
      <c r="J584" s="2">
        <v>1</v>
      </c>
      <c r="K584" s="2">
        <v>132.47</v>
      </c>
      <c r="L584" s="2">
        <v>0</v>
      </c>
      <c r="M584" s="2">
        <v>96.721829271648886</v>
      </c>
      <c r="N584" s="2">
        <v>126.16</v>
      </c>
      <c r="O584" s="2">
        <v>6.31</v>
      </c>
      <c r="P584" s="2">
        <v>132.47</v>
      </c>
      <c r="Q584" s="2" t="s">
        <v>44</v>
      </c>
      <c r="R584" s="2"/>
      <c r="S584" t="str">
        <f>VLOOKUP(B584,CASOPOInvCL!$B$1:$D$1600,1,FALSE)</f>
        <v>SO17451</v>
      </c>
      <c r="T584">
        <f t="shared" si="9"/>
        <v>7</v>
      </c>
    </row>
    <row r="585" spans="1:20" x14ac:dyDescent="0.25">
      <c r="A585" s="2">
        <v>1</v>
      </c>
      <c r="B585" s="2" t="s">
        <v>1058</v>
      </c>
      <c r="C585" s="2" t="s">
        <v>1059</v>
      </c>
      <c r="D585" s="2" t="s">
        <v>109</v>
      </c>
      <c r="E585" s="3">
        <v>45845.71597222222</v>
      </c>
      <c r="F585" s="3">
        <v>45849.656099537038</v>
      </c>
      <c r="G585" s="4">
        <v>45866</v>
      </c>
      <c r="H585" s="2" t="s">
        <v>21</v>
      </c>
      <c r="I585" s="2" t="s">
        <v>51</v>
      </c>
      <c r="J585" s="2">
        <v>0.73014138500527581</v>
      </c>
      <c r="K585" s="2">
        <v>31601.61918480114</v>
      </c>
      <c r="L585" s="2">
        <v>0</v>
      </c>
      <c r="M585" s="2">
        <v>23073.65</v>
      </c>
      <c r="N585" s="2">
        <v>23073.65</v>
      </c>
      <c r="O585" s="2"/>
      <c r="P585" s="2">
        <v>23073.65</v>
      </c>
      <c r="Q585" s="2" t="s">
        <v>44</v>
      </c>
      <c r="R585" s="2"/>
      <c r="S585" t="str">
        <f>VLOOKUP(B585,CASOPOInvCL!$B$1:$D$1600,1,FALSE)</f>
        <v>SO17452</v>
      </c>
      <c r="T585">
        <f t="shared" si="9"/>
        <v>7</v>
      </c>
    </row>
    <row r="586" spans="1:20" x14ac:dyDescent="0.25">
      <c r="A586" s="2">
        <v>2</v>
      </c>
      <c r="B586" s="2" t="s">
        <v>1083</v>
      </c>
      <c r="C586" s="2" t="s">
        <v>1084</v>
      </c>
      <c r="D586" s="2" t="s">
        <v>684</v>
      </c>
      <c r="E586" s="3">
        <v>45845.754884259259</v>
      </c>
      <c r="F586" s="3">
        <v>45847.706724537027</v>
      </c>
      <c r="G586" s="4">
        <v>45861</v>
      </c>
      <c r="H586" s="2" t="s">
        <v>36</v>
      </c>
      <c r="I586" s="2" t="s">
        <v>22</v>
      </c>
      <c r="J586" s="2">
        <v>1</v>
      </c>
      <c r="K586" s="2">
        <v>1315.82</v>
      </c>
      <c r="L586" s="2">
        <v>0</v>
      </c>
      <c r="M586" s="2">
        <v>960.73463721764199</v>
      </c>
      <c r="N586" s="2">
        <v>1315.82</v>
      </c>
      <c r="O586" s="2"/>
      <c r="P586" s="2">
        <v>1315.82</v>
      </c>
      <c r="Q586" s="2" t="s">
        <v>44</v>
      </c>
      <c r="R586" s="2"/>
      <c r="S586" t="str">
        <f>VLOOKUP(B586,CASOPOInvCL!$B$1:$D$1600,1,FALSE)</f>
        <v>SO17453</v>
      </c>
      <c r="T586">
        <f t="shared" si="9"/>
        <v>7</v>
      </c>
    </row>
    <row r="587" spans="1:20" x14ac:dyDescent="0.25">
      <c r="A587" s="2">
        <v>1</v>
      </c>
      <c r="B587" s="2" t="s">
        <v>1096</v>
      </c>
      <c r="C587" s="2" t="s">
        <v>1097</v>
      </c>
      <c r="D587" s="2" t="s">
        <v>26</v>
      </c>
      <c r="E587" s="3">
        <v>45845.810937499999</v>
      </c>
      <c r="F587" s="3">
        <v>45846.565983796303</v>
      </c>
      <c r="G587" s="4">
        <v>45896</v>
      </c>
      <c r="H587" s="2" t="s">
        <v>36</v>
      </c>
      <c r="I587" s="2" t="s">
        <v>22</v>
      </c>
      <c r="J587" s="2">
        <v>1</v>
      </c>
      <c r="K587" s="2">
        <v>803.27</v>
      </c>
      <c r="L587" s="2">
        <v>803.27</v>
      </c>
      <c r="M587" s="2">
        <v>803.27</v>
      </c>
      <c r="N587" s="2">
        <v>765.02</v>
      </c>
      <c r="O587" s="2">
        <v>38.25</v>
      </c>
      <c r="P587" s="2">
        <v>803.27</v>
      </c>
      <c r="Q587" s="2" t="s">
        <v>44</v>
      </c>
      <c r="R587" s="2"/>
      <c r="S587" t="str">
        <f>VLOOKUP(B587,CASOPOInvCL!$B$1:$D$1600,1,FALSE)</f>
        <v>SO17454</v>
      </c>
      <c r="T587">
        <f t="shared" si="9"/>
        <v>7</v>
      </c>
    </row>
    <row r="588" spans="1:20" ht="30" x14ac:dyDescent="0.25">
      <c r="A588" s="2">
        <v>1</v>
      </c>
      <c r="B588" s="2" t="s">
        <v>1101</v>
      </c>
      <c r="C588" s="2" t="s">
        <v>1102</v>
      </c>
      <c r="D588" s="2" t="s">
        <v>502</v>
      </c>
      <c r="E588" s="3">
        <v>45846.434328703697</v>
      </c>
      <c r="F588" s="3">
        <v>45846.438530092593</v>
      </c>
      <c r="G588" s="4">
        <v>45849</v>
      </c>
      <c r="H588" s="2" t="s">
        <v>21</v>
      </c>
      <c r="I588" s="2" t="s">
        <v>22</v>
      </c>
      <c r="J588" s="2">
        <v>1</v>
      </c>
      <c r="K588" s="2">
        <v>115.14</v>
      </c>
      <c r="L588" s="2">
        <v>115.14</v>
      </c>
      <c r="M588" s="2">
        <v>115.14</v>
      </c>
      <c r="N588" s="2">
        <v>109.66</v>
      </c>
      <c r="O588" s="2">
        <v>5.48</v>
      </c>
      <c r="P588" s="2">
        <v>115.14</v>
      </c>
      <c r="Q588" s="2" t="s">
        <v>44</v>
      </c>
      <c r="R588" s="2"/>
      <c r="S588" t="str">
        <f>VLOOKUP(B588,CASOPOInvCL!$B$1:$D$1600,1,FALSE)</f>
        <v>SO17455</v>
      </c>
      <c r="T588">
        <f t="shared" si="9"/>
        <v>7</v>
      </c>
    </row>
    <row r="589" spans="1:20" x14ac:dyDescent="0.25">
      <c r="A589" s="2">
        <v>2</v>
      </c>
      <c r="B589" s="2" t="s">
        <v>1087</v>
      </c>
      <c r="C589" s="2" t="s">
        <v>1088</v>
      </c>
      <c r="D589" s="2" t="s">
        <v>141</v>
      </c>
      <c r="E589" s="3">
        <v>45846.466562499998</v>
      </c>
      <c r="F589" s="3">
        <v>45847.59306712963</v>
      </c>
      <c r="G589" s="4">
        <v>45862</v>
      </c>
      <c r="H589" s="2" t="s">
        <v>40</v>
      </c>
      <c r="I589" s="2" t="s">
        <v>51</v>
      </c>
      <c r="J589" s="2">
        <v>0.73276914130828075</v>
      </c>
      <c r="K589" s="2">
        <v>504.7155770502157</v>
      </c>
      <c r="L589" s="2">
        <v>0</v>
      </c>
      <c r="M589" s="2">
        <v>369.84</v>
      </c>
      <c r="N589" s="2">
        <v>369.84</v>
      </c>
      <c r="O589" s="2"/>
      <c r="P589" s="2">
        <v>369.84</v>
      </c>
      <c r="Q589" s="2" t="s">
        <v>44</v>
      </c>
      <c r="R589" s="2"/>
      <c r="S589" t="str">
        <f>VLOOKUP(B589,CASOPOInvCL!$B$1:$D$1600,1,FALSE)</f>
        <v>SO17456</v>
      </c>
      <c r="T589">
        <f t="shared" si="9"/>
        <v>7</v>
      </c>
    </row>
    <row r="590" spans="1:20" x14ac:dyDescent="0.25">
      <c r="A590" s="2">
        <v>1</v>
      </c>
      <c r="B590" s="2" t="s">
        <v>660</v>
      </c>
      <c r="C590" s="2" t="s">
        <v>661</v>
      </c>
      <c r="D590" s="2" t="s">
        <v>50</v>
      </c>
      <c r="E590" s="3">
        <v>45846.496666666673</v>
      </c>
      <c r="F590" s="3">
        <v>45911.347291666672</v>
      </c>
      <c r="G590" s="4">
        <v>45915</v>
      </c>
      <c r="H590" s="2" t="s">
        <v>40</v>
      </c>
      <c r="I590" s="2" t="s">
        <v>51</v>
      </c>
      <c r="J590" s="2">
        <v>0.72223660770473652</v>
      </c>
      <c r="K590" s="2">
        <v>627.21827607109424</v>
      </c>
      <c r="L590" s="2">
        <v>0</v>
      </c>
      <c r="M590" s="2">
        <v>453</v>
      </c>
      <c r="N590" s="2">
        <v>453</v>
      </c>
      <c r="O590" s="2"/>
      <c r="P590" s="2">
        <v>453</v>
      </c>
      <c r="Q590" s="2" t="s">
        <v>44</v>
      </c>
      <c r="R590" s="2"/>
      <c r="S590" t="str">
        <f>VLOOKUP(B590,CASOPOInvCL!$B$1:$D$1600,1,FALSE)</f>
        <v>SO17457</v>
      </c>
      <c r="T590">
        <f t="shared" si="9"/>
        <v>7</v>
      </c>
    </row>
    <row r="591" spans="1:20" x14ac:dyDescent="0.25">
      <c r="A591" s="2">
        <v>1</v>
      </c>
      <c r="B591" s="2" t="s">
        <v>1081</v>
      </c>
      <c r="C591" s="2" t="s">
        <v>1082</v>
      </c>
      <c r="D591" s="2" t="s">
        <v>242</v>
      </c>
      <c r="E591" s="3">
        <v>45846.651377314818</v>
      </c>
      <c r="F591" s="3">
        <v>45847.729525462957</v>
      </c>
      <c r="G591" s="4">
        <v>45848</v>
      </c>
      <c r="H591" s="2" t="s">
        <v>21</v>
      </c>
      <c r="I591" s="2" t="s">
        <v>22</v>
      </c>
      <c r="J591" s="2">
        <v>1</v>
      </c>
      <c r="K591" s="2">
        <v>3201.22</v>
      </c>
      <c r="L591" s="2">
        <v>0</v>
      </c>
      <c r="M591" s="2">
        <v>2337.3432045065888</v>
      </c>
      <c r="N591" s="2">
        <v>3048.78</v>
      </c>
      <c r="O591" s="2">
        <v>152.44</v>
      </c>
      <c r="P591" s="2">
        <v>3201.22</v>
      </c>
      <c r="Q591" s="2" t="s">
        <v>44</v>
      </c>
      <c r="R591" s="2"/>
      <c r="S591" t="str">
        <f>VLOOKUP(B591,CASOPOInvCL!$B$1:$D$1600,1,FALSE)</f>
        <v>SO17459</v>
      </c>
      <c r="T591">
        <f t="shared" si="9"/>
        <v>7</v>
      </c>
    </row>
    <row r="592" spans="1:20" x14ac:dyDescent="0.25">
      <c r="A592" s="2">
        <v>2</v>
      </c>
      <c r="B592" s="2" t="s">
        <v>1077</v>
      </c>
      <c r="C592" s="2" t="s">
        <v>1078</v>
      </c>
      <c r="D592" s="2" t="s">
        <v>242</v>
      </c>
      <c r="E592" s="3">
        <v>45846.728576388887</v>
      </c>
      <c r="F592" s="3">
        <v>45847.782754629632</v>
      </c>
      <c r="G592" s="4">
        <v>45854</v>
      </c>
      <c r="H592" s="2" t="s">
        <v>21</v>
      </c>
      <c r="I592" s="2" t="s">
        <v>22</v>
      </c>
      <c r="J592" s="2">
        <v>1</v>
      </c>
      <c r="K592" s="2">
        <v>1033.58</v>
      </c>
      <c r="L592" s="2">
        <v>0</v>
      </c>
      <c r="M592" s="2">
        <v>754.65953271375292</v>
      </c>
      <c r="N592" s="2">
        <v>984.36</v>
      </c>
      <c r="O592" s="2">
        <v>49.22</v>
      </c>
      <c r="P592" s="2">
        <v>1033.58</v>
      </c>
      <c r="Q592" s="2" t="s">
        <v>44</v>
      </c>
      <c r="R592" s="2"/>
      <c r="S592" t="str">
        <f>VLOOKUP(B592,CASOPOInvCL!$B$1:$D$1600,1,FALSE)</f>
        <v>SO17461</v>
      </c>
      <c r="T592">
        <f t="shared" si="9"/>
        <v>7</v>
      </c>
    </row>
    <row r="593" spans="1:20" x14ac:dyDescent="0.25">
      <c r="A593" s="2">
        <v>1</v>
      </c>
      <c r="B593" s="2" t="s">
        <v>533</v>
      </c>
      <c r="C593" s="2" t="s">
        <v>534</v>
      </c>
      <c r="D593" s="2" t="s">
        <v>64</v>
      </c>
      <c r="E593" s="3">
        <v>45847.691307870373</v>
      </c>
      <c r="F593" s="3">
        <v>45926.648321759261</v>
      </c>
      <c r="G593" s="4">
        <v>45928</v>
      </c>
      <c r="H593" s="2" t="s">
        <v>21</v>
      </c>
      <c r="I593" s="2" t="s">
        <v>22</v>
      </c>
      <c r="J593" s="2">
        <v>1</v>
      </c>
      <c r="K593" s="2">
        <v>825.78</v>
      </c>
      <c r="L593" s="2">
        <v>0</v>
      </c>
      <c r="M593" s="2">
        <v>592.07402214435069</v>
      </c>
      <c r="N593" s="2">
        <v>730.78</v>
      </c>
      <c r="O593" s="2">
        <v>95</v>
      </c>
      <c r="P593" s="2">
        <v>825.78</v>
      </c>
      <c r="Q593" s="2" t="s">
        <v>44</v>
      </c>
      <c r="R593" s="2"/>
      <c r="S593" t="str">
        <f>VLOOKUP(B593,CASOPOInvCL!$B$1:$D$1600,1,FALSE)</f>
        <v>SO17462</v>
      </c>
      <c r="T593">
        <f t="shared" si="9"/>
        <v>7</v>
      </c>
    </row>
    <row r="594" spans="1:20" x14ac:dyDescent="0.25">
      <c r="A594" s="2">
        <v>2</v>
      </c>
      <c r="B594" s="2" t="s">
        <v>1062</v>
      </c>
      <c r="C594" s="2" t="s">
        <v>1063</v>
      </c>
      <c r="D594" s="2" t="s">
        <v>77</v>
      </c>
      <c r="E594" s="3">
        <v>45847.698587962957</v>
      </c>
      <c r="F594" s="3">
        <v>45849.497754629629</v>
      </c>
      <c r="G594" s="4">
        <v>45863</v>
      </c>
      <c r="H594" s="2" t="s">
        <v>21</v>
      </c>
      <c r="I594" s="2" t="s">
        <v>22</v>
      </c>
      <c r="J594" s="2">
        <v>1</v>
      </c>
      <c r="K594" s="2">
        <v>3013.5</v>
      </c>
      <c r="L594" s="2">
        <v>0</v>
      </c>
      <c r="M594" s="2">
        <v>2202.6518076182278</v>
      </c>
      <c r="N594" s="2">
        <v>2870</v>
      </c>
      <c r="O594" s="2">
        <v>143.5</v>
      </c>
      <c r="P594" s="2">
        <v>3013.5</v>
      </c>
      <c r="Q594" s="2" t="s">
        <v>44</v>
      </c>
      <c r="R594" s="2"/>
      <c r="S594" t="str">
        <f>VLOOKUP(B594,CASOPOInvCL!$B$1:$D$1600,1,FALSE)</f>
        <v>SO17464</v>
      </c>
      <c r="T594">
        <f t="shared" si="9"/>
        <v>7</v>
      </c>
    </row>
    <row r="595" spans="1:20" x14ac:dyDescent="0.25">
      <c r="A595" s="2">
        <v>1</v>
      </c>
      <c r="B595" s="2" t="s">
        <v>1079</v>
      </c>
      <c r="C595" s="2" t="s">
        <v>1080</v>
      </c>
      <c r="D595" s="2" t="s">
        <v>26</v>
      </c>
      <c r="E595" s="3">
        <v>45847.739293981482</v>
      </c>
      <c r="F595" s="3">
        <v>45847.755104166667</v>
      </c>
      <c r="G595" s="4">
        <v>45857</v>
      </c>
      <c r="H595" s="2" t="s">
        <v>36</v>
      </c>
      <c r="I595" s="2" t="s">
        <v>51</v>
      </c>
      <c r="J595" s="2">
        <v>0.73276914130828075</v>
      </c>
      <c r="K595" s="2">
        <v>1448.4097926190959</v>
      </c>
      <c r="L595" s="2">
        <v>0</v>
      </c>
      <c r="M595" s="2">
        <v>1061.3499999999999</v>
      </c>
      <c r="N595" s="2">
        <v>1010.81</v>
      </c>
      <c r="O595" s="2">
        <v>50.54</v>
      </c>
      <c r="P595" s="2">
        <v>1061.3499999999999</v>
      </c>
      <c r="Q595" s="2" t="s">
        <v>44</v>
      </c>
      <c r="R595" s="2"/>
      <c r="S595" t="str">
        <f>VLOOKUP(B595,CASOPOInvCL!$B$1:$D$1600,1,FALSE)</f>
        <v>SO17466</v>
      </c>
      <c r="T595">
        <f t="shared" si="9"/>
        <v>7</v>
      </c>
    </row>
    <row r="596" spans="1:20" x14ac:dyDescent="0.25">
      <c r="A596" s="2">
        <v>1</v>
      </c>
      <c r="B596" s="2" t="s">
        <v>1075</v>
      </c>
      <c r="C596" s="2" t="s">
        <v>1076</v>
      </c>
      <c r="D596" s="2" t="s">
        <v>146</v>
      </c>
      <c r="E596" s="3">
        <v>45847.795648148152</v>
      </c>
      <c r="F596" s="3">
        <v>45847.795798611107</v>
      </c>
      <c r="G596" s="4">
        <v>45854</v>
      </c>
      <c r="H596" s="2" t="s">
        <v>21</v>
      </c>
      <c r="I596" s="2" t="s">
        <v>22</v>
      </c>
      <c r="J596" s="2">
        <v>1</v>
      </c>
      <c r="K596" s="2">
        <v>213.9</v>
      </c>
      <c r="L596" s="2">
        <v>213.9</v>
      </c>
      <c r="M596" s="2">
        <v>213.9</v>
      </c>
      <c r="N596" s="2">
        <v>213.9</v>
      </c>
      <c r="O596" s="2"/>
      <c r="P596" s="2">
        <v>213.9</v>
      </c>
      <c r="Q596" s="2" t="s">
        <v>44</v>
      </c>
      <c r="R596" s="2"/>
      <c r="S596" t="str">
        <f>VLOOKUP(B596,CASOPOInvCL!$B$1:$D$1600,1,FALSE)</f>
        <v>SO17467</v>
      </c>
      <c r="T596">
        <f t="shared" si="9"/>
        <v>7</v>
      </c>
    </row>
    <row r="597" spans="1:20" x14ac:dyDescent="0.25">
      <c r="A597" s="2">
        <v>1</v>
      </c>
      <c r="B597" s="2" t="s">
        <v>1054</v>
      </c>
      <c r="C597" s="2" t="s">
        <v>1055</v>
      </c>
      <c r="D597" s="2" t="s">
        <v>20</v>
      </c>
      <c r="E597" s="3">
        <v>45848.354930555557</v>
      </c>
      <c r="F597" s="3">
        <v>45849.722881944443</v>
      </c>
      <c r="G597" s="4">
        <v>45856</v>
      </c>
      <c r="H597" s="2" t="s">
        <v>21</v>
      </c>
      <c r="I597" s="2" t="s">
        <v>22</v>
      </c>
      <c r="J597" s="2">
        <v>1</v>
      </c>
      <c r="K597" s="2">
        <v>418.03</v>
      </c>
      <c r="L597" s="2">
        <v>0</v>
      </c>
      <c r="M597" s="2">
        <v>305.54987062838819</v>
      </c>
      <c r="N597" s="2">
        <v>398.12</v>
      </c>
      <c r="O597" s="2">
        <v>19.91</v>
      </c>
      <c r="P597" s="2">
        <v>418.03</v>
      </c>
      <c r="Q597" s="2" t="s">
        <v>44</v>
      </c>
      <c r="R597" s="2"/>
      <c r="S597" t="str">
        <f>VLOOKUP(B597,CASOPOInvCL!$B$1:$D$1600,1,FALSE)</f>
        <v>SO17468</v>
      </c>
      <c r="T597">
        <f t="shared" si="9"/>
        <v>7</v>
      </c>
    </row>
    <row r="598" spans="1:20" x14ac:dyDescent="0.25">
      <c r="A598" s="2">
        <v>1</v>
      </c>
      <c r="B598" s="2" t="s">
        <v>1071</v>
      </c>
      <c r="C598" s="2" t="s">
        <v>1072</v>
      </c>
      <c r="D598" s="2" t="s">
        <v>64</v>
      </c>
      <c r="E598" s="3">
        <v>45848.424247685187</v>
      </c>
      <c r="F598" s="3">
        <v>45848.676111111112</v>
      </c>
      <c r="G598" s="4">
        <v>45883</v>
      </c>
      <c r="H598" s="2" t="s">
        <v>21</v>
      </c>
      <c r="I598" s="2" t="s">
        <v>22</v>
      </c>
      <c r="J598" s="2">
        <v>1</v>
      </c>
      <c r="K598" s="2">
        <v>1011.03</v>
      </c>
      <c r="L598" s="2">
        <v>1011.03</v>
      </c>
      <c r="M598" s="2">
        <v>1011.03</v>
      </c>
      <c r="N598" s="2">
        <v>894.72</v>
      </c>
      <c r="O598" s="2">
        <v>116.31</v>
      </c>
      <c r="P598" s="2">
        <v>1011.03</v>
      </c>
      <c r="Q598" s="2" t="s">
        <v>44</v>
      </c>
      <c r="R598" s="2"/>
      <c r="S598" t="str">
        <f>VLOOKUP(B598,CASOPOInvCL!$B$1:$D$1600,1,FALSE)</f>
        <v>SO17471</v>
      </c>
      <c r="T598">
        <f t="shared" si="9"/>
        <v>7</v>
      </c>
    </row>
    <row r="599" spans="1:20" x14ac:dyDescent="0.25">
      <c r="A599" s="2">
        <v>1</v>
      </c>
      <c r="B599" s="2" t="s">
        <v>825</v>
      </c>
      <c r="C599" s="2" t="s">
        <v>826</v>
      </c>
      <c r="D599" s="2" t="s">
        <v>50</v>
      </c>
      <c r="E599" s="3">
        <v>45848.42597222222</v>
      </c>
      <c r="F599" s="3">
        <v>45887.56758101852</v>
      </c>
      <c r="G599" s="4">
        <v>45888</v>
      </c>
      <c r="H599" s="2" t="s">
        <v>21</v>
      </c>
      <c r="I599" s="2" t="s">
        <v>51</v>
      </c>
      <c r="J599" s="2">
        <v>0.7240742470894046</v>
      </c>
      <c r="K599" s="2">
        <v>4600.0945529951023</v>
      </c>
      <c r="L599" s="2">
        <v>0</v>
      </c>
      <c r="M599" s="2">
        <v>3330.81</v>
      </c>
      <c r="N599" s="2">
        <v>3330.81</v>
      </c>
      <c r="O599" s="2"/>
      <c r="P599" s="2">
        <v>3330.81</v>
      </c>
      <c r="Q599" s="2" t="s">
        <v>44</v>
      </c>
      <c r="R599" s="2"/>
      <c r="S599" t="str">
        <f>VLOOKUP(B599,CASOPOInvCL!$B$1:$D$1600,1,FALSE)</f>
        <v>SO17472</v>
      </c>
      <c r="T599">
        <f t="shared" si="9"/>
        <v>7</v>
      </c>
    </row>
    <row r="600" spans="1:20" x14ac:dyDescent="0.25">
      <c r="A600" s="2">
        <v>1</v>
      </c>
      <c r="B600" s="2" t="s">
        <v>973</v>
      </c>
      <c r="C600" s="2" t="s">
        <v>974</v>
      </c>
      <c r="D600" s="2" t="s">
        <v>239</v>
      </c>
      <c r="E600" s="3">
        <v>45848.546956018523</v>
      </c>
      <c r="F600" s="3">
        <v>45860.646562499998</v>
      </c>
      <c r="G600" s="4">
        <v>45861</v>
      </c>
      <c r="H600" s="2" t="s">
        <v>180</v>
      </c>
      <c r="I600" s="2" t="s">
        <v>22</v>
      </c>
      <c r="J600" s="2">
        <v>1</v>
      </c>
      <c r="K600" s="2">
        <v>11078.21</v>
      </c>
      <c r="L600" s="2">
        <v>11078.21</v>
      </c>
      <c r="M600" s="2">
        <v>11078.21</v>
      </c>
      <c r="N600" s="2">
        <v>9803.7199999999993</v>
      </c>
      <c r="O600" s="2">
        <v>1274.49</v>
      </c>
      <c r="P600" s="2">
        <v>11078.21</v>
      </c>
      <c r="Q600" s="2" t="s">
        <v>44</v>
      </c>
      <c r="R600" s="2"/>
      <c r="S600" t="str">
        <f>VLOOKUP(B600,CASOPOInvCL!$B$1:$D$1600,1,FALSE)</f>
        <v>SO17475</v>
      </c>
      <c r="T600">
        <f t="shared" si="9"/>
        <v>7</v>
      </c>
    </row>
    <row r="601" spans="1:20" ht="30" x14ac:dyDescent="0.25">
      <c r="A601" s="2">
        <v>2</v>
      </c>
      <c r="B601" s="2" t="s">
        <v>1005</v>
      </c>
      <c r="C601" s="2" t="s">
        <v>1006</v>
      </c>
      <c r="D601" s="2" t="s">
        <v>159</v>
      </c>
      <c r="E601" s="3">
        <v>45848.596030092587</v>
      </c>
      <c r="F601" s="3">
        <v>45855.669710648152</v>
      </c>
      <c r="G601" s="4">
        <v>45995</v>
      </c>
      <c r="H601" s="2" t="s">
        <v>40</v>
      </c>
      <c r="I601" s="2" t="s">
        <v>51</v>
      </c>
      <c r="J601" s="2">
        <v>0.72920119964000452</v>
      </c>
      <c r="K601" s="2">
        <v>92841.399648577761</v>
      </c>
      <c r="L601" s="2">
        <v>0</v>
      </c>
      <c r="M601" s="2">
        <v>67700.06</v>
      </c>
      <c r="N601" s="2">
        <v>67700.06</v>
      </c>
      <c r="O601" s="2"/>
      <c r="P601" s="2">
        <v>67700.06</v>
      </c>
      <c r="Q601" s="2" t="s">
        <v>44</v>
      </c>
      <c r="R601" s="2"/>
      <c r="S601" t="str">
        <f>VLOOKUP(B601,CASOPOInvCL!$B$1:$D$1600,1,FALSE)</f>
        <v>SO17477</v>
      </c>
      <c r="T601">
        <f t="shared" si="9"/>
        <v>7</v>
      </c>
    </row>
    <row r="602" spans="1:20" ht="45" x14ac:dyDescent="0.25">
      <c r="A602" s="2">
        <v>1</v>
      </c>
      <c r="B602" s="2" t="s">
        <v>1064</v>
      </c>
      <c r="C602" s="2" t="s">
        <v>1065</v>
      </c>
      <c r="D602" s="2" t="s">
        <v>1066</v>
      </c>
      <c r="E602" s="3">
        <v>45848.601342592592</v>
      </c>
      <c r="F602" s="3">
        <v>45849.425208333327</v>
      </c>
      <c r="G602" s="4">
        <v>45849</v>
      </c>
      <c r="H602" s="2" t="s">
        <v>21</v>
      </c>
      <c r="I602" s="2" t="s">
        <v>51</v>
      </c>
      <c r="J602" s="2">
        <v>0.73014138500527581</v>
      </c>
      <c r="K602" s="2">
        <v>1530.0598253198971</v>
      </c>
      <c r="L602" s="2">
        <v>0</v>
      </c>
      <c r="M602" s="2">
        <v>1117.1600000000001</v>
      </c>
      <c r="N602" s="2">
        <v>1117.1600000000001</v>
      </c>
      <c r="O602" s="2"/>
      <c r="P602" s="2">
        <v>1117.1600000000001</v>
      </c>
      <c r="Q602" s="2" t="s">
        <v>44</v>
      </c>
      <c r="R602" s="2"/>
      <c r="S602" t="str">
        <f>VLOOKUP(B602,CASOPOInvCL!$B$1:$D$1600,1,FALSE)</f>
        <v>SO17478</v>
      </c>
      <c r="T602">
        <f t="shared" si="9"/>
        <v>7</v>
      </c>
    </row>
    <row r="603" spans="1:20" x14ac:dyDescent="0.25">
      <c r="A603" s="2">
        <v>1</v>
      </c>
      <c r="B603" s="2" t="s">
        <v>1044</v>
      </c>
      <c r="C603" s="2" t="s">
        <v>1045</v>
      </c>
      <c r="D603" s="2" t="s">
        <v>192</v>
      </c>
      <c r="E603" s="3">
        <v>45848.633333333331</v>
      </c>
      <c r="F603" s="3">
        <v>45852.423958333333</v>
      </c>
      <c r="G603" s="4">
        <v>45873</v>
      </c>
      <c r="H603" s="2" t="s">
        <v>21</v>
      </c>
      <c r="I603" s="2" t="s">
        <v>51</v>
      </c>
      <c r="J603" s="2">
        <v>0.73030448566452189</v>
      </c>
      <c r="K603" s="2">
        <v>11693.90325218822</v>
      </c>
      <c r="L603" s="2">
        <v>0</v>
      </c>
      <c r="M603" s="2">
        <v>8540.11</v>
      </c>
      <c r="N603" s="2">
        <v>8540.11</v>
      </c>
      <c r="O603" s="2"/>
      <c r="P603" s="2">
        <v>8540.11</v>
      </c>
      <c r="Q603" s="2" t="s">
        <v>44</v>
      </c>
      <c r="R603" s="2"/>
      <c r="S603" t="str">
        <f>VLOOKUP(B603,CASOPOInvCL!$B$1:$D$1600,1,FALSE)</f>
        <v>SO17481</v>
      </c>
      <c r="T603">
        <f t="shared" si="9"/>
        <v>7</v>
      </c>
    </row>
    <row r="604" spans="1:20" x14ac:dyDescent="0.25">
      <c r="A604" s="2">
        <v>1</v>
      </c>
      <c r="B604" s="2" t="s">
        <v>1031</v>
      </c>
      <c r="C604" s="2" t="s">
        <v>1032</v>
      </c>
      <c r="D604" s="2" t="s">
        <v>192</v>
      </c>
      <c r="E604" s="3">
        <v>45848.642534722218</v>
      </c>
      <c r="F604" s="3">
        <v>45853.642534722218</v>
      </c>
      <c r="G604" s="4">
        <v>45972</v>
      </c>
      <c r="H604" s="2" t="s">
        <v>21</v>
      </c>
      <c r="I604" s="2" t="s">
        <v>51</v>
      </c>
      <c r="J604" s="2">
        <v>0.73022664145869165</v>
      </c>
      <c r="K604" s="2">
        <v>5167.2176633580812</v>
      </c>
      <c r="L604" s="2">
        <v>0</v>
      </c>
      <c r="M604" s="2">
        <v>3773.24</v>
      </c>
      <c r="N604" s="2">
        <v>3773.24</v>
      </c>
      <c r="O604" s="2"/>
      <c r="P604" s="2">
        <v>3773.24</v>
      </c>
      <c r="Q604" s="2" t="s">
        <v>44</v>
      </c>
      <c r="R604" s="2"/>
      <c r="S604" t="str">
        <f>VLOOKUP(B604,CASOPOInvCL!$B$1:$D$1600,1,FALSE)</f>
        <v>SO17482</v>
      </c>
      <c r="T604">
        <f t="shared" si="9"/>
        <v>7</v>
      </c>
    </row>
    <row r="605" spans="1:20" ht="30" x14ac:dyDescent="0.25">
      <c r="A605" s="2">
        <v>2</v>
      </c>
      <c r="B605" s="2" t="s">
        <v>1007</v>
      </c>
      <c r="C605" s="2" t="s">
        <v>1008</v>
      </c>
      <c r="D605" s="2" t="s">
        <v>159</v>
      </c>
      <c r="E605" s="3">
        <v>45848.646319444437</v>
      </c>
      <c r="F605" s="3">
        <v>45855.628564814811</v>
      </c>
      <c r="G605" s="4">
        <v>45995</v>
      </c>
      <c r="H605" s="2" t="s">
        <v>40</v>
      </c>
      <c r="I605" s="2" t="s">
        <v>51</v>
      </c>
      <c r="J605" s="2">
        <v>0.72920119964000452</v>
      </c>
      <c r="K605" s="2">
        <v>35091.878637381451</v>
      </c>
      <c r="L605" s="2">
        <v>0</v>
      </c>
      <c r="M605" s="2">
        <v>25589.040000000001</v>
      </c>
      <c r="N605" s="2">
        <v>25589.040000000001</v>
      </c>
      <c r="O605" s="2"/>
      <c r="P605" s="2">
        <v>25589.040000000001</v>
      </c>
      <c r="Q605" s="2" t="s">
        <v>44</v>
      </c>
      <c r="R605" s="2"/>
      <c r="S605" t="str">
        <f>VLOOKUP(B605,CASOPOInvCL!$B$1:$D$1600,1,FALSE)</f>
        <v>SO17483</v>
      </c>
      <c r="T605">
        <f t="shared" si="9"/>
        <v>7</v>
      </c>
    </row>
    <row r="606" spans="1:20" x14ac:dyDescent="0.25">
      <c r="A606" s="2">
        <v>2</v>
      </c>
      <c r="B606" s="2" t="s">
        <v>1073</v>
      </c>
      <c r="C606" s="2" t="s">
        <v>1074</v>
      </c>
      <c r="D606" s="2" t="s">
        <v>64</v>
      </c>
      <c r="E606" s="3">
        <v>45848.657488425917</v>
      </c>
      <c r="F606" s="3">
        <v>45848.661608796298</v>
      </c>
      <c r="G606" s="4">
        <v>45849</v>
      </c>
      <c r="H606" s="2" t="s">
        <v>21</v>
      </c>
      <c r="I606" s="2" t="s">
        <v>22</v>
      </c>
      <c r="J606" s="2">
        <v>1</v>
      </c>
      <c r="K606" s="2">
        <v>1259.5</v>
      </c>
      <c r="L606" s="2">
        <v>1259.5</v>
      </c>
      <c r="M606" s="2">
        <v>1259.5</v>
      </c>
      <c r="N606" s="2">
        <v>1114.5999999999999</v>
      </c>
      <c r="O606" s="2">
        <v>144.9</v>
      </c>
      <c r="P606" s="2">
        <v>1259.5</v>
      </c>
      <c r="Q606" s="2" t="s">
        <v>44</v>
      </c>
      <c r="R606" s="2"/>
      <c r="S606" t="str">
        <f>VLOOKUP(B606,CASOPOInvCL!$B$1:$D$1600,1,FALSE)</f>
        <v>SO17484</v>
      </c>
      <c r="T606">
        <f t="shared" si="9"/>
        <v>7</v>
      </c>
    </row>
    <row r="607" spans="1:20" x14ac:dyDescent="0.25">
      <c r="A607" s="2">
        <v>1</v>
      </c>
      <c r="B607" s="2" t="s">
        <v>1060</v>
      </c>
      <c r="C607" s="2" t="s">
        <v>1061</v>
      </c>
      <c r="D607" s="2" t="s">
        <v>54</v>
      </c>
      <c r="E607" s="3">
        <v>45848.694652777784</v>
      </c>
      <c r="F607" s="3">
        <v>45849.514837962961</v>
      </c>
      <c r="G607" s="4">
        <v>45852</v>
      </c>
      <c r="H607" s="2" t="s">
        <v>21</v>
      </c>
      <c r="I607" s="2" t="s">
        <v>22</v>
      </c>
      <c r="J607" s="2">
        <v>1</v>
      </c>
      <c r="K607" s="2">
        <v>825.91</v>
      </c>
      <c r="L607" s="2">
        <v>0</v>
      </c>
      <c r="M607" s="2">
        <v>603.6808211149729</v>
      </c>
      <c r="N607" s="2">
        <v>786.58</v>
      </c>
      <c r="O607" s="2">
        <v>39.33</v>
      </c>
      <c r="P607" s="2">
        <v>825.91</v>
      </c>
      <c r="Q607" s="2" t="s">
        <v>44</v>
      </c>
      <c r="R607" s="2"/>
      <c r="S607" t="str">
        <f>VLOOKUP(B607,CASOPOInvCL!$B$1:$D$1600,1,FALSE)</f>
        <v>SO17485</v>
      </c>
      <c r="T607">
        <f t="shared" si="9"/>
        <v>7</v>
      </c>
    </row>
    <row r="608" spans="1:20" x14ac:dyDescent="0.25">
      <c r="A608" s="2">
        <v>1</v>
      </c>
      <c r="B608" s="2" t="s">
        <v>1067</v>
      </c>
      <c r="C608" s="2" t="s">
        <v>1068</v>
      </c>
      <c r="D608" s="2" t="s">
        <v>129</v>
      </c>
      <c r="E608" s="3">
        <v>45848.787060185183</v>
      </c>
      <c r="F608" s="3">
        <v>45848.786724537043</v>
      </c>
      <c r="G608" s="4">
        <v>45884</v>
      </c>
      <c r="H608" s="2" t="s">
        <v>130</v>
      </c>
      <c r="I608" s="2" t="s">
        <v>51</v>
      </c>
      <c r="J608" s="2">
        <v>0.73014138500527581</v>
      </c>
      <c r="K608" s="2">
        <v>3207.5979366421989</v>
      </c>
      <c r="L608" s="2">
        <v>0</v>
      </c>
      <c r="M608" s="2">
        <v>2342</v>
      </c>
      <c r="N608" s="2">
        <v>2342</v>
      </c>
      <c r="O608" s="2"/>
      <c r="P608" s="2">
        <v>2342</v>
      </c>
      <c r="Q608" s="2" t="s">
        <v>44</v>
      </c>
      <c r="R608" s="2"/>
      <c r="S608" t="str">
        <f>VLOOKUP(B608,CASOPOInvCL!$B$1:$D$1600,1,FALSE)</f>
        <v>SO17486</v>
      </c>
      <c r="T608">
        <f t="shared" si="9"/>
        <v>7</v>
      </c>
    </row>
    <row r="609" spans="1:20" x14ac:dyDescent="0.25">
      <c r="A609" s="2">
        <v>2</v>
      </c>
      <c r="B609" s="2" t="s">
        <v>1001</v>
      </c>
      <c r="C609" s="2" t="s">
        <v>1002</v>
      </c>
      <c r="D609" s="2" t="s">
        <v>77</v>
      </c>
      <c r="E609" s="3">
        <v>45849.583275462966</v>
      </c>
      <c r="F609" s="3">
        <v>45856.55400462963</v>
      </c>
      <c r="G609" s="4">
        <v>45954</v>
      </c>
      <c r="H609" s="2" t="s">
        <v>21</v>
      </c>
      <c r="I609" s="2" t="s">
        <v>22</v>
      </c>
      <c r="J609" s="2">
        <v>1</v>
      </c>
      <c r="K609" s="2">
        <v>4054.67</v>
      </c>
      <c r="L609" s="2">
        <v>0</v>
      </c>
      <c r="M609" s="2">
        <v>2956.6572436864758</v>
      </c>
      <c r="N609" s="2">
        <v>3861.59</v>
      </c>
      <c r="O609" s="2">
        <v>193.08</v>
      </c>
      <c r="P609" s="2">
        <v>4054.67</v>
      </c>
      <c r="Q609" s="2" t="s">
        <v>44</v>
      </c>
      <c r="R609" s="2"/>
      <c r="S609" t="str">
        <f>VLOOKUP(B609,CASOPOInvCL!$B$1:$D$1600,1,FALSE)</f>
        <v>SO17488</v>
      </c>
      <c r="T609">
        <f t="shared" si="9"/>
        <v>7</v>
      </c>
    </row>
    <row r="610" spans="1:20" x14ac:dyDescent="0.25">
      <c r="A610" s="2">
        <v>0</v>
      </c>
      <c r="B610" s="2" t="s">
        <v>687</v>
      </c>
      <c r="C610" s="2" t="s">
        <v>688</v>
      </c>
      <c r="D610" s="2" t="s">
        <v>689</v>
      </c>
      <c r="E610" s="3">
        <v>45849.6175</v>
      </c>
      <c r="F610" s="3">
        <v>45905.528923611113</v>
      </c>
      <c r="G610" s="4">
        <v>45989</v>
      </c>
      <c r="H610" s="2" t="s">
        <v>36</v>
      </c>
      <c r="I610" s="2" t="s">
        <v>22</v>
      </c>
      <c r="J610" s="2">
        <v>1</v>
      </c>
      <c r="K610" s="2">
        <v>1690.5</v>
      </c>
      <c r="L610" s="2">
        <v>0</v>
      </c>
      <c r="M610" s="2">
        <v>1222.662773743981</v>
      </c>
      <c r="N610" s="2">
        <v>1610</v>
      </c>
      <c r="O610" s="2">
        <v>80.5</v>
      </c>
      <c r="P610" s="2">
        <v>1690.5</v>
      </c>
      <c r="Q610" s="2" t="s">
        <v>29</v>
      </c>
      <c r="R610" s="2"/>
      <c r="S610" t="str">
        <f>VLOOKUP(B610,CASOPOInvCL!$B$1:$D$1600,1,FALSE)</f>
        <v>SO17489</v>
      </c>
      <c r="T610">
        <f t="shared" si="9"/>
        <v>7</v>
      </c>
    </row>
    <row r="611" spans="1:20" x14ac:dyDescent="0.25">
      <c r="A611" s="2">
        <v>1</v>
      </c>
      <c r="B611" s="2" t="s">
        <v>1037</v>
      </c>
      <c r="C611" s="2" t="s">
        <v>1038</v>
      </c>
      <c r="D611" s="2" t="s">
        <v>1039</v>
      </c>
      <c r="E611" s="3">
        <v>45849.689363425918</v>
      </c>
      <c r="F611" s="3">
        <v>45852.643587962957</v>
      </c>
      <c r="G611" s="4">
        <v>45894</v>
      </c>
      <c r="H611" s="2" t="s">
        <v>21</v>
      </c>
      <c r="I611" s="2" t="s">
        <v>22</v>
      </c>
      <c r="J611" s="2">
        <v>1</v>
      </c>
      <c r="K611" s="2">
        <v>2171.9299999999998</v>
      </c>
      <c r="L611" s="2">
        <v>0</v>
      </c>
      <c r="M611" s="2">
        <v>1585.945952699087</v>
      </c>
      <c r="N611" s="2">
        <v>2068.5</v>
      </c>
      <c r="O611" s="2">
        <v>103.43</v>
      </c>
      <c r="P611" s="2">
        <v>2171.9299999999998</v>
      </c>
      <c r="Q611" s="2" t="s">
        <v>44</v>
      </c>
      <c r="R611" s="2"/>
      <c r="S611" t="str">
        <f>VLOOKUP(B611,CASOPOInvCL!$B$1:$D$1600,1,FALSE)</f>
        <v>SO17491</v>
      </c>
      <c r="T611">
        <f t="shared" si="9"/>
        <v>7</v>
      </c>
    </row>
    <row r="612" spans="1:20" x14ac:dyDescent="0.25">
      <c r="A612" s="2">
        <v>2</v>
      </c>
      <c r="B612" s="2" t="s">
        <v>1056</v>
      </c>
      <c r="C612" s="2" t="s">
        <v>1057</v>
      </c>
      <c r="D612" s="2" t="s">
        <v>77</v>
      </c>
      <c r="E612" s="3">
        <v>45849.710625</v>
      </c>
      <c r="F612" s="3">
        <v>45849.709409722222</v>
      </c>
      <c r="G612" s="4">
        <v>45958</v>
      </c>
      <c r="H612" s="2" t="s">
        <v>36</v>
      </c>
      <c r="I612" s="2" t="s">
        <v>22</v>
      </c>
      <c r="J612" s="2">
        <v>1</v>
      </c>
      <c r="K612" s="2">
        <v>3317.66</v>
      </c>
      <c r="L612" s="2">
        <v>0</v>
      </c>
      <c r="M612" s="2">
        <v>2424.9708963207868</v>
      </c>
      <c r="N612" s="2">
        <v>3159.68</v>
      </c>
      <c r="O612" s="2">
        <v>157.97999999999999</v>
      </c>
      <c r="P612" s="2">
        <v>3317.66</v>
      </c>
      <c r="Q612" s="2" t="s">
        <v>44</v>
      </c>
      <c r="R612" s="2"/>
      <c r="S612" t="str">
        <f>VLOOKUP(B612,CASOPOInvCL!$B$1:$D$1600,1,FALSE)</f>
        <v>SO17494</v>
      </c>
      <c r="T612">
        <f t="shared" si="9"/>
        <v>7</v>
      </c>
    </row>
    <row r="613" spans="1:20" x14ac:dyDescent="0.25">
      <c r="A613" s="2">
        <v>2</v>
      </c>
      <c r="B613" s="2" t="s">
        <v>1052</v>
      </c>
      <c r="C613" s="2" t="s">
        <v>1053</v>
      </c>
      <c r="D613" s="2" t="s">
        <v>129</v>
      </c>
      <c r="E613" s="3">
        <v>45849.780451388891</v>
      </c>
      <c r="F613" s="3">
        <v>45849.780335648153</v>
      </c>
      <c r="G613" s="4">
        <v>45912</v>
      </c>
      <c r="H613" s="2" t="s">
        <v>130</v>
      </c>
      <c r="I613" s="2" t="s">
        <v>51</v>
      </c>
      <c r="J613" s="2">
        <v>0.73014138500527581</v>
      </c>
      <c r="K613" s="2">
        <v>15706.54702707632</v>
      </c>
      <c r="L613" s="2">
        <v>0</v>
      </c>
      <c r="M613" s="2">
        <v>11468</v>
      </c>
      <c r="N613" s="2">
        <v>11468</v>
      </c>
      <c r="O613" s="2"/>
      <c r="P613" s="2">
        <v>11468</v>
      </c>
      <c r="Q613" s="2" t="s">
        <v>44</v>
      </c>
      <c r="R613" s="2"/>
      <c r="S613" t="str">
        <f>VLOOKUP(B613,CASOPOInvCL!$B$1:$D$1600,1,FALSE)</f>
        <v>SO17496</v>
      </c>
      <c r="T613">
        <f t="shared" si="9"/>
        <v>7</v>
      </c>
    </row>
    <row r="614" spans="1:20" ht="30" x14ac:dyDescent="0.25">
      <c r="A614" s="2">
        <v>1</v>
      </c>
      <c r="B614" s="2" t="s">
        <v>1050</v>
      </c>
      <c r="C614" s="2" t="s">
        <v>1051</v>
      </c>
      <c r="D614" s="2" t="s">
        <v>714</v>
      </c>
      <c r="E614" s="3">
        <v>45852.359965277778</v>
      </c>
      <c r="F614" s="3">
        <v>45852.361273148148</v>
      </c>
      <c r="G614" s="4">
        <v>45945</v>
      </c>
      <c r="H614" s="2" t="s">
        <v>21</v>
      </c>
      <c r="I614" s="2" t="s">
        <v>51</v>
      </c>
      <c r="J614" s="2">
        <v>0.73030448566452189</v>
      </c>
      <c r="K614" s="2">
        <v>0</v>
      </c>
      <c r="L614" s="2">
        <v>0</v>
      </c>
      <c r="M614" s="2">
        <v>0</v>
      </c>
      <c r="N614" s="2"/>
      <c r="O614" s="2"/>
      <c r="P614" s="2"/>
      <c r="Q614" s="2" t="s">
        <v>44</v>
      </c>
      <c r="R614" s="2"/>
      <c r="S614" t="str">
        <f>VLOOKUP(B614,CASOPOInvCL!$B$1:$D$1600,1,FALSE)</f>
        <v>SO17497</v>
      </c>
      <c r="T614">
        <f t="shared" si="9"/>
        <v>7</v>
      </c>
    </row>
    <row r="615" spans="1:20" x14ac:dyDescent="0.25">
      <c r="A615" s="2">
        <v>2</v>
      </c>
      <c r="B615" s="2" t="s">
        <v>999</v>
      </c>
      <c r="C615" s="2" t="s">
        <v>1000</v>
      </c>
      <c r="D615" s="2" t="s">
        <v>684</v>
      </c>
      <c r="E615" s="3">
        <v>45852.793414351851</v>
      </c>
      <c r="F615" s="3">
        <v>45856.597650462973</v>
      </c>
      <c r="G615" s="4">
        <v>45881</v>
      </c>
      <c r="H615" s="2" t="s">
        <v>36</v>
      </c>
      <c r="I615" s="2" t="s">
        <v>22</v>
      </c>
      <c r="J615" s="2">
        <v>1</v>
      </c>
      <c r="K615" s="2">
        <v>3957.98</v>
      </c>
      <c r="L615" s="2">
        <v>0</v>
      </c>
      <c r="M615" s="2">
        <v>2886.151089328157</v>
      </c>
      <c r="N615" s="2">
        <v>3769.5</v>
      </c>
      <c r="O615" s="2">
        <v>188.48</v>
      </c>
      <c r="P615" s="2">
        <v>3957.98</v>
      </c>
      <c r="Q615" s="2" t="s">
        <v>44</v>
      </c>
      <c r="R615" s="2"/>
      <c r="S615" t="str">
        <f>VLOOKUP(B615,CASOPOInvCL!$B$1:$D$1600,1,FALSE)</f>
        <v>SO17506</v>
      </c>
      <c r="T615">
        <f t="shared" si="9"/>
        <v>7</v>
      </c>
    </row>
    <row r="616" spans="1:20" x14ac:dyDescent="0.25">
      <c r="A616" s="2">
        <v>1</v>
      </c>
      <c r="B616" s="2" t="s">
        <v>1019</v>
      </c>
      <c r="C616" s="2" t="s">
        <v>1020</v>
      </c>
      <c r="D616" s="2" t="s">
        <v>98</v>
      </c>
      <c r="E616" s="3">
        <v>45853.377106481479</v>
      </c>
      <c r="F616" s="3">
        <v>45854.618645833332</v>
      </c>
      <c r="G616" s="4">
        <v>45874</v>
      </c>
      <c r="H616" s="2" t="s">
        <v>40</v>
      </c>
      <c r="I616" s="2" t="s">
        <v>22</v>
      </c>
      <c r="J616" s="2">
        <v>1</v>
      </c>
      <c r="K616" s="2">
        <v>2081.71</v>
      </c>
      <c r="L616" s="2">
        <v>2081.71</v>
      </c>
      <c r="M616" s="2">
        <v>2081.71</v>
      </c>
      <c r="N616" s="2">
        <v>1842.22</v>
      </c>
      <c r="O616" s="2">
        <v>239.49</v>
      </c>
      <c r="P616" s="2">
        <v>2081.71</v>
      </c>
      <c r="Q616" s="2" t="s">
        <v>44</v>
      </c>
      <c r="R616" s="2"/>
      <c r="S616" t="str">
        <f>VLOOKUP(B616,CASOPOInvCL!$B$1:$D$1600,1,FALSE)</f>
        <v>SO17507</v>
      </c>
      <c r="T616">
        <f t="shared" si="9"/>
        <v>7</v>
      </c>
    </row>
    <row r="617" spans="1:20" x14ac:dyDescent="0.25">
      <c r="A617" s="2">
        <v>3</v>
      </c>
      <c r="B617" s="2" t="s">
        <v>1033</v>
      </c>
      <c r="C617" s="2" t="s">
        <v>1034</v>
      </c>
      <c r="D617" s="2" t="s">
        <v>109</v>
      </c>
      <c r="E617" s="3">
        <v>45853.504062499997</v>
      </c>
      <c r="F617" s="3">
        <v>45853.511053240742</v>
      </c>
      <c r="G617" s="4">
        <v>45979</v>
      </c>
      <c r="H617" s="2" t="s">
        <v>21</v>
      </c>
      <c r="I617" s="2" t="s">
        <v>51</v>
      </c>
      <c r="J617" s="2">
        <v>0.73022664145869165</v>
      </c>
      <c r="K617" s="2">
        <v>29253.178105538071</v>
      </c>
      <c r="L617" s="2">
        <v>0</v>
      </c>
      <c r="M617" s="2">
        <v>21361.45</v>
      </c>
      <c r="N617" s="2">
        <v>21361.45</v>
      </c>
      <c r="O617" s="2"/>
      <c r="P617" s="2">
        <v>21361.45</v>
      </c>
      <c r="Q617" s="2" t="s">
        <v>44</v>
      </c>
      <c r="R617" s="2"/>
      <c r="S617" t="str">
        <f>VLOOKUP(B617,CASOPOInvCL!$B$1:$D$1600,1,FALSE)</f>
        <v>SO17509</v>
      </c>
      <c r="T617">
        <f t="shared" si="9"/>
        <v>7</v>
      </c>
    </row>
    <row r="618" spans="1:20" x14ac:dyDescent="0.25">
      <c r="A618" s="2">
        <v>1</v>
      </c>
      <c r="B618" s="2" t="s">
        <v>1029</v>
      </c>
      <c r="C618" s="2" t="s">
        <v>1030</v>
      </c>
      <c r="D618" s="2" t="s">
        <v>129</v>
      </c>
      <c r="E618" s="3">
        <v>45853.734942129631</v>
      </c>
      <c r="F618" s="3">
        <v>45853.734166666669</v>
      </c>
      <c r="G618" s="4">
        <v>45873</v>
      </c>
      <c r="H618" s="2" t="s">
        <v>130</v>
      </c>
      <c r="I618" s="2" t="s">
        <v>51</v>
      </c>
      <c r="J618" s="2">
        <v>0.73022664145869165</v>
      </c>
      <c r="K618" s="2">
        <v>1684.408552313248</v>
      </c>
      <c r="L618" s="2">
        <v>0</v>
      </c>
      <c r="M618" s="2">
        <v>1230</v>
      </c>
      <c r="N618" s="2">
        <v>1230</v>
      </c>
      <c r="O618" s="2"/>
      <c r="P618" s="2">
        <v>1230</v>
      </c>
      <c r="Q618" s="2" t="s">
        <v>44</v>
      </c>
      <c r="R618" s="2"/>
      <c r="S618" t="str">
        <f>VLOOKUP(B618,CASOPOInvCL!$B$1:$D$1600,1,FALSE)</f>
        <v>SO17512</v>
      </c>
      <c r="T618">
        <f t="shared" si="9"/>
        <v>7</v>
      </c>
    </row>
    <row r="619" spans="1:20" x14ac:dyDescent="0.25">
      <c r="A619" s="2">
        <v>1</v>
      </c>
      <c r="B619" s="2" t="s">
        <v>1027</v>
      </c>
      <c r="C619" s="2" t="s">
        <v>1028</v>
      </c>
      <c r="D619" s="2" t="s">
        <v>129</v>
      </c>
      <c r="E619" s="3">
        <v>45853.802662037036</v>
      </c>
      <c r="F619" s="3">
        <v>45853.802233796298</v>
      </c>
      <c r="G619" s="4">
        <v>45877</v>
      </c>
      <c r="H619" s="2" t="s">
        <v>130</v>
      </c>
      <c r="I619" s="2" t="s">
        <v>51</v>
      </c>
      <c r="J619" s="2">
        <v>0.73022664145869165</v>
      </c>
      <c r="K619" s="2">
        <v>7029.3244707511394</v>
      </c>
      <c r="L619" s="2">
        <v>0</v>
      </c>
      <c r="M619" s="2">
        <v>5133</v>
      </c>
      <c r="N619" s="2">
        <v>5133</v>
      </c>
      <c r="O619" s="2"/>
      <c r="P619" s="2">
        <v>5133</v>
      </c>
      <c r="Q619" s="2" t="s">
        <v>44</v>
      </c>
      <c r="R619" s="2"/>
      <c r="S619" t="str">
        <f>VLOOKUP(B619,CASOPOInvCL!$B$1:$D$1600,1,FALSE)</f>
        <v>SO17513</v>
      </c>
      <c r="T619">
        <f t="shared" si="9"/>
        <v>7</v>
      </c>
    </row>
    <row r="620" spans="1:20" x14ac:dyDescent="0.25">
      <c r="A620" s="2">
        <v>1</v>
      </c>
      <c r="B620" s="2" t="s">
        <v>948</v>
      </c>
      <c r="C620" s="2" t="s">
        <v>949</v>
      </c>
      <c r="D620" s="2" t="s">
        <v>92</v>
      </c>
      <c r="E620" s="3">
        <v>45854.372673611113</v>
      </c>
      <c r="F620" s="3">
        <v>45863.374988425923</v>
      </c>
      <c r="G620" s="4">
        <v>45874</v>
      </c>
      <c r="H620" s="2" t="s">
        <v>21</v>
      </c>
      <c r="I620" s="2" t="s">
        <v>22</v>
      </c>
      <c r="J620" s="2">
        <v>1</v>
      </c>
      <c r="K620" s="2">
        <v>8966.09</v>
      </c>
      <c r="L620" s="2">
        <v>0</v>
      </c>
      <c r="M620" s="2">
        <v>6537.5144387032487</v>
      </c>
      <c r="N620" s="2">
        <v>7934.6</v>
      </c>
      <c r="O620" s="2">
        <v>1031.49</v>
      </c>
      <c r="P620" s="2">
        <v>8966.09</v>
      </c>
      <c r="Q620" s="2" t="s">
        <v>44</v>
      </c>
      <c r="R620" s="2"/>
      <c r="S620" t="str">
        <f>VLOOKUP(B620,CASOPOInvCL!$B$1:$D$1600,1,FALSE)</f>
        <v>SO17515</v>
      </c>
      <c r="T620">
        <f t="shared" si="9"/>
        <v>7</v>
      </c>
    </row>
    <row r="621" spans="1:20" ht="30" x14ac:dyDescent="0.25">
      <c r="A621" s="2">
        <v>1</v>
      </c>
      <c r="B621" s="2" t="s">
        <v>845</v>
      </c>
      <c r="C621" s="2" t="s">
        <v>846</v>
      </c>
      <c r="D621" s="2" t="s">
        <v>818</v>
      </c>
      <c r="E621" s="3">
        <v>45854.436018518521</v>
      </c>
      <c r="F621" s="3">
        <v>45883.381412037037</v>
      </c>
      <c r="G621" s="2"/>
      <c r="H621" s="2" t="s">
        <v>40</v>
      </c>
      <c r="I621" s="2" t="s">
        <v>22</v>
      </c>
      <c r="J621" s="2">
        <v>1</v>
      </c>
      <c r="K621" s="2">
        <v>813.49</v>
      </c>
      <c r="L621" s="2">
        <v>0</v>
      </c>
      <c r="M621" s="2">
        <v>589.18543519829393</v>
      </c>
      <c r="N621" s="2">
        <v>774.75</v>
      </c>
      <c r="O621" s="2">
        <v>38.74</v>
      </c>
      <c r="P621" s="2">
        <v>813.49</v>
      </c>
      <c r="Q621" s="2" t="s">
        <v>44</v>
      </c>
      <c r="R621" s="2"/>
      <c r="S621" t="str">
        <f>VLOOKUP(B621,CASOPOInvCL!$B$1:$D$1600,1,FALSE)</f>
        <v>SO17516</v>
      </c>
      <c r="T621">
        <f t="shared" si="9"/>
        <v>7</v>
      </c>
    </row>
    <row r="622" spans="1:20" x14ac:dyDescent="0.25">
      <c r="A622" s="2">
        <v>1</v>
      </c>
      <c r="B622" s="2" t="s">
        <v>1025</v>
      </c>
      <c r="C622" s="2" t="s">
        <v>1026</v>
      </c>
      <c r="D622" s="2" t="s">
        <v>129</v>
      </c>
      <c r="E622" s="3">
        <v>45854.450173611112</v>
      </c>
      <c r="F622" s="3">
        <v>45854.450219907398</v>
      </c>
      <c r="G622" s="4">
        <v>45884</v>
      </c>
      <c r="H622" s="2" t="s">
        <v>130</v>
      </c>
      <c r="I622" s="2" t="s">
        <v>51</v>
      </c>
      <c r="J622" s="2">
        <v>0.73020122780158092</v>
      </c>
      <c r="K622" s="2">
        <v>3971.5079755905631</v>
      </c>
      <c r="L622" s="2">
        <v>0</v>
      </c>
      <c r="M622" s="2">
        <v>2900</v>
      </c>
      <c r="N622" s="2">
        <v>2900</v>
      </c>
      <c r="O622" s="2"/>
      <c r="P622" s="2">
        <v>2900</v>
      </c>
      <c r="Q622" s="2" t="s">
        <v>44</v>
      </c>
      <c r="R622" s="2"/>
      <c r="S622" t="str">
        <f>VLOOKUP(B622,CASOPOInvCL!$B$1:$D$1600,1,FALSE)</f>
        <v>SO17518</v>
      </c>
      <c r="T622">
        <f t="shared" si="9"/>
        <v>7</v>
      </c>
    </row>
    <row r="623" spans="1:20" x14ac:dyDescent="0.25">
      <c r="A623" s="2">
        <v>1</v>
      </c>
      <c r="B623" s="2" t="s">
        <v>1023</v>
      </c>
      <c r="C623" s="2" t="s">
        <v>1024</v>
      </c>
      <c r="D623" s="2" t="s">
        <v>556</v>
      </c>
      <c r="E623" s="3">
        <v>45854.519317129627</v>
      </c>
      <c r="F623" s="3">
        <v>45854.517511574071</v>
      </c>
      <c r="G623" s="4">
        <v>45862</v>
      </c>
      <c r="H623" s="2" t="s">
        <v>36</v>
      </c>
      <c r="I623" s="2" t="s">
        <v>22</v>
      </c>
      <c r="J623" s="2">
        <v>1</v>
      </c>
      <c r="K623" s="2">
        <v>129.44999999999999</v>
      </c>
      <c r="L623" s="2">
        <v>129.44999999999999</v>
      </c>
      <c r="M623" s="2">
        <v>129.44999999999999</v>
      </c>
      <c r="N623" s="2">
        <v>114.56</v>
      </c>
      <c r="O623" s="2">
        <v>14.89</v>
      </c>
      <c r="P623" s="2">
        <v>129.44999999999999</v>
      </c>
      <c r="Q623" s="2" t="s">
        <v>44</v>
      </c>
      <c r="R623" s="2"/>
      <c r="S623" t="str">
        <f>VLOOKUP(B623,CASOPOInvCL!$B$1:$D$1600,1,FALSE)</f>
        <v>SO17519</v>
      </c>
      <c r="T623">
        <f t="shared" si="9"/>
        <v>7</v>
      </c>
    </row>
    <row r="624" spans="1:20" x14ac:dyDescent="0.25">
      <c r="A624" s="2">
        <v>1</v>
      </c>
      <c r="B624" s="2" t="s">
        <v>1003</v>
      </c>
      <c r="C624" s="2" t="s">
        <v>1004</v>
      </c>
      <c r="D624" s="2" t="s">
        <v>146</v>
      </c>
      <c r="E624" s="3">
        <v>45854.53733796296</v>
      </c>
      <c r="F624" s="3">
        <v>45855.740624999999</v>
      </c>
      <c r="G624" s="4">
        <v>45862</v>
      </c>
      <c r="H624" s="2" t="s">
        <v>21</v>
      </c>
      <c r="I624" s="2" t="s">
        <v>22</v>
      </c>
      <c r="J624" s="2">
        <v>1</v>
      </c>
      <c r="K624" s="2">
        <v>1271.0999999999999</v>
      </c>
      <c r="L624" s="2">
        <v>0</v>
      </c>
      <c r="M624" s="2">
        <v>924.4701059745945</v>
      </c>
      <c r="N624" s="2">
        <v>1210.56</v>
      </c>
      <c r="O624" s="2">
        <v>60.54</v>
      </c>
      <c r="P624" s="2">
        <v>1271.0999999999999</v>
      </c>
      <c r="Q624" s="2" t="s">
        <v>44</v>
      </c>
      <c r="R624" s="2"/>
      <c r="S624" t="str">
        <f>VLOOKUP(B624,CASOPOInvCL!$B$1:$D$1600,1,FALSE)</f>
        <v>SO17520</v>
      </c>
      <c r="T624">
        <f t="shared" si="9"/>
        <v>7</v>
      </c>
    </row>
    <row r="625" spans="1:20" x14ac:dyDescent="0.25">
      <c r="A625" s="2">
        <v>1</v>
      </c>
      <c r="B625" s="2" t="s">
        <v>1015</v>
      </c>
      <c r="C625" s="2" t="s">
        <v>1016</v>
      </c>
      <c r="D625" s="2" t="s">
        <v>54</v>
      </c>
      <c r="E625" s="3">
        <v>45854.582175925927</v>
      </c>
      <c r="F625" s="3">
        <v>45854.651875000003</v>
      </c>
      <c r="G625" s="4">
        <v>45855</v>
      </c>
      <c r="H625" s="2" t="s">
        <v>21</v>
      </c>
      <c r="I625" s="2" t="s">
        <v>22</v>
      </c>
      <c r="J625" s="2">
        <v>1</v>
      </c>
      <c r="K625" s="2">
        <v>1364.75</v>
      </c>
      <c r="L625" s="2">
        <v>1364.75</v>
      </c>
      <c r="M625" s="2">
        <v>1364.75</v>
      </c>
      <c r="N625" s="2">
        <v>1299.76</v>
      </c>
      <c r="O625" s="2">
        <v>64.989999999999995</v>
      </c>
      <c r="P625" s="2">
        <v>1364.75</v>
      </c>
      <c r="Q625" s="2" t="s">
        <v>44</v>
      </c>
      <c r="R625" s="2"/>
      <c r="S625" t="str">
        <f>VLOOKUP(B625,CASOPOInvCL!$B$1:$D$1600,1,FALSE)</f>
        <v>SO17521</v>
      </c>
      <c r="T625">
        <f t="shared" si="9"/>
        <v>7</v>
      </c>
    </row>
    <row r="626" spans="1:20" x14ac:dyDescent="0.25">
      <c r="A626" s="2">
        <v>1</v>
      </c>
      <c r="B626" s="2" t="s">
        <v>1021</v>
      </c>
      <c r="C626" s="2" t="s">
        <v>1022</v>
      </c>
      <c r="D626" s="2" t="s">
        <v>80</v>
      </c>
      <c r="E626" s="3">
        <v>45854.617523148147</v>
      </c>
      <c r="F626" s="3">
        <v>45854.616967592592</v>
      </c>
      <c r="G626" s="4">
        <v>45854</v>
      </c>
      <c r="H626" s="2" t="s">
        <v>36</v>
      </c>
      <c r="I626" s="2" t="s">
        <v>22</v>
      </c>
      <c r="J626" s="2">
        <v>1</v>
      </c>
      <c r="K626" s="2">
        <v>1069.4000000000001</v>
      </c>
      <c r="L626" s="2">
        <v>1069.4000000000001</v>
      </c>
      <c r="M626" s="2">
        <v>1069.4000000000001</v>
      </c>
      <c r="N626" s="2">
        <v>1018.48</v>
      </c>
      <c r="O626" s="2">
        <v>50.92</v>
      </c>
      <c r="P626" s="2">
        <v>1069.4000000000001</v>
      </c>
      <c r="Q626" s="2" t="s">
        <v>44</v>
      </c>
      <c r="R626" s="2"/>
      <c r="S626" t="str">
        <f>VLOOKUP(B626,CASOPOInvCL!$B$1:$D$1600,1,FALSE)</f>
        <v>SO17522</v>
      </c>
      <c r="T626">
        <f t="shared" si="9"/>
        <v>7</v>
      </c>
    </row>
    <row r="627" spans="1:20" ht="30" x14ac:dyDescent="0.25">
      <c r="A627" s="2">
        <v>1</v>
      </c>
      <c r="B627" s="2" t="s">
        <v>1017</v>
      </c>
      <c r="C627" s="2" t="s">
        <v>1018</v>
      </c>
      <c r="D627" s="2" t="s">
        <v>159</v>
      </c>
      <c r="E627" s="3">
        <v>45854.637928240743</v>
      </c>
      <c r="F627" s="3">
        <v>45854.637928240743</v>
      </c>
      <c r="G627" s="4">
        <v>45865</v>
      </c>
      <c r="H627" s="2" t="s">
        <v>40</v>
      </c>
      <c r="I627" s="2" t="s">
        <v>51</v>
      </c>
      <c r="J627" s="2">
        <v>0.73020122780158092</v>
      </c>
      <c r="K627" s="2">
        <v>15081.43177621778</v>
      </c>
      <c r="L627" s="2">
        <v>0</v>
      </c>
      <c r="M627" s="2">
        <v>11012.48</v>
      </c>
      <c r="N627" s="2">
        <v>11012.48</v>
      </c>
      <c r="O627" s="2"/>
      <c r="P627" s="2">
        <v>11012.48</v>
      </c>
      <c r="Q627" s="2" t="s">
        <v>44</v>
      </c>
      <c r="R627" s="2"/>
      <c r="S627" t="str">
        <f>VLOOKUP(B627,CASOPOInvCL!$B$1:$D$1600,1,FALSE)</f>
        <v>SO17523</v>
      </c>
      <c r="T627">
        <f t="shared" si="9"/>
        <v>7</v>
      </c>
    </row>
    <row r="628" spans="1:20" x14ac:dyDescent="0.25">
      <c r="A628" s="2">
        <v>1</v>
      </c>
      <c r="B628" s="2" t="s">
        <v>1013</v>
      </c>
      <c r="C628" s="2" t="s">
        <v>1014</v>
      </c>
      <c r="D628" s="2" t="s">
        <v>54</v>
      </c>
      <c r="E628" s="3">
        <v>45854.655416666668</v>
      </c>
      <c r="F628" s="3">
        <v>45854.666388888887</v>
      </c>
      <c r="G628" s="4">
        <v>45973</v>
      </c>
      <c r="H628" s="2" t="s">
        <v>21</v>
      </c>
      <c r="I628" s="2" t="s">
        <v>22</v>
      </c>
      <c r="J628" s="2">
        <v>1</v>
      </c>
      <c r="K628" s="2">
        <v>1364.75</v>
      </c>
      <c r="L628" s="2">
        <v>1364.75</v>
      </c>
      <c r="M628" s="2">
        <v>1364.75</v>
      </c>
      <c r="N628" s="2">
        <v>1299.76</v>
      </c>
      <c r="O628" s="2">
        <v>64.989999999999995</v>
      </c>
      <c r="P628" s="2">
        <v>1364.75</v>
      </c>
      <c r="Q628" s="2" t="s">
        <v>44</v>
      </c>
      <c r="R628" s="2"/>
      <c r="S628" t="str">
        <f>VLOOKUP(B628,CASOPOInvCL!$B$1:$D$1600,1,FALSE)</f>
        <v>SO17524</v>
      </c>
      <c r="T628">
        <f t="shared" si="9"/>
        <v>7</v>
      </c>
    </row>
    <row r="629" spans="1:20" ht="30" x14ac:dyDescent="0.25">
      <c r="A629" s="2">
        <v>1</v>
      </c>
      <c r="B629" s="2" t="s">
        <v>904</v>
      </c>
      <c r="C629" s="2" t="s">
        <v>905</v>
      </c>
      <c r="D629" s="2" t="s">
        <v>201</v>
      </c>
      <c r="E629" s="3">
        <v>45854.731724537043</v>
      </c>
      <c r="F629" s="3">
        <v>45870.711134259262</v>
      </c>
      <c r="G629" s="4">
        <v>45877</v>
      </c>
      <c r="H629" s="2" t="s">
        <v>36</v>
      </c>
      <c r="I629" s="2" t="s">
        <v>22</v>
      </c>
      <c r="J629" s="2">
        <v>1</v>
      </c>
      <c r="K629" s="2">
        <v>312.77</v>
      </c>
      <c r="L629" s="2">
        <v>312.77</v>
      </c>
      <c r="M629" s="2">
        <v>312.77</v>
      </c>
      <c r="N629" s="2">
        <v>297.88</v>
      </c>
      <c r="O629" s="2">
        <v>14.89</v>
      </c>
      <c r="P629" s="2">
        <v>312.77</v>
      </c>
      <c r="Q629" s="2" t="s">
        <v>44</v>
      </c>
      <c r="R629" s="2"/>
      <c r="S629" t="str">
        <f>VLOOKUP(B629,CASOPOInvCL!$B$1:$D$1600,1,FALSE)</f>
        <v>SO17525</v>
      </c>
      <c r="T629">
        <f t="shared" si="9"/>
        <v>7</v>
      </c>
    </row>
    <row r="630" spans="1:20" x14ac:dyDescent="0.25">
      <c r="A630" s="2">
        <v>2</v>
      </c>
      <c r="B630" s="2" t="s">
        <v>965</v>
      </c>
      <c r="C630" s="2" t="s">
        <v>966</v>
      </c>
      <c r="D630" s="2" t="s">
        <v>146</v>
      </c>
      <c r="E630" s="3">
        <v>45855.406944444447</v>
      </c>
      <c r="F630" s="3">
        <v>45861.508449074077</v>
      </c>
      <c r="G630" s="4">
        <v>45868</v>
      </c>
      <c r="H630" s="2" t="s">
        <v>40</v>
      </c>
      <c r="I630" s="2" t="s">
        <v>22</v>
      </c>
      <c r="J630" s="2">
        <v>1</v>
      </c>
      <c r="K630" s="2">
        <v>381.48</v>
      </c>
      <c r="L630" s="2">
        <v>0</v>
      </c>
      <c r="M630" s="2">
        <v>280.29058459556973</v>
      </c>
      <c r="N630" s="2">
        <v>363.32</v>
      </c>
      <c r="O630" s="2">
        <v>18.16</v>
      </c>
      <c r="P630" s="2">
        <v>381.48</v>
      </c>
      <c r="Q630" s="2" t="s">
        <v>44</v>
      </c>
      <c r="R630" s="2"/>
      <c r="S630" t="str">
        <f>VLOOKUP(B630,CASOPOInvCL!$B$1:$D$1600,1,FALSE)</f>
        <v>SO17529</v>
      </c>
      <c r="T630">
        <f t="shared" si="9"/>
        <v>7</v>
      </c>
    </row>
    <row r="631" spans="1:20" x14ac:dyDescent="0.25">
      <c r="A631" s="2">
        <v>1</v>
      </c>
      <c r="B631" s="2" t="s">
        <v>971</v>
      </c>
      <c r="C631" s="2" t="s">
        <v>972</v>
      </c>
      <c r="D631" s="2" t="s">
        <v>20</v>
      </c>
      <c r="E631" s="3">
        <v>45855.434606481482</v>
      </c>
      <c r="F631" s="3">
        <v>45860.676944444444</v>
      </c>
      <c r="G631" s="4">
        <v>45937</v>
      </c>
      <c r="H631" s="2" t="s">
        <v>21</v>
      </c>
      <c r="I631" s="2" t="s">
        <v>22</v>
      </c>
      <c r="J631" s="2">
        <v>1</v>
      </c>
      <c r="K631" s="2">
        <v>3358.67</v>
      </c>
      <c r="L631" s="2">
        <v>3358.67</v>
      </c>
      <c r="M631" s="2">
        <v>3358.67</v>
      </c>
      <c r="N631" s="2">
        <v>3198.73</v>
      </c>
      <c r="O631" s="2">
        <v>159.94</v>
      </c>
      <c r="P631" s="2">
        <v>3358.67</v>
      </c>
      <c r="Q631" s="2" t="s">
        <v>44</v>
      </c>
      <c r="R631" s="2"/>
      <c r="S631" t="str">
        <f>VLOOKUP(B631,CASOPOInvCL!$B$1:$D$1600,1,FALSE)</f>
        <v>SO17530</v>
      </c>
      <c r="T631">
        <f t="shared" si="9"/>
        <v>7</v>
      </c>
    </row>
    <row r="632" spans="1:20" x14ac:dyDescent="0.25">
      <c r="A632" s="2">
        <v>2</v>
      </c>
      <c r="B632" s="2" t="s">
        <v>1009</v>
      </c>
      <c r="C632" s="2" t="s">
        <v>1010</v>
      </c>
      <c r="D632" s="2" t="s">
        <v>77</v>
      </c>
      <c r="E632" s="3">
        <v>45855.498680555553</v>
      </c>
      <c r="F632" s="3">
        <v>45855.512326388889</v>
      </c>
      <c r="G632" s="4">
        <v>45868</v>
      </c>
      <c r="H632" s="2" t="s">
        <v>40</v>
      </c>
      <c r="I632" s="2" t="s">
        <v>22</v>
      </c>
      <c r="J632" s="2">
        <v>1</v>
      </c>
      <c r="K632" s="2">
        <v>1669.33</v>
      </c>
      <c r="L632" s="2">
        <v>0</v>
      </c>
      <c r="M632" s="2">
        <v>1214.102495481528</v>
      </c>
      <c r="N632" s="2">
        <v>1589.84</v>
      </c>
      <c r="O632" s="2">
        <v>79.489999999999995</v>
      </c>
      <c r="P632" s="2">
        <v>1669.33</v>
      </c>
      <c r="Q632" s="2" t="s">
        <v>44</v>
      </c>
      <c r="R632" s="2"/>
      <c r="S632" t="str">
        <f>VLOOKUP(B632,CASOPOInvCL!$B$1:$D$1600,1,FALSE)</f>
        <v>SO17531</v>
      </c>
      <c r="T632">
        <f t="shared" si="9"/>
        <v>7</v>
      </c>
    </row>
    <row r="633" spans="1:20" x14ac:dyDescent="0.25">
      <c r="A633" s="2">
        <v>2</v>
      </c>
      <c r="B633" s="2" t="s">
        <v>987</v>
      </c>
      <c r="C633" s="2" t="s">
        <v>988</v>
      </c>
      <c r="D633" s="2" t="s">
        <v>54</v>
      </c>
      <c r="E633" s="3">
        <v>45855.543726851851</v>
      </c>
      <c r="F633" s="3">
        <v>45859.483402777783</v>
      </c>
      <c r="G633" s="4">
        <v>45943</v>
      </c>
      <c r="H633" s="2" t="s">
        <v>21</v>
      </c>
      <c r="I633" s="2" t="s">
        <v>22</v>
      </c>
      <c r="J633" s="2">
        <v>1</v>
      </c>
      <c r="K633" s="2">
        <v>25775.86</v>
      </c>
      <c r="L633" s="2">
        <v>0</v>
      </c>
      <c r="M633" s="2">
        <v>18828.91720735679</v>
      </c>
      <c r="N633" s="2">
        <v>24548.44</v>
      </c>
      <c r="O633" s="2">
        <v>1227.42</v>
      </c>
      <c r="P633" s="2">
        <v>25775.86</v>
      </c>
      <c r="Q633" s="2" t="s">
        <v>44</v>
      </c>
      <c r="R633" s="2"/>
      <c r="S633" t="str">
        <f>VLOOKUP(B633,CASOPOInvCL!$B$1:$D$1600,1,FALSE)</f>
        <v>SO17532</v>
      </c>
      <c r="T633">
        <f t="shared" si="9"/>
        <v>7</v>
      </c>
    </row>
    <row r="634" spans="1:20" x14ac:dyDescent="0.25">
      <c r="A634" s="2">
        <v>2</v>
      </c>
      <c r="B634" s="2" t="s">
        <v>867</v>
      </c>
      <c r="C634" s="2" t="s">
        <v>868</v>
      </c>
      <c r="D634" s="2" t="s">
        <v>869</v>
      </c>
      <c r="E634" s="3">
        <v>45855.661053240743</v>
      </c>
      <c r="F634" s="3">
        <v>45880.557106481479</v>
      </c>
      <c r="G634" s="4">
        <v>45985</v>
      </c>
      <c r="H634" s="2" t="s">
        <v>21</v>
      </c>
      <c r="I634" s="2" t="s">
        <v>51</v>
      </c>
      <c r="J634" s="2">
        <v>0.72687673995949531</v>
      </c>
      <c r="K634" s="2">
        <v>3595.2725631936241</v>
      </c>
      <c r="L634" s="2">
        <v>0</v>
      </c>
      <c r="M634" s="2">
        <v>2613.3200000000002</v>
      </c>
      <c r="N634" s="2">
        <v>2613.3200000000002</v>
      </c>
      <c r="O634" s="2"/>
      <c r="P634" s="2">
        <v>2613.3200000000002</v>
      </c>
      <c r="Q634" s="2" t="s">
        <v>44</v>
      </c>
      <c r="R634" s="2"/>
      <c r="S634" t="str">
        <f>VLOOKUP(B634,CASOPOInvCL!$B$1:$D$1600,1,FALSE)</f>
        <v>SO17535</v>
      </c>
      <c r="T634">
        <f t="shared" si="9"/>
        <v>7</v>
      </c>
    </row>
    <row r="635" spans="1:20" x14ac:dyDescent="0.25">
      <c r="A635" s="2">
        <v>2</v>
      </c>
      <c r="B635" s="2" t="s">
        <v>995</v>
      </c>
      <c r="C635" s="2" t="s">
        <v>996</v>
      </c>
      <c r="D635" s="2" t="s">
        <v>95</v>
      </c>
      <c r="E635" s="3">
        <v>45855.700381944444</v>
      </c>
      <c r="F635" s="3">
        <v>45856.693541666667</v>
      </c>
      <c r="G635" s="4">
        <v>45947</v>
      </c>
      <c r="H635" s="2" t="s">
        <v>21</v>
      </c>
      <c r="I635" s="2" t="s">
        <v>22</v>
      </c>
      <c r="J635" s="2">
        <v>1</v>
      </c>
      <c r="K635" s="2">
        <v>7733.66</v>
      </c>
      <c r="L635" s="2">
        <v>0</v>
      </c>
      <c r="M635" s="2">
        <v>5639.3693837496876</v>
      </c>
      <c r="N635" s="2">
        <v>7365.39</v>
      </c>
      <c r="O635" s="2">
        <v>368.27</v>
      </c>
      <c r="P635" s="2">
        <v>7733.66</v>
      </c>
      <c r="Q635" s="2" t="s">
        <v>44</v>
      </c>
      <c r="R635" s="2"/>
      <c r="S635" t="str">
        <f>VLOOKUP(B635,CASOPOInvCL!$B$1:$D$1600,1,FALSE)</f>
        <v>SO17536</v>
      </c>
      <c r="T635">
        <f t="shared" si="9"/>
        <v>7</v>
      </c>
    </row>
    <row r="636" spans="1:20" ht="30" x14ac:dyDescent="0.25">
      <c r="A636" s="2">
        <v>1</v>
      </c>
      <c r="B636" s="2" t="s">
        <v>199</v>
      </c>
      <c r="C636" s="2" t="s">
        <v>200</v>
      </c>
      <c r="D636" s="2" t="s">
        <v>201</v>
      </c>
      <c r="E636" s="3">
        <v>45855.788530092592</v>
      </c>
      <c r="F636" s="3">
        <v>45974.463009259263</v>
      </c>
      <c r="G636" s="4">
        <v>45981</v>
      </c>
      <c r="H636" s="2" t="s">
        <v>36</v>
      </c>
      <c r="I636" s="2" t="s">
        <v>22</v>
      </c>
      <c r="J636" s="2">
        <v>1</v>
      </c>
      <c r="K636" s="2">
        <v>13321.62</v>
      </c>
      <c r="L636" s="2">
        <v>0</v>
      </c>
      <c r="M636" s="2">
        <v>9507.56199106844</v>
      </c>
      <c r="N636" s="2">
        <v>12687.26</v>
      </c>
      <c r="O636" s="2">
        <v>634.36</v>
      </c>
      <c r="P636" s="2">
        <v>13321.62</v>
      </c>
      <c r="Q636" s="2" t="s">
        <v>44</v>
      </c>
      <c r="R636" s="2"/>
      <c r="S636" t="str">
        <f>VLOOKUP(B636,CASOPOInvCL!$B$1:$D$1600,1,FALSE)</f>
        <v>SO17539</v>
      </c>
      <c r="T636">
        <f t="shared" si="9"/>
        <v>7</v>
      </c>
    </row>
    <row r="637" spans="1:20" x14ac:dyDescent="0.25">
      <c r="A637" s="2">
        <v>1</v>
      </c>
      <c r="B637" s="2" t="s">
        <v>5859</v>
      </c>
      <c r="C637" s="2" t="s">
        <v>5860</v>
      </c>
      <c r="D637" s="2" t="s">
        <v>129</v>
      </c>
      <c r="E637" s="3">
        <v>45856.534039351849</v>
      </c>
      <c r="F637" s="3">
        <v>45856.531759259262</v>
      </c>
      <c r="G637" s="4">
        <v>45968</v>
      </c>
      <c r="H637" s="2" t="s">
        <v>130</v>
      </c>
      <c r="I637" s="2" t="s">
        <v>51</v>
      </c>
      <c r="J637" s="2">
        <v>0.72729927305058184</v>
      </c>
      <c r="K637" s="2">
        <v>85549.377409693567</v>
      </c>
      <c r="L637" s="2">
        <v>0</v>
      </c>
      <c r="M637" s="2">
        <v>62220</v>
      </c>
      <c r="N637" s="2">
        <v>62220</v>
      </c>
      <c r="O637" s="2"/>
      <c r="P637" s="2">
        <v>62220</v>
      </c>
      <c r="Q637" s="2" t="s">
        <v>44</v>
      </c>
      <c r="R637" s="2"/>
      <c r="S637" t="str">
        <f>VLOOKUP(B637,CASOPOInvCL!$B$1:$D$1600,1,FALSE)</f>
        <v>SO17543</v>
      </c>
      <c r="T637">
        <f t="shared" si="9"/>
        <v>7</v>
      </c>
    </row>
    <row r="638" spans="1:20" x14ac:dyDescent="0.25">
      <c r="A638" s="2">
        <v>1</v>
      </c>
      <c r="B638" s="2" t="s">
        <v>997</v>
      </c>
      <c r="C638" s="2" t="s">
        <v>998</v>
      </c>
      <c r="D638" s="2" t="s">
        <v>64</v>
      </c>
      <c r="E638" s="3">
        <v>45856.540254629632</v>
      </c>
      <c r="F638" s="3">
        <v>45856.632002314807</v>
      </c>
      <c r="G638" s="4">
        <v>45859</v>
      </c>
      <c r="H638" s="2" t="s">
        <v>21</v>
      </c>
      <c r="I638" s="2" t="s">
        <v>22</v>
      </c>
      <c r="J638" s="2">
        <v>1</v>
      </c>
      <c r="K638" s="2">
        <v>1777.65</v>
      </c>
      <c r="L638" s="2">
        <v>0</v>
      </c>
      <c r="M638" s="2">
        <v>1296.258819888983</v>
      </c>
      <c r="N638" s="2">
        <v>1573.14</v>
      </c>
      <c r="O638" s="2">
        <v>204.51</v>
      </c>
      <c r="P638" s="2">
        <v>1777.65</v>
      </c>
      <c r="Q638" s="2" t="s">
        <v>44</v>
      </c>
      <c r="R638" s="2"/>
      <c r="S638" t="str">
        <f>VLOOKUP(B638,CASOPOInvCL!$B$1:$D$1600,1,FALSE)</f>
        <v>SO17544</v>
      </c>
      <c r="T638">
        <f t="shared" si="9"/>
        <v>7</v>
      </c>
    </row>
    <row r="639" spans="1:20" x14ac:dyDescent="0.25">
      <c r="A639" s="2">
        <v>1</v>
      </c>
      <c r="B639" s="2" t="s">
        <v>977</v>
      </c>
      <c r="C639" s="2" t="s">
        <v>978</v>
      </c>
      <c r="D639" s="2" t="s">
        <v>109</v>
      </c>
      <c r="E639" s="3">
        <v>45856.686423611107</v>
      </c>
      <c r="F639" s="3">
        <v>45860.400937500002</v>
      </c>
      <c r="G639" s="4">
        <v>45861</v>
      </c>
      <c r="H639" s="2" t="s">
        <v>21</v>
      </c>
      <c r="I639" s="2" t="s">
        <v>51</v>
      </c>
      <c r="J639" s="2">
        <v>0.72860256766938125</v>
      </c>
      <c r="K639" s="2">
        <v>20421.256608515891</v>
      </c>
      <c r="L639" s="2">
        <v>0</v>
      </c>
      <c r="M639" s="2">
        <v>14878.98</v>
      </c>
      <c r="N639" s="2">
        <v>14878.98</v>
      </c>
      <c r="O639" s="2"/>
      <c r="P639" s="2">
        <v>14878.98</v>
      </c>
      <c r="Q639" s="2" t="s">
        <v>44</v>
      </c>
      <c r="R639" s="2"/>
      <c r="S639" t="str">
        <f>VLOOKUP(B639,CASOPOInvCL!$B$1:$D$1600,1,FALSE)</f>
        <v>SO17547</v>
      </c>
      <c r="T639">
        <f t="shared" si="9"/>
        <v>7</v>
      </c>
    </row>
    <row r="640" spans="1:20" x14ac:dyDescent="0.25">
      <c r="A640" s="2">
        <v>1</v>
      </c>
      <c r="B640" s="2" t="s">
        <v>993</v>
      </c>
      <c r="C640" s="2" t="s">
        <v>994</v>
      </c>
      <c r="D640" s="2" t="s">
        <v>129</v>
      </c>
      <c r="E640" s="3">
        <v>45856.741550925923</v>
      </c>
      <c r="F640" s="3">
        <v>45856.741157407407</v>
      </c>
      <c r="G640" s="4">
        <v>45889</v>
      </c>
      <c r="H640" s="2" t="s">
        <v>130</v>
      </c>
      <c r="I640" s="2" t="s">
        <v>51</v>
      </c>
      <c r="J640" s="2">
        <v>0.72729927305058184</v>
      </c>
      <c r="K640" s="2">
        <v>1223.7053342113029</v>
      </c>
      <c r="L640" s="2">
        <v>0</v>
      </c>
      <c r="M640" s="2">
        <v>890</v>
      </c>
      <c r="N640" s="2">
        <v>890</v>
      </c>
      <c r="O640" s="2"/>
      <c r="P640" s="2">
        <v>890</v>
      </c>
      <c r="Q640" s="2" t="s">
        <v>44</v>
      </c>
      <c r="R640" s="2"/>
      <c r="S640" t="str">
        <f>VLOOKUP(B640,CASOPOInvCL!$B$1:$D$1600,1,FALSE)</f>
        <v>SO17548</v>
      </c>
      <c r="T640">
        <f t="shared" si="9"/>
        <v>7</v>
      </c>
    </row>
    <row r="641" spans="1:20" x14ac:dyDescent="0.25">
      <c r="A641" s="2">
        <v>1</v>
      </c>
      <c r="B641" s="2" t="s">
        <v>991</v>
      </c>
      <c r="C641" s="2" t="s">
        <v>992</v>
      </c>
      <c r="D641" s="2" t="s">
        <v>129</v>
      </c>
      <c r="E641" s="3">
        <v>45856.873738425929</v>
      </c>
      <c r="F641" s="3">
        <v>45856.873749999999</v>
      </c>
      <c r="G641" s="4">
        <v>45877</v>
      </c>
      <c r="H641" s="2" t="s">
        <v>130</v>
      </c>
      <c r="I641" s="2" t="s">
        <v>51</v>
      </c>
      <c r="J641" s="2">
        <v>0.72729927305058184</v>
      </c>
      <c r="K641" s="2">
        <v>206.24247205808479</v>
      </c>
      <c r="L641" s="2">
        <v>0</v>
      </c>
      <c r="M641" s="2">
        <v>150</v>
      </c>
      <c r="N641" s="2">
        <v>150</v>
      </c>
      <c r="O641" s="2"/>
      <c r="P641" s="2">
        <v>150</v>
      </c>
      <c r="Q641" s="2" t="s">
        <v>44</v>
      </c>
      <c r="R641" s="2"/>
      <c r="S641" t="str">
        <f>VLOOKUP(B641,CASOPOInvCL!$B$1:$D$1600,1,FALSE)</f>
        <v>SO17549</v>
      </c>
      <c r="T641">
        <f t="shared" si="9"/>
        <v>7</v>
      </c>
    </row>
    <row r="642" spans="1:20" x14ac:dyDescent="0.25">
      <c r="A642" s="2">
        <v>1</v>
      </c>
      <c r="B642" s="2" t="s">
        <v>975</v>
      </c>
      <c r="C642" s="2" t="s">
        <v>976</v>
      </c>
      <c r="D642" s="2" t="s">
        <v>146</v>
      </c>
      <c r="E642" s="3">
        <v>45859.365405092591</v>
      </c>
      <c r="F642" s="3">
        <v>45860.609386574077</v>
      </c>
      <c r="G642" s="4">
        <v>45861</v>
      </c>
      <c r="H642" s="2" t="s">
        <v>40</v>
      </c>
      <c r="I642" s="2" t="s">
        <v>22</v>
      </c>
      <c r="J642" s="2">
        <v>1</v>
      </c>
      <c r="K642" s="2">
        <v>850.88</v>
      </c>
      <c r="L642" s="2">
        <v>850.88</v>
      </c>
      <c r="M642" s="2">
        <v>850.88</v>
      </c>
      <c r="N642" s="2">
        <v>810.36</v>
      </c>
      <c r="O642" s="2">
        <v>40.520000000000003</v>
      </c>
      <c r="P642" s="2">
        <v>850.88</v>
      </c>
      <c r="Q642" s="2" t="s">
        <v>44</v>
      </c>
      <c r="R642" s="2"/>
      <c r="S642" t="str">
        <f>VLOOKUP(B642,CASOPOInvCL!$B$1:$D$1600,1,FALSE)</f>
        <v>SO17550</v>
      </c>
      <c r="T642">
        <f t="shared" si="9"/>
        <v>7</v>
      </c>
    </row>
    <row r="643" spans="1:20" x14ac:dyDescent="0.25">
      <c r="A643" s="2">
        <v>1</v>
      </c>
      <c r="B643" s="2" t="s">
        <v>989</v>
      </c>
      <c r="C643" s="2" t="s">
        <v>990</v>
      </c>
      <c r="D643" s="2" t="s">
        <v>54</v>
      </c>
      <c r="E643" s="3">
        <v>45859.418796296297</v>
      </c>
      <c r="F643" s="3">
        <v>45859.458240740743</v>
      </c>
      <c r="G643" s="4">
        <v>45860</v>
      </c>
      <c r="H643" s="2" t="s">
        <v>21</v>
      </c>
      <c r="I643" s="2" t="s">
        <v>22</v>
      </c>
      <c r="J643" s="2">
        <v>1</v>
      </c>
      <c r="K643" s="2">
        <v>1635.52</v>
      </c>
      <c r="L643" s="2">
        <v>0</v>
      </c>
      <c r="M643" s="2">
        <v>1194.725245674681</v>
      </c>
      <c r="N643" s="2">
        <v>1557.64</v>
      </c>
      <c r="O643" s="2">
        <v>77.88</v>
      </c>
      <c r="P643" s="2">
        <v>1635.52</v>
      </c>
      <c r="Q643" s="2" t="s">
        <v>44</v>
      </c>
      <c r="R643" s="2"/>
      <c r="S643" t="str">
        <f>VLOOKUP(B643,CASOPOInvCL!$B$1:$D$1600,1,FALSE)</f>
        <v>SO17551</v>
      </c>
      <c r="T643">
        <f t="shared" ref="T643:T706" si="10">MONTH(E643)</f>
        <v>7</v>
      </c>
    </row>
    <row r="644" spans="1:20" ht="30" x14ac:dyDescent="0.25">
      <c r="A644" s="2">
        <v>1</v>
      </c>
      <c r="B644" s="2" t="s">
        <v>979</v>
      </c>
      <c r="C644" s="2" t="s">
        <v>980</v>
      </c>
      <c r="D644" s="2" t="s">
        <v>981</v>
      </c>
      <c r="E644" s="3">
        <v>45859.495115740741</v>
      </c>
      <c r="F644" s="3">
        <v>45859.664918981478</v>
      </c>
      <c r="G644" s="4">
        <v>45873</v>
      </c>
      <c r="H644" s="2" t="s">
        <v>21</v>
      </c>
      <c r="I644" s="2" t="s">
        <v>22</v>
      </c>
      <c r="J644" s="2">
        <v>1</v>
      </c>
      <c r="K644" s="2">
        <v>1540.6</v>
      </c>
      <c r="L644" s="2">
        <v>0</v>
      </c>
      <c r="M644" s="2">
        <v>1125.387469114663</v>
      </c>
      <c r="N644" s="2">
        <v>1363.36</v>
      </c>
      <c r="O644" s="2">
        <v>177.24</v>
      </c>
      <c r="P644" s="2">
        <v>1540.6</v>
      </c>
      <c r="Q644" s="2" t="s">
        <v>44</v>
      </c>
      <c r="R644" s="2"/>
      <c r="S644" t="str">
        <f>VLOOKUP(B644,CASOPOInvCL!$B$1:$D$1600,1,FALSE)</f>
        <v>SO17552</v>
      </c>
      <c r="T644">
        <f t="shared" si="10"/>
        <v>7</v>
      </c>
    </row>
    <row r="645" spans="1:20" x14ac:dyDescent="0.25">
      <c r="A645" s="2">
        <v>1</v>
      </c>
      <c r="B645" s="2" t="s">
        <v>946</v>
      </c>
      <c r="C645" s="2" t="s">
        <v>947</v>
      </c>
      <c r="D645" s="2" t="s">
        <v>35</v>
      </c>
      <c r="E645" s="3">
        <v>45859.526921296303</v>
      </c>
      <c r="F645" s="3">
        <v>45863.51289351852</v>
      </c>
      <c r="G645" s="4">
        <v>45870</v>
      </c>
      <c r="H645" s="2" t="s">
        <v>36</v>
      </c>
      <c r="I645" s="2" t="s">
        <v>22</v>
      </c>
      <c r="J645" s="2">
        <v>1</v>
      </c>
      <c r="K645" s="2">
        <v>1133.25</v>
      </c>
      <c r="L645" s="2">
        <v>0</v>
      </c>
      <c r="M645" s="2">
        <v>826.29532356472623</v>
      </c>
      <c r="N645" s="2">
        <v>1079.28</v>
      </c>
      <c r="O645" s="2">
        <v>53.97</v>
      </c>
      <c r="P645" s="2">
        <v>1133.25</v>
      </c>
      <c r="Q645" s="2" t="s">
        <v>44</v>
      </c>
      <c r="R645" s="2"/>
      <c r="S645" t="str">
        <f>VLOOKUP(B645,CASOPOInvCL!$B$1:$D$1600,1,FALSE)</f>
        <v>SO17553</v>
      </c>
      <c r="T645">
        <f t="shared" si="10"/>
        <v>7</v>
      </c>
    </row>
    <row r="646" spans="1:20" x14ac:dyDescent="0.25">
      <c r="A646" s="2">
        <v>1</v>
      </c>
      <c r="B646" s="2" t="s">
        <v>982</v>
      </c>
      <c r="C646" s="2" t="s">
        <v>983</v>
      </c>
      <c r="D646" s="2" t="s">
        <v>239</v>
      </c>
      <c r="E646" s="3">
        <v>45859.606435185182</v>
      </c>
      <c r="F646" s="3">
        <v>45859.609282407408</v>
      </c>
      <c r="G646" s="4">
        <v>45859</v>
      </c>
      <c r="H646" s="2" t="s">
        <v>180</v>
      </c>
      <c r="I646" s="2" t="s">
        <v>51</v>
      </c>
      <c r="J646" s="2">
        <v>0.72845881656938405</v>
      </c>
      <c r="K646" s="2">
        <v>2724.7250700423742</v>
      </c>
      <c r="L646" s="2">
        <v>0</v>
      </c>
      <c r="M646" s="2">
        <v>1984.85</v>
      </c>
      <c r="N646" s="2">
        <v>1984.85</v>
      </c>
      <c r="O646" s="2"/>
      <c r="P646" s="2">
        <v>1984.85</v>
      </c>
      <c r="Q646" s="2" t="s">
        <v>44</v>
      </c>
      <c r="R646" s="2"/>
      <c r="S646" t="str">
        <f>VLOOKUP(B646,CASOPOInvCL!$B$1:$D$1600,1,FALSE)</f>
        <v>SO17554</v>
      </c>
      <c r="T646">
        <f t="shared" si="10"/>
        <v>7</v>
      </c>
    </row>
    <row r="647" spans="1:20" x14ac:dyDescent="0.25">
      <c r="A647" s="2">
        <v>1</v>
      </c>
      <c r="B647" s="2" t="s">
        <v>955</v>
      </c>
      <c r="C647" s="2" t="s">
        <v>956</v>
      </c>
      <c r="D647" s="2" t="s">
        <v>70</v>
      </c>
      <c r="E647" s="3">
        <v>45859.709062499998</v>
      </c>
      <c r="F647" s="3">
        <v>45862.490636574083</v>
      </c>
      <c r="G647" s="4">
        <v>45869</v>
      </c>
      <c r="H647" s="2" t="s">
        <v>71</v>
      </c>
      <c r="I647" s="2" t="s">
        <v>51</v>
      </c>
      <c r="J647" s="2">
        <v>0.73474516251328958</v>
      </c>
      <c r="K647" s="2">
        <v>8294.6309971653172</v>
      </c>
      <c r="L647" s="2">
        <v>0</v>
      </c>
      <c r="M647" s="2">
        <v>6094.44</v>
      </c>
      <c r="N647" s="2">
        <v>6094.44</v>
      </c>
      <c r="O647" s="2"/>
      <c r="P647" s="2">
        <v>6094.44</v>
      </c>
      <c r="Q647" s="2" t="s">
        <v>44</v>
      </c>
      <c r="R647" s="2"/>
      <c r="S647" t="str">
        <f>VLOOKUP(B647,CASOPOInvCL!$B$1:$D$1600,1,FALSE)</f>
        <v>SO17555</v>
      </c>
      <c r="T647">
        <f t="shared" si="10"/>
        <v>7</v>
      </c>
    </row>
    <row r="648" spans="1:20" x14ac:dyDescent="0.25">
      <c r="A648" s="2">
        <v>1</v>
      </c>
      <c r="B648" s="2" t="s">
        <v>853</v>
      </c>
      <c r="C648" s="2" t="s">
        <v>854</v>
      </c>
      <c r="D648" s="2" t="s">
        <v>855</v>
      </c>
      <c r="E648" s="3">
        <v>45860.41847222222</v>
      </c>
      <c r="F648" s="3">
        <v>45882.330300925933</v>
      </c>
      <c r="G648" s="4">
        <v>45965</v>
      </c>
      <c r="H648" s="2" t="s">
        <v>180</v>
      </c>
      <c r="I648" s="2" t="s">
        <v>51</v>
      </c>
      <c r="J648" s="2">
        <v>0.72654677831979975</v>
      </c>
      <c r="K648" s="2">
        <v>49612.772467809147</v>
      </c>
      <c r="L648" s="2">
        <v>0</v>
      </c>
      <c r="M648" s="2">
        <v>36046</v>
      </c>
      <c r="N648" s="2">
        <v>36046</v>
      </c>
      <c r="O648" s="2"/>
      <c r="P648" s="2">
        <v>36046</v>
      </c>
      <c r="Q648" s="2" t="s">
        <v>44</v>
      </c>
      <c r="R648" s="2"/>
      <c r="S648" t="str">
        <f>VLOOKUP(B648,CASOPOInvCL!$B$1:$D$1600,1,FALSE)</f>
        <v>SO17558</v>
      </c>
      <c r="T648">
        <f t="shared" si="10"/>
        <v>7</v>
      </c>
    </row>
    <row r="649" spans="1:20" ht="30" x14ac:dyDescent="0.25">
      <c r="A649" s="2">
        <v>1</v>
      </c>
      <c r="B649" s="2" t="s">
        <v>856</v>
      </c>
      <c r="C649" s="2" t="s">
        <v>857</v>
      </c>
      <c r="D649" s="2" t="s">
        <v>104</v>
      </c>
      <c r="E649" s="3">
        <v>45860.560740740737</v>
      </c>
      <c r="F649" s="3">
        <v>45881.616377314807</v>
      </c>
      <c r="G649" s="4">
        <v>45888</v>
      </c>
      <c r="H649" s="2" t="s">
        <v>21</v>
      </c>
      <c r="I649" s="2" t="s">
        <v>22</v>
      </c>
      <c r="J649" s="2">
        <v>1</v>
      </c>
      <c r="K649" s="2">
        <v>2711.5</v>
      </c>
      <c r="L649" s="2">
        <v>0</v>
      </c>
      <c r="M649" s="2">
        <v>1970.031589414137</v>
      </c>
      <c r="N649" s="2">
        <v>2582.38</v>
      </c>
      <c r="O649" s="2">
        <v>129.12</v>
      </c>
      <c r="P649" s="2">
        <v>2711.5</v>
      </c>
      <c r="Q649" s="2" t="s">
        <v>44</v>
      </c>
      <c r="R649" s="2"/>
      <c r="S649" t="str">
        <f>VLOOKUP(B649,CASOPOInvCL!$B$1:$D$1600,1,FALSE)</f>
        <v>SO17560</v>
      </c>
      <c r="T649">
        <f t="shared" si="10"/>
        <v>7</v>
      </c>
    </row>
    <row r="650" spans="1:20" x14ac:dyDescent="0.25">
      <c r="A650" s="2">
        <v>1</v>
      </c>
      <c r="B650" s="2" t="s">
        <v>940</v>
      </c>
      <c r="C650" s="2" t="s">
        <v>941</v>
      </c>
      <c r="D650" s="2" t="s">
        <v>739</v>
      </c>
      <c r="E650" s="3">
        <v>45860.718784722223</v>
      </c>
      <c r="F650" s="3">
        <v>45863.788784722223</v>
      </c>
      <c r="G650" s="4">
        <v>45884</v>
      </c>
      <c r="H650" s="2" t="s">
        <v>36</v>
      </c>
      <c r="I650" s="2" t="s">
        <v>51</v>
      </c>
      <c r="J650" s="2">
        <v>0.73474516251328958</v>
      </c>
      <c r="K650" s="2">
        <v>8131.744589596985</v>
      </c>
      <c r="L650" s="2">
        <v>0</v>
      </c>
      <c r="M650" s="2">
        <v>5974.76</v>
      </c>
      <c r="N650" s="2">
        <v>5974.76</v>
      </c>
      <c r="O650" s="2"/>
      <c r="P650" s="2">
        <v>5974.76</v>
      </c>
      <c r="Q650" s="2" t="s">
        <v>44</v>
      </c>
      <c r="R650" s="2"/>
      <c r="S650" t="str">
        <f>VLOOKUP(B650,CASOPOInvCL!$B$1:$D$1600,1,FALSE)</f>
        <v>SO17562</v>
      </c>
      <c r="T650">
        <f t="shared" si="10"/>
        <v>7</v>
      </c>
    </row>
    <row r="651" spans="1:20" x14ac:dyDescent="0.25">
      <c r="A651" s="2">
        <v>1</v>
      </c>
      <c r="B651" s="2" t="s">
        <v>914</v>
      </c>
      <c r="C651" s="2" t="s">
        <v>915</v>
      </c>
      <c r="D651" s="2" t="s">
        <v>39</v>
      </c>
      <c r="E651" s="3">
        <v>45860.732835648138</v>
      </c>
      <c r="F651" s="3">
        <v>45869.732743055552</v>
      </c>
      <c r="G651" s="4">
        <v>45870</v>
      </c>
      <c r="H651" s="2" t="s">
        <v>40</v>
      </c>
      <c r="I651" s="2" t="s">
        <v>22</v>
      </c>
      <c r="J651" s="2">
        <v>1</v>
      </c>
      <c r="K651" s="2">
        <v>2740.19</v>
      </c>
      <c r="L651" s="2">
        <v>0</v>
      </c>
      <c r="M651" s="2">
        <v>1979.1028539885431</v>
      </c>
      <c r="N651" s="2">
        <v>2609.71</v>
      </c>
      <c r="O651" s="2">
        <v>130.47999999999999</v>
      </c>
      <c r="P651" s="2">
        <v>2740.19</v>
      </c>
      <c r="Q651" s="2" t="s">
        <v>44</v>
      </c>
      <c r="R651" s="2"/>
      <c r="S651" t="str">
        <f>VLOOKUP(B651,CASOPOInvCL!$B$1:$D$1600,1,FALSE)</f>
        <v>SO17563</v>
      </c>
      <c r="T651">
        <f t="shared" si="10"/>
        <v>7</v>
      </c>
    </row>
    <row r="652" spans="1:20" x14ac:dyDescent="0.25">
      <c r="A652" s="2">
        <v>2</v>
      </c>
      <c r="B652" s="2" t="s">
        <v>944</v>
      </c>
      <c r="C652" s="2" t="s">
        <v>945</v>
      </c>
      <c r="D652" s="2" t="s">
        <v>39</v>
      </c>
      <c r="E652" s="3">
        <v>45860.739351851851</v>
      </c>
      <c r="F652" s="3">
        <v>45863.745104166657</v>
      </c>
      <c r="G652" s="4">
        <v>45870</v>
      </c>
      <c r="H652" s="2" t="s">
        <v>36</v>
      </c>
      <c r="I652" s="2" t="s">
        <v>22</v>
      </c>
      <c r="J652" s="2">
        <v>1</v>
      </c>
      <c r="K652" s="2">
        <v>15897.52</v>
      </c>
      <c r="L652" s="2">
        <v>0</v>
      </c>
      <c r="M652" s="2">
        <v>11591.481519767671</v>
      </c>
      <c r="N652" s="2">
        <v>15140.5</v>
      </c>
      <c r="O652" s="2">
        <v>757.02</v>
      </c>
      <c r="P652" s="2">
        <v>15897.52</v>
      </c>
      <c r="Q652" s="2" t="s">
        <v>44</v>
      </c>
      <c r="R652" s="2"/>
      <c r="S652" t="str">
        <f>VLOOKUP(B652,CASOPOInvCL!$B$1:$D$1600,1,FALSE)</f>
        <v>SO17564</v>
      </c>
      <c r="T652">
        <f t="shared" si="10"/>
        <v>7</v>
      </c>
    </row>
    <row r="653" spans="1:20" x14ac:dyDescent="0.25">
      <c r="A653" s="2">
        <v>1</v>
      </c>
      <c r="B653" s="2" t="s">
        <v>969</v>
      </c>
      <c r="C653" s="2" t="s">
        <v>970</v>
      </c>
      <c r="D653" s="2" t="s">
        <v>146</v>
      </c>
      <c r="E653" s="3">
        <v>45860.765277777777</v>
      </c>
      <c r="F653" s="3">
        <v>45860.764548611107</v>
      </c>
      <c r="G653" s="4">
        <v>45868</v>
      </c>
      <c r="H653" s="2" t="s">
        <v>36</v>
      </c>
      <c r="I653" s="2" t="s">
        <v>22</v>
      </c>
      <c r="J653" s="2">
        <v>1</v>
      </c>
      <c r="K653" s="2">
        <v>87.8</v>
      </c>
      <c r="L653" s="2">
        <v>87.8</v>
      </c>
      <c r="M653" s="2">
        <v>87.8</v>
      </c>
      <c r="N653" s="2">
        <v>83.62</v>
      </c>
      <c r="O653" s="2">
        <v>4.18</v>
      </c>
      <c r="P653" s="2">
        <v>87.8</v>
      </c>
      <c r="Q653" s="2" t="s">
        <v>44</v>
      </c>
      <c r="R653" s="2"/>
      <c r="S653" t="str">
        <f>VLOOKUP(B653,CASOPOInvCL!$B$1:$D$1600,1,FALSE)</f>
        <v>SO17565</v>
      </c>
      <c r="T653">
        <f t="shared" si="10"/>
        <v>7</v>
      </c>
    </row>
    <row r="654" spans="1:20" x14ac:dyDescent="0.25">
      <c r="A654" s="2">
        <v>1</v>
      </c>
      <c r="B654" s="2" t="s">
        <v>967</v>
      </c>
      <c r="C654" s="2" t="s">
        <v>968</v>
      </c>
      <c r="D654" s="2" t="s">
        <v>146</v>
      </c>
      <c r="E654" s="3">
        <v>45861.389907407407</v>
      </c>
      <c r="F654" s="3">
        <v>45861.445347222223</v>
      </c>
      <c r="G654" s="4">
        <v>45862</v>
      </c>
      <c r="H654" s="2" t="s">
        <v>40</v>
      </c>
      <c r="I654" s="2" t="s">
        <v>22</v>
      </c>
      <c r="J654" s="2">
        <v>1</v>
      </c>
      <c r="K654" s="2">
        <v>107.95</v>
      </c>
      <c r="L654" s="2">
        <v>0</v>
      </c>
      <c r="M654" s="2">
        <v>79.315740293309617</v>
      </c>
      <c r="N654" s="2">
        <v>102.81</v>
      </c>
      <c r="O654" s="2">
        <v>5.14</v>
      </c>
      <c r="P654" s="2">
        <v>107.95</v>
      </c>
      <c r="Q654" s="2" t="s">
        <v>44</v>
      </c>
      <c r="R654" s="2"/>
      <c r="S654" t="str">
        <f>VLOOKUP(B654,CASOPOInvCL!$B$1:$D$1600,1,FALSE)</f>
        <v>SO17566</v>
      </c>
      <c r="T654">
        <f t="shared" si="10"/>
        <v>7</v>
      </c>
    </row>
    <row r="655" spans="1:20" x14ac:dyDescent="0.25">
      <c r="A655" s="2">
        <v>1</v>
      </c>
      <c r="B655" s="2" t="s">
        <v>926</v>
      </c>
      <c r="C655" s="2" t="s">
        <v>927</v>
      </c>
      <c r="D655" s="2" t="s">
        <v>54</v>
      </c>
      <c r="E655" s="3">
        <v>45861.399062500001</v>
      </c>
      <c r="F655" s="3">
        <v>45867.477395833332</v>
      </c>
      <c r="G655" s="4">
        <v>45868</v>
      </c>
      <c r="H655" s="2" t="s">
        <v>21</v>
      </c>
      <c r="I655" s="2" t="s">
        <v>22</v>
      </c>
      <c r="J655" s="2">
        <v>1</v>
      </c>
      <c r="K655" s="2">
        <v>6052.79</v>
      </c>
      <c r="L655" s="2">
        <v>0</v>
      </c>
      <c r="M655" s="2">
        <v>4392.6777078652849</v>
      </c>
      <c r="N655" s="2">
        <v>5764.56</v>
      </c>
      <c r="O655" s="2">
        <v>288.23</v>
      </c>
      <c r="P655" s="2">
        <v>6052.79</v>
      </c>
      <c r="Q655" s="2" t="s">
        <v>44</v>
      </c>
      <c r="R655" s="2"/>
      <c r="S655" t="str">
        <f>VLOOKUP(B655,CASOPOInvCL!$B$1:$D$1600,1,FALSE)</f>
        <v>SO17567</v>
      </c>
      <c r="T655">
        <f t="shared" si="10"/>
        <v>7</v>
      </c>
    </row>
    <row r="656" spans="1:20" ht="30" x14ac:dyDescent="0.25">
      <c r="A656" s="2">
        <v>1</v>
      </c>
      <c r="B656" s="2" t="s">
        <v>936</v>
      </c>
      <c r="C656" s="2" t="s">
        <v>937</v>
      </c>
      <c r="D656" s="2" t="s">
        <v>576</v>
      </c>
      <c r="E656" s="3">
        <v>45861.472557870373</v>
      </c>
      <c r="F656" s="3">
        <v>45866.484305555547</v>
      </c>
      <c r="G656" s="4">
        <v>45867</v>
      </c>
      <c r="H656" s="2" t="s">
        <v>21</v>
      </c>
      <c r="I656" s="2" t="s">
        <v>22</v>
      </c>
      <c r="J656" s="2">
        <v>1</v>
      </c>
      <c r="K656" s="2">
        <v>1459.42</v>
      </c>
      <c r="L656" s="2">
        <v>0</v>
      </c>
      <c r="M656" s="2">
        <v>1063.746021518311</v>
      </c>
      <c r="N656" s="2">
        <v>1389.92</v>
      </c>
      <c r="O656" s="2">
        <v>69.5</v>
      </c>
      <c r="P656" s="2">
        <v>1459.42</v>
      </c>
      <c r="Q656" s="2" t="s">
        <v>44</v>
      </c>
      <c r="R656" s="2"/>
      <c r="S656" t="str">
        <f>VLOOKUP(B656,CASOPOInvCL!$B$1:$D$1600,1,FALSE)</f>
        <v>SO17568</v>
      </c>
      <c r="T656">
        <f t="shared" si="10"/>
        <v>7</v>
      </c>
    </row>
    <row r="657" spans="1:20" x14ac:dyDescent="0.25">
      <c r="A657" s="2">
        <v>1</v>
      </c>
      <c r="B657" s="2" t="s">
        <v>963</v>
      </c>
      <c r="C657" s="2" t="s">
        <v>964</v>
      </c>
      <c r="D657" s="2" t="s">
        <v>684</v>
      </c>
      <c r="E657" s="3">
        <v>45861.604988425926</v>
      </c>
      <c r="F657" s="3">
        <v>45861.603715277779</v>
      </c>
      <c r="G657" s="4">
        <v>45945</v>
      </c>
      <c r="H657" s="2" t="s">
        <v>36</v>
      </c>
      <c r="I657" s="2" t="s">
        <v>22</v>
      </c>
      <c r="J657" s="2">
        <v>1</v>
      </c>
      <c r="K657" s="2">
        <v>9874.2000000000007</v>
      </c>
      <c r="L657" s="2">
        <v>0</v>
      </c>
      <c r="M657" s="2">
        <v>7255.0206836887246</v>
      </c>
      <c r="N657" s="2">
        <v>9404</v>
      </c>
      <c r="O657" s="2">
        <v>470.2</v>
      </c>
      <c r="P657" s="2">
        <v>9874.2000000000007</v>
      </c>
      <c r="Q657" s="2" t="s">
        <v>44</v>
      </c>
      <c r="R657" s="2"/>
      <c r="S657" t="str">
        <f>VLOOKUP(B657,CASOPOInvCL!$B$1:$D$1600,1,FALSE)</f>
        <v>SO17570</v>
      </c>
      <c r="T657">
        <f t="shared" si="10"/>
        <v>7</v>
      </c>
    </row>
    <row r="658" spans="1:20" x14ac:dyDescent="0.25">
      <c r="A658" s="2">
        <v>2</v>
      </c>
      <c r="B658" s="2" t="s">
        <v>957</v>
      </c>
      <c r="C658" s="2" t="s">
        <v>958</v>
      </c>
      <c r="D658" s="2" t="s">
        <v>465</v>
      </c>
      <c r="E658" s="3">
        <v>45861.607800925929</v>
      </c>
      <c r="F658" s="3">
        <v>45862.402083333327</v>
      </c>
      <c r="G658" s="4">
        <v>45863</v>
      </c>
      <c r="H658" s="2" t="s">
        <v>21</v>
      </c>
      <c r="I658" s="2" t="s">
        <v>22</v>
      </c>
      <c r="J658" s="2">
        <v>1</v>
      </c>
      <c r="K658" s="2">
        <v>2798.72</v>
      </c>
      <c r="L658" s="2">
        <v>0</v>
      </c>
      <c r="M658" s="2">
        <v>2051.2467249268811</v>
      </c>
      <c r="N658" s="2">
        <v>2476.7399999999998</v>
      </c>
      <c r="O658" s="2">
        <v>321.98</v>
      </c>
      <c r="P658" s="2">
        <v>2798.72</v>
      </c>
      <c r="Q658" s="2" t="s">
        <v>44</v>
      </c>
      <c r="R658" s="2"/>
      <c r="S658" t="str">
        <f>VLOOKUP(B658,CASOPOInvCL!$B$1:$D$1600,1,FALSE)</f>
        <v>SO17571</v>
      </c>
      <c r="T658">
        <f t="shared" si="10"/>
        <v>7</v>
      </c>
    </row>
    <row r="659" spans="1:20" x14ac:dyDescent="0.25">
      <c r="A659" s="2">
        <v>1</v>
      </c>
      <c r="B659" s="2" t="s">
        <v>961</v>
      </c>
      <c r="C659" s="2" t="s">
        <v>962</v>
      </c>
      <c r="D659" s="2" t="s">
        <v>20</v>
      </c>
      <c r="E659" s="3">
        <v>45861.618078703701</v>
      </c>
      <c r="F659" s="3">
        <v>45861.618078703701</v>
      </c>
      <c r="G659" s="4">
        <v>45945</v>
      </c>
      <c r="H659" s="2" t="s">
        <v>21</v>
      </c>
      <c r="I659" s="2" t="s">
        <v>22</v>
      </c>
      <c r="J659" s="2">
        <v>1</v>
      </c>
      <c r="K659" s="2">
        <v>1506.2</v>
      </c>
      <c r="L659" s="2">
        <v>0</v>
      </c>
      <c r="M659" s="2">
        <v>1106.6731637775169</v>
      </c>
      <c r="N659" s="2">
        <v>1434.48</v>
      </c>
      <c r="O659" s="2">
        <v>71.72</v>
      </c>
      <c r="P659" s="2">
        <v>1506.2</v>
      </c>
      <c r="Q659" s="2" t="s">
        <v>44</v>
      </c>
      <c r="R659" s="2"/>
      <c r="S659" t="str">
        <f>VLOOKUP(B659,CASOPOInvCL!$B$1:$D$1600,1,FALSE)</f>
        <v>SO17573</v>
      </c>
      <c r="T659">
        <f t="shared" si="10"/>
        <v>7</v>
      </c>
    </row>
    <row r="660" spans="1:20" ht="60" x14ac:dyDescent="0.25">
      <c r="A660" s="2">
        <v>1</v>
      </c>
      <c r="B660" s="2" t="s">
        <v>755</v>
      </c>
      <c r="C660" s="2" t="s">
        <v>756</v>
      </c>
      <c r="D660" s="2" t="s">
        <v>757</v>
      </c>
      <c r="E660" s="3">
        <v>45861.625011574077</v>
      </c>
      <c r="F660" s="3">
        <v>45897.473067129627</v>
      </c>
      <c r="G660" s="4">
        <v>45988</v>
      </c>
      <c r="H660" s="2" t="s">
        <v>21</v>
      </c>
      <c r="I660" s="2" t="s">
        <v>51</v>
      </c>
      <c r="J660" s="2">
        <v>0.72328577573707276</v>
      </c>
      <c r="K660" s="2">
        <v>2377.8706255453958</v>
      </c>
      <c r="L660" s="2">
        <v>0</v>
      </c>
      <c r="M660" s="2">
        <v>1719.88</v>
      </c>
      <c r="N660" s="2">
        <v>1719.88</v>
      </c>
      <c r="O660" s="2"/>
      <c r="P660" s="2">
        <v>1719.88</v>
      </c>
      <c r="Q660" s="2" t="s">
        <v>44</v>
      </c>
      <c r="R660" s="2"/>
      <c r="S660" t="str">
        <f>VLOOKUP(B660,CASOPOInvCL!$B$1:$D$1600,1,FALSE)</f>
        <v>SO17574</v>
      </c>
      <c r="T660">
        <f t="shared" si="10"/>
        <v>7</v>
      </c>
    </row>
    <row r="661" spans="1:20" x14ac:dyDescent="0.25">
      <c r="A661" s="2">
        <v>1</v>
      </c>
      <c r="B661" s="2" t="s">
        <v>899</v>
      </c>
      <c r="C661" s="2" t="s">
        <v>900</v>
      </c>
      <c r="D661" s="2" t="s">
        <v>901</v>
      </c>
      <c r="E661" s="3">
        <v>45862.343368055554</v>
      </c>
      <c r="F661" s="3">
        <v>45874.697199074071</v>
      </c>
      <c r="G661" s="4">
        <v>45922</v>
      </c>
      <c r="H661" s="2" t="s">
        <v>180</v>
      </c>
      <c r="I661" s="2" t="s">
        <v>51</v>
      </c>
      <c r="J661" s="2">
        <v>0.72590381117935043</v>
      </c>
      <c r="K661" s="2">
        <v>76679.635983130938</v>
      </c>
      <c r="L661" s="2">
        <v>0</v>
      </c>
      <c r="M661" s="2">
        <v>55662.04</v>
      </c>
      <c r="N661" s="2">
        <v>55662.04</v>
      </c>
      <c r="O661" s="2"/>
      <c r="P661" s="2">
        <v>55662.04</v>
      </c>
      <c r="Q661" s="2" t="s">
        <v>44</v>
      </c>
      <c r="R661" s="2"/>
      <c r="S661" t="str">
        <f>VLOOKUP(B661,CASOPOInvCL!$B$1:$D$1600,1,FALSE)</f>
        <v>SO17575</v>
      </c>
      <c r="T661">
        <f t="shared" si="10"/>
        <v>7</v>
      </c>
    </row>
    <row r="662" spans="1:20" x14ac:dyDescent="0.25">
      <c r="A662" s="2">
        <v>1</v>
      </c>
      <c r="B662" s="2" t="s">
        <v>959</v>
      </c>
      <c r="C662" s="2" t="s">
        <v>960</v>
      </c>
      <c r="D662" s="2" t="s">
        <v>98</v>
      </c>
      <c r="E662" s="3">
        <v>45862.399988425917</v>
      </c>
      <c r="F662" s="3">
        <v>45862.399988425917</v>
      </c>
      <c r="G662" s="4">
        <v>45867</v>
      </c>
      <c r="H662" s="2" t="s">
        <v>40</v>
      </c>
      <c r="I662" s="2" t="s">
        <v>22</v>
      </c>
      <c r="J662" s="2">
        <v>1</v>
      </c>
      <c r="K662" s="2">
        <v>422.48</v>
      </c>
      <c r="L662" s="2">
        <v>0</v>
      </c>
      <c r="M662" s="2">
        <v>309.64537944028302</v>
      </c>
      <c r="N662" s="2">
        <v>373.88</v>
      </c>
      <c r="O662" s="2">
        <v>48.6</v>
      </c>
      <c r="P662" s="2">
        <v>422.48</v>
      </c>
      <c r="Q662" s="2" t="s">
        <v>44</v>
      </c>
      <c r="R662" s="2"/>
      <c r="S662" t="str">
        <f>VLOOKUP(B662,CASOPOInvCL!$B$1:$D$1600,1,FALSE)</f>
        <v>SO17576</v>
      </c>
      <c r="T662">
        <f t="shared" si="10"/>
        <v>7</v>
      </c>
    </row>
    <row r="663" spans="1:20" x14ac:dyDescent="0.25">
      <c r="A663" s="2">
        <v>2</v>
      </c>
      <c r="B663" s="2" t="s">
        <v>950</v>
      </c>
      <c r="C663" s="2" t="s">
        <v>951</v>
      </c>
      <c r="D663" s="2" t="s">
        <v>6166</v>
      </c>
      <c r="E663" s="3">
        <v>45862.476041666669</v>
      </c>
      <c r="F663" s="3">
        <v>45862.610173611109</v>
      </c>
      <c r="G663" s="4">
        <v>45974</v>
      </c>
      <c r="H663" s="2" t="s">
        <v>36</v>
      </c>
      <c r="I663" s="2" t="s">
        <v>22</v>
      </c>
      <c r="J663" s="2">
        <v>1</v>
      </c>
      <c r="K663" s="2">
        <v>1204.22</v>
      </c>
      <c r="L663" s="2">
        <v>0</v>
      </c>
      <c r="M663" s="2">
        <v>882.6007357261351</v>
      </c>
      <c r="N663" s="2">
        <v>1146.8699999999999</v>
      </c>
      <c r="O663" s="2">
        <v>57.35</v>
      </c>
      <c r="P663" s="2">
        <v>1204.22</v>
      </c>
      <c r="Q663" s="2" t="s">
        <v>44</v>
      </c>
      <c r="R663" s="2"/>
      <c r="S663" t="str">
        <f>VLOOKUP(B663,CASOPOInvCL!$B$1:$D$1600,1,FALSE)</f>
        <v>SO17578</v>
      </c>
      <c r="T663">
        <f t="shared" si="10"/>
        <v>7</v>
      </c>
    </row>
    <row r="664" spans="1:20" x14ac:dyDescent="0.25">
      <c r="A664" s="2">
        <v>0</v>
      </c>
      <c r="B664" s="2" t="s">
        <v>6170</v>
      </c>
      <c r="C664" s="2" t="s">
        <v>6171</v>
      </c>
      <c r="D664" s="2" t="s">
        <v>901</v>
      </c>
      <c r="E664" s="3">
        <v>45862.739560185182</v>
      </c>
      <c r="F664" s="3">
        <v>46002.676701388889</v>
      </c>
      <c r="G664" s="4">
        <v>46030</v>
      </c>
      <c r="H664" s="2" t="s">
        <v>180</v>
      </c>
      <c r="I664" s="2" t="s">
        <v>51</v>
      </c>
      <c r="J664" s="2">
        <v>0.72276866354558011</v>
      </c>
      <c r="K664" s="2">
        <v>33081.124301527161</v>
      </c>
      <c r="L664" s="2">
        <v>0</v>
      </c>
      <c r="M664" s="2">
        <v>23910</v>
      </c>
      <c r="N664" s="2">
        <v>23910</v>
      </c>
      <c r="O664" s="2"/>
      <c r="P664" s="2">
        <v>23910</v>
      </c>
      <c r="Q664" s="2" t="s">
        <v>23</v>
      </c>
      <c r="R664" s="2"/>
      <c r="S664" t="str">
        <f>VLOOKUP(B664,CASOPOInvCL!$B$1:$D$1600,1,FALSE)</f>
        <v>SO17581</v>
      </c>
      <c r="T664">
        <f t="shared" si="10"/>
        <v>7</v>
      </c>
    </row>
    <row r="665" spans="1:20" x14ac:dyDescent="0.25">
      <c r="A665" s="2">
        <v>1</v>
      </c>
      <c r="B665" s="2" t="s">
        <v>932</v>
      </c>
      <c r="C665" s="2" t="s">
        <v>933</v>
      </c>
      <c r="D665" s="2" t="s">
        <v>80</v>
      </c>
      <c r="E665" s="3">
        <v>45863.646458333344</v>
      </c>
      <c r="F665" s="3">
        <v>45866.645231481481</v>
      </c>
      <c r="G665" s="4">
        <v>45993</v>
      </c>
      <c r="H665" s="2" t="s">
        <v>36</v>
      </c>
      <c r="I665" s="2" t="s">
        <v>22</v>
      </c>
      <c r="J665" s="2">
        <v>1</v>
      </c>
      <c r="K665" s="2">
        <v>8080.61</v>
      </c>
      <c r="L665" s="2">
        <v>0</v>
      </c>
      <c r="M665" s="2">
        <v>5889.8170087713452</v>
      </c>
      <c r="N665" s="2">
        <v>7695.82</v>
      </c>
      <c r="O665" s="2">
        <v>384.79</v>
      </c>
      <c r="P665" s="2">
        <v>8080.61</v>
      </c>
      <c r="Q665" s="2" t="s">
        <v>44</v>
      </c>
      <c r="R665" s="2"/>
      <c r="S665" t="str">
        <f>VLOOKUP(B665,CASOPOInvCL!$B$1:$D$1600,1,FALSE)</f>
        <v>SO17588</v>
      </c>
      <c r="T665">
        <f t="shared" si="10"/>
        <v>7</v>
      </c>
    </row>
    <row r="666" spans="1:20" x14ac:dyDescent="0.25">
      <c r="A666" s="2">
        <v>1</v>
      </c>
      <c r="B666" s="2" t="s">
        <v>942</v>
      </c>
      <c r="C666" s="2" t="s">
        <v>943</v>
      </c>
      <c r="D666" s="2" t="s">
        <v>129</v>
      </c>
      <c r="E666" s="3">
        <v>45863.746458333328</v>
      </c>
      <c r="F666" s="3">
        <v>45863.74590277778</v>
      </c>
      <c r="G666" s="4">
        <v>45912</v>
      </c>
      <c r="H666" s="2" t="s">
        <v>130</v>
      </c>
      <c r="I666" s="2" t="s">
        <v>51</v>
      </c>
      <c r="J666" s="2">
        <v>0.73474516251328958</v>
      </c>
      <c r="K666" s="2">
        <v>489.96579816677399</v>
      </c>
      <c r="L666" s="2">
        <v>0</v>
      </c>
      <c r="M666" s="2">
        <v>360</v>
      </c>
      <c r="N666" s="2">
        <v>360</v>
      </c>
      <c r="O666" s="2"/>
      <c r="P666" s="2">
        <v>360</v>
      </c>
      <c r="Q666" s="2" t="s">
        <v>44</v>
      </c>
      <c r="R666" s="2"/>
      <c r="S666" t="str">
        <f>VLOOKUP(B666,CASOPOInvCL!$B$1:$D$1600,1,FALSE)</f>
        <v>SO17589</v>
      </c>
      <c r="T666">
        <f t="shared" si="10"/>
        <v>7</v>
      </c>
    </row>
    <row r="667" spans="1:20" x14ac:dyDescent="0.25">
      <c r="A667" s="2">
        <v>1</v>
      </c>
      <c r="B667" s="2" t="s">
        <v>938</v>
      </c>
      <c r="C667" s="2" t="s">
        <v>939</v>
      </c>
      <c r="D667" s="2" t="s">
        <v>129</v>
      </c>
      <c r="E667" s="3">
        <v>45863.810706018521</v>
      </c>
      <c r="F667" s="3">
        <v>45863.814699074072</v>
      </c>
      <c r="G667" s="4">
        <v>45925</v>
      </c>
      <c r="H667" s="2" t="s">
        <v>130</v>
      </c>
      <c r="I667" s="2" t="s">
        <v>51</v>
      </c>
      <c r="J667" s="2">
        <v>0.73474516251328958</v>
      </c>
      <c r="K667" s="2">
        <v>13885.08631360397</v>
      </c>
      <c r="L667" s="2">
        <v>0</v>
      </c>
      <c r="M667" s="2">
        <v>10202</v>
      </c>
      <c r="N667" s="2">
        <v>10202</v>
      </c>
      <c r="O667" s="2"/>
      <c r="P667" s="2">
        <v>10202</v>
      </c>
      <c r="Q667" s="2" t="s">
        <v>44</v>
      </c>
      <c r="R667" s="2"/>
      <c r="S667" t="str">
        <f>VLOOKUP(B667,CASOPOInvCL!$B$1:$D$1600,1,FALSE)</f>
        <v>SO17590</v>
      </c>
      <c r="T667">
        <f t="shared" si="10"/>
        <v>7</v>
      </c>
    </row>
    <row r="668" spans="1:20" x14ac:dyDescent="0.25">
      <c r="A668" s="2">
        <v>1</v>
      </c>
      <c r="B668" s="2" t="s">
        <v>597</v>
      </c>
      <c r="C668" s="2" t="s">
        <v>598</v>
      </c>
      <c r="D668" s="2" t="s">
        <v>599</v>
      </c>
      <c r="E668" s="3">
        <v>45866.39912037037</v>
      </c>
      <c r="F668" s="3">
        <v>45919.653217592589</v>
      </c>
      <c r="G668" s="4">
        <v>45961</v>
      </c>
      <c r="H668" s="2" t="s">
        <v>40</v>
      </c>
      <c r="I668" s="2" t="s">
        <v>51</v>
      </c>
      <c r="J668" s="2">
        <v>0.72474982902255658</v>
      </c>
      <c r="K668" s="2">
        <v>6099.4702212788197</v>
      </c>
      <c r="L668" s="2">
        <v>0</v>
      </c>
      <c r="M668" s="2">
        <v>4420.59</v>
      </c>
      <c r="N668" s="2">
        <v>4420.59</v>
      </c>
      <c r="O668" s="2"/>
      <c r="P668" s="2">
        <v>4420.59</v>
      </c>
      <c r="Q668" s="2" t="s">
        <v>44</v>
      </c>
      <c r="R668" s="2"/>
      <c r="S668" t="str">
        <f>VLOOKUP(B668,CASOPOInvCL!$B$1:$D$1600,1,FALSE)</f>
        <v>SO17593</v>
      </c>
      <c r="T668">
        <f t="shared" si="10"/>
        <v>7</v>
      </c>
    </row>
    <row r="669" spans="1:20" x14ac:dyDescent="0.25">
      <c r="A669" s="2">
        <v>1</v>
      </c>
      <c r="B669" s="2" t="s">
        <v>934</v>
      </c>
      <c r="C669" s="2" t="s">
        <v>935</v>
      </c>
      <c r="D669" s="2" t="s">
        <v>70</v>
      </c>
      <c r="E669" s="3">
        <v>45866.559733796297</v>
      </c>
      <c r="F669" s="3">
        <v>45866.559861111113</v>
      </c>
      <c r="G669" s="4">
        <v>45873</v>
      </c>
      <c r="H669" s="2" t="s">
        <v>71</v>
      </c>
      <c r="I669" s="2" t="s">
        <v>51</v>
      </c>
      <c r="J669" s="2">
        <v>0.7300328435617468</v>
      </c>
      <c r="K669" s="2">
        <v>2679.8246370055672</v>
      </c>
      <c r="L669" s="2">
        <v>0</v>
      </c>
      <c r="M669" s="2">
        <v>1956.36</v>
      </c>
      <c r="N669" s="2">
        <v>1956.36</v>
      </c>
      <c r="O669" s="2"/>
      <c r="P669" s="2">
        <v>1956.36</v>
      </c>
      <c r="Q669" s="2" t="s">
        <v>44</v>
      </c>
      <c r="R669" s="2"/>
      <c r="S669" t="str">
        <f>VLOOKUP(B669,CASOPOInvCL!$B$1:$D$1600,1,FALSE)</f>
        <v>SO17595</v>
      </c>
      <c r="T669">
        <f t="shared" si="10"/>
        <v>7</v>
      </c>
    </row>
    <row r="670" spans="1:20" ht="30" x14ac:dyDescent="0.25">
      <c r="A670" s="2">
        <v>1</v>
      </c>
      <c r="B670" s="2" t="s">
        <v>930</v>
      </c>
      <c r="C670" s="2" t="s">
        <v>931</v>
      </c>
      <c r="D670" s="2" t="s">
        <v>104</v>
      </c>
      <c r="E670" s="3">
        <v>45866.615902777783</v>
      </c>
      <c r="F670" s="3">
        <v>45866.692754629628</v>
      </c>
      <c r="G670" s="4">
        <v>45873</v>
      </c>
      <c r="H670" s="2" t="s">
        <v>36</v>
      </c>
      <c r="I670" s="2" t="s">
        <v>22</v>
      </c>
      <c r="J670" s="2">
        <v>1</v>
      </c>
      <c r="K670" s="2">
        <v>275.89999999999998</v>
      </c>
      <c r="L670" s="2">
        <v>0</v>
      </c>
      <c r="M670" s="2">
        <v>201.09874288203659</v>
      </c>
      <c r="N670" s="2">
        <v>262.76</v>
      </c>
      <c r="O670" s="2">
        <v>13.14</v>
      </c>
      <c r="P670" s="2">
        <v>275.89999999999998</v>
      </c>
      <c r="Q670" s="2" t="s">
        <v>44</v>
      </c>
      <c r="R670" s="2"/>
      <c r="S670" t="str">
        <f>VLOOKUP(B670,CASOPOInvCL!$B$1:$D$1600,1,FALSE)</f>
        <v>SO17596</v>
      </c>
      <c r="T670">
        <f t="shared" si="10"/>
        <v>7</v>
      </c>
    </row>
    <row r="671" spans="1:20" ht="30" x14ac:dyDescent="0.25">
      <c r="A671" s="2">
        <v>2</v>
      </c>
      <c r="B671" s="2" t="s">
        <v>928</v>
      </c>
      <c r="C671" s="2" t="s">
        <v>929</v>
      </c>
      <c r="D671" s="2" t="s">
        <v>6167</v>
      </c>
      <c r="E671" s="3">
        <v>45866.726770833331</v>
      </c>
      <c r="F671" s="3">
        <v>45866.721006944441</v>
      </c>
      <c r="G671" s="4">
        <v>45868</v>
      </c>
      <c r="H671" s="2" t="s">
        <v>36</v>
      </c>
      <c r="I671" s="2" t="s">
        <v>22</v>
      </c>
      <c r="J671" s="2">
        <v>1</v>
      </c>
      <c r="K671" s="2">
        <v>2065.2800000000002</v>
      </c>
      <c r="L671" s="2">
        <v>0</v>
      </c>
      <c r="M671" s="2">
        <v>1505.34690721063</v>
      </c>
      <c r="N671" s="2">
        <v>1966.94</v>
      </c>
      <c r="O671" s="2">
        <v>98.34</v>
      </c>
      <c r="P671" s="2">
        <v>2065.2800000000002</v>
      </c>
      <c r="Q671" s="2" t="s">
        <v>44</v>
      </c>
      <c r="R671" s="2"/>
      <c r="S671" t="str">
        <f>VLOOKUP(B671,CASOPOInvCL!$B$1:$D$1600,1,FALSE)</f>
        <v>SO17597</v>
      </c>
      <c r="T671">
        <f t="shared" si="10"/>
        <v>7</v>
      </c>
    </row>
    <row r="672" spans="1:20" x14ac:dyDescent="0.25">
      <c r="A672" s="2">
        <v>1</v>
      </c>
      <c r="B672" s="2" t="s">
        <v>910</v>
      </c>
      <c r="C672" s="2" t="s">
        <v>911</v>
      </c>
      <c r="D672" s="2" t="s">
        <v>98</v>
      </c>
      <c r="E672" s="3">
        <v>45867.356365740743</v>
      </c>
      <c r="F672" s="3">
        <v>45870.568009259259</v>
      </c>
      <c r="G672" s="4">
        <v>45901</v>
      </c>
      <c r="H672" s="2" t="s">
        <v>40</v>
      </c>
      <c r="I672" s="2" t="s">
        <v>22</v>
      </c>
      <c r="J672" s="2">
        <v>1</v>
      </c>
      <c r="K672" s="2">
        <v>5632.13</v>
      </c>
      <c r="L672" s="2">
        <v>5632.13</v>
      </c>
      <c r="M672" s="2">
        <v>5632.13</v>
      </c>
      <c r="N672" s="2">
        <v>4984.1899999999996</v>
      </c>
      <c r="O672" s="2">
        <v>647.94000000000005</v>
      </c>
      <c r="P672" s="2">
        <v>5632.13</v>
      </c>
      <c r="Q672" s="2" t="s">
        <v>44</v>
      </c>
      <c r="R672" s="2"/>
      <c r="S672" t="str">
        <f>VLOOKUP(B672,CASOPOInvCL!$B$1:$D$1600,1,FALSE)</f>
        <v>SO17598</v>
      </c>
      <c r="T672">
        <f t="shared" si="10"/>
        <v>7</v>
      </c>
    </row>
    <row r="673" spans="1:20" x14ac:dyDescent="0.25">
      <c r="A673" s="2">
        <v>2</v>
      </c>
      <c r="B673" s="2" t="s">
        <v>922</v>
      </c>
      <c r="C673" s="2" t="s">
        <v>923</v>
      </c>
      <c r="D673" s="2" t="s">
        <v>109</v>
      </c>
      <c r="E673" s="3">
        <v>45868.375497685192</v>
      </c>
      <c r="F673" s="3">
        <v>45868.399131944447</v>
      </c>
      <c r="G673" s="4">
        <v>45980</v>
      </c>
      <c r="H673" s="2" t="s">
        <v>21</v>
      </c>
      <c r="I673" s="2" t="s">
        <v>51</v>
      </c>
      <c r="J673" s="2">
        <v>0.72888272157316658</v>
      </c>
      <c r="K673" s="2">
        <v>26661.257599929661</v>
      </c>
      <c r="L673" s="2">
        <v>0</v>
      </c>
      <c r="M673" s="2">
        <v>19432.93</v>
      </c>
      <c r="N673" s="2">
        <v>19432.93</v>
      </c>
      <c r="O673" s="2"/>
      <c r="P673" s="2">
        <v>19432.93</v>
      </c>
      <c r="Q673" s="2" t="s">
        <v>44</v>
      </c>
      <c r="R673" s="2"/>
      <c r="S673" t="str">
        <f>VLOOKUP(B673,CASOPOInvCL!$B$1:$D$1600,1,FALSE)</f>
        <v>SO17603</v>
      </c>
      <c r="T673">
        <f t="shared" si="10"/>
        <v>7</v>
      </c>
    </row>
    <row r="674" spans="1:20" x14ac:dyDescent="0.25">
      <c r="A674" s="2">
        <v>1</v>
      </c>
      <c r="B674" s="2" t="s">
        <v>920</v>
      </c>
      <c r="C674" s="2" t="s">
        <v>921</v>
      </c>
      <c r="D674" s="2" t="s">
        <v>242</v>
      </c>
      <c r="E674" s="3">
        <v>45868.393495370372</v>
      </c>
      <c r="F674" s="3">
        <v>45868.58865740741</v>
      </c>
      <c r="G674" s="4">
        <v>45945</v>
      </c>
      <c r="H674" s="2" t="s">
        <v>21</v>
      </c>
      <c r="I674" s="2" t="s">
        <v>22</v>
      </c>
      <c r="J674" s="2">
        <v>1</v>
      </c>
      <c r="K674" s="2">
        <v>1690.27</v>
      </c>
      <c r="L674" s="2">
        <v>0</v>
      </c>
      <c r="M674" s="2">
        <v>1223.4150113581929</v>
      </c>
      <c r="N674" s="2">
        <v>1609.78</v>
      </c>
      <c r="O674" s="2">
        <v>80.489999999999995</v>
      </c>
      <c r="P674" s="2">
        <v>1690.27</v>
      </c>
      <c r="Q674" s="2" t="s">
        <v>44</v>
      </c>
      <c r="R674" s="2"/>
      <c r="S674" t="str">
        <f>VLOOKUP(B674,CASOPOInvCL!$B$1:$D$1600,1,FALSE)</f>
        <v>SO17604</v>
      </c>
      <c r="T674">
        <f t="shared" si="10"/>
        <v>7</v>
      </c>
    </row>
    <row r="675" spans="1:20" x14ac:dyDescent="0.25">
      <c r="A675" s="2">
        <v>1</v>
      </c>
      <c r="B675" s="2" t="s">
        <v>918</v>
      </c>
      <c r="C675" s="2" t="s">
        <v>919</v>
      </c>
      <c r="D675" s="2" t="s">
        <v>146</v>
      </c>
      <c r="E675" s="3">
        <v>45868.628738425927</v>
      </c>
      <c r="F675" s="3">
        <v>45868.674363425933</v>
      </c>
      <c r="G675" s="4">
        <v>45869</v>
      </c>
      <c r="H675" s="2" t="s">
        <v>40</v>
      </c>
      <c r="I675" s="2" t="s">
        <v>22</v>
      </c>
      <c r="J675" s="2">
        <v>1</v>
      </c>
      <c r="K675" s="2">
        <v>131.04</v>
      </c>
      <c r="L675" s="2">
        <v>0</v>
      </c>
      <c r="M675" s="2">
        <v>94.84656480229647</v>
      </c>
      <c r="N675" s="2">
        <v>124.8</v>
      </c>
      <c r="O675" s="2">
        <v>6.24</v>
      </c>
      <c r="P675" s="2">
        <v>131.04</v>
      </c>
      <c r="Q675" s="2" t="s">
        <v>44</v>
      </c>
      <c r="R675" s="2"/>
      <c r="S675" t="str">
        <f>VLOOKUP(B675,CASOPOInvCL!$B$1:$D$1600,1,FALSE)</f>
        <v>SO17608</v>
      </c>
      <c r="T675">
        <f t="shared" si="10"/>
        <v>7</v>
      </c>
    </row>
    <row r="676" spans="1:20" x14ac:dyDescent="0.25">
      <c r="A676" s="2">
        <v>1</v>
      </c>
      <c r="B676" s="2" t="s">
        <v>916</v>
      </c>
      <c r="C676" s="2" t="s">
        <v>917</v>
      </c>
      <c r="D676" s="2" t="s">
        <v>271</v>
      </c>
      <c r="E676" s="3">
        <v>45868.763402777768</v>
      </c>
      <c r="F676" s="3">
        <v>45868.762349537043</v>
      </c>
      <c r="G676" s="4">
        <v>45881</v>
      </c>
      <c r="H676" s="2" t="s">
        <v>21</v>
      </c>
      <c r="I676" s="2" t="s">
        <v>22</v>
      </c>
      <c r="J676" s="2">
        <v>1</v>
      </c>
      <c r="K676" s="2">
        <v>130.43</v>
      </c>
      <c r="L676" s="2">
        <v>0</v>
      </c>
      <c r="M676" s="2">
        <v>94.40504767371435</v>
      </c>
      <c r="N676" s="2">
        <v>124.22</v>
      </c>
      <c r="O676" s="2">
        <v>6.21</v>
      </c>
      <c r="P676" s="2">
        <v>130.43</v>
      </c>
      <c r="Q676" s="2" t="s">
        <v>44</v>
      </c>
      <c r="R676" s="2"/>
      <c r="S676" t="str">
        <f>VLOOKUP(B676,CASOPOInvCL!$B$1:$D$1600,1,FALSE)</f>
        <v>SO17610</v>
      </c>
      <c r="T676">
        <f t="shared" si="10"/>
        <v>7</v>
      </c>
    </row>
    <row r="677" spans="1:20" x14ac:dyDescent="0.25">
      <c r="A677" s="2">
        <v>1</v>
      </c>
      <c r="B677" s="2" t="s">
        <v>908</v>
      </c>
      <c r="C677" s="2" t="s">
        <v>909</v>
      </c>
      <c r="D677" s="2" t="s">
        <v>129</v>
      </c>
      <c r="E677" s="3">
        <v>45869.510081018518</v>
      </c>
      <c r="F677" s="3">
        <v>45870.629826388889</v>
      </c>
      <c r="G677" s="4">
        <v>45901</v>
      </c>
      <c r="H677" s="2" t="s">
        <v>328</v>
      </c>
      <c r="I677" s="2" t="s">
        <v>51</v>
      </c>
      <c r="J677" s="2">
        <v>0.72379857144609638</v>
      </c>
      <c r="K677" s="2">
        <v>803.81479454650798</v>
      </c>
      <c r="L677" s="2">
        <v>0</v>
      </c>
      <c r="M677" s="2">
        <v>581.79999999999995</v>
      </c>
      <c r="N677" s="2">
        <v>581.79999999999995</v>
      </c>
      <c r="O677" s="2"/>
      <c r="P677" s="2">
        <v>581.79999999999995</v>
      </c>
      <c r="Q677" s="2" t="s">
        <v>44</v>
      </c>
      <c r="R677" s="2"/>
      <c r="S677" t="str">
        <f>VLOOKUP(B677,CASOPOInvCL!$B$1:$D$1600,1,FALSE)</f>
        <v>SO17612</v>
      </c>
      <c r="T677">
        <f t="shared" si="10"/>
        <v>7</v>
      </c>
    </row>
    <row r="678" spans="1:20" x14ac:dyDescent="0.25">
      <c r="A678" s="2">
        <v>1</v>
      </c>
      <c r="B678" s="2" t="s">
        <v>906</v>
      </c>
      <c r="C678" s="2" t="s">
        <v>907</v>
      </c>
      <c r="D678" s="2" t="s">
        <v>129</v>
      </c>
      <c r="E678" s="3">
        <v>45869.517905092587</v>
      </c>
      <c r="F678" s="3">
        <v>45870.637083333328</v>
      </c>
      <c r="G678" s="4">
        <v>45981</v>
      </c>
      <c r="H678" s="2" t="s">
        <v>328</v>
      </c>
      <c r="I678" s="2" t="s">
        <v>51</v>
      </c>
      <c r="J678" s="2">
        <v>0.72379857144609638</v>
      </c>
      <c r="K678" s="2">
        <v>1475.5486431345321</v>
      </c>
      <c r="L678" s="2">
        <v>0</v>
      </c>
      <c r="M678" s="2">
        <v>1068</v>
      </c>
      <c r="N678" s="2">
        <v>1068</v>
      </c>
      <c r="O678" s="2"/>
      <c r="P678" s="2">
        <v>1068</v>
      </c>
      <c r="Q678" s="2" t="s">
        <v>44</v>
      </c>
      <c r="R678" s="2"/>
      <c r="S678" t="str">
        <f>VLOOKUP(B678,CASOPOInvCL!$B$1:$D$1600,1,FALSE)</f>
        <v>SO17613</v>
      </c>
      <c r="T678">
        <f t="shared" si="10"/>
        <v>7</v>
      </c>
    </row>
    <row r="679" spans="1:20" x14ac:dyDescent="0.25">
      <c r="A679" s="2">
        <v>1</v>
      </c>
      <c r="B679" s="2" t="s">
        <v>912</v>
      </c>
      <c r="C679" s="2" t="s">
        <v>913</v>
      </c>
      <c r="D679" s="2" t="s">
        <v>61</v>
      </c>
      <c r="E679" s="3">
        <v>45869.566678240742</v>
      </c>
      <c r="F679" s="3">
        <v>45870.422881944447</v>
      </c>
      <c r="G679" s="4">
        <v>45905</v>
      </c>
      <c r="H679" s="2" t="s">
        <v>40</v>
      </c>
      <c r="I679" s="2" t="s">
        <v>51</v>
      </c>
      <c r="J679" s="2">
        <v>0.72379857144609638</v>
      </c>
      <c r="K679" s="2">
        <v>6811.2872758925487</v>
      </c>
      <c r="L679" s="2">
        <v>0</v>
      </c>
      <c r="M679" s="2">
        <v>4930</v>
      </c>
      <c r="N679" s="2">
        <v>4930</v>
      </c>
      <c r="O679" s="2"/>
      <c r="P679" s="2">
        <v>4930</v>
      </c>
      <c r="Q679" s="2" t="s">
        <v>44</v>
      </c>
      <c r="R679" s="2"/>
      <c r="S679" t="str">
        <f>VLOOKUP(B679,CASOPOInvCL!$B$1:$D$1600,1,FALSE)</f>
        <v>SO17615</v>
      </c>
      <c r="T679">
        <f t="shared" si="10"/>
        <v>7</v>
      </c>
    </row>
    <row r="680" spans="1:20" x14ac:dyDescent="0.25">
      <c r="A680" s="2">
        <v>2</v>
      </c>
      <c r="B680" s="2" t="s">
        <v>717</v>
      </c>
      <c r="C680" s="2" t="s">
        <v>718</v>
      </c>
      <c r="D680" s="2" t="s">
        <v>316</v>
      </c>
      <c r="E680" s="3">
        <v>45870.75540509259</v>
      </c>
      <c r="F680" s="3">
        <v>45903.537939814807</v>
      </c>
      <c r="G680" s="4">
        <v>45917</v>
      </c>
      <c r="H680" s="2" t="s">
        <v>36</v>
      </c>
      <c r="I680" s="2" t="s">
        <v>22</v>
      </c>
      <c r="J680" s="2">
        <v>1</v>
      </c>
      <c r="K680" s="2">
        <v>7603.02</v>
      </c>
      <c r="L680" s="2">
        <v>7603.02</v>
      </c>
      <c r="M680" s="2">
        <v>7603.02</v>
      </c>
      <c r="N680" s="2">
        <v>7603.02</v>
      </c>
      <c r="O680" s="2"/>
      <c r="P680" s="2">
        <v>7603.02</v>
      </c>
      <c r="Q680" s="2" t="s">
        <v>126</v>
      </c>
      <c r="R680" s="2"/>
      <c r="S680" t="str">
        <f>VLOOKUP(B680,CASOPOInvCL!$B$1:$D$1600,1,FALSE)</f>
        <v>SO17621</v>
      </c>
      <c r="T680">
        <f t="shared" si="10"/>
        <v>8</v>
      </c>
    </row>
    <row r="681" spans="1:20" ht="30" x14ac:dyDescent="0.25">
      <c r="A681" s="2">
        <v>3</v>
      </c>
      <c r="B681" s="2" t="s">
        <v>795</v>
      </c>
      <c r="C681" s="2" t="s">
        <v>796</v>
      </c>
      <c r="D681" s="2" t="s">
        <v>159</v>
      </c>
      <c r="E681" s="3">
        <v>45873.643368055556</v>
      </c>
      <c r="F681" s="3">
        <v>45891.415150462963</v>
      </c>
      <c r="G681" s="4">
        <v>45995</v>
      </c>
      <c r="H681" s="2" t="s">
        <v>40</v>
      </c>
      <c r="I681" s="2" t="s">
        <v>51</v>
      </c>
      <c r="J681" s="2">
        <v>0.71937460738912617</v>
      </c>
      <c r="K681" s="2">
        <v>95905.386833706652</v>
      </c>
      <c r="L681" s="2">
        <v>0</v>
      </c>
      <c r="M681" s="2">
        <v>68991.899999999994</v>
      </c>
      <c r="N681" s="2">
        <v>68991.899999999994</v>
      </c>
      <c r="O681" s="2"/>
      <c r="P681" s="2">
        <v>68991.899999999994</v>
      </c>
      <c r="Q681" s="2" t="s">
        <v>44</v>
      </c>
      <c r="R681" s="2"/>
      <c r="S681" t="str">
        <f>VLOOKUP(B681,CASOPOInvCL!$B$1:$D$1600,1,FALSE)</f>
        <v>SO17625</v>
      </c>
      <c r="T681">
        <f t="shared" si="10"/>
        <v>8</v>
      </c>
    </row>
    <row r="682" spans="1:20" x14ac:dyDescent="0.25">
      <c r="A682" s="2">
        <v>1</v>
      </c>
      <c r="B682" s="2" t="s">
        <v>890</v>
      </c>
      <c r="C682" s="2" t="s">
        <v>891</v>
      </c>
      <c r="D682" s="2" t="s">
        <v>146</v>
      </c>
      <c r="E682" s="3">
        <v>45874.370694444442</v>
      </c>
      <c r="F682" s="3">
        <v>45875.564641203702</v>
      </c>
      <c r="G682" s="4">
        <v>45876</v>
      </c>
      <c r="H682" s="2" t="s">
        <v>40</v>
      </c>
      <c r="I682" s="2" t="s">
        <v>22</v>
      </c>
      <c r="J682" s="2">
        <v>1</v>
      </c>
      <c r="K682" s="2">
        <v>380.77</v>
      </c>
      <c r="L682" s="2">
        <v>0</v>
      </c>
      <c r="M682" s="2">
        <v>277.09685558835798</v>
      </c>
      <c r="N682" s="2">
        <v>362.64</v>
      </c>
      <c r="O682" s="2">
        <v>18.13</v>
      </c>
      <c r="P682" s="2">
        <v>380.77</v>
      </c>
      <c r="Q682" s="2" t="s">
        <v>44</v>
      </c>
      <c r="R682" s="2"/>
      <c r="S682" t="str">
        <f>VLOOKUP(B682,CASOPOInvCL!$B$1:$D$1600,1,FALSE)</f>
        <v>SO17626</v>
      </c>
      <c r="T682">
        <f t="shared" si="10"/>
        <v>8</v>
      </c>
    </row>
    <row r="683" spans="1:20" ht="30" x14ac:dyDescent="0.25">
      <c r="A683" s="2">
        <v>1</v>
      </c>
      <c r="B683" s="2" t="s">
        <v>902</v>
      </c>
      <c r="C683" s="2" t="s">
        <v>903</v>
      </c>
      <c r="D683" s="2" t="s">
        <v>159</v>
      </c>
      <c r="E683" s="3">
        <v>45874.401678240742</v>
      </c>
      <c r="F683" s="3">
        <v>45874.401678240742</v>
      </c>
      <c r="G683" s="4">
        <v>45891</v>
      </c>
      <c r="H683" s="2" t="s">
        <v>40</v>
      </c>
      <c r="I683" s="2" t="s">
        <v>51</v>
      </c>
      <c r="J683" s="2">
        <v>0.72590381117935043</v>
      </c>
      <c r="K683" s="2">
        <v>7978.9083771168953</v>
      </c>
      <c r="L683" s="2">
        <v>0</v>
      </c>
      <c r="M683" s="2">
        <v>5791.92</v>
      </c>
      <c r="N683" s="2">
        <v>5791.92</v>
      </c>
      <c r="O683" s="2"/>
      <c r="P683" s="2">
        <v>5791.92</v>
      </c>
      <c r="Q683" s="2" t="s">
        <v>44</v>
      </c>
      <c r="R683" s="2"/>
      <c r="S683" t="str">
        <f>VLOOKUP(B683,CASOPOInvCL!$B$1:$D$1600,1,FALSE)</f>
        <v>SO17627</v>
      </c>
      <c r="T683">
        <f t="shared" si="10"/>
        <v>8</v>
      </c>
    </row>
    <row r="684" spans="1:20" ht="30" x14ac:dyDescent="0.25">
      <c r="A684" s="2">
        <v>1</v>
      </c>
      <c r="B684" s="2" t="s">
        <v>821</v>
      </c>
      <c r="C684" s="2" t="s">
        <v>822</v>
      </c>
      <c r="D684" s="2" t="s">
        <v>159</v>
      </c>
      <c r="E684" s="3">
        <v>45874.41306712963</v>
      </c>
      <c r="F684" s="3">
        <v>45887.629930555559</v>
      </c>
      <c r="G684" s="4">
        <v>45891</v>
      </c>
      <c r="H684" s="2" t="s">
        <v>40</v>
      </c>
      <c r="I684" s="2" t="s">
        <v>51</v>
      </c>
      <c r="J684" s="2">
        <v>0.7240742470894046</v>
      </c>
      <c r="K684" s="2">
        <v>15526.36355344906</v>
      </c>
      <c r="L684" s="2">
        <v>0</v>
      </c>
      <c r="M684" s="2">
        <v>11242.24</v>
      </c>
      <c r="N684" s="2">
        <v>11242.24</v>
      </c>
      <c r="O684" s="2"/>
      <c r="P684" s="2">
        <v>11242.24</v>
      </c>
      <c r="Q684" s="2" t="s">
        <v>44</v>
      </c>
      <c r="R684" s="2"/>
      <c r="S684" t="str">
        <f>VLOOKUP(B684,CASOPOInvCL!$B$1:$D$1600,1,FALSE)</f>
        <v>SO17628</v>
      </c>
      <c r="T684">
        <f t="shared" si="10"/>
        <v>8</v>
      </c>
    </row>
    <row r="685" spans="1:20" x14ac:dyDescent="0.25">
      <c r="A685" s="2">
        <v>1</v>
      </c>
      <c r="B685" s="2" t="s">
        <v>892</v>
      </c>
      <c r="C685" s="2" t="s">
        <v>893</v>
      </c>
      <c r="D685" s="2" t="s">
        <v>70</v>
      </c>
      <c r="E685" s="3">
        <v>45874.526770833327</v>
      </c>
      <c r="F685" s="3">
        <v>45875.538460648153</v>
      </c>
      <c r="G685" s="4">
        <v>45882</v>
      </c>
      <c r="H685" s="2" t="s">
        <v>71</v>
      </c>
      <c r="I685" s="2" t="s">
        <v>51</v>
      </c>
      <c r="J685" s="2">
        <v>0.72590381117935043</v>
      </c>
      <c r="K685" s="2">
        <v>283.89436289801142</v>
      </c>
      <c r="L685" s="2">
        <v>0</v>
      </c>
      <c r="M685" s="2">
        <v>206.08</v>
      </c>
      <c r="N685" s="2">
        <v>206.08</v>
      </c>
      <c r="O685" s="2"/>
      <c r="P685" s="2">
        <v>206.08</v>
      </c>
      <c r="Q685" s="2" t="s">
        <v>44</v>
      </c>
      <c r="R685" s="2"/>
      <c r="S685" t="str">
        <f>VLOOKUP(B685,CASOPOInvCL!$B$1:$D$1600,1,FALSE)</f>
        <v>SO17630</v>
      </c>
      <c r="T685">
        <f t="shared" si="10"/>
        <v>8</v>
      </c>
    </row>
    <row r="686" spans="1:20" x14ac:dyDescent="0.25">
      <c r="A686" s="2">
        <v>1</v>
      </c>
      <c r="B686" s="2" t="s">
        <v>876</v>
      </c>
      <c r="C686" s="2" t="s">
        <v>877</v>
      </c>
      <c r="D686" s="2" t="s">
        <v>878</v>
      </c>
      <c r="E686" s="3">
        <v>45874.727430555547</v>
      </c>
      <c r="F686" s="3">
        <v>45877.692997685182</v>
      </c>
      <c r="G686" s="4">
        <v>45996</v>
      </c>
      <c r="H686" s="2" t="s">
        <v>21</v>
      </c>
      <c r="I686" s="2" t="s">
        <v>51</v>
      </c>
      <c r="J686" s="2">
        <v>0.72772764552973712</v>
      </c>
      <c r="K686" s="2">
        <v>3009.065291735601</v>
      </c>
      <c r="L686" s="2">
        <v>0</v>
      </c>
      <c r="M686" s="2">
        <v>2189.7800000000002</v>
      </c>
      <c r="N686" s="2">
        <v>2189.7800000000002</v>
      </c>
      <c r="O686" s="2"/>
      <c r="P686" s="2">
        <v>2189.7800000000002</v>
      </c>
      <c r="Q686" s="2" t="s">
        <v>44</v>
      </c>
      <c r="R686" s="2"/>
      <c r="S686" t="str">
        <f>VLOOKUP(B686,CASOPOInvCL!$B$1:$D$1600,1,FALSE)</f>
        <v>SO17636</v>
      </c>
      <c r="T686">
        <f t="shared" si="10"/>
        <v>8</v>
      </c>
    </row>
    <row r="687" spans="1:20" x14ac:dyDescent="0.25">
      <c r="A687" s="2">
        <v>1</v>
      </c>
      <c r="B687" s="2" t="s">
        <v>894</v>
      </c>
      <c r="C687" s="2" t="s">
        <v>895</v>
      </c>
      <c r="D687" s="2" t="s">
        <v>146</v>
      </c>
      <c r="E687" s="3">
        <v>45875.350532407407</v>
      </c>
      <c r="F687" s="3">
        <v>45875.360682870371</v>
      </c>
      <c r="G687" s="4">
        <v>45876</v>
      </c>
      <c r="H687" s="2" t="s">
        <v>40</v>
      </c>
      <c r="I687" s="2" t="s">
        <v>22</v>
      </c>
      <c r="J687" s="2">
        <v>1</v>
      </c>
      <c r="K687" s="2">
        <v>904.58</v>
      </c>
      <c r="L687" s="2">
        <v>0</v>
      </c>
      <c r="M687" s="2">
        <v>658.28787359328965</v>
      </c>
      <c r="N687" s="2">
        <v>861.5</v>
      </c>
      <c r="O687" s="2">
        <v>43.08</v>
      </c>
      <c r="P687" s="2">
        <v>904.58</v>
      </c>
      <c r="Q687" s="2" t="s">
        <v>44</v>
      </c>
      <c r="R687" s="2"/>
      <c r="S687" t="str">
        <f>VLOOKUP(B687,CASOPOInvCL!$B$1:$D$1600,1,FALSE)</f>
        <v>SO17637</v>
      </c>
      <c r="T687">
        <f t="shared" si="10"/>
        <v>8</v>
      </c>
    </row>
    <row r="688" spans="1:20" x14ac:dyDescent="0.25">
      <c r="A688" s="2">
        <v>1</v>
      </c>
      <c r="B688" s="2" t="s">
        <v>879</v>
      </c>
      <c r="C688" s="2" t="s">
        <v>880</v>
      </c>
      <c r="D688" s="2" t="s">
        <v>35</v>
      </c>
      <c r="E688" s="3">
        <v>45875.586087962962</v>
      </c>
      <c r="F688" s="3">
        <v>45877.626458333332</v>
      </c>
      <c r="G688" s="4">
        <v>45884</v>
      </c>
      <c r="H688" s="2" t="s">
        <v>36</v>
      </c>
      <c r="I688" s="2" t="s">
        <v>22</v>
      </c>
      <c r="J688" s="2">
        <v>1</v>
      </c>
      <c r="K688" s="2">
        <v>132.47</v>
      </c>
      <c r="L688" s="2">
        <v>0</v>
      </c>
      <c r="M688" s="2">
        <v>96.316368556038285</v>
      </c>
      <c r="N688" s="2">
        <v>126.16</v>
      </c>
      <c r="O688" s="2">
        <v>6.31</v>
      </c>
      <c r="P688" s="2">
        <v>132.47</v>
      </c>
      <c r="Q688" s="2" t="s">
        <v>44</v>
      </c>
      <c r="R688" s="2"/>
      <c r="S688" t="str">
        <f>VLOOKUP(B688,CASOPOInvCL!$B$1:$D$1600,1,FALSE)</f>
        <v>SO17640</v>
      </c>
      <c r="T688">
        <f t="shared" si="10"/>
        <v>8</v>
      </c>
    </row>
    <row r="689" spans="1:20" x14ac:dyDescent="0.25">
      <c r="A689" s="2">
        <v>1</v>
      </c>
      <c r="B689" s="2" t="s">
        <v>886</v>
      </c>
      <c r="C689" s="2" t="s">
        <v>887</v>
      </c>
      <c r="D689" s="2" t="s">
        <v>54</v>
      </c>
      <c r="E689" s="3">
        <v>45875.698634259257</v>
      </c>
      <c r="F689" s="3">
        <v>45875.701909722222</v>
      </c>
      <c r="G689" s="4">
        <v>45959</v>
      </c>
      <c r="H689" s="2" t="s">
        <v>21</v>
      </c>
      <c r="I689" s="2" t="s">
        <v>22</v>
      </c>
      <c r="J689" s="2">
        <v>1</v>
      </c>
      <c r="K689" s="2">
        <v>9475.69</v>
      </c>
      <c r="L689" s="2">
        <v>0</v>
      </c>
      <c r="M689" s="2">
        <v>6895.7215734696747</v>
      </c>
      <c r="N689" s="2">
        <v>9024.4699999999993</v>
      </c>
      <c r="O689" s="2">
        <v>451.22</v>
      </c>
      <c r="P689" s="2">
        <v>9475.69</v>
      </c>
      <c r="Q689" s="2" t="s">
        <v>44</v>
      </c>
      <c r="R689" s="2"/>
      <c r="S689" t="str">
        <f>VLOOKUP(B689,CASOPOInvCL!$B$1:$D$1600,1,FALSE)</f>
        <v>SO17643</v>
      </c>
      <c r="T689">
        <f t="shared" si="10"/>
        <v>8</v>
      </c>
    </row>
    <row r="690" spans="1:20" x14ac:dyDescent="0.25">
      <c r="A690" s="2">
        <v>2</v>
      </c>
      <c r="B690" s="2" t="s">
        <v>851</v>
      </c>
      <c r="C690" s="2" t="s">
        <v>852</v>
      </c>
      <c r="D690" s="2" t="s">
        <v>135</v>
      </c>
      <c r="E690" s="3">
        <v>45875.718333333331</v>
      </c>
      <c r="F690" s="3">
        <v>45882.403622685182</v>
      </c>
      <c r="G690" s="4">
        <v>45994</v>
      </c>
      <c r="H690" s="2" t="s">
        <v>21</v>
      </c>
      <c r="I690" s="2" t="s">
        <v>22</v>
      </c>
      <c r="J690" s="2">
        <v>1</v>
      </c>
      <c r="K690" s="2">
        <v>12179.86</v>
      </c>
      <c r="L690" s="2">
        <v>0</v>
      </c>
      <c r="M690" s="2">
        <v>8848.266801237718</v>
      </c>
      <c r="N690" s="2">
        <v>10778.64</v>
      </c>
      <c r="O690" s="2">
        <v>1401.22</v>
      </c>
      <c r="P690" s="2">
        <v>12179.86</v>
      </c>
      <c r="Q690" s="2" t="s">
        <v>44</v>
      </c>
      <c r="R690" s="2"/>
      <c r="S690" t="str">
        <f>VLOOKUP(B690,CASOPOInvCL!$B$1:$D$1600,1,FALSE)</f>
        <v>SO17644</v>
      </c>
      <c r="T690">
        <f t="shared" si="10"/>
        <v>8</v>
      </c>
    </row>
    <row r="691" spans="1:20" x14ac:dyDescent="0.25">
      <c r="A691" s="2">
        <v>1</v>
      </c>
      <c r="B691" s="2" t="s">
        <v>884</v>
      </c>
      <c r="C691" s="2" t="s">
        <v>885</v>
      </c>
      <c r="D691" s="2" t="s">
        <v>684</v>
      </c>
      <c r="E691" s="3">
        <v>45875.721388888887</v>
      </c>
      <c r="F691" s="3">
        <v>45875.732523148137</v>
      </c>
      <c r="G691" s="4">
        <v>45889</v>
      </c>
      <c r="H691" s="2" t="s">
        <v>36</v>
      </c>
      <c r="I691" s="2" t="s">
        <v>22</v>
      </c>
      <c r="J691" s="2">
        <v>1</v>
      </c>
      <c r="K691" s="2">
        <v>214.54</v>
      </c>
      <c r="L691" s="2">
        <v>0</v>
      </c>
      <c r="M691" s="2">
        <v>156.12668907194981</v>
      </c>
      <c r="N691" s="2">
        <v>204.32</v>
      </c>
      <c r="O691" s="2">
        <v>10.220000000000001</v>
      </c>
      <c r="P691" s="2">
        <v>214.54</v>
      </c>
      <c r="Q691" s="2" t="s">
        <v>44</v>
      </c>
      <c r="R691" s="2"/>
      <c r="S691" t="str">
        <f>VLOOKUP(B691,CASOPOInvCL!$B$1:$D$1600,1,FALSE)</f>
        <v>SO17645</v>
      </c>
      <c r="T691">
        <f t="shared" si="10"/>
        <v>8</v>
      </c>
    </row>
    <row r="692" spans="1:20" x14ac:dyDescent="0.25">
      <c r="A692" s="2">
        <v>1</v>
      </c>
      <c r="B692" s="2" t="s">
        <v>874</v>
      </c>
      <c r="C692" s="2" t="s">
        <v>875</v>
      </c>
      <c r="D692" s="2" t="s">
        <v>630</v>
      </c>
      <c r="E692" s="3">
        <v>45876.620208333326</v>
      </c>
      <c r="F692" s="3">
        <v>45880.470532407409</v>
      </c>
      <c r="G692" s="4">
        <v>45929</v>
      </c>
      <c r="H692" s="2" t="s">
        <v>21</v>
      </c>
      <c r="I692" s="2" t="s">
        <v>22</v>
      </c>
      <c r="J692" s="2">
        <v>1</v>
      </c>
      <c r="K692" s="2">
        <v>10340.629999999999</v>
      </c>
      <c r="L692" s="2">
        <v>0</v>
      </c>
      <c r="M692" s="2">
        <v>7501.2551773007926</v>
      </c>
      <c r="N692" s="2">
        <v>9848.2199999999993</v>
      </c>
      <c r="O692" s="2">
        <v>492.41</v>
      </c>
      <c r="P692" s="2">
        <v>10340.629999999999</v>
      </c>
      <c r="Q692" s="2" t="s">
        <v>44</v>
      </c>
      <c r="R692" s="2"/>
      <c r="S692" t="str">
        <f>VLOOKUP(B692,CASOPOInvCL!$B$1:$D$1600,1,FALSE)</f>
        <v>SO17648</v>
      </c>
      <c r="T692">
        <f t="shared" si="10"/>
        <v>8</v>
      </c>
    </row>
    <row r="693" spans="1:20" x14ac:dyDescent="0.25">
      <c r="A693" s="2">
        <v>1</v>
      </c>
      <c r="B693" s="2" t="s">
        <v>808</v>
      </c>
      <c r="C693" s="2" t="s">
        <v>809</v>
      </c>
      <c r="D693" s="2" t="s">
        <v>141</v>
      </c>
      <c r="E693" s="3">
        <v>45876.721261574072</v>
      </c>
      <c r="F693" s="3">
        <v>45889.358900462961</v>
      </c>
      <c r="G693" s="4">
        <v>45890</v>
      </c>
      <c r="H693" s="2" t="s">
        <v>21</v>
      </c>
      <c r="I693" s="2" t="s">
        <v>51</v>
      </c>
      <c r="J693" s="2">
        <v>0.72149778458582292</v>
      </c>
      <c r="K693" s="2">
        <v>12237.903135168541</v>
      </c>
      <c r="L693" s="2">
        <v>0</v>
      </c>
      <c r="M693" s="2">
        <v>8829.6200000000008</v>
      </c>
      <c r="N693" s="2">
        <v>8829.6200000000008</v>
      </c>
      <c r="O693" s="2"/>
      <c r="P693" s="2">
        <v>8829.6200000000008</v>
      </c>
      <c r="Q693" s="2" t="s">
        <v>44</v>
      </c>
      <c r="R693" s="2"/>
      <c r="S693" t="str">
        <f>VLOOKUP(B693,CASOPOInvCL!$B$1:$D$1600,1,FALSE)</f>
        <v>SO17651</v>
      </c>
      <c r="T693">
        <f t="shared" si="10"/>
        <v>8</v>
      </c>
    </row>
    <row r="694" spans="1:20" x14ac:dyDescent="0.25">
      <c r="A694" s="2">
        <v>1</v>
      </c>
      <c r="B694" s="2" t="s">
        <v>883</v>
      </c>
      <c r="C694" s="2"/>
      <c r="D694" s="2" t="s">
        <v>129</v>
      </c>
      <c r="E694" s="3">
        <v>45876.795023148137</v>
      </c>
      <c r="F694" s="3">
        <v>45876.795717592591</v>
      </c>
      <c r="G694" s="4">
        <v>45877</v>
      </c>
      <c r="H694" s="2" t="s">
        <v>130</v>
      </c>
      <c r="I694" s="2" t="s">
        <v>51</v>
      </c>
      <c r="J694" s="2">
        <v>0.72560216344070383</v>
      </c>
      <c r="K694" s="2">
        <v>110.2532545116062</v>
      </c>
      <c r="L694" s="2">
        <v>0</v>
      </c>
      <c r="M694" s="2">
        <v>80</v>
      </c>
      <c r="N694" s="2">
        <v>80</v>
      </c>
      <c r="O694" s="2"/>
      <c r="P694" s="2">
        <v>80</v>
      </c>
      <c r="Q694" s="2" t="s">
        <v>44</v>
      </c>
      <c r="R694" s="2"/>
      <c r="S694" t="str">
        <f>VLOOKUP(B694,CASOPOInvCL!$B$1:$D$1600,1,FALSE)</f>
        <v>SO17652</v>
      </c>
      <c r="T694">
        <f t="shared" si="10"/>
        <v>8</v>
      </c>
    </row>
    <row r="695" spans="1:20" x14ac:dyDescent="0.25">
      <c r="A695" s="2">
        <v>1</v>
      </c>
      <c r="B695" s="2" t="s">
        <v>870</v>
      </c>
      <c r="C695" s="2" t="s">
        <v>871</v>
      </c>
      <c r="D695" s="2" t="s">
        <v>644</v>
      </c>
      <c r="E695" s="3">
        <v>45877.399953703702</v>
      </c>
      <c r="F695" s="3">
        <v>45880.51972222222</v>
      </c>
      <c r="G695" s="4">
        <v>45882</v>
      </c>
      <c r="H695" s="2" t="s">
        <v>21</v>
      </c>
      <c r="I695" s="2" t="s">
        <v>51</v>
      </c>
      <c r="J695" s="2">
        <v>0.72687673995949531</v>
      </c>
      <c r="K695" s="2">
        <v>5760.6740865491647</v>
      </c>
      <c r="L695" s="2">
        <v>0</v>
      </c>
      <c r="M695" s="2">
        <v>4187.3</v>
      </c>
      <c r="N695" s="2">
        <v>4187.3</v>
      </c>
      <c r="O695" s="2"/>
      <c r="P695" s="2">
        <v>4187.3</v>
      </c>
      <c r="Q695" s="2" t="s">
        <v>44</v>
      </c>
      <c r="R695" s="2"/>
      <c r="S695" t="str">
        <f>VLOOKUP(B695,CASOPOInvCL!$B$1:$D$1600,1,FALSE)</f>
        <v>SO17653</v>
      </c>
      <c r="T695">
        <f t="shared" si="10"/>
        <v>8</v>
      </c>
    </row>
    <row r="696" spans="1:20" x14ac:dyDescent="0.25">
      <c r="A696" s="2">
        <v>1</v>
      </c>
      <c r="B696" s="2" t="s">
        <v>881</v>
      </c>
      <c r="C696" s="2" t="s">
        <v>882</v>
      </c>
      <c r="D696" s="2" t="s">
        <v>239</v>
      </c>
      <c r="E696" s="3">
        <v>45877.448958333327</v>
      </c>
      <c r="F696" s="3">
        <v>45877.449340277781</v>
      </c>
      <c r="G696" s="4">
        <v>45880</v>
      </c>
      <c r="H696" s="2" t="s">
        <v>180</v>
      </c>
      <c r="I696" s="2" t="s">
        <v>51</v>
      </c>
      <c r="J696" s="2">
        <v>0.72772764552973712</v>
      </c>
      <c r="K696" s="2">
        <v>2496.6070907989961</v>
      </c>
      <c r="L696" s="2">
        <v>0</v>
      </c>
      <c r="M696" s="2">
        <v>1816.85</v>
      </c>
      <c r="N696" s="2">
        <v>1816.85</v>
      </c>
      <c r="O696" s="2"/>
      <c r="P696" s="2">
        <v>1816.85</v>
      </c>
      <c r="Q696" s="2" t="s">
        <v>44</v>
      </c>
      <c r="R696" s="2"/>
      <c r="S696" t="str">
        <f>VLOOKUP(B696,CASOPOInvCL!$B$1:$D$1600,1,FALSE)</f>
        <v>SO17655</v>
      </c>
      <c r="T696">
        <f t="shared" si="10"/>
        <v>8</v>
      </c>
    </row>
    <row r="697" spans="1:20" x14ac:dyDescent="0.25">
      <c r="A697" s="2">
        <v>1</v>
      </c>
      <c r="B697" s="2" t="s">
        <v>872</v>
      </c>
      <c r="C697" s="2" t="s">
        <v>873</v>
      </c>
      <c r="D697" s="2" t="s">
        <v>86</v>
      </c>
      <c r="E697" s="3">
        <v>45877.756053240737</v>
      </c>
      <c r="F697" s="3">
        <v>45880.479097222233</v>
      </c>
      <c r="G697" s="4">
        <v>45887</v>
      </c>
      <c r="H697" s="2" t="s">
        <v>21</v>
      </c>
      <c r="I697" s="2" t="s">
        <v>22</v>
      </c>
      <c r="J697" s="2">
        <v>1</v>
      </c>
      <c r="K697" s="2">
        <v>129.11000000000001</v>
      </c>
      <c r="L697" s="2">
        <v>0</v>
      </c>
      <c r="M697" s="2">
        <v>93.658418872090536</v>
      </c>
      <c r="N697" s="2">
        <v>122.96</v>
      </c>
      <c r="O697" s="2">
        <v>6.15</v>
      </c>
      <c r="P697" s="2">
        <v>129.11000000000001</v>
      </c>
      <c r="Q697" s="2" t="s">
        <v>44</v>
      </c>
      <c r="R697" s="2"/>
      <c r="S697" t="str">
        <f>VLOOKUP(B697,CASOPOInvCL!$B$1:$D$1600,1,FALSE)</f>
        <v>SO17656</v>
      </c>
      <c r="T697">
        <f t="shared" si="10"/>
        <v>8</v>
      </c>
    </row>
    <row r="698" spans="1:20" x14ac:dyDescent="0.25">
      <c r="A698" s="2">
        <v>1</v>
      </c>
      <c r="B698" s="2" t="s">
        <v>862</v>
      </c>
      <c r="C698" s="2" t="s">
        <v>863</v>
      </c>
      <c r="D698" s="2" t="s">
        <v>864</v>
      </c>
      <c r="E698" s="3">
        <v>45880.461770833332</v>
      </c>
      <c r="F698" s="3">
        <v>45880.700439814813</v>
      </c>
      <c r="G698" s="4">
        <v>45881</v>
      </c>
      <c r="H698" s="2" t="s">
        <v>21</v>
      </c>
      <c r="I698" s="2" t="s">
        <v>22</v>
      </c>
      <c r="J698" s="2">
        <v>1</v>
      </c>
      <c r="K698" s="2">
        <v>2038.62</v>
      </c>
      <c r="L698" s="2">
        <v>0</v>
      </c>
      <c r="M698" s="2">
        <v>1478.846920308428</v>
      </c>
      <c r="N698" s="2">
        <v>1941.54</v>
      </c>
      <c r="O698" s="2">
        <v>97.08</v>
      </c>
      <c r="P698" s="2">
        <v>2038.62</v>
      </c>
      <c r="Q698" s="2" t="s">
        <v>44</v>
      </c>
      <c r="R698" s="2"/>
      <c r="S698" t="str">
        <f>VLOOKUP(B698,CASOPOInvCL!$B$1:$D$1600,1,FALSE)</f>
        <v>SO17659</v>
      </c>
      <c r="T698">
        <f t="shared" si="10"/>
        <v>8</v>
      </c>
    </row>
    <row r="699" spans="1:20" x14ac:dyDescent="0.25">
      <c r="A699" s="2">
        <v>1</v>
      </c>
      <c r="B699" s="2" t="s">
        <v>858</v>
      </c>
      <c r="C699" s="2" t="s">
        <v>859</v>
      </c>
      <c r="D699" s="2" t="s">
        <v>54</v>
      </c>
      <c r="E699" s="3">
        <v>45880.525520833333</v>
      </c>
      <c r="F699" s="3">
        <v>45881.459641203714</v>
      </c>
      <c r="G699" s="4">
        <v>45882</v>
      </c>
      <c r="H699" s="2" t="s">
        <v>21</v>
      </c>
      <c r="I699" s="2" t="s">
        <v>22</v>
      </c>
      <c r="J699" s="2">
        <v>1</v>
      </c>
      <c r="K699" s="2">
        <v>1488.69</v>
      </c>
      <c r="L699" s="2">
        <v>0</v>
      </c>
      <c r="M699" s="2">
        <v>1081.602923416903</v>
      </c>
      <c r="N699" s="2">
        <v>1417.8</v>
      </c>
      <c r="O699" s="2">
        <v>70.89</v>
      </c>
      <c r="P699" s="2">
        <v>1488.69</v>
      </c>
      <c r="Q699" s="2" t="s">
        <v>44</v>
      </c>
      <c r="R699" s="2"/>
      <c r="S699" t="str">
        <f>VLOOKUP(B699,CASOPOInvCL!$B$1:$D$1600,1,FALSE)</f>
        <v>SO17660</v>
      </c>
      <c r="T699">
        <f t="shared" si="10"/>
        <v>8</v>
      </c>
    </row>
    <row r="700" spans="1:20" x14ac:dyDescent="0.25">
      <c r="A700" s="2">
        <v>1</v>
      </c>
      <c r="B700" s="2" t="s">
        <v>860</v>
      </c>
      <c r="C700" s="2" t="s">
        <v>861</v>
      </c>
      <c r="D700" s="2" t="s">
        <v>35</v>
      </c>
      <c r="E700" s="3">
        <v>45880.563761574071</v>
      </c>
      <c r="F700" s="3">
        <v>45880.72755787037</v>
      </c>
      <c r="G700" s="4">
        <v>45887</v>
      </c>
      <c r="H700" s="2" t="s">
        <v>36</v>
      </c>
      <c r="I700" s="2" t="s">
        <v>22</v>
      </c>
      <c r="J700" s="2">
        <v>1</v>
      </c>
      <c r="K700" s="2">
        <v>2877.18</v>
      </c>
      <c r="L700" s="2">
        <v>0</v>
      </c>
      <c r="M700" s="2">
        <v>2087.1514957044492</v>
      </c>
      <c r="N700" s="2">
        <v>2740.17</v>
      </c>
      <c r="O700" s="2">
        <v>137.01</v>
      </c>
      <c r="P700" s="2">
        <v>2877.18</v>
      </c>
      <c r="Q700" s="2" t="s">
        <v>44</v>
      </c>
      <c r="R700" s="2"/>
      <c r="S700" t="str">
        <f>VLOOKUP(B700,CASOPOInvCL!$B$1:$D$1600,1,FALSE)</f>
        <v>SO17661</v>
      </c>
      <c r="T700">
        <f t="shared" si="10"/>
        <v>8</v>
      </c>
    </row>
    <row r="701" spans="1:20" x14ac:dyDescent="0.25">
      <c r="A701" s="2">
        <v>1</v>
      </c>
      <c r="B701" s="2" t="s">
        <v>865</v>
      </c>
      <c r="C701" s="2" t="s">
        <v>866</v>
      </c>
      <c r="D701" s="2" t="s">
        <v>684</v>
      </c>
      <c r="E701" s="3">
        <v>45880.605833333328</v>
      </c>
      <c r="F701" s="3">
        <v>45880.610659722217</v>
      </c>
      <c r="G701" s="4">
        <v>45894</v>
      </c>
      <c r="H701" s="2" t="s">
        <v>36</v>
      </c>
      <c r="I701" s="2" t="s">
        <v>22</v>
      </c>
      <c r="J701" s="2">
        <v>1</v>
      </c>
      <c r="K701" s="2">
        <v>206.81</v>
      </c>
      <c r="L701" s="2">
        <v>0</v>
      </c>
      <c r="M701" s="2">
        <v>150.0232174652393</v>
      </c>
      <c r="N701" s="2">
        <v>196.96</v>
      </c>
      <c r="O701" s="2">
        <v>9.85</v>
      </c>
      <c r="P701" s="2">
        <v>206.81</v>
      </c>
      <c r="Q701" s="2" t="s">
        <v>44</v>
      </c>
      <c r="R701" s="2"/>
      <c r="S701" t="str">
        <f>VLOOKUP(B701,CASOPOInvCL!$B$1:$D$1600,1,FALSE)</f>
        <v>SO17662</v>
      </c>
      <c r="T701">
        <f t="shared" si="10"/>
        <v>8</v>
      </c>
    </row>
    <row r="702" spans="1:20" x14ac:dyDescent="0.25">
      <c r="A702" s="2">
        <v>1</v>
      </c>
      <c r="B702" s="2" t="s">
        <v>839</v>
      </c>
      <c r="C702" s="2" t="s">
        <v>840</v>
      </c>
      <c r="D702" s="2" t="s">
        <v>495</v>
      </c>
      <c r="E702" s="3">
        <v>45880.651064814818</v>
      </c>
      <c r="F702" s="3">
        <v>45883.505960648137</v>
      </c>
      <c r="G702" s="4">
        <v>45987</v>
      </c>
      <c r="H702" s="2" t="s">
        <v>180</v>
      </c>
      <c r="I702" s="2" t="s">
        <v>51</v>
      </c>
      <c r="J702" s="2">
        <v>0.72646703666854284</v>
      </c>
      <c r="K702" s="2">
        <v>18193.90190174658</v>
      </c>
      <c r="L702" s="2">
        <v>0</v>
      </c>
      <c r="M702" s="2">
        <v>13217.27</v>
      </c>
      <c r="N702" s="2">
        <v>13217.27</v>
      </c>
      <c r="O702" s="2"/>
      <c r="P702" s="2">
        <v>13217.27</v>
      </c>
      <c r="Q702" s="2" t="s">
        <v>44</v>
      </c>
      <c r="R702" s="2"/>
      <c r="S702" t="str">
        <f>VLOOKUP(B702,CASOPOInvCL!$B$1:$D$1600,1,FALSE)</f>
        <v>SO17664</v>
      </c>
      <c r="T702">
        <f t="shared" si="10"/>
        <v>8</v>
      </c>
    </row>
    <row r="703" spans="1:20" x14ac:dyDescent="0.25">
      <c r="A703" s="2">
        <v>1</v>
      </c>
      <c r="B703" s="2" t="s">
        <v>849</v>
      </c>
      <c r="C703" s="2" t="s">
        <v>850</v>
      </c>
      <c r="D703" s="2" t="s">
        <v>77</v>
      </c>
      <c r="E703" s="3">
        <v>45882.422222222223</v>
      </c>
      <c r="F703" s="3">
        <v>45882.485578703701</v>
      </c>
      <c r="G703" s="4">
        <v>45883</v>
      </c>
      <c r="H703" s="2" t="s">
        <v>40</v>
      </c>
      <c r="I703" s="2" t="s">
        <v>22</v>
      </c>
      <c r="J703" s="2">
        <v>1</v>
      </c>
      <c r="K703" s="2">
        <v>517.79999999999995</v>
      </c>
      <c r="L703" s="2">
        <v>0</v>
      </c>
      <c r="M703" s="2">
        <v>376.16463158697138</v>
      </c>
      <c r="N703" s="2">
        <v>493.15</v>
      </c>
      <c r="O703" s="2">
        <v>24.65</v>
      </c>
      <c r="P703" s="2">
        <v>517.79999999999995</v>
      </c>
      <c r="Q703" s="2" t="s">
        <v>44</v>
      </c>
      <c r="R703" s="2"/>
      <c r="S703" t="str">
        <f>VLOOKUP(B703,CASOPOInvCL!$B$1:$D$1600,1,FALSE)</f>
        <v>SO17670</v>
      </c>
      <c r="T703">
        <f t="shared" si="10"/>
        <v>8</v>
      </c>
    </row>
    <row r="704" spans="1:20" x14ac:dyDescent="0.25">
      <c r="A704" s="2">
        <v>1</v>
      </c>
      <c r="B704" s="2" t="s">
        <v>847</v>
      </c>
      <c r="C704" s="2" t="s">
        <v>848</v>
      </c>
      <c r="D704" s="2" t="s">
        <v>141</v>
      </c>
      <c r="E704" s="3">
        <v>45882.524699074071</v>
      </c>
      <c r="F704" s="3">
        <v>45882.66265046296</v>
      </c>
      <c r="G704" s="4">
        <v>45894</v>
      </c>
      <c r="H704" s="2" t="s">
        <v>21</v>
      </c>
      <c r="I704" s="2" t="s">
        <v>51</v>
      </c>
      <c r="J704" s="2">
        <v>0.72654677831979975</v>
      </c>
      <c r="K704" s="2">
        <v>38.841270572090501</v>
      </c>
      <c r="L704" s="2">
        <v>0</v>
      </c>
      <c r="M704" s="2">
        <v>28.22</v>
      </c>
      <c r="N704" s="2">
        <v>28.22</v>
      </c>
      <c r="O704" s="2"/>
      <c r="P704" s="2">
        <v>28.22</v>
      </c>
      <c r="Q704" s="2" t="s">
        <v>44</v>
      </c>
      <c r="R704" s="2"/>
      <c r="S704" t="str">
        <f>VLOOKUP(B704,CASOPOInvCL!$B$1:$D$1600,1,FALSE)</f>
        <v>SO17673</v>
      </c>
      <c r="T704">
        <f t="shared" si="10"/>
        <v>8</v>
      </c>
    </row>
    <row r="705" spans="1:20" x14ac:dyDescent="0.25">
      <c r="A705" s="2">
        <v>1</v>
      </c>
      <c r="B705" s="2" t="s">
        <v>812</v>
      </c>
      <c r="C705" s="2" t="s">
        <v>813</v>
      </c>
      <c r="D705" s="2" t="s">
        <v>316</v>
      </c>
      <c r="E705" s="3">
        <v>45882.575902777768</v>
      </c>
      <c r="F705" s="3">
        <v>45888.737500000003</v>
      </c>
      <c r="G705" s="4">
        <v>45900</v>
      </c>
      <c r="H705" s="2" t="s">
        <v>36</v>
      </c>
      <c r="I705" s="2" t="s">
        <v>22</v>
      </c>
      <c r="J705" s="2">
        <v>1</v>
      </c>
      <c r="K705" s="2">
        <v>2440.75</v>
      </c>
      <c r="L705" s="2">
        <v>0</v>
      </c>
      <c r="M705" s="2">
        <v>1760.995717727847</v>
      </c>
      <c r="N705" s="2">
        <v>2440.75</v>
      </c>
      <c r="O705" s="2"/>
      <c r="P705" s="2">
        <v>2440.75</v>
      </c>
      <c r="Q705" s="2" t="s">
        <v>44</v>
      </c>
      <c r="R705" s="2"/>
      <c r="S705" t="str">
        <f>VLOOKUP(B705,CASOPOInvCL!$B$1:$D$1600,1,FALSE)</f>
        <v>SO17674</v>
      </c>
      <c r="T705">
        <f t="shared" si="10"/>
        <v>8</v>
      </c>
    </row>
    <row r="706" spans="1:20" x14ac:dyDescent="0.25">
      <c r="A706" s="2">
        <v>1</v>
      </c>
      <c r="B706" s="2" t="s">
        <v>843</v>
      </c>
      <c r="C706" s="2" t="s">
        <v>844</v>
      </c>
      <c r="D706" s="2" t="s">
        <v>141</v>
      </c>
      <c r="E706" s="3">
        <v>45883.417384259257</v>
      </c>
      <c r="F706" s="3">
        <v>45883.423784722218</v>
      </c>
      <c r="G706" s="4">
        <v>45886</v>
      </c>
      <c r="H706" s="2" t="s">
        <v>40</v>
      </c>
      <c r="I706" s="2" t="s">
        <v>51</v>
      </c>
      <c r="J706" s="2">
        <v>0.72646703666854284</v>
      </c>
      <c r="K706" s="2">
        <v>2101.2515681375298</v>
      </c>
      <c r="L706" s="2">
        <v>0</v>
      </c>
      <c r="M706" s="2">
        <v>1526.49</v>
      </c>
      <c r="N706" s="2">
        <v>1526.49</v>
      </c>
      <c r="O706" s="2"/>
      <c r="P706" s="2">
        <v>1526.49</v>
      </c>
      <c r="Q706" s="2" t="s">
        <v>44</v>
      </c>
      <c r="R706" s="2"/>
      <c r="S706" t="str">
        <f>VLOOKUP(B706,CASOPOInvCL!$B$1:$D$1600,1,FALSE)</f>
        <v>SO17676</v>
      </c>
      <c r="T706">
        <f t="shared" si="10"/>
        <v>8</v>
      </c>
    </row>
    <row r="707" spans="1:20" x14ac:dyDescent="0.25">
      <c r="A707" s="2">
        <v>1</v>
      </c>
      <c r="B707" s="2" t="s">
        <v>841</v>
      </c>
      <c r="C707" s="2" t="s">
        <v>842</v>
      </c>
      <c r="D707" s="2" t="s">
        <v>141</v>
      </c>
      <c r="E707" s="3">
        <v>45883.42392361111</v>
      </c>
      <c r="F707" s="3">
        <v>45883.429097222222</v>
      </c>
      <c r="G707" s="4">
        <v>45886</v>
      </c>
      <c r="H707" s="2" t="s">
        <v>40</v>
      </c>
      <c r="I707" s="2" t="s">
        <v>51</v>
      </c>
      <c r="J707" s="2">
        <v>0.72646703666854284</v>
      </c>
      <c r="K707" s="2">
        <v>649.00398256489234</v>
      </c>
      <c r="L707" s="2">
        <v>0</v>
      </c>
      <c r="M707" s="2">
        <v>471.48</v>
      </c>
      <c r="N707" s="2">
        <v>471.48</v>
      </c>
      <c r="O707" s="2"/>
      <c r="P707" s="2">
        <v>471.48</v>
      </c>
      <c r="Q707" s="2" t="s">
        <v>44</v>
      </c>
      <c r="R707" s="2"/>
      <c r="S707" t="str">
        <f>VLOOKUP(B707,CASOPOInvCL!$B$1:$D$1600,1,FALSE)</f>
        <v>SO17677</v>
      </c>
      <c r="T707">
        <f t="shared" ref="T707:T770" si="11">MONTH(E707)</f>
        <v>8</v>
      </c>
    </row>
    <row r="708" spans="1:20" x14ac:dyDescent="0.25">
      <c r="A708" s="2">
        <v>1</v>
      </c>
      <c r="B708" s="2" t="s">
        <v>6172</v>
      </c>
      <c r="C708" s="2" t="s">
        <v>5977</v>
      </c>
      <c r="D708" s="2" t="s">
        <v>3537</v>
      </c>
      <c r="E708" s="3">
        <v>45883.533900462957</v>
      </c>
      <c r="F708" s="3">
        <v>45996.4609837963</v>
      </c>
      <c r="G708" s="4">
        <v>45996</v>
      </c>
      <c r="H708" s="2" t="s">
        <v>21</v>
      </c>
      <c r="I708" s="2" t="s">
        <v>22</v>
      </c>
      <c r="J708" s="2">
        <v>1</v>
      </c>
      <c r="K708" s="2">
        <v>78.58</v>
      </c>
      <c r="L708" s="2">
        <v>0</v>
      </c>
      <c r="M708" s="2">
        <v>56.696283233458729</v>
      </c>
      <c r="N708" s="2">
        <v>74.84</v>
      </c>
      <c r="O708" s="2">
        <v>3.74</v>
      </c>
      <c r="P708" s="2">
        <v>78.58</v>
      </c>
      <c r="Q708" s="2" t="s">
        <v>44</v>
      </c>
      <c r="R708" s="2"/>
      <c r="S708" t="str">
        <f>VLOOKUP(B708,CASOPOInvCL!$B$1:$D$1600,1,FALSE)</f>
        <v>SO17678</v>
      </c>
      <c r="T708">
        <f t="shared" si="11"/>
        <v>8</v>
      </c>
    </row>
    <row r="709" spans="1:20" x14ac:dyDescent="0.25">
      <c r="A709" s="2">
        <v>1</v>
      </c>
      <c r="B709" s="2" t="s">
        <v>695</v>
      </c>
      <c r="C709" s="2" t="s">
        <v>696</v>
      </c>
      <c r="D709" s="2" t="s">
        <v>644</v>
      </c>
      <c r="E709" s="3">
        <v>45883.578564814823</v>
      </c>
      <c r="F709" s="3">
        <v>45904.747696759259</v>
      </c>
      <c r="G709" s="4">
        <v>45925</v>
      </c>
      <c r="H709" s="2" t="s">
        <v>21</v>
      </c>
      <c r="I709" s="2" t="s">
        <v>51</v>
      </c>
      <c r="J709" s="2">
        <v>0.72541822568831038</v>
      </c>
      <c r="K709" s="2">
        <v>2149.8632716599132</v>
      </c>
      <c r="L709" s="2">
        <v>0</v>
      </c>
      <c r="M709" s="2">
        <v>1559.55</v>
      </c>
      <c r="N709" s="2">
        <v>1559.55</v>
      </c>
      <c r="O709" s="2"/>
      <c r="P709" s="2">
        <v>1559.55</v>
      </c>
      <c r="Q709" s="2" t="s">
        <v>44</v>
      </c>
      <c r="R709" s="2"/>
      <c r="S709" t="str">
        <f>VLOOKUP(B709,CASOPOInvCL!$B$1:$D$1600,1,FALSE)</f>
        <v>SO17679</v>
      </c>
      <c r="T709">
        <f t="shared" si="11"/>
        <v>8</v>
      </c>
    </row>
    <row r="710" spans="1:20" x14ac:dyDescent="0.25">
      <c r="A710" s="2">
        <v>2</v>
      </c>
      <c r="B710" s="2" t="s">
        <v>715</v>
      </c>
      <c r="C710" s="2" t="s">
        <v>716</v>
      </c>
      <c r="D710" s="2" t="s">
        <v>714</v>
      </c>
      <c r="E710" s="3">
        <v>45883.713449074072</v>
      </c>
      <c r="F710" s="3">
        <v>45903.581006944441</v>
      </c>
      <c r="G710" s="4">
        <v>46022</v>
      </c>
      <c r="H710" s="2" t="s">
        <v>21</v>
      </c>
      <c r="I710" s="2" t="s">
        <v>51</v>
      </c>
      <c r="J710" s="2">
        <v>0.72690712781787181</v>
      </c>
      <c r="K710" s="2">
        <v>129950.47975876729</v>
      </c>
      <c r="L710" s="2">
        <v>0</v>
      </c>
      <c r="M710" s="2">
        <v>94461.93</v>
      </c>
      <c r="N710" s="2">
        <v>94461.93</v>
      </c>
      <c r="O710" s="2"/>
      <c r="P710" s="2">
        <v>94461.93</v>
      </c>
      <c r="Q710" s="2" t="s">
        <v>126</v>
      </c>
      <c r="R710" s="2"/>
      <c r="S710" t="str">
        <f>VLOOKUP(B710,CASOPOInvCL!$B$1:$D$1600,1,FALSE)</f>
        <v>SO17681</v>
      </c>
      <c r="T710">
        <f t="shared" si="11"/>
        <v>8</v>
      </c>
    </row>
    <row r="711" spans="1:20" x14ac:dyDescent="0.25">
      <c r="A711" s="2">
        <v>2</v>
      </c>
      <c r="B711" s="2" t="s">
        <v>837</v>
      </c>
      <c r="C711" s="2" t="s">
        <v>838</v>
      </c>
      <c r="D711" s="2" t="s">
        <v>239</v>
      </c>
      <c r="E711" s="3">
        <v>45883.715243055558</v>
      </c>
      <c r="F711" s="3">
        <v>45883.716504629629</v>
      </c>
      <c r="G711" s="4">
        <v>45884</v>
      </c>
      <c r="H711" s="2" t="s">
        <v>180</v>
      </c>
      <c r="I711" s="2" t="s">
        <v>51</v>
      </c>
      <c r="J711" s="2">
        <v>0.72646703666854284</v>
      </c>
      <c r="K711" s="2">
        <v>2732.1955433823841</v>
      </c>
      <c r="L711" s="2">
        <v>0</v>
      </c>
      <c r="M711" s="2">
        <v>1984.85</v>
      </c>
      <c r="N711" s="2">
        <v>1984.85</v>
      </c>
      <c r="O711" s="2"/>
      <c r="P711" s="2">
        <v>1984.85</v>
      </c>
      <c r="Q711" s="2" t="s">
        <v>44</v>
      </c>
      <c r="R711" s="2"/>
      <c r="S711" t="str">
        <f>VLOOKUP(B711,CASOPOInvCL!$B$1:$D$1600,1,FALSE)</f>
        <v>SO17682</v>
      </c>
      <c r="T711">
        <f t="shared" si="11"/>
        <v>8</v>
      </c>
    </row>
    <row r="712" spans="1:20" x14ac:dyDescent="0.25">
      <c r="A712" s="2">
        <v>1</v>
      </c>
      <c r="B712" s="2" t="s">
        <v>827</v>
      </c>
      <c r="C712" s="2" t="s">
        <v>828</v>
      </c>
      <c r="D712" s="2" t="s">
        <v>149</v>
      </c>
      <c r="E712" s="3">
        <v>45883.752523148149</v>
      </c>
      <c r="F712" s="3">
        <v>45887.510844907411</v>
      </c>
      <c r="G712" s="4">
        <v>45992</v>
      </c>
      <c r="H712" s="2" t="s">
        <v>36</v>
      </c>
      <c r="I712" s="2" t="s">
        <v>51</v>
      </c>
      <c r="J712" s="2">
        <v>0.7240742470894046</v>
      </c>
      <c r="K712" s="2">
        <v>7447.2197038851255</v>
      </c>
      <c r="L712" s="2">
        <v>0</v>
      </c>
      <c r="M712" s="2">
        <v>5392.34</v>
      </c>
      <c r="N712" s="2">
        <v>5392.34</v>
      </c>
      <c r="O712" s="2"/>
      <c r="P712" s="2">
        <v>5392.34</v>
      </c>
      <c r="Q712" s="2" t="s">
        <v>23</v>
      </c>
      <c r="R712" s="2"/>
      <c r="S712" t="str">
        <f>VLOOKUP(B712,CASOPOInvCL!$B$1:$D$1600,1,FALSE)</f>
        <v>SO17683</v>
      </c>
      <c r="T712">
        <f t="shared" si="11"/>
        <v>8</v>
      </c>
    </row>
    <row r="713" spans="1:20" x14ac:dyDescent="0.25">
      <c r="A713" s="2">
        <v>1</v>
      </c>
      <c r="B713" s="2" t="s">
        <v>806</v>
      </c>
      <c r="C713" s="2" t="s">
        <v>807</v>
      </c>
      <c r="D713" s="2" t="s">
        <v>26</v>
      </c>
      <c r="E713" s="3">
        <v>45883.79283564815</v>
      </c>
      <c r="F713" s="3">
        <v>45889.470416666663</v>
      </c>
      <c r="G713" s="4">
        <v>45951</v>
      </c>
      <c r="H713" s="2" t="s">
        <v>36</v>
      </c>
      <c r="I713" s="2" t="s">
        <v>22</v>
      </c>
      <c r="J713" s="2">
        <v>1</v>
      </c>
      <c r="K713" s="2">
        <v>1140.95</v>
      </c>
      <c r="L713" s="2">
        <v>0</v>
      </c>
      <c r="M713" s="2">
        <v>822.26908466071973</v>
      </c>
      <c r="N713" s="2">
        <v>1086.6199999999999</v>
      </c>
      <c r="O713" s="2">
        <v>54.33</v>
      </c>
      <c r="P713" s="2">
        <v>1140.95</v>
      </c>
      <c r="Q713" s="2" t="s">
        <v>44</v>
      </c>
      <c r="R713" s="2"/>
      <c r="S713" t="str">
        <f>VLOOKUP(B713,CASOPOInvCL!$B$1:$D$1600,1,FALSE)</f>
        <v>SO17684</v>
      </c>
      <c r="T713">
        <f t="shared" si="11"/>
        <v>8</v>
      </c>
    </row>
    <row r="714" spans="1:20" ht="30" x14ac:dyDescent="0.25">
      <c r="A714" s="2">
        <v>1</v>
      </c>
      <c r="B714" s="2" t="s">
        <v>816</v>
      </c>
      <c r="C714" s="2" t="s">
        <v>817</v>
      </c>
      <c r="D714" s="2" t="s">
        <v>818</v>
      </c>
      <c r="E714" s="3">
        <v>45883.809027777781</v>
      </c>
      <c r="F714" s="3">
        <v>45888.719328703701</v>
      </c>
      <c r="G714" s="4">
        <v>45895</v>
      </c>
      <c r="H714" s="2" t="s">
        <v>36</v>
      </c>
      <c r="I714" s="2" t="s">
        <v>22</v>
      </c>
      <c r="J714" s="2">
        <v>1</v>
      </c>
      <c r="K714" s="2">
        <v>248.52</v>
      </c>
      <c r="L714" s="2">
        <v>0</v>
      </c>
      <c r="M714" s="2">
        <v>179.30662942526871</v>
      </c>
      <c r="N714" s="2">
        <v>236.69</v>
      </c>
      <c r="O714" s="2">
        <v>11.83</v>
      </c>
      <c r="P714" s="2">
        <v>248.52</v>
      </c>
      <c r="Q714" s="2" t="s">
        <v>44</v>
      </c>
      <c r="R714" s="2"/>
      <c r="S714" t="str">
        <f>VLOOKUP(B714,CASOPOInvCL!$B$1:$D$1600,1,FALSE)</f>
        <v>SO17685</v>
      </c>
      <c r="T714">
        <f t="shared" si="11"/>
        <v>8</v>
      </c>
    </row>
    <row r="715" spans="1:20" x14ac:dyDescent="0.25">
      <c r="A715" s="2">
        <v>1</v>
      </c>
      <c r="B715" s="2" t="s">
        <v>831</v>
      </c>
      <c r="C715" s="2" t="s">
        <v>832</v>
      </c>
      <c r="D715" s="2" t="s">
        <v>171</v>
      </c>
      <c r="E715" s="3">
        <v>45884.397986111107</v>
      </c>
      <c r="F715" s="3">
        <v>45887.427256944437</v>
      </c>
      <c r="G715" s="4">
        <v>45888</v>
      </c>
      <c r="H715" s="2" t="s">
        <v>40</v>
      </c>
      <c r="I715" s="2" t="s">
        <v>22</v>
      </c>
      <c r="J715" s="2">
        <v>1</v>
      </c>
      <c r="K715" s="2">
        <v>1745.25</v>
      </c>
      <c r="L715" s="2">
        <v>0</v>
      </c>
      <c r="M715" s="2">
        <v>1263.1742452168569</v>
      </c>
      <c r="N715" s="2">
        <v>1662.14</v>
      </c>
      <c r="O715" s="2">
        <v>83.11</v>
      </c>
      <c r="P715" s="2">
        <v>1745.25</v>
      </c>
      <c r="Q715" s="2" t="s">
        <v>44</v>
      </c>
      <c r="R715" s="2"/>
      <c r="S715" t="str">
        <f>VLOOKUP(B715,CASOPOInvCL!$B$1:$D$1600,1,FALSE)</f>
        <v>SO17686</v>
      </c>
      <c r="T715">
        <f t="shared" si="11"/>
        <v>8</v>
      </c>
    </row>
    <row r="716" spans="1:20" x14ac:dyDescent="0.25">
      <c r="A716" s="2">
        <v>1</v>
      </c>
      <c r="B716" s="2" t="s">
        <v>835</v>
      </c>
      <c r="C716" s="2" t="s">
        <v>836</v>
      </c>
      <c r="D716" s="2" t="s">
        <v>86</v>
      </c>
      <c r="E716" s="3">
        <v>45884.535428240742</v>
      </c>
      <c r="F716" s="3">
        <v>45884.629537037043</v>
      </c>
      <c r="G716" s="4">
        <v>45891</v>
      </c>
      <c r="H716" s="2" t="s">
        <v>21</v>
      </c>
      <c r="I716" s="2" t="s">
        <v>22</v>
      </c>
      <c r="J716" s="2">
        <v>1</v>
      </c>
      <c r="K716" s="2">
        <v>127.69</v>
      </c>
      <c r="L716" s="2">
        <v>0</v>
      </c>
      <c r="M716" s="2">
        <v>92.465391035630944</v>
      </c>
      <c r="N716" s="2">
        <v>121.61</v>
      </c>
      <c r="O716" s="2">
        <v>6.08</v>
      </c>
      <c r="P716" s="2">
        <v>127.69</v>
      </c>
      <c r="Q716" s="2" t="s">
        <v>44</v>
      </c>
      <c r="R716" s="2"/>
      <c r="S716" t="str">
        <f>VLOOKUP(B716,CASOPOInvCL!$B$1:$D$1600,1,FALSE)</f>
        <v>SO17689</v>
      </c>
      <c r="T716">
        <f t="shared" si="11"/>
        <v>8</v>
      </c>
    </row>
    <row r="717" spans="1:20" x14ac:dyDescent="0.25">
      <c r="A717" s="2">
        <v>1</v>
      </c>
      <c r="B717" s="2" t="s">
        <v>823</v>
      </c>
      <c r="C717" s="2" t="s">
        <v>824</v>
      </c>
      <c r="D717" s="2" t="s">
        <v>450</v>
      </c>
      <c r="E717" s="3">
        <v>45884.584953703707</v>
      </c>
      <c r="F717" s="3">
        <v>45887.57984953704</v>
      </c>
      <c r="G717" s="4">
        <v>45894</v>
      </c>
      <c r="H717" s="2" t="s">
        <v>36</v>
      </c>
      <c r="I717" s="2" t="s">
        <v>22</v>
      </c>
      <c r="J717" s="2">
        <v>1</v>
      </c>
      <c r="K717" s="2">
        <v>2100.84</v>
      </c>
      <c r="L717" s="2">
        <v>0</v>
      </c>
      <c r="M717" s="2">
        <v>1520.542604968562</v>
      </c>
      <c r="N717" s="2">
        <v>1859.15</v>
      </c>
      <c r="O717" s="2">
        <v>241.69</v>
      </c>
      <c r="P717" s="2">
        <v>2100.84</v>
      </c>
      <c r="Q717" s="2" t="s">
        <v>44</v>
      </c>
      <c r="R717" s="2"/>
      <c r="S717" t="str">
        <f>VLOOKUP(B717,CASOPOInvCL!$B$1:$D$1600,1,FALSE)</f>
        <v>SO17690</v>
      </c>
      <c r="T717">
        <f t="shared" si="11"/>
        <v>8</v>
      </c>
    </row>
    <row r="718" spans="1:20" x14ac:dyDescent="0.25">
      <c r="A718" s="2">
        <v>1</v>
      </c>
      <c r="B718" s="2" t="s">
        <v>829</v>
      </c>
      <c r="C718" s="2" t="s">
        <v>830</v>
      </c>
      <c r="D718" s="2" t="s">
        <v>171</v>
      </c>
      <c r="E718" s="3">
        <v>45884.600057870368</v>
      </c>
      <c r="F718" s="3">
        <v>45887.483715277784</v>
      </c>
      <c r="G718" s="4">
        <v>45894</v>
      </c>
      <c r="H718" s="2" t="s">
        <v>36</v>
      </c>
      <c r="I718" s="2" t="s">
        <v>22</v>
      </c>
      <c r="J718" s="2">
        <v>1</v>
      </c>
      <c r="K718" s="2">
        <v>118.69</v>
      </c>
      <c r="L718" s="2">
        <v>0</v>
      </c>
      <c r="M718" s="2">
        <v>85.90525779389128</v>
      </c>
      <c r="N718" s="2">
        <v>113.04</v>
      </c>
      <c r="O718" s="2">
        <v>5.65</v>
      </c>
      <c r="P718" s="2">
        <v>118.69</v>
      </c>
      <c r="Q718" s="2" t="s">
        <v>44</v>
      </c>
      <c r="R718" s="2"/>
      <c r="S718" t="str">
        <f>VLOOKUP(B718,CASOPOInvCL!$B$1:$D$1600,1,FALSE)</f>
        <v>SO17691</v>
      </c>
      <c r="T718">
        <f t="shared" si="11"/>
        <v>8</v>
      </c>
    </row>
    <row r="719" spans="1:20" x14ac:dyDescent="0.25">
      <c r="A719" s="2">
        <v>1</v>
      </c>
      <c r="B719" s="2" t="s">
        <v>577</v>
      </c>
      <c r="C719" s="2" t="s">
        <v>578</v>
      </c>
      <c r="D719" s="2" t="s">
        <v>54</v>
      </c>
      <c r="E719" s="3">
        <v>45884.629618055558</v>
      </c>
      <c r="F719" s="3">
        <v>45923.697824074072</v>
      </c>
      <c r="G719" s="4">
        <v>45924</v>
      </c>
      <c r="H719" s="2" t="s">
        <v>21</v>
      </c>
      <c r="I719" s="2" t="s">
        <v>22</v>
      </c>
      <c r="J719" s="2">
        <v>1</v>
      </c>
      <c r="K719" s="2">
        <v>6484.17</v>
      </c>
      <c r="L719" s="2">
        <v>0</v>
      </c>
      <c r="M719" s="2">
        <v>4686.8896894315476</v>
      </c>
      <c r="N719" s="2">
        <v>6175.4</v>
      </c>
      <c r="O719" s="2">
        <v>308.77</v>
      </c>
      <c r="P719" s="2">
        <v>6484.17</v>
      </c>
      <c r="Q719" s="2" t="s">
        <v>44</v>
      </c>
      <c r="R719" s="2"/>
      <c r="S719" t="str">
        <f>VLOOKUP(B719,CASOPOInvCL!$B$1:$D$1600,1,FALSE)</f>
        <v>SO17692</v>
      </c>
      <c r="T719">
        <f t="shared" si="11"/>
        <v>8</v>
      </c>
    </row>
    <row r="720" spans="1:20" x14ac:dyDescent="0.25">
      <c r="A720" s="2">
        <v>1</v>
      </c>
      <c r="B720" s="2" t="s">
        <v>833</v>
      </c>
      <c r="C720" s="2" t="s">
        <v>834</v>
      </c>
      <c r="D720" s="2" t="s">
        <v>135</v>
      </c>
      <c r="E720" s="3">
        <v>45884.639490740738</v>
      </c>
      <c r="F720" s="3">
        <v>45884.642418981479</v>
      </c>
      <c r="G720" s="4">
        <v>45996</v>
      </c>
      <c r="H720" s="2" t="s">
        <v>21</v>
      </c>
      <c r="I720" s="2" t="s">
        <v>22</v>
      </c>
      <c r="J720" s="2">
        <v>1</v>
      </c>
      <c r="K720" s="2">
        <v>4665.5200000000004</v>
      </c>
      <c r="L720" s="2">
        <v>0</v>
      </c>
      <c r="M720" s="2">
        <v>3378.487987975228</v>
      </c>
      <c r="N720" s="2">
        <v>4128.78</v>
      </c>
      <c r="O720" s="2">
        <v>536.74</v>
      </c>
      <c r="P720" s="2">
        <v>4665.5200000000004</v>
      </c>
      <c r="Q720" s="2" t="s">
        <v>44</v>
      </c>
      <c r="R720" s="2"/>
      <c r="S720" t="str">
        <f>VLOOKUP(B720,CASOPOInvCL!$B$1:$D$1600,1,FALSE)</f>
        <v>SO17693</v>
      </c>
      <c r="T720">
        <f t="shared" si="11"/>
        <v>8</v>
      </c>
    </row>
    <row r="721" spans="1:20" x14ac:dyDescent="0.25">
      <c r="A721" s="2">
        <v>1</v>
      </c>
      <c r="B721" s="2" t="s">
        <v>814</v>
      </c>
      <c r="C721" s="2" t="s">
        <v>815</v>
      </c>
      <c r="D721" s="2" t="s">
        <v>248</v>
      </c>
      <c r="E721" s="3">
        <v>45887.462430555563</v>
      </c>
      <c r="F721" s="3">
        <v>45888.723900462966</v>
      </c>
      <c r="G721" s="4">
        <v>45895</v>
      </c>
      <c r="H721" s="2" t="s">
        <v>71</v>
      </c>
      <c r="I721" s="2" t="s">
        <v>22</v>
      </c>
      <c r="J721" s="2">
        <v>1</v>
      </c>
      <c r="K721" s="2">
        <v>184</v>
      </c>
      <c r="L721" s="2">
        <v>0</v>
      </c>
      <c r="M721" s="2">
        <v>132.75559236379141</v>
      </c>
      <c r="N721" s="2">
        <v>160</v>
      </c>
      <c r="O721" s="2">
        <v>24</v>
      </c>
      <c r="P721" s="2">
        <v>184</v>
      </c>
      <c r="Q721" s="2" t="s">
        <v>44</v>
      </c>
      <c r="R721" s="2"/>
      <c r="S721" t="str">
        <f>VLOOKUP(B721,CASOPOInvCL!$B$1:$D$1600,1,FALSE)</f>
        <v>SO17695</v>
      </c>
      <c r="T721">
        <f t="shared" si="11"/>
        <v>8</v>
      </c>
    </row>
    <row r="722" spans="1:20" x14ac:dyDescent="0.25">
      <c r="A722" s="2">
        <v>4</v>
      </c>
      <c r="B722" s="2" t="s">
        <v>712</v>
      </c>
      <c r="C722" s="2" t="s">
        <v>713</v>
      </c>
      <c r="D722" s="2" t="s">
        <v>714</v>
      </c>
      <c r="E722" s="3">
        <v>45887.695196759261</v>
      </c>
      <c r="F722" s="3">
        <v>45903.614178240743</v>
      </c>
      <c r="G722" s="4">
        <v>46022</v>
      </c>
      <c r="H722" s="2" t="s">
        <v>21</v>
      </c>
      <c r="I722" s="2" t="s">
        <v>51</v>
      </c>
      <c r="J722" s="2">
        <v>0.72690712781787181</v>
      </c>
      <c r="K722" s="2">
        <v>70310.288679416393</v>
      </c>
      <c r="L722" s="2">
        <v>0</v>
      </c>
      <c r="M722" s="2">
        <v>51109.05</v>
      </c>
      <c r="N722" s="2">
        <v>51109.05</v>
      </c>
      <c r="O722" s="2"/>
      <c r="P722" s="2">
        <v>51109.05</v>
      </c>
      <c r="Q722" s="2" t="s">
        <v>126</v>
      </c>
      <c r="R722" s="2"/>
      <c r="S722" t="str">
        <f>VLOOKUP(B722,CASOPOInvCL!$B$1:$D$1600,1,FALSE)</f>
        <v>SO17696</v>
      </c>
      <c r="T722">
        <f t="shared" si="11"/>
        <v>8</v>
      </c>
    </row>
    <row r="723" spans="1:20" x14ac:dyDescent="0.25">
      <c r="A723" s="2">
        <v>0</v>
      </c>
      <c r="B723" s="2" t="s">
        <v>783</v>
      </c>
      <c r="C723" s="2" t="s">
        <v>784</v>
      </c>
      <c r="D723" s="2" t="s">
        <v>245</v>
      </c>
      <c r="E723" s="3">
        <v>45888.381932870368</v>
      </c>
      <c r="F723" s="3">
        <v>45894.593032407407</v>
      </c>
      <c r="G723" s="4">
        <v>45978</v>
      </c>
      <c r="H723" s="2" t="s">
        <v>40</v>
      </c>
      <c r="I723" s="2" t="s">
        <v>22</v>
      </c>
      <c r="J723" s="2">
        <v>1</v>
      </c>
      <c r="K723" s="2">
        <v>5018.46</v>
      </c>
      <c r="L723" s="2">
        <v>0</v>
      </c>
      <c r="M723" s="2">
        <v>3628.2446579174521</v>
      </c>
      <c r="N723" s="2">
        <v>4779.4799999999996</v>
      </c>
      <c r="O723" s="2">
        <v>238.98</v>
      </c>
      <c r="P723" s="2">
        <v>5018.46</v>
      </c>
      <c r="Q723" s="2" t="s">
        <v>29</v>
      </c>
      <c r="R723" s="2"/>
      <c r="S723" t="str">
        <f>VLOOKUP(B723,CASOPOInvCL!$B$1:$D$1600,1,FALSE)</f>
        <v>SO17698</v>
      </c>
      <c r="T723">
        <f t="shared" si="11"/>
        <v>8</v>
      </c>
    </row>
    <row r="724" spans="1:20" x14ac:dyDescent="0.25">
      <c r="A724" s="2">
        <v>0</v>
      </c>
      <c r="B724" s="2" t="s">
        <v>438</v>
      </c>
      <c r="C724" s="2" t="s">
        <v>439</v>
      </c>
      <c r="D724" s="2" t="s">
        <v>239</v>
      </c>
      <c r="E724" s="3">
        <v>45888.452222222222</v>
      </c>
      <c r="F724" s="3">
        <v>45939.654861111107</v>
      </c>
      <c r="G724" s="4">
        <v>46035</v>
      </c>
      <c r="H724" s="2" t="s">
        <v>180</v>
      </c>
      <c r="I724" s="2" t="s">
        <v>22</v>
      </c>
      <c r="J724" s="2">
        <v>1</v>
      </c>
      <c r="K724" s="2">
        <v>2724.71</v>
      </c>
      <c r="L724" s="2">
        <v>0</v>
      </c>
      <c r="M724" s="2">
        <v>1944.6699197195419</v>
      </c>
      <c r="N724" s="2">
        <v>2411.25</v>
      </c>
      <c r="O724" s="2">
        <v>313.45999999999998</v>
      </c>
      <c r="P724" s="2">
        <v>2724.71</v>
      </c>
      <c r="Q724" s="2" t="s">
        <v>23</v>
      </c>
      <c r="R724" s="2"/>
      <c r="S724" t="str">
        <f>VLOOKUP(B724,CASOPOInvCL!$B$1:$D$1600,1,FALSE)</f>
        <v>SO17700</v>
      </c>
      <c r="T724">
        <f t="shared" si="11"/>
        <v>8</v>
      </c>
    </row>
    <row r="725" spans="1:20" ht="30" x14ac:dyDescent="0.25">
      <c r="A725" s="2">
        <v>1</v>
      </c>
      <c r="B725" s="2" t="s">
        <v>762</v>
      </c>
      <c r="C725" s="2" t="s">
        <v>763</v>
      </c>
      <c r="D725" s="2" t="s">
        <v>159</v>
      </c>
      <c r="E725" s="3">
        <v>45888.583414351851</v>
      </c>
      <c r="F725" s="3">
        <v>45896.60601851852</v>
      </c>
      <c r="G725" s="4">
        <v>45904</v>
      </c>
      <c r="H725" s="2" t="s">
        <v>40</v>
      </c>
      <c r="I725" s="2" t="s">
        <v>51</v>
      </c>
      <c r="J725" s="2">
        <v>0.72297969056592093</v>
      </c>
      <c r="K725" s="2">
        <v>23323.117122143449</v>
      </c>
      <c r="L725" s="2">
        <v>0</v>
      </c>
      <c r="M725" s="2">
        <v>16862.14</v>
      </c>
      <c r="N725" s="2">
        <v>16862.14</v>
      </c>
      <c r="O725" s="2"/>
      <c r="P725" s="2">
        <v>16862.14</v>
      </c>
      <c r="Q725" s="2" t="s">
        <v>44</v>
      </c>
      <c r="R725" s="2"/>
      <c r="S725" t="str">
        <f>VLOOKUP(B725,CASOPOInvCL!$B$1:$D$1600,1,FALSE)</f>
        <v>SO17701</v>
      </c>
      <c r="T725">
        <f t="shared" si="11"/>
        <v>8</v>
      </c>
    </row>
    <row r="726" spans="1:20" x14ac:dyDescent="0.25">
      <c r="A726" s="2">
        <v>1</v>
      </c>
      <c r="B726" s="2" t="s">
        <v>819</v>
      </c>
      <c r="C726" s="2" t="s">
        <v>820</v>
      </c>
      <c r="D726" s="2" t="s">
        <v>20</v>
      </c>
      <c r="E726" s="3">
        <v>45888.616388888891</v>
      </c>
      <c r="F726" s="3">
        <v>45888.617002314822</v>
      </c>
      <c r="G726" s="4">
        <v>45895</v>
      </c>
      <c r="H726" s="2" t="s">
        <v>36</v>
      </c>
      <c r="I726" s="2" t="s">
        <v>22</v>
      </c>
      <c r="J726" s="2">
        <v>1</v>
      </c>
      <c r="K726" s="2">
        <v>311.39</v>
      </c>
      <c r="L726" s="2">
        <v>0</v>
      </c>
      <c r="M726" s="2">
        <v>224.66719514217939</v>
      </c>
      <c r="N726" s="2">
        <v>296.56</v>
      </c>
      <c r="O726" s="2">
        <v>14.83</v>
      </c>
      <c r="P726" s="2">
        <v>311.39</v>
      </c>
      <c r="Q726" s="2" t="s">
        <v>44</v>
      </c>
      <c r="R726" s="2"/>
      <c r="S726" t="str">
        <f>VLOOKUP(B726,CASOPOInvCL!$B$1:$D$1600,1,FALSE)</f>
        <v>SO17703</v>
      </c>
      <c r="T726">
        <f t="shared" si="11"/>
        <v>8</v>
      </c>
    </row>
    <row r="727" spans="1:20" x14ac:dyDescent="0.25">
      <c r="A727" s="2">
        <v>1</v>
      </c>
      <c r="B727" s="2" t="s">
        <v>810</v>
      </c>
      <c r="C727" s="2" t="s">
        <v>811</v>
      </c>
      <c r="D727" s="2" t="s">
        <v>20</v>
      </c>
      <c r="E727" s="3">
        <v>45888.623842592591</v>
      </c>
      <c r="F727" s="3">
        <v>45888.78733796296</v>
      </c>
      <c r="G727" s="4">
        <v>45895</v>
      </c>
      <c r="H727" s="2" t="s">
        <v>36</v>
      </c>
      <c r="I727" s="2" t="s">
        <v>22</v>
      </c>
      <c r="J727" s="2">
        <v>1</v>
      </c>
      <c r="K727" s="2">
        <v>277.49</v>
      </c>
      <c r="L727" s="2">
        <v>0</v>
      </c>
      <c r="M727" s="2">
        <v>200.20842024472</v>
      </c>
      <c r="N727" s="2">
        <v>264.27999999999997</v>
      </c>
      <c r="O727" s="2">
        <v>13.21</v>
      </c>
      <c r="P727" s="2">
        <v>277.49</v>
      </c>
      <c r="Q727" s="2" t="s">
        <v>44</v>
      </c>
      <c r="R727" s="2"/>
      <c r="S727" t="str">
        <f>VLOOKUP(B727,CASOPOInvCL!$B$1:$D$1600,1,FALSE)</f>
        <v>SO17704</v>
      </c>
      <c r="T727">
        <f t="shared" si="11"/>
        <v>8</v>
      </c>
    </row>
    <row r="728" spans="1:20" x14ac:dyDescent="0.25">
      <c r="A728" s="2">
        <v>1</v>
      </c>
      <c r="B728" s="2" t="s">
        <v>804</v>
      </c>
      <c r="C728" s="2" t="s">
        <v>805</v>
      </c>
      <c r="D728" s="2" t="s">
        <v>35</v>
      </c>
      <c r="E728" s="3">
        <v>45888.777268518519</v>
      </c>
      <c r="F728" s="3">
        <v>45889.565983796303</v>
      </c>
      <c r="G728" s="4">
        <v>45896</v>
      </c>
      <c r="H728" s="2" t="s">
        <v>36</v>
      </c>
      <c r="I728" s="2" t="s">
        <v>22</v>
      </c>
      <c r="J728" s="2">
        <v>1</v>
      </c>
      <c r="K728" s="2">
        <v>1457.4</v>
      </c>
      <c r="L728" s="2">
        <v>0</v>
      </c>
      <c r="M728" s="2">
        <v>1050.3308330641421</v>
      </c>
      <c r="N728" s="2">
        <v>1388</v>
      </c>
      <c r="O728" s="2">
        <v>69.400000000000006</v>
      </c>
      <c r="P728" s="2">
        <v>1457.4</v>
      </c>
      <c r="Q728" s="2" t="s">
        <v>44</v>
      </c>
      <c r="R728" s="2"/>
      <c r="S728" t="str">
        <f>VLOOKUP(B728,CASOPOInvCL!$B$1:$D$1600,1,FALSE)</f>
        <v>SO17707</v>
      </c>
      <c r="T728">
        <f t="shared" si="11"/>
        <v>8</v>
      </c>
    </row>
    <row r="729" spans="1:20" x14ac:dyDescent="0.25">
      <c r="A729" s="2">
        <v>1</v>
      </c>
      <c r="B729" s="2" t="s">
        <v>729</v>
      </c>
      <c r="C729" s="2" t="s">
        <v>730</v>
      </c>
      <c r="D729" s="2" t="s">
        <v>146</v>
      </c>
      <c r="E729" s="3">
        <v>45889.427222222221</v>
      </c>
      <c r="F729" s="3">
        <v>45902.556006944447</v>
      </c>
      <c r="G729" s="4">
        <v>45903</v>
      </c>
      <c r="H729" s="2" t="s">
        <v>40</v>
      </c>
      <c r="I729" s="2" t="s">
        <v>22</v>
      </c>
      <c r="J729" s="2">
        <v>1</v>
      </c>
      <c r="K729" s="2">
        <v>3039.52</v>
      </c>
      <c r="L729" s="2">
        <v>0</v>
      </c>
      <c r="M729" s="2">
        <v>2204.9232053441328</v>
      </c>
      <c r="N729" s="2">
        <v>2894.78</v>
      </c>
      <c r="O729" s="2">
        <v>144.74</v>
      </c>
      <c r="P729" s="2">
        <v>3039.52</v>
      </c>
      <c r="Q729" s="2" t="s">
        <v>44</v>
      </c>
      <c r="R729" s="2"/>
      <c r="S729" t="str">
        <f>VLOOKUP(B729,CASOPOInvCL!$B$1:$D$1600,1,FALSE)</f>
        <v>SO17709</v>
      </c>
      <c r="T729">
        <f t="shared" si="11"/>
        <v>8</v>
      </c>
    </row>
    <row r="730" spans="1:20" x14ac:dyDescent="0.25">
      <c r="A730" s="2">
        <v>1</v>
      </c>
      <c r="B730" s="2" t="s">
        <v>800</v>
      </c>
      <c r="C730" s="2" t="s">
        <v>801</v>
      </c>
      <c r="D730" s="2" t="s">
        <v>149</v>
      </c>
      <c r="E730" s="3">
        <v>45889.463703703703</v>
      </c>
      <c r="F730" s="3">
        <v>45890.700127314813</v>
      </c>
      <c r="G730" s="4">
        <v>45891</v>
      </c>
      <c r="H730" s="2" t="s">
        <v>21</v>
      </c>
      <c r="I730" s="2" t="s">
        <v>51</v>
      </c>
      <c r="J730" s="2">
        <v>0.72068809734056682</v>
      </c>
      <c r="K730" s="2">
        <v>3660.529443645501</v>
      </c>
      <c r="L730" s="2">
        <v>0</v>
      </c>
      <c r="M730" s="2">
        <v>2638.1</v>
      </c>
      <c r="N730" s="2">
        <v>2638.1</v>
      </c>
      <c r="O730" s="2"/>
      <c r="P730" s="2">
        <v>2638.1</v>
      </c>
      <c r="Q730" s="2" t="s">
        <v>44</v>
      </c>
      <c r="R730" s="2"/>
      <c r="S730" t="str">
        <f>VLOOKUP(B730,CASOPOInvCL!$B$1:$D$1600,1,FALSE)</f>
        <v>SO17710</v>
      </c>
      <c r="T730">
        <f t="shared" si="11"/>
        <v>8</v>
      </c>
    </row>
    <row r="731" spans="1:20" ht="30" x14ac:dyDescent="0.25">
      <c r="A731" s="2">
        <v>0</v>
      </c>
      <c r="B731" s="2" t="s">
        <v>765</v>
      </c>
      <c r="C731" s="2" t="s">
        <v>766</v>
      </c>
      <c r="D731" s="2" t="s">
        <v>767</v>
      </c>
      <c r="E731" s="3">
        <v>45889.589143518519</v>
      </c>
      <c r="F731" s="3">
        <v>45896.438831018517</v>
      </c>
      <c r="G731" s="4">
        <v>46015</v>
      </c>
      <c r="H731" s="2" t="s">
        <v>657</v>
      </c>
      <c r="I731" s="2" t="s">
        <v>51</v>
      </c>
      <c r="J731" s="2">
        <v>0.72297969056592093</v>
      </c>
      <c r="K731" s="2">
        <v>61475.032535436767</v>
      </c>
      <c r="L731" s="2">
        <v>0</v>
      </c>
      <c r="M731" s="2">
        <v>44445.2</v>
      </c>
      <c r="N731" s="2">
        <v>44445.2</v>
      </c>
      <c r="O731" s="2"/>
      <c r="P731" s="2">
        <v>44445.2</v>
      </c>
      <c r="Q731" s="2" t="s">
        <v>23</v>
      </c>
      <c r="R731" s="2"/>
      <c r="S731" t="str">
        <f>VLOOKUP(B731,CASOPOInvCL!$B$1:$D$1600,1,FALSE)</f>
        <v>SO17712</v>
      </c>
      <c r="T731">
        <f t="shared" si="11"/>
        <v>8</v>
      </c>
    </row>
    <row r="732" spans="1:20" x14ac:dyDescent="0.25">
      <c r="A732" s="2">
        <v>1</v>
      </c>
      <c r="B732" s="2" t="s">
        <v>802</v>
      </c>
      <c r="C732" s="2" t="s">
        <v>803</v>
      </c>
      <c r="D732" s="2" t="s">
        <v>98</v>
      </c>
      <c r="E732" s="3">
        <v>45889.597013888888</v>
      </c>
      <c r="F732" s="3">
        <v>45889.600914351853</v>
      </c>
      <c r="G732" s="4">
        <v>45910</v>
      </c>
      <c r="H732" s="2" t="s">
        <v>36</v>
      </c>
      <c r="I732" s="2" t="s">
        <v>22</v>
      </c>
      <c r="J732" s="2">
        <v>1</v>
      </c>
      <c r="K732" s="2">
        <v>2081.71</v>
      </c>
      <c r="L732" s="2">
        <v>0</v>
      </c>
      <c r="M732" s="2">
        <v>1500.263619114831</v>
      </c>
      <c r="N732" s="2">
        <v>1842.22</v>
      </c>
      <c r="O732" s="2">
        <v>239.49</v>
      </c>
      <c r="P732" s="2">
        <v>2081.71</v>
      </c>
      <c r="Q732" s="2" t="s">
        <v>44</v>
      </c>
      <c r="R732" s="2"/>
      <c r="S732" t="str">
        <f>VLOOKUP(B732,CASOPOInvCL!$B$1:$D$1600,1,FALSE)</f>
        <v>SO17714</v>
      </c>
      <c r="T732">
        <f t="shared" si="11"/>
        <v>8</v>
      </c>
    </row>
    <row r="733" spans="1:20" x14ac:dyDescent="0.25">
      <c r="A733" s="2">
        <v>1</v>
      </c>
      <c r="B733" s="2" t="s">
        <v>797</v>
      </c>
      <c r="C733" s="2" t="s">
        <v>798</v>
      </c>
      <c r="D733" s="2" t="s">
        <v>799</v>
      </c>
      <c r="E733" s="3">
        <v>45889.624583333331</v>
      </c>
      <c r="F733" s="3">
        <v>45890.785937499997</v>
      </c>
      <c r="G733" s="4">
        <v>45924</v>
      </c>
      <c r="H733" s="2" t="s">
        <v>36</v>
      </c>
      <c r="I733" s="2" t="s">
        <v>22</v>
      </c>
      <c r="J733" s="2">
        <v>1</v>
      </c>
      <c r="K733" s="2">
        <v>440.01</v>
      </c>
      <c r="L733" s="2">
        <v>0</v>
      </c>
      <c r="M733" s="2">
        <v>316.53202099728941</v>
      </c>
      <c r="N733" s="2">
        <v>389.39</v>
      </c>
      <c r="O733" s="2">
        <v>50.62</v>
      </c>
      <c r="P733" s="2">
        <v>440.01</v>
      </c>
      <c r="Q733" s="2" t="s">
        <v>44</v>
      </c>
      <c r="R733" s="2"/>
      <c r="S733" t="str">
        <f>VLOOKUP(B733,CASOPOInvCL!$B$1:$D$1600,1,FALSE)</f>
        <v>SO17715</v>
      </c>
      <c r="T733">
        <f t="shared" si="11"/>
        <v>8</v>
      </c>
    </row>
    <row r="734" spans="1:20" ht="30" x14ac:dyDescent="0.25">
      <c r="A734" s="2">
        <v>1</v>
      </c>
      <c r="B734" s="2" t="s">
        <v>747</v>
      </c>
      <c r="C734" s="2" t="s">
        <v>748</v>
      </c>
      <c r="D734" s="2" t="s">
        <v>159</v>
      </c>
      <c r="E734" s="3">
        <v>45889.662812499999</v>
      </c>
      <c r="F734" s="3">
        <v>45897.594641203701</v>
      </c>
      <c r="G734" s="4">
        <v>45994</v>
      </c>
      <c r="H734" s="2" t="s">
        <v>180</v>
      </c>
      <c r="I734" s="2" t="s">
        <v>51</v>
      </c>
      <c r="J734" s="2">
        <v>0.72328577573707276</v>
      </c>
      <c r="K734" s="2">
        <v>48094.406342432107</v>
      </c>
      <c r="L734" s="2">
        <v>0</v>
      </c>
      <c r="M734" s="2">
        <v>34786</v>
      </c>
      <c r="N734" s="2">
        <v>34786</v>
      </c>
      <c r="O734" s="2"/>
      <c r="P734" s="2">
        <v>34786</v>
      </c>
      <c r="Q734" s="2" t="s">
        <v>44</v>
      </c>
      <c r="R734" s="2"/>
      <c r="S734" t="str">
        <f>VLOOKUP(B734,CASOPOInvCL!$B$1:$D$1600,1,FALSE)</f>
        <v>SO17718</v>
      </c>
      <c r="T734">
        <f t="shared" si="11"/>
        <v>8</v>
      </c>
    </row>
    <row r="735" spans="1:20" x14ac:dyDescent="0.25">
      <c r="A735" s="2">
        <v>1</v>
      </c>
      <c r="B735" s="2" t="s">
        <v>789</v>
      </c>
      <c r="C735" s="2" t="s">
        <v>790</v>
      </c>
      <c r="D735" s="2" t="s">
        <v>26</v>
      </c>
      <c r="E735" s="3">
        <v>45890.41615740741</v>
      </c>
      <c r="F735" s="3">
        <v>45891.70585648148</v>
      </c>
      <c r="G735" s="4">
        <v>45898</v>
      </c>
      <c r="H735" s="2" t="s">
        <v>21</v>
      </c>
      <c r="I735" s="2" t="s">
        <v>22</v>
      </c>
      <c r="J735" s="2">
        <v>1</v>
      </c>
      <c r="K735" s="2">
        <v>598.37</v>
      </c>
      <c r="L735" s="2">
        <v>0</v>
      </c>
      <c r="M735" s="2">
        <v>432.20949094626451</v>
      </c>
      <c r="N735" s="2">
        <v>569.88</v>
      </c>
      <c r="O735" s="2">
        <v>28.49</v>
      </c>
      <c r="P735" s="2">
        <v>598.37</v>
      </c>
      <c r="Q735" s="2" t="s">
        <v>44</v>
      </c>
      <c r="R735" s="2"/>
      <c r="S735" t="str">
        <f>VLOOKUP(B735,CASOPOInvCL!$B$1:$D$1600,1,FALSE)</f>
        <v>SO17719</v>
      </c>
      <c r="T735">
        <f t="shared" si="11"/>
        <v>8</v>
      </c>
    </row>
    <row r="736" spans="1:20" x14ac:dyDescent="0.25">
      <c r="A736" s="2">
        <v>1</v>
      </c>
      <c r="B736" s="2" t="s">
        <v>470</v>
      </c>
      <c r="C736" s="2" t="s">
        <v>471</v>
      </c>
      <c r="D736" s="2" t="s">
        <v>472</v>
      </c>
      <c r="E736" s="3">
        <v>45890.512349537043</v>
      </c>
      <c r="F736" s="3">
        <v>45937.511030092603</v>
      </c>
      <c r="G736" s="4">
        <v>45954</v>
      </c>
      <c r="H736" s="2" t="s">
        <v>36</v>
      </c>
      <c r="I736" s="2" t="s">
        <v>22</v>
      </c>
      <c r="J736" s="2">
        <v>1</v>
      </c>
      <c r="K736" s="2">
        <v>267.23</v>
      </c>
      <c r="L736" s="2">
        <v>267.23</v>
      </c>
      <c r="M736" s="2">
        <v>267.23</v>
      </c>
      <c r="N736" s="2">
        <v>256.17</v>
      </c>
      <c r="O736" s="2">
        <v>11.06</v>
      </c>
      <c r="P736" s="2">
        <v>267.23</v>
      </c>
      <c r="Q736" s="2" t="s">
        <v>44</v>
      </c>
      <c r="R736" s="2"/>
      <c r="S736" t="str">
        <f>VLOOKUP(B736,CASOPOInvCL!$B$1:$D$1600,1,FALSE)</f>
        <v>SO17721</v>
      </c>
      <c r="T736">
        <f t="shared" si="11"/>
        <v>8</v>
      </c>
    </row>
    <row r="737" spans="1:20" x14ac:dyDescent="0.25">
      <c r="A737" s="2">
        <v>1</v>
      </c>
      <c r="B737" s="2" t="s">
        <v>785</v>
      </c>
      <c r="C737" s="2" t="s">
        <v>786</v>
      </c>
      <c r="D737" s="2" t="s">
        <v>146</v>
      </c>
      <c r="E737" s="3">
        <v>45890.565150462957</v>
      </c>
      <c r="F737" s="3">
        <v>45894.479375000003</v>
      </c>
      <c r="G737" s="4">
        <v>45901</v>
      </c>
      <c r="H737" s="2" t="s">
        <v>21</v>
      </c>
      <c r="I737" s="2" t="s">
        <v>22</v>
      </c>
      <c r="J737" s="2">
        <v>1</v>
      </c>
      <c r="K737" s="2">
        <v>112.94</v>
      </c>
      <c r="L737" s="2">
        <v>0</v>
      </c>
      <c r="M737" s="2">
        <v>81.653326252515114</v>
      </c>
      <c r="N737" s="2">
        <v>107.56</v>
      </c>
      <c r="O737" s="2">
        <v>5.38</v>
      </c>
      <c r="P737" s="2">
        <v>112.94</v>
      </c>
      <c r="Q737" s="2" t="s">
        <v>44</v>
      </c>
      <c r="R737" s="2"/>
      <c r="S737" t="str">
        <f>VLOOKUP(B737,CASOPOInvCL!$B$1:$D$1600,1,FALSE)</f>
        <v>SO17723</v>
      </c>
      <c r="T737">
        <f t="shared" si="11"/>
        <v>8</v>
      </c>
    </row>
    <row r="738" spans="1:20" x14ac:dyDescent="0.25">
      <c r="A738" s="2">
        <v>1</v>
      </c>
      <c r="B738" s="2" t="s">
        <v>793</v>
      </c>
      <c r="C738" s="2" t="s">
        <v>794</v>
      </c>
      <c r="D738" s="2" t="s">
        <v>245</v>
      </c>
      <c r="E738" s="3">
        <v>45890.604872685188</v>
      </c>
      <c r="F738" s="3">
        <v>45891.449907407397</v>
      </c>
      <c r="G738" s="4">
        <v>45989</v>
      </c>
      <c r="H738" s="2" t="s">
        <v>36</v>
      </c>
      <c r="I738" s="2" t="s">
        <v>22</v>
      </c>
      <c r="J738" s="2">
        <v>1</v>
      </c>
      <c r="K738" s="2">
        <v>3972.86</v>
      </c>
      <c r="L738" s="2">
        <v>0</v>
      </c>
      <c r="M738" s="2">
        <v>2869.642191621866</v>
      </c>
      <c r="N738" s="2">
        <v>3783.68</v>
      </c>
      <c r="O738" s="2">
        <v>189.18</v>
      </c>
      <c r="P738" s="2">
        <v>3972.86</v>
      </c>
      <c r="Q738" s="2" t="s">
        <v>44</v>
      </c>
      <c r="R738" s="2"/>
      <c r="S738" t="str">
        <f>VLOOKUP(B738,CASOPOInvCL!$B$1:$D$1600,1,FALSE)</f>
        <v>SO17727</v>
      </c>
      <c r="T738">
        <f t="shared" si="11"/>
        <v>8</v>
      </c>
    </row>
    <row r="739" spans="1:20" x14ac:dyDescent="0.25">
      <c r="A739" s="2">
        <v>1</v>
      </c>
      <c r="B739" s="2" t="s">
        <v>692</v>
      </c>
      <c r="C739" s="2" t="s">
        <v>693</v>
      </c>
      <c r="D739" s="2" t="s">
        <v>694</v>
      </c>
      <c r="E739" s="3">
        <v>45890.804247685177</v>
      </c>
      <c r="F739" s="3">
        <v>45904.788807870369</v>
      </c>
      <c r="G739" s="2"/>
      <c r="H739" s="2" t="s">
        <v>71</v>
      </c>
      <c r="I739" s="2" t="s">
        <v>51</v>
      </c>
      <c r="J739" s="2">
        <v>0.72541822568831038</v>
      </c>
      <c r="K739" s="2">
        <v>2275.9284803376081</v>
      </c>
      <c r="L739" s="2">
        <v>0</v>
      </c>
      <c r="M739" s="2">
        <v>1651</v>
      </c>
      <c r="N739" s="2">
        <v>1651</v>
      </c>
      <c r="O739" s="2"/>
      <c r="P739" s="2">
        <v>1651</v>
      </c>
      <c r="Q739" s="2" t="s">
        <v>44</v>
      </c>
      <c r="R739" s="2"/>
      <c r="S739" t="str">
        <f>VLOOKUP(B739,CASOPOInvCL!$B$1:$D$1600,1,FALSE)</f>
        <v>SO17729</v>
      </c>
      <c r="T739">
        <f t="shared" si="11"/>
        <v>8</v>
      </c>
    </row>
    <row r="740" spans="1:20" ht="30" x14ac:dyDescent="0.25">
      <c r="A740" s="2">
        <v>1</v>
      </c>
      <c r="B740" s="2" t="s">
        <v>779</v>
      </c>
      <c r="C740" s="2" t="s">
        <v>780</v>
      </c>
      <c r="D740" s="2" t="s">
        <v>353</v>
      </c>
      <c r="E740" s="3">
        <v>45891.442847222221</v>
      </c>
      <c r="F740" s="3">
        <v>45894.657361111109</v>
      </c>
      <c r="G740" s="4">
        <v>45895</v>
      </c>
      <c r="H740" s="2" t="s">
        <v>40</v>
      </c>
      <c r="I740" s="2" t="s">
        <v>22</v>
      </c>
      <c r="J740" s="2">
        <v>1</v>
      </c>
      <c r="K740" s="2">
        <v>119.66</v>
      </c>
      <c r="L740" s="2">
        <v>0</v>
      </c>
      <c r="M740" s="2">
        <v>86.511749773118098</v>
      </c>
      <c r="N740" s="2">
        <v>113.96</v>
      </c>
      <c r="O740" s="2">
        <v>5.7</v>
      </c>
      <c r="P740" s="2">
        <v>119.66</v>
      </c>
      <c r="Q740" s="2" t="s">
        <v>44</v>
      </c>
      <c r="R740" s="2"/>
      <c r="S740" t="str">
        <f>VLOOKUP(B740,CASOPOInvCL!$B$1:$D$1600,1,FALSE)</f>
        <v>SO17731</v>
      </c>
      <c r="T740">
        <f t="shared" si="11"/>
        <v>8</v>
      </c>
    </row>
    <row r="741" spans="1:20" x14ac:dyDescent="0.25">
      <c r="A741" s="2">
        <v>1</v>
      </c>
      <c r="B741" s="2" t="s">
        <v>787</v>
      </c>
      <c r="C741" s="2" t="s">
        <v>788</v>
      </c>
      <c r="D741" s="2" t="s">
        <v>644</v>
      </c>
      <c r="E741" s="3">
        <v>45891.55296296296</v>
      </c>
      <c r="F741" s="3">
        <v>45891.719988425917</v>
      </c>
      <c r="G741" s="4">
        <v>45898</v>
      </c>
      <c r="H741" s="2" t="s">
        <v>21</v>
      </c>
      <c r="I741" s="2" t="s">
        <v>51</v>
      </c>
      <c r="J741" s="2">
        <v>0.71937460738912617</v>
      </c>
      <c r="K741" s="2">
        <v>4528.6280145801593</v>
      </c>
      <c r="L741" s="2">
        <v>0</v>
      </c>
      <c r="M741" s="2">
        <v>3257.78</v>
      </c>
      <c r="N741" s="2">
        <v>3257.78</v>
      </c>
      <c r="O741" s="2"/>
      <c r="P741" s="2">
        <v>3257.78</v>
      </c>
      <c r="Q741" s="2" t="s">
        <v>44</v>
      </c>
      <c r="R741" s="2"/>
      <c r="S741" t="str">
        <f>VLOOKUP(B741,CASOPOInvCL!$B$1:$D$1600,1,FALSE)</f>
        <v>SO17737</v>
      </c>
      <c r="T741">
        <f t="shared" si="11"/>
        <v>8</v>
      </c>
    </row>
    <row r="742" spans="1:20" x14ac:dyDescent="0.25">
      <c r="A742" s="2">
        <v>1</v>
      </c>
      <c r="B742" s="2" t="s">
        <v>753</v>
      </c>
      <c r="C742" s="2" t="s">
        <v>754</v>
      </c>
      <c r="D742" s="2" t="s">
        <v>146</v>
      </c>
      <c r="E742" s="3">
        <v>45891.623553240737</v>
      </c>
      <c r="F742" s="3">
        <v>45897.478217592587</v>
      </c>
      <c r="G742" s="4">
        <v>45904</v>
      </c>
      <c r="H742" s="2" t="s">
        <v>36</v>
      </c>
      <c r="I742" s="2" t="s">
        <v>22</v>
      </c>
      <c r="J742" s="2">
        <v>1</v>
      </c>
      <c r="K742" s="2">
        <v>1924.84</v>
      </c>
      <c r="L742" s="2">
        <v>0</v>
      </c>
      <c r="M742" s="2">
        <v>1399.711079033081</v>
      </c>
      <c r="N742" s="2">
        <v>1833.18</v>
      </c>
      <c r="O742" s="2">
        <v>91.66</v>
      </c>
      <c r="P742" s="2">
        <v>1924.84</v>
      </c>
      <c r="Q742" s="2" t="s">
        <v>44</v>
      </c>
      <c r="R742" s="2"/>
      <c r="S742" t="str">
        <f>VLOOKUP(B742,CASOPOInvCL!$B$1:$D$1600,1,FALSE)</f>
        <v>SO17739</v>
      </c>
      <c r="T742">
        <f t="shared" si="11"/>
        <v>8</v>
      </c>
    </row>
    <row r="743" spans="1:20" x14ac:dyDescent="0.25">
      <c r="A743" s="2">
        <v>1</v>
      </c>
      <c r="B743" s="2" t="s">
        <v>772</v>
      </c>
      <c r="C743" s="2" t="s">
        <v>773</v>
      </c>
      <c r="D743" s="2" t="s">
        <v>774</v>
      </c>
      <c r="E743" s="3">
        <v>45891.676469907397</v>
      </c>
      <c r="F743" s="3">
        <v>45895.578599537039</v>
      </c>
      <c r="G743" s="4">
        <v>46007</v>
      </c>
      <c r="H743" s="2" t="s">
        <v>21</v>
      </c>
      <c r="I743" s="2" t="s">
        <v>51</v>
      </c>
      <c r="J743" s="2">
        <v>0.72297969056592093</v>
      </c>
      <c r="K743" s="2">
        <v>6210.3404266936441</v>
      </c>
      <c r="L743" s="2">
        <v>0</v>
      </c>
      <c r="M743" s="2">
        <v>4489.95</v>
      </c>
      <c r="N743" s="2">
        <v>4489.95</v>
      </c>
      <c r="O743" s="2"/>
      <c r="P743" s="2">
        <v>4489.95</v>
      </c>
      <c r="Q743" s="2" t="s">
        <v>44</v>
      </c>
      <c r="R743" s="2"/>
      <c r="S743" t="str">
        <f>VLOOKUP(B743,CASOPOInvCL!$B$1:$D$1600,1,FALSE)</f>
        <v>SO17740</v>
      </c>
      <c r="T743">
        <f t="shared" si="11"/>
        <v>8</v>
      </c>
    </row>
    <row r="744" spans="1:20" x14ac:dyDescent="0.25">
      <c r="A744" s="2">
        <v>2</v>
      </c>
      <c r="B744" s="2" t="s">
        <v>791</v>
      </c>
      <c r="C744" s="2" t="s">
        <v>792</v>
      </c>
      <c r="D744" s="2" t="s">
        <v>141</v>
      </c>
      <c r="E744" s="3">
        <v>45891.688321759262</v>
      </c>
      <c r="F744" s="3">
        <v>45891.691493055558</v>
      </c>
      <c r="G744" s="4">
        <v>45975</v>
      </c>
      <c r="H744" s="2" t="s">
        <v>21</v>
      </c>
      <c r="I744" s="2" t="s">
        <v>51</v>
      </c>
      <c r="J744" s="2">
        <v>0.71937460738912617</v>
      </c>
      <c r="K744" s="2">
        <v>19807.607682616381</v>
      </c>
      <c r="L744" s="2">
        <v>0</v>
      </c>
      <c r="M744" s="2">
        <v>14249.09</v>
      </c>
      <c r="N744" s="2">
        <v>14249.09</v>
      </c>
      <c r="O744" s="2"/>
      <c r="P744" s="2">
        <v>14249.09</v>
      </c>
      <c r="Q744" s="2" t="s">
        <v>44</v>
      </c>
      <c r="R744" s="2"/>
      <c r="S744" t="str">
        <f>VLOOKUP(B744,CASOPOInvCL!$B$1:$D$1600,1,FALSE)</f>
        <v>SO17741</v>
      </c>
      <c r="T744">
        <f t="shared" si="11"/>
        <v>8</v>
      </c>
    </row>
    <row r="745" spans="1:20" x14ac:dyDescent="0.25">
      <c r="A745" s="2">
        <v>1</v>
      </c>
      <c r="B745" s="2" t="s">
        <v>745</v>
      </c>
      <c r="C745" s="2" t="s">
        <v>746</v>
      </c>
      <c r="D745" s="2" t="s">
        <v>39</v>
      </c>
      <c r="E745" s="3">
        <v>45891.795358796298</v>
      </c>
      <c r="F745" s="3">
        <v>45897.717986111107</v>
      </c>
      <c r="G745" s="4">
        <v>45904</v>
      </c>
      <c r="H745" s="2" t="s">
        <v>36</v>
      </c>
      <c r="I745" s="2" t="s">
        <v>22</v>
      </c>
      <c r="J745" s="2">
        <v>1</v>
      </c>
      <c r="K745" s="2">
        <v>3619.25</v>
      </c>
      <c r="L745" s="2">
        <v>0</v>
      </c>
      <c r="M745" s="2">
        <v>2631.857361022463</v>
      </c>
      <c r="N745" s="2">
        <v>3446.9</v>
      </c>
      <c r="O745" s="2">
        <v>172.35</v>
      </c>
      <c r="P745" s="2">
        <v>3619.25</v>
      </c>
      <c r="Q745" s="2" t="s">
        <v>44</v>
      </c>
      <c r="R745" s="2"/>
      <c r="S745" t="str">
        <f>VLOOKUP(B745,CASOPOInvCL!$B$1:$D$1600,1,FALSE)</f>
        <v>SO17742</v>
      </c>
      <c r="T745">
        <f t="shared" si="11"/>
        <v>8</v>
      </c>
    </row>
    <row r="746" spans="1:20" ht="30" x14ac:dyDescent="0.25">
      <c r="A746" s="2">
        <v>0</v>
      </c>
      <c r="B746" s="2" t="s">
        <v>626</v>
      </c>
      <c r="C746" s="2" t="s">
        <v>627</v>
      </c>
      <c r="D746" s="2" t="s">
        <v>239</v>
      </c>
      <c r="E746" s="3">
        <v>45894.32885416667</v>
      </c>
      <c r="F746" s="3">
        <v>45916.630983796298</v>
      </c>
      <c r="G746" s="4">
        <v>45999</v>
      </c>
      <c r="H746" s="2" t="s">
        <v>180</v>
      </c>
      <c r="I746" s="2" t="s">
        <v>51</v>
      </c>
      <c r="J746" s="2">
        <v>0.72471536141095205</v>
      </c>
      <c r="K746" s="2">
        <v>86351.143265630075</v>
      </c>
      <c r="L746" s="2">
        <v>0</v>
      </c>
      <c r="M746" s="2">
        <v>62580</v>
      </c>
      <c r="N746" s="2">
        <v>62580</v>
      </c>
      <c r="O746" s="2"/>
      <c r="P746" s="2">
        <v>62580</v>
      </c>
      <c r="Q746" s="2" t="s">
        <v>29</v>
      </c>
      <c r="R746" s="2"/>
      <c r="S746" t="str">
        <f>VLOOKUP(B746,CASOPOInvCL!$B$1:$D$1600,1,FALSE)</f>
        <v>SO17744</v>
      </c>
      <c r="T746">
        <f t="shared" si="11"/>
        <v>8</v>
      </c>
    </row>
    <row r="747" spans="1:20" x14ac:dyDescent="0.25">
      <c r="A747" s="2">
        <v>1</v>
      </c>
      <c r="B747" s="2" t="s">
        <v>781</v>
      </c>
      <c r="C747" s="2" t="s">
        <v>782</v>
      </c>
      <c r="D747" s="2" t="s">
        <v>20</v>
      </c>
      <c r="E747" s="3">
        <v>45894.64334490741</v>
      </c>
      <c r="F747" s="3">
        <v>45894.642592592587</v>
      </c>
      <c r="G747" s="4">
        <v>45901</v>
      </c>
      <c r="H747" s="2" t="s">
        <v>36</v>
      </c>
      <c r="I747" s="2" t="s">
        <v>22</v>
      </c>
      <c r="J747" s="2">
        <v>1</v>
      </c>
      <c r="K747" s="2">
        <v>8104.05</v>
      </c>
      <c r="L747" s="2">
        <v>0</v>
      </c>
      <c r="M747" s="2">
        <v>5859.0635613307513</v>
      </c>
      <c r="N747" s="2">
        <v>7718.14</v>
      </c>
      <c r="O747" s="2">
        <v>385.91</v>
      </c>
      <c r="P747" s="2">
        <v>8104.05</v>
      </c>
      <c r="Q747" s="2" t="s">
        <v>44</v>
      </c>
      <c r="R747" s="2"/>
      <c r="S747" t="str">
        <f>VLOOKUP(B747,CASOPOInvCL!$B$1:$D$1600,1,FALSE)</f>
        <v>SO17747</v>
      </c>
      <c r="T747">
        <f t="shared" si="11"/>
        <v>8</v>
      </c>
    </row>
    <row r="748" spans="1:20" x14ac:dyDescent="0.25">
      <c r="A748" s="2">
        <v>1</v>
      </c>
      <c r="B748" s="2" t="s">
        <v>777</v>
      </c>
      <c r="C748" s="2" t="s">
        <v>778</v>
      </c>
      <c r="D748" s="2" t="s">
        <v>20</v>
      </c>
      <c r="E748" s="3">
        <v>45894.69458333333</v>
      </c>
      <c r="F748" s="3">
        <v>45894.696574074071</v>
      </c>
      <c r="G748" s="4">
        <v>45901</v>
      </c>
      <c r="H748" s="2" t="s">
        <v>36</v>
      </c>
      <c r="I748" s="2" t="s">
        <v>22</v>
      </c>
      <c r="J748" s="2">
        <v>1</v>
      </c>
      <c r="K748" s="2">
        <v>662.17</v>
      </c>
      <c r="L748" s="2">
        <v>0</v>
      </c>
      <c r="M748" s="2">
        <v>478.73546170203582</v>
      </c>
      <c r="N748" s="2">
        <v>630.64</v>
      </c>
      <c r="O748" s="2">
        <v>31.53</v>
      </c>
      <c r="P748" s="2">
        <v>662.17</v>
      </c>
      <c r="Q748" s="2" t="s">
        <v>44</v>
      </c>
      <c r="R748" s="2"/>
      <c r="S748" t="str">
        <f>VLOOKUP(B748,CASOPOInvCL!$B$1:$D$1600,1,FALSE)</f>
        <v>SO17749</v>
      </c>
      <c r="T748">
        <f t="shared" si="11"/>
        <v>8</v>
      </c>
    </row>
    <row r="749" spans="1:20" x14ac:dyDescent="0.25">
      <c r="A749" s="2">
        <v>1</v>
      </c>
      <c r="B749" s="2" t="s">
        <v>770</v>
      </c>
      <c r="C749" s="2" t="s">
        <v>771</v>
      </c>
      <c r="D749" s="2" t="s">
        <v>450</v>
      </c>
      <c r="E749" s="3">
        <v>45895.552754629629</v>
      </c>
      <c r="F749" s="3">
        <v>45895.712141203701</v>
      </c>
      <c r="G749" s="4">
        <v>45916</v>
      </c>
      <c r="H749" s="2" t="s">
        <v>36</v>
      </c>
      <c r="I749" s="2" t="s">
        <v>22</v>
      </c>
      <c r="J749" s="2">
        <v>1</v>
      </c>
      <c r="K749" s="2">
        <v>338.15</v>
      </c>
      <c r="L749" s="2">
        <v>0</v>
      </c>
      <c r="M749" s="2">
        <v>244.57908506549111</v>
      </c>
      <c r="N749" s="2">
        <v>299.25</v>
      </c>
      <c r="O749" s="2">
        <v>38.9</v>
      </c>
      <c r="P749" s="2">
        <v>338.15</v>
      </c>
      <c r="Q749" s="2" t="s">
        <v>44</v>
      </c>
      <c r="R749" s="2"/>
      <c r="S749" t="str">
        <f>VLOOKUP(B749,CASOPOInvCL!$B$1:$D$1600,1,FALSE)</f>
        <v>SO17753</v>
      </c>
      <c r="T749">
        <f t="shared" si="11"/>
        <v>8</v>
      </c>
    </row>
    <row r="750" spans="1:20" x14ac:dyDescent="0.25">
      <c r="A750" s="2">
        <v>2</v>
      </c>
      <c r="B750" s="2" t="s">
        <v>768</v>
      </c>
      <c r="C750" s="2" t="s">
        <v>769</v>
      </c>
      <c r="D750" s="2" t="s">
        <v>192</v>
      </c>
      <c r="E750" s="3">
        <v>45895.751608796287</v>
      </c>
      <c r="F750" s="3">
        <v>45895.751932870371</v>
      </c>
      <c r="G750" s="4">
        <v>45902</v>
      </c>
      <c r="H750" s="2" t="s">
        <v>36</v>
      </c>
      <c r="I750" s="2" t="s">
        <v>51</v>
      </c>
      <c r="J750" s="2">
        <v>0.72297969056592093</v>
      </c>
      <c r="K750" s="2">
        <v>4155.7875542093761</v>
      </c>
      <c r="L750" s="2">
        <v>0</v>
      </c>
      <c r="M750" s="2">
        <v>3004.55</v>
      </c>
      <c r="N750" s="2">
        <v>3004.55</v>
      </c>
      <c r="O750" s="2"/>
      <c r="P750" s="2">
        <v>3004.55</v>
      </c>
      <c r="Q750" s="2" t="s">
        <v>44</v>
      </c>
      <c r="R750" s="2"/>
      <c r="S750" t="str">
        <f>VLOOKUP(B750,CASOPOInvCL!$B$1:$D$1600,1,FALSE)</f>
        <v>SO17756</v>
      </c>
      <c r="T750">
        <f t="shared" si="11"/>
        <v>8</v>
      </c>
    </row>
    <row r="751" spans="1:20" x14ac:dyDescent="0.25">
      <c r="A751" s="2">
        <v>1</v>
      </c>
      <c r="B751" s="2" t="s">
        <v>680</v>
      </c>
      <c r="C751" s="2" t="s">
        <v>681</v>
      </c>
      <c r="D751" s="2" t="s">
        <v>77</v>
      </c>
      <c r="E751" s="3">
        <v>45896.40215277778</v>
      </c>
      <c r="F751" s="3">
        <v>45908.661365740743</v>
      </c>
      <c r="G751" s="4">
        <v>45909</v>
      </c>
      <c r="H751" s="2" t="s">
        <v>40</v>
      </c>
      <c r="I751" s="2" t="s">
        <v>22</v>
      </c>
      <c r="J751" s="2">
        <v>1</v>
      </c>
      <c r="K751" s="2">
        <v>283.87</v>
      </c>
      <c r="L751" s="2">
        <v>0</v>
      </c>
      <c r="M751" s="2">
        <v>205.38609347975159</v>
      </c>
      <c r="N751" s="2">
        <v>270.35000000000002</v>
      </c>
      <c r="O751" s="2">
        <v>13.52</v>
      </c>
      <c r="P751" s="2">
        <v>283.87</v>
      </c>
      <c r="Q751" s="2" t="s">
        <v>44</v>
      </c>
      <c r="R751" s="2"/>
      <c r="S751" t="str">
        <f>VLOOKUP(B751,CASOPOInvCL!$B$1:$D$1600,1,FALSE)</f>
        <v>SO17758</v>
      </c>
      <c r="T751">
        <f t="shared" si="11"/>
        <v>8</v>
      </c>
    </row>
    <row r="752" spans="1:20" x14ac:dyDescent="0.25">
      <c r="A752" s="2">
        <v>2</v>
      </c>
      <c r="B752" s="2" t="s">
        <v>697</v>
      </c>
      <c r="C752" s="2" t="s">
        <v>698</v>
      </c>
      <c r="D752" s="2" t="s">
        <v>39</v>
      </c>
      <c r="E752" s="3">
        <v>45896.532789351862</v>
      </c>
      <c r="F752" s="3">
        <v>45904.645405092589</v>
      </c>
      <c r="G752" s="4">
        <v>46048</v>
      </c>
      <c r="H752" s="2" t="s">
        <v>36</v>
      </c>
      <c r="I752" s="2" t="s">
        <v>22</v>
      </c>
      <c r="J752" s="2">
        <v>1</v>
      </c>
      <c r="K752" s="2">
        <v>8475.15</v>
      </c>
      <c r="L752" s="2">
        <v>0</v>
      </c>
      <c r="M752" s="2">
        <v>6128.3686907329557</v>
      </c>
      <c r="N752" s="2">
        <v>8071.57</v>
      </c>
      <c r="O752" s="2">
        <v>403.58</v>
      </c>
      <c r="P752" s="2">
        <v>8475.15</v>
      </c>
      <c r="Q752" s="2" t="s">
        <v>44</v>
      </c>
      <c r="R752" s="2"/>
      <c r="S752" t="str">
        <f>VLOOKUP(B752,CASOPOInvCL!$B$1:$D$1600,1,FALSE)</f>
        <v>SO17759</v>
      </c>
      <c r="T752">
        <f t="shared" si="11"/>
        <v>8</v>
      </c>
    </row>
    <row r="753" spans="1:20" x14ac:dyDescent="0.25">
      <c r="A753" s="2">
        <v>2</v>
      </c>
      <c r="B753" s="2" t="s">
        <v>764</v>
      </c>
      <c r="C753" s="2"/>
      <c r="D753" s="2" t="s">
        <v>129</v>
      </c>
      <c r="E753" s="3">
        <v>45896.537141203713</v>
      </c>
      <c r="F753" s="3">
        <v>45896.531192129631</v>
      </c>
      <c r="G753" s="4">
        <v>45943</v>
      </c>
      <c r="H753" s="2" t="s">
        <v>328</v>
      </c>
      <c r="I753" s="2" t="s">
        <v>51</v>
      </c>
      <c r="J753" s="2">
        <v>0.72297969056592093</v>
      </c>
      <c r="K753" s="2">
        <v>2697.171200581879</v>
      </c>
      <c r="L753" s="2">
        <v>0</v>
      </c>
      <c r="M753" s="2">
        <v>1950</v>
      </c>
      <c r="N753" s="2">
        <v>1950</v>
      </c>
      <c r="O753" s="2"/>
      <c r="P753" s="2">
        <v>1950</v>
      </c>
      <c r="Q753" s="2" t="s">
        <v>44</v>
      </c>
      <c r="R753" s="2"/>
      <c r="S753" t="str">
        <f>VLOOKUP(B753,CASOPOInvCL!$B$1:$D$1600,1,FALSE)</f>
        <v>SO17760</v>
      </c>
      <c r="T753">
        <f t="shared" si="11"/>
        <v>8</v>
      </c>
    </row>
    <row r="754" spans="1:20" ht="30" x14ac:dyDescent="0.25">
      <c r="A754" s="2">
        <v>1</v>
      </c>
      <c r="B754" s="2" t="s">
        <v>760</v>
      </c>
      <c r="C754" s="2" t="s">
        <v>761</v>
      </c>
      <c r="D754" s="2" t="s">
        <v>159</v>
      </c>
      <c r="E754" s="3">
        <v>45896.580810185187</v>
      </c>
      <c r="F754" s="3">
        <v>45896.613969907397</v>
      </c>
      <c r="G754" s="4">
        <v>45901</v>
      </c>
      <c r="H754" s="2" t="s">
        <v>40</v>
      </c>
      <c r="I754" s="2" t="s">
        <v>51</v>
      </c>
      <c r="J754" s="2">
        <v>0.72297969056592093</v>
      </c>
      <c r="K754" s="2">
        <v>9778.1999857648989</v>
      </c>
      <c r="L754" s="2">
        <v>0</v>
      </c>
      <c r="M754" s="2">
        <v>7069.44</v>
      </c>
      <c r="N754" s="2">
        <v>7069.44</v>
      </c>
      <c r="O754" s="2"/>
      <c r="P754" s="2">
        <v>7069.44</v>
      </c>
      <c r="Q754" s="2" t="s">
        <v>44</v>
      </c>
      <c r="R754" s="2"/>
      <c r="S754" t="str">
        <f>VLOOKUP(B754,CASOPOInvCL!$B$1:$D$1600,1,FALSE)</f>
        <v>SO17761</v>
      </c>
      <c r="T754">
        <f t="shared" si="11"/>
        <v>8</v>
      </c>
    </row>
    <row r="755" spans="1:20" ht="30" x14ac:dyDescent="0.25">
      <c r="A755" s="2">
        <v>1</v>
      </c>
      <c r="B755" s="2" t="s">
        <v>726</v>
      </c>
      <c r="C755" s="2" t="s">
        <v>727</v>
      </c>
      <c r="D755" s="2" t="s">
        <v>728</v>
      </c>
      <c r="E755" s="3">
        <v>45896.6174537037</v>
      </c>
      <c r="F755" s="3">
        <v>45902.616203703707</v>
      </c>
      <c r="G755" s="4">
        <v>45961</v>
      </c>
      <c r="H755" s="2" t="s">
        <v>36</v>
      </c>
      <c r="I755" s="2" t="s">
        <v>22</v>
      </c>
      <c r="J755" s="2">
        <v>1</v>
      </c>
      <c r="K755" s="2">
        <v>2911.69</v>
      </c>
      <c r="L755" s="2">
        <v>0</v>
      </c>
      <c r="M755" s="2">
        <v>2112.1929935543972</v>
      </c>
      <c r="N755" s="2">
        <v>2576.7199999999998</v>
      </c>
      <c r="O755" s="2">
        <v>334.97</v>
      </c>
      <c r="P755" s="2">
        <v>2911.69</v>
      </c>
      <c r="Q755" s="2" t="s">
        <v>44</v>
      </c>
      <c r="R755" s="2"/>
      <c r="S755" t="str">
        <f>VLOOKUP(B755,CASOPOInvCL!$B$1:$D$1600,1,FALSE)</f>
        <v>SO17763</v>
      </c>
      <c r="T755">
        <f t="shared" si="11"/>
        <v>8</v>
      </c>
    </row>
    <row r="756" spans="1:20" x14ac:dyDescent="0.25">
      <c r="A756" s="2">
        <v>1</v>
      </c>
      <c r="B756" s="2" t="s">
        <v>758</v>
      </c>
      <c r="C756" s="2" t="s">
        <v>759</v>
      </c>
      <c r="D756" s="2" t="s">
        <v>109</v>
      </c>
      <c r="E756" s="3">
        <v>45896.702326388891</v>
      </c>
      <c r="F756" s="3">
        <v>45897.407060185193</v>
      </c>
      <c r="G756" s="4">
        <v>45898</v>
      </c>
      <c r="H756" s="2" t="s">
        <v>21</v>
      </c>
      <c r="I756" s="2" t="s">
        <v>51</v>
      </c>
      <c r="J756" s="2">
        <v>0.72328577573707276</v>
      </c>
      <c r="K756" s="2">
        <v>18960.735106430871</v>
      </c>
      <c r="L756" s="2">
        <v>0</v>
      </c>
      <c r="M756" s="2">
        <v>13714.03</v>
      </c>
      <c r="N756" s="2">
        <v>13714.03</v>
      </c>
      <c r="O756" s="2"/>
      <c r="P756" s="2">
        <v>13714.03</v>
      </c>
      <c r="Q756" s="2" t="s">
        <v>44</v>
      </c>
      <c r="R756" s="2"/>
      <c r="S756" t="str">
        <f>VLOOKUP(B756,CASOPOInvCL!$B$1:$D$1600,1,FALSE)</f>
        <v>SO17765</v>
      </c>
      <c r="T756">
        <f t="shared" si="11"/>
        <v>8</v>
      </c>
    </row>
    <row r="757" spans="1:20" x14ac:dyDescent="0.25">
      <c r="A757" s="2">
        <v>2</v>
      </c>
      <c r="B757" s="2" t="s">
        <v>724</v>
      </c>
      <c r="C757" s="2" t="s">
        <v>725</v>
      </c>
      <c r="D757" s="2" t="s">
        <v>83</v>
      </c>
      <c r="E757" s="3">
        <v>45897.539988425917</v>
      </c>
      <c r="F757" s="3">
        <v>45902.720601851863</v>
      </c>
      <c r="G757" s="4">
        <v>45910</v>
      </c>
      <c r="H757" s="2" t="s">
        <v>21</v>
      </c>
      <c r="I757" s="2" t="s">
        <v>22</v>
      </c>
      <c r="J757" s="2">
        <v>1</v>
      </c>
      <c r="K757" s="2">
        <v>27525.7</v>
      </c>
      <c r="L757" s="2">
        <v>0</v>
      </c>
      <c r="M757" s="2">
        <v>19967.644454828729</v>
      </c>
      <c r="N757" s="2">
        <v>27525.7</v>
      </c>
      <c r="O757" s="2"/>
      <c r="P757" s="2">
        <v>27525.7</v>
      </c>
      <c r="Q757" s="2" t="s">
        <v>44</v>
      </c>
      <c r="R757" s="2"/>
      <c r="S757" t="str">
        <f>VLOOKUP(B757,CASOPOInvCL!$B$1:$D$1600,1,FALSE)</f>
        <v>SO17768</v>
      </c>
      <c r="T757">
        <f t="shared" si="11"/>
        <v>8</v>
      </c>
    </row>
    <row r="758" spans="1:20" ht="30" x14ac:dyDescent="0.25">
      <c r="A758" s="2">
        <v>2</v>
      </c>
      <c r="B758" s="2" t="s">
        <v>749</v>
      </c>
      <c r="C758" s="2" t="s">
        <v>750</v>
      </c>
      <c r="D758" s="2" t="s">
        <v>159</v>
      </c>
      <c r="E758" s="3">
        <v>45897.564039351862</v>
      </c>
      <c r="F758" s="3">
        <v>45897.568194444437</v>
      </c>
      <c r="G758" s="4">
        <v>45902</v>
      </c>
      <c r="H758" s="2" t="s">
        <v>40</v>
      </c>
      <c r="I758" s="2" t="s">
        <v>51</v>
      </c>
      <c r="J758" s="2">
        <v>0.72328577573707276</v>
      </c>
      <c r="K758" s="2">
        <v>31086.578437253149</v>
      </c>
      <c r="L758" s="2">
        <v>0</v>
      </c>
      <c r="M758" s="2">
        <v>22484.48</v>
      </c>
      <c r="N758" s="2">
        <v>22484.48</v>
      </c>
      <c r="O758" s="2"/>
      <c r="P758" s="2">
        <v>22484.48</v>
      </c>
      <c r="Q758" s="2" t="s">
        <v>44</v>
      </c>
      <c r="R758" s="2"/>
      <c r="S758" t="str">
        <f>VLOOKUP(B758,CASOPOInvCL!$B$1:$D$1600,1,FALSE)</f>
        <v>SO17769</v>
      </c>
      <c r="T758">
        <f t="shared" si="11"/>
        <v>8</v>
      </c>
    </row>
    <row r="759" spans="1:20" x14ac:dyDescent="0.25">
      <c r="A759" s="2">
        <v>1</v>
      </c>
      <c r="B759" s="2" t="s">
        <v>737</v>
      </c>
      <c r="C759" s="2" t="s">
        <v>738</v>
      </c>
      <c r="D759" s="2" t="s">
        <v>739</v>
      </c>
      <c r="E759" s="3">
        <v>45898.39162037037</v>
      </c>
      <c r="F759" s="3">
        <v>45898.622141203698</v>
      </c>
      <c r="G759" s="4">
        <v>45901</v>
      </c>
      <c r="H759" s="2" t="s">
        <v>40</v>
      </c>
      <c r="I759" s="2" t="s">
        <v>51</v>
      </c>
      <c r="J759" s="2">
        <v>0.72327371605913215</v>
      </c>
      <c r="K759" s="2">
        <v>371.64353415826872</v>
      </c>
      <c r="L759" s="2">
        <v>0</v>
      </c>
      <c r="M759" s="2">
        <v>268.8</v>
      </c>
      <c r="N759" s="2">
        <v>268.8</v>
      </c>
      <c r="O759" s="2"/>
      <c r="P759" s="2">
        <v>268.8</v>
      </c>
      <c r="Q759" s="2" t="s">
        <v>44</v>
      </c>
      <c r="R759" s="2"/>
      <c r="S759" t="str">
        <f>VLOOKUP(B759,CASOPOInvCL!$B$1:$D$1600,1,FALSE)</f>
        <v>SO17774</v>
      </c>
      <c r="T759">
        <f t="shared" si="11"/>
        <v>8</v>
      </c>
    </row>
    <row r="760" spans="1:20" x14ac:dyDescent="0.25">
      <c r="A760" s="2">
        <v>1</v>
      </c>
      <c r="B760" s="2" t="s">
        <v>743</v>
      </c>
      <c r="C760" s="2" t="s">
        <v>744</v>
      </c>
      <c r="D760" s="2" t="s">
        <v>141</v>
      </c>
      <c r="E760" s="3">
        <v>45898.405891203707</v>
      </c>
      <c r="F760" s="3">
        <v>45898.493287037039</v>
      </c>
      <c r="G760" s="4">
        <v>45961</v>
      </c>
      <c r="H760" s="2" t="s">
        <v>40</v>
      </c>
      <c r="I760" s="2" t="s">
        <v>51</v>
      </c>
      <c r="J760" s="2">
        <v>0.72327371605913215</v>
      </c>
      <c r="K760" s="2">
        <v>1484.0578002038781</v>
      </c>
      <c r="L760" s="2">
        <v>0</v>
      </c>
      <c r="M760" s="2">
        <v>1073.3800000000001</v>
      </c>
      <c r="N760" s="2">
        <v>1073.3800000000001</v>
      </c>
      <c r="O760" s="2"/>
      <c r="P760" s="2">
        <v>1073.3800000000001</v>
      </c>
      <c r="Q760" s="2" t="s">
        <v>44</v>
      </c>
      <c r="R760" s="2"/>
      <c r="S760" t="str">
        <f>VLOOKUP(B760,CASOPOInvCL!$B$1:$D$1600,1,FALSE)</f>
        <v>SO17775</v>
      </c>
      <c r="T760">
        <f t="shared" si="11"/>
        <v>8</v>
      </c>
    </row>
    <row r="761" spans="1:20" x14ac:dyDescent="0.25">
      <c r="A761" s="2">
        <v>1</v>
      </c>
      <c r="B761" s="2" t="s">
        <v>721</v>
      </c>
      <c r="C761" s="2" t="s">
        <v>722</v>
      </c>
      <c r="D761" s="2" t="s">
        <v>723</v>
      </c>
      <c r="E761" s="3">
        <v>45898.520289351851</v>
      </c>
      <c r="F761" s="3">
        <v>45902.731944444437</v>
      </c>
      <c r="G761" s="4">
        <v>45909</v>
      </c>
      <c r="H761" s="2" t="s">
        <v>71</v>
      </c>
      <c r="I761" s="2" t="s">
        <v>51</v>
      </c>
      <c r="J761" s="2">
        <v>0.72576773408832196</v>
      </c>
      <c r="K761" s="2">
        <v>8216.692090191882</v>
      </c>
      <c r="L761" s="2">
        <v>0</v>
      </c>
      <c r="M761" s="2">
        <v>5963.41</v>
      </c>
      <c r="N761" s="2">
        <v>5963.41</v>
      </c>
      <c r="O761" s="2"/>
      <c r="P761" s="2">
        <v>5963.41</v>
      </c>
      <c r="Q761" s="2" t="s">
        <v>44</v>
      </c>
      <c r="R761" s="2"/>
      <c r="S761" t="str">
        <f>VLOOKUP(B761,CASOPOInvCL!$B$1:$D$1600,1,FALSE)</f>
        <v>SO17776</v>
      </c>
      <c r="T761">
        <f t="shared" si="11"/>
        <v>8</v>
      </c>
    </row>
    <row r="762" spans="1:20" x14ac:dyDescent="0.25">
      <c r="A762" s="2">
        <v>1</v>
      </c>
      <c r="B762" s="2" t="s">
        <v>740</v>
      </c>
      <c r="C762" s="2" t="s">
        <v>741</v>
      </c>
      <c r="D762" s="2" t="s">
        <v>742</v>
      </c>
      <c r="E762" s="3">
        <v>45898.577349537038</v>
      </c>
      <c r="F762" s="3">
        <v>45898.578425925924</v>
      </c>
      <c r="G762" s="4">
        <v>45926</v>
      </c>
      <c r="H762" s="2" t="s">
        <v>36</v>
      </c>
      <c r="I762" s="2" t="s">
        <v>51</v>
      </c>
      <c r="J762" s="2">
        <v>0.72327371605913215</v>
      </c>
      <c r="K762" s="2">
        <v>2861.7796472376949</v>
      </c>
      <c r="L762" s="2">
        <v>0</v>
      </c>
      <c r="M762" s="2">
        <v>2069.85</v>
      </c>
      <c r="N762" s="2">
        <v>2069.85</v>
      </c>
      <c r="O762" s="2"/>
      <c r="P762" s="2">
        <v>2069.85</v>
      </c>
      <c r="Q762" s="2" t="s">
        <v>44</v>
      </c>
      <c r="R762" s="2"/>
      <c r="S762" t="str">
        <f>VLOOKUP(B762,CASOPOInvCL!$B$1:$D$1600,1,FALSE)</f>
        <v>SO17777</v>
      </c>
      <c r="T762">
        <f t="shared" si="11"/>
        <v>8</v>
      </c>
    </row>
    <row r="763" spans="1:20" x14ac:dyDescent="0.25">
      <c r="A763" s="2">
        <v>2</v>
      </c>
      <c r="B763" s="2" t="s">
        <v>635</v>
      </c>
      <c r="C763" s="2" t="s">
        <v>636</v>
      </c>
      <c r="D763" s="2" t="s">
        <v>316</v>
      </c>
      <c r="E763" s="3">
        <v>45898.613229166673</v>
      </c>
      <c r="F763" s="3">
        <v>45915.775902777779</v>
      </c>
      <c r="G763" s="4">
        <v>45943</v>
      </c>
      <c r="H763" s="2" t="s">
        <v>36</v>
      </c>
      <c r="I763" s="2" t="s">
        <v>22</v>
      </c>
      <c r="J763" s="2">
        <v>1</v>
      </c>
      <c r="K763" s="2">
        <v>7445.23</v>
      </c>
      <c r="L763" s="2">
        <v>0</v>
      </c>
      <c r="M763" s="2">
        <v>5395.6725502376621</v>
      </c>
      <c r="N763" s="2">
        <v>7090.68</v>
      </c>
      <c r="O763" s="2">
        <v>354.55</v>
      </c>
      <c r="P763" s="2">
        <v>7445.23</v>
      </c>
      <c r="Q763" s="2" t="s">
        <v>44</v>
      </c>
      <c r="R763" s="2"/>
      <c r="S763" t="str">
        <f>VLOOKUP(B763,CASOPOInvCL!$B$1:$D$1600,1,FALSE)</f>
        <v>SO17778</v>
      </c>
      <c r="T763">
        <f t="shared" si="11"/>
        <v>8</v>
      </c>
    </row>
    <row r="764" spans="1:20" x14ac:dyDescent="0.25">
      <c r="A764" s="2">
        <v>1</v>
      </c>
      <c r="B764" s="2" t="s">
        <v>735</v>
      </c>
      <c r="C764" s="2" t="s">
        <v>736</v>
      </c>
      <c r="D764" s="2" t="s">
        <v>20</v>
      </c>
      <c r="E764" s="3">
        <v>45898.711180555547</v>
      </c>
      <c r="F764" s="3">
        <v>45898.710081018522</v>
      </c>
      <c r="G764" s="4">
        <v>46022</v>
      </c>
      <c r="H764" s="2" t="s">
        <v>36</v>
      </c>
      <c r="I764" s="2" t="s">
        <v>22</v>
      </c>
      <c r="J764" s="2">
        <v>1</v>
      </c>
      <c r="K764" s="2">
        <v>248.38</v>
      </c>
      <c r="L764" s="2">
        <v>0</v>
      </c>
      <c r="M764" s="2">
        <v>180.91508146445111</v>
      </c>
      <c r="N764" s="2">
        <v>236.55</v>
      </c>
      <c r="O764" s="2">
        <v>11.83</v>
      </c>
      <c r="P764" s="2">
        <v>248.38</v>
      </c>
      <c r="Q764" s="2" t="s">
        <v>44</v>
      </c>
      <c r="R764" s="2"/>
      <c r="S764" t="str">
        <f>VLOOKUP(B764,CASOPOInvCL!$B$1:$D$1600,1,FALSE)</f>
        <v>SO17779</v>
      </c>
      <c r="T764">
        <f t="shared" si="11"/>
        <v>8</v>
      </c>
    </row>
    <row r="765" spans="1:20" x14ac:dyDescent="0.25">
      <c r="A765" s="2">
        <v>0</v>
      </c>
      <c r="B765" s="2" t="s">
        <v>608</v>
      </c>
      <c r="C765" s="2" t="s">
        <v>609</v>
      </c>
      <c r="D765" s="2" t="s">
        <v>39</v>
      </c>
      <c r="E765" s="3">
        <v>45901.352905092594</v>
      </c>
      <c r="F765" s="3">
        <v>45918.668865740743</v>
      </c>
      <c r="G765" s="4">
        <v>46051</v>
      </c>
      <c r="H765" s="2" t="s">
        <v>40</v>
      </c>
      <c r="I765" s="2" t="s">
        <v>22</v>
      </c>
      <c r="J765" s="2">
        <v>1</v>
      </c>
      <c r="K765" s="2">
        <v>4072.96</v>
      </c>
      <c r="L765" s="2">
        <v>0</v>
      </c>
      <c r="M765" s="2">
        <v>2951.8770636157119</v>
      </c>
      <c r="N765" s="2">
        <v>3879.01</v>
      </c>
      <c r="O765" s="2">
        <v>193.95</v>
      </c>
      <c r="P765" s="2">
        <v>4072.96</v>
      </c>
      <c r="Q765" s="2" t="s">
        <v>23</v>
      </c>
      <c r="R765" s="2"/>
      <c r="S765" t="str">
        <f>VLOOKUP(B765,CASOPOInvCL!$B$1:$D$1600,1,FALSE)</f>
        <v>SO17781</v>
      </c>
      <c r="T765">
        <f t="shared" si="11"/>
        <v>9</v>
      </c>
    </row>
    <row r="766" spans="1:20" x14ac:dyDescent="0.25">
      <c r="A766" s="2">
        <v>1</v>
      </c>
      <c r="B766" s="2" t="s">
        <v>733</v>
      </c>
      <c r="C766" s="2" t="s">
        <v>734</v>
      </c>
      <c r="D766" s="2" t="s">
        <v>129</v>
      </c>
      <c r="E766" s="3">
        <v>45901.778749999998</v>
      </c>
      <c r="F766" s="3">
        <v>45901.77920138889</v>
      </c>
      <c r="G766" s="4">
        <v>45569</v>
      </c>
      <c r="H766" s="2" t="s">
        <v>130</v>
      </c>
      <c r="I766" s="2" t="s">
        <v>51</v>
      </c>
      <c r="J766" s="2">
        <v>0.72752560688441315</v>
      </c>
      <c r="K766" s="2">
        <v>11042.910275564251</v>
      </c>
      <c r="L766" s="2">
        <v>0</v>
      </c>
      <c r="M766" s="2">
        <v>8034</v>
      </c>
      <c r="N766" s="2">
        <v>8034</v>
      </c>
      <c r="O766" s="2"/>
      <c r="P766" s="2">
        <v>8034</v>
      </c>
      <c r="Q766" s="2" t="s">
        <v>44</v>
      </c>
      <c r="R766" s="2"/>
      <c r="S766" t="str">
        <f>VLOOKUP(B766,CASOPOInvCL!$B$1:$D$1600,1,FALSE)</f>
        <v>SO17782</v>
      </c>
      <c r="T766">
        <f t="shared" si="11"/>
        <v>9</v>
      </c>
    </row>
    <row r="767" spans="1:20" ht="30" x14ac:dyDescent="0.25">
      <c r="A767" s="2">
        <v>1</v>
      </c>
      <c r="B767" s="2" t="s">
        <v>633</v>
      </c>
      <c r="C767" s="2" t="s">
        <v>634</v>
      </c>
      <c r="D767" s="2" t="s">
        <v>159</v>
      </c>
      <c r="E767" s="3">
        <v>45902.353310185194</v>
      </c>
      <c r="F767" s="3">
        <v>45916.406342592592</v>
      </c>
      <c r="G767" s="4">
        <v>45919</v>
      </c>
      <c r="H767" s="2" t="s">
        <v>40</v>
      </c>
      <c r="I767" s="2" t="s">
        <v>51</v>
      </c>
      <c r="J767" s="2">
        <v>0.72471536141095205</v>
      </c>
      <c r="K767" s="2">
        <v>7436.1884499148664</v>
      </c>
      <c r="L767" s="2">
        <v>0</v>
      </c>
      <c r="M767" s="2">
        <v>5389.12</v>
      </c>
      <c r="N767" s="2">
        <v>5389.12</v>
      </c>
      <c r="O767" s="2"/>
      <c r="P767" s="2">
        <v>5389.12</v>
      </c>
      <c r="Q767" s="2" t="s">
        <v>44</v>
      </c>
      <c r="R767" s="2"/>
      <c r="S767" t="str">
        <f>VLOOKUP(B767,CASOPOInvCL!$B$1:$D$1600,1,FALSE)</f>
        <v>SO17783</v>
      </c>
      <c r="T767">
        <f t="shared" si="11"/>
        <v>9</v>
      </c>
    </row>
    <row r="768" spans="1:20" ht="30" x14ac:dyDescent="0.25">
      <c r="A768" s="2">
        <v>1</v>
      </c>
      <c r="B768" s="2" t="s">
        <v>705</v>
      </c>
      <c r="C768" s="2" t="s">
        <v>706</v>
      </c>
      <c r="D768" s="2" t="s">
        <v>201</v>
      </c>
      <c r="E768" s="3">
        <v>45902.388437499998</v>
      </c>
      <c r="F768" s="3">
        <v>45903.658055555563</v>
      </c>
      <c r="G768" s="4">
        <v>45904</v>
      </c>
      <c r="H768" s="2" t="s">
        <v>40</v>
      </c>
      <c r="I768" s="2" t="s">
        <v>22</v>
      </c>
      <c r="J768" s="2">
        <v>1</v>
      </c>
      <c r="K768" s="2">
        <v>3087.15</v>
      </c>
      <c r="L768" s="2">
        <v>3087.15</v>
      </c>
      <c r="M768" s="2">
        <v>3087.15</v>
      </c>
      <c r="N768" s="2">
        <v>2940.13</v>
      </c>
      <c r="O768" s="2">
        <v>147.02000000000001</v>
      </c>
      <c r="P768" s="2">
        <v>3087.15</v>
      </c>
      <c r="Q768" s="2" t="s">
        <v>44</v>
      </c>
      <c r="R768" s="2"/>
      <c r="S768" t="str">
        <f>VLOOKUP(B768,CASOPOInvCL!$B$1:$D$1600,1,FALSE)</f>
        <v>SO17784</v>
      </c>
      <c r="T768">
        <f t="shared" si="11"/>
        <v>9</v>
      </c>
    </row>
    <row r="769" spans="1:20" x14ac:dyDescent="0.25">
      <c r="A769" s="2">
        <v>1</v>
      </c>
      <c r="B769" s="2" t="s">
        <v>707</v>
      </c>
      <c r="C769" s="2" t="s">
        <v>708</v>
      </c>
      <c r="D769" s="2" t="s">
        <v>61</v>
      </c>
      <c r="E769" s="3">
        <v>45902.43246527778</v>
      </c>
      <c r="F769" s="3">
        <v>45903.638344907413</v>
      </c>
      <c r="G769" s="4">
        <v>45973</v>
      </c>
      <c r="H769" s="2" t="s">
        <v>40</v>
      </c>
      <c r="I769" s="2" t="s">
        <v>51</v>
      </c>
      <c r="J769" s="2">
        <v>0.72690712781787181</v>
      </c>
      <c r="K769" s="2">
        <v>1682.4707767983609</v>
      </c>
      <c r="L769" s="2">
        <v>0</v>
      </c>
      <c r="M769" s="2">
        <v>1223</v>
      </c>
      <c r="N769" s="2">
        <v>1223</v>
      </c>
      <c r="O769" s="2"/>
      <c r="P769" s="2">
        <v>1223</v>
      </c>
      <c r="Q769" s="2" t="s">
        <v>44</v>
      </c>
      <c r="R769" s="2"/>
      <c r="S769" t="str">
        <f>VLOOKUP(B769,CASOPOInvCL!$B$1:$D$1600,1,FALSE)</f>
        <v>SO17785</v>
      </c>
      <c r="T769">
        <f t="shared" si="11"/>
        <v>9</v>
      </c>
    </row>
    <row r="770" spans="1:20" x14ac:dyDescent="0.25">
      <c r="A770" s="2">
        <v>1</v>
      </c>
      <c r="B770" s="2" t="s">
        <v>731</v>
      </c>
      <c r="C770" s="2" t="s">
        <v>732</v>
      </c>
      <c r="D770" s="2" t="s">
        <v>129</v>
      </c>
      <c r="E770" s="3">
        <v>45902.495034722233</v>
      </c>
      <c r="F770" s="3">
        <v>45902.496365740742</v>
      </c>
      <c r="G770" s="4">
        <v>45904</v>
      </c>
      <c r="H770" s="2" t="s">
        <v>130</v>
      </c>
      <c r="I770" s="2" t="s">
        <v>51</v>
      </c>
      <c r="J770" s="2">
        <v>0.72576773408832196</v>
      </c>
      <c r="K770" s="2">
        <v>3692.6414252439872</v>
      </c>
      <c r="L770" s="2">
        <v>0</v>
      </c>
      <c r="M770" s="2">
        <v>2680</v>
      </c>
      <c r="N770" s="2">
        <v>2680</v>
      </c>
      <c r="O770" s="2"/>
      <c r="P770" s="2">
        <v>2680</v>
      </c>
      <c r="Q770" s="2" t="s">
        <v>44</v>
      </c>
      <c r="R770" s="2"/>
      <c r="S770" t="str">
        <f>VLOOKUP(B770,CASOPOInvCL!$B$1:$D$1600,1,FALSE)</f>
        <v>SO17786</v>
      </c>
      <c r="T770">
        <f t="shared" si="11"/>
        <v>9</v>
      </c>
    </row>
    <row r="771" spans="1:20" x14ac:dyDescent="0.25">
      <c r="A771" s="2">
        <v>1</v>
      </c>
      <c r="B771" s="2" t="s">
        <v>685</v>
      </c>
      <c r="C771" s="2" t="s">
        <v>686</v>
      </c>
      <c r="D771" s="2" t="s">
        <v>86</v>
      </c>
      <c r="E771" s="3">
        <v>45902.513842592591</v>
      </c>
      <c r="F771" s="3">
        <v>45905.554432870369</v>
      </c>
      <c r="G771" s="4">
        <v>45919</v>
      </c>
      <c r="H771" s="2" t="s">
        <v>21</v>
      </c>
      <c r="I771" s="2" t="s">
        <v>22</v>
      </c>
      <c r="J771" s="2">
        <v>1</v>
      </c>
      <c r="K771" s="2">
        <v>112.54</v>
      </c>
      <c r="L771" s="2">
        <v>0</v>
      </c>
      <c r="M771" s="2">
        <v>81.395130764358285</v>
      </c>
      <c r="N771" s="2">
        <v>112.54</v>
      </c>
      <c r="O771" s="2"/>
      <c r="P771" s="2">
        <v>112.54</v>
      </c>
      <c r="Q771" s="2" t="s">
        <v>44</v>
      </c>
      <c r="R771" s="2"/>
      <c r="S771" t="str">
        <f>VLOOKUP(B771,CASOPOInvCL!$B$1:$D$1600,1,FALSE)</f>
        <v>SO17787</v>
      </c>
      <c r="T771">
        <f t="shared" ref="T771:T834" si="12">MONTH(E771)</f>
        <v>9</v>
      </c>
    </row>
    <row r="772" spans="1:20" x14ac:dyDescent="0.25">
      <c r="A772" s="2">
        <v>1</v>
      </c>
      <c r="B772" s="2" t="s">
        <v>719</v>
      </c>
      <c r="C772" s="2" t="s">
        <v>720</v>
      </c>
      <c r="D772" s="2" t="s">
        <v>64</v>
      </c>
      <c r="E772" s="3">
        <v>45902.573321759257</v>
      </c>
      <c r="F772" s="3">
        <v>45903.478275462963</v>
      </c>
      <c r="G772" s="4">
        <v>45910</v>
      </c>
      <c r="H772" s="2" t="s">
        <v>36</v>
      </c>
      <c r="I772" s="2" t="s">
        <v>22</v>
      </c>
      <c r="J772" s="2">
        <v>1</v>
      </c>
      <c r="K772" s="2">
        <v>1032.47</v>
      </c>
      <c r="L772" s="2">
        <v>1032.47</v>
      </c>
      <c r="M772" s="2">
        <v>1032.47</v>
      </c>
      <c r="N772" s="2">
        <v>913.69</v>
      </c>
      <c r="O772" s="2">
        <v>118.78</v>
      </c>
      <c r="P772" s="2">
        <v>1032.47</v>
      </c>
      <c r="Q772" s="2" t="s">
        <v>44</v>
      </c>
      <c r="R772" s="2"/>
      <c r="S772" t="str">
        <f>VLOOKUP(B772,CASOPOInvCL!$B$1:$D$1600,1,FALSE)</f>
        <v>SO17788</v>
      </c>
      <c r="T772">
        <f t="shared" si="12"/>
        <v>9</v>
      </c>
    </row>
    <row r="773" spans="1:20" x14ac:dyDescent="0.25">
      <c r="A773" s="2">
        <v>1</v>
      </c>
      <c r="B773" s="2" t="s">
        <v>561</v>
      </c>
      <c r="C773" s="2" t="s">
        <v>562</v>
      </c>
      <c r="D773" s="2" t="s">
        <v>171</v>
      </c>
      <c r="E773" s="3">
        <v>45903.471944444442</v>
      </c>
      <c r="F773" s="3">
        <v>45925.477187500001</v>
      </c>
      <c r="G773" s="4">
        <v>45932</v>
      </c>
      <c r="H773" s="2" t="s">
        <v>36</v>
      </c>
      <c r="I773" s="2" t="s">
        <v>22</v>
      </c>
      <c r="J773" s="2">
        <v>1</v>
      </c>
      <c r="K773" s="2">
        <v>2324.62</v>
      </c>
      <c r="L773" s="2">
        <v>0</v>
      </c>
      <c r="M773" s="2">
        <v>1669.4857385799539</v>
      </c>
      <c r="N773" s="2">
        <v>2213.92</v>
      </c>
      <c r="O773" s="2">
        <v>110.7</v>
      </c>
      <c r="P773" s="2">
        <v>2324.62</v>
      </c>
      <c r="Q773" s="2" t="s">
        <v>23</v>
      </c>
      <c r="R773" s="2"/>
      <c r="S773" t="str">
        <f>VLOOKUP(B773,CASOPOInvCL!$B$1:$D$1600,1,FALSE)</f>
        <v>SO17794</v>
      </c>
      <c r="T773">
        <f t="shared" si="12"/>
        <v>9</v>
      </c>
    </row>
    <row r="774" spans="1:20" x14ac:dyDescent="0.25">
      <c r="A774" s="2">
        <v>2</v>
      </c>
      <c r="B774" s="2" t="s">
        <v>703</v>
      </c>
      <c r="C774" s="2" t="s">
        <v>704</v>
      </c>
      <c r="D774" s="2" t="s">
        <v>64</v>
      </c>
      <c r="E774" s="3">
        <v>45903.615567129629</v>
      </c>
      <c r="F774" s="3">
        <v>45904.463796296302</v>
      </c>
      <c r="G774" s="4">
        <v>45924</v>
      </c>
      <c r="H774" s="2" t="s">
        <v>36</v>
      </c>
      <c r="I774" s="2" t="s">
        <v>22</v>
      </c>
      <c r="J774" s="2">
        <v>1</v>
      </c>
      <c r="K774" s="2">
        <v>951.53</v>
      </c>
      <c r="L774" s="2">
        <v>0</v>
      </c>
      <c r="M774" s="2">
        <v>688.04996493196336</v>
      </c>
      <c r="N774" s="2">
        <v>842.06</v>
      </c>
      <c r="O774" s="2">
        <v>109.47</v>
      </c>
      <c r="P774" s="2">
        <v>951.53</v>
      </c>
      <c r="Q774" s="2" t="s">
        <v>44</v>
      </c>
      <c r="R774" s="2"/>
      <c r="S774" t="str">
        <f>VLOOKUP(B774,CASOPOInvCL!$B$1:$D$1600,1,FALSE)</f>
        <v>SO17796</v>
      </c>
      <c r="T774">
        <f t="shared" si="12"/>
        <v>9</v>
      </c>
    </row>
    <row r="775" spans="1:20" x14ac:dyDescent="0.25">
      <c r="A775" s="2">
        <v>0</v>
      </c>
      <c r="B775" s="2" t="s">
        <v>709</v>
      </c>
      <c r="C775" s="2" t="s">
        <v>710</v>
      </c>
      <c r="D775" s="2" t="s">
        <v>711</v>
      </c>
      <c r="E775" s="3">
        <v>45903.623159722221</v>
      </c>
      <c r="F775" s="3">
        <v>45903.623194444437</v>
      </c>
      <c r="G775" s="4">
        <v>45978</v>
      </c>
      <c r="H775" s="2" t="s">
        <v>180</v>
      </c>
      <c r="I775" s="2" t="s">
        <v>51</v>
      </c>
      <c r="J775" s="2">
        <v>0.72690712781787181</v>
      </c>
      <c r="K775" s="2">
        <v>0</v>
      </c>
      <c r="L775" s="2">
        <v>0</v>
      </c>
      <c r="M775" s="2">
        <v>0</v>
      </c>
      <c r="N775" s="2"/>
      <c r="O775" s="2"/>
      <c r="P775" s="2"/>
      <c r="Q775" s="2" t="s">
        <v>23</v>
      </c>
      <c r="R775" s="2"/>
      <c r="S775" t="str">
        <f>VLOOKUP(B775,CASOPOInvCL!$B$1:$D$1600,1,FALSE)</f>
        <v>SO17797</v>
      </c>
      <c r="T775">
        <f t="shared" si="12"/>
        <v>9</v>
      </c>
    </row>
    <row r="776" spans="1:20" x14ac:dyDescent="0.25">
      <c r="A776" s="2">
        <v>1</v>
      </c>
      <c r="B776" s="2" t="s">
        <v>701</v>
      </c>
      <c r="C776" s="2" t="s">
        <v>702</v>
      </c>
      <c r="D776" s="2" t="s">
        <v>61</v>
      </c>
      <c r="E776" s="3">
        <v>45904.504305555558</v>
      </c>
      <c r="F776" s="3">
        <v>45904.506180555552</v>
      </c>
      <c r="G776" s="4">
        <v>45973</v>
      </c>
      <c r="H776" s="2" t="s">
        <v>40</v>
      </c>
      <c r="I776" s="2" t="s">
        <v>51</v>
      </c>
      <c r="J776" s="2">
        <v>0.72541822568831038</v>
      </c>
      <c r="K776" s="2">
        <v>1685.9240045141701</v>
      </c>
      <c r="L776" s="2">
        <v>0</v>
      </c>
      <c r="M776" s="2">
        <v>1223</v>
      </c>
      <c r="N776" s="2">
        <v>1223</v>
      </c>
      <c r="O776" s="2"/>
      <c r="P776" s="2">
        <v>1223</v>
      </c>
      <c r="Q776" s="2" t="s">
        <v>44</v>
      </c>
      <c r="R776" s="2"/>
      <c r="S776" t="str">
        <f>VLOOKUP(B776,CASOPOInvCL!$B$1:$D$1600,1,FALSE)</f>
        <v>SO17799</v>
      </c>
      <c r="T776">
        <f t="shared" si="12"/>
        <v>9</v>
      </c>
    </row>
    <row r="777" spans="1:20" x14ac:dyDescent="0.25">
      <c r="A777" s="2">
        <v>1</v>
      </c>
      <c r="B777" s="2" t="s">
        <v>699</v>
      </c>
      <c r="C777" s="2" t="s">
        <v>700</v>
      </c>
      <c r="D777" s="2" t="s">
        <v>146</v>
      </c>
      <c r="E777" s="3">
        <v>45904.574432870373</v>
      </c>
      <c r="F777" s="3">
        <v>45904.634247685193</v>
      </c>
      <c r="G777" s="4">
        <v>45911</v>
      </c>
      <c r="H777" s="2" t="s">
        <v>21</v>
      </c>
      <c r="I777" s="2" t="s">
        <v>22</v>
      </c>
      <c r="J777" s="2">
        <v>1</v>
      </c>
      <c r="K777" s="2">
        <v>955.04</v>
      </c>
      <c r="L777" s="2">
        <v>0</v>
      </c>
      <c r="M777" s="2">
        <v>690.5880408485516</v>
      </c>
      <c r="N777" s="2">
        <v>909.56</v>
      </c>
      <c r="O777" s="2">
        <v>45.48</v>
      </c>
      <c r="P777" s="2">
        <v>955.04</v>
      </c>
      <c r="Q777" s="2" t="s">
        <v>44</v>
      </c>
      <c r="R777" s="2"/>
      <c r="S777" t="str">
        <f>VLOOKUP(B777,CASOPOInvCL!$B$1:$D$1600,1,FALSE)</f>
        <v>SO17800</v>
      </c>
      <c r="T777">
        <f t="shared" si="12"/>
        <v>9</v>
      </c>
    </row>
    <row r="778" spans="1:20" x14ac:dyDescent="0.25">
      <c r="A778" s="2">
        <v>1</v>
      </c>
      <c r="B778" s="2" t="s">
        <v>682</v>
      </c>
      <c r="C778" s="2" t="s">
        <v>683</v>
      </c>
      <c r="D778" s="2" t="s">
        <v>684</v>
      </c>
      <c r="E778" s="3">
        <v>45904.770868055559</v>
      </c>
      <c r="F778" s="3">
        <v>45908.649201388893</v>
      </c>
      <c r="G778" s="4">
        <v>45915</v>
      </c>
      <c r="H778" s="2" t="s">
        <v>36</v>
      </c>
      <c r="I778" s="2" t="s">
        <v>22</v>
      </c>
      <c r="J778" s="2">
        <v>1</v>
      </c>
      <c r="K778" s="2">
        <v>9474.0499999999993</v>
      </c>
      <c r="L778" s="2">
        <v>0</v>
      </c>
      <c r="M778" s="2">
        <v>6854.680378102089</v>
      </c>
      <c r="N778" s="2">
        <v>9022.9</v>
      </c>
      <c r="O778" s="2">
        <v>451.15</v>
      </c>
      <c r="P778" s="2">
        <v>9474.0499999999993</v>
      </c>
      <c r="Q778" s="2" t="s">
        <v>44</v>
      </c>
      <c r="R778" s="2"/>
      <c r="S778" t="str">
        <f>VLOOKUP(B778,CASOPOInvCL!$B$1:$D$1600,1,FALSE)</f>
        <v>SO17801</v>
      </c>
      <c r="T778">
        <f t="shared" si="12"/>
        <v>9</v>
      </c>
    </row>
    <row r="779" spans="1:20" x14ac:dyDescent="0.25">
      <c r="A779" s="2">
        <v>1</v>
      </c>
      <c r="B779" s="2" t="s">
        <v>645</v>
      </c>
      <c r="C779" s="2" t="s">
        <v>646</v>
      </c>
      <c r="D779" s="2" t="s">
        <v>146</v>
      </c>
      <c r="E779" s="3">
        <v>45905.481342592589</v>
      </c>
      <c r="F779" s="3">
        <v>45915.603263888886</v>
      </c>
      <c r="G779" s="4">
        <v>45922</v>
      </c>
      <c r="H779" s="2" t="s">
        <v>21</v>
      </c>
      <c r="I779" s="2" t="s">
        <v>22</v>
      </c>
      <c r="J779" s="2">
        <v>1</v>
      </c>
      <c r="K779" s="2">
        <v>105.61</v>
      </c>
      <c r="L779" s="2">
        <v>0</v>
      </c>
      <c r="M779" s="2">
        <v>76.537189318610643</v>
      </c>
      <c r="N779" s="2">
        <v>100.58</v>
      </c>
      <c r="O779" s="2">
        <v>5.03</v>
      </c>
      <c r="P779" s="2">
        <v>105.61</v>
      </c>
      <c r="Q779" s="2" t="s">
        <v>44</v>
      </c>
      <c r="R779" s="2"/>
      <c r="S779" t="str">
        <f>VLOOKUP(B779,CASOPOInvCL!$B$1:$D$1600,1,FALSE)</f>
        <v>SO17803</v>
      </c>
      <c r="T779">
        <f t="shared" si="12"/>
        <v>9</v>
      </c>
    </row>
    <row r="780" spans="1:20" x14ac:dyDescent="0.25">
      <c r="A780" s="2">
        <v>1</v>
      </c>
      <c r="B780" s="2" t="s">
        <v>690</v>
      </c>
      <c r="C780" s="2" t="s">
        <v>691</v>
      </c>
      <c r="D780" s="2" t="s">
        <v>229</v>
      </c>
      <c r="E780" s="3">
        <v>45905.516192129631</v>
      </c>
      <c r="F780" s="3">
        <v>45905.516296296293</v>
      </c>
      <c r="G780" s="4">
        <v>45912</v>
      </c>
      <c r="H780" s="2" t="s">
        <v>36</v>
      </c>
      <c r="I780" s="2" t="s">
        <v>22</v>
      </c>
      <c r="J780" s="2">
        <v>1</v>
      </c>
      <c r="K780" s="2">
        <v>523.91</v>
      </c>
      <c r="L780" s="2">
        <v>0</v>
      </c>
      <c r="M780" s="2">
        <v>378.92058786880182</v>
      </c>
      <c r="N780" s="2">
        <v>498.96</v>
      </c>
      <c r="O780" s="2">
        <v>24.95</v>
      </c>
      <c r="P780" s="2">
        <v>523.91</v>
      </c>
      <c r="Q780" s="2" t="s">
        <v>44</v>
      </c>
      <c r="R780" s="2"/>
      <c r="S780" t="str">
        <f>VLOOKUP(B780,CASOPOInvCL!$B$1:$D$1600,1,FALSE)</f>
        <v>SO17804</v>
      </c>
      <c r="T780">
        <f t="shared" si="12"/>
        <v>9</v>
      </c>
    </row>
    <row r="781" spans="1:20" x14ac:dyDescent="0.25">
      <c r="A781" s="2">
        <v>3</v>
      </c>
      <c r="B781" s="2" t="s">
        <v>674</v>
      </c>
      <c r="C781" s="2" t="s">
        <v>675</v>
      </c>
      <c r="D781" s="2" t="s">
        <v>70</v>
      </c>
      <c r="E781" s="3">
        <v>45905.603113425917</v>
      </c>
      <c r="F781" s="3">
        <v>45909.587812500002</v>
      </c>
      <c r="G781" s="4">
        <v>46027</v>
      </c>
      <c r="H781" s="2" t="s">
        <v>71</v>
      </c>
      <c r="I781" s="2" t="s">
        <v>51</v>
      </c>
      <c r="J781" s="2">
        <v>0.72308531577554036</v>
      </c>
      <c r="K781" s="2">
        <v>13645.070346114961</v>
      </c>
      <c r="L781" s="2">
        <v>0</v>
      </c>
      <c r="M781" s="2">
        <v>9866.5499999999993</v>
      </c>
      <c r="N781" s="2">
        <v>9866.5499999999993</v>
      </c>
      <c r="O781" s="2"/>
      <c r="P781" s="2">
        <v>9866.5499999999993</v>
      </c>
      <c r="Q781" s="2" t="s">
        <v>44</v>
      </c>
      <c r="R781" s="2"/>
      <c r="S781" t="str">
        <f>VLOOKUP(B781,CASOPOInvCL!$B$1:$D$1600,1,FALSE)</f>
        <v>SO17806</v>
      </c>
      <c r="T781">
        <f t="shared" si="12"/>
        <v>9</v>
      </c>
    </row>
    <row r="782" spans="1:20" x14ac:dyDescent="0.25">
      <c r="A782" s="2">
        <v>1</v>
      </c>
      <c r="B782" s="2" t="s">
        <v>668</v>
      </c>
      <c r="C782" s="2" t="s">
        <v>669</v>
      </c>
      <c r="D782" s="2" t="s">
        <v>20</v>
      </c>
      <c r="E782" s="3">
        <v>45908.517500000002</v>
      </c>
      <c r="F782" s="3">
        <v>45910.683587962973</v>
      </c>
      <c r="G782" s="4">
        <v>46029</v>
      </c>
      <c r="H782" s="2" t="s">
        <v>21</v>
      </c>
      <c r="I782" s="2" t="s">
        <v>22</v>
      </c>
      <c r="J782" s="2">
        <v>1</v>
      </c>
      <c r="K782" s="2">
        <v>4172.29</v>
      </c>
      <c r="L782" s="2">
        <v>0</v>
      </c>
      <c r="M782" s="2">
        <v>3013.3805759603952</v>
      </c>
      <c r="N782" s="2">
        <v>3973.6</v>
      </c>
      <c r="O782" s="2">
        <v>198.69</v>
      </c>
      <c r="P782" s="2">
        <v>4172.29</v>
      </c>
      <c r="Q782" s="2" t="s">
        <v>44</v>
      </c>
      <c r="R782" s="2"/>
      <c r="S782" t="str">
        <f>VLOOKUP(B782,CASOPOInvCL!$B$1:$D$1600,1,FALSE)</f>
        <v>SO17809</v>
      </c>
      <c r="T782">
        <f t="shared" si="12"/>
        <v>9</v>
      </c>
    </row>
    <row r="783" spans="1:20" x14ac:dyDescent="0.25">
      <c r="A783" s="2">
        <v>1</v>
      </c>
      <c r="B783" s="2" t="s">
        <v>672</v>
      </c>
      <c r="C783" s="2" t="s">
        <v>673</v>
      </c>
      <c r="D783" s="2" t="s">
        <v>20</v>
      </c>
      <c r="E783" s="3">
        <v>45908.616712962961</v>
      </c>
      <c r="F783" s="3">
        <v>45909.709224537037</v>
      </c>
      <c r="G783" s="4">
        <v>45910</v>
      </c>
      <c r="H783" s="2" t="s">
        <v>21</v>
      </c>
      <c r="I783" s="2" t="s">
        <v>22</v>
      </c>
      <c r="J783" s="2">
        <v>1</v>
      </c>
      <c r="K783" s="2">
        <v>4785.87</v>
      </c>
      <c r="L783" s="2">
        <v>4785.87</v>
      </c>
      <c r="M783" s="2">
        <v>4785.87</v>
      </c>
      <c r="N783" s="2">
        <v>4557.97</v>
      </c>
      <c r="O783" s="2">
        <v>227.9</v>
      </c>
      <c r="P783" s="2">
        <v>4785.87</v>
      </c>
      <c r="Q783" s="2" t="s">
        <v>44</v>
      </c>
      <c r="R783" s="2"/>
      <c r="S783" t="str">
        <f>VLOOKUP(B783,CASOPOInvCL!$B$1:$D$1600,1,FALSE)</f>
        <v>SO17812</v>
      </c>
      <c r="T783">
        <f t="shared" si="12"/>
        <v>9</v>
      </c>
    </row>
    <row r="784" spans="1:20" x14ac:dyDescent="0.25">
      <c r="A784" s="2">
        <v>1</v>
      </c>
      <c r="B784" s="2" t="s">
        <v>658</v>
      </c>
      <c r="C784" s="2" t="s">
        <v>659</v>
      </c>
      <c r="D784" s="2" t="s">
        <v>146</v>
      </c>
      <c r="E784" s="3">
        <v>45908.63863425926</v>
      </c>
      <c r="F784" s="3">
        <v>45911.704282407409</v>
      </c>
      <c r="G784" s="4">
        <v>45918</v>
      </c>
      <c r="H784" s="2" t="s">
        <v>36</v>
      </c>
      <c r="I784" s="2" t="s">
        <v>22</v>
      </c>
      <c r="J784" s="2">
        <v>1</v>
      </c>
      <c r="K784" s="2">
        <v>107.95</v>
      </c>
      <c r="L784" s="2">
        <v>0</v>
      </c>
      <c r="M784" s="2">
        <v>78.047116684021475</v>
      </c>
      <c r="N784" s="2">
        <v>102.81</v>
      </c>
      <c r="O784" s="2">
        <v>5.14</v>
      </c>
      <c r="P784" s="2">
        <v>107.95</v>
      </c>
      <c r="Q784" s="2" t="s">
        <v>44</v>
      </c>
      <c r="R784" s="2"/>
      <c r="S784" t="str">
        <f>VLOOKUP(B784,CASOPOInvCL!$B$1:$D$1600,1,FALSE)</f>
        <v>SO17813</v>
      </c>
      <c r="T784">
        <f t="shared" si="12"/>
        <v>9</v>
      </c>
    </row>
    <row r="785" spans="1:20" x14ac:dyDescent="0.25">
      <c r="A785" s="2">
        <v>1</v>
      </c>
      <c r="B785" s="2" t="s">
        <v>678</v>
      </c>
      <c r="C785" s="2" t="s">
        <v>679</v>
      </c>
      <c r="D785" s="2" t="s">
        <v>98</v>
      </c>
      <c r="E785" s="3">
        <v>45909.399097222216</v>
      </c>
      <c r="F785" s="3">
        <v>45909.40148148148</v>
      </c>
      <c r="G785" s="4">
        <v>45910</v>
      </c>
      <c r="H785" s="2" t="s">
        <v>40</v>
      </c>
      <c r="I785" s="2" t="s">
        <v>22</v>
      </c>
      <c r="J785" s="2">
        <v>1</v>
      </c>
      <c r="K785" s="2">
        <v>1354.99</v>
      </c>
      <c r="L785" s="2">
        <v>1354.99</v>
      </c>
      <c r="M785" s="2">
        <v>1354.99</v>
      </c>
      <c r="N785" s="2">
        <v>1199.1099999999999</v>
      </c>
      <c r="O785" s="2">
        <v>155.88</v>
      </c>
      <c r="P785" s="2">
        <v>1354.99</v>
      </c>
      <c r="Q785" s="2" t="s">
        <v>44</v>
      </c>
      <c r="R785" s="2"/>
      <c r="S785" t="str">
        <f>VLOOKUP(B785,CASOPOInvCL!$B$1:$D$1600,1,FALSE)</f>
        <v>SO17814</v>
      </c>
      <c r="T785">
        <f t="shared" si="12"/>
        <v>9</v>
      </c>
    </row>
    <row r="786" spans="1:20" x14ac:dyDescent="0.25">
      <c r="A786" s="2">
        <v>1</v>
      </c>
      <c r="B786" s="2" t="s">
        <v>676</v>
      </c>
      <c r="C786" s="2" t="s">
        <v>677</v>
      </c>
      <c r="D786" s="2" t="s">
        <v>171</v>
      </c>
      <c r="E786" s="3">
        <v>45909.534201388888</v>
      </c>
      <c r="F786" s="3">
        <v>45909.584178240737</v>
      </c>
      <c r="G786" s="4">
        <v>45916</v>
      </c>
      <c r="H786" s="2" t="s">
        <v>36</v>
      </c>
      <c r="I786" s="2" t="s">
        <v>22</v>
      </c>
      <c r="J786" s="2">
        <v>1</v>
      </c>
      <c r="K786" s="2">
        <v>1186.27</v>
      </c>
      <c r="L786" s="2">
        <v>1186.27</v>
      </c>
      <c r="M786" s="2">
        <v>1186.27</v>
      </c>
      <c r="N786" s="2">
        <v>1129.78</v>
      </c>
      <c r="O786" s="2">
        <v>56.49</v>
      </c>
      <c r="P786" s="2">
        <v>1186.27</v>
      </c>
      <c r="Q786" s="2" t="s">
        <v>44</v>
      </c>
      <c r="R786" s="2"/>
      <c r="S786" t="str">
        <f>VLOOKUP(B786,CASOPOInvCL!$B$1:$D$1600,1,FALSE)</f>
        <v>SO17817</v>
      </c>
      <c r="T786">
        <f t="shared" si="12"/>
        <v>9</v>
      </c>
    </row>
    <row r="787" spans="1:20" x14ac:dyDescent="0.25">
      <c r="A787" s="2">
        <v>1</v>
      </c>
      <c r="B787" s="2" t="s">
        <v>670</v>
      </c>
      <c r="C787" s="2" t="s">
        <v>671</v>
      </c>
      <c r="D787" s="2" t="s">
        <v>98</v>
      </c>
      <c r="E787" s="3">
        <v>45909.537060185183</v>
      </c>
      <c r="F787" s="3">
        <v>45910.442164351851</v>
      </c>
      <c r="G787" s="4">
        <v>45912</v>
      </c>
      <c r="H787" s="2" t="s">
        <v>40</v>
      </c>
      <c r="I787" s="2" t="s">
        <v>22</v>
      </c>
      <c r="J787" s="2">
        <v>1</v>
      </c>
      <c r="K787" s="2">
        <v>2585.3000000000002</v>
      </c>
      <c r="L787" s="2">
        <v>0</v>
      </c>
      <c r="M787" s="2">
        <v>1867.198301899055</v>
      </c>
      <c r="N787" s="2">
        <v>2585.3000000000002</v>
      </c>
      <c r="O787" s="2"/>
      <c r="P787" s="2">
        <v>2585.3000000000002</v>
      </c>
      <c r="Q787" s="2" t="s">
        <v>44</v>
      </c>
      <c r="R787" s="2"/>
      <c r="S787" t="str">
        <f>VLOOKUP(B787,CASOPOInvCL!$B$1:$D$1600,1,FALSE)</f>
        <v>SO17818</v>
      </c>
      <c r="T787">
        <f t="shared" si="12"/>
        <v>9</v>
      </c>
    </row>
    <row r="788" spans="1:20" x14ac:dyDescent="0.25">
      <c r="A788" s="2">
        <v>1</v>
      </c>
      <c r="B788" s="2" t="s">
        <v>664</v>
      </c>
      <c r="C788" s="2" t="s">
        <v>665</v>
      </c>
      <c r="D788" s="2" t="s">
        <v>192</v>
      </c>
      <c r="E788" s="3">
        <v>45910.519432870373</v>
      </c>
      <c r="F788" s="3">
        <v>45910.724108796298</v>
      </c>
      <c r="G788" s="4">
        <v>45917</v>
      </c>
      <c r="H788" s="2" t="s">
        <v>36</v>
      </c>
      <c r="I788" s="2" t="s">
        <v>51</v>
      </c>
      <c r="J788" s="2">
        <v>0.72352165949114577</v>
      </c>
      <c r="K788" s="2">
        <v>1424.615264075054</v>
      </c>
      <c r="L788" s="2">
        <v>0</v>
      </c>
      <c r="M788" s="2">
        <v>1030.74</v>
      </c>
      <c r="N788" s="2">
        <v>1030.74</v>
      </c>
      <c r="O788" s="2"/>
      <c r="P788" s="2">
        <v>1030.74</v>
      </c>
      <c r="Q788" s="2" t="s">
        <v>44</v>
      </c>
      <c r="R788" s="2"/>
      <c r="S788" t="str">
        <f>VLOOKUP(B788,CASOPOInvCL!$B$1:$D$1600,1,FALSE)</f>
        <v>SO17824</v>
      </c>
      <c r="T788">
        <f t="shared" si="12"/>
        <v>9</v>
      </c>
    </row>
    <row r="789" spans="1:20" x14ac:dyDescent="0.25">
      <c r="A789" s="2">
        <v>1</v>
      </c>
      <c r="B789" s="2" t="s">
        <v>666</v>
      </c>
      <c r="C789" s="2" t="s">
        <v>667</v>
      </c>
      <c r="D789" s="2" t="s">
        <v>54</v>
      </c>
      <c r="E789" s="3">
        <v>45910.692303240743</v>
      </c>
      <c r="F789" s="3">
        <v>45910.690810185188</v>
      </c>
      <c r="G789" s="4">
        <v>45916</v>
      </c>
      <c r="H789" s="2" t="s">
        <v>21</v>
      </c>
      <c r="I789" s="2" t="s">
        <v>22</v>
      </c>
      <c r="J789" s="2">
        <v>1</v>
      </c>
      <c r="K789" s="2">
        <v>2141.87</v>
      </c>
      <c r="L789" s="2">
        <v>0</v>
      </c>
      <c r="M789" s="2">
        <v>1546.936922944544</v>
      </c>
      <c r="N789" s="2">
        <v>2039.88</v>
      </c>
      <c r="O789" s="2">
        <v>101.99</v>
      </c>
      <c r="P789" s="2">
        <v>2141.87</v>
      </c>
      <c r="Q789" s="2" t="s">
        <v>44</v>
      </c>
      <c r="R789" s="2"/>
      <c r="S789" t="str">
        <f>VLOOKUP(B789,CASOPOInvCL!$B$1:$D$1600,1,FALSE)</f>
        <v>SO17826</v>
      </c>
      <c r="T789">
        <f t="shared" si="12"/>
        <v>9</v>
      </c>
    </row>
    <row r="790" spans="1:20" x14ac:dyDescent="0.25">
      <c r="A790" s="2">
        <v>1</v>
      </c>
      <c r="B790" s="2" t="s">
        <v>662</v>
      </c>
      <c r="C790" s="2" t="s">
        <v>663</v>
      </c>
      <c r="D790" s="2" t="s">
        <v>121</v>
      </c>
      <c r="E790" s="3">
        <v>45910.785671296297</v>
      </c>
      <c r="F790" s="3">
        <v>45910.785787037043</v>
      </c>
      <c r="G790" s="4">
        <v>45961</v>
      </c>
      <c r="H790" s="2" t="s">
        <v>36</v>
      </c>
      <c r="I790" s="2" t="s">
        <v>22</v>
      </c>
      <c r="J790" s="2">
        <v>1</v>
      </c>
      <c r="K790" s="2">
        <v>44.65</v>
      </c>
      <c r="L790" s="2">
        <v>0</v>
      </c>
      <c r="M790" s="2">
        <v>32.247864534016493</v>
      </c>
      <c r="N790" s="2">
        <v>42.52</v>
      </c>
      <c r="O790" s="2">
        <v>2.13</v>
      </c>
      <c r="P790" s="2">
        <v>44.65</v>
      </c>
      <c r="Q790" s="2" t="s">
        <v>44</v>
      </c>
      <c r="R790" s="2"/>
      <c r="S790" t="str">
        <f>VLOOKUP(B790,CASOPOInvCL!$B$1:$D$1600,1,FALSE)</f>
        <v>SO17827</v>
      </c>
      <c r="T790">
        <f t="shared" si="12"/>
        <v>9</v>
      </c>
    </row>
    <row r="791" spans="1:20" x14ac:dyDescent="0.25">
      <c r="A791" s="2">
        <v>1</v>
      </c>
      <c r="B791" s="2" t="s">
        <v>647</v>
      </c>
      <c r="C791" s="2" t="s">
        <v>648</v>
      </c>
      <c r="D791" s="2" t="s">
        <v>242</v>
      </c>
      <c r="E791" s="3">
        <v>45911.381157407413</v>
      </c>
      <c r="F791" s="3">
        <v>45912.411423611113</v>
      </c>
      <c r="G791" s="4">
        <v>45919</v>
      </c>
      <c r="H791" s="2" t="s">
        <v>40</v>
      </c>
      <c r="I791" s="2" t="s">
        <v>22</v>
      </c>
      <c r="J791" s="2">
        <v>1</v>
      </c>
      <c r="K791" s="2">
        <v>155.12</v>
      </c>
      <c r="L791" s="2">
        <v>0</v>
      </c>
      <c r="M791" s="2">
        <v>111.9254124085889</v>
      </c>
      <c r="N791" s="2">
        <v>147.72999999999999</v>
      </c>
      <c r="O791" s="2">
        <v>7.39</v>
      </c>
      <c r="P791" s="2">
        <v>155.12</v>
      </c>
      <c r="Q791" s="2" t="s">
        <v>44</v>
      </c>
      <c r="R791" s="2"/>
      <c r="S791" t="str">
        <f>VLOOKUP(B791,CASOPOInvCL!$B$1:$D$1600,1,FALSE)</f>
        <v>SO17828</v>
      </c>
      <c r="T791">
        <f t="shared" si="12"/>
        <v>9</v>
      </c>
    </row>
    <row r="792" spans="1:20" x14ac:dyDescent="0.25">
      <c r="A792" s="2">
        <v>1</v>
      </c>
      <c r="B792" s="2" t="s">
        <v>655</v>
      </c>
      <c r="C792" s="2" t="s">
        <v>656</v>
      </c>
      <c r="D792" s="2" t="s">
        <v>39</v>
      </c>
      <c r="E792" s="3">
        <v>45911.702164351853</v>
      </c>
      <c r="F792" s="3">
        <v>45911.711608796293</v>
      </c>
      <c r="G792" s="4">
        <v>45925</v>
      </c>
      <c r="H792" s="2" t="s">
        <v>657</v>
      </c>
      <c r="I792" s="2" t="s">
        <v>22</v>
      </c>
      <c r="J792" s="2">
        <v>1</v>
      </c>
      <c r="K792" s="2">
        <v>5610.53</v>
      </c>
      <c r="L792" s="2">
        <v>0</v>
      </c>
      <c r="M792" s="2">
        <v>4056.3750770653351</v>
      </c>
      <c r="N792" s="2">
        <v>5343.36</v>
      </c>
      <c r="O792" s="2">
        <v>267.17</v>
      </c>
      <c r="P792" s="2">
        <v>5610.53</v>
      </c>
      <c r="Q792" s="2" t="s">
        <v>44</v>
      </c>
      <c r="R792" s="2"/>
      <c r="S792" t="str">
        <f>VLOOKUP(B792,CASOPOInvCL!$B$1:$D$1600,1,FALSE)</f>
        <v>SO17833</v>
      </c>
      <c r="T792">
        <f t="shared" si="12"/>
        <v>9</v>
      </c>
    </row>
    <row r="793" spans="1:20" x14ac:dyDescent="0.25">
      <c r="A793" s="2">
        <v>1</v>
      </c>
      <c r="B793" s="2" t="s">
        <v>653</v>
      </c>
      <c r="C793" s="2" t="s">
        <v>654</v>
      </c>
      <c r="D793" s="2" t="s">
        <v>121</v>
      </c>
      <c r="E793" s="3">
        <v>45911.809918981482</v>
      </c>
      <c r="F793" s="3">
        <v>45911.810196759259</v>
      </c>
      <c r="G793" s="4">
        <v>45941</v>
      </c>
      <c r="H793" s="2" t="s">
        <v>36</v>
      </c>
      <c r="I793" s="2" t="s">
        <v>22</v>
      </c>
      <c r="J793" s="2">
        <v>1</v>
      </c>
      <c r="K793" s="2">
        <v>48.05</v>
      </c>
      <c r="L793" s="2">
        <v>0</v>
      </c>
      <c r="M793" s="2">
        <v>34.67003652806018</v>
      </c>
      <c r="N793" s="2">
        <v>42.52</v>
      </c>
      <c r="O793" s="2">
        <v>5.53</v>
      </c>
      <c r="P793" s="2">
        <v>48.05</v>
      </c>
      <c r="Q793" s="2" t="s">
        <v>44</v>
      </c>
      <c r="R793" s="2"/>
      <c r="S793" t="str">
        <f>VLOOKUP(B793,CASOPOInvCL!$B$1:$D$1600,1,FALSE)</f>
        <v>SO17834</v>
      </c>
      <c r="T793">
        <f t="shared" si="12"/>
        <v>9</v>
      </c>
    </row>
    <row r="794" spans="1:20" x14ac:dyDescent="0.25">
      <c r="A794" s="2">
        <v>1</v>
      </c>
      <c r="B794" s="2" t="s">
        <v>651</v>
      </c>
      <c r="C794" s="2" t="s">
        <v>652</v>
      </c>
      <c r="D794" s="2" t="s">
        <v>129</v>
      </c>
      <c r="E794" s="3">
        <v>45912.043310185189</v>
      </c>
      <c r="F794" s="3">
        <v>45912.043310185189</v>
      </c>
      <c r="G794" s="4">
        <v>45576</v>
      </c>
      <c r="H794" s="2" t="s">
        <v>130</v>
      </c>
      <c r="I794" s="2" t="s">
        <v>51</v>
      </c>
      <c r="J794" s="2">
        <v>0.72299320689227853</v>
      </c>
      <c r="K794" s="2">
        <v>11112.13760158747</v>
      </c>
      <c r="L794" s="2">
        <v>0</v>
      </c>
      <c r="M794" s="2">
        <v>8034</v>
      </c>
      <c r="N794" s="2">
        <v>8034</v>
      </c>
      <c r="O794" s="2"/>
      <c r="P794" s="2">
        <v>8034</v>
      </c>
      <c r="Q794" s="2" t="s">
        <v>44</v>
      </c>
      <c r="R794" s="2"/>
      <c r="S794" t="str">
        <f>VLOOKUP(B794,CASOPOInvCL!$B$1:$D$1600,1,FALSE)</f>
        <v>SO17835</v>
      </c>
      <c r="T794">
        <f t="shared" si="12"/>
        <v>9</v>
      </c>
    </row>
    <row r="795" spans="1:20" x14ac:dyDescent="0.25">
      <c r="A795" s="2">
        <v>1</v>
      </c>
      <c r="B795" s="2" t="s">
        <v>649</v>
      </c>
      <c r="C795" s="2" t="s">
        <v>650</v>
      </c>
      <c r="D795" s="2" t="s">
        <v>146</v>
      </c>
      <c r="E795" s="3">
        <v>45912.333923611113</v>
      </c>
      <c r="F795" s="3">
        <v>45912.339687500003</v>
      </c>
      <c r="G795" s="4">
        <v>45915</v>
      </c>
      <c r="H795" s="2" t="s">
        <v>40</v>
      </c>
      <c r="I795" s="2" t="s">
        <v>22</v>
      </c>
      <c r="J795" s="2">
        <v>1</v>
      </c>
      <c r="K795" s="2">
        <v>50.4</v>
      </c>
      <c r="L795" s="2">
        <v>0</v>
      </c>
      <c r="M795" s="2">
        <v>36.36565746127436</v>
      </c>
      <c r="N795" s="2">
        <v>48</v>
      </c>
      <c r="O795" s="2">
        <v>2.4</v>
      </c>
      <c r="P795" s="2">
        <v>50.4</v>
      </c>
      <c r="Q795" s="2" t="s">
        <v>44</v>
      </c>
      <c r="R795" s="2"/>
      <c r="S795" t="str">
        <f>VLOOKUP(B795,CASOPOInvCL!$B$1:$D$1600,1,FALSE)</f>
        <v>SO17836</v>
      </c>
      <c r="T795">
        <f t="shared" si="12"/>
        <v>9</v>
      </c>
    </row>
    <row r="796" spans="1:20" x14ac:dyDescent="0.25">
      <c r="A796" s="2">
        <v>1</v>
      </c>
      <c r="B796" s="2" t="s">
        <v>639</v>
      </c>
      <c r="C796" s="2" t="s">
        <v>640</v>
      </c>
      <c r="D796" s="2" t="s">
        <v>20</v>
      </c>
      <c r="E796" s="3">
        <v>45912.514166666668</v>
      </c>
      <c r="F796" s="3">
        <v>45915.735277777778</v>
      </c>
      <c r="G796" s="4">
        <v>45922</v>
      </c>
      <c r="H796" s="2" t="s">
        <v>36</v>
      </c>
      <c r="I796" s="2" t="s">
        <v>22</v>
      </c>
      <c r="J796" s="2">
        <v>1</v>
      </c>
      <c r="K796" s="2">
        <v>752.49</v>
      </c>
      <c r="L796" s="2">
        <v>0</v>
      </c>
      <c r="M796" s="2">
        <v>545.34106230812733</v>
      </c>
      <c r="N796" s="2">
        <v>716.65</v>
      </c>
      <c r="O796" s="2">
        <v>35.840000000000003</v>
      </c>
      <c r="P796" s="2">
        <v>752.49</v>
      </c>
      <c r="Q796" s="2" t="s">
        <v>44</v>
      </c>
      <c r="R796" s="2"/>
      <c r="S796" t="str">
        <f>VLOOKUP(B796,CASOPOInvCL!$B$1:$D$1600,1,FALSE)</f>
        <v>SO17837</v>
      </c>
      <c r="T796">
        <f t="shared" si="12"/>
        <v>9</v>
      </c>
    </row>
    <row r="797" spans="1:20" x14ac:dyDescent="0.25">
      <c r="A797" s="2">
        <v>1</v>
      </c>
      <c r="B797" s="2" t="s">
        <v>631</v>
      </c>
      <c r="C797" s="2" t="s">
        <v>632</v>
      </c>
      <c r="D797" s="2" t="s">
        <v>64</v>
      </c>
      <c r="E797" s="3">
        <v>45912.515405092592</v>
      </c>
      <c r="F797" s="3">
        <v>45916.412534722222</v>
      </c>
      <c r="G797" s="4">
        <v>45923</v>
      </c>
      <c r="H797" s="2" t="s">
        <v>74</v>
      </c>
      <c r="I797" s="2" t="s">
        <v>22</v>
      </c>
      <c r="J797" s="2">
        <v>1</v>
      </c>
      <c r="K797" s="2">
        <v>400.09</v>
      </c>
      <c r="L797" s="2">
        <v>0</v>
      </c>
      <c r="M797" s="2">
        <v>291.03410941130858</v>
      </c>
      <c r="N797" s="2">
        <v>354.06</v>
      </c>
      <c r="O797" s="2">
        <v>46.03</v>
      </c>
      <c r="P797" s="2">
        <v>400.09</v>
      </c>
      <c r="Q797" s="2" t="s">
        <v>44</v>
      </c>
      <c r="R797" s="2"/>
      <c r="S797" t="str">
        <f>VLOOKUP(B797,CASOPOInvCL!$B$1:$D$1600,1,FALSE)</f>
        <v>SO17838</v>
      </c>
      <c r="T797">
        <f t="shared" si="12"/>
        <v>9</v>
      </c>
    </row>
    <row r="798" spans="1:20" x14ac:dyDescent="0.25">
      <c r="A798" s="2">
        <v>0</v>
      </c>
      <c r="B798" s="2" t="s">
        <v>6173</v>
      </c>
      <c r="C798" s="2" t="s">
        <v>6174</v>
      </c>
      <c r="D798" s="2" t="s">
        <v>901</v>
      </c>
      <c r="E798" s="3">
        <v>45912.704872685194</v>
      </c>
      <c r="F798" s="3">
        <v>46002.683796296304</v>
      </c>
      <c r="G798" s="4">
        <v>46042</v>
      </c>
      <c r="H798" s="2" t="s">
        <v>180</v>
      </c>
      <c r="I798" s="2" t="s">
        <v>51</v>
      </c>
      <c r="J798" s="2">
        <v>0.72276866354558011</v>
      </c>
      <c r="K798" s="2">
        <v>43048.324546015479</v>
      </c>
      <c r="L798" s="2">
        <v>0</v>
      </c>
      <c r="M798" s="2">
        <v>31113.98</v>
      </c>
      <c r="N798" s="2">
        <v>31113.98</v>
      </c>
      <c r="O798" s="2"/>
      <c r="P798" s="2">
        <v>31113.98</v>
      </c>
      <c r="Q798" s="2" t="s">
        <v>23</v>
      </c>
      <c r="R798" s="2"/>
      <c r="S798" t="str">
        <f>VLOOKUP(B798,CASOPOInvCL!$B$1:$D$1600,1,FALSE)</f>
        <v>SO17839</v>
      </c>
      <c r="T798">
        <f t="shared" si="12"/>
        <v>9</v>
      </c>
    </row>
    <row r="799" spans="1:20" x14ac:dyDescent="0.25">
      <c r="A799" s="2">
        <v>1</v>
      </c>
      <c r="B799" s="2" t="s">
        <v>619</v>
      </c>
      <c r="C799" s="2" t="s">
        <v>620</v>
      </c>
      <c r="D799" s="2" t="s">
        <v>77</v>
      </c>
      <c r="E799" s="3">
        <v>45915.511388888888</v>
      </c>
      <c r="F799" s="3">
        <v>45917.468229166669</v>
      </c>
      <c r="G799" s="4">
        <v>45924</v>
      </c>
      <c r="H799" s="2" t="s">
        <v>36</v>
      </c>
      <c r="I799" s="2" t="s">
        <v>22</v>
      </c>
      <c r="J799" s="2">
        <v>1</v>
      </c>
      <c r="K799" s="2">
        <v>293.48</v>
      </c>
      <c r="L799" s="2">
        <v>0</v>
      </c>
      <c r="M799" s="2">
        <v>213.25725181381711</v>
      </c>
      <c r="N799" s="2">
        <v>279.5</v>
      </c>
      <c r="O799" s="2">
        <v>13.98</v>
      </c>
      <c r="P799" s="2">
        <v>293.48</v>
      </c>
      <c r="Q799" s="2" t="s">
        <v>44</v>
      </c>
      <c r="R799" s="2"/>
      <c r="S799" t="str">
        <f>VLOOKUP(B799,CASOPOInvCL!$B$1:$D$1600,1,FALSE)</f>
        <v>SO17844</v>
      </c>
      <c r="T799">
        <f t="shared" si="12"/>
        <v>9</v>
      </c>
    </row>
    <row r="800" spans="1:20" x14ac:dyDescent="0.25">
      <c r="A800" s="2">
        <v>1</v>
      </c>
      <c r="B800" s="2" t="s">
        <v>593</v>
      </c>
      <c r="C800" s="2" t="s">
        <v>594</v>
      </c>
      <c r="D800" s="2" t="s">
        <v>442</v>
      </c>
      <c r="E800" s="3">
        <v>45915.604675925933</v>
      </c>
      <c r="F800" s="3">
        <v>45922.661585648151</v>
      </c>
      <c r="G800" s="4">
        <v>45930</v>
      </c>
      <c r="H800" s="2" t="s">
        <v>71</v>
      </c>
      <c r="I800" s="2" t="s">
        <v>51</v>
      </c>
      <c r="J800" s="2">
        <v>0.72585002533058685</v>
      </c>
      <c r="K800" s="2">
        <v>7133.539738655717</v>
      </c>
      <c r="L800" s="2">
        <v>0</v>
      </c>
      <c r="M800" s="2">
        <v>5177.88</v>
      </c>
      <c r="N800" s="2">
        <v>5177.88</v>
      </c>
      <c r="O800" s="2"/>
      <c r="P800" s="2">
        <v>5177.88</v>
      </c>
      <c r="Q800" s="2" t="s">
        <v>44</v>
      </c>
      <c r="R800" s="2"/>
      <c r="S800" t="str">
        <f>VLOOKUP(B800,CASOPOInvCL!$B$1:$D$1600,1,FALSE)</f>
        <v>SO17845</v>
      </c>
      <c r="T800">
        <f t="shared" si="12"/>
        <v>9</v>
      </c>
    </row>
    <row r="801" spans="1:20" x14ac:dyDescent="0.25">
      <c r="A801" s="2">
        <v>1</v>
      </c>
      <c r="B801" s="2" t="s">
        <v>642</v>
      </c>
      <c r="C801" s="2" t="s">
        <v>643</v>
      </c>
      <c r="D801" s="2" t="s">
        <v>644</v>
      </c>
      <c r="E801" s="3">
        <v>45915.621886574067</v>
      </c>
      <c r="F801" s="3">
        <v>45915.623564814807</v>
      </c>
      <c r="G801" s="4">
        <v>45929</v>
      </c>
      <c r="H801" s="2" t="s">
        <v>21</v>
      </c>
      <c r="I801" s="2" t="s">
        <v>51</v>
      </c>
      <c r="J801" s="2">
        <v>0.72197885363302017</v>
      </c>
      <c r="K801" s="2">
        <v>18487.272768219409</v>
      </c>
      <c r="L801" s="2">
        <v>0</v>
      </c>
      <c r="M801" s="2">
        <v>13347.42</v>
      </c>
      <c r="N801" s="2">
        <v>13347.42</v>
      </c>
      <c r="O801" s="2"/>
      <c r="P801" s="2">
        <v>13347.42</v>
      </c>
      <c r="Q801" s="2" t="s">
        <v>44</v>
      </c>
      <c r="R801" s="2"/>
      <c r="S801" t="str">
        <f>VLOOKUP(B801,CASOPOInvCL!$B$1:$D$1600,1,FALSE)</f>
        <v>SO17846</v>
      </c>
      <c r="T801">
        <f t="shared" si="12"/>
        <v>9</v>
      </c>
    </row>
    <row r="802" spans="1:20" x14ac:dyDescent="0.25">
      <c r="A802" s="2">
        <v>1</v>
      </c>
      <c r="B802" s="2" t="s">
        <v>628</v>
      </c>
      <c r="C802" s="2" t="s">
        <v>629</v>
      </c>
      <c r="D802" s="2" t="s">
        <v>630</v>
      </c>
      <c r="E802" s="3">
        <v>45915.639560185176</v>
      </c>
      <c r="F802" s="3">
        <v>45916.423993055563</v>
      </c>
      <c r="G802" s="4">
        <v>45916</v>
      </c>
      <c r="H802" s="2" t="s">
        <v>21</v>
      </c>
      <c r="I802" s="2" t="s">
        <v>22</v>
      </c>
      <c r="J802" s="2">
        <v>1</v>
      </c>
      <c r="K802" s="2">
        <v>10279.969999999999</v>
      </c>
      <c r="L802" s="2">
        <v>0</v>
      </c>
      <c r="M802" s="2">
        <v>7477.8722630532384</v>
      </c>
      <c r="N802" s="2">
        <v>9790.4500000000007</v>
      </c>
      <c r="O802" s="2">
        <v>489.52</v>
      </c>
      <c r="P802" s="2">
        <v>10279.969999999999</v>
      </c>
      <c r="Q802" s="2" t="s">
        <v>44</v>
      </c>
      <c r="R802" s="2"/>
      <c r="S802" t="str">
        <f>VLOOKUP(B802,CASOPOInvCL!$B$1:$D$1600,1,FALSE)</f>
        <v>SO17847</v>
      </c>
      <c r="T802">
        <f t="shared" si="12"/>
        <v>9</v>
      </c>
    </row>
    <row r="803" spans="1:20" x14ac:dyDescent="0.25">
      <c r="A803" s="2">
        <v>1</v>
      </c>
      <c r="B803" s="2" t="s">
        <v>603</v>
      </c>
      <c r="C803" s="2" t="s">
        <v>604</v>
      </c>
      <c r="D803" s="2" t="s">
        <v>35</v>
      </c>
      <c r="E803" s="3">
        <v>45915.665092592593</v>
      </c>
      <c r="F803" s="3">
        <v>45919.606666666667</v>
      </c>
      <c r="G803" s="4">
        <v>45922</v>
      </c>
      <c r="H803" s="2" t="s">
        <v>40</v>
      </c>
      <c r="I803" s="2" t="s">
        <v>22</v>
      </c>
      <c r="J803" s="2">
        <v>1</v>
      </c>
      <c r="K803" s="2">
        <v>1471.51</v>
      </c>
      <c r="L803" s="2">
        <v>0</v>
      </c>
      <c r="M803" s="2">
        <v>1068.50590842515</v>
      </c>
      <c r="N803" s="2">
        <v>1401.44</v>
      </c>
      <c r="O803" s="2">
        <v>70.069999999999993</v>
      </c>
      <c r="P803" s="2">
        <v>1471.51</v>
      </c>
      <c r="Q803" s="2" t="s">
        <v>44</v>
      </c>
      <c r="R803" s="2"/>
      <c r="S803" t="str">
        <f>VLOOKUP(B803,CASOPOInvCL!$B$1:$D$1600,1,FALSE)</f>
        <v>SO17848</v>
      </c>
      <c r="T803">
        <f t="shared" si="12"/>
        <v>9</v>
      </c>
    </row>
    <row r="804" spans="1:20" x14ac:dyDescent="0.25">
      <c r="A804" s="2">
        <v>1</v>
      </c>
      <c r="B804" s="2" t="s">
        <v>641</v>
      </c>
      <c r="C804" s="2"/>
      <c r="D804" s="2" t="s">
        <v>129</v>
      </c>
      <c r="E804" s="3">
        <v>45915.67869212963</v>
      </c>
      <c r="F804" s="3">
        <v>45915.67728009259</v>
      </c>
      <c r="G804" s="4">
        <v>45971</v>
      </c>
      <c r="H804" s="2" t="s">
        <v>328</v>
      </c>
      <c r="I804" s="2" t="s">
        <v>51</v>
      </c>
      <c r="J804" s="2">
        <v>0.72197885363302017</v>
      </c>
      <c r="K804" s="2">
        <v>2659.3576672481472</v>
      </c>
      <c r="L804" s="2">
        <v>0</v>
      </c>
      <c r="M804" s="2">
        <v>1920</v>
      </c>
      <c r="N804" s="2">
        <v>1920</v>
      </c>
      <c r="O804" s="2"/>
      <c r="P804" s="2">
        <v>1920</v>
      </c>
      <c r="Q804" s="2" t="s">
        <v>44</v>
      </c>
      <c r="R804" s="2"/>
      <c r="S804" t="str">
        <f>VLOOKUP(B804,CASOPOInvCL!$B$1:$D$1600,1,FALSE)</f>
        <v>SO17849</v>
      </c>
      <c r="T804">
        <f t="shared" si="12"/>
        <v>9</v>
      </c>
    </row>
    <row r="805" spans="1:20" x14ac:dyDescent="0.25">
      <c r="A805" s="2">
        <v>1</v>
      </c>
      <c r="B805" s="2" t="s">
        <v>637</v>
      </c>
      <c r="C805" s="2" t="s">
        <v>638</v>
      </c>
      <c r="D805" s="2" t="s">
        <v>20</v>
      </c>
      <c r="E805" s="3">
        <v>45915.765023148153</v>
      </c>
      <c r="F805" s="3">
        <v>45915.765185185177</v>
      </c>
      <c r="G805" s="4">
        <v>45922</v>
      </c>
      <c r="H805" s="2" t="s">
        <v>36</v>
      </c>
      <c r="I805" s="2" t="s">
        <v>22</v>
      </c>
      <c r="J805" s="2">
        <v>1</v>
      </c>
      <c r="K805" s="2">
        <v>109.1</v>
      </c>
      <c r="L805" s="2">
        <v>0</v>
      </c>
      <c r="M805" s="2">
        <v>79.066445929934858</v>
      </c>
      <c r="N805" s="2">
        <v>103.9</v>
      </c>
      <c r="O805" s="2">
        <v>5.2</v>
      </c>
      <c r="P805" s="2">
        <v>109.1</v>
      </c>
      <c r="Q805" s="2" t="s">
        <v>44</v>
      </c>
      <c r="R805" s="2"/>
      <c r="S805" t="str">
        <f>VLOOKUP(B805,CASOPOInvCL!$B$1:$D$1600,1,FALSE)</f>
        <v>SO17850</v>
      </c>
      <c r="T805">
        <f t="shared" si="12"/>
        <v>9</v>
      </c>
    </row>
    <row r="806" spans="1:20" x14ac:dyDescent="0.25">
      <c r="A806" s="2">
        <v>0</v>
      </c>
      <c r="B806" s="2" t="s">
        <v>6175</v>
      </c>
      <c r="C806" s="2" t="s">
        <v>6176</v>
      </c>
      <c r="D806" s="2" t="s">
        <v>232</v>
      </c>
      <c r="E806" s="3">
        <v>45915.895682870367</v>
      </c>
      <c r="F806" s="3">
        <v>46028.502557870372</v>
      </c>
      <c r="G806" s="4">
        <v>46084</v>
      </c>
      <c r="H806" s="2" t="s">
        <v>180</v>
      </c>
      <c r="I806" s="2" t="s">
        <v>51</v>
      </c>
      <c r="J806" s="2">
        <v>0.7282990074408402</v>
      </c>
      <c r="K806" s="2">
        <v>72398.505917616654</v>
      </c>
      <c r="L806" s="2">
        <v>0</v>
      </c>
      <c r="M806" s="2">
        <v>52727.76</v>
      </c>
      <c r="N806" s="2">
        <v>52727.76</v>
      </c>
      <c r="O806" s="2"/>
      <c r="P806" s="2">
        <v>52727.76</v>
      </c>
      <c r="Q806" s="2" t="s">
        <v>29</v>
      </c>
      <c r="R806" s="2"/>
      <c r="S806" t="str">
        <f>VLOOKUP(B806,CASOPOInvCL!$B$1:$D$1600,1,FALSE)</f>
        <v>SO17851</v>
      </c>
      <c r="T806">
        <f t="shared" si="12"/>
        <v>9</v>
      </c>
    </row>
    <row r="807" spans="1:20" ht="30" x14ac:dyDescent="0.25">
      <c r="A807" s="2">
        <v>1</v>
      </c>
      <c r="B807" s="2" t="s">
        <v>574</v>
      </c>
      <c r="C807" s="2" t="s">
        <v>575</v>
      </c>
      <c r="D807" s="2" t="s">
        <v>576</v>
      </c>
      <c r="E807" s="3">
        <v>45916.514791666668</v>
      </c>
      <c r="F807" s="3">
        <v>45924.40221064815</v>
      </c>
      <c r="G807" s="4">
        <v>45931</v>
      </c>
      <c r="H807" s="2" t="s">
        <v>40</v>
      </c>
      <c r="I807" s="2" t="s">
        <v>22</v>
      </c>
      <c r="J807" s="2">
        <v>1</v>
      </c>
      <c r="K807" s="2">
        <v>2918.83</v>
      </c>
      <c r="L807" s="2">
        <v>0</v>
      </c>
      <c r="M807" s="2">
        <v>2100.5678939757681</v>
      </c>
      <c r="N807" s="2">
        <v>2779.84</v>
      </c>
      <c r="O807" s="2">
        <v>138.99</v>
      </c>
      <c r="P807" s="2">
        <v>2918.83</v>
      </c>
      <c r="Q807" s="2" t="s">
        <v>44</v>
      </c>
      <c r="R807" s="2"/>
      <c r="S807" t="str">
        <f>VLOOKUP(B807,CASOPOInvCL!$B$1:$D$1600,1,FALSE)</f>
        <v>SO17854</v>
      </c>
      <c r="T807">
        <f t="shared" si="12"/>
        <v>9</v>
      </c>
    </row>
    <row r="808" spans="1:20" x14ac:dyDescent="0.25">
      <c r="A808" s="2">
        <v>0</v>
      </c>
      <c r="B808" s="2" t="s">
        <v>527</v>
      </c>
      <c r="C808" s="2" t="s">
        <v>528</v>
      </c>
      <c r="D808" s="2" t="s">
        <v>83</v>
      </c>
      <c r="E808" s="3">
        <v>45916.55877314815</v>
      </c>
      <c r="F808" s="3">
        <v>45929.682997685188</v>
      </c>
      <c r="G808" s="4">
        <v>46013</v>
      </c>
      <c r="H808" s="2" t="s">
        <v>21</v>
      </c>
      <c r="I808" s="2" t="s">
        <v>22</v>
      </c>
      <c r="J808" s="2">
        <v>1</v>
      </c>
      <c r="K808" s="2">
        <v>10962.81</v>
      </c>
      <c r="L808" s="2">
        <v>0</v>
      </c>
      <c r="M808" s="2">
        <v>7884.1320713281584</v>
      </c>
      <c r="N808" s="2">
        <v>9701.6</v>
      </c>
      <c r="O808" s="2">
        <v>1261.21</v>
      </c>
      <c r="P808" s="2">
        <v>10962.81</v>
      </c>
      <c r="Q808" s="2" t="s">
        <v>29</v>
      </c>
      <c r="R808" s="2"/>
      <c r="S808" t="str">
        <f>VLOOKUP(B808,CASOPOInvCL!$B$1:$D$1600,1,FALSE)</f>
        <v>SO17856</v>
      </c>
      <c r="T808">
        <f t="shared" si="12"/>
        <v>9</v>
      </c>
    </row>
    <row r="809" spans="1:20" x14ac:dyDescent="0.25">
      <c r="A809" s="2">
        <v>1</v>
      </c>
      <c r="B809" s="2" t="s">
        <v>617</v>
      </c>
      <c r="C809" s="2" t="s">
        <v>618</v>
      </c>
      <c r="D809" s="2" t="s">
        <v>242</v>
      </c>
      <c r="E809" s="3">
        <v>45916.6327662037</v>
      </c>
      <c r="F809" s="3">
        <v>45917.550763888888</v>
      </c>
      <c r="G809" s="4">
        <v>45919</v>
      </c>
      <c r="H809" s="2" t="s">
        <v>40</v>
      </c>
      <c r="I809" s="2" t="s">
        <v>22</v>
      </c>
      <c r="J809" s="2">
        <v>1</v>
      </c>
      <c r="K809" s="2">
        <v>122.83</v>
      </c>
      <c r="L809" s="2">
        <v>0</v>
      </c>
      <c r="M809" s="2">
        <v>89.254423607370711</v>
      </c>
      <c r="N809" s="2">
        <v>116.98</v>
      </c>
      <c r="O809" s="2">
        <v>5.85</v>
      </c>
      <c r="P809" s="2">
        <v>122.83</v>
      </c>
      <c r="Q809" s="2" t="s">
        <v>44</v>
      </c>
      <c r="R809" s="2"/>
      <c r="S809" t="str">
        <f>VLOOKUP(B809,CASOPOInvCL!$B$1:$D$1600,1,FALSE)</f>
        <v>SO17858</v>
      </c>
      <c r="T809">
        <f t="shared" si="12"/>
        <v>9</v>
      </c>
    </row>
    <row r="810" spans="1:20" x14ac:dyDescent="0.25">
      <c r="A810" s="2">
        <v>1</v>
      </c>
      <c r="B810" s="2" t="s">
        <v>624</v>
      </c>
      <c r="C810" s="2" t="s">
        <v>625</v>
      </c>
      <c r="D810" s="2" t="s">
        <v>54</v>
      </c>
      <c r="E810" s="3">
        <v>45916.675833333327</v>
      </c>
      <c r="F810" s="3">
        <v>45916.676736111112</v>
      </c>
      <c r="G810" s="4">
        <v>45917</v>
      </c>
      <c r="H810" s="2" t="s">
        <v>21</v>
      </c>
      <c r="I810" s="2" t="s">
        <v>22</v>
      </c>
      <c r="J810" s="2">
        <v>1</v>
      </c>
      <c r="K810" s="2">
        <v>3039.52</v>
      </c>
      <c r="L810" s="2">
        <v>0</v>
      </c>
      <c r="M810" s="2">
        <v>2211.0125127792771</v>
      </c>
      <c r="N810" s="2">
        <v>2894.78</v>
      </c>
      <c r="O810" s="2">
        <v>144.74</v>
      </c>
      <c r="P810" s="2">
        <v>3039.52</v>
      </c>
      <c r="Q810" s="2" t="s">
        <v>44</v>
      </c>
      <c r="R810" s="2"/>
      <c r="S810" t="str">
        <f>VLOOKUP(B810,CASOPOInvCL!$B$1:$D$1600,1,FALSE)</f>
        <v>SO17860</v>
      </c>
      <c r="T810">
        <f t="shared" si="12"/>
        <v>9</v>
      </c>
    </row>
    <row r="811" spans="1:20" x14ac:dyDescent="0.25">
      <c r="A811" s="2">
        <v>1</v>
      </c>
      <c r="B811" s="2" t="s">
        <v>507</v>
      </c>
      <c r="C811" s="2" t="s">
        <v>508</v>
      </c>
      <c r="D811" s="2" t="s">
        <v>509</v>
      </c>
      <c r="E811" s="3">
        <v>45917.362754629627</v>
      </c>
      <c r="F811" s="3">
        <v>45931.694050925929</v>
      </c>
      <c r="G811" s="4">
        <v>45994</v>
      </c>
      <c r="H811" s="2" t="s">
        <v>67</v>
      </c>
      <c r="I811" s="2" t="s">
        <v>22</v>
      </c>
      <c r="J811" s="2">
        <v>1</v>
      </c>
      <c r="K811" s="2">
        <v>7990.04</v>
      </c>
      <c r="L811" s="2">
        <v>0</v>
      </c>
      <c r="M811" s="2">
        <v>5727.7078668064596</v>
      </c>
      <c r="N811" s="2">
        <v>7609.56</v>
      </c>
      <c r="O811" s="2">
        <v>380.48</v>
      </c>
      <c r="P811" s="2">
        <v>7990.04</v>
      </c>
      <c r="Q811" s="2" t="s">
        <v>44</v>
      </c>
      <c r="R811" s="2"/>
      <c r="S811" t="str">
        <f>VLOOKUP(B811,CASOPOInvCL!$B$1:$D$1600,1,FALSE)</f>
        <v>SO17862</v>
      </c>
      <c r="T811">
        <f t="shared" si="12"/>
        <v>9</v>
      </c>
    </row>
    <row r="812" spans="1:20" x14ac:dyDescent="0.25">
      <c r="A812" s="2">
        <v>1</v>
      </c>
      <c r="B812" s="2" t="s">
        <v>623</v>
      </c>
      <c r="C812" s="2"/>
      <c r="D812" s="2" t="s">
        <v>129</v>
      </c>
      <c r="E812" s="3">
        <v>45917.400081018517</v>
      </c>
      <c r="F812" s="3">
        <v>45917.402974537043</v>
      </c>
      <c r="G812" s="4">
        <v>45931</v>
      </c>
      <c r="H812" s="2" t="s">
        <v>328</v>
      </c>
      <c r="I812" s="2" t="s">
        <v>51</v>
      </c>
      <c r="J812" s="2">
        <v>0.72742160366744635</v>
      </c>
      <c r="K812" s="2">
        <v>584.25539997337808</v>
      </c>
      <c r="L812" s="2">
        <v>0</v>
      </c>
      <c r="M812" s="2">
        <v>425</v>
      </c>
      <c r="N812" s="2">
        <v>425</v>
      </c>
      <c r="O812" s="2"/>
      <c r="P812" s="2">
        <v>425</v>
      </c>
      <c r="Q812" s="2" t="s">
        <v>44</v>
      </c>
      <c r="R812" s="2"/>
      <c r="S812" t="str">
        <f>VLOOKUP(B812,CASOPOInvCL!$B$1:$D$1600,1,FALSE)</f>
        <v>SO17863</v>
      </c>
      <c r="T812">
        <f t="shared" si="12"/>
        <v>9</v>
      </c>
    </row>
    <row r="813" spans="1:20" x14ac:dyDescent="0.25">
      <c r="A813" s="2">
        <v>1</v>
      </c>
      <c r="B813" s="2" t="s">
        <v>621</v>
      </c>
      <c r="C813" s="2" t="s">
        <v>622</v>
      </c>
      <c r="D813" s="2" t="s">
        <v>146</v>
      </c>
      <c r="E813" s="3">
        <v>45917.429629629631</v>
      </c>
      <c r="F813" s="3">
        <v>45917.441006944442</v>
      </c>
      <c r="G813" s="4">
        <v>45919</v>
      </c>
      <c r="H813" s="2" t="s">
        <v>40</v>
      </c>
      <c r="I813" s="2" t="s">
        <v>22</v>
      </c>
      <c r="J813" s="2">
        <v>1</v>
      </c>
      <c r="K813" s="2">
        <v>1086.52</v>
      </c>
      <c r="L813" s="2">
        <v>0</v>
      </c>
      <c r="M813" s="2">
        <v>789.51979433265831</v>
      </c>
      <c r="N813" s="2">
        <v>1034.78</v>
      </c>
      <c r="O813" s="2">
        <v>51.74</v>
      </c>
      <c r="P813" s="2">
        <v>1086.52</v>
      </c>
      <c r="Q813" s="2" t="s">
        <v>44</v>
      </c>
      <c r="R813" s="2"/>
      <c r="S813" t="str">
        <f>VLOOKUP(B813,CASOPOInvCL!$B$1:$D$1600,1,FALSE)</f>
        <v>SO17864</v>
      </c>
      <c r="T813">
        <f t="shared" si="12"/>
        <v>9</v>
      </c>
    </row>
    <row r="814" spans="1:20" x14ac:dyDescent="0.25">
      <c r="A814" s="2">
        <v>3</v>
      </c>
      <c r="B814" s="2" t="s">
        <v>610</v>
      </c>
      <c r="C814" s="2" t="s">
        <v>611</v>
      </c>
      <c r="D814" s="2" t="s">
        <v>612</v>
      </c>
      <c r="E814" s="3">
        <v>45917.514722222222</v>
      </c>
      <c r="F814" s="3">
        <v>45918.623414351852</v>
      </c>
      <c r="G814" s="4">
        <v>46002</v>
      </c>
      <c r="H814" s="2" t="s">
        <v>21</v>
      </c>
      <c r="I814" s="2" t="s">
        <v>22</v>
      </c>
      <c r="J814" s="2">
        <v>1</v>
      </c>
      <c r="K814" s="2">
        <v>12351.12</v>
      </c>
      <c r="L814" s="2">
        <v>0</v>
      </c>
      <c r="M814" s="2">
        <v>8951.4721082370797</v>
      </c>
      <c r="N814" s="2">
        <v>10930.21</v>
      </c>
      <c r="O814" s="2">
        <v>1420.91</v>
      </c>
      <c r="P814" s="2">
        <v>12351.12</v>
      </c>
      <c r="Q814" s="2" t="s">
        <v>29</v>
      </c>
      <c r="R814" s="2"/>
      <c r="S814" t="str">
        <f>VLOOKUP(B814,CASOPOInvCL!$B$1:$D$1600,1,FALSE)</f>
        <v>SO17868</v>
      </c>
      <c r="T814">
        <f t="shared" si="12"/>
        <v>9</v>
      </c>
    </row>
    <row r="815" spans="1:20" x14ac:dyDescent="0.25">
      <c r="A815" s="2">
        <v>1</v>
      </c>
      <c r="B815" s="2" t="s">
        <v>559</v>
      </c>
      <c r="C815" s="2" t="s">
        <v>560</v>
      </c>
      <c r="D815" s="2" t="s">
        <v>54</v>
      </c>
      <c r="E815" s="3">
        <v>45917.676203703697</v>
      </c>
      <c r="F815" s="3">
        <v>45925.535324074073</v>
      </c>
      <c r="G815" s="4">
        <v>45953</v>
      </c>
      <c r="H815" s="2" t="s">
        <v>21</v>
      </c>
      <c r="I815" s="2" t="s">
        <v>22</v>
      </c>
      <c r="J815" s="2">
        <v>1</v>
      </c>
      <c r="K815" s="2">
        <v>21904.25</v>
      </c>
      <c r="L815" s="2">
        <v>0</v>
      </c>
      <c r="M815" s="2">
        <v>15731.10142272283</v>
      </c>
      <c r="N815" s="2">
        <v>20861.189999999999</v>
      </c>
      <c r="O815" s="2">
        <v>1043.06</v>
      </c>
      <c r="P815" s="2">
        <v>21904.25</v>
      </c>
      <c r="Q815" s="2" t="s">
        <v>44</v>
      </c>
      <c r="R815" s="2"/>
      <c r="S815" t="str">
        <f>VLOOKUP(B815,CASOPOInvCL!$B$1:$D$1600,1,FALSE)</f>
        <v>SO17870</v>
      </c>
      <c r="T815">
        <f t="shared" si="12"/>
        <v>9</v>
      </c>
    </row>
    <row r="816" spans="1:20" x14ac:dyDescent="0.25">
      <c r="A816" s="2">
        <v>1</v>
      </c>
      <c r="B816" s="2" t="s">
        <v>615</v>
      </c>
      <c r="C816" s="2" t="s">
        <v>616</v>
      </c>
      <c r="D816" s="2" t="s">
        <v>141</v>
      </c>
      <c r="E816" s="3">
        <v>45917.781805555547</v>
      </c>
      <c r="F816" s="3">
        <v>45917.780405092592</v>
      </c>
      <c r="G816" s="4">
        <v>45922</v>
      </c>
      <c r="H816" s="2" t="s">
        <v>40</v>
      </c>
      <c r="I816" s="2" t="s">
        <v>51</v>
      </c>
      <c r="J816" s="2">
        <v>0.72742160366744635</v>
      </c>
      <c r="K816" s="2">
        <v>648.15231995164311</v>
      </c>
      <c r="L816" s="2">
        <v>0</v>
      </c>
      <c r="M816" s="2">
        <v>471.48</v>
      </c>
      <c r="N816" s="2">
        <v>471.48</v>
      </c>
      <c r="O816" s="2"/>
      <c r="P816" s="2">
        <v>471.48</v>
      </c>
      <c r="Q816" s="2" t="s">
        <v>44</v>
      </c>
      <c r="R816" s="2"/>
      <c r="S816" t="str">
        <f>VLOOKUP(B816,CASOPOInvCL!$B$1:$D$1600,1,FALSE)</f>
        <v>SO17873</v>
      </c>
      <c r="T816">
        <f t="shared" si="12"/>
        <v>9</v>
      </c>
    </row>
    <row r="817" spans="1:20" x14ac:dyDescent="0.25">
      <c r="A817" s="2">
        <v>1</v>
      </c>
      <c r="B817" s="2" t="s">
        <v>613</v>
      </c>
      <c r="C817" s="2" t="s">
        <v>614</v>
      </c>
      <c r="D817" s="2" t="s">
        <v>95</v>
      </c>
      <c r="E817" s="3">
        <v>45918.334699074083</v>
      </c>
      <c r="F817" s="3">
        <v>45918.464629629627</v>
      </c>
      <c r="G817" s="4">
        <v>45974</v>
      </c>
      <c r="H817" s="2" t="s">
        <v>21</v>
      </c>
      <c r="I817" s="2" t="s">
        <v>22</v>
      </c>
      <c r="J817" s="2">
        <v>1</v>
      </c>
      <c r="K817" s="2">
        <v>6106.39</v>
      </c>
      <c r="L817" s="2">
        <v>0</v>
      </c>
      <c r="M817" s="2">
        <v>4425.6051084450492</v>
      </c>
      <c r="N817" s="2">
        <v>5815.61</v>
      </c>
      <c r="O817" s="2">
        <v>290.77999999999997</v>
      </c>
      <c r="P817" s="2">
        <v>6106.39</v>
      </c>
      <c r="Q817" s="2" t="s">
        <v>44</v>
      </c>
      <c r="R817" s="2"/>
      <c r="S817" t="str">
        <f>VLOOKUP(B817,CASOPOInvCL!$B$1:$D$1600,1,FALSE)</f>
        <v>SO17874</v>
      </c>
      <c r="T817">
        <f t="shared" si="12"/>
        <v>9</v>
      </c>
    </row>
    <row r="818" spans="1:20" x14ac:dyDescent="0.25">
      <c r="A818" s="2">
        <v>1</v>
      </c>
      <c r="B818" s="2" t="s">
        <v>591</v>
      </c>
      <c r="C818" s="2" t="s">
        <v>592</v>
      </c>
      <c r="D818" s="2" t="s">
        <v>271</v>
      </c>
      <c r="E818" s="3">
        <v>45918.407106481478</v>
      </c>
      <c r="F818" s="3">
        <v>45922.68613425926</v>
      </c>
      <c r="G818" s="4">
        <v>45929</v>
      </c>
      <c r="H818" s="2" t="s">
        <v>74</v>
      </c>
      <c r="I818" s="2" t="s">
        <v>22</v>
      </c>
      <c r="J818" s="2">
        <v>1</v>
      </c>
      <c r="K818" s="2">
        <v>588.59</v>
      </c>
      <c r="L818" s="2">
        <v>0</v>
      </c>
      <c r="M818" s="2">
        <v>426.02547517035902</v>
      </c>
      <c r="N818" s="2">
        <v>560.55999999999995</v>
      </c>
      <c r="O818" s="2">
        <v>28.03</v>
      </c>
      <c r="P818" s="2">
        <v>588.59</v>
      </c>
      <c r="Q818" s="2" t="s">
        <v>44</v>
      </c>
      <c r="R818" s="2"/>
      <c r="S818" t="str">
        <f>VLOOKUP(B818,CASOPOInvCL!$B$1:$D$1600,1,FALSE)</f>
        <v>SO17876</v>
      </c>
      <c r="T818">
        <f t="shared" si="12"/>
        <v>9</v>
      </c>
    </row>
    <row r="819" spans="1:20" x14ac:dyDescent="0.25">
      <c r="A819" s="2">
        <v>1</v>
      </c>
      <c r="B819" s="2" t="s">
        <v>600</v>
      </c>
      <c r="C819" s="2" t="s">
        <v>601</v>
      </c>
      <c r="D819" s="2" t="s">
        <v>602</v>
      </c>
      <c r="E819" s="3">
        <v>45918.53633101852</v>
      </c>
      <c r="F819" s="3">
        <v>45919.606828703712</v>
      </c>
      <c r="G819" s="4">
        <v>45922</v>
      </c>
      <c r="H819" s="2" t="s">
        <v>67</v>
      </c>
      <c r="I819" s="2" t="s">
        <v>22</v>
      </c>
      <c r="J819" s="2">
        <v>1</v>
      </c>
      <c r="K819" s="2">
        <v>6766.44</v>
      </c>
      <c r="L819" s="2">
        <v>0</v>
      </c>
      <c r="M819" s="2">
        <v>4913.3074997820386</v>
      </c>
      <c r="N819" s="2">
        <v>5988</v>
      </c>
      <c r="O819" s="2">
        <v>778.44</v>
      </c>
      <c r="P819" s="2">
        <v>6766.44</v>
      </c>
      <c r="Q819" s="2" t="s">
        <v>44</v>
      </c>
      <c r="R819" s="2"/>
      <c r="S819" t="str">
        <f>VLOOKUP(B819,CASOPOInvCL!$B$1:$D$1600,1,FALSE)</f>
        <v>SO17877</v>
      </c>
      <c r="T819">
        <f t="shared" si="12"/>
        <v>9</v>
      </c>
    </row>
    <row r="820" spans="1:20" x14ac:dyDescent="0.25">
      <c r="A820" s="2">
        <v>1</v>
      </c>
      <c r="B820" s="2" t="s">
        <v>605</v>
      </c>
      <c r="C820" s="2" t="s">
        <v>606</v>
      </c>
      <c r="D820" s="2" t="s">
        <v>607</v>
      </c>
      <c r="E820" s="3">
        <v>45918.552951388891</v>
      </c>
      <c r="F820" s="3">
        <v>45918.718946759262</v>
      </c>
      <c r="G820" s="4">
        <v>45919</v>
      </c>
      <c r="H820" s="2" t="s">
        <v>21</v>
      </c>
      <c r="I820" s="2" t="s">
        <v>22</v>
      </c>
      <c r="J820" s="2">
        <v>1</v>
      </c>
      <c r="K820" s="2">
        <v>1363.01</v>
      </c>
      <c r="L820" s="2">
        <v>0</v>
      </c>
      <c r="M820" s="2">
        <v>987.84126445603488</v>
      </c>
      <c r="N820" s="2">
        <v>1298.0999999999999</v>
      </c>
      <c r="O820" s="2">
        <v>64.91</v>
      </c>
      <c r="P820" s="2">
        <v>1363.01</v>
      </c>
      <c r="Q820" s="2" t="s">
        <v>44</v>
      </c>
      <c r="R820" s="2"/>
      <c r="S820" t="str">
        <f>VLOOKUP(B820,CASOPOInvCL!$B$1:$D$1600,1,FALSE)</f>
        <v>SO17878</v>
      </c>
      <c r="T820">
        <f t="shared" si="12"/>
        <v>9</v>
      </c>
    </row>
    <row r="821" spans="1:20" x14ac:dyDescent="0.25">
      <c r="A821" s="2">
        <v>1</v>
      </c>
      <c r="B821" s="2" t="s">
        <v>588</v>
      </c>
      <c r="C821" s="2" t="s">
        <v>5967</v>
      </c>
      <c r="D821" s="2" t="s">
        <v>32</v>
      </c>
      <c r="E821" s="3">
        <v>45918.558541666673</v>
      </c>
      <c r="F821" s="3">
        <v>45923.405092592591</v>
      </c>
      <c r="G821" s="4">
        <v>46007</v>
      </c>
      <c r="H821" s="2" t="s">
        <v>21</v>
      </c>
      <c r="I821" s="2" t="s">
        <v>22</v>
      </c>
      <c r="J821" s="2">
        <v>1</v>
      </c>
      <c r="K821" s="2">
        <v>9939.7999999999993</v>
      </c>
      <c r="L821" s="2">
        <v>0</v>
      </c>
      <c r="M821" s="2">
        <v>7184.6891946095939</v>
      </c>
      <c r="N821" s="2">
        <v>8796.2800000000007</v>
      </c>
      <c r="O821" s="2">
        <v>1143.52</v>
      </c>
      <c r="P821" s="2">
        <v>9939.7999999999993</v>
      </c>
      <c r="Q821" s="2" t="s">
        <v>44</v>
      </c>
      <c r="R821" s="2"/>
      <c r="S821" t="str">
        <f>VLOOKUP(B821,CASOPOInvCL!$B$1:$D$1600,1,FALSE)</f>
        <v>SO17879</v>
      </c>
      <c r="T821">
        <f t="shared" si="12"/>
        <v>9</v>
      </c>
    </row>
    <row r="822" spans="1:20" x14ac:dyDescent="0.25">
      <c r="A822" s="2">
        <v>1</v>
      </c>
      <c r="B822" s="2" t="s">
        <v>512</v>
      </c>
      <c r="C822" s="2" t="s">
        <v>513</v>
      </c>
      <c r="D822" s="2" t="s">
        <v>20</v>
      </c>
      <c r="E822" s="3">
        <v>45918.718726851846</v>
      </c>
      <c r="F822" s="3">
        <v>45930.786643518521</v>
      </c>
      <c r="G822" s="4">
        <v>45937</v>
      </c>
      <c r="H822" s="2" t="s">
        <v>36</v>
      </c>
      <c r="I822" s="2" t="s">
        <v>22</v>
      </c>
      <c r="J822" s="2">
        <v>1</v>
      </c>
      <c r="K822" s="2">
        <v>1421.05</v>
      </c>
      <c r="L822" s="2">
        <v>0</v>
      </c>
      <c r="M822" s="2">
        <v>1020.153613009237</v>
      </c>
      <c r="N822" s="2">
        <v>1353.38</v>
      </c>
      <c r="O822" s="2">
        <v>67.67</v>
      </c>
      <c r="P822" s="2">
        <v>1421.05</v>
      </c>
      <c r="Q822" s="2" t="s">
        <v>44</v>
      </c>
      <c r="R822" s="2"/>
      <c r="S822" t="str">
        <f>VLOOKUP(B822,CASOPOInvCL!$B$1:$D$1600,1,FALSE)</f>
        <v>SO17880</v>
      </c>
      <c r="T822">
        <f t="shared" si="12"/>
        <v>9</v>
      </c>
    </row>
    <row r="823" spans="1:20" x14ac:dyDescent="0.25">
      <c r="A823" s="2">
        <v>1</v>
      </c>
      <c r="B823" s="2" t="s">
        <v>595</v>
      </c>
      <c r="C823" s="2" t="s">
        <v>596</v>
      </c>
      <c r="D823" s="2" t="s">
        <v>146</v>
      </c>
      <c r="E823" s="3">
        <v>45922.506006944437</v>
      </c>
      <c r="F823" s="3">
        <v>45922.511979166673</v>
      </c>
      <c r="G823" s="4">
        <v>45929</v>
      </c>
      <c r="H823" s="2" t="s">
        <v>21</v>
      </c>
      <c r="I823" s="2" t="s">
        <v>22</v>
      </c>
      <c r="J823" s="2">
        <v>1</v>
      </c>
      <c r="K823" s="2">
        <v>316.83</v>
      </c>
      <c r="L823" s="2">
        <v>0</v>
      </c>
      <c r="M823" s="2">
        <v>229.32372500080669</v>
      </c>
      <c r="N823" s="2">
        <v>301.74</v>
      </c>
      <c r="O823" s="2">
        <v>15.09</v>
      </c>
      <c r="P823" s="2">
        <v>316.83</v>
      </c>
      <c r="Q823" s="2" t="s">
        <v>44</v>
      </c>
      <c r="R823" s="2"/>
      <c r="S823" t="str">
        <f>VLOOKUP(B823,CASOPOInvCL!$B$1:$D$1600,1,FALSE)</f>
        <v>SO17889</v>
      </c>
      <c r="T823">
        <f t="shared" si="12"/>
        <v>9</v>
      </c>
    </row>
    <row r="824" spans="1:20" x14ac:dyDescent="0.25">
      <c r="A824" s="2">
        <v>2</v>
      </c>
      <c r="B824" s="2" t="s">
        <v>317</v>
      </c>
      <c r="C824" s="2" t="s">
        <v>318</v>
      </c>
      <c r="D824" s="2" t="s">
        <v>316</v>
      </c>
      <c r="E824" s="3">
        <v>45922.700243055559</v>
      </c>
      <c r="F824" s="3">
        <v>45959.547453703701</v>
      </c>
      <c r="G824" s="4">
        <v>45973</v>
      </c>
      <c r="H824" s="2" t="s">
        <v>36</v>
      </c>
      <c r="I824" s="2" t="s">
        <v>22</v>
      </c>
      <c r="J824" s="2">
        <v>1</v>
      </c>
      <c r="K824" s="2">
        <v>3635.55</v>
      </c>
      <c r="L824" s="2">
        <v>0</v>
      </c>
      <c r="M824" s="2">
        <v>2616.3551289474171</v>
      </c>
      <c r="N824" s="2">
        <v>3462.42</v>
      </c>
      <c r="O824" s="2">
        <v>173.13</v>
      </c>
      <c r="P824" s="2">
        <v>3635.55</v>
      </c>
      <c r="Q824" s="2" t="s">
        <v>44</v>
      </c>
      <c r="R824" s="2"/>
      <c r="S824" t="str">
        <f>VLOOKUP(B824,CASOPOInvCL!$B$1:$D$1600,1,FALSE)</f>
        <v>SO17892</v>
      </c>
      <c r="T824">
        <f t="shared" si="12"/>
        <v>9</v>
      </c>
    </row>
    <row r="825" spans="1:20" x14ac:dyDescent="0.25">
      <c r="A825" s="2">
        <v>1</v>
      </c>
      <c r="B825" s="2" t="s">
        <v>552</v>
      </c>
      <c r="C825" s="2" t="s">
        <v>553</v>
      </c>
      <c r="D825" s="2" t="s">
        <v>39</v>
      </c>
      <c r="E825" s="3">
        <v>45922.779004629629</v>
      </c>
      <c r="F825" s="3">
        <v>45925.64371527778</v>
      </c>
      <c r="G825" s="4">
        <v>45932</v>
      </c>
      <c r="H825" s="2" t="s">
        <v>21</v>
      </c>
      <c r="I825" s="2" t="s">
        <v>22</v>
      </c>
      <c r="J825" s="2">
        <v>1</v>
      </c>
      <c r="K825" s="2">
        <v>1957.12</v>
      </c>
      <c r="L825" s="2">
        <v>0</v>
      </c>
      <c r="M825" s="2">
        <v>1405.5561462473861</v>
      </c>
      <c r="N825" s="2">
        <v>1863.92</v>
      </c>
      <c r="O825" s="2">
        <v>93.2</v>
      </c>
      <c r="P825" s="2">
        <v>1957.12</v>
      </c>
      <c r="Q825" s="2" t="s">
        <v>44</v>
      </c>
      <c r="R825" s="2"/>
      <c r="S825" t="str">
        <f>VLOOKUP(B825,CASOPOInvCL!$B$1:$D$1600,1,FALSE)</f>
        <v>SO17893</v>
      </c>
      <c r="T825">
        <f t="shared" si="12"/>
        <v>9</v>
      </c>
    </row>
    <row r="826" spans="1:20" ht="30" x14ac:dyDescent="0.25">
      <c r="A826" s="2">
        <v>0</v>
      </c>
      <c r="B826" s="2" t="s">
        <v>589</v>
      </c>
      <c r="C826" s="2" t="s">
        <v>590</v>
      </c>
      <c r="D826" s="2" t="s">
        <v>239</v>
      </c>
      <c r="E826" s="3">
        <v>45923.341180555559</v>
      </c>
      <c r="F826" s="3">
        <v>45923.341747685183</v>
      </c>
      <c r="G826" s="4">
        <v>46000</v>
      </c>
      <c r="H826" s="2" t="s">
        <v>180</v>
      </c>
      <c r="I826" s="2" t="s">
        <v>51</v>
      </c>
      <c r="J826" s="2">
        <v>0.72380685225769881</v>
      </c>
      <c r="K826" s="2">
        <v>3675.0135643271769</v>
      </c>
      <c r="L826" s="2">
        <v>0</v>
      </c>
      <c r="M826" s="2">
        <v>2660</v>
      </c>
      <c r="N826" s="2">
        <v>2660</v>
      </c>
      <c r="O826" s="2"/>
      <c r="P826" s="2">
        <v>2660</v>
      </c>
      <c r="Q826" s="2" t="s">
        <v>29</v>
      </c>
      <c r="R826" s="2"/>
      <c r="S826" t="str">
        <f>VLOOKUP(B826,CASOPOInvCL!$B$1:$D$1600,1,FALSE)</f>
        <v>SO17895</v>
      </c>
      <c r="T826">
        <f t="shared" si="12"/>
        <v>9</v>
      </c>
    </row>
    <row r="827" spans="1:20" x14ac:dyDescent="0.25">
      <c r="A827" s="2">
        <v>1</v>
      </c>
      <c r="B827" s="2" t="s">
        <v>546</v>
      </c>
      <c r="C827" s="2" t="s">
        <v>547</v>
      </c>
      <c r="D827" s="2" t="s">
        <v>242</v>
      </c>
      <c r="E827" s="3">
        <v>45923.344652777778</v>
      </c>
      <c r="F827" s="3">
        <v>45926.442650462966</v>
      </c>
      <c r="G827" s="4">
        <v>45929</v>
      </c>
      <c r="H827" s="2" t="s">
        <v>40</v>
      </c>
      <c r="I827" s="2" t="s">
        <v>22</v>
      </c>
      <c r="J827" s="2">
        <v>1</v>
      </c>
      <c r="K827" s="2">
        <v>797.17</v>
      </c>
      <c r="L827" s="2">
        <v>0</v>
      </c>
      <c r="M827" s="2">
        <v>571.56100684542128</v>
      </c>
      <c r="N827" s="2">
        <v>759.21</v>
      </c>
      <c r="O827" s="2">
        <v>37.96</v>
      </c>
      <c r="P827" s="2">
        <v>797.17</v>
      </c>
      <c r="Q827" s="2" t="s">
        <v>44</v>
      </c>
      <c r="R827" s="2"/>
      <c r="S827" t="str">
        <f>VLOOKUP(B827,CASOPOInvCL!$B$1:$D$1600,1,FALSE)</f>
        <v>SO17896</v>
      </c>
      <c r="T827">
        <f t="shared" si="12"/>
        <v>9</v>
      </c>
    </row>
    <row r="828" spans="1:20" x14ac:dyDescent="0.25">
      <c r="A828" s="2">
        <v>1</v>
      </c>
      <c r="B828" s="2" t="s">
        <v>586</v>
      </c>
      <c r="C828" s="2" t="s">
        <v>587</v>
      </c>
      <c r="D828" s="2" t="s">
        <v>129</v>
      </c>
      <c r="E828" s="3">
        <v>45923.453067129631</v>
      </c>
      <c r="F828" s="3">
        <v>45923.452673611107</v>
      </c>
      <c r="G828" s="4">
        <v>45923</v>
      </c>
      <c r="H828" s="2" t="s">
        <v>130</v>
      </c>
      <c r="I828" s="2" t="s">
        <v>51</v>
      </c>
      <c r="J828" s="2">
        <v>0.72380685225769881</v>
      </c>
      <c r="K828" s="2">
        <v>690.79202336977005</v>
      </c>
      <c r="L828" s="2">
        <v>0</v>
      </c>
      <c r="M828" s="2">
        <v>500</v>
      </c>
      <c r="N828" s="2">
        <v>500</v>
      </c>
      <c r="O828" s="2"/>
      <c r="P828" s="2">
        <v>500</v>
      </c>
      <c r="Q828" s="2" t="s">
        <v>44</v>
      </c>
      <c r="R828" s="2"/>
      <c r="S828" t="str">
        <f>VLOOKUP(B828,CASOPOInvCL!$B$1:$D$1600,1,FALSE)</f>
        <v>SO17897</v>
      </c>
      <c r="T828">
        <f t="shared" si="12"/>
        <v>9</v>
      </c>
    </row>
    <row r="829" spans="1:20" x14ac:dyDescent="0.25">
      <c r="A829" s="2">
        <v>1</v>
      </c>
      <c r="B829" s="2" t="s">
        <v>582</v>
      </c>
      <c r="C829" s="2" t="s">
        <v>583</v>
      </c>
      <c r="D829" s="2" t="s">
        <v>95</v>
      </c>
      <c r="E829" s="3">
        <v>45923.463020833333</v>
      </c>
      <c r="F829" s="3">
        <v>45923.624085648153</v>
      </c>
      <c r="G829" s="4">
        <v>45981</v>
      </c>
      <c r="H829" s="2" t="s">
        <v>74</v>
      </c>
      <c r="I829" s="2" t="s">
        <v>22</v>
      </c>
      <c r="J829" s="2">
        <v>1</v>
      </c>
      <c r="K829" s="2">
        <v>21694.41</v>
      </c>
      <c r="L829" s="2">
        <v>0</v>
      </c>
      <c r="M829" s="2">
        <v>15681.15989360252</v>
      </c>
      <c r="N829" s="2">
        <v>20812.96</v>
      </c>
      <c r="O829" s="2">
        <v>881.45</v>
      </c>
      <c r="P829" s="2">
        <v>21694.41</v>
      </c>
      <c r="Q829" s="2" t="s">
        <v>44</v>
      </c>
      <c r="R829" s="2"/>
      <c r="S829" t="str">
        <f>VLOOKUP(B829,CASOPOInvCL!$B$1:$D$1600,1,FALSE)</f>
        <v>SO17898</v>
      </c>
      <c r="T829">
        <f t="shared" si="12"/>
        <v>9</v>
      </c>
    </row>
    <row r="830" spans="1:20" x14ac:dyDescent="0.25">
      <c r="A830" s="2">
        <v>2</v>
      </c>
      <c r="B830" s="2" t="s">
        <v>544</v>
      </c>
      <c r="C830" s="2" t="s">
        <v>545</v>
      </c>
      <c r="D830" s="2" t="s">
        <v>70</v>
      </c>
      <c r="E830" s="3">
        <v>45923.563807870371</v>
      </c>
      <c r="F830" s="3">
        <v>45926.480682870373</v>
      </c>
      <c r="G830" s="4">
        <v>45954</v>
      </c>
      <c r="H830" s="2" t="s">
        <v>36</v>
      </c>
      <c r="I830" s="2" t="s">
        <v>51</v>
      </c>
      <c r="J830" s="2">
        <v>0.71817576144916317</v>
      </c>
      <c r="K830" s="2">
        <v>5107.189906547178</v>
      </c>
      <c r="L830" s="2">
        <v>0</v>
      </c>
      <c r="M830" s="2">
        <v>3667.86</v>
      </c>
      <c r="N830" s="2">
        <v>3667.86</v>
      </c>
      <c r="O830" s="2"/>
      <c r="P830" s="2">
        <v>3667.86</v>
      </c>
      <c r="Q830" s="2" t="s">
        <v>44</v>
      </c>
      <c r="R830" s="2"/>
      <c r="S830" t="str">
        <f>VLOOKUP(B830,CASOPOInvCL!$B$1:$D$1600,1,FALSE)</f>
        <v>SO17899</v>
      </c>
      <c r="T830">
        <f t="shared" si="12"/>
        <v>9</v>
      </c>
    </row>
    <row r="831" spans="1:20" x14ac:dyDescent="0.25">
      <c r="A831" s="2">
        <v>2</v>
      </c>
      <c r="B831" s="2" t="s">
        <v>584</v>
      </c>
      <c r="C831" s="2" t="s">
        <v>585</v>
      </c>
      <c r="D831" s="2" t="s">
        <v>229</v>
      </c>
      <c r="E831" s="3">
        <v>45923.570277777777</v>
      </c>
      <c r="F831" s="3">
        <v>45923.583622685182</v>
      </c>
      <c r="G831" s="4">
        <v>45930</v>
      </c>
      <c r="H831" s="2" t="s">
        <v>74</v>
      </c>
      <c r="I831" s="2" t="s">
        <v>22</v>
      </c>
      <c r="J831" s="2">
        <v>1</v>
      </c>
      <c r="K831" s="2">
        <v>942.98</v>
      </c>
      <c r="L831" s="2">
        <v>0</v>
      </c>
      <c r="M831" s="2">
        <v>681.60508428066521</v>
      </c>
      <c r="N831" s="2">
        <v>898.07</v>
      </c>
      <c r="O831" s="2">
        <v>44.91</v>
      </c>
      <c r="P831" s="2">
        <v>942.98</v>
      </c>
      <c r="Q831" s="2" t="s">
        <v>44</v>
      </c>
      <c r="R831" s="2"/>
      <c r="S831" t="str">
        <f>VLOOKUP(B831,CASOPOInvCL!$B$1:$D$1600,1,FALSE)</f>
        <v>SO17900</v>
      </c>
      <c r="T831">
        <f t="shared" si="12"/>
        <v>9</v>
      </c>
    </row>
    <row r="832" spans="1:20" x14ac:dyDescent="0.25">
      <c r="A832" s="2">
        <v>0</v>
      </c>
      <c r="B832" s="2" t="s">
        <v>579</v>
      </c>
      <c r="C832" s="2" t="s">
        <v>580</v>
      </c>
      <c r="D832" s="2" t="s">
        <v>581</v>
      </c>
      <c r="E832" s="3">
        <v>45923.681793981479</v>
      </c>
      <c r="F832" s="3">
        <v>45923.681793981479</v>
      </c>
      <c r="G832" s="4">
        <v>45987</v>
      </c>
      <c r="H832" s="2" t="s">
        <v>21</v>
      </c>
      <c r="I832" s="2" t="s">
        <v>51</v>
      </c>
      <c r="J832" s="2">
        <v>0.72380685225769881</v>
      </c>
      <c r="K832" s="2">
        <v>1737.9636515960051</v>
      </c>
      <c r="L832" s="2">
        <v>0</v>
      </c>
      <c r="M832" s="2">
        <v>1257.95</v>
      </c>
      <c r="N832" s="2">
        <v>1257.95</v>
      </c>
      <c r="O832" s="2"/>
      <c r="P832" s="2">
        <v>1257.95</v>
      </c>
      <c r="Q832" s="2" t="s">
        <v>23</v>
      </c>
      <c r="R832" s="2"/>
      <c r="S832" t="str">
        <f>VLOOKUP(B832,CASOPOInvCL!$B$1:$D$1600,1,FALSE)</f>
        <v>SO17901</v>
      </c>
      <c r="T832">
        <f t="shared" si="12"/>
        <v>9</v>
      </c>
    </row>
    <row r="833" spans="1:20" x14ac:dyDescent="0.25">
      <c r="A833" s="2">
        <v>1</v>
      </c>
      <c r="B833" s="2" t="s">
        <v>48</v>
      </c>
      <c r="C833" s="2" t="s">
        <v>49</v>
      </c>
      <c r="D833" s="2" t="s">
        <v>50</v>
      </c>
      <c r="E833" s="3">
        <v>45923.693622685183</v>
      </c>
      <c r="F833" s="3">
        <v>45988.582731481481</v>
      </c>
      <c r="G833" s="4">
        <v>45995</v>
      </c>
      <c r="H833" s="2" t="s">
        <v>36</v>
      </c>
      <c r="I833" s="2" t="s">
        <v>51</v>
      </c>
      <c r="J833" s="2">
        <v>0.70832754622107197</v>
      </c>
      <c r="K833" s="2">
        <v>2752.9636682961882</v>
      </c>
      <c r="L833" s="2">
        <v>0</v>
      </c>
      <c r="M833" s="2">
        <v>1950</v>
      </c>
      <c r="N833" s="2">
        <v>1950</v>
      </c>
      <c r="O833" s="2"/>
      <c r="P833" s="2">
        <v>1950</v>
      </c>
      <c r="Q833" s="2" t="s">
        <v>44</v>
      </c>
      <c r="R833" s="2"/>
      <c r="S833" t="str">
        <f>VLOOKUP(B833,CASOPOInvCL!$B$1:$D$1600,1,FALSE)</f>
        <v>SO17902</v>
      </c>
      <c r="T833">
        <f t="shared" si="12"/>
        <v>9</v>
      </c>
    </row>
    <row r="834" spans="1:20" x14ac:dyDescent="0.25">
      <c r="A834" s="2">
        <v>2</v>
      </c>
      <c r="B834" s="2" t="s">
        <v>251</v>
      </c>
      <c r="C834" s="2" t="s">
        <v>252</v>
      </c>
      <c r="D834" s="2" t="s">
        <v>54</v>
      </c>
      <c r="E834" s="3">
        <v>45923.694791666669</v>
      </c>
      <c r="F834" s="3">
        <v>45967.700624999998</v>
      </c>
      <c r="G834" s="4">
        <v>45995</v>
      </c>
      <c r="H834" s="2" t="s">
        <v>21</v>
      </c>
      <c r="I834" s="2" t="s">
        <v>22</v>
      </c>
      <c r="J834" s="2">
        <v>1</v>
      </c>
      <c r="K834" s="2">
        <v>4113.49</v>
      </c>
      <c r="L834" s="2">
        <v>4113.49</v>
      </c>
      <c r="M834" s="2">
        <v>4113.49</v>
      </c>
      <c r="N834" s="2">
        <v>3853</v>
      </c>
      <c r="O834" s="2">
        <v>260.49</v>
      </c>
      <c r="P834" s="2">
        <v>4113.49</v>
      </c>
      <c r="Q834" s="2" t="s">
        <v>44</v>
      </c>
      <c r="R834" s="2"/>
      <c r="S834" t="str">
        <f>VLOOKUP(B834,CASOPOInvCL!$B$1:$D$1600,1,FALSE)</f>
        <v>SO17903</v>
      </c>
      <c r="T834">
        <f t="shared" si="12"/>
        <v>9</v>
      </c>
    </row>
    <row r="835" spans="1:20" x14ac:dyDescent="0.25">
      <c r="A835" s="2">
        <v>1</v>
      </c>
      <c r="B835" s="2" t="s">
        <v>572</v>
      </c>
      <c r="C835" s="2" t="s">
        <v>573</v>
      </c>
      <c r="D835" s="2" t="s">
        <v>271</v>
      </c>
      <c r="E835" s="3">
        <v>45924.407719907409</v>
      </c>
      <c r="F835" s="3">
        <v>45924.407881944448</v>
      </c>
      <c r="G835" s="4">
        <v>45931</v>
      </c>
      <c r="H835" s="2" t="s">
        <v>21</v>
      </c>
      <c r="I835" s="2" t="s">
        <v>22</v>
      </c>
      <c r="J835" s="2">
        <v>1</v>
      </c>
      <c r="K835" s="2">
        <v>1006.02</v>
      </c>
      <c r="L835" s="2">
        <v>0</v>
      </c>
      <c r="M835" s="2">
        <v>723.99328247876781</v>
      </c>
      <c r="N835" s="2">
        <v>958.11</v>
      </c>
      <c r="O835" s="2">
        <v>47.91</v>
      </c>
      <c r="P835" s="2">
        <v>1006.02</v>
      </c>
      <c r="Q835" s="2" t="s">
        <v>44</v>
      </c>
      <c r="R835" s="2"/>
      <c r="S835" t="str">
        <f>VLOOKUP(B835,CASOPOInvCL!$B$1:$D$1600,1,FALSE)</f>
        <v>SO17904</v>
      </c>
      <c r="T835">
        <f t="shared" ref="T835:T898" si="13">MONTH(E835)</f>
        <v>9</v>
      </c>
    </row>
    <row r="836" spans="1:20" x14ac:dyDescent="0.25">
      <c r="A836" s="2">
        <v>1</v>
      </c>
      <c r="B836" s="2" t="s">
        <v>570</v>
      </c>
      <c r="C836" s="2" t="s">
        <v>571</v>
      </c>
      <c r="D836" s="2" t="s">
        <v>77</v>
      </c>
      <c r="E836" s="3">
        <v>45924.419016203698</v>
      </c>
      <c r="F836" s="3">
        <v>45924.419085648151</v>
      </c>
      <c r="G836" s="4">
        <v>45931</v>
      </c>
      <c r="H836" s="2" t="s">
        <v>74</v>
      </c>
      <c r="I836" s="2" t="s">
        <v>22</v>
      </c>
      <c r="J836" s="2">
        <v>1</v>
      </c>
      <c r="K836" s="2">
        <v>270.35000000000002</v>
      </c>
      <c r="L836" s="2">
        <v>0</v>
      </c>
      <c r="M836" s="2">
        <v>194.56033072715741</v>
      </c>
      <c r="N836" s="2">
        <v>270.35000000000002</v>
      </c>
      <c r="O836" s="2"/>
      <c r="P836" s="2">
        <v>270.35000000000002</v>
      </c>
      <c r="Q836" s="2" t="s">
        <v>44</v>
      </c>
      <c r="R836" s="2"/>
      <c r="S836" t="str">
        <f>VLOOKUP(B836,CASOPOInvCL!$B$1:$D$1600,1,FALSE)</f>
        <v>SO17905</v>
      </c>
      <c r="T836">
        <f t="shared" si="13"/>
        <v>9</v>
      </c>
    </row>
    <row r="837" spans="1:20" x14ac:dyDescent="0.25">
      <c r="A837" s="2">
        <v>1</v>
      </c>
      <c r="B837" s="2" t="s">
        <v>568</v>
      </c>
      <c r="C837" s="2" t="s">
        <v>569</v>
      </c>
      <c r="D837" s="2" t="s">
        <v>121</v>
      </c>
      <c r="E837" s="3">
        <v>45924.453379629631</v>
      </c>
      <c r="F837" s="3">
        <v>45924.460798611108</v>
      </c>
      <c r="G837" s="4">
        <v>45926</v>
      </c>
      <c r="H837" s="2" t="s">
        <v>21</v>
      </c>
      <c r="I837" s="2" t="s">
        <v>22</v>
      </c>
      <c r="J837" s="2">
        <v>1</v>
      </c>
      <c r="K837" s="2">
        <v>12298.19</v>
      </c>
      <c r="L837" s="2">
        <v>0</v>
      </c>
      <c r="M837" s="2">
        <v>8850.5267754592933</v>
      </c>
      <c r="N837" s="2">
        <v>11712.55</v>
      </c>
      <c r="O837" s="2">
        <v>585.64</v>
      </c>
      <c r="P837" s="2">
        <v>12298.19</v>
      </c>
      <c r="Q837" s="2" t="s">
        <v>44</v>
      </c>
      <c r="R837" s="2"/>
      <c r="S837" t="str">
        <f>VLOOKUP(B837,CASOPOInvCL!$B$1:$D$1600,1,FALSE)</f>
        <v>SO17906</v>
      </c>
      <c r="T837">
        <f t="shared" si="13"/>
        <v>9</v>
      </c>
    </row>
    <row r="838" spans="1:20" x14ac:dyDescent="0.25">
      <c r="A838" s="2">
        <v>1</v>
      </c>
      <c r="B838" s="2" t="s">
        <v>434</v>
      </c>
      <c r="C838" s="2" t="s">
        <v>435</v>
      </c>
      <c r="D838" s="2" t="s">
        <v>20</v>
      </c>
      <c r="E838" s="3">
        <v>45924.664398148147</v>
      </c>
      <c r="F838" s="3">
        <v>45940.497361111113</v>
      </c>
      <c r="G838" s="4">
        <v>46024</v>
      </c>
      <c r="H838" s="2" t="s">
        <v>21</v>
      </c>
      <c r="I838" s="2" t="s">
        <v>22</v>
      </c>
      <c r="J838" s="2">
        <v>1</v>
      </c>
      <c r="K838" s="2">
        <v>10170.530000000001</v>
      </c>
      <c r="L838" s="2">
        <v>0</v>
      </c>
      <c r="M838" s="2">
        <v>7265.0211063684737</v>
      </c>
      <c r="N838" s="2">
        <v>9686.2199999999993</v>
      </c>
      <c r="O838" s="2">
        <v>484.31</v>
      </c>
      <c r="P838" s="2">
        <v>10170.530000000001</v>
      </c>
      <c r="Q838" s="2" t="s">
        <v>44</v>
      </c>
      <c r="R838" s="2"/>
      <c r="S838" t="str">
        <f>VLOOKUP(B838,CASOPOInvCL!$B$1:$D$1600,1,FALSE)</f>
        <v>SO17910</v>
      </c>
      <c r="T838">
        <f t="shared" si="13"/>
        <v>9</v>
      </c>
    </row>
    <row r="839" spans="1:20" x14ac:dyDescent="0.25">
      <c r="A839" s="2">
        <v>1</v>
      </c>
      <c r="B839" s="2" t="s">
        <v>6177</v>
      </c>
      <c r="C839" s="2" t="s">
        <v>6000</v>
      </c>
      <c r="D839" s="2" t="s">
        <v>109</v>
      </c>
      <c r="E839" s="3">
        <v>45924.696099537039</v>
      </c>
      <c r="F839" s="3">
        <v>46001.644884259258</v>
      </c>
      <c r="G839" s="4">
        <v>46003</v>
      </c>
      <c r="H839" s="2" t="s">
        <v>657</v>
      </c>
      <c r="I839" s="2" t="s">
        <v>51</v>
      </c>
      <c r="J839" s="2">
        <v>0.72282535844006246</v>
      </c>
      <c r="K839" s="2">
        <v>12990.689784686951</v>
      </c>
      <c r="L839" s="2">
        <v>0</v>
      </c>
      <c r="M839" s="2">
        <v>9390</v>
      </c>
      <c r="N839" s="2">
        <v>9390</v>
      </c>
      <c r="O839" s="2"/>
      <c r="P839" s="2">
        <v>9390</v>
      </c>
      <c r="Q839" s="2" t="s">
        <v>44</v>
      </c>
      <c r="R839" s="2"/>
      <c r="S839" t="str">
        <f>VLOOKUP(B839,CASOPOInvCL!$B$1:$D$1600,1,FALSE)</f>
        <v>SO17911</v>
      </c>
      <c r="T839">
        <f t="shared" si="13"/>
        <v>9</v>
      </c>
    </row>
    <row r="840" spans="1:20" x14ac:dyDescent="0.25">
      <c r="A840" s="2">
        <v>2</v>
      </c>
      <c r="B840" s="2" t="s">
        <v>563</v>
      </c>
      <c r="C840" s="2" t="s">
        <v>564</v>
      </c>
      <c r="D840" s="2" t="s">
        <v>242</v>
      </c>
      <c r="E840" s="3">
        <v>45925.376793981479</v>
      </c>
      <c r="F840" s="3">
        <v>45925.427256944437</v>
      </c>
      <c r="G840" s="4">
        <v>45939</v>
      </c>
      <c r="H840" s="2" t="s">
        <v>40</v>
      </c>
      <c r="I840" s="2" t="s">
        <v>22</v>
      </c>
      <c r="J840" s="2">
        <v>1</v>
      </c>
      <c r="K840" s="2">
        <v>105</v>
      </c>
      <c r="L840" s="2">
        <v>0</v>
      </c>
      <c r="M840" s="2">
        <v>75.408454952162131</v>
      </c>
      <c r="N840" s="2">
        <v>100</v>
      </c>
      <c r="O840" s="2">
        <v>5</v>
      </c>
      <c r="P840" s="2">
        <v>105</v>
      </c>
      <c r="Q840" s="2" t="s">
        <v>44</v>
      </c>
      <c r="R840" s="2"/>
      <c r="S840" t="str">
        <f>VLOOKUP(B840,CASOPOInvCL!$B$1:$D$1600,1,FALSE)</f>
        <v>SO17914</v>
      </c>
      <c r="T840">
        <f t="shared" si="13"/>
        <v>9</v>
      </c>
    </row>
    <row r="841" spans="1:20" ht="30" x14ac:dyDescent="0.25">
      <c r="A841" s="2">
        <v>1</v>
      </c>
      <c r="B841" s="2" t="s">
        <v>516</v>
      </c>
      <c r="C841" s="2" t="s">
        <v>517</v>
      </c>
      <c r="D841" s="2" t="s">
        <v>518</v>
      </c>
      <c r="E841" s="3">
        <v>45925.412222222221</v>
      </c>
      <c r="F841" s="3">
        <v>45930.648402777777</v>
      </c>
      <c r="G841" s="4">
        <v>45968</v>
      </c>
      <c r="H841" s="2" t="s">
        <v>74</v>
      </c>
      <c r="I841" s="2" t="s">
        <v>22</v>
      </c>
      <c r="J841" s="2">
        <v>1</v>
      </c>
      <c r="K841" s="2">
        <v>851.88</v>
      </c>
      <c r="L841" s="2">
        <v>0</v>
      </c>
      <c r="M841" s="2">
        <v>611.55375240161072</v>
      </c>
      <c r="N841" s="2">
        <v>753.88</v>
      </c>
      <c r="O841" s="2">
        <v>98</v>
      </c>
      <c r="P841" s="2">
        <v>851.88</v>
      </c>
      <c r="Q841" s="2" t="s">
        <v>44</v>
      </c>
      <c r="R841" s="2"/>
      <c r="S841" t="str">
        <f>VLOOKUP(B841,CASOPOInvCL!$B$1:$D$1600,1,FALSE)</f>
        <v>SO17916</v>
      </c>
      <c r="T841">
        <f t="shared" si="13"/>
        <v>9</v>
      </c>
    </row>
    <row r="842" spans="1:20" x14ac:dyDescent="0.25">
      <c r="A842" s="2">
        <v>1</v>
      </c>
      <c r="B842" s="2" t="s">
        <v>557</v>
      </c>
      <c r="C842" s="2" t="s">
        <v>558</v>
      </c>
      <c r="D842" s="2" t="s">
        <v>121</v>
      </c>
      <c r="E842" s="3">
        <v>45925.58662037037</v>
      </c>
      <c r="F842" s="3">
        <v>45925.586759259262</v>
      </c>
      <c r="G842" s="4">
        <v>45932</v>
      </c>
      <c r="H842" s="2" t="s">
        <v>21</v>
      </c>
      <c r="I842" s="2" t="s">
        <v>22</v>
      </c>
      <c r="J842" s="2">
        <v>1</v>
      </c>
      <c r="K842" s="2">
        <v>1028.3900000000001</v>
      </c>
      <c r="L842" s="2">
        <v>0</v>
      </c>
      <c r="M842" s="2">
        <v>738.56477131670499</v>
      </c>
      <c r="N842" s="2">
        <v>979.42</v>
      </c>
      <c r="O842" s="2">
        <v>48.97</v>
      </c>
      <c r="P842" s="2">
        <v>1028.3900000000001</v>
      </c>
      <c r="Q842" s="2" t="s">
        <v>44</v>
      </c>
      <c r="R842" s="2"/>
      <c r="S842" t="str">
        <f>VLOOKUP(B842,CASOPOInvCL!$B$1:$D$1600,1,FALSE)</f>
        <v>SO17917</v>
      </c>
      <c r="T842">
        <f t="shared" si="13"/>
        <v>9</v>
      </c>
    </row>
    <row r="843" spans="1:20" x14ac:dyDescent="0.25">
      <c r="A843" s="2">
        <v>1</v>
      </c>
      <c r="B843" s="2" t="s">
        <v>554</v>
      </c>
      <c r="C843" s="2" t="s">
        <v>555</v>
      </c>
      <c r="D843" s="2" t="s">
        <v>556</v>
      </c>
      <c r="E843" s="3">
        <v>45925.636458333327</v>
      </c>
      <c r="F843" s="3">
        <v>45925.635358796288</v>
      </c>
      <c r="G843" s="4">
        <v>45933</v>
      </c>
      <c r="H843" s="2" t="s">
        <v>36</v>
      </c>
      <c r="I843" s="2" t="s">
        <v>22</v>
      </c>
      <c r="J843" s="2">
        <v>1</v>
      </c>
      <c r="K843" s="2">
        <v>107.52</v>
      </c>
      <c r="L843" s="2">
        <v>0</v>
      </c>
      <c r="M843" s="2">
        <v>77.218257871014018</v>
      </c>
      <c r="N843" s="2">
        <v>102.4</v>
      </c>
      <c r="O843" s="2">
        <v>5.12</v>
      </c>
      <c r="P843" s="2">
        <v>107.52</v>
      </c>
      <c r="Q843" s="2" t="s">
        <v>44</v>
      </c>
      <c r="R843" s="2"/>
      <c r="S843" t="str">
        <f>VLOOKUP(B843,CASOPOInvCL!$B$1:$D$1600,1,FALSE)</f>
        <v>SO17920</v>
      </c>
      <c r="T843">
        <f t="shared" si="13"/>
        <v>9</v>
      </c>
    </row>
    <row r="844" spans="1:20" x14ac:dyDescent="0.25">
      <c r="A844" s="2">
        <v>1</v>
      </c>
      <c r="B844" s="2" t="s">
        <v>493</v>
      </c>
      <c r="C844" s="2" t="s">
        <v>494</v>
      </c>
      <c r="D844" s="2" t="s">
        <v>495</v>
      </c>
      <c r="E844" s="3">
        <v>45925.644652777781</v>
      </c>
      <c r="F844" s="3">
        <v>45932.610775462963</v>
      </c>
      <c r="G844" s="4">
        <v>45967</v>
      </c>
      <c r="H844" s="2" t="s">
        <v>67</v>
      </c>
      <c r="I844" s="2" t="s">
        <v>51</v>
      </c>
      <c r="J844" s="2">
        <v>0.71685596903225257</v>
      </c>
      <c r="K844" s="2">
        <v>33876.233231040307</v>
      </c>
      <c r="L844" s="2">
        <v>0</v>
      </c>
      <c r="M844" s="2">
        <v>24284.38</v>
      </c>
      <c r="N844" s="2">
        <v>24284.38</v>
      </c>
      <c r="O844" s="2"/>
      <c r="P844" s="2">
        <v>24284.38</v>
      </c>
      <c r="Q844" s="2" t="s">
        <v>44</v>
      </c>
      <c r="R844" s="2"/>
      <c r="S844" t="str">
        <f>VLOOKUP(B844,CASOPOInvCL!$B$1:$D$1600,1,FALSE)</f>
        <v>SO17921</v>
      </c>
      <c r="T844">
        <f t="shared" si="13"/>
        <v>9</v>
      </c>
    </row>
    <row r="845" spans="1:20" x14ac:dyDescent="0.25">
      <c r="A845" s="2">
        <v>1</v>
      </c>
      <c r="B845" s="2" t="s">
        <v>537</v>
      </c>
      <c r="C845" s="2" t="s">
        <v>538</v>
      </c>
      <c r="D845" s="2" t="s">
        <v>54</v>
      </c>
      <c r="E845" s="3">
        <v>45925.721250000002</v>
      </c>
      <c r="F845" s="3">
        <v>45926.526967592603</v>
      </c>
      <c r="G845" s="4">
        <v>45975</v>
      </c>
      <c r="H845" s="2" t="s">
        <v>21</v>
      </c>
      <c r="I845" s="2" t="s">
        <v>22</v>
      </c>
      <c r="J845" s="2">
        <v>1</v>
      </c>
      <c r="K845" s="2">
        <v>2047.12</v>
      </c>
      <c r="L845" s="2">
        <v>0</v>
      </c>
      <c r="M845" s="2">
        <v>1467.759660214758</v>
      </c>
      <c r="N845" s="2">
        <v>1949.64</v>
      </c>
      <c r="O845" s="2">
        <v>97.48</v>
      </c>
      <c r="P845" s="2">
        <v>2047.12</v>
      </c>
      <c r="Q845" s="2" t="s">
        <v>44</v>
      </c>
      <c r="R845" s="2"/>
      <c r="S845" t="str">
        <f>VLOOKUP(B845,CASOPOInvCL!$B$1:$D$1600,1,FALSE)</f>
        <v>SO17922</v>
      </c>
      <c r="T845">
        <f t="shared" si="13"/>
        <v>9</v>
      </c>
    </row>
    <row r="846" spans="1:20" x14ac:dyDescent="0.25">
      <c r="A846" s="2">
        <v>1</v>
      </c>
      <c r="B846" s="2" t="s">
        <v>390</v>
      </c>
      <c r="C846" s="2" t="s">
        <v>391</v>
      </c>
      <c r="D846" s="2" t="s">
        <v>171</v>
      </c>
      <c r="E846" s="3">
        <v>45925.743958333333</v>
      </c>
      <c r="F846" s="3">
        <v>45946.406828703701</v>
      </c>
      <c r="G846" s="4">
        <v>45953</v>
      </c>
      <c r="H846" s="2" t="s">
        <v>74</v>
      </c>
      <c r="I846" s="2" t="s">
        <v>22</v>
      </c>
      <c r="J846" s="2">
        <v>1</v>
      </c>
      <c r="K846" s="2">
        <v>5230.8500000000004</v>
      </c>
      <c r="L846" s="2">
        <v>0</v>
      </c>
      <c r="M846" s="2">
        <v>3723.749236324129</v>
      </c>
      <c r="N846" s="2">
        <v>4981.76</v>
      </c>
      <c r="O846" s="2">
        <v>249.09</v>
      </c>
      <c r="P846" s="2">
        <v>5230.8500000000004</v>
      </c>
      <c r="Q846" s="2" t="s">
        <v>29</v>
      </c>
      <c r="R846" s="2"/>
      <c r="S846" t="str">
        <f>VLOOKUP(B846,CASOPOInvCL!$B$1:$D$1600,1,FALSE)</f>
        <v>SO17923</v>
      </c>
      <c r="T846">
        <f t="shared" si="13"/>
        <v>9</v>
      </c>
    </row>
    <row r="847" spans="1:20" x14ac:dyDescent="0.25">
      <c r="A847" s="2">
        <v>1</v>
      </c>
      <c r="B847" s="2" t="s">
        <v>548</v>
      </c>
      <c r="C847" s="2" t="s">
        <v>549</v>
      </c>
      <c r="D847" s="2" t="s">
        <v>146</v>
      </c>
      <c r="E847" s="3">
        <v>45926.326944444438</v>
      </c>
      <c r="F847" s="3">
        <v>45926.385509259257</v>
      </c>
      <c r="G847" s="4">
        <v>45929</v>
      </c>
      <c r="H847" s="2" t="s">
        <v>40</v>
      </c>
      <c r="I847" s="2" t="s">
        <v>22</v>
      </c>
      <c r="J847" s="2">
        <v>1</v>
      </c>
      <c r="K847" s="2">
        <v>293.48</v>
      </c>
      <c r="L847" s="2">
        <v>0</v>
      </c>
      <c r="M847" s="2">
        <v>210.4215214935262</v>
      </c>
      <c r="N847" s="2">
        <v>279.5</v>
      </c>
      <c r="O847" s="2">
        <v>13.98</v>
      </c>
      <c r="P847" s="2">
        <v>293.48</v>
      </c>
      <c r="Q847" s="2" t="s">
        <v>44</v>
      </c>
      <c r="R847" s="2"/>
      <c r="S847" t="str">
        <f>VLOOKUP(B847,CASOPOInvCL!$B$1:$D$1600,1,FALSE)</f>
        <v>SO17925</v>
      </c>
      <c r="T847">
        <f t="shared" si="13"/>
        <v>9</v>
      </c>
    </row>
    <row r="848" spans="1:20" x14ac:dyDescent="0.25">
      <c r="A848" s="2">
        <v>2</v>
      </c>
      <c r="B848" s="2" t="s">
        <v>550</v>
      </c>
      <c r="C848" s="2" t="s">
        <v>551</v>
      </c>
      <c r="D848" s="2" t="s">
        <v>121</v>
      </c>
      <c r="E848" s="3">
        <v>45926.362245370372</v>
      </c>
      <c r="F848" s="3">
        <v>45926.364398148151</v>
      </c>
      <c r="G848" s="4">
        <v>46017</v>
      </c>
      <c r="H848" s="2" t="s">
        <v>21</v>
      </c>
      <c r="I848" s="2" t="s">
        <v>22</v>
      </c>
      <c r="J848" s="2">
        <v>1</v>
      </c>
      <c r="K848" s="2">
        <v>15035.84</v>
      </c>
      <c r="L848" s="2">
        <v>0</v>
      </c>
      <c r="M848" s="2">
        <v>10780.5108686562</v>
      </c>
      <c r="N848" s="2">
        <v>14319.84</v>
      </c>
      <c r="O848" s="2">
        <v>716</v>
      </c>
      <c r="P848" s="2">
        <v>15035.84</v>
      </c>
      <c r="Q848" s="2" t="s">
        <v>29</v>
      </c>
      <c r="R848" s="2"/>
      <c r="S848" t="str">
        <f>VLOOKUP(B848,CASOPOInvCL!$B$1:$D$1600,1,FALSE)</f>
        <v>SO17926</v>
      </c>
      <c r="T848">
        <f t="shared" si="13"/>
        <v>9</v>
      </c>
    </row>
    <row r="849" spans="1:20" x14ac:dyDescent="0.25">
      <c r="A849" s="2">
        <v>1</v>
      </c>
      <c r="B849" s="2" t="s">
        <v>531</v>
      </c>
      <c r="C849" s="2" t="s">
        <v>532</v>
      </c>
      <c r="D849" s="2" t="s">
        <v>109</v>
      </c>
      <c r="E849" s="3">
        <v>45926.433946759258</v>
      </c>
      <c r="F849" s="3">
        <v>45926.660405092603</v>
      </c>
      <c r="G849" s="4">
        <v>45929</v>
      </c>
      <c r="H849" s="2" t="s">
        <v>21</v>
      </c>
      <c r="I849" s="2" t="s">
        <v>51</v>
      </c>
      <c r="J849" s="2">
        <v>0.71817576144916317</v>
      </c>
      <c r="K849" s="2">
        <v>10938.227689763189</v>
      </c>
      <c r="L849" s="2">
        <v>0</v>
      </c>
      <c r="M849" s="2">
        <v>7855.57</v>
      </c>
      <c r="N849" s="2">
        <v>7855.57</v>
      </c>
      <c r="O849" s="2"/>
      <c r="P849" s="2">
        <v>7855.57</v>
      </c>
      <c r="Q849" s="2" t="s">
        <v>44</v>
      </c>
      <c r="R849" s="2"/>
      <c r="S849" t="str">
        <f>VLOOKUP(B849,CASOPOInvCL!$B$1:$D$1600,1,FALSE)</f>
        <v>SO17928</v>
      </c>
      <c r="T849">
        <f t="shared" si="13"/>
        <v>9</v>
      </c>
    </row>
    <row r="850" spans="1:20" x14ac:dyDescent="0.25">
      <c r="A850" s="2">
        <v>2</v>
      </c>
      <c r="B850" s="2" t="s">
        <v>542</v>
      </c>
      <c r="C850" s="2" t="s">
        <v>543</v>
      </c>
      <c r="D850" s="2" t="s">
        <v>129</v>
      </c>
      <c r="E850" s="3">
        <v>45926.499212962961</v>
      </c>
      <c r="F850" s="3">
        <v>45926.49796296296</v>
      </c>
      <c r="G850" s="4">
        <v>45982</v>
      </c>
      <c r="H850" s="2" t="s">
        <v>328</v>
      </c>
      <c r="I850" s="2" t="s">
        <v>51</v>
      </c>
      <c r="J850" s="2">
        <v>0.71817576144916317</v>
      </c>
      <c r="K850" s="2">
        <v>2575.971091348164</v>
      </c>
      <c r="L850" s="2">
        <v>0</v>
      </c>
      <c r="M850" s="2">
        <v>1850</v>
      </c>
      <c r="N850" s="2">
        <v>1850</v>
      </c>
      <c r="O850" s="2"/>
      <c r="P850" s="2">
        <v>1850</v>
      </c>
      <c r="Q850" s="2" t="s">
        <v>44</v>
      </c>
      <c r="R850" s="2"/>
      <c r="S850" t="str">
        <f>VLOOKUP(B850,CASOPOInvCL!$B$1:$D$1600,1,FALSE)</f>
        <v>SO17930</v>
      </c>
      <c r="T850">
        <f t="shared" si="13"/>
        <v>9</v>
      </c>
    </row>
    <row r="851" spans="1:20" x14ac:dyDescent="0.25">
      <c r="A851" s="2">
        <v>1</v>
      </c>
      <c r="B851" s="2" t="s">
        <v>540</v>
      </c>
      <c r="C851" s="2" t="s">
        <v>541</v>
      </c>
      <c r="D851" s="2" t="s">
        <v>54</v>
      </c>
      <c r="E851" s="3">
        <v>45926.503379629627</v>
      </c>
      <c r="F851" s="3">
        <v>45926.503668981481</v>
      </c>
      <c r="G851" s="4">
        <v>45929</v>
      </c>
      <c r="H851" s="2" t="s">
        <v>21</v>
      </c>
      <c r="I851" s="2" t="s">
        <v>22</v>
      </c>
      <c r="J851" s="2">
        <v>1</v>
      </c>
      <c r="K851" s="2">
        <v>1849.22</v>
      </c>
      <c r="L851" s="2">
        <v>0</v>
      </c>
      <c r="M851" s="2">
        <v>1325.8678137394661</v>
      </c>
      <c r="N851" s="2">
        <v>1761.16</v>
      </c>
      <c r="O851" s="2">
        <v>88.06</v>
      </c>
      <c r="P851" s="2">
        <v>1849.22</v>
      </c>
      <c r="Q851" s="2" t="s">
        <v>44</v>
      </c>
      <c r="R851" s="2"/>
      <c r="S851" t="str">
        <f>VLOOKUP(B851,CASOPOInvCL!$B$1:$D$1600,1,FALSE)</f>
        <v>SO17931</v>
      </c>
      <c r="T851">
        <f t="shared" si="13"/>
        <v>9</v>
      </c>
    </row>
    <row r="852" spans="1:20" x14ac:dyDescent="0.25">
      <c r="A852" s="2">
        <v>1</v>
      </c>
      <c r="B852" s="2" t="s">
        <v>539</v>
      </c>
      <c r="C852" s="2"/>
      <c r="D852" s="2" t="s">
        <v>129</v>
      </c>
      <c r="E852" s="3">
        <v>45926.511655092603</v>
      </c>
      <c r="F852" s="3">
        <v>45926.510023148148</v>
      </c>
      <c r="G852" s="4">
        <v>45982</v>
      </c>
      <c r="H852" s="2" t="s">
        <v>328</v>
      </c>
      <c r="I852" s="2" t="s">
        <v>51</v>
      </c>
      <c r="J852" s="2">
        <v>0.71817576144916317</v>
      </c>
      <c r="K852" s="2">
        <v>4163.3262503410879</v>
      </c>
      <c r="L852" s="2">
        <v>0</v>
      </c>
      <c r="M852" s="2">
        <v>2990</v>
      </c>
      <c r="N852" s="2">
        <v>2990</v>
      </c>
      <c r="O852" s="2"/>
      <c r="P852" s="2">
        <v>2990</v>
      </c>
      <c r="Q852" s="2" t="s">
        <v>44</v>
      </c>
      <c r="R852" s="2"/>
      <c r="S852" t="str">
        <f>VLOOKUP(B852,CASOPOInvCL!$B$1:$D$1600,1,FALSE)</f>
        <v>SO17932</v>
      </c>
      <c r="T852">
        <f t="shared" si="13"/>
        <v>9</v>
      </c>
    </row>
    <row r="853" spans="1:20" x14ac:dyDescent="0.25">
      <c r="A853" s="2">
        <v>1</v>
      </c>
      <c r="B853" s="2" t="s">
        <v>529</v>
      </c>
      <c r="C853" s="2" t="s">
        <v>530</v>
      </c>
      <c r="D853" s="2" t="s">
        <v>129</v>
      </c>
      <c r="E853" s="3">
        <v>45926.813831018517</v>
      </c>
      <c r="F853" s="3">
        <v>45926.813275462962</v>
      </c>
      <c r="G853" s="4">
        <v>45978</v>
      </c>
      <c r="H853" s="2" t="s">
        <v>130</v>
      </c>
      <c r="I853" s="2" t="s">
        <v>51</v>
      </c>
      <c r="J853" s="2">
        <v>0.71817576144916317</v>
      </c>
      <c r="K853" s="2">
        <v>1378.492638072802</v>
      </c>
      <c r="L853" s="2">
        <v>0</v>
      </c>
      <c r="M853" s="2">
        <v>990</v>
      </c>
      <c r="N853" s="2">
        <v>990</v>
      </c>
      <c r="O853" s="2"/>
      <c r="P853" s="2">
        <v>990</v>
      </c>
      <c r="Q853" s="2" t="s">
        <v>44</v>
      </c>
      <c r="R853" s="2"/>
      <c r="S853" t="str">
        <f>VLOOKUP(B853,CASOPOInvCL!$B$1:$D$1600,1,FALSE)</f>
        <v>SO17937</v>
      </c>
      <c r="T853">
        <f t="shared" si="13"/>
        <v>9</v>
      </c>
    </row>
    <row r="854" spans="1:20" x14ac:dyDescent="0.25">
      <c r="A854" s="2">
        <v>1</v>
      </c>
      <c r="B854" s="2" t="s">
        <v>514</v>
      </c>
      <c r="C854" s="2" t="s">
        <v>515</v>
      </c>
      <c r="D854" s="2" t="s">
        <v>54</v>
      </c>
      <c r="E854" s="3">
        <v>45929.458703703713</v>
      </c>
      <c r="F854" s="3">
        <v>45930.702719907407</v>
      </c>
      <c r="G854" s="4">
        <v>45931</v>
      </c>
      <c r="H854" s="2" t="s">
        <v>21</v>
      </c>
      <c r="I854" s="2" t="s">
        <v>22</v>
      </c>
      <c r="J854" s="2">
        <v>1</v>
      </c>
      <c r="K854" s="2">
        <v>486.21</v>
      </c>
      <c r="L854" s="2">
        <v>0</v>
      </c>
      <c r="M854" s="2">
        <v>349.04393806074461</v>
      </c>
      <c r="N854" s="2">
        <v>463.06</v>
      </c>
      <c r="O854" s="2">
        <v>23.15</v>
      </c>
      <c r="P854" s="2">
        <v>486.21</v>
      </c>
      <c r="Q854" s="2" t="s">
        <v>44</v>
      </c>
      <c r="R854" s="2"/>
      <c r="S854" t="str">
        <f>VLOOKUP(B854,CASOPOInvCL!$B$1:$D$1600,1,FALSE)</f>
        <v>SO17938</v>
      </c>
      <c r="T854">
        <f t="shared" si="13"/>
        <v>9</v>
      </c>
    </row>
    <row r="855" spans="1:20" ht="30" x14ac:dyDescent="0.25">
      <c r="A855" s="2">
        <v>2</v>
      </c>
      <c r="B855" s="2" t="s">
        <v>362</v>
      </c>
      <c r="C855" s="2" t="s">
        <v>363</v>
      </c>
      <c r="D855" s="2" t="s">
        <v>159</v>
      </c>
      <c r="E855" s="3">
        <v>45929.461099537039</v>
      </c>
      <c r="F855" s="3">
        <v>45952.662893518522</v>
      </c>
      <c r="G855" s="2"/>
      <c r="H855" s="2" t="s">
        <v>40</v>
      </c>
      <c r="I855" s="2" t="s">
        <v>51</v>
      </c>
      <c r="J855" s="2">
        <v>0.71272450667255238</v>
      </c>
      <c r="K855" s="2">
        <v>8962.1725367928775</v>
      </c>
      <c r="L855" s="2">
        <v>0</v>
      </c>
      <c r="M855" s="2">
        <v>6387.56</v>
      </c>
      <c r="N855" s="2">
        <v>6387.56</v>
      </c>
      <c r="O855" s="2"/>
      <c r="P855" s="2">
        <v>6387.56</v>
      </c>
      <c r="Q855" s="2" t="s">
        <v>44</v>
      </c>
      <c r="R855" s="2"/>
      <c r="S855" t="str">
        <f>VLOOKUP(B855,CASOPOInvCL!$B$1:$D$1600,1,FALSE)</f>
        <v>SO17939</v>
      </c>
      <c r="T855">
        <f t="shared" si="13"/>
        <v>9</v>
      </c>
    </row>
    <row r="856" spans="1:20" x14ac:dyDescent="0.25">
      <c r="A856" s="2">
        <v>1</v>
      </c>
      <c r="B856" s="2" t="s">
        <v>525</v>
      </c>
      <c r="C856" s="2" t="s">
        <v>526</v>
      </c>
      <c r="D856" s="2" t="s">
        <v>242</v>
      </c>
      <c r="E856" s="3">
        <v>45929.522847222222</v>
      </c>
      <c r="F856" s="3">
        <v>45929.72384259259</v>
      </c>
      <c r="G856" s="4">
        <v>45936</v>
      </c>
      <c r="H856" s="2" t="s">
        <v>36</v>
      </c>
      <c r="I856" s="2" t="s">
        <v>22</v>
      </c>
      <c r="J856" s="2">
        <v>1</v>
      </c>
      <c r="K856" s="2">
        <v>2758.72</v>
      </c>
      <c r="L856" s="2">
        <v>0</v>
      </c>
      <c r="M856" s="2">
        <v>1983.990676461091</v>
      </c>
      <c r="N856" s="2">
        <v>2627.35</v>
      </c>
      <c r="O856" s="2">
        <v>131.37</v>
      </c>
      <c r="P856" s="2">
        <v>2758.72</v>
      </c>
      <c r="Q856" s="2" t="s">
        <v>44</v>
      </c>
      <c r="R856" s="2"/>
      <c r="S856" t="str">
        <f>VLOOKUP(B856,CASOPOInvCL!$B$1:$D$1600,1,FALSE)</f>
        <v>SO17941</v>
      </c>
      <c r="T856">
        <f t="shared" si="13"/>
        <v>9</v>
      </c>
    </row>
    <row r="857" spans="1:20" x14ac:dyDescent="0.25">
      <c r="A857" s="2">
        <v>1</v>
      </c>
      <c r="B857" s="2" t="s">
        <v>510</v>
      </c>
      <c r="C857" s="2" t="s">
        <v>511</v>
      </c>
      <c r="D857" s="2" t="s">
        <v>242</v>
      </c>
      <c r="E857" s="3">
        <v>45929.547326388893</v>
      </c>
      <c r="F857" s="3">
        <v>45931.599930555552</v>
      </c>
      <c r="G857" s="4">
        <v>45940</v>
      </c>
      <c r="H857" s="2" t="s">
        <v>74</v>
      </c>
      <c r="I857" s="2" t="s">
        <v>22</v>
      </c>
      <c r="J857" s="2">
        <v>1</v>
      </c>
      <c r="K857" s="2">
        <v>177.02</v>
      </c>
      <c r="L857" s="2">
        <v>0</v>
      </c>
      <c r="M857" s="2">
        <v>126.8978436380894</v>
      </c>
      <c r="N857" s="2">
        <v>168.59</v>
      </c>
      <c r="O857" s="2">
        <v>8.43</v>
      </c>
      <c r="P857" s="2">
        <v>177.02</v>
      </c>
      <c r="Q857" s="2" t="s">
        <v>44</v>
      </c>
      <c r="R857" s="2"/>
      <c r="S857" t="str">
        <f>VLOOKUP(B857,CASOPOInvCL!$B$1:$D$1600,1,FALSE)</f>
        <v>SO17942</v>
      </c>
      <c r="T857">
        <f t="shared" si="13"/>
        <v>9</v>
      </c>
    </row>
    <row r="858" spans="1:20" x14ac:dyDescent="0.25">
      <c r="A858" s="2">
        <v>1</v>
      </c>
      <c r="B858" s="2" t="s">
        <v>489</v>
      </c>
      <c r="C858" s="2" t="s">
        <v>490</v>
      </c>
      <c r="D858" s="2" t="s">
        <v>39</v>
      </c>
      <c r="E858" s="3">
        <v>45929.639178240737</v>
      </c>
      <c r="F858" s="3">
        <v>45932.768784722219</v>
      </c>
      <c r="G858" s="4">
        <v>45939</v>
      </c>
      <c r="H858" s="2" t="s">
        <v>36</v>
      </c>
      <c r="I858" s="2" t="s">
        <v>22</v>
      </c>
      <c r="J858" s="2">
        <v>1</v>
      </c>
      <c r="K858" s="2">
        <v>5540.37</v>
      </c>
      <c r="L858" s="2">
        <v>0</v>
      </c>
      <c r="M858" s="2">
        <v>3963.9720676556408</v>
      </c>
      <c r="N858" s="2">
        <v>5276.54</v>
      </c>
      <c r="O858" s="2">
        <v>263.83</v>
      </c>
      <c r="P858" s="2">
        <v>5540.37</v>
      </c>
      <c r="Q858" s="2" t="s">
        <v>44</v>
      </c>
      <c r="R858" s="2"/>
      <c r="S858" t="str">
        <f>VLOOKUP(B858,CASOPOInvCL!$B$1:$D$1600,1,FALSE)</f>
        <v>SO17944</v>
      </c>
      <c r="T858">
        <f t="shared" si="13"/>
        <v>9</v>
      </c>
    </row>
    <row r="859" spans="1:20" x14ac:dyDescent="0.25">
      <c r="A859" s="2">
        <v>1</v>
      </c>
      <c r="B859" s="2" t="s">
        <v>523</v>
      </c>
      <c r="C859" s="2" t="s">
        <v>524</v>
      </c>
      <c r="D859" s="2" t="s">
        <v>20</v>
      </c>
      <c r="E859" s="3">
        <v>45929.763703703713</v>
      </c>
      <c r="F859" s="3">
        <v>45929.7653587963</v>
      </c>
      <c r="G859" s="4">
        <v>45936</v>
      </c>
      <c r="H859" s="2" t="s">
        <v>36</v>
      </c>
      <c r="I859" s="2" t="s">
        <v>22</v>
      </c>
      <c r="J859" s="2">
        <v>1</v>
      </c>
      <c r="K859" s="2">
        <v>1004.5</v>
      </c>
      <c r="L859" s="2">
        <v>0</v>
      </c>
      <c r="M859" s="2">
        <v>722.40699835618193</v>
      </c>
      <c r="N859" s="2">
        <v>956.66</v>
      </c>
      <c r="O859" s="2">
        <v>47.84</v>
      </c>
      <c r="P859" s="2">
        <v>1004.5</v>
      </c>
      <c r="Q859" s="2" t="s">
        <v>44</v>
      </c>
      <c r="R859" s="2"/>
      <c r="S859" t="str">
        <f>VLOOKUP(B859,CASOPOInvCL!$B$1:$D$1600,1,FALSE)</f>
        <v>SO17945</v>
      </c>
      <c r="T859">
        <f t="shared" si="13"/>
        <v>9</v>
      </c>
    </row>
    <row r="860" spans="1:20" x14ac:dyDescent="0.25">
      <c r="A860" s="2">
        <v>1</v>
      </c>
      <c r="B860" s="2" t="s">
        <v>521</v>
      </c>
      <c r="C860" s="2" t="s">
        <v>522</v>
      </c>
      <c r="D860" s="2" t="s">
        <v>129</v>
      </c>
      <c r="E860" s="3">
        <v>45929.766643518517</v>
      </c>
      <c r="F860" s="3">
        <v>45929.76666666667</v>
      </c>
      <c r="G860" s="4">
        <v>45930</v>
      </c>
      <c r="H860" s="2" t="s">
        <v>130</v>
      </c>
      <c r="I860" s="2" t="s">
        <v>51</v>
      </c>
      <c r="J860" s="2">
        <v>0.71776007247498441</v>
      </c>
      <c r="K860" s="2">
        <v>1345.8536313799591</v>
      </c>
      <c r="L860" s="2">
        <v>0</v>
      </c>
      <c r="M860" s="2">
        <v>966</v>
      </c>
      <c r="N860" s="2">
        <v>966</v>
      </c>
      <c r="O860" s="2"/>
      <c r="P860" s="2">
        <v>966</v>
      </c>
      <c r="Q860" s="2" t="s">
        <v>44</v>
      </c>
      <c r="R860" s="2"/>
      <c r="S860" t="str">
        <f>VLOOKUP(B860,CASOPOInvCL!$B$1:$D$1600,1,FALSE)</f>
        <v>SO17946</v>
      </c>
      <c r="T860">
        <f t="shared" si="13"/>
        <v>9</v>
      </c>
    </row>
    <row r="861" spans="1:20" ht="30" x14ac:dyDescent="0.25">
      <c r="A861" s="2">
        <v>3</v>
      </c>
      <c r="B861" s="2" t="s">
        <v>519</v>
      </c>
      <c r="C861" s="2" t="s">
        <v>520</v>
      </c>
      <c r="D861" s="2" t="s">
        <v>159</v>
      </c>
      <c r="E861" s="3">
        <v>45930.307685185187</v>
      </c>
      <c r="F861" s="3">
        <v>45930.423263888893</v>
      </c>
      <c r="G861" s="4">
        <v>46056</v>
      </c>
      <c r="H861" s="2" t="s">
        <v>40</v>
      </c>
      <c r="I861" s="2" t="s">
        <v>51</v>
      </c>
      <c r="J861" s="2">
        <v>0.71917073007086307</v>
      </c>
      <c r="K861" s="2">
        <v>343554.47137796431</v>
      </c>
      <c r="L861" s="2">
        <v>0</v>
      </c>
      <c r="M861" s="2">
        <v>247074.32</v>
      </c>
      <c r="N861" s="2">
        <v>247074.32</v>
      </c>
      <c r="O861" s="2"/>
      <c r="P861" s="2">
        <v>247074.32</v>
      </c>
      <c r="Q861" s="2" t="s">
        <v>29</v>
      </c>
      <c r="R861" s="2"/>
      <c r="S861" t="str">
        <f>VLOOKUP(B861,CASOPOInvCL!$B$1:$D$1600,1,FALSE)</f>
        <v>SO17947</v>
      </c>
      <c r="T861">
        <f t="shared" si="13"/>
        <v>9</v>
      </c>
    </row>
    <row r="862" spans="1:20" x14ac:dyDescent="0.25">
      <c r="A862" s="2">
        <v>1</v>
      </c>
      <c r="B862" s="2" t="s">
        <v>345</v>
      </c>
      <c r="C862" s="2" t="s">
        <v>346</v>
      </c>
      <c r="D862" s="2" t="s">
        <v>50</v>
      </c>
      <c r="E862" s="3">
        <v>45931.573622685188</v>
      </c>
      <c r="F862" s="3">
        <v>45954.572615740741</v>
      </c>
      <c r="G862" s="4">
        <v>45989</v>
      </c>
      <c r="H862" s="2" t="s">
        <v>36</v>
      </c>
      <c r="I862" s="2" t="s">
        <v>51</v>
      </c>
      <c r="J862" s="2">
        <v>0.71357793270228831</v>
      </c>
      <c r="K862" s="2">
        <v>3091.4633131184069</v>
      </c>
      <c r="L862" s="2">
        <v>0</v>
      </c>
      <c r="M862" s="2">
        <v>2206</v>
      </c>
      <c r="N862" s="2">
        <v>2206</v>
      </c>
      <c r="O862" s="2"/>
      <c r="P862" s="2">
        <v>2206</v>
      </c>
      <c r="Q862" s="2" t="s">
        <v>44</v>
      </c>
      <c r="R862" s="2"/>
      <c r="S862" t="str">
        <f>VLOOKUP(B862,CASOPOInvCL!$B$1:$D$1600,1,FALSE)</f>
        <v>SO17953</v>
      </c>
      <c r="T862">
        <f t="shared" si="13"/>
        <v>10</v>
      </c>
    </row>
    <row r="863" spans="1:20" x14ac:dyDescent="0.25">
      <c r="A863" s="2">
        <v>1</v>
      </c>
      <c r="B863" s="2" t="s">
        <v>505</v>
      </c>
      <c r="C863" s="2" t="s">
        <v>506</v>
      </c>
      <c r="D863" s="2" t="s">
        <v>229</v>
      </c>
      <c r="E863" s="3">
        <v>45931.76290509259</v>
      </c>
      <c r="F863" s="3">
        <v>45931.761886574073</v>
      </c>
      <c r="G863" s="4">
        <v>46048</v>
      </c>
      <c r="H863" s="2" t="s">
        <v>36</v>
      </c>
      <c r="I863" s="2" t="s">
        <v>22</v>
      </c>
      <c r="J863" s="2">
        <v>1</v>
      </c>
      <c r="K863" s="2">
        <v>1506.75</v>
      </c>
      <c r="L863" s="2">
        <v>0</v>
      </c>
      <c r="M863" s="2">
        <v>1080.122731339347</v>
      </c>
      <c r="N863" s="2">
        <v>1435</v>
      </c>
      <c r="O863" s="2">
        <v>71.75</v>
      </c>
      <c r="P863" s="2">
        <v>1506.75</v>
      </c>
      <c r="Q863" s="2" t="s">
        <v>44</v>
      </c>
      <c r="R863" s="2"/>
      <c r="S863" t="str">
        <f>VLOOKUP(B863,CASOPOInvCL!$B$1:$D$1600,1,FALSE)</f>
        <v>SO17954</v>
      </c>
      <c r="T863">
        <f t="shared" si="13"/>
        <v>10</v>
      </c>
    </row>
    <row r="864" spans="1:20" x14ac:dyDescent="0.25">
      <c r="A864" s="2">
        <v>1</v>
      </c>
      <c r="B864" s="2" t="s">
        <v>496</v>
      </c>
      <c r="C864" s="2" t="s">
        <v>497</v>
      </c>
      <c r="D864" s="2" t="s">
        <v>465</v>
      </c>
      <c r="E864" s="3">
        <v>45932.348275462973</v>
      </c>
      <c r="F864" s="3">
        <v>45932.592523148152</v>
      </c>
      <c r="G864" s="4">
        <v>45950</v>
      </c>
      <c r="H864" s="2" t="s">
        <v>21</v>
      </c>
      <c r="I864" s="2" t="s">
        <v>22</v>
      </c>
      <c r="J864" s="2">
        <v>1</v>
      </c>
      <c r="K864" s="2">
        <v>1988.36</v>
      </c>
      <c r="L864" s="2">
        <v>0</v>
      </c>
      <c r="M864" s="2">
        <v>1422.6132010035019</v>
      </c>
      <c r="N864" s="2">
        <v>1759.61</v>
      </c>
      <c r="O864" s="2">
        <v>228.75</v>
      </c>
      <c r="P864" s="2">
        <v>1988.36</v>
      </c>
      <c r="Q864" s="2" t="s">
        <v>44</v>
      </c>
      <c r="R864" s="2"/>
      <c r="S864" t="str">
        <f>VLOOKUP(B864,CASOPOInvCL!$B$1:$D$1600,1,FALSE)</f>
        <v>SO17956</v>
      </c>
      <c r="T864">
        <f t="shared" si="13"/>
        <v>10</v>
      </c>
    </row>
    <row r="865" spans="1:20" x14ac:dyDescent="0.25">
      <c r="A865" s="2">
        <v>1</v>
      </c>
      <c r="B865" s="2" t="s">
        <v>503</v>
      </c>
      <c r="C865" s="2" t="s">
        <v>504</v>
      </c>
      <c r="D865" s="2" t="s">
        <v>121</v>
      </c>
      <c r="E865" s="3">
        <v>45932.420173611114</v>
      </c>
      <c r="F865" s="3">
        <v>45932.434895833343</v>
      </c>
      <c r="G865" s="4">
        <v>45936</v>
      </c>
      <c r="H865" s="2" t="s">
        <v>40</v>
      </c>
      <c r="I865" s="2" t="s">
        <v>22</v>
      </c>
      <c r="J865" s="2">
        <v>1</v>
      </c>
      <c r="K865" s="2">
        <v>3360.7</v>
      </c>
      <c r="L865" s="2">
        <v>0</v>
      </c>
      <c r="M865" s="2">
        <v>2404.482178585602</v>
      </c>
      <c r="N865" s="2">
        <v>3200.66</v>
      </c>
      <c r="O865" s="2">
        <v>160.04</v>
      </c>
      <c r="P865" s="2">
        <v>3360.7</v>
      </c>
      <c r="Q865" s="2" t="s">
        <v>44</v>
      </c>
      <c r="R865" s="2"/>
      <c r="S865" t="str">
        <f>VLOOKUP(B865,CASOPOInvCL!$B$1:$D$1600,1,FALSE)</f>
        <v>SO17957</v>
      </c>
      <c r="T865">
        <f t="shared" si="13"/>
        <v>10</v>
      </c>
    </row>
    <row r="866" spans="1:20" ht="30" x14ac:dyDescent="0.25">
      <c r="A866" s="2">
        <v>1</v>
      </c>
      <c r="B866" s="2" t="s">
        <v>500</v>
      </c>
      <c r="C866" s="2" t="s">
        <v>501</v>
      </c>
      <c r="D866" s="2" t="s">
        <v>502</v>
      </c>
      <c r="E866" s="3">
        <v>45932.435925925929</v>
      </c>
      <c r="F866" s="3">
        <v>45932.436655092592</v>
      </c>
      <c r="G866" s="4">
        <v>45939</v>
      </c>
      <c r="H866" s="2" t="s">
        <v>21</v>
      </c>
      <c r="I866" s="2" t="s">
        <v>22</v>
      </c>
      <c r="J866" s="2">
        <v>1</v>
      </c>
      <c r="K866" s="2">
        <v>1570.3</v>
      </c>
      <c r="L866" s="2">
        <v>0</v>
      </c>
      <c r="M866" s="2">
        <v>1123.5035454021399</v>
      </c>
      <c r="N866" s="2">
        <v>1495.52</v>
      </c>
      <c r="O866" s="2">
        <v>74.78</v>
      </c>
      <c r="P866" s="2">
        <v>1570.3</v>
      </c>
      <c r="Q866" s="2" t="s">
        <v>44</v>
      </c>
      <c r="R866" s="2"/>
      <c r="S866" t="str">
        <f>VLOOKUP(B866,CASOPOInvCL!$B$1:$D$1600,1,FALSE)</f>
        <v>SO17958</v>
      </c>
      <c r="T866">
        <f t="shared" si="13"/>
        <v>10</v>
      </c>
    </row>
    <row r="867" spans="1:20" x14ac:dyDescent="0.25">
      <c r="A867" s="2">
        <v>1</v>
      </c>
      <c r="B867" s="2" t="s">
        <v>498</v>
      </c>
      <c r="C867" s="2" t="s">
        <v>499</v>
      </c>
      <c r="D867" s="2" t="s">
        <v>89</v>
      </c>
      <c r="E867" s="3">
        <v>45932.501527777778</v>
      </c>
      <c r="F867" s="3">
        <v>45932.4999537037</v>
      </c>
      <c r="G867" s="4">
        <v>45953</v>
      </c>
      <c r="H867" s="2" t="s">
        <v>36</v>
      </c>
      <c r="I867" s="2" t="s">
        <v>22</v>
      </c>
      <c r="J867" s="2">
        <v>1</v>
      </c>
      <c r="K867" s="2">
        <v>663</v>
      </c>
      <c r="L867" s="2">
        <v>0</v>
      </c>
      <c r="M867" s="2">
        <v>474.35703407095377</v>
      </c>
      <c r="N867" s="2">
        <v>663</v>
      </c>
      <c r="O867" s="2"/>
      <c r="P867" s="2">
        <v>663</v>
      </c>
      <c r="Q867" s="2" t="s">
        <v>44</v>
      </c>
      <c r="R867" s="2"/>
      <c r="S867" t="str">
        <f>VLOOKUP(B867,CASOPOInvCL!$B$1:$D$1600,1,FALSE)</f>
        <v>SO17959</v>
      </c>
      <c r="T867">
        <f t="shared" si="13"/>
        <v>10</v>
      </c>
    </row>
    <row r="868" spans="1:20" x14ac:dyDescent="0.25">
      <c r="A868" s="2">
        <v>1</v>
      </c>
      <c r="B868" s="2" t="s">
        <v>491</v>
      </c>
      <c r="C868" s="2" t="s">
        <v>492</v>
      </c>
      <c r="D868" s="2" t="s">
        <v>316</v>
      </c>
      <c r="E868" s="3">
        <v>45932.542534722219</v>
      </c>
      <c r="F868" s="3">
        <v>45932.757662037038</v>
      </c>
      <c r="G868" s="4">
        <v>45939</v>
      </c>
      <c r="H868" s="2" t="s">
        <v>21</v>
      </c>
      <c r="I868" s="2" t="s">
        <v>22</v>
      </c>
      <c r="J868" s="2">
        <v>1</v>
      </c>
      <c r="K868" s="2">
        <v>391.77</v>
      </c>
      <c r="L868" s="2">
        <v>0</v>
      </c>
      <c r="M868" s="2">
        <v>280.29993248563733</v>
      </c>
      <c r="N868" s="2">
        <v>373.11</v>
      </c>
      <c r="O868" s="2">
        <v>18.66</v>
      </c>
      <c r="P868" s="2">
        <v>391.77</v>
      </c>
      <c r="Q868" s="2" t="s">
        <v>44</v>
      </c>
      <c r="R868" s="2"/>
      <c r="S868" t="str">
        <f>VLOOKUP(B868,CASOPOInvCL!$B$1:$D$1600,1,FALSE)</f>
        <v>SO17962</v>
      </c>
      <c r="T868">
        <f t="shared" si="13"/>
        <v>10</v>
      </c>
    </row>
    <row r="869" spans="1:20" x14ac:dyDescent="0.25">
      <c r="A869" s="2">
        <v>1</v>
      </c>
      <c r="B869" s="2" t="s">
        <v>487</v>
      </c>
      <c r="C869" s="2" t="s">
        <v>488</v>
      </c>
      <c r="D869" s="2" t="s">
        <v>465</v>
      </c>
      <c r="E869" s="3">
        <v>45933.353888888887</v>
      </c>
      <c r="F869" s="3">
        <v>45933.385046296287</v>
      </c>
      <c r="G869" s="4">
        <v>45936</v>
      </c>
      <c r="H869" s="2" t="s">
        <v>40</v>
      </c>
      <c r="I869" s="2" t="s">
        <v>22</v>
      </c>
      <c r="J869" s="2">
        <v>1</v>
      </c>
      <c r="K869" s="2">
        <v>344.29</v>
      </c>
      <c r="L869" s="2">
        <v>0</v>
      </c>
      <c r="M869" s="2">
        <v>246.85032511247331</v>
      </c>
      <c r="N869" s="2">
        <v>304.68</v>
      </c>
      <c r="O869" s="2">
        <v>39.61</v>
      </c>
      <c r="P869" s="2">
        <v>344.29</v>
      </c>
      <c r="Q869" s="2" t="s">
        <v>44</v>
      </c>
      <c r="R869" s="2"/>
      <c r="S869" t="str">
        <f>VLOOKUP(B869,CASOPOInvCL!$B$1:$D$1600,1,FALSE)</f>
        <v>SO17964</v>
      </c>
      <c r="T869">
        <f t="shared" si="13"/>
        <v>10</v>
      </c>
    </row>
    <row r="870" spans="1:20" x14ac:dyDescent="0.25">
      <c r="A870" s="2">
        <v>0</v>
      </c>
      <c r="B870" s="2" t="s">
        <v>6178</v>
      </c>
      <c r="C870" s="2" t="s">
        <v>6179</v>
      </c>
      <c r="D870" s="2" t="s">
        <v>141</v>
      </c>
      <c r="E870" s="3">
        <v>45933.489664351851</v>
      </c>
      <c r="F870" s="3">
        <v>46008.38453703704</v>
      </c>
      <c r="G870" s="4">
        <v>46036</v>
      </c>
      <c r="H870" s="2" t="s">
        <v>21</v>
      </c>
      <c r="I870" s="2" t="s">
        <v>51</v>
      </c>
      <c r="J870" s="2">
        <v>0.72641002219915185</v>
      </c>
      <c r="K870" s="2">
        <v>3860.078900771633</v>
      </c>
      <c r="L870" s="2">
        <v>0</v>
      </c>
      <c r="M870" s="2">
        <v>2804</v>
      </c>
      <c r="N870" s="2">
        <v>2804</v>
      </c>
      <c r="O870" s="2"/>
      <c r="P870" s="2">
        <v>2804</v>
      </c>
      <c r="Q870" s="2" t="s">
        <v>29</v>
      </c>
      <c r="R870" s="2"/>
      <c r="S870" t="str">
        <f>VLOOKUP(B870,CASOPOInvCL!$B$1:$D$1600,1,FALSE)</f>
        <v>SO17965</v>
      </c>
      <c r="T870">
        <f t="shared" si="13"/>
        <v>10</v>
      </c>
    </row>
    <row r="871" spans="1:20" x14ac:dyDescent="0.25">
      <c r="A871" s="2">
        <v>1</v>
      </c>
      <c r="B871" s="2" t="s">
        <v>443</v>
      </c>
      <c r="C871" s="2" t="s">
        <v>444</v>
      </c>
      <c r="D871" s="2" t="s">
        <v>445</v>
      </c>
      <c r="E871" s="3">
        <v>45933.574467592603</v>
      </c>
      <c r="F871" s="3">
        <v>45939.60460648148</v>
      </c>
      <c r="G871" s="4">
        <v>45947</v>
      </c>
      <c r="H871" s="2" t="s">
        <v>74</v>
      </c>
      <c r="I871" s="2" t="s">
        <v>51</v>
      </c>
      <c r="J871" s="2">
        <v>0.71662274115503888</v>
      </c>
      <c r="K871" s="2">
        <v>21115.71281649607</v>
      </c>
      <c r="L871" s="2">
        <v>0</v>
      </c>
      <c r="M871" s="2">
        <v>15132</v>
      </c>
      <c r="N871" s="2">
        <v>15132</v>
      </c>
      <c r="O871" s="2"/>
      <c r="P871" s="2">
        <v>15132</v>
      </c>
      <c r="Q871" s="2" t="s">
        <v>44</v>
      </c>
      <c r="R871" s="2"/>
      <c r="S871" t="str">
        <f>VLOOKUP(B871,CASOPOInvCL!$B$1:$D$1600,1,FALSE)</f>
        <v>SO17966</v>
      </c>
      <c r="T871">
        <f t="shared" si="13"/>
        <v>10</v>
      </c>
    </row>
    <row r="872" spans="1:20" x14ac:dyDescent="0.25">
      <c r="A872" s="2">
        <v>1</v>
      </c>
      <c r="B872" s="2" t="s">
        <v>485</v>
      </c>
      <c r="C872" s="2" t="s">
        <v>486</v>
      </c>
      <c r="D872" s="2" t="s">
        <v>64</v>
      </c>
      <c r="E872" s="3">
        <v>45933.616828703707</v>
      </c>
      <c r="F872" s="3">
        <v>45933.624988425923</v>
      </c>
      <c r="G872" s="4">
        <v>45936</v>
      </c>
      <c r="H872" s="2" t="s">
        <v>21</v>
      </c>
      <c r="I872" s="2" t="s">
        <v>22</v>
      </c>
      <c r="J872" s="2">
        <v>1</v>
      </c>
      <c r="K872" s="2">
        <v>1418.24</v>
      </c>
      <c r="L872" s="2">
        <v>0</v>
      </c>
      <c r="M872" s="2">
        <v>1016.854991685829</v>
      </c>
      <c r="N872" s="2">
        <v>1255.08</v>
      </c>
      <c r="O872" s="2">
        <v>163.16</v>
      </c>
      <c r="P872" s="2">
        <v>1418.24</v>
      </c>
      <c r="Q872" s="2" t="s">
        <v>44</v>
      </c>
      <c r="R872" s="2"/>
      <c r="S872" t="str">
        <f>VLOOKUP(B872,CASOPOInvCL!$B$1:$D$1600,1,FALSE)</f>
        <v>SO17968</v>
      </c>
      <c r="T872">
        <f t="shared" si="13"/>
        <v>10</v>
      </c>
    </row>
    <row r="873" spans="1:20" x14ac:dyDescent="0.25">
      <c r="A873" s="2">
        <v>1</v>
      </c>
      <c r="B873" s="2" t="s">
        <v>483</v>
      </c>
      <c r="C873" s="2" t="s">
        <v>484</v>
      </c>
      <c r="D873" s="2" t="s">
        <v>26</v>
      </c>
      <c r="E873" s="3">
        <v>45933.726770833331</v>
      </c>
      <c r="F873" s="3">
        <v>45933.724976851852</v>
      </c>
      <c r="G873" s="4">
        <v>45950</v>
      </c>
      <c r="H873" s="2" t="s">
        <v>36</v>
      </c>
      <c r="I873" s="2" t="s">
        <v>22</v>
      </c>
      <c r="J873" s="2">
        <v>1</v>
      </c>
      <c r="K873" s="2">
        <v>803.27</v>
      </c>
      <c r="L873" s="2">
        <v>0</v>
      </c>
      <c r="M873" s="2">
        <v>575.93151312293833</v>
      </c>
      <c r="N873" s="2">
        <v>765.02</v>
      </c>
      <c r="O873" s="2">
        <v>38.25</v>
      </c>
      <c r="P873" s="2">
        <v>803.27</v>
      </c>
      <c r="Q873" s="2" t="s">
        <v>44</v>
      </c>
      <c r="R873" s="2"/>
      <c r="S873" t="str">
        <f>VLOOKUP(B873,CASOPOInvCL!$B$1:$D$1600,1,FALSE)</f>
        <v>SO17969</v>
      </c>
      <c r="T873">
        <f t="shared" si="13"/>
        <v>10</v>
      </c>
    </row>
    <row r="874" spans="1:20" x14ac:dyDescent="0.25">
      <c r="A874" s="2">
        <v>1</v>
      </c>
      <c r="B874" s="2" t="s">
        <v>461</v>
      </c>
      <c r="C874" s="2" t="s">
        <v>462</v>
      </c>
      <c r="D874" s="2" t="s">
        <v>64</v>
      </c>
      <c r="E874" s="3">
        <v>45936.363923611112</v>
      </c>
      <c r="F874" s="3">
        <v>45938.576435185183</v>
      </c>
      <c r="G874" s="4">
        <v>45940</v>
      </c>
      <c r="H874" s="2" t="s">
        <v>40</v>
      </c>
      <c r="I874" s="2" t="s">
        <v>22</v>
      </c>
      <c r="J874" s="2">
        <v>1</v>
      </c>
      <c r="K874" s="2">
        <v>237.3</v>
      </c>
      <c r="L874" s="2">
        <v>0</v>
      </c>
      <c r="M874" s="2">
        <v>170.05457647609069</v>
      </c>
      <c r="N874" s="2">
        <v>210</v>
      </c>
      <c r="O874" s="2">
        <v>27.3</v>
      </c>
      <c r="P874" s="2">
        <v>237.3</v>
      </c>
      <c r="Q874" s="2" t="s">
        <v>44</v>
      </c>
      <c r="R874" s="2"/>
      <c r="S874" t="str">
        <f>VLOOKUP(B874,CASOPOInvCL!$B$1:$D$1600,1,FALSE)</f>
        <v>SO17978</v>
      </c>
      <c r="T874">
        <f t="shared" si="13"/>
        <v>10</v>
      </c>
    </row>
    <row r="875" spans="1:20" x14ac:dyDescent="0.25">
      <c r="A875" s="2">
        <v>1</v>
      </c>
      <c r="B875" s="2" t="s">
        <v>481</v>
      </c>
      <c r="C875" s="2" t="s">
        <v>482</v>
      </c>
      <c r="D875" s="2" t="s">
        <v>121</v>
      </c>
      <c r="E875" s="3">
        <v>45936.426354166673</v>
      </c>
      <c r="F875" s="3">
        <v>45936.433055555557</v>
      </c>
      <c r="G875" s="4">
        <v>45938</v>
      </c>
      <c r="H875" s="2" t="s">
        <v>40</v>
      </c>
      <c r="I875" s="2" t="s">
        <v>22</v>
      </c>
      <c r="J875" s="2">
        <v>1</v>
      </c>
      <c r="K875" s="2">
        <v>1857.58</v>
      </c>
      <c r="L875" s="2">
        <v>0</v>
      </c>
      <c r="M875" s="2">
        <v>1331.8192166341139</v>
      </c>
      <c r="N875" s="2">
        <v>1769.12</v>
      </c>
      <c r="O875" s="2">
        <v>88.46</v>
      </c>
      <c r="P875" s="2">
        <v>1857.58</v>
      </c>
      <c r="Q875" s="2" t="s">
        <v>44</v>
      </c>
      <c r="R875" s="2"/>
      <c r="S875" t="str">
        <f>VLOOKUP(B875,CASOPOInvCL!$B$1:$D$1600,1,FALSE)</f>
        <v>SO17980</v>
      </c>
      <c r="T875">
        <f t="shared" si="13"/>
        <v>10</v>
      </c>
    </row>
    <row r="876" spans="1:20" x14ac:dyDescent="0.25">
      <c r="A876" s="2">
        <v>1</v>
      </c>
      <c r="B876" s="2" t="s">
        <v>479</v>
      </c>
      <c r="C876" s="2" t="s">
        <v>480</v>
      </c>
      <c r="D876" s="2" t="s">
        <v>141</v>
      </c>
      <c r="E876" s="3">
        <v>45936.474953703713</v>
      </c>
      <c r="F876" s="3">
        <v>45936.478831018518</v>
      </c>
      <c r="G876" s="4">
        <v>45937</v>
      </c>
      <c r="H876" s="2" t="s">
        <v>21</v>
      </c>
      <c r="I876" s="2" t="s">
        <v>51</v>
      </c>
      <c r="J876" s="2">
        <v>0.71619571643310909</v>
      </c>
      <c r="K876" s="2">
        <v>1367.363665447815</v>
      </c>
      <c r="L876" s="2">
        <v>0</v>
      </c>
      <c r="M876" s="2">
        <v>979.3</v>
      </c>
      <c r="N876" s="2">
        <v>979.3</v>
      </c>
      <c r="O876" s="2"/>
      <c r="P876" s="2">
        <v>979.3</v>
      </c>
      <c r="Q876" s="2" t="s">
        <v>44</v>
      </c>
      <c r="R876" s="2"/>
      <c r="S876" t="str">
        <f>VLOOKUP(B876,CASOPOInvCL!$B$1:$D$1600,1,FALSE)</f>
        <v>SO17981</v>
      </c>
      <c r="T876">
        <f t="shared" si="13"/>
        <v>10</v>
      </c>
    </row>
    <row r="877" spans="1:20" x14ac:dyDescent="0.25">
      <c r="A877" s="2">
        <v>1</v>
      </c>
      <c r="B877" s="2" t="s">
        <v>475</v>
      </c>
      <c r="C877" s="2" t="s">
        <v>476</v>
      </c>
      <c r="D877" s="2" t="s">
        <v>98</v>
      </c>
      <c r="E877" s="3">
        <v>45936.4843287037</v>
      </c>
      <c r="F877" s="3">
        <v>45937.364502314813</v>
      </c>
      <c r="G877" s="4">
        <v>45944</v>
      </c>
      <c r="H877" s="2" t="s">
        <v>74</v>
      </c>
      <c r="I877" s="2" t="s">
        <v>22</v>
      </c>
      <c r="J877" s="2">
        <v>1</v>
      </c>
      <c r="K877" s="2">
        <v>2714.99</v>
      </c>
      <c r="L877" s="2">
        <v>2714.99</v>
      </c>
      <c r="M877" s="2">
        <v>2714.99</v>
      </c>
      <c r="N877" s="2">
        <v>2402.65</v>
      </c>
      <c r="O877" s="2">
        <v>312.33999999999997</v>
      </c>
      <c r="P877" s="2">
        <v>2714.99</v>
      </c>
      <c r="Q877" s="2" t="s">
        <v>44</v>
      </c>
      <c r="R877" s="2"/>
      <c r="S877" t="str">
        <f>VLOOKUP(B877,CASOPOInvCL!$B$1:$D$1600,1,FALSE)</f>
        <v>SO17982</v>
      </c>
      <c r="T877">
        <f t="shared" si="13"/>
        <v>10</v>
      </c>
    </row>
    <row r="878" spans="1:20" x14ac:dyDescent="0.25">
      <c r="A878" s="2">
        <v>1</v>
      </c>
      <c r="B878" s="2" t="s">
        <v>477</v>
      </c>
      <c r="C878" s="2" t="s">
        <v>478</v>
      </c>
      <c r="D878" s="2" t="s">
        <v>141</v>
      </c>
      <c r="E878" s="3">
        <v>45936.497615740736</v>
      </c>
      <c r="F878" s="3">
        <v>45936.498194444437</v>
      </c>
      <c r="G878" s="4">
        <v>46006</v>
      </c>
      <c r="H878" s="2" t="s">
        <v>21</v>
      </c>
      <c r="I878" s="2" t="s">
        <v>51</v>
      </c>
      <c r="J878" s="2">
        <v>0.71619571643310909</v>
      </c>
      <c r="K878" s="2">
        <v>1020.572984770521</v>
      </c>
      <c r="L878" s="2">
        <v>0</v>
      </c>
      <c r="M878" s="2">
        <v>730.93</v>
      </c>
      <c r="N878" s="2">
        <v>730.93</v>
      </c>
      <c r="O878" s="2"/>
      <c r="P878" s="2">
        <v>730.93</v>
      </c>
      <c r="Q878" s="2" t="s">
        <v>44</v>
      </c>
      <c r="R878" s="2"/>
      <c r="S878" t="str">
        <f>VLOOKUP(B878,CASOPOInvCL!$B$1:$D$1600,1,FALSE)</f>
        <v>SO17983</v>
      </c>
      <c r="T878">
        <f t="shared" si="13"/>
        <v>10</v>
      </c>
    </row>
    <row r="879" spans="1:20" x14ac:dyDescent="0.25">
      <c r="A879" s="2">
        <v>1</v>
      </c>
      <c r="B879" s="2" t="s">
        <v>388</v>
      </c>
      <c r="C879" s="2" t="s">
        <v>389</v>
      </c>
      <c r="D879" s="2" t="s">
        <v>242</v>
      </c>
      <c r="E879" s="3">
        <v>45936.652407407397</v>
      </c>
      <c r="F879" s="3">
        <v>45946.538275462961</v>
      </c>
      <c r="G879" s="4">
        <v>45947</v>
      </c>
      <c r="H879" s="2" t="s">
        <v>40</v>
      </c>
      <c r="I879" s="2" t="s">
        <v>22</v>
      </c>
      <c r="J879" s="2">
        <v>1</v>
      </c>
      <c r="K879" s="2">
        <v>173.13</v>
      </c>
      <c r="L879" s="2">
        <v>0</v>
      </c>
      <c r="M879" s="2">
        <v>123.2481729135411</v>
      </c>
      <c r="N879" s="2">
        <v>164.89</v>
      </c>
      <c r="O879" s="2">
        <v>8.24</v>
      </c>
      <c r="P879" s="2">
        <v>173.13</v>
      </c>
      <c r="Q879" s="2" t="s">
        <v>44</v>
      </c>
      <c r="R879" s="2"/>
      <c r="S879" t="str">
        <f>VLOOKUP(B879,CASOPOInvCL!$B$1:$D$1600,1,FALSE)</f>
        <v>SO17985</v>
      </c>
      <c r="T879">
        <f t="shared" si="13"/>
        <v>10</v>
      </c>
    </row>
    <row r="880" spans="1:20" x14ac:dyDescent="0.25">
      <c r="A880" s="2">
        <v>1</v>
      </c>
      <c r="B880" s="2" t="s">
        <v>463</v>
      </c>
      <c r="C880" s="2" t="s">
        <v>464</v>
      </c>
      <c r="D880" s="2" t="s">
        <v>465</v>
      </c>
      <c r="E880" s="3">
        <v>45936.726087962961</v>
      </c>
      <c r="F880" s="3">
        <v>45938.460682870369</v>
      </c>
      <c r="G880" s="4">
        <v>45945</v>
      </c>
      <c r="H880" s="2" t="s">
        <v>21</v>
      </c>
      <c r="I880" s="2" t="s">
        <v>22</v>
      </c>
      <c r="J880" s="2">
        <v>1</v>
      </c>
      <c r="K880" s="2">
        <v>1995.92</v>
      </c>
      <c r="L880" s="2">
        <v>0</v>
      </c>
      <c r="M880" s="2">
        <v>1430.3216615261649</v>
      </c>
      <c r="N880" s="2">
        <v>1766.3</v>
      </c>
      <c r="O880" s="2">
        <v>229.62</v>
      </c>
      <c r="P880" s="2">
        <v>1995.92</v>
      </c>
      <c r="Q880" s="2" t="s">
        <v>44</v>
      </c>
      <c r="R880" s="2"/>
      <c r="S880" t="str">
        <f>VLOOKUP(B880,CASOPOInvCL!$B$1:$D$1600,1,FALSE)</f>
        <v>SO17987</v>
      </c>
      <c r="T880">
        <f t="shared" si="13"/>
        <v>10</v>
      </c>
    </row>
    <row r="881" spans="1:20" x14ac:dyDescent="0.25">
      <c r="A881" s="2">
        <v>1</v>
      </c>
      <c r="B881" s="2" t="s">
        <v>436</v>
      </c>
      <c r="C881" s="2" t="s">
        <v>437</v>
      </c>
      <c r="D881" s="2" t="s">
        <v>39</v>
      </c>
      <c r="E881" s="3">
        <v>45936.793946759259</v>
      </c>
      <c r="F881" s="3">
        <v>45939.696018518523</v>
      </c>
      <c r="G881" s="4">
        <v>45946</v>
      </c>
      <c r="H881" s="2" t="s">
        <v>36</v>
      </c>
      <c r="I881" s="2" t="s">
        <v>22</v>
      </c>
      <c r="J881" s="2">
        <v>1</v>
      </c>
      <c r="K881" s="2">
        <v>655.41</v>
      </c>
      <c r="L881" s="2">
        <v>0</v>
      </c>
      <c r="M881" s="2">
        <v>467.77679535928041</v>
      </c>
      <c r="N881" s="2">
        <v>624.20000000000005</v>
      </c>
      <c r="O881" s="2">
        <v>31.21</v>
      </c>
      <c r="P881" s="2">
        <v>655.41</v>
      </c>
      <c r="Q881" s="2" t="s">
        <v>44</v>
      </c>
      <c r="R881" s="2"/>
      <c r="S881" t="str">
        <f>VLOOKUP(B881,CASOPOInvCL!$B$1:$D$1600,1,FALSE)</f>
        <v>SO17988</v>
      </c>
      <c r="T881">
        <f t="shared" si="13"/>
        <v>10</v>
      </c>
    </row>
    <row r="882" spans="1:20" x14ac:dyDescent="0.25">
      <c r="A882" s="2">
        <v>1</v>
      </c>
      <c r="B882" s="2" t="s">
        <v>468</v>
      </c>
      <c r="C882" s="2" t="s">
        <v>469</v>
      </c>
      <c r="D882" s="2" t="s">
        <v>450</v>
      </c>
      <c r="E882" s="3">
        <v>45937.360717592594</v>
      </c>
      <c r="F882" s="3">
        <v>45937.538368055553</v>
      </c>
      <c r="G882" s="4">
        <v>45939</v>
      </c>
      <c r="H882" s="2" t="s">
        <v>40</v>
      </c>
      <c r="I882" s="2" t="s">
        <v>22</v>
      </c>
      <c r="J882" s="2">
        <v>1</v>
      </c>
      <c r="K882" s="2">
        <v>4201.68</v>
      </c>
      <c r="L882" s="2">
        <v>4201.68</v>
      </c>
      <c r="M882" s="2">
        <v>4201.68</v>
      </c>
      <c r="N882" s="2">
        <v>3718.3</v>
      </c>
      <c r="O882" s="2">
        <v>483.38</v>
      </c>
      <c r="P882" s="2">
        <v>4201.68</v>
      </c>
      <c r="Q882" s="2" t="s">
        <v>44</v>
      </c>
      <c r="R882" s="2"/>
      <c r="S882" t="str">
        <f>VLOOKUP(B882,CASOPOInvCL!$B$1:$D$1600,1,FALSE)</f>
        <v>SO17990</v>
      </c>
      <c r="T882">
        <f t="shared" si="13"/>
        <v>10</v>
      </c>
    </row>
    <row r="883" spans="1:20" x14ac:dyDescent="0.25">
      <c r="A883" s="2">
        <v>1</v>
      </c>
      <c r="B883" s="2" t="s">
        <v>466</v>
      </c>
      <c r="C883" s="2" t="s">
        <v>467</v>
      </c>
      <c r="D883" s="2" t="s">
        <v>171</v>
      </c>
      <c r="E883" s="3">
        <v>45937.451967592591</v>
      </c>
      <c r="F883" s="3">
        <v>45937.618437500001</v>
      </c>
      <c r="G883" s="4">
        <v>45951</v>
      </c>
      <c r="H883" s="2" t="s">
        <v>36</v>
      </c>
      <c r="I883" s="2" t="s">
        <v>22</v>
      </c>
      <c r="J883" s="2">
        <v>1</v>
      </c>
      <c r="K883" s="2">
        <v>1900.5</v>
      </c>
      <c r="L883" s="2">
        <v>1900.5</v>
      </c>
      <c r="M883" s="2">
        <v>1900.5</v>
      </c>
      <c r="N883" s="2">
        <v>1810</v>
      </c>
      <c r="O883" s="2">
        <v>90.5</v>
      </c>
      <c r="P883" s="2">
        <v>1900.5</v>
      </c>
      <c r="Q883" s="2" t="s">
        <v>44</v>
      </c>
      <c r="R883" s="2"/>
      <c r="S883" t="str">
        <f>VLOOKUP(B883,CASOPOInvCL!$B$1:$D$1600,1,FALSE)</f>
        <v>SO17991</v>
      </c>
      <c r="T883">
        <f t="shared" si="13"/>
        <v>10</v>
      </c>
    </row>
    <row r="884" spans="1:20" x14ac:dyDescent="0.25">
      <c r="A884" s="2">
        <v>1</v>
      </c>
      <c r="B884" s="2" t="s">
        <v>473</v>
      </c>
      <c r="C884" s="2" t="s">
        <v>474</v>
      </c>
      <c r="D884" s="2" t="s">
        <v>20</v>
      </c>
      <c r="E884" s="3">
        <v>45937.470706018517</v>
      </c>
      <c r="F884" s="3">
        <v>45937.471168981479</v>
      </c>
      <c r="G884" s="4">
        <v>45986</v>
      </c>
      <c r="H884" s="2" t="s">
        <v>21</v>
      </c>
      <c r="I884" s="2" t="s">
        <v>22</v>
      </c>
      <c r="J884" s="2">
        <v>1</v>
      </c>
      <c r="K884" s="2">
        <v>1428.32</v>
      </c>
      <c r="L884" s="2">
        <v>1428.32</v>
      </c>
      <c r="M884" s="2">
        <v>1428.32</v>
      </c>
      <c r="N884" s="2">
        <v>1264</v>
      </c>
      <c r="O884" s="2">
        <v>164.32</v>
      </c>
      <c r="P884" s="2">
        <v>1428.32</v>
      </c>
      <c r="Q884" s="2" t="s">
        <v>44</v>
      </c>
      <c r="R884" s="2"/>
      <c r="S884" t="str">
        <f>VLOOKUP(B884,CASOPOInvCL!$B$1:$D$1600,1,FALSE)</f>
        <v>SO17993</v>
      </c>
      <c r="T884">
        <f t="shared" si="13"/>
        <v>10</v>
      </c>
    </row>
    <row r="885" spans="1:20" x14ac:dyDescent="0.25">
      <c r="A885" s="2">
        <v>1</v>
      </c>
      <c r="B885" s="2" t="s">
        <v>432</v>
      </c>
      <c r="C885" s="2" t="s">
        <v>433</v>
      </c>
      <c r="D885" s="2" t="s">
        <v>70</v>
      </c>
      <c r="E885" s="3">
        <v>45937.512002314812</v>
      </c>
      <c r="F885" s="3">
        <v>45940.655821759261</v>
      </c>
      <c r="G885" s="4">
        <v>45947</v>
      </c>
      <c r="H885" s="2" t="s">
        <v>74</v>
      </c>
      <c r="I885" s="2" t="s">
        <v>51</v>
      </c>
      <c r="J885" s="2">
        <v>0.71662274115503888</v>
      </c>
      <c r="K885" s="2">
        <v>354.39846576827301</v>
      </c>
      <c r="L885" s="2">
        <v>0</v>
      </c>
      <c r="M885" s="2">
        <v>253.97</v>
      </c>
      <c r="N885" s="2">
        <v>253.97</v>
      </c>
      <c r="O885" s="2"/>
      <c r="P885" s="2">
        <v>253.97</v>
      </c>
      <c r="Q885" s="2" t="s">
        <v>44</v>
      </c>
      <c r="R885" s="2"/>
      <c r="S885" t="str">
        <f>VLOOKUP(B885,CASOPOInvCL!$B$1:$D$1600,1,FALSE)</f>
        <v>SO17996</v>
      </c>
      <c r="T885">
        <f t="shared" si="13"/>
        <v>10</v>
      </c>
    </row>
    <row r="886" spans="1:20" x14ac:dyDescent="0.25">
      <c r="A886" s="2">
        <v>1</v>
      </c>
      <c r="B886" s="2" t="s">
        <v>440</v>
      </c>
      <c r="C886" s="2" t="s">
        <v>441</v>
      </c>
      <c r="D886" s="2" t="s">
        <v>442</v>
      </c>
      <c r="E886" s="3">
        <v>45937.536446759259</v>
      </c>
      <c r="F886" s="3">
        <v>45939.637037037042</v>
      </c>
      <c r="G886" s="4">
        <v>45947</v>
      </c>
      <c r="H886" s="2" t="s">
        <v>74</v>
      </c>
      <c r="I886" s="2" t="s">
        <v>51</v>
      </c>
      <c r="J886" s="2">
        <v>0.71662274115503888</v>
      </c>
      <c r="K886" s="2">
        <v>5514.2821641841701</v>
      </c>
      <c r="L886" s="2">
        <v>0</v>
      </c>
      <c r="M886" s="2">
        <v>3951.66</v>
      </c>
      <c r="N886" s="2">
        <v>3951.66</v>
      </c>
      <c r="O886" s="2"/>
      <c r="P886" s="2">
        <v>3951.66</v>
      </c>
      <c r="Q886" s="2" t="s">
        <v>44</v>
      </c>
      <c r="R886" s="2"/>
      <c r="S886" t="str">
        <f>VLOOKUP(B886,CASOPOInvCL!$B$1:$D$1600,1,FALSE)</f>
        <v>SO17997</v>
      </c>
      <c r="T886">
        <f t="shared" si="13"/>
        <v>10</v>
      </c>
    </row>
    <row r="887" spans="1:20" ht="30" x14ac:dyDescent="0.25">
      <c r="A887" s="2">
        <v>2</v>
      </c>
      <c r="B887" s="2" t="s">
        <v>367</v>
      </c>
      <c r="C887" s="2" t="s">
        <v>368</v>
      </c>
      <c r="D887" s="2" t="s">
        <v>369</v>
      </c>
      <c r="E887" s="3">
        <v>45937.685567129629</v>
      </c>
      <c r="F887" s="3">
        <v>45951.431493055563</v>
      </c>
      <c r="G887" s="4">
        <v>45999</v>
      </c>
      <c r="H887" s="2" t="s">
        <v>180</v>
      </c>
      <c r="I887" s="2" t="s">
        <v>51</v>
      </c>
      <c r="J887" s="2">
        <v>0.71263674064888716</v>
      </c>
      <c r="K887" s="2">
        <v>17525.2120577282</v>
      </c>
      <c r="L887" s="2">
        <v>0</v>
      </c>
      <c r="M887" s="2">
        <v>12489.11</v>
      </c>
      <c r="N887" s="2">
        <v>12489.11</v>
      </c>
      <c r="O887" s="2"/>
      <c r="P887" s="2">
        <v>12489.11</v>
      </c>
      <c r="Q887" s="2" t="s">
        <v>44</v>
      </c>
      <c r="R887" s="2"/>
      <c r="S887" t="str">
        <f>VLOOKUP(B887,CASOPOInvCL!$B$1:$D$1600,1,FALSE)</f>
        <v>SO17999</v>
      </c>
      <c r="T887">
        <f t="shared" si="13"/>
        <v>10</v>
      </c>
    </row>
    <row r="888" spans="1:20" x14ac:dyDescent="0.25">
      <c r="A888" s="2">
        <v>1</v>
      </c>
      <c r="B888" s="2" t="s">
        <v>448</v>
      </c>
      <c r="C888" s="2" t="s">
        <v>449</v>
      </c>
      <c r="D888" s="2" t="s">
        <v>450</v>
      </c>
      <c r="E888" s="3">
        <v>45938.390636574077</v>
      </c>
      <c r="F888" s="3">
        <v>45939.551724537043</v>
      </c>
      <c r="G888" s="2"/>
      <c r="H888" s="2" t="s">
        <v>40</v>
      </c>
      <c r="I888" s="2" t="s">
        <v>22</v>
      </c>
      <c r="J888" s="2">
        <v>1</v>
      </c>
      <c r="K888" s="2">
        <v>5855.32</v>
      </c>
      <c r="L888" s="2">
        <v>0</v>
      </c>
      <c r="M888" s="2">
        <v>4179.0372826217208</v>
      </c>
      <c r="N888" s="2">
        <v>5181.7</v>
      </c>
      <c r="O888" s="2">
        <v>673.62</v>
      </c>
      <c r="P888" s="2">
        <v>5855.32</v>
      </c>
      <c r="Q888" s="2" t="s">
        <v>44</v>
      </c>
      <c r="R888" s="2"/>
      <c r="S888" t="str">
        <f>VLOOKUP(B888,CASOPOInvCL!$B$1:$D$1600,1,FALSE)</f>
        <v>SO18001</v>
      </c>
      <c r="T888">
        <f t="shared" si="13"/>
        <v>10</v>
      </c>
    </row>
    <row r="889" spans="1:20" x14ac:dyDescent="0.25">
      <c r="A889" s="2">
        <v>1</v>
      </c>
      <c r="B889" s="2" t="s">
        <v>457</v>
      </c>
      <c r="C889" s="2" t="s">
        <v>458</v>
      </c>
      <c r="D889" s="2" t="s">
        <v>26</v>
      </c>
      <c r="E889" s="3">
        <v>45938.526608796303</v>
      </c>
      <c r="F889" s="3">
        <v>45938.767430555563</v>
      </c>
      <c r="G889" s="4">
        <v>45945</v>
      </c>
      <c r="H889" s="2" t="s">
        <v>36</v>
      </c>
      <c r="I889" s="2" t="s">
        <v>22</v>
      </c>
      <c r="J889" s="2">
        <v>1</v>
      </c>
      <c r="K889" s="2">
        <v>1183.46</v>
      </c>
      <c r="L889" s="2">
        <v>0</v>
      </c>
      <c r="M889" s="2">
        <v>848.09434924734239</v>
      </c>
      <c r="N889" s="2">
        <v>1127.0999999999999</v>
      </c>
      <c r="O889" s="2">
        <v>56.36</v>
      </c>
      <c r="P889" s="2">
        <v>1183.46</v>
      </c>
      <c r="Q889" s="2" t="s">
        <v>44</v>
      </c>
      <c r="R889" s="2"/>
      <c r="S889" t="str">
        <f>VLOOKUP(B889,CASOPOInvCL!$B$1:$D$1600,1,FALSE)</f>
        <v>SO18002</v>
      </c>
      <c r="T889">
        <f t="shared" si="13"/>
        <v>10</v>
      </c>
    </row>
    <row r="890" spans="1:20" x14ac:dyDescent="0.25">
      <c r="A890" s="2">
        <v>1</v>
      </c>
      <c r="B890" s="2" t="s">
        <v>459</v>
      </c>
      <c r="C890" s="2" t="s">
        <v>460</v>
      </c>
      <c r="D890" s="2" t="s">
        <v>229</v>
      </c>
      <c r="E890" s="3">
        <v>45938.58116898148</v>
      </c>
      <c r="F890" s="3">
        <v>45938.581250000003</v>
      </c>
      <c r="G890" s="4">
        <v>45945</v>
      </c>
      <c r="H890" s="2" t="s">
        <v>36</v>
      </c>
      <c r="I890" s="2" t="s">
        <v>22</v>
      </c>
      <c r="J890" s="2">
        <v>1</v>
      </c>
      <c r="K890" s="2">
        <v>2.63</v>
      </c>
      <c r="L890" s="2">
        <v>0</v>
      </c>
      <c r="M890" s="2">
        <v>1.8847178092377519</v>
      </c>
      <c r="N890" s="2">
        <v>2.5</v>
      </c>
      <c r="O890" s="2">
        <v>0.13</v>
      </c>
      <c r="P890" s="2">
        <v>2.63</v>
      </c>
      <c r="Q890" s="2" t="s">
        <v>44</v>
      </c>
      <c r="R890" s="2"/>
      <c r="S890" t="str">
        <f>VLOOKUP(B890,CASOPOInvCL!$B$1:$D$1600,1,FALSE)</f>
        <v>SO18004</v>
      </c>
      <c r="T890">
        <f t="shared" si="13"/>
        <v>10</v>
      </c>
    </row>
    <row r="891" spans="1:20" x14ac:dyDescent="0.25">
      <c r="A891" s="2">
        <v>1</v>
      </c>
      <c r="B891" s="2" t="s">
        <v>455</v>
      </c>
      <c r="C891" s="2" t="s">
        <v>456</v>
      </c>
      <c r="D891" s="2" t="s">
        <v>121</v>
      </c>
      <c r="E891" s="3">
        <v>45938.801053240742</v>
      </c>
      <c r="F891" s="3">
        <v>45938.801168981481</v>
      </c>
      <c r="G891" s="4">
        <v>45945</v>
      </c>
      <c r="H891" s="2" t="s">
        <v>21</v>
      </c>
      <c r="I891" s="2" t="s">
        <v>22</v>
      </c>
      <c r="J891" s="2">
        <v>1</v>
      </c>
      <c r="K891" s="2">
        <v>402.31</v>
      </c>
      <c r="L891" s="2">
        <v>0</v>
      </c>
      <c r="M891" s="2">
        <v>287.13520169205862</v>
      </c>
      <c r="N891" s="2">
        <v>383.15</v>
      </c>
      <c r="O891" s="2">
        <v>19.16</v>
      </c>
      <c r="P891" s="2">
        <v>402.31</v>
      </c>
      <c r="Q891" s="2" t="s">
        <v>44</v>
      </c>
      <c r="R891" s="2"/>
      <c r="S891" t="str">
        <f>VLOOKUP(B891,CASOPOInvCL!$B$1:$D$1600,1,FALSE)</f>
        <v>SO18008</v>
      </c>
      <c r="T891">
        <f t="shared" si="13"/>
        <v>10</v>
      </c>
    </row>
    <row r="892" spans="1:20" x14ac:dyDescent="0.25">
      <c r="A892" s="2">
        <v>1</v>
      </c>
      <c r="B892" s="2" t="s">
        <v>451</v>
      </c>
      <c r="C892" s="2" t="s">
        <v>452</v>
      </c>
      <c r="D892" s="2" t="s">
        <v>290</v>
      </c>
      <c r="E892" s="3">
        <v>45938.81150462963</v>
      </c>
      <c r="F892" s="3">
        <v>45939.490451388891</v>
      </c>
      <c r="G892" s="4">
        <v>45946</v>
      </c>
      <c r="H892" s="2" t="s">
        <v>36</v>
      </c>
      <c r="I892" s="2" t="s">
        <v>22</v>
      </c>
      <c r="J892" s="2">
        <v>1</v>
      </c>
      <c r="K892" s="2">
        <v>1183.46</v>
      </c>
      <c r="L892" s="2">
        <v>0</v>
      </c>
      <c r="M892" s="2">
        <v>844.65468368791142</v>
      </c>
      <c r="N892" s="2">
        <v>1127.0999999999999</v>
      </c>
      <c r="O892" s="2">
        <v>56.36</v>
      </c>
      <c r="P892" s="2">
        <v>1183.46</v>
      </c>
      <c r="Q892" s="2" t="s">
        <v>44</v>
      </c>
      <c r="R892" s="2"/>
      <c r="S892" t="str">
        <f>VLOOKUP(B892,CASOPOInvCL!$B$1:$D$1600,1,FALSE)</f>
        <v>SO18009</v>
      </c>
      <c r="T892">
        <f t="shared" si="13"/>
        <v>10</v>
      </c>
    </row>
    <row r="893" spans="1:20" x14ac:dyDescent="0.25">
      <c r="A893" s="2">
        <v>1</v>
      </c>
      <c r="B893" s="2" t="s">
        <v>416</v>
      </c>
      <c r="C893" s="2" t="s">
        <v>417</v>
      </c>
      <c r="D893" s="2" t="s">
        <v>26</v>
      </c>
      <c r="E893" s="3">
        <v>45938.853564814817</v>
      </c>
      <c r="F893" s="3">
        <v>45945.546203703707</v>
      </c>
      <c r="G893" s="4">
        <v>46036</v>
      </c>
      <c r="H893" s="2" t="s">
        <v>21</v>
      </c>
      <c r="I893" s="2" t="s">
        <v>22</v>
      </c>
      <c r="J893" s="2">
        <v>1</v>
      </c>
      <c r="K893" s="2">
        <v>7318.61</v>
      </c>
      <c r="L893" s="2">
        <v>7318.61</v>
      </c>
      <c r="M893" s="2">
        <v>7318.61</v>
      </c>
      <c r="N893" s="2">
        <v>6970.1</v>
      </c>
      <c r="O893" s="2">
        <v>348.51</v>
      </c>
      <c r="P893" s="2">
        <v>7318.61</v>
      </c>
      <c r="Q893" s="2" t="s">
        <v>44</v>
      </c>
      <c r="R893" s="2"/>
      <c r="S893" t="str">
        <f>VLOOKUP(B893,CASOPOInvCL!$B$1:$D$1600,1,FALSE)</f>
        <v>SO18010</v>
      </c>
      <c r="T893">
        <f t="shared" si="13"/>
        <v>10</v>
      </c>
    </row>
    <row r="894" spans="1:20" x14ac:dyDescent="0.25">
      <c r="A894" s="2">
        <v>1</v>
      </c>
      <c r="B894" s="2" t="s">
        <v>453</v>
      </c>
      <c r="C894" s="2" t="s">
        <v>454</v>
      </c>
      <c r="D894" s="2" t="s">
        <v>141</v>
      </c>
      <c r="E894" s="3">
        <v>45938.899201388893</v>
      </c>
      <c r="F894" s="3">
        <v>45938.899699074071</v>
      </c>
      <c r="G894" s="4">
        <v>45939</v>
      </c>
      <c r="H894" s="2" t="s">
        <v>21</v>
      </c>
      <c r="I894" s="2" t="s">
        <v>51</v>
      </c>
      <c r="J894" s="2">
        <v>0.71696466189026287</v>
      </c>
      <c r="K894" s="2">
        <v>39.360377854047279</v>
      </c>
      <c r="L894" s="2">
        <v>0</v>
      </c>
      <c r="M894" s="2">
        <v>28.22</v>
      </c>
      <c r="N894" s="2">
        <v>28.22</v>
      </c>
      <c r="O894" s="2"/>
      <c r="P894" s="2">
        <v>28.22</v>
      </c>
      <c r="Q894" s="2" t="s">
        <v>44</v>
      </c>
      <c r="R894" s="2"/>
      <c r="S894" t="str">
        <f>VLOOKUP(B894,CASOPOInvCL!$B$1:$D$1600,1,FALSE)</f>
        <v>SO18012</v>
      </c>
      <c r="T894">
        <f t="shared" si="13"/>
        <v>10</v>
      </c>
    </row>
    <row r="895" spans="1:20" x14ac:dyDescent="0.25">
      <c r="A895" s="2">
        <v>2</v>
      </c>
      <c r="B895" s="2" t="s">
        <v>427</v>
      </c>
      <c r="C895" s="2" t="s">
        <v>428</v>
      </c>
      <c r="D895" s="2" t="s">
        <v>429</v>
      </c>
      <c r="E895" s="3">
        <v>45939.372152777767</v>
      </c>
      <c r="F895" s="3">
        <v>45944.414571759262</v>
      </c>
      <c r="G895" s="4">
        <v>45953</v>
      </c>
      <c r="H895" s="2" t="s">
        <v>74</v>
      </c>
      <c r="I895" s="2" t="s">
        <v>22</v>
      </c>
      <c r="J895" s="2">
        <v>1</v>
      </c>
      <c r="K895" s="2">
        <v>792.08</v>
      </c>
      <c r="L895" s="2">
        <v>0</v>
      </c>
      <c r="M895" s="2">
        <v>563.9567810393653</v>
      </c>
      <c r="N895" s="2">
        <v>754.36</v>
      </c>
      <c r="O895" s="2">
        <v>37.72</v>
      </c>
      <c r="P895" s="2">
        <v>792.08</v>
      </c>
      <c r="Q895" s="2" t="s">
        <v>44</v>
      </c>
      <c r="R895" s="2"/>
      <c r="S895" t="str">
        <f>VLOOKUP(B895,CASOPOInvCL!$B$1:$D$1600,1,FALSE)</f>
        <v>SO18013</v>
      </c>
      <c r="T895">
        <f t="shared" si="13"/>
        <v>10</v>
      </c>
    </row>
    <row r="896" spans="1:20" x14ac:dyDescent="0.25">
      <c r="A896" s="2">
        <v>1</v>
      </c>
      <c r="B896" s="2" t="s">
        <v>340</v>
      </c>
      <c r="C896" s="2" t="s">
        <v>341</v>
      </c>
      <c r="D896" s="2" t="s">
        <v>146</v>
      </c>
      <c r="E896" s="3">
        <v>45939.396990740737</v>
      </c>
      <c r="F896" s="3">
        <v>45957.607662037037</v>
      </c>
      <c r="G896" s="4">
        <v>45964</v>
      </c>
      <c r="H896" s="2" t="s">
        <v>74</v>
      </c>
      <c r="I896" s="2" t="s">
        <v>22</v>
      </c>
      <c r="J896" s="2">
        <v>1</v>
      </c>
      <c r="K896" s="2">
        <v>8607.9</v>
      </c>
      <c r="L896" s="2">
        <v>8607.9</v>
      </c>
      <c r="M896" s="2">
        <v>8607.9</v>
      </c>
      <c r="N896" s="2">
        <v>8198</v>
      </c>
      <c r="O896" s="2">
        <v>409.9</v>
      </c>
      <c r="P896" s="2">
        <v>8607.9</v>
      </c>
      <c r="Q896" s="2" t="s">
        <v>44</v>
      </c>
      <c r="R896" s="2"/>
      <c r="S896" t="str">
        <f>VLOOKUP(B896,CASOPOInvCL!$B$1:$D$1600,1,FALSE)</f>
        <v>SO18014</v>
      </c>
      <c r="T896">
        <f t="shared" si="13"/>
        <v>10</v>
      </c>
    </row>
    <row r="897" spans="1:20" x14ac:dyDescent="0.25">
      <c r="A897" s="2">
        <v>1</v>
      </c>
      <c r="B897" s="2" t="s">
        <v>446</v>
      </c>
      <c r="C897" s="2" t="s">
        <v>447</v>
      </c>
      <c r="D897" s="2" t="s">
        <v>20</v>
      </c>
      <c r="E897" s="3">
        <v>45939.58053240741</v>
      </c>
      <c r="F897" s="3">
        <v>45939.582199074073</v>
      </c>
      <c r="G897" s="4">
        <v>45946</v>
      </c>
      <c r="H897" s="2" t="s">
        <v>36</v>
      </c>
      <c r="I897" s="2" t="s">
        <v>22</v>
      </c>
      <c r="J897" s="2">
        <v>1</v>
      </c>
      <c r="K897" s="2">
        <v>993.26</v>
      </c>
      <c r="L897" s="2">
        <v>0</v>
      </c>
      <c r="M897" s="2">
        <v>708.905844827755</v>
      </c>
      <c r="N897" s="2">
        <v>945.96</v>
      </c>
      <c r="O897" s="2">
        <v>47.3</v>
      </c>
      <c r="P897" s="2">
        <v>993.26</v>
      </c>
      <c r="Q897" s="2" t="s">
        <v>44</v>
      </c>
      <c r="R897" s="2"/>
      <c r="S897" t="str">
        <f>VLOOKUP(B897,CASOPOInvCL!$B$1:$D$1600,1,FALSE)</f>
        <v>SO18016</v>
      </c>
      <c r="T897">
        <f t="shared" si="13"/>
        <v>10</v>
      </c>
    </row>
    <row r="898" spans="1:20" ht="30" x14ac:dyDescent="0.25">
      <c r="A898" s="2">
        <v>1</v>
      </c>
      <c r="B898" s="2" t="s">
        <v>422</v>
      </c>
      <c r="C898" s="2" t="s">
        <v>423</v>
      </c>
      <c r="D898" s="2" t="s">
        <v>6167</v>
      </c>
      <c r="E898" s="3">
        <v>45939.594849537039</v>
      </c>
      <c r="F898" s="3">
        <v>45944.536504629628</v>
      </c>
      <c r="G898" s="4">
        <v>46042</v>
      </c>
      <c r="H898" s="2" t="s">
        <v>40</v>
      </c>
      <c r="I898" s="2" t="s">
        <v>22</v>
      </c>
      <c r="J898" s="2">
        <v>1</v>
      </c>
      <c r="K898" s="2">
        <v>1062.5</v>
      </c>
      <c r="L898" s="2">
        <v>0</v>
      </c>
      <c r="M898" s="2">
        <v>756.49439432169174</v>
      </c>
      <c r="N898" s="2">
        <v>1011.91</v>
      </c>
      <c r="O898" s="2">
        <v>50.59</v>
      </c>
      <c r="P898" s="2">
        <v>1062.5</v>
      </c>
      <c r="Q898" s="2" t="s">
        <v>44</v>
      </c>
      <c r="R898" s="2"/>
      <c r="S898" t="str">
        <f>VLOOKUP(B898,CASOPOInvCL!$B$1:$D$1600,1,FALSE)</f>
        <v>SO18017</v>
      </c>
      <c r="T898">
        <f t="shared" si="13"/>
        <v>10</v>
      </c>
    </row>
    <row r="899" spans="1:20" ht="30" x14ac:dyDescent="0.25">
      <c r="A899" s="2">
        <v>1</v>
      </c>
      <c r="B899" s="2" t="s">
        <v>385</v>
      </c>
      <c r="C899" s="2" t="s">
        <v>386</v>
      </c>
      <c r="D899" s="2" t="s">
        <v>387</v>
      </c>
      <c r="E899" s="3">
        <v>45940.505497685182</v>
      </c>
      <c r="F899" s="3">
        <v>45947.445509259262</v>
      </c>
      <c r="G899" s="4">
        <v>45950</v>
      </c>
      <c r="H899" s="2" t="s">
        <v>36</v>
      </c>
      <c r="I899" s="2" t="s">
        <v>22</v>
      </c>
      <c r="J899" s="2">
        <v>1</v>
      </c>
      <c r="K899" s="2">
        <v>221.48</v>
      </c>
      <c r="L899" s="2">
        <v>0</v>
      </c>
      <c r="M899" s="2">
        <v>157.66750583524691</v>
      </c>
      <c r="N899" s="2">
        <v>196</v>
      </c>
      <c r="O899" s="2">
        <v>25.48</v>
      </c>
      <c r="P899" s="2">
        <v>221.48</v>
      </c>
      <c r="Q899" s="2" t="s">
        <v>44</v>
      </c>
      <c r="R899" s="2"/>
      <c r="S899" t="str">
        <f>VLOOKUP(B899,CASOPOInvCL!$B$1:$D$1600,1,FALSE)</f>
        <v>SO18024</v>
      </c>
      <c r="T899">
        <f t="shared" ref="T899:T962" si="14">MONTH(E899)</f>
        <v>10</v>
      </c>
    </row>
    <row r="900" spans="1:20" x14ac:dyDescent="0.25">
      <c r="A900" s="2">
        <v>1</v>
      </c>
      <c r="B900" s="2" t="s">
        <v>193</v>
      </c>
      <c r="C900" s="2" t="s">
        <v>194</v>
      </c>
      <c r="D900" s="2" t="s">
        <v>195</v>
      </c>
      <c r="E900" s="3">
        <v>45940.724814814806</v>
      </c>
      <c r="F900" s="3">
        <v>45974.561863425923</v>
      </c>
      <c r="G900" s="4">
        <v>45989</v>
      </c>
      <c r="H900" s="2" t="s">
        <v>21</v>
      </c>
      <c r="I900" s="2" t="s">
        <v>22</v>
      </c>
      <c r="J900" s="2">
        <v>1</v>
      </c>
      <c r="K900" s="2">
        <v>2561.06</v>
      </c>
      <c r="L900" s="2">
        <v>0</v>
      </c>
      <c r="M900" s="2">
        <v>1827.8134876122981</v>
      </c>
      <c r="N900" s="2">
        <v>2439.1</v>
      </c>
      <c r="O900" s="2">
        <v>121.96</v>
      </c>
      <c r="P900" s="2">
        <v>2561.06</v>
      </c>
      <c r="Q900" s="2" t="s">
        <v>44</v>
      </c>
      <c r="R900" s="2"/>
      <c r="S900" t="str">
        <f>VLOOKUP(B900,CASOPOInvCL!$B$1:$D$1600,1,FALSE)</f>
        <v>SO18027</v>
      </c>
      <c r="T900">
        <f t="shared" si="14"/>
        <v>10</v>
      </c>
    </row>
    <row r="901" spans="1:20" x14ac:dyDescent="0.25">
      <c r="A901" s="2">
        <v>1</v>
      </c>
      <c r="B901" s="2" t="s">
        <v>375</v>
      </c>
      <c r="C901" s="2" t="s">
        <v>376</v>
      </c>
      <c r="D901" s="2" t="s">
        <v>77</v>
      </c>
      <c r="E901" s="3">
        <v>45940.759641203702</v>
      </c>
      <c r="F901" s="3">
        <v>45950.378518518519</v>
      </c>
      <c r="G901" s="4">
        <v>45951</v>
      </c>
      <c r="H901" s="2" t="s">
        <v>21</v>
      </c>
      <c r="I901" s="2" t="s">
        <v>22</v>
      </c>
      <c r="J901" s="2">
        <v>1</v>
      </c>
      <c r="K901" s="2">
        <v>138.52000000000001</v>
      </c>
      <c r="L901" s="2">
        <v>0</v>
      </c>
      <c r="M901" s="2">
        <v>98.726598664281966</v>
      </c>
      <c r="N901" s="2">
        <v>131.91999999999999</v>
      </c>
      <c r="O901" s="2">
        <v>6.6</v>
      </c>
      <c r="P901" s="2">
        <v>138.52000000000001</v>
      </c>
      <c r="Q901" s="2" t="s">
        <v>44</v>
      </c>
      <c r="R901" s="2"/>
      <c r="S901" t="str">
        <f>VLOOKUP(B901,CASOPOInvCL!$B$1:$D$1600,1,FALSE)</f>
        <v>SO18028</v>
      </c>
      <c r="T901">
        <f t="shared" si="14"/>
        <v>10</v>
      </c>
    </row>
    <row r="902" spans="1:20" x14ac:dyDescent="0.25">
      <c r="A902" s="2">
        <v>1</v>
      </c>
      <c r="B902" s="2" t="s">
        <v>430</v>
      </c>
      <c r="C902" s="2" t="s">
        <v>431</v>
      </c>
      <c r="D902" s="2" t="s">
        <v>80</v>
      </c>
      <c r="E902" s="3">
        <v>45940.774351851847</v>
      </c>
      <c r="F902" s="3">
        <v>45940.775289351863</v>
      </c>
      <c r="G902" s="4">
        <v>45996</v>
      </c>
      <c r="H902" s="2" t="s">
        <v>36</v>
      </c>
      <c r="I902" s="2" t="s">
        <v>22</v>
      </c>
      <c r="J902" s="2">
        <v>1</v>
      </c>
      <c r="K902" s="2">
        <v>1231.9100000000001</v>
      </c>
      <c r="L902" s="2">
        <v>0</v>
      </c>
      <c r="M902" s="2">
        <v>879.97893434721561</v>
      </c>
      <c r="N902" s="2">
        <v>1173.25</v>
      </c>
      <c r="O902" s="2">
        <v>58.66</v>
      </c>
      <c r="P902" s="2">
        <v>1231.9100000000001</v>
      </c>
      <c r="Q902" s="2" t="s">
        <v>44</v>
      </c>
      <c r="R902" s="2"/>
      <c r="S902" t="str">
        <f>VLOOKUP(B902,CASOPOInvCL!$B$1:$D$1600,1,FALSE)</f>
        <v>SO18030</v>
      </c>
      <c r="T902">
        <f t="shared" si="14"/>
        <v>10</v>
      </c>
    </row>
    <row r="903" spans="1:20" ht="30" x14ac:dyDescent="0.25">
      <c r="A903" s="2">
        <v>0</v>
      </c>
      <c r="B903" s="2" t="s">
        <v>424</v>
      </c>
      <c r="C903" s="2" t="s">
        <v>425</v>
      </c>
      <c r="D903" s="2" t="s">
        <v>159</v>
      </c>
      <c r="E903" s="3">
        <v>45944.441284722219</v>
      </c>
      <c r="F903" s="3">
        <v>45944.440578703703</v>
      </c>
      <c r="G903" s="4">
        <v>45985</v>
      </c>
      <c r="H903" s="2" t="s">
        <v>426</v>
      </c>
      <c r="I903" s="2" t="s">
        <v>51</v>
      </c>
      <c r="J903" s="2">
        <v>0.71199472406747455</v>
      </c>
      <c r="K903" s="2">
        <v>561.8019157710678</v>
      </c>
      <c r="L903" s="2">
        <v>0</v>
      </c>
      <c r="M903" s="2">
        <v>400</v>
      </c>
      <c r="N903" s="2">
        <v>400</v>
      </c>
      <c r="O903" s="2"/>
      <c r="P903" s="2">
        <v>400</v>
      </c>
      <c r="Q903" s="2" t="s">
        <v>44</v>
      </c>
      <c r="R903" s="2"/>
      <c r="S903" t="str">
        <f>VLOOKUP(B903,CASOPOInvCL!$B$1:$D$1600,1,FALSE)</f>
        <v>SO18036</v>
      </c>
      <c r="T903">
        <f t="shared" si="14"/>
        <v>10</v>
      </c>
    </row>
    <row r="904" spans="1:20" x14ac:dyDescent="0.25">
      <c r="A904" s="2">
        <v>0</v>
      </c>
      <c r="B904" s="2" t="s">
        <v>420</v>
      </c>
      <c r="C904" s="2" t="s">
        <v>421</v>
      </c>
      <c r="D904" s="2" t="s">
        <v>95</v>
      </c>
      <c r="E904" s="3">
        <v>45944.708460648151</v>
      </c>
      <c r="F904" s="3">
        <v>45944.748344907413</v>
      </c>
      <c r="G904" s="4">
        <v>46059</v>
      </c>
      <c r="H904" s="2" t="s">
        <v>74</v>
      </c>
      <c r="I904" s="2" t="s">
        <v>22</v>
      </c>
      <c r="J904" s="2">
        <v>1</v>
      </c>
      <c r="K904" s="2">
        <v>30700.95</v>
      </c>
      <c r="L904" s="2">
        <v>0</v>
      </c>
      <c r="M904" s="2">
        <v>21858.914423859329</v>
      </c>
      <c r="N904" s="2">
        <v>29239</v>
      </c>
      <c r="O904" s="2">
        <v>1461.95</v>
      </c>
      <c r="P904" s="2">
        <v>30700.95</v>
      </c>
      <c r="Q904" s="2" t="s">
        <v>29</v>
      </c>
      <c r="R904" s="2"/>
      <c r="S904" t="str">
        <f>VLOOKUP(B904,CASOPOInvCL!$B$1:$D$1600,1,FALSE)</f>
        <v>SO18040</v>
      </c>
      <c r="T904">
        <f t="shared" si="14"/>
        <v>10</v>
      </c>
    </row>
    <row r="905" spans="1:20" x14ac:dyDescent="0.25">
      <c r="A905" s="2">
        <v>1</v>
      </c>
      <c r="B905" s="2" t="s">
        <v>418</v>
      </c>
      <c r="C905" s="2" t="s">
        <v>419</v>
      </c>
      <c r="D905" s="2" t="s">
        <v>20</v>
      </c>
      <c r="E905" s="3">
        <v>45944.769432870373</v>
      </c>
      <c r="F905" s="3">
        <v>45944.768229166657</v>
      </c>
      <c r="G905" s="4">
        <v>46071</v>
      </c>
      <c r="H905" s="2" t="s">
        <v>36</v>
      </c>
      <c r="I905" s="2" t="s">
        <v>22</v>
      </c>
      <c r="J905" s="2">
        <v>1</v>
      </c>
      <c r="K905" s="2">
        <v>5045.0600000000004</v>
      </c>
      <c r="L905" s="2">
        <v>0</v>
      </c>
      <c r="M905" s="2">
        <v>3592.056102603854</v>
      </c>
      <c r="N905" s="2">
        <v>4804.82</v>
      </c>
      <c r="O905" s="2">
        <v>240.24</v>
      </c>
      <c r="P905" s="2">
        <v>5045.0600000000004</v>
      </c>
      <c r="Q905" s="2" t="s">
        <v>44</v>
      </c>
      <c r="R905" s="2"/>
      <c r="S905" t="str">
        <f>VLOOKUP(B905,CASOPOInvCL!$B$1:$D$1600,1,FALSE)</f>
        <v>SO18042</v>
      </c>
      <c r="T905">
        <f t="shared" si="14"/>
        <v>10</v>
      </c>
    </row>
    <row r="906" spans="1:20" x14ac:dyDescent="0.25">
      <c r="A906" s="2">
        <v>1</v>
      </c>
      <c r="B906" s="2" t="s">
        <v>224</v>
      </c>
      <c r="C906" s="2" t="s">
        <v>225</v>
      </c>
      <c r="D906" s="2" t="s">
        <v>226</v>
      </c>
      <c r="E906" s="3">
        <v>45945.489236111112</v>
      </c>
      <c r="F906" s="3">
        <v>45972.445324074077</v>
      </c>
      <c r="G906" s="4">
        <v>45989</v>
      </c>
      <c r="H906" s="2" t="s">
        <v>180</v>
      </c>
      <c r="I906" s="2" t="s">
        <v>22</v>
      </c>
      <c r="J906" s="2">
        <v>1</v>
      </c>
      <c r="K906" s="2">
        <v>9604.41</v>
      </c>
      <c r="L906" s="2">
        <v>0</v>
      </c>
      <c r="M906" s="2">
        <v>6855.6421722181158</v>
      </c>
      <c r="N906" s="2">
        <v>9147.06</v>
      </c>
      <c r="O906" s="2">
        <v>457.35</v>
      </c>
      <c r="P906" s="2">
        <v>9604.41</v>
      </c>
      <c r="Q906" s="2" t="s">
        <v>44</v>
      </c>
      <c r="R906" s="2"/>
      <c r="S906" t="str">
        <f>VLOOKUP(B906,CASOPOInvCL!$B$1:$D$1600,1,FALSE)</f>
        <v>SO18045</v>
      </c>
      <c r="T906">
        <f t="shared" si="14"/>
        <v>10</v>
      </c>
    </row>
    <row r="907" spans="1:20" x14ac:dyDescent="0.25">
      <c r="A907" s="2">
        <v>1</v>
      </c>
      <c r="B907" s="2" t="s">
        <v>410</v>
      </c>
      <c r="C907" s="2" t="s">
        <v>411</v>
      </c>
      <c r="D907" s="2" t="s">
        <v>146</v>
      </c>
      <c r="E907" s="3">
        <v>45945.615162037036</v>
      </c>
      <c r="F907" s="3">
        <v>45945.679675925923</v>
      </c>
      <c r="G907" s="4">
        <v>45952</v>
      </c>
      <c r="H907" s="2" t="s">
        <v>74</v>
      </c>
      <c r="I907" s="2" t="s">
        <v>22</v>
      </c>
      <c r="J907" s="2">
        <v>1</v>
      </c>
      <c r="K907" s="2">
        <v>157.5</v>
      </c>
      <c r="L907" s="2">
        <v>157.5</v>
      </c>
      <c r="M907" s="2">
        <v>157.5</v>
      </c>
      <c r="N907" s="2">
        <v>150</v>
      </c>
      <c r="O907" s="2">
        <v>7.5</v>
      </c>
      <c r="P907" s="2">
        <v>157.5</v>
      </c>
      <c r="Q907" s="2" t="s">
        <v>44</v>
      </c>
      <c r="R907" s="2"/>
      <c r="S907" t="str">
        <f>VLOOKUP(B907,CASOPOInvCL!$B$1:$D$1600,1,FALSE)</f>
        <v>SO18047</v>
      </c>
      <c r="T907">
        <f t="shared" si="14"/>
        <v>10</v>
      </c>
    </row>
    <row r="908" spans="1:20" x14ac:dyDescent="0.25">
      <c r="A908" s="2">
        <v>1</v>
      </c>
      <c r="B908" s="2" t="s">
        <v>414</v>
      </c>
      <c r="C908" s="2" t="s">
        <v>415</v>
      </c>
      <c r="D908" s="2" t="s">
        <v>242</v>
      </c>
      <c r="E908" s="3">
        <v>45945.631111111114</v>
      </c>
      <c r="F908" s="3">
        <v>45945.636840277781</v>
      </c>
      <c r="G908" s="4">
        <v>45952</v>
      </c>
      <c r="H908" s="2" t="s">
        <v>74</v>
      </c>
      <c r="I908" s="2" t="s">
        <v>22</v>
      </c>
      <c r="J908" s="2">
        <v>1</v>
      </c>
      <c r="K908" s="2">
        <v>177.02</v>
      </c>
      <c r="L908" s="2">
        <v>177.02</v>
      </c>
      <c r="M908" s="2">
        <v>177.02</v>
      </c>
      <c r="N908" s="2">
        <v>168.59</v>
      </c>
      <c r="O908" s="2">
        <v>8.43</v>
      </c>
      <c r="P908" s="2">
        <v>177.02</v>
      </c>
      <c r="Q908" s="2" t="s">
        <v>44</v>
      </c>
      <c r="R908" s="2"/>
      <c r="S908" t="str">
        <f>VLOOKUP(B908,CASOPOInvCL!$B$1:$D$1600,1,FALSE)</f>
        <v>SO18048</v>
      </c>
      <c r="T908">
        <f t="shared" si="14"/>
        <v>10</v>
      </c>
    </row>
    <row r="909" spans="1:20" x14ac:dyDescent="0.25">
      <c r="A909" s="2">
        <v>1</v>
      </c>
      <c r="B909" s="2" t="s">
        <v>412</v>
      </c>
      <c r="C909" s="2" t="s">
        <v>413</v>
      </c>
      <c r="D909" s="2" t="s">
        <v>20</v>
      </c>
      <c r="E909" s="3">
        <v>45945.671527777777</v>
      </c>
      <c r="F909" s="3">
        <v>45945.677916666667</v>
      </c>
      <c r="G909" s="4">
        <v>46043</v>
      </c>
      <c r="H909" s="2" t="s">
        <v>21</v>
      </c>
      <c r="I909" s="2" t="s">
        <v>22</v>
      </c>
      <c r="J909" s="2">
        <v>1</v>
      </c>
      <c r="K909" s="2">
        <v>2045.52</v>
      </c>
      <c r="L909" s="2">
        <v>2045.52</v>
      </c>
      <c r="M909" s="2">
        <v>2045.52</v>
      </c>
      <c r="N909" s="2">
        <v>1948.11</v>
      </c>
      <c r="O909" s="2">
        <v>97.41</v>
      </c>
      <c r="P909" s="2">
        <v>2045.52</v>
      </c>
      <c r="Q909" s="2" t="s">
        <v>44</v>
      </c>
      <c r="R909" s="2"/>
      <c r="S909" t="str">
        <f>VLOOKUP(B909,CASOPOInvCL!$B$1:$D$1600,1,FALSE)</f>
        <v>SO18049</v>
      </c>
      <c r="T909">
        <f t="shared" si="14"/>
        <v>10</v>
      </c>
    </row>
    <row r="910" spans="1:20" x14ac:dyDescent="0.25">
      <c r="A910" s="2">
        <v>1</v>
      </c>
      <c r="B910" s="2" t="s">
        <v>408</v>
      </c>
      <c r="C910" s="2" t="s">
        <v>409</v>
      </c>
      <c r="D910" s="2" t="s">
        <v>80</v>
      </c>
      <c r="E910" s="3">
        <v>45945.699247685188</v>
      </c>
      <c r="F910" s="3">
        <v>45945.69976851852</v>
      </c>
      <c r="G910" s="4">
        <v>45978</v>
      </c>
      <c r="H910" s="2" t="s">
        <v>21</v>
      </c>
      <c r="I910" s="2" t="s">
        <v>22</v>
      </c>
      <c r="J910" s="2">
        <v>1</v>
      </c>
      <c r="K910" s="2">
        <v>9653.9</v>
      </c>
      <c r="L910" s="2">
        <v>9653.9</v>
      </c>
      <c r="M910" s="2">
        <v>9653.9</v>
      </c>
      <c r="N910" s="2">
        <v>9194.19</v>
      </c>
      <c r="O910" s="2">
        <v>459.71</v>
      </c>
      <c r="P910" s="2">
        <v>9653.9</v>
      </c>
      <c r="Q910" s="2" t="s">
        <v>44</v>
      </c>
      <c r="R910" s="2"/>
      <c r="S910" t="str">
        <f>VLOOKUP(B910,CASOPOInvCL!$B$1:$D$1600,1,FALSE)</f>
        <v>SO18051</v>
      </c>
      <c r="T910">
        <f t="shared" si="14"/>
        <v>10</v>
      </c>
    </row>
    <row r="911" spans="1:20" ht="30" x14ac:dyDescent="0.25">
      <c r="A911" s="2">
        <v>0</v>
      </c>
      <c r="B911" s="2" t="s">
        <v>405</v>
      </c>
      <c r="C911" s="2" t="s">
        <v>406</v>
      </c>
      <c r="D911" s="2" t="s">
        <v>407</v>
      </c>
      <c r="E911" s="3">
        <v>45945.714155092603</v>
      </c>
      <c r="F911" s="3">
        <v>45945.715891203698</v>
      </c>
      <c r="G911" s="4">
        <v>45959</v>
      </c>
      <c r="H911" s="2" t="s">
        <v>21</v>
      </c>
      <c r="I911" s="2" t="s">
        <v>22</v>
      </c>
      <c r="J911" s="2">
        <v>1</v>
      </c>
      <c r="K911" s="2">
        <v>0.01</v>
      </c>
      <c r="L911" s="2">
        <v>0.01</v>
      </c>
      <c r="M911" s="2">
        <v>0.01</v>
      </c>
      <c r="N911" s="2">
        <v>0.01</v>
      </c>
      <c r="O911" s="2"/>
      <c r="P911" s="2">
        <v>0.01</v>
      </c>
      <c r="Q911" s="2" t="s">
        <v>23</v>
      </c>
      <c r="R911" s="2"/>
      <c r="S911" t="str">
        <f>VLOOKUP(B911,CASOPOInvCL!$B$1:$D$1600,1,FALSE)</f>
        <v>SO18052</v>
      </c>
      <c r="T911">
        <f t="shared" si="14"/>
        <v>10</v>
      </c>
    </row>
    <row r="912" spans="1:20" x14ac:dyDescent="0.25">
      <c r="A912" s="2">
        <v>1</v>
      </c>
      <c r="B912" s="2" t="s">
        <v>400</v>
      </c>
      <c r="C912" s="2" t="s">
        <v>401</v>
      </c>
      <c r="D912" s="2" t="s">
        <v>80</v>
      </c>
      <c r="E912" s="3">
        <v>45945.73238425926</v>
      </c>
      <c r="F912" s="3">
        <v>45945.733553240738</v>
      </c>
      <c r="G912" s="4">
        <v>45998</v>
      </c>
      <c r="H912" s="2" t="s">
        <v>21</v>
      </c>
      <c r="I912" s="2" t="s">
        <v>22</v>
      </c>
      <c r="J912" s="2">
        <v>1</v>
      </c>
      <c r="K912" s="2">
        <v>7610.52</v>
      </c>
      <c r="L912" s="2">
        <v>7610.52</v>
      </c>
      <c r="M912" s="2">
        <v>7610.52</v>
      </c>
      <c r="N912" s="2">
        <v>7248.11</v>
      </c>
      <c r="O912" s="2">
        <v>362.41</v>
      </c>
      <c r="P912" s="2">
        <v>7610.52</v>
      </c>
      <c r="Q912" s="2" t="s">
        <v>44</v>
      </c>
      <c r="R912" s="2"/>
      <c r="S912" t="str">
        <f>VLOOKUP(B912,CASOPOInvCL!$B$1:$D$1600,1,FALSE)</f>
        <v>SO18053</v>
      </c>
      <c r="T912">
        <f t="shared" si="14"/>
        <v>10</v>
      </c>
    </row>
    <row r="913" spans="1:20" x14ac:dyDescent="0.25">
      <c r="A913" s="2">
        <v>1</v>
      </c>
      <c r="B913" s="2" t="s">
        <v>402</v>
      </c>
      <c r="C913" s="2" t="s">
        <v>403</v>
      </c>
      <c r="D913" s="2" t="s">
        <v>404</v>
      </c>
      <c r="E913" s="3">
        <v>45945.734074074076</v>
      </c>
      <c r="F913" s="3">
        <v>45945.731145833342</v>
      </c>
      <c r="G913" s="4">
        <v>45968</v>
      </c>
      <c r="H913" s="2" t="s">
        <v>74</v>
      </c>
      <c r="I913" s="2" t="s">
        <v>22</v>
      </c>
      <c r="J913" s="2">
        <v>1</v>
      </c>
      <c r="K913" s="2">
        <v>273</v>
      </c>
      <c r="L913" s="2">
        <v>273</v>
      </c>
      <c r="M913" s="2">
        <v>273</v>
      </c>
      <c r="N913" s="2">
        <v>260</v>
      </c>
      <c r="O913" s="2">
        <v>13</v>
      </c>
      <c r="P913" s="2">
        <v>273</v>
      </c>
      <c r="Q913" s="2" t="s">
        <v>44</v>
      </c>
      <c r="R913" s="2"/>
      <c r="S913" t="str">
        <f>VLOOKUP(B913,CASOPOInvCL!$B$1:$D$1600,1,FALSE)</f>
        <v>SO18054</v>
      </c>
      <c r="T913">
        <f t="shared" si="14"/>
        <v>10</v>
      </c>
    </row>
    <row r="914" spans="1:20" x14ac:dyDescent="0.25">
      <c r="A914" s="2">
        <v>0</v>
      </c>
      <c r="B914" s="2" t="s">
        <v>398</v>
      </c>
      <c r="C914" s="2" t="s">
        <v>399</v>
      </c>
      <c r="D914" s="2" t="s">
        <v>20</v>
      </c>
      <c r="E914" s="3">
        <v>45945.737326388888</v>
      </c>
      <c r="F914" s="3">
        <v>45945.739768518521</v>
      </c>
      <c r="G914" s="4">
        <v>45960</v>
      </c>
      <c r="H914" s="2" t="s">
        <v>21</v>
      </c>
      <c r="I914" s="2" t="s">
        <v>22</v>
      </c>
      <c r="J914" s="2">
        <v>1</v>
      </c>
      <c r="K914" s="2">
        <v>6000.59</v>
      </c>
      <c r="L914" s="2">
        <v>6000.59</v>
      </c>
      <c r="M914" s="2">
        <v>6000.59</v>
      </c>
      <c r="N914" s="2">
        <v>5714.85</v>
      </c>
      <c r="O914" s="2">
        <v>285.74</v>
      </c>
      <c r="P914" s="2">
        <v>6000.59</v>
      </c>
      <c r="Q914" s="2" t="s">
        <v>29</v>
      </c>
      <c r="R914" s="2"/>
      <c r="S914" t="str">
        <f>VLOOKUP(B914,CASOPOInvCL!$B$1:$D$1600,1,FALSE)</f>
        <v>SO18055</v>
      </c>
      <c r="T914">
        <f t="shared" si="14"/>
        <v>10</v>
      </c>
    </row>
    <row r="915" spans="1:20" x14ac:dyDescent="0.25">
      <c r="A915" s="2">
        <v>1</v>
      </c>
      <c r="B915" s="2" t="s">
        <v>396</v>
      </c>
      <c r="C915" s="2" t="s">
        <v>397</v>
      </c>
      <c r="D915" s="2" t="s">
        <v>80</v>
      </c>
      <c r="E915" s="3">
        <v>45945.75277777778</v>
      </c>
      <c r="F915" s="3">
        <v>45945.753437500003</v>
      </c>
      <c r="G915" s="4">
        <v>46035</v>
      </c>
      <c r="H915" s="2" t="s">
        <v>36</v>
      </c>
      <c r="I915" s="2" t="s">
        <v>22</v>
      </c>
      <c r="J915" s="2">
        <v>1</v>
      </c>
      <c r="K915" s="2">
        <v>8079.75</v>
      </c>
      <c r="L915" s="2">
        <v>8079.75</v>
      </c>
      <c r="M915" s="2">
        <v>8079.75</v>
      </c>
      <c r="N915" s="2">
        <v>7695</v>
      </c>
      <c r="O915" s="2">
        <v>384.75</v>
      </c>
      <c r="P915" s="2">
        <v>8079.75</v>
      </c>
      <c r="Q915" s="2" t="s">
        <v>44</v>
      </c>
      <c r="R915" s="2"/>
      <c r="S915" t="str">
        <f>VLOOKUP(B915,CASOPOInvCL!$B$1:$D$1600,1,FALSE)</f>
        <v>SO18056</v>
      </c>
      <c r="T915">
        <f t="shared" si="14"/>
        <v>10</v>
      </c>
    </row>
    <row r="916" spans="1:20" x14ac:dyDescent="0.25">
      <c r="A916" s="2">
        <v>2</v>
      </c>
      <c r="B916" s="2" t="s">
        <v>394</v>
      </c>
      <c r="C916" s="2" t="s">
        <v>395</v>
      </c>
      <c r="D916" s="2" t="s">
        <v>20</v>
      </c>
      <c r="E916" s="3">
        <v>45945.761967592603</v>
      </c>
      <c r="F916" s="3">
        <v>45945.762754629628</v>
      </c>
      <c r="G916" s="4">
        <v>46029</v>
      </c>
      <c r="H916" s="2" t="s">
        <v>21</v>
      </c>
      <c r="I916" s="2" t="s">
        <v>22</v>
      </c>
      <c r="J916" s="2">
        <v>1</v>
      </c>
      <c r="K916" s="2">
        <v>7424.63</v>
      </c>
      <c r="L916" s="2">
        <v>7424.63</v>
      </c>
      <c r="M916" s="2">
        <v>7424.63</v>
      </c>
      <c r="N916" s="2">
        <v>7071.07</v>
      </c>
      <c r="O916" s="2">
        <v>353.56</v>
      </c>
      <c r="P916" s="2">
        <v>7424.63</v>
      </c>
      <c r="Q916" s="2" t="s">
        <v>44</v>
      </c>
      <c r="R916" s="2"/>
      <c r="S916" t="str">
        <f>VLOOKUP(B916,CASOPOInvCL!$B$1:$D$1600,1,FALSE)</f>
        <v>SO18057</v>
      </c>
      <c r="T916">
        <f t="shared" si="14"/>
        <v>10</v>
      </c>
    </row>
    <row r="917" spans="1:20" x14ac:dyDescent="0.25">
      <c r="A917" s="2">
        <v>1</v>
      </c>
      <c r="B917" s="2" t="s">
        <v>392</v>
      </c>
      <c r="C917" s="2" t="s">
        <v>393</v>
      </c>
      <c r="D917" s="2" t="s">
        <v>20</v>
      </c>
      <c r="E917" s="3">
        <v>45945.767905092587</v>
      </c>
      <c r="F917" s="3">
        <v>45945.76939814815</v>
      </c>
      <c r="G917" s="4">
        <v>45947</v>
      </c>
      <c r="H917" s="2" t="s">
        <v>180</v>
      </c>
      <c r="I917" s="2" t="s">
        <v>22</v>
      </c>
      <c r="J917" s="2">
        <v>1</v>
      </c>
      <c r="K917" s="2">
        <v>4557.97</v>
      </c>
      <c r="L917" s="2">
        <v>4557.97</v>
      </c>
      <c r="M917" s="2">
        <v>4557.97</v>
      </c>
      <c r="N917" s="2">
        <v>4557.97</v>
      </c>
      <c r="O917" s="2"/>
      <c r="P917" s="2">
        <v>4557.97</v>
      </c>
      <c r="Q917" s="2" t="s">
        <v>44</v>
      </c>
      <c r="R917" s="2"/>
      <c r="S917" t="str">
        <f>VLOOKUP(B917,CASOPOInvCL!$B$1:$D$1600,1,FALSE)</f>
        <v>SO18058</v>
      </c>
      <c r="T917">
        <f t="shared" si="14"/>
        <v>10</v>
      </c>
    </row>
    <row r="918" spans="1:20" x14ac:dyDescent="0.25">
      <c r="A918" s="2">
        <v>1</v>
      </c>
      <c r="B918" s="2" t="s">
        <v>6180</v>
      </c>
      <c r="C918" s="2" t="s">
        <v>6181</v>
      </c>
      <c r="D918" s="2" t="s">
        <v>129</v>
      </c>
      <c r="E918" s="3">
        <v>45945.779467592591</v>
      </c>
      <c r="F918" s="3">
        <v>45945.778935185182</v>
      </c>
      <c r="G918" s="4">
        <v>45978</v>
      </c>
      <c r="H918" s="2" t="s">
        <v>130</v>
      </c>
      <c r="I918" s="2" t="s">
        <v>51</v>
      </c>
      <c r="J918" s="2">
        <v>0.71286476201025195</v>
      </c>
      <c r="K918" s="2">
        <v>154.30696797216359</v>
      </c>
      <c r="L918" s="2">
        <v>0</v>
      </c>
      <c r="M918" s="2">
        <v>110</v>
      </c>
      <c r="N918" s="2">
        <v>110</v>
      </c>
      <c r="O918" s="2"/>
      <c r="P918" s="2">
        <v>110</v>
      </c>
      <c r="Q918" s="2" t="s">
        <v>44</v>
      </c>
      <c r="R918" s="2"/>
      <c r="S918" t="str">
        <f>VLOOKUP(B918,CASOPOInvCL!$B$1:$D$1600,1,FALSE)</f>
        <v>SO18059</v>
      </c>
      <c r="T918">
        <f t="shared" si="14"/>
        <v>10</v>
      </c>
    </row>
    <row r="919" spans="1:20" x14ac:dyDescent="0.25">
      <c r="A919" s="2">
        <v>0</v>
      </c>
      <c r="B919" s="2" t="s">
        <v>370</v>
      </c>
      <c r="C919" s="2" t="s">
        <v>371</v>
      </c>
      <c r="D919" s="2" t="s">
        <v>372</v>
      </c>
      <c r="E919" s="3">
        <v>45946.345000000001</v>
      </c>
      <c r="F919" s="3">
        <v>45951.405162037037</v>
      </c>
      <c r="G919" s="4">
        <v>46098</v>
      </c>
      <c r="H919" s="2" t="s">
        <v>21</v>
      </c>
      <c r="I919" s="2" t="s">
        <v>22</v>
      </c>
      <c r="J919" s="2">
        <v>1</v>
      </c>
      <c r="K919" s="2">
        <v>4167.47</v>
      </c>
      <c r="L919" s="2">
        <v>0</v>
      </c>
      <c r="M919" s="2">
        <v>2974.085532896846</v>
      </c>
      <c r="N919" s="2">
        <v>3969.02</v>
      </c>
      <c r="O919" s="2">
        <v>198.45</v>
      </c>
      <c r="P919" s="2">
        <v>4167.47</v>
      </c>
      <c r="Q919" s="2" t="s">
        <v>29</v>
      </c>
      <c r="R919" s="2"/>
      <c r="S919" t="str">
        <f>VLOOKUP(B919,CASOPOInvCL!$B$1:$D$1600,1,FALSE)</f>
        <v>SO18062</v>
      </c>
      <c r="T919">
        <f t="shared" si="14"/>
        <v>10</v>
      </c>
    </row>
    <row r="920" spans="1:20" x14ac:dyDescent="0.25">
      <c r="A920" s="2">
        <v>1</v>
      </c>
      <c r="B920" s="2" t="s">
        <v>6182</v>
      </c>
      <c r="C920" s="2" t="s">
        <v>6183</v>
      </c>
      <c r="D920" s="2" t="s">
        <v>129</v>
      </c>
      <c r="E920" s="3">
        <v>45946.553252314807</v>
      </c>
      <c r="F920" s="3">
        <v>45946.552673611113</v>
      </c>
      <c r="G920" s="4">
        <v>45958</v>
      </c>
      <c r="H920" s="2" t="s">
        <v>130</v>
      </c>
      <c r="I920" s="2" t="s">
        <v>51</v>
      </c>
      <c r="J920" s="2">
        <v>0.71199472406747455</v>
      </c>
      <c r="K920" s="2">
        <v>386.23881709260911</v>
      </c>
      <c r="L920" s="2">
        <v>0</v>
      </c>
      <c r="M920" s="2">
        <v>275</v>
      </c>
      <c r="N920" s="2">
        <v>275</v>
      </c>
      <c r="O920" s="2"/>
      <c r="P920" s="2">
        <v>275</v>
      </c>
      <c r="Q920" s="2" t="s">
        <v>44</v>
      </c>
      <c r="R920" s="2"/>
      <c r="S920" t="str">
        <f>VLOOKUP(B920,CASOPOInvCL!$B$1:$D$1600,1,FALSE)</f>
        <v>SO18065</v>
      </c>
      <c r="T920">
        <f t="shared" si="14"/>
        <v>10</v>
      </c>
    </row>
    <row r="921" spans="1:20" x14ac:dyDescent="0.25">
      <c r="A921" s="2">
        <v>1</v>
      </c>
      <c r="B921" s="2" t="s">
        <v>164</v>
      </c>
      <c r="C921" s="2" t="s">
        <v>165</v>
      </c>
      <c r="D921" s="2" t="s">
        <v>166</v>
      </c>
      <c r="E921" s="3">
        <v>45946.580462962957</v>
      </c>
      <c r="F921" s="3">
        <v>45979.538703703707</v>
      </c>
      <c r="G921" s="4">
        <v>46007</v>
      </c>
      <c r="H921" s="2" t="s">
        <v>36</v>
      </c>
      <c r="I921" s="2" t="s">
        <v>22</v>
      </c>
      <c r="J921" s="2">
        <v>1</v>
      </c>
      <c r="K921" s="2">
        <v>4655.6000000000004</v>
      </c>
      <c r="L921" s="2">
        <v>0</v>
      </c>
      <c r="M921" s="2">
        <v>3326.2712357904888</v>
      </c>
      <c r="N921" s="2">
        <v>4120</v>
      </c>
      <c r="O921" s="2">
        <v>535.6</v>
      </c>
      <c r="P921" s="2">
        <v>4655.6000000000004</v>
      </c>
      <c r="Q921" s="2" t="s">
        <v>44</v>
      </c>
      <c r="R921" s="2"/>
      <c r="S921" t="str">
        <f>VLOOKUP(B921,CASOPOInvCL!$B$1:$D$1600,1,FALSE)</f>
        <v>SO18066</v>
      </c>
      <c r="T921">
        <f t="shared" si="14"/>
        <v>10</v>
      </c>
    </row>
    <row r="922" spans="1:20" x14ac:dyDescent="0.25">
      <c r="A922" s="2">
        <v>1</v>
      </c>
      <c r="B922" s="2" t="s">
        <v>360</v>
      </c>
      <c r="C922" s="2" t="s">
        <v>361</v>
      </c>
      <c r="D922" s="2" t="s">
        <v>316</v>
      </c>
      <c r="E922" s="3">
        <v>45946.664340277777</v>
      </c>
      <c r="F922" s="3">
        <v>45952.715648148151</v>
      </c>
      <c r="G922" s="4">
        <v>45959</v>
      </c>
      <c r="H922" s="2" t="s">
        <v>74</v>
      </c>
      <c r="I922" s="2" t="s">
        <v>22</v>
      </c>
      <c r="J922" s="2">
        <v>1</v>
      </c>
      <c r="K922" s="2">
        <v>2350.9499999999998</v>
      </c>
      <c r="L922" s="2">
        <v>2350.9499999999998</v>
      </c>
      <c r="M922" s="2">
        <v>2350.9499999999998</v>
      </c>
      <c r="N922" s="2">
        <v>2239</v>
      </c>
      <c r="O922" s="2">
        <v>111.95</v>
      </c>
      <c r="P922" s="2">
        <v>2350.9499999999998</v>
      </c>
      <c r="Q922" s="2" t="s">
        <v>44</v>
      </c>
      <c r="R922" s="2"/>
      <c r="S922" t="str">
        <f>VLOOKUP(B922,CASOPOInvCL!$B$1:$D$1600,1,FALSE)</f>
        <v>SO18068</v>
      </c>
      <c r="T922">
        <f t="shared" si="14"/>
        <v>10</v>
      </c>
    </row>
    <row r="923" spans="1:20" x14ac:dyDescent="0.25">
      <c r="A923" s="2">
        <v>1</v>
      </c>
      <c r="B923" s="2" t="s">
        <v>383</v>
      </c>
      <c r="C923" s="2" t="s">
        <v>384</v>
      </c>
      <c r="D923" s="2" t="s">
        <v>229</v>
      </c>
      <c r="E923" s="3">
        <v>45946.681481481479</v>
      </c>
      <c r="F923" s="3">
        <v>45947.615868055553</v>
      </c>
      <c r="G923" s="4">
        <v>46020</v>
      </c>
      <c r="H923" s="2" t="s">
        <v>40</v>
      </c>
      <c r="I923" s="2" t="s">
        <v>22</v>
      </c>
      <c r="J923" s="2">
        <v>1</v>
      </c>
      <c r="K923" s="2">
        <v>111.47</v>
      </c>
      <c r="L923" s="2">
        <v>0</v>
      </c>
      <c r="M923" s="2">
        <v>79.353426383668804</v>
      </c>
      <c r="N923" s="2">
        <v>106.16</v>
      </c>
      <c r="O923" s="2">
        <v>5.31</v>
      </c>
      <c r="P923" s="2">
        <v>111.47</v>
      </c>
      <c r="Q923" s="2" t="s">
        <v>126</v>
      </c>
      <c r="R923" s="2"/>
      <c r="S923" t="str">
        <f>VLOOKUP(B923,CASOPOInvCL!$B$1:$D$1600,1,FALSE)</f>
        <v>SO18069</v>
      </c>
      <c r="T923">
        <f t="shared" si="14"/>
        <v>10</v>
      </c>
    </row>
    <row r="924" spans="1:20" ht="30" x14ac:dyDescent="0.25">
      <c r="A924" s="2">
        <v>1</v>
      </c>
      <c r="B924" s="2" t="s">
        <v>364</v>
      </c>
      <c r="C924" s="2" t="s">
        <v>365</v>
      </c>
      <c r="D924" s="2" t="s">
        <v>366</v>
      </c>
      <c r="E924" s="3">
        <v>45947.450972222221</v>
      </c>
      <c r="F924" s="3">
        <v>45952.586400462962</v>
      </c>
      <c r="G924" s="4">
        <v>45981</v>
      </c>
      <c r="H924" s="2" t="s">
        <v>67</v>
      </c>
      <c r="I924" s="2" t="s">
        <v>22</v>
      </c>
      <c r="J924" s="2">
        <v>1</v>
      </c>
      <c r="K924" s="2">
        <v>20340.650000000001</v>
      </c>
      <c r="L924" s="2">
        <v>20340.650000000001</v>
      </c>
      <c r="M924" s="2">
        <v>20340.650000000001</v>
      </c>
      <c r="N924" s="2">
        <v>18033.48</v>
      </c>
      <c r="O924" s="2">
        <v>2307.17</v>
      </c>
      <c r="P924" s="2">
        <v>20340.650000000001</v>
      </c>
      <c r="Q924" s="2" t="s">
        <v>44</v>
      </c>
      <c r="R924" s="2"/>
      <c r="S924" t="str">
        <f>VLOOKUP(B924,CASOPOInvCL!$B$1:$D$1600,1,FALSE)</f>
        <v>SO18072</v>
      </c>
      <c r="T924">
        <f t="shared" si="14"/>
        <v>10</v>
      </c>
    </row>
    <row r="925" spans="1:20" x14ac:dyDescent="0.25">
      <c r="A925" s="2">
        <v>1</v>
      </c>
      <c r="B925" s="2" t="s">
        <v>342</v>
      </c>
      <c r="C925" s="2" t="s">
        <v>343</v>
      </c>
      <c r="D925" s="2" t="s">
        <v>242</v>
      </c>
      <c r="E925" s="3">
        <v>45947.457442129627</v>
      </c>
      <c r="F925" s="3">
        <v>45957.605810185189</v>
      </c>
      <c r="G925" s="4">
        <v>45959</v>
      </c>
      <c r="H925" s="2" t="s">
        <v>40</v>
      </c>
      <c r="I925" s="2" t="s">
        <v>22</v>
      </c>
      <c r="J925" s="2">
        <v>1</v>
      </c>
      <c r="K925" s="2">
        <v>155.12</v>
      </c>
      <c r="L925" s="2">
        <v>155.12</v>
      </c>
      <c r="M925" s="2">
        <v>155.12</v>
      </c>
      <c r="N925" s="2">
        <v>147.72999999999999</v>
      </c>
      <c r="O925" s="2">
        <v>7.39</v>
      </c>
      <c r="P925" s="2">
        <v>155.12</v>
      </c>
      <c r="Q925" s="2" t="s">
        <v>44</v>
      </c>
      <c r="R925" s="2"/>
      <c r="S925" t="str">
        <f>VLOOKUP(B925,CASOPOInvCL!$B$1:$D$1600,1,FALSE)</f>
        <v>SO18073</v>
      </c>
      <c r="T925">
        <f t="shared" si="14"/>
        <v>10</v>
      </c>
    </row>
    <row r="926" spans="1:20" x14ac:dyDescent="0.25">
      <c r="A926" s="2">
        <v>1</v>
      </c>
      <c r="B926" s="2" t="s">
        <v>381</v>
      </c>
      <c r="C926" s="2" t="s">
        <v>382</v>
      </c>
      <c r="D926" s="2" t="s">
        <v>64</v>
      </c>
      <c r="E926" s="3">
        <v>45947.62232638889</v>
      </c>
      <c r="F926" s="3">
        <v>45947.62263888889</v>
      </c>
      <c r="G926" s="4">
        <v>45950</v>
      </c>
      <c r="H926" s="2" t="s">
        <v>21</v>
      </c>
      <c r="I926" s="2" t="s">
        <v>22</v>
      </c>
      <c r="J926" s="2">
        <v>1</v>
      </c>
      <c r="K926" s="2">
        <v>271.67</v>
      </c>
      <c r="L926" s="2">
        <v>0</v>
      </c>
      <c r="M926" s="2">
        <v>193.39683632951741</v>
      </c>
      <c r="N926" s="2">
        <v>240.42</v>
      </c>
      <c r="O926" s="2">
        <v>31.25</v>
      </c>
      <c r="P926" s="2">
        <v>271.67</v>
      </c>
      <c r="Q926" s="2" t="s">
        <v>44</v>
      </c>
      <c r="R926" s="2"/>
      <c r="S926" t="str">
        <f>VLOOKUP(B926,CASOPOInvCL!$B$1:$D$1600,1,FALSE)</f>
        <v>SO18076</v>
      </c>
      <c r="T926">
        <f t="shared" si="14"/>
        <v>10</v>
      </c>
    </row>
    <row r="927" spans="1:20" x14ac:dyDescent="0.25">
      <c r="A927" s="2">
        <v>1</v>
      </c>
      <c r="B927" s="2" t="s">
        <v>379</v>
      </c>
      <c r="C927" s="2" t="s">
        <v>380</v>
      </c>
      <c r="D927" s="2" t="s">
        <v>121</v>
      </c>
      <c r="E927" s="3">
        <v>45947.737800925926</v>
      </c>
      <c r="F927" s="3">
        <v>45947.743981481479</v>
      </c>
      <c r="G927" s="4">
        <v>45961</v>
      </c>
      <c r="H927" s="2" t="s">
        <v>21</v>
      </c>
      <c r="I927" s="2" t="s">
        <v>22</v>
      </c>
      <c r="J927" s="2">
        <v>1</v>
      </c>
      <c r="K927" s="2">
        <v>5178.8900000000003</v>
      </c>
      <c r="L927" s="2">
        <v>0</v>
      </c>
      <c r="M927" s="2">
        <v>3686.7557761201988</v>
      </c>
      <c r="N927" s="2">
        <v>4932.2700000000004</v>
      </c>
      <c r="O927" s="2">
        <v>246.62</v>
      </c>
      <c r="P927" s="2">
        <v>5178.8900000000003</v>
      </c>
      <c r="Q927" s="2" t="s">
        <v>44</v>
      </c>
      <c r="R927" s="2"/>
      <c r="S927" t="str">
        <f>VLOOKUP(B927,CASOPOInvCL!$B$1:$D$1600,1,FALSE)</f>
        <v>SO18078</v>
      </c>
      <c r="T927">
        <f t="shared" si="14"/>
        <v>10</v>
      </c>
    </row>
    <row r="928" spans="1:20" x14ac:dyDescent="0.25">
      <c r="A928" s="2">
        <v>1</v>
      </c>
      <c r="B928" s="2" t="s">
        <v>373</v>
      </c>
      <c r="C928" s="2" t="s">
        <v>374</v>
      </c>
      <c r="D928" s="2" t="s">
        <v>98</v>
      </c>
      <c r="E928" s="3">
        <v>45950.345532407409</v>
      </c>
      <c r="F928" s="3">
        <v>45950.45244212963</v>
      </c>
      <c r="G928" s="4">
        <v>45952</v>
      </c>
      <c r="H928" s="2" t="s">
        <v>40</v>
      </c>
      <c r="I928" s="2" t="s">
        <v>22</v>
      </c>
      <c r="J928" s="2">
        <v>1</v>
      </c>
      <c r="K928" s="2">
        <v>3117.08</v>
      </c>
      <c r="L928" s="2">
        <v>0</v>
      </c>
      <c r="M928" s="2">
        <v>2221.6193052588801</v>
      </c>
      <c r="N928" s="2">
        <v>2758.48</v>
      </c>
      <c r="O928" s="2">
        <v>358.6</v>
      </c>
      <c r="P928" s="2">
        <v>3117.08</v>
      </c>
      <c r="Q928" s="2" t="s">
        <v>44</v>
      </c>
      <c r="R928" s="2"/>
      <c r="S928" t="str">
        <f>VLOOKUP(B928,CASOPOInvCL!$B$1:$D$1600,1,FALSE)</f>
        <v>SO18079</v>
      </c>
      <c r="T928">
        <f t="shared" si="14"/>
        <v>10</v>
      </c>
    </row>
    <row r="929" spans="1:20" ht="30" x14ac:dyDescent="0.25">
      <c r="A929" s="2">
        <v>1</v>
      </c>
      <c r="B929" s="2" t="s">
        <v>157</v>
      </c>
      <c r="C929" s="2" t="s">
        <v>158</v>
      </c>
      <c r="D929" s="2" t="s">
        <v>159</v>
      </c>
      <c r="E929" s="3">
        <v>45950.482233796298</v>
      </c>
      <c r="F929" s="3">
        <v>45979.595578703702</v>
      </c>
      <c r="G929" s="4">
        <v>46035</v>
      </c>
      <c r="H929" s="2" t="s">
        <v>40</v>
      </c>
      <c r="I929" s="2" t="s">
        <v>51</v>
      </c>
      <c r="J929" s="2">
        <v>0.7129261885474989</v>
      </c>
      <c r="K929" s="2">
        <v>1400.481587068924</v>
      </c>
      <c r="L929" s="2">
        <v>0</v>
      </c>
      <c r="M929" s="2">
        <v>998.44</v>
      </c>
      <c r="N929" s="2">
        <v>998.44</v>
      </c>
      <c r="O929" s="2"/>
      <c r="P929" s="2">
        <v>998.44</v>
      </c>
      <c r="Q929" s="2" t="s">
        <v>44</v>
      </c>
      <c r="R929" s="2"/>
      <c r="S929" t="str">
        <f>VLOOKUP(B929,CASOPOInvCL!$B$1:$D$1600,1,FALSE)</f>
        <v>SO18080</v>
      </c>
      <c r="T929">
        <f t="shared" si="14"/>
        <v>10</v>
      </c>
    </row>
    <row r="930" spans="1:20" x14ac:dyDescent="0.25">
      <c r="A930" s="2">
        <v>1</v>
      </c>
      <c r="B930" s="2" t="s">
        <v>349</v>
      </c>
      <c r="C930" s="2" t="s">
        <v>350</v>
      </c>
      <c r="D930" s="2" t="s">
        <v>64</v>
      </c>
      <c r="E930" s="3">
        <v>45950.498206018521</v>
      </c>
      <c r="F930" s="3">
        <v>45953.660405092603</v>
      </c>
      <c r="G930" s="4">
        <v>45954</v>
      </c>
      <c r="H930" s="2" t="s">
        <v>21</v>
      </c>
      <c r="I930" s="2" t="s">
        <v>22</v>
      </c>
      <c r="J930" s="2">
        <v>1</v>
      </c>
      <c r="K930" s="2">
        <v>1606.31</v>
      </c>
      <c r="L930" s="2">
        <v>0</v>
      </c>
      <c r="M930" s="2">
        <v>1147.998143695695</v>
      </c>
      <c r="N930" s="2">
        <v>1421.52</v>
      </c>
      <c r="O930" s="2">
        <v>184.79</v>
      </c>
      <c r="P930" s="2">
        <v>1606.31</v>
      </c>
      <c r="Q930" s="2" t="s">
        <v>44</v>
      </c>
      <c r="R930" s="2"/>
      <c r="S930" t="str">
        <f>VLOOKUP(B930,CASOPOInvCL!$B$1:$D$1600,1,FALSE)</f>
        <v>SO18081</v>
      </c>
      <c r="T930">
        <f t="shared" si="14"/>
        <v>10</v>
      </c>
    </row>
    <row r="931" spans="1:20" x14ac:dyDescent="0.25">
      <c r="A931" s="2">
        <v>1</v>
      </c>
      <c r="B931" s="2" t="s">
        <v>243</v>
      </c>
      <c r="C931" s="2" t="s">
        <v>244</v>
      </c>
      <c r="D931" s="2" t="s">
        <v>245</v>
      </c>
      <c r="E931" s="3">
        <v>45951.307569444441</v>
      </c>
      <c r="F931" s="3">
        <v>45968.588518518518</v>
      </c>
      <c r="G931" s="2"/>
      <c r="H931" s="2" t="s">
        <v>40</v>
      </c>
      <c r="I931" s="2" t="s">
        <v>22</v>
      </c>
      <c r="J931" s="2">
        <v>1</v>
      </c>
      <c r="K931" s="2">
        <v>664.02</v>
      </c>
      <c r="L931" s="2">
        <v>0</v>
      </c>
      <c r="M931" s="2">
        <v>471.75056713712871</v>
      </c>
      <c r="N931" s="2">
        <v>632.4</v>
      </c>
      <c r="O931" s="2">
        <v>31.62</v>
      </c>
      <c r="P931" s="2">
        <v>664.02</v>
      </c>
      <c r="Q931" s="2" t="s">
        <v>44</v>
      </c>
      <c r="R931" s="2"/>
      <c r="S931" t="str">
        <f>VLOOKUP(B931,CASOPOInvCL!$B$1:$D$1600,1,FALSE)</f>
        <v>SO18084</v>
      </c>
      <c r="T931">
        <f t="shared" si="14"/>
        <v>10</v>
      </c>
    </row>
    <row r="932" spans="1:20" x14ac:dyDescent="0.25">
      <c r="A932" s="2">
        <v>2</v>
      </c>
      <c r="B932" s="2" t="s">
        <v>354</v>
      </c>
      <c r="C932" s="2" t="s">
        <v>355</v>
      </c>
      <c r="D932" s="2" t="s">
        <v>70</v>
      </c>
      <c r="E932" s="3">
        <v>45951.55332175926</v>
      </c>
      <c r="F932" s="3">
        <v>45953.454282407409</v>
      </c>
      <c r="G932" s="4">
        <v>45960</v>
      </c>
      <c r="H932" s="2" t="s">
        <v>74</v>
      </c>
      <c r="I932" s="2" t="s">
        <v>51</v>
      </c>
      <c r="J932" s="2">
        <v>0.7136429375368859</v>
      </c>
      <c r="K932" s="2">
        <v>16129.718931612129</v>
      </c>
      <c r="L932" s="2">
        <v>0</v>
      </c>
      <c r="M932" s="2">
        <v>11510.86</v>
      </c>
      <c r="N932" s="2">
        <v>11510.86</v>
      </c>
      <c r="O932" s="2"/>
      <c r="P932" s="2">
        <v>11510.86</v>
      </c>
      <c r="Q932" s="2" t="s">
        <v>44</v>
      </c>
      <c r="R932" s="2"/>
      <c r="S932" t="str">
        <f>VLOOKUP(B932,CASOPOInvCL!$B$1:$D$1600,1,FALSE)</f>
        <v>SO18089</v>
      </c>
      <c r="T932">
        <f t="shared" si="14"/>
        <v>10</v>
      </c>
    </row>
    <row r="933" spans="1:20" x14ac:dyDescent="0.25">
      <c r="A933" s="2">
        <v>1</v>
      </c>
      <c r="B933" s="2" t="s">
        <v>319</v>
      </c>
      <c r="C933" s="2" t="s">
        <v>320</v>
      </c>
      <c r="D933" s="2" t="s">
        <v>77</v>
      </c>
      <c r="E933" s="3">
        <v>45951.708194444444</v>
      </c>
      <c r="F933" s="3">
        <v>45959.498425925929</v>
      </c>
      <c r="G933" s="4">
        <v>45973</v>
      </c>
      <c r="H933" s="2" t="s">
        <v>36</v>
      </c>
      <c r="I933" s="2" t="s">
        <v>22</v>
      </c>
      <c r="J933" s="2">
        <v>1</v>
      </c>
      <c r="K933" s="2">
        <v>409.85</v>
      </c>
      <c r="L933" s="2">
        <v>0</v>
      </c>
      <c r="M933" s="2">
        <v>294.95211167473951</v>
      </c>
      <c r="N933" s="2">
        <v>390.33</v>
      </c>
      <c r="O933" s="2">
        <v>19.52</v>
      </c>
      <c r="P933" s="2">
        <v>409.85</v>
      </c>
      <c r="Q933" s="2" t="s">
        <v>44</v>
      </c>
      <c r="R933" s="2"/>
      <c r="S933" t="str">
        <f>VLOOKUP(B933,CASOPOInvCL!$B$1:$D$1600,1,FALSE)</f>
        <v>SO18095</v>
      </c>
      <c r="T933">
        <f t="shared" si="14"/>
        <v>10</v>
      </c>
    </row>
    <row r="934" spans="1:20" x14ac:dyDescent="0.25">
      <c r="A934" s="2">
        <v>1</v>
      </c>
      <c r="B934" s="2" t="s">
        <v>358</v>
      </c>
      <c r="C934" s="2" t="s">
        <v>359</v>
      </c>
      <c r="D934" s="2" t="s">
        <v>20</v>
      </c>
      <c r="E934" s="3">
        <v>45952.382256944453</v>
      </c>
      <c r="F934" s="3">
        <v>45952.728263888886</v>
      </c>
      <c r="G934" s="4">
        <v>45953</v>
      </c>
      <c r="H934" s="2" t="s">
        <v>21</v>
      </c>
      <c r="I934" s="2" t="s">
        <v>22</v>
      </c>
      <c r="J934" s="2">
        <v>1</v>
      </c>
      <c r="K934" s="2">
        <v>4434.6099999999997</v>
      </c>
      <c r="L934" s="2">
        <v>4434.6099999999997</v>
      </c>
      <c r="M934" s="2">
        <v>4434.6099999999997</v>
      </c>
      <c r="N934" s="2">
        <v>4223.4399999999996</v>
      </c>
      <c r="O934" s="2">
        <v>211.17</v>
      </c>
      <c r="P934" s="2">
        <v>4434.6099999999997</v>
      </c>
      <c r="Q934" s="2" t="s">
        <v>44</v>
      </c>
      <c r="R934" s="2"/>
      <c r="S934" t="str">
        <f>VLOOKUP(B934,CASOPOInvCL!$B$1:$D$1600,1,FALSE)</f>
        <v>SO18096</v>
      </c>
      <c r="T934">
        <f t="shared" si="14"/>
        <v>10</v>
      </c>
    </row>
    <row r="935" spans="1:20" x14ac:dyDescent="0.25">
      <c r="A935" s="2">
        <v>0</v>
      </c>
      <c r="B935" s="2" t="s">
        <v>6184</v>
      </c>
      <c r="C935" s="2" t="s">
        <v>6185</v>
      </c>
      <c r="D935" s="2" t="s">
        <v>901</v>
      </c>
      <c r="E935" s="3">
        <v>45952.725289351853</v>
      </c>
      <c r="F935" s="3">
        <v>45995.741249999999</v>
      </c>
      <c r="G935" s="4">
        <v>46050</v>
      </c>
      <c r="H935" s="2" t="s">
        <v>180</v>
      </c>
      <c r="I935" s="2" t="s">
        <v>51</v>
      </c>
      <c r="J935" s="2">
        <v>0.71478261126370946</v>
      </c>
      <c r="K935" s="2">
        <v>26137.457327018419</v>
      </c>
      <c r="L935" s="2">
        <v>0</v>
      </c>
      <c r="M935" s="2">
        <v>18682.599999999999</v>
      </c>
      <c r="N935" s="2">
        <v>18682.599999999999</v>
      </c>
      <c r="O935" s="2"/>
      <c r="P935" s="2">
        <v>18682.599999999999</v>
      </c>
      <c r="Q935" s="2" t="s">
        <v>23</v>
      </c>
      <c r="R935" s="2"/>
      <c r="S935" t="str">
        <f>VLOOKUP(B935,CASOPOInvCL!$B$1:$D$1600,1,FALSE)</f>
        <v>SO18103</v>
      </c>
      <c r="T935">
        <f t="shared" si="14"/>
        <v>10</v>
      </c>
    </row>
    <row r="936" spans="1:20" x14ac:dyDescent="0.25">
      <c r="A936" s="2">
        <v>1</v>
      </c>
      <c r="B936" s="2" t="s">
        <v>356</v>
      </c>
      <c r="C936" s="2" t="s">
        <v>357</v>
      </c>
      <c r="D936" s="2" t="s">
        <v>195</v>
      </c>
      <c r="E936" s="3">
        <v>45952.77070601852</v>
      </c>
      <c r="F936" s="3">
        <v>45952.77076388889</v>
      </c>
      <c r="G936" s="4">
        <v>46015</v>
      </c>
      <c r="H936" s="2" t="s">
        <v>21</v>
      </c>
      <c r="I936" s="2" t="s">
        <v>22</v>
      </c>
      <c r="J936" s="2">
        <v>1</v>
      </c>
      <c r="K936" s="2">
        <v>1043.81</v>
      </c>
      <c r="L936" s="2">
        <v>1043.81</v>
      </c>
      <c r="M936" s="2">
        <v>1043.81</v>
      </c>
      <c r="N936" s="2">
        <v>994.1</v>
      </c>
      <c r="O936" s="2">
        <v>49.71</v>
      </c>
      <c r="P936" s="2">
        <v>1043.81</v>
      </c>
      <c r="Q936" s="2" t="s">
        <v>44</v>
      </c>
      <c r="R936" s="2"/>
      <c r="S936" t="str">
        <f>VLOOKUP(B936,CASOPOInvCL!$B$1:$D$1600,1,FALSE)</f>
        <v>SO18104</v>
      </c>
      <c r="T936">
        <f t="shared" si="14"/>
        <v>10</v>
      </c>
    </row>
    <row r="937" spans="1:20" ht="30" x14ac:dyDescent="0.25">
      <c r="A937" s="2">
        <v>1</v>
      </c>
      <c r="B937" s="2" t="s">
        <v>351</v>
      </c>
      <c r="C937" s="2" t="s">
        <v>352</v>
      </c>
      <c r="D937" s="2" t="s">
        <v>353</v>
      </c>
      <c r="E937" s="3">
        <v>45953.502384259264</v>
      </c>
      <c r="F937" s="3">
        <v>45953.502384259264</v>
      </c>
      <c r="G937" s="4">
        <v>45957</v>
      </c>
      <c r="H937" s="2" t="s">
        <v>40</v>
      </c>
      <c r="I937" s="2" t="s">
        <v>22</v>
      </c>
      <c r="J937" s="2">
        <v>1</v>
      </c>
      <c r="K937" s="2">
        <v>593.25</v>
      </c>
      <c r="L937" s="2">
        <v>0</v>
      </c>
      <c r="M937" s="2">
        <v>423.98409942506169</v>
      </c>
      <c r="N937" s="2">
        <v>565</v>
      </c>
      <c r="O937" s="2">
        <v>28.25</v>
      </c>
      <c r="P937" s="2">
        <v>593.25</v>
      </c>
      <c r="Q937" s="2" t="s">
        <v>44</v>
      </c>
      <c r="R937" s="2"/>
      <c r="S937" t="str">
        <f>VLOOKUP(B937,CASOPOInvCL!$B$1:$D$1600,1,FALSE)</f>
        <v>SO18106</v>
      </c>
      <c r="T937">
        <f t="shared" si="14"/>
        <v>10</v>
      </c>
    </row>
    <row r="938" spans="1:20" x14ac:dyDescent="0.25">
      <c r="A938" s="2">
        <v>1</v>
      </c>
      <c r="B938" s="2" t="s">
        <v>299</v>
      </c>
      <c r="C938" s="2" t="s">
        <v>300</v>
      </c>
      <c r="D938" s="2" t="s">
        <v>171</v>
      </c>
      <c r="E938" s="3">
        <v>45953.614884259259</v>
      </c>
      <c r="F938" s="3">
        <v>45961.388738425929</v>
      </c>
      <c r="G938" s="4">
        <v>45967</v>
      </c>
      <c r="H938" s="2" t="s">
        <v>74</v>
      </c>
      <c r="I938" s="2" t="s">
        <v>22</v>
      </c>
      <c r="J938" s="2">
        <v>1</v>
      </c>
      <c r="K938" s="2">
        <v>593.34</v>
      </c>
      <c r="L938" s="2">
        <v>0</v>
      </c>
      <c r="M938" s="2">
        <v>423.45543151654141</v>
      </c>
      <c r="N938" s="2">
        <v>565.09</v>
      </c>
      <c r="O938" s="2">
        <v>28.25</v>
      </c>
      <c r="P938" s="2">
        <v>593.34</v>
      </c>
      <c r="Q938" s="2" t="s">
        <v>44</v>
      </c>
      <c r="R938" s="2"/>
      <c r="S938" t="str">
        <f>VLOOKUP(B938,CASOPOInvCL!$B$1:$D$1600,1,FALSE)</f>
        <v>SO18107</v>
      </c>
      <c r="T938">
        <f t="shared" si="14"/>
        <v>10</v>
      </c>
    </row>
    <row r="939" spans="1:20" x14ac:dyDescent="0.25">
      <c r="A939" s="2">
        <v>1</v>
      </c>
      <c r="B939" s="2" t="s">
        <v>347</v>
      </c>
      <c r="C939" s="2" t="s">
        <v>348</v>
      </c>
      <c r="D939" s="2" t="s">
        <v>242</v>
      </c>
      <c r="E939" s="3">
        <v>45953.78224537037</v>
      </c>
      <c r="F939" s="3">
        <v>45953.784085648149</v>
      </c>
      <c r="G939" s="4">
        <v>45960</v>
      </c>
      <c r="H939" s="2" t="s">
        <v>36</v>
      </c>
      <c r="I939" s="2" t="s">
        <v>22</v>
      </c>
      <c r="J939" s="2">
        <v>1</v>
      </c>
      <c r="K939" s="2">
        <v>2758.72</v>
      </c>
      <c r="L939" s="2">
        <v>0</v>
      </c>
      <c r="M939" s="2">
        <v>1971.602890460862</v>
      </c>
      <c r="N939" s="2">
        <v>2627.35</v>
      </c>
      <c r="O939" s="2">
        <v>131.37</v>
      </c>
      <c r="P939" s="2">
        <v>2758.72</v>
      </c>
      <c r="Q939" s="2" t="s">
        <v>44</v>
      </c>
      <c r="R939" s="2"/>
      <c r="S939" t="str">
        <f>VLOOKUP(B939,CASOPOInvCL!$B$1:$D$1600,1,FALSE)</f>
        <v>SO18108</v>
      </c>
      <c r="T939">
        <f t="shared" si="14"/>
        <v>10</v>
      </c>
    </row>
    <row r="940" spans="1:20" x14ac:dyDescent="0.25">
      <c r="A940" s="2">
        <v>1</v>
      </c>
      <c r="B940" s="2" t="s">
        <v>255</v>
      </c>
      <c r="C940" s="2" t="s">
        <v>256</v>
      </c>
      <c r="D940" s="2" t="s">
        <v>248</v>
      </c>
      <c r="E940" s="3">
        <v>45954.389756944453</v>
      </c>
      <c r="F940" s="3">
        <v>45967.624826388892</v>
      </c>
      <c r="G940" s="4">
        <v>45971</v>
      </c>
      <c r="H940" s="2" t="s">
        <v>40</v>
      </c>
      <c r="I940" s="2" t="s">
        <v>22</v>
      </c>
      <c r="J940" s="2">
        <v>1</v>
      </c>
      <c r="K940" s="2">
        <v>1612.6</v>
      </c>
      <c r="L940" s="2">
        <v>1612.6</v>
      </c>
      <c r="M940" s="2">
        <v>1612.6</v>
      </c>
      <c r="N940" s="2">
        <v>1414.55</v>
      </c>
      <c r="O940" s="2">
        <v>198.05</v>
      </c>
      <c r="P940" s="2">
        <v>1612.6</v>
      </c>
      <c r="Q940" s="2" t="s">
        <v>44</v>
      </c>
      <c r="R940" s="2"/>
      <c r="S940" t="str">
        <f>VLOOKUP(B940,CASOPOInvCL!$B$1:$D$1600,1,FALSE)</f>
        <v>SO18109</v>
      </c>
      <c r="T940">
        <f t="shared" si="14"/>
        <v>10</v>
      </c>
    </row>
    <row r="941" spans="1:20" x14ac:dyDescent="0.25">
      <c r="A941" s="2">
        <v>1</v>
      </c>
      <c r="B941" s="2" t="s">
        <v>344</v>
      </c>
      <c r="C941" s="2"/>
      <c r="D941" s="2" t="s">
        <v>129</v>
      </c>
      <c r="E941" s="3">
        <v>45954.4221875</v>
      </c>
      <c r="F941" s="3">
        <v>45954.583877314813</v>
      </c>
      <c r="G941" s="4">
        <v>46013</v>
      </c>
      <c r="H941" s="2" t="s">
        <v>328</v>
      </c>
      <c r="I941" s="2" t="s">
        <v>51</v>
      </c>
      <c r="J941" s="2">
        <v>0.71468031930056763</v>
      </c>
      <c r="K941" s="2">
        <v>69961.350060588258</v>
      </c>
      <c r="L941" s="2">
        <v>0</v>
      </c>
      <c r="M941" s="2">
        <v>50000</v>
      </c>
      <c r="N941" s="2">
        <v>50000</v>
      </c>
      <c r="O941" s="2"/>
      <c r="P941" s="2">
        <v>50000</v>
      </c>
      <c r="Q941" s="2" t="s">
        <v>29</v>
      </c>
      <c r="R941" s="2"/>
      <c r="S941" t="str">
        <f>VLOOKUP(B941,CASOPOInvCL!$B$1:$D$1600,1,FALSE)</f>
        <v>SO18110</v>
      </c>
      <c r="T941">
        <f t="shared" si="14"/>
        <v>10</v>
      </c>
    </row>
    <row r="942" spans="1:20" x14ac:dyDescent="0.25">
      <c r="A942" s="2">
        <v>2</v>
      </c>
      <c r="B942" s="2" t="s">
        <v>338</v>
      </c>
      <c r="C942" s="2" t="s">
        <v>339</v>
      </c>
      <c r="D942" s="2" t="s">
        <v>20</v>
      </c>
      <c r="E942" s="3">
        <v>45954.561307870368</v>
      </c>
      <c r="F942" s="3">
        <v>45957.763101851851</v>
      </c>
      <c r="G942" s="4">
        <v>45999</v>
      </c>
      <c r="H942" s="2" t="s">
        <v>21</v>
      </c>
      <c r="I942" s="2" t="s">
        <v>22</v>
      </c>
      <c r="J942" s="2">
        <v>1</v>
      </c>
      <c r="K942" s="2">
        <v>3718.02</v>
      </c>
      <c r="L942" s="2">
        <v>3718.02</v>
      </c>
      <c r="M942" s="2">
        <v>3718.02</v>
      </c>
      <c r="N942" s="2">
        <v>3540.97</v>
      </c>
      <c r="O942" s="2">
        <v>177.05</v>
      </c>
      <c r="P942" s="2">
        <v>3718.02</v>
      </c>
      <c r="Q942" s="2" t="s">
        <v>44</v>
      </c>
      <c r="R942" s="2"/>
      <c r="S942" t="str">
        <f>VLOOKUP(B942,CASOPOInvCL!$B$1:$D$1600,1,FALSE)</f>
        <v>SO18112</v>
      </c>
      <c r="T942">
        <f t="shared" si="14"/>
        <v>10</v>
      </c>
    </row>
    <row r="943" spans="1:20" x14ac:dyDescent="0.25">
      <c r="A943" s="2">
        <v>2</v>
      </c>
      <c r="B943" s="2" t="s">
        <v>311</v>
      </c>
      <c r="C943" s="2" t="s">
        <v>312</v>
      </c>
      <c r="D943" s="2" t="s">
        <v>313</v>
      </c>
      <c r="E943" s="3">
        <v>45957.505995370368</v>
      </c>
      <c r="F943" s="3">
        <v>45959.695347222223</v>
      </c>
      <c r="G943" s="4">
        <v>45968</v>
      </c>
      <c r="H943" s="2" t="s">
        <v>74</v>
      </c>
      <c r="I943" s="2" t="s">
        <v>51</v>
      </c>
      <c r="J943" s="2">
        <v>0.71746735350995994</v>
      </c>
      <c r="K943" s="2">
        <v>4624.6006647798486</v>
      </c>
      <c r="L943" s="2">
        <v>0</v>
      </c>
      <c r="M943" s="2">
        <v>3318</v>
      </c>
      <c r="N943" s="2">
        <v>3318</v>
      </c>
      <c r="O943" s="2"/>
      <c r="P943" s="2">
        <v>3318</v>
      </c>
      <c r="Q943" s="2" t="s">
        <v>44</v>
      </c>
      <c r="R943" s="2"/>
      <c r="S943" t="str">
        <f>VLOOKUP(B943,CASOPOInvCL!$B$1:$D$1600,1,FALSE)</f>
        <v>SO18115</v>
      </c>
      <c r="T943">
        <f t="shared" si="14"/>
        <v>10</v>
      </c>
    </row>
    <row r="944" spans="1:20" x14ac:dyDescent="0.25">
      <c r="A944" s="2">
        <v>1</v>
      </c>
      <c r="B944" s="2" t="s">
        <v>305</v>
      </c>
      <c r="C944" s="2" t="s">
        <v>306</v>
      </c>
      <c r="D944" s="2" t="s">
        <v>307</v>
      </c>
      <c r="E944" s="3">
        <v>45957.596932870372</v>
      </c>
      <c r="F944" s="3">
        <v>45960.583877314813</v>
      </c>
      <c r="G944" s="4">
        <v>45230</v>
      </c>
      <c r="H944" s="2" t="s">
        <v>180</v>
      </c>
      <c r="I944" s="2" t="s">
        <v>51</v>
      </c>
      <c r="J944" s="2">
        <v>0.71746735350995994</v>
      </c>
      <c r="K944" s="2">
        <v>4205.3202633395013</v>
      </c>
      <c r="L944" s="2">
        <v>0</v>
      </c>
      <c r="M944" s="2">
        <v>3017.18</v>
      </c>
      <c r="N944" s="2">
        <v>3017.18</v>
      </c>
      <c r="O944" s="2"/>
      <c r="P944" s="2">
        <v>3017.18</v>
      </c>
      <c r="Q944" s="2" t="s">
        <v>44</v>
      </c>
      <c r="R944" s="2"/>
      <c r="S944" t="str">
        <f>VLOOKUP(B944,CASOPOInvCL!$B$1:$D$1600,1,FALSE)</f>
        <v>SO18116</v>
      </c>
      <c r="T944">
        <f t="shared" si="14"/>
        <v>10</v>
      </c>
    </row>
    <row r="945" spans="1:20" x14ac:dyDescent="0.25">
      <c r="A945" s="2">
        <v>1</v>
      </c>
      <c r="B945" s="2" t="s">
        <v>5861</v>
      </c>
      <c r="C945" s="2" t="s">
        <v>5862</v>
      </c>
      <c r="D945" s="2" t="s">
        <v>54</v>
      </c>
      <c r="E945" s="3">
        <v>45957.801574074067</v>
      </c>
      <c r="F945" s="3">
        <v>45994.421435185177</v>
      </c>
      <c r="G945" s="4">
        <v>46071</v>
      </c>
      <c r="H945" s="2" t="s">
        <v>21</v>
      </c>
      <c r="I945" s="2" t="s">
        <v>22</v>
      </c>
      <c r="J945" s="2">
        <v>1</v>
      </c>
      <c r="K945" s="2">
        <v>14649.57</v>
      </c>
      <c r="L945" s="2">
        <v>0</v>
      </c>
      <c r="M945" s="2">
        <v>10499.290339573499</v>
      </c>
      <c r="N945" s="2">
        <v>13927.52</v>
      </c>
      <c r="O945" s="2">
        <v>722.05</v>
      </c>
      <c r="P945" s="2">
        <v>14649.57</v>
      </c>
      <c r="Q945" s="2" t="s">
        <v>29</v>
      </c>
      <c r="R945" s="2"/>
      <c r="S945" t="str">
        <f>VLOOKUP(B945,CASOPOInvCL!$B$1:$D$1600,1,FALSE)</f>
        <v>SO18120</v>
      </c>
      <c r="T945">
        <f t="shared" si="14"/>
        <v>10</v>
      </c>
    </row>
    <row r="946" spans="1:20" x14ac:dyDescent="0.25">
      <c r="A946" s="2">
        <v>1</v>
      </c>
      <c r="B946" s="2" t="s">
        <v>329</v>
      </c>
      <c r="C946" s="2" t="s">
        <v>330</v>
      </c>
      <c r="D946" s="2" t="s">
        <v>64</v>
      </c>
      <c r="E946" s="3">
        <v>45958.430462962962</v>
      </c>
      <c r="F946" s="3">
        <v>45958.665937500002</v>
      </c>
      <c r="G946" s="4">
        <v>45986</v>
      </c>
      <c r="H946" s="2" t="s">
        <v>74</v>
      </c>
      <c r="I946" s="2" t="s">
        <v>22</v>
      </c>
      <c r="J946" s="2">
        <v>1</v>
      </c>
      <c r="K946" s="2">
        <v>3315.42</v>
      </c>
      <c r="L946" s="2">
        <v>0</v>
      </c>
      <c r="M946" s="2">
        <v>2378.705613173991</v>
      </c>
      <c r="N946" s="2">
        <v>2934</v>
      </c>
      <c r="O946" s="2">
        <v>381.42</v>
      </c>
      <c r="P946" s="2">
        <v>3315.42</v>
      </c>
      <c r="Q946" s="2" t="s">
        <v>44</v>
      </c>
      <c r="R946" s="2"/>
      <c r="S946" t="str">
        <f>VLOOKUP(B946,CASOPOInvCL!$B$1:$D$1600,1,FALSE)</f>
        <v>SO18122</v>
      </c>
      <c r="T946">
        <f t="shared" si="14"/>
        <v>10</v>
      </c>
    </row>
    <row r="947" spans="1:20" x14ac:dyDescent="0.25">
      <c r="A947" s="2">
        <v>1</v>
      </c>
      <c r="B947" s="2" t="s">
        <v>297</v>
      </c>
      <c r="C947" s="2" t="s">
        <v>298</v>
      </c>
      <c r="D947" s="2" t="s">
        <v>54</v>
      </c>
      <c r="E947" s="3">
        <v>45958.448298611111</v>
      </c>
      <c r="F947" s="3">
        <v>45961.472905092603</v>
      </c>
      <c r="G947" s="4">
        <v>45986</v>
      </c>
      <c r="H947" s="2" t="s">
        <v>21</v>
      </c>
      <c r="I947" s="2" t="s">
        <v>22</v>
      </c>
      <c r="J947" s="2">
        <v>1</v>
      </c>
      <c r="K947" s="2">
        <v>2097.44</v>
      </c>
      <c r="L947" s="2">
        <v>0</v>
      </c>
      <c r="M947" s="2">
        <v>1496.902889203584</v>
      </c>
      <c r="N947" s="2">
        <v>1997.56</v>
      </c>
      <c r="O947" s="2">
        <v>99.88</v>
      </c>
      <c r="P947" s="2">
        <v>2097.44</v>
      </c>
      <c r="Q947" s="2" t="s">
        <v>44</v>
      </c>
      <c r="R947" s="2"/>
      <c r="S947" t="str">
        <f>VLOOKUP(B947,CASOPOInvCL!$B$1:$D$1600,1,FALSE)</f>
        <v>SO18123</v>
      </c>
      <c r="T947">
        <f t="shared" si="14"/>
        <v>10</v>
      </c>
    </row>
    <row r="948" spans="1:20" x14ac:dyDescent="0.25">
      <c r="A948" s="2">
        <v>2</v>
      </c>
      <c r="B948" s="2" t="s">
        <v>336</v>
      </c>
      <c r="C948" s="2" t="s">
        <v>337</v>
      </c>
      <c r="D948" s="2" t="s">
        <v>141</v>
      </c>
      <c r="E948" s="3">
        <v>45958.456087962957</v>
      </c>
      <c r="F948" s="3">
        <v>45958.45616898148</v>
      </c>
      <c r="G948" s="4">
        <v>46063</v>
      </c>
      <c r="H948" s="2" t="s">
        <v>21</v>
      </c>
      <c r="I948" s="2" t="s">
        <v>51</v>
      </c>
      <c r="J948" s="2">
        <v>0.71446482127323563</v>
      </c>
      <c r="K948" s="2">
        <v>1902.682902675931</v>
      </c>
      <c r="L948" s="2">
        <v>0</v>
      </c>
      <c r="M948" s="2">
        <v>1359.4</v>
      </c>
      <c r="N948" s="2">
        <v>1359.4</v>
      </c>
      <c r="O948" s="2"/>
      <c r="P948" s="2">
        <v>1359.4</v>
      </c>
      <c r="Q948" s="2" t="s">
        <v>44</v>
      </c>
      <c r="R948" s="2"/>
      <c r="S948" t="str">
        <f>VLOOKUP(B948,CASOPOInvCL!$B$1:$D$1600,1,FALSE)</f>
        <v>SO18124</v>
      </c>
      <c r="T948">
        <f t="shared" si="14"/>
        <v>10</v>
      </c>
    </row>
    <row r="949" spans="1:20" x14ac:dyDescent="0.25">
      <c r="A949" s="2">
        <v>2</v>
      </c>
      <c r="B949" s="2" t="s">
        <v>334</v>
      </c>
      <c r="C949" s="2" t="s">
        <v>335</v>
      </c>
      <c r="D949" s="2" t="s">
        <v>141</v>
      </c>
      <c r="E949" s="3">
        <v>45958.463425925933</v>
      </c>
      <c r="F949" s="3">
        <v>45958.463460648149</v>
      </c>
      <c r="G949" s="4">
        <v>45982</v>
      </c>
      <c r="H949" s="2" t="s">
        <v>21</v>
      </c>
      <c r="I949" s="2" t="s">
        <v>51</v>
      </c>
      <c r="J949" s="2">
        <v>0.71446482127323563</v>
      </c>
      <c r="K949" s="2">
        <v>517.64620032784035</v>
      </c>
      <c r="L949" s="2">
        <v>0</v>
      </c>
      <c r="M949" s="2">
        <v>369.84</v>
      </c>
      <c r="N949" s="2">
        <v>369.84</v>
      </c>
      <c r="O949" s="2"/>
      <c r="P949" s="2">
        <v>369.84</v>
      </c>
      <c r="Q949" s="2" t="s">
        <v>44</v>
      </c>
      <c r="R949" s="2"/>
      <c r="S949" t="str">
        <f>VLOOKUP(B949,CASOPOInvCL!$B$1:$D$1600,1,FALSE)</f>
        <v>SO18125</v>
      </c>
      <c r="T949">
        <f t="shared" si="14"/>
        <v>10</v>
      </c>
    </row>
    <row r="950" spans="1:20" x14ac:dyDescent="0.25">
      <c r="A950" s="2">
        <v>2</v>
      </c>
      <c r="B950" s="2" t="s">
        <v>332</v>
      </c>
      <c r="C950" s="2" t="s">
        <v>333</v>
      </c>
      <c r="D950" s="2" t="s">
        <v>98</v>
      </c>
      <c r="E950" s="3">
        <v>45958.48909722222</v>
      </c>
      <c r="F950" s="3">
        <v>45958.546331018522</v>
      </c>
      <c r="G950" s="4">
        <v>45979</v>
      </c>
      <c r="H950" s="2" t="s">
        <v>21</v>
      </c>
      <c r="I950" s="2" t="s">
        <v>22</v>
      </c>
      <c r="J950" s="2">
        <v>1</v>
      </c>
      <c r="K950" s="2">
        <v>1946.7</v>
      </c>
      <c r="L950" s="2">
        <v>0</v>
      </c>
      <c r="M950" s="2">
        <v>1396.693697077839</v>
      </c>
      <c r="N950" s="2">
        <v>1722.75</v>
      </c>
      <c r="O950" s="2">
        <v>223.95</v>
      </c>
      <c r="P950" s="2">
        <v>1946.7</v>
      </c>
      <c r="Q950" s="2" t="s">
        <v>44</v>
      </c>
      <c r="R950" s="2"/>
      <c r="S950" t="str">
        <f>VLOOKUP(B950,CASOPOInvCL!$B$1:$D$1600,1,FALSE)</f>
        <v>SO18126</v>
      </c>
      <c r="T950">
        <f t="shared" si="14"/>
        <v>10</v>
      </c>
    </row>
    <row r="951" spans="1:20" x14ac:dyDescent="0.25">
      <c r="A951" s="2">
        <v>0</v>
      </c>
      <c r="B951" s="2" t="s">
        <v>331</v>
      </c>
      <c r="C951" s="2"/>
      <c r="D951" s="2" t="s">
        <v>129</v>
      </c>
      <c r="E951" s="3">
        <v>45958.646574074082</v>
      </c>
      <c r="F951" s="3">
        <v>45958.647511574083</v>
      </c>
      <c r="G951" s="4">
        <v>46014</v>
      </c>
      <c r="H951" s="2" t="s">
        <v>328</v>
      </c>
      <c r="I951" s="2" t="s">
        <v>51</v>
      </c>
      <c r="J951" s="2">
        <v>0.71446482127323563</v>
      </c>
      <c r="K951" s="2">
        <v>5626.5891339982654</v>
      </c>
      <c r="L951" s="2">
        <v>0</v>
      </c>
      <c r="M951" s="2">
        <v>4020</v>
      </c>
      <c r="N951" s="2">
        <v>4020</v>
      </c>
      <c r="O951" s="2"/>
      <c r="P951" s="2">
        <v>4020</v>
      </c>
      <c r="Q951" s="2" t="s">
        <v>29</v>
      </c>
      <c r="R951" s="2"/>
      <c r="S951" t="str">
        <f>VLOOKUP(B951,CASOPOInvCL!$B$1:$D$1600,1,FALSE)</f>
        <v>SO18127</v>
      </c>
      <c r="T951">
        <f t="shared" si="14"/>
        <v>10</v>
      </c>
    </row>
    <row r="952" spans="1:20" x14ac:dyDescent="0.25">
      <c r="A952" s="2">
        <v>1</v>
      </c>
      <c r="B952" s="2" t="s">
        <v>327</v>
      </c>
      <c r="C952" s="2" t="s">
        <v>6186</v>
      </c>
      <c r="D952" s="2" t="s">
        <v>129</v>
      </c>
      <c r="E952" s="3">
        <v>45958.67082175926</v>
      </c>
      <c r="F952" s="3">
        <v>45958.672129629631</v>
      </c>
      <c r="G952" s="4">
        <v>45972</v>
      </c>
      <c r="H952" s="2" t="s">
        <v>328</v>
      </c>
      <c r="I952" s="2" t="s">
        <v>51</v>
      </c>
      <c r="J952" s="2">
        <v>0.71446482127323563</v>
      </c>
      <c r="K952" s="2">
        <v>1791.5507690342729</v>
      </c>
      <c r="L952" s="2">
        <v>0</v>
      </c>
      <c r="M952" s="2">
        <v>1280</v>
      </c>
      <c r="N952" s="2">
        <v>1280</v>
      </c>
      <c r="O952" s="2"/>
      <c r="P952" s="2">
        <v>1280</v>
      </c>
      <c r="Q952" s="2" t="s">
        <v>44</v>
      </c>
      <c r="R952" s="2"/>
      <c r="S952" t="str">
        <f>VLOOKUP(B952,CASOPOInvCL!$B$1:$D$1600,1,FALSE)</f>
        <v>SO18128</v>
      </c>
      <c r="T952">
        <f t="shared" si="14"/>
        <v>10</v>
      </c>
    </row>
    <row r="953" spans="1:20" ht="30" x14ac:dyDescent="0.25">
      <c r="A953" s="2">
        <v>1</v>
      </c>
      <c r="B953" s="2" t="s">
        <v>257</v>
      </c>
      <c r="C953" s="2" t="s">
        <v>258</v>
      </c>
      <c r="D953" s="2" t="s">
        <v>159</v>
      </c>
      <c r="E953" s="3">
        <v>45959.378576388888</v>
      </c>
      <c r="F953" s="3">
        <v>45967.551076388889</v>
      </c>
      <c r="G953" s="4">
        <v>46079</v>
      </c>
      <c r="H953" s="2" t="s">
        <v>40</v>
      </c>
      <c r="I953" s="2" t="s">
        <v>51</v>
      </c>
      <c r="J953" s="2">
        <v>0.71011069986137554</v>
      </c>
      <c r="K953" s="2">
        <v>18750.372304767781</v>
      </c>
      <c r="L953" s="2">
        <v>0</v>
      </c>
      <c r="M953" s="2">
        <v>13314.84</v>
      </c>
      <c r="N953" s="2">
        <v>13314.84</v>
      </c>
      <c r="O953" s="2"/>
      <c r="P953" s="2">
        <v>13314.84</v>
      </c>
      <c r="Q953" s="2" t="s">
        <v>29</v>
      </c>
      <c r="R953" s="2"/>
      <c r="S953" t="str">
        <f>VLOOKUP(B953,CASOPOInvCL!$B$1:$D$1600,1,FALSE)</f>
        <v>SO18131</v>
      </c>
      <c r="T953">
        <f t="shared" si="14"/>
        <v>10</v>
      </c>
    </row>
    <row r="954" spans="1:20" x14ac:dyDescent="0.25">
      <c r="A954" s="2">
        <v>1</v>
      </c>
      <c r="B954" s="2" t="s">
        <v>325</v>
      </c>
      <c r="C954" s="2" t="s">
        <v>326</v>
      </c>
      <c r="D954" s="2" t="s">
        <v>141</v>
      </c>
      <c r="E954" s="3">
        <v>45959.455763888887</v>
      </c>
      <c r="F954" s="3">
        <v>45959.461678240739</v>
      </c>
      <c r="G954" s="4">
        <v>45961</v>
      </c>
      <c r="H954" s="2" t="s">
        <v>21</v>
      </c>
      <c r="I954" s="2" t="s">
        <v>51</v>
      </c>
      <c r="J954" s="2">
        <v>0.71746735350995994</v>
      </c>
      <c r="K954" s="2">
        <v>1788.973384950235</v>
      </c>
      <c r="L954" s="2">
        <v>0</v>
      </c>
      <c r="M954" s="2">
        <v>1283.53</v>
      </c>
      <c r="N954" s="2">
        <v>1283.53</v>
      </c>
      <c r="O954" s="2"/>
      <c r="P954" s="2">
        <v>1283.53</v>
      </c>
      <c r="Q954" s="2" t="s">
        <v>44</v>
      </c>
      <c r="R954" s="2"/>
      <c r="S954" t="str">
        <f>VLOOKUP(B954,CASOPOInvCL!$B$1:$D$1600,1,FALSE)</f>
        <v>SO18133</v>
      </c>
      <c r="T954">
        <f t="shared" si="14"/>
        <v>10</v>
      </c>
    </row>
    <row r="955" spans="1:20" x14ac:dyDescent="0.25">
      <c r="A955" s="2">
        <v>1</v>
      </c>
      <c r="B955" s="2" t="s">
        <v>323</v>
      </c>
      <c r="C955" s="2" t="s">
        <v>324</v>
      </c>
      <c r="D955" s="2" t="s">
        <v>141</v>
      </c>
      <c r="E955" s="3">
        <v>45959.468518518523</v>
      </c>
      <c r="F955" s="3">
        <v>45959.468657407408</v>
      </c>
      <c r="G955" s="4">
        <v>45961</v>
      </c>
      <c r="H955" s="2" t="s">
        <v>21</v>
      </c>
      <c r="I955" s="2" t="s">
        <v>51</v>
      </c>
      <c r="J955" s="2">
        <v>0.71746735350995994</v>
      </c>
      <c r="K955" s="2">
        <v>4122.6962948620603</v>
      </c>
      <c r="L955" s="2">
        <v>0</v>
      </c>
      <c r="M955" s="2">
        <v>2957.9</v>
      </c>
      <c r="N955" s="2">
        <v>2957.9</v>
      </c>
      <c r="O955" s="2"/>
      <c r="P955" s="2">
        <v>2957.9</v>
      </c>
      <c r="Q955" s="2" t="s">
        <v>44</v>
      </c>
      <c r="R955" s="2"/>
      <c r="S955" t="str">
        <f>VLOOKUP(B955,CASOPOInvCL!$B$1:$D$1600,1,FALSE)</f>
        <v>SO18134</v>
      </c>
      <c r="T955">
        <f t="shared" si="14"/>
        <v>10</v>
      </c>
    </row>
    <row r="956" spans="1:20" x14ac:dyDescent="0.25">
      <c r="A956" s="2">
        <v>1</v>
      </c>
      <c r="B956" s="2" t="s">
        <v>321</v>
      </c>
      <c r="C956" s="2" t="s">
        <v>322</v>
      </c>
      <c r="D956" s="2" t="s">
        <v>141</v>
      </c>
      <c r="E956" s="3">
        <v>45959.470613425918</v>
      </c>
      <c r="F956" s="3">
        <v>45959.470706018517</v>
      </c>
      <c r="G956" s="4">
        <v>45961</v>
      </c>
      <c r="H956" s="2" t="s">
        <v>21</v>
      </c>
      <c r="I956" s="2" t="s">
        <v>51</v>
      </c>
      <c r="J956" s="2">
        <v>0.71746735350995994</v>
      </c>
      <c r="K956" s="2">
        <v>2061.3481474310302</v>
      </c>
      <c r="L956" s="2">
        <v>0</v>
      </c>
      <c r="M956" s="2">
        <v>1478.95</v>
      </c>
      <c r="N956" s="2">
        <v>1478.95</v>
      </c>
      <c r="O956" s="2"/>
      <c r="P956" s="2">
        <v>1478.95</v>
      </c>
      <c r="Q956" s="2" t="s">
        <v>44</v>
      </c>
      <c r="R956" s="2"/>
      <c r="S956" t="str">
        <f>VLOOKUP(B956,CASOPOInvCL!$B$1:$D$1600,1,FALSE)</f>
        <v>SO18135</v>
      </c>
      <c r="T956">
        <f t="shared" si="14"/>
        <v>10</v>
      </c>
    </row>
    <row r="957" spans="1:20" x14ac:dyDescent="0.25">
      <c r="A957" s="2">
        <v>1</v>
      </c>
      <c r="B957" s="2" t="s">
        <v>314</v>
      </c>
      <c r="C957" s="2" t="s">
        <v>315</v>
      </c>
      <c r="D957" s="2" t="s">
        <v>316</v>
      </c>
      <c r="E957" s="3">
        <v>45959.545451388891</v>
      </c>
      <c r="F957" s="3">
        <v>45959.550694444442</v>
      </c>
      <c r="G957" s="4">
        <v>46013</v>
      </c>
      <c r="H957" s="2" t="s">
        <v>36</v>
      </c>
      <c r="I957" s="2" t="s">
        <v>22</v>
      </c>
      <c r="J957" s="2">
        <v>1</v>
      </c>
      <c r="K957" s="2">
        <v>1522.04</v>
      </c>
      <c r="L957" s="2">
        <v>0</v>
      </c>
      <c r="M957" s="2">
        <v>1095.3493035340259</v>
      </c>
      <c r="N957" s="2">
        <v>1449.56</v>
      </c>
      <c r="O957" s="2">
        <v>72.48</v>
      </c>
      <c r="P957" s="2">
        <v>1522.04</v>
      </c>
      <c r="Q957" s="2" t="s">
        <v>44</v>
      </c>
      <c r="R957" s="2"/>
      <c r="S957" t="str">
        <f>VLOOKUP(B957,CASOPOInvCL!$B$1:$D$1600,1,FALSE)</f>
        <v>SO18136</v>
      </c>
      <c r="T957">
        <f t="shared" si="14"/>
        <v>10</v>
      </c>
    </row>
    <row r="958" spans="1:20" ht="30" x14ac:dyDescent="0.25">
      <c r="A958" s="2">
        <v>1</v>
      </c>
      <c r="B958" s="2" t="s">
        <v>309</v>
      </c>
      <c r="C958" s="2" t="s">
        <v>310</v>
      </c>
      <c r="D958" s="2" t="s">
        <v>159</v>
      </c>
      <c r="E958" s="3">
        <v>45959.546597222223</v>
      </c>
      <c r="F958" s="3">
        <v>45960.325636574067</v>
      </c>
      <c r="G958" s="4">
        <v>45961</v>
      </c>
      <c r="H958" s="2" t="s">
        <v>40</v>
      </c>
      <c r="I958" s="2" t="s">
        <v>51</v>
      </c>
      <c r="J958" s="2">
        <v>0.71746735350995994</v>
      </c>
      <c r="K958" s="2">
        <v>24780.068267946899</v>
      </c>
      <c r="L958" s="2">
        <v>0</v>
      </c>
      <c r="M958" s="2">
        <v>17778.89</v>
      </c>
      <c r="N958" s="2">
        <v>17778.89</v>
      </c>
      <c r="O958" s="2"/>
      <c r="P958" s="2">
        <v>17778.89</v>
      </c>
      <c r="Q958" s="2" t="s">
        <v>44</v>
      </c>
      <c r="R958" s="2"/>
      <c r="S958" t="str">
        <f>VLOOKUP(B958,CASOPOInvCL!$B$1:$D$1600,1,FALSE)</f>
        <v>SO18137</v>
      </c>
      <c r="T958">
        <f t="shared" si="14"/>
        <v>10</v>
      </c>
    </row>
    <row r="959" spans="1:20" x14ac:dyDescent="0.25">
      <c r="A959" s="2">
        <v>1</v>
      </c>
      <c r="B959" s="2" t="s">
        <v>259</v>
      </c>
      <c r="C959" s="2" t="s">
        <v>260</v>
      </c>
      <c r="D959" s="2" t="s">
        <v>77</v>
      </c>
      <c r="E959" s="3">
        <v>45959.554259259261</v>
      </c>
      <c r="F959" s="3">
        <v>45967.525243055563</v>
      </c>
      <c r="G959" s="4">
        <v>45973</v>
      </c>
      <c r="H959" s="2" t="s">
        <v>74</v>
      </c>
      <c r="I959" s="2" t="s">
        <v>22</v>
      </c>
      <c r="J959" s="2">
        <v>1</v>
      </c>
      <c r="K959" s="2">
        <v>1016.4</v>
      </c>
      <c r="L959" s="2">
        <v>1016.4</v>
      </c>
      <c r="M959" s="2">
        <v>1016.4</v>
      </c>
      <c r="N959" s="2">
        <v>968</v>
      </c>
      <c r="O959" s="2">
        <v>48.4</v>
      </c>
      <c r="P959" s="2">
        <v>1016.4</v>
      </c>
      <c r="Q959" s="2" t="s">
        <v>44</v>
      </c>
      <c r="R959" s="2"/>
      <c r="S959" t="str">
        <f>VLOOKUP(B959,CASOPOInvCL!$B$1:$D$1600,1,FALSE)</f>
        <v>SO18138</v>
      </c>
      <c r="T959">
        <f t="shared" si="14"/>
        <v>10</v>
      </c>
    </row>
    <row r="960" spans="1:20" x14ac:dyDescent="0.25">
      <c r="A960" s="2">
        <v>1</v>
      </c>
      <c r="B960" s="2" t="s">
        <v>293</v>
      </c>
      <c r="C960" s="2" t="s">
        <v>294</v>
      </c>
      <c r="D960" s="2" t="s">
        <v>77</v>
      </c>
      <c r="E960" s="3">
        <v>45959.621041666673</v>
      </c>
      <c r="F960" s="3">
        <v>45961.620254629634</v>
      </c>
      <c r="G960" s="4">
        <v>45972</v>
      </c>
      <c r="H960" s="2" t="s">
        <v>21</v>
      </c>
      <c r="I960" s="2" t="s">
        <v>22</v>
      </c>
      <c r="J960" s="2">
        <v>1</v>
      </c>
      <c r="K960" s="2">
        <v>567.74</v>
      </c>
      <c r="L960" s="2">
        <v>0</v>
      </c>
      <c r="M960" s="2">
        <v>405.18520020426939</v>
      </c>
      <c r="N960" s="2">
        <v>540.70000000000005</v>
      </c>
      <c r="O960" s="2">
        <v>27.04</v>
      </c>
      <c r="P960" s="2">
        <v>567.74</v>
      </c>
      <c r="Q960" s="2" t="s">
        <v>44</v>
      </c>
      <c r="R960" s="2"/>
      <c r="S960" t="str">
        <f>VLOOKUP(B960,CASOPOInvCL!$B$1:$D$1600,1,FALSE)</f>
        <v>SO18140</v>
      </c>
      <c r="T960">
        <f t="shared" si="14"/>
        <v>10</v>
      </c>
    </row>
    <row r="961" spans="1:20" x14ac:dyDescent="0.25">
      <c r="A961" s="2">
        <v>1</v>
      </c>
      <c r="B961" s="2" t="s">
        <v>303</v>
      </c>
      <c r="C961" s="2" t="s">
        <v>304</v>
      </c>
      <c r="D961" s="2" t="s">
        <v>39</v>
      </c>
      <c r="E961" s="3">
        <v>45959.744884259257</v>
      </c>
      <c r="F961" s="3">
        <v>45960.745358796303</v>
      </c>
      <c r="G961" s="4">
        <v>45967</v>
      </c>
      <c r="H961" s="2" t="s">
        <v>36</v>
      </c>
      <c r="I961" s="2" t="s">
        <v>22</v>
      </c>
      <c r="J961" s="2">
        <v>1</v>
      </c>
      <c r="K961" s="2">
        <v>5355.4</v>
      </c>
      <c r="L961" s="2">
        <v>0</v>
      </c>
      <c r="M961" s="2">
        <v>3830.1287192295972</v>
      </c>
      <c r="N961" s="2">
        <v>5100.38</v>
      </c>
      <c r="O961" s="2">
        <v>255.02</v>
      </c>
      <c r="P961" s="2">
        <v>5355.4</v>
      </c>
      <c r="Q961" s="2" t="s">
        <v>44</v>
      </c>
      <c r="R961" s="2"/>
      <c r="S961" t="str">
        <f>VLOOKUP(B961,CASOPOInvCL!$B$1:$D$1600,1,FALSE)</f>
        <v>SO18142</v>
      </c>
      <c r="T961">
        <f t="shared" si="14"/>
        <v>10</v>
      </c>
    </row>
    <row r="962" spans="1:20" x14ac:dyDescent="0.25">
      <c r="A962" s="2">
        <v>1</v>
      </c>
      <c r="B962" s="2" t="s">
        <v>301</v>
      </c>
      <c r="C962" s="2" t="s">
        <v>302</v>
      </c>
      <c r="D962" s="2" t="s">
        <v>20</v>
      </c>
      <c r="E962" s="3">
        <v>45959.812881944446</v>
      </c>
      <c r="F962" s="3">
        <v>45960.807511574072</v>
      </c>
      <c r="G962" s="4">
        <v>45967</v>
      </c>
      <c r="H962" s="2" t="s">
        <v>36</v>
      </c>
      <c r="I962" s="2" t="s">
        <v>22</v>
      </c>
      <c r="J962" s="2">
        <v>1</v>
      </c>
      <c r="K962" s="2">
        <v>499.25</v>
      </c>
      <c r="L962" s="2">
        <v>0</v>
      </c>
      <c r="M962" s="2">
        <v>356.30519463483552</v>
      </c>
      <c r="N962" s="2">
        <v>475.48</v>
      </c>
      <c r="O962" s="2">
        <v>23.77</v>
      </c>
      <c r="P962" s="2">
        <v>499.25</v>
      </c>
      <c r="Q962" s="2" t="s">
        <v>44</v>
      </c>
      <c r="R962" s="2"/>
      <c r="S962" t="str">
        <f>VLOOKUP(B962,CASOPOInvCL!$B$1:$D$1600,1,FALSE)</f>
        <v>SO18143</v>
      </c>
      <c r="T962">
        <f t="shared" si="14"/>
        <v>10</v>
      </c>
    </row>
    <row r="963" spans="1:20" x14ac:dyDescent="0.25">
      <c r="A963" s="2">
        <v>1</v>
      </c>
      <c r="B963" s="2" t="s">
        <v>308</v>
      </c>
      <c r="C963" s="2" t="s">
        <v>292</v>
      </c>
      <c r="D963" s="2" t="s">
        <v>64</v>
      </c>
      <c r="E963" s="3">
        <v>45960.464305555557</v>
      </c>
      <c r="F963" s="3">
        <v>45960.46497685185</v>
      </c>
      <c r="G963" s="4">
        <v>45967</v>
      </c>
      <c r="H963" s="2" t="s">
        <v>74</v>
      </c>
      <c r="I963" s="2" t="s">
        <v>22</v>
      </c>
      <c r="J963" s="2">
        <v>1</v>
      </c>
      <c r="K963" s="2">
        <v>899.21</v>
      </c>
      <c r="L963" s="2">
        <v>0</v>
      </c>
      <c r="M963" s="2">
        <v>643.10603234463281</v>
      </c>
      <c r="N963" s="2">
        <v>795.76</v>
      </c>
      <c r="O963" s="2">
        <v>103.45</v>
      </c>
      <c r="P963" s="2">
        <v>899.21</v>
      </c>
      <c r="Q963" s="2" t="s">
        <v>44</v>
      </c>
      <c r="R963" s="2"/>
      <c r="S963" t="str">
        <f>VLOOKUP(B963,CASOPOInvCL!$B$1:$D$1600,1,FALSE)</f>
        <v>SO18145</v>
      </c>
      <c r="T963">
        <f t="shared" ref="T963:T1026" si="15">MONTH(E963)</f>
        <v>10</v>
      </c>
    </row>
    <row r="964" spans="1:20" x14ac:dyDescent="0.25">
      <c r="A964" s="2">
        <v>0</v>
      </c>
      <c r="B964" s="2" t="s">
        <v>99</v>
      </c>
      <c r="C964" s="2" t="s">
        <v>100</v>
      </c>
      <c r="D964" s="2" t="s">
        <v>101</v>
      </c>
      <c r="E964" s="3">
        <v>45961.495219907411</v>
      </c>
      <c r="F964" s="3">
        <v>45986.416956018518</v>
      </c>
      <c r="G964" s="2"/>
      <c r="H964" s="2" t="s">
        <v>40</v>
      </c>
      <c r="I964" s="2" t="s">
        <v>51</v>
      </c>
      <c r="J964" s="2">
        <v>0.70860938895411174</v>
      </c>
      <c r="K964" s="2">
        <v>11948.755029194661</v>
      </c>
      <c r="L964" s="2">
        <v>0</v>
      </c>
      <c r="M964" s="2">
        <v>8467</v>
      </c>
      <c r="N964" s="2">
        <v>8467</v>
      </c>
      <c r="O964" s="2"/>
      <c r="P964" s="2">
        <v>8467</v>
      </c>
      <c r="Q964" s="2" t="s">
        <v>29</v>
      </c>
      <c r="R964" s="2"/>
      <c r="S964" t="str">
        <f>VLOOKUP(B964,CASOPOInvCL!$B$1:$D$1600,1,FALSE)</f>
        <v>SO18150</v>
      </c>
      <c r="T964">
        <f t="shared" si="15"/>
        <v>10</v>
      </c>
    </row>
    <row r="965" spans="1:20" x14ac:dyDescent="0.25">
      <c r="A965" s="2">
        <v>1</v>
      </c>
      <c r="B965" s="2" t="s">
        <v>291</v>
      </c>
      <c r="C965" s="2" t="s">
        <v>292</v>
      </c>
      <c r="D965" s="2" t="s">
        <v>64</v>
      </c>
      <c r="E965" s="3">
        <v>45961.662511574083</v>
      </c>
      <c r="F965" s="3">
        <v>45961.662685185183</v>
      </c>
      <c r="G965" s="4">
        <v>45965</v>
      </c>
      <c r="H965" s="2" t="s">
        <v>21</v>
      </c>
      <c r="I965" s="2" t="s">
        <v>22</v>
      </c>
      <c r="J965" s="2">
        <v>1</v>
      </c>
      <c r="K965" s="2">
        <v>835.55</v>
      </c>
      <c r="L965" s="2">
        <v>0</v>
      </c>
      <c r="M965" s="2">
        <v>596.316084881596</v>
      </c>
      <c r="N965" s="2">
        <v>795.76</v>
      </c>
      <c r="O965" s="2">
        <v>39.79</v>
      </c>
      <c r="P965" s="2">
        <v>835.55</v>
      </c>
      <c r="Q965" s="2" t="s">
        <v>23</v>
      </c>
      <c r="R965" s="2"/>
      <c r="S965" t="str">
        <f>VLOOKUP(B965,CASOPOInvCL!$B$1:$D$1600,1,FALSE)</f>
        <v>SO18151</v>
      </c>
      <c r="T965">
        <f t="shared" si="15"/>
        <v>10</v>
      </c>
    </row>
    <row r="966" spans="1:20" x14ac:dyDescent="0.25">
      <c r="A966" s="2">
        <v>1</v>
      </c>
      <c r="B966" s="2" t="s">
        <v>288</v>
      </c>
      <c r="C966" s="2" t="s">
        <v>289</v>
      </c>
      <c r="D966" s="2" t="s">
        <v>290</v>
      </c>
      <c r="E966" s="3">
        <v>45961.690451388888</v>
      </c>
      <c r="F966" s="3">
        <v>45961.691331018519</v>
      </c>
      <c r="G966" s="4">
        <v>45965</v>
      </c>
      <c r="H966" s="2" t="s">
        <v>21</v>
      </c>
      <c r="I966" s="2" t="s">
        <v>22</v>
      </c>
      <c r="J966" s="2">
        <v>1</v>
      </c>
      <c r="K966" s="2">
        <v>986.77</v>
      </c>
      <c r="L966" s="2">
        <v>0</v>
      </c>
      <c r="M966" s="2">
        <v>704.23891218791516</v>
      </c>
      <c r="N966" s="2">
        <v>939.78</v>
      </c>
      <c r="O966" s="2">
        <v>46.99</v>
      </c>
      <c r="P966" s="2">
        <v>986.77</v>
      </c>
      <c r="Q966" s="2" t="s">
        <v>44</v>
      </c>
      <c r="R966" s="2"/>
      <c r="S966" t="str">
        <f>VLOOKUP(B966,CASOPOInvCL!$B$1:$D$1600,1,FALSE)</f>
        <v>SO18152</v>
      </c>
      <c r="T966">
        <f t="shared" si="15"/>
        <v>10</v>
      </c>
    </row>
    <row r="967" spans="1:20" x14ac:dyDescent="0.25">
      <c r="A967" s="2">
        <v>1</v>
      </c>
      <c r="B967" s="2" t="s">
        <v>196</v>
      </c>
      <c r="C967" s="2" t="s">
        <v>197</v>
      </c>
      <c r="D967" s="2" t="s">
        <v>198</v>
      </c>
      <c r="E967" s="3">
        <v>45964.382187499999</v>
      </c>
      <c r="F967" s="3">
        <v>45974.560289351852</v>
      </c>
      <c r="G967" s="2"/>
      <c r="H967" s="2" t="s">
        <v>40</v>
      </c>
      <c r="I967" s="2" t="s">
        <v>51</v>
      </c>
      <c r="J967" s="2">
        <v>0.71380149037974383</v>
      </c>
      <c r="K967" s="2">
        <v>972.2591075437382</v>
      </c>
      <c r="L967" s="2">
        <v>0</v>
      </c>
      <c r="M967" s="2">
        <v>694</v>
      </c>
      <c r="N967" s="2">
        <v>694</v>
      </c>
      <c r="O967" s="2"/>
      <c r="P967" s="2">
        <v>694</v>
      </c>
      <c r="Q967" s="2" t="s">
        <v>44</v>
      </c>
      <c r="R967" s="2"/>
      <c r="S967" t="str">
        <f>VLOOKUP(B967,CASOPOInvCL!$B$1:$D$1600,1,FALSE)</f>
        <v>SO18153</v>
      </c>
      <c r="T967">
        <f t="shared" si="15"/>
        <v>11</v>
      </c>
    </row>
    <row r="968" spans="1:20" x14ac:dyDescent="0.25">
      <c r="A968" s="2">
        <v>2</v>
      </c>
      <c r="B968" s="2" t="s">
        <v>122</v>
      </c>
      <c r="C968" s="2" t="s">
        <v>123</v>
      </c>
      <c r="D968" s="2" t="s">
        <v>50</v>
      </c>
      <c r="E968" s="3">
        <v>45964.403078703697</v>
      </c>
      <c r="F968" s="3">
        <v>45982.697939814818</v>
      </c>
      <c r="G968" s="4">
        <v>46045</v>
      </c>
      <c r="H968" s="2" t="s">
        <v>40</v>
      </c>
      <c r="I968" s="2" t="s">
        <v>51</v>
      </c>
      <c r="J968" s="2">
        <v>0.71166354456386371</v>
      </c>
      <c r="K968" s="2">
        <v>6240.4208195344236</v>
      </c>
      <c r="L968" s="2">
        <v>0</v>
      </c>
      <c r="M968" s="2">
        <v>4441.08</v>
      </c>
      <c r="N968" s="2">
        <v>4441.08</v>
      </c>
      <c r="O968" s="2"/>
      <c r="P968" s="2">
        <v>4441.08</v>
      </c>
      <c r="Q968" s="2" t="s">
        <v>44</v>
      </c>
      <c r="R968" s="2"/>
      <c r="S968" t="str">
        <f>VLOOKUP(B968,CASOPOInvCL!$B$1:$D$1600,1,FALSE)</f>
        <v>SO18154</v>
      </c>
      <c r="T968">
        <f t="shared" si="15"/>
        <v>11</v>
      </c>
    </row>
    <row r="969" spans="1:20" x14ac:dyDescent="0.25">
      <c r="A969" s="2">
        <v>1</v>
      </c>
      <c r="B969" s="2" t="s">
        <v>286</v>
      </c>
      <c r="C969" s="2" t="s">
        <v>287</v>
      </c>
      <c r="D969" s="2" t="s">
        <v>141</v>
      </c>
      <c r="E969" s="3">
        <v>45964.436018518521</v>
      </c>
      <c r="F969" s="3">
        <v>45964.440324074072</v>
      </c>
      <c r="G969" s="4">
        <v>45971</v>
      </c>
      <c r="H969" s="2" t="s">
        <v>40</v>
      </c>
      <c r="I969" s="2" t="s">
        <v>51</v>
      </c>
      <c r="J969" s="2">
        <v>0.71248196503825101</v>
      </c>
      <c r="K969" s="2">
        <v>204.04727015398211</v>
      </c>
      <c r="L969" s="2">
        <v>0</v>
      </c>
      <c r="M969" s="2">
        <v>145.38</v>
      </c>
      <c r="N969" s="2">
        <v>145.38</v>
      </c>
      <c r="O969" s="2"/>
      <c r="P969" s="2">
        <v>145.38</v>
      </c>
      <c r="Q969" s="2" t="s">
        <v>44</v>
      </c>
      <c r="R969" s="2"/>
      <c r="S969" t="str">
        <f>VLOOKUP(B969,CASOPOInvCL!$B$1:$D$1600,1,FALSE)</f>
        <v>SO18155</v>
      </c>
      <c r="T969">
        <f t="shared" si="15"/>
        <v>11</v>
      </c>
    </row>
    <row r="970" spans="1:20" x14ac:dyDescent="0.25">
      <c r="A970" s="2">
        <v>1</v>
      </c>
      <c r="B970" s="2" t="s">
        <v>284</v>
      </c>
      <c r="C970" s="2" t="s">
        <v>285</v>
      </c>
      <c r="D970" s="2" t="s">
        <v>141</v>
      </c>
      <c r="E970" s="3">
        <v>45964.441863425927</v>
      </c>
      <c r="F970" s="3">
        <v>45964.444803240738</v>
      </c>
      <c r="G970" s="4">
        <v>45971</v>
      </c>
      <c r="H970" s="2" t="s">
        <v>40</v>
      </c>
      <c r="I970" s="2" t="s">
        <v>51</v>
      </c>
      <c r="J970" s="2">
        <v>0.71248196503825101</v>
      </c>
      <c r="K970" s="2">
        <v>2121.625632894225</v>
      </c>
      <c r="L970" s="2">
        <v>0</v>
      </c>
      <c r="M970" s="2">
        <v>1511.62</v>
      </c>
      <c r="N970" s="2">
        <v>1511.62</v>
      </c>
      <c r="O970" s="2"/>
      <c r="P970" s="2">
        <v>1511.62</v>
      </c>
      <c r="Q970" s="2" t="s">
        <v>44</v>
      </c>
      <c r="R970" s="2"/>
      <c r="S970" t="str">
        <f>VLOOKUP(B970,CASOPOInvCL!$B$1:$D$1600,1,FALSE)</f>
        <v>SO18156</v>
      </c>
      <c r="T970">
        <f t="shared" si="15"/>
        <v>11</v>
      </c>
    </row>
    <row r="971" spans="1:20" x14ac:dyDescent="0.25">
      <c r="A971" s="2">
        <v>1</v>
      </c>
      <c r="B971" s="2" t="s">
        <v>282</v>
      </c>
      <c r="C971" s="2" t="s">
        <v>283</v>
      </c>
      <c r="D971" s="2" t="s">
        <v>98</v>
      </c>
      <c r="E971" s="3">
        <v>45964.459467592591</v>
      </c>
      <c r="F971" s="3">
        <v>45964.461851851847</v>
      </c>
      <c r="G971" s="4">
        <v>45966</v>
      </c>
      <c r="H971" s="2" t="s">
        <v>40</v>
      </c>
      <c r="I971" s="2" t="s">
        <v>22</v>
      </c>
      <c r="J971" s="2">
        <v>1</v>
      </c>
      <c r="K971" s="2">
        <v>176.97</v>
      </c>
      <c r="L971" s="2">
        <v>176.97</v>
      </c>
      <c r="M971" s="2">
        <v>176.97</v>
      </c>
      <c r="N971" s="2">
        <v>156.61000000000001</v>
      </c>
      <c r="O971" s="2">
        <v>20.36</v>
      </c>
      <c r="P971" s="2">
        <v>176.97</v>
      </c>
      <c r="Q971" s="2" t="s">
        <v>44</v>
      </c>
      <c r="R971" s="2"/>
      <c r="S971" t="str">
        <f>VLOOKUP(B971,CASOPOInvCL!$B$1:$D$1600,1,FALSE)</f>
        <v>SO18158</v>
      </c>
      <c r="T971">
        <f t="shared" si="15"/>
        <v>11</v>
      </c>
    </row>
    <row r="972" spans="1:20" x14ac:dyDescent="0.25">
      <c r="A972" s="2">
        <v>1</v>
      </c>
      <c r="B972" s="2" t="s">
        <v>263</v>
      </c>
      <c r="C972" s="2" t="s">
        <v>264</v>
      </c>
      <c r="D972" s="2" t="s">
        <v>83</v>
      </c>
      <c r="E972" s="3">
        <v>45964.553923611107</v>
      </c>
      <c r="F972" s="3">
        <v>45966.496701388889</v>
      </c>
      <c r="G972" s="4">
        <v>46071</v>
      </c>
      <c r="H972" s="2" t="s">
        <v>21</v>
      </c>
      <c r="I972" s="2" t="s">
        <v>22</v>
      </c>
      <c r="J972" s="2">
        <v>1</v>
      </c>
      <c r="K972" s="2">
        <v>7549.03</v>
      </c>
      <c r="L972" s="2">
        <v>0</v>
      </c>
      <c r="M972" s="2">
        <v>5350.6089632477606</v>
      </c>
      <c r="N972" s="2">
        <v>6680.57</v>
      </c>
      <c r="O972" s="2">
        <v>868.46</v>
      </c>
      <c r="P972" s="2">
        <v>7549.03</v>
      </c>
      <c r="Q972" s="2" t="s">
        <v>29</v>
      </c>
      <c r="R972" s="2"/>
      <c r="S972" t="str">
        <f>VLOOKUP(B972,CASOPOInvCL!$B$1:$D$1600,1,FALSE)</f>
        <v>SO18159</v>
      </c>
      <c r="T972">
        <f t="shared" si="15"/>
        <v>11</v>
      </c>
    </row>
    <row r="973" spans="1:20" x14ac:dyDescent="0.25">
      <c r="A973" s="2">
        <v>1</v>
      </c>
      <c r="B973" s="2" t="s">
        <v>265</v>
      </c>
      <c r="C973" s="2" t="s">
        <v>266</v>
      </c>
      <c r="D973" s="2" t="s">
        <v>248</v>
      </c>
      <c r="E973" s="3">
        <v>45964.556018518517</v>
      </c>
      <c r="F973" s="3">
        <v>45966.490428240737</v>
      </c>
      <c r="G973" s="4">
        <v>45973</v>
      </c>
      <c r="H973" s="2" t="s">
        <v>36</v>
      </c>
      <c r="I973" s="2" t="s">
        <v>22</v>
      </c>
      <c r="J973" s="2">
        <v>1</v>
      </c>
      <c r="K973" s="2">
        <v>663.09</v>
      </c>
      <c r="L973" s="2">
        <v>0</v>
      </c>
      <c r="M973" s="2">
        <v>469.98558721318608</v>
      </c>
      <c r="N973" s="2">
        <v>581.66</v>
      </c>
      <c r="O973" s="2">
        <v>81.430000000000007</v>
      </c>
      <c r="P973" s="2">
        <v>663.09</v>
      </c>
      <c r="Q973" s="2" t="s">
        <v>44</v>
      </c>
      <c r="R973" s="2"/>
      <c r="S973" t="str">
        <f>VLOOKUP(B973,CASOPOInvCL!$B$1:$D$1600,1,FALSE)</f>
        <v>SO18160</v>
      </c>
      <c r="T973">
        <f t="shared" si="15"/>
        <v>11</v>
      </c>
    </row>
    <row r="974" spans="1:20" x14ac:dyDescent="0.25">
      <c r="A974" s="2">
        <v>1</v>
      </c>
      <c r="B974" s="2" t="s">
        <v>267</v>
      </c>
      <c r="C974" s="2" t="s">
        <v>268</v>
      </c>
      <c r="D974" s="2" t="s">
        <v>83</v>
      </c>
      <c r="E974" s="3">
        <v>45964.631840277783</v>
      </c>
      <c r="F974" s="3">
        <v>45966.467916666668</v>
      </c>
      <c r="G974" s="4">
        <v>45987</v>
      </c>
      <c r="H974" s="2" t="s">
        <v>21</v>
      </c>
      <c r="I974" s="2" t="s">
        <v>22</v>
      </c>
      <c r="J974" s="2">
        <v>1</v>
      </c>
      <c r="K974" s="2">
        <v>19743.259999999998</v>
      </c>
      <c r="L974" s="2">
        <v>0</v>
      </c>
      <c r="M974" s="2">
        <v>13993.64738512511</v>
      </c>
      <c r="N974" s="2">
        <v>17471.91</v>
      </c>
      <c r="O974" s="2">
        <v>2271.35</v>
      </c>
      <c r="P974" s="2">
        <v>19743.259999999998</v>
      </c>
      <c r="Q974" s="2" t="s">
        <v>44</v>
      </c>
      <c r="R974" s="2"/>
      <c r="S974" t="str">
        <f>VLOOKUP(B974,CASOPOInvCL!$B$1:$D$1600,1,FALSE)</f>
        <v>SO18161</v>
      </c>
      <c r="T974">
        <f t="shared" si="15"/>
        <v>11</v>
      </c>
    </row>
    <row r="975" spans="1:20" x14ac:dyDescent="0.25">
      <c r="A975" s="2">
        <v>1</v>
      </c>
      <c r="B975" s="2" t="s">
        <v>280</v>
      </c>
      <c r="C975" s="2" t="s">
        <v>281</v>
      </c>
      <c r="D975" s="2" t="s">
        <v>20</v>
      </c>
      <c r="E975" s="3">
        <v>45964.719386574077</v>
      </c>
      <c r="F975" s="3">
        <v>45964.719895833332</v>
      </c>
      <c r="G975" s="4">
        <v>45966</v>
      </c>
      <c r="H975" s="2" t="s">
        <v>21</v>
      </c>
      <c r="I975" s="2" t="s">
        <v>22</v>
      </c>
      <c r="J975" s="2">
        <v>1</v>
      </c>
      <c r="K975" s="2">
        <v>7748.64</v>
      </c>
      <c r="L975" s="2">
        <v>7748.64</v>
      </c>
      <c r="M975" s="2">
        <v>7748.64</v>
      </c>
      <c r="N975" s="2">
        <v>7379.65</v>
      </c>
      <c r="O975" s="2">
        <v>368.99</v>
      </c>
      <c r="P975" s="2">
        <v>7748.64</v>
      </c>
      <c r="Q975" s="2" t="s">
        <v>44</v>
      </c>
      <c r="R975" s="2"/>
      <c r="S975" t="str">
        <f>VLOOKUP(B975,CASOPOInvCL!$B$1:$D$1600,1,FALSE)</f>
        <v>SO18163</v>
      </c>
      <c r="T975">
        <f t="shared" si="15"/>
        <v>11</v>
      </c>
    </row>
    <row r="976" spans="1:20" x14ac:dyDescent="0.25">
      <c r="A976" s="2">
        <v>1</v>
      </c>
      <c r="B976" s="2" t="s">
        <v>278</v>
      </c>
      <c r="C976" s="2" t="s">
        <v>279</v>
      </c>
      <c r="D976" s="2" t="s">
        <v>129</v>
      </c>
      <c r="E976" s="3">
        <v>45964.731087962973</v>
      </c>
      <c r="F976" s="3">
        <v>45964.731377314813</v>
      </c>
      <c r="G976" s="4">
        <v>45967</v>
      </c>
      <c r="H976" s="2" t="s">
        <v>130</v>
      </c>
      <c r="I976" s="2" t="s">
        <v>51</v>
      </c>
      <c r="J976" s="2">
        <v>0.71248196503825101</v>
      </c>
      <c r="K976" s="2">
        <v>9447.2566749652851</v>
      </c>
      <c r="L976" s="2">
        <v>0</v>
      </c>
      <c r="M976" s="2">
        <v>6731</v>
      </c>
      <c r="N976" s="2">
        <v>6731</v>
      </c>
      <c r="O976" s="2"/>
      <c r="P976" s="2">
        <v>6731</v>
      </c>
      <c r="Q976" s="2" t="s">
        <v>44</v>
      </c>
      <c r="R976" s="2"/>
      <c r="S976" t="str">
        <f>VLOOKUP(B976,CASOPOInvCL!$B$1:$D$1600,1,FALSE)</f>
        <v>SO18164</v>
      </c>
      <c r="T976">
        <f t="shared" si="15"/>
        <v>11</v>
      </c>
    </row>
    <row r="977" spans="1:20" x14ac:dyDescent="0.25">
      <c r="A977" s="2">
        <v>1</v>
      </c>
      <c r="B977" s="2" t="s">
        <v>276</v>
      </c>
      <c r="C977" s="2" t="s">
        <v>277</v>
      </c>
      <c r="D977" s="2" t="s">
        <v>64</v>
      </c>
      <c r="E977" s="3">
        <v>45965.434999999998</v>
      </c>
      <c r="F977" s="3">
        <v>45965.54278935185</v>
      </c>
      <c r="G977" s="4">
        <v>45965</v>
      </c>
      <c r="H977" s="2" t="s">
        <v>74</v>
      </c>
      <c r="I977" s="2" t="s">
        <v>22</v>
      </c>
      <c r="J977" s="2">
        <v>1</v>
      </c>
      <c r="K977" s="2">
        <v>485.63</v>
      </c>
      <c r="L977" s="2">
        <v>0</v>
      </c>
      <c r="M977" s="2">
        <v>344.8510591736798</v>
      </c>
      <c r="N977" s="2">
        <v>429.76</v>
      </c>
      <c r="O977" s="2">
        <v>55.87</v>
      </c>
      <c r="P977" s="2">
        <v>485.63</v>
      </c>
      <c r="Q977" s="2" t="s">
        <v>44</v>
      </c>
      <c r="R977" s="2"/>
      <c r="S977" t="str">
        <f>VLOOKUP(B977,CASOPOInvCL!$B$1:$D$1600,1,FALSE)</f>
        <v>SO18165</v>
      </c>
      <c r="T977">
        <f t="shared" si="15"/>
        <v>11</v>
      </c>
    </row>
    <row r="978" spans="1:20" x14ac:dyDescent="0.25">
      <c r="A978" s="2">
        <v>1</v>
      </c>
      <c r="B978" s="2" t="s">
        <v>240</v>
      </c>
      <c r="C978" s="2" t="s">
        <v>241</v>
      </c>
      <c r="D978" s="2" t="s">
        <v>242</v>
      </c>
      <c r="E978" s="3">
        <v>45965.517384259263</v>
      </c>
      <c r="F978" s="3">
        <v>45968.606203703697</v>
      </c>
      <c r="G978" s="2"/>
      <c r="H978" s="2" t="s">
        <v>40</v>
      </c>
      <c r="I978" s="2" t="s">
        <v>22</v>
      </c>
      <c r="J978" s="2">
        <v>1</v>
      </c>
      <c r="K978" s="2">
        <v>2758.72</v>
      </c>
      <c r="L978" s="2">
        <v>0</v>
      </c>
      <c r="M978" s="2">
        <v>1959.9224791008401</v>
      </c>
      <c r="N978" s="2">
        <v>2627.35</v>
      </c>
      <c r="O978" s="2">
        <v>131.37</v>
      </c>
      <c r="P978" s="2">
        <v>2758.72</v>
      </c>
      <c r="Q978" s="2" t="s">
        <v>29</v>
      </c>
      <c r="R978" s="2"/>
      <c r="S978" t="str">
        <f>VLOOKUP(B978,CASOPOInvCL!$B$1:$D$1600,1,FALSE)</f>
        <v>SO18167</v>
      </c>
      <c r="T978">
        <f t="shared" si="15"/>
        <v>11</v>
      </c>
    </row>
    <row r="979" spans="1:20" x14ac:dyDescent="0.25">
      <c r="A979" s="2">
        <v>1</v>
      </c>
      <c r="B979" s="2" t="s">
        <v>274</v>
      </c>
      <c r="C979" s="2" t="s">
        <v>275</v>
      </c>
      <c r="D979" s="2" t="s">
        <v>98</v>
      </c>
      <c r="E979" s="3">
        <v>45965.616041666668</v>
      </c>
      <c r="F979" s="3">
        <v>45965.622476851851</v>
      </c>
      <c r="G979" s="2"/>
      <c r="H979" s="2" t="s">
        <v>40</v>
      </c>
      <c r="I979" s="2" t="s">
        <v>22</v>
      </c>
      <c r="J979" s="2">
        <v>1</v>
      </c>
      <c r="K979" s="2">
        <v>2538.02</v>
      </c>
      <c r="L979" s="2">
        <v>0</v>
      </c>
      <c r="M979" s="2">
        <v>1802.2751584621681</v>
      </c>
      <c r="N979" s="2">
        <v>2246.04</v>
      </c>
      <c r="O979" s="2">
        <v>291.98</v>
      </c>
      <c r="P979" s="2">
        <v>2538.02</v>
      </c>
      <c r="Q979" s="2" t="s">
        <v>44</v>
      </c>
      <c r="R979" s="2"/>
      <c r="S979" t="str">
        <f>VLOOKUP(B979,CASOPOInvCL!$B$1:$D$1600,1,FALSE)</f>
        <v>SO18170</v>
      </c>
      <c r="T979">
        <f t="shared" si="15"/>
        <v>11</v>
      </c>
    </row>
    <row r="980" spans="1:20" x14ac:dyDescent="0.25">
      <c r="A980" s="2">
        <v>1</v>
      </c>
      <c r="B980" s="2" t="s">
        <v>272</v>
      </c>
      <c r="C980" s="2" t="s">
        <v>273</v>
      </c>
      <c r="D980" s="2" t="s">
        <v>229</v>
      </c>
      <c r="E980" s="3">
        <v>45965.788738425923</v>
      </c>
      <c r="F980" s="3">
        <v>45965.786944444437</v>
      </c>
      <c r="G980" s="4">
        <v>45972</v>
      </c>
      <c r="H980" s="2" t="s">
        <v>36</v>
      </c>
      <c r="I980" s="2" t="s">
        <v>22</v>
      </c>
      <c r="J980" s="2">
        <v>1</v>
      </c>
      <c r="K980" s="2">
        <v>995.31</v>
      </c>
      <c r="L980" s="2">
        <v>0</v>
      </c>
      <c r="M980" s="2">
        <v>706.78028067902562</v>
      </c>
      <c r="N980" s="2">
        <v>947.91</v>
      </c>
      <c r="O980" s="2">
        <v>47.4</v>
      </c>
      <c r="P980" s="2">
        <v>995.31</v>
      </c>
      <c r="Q980" s="2" t="s">
        <v>44</v>
      </c>
      <c r="R980" s="2"/>
      <c r="S980" t="str">
        <f>VLOOKUP(B980,CASOPOInvCL!$B$1:$D$1600,1,FALSE)</f>
        <v>SO18172</v>
      </c>
      <c r="T980">
        <f t="shared" si="15"/>
        <v>11</v>
      </c>
    </row>
    <row r="981" spans="1:20" x14ac:dyDescent="0.25">
      <c r="A981" s="2">
        <v>0</v>
      </c>
      <c r="B981" s="2" t="s">
        <v>216</v>
      </c>
      <c r="C981" s="2" t="s">
        <v>217</v>
      </c>
      <c r="D981" s="2" t="s">
        <v>64</v>
      </c>
      <c r="E981" s="3">
        <v>45966.394652777781</v>
      </c>
      <c r="F981" s="3">
        <v>45972.702326388891</v>
      </c>
      <c r="G981" s="4">
        <v>46105</v>
      </c>
      <c r="H981" s="2" t="s">
        <v>21</v>
      </c>
      <c r="I981" s="2" t="s">
        <v>22</v>
      </c>
      <c r="J981" s="2">
        <v>1</v>
      </c>
      <c r="K981" s="2">
        <v>13850.32</v>
      </c>
      <c r="L981" s="2">
        <v>0</v>
      </c>
      <c r="M981" s="2">
        <v>9886.3790582363727</v>
      </c>
      <c r="N981" s="2">
        <v>12256.92</v>
      </c>
      <c r="O981" s="2">
        <v>1593.4</v>
      </c>
      <c r="P981" s="2">
        <v>13850.32</v>
      </c>
      <c r="Q981" s="2" t="s">
        <v>29</v>
      </c>
      <c r="R981" s="2"/>
      <c r="S981" t="str">
        <f>VLOOKUP(B981,CASOPOInvCL!$B$1:$D$1600,1,FALSE)</f>
        <v>SO18173</v>
      </c>
      <c r="T981">
        <f t="shared" si="15"/>
        <v>11</v>
      </c>
    </row>
    <row r="982" spans="1:20" x14ac:dyDescent="0.25">
      <c r="A982" s="2">
        <v>0</v>
      </c>
      <c r="B982" s="2" t="s">
        <v>246</v>
      </c>
      <c r="C982" s="2" t="s">
        <v>247</v>
      </c>
      <c r="D982" s="2" t="s">
        <v>248</v>
      </c>
      <c r="E982" s="3">
        <v>45966.561018518521</v>
      </c>
      <c r="F982" s="3">
        <v>45968.503946759258</v>
      </c>
      <c r="G982" s="2"/>
      <c r="H982" s="2" t="s">
        <v>40</v>
      </c>
      <c r="I982" s="2" t="s">
        <v>22</v>
      </c>
      <c r="J982" s="2">
        <v>1</v>
      </c>
      <c r="K982" s="2">
        <v>886.92</v>
      </c>
      <c r="L982" s="2">
        <v>0</v>
      </c>
      <c r="M982" s="2">
        <v>630.10905244610433</v>
      </c>
      <c r="N982" s="2">
        <v>778</v>
      </c>
      <c r="O982" s="2">
        <v>108.92</v>
      </c>
      <c r="P982" s="2">
        <v>886.92</v>
      </c>
      <c r="Q982" s="2" t="s">
        <v>29</v>
      </c>
      <c r="R982" s="2"/>
      <c r="S982" t="str">
        <f>VLOOKUP(B982,CASOPOInvCL!$B$1:$D$1600,1,FALSE)</f>
        <v>SO18175</v>
      </c>
      <c r="T982">
        <f t="shared" si="15"/>
        <v>11</v>
      </c>
    </row>
    <row r="983" spans="1:20" x14ac:dyDescent="0.25">
      <c r="A983" s="2">
        <v>2</v>
      </c>
      <c r="B983" s="2" t="s">
        <v>249</v>
      </c>
      <c r="C983" s="2" t="s">
        <v>250</v>
      </c>
      <c r="D983" s="2" t="s">
        <v>70</v>
      </c>
      <c r="E983" s="3">
        <v>45966.574872685182</v>
      </c>
      <c r="F983" s="3">
        <v>45968.471875000003</v>
      </c>
      <c r="G983" s="4">
        <v>45986</v>
      </c>
      <c r="H983" s="2" t="s">
        <v>71</v>
      </c>
      <c r="I983" s="2" t="s">
        <v>51</v>
      </c>
      <c r="J983" s="2">
        <v>0.70878099083561219</v>
      </c>
      <c r="K983" s="2">
        <v>5656.4863502806011</v>
      </c>
      <c r="L983" s="2">
        <v>0</v>
      </c>
      <c r="M983" s="2">
        <v>4009.21</v>
      </c>
      <c r="N983" s="2">
        <v>4009.21</v>
      </c>
      <c r="O983" s="2"/>
      <c r="P983" s="2">
        <v>4009.21</v>
      </c>
      <c r="Q983" s="2" t="s">
        <v>44</v>
      </c>
      <c r="R983" s="2"/>
      <c r="S983" t="str">
        <f>VLOOKUP(B983,CASOPOInvCL!$B$1:$D$1600,1,FALSE)</f>
        <v>SO18176</v>
      </c>
      <c r="T983">
        <f t="shared" si="15"/>
        <v>11</v>
      </c>
    </row>
    <row r="984" spans="1:20" x14ac:dyDescent="0.25">
      <c r="A984" s="2">
        <v>1</v>
      </c>
      <c r="B984" s="2" t="s">
        <v>24</v>
      </c>
      <c r="C984" s="2" t="s">
        <v>25</v>
      </c>
      <c r="D984" s="2" t="s">
        <v>26</v>
      </c>
      <c r="E984" s="3">
        <v>45966.736435185187</v>
      </c>
      <c r="F984" s="3">
        <v>45989.504849537043</v>
      </c>
      <c r="G984" s="4">
        <v>46010</v>
      </c>
      <c r="H984" s="2" t="s">
        <v>21</v>
      </c>
      <c r="I984" s="2" t="s">
        <v>22</v>
      </c>
      <c r="J984" s="2">
        <v>1</v>
      </c>
      <c r="K984" s="2">
        <v>1192.08</v>
      </c>
      <c r="L984" s="2">
        <v>0</v>
      </c>
      <c r="M984" s="2">
        <v>852.95743040706941</v>
      </c>
      <c r="N984" s="2">
        <v>1135.32</v>
      </c>
      <c r="O984" s="2">
        <v>56.76</v>
      </c>
      <c r="P984" s="2">
        <v>1192.08</v>
      </c>
      <c r="Q984" s="2" t="s">
        <v>44</v>
      </c>
      <c r="R984" s="2"/>
      <c r="S984" t="str">
        <f>VLOOKUP(B984,CASOPOInvCL!$B$1:$D$1600,1,FALSE)</f>
        <v>SO18179</v>
      </c>
      <c r="T984">
        <f t="shared" si="15"/>
        <v>11</v>
      </c>
    </row>
    <row r="985" spans="1:20" x14ac:dyDescent="0.25">
      <c r="A985" s="2">
        <v>2</v>
      </c>
      <c r="B985" s="2" t="s">
        <v>152</v>
      </c>
      <c r="C985" s="2" t="s">
        <v>153</v>
      </c>
      <c r="D985" s="2" t="s">
        <v>154</v>
      </c>
      <c r="E985" s="3">
        <v>45966.750625000001</v>
      </c>
      <c r="F985" s="3">
        <v>45979.739386574067</v>
      </c>
      <c r="G985" s="4">
        <v>45986</v>
      </c>
      <c r="H985" s="2" t="s">
        <v>36</v>
      </c>
      <c r="I985" s="2" t="s">
        <v>22</v>
      </c>
      <c r="J985" s="2">
        <v>1</v>
      </c>
      <c r="K985" s="2">
        <v>34034.85</v>
      </c>
      <c r="L985" s="2">
        <v>0</v>
      </c>
      <c r="M985" s="2">
        <v>24316.767456277161</v>
      </c>
      <c r="N985" s="2">
        <v>32414.15</v>
      </c>
      <c r="O985" s="2">
        <v>1620.7</v>
      </c>
      <c r="P985" s="2">
        <v>34034.85</v>
      </c>
      <c r="Q985" s="2" t="s">
        <v>44</v>
      </c>
      <c r="R985" s="2"/>
      <c r="S985" t="str">
        <f>VLOOKUP(B985,CASOPOInvCL!$B$1:$D$1600,1,FALSE)</f>
        <v>SO18180</v>
      </c>
      <c r="T985">
        <f t="shared" si="15"/>
        <v>11</v>
      </c>
    </row>
    <row r="986" spans="1:20" ht="30" x14ac:dyDescent="0.25">
      <c r="A986" s="2">
        <v>1</v>
      </c>
      <c r="B986" s="2" t="s">
        <v>184</v>
      </c>
      <c r="C986" s="2" t="s">
        <v>185</v>
      </c>
      <c r="D986" s="2" t="s">
        <v>159</v>
      </c>
      <c r="E986" s="3">
        <v>45967.343518518523</v>
      </c>
      <c r="F986" s="3">
        <v>45975.565798611111</v>
      </c>
      <c r="G986" s="4">
        <v>45978</v>
      </c>
      <c r="H986" s="2" t="s">
        <v>40</v>
      </c>
      <c r="I986" s="2" t="s">
        <v>51</v>
      </c>
      <c r="J986" s="2">
        <v>0.71416191615311519</v>
      </c>
      <c r="K986" s="2">
        <v>32327.13685484487</v>
      </c>
      <c r="L986" s="2">
        <v>0</v>
      </c>
      <c r="M986" s="2">
        <v>23086.81</v>
      </c>
      <c r="N986" s="2">
        <v>23086.81</v>
      </c>
      <c r="O986" s="2"/>
      <c r="P986" s="2">
        <v>23086.81</v>
      </c>
      <c r="Q986" s="2" t="s">
        <v>126</v>
      </c>
      <c r="R986" s="2"/>
      <c r="S986" t="str">
        <f>VLOOKUP(B986,CASOPOInvCL!$B$1:$D$1600,1,FALSE)</f>
        <v>SO18181</v>
      </c>
      <c r="T986">
        <f t="shared" si="15"/>
        <v>11</v>
      </c>
    </row>
    <row r="987" spans="1:20" x14ac:dyDescent="0.25">
      <c r="A987" s="2">
        <v>1</v>
      </c>
      <c r="B987" s="2" t="s">
        <v>253</v>
      </c>
      <c r="C987" s="2" t="s">
        <v>254</v>
      </c>
      <c r="D987" s="2" t="s">
        <v>54</v>
      </c>
      <c r="E987" s="3">
        <v>45967.469837962963</v>
      </c>
      <c r="F987" s="3">
        <v>45967.681886574072</v>
      </c>
      <c r="G987" s="4">
        <v>45968</v>
      </c>
      <c r="H987" s="2" t="s">
        <v>21</v>
      </c>
      <c r="I987" s="2" t="s">
        <v>22</v>
      </c>
      <c r="J987" s="2">
        <v>1</v>
      </c>
      <c r="K987" s="2">
        <v>3554.67</v>
      </c>
      <c r="L987" s="2">
        <v>3554.67</v>
      </c>
      <c r="M987" s="2">
        <v>3554.67</v>
      </c>
      <c r="N987" s="2">
        <v>3385.4</v>
      </c>
      <c r="O987" s="2">
        <v>169.27</v>
      </c>
      <c r="P987" s="2">
        <v>3554.67</v>
      </c>
      <c r="Q987" s="2" t="s">
        <v>44</v>
      </c>
      <c r="R987" s="2"/>
      <c r="S987" t="str">
        <f>VLOOKUP(B987,CASOPOInvCL!$B$1:$D$1600,1,FALSE)</f>
        <v>SO18184</v>
      </c>
      <c r="T987">
        <f t="shared" si="15"/>
        <v>11</v>
      </c>
    </row>
    <row r="988" spans="1:20" x14ac:dyDescent="0.25">
      <c r="A988" s="2">
        <v>1</v>
      </c>
      <c r="B988" s="2" t="s">
        <v>218</v>
      </c>
      <c r="C988" s="2" t="s">
        <v>219</v>
      </c>
      <c r="D988" s="2" t="s">
        <v>171</v>
      </c>
      <c r="E988" s="3">
        <v>45967.512511574067</v>
      </c>
      <c r="F988" s="3">
        <v>45972.579386574071</v>
      </c>
      <c r="G988" s="4">
        <v>45975</v>
      </c>
      <c r="H988" s="2" t="s">
        <v>74</v>
      </c>
      <c r="I988" s="2" t="s">
        <v>22</v>
      </c>
      <c r="J988" s="2">
        <v>1</v>
      </c>
      <c r="K988" s="2">
        <v>1036.67</v>
      </c>
      <c r="L988" s="2">
        <v>0</v>
      </c>
      <c r="M988" s="2">
        <v>739.97659103196906</v>
      </c>
      <c r="N988" s="2">
        <v>987.3</v>
      </c>
      <c r="O988" s="2">
        <v>49.37</v>
      </c>
      <c r="P988" s="2">
        <v>1036.67</v>
      </c>
      <c r="Q988" s="2" t="s">
        <v>44</v>
      </c>
      <c r="R988" s="2"/>
      <c r="S988" t="str">
        <f>VLOOKUP(B988,CASOPOInvCL!$B$1:$D$1600,1,FALSE)</f>
        <v>SO18186</v>
      </c>
      <c r="T988">
        <f t="shared" si="15"/>
        <v>11</v>
      </c>
    </row>
    <row r="989" spans="1:20" x14ac:dyDescent="0.25">
      <c r="A989" s="2">
        <v>1</v>
      </c>
      <c r="B989" s="2" t="s">
        <v>261</v>
      </c>
      <c r="C989" s="2" t="s">
        <v>262</v>
      </c>
      <c r="D989" s="2" t="s">
        <v>64</v>
      </c>
      <c r="E989" s="3">
        <v>45967.522199074083</v>
      </c>
      <c r="F989" s="3">
        <v>45967.522268518522</v>
      </c>
      <c r="G989" s="4">
        <v>45967</v>
      </c>
      <c r="H989" s="2" t="s">
        <v>21</v>
      </c>
      <c r="I989" s="2" t="s">
        <v>22</v>
      </c>
      <c r="J989" s="2">
        <v>1</v>
      </c>
      <c r="K989" s="2">
        <v>307.63</v>
      </c>
      <c r="L989" s="2">
        <v>307.63</v>
      </c>
      <c r="M989" s="2">
        <v>307.63</v>
      </c>
      <c r="N989" s="2">
        <v>292.98</v>
      </c>
      <c r="O989" s="2">
        <v>14.65</v>
      </c>
      <c r="P989" s="2">
        <v>307.63</v>
      </c>
      <c r="Q989" s="2" t="s">
        <v>44</v>
      </c>
      <c r="R989" s="2"/>
      <c r="S989" t="str">
        <f>VLOOKUP(B989,CASOPOInvCL!$B$1:$D$1600,1,FALSE)</f>
        <v>SO18187</v>
      </c>
      <c r="T989">
        <f t="shared" si="15"/>
        <v>11</v>
      </c>
    </row>
    <row r="990" spans="1:20" x14ac:dyDescent="0.25">
      <c r="A990" s="2">
        <v>1</v>
      </c>
      <c r="B990" s="2" t="s">
        <v>147</v>
      </c>
      <c r="C990" s="2" t="s">
        <v>148</v>
      </c>
      <c r="D990" s="2" t="s">
        <v>149</v>
      </c>
      <c r="E990" s="3">
        <v>45967.529988425929</v>
      </c>
      <c r="F990" s="3">
        <v>45980.422430555547</v>
      </c>
      <c r="G990" s="4">
        <v>45982</v>
      </c>
      <c r="H990" s="2" t="s">
        <v>40</v>
      </c>
      <c r="I990" s="2" t="s">
        <v>51</v>
      </c>
      <c r="J990" s="2">
        <v>0.71277700095248819</v>
      </c>
      <c r="K990" s="2">
        <v>6027.2988525991568</v>
      </c>
      <c r="L990" s="2">
        <v>0</v>
      </c>
      <c r="M990" s="2">
        <v>4296.12</v>
      </c>
      <c r="N990" s="2">
        <v>4296.12</v>
      </c>
      <c r="O990" s="2"/>
      <c r="P990" s="2">
        <v>4296.12</v>
      </c>
      <c r="Q990" s="2" t="s">
        <v>44</v>
      </c>
      <c r="R990" s="2"/>
      <c r="S990" t="str">
        <f>VLOOKUP(B990,CASOPOInvCL!$B$1:$D$1600,1,FALSE)</f>
        <v>SO18188</v>
      </c>
      <c r="T990">
        <f t="shared" si="15"/>
        <v>11</v>
      </c>
    </row>
    <row r="991" spans="1:20" x14ac:dyDescent="0.25">
      <c r="A991" s="2">
        <v>1</v>
      </c>
      <c r="B991" s="2" t="s">
        <v>237</v>
      </c>
      <c r="C991" s="2" t="s">
        <v>238</v>
      </c>
      <c r="D991" s="2" t="s">
        <v>239</v>
      </c>
      <c r="E991" s="3">
        <v>45967.530312499999</v>
      </c>
      <c r="F991" s="3">
        <v>45971.381967592592</v>
      </c>
      <c r="G991" s="4">
        <v>45972</v>
      </c>
      <c r="H991" s="2" t="s">
        <v>180</v>
      </c>
      <c r="I991" s="2" t="s">
        <v>22</v>
      </c>
      <c r="J991" s="2">
        <v>1</v>
      </c>
      <c r="K991" s="2">
        <v>1642.24</v>
      </c>
      <c r="L991" s="2">
        <v>0</v>
      </c>
      <c r="M991" s="2">
        <v>1170.459123806987</v>
      </c>
      <c r="N991" s="2">
        <v>1642.24</v>
      </c>
      <c r="O991" s="2"/>
      <c r="P991" s="2">
        <v>1642.24</v>
      </c>
      <c r="Q991" s="2" t="s">
        <v>44</v>
      </c>
      <c r="R991" s="2"/>
      <c r="S991" t="str">
        <f>VLOOKUP(B991,CASOPOInvCL!$B$1:$D$1600,1,FALSE)</f>
        <v>SO18189</v>
      </c>
      <c r="T991">
        <f t="shared" si="15"/>
        <v>11</v>
      </c>
    </row>
    <row r="992" spans="1:20" x14ac:dyDescent="0.25">
      <c r="A992" s="2">
        <v>1</v>
      </c>
      <c r="B992" s="2" t="s">
        <v>230</v>
      </c>
      <c r="C992" s="2" t="s">
        <v>231</v>
      </c>
      <c r="D992" s="2" t="s">
        <v>232</v>
      </c>
      <c r="E992" s="3">
        <v>45968.38484953704</v>
      </c>
      <c r="F992" s="3">
        <v>45971.681041666663</v>
      </c>
      <c r="G992" s="4">
        <v>45985</v>
      </c>
      <c r="H992" s="2" t="s">
        <v>180</v>
      </c>
      <c r="I992" s="2" t="s">
        <v>51</v>
      </c>
      <c r="J992" s="2">
        <v>0.71202751048443413</v>
      </c>
      <c r="K992" s="2">
        <v>150.38744770851221</v>
      </c>
      <c r="L992" s="2">
        <v>0</v>
      </c>
      <c r="M992" s="2">
        <v>107.08</v>
      </c>
      <c r="N992" s="2">
        <v>107.08</v>
      </c>
      <c r="O992" s="2"/>
      <c r="P992" s="2">
        <v>107.08</v>
      </c>
      <c r="Q992" s="2" t="s">
        <v>44</v>
      </c>
      <c r="R992" s="2"/>
      <c r="S992" t="str">
        <f>VLOOKUP(B992,CASOPOInvCL!$B$1:$D$1600,1,FALSE)</f>
        <v>SO18191</v>
      </c>
      <c r="T992">
        <f t="shared" si="15"/>
        <v>11</v>
      </c>
    </row>
    <row r="993" spans="1:20" x14ac:dyDescent="0.25">
      <c r="A993" s="2">
        <v>0</v>
      </c>
      <c r="B993" s="2" t="s">
        <v>167</v>
      </c>
      <c r="C993" s="2" t="s">
        <v>168</v>
      </c>
      <c r="D993" s="2" t="s">
        <v>20</v>
      </c>
      <c r="E993" s="3">
        <v>45968.51798611111</v>
      </c>
      <c r="F993" s="3">
        <v>45979.534710648149</v>
      </c>
      <c r="G993" s="4">
        <v>46105</v>
      </c>
      <c r="H993" s="2" t="s">
        <v>21</v>
      </c>
      <c r="I993" s="2" t="s">
        <v>22</v>
      </c>
      <c r="J993" s="2">
        <v>1</v>
      </c>
      <c r="K993" s="2">
        <v>11983.95</v>
      </c>
      <c r="L993" s="2">
        <v>0</v>
      </c>
      <c r="M993" s="2">
        <v>8562.1333826255341</v>
      </c>
      <c r="N993" s="2">
        <v>11413.29</v>
      </c>
      <c r="O993" s="2">
        <v>570.66</v>
      </c>
      <c r="P993" s="2">
        <v>11983.95</v>
      </c>
      <c r="Q993" s="2" t="s">
        <v>29</v>
      </c>
      <c r="R993" s="2"/>
      <c r="S993" t="str">
        <f>VLOOKUP(B993,CASOPOInvCL!$B$1:$D$1600,1,FALSE)</f>
        <v>SO18192</v>
      </c>
      <c r="T993">
        <f t="shared" si="15"/>
        <v>11</v>
      </c>
    </row>
    <row r="994" spans="1:20" x14ac:dyDescent="0.25">
      <c r="A994" s="2">
        <v>0</v>
      </c>
      <c r="B994" s="2" t="s">
        <v>6187</v>
      </c>
      <c r="C994" s="2" t="s">
        <v>6188</v>
      </c>
      <c r="D994" s="2" t="s">
        <v>1941</v>
      </c>
      <c r="E994" s="3">
        <v>45971.476134259261</v>
      </c>
      <c r="F994" s="3">
        <v>46001.436226851853</v>
      </c>
      <c r="G994" s="4">
        <v>46120</v>
      </c>
      <c r="H994" s="2" t="s">
        <v>21</v>
      </c>
      <c r="I994" s="2" t="s">
        <v>51</v>
      </c>
      <c r="J994" s="2">
        <v>0.72282535844006246</v>
      </c>
      <c r="K994" s="2">
        <v>3857.2249402221159</v>
      </c>
      <c r="L994" s="2">
        <v>0</v>
      </c>
      <c r="M994" s="2">
        <v>2788.1</v>
      </c>
      <c r="N994" s="2">
        <v>2788.1</v>
      </c>
      <c r="O994" s="2"/>
      <c r="P994" s="2">
        <v>2788.1</v>
      </c>
      <c r="Q994" s="2" t="s">
        <v>29</v>
      </c>
      <c r="R994" s="2"/>
      <c r="S994" t="str">
        <f>VLOOKUP(B994,CASOPOInvCL!$B$1:$D$1600,1,FALSE)</f>
        <v>SO18198</v>
      </c>
      <c r="T994">
        <f t="shared" si="15"/>
        <v>11</v>
      </c>
    </row>
    <row r="995" spans="1:20" x14ac:dyDescent="0.25">
      <c r="A995" s="2">
        <v>1</v>
      </c>
      <c r="B995" s="2" t="s">
        <v>235</v>
      </c>
      <c r="C995" s="2" t="s">
        <v>236</v>
      </c>
      <c r="D995" s="2" t="s">
        <v>64</v>
      </c>
      <c r="E995" s="3">
        <v>45971.502615740741</v>
      </c>
      <c r="F995" s="3">
        <v>45971.502650462957</v>
      </c>
      <c r="G995" s="4">
        <v>45971</v>
      </c>
      <c r="H995" s="2" t="s">
        <v>21</v>
      </c>
      <c r="I995" s="2" t="s">
        <v>22</v>
      </c>
      <c r="J995" s="2">
        <v>1</v>
      </c>
      <c r="K995" s="2">
        <v>236.37</v>
      </c>
      <c r="L995" s="2">
        <v>0</v>
      </c>
      <c r="M995" s="2">
        <v>168.46588993950789</v>
      </c>
      <c r="N995" s="2">
        <v>209.18</v>
      </c>
      <c r="O995" s="2">
        <v>27.19</v>
      </c>
      <c r="P995" s="2">
        <v>236.37</v>
      </c>
      <c r="Q995" s="2" t="s">
        <v>44</v>
      </c>
      <c r="R995" s="2"/>
      <c r="S995" t="str">
        <f>VLOOKUP(B995,CASOPOInvCL!$B$1:$D$1600,1,FALSE)</f>
        <v>SO18199</v>
      </c>
      <c r="T995">
        <f t="shared" si="15"/>
        <v>11</v>
      </c>
    </row>
    <row r="996" spans="1:20" x14ac:dyDescent="0.25">
      <c r="A996" s="2">
        <v>1</v>
      </c>
      <c r="B996" s="2" t="s">
        <v>233</v>
      </c>
      <c r="C996" s="2" t="s">
        <v>234</v>
      </c>
      <c r="D996" s="2" t="s">
        <v>70</v>
      </c>
      <c r="E996" s="3">
        <v>45971.549513888887</v>
      </c>
      <c r="F996" s="3">
        <v>45971.549687500003</v>
      </c>
      <c r="G996" s="4">
        <v>45978</v>
      </c>
      <c r="H996" s="2" t="s">
        <v>71</v>
      </c>
      <c r="I996" s="2" t="s">
        <v>51</v>
      </c>
      <c r="J996" s="2">
        <v>0.71202751048443413</v>
      </c>
      <c r="K996" s="2">
        <v>547.70355675537553</v>
      </c>
      <c r="L996" s="2">
        <v>0</v>
      </c>
      <c r="M996" s="2">
        <v>389.98</v>
      </c>
      <c r="N996" s="2">
        <v>389.98</v>
      </c>
      <c r="O996" s="2"/>
      <c r="P996" s="2">
        <v>389.98</v>
      </c>
      <c r="Q996" s="2" t="s">
        <v>44</v>
      </c>
      <c r="R996" s="2"/>
      <c r="S996" t="str">
        <f>VLOOKUP(B996,CASOPOInvCL!$B$1:$D$1600,1,FALSE)</f>
        <v>SO18200</v>
      </c>
      <c r="T996">
        <f t="shared" si="15"/>
        <v>11</v>
      </c>
    </row>
    <row r="997" spans="1:20" x14ac:dyDescent="0.25">
      <c r="A997" s="2">
        <v>2</v>
      </c>
      <c r="B997" s="2" t="s">
        <v>160</v>
      </c>
      <c r="C997" s="2" t="s">
        <v>161</v>
      </c>
      <c r="D997" s="2" t="s">
        <v>154</v>
      </c>
      <c r="E997" s="3">
        <v>45971.723321759258</v>
      </c>
      <c r="F997" s="3">
        <v>45979.57545138889</v>
      </c>
      <c r="G997" s="4">
        <v>45986</v>
      </c>
      <c r="H997" s="2" t="s">
        <v>36</v>
      </c>
      <c r="I997" s="2" t="s">
        <v>22</v>
      </c>
      <c r="J997" s="2">
        <v>1</v>
      </c>
      <c r="K997" s="2">
        <v>6453.87</v>
      </c>
      <c r="L997" s="2">
        <v>0</v>
      </c>
      <c r="M997" s="2">
        <v>4611.0752943833586</v>
      </c>
      <c r="N997" s="2">
        <v>6146.54</v>
      </c>
      <c r="O997" s="2">
        <v>307.33</v>
      </c>
      <c r="P997" s="2">
        <v>6453.87</v>
      </c>
      <c r="Q997" s="2" t="s">
        <v>44</v>
      </c>
      <c r="R997" s="2"/>
      <c r="S997" t="str">
        <f>VLOOKUP(B997,CASOPOInvCL!$B$1:$D$1600,1,FALSE)</f>
        <v>SO18204</v>
      </c>
      <c r="T997">
        <f t="shared" si="15"/>
        <v>11</v>
      </c>
    </row>
    <row r="998" spans="1:20" x14ac:dyDescent="0.25">
      <c r="A998" s="2">
        <v>1</v>
      </c>
      <c r="B998" s="2" t="s">
        <v>227</v>
      </c>
      <c r="C998" s="2" t="s">
        <v>228</v>
      </c>
      <c r="D998" s="2" t="s">
        <v>229</v>
      </c>
      <c r="E998" s="3">
        <v>45971.745185185187</v>
      </c>
      <c r="F998" s="3">
        <v>45971.762997685182</v>
      </c>
      <c r="G998" s="4">
        <v>45972</v>
      </c>
      <c r="H998" s="2" t="s">
        <v>21</v>
      </c>
      <c r="I998" s="2" t="s">
        <v>22</v>
      </c>
      <c r="J998" s="2">
        <v>1</v>
      </c>
      <c r="K998" s="2">
        <v>3099.83</v>
      </c>
      <c r="L998" s="2">
        <v>0</v>
      </c>
      <c r="M998" s="2">
        <v>2209.3142937394118</v>
      </c>
      <c r="N998" s="2">
        <v>2952.22</v>
      </c>
      <c r="O998" s="2">
        <v>147.61000000000001</v>
      </c>
      <c r="P998" s="2">
        <v>3099.83</v>
      </c>
      <c r="Q998" s="2" t="s">
        <v>44</v>
      </c>
      <c r="R998" s="2"/>
      <c r="S998" t="str">
        <f>VLOOKUP(B998,CASOPOInvCL!$B$1:$D$1600,1,FALSE)</f>
        <v>SO18206</v>
      </c>
      <c r="T998">
        <f t="shared" si="15"/>
        <v>11</v>
      </c>
    </row>
    <row r="999" spans="1:20" x14ac:dyDescent="0.25">
      <c r="A999" s="2">
        <v>1</v>
      </c>
      <c r="B999" s="2" t="s">
        <v>222</v>
      </c>
      <c r="C999" s="2" t="s">
        <v>223</v>
      </c>
      <c r="D999" s="2" t="s">
        <v>95</v>
      </c>
      <c r="E999" s="3">
        <v>45972.539074074077</v>
      </c>
      <c r="F999" s="3">
        <v>45972.53628472222</v>
      </c>
      <c r="G999" s="4">
        <v>45974</v>
      </c>
      <c r="H999" s="2" t="s">
        <v>21</v>
      </c>
      <c r="I999" s="2" t="s">
        <v>22</v>
      </c>
      <c r="J999" s="2">
        <v>1</v>
      </c>
      <c r="K999" s="2">
        <v>2254.39</v>
      </c>
      <c r="L999" s="2">
        <v>0</v>
      </c>
      <c r="M999" s="2">
        <v>1609.186941897191</v>
      </c>
      <c r="N999" s="2">
        <v>2147.04</v>
      </c>
      <c r="O999" s="2">
        <v>107.35</v>
      </c>
      <c r="P999" s="2">
        <v>2254.39</v>
      </c>
      <c r="Q999" s="2" t="s">
        <v>44</v>
      </c>
      <c r="R999" s="2"/>
      <c r="S999" t="str">
        <f>VLOOKUP(B999,CASOPOInvCL!$B$1:$D$1600,1,FALSE)</f>
        <v>SO18209</v>
      </c>
      <c r="T999">
        <f t="shared" si="15"/>
        <v>11</v>
      </c>
    </row>
    <row r="1000" spans="1:20" x14ac:dyDescent="0.25">
      <c r="A1000" s="2">
        <v>1</v>
      </c>
      <c r="B1000" s="2" t="s">
        <v>220</v>
      </c>
      <c r="C1000" s="2" t="s">
        <v>221</v>
      </c>
      <c r="D1000" s="2" t="s">
        <v>64</v>
      </c>
      <c r="E1000" s="3">
        <v>45972.55164351852</v>
      </c>
      <c r="F1000" s="3">
        <v>45972.551666666674</v>
      </c>
      <c r="G1000" s="4">
        <v>45973</v>
      </c>
      <c r="H1000" s="2" t="s">
        <v>21</v>
      </c>
      <c r="I1000" s="2" t="s">
        <v>22</v>
      </c>
      <c r="J1000" s="2">
        <v>1</v>
      </c>
      <c r="K1000" s="2">
        <v>412.89</v>
      </c>
      <c r="L1000" s="2">
        <v>0</v>
      </c>
      <c r="M1000" s="2">
        <v>294.72149736289242</v>
      </c>
      <c r="N1000" s="2">
        <v>365.39</v>
      </c>
      <c r="O1000" s="2">
        <v>47.5</v>
      </c>
      <c r="P1000" s="2">
        <v>412.89</v>
      </c>
      <c r="Q1000" s="2" t="s">
        <v>44</v>
      </c>
      <c r="R1000" s="2"/>
      <c r="S1000" t="str">
        <f>VLOOKUP(B1000,CASOPOInvCL!$B$1:$D$1600,1,FALSE)</f>
        <v>SO18210</v>
      </c>
      <c r="T1000">
        <f t="shared" si="15"/>
        <v>11</v>
      </c>
    </row>
    <row r="1001" spans="1:20" x14ac:dyDescent="0.25">
      <c r="A1001" s="2">
        <v>1</v>
      </c>
      <c r="B1001" s="2" t="s">
        <v>210</v>
      </c>
      <c r="C1001" s="2" t="s">
        <v>211</v>
      </c>
      <c r="D1001" s="2" t="s">
        <v>20</v>
      </c>
      <c r="E1001" s="3">
        <v>45972.562291666669</v>
      </c>
      <c r="F1001" s="3">
        <v>45972.734166666669</v>
      </c>
      <c r="G1001" s="4">
        <v>45973</v>
      </c>
      <c r="H1001" s="2" t="s">
        <v>21</v>
      </c>
      <c r="I1001" s="2" t="s">
        <v>22</v>
      </c>
      <c r="J1001" s="2">
        <v>1</v>
      </c>
      <c r="K1001" s="2">
        <v>365.17</v>
      </c>
      <c r="L1001" s="2">
        <v>0</v>
      </c>
      <c r="M1001" s="2">
        <v>260.65889024197111</v>
      </c>
      <c r="N1001" s="2">
        <v>347.78</v>
      </c>
      <c r="O1001" s="2">
        <v>17.39</v>
      </c>
      <c r="P1001" s="2">
        <v>365.17</v>
      </c>
      <c r="Q1001" s="2" t="s">
        <v>44</v>
      </c>
      <c r="R1001" s="2"/>
      <c r="S1001" t="str">
        <f>VLOOKUP(B1001,CASOPOInvCL!$B$1:$D$1600,1,FALSE)</f>
        <v>SO18211</v>
      </c>
      <c r="T1001">
        <f t="shared" si="15"/>
        <v>11</v>
      </c>
    </row>
    <row r="1002" spans="1:20" ht="30" x14ac:dyDescent="0.25">
      <c r="A1002" s="2">
        <v>1</v>
      </c>
      <c r="B1002" s="2" t="s">
        <v>212</v>
      </c>
      <c r="C1002" s="2" t="s">
        <v>213</v>
      </c>
      <c r="D1002" s="2" t="s">
        <v>179</v>
      </c>
      <c r="E1002" s="3">
        <v>45972.648981481478</v>
      </c>
      <c r="F1002" s="3">
        <v>45972.731817129628</v>
      </c>
      <c r="G1002" s="4">
        <v>45978</v>
      </c>
      <c r="H1002" s="2" t="s">
        <v>180</v>
      </c>
      <c r="I1002" s="2" t="s">
        <v>51</v>
      </c>
      <c r="J1002" s="2">
        <v>0.71272111494482349</v>
      </c>
      <c r="K1002" s="2">
        <v>5205.7107923443982</v>
      </c>
      <c r="L1002" s="2">
        <v>0</v>
      </c>
      <c r="M1002" s="2">
        <v>3710.22</v>
      </c>
      <c r="N1002" s="2">
        <v>3710.22</v>
      </c>
      <c r="O1002" s="2"/>
      <c r="P1002" s="2">
        <v>3710.22</v>
      </c>
      <c r="Q1002" s="2" t="s">
        <v>23</v>
      </c>
      <c r="R1002" s="2"/>
      <c r="S1002" t="str">
        <f>VLOOKUP(B1002,CASOPOInvCL!$B$1:$D$1600,1,FALSE)</f>
        <v>SO18212</v>
      </c>
      <c r="T1002">
        <f t="shared" si="15"/>
        <v>11</v>
      </c>
    </row>
    <row r="1003" spans="1:20" ht="30" x14ac:dyDescent="0.25">
      <c r="A1003" s="2">
        <v>1</v>
      </c>
      <c r="B1003" s="2" t="s">
        <v>214</v>
      </c>
      <c r="C1003" s="2" t="s">
        <v>215</v>
      </c>
      <c r="D1003" s="2" t="s">
        <v>179</v>
      </c>
      <c r="E1003" s="3">
        <v>45972.7028125</v>
      </c>
      <c r="F1003" s="3">
        <v>45972.731493055559</v>
      </c>
      <c r="G1003" s="4">
        <v>45978</v>
      </c>
      <c r="H1003" s="2" t="s">
        <v>180</v>
      </c>
      <c r="I1003" s="2" t="s">
        <v>51</v>
      </c>
      <c r="J1003" s="2">
        <v>0.71272111494482349</v>
      </c>
      <c r="K1003" s="2">
        <v>4373.8286050937786</v>
      </c>
      <c r="L1003" s="2">
        <v>0</v>
      </c>
      <c r="M1003" s="2">
        <v>3117.32</v>
      </c>
      <c r="N1003" s="2">
        <v>3117.32</v>
      </c>
      <c r="O1003" s="2"/>
      <c r="P1003" s="2">
        <v>3117.32</v>
      </c>
      <c r="Q1003" s="2" t="s">
        <v>44</v>
      </c>
      <c r="R1003" s="2"/>
      <c r="S1003" t="str">
        <f>VLOOKUP(B1003,CASOPOInvCL!$B$1:$D$1600,1,FALSE)</f>
        <v>SO18213</v>
      </c>
      <c r="T1003">
        <f t="shared" si="15"/>
        <v>11</v>
      </c>
    </row>
    <row r="1004" spans="1:20" x14ac:dyDescent="0.25">
      <c r="A1004" s="2">
        <v>1</v>
      </c>
      <c r="B1004" s="2" t="s">
        <v>93</v>
      </c>
      <c r="C1004" s="2" t="s">
        <v>94</v>
      </c>
      <c r="D1004" s="2" t="s">
        <v>95</v>
      </c>
      <c r="E1004" s="3">
        <v>45973.448483796303</v>
      </c>
      <c r="F1004" s="3">
        <v>45986.502858796302</v>
      </c>
      <c r="G1004" s="4">
        <v>45987</v>
      </c>
      <c r="H1004" s="2" t="s">
        <v>21</v>
      </c>
      <c r="I1004" s="2" t="s">
        <v>22</v>
      </c>
      <c r="J1004" s="2">
        <v>1</v>
      </c>
      <c r="K1004" s="2">
        <v>973.46</v>
      </c>
      <c r="L1004" s="2">
        <v>0</v>
      </c>
      <c r="M1004" s="2">
        <v>689.5285331443647</v>
      </c>
      <c r="N1004" s="2">
        <v>927.1</v>
      </c>
      <c r="O1004" s="2">
        <v>46.36</v>
      </c>
      <c r="P1004" s="2">
        <v>973.46</v>
      </c>
      <c r="Q1004" s="2" t="s">
        <v>44</v>
      </c>
      <c r="R1004" s="2"/>
      <c r="S1004" t="str">
        <f>VLOOKUP(B1004,CASOPOInvCL!$B$1:$D$1600,1,FALSE)</f>
        <v>SO18214</v>
      </c>
      <c r="T1004">
        <f t="shared" si="15"/>
        <v>11</v>
      </c>
    </row>
    <row r="1005" spans="1:20" x14ac:dyDescent="0.25">
      <c r="A1005" s="2">
        <v>1</v>
      </c>
      <c r="B1005" s="2" t="s">
        <v>186</v>
      </c>
      <c r="C1005" s="2" t="s">
        <v>187</v>
      </c>
      <c r="D1005" s="2" t="s">
        <v>26</v>
      </c>
      <c r="E1005" s="3">
        <v>45973.654004629629</v>
      </c>
      <c r="F1005" s="3">
        <v>45975.536307870367</v>
      </c>
      <c r="G1005" s="4">
        <v>45978</v>
      </c>
      <c r="H1005" s="2" t="s">
        <v>21</v>
      </c>
      <c r="I1005" s="2" t="s">
        <v>22</v>
      </c>
      <c r="J1005" s="2">
        <v>1</v>
      </c>
      <c r="K1005" s="2">
        <v>365.56</v>
      </c>
      <c r="L1005" s="2">
        <v>0</v>
      </c>
      <c r="M1005" s="2">
        <v>260.66302427220307</v>
      </c>
      <c r="N1005" s="2">
        <v>348.15</v>
      </c>
      <c r="O1005" s="2">
        <v>17.41</v>
      </c>
      <c r="P1005" s="2">
        <v>365.56</v>
      </c>
      <c r="Q1005" s="2" t="s">
        <v>44</v>
      </c>
      <c r="R1005" s="2"/>
      <c r="S1005" t="str">
        <f>VLOOKUP(B1005,CASOPOInvCL!$B$1:$D$1600,1,FALSE)</f>
        <v>SO18221</v>
      </c>
      <c r="T1005">
        <f t="shared" si="15"/>
        <v>11</v>
      </c>
    </row>
    <row r="1006" spans="1:20" x14ac:dyDescent="0.25">
      <c r="A1006" s="2">
        <v>1</v>
      </c>
      <c r="B1006" s="2" t="s">
        <v>206</v>
      </c>
      <c r="C1006" s="2" t="s">
        <v>207</v>
      </c>
      <c r="D1006" s="2" t="s">
        <v>121</v>
      </c>
      <c r="E1006" s="3">
        <v>45973.720937500002</v>
      </c>
      <c r="F1006" s="3">
        <v>45973.727442129632</v>
      </c>
      <c r="G1006" s="4">
        <v>45987</v>
      </c>
      <c r="H1006" s="2" t="s">
        <v>180</v>
      </c>
      <c r="I1006" s="2" t="s">
        <v>22</v>
      </c>
      <c r="J1006" s="2">
        <v>1</v>
      </c>
      <c r="K1006" s="2">
        <v>767.21</v>
      </c>
      <c r="L1006" s="2">
        <v>0</v>
      </c>
      <c r="M1006" s="2">
        <v>547.91216369183155</v>
      </c>
      <c r="N1006" s="2">
        <v>730.68</v>
      </c>
      <c r="O1006" s="2">
        <v>36.53</v>
      </c>
      <c r="P1006" s="2">
        <v>767.21</v>
      </c>
      <c r="Q1006" s="2" t="s">
        <v>44</v>
      </c>
      <c r="R1006" s="2"/>
      <c r="S1006" t="str">
        <f>VLOOKUP(B1006,CASOPOInvCL!$B$1:$D$1600,1,FALSE)</f>
        <v>SO18222</v>
      </c>
      <c r="T1006">
        <f t="shared" si="15"/>
        <v>11</v>
      </c>
    </row>
    <row r="1007" spans="1:20" x14ac:dyDescent="0.25">
      <c r="A1007" s="2">
        <v>1</v>
      </c>
      <c r="B1007" s="2" t="s">
        <v>208</v>
      </c>
      <c r="C1007" s="2" t="s">
        <v>209</v>
      </c>
      <c r="D1007" s="2" t="s">
        <v>121</v>
      </c>
      <c r="E1007" s="3">
        <v>45973.726076388892</v>
      </c>
      <c r="F1007" s="3">
        <v>45973.726620370369</v>
      </c>
      <c r="G1007" s="4">
        <v>45974</v>
      </c>
      <c r="H1007" s="2" t="s">
        <v>21</v>
      </c>
      <c r="I1007" s="2" t="s">
        <v>22</v>
      </c>
      <c r="J1007" s="2">
        <v>1</v>
      </c>
      <c r="K1007" s="2">
        <v>3010.94</v>
      </c>
      <c r="L1007" s="2">
        <v>0</v>
      </c>
      <c r="M1007" s="2">
        <v>2150.2986798220609</v>
      </c>
      <c r="N1007" s="2">
        <v>2867.55</v>
      </c>
      <c r="O1007" s="2">
        <v>143.38999999999999</v>
      </c>
      <c r="P1007" s="2">
        <v>3010.94</v>
      </c>
      <c r="Q1007" s="2" t="s">
        <v>44</v>
      </c>
      <c r="R1007" s="2"/>
      <c r="S1007" t="str">
        <f>VLOOKUP(B1007,CASOPOInvCL!$B$1:$D$1600,1,FALSE)</f>
        <v>SO18223</v>
      </c>
      <c r="T1007">
        <f t="shared" si="15"/>
        <v>11</v>
      </c>
    </row>
    <row r="1008" spans="1:20" x14ac:dyDescent="0.25">
      <c r="A1008" s="2">
        <v>1</v>
      </c>
      <c r="B1008" s="2" t="s">
        <v>204</v>
      </c>
      <c r="C1008" s="2" t="s">
        <v>205</v>
      </c>
      <c r="D1008" s="2" t="s">
        <v>121</v>
      </c>
      <c r="E1008" s="3">
        <v>45973.736909722233</v>
      </c>
      <c r="F1008" s="3">
        <v>45973.736932870372</v>
      </c>
      <c r="G1008" s="4">
        <v>45975</v>
      </c>
      <c r="H1008" s="2" t="s">
        <v>180</v>
      </c>
      <c r="I1008" s="2" t="s">
        <v>22</v>
      </c>
      <c r="J1008" s="2">
        <v>1</v>
      </c>
      <c r="K1008" s="2">
        <v>115.14</v>
      </c>
      <c r="L1008" s="2">
        <v>0</v>
      </c>
      <c r="M1008" s="2">
        <v>82.228603025869688</v>
      </c>
      <c r="N1008" s="2">
        <v>109.66</v>
      </c>
      <c r="O1008" s="2">
        <v>5.48</v>
      </c>
      <c r="P1008" s="2">
        <v>115.14</v>
      </c>
      <c r="Q1008" s="2" t="s">
        <v>44</v>
      </c>
      <c r="R1008" s="2"/>
      <c r="S1008" t="str">
        <f>VLOOKUP(B1008,CASOPOInvCL!$B$1:$D$1600,1,FALSE)</f>
        <v>SO18224</v>
      </c>
      <c r="T1008">
        <f t="shared" si="15"/>
        <v>11</v>
      </c>
    </row>
    <row r="1009" spans="1:20" x14ac:dyDescent="0.25">
      <c r="A1009" s="2">
        <v>1</v>
      </c>
      <c r="B1009" s="2" t="s">
        <v>202</v>
      </c>
      <c r="C1009" s="2" t="s">
        <v>203</v>
      </c>
      <c r="D1009" s="2" t="s">
        <v>121</v>
      </c>
      <c r="E1009" s="3">
        <v>45973.744953703703</v>
      </c>
      <c r="F1009" s="3">
        <v>45973.744976851849</v>
      </c>
      <c r="G1009" s="4">
        <v>45974</v>
      </c>
      <c r="H1009" s="2" t="s">
        <v>21</v>
      </c>
      <c r="I1009" s="2" t="s">
        <v>22</v>
      </c>
      <c r="J1009" s="2">
        <v>1</v>
      </c>
      <c r="K1009" s="2">
        <v>757.9</v>
      </c>
      <c r="L1009" s="2">
        <v>0</v>
      </c>
      <c r="M1009" s="2">
        <v>541.26331625244597</v>
      </c>
      <c r="N1009" s="2">
        <v>721.12</v>
      </c>
      <c r="O1009" s="2">
        <v>36.78</v>
      </c>
      <c r="P1009" s="2">
        <v>757.9</v>
      </c>
      <c r="Q1009" s="2" t="s">
        <v>44</v>
      </c>
      <c r="R1009" s="2"/>
      <c r="S1009" t="str">
        <f>VLOOKUP(B1009,CASOPOInvCL!$B$1:$D$1600,1,FALSE)</f>
        <v>SO18225</v>
      </c>
      <c r="T1009">
        <f t="shared" si="15"/>
        <v>11</v>
      </c>
    </row>
    <row r="1010" spans="1:20" x14ac:dyDescent="0.25">
      <c r="A1010" s="2">
        <v>1</v>
      </c>
      <c r="B1010" s="2" t="s">
        <v>5863</v>
      </c>
      <c r="C1010" s="2" t="s">
        <v>5864</v>
      </c>
      <c r="D1010" s="2" t="s">
        <v>171</v>
      </c>
      <c r="E1010" s="3">
        <v>45974.47184027778</v>
      </c>
      <c r="F1010" s="3">
        <v>45993.498368055552</v>
      </c>
      <c r="G1010" s="4">
        <v>45974</v>
      </c>
      <c r="H1010" s="2" t="s">
        <v>74</v>
      </c>
      <c r="I1010" s="2" t="s">
        <v>22</v>
      </c>
      <c r="J1010" s="2">
        <v>1</v>
      </c>
      <c r="K1010" s="2">
        <v>1095.1500000000001</v>
      </c>
      <c r="L1010" s="2">
        <v>0</v>
      </c>
      <c r="M1010" s="2">
        <v>782.79417672545151</v>
      </c>
      <c r="N1010" s="2">
        <v>1043</v>
      </c>
      <c r="O1010" s="2">
        <v>52.15</v>
      </c>
      <c r="P1010" s="2">
        <v>1095.1500000000001</v>
      </c>
      <c r="Q1010" s="2" t="s">
        <v>44</v>
      </c>
      <c r="R1010" s="2"/>
      <c r="S1010" t="str">
        <f>VLOOKUP(B1010,CASOPOInvCL!$B$1:$D$1600,1,FALSE)</f>
        <v>SO18226</v>
      </c>
      <c r="T1010">
        <f t="shared" si="15"/>
        <v>11</v>
      </c>
    </row>
    <row r="1011" spans="1:20" x14ac:dyDescent="0.25">
      <c r="A1011" s="2">
        <v>1</v>
      </c>
      <c r="B1011" s="2" t="s">
        <v>190</v>
      </c>
      <c r="C1011" s="2" t="s">
        <v>191</v>
      </c>
      <c r="D1011" s="2" t="s">
        <v>192</v>
      </c>
      <c r="E1011" s="3">
        <v>45974.619074074071</v>
      </c>
      <c r="F1011" s="3">
        <v>45974.627800925933</v>
      </c>
      <c r="G1011" s="2"/>
      <c r="H1011" s="2" t="s">
        <v>40</v>
      </c>
      <c r="I1011" s="2" t="s">
        <v>51</v>
      </c>
      <c r="J1011" s="2">
        <v>0.71380149037974383</v>
      </c>
      <c r="K1011" s="2">
        <v>4373.1346068489283</v>
      </c>
      <c r="L1011" s="2">
        <v>0</v>
      </c>
      <c r="M1011" s="2">
        <v>3121.55</v>
      </c>
      <c r="N1011" s="2">
        <v>3121.55</v>
      </c>
      <c r="O1011" s="2"/>
      <c r="P1011" s="2">
        <v>3121.55</v>
      </c>
      <c r="Q1011" s="2" t="s">
        <v>44</v>
      </c>
      <c r="R1011" s="2"/>
      <c r="S1011" t="str">
        <f>VLOOKUP(B1011,CASOPOInvCL!$B$1:$D$1600,1,FALSE)</f>
        <v>SO18227</v>
      </c>
      <c r="T1011">
        <f t="shared" si="15"/>
        <v>11</v>
      </c>
    </row>
    <row r="1012" spans="1:20" x14ac:dyDescent="0.25">
      <c r="A1012" s="2">
        <v>1</v>
      </c>
      <c r="B1012" s="2" t="s">
        <v>169</v>
      </c>
      <c r="C1012" s="2" t="s">
        <v>170</v>
      </c>
      <c r="D1012" s="2" t="s">
        <v>171</v>
      </c>
      <c r="E1012" s="3">
        <v>45974.71533564815</v>
      </c>
      <c r="F1012" s="3">
        <v>45979.496099537027</v>
      </c>
      <c r="G1012" s="4">
        <v>45980</v>
      </c>
      <c r="H1012" s="2" t="s">
        <v>21</v>
      </c>
      <c r="I1012" s="2" t="s">
        <v>22</v>
      </c>
      <c r="J1012" s="2">
        <v>1</v>
      </c>
      <c r="K1012" s="2">
        <v>922.89</v>
      </c>
      <c r="L1012" s="2">
        <v>0</v>
      </c>
      <c r="M1012" s="2">
        <v>659.37418609817951</v>
      </c>
      <c r="N1012" s="2">
        <v>878.94</v>
      </c>
      <c r="O1012" s="2">
        <v>43.95</v>
      </c>
      <c r="P1012" s="2">
        <v>922.89</v>
      </c>
      <c r="Q1012" s="2" t="s">
        <v>44</v>
      </c>
      <c r="R1012" s="2"/>
      <c r="S1012" t="str">
        <f>VLOOKUP(B1012,CASOPOInvCL!$B$1:$D$1600,1,FALSE)</f>
        <v>SO18228</v>
      </c>
      <c r="T1012">
        <f t="shared" si="15"/>
        <v>11</v>
      </c>
    </row>
    <row r="1013" spans="1:20" x14ac:dyDescent="0.25">
      <c r="A1013" s="2">
        <v>1</v>
      </c>
      <c r="B1013" s="2" t="s">
        <v>188</v>
      </c>
      <c r="C1013" s="2" t="s">
        <v>189</v>
      </c>
      <c r="D1013" s="2" t="s">
        <v>20</v>
      </c>
      <c r="E1013" s="3">
        <v>45974.743750000001</v>
      </c>
      <c r="F1013" s="3">
        <v>45974.745474537027</v>
      </c>
      <c r="G1013" s="4">
        <v>45975</v>
      </c>
      <c r="H1013" s="2" t="s">
        <v>21</v>
      </c>
      <c r="I1013" s="2" t="s">
        <v>22</v>
      </c>
      <c r="J1013" s="2">
        <v>1</v>
      </c>
      <c r="K1013" s="2">
        <v>310.20999999999998</v>
      </c>
      <c r="L1013" s="2">
        <v>0</v>
      </c>
      <c r="M1013" s="2">
        <v>221.39505595035291</v>
      </c>
      <c r="N1013" s="2">
        <v>295.44</v>
      </c>
      <c r="O1013" s="2">
        <v>14.77</v>
      </c>
      <c r="P1013" s="2">
        <v>310.20999999999998</v>
      </c>
      <c r="Q1013" s="2" t="s">
        <v>44</v>
      </c>
      <c r="R1013" s="2"/>
      <c r="S1013" t="str">
        <f>VLOOKUP(B1013,CASOPOInvCL!$B$1:$D$1600,1,FALSE)</f>
        <v>SO18230</v>
      </c>
      <c r="T1013">
        <f t="shared" si="15"/>
        <v>11</v>
      </c>
    </row>
    <row r="1014" spans="1:20" x14ac:dyDescent="0.25">
      <c r="A1014" s="2">
        <v>0</v>
      </c>
      <c r="B1014" s="2" t="s">
        <v>181</v>
      </c>
      <c r="C1014" s="2" t="s">
        <v>182</v>
      </c>
      <c r="D1014" s="2" t="s">
        <v>179</v>
      </c>
      <c r="E1014" s="3">
        <v>45974.812685185178</v>
      </c>
      <c r="F1014" s="3">
        <v>45975.655740740738</v>
      </c>
      <c r="G1014" s="4">
        <v>45978</v>
      </c>
      <c r="H1014" s="2" t="s">
        <v>180</v>
      </c>
      <c r="I1014" s="2" t="s">
        <v>51</v>
      </c>
      <c r="J1014" s="2">
        <v>0.71416191615311519</v>
      </c>
      <c r="K1014" s="2">
        <v>4365.0045311736449</v>
      </c>
      <c r="L1014" s="2">
        <v>0</v>
      </c>
      <c r="M1014" s="2">
        <v>3117.32</v>
      </c>
      <c r="N1014" s="2">
        <v>3117.32</v>
      </c>
      <c r="O1014" s="2"/>
      <c r="P1014" s="2">
        <v>3117.32</v>
      </c>
      <c r="Q1014" s="2" t="s">
        <v>183</v>
      </c>
      <c r="R1014" s="2"/>
      <c r="S1014" t="str">
        <f>VLOOKUP(B1014,CASOPOInvCL!$B$1:$D$1600,1,FALSE)</f>
        <v>SO18231</v>
      </c>
      <c r="T1014">
        <f t="shared" si="15"/>
        <v>11</v>
      </c>
    </row>
    <row r="1015" spans="1:20" ht="30" x14ac:dyDescent="0.25">
      <c r="A1015" s="2">
        <v>1</v>
      </c>
      <c r="B1015" s="2" t="s">
        <v>177</v>
      </c>
      <c r="C1015" s="2" t="s">
        <v>178</v>
      </c>
      <c r="D1015" s="2" t="s">
        <v>179</v>
      </c>
      <c r="E1015" s="3">
        <v>45975.34097222222</v>
      </c>
      <c r="F1015" s="3">
        <v>45975.671886574077</v>
      </c>
      <c r="G1015" s="4">
        <v>45975</v>
      </c>
      <c r="H1015" s="2" t="s">
        <v>180</v>
      </c>
      <c r="I1015" s="2" t="s">
        <v>51</v>
      </c>
      <c r="J1015" s="2">
        <v>0.71416191615311519</v>
      </c>
      <c r="K1015" s="2">
        <v>4904.0979654382863</v>
      </c>
      <c r="L1015" s="2">
        <v>0</v>
      </c>
      <c r="M1015" s="2">
        <v>3502.32</v>
      </c>
      <c r="N1015" s="2">
        <v>3502.32</v>
      </c>
      <c r="O1015" s="2"/>
      <c r="P1015" s="2">
        <v>3502.32</v>
      </c>
      <c r="Q1015" s="2" t="s">
        <v>29</v>
      </c>
      <c r="R1015" s="2"/>
      <c r="S1015" t="str">
        <f>VLOOKUP(B1015,CASOPOInvCL!$B$1:$D$1600,1,FALSE)</f>
        <v>SO18232</v>
      </c>
      <c r="T1015">
        <f t="shared" si="15"/>
        <v>11</v>
      </c>
    </row>
    <row r="1016" spans="1:20" x14ac:dyDescent="0.25">
      <c r="A1016" s="2">
        <v>1</v>
      </c>
      <c r="B1016" s="2" t="s">
        <v>174</v>
      </c>
      <c r="C1016" s="2" t="s">
        <v>175</v>
      </c>
      <c r="D1016" s="2" t="s">
        <v>176</v>
      </c>
      <c r="E1016" s="3">
        <v>45975.396863425929</v>
      </c>
      <c r="F1016" s="3">
        <v>45978.421840277777</v>
      </c>
      <c r="G1016" s="4">
        <v>45996</v>
      </c>
      <c r="H1016" s="2" t="s">
        <v>74</v>
      </c>
      <c r="I1016" s="2" t="s">
        <v>22</v>
      </c>
      <c r="J1016" s="2">
        <v>1</v>
      </c>
      <c r="K1016" s="2">
        <v>216.96</v>
      </c>
      <c r="L1016" s="2">
        <v>0</v>
      </c>
      <c r="M1016" s="2">
        <v>154.64409812665181</v>
      </c>
      <c r="N1016" s="2">
        <v>192</v>
      </c>
      <c r="O1016" s="2">
        <v>24.96</v>
      </c>
      <c r="P1016" s="2">
        <v>216.96</v>
      </c>
      <c r="Q1016" s="2" t="s">
        <v>44</v>
      </c>
      <c r="R1016" s="2"/>
      <c r="S1016" t="str">
        <f>VLOOKUP(B1016,CASOPOInvCL!$B$1:$D$1600,1,FALSE)</f>
        <v>SO18233</v>
      </c>
      <c r="T1016">
        <f t="shared" si="15"/>
        <v>11</v>
      </c>
    </row>
    <row r="1017" spans="1:20" x14ac:dyDescent="0.25">
      <c r="A1017" s="2">
        <v>1</v>
      </c>
      <c r="B1017" s="2" t="s">
        <v>172</v>
      </c>
      <c r="C1017" s="2" t="s">
        <v>173</v>
      </c>
      <c r="D1017" s="2" t="s">
        <v>26</v>
      </c>
      <c r="E1017" s="3">
        <v>45975.621180555558</v>
      </c>
      <c r="F1017" s="3">
        <v>45978.720995370371</v>
      </c>
      <c r="G1017" s="4">
        <v>45979</v>
      </c>
      <c r="H1017" s="2" t="s">
        <v>21</v>
      </c>
      <c r="I1017" s="2" t="s">
        <v>22</v>
      </c>
      <c r="J1017" s="2">
        <v>1</v>
      </c>
      <c r="K1017" s="2">
        <v>391.77</v>
      </c>
      <c r="L1017" s="2">
        <v>0</v>
      </c>
      <c r="M1017" s="2">
        <v>279.24464566315629</v>
      </c>
      <c r="N1017" s="2">
        <v>373.11</v>
      </c>
      <c r="O1017" s="2">
        <v>18.66</v>
      </c>
      <c r="P1017" s="2">
        <v>391.77</v>
      </c>
      <c r="Q1017" s="2" t="s">
        <v>44</v>
      </c>
      <c r="R1017" s="2"/>
      <c r="S1017" t="str">
        <f>VLOOKUP(B1017,CASOPOInvCL!$B$1:$D$1600,1,FALSE)</f>
        <v>SO18238</v>
      </c>
      <c r="T1017">
        <f t="shared" si="15"/>
        <v>11</v>
      </c>
    </row>
    <row r="1018" spans="1:20" x14ac:dyDescent="0.25">
      <c r="A1018" s="2">
        <v>0</v>
      </c>
      <c r="B1018" s="2" t="s">
        <v>6189</v>
      </c>
      <c r="C1018" s="2" t="s">
        <v>6190</v>
      </c>
      <c r="D1018" s="2" t="s">
        <v>239</v>
      </c>
      <c r="E1018" s="3">
        <v>45978.384953703702</v>
      </c>
      <c r="F1018" s="3">
        <v>46008.712766203702</v>
      </c>
      <c r="G1018" s="4">
        <v>46113</v>
      </c>
      <c r="H1018" s="2" t="s">
        <v>180</v>
      </c>
      <c r="I1018" s="2" t="s">
        <v>51</v>
      </c>
      <c r="J1018" s="2">
        <v>0.72641002219915185</v>
      </c>
      <c r="K1018" s="2">
        <v>3661.843750375373</v>
      </c>
      <c r="L1018" s="2">
        <v>0</v>
      </c>
      <c r="M1018" s="2">
        <v>2660</v>
      </c>
      <c r="N1018" s="2">
        <v>2660</v>
      </c>
      <c r="O1018" s="2"/>
      <c r="P1018" s="2">
        <v>2660</v>
      </c>
      <c r="Q1018" s="2" t="s">
        <v>29</v>
      </c>
      <c r="R1018" s="2"/>
      <c r="S1018" t="str">
        <f>VLOOKUP(B1018,CASOPOInvCL!$B$1:$D$1600,1,FALSE)</f>
        <v>SO18240</v>
      </c>
      <c r="T1018">
        <f t="shared" si="15"/>
        <v>11</v>
      </c>
    </row>
    <row r="1019" spans="1:20" x14ac:dyDescent="0.25">
      <c r="A1019" s="2">
        <v>0</v>
      </c>
      <c r="B1019" s="2" t="s">
        <v>144</v>
      </c>
      <c r="C1019" s="2" t="s">
        <v>145</v>
      </c>
      <c r="D1019" s="2" t="s">
        <v>146</v>
      </c>
      <c r="E1019" s="3">
        <v>45978.465879629628</v>
      </c>
      <c r="F1019" s="3">
        <v>45981.480023148149</v>
      </c>
      <c r="G1019" s="4">
        <v>46037</v>
      </c>
      <c r="H1019" s="2" t="s">
        <v>21</v>
      </c>
      <c r="I1019" s="2" t="s">
        <v>22</v>
      </c>
      <c r="J1019" s="2">
        <v>1</v>
      </c>
      <c r="K1019" s="2">
        <v>9966.4699999999993</v>
      </c>
      <c r="L1019" s="2">
        <v>0</v>
      </c>
      <c r="M1019" s="2">
        <v>7071.650847930744</v>
      </c>
      <c r="N1019" s="2">
        <v>9491.8799999999992</v>
      </c>
      <c r="O1019" s="2">
        <v>474.59</v>
      </c>
      <c r="P1019" s="2">
        <v>9966.4699999999993</v>
      </c>
      <c r="Q1019" s="2" t="s">
        <v>44</v>
      </c>
      <c r="R1019" s="2"/>
      <c r="S1019" t="str">
        <f>VLOOKUP(B1019,CASOPOInvCL!$B$1:$D$1600,1,FALSE)</f>
        <v>SO18241</v>
      </c>
      <c r="T1019">
        <f t="shared" si="15"/>
        <v>11</v>
      </c>
    </row>
    <row r="1020" spans="1:20" x14ac:dyDescent="0.25">
      <c r="A1020" s="2">
        <v>0</v>
      </c>
      <c r="B1020" s="2" t="s">
        <v>27</v>
      </c>
      <c r="C1020" s="2" t="s">
        <v>28</v>
      </c>
      <c r="D1020" s="2" t="s">
        <v>20</v>
      </c>
      <c r="E1020" s="3">
        <v>45978.587951388887</v>
      </c>
      <c r="F1020" s="3">
        <v>45989.498310185183</v>
      </c>
      <c r="G1020" s="4">
        <v>46073</v>
      </c>
      <c r="H1020" s="2" t="s">
        <v>21</v>
      </c>
      <c r="I1020" s="2" t="s">
        <v>22</v>
      </c>
      <c r="J1020" s="2">
        <v>1</v>
      </c>
      <c r="K1020" s="2">
        <v>5097.12</v>
      </c>
      <c r="L1020" s="2">
        <v>0</v>
      </c>
      <c r="M1020" s="2">
        <v>3647.092793836388</v>
      </c>
      <c r="N1020" s="2">
        <v>4854.3999999999996</v>
      </c>
      <c r="O1020" s="2">
        <v>242.72</v>
      </c>
      <c r="P1020" s="2">
        <v>5097.12</v>
      </c>
      <c r="Q1020" s="2" t="s">
        <v>29</v>
      </c>
      <c r="R1020" s="2"/>
      <c r="S1020" t="str">
        <f>VLOOKUP(B1020,CASOPOInvCL!$B$1:$D$1600,1,FALSE)</f>
        <v>SO18242</v>
      </c>
      <c r="T1020">
        <f t="shared" si="15"/>
        <v>11</v>
      </c>
    </row>
    <row r="1021" spans="1:20" ht="30" x14ac:dyDescent="0.25">
      <c r="A1021" s="2">
        <v>0</v>
      </c>
      <c r="B1021" s="2" t="s">
        <v>6191</v>
      </c>
      <c r="C1021" s="2" t="s">
        <v>6192</v>
      </c>
      <c r="D1021" s="2" t="s">
        <v>6193</v>
      </c>
      <c r="E1021" s="3">
        <v>45978.652696759258</v>
      </c>
      <c r="F1021" s="3">
        <v>45996.582997685182</v>
      </c>
      <c r="G1021" s="4">
        <v>46086</v>
      </c>
      <c r="H1021" s="2" t="s">
        <v>180</v>
      </c>
      <c r="I1021" s="2" t="s">
        <v>51</v>
      </c>
      <c r="J1021" s="2">
        <v>0.71669614463588371</v>
      </c>
      <c r="K1021" s="2">
        <v>5407.0334115844707</v>
      </c>
      <c r="L1021" s="2">
        <v>0</v>
      </c>
      <c r="M1021" s="2">
        <v>3875.2</v>
      </c>
      <c r="N1021" s="2">
        <v>3875.2</v>
      </c>
      <c r="O1021" s="2"/>
      <c r="P1021" s="2">
        <v>3875.2</v>
      </c>
      <c r="Q1021" s="2" t="s">
        <v>29</v>
      </c>
      <c r="R1021" s="2"/>
      <c r="S1021" t="str">
        <f>VLOOKUP(B1021,CASOPOInvCL!$B$1:$D$1600,1,FALSE)</f>
        <v>SO18243</v>
      </c>
      <c r="T1021">
        <f t="shared" si="15"/>
        <v>11</v>
      </c>
    </row>
    <row r="1022" spans="1:20" x14ac:dyDescent="0.25">
      <c r="A1022" s="2">
        <v>0</v>
      </c>
      <c r="B1022" s="2" t="s">
        <v>84</v>
      </c>
      <c r="C1022" s="2" t="s">
        <v>85</v>
      </c>
      <c r="D1022" s="2" t="s">
        <v>86</v>
      </c>
      <c r="E1022" s="3">
        <v>45978.669004629628</v>
      </c>
      <c r="F1022" s="3">
        <v>45986.567442129628</v>
      </c>
      <c r="G1022" s="4">
        <v>46098</v>
      </c>
      <c r="H1022" s="2" t="s">
        <v>40</v>
      </c>
      <c r="I1022" s="2" t="s">
        <v>22</v>
      </c>
      <c r="J1022" s="2">
        <v>1</v>
      </c>
      <c r="K1022" s="2">
        <v>3677.44</v>
      </c>
      <c r="L1022" s="2">
        <v>0</v>
      </c>
      <c r="M1022" s="2">
        <v>2604.8320515752189</v>
      </c>
      <c r="N1022" s="2">
        <v>3502.32</v>
      </c>
      <c r="O1022" s="2">
        <v>175.12</v>
      </c>
      <c r="P1022" s="2">
        <v>3677.44</v>
      </c>
      <c r="Q1022" s="2" t="s">
        <v>29</v>
      </c>
      <c r="R1022" s="2"/>
      <c r="S1022" t="str">
        <f>VLOOKUP(B1022,CASOPOInvCL!$B$1:$D$1600,1,FALSE)</f>
        <v>SO18245</v>
      </c>
      <c r="T1022">
        <f t="shared" si="15"/>
        <v>11</v>
      </c>
    </row>
    <row r="1023" spans="1:20" x14ac:dyDescent="0.25">
      <c r="A1023" s="2">
        <v>1</v>
      </c>
      <c r="B1023" s="2" t="s">
        <v>162</v>
      </c>
      <c r="C1023" s="2" t="s">
        <v>163</v>
      </c>
      <c r="D1023" s="2" t="s">
        <v>92</v>
      </c>
      <c r="E1023" s="3">
        <v>45978.72965277778</v>
      </c>
      <c r="F1023" s="3">
        <v>45979.57303240741</v>
      </c>
      <c r="G1023" s="4">
        <v>45989</v>
      </c>
      <c r="H1023" s="2" t="s">
        <v>21</v>
      </c>
      <c r="I1023" s="2" t="s">
        <v>22</v>
      </c>
      <c r="J1023" s="2">
        <v>1</v>
      </c>
      <c r="K1023" s="2">
        <v>2662.01</v>
      </c>
      <c r="L1023" s="2">
        <v>0</v>
      </c>
      <c r="M1023" s="2">
        <v>1901.917538531369</v>
      </c>
      <c r="N1023" s="2">
        <v>2355.7600000000002</v>
      </c>
      <c r="O1023" s="2">
        <v>306.25</v>
      </c>
      <c r="P1023" s="2">
        <v>2662.01</v>
      </c>
      <c r="Q1023" s="2" t="s">
        <v>44</v>
      </c>
      <c r="R1023" s="2"/>
      <c r="S1023" t="str">
        <f>VLOOKUP(B1023,CASOPOInvCL!$B$1:$D$1600,1,FALSE)</f>
        <v>SO18247</v>
      </c>
      <c r="T1023">
        <f t="shared" si="15"/>
        <v>11</v>
      </c>
    </row>
    <row r="1024" spans="1:20" ht="30" x14ac:dyDescent="0.25">
      <c r="A1024" s="2">
        <v>1</v>
      </c>
      <c r="B1024" s="2" t="s">
        <v>136</v>
      </c>
      <c r="C1024" s="2" t="s">
        <v>137</v>
      </c>
      <c r="D1024" s="2" t="s">
        <v>138</v>
      </c>
      <c r="E1024" s="3">
        <v>45979.393773148149</v>
      </c>
      <c r="F1024" s="3">
        <v>45981.630011574067</v>
      </c>
      <c r="G1024" s="4">
        <v>45988</v>
      </c>
      <c r="H1024" s="2" t="s">
        <v>74</v>
      </c>
      <c r="I1024" s="2" t="s">
        <v>22</v>
      </c>
      <c r="J1024" s="2">
        <v>1</v>
      </c>
      <c r="K1024" s="2">
        <v>407.34</v>
      </c>
      <c r="L1024" s="2">
        <v>0</v>
      </c>
      <c r="M1024" s="2">
        <v>289.02572890864161</v>
      </c>
      <c r="N1024" s="2">
        <v>387.94</v>
      </c>
      <c r="O1024" s="2">
        <v>19.399999999999999</v>
      </c>
      <c r="P1024" s="2">
        <v>407.34</v>
      </c>
      <c r="Q1024" s="2" t="s">
        <v>44</v>
      </c>
      <c r="R1024" s="2"/>
      <c r="S1024" t="str">
        <f>VLOOKUP(B1024,CASOPOInvCL!$B$1:$D$1600,1,FALSE)</f>
        <v>SO18249</v>
      </c>
      <c r="T1024">
        <f t="shared" si="15"/>
        <v>11</v>
      </c>
    </row>
    <row r="1025" spans="1:20" x14ac:dyDescent="0.25">
      <c r="A1025" s="2">
        <v>1</v>
      </c>
      <c r="B1025" s="2" t="s">
        <v>72</v>
      </c>
      <c r="C1025" s="2" t="s">
        <v>73</v>
      </c>
      <c r="D1025" s="2" t="s">
        <v>70</v>
      </c>
      <c r="E1025" s="3">
        <v>45979.413564814808</v>
      </c>
      <c r="F1025" s="3">
        <v>45987.518472222233</v>
      </c>
      <c r="G1025" s="4">
        <v>45982</v>
      </c>
      <c r="H1025" s="2" t="s">
        <v>74</v>
      </c>
      <c r="I1025" s="2" t="s">
        <v>51</v>
      </c>
      <c r="J1025" s="2">
        <v>0.70860938895411174</v>
      </c>
      <c r="K1025" s="2">
        <v>451.58871020931758</v>
      </c>
      <c r="L1025" s="2">
        <v>0</v>
      </c>
      <c r="M1025" s="2">
        <v>320</v>
      </c>
      <c r="N1025" s="2">
        <v>320</v>
      </c>
      <c r="O1025" s="2"/>
      <c r="P1025" s="2">
        <v>320</v>
      </c>
      <c r="Q1025" s="2" t="s">
        <v>44</v>
      </c>
      <c r="R1025" s="2"/>
      <c r="S1025" t="str">
        <f>VLOOKUP(B1025,CASOPOInvCL!$B$1:$D$1600,1,FALSE)</f>
        <v>SO18250</v>
      </c>
      <c r="T1025">
        <f t="shared" si="15"/>
        <v>11</v>
      </c>
    </row>
    <row r="1026" spans="1:20" x14ac:dyDescent="0.25">
      <c r="A1026" s="2">
        <v>1</v>
      </c>
      <c r="B1026" s="2" t="s">
        <v>6194</v>
      </c>
      <c r="C1026" s="2" t="s">
        <v>5991</v>
      </c>
      <c r="D1026" s="2" t="s">
        <v>442</v>
      </c>
      <c r="E1026" s="3">
        <v>45979.441631944443</v>
      </c>
      <c r="F1026" s="3">
        <v>46000.383530092593</v>
      </c>
      <c r="G1026" s="4">
        <v>46003</v>
      </c>
      <c r="H1026" s="2" t="s">
        <v>74</v>
      </c>
      <c r="I1026" s="2" t="s">
        <v>51</v>
      </c>
      <c r="J1026" s="2">
        <v>0.72376393522263116</v>
      </c>
      <c r="K1026" s="2">
        <v>4181.3219099803691</v>
      </c>
      <c r="L1026" s="2">
        <v>0</v>
      </c>
      <c r="M1026" s="2">
        <v>3026.29</v>
      </c>
      <c r="N1026" s="2">
        <v>3026.29</v>
      </c>
      <c r="O1026" s="2"/>
      <c r="P1026" s="2">
        <v>3026.29</v>
      </c>
      <c r="Q1026" s="2" t="s">
        <v>44</v>
      </c>
      <c r="R1026" s="2"/>
      <c r="S1026" t="str">
        <f>VLOOKUP(B1026,CASOPOInvCL!$B$1:$D$1600,1,FALSE)</f>
        <v>SO18255</v>
      </c>
      <c r="T1026">
        <f t="shared" si="15"/>
        <v>11</v>
      </c>
    </row>
    <row r="1027" spans="1:20" x14ac:dyDescent="0.25">
      <c r="A1027" s="2">
        <v>0</v>
      </c>
      <c r="B1027" s="2" t="s">
        <v>78</v>
      </c>
      <c r="C1027" s="2" t="s">
        <v>79</v>
      </c>
      <c r="D1027" s="2" t="s">
        <v>80</v>
      </c>
      <c r="E1027" s="3">
        <v>45979.62128472222</v>
      </c>
      <c r="F1027" s="3">
        <v>45986.751331018517</v>
      </c>
      <c r="G1027" s="4">
        <v>46084</v>
      </c>
      <c r="H1027" s="2" t="s">
        <v>21</v>
      </c>
      <c r="I1027" s="2" t="s">
        <v>22</v>
      </c>
      <c r="J1027" s="2">
        <v>1</v>
      </c>
      <c r="K1027" s="2">
        <v>21148.98</v>
      </c>
      <c r="L1027" s="2">
        <v>0</v>
      </c>
      <c r="M1027" s="2">
        <v>14980.40510847853</v>
      </c>
      <c r="N1027" s="2">
        <v>20141.89</v>
      </c>
      <c r="O1027" s="2">
        <v>1007.09</v>
      </c>
      <c r="P1027" s="2">
        <v>21148.98</v>
      </c>
      <c r="Q1027" s="2" t="s">
        <v>23</v>
      </c>
      <c r="R1027" s="2"/>
      <c r="S1027" t="str">
        <f>VLOOKUP(B1027,CASOPOInvCL!$B$1:$D$1600,1,FALSE)</f>
        <v>SO18259</v>
      </c>
      <c r="T1027">
        <f t="shared" ref="T1027:T1060" si="16">MONTH(E1027)</f>
        <v>11</v>
      </c>
    </row>
    <row r="1028" spans="1:20" ht="30" x14ac:dyDescent="0.25">
      <c r="A1028" s="2">
        <v>1</v>
      </c>
      <c r="B1028" s="2" t="s">
        <v>155</v>
      </c>
      <c r="C1028" s="2" t="s">
        <v>156</v>
      </c>
      <c r="D1028" s="2" t="s">
        <v>70</v>
      </c>
      <c r="E1028" s="3">
        <v>45979.645590277767</v>
      </c>
      <c r="F1028" s="3">
        <v>45979.645810185182</v>
      </c>
      <c r="G1028" s="4">
        <v>45982</v>
      </c>
      <c r="H1028" s="2" t="s">
        <v>71</v>
      </c>
      <c r="I1028" s="2" t="s">
        <v>51</v>
      </c>
      <c r="J1028" s="2">
        <v>0.7129261885474989</v>
      </c>
      <c r="K1028" s="2">
        <v>0</v>
      </c>
      <c r="L1028" s="2">
        <v>0</v>
      </c>
      <c r="M1028" s="2">
        <v>0</v>
      </c>
      <c r="N1028" s="2"/>
      <c r="O1028" s="2"/>
      <c r="P1028" s="2"/>
      <c r="Q1028" s="2" t="s">
        <v>44</v>
      </c>
      <c r="R1028" s="2"/>
      <c r="S1028" t="str">
        <f>VLOOKUP(B1028,CASOPOInvCL!$B$1:$D$1600,1,FALSE)</f>
        <v>SO18260</v>
      </c>
      <c r="T1028">
        <f t="shared" si="16"/>
        <v>11</v>
      </c>
    </row>
    <row r="1029" spans="1:20" x14ac:dyDescent="0.25">
      <c r="A1029" s="2">
        <v>0</v>
      </c>
      <c r="B1029" s="2" t="s">
        <v>150</v>
      </c>
      <c r="C1029" s="2" t="s">
        <v>151</v>
      </c>
      <c r="D1029" s="2" t="s">
        <v>95</v>
      </c>
      <c r="E1029" s="3">
        <v>45979.749247685177</v>
      </c>
      <c r="F1029" s="3">
        <v>45979.749363425923</v>
      </c>
      <c r="G1029" s="4">
        <v>46091</v>
      </c>
      <c r="H1029" s="2" t="s">
        <v>21</v>
      </c>
      <c r="I1029" s="2" t="s">
        <v>22</v>
      </c>
      <c r="J1029" s="2">
        <v>1</v>
      </c>
      <c r="K1029" s="2">
        <v>1470</v>
      </c>
      <c r="L1029" s="2">
        <v>0</v>
      </c>
      <c r="M1029" s="2">
        <v>1050.2660702405749</v>
      </c>
      <c r="N1029" s="2">
        <v>1400</v>
      </c>
      <c r="O1029" s="2">
        <v>70</v>
      </c>
      <c r="P1029" s="2">
        <v>1470</v>
      </c>
      <c r="Q1029" s="2" t="s">
        <v>29</v>
      </c>
      <c r="R1029" s="2"/>
      <c r="S1029" t="str">
        <f>VLOOKUP(B1029,CASOPOInvCL!$B$1:$D$1600,1,FALSE)</f>
        <v>SO18262</v>
      </c>
      <c r="T1029">
        <f t="shared" si="16"/>
        <v>11</v>
      </c>
    </row>
    <row r="1030" spans="1:20" x14ac:dyDescent="0.25">
      <c r="A1030" s="2">
        <v>1</v>
      </c>
      <c r="B1030" s="2" t="s">
        <v>81</v>
      </c>
      <c r="C1030" s="2" t="s">
        <v>82</v>
      </c>
      <c r="D1030" s="2" t="s">
        <v>83</v>
      </c>
      <c r="E1030" s="3">
        <v>45980.401562500003</v>
      </c>
      <c r="F1030" s="3">
        <v>45986.743854166663</v>
      </c>
      <c r="G1030" s="4">
        <v>46098</v>
      </c>
      <c r="H1030" s="2" t="s">
        <v>21</v>
      </c>
      <c r="I1030" s="2" t="s">
        <v>22</v>
      </c>
      <c r="J1030" s="2">
        <v>1</v>
      </c>
      <c r="K1030" s="2">
        <v>33805.22</v>
      </c>
      <c r="L1030" s="2">
        <v>0</v>
      </c>
      <c r="M1030" s="2">
        <v>23945.168532063512</v>
      </c>
      <c r="N1030" s="2">
        <v>29916.12</v>
      </c>
      <c r="O1030" s="2">
        <v>3889.1</v>
      </c>
      <c r="P1030" s="2">
        <v>33805.22</v>
      </c>
      <c r="Q1030" s="2" t="s">
        <v>29</v>
      </c>
      <c r="R1030" s="2"/>
      <c r="S1030" t="str">
        <f>VLOOKUP(B1030,CASOPOInvCL!$B$1:$D$1600,1,FALSE)</f>
        <v>SO18264</v>
      </c>
      <c r="T1030">
        <f t="shared" si="16"/>
        <v>11</v>
      </c>
    </row>
    <row r="1031" spans="1:20" x14ac:dyDescent="0.25">
      <c r="A1031" s="2">
        <v>2</v>
      </c>
      <c r="B1031" s="2" t="s">
        <v>124</v>
      </c>
      <c r="C1031" s="2" t="s">
        <v>125</v>
      </c>
      <c r="D1031" s="2" t="s">
        <v>98</v>
      </c>
      <c r="E1031" s="3">
        <v>45980.402673611112</v>
      </c>
      <c r="F1031" s="3">
        <v>45982.658877314818</v>
      </c>
      <c r="G1031" s="2"/>
      <c r="H1031" s="2" t="s">
        <v>40</v>
      </c>
      <c r="I1031" s="2" t="s">
        <v>22</v>
      </c>
      <c r="J1031" s="2">
        <v>1</v>
      </c>
      <c r="K1031" s="2">
        <v>3971.61</v>
      </c>
      <c r="L1031" s="2">
        <v>3971.61</v>
      </c>
      <c r="M1031" s="2">
        <v>3971.61</v>
      </c>
      <c r="N1031" s="2">
        <v>3514.7</v>
      </c>
      <c r="O1031" s="2">
        <v>456.91</v>
      </c>
      <c r="P1031" s="2">
        <v>3971.61</v>
      </c>
      <c r="Q1031" s="2" t="s">
        <v>44</v>
      </c>
      <c r="R1031" s="2"/>
      <c r="S1031" t="str">
        <f>VLOOKUP(B1031,CASOPOInvCL!$B$1:$D$1600,1,FALSE)</f>
        <v>SO18265</v>
      </c>
      <c r="T1031">
        <f t="shared" si="16"/>
        <v>11</v>
      </c>
    </row>
    <row r="1032" spans="1:20" x14ac:dyDescent="0.25">
      <c r="A1032" s="2">
        <v>0</v>
      </c>
      <c r="B1032" s="2" t="s">
        <v>65</v>
      </c>
      <c r="C1032" s="2" t="s">
        <v>66</v>
      </c>
      <c r="D1032" s="2" t="s">
        <v>64</v>
      </c>
      <c r="E1032" s="3">
        <v>45980.696967592587</v>
      </c>
      <c r="F1032" s="3">
        <v>45987.59542824074</v>
      </c>
      <c r="G1032" s="4">
        <v>46036</v>
      </c>
      <c r="H1032" s="2" t="s">
        <v>67</v>
      </c>
      <c r="I1032" s="2" t="s">
        <v>22</v>
      </c>
      <c r="J1032" s="2">
        <v>1</v>
      </c>
      <c r="K1032" s="2">
        <v>6371.36</v>
      </c>
      <c r="L1032" s="2">
        <v>0</v>
      </c>
      <c r="M1032" s="2">
        <v>4534.3424628201174</v>
      </c>
      <c r="N1032" s="2">
        <v>5638.37</v>
      </c>
      <c r="O1032" s="2">
        <v>732.99</v>
      </c>
      <c r="P1032" s="2">
        <v>6371.36</v>
      </c>
      <c r="Q1032" s="2" t="s">
        <v>29</v>
      </c>
      <c r="R1032" s="2"/>
      <c r="S1032" t="str">
        <f>VLOOKUP(B1032,CASOPOInvCL!$B$1:$D$1600,1,FALSE)</f>
        <v>SO18267</v>
      </c>
      <c r="T1032">
        <f t="shared" si="16"/>
        <v>11</v>
      </c>
    </row>
    <row r="1033" spans="1:20" x14ac:dyDescent="0.25">
      <c r="A1033" s="2">
        <v>1</v>
      </c>
      <c r="B1033" s="2" t="s">
        <v>6195</v>
      </c>
      <c r="C1033" s="2" t="s">
        <v>6196</v>
      </c>
      <c r="D1033" s="2" t="s">
        <v>129</v>
      </c>
      <c r="E1033" s="3">
        <v>45980.807500000003</v>
      </c>
      <c r="F1033" s="3">
        <v>45980.807002314818</v>
      </c>
      <c r="G1033" s="4">
        <v>45980</v>
      </c>
      <c r="H1033" s="2" t="s">
        <v>130</v>
      </c>
      <c r="I1033" s="2" t="s">
        <v>51</v>
      </c>
      <c r="J1033" s="2">
        <v>0.71277700095248819</v>
      </c>
      <c r="K1033" s="2">
        <v>310.0548975411333</v>
      </c>
      <c r="L1033" s="2">
        <v>0</v>
      </c>
      <c r="M1033" s="2">
        <v>221</v>
      </c>
      <c r="N1033" s="2">
        <v>221</v>
      </c>
      <c r="O1033" s="2"/>
      <c r="P1033" s="2">
        <v>221</v>
      </c>
      <c r="Q1033" s="2" t="s">
        <v>44</v>
      </c>
      <c r="R1033" s="2"/>
      <c r="S1033" t="str">
        <f>VLOOKUP(B1033,CASOPOInvCL!$B$1:$D$1600,1,FALSE)</f>
        <v>SO18270</v>
      </c>
      <c r="T1033">
        <f t="shared" si="16"/>
        <v>11</v>
      </c>
    </row>
    <row r="1034" spans="1:20" x14ac:dyDescent="0.25">
      <c r="A1034" s="2">
        <v>1</v>
      </c>
      <c r="B1034" s="2" t="s">
        <v>87</v>
      </c>
      <c r="C1034" s="2" t="s">
        <v>88</v>
      </c>
      <c r="D1034" s="2" t="s">
        <v>89</v>
      </c>
      <c r="E1034" s="3">
        <v>45981.423576388886</v>
      </c>
      <c r="F1034" s="3">
        <v>45986.536076388889</v>
      </c>
      <c r="G1034" s="4">
        <v>46049</v>
      </c>
      <c r="H1034" s="2" t="s">
        <v>40</v>
      </c>
      <c r="I1034" s="2" t="s">
        <v>22</v>
      </c>
      <c r="J1034" s="2">
        <v>1</v>
      </c>
      <c r="K1034" s="2">
        <v>403.14</v>
      </c>
      <c r="L1034" s="2">
        <v>0</v>
      </c>
      <c r="M1034" s="2">
        <v>285.55516698356303</v>
      </c>
      <c r="N1034" s="2">
        <v>356.76</v>
      </c>
      <c r="O1034" s="2">
        <v>46.38</v>
      </c>
      <c r="P1034" s="2">
        <v>403.14</v>
      </c>
      <c r="Q1034" s="2" t="s">
        <v>44</v>
      </c>
      <c r="R1034" s="2"/>
      <c r="S1034" t="str">
        <f>VLOOKUP(B1034,CASOPOInvCL!$B$1:$D$1600,1,FALSE)</f>
        <v>SO18271</v>
      </c>
      <c r="T1034">
        <f t="shared" si="16"/>
        <v>11</v>
      </c>
    </row>
    <row r="1035" spans="1:20" ht="45" x14ac:dyDescent="0.25">
      <c r="A1035" s="2">
        <v>1</v>
      </c>
      <c r="B1035" s="2" t="s">
        <v>142</v>
      </c>
      <c r="C1035" s="2" t="s">
        <v>5865</v>
      </c>
      <c r="D1035" s="2" t="s">
        <v>109</v>
      </c>
      <c r="E1035" s="3">
        <v>45981.448414351849</v>
      </c>
      <c r="F1035" s="3">
        <v>45981.502326388887</v>
      </c>
      <c r="G1035" s="4">
        <v>45993</v>
      </c>
      <c r="H1035" s="2" t="s">
        <v>21</v>
      </c>
      <c r="I1035" s="2" t="s">
        <v>51</v>
      </c>
      <c r="J1035" s="2">
        <v>0.71446671444937049</v>
      </c>
      <c r="K1035" s="2">
        <v>1804.8286560050481</v>
      </c>
      <c r="L1035" s="2">
        <v>0</v>
      </c>
      <c r="M1035" s="2">
        <v>1289.49</v>
      </c>
      <c r="N1035" s="2">
        <v>1289.49</v>
      </c>
      <c r="O1035" s="2"/>
      <c r="P1035" s="2">
        <v>1289.49</v>
      </c>
      <c r="Q1035" s="2" t="s">
        <v>29</v>
      </c>
      <c r="R1035" s="2"/>
      <c r="S1035" t="str">
        <f>VLOOKUP(B1035,CASOPOInvCL!$B$1:$D$1600,1,FALSE)</f>
        <v>SO18272</v>
      </c>
      <c r="T1035">
        <f t="shared" si="16"/>
        <v>11</v>
      </c>
    </row>
    <row r="1036" spans="1:20" x14ac:dyDescent="0.25">
      <c r="A1036" s="2">
        <v>1</v>
      </c>
      <c r="B1036" s="2" t="s">
        <v>6197</v>
      </c>
      <c r="C1036" s="2" t="s">
        <v>5975</v>
      </c>
      <c r="D1036" s="2" t="s">
        <v>149</v>
      </c>
      <c r="E1036" s="3">
        <v>45981.51489583333</v>
      </c>
      <c r="F1036" s="3">
        <v>45996.562754629631</v>
      </c>
      <c r="G1036" s="4">
        <v>46003</v>
      </c>
      <c r="H1036" s="2" t="s">
        <v>36</v>
      </c>
      <c r="I1036" s="2" t="s">
        <v>51</v>
      </c>
      <c r="J1036" s="2">
        <v>0.71669614463588371</v>
      </c>
      <c r="K1036" s="2">
        <v>2544.8441625517871</v>
      </c>
      <c r="L1036" s="2">
        <v>0</v>
      </c>
      <c r="M1036" s="2">
        <v>1823.88</v>
      </c>
      <c r="N1036" s="2">
        <v>1823.88</v>
      </c>
      <c r="O1036" s="2"/>
      <c r="P1036" s="2">
        <v>1823.88</v>
      </c>
      <c r="Q1036" s="2" t="s">
        <v>44</v>
      </c>
      <c r="R1036" s="2"/>
      <c r="S1036" t="str">
        <f>VLOOKUP(B1036,CASOPOInvCL!$B$1:$D$1600,1,FALSE)</f>
        <v>SO18274</v>
      </c>
      <c r="T1036">
        <f t="shared" si="16"/>
        <v>11</v>
      </c>
    </row>
    <row r="1037" spans="1:20" x14ac:dyDescent="0.25">
      <c r="A1037" s="2">
        <v>0</v>
      </c>
      <c r="B1037" s="2" t="s">
        <v>133</v>
      </c>
      <c r="C1037" s="2" t="s">
        <v>134</v>
      </c>
      <c r="D1037" s="2" t="s">
        <v>135</v>
      </c>
      <c r="E1037" s="3">
        <v>45981.519606481481</v>
      </c>
      <c r="F1037" s="3">
        <v>45981.687928240739</v>
      </c>
      <c r="G1037" s="4">
        <v>46072</v>
      </c>
      <c r="H1037" s="2" t="s">
        <v>21</v>
      </c>
      <c r="I1037" s="2" t="s">
        <v>22</v>
      </c>
      <c r="J1037" s="2">
        <v>1</v>
      </c>
      <c r="K1037" s="2">
        <v>5869.69</v>
      </c>
      <c r="L1037" s="2">
        <v>0</v>
      </c>
      <c r="M1037" s="2">
        <v>4164.8044157651211</v>
      </c>
      <c r="N1037" s="2">
        <v>5194.42</v>
      </c>
      <c r="O1037" s="2">
        <v>675.27</v>
      </c>
      <c r="P1037" s="2">
        <v>5869.69</v>
      </c>
      <c r="Q1037" s="2" t="s">
        <v>29</v>
      </c>
      <c r="R1037" s="2"/>
      <c r="S1037" t="str">
        <f>VLOOKUP(B1037,CASOPOInvCL!$B$1:$D$1600,1,FALSE)</f>
        <v>SO18275</v>
      </c>
      <c r="T1037">
        <f t="shared" si="16"/>
        <v>11</v>
      </c>
    </row>
    <row r="1038" spans="1:20" x14ac:dyDescent="0.25">
      <c r="A1038" s="2">
        <v>1</v>
      </c>
      <c r="B1038" s="2" t="s">
        <v>139</v>
      </c>
      <c r="C1038" s="2" t="s">
        <v>140</v>
      </c>
      <c r="D1038" s="2" t="s">
        <v>141</v>
      </c>
      <c r="E1038" s="3">
        <v>45981.538807870369</v>
      </c>
      <c r="F1038" s="3">
        <v>45981.538888888892</v>
      </c>
      <c r="G1038" s="4">
        <v>46042</v>
      </c>
      <c r="H1038" s="2" t="s">
        <v>21</v>
      </c>
      <c r="I1038" s="2" t="s">
        <v>51</v>
      </c>
      <c r="J1038" s="2">
        <v>0.71446671444937049</v>
      </c>
      <c r="K1038" s="2">
        <v>1111.318391664928</v>
      </c>
      <c r="L1038" s="2">
        <v>0</v>
      </c>
      <c r="M1038" s="2">
        <v>794</v>
      </c>
      <c r="N1038" s="2">
        <v>794</v>
      </c>
      <c r="O1038" s="2"/>
      <c r="P1038" s="2">
        <v>794</v>
      </c>
      <c r="Q1038" s="2" t="s">
        <v>44</v>
      </c>
      <c r="R1038" s="2"/>
      <c r="S1038" t="str">
        <f>VLOOKUP(B1038,CASOPOInvCL!$B$1:$D$1600,1,FALSE)</f>
        <v>SO18276</v>
      </c>
      <c r="T1038">
        <f t="shared" si="16"/>
        <v>11</v>
      </c>
    </row>
    <row r="1039" spans="1:20" x14ac:dyDescent="0.25">
      <c r="A1039" s="2">
        <v>1</v>
      </c>
      <c r="B1039" s="2" t="s">
        <v>6198</v>
      </c>
      <c r="C1039" s="2" t="s">
        <v>6023</v>
      </c>
      <c r="D1039" s="2" t="s">
        <v>77</v>
      </c>
      <c r="E1039" s="3">
        <v>45981.620509259257</v>
      </c>
      <c r="F1039" s="3">
        <v>46003.609120370369</v>
      </c>
      <c r="G1039" s="4">
        <v>46008</v>
      </c>
      <c r="H1039" s="2" t="s">
        <v>74</v>
      </c>
      <c r="I1039" s="2" t="s">
        <v>22</v>
      </c>
      <c r="J1039" s="2">
        <v>1</v>
      </c>
      <c r="K1039" s="2">
        <v>2143.0500000000002</v>
      </c>
      <c r="L1039" s="2">
        <v>0</v>
      </c>
      <c r="M1039" s="2">
        <v>1554.553373287768</v>
      </c>
      <c r="N1039" s="2">
        <v>2041</v>
      </c>
      <c r="O1039" s="2">
        <v>102.05</v>
      </c>
      <c r="P1039" s="2">
        <v>2143.0500000000002</v>
      </c>
      <c r="Q1039" s="2" t="s">
        <v>44</v>
      </c>
      <c r="R1039" s="2"/>
      <c r="S1039" t="str">
        <f>VLOOKUP(B1039,CASOPOInvCL!$B$1:$D$1600,1,FALSE)</f>
        <v>SO18280</v>
      </c>
      <c r="T1039">
        <f t="shared" si="16"/>
        <v>11</v>
      </c>
    </row>
    <row r="1040" spans="1:20" x14ac:dyDescent="0.25">
      <c r="A1040" s="2">
        <v>1</v>
      </c>
      <c r="B1040" s="2" t="s">
        <v>112</v>
      </c>
      <c r="C1040" s="2" t="s">
        <v>113</v>
      </c>
      <c r="D1040" s="2" t="s">
        <v>114</v>
      </c>
      <c r="E1040" s="3">
        <v>45981.629050925927</v>
      </c>
      <c r="F1040" s="3">
        <v>45985.484201388892</v>
      </c>
      <c r="G1040" s="4">
        <v>45992</v>
      </c>
      <c r="H1040" s="2" t="s">
        <v>36</v>
      </c>
      <c r="I1040" s="2" t="s">
        <v>22</v>
      </c>
      <c r="J1040" s="2">
        <v>1</v>
      </c>
      <c r="K1040" s="2">
        <v>792.08</v>
      </c>
      <c r="L1040" s="2">
        <v>0</v>
      </c>
      <c r="M1040" s="2">
        <v>561.27532480277284</v>
      </c>
      <c r="N1040" s="2">
        <v>754.36</v>
      </c>
      <c r="O1040" s="2">
        <v>37.72</v>
      </c>
      <c r="P1040" s="2">
        <v>792.08</v>
      </c>
      <c r="Q1040" s="2" t="s">
        <v>44</v>
      </c>
      <c r="R1040" s="2"/>
      <c r="S1040" t="str">
        <f>VLOOKUP(B1040,CASOPOInvCL!$B$1:$D$1600,1,FALSE)</f>
        <v>SO18281</v>
      </c>
      <c r="T1040">
        <f t="shared" si="16"/>
        <v>11</v>
      </c>
    </row>
    <row r="1041" spans="1:20" x14ac:dyDescent="0.25">
      <c r="A1041" s="2">
        <v>1</v>
      </c>
      <c r="B1041" s="2" t="s">
        <v>131</v>
      </c>
      <c r="C1041" s="2" t="s">
        <v>132</v>
      </c>
      <c r="D1041" s="2" t="s">
        <v>121</v>
      </c>
      <c r="E1041" s="3">
        <v>45982.40829861111</v>
      </c>
      <c r="F1041" s="3">
        <v>45982.41201388889</v>
      </c>
      <c r="G1041" s="4">
        <v>46003</v>
      </c>
      <c r="H1041" s="2" t="s">
        <v>21</v>
      </c>
      <c r="I1041" s="2" t="s">
        <v>22</v>
      </c>
      <c r="J1041" s="2">
        <v>1</v>
      </c>
      <c r="K1041" s="2">
        <v>834.4</v>
      </c>
      <c r="L1041" s="2">
        <v>834.4</v>
      </c>
      <c r="M1041" s="2">
        <v>834.4</v>
      </c>
      <c r="N1041" s="2">
        <v>798.91</v>
      </c>
      <c r="O1041" s="2">
        <v>35.49</v>
      </c>
      <c r="P1041" s="2">
        <v>834.4</v>
      </c>
      <c r="Q1041" s="2" t="s">
        <v>44</v>
      </c>
      <c r="R1041" s="2"/>
      <c r="S1041" t="str">
        <f>VLOOKUP(B1041,CASOPOInvCL!$B$1:$D$1600,1,FALSE)</f>
        <v>SO18285</v>
      </c>
      <c r="T1041">
        <f t="shared" si="16"/>
        <v>11</v>
      </c>
    </row>
    <row r="1042" spans="1:20" x14ac:dyDescent="0.25">
      <c r="A1042" s="2">
        <v>0</v>
      </c>
      <c r="B1042" s="2" t="s">
        <v>6199</v>
      </c>
      <c r="C1042" s="2" t="s">
        <v>6200</v>
      </c>
      <c r="D1042" s="2" t="s">
        <v>141</v>
      </c>
      <c r="E1042" s="3">
        <v>45982.554606481477</v>
      </c>
      <c r="F1042" s="3">
        <v>46027.478217592587</v>
      </c>
      <c r="G1042" s="4">
        <v>46139</v>
      </c>
      <c r="H1042" s="2" t="s">
        <v>21</v>
      </c>
      <c r="I1042" s="2" t="s">
        <v>51</v>
      </c>
      <c r="J1042" s="2">
        <v>0.7282990074408402</v>
      </c>
      <c r="K1042" s="2">
        <v>5306.5704614652186</v>
      </c>
      <c r="L1042" s="2">
        <v>0</v>
      </c>
      <c r="M1042" s="2">
        <v>3864.77</v>
      </c>
      <c r="N1042" s="2">
        <v>3864.77</v>
      </c>
      <c r="O1042" s="2"/>
      <c r="P1042" s="2">
        <v>3864.77</v>
      </c>
      <c r="Q1042" s="2" t="s">
        <v>23</v>
      </c>
      <c r="R1042" s="2"/>
      <c r="S1042" t="str">
        <f>VLOOKUP(B1042,CASOPOInvCL!$B$1:$D$1600,1,FALSE)</f>
        <v>SO18286</v>
      </c>
      <c r="T1042">
        <f t="shared" si="16"/>
        <v>11</v>
      </c>
    </row>
    <row r="1043" spans="1:20" x14ac:dyDescent="0.25">
      <c r="A1043" s="2">
        <v>0</v>
      </c>
      <c r="B1043" s="2" t="s">
        <v>127</v>
      </c>
      <c r="C1043" s="2" t="s">
        <v>128</v>
      </c>
      <c r="D1043" s="2" t="s">
        <v>129</v>
      </c>
      <c r="E1043" s="3">
        <v>45982.636076388888</v>
      </c>
      <c r="F1043" s="3">
        <v>45982.636111111111</v>
      </c>
      <c r="G1043" s="4">
        <v>45996</v>
      </c>
      <c r="H1043" s="2" t="s">
        <v>130</v>
      </c>
      <c r="I1043" s="2" t="s">
        <v>51</v>
      </c>
      <c r="J1043" s="2">
        <v>0.71166354456386371</v>
      </c>
      <c r="K1043" s="2">
        <v>421.54751678878279</v>
      </c>
      <c r="L1043" s="2">
        <v>0</v>
      </c>
      <c r="M1043" s="2">
        <v>300</v>
      </c>
      <c r="N1043" s="2">
        <v>300</v>
      </c>
      <c r="O1043" s="2"/>
      <c r="P1043" s="2">
        <v>300</v>
      </c>
      <c r="Q1043" s="2" t="s">
        <v>29</v>
      </c>
      <c r="R1043" s="2"/>
      <c r="S1043" t="str">
        <f>VLOOKUP(B1043,CASOPOInvCL!$B$1:$D$1600,1,FALSE)</f>
        <v>SO18287</v>
      </c>
      <c r="T1043">
        <f t="shared" si="16"/>
        <v>11</v>
      </c>
    </row>
    <row r="1044" spans="1:20" x14ac:dyDescent="0.25">
      <c r="A1044" s="2">
        <v>1</v>
      </c>
      <c r="B1044" s="2" t="s">
        <v>119</v>
      </c>
      <c r="C1044" s="2" t="s">
        <v>120</v>
      </c>
      <c r="D1044" s="2" t="s">
        <v>121</v>
      </c>
      <c r="E1044" s="3">
        <v>45982.737743055557</v>
      </c>
      <c r="F1044" s="3">
        <v>45982.738287037027</v>
      </c>
      <c r="G1044" s="4">
        <v>45987</v>
      </c>
      <c r="H1044" s="2" t="s">
        <v>21</v>
      </c>
      <c r="I1044" s="2" t="s">
        <v>22</v>
      </c>
      <c r="J1044" s="2">
        <v>1</v>
      </c>
      <c r="K1044" s="2">
        <v>1920.14</v>
      </c>
      <c r="L1044" s="2">
        <v>1920.14</v>
      </c>
      <c r="M1044" s="2">
        <v>1920.14</v>
      </c>
      <c r="N1044" s="2">
        <v>1828.7</v>
      </c>
      <c r="O1044" s="2">
        <v>91.44</v>
      </c>
      <c r="P1044" s="2">
        <v>1920.14</v>
      </c>
      <c r="Q1044" s="2" t="s">
        <v>44</v>
      </c>
      <c r="R1044" s="2"/>
      <c r="S1044" t="str">
        <f>VLOOKUP(B1044,CASOPOInvCL!$B$1:$D$1600,1,FALSE)</f>
        <v>SO18289</v>
      </c>
      <c r="T1044">
        <f t="shared" si="16"/>
        <v>11</v>
      </c>
    </row>
    <row r="1045" spans="1:20" x14ac:dyDescent="0.25">
      <c r="A1045" s="2">
        <v>1</v>
      </c>
      <c r="B1045" s="2" t="s">
        <v>117</v>
      </c>
      <c r="C1045" s="2" t="s">
        <v>118</v>
      </c>
      <c r="D1045" s="2" t="s">
        <v>20</v>
      </c>
      <c r="E1045" s="3">
        <v>45985.376400462963</v>
      </c>
      <c r="F1045" s="3">
        <v>45985.379027777781</v>
      </c>
      <c r="G1045" s="4">
        <v>45987</v>
      </c>
      <c r="H1045" s="2" t="s">
        <v>21</v>
      </c>
      <c r="I1045" s="2" t="s">
        <v>22</v>
      </c>
      <c r="J1045" s="2">
        <v>1</v>
      </c>
      <c r="K1045" s="2">
        <v>3136.64</v>
      </c>
      <c r="L1045" s="2">
        <v>0</v>
      </c>
      <c r="M1045" s="2">
        <v>2222.652553769025</v>
      </c>
      <c r="N1045" s="2">
        <v>2987.28</v>
      </c>
      <c r="O1045" s="2">
        <v>149.36000000000001</v>
      </c>
      <c r="P1045" s="2">
        <v>3136.64</v>
      </c>
      <c r="Q1045" s="2" t="s">
        <v>44</v>
      </c>
      <c r="R1045" s="2"/>
      <c r="S1045" t="str">
        <f>VLOOKUP(B1045,CASOPOInvCL!$B$1:$D$1600,1,FALSE)</f>
        <v>SO18292</v>
      </c>
      <c r="T1045">
        <f t="shared" si="16"/>
        <v>11</v>
      </c>
    </row>
    <row r="1046" spans="1:20" x14ac:dyDescent="0.25">
      <c r="A1046" s="2">
        <v>1</v>
      </c>
      <c r="B1046" s="2" t="s">
        <v>115</v>
      </c>
      <c r="C1046" s="2" t="s">
        <v>116</v>
      </c>
      <c r="D1046" s="2" t="s">
        <v>20</v>
      </c>
      <c r="E1046" s="3">
        <v>45985.388368055559</v>
      </c>
      <c r="F1046" s="3">
        <v>45985.389270833337</v>
      </c>
      <c r="G1046" s="4">
        <v>45987</v>
      </c>
      <c r="H1046" s="2" t="s">
        <v>21</v>
      </c>
      <c r="I1046" s="2" t="s">
        <v>22</v>
      </c>
      <c r="J1046" s="2">
        <v>1</v>
      </c>
      <c r="K1046" s="2">
        <v>632.49</v>
      </c>
      <c r="L1046" s="2">
        <v>0</v>
      </c>
      <c r="M1046" s="2">
        <v>448.18835241958612</v>
      </c>
      <c r="N1046" s="2">
        <v>559.73</v>
      </c>
      <c r="O1046" s="2">
        <v>72.760000000000005</v>
      </c>
      <c r="P1046" s="2">
        <v>632.49</v>
      </c>
      <c r="Q1046" s="2" t="s">
        <v>44</v>
      </c>
      <c r="R1046" s="2"/>
      <c r="S1046" t="str">
        <f>VLOOKUP(B1046,CASOPOInvCL!$B$1:$D$1600,1,FALSE)</f>
        <v>SO18293</v>
      </c>
      <c r="T1046">
        <f t="shared" si="16"/>
        <v>11</v>
      </c>
    </row>
    <row r="1047" spans="1:20" x14ac:dyDescent="0.25">
      <c r="A1047" s="2">
        <v>0</v>
      </c>
      <c r="B1047" s="2" t="s">
        <v>5866</v>
      </c>
      <c r="C1047" s="2" t="s">
        <v>5867</v>
      </c>
      <c r="D1047" s="2" t="s">
        <v>239</v>
      </c>
      <c r="E1047" s="3">
        <v>45985.394942129627</v>
      </c>
      <c r="F1047" s="3">
        <v>45992.442175925928</v>
      </c>
      <c r="G1047" s="4">
        <v>46089</v>
      </c>
      <c r="H1047" s="2" t="s">
        <v>180</v>
      </c>
      <c r="I1047" s="2" t="s">
        <v>22</v>
      </c>
      <c r="J1047" s="2">
        <v>1</v>
      </c>
      <c r="K1047" s="2">
        <v>4475</v>
      </c>
      <c r="L1047" s="2">
        <v>0</v>
      </c>
      <c r="M1047" s="2">
        <v>3200.5198199589918</v>
      </c>
      <c r="N1047" s="2">
        <v>4475</v>
      </c>
      <c r="O1047" s="2"/>
      <c r="P1047" s="2">
        <v>4475</v>
      </c>
      <c r="Q1047" s="2" t="s">
        <v>29</v>
      </c>
      <c r="R1047" s="2"/>
      <c r="S1047" t="str">
        <f>VLOOKUP(B1047,CASOPOInvCL!$B$1:$D$1600,1,FALSE)</f>
        <v>SO18295</v>
      </c>
      <c r="T1047">
        <f t="shared" si="16"/>
        <v>11</v>
      </c>
    </row>
    <row r="1048" spans="1:20" x14ac:dyDescent="0.25">
      <c r="A1048" s="2">
        <v>1</v>
      </c>
      <c r="B1048" s="2" t="s">
        <v>110</v>
      </c>
      <c r="C1048" s="2" t="s">
        <v>111</v>
      </c>
      <c r="D1048" s="2" t="s">
        <v>64</v>
      </c>
      <c r="E1048" s="3">
        <v>45985.522407407407</v>
      </c>
      <c r="F1048" s="3">
        <v>45985.522662037038</v>
      </c>
      <c r="G1048" s="4">
        <v>45986</v>
      </c>
      <c r="H1048" s="2" t="s">
        <v>21</v>
      </c>
      <c r="I1048" s="2" t="s">
        <v>22</v>
      </c>
      <c r="J1048" s="2">
        <v>1</v>
      </c>
      <c r="K1048" s="2">
        <v>236.37</v>
      </c>
      <c r="L1048" s="2">
        <v>0</v>
      </c>
      <c r="M1048" s="2">
        <v>167.49400126708341</v>
      </c>
      <c r="N1048" s="2">
        <v>209.18</v>
      </c>
      <c r="O1048" s="2">
        <v>27.19</v>
      </c>
      <c r="P1048" s="2">
        <v>236.37</v>
      </c>
      <c r="Q1048" s="2" t="s">
        <v>44</v>
      </c>
      <c r="R1048" s="2"/>
      <c r="S1048" t="str">
        <f>VLOOKUP(B1048,CASOPOInvCL!$B$1:$D$1600,1,FALSE)</f>
        <v>SO18296</v>
      </c>
      <c r="T1048">
        <f t="shared" si="16"/>
        <v>11</v>
      </c>
    </row>
    <row r="1049" spans="1:20" x14ac:dyDescent="0.25">
      <c r="A1049" s="2">
        <v>1</v>
      </c>
      <c r="B1049" s="2" t="s">
        <v>30</v>
      </c>
      <c r="C1049" s="2" t="s">
        <v>31</v>
      </c>
      <c r="D1049" s="2" t="s">
        <v>32</v>
      </c>
      <c r="E1049" s="3">
        <v>45985.534155092602</v>
      </c>
      <c r="F1049" s="3">
        <v>45989.482233796298</v>
      </c>
      <c r="G1049" s="4">
        <v>46017</v>
      </c>
      <c r="H1049" s="2" t="s">
        <v>21</v>
      </c>
      <c r="I1049" s="2" t="s">
        <v>22</v>
      </c>
      <c r="J1049" s="2">
        <v>1</v>
      </c>
      <c r="K1049" s="2">
        <v>472.71</v>
      </c>
      <c r="L1049" s="2">
        <v>0</v>
      </c>
      <c r="M1049" s="2">
        <v>338.23359751671518</v>
      </c>
      <c r="N1049" s="2">
        <v>418.33</v>
      </c>
      <c r="O1049" s="2">
        <v>54.38</v>
      </c>
      <c r="P1049" s="2">
        <v>472.71</v>
      </c>
      <c r="Q1049" s="2" t="s">
        <v>44</v>
      </c>
      <c r="R1049" s="2"/>
      <c r="S1049" t="str">
        <f>VLOOKUP(B1049,CASOPOInvCL!$B$1:$D$1600,1,FALSE)</f>
        <v>SO18297</v>
      </c>
      <c r="T1049">
        <f t="shared" si="16"/>
        <v>11</v>
      </c>
    </row>
    <row r="1050" spans="1:20" x14ac:dyDescent="0.25">
      <c r="A1050" s="2">
        <v>1</v>
      </c>
      <c r="B1050" s="2" t="s">
        <v>107</v>
      </c>
      <c r="C1050" s="2" t="s">
        <v>108</v>
      </c>
      <c r="D1050" s="2" t="s">
        <v>109</v>
      </c>
      <c r="E1050" s="3">
        <v>45985.539664351847</v>
      </c>
      <c r="F1050" s="3">
        <v>45985.540810185194</v>
      </c>
      <c r="G1050" s="4">
        <v>45987</v>
      </c>
      <c r="H1050" s="2" t="s">
        <v>21</v>
      </c>
      <c r="I1050" s="2" t="s">
        <v>51</v>
      </c>
      <c r="J1050" s="2">
        <v>0.70945799807796472</v>
      </c>
      <c r="K1050" s="2">
        <v>8739.9113362572807</v>
      </c>
      <c r="L1050" s="2">
        <v>0</v>
      </c>
      <c r="M1050" s="2">
        <v>6200.6</v>
      </c>
      <c r="N1050" s="2">
        <v>6200.6</v>
      </c>
      <c r="O1050" s="2"/>
      <c r="P1050" s="2">
        <v>6200.6</v>
      </c>
      <c r="Q1050" s="2" t="s">
        <v>44</v>
      </c>
      <c r="R1050" s="2"/>
      <c r="S1050" t="str">
        <f>VLOOKUP(B1050,CASOPOInvCL!$B$1:$D$1600,1,FALSE)</f>
        <v>SO18298</v>
      </c>
      <c r="T1050">
        <f t="shared" si="16"/>
        <v>11</v>
      </c>
    </row>
    <row r="1051" spans="1:20" ht="30" x14ac:dyDescent="0.25">
      <c r="A1051" s="2">
        <v>1</v>
      </c>
      <c r="B1051" s="2" t="s">
        <v>102</v>
      </c>
      <c r="C1051" s="2" t="s">
        <v>103</v>
      </c>
      <c r="D1051" s="2" t="s">
        <v>104</v>
      </c>
      <c r="E1051" s="3">
        <v>45985.562638888892</v>
      </c>
      <c r="F1051" s="3">
        <v>45985.707118055558</v>
      </c>
      <c r="G1051" s="4">
        <v>45992</v>
      </c>
      <c r="H1051" s="2" t="s">
        <v>36</v>
      </c>
      <c r="I1051" s="2" t="s">
        <v>22</v>
      </c>
      <c r="J1051" s="2">
        <v>1</v>
      </c>
      <c r="K1051" s="2">
        <v>1501.27</v>
      </c>
      <c r="L1051" s="2">
        <v>0</v>
      </c>
      <c r="M1051" s="2">
        <v>1063.814017355139</v>
      </c>
      <c r="N1051" s="2">
        <v>1429.78</v>
      </c>
      <c r="O1051" s="2">
        <v>71.489999999999995</v>
      </c>
      <c r="P1051" s="2">
        <v>1501.27</v>
      </c>
      <c r="Q1051" s="2" t="s">
        <v>44</v>
      </c>
      <c r="R1051" s="2"/>
      <c r="S1051" t="str">
        <f>VLOOKUP(B1051,CASOPOInvCL!$B$1:$D$1600,1,FALSE)</f>
        <v>SO18300</v>
      </c>
      <c r="T1051">
        <f t="shared" si="16"/>
        <v>11</v>
      </c>
    </row>
    <row r="1052" spans="1:20" x14ac:dyDescent="0.25">
      <c r="A1052" s="2">
        <v>1</v>
      </c>
      <c r="B1052" s="2" t="s">
        <v>105</v>
      </c>
      <c r="C1052" s="2" t="s">
        <v>106</v>
      </c>
      <c r="D1052" s="2" t="s">
        <v>98</v>
      </c>
      <c r="E1052" s="3">
        <v>45985.564409722218</v>
      </c>
      <c r="F1052" s="3">
        <v>45985.564409722218</v>
      </c>
      <c r="G1052" s="4">
        <v>45987</v>
      </c>
      <c r="H1052" s="2" t="s">
        <v>40</v>
      </c>
      <c r="I1052" s="2" t="s">
        <v>22</v>
      </c>
      <c r="J1052" s="2">
        <v>1</v>
      </c>
      <c r="K1052" s="2">
        <v>2302.27</v>
      </c>
      <c r="L1052" s="2">
        <v>0</v>
      </c>
      <c r="M1052" s="2">
        <v>1631.4101379073829</v>
      </c>
      <c r="N1052" s="2">
        <v>2037.41</v>
      </c>
      <c r="O1052" s="2">
        <v>264.86</v>
      </c>
      <c r="P1052" s="2">
        <v>2302.27</v>
      </c>
      <c r="Q1052" s="2" t="s">
        <v>44</v>
      </c>
      <c r="R1052" s="2"/>
      <c r="S1052" t="str">
        <f>VLOOKUP(B1052,CASOPOInvCL!$B$1:$D$1600,1,FALSE)</f>
        <v>SO18301</v>
      </c>
      <c r="T1052">
        <f t="shared" si="16"/>
        <v>11</v>
      </c>
    </row>
    <row r="1053" spans="1:20" x14ac:dyDescent="0.25">
      <c r="A1053" s="2">
        <v>0</v>
      </c>
      <c r="B1053" s="2" t="s">
        <v>37</v>
      </c>
      <c r="C1053" s="2" t="s">
        <v>38</v>
      </c>
      <c r="D1053" s="2" t="s">
        <v>39</v>
      </c>
      <c r="E1053" s="3">
        <v>45985.616238425922</v>
      </c>
      <c r="F1053" s="3">
        <v>45988.738518518519</v>
      </c>
      <c r="G1053" s="2"/>
      <c r="H1053" s="2" t="s">
        <v>40</v>
      </c>
      <c r="I1053" s="2" t="s">
        <v>22</v>
      </c>
      <c r="J1053" s="2">
        <v>1</v>
      </c>
      <c r="K1053" s="2">
        <v>6361.35</v>
      </c>
      <c r="L1053" s="2">
        <v>0</v>
      </c>
      <c r="M1053" s="2">
        <v>4533.636902597138</v>
      </c>
      <c r="N1053" s="2">
        <v>6058.43</v>
      </c>
      <c r="O1053" s="2">
        <v>302.92</v>
      </c>
      <c r="P1053" s="2">
        <v>6361.35</v>
      </c>
      <c r="Q1053" s="2" t="s">
        <v>29</v>
      </c>
      <c r="R1053" s="2"/>
      <c r="S1053" t="str">
        <f>VLOOKUP(B1053,CASOPOInvCL!$B$1:$D$1600,1,FALSE)</f>
        <v>SO18302</v>
      </c>
      <c r="T1053">
        <f t="shared" si="16"/>
        <v>11</v>
      </c>
    </row>
    <row r="1054" spans="1:20" x14ac:dyDescent="0.25">
      <c r="A1054" s="2">
        <v>1</v>
      </c>
      <c r="B1054" s="2" t="s">
        <v>90</v>
      </c>
      <c r="C1054" s="2" t="s">
        <v>91</v>
      </c>
      <c r="D1054" s="2" t="s">
        <v>92</v>
      </c>
      <c r="E1054" s="3">
        <v>45986.378935185188</v>
      </c>
      <c r="F1054" s="3">
        <v>45986.517858796287</v>
      </c>
      <c r="G1054" s="4">
        <v>46003</v>
      </c>
      <c r="H1054" s="2" t="s">
        <v>21</v>
      </c>
      <c r="I1054" s="2" t="s">
        <v>22</v>
      </c>
      <c r="J1054" s="2">
        <v>1</v>
      </c>
      <c r="K1054" s="2">
        <v>1540.6</v>
      </c>
      <c r="L1054" s="2">
        <v>0</v>
      </c>
      <c r="M1054" s="2">
        <v>1091.249417708184</v>
      </c>
      <c r="N1054" s="2">
        <v>1363.36</v>
      </c>
      <c r="O1054" s="2">
        <v>177.24</v>
      </c>
      <c r="P1054" s="2">
        <v>1540.6</v>
      </c>
      <c r="Q1054" s="2" t="s">
        <v>44</v>
      </c>
      <c r="R1054" s="2"/>
      <c r="S1054" t="str">
        <f>VLOOKUP(B1054,CASOPOInvCL!$B$1:$D$1600,1,FALSE)</f>
        <v>SO18305</v>
      </c>
      <c r="T1054">
        <f t="shared" si="16"/>
        <v>11</v>
      </c>
    </row>
    <row r="1055" spans="1:20" x14ac:dyDescent="0.25">
      <c r="A1055" s="2">
        <v>1</v>
      </c>
      <c r="B1055" s="2" t="s">
        <v>96</v>
      </c>
      <c r="C1055" s="2" t="s">
        <v>97</v>
      </c>
      <c r="D1055" s="2" t="s">
        <v>98</v>
      </c>
      <c r="E1055" s="3">
        <v>45986.447708333333</v>
      </c>
      <c r="F1055" s="3">
        <v>45986.458460648151</v>
      </c>
      <c r="G1055" s="4">
        <v>45987</v>
      </c>
      <c r="H1055" s="2" t="s">
        <v>40</v>
      </c>
      <c r="I1055" s="2" t="s">
        <v>22</v>
      </c>
      <c r="J1055" s="2">
        <v>1</v>
      </c>
      <c r="K1055" s="2">
        <v>4545.91</v>
      </c>
      <c r="L1055" s="2">
        <v>0</v>
      </c>
      <c r="M1055" s="2">
        <v>3219.993275641833</v>
      </c>
      <c r="N1055" s="2">
        <v>4022.93</v>
      </c>
      <c r="O1055" s="2">
        <v>522.98</v>
      </c>
      <c r="P1055" s="2">
        <v>4545.91</v>
      </c>
      <c r="Q1055" s="2" t="s">
        <v>44</v>
      </c>
      <c r="R1055" s="2"/>
      <c r="S1055" t="str">
        <f>VLOOKUP(B1055,CASOPOInvCL!$B$1:$D$1600,1,FALSE)</f>
        <v>SO18307</v>
      </c>
      <c r="T1055">
        <f t="shared" si="16"/>
        <v>11</v>
      </c>
    </row>
    <row r="1056" spans="1:20" x14ac:dyDescent="0.25">
      <c r="A1056" s="2">
        <v>0</v>
      </c>
      <c r="B1056" s="2" t="s">
        <v>62</v>
      </c>
      <c r="C1056" s="2" t="s">
        <v>63</v>
      </c>
      <c r="D1056" s="2" t="s">
        <v>64</v>
      </c>
      <c r="E1056" s="3">
        <v>45986.618587962963</v>
      </c>
      <c r="F1056" s="3">
        <v>45987.611828703702</v>
      </c>
      <c r="G1056" s="4">
        <v>45989</v>
      </c>
      <c r="H1056" s="2" t="s">
        <v>21</v>
      </c>
      <c r="I1056" s="2" t="s">
        <v>22</v>
      </c>
      <c r="J1056" s="2">
        <v>1</v>
      </c>
      <c r="K1056" s="2">
        <v>242.81</v>
      </c>
      <c r="L1056" s="2">
        <v>0</v>
      </c>
      <c r="M1056" s="2">
        <v>172.8019910030751</v>
      </c>
      <c r="N1056" s="2">
        <v>214.88</v>
      </c>
      <c r="O1056" s="2">
        <v>27.93</v>
      </c>
      <c r="P1056" s="2">
        <v>242.81</v>
      </c>
      <c r="Q1056" s="2" t="s">
        <v>44</v>
      </c>
      <c r="R1056" s="2"/>
      <c r="S1056" t="str">
        <f>VLOOKUP(B1056,CASOPOInvCL!$B$1:$D$1600,1,FALSE)</f>
        <v>SO18308</v>
      </c>
      <c r="T1056">
        <f t="shared" si="16"/>
        <v>11</v>
      </c>
    </row>
    <row r="1057" spans="1:20" x14ac:dyDescent="0.25">
      <c r="A1057" s="2">
        <v>1</v>
      </c>
      <c r="B1057" s="2" t="s">
        <v>33</v>
      </c>
      <c r="C1057" s="2" t="s">
        <v>34</v>
      </c>
      <c r="D1057" s="2" t="s">
        <v>35</v>
      </c>
      <c r="E1057" s="3">
        <v>45986.796585648153</v>
      </c>
      <c r="F1057" s="3">
        <v>45988.752905092602</v>
      </c>
      <c r="G1057" s="4">
        <v>46002</v>
      </c>
      <c r="H1057" s="2" t="s">
        <v>36</v>
      </c>
      <c r="I1057" s="2" t="s">
        <v>22</v>
      </c>
      <c r="J1057" s="2">
        <v>1</v>
      </c>
      <c r="K1057" s="2">
        <v>1898.98</v>
      </c>
      <c r="L1057" s="2">
        <v>0</v>
      </c>
      <c r="M1057" s="2">
        <v>1353.3740173538499</v>
      </c>
      <c r="N1057" s="2">
        <v>1808.56</v>
      </c>
      <c r="O1057" s="2">
        <v>90.42</v>
      </c>
      <c r="P1057" s="2">
        <v>1898.98</v>
      </c>
      <c r="Q1057" s="2" t="s">
        <v>44</v>
      </c>
      <c r="R1057" s="2"/>
      <c r="S1057" t="str">
        <f>VLOOKUP(B1057,CASOPOInvCL!$B$1:$D$1600,1,FALSE)</f>
        <v>SO18311</v>
      </c>
      <c r="T1057">
        <f t="shared" si="16"/>
        <v>11</v>
      </c>
    </row>
    <row r="1058" spans="1:20" x14ac:dyDescent="0.25">
      <c r="A1058" s="2">
        <v>1</v>
      </c>
      <c r="B1058" s="2" t="s">
        <v>59</v>
      </c>
      <c r="C1058" s="2" t="s">
        <v>60</v>
      </c>
      <c r="D1058" s="2" t="s">
        <v>61</v>
      </c>
      <c r="E1058" s="3">
        <v>45987.46775462963</v>
      </c>
      <c r="F1058" s="3">
        <v>45987.63082175926</v>
      </c>
      <c r="G1058" s="4">
        <v>46073</v>
      </c>
      <c r="H1058" s="2" t="s">
        <v>36</v>
      </c>
      <c r="I1058" s="2" t="s">
        <v>51</v>
      </c>
      <c r="J1058" s="2">
        <v>0.70860938895411174</v>
      </c>
      <c r="K1058" s="2">
        <v>1725.915601831236</v>
      </c>
      <c r="L1058" s="2">
        <v>0</v>
      </c>
      <c r="M1058" s="2">
        <v>1223</v>
      </c>
      <c r="N1058" s="2">
        <v>1223</v>
      </c>
      <c r="O1058" s="2"/>
      <c r="P1058" s="2">
        <v>1223</v>
      </c>
      <c r="Q1058" s="2" t="s">
        <v>44</v>
      </c>
      <c r="R1058" s="2"/>
      <c r="S1058" t="str">
        <f>VLOOKUP(B1058,CASOPOInvCL!$B$1:$D$1600,1,FALSE)</f>
        <v>SO18313</v>
      </c>
      <c r="T1058">
        <f t="shared" si="16"/>
        <v>11</v>
      </c>
    </row>
    <row r="1059" spans="1:20" x14ac:dyDescent="0.25">
      <c r="A1059" s="2">
        <v>1</v>
      </c>
      <c r="B1059" s="2" t="s">
        <v>75</v>
      </c>
      <c r="C1059" s="2" t="s">
        <v>76</v>
      </c>
      <c r="D1059" s="2" t="s">
        <v>77</v>
      </c>
      <c r="E1059" s="3">
        <v>45987.490185185183</v>
      </c>
      <c r="F1059" s="3">
        <v>45987.496782407397</v>
      </c>
      <c r="G1059" s="4">
        <v>45975</v>
      </c>
      <c r="H1059" s="2" t="s">
        <v>40</v>
      </c>
      <c r="I1059" s="2" t="s">
        <v>22</v>
      </c>
      <c r="J1059" s="2">
        <v>1</v>
      </c>
      <c r="K1059" s="2">
        <v>293.48</v>
      </c>
      <c r="L1059" s="2">
        <v>0</v>
      </c>
      <c r="M1059" s="2">
        <v>208.86260170331741</v>
      </c>
      <c r="N1059" s="2">
        <v>279.5</v>
      </c>
      <c r="O1059" s="2">
        <v>13.98</v>
      </c>
      <c r="P1059" s="2">
        <v>293.48</v>
      </c>
      <c r="Q1059" s="2" t="s">
        <v>44</v>
      </c>
      <c r="R1059" s="2"/>
      <c r="S1059" t="str">
        <f>VLOOKUP(B1059,CASOPOInvCL!$B$1:$D$1600,1,FALSE)</f>
        <v>SO18314</v>
      </c>
      <c r="T1059">
        <f t="shared" si="16"/>
        <v>11</v>
      </c>
    </row>
    <row r="1060" spans="1:20" x14ac:dyDescent="0.25">
      <c r="A1060" s="2">
        <v>1</v>
      </c>
      <c r="B1060" s="2" t="s">
        <v>68</v>
      </c>
      <c r="C1060" s="2" t="s">
        <v>69</v>
      </c>
      <c r="D1060" s="2" t="s">
        <v>70</v>
      </c>
      <c r="E1060" s="3">
        <v>45987.525023148148</v>
      </c>
      <c r="F1060" s="3">
        <v>45987.52542824074</v>
      </c>
      <c r="G1060" s="4">
        <v>45989</v>
      </c>
      <c r="H1060" s="2" t="s">
        <v>71</v>
      </c>
      <c r="I1060" s="2" t="s">
        <v>51</v>
      </c>
      <c r="J1060" s="2">
        <v>0.70860938895411174</v>
      </c>
      <c r="K1060" s="2">
        <v>1080.2284191150759</v>
      </c>
      <c r="L1060" s="2">
        <v>0</v>
      </c>
      <c r="M1060" s="2">
        <v>765.46</v>
      </c>
      <c r="N1060" s="2">
        <v>765.46</v>
      </c>
      <c r="O1060" s="2"/>
      <c r="P1060" s="2">
        <v>765.46</v>
      </c>
      <c r="Q1060" s="2" t="s">
        <v>44</v>
      </c>
      <c r="R1060" s="2"/>
      <c r="S1060" t="str">
        <f>VLOOKUP(B1060,CASOPOInvCL!$B$1:$D$1600,1,FALSE)</f>
        <v>SO18315</v>
      </c>
      <c r="T1060">
        <f t="shared" si="16"/>
        <v>11</v>
      </c>
    </row>
    <row r="1061" spans="1:20" x14ac:dyDescent="0.25">
      <c r="A1061" s="2">
        <v>0</v>
      </c>
      <c r="B1061" s="2" t="s">
        <v>57</v>
      </c>
      <c r="C1061" s="2" t="s">
        <v>58</v>
      </c>
      <c r="D1061" s="2" t="s">
        <v>32</v>
      </c>
      <c r="E1061" s="3">
        <v>45987.608275462961</v>
      </c>
      <c r="F1061" s="3">
        <v>45987.749039351853</v>
      </c>
      <c r="G1061" s="4">
        <v>45989</v>
      </c>
      <c r="H1061" s="2" t="s">
        <v>21</v>
      </c>
      <c r="I1061" s="2" t="s">
        <v>22</v>
      </c>
      <c r="J1061" s="2">
        <v>1</v>
      </c>
      <c r="K1061" s="2">
        <v>519.66</v>
      </c>
      <c r="L1061" s="2">
        <v>0</v>
      </c>
      <c r="M1061" s="2">
        <v>369.82942483694251</v>
      </c>
      <c r="N1061" s="2">
        <v>459.88</v>
      </c>
      <c r="O1061" s="2">
        <v>59.78</v>
      </c>
      <c r="P1061" s="2">
        <v>519.66</v>
      </c>
      <c r="Q1061" s="2" t="s">
        <v>44</v>
      </c>
      <c r="R1061" s="2"/>
      <c r="S1061" t="str">
        <f>VLOOKUP(B1061,CASOPOInvCL!$B$1:$D$1600,1,FALSE)</f>
        <v>SO18316</v>
      </c>
      <c r="T1061">
        <f t="shared" ref="T1061:T1124" si="17">MONTH(E1061)</f>
        <v>11</v>
      </c>
    </row>
    <row r="1062" spans="1:20" x14ac:dyDescent="0.25">
      <c r="A1062" s="2">
        <v>2</v>
      </c>
      <c r="B1062" s="2" t="s">
        <v>6201</v>
      </c>
      <c r="C1062" s="2" t="s">
        <v>5986</v>
      </c>
      <c r="D1062" s="2" t="s">
        <v>77</v>
      </c>
      <c r="E1062" s="3">
        <v>45987.641643518517</v>
      </c>
      <c r="F1062" s="3">
        <v>45987.641643518517</v>
      </c>
      <c r="G1062" s="4">
        <v>46001</v>
      </c>
      <c r="H1062" s="2" t="s">
        <v>40</v>
      </c>
      <c r="I1062" s="2" t="s">
        <v>22</v>
      </c>
      <c r="J1062" s="2">
        <v>1</v>
      </c>
      <c r="K1062" s="2">
        <v>499.24</v>
      </c>
      <c r="L1062" s="2">
        <v>0</v>
      </c>
      <c r="M1062" s="2">
        <v>355.29700584150248</v>
      </c>
      <c r="N1062" s="2">
        <v>475.47</v>
      </c>
      <c r="O1062" s="2">
        <v>23.77</v>
      </c>
      <c r="P1062" s="2">
        <v>499.24</v>
      </c>
      <c r="Q1062" s="2" t="s">
        <v>44</v>
      </c>
      <c r="R1062" s="2"/>
      <c r="S1062" t="str">
        <f>VLOOKUP(B1062,CASOPOInvCL!$B$1:$D$1600,1,FALSE)</f>
        <v>SO18318</v>
      </c>
      <c r="T1062">
        <f t="shared" si="17"/>
        <v>11</v>
      </c>
    </row>
    <row r="1063" spans="1:20" x14ac:dyDescent="0.25">
      <c r="A1063" s="2">
        <v>1</v>
      </c>
      <c r="B1063" s="2" t="s">
        <v>52</v>
      </c>
      <c r="C1063" s="2" t="s">
        <v>53</v>
      </c>
      <c r="D1063" s="2" t="s">
        <v>54</v>
      </c>
      <c r="E1063" s="3">
        <v>45987.731388888889</v>
      </c>
      <c r="F1063" s="3">
        <v>45988.451990740738</v>
      </c>
      <c r="G1063" s="4">
        <v>46009</v>
      </c>
      <c r="H1063" s="2" t="s">
        <v>21</v>
      </c>
      <c r="I1063" s="2" t="s">
        <v>22</v>
      </c>
      <c r="J1063" s="2">
        <v>1</v>
      </c>
      <c r="K1063" s="2">
        <v>5301.19</v>
      </c>
      <c r="L1063" s="2">
        <v>0</v>
      </c>
      <c r="M1063" s="2">
        <v>3778.0770766706619</v>
      </c>
      <c r="N1063" s="2">
        <v>5048.75</v>
      </c>
      <c r="O1063" s="2">
        <v>252.44</v>
      </c>
      <c r="P1063" s="2">
        <v>5301.19</v>
      </c>
      <c r="Q1063" s="2" t="s">
        <v>44</v>
      </c>
      <c r="R1063" s="2"/>
      <c r="S1063" t="str">
        <f>VLOOKUP(B1063,CASOPOInvCL!$B$1:$D$1600,1,FALSE)</f>
        <v>SO18320</v>
      </c>
      <c r="T1063">
        <f t="shared" si="17"/>
        <v>11</v>
      </c>
    </row>
    <row r="1064" spans="1:20" x14ac:dyDescent="0.25">
      <c r="A1064" s="2">
        <v>1</v>
      </c>
      <c r="B1064" s="2" t="s">
        <v>269</v>
      </c>
      <c r="C1064" s="2" t="s">
        <v>270</v>
      </c>
      <c r="D1064" s="2" t="s">
        <v>271</v>
      </c>
      <c r="E1064" s="3">
        <v>45987.80201388889</v>
      </c>
      <c r="F1064" s="3">
        <v>45965.80201388889</v>
      </c>
      <c r="G1064" s="4">
        <v>45996</v>
      </c>
      <c r="H1064" s="2" t="s">
        <v>36</v>
      </c>
      <c r="I1064" s="2" t="s">
        <v>22</v>
      </c>
      <c r="J1064" s="2">
        <v>1</v>
      </c>
      <c r="K1064" s="2">
        <v>678.59</v>
      </c>
      <c r="L1064" s="2">
        <v>0</v>
      </c>
      <c r="M1064" s="2">
        <v>480.97169257113808</v>
      </c>
      <c r="N1064" s="2">
        <v>646.28</v>
      </c>
      <c r="O1064" s="2">
        <v>32.31</v>
      </c>
      <c r="P1064" s="2">
        <v>678.59</v>
      </c>
      <c r="Q1064" s="2" t="s">
        <v>44</v>
      </c>
      <c r="R1064" s="2"/>
      <c r="S1064" t="str">
        <f>VLOOKUP(B1064,CASOPOInvCL!$B$1:$D$1600,1,FALSE)</f>
        <v>SO18322</v>
      </c>
      <c r="T1064">
        <f t="shared" si="17"/>
        <v>11</v>
      </c>
    </row>
    <row r="1065" spans="1:20" x14ac:dyDescent="0.25">
      <c r="A1065" s="2">
        <v>1</v>
      </c>
      <c r="B1065" s="2" t="s">
        <v>55</v>
      </c>
      <c r="C1065" s="2" t="s">
        <v>56</v>
      </c>
      <c r="D1065" s="2" t="s">
        <v>54</v>
      </c>
      <c r="E1065" s="3">
        <v>45988.407986111109</v>
      </c>
      <c r="F1065" s="3">
        <v>45988.442476851851</v>
      </c>
      <c r="G1065" s="4">
        <v>45989</v>
      </c>
      <c r="H1065" s="2" t="s">
        <v>21</v>
      </c>
      <c r="I1065" s="2" t="s">
        <v>22</v>
      </c>
      <c r="J1065" s="2">
        <v>1</v>
      </c>
      <c r="K1065" s="2">
        <v>2901.37</v>
      </c>
      <c r="L1065" s="2">
        <v>0</v>
      </c>
      <c r="M1065" s="2">
        <v>2067.7620473780339</v>
      </c>
      <c r="N1065" s="2">
        <v>2763.21</v>
      </c>
      <c r="O1065" s="2">
        <v>138.16</v>
      </c>
      <c r="P1065" s="2">
        <v>2901.37</v>
      </c>
      <c r="Q1065" s="2" t="s">
        <v>44</v>
      </c>
      <c r="R1065" s="2"/>
      <c r="S1065" t="str">
        <f>VLOOKUP(B1065,CASOPOInvCL!$B$1:$D$1600,1,FALSE)</f>
        <v>SO18323</v>
      </c>
      <c r="T1065">
        <f t="shared" si="17"/>
        <v>11</v>
      </c>
    </row>
    <row r="1066" spans="1:20" x14ac:dyDescent="0.25">
      <c r="A1066" s="2">
        <v>0</v>
      </c>
      <c r="B1066" s="2" t="s">
        <v>5868</v>
      </c>
      <c r="C1066" s="2" t="s">
        <v>5869</v>
      </c>
      <c r="D1066" s="2" t="s">
        <v>77</v>
      </c>
      <c r="E1066" s="3">
        <v>45988.519548611112</v>
      </c>
      <c r="F1066" s="3">
        <v>45994.450486111113</v>
      </c>
      <c r="G1066" s="4">
        <v>46001</v>
      </c>
      <c r="H1066" s="2" t="s">
        <v>36</v>
      </c>
      <c r="I1066" s="2" t="s">
        <v>22</v>
      </c>
      <c r="J1066" s="2">
        <v>1</v>
      </c>
      <c r="K1066" s="2">
        <v>84.04</v>
      </c>
      <c r="L1066" s="2">
        <v>0</v>
      </c>
      <c r="M1066" s="2">
        <v>60.231143995199673</v>
      </c>
      <c r="N1066" s="2">
        <v>80.040000000000006</v>
      </c>
      <c r="O1066" s="2">
        <v>4</v>
      </c>
      <c r="P1066" s="2">
        <v>84.04</v>
      </c>
      <c r="Q1066" s="2" t="s">
        <v>44</v>
      </c>
      <c r="R1066" s="2"/>
      <c r="S1066" t="str">
        <f>VLOOKUP(B1066,CASOPOInvCL!$B$1:$D$1600,1,FALSE)</f>
        <v>SO18324</v>
      </c>
      <c r="T1066">
        <f t="shared" si="17"/>
        <v>11</v>
      </c>
    </row>
    <row r="1067" spans="1:20" ht="30" x14ac:dyDescent="0.25">
      <c r="A1067" s="2">
        <v>0</v>
      </c>
      <c r="B1067" s="2" t="s">
        <v>41</v>
      </c>
      <c r="C1067" s="2" t="s">
        <v>42</v>
      </c>
      <c r="D1067" s="2" t="s">
        <v>6167</v>
      </c>
      <c r="E1067" s="3">
        <v>45988.532800925917</v>
      </c>
      <c r="F1067" s="3">
        <v>45988.729849537027</v>
      </c>
      <c r="G1067" s="4">
        <v>45989</v>
      </c>
      <c r="H1067" s="2" t="s">
        <v>40</v>
      </c>
      <c r="I1067" s="2" t="s">
        <v>22</v>
      </c>
      <c r="J1067" s="2">
        <v>1</v>
      </c>
      <c r="K1067" s="2">
        <v>513.16</v>
      </c>
      <c r="L1067" s="2">
        <v>0</v>
      </c>
      <c r="M1067" s="2">
        <v>365.72128760982292</v>
      </c>
      <c r="N1067" s="2">
        <v>488.72</v>
      </c>
      <c r="O1067" s="2">
        <v>24.44</v>
      </c>
      <c r="P1067" s="2">
        <v>513.16</v>
      </c>
      <c r="Q1067" s="2" t="s">
        <v>44</v>
      </c>
      <c r="R1067" s="2"/>
      <c r="S1067" t="str">
        <f>VLOOKUP(B1067,CASOPOInvCL!$B$1:$D$1600,1,FALSE)</f>
        <v>SO18325</v>
      </c>
      <c r="T1067">
        <f t="shared" si="17"/>
        <v>11</v>
      </c>
    </row>
    <row r="1068" spans="1:20" x14ac:dyDescent="0.25">
      <c r="A1068" s="2">
        <v>1</v>
      </c>
      <c r="B1068" s="2" t="s">
        <v>45</v>
      </c>
      <c r="C1068" s="2" t="s">
        <v>46</v>
      </c>
      <c r="D1068" s="2" t="s">
        <v>47</v>
      </c>
      <c r="E1068" s="3">
        <v>45988.599907407413</v>
      </c>
      <c r="F1068" s="3">
        <v>45988.726076388892</v>
      </c>
      <c r="G1068" s="4">
        <v>45995</v>
      </c>
      <c r="H1068" s="2" t="s">
        <v>36</v>
      </c>
      <c r="I1068" s="2" t="s">
        <v>22</v>
      </c>
      <c r="J1068" s="2">
        <v>1</v>
      </c>
      <c r="K1068" s="2">
        <v>1219.24</v>
      </c>
      <c r="L1068" s="2">
        <v>0</v>
      </c>
      <c r="M1068" s="2">
        <v>868.93371015940545</v>
      </c>
      <c r="N1068" s="2">
        <v>1078.97</v>
      </c>
      <c r="O1068" s="2">
        <v>140.27000000000001</v>
      </c>
      <c r="P1068" s="2">
        <v>1219.24</v>
      </c>
      <c r="Q1068" s="2" t="s">
        <v>44</v>
      </c>
      <c r="R1068" s="2"/>
      <c r="S1068" t="str">
        <f>VLOOKUP(B1068,CASOPOInvCL!$B$1:$D$1600,1,FALSE)</f>
        <v>SO18326</v>
      </c>
      <c r="T1068">
        <f t="shared" si="17"/>
        <v>11</v>
      </c>
    </row>
    <row r="1069" spans="1:20" x14ac:dyDescent="0.25">
      <c r="A1069" s="2">
        <v>1</v>
      </c>
      <c r="B1069" s="2" t="s">
        <v>5870</v>
      </c>
      <c r="C1069" s="2" t="s">
        <v>5871</v>
      </c>
      <c r="D1069" s="2" t="s">
        <v>50</v>
      </c>
      <c r="E1069" s="3">
        <v>45988.647858796299</v>
      </c>
      <c r="F1069" s="3">
        <v>45993.407118055547</v>
      </c>
      <c r="G1069" s="4">
        <v>45993</v>
      </c>
      <c r="H1069" s="2" t="s">
        <v>40</v>
      </c>
      <c r="I1069" s="2" t="s">
        <v>51</v>
      </c>
      <c r="J1069" s="2">
        <v>0.71560906819455017</v>
      </c>
      <c r="K1069" s="2">
        <v>4475.9075064280923</v>
      </c>
      <c r="L1069" s="2">
        <v>0</v>
      </c>
      <c r="M1069" s="2">
        <v>3203</v>
      </c>
      <c r="N1069" s="2">
        <v>3203</v>
      </c>
      <c r="O1069" s="2"/>
      <c r="P1069" s="2">
        <v>3203</v>
      </c>
      <c r="Q1069" s="2" t="s">
        <v>44</v>
      </c>
      <c r="R1069" s="2"/>
      <c r="S1069" t="str">
        <f>VLOOKUP(B1069,CASOPOInvCL!$B$1:$D$1600,1,FALSE)</f>
        <v>SO18327</v>
      </c>
      <c r="T1069">
        <f t="shared" si="17"/>
        <v>11</v>
      </c>
    </row>
    <row r="1070" spans="1:20" x14ac:dyDescent="0.25">
      <c r="A1070" s="2">
        <v>1</v>
      </c>
      <c r="B1070" s="2" t="s">
        <v>18</v>
      </c>
      <c r="C1070" s="2" t="s">
        <v>19</v>
      </c>
      <c r="D1070" s="2" t="s">
        <v>20</v>
      </c>
      <c r="E1070" s="3">
        <v>45989.467314814807</v>
      </c>
      <c r="F1070" s="3">
        <v>45989.598402777781</v>
      </c>
      <c r="G1070" s="4">
        <v>45993</v>
      </c>
      <c r="H1070" s="2" t="s">
        <v>21</v>
      </c>
      <c r="I1070" s="2" t="s">
        <v>22</v>
      </c>
      <c r="J1070" s="2">
        <v>1</v>
      </c>
      <c r="K1070" s="2">
        <v>92.24</v>
      </c>
      <c r="L1070" s="2">
        <v>0</v>
      </c>
      <c r="M1070" s="2">
        <v>65.999591789769212</v>
      </c>
      <c r="N1070" s="2">
        <v>87.85</v>
      </c>
      <c r="O1070" s="2">
        <v>4.3899999999999997</v>
      </c>
      <c r="P1070" s="2">
        <v>92.24</v>
      </c>
      <c r="Q1070" s="2" t="s">
        <v>44</v>
      </c>
      <c r="R1070" s="2"/>
      <c r="S1070" t="str">
        <f>VLOOKUP(B1070,CASOPOInvCL!$B$1:$D$1600,1,FALSE)</f>
        <v>SO18329</v>
      </c>
      <c r="T1070">
        <f t="shared" si="17"/>
        <v>11</v>
      </c>
    </row>
    <row r="1071" spans="1:20" x14ac:dyDescent="0.25">
      <c r="A1071" s="2">
        <v>1</v>
      </c>
      <c r="B1071" s="2" t="s">
        <v>6202</v>
      </c>
      <c r="C1071" s="2" t="s">
        <v>6025</v>
      </c>
      <c r="D1071" s="2" t="s">
        <v>35</v>
      </c>
      <c r="E1071" s="3">
        <v>45989.600173611107</v>
      </c>
      <c r="F1071" s="3">
        <v>46003.406377314823</v>
      </c>
      <c r="G1071" s="4">
        <v>46007</v>
      </c>
      <c r="H1071" s="2" t="s">
        <v>40</v>
      </c>
      <c r="I1071" s="2" t="s">
        <v>22</v>
      </c>
      <c r="J1071" s="2">
        <v>1</v>
      </c>
      <c r="K1071" s="2">
        <v>1463.93</v>
      </c>
      <c r="L1071" s="2">
        <v>0</v>
      </c>
      <c r="M1071" s="2">
        <v>1061.924509347501</v>
      </c>
      <c r="N1071" s="2">
        <v>1394.21</v>
      </c>
      <c r="O1071" s="2">
        <v>69.72</v>
      </c>
      <c r="P1071" s="2">
        <v>1463.93</v>
      </c>
      <c r="Q1071" s="2" t="s">
        <v>126</v>
      </c>
      <c r="R1071" s="2"/>
      <c r="S1071" t="str">
        <f>VLOOKUP(B1071,CASOPOInvCL!$B$1:$D$1600,1,FALSE)</f>
        <v>SO18330</v>
      </c>
      <c r="T1071">
        <f t="shared" si="17"/>
        <v>11</v>
      </c>
    </row>
    <row r="1072" spans="1:20" x14ac:dyDescent="0.25">
      <c r="A1072" s="2">
        <v>0</v>
      </c>
      <c r="B1072" s="2" t="s">
        <v>6203</v>
      </c>
      <c r="C1072" s="2" t="s">
        <v>6204</v>
      </c>
      <c r="D1072" s="2" t="s">
        <v>6205</v>
      </c>
      <c r="E1072" s="3">
        <v>45989.65556712963</v>
      </c>
      <c r="F1072" s="3">
        <v>46002.524525462963</v>
      </c>
      <c r="G1072" s="4">
        <v>46128</v>
      </c>
      <c r="H1072" s="2" t="s">
        <v>21</v>
      </c>
      <c r="I1072" s="2" t="s">
        <v>51</v>
      </c>
      <c r="J1072" s="2">
        <v>0.72276866354558011</v>
      </c>
      <c r="K1072" s="2">
        <v>42413.238904991347</v>
      </c>
      <c r="L1072" s="2">
        <v>0</v>
      </c>
      <c r="M1072" s="2">
        <v>30654.959999999999</v>
      </c>
      <c r="N1072" s="2">
        <v>30654.959999999999</v>
      </c>
      <c r="O1072" s="2"/>
      <c r="P1072" s="2">
        <v>30654.959999999999</v>
      </c>
      <c r="Q1072" s="2" t="s">
        <v>23</v>
      </c>
      <c r="R1072" s="2"/>
      <c r="S1072" t="str">
        <f>VLOOKUP(B1072,CASOPOInvCL!$B$1:$D$1600,1,FALSE)</f>
        <v>SO18331</v>
      </c>
      <c r="T1072">
        <f t="shared" si="17"/>
        <v>11</v>
      </c>
    </row>
    <row r="1073" spans="1:20" x14ac:dyDescent="0.25">
      <c r="A1073" s="2">
        <v>0</v>
      </c>
      <c r="B1073" s="2" t="s">
        <v>6206</v>
      </c>
      <c r="C1073" s="2" t="s">
        <v>6207</v>
      </c>
      <c r="D1073" s="2" t="s">
        <v>232</v>
      </c>
      <c r="E1073" s="3">
        <v>45992.483541666668</v>
      </c>
      <c r="F1073" s="3">
        <v>46002.402673611112</v>
      </c>
      <c r="G1073" s="4">
        <v>46058</v>
      </c>
      <c r="H1073" s="2" t="s">
        <v>180</v>
      </c>
      <c r="I1073" s="2" t="s">
        <v>51</v>
      </c>
      <c r="J1073" s="2">
        <v>0.72276866354558011</v>
      </c>
      <c r="K1073" s="2">
        <v>11755.90535195383</v>
      </c>
      <c r="L1073" s="2">
        <v>0</v>
      </c>
      <c r="M1073" s="2">
        <v>8496.7999999999993</v>
      </c>
      <c r="N1073" s="2">
        <v>8496.7999999999993</v>
      </c>
      <c r="O1073" s="2"/>
      <c r="P1073" s="2">
        <v>8496.7999999999993</v>
      </c>
      <c r="Q1073" s="2" t="s">
        <v>23</v>
      </c>
      <c r="R1073" s="2"/>
      <c r="S1073" t="str">
        <f>VLOOKUP(B1073,CASOPOInvCL!$B$1:$D$1600,1,FALSE)</f>
        <v>SO18335</v>
      </c>
      <c r="T1073">
        <f t="shared" si="17"/>
        <v>12</v>
      </c>
    </row>
    <row r="1074" spans="1:20" x14ac:dyDescent="0.25">
      <c r="A1074" s="2">
        <v>1</v>
      </c>
      <c r="B1074" s="2" t="s">
        <v>5872</v>
      </c>
      <c r="C1074" s="2" t="s">
        <v>5873</v>
      </c>
      <c r="D1074" s="2" t="s">
        <v>54</v>
      </c>
      <c r="E1074" s="3">
        <v>45992.556504629632</v>
      </c>
      <c r="F1074" s="3">
        <v>45993.428287037037</v>
      </c>
      <c r="G1074" s="4">
        <v>46017</v>
      </c>
      <c r="H1074" s="2" t="s">
        <v>21</v>
      </c>
      <c r="I1074" s="2" t="s">
        <v>22</v>
      </c>
      <c r="J1074" s="2">
        <v>1</v>
      </c>
      <c r="K1074" s="2">
        <v>10225.31</v>
      </c>
      <c r="L1074" s="2">
        <v>0</v>
      </c>
      <c r="M1074" s="2">
        <v>7308.8737827809209</v>
      </c>
      <c r="N1074" s="2">
        <v>9738.39</v>
      </c>
      <c r="O1074" s="2">
        <v>486.92</v>
      </c>
      <c r="P1074" s="2">
        <v>10225.31</v>
      </c>
      <c r="Q1074" s="2" t="s">
        <v>44</v>
      </c>
      <c r="R1074" s="2"/>
      <c r="S1074" t="str">
        <f>VLOOKUP(B1074,CASOPOInvCL!$B$1:$D$1600,1,FALSE)</f>
        <v>SO18337</v>
      </c>
      <c r="T1074">
        <f t="shared" si="17"/>
        <v>12</v>
      </c>
    </row>
    <row r="1075" spans="1:20" x14ac:dyDescent="0.25">
      <c r="A1075" s="2">
        <v>1</v>
      </c>
      <c r="B1075" s="2" t="s">
        <v>5874</v>
      </c>
      <c r="C1075" s="2" t="s">
        <v>4394</v>
      </c>
      <c r="D1075" s="2" t="s">
        <v>109</v>
      </c>
      <c r="E1075" s="3">
        <v>45992.594490740739</v>
      </c>
      <c r="F1075" s="3">
        <v>45992.684560185182</v>
      </c>
      <c r="G1075" s="4">
        <v>45993</v>
      </c>
      <c r="H1075" s="2" t="s">
        <v>21</v>
      </c>
      <c r="I1075" s="2" t="s">
        <v>51</v>
      </c>
      <c r="J1075" s="2">
        <v>0.71541057771406147</v>
      </c>
      <c r="K1075" s="2">
        <v>7845.1453959955697</v>
      </c>
      <c r="L1075" s="2">
        <v>0</v>
      </c>
      <c r="M1075" s="2">
        <v>5612.5</v>
      </c>
      <c r="N1075" s="2">
        <v>5612.5</v>
      </c>
      <c r="O1075" s="2"/>
      <c r="P1075" s="2">
        <v>5612.5</v>
      </c>
      <c r="Q1075" s="2" t="s">
        <v>44</v>
      </c>
      <c r="R1075" s="2"/>
      <c r="S1075" t="str">
        <f>VLOOKUP(B1075,CASOPOInvCL!$B$1:$D$1600,1,FALSE)</f>
        <v>SO18339</v>
      </c>
      <c r="T1075">
        <f t="shared" si="17"/>
        <v>12</v>
      </c>
    </row>
    <row r="1076" spans="1:20" x14ac:dyDescent="0.25">
      <c r="A1076" s="2">
        <v>1</v>
      </c>
      <c r="B1076" s="2" t="s">
        <v>5875</v>
      </c>
      <c r="C1076" s="2" t="s">
        <v>5876</v>
      </c>
      <c r="D1076" s="2" t="s">
        <v>35</v>
      </c>
      <c r="E1076" s="3">
        <v>45992.640879629631</v>
      </c>
      <c r="F1076" s="3">
        <v>45993.724340277768</v>
      </c>
      <c r="G1076" s="4">
        <v>46000</v>
      </c>
      <c r="H1076" s="2" t="s">
        <v>36</v>
      </c>
      <c r="I1076" s="2" t="s">
        <v>22</v>
      </c>
      <c r="J1076" s="2">
        <v>1</v>
      </c>
      <c r="K1076" s="2">
        <v>1119.8</v>
      </c>
      <c r="L1076" s="2">
        <v>0</v>
      </c>
      <c r="M1076" s="2">
        <v>800.41356809310184</v>
      </c>
      <c r="N1076" s="2">
        <v>1066.47</v>
      </c>
      <c r="O1076" s="2">
        <v>53.33</v>
      </c>
      <c r="P1076" s="2">
        <v>1119.8</v>
      </c>
      <c r="Q1076" s="2" t="s">
        <v>44</v>
      </c>
      <c r="R1076" s="2"/>
      <c r="S1076" t="str">
        <f>VLOOKUP(B1076,CASOPOInvCL!$B$1:$D$1600,1,FALSE)</f>
        <v>SO18340</v>
      </c>
      <c r="T1076">
        <f t="shared" si="17"/>
        <v>12</v>
      </c>
    </row>
    <row r="1077" spans="1:20" x14ac:dyDescent="0.25">
      <c r="A1077" s="2">
        <v>0</v>
      </c>
      <c r="B1077" s="2" t="s">
        <v>6208</v>
      </c>
      <c r="C1077" s="2" t="s">
        <v>6209</v>
      </c>
      <c r="D1077" s="2" t="s">
        <v>39</v>
      </c>
      <c r="E1077" s="3">
        <v>45992.659432870372</v>
      </c>
      <c r="F1077" s="3">
        <v>45995.78707175926</v>
      </c>
      <c r="G1077" s="4">
        <v>46108</v>
      </c>
      <c r="H1077" s="2" t="s">
        <v>40</v>
      </c>
      <c r="I1077" s="2" t="s">
        <v>22</v>
      </c>
      <c r="J1077" s="2">
        <v>1</v>
      </c>
      <c r="K1077" s="2">
        <v>9328.56</v>
      </c>
      <c r="L1077" s="2">
        <v>0</v>
      </c>
      <c r="M1077" s="2">
        <v>6691.9814153067418</v>
      </c>
      <c r="N1077" s="2">
        <v>8884.34</v>
      </c>
      <c r="O1077" s="2">
        <v>444.22</v>
      </c>
      <c r="P1077" s="2">
        <v>9328.56</v>
      </c>
      <c r="Q1077" s="2" t="s">
        <v>29</v>
      </c>
      <c r="R1077" s="2"/>
      <c r="S1077" t="str">
        <f>VLOOKUP(B1077,CASOPOInvCL!$B$1:$D$1600,1,FALSE)</f>
        <v>SO18341</v>
      </c>
      <c r="T1077">
        <f t="shared" si="17"/>
        <v>12</v>
      </c>
    </row>
    <row r="1078" spans="1:20" x14ac:dyDescent="0.25">
      <c r="A1078" s="2">
        <v>0</v>
      </c>
      <c r="B1078" s="2" t="s">
        <v>5877</v>
      </c>
      <c r="C1078" s="2" t="s">
        <v>5878</v>
      </c>
      <c r="D1078" s="2" t="s">
        <v>129</v>
      </c>
      <c r="E1078" s="3">
        <v>45993.477858796286</v>
      </c>
      <c r="F1078" s="3">
        <v>45993.477893518517</v>
      </c>
      <c r="G1078" s="4">
        <v>46010</v>
      </c>
      <c r="H1078" s="2" t="s">
        <v>130</v>
      </c>
      <c r="I1078" s="2" t="s">
        <v>51</v>
      </c>
      <c r="J1078" s="2">
        <v>0.71560906819455017</v>
      </c>
      <c r="K1078" s="2">
        <v>7396.4965443408973</v>
      </c>
      <c r="L1078" s="2">
        <v>0</v>
      </c>
      <c r="M1078" s="2">
        <v>5293</v>
      </c>
      <c r="N1078" s="2">
        <v>5293</v>
      </c>
      <c r="O1078" s="2"/>
      <c r="P1078" s="2">
        <v>5293</v>
      </c>
      <c r="Q1078" s="2" t="s">
        <v>23</v>
      </c>
      <c r="R1078" s="2"/>
      <c r="S1078" t="str">
        <f>VLOOKUP(B1078,CASOPOInvCL!$B$1:$D$1600,1,FALSE)</f>
        <v>SO18344</v>
      </c>
      <c r="T1078">
        <f t="shared" si="17"/>
        <v>12</v>
      </c>
    </row>
    <row r="1079" spans="1:20" x14ac:dyDescent="0.25">
      <c r="A1079" s="2">
        <v>1</v>
      </c>
      <c r="B1079" s="2" t="s">
        <v>5879</v>
      </c>
      <c r="C1079" s="2" t="s">
        <v>5880</v>
      </c>
      <c r="D1079" s="2" t="s">
        <v>121</v>
      </c>
      <c r="E1079" s="3">
        <v>45993.502418981479</v>
      </c>
      <c r="F1079" s="3">
        <v>45993.544791666667</v>
      </c>
      <c r="G1079" s="4">
        <v>46027</v>
      </c>
      <c r="H1079" s="2" t="s">
        <v>180</v>
      </c>
      <c r="I1079" s="2" t="s">
        <v>22</v>
      </c>
      <c r="J1079" s="2">
        <v>1</v>
      </c>
      <c r="K1079" s="2">
        <v>3201.63</v>
      </c>
      <c r="L1079" s="2">
        <v>0</v>
      </c>
      <c r="M1079" s="2">
        <v>2288.4694517002299</v>
      </c>
      <c r="N1079" s="2">
        <v>3049.16</v>
      </c>
      <c r="O1079" s="2">
        <v>152.47</v>
      </c>
      <c r="P1079" s="2">
        <v>3201.63</v>
      </c>
      <c r="Q1079" s="2" t="s">
        <v>44</v>
      </c>
      <c r="R1079" s="2"/>
      <c r="S1079" t="str">
        <f>VLOOKUP(B1079,CASOPOInvCL!$B$1:$D$1600,1,FALSE)</f>
        <v>SO18345</v>
      </c>
      <c r="T1079">
        <f t="shared" si="17"/>
        <v>12</v>
      </c>
    </row>
    <row r="1080" spans="1:20" x14ac:dyDescent="0.25">
      <c r="A1080" s="2">
        <v>1</v>
      </c>
      <c r="B1080" s="2" t="s">
        <v>6210</v>
      </c>
      <c r="C1080" s="2" t="s">
        <v>6040</v>
      </c>
      <c r="D1080" s="2" t="s">
        <v>83</v>
      </c>
      <c r="E1080" s="3">
        <v>45993.510011574072</v>
      </c>
      <c r="F1080" s="3">
        <v>45995.549722222233</v>
      </c>
      <c r="G1080" s="4">
        <v>46020</v>
      </c>
      <c r="H1080" s="2" t="s">
        <v>21</v>
      </c>
      <c r="I1080" s="2" t="s">
        <v>22</v>
      </c>
      <c r="J1080" s="2">
        <v>1</v>
      </c>
      <c r="K1080" s="2">
        <v>6255.48</v>
      </c>
      <c r="L1080" s="2">
        <v>0</v>
      </c>
      <c r="M1080" s="2">
        <v>4487.461720117898</v>
      </c>
      <c r="N1080" s="2">
        <v>5957.6</v>
      </c>
      <c r="O1080" s="2">
        <v>297.88</v>
      </c>
      <c r="P1080" s="2">
        <v>6255.48</v>
      </c>
      <c r="Q1080" s="2" t="s">
        <v>44</v>
      </c>
      <c r="R1080" s="2"/>
      <c r="S1080" t="str">
        <f>VLOOKUP(B1080,CASOPOInvCL!$B$1:$D$1600,1,FALSE)</f>
        <v>SO18346</v>
      </c>
      <c r="T1080">
        <f t="shared" si="17"/>
        <v>12</v>
      </c>
    </row>
    <row r="1081" spans="1:20" x14ac:dyDescent="0.25">
      <c r="A1081" s="2">
        <v>2</v>
      </c>
      <c r="B1081" s="2" t="s">
        <v>6211</v>
      </c>
      <c r="C1081" s="2" t="s">
        <v>5996</v>
      </c>
      <c r="D1081" s="2" t="s">
        <v>70</v>
      </c>
      <c r="E1081" s="3">
        <v>45993.592662037037</v>
      </c>
      <c r="F1081" s="3">
        <v>45995.465497685182</v>
      </c>
      <c r="G1081" s="4">
        <v>46100</v>
      </c>
      <c r="H1081" s="2" t="s">
        <v>74</v>
      </c>
      <c r="I1081" s="2" t="s">
        <v>51</v>
      </c>
      <c r="J1081" s="2">
        <v>0.71478261126370946</v>
      </c>
      <c r="K1081" s="2">
        <v>5312.762146362531</v>
      </c>
      <c r="L1081" s="2">
        <v>0</v>
      </c>
      <c r="M1081" s="2">
        <v>3797.47</v>
      </c>
      <c r="N1081" s="2">
        <v>3797.47</v>
      </c>
      <c r="O1081" s="2"/>
      <c r="P1081" s="2">
        <v>3797.47</v>
      </c>
      <c r="Q1081" s="2" t="s">
        <v>29</v>
      </c>
      <c r="R1081" s="2"/>
      <c r="S1081" t="str">
        <f>VLOOKUP(B1081,CASOPOInvCL!$B$1:$D$1600,1,FALSE)</f>
        <v>SO18347</v>
      </c>
      <c r="T1081">
        <f t="shared" si="17"/>
        <v>12</v>
      </c>
    </row>
    <row r="1082" spans="1:20" x14ac:dyDescent="0.25">
      <c r="A1082" s="2">
        <v>1</v>
      </c>
      <c r="B1082" s="2" t="s">
        <v>5881</v>
      </c>
      <c r="C1082" s="2" t="s">
        <v>5882</v>
      </c>
      <c r="D1082" s="2" t="s">
        <v>98</v>
      </c>
      <c r="E1082" s="3">
        <v>45993.733495370368</v>
      </c>
      <c r="F1082" s="3">
        <v>45994.355428240742</v>
      </c>
      <c r="G1082" s="4">
        <v>45999</v>
      </c>
      <c r="H1082" s="2" t="s">
        <v>40</v>
      </c>
      <c r="I1082" s="2" t="s">
        <v>22</v>
      </c>
      <c r="J1082" s="2">
        <v>1</v>
      </c>
      <c r="K1082" s="2">
        <v>2257.12</v>
      </c>
      <c r="L1082" s="2">
        <v>0</v>
      </c>
      <c r="M1082" s="2">
        <v>1617.6692019805459</v>
      </c>
      <c r="N1082" s="2">
        <v>1997.45</v>
      </c>
      <c r="O1082" s="2">
        <v>259.67</v>
      </c>
      <c r="P1082" s="2">
        <v>2257.12</v>
      </c>
      <c r="Q1082" s="2" t="s">
        <v>44</v>
      </c>
      <c r="R1082" s="2"/>
      <c r="S1082" t="str">
        <f>VLOOKUP(B1082,CASOPOInvCL!$B$1:$D$1600,1,FALSE)</f>
        <v>SO18349</v>
      </c>
      <c r="T1082">
        <f t="shared" si="17"/>
        <v>12</v>
      </c>
    </row>
    <row r="1083" spans="1:20" x14ac:dyDescent="0.25">
      <c r="A1083" s="2">
        <v>1</v>
      </c>
      <c r="B1083" s="2" t="s">
        <v>5883</v>
      </c>
      <c r="C1083" s="2" t="s">
        <v>5884</v>
      </c>
      <c r="D1083" s="2" t="s">
        <v>121</v>
      </c>
      <c r="E1083" s="3">
        <v>45993.753252314818</v>
      </c>
      <c r="F1083" s="3">
        <v>45993.755567129629</v>
      </c>
      <c r="G1083" s="4">
        <v>45994</v>
      </c>
      <c r="H1083" s="2" t="s">
        <v>21</v>
      </c>
      <c r="I1083" s="2" t="s">
        <v>22</v>
      </c>
      <c r="J1083" s="2">
        <v>1</v>
      </c>
      <c r="K1083" s="2">
        <v>421.75</v>
      </c>
      <c r="L1083" s="2">
        <v>0</v>
      </c>
      <c r="M1083" s="2">
        <v>301.45956630046948</v>
      </c>
      <c r="N1083" s="2">
        <v>401.67</v>
      </c>
      <c r="O1083" s="2">
        <v>20.079999999999998</v>
      </c>
      <c r="P1083" s="2">
        <v>421.75</v>
      </c>
      <c r="Q1083" s="2" t="s">
        <v>44</v>
      </c>
      <c r="R1083" s="2"/>
      <c r="S1083" t="str">
        <f>VLOOKUP(B1083,CASOPOInvCL!$B$1:$D$1600,1,FALSE)</f>
        <v>SO18350</v>
      </c>
      <c r="T1083">
        <f t="shared" si="17"/>
        <v>12</v>
      </c>
    </row>
    <row r="1084" spans="1:20" x14ac:dyDescent="0.25">
      <c r="A1084" s="2">
        <v>1</v>
      </c>
      <c r="B1084" s="2" t="s">
        <v>6212</v>
      </c>
      <c r="C1084" s="2" t="s">
        <v>6006</v>
      </c>
      <c r="D1084" s="2" t="s">
        <v>35</v>
      </c>
      <c r="E1084" s="3">
        <v>45993.804814814823</v>
      </c>
      <c r="F1084" s="3">
        <v>46000.510127314818</v>
      </c>
      <c r="G1084" s="4">
        <v>46007</v>
      </c>
      <c r="H1084" s="2" t="s">
        <v>36</v>
      </c>
      <c r="I1084" s="2" t="s">
        <v>22</v>
      </c>
      <c r="J1084" s="2">
        <v>1</v>
      </c>
      <c r="K1084" s="2">
        <v>2813.64</v>
      </c>
      <c r="L1084" s="2">
        <v>0</v>
      </c>
      <c r="M1084" s="2">
        <v>2033.770341521297</v>
      </c>
      <c r="N1084" s="2">
        <v>2679.66</v>
      </c>
      <c r="O1084" s="2">
        <v>133.97999999999999</v>
      </c>
      <c r="P1084" s="2">
        <v>2813.64</v>
      </c>
      <c r="Q1084" s="2" t="s">
        <v>44</v>
      </c>
      <c r="R1084" s="2"/>
      <c r="S1084" t="str">
        <f>VLOOKUP(B1084,CASOPOInvCL!$B$1:$D$1600,1,FALSE)</f>
        <v>SO18351</v>
      </c>
      <c r="T1084">
        <f t="shared" si="17"/>
        <v>12</v>
      </c>
    </row>
    <row r="1085" spans="1:20" ht="30" x14ac:dyDescent="0.25">
      <c r="A1085" s="2">
        <v>0</v>
      </c>
      <c r="B1085" s="2" t="s">
        <v>6213</v>
      </c>
      <c r="C1085" s="2" t="s">
        <v>6214</v>
      </c>
      <c r="D1085" s="2" t="s">
        <v>159</v>
      </c>
      <c r="E1085" s="3">
        <v>45994.532048611109</v>
      </c>
      <c r="F1085" s="3">
        <v>46003.646585648137</v>
      </c>
      <c r="G1085" s="4">
        <v>46136</v>
      </c>
      <c r="H1085" s="2" t="s">
        <v>40</v>
      </c>
      <c r="I1085" s="2" t="s">
        <v>51</v>
      </c>
      <c r="J1085" s="2">
        <v>0.72276866354558011</v>
      </c>
      <c r="K1085" s="2">
        <v>6842.9640761370629</v>
      </c>
      <c r="L1085" s="2">
        <v>0</v>
      </c>
      <c r="M1085" s="2">
        <v>4945.88</v>
      </c>
      <c r="N1085" s="2">
        <v>4945.88</v>
      </c>
      <c r="O1085" s="2"/>
      <c r="P1085" s="2">
        <v>4945.88</v>
      </c>
      <c r="Q1085" s="2" t="s">
        <v>29</v>
      </c>
      <c r="R1085" s="2"/>
      <c r="S1085" t="str">
        <f>VLOOKUP(B1085,CASOPOInvCL!$B$1:$D$1600,1,FALSE)</f>
        <v>SO18354</v>
      </c>
      <c r="T1085">
        <f t="shared" si="17"/>
        <v>12</v>
      </c>
    </row>
    <row r="1086" spans="1:20" x14ac:dyDescent="0.25">
      <c r="A1086" s="2">
        <v>0</v>
      </c>
      <c r="B1086" s="2" t="s">
        <v>5885</v>
      </c>
      <c r="C1086" s="2" t="s">
        <v>5886</v>
      </c>
      <c r="D1086" s="2" t="s">
        <v>20</v>
      </c>
      <c r="E1086" s="3">
        <v>45994.632326388892</v>
      </c>
      <c r="F1086" s="3">
        <v>45994.738171296303</v>
      </c>
      <c r="G1086" s="4">
        <v>46043</v>
      </c>
      <c r="H1086" s="2" t="s">
        <v>21</v>
      </c>
      <c r="I1086" s="2" t="s">
        <v>22</v>
      </c>
      <c r="J1086" s="2">
        <v>1</v>
      </c>
      <c r="K1086" s="2">
        <v>7178.31</v>
      </c>
      <c r="L1086" s="2">
        <v>0</v>
      </c>
      <c r="M1086" s="2">
        <v>5144.6671020012109</v>
      </c>
      <c r="N1086" s="2">
        <v>6836.47</v>
      </c>
      <c r="O1086" s="2">
        <v>341.84</v>
      </c>
      <c r="P1086" s="2">
        <v>7178.31</v>
      </c>
      <c r="Q1086" s="2" t="s">
        <v>23</v>
      </c>
      <c r="R1086" s="2"/>
      <c r="S1086" t="str">
        <f>VLOOKUP(B1086,CASOPOInvCL!$B$1:$D$1600,1,FALSE)</f>
        <v>SO18356</v>
      </c>
      <c r="T1086">
        <f t="shared" si="17"/>
        <v>12</v>
      </c>
    </row>
    <row r="1087" spans="1:20" x14ac:dyDescent="0.25">
      <c r="A1087" s="2">
        <v>1</v>
      </c>
      <c r="B1087" s="2" t="s">
        <v>6215</v>
      </c>
      <c r="C1087" s="2" t="s">
        <v>5988</v>
      </c>
      <c r="D1087" s="2" t="s">
        <v>64</v>
      </c>
      <c r="E1087" s="3">
        <v>45994.694131944438</v>
      </c>
      <c r="F1087" s="3">
        <v>45994.69295138889</v>
      </c>
      <c r="G1087" s="4">
        <v>45994</v>
      </c>
      <c r="H1087" s="2" t="s">
        <v>21</v>
      </c>
      <c r="I1087" s="2" t="s">
        <v>22</v>
      </c>
      <c r="J1087" s="2">
        <v>1</v>
      </c>
      <c r="K1087" s="2">
        <v>945.49</v>
      </c>
      <c r="L1087" s="2">
        <v>0</v>
      </c>
      <c r="M1087" s="2">
        <v>677.62903779178168</v>
      </c>
      <c r="N1087" s="2">
        <v>836.72</v>
      </c>
      <c r="O1087" s="2">
        <v>108.77</v>
      </c>
      <c r="P1087" s="2">
        <v>945.49</v>
      </c>
      <c r="Q1087" s="2" t="s">
        <v>44</v>
      </c>
      <c r="R1087" s="2"/>
      <c r="S1087" t="str">
        <f>VLOOKUP(B1087,CASOPOInvCL!$B$1:$D$1600,1,FALSE)</f>
        <v>SO18357</v>
      </c>
      <c r="T1087">
        <f t="shared" si="17"/>
        <v>12</v>
      </c>
    </row>
    <row r="1088" spans="1:20" x14ac:dyDescent="0.25">
      <c r="A1088" s="2">
        <v>1</v>
      </c>
      <c r="B1088" s="2" t="s">
        <v>6216</v>
      </c>
      <c r="C1088" s="2" t="s">
        <v>6017</v>
      </c>
      <c r="D1088" s="2" t="s">
        <v>1835</v>
      </c>
      <c r="E1088" s="3">
        <v>45994.736932870372</v>
      </c>
      <c r="F1088" s="3">
        <v>46000.535069444442</v>
      </c>
      <c r="G1088" s="4">
        <v>46003</v>
      </c>
      <c r="H1088" s="2" t="s">
        <v>74</v>
      </c>
      <c r="I1088" s="2" t="s">
        <v>22</v>
      </c>
      <c r="J1088" s="2">
        <v>1</v>
      </c>
      <c r="K1088" s="2">
        <v>345.11</v>
      </c>
      <c r="L1088" s="2">
        <v>0</v>
      </c>
      <c r="M1088" s="2">
        <v>249.45425945125001</v>
      </c>
      <c r="N1088" s="2">
        <v>328.68</v>
      </c>
      <c r="O1088" s="2">
        <v>16.43</v>
      </c>
      <c r="P1088" s="2">
        <v>345.11</v>
      </c>
      <c r="Q1088" s="2" t="s">
        <v>44</v>
      </c>
      <c r="R1088" s="2"/>
      <c r="S1088" t="str">
        <f>VLOOKUP(B1088,CASOPOInvCL!$B$1:$D$1600,1,FALSE)</f>
        <v>SO18358</v>
      </c>
      <c r="T1088">
        <f t="shared" si="17"/>
        <v>12</v>
      </c>
    </row>
    <row r="1089" spans="1:20" x14ac:dyDescent="0.25">
      <c r="A1089" s="2">
        <v>0</v>
      </c>
      <c r="B1089" s="2" t="s">
        <v>6217</v>
      </c>
      <c r="C1089" s="2" t="s">
        <v>6218</v>
      </c>
      <c r="D1089" s="2" t="s">
        <v>129</v>
      </c>
      <c r="E1089" s="3">
        <v>45994.956643518519</v>
      </c>
      <c r="F1089" s="3">
        <v>45994.956678240742</v>
      </c>
      <c r="G1089" s="4">
        <v>46045</v>
      </c>
      <c r="H1089" s="2" t="s">
        <v>130</v>
      </c>
      <c r="I1089" s="2" t="s">
        <v>51</v>
      </c>
      <c r="J1089" s="2">
        <v>0.7151999597673725</v>
      </c>
      <c r="K1089" s="2">
        <v>43322.150088036811</v>
      </c>
      <c r="L1089" s="2">
        <v>0</v>
      </c>
      <c r="M1089" s="2">
        <v>30984</v>
      </c>
      <c r="N1089" s="2">
        <v>30984</v>
      </c>
      <c r="O1089" s="2"/>
      <c r="P1089" s="2">
        <v>30984</v>
      </c>
      <c r="Q1089" s="2" t="s">
        <v>29</v>
      </c>
      <c r="R1089" s="2"/>
      <c r="S1089" t="str">
        <f>VLOOKUP(B1089,CASOPOInvCL!$B$1:$D$1600,1,FALSE)</f>
        <v>SO18360</v>
      </c>
      <c r="T1089">
        <f t="shared" si="17"/>
        <v>12</v>
      </c>
    </row>
    <row r="1090" spans="1:20" x14ac:dyDescent="0.25">
      <c r="A1090" s="2">
        <v>1</v>
      </c>
      <c r="B1090" s="2" t="s">
        <v>6219</v>
      </c>
      <c r="C1090" s="2" t="s">
        <v>6220</v>
      </c>
      <c r="D1090" s="2" t="s">
        <v>129</v>
      </c>
      <c r="E1090" s="3">
        <v>45994.971643518518</v>
      </c>
      <c r="F1090" s="3">
        <v>45994.971666666657</v>
      </c>
      <c r="G1090" s="4">
        <v>46059</v>
      </c>
      <c r="H1090" s="2" t="s">
        <v>130</v>
      </c>
      <c r="I1090" s="2" t="s">
        <v>51</v>
      </c>
      <c r="J1090" s="2">
        <v>0.7151999597673725</v>
      </c>
      <c r="K1090" s="2">
        <v>1069.630932653891</v>
      </c>
      <c r="L1090" s="2">
        <v>0</v>
      </c>
      <c r="M1090" s="2">
        <v>765</v>
      </c>
      <c r="N1090" s="2">
        <v>765</v>
      </c>
      <c r="O1090" s="2"/>
      <c r="P1090" s="2">
        <v>765</v>
      </c>
      <c r="Q1090" s="2" t="s">
        <v>29</v>
      </c>
      <c r="R1090" s="2"/>
      <c r="S1090" t="str">
        <f>VLOOKUP(B1090,CASOPOInvCL!$B$1:$D$1600,1,FALSE)</f>
        <v>SO18361</v>
      </c>
      <c r="T1090">
        <f t="shared" si="17"/>
        <v>12</v>
      </c>
    </row>
    <row r="1091" spans="1:20" ht="30" x14ac:dyDescent="0.25">
      <c r="A1091" s="2">
        <v>0</v>
      </c>
      <c r="B1091" s="2" t="s">
        <v>6221</v>
      </c>
      <c r="C1091" s="2" t="s">
        <v>6222</v>
      </c>
      <c r="D1091" s="2" t="s">
        <v>159</v>
      </c>
      <c r="E1091" s="3">
        <v>45995.409803240742</v>
      </c>
      <c r="F1091" s="3">
        <v>46020.537870370368</v>
      </c>
      <c r="G1091" s="4">
        <v>46073</v>
      </c>
      <c r="H1091" s="2" t="s">
        <v>40</v>
      </c>
      <c r="I1091" s="2" t="s">
        <v>51</v>
      </c>
      <c r="J1091" s="2">
        <v>0.73120348989748496</v>
      </c>
      <c r="K1091" s="2">
        <v>2730.9497665006538</v>
      </c>
      <c r="L1091" s="2">
        <v>0</v>
      </c>
      <c r="M1091" s="2">
        <v>1996.88</v>
      </c>
      <c r="N1091" s="2">
        <v>1996.88</v>
      </c>
      <c r="O1091" s="2"/>
      <c r="P1091" s="2">
        <v>1996.88</v>
      </c>
      <c r="Q1091" s="2" t="s">
        <v>29</v>
      </c>
      <c r="R1091" s="2"/>
      <c r="S1091" t="str">
        <f>VLOOKUP(B1091,CASOPOInvCL!$B$1:$D$1600,1,FALSE)</f>
        <v>SO18363</v>
      </c>
      <c r="T1091">
        <f t="shared" si="17"/>
        <v>12</v>
      </c>
    </row>
    <row r="1092" spans="1:20" x14ac:dyDescent="0.25">
      <c r="A1092" s="2">
        <v>0</v>
      </c>
      <c r="B1092" s="2" t="s">
        <v>6223</v>
      </c>
      <c r="C1092" s="2" t="s">
        <v>6224</v>
      </c>
      <c r="D1092" s="2" t="s">
        <v>83</v>
      </c>
      <c r="E1092" s="3">
        <v>45995.485138888893</v>
      </c>
      <c r="F1092" s="3">
        <v>45995.484837962962</v>
      </c>
      <c r="G1092" s="4">
        <v>46042</v>
      </c>
      <c r="H1092" s="2" t="s">
        <v>67</v>
      </c>
      <c r="I1092" s="2" t="s">
        <v>22</v>
      </c>
      <c r="J1092" s="2">
        <v>1</v>
      </c>
      <c r="K1092" s="2">
        <v>16463.419999999998</v>
      </c>
      <c r="L1092" s="2">
        <v>0</v>
      </c>
      <c r="M1092" s="2">
        <v>11810.279472114589</v>
      </c>
      <c r="N1092" s="2">
        <v>14569.4</v>
      </c>
      <c r="O1092" s="2">
        <v>1894.02</v>
      </c>
      <c r="P1092" s="2">
        <v>16463.419999999998</v>
      </c>
      <c r="Q1092" s="2" t="s">
        <v>29</v>
      </c>
      <c r="R1092" s="2"/>
      <c r="S1092" t="str">
        <f>VLOOKUP(B1092,CASOPOInvCL!$B$1:$D$1600,1,FALSE)</f>
        <v>SO18365</v>
      </c>
      <c r="T1092">
        <f t="shared" si="17"/>
        <v>12</v>
      </c>
    </row>
    <row r="1093" spans="1:20" x14ac:dyDescent="0.25">
      <c r="A1093" s="2">
        <v>1</v>
      </c>
      <c r="B1093" s="2" t="s">
        <v>6225</v>
      </c>
      <c r="C1093" s="2" t="s">
        <v>6028</v>
      </c>
      <c r="D1093" s="2" t="s">
        <v>442</v>
      </c>
      <c r="E1093" s="3">
        <v>45995.527395833327</v>
      </c>
      <c r="F1093" s="3">
        <v>46003.62804398148</v>
      </c>
      <c r="G1093" s="4">
        <v>46009</v>
      </c>
      <c r="H1093" s="2" t="s">
        <v>74</v>
      </c>
      <c r="I1093" s="2" t="s">
        <v>51</v>
      </c>
      <c r="J1093" s="2">
        <v>0.72276866354558011</v>
      </c>
      <c r="K1093" s="2">
        <v>15111.57103355964</v>
      </c>
      <c r="L1093" s="2">
        <v>0</v>
      </c>
      <c r="M1093" s="2">
        <v>10922.17</v>
      </c>
      <c r="N1093" s="2">
        <v>10922.17</v>
      </c>
      <c r="O1093" s="2"/>
      <c r="P1093" s="2">
        <v>10922.17</v>
      </c>
      <c r="Q1093" s="2" t="s">
        <v>44</v>
      </c>
      <c r="R1093" s="2"/>
      <c r="S1093" t="str">
        <f>VLOOKUP(B1093,CASOPOInvCL!$B$1:$D$1600,1,FALSE)</f>
        <v>SO18366</v>
      </c>
      <c r="T1093">
        <f t="shared" si="17"/>
        <v>12</v>
      </c>
    </row>
    <row r="1094" spans="1:20" x14ac:dyDescent="0.25">
      <c r="A1094" s="2">
        <v>1</v>
      </c>
      <c r="B1094" s="2" t="s">
        <v>6226</v>
      </c>
      <c r="C1094" s="2" t="s">
        <v>5963</v>
      </c>
      <c r="D1094" s="2" t="s">
        <v>146</v>
      </c>
      <c r="E1094" s="3">
        <v>45995.54105324074</v>
      </c>
      <c r="F1094" s="3">
        <v>45995.560057870367</v>
      </c>
      <c r="G1094" s="4">
        <v>45996</v>
      </c>
      <c r="H1094" s="2" t="s">
        <v>40</v>
      </c>
      <c r="I1094" s="2" t="s">
        <v>22</v>
      </c>
      <c r="J1094" s="2">
        <v>1</v>
      </c>
      <c r="K1094" s="2">
        <v>904.58</v>
      </c>
      <c r="L1094" s="2">
        <v>0</v>
      </c>
      <c r="M1094" s="2">
        <v>648.9139319099811</v>
      </c>
      <c r="N1094" s="2">
        <v>861.5</v>
      </c>
      <c r="O1094" s="2">
        <v>43.08</v>
      </c>
      <c r="P1094" s="2">
        <v>904.58</v>
      </c>
      <c r="Q1094" s="2" t="s">
        <v>44</v>
      </c>
      <c r="R1094" s="2"/>
      <c r="S1094" t="str">
        <f>VLOOKUP(B1094,CASOPOInvCL!$B$1:$D$1600,1,FALSE)</f>
        <v>SO18367</v>
      </c>
      <c r="T1094">
        <f t="shared" si="17"/>
        <v>12</v>
      </c>
    </row>
    <row r="1095" spans="1:20" x14ac:dyDescent="0.25">
      <c r="A1095" s="2">
        <v>0</v>
      </c>
      <c r="B1095" s="2" t="s">
        <v>6227</v>
      </c>
      <c r="C1095" s="2" t="s">
        <v>6228</v>
      </c>
      <c r="D1095" s="2" t="s">
        <v>129</v>
      </c>
      <c r="E1095" s="3">
        <v>45996.513483796298</v>
      </c>
      <c r="F1095" s="3">
        <v>45996.514178240737</v>
      </c>
      <c r="G1095" s="4">
        <v>46100</v>
      </c>
      <c r="H1095" s="2" t="s">
        <v>130</v>
      </c>
      <c r="I1095" s="2" t="s">
        <v>51</v>
      </c>
      <c r="J1095" s="2">
        <v>0.71669614463588371</v>
      </c>
      <c r="K1095" s="2">
        <v>36410.130283674851</v>
      </c>
      <c r="L1095" s="2">
        <v>0</v>
      </c>
      <c r="M1095" s="2">
        <v>26095</v>
      </c>
      <c r="N1095" s="2">
        <v>26095</v>
      </c>
      <c r="O1095" s="2"/>
      <c r="P1095" s="2">
        <v>26095</v>
      </c>
      <c r="Q1095" s="2" t="s">
        <v>29</v>
      </c>
      <c r="R1095" s="2"/>
      <c r="S1095" t="str">
        <f>VLOOKUP(B1095,CASOPOInvCL!$B$1:$D$1600,1,FALSE)</f>
        <v>SO18368</v>
      </c>
      <c r="T1095">
        <f t="shared" si="17"/>
        <v>12</v>
      </c>
    </row>
    <row r="1096" spans="1:20" x14ac:dyDescent="0.25">
      <c r="A1096" s="2">
        <v>0</v>
      </c>
      <c r="B1096" s="2" t="s">
        <v>6229</v>
      </c>
      <c r="C1096" s="2" t="s">
        <v>6230</v>
      </c>
      <c r="D1096" s="2" t="s">
        <v>83</v>
      </c>
      <c r="E1096" s="3">
        <v>45996.543020833327</v>
      </c>
      <c r="F1096" s="3">
        <v>45996.540972222218</v>
      </c>
      <c r="G1096" s="4">
        <v>46042</v>
      </c>
      <c r="H1096" s="2" t="s">
        <v>67</v>
      </c>
      <c r="I1096" s="2" t="s">
        <v>22</v>
      </c>
      <c r="J1096" s="2">
        <v>1</v>
      </c>
      <c r="K1096" s="2">
        <v>19073.52</v>
      </c>
      <c r="L1096" s="2">
        <v>0</v>
      </c>
      <c r="M1096" s="2">
        <v>13761.74207405243</v>
      </c>
      <c r="N1096" s="2">
        <v>16879.22</v>
      </c>
      <c r="O1096" s="2">
        <v>2194.3000000000002</v>
      </c>
      <c r="P1096" s="2">
        <v>19073.52</v>
      </c>
      <c r="Q1096" s="2" t="s">
        <v>23</v>
      </c>
      <c r="R1096" s="2"/>
      <c r="S1096" t="str">
        <f>VLOOKUP(B1096,CASOPOInvCL!$B$1:$D$1600,1,FALSE)</f>
        <v>SO18369</v>
      </c>
      <c r="T1096">
        <f t="shared" si="17"/>
        <v>12</v>
      </c>
    </row>
    <row r="1097" spans="1:20" x14ac:dyDescent="0.25">
      <c r="A1097" s="2">
        <v>1</v>
      </c>
      <c r="B1097" s="2" t="s">
        <v>6231</v>
      </c>
      <c r="C1097" s="2" t="s">
        <v>6051</v>
      </c>
      <c r="D1097" s="2" t="s">
        <v>864</v>
      </c>
      <c r="E1097" s="3">
        <v>45996.706122685187</v>
      </c>
      <c r="F1097" s="3">
        <v>46010.723483796297</v>
      </c>
      <c r="G1097" s="4">
        <v>46013</v>
      </c>
      <c r="H1097" s="2" t="s">
        <v>21</v>
      </c>
      <c r="I1097" s="2" t="s">
        <v>22</v>
      </c>
      <c r="J1097" s="2">
        <v>1</v>
      </c>
      <c r="K1097" s="2">
        <v>4368.47</v>
      </c>
      <c r="L1097" s="2">
        <v>0</v>
      </c>
      <c r="M1097" s="2">
        <v>3169.68656847175</v>
      </c>
      <c r="N1097" s="2">
        <v>4160.45</v>
      </c>
      <c r="O1097" s="2">
        <v>208.02</v>
      </c>
      <c r="P1097" s="2">
        <v>4368.47</v>
      </c>
      <c r="Q1097" s="2" t="s">
        <v>44</v>
      </c>
      <c r="R1097" s="2"/>
      <c r="S1097" t="str">
        <f>VLOOKUP(B1097,CASOPOInvCL!$B$1:$D$1600,1,FALSE)</f>
        <v>SO18371</v>
      </c>
      <c r="T1097">
        <f t="shared" si="17"/>
        <v>12</v>
      </c>
    </row>
    <row r="1098" spans="1:20" x14ac:dyDescent="0.25">
      <c r="A1098" s="2">
        <v>2</v>
      </c>
      <c r="B1098" s="2" t="s">
        <v>6232</v>
      </c>
      <c r="C1098" s="2" t="s">
        <v>5981</v>
      </c>
      <c r="D1098" s="2" t="s">
        <v>121</v>
      </c>
      <c r="E1098" s="3">
        <v>45996.711689814823</v>
      </c>
      <c r="F1098" s="3">
        <v>45996.713553240741</v>
      </c>
      <c r="G1098" s="4">
        <v>46045</v>
      </c>
      <c r="H1098" s="2" t="s">
        <v>21</v>
      </c>
      <c r="I1098" s="2" t="s">
        <v>22</v>
      </c>
      <c r="J1098" s="2">
        <v>1</v>
      </c>
      <c r="K1098" s="2">
        <v>2486.37</v>
      </c>
      <c r="L1098" s="2">
        <v>0</v>
      </c>
      <c r="M1098" s="2">
        <v>1793.941686729127</v>
      </c>
      <c r="N1098" s="2">
        <v>2367.9699999999998</v>
      </c>
      <c r="O1098" s="2">
        <v>118.4</v>
      </c>
      <c r="P1098" s="2">
        <v>2486.37</v>
      </c>
      <c r="Q1098" s="2" t="s">
        <v>44</v>
      </c>
      <c r="R1098" s="2"/>
      <c r="S1098" t="str">
        <f>VLOOKUP(B1098,CASOPOInvCL!$B$1:$D$1600,1,FALSE)</f>
        <v>SO18372</v>
      </c>
      <c r="T1098">
        <f t="shared" si="17"/>
        <v>12</v>
      </c>
    </row>
    <row r="1099" spans="1:20" x14ac:dyDescent="0.25">
      <c r="A1099" s="2">
        <v>1</v>
      </c>
      <c r="B1099" s="2" t="s">
        <v>6233</v>
      </c>
      <c r="C1099" s="2" t="s">
        <v>5983</v>
      </c>
      <c r="D1099" s="2" t="s">
        <v>429</v>
      </c>
      <c r="E1099" s="3">
        <v>45996.745370370372</v>
      </c>
      <c r="F1099" s="3">
        <v>45996.745613425926</v>
      </c>
      <c r="G1099" s="4">
        <v>46000</v>
      </c>
      <c r="H1099" s="2" t="s">
        <v>74</v>
      </c>
      <c r="I1099" s="2" t="s">
        <v>22</v>
      </c>
      <c r="J1099" s="2">
        <v>1</v>
      </c>
      <c r="K1099" s="2">
        <v>792.08</v>
      </c>
      <c r="L1099" s="2">
        <v>0</v>
      </c>
      <c r="M1099" s="2">
        <v>571.49391732702975</v>
      </c>
      <c r="N1099" s="2">
        <v>754.36</v>
      </c>
      <c r="O1099" s="2">
        <v>37.72</v>
      </c>
      <c r="P1099" s="2">
        <v>792.08</v>
      </c>
      <c r="Q1099" s="2" t="s">
        <v>44</v>
      </c>
      <c r="R1099" s="2"/>
      <c r="S1099" t="str">
        <f>VLOOKUP(B1099,CASOPOInvCL!$B$1:$D$1600,1,FALSE)</f>
        <v>SO18373</v>
      </c>
      <c r="T1099">
        <f t="shared" si="17"/>
        <v>12</v>
      </c>
    </row>
    <row r="1100" spans="1:20" x14ac:dyDescent="0.25">
      <c r="A1100" s="2">
        <v>1</v>
      </c>
      <c r="B1100" s="2" t="s">
        <v>6234</v>
      </c>
      <c r="C1100" s="2" t="s">
        <v>6064</v>
      </c>
      <c r="D1100" s="2" t="s">
        <v>35</v>
      </c>
      <c r="E1100" s="3">
        <v>45996.763657407413</v>
      </c>
      <c r="F1100" s="3">
        <v>46007.469224537039</v>
      </c>
      <c r="G1100" s="4">
        <v>46013</v>
      </c>
      <c r="H1100" s="2" t="s">
        <v>36</v>
      </c>
      <c r="I1100" s="2" t="s">
        <v>22</v>
      </c>
      <c r="J1100" s="2">
        <v>1</v>
      </c>
      <c r="K1100" s="2">
        <v>3512.31</v>
      </c>
      <c r="L1100" s="2">
        <v>0</v>
      </c>
      <c r="M1100" s="2">
        <v>2554.5400080783961</v>
      </c>
      <c r="N1100" s="2">
        <v>3345.05</v>
      </c>
      <c r="O1100" s="2">
        <v>167.26</v>
      </c>
      <c r="P1100" s="2">
        <v>3512.31</v>
      </c>
      <c r="Q1100" s="2" t="s">
        <v>29</v>
      </c>
      <c r="R1100" s="2"/>
      <c r="S1100" t="str">
        <f>VLOOKUP(B1100,CASOPOInvCL!$B$1:$D$1600,1,FALSE)</f>
        <v>SO18374</v>
      </c>
      <c r="T1100">
        <f t="shared" si="17"/>
        <v>12</v>
      </c>
    </row>
    <row r="1101" spans="1:20" x14ac:dyDescent="0.25">
      <c r="A1101" s="2">
        <v>1</v>
      </c>
      <c r="B1101" s="2" t="s">
        <v>6235</v>
      </c>
      <c r="C1101" s="2" t="s">
        <v>6046</v>
      </c>
      <c r="D1101" s="2" t="s">
        <v>39</v>
      </c>
      <c r="E1101" s="3">
        <v>45996.781192129631</v>
      </c>
      <c r="F1101" s="3">
        <v>46002.748148148137</v>
      </c>
      <c r="G1101" s="4">
        <v>46006</v>
      </c>
      <c r="H1101" s="2" t="s">
        <v>21</v>
      </c>
      <c r="I1101" s="2" t="s">
        <v>22</v>
      </c>
      <c r="J1101" s="2">
        <v>1</v>
      </c>
      <c r="K1101" s="2">
        <v>8135.52</v>
      </c>
      <c r="L1101" s="2">
        <v>0</v>
      </c>
      <c r="M1101" s="2">
        <v>5908.3275821363113</v>
      </c>
      <c r="N1101" s="2">
        <v>7748.12</v>
      </c>
      <c r="O1101" s="2">
        <v>387.4</v>
      </c>
      <c r="P1101" s="2">
        <v>8135.52</v>
      </c>
      <c r="Q1101" s="2" t="s">
        <v>44</v>
      </c>
      <c r="R1101" s="2"/>
      <c r="S1101" t="str">
        <f>VLOOKUP(B1101,CASOPOInvCL!$B$1:$D$1600,1,FALSE)</f>
        <v>SO18375</v>
      </c>
      <c r="T1101">
        <f t="shared" si="17"/>
        <v>12</v>
      </c>
    </row>
    <row r="1102" spans="1:20" x14ac:dyDescent="0.25">
      <c r="A1102" s="2">
        <v>0</v>
      </c>
      <c r="B1102" s="2" t="s">
        <v>6236</v>
      </c>
      <c r="C1102" s="2" t="s">
        <v>6237</v>
      </c>
      <c r="D1102" s="2" t="s">
        <v>242</v>
      </c>
      <c r="E1102" s="3">
        <v>45999.498032407413</v>
      </c>
      <c r="F1102" s="3">
        <v>45999.619421296287</v>
      </c>
      <c r="G1102" s="4">
        <v>46112</v>
      </c>
      <c r="H1102" s="2" t="s">
        <v>36</v>
      </c>
      <c r="I1102" s="2" t="s">
        <v>22</v>
      </c>
      <c r="J1102" s="2">
        <v>1</v>
      </c>
      <c r="K1102" s="2">
        <v>7284.65</v>
      </c>
      <c r="L1102" s="2">
        <v>7284.65</v>
      </c>
      <c r="M1102" s="2">
        <v>7284.65</v>
      </c>
      <c r="N1102" s="2">
        <v>6937.76</v>
      </c>
      <c r="O1102" s="2">
        <v>346.89</v>
      </c>
      <c r="P1102" s="2">
        <v>7284.65</v>
      </c>
      <c r="Q1102" s="2" t="s">
        <v>29</v>
      </c>
      <c r="R1102" s="2"/>
      <c r="S1102" t="str">
        <f>VLOOKUP(B1102,CASOPOInvCL!$B$1:$D$1600,1,FALSE)</f>
        <v>SO18377</v>
      </c>
      <c r="T1102">
        <f t="shared" si="17"/>
        <v>12</v>
      </c>
    </row>
    <row r="1103" spans="1:20" x14ac:dyDescent="0.25">
      <c r="A1103" s="2">
        <v>1</v>
      </c>
      <c r="B1103" s="2" t="s">
        <v>6238</v>
      </c>
      <c r="C1103" s="2" t="s">
        <v>6011</v>
      </c>
      <c r="D1103" s="2" t="s">
        <v>54</v>
      </c>
      <c r="E1103" s="3">
        <v>45999.510659722233</v>
      </c>
      <c r="F1103" s="3">
        <v>46002.488229166673</v>
      </c>
      <c r="G1103" s="4">
        <v>46005</v>
      </c>
      <c r="H1103" s="2" t="s">
        <v>21</v>
      </c>
      <c r="I1103" s="2" t="s">
        <v>22</v>
      </c>
      <c r="J1103" s="2">
        <v>1</v>
      </c>
      <c r="K1103" s="2">
        <v>3128</v>
      </c>
      <c r="L1103" s="2">
        <v>0</v>
      </c>
      <c r="M1103" s="2">
        <v>2271.673928270397</v>
      </c>
      <c r="N1103" s="2">
        <v>2979.04</v>
      </c>
      <c r="O1103" s="2">
        <v>148.96</v>
      </c>
      <c r="P1103" s="2">
        <v>3128</v>
      </c>
      <c r="Q1103" s="2" t="s">
        <v>44</v>
      </c>
      <c r="R1103" s="2"/>
      <c r="S1103" t="str">
        <f>VLOOKUP(B1103,CASOPOInvCL!$B$1:$D$1600,1,FALSE)</f>
        <v>SO18378</v>
      </c>
      <c r="T1103">
        <f t="shared" si="17"/>
        <v>12</v>
      </c>
    </row>
    <row r="1104" spans="1:20" x14ac:dyDescent="0.25">
      <c r="A1104" s="2">
        <v>0</v>
      </c>
      <c r="B1104" s="2" t="s">
        <v>6239</v>
      </c>
      <c r="C1104" s="2" t="s">
        <v>6240</v>
      </c>
      <c r="D1104" s="2" t="s">
        <v>3410</v>
      </c>
      <c r="E1104" s="3">
        <v>45999.584340277783</v>
      </c>
      <c r="F1104" s="3">
        <v>46006.325613425928</v>
      </c>
      <c r="G1104" s="4">
        <v>46132</v>
      </c>
      <c r="H1104" s="2" t="s">
        <v>36</v>
      </c>
      <c r="I1104" s="2" t="s">
        <v>22</v>
      </c>
      <c r="J1104" s="2">
        <v>1</v>
      </c>
      <c r="K1104" s="2">
        <v>1530.9</v>
      </c>
      <c r="L1104" s="2">
        <v>0</v>
      </c>
      <c r="M1104" s="2">
        <v>1112.0611029846821</v>
      </c>
      <c r="N1104" s="2">
        <v>1458</v>
      </c>
      <c r="O1104" s="2">
        <v>72.900000000000006</v>
      </c>
      <c r="P1104" s="2">
        <v>1530.9</v>
      </c>
      <c r="Q1104" s="2" t="s">
        <v>29</v>
      </c>
      <c r="R1104" s="2"/>
      <c r="S1104" t="str">
        <f>VLOOKUP(B1104,CASOPOInvCL!$B$1:$D$1600,1,FALSE)</f>
        <v>SO18380</v>
      </c>
      <c r="T1104">
        <f t="shared" si="17"/>
        <v>12</v>
      </c>
    </row>
    <row r="1105" spans="1:20" x14ac:dyDescent="0.25">
      <c r="A1105" s="2">
        <v>0</v>
      </c>
      <c r="B1105" s="2" t="s">
        <v>6241</v>
      </c>
      <c r="C1105" s="2" t="s">
        <v>6242</v>
      </c>
      <c r="D1105" s="2" t="s">
        <v>146</v>
      </c>
      <c r="E1105" s="3">
        <v>45999.765439814822</v>
      </c>
      <c r="F1105" s="3">
        <v>46002.614594907413</v>
      </c>
      <c r="G1105" s="4">
        <v>46044</v>
      </c>
      <c r="H1105" s="2" t="s">
        <v>36</v>
      </c>
      <c r="I1105" s="2" t="s">
        <v>22</v>
      </c>
      <c r="J1105" s="2">
        <v>1</v>
      </c>
      <c r="K1105" s="2">
        <v>1006.02</v>
      </c>
      <c r="L1105" s="2">
        <v>0</v>
      </c>
      <c r="M1105" s="2">
        <v>730.61042369519976</v>
      </c>
      <c r="N1105" s="2">
        <v>958.11</v>
      </c>
      <c r="O1105" s="2">
        <v>47.91</v>
      </c>
      <c r="P1105" s="2">
        <v>1006.02</v>
      </c>
      <c r="Q1105" s="2" t="s">
        <v>29</v>
      </c>
      <c r="R1105" s="2"/>
      <c r="S1105" t="str">
        <f>VLOOKUP(B1105,CASOPOInvCL!$B$1:$D$1600,1,FALSE)</f>
        <v>SO18381</v>
      </c>
      <c r="T1105">
        <f t="shared" si="17"/>
        <v>12</v>
      </c>
    </row>
    <row r="1106" spans="1:20" x14ac:dyDescent="0.25">
      <c r="A1106" s="2">
        <v>1</v>
      </c>
      <c r="B1106" s="2" t="s">
        <v>6243</v>
      </c>
      <c r="C1106" s="2" t="s">
        <v>6074</v>
      </c>
      <c r="D1106" s="2" t="s">
        <v>509</v>
      </c>
      <c r="E1106" s="3">
        <v>46000.467442129629</v>
      </c>
      <c r="F1106" s="3">
        <v>46009.45621527778</v>
      </c>
      <c r="G1106" s="4">
        <v>46014</v>
      </c>
      <c r="H1106" s="2" t="s">
        <v>74</v>
      </c>
      <c r="I1106" s="2" t="s">
        <v>22</v>
      </c>
      <c r="J1106" s="2">
        <v>1</v>
      </c>
      <c r="K1106" s="2">
        <v>3024.57</v>
      </c>
      <c r="L1106" s="2">
        <v>0</v>
      </c>
      <c r="M1106" s="2">
        <v>2197.5007878411839</v>
      </c>
      <c r="N1106" s="2">
        <v>2880.54</v>
      </c>
      <c r="O1106" s="2">
        <v>144.03</v>
      </c>
      <c r="P1106" s="2">
        <v>3024.57</v>
      </c>
      <c r="Q1106" s="2" t="s">
        <v>44</v>
      </c>
      <c r="R1106" s="2"/>
      <c r="S1106" t="str">
        <f>VLOOKUP(B1106,CASOPOInvCL!$B$1:$D$1600,1,FALSE)</f>
        <v>SO18383</v>
      </c>
      <c r="T1106">
        <f t="shared" si="17"/>
        <v>12</v>
      </c>
    </row>
    <row r="1107" spans="1:20" x14ac:dyDescent="0.25">
      <c r="A1107" s="2">
        <v>0</v>
      </c>
      <c r="B1107" s="2" t="s">
        <v>6244</v>
      </c>
      <c r="C1107" s="2" t="s">
        <v>6245</v>
      </c>
      <c r="D1107" s="2" t="s">
        <v>98</v>
      </c>
      <c r="E1107" s="3">
        <v>46000.563958333332</v>
      </c>
      <c r="F1107" s="3">
        <v>46000.564097222217</v>
      </c>
      <c r="G1107" s="4">
        <v>46003</v>
      </c>
      <c r="H1107" s="2" t="s">
        <v>40</v>
      </c>
      <c r="I1107" s="2" t="s">
        <v>22</v>
      </c>
      <c r="J1107" s="2">
        <v>1</v>
      </c>
      <c r="K1107" s="2">
        <v>2603.27</v>
      </c>
      <c r="L1107" s="2">
        <v>0</v>
      </c>
      <c r="M1107" s="2">
        <v>1881.7095708662609</v>
      </c>
      <c r="N1107" s="2">
        <v>2303.7800000000002</v>
      </c>
      <c r="O1107" s="2">
        <v>299.49</v>
      </c>
      <c r="P1107" s="2">
        <v>2603.27</v>
      </c>
      <c r="Q1107" s="2" t="s">
        <v>23</v>
      </c>
      <c r="R1107" s="2"/>
      <c r="S1107" t="str">
        <f>VLOOKUP(B1107,CASOPOInvCL!$B$1:$D$1600,1,FALSE)</f>
        <v>SO18384</v>
      </c>
      <c r="T1107">
        <f t="shared" si="17"/>
        <v>12</v>
      </c>
    </row>
    <row r="1108" spans="1:20" x14ac:dyDescent="0.25">
      <c r="A1108" s="2">
        <v>1</v>
      </c>
      <c r="B1108" s="2" t="s">
        <v>6246</v>
      </c>
      <c r="C1108" s="2" t="s">
        <v>6004</v>
      </c>
      <c r="D1108" s="2" t="s">
        <v>35</v>
      </c>
      <c r="E1108" s="3">
        <v>46000.614212962973</v>
      </c>
      <c r="F1108" s="3">
        <v>46000.614490740743</v>
      </c>
      <c r="G1108" s="4">
        <v>46007</v>
      </c>
      <c r="H1108" s="2" t="s">
        <v>36</v>
      </c>
      <c r="I1108" s="2" t="s">
        <v>22</v>
      </c>
      <c r="J1108" s="2">
        <v>1</v>
      </c>
      <c r="K1108" s="2">
        <v>878.69</v>
      </c>
      <c r="L1108" s="2">
        <v>0</v>
      </c>
      <c r="M1108" s="2">
        <v>635.13941420769856</v>
      </c>
      <c r="N1108" s="2">
        <v>836.85</v>
      </c>
      <c r="O1108" s="2">
        <v>41.84</v>
      </c>
      <c r="P1108" s="2">
        <v>878.69</v>
      </c>
      <c r="Q1108" s="2" t="s">
        <v>44</v>
      </c>
      <c r="R1108" s="2"/>
      <c r="S1108" t="str">
        <f>VLOOKUP(B1108,CASOPOInvCL!$B$1:$D$1600,1,FALSE)</f>
        <v>SO18385</v>
      </c>
      <c r="T1108">
        <f t="shared" si="17"/>
        <v>12</v>
      </c>
    </row>
    <row r="1109" spans="1:20" x14ac:dyDescent="0.25">
      <c r="A1109" s="2">
        <v>0</v>
      </c>
      <c r="B1109" s="2" t="s">
        <v>6247</v>
      </c>
      <c r="C1109" s="2" t="s">
        <v>6248</v>
      </c>
      <c r="D1109" s="2" t="s">
        <v>20</v>
      </c>
      <c r="E1109" s="3">
        <v>46001.452245370368</v>
      </c>
      <c r="F1109" s="3">
        <v>46001.452326388891</v>
      </c>
      <c r="G1109" s="4">
        <v>46085</v>
      </c>
      <c r="H1109" s="2" t="s">
        <v>21</v>
      </c>
      <c r="I1109" s="2" t="s">
        <v>22</v>
      </c>
      <c r="J1109" s="2">
        <v>1</v>
      </c>
      <c r="K1109" s="2">
        <v>5085.2700000000004</v>
      </c>
      <c r="L1109" s="2">
        <v>0</v>
      </c>
      <c r="M1109" s="2">
        <v>3675.4738016684319</v>
      </c>
      <c r="N1109" s="2">
        <v>4843.1099999999997</v>
      </c>
      <c r="O1109" s="2">
        <v>242.16</v>
      </c>
      <c r="P1109" s="2">
        <v>5085.2700000000004</v>
      </c>
      <c r="Q1109" s="2" t="s">
        <v>29</v>
      </c>
      <c r="R1109" s="2"/>
      <c r="S1109" t="str">
        <f>VLOOKUP(B1109,CASOPOInvCL!$B$1:$D$1600,1,FALSE)</f>
        <v>SO18388</v>
      </c>
      <c r="T1109">
        <f t="shared" si="17"/>
        <v>12</v>
      </c>
    </row>
    <row r="1110" spans="1:20" x14ac:dyDescent="0.25">
      <c r="A1110" s="2">
        <v>1</v>
      </c>
      <c r="B1110" s="2" t="s">
        <v>6249</v>
      </c>
      <c r="C1110" s="2" t="s">
        <v>6009</v>
      </c>
      <c r="D1110" s="2" t="s">
        <v>20</v>
      </c>
      <c r="E1110" s="3">
        <v>46001.492986111109</v>
      </c>
      <c r="F1110" s="3">
        <v>46002.54515046296</v>
      </c>
      <c r="G1110" s="4">
        <v>46005</v>
      </c>
      <c r="H1110" s="2" t="s">
        <v>21</v>
      </c>
      <c r="I1110" s="2" t="s">
        <v>22</v>
      </c>
      <c r="J1110" s="2">
        <v>1</v>
      </c>
      <c r="K1110" s="2">
        <v>418.03</v>
      </c>
      <c r="L1110" s="2">
        <v>0</v>
      </c>
      <c r="M1110" s="2">
        <v>303.58946682700582</v>
      </c>
      <c r="N1110" s="2">
        <v>398.12</v>
      </c>
      <c r="O1110" s="2">
        <v>19.91</v>
      </c>
      <c r="P1110" s="2">
        <v>418.03</v>
      </c>
      <c r="Q1110" s="2" t="s">
        <v>44</v>
      </c>
      <c r="R1110" s="2"/>
      <c r="S1110" t="str">
        <f>VLOOKUP(B1110,CASOPOInvCL!$B$1:$D$1600,1,FALSE)</f>
        <v>SO18389</v>
      </c>
      <c r="T1110">
        <f t="shared" si="17"/>
        <v>12</v>
      </c>
    </row>
    <row r="1111" spans="1:20" x14ac:dyDescent="0.25">
      <c r="A1111" s="2">
        <v>1</v>
      </c>
      <c r="B1111" s="2" t="s">
        <v>6250</v>
      </c>
      <c r="C1111" s="2" t="s">
        <v>6035</v>
      </c>
      <c r="D1111" s="2" t="s">
        <v>77</v>
      </c>
      <c r="E1111" s="3">
        <v>46001.559606481482</v>
      </c>
      <c r="F1111" s="3">
        <v>46007.446099537039</v>
      </c>
      <c r="G1111" s="4">
        <v>46013</v>
      </c>
      <c r="H1111" s="2" t="s">
        <v>36</v>
      </c>
      <c r="I1111" s="2" t="s">
        <v>22</v>
      </c>
      <c r="J1111" s="2">
        <v>1</v>
      </c>
      <c r="K1111" s="2">
        <v>367.91</v>
      </c>
      <c r="L1111" s="2">
        <v>0</v>
      </c>
      <c r="M1111" s="2">
        <v>267.58481294991691</v>
      </c>
      <c r="N1111" s="2">
        <v>350.39</v>
      </c>
      <c r="O1111" s="2">
        <v>17.52</v>
      </c>
      <c r="P1111" s="2">
        <v>367.91</v>
      </c>
      <c r="Q1111" s="2" t="s">
        <v>44</v>
      </c>
      <c r="R1111" s="2"/>
      <c r="S1111" t="str">
        <f>VLOOKUP(B1111,CASOPOInvCL!$B$1:$D$1600,1,FALSE)</f>
        <v>SO18392</v>
      </c>
      <c r="T1111">
        <f t="shared" si="17"/>
        <v>12</v>
      </c>
    </row>
    <row r="1112" spans="1:20" x14ac:dyDescent="0.25">
      <c r="A1112" s="2">
        <v>0</v>
      </c>
      <c r="B1112" s="2" t="s">
        <v>6251</v>
      </c>
      <c r="C1112" s="2" t="s">
        <v>6252</v>
      </c>
      <c r="D1112" s="2" t="s">
        <v>129</v>
      </c>
      <c r="E1112" s="3">
        <v>46001.707303240742</v>
      </c>
      <c r="F1112" s="3">
        <v>46001.707314814812</v>
      </c>
      <c r="G1112" s="4">
        <v>46053</v>
      </c>
      <c r="H1112" s="2" t="s">
        <v>130</v>
      </c>
      <c r="I1112" s="2" t="s">
        <v>51</v>
      </c>
      <c r="J1112" s="2">
        <v>0.72282535844006246</v>
      </c>
      <c r="K1112" s="2">
        <v>15909.79047112885</v>
      </c>
      <c r="L1112" s="2">
        <v>0</v>
      </c>
      <c r="M1112" s="2">
        <v>11500</v>
      </c>
      <c r="N1112" s="2">
        <v>11500</v>
      </c>
      <c r="O1112" s="2"/>
      <c r="P1112" s="2">
        <v>11500</v>
      </c>
      <c r="Q1112" s="2" t="s">
        <v>29</v>
      </c>
      <c r="R1112" s="2"/>
      <c r="S1112" t="str">
        <f>VLOOKUP(B1112,CASOPOInvCL!$B$1:$D$1600,1,FALSE)</f>
        <v>SO18395</v>
      </c>
      <c r="T1112">
        <f t="shared" si="17"/>
        <v>12</v>
      </c>
    </row>
    <row r="1113" spans="1:20" x14ac:dyDescent="0.25">
      <c r="A1113" s="2">
        <v>1</v>
      </c>
      <c r="B1113" s="2" t="s">
        <v>6253</v>
      </c>
      <c r="C1113" s="2" t="s">
        <v>6060</v>
      </c>
      <c r="D1113" s="2" t="s">
        <v>1881</v>
      </c>
      <c r="E1113" s="3">
        <v>46002.493900462963</v>
      </c>
      <c r="F1113" s="3">
        <v>46006.417094907411</v>
      </c>
      <c r="G1113" s="2"/>
      <c r="H1113" s="2" t="s">
        <v>40</v>
      </c>
      <c r="I1113" s="2" t="s">
        <v>22</v>
      </c>
      <c r="J1113" s="2">
        <v>1</v>
      </c>
      <c r="K1113" s="2">
        <v>1434.24</v>
      </c>
      <c r="L1113" s="2">
        <v>0</v>
      </c>
      <c r="M1113" s="2">
        <v>1041.8463102389121</v>
      </c>
      <c r="N1113" s="2">
        <v>1269.24</v>
      </c>
      <c r="O1113" s="2">
        <v>165</v>
      </c>
      <c r="P1113" s="2">
        <v>1434.24</v>
      </c>
      <c r="Q1113" s="2" t="s">
        <v>29</v>
      </c>
      <c r="R1113" s="2"/>
      <c r="S1113" t="str">
        <f>VLOOKUP(B1113,CASOPOInvCL!$B$1:$D$1600,1,FALSE)</f>
        <v>SO18402</v>
      </c>
      <c r="T1113">
        <f t="shared" si="17"/>
        <v>12</v>
      </c>
    </row>
    <row r="1114" spans="1:20" x14ac:dyDescent="0.25">
      <c r="A1114" s="2">
        <v>0</v>
      </c>
      <c r="B1114" s="2" t="s">
        <v>6254</v>
      </c>
      <c r="C1114" s="2" t="s">
        <v>6255</v>
      </c>
      <c r="D1114" s="2" t="s">
        <v>271</v>
      </c>
      <c r="E1114" s="3">
        <v>46002.734050925923</v>
      </c>
      <c r="F1114" s="3">
        <v>46003.422615740739</v>
      </c>
      <c r="G1114" s="4">
        <v>46007</v>
      </c>
      <c r="H1114" s="2" t="s">
        <v>74</v>
      </c>
      <c r="I1114" s="2" t="s">
        <v>22</v>
      </c>
      <c r="J1114" s="2">
        <v>1</v>
      </c>
      <c r="K1114" s="2">
        <v>1006.1</v>
      </c>
      <c r="L1114" s="2">
        <v>0</v>
      </c>
      <c r="M1114" s="2">
        <v>729.81785253018995</v>
      </c>
      <c r="N1114" s="2">
        <v>958.19</v>
      </c>
      <c r="O1114" s="2">
        <v>47.91</v>
      </c>
      <c r="P1114" s="2">
        <v>1006.1</v>
      </c>
      <c r="Q1114" s="2" t="s">
        <v>23</v>
      </c>
      <c r="R1114" s="2"/>
      <c r="S1114" t="str">
        <f>VLOOKUP(B1114,CASOPOInvCL!$B$1:$D$1600,1,FALSE)</f>
        <v>SO18411</v>
      </c>
      <c r="T1114">
        <f t="shared" si="17"/>
        <v>12</v>
      </c>
    </row>
    <row r="1115" spans="1:20" x14ac:dyDescent="0.25">
      <c r="A1115" s="2">
        <v>1</v>
      </c>
      <c r="B1115" s="2" t="s">
        <v>6256</v>
      </c>
      <c r="C1115" s="2" t="s">
        <v>6049</v>
      </c>
      <c r="D1115" s="2" t="s">
        <v>612</v>
      </c>
      <c r="E1115" s="3">
        <v>46003.436909722222</v>
      </c>
      <c r="F1115" s="3">
        <v>46003.790081018517</v>
      </c>
      <c r="G1115" s="4">
        <v>46029</v>
      </c>
      <c r="H1115" s="2" t="s">
        <v>21</v>
      </c>
      <c r="I1115" s="2" t="s">
        <v>22</v>
      </c>
      <c r="J1115" s="2">
        <v>1</v>
      </c>
      <c r="K1115" s="2">
        <v>1065.01</v>
      </c>
      <c r="L1115" s="2">
        <v>0</v>
      </c>
      <c r="M1115" s="2">
        <v>772.55075153879091</v>
      </c>
      <c r="N1115" s="2">
        <v>1014.3</v>
      </c>
      <c r="O1115" s="2">
        <v>50.71</v>
      </c>
      <c r="P1115" s="2">
        <v>1065.01</v>
      </c>
      <c r="Q1115" s="2" t="s">
        <v>44</v>
      </c>
      <c r="R1115" s="2"/>
      <c r="S1115" t="str">
        <f>VLOOKUP(B1115,CASOPOInvCL!$B$1:$D$1600,1,FALSE)</f>
        <v>SO18413</v>
      </c>
      <c r="T1115">
        <f t="shared" si="17"/>
        <v>12</v>
      </c>
    </row>
    <row r="1116" spans="1:20" x14ac:dyDescent="0.25">
      <c r="A1116" s="2">
        <v>1</v>
      </c>
      <c r="B1116" s="2" t="s">
        <v>6257</v>
      </c>
      <c r="C1116" s="2" t="s">
        <v>6258</v>
      </c>
      <c r="D1116" s="2" t="s">
        <v>242</v>
      </c>
      <c r="E1116" s="3">
        <v>46003.593136574083</v>
      </c>
      <c r="F1116" s="3">
        <v>46007.746712962973</v>
      </c>
      <c r="G1116" s="4">
        <v>46031</v>
      </c>
      <c r="H1116" s="2" t="s">
        <v>74</v>
      </c>
      <c r="I1116" s="2" t="s">
        <v>22</v>
      </c>
      <c r="J1116" s="2">
        <v>1</v>
      </c>
      <c r="K1116" s="2">
        <v>173.13</v>
      </c>
      <c r="L1116" s="2">
        <v>0</v>
      </c>
      <c r="M1116" s="2">
        <v>125.9192701095896</v>
      </c>
      <c r="N1116" s="2">
        <v>164.89</v>
      </c>
      <c r="O1116" s="2">
        <v>8.24</v>
      </c>
      <c r="P1116" s="2">
        <v>173.13</v>
      </c>
      <c r="Q1116" s="2" t="s">
        <v>44</v>
      </c>
      <c r="R1116" s="2"/>
      <c r="S1116" t="str">
        <f>VLOOKUP(B1116,CASOPOInvCL!$B$1:$D$1600,1,FALSE)</f>
        <v>SO18416</v>
      </c>
      <c r="T1116">
        <f t="shared" si="17"/>
        <v>12</v>
      </c>
    </row>
    <row r="1117" spans="1:20" x14ac:dyDescent="0.25">
      <c r="A1117" s="2">
        <v>1</v>
      </c>
      <c r="B1117" s="2" t="s">
        <v>6259</v>
      </c>
      <c r="C1117" s="2" t="s">
        <v>6033</v>
      </c>
      <c r="D1117" s="2" t="s">
        <v>465</v>
      </c>
      <c r="E1117" s="3">
        <v>46003.744247685187</v>
      </c>
      <c r="F1117" s="3">
        <v>46003.748564814807</v>
      </c>
      <c r="G1117" s="4">
        <v>46087</v>
      </c>
      <c r="H1117" s="2" t="s">
        <v>21</v>
      </c>
      <c r="I1117" s="2" t="s">
        <v>22</v>
      </c>
      <c r="J1117" s="2">
        <v>1</v>
      </c>
      <c r="K1117" s="2">
        <v>6849.11</v>
      </c>
      <c r="L1117" s="2">
        <v>0</v>
      </c>
      <c r="M1117" s="2">
        <v>4968.296145455769</v>
      </c>
      <c r="N1117" s="2">
        <v>6061.16</v>
      </c>
      <c r="O1117" s="2">
        <v>787.95</v>
      </c>
      <c r="P1117" s="2">
        <v>6849.11</v>
      </c>
      <c r="Q1117" s="2" t="s">
        <v>29</v>
      </c>
      <c r="R1117" s="2"/>
      <c r="S1117" t="str">
        <f>VLOOKUP(B1117,CASOPOInvCL!$B$1:$D$1600,1,FALSE)</f>
        <v>SO18417</v>
      </c>
      <c r="T1117">
        <f t="shared" si="17"/>
        <v>12</v>
      </c>
    </row>
    <row r="1118" spans="1:20" ht="30" x14ac:dyDescent="0.25">
      <c r="A1118" s="2">
        <v>0</v>
      </c>
      <c r="B1118" s="2" t="s">
        <v>6260</v>
      </c>
      <c r="C1118" s="2" t="s">
        <v>6261</v>
      </c>
      <c r="D1118" s="2" t="s">
        <v>159</v>
      </c>
      <c r="E1118" s="3">
        <v>46006.373541666668</v>
      </c>
      <c r="F1118" s="3">
        <v>46006.391423611109</v>
      </c>
      <c r="G1118" s="4">
        <v>46132</v>
      </c>
      <c r="H1118" s="2" t="s">
        <v>40</v>
      </c>
      <c r="I1118" s="2" t="s">
        <v>51</v>
      </c>
      <c r="J1118" s="2">
        <v>0.7258314283835291</v>
      </c>
      <c r="K1118" s="2">
        <v>45786.554150751821</v>
      </c>
      <c r="L1118" s="2">
        <v>0</v>
      </c>
      <c r="M1118" s="2">
        <v>33233.32</v>
      </c>
      <c r="N1118" s="2">
        <v>33233.32</v>
      </c>
      <c r="O1118" s="2"/>
      <c r="P1118" s="2">
        <v>33233.32</v>
      </c>
      <c r="Q1118" s="2" t="s">
        <v>23</v>
      </c>
      <c r="R1118" s="2"/>
      <c r="S1118" t="str">
        <f>VLOOKUP(B1118,CASOPOInvCL!$B$1:$D$1600,1,FALSE)</f>
        <v>SO18419</v>
      </c>
      <c r="T1118">
        <f t="shared" si="17"/>
        <v>12</v>
      </c>
    </row>
    <row r="1119" spans="1:20" x14ac:dyDescent="0.25">
      <c r="A1119" s="2">
        <v>1</v>
      </c>
      <c r="B1119" s="2" t="s">
        <v>6262</v>
      </c>
      <c r="C1119" s="2" t="s">
        <v>6161</v>
      </c>
      <c r="D1119" s="2" t="s">
        <v>20</v>
      </c>
      <c r="E1119" s="3">
        <v>46006.405289351853</v>
      </c>
      <c r="F1119" s="3">
        <v>46006.484837962962</v>
      </c>
      <c r="G1119" s="4">
        <v>46090</v>
      </c>
      <c r="H1119" s="2" t="s">
        <v>21</v>
      </c>
      <c r="I1119" s="2" t="s">
        <v>22</v>
      </c>
      <c r="J1119" s="2">
        <v>1</v>
      </c>
      <c r="K1119" s="2">
        <v>1506.2</v>
      </c>
      <c r="L1119" s="2">
        <v>0</v>
      </c>
      <c r="M1119" s="2">
        <v>1094.118775436363</v>
      </c>
      <c r="N1119" s="2">
        <v>1434.48</v>
      </c>
      <c r="O1119" s="2">
        <v>71.72</v>
      </c>
      <c r="P1119" s="2">
        <v>1506.2</v>
      </c>
      <c r="Q1119" s="2" t="s">
        <v>44</v>
      </c>
      <c r="R1119" s="2"/>
      <c r="S1119" t="str">
        <f>VLOOKUP(B1119,CASOPOInvCL!$B$1:$D$1600,1,FALSE)</f>
        <v>SO18420</v>
      </c>
      <c r="T1119">
        <f t="shared" si="17"/>
        <v>12</v>
      </c>
    </row>
    <row r="1120" spans="1:20" x14ac:dyDescent="0.25">
      <c r="A1120" s="2">
        <v>0</v>
      </c>
      <c r="B1120" s="2" t="s">
        <v>6263</v>
      </c>
      <c r="C1120" s="2" t="s">
        <v>6264</v>
      </c>
      <c r="D1120" s="2" t="s">
        <v>64</v>
      </c>
      <c r="E1120" s="3">
        <v>46006.51871527778</v>
      </c>
      <c r="F1120" s="3">
        <v>46006.518796296303</v>
      </c>
      <c r="G1120" s="4">
        <v>46007</v>
      </c>
      <c r="H1120" s="2" t="s">
        <v>21</v>
      </c>
      <c r="I1120" s="2" t="s">
        <v>22</v>
      </c>
      <c r="J1120" s="2">
        <v>1</v>
      </c>
      <c r="K1120" s="2">
        <v>242.81</v>
      </c>
      <c r="L1120" s="2">
        <v>0</v>
      </c>
      <c r="M1120" s="2">
        <v>176.37961749017609</v>
      </c>
      <c r="N1120" s="2">
        <v>214.88</v>
      </c>
      <c r="O1120" s="2">
        <v>27.93</v>
      </c>
      <c r="P1120" s="2">
        <v>242.81</v>
      </c>
      <c r="Q1120" s="2" t="s">
        <v>23</v>
      </c>
      <c r="R1120" s="2"/>
      <c r="S1120" t="str">
        <f>VLOOKUP(B1120,CASOPOInvCL!$B$1:$D$1600,1,FALSE)</f>
        <v>SO18423</v>
      </c>
      <c r="T1120">
        <f t="shared" si="17"/>
        <v>12</v>
      </c>
    </row>
    <row r="1121" spans="1:20" x14ac:dyDescent="0.25">
      <c r="A1121" s="2">
        <v>1</v>
      </c>
      <c r="B1121" s="2" t="s">
        <v>6265</v>
      </c>
      <c r="C1121" s="2" t="s">
        <v>6083</v>
      </c>
      <c r="D1121" s="2" t="s">
        <v>192</v>
      </c>
      <c r="E1121" s="3">
        <v>46006.562986111108</v>
      </c>
      <c r="F1121" s="3">
        <v>46006.562986111108</v>
      </c>
      <c r="G1121" s="4">
        <v>46014</v>
      </c>
      <c r="H1121" s="2" t="s">
        <v>67</v>
      </c>
      <c r="I1121" s="2" t="s">
        <v>51</v>
      </c>
      <c r="J1121" s="2">
        <v>0.7258314283835291</v>
      </c>
      <c r="K1121" s="2">
        <v>11928.54106535748</v>
      </c>
      <c r="L1121" s="2">
        <v>0</v>
      </c>
      <c r="M1121" s="2">
        <v>8658.11</v>
      </c>
      <c r="N1121" s="2">
        <v>8658.11</v>
      </c>
      <c r="O1121" s="2"/>
      <c r="P1121" s="2">
        <v>8658.11</v>
      </c>
      <c r="Q1121" s="2" t="s">
        <v>44</v>
      </c>
      <c r="R1121" s="2"/>
      <c r="S1121" t="str">
        <f>VLOOKUP(B1121,CASOPOInvCL!$B$1:$D$1600,1,FALSE)</f>
        <v>SO18424</v>
      </c>
      <c r="T1121">
        <f t="shared" si="17"/>
        <v>12</v>
      </c>
    </row>
    <row r="1122" spans="1:20" ht="30" x14ac:dyDescent="0.25">
      <c r="A1122" s="2">
        <v>1</v>
      </c>
      <c r="B1122" s="2" t="s">
        <v>6266</v>
      </c>
      <c r="C1122" s="2" t="s">
        <v>6037</v>
      </c>
      <c r="D1122" s="2" t="s">
        <v>4117</v>
      </c>
      <c r="E1122" s="3">
        <v>46006.579513888893</v>
      </c>
      <c r="F1122" s="3">
        <v>46006.595254629632</v>
      </c>
      <c r="G1122" s="4">
        <v>46006</v>
      </c>
      <c r="H1122" s="2" t="s">
        <v>71</v>
      </c>
      <c r="I1122" s="2" t="s">
        <v>22</v>
      </c>
      <c r="J1122" s="2">
        <v>1</v>
      </c>
      <c r="K1122" s="2">
        <v>471.22</v>
      </c>
      <c r="L1122" s="2">
        <v>0</v>
      </c>
      <c r="M1122" s="2">
        <v>342.29893066068428</v>
      </c>
      <c r="N1122" s="2">
        <v>448.78</v>
      </c>
      <c r="O1122" s="2">
        <v>22.44</v>
      </c>
      <c r="P1122" s="2">
        <v>471.22</v>
      </c>
      <c r="Q1122" s="2" t="s">
        <v>44</v>
      </c>
      <c r="R1122" s="2"/>
      <c r="S1122" t="str">
        <f>VLOOKUP(B1122,CASOPOInvCL!$B$1:$D$1600,1,FALSE)</f>
        <v>SO18425</v>
      </c>
      <c r="T1122">
        <f t="shared" si="17"/>
        <v>12</v>
      </c>
    </row>
    <row r="1123" spans="1:20" x14ac:dyDescent="0.25">
      <c r="A1123" s="2">
        <v>1</v>
      </c>
      <c r="B1123" s="2" t="s">
        <v>6267</v>
      </c>
      <c r="C1123" s="2" t="s">
        <v>6081</v>
      </c>
      <c r="D1123" s="2" t="s">
        <v>192</v>
      </c>
      <c r="E1123" s="3">
        <v>46007.518275462957</v>
      </c>
      <c r="F1123" s="3">
        <v>46007.602627314824</v>
      </c>
      <c r="G1123" s="4">
        <v>46010</v>
      </c>
      <c r="H1123" s="2" t="s">
        <v>40</v>
      </c>
      <c r="I1123" s="2" t="s">
        <v>51</v>
      </c>
      <c r="J1123" s="2">
        <v>0.72641002219915185</v>
      </c>
      <c r="K1123" s="2">
        <v>6547.2114297125026</v>
      </c>
      <c r="L1123" s="2">
        <v>0</v>
      </c>
      <c r="M1123" s="2">
        <v>4755.96</v>
      </c>
      <c r="N1123" s="2">
        <v>4755.96</v>
      </c>
      <c r="O1123" s="2"/>
      <c r="P1123" s="2">
        <v>4755.96</v>
      </c>
      <c r="Q1123" s="2" t="s">
        <v>44</v>
      </c>
      <c r="R1123" s="2"/>
      <c r="S1123" t="str">
        <f>VLOOKUP(B1123,CASOPOInvCL!$B$1:$D$1600,1,FALSE)</f>
        <v>SO18429</v>
      </c>
      <c r="T1123">
        <f t="shared" si="17"/>
        <v>12</v>
      </c>
    </row>
    <row r="1124" spans="1:20" x14ac:dyDescent="0.25">
      <c r="A1124" s="2">
        <v>1</v>
      </c>
      <c r="B1124" s="2" t="s">
        <v>6268</v>
      </c>
      <c r="C1124" s="2" t="s">
        <v>6062</v>
      </c>
      <c r="D1124" s="2" t="s">
        <v>171</v>
      </c>
      <c r="E1124" s="3">
        <v>46007.568923611107</v>
      </c>
      <c r="F1124" s="3">
        <v>46008.564328703702</v>
      </c>
      <c r="G1124" s="4">
        <v>46024</v>
      </c>
      <c r="H1124" s="2" t="s">
        <v>74</v>
      </c>
      <c r="I1124" s="2" t="s">
        <v>22</v>
      </c>
      <c r="J1124" s="2">
        <v>1</v>
      </c>
      <c r="K1124" s="2">
        <v>107.94</v>
      </c>
      <c r="L1124" s="2">
        <v>0</v>
      </c>
      <c r="M1124" s="2">
        <v>78.245352700321064</v>
      </c>
      <c r="N1124" s="2">
        <v>102.8</v>
      </c>
      <c r="O1124" s="2">
        <v>5.14</v>
      </c>
      <c r="P1124" s="2">
        <v>107.94</v>
      </c>
      <c r="Q1124" s="2" t="s">
        <v>44</v>
      </c>
      <c r="R1124" s="2"/>
      <c r="S1124" t="str">
        <f>VLOOKUP(B1124,CASOPOInvCL!$B$1:$D$1600,1,FALSE)</f>
        <v>SO18431</v>
      </c>
      <c r="T1124">
        <f t="shared" si="17"/>
        <v>12</v>
      </c>
    </row>
    <row r="1125" spans="1:20" x14ac:dyDescent="0.25">
      <c r="A1125" s="2">
        <v>1</v>
      </c>
      <c r="B1125" s="2" t="s">
        <v>6269</v>
      </c>
      <c r="C1125" s="2" t="s">
        <v>6163</v>
      </c>
      <c r="D1125" s="2" t="s">
        <v>86</v>
      </c>
      <c r="E1125" s="3">
        <v>46007.573946759258</v>
      </c>
      <c r="F1125" s="3">
        <v>46013.605254629627</v>
      </c>
      <c r="G1125" s="4">
        <v>46020</v>
      </c>
      <c r="H1125" s="2" t="s">
        <v>74</v>
      </c>
      <c r="I1125" s="2" t="s">
        <v>22</v>
      </c>
      <c r="J1125" s="2">
        <v>1</v>
      </c>
      <c r="K1125" s="2">
        <v>105</v>
      </c>
      <c r="L1125" s="2">
        <v>0</v>
      </c>
      <c r="M1125" s="2">
        <v>76.389850163842553</v>
      </c>
      <c r="N1125" s="2">
        <v>100</v>
      </c>
      <c r="O1125" s="2">
        <v>5</v>
      </c>
      <c r="P1125" s="2">
        <v>105</v>
      </c>
      <c r="Q1125" s="2" t="s">
        <v>44</v>
      </c>
      <c r="R1125" s="2"/>
      <c r="S1125" t="str">
        <f>VLOOKUP(B1125,CASOPOInvCL!$B$1:$D$1600,1,FALSE)</f>
        <v>SO18432</v>
      </c>
      <c r="T1125">
        <f t="shared" ref="T1125:T1151" si="18">MONTH(E1125)</f>
        <v>12</v>
      </c>
    </row>
    <row r="1126" spans="1:20" x14ac:dyDescent="0.25">
      <c r="A1126" s="2">
        <v>0</v>
      </c>
      <c r="B1126" s="2" t="s">
        <v>6270</v>
      </c>
      <c r="C1126" s="2" t="s">
        <v>6271</v>
      </c>
      <c r="D1126" s="2" t="s">
        <v>80</v>
      </c>
      <c r="E1126" s="3">
        <v>46007.582789351851</v>
      </c>
      <c r="F1126" s="3">
        <v>46007.7268287037</v>
      </c>
      <c r="G1126" s="4">
        <v>46091</v>
      </c>
      <c r="H1126" s="2" t="s">
        <v>21</v>
      </c>
      <c r="I1126" s="2" t="s">
        <v>51</v>
      </c>
      <c r="J1126" s="2">
        <v>0.72641002219915185</v>
      </c>
      <c r="K1126" s="2">
        <v>11122.850391765191</v>
      </c>
      <c r="L1126" s="2">
        <v>0</v>
      </c>
      <c r="M1126" s="2">
        <v>8079.75</v>
      </c>
      <c r="N1126" s="2">
        <v>7695</v>
      </c>
      <c r="O1126" s="2">
        <v>384.75</v>
      </c>
      <c r="P1126" s="2">
        <v>8079.75</v>
      </c>
      <c r="Q1126" s="2" t="s">
        <v>29</v>
      </c>
      <c r="R1126" s="2"/>
      <c r="S1126" t="str">
        <f>VLOOKUP(B1126,CASOPOInvCL!$B$1:$D$1600,1,FALSE)</f>
        <v>SO18433</v>
      </c>
      <c r="T1126">
        <f t="shared" si="18"/>
        <v>12</v>
      </c>
    </row>
    <row r="1127" spans="1:20" ht="45" x14ac:dyDescent="0.25">
      <c r="A1127" s="2">
        <v>2</v>
      </c>
      <c r="B1127" s="2" t="s">
        <v>6272</v>
      </c>
      <c r="C1127" s="2" t="s">
        <v>6273</v>
      </c>
      <c r="D1127" s="2" t="s">
        <v>6078</v>
      </c>
      <c r="E1127" s="3">
        <v>46007.603101851862</v>
      </c>
      <c r="F1127" s="3">
        <v>46022.476018518522</v>
      </c>
      <c r="G1127" s="4">
        <v>46027</v>
      </c>
      <c r="H1127" s="2" t="s">
        <v>21</v>
      </c>
      <c r="I1127" s="2" t="s">
        <v>51</v>
      </c>
      <c r="J1127" s="2">
        <v>0.73094557927967363</v>
      </c>
      <c r="K1127" s="2">
        <v>9008.3861051447602</v>
      </c>
      <c r="L1127" s="2">
        <v>0</v>
      </c>
      <c r="M1127" s="2">
        <v>6584.64</v>
      </c>
      <c r="N1127" s="2">
        <v>6584.64</v>
      </c>
      <c r="O1127" s="2"/>
      <c r="P1127" s="2">
        <v>6584.64</v>
      </c>
      <c r="Q1127" s="2" t="s">
        <v>44</v>
      </c>
      <c r="R1127" s="2"/>
      <c r="S1127" t="str">
        <f>VLOOKUP(B1127,CASOPOInvCL!$B$1:$D$1600,1,FALSE)</f>
        <v>SO18434</v>
      </c>
      <c r="T1127">
        <f t="shared" si="18"/>
        <v>12</v>
      </c>
    </row>
    <row r="1128" spans="1:20" ht="30" x14ac:dyDescent="0.25">
      <c r="A1128" s="2">
        <v>0</v>
      </c>
      <c r="B1128" s="2" t="s">
        <v>6274</v>
      </c>
      <c r="C1128" s="2" t="s">
        <v>6275</v>
      </c>
      <c r="D1128" s="2" t="s">
        <v>4117</v>
      </c>
      <c r="E1128" s="3">
        <v>46007.680451388893</v>
      </c>
      <c r="F1128" s="3">
        <v>46008.407349537039</v>
      </c>
      <c r="G1128" s="4">
        <v>46033</v>
      </c>
      <c r="H1128" s="2" t="s">
        <v>74</v>
      </c>
      <c r="I1128" s="2" t="s">
        <v>22</v>
      </c>
      <c r="J1128" s="2">
        <v>1</v>
      </c>
      <c r="K1128" s="2">
        <v>523.91</v>
      </c>
      <c r="L1128" s="2">
        <v>0</v>
      </c>
      <c r="M1128" s="2">
        <v>379.78064418403932</v>
      </c>
      <c r="N1128" s="2">
        <v>498.96</v>
      </c>
      <c r="O1128" s="2">
        <v>24.95</v>
      </c>
      <c r="P1128" s="2">
        <v>523.91</v>
      </c>
      <c r="Q1128" s="2" t="s">
        <v>29</v>
      </c>
      <c r="R1128" s="2"/>
      <c r="S1128" t="str">
        <f>VLOOKUP(B1128,CASOPOInvCL!$B$1:$D$1600,1,FALSE)</f>
        <v>SO18435</v>
      </c>
      <c r="T1128">
        <f t="shared" si="18"/>
        <v>12</v>
      </c>
    </row>
    <row r="1129" spans="1:20" x14ac:dyDescent="0.25">
      <c r="A1129" s="2">
        <v>0</v>
      </c>
      <c r="B1129" s="2" t="s">
        <v>6276</v>
      </c>
      <c r="C1129" s="2" t="s">
        <v>6277</v>
      </c>
      <c r="D1129" s="2" t="s">
        <v>141</v>
      </c>
      <c r="E1129" s="3">
        <v>46008.392974537041</v>
      </c>
      <c r="F1129" s="3">
        <v>46008.393680555557</v>
      </c>
      <c r="G1129" s="4">
        <v>46059</v>
      </c>
      <c r="H1129" s="2" t="s">
        <v>21</v>
      </c>
      <c r="I1129" s="2" t="s">
        <v>51</v>
      </c>
      <c r="J1129" s="2">
        <v>0.72641002219915185</v>
      </c>
      <c r="K1129" s="2">
        <v>1024.214943714014</v>
      </c>
      <c r="L1129" s="2">
        <v>0</v>
      </c>
      <c r="M1129" s="2">
        <v>744</v>
      </c>
      <c r="N1129" s="2">
        <v>744</v>
      </c>
      <c r="O1129" s="2"/>
      <c r="P1129" s="2">
        <v>744</v>
      </c>
      <c r="Q1129" s="2" t="s">
        <v>29</v>
      </c>
      <c r="R1129" s="2"/>
      <c r="S1129" t="str">
        <f>VLOOKUP(B1129,CASOPOInvCL!$B$1:$D$1600,1,FALSE)</f>
        <v>SO18436</v>
      </c>
      <c r="T1129">
        <f t="shared" si="18"/>
        <v>12</v>
      </c>
    </row>
    <row r="1130" spans="1:20" x14ac:dyDescent="0.25">
      <c r="A1130" s="2">
        <v>0</v>
      </c>
      <c r="B1130" s="2" t="s">
        <v>6278</v>
      </c>
      <c r="C1130" s="2" t="s">
        <v>6279</v>
      </c>
      <c r="D1130" s="2" t="s">
        <v>141</v>
      </c>
      <c r="E1130" s="3">
        <v>46008.399918981479</v>
      </c>
      <c r="F1130" s="3">
        <v>46008.399942129632</v>
      </c>
      <c r="G1130" s="4">
        <v>46059</v>
      </c>
      <c r="H1130" s="2" t="s">
        <v>21</v>
      </c>
      <c r="I1130" s="2" t="s">
        <v>51</v>
      </c>
      <c r="J1130" s="2">
        <v>0.72641002219915185</v>
      </c>
      <c r="K1130" s="2">
        <v>1024.214943714014</v>
      </c>
      <c r="L1130" s="2">
        <v>0</v>
      </c>
      <c r="M1130" s="2">
        <v>744</v>
      </c>
      <c r="N1130" s="2">
        <v>744</v>
      </c>
      <c r="O1130" s="2"/>
      <c r="P1130" s="2">
        <v>744</v>
      </c>
      <c r="Q1130" s="2" t="s">
        <v>29</v>
      </c>
      <c r="R1130" s="2"/>
      <c r="S1130" t="str">
        <f>VLOOKUP(B1130,CASOPOInvCL!$B$1:$D$1600,1,FALSE)</f>
        <v>SO18437</v>
      </c>
      <c r="T1130">
        <f t="shared" si="18"/>
        <v>12</v>
      </c>
    </row>
    <row r="1131" spans="1:20" x14ac:dyDescent="0.25">
      <c r="A1131" s="2">
        <v>0</v>
      </c>
      <c r="B1131" s="2" t="s">
        <v>6280</v>
      </c>
      <c r="C1131" s="2" t="s">
        <v>6281</v>
      </c>
      <c r="D1131" s="2" t="s">
        <v>1288</v>
      </c>
      <c r="E1131" s="3">
        <v>46008.528043981481</v>
      </c>
      <c r="F1131" s="3">
        <v>46009.378449074073</v>
      </c>
      <c r="G1131" s="4">
        <v>46093</v>
      </c>
      <c r="H1131" s="2" t="s">
        <v>40</v>
      </c>
      <c r="I1131" s="2" t="s">
        <v>51</v>
      </c>
      <c r="J1131" s="2">
        <v>0.72731051874077046</v>
      </c>
      <c r="K1131" s="2">
        <v>3586.446136536234</v>
      </c>
      <c r="L1131" s="2">
        <v>0</v>
      </c>
      <c r="M1131" s="2">
        <v>2608.46</v>
      </c>
      <c r="N1131" s="2">
        <v>2608.46</v>
      </c>
      <c r="O1131" s="2"/>
      <c r="P1131" s="2">
        <v>2608.46</v>
      </c>
      <c r="Q1131" s="2" t="s">
        <v>29</v>
      </c>
      <c r="R1131" s="2"/>
      <c r="S1131" t="str">
        <f>VLOOKUP(B1131,CASOPOInvCL!$B$1:$D$1600,1,FALSE)</f>
        <v>SO18440</v>
      </c>
      <c r="T1131">
        <f t="shared" si="18"/>
        <v>12</v>
      </c>
    </row>
    <row r="1132" spans="1:20" x14ac:dyDescent="0.25">
      <c r="A1132" s="2">
        <v>1</v>
      </c>
      <c r="B1132" s="2" t="s">
        <v>6282</v>
      </c>
      <c r="C1132" s="2" t="s">
        <v>6058</v>
      </c>
      <c r="D1132" s="2" t="s">
        <v>32</v>
      </c>
      <c r="E1132" s="3">
        <v>46008.749710648153</v>
      </c>
      <c r="F1132" s="3">
        <v>46008.749745370369</v>
      </c>
      <c r="G1132" s="4">
        <v>46009</v>
      </c>
      <c r="H1132" s="2" t="s">
        <v>21</v>
      </c>
      <c r="I1132" s="2" t="s">
        <v>22</v>
      </c>
      <c r="J1132" s="2">
        <v>1</v>
      </c>
      <c r="K1132" s="2">
        <v>219.41</v>
      </c>
      <c r="L1132" s="2">
        <v>0</v>
      </c>
      <c r="M1132" s="2">
        <v>159.04959084655769</v>
      </c>
      <c r="N1132" s="2">
        <v>194.17</v>
      </c>
      <c r="O1132" s="2">
        <v>25.24</v>
      </c>
      <c r="P1132" s="2">
        <v>219.41</v>
      </c>
      <c r="Q1132" s="2" t="s">
        <v>44</v>
      </c>
      <c r="R1132" s="2"/>
      <c r="S1132" t="str">
        <f>VLOOKUP(B1132,CASOPOInvCL!$B$1:$D$1600,1,FALSE)</f>
        <v>SO18444</v>
      </c>
      <c r="T1132">
        <f t="shared" si="18"/>
        <v>12</v>
      </c>
    </row>
    <row r="1133" spans="1:20" x14ac:dyDescent="0.25">
      <c r="A1133" s="2">
        <v>1</v>
      </c>
      <c r="B1133" s="2" t="s">
        <v>6283</v>
      </c>
      <c r="C1133" s="2" t="s">
        <v>6072</v>
      </c>
      <c r="D1133" s="2" t="s">
        <v>98</v>
      </c>
      <c r="E1133" s="3">
        <v>46009.619837962957</v>
      </c>
      <c r="F1133" s="3">
        <v>46013.660011574073</v>
      </c>
      <c r="G1133" s="2"/>
      <c r="H1133" s="2" t="s">
        <v>40</v>
      </c>
      <c r="I1133" s="2" t="s">
        <v>22</v>
      </c>
      <c r="J1133" s="2">
        <v>1</v>
      </c>
      <c r="K1133" s="2">
        <v>15547.2</v>
      </c>
      <c r="L1133" s="2">
        <v>0</v>
      </c>
      <c r="M1133" s="2">
        <v>11310.93598540279</v>
      </c>
      <c r="N1133" s="2">
        <v>13758.59</v>
      </c>
      <c r="O1133" s="2">
        <v>1788.61</v>
      </c>
      <c r="P1133" s="2">
        <v>15547.2</v>
      </c>
      <c r="Q1133" s="2" t="s">
        <v>29</v>
      </c>
      <c r="R1133" s="2"/>
      <c r="S1133" t="str">
        <f>VLOOKUP(B1133,CASOPOInvCL!$B$1:$D$1600,1,FALSE)</f>
        <v>SO18445</v>
      </c>
      <c r="T1133">
        <f t="shared" si="18"/>
        <v>12</v>
      </c>
    </row>
    <row r="1134" spans="1:20" x14ac:dyDescent="0.25">
      <c r="A1134" s="2">
        <v>0</v>
      </c>
      <c r="B1134" s="2" t="s">
        <v>6284</v>
      </c>
      <c r="C1134" s="2" t="s">
        <v>6285</v>
      </c>
      <c r="D1134" s="2" t="s">
        <v>20</v>
      </c>
      <c r="E1134" s="3">
        <v>46009.745555555557</v>
      </c>
      <c r="F1134" s="3">
        <v>46013.743113425917</v>
      </c>
      <c r="G1134" s="4">
        <v>46041</v>
      </c>
      <c r="H1134" s="2" t="s">
        <v>21</v>
      </c>
      <c r="I1134" s="2" t="s">
        <v>22</v>
      </c>
      <c r="J1134" s="2">
        <v>1</v>
      </c>
      <c r="K1134" s="2">
        <v>1465.82</v>
      </c>
      <c r="L1134" s="2">
        <v>0</v>
      </c>
      <c r="M1134" s="2">
        <v>1066.416858734892</v>
      </c>
      <c r="N1134" s="2">
        <v>1297.19</v>
      </c>
      <c r="O1134" s="2">
        <v>168.63</v>
      </c>
      <c r="P1134" s="2">
        <v>1465.82</v>
      </c>
      <c r="Q1134" s="2" t="s">
        <v>29</v>
      </c>
      <c r="R1134" s="2"/>
      <c r="S1134" t="str">
        <f>VLOOKUP(B1134,CASOPOInvCL!$B$1:$D$1600,1,FALSE)</f>
        <v>SO18446</v>
      </c>
      <c r="T1134">
        <f t="shared" si="18"/>
        <v>12</v>
      </c>
    </row>
    <row r="1135" spans="1:20" x14ac:dyDescent="0.25">
      <c r="A1135" s="2">
        <v>1</v>
      </c>
      <c r="B1135" s="2" t="s">
        <v>6286</v>
      </c>
      <c r="C1135" s="2" t="s">
        <v>6055</v>
      </c>
      <c r="D1135" s="2" t="s">
        <v>146</v>
      </c>
      <c r="E1135" s="3">
        <v>46010.474224537043</v>
      </c>
      <c r="F1135" s="3">
        <v>46010.650196759263</v>
      </c>
      <c r="G1135" s="4">
        <v>46013</v>
      </c>
      <c r="H1135" s="2" t="s">
        <v>74</v>
      </c>
      <c r="I1135" s="2" t="s">
        <v>22</v>
      </c>
      <c r="J1135" s="2">
        <v>1</v>
      </c>
      <c r="K1135" s="2">
        <v>181.21</v>
      </c>
      <c r="L1135" s="2">
        <v>0</v>
      </c>
      <c r="M1135" s="2">
        <v>131.48285396781159</v>
      </c>
      <c r="N1135" s="2">
        <v>172.58</v>
      </c>
      <c r="O1135" s="2">
        <v>8.6300000000000008</v>
      </c>
      <c r="P1135" s="2">
        <v>181.21</v>
      </c>
      <c r="Q1135" s="2" t="s">
        <v>44</v>
      </c>
      <c r="R1135" s="2"/>
      <c r="S1135" t="str">
        <f>VLOOKUP(B1135,CASOPOInvCL!$B$1:$D$1600,1,FALSE)</f>
        <v>SO18452</v>
      </c>
      <c r="T1135">
        <f t="shared" si="18"/>
        <v>12</v>
      </c>
    </row>
    <row r="1136" spans="1:20" x14ac:dyDescent="0.25">
      <c r="A1136" s="2">
        <v>0</v>
      </c>
      <c r="B1136" s="2" t="s">
        <v>6287</v>
      </c>
      <c r="C1136" s="2" t="s">
        <v>6288</v>
      </c>
      <c r="D1136" s="2" t="s">
        <v>77</v>
      </c>
      <c r="E1136" s="3">
        <v>46010.478981481479</v>
      </c>
      <c r="F1136" s="3">
        <v>46020.418055555558</v>
      </c>
      <c r="G1136" s="4">
        <v>46057</v>
      </c>
      <c r="H1136" s="2" t="s">
        <v>40</v>
      </c>
      <c r="I1136" s="2" t="s">
        <v>22</v>
      </c>
      <c r="J1136" s="2">
        <v>1</v>
      </c>
      <c r="K1136" s="2">
        <v>96.5</v>
      </c>
      <c r="L1136" s="2">
        <v>0</v>
      </c>
      <c r="M1136" s="2">
        <v>70.527025146096804</v>
      </c>
      <c r="N1136" s="2">
        <v>91.9</v>
      </c>
      <c r="O1136" s="2">
        <v>4.5999999999999996</v>
      </c>
      <c r="P1136" s="2">
        <v>96.5</v>
      </c>
      <c r="Q1136" s="2" t="s">
        <v>29</v>
      </c>
      <c r="R1136" s="2"/>
      <c r="S1136" t="str">
        <f>VLOOKUP(B1136,CASOPOInvCL!$B$1:$D$1600,1,FALSE)</f>
        <v>SO18453</v>
      </c>
      <c r="T1136">
        <f t="shared" si="18"/>
        <v>12</v>
      </c>
    </row>
    <row r="1137" spans="1:20" ht="30" x14ac:dyDescent="0.25">
      <c r="A1137" s="2">
        <v>0</v>
      </c>
      <c r="B1137" s="2" t="s">
        <v>6289</v>
      </c>
      <c r="C1137" s="2" t="s">
        <v>6290</v>
      </c>
      <c r="D1137" s="2" t="s">
        <v>159</v>
      </c>
      <c r="E1137" s="3">
        <v>46010.51798611111</v>
      </c>
      <c r="F1137" s="3">
        <v>46010.524293981478</v>
      </c>
      <c r="G1137" s="4">
        <v>46066</v>
      </c>
      <c r="H1137" s="2" t="s">
        <v>40</v>
      </c>
      <c r="I1137" s="2" t="s">
        <v>51</v>
      </c>
      <c r="J1137" s="2">
        <v>0.72489672688828111</v>
      </c>
      <c r="K1137" s="2">
        <v>8952.4476512088841</v>
      </c>
      <c r="L1137" s="2">
        <v>0</v>
      </c>
      <c r="M1137" s="2">
        <v>6489.6</v>
      </c>
      <c r="N1137" s="2">
        <v>6489.6</v>
      </c>
      <c r="O1137" s="2"/>
      <c r="P1137" s="2">
        <v>6489.6</v>
      </c>
      <c r="Q1137" s="2" t="s">
        <v>23</v>
      </c>
      <c r="R1137" s="2"/>
      <c r="S1137" t="str">
        <f>VLOOKUP(B1137,CASOPOInvCL!$B$1:$D$1600,1,FALSE)</f>
        <v>SO18454</v>
      </c>
      <c r="T1137">
        <f t="shared" si="18"/>
        <v>12</v>
      </c>
    </row>
    <row r="1138" spans="1:20" ht="30" x14ac:dyDescent="0.25">
      <c r="A1138" s="2">
        <v>0</v>
      </c>
      <c r="B1138" s="2" t="s">
        <v>6291</v>
      </c>
      <c r="C1138" s="2" t="s">
        <v>6292</v>
      </c>
      <c r="D1138" s="2" t="s">
        <v>39</v>
      </c>
      <c r="E1138" s="3">
        <v>46010.627615740741</v>
      </c>
      <c r="F1138" s="3">
        <v>46014.682789351849</v>
      </c>
      <c r="G1138" s="4">
        <v>46119</v>
      </c>
      <c r="H1138" s="2" t="s">
        <v>74</v>
      </c>
      <c r="I1138" s="2" t="s">
        <v>22</v>
      </c>
      <c r="J1138" s="2">
        <v>1</v>
      </c>
      <c r="K1138" s="2">
        <v>9351.15</v>
      </c>
      <c r="L1138" s="2">
        <v>0</v>
      </c>
      <c r="M1138" s="2">
        <v>6819.4420405712654</v>
      </c>
      <c r="N1138" s="2">
        <v>8905.86</v>
      </c>
      <c r="O1138" s="2">
        <v>445.29</v>
      </c>
      <c r="P1138" s="2">
        <v>9351.15</v>
      </c>
      <c r="Q1138" s="2" t="s">
        <v>23</v>
      </c>
      <c r="R1138" s="2"/>
      <c r="S1138" t="str">
        <f>VLOOKUP(B1138,CASOPOInvCL!$B$1:$D$1600,1,FALSE)</f>
        <v>SO18455</v>
      </c>
      <c r="T1138">
        <f t="shared" si="18"/>
        <v>12</v>
      </c>
    </row>
    <row r="1139" spans="1:20" x14ac:dyDescent="0.25">
      <c r="A1139" s="2">
        <v>0</v>
      </c>
      <c r="B1139" s="2" t="s">
        <v>6293</v>
      </c>
      <c r="C1139" s="2" t="s">
        <v>6294</v>
      </c>
      <c r="D1139" s="2" t="s">
        <v>129</v>
      </c>
      <c r="E1139" s="3">
        <v>46010.677256944437</v>
      </c>
      <c r="F1139" s="3">
        <v>46010.67728009259</v>
      </c>
      <c r="G1139" s="4">
        <v>46073</v>
      </c>
      <c r="H1139" s="2" t="s">
        <v>130</v>
      </c>
      <c r="I1139" s="2" t="s">
        <v>51</v>
      </c>
      <c r="J1139" s="2">
        <v>0.72489672688828111</v>
      </c>
      <c r="K1139" s="2">
        <v>27590.136992137828</v>
      </c>
      <c r="L1139" s="2">
        <v>0</v>
      </c>
      <c r="M1139" s="2">
        <v>20000</v>
      </c>
      <c r="N1139" s="2">
        <v>20000</v>
      </c>
      <c r="O1139" s="2"/>
      <c r="P1139" s="2">
        <v>20000</v>
      </c>
      <c r="Q1139" s="2" t="s">
        <v>29</v>
      </c>
      <c r="R1139" s="2"/>
      <c r="S1139" t="str">
        <f>VLOOKUP(B1139,CASOPOInvCL!$B$1:$D$1600,1,FALSE)</f>
        <v>SO18456</v>
      </c>
      <c r="T1139">
        <f t="shared" si="18"/>
        <v>12</v>
      </c>
    </row>
    <row r="1140" spans="1:20" x14ac:dyDescent="0.25">
      <c r="A1140" s="2">
        <v>0</v>
      </c>
      <c r="B1140" s="2" t="s">
        <v>6295</v>
      </c>
      <c r="C1140" s="2" t="s">
        <v>6296</v>
      </c>
      <c r="D1140" s="2" t="s">
        <v>61</v>
      </c>
      <c r="E1140" s="3">
        <v>46013.438217592593</v>
      </c>
      <c r="F1140" s="3">
        <v>46013.714375000003</v>
      </c>
      <c r="G1140" s="4">
        <v>46083</v>
      </c>
      <c r="H1140" s="2" t="s">
        <v>74</v>
      </c>
      <c r="I1140" s="2" t="s">
        <v>51</v>
      </c>
      <c r="J1140" s="2">
        <v>0.72485477712329316</v>
      </c>
      <c r="K1140" s="2">
        <v>20404.087089963839</v>
      </c>
      <c r="L1140" s="2">
        <v>0</v>
      </c>
      <c r="M1140" s="2">
        <v>14790</v>
      </c>
      <c r="N1140" s="2">
        <v>14790</v>
      </c>
      <c r="O1140" s="2"/>
      <c r="P1140" s="2">
        <v>14790</v>
      </c>
      <c r="Q1140" s="2" t="s">
        <v>29</v>
      </c>
      <c r="R1140" s="2"/>
      <c r="S1140" t="str">
        <f>VLOOKUP(B1140,CASOPOInvCL!$B$1:$D$1600,1,FALSE)</f>
        <v>SO18460</v>
      </c>
      <c r="T1140">
        <f t="shared" si="18"/>
        <v>12</v>
      </c>
    </row>
    <row r="1141" spans="1:20" x14ac:dyDescent="0.25">
      <c r="A1141" s="2">
        <v>1</v>
      </c>
      <c r="B1141" s="2" t="s">
        <v>6297</v>
      </c>
      <c r="C1141" s="2" t="s">
        <v>6159</v>
      </c>
      <c r="D1141" s="2" t="s">
        <v>242</v>
      </c>
      <c r="E1141" s="3">
        <v>46013.470729166656</v>
      </c>
      <c r="F1141" s="3">
        <v>46013.621724537043</v>
      </c>
      <c r="G1141" s="2"/>
      <c r="H1141" s="2" t="s">
        <v>40</v>
      </c>
      <c r="I1141" s="2" t="s">
        <v>22</v>
      </c>
      <c r="J1141" s="2">
        <v>1</v>
      </c>
      <c r="K1141" s="2">
        <v>1128.75</v>
      </c>
      <c r="L1141" s="2">
        <v>0</v>
      </c>
      <c r="M1141" s="2">
        <v>821.19088926130746</v>
      </c>
      <c r="N1141" s="2">
        <v>1075</v>
      </c>
      <c r="O1141" s="2">
        <v>53.75</v>
      </c>
      <c r="P1141" s="2">
        <v>1128.75</v>
      </c>
      <c r="Q1141" s="2" t="s">
        <v>44</v>
      </c>
      <c r="R1141" s="2"/>
      <c r="S1141" t="str">
        <f>VLOOKUP(B1141,CASOPOInvCL!$B$1:$D$1600,1,FALSE)</f>
        <v>SO18461</v>
      </c>
      <c r="T1141">
        <f t="shared" si="18"/>
        <v>12</v>
      </c>
    </row>
    <row r="1142" spans="1:20" x14ac:dyDescent="0.25">
      <c r="A1142" s="2">
        <v>1</v>
      </c>
      <c r="B1142" s="2" t="s">
        <v>6298</v>
      </c>
      <c r="C1142" s="2" t="s">
        <v>6157</v>
      </c>
      <c r="D1142" s="2" t="s">
        <v>242</v>
      </c>
      <c r="E1142" s="3">
        <v>46013.60769675926</v>
      </c>
      <c r="F1142" s="3">
        <v>46013.611678240741</v>
      </c>
      <c r="G1142" s="2"/>
      <c r="H1142" s="2" t="s">
        <v>40</v>
      </c>
      <c r="I1142" s="2" t="s">
        <v>22</v>
      </c>
      <c r="J1142" s="2">
        <v>1</v>
      </c>
      <c r="K1142" s="2">
        <v>441.86</v>
      </c>
      <c r="L1142" s="2">
        <v>0</v>
      </c>
      <c r="M1142" s="2">
        <v>321.46303993709972</v>
      </c>
      <c r="N1142" s="2">
        <v>420.82</v>
      </c>
      <c r="O1142" s="2">
        <v>21.04</v>
      </c>
      <c r="P1142" s="2">
        <v>441.86</v>
      </c>
      <c r="Q1142" s="2" t="s">
        <v>44</v>
      </c>
      <c r="R1142" s="2"/>
      <c r="S1142" t="str">
        <f>VLOOKUP(B1142,CASOPOInvCL!$B$1:$D$1600,1,FALSE)</f>
        <v>SO18465</v>
      </c>
      <c r="T1142">
        <f t="shared" si="18"/>
        <v>12</v>
      </c>
    </row>
    <row r="1143" spans="1:20" x14ac:dyDescent="0.25">
      <c r="A1143" s="2">
        <v>1</v>
      </c>
      <c r="B1143" s="2" t="s">
        <v>6299</v>
      </c>
      <c r="C1143" s="2" t="s">
        <v>6300</v>
      </c>
      <c r="D1143" s="2" t="s">
        <v>26</v>
      </c>
      <c r="E1143" s="3">
        <v>46014.393923611111</v>
      </c>
      <c r="F1143" s="3">
        <v>46021.691747685189</v>
      </c>
      <c r="G1143" s="4">
        <v>46022</v>
      </c>
      <c r="H1143" s="2" t="s">
        <v>21</v>
      </c>
      <c r="I1143" s="2" t="s">
        <v>22</v>
      </c>
      <c r="J1143" s="2">
        <v>1</v>
      </c>
      <c r="K1143" s="2">
        <v>1164.57</v>
      </c>
      <c r="L1143" s="2">
        <v>0</v>
      </c>
      <c r="M1143" s="2">
        <v>851.23729326172952</v>
      </c>
      <c r="N1143" s="2">
        <v>1109.1099999999999</v>
      </c>
      <c r="O1143" s="2">
        <v>55.46</v>
      </c>
      <c r="P1143" s="2">
        <v>1164.57</v>
      </c>
      <c r="Q1143" s="2" t="s">
        <v>44</v>
      </c>
      <c r="R1143" s="2"/>
      <c r="S1143" t="str">
        <f>VLOOKUP(B1143,CASOPOInvCL!$B$1:$D$1600,1,FALSE)</f>
        <v>SO18466</v>
      </c>
      <c r="T1143">
        <f t="shared" si="18"/>
        <v>12</v>
      </c>
    </row>
    <row r="1144" spans="1:20" x14ac:dyDescent="0.25">
      <c r="A1144" s="2">
        <v>1</v>
      </c>
      <c r="B1144" s="2" t="s">
        <v>6301</v>
      </c>
      <c r="C1144" s="2" t="s">
        <v>6066</v>
      </c>
      <c r="D1144" s="2" t="s">
        <v>1835</v>
      </c>
      <c r="E1144" s="3">
        <v>46014.393958333327</v>
      </c>
      <c r="F1144" s="3">
        <v>46014.396284722221</v>
      </c>
      <c r="G1144" s="4">
        <v>46020</v>
      </c>
      <c r="H1144" s="2" t="s">
        <v>40</v>
      </c>
      <c r="I1144" s="2" t="s">
        <v>22</v>
      </c>
      <c r="J1144" s="2">
        <v>1</v>
      </c>
      <c r="K1144" s="2">
        <v>3055.14</v>
      </c>
      <c r="L1144" s="2">
        <v>0</v>
      </c>
      <c r="M1144" s="2">
        <v>2227.9987120119872</v>
      </c>
      <c r="N1144" s="2">
        <v>2909.65</v>
      </c>
      <c r="O1144" s="2">
        <v>145.49</v>
      </c>
      <c r="P1144" s="2">
        <v>3055.14</v>
      </c>
      <c r="Q1144" s="2" t="s">
        <v>44</v>
      </c>
      <c r="R1144" s="2"/>
      <c r="S1144" t="str">
        <f>VLOOKUP(B1144,CASOPOInvCL!$B$1:$D$1600,1,FALSE)</f>
        <v>SO18467</v>
      </c>
      <c r="T1144">
        <f t="shared" si="18"/>
        <v>12</v>
      </c>
    </row>
    <row r="1145" spans="1:20" x14ac:dyDescent="0.25">
      <c r="A1145" s="2">
        <v>0</v>
      </c>
      <c r="B1145" s="2" t="s">
        <v>6302</v>
      </c>
      <c r="C1145" s="2" t="s">
        <v>6303</v>
      </c>
      <c r="D1145" s="2" t="s">
        <v>239</v>
      </c>
      <c r="E1145" s="3">
        <v>46014.39675925926</v>
      </c>
      <c r="F1145" s="3">
        <v>46015.391967592594</v>
      </c>
      <c r="G1145" s="4">
        <v>46020</v>
      </c>
      <c r="H1145" s="2" t="s">
        <v>180</v>
      </c>
      <c r="I1145" s="2" t="s">
        <v>51</v>
      </c>
      <c r="J1145" s="2">
        <v>0.72752238251278623</v>
      </c>
      <c r="K1145" s="2">
        <v>242.8241443099453</v>
      </c>
      <c r="L1145" s="2">
        <v>0</v>
      </c>
      <c r="M1145" s="2">
        <v>176.66</v>
      </c>
      <c r="N1145" s="2">
        <v>176.66</v>
      </c>
      <c r="O1145" s="2"/>
      <c r="P1145" s="2">
        <v>176.66</v>
      </c>
      <c r="Q1145" s="2" t="s">
        <v>23</v>
      </c>
      <c r="R1145" s="2"/>
      <c r="S1145" t="str">
        <f>VLOOKUP(B1145,CASOPOInvCL!$B$1:$D$1600,1,FALSE)</f>
        <v>SO18468</v>
      </c>
      <c r="T1145">
        <f t="shared" si="18"/>
        <v>12</v>
      </c>
    </row>
    <row r="1146" spans="1:20" ht="30" x14ac:dyDescent="0.25">
      <c r="A1146" s="2">
        <v>0</v>
      </c>
      <c r="B1146" s="2" t="s">
        <v>6304</v>
      </c>
      <c r="C1146" s="2" t="s">
        <v>6305</v>
      </c>
      <c r="D1146" s="2" t="s">
        <v>3974</v>
      </c>
      <c r="E1146" s="3">
        <v>46014.711770833332</v>
      </c>
      <c r="F1146" s="3">
        <v>46020.474976851852</v>
      </c>
      <c r="G1146" s="4">
        <v>46027</v>
      </c>
      <c r="H1146" s="2" t="s">
        <v>21</v>
      </c>
      <c r="I1146" s="2" t="s">
        <v>22</v>
      </c>
      <c r="J1146" s="2">
        <v>1</v>
      </c>
      <c r="K1146" s="2">
        <v>4960.45</v>
      </c>
      <c r="L1146" s="2">
        <v>0</v>
      </c>
      <c r="M1146" s="2">
        <v>3625.3448900099061</v>
      </c>
      <c r="N1146" s="2">
        <v>4389.78</v>
      </c>
      <c r="O1146" s="2">
        <v>570.66999999999996</v>
      </c>
      <c r="P1146" s="2">
        <v>4960.45</v>
      </c>
      <c r="Q1146" s="2" t="s">
        <v>23</v>
      </c>
      <c r="R1146" s="2"/>
      <c r="S1146" t="str">
        <f>VLOOKUP(B1146,CASOPOInvCL!$B$1:$D$1600,1,FALSE)</f>
        <v>SO18471</v>
      </c>
      <c r="T1146">
        <f t="shared" si="18"/>
        <v>12</v>
      </c>
    </row>
    <row r="1147" spans="1:20" x14ac:dyDescent="0.25">
      <c r="A1147" s="2">
        <v>1</v>
      </c>
      <c r="B1147" s="2" t="s">
        <v>6306</v>
      </c>
      <c r="C1147" s="2" t="s">
        <v>6076</v>
      </c>
      <c r="D1147" s="2" t="s">
        <v>77</v>
      </c>
      <c r="E1147" s="3">
        <v>46020.477314814823</v>
      </c>
      <c r="F1147" s="3">
        <v>46020.477523148147</v>
      </c>
      <c r="G1147" s="4">
        <v>46021</v>
      </c>
      <c r="H1147" s="2" t="s">
        <v>74</v>
      </c>
      <c r="I1147" s="2" t="s">
        <v>22</v>
      </c>
      <c r="J1147" s="2">
        <v>1</v>
      </c>
      <c r="K1147" s="2">
        <v>149.07</v>
      </c>
      <c r="L1147" s="2">
        <v>0</v>
      </c>
      <c r="M1147" s="2">
        <v>108.9478097256855</v>
      </c>
      <c r="N1147" s="2">
        <v>131.91999999999999</v>
      </c>
      <c r="O1147" s="2">
        <v>17.149999999999999</v>
      </c>
      <c r="P1147" s="2">
        <v>149.07</v>
      </c>
      <c r="Q1147" s="2" t="s">
        <v>44</v>
      </c>
      <c r="R1147" s="2"/>
      <c r="S1147" t="str">
        <f>VLOOKUP(B1147,CASOPOInvCL!$B$1:$D$1600,1,FALSE)</f>
        <v>SO18472</v>
      </c>
      <c r="T1147">
        <f t="shared" si="18"/>
        <v>12</v>
      </c>
    </row>
    <row r="1148" spans="1:20" x14ac:dyDescent="0.25">
      <c r="A1148" s="2">
        <v>0</v>
      </c>
      <c r="B1148" s="2" t="s">
        <v>6307</v>
      </c>
      <c r="C1148" s="2" t="s">
        <v>6308</v>
      </c>
      <c r="D1148" s="2" t="s">
        <v>146</v>
      </c>
      <c r="E1148" s="3">
        <v>46020.611006944448</v>
      </c>
      <c r="F1148" s="3">
        <v>46020.60800925926</v>
      </c>
      <c r="G1148" s="4">
        <v>46031</v>
      </c>
      <c r="H1148" s="2" t="s">
        <v>74</v>
      </c>
      <c r="I1148" s="2" t="s">
        <v>22</v>
      </c>
      <c r="J1148" s="2">
        <v>1</v>
      </c>
      <c r="K1148" s="2">
        <v>962.42</v>
      </c>
      <c r="L1148" s="2">
        <v>0</v>
      </c>
      <c r="M1148" s="2">
        <v>703.38465845706196</v>
      </c>
      <c r="N1148" s="2">
        <v>916.59</v>
      </c>
      <c r="O1148" s="2">
        <v>45.83</v>
      </c>
      <c r="P1148" s="2">
        <v>962.42</v>
      </c>
      <c r="Q1148" s="2" t="s">
        <v>29</v>
      </c>
      <c r="R1148" s="2"/>
      <c r="S1148" t="str">
        <f>VLOOKUP(B1148,CASOPOInvCL!$B$1:$D$1600,1,FALSE)</f>
        <v>SO18477</v>
      </c>
      <c r="T1148">
        <f t="shared" si="18"/>
        <v>12</v>
      </c>
    </row>
    <row r="1149" spans="1:20" x14ac:dyDescent="0.25">
      <c r="A1149" s="2">
        <v>0</v>
      </c>
      <c r="B1149" s="2" t="s">
        <v>6309</v>
      </c>
      <c r="C1149" s="2" t="s">
        <v>6310</v>
      </c>
      <c r="D1149" s="2" t="s">
        <v>61</v>
      </c>
      <c r="E1149" s="3">
        <v>46020.719837962963</v>
      </c>
      <c r="F1149" s="3">
        <v>46020.774097222216</v>
      </c>
      <c r="G1149" s="4">
        <v>46027</v>
      </c>
      <c r="H1149" s="2" t="s">
        <v>36</v>
      </c>
      <c r="I1149" s="2" t="s">
        <v>51</v>
      </c>
      <c r="J1149" s="2">
        <v>0.73120348989748496</v>
      </c>
      <c r="K1149" s="2">
        <v>3490.1091628512181</v>
      </c>
      <c r="L1149" s="2">
        <v>0</v>
      </c>
      <c r="M1149" s="2">
        <v>2551.98</v>
      </c>
      <c r="N1149" s="2">
        <v>2551.98</v>
      </c>
      <c r="O1149" s="2"/>
      <c r="P1149" s="2">
        <v>2551.98</v>
      </c>
      <c r="Q1149" s="2" t="s">
        <v>29</v>
      </c>
      <c r="R1149" s="2"/>
      <c r="S1149" t="str">
        <f>VLOOKUP(B1149,CASOPOInvCL!$B$1:$D$1600,1,FALSE)</f>
        <v>SO18479</v>
      </c>
      <c r="T1149">
        <f t="shared" si="18"/>
        <v>12</v>
      </c>
    </row>
    <row r="1150" spans="1:20" x14ac:dyDescent="0.25">
      <c r="A1150" s="2">
        <v>0</v>
      </c>
      <c r="B1150" s="2" t="s">
        <v>6311</v>
      </c>
      <c r="C1150" s="2" t="s">
        <v>6312</v>
      </c>
      <c r="D1150" s="2" t="s">
        <v>146</v>
      </c>
      <c r="E1150" s="3">
        <v>46021.446608796286</v>
      </c>
      <c r="F1150" s="3">
        <v>46028.520682870367</v>
      </c>
      <c r="G1150" s="4">
        <v>46049</v>
      </c>
      <c r="H1150" s="2" t="s">
        <v>40</v>
      </c>
      <c r="I1150" s="2" t="s">
        <v>22</v>
      </c>
      <c r="J1150" s="2">
        <v>1</v>
      </c>
      <c r="K1150" s="2">
        <v>2991.57</v>
      </c>
      <c r="L1150" s="2">
        <v>2991.57</v>
      </c>
      <c r="M1150" s="2">
        <v>2991.57</v>
      </c>
      <c r="N1150" s="2">
        <v>2849.11</v>
      </c>
      <c r="O1150" s="2">
        <v>142.46</v>
      </c>
      <c r="P1150" s="2">
        <v>2991.57</v>
      </c>
      <c r="Q1150" s="2" t="s">
        <v>23</v>
      </c>
      <c r="R1150" s="2"/>
      <c r="S1150" t="str">
        <f>VLOOKUP(B1150,CASOPOInvCL!$B$1:$D$1600,1,FALSE)</f>
        <v>SO18482</v>
      </c>
      <c r="T1150">
        <f t="shared" si="18"/>
        <v>12</v>
      </c>
    </row>
    <row r="1151" spans="1:20" x14ac:dyDescent="0.25">
      <c r="A1151" s="2">
        <v>0</v>
      </c>
      <c r="B1151" s="2" t="s">
        <v>6313</v>
      </c>
      <c r="C1151" s="2" t="s">
        <v>6314</v>
      </c>
      <c r="D1151" s="2" t="s">
        <v>644</v>
      </c>
      <c r="E1151" s="3">
        <v>46022.512696759259</v>
      </c>
      <c r="F1151" s="3">
        <v>46022.515011574083</v>
      </c>
      <c r="G1151" s="2"/>
      <c r="H1151" s="2" t="s">
        <v>40</v>
      </c>
      <c r="I1151" s="2" t="s">
        <v>51</v>
      </c>
      <c r="J1151" s="2">
        <v>0.73094557927967363</v>
      </c>
      <c r="K1151" s="2">
        <v>4920.0653262641699</v>
      </c>
      <c r="L1151" s="2">
        <v>0</v>
      </c>
      <c r="M1151" s="2">
        <v>3596.3</v>
      </c>
      <c r="N1151" s="2">
        <v>3596.3</v>
      </c>
      <c r="O1151" s="2"/>
      <c r="P1151" s="2">
        <v>3596.3</v>
      </c>
      <c r="Q1151" s="2" t="s">
        <v>23</v>
      </c>
      <c r="R1151" s="2"/>
      <c r="S1151" t="str">
        <f>VLOOKUP(B1151,CASOPOInvCL!$B$1:$D$1600,1,FALSE)</f>
        <v>SO18484</v>
      </c>
      <c r="T1151">
        <f t="shared" si="18"/>
        <v>12</v>
      </c>
    </row>
  </sheetData>
  <autoFilter ref="A1:S115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0"/>
  <sheetViews>
    <sheetView workbookViewId="0">
      <pane xSplit="2" ySplit="5" topLeftCell="D393" activePane="bottomRight" state="frozen"/>
      <selection pane="topRight" activeCell="C1" sqref="C1"/>
      <selection pane="bottomLeft" activeCell="A6" sqref="A6"/>
      <selection pane="bottomRight" activeCell="O401" sqref="O401"/>
    </sheetView>
  </sheetViews>
  <sheetFormatPr defaultColWidth="9.140625" defaultRowHeight="15" x14ac:dyDescent="0.25"/>
  <cols>
    <col min="1" max="1" width="14.140625" customWidth="1"/>
    <col min="2" max="2" width="14.7109375" customWidth="1"/>
    <col min="3" max="3" width="83.7109375" bestFit="1" customWidth="1"/>
    <col min="4" max="4" width="7" customWidth="1"/>
    <col min="5" max="5" width="7.140625" customWidth="1"/>
    <col min="6" max="7" width="10.5703125" customWidth="1"/>
    <col min="8" max="8" width="10.28515625" customWidth="1"/>
    <col min="9" max="9" width="11.28515625" customWidth="1"/>
    <col min="10" max="10" width="4.7109375" bestFit="1" customWidth="1"/>
    <col min="11" max="11" width="4.140625" bestFit="1" customWidth="1"/>
    <col min="12" max="12" width="8.42578125" bestFit="1" customWidth="1"/>
    <col min="13" max="15" width="14.42578125" bestFit="1" customWidth="1"/>
    <col min="16" max="16" width="9.5703125" bestFit="1" customWidth="1"/>
  </cols>
  <sheetData>
    <row r="1" spans="1:17" x14ac:dyDescent="0.25">
      <c r="A1" s="14" t="s">
        <v>3841</v>
      </c>
      <c r="B1" t="s">
        <v>4241</v>
      </c>
    </row>
    <row r="3" spans="1:17" x14ac:dyDescent="0.25">
      <c r="F3" s="14" t="s">
        <v>3840</v>
      </c>
    </row>
    <row r="4" spans="1:17" x14ac:dyDescent="0.25">
      <c r="A4" s="14" t="s">
        <v>3390</v>
      </c>
      <c r="B4" s="14" t="s">
        <v>3392</v>
      </c>
      <c r="C4" s="14" t="s">
        <v>3828</v>
      </c>
      <c r="D4" s="14" t="s">
        <v>3831</v>
      </c>
      <c r="E4" s="14" t="s">
        <v>3399</v>
      </c>
      <c r="F4" t="s">
        <v>4242</v>
      </c>
      <c r="G4" t="s">
        <v>4243</v>
      </c>
      <c r="H4" t="s">
        <v>4244</v>
      </c>
      <c r="I4" t="s">
        <v>4245</v>
      </c>
      <c r="J4" t="s">
        <v>5778</v>
      </c>
      <c r="K4" t="s">
        <v>4386</v>
      </c>
      <c r="L4" t="s">
        <v>4387</v>
      </c>
      <c r="M4" t="s">
        <v>22</v>
      </c>
      <c r="N4" t="s">
        <v>51</v>
      </c>
      <c r="O4" t="s">
        <v>3399</v>
      </c>
      <c r="P4" t="s">
        <v>4390</v>
      </c>
      <c r="Q4" t="s">
        <v>5911</v>
      </c>
    </row>
    <row r="5" spans="1:17" x14ac:dyDescent="0.25">
      <c r="A5" t="s">
        <v>2232</v>
      </c>
      <c r="B5" t="s">
        <v>2289</v>
      </c>
      <c r="C5" t="s">
        <v>6166</v>
      </c>
      <c r="D5" t="s">
        <v>22</v>
      </c>
      <c r="E5" t="s">
        <v>4388</v>
      </c>
      <c r="F5" s="16">
        <v>3955.95</v>
      </c>
      <c r="G5" s="16">
        <v>2751.6923724390576</v>
      </c>
      <c r="H5" s="16">
        <v>-1827.63</v>
      </c>
      <c r="I5" s="16">
        <v>0</v>
      </c>
      <c r="J5" s="16" t="str">
        <f>IF(K5=13,D4,"")</f>
        <v/>
      </c>
      <c r="K5">
        <f>LEN(A5)</f>
        <v>7</v>
      </c>
      <c r="L5" t="str">
        <f>IF(K5=13,LEFT(A5,7),"")</f>
        <v/>
      </c>
      <c r="M5" s="12">
        <f>IF(AND(K5=13,D4="CAD"),ROUND(F5+H5,2),0)</f>
        <v>0</v>
      </c>
      <c r="N5" s="12">
        <f>IF(AND(K5=13,D4="USD"),ROUND(G5+I5,2),0)</f>
        <v>0</v>
      </c>
      <c r="O5" s="13">
        <f>IF(K5=13,IF(M5+N5=0,"Yes",0),0)</f>
        <v>0</v>
      </c>
      <c r="P5" s="12">
        <f>IFERROR(VLOOKUP(B5,'Receivable Invoice Detail'!$S$1:$U$3014,3,FALSE),0)</f>
        <v>0</v>
      </c>
    </row>
    <row r="6" spans="1:17" x14ac:dyDescent="0.25">
      <c r="B6" t="s">
        <v>2288</v>
      </c>
      <c r="C6" t="s">
        <v>6166</v>
      </c>
      <c r="D6" t="s">
        <v>22</v>
      </c>
      <c r="E6" t="s">
        <v>4388</v>
      </c>
      <c r="F6" s="16">
        <v>0</v>
      </c>
      <c r="G6" s="16">
        <v>0</v>
      </c>
      <c r="H6" s="16">
        <v>-857.76</v>
      </c>
      <c r="I6" s="16">
        <v>0</v>
      </c>
      <c r="J6" s="16" t="str">
        <f t="shared" ref="J6:J7" si="0">IF(K6=13,D5,"")</f>
        <v/>
      </c>
      <c r="K6">
        <f t="shared" ref="K6:K69" si="1">LEN(A6)</f>
        <v>0</v>
      </c>
      <c r="L6" t="str">
        <f t="shared" ref="L6:L69" si="2">IF(K6=13,LEFT(A6,7),"")</f>
        <v/>
      </c>
      <c r="M6" s="12">
        <f t="shared" ref="M6:M69" si="3">IF(AND(K6=13,D5="CAD"),ROUND(F6+H6,2),0)</f>
        <v>0</v>
      </c>
      <c r="N6" s="12">
        <f t="shared" ref="N6:N69" si="4">IF(AND(K6=13,D5="USD"),ROUND(G6+I6,2),0)</f>
        <v>0</v>
      </c>
      <c r="O6" s="13">
        <f t="shared" ref="O6:O69" si="5">IF(K6=13,IF(M6+N6=0,"Yes",0),0)</f>
        <v>0</v>
      </c>
      <c r="P6" s="12">
        <f>IFERROR(VLOOKUP(B6,'Receivable Invoice Detail'!$S$1:$U$3014,3,FALSE),0)</f>
        <v>0</v>
      </c>
    </row>
    <row r="7" spans="1:17" x14ac:dyDescent="0.25">
      <c r="B7" t="s">
        <v>2287</v>
      </c>
      <c r="C7" t="s">
        <v>6166</v>
      </c>
      <c r="D7" t="s">
        <v>22</v>
      </c>
      <c r="E7" t="s">
        <v>4388</v>
      </c>
      <c r="F7" s="16">
        <v>0</v>
      </c>
      <c r="G7" s="16">
        <v>0</v>
      </c>
      <c r="H7" s="16">
        <v>-1270.56</v>
      </c>
      <c r="I7" s="16">
        <v>0</v>
      </c>
      <c r="J7" s="16" t="str">
        <f t="shared" si="0"/>
        <v/>
      </c>
      <c r="K7">
        <f t="shared" si="1"/>
        <v>0</v>
      </c>
      <c r="L7" t="str">
        <f t="shared" si="2"/>
        <v/>
      </c>
      <c r="M7" s="12">
        <f t="shared" si="3"/>
        <v>0</v>
      </c>
      <c r="N7" s="12">
        <f t="shared" si="4"/>
        <v>0</v>
      </c>
      <c r="O7" s="13">
        <f t="shared" si="5"/>
        <v>0</v>
      </c>
      <c r="P7" s="12">
        <f>IFERROR(VLOOKUP(B7,'Receivable Invoice Detail'!$S$1:$U$3014,3,FALSE),0)</f>
        <v>0</v>
      </c>
    </row>
    <row r="8" spans="1:17" x14ac:dyDescent="0.25">
      <c r="A8" s="23" t="s">
        <v>4246</v>
      </c>
      <c r="B8" s="23"/>
      <c r="C8" s="23"/>
      <c r="D8" s="23"/>
      <c r="E8" s="23"/>
      <c r="F8" s="24">
        <v>3955.95</v>
      </c>
      <c r="G8" s="24">
        <v>2751.6923724390576</v>
      </c>
      <c r="H8" s="24">
        <v>-3955.9500000000003</v>
      </c>
      <c r="I8" s="24">
        <v>0</v>
      </c>
      <c r="J8" s="16" t="str">
        <f>IF(K8=13,D7,"")</f>
        <v>CAD</v>
      </c>
      <c r="K8">
        <f t="shared" si="1"/>
        <v>13</v>
      </c>
      <c r="L8" t="str">
        <f t="shared" si="2"/>
        <v>SO16380</v>
      </c>
      <c r="M8" s="12">
        <f t="shared" si="3"/>
        <v>0</v>
      </c>
      <c r="N8" s="12">
        <f t="shared" si="4"/>
        <v>0</v>
      </c>
      <c r="O8" s="13" t="str">
        <f t="shared" si="5"/>
        <v>Yes</v>
      </c>
      <c r="P8" s="12">
        <f>IFERROR(VLOOKUP(B8,'Receivable Invoice Detail'!$S$1:$U$3014,3,FALSE),0)</f>
        <v>0</v>
      </c>
    </row>
    <row r="9" spans="1:17" x14ac:dyDescent="0.25">
      <c r="A9" t="s">
        <v>2230</v>
      </c>
      <c r="B9" t="s">
        <v>2290</v>
      </c>
      <c r="C9" t="s">
        <v>54</v>
      </c>
      <c r="D9" t="s">
        <v>22</v>
      </c>
      <c r="E9" t="s">
        <v>4388</v>
      </c>
      <c r="F9" s="16">
        <v>0</v>
      </c>
      <c r="G9" s="16">
        <v>0</v>
      </c>
      <c r="H9" s="16">
        <v>-463.06</v>
      </c>
      <c r="I9" s="16">
        <v>0</v>
      </c>
      <c r="J9" s="16" t="str">
        <f t="shared" ref="J9:J72" si="6">IF(K9=13,D8,"")</f>
        <v/>
      </c>
      <c r="K9">
        <f t="shared" si="1"/>
        <v>7</v>
      </c>
      <c r="L9" t="str">
        <f t="shared" si="2"/>
        <v/>
      </c>
      <c r="M9" s="12">
        <f t="shared" si="3"/>
        <v>0</v>
      </c>
      <c r="N9" s="12">
        <f t="shared" si="4"/>
        <v>0</v>
      </c>
      <c r="O9" s="13">
        <f t="shared" si="5"/>
        <v>0</v>
      </c>
      <c r="P9" s="12">
        <f>IFERROR(VLOOKUP(B9,'Receivable Invoice Detail'!$S$1:$U$3014,3,FALSE),0)</f>
        <v>0</v>
      </c>
    </row>
    <row r="10" spans="1:17" x14ac:dyDescent="0.25">
      <c r="B10" t="s">
        <v>2291</v>
      </c>
      <c r="C10" t="s">
        <v>54</v>
      </c>
      <c r="D10" t="s">
        <v>22</v>
      </c>
      <c r="E10" t="s">
        <v>4388</v>
      </c>
      <c r="F10" s="16">
        <v>926.12</v>
      </c>
      <c r="G10" s="16">
        <v>644.19351608672014</v>
      </c>
      <c r="H10" s="16">
        <v>-463.06</v>
      </c>
      <c r="I10" s="16">
        <v>0</v>
      </c>
      <c r="J10" s="16" t="str">
        <f t="shared" si="6"/>
        <v/>
      </c>
      <c r="K10">
        <f t="shared" si="1"/>
        <v>0</v>
      </c>
      <c r="L10" t="str">
        <f t="shared" si="2"/>
        <v/>
      </c>
      <c r="M10" s="12">
        <f t="shared" si="3"/>
        <v>0</v>
      </c>
      <c r="N10" s="12">
        <f t="shared" si="4"/>
        <v>0</v>
      </c>
      <c r="O10" s="13">
        <f t="shared" si="5"/>
        <v>0</v>
      </c>
      <c r="P10" s="12">
        <f>IFERROR(VLOOKUP(B10,'Receivable Invoice Detail'!$S$1:$U$3014,3,FALSE),0)</f>
        <v>0</v>
      </c>
    </row>
    <row r="11" spans="1:17" x14ac:dyDescent="0.25">
      <c r="A11" s="23" t="s">
        <v>4247</v>
      </c>
      <c r="B11" s="23"/>
      <c r="C11" s="23"/>
      <c r="D11" s="23"/>
      <c r="E11" s="23"/>
      <c r="F11" s="24">
        <v>926.12</v>
      </c>
      <c r="G11" s="24">
        <v>644.19351608672014</v>
      </c>
      <c r="H11" s="24">
        <v>-926.12</v>
      </c>
      <c r="I11" s="24">
        <v>0</v>
      </c>
      <c r="J11" s="16" t="str">
        <f t="shared" si="6"/>
        <v>CAD</v>
      </c>
      <c r="K11">
        <f t="shared" si="1"/>
        <v>13</v>
      </c>
      <c r="L11" t="str">
        <f t="shared" si="2"/>
        <v>SO16390</v>
      </c>
      <c r="M11" s="12">
        <f t="shared" si="3"/>
        <v>0</v>
      </c>
      <c r="N11" s="12">
        <f t="shared" si="4"/>
        <v>0</v>
      </c>
      <c r="O11" s="13" t="str">
        <f t="shared" si="5"/>
        <v>Yes</v>
      </c>
      <c r="P11" s="12">
        <f>IFERROR(VLOOKUP(B11,'Receivable Invoice Detail'!$S$1:$U$3014,3,FALSE),0)</f>
        <v>0</v>
      </c>
    </row>
    <row r="12" spans="1:17" x14ac:dyDescent="0.25">
      <c r="A12" t="s">
        <v>2200</v>
      </c>
      <c r="B12" t="s">
        <v>2305</v>
      </c>
      <c r="C12" t="s">
        <v>171</v>
      </c>
      <c r="D12" t="s">
        <v>22</v>
      </c>
      <c r="E12" t="s">
        <v>4388</v>
      </c>
      <c r="F12" s="16">
        <v>0</v>
      </c>
      <c r="G12" s="16">
        <v>0</v>
      </c>
      <c r="H12" s="16">
        <v>-701.83</v>
      </c>
      <c r="I12" s="16">
        <v>0</v>
      </c>
      <c r="J12" s="16" t="str">
        <f t="shared" si="6"/>
        <v/>
      </c>
      <c r="K12">
        <f t="shared" si="1"/>
        <v>7</v>
      </c>
      <c r="L12" t="str">
        <f t="shared" si="2"/>
        <v/>
      </c>
      <c r="M12" s="12">
        <f t="shared" si="3"/>
        <v>0</v>
      </c>
      <c r="N12" s="12">
        <f t="shared" si="4"/>
        <v>0</v>
      </c>
      <c r="O12" s="13">
        <f t="shared" si="5"/>
        <v>0</v>
      </c>
      <c r="P12" s="12">
        <f>IFERROR(VLOOKUP(B12,'Receivable Invoice Detail'!$S$1:$U$3014,3,FALSE),0)</f>
        <v>0</v>
      </c>
    </row>
    <row r="13" spans="1:17" x14ac:dyDescent="0.25">
      <c r="B13" t="s">
        <v>2306</v>
      </c>
      <c r="C13" t="s">
        <v>171</v>
      </c>
      <c r="D13" t="s">
        <v>22</v>
      </c>
      <c r="E13" t="s">
        <v>4388</v>
      </c>
      <c r="F13" s="16">
        <v>2363.9699999999998</v>
      </c>
      <c r="G13" s="16">
        <v>1644.8973615346806</v>
      </c>
      <c r="H13" s="16">
        <v>-1662.14</v>
      </c>
      <c r="I13" s="16">
        <v>0</v>
      </c>
      <c r="J13" s="16" t="str">
        <f t="shared" si="6"/>
        <v/>
      </c>
      <c r="K13">
        <f t="shared" si="1"/>
        <v>0</v>
      </c>
      <c r="L13" t="str">
        <f t="shared" si="2"/>
        <v/>
      </c>
      <c r="M13" s="12">
        <f t="shared" si="3"/>
        <v>0</v>
      </c>
      <c r="N13" s="12">
        <f t="shared" si="4"/>
        <v>0</v>
      </c>
      <c r="O13" s="13">
        <f t="shared" si="5"/>
        <v>0</v>
      </c>
      <c r="P13" s="12">
        <f>IFERROR(VLOOKUP(B13,'Receivable Invoice Detail'!$S$1:$U$3014,3,FALSE),0)</f>
        <v>0</v>
      </c>
    </row>
    <row r="14" spans="1:17" x14ac:dyDescent="0.25">
      <c r="A14" s="23" t="s">
        <v>4248</v>
      </c>
      <c r="B14" s="23"/>
      <c r="C14" s="23"/>
      <c r="D14" s="23"/>
      <c r="E14" s="23"/>
      <c r="F14" s="24">
        <v>2363.9699999999998</v>
      </c>
      <c r="G14" s="24">
        <v>1644.8973615346806</v>
      </c>
      <c r="H14" s="24">
        <v>-2363.9700000000003</v>
      </c>
      <c r="I14" s="24">
        <v>0</v>
      </c>
      <c r="J14" s="16" t="str">
        <f t="shared" si="6"/>
        <v>CAD</v>
      </c>
      <c r="K14">
        <f t="shared" si="1"/>
        <v>13</v>
      </c>
      <c r="L14" t="str">
        <f t="shared" si="2"/>
        <v>SO16393</v>
      </c>
      <c r="M14" s="12">
        <f t="shared" si="3"/>
        <v>0</v>
      </c>
      <c r="N14" s="12">
        <f t="shared" si="4"/>
        <v>0</v>
      </c>
      <c r="O14" s="13" t="str">
        <f t="shared" si="5"/>
        <v>Yes</v>
      </c>
      <c r="P14" s="12">
        <f>IFERROR(VLOOKUP(B14,'Receivable Invoice Detail'!$S$1:$U$3014,3,FALSE),0)</f>
        <v>0</v>
      </c>
    </row>
    <row r="15" spans="1:17" x14ac:dyDescent="0.25">
      <c r="A15" t="s">
        <v>2161</v>
      </c>
      <c r="B15" t="s">
        <v>2326</v>
      </c>
      <c r="C15" t="s">
        <v>77</v>
      </c>
      <c r="D15" t="s">
        <v>22</v>
      </c>
      <c r="E15" t="s">
        <v>4388</v>
      </c>
      <c r="F15" s="16">
        <v>621.28</v>
      </c>
      <c r="G15" s="16">
        <v>430.74593569721873</v>
      </c>
      <c r="H15" s="16">
        <v>-587.29999999999995</v>
      </c>
      <c r="I15" s="16">
        <v>0</v>
      </c>
      <c r="J15" s="16" t="str">
        <f t="shared" si="6"/>
        <v/>
      </c>
      <c r="K15">
        <f t="shared" si="1"/>
        <v>7</v>
      </c>
      <c r="L15" t="str">
        <f t="shared" si="2"/>
        <v/>
      </c>
      <c r="M15" s="12">
        <f t="shared" si="3"/>
        <v>0</v>
      </c>
      <c r="N15" s="12">
        <f t="shared" si="4"/>
        <v>0</v>
      </c>
      <c r="O15" s="13">
        <f t="shared" si="5"/>
        <v>0</v>
      </c>
      <c r="P15" s="12">
        <f>IFERROR(VLOOKUP(B15,'Receivable Invoice Detail'!$S$1:$U$3014,3,FALSE),0)</f>
        <v>0</v>
      </c>
    </row>
    <row r="16" spans="1:17" x14ac:dyDescent="0.25">
      <c r="B16" t="s">
        <v>2325</v>
      </c>
      <c r="C16" t="s">
        <v>77</v>
      </c>
      <c r="D16" t="s">
        <v>22</v>
      </c>
      <c r="E16" t="s">
        <v>4388</v>
      </c>
      <c r="F16" s="16">
        <v>0</v>
      </c>
      <c r="G16" s="16">
        <v>0</v>
      </c>
      <c r="H16" s="16">
        <v>-33.979999999999997</v>
      </c>
      <c r="I16" s="16">
        <v>0</v>
      </c>
      <c r="J16" s="16" t="str">
        <f t="shared" si="6"/>
        <v/>
      </c>
      <c r="K16">
        <f t="shared" si="1"/>
        <v>0</v>
      </c>
      <c r="L16" t="str">
        <f t="shared" si="2"/>
        <v/>
      </c>
      <c r="M16" s="12">
        <f t="shared" si="3"/>
        <v>0</v>
      </c>
      <c r="N16" s="12">
        <f t="shared" si="4"/>
        <v>0</v>
      </c>
      <c r="O16" s="13">
        <f t="shared" si="5"/>
        <v>0</v>
      </c>
      <c r="P16" s="12">
        <f>IFERROR(VLOOKUP(B16,'Receivable Invoice Detail'!$S$1:$U$3014,3,FALSE),0)</f>
        <v>0</v>
      </c>
    </row>
    <row r="17" spans="1:16" x14ac:dyDescent="0.25">
      <c r="A17" s="23" t="s">
        <v>4249</v>
      </c>
      <c r="B17" s="23"/>
      <c r="C17" s="23"/>
      <c r="D17" s="23"/>
      <c r="E17" s="23"/>
      <c r="F17" s="24">
        <v>621.28</v>
      </c>
      <c r="G17" s="24">
        <v>430.74593569721873</v>
      </c>
      <c r="H17" s="24">
        <v>-621.28</v>
      </c>
      <c r="I17" s="24">
        <v>0</v>
      </c>
      <c r="J17" s="16" t="str">
        <f t="shared" si="6"/>
        <v>CAD</v>
      </c>
      <c r="K17">
        <f t="shared" si="1"/>
        <v>13</v>
      </c>
      <c r="L17" t="str">
        <f t="shared" si="2"/>
        <v>SO16438</v>
      </c>
      <c r="M17" s="12">
        <f t="shared" si="3"/>
        <v>0</v>
      </c>
      <c r="N17" s="12">
        <f t="shared" si="4"/>
        <v>0</v>
      </c>
      <c r="O17" s="13" t="str">
        <f t="shared" si="5"/>
        <v>Yes</v>
      </c>
      <c r="P17" s="12">
        <f>IFERROR(VLOOKUP(B17,'Receivable Invoice Detail'!$S$1:$U$3014,3,FALSE),0)</f>
        <v>0</v>
      </c>
    </row>
    <row r="18" spans="1:16" x14ac:dyDescent="0.25">
      <c r="A18" t="s">
        <v>2151</v>
      </c>
      <c r="B18" t="s">
        <v>2333</v>
      </c>
      <c r="C18" t="s">
        <v>6166</v>
      </c>
      <c r="D18" t="s">
        <v>22</v>
      </c>
      <c r="E18" t="s">
        <v>4388</v>
      </c>
      <c r="F18" s="16">
        <v>0</v>
      </c>
      <c r="G18" s="16">
        <v>0</v>
      </c>
      <c r="H18" s="16">
        <v>-50</v>
      </c>
      <c r="I18" s="16">
        <v>0</v>
      </c>
      <c r="J18" s="16" t="str">
        <f t="shared" si="6"/>
        <v/>
      </c>
      <c r="K18">
        <f t="shared" si="1"/>
        <v>7</v>
      </c>
      <c r="L18" t="str">
        <f t="shared" si="2"/>
        <v/>
      </c>
      <c r="M18" s="12">
        <f t="shared" si="3"/>
        <v>0</v>
      </c>
      <c r="N18" s="12">
        <f t="shared" si="4"/>
        <v>0</v>
      </c>
      <c r="O18" s="13">
        <f t="shared" si="5"/>
        <v>0</v>
      </c>
      <c r="P18" s="12">
        <f>IFERROR(VLOOKUP(B18,'Receivable Invoice Detail'!$S$1:$U$3014,3,FALSE),0)</f>
        <v>0</v>
      </c>
    </row>
    <row r="19" spans="1:16" x14ac:dyDescent="0.25">
      <c r="B19" t="s">
        <v>2332</v>
      </c>
      <c r="C19" t="s">
        <v>6166</v>
      </c>
      <c r="D19" t="s">
        <v>22</v>
      </c>
      <c r="E19" t="s">
        <v>4388</v>
      </c>
      <c r="F19" s="16">
        <v>0</v>
      </c>
      <c r="G19" s="16">
        <v>0</v>
      </c>
      <c r="H19" s="16">
        <v>-129.88</v>
      </c>
      <c r="I19" s="16">
        <v>0</v>
      </c>
      <c r="J19" s="16" t="str">
        <f t="shared" si="6"/>
        <v/>
      </c>
      <c r="K19">
        <f t="shared" si="1"/>
        <v>0</v>
      </c>
      <c r="L19" t="str">
        <f t="shared" si="2"/>
        <v/>
      </c>
      <c r="M19" s="12">
        <f t="shared" si="3"/>
        <v>0</v>
      </c>
      <c r="N19" s="12">
        <f t="shared" si="4"/>
        <v>0</v>
      </c>
      <c r="O19" s="13">
        <f t="shared" si="5"/>
        <v>0</v>
      </c>
      <c r="P19" s="12">
        <f>IFERROR(VLOOKUP(B19,'Receivable Invoice Detail'!$S$1:$U$3014,3,FALSE),0)</f>
        <v>0</v>
      </c>
    </row>
    <row r="20" spans="1:16" x14ac:dyDescent="0.25">
      <c r="B20" t="s">
        <v>2334</v>
      </c>
      <c r="C20" t="s">
        <v>6166</v>
      </c>
      <c r="D20" t="s">
        <v>22</v>
      </c>
      <c r="E20" t="s">
        <v>4388</v>
      </c>
      <c r="F20" s="16">
        <v>1026.9000000000001</v>
      </c>
      <c r="G20" s="16">
        <v>716.51446194667506</v>
      </c>
      <c r="H20" s="16">
        <v>-847.02</v>
      </c>
      <c r="I20" s="16">
        <v>0</v>
      </c>
      <c r="J20" s="16" t="str">
        <f t="shared" si="6"/>
        <v/>
      </c>
      <c r="K20">
        <f t="shared" si="1"/>
        <v>0</v>
      </c>
      <c r="L20" t="str">
        <f t="shared" si="2"/>
        <v/>
      </c>
      <c r="M20" s="12">
        <f t="shared" si="3"/>
        <v>0</v>
      </c>
      <c r="N20" s="12">
        <f t="shared" si="4"/>
        <v>0</v>
      </c>
      <c r="O20" s="13">
        <f t="shared" si="5"/>
        <v>0</v>
      </c>
      <c r="P20" s="12">
        <f>IFERROR(VLOOKUP(B20,'Receivable Invoice Detail'!$S$1:$U$3014,3,FALSE),0)</f>
        <v>0</v>
      </c>
    </row>
    <row r="21" spans="1:16" x14ac:dyDescent="0.25">
      <c r="A21" s="23" t="s">
        <v>4250</v>
      </c>
      <c r="B21" s="23"/>
      <c r="C21" s="23"/>
      <c r="D21" s="23"/>
      <c r="E21" s="23"/>
      <c r="F21" s="24">
        <v>1026.9000000000001</v>
      </c>
      <c r="G21" s="24">
        <v>716.51446194667506</v>
      </c>
      <c r="H21" s="24">
        <v>-1026.9000000000001</v>
      </c>
      <c r="I21" s="24">
        <v>0</v>
      </c>
      <c r="J21" s="16" t="str">
        <f t="shared" si="6"/>
        <v>CAD</v>
      </c>
      <c r="K21">
        <f t="shared" si="1"/>
        <v>13</v>
      </c>
      <c r="L21" t="str">
        <f t="shared" si="2"/>
        <v>SO16467</v>
      </c>
      <c r="M21" s="12">
        <f t="shared" si="3"/>
        <v>0</v>
      </c>
      <c r="N21" s="12">
        <f t="shared" si="4"/>
        <v>0</v>
      </c>
      <c r="O21" s="13" t="str">
        <f t="shared" si="5"/>
        <v>Yes</v>
      </c>
      <c r="P21" s="12">
        <f>IFERROR(VLOOKUP(B21,'Receivable Invoice Detail'!$S$1:$U$3014,3,FALSE),0)</f>
        <v>0</v>
      </c>
    </row>
    <row r="22" spans="1:16" x14ac:dyDescent="0.25">
      <c r="A22" t="s">
        <v>2153</v>
      </c>
      <c r="B22" t="s">
        <v>2331</v>
      </c>
      <c r="C22" t="s">
        <v>20</v>
      </c>
      <c r="D22" t="s">
        <v>22</v>
      </c>
      <c r="E22" t="s">
        <v>4388</v>
      </c>
      <c r="F22" s="16">
        <v>1969.52</v>
      </c>
      <c r="G22" s="16">
        <v>1374.2229653259467</v>
      </c>
      <c r="H22" s="16">
        <v>-784.42</v>
      </c>
      <c r="I22" s="16">
        <v>0</v>
      </c>
      <c r="J22" s="16" t="str">
        <f t="shared" si="6"/>
        <v/>
      </c>
      <c r="K22">
        <f t="shared" si="1"/>
        <v>7</v>
      </c>
      <c r="L22" t="str">
        <f t="shared" si="2"/>
        <v/>
      </c>
      <c r="M22" s="12">
        <f t="shared" si="3"/>
        <v>0</v>
      </c>
      <c r="N22" s="12">
        <f t="shared" si="4"/>
        <v>0</v>
      </c>
      <c r="O22" s="13">
        <f t="shared" si="5"/>
        <v>0</v>
      </c>
      <c r="P22" s="12">
        <f>IFERROR(VLOOKUP(B22,'Receivable Invoice Detail'!$S$1:$U$3014,3,FALSE),0)</f>
        <v>0</v>
      </c>
    </row>
    <row r="23" spans="1:16" x14ac:dyDescent="0.25">
      <c r="B23" t="s">
        <v>2330</v>
      </c>
      <c r="C23" t="s">
        <v>20</v>
      </c>
      <c r="D23" t="s">
        <v>22</v>
      </c>
      <c r="E23" t="s">
        <v>4388</v>
      </c>
      <c r="F23" s="16">
        <v>0</v>
      </c>
      <c r="G23" s="16">
        <v>0</v>
      </c>
      <c r="H23" s="16">
        <v>-1185.0999999999999</v>
      </c>
      <c r="I23" s="16">
        <v>0</v>
      </c>
      <c r="J23" s="16" t="str">
        <f t="shared" si="6"/>
        <v/>
      </c>
      <c r="K23">
        <f t="shared" si="1"/>
        <v>0</v>
      </c>
      <c r="L23" t="str">
        <f t="shared" si="2"/>
        <v/>
      </c>
      <c r="M23" s="12">
        <f t="shared" si="3"/>
        <v>0</v>
      </c>
      <c r="N23" s="12">
        <f t="shared" si="4"/>
        <v>0</v>
      </c>
      <c r="O23" s="13">
        <f t="shared" si="5"/>
        <v>0</v>
      </c>
      <c r="P23" s="12">
        <f>IFERROR(VLOOKUP(B23,'Receivable Invoice Detail'!$S$1:$U$3014,3,FALSE),0)</f>
        <v>0</v>
      </c>
    </row>
    <row r="24" spans="1:16" x14ac:dyDescent="0.25">
      <c r="A24" s="23" t="s">
        <v>4251</v>
      </c>
      <c r="B24" s="23"/>
      <c r="C24" s="23"/>
      <c r="D24" s="23"/>
      <c r="E24" s="23"/>
      <c r="F24" s="24">
        <v>1969.52</v>
      </c>
      <c r="G24" s="24">
        <v>1374.2229653259467</v>
      </c>
      <c r="H24" s="24">
        <v>-1969.52</v>
      </c>
      <c r="I24" s="24">
        <v>0</v>
      </c>
      <c r="J24" s="16" t="str">
        <f t="shared" si="6"/>
        <v>CAD</v>
      </c>
      <c r="K24">
        <f t="shared" si="1"/>
        <v>13</v>
      </c>
      <c r="L24" t="str">
        <f t="shared" si="2"/>
        <v>SO16470</v>
      </c>
      <c r="M24" s="12">
        <f t="shared" si="3"/>
        <v>0</v>
      </c>
      <c r="N24" s="12">
        <f t="shared" si="4"/>
        <v>0</v>
      </c>
      <c r="O24" s="13" t="str">
        <f t="shared" si="5"/>
        <v>Yes</v>
      </c>
      <c r="P24" s="12">
        <f>IFERROR(VLOOKUP(B24,'Receivable Invoice Detail'!$S$1:$U$3014,3,FALSE),0)</f>
        <v>0</v>
      </c>
    </row>
    <row r="25" spans="1:16" x14ac:dyDescent="0.25">
      <c r="A25" t="s">
        <v>2104</v>
      </c>
      <c r="B25" t="s">
        <v>2357</v>
      </c>
      <c r="C25" t="s">
        <v>77</v>
      </c>
      <c r="D25" t="s">
        <v>22</v>
      </c>
      <c r="E25" t="s">
        <v>4388</v>
      </c>
      <c r="F25" s="16">
        <v>0</v>
      </c>
      <c r="G25" s="16">
        <v>0</v>
      </c>
      <c r="H25" s="16">
        <v>-80.040000000000006</v>
      </c>
      <c r="I25" s="16">
        <v>0</v>
      </c>
      <c r="J25" s="16" t="str">
        <f t="shared" si="6"/>
        <v/>
      </c>
      <c r="K25">
        <f t="shared" si="1"/>
        <v>7</v>
      </c>
      <c r="L25" t="str">
        <f t="shared" si="2"/>
        <v/>
      </c>
      <c r="M25" s="12">
        <f t="shared" si="3"/>
        <v>0</v>
      </c>
      <c r="N25" s="12">
        <f t="shared" si="4"/>
        <v>0</v>
      </c>
      <c r="O25" s="13">
        <f t="shared" si="5"/>
        <v>0</v>
      </c>
      <c r="P25" s="12">
        <f>IFERROR(VLOOKUP(B25,'Receivable Invoice Detail'!$S$1:$U$3014,3,FALSE),0)</f>
        <v>0</v>
      </c>
    </row>
    <row r="26" spans="1:16" x14ac:dyDescent="0.25">
      <c r="B26" t="s">
        <v>2358</v>
      </c>
      <c r="C26" t="s">
        <v>77</v>
      </c>
      <c r="D26" t="s">
        <v>22</v>
      </c>
      <c r="E26" t="s">
        <v>4388</v>
      </c>
      <c r="F26" s="16">
        <v>2121.09</v>
      </c>
      <c r="G26" s="16">
        <v>1473.666355725936</v>
      </c>
      <c r="H26" s="16">
        <v>-2041.05</v>
      </c>
      <c r="I26" s="16">
        <v>0</v>
      </c>
      <c r="J26" s="16" t="str">
        <f t="shared" si="6"/>
        <v/>
      </c>
      <c r="K26">
        <f t="shared" si="1"/>
        <v>0</v>
      </c>
      <c r="L26" t="str">
        <f t="shared" si="2"/>
        <v/>
      </c>
      <c r="M26" s="12">
        <f t="shared" si="3"/>
        <v>0</v>
      </c>
      <c r="N26" s="12">
        <f t="shared" si="4"/>
        <v>0</v>
      </c>
      <c r="O26" s="13">
        <f t="shared" si="5"/>
        <v>0</v>
      </c>
      <c r="P26" s="12">
        <f>IFERROR(VLOOKUP(B26,'Receivable Invoice Detail'!$S$1:$U$3014,3,FALSE),0)</f>
        <v>0</v>
      </c>
    </row>
    <row r="27" spans="1:16" x14ac:dyDescent="0.25">
      <c r="A27" s="23" t="s">
        <v>4252</v>
      </c>
      <c r="B27" s="23"/>
      <c r="C27" s="23"/>
      <c r="D27" s="23"/>
      <c r="E27" s="23"/>
      <c r="F27" s="24">
        <v>2121.09</v>
      </c>
      <c r="G27" s="24">
        <v>1473.666355725936</v>
      </c>
      <c r="H27" s="24">
        <v>-2121.09</v>
      </c>
      <c r="I27" s="24">
        <v>0</v>
      </c>
      <c r="J27" s="16" t="str">
        <f t="shared" si="6"/>
        <v>CAD</v>
      </c>
      <c r="K27">
        <f t="shared" si="1"/>
        <v>13</v>
      </c>
      <c r="L27" t="str">
        <f t="shared" si="2"/>
        <v>SO16476</v>
      </c>
      <c r="M27" s="12">
        <f t="shared" si="3"/>
        <v>0</v>
      </c>
      <c r="N27" s="12">
        <f t="shared" si="4"/>
        <v>0</v>
      </c>
      <c r="O27" s="13" t="str">
        <f t="shared" si="5"/>
        <v>Yes</v>
      </c>
      <c r="P27" s="12">
        <f>IFERROR(VLOOKUP(B27,'Receivable Invoice Detail'!$S$1:$U$3014,3,FALSE),0)</f>
        <v>0</v>
      </c>
    </row>
    <row r="28" spans="1:16" x14ac:dyDescent="0.25">
      <c r="A28" t="s">
        <v>2116</v>
      </c>
      <c r="B28" t="s">
        <v>2351</v>
      </c>
      <c r="C28" t="s">
        <v>353</v>
      </c>
      <c r="D28" t="s">
        <v>22</v>
      </c>
      <c r="E28" t="s">
        <v>4388</v>
      </c>
      <c r="F28" s="16">
        <v>9500.83</v>
      </c>
      <c r="G28" s="16">
        <v>6602.3191438088716</v>
      </c>
      <c r="H28" s="16">
        <v>-8614.85</v>
      </c>
      <c r="I28" s="16">
        <v>0</v>
      </c>
      <c r="J28" s="16" t="str">
        <f t="shared" si="6"/>
        <v/>
      </c>
      <c r="K28">
        <f t="shared" si="1"/>
        <v>7</v>
      </c>
      <c r="L28" t="str">
        <f t="shared" si="2"/>
        <v/>
      </c>
      <c r="M28" s="12">
        <f t="shared" si="3"/>
        <v>0</v>
      </c>
      <c r="N28" s="12">
        <f t="shared" si="4"/>
        <v>0</v>
      </c>
      <c r="O28" s="13">
        <f t="shared" si="5"/>
        <v>0</v>
      </c>
      <c r="P28" s="12">
        <f>IFERROR(VLOOKUP(B28,'Receivable Invoice Detail'!$S$1:$U$3014,3,FALSE),0)</f>
        <v>0</v>
      </c>
    </row>
    <row r="29" spans="1:16" x14ac:dyDescent="0.25">
      <c r="B29" t="s">
        <v>2350</v>
      </c>
      <c r="C29" t="s">
        <v>353</v>
      </c>
      <c r="D29" t="s">
        <v>22</v>
      </c>
      <c r="E29" t="s">
        <v>4388</v>
      </c>
      <c r="F29" s="16">
        <v>0</v>
      </c>
      <c r="G29" s="16">
        <v>0</v>
      </c>
      <c r="H29" s="16">
        <v>-885.98</v>
      </c>
      <c r="I29" s="16">
        <v>0</v>
      </c>
      <c r="J29" s="16" t="str">
        <f t="shared" si="6"/>
        <v/>
      </c>
      <c r="K29">
        <f t="shared" si="1"/>
        <v>0</v>
      </c>
      <c r="L29" t="str">
        <f t="shared" si="2"/>
        <v/>
      </c>
      <c r="M29" s="12">
        <f t="shared" si="3"/>
        <v>0</v>
      </c>
      <c r="N29" s="12">
        <f t="shared" si="4"/>
        <v>0</v>
      </c>
      <c r="O29" s="13">
        <f t="shared" si="5"/>
        <v>0</v>
      </c>
      <c r="P29" s="12">
        <f>IFERROR(VLOOKUP(B29,'Receivable Invoice Detail'!$S$1:$U$3014,3,FALSE),0)</f>
        <v>0</v>
      </c>
    </row>
    <row r="30" spans="1:16" x14ac:dyDescent="0.25">
      <c r="A30" s="23" t="s">
        <v>4253</v>
      </c>
      <c r="B30" s="23"/>
      <c r="C30" s="23"/>
      <c r="D30" s="23"/>
      <c r="E30" s="23"/>
      <c r="F30" s="24">
        <v>9500.83</v>
      </c>
      <c r="G30" s="24">
        <v>6602.3191438088716</v>
      </c>
      <c r="H30" s="24">
        <v>-9500.83</v>
      </c>
      <c r="I30" s="24">
        <v>0</v>
      </c>
      <c r="J30" s="16" t="str">
        <f t="shared" si="6"/>
        <v>CAD</v>
      </c>
      <c r="K30">
        <f t="shared" si="1"/>
        <v>13</v>
      </c>
      <c r="L30" t="str">
        <f t="shared" si="2"/>
        <v>SO16496</v>
      </c>
      <c r="M30" s="12">
        <f t="shared" si="3"/>
        <v>0</v>
      </c>
      <c r="N30" s="12">
        <f t="shared" si="4"/>
        <v>0</v>
      </c>
      <c r="O30" s="13" t="str">
        <f t="shared" si="5"/>
        <v>Yes</v>
      </c>
      <c r="P30" s="12">
        <f>IFERROR(VLOOKUP(B30,'Receivable Invoice Detail'!$S$1:$U$3014,3,FALSE),0)</f>
        <v>0</v>
      </c>
    </row>
    <row r="31" spans="1:16" x14ac:dyDescent="0.25">
      <c r="A31" t="s">
        <v>2096</v>
      </c>
      <c r="B31" t="s">
        <v>2362</v>
      </c>
      <c r="C31" t="s">
        <v>465</v>
      </c>
      <c r="D31" t="s">
        <v>22</v>
      </c>
      <c r="E31" t="s">
        <v>4388</v>
      </c>
      <c r="F31" s="16">
        <v>0</v>
      </c>
      <c r="G31" s="16">
        <v>0</v>
      </c>
      <c r="H31" s="16">
        <v>-7811.79</v>
      </c>
      <c r="I31" s="16">
        <v>0</v>
      </c>
      <c r="J31" s="16" t="str">
        <f t="shared" si="6"/>
        <v/>
      </c>
      <c r="K31">
        <f t="shared" si="1"/>
        <v>7</v>
      </c>
      <c r="L31" t="str">
        <f t="shared" si="2"/>
        <v/>
      </c>
      <c r="M31" s="12">
        <f t="shared" si="3"/>
        <v>0</v>
      </c>
      <c r="N31" s="12">
        <f t="shared" si="4"/>
        <v>0</v>
      </c>
      <c r="O31" s="13">
        <f t="shared" si="5"/>
        <v>0</v>
      </c>
      <c r="P31" s="12">
        <f>IFERROR(VLOOKUP(B31,'Receivable Invoice Detail'!$S$1:$U$3014,3,FALSE),0)</f>
        <v>0</v>
      </c>
    </row>
    <row r="32" spans="1:16" x14ac:dyDescent="0.25">
      <c r="B32" t="s">
        <v>2363</v>
      </c>
      <c r="C32" t="s">
        <v>465</v>
      </c>
      <c r="D32" t="s">
        <v>22</v>
      </c>
      <c r="E32" t="s">
        <v>4389</v>
      </c>
      <c r="F32" s="16">
        <v>5908.82</v>
      </c>
      <c r="G32" s="16">
        <v>4104.7279057129554</v>
      </c>
      <c r="H32" s="16">
        <v>0</v>
      </c>
      <c r="I32" s="16">
        <v>0</v>
      </c>
      <c r="J32" s="16" t="str">
        <f t="shared" si="6"/>
        <v/>
      </c>
      <c r="K32">
        <f t="shared" si="1"/>
        <v>0</v>
      </c>
      <c r="L32" t="str">
        <f t="shared" si="2"/>
        <v/>
      </c>
      <c r="M32" s="12">
        <f t="shared" si="3"/>
        <v>0</v>
      </c>
      <c r="N32" s="12">
        <f t="shared" si="4"/>
        <v>0</v>
      </c>
      <c r="O32" s="13">
        <f t="shared" si="5"/>
        <v>0</v>
      </c>
      <c r="P32" s="12">
        <f>IFERROR(VLOOKUP(B32,'Receivable Invoice Detail'!$S$1:$U$3014,3,FALSE),0)</f>
        <v>0</v>
      </c>
    </row>
    <row r="33" spans="1:19" x14ac:dyDescent="0.25">
      <c r="A33" s="23" t="s">
        <v>4254</v>
      </c>
      <c r="B33" s="23"/>
      <c r="C33" s="23"/>
      <c r="D33" s="23"/>
      <c r="E33" s="23"/>
      <c r="F33" s="24">
        <v>5908.82</v>
      </c>
      <c r="G33" s="24">
        <v>4104.7279057129554</v>
      </c>
      <c r="H33" s="24">
        <v>-7811.79</v>
      </c>
      <c r="I33" s="24">
        <v>0</v>
      </c>
      <c r="J33" s="16" t="str">
        <f t="shared" si="6"/>
        <v>CAD</v>
      </c>
      <c r="K33">
        <f t="shared" si="1"/>
        <v>13</v>
      </c>
      <c r="L33" t="str">
        <f t="shared" si="2"/>
        <v>SO16501</v>
      </c>
      <c r="M33" s="69">
        <f t="shared" si="3"/>
        <v>-1902.97</v>
      </c>
      <c r="N33" s="12">
        <f t="shared" si="4"/>
        <v>0</v>
      </c>
      <c r="O33" s="13">
        <f t="shared" si="5"/>
        <v>0</v>
      </c>
      <c r="P33" s="12">
        <f>IFERROR(VLOOKUP(B33,'Receivable Invoice Detail'!$S$1:$U$3014,3,FALSE),0)</f>
        <v>0</v>
      </c>
    </row>
    <row r="34" spans="1:19" x14ac:dyDescent="0.25">
      <c r="A34" t="s">
        <v>1683</v>
      </c>
      <c r="B34" t="s">
        <v>2605</v>
      </c>
      <c r="C34" t="s">
        <v>54</v>
      </c>
      <c r="D34" t="s">
        <v>22</v>
      </c>
      <c r="E34" t="s">
        <v>4388</v>
      </c>
      <c r="F34" s="16">
        <v>0</v>
      </c>
      <c r="G34" s="16">
        <v>0</v>
      </c>
      <c r="H34" s="16">
        <v>-10755.87</v>
      </c>
      <c r="I34" s="16">
        <v>0</v>
      </c>
      <c r="J34" s="16" t="str">
        <f t="shared" si="6"/>
        <v/>
      </c>
      <c r="K34">
        <f t="shared" si="1"/>
        <v>7</v>
      </c>
      <c r="L34" t="str">
        <f t="shared" si="2"/>
        <v/>
      </c>
      <c r="M34" s="12">
        <f t="shared" si="3"/>
        <v>0</v>
      </c>
      <c r="N34" s="12">
        <f t="shared" si="4"/>
        <v>0</v>
      </c>
      <c r="O34" s="13">
        <f t="shared" si="5"/>
        <v>0</v>
      </c>
      <c r="P34" s="12">
        <f>IFERROR(VLOOKUP(B34,'Receivable Invoice Detail'!$S$1:$U$3014,3,FALSE),0)</f>
        <v>0</v>
      </c>
    </row>
    <row r="35" spans="1:19" x14ac:dyDescent="0.25">
      <c r="B35" t="s">
        <v>2606</v>
      </c>
      <c r="C35" t="s">
        <v>54</v>
      </c>
      <c r="D35" t="s">
        <v>22</v>
      </c>
      <c r="E35" t="s">
        <v>4388</v>
      </c>
      <c r="F35" s="16">
        <v>16754.72</v>
      </c>
      <c r="G35" s="16">
        <v>11673.944700760123</v>
      </c>
      <c r="H35" s="16">
        <v>-5998.85</v>
      </c>
      <c r="I35" s="16">
        <v>0</v>
      </c>
      <c r="J35" s="16" t="str">
        <f t="shared" si="6"/>
        <v/>
      </c>
      <c r="K35">
        <f t="shared" si="1"/>
        <v>0</v>
      </c>
      <c r="L35" t="str">
        <f t="shared" si="2"/>
        <v/>
      </c>
      <c r="M35" s="12">
        <f t="shared" si="3"/>
        <v>0</v>
      </c>
      <c r="N35" s="12">
        <f t="shared" si="4"/>
        <v>0</v>
      </c>
      <c r="O35" s="13">
        <f t="shared" si="5"/>
        <v>0</v>
      </c>
      <c r="P35" s="12">
        <f>IFERROR(VLOOKUP(B35,'Receivable Invoice Detail'!$S$1:$U$3014,3,FALSE),0)</f>
        <v>0</v>
      </c>
    </row>
    <row r="36" spans="1:19" x14ac:dyDescent="0.25">
      <c r="A36" s="23" t="s">
        <v>4255</v>
      </c>
      <c r="B36" s="23"/>
      <c r="C36" s="23"/>
      <c r="D36" s="23"/>
      <c r="E36" s="23"/>
      <c r="F36" s="24">
        <v>16754.72</v>
      </c>
      <c r="G36" s="24">
        <v>11673.944700760123</v>
      </c>
      <c r="H36" s="24">
        <v>-16754.72</v>
      </c>
      <c r="I36" s="24">
        <v>0</v>
      </c>
      <c r="J36" s="16" t="str">
        <f t="shared" si="6"/>
        <v>CAD</v>
      </c>
      <c r="K36">
        <f t="shared" si="1"/>
        <v>13</v>
      </c>
      <c r="L36" t="str">
        <f t="shared" si="2"/>
        <v>SO16513</v>
      </c>
      <c r="M36" s="12">
        <f t="shared" si="3"/>
        <v>0</v>
      </c>
      <c r="N36" s="12">
        <f t="shared" si="4"/>
        <v>0</v>
      </c>
      <c r="O36" s="13" t="str">
        <f t="shared" si="5"/>
        <v>Yes</v>
      </c>
      <c r="P36" s="12">
        <f>IFERROR(VLOOKUP(B36,'Receivable Invoice Detail'!$S$1:$U$3014,3,FALSE),0)</f>
        <v>0</v>
      </c>
    </row>
    <row r="37" spans="1:19" x14ac:dyDescent="0.25">
      <c r="A37" t="s">
        <v>2070</v>
      </c>
      <c r="B37" t="s">
        <v>2378</v>
      </c>
      <c r="C37" t="s">
        <v>77</v>
      </c>
      <c r="D37" t="s">
        <v>22</v>
      </c>
      <c r="E37" t="s">
        <v>4388</v>
      </c>
      <c r="F37" s="16">
        <v>1387.4</v>
      </c>
      <c r="G37" s="16">
        <v>950.22183545818893</v>
      </c>
      <c r="H37" s="16">
        <v>-158.34</v>
      </c>
      <c r="I37" s="16">
        <v>0</v>
      </c>
      <c r="J37" s="16" t="str">
        <f t="shared" si="6"/>
        <v/>
      </c>
      <c r="K37">
        <f t="shared" si="1"/>
        <v>7</v>
      </c>
      <c r="L37" t="str">
        <f t="shared" si="2"/>
        <v/>
      </c>
      <c r="M37" s="12">
        <f t="shared" si="3"/>
        <v>0</v>
      </c>
      <c r="N37" s="12">
        <f t="shared" si="4"/>
        <v>0</v>
      </c>
      <c r="O37" s="13">
        <f t="shared" si="5"/>
        <v>0</v>
      </c>
      <c r="P37" s="12">
        <f>IFERROR(VLOOKUP(B37,'Receivable Invoice Detail'!$S$1:$U$3014,3,FALSE),0)</f>
        <v>0</v>
      </c>
    </row>
    <row r="38" spans="1:19" x14ac:dyDescent="0.25">
      <c r="B38" t="s">
        <v>2377</v>
      </c>
      <c r="C38" t="s">
        <v>77</v>
      </c>
      <c r="D38" t="s">
        <v>22</v>
      </c>
      <c r="E38" t="s">
        <v>4388</v>
      </c>
      <c r="F38" s="16">
        <v>0</v>
      </c>
      <c r="G38" s="16">
        <v>0</v>
      </c>
      <c r="H38" s="16">
        <v>-1229.06</v>
      </c>
      <c r="I38" s="16">
        <v>0</v>
      </c>
      <c r="J38" s="16" t="str">
        <f t="shared" si="6"/>
        <v/>
      </c>
      <c r="K38">
        <f t="shared" si="1"/>
        <v>0</v>
      </c>
      <c r="L38" t="str">
        <f t="shared" si="2"/>
        <v/>
      </c>
      <c r="M38" s="12">
        <f t="shared" si="3"/>
        <v>0</v>
      </c>
      <c r="N38" s="12">
        <f t="shared" si="4"/>
        <v>0</v>
      </c>
      <c r="O38" s="13">
        <f t="shared" si="5"/>
        <v>0</v>
      </c>
      <c r="P38" s="12">
        <f>IFERROR(VLOOKUP(B38,'Receivable Invoice Detail'!$S$1:$U$3014,3,FALSE),0)</f>
        <v>0</v>
      </c>
    </row>
    <row r="39" spans="1:19" x14ac:dyDescent="0.25">
      <c r="A39" s="23" t="s">
        <v>4256</v>
      </c>
      <c r="B39" s="23"/>
      <c r="C39" s="23"/>
      <c r="D39" s="23"/>
      <c r="E39" s="23"/>
      <c r="F39" s="24">
        <v>1387.4</v>
      </c>
      <c r="G39" s="24">
        <v>950.22183545818893</v>
      </c>
      <c r="H39" s="24">
        <v>-1387.3999999999999</v>
      </c>
      <c r="I39" s="24">
        <v>0</v>
      </c>
      <c r="J39" s="16" t="str">
        <f t="shared" si="6"/>
        <v>CAD</v>
      </c>
      <c r="K39">
        <f t="shared" si="1"/>
        <v>13</v>
      </c>
      <c r="L39" t="str">
        <f t="shared" si="2"/>
        <v>SO16515</v>
      </c>
      <c r="M39" s="12">
        <f t="shared" si="3"/>
        <v>0</v>
      </c>
      <c r="N39" s="12">
        <f t="shared" si="4"/>
        <v>0</v>
      </c>
      <c r="O39" s="13" t="str">
        <f t="shared" si="5"/>
        <v>Yes</v>
      </c>
      <c r="P39" s="12">
        <f>IFERROR(VLOOKUP(B39,'Receivable Invoice Detail'!$S$1:$U$3014,3,FALSE),0)</f>
        <v>0</v>
      </c>
    </row>
    <row r="40" spans="1:19" x14ac:dyDescent="0.25">
      <c r="A40" t="s">
        <v>2019</v>
      </c>
      <c r="B40" t="s">
        <v>2414</v>
      </c>
      <c r="C40" t="s">
        <v>77</v>
      </c>
      <c r="D40" t="s">
        <v>22</v>
      </c>
      <c r="E40" t="s">
        <v>4388</v>
      </c>
      <c r="F40" s="16">
        <v>183.84</v>
      </c>
      <c r="G40" s="16">
        <v>128.48034772620912</v>
      </c>
      <c r="H40" s="16">
        <v>-126.5</v>
      </c>
      <c r="I40" s="16">
        <v>0</v>
      </c>
      <c r="J40" s="16" t="str">
        <f t="shared" si="6"/>
        <v/>
      </c>
      <c r="K40">
        <f t="shared" si="1"/>
        <v>7</v>
      </c>
      <c r="L40" t="str">
        <f t="shared" si="2"/>
        <v/>
      </c>
      <c r="M40" s="12">
        <f t="shared" si="3"/>
        <v>0</v>
      </c>
      <c r="N40" s="12">
        <f t="shared" si="4"/>
        <v>0</v>
      </c>
      <c r="O40" s="13">
        <f t="shared" si="5"/>
        <v>0</v>
      </c>
      <c r="P40" s="12">
        <f>IFERROR(VLOOKUP(B40,'Receivable Invoice Detail'!$S$1:$U$3014,3,FALSE),0)</f>
        <v>0</v>
      </c>
    </row>
    <row r="41" spans="1:19" x14ac:dyDescent="0.25">
      <c r="B41" t="s">
        <v>2413</v>
      </c>
      <c r="C41" t="s">
        <v>77</v>
      </c>
      <c r="D41" t="s">
        <v>22</v>
      </c>
      <c r="E41" t="s">
        <v>4388</v>
      </c>
      <c r="F41" s="16">
        <v>0</v>
      </c>
      <c r="G41" s="16">
        <v>0</v>
      </c>
      <c r="H41" s="16">
        <v>-57.34</v>
      </c>
      <c r="I41" s="16">
        <v>0</v>
      </c>
      <c r="J41" s="16" t="str">
        <f t="shared" si="6"/>
        <v/>
      </c>
      <c r="K41">
        <f t="shared" si="1"/>
        <v>0</v>
      </c>
      <c r="L41" t="str">
        <f t="shared" si="2"/>
        <v/>
      </c>
      <c r="M41" s="12">
        <f t="shared" si="3"/>
        <v>0</v>
      </c>
      <c r="N41" s="12">
        <f t="shared" si="4"/>
        <v>0</v>
      </c>
      <c r="O41" s="13">
        <f t="shared" si="5"/>
        <v>0</v>
      </c>
      <c r="P41" s="12">
        <f>IFERROR(VLOOKUP(B41,'Receivable Invoice Detail'!$S$1:$U$3014,3,FALSE),0)</f>
        <v>0</v>
      </c>
    </row>
    <row r="42" spans="1:19" x14ac:dyDescent="0.25">
      <c r="A42" s="23" t="s">
        <v>4257</v>
      </c>
      <c r="B42" s="23"/>
      <c r="C42" s="23"/>
      <c r="D42" s="23"/>
      <c r="E42" s="23"/>
      <c r="F42" s="24">
        <v>183.84</v>
      </c>
      <c r="G42" s="24">
        <v>128.48034772620912</v>
      </c>
      <c r="H42" s="24">
        <v>-183.84</v>
      </c>
      <c r="I42" s="24">
        <v>0</v>
      </c>
      <c r="J42" s="16" t="str">
        <f t="shared" si="6"/>
        <v>CAD</v>
      </c>
      <c r="K42">
        <f t="shared" si="1"/>
        <v>13</v>
      </c>
      <c r="L42" t="str">
        <f t="shared" si="2"/>
        <v>SO16516</v>
      </c>
      <c r="M42" s="12">
        <f t="shared" si="3"/>
        <v>0</v>
      </c>
      <c r="N42" s="12">
        <f t="shared" si="4"/>
        <v>0</v>
      </c>
      <c r="O42" s="13" t="str">
        <f t="shared" si="5"/>
        <v>Yes</v>
      </c>
      <c r="P42" s="12">
        <f>IFERROR(VLOOKUP(B42,'Receivable Invoice Detail'!$S$1:$U$3014,3,FALSE),0)</f>
        <v>0</v>
      </c>
    </row>
    <row r="43" spans="1:19" x14ac:dyDescent="0.25">
      <c r="A43" t="s">
        <v>2074</v>
      </c>
      <c r="B43" t="s">
        <v>2375</v>
      </c>
      <c r="C43" t="s">
        <v>1852</v>
      </c>
      <c r="D43" t="s">
        <v>51</v>
      </c>
      <c r="E43" t="s">
        <v>4388</v>
      </c>
      <c r="F43" s="16">
        <v>1011.6318583251989</v>
      </c>
      <c r="G43" s="16">
        <v>701.8</v>
      </c>
      <c r="H43" s="16">
        <v>0</v>
      </c>
      <c r="I43" s="16">
        <v>-331.92</v>
      </c>
      <c r="J43" s="16" t="str">
        <f t="shared" si="6"/>
        <v/>
      </c>
      <c r="K43">
        <f t="shared" si="1"/>
        <v>7</v>
      </c>
      <c r="L43" t="str">
        <f t="shared" si="2"/>
        <v/>
      </c>
      <c r="M43" s="12">
        <f t="shared" si="3"/>
        <v>0</v>
      </c>
      <c r="N43" s="12">
        <f t="shared" si="4"/>
        <v>0</v>
      </c>
      <c r="O43" s="13">
        <f t="shared" si="5"/>
        <v>0</v>
      </c>
      <c r="P43" s="12">
        <f>IFERROR(VLOOKUP(B43,'Receivable Invoice Detail'!$S$1:$U$3014,3,FALSE),0)</f>
        <v>0</v>
      </c>
    </row>
    <row r="44" spans="1:19" x14ac:dyDescent="0.25">
      <c r="B44" t="s">
        <v>2374</v>
      </c>
      <c r="C44" t="s">
        <v>1852</v>
      </c>
      <c r="D44" t="s">
        <v>51</v>
      </c>
      <c r="E44" t="s">
        <v>4388</v>
      </c>
      <c r="F44" s="16">
        <v>0</v>
      </c>
      <c r="G44" s="16">
        <v>0</v>
      </c>
      <c r="H44" s="16">
        <v>0</v>
      </c>
      <c r="I44" s="16">
        <v>-369.88</v>
      </c>
      <c r="J44" s="16" t="str">
        <f t="shared" si="6"/>
        <v/>
      </c>
      <c r="K44">
        <f t="shared" si="1"/>
        <v>0</v>
      </c>
      <c r="L44" t="str">
        <f t="shared" si="2"/>
        <v/>
      </c>
      <c r="M44" s="12">
        <f t="shared" si="3"/>
        <v>0</v>
      </c>
      <c r="N44" s="12">
        <f t="shared" si="4"/>
        <v>0</v>
      </c>
      <c r="O44" s="13">
        <f t="shared" si="5"/>
        <v>0</v>
      </c>
      <c r="P44" s="12">
        <f>IFERROR(VLOOKUP(B44,'Receivable Invoice Detail'!$S$1:$U$3014,3,FALSE),0)</f>
        <v>0</v>
      </c>
    </row>
    <row r="45" spans="1:19" x14ac:dyDescent="0.25">
      <c r="A45" s="23" t="s">
        <v>4258</v>
      </c>
      <c r="B45" s="23"/>
      <c r="C45" s="23"/>
      <c r="D45" s="23"/>
      <c r="E45" s="23"/>
      <c r="F45" s="24">
        <v>1011.6318583251989</v>
      </c>
      <c r="G45" s="24">
        <v>701.8</v>
      </c>
      <c r="H45" s="24">
        <v>0</v>
      </c>
      <c r="I45" s="24">
        <v>-701.8</v>
      </c>
      <c r="J45" s="16" t="str">
        <f t="shared" si="6"/>
        <v>USD</v>
      </c>
      <c r="K45">
        <f t="shared" si="1"/>
        <v>13</v>
      </c>
      <c r="L45" t="str">
        <f t="shared" si="2"/>
        <v>SO16522</v>
      </c>
      <c r="M45" s="12">
        <f t="shared" si="3"/>
        <v>0</v>
      </c>
      <c r="N45" s="12">
        <f t="shared" si="4"/>
        <v>0</v>
      </c>
      <c r="O45" s="13" t="str">
        <f t="shared" si="5"/>
        <v>Yes</v>
      </c>
      <c r="P45" s="12">
        <f>IFERROR(VLOOKUP(B45,'Receivable Invoice Detail'!$S$1:$U$3014,3,FALSE),0)</f>
        <v>0</v>
      </c>
    </row>
    <row r="46" spans="1:19" x14ac:dyDescent="0.25">
      <c r="A46" t="s">
        <v>2068</v>
      </c>
      <c r="B46" t="s">
        <v>2379</v>
      </c>
      <c r="C46" t="s">
        <v>644</v>
      </c>
      <c r="D46" t="s">
        <v>51</v>
      </c>
      <c r="E46" t="s">
        <v>4388</v>
      </c>
      <c r="F46" s="16">
        <v>0</v>
      </c>
      <c r="G46" s="16">
        <v>0</v>
      </c>
      <c r="H46" s="16">
        <v>0</v>
      </c>
      <c r="I46" s="16">
        <v>-3458.61</v>
      </c>
      <c r="J46" s="16" t="str">
        <f t="shared" si="6"/>
        <v/>
      </c>
      <c r="K46">
        <f t="shared" si="1"/>
        <v>7</v>
      </c>
      <c r="L46" t="str">
        <f t="shared" si="2"/>
        <v/>
      </c>
      <c r="M46" s="12">
        <f t="shared" si="3"/>
        <v>0</v>
      </c>
      <c r="N46" s="12">
        <f t="shared" si="4"/>
        <v>0</v>
      </c>
      <c r="O46" s="13">
        <f t="shared" si="5"/>
        <v>0</v>
      </c>
      <c r="P46" s="12">
        <f>IFERROR(VLOOKUP(B46,'Receivable Invoice Detail'!$S$1:$U$3014,3,FALSE),0)</f>
        <v>605</v>
      </c>
    </row>
    <row r="47" spans="1:19" x14ac:dyDescent="0.25">
      <c r="B47" t="s">
        <v>2380</v>
      </c>
      <c r="C47" t="s">
        <v>644</v>
      </c>
      <c r="D47" t="s">
        <v>51</v>
      </c>
      <c r="E47" t="s">
        <v>4388</v>
      </c>
      <c r="F47" s="16">
        <v>10249.502200717283</v>
      </c>
      <c r="G47" s="16">
        <v>7054.91</v>
      </c>
      <c r="H47" s="16">
        <v>0</v>
      </c>
      <c r="I47" s="16">
        <v>-4239.3</v>
      </c>
      <c r="J47" s="16" t="str">
        <f t="shared" si="6"/>
        <v/>
      </c>
      <c r="K47">
        <f t="shared" si="1"/>
        <v>0</v>
      </c>
      <c r="L47" t="str">
        <f t="shared" si="2"/>
        <v/>
      </c>
      <c r="M47" s="12">
        <f t="shared" si="3"/>
        <v>0</v>
      </c>
      <c r="N47" s="12">
        <f t="shared" si="4"/>
        <v>0</v>
      </c>
      <c r="O47" s="13">
        <f t="shared" si="5"/>
        <v>0</v>
      </c>
      <c r="P47" s="12">
        <f>IFERROR(VLOOKUP(B47,'Receivable Invoice Detail'!$S$1:$U$3014,3,FALSE),0)</f>
        <v>643</v>
      </c>
    </row>
    <row r="48" spans="1:19" x14ac:dyDescent="0.25">
      <c r="A48" s="23" t="s">
        <v>4259</v>
      </c>
      <c r="B48" s="23"/>
      <c r="C48" s="23"/>
      <c r="D48" s="23"/>
      <c r="E48" s="23"/>
      <c r="F48" s="24">
        <v>10249.502200717283</v>
      </c>
      <c r="G48" s="24">
        <v>7054.91</v>
      </c>
      <c r="H48" s="24">
        <v>0</v>
      </c>
      <c r="I48" s="24">
        <v>-7697.91</v>
      </c>
      <c r="J48" s="16" t="str">
        <f t="shared" si="6"/>
        <v>USD</v>
      </c>
      <c r="K48">
        <f t="shared" si="1"/>
        <v>13</v>
      </c>
      <c r="L48" t="str">
        <f t="shared" si="2"/>
        <v>SO16525</v>
      </c>
      <c r="M48" s="12">
        <f t="shared" si="3"/>
        <v>0</v>
      </c>
      <c r="N48" s="12">
        <f t="shared" si="4"/>
        <v>-643</v>
      </c>
      <c r="O48" s="13">
        <f t="shared" si="5"/>
        <v>0</v>
      </c>
      <c r="P48" s="12">
        <f>IFERROR(VLOOKUP(B48,'Receivable Invoice Detail'!$S$1:$U$3014,3,FALSE),0)</f>
        <v>0</v>
      </c>
      <c r="Q48" t="s">
        <v>4388</v>
      </c>
      <c r="R48">
        <v>12830</v>
      </c>
      <c r="S48" t="s">
        <v>4390</v>
      </c>
    </row>
    <row r="49" spans="1:16" x14ac:dyDescent="0.25">
      <c r="A49" t="s">
        <v>2007</v>
      </c>
      <c r="B49" t="s">
        <v>2421</v>
      </c>
      <c r="C49" t="s">
        <v>20</v>
      </c>
      <c r="D49" t="s">
        <v>22</v>
      </c>
      <c r="E49" t="s">
        <v>4388</v>
      </c>
      <c r="F49" s="16">
        <v>0</v>
      </c>
      <c r="G49" s="16">
        <v>0</v>
      </c>
      <c r="H49" s="16">
        <v>-678.09</v>
      </c>
      <c r="I49" s="16">
        <v>0</v>
      </c>
      <c r="J49" s="16" t="str">
        <f t="shared" si="6"/>
        <v/>
      </c>
      <c r="K49">
        <f t="shared" si="1"/>
        <v>7</v>
      </c>
      <c r="L49" t="str">
        <f t="shared" si="2"/>
        <v/>
      </c>
      <c r="M49" s="12">
        <f t="shared" si="3"/>
        <v>0</v>
      </c>
      <c r="N49" s="12">
        <f t="shared" si="4"/>
        <v>0</v>
      </c>
      <c r="O49" s="13">
        <f t="shared" si="5"/>
        <v>0</v>
      </c>
      <c r="P49" s="12">
        <f>IFERROR(VLOOKUP(B49,'Receivable Invoice Detail'!$S$1:$U$3014,3,FALSE),0)</f>
        <v>0</v>
      </c>
    </row>
    <row r="50" spans="1:16" x14ac:dyDescent="0.25">
      <c r="B50" t="s">
        <v>2422</v>
      </c>
      <c r="C50" t="s">
        <v>20</v>
      </c>
      <c r="D50" t="s">
        <v>22</v>
      </c>
      <c r="E50" t="s">
        <v>4388</v>
      </c>
      <c r="F50" s="16">
        <v>6392.94</v>
      </c>
      <c r="G50" s="16">
        <v>4474.1661090711332</v>
      </c>
      <c r="H50" s="16">
        <v>-5714.85</v>
      </c>
      <c r="I50" s="16">
        <v>0</v>
      </c>
      <c r="J50" s="16" t="str">
        <f t="shared" si="6"/>
        <v/>
      </c>
      <c r="K50">
        <f t="shared" si="1"/>
        <v>0</v>
      </c>
      <c r="L50" t="str">
        <f t="shared" si="2"/>
        <v/>
      </c>
      <c r="M50" s="12">
        <f t="shared" si="3"/>
        <v>0</v>
      </c>
      <c r="N50" s="12">
        <f t="shared" si="4"/>
        <v>0</v>
      </c>
      <c r="O50" s="13">
        <f t="shared" si="5"/>
        <v>0</v>
      </c>
      <c r="P50" s="12">
        <f>IFERROR(VLOOKUP(B50,'Receivable Invoice Detail'!$S$1:$U$3014,3,FALSE),0)</f>
        <v>0</v>
      </c>
    </row>
    <row r="51" spans="1:16" x14ac:dyDescent="0.25">
      <c r="A51" s="23" t="s">
        <v>4260</v>
      </c>
      <c r="B51" s="23"/>
      <c r="C51" s="23"/>
      <c r="D51" s="23"/>
      <c r="E51" s="23"/>
      <c r="F51" s="24">
        <v>6392.94</v>
      </c>
      <c r="G51" s="24">
        <v>4474.1661090711332</v>
      </c>
      <c r="H51" s="24">
        <v>-6392.9400000000005</v>
      </c>
      <c r="I51" s="24">
        <v>0</v>
      </c>
      <c r="J51" s="16" t="str">
        <f t="shared" si="6"/>
        <v>CAD</v>
      </c>
      <c r="K51">
        <f t="shared" si="1"/>
        <v>13</v>
      </c>
      <c r="L51" t="str">
        <f t="shared" si="2"/>
        <v>SO16527</v>
      </c>
      <c r="M51" s="12">
        <f t="shared" si="3"/>
        <v>0</v>
      </c>
      <c r="N51" s="12">
        <f t="shared" si="4"/>
        <v>0</v>
      </c>
      <c r="O51" s="13" t="str">
        <f t="shared" si="5"/>
        <v>Yes</v>
      </c>
      <c r="P51" s="12">
        <f>IFERROR(VLOOKUP(B51,'Receivable Invoice Detail'!$S$1:$U$3014,3,FALSE),0)</f>
        <v>0</v>
      </c>
    </row>
    <row r="52" spans="1:16" x14ac:dyDescent="0.25">
      <c r="A52" t="s">
        <v>2032</v>
      </c>
      <c r="B52" t="s">
        <v>2406</v>
      </c>
      <c r="C52" t="s">
        <v>714</v>
      </c>
      <c r="D52" t="s">
        <v>51</v>
      </c>
      <c r="E52" t="s">
        <v>4388</v>
      </c>
      <c r="F52" s="16">
        <v>55151.891876930713</v>
      </c>
      <c r="G52" s="16">
        <v>38515.040000000001</v>
      </c>
      <c r="H52" s="16">
        <v>0</v>
      </c>
      <c r="I52" s="16">
        <v>-23141.73</v>
      </c>
      <c r="J52" s="16" t="str">
        <f t="shared" si="6"/>
        <v/>
      </c>
      <c r="K52">
        <f t="shared" si="1"/>
        <v>7</v>
      </c>
      <c r="L52" t="str">
        <f t="shared" si="2"/>
        <v/>
      </c>
      <c r="M52" s="12">
        <f t="shared" si="3"/>
        <v>0</v>
      </c>
      <c r="N52" s="12">
        <f t="shared" si="4"/>
        <v>0</v>
      </c>
      <c r="O52" s="13">
        <f t="shared" si="5"/>
        <v>0</v>
      </c>
      <c r="P52" s="12">
        <f>IFERROR(VLOOKUP(B52,'Receivable Invoice Detail'!$S$1:$U$3014,3,FALSE),0)</f>
        <v>0</v>
      </c>
    </row>
    <row r="53" spans="1:16" x14ac:dyDescent="0.25">
      <c r="B53" t="s">
        <v>2404</v>
      </c>
      <c r="C53" t="s">
        <v>714</v>
      </c>
      <c r="D53" t="s">
        <v>51</v>
      </c>
      <c r="E53" t="s">
        <v>4388</v>
      </c>
      <c r="F53" s="16">
        <v>0</v>
      </c>
      <c r="G53" s="16">
        <v>0</v>
      </c>
      <c r="H53" s="16">
        <v>0</v>
      </c>
      <c r="I53" s="16">
        <v>-468.06</v>
      </c>
      <c r="J53" s="16" t="str">
        <f t="shared" si="6"/>
        <v/>
      </c>
      <c r="K53">
        <f t="shared" si="1"/>
        <v>0</v>
      </c>
      <c r="L53" t="str">
        <f t="shared" si="2"/>
        <v/>
      </c>
      <c r="M53" s="12">
        <f t="shared" si="3"/>
        <v>0</v>
      </c>
      <c r="N53" s="12">
        <f t="shared" si="4"/>
        <v>0</v>
      </c>
      <c r="O53" s="13">
        <f t="shared" si="5"/>
        <v>0</v>
      </c>
      <c r="P53" s="12">
        <f>IFERROR(VLOOKUP(B53,'Receivable Invoice Detail'!$S$1:$U$3014,3,FALSE),0)</f>
        <v>0</v>
      </c>
    </row>
    <row r="54" spans="1:16" x14ac:dyDescent="0.25">
      <c r="B54" t="s">
        <v>2403</v>
      </c>
      <c r="C54" t="s">
        <v>714</v>
      </c>
      <c r="D54" t="s">
        <v>51</v>
      </c>
      <c r="E54" t="s">
        <v>4388</v>
      </c>
      <c r="F54" s="16">
        <v>0</v>
      </c>
      <c r="G54" s="16">
        <v>0</v>
      </c>
      <c r="H54" s="16">
        <v>0</v>
      </c>
      <c r="I54" s="16">
        <v>-14156.31</v>
      </c>
      <c r="J54" s="16" t="str">
        <f t="shared" si="6"/>
        <v/>
      </c>
      <c r="K54">
        <f t="shared" si="1"/>
        <v>0</v>
      </c>
      <c r="L54" t="str">
        <f t="shared" si="2"/>
        <v/>
      </c>
      <c r="M54" s="12">
        <f t="shared" si="3"/>
        <v>0</v>
      </c>
      <c r="N54" s="12">
        <f t="shared" si="4"/>
        <v>0</v>
      </c>
      <c r="O54" s="13">
        <f t="shared" si="5"/>
        <v>0</v>
      </c>
      <c r="P54" s="12">
        <f>IFERROR(VLOOKUP(B54,'Receivable Invoice Detail'!$S$1:$U$3014,3,FALSE),0)</f>
        <v>0</v>
      </c>
    </row>
    <row r="55" spans="1:16" x14ac:dyDescent="0.25">
      <c r="B55" t="s">
        <v>2405</v>
      </c>
      <c r="C55" t="s">
        <v>714</v>
      </c>
      <c r="D55" t="s">
        <v>51</v>
      </c>
      <c r="E55" t="s">
        <v>4388</v>
      </c>
      <c r="F55" s="16">
        <v>0</v>
      </c>
      <c r="G55" s="16">
        <v>0</v>
      </c>
      <c r="H55" s="16">
        <v>0</v>
      </c>
      <c r="I55" s="16">
        <v>-748.94</v>
      </c>
      <c r="J55" s="16" t="str">
        <f t="shared" si="6"/>
        <v/>
      </c>
      <c r="K55">
        <f t="shared" si="1"/>
        <v>0</v>
      </c>
      <c r="L55" t="str">
        <f t="shared" si="2"/>
        <v/>
      </c>
      <c r="M55" s="12">
        <f t="shared" si="3"/>
        <v>0</v>
      </c>
      <c r="N55" s="12">
        <f t="shared" si="4"/>
        <v>0</v>
      </c>
      <c r="O55" s="13">
        <f t="shared" si="5"/>
        <v>0</v>
      </c>
      <c r="P55" s="12">
        <f>IFERROR(VLOOKUP(B55,'Receivable Invoice Detail'!$S$1:$U$3014,3,FALSE),0)</f>
        <v>0</v>
      </c>
    </row>
    <row r="56" spans="1:16" x14ac:dyDescent="0.25">
      <c r="A56" s="23" t="s">
        <v>4261</v>
      </c>
      <c r="B56" s="23"/>
      <c r="C56" s="23"/>
      <c r="D56" s="23"/>
      <c r="E56" s="23"/>
      <c r="F56" s="24">
        <v>55151.891876930713</v>
      </c>
      <c r="G56" s="24">
        <v>38515.040000000001</v>
      </c>
      <c r="H56" s="24">
        <v>0</v>
      </c>
      <c r="I56" s="24">
        <v>-38515.040000000001</v>
      </c>
      <c r="J56" s="16" t="str">
        <f t="shared" si="6"/>
        <v>USD</v>
      </c>
      <c r="K56">
        <f t="shared" si="1"/>
        <v>13</v>
      </c>
      <c r="L56" t="str">
        <f t="shared" si="2"/>
        <v>SO16531</v>
      </c>
      <c r="M56" s="12">
        <f t="shared" si="3"/>
        <v>0</v>
      </c>
      <c r="N56" s="12">
        <f t="shared" si="4"/>
        <v>0</v>
      </c>
      <c r="O56" s="13" t="str">
        <f t="shared" si="5"/>
        <v>Yes</v>
      </c>
      <c r="P56" s="12">
        <f>IFERROR(VLOOKUP(B56,'Receivable Invoice Detail'!$S$1:$U$3014,3,FALSE),0)</f>
        <v>0</v>
      </c>
    </row>
    <row r="57" spans="1:16" x14ac:dyDescent="0.25">
      <c r="A57" t="s">
        <v>2064</v>
      </c>
      <c r="B57" t="s">
        <v>2386</v>
      </c>
      <c r="C57" t="s">
        <v>714</v>
      </c>
      <c r="D57" t="s">
        <v>51</v>
      </c>
      <c r="E57" t="s">
        <v>4388</v>
      </c>
      <c r="F57" s="16">
        <v>77306.715462478212</v>
      </c>
      <c r="G57" s="16">
        <v>52946.9</v>
      </c>
      <c r="H57" s="16">
        <v>0</v>
      </c>
      <c r="I57" s="16">
        <v>-16104.77</v>
      </c>
      <c r="J57" s="16" t="str">
        <f t="shared" si="6"/>
        <v/>
      </c>
      <c r="K57">
        <f t="shared" si="1"/>
        <v>7</v>
      </c>
      <c r="L57" t="str">
        <f t="shared" si="2"/>
        <v/>
      </c>
      <c r="M57" s="12">
        <f t="shared" si="3"/>
        <v>0</v>
      </c>
      <c r="N57" s="12">
        <f t="shared" si="4"/>
        <v>0</v>
      </c>
      <c r="O57" s="13">
        <f t="shared" si="5"/>
        <v>0</v>
      </c>
      <c r="P57" s="12">
        <f>IFERROR(VLOOKUP(B57,'Receivable Invoice Detail'!$S$1:$U$3014,3,FALSE),0)</f>
        <v>0</v>
      </c>
    </row>
    <row r="58" spans="1:16" x14ac:dyDescent="0.25">
      <c r="B58" t="s">
        <v>2382</v>
      </c>
      <c r="C58" t="s">
        <v>714</v>
      </c>
      <c r="D58" t="s">
        <v>51</v>
      </c>
      <c r="E58" t="s">
        <v>4388</v>
      </c>
      <c r="F58" s="16">
        <v>0</v>
      </c>
      <c r="G58" s="16">
        <v>0</v>
      </c>
      <c r="H58" s="16">
        <v>0</v>
      </c>
      <c r="I58" s="16">
        <v>-1452.39</v>
      </c>
      <c r="J58" s="16" t="str">
        <f t="shared" si="6"/>
        <v/>
      </c>
      <c r="K58">
        <f t="shared" si="1"/>
        <v>0</v>
      </c>
      <c r="L58" t="str">
        <f t="shared" si="2"/>
        <v/>
      </c>
      <c r="M58" s="12">
        <f t="shared" si="3"/>
        <v>0</v>
      </c>
      <c r="N58" s="12">
        <f t="shared" si="4"/>
        <v>0</v>
      </c>
      <c r="O58" s="13">
        <f t="shared" si="5"/>
        <v>0</v>
      </c>
      <c r="P58" s="12">
        <f>IFERROR(VLOOKUP(B58,'Receivable Invoice Detail'!$S$1:$U$3014,3,FALSE),0)</f>
        <v>0</v>
      </c>
    </row>
    <row r="59" spans="1:16" x14ac:dyDescent="0.25">
      <c r="B59" t="s">
        <v>2383</v>
      </c>
      <c r="C59" t="s">
        <v>714</v>
      </c>
      <c r="D59" t="s">
        <v>51</v>
      </c>
      <c r="E59" t="s">
        <v>4388</v>
      </c>
      <c r="F59" s="16">
        <v>0</v>
      </c>
      <c r="G59" s="16">
        <v>0</v>
      </c>
      <c r="H59" s="16">
        <v>0</v>
      </c>
      <c r="I59" s="16">
        <v>-18751.86</v>
      </c>
      <c r="J59" s="16" t="str">
        <f t="shared" si="6"/>
        <v/>
      </c>
      <c r="K59">
        <f t="shared" si="1"/>
        <v>0</v>
      </c>
      <c r="L59" t="str">
        <f t="shared" si="2"/>
        <v/>
      </c>
      <c r="M59" s="12">
        <f t="shared" si="3"/>
        <v>0</v>
      </c>
      <c r="N59" s="12">
        <f t="shared" si="4"/>
        <v>0</v>
      </c>
      <c r="O59" s="13">
        <f t="shared" si="5"/>
        <v>0</v>
      </c>
      <c r="P59" s="12">
        <f>IFERROR(VLOOKUP(B59,'Receivable Invoice Detail'!$S$1:$U$3014,3,FALSE),0)</f>
        <v>0</v>
      </c>
    </row>
    <row r="60" spans="1:16" x14ac:dyDescent="0.25">
      <c r="B60" t="s">
        <v>2384</v>
      </c>
      <c r="C60" t="s">
        <v>714</v>
      </c>
      <c r="D60" t="s">
        <v>51</v>
      </c>
      <c r="E60" t="s">
        <v>4388</v>
      </c>
      <c r="F60" s="16">
        <v>0</v>
      </c>
      <c r="G60" s="16">
        <v>0</v>
      </c>
      <c r="H60" s="16">
        <v>0</v>
      </c>
      <c r="I60" s="16">
        <v>-7261.95</v>
      </c>
      <c r="J60" s="16" t="str">
        <f t="shared" si="6"/>
        <v/>
      </c>
      <c r="K60">
        <f t="shared" si="1"/>
        <v>0</v>
      </c>
      <c r="L60" t="str">
        <f t="shared" si="2"/>
        <v/>
      </c>
      <c r="M60" s="12">
        <f t="shared" si="3"/>
        <v>0</v>
      </c>
      <c r="N60" s="12">
        <f t="shared" si="4"/>
        <v>0</v>
      </c>
      <c r="O60" s="13">
        <f t="shared" si="5"/>
        <v>0</v>
      </c>
      <c r="P60" s="12">
        <f>IFERROR(VLOOKUP(B60,'Receivable Invoice Detail'!$S$1:$U$3014,3,FALSE),0)</f>
        <v>0</v>
      </c>
    </row>
    <row r="61" spans="1:16" x14ac:dyDescent="0.25">
      <c r="B61" t="s">
        <v>2385</v>
      </c>
      <c r="C61" t="s">
        <v>714</v>
      </c>
      <c r="D61" t="s">
        <v>51</v>
      </c>
      <c r="E61" t="s">
        <v>4388</v>
      </c>
      <c r="F61" s="16">
        <v>0</v>
      </c>
      <c r="G61" s="16">
        <v>0</v>
      </c>
      <c r="H61" s="16">
        <v>0</v>
      </c>
      <c r="I61" s="16">
        <v>-9375.93</v>
      </c>
      <c r="J61" s="16" t="str">
        <f t="shared" si="6"/>
        <v/>
      </c>
      <c r="K61">
        <f t="shared" si="1"/>
        <v>0</v>
      </c>
      <c r="L61" t="str">
        <f t="shared" si="2"/>
        <v/>
      </c>
      <c r="M61" s="12">
        <f t="shared" si="3"/>
        <v>0</v>
      </c>
      <c r="N61" s="12">
        <f t="shared" si="4"/>
        <v>0</v>
      </c>
      <c r="O61" s="13">
        <f t="shared" si="5"/>
        <v>0</v>
      </c>
      <c r="P61" s="12">
        <f>IFERROR(VLOOKUP(B61,'Receivable Invoice Detail'!$S$1:$U$3014,3,FALSE),0)</f>
        <v>0</v>
      </c>
    </row>
    <row r="62" spans="1:16" x14ac:dyDescent="0.25">
      <c r="A62" s="23" t="s">
        <v>4262</v>
      </c>
      <c r="B62" s="23"/>
      <c r="C62" s="23"/>
      <c r="D62" s="23"/>
      <c r="E62" s="23"/>
      <c r="F62" s="24">
        <v>77306.715462478212</v>
      </c>
      <c r="G62" s="24">
        <v>52946.9</v>
      </c>
      <c r="H62" s="24">
        <v>0</v>
      </c>
      <c r="I62" s="24">
        <v>-52946.9</v>
      </c>
      <c r="J62" s="16" t="str">
        <f t="shared" si="6"/>
        <v>USD</v>
      </c>
      <c r="K62">
        <f t="shared" si="1"/>
        <v>13</v>
      </c>
      <c r="L62" t="str">
        <f t="shared" si="2"/>
        <v>SO16534</v>
      </c>
      <c r="M62" s="12">
        <f t="shared" si="3"/>
        <v>0</v>
      </c>
      <c r="N62" s="12">
        <f t="shared" si="4"/>
        <v>0</v>
      </c>
      <c r="O62" s="13" t="str">
        <f t="shared" si="5"/>
        <v>Yes</v>
      </c>
      <c r="P62" s="12">
        <f>IFERROR(VLOOKUP(B62,'Receivable Invoice Detail'!$S$1:$U$3014,3,FALSE),0)</f>
        <v>0</v>
      </c>
    </row>
    <row r="63" spans="1:16" x14ac:dyDescent="0.25">
      <c r="A63" t="s">
        <v>2060</v>
      </c>
      <c r="B63" t="s">
        <v>2388</v>
      </c>
      <c r="C63" t="s">
        <v>644</v>
      </c>
      <c r="D63" t="s">
        <v>51</v>
      </c>
      <c r="E63" t="s">
        <v>4388</v>
      </c>
      <c r="F63" s="16">
        <v>0</v>
      </c>
      <c r="G63" s="16">
        <v>0</v>
      </c>
      <c r="H63" s="16">
        <v>0</v>
      </c>
      <c r="I63" s="16">
        <v>-1023.3</v>
      </c>
      <c r="J63" s="16" t="str">
        <f t="shared" si="6"/>
        <v/>
      </c>
      <c r="K63">
        <f t="shared" si="1"/>
        <v>7</v>
      </c>
      <c r="L63" t="str">
        <f t="shared" si="2"/>
        <v/>
      </c>
      <c r="M63" s="12">
        <f t="shared" si="3"/>
        <v>0</v>
      </c>
      <c r="N63" s="12">
        <f t="shared" si="4"/>
        <v>0</v>
      </c>
      <c r="O63" s="13">
        <f t="shared" si="5"/>
        <v>0</v>
      </c>
      <c r="P63" s="12">
        <f>IFERROR(VLOOKUP(B63,'Receivable Invoice Detail'!$S$1:$U$3014,3,FALSE),0)</f>
        <v>0</v>
      </c>
    </row>
    <row r="64" spans="1:16" x14ac:dyDescent="0.25">
      <c r="B64" t="s">
        <v>2389</v>
      </c>
      <c r="C64" t="s">
        <v>644</v>
      </c>
      <c r="D64" t="s">
        <v>51</v>
      </c>
      <c r="E64" t="s">
        <v>4388</v>
      </c>
      <c r="F64" s="16">
        <v>5976.3998974636061</v>
      </c>
      <c r="G64" s="16">
        <v>4093.2</v>
      </c>
      <c r="H64" s="16">
        <v>0</v>
      </c>
      <c r="I64" s="16">
        <v>-3069.9</v>
      </c>
      <c r="J64" s="16" t="str">
        <f t="shared" si="6"/>
        <v/>
      </c>
      <c r="K64">
        <f t="shared" si="1"/>
        <v>0</v>
      </c>
      <c r="L64" t="str">
        <f t="shared" si="2"/>
        <v/>
      </c>
      <c r="M64" s="12">
        <f t="shared" si="3"/>
        <v>0</v>
      </c>
      <c r="N64" s="12">
        <f t="shared" si="4"/>
        <v>0</v>
      </c>
      <c r="O64" s="13">
        <f t="shared" si="5"/>
        <v>0</v>
      </c>
      <c r="P64" s="12">
        <f>IFERROR(VLOOKUP(B64,'Receivable Invoice Detail'!$S$1:$U$3014,3,FALSE),0)</f>
        <v>0</v>
      </c>
    </row>
    <row r="65" spans="1:16" x14ac:dyDescent="0.25">
      <c r="A65" s="23" t="s">
        <v>4263</v>
      </c>
      <c r="B65" s="23"/>
      <c r="C65" s="23"/>
      <c r="D65" s="23"/>
      <c r="E65" s="23"/>
      <c r="F65" s="24">
        <v>5976.3998974636061</v>
      </c>
      <c r="G65" s="24">
        <v>4093.2</v>
      </c>
      <c r="H65" s="24">
        <v>0</v>
      </c>
      <c r="I65" s="24">
        <v>-4093.2</v>
      </c>
      <c r="J65" s="16" t="str">
        <f t="shared" si="6"/>
        <v>USD</v>
      </c>
      <c r="K65">
        <f t="shared" si="1"/>
        <v>13</v>
      </c>
      <c r="L65" t="str">
        <f t="shared" si="2"/>
        <v>SO16537</v>
      </c>
      <c r="M65" s="12">
        <f t="shared" si="3"/>
        <v>0</v>
      </c>
      <c r="N65" s="12">
        <f t="shared" si="4"/>
        <v>0</v>
      </c>
      <c r="O65" s="13" t="str">
        <f t="shared" si="5"/>
        <v>Yes</v>
      </c>
      <c r="P65" s="12">
        <f>IFERROR(VLOOKUP(B65,'Receivable Invoice Detail'!$S$1:$U$3014,3,FALSE),0)</f>
        <v>0</v>
      </c>
    </row>
    <row r="66" spans="1:16" x14ac:dyDescent="0.25">
      <c r="A66" t="s">
        <v>1501</v>
      </c>
      <c r="B66" t="s">
        <v>2712</v>
      </c>
      <c r="C66" t="s">
        <v>86</v>
      </c>
      <c r="D66" t="s">
        <v>22</v>
      </c>
      <c r="E66" t="s">
        <v>4388</v>
      </c>
      <c r="F66" s="16">
        <v>7490.32</v>
      </c>
      <c r="G66" s="16">
        <v>5408.7721658319424</v>
      </c>
      <c r="H66" s="16">
        <v>-92.22</v>
      </c>
      <c r="I66" s="16">
        <v>0</v>
      </c>
      <c r="J66" s="16" t="str">
        <f t="shared" si="6"/>
        <v/>
      </c>
      <c r="K66">
        <f t="shared" si="1"/>
        <v>7</v>
      </c>
      <c r="L66" t="str">
        <f t="shared" si="2"/>
        <v/>
      </c>
      <c r="M66" s="12">
        <f t="shared" si="3"/>
        <v>0</v>
      </c>
      <c r="N66" s="12">
        <f t="shared" si="4"/>
        <v>0</v>
      </c>
      <c r="O66" s="13">
        <f t="shared" si="5"/>
        <v>0</v>
      </c>
      <c r="P66" s="12">
        <f>IFERROR(VLOOKUP(B66,'Receivable Invoice Detail'!$S$1:$U$3014,3,FALSE),0)</f>
        <v>0</v>
      </c>
    </row>
    <row r="67" spans="1:16" x14ac:dyDescent="0.25">
      <c r="B67" t="s">
        <v>2711</v>
      </c>
      <c r="C67" t="s">
        <v>86</v>
      </c>
      <c r="D67" t="s">
        <v>22</v>
      </c>
      <c r="E67" t="s">
        <v>4388</v>
      </c>
      <c r="F67" s="16">
        <v>0</v>
      </c>
      <c r="G67" s="16">
        <v>0</v>
      </c>
      <c r="H67" s="16">
        <v>-7398.1</v>
      </c>
      <c r="I67" s="16">
        <v>0</v>
      </c>
      <c r="J67" s="16" t="str">
        <f t="shared" si="6"/>
        <v/>
      </c>
      <c r="K67">
        <f t="shared" si="1"/>
        <v>0</v>
      </c>
      <c r="L67" t="str">
        <f t="shared" si="2"/>
        <v/>
      </c>
      <c r="M67" s="12">
        <f t="shared" si="3"/>
        <v>0</v>
      </c>
      <c r="N67" s="12">
        <f t="shared" si="4"/>
        <v>0</v>
      </c>
      <c r="O67" s="13">
        <f t="shared" si="5"/>
        <v>0</v>
      </c>
      <c r="P67" s="12">
        <f>IFERROR(VLOOKUP(B67,'Receivable Invoice Detail'!$S$1:$U$3014,3,FALSE),0)</f>
        <v>0</v>
      </c>
    </row>
    <row r="68" spans="1:16" x14ac:dyDescent="0.25">
      <c r="A68" s="23" t="s">
        <v>4264</v>
      </c>
      <c r="B68" s="23"/>
      <c r="C68" s="23"/>
      <c r="D68" s="23"/>
      <c r="E68" s="23"/>
      <c r="F68" s="24">
        <v>7490.32</v>
      </c>
      <c r="G68" s="24">
        <v>5408.7721658319424</v>
      </c>
      <c r="H68" s="24">
        <v>-7490.3200000000006</v>
      </c>
      <c r="I68" s="24">
        <v>0</v>
      </c>
      <c r="J68" s="16" t="str">
        <f t="shared" si="6"/>
        <v>CAD</v>
      </c>
      <c r="K68">
        <f t="shared" si="1"/>
        <v>13</v>
      </c>
      <c r="L68" t="str">
        <f t="shared" si="2"/>
        <v>SO16544</v>
      </c>
      <c r="M68" s="12">
        <f t="shared" si="3"/>
        <v>0</v>
      </c>
      <c r="N68" s="12">
        <f t="shared" si="4"/>
        <v>0</v>
      </c>
      <c r="O68" s="13" t="str">
        <f t="shared" si="5"/>
        <v>Yes</v>
      </c>
      <c r="P68" s="12">
        <f>IFERROR(VLOOKUP(B68,'Receivable Invoice Detail'!$S$1:$U$3014,3,FALSE),0)</f>
        <v>0</v>
      </c>
    </row>
    <row r="69" spans="1:16" x14ac:dyDescent="0.25">
      <c r="A69" t="s">
        <v>2017</v>
      </c>
      <c r="B69" t="s">
        <v>2415</v>
      </c>
      <c r="C69" t="s">
        <v>159</v>
      </c>
      <c r="D69" t="s">
        <v>51</v>
      </c>
      <c r="E69" t="s">
        <v>4388</v>
      </c>
      <c r="F69" s="16">
        <v>0</v>
      </c>
      <c r="G69" s="16">
        <v>0</v>
      </c>
      <c r="H69" s="16">
        <v>0</v>
      </c>
      <c r="I69" s="16">
        <v>-2925.09</v>
      </c>
      <c r="J69" s="16" t="str">
        <f t="shared" si="6"/>
        <v/>
      </c>
      <c r="K69">
        <f t="shared" si="1"/>
        <v>7</v>
      </c>
      <c r="L69" t="str">
        <f t="shared" si="2"/>
        <v/>
      </c>
      <c r="M69" s="12">
        <f t="shared" si="3"/>
        <v>0</v>
      </c>
      <c r="N69" s="12">
        <f t="shared" si="4"/>
        <v>0</v>
      </c>
      <c r="O69" s="13">
        <f t="shared" si="5"/>
        <v>0</v>
      </c>
      <c r="P69" s="12">
        <f>IFERROR(VLOOKUP(B69,'Receivable Invoice Detail'!$S$1:$U$3014,3,FALSE),0)</f>
        <v>0</v>
      </c>
    </row>
    <row r="70" spans="1:16" x14ac:dyDescent="0.25">
      <c r="B70" t="s">
        <v>2416</v>
      </c>
      <c r="C70" t="s">
        <v>159</v>
      </c>
      <c r="D70" t="s">
        <v>51</v>
      </c>
      <c r="E70" t="s">
        <v>4388</v>
      </c>
      <c r="F70" s="16">
        <v>45189.049108657709</v>
      </c>
      <c r="G70" s="16">
        <v>31557.54</v>
      </c>
      <c r="H70" s="16">
        <v>0</v>
      </c>
      <c r="I70" s="16">
        <v>-28632.45</v>
      </c>
      <c r="J70" s="16" t="str">
        <f t="shared" si="6"/>
        <v/>
      </c>
      <c r="K70">
        <f t="shared" ref="K70:K133" si="7">LEN(A70)</f>
        <v>0</v>
      </c>
      <c r="L70" t="str">
        <f t="shared" ref="L70:L133" si="8">IF(K70=13,LEFT(A70,7),"")</f>
        <v/>
      </c>
      <c r="M70" s="12">
        <f t="shared" ref="M70:M133" si="9">IF(AND(K70=13,D69="CAD"),ROUND(F70+H70,2),0)</f>
        <v>0</v>
      </c>
      <c r="N70" s="12">
        <f t="shared" ref="N70:N133" si="10">IF(AND(K70=13,D69="USD"),ROUND(G70+I70,2),0)</f>
        <v>0</v>
      </c>
      <c r="O70" s="13">
        <f t="shared" ref="O70:O133" si="11">IF(K70=13,IF(M70+N70=0,"Yes",0),0)</f>
        <v>0</v>
      </c>
      <c r="P70" s="12">
        <f>IFERROR(VLOOKUP(B70,'Receivable Invoice Detail'!$S$1:$U$3014,3,FALSE),0)</f>
        <v>0</v>
      </c>
    </row>
    <row r="71" spans="1:16" x14ac:dyDescent="0.25">
      <c r="A71" s="23" t="s">
        <v>4265</v>
      </c>
      <c r="B71" s="23"/>
      <c r="C71" s="23"/>
      <c r="D71" s="23"/>
      <c r="E71" s="23"/>
      <c r="F71" s="24">
        <v>45189.049108657709</v>
      </c>
      <c r="G71" s="24">
        <v>31557.54</v>
      </c>
      <c r="H71" s="24">
        <v>0</v>
      </c>
      <c r="I71" s="24">
        <v>-31557.54</v>
      </c>
      <c r="J71" s="16" t="str">
        <f t="shared" si="6"/>
        <v>USD</v>
      </c>
      <c r="K71">
        <f t="shared" si="7"/>
        <v>13</v>
      </c>
      <c r="L71" t="str">
        <f t="shared" si="8"/>
        <v>SO16554</v>
      </c>
      <c r="M71" s="12">
        <f t="shared" si="9"/>
        <v>0</v>
      </c>
      <c r="N71" s="12">
        <f t="shared" si="10"/>
        <v>0</v>
      </c>
      <c r="O71" s="13" t="str">
        <f t="shared" si="11"/>
        <v>Yes</v>
      </c>
      <c r="P71" s="12">
        <f>IFERROR(VLOOKUP(B71,'Receivable Invoice Detail'!$S$1:$U$3014,3,FALSE),0)</f>
        <v>0</v>
      </c>
    </row>
    <row r="72" spans="1:16" x14ac:dyDescent="0.25">
      <c r="A72" t="s">
        <v>2021</v>
      </c>
      <c r="B72" t="s">
        <v>2411</v>
      </c>
      <c r="C72" t="s">
        <v>98</v>
      </c>
      <c r="D72" t="s">
        <v>22</v>
      </c>
      <c r="E72" t="s">
        <v>4388</v>
      </c>
      <c r="F72" s="16">
        <v>0</v>
      </c>
      <c r="G72" s="16">
        <v>0</v>
      </c>
      <c r="H72" s="16">
        <v>-1031.46</v>
      </c>
      <c r="I72" s="16">
        <v>0</v>
      </c>
      <c r="J72" s="16" t="str">
        <f t="shared" si="6"/>
        <v/>
      </c>
      <c r="K72">
        <f t="shared" si="7"/>
        <v>7</v>
      </c>
      <c r="L72" t="str">
        <f t="shared" si="8"/>
        <v/>
      </c>
      <c r="M72" s="12">
        <f t="shared" si="9"/>
        <v>0</v>
      </c>
      <c r="N72" s="12">
        <f t="shared" si="10"/>
        <v>0</v>
      </c>
      <c r="O72" s="13">
        <f t="shared" si="11"/>
        <v>0</v>
      </c>
      <c r="P72" s="12">
        <f>IFERROR(VLOOKUP(B72,'Receivable Invoice Detail'!$S$1:$U$3014,3,FALSE),0)</f>
        <v>0</v>
      </c>
    </row>
    <row r="73" spans="1:16" x14ac:dyDescent="0.25">
      <c r="B73" t="s">
        <v>2412</v>
      </c>
      <c r="C73" t="s">
        <v>98</v>
      </c>
      <c r="D73" t="s">
        <v>22</v>
      </c>
      <c r="E73" t="s">
        <v>4388</v>
      </c>
      <c r="F73" s="16">
        <v>13281.16</v>
      </c>
      <c r="G73" s="16">
        <v>9281.8105690133762</v>
      </c>
      <c r="H73" s="16">
        <v>-12249.7</v>
      </c>
      <c r="I73" s="16">
        <v>0</v>
      </c>
      <c r="J73" s="16" t="str">
        <f t="shared" ref="J73:J136" si="12">IF(K73=13,D72,"")</f>
        <v/>
      </c>
      <c r="K73">
        <f t="shared" si="7"/>
        <v>0</v>
      </c>
      <c r="L73" t="str">
        <f t="shared" si="8"/>
        <v/>
      </c>
      <c r="M73" s="12">
        <f t="shared" si="9"/>
        <v>0</v>
      </c>
      <c r="N73" s="12">
        <f t="shared" si="10"/>
        <v>0</v>
      </c>
      <c r="O73" s="13">
        <f t="shared" si="11"/>
        <v>0</v>
      </c>
      <c r="P73" s="12">
        <f>IFERROR(VLOOKUP(B73,'Receivable Invoice Detail'!$S$1:$U$3014,3,FALSE),0)</f>
        <v>0</v>
      </c>
    </row>
    <row r="74" spans="1:16" x14ac:dyDescent="0.25">
      <c r="A74" s="23" t="s">
        <v>4266</v>
      </c>
      <c r="B74" s="23"/>
      <c r="C74" s="23"/>
      <c r="D74" s="23"/>
      <c r="E74" s="23"/>
      <c r="F74" s="24">
        <v>13281.16</v>
      </c>
      <c r="G74" s="24">
        <v>9281.8105690133762</v>
      </c>
      <c r="H74" s="24">
        <v>-13281.16</v>
      </c>
      <c r="I74" s="24">
        <v>0</v>
      </c>
      <c r="J74" s="16" t="str">
        <f t="shared" si="12"/>
        <v>CAD</v>
      </c>
      <c r="K74">
        <f t="shared" si="7"/>
        <v>13</v>
      </c>
      <c r="L74" t="str">
        <f t="shared" si="8"/>
        <v>SO16564</v>
      </c>
      <c r="M74" s="12">
        <f t="shared" si="9"/>
        <v>0</v>
      </c>
      <c r="N74" s="12">
        <f t="shared" si="10"/>
        <v>0</v>
      </c>
      <c r="O74" s="13" t="str">
        <f t="shared" si="11"/>
        <v>Yes</v>
      </c>
      <c r="P74" s="12">
        <f>IFERROR(VLOOKUP(B74,'Receivable Invoice Detail'!$S$1:$U$3014,3,FALSE),0)</f>
        <v>0</v>
      </c>
    </row>
    <row r="75" spans="1:16" x14ac:dyDescent="0.25">
      <c r="A75" t="s">
        <v>1969</v>
      </c>
      <c r="B75" t="s">
        <v>2444</v>
      </c>
      <c r="C75" t="s">
        <v>50</v>
      </c>
      <c r="D75" t="s">
        <v>51</v>
      </c>
      <c r="E75" t="s">
        <v>4388</v>
      </c>
      <c r="F75" s="16">
        <v>6885.1911813557999</v>
      </c>
      <c r="G75" s="16">
        <v>4853.4799999999996</v>
      </c>
      <c r="H75" s="16">
        <v>0</v>
      </c>
      <c r="I75" s="16">
        <v>-1098.5899999999999</v>
      </c>
      <c r="J75" s="16" t="str">
        <f t="shared" si="12"/>
        <v/>
      </c>
      <c r="K75">
        <f t="shared" si="7"/>
        <v>7</v>
      </c>
      <c r="L75" t="str">
        <f t="shared" si="8"/>
        <v/>
      </c>
      <c r="M75" s="12">
        <f t="shared" si="9"/>
        <v>0</v>
      </c>
      <c r="N75" s="12">
        <f t="shared" si="10"/>
        <v>0</v>
      </c>
      <c r="O75" s="13">
        <f t="shared" si="11"/>
        <v>0</v>
      </c>
      <c r="P75" s="12">
        <f>IFERROR(VLOOKUP(B75,'Receivable Invoice Detail'!$S$1:$U$3014,3,FALSE),0)</f>
        <v>0</v>
      </c>
    </row>
    <row r="76" spans="1:16" x14ac:dyDescent="0.25">
      <c r="B76" t="s">
        <v>2443</v>
      </c>
      <c r="C76" t="s">
        <v>50</v>
      </c>
      <c r="D76" t="s">
        <v>51</v>
      </c>
      <c r="E76" t="s">
        <v>4388</v>
      </c>
      <c r="F76" s="16">
        <v>0</v>
      </c>
      <c r="G76" s="16">
        <v>0</v>
      </c>
      <c r="H76" s="16">
        <v>0</v>
      </c>
      <c r="I76" s="16">
        <v>-3754.89</v>
      </c>
      <c r="J76" s="16" t="str">
        <f t="shared" si="12"/>
        <v/>
      </c>
      <c r="K76">
        <f t="shared" si="7"/>
        <v>0</v>
      </c>
      <c r="L76" t="str">
        <f t="shared" si="8"/>
        <v/>
      </c>
      <c r="M76" s="12">
        <f t="shared" si="9"/>
        <v>0</v>
      </c>
      <c r="N76" s="12">
        <f t="shared" si="10"/>
        <v>0</v>
      </c>
      <c r="O76" s="13">
        <f t="shared" si="11"/>
        <v>0</v>
      </c>
      <c r="P76" s="12">
        <f>IFERROR(VLOOKUP(B76,'Receivable Invoice Detail'!$S$1:$U$3014,3,FALSE),0)</f>
        <v>0</v>
      </c>
    </row>
    <row r="77" spans="1:16" x14ac:dyDescent="0.25">
      <c r="A77" s="23" t="s">
        <v>4267</v>
      </c>
      <c r="B77" s="23"/>
      <c r="C77" s="23"/>
      <c r="D77" s="23"/>
      <c r="E77" s="23"/>
      <c r="F77" s="24">
        <v>6885.1911813557999</v>
      </c>
      <c r="G77" s="24">
        <v>4853.4799999999996</v>
      </c>
      <c r="H77" s="24">
        <v>0</v>
      </c>
      <c r="I77" s="24">
        <v>-4853.4799999999996</v>
      </c>
      <c r="J77" s="16" t="str">
        <f t="shared" si="12"/>
        <v>USD</v>
      </c>
      <c r="K77">
        <f t="shared" si="7"/>
        <v>13</v>
      </c>
      <c r="L77" t="str">
        <f t="shared" si="8"/>
        <v>SO16570</v>
      </c>
      <c r="M77" s="12">
        <f t="shared" si="9"/>
        <v>0</v>
      </c>
      <c r="N77" s="12">
        <f t="shared" si="10"/>
        <v>0</v>
      </c>
      <c r="O77" s="13" t="str">
        <f t="shared" si="11"/>
        <v>Yes</v>
      </c>
      <c r="P77" s="12">
        <f>IFERROR(VLOOKUP(B77,'Receivable Invoice Detail'!$S$1:$U$3014,3,FALSE),0)</f>
        <v>0</v>
      </c>
    </row>
    <row r="78" spans="1:16" x14ac:dyDescent="0.25">
      <c r="A78" t="s">
        <v>1542</v>
      </c>
      <c r="B78" t="s">
        <v>2689</v>
      </c>
      <c r="C78" t="s">
        <v>901</v>
      </c>
      <c r="D78" t="s">
        <v>51</v>
      </c>
      <c r="E78" t="s">
        <v>4388</v>
      </c>
      <c r="F78" s="16">
        <v>0</v>
      </c>
      <c r="G78" s="16">
        <v>0</v>
      </c>
      <c r="H78" s="16">
        <v>0</v>
      </c>
      <c r="I78" s="16">
        <v>-15930</v>
      </c>
      <c r="J78" s="16" t="str">
        <f t="shared" si="12"/>
        <v/>
      </c>
      <c r="K78">
        <f t="shared" si="7"/>
        <v>7</v>
      </c>
      <c r="L78" t="str">
        <f t="shared" si="8"/>
        <v/>
      </c>
      <c r="M78" s="12">
        <f t="shared" si="9"/>
        <v>0</v>
      </c>
      <c r="N78" s="12">
        <f t="shared" si="10"/>
        <v>0</v>
      </c>
      <c r="O78" s="13">
        <f t="shared" si="11"/>
        <v>0</v>
      </c>
      <c r="P78" s="12">
        <f>IFERROR(VLOOKUP(B78,'Receivable Invoice Detail'!$S$1:$U$3014,3,FALSE),0)</f>
        <v>0</v>
      </c>
    </row>
    <row r="79" spans="1:16" x14ac:dyDescent="0.25">
      <c r="B79" t="s">
        <v>2690</v>
      </c>
      <c r="C79" t="s">
        <v>901</v>
      </c>
      <c r="D79" t="s">
        <v>51</v>
      </c>
      <c r="E79" t="s">
        <v>4388</v>
      </c>
      <c r="F79" s="16">
        <v>44264.602534226957</v>
      </c>
      <c r="G79" s="16">
        <v>31860</v>
      </c>
      <c r="H79" s="16">
        <v>0</v>
      </c>
      <c r="I79" s="16">
        <v>-15930</v>
      </c>
      <c r="J79" s="16" t="str">
        <f t="shared" si="12"/>
        <v/>
      </c>
      <c r="K79">
        <f t="shared" si="7"/>
        <v>0</v>
      </c>
      <c r="L79" t="str">
        <f t="shared" si="8"/>
        <v/>
      </c>
      <c r="M79" s="12">
        <f t="shared" si="9"/>
        <v>0</v>
      </c>
      <c r="N79" s="12">
        <f t="shared" si="10"/>
        <v>0</v>
      </c>
      <c r="O79" s="13">
        <f t="shared" si="11"/>
        <v>0</v>
      </c>
      <c r="P79" s="12">
        <f>IFERROR(VLOOKUP(B79,'Receivable Invoice Detail'!$S$1:$U$3014,3,FALSE),0)</f>
        <v>0</v>
      </c>
    </row>
    <row r="80" spans="1:16" x14ac:dyDescent="0.25">
      <c r="A80" s="23" t="s">
        <v>4268</v>
      </c>
      <c r="B80" s="23"/>
      <c r="C80" s="23"/>
      <c r="D80" s="23"/>
      <c r="E80" s="23"/>
      <c r="F80" s="24">
        <v>44264.602534226957</v>
      </c>
      <c r="G80" s="24">
        <v>31860</v>
      </c>
      <c r="H80" s="24">
        <v>0</v>
      </c>
      <c r="I80" s="24">
        <v>-31860</v>
      </c>
      <c r="J80" s="16" t="str">
        <f t="shared" si="12"/>
        <v>USD</v>
      </c>
      <c r="K80">
        <f t="shared" si="7"/>
        <v>13</v>
      </c>
      <c r="L80" t="str">
        <f t="shared" si="8"/>
        <v>SO16581</v>
      </c>
      <c r="M80" s="12">
        <f t="shared" si="9"/>
        <v>0</v>
      </c>
      <c r="N80" s="12">
        <f t="shared" si="10"/>
        <v>0</v>
      </c>
      <c r="O80" s="13" t="str">
        <f t="shared" si="11"/>
        <v>Yes</v>
      </c>
      <c r="P80" s="12">
        <f>IFERROR(VLOOKUP(B80,'Receivable Invoice Detail'!$S$1:$U$3014,3,FALSE),0)</f>
        <v>0</v>
      </c>
    </row>
    <row r="81" spans="1:16" x14ac:dyDescent="0.25">
      <c r="A81" t="s">
        <v>1825</v>
      </c>
      <c r="B81" t="s">
        <v>2524</v>
      </c>
      <c r="C81" t="s">
        <v>86</v>
      </c>
      <c r="D81" t="s">
        <v>22</v>
      </c>
      <c r="E81" t="s">
        <v>4388</v>
      </c>
      <c r="F81" s="16">
        <v>0</v>
      </c>
      <c r="G81" s="16">
        <v>0</v>
      </c>
      <c r="H81" s="16">
        <v>-92.22</v>
      </c>
      <c r="I81" s="16">
        <v>0</v>
      </c>
      <c r="J81" s="16" t="str">
        <f t="shared" si="12"/>
        <v/>
      </c>
      <c r="K81">
        <f t="shared" si="7"/>
        <v>7</v>
      </c>
      <c r="L81" t="str">
        <f t="shared" si="8"/>
        <v/>
      </c>
      <c r="M81" s="12">
        <f t="shared" si="9"/>
        <v>0</v>
      </c>
      <c r="N81" s="12">
        <f t="shared" si="10"/>
        <v>0</v>
      </c>
      <c r="O81" s="13">
        <f t="shared" si="11"/>
        <v>0</v>
      </c>
      <c r="P81" s="12">
        <f>IFERROR(VLOOKUP(B81,'Receivable Invoice Detail'!$S$1:$U$3014,3,FALSE),0)</f>
        <v>0</v>
      </c>
    </row>
    <row r="82" spans="1:16" x14ac:dyDescent="0.25">
      <c r="B82" t="s">
        <v>2525</v>
      </c>
      <c r="C82" t="s">
        <v>86</v>
      </c>
      <c r="D82" t="s">
        <v>22</v>
      </c>
      <c r="E82" t="s">
        <v>4388</v>
      </c>
      <c r="F82" s="16">
        <v>122.96</v>
      </c>
      <c r="G82" s="16">
        <v>85.453651369883389</v>
      </c>
      <c r="H82" s="16">
        <v>-30.74</v>
      </c>
      <c r="I82" s="16">
        <v>0</v>
      </c>
      <c r="J82" s="16" t="str">
        <f t="shared" si="12"/>
        <v/>
      </c>
      <c r="K82">
        <f t="shared" si="7"/>
        <v>0</v>
      </c>
      <c r="L82" t="str">
        <f t="shared" si="8"/>
        <v/>
      </c>
      <c r="M82" s="12">
        <f t="shared" si="9"/>
        <v>0</v>
      </c>
      <c r="N82" s="12">
        <f t="shared" si="10"/>
        <v>0</v>
      </c>
      <c r="O82" s="13">
        <f t="shared" si="11"/>
        <v>0</v>
      </c>
      <c r="P82" s="12">
        <f>IFERROR(VLOOKUP(B82,'Receivable Invoice Detail'!$S$1:$U$3014,3,FALSE),0)</f>
        <v>0</v>
      </c>
    </row>
    <row r="83" spans="1:16" x14ac:dyDescent="0.25">
      <c r="A83" s="23" t="s">
        <v>4269</v>
      </c>
      <c r="B83" s="23"/>
      <c r="C83" s="23"/>
      <c r="D83" s="23"/>
      <c r="E83" s="23"/>
      <c r="F83" s="24">
        <v>122.96</v>
      </c>
      <c r="G83" s="24">
        <v>85.453651369883389</v>
      </c>
      <c r="H83" s="24">
        <v>-122.96</v>
      </c>
      <c r="I83" s="24">
        <v>0</v>
      </c>
      <c r="J83" s="16" t="str">
        <f t="shared" si="12"/>
        <v>CAD</v>
      </c>
      <c r="K83">
        <f t="shared" si="7"/>
        <v>13</v>
      </c>
      <c r="L83" t="str">
        <f t="shared" si="8"/>
        <v>SO16586</v>
      </c>
      <c r="M83" s="12">
        <f t="shared" si="9"/>
        <v>0</v>
      </c>
      <c r="N83" s="12">
        <f t="shared" si="10"/>
        <v>0</v>
      </c>
      <c r="O83" s="13" t="str">
        <f t="shared" si="11"/>
        <v>Yes</v>
      </c>
      <c r="P83" s="12">
        <f>IFERROR(VLOOKUP(B83,'Receivable Invoice Detail'!$S$1:$U$3014,3,FALSE),0)</f>
        <v>0</v>
      </c>
    </row>
    <row r="84" spans="1:16" x14ac:dyDescent="0.25">
      <c r="A84" t="s">
        <v>1977</v>
      </c>
      <c r="B84" t="s">
        <v>2438</v>
      </c>
      <c r="C84" t="s">
        <v>171</v>
      </c>
      <c r="D84" t="s">
        <v>22</v>
      </c>
      <c r="E84" t="s">
        <v>4388</v>
      </c>
      <c r="F84" s="16">
        <v>1188.04</v>
      </c>
      <c r="G84" s="16">
        <v>837.47728060499321</v>
      </c>
      <c r="H84" s="16">
        <v>-622.95000000000005</v>
      </c>
      <c r="I84" s="16">
        <v>0</v>
      </c>
      <c r="J84" s="16" t="str">
        <f t="shared" si="12"/>
        <v/>
      </c>
      <c r="K84">
        <f t="shared" si="7"/>
        <v>7</v>
      </c>
      <c r="L84" t="str">
        <f t="shared" si="8"/>
        <v/>
      </c>
      <c r="M84" s="12">
        <f t="shared" si="9"/>
        <v>0</v>
      </c>
      <c r="N84" s="12">
        <f t="shared" si="10"/>
        <v>0</v>
      </c>
      <c r="O84" s="13">
        <f t="shared" si="11"/>
        <v>0</v>
      </c>
      <c r="P84" s="12">
        <f>IFERROR(VLOOKUP(B84,'Receivable Invoice Detail'!$S$1:$U$3014,3,FALSE),0)</f>
        <v>0</v>
      </c>
    </row>
    <row r="85" spans="1:16" x14ac:dyDescent="0.25">
      <c r="B85" t="s">
        <v>2437</v>
      </c>
      <c r="C85" t="s">
        <v>171</v>
      </c>
      <c r="D85" t="s">
        <v>22</v>
      </c>
      <c r="E85" t="s">
        <v>4388</v>
      </c>
      <c r="F85" s="16">
        <v>0</v>
      </c>
      <c r="G85" s="16">
        <v>0</v>
      </c>
      <c r="H85" s="16">
        <v>-565.09</v>
      </c>
      <c r="I85" s="16">
        <v>0</v>
      </c>
      <c r="J85" s="16" t="str">
        <f t="shared" si="12"/>
        <v/>
      </c>
      <c r="K85">
        <f t="shared" si="7"/>
        <v>0</v>
      </c>
      <c r="L85" t="str">
        <f t="shared" si="8"/>
        <v/>
      </c>
      <c r="M85" s="12">
        <f t="shared" si="9"/>
        <v>0</v>
      </c>
      <c r="N85" s="12">
        <f t="shared" si="10"/>
        <v>0</v>
      </c>
      <c r="O85" s="13">
        <f t="shared" si="11"/>
        <v>0</v>
      </c>
      <c r="P85" s="12">
        <f>IFERROR(VLOOKUP(B85,'Receivable Invoice Detail'!$S$1:$U$3014,3,FALSE),0)</f>
        <v>0</v>
      </c>
    </row>
    <row r="86" spans="1:16" x14ac:dyDescent="0.25">
      <c r="A86" s="23" t="s">
        <v>4270</v>
      </c>
      <c r="B86" s="23"/>
      <c r="C86" s="23"/>
      <c r="D86" s="23"/>
      <c r="E86" s="23"/>
      <c r="F86" s="24">
        <v>1188.04</v>
      </c>
      <c r="G86" s="24">
        <v>837.47728060499321</v>
      </c>
      <c r="H86" s="24">
        <v>-1188.04</v>
      </c>
      <c r="I86" s="24">
        <v>0</v>
      </c>
      <c r="J86" s="16" t="str">
        <f t="shared" si="12"/>
        <v>CAD</v>
      </c>
      <c r="K86">
        <f t="shared" si="7"/>
        <v>13</v>
      </c>
      <c r="L86" t="str">
        <f t="shared" si="8"/>
        <v>SO16612</v>
      </c>
      <c r="M86" s="12">
        <f t="shared" si="9"/>
        <v>0</v>
      </c>
      <c r="N86" s="12">
        <f t="shared" si="10"/>
        <v>0</v>
      </c>
      <c r="O86" s="13" t="str">
        <f t="shared" si="11"/>
        <v>Yes</v>
      </c>
      <c r="P86" s="12">
        <f>IFERROR(VLOOKUP(B86,'Receivable Invoice Detail'!$S$1:$U$3014,3,FALSE),0)</f>
        <v>0</v>
      </c>
    </row>
    <row r="87" spans="1:16" x14ac:dyDescent="0.25">
      <c r="A87" t="s">
        <v>1973</v>
      </c>
      <c r="B87" t="s">
        <v>2441</v>
      </c>
      <c r="C87" t="s">
        <v>192</v>
      </c>
      <c r="D87" t="s">
        <v>51</v>
      </c>
      <c r="E87" t="s">
        <v>4388</v>
      </c>
      <c r="F87" s="16">
        <v>4742.5097214071429</v>
      </c>
      <c r="G87" s="16">
        <v>3343.07</v>
      </c>
      <c r="H87" s="16">
        <v>0</v>
      </c>
      <c r="I87" s="16">
        <v>-339.52</v>
      </c>
      <c r="J87" s="16" t="str">
        <f t="shared" si="12"/>
        <v/>
      </c>
      <c r="K87">
        <f t="shared" si="7"/>
        <v>7</v>
      </c>
      <c r="L87" t="str">
        <f t="shared" si="8"/>
        <v/>
      </c>
      <c r="M87" s="12">
        <f t="shared" si="9"/>
        <v>0</v>
      </c>
      <c r="N87" s="12">
        <f t="shared" si="10"/>
        <v>0</v>
      </c>
      <c r="O87" s="13">
        <f t="shared" si="11"/>
        <v>0</v>
      </c>
      <c r="P87" s="12">
        <f>IFERROR(VLOOKUP(B87,'Receivable Invoice Detail'!$S$1:$U$3014,3,FALSE),0)</f>
        <v>0</v>
      </c>
    </row>
    <row r="88" spans="1:16" x14ac:dyDescent="0.25">
      <c r="B88" t="s">
        <v>2440</v>
      </c>
      <c r="C88" t="s">
        <v>192</v>
      </c>
      <c r="D88" t="s">
        <v>51</v>
      </c>
      <c r="E88" t="s">
        <v>4388</v>
      </c>
      <c r="F88" s="16">
        <v>0</v>
      </c>
      <c r="G88" s="16">
        <v>0</v>
      </c>
      <c r="H88" s="16">
        <v>0</v>
      </c>
      <c r="I88" s="16">
        <v>-3003.55</v>
      </c>
      <c r="J88" s="16" t="str">
        <f t="shared" si="12"/>
        <v/>
      </c>
      <c r="K88">
        <f t="shared" si="7"/>
        <v>0</v>
      </c>
      <c r="L88" t="str">
        <f t="shared" si="8"/>
        <v/>
      </c>
      <c r="M88" s="12">
        <f t="shared" si="9"/>
        <v>0</v>
      </c>
      <c r="N88" s="12">
        <f t="shared" si="10"/>
        <v>0</v>
      </c>
      <c r="O88" s="13">
        <f t="shared" si="11"/>
        <v>0</v>
      </c>
      <c r="P88" s="12">
        <f>IFERROR(VLOOKUP(B88,'Receivable Invoice Detail'!$S$1:$U$3014,3,FALSE),0)</f>
        <v>589</v>
      </c>
    </row>
    <row r="89" spans="1:16" x14ac:dyDescent="0.25">
      <c r="A89" s="23" t="s">
        <v>4271</v>
      </c>
      <c r="B89" s="23"/>
      <c r="C89" s="23"/>
      <c r="D89" s="23"/>
      <c r="E89" s="23"/>
      <c r="F89" s="24">
        <v>4742.5097214071429</v>
      </c>
      <c r="G89" s="24">
        <v>3343.07</v>
      </c>
      <c r="H89" s="24">
        <v>0</v>
      </c>
      <c r="I89" s="24">
        <v>-3343.07</v>
      </c>
      <c r="J89" s="16" t="str">
        <f t="shared" si="12"/>
        <v>USD</v>
      </c>
      <c r="K89">
        <f t="shared" si="7"/>
        <v>13</v>
      </c>
      <c r="L89" t="str">
        <f t="shared" si="8"/>
        <v>SO16617</v>
      </c>
      <c r="M89" s="12">
        <f t="shared" si="9"/>
        <v>0</v>
      </c>
      <c r="N89" s="12">
        <f t="shared" si="10"/>
        <v>0</v>
      </c>
      <c r="O89" s="13" t="str">
        <f t="shared" si="11"/>
        <v>Yes</v>
      </c>
      <c r="P89" s="12">
        <f>IFERROR(VLOOKUP(B89,'Receivable Invoice Detail'!$S$1:$U$3014,3,FALSE),0)</f>
        <v>0</v>
      </c>
    </row>
    <row r="90" spans="1:16" x14ac:dyDescent="0.25">
      <c r="A90" t="s">
        <v>1944</v>
      </c>
      <c r="B90" t="s">
        <v>2458</v>
      </c>
      <c r="C90" t="s">
        <v>556</v>
      </c>
      <c r="D90" t="s">
        <v>22</v>
      </c>
      <c r="E90" t="s">
        <v>4388</v>
      </c>
      <c r="F90" s="16">
        <v>463.71</v>
      </c>
      <c r="G90" s="16">
        <v>325.69911242247281</v>
      </c>
      <c r="H90" s="16">
        <v>-444.46</v>
      </c>
      <c r="I90" s="16">
        <v>0</v>
      </c>
      <c r="J90" s="16" t="str">
        <f t="shared" si="12"/>
        <v/>
      </c>
      <c r="K90">
        <f t="shared" si="7"/>
        <v>7</v>
      </c>
      <c r="L90" t="str">
        <f t="shared" si="8"/>
        <v/>
      </c>
      <c r="M90" s="12">
        <f t="shared" si="9"/>
        <v>0</v>
      </c>
      <c r="N90" s="12">
        <f t="shared" si="10"/>
        <v>0</v>
      </c>
      <c r="O90" s="13">
        <f t="shared" si="11"/>
        <v>0</v>
      </c>
      <c r="P90" s="12">
        <f>IFERROR(VLOOKUP(B90,'Receivable Invoice Detail'!$S$1:$U$3014,3,FALSE),0)</f>
        <v>0</v>
      </c>
    </row>
    <row r="91" spans="1:16" x14ac:dyDescent="0.25">
      <c r="B91" t="s">
        <v>2457</v>
      </c>
      <c r="C91" t="s">
        <v>556</v>
      </c>
      <c r="D91" t="s">
        <v>22</v>
      </c>
      <c r="E91" t="s">
        <v>4388</v>
      </c>
      <c r="F91" s="16">
        <v>0</v>
      </c>
      <c r="G91" s="16">
        <v>0</v>
      </c>
      <c r="H91" s="16">
        <v>-19.25</v>
      </c>
      <c r="I91" s="16">
        <v>0</v>
      </c>
      <c r="J91" s="16" t="str">
        <f t="shared" si="12"/>
        <v/>
      </c>
      <c r="K91">
        <f t="shared" si="7"/>
        <v>0</v>
      </c>
      <c r="L91" t="str">
        <f t="shared" si="8"/>
        <v/>
      </c>
      <c r="M91" s="12">
        <f t="shared" si="9"/>
        <v>0</v>
      </c>
      <c r="N91" s="12">
        <f t="shared" si="10"/>
        <v>0</v>
      </c>
      <c r="O91" s="13">
        <f t="shared" si="11"/>
        <v>0</v>
      </c>
      <c r="P91" s="12">
        <f>IFERROR(VLOOKUP(B91,'Receivable Invoice Detail'!$S$1:$U$3014,3,FALSE),0)</f>
        <v>0</v>
      </c>
    </row>
    <row r="92" spans="1:16" x14ac:dyDescent="0.25">
      <c r="A92" s="23" t="s">
        <v>4272</v>
      </c>
      <c r="B92" s="23"/>
      <c r="C92" s="23"/>
      <c r="D92" s="23"/>
      <c r="E92" s="23"/>
      <c r="F92" s="24">
        <v>463.71</v>
      </c>
      <c r="G92" s="24">
        <v>325.69911242247281</v>
      </c>
      <c r="H92" s="24">
        <v>-463.71</v>
      </c>
      <c r="I92" s="24">
        <v>0</v>
      </c>
      <c r="J92" s="16" t="str">
        <f t="shared" si="12"/>
        <v>CAD</v>
      </c>
      <c r="K92">
        <f t="shared" si="7"/>
        <v>13</v>
      </c>
      <c r="L92" t="str">
        <f t="shared" si="8"/>
        <v>SO16628</v>
      </c>
      <c r="M92" s="12">
        <f t="shared" si="9"/>
        <v>0</v>
      </c>
      <c r="N92" s="12">
        <f t="shared" si="10"/>
        <v>0</v>
      </c>
      <c r="O92" s="13" t="str">
        <f t="shared" si="11"/>
        <v>Yes</v>
      </c>
      <c r="P92" s="12">
        <f>IFERROR(VLOOKUP(B92,'Receivable Invoice Detail'!$S$1:$U$3014,3,FALSE),0)</f>
        <v>0</v>
      </c>
    </row>
    <row r="93" spans="1:16" x14ac:dyDescent="0.25">
      <c r="A93" t="s">
        <v>1946</v>
      </c>
      <c r="B93" t="s">
        <v>2455</v>
      </c>
      <c r="C93" t="s">
        <v>39</v>
      </c>
      <c r="D93" t="s">
        <v>22</v>
      </c>
      <c r="E93" t="s">
        <v>4388</v>
      </c>
      <c r="F93" s="16">
        <v>0</v>
      </c>
      <c r="G93" s="16">
        <v>0</v>
      </c>
      <c r="H93" s="16">
        <v>-290.88</v>
      </c>
      <c r="I93" s="16">
        <v>0</v>
      </c>
      <c r="J93" s="16" t="str">
        <f t="shared" si="12"/>
        <v/>
      </c>
      <c r="K93">
        <f t="shared" si="7"/>
        <v>7</v>
      </c>
      <c r="L93" t="str">
        <f t="shared" si="8"/>
        <v/>
      </c>
      <c r="M93" s="12">
        <f t="shared" si="9"/>
        <v>0</v>
      </c>
      <c r="N93" s="12">
        <f t="shared" si="10"/>
        <v>0</v>
      </c>
      <c r="O93" s="13">
        <f t="shared" si="11"/>
        <v>0</v>
      </c>
      <c r="P93" s="12">
        <f>IFERROR(VLOOKUP(B93,'Receivable Invoice Detail'!$S$1:$U$3014,3,FALSE),0)</f>
        <v>0</v>
      </c>
    </row>
    <row r="94" spans="1:16" x14ac:dyDescent="0.25">
      <c r="B94" t="s">
        <v>2456</v>
      </c>
      <c r="C94" t="s">
        <v>39</v>
      </c>
      <c r="D94" t="s">
        <v>22</v>
      </c>
      <c r="E94" t="s">
        <v>4388</v>
      </c>
      <c r="F94" s="16">
        <v>313.66000000000003</v>
      </c>
      <c r="G94" s="16">
        <v>220.3074844243877</v>
      </c>
      <c r="H94" s="16">
        <v>-22.78</v>
      </c>
      <c r="I94" s="16">
        <v>0</v>
      </c>
      <c r="J94" s="16" t="str">
        <f t="shared" si="12"/>
        <v/>
      </c>
      <c r="K94">
        <f t="shared" si="7"/>
        <v>0</v>
      </c>
      <c r="L94" t="str">
        <f t="shared" si="8"/>
        <v/>
      </c>
      <c r="M94" s="12">
        <f t="shared" si="9"/>
        <v>0</v>
      </c>
      <c r="N94" s="12">
        <f t="shared" si="10"/>
        <v>0</v>
      </c>
      <c r="O94" s="13">
        <f t="shared" si="11"/>
        <v>0</v>
      </c>
      <c r="P94" s="12">
        <f>IFERROR(VLOOKUP(B94,'Receivable Invoice Detail'!$S$1:$U$3014,3,FALSE),0)</f>
        <v>0</v>
      </c>
    </row>
    <row r="95" spans="1:16" x14ac:dyDescent="0.25">
      <c r="A95" s="23" t="s">
        <v>4273</v>
      </c>
      <c r="B95" s="23"/>
      <c r="C95" s="23"/>
      <c r="D95" s="23"/>
      <c r="E95" s="23"/>
      <c r="F95" s="24">
        <v>313.66000000000003</v>
      </c>
      <c r="G95" s="24">
        <v>220.3074844243877</v>
      </c>
      <c r="H95" s="24">
        <v>-313.65999999999997</v>
      </c>
      <c r="I95" s="24">
        <v>0</v>
      </c>
      <c r="J95" s="16" t="str">
        <f t="shared" si="12"/>
        <v>CAD</v>
      </c>
      <c r="K95">
        <f t="shared" si="7"/>
        <v>13</v>
      </c>
      <c r="L95" t="str">
        <f t="shared" si="8"/>
        <v>SO16630</v>
      </c>
      <c r="M95" s="12">
        <f t="shared" si="9"/>
        <v>0</v>
      </c>
      <c r="N95" s="12">
        <f t="shared" si="10"/>
        <v>0</v>
      </c>
      <c r="O95" s="13" t="str">
        <f t="shared" si="11"/>
        <v>Yes</v>
      </c>
      <c r="P95" s="12">
        <f>IFERROR(VLOOKUP(B95,'Receivable Invoice Detail'!$S$1:$U$3014,3,FALSE),0)</f>
        <v>0</v>
      </c>
    </row>
    <row r="96" spans="1:16" x14ac:dyDescent="0.25">
      <c r="A96" t="s">
        <v>1829</v>
      </c>
      <c r="B96" t="s">
        <v>2522</v>
      </c>
      <c r="C96" t="s">
        <v>767</v>
      </c>
      <c r="D96" t="s">
        <v>51</v>
      </c>
      <c r="E96" t="s">
        <v>4388</v>
      </c>
      <c r="F96" s="16">
        <v>61849.473181507048</v>
      </c>
      <c r="G96" s="16">
        <v>43006.8</v>
      </c>
      <c r="H96" s="16">
        <v>0</v>
      </c>
      <c r="I96" s="16">
        <v>-42594</v>
      </c>
      <c r="J96" s="16" t="str">
        <f t="shared" si="12"/>
        <v/>
      </c>
      <c r="K96">
        <f t="shared" si="7"/>
        <v>7</v>
      </c>
      <c r="L96" t="str">
        <f t="shared" si="8"/>
        <v/>
      </c>
      <c r="M96" s="12">
        <f t="shared" si="9"/>
        <v>0</v>
      </c>
      <c r="N96" s="12">
        <f t="shared" si="10"/>
        <v>0</v>
      </c>
      <c r="O96" s="13">
        <f t="shared" si="11"/>
        <v>0</v>
      </c>
      <c r="P96" s="12">
        <f>IFERROR(VLOOKUP(B96,'Receivable Invoice Detail'!$S$1:$U$3014,3,FALSE),0)</f>
        <v>0</v>
      </c>
    </row>
    <row r="97" spans="1:16" x14ac:dyDescent="0.25">
      <c r="B97" t="s">
        <v>2521</v>
      </c>
      <c r="C97" t="s">
        <v>767</v>
      </c>
      <c r="D97" t="s">
        <v>51</v>
      </c>
      <c r="E97" t="s">
        <v>4388</v>
      </c>
      <c r="F97" s="16">
        <v>0</v>
      </c>
      <c r="G97" s="16">
        <v>0</v>
      </c>
      <c r="H97" s="16">
        <v>0</v>
      </c>
      <c r="I97" s="16">
        <v>-412.8</v>
      </c>
      <c r="J97" s="16" t="str">
        <f t="shared" si="12"/>
        <v/>
      </c>
      <c r="K97">
        <f t="shared" si="7"/>
        <v>0</v>
      </c>
      <c r="L97" t="str">
        <f t="shared" si="8"/>
        <v/>
      </c>
      <c r="M97" s="12">
        <f t="shared" si="9"/>
        <v>0</v>
      </c>
      <c r="N97" s="12">
        <f t="shared" si="10"/>
        <v>0</v>
      </c>
      <c r="O97" s="13">
        <f t="shared" si="11"/>
        <v>0</v>
      </c>
      <c r="P97" s="12">
        <f>IFERROR(VLOOKUP(B97,'Receivable Invoice Detail'!$S$1:$U$3014,3,FALSE),0)</f>
        <v>0</v>
      </c>
    </row>
    <row r="98" spans="1:16" x14ac:dyDescent="0.25">
      <c r="A98" s="23" t="s">
        <v>4274</v>
      </c>
      <c r="B98" s="23"/>
      <c r="C98" s="23"/>
      <c r="D98" s="23"/>
      <c r="E98" s="23"/>
      <c r="F98" s="24">
        <v>61849.473181507048</v>
      </c>
      <c r="G98" s="24">
        <v>43006.8</v>
      </c>
      <c r="H98" s="24">
        <v>0</v>
      </c>
      <c r="I98" s="24">
        <v>-43006.8</v>
      </c>
      <c r="J98" s="16" t="str">
        <f t="shared" si="12"/>
        <v>USD</v>
      </c>
      <c r="K98">
        <f t="shared" si="7"/>
        <v>13</v>
      </c>
      <c r="L98" t="str">
        <f t="shared" si="8"/>
        <v>SO16645</v>
      </c>
      <c r="M98" s="12">
        <f t="shared" si="9"/>
        <v>0</v>
      </c>
      <c r="N98" s="12">
        <f t="shared" si="10"/>
        <v>0</v>
      </c>
      <c r="O98" s="13" t="str">
        <f t="shared" si="11"/>
        <v>Yes</v>
      </c>
      <c r="P98" s="12">
        <f>IFERROR(VLOOKUP(B98,'Receivable Invoice Detail'!$S$1:$U$3014,3,FALSE),0)</f>
        <v>0</v>
      </c>
    </row>
    <row r="99" spans="1:16" x14ac:dyDescent="0.25">
      <c r="A99" t="s">
        <v>1740</v>
      </c>
      <c r="B99" t="s">
        <v>2572</v>
      </c>
      <c r="C99" t="s">
        <v>901</v>
      </c>
      <c r="D99" t="s">
        <v>51</v>
      </c>
      <c r="E99" t="s">
        <v>4388</v>
      </c>
      <c r="F99" s="16">
        <v>0</v>
      </c>
      <c r="G99" s="16">
        <v>0</v>
      </c>
      <c r="H99" s="16">
        <v>0</v>
      </c>
      <c r="I99" s="16">
        <v>-13983.47</v>
      </c>
      <c r="J99" s="16" t="str">
        <f t="shared" si="12"/>
        <v/>
      </c>
      <c r="K99">
        <f t="shared" si="7"/>
        <v>7</v>
      </c>
      <c r="L99" t="str">
        <f t="shared" si="8"/>
        <v/>
      </c>
      <c r="M99" s="12">
        <f t="shared" si="9"/>
        <v>0</v>
      </c>
      <c r="N99" s="12">
        <f t="shared" si="10"/>
        <v>0</v>
      </c>
      <c r="O99" s="13">
        <f t="shared" si="11"/>
        <v>0</v>
      </c>
      <c r="P99" s="12">
        <f>IFERROR(VLOOKUP(B99,'Receivable Invoice Detail'!$S$1:$U$3014,3,FALSE),0)</f>
        <v>0</v>
      </c>
    </row>
    <row r="100" spans="1:16" x14ac:dyDescent="0.25">
      <c r="B100" t="s">
        <v>2573</v>
      </c>
      <c r="C100" t="s">
        <v>901</v>
      </c>
      <c r="D100" t="s">
        <v>51</v>
      </c>
      <c r="E100" t="s">
        <v>4388</v>
      </c>
      <c r="F100" s="16">
        <v>0</v>
      </c>
      <c r="G100" s="16">
        <v>0</v>
      </c>
      <c r="H100" s="16">
        <v>0</v>
      </c>
      <c r="I100" s="16">
        <v>-14651.3</v>
      </c>
      <c r="J100" s="16" t="str">
        <f t="shared" si="12"/>
        <v/>
      </c>
      <c r="K100">
        <f t="shared" si="7"/>
        <v>0</v>
      </c>
      <c r="L100" t="str">
        <f t="shared" si="8"/>
        <v/>
      </c>
      <c r="M100" s="12">
        <f t="shared" si="9"/>
        <v>0</v>
      </c>
      <c r="N100" s="12">
        <f t="shared" si="10"/>
        <v>0</v>
      </c>
      <c r="O100" s="13">
        <f t="shared" si="11"/>
        <v>0</v>
      </c>
      <c r="P100" s="12">
        <f>IFERROR(VLOOKUP(B100,'Receivable Invoice Detail'!$S$1:$U$3014,3,FALSE),0)</f>
        <v>0</v>
      </c>
    </row>
    <row r="101" spans="1:16" x14ac:dyDescent="0.25">
      <c r="B101" t="s">
        <v>2575</v>
      </c>
      <c r="C101" t="s">
        <v>901</v>
      </c>
      <c r="D101" t="s">
        <v>51</v>
      </c>
      <c r="E101" t="s">
        <v>4388</v>
      </c>
      <c r="F101" s="16">
        <v>77514.783186116387</v>
      </c>
      <c r="G101" s="16">
        <v>54023.42</v>
      </c>
      <c r="H101" s="16">
        <v>0</v>
      </c>
      <c r="I101" s="16">
        <v>-23970.9</v>
      </c>
      <c r="J101" s="16" t="str">
        <f t="shared" si="12"/>
        <v/>
      </c>
      <c r="K101">
        <f t="shared" si="7"/>
        <v>0</v>
      </c>
      <c r="L101" t="str">
        <f t="shared" si="8"/>
        <v/>
      </c>
      <c r="M101" s="12">
        <f t="shared" si="9"/>
        <v>0</v>
      </c>
      <c r="N101" s="12">
        <f t="shared" si="10"/>
        <v>0</v>
      </c>
      <c r="O101" s="13">
        <f t="shared" si="11"/>
        <v>0</v>
      </c>
      <c r="P101" s="12">
        <f>IFERROR(VLOOKUP(B101,'Receivable Invoice Detail'!$S$1:$U$3014,3,FALSE),0)</f>
        <v>0</v>
      </c>
    </row>
    <row r="102" spans="1:16" x14ac:dyDescent="0.25">
      <c r="B102" t="s">
        <v>2574</v>
      </c>
      <c r="C102" t="s">
        <v>901</v>
      </c>
      <c r="D102" t="s">
        <v>51</v>
      </c>
      <c r="E102" t="s">
        <v>4388</v>
      </c>
      <c r="F102" s="16">
        <v>0</v>
      </c>
      <c r="G102" s="16">
        <v>0</v>
      </c>
      <c r="H102" s="16">
        <v>0</v>
      </c>
      <c r="I102" s="16">
        <v>-1417.75</v>
      </c>
      <c r="J102" s="16" t="str">
        <f t="shared" si="12"/>
        <v/>
      </c>
      <c r="K102">
        <f t="shared" si="7"/>
        <v>0</v>
      </c>
      <c r="L102" t="str">
        <f t="shared" si="8"/>
        <v/>
      </c>
      <c r="M102" s="12">
        <f t="shared" si="9"/>
        <v>0</v>
      </c>
      <c r="N102" s="12">
        <f t="shared" si="10"/>
        <v>0</v>
      </c>
      <c r="O102" s="13">
        <f t="shared" si="11"/>
        <v>0</v>
      </c>
      <c r="P102" s="12">
        <f>IFERROR(VLOOKUP(B102,'Receivable Invoice Detail'!$S$1:$U$3014,3,FALSE),0)</f>
        <v>0</v>
      </c>
    </row>
    <row r="103" spans="1:16" x14ac:dyDescent="0.25">
      <c r="A103" s="23" t="s">
        <v>4275</v>
      </c>
      <c r="B103" s="23"/>
      <c r="C103" s="23"/>
      <c r="D103" s="23"/>
      <c r="E103" s="23"/>
      <c r="F103" s="24">
        <v>77514.783186116387</v>
      </c>
      <c r="G103" s="24">
        <v>54023.42</v>
      </c>
      <c r="H103" s="24">
        <v>0</v>
      </c>
      <c r="I103" s="24">
        <v>-54023.42</v>
      </c>
      <c r="J103" s="16" t="str">
        <f t="shared" si="12"/>
        <v>USD</v>
      </c>
      <c r="K103">
        <f t="shared" si="7"/>
        <v>13</v>
      </c>
      <c r="L103" t="str">
        <f t="shared" si="8"/>
        <v>SO16651</v>
      </c>
      <c r="M103" s="12">
        <f t="shared" si="9"/>
        <v>0</v>
      </c>
      <c r="N103" s="12">
        <f t="shared" si="10"/>
        <v>0</v>
      </c>
      <c r="O103" s="13" t="str">
        <f t="shared" si="11"/>
        <v>Yes</v>
      </c>
      <c r="P103" s="12">
        <f>IFERROR(VLOOKUP(B103,'Receivable Invoice Detail'!$S$1:$U$3014,3,FALSE),0)</f>
        <v>0</v>
      </c>
    </row>
    <row r="104" spans="1:16" x14ac:dyDescent="0.25">
      <c r="A104" t="s">
        <v>1919</v>
      </c>
      <c r="B104" t="s">
        <v>2470</v>
      </c>
      <c r="C104" t="s">
        <v>129</v>
      </c>
      <c r="D104" t="s">
        <v>51</v>
      </c>
      <c r="E104" t="s">
        <v>4389</v>
      </c>
      <c r="F104" s="16">
        <v>0</v>
      </c>
      <c r="G104" s="16">
        <v>0</v>
      </c>
      <c r="H104" s="16">
        <v>0</v>
      </c>
      <c r="I104" s="16">
        <v>0</v>
      </c>
      <c r="J104" s="16" t="str">
        <f t="shared" si="12"/>
        <v/>
      </c>
      <c r="K104">
        <f t="shared" si="7"/>
        <v>7</v>
      </c>
      <c r="L104" t="str">
        <f t="shared" si="8"/>
        <v/>
      </c>
      <c r="M104" s="12">
        <f t="shared" si="9"/>
        <v>0</v>
      </c>
      <c r="N104" s="12">
        <f t="shared" si="10"/>
        <v>0</v>
      </c>
      <c r="O104" s="13">
        <f t="shared" si="11"/>
        <v>0</v>
      </c>
      <c r="P104" s="12">
        <f>IFERROR(VLOOKUP(B104,'Receivable Invoice Detail'!$S$1:$U$3014,3,FALSE),0)</f>
        <v>0</v>
      </c>
    </row>
    <row r="105" spans="1:16" x14ac:dyDescent="0.25">
      <c r="B105" t="s">
        <v>2471</v>
      </c>
      <c r="C105" t="s">
        <v>129</v>
      </c>
      <c r="D105" t="s">
        <v>51</v>
      </c>
      <c r="E105" t="s">
        <v>4389</v>
      </c>
      <c r="F105" s="16">
        <v>5468.2390441983789</v>
      </c>
      <c r="G105" s="16">
        <v>3844</v>
      </c>
      <c r="H105" s="16">
        <v>0</v>
      </c>
      <c r="I105" s="16">
        <v>0</v>
      </c>
      <c r="J105" s="16" t="str">
        <f t="shared" si="12"/>
        <v/>
      </c>
      <c r="K105">
        <f t="shared" si="7"/>
        <v>0</v>
      </c>
      <c r="L105" t="str">
        <f t="shared" si="8"/>
        <v/>
      </c>
      <c r="M105" s="12">
        <f t="shared" si="9"/>
        <v>0</v>
      </c>
      <c r="N105" s="12">
        <f t="shared" si="10"/>
        <v>0</v>
      </c>
      <c r="O105" s="13">
        <f t="shared" si="11"/>
        <v>0</v>
      </c>
      <c r="P105" s="12">
        <f>IFERROR(VLOOKUP(B105,'Receivable Invoice Detail'!$S$1:$U$3014,3,FALSE),0)</f>
        <v>0</v>
      </c>
    </row>
    <row r="106" spans="1:16" x14ac:dyDescent="0.25">
      <c r="A106" s="23" t="s">
        <v>4276</v>
      </c>
      <c r="B106" s="23"/>
      <c r="C106" s="23"/>
      <c r="D106" s="23"/>
      <c r="E106" s="23"/>
      <c r="F106" s="24">
        <v>5468.2390441983789</v>
      </c>
      <c r="G106" s="24">
        <v>3844</v>
      </c>
      <c r="H106" s="24">
        <v>0</v>
      </c>
      <c r="I106" s="24">
        <v>0</v>
      </c>
      <c r="J106" s="16" t="str">
        <f t="shared" si="12"/>
        <v>USD</v>
      </c>
      <c r="K106">
        <f t="shared" si="7"/>
        <v>13</v>
      </c>
      <c r="L106" t="str">
        <f t="shared" si="8"/>
        <v>SO16658</v>
      </c>
      <c r="M106" s="12">
        <f t="shared" si="9"/>
        <v>0</v>
      </c>
      <c r="N106" s="12">
        <f t="shared" si="10"/>
        <v>3844</v>
      </c>
      <c r="O106" s="13">
        <f t="shared" si="11"/>
        <v>0</v>
      </c>
      <c r="P106" s="12">
        <f>IFERROR(VLOOKUP(B106,'Receivable Invoice Detail'!$S$1:$U$3014,3,FALSE),0)</f>
        <v>0</v>
      </c>
    </row>
    <row r="107" spans="1:16" x14ac:dyDescent="0.25">
      <c r="A107" t="s">
        <v>1378</v>
      </c>
      <c r="B107" t="s">
        <v>2780</v>
      </c>
      <c r="C107" t="s">
        <v>1380</v>
      </c>
      <c r="D107" t="s">
        <v>51</v>
      </c>
      <c r="E107" t="s">
        <v>4388</v>
      </c>
      <c r="F107" s="16">
        <v>39478.216987228247</v>
      </c>
      <c r="G107" s="16">
        <v>28692.74</v>
      </c>
      <c r="H107" s="16">
        <v>0</v>
      </c>
      <c r="I107" s="16">
        <v>-28692.74</v>
      </c>
      <c r="J107" s="16" t="str">
        <f t="shared" si="12"/>
        <v/>
      </c>
      <c r="K107">
        <f t="shared" si="7"/>
        <v>7</v>
      </c>
      <c r="L107" t="str">
        <f t="shared" si="8"/>
        <v/>
      </c>
      <c r="M107" s="12">
        <f t="shared" si="9"/>
        <v>0</v>
      </c>
      <c r="N107" s="12">
        <f t="shared" si="10"/>
        <v>0</v>
      </c>
      <c r="O107" s="13">
        <f t="shared" si="11"/>
        <v>0</v>
      </c>
      <c r="P107" s="12">
        <f>IFERROR(VLOOKUP(B107,'Receivable Invoice Detail'!$S$1:$U$3014,3,FALSE),0)</f>
        <v>0</v>
      </c>
    </row>
    <row r="108" spans="1:16" x14ac:dyDescent="0.25">
      <c r="A108" s="23" t="s">
        <v>4277</v>
      </c>
      <c r="B108" s="23"/>
      <c r="C108" s="23"/>
      <c r="D108" s="23"/>
      <c r="E108" s="23"/>
      <c r="F108" s="24">
        <v>39478.216987228247</v>
      </c>
      <c r="G108" s="24">
        <v>28692.74</v>
      </c>
      <c r="H108" s="24">
        <v>0</v>
      </c>
      <c r="I108" s="24">
        <v>-28692.74</v>
      </c>
      <c r="J108" s="16" t="str">
        <f t="shared" si="12"/>
        <v>USD</v>
      </c>
      <c r="K108">
        <f t="shared" si="7"/>
        <v>13</v>
      </c>
      <c r="L108" t="str">
        <f t="shared" si="8"/>
        <v>SO16679</v>
      </c>
      <c r="M108" s="12">
        <f t="shared" si="9"/>
        <v>0</v>
      </c>
      <c r="N108" s="12">
        <f t="shared" si="10"/>
        <v>0</v>
      </c>
      <c r="O108" s="13" t="str">
        <f t="shared" si="11"/>
        <v>Yes</v>
      </c>
      <c r="P108" s="12">
        <f>IFERROR(VLOOKUP(B108,'Receivable Invoice Detail'!$S$1:$U$3014,3,FALSE),0)</f>
        <v>0</v>
      </c>
    </row>
    <row r="109" spans="1:16" x14ac:dyDescent="0.25">
      <c r="A109" t="s">
        <v>1863</v>
      </c>
      <c r="B109" t="s">
        <v>2500</v>
      </c>
      <c r="C109" t="s">
        <v>98</v>
      </c>
      <c r="D109" t="s">
        <v>22</v>
      </c>
      <c r="E109" t="s">
        <v>4388</v>
      </c>
      <c r="F109" s="16">
        <v>0</v>
      </c>
      <c r="G109" s="16">
        <v>0</v>
      </c>
      <c r="H109" s="16">
        <v>-2175.21</v>
      </c>
      <c r="I109" s="16">
        <v>0</v>
      </c>
      <c r="J109" s="16" t="str">
        <f t="shared" si="12"/>
        <v/>
      </c>
      <c r="K109">
        <f t="shared" si="7"/>
        <v>7</v>
      </c>
      <c r="L109" t="str">
        <f t="shared" si="8"/>
        <v/>
      </c>
      <c r="M109" s="12">
        <f t="shared" si="9"/>
        <v>0</v>
      </c>
      <c r="N109" s="12">
        <f t="shared" si="10"/>
        <v>0</v>
      </c>
      <c r="O109" s="13">
        <f t="shared" si="11"/>
        <v>0</v>
      </c>
      <c r="P109" s="12">
        <f>IFERROR(VLOOKUP(B109,'Receivable Invoice Detail'!$S$1:$U$3014,3,FALSE),0)</f>
        <v>0</v>
      </c>
    </row>
    <row r="110" spans="1:16" x14ac:dyDescent="0.25">
      <c r="B110" t="s">
        <v>2501</v>
      </c>
      <c r="C110" t="s">
        <v>98</v>
      </c>
      <c r="D110" t="s">
        <v>22</v>
      </c>
      <c r="E110" t="s">
        <v>4388</v>
      </c>
      <c r="F110" s="16">
        <v>3409.71</v>
      </c>
      <c r="G110" s="16">
        <v>2362.2669566193817</v>
      </c>
      <c r="H110" s="16">
        <v>-19.89</v>
      </c>
      <c r="I110" s="16">
        <v>0</v>
      </c>
      <c r="J110" s="16" t="str">
        <f t="shared" si="12"/>
        <v/>
      </c>
      <c r="K110">
        <f t="shared" si="7"/>
        <v>0</v>
      </c>
      <c r="L110" t="str">
        <f t="shared" si="8"/>
        <v/>
      </c>
      <c r="M110" s="12">
        <f t="shared" si="9"/>
        <v>0</v>
      </c>
      <c r="N110" s="12">
        <f t="shared" si="10"/>
        <v>0</v>
      </c>
      <c r="O110" s="13">
        <f t="shared" si="11"/>
        <v>0</v>
      </c>
      <c r="P110" s="12">
        <f>IFERROR(VLOOKUP(B110,'Receivable Invoice Detail'!$S$1:$U$3014,3,FALSE),0)</f>
        <v>0</v>
      </c>
    </row>
    <row r="111" spans="1:16" x14ac:dyDescent="0.25">
      <c r="B111" t="s">
        <v>2499</v>
      </c>
      <c r="C111" t="s">
        <v>98</v>
      </c>
      <c r="D111" t="s">
        <v>22</v>
      </c>
      <c r="E111" t="s">
        <v>4388</v>
      </c>
      <c r="F111" s="16">
        <v>0</v>
      </c>
      <c r="G111" s="16">
        <v>0</v>
      </c>
      <c r="H111" s="16">
        <v>-1214.6099999999999</v>
      </c>
      <c r="I111" s="16">
        <v>0</v>
      </c>
      <c r="J111" s="16" t="str">
        <f t="shared" si="12"/>
        <v/>
      </c>
      <c r="K111">
        <f t="shared" si="7"/>
        <v>0</v>
      </c>
      <c r="L111" t="str">
        <f t="shared" si="8"/>
        <v/>
      </c>
      <c r="M111" s="12">
        <f t="shared" si="9"/>
        <v>0</v>
      </c>
      <c r="N111" s="12">
        <f t="shared" si="10"/>
        <v>0</v>
      </c>
      <c r="O111" s="13">
        <f t="shared" si="11"/>
        <v>0</v>
      </c>
      <c r="P111" s="12">
        <f>IFERROR(VLOOKUP(B111,'Receivable Invoice Detail'!$S$1:$U$3014,3,FALSE),0)</f>
        <v>0</v>
      </c>
    </row>
    <row r="112" spans="1:16" x14ac:dyDescent="0.25">
      <c r="A112" s="23" t="s">
        <v>4278</v>
      </c>
      <c r="B112" s="23"/>
      <c r="C112" s="23"/>
      <c r="D112" s="23"/>
      <c r="E112" s="23"/>
      <c r="F112" s="24">
        <v>3409.71</v>
      </c>
      <c r="G112" s="24">
        <v>2362.2669566193817</v>
      </c>
      <c r="H112" s="24">
        <v>-3409.71</v>
      </c>
      <c r="I112" s="24">
        <v>0</v>
      </c>
      <c r="J112" s="16" t="str">
        <f t="shared" si="12"/>
        <v>CAD</v>
      </c>
      <c r="K112">
        <f t="shared" si="7"/>
        <v>13</v>
      </c>
      <c r="L112" t="str">
        <f t="shared" si="8"/>
        <v>SO16692</v>
      </c>
      <c r="M112" s="12">
        <f t="shared" si="9"/>
        <v>0</v>
      </c>
      <c r="N112" s="12">
        <f t="shared" si="10"/>
        <v>0</v>
      </c>
      <c r="O112" s="13" t="str">
        <f t="shared" si="11"/>
        <v>Yes</v>
      </c>
      <c r="P112" s="12">
        <f>IFERROR(VLOOKUP(B112,'Receivable Invoice Detail'!$S$1:$U$3014,3,FALSE),0)</f>
        <v>0</v>
      </c>
    </row>
    <row r="113" spans="1:19" x14ac:dyDescent="0.25">
      <c r="A113" t="s">
        <v>1869</v>
      </c>
      <c r="B113" t="s">
        <v>2496</v>
      </c>
      <c r="C113" t="s">
        <v>723</v>
      </c>
      <c r="D113" t="s">
        <v>51</v>
      </c>
      <c r="E113" t="s">
        <v>4388</v>
      </c>
      <c r="F113" s="16">
        <v>11873.686477370158</v>
      </c>
      <c r="G113" s="16">
        <v>8275</v>
      </c>
      <c r="H113" s="16">
        <v>0</v>
      </c>
      <c r="I113" s="16">
        <v>-5509</v>
      </c>
      <c r="J113" s="16" t="str">
        <f t="shared" si="12"/>
        <v/>
      </c>
      <c r="K113">
        <f t="shared" si="7"/>
        <v>7</v>
      </c>
      <c r="L113" t="str">
        <f t="shared" si="8"/>
        <v/>
      </c>
      <c r="M113" s="12">
        <f t="shared" si="9"/>
        <v>0</v>
      </c>
      <c r="N113" s="12">
        <f t="shared" si="10"/>
        <v>0</v>
      </c>
      <c r="O113" s="13">
        <f t="shared" si="11"/>
        <v>0</v>
      </c>
      <c r="P113" s="12">
        <f>IFERROR(VLOOKUP(B113,'Receivable Invoice Detail'!$S$1:$U$3014,3,FALSE),0)</f>
        <v>395</v>
      </c>
      <c r="Q113" s="13"/>
    </row>
    <row r="114" spans="1:19" x14ac:dyDescent="0.25">
      <c r="B114" t="s">
        <v>2495</v>
      </c>
      <c r="C114" t="s">
        <v>723</v>
      </c>
      <c r="D114" t="s">
        <v>51</v>
      </c>
      <c r="E114" t="s">
        <v>4388</v>
      </c>
      <c r="F114" s="16">
        <v>0</v>
      </c>
      <c r="G114" s="16">
        <v>0</v>
      </c>
      <c r="H114" s="16">
        <v>0</v>
      </c>
      <c r="I114" s="16">
        <v>-3048.65</v>
      </c>
      <c r="J114" s="16" t="str">
        <f t="shared" si="12"/>
        <v/>
      </c>
      <c r="K114">
        <f t="shared" si="7"/>
        <v>0</v>
      </c>
      <c r="L114" t="str">
        <f t="shared" si="8"/>
        <v/>
      </c>
      <c r="M114" s="12">
        <f t="shared" si="9"/>
        <v>0</v>
      </c>
      <c r="N114" s="12">
        <f t="shared" si="10"/>
        <v>0</v>
      </c>
      <c r="O114" s="13">
        <f t="shared" si="11"/>
        <v>0</v>
      </c>
      <c r="P114" s="12">
        <f>IFERROR(VLOOKUP(B114,'Receivable Invoice Detail'!$S$1:$U$3014,3,FALSE),0)</f>
        <v>282.64999999999998</v>
      </c>
    </row>
    <row r="115" spans="1:19" x14ac:dyDescent="0.25">
      <c r="A115" s="23" t="s">
        <v>4279</v>
      </c>
      <c r="B115" s="23"/>
      <c r="C115" s="23"/>
      <c r="D115" s="23"/>
      <c r="E115" s="23"/>
      <c r="F115" s="24">
        <v>11873.686477370158</v>
      </c>
      <c r="G115" s="24">
        <v>8275</v>
      </c>
      <c r="H115" s="24">
        <v>0</v>
      </c>
      <c r="I115" s="24">
        <v>-8557.65</v>
      </c>
      <c r="J115" s="16" t="str">
        <f t="shared" si="12"/>
        <v>USD</v>
      </c>
      <c r="K115">
        <f t="shared" si="7"/>
        <v>13</v>
      </c>
      <c r="L115" t="str">
        <f t="shared" si="8"/>
        <v>SO16693</v>
      </c>
      <c r="M115" s="12">
        <f t="shared" si="9"/>
        <v>0</v>
      </c>
      <c r="N115" s="12">
        <f t="shared" si="10"/>
        <v>-282.64999999999998</v>
      </c>
      <c r="O115" s="13">
        <f t="shared" si="11"/>
        <v>0</v>
      </c>
      <c r="P115" s="12">
        <f>IFERROR(VLOOKUP(B115,'Receivable Invoice Detail'!$S$1:$U$3014,3,FALSE),0)</f>
        <v>0</v>
      </c>
      <c r="Q115" t="s">
        <v>4388</v>
      </c>
      <c r="R115" t="s">
        <v>2495</v>
      </c>
      <c r="S115" t="s">
        <v>4390</v>
      </c>
    </row>
    <row r="116" spans="1:19" x14ac:dyDescent="0.25">
      <c r="A116" t="s">
        <v>1859</v>
      </c>
      <c r="B116" t="s">
        <v>2503</v>
      </c>
      <c r="C116" t="s">
        <v>146</v>
      </c>
      <c r="D116" t="s">
        <v>22</v>
      </c>
      <c r="E116" t="s">
        <v>4388</v>
      </c>
      <c r="F116" s="16">
        <v>0</v>
      </c>
      <c r="G116" s="16">
        <v>0</v>
      </c>
      <c r="H116" s="16">
        <v>-93.89</v>
      </c>
      <c r="I116" s="16">
        <v>0</v>
      </c>
      <c r="J116" s="16" t="str">
        <f t="shared" si="12"/>
        <v/>
      </c>
      <c r="K116">
        <f t="shared" si="7"/>
        <v>7</v>
      </c>
      <c r="L116" t="str">
        <f t="shared" si="8"/>
        <v/>
      </c>
      <c r="M116" s="12">
        <f t="shared" si="9"/>
        <v>0</v>
      </c>
      <c r="N116" s="12">
        <f t="shared" si="10"/>
        <v>0</v>
      </c>
      <c r="O116" s="13">
        <f t="shared" si="11"/>
        <v>0</v>
      </c>
      <c r="P116" s="12">
        <f>IFERROR(VLOOKUP(B116,'Receivable Invoice Detail'!$S$1:$U$3014,3,FALSE),0)</f>
        <v>0</v>
      </c>
    </row>
    <row r="117" spans="1:19" x14ac:dyDescent="0.25">
      <c r="B117" t="s">
        <v>2504</v>
      </c>
      <c r="C117" t="s">
        <v>146</v>
      </c>
      <c r="D117" t="s">
        <v>22</v>
      </c>
      <c r="E117" t="s">
        <v>4388</v>
      </c>
      <c r="F117" s="16">
        <v>631.62</v>
      </c>
      <c r="G117" s="16">
        <v>438.59356200574041</v>
      </c>
      <c r="H117" s="16">
        <v>-537.73</v>
      </c>
      <c r="I117" s="16">
        <v>0</v>
      </c>
      <c r="J117" s="16" t="str">
        <f t="shared" si="12"/>
        <v/>
      </c>
      <c r="K117">
        <f t="shared" si="7"/>
        <v>0</v>
      </c>
      <c r="L117" t="str">
        <f t="shared" si="8"/>
        <v/>
      </c>
      <c r="M117" s="12">
        <f t="shared" si="9"/>
        <v>0</v>
      </c>
      <c r="N117" s="12">
        <f t="shared" si="10"/>
        <v>0</v>
      </c>
      <c r="O117" s="13">
        <f t="shared" si="11"/>
        <v>0</v>
      </c>
      <c r="P117" s="12">
        <f>IFERROR(VLOOKUP(B117,'Receivable Invoice Detail'!$S$1:$U$3014,3,FALSE),0)</f>
        <v>0</v>
      </c>
    </row>
    <row r="118" spans="1:19" x14ac:dyDescent="0.25">
      <c r="A118" s="23" t="s">
        <v>4280</v>
      </c>
      <c r="B118" s="23"/>
      <c r="C118" s="23"/>
      <c r="D118" s="23"/>
      <c r="E118" s="23"/>
      <c r="F118" s="24">
        <v>631.62</v>
      </c>
      <c r="G118" s="24">
        <v>438.59356200574041</v>
      </c>
      <c r="H118" s="24">
        <v>-631.62</v>
      </c>
      <c r="I118" s="24">
        <v>0</v>
      </c>
      <c r="J118" s="16" t="str">
        <f t="shared" si="12"/>
        <v>CAD</v>
      </c>
      <c r="K118">
        <f t="shared" si="7"/>
        <v>13</v>
      </c>
      <c r="L118" t="str">
        <f t="shared" si="8"/>
        <v>SO16703</v>
      </c>
      <c r="M118" s="12">
        <f t="shared" si="9"/>
        <v>0</v>
      </c>
      <c r="N118" s="12">
        <f t="shared" si="10"/>
        <v>0</v>
      </c>
      <c r="O118" s="13" t="str">
        <f t="shared" si="11"/>
        <v>Yes</v>
      </c>
      <c r="P118" s="12">
        <f>IFERROR(VLOOKUP(B118,'Receivable Invoice Detail'!$S$1:$U$3014,3,FALSE),0)</f>
        <v>0</v>
      </c>
    </row>
    <row r="119" spans="1:19" x14ac:dyDescent="0.25">
      <c r="A119" t="s">
        <v>1850</v>
      </c>
      <c r="B119" t="s">
        <v>2509</v>
      </c>
      <c r="C119" t="s">
        <v>1852</v>
      </c>
      <c r="D119" t="s">
        <v>51</v>
      </c>
      <c r="E119" t="s">
        <v>4388</v>
      </c>
      <c r="F119" s="16">
        <v>6126.7031251243734</v>
      </c>
      <c r="G119" s="16">
        <v>4254.3500000000004</v>
      </c>
      <c r="H119" s="16">
        <v>0</v>
      </c>
      <c r="I119" s="16">
        <v>-3884.47</v>
      </c>
      <c r="J119" s="16" t="str">
        <f t="shared" si="12"/>
        <v/>
      </c>
      <c r="K119">
        <f t="shared" si="7"/>
        <v>7</v>
      </c>
      <c r="L119" t="str">
        <f t="shared" si="8"/>
        <v/>
      </c>
      <c r="M119" s="12">
        <f t="shared" si="9"/>
        <v>0</v>
      </c>
      <c r="N119" s="12">
        <f t="shared" si="10"/>
        <v>0</v>
      </c>
      <c r="O119" s="13">
        <f t="shared" si="11"/>
        <v>0</v>
      </c>
      <c r="P119" s="12">
        <f>IFERROR(VLOOKUP(B119,'Receivable Invoice Detail'!$S$1:$U$3014,3,FALSE),0)</f>
        <v>0</v>
      </c>
    </row>
    <row r="120" spans="1:19" x14ac:dyDescent="0.25">
      <c r="B120" t="s">
        <v>2508</v>
      </c>
      <c r="C120" t="s">
        <v>1852</v>
      </c>
      <c r="D120" t="s">
        <v>51</v>
      </c>
      <c r="E120" t="s">
        <v>4388</v>
      </c>
      <c r="F120" s="16">
        <v>0</v>
      </c>
      <c r="G120" s="16">
        <v>0</v>
      </c>
      <c r="H120" s="16">
        <v>0</v>
      </c>
      <c r="I120" s="16">
        <v>-369.88</v>
      </c>
      <c r="J120" s="16" t="str">
        <f t="shared" si="12"/>
        <v/>
      </c>
      <c r="K120">
        <f t="shared" si="7"/>
        <v>0</v>
      </c>
      <c r="L120" t="str">
        <f t="shared" si="8"/>
        <v/>
      </c>
      <c r="M120" s="12">
        <f t="shared" si="9"/>
        <v>0</v>
      </c>
      <c r="N120" s="12">
        <f t="shared" si="10"/>
        <v>0</v>
      </c>
      <c r="O120" s="13">
        <f t="shared" si="11"/>
        <v>0</v>
      </c>
      <c r="P120" s="12">
        <f>IFERROR(VLOOKUP(B120,'Receivable Invoice Detail'!$S$1:$U$3014,3,FALSE),0)</f>
        <v>0</v>
      </c>
    </row>
    <row r="121" spans="1:19" x14ac:dyDescent="0.25">
      <c r="A121" s="23" t="s">
        <v>4281</v>
      </c>
      <c r="B121" s="23"/>
      <c r="C121" s="23"/>
      <c r="D121" s="23"/>
      <c r="E121" s="23"/>
      <c r="F121" s="24">
        <v>6126.7031251243734</v>
      </c>
      <c r="G121" s="24">
        <v>4254.3500000000004</v>
      </c>
      <c r="H121" s="24">
        <v>0</v>
      </c>
      <c r="I121" s="24">
        <v>-4254.3499999999995</v>
      </c>
      <c r="J121" s="16" t="str">
        <f t="shared" si="12"/>
        <v>USD</v>
      </c>
      <c r="K121">
        <f t="shared" si="7"/>
        <v>13</v>
      </c>
      <c r="L121" t="str">
        <f t="shared" si="8"/>
        <v>SO16707</v>
      </c>
      <c r="M121" s="12">
        <f t="shared" si="9"/>
        <v>0</v>
      </c>
      <c r="N121" s="12">
        <f t="shared" si="10"/>
        <v>0</v>
      </c>
      <c r="O121" s="13" t="str">
        <f t="shared" si="11"/>
        <v>Yes</v>
      </c>
      <c r="P121" s="12">
        <f>IFERROR(VLOOKUP(B121,'Receivable Invoice Detail'!$S$1:$U$3014,3,FALSE),0)</f>
        <v>0</v>
      </c>
    </row>
    <row r="122" spans="1:19" x14ac:dyDescent="0.25">
      <c r="A122" t="s">
        <v>1842</v>
      </c>
      <c r="B122" t="s">
        <v>2515</v>
      </c>
      <c r="C122" t="s">
        <v>229</v>
      </c>
      <c r="D122" t="s">
        <v>22</v>
      </c>
      <c r="E122" t="s">
        <v>4388</v>
      </c>
      <c r="F122" s="16">
        <v>1995.22</v>
      </c>
      <c r="G122" s="16">
        <v>1387.3687694021708</v>
      </c>
      <c r="H122" s="16">
        <v>-498.96</v>
      </c>
      <c r="I122" s="16">
        <v>0</v>
      </c>
      <c r="J122" s="16" t="str">
        <f t="shared" si="12"/>
        <v/>
      </c>
      <c r="K122">
        <f t="shared" si="7"/>
        <v>7</v>
      </c>
      <c r="L122" t="str">
        <f t="shared" si="8"/>
        <v/>
      </c>
      <c r="M122" s="12">
        <f t="shared" si="9"/>
        <v>0</v>
      </c>
      <c r="N122" s="12">
        <f t="shared" si="10"/>
        <v>0</v>
      </c>
      <c r="O122" s="13">
        <f t="shared" si="11"/>
        <v>0</v>
      </c>
      <c r="P122" s="12">
        <f>IFERROR(VLOOKUP(B122,'Receivable Invoice Detail'!$S$1:$U$3014,3,FALSE),0)</f>
        <v>0</v>
      </c>
    </row>
    <row r="123" spans="1:19" x14ac:dyDescent="0.25">
      <c r="B123" t="s">
        <v>2514</v>
      </c>
      <c r="C123" t="s">
        <v>229</v>
      </c>
      <c r="D123" t="s">
        <v>22</v>
      </c>
      <c r="E123" t="s">
        <v>4388</v>
      </c>
      <c r="F123" s="16">
        <v>0</v>
      </c>
      <c r="G123" s="16">
        <v>0</v>
      </c>
      <c r="H123" s="16">
        <v>-1496.26</v>
      </c>
      <c r="I123" s="16">
        <v>0</v>
      </c>
      <c r="J123" s="16" t="str">
        <f t="shared" si="12"/>
        <v/>
      </c>
      <c r="K123">
        <f t="shared" si="7"/>
        <v>0</v>
      </c>
      <c r="L123" t="str">
        <f t="shared" si="8"/>
        <v/>
      </c>
      <c r="M123" s="12">
        <f t="shared" si="9"/>
        <v>0</v>
      </c>
      <c r="N123" s="12">
        <f t="shared" si="10"/>
        <v>0</v>
      </c>
      <c r="O123" s="13">
        <f t="shared" si="11"/>
        <v>0</v>
      </c>
      <c r="P123" s="12">
        <f>IFERROR(VLOOKUP(B123,'Receivable Invoice Detail'!$S$1:$U$3014,3,FALSE),0)</f>
        <v>0</v>
      </c>
    </row>
    <row r="124" spans="1:19" x14ac:dyDescent="0.25">
      <c r="A124" s="23" t="s">
        <v>4282</v>
      </c>
      <c r="B124" s="23"/>
      <c r="C124" s="23"/>
      <c r="D124" s="23"/>
      <c r="E124" s="23"/>
      <c r="F124" s="24">
        <v>1995.22</v>
      </c>
      <c r="G124" s="24">
        <v>1387.3687694021708</v>
      </c>
      <c r="H124" s="24">
        <v>-1995.22</v>
      </c>
      <c r="I124" s="24">
        <v>0</v>
      </c>
      <c r="J124" s="16" t="str">
        <f t="shared" si="12"/>
        <v>CAD</v>
      </c>
      <c r="K124">
        <f t="shared" si="7"/>
        <v>13</v>
      </c>
      <c r="L124" t="str">
        <f t="shared" si="8"/>
        <v>SO16711</v>
      </c>
      <c r="M124" s="12">
        <f t="shared" si="9"/>
        <v>0</v>
      </c>
      <c r="N124" s="12">
        <f t="shared" si="10"/>
        <v>0</v>
      </c>
      <c r="O124" s="13" t="str">
        <f t="shared" si="11"/>
        <v>Yes</v>
      </c>
      <c r="P124" s="12">
        <f>IFERROR(VLOOKUP(B124,'Receivable Invoice Detail'!$S$1:$U$3014,3,FALSE),0)</f>
        <v>0</v>
      </c>
    </row>
    <row r="125" spans="1:19" x14ac:dyDescent="0.25">
      <c r="A125" t="s">
        <v>1840</v>
      </c>
      <c r="B125" t="s">
        <v>2516</v>
      </c>
      <c r="C125" t="s">
        <v>986</v>
      </c>
      <c r="D125" t="s">
        <v>51</v>
      </c>
      <c r="E125" t="s">
        <v>4388</v>
      </c>
      <c r="F125" s="16">
        <v>10642.179877209002</v>
      </c>
      <c r="G125" s="16">
        <v>7400</v>
      </c>
      <c r="H125" s="16">
        <v>0</v>
      </c>
      <c r="I125" s="16">
        <v>-14800</v>
      </c>
      <c r="J125" s="16" t="str">
        <f t="shared" si="12"/>
        <v/>
      </c>
      <c r="K125">
        <f t="shared" si="7"/>
        <v>7</v>
      </c>
      <c r="L125" t="str">
        <f t="shared" si="8"/>
        <v/>
      </c>
      <c r="M125" s="12">
        <f t="shared" si="9"/>
        <v>0</v>
      </c>
      <c r="N125" s="12">
        <f t="shared" si="10"/>
        <v>0</v>
      </c>
      <c r="O125" s="13">
        <f t="shared" si="11"/>
        <v>0</v>
      </c>
      <c r="P125" s="12">
        <f>IFERROR(VLOOKUP(B125,'Receivable Invoice Detail'!$S$1:$U$3014,3,FALSE),0)</f>
        <v>0</v>
      </c>
    </row>
    <row r="126" spans="1:19" x14ac:dyDescent="0.25">
      <c r="A126" s="23" t="s">
        <v>4283</v>
      </c>
      <c r="B126" s="23"/>
      <c r="C126" s="23"/>
      <c r="D126" s="23"/>
      <c r="E126" s="23"/>
      <c r="F126" s="24">
        <v>10642.179877209002</v>
      </c>
      <c r="G126" s="24">
        <v>7400</v>
      </c>
      <c r="H126" s="24">
        <v>0</v>
      </c>
      <c r="I126" s="24">
        <v>-14800</v>
      </c>
      <c r="J126" s="16" t="str">
        <f t="shared" si="12"/>
        <v>USD</v>
      </c>
      <c r="K126">
        <f t="shared" si="7"/>
        <v>13</v>
      </c>
      <c r="L126" t="str">
        <f t="shared" si="8"/>
        <v>SO16712</v>
      </c>
      <c r="M126" s="12">
        <f t="shared" si="9"/>
        <v>0</v>
      </c>
      <c r="N126" s="12">
        <f t="shared" si="10"/>
        <v>-7400</v>
      </c>
      <c r="O126" s="13">
        <f t="shared" si="11"/>
        <v>0</v>
      </c>
      <c r="P126" s="12">
        <f>IFERROR(VLOOKUP(B126,'Receivable Invoice Detail'!$S$1:$U$3014,3,FALSE),0)</f>
        <v>0</v>
      </c>
    </row>
    <row r="127" spans="1:19" x14ac:dyDescent="0.25">
      <c r="A127" t="s">
        <v>1846</v>
      </c>
      <c r="B127" t="s">
        <v>2512</v>
      </c>
      <c r="C127" t="s">
        <v>54</v>
      </c>
      <c r="D127" t="s">
        <v>22</v>
      </c>
      <c r="E127" t="s">
        <v>4388</v>
      </c>
      <c r="F127" s="16">
        <v>1352.55</v>
      </c>
      <c r="G127" s="16">
        <v>940.49058703045591</v>
      </c>
      <c r="H127" s="16">
        <v>-970.83</v>
      </c>
      <c r="I127" s="16">
        <v>0</v>
      </c>
      <c r="J127" s="16" t="str">
        <f t="shared" si="12"/>
        <v/>
      </c>
      <c r="K127">
        <f t="shared" si="7"/>
        <v>7</v>
      </c>
      <c r="L127" t="str">
        <f t="shared" si="8"/>
        <v/>
      </c>
      <c r="M127" s="12">
        <f t="shared" si="9"/>
        <v>0</v>
      </c>
      <c r="N127" s="12">
        <f t="shared" si="10"/>
        <v>0</v>
      </c>
      <c r="O127" s="13">
        <f t="shared" si="11"/>
        <v>0</v>
      </c>
      <c r="P127" s="12">
        <f>IFERROR(VLOOKUP(B127,'Receivable Invoice Detail'!$S$1:$U$3014,3,FALSE),0)</f>
        <v>0</v>
      </c>
    </row>
    <row r="128" spans="1:19" x14ac:dyDescent="0.25">
      <c r="B128" t="s">
        <v>2511</v>
      </c>
      <c r="C128" t="s">
        <v>54</v>
      </c>
      <c r="D128" t="s">
        <v>22</v>
      </c>
      <c r="E128" t="s">
        <v>4388</v>
      </c>
      <c r="F128" s="16">
        <v>0</v>
      </c>
      <c r="G128" s="16">
        <v>0</v>
      </c>
      <c r="H128" s="16">
        <v>-381.72</v>
      </c>
      <c r="I128" s="16">
        <v>0</v>
      </c>
      <c r="J128" s="16" t="str">
        <f t="shared" si="12"/>
        <v/>
      </c>
      <c r="K128">
        <f t="shared" si="7"/>
        <v>0</v>
      </c>
      <c r="L128" t="str">
        <f t="shared" si="8"/>
        <v/>
      </c>
      <c r="M128" s="12">
        <f t="shared" si="9"/>
        <v>0</v>
      </c>
      <c r="N128" s="12">
        <f t="shared" si="10"/>
        <v>0</v>
      </c>
      <c r="O128" s="13">
        <f t="shared" si="11"/>
        <v>0</v>
      </c>
      <c r="P128" s="12">
        <f>IFERROR(VLOOKUP(B128,'Receivable Invoice Detail'!$S$1:$U$3014,3,FALSE),0)</f>
        <v>0</v>
      </c>
    </row>
    <row r="129" spans="1:16" x14ac:dyDescent="0.25">
      <c r="A129" s="23" t="s">
        <v>4284</v>
      </c>
      <c r="B129" s="23"/>
      <c r="C129" s="23"/>
      <c r="D129" s="23"/>
      <c r="E129" s="23"/>
      <c r="F129" s="24">
        <v>1352.55</v>
      </c>
      <c r="G129" s="24">
        <v>940.49058703045591</v>
      </c>
      <c r="H129" s="24">
        <v>-1352.5500000000002</v>
      </c>
      <c r="I129" s="24">
        <v>0</v>
      </c>
      <c r="J129" s="16" t="str">
        <f t="shared" si="12"/>
        <v>CAD</v>
      </c>
      <c r="K129">
        <f t="shared" si="7"/>
        <v>13</v>
      </c>
      <c r="L129" t="str">
        <f t="shared" si="8"/>
        <v>SO16718</v>
      </c>
      <c r="M129" s="12">
        <f t="shared" si="9"/>
        <v>0</v>
      </c>
      <c r="N129" s="12">
        <f t="shared" si="10"/>
        <v>0</v>
      </c>
      <c r="O129" s="13" t="str">
        <f t="shared" si="11"/>
        <v>Yes</v>
      </c>
      <c r="P129" s="12">
        <f>IFERROR(VLOOKUP(B129,'Receivable Invoice Detail'!$S$1:$U$3014,3,FALSE),0)</f>
        <v>0</v>
      </c>
    </row>
    <row r="130" spans="1:16" x14ac:dyDescent="0.25">
      <c r="A130" t="s">
        <v>1804</v>
      </c>
      <c r="B130" t="s">
        <v>2537</v>
      </c>
      <c r="C130" t="s">
        <v>98</v>
      </c>
      <c r="D130" t="s">
        <v>22</v>
      </c>
      <c r="E130" t="s">
        <v>4388</v>
      </c>
      <c r="F130" s="16">
        <v>0</v>
      </c>
      <c r="G130" s="16">
        <v>0</v>
      </c>
      <c r="H130" s="16">
        <v>-4672.05</v>
      </c>
      <c r="I130" s="16">
        <v>0</v>
      </c>
      <c r="J130" s="16" t="str">
        <f t="shared" si="12"/>
        <v/>
      </c>
      <c r="K130">
        <f t="shared" si="7"/>
        <v>7</v>
      </c>
      <c r="L130" t="str">
        <f t="shared" si="8"/>
        <v/>
      </c>
      <c r="M130" s="12">
        <f t="shared" si="9"/>
        <v>0</v>
      </c>
      <c r="N130" s="12">
        <f t="shared" si="10"/>
        <v>0</v>
      </c>
      <c r="O130" s="13">
        <f t="shared" si="11"/>
        <v>0</v>
      </c>
      <c r="P130" s="12">
        <f>IFERROR(VLOOKUP(B130,'Receivable Invoice Detail'!$S$1:$U$3014,3,FALSE),0)</f>
        <v>0</v>
      </c>
    </row>
    <row r="131" spans="1:16" x14ac:dyDescent="0.25">
      <c r="B131" t="s">
        <v>2539</v>
      </c>
      <c r="C131" t="s">
        <v>98</v>
      </c>
      <c r="D131" t="s">
        <v>22</v>
      </c>
      <c r="E131" t="s">
        <v>4388</v>
      </c>
      <c r="F131" s="16">
        <v>8495.61</v>
      </c>
      <c r="G131" s="16">
        <v>5872.7461918467798</v>
      </c>
      <c r="H131" s="16">
        <v>-2913.34</v>
      </c>
      <c r="I131" s="16">
        <v>0</v>
      </c>
      <c r="J131" s="16" t="str">
        <f t="shared" si="12"/>
        <v/>
      </c>
      <c r="K131">
        <f t="shared" si="7"/>
        <v>0</v>
      </c>
      <c r="L131" t="str">
        <f t="shared" si="8"/>
        <v/>
      </c>
      <c r="M131" s="12">
        <f t="shared" si="9"/>
        <v>0</v>
      </c>
      <c r="N131" s="12">
        <f t="shared" si="10"/>
        <v>0</v>
      </c>
      <c r="O131" s="13">
        <f t="shared" si="11"/>
        <v>0</v>
      </c>
      <c r="P131" s="12">
        <f>IFERROR(VLOOKUP(B131,'Receivable Invoice Detail'!$S$1:$U$3014,3,FALSE),0)</f>
        <v>0</v>
      </c>
    </row>
    <row r="132" spans="1:16" x14ac:dyDescent="0.25">
      <c r="B132" t="s">
        <v>2538</v>
      </c>
      <c r="C132" t="s">
        <v>98</v>
      </c>
      <c r="D132" t="s">
        <v>22</v>
      </c>
      <c r="E132" t="s">
        <v>4388</v>
      </c>
      <c r="F132" s="16">
        <v>0</v>
      </c>
      <c r="G132" s="16">
        <v>0</v>
      </c>
      <c r="H132" s="16">
        <v>-910.22</v>
      </c>
      <c r="I132" s="16">
        <v>0</v>
      </c>
      <c r="J132" s="16" t="str">
        <f t="shared" si="12"/>
        <v/>
      </c>
      <c r="K132">
        <f t="shared" si="7"/>
        <v>0</v>
      </c>
      <c r="L132" t="str">
        <f t="shared" si="8"/>
        <v/>
      </c>
      <c r="M132" s="12">
        <f t="shared" si="9"/>
        <v>0</v>
      </c>
      <c r="N132" s="12">
        <f t="shared" si="10"/>
        <v>0</v>
      </c>
      <c r="O132" s="13">
        <f t="shared" si="11"/>
        <v>0</v>
      </c>
      <c r="P132" s="12">
        <f>IFERROR(VLOOKUP(B132,'Receivable Invoice Detail'!$S$1:$U$3014,3,FALSE),0)</f>
        <v>0</v>
      </c>
    </row>
    <row r="133" spans="1:16" x14ac:dyDescent="0.25">
      <c r="A133" s="23" t="s">
        <v>4285</v>
      </c>
      <c r="B133" s="23"/>
      <c r="C133" s="23"/>
      <c r="D133" s="23"/>
      <c r="E133" s="23"/>
      <c r="F133" s="24">
        <v>8495.61</v>
      </c>
      <c r="G133" s="24">
        <v>5872.7461918467798</v>
      </c>
      <c r="H133" s="24">
        <v>-8495.61</v>
      </c>
      <c r="I133" s="24">
        <v>0</v>
      </c>
      <c r="J133" s="16" t="str">
        <f t="shared" si="12"/>
        <v>CAD</v>
      </c>
      <c r="K133">
        <f t="shared" si="7"/>
        <v>13</v>
      </c>
      <c r="L133" t="str">
        <f t="shared" si="8"/>
        <v>SO16733</v>
      </c>
      <c r="M133" s="12">
        <f t="shared" si="9"/>
        <v>0</v>
      </c>
      <c r="N133" s="12">
        <f t="shared" si="10"/>
        <v>0</v>
      </c>
      <c r="O133" s="13" t="str">
        <f t="shared" si="11"/>
        <v>Yes</v>
      </c>
      <c r="P133" s="12">
        <f>IFERROR(VLOOKUP(B133,'Receivable Invoice Detail'!$S$1:$U$3014,3,FALSE),0)</f>
        <v>0</v>
      </c>
    </row>
    <row r="134" spans="1:16" x14ac:dyDescent="0.25">
      <c r="A134" t="s">
        <v>1810</v>
      </c>
      <c r="B134" t="s">
        <v>2533</v>
      </c>
      <c r="C134" t="s">
        <v>714</v>
      </c>
      <c r="D134" t="s">
        <v>51</v>
      </c>
      <c r="E134" t="s">
        <v>4388</v>
      </c>
      <c r="F134" s="16">
        <v>0</v>
      </c>
      <c r="G134" s="16">
        <v>0</v>
      </c>
      <c r="H134" s="16">
        <v>0</v>
      </c>
      <c r="I134" s="16">
        <v>-1712.87</v>
      </c>
      <c r="J134" s="16" t="str">
        <f t="shared" si="12"/>
        <v/>
      </c>
      <c r="K134">
        <f t="shared" ref="K134:K197" si="13">LEN(A134)</f>
        <v>7</v>
      </c>
      <c r="L134" t="str">
        <f t="shared" ref="L134:L197" si="14">IF(K134=13,LEFT(A134,7),"")</f>
        <v/>
      </c>
      <c r="M134" s="12">
        <f t="shared" ref="M134:M197" si="15">IF(AND(K134=13,D133="CAD"),ROUND(F134+H134,2),0)</f>
        <v>0</v>
      </c>
      <c r="N134" s="12">
        <f t="shared" ref="N134:N197" si="16">IF(AND(K134=13,D133="USD"),ROUND(G134+I134,2),0)</f>
        <v>0</v>
      </c>
      <c r="O134" s="13">
        <f t="shared" ref="O134:O197" si="17">IF(K134=13,IF(M134+N134=0,"Yes",0),0)</f>
        <v>0</v>
      </c>
      <c r="P134" s="12">
        <f>IFERROR(VLOOKUP(B134,'Receivable Invoice Detail'!$S$1:$U$3014,3,FALSE),0)</f>
        <v>0</v>
      </c>
    </row>
    <row r="135" spans="1:16" x14ac:dyDescent="0.25">
      <c r="B135" t="s">
        <v>2534</v>
      </c>
      <c r="C135" t="s">
        <v>714</v>
      </c>
      <c r="D135" t="s">
        <v>51</v>
      </c>
      <c r="E135" t="s">
        <v>4388</v>
      </c>
      <c r="F135" s="16">
        <v>4613.8861090402879</v>
      </c>
      <c r="G135" s="16">
        <v>3210.75</v>
      </c>
      <c r="H135" s="16">
        <v>0</v>
      </c>
      <c r="I135" s="16">
        <v>-1497.88</v>
      </c>
      <c r="J135" s="16" t="str">
        <f t="shared" si="12"/>
        <v/>
      </c>
      <c r="K135">
        <f t="shared" si="13"/>
        <v>0</v>
      </c>
      <c r="L135" t="str">
        <f t="shared" si="14"/>
        <v/>
      </c>
      <c r="M135" s="12">
        <f t="shared" si="15"/>
        <v>0</v>
      </c>
      <c r="N135" s="12">
        <f t="shared" si="16"/>
        <v>0</v>
      </c>
      <c r="O135" s="13">
        <f t="shared" si="17"/>
        <v>0</v>
      </c>
      <c r="P135" s="12">
        <f>IFERROR(VLOOKUP(B135,'Receivable Invoice Detail'!$S$1:$U$3014,3,FALSE),0)</f>
        <v>0</v>
      </c>
    </row>
    <row r="136" spans="1:16" x14ac:dyDescent="0.25">
      <c r="A136" s="23" t="s">
        <v>4286</v>
      </c>
      <c r="B136" s="23"/>
      <c r="C136" s="23"/>
      <c r="D136" s="23"/>
      <c r="E136" s="23"/>
      <c r="F136" s="24">
        <v>4613.8861090402879</v>
      </c>
      <c r="G136" s="24">
        <v>3210.75</v>
      </c>
      <c r="H136" s="24">
        <v>0</v>
      </c>
      <c r="I136" s="24">
        <v>-3210.75</v>
      </c>
      <c r="J136" s="16" t="str">
        <f t="shared" si="12"/>
        <v>USD</v>
      </c>
      <c r="K136">
        <f t="shared" si="13"/>
        <v>13</v>
      </c>
      <c r="L136" t="str">
        <f t="shared" si="14"/>
        <v>SO16746</v>
      </c>
      <c r="M136" s="12">
        <f t="shared" si="15"/>
        <v>0</v>
      </c>
      <c r="N136" s="12">
        <f t="shared" si="16"/>
        <v>0</v>
      </c>
      <c r="O136" s="13" t="str">
        <f t="shared" si="17"/>
        <v>Yes</v>
      </c>
      <c r="P136" s="12">
        <f>IFERROR(VLOOKUP(B136,'Receivable Invoice Detail'!$S$1:$U$3014,3,FALSE),0)</f>
        <v>0</v>
      </c>
    </row>
    <row r="137" spans="1:16" x14ac:dyDescent="0.25">
      <c r="A137" t="s">
        <v>1781</v>
      </c>
      <c r="B137" t="s">
        <v>2551</v>
      </c>
      <c r="C137" t="s">
        <v>121</v>
      </c>
      <c r="D137" t="s">
        <v>22</v>
      </c>
      <c r="E137" t="s">
        <v>4388</v>
      </c>
      <c r="F137" s="16">
        <v>346.78</v>
      </c>
      <c r="G137" s="16">
        <v>241.14047816324214</v>
      </c>
      <c r="H137" s="16">
        <v>-42.52</v>
      </c>
      <c r="I137" s="16">
        <v>0</v>
      </c>
      <c r="J137" s="16" t="str">
        <f t="shared" ref="J137:J200" si="18">IF(K137=13,D136,"")</f>
        <v/>
      </c>
      <c r="K137">
        <f t="shared" si="13"/>
        <v>7</v>
      </c>
      <c r="L137" t="str">
        <f t="shared" si="14"/>
        <v/>
      </c>
      <c r="M137" s="12">
        <f t="shared" si="15"/>
        <v>0</v>
      </c>
      <c r="N137" s="12">
        <f t="shared" si="16"/>
        <v>0</v>
      </c>
      <c r="O137" s="13">
        <f t="shared" si="17"/>
        <v>0</v>
      </c>
      <c r="P137" s="12">
        <f>IFERROR(VLOOKUP(B137,'Receivable Invoice Detail'!$S$1:$U$3014,3,FALSE),0)</f>
        <v>0</v>
      </c>
    </row>
    <row r="138" spans="1:16" x14ac:dyDescent="0.25">
      <c r="B138" t="s">
        <v>2550</v>
      </c>
      <c r="C138" t="s">
        <v>121</v>
      </c>
      <c r="D138" t="s">
        <v>22</v>
      </c>
      <c r="E138" t="s">
        <v>4388</v>
      </c>
      <c r="F138" s="16">
        <v>0</v>
      </c>
      <c r="G138" s="16">
        <v>0</v>
      </c>
      <c r="H138" s="16">
        <v>-304.26</v>
      </c>
      <c r="I138" s="16">
        <v>0</v>
      </c>
      <c r="J138" s="16" t="str">
        <f t="shared" si="18"/>
        <v/>
      </c>
      <c r="K138">
        <f t="shared" si="13"/>
        <v>0</v>
      </c>
      <c r="L138" t="str">
        <f t="shared" si="14"/>
        <v/>
      </c>
      <c r="M138" s="12">
        <f t="shared" si="15"/>
        <v>0</v>
      </c>
      <c r="N138" s="12">
        <f t="shared" si="16"/>
        <v>0</v>
      </c>
      <c r="O138" s="13">
        <f t="shared" si="17"/>
        <v>0</v>
      </c>
      <c r="P138" s="12">
        <f>IFERROR(VLOOKUP(B138,'Receivable Invoice Detail'!$S$1:$U$3014,3,FALSE),0)</f>
        <v>0</v>
      </c>
    </row>
    <row r="139" spans="1:16" x14ac:dyDescent="0.25">
      <c r="A139" s="23" t="s">
        <v>4287</v>
      </c>
      <c r="B139" s="23"/>
      <c r="C139" s="23"/>
      <c r="D139" s="23"/>
      <c r="E139" s="23"/>
      <c r="F139" s="24">
        <v>346.78</v>
      </c>
      <c r="G139" s="24">
        <v>241.14047816324214</v>
      </c>
      <c r="H139" s="24">
        <v>-346.78</v>
      </c>
      <c r="I139" s="24">
        <v>0</v>
      </c>
      <c r="J139" s="16" t="str">
        <f t="shared" si="18"/>
        <v>CAD</v>
      </c>
      <c r="K139">
        <f t="shared" si="13"/>
        <v>13</v>
      </c>
      <c r="L139" t="str">
        <f t="shared" si="14"/>
        <v>SO16770</v>
      </c>
      <c r="M139" s="12">
        <f t="shared" si="15"/>
        <v>0</v>
      </c>
      <c r="N139" s="12">
        <f t="shared" si="16"/>
        <v>0</v>
      </c>
      <c r="O139" s="13" t="str">
        <f t="shared" si="17"/>
        <v>Yes</v>
      </c>
      <c r="P139" s="12">
        <f>IFERROR(VLOOKUP(B139,'Receivable Invoice Detail'!$S$1:$U$3014,3,FALSE),0)</f>
        <v>0</v>
      </c>
    </row>
    <row r="140" spans="1:16" x14ac:dyDescent="0.25">
      <c r="A140" t="s">
        <v>1666</v>
      </c>
      <c r="B140" t="s">
        <v>2615</v>
      </c>
      <c r="C140" t="s">
        <v>714</v>
      </c>
      <c r="D140" t="s">
        <v>51</v>
      </c>
      <c r="E140" t="s">
        <v>4388</v>
      </c>
      <c r="F140" s="16">
        <v>0</v>
      </c>
      <c r="G140" s="16">
        <v>0</v>
      </c>
      <c r="H140" s="16">
        <v>0</v>
      </c>
      <c r="I140" s="16">
        <v>-5390.67</v>
      </c>
      <c r="J140" s="16" t="str">
        <f t="shared" si="18"/>
        <v/>
      </c>
      <c r="K140">
        <f t="shared" si="13"/>
        <v>7</v>
      </c>
      <c r="L140" t="str">
        <f t="shared" si="14"/>
        <v/>
      </c>
      <c r="M140" s="12">
        <f t="shared" si="15"/>
        <v>0</v>
      </c>
      <c r="N140" s="12">
        <f t="shared" si="16"/>
        <v>0</v>
      </c>
      <c r="O140" s="13">
        <f t="shared" si="17"/>
        <v>0</v>
      </c>
      <c r="P140" s="12">
        <f>IFERROR(VLOOKUP(B140,'Receivable Invoice Detail'!$S$1:$U$3014,3,FALSE),0)</f>
        <v>0</v>
      </c>
    </row>
    <row r="141" spans="1:16" x14ac:dyDescent="0.25">
      <c r="B141" t="s">
        <v>2616</v>
      </c>
      <c r="C141" t="s">
        <v>714</v>
      </c>
      <c r="D141" t="s">
        <v>51</v>
      </c>
      <c r="E141" t="s">
        <v>4388</v>
      </c>
      <c r="F141" s="16">
        <v>8032.4271236151872</v>
      </c>
      <c r="G141" s="16">
        <v>5580.02</v>
      </c>
      <c r="H141" s="16">
        <v>0</v>
      </c>
      <c r="I141" s="16">
        <v>-189.35</v>
      </c>
      <c r="J141" s="16" t="str">
        <f t="shared" si="18"/>
        <v/>
      </c>
      <c r="K141">
        <f t="shared" si="13"/>
        <v>0</v>
      </c>
      <c r="L141" t="str">
        <f t="shared" si="14"/>
        <v/>
      </c>
      <c r="M141" s="12">
        <f t="shared" si="15"/>
        <v>0</v>
      </c>
      <c r="N141" s="12">
        <f t="shared" si="16"/>
        <v>0</v>
      </c>
      <c r="O141" s="13">
        <f t="shared" si="17"/>
        <v>0</v>
      </c>
      <c r="P141" s="12">
        <f>IFERROR(VLOOKUP(B141,'Receivable Invoice Detail'!$S$1:$U$3014,3,FALSE),0)</f>
        <v>0</v>
      </c>
    </row>
    <row r="142" spans="1:16" x14ac:dyDescent="0.25">
      <c r="A142" s="23" t="s">
        <v>4288</v>
      </c>
      <c r="B142" s="23"/>
      <c r="C142" s="23"/>
      <c r="D142" s="23"/>
      <c r="E142" s="23"/>
      <c r="F142" s="24">
        <v>8032.4271236151872</v>
      </c>
      <c r="G142" s="24">
        <v>5580.02</v>
      </c>
      <c r="H142" s="24">
        <v>0</v>
      </c>
      <c r="I142" s="24">
        <v>-5580.02</v>
      </c>
      <c r="J142" s="16" t="str">
        <f t="shared" si="18"/>
        <v>USD</v>
      </c>
      <c r="K142">
        <f t="shared" si="13"/>
        <v>13</v>
      </c>
      <c r="L142" t="str">
        <f t="shared" si="14"/>
        <v>SO16783</v>
      </c>
      <c r="M142" s="12">
        <f t="shared" si="15"/>
        <v>0</v>
      </c>
      <c r="N142" s="12">
        <f t="shared" si="16"/>
        <v>0</v>
      </c>
      <c r="O142" s="13" t="str">
        <f t="shared" si="17"/>
        <v>Yes</v>
      </c>
      <c r="P142" s="12">
        <f>IFERROR(VLOOKUP(B142,'Receivable Invoice Detail'!$S$1:$U$3014,3,FALSE),0)</f>
        <v>0</v>
      </c>
    </row>
    <row r="143" spans="1:16" x14ac:dyDescent="0.25">
      <c r="A143" t="s">
        <v>1761</v>
      </c>
      <c r="B143" t="s">
        <v>2561</v>
      </c>
      <c r="C143" t="s">
        <v>502</v>
      </c>
      <c r="D143" t="s">
        <v>22</v>
      </c>
      <c r="E143" t="s">
        <v>4388</v>
      </c>
      <c r="F143" s="16">
        <v>2750.02</v>
      </c>
      <c r="G143" s="16">
        <v>1921.5154685657562</v>
      </c>
      <c r="H143" s="16">
        <v>-1126.22</v>
      </c>
      <c r="I143" s="16">
        <v>0</v>
      </c>
      <c r="J143" s="16" t="str">
        <f t="shared" si="18"/>
        <v/>
      </c>
      <c r="K143">
        <f t="shared" si="13"/>
        <v>7</v>
      </c>
      <c r="L143" t="str">
        <f t="shared" si="14"/>
        <v/>
      </c>
      <c r="M143" s="12">
        <f t="shared" si="15"/>
        <v>0</v>
      </c>
      <c r="N143" s="12">
        <f t="shared" si="16"/>
        <v>0</v>
      </c>
      <c r="O143" s="13">
        <f t="shared" si="17"/>
        <v>0</v>
      </c>
      <c r="P143" s="12">
        <f>IFERROR(VLOOKUP(B143,'Receivable Invoice Detail'!$S$1:$U$3014,3,FALSE),0)</f>
        <v>0</v>
      </c>
    </row>
    <row r="144" spans="1:16" x14ac:dyDescent="0.25">
      <c r="B144" t="s">
        <v>2560</v>
      </c>
      <c r="C144" t="s">
        <v>502</v>
      </c>
      <c r="D144" t="s">
        <v>22</v>
      </c>
      <c r="E144" t="s">
        <v>4388</v>
      </c>
      <c r="F144" s="16">
        <v>0</v>
      </c>
      <c r="G144" s="16">
        <v>0</v>
      </c>
      <c r="H144" s="16">
        <v>-1623.8</v>
      </c>
      <c r="I144" s="16">
        <v>0</v>
      </c>
      <c r="J144" s="16" t="str">
        <f t="shared" si="18"/>
        <v/>
      </c>
      <c r="K144">
        <f t="shared" si="13"/>
        <v>0</v>
      </c>
      <c r="L144" t="str">
        <f t="shared" si="14"/>
        <v/>
      </c>
      <c r="M144" s="12">
        <f t="shared" si="15"/>
        <v>0</v>
      </c>
      <c r="N144" s="12">
        <f t="shared" si="16"/>
        <v>0</v>
      </c>
      <c r="O144" s="13">
        <f t="shared" si="17"/>
        <v>0</v>
      </c>
      <c r="P144" s="12">
        <f>IFERROR(VLOOKUP(B144,'Receivable Invoice Detail'!$S$1:$U$3014,3,FALSE),0)</f>
        <v>0</v>
      </c>
    </row>
    <row r="145" spans="1:16" x14ac:dyDescent="0.25">
      <c r="A145" s="23" t="s">
        <v>4289</v>
      </c>
      <c r="B145" s="23"/>
      <c r="C145" s="23"/>
      <c r="D145" s="23"/>
      <c r="E145" s="23"/>
      <c r="F145" s="24">
        <v>2750.02</v>
      </c>
      <c r="G145" s="24">
        <v>1921.5154685657562</v>
      </c>
      <c r="H145" s="24">
        <v>-2750.02</v>
      </c>
      <c r="I145" s="24">
        <v>0</v>
      </c>
      <c r="J145" s="16" t="str">
        <f t="shared" si="18"/>
        <v>CAD</v>
      </c>
      <c r="K145">
        <f t="shared" si="13"/>
        <v>13</v>
      </c>
      <c r="L145" t="str">
        <f t="shared" si="14"/>
        <v>SO16788</v>
      </c>
      <c r="M145" s="12">
        <f t="shared" si="15"/>
        <v>0</v>
      </c>
      <c r="N145" s="12">
        <f t="shared" si="16"/>
        <v>0</v>
      </c>
      <c r="O145" s="13" t="str">
        <f t="shared" si="17"/>
        <v>Yes</v>
      </c>
      <c r="P145" s="12">
        <f>IFERROR(VLOOKUP(B145,'Receivable Invoice Detail'!$S$1:$U$3014,3,FALSE),0)</f>
        <v>0</v>
      </c>
    </row>
    <row r="146" spans="1:16" x14ac:dyDescent="0.25">
      <c r="A146" t="s">
        <v>1755</v>
      </c>
      <c r="B146" t="s">
        <v>2565</v>
      </c>
      <c r="C146" t="s">
        <v>98</v>
      </c>
      <c r="D146" t="s">
        <v>22</v>
      </c>
      <c r="E146" t="s">
        <v>4388</v>
      </c>
      <c r="F146" s="16">
        <v>12557.71</v>
      </c>
      <c r="G146" s="16">
        <v>8762.5144822173206</v>
      </c>
      <c r="H146" s="16">
        <v>-211.1</v>
      </c>
      <c r="I146" s="16">
        <v>0</v>
      </c>
      <c r="J146" s="16" t="str">
        <f t="shared" si="18"/>
        <v/>
      </c>
      <c r="K146">
        <f t="shared" si="13"/>
        <v>7</v>
      </c>
      <c r="L146" t="str">
        <f t="shared" si="14"/>
        <v/>
      </c>
      <c r="M146" s="12">
        <f t="shared" si="15"/>
        <v>0</v>
      </c>
      <c r="N146" s="12">
        <f t="shared" si="16"/>
        <v>0</v>
      </c>
      <c r="O146" s="13">
        <f t="shared" si="17"/>
        <v>0</v>
      </c>
      <c r="P146" s="12">
        <f>IFERROR(VLOOKUP(B146,'Receivable Invoice Detail'!$S$1:$U$3014,3,FALSE),0)</f>
        <v>0</v>
      </c>
    </row>
    <row r="147" spans="1:16" x14ac:dyDescent="0.25">
      <c r="B147" t="s">
        <v>2564</v>
      </c>
      <c r="C147" t="s">
        <v>98</v>
      </c>
      <c r="D147" t="s">
        <v>22</v>
      </c>
      <c r="E147" t="s">
        <v>4388</v>
      </c>
      <c r="F147" s="16">
        <v>0</v>
      </c>
      <c r="G147" s="16">
        <v>0</v>
      </c>
      <c r="H147" s="16">
        <v>-12346.61</v>
      </c>
      <c r="I147" s="16">
        <v>0</v>
      </c>
      <c r="J147" s="16" t="str">
        <f t="shared" si="18"/>
        <v/>
      </c>
      <c r="K147">
        <f t="shared" si="13"/>
        <v>0</v>
      </c>
      <c r="L147" t="str">
        <f t="shared" si="14"/>
        <v/>
      </c>
      <c r="M147" s="12">
        <f t="shared" si="15"/>
        <v>0</v>
      </c>
      <c r="N147" s="12">
        <f t="shared" si="16"/>
        <v>0</v>
      </c>
      <c r="O147" s="13">
        <f t="shared" si="17"/>
        <v>0</v>
      </c>
      <c r="P147" s="12">
        <f>IFERROR(VLOOKUP(B147,'Receivable Invoice Detail'!$S$1:$U$3014,3,FALSE),0)</f>
        <v>0</v>
      </c>
    </row>
    <row r="148" spans="1:16" x14ac:dyDescent="0.25">
      <c r="A148" s="23" t="s">
        <v>4290</v>
      </c>
      <c r="B148" s="23"/>
      <c r="C148" s="23"/>
      <c r="D148" s="23"/>
      <c r="E148" s="23"/>
      <c r="F148" s="24">
        <v>12557.71</v>
      </c>
      <c r="G148" s="24">
        <v>8762.5144822173206</v>
      </c>
      <c r="H148" s="24">
        <v>-12557.710000000001</v>
      </c>
      <c r="I148" s="24">
        <v>0</v>
      </c>
      <c r="J148" s="16" t="str">
        <f t="shared" si="18"/>
        <v>CAD</v>
      </c>
      <c r="K148">
        <f t="shared" si="13"/>
        <v>13</v>
      </c>
      <c r="L148" t="str">
        <f t="shared" si="14"/>
        <v>SO16794</v>
      </c>
      <c r="M148" s="12">
        <f t="shared" si="15"/>
        <v>0</v>
      </c>
      <c r="N148" s="12">
        <f t="shared" si="16"/>
        <v>0</v>
      </c>
      <c r="O148" s="13" t="str">
        <f t="shared" si="17"/>
        <v>Yes</v>
      </c>
      <c r="P148" s="12">
        <f>IFERROR(VLOOKUP(B148,'Receivable Invoice Detail'!$S$1:$U$3014,3,FALSE),0)</f>
        <v>0</v>
      </c>
    </row>
    <row r="149" spans="1:16" x14ac:dyDescent="0.25">
      <c r="A149" t="s">
        <v>1585</v>
      </c>
      <c r="B149" t="s">
        <v>2666</v>
      </c>
      <c r="C149" t="s">
        <v>714</v>
      </c>
      <c r="D149" t="s">
        <v>51</v>
      </c>
      <c r="E149" t="s">
        <v>4388</v>
      </c>
      <c r="F149" s="16">
        <v>0</v>
      </c>
      <c r="G149" s="16">
        <v>0</v>
      </c>
      <c r="H149" s="16">
        <v>0</v>
      </c>
      <c r="I149" s="16">
        <v>-4785.5</v>
      </c>
      <c r="J149" s="16" t="str">
        <f t="shared" si="18"/>
        <v/>
      </c>
      <c r="K149">
        <f t="shared" si="13"/>
        <v>7</v>
      </c>
      <c r="L149" t="str">
        <f t="shared" si="14"/>
        <v/>
      </c>
      <c r="M149" s="12">
        <f t="shared" si="15"/>
        <v>0</v>
      </c>
      <c r="N149" s="12">
        <f t="shared" si="16"/>
        <v>0</v>
      </c>
      <c r="O149" s="13">
        <f t="shared" si="17"/>
        <v>0</v>
      </c>
      <c r="P149" s="12">
        <f>IFERROR(VLOOKUP(B149,'Receivable Invoice Detail'!$S$1:$U$3014,3,FALSE),0)</f>
        <v>0</v>
      </c>
    </row>
    <row r="150" spans="1:16" x14ac:dyDescent="0.25">
      <c r="B150" t="s">
        <v>2667</v>
      </c>
      <c r="C150" t="s">
        <v>714</v>
      </c>
      <c r="D150" t="s">
        <v>51</v>
      </c>
      <c r="E150" t="s">
        <v>4388</v>
      </c>
      <c r="F150" s="16">
        <v>12832.083881218166</v>
      </c>
      <c r="G150" s="16">
        <v>9235.77</v>
      </c>
      <c r="H150" s="16">
        <v>0</v>
      </c>
      <c r="I150" s="16">
        <v>-2392.75</v>
      </c>
      <c r="J150" s="16" t="str">
        <f t="shared" si="18"/>
        <v/>
      </c>
      <c r="K150">
        <f t="shared" si="13"/>
        <v>0</v>
      </c>
      <c r="L150" t="str">
        <f t="shared" si="14"/>
        <v/>
      </c>
      <c r="M150" s="12">
        <f t="shared" si="15"/>
        <v>0</v>
      </c>
      <c r="N150" s="12">
        <f t="shared" si="16"/>
        <v>0</v>
      </c>
      <c r="O150" s="13">
        <f t="shared" si="17"/>
        <v>0</v>
      </c>
      <c r="P150" s="12">
        <f>IFERROR(VLOOKUP(B150,'Receivable Invoice Detail'!$S$1:$U$3014,3,FALSE),0)</f>
        <v>0</v>
      </c>
    </row>
    <row r="151" spans="1:16" x14ac:dyDescent="0.25">
      <c r="B151" t="s">
        <v>2665</v>
      </c>
      <c r="C151" t="s">
        <v>714</v>
      </c>
      <c r="D151" t="s">
        <v>51</v>
      </c>
      <c r="E151" t="s">
        <v>4388</v>
      </c>
      <c r="F151" s="16">
        <v>0</v>
      </c>
      <c r="G151" s="16">
        <v>0</v>
      </c>
      <c r="H151" s="16">
        <v>0</v>
      </c>
      <c r="I151" s="16">
        <v>-2057.52</v>
      </c>
      <c r="J151" s="16" t="str">
        <f t="shared" si="18"/>
        <v/>
      </c>
      <c r="K151">
        <f t="shared" si="13"/>
        <v>0</v>
      </c>
      <c r="L151" t="str">
        <f t="shared" si="14"/>
        <v/>
      </c>
      <c r="M151" s="12">
        <f t="shared" si="15"/>
        <v>0</v>
      </c>
      <c r="N151" s="12">
        <f t="shared" si="16"/>
        <v>0</v>
      </c>
      <c r="O151" s="13">
        <f t="shared" si="17"/>
        <v>0</v>
      </c>
      <c r="P151" s="12">
        <f>IFERROR(VLOOKUP(B151,'Receivable Invoice Detail'!$S$1:$U$3014,3,FALSE),0)</f>
        <v>0</v>
      </c>
    </row>
    <row r="152" spans="1:16" x14ac:dyDescent="0.25">
      <c r="A152" s="23" t="s">
        <v>4291</v>
      </c>
      <c r="B152" s="23"/>
      <c r="C152" s="23"/>
      <c r="D152" s="23"/>
      <c r="E152" s="23"/>
      <c r="F152" s="24">
        <v>12832.083881218166</v>
      </c>
      <c r="G152" s="24">
        <v>9235.77</v>
      </c>
      <c r="H152" s="24">
        <v>0</v>
      </c>
      <c r="I152" s="24">
        <v>-9235.77</v>
      </c>
      <c r="J152" s="16" t="str">
        <f t="shared" si="18"/>
        <v>USD</v>
      </c>
      <c r="K152">
        <f t="shared" si="13"/>
        <v>13</v>
      </c>
      <c r="L152" t="str">
        <f t="shared" si="14"/>
        <v>SO16798</v>
      </c>
      <c r="M152" s="12">
        <f t="shared" si="15"/>
        <v>0</v>
      </c>
      <c r="N152" s="12">
        <f t="shared" si="16"/>
        <v>0</v>
      </c>
      <c r="O152" s="13" t="str">
        <f t="shared" si="17"/>
        <v>Yes</v>
      </c>
      <c r="P152" s="12">
        <f>IFERROR(VLOOKUP(B152,'Receivable Invoice Detail'!$S$1:$U$3014,3,FALSE),0)</f>
        <v>0</v>
      </c>
    </row>
    <row r="153" spans="1:16" x14ac:dyDescent="0.25">
      <c r="A153" t="s">
        <v>1358</v>
      </c>
      <c r="B153" t="s">
        <v>2790</v>
      </c>
      <c r="C153" t="s">
        <v>242</v>
      </c>
      <c r="D153" t="s">
        <v>22</v>
      </c>
      <c r="E153" t="s">
        <v>4388</v>
      </c>
      <c r="F153" s="16">
        <v>0</v>
      </c>
      <c r="G153" s="16">
        <v>0</v>
      </c>
      <c r="H153" s="16">
        <v>-5.14</v>
      </c>
      <c r="I153" s="16">
        <v>0</v>
      </c>
      <c r="J153" s="16" t="str">
        <f t="shared" si="18"/>
        <v/>
      </c>
      <c r="K153">
        <f t="shared" si="13"/>
        <v>7</v>
      </c>
      <c r="L153" t="str">
        <f t="shared" si="14"/>
        <v/>
      </c>
      <c r="M153" s="12">
        <f t="shared" si="15"/>
        <v>0</v>
      </c>
      <c r="N153" s="12">
        <f t="shared" si="16"/>
        <v>0</v>
      </c>
      <c r="O153" s="13">
        <f t="shared" si="17"/>
        <v>0</v>
      </c>
      <c r="P153" s="12">
        <f>IFERROR(VLOOKUP(B153,'Receivable Invoice Detail'!$S$1:$U$3014,3,FALSE),0)</f>
        <v>0</v>
      </c>
    </row>
    <row r="154" spans="1:16" x14ac:dyDescent="0.25">
      <c r="B154" t="s">
        <v>2791</v>
      </c>
      <c r="C154" t="s">
        <v>242</v>
      </c>
      <c r="D154" t="s">
        <v>22</v>
      </c>
      <c r="E154" t="s">
        <v>4389</v>
      </c>
      <c r="F154" s="16">
        <v>7992.87</v>
      </c>
      <c r="G154" s="16">
        <v>5809.2122255165123</v>
      </c>
      <c r="H154" s="16">
        <v>0</v>
      </c>
      <c r="I154" s="16">
        <v>0</v>
      </c>
      <c r="J154" s="16" t="str">
        <f t="shared" si="18"/>
        <v/>
      </c>
      <c r="K154">
        <f t="shared" si="13"/>
        <v>0</v>
      </c>
      <c r="L154" t="str">
        <f t="shared" si="14"/>
        <v/>
      </c>
      <c r="M154" s="12">
        <f t="shared" si="15"/>
        <v>0</v>
      </c>
      <c r="N154" s="12">
        <f t="shared" si="16"/>
        <v>0</v>
      </c>
      <c r="O154" s="13">
        <f t="shared" si="17"/>
        <v>0</v>
      </c>
      <c r="P154" s="12">
        <f>IFERROR(VLOOKUP(B154,'Receivable Invoice Detail'!$S$1:$U$3014,3,FALSE),0)</f>
        <v>0</v>
      </c>
    </row>
    <row r="155" spans="1:16" x14ac:dyDescent="0.25">
      <c r="A155" s="23" t="s">
        <v>4292</v>
      </c>
      <c r="B155" s="23"/>
      <c r="C155" s="23"/>
      <c r="D155" s="23"/>
      <c r="E155" s="23"/>
      <c r="F155" s="24">
        <v>7992.87</v>
      </c>
      <c r="G155" s="24">
        <v>5809.2122255165123</v>
      </c>
      <c r="H155" s="24">
        <v>-5.14</v>
      </c>
      <c r="I155" s="24">
        <v>0</v>
      </c>
      <c r="J155" s="16" t="str">
        <f t="shared" si="18"/>
        <v>CAD</v>
      </c>
      <c r="K155">
        <f t="shared" si="13"/>
        <v>13</v>
      </c>
      <c r="L155" t="str">
        <f t="shared" si="14"/>
        <v>SO16809</v>
      </c>
      <c r="M155" s="12">
        <f t="shared" si="15"/>
        <v>7987.73</v>
      </c>
      <c r="N155" s="12">
        <f t="shared" si="16"/>
        <v>0</v>
      </c>
      <c r="O155" s="13">
        <f t="shared" si="17"/>
        <v>0</v>
      </c>
      <c r="P155" s="12">
        <f>IFERROR(VLOOKUP(B155,'Receivable Invoice Detail'!$S$1:$U$3014,3,FALSE),0)</f>
        <v>0</v>
      </c>
    </row>
    <row r="156" spans="1:16" x14ac:dyDescent="0.25">
      <c r="A156" t="s">
        <v>1677</v>
      </c>
      <c r="B156" t="s">
        <v>2609</v>
      </c>
      <c r="C156" t="s">
        <v>901</v>
      </c>
      <c r="D156" t="s">
        <v>51</v>
      </c>
      <c r="E156" t="s">
        <v>4388</v>
      </c>
      <c r="F156" s="16">
        <v>0</v>
      </c>
      <c r="G156" s="16">
        <v>0</v>
      </c>
      <c r="H156" s="16">
        <v>0</v>
      </c>
      <c r="I156" s="16">
        <v>-4860</v>
      </c>
      <c r="J156" s="16" t="str">
        <f t="shared" si="18"/>
        <v/>
      </c>
      <c r="K156">
        <f t="shared" si="13"/>
        <v>7</v>
      </c>
      <c r="L156" t="str">
        <f t="shared" si="14"/>
        <v/>
      </c>
      <c r="M156" s="12">
        <f t="shared" si="15"/>
        <v>0</v>
      </c>
      <c r="N156" s="12">
        <f t="shared" si="16"/>
        <v>0</v>
      </c>
      <c r="O156" s="13">
        <f t="shared" si="17"/>
        <v>0</v>
      </c>
      <c r="P156" s="12">
        <f>IFERROR(VLOOKUP(B156,'Receivable Invoice Detail'!$S$1:$U$3014,3,FALSE),0)</f>
        <v>0</v>
      </c>
    </row>
    <row r="157" spans="1:16" x14ac:dyDescent="0.25">
      <c r="B157" t="s">
        <v>2610</v>
      </c>
      <c r="C157" t="s">
        <v>901</v>
      </c>
      <c r="D157" t="s">
        <v>51</v>
      </c>
      <c r="E157" t="s">
        <v>4388</v>
      </c>
      <c r="F157" s="16">
        <v>19956.495994094497</v>
      </c>
      <c r="G157" s="16">
        <v>13904.8</v>
      </c>
      <c r="H157" s="16">
        <v>0</v>
      </c>
      <c r="I157" s="16">
        <v>-9044.7999999999993</v>
      </c>
      <c r="J157" s="16" t="str">
        <f t="shared" si="18"/>
        <v/>
      </c>
      <c r="K157">
        <f t="shared" si="13"/>
        <v>0</v>
      </c>
      <c r="L157" t="str">
        <f t="shared" si="14"/>
        <v/>
      </c>
      <c r="M157" s="12">
        <f t="shared" si="15"/>
        <v>0</v>
      </c>
      <c r="N157" s="12">
        <f t="shared" si="16"/>
        <v>0</v>
      </c>
      <c r="O157" s="13">
        <f t="shared" si="17"/>
        <v>0</v>
      </c>
      <c r="P157" s="12">
        <f>IFERROR(VLOOKUP(B157,'Receivable Invoice Detail'!$S$1:$U$3014,3,FALSE),0)</f>
        <v>0</v>
      </c>
    </row>
    <row r="158" spans="1:16" x14ac:dyDescent="0.25">
      <c r="A158" s="23" t="s">
        <v>4293</v>
      </c>
      <c r="B158" s="23"/>
      <c r="C158" s="23"/>
      <c r="D158" s="23"/>
      <c r="E158" s="23"/>
      <c r="F158" s="24">
        <v>19956.495994094497</v>
      </c>
      <c r="G158" s="24">
        <v>13904.8</v>
      </c>
      <c r="H158" s="24">
        <v>0</v>
      </c>
      <c r="I158" s="24">
        <v>-13904.8</v>
      </c>
      <c r="J158" s="16" t="str">
        <f t="shared" si="18"/>
        <v>USD</v>
      </c>
      <c r="K158">
        <f t="shared" si="13"/>
        <v>13</v>
      </c>
      <c r="L158" t="str">
        <f t="shared" si="14"/>
        <v>SO16813</v>
      </c>
      <c r="M158" s="12">
        <f t="shared" si="15"/>
        <v>0</v>
      </c>
      <c r="N158" s="12">
        <f t="shared" si="16"/>
        <v>0</v>
      </c>
      <c r="O158" s="13" t="str">
        <f t="shared" si="17"/>
        <v>Yes</v>
      </c>
      <c r="P158" s="12">
        <f>IFERROR(VLOOKUP(B158,'Receivable Invoice Detail'!$S$1:$U$3014,3,FALSE),0)</f>
        <v>0</v>
      </c>
    </row>
    <row r="159" spans="1:16" x14ac:dyDescent="0.25">
      <c r="A159" t="s">
        <v>1662</v>
      </c>
      <c r="B159" t="s">
        <v>2620</v>
      </c>
      <c r="C159" t="s">
        <v>159</v>
      </c>
      <c r="D159" t="s">
        <v>51</v>
      </c>
      <c r="E159" t="s">
        <v>4388</v>
      </c>
      <c r="F159" s="16">
        <v>57048.635802780322</v>
      </c>
      <c r="G159" s="16">
        <v>39865.5</v>
      </c>
      <c r="H159" s="16">
        <v>0</v>
      </c>
      <c r="I159" s="16">
        <v>-30541.5</v>
      </c>
      <c r="J159" s="16" t="str">
        <f t="shared" si="18"/>
        <v/>
      </c>
      <c r="K159">
        <f t="shared" si="13"/>
        <v>7</v>
      </c>
      <c r="L159" t="str">
        <f t="shared" si="14"/>
        <v/>
      </c>
      <c r="M159" s="12">
        <f t="shared" si="15"/>
        <v>0</v>
      </c>
      <c r="N159" s="12">
        <f t="shared" si="16"/>
        <v>0</v>
      </c>
      <c r="O159" s="13">
        <f t="shared" si="17"/>
        <v>0</v>
      </c>
      <c r="P159" s="12">
        <f>IFERROR(VLOOKUP(B159,'Receivable Invoice Detail'!$S$1:$U$3014,3,FALSE),0)</f>
        <v>0</v>
      </c>
    </row>
    <row r="160" spans="1:16" x14ac:dyDescent="0.25">
      <c r="B160" t="s">
        <v>2619</v>
      </c>
      <c r="C160" t="s">
        <v>159</v>
      </c>
      <c r="D160" t="s">
        <v>51</v>
      </c>
      <c r="E160" t="s">
        <v>4388</v>
      </c>
      <c r="F160" s="16">
        <v>0</v>
      </c>
      <c r="G160" s="16">
        <v>0</v>
      </c>
      <c r="H160" s="16">
        <v>0</v>
      </c>
      <c r="I160" s="16">
        <v>-9324</v>
      </c>
      <c r="J160" s="16" t="str">
        <f t="shared" si="18"/>
        <v/>
      </c>
      <c r="K160">
        <f t="shared" si="13"/>
        <v>0</v>
      </c>
      <c r="L160" t="str">
        <f t="shared" si="14"/>
        <v/>
      </c>
      <c r="M160" s="12">
        <f t="shared" si="15"/>
        <v>0</v>
      </c>
      <c r="N160" s="12">
        <f t="shared" si="16"/>
        <v>0</v>
      </c>
      <c r="O160" s="13">
        <f t="shared" si="17"/>
        <v>0</v>
      </c>
      <c r="P160" s="12">
        <f>IFERROR(VLOOKUP(B160,'Receivable Invoice Detail'!$S$1:$U$3014,3,FALSE),0)</f>
        <v>0</v>
      </c>
    </row>
    <row r="161" spans="1:16" x14ac:dyDescent="0.25">
      <c r="A161" s="23" t="s">
        <v>4294</v>
      </c>
      <c r="B161" s="23"/>
      <c r="C161" s="23"/>
      <c r="D161" s="23"/>
      <c r="E161" s="23"/>
      <c r="F161" s="24">
        <v>57048.635802780322</v>
      </c>
      <c r="G161" s="24">
        <v>39865.5</v>
      </c>
      <c r="H161" s="24">
        <v>0</v>
      </c>
      <c r="I161" s="24">
        <v>-39865.5</v>
      </c>
      <c r="J161" s="16" t="str">
        <f t="shared" si="18"/>
        <v>USD</v>
      </c>
      <c r="K161">
        <f t="shared" si="13"/>
        <v>13</v>
      </c>
      <c r="L161" t="str">
        <f t="shared" si="14"/>
        <v>SO16834</v>
      </c>
      <c r="M161" s="12">
        <f t="shared" si="15"/>
        <v>0</v>
      </c>
      <c r="N161" s="12">
        <f t="shared" si="16"/>
        <v>0</v>
      </c>
      <c r="O161" s="13" t="str">
        <f t="shared" si="17"/>
        <v>Yes</v>
      </c>
      <c r="P161" s="12">
        <f>IFERROR(VLOOKUP(B161,'Receivable Invoice Detail'!$S$1:$U$3014,3,FALSE),0)</f>
        <v>0</v>
      </c>
    </row>
    <row r="162" spans="1:16" x14ac:dyDescent="0.25">
      <c r="A162" t="s">
        <v>1664</v>
      </c>
      <c r="B162" t="s">
        <v>2618</v>
      </c>
      <c r="C162" t="s">
        <v>149</v>
      </c>
      <c r="D162" t="s">
        <v>51</v>
      </c>
      <c r="E162" t="s">
        <v>4388</v>
      </c>
      <c r="F162" s="16">
        <v>6611.1906801346231</v>
      </c>
      <c r="G162" s="16">
        <v>4619.8900000000003</v>
      </c>
      <c r="H162" s="16">
        <v>0</v>
      </c>
      <c r="I162" s="16">
        <v>-3921.01</v>
      </c>
      <c r="J162" s="16" t="str">
        <f t="shared" si="18"/>
        <v/>
      </c>
      <c r="K162">
        <f t="shared" si="13"/>
        <v>7</v>
      </c>
      <c r="L162" t="str">
        <f t="shared" si="14"/>
        <v/>
      </c>
      <c r="M162" s="12">
        <f t="shared" si="15"/>
        <v>0</v>
      </c>
      <c r="N162" s="12">
        <f t="shared" si="16"/>
        <v>0</v>
      </c>
      <c r="O162" s="13">
        <f t="shared" si="17"/>
        <v>0</v>
      </c>
      <c r="P162" s="12">
        <f>IFERROR(VLOOKUP(B162,'Receivable Invoice Detail'!$S$1:$U$3014,3,FALSE),0)</f>
        <v>645</v>
      </c>
    </row>
    <row r="163" spans="1:16" x14ac:dyDescent="0.25">
      <c r="B163" t="s">
        <v>2617</v>
      </c>
      <c r="C163" t="s">
        <v>149</v>
      </c>
      <c r="D163" t="s">
        <v>51</v>
      </c>
      <c r="E163" t="s">
        <v>4388</v>
      </c>
      <c r="F163" s="16">
        <v>0</v>
      </c>
      <c r="G163" s="16">
        <v>0</v>
      </c>
      <c r="H163" s="16">
        <v>0</v>
      </c>
      <c r="I163" s="16">
        <v>-698.88</v>
      </c>
      <c r="J163" s="16" t="str">
        <f t="shared" si="18"/>
        <v/>
      </c>
      <c r="K163">
        <f t="shared" si="13"/>
        <v>0</v>
      </c>
      <c r="L163" t="str">
        <f t="shared" si="14"/>
        <v/>
      </c>
      <c r="M163" s="12">
        <f t="shared" si="15"/>
        <v>0</v>
      </c>
      <c r="N163" s="12">
        <f t="shared" si="16"/>
        <v>0</v>
      </c>
      <c r="O163" s="13">
        <f t="shared" si="17"/>
        <v>0</v>
      </c>
      <c r="P163" s="12">
        <f>IFERROR(VLOOKUP(B163,'Receivable Invoice Detail'!$S$1:$U$3014,3,FALSE),0)</f>
        <v>0</v>
      </c>
    </row>
    <row r="164" spans="1:16" x14ac:dyDescent="0.25">
      <c r="A164" s="23" t="s">
        <v>4295</v>
      </c>
      <c r="B164" s="23"/>
      <c r="C164" s="23"/>
      <c r="D164" s="23"/>
      <c r="E164" s="23"/>
      <c r="F164" s="24">
        <v>6611.1906801346231</v>
      </c>
      <c r="G164" s="24">
        <v>4619.8900000000003</v>
      </c>
      <c r="H164" s="24">
        <v>0</v>
      </c>
      <c r="I164" s="24">
        <v>-4619.8900000000003</v>
      </c>
      <c r="J164" s="16" t="str">
        <f t="shared" si="18"/>
        <v>USD</v>
      </c>
      <c r="K164">
        <f t="shared" si="13"/>
        <v>13</v>
      </c>
      <c r="L164" t="str">
        <f t="shared" si="14"/>
        <v>SO16835</v>
      </c>
      <c r="M164" s="12">
        <f t="shared" si="15"/>
        <v>0</v>
      </c>
      <c r="N164" s="12">
        <f t="shared" si="16"/>
        <v>0</v>
      </c>
      <c r="O164" s="13" t="str">
        <f t="shared" si="17"/>
        <v>Yes</v>
      </c>
      <c r="P164" s="12">
        <f>IFERROR(VLOOKUP(B164,'Receivable Invoice Detail'!$S$1:$U$3014,3,FALSE),0)</f>
        <v>0</v>
      </c>
    </row>
    <row r="165" spans="1:16" x14ac:dyDescent="0.25">
      <c r="A165" t="s">
        <v>1714</v>
      </c>
      <c r="B165" t="s">
        <v>2589</v>
      </c>
      <c r="C165" t="s">
        <v>714</v>
      </c>
      <c r="D165" t="s">
        <v>51</v>
      </c>
      <c r="E165" t="s">
        <v>4389</v>
      </c>
      <c r="F165" s="16">
        <v>1698.1058482378539</v>
      </c>
      <c r="G165" s="16">
        <v>1191.0999999999999</v>
      </c>
      <c r="H165" s="16">
        <v>0</v>
      </c>
      <c r="I165" s="16">
        <v>0</v>
      </c>
      <c r="J165" s="16" t="str">
        <f t="shared" si="18"/>
        <v/>
      </c>
      <c r="K165">
        <f t="shared" si="13"/>
        <v>7</v>
      </c>
      <c r="L165" t="str">
        <f t="shared" si="14"/>
        <v/>
      </c>
      <c r="M165" s="12">
        <f t="shared" si="15"/>
        <v>0</v>
      </c>
      <c r="N165" s="12">
        <f t="shared" si="16"/>
        <v>0</v>
      </c>
      <c r="O165" s="13">
        <f t="shared" si="17"/>
        <v>0</v>
      </c>
      <c r="P165" s="12">
        <f>IFERROR(VLOOKUP(B165,'Receivable Invoice Detail'!$S$1:$U$3014,3,FALSE),0)</f>
        <v>0</v>
      </c>
    </row>
    <row r="166" spans="1:16" x14ac:dyDescent="0.25">
      <c r="B166" t="s">
        <v>2588</v>
      </c>
      <c r="C166" t="s">
        <v>714</v>
      </c>
      <c r="D166" t="s">
        <v>51</v>
      </c>
      <c r="E166" t="s">
        <v>4388</v>
      </c>
      <c r="F166" s="16">
        <v>0</v>
      </c>
      <c r="G166" s="16">
        <v>0</v>
      </c>
      <c r="H166" s="16">
        <v>0</v>
      </c>
      <c r="I166" s="16">
        <v>-444.92</v>
      </c>
      <c r="J166" s="16" t="str">
        <f t="shared" si="18"/>
        <v/>
      </c>
      <c r="K166">
        <f t="shared" si="13"/>
        <v>0</v>
      </c>
      <c r="L166" t="str">
        <f t="shared" si="14"/>
        <v/>
      </c>
      <c r="M166" s="12">
        <f t="shared" si="15"/>
        <v>0</v>
      </c>
      <c r="N166" s="12">
        <f t="shared" si="16"/>
        <v>0</v>
      </c>
      <c r="O166" s="13">
        <f t="shared" si="17"/>
        <v>0</v>
      </c>
      <c r="P166" s="12">
        <f>IFERROR(VLOOKUP(B166,'Receivable Invoice Detail'!$S$1:$U$3014,3,FALSE),0)</f>
        <v>0</v>
      </c>
    </row>
    <row r="167" spans="1:16" x14ac:dyDescent="0.25">
      <c r="A167" s="23" t="s">
        <v>4296</v>
      </c>
      <c r="B167" s="23"/>
      <c r="C167" s="23"/>
      <c r="D167" s="23"/>
      <c r="E167" s="23"/>
      <c r="F167" s="24">
        <v>1698.1058482378539</v>
      </c>
      <c r="G167" s="24">
        <v>1191.0999999999999</v>
      </c>
      <c r="H167" s="24">
        <v>0</v>
      </c>
      <c r="I167" s="24">
        <v>-444.92</v>
      </c>
      <c r="J167" s="16" t="str">
        <f t="shared" si="18"/>
        <v>USD</v>
      </c>
      <c r="K167">
        <f t="shared" si="13"/>
        <v>13</v>
      </c>
      <c r="L167" t="str">
        <f t="shared" si="14"/>
        <v>SO16844</v>
      </c>
      <c r="M167" s="12">
        <f t="shared" si="15"/>
        <v>0</v>
      </c>
      <c r="N167" s="12">
        <f t="shared" si="16"/>
        <v>746.18</v>
      </c>
      <c r="O167" s="13">
        <f t="shared" si="17"/>
        <v>0</v>
      </c>
      <c r="P167" s="12">
        <f>IFERROR(VLOOKUP(B167,'Receivable Invoice Detail'!$S$1:$U$3014,3,FALSE),0)</f>
        <v>0</v>
      </c>
    </row>
    <row r="168" spans="1:16" x14ac:dyDescent="0.25">
      <c r="A168" t="s">
        <v>1706</v>
      </c>
      <c r="B168" t="s">
        <v>2594</v>
      </c>
      <c r="C168" t="s">
        <v>98</v>
      </c>
      <c r="D168" t="s">
        <v>22</v>
      </c>
      <c r="E168" t="s">
        <v>4388</v>
      </c>
      <c r="F168" s="16">
        <v>343.22</v>
      </c>
      <c r="G168" s="16">
        <v>239.71557821096312</v>
      </c>
      <c r="H168" s="16">
        <v>-201.44</v>
      </c>
      <c r="I168" s="16">
        <v>0</v>
      </c>
      <c r="J168" s="16" t="str">
        <f t="shared" si="18"/>
        <v/>
      </c>
      <c r="K168">
        <f t="shared" si="13"/>
        <v>7</v>
      </c>
      <c r="L168" t="str">
        <f t="shared" si="14"/>
        <v/>
      </c>
      <c r="M168" s="12">
        <f t="shared" si="15"/>
        <v>0</v>
      </c>
      <c r="N168" s="12">
        <f t="shared" si="16"/>
        <v>0</v>
      </c>
      <c r="O168" s="13">
        <f t="shared" si="17"/>
        <v>0</v>
      </c>
      <c r="P168" s="12">
        <f>IFERROR(VLOOKUP(B168,'Receivable Invoice Detail'!$S$1:$U$3014,3,FALSE),0)</f>
        <v>0</v>
      </c>
    </row>
    <row r="169" spans="1:16" x14ac:dyDescent="0.25">
      <c r="B169" t="s">
        <v>2593</v>
      </c>
      <c r="C169" t="s">
        <v>98</v>
      </c>
      <c r="D169" t="s">
        <v>22</v>
      </c>
      <c r="E169" t="s">
        <v>4388</v>
      </c>
      <c r="F169" s="16">
        <v>0</v>
      </c>
      <c r="G169" s="16">
        <v>0</v>
      </c>
      <c r="H169" s="16">
        <v>-141.78</v>
      </c>
      <c r="I169" s="16">
        <v>0</v>
      </c>
      <c r="J169" s="16" t="str">
        <f t="shared" si="18"/>
        <v/>
      </c>
      <c r="K169">
        <f t="shared" si="13"/>
        <v>0</v>
      </c>
      <c r="L169" t="str">
        <f t="shared" si="14"/>
        <v/>
      </c>
      <c r="M169" s="12">
        <f t="shared" si="15"/>
        <v>0</v>
      </c>
      <c r="N169" s="12">
        <f t="shared" si="16"/>
        <v>0</v>
      </c>
      <c r="O169" s="13">
        <f t="shared" si="17"/>
        <v>0</v>
      </c>
      <c r="P169" s="12">
        <f>IFERROR(VLOOKUP(B169,'Receivable Invoice Detail'!$S$1:$U$3014,3,FALSE),0)</f>
        <v>0</v>
      </c>
    </row>
    <row r="170" spans="1:16" x14ac:dyDescent="0.25">
      <c r="A170" s="23" t="s">
        <v>4297</v>
      </c>
      <c r="B170" s="23"/>
      <c r="C170" s="23"/>
      <c r="D170" s="23"/>
      <c r="E170" s="23"/>
      <c r="F170" s="24">
        <v>343.22</v>
      </c>
      <c r="G170" s="24">
        <v>239.71557821096312</v>
      </c>
      <c r="H170" s="24">
        <v>-343.22</v>
      </c>
      <c r="I170" s="24">
        <v>0</v>
      </c>
      <c r="J170" s="16" t="str">
        <f t="shared" si="18"/>
        <v>CAD</v>
      </c>
      <c r="K170">
        <f t="shared" si="13"/>
        <v>13</v>
      </c>
      <c r="L170" t="str">
        <f t="shared" si="14"/>
        <v>SO16848</v>
      </c>
      <c r="M170" s="12">
        <f t="shared" si="15"/>
        <v>0</v>
      </c>
      <c r="N170" s="12">
        <f t="shared" si="16"/>
        <v>0</v>
      </c>
      <c r="O170" s="13" t="str">
        <f t="shared" si="17"/>
        <v>Yes</v>
      </c>
      <c r="P170" s="12">
        <f>IFERROR(VLOOKUP(B170,'Receivable Invoice Detail'!$S$1:$U$3014,3,FALSE),0)</f>
        <v>0</v>
      </c>
    </row>
    <row r="171" spans="1:16" x14ac:dyDescent="0.25">
      <c r="A171" t="s">
        <v>1469</v>
      </c>
      <c r="B171" t="s">
        <v>2731</v>
      </c>
      <c r="C171" t="s">
        <v>149</v>
      </c>
      <c r="D171" t="s">
        <v>51</v>
      </c>
      <c r="E171" t="s">
        <v>4388</v>
      </c>
      <c r="F171" s="16">
        <v>8484.1057146154453</v>
      </c>
      <c r="G171" s="16">
        <v>6126.92</v>
      </c>
      <c r="H171" s="16">
        <v>0</v>
      </c>
      <c r="I171" s="16">
        <v>-2779.5</v>
      </c>
      <c r="J171" s="16" t="str">
        <f t="shared" si="18"/>
        <v/>
      </c>
      <c r="K171">
        <f t="shared" si="13"/>
        <v>7</v>
      </c>
      <c r="L171" t="str">
        <f t="shared" si="14"/>
        <v/>
      </c>
      <c r="M171" s="12">
        <f t="shared" si="15"/>
        <v>0</v>
      </c>
      <c r="N171" s="12">
        <f t="shared" si="16"/>
        <v>0</v>
      </c>
      <c r="O171" s="13">
        <f t="shared" si="17"/>
        <v>0</v>
      </c>
      <c r="P171" s="12">
        <f>IFERROR(VLOOKUP(B171,'Receivable Invoice Detail'!$S$1:$U$3014,3,FALSE),0)</f>
        <v>695</v>
      </c>
    </row>
    <row r="172" spans="1:16" x14ac:dyDescent="0.25">
      <c r="B172" t="s">
        <v>2730</v>
      </c>
      <c r="C172" t="s">
        <v>149</v>
      </c>
      <c r="D172" t="s">
        <v>51</v>
      </c>
      <c r="E172" t="s">
        <v>4388</v>
      </c>
      <c r="F172" s="16">
        <v>0</v>
      </c>
      <c r="G172" s="16">
        <v>0</v>
      </c>
      <c r="H172" s="16">
        <v>0</v>
      </c>
      <c r="I172" s="16">
        <v>-3347.42</v>
      </c>
      <c r="J172" s="16" t="str">
        <f t="shared" si="18"/>
        <v/>
      </c>
      <c r="K172">
        <f t="shared" si="13"/>
        <v>0</v>
      </c>
      <c r="L172" t="str">
        <f t="shared" si="14"/>
        <v/>
      </c>
      <c r="M172" s="12">
        <f t="shared" si="15"/>
        <v>0</v>
      </c>
      <c r="N172" s="12">
        <f t="shared" si="16"/>
        <v>0</v>
      </c>
      <c r="O172" s="13">
        <f t="shared" si="17"/>
        <v>0</v>
      </c>
      <c r="P172" s="12">
        <f>IFERROR(VLOOKUP(B172,'Receivable Invoice Detail'!$S$1:$U$3014,3,FALSE),0)</f>
        <v>698</v>
      </c>
    </row>
    <row r="173" spans="1:16" x14ac:dyDescent="0.25">
      <c r="A173" s="23" t="s">
        <v>4298</v>
      </c>
      <c r="B173" s="23"/>
      <c r="C173" s="23"/>
      <c r="D173" s="23"/>
      <c r="E173" s="23"/>
      <c r="F173" s="24">
        <v>8484.1057146154453</v>
      </c>
      <c r="G173" s="24">
        <v>6126.92</v>
      </c>
      <c r="H173" s="24">
        <v>0</v>
      </c>
      <c r="I173" s="24">
        <v>-6126.92</v>
      </c>
      <c r="J173" s="16" t="str">
        <f t="shared" si="18"/>
        <v>USD</v>
      </c>
      <c r="K173">
        <f t="shared" si="13"/>
        <v>13</v>
      </c>
      <c r="L173" t="str">
        <f t="shared" si="14"/>
        <v>SO16874</v>
      </c>
      <c r="M173" s="12">
        <f t="shared" si="15"/>
        <v>0</v>
      </c>
      <c r="N173" s="12">
        <f t="shared" si="16"/>
        <v>0</v>
      </c>
      <c r="O173" s="13" t="str">
        <f t="shared" si="17"/>
        <v>Yes</v>
      </c>
      <c r="P173" s="12">
        <f>IFERROR(VLOOKUP(B173,'Receivable Invoice Detail'!$S$1:$U$3014,3,FALSE),0)</f>
        <v>0</v>
      </c>
    </row>
    <row r="174" spans="1:16" x14ac:dyDescent="0.25">
      <c r="A174" t="s">
        <v>1648</v>
      </c>
      <c r="B174" t="s">
        <v>2628</v>
      </c>
      <c r="C174" t="s">
        <v>98</v>
      </c>
      <c r="D174" t="s">
        <v>22</v>
      </c>
      <c r="E174" t="s">
        <v>4388</v>
      </c>
      <c r="F174" s="16">
        <v>4854.8</v>
      </c>
      <c r="G174" s="16">
        <v>3412.7976324864967</v>
      </c>
      <c r="H174" s="16">
        <v>-3181.34</v>
      </c>
      <c r="I174" s="16">
        <v>0</v>
      </c>
      <c r="J174" s="16" t="str">
        <f t="shared" si="18"/>
        <v/>
      </c>
      <c r="K174">
        <f t="shared" si="13"/>
        <v>7</v>
      </c>
      <c r="L174" t="str">
        <f t="shared" si="14"/>
        <v/>
      </c>
      <c r="M174" s="12">
        <f t="shared" si="15"/>
        <v>0</v>
      </c>
      <c r="N174" s="12">
        <f t="shared" si="16"/>
        <v>0</v>
      </c>
      <c r="O174" s="13">
        <f t="shared" si="17"/>
        <v>0</v>
      </c>
      <c r="P174" s="12">
        <f>IFERROR(VLOOKUP(B174,'Receivable Invoice Detail'!$S$1:$U$3014,3,FALSE),0)</f>
        <v>0</v>
      </c>
    </row>
    <row r="175" spans="1:16" x14ac:dyDescent="0.25">
      <c r="B175" t="s">
        <v>2627</v>
      </c>
      <c r="C175" t="s">
        <v>98</v>
      </c>
      <c r="D175" t="s">
        <v>22</v>
      </c>
      <c r="E175" t="s">
        <v>4388</v>
      </c>
      <c r="F175" s="16">
        <v>0</v>
      </c>
      <c r="G175" s="16">
        <v>0</v>
      </c>
      <c r="H175" s="16">
        <v>-1673.46</v>
      </c>
      <c r="I175" s="16">
        <v>0</v>
      </c>
      <c r="J175" s="16" t="str">
        <f t="shared" si="18"/>
        <v/>
      </c>
      <c r="K175">
        <f t="shared" si="13"/>
        <v>0</v>
      </c>
      <c r="L175" t="str">
        <f t="shared" si="14"/>
        <v/>
      </c>
      <c r="M175" s="12">
        <f t="shared" si="15"/>
        <v>0</v>
      </c>
      <c r="N175" s="12">
        <f t="shared" si="16"/>
        <v>0</v>
      </c>
      <c r="O175" s="13">
        <f t="shared" si="17"/>
        <v>0</v>
      </c>
      <c r="P175" s="12">
        <f>IFERROR(VLOOKUP(B175,'Receivable Invoice Detail'!$S$1:$U$3014,3,FALSE),0)</f>
        <v>0</v>
      </c>
    </row>
    <row r="176" spans="1:16" x14ac:dyDescent="0.25">
      <c r="A176" s="23" t="s">
        <v>4299</v>
      </c>
      <c r="B176" s="23"/>
      <c r="C176" s="23"/>
      <c r="D176" s="23"/>
      <c r="E176" s="23"/>
      <c r="F176" s="24">
        <v>4854.8</v>
      </c>
      <c r="G176" s="24">
        <v>3412.7976324864967</v>
      </c>
      <c r="H176" s="24">
        <v>-4854.8</v>
      </c>
      <c r="I176" s="24">
        <v>0</v>
      </c>
      <c r="J176" s="16" t="str">
        <f t="shared" si="18"/>
        <v>CAD</v>
      </c>
      <c r="K176">
        <f t="shared" si="13"/>
        <v>13</v>
      </c>
      <c r="L176" t="str">
        <f t="shared" si="14"/>
        <v>SO16881</v>
      </c>
      <c r="M176" s="12">
        <f t="shared" si="15"/>
        <v>0</v>
      </c>
      <c r="N176" s="12">
        <f t="shared" si="16"/>
        <v>0</v>
      </c>
      <c r="O176" s="13" t="str">
        <f t="shared" si="17"/>
        <v>Yes</v>
      </c>
      <c r="P176" s="12">
        <f>IFERROR(VLOOKUP(B176,'Receivable Invoice Detail'!$S$1:$U$3014,3,FALSE),0)</f>
        <v>0</v>
      </c>
    </row>
    <row r="177" spans="1:16" x14ac:dyDescent="0.25">
      <c r="A177" t="s">
        <v>1650</v>
      </c>
      <c r="B177" t="s">
        <v>2626</v>
      </c>
      <c r="C177" t="s">
        <v>1652</v>
      </c>
      <c r="D177" t="s">
        <v>51</v>
      </c>
      <c r="E177" t="s">
        <v>4388</v>
      </c>
      <c r="F177" s="16">
        <v>27268.948828934303</v>
      </c>
      <c r="G177" s="16">
        <v>19055.5</v>
      </c>
      <c r="H177" s="16">
        <v>0</v>
      </c>
      <c r="I177" s="16">
        <v>-11018.86</v>
      </c>
      <c r="J177" s="16" t="str">
        <f t="shared" si="18"/>
        <v/>
      </c>
      <c r="K177">
        <f t="shared" si="13"/>
        <v>7</v>
      </c>
      <c r="L177" t="str">
        <f t="shared" si="14"/>
        <v/>
      </c>
      <c r="M177" s="12">
        <f t="shared" si="15"/>
        <v>0</v>
      </c>
      <c r="N177" s="12">
        <f t="shared" si="16"/>
        <v>0</v>
      </c>
      <c r="O177" s="13">
        <f t="shared" si="17"/>
        <v>0</v>
      </c>
      <c r="P177" s="12">
        <f>IFERROR(VLOOKUP(B177,'Receivable Invoice Detail'!$S$1:$U$3014,3,FALSE),0)</f>
        <v>743</v>
      </c>
    </row>
    <row r="178" spans="1:16" x14ac:dyDescent="0.25">
      <c r="B178" t="s">
        <v>2625</v>
      </c>
      <c r="C178" t="s">
        <v>1652</v>
      </c>
      <c r="D178" t="s">
        <v>51</v>
      </c>
      <c r="E178" t="s">
        <v>4388</v>
      </c>
      <c r="F178" s="16">
        <v>0</v>
      </c>
      <c r="G178" s="16">
        <v>0</v>
      </c>
      <c r="H178" s="16">
        <v>0</v>
      </c>
      <c r="I178" s="16">
        <v>-8036.64</v>
      </c>
      <c r="J178" s="16" t="str">
        <f t="shared" si="18"/>
        <v/>
      </c>
      <c r="K178">
        <f t="shared" si="13"/>
        <v>0</v>
      </c>
      <c r="L178" t="str">
        <f t="shared" si="14"/>
        <v/>
      </c>
      <c r="M178" s="12">
        <f t="shared" si="15"/>
        <v>0</v>
      </c>
      <c r="N178" s="12">
        <f t="shared" si="16"/>
        <v>0</v>
      </c>
      <c r="O178" s="13">
        <f t="shared" si="17"/>
        <v>0</v>
      </c>
      <c r="P178" s="12">
        <f>IFERROR(VLOOKUP(B178,'Receivable Invoice Detail'!$S$1:$U$3014,3,FALSE),0)</f>
        <v>690</v>
      </c>
    </row>
    <row r="179" spans="1:16" x14ac:dyDescent="0.25">
      <c r="A179" s="23" t="s">
        <v>4300</v>
      </c>
      <c r="B179" s="23"/>
      <c r="C179" s="23"/>
      <c r="D179" s="23"/>
      <c r="E179" s="23"/>
      <c r="F179" s="24">
        <v>27268.948828934303</v>
      </c>
      <c r="G179" s="24">
        <v>19055.5</v>
      </c>
      <c r="H179" s="24">
        <v>0</v>
      </c>
      <c r="I179" s="24">
        <v>-19055.5</v>
      </c>
      <c r="J179" s="16" t="str">
        <f t="shared" si="18"/>
        <v>USD</v>
      </c>
      <c r="K179">
        <f t="shared" si="13"/>
        <v>13</v>
      </c>
      <c r="L179" t="str">
        <f t="shared" si="14"/>
        <v>SO16888</v>
      </c>
      <c r="M179" s="12">
        <f t="shared" si="15"/>
        <v>0</v>
      </c>
      <c r="N179" s="12">
        <f t="shared" si="16"/>
        <v>0</v>
      </c>
      <c r="O179" s="13" t="str">
        <f t="shared" si="17"/>
        <v>Yes</v>
      </c>
      <c r="P179" s="12">
        <f>IFERROR(VLOOKUP(B179,'Receivable Invoice Detail'!$S$1:$U$3014,3,FALSE),0)</f>
        <v>0</v>
      </c>
    </row>
    <row r="180" spans="1:16" x14ac:dyDescent="0.25">
      <c r="A180" t="s">
        <v>1225</v>
      </c>
      <c r="B180" t="s">
        <v>2865</v>
      </c>
      <c r="C180" t="s">
        <v>159</v>
      </c>
      <c r="D180" t="s">
        <v>51</v>
      </c>
      <c r="E180" t="s">
        <v>4388</v>
      </c>
      <c r="F180" s="16">
        <v>52513.420293417817</v>
      </c>
      <c r="G180" s="16">
        <v>38432.82</v>
      </c>
      <c r="H180" s="16">
        <v>0</v>
      </c>
      <c r="I180" s="16">
        <v>-37641.019999999997</v>
      </c>
      <c r="J180" s="16" t="str">
        <f t="shared" si="18"/>
        <v/>
      </c>
      <c r="K180">
        <f t="shared" si="13"/>
        <v>7</v>
      </c>
      <c r="L180" t="str">
        <f t="shared" si="14"/>
        <v/>
      </c>
      <c r="M180" s="12">
        <f t="shared" si="15"/>
        <v>0</v>
      </c>
      <c r="N180" s="12">
        <f t="shared" si="16"/>
        <v>0</v>
      </c>
      <c r="O180" s="13">
        <f t="shared" si="17"/>
        <v>0</v>
      </c>
      <c r="P180" s="12">
        <f>IFERROR(VLOOKUP(B180,'Receivable Invoice Detail'!$S$1:$U$3014,3,FALSE),0)</f>
        <v>0</v>
      </c>
    </row>
    <row r="181" spans="1:16" x14ac:dyDescent="0.25">
      <c r="B181" t="s">
        <v>2864</v>
      </c>
      <c r="C181" t="s">
        <v>159</v>
      </c>
      <c r="D181" t="s">
        <v>51</v>
      </c>
      <c r="E181" t="s">
        <v>4389</v>
      </c>
      <c r="F181" s="16">
        <v>0</v>
      </c>
      <c r="G181" s="16">
        <v>0</v>
      </c>
      <c r="H181" s="16">
        <v>0</v>
      </c>
      <c r="I181" s="16">
        <v>0</v>
      </c>
      <c r="J181" s="16" t="str">
        <f t="shared" si="18"/>
        <v/>
      </c>
      <c r="K181">
        <f t="shared" si="13"/>
        <v>0</v>
      </c>
      <c r="L181" t="str">
        <f t="shared" si="14"/>
        <v/>
      </c>
      <c r="M181" s="12">
        <f t="shared" si="15"/>
        <v>0</v>
      </c>
      <c r="N181" s="12">
        <f t="shared" si="16"/>
        <v>0</v>
      </c>
      <c r="O181" s="13">
        <f t="shared" si="17"/>
        <v>0</v>
      </c>
      <c r="P181" s="12">
        <f>IFERROR(VLOOKUP(B181,'Receivable Invoice Detail'!$S$1:$U$3014,3,FALSE),0)</f>
        <v>0</v>
      </c>
    </row>
    <row r="182" spans="1:16" x14ac:dyDescent="0.25">
      <c r="B182" t="s">
        <v>2863</v>
      </c>
      <c r="C182" t="s">
        <v>159</v>
      </c>
      <c r="D182" t="s">
        <v>51</v>
      </c>
      <c r="E182" t="s">
        <v>4388</v>
      </c>
      <c r="F182" s="16">
        <v>0</v>
      </c>
      <c r="G182" s="16">
        <v>0</v>
      </c>
      <c r="H182" s="16">
        <v>0</v>
      </c>
      <c r="I182" s="16">
        <v>-791.8</v>
      </c>
      <c r="J182" s="16" t="str">
        <f t="shared" si="18"/>
        <v/>
      </c>
      <c r="K182">
        <f t="shared" si="13"/>
        <v>0</v>
      </c>
      <c r="L182" t="str">
        <f t="shared" si="14"/>
        <v/>
      </c>
      <c r="M182" s="12">
        <f t="shared" si="15"/>
        <v>0</v>
      </c>
      <c r="N182" s="12">
        <f t="shared" si="16"/>
        <v>0</v>
      </c>
      <c r="O182" s="13">
        <f t="shared" si="17"/>
        <v>0</v>
      </c>
      <c r="P182" s="12">
        <f>IFERROR(VLOOKUP(B182,'Receivable Invoice Detail'!$S$1:$U$3014,3,FALSE),0)</f>
        <v>0</v>
      </c>
    </row>
    <row r="183" spans="1:16" x14ac:dyDescent="0.25">
      <c r="A183" s="23" t="s">
        <v>4301</v>
      </c>
      <c r="B183" s="23"/>
      <c r="C183" s="23"/>
      <c r="D183" s="23"/>
      <c r="E183" s="23"/>
      <c r="F183" s="24">
        <v>52513.420293417817</v>
      </c>
      <c r="G183" s="24">
        <v>38432.82</v>
      </c>
      <c r="H183" s="24">
        <v>0</v>
      </c>
      <c r="I183" s="24">
        <v>-38432.82</v>
      </c>
      <c r="J183" s="16" t="str">
        <f t="shared" si="18"/>
        <v>USD</v>
      </c>
      <c r="K183">
        <f t="shared" si="13"/>
        <v>13</v>
      </c>
      <c r="L183" t="str">
        <f t="shared" si="14"/>
        <v>SO16918</v>
      </c>
      <c r="M183" s="12">
        <f t="shared" si="15"/>
        <v>0</v>
      </c>
      <c r="N183" s="12">
        <f t="shared" si="16"/>
        <v>0</v>
      </c>
      <c r="O183" s="13" t="str">
        <f t="shared" si="17"/>
        <v>Yes</v>
      </c>
      <c r="P183" s="12">
        <f>IFERROR(VLOOKUP(B183,'Receivable Invoice Detail'!$S$1:$U$3014,3,FALSE),0)</f>
        <v>0</v>
      </c>
    </row>
    <row r="184" spans="1:16" x14ac:dyDescent="0.25">
      <c r="A184" t="s">
        <v>1633</v>
      </c>
      <c r="B184" t="s">
        <v>2635</v>
      </c>
      <c r="C184" t="s">
        <v>644</v>
      </c>
      <c r="D184" t="s">
        <v>51</v>
      </c>
      <c r="E184" t="s">
        <v>4389</v>
      </c>
      <c r="F184" s="16">
        <v>0</v>
      </c>
      <c r="G184" s="16">
        <v>0</v>
      </c>
      <c r="H184" s="16">
        <v>0</v>
      </c>
      <c r="I184" s="16">
        <v>0</v>
      </c>
      <c r="J184" s="16" t="str">
        <f t="shared" si="18"/>
        <v/>
      </c>
      <c r="K184">
        <f t="shared" si="13"/>
        <v>7</v>
      </c>
      <c r="L184" t="str">
        <f t="shared" si="14"/>
        <v/>
      </c>
      <c r="M184" s="12">
        <f t="shared" si="15"/>
        <v>0</v>
      </c>
      <c r="N184" s="12">
        <f t="shared" si="16"/>
        <v>0</v>
      </c>
      <c r="O184" s="13">
        <f t="shared" si="17"/>
        <v>0</v>
      </c>
      <c r="P184" s="12">
        <f>IFERROR(VLOOKUP(B184,'Receivable Invoice Detail'!$S$1:$U$3014,3,FALSE),0)</f>
        <v>0</v>
      </c>
    </row>
    <row r="185" spans="1:16" x14ac:dyDescent="0.25">
      <c r="B185" t="s">
        <v>2636</v>
      </c>
      <c r="C185" t="s">
        <v>644</v>
      </c>
      <c r="D185" t="s">
        <v>51</v>
      </c>
      <c r="E185" t="s">
        <v>4389</v>
      </c>
      <c r="F185" s="16">
        <v>0</v>
      </c>
      <c r="G185" s="16">
        <v>0</v>
      </c>
      <c r="H185" s="16">
        <v>0</v>
      </c>
      <c r="I185" s="16">
        <v>0</v>
      </c>
      <c r="J185" s="16" t="str">
        <f t="shared" si="18"/>
        <v/>
      </c>
      <c r="K185">
        <f t="shared" si="13"/>
        <v>0</v>
      </c>
      <c r="L185" t="str">
        <f t="shared" si="14"/>
        <v/>
      </c>
      <c r="M185" s="12">
        <f t="shared" si="15"/>
        <v>0</v>
      </c>
      <c r="N185" s="12">
        <f t="shared" si="16"/>
        <v>0</v>
      </c>
      <c r="O185" s="13">
        <f t="shared" si="17"/>
        <v>0</v>
      </c>
      <c r="P185" s="12">
        <f>IFERROR(VLOOKUP(B185,'Receivable Invoice Detail'!$S$1:$U$3014,3,FALSE),0)</f>
        <v>0</v>
      </c>
    </row>
    <row r="186" spans="1:16" x14ac:dyDescent="0.25">
      <c r="B186" t="s">
        <v>2637</v>
      </c>
      <c r="C186" t="s">
        <v>644</v>
      </c>
      <c r="D186" t="s">
        <v>51</v>
      </c>
      <c r="E186" t="s">
        <v>4389</v>
      </c>
      <c r="F186" s="16">
        <v>0</v>
      </c>
      <c r="G186" s="16">
        <v>0</v>
      </c>
      <c r="H186" s="16">
        <v>0</v>
      </c>
      <c r="I186" s="16">
        <v>0</v>
      </c>
      <c r="J186" s="16" t="str">
        <f t="shared" si="18"/>
        <v/>
      </c>
      <c r="K186">
        <f t="shared" si="13"/>
        <v>0</v>
      </c>
      <c r="L186" t="str">
        <f t="shared" si="14"/>
        <v/>
      </c>
      <c r="M186" s="12">
        <f t="shared" si="15"/>
        <v>0</v>
      </c>
      <c r="N186" s="12">
        <f t="shared" si="16"/>
        <v>0</v>
      </c>
      <c r="O186" s="13">
        <f t="shared" si="17"/>
        <v>0</v>
      </c>
      <c r="P186" s="12">
        <f>IFERROR(VLOOKUP(B186,'Receivable Invoice Detail'!$S$1:$U$3014,3,FALSE),0)</f>
        <v>0</v>
      </c>
    </row>
    <row r="187" spans="1:16" x14ac:dyDescent="0.25">
      <c r="B187" t="s">
        <v>2638</v>
      </c>
      <c r="C187" t="s">
        <v>644</v>
      </c>
      <c r="D187" t="s">
        <v>51</v>
      </c>
      <c r="E187" t="s">
        <v>4388</v>
      </c>
      <c r="F187" s="16">
        <v>13846.246870949491</v>
      </c>
      <c r="G187" s="16">
        <v>9733.5499999999993</v>
      </c>
      <c r="H187" s="16">
        <v>0</v>
      </c>
      <c r="I187" s="16">
        <v>-9733.5499999999993</v>
      </c>
      <c r="J187" s="16" t="str">
        <f t="shared" si="18"/>
        <v/>
      </c>
      <c r="K187">
        <f t="shared" si="13"/>
        <v>0</v>
      </c>
      <c r="L187" t="str">
        <f t="shared" si="14"/>
        <v/>
      </c>
      <c r="M187" s="12">
        <f t="shared" si="15"/>
        <v>0</v>
      </c>
      <c r="N187" s="12">
        <f t="shared" si="16"/>
        <v>0</v>
      </c>
      <c r="O187" s="13">
        <f t="shared" si="17"/>
        <v>0</v>
      </c>
      <c r="P187" s="12">
        <f>IFERROR(VLOOKUP(B187,'Receivable Invoice Detail'!$S$1:$U$3014,3,FALSE),0)</f>
        <v>615</v>
      </c>
    </row>
    <row r="188" spans="1:16" x14ac:dyDescent="0.25">
      <c r="A188" s="23" t="s">
        <v>4302</v>
      </c>
      <c r="B188" s="23"/>
      <c r="C188" s="23"/>
      <c r="D188" s="23"/>
      <c r="E188" s="23"/>
      <c r="F188" s="24">
        <v>13846.246870949491</v>
      </c>
      <c r="G188" s="24">
        <v>9733.5499999999993</v>
      </c>
      <c r="H188" s="24">
        <v>0</v>
      </c>
      <c r="I188" s="24">
        <v>-9733.5499999999993</v>
      </c>
      <c r="J188" s="16" t="str">
        <f t="shared" si="18"/>
        <v>USD</v>
      </c>
      <c r="K188">
        <f t="shared" si="13"/>
        <v>13</v>
      </c>
      <c r="L188" t="str">
        <f t="shared" si="14"/>
        <v>SO16939</v>
      </c>
      <c r="M188" s="12">
        <f t="shared" si="15"/>
        <v>0</v>
      </c>
      <c r="N188" s="12">
        <f t="shared" si="16"/>
        <v>0</v>
      </c>
      <c r="O188" s="13" t="str">
        <f t="shared" si="17"/>
        <v>Yes</v>
      </c>
      <c r="P188" s="12">
        <f>IFERROR(VLOOKUP(B188,'Receivable Invoice Detail'!$S$1:$U$3014,3,FALSE),0)</f>
        <v>0</v>
      </c>
    </row>
    <row r="189" spans="1:16" x14ac:dyDescent="0.25">
      <c r="A189" t="s">
        <v>1627</v>
      </c>
      <c r="B189" t="s">
        <v>2641</v>
      </c>
      <c r="C189" t="s">
        <v>229</v>
      </c>
      <c r="D189" t="s">
        <v>22</v>
      </c>
      <c r="E189" t="s">
        <v>4388</v>
      </c>
      <c r="F189" s="16">
        <v>0</v>
      </c>
      <c r="G189" s="16">
        <v>0</v>
      </c>
      <c r="H189" s="16">
        <v>-1048.5899999999999</v>
      </c>
      <c r="I189" s="16">
        <v>0</v>
      </c>
      <c r="J189" s="16" t="str">
        <f t="shared" si="18"/>
        <v/>
      </c>
      <c r="K189">
        <f t="shared" si="13"/>
        <v>7</v>
      </c>
      <c r="L189" t="str">
        <f t="shared" si="14"/>
        <v/>
      </c>
      <c r="M189" s="12">
        <f t="shared" si="15"/>
        <v>0</v>
      </c>
      <c r="N189" s="12">
        <f t="shared" si="16"/>
        <v>0</v>
      </c>
      <c r="O189" s="13">
        <f t="shared" si="17"/>
        <v>0</v>
      </c>
      <c r="P189" s="12">
        <f>IFERROR(VLOOKUP(B189,'Receivable Invoice Detail'!$S$1:$U$3014,3,FALSE),0)</f>
        <v>0</v>
      </c>
    </row>
    <row r="190" spans="1:16" x14ac:dyDescent="0.25">
      <c r="B190" t="s">
        <v>2642</v>
      </c>
      <c r="C190" t="s">
        <v>229</v>
      </c>
      <c r="D190" t="s">
        <v>22</v>
      </c>
      <c r="E190" t="s">
        <v>4388</v>
      </c>
      <c r="F190" s="16">
        <v>1196.32</v>
      </c>
      <c r="G190" s="16">
        <v>843.04749996481894</v>
      </c>
      <c r="H190" s="16">
        <v>-147.72999999999999</v>
      </c>
      <c r="I190" s="16">
        <v>0</v>
      </c>
      <c r="J190" s="16" t="str">
        <f t="shared" si="18"/>
        <v/>
      </c>
      <c r="K190">
        <f t="shared" si="13"/>
        <v>0</v>
      </c>
      <c r="L190" t="str">
        <f t="shared" si="14"/>
        <v/>
      </c>
      <c r="M190" s="12">
        <f t="shared" si="15"/>
        <v>0</v>
      </c>
      <c r="N190" s="12">
        <f t="shared" si="16"/>
        <v>0</v>
      </c>
      <c r="O190" s="13">
        <f t="shared" si="17"/>
        <v>0</v>
      </c>
      <c r="P190" s="12">
        <f>IFERROR(VLOOKUP(B190,'Receivable Invoice Detail'!$S$1:$U$3014,3,FALSE),0)</f>
        <v>0</v>
      </c>
    </row>
    <row r="191" spans="1:16" x14ac:dyDescent="0.25">
      <c r="A191" s="23" t="s">
        <v>4303</v>
      </c>
      <c r="B191" s="23"/>
      <c r="C191" s="23"/>
      <c r="D191" s="23"/>
      <c r="E191" s="23"/>
      <c r="F191" s="24">
        <v>1196.32</v>
      </c>
      <c r="G191" s="24">
        <v>843.04749996481894</v>
      </c>
      <c r="H191" s="24">
        <v>-1196.32</v>
      </c>
      <c r="I191" s="24">
        <v>0</v>
      </c>
      <c r="J191" s="16" t="str">
        <f t="shared" si="18"/>
        <v>CAD</v>
      </c>
      <c r="K191">
        <f t="shared" si="13"/>
        <v>13</v>
      </c>
      <c r="L191" t="str">
        <f t="shared" si="14"/>
        <v>SO16948</v>
      </c>
      <c r="M191" s="12">
        <f t="shared" si="15"/>
        <v>0</v>
      </c>
      <c r="N191" s="12">
        <f t="shared" si="16"/>
        <v>0</v>
      </c>
      <c r="O191" s="13" t="str">
        <f t="shared" si="17"/>
        <v>Yes</v>
      </c>
      <c r="P191" s="12">
        <f>IFERROR(VLOOKUP(B191,'Receivable Invoice Detail'!$S$1:$U$3014,3,FALSE),0)</f>
        <v>0</v>
      </c>
    </row>
    <row r="192" spans="1:16" x14ac:dyDescent="0.25">
      <c r="A192" t="s">
        <v>1591</v>
      </c>
      <c r="B192" t="s">
        <v>2662</v>
      </c>
      <c r="C192" t="s">
        <v>98</v>
      </c>
      <c r="D192" t="s">
        <v>22</v>
      </c>
      <c r="E192" t="s">
        <v>4388</v>
      </c>
      <c r="F192" s="16">
        <v>5196.1499999999996</v>
      </c>
      <c r="G192" s="16">
        <v>3739.8794092783164</v>
      </c>
      <c r="H192" s="16">
        <v>-4285.93</v>
      </c>
      <c r="I192" s="16">
        <v>0</v>
      </c>
      <c r="J192" s="16" t="str">
        <f t="shared" si="18"/>
        <v/>
      </c>
      <c r="K192">
        <f t="shared" si="13"/>
        <v>7</v>
      </c>
      <c r="L192" t="str">
        <f t="shared" si="14"/>
        <v/>
      </c>
      <c r="M192" s="12">
        <f t="shared" si="15"/>
        <v>0</v>
      </c>
      <c r="N192" s="12">
        <f t="shared" si="16"/>
        <v>0</v>
      </c>
      <c r="O192" s="13">
        <f t="shared" si="17"/>
        <v>0</v>
      </c>
      <c r="P192" s="12">
        <f>IFERROR(VLOOKUP(B192,'Receivable Invoice Detail'!$S$1:$U$3014,3,FALSE),0)</f>
        <v>0</v>
      </c>
    </row>
    <row r="193" spans="1:16" x14ac:dyDescent="0.25">
      <c r="B193" t="s">
        <v>2660</v>
      </c>
      <c r="C193" t="s">
        <v>98</v>
      </c>
      <c r="D193" t="s">
        <v>22</v>
      </c>
      <c r="E193" t="s">
        <v>4389</v>
      </c>
      <c r="F193" s="16">
        <v>0</v>
      </c>
      <c r="G193" s="16">
        <v>0</v>
      </c>
      <c r="H193" s="16">
        <v>0</v>
      </c>
      <c r="I193" s="16">
        <v>0</v>
      </c>
      <c r="J193" s="16" t="str">
        <f t="shared" si="18"/>
        <v/>
      </c>
      <c r="K193">
        <f t="shared" si="13"/>
        <v>0</v>
      </c>
      <c r="L193" t="str">
        <f t="shared" si="14"/>
        <v/>
      </c>
      <c r="M193" s="12">
        <f t="shared" si="15"/>
        <v>0</v>
      </c>
      <c r="N193" s="12">
        <f t="shared" si="16"/>
        <v>0</v>
      </c>
      <c r="O193" s="13">
        <f t="shared" si="17"/>
        <v>0</v>
      </c>
      <c r="P193" s="12">
        <f>IFERROR(VLOOKUP(B193,'Receivable Invoice Detail'!$S$1:$U$3014,3,FALSE),0)</f>
        <v>0</v>
      </c>
    </row>
    <row r="194" spans="1:16" x14ac:dyDescent="0.25">
      <c r="B194" t="s">
        <v>2661</v>
      </c>
      <c r="C194" t="s">
        <v>98</v>
      </c>
      <c r="D194" t="s">
        <v>22</v>
      </c>
      <c r="E194" t="s">
        <v>4388</v>
      </c>
      <c r="F194" s="16">
        <v>0</v>
      </c>
      <c r="G194" s="16">
        <v>0</v>
      </c>
      <c r="H194" s="16">
        <v>-910.22</v>
      </c>
      <c r="I194" s="16">
        <v>0</v>
      </c>
      <c r="J194" s="16" t="str">
        <f t="shared" si="18"/>
        <v/>
      </c>
      <c r="K194">
        <f t="shared" si="13"/>
        <v>0</v>
      </c>
      <c r="L194" t="str">
        <f t="shared" si="14"/>
        <v/>
      </c>
      <c r="M194" s="12">
        <f t="shared" si="15"/>
        <v>0</v>
      </c>
      <c r="N194" s="12">
        <f t="shared" si="16"/>
        <v>0</v>
      </c>
      <c r="O194" s="13">
        <f t="shared" si="17"/>
        <v>0</v>
      </c>
      <c r="P194" s="12">
        <f>IFERROR(VLOOKUP(B194,'Receivable Invoice Detail'!$S$1:$U$3014,3,FALSE),0)</f>
        <v>0</v>
      </c>
    </row>
    <row r="195" spans="1:16" x14ac:dyDescent="0.25">
      <c r="A195" s="23" t="s">
        <v>4304</v>
      </c>
      <c r="B195" s="23"/>
      <c r="C195" s="23"/>
      <c r="D195" s="23"/>
      <c r="E195" s="23"/>
      <c r="F195" s="24">
        <v>5196.1499999999996</v>
      </c>
      <c r="G195" s="24">
        <v>3739.8794092783164</v>
      </c>
      <c r="H195" s="24">
        <v>-5196.1500000000005</v>
      </c>
      <c r="I195" s="24">
        <v>0</v>
      </c>
      <c r="J195" s="16" t="str">
        <f t="shared" si="18"/>
        <v>CAD</v>
      </c>
      <c r="K195">
        <f t="shared" si="13"/>
        <v>13</v>
      </c>
      <c r="L195" t="str">
        <f t="shared" si="14"/>
        <v>SO16957</v>
      </c>
      <c r="M195" s="12">
        <f t="shared" si="15"/>
        <v>0</v>
      </c>
      <c r="N195" s="12">
        <f t="shared" si="16"/>
        <v>0</v>
      </c>
      <c r="O195" s="13" t="str">
        <f t="shared" si="17"/>
        <v>Yes</v>
      </c>
      <c r="P195" s="12">
        <f>IFERROR(VLOOKUP(B195,'Receivable Invoice Detail'!$S$1:$U$3014,3,FALSE),0)</f>
        <v>0</v>
      </c>
    </row>
    <row r="196" spans="1:16" x14ac:dyDescent="0.25">
      <c r="A196" t="s">
        <v>1593</v>
      </c>
      <c r="B196" t="s">
        <v>2659</v>
      </c>
      <c r="C196" t="s">
        <v>39</v>
      </c>
      <c r="D196" t="s">
        <v>22</v>
      </c>
      <c r="E196" t="s">
        <v>4388</v>
      </c>
      <c r="F196" s="16">
        <v>1699.77</v>
      </c>
      <c r="G196" s="16">
        <v>1223.3932475985112</v>
      </c>
      <c r="H196" s="16">
        <v>-1340.49</v>
      </c>
      <c r="I196" s="16">
        <v>0</v>
      </c>
      <c r="J196" s="16" t="str">
        <f t="shared" si="18"/>
        <v/>
      </c>
      <c r="K196">
        <f t="shared" si="13"/>
        <v>7</v>
      </c>
      <c r="L196" t="str">
        <f t="shared" si="14"/>
        <v/>
      </c>
      <c r="M196" s="12">
        <f t="shared" si="15"/>
        <v>0</v>
      </c>
      <c r="N196" s="12">
        <f t="shared" si="16"/>
        <v>0</v>
      </c>
      <c r="O196" s="13">
        <f t="shared" si="17"/>
        <v>0</v>
      </c>
      <c r="P196" s="12">
        <f>IFERROR(VLOOKUP(B196,'Receivable Invoice Detail'!$S$1:$U$3014,3,FALSE),0)</f>
        <v>0</v>
      </c>
    </row>
    <row r="197" spans="1:16" x14ac:dyDescent="0.25">
      <c r="B197" t="s">
        <v>2658</v>
      </c>
      <c r="C197" t="s">
        <v>39</v>
      </c>
      <c r="D197" t="s">
        <v>22</v>
      </c>
      <c r="E197" t="s">
        <v>4388</v>
      </c>
      <c r="F197" s="16">
        <v>0</v>
      </c>
      <c r="G197" s="16">
        <v>0</v>
      </c>
      <c r="H197" s="16">
        <v>-359.28</v>
      </c>
      <c r="I197" s="16">
        <v>0</v>
      </c>
      <c r="J197" s="16" t="str">
        <f t="shared" si="18"/>
        <v/>
      </c>
      <c r="K197">
        <f t="shared" si="13"/>
        <v>0</v>
      </c>
      <c r="L197" t="str">
        <f t="shared" si="14"/>
        <v/>
      </c>
      <c r="M197" s="12">
        <f t="shared" si="15"/>
        <v>0</v>
      </c>
      <c r="N197" s="12">
        <f t="shared" si="16"/>
        <v>0</v>
      </c>
      <c r="O197" s="13">
        <f t="shared" si="17"/>
        <v>0</v>
      </c>
      <c r="P197" s="12">
        <f>IFERROR(VLOOKUP(B197,'Receivable Invoice Detail'!$S$1:$U$3014,3,FALSE),0)</f>
        <v>0</v>
      </c>
    </row>
    <row r="198" spans="1:16" x14ac:dyDescent="0.25">
      <c r="A198" s="23" t="s">
        <v>4305</v>
      </c>
      <c r="B198" s="23"/>
      <c r="C198" s="23"/>
      <c r="D198" s="23"/>
      <c r="E198" s="23"/>
      <c r="F198" s="24">
        <v>1699.77</v>
      </c>
      <c r="G198" s="24">
        <v>1223.3932475985112</v>
      </c>
      <c r="H198" s="24">
        <v>-1699.77</v>
      </c>
      <c r="I198" s="24">
        <v>0</v>
      </c>
      <c r="J198" s="16" t="str">
        <f t="shared" si="18"/>
        <v>CAD</v>
      </c>
      <c r="K198">
        <f t="shared" ref="K198:K261" si="19">LEN(A198)</f>
        <v>13</v>
      </c>
      <c r="L198" t="str">
        <f t="shared" ref="L198:L261" si="20">IF(K198=13,LEFT(A198,7),"")</f>
        <v>SO16989</v>
      </c>
      <c r="M198" s="12">
        <f t="shared" ref="M198:M261" si="21">IF(AND(K198=13,D197="CAD"),ROUND(F198+H198,2),0)</f>
        <v>0</v>
      </c>
      <c r="N198" s="12">
        <f t="shared" ref="N198:N261" si="22">IF(AND(K198=13,D197="USD"),ROUND(G198+I198,2),0)</f>
        <v>0</v>
      </c>
      <c r="O198" s="13" t="str">
        <f t="shared" ref="O198:O261" si="23">IF(K198=13,IF(M198+N198=0,"Yes",0),0)</f>
        <v>Yes</v>
      </c>
      <c r="P198" s="12">
        <f>IFERROR(VLOOKUP(B198,'Receivable Invoice Detail'!$S$1:$U$3014,3,FALSE),0)</f>
        <v>0</v>
      </c>
    </row>
    <row r="199" spans="1:16" x14ac:dyDescent="0.25">
      <c r="A199" t="s">
        <v>1556</v>
      </c>
      <c r="B199" t="s">
        <v>2682</v>
      </c>
      <c r="C199" t="s">
        <v>121</v>
      </c>
      <c r="D199" t="s">
        <v>22</v>
      </c>
      <c r="E199" t="s">
        <v>4388</v>
      </c>
      <c r="F199" s="16">
        <v>8124.96</v>
      </c>
      <c r="G199" s="16">
        <v>5848.0413418337903</v>
      </c>
      <c r="H199" s="16">
        <v>-7240.4</v>
      </c>
      <c r="I199" s="16">
        <v>0</v>
      </c>
      <c r="J199" s="16" t="str">
        <f t="shared" si="18"/>
        <v/>
      </c>
      <c r="K199">
        <f t="shared" si="19"/>
        <v>7</v>
      </c>
      <c r="L199" t="str">
        <f t="shared" si="20"/>
        <v/>
      </c>
      <c r="M199" s="12">
        <f t="shared" si="21"/>
        <v>0</v>
      </c>
      <c r="N199" s="12">
        <f t="shared" si="22"/>
        <v>0</v>
      </c>
      <c r="O199" s="13">
        <f t="shared" si="23"/>
        <v>0</v>
      </c>
      <c r="P199" s="12">
        <f>IFERROR(VLOOKUP(B199,'Receivable Invoice Detail'!$S$1:$U$3014,3,FALSE),0)</f>
        <v>0</v>
      </c>
    </row>
    <row r="200" spans="1:16" x14ac:dyDescent="0.25">
      <c r="B200" t="s">
        <v>2681</v>
      </c>
      <c r="C200" t="s">
        <v>121</v>
      </c>
      <c r="D200" t="s">
        <v>22</v>
      </c>
      <c r="E200" t="s">
        <v>4388</v>
      </c>
      <c r="F200" s="16">
        <v>0</v>
      </c>
      <c r="G200" s="16">
        <v>0</v>
      </c>
      <c r="H200" s="16">
        <v>-884.56</v>
      </c>
      <c r="I200" s="16">
        <v>0</v>
      </c>
      <c r="J200" s="16" t="str">
        <f t="shared" si="18"/>
        <v/>
      </c>
      <c r="K200">
        <f t="shared" si="19"/>
        <v>0</v>
      </c>
      <c r="L200" t="str">
        <f t="shared" si="20"/>
        <v/>
      </c>
      <c r="M200" s="12">
        <f t="shared" si="21"/>
        <v>0</v>
      </c>
      <c r="N200" s="12">
        <f t="shared" si="22"/>
        <v>0</v>
      </c>
      <c r="O200" s="13">
        <f t="shared" si="23"/>
        <v>0</v>
      </c>
      <c r="P200" s="12">
        <f>IFERROR(VLOOKUP(B200,'Receivable Invoice Detail'!$S$1:$U$3014,3,FALSE),0)</f>
        <v>0</v>
      </c>
    </row>
    <row r="201" spans="1:16" x14ac:dyDescent="0.25">
      <c r="A201" s="23" t="s">
        <v>4306</v>
      </c>
      <c r="B201" s="23"/>
      <c r="C201" s="23"/>
      <c r="D201" s="23"/>
      <c r="E201" s="23"/>
      <c r="F201" s="24">
        <v>8124.96</v>
      </c>
      <c r="G201" s="24">
        <v>5848.0413418337903</v>
      </c>
      <c r="H201" s="24">
        <v>-8124.9599999999991</v>
      </c>
      <c r="I201" s="24">
        <v>0</v>
      </c>
      <c r="J201" s="16" t="str">
        <f t="shared" ref="J201:J264" si="24">IF(K201=13,D200,"")</f>
        <v>CAD</v>
      </c>
      <c r="K201">
        <f t="shared" si="19"/>
        <v>13</v>
      </c>
      <c r="L201" t="str">
        <f t="shared" si="20"/>
        <v>SO17017</v>
      </c>
      <c r="M201" s="12">
        <f t="shared" si="21"/>
        <v>0</v>
      </c>
      <c r="N201" s="12">
        <f t="shared" si="22"/>
        <v>0</v>
      </c>
      <c r="O201" s="13" t="str">
        <f t="shared" si="23"/>
        <v>Yes</v>
      </c>
      <c r="P201" s="12">
        <f>IFERROR(VLOOKUP(B201,'Receivable Invoice Detail'!$S$1:$U$3014,3,FALSE),0)</f>
        <v>0</v>
      </c>
    </row>
    <row r="202" spans="1:16" x14ac:dyDescent="0.25">
      <c r="A202" t="s">
        <v>1516</v>
      </c>
      <c r="B202" t="s">
        <v>2703</v>
      </c>
      <c r="C202" t="s">
        <v>129</v>
      </c>
      <c r="D202" t="s">
        <v>51</v>
      </c>
      <c r="E202" t="s">
        <v>4389</v>
      </c>
      <c r="F202" s="16">
        <v>0</v>
      </c>
      <c r="G202" s="16">
        <v>0</v>
      </c>
      <c r="H202" s="16">
        <v>0</v>
      </c>
      <c r="I202" s="16">
        <v>0</v>
      </c>
      <c r="J202" s="16" t="str">
        <f t="shared" si="24"/>
        <v/>
      </c>
      <c r="K202">
        <f t="shared" si="19"/>
        <v>7</v>
      </c>
      <c r="L202" t="str">
        <f t="shared" si="20"/>
        <v/>
      </c>
      <c r="M202" s="12">
        <f t="shared" si="21"/>
        <v>0</v>
      </c>
      <c r="N202" s="12">
        <f t="shared" si="22"/>
        <v>0</v>
      </c>
      <c r="O202" s="13">
        <f t="shared" si="23"/>
        <v>0</v>
      </c>
      <c r="P202" s="12">
        <f>IFERROR(VLOOKUP(B202,'Receivable Invoice Detail'!$S$1:$U$3014,3,FALSE),0)</f>
        <v>0</v>
      </c>
    </row>
    <row r="203" spans="1:16" x14ac:dyDescent="0.25">
      <c r="B203" t="s">
        <v>2704</v>
      </c>
      <c r="C203" t="s">
        <v>129</v>
      </c>
      <c r="D203" t="s">
        <v>51</v>
      </c>
      <c r="E203" t="s">
        <v>4389</v>
      </c>
      <c r="F203" s="16">
        <v>42958.715898354742</v>
      </c>
      <c r="G203" s="16">
        <v>30984</v>
      </c>
      <c r="H203" s="16">
        <v>0</v>
      </c>
      <c r="I203" s="16">
        <v>0</v>
      </c>
      <c r="J203" s="16" t="str">
        <f t="shared" si="24"/>
        <v/>
      </c>
      <c r="K203">
        <f t="shared" si="19"/>
        <v>0</v>
      </c>
      <c r="L203" t="str">
        <f t="shared" si="20"/>
        <v/>
      </c>
      <c r="M203" s="12">
        <f t="shared" si="21"/>
        <v>0</v>
      </c>
      <c r="N203" s="12">
        <f t="shared" si="22"/>
        <v>0</v>
      </c>
      <c r="O203" s="13">
        <f t="shared" si="23"/>
        <v>0</v>
      </c>
      <c r="P203" s="12">
        <f>IFERROR(VLOOKUP(B203,'Receivable Invoice Detail'!$S$1:$U$3014,3,FALSE),0)</f>
        <v>0</v>
      </c>
    </row>
    <row r="204" spans="1:16" x14ac:dyDescent="0.25">
      <c r="A204" s="23" t="s">
        <v>4307</v>
      </c>
      <c r="B204" s="23"/>
      <c r="C204" s="23"/>
      <c r="D204" s="23"/>
      <c r="E204" s="23"/>
      <c r="F204" s="24">
        <v>42958.715898354742</v>
      </c>
      <c r="G204" s="24">
        <v>30984</v>
      </c>
      <c r="H204" s="24">
        <v>0</v>
      </c>
      <c r="I204" s="24">
        <v>0</v>
      </c>
      <c r="J204" s="16" t="str">
        <f t="shared" si="24"/>
        <v>USD</v>
      </c>
      <c r="K204">
        <f t="shared" si="19"/>
        <v>13</v>
      </c>
      <c r="L204" t="str">
        <f t="shared" si="20"/>
        <v>SO17059</v>
      </c>
      <c r="M204" s="12">
        <f t="shared" si="21"/>
        <v>0</v>
      </c>
      <c r="N204" s="12">
        <f t="shared" si="22"/>
        <v>30984</v>
      </c>
      <c r="O204" s="13">
        <f t="shared" si="23"/>
        <v>0</v>
      </c>
      <c r="P204" s="12">
        <f>IFERROR(VLOOKUP(B204,'Receivable Invoice Detail'!$S$1:$U$3014,3,FALSE),0)</f>
        <v>0</v>
      </c>
    </row>
    <row r="205" spans="1:16" x14ac:dyDescent="0.25">
      <c r="A205" t="s">
        <v>1489</v>
      </c>
      <c r="B205" t="s">
        <v>2720</v>
      </c>
      <c r="C205" t="s">
        <v>98</v>
      </c>
      <c r="D205" t="s">
        <v>22</v>
      </c>
      <c r="E205" t="s">
        <v>4388</v>
      </c>
      <c r="F205" s="16">
        <v>16904.79</v>
      </c>
      <c r="G205" s="16">
        <v>12115.016891754605</v>
      </c>
      <c r="H205" s="16">
        <v>-15909.73</v>
      </c>
      <c r="I205" s="16">
        <v>0</v>
      </c>
      <c r="J205" s="16" t="str">
        <f t="shared" si="24"/>
        <v/>
      </c>
      <c r="K205">
        <f t="shared" si="19"/>
        <v>7</v>
      </c>
      <c r="L205" t="str">
        <f t="shared" si="20"/>
        <v/>
      </c>
      <c r="M205" s="12">
        <f t="shared" si="21"/>
        <v>0</v>
      </c>
      <c r="N205" s="12">
        <f t="shared" si="22"/>
        <v>0</v>
      </c>
      <c r="O205" s="13">
        <f t="shared" si="23"/>
        <v>0</v>
      </c>
      <c r="P205" s="12">
        <f>IFERROR(VLOOKUP(B205,'Receivable Invoice Detail'!$S$1:$U$3014,3,FALSE),0)</f>
        <v>0</v>
      </c>
    </row>
    <row r="206" spans="1:16" x14ac:dyDescent="0.25">
      <c r="B206" t="s">
        <v>2719</v>
      </c>
      <c r="C206" t="s">
        <v>98</v>
      </c>
      <c r="D206" t="s">
        <v>22</v>
      </c>
      <c r="E206" t="s">
        <v>4388</v>
      </c>
      <c r="F206" s="16">
        <v>0</v>
      </c>
      <c r="G206" s="16">
        <v>0</v>
      </c>
      <c r="H206" s="16">
        <v>-995.06</v>
      </c>
      <c r="I206" s="16">
        <v>0</v>
      </c>
      <c r="J206" s="16" t="str">
        <f t="shared" si="24"/>
        <v/>
      </c>
      <c r="K206">
        <f t="shared" si="19"/>
        <v>0</v>
      </c>
      <c r="L206" t="str">
        <f t="shared" si="20"/>
        <v/>
      </c>
      <c r="M206" s="12">
        <f t="shared" si="21"/>
        <v>0</v>
      </c>
      <c r="N206" s="12">
        <f t="shared" si="22"/>
        <v>0</v>
      </c>
      <c r="O206" s="13">
        <f t="shared" si="23"/>
        <v>0</v>
      </c>
      <c r="P206" s="12">
        <f>IFERROR(VLOOKUP(B206,'Receivable Invoice Detail'!$S$1:$U$3014,3,FALSE),0)</f>
        <v>0</v>
      </c>
    </row>
    <row r="207" spans="1:16" x14ac:dyDescent="0.25">
      <c r="A207" s="23" t="s">
        <v>4308</v>
      </c>
      <c r="B207" s="23"/>
      <c r="C207" s="23"/>
      <c r="D207" s="23"/>
      <c r="E207" s="23"/>
      <c r="F207" s="24">
        <v>16904.79</v>
      </c>
      <c r="G207" s="24">
        <v>12115.016891754605</v>
      </c>
      <c r="H207" s="24">
        <v>-16904.79</v>
      </c>
      <c r="I207" s="24">
        <v>0</v>
      </c>
      <c r="J207" s="16" t="str">
        <f t="shared" si="24"/>
        <v>CAD</v>
      </c>
      <c r="K207">
        <f t="shared" si="19"/>
        <v>13</v>
      </c>
      <c r="L207" t="str">
        <f t="shared" si="20"/>
        <v>SO17060</v>
      </c>
      <c r="M207" s="12">
        <f t="shared" si="21"/>
        <v>0</v>
      </c>
      <c r="N207" s="12">
        <f t="shared" si="22"/>
        <v>0</v>
      </c>
      <c r="O207" s="13" t="str">
        <f t="shared" si="23"/>
        <v>Yes</v>
      </c>
      <c r="P207" s="12">
        <f>IFERROR(VLOOKUP(B207,'Receivable Invoice Detail'!$S$1:$U$3014,3,FALSE),0)</f>
        <v>0</v>
      </c>
    </row>
    <row r="208" spans="1:16" x14ac:dyDescent="0.25">
      <c r="A208" t="s">
        <v>1497</v>
      </c>
      <c r="B208" t="s">
        <v>2714</v>
      </c>
      <c r="C208" t="s">
        <v>986</v>
      </c>
      <c r="D208" t="s">
        <v>51</v>
      </c>
      <c r="E208" t="s">
        <v>4389</v>
      </c>
      <c r="F208" s="16">
        <v>0</v>
      </c>
      <c r="G208" s="16">
        <v>0</v>
      </c>
      <c r="H208" s="16">
        <v>0</v>
      </c>
      <c r="I208" s="16">
        <v>0</v>
      </c>
      <c r="J208" s="16" t="str">
        <f t="shared" si="24"/>
        <v/>
      </c>
      <c r="K208">
        <f t="shared" si="19"/>
        <v>7</v>
      </c>
      <c r="L208" t="str">
        <f t="shared" si="20"/>
        <v/>
      </c>
      <c r="M208" s="12">
        <f t="shared" si="21"/>
        <v>0</v>
      </c>
      <c r="N208" s="12">
        <f t="shared" si="22"/>
        <v>0</v>
      </c>
      <c r="O208" s="13">
        <f t="shared" si="23"/>
        <v>0</v>
      </c>
      <c r="P208" s="12">
        <f>IFERROR(VLOOKUP(B208,'Receivable Invoice Detail'!$S$1:$U$3014,3,FALSE),0)</f>
        <v>0</v>
      </c>
    </row>
    <row r="209" spans="1:16" x14ac:dyDescent="0.25">
      <c r="B209" t="s">
        <v>2715</v>
      </c>
      <c r="C209" t="s">
        <v>986</v>
      </c>
      <c r="D209" t="s">
        <v>51</v>
      </c>
      <c r="E209" t="s">
        <v>4389</v>
      </c>
      <c r="F209" s="16">
        <v>10427.161285638142</v>
      </c>
      <c r="G209" s="16">
        <v>7529.47</v>
      </c>
      <c r="H209" s="16">
        <v>0</v>
      </c>
      <c r="I209" s="16">
        <v>-7529.47</v>
      </c>
      <c r="J209" s="16" t="str">
        <f t="shared" si="24"/>
        <v/>
      </c>
      <c r="K209">
        <f t="shared" si="19"/>
        <v>0</v>
      </c>
      <c r="L209" t="str">
        <f t="shared" si="20"/>
        <v/>
      </c>
      <c r="M209" s="12">
        <f t="shared" si="21"/>
        <v>0</v>
      </c>
      <c r="N209" s="12">
        <f t="shared" si="22"/>
        <v>0</v>
      </c>
      <c r="O209" s="13">
        <f t="shared" si="23"/>
        <v>0</v>
      </c>
      <c r="P209" s="12">
        <f>IFERROR(VLOOKUP(B209,'Receivable Invoice Detail'!$S$1:$U$3014,3,FALSE),0)</f>
        <v>129.47</v>
      </c>
    </row>
    <row r="210" spans="1:16" x14ac:dyDescent="0.25">
      <c r="A210" s="23" t="s">
        <v>4309</v>
      </c>
      <c r="B210" s="23"/>
      <c r="C210" s="23"/>
      <c r="D210" s="23"/>
      <c r="E210" s="23"/>
      <c r="F210" s="24">
        <v>10427.161285638142</v>
      </c>
      <c r="G210" s="24">
        <v>7529.47</v>
      </c>
      <c r="H210" s="24">
        <v>0</v>
      </c>
      <c r="I210" s="24">
        <v>-7529.47</v>
      </c>
      <c r="J210" s="16" t="str">
        <f t="shared" si="24"/>
        <v>USD</v>
      </c>
      <c r="K210">
        <f t="shared" si="19"/>
        <v>13</v>
      </c>
      <c r="L210" t="str">
        <f t="shared" si="20"/>
        <v>SO17086</v>
      </c>
      <c r="M210" s="12">
        <f t="shared" si="21"/>
        <v>0</v>
      </c>
      <c r="N210" s="12">
        <f t="shared" si="22"/>
        <v>0</v>
      </c>
      <c r="O210" s="13" t="str">
        <f t="shared" si="23"/>
        <v>Yes</v>
      </c>
      <c r="P210" s="12">
        <f>IFERROR(VLOOKUP(B210,'Receivable Invoice Detail'!$S$1:$U$3014,3,FALSE),0)</f>
        <v>0</v>
      </c>
    </row>
    <row r="211" spans="1:16" x14ac:dyDescent="0.25">
      <c r="A211" t="s">
        <v>1397</v>
      </c>
      <c r="B211" t="s">
        <v>2768</v>
      </c>
      <c r="C211" t="s">
        <v>70</v>
      </c>
      <c r="D211" t="s">
        <v>51</v>
      </c>
      <c r="E211" t="s">
        <v>4388</v>
      </c>
      <c r="F211" s="16">
        <v>0</v>
      </c>
      <c r="G211" s="16">
        <v>0</v>
      </c>
      <c r="H211" s="16">
        <v>0</v>
      </c>
      <c r="I211" s="16">
        <v>-2951.99</v>
      </c>
      <c r="J211" s="16" t="str">
        <f t="shared" si="24"/>
        <v/>
      </c>
      <c r="K211">
        <f t="shared" si="19"/>
        <v>7</v>
      </c>
      <c r="L211" t="str">
        <f t="shared" si="20"/>
        <v/>
      </c>
      <c r="M211" s="12">
        <f t="shared" si="21"/>
        <v>0</v>
      </c>
      <c r="N211" s="12">
        <f t="shared" si="22"/>
        <v>0</v>
      </c>
      <c r="O211" s="13">
        <f t="shared" si="23"/>
        <v>0</v>
      </c>
      <c r="P211" s="12">
        <f>IFERROR(VLOOKUP(B211,'Receivable Invoice Detail'!$S$1:$U$3014,3,FALSE),0)</f>
        <v>517.53</v>
      </c>
    </row>
    <row r="212" spans="1:16" x14ac:dyDescent="0.25">
      <c r="B212" t="s">
        <v>2769</v>
      </c>
      <c r="C212" t="s">
        <v>70</v>
      </c>
      <c r="D212" t="s">
        <v>51</v>
      </c>
      <c r="E212" t="s">
        <v>4388</v>
      </c>
      <c r="F212" s="16">
        <v>4676.6753320898888</v>
      </c>
      <c r="G212" s="16">
        <v>3342.89</v>
      </c>
      <c r="H212" s="16">
        <v>0</v>
      </c>
      <c r="I212" s="16">
        <v>-390.9</v>
      </c>
      <c r="J212" s="16" t="str">
        <f t="shared" si="24"/>
        <v/>
      </c>
      <c r="K212">
        <f t="shared" si="19"/>
        <v>0</v>
      </c>
      <c r="L212" t="str">
        <f t="shared" si="20"/>
        <v/>
      </c>
      <c r="M212" s="12">
        <f t="shared" si="21"/>
        <v>0</v>
      </c>
      <c r="N212" s="12">
        <f t="shared" si="22"/>
        <v>0</v>
      </c>
      <c r="O212" s="13">
        <f t="shared" si="23"/>
        <v>0</v>
      </c>
      <c r="P212" s="12">
        <f>IFERROR(VLOOKUP(B212,'Receivable Invoice Detail'!$S$1:$U$3014,3,FALSE),0)</f>
        <v>184.82</v>
      </c>
    </row>
    <row r="213" spans="1:16" x14ac:dyDescent="0.25">
      <c r="A213" s="23" t="s">
        <v>4310</v>
      </c>
      <c r="B213" s="23"/>
      <c r="C213" s="23"/>
      <c r="D213" s="23"/>
      <c r="E213" s="23"/>
      <c r="F213" s="24">
        <v>4676.6753320898888</v>
      </c>
      <c r="G213" s="24">
        <v>3342.89</v>
      </c>
      <c r="H213" s="24">
        <v>0</v>
      </c>
      <c r="I213" s="24">
        <v>-3342.89</v>
      </c>
      <c r="J213" s="16" t="str">
        <f t="shared" si="24"/>
        <v>USD</v>
      </c>
      <c r="K213">
        <f t="shared" si="19"/>
        <v>13</v>
      </c>
      <c r="L213" t="str">
        <f t="shared" si="20"/>
        <v>SO17134</v>
      </c>
      <c r="M213" s="12">
        <f t="shared" si="21"/>
        <v>0</v>
      </c>
      <c r="N213" s="12">
        <f t="shared" si="22"/>
        <v>0</v>
      </c>
      <c r="O213" s="13" t="str">
        <f t="shared" si="23"/>
        <v>Yes</v>
      </c>
      <c r="P213" s="12">
        <f>IFERROR(VLOOKUP(B213,'Receivable Invoice Detail'!$S$1:$U$3014,3,FALSE),0)</f>
        <v>0</v>
      </c>
    </row>
    <row r="214" spans="1:16" x14ac:dyDescent="0.25">
      <c r="A214" t="s">
        <v>1449</v>
      </c>
      <c r="B214" t="s">
        <v>2742</v>
      </c>
      <c r="C214" t="s">
        <v>159</v>
      </c>
      <c r="D214" t="s">
        <v>51</v>
      </c>
      <c r="E214" t="s">
        <v>4388</v>
      </c>
      <c r="F214" s="16">
        <v>16789.984759494782</v>
      </c>
      <c r="G214" s="16">
        <v>12065.49</v>
      </c>
      <c r="H214" s="16">
        <v>0</v>
      </c>
      <c r="I214" s="16">
        <v>-10879.89</v>
      </c>
      <c r="J214" s="16" t="str">
        <f t="shared" si="24"/>
        <v/>
      </c>
      <c r="K214">
        <f t="shared" si="19"/>
        <v>7</v>
      </c>
      <c r="L214" t="str">
        <f t="shared" si="20"/>
        <v/>
      </c>
      <c r="M214" s="12">
        <f t="shared" si="21"/>
        <v>0</v>
      </c>
      <c r="N214" s="12">
        <f t="shared" si="22"/>
        <v>0</v>
      </c>
      <c r="O214" s="13">
        <f t="shared" si="23"/>
        <v>0</v>
      </c>
      <c r="P214" s="12">
        <f>IFERROR(VLOOKUP(B214,'Receivable Invoice Detail'!$S$1:$U$3014,3,FALSE),0)</f>
        <v>0</v>
      </c>
    </row>
    <row r="215" spans="1:16" x14ac:dyDescent="0.25">
      <c r="B215" t="s">
        <v>2741</v>
      </c>
      <c r="C215" t="s">
        <v>159</v>
      </c>
      <c r="D215" t="s">
        <v>51</v>
      </c>
      <c r="E215" t="s">
        <v>4388</v>
      </c>
      <c r="F215" s="16">
        <v>0</v>
      </c>
      <c r="G215" s="16">
        <v>0</v>
      </c>
      <c r="H215" s="16">
        <v>0</v>
      </c>
      <c r="I215" s="16">
        <v>-1185.5999999999999</v>
      </c>
      <c r="J215" s="16" t="str">
        <f t="shared" si="24"/>
        <v/>
      </c>
      <c r="K215">
        <f t="shared" si="19"/>
        <v>0</v>
      </c>
      <c r="L215" t="str">
        <f t="shared" si="20"/>
        <v/>
      </c>
      <c r="M215" s="12">
        <f t="shared" si="21"/>
        <v>0</v>
      </c>
      <c r="N215" s="12">
        <f t="shared" si="22"/>
        <v>0</v>
      </c>
      <c r="O215" s="13">
        <f t="shared" si="23"/>
        <v>0</v>
      </c>
      <c r="P215" s="12">
        <f>IFERROR(VLOOKUP(B215,'Receivable Invoice Detail'!$S$1:$U$3014,3,FALSE),0)</f>
        <v>0</v>
      </c>
    </row>
    <row r="216" spans="1:16" x14ac:dyDescent="0.25">
      <c r="A216" s="23" t="s">
        <v>4311</v>
      </c>
      <c r="B216" s="23"/>
      <c r="C216" s="23"/>
      <c r="D216" s="23"/>
      <c r="E216" s="23"/>
      <c r="F216" s="24">
        <v>16789.984759494782</v>
      </c>
      <c r="G216" s="24">
        <v>12065.49</v>
      </c>
      <c r="H216" s="24">
        <v>0</v>
      </c>
      <c r="I216" s="24">
        <v>-12065.49</v>
      </c>
      <c r="J216" s="16" t="str">
        <f t="shared" si="24"/>
        <v>USD</v>
      </c>
      <c r="K216">
        <f t="shared" si="19"/>
        <v>13</v>
      </c>
      <c r="L216" t="str">
        <f t="shared" si="20"/>
        <v>SO17139</v>
      </c>
      <c r="M216" s="12">
        <f t="shared" si="21"/>
        <v>0</v>
      </c>
      <c r="N216" s="12">
        <f t="shared" si="22"/>
        <v>0</v>
      </c>
      <c r="O216" s="13" t="str">
        <f t="shared" si="23"/>
        <v>Yes</v>
      </c>
      <c r="P216" s="12">
        <f>IFERROR(VLOOKUP(B216,'Receivable Invoice Detail'!$S$1:$U$3014,3,FALSE),0)</f>
        <v>0</v>
      </c>
    </row>
    <row r="217" spans="1:16" x14ac:dyDescent="0.25">
      <c r="A217" t="s">
        <v>1443</v>
      </c>
      <c r="B217" t="s">
        <v>2746</v>
      </c>
      <c r="C217" t="s">
        <v>159</v>
      </c>
      <c r="D217" t="s">
        <v>51</v>
      </c>
      <c r="E217" t="s">
        <v>4388</v>
      </c>
      <c r="F217" s="16">
        <v>17084.87939524692</v>
      </c>
      <c r="G217" s="16">
        <v>12256.84</v>
      </c>
      <c r="H217" s="16">
        <v>0</v>
      </c>
      <c r="I217" s="16">
        <v>-7514.44</v>
      </c>
      <c r="J217" s="16" t="str">
        <f t="shared" si="24"/>
        <v/>
      </c>
      <c r="K217">
        <f t="shared" si="19"/>
        <v>7</v>
      </c>
      <c r="L217" t="str">
        <f t="shared" si="20"/>
        <v/>
      </c>
      <c r="M217" s="12">
        <f t="shared" si="21"/>
        <v>0</v>
      </c>
      <c r="N217" s="12">
        <f t="shared" si="22"/>
        <v>0</v>
      </c>
      <c r="O217" s="13">
        <f t="shared" si="23"/>
        <v>0</v>
      </c>
      <c r="P217" s="12">
        <f>IFERROR(VLOOKUP(B217,'Receivable Invoice Detail'!$S$1:$U$3014,3,FALSE),0)</f>
        <v>0</v>
      </c>
    </row>
    <row r="218" spans="1:16" x14ac:dyDescent="0.25">
      <c r="B218" t="s">
        <v>2745</v>
      </c>
      <c r="C218" t="s">
        <v>159</v>
      </c>
      <c r="D218" t="s">
        <v>51</v>
      </c>
      <c r="E218" t="s">
        <v>4388</v>
      </c>
      <c r="F218" s="16">
        <v>0</v>
      </c>
      <c r="G218" s="16">
        <v>0</v>
      </c>
      <c r="H218" s="16">
        <v>0</v>
      </c>
      <c r="I218" s="16">
        <v>-4742.3999999999996</v>
      </c>
      <c r="J218" s="16" t="str">
        <f t="shared" si="24"/>
        <v/>
      </c>
      <c r="K218">
        <f t="shared" si="19"/>
        <v>0</v>
      </c>
      <c r="L218" t="str">
        <f t="shared" si="20"/>
        <v/>
      </c>
      <c r="M218" s="12">
        <f t="shared" si="21"/>
        <v>0</v>
      </c>
      <c r="N218" s="12">
        <f t="shared" si="22"/>
        <v>0</v>
      </c>
      <c r="O218" s="13">
        <f t="shared" si="23"/>
        <v>0</v>
      </c>
      <c r="P218" s="12">
        <f>IFERROR(VLOOKUP(B218,'Receivable Invoice Detail'!$S$1:$U$3014,3,FALSE),0)</f>
        <v>0</v>
      </c>
    </row>
    <row r="219" spans="1:16" x14ac:dyDescent="0.25">
      <c r="A219" s="23" t="s">
        <v>4312</v>
      </c>
      <c r="B219" s="23"/>
      <c r="C219" s="23"/>
      <c r="D219" s="23"/>
      <c r="E219" s="23"/>
      <c r="F219" s="24">
        <v>17084.87939524692</v>
      </c>
      <c r="G219" s="24">
        <v>12256.84</v>
      </c>
      <c r="H219" s="24">
        <v>0</v>
      </c>
      <c r="I219" s="24">
        <v>-12256.84</v>
      </c>
      <c r="J219" s="16" t="str">
        <f t="shared" si="24"/>
        <v>USD</v>
      </c>
      <c r="K219">
        <f t="shared" si="19"/>
        <v>13</v>
      </c>
      <c r="L219" t="str">
        <f t="shared" si="20"/>
        <v>SO17146</v>
      </c>
      <c r="M219" s="12">
        <f t="shared" si="21"/>
        <v>0</v>
      </c>
      <c r="N219" s="12">
        <f t="shared" si="22"/>
        <v>0</v>
      </c>
      <c r="O219" s="13" t="str">
        <f t="shared" si="23"/>
        <v>Yes</v>
      </c>
      <c r="P219" s="12">
        <f>IFERROR(VLOOKUP(B219,'Receivable Invoice Detail'!$S$1:$U$3014,3,FALSE),0)</f>
        <v>0</v>
      </c>
    </row>
    <row r="220" spans="1:16" x14ac:dyDescent="0.25">
      <c r="A220" t="s">
        <v>1327</v>
      </c>
      <c r="B220" t="s">
        <v>2807</v>
      </c>
      <c r="C220" t="s">
        <v>245</v>
      </c>
      <c r="D220" t="s">
        <v>22</v>
      </c>
      <c r="E220" t="s">
        <v>4388</v>
      </c>
      <c r="F220" s="16">
        <v>0</v>
      </c>
      <c r="G220" s="16">
        <v>0</v>
      </c>
      <c r="H220" s="16">
        <v>-2494.36</v>
      </c>
      <c r="I220" s="16">
        <v>0</v>
      </c>
      <c r="J220" s="16" t="str">
        <f t="shared" si="24"/>
        <v/>
      </c>
      <c r="K220">
        <f t="shared" si="19"/>
        <v>7</v>
      </c>
      <c r="L220" t="str">
        <f t="shared" si="20"/>
        <v/>
      </c>
      <c r="M220" s="12">
        <f t="shared" si="21"/>
        <v>0</v>
      </c>
      <c r="N220" s="12">
        <f t="shared" si="22"/>
        <v>0</v>
      </c>
      <c r="O220" s="13">
        <f t="shared" si="23"/>
        <v>0</v>
      </c>
      <c r="P220" s="12">
        <f>IFERROR(VLOOKUP(B220,'Receivable Invoice Detail'!$S$1:$U$3014,3,FALSE),0)</f>
        <v>0</v>
      </c>
    </row>
    <row r="221" spans="1:16" x14ac:dyDescent="0.25">
      <c r="B221" t="s">
        <v>2808</v>
      </c>
      <c r="C221" t="s">
        <v>245</v>
      </c>
      <c r="D221" t="s">
        <v>22</v>
      </c>
      <c r="E221" t="s">
        <v>4389</v>
      </c>
      <c r="F221" s="16">
        <v>4342.6000000000004</v>
      </c>
      <c r="G221" s="16">
        <v>3142.0298516540806</v>
      </c>
      <c r="H221" s="16">
        <v>0</v>
      </c>
      <c r="I221" s="16">
        <v>0</v>
      </c>
      <c r="J221" s="16" t="str">
        <f t="shared" si="24"/>
        <v/>
      </c>
      <c r="K221">
        <f t="shared" si="19"/>
        <v>0</v>
      </c>
      <c r="L221" t="str">
        <f t="shared" si="20"/>
        <v/>
      </c>
      <c r="M221" s="12">
        <f t="shared" si="21"/>
        <v>0</v>
      </c>
      <c r="N221" s="12">
        <f t="shared" si="22"/>
        <v>0</v>
      </c>
      <c r="O221" s="13">
        <f t="shared" si="23"/>
        <v>0</v>
      </c>
      <c r="P221" s="12">
        <f>IFERROR(VLOOKUP(B221,'Receivable Invoice Detail'!$S$1:$U$3014,3,FALSE),0)</f>
        <v>0</v>
      </c>
    </row>
    <row r="222" spans="1:16" x14ac:dyDescent="0.25">
      <c r="A222" s="23" t="s">
        <v>4313</v>
      </c>
      <c r="B222" s="23"/>
      <c r="C222" s="23"/>
      <c r="D222" s="23"/>
      <c r="E222" s="23"/>
      <c r="F222" s="24">
        <v>4342.6000000000004</v>
      </c>
      <c r="G222" s="24">
        <v>3142.0298516540806</v>
      </c>
      <c r="H222" s="24">
        <v>-2494.36</v>
      </c>
      <c r="I222" s="24">
        <v>0</v>
      </c>
      <c r="J222" s="16" t="str">
        <f t="shared" si="24"/>
        <v>CAD</v>
      </c>
      <c r="K222">
        <f t="shared" si="19"/>
        <v>13</v>
      </c>
      <c r="L222" t="str">
        <f t="shared" si="20"/>
        <v>SO17169</v>
      </c>
      <c r="M222" s="12">
        <f t="shared" si="21"/>
        <v>1848.24</v>
      </c>
      <c r="N222" s="12">
        <f t="shared" si="22"/>
        <v>0</v>
      </c>
      <c r="O222" s="13">
        <f t="shared" si="23"/>
        <v>0</v>
      </c>
      <c r="P222" s="12">
        <f>IFERROR(VLOOKUP(B222,'Receivable Invoice Detail'!$S$1:$U$3014,3,FALSE),0)</f>
        <v>0</v>
      </c>
    </row>
    <row r="223" spans="1:16" x14ac:dyDescent="0.25">
      <c r="A223" t="s">
        <v>1421</v>
      </c>
      <c r="B223" t="s">
        <v>2756</v>
      </c>
      <c r="C223" t="s">
        <v>1423</v>
      </c>
      <c r="D223" t="s">
        <v>51</v>
      </c>
      <c r="E223" t="s">
        <v>4388</v>
      </c>
      <c r="F223" s="16">
        <v>0</v>
      </c>
      <c r="G223" s="16">
        <v>0</v>
      </c>
      <c r="H223" s="16">
        <v>0</v>
      </c>
      <c r="I223" s="16">
        <v>-4353.6099999999997</v>
      </c>
      <c r="J223" s="16" t="str">
        <f t="shared" si="24"/>
        <v/>
      </c>
      <c r="K223">
        <f t="shared" si="19"/>
        <v>7</v>
      </c>
      <c r="L223" t="str">
        <f t="shared" si="20"/>
        <v/>
      </c>
      <c r="M223" s="12">
        <f t="shared" si="21"/>
        <v>0</v>
      </c>
      <c r="N223" s="12">
        <f t="shared" si="22"/>
        <v>0</v>
      </c>
      <c r="O223" s="13">
        <f t="shared" si="23"/>
        <v>0</v>
      </c>
      <c r="P223" s="12">
        <f>IFERROR(VLOOKUP(B223,'Receivable Invoice Detail'!$S$1:$U$3014,3,FALSE),0)</f>
        <v>519.94000000000005</v>
      </c>
    </row>
    <row r="224" spans="1:16" x14ac:dyDescent="0.25">
      <c r="B224" t="s">
        <v>2757</v>
      </c>
      <c r="C224" t="s">
        <v>1423</v>
      </c>
      <c r="D224" t="s">
        <v>51</v>
      </c>
      <c r="E224" t="s">
        <v>4388</v>
      </c>
      <c r="F224" s="16">
        <v>14073.231182717327</v>
      </c>
      <c r="G224" s="16">
        <v>10048.9</v>
      </c>
      <c r="H224" s="16">
        <v>0</v>
      </c>
      <c r="I224" s="16">
        <v>-6756.15</v>
      </c>
      <c r="J224" s="16" t="str">
        <f t="shared" si="24"/>
        <v/>
      </c>
      <c r="K224">
        <f t="shared" si="19"/>
        <v>0</v>
      </c>
      <c r="L224" t="str">
        <f t="shared" si="20"/>
        <v/>
      </c>
      <c r="M224" s="12">
        <f t="shared" si="21"/>
        <v>0</v>
      </c>
      <c r="N224" s="12">
        <f t="shared" si="22"/>
        <v>0</v>
      </c>
      <c r="O224" s="13">
        <f t="shared" si="23"/>
        <v>0</v>
      </c>
      <c r="P224" s="12">
        <f>IFERROR(VLOOKUP(B224,'Receivable Invoice Detail'!$S$1:$U$3014,3,FALSE),0)</f>
        <v>540.91999999999996</v>
      </c>
    </row>
    <row r="225" spans="1:19" x14ac:dyDescent="0.25">
      <c r="A225" s="23" t="s">
        <v>4314</v>
      </c>
      <c r="B225" s="23"/>
      <c r="C225" s="23"/>
      <c r="D225" s="23"/>
      <c r="E225" s="23"/>
      <c r="F225" s="24">
        <v>14073.231182717327</v>
      </c>
      <c r="G225" s="24">
        <v>10048.9</v>
      </c>
      <c r="H225" s="24">
        <v>0</v>
      </c>
      <c r="I225" s="24">
        <v>-11109.759999999998</v>
      </c>
      <c r="J225" s="16" t="str">
        <f t="shared" si="24"/>
        <v>USD</v>
      </c>
      <c r="K225">
        <f t="shared" si="19"/>
        <v>13</v>
      </c>
      <c r="L225" t="str">
        <f t="shared" si="20"/>
        <v>SO17172</v>
      </c>
      <c r="M225" s="12">
        <f t="shared" si="21"/>
        <v>0</v>
      </c>
      <c r="N225" s="12">
        <f t="shared" si="22"/>
        <v>-1060.8599999999999</v>
      </c>
      <c r="O225" s="13">
        <f t="shared" si="23"/>
        <v>0</v>
      </c>
      <c r="P225" s="12">
        <f>IFERROR(VLOOKUP(B225,'Receivable Invoice Detail'!$S$1:$U$3014,3,FALSE),0)</f>
        <v>0</v>
      </c>
      <c r="Q225" t="s">
        <v>4388</v>
      </c>
      <c r="S225" t="s">
        <v>4390</v>
      </c>
    </row>
    <row r="226" spans="1:19" x14ac:dyDescent="0.25">
      <c r="A226" t="s">
        <v>1289</v>
      </c>
      <c r="B226" t="s">
        <v>2827</v>
      </c>
      <c r="C226" t="s">
        <v>159</v>
      </c>
      <c r="D226" t="s">
        <v>51</v>
      </c>
      <c r="E226" t="s">
        <v>4388</v>
      </c>
      <c r="F226" s="16">
        <v>0</v>
      </c>
      <c r="G226" s="16">
        <v>0</v>
      </c>
      <c r="H226" s="16">
        <v>0</v>
      </c>
      <c r="I226" s="16">
        <v>-4378.96</v>
      </c>
      <c r="J226" s="16" t="str">
        <f t="shared" si="24"/>
        <v/>
      </c>
      <c r="K226">
        <f t="shared" si="19"/>
        <v>7</v>
      </c>
      <c r="L226" t="str">
        <f t="shared" si="20"/>
        <v/>
      </c>
      <c r="M226" s="12">
        <f t="shared" si="21"/>
        <v>0</v>
      </c>
      <c r="N226" s="12">
        <f t="shared" si="22"/>
        <v>0</v>
      </c>
      <c r="O226" s="13">
        <f t="shared" si="23"/>
        <v>0</v>
      </c>
      <c r="P226" s="12">
        <f>IFERROR(VLOOKUP(B226,'Receivable Invoice Detail'!$S$1:$U$3014,3,FALSE),0)</f>
        <v>0</v>
      </c>
    </row>
    <row r="227" spans="1:19" x14ac:dyDescent="0.25">
      <c r="B227" t="s">
        <v>2828</v>
      </c>
      <c r="C227" t="s">
        <v>159</v>
      </c>
      <c r="D227" t="s">
        <v>51</v>
      </c>
      <c r="E227" t="s">
        <v>4388</v>
      </c>
      <c r="F227" s="16">
        <v>0</v>
      </c>
      <c r="G227" s="16">
        <v>0</v>
      </c>
      <c r="H227" s="16">
        <v>0</v>
      </c>
      <c r="I227" s="16">
        <v>-2474.6999999999998</v>
      </c>
      <c r="J227" s="16" t="str">
        <f t="shared" si="24"/>
        <v/>
      </c>
      <c r="K227">
        <f t="shared" si="19"/>
        <v>0</v>
      </c>
      <c r="L227" t="str">
        <f t="shared" si="20"/>
        <v/>
      </c>
      <c r="M227" s="12">
        <f t="shared" si="21"/>
        <v>0</v>
      </c>
      <c r="N227" s="12">
        <f t="shared" si="22"/>
        <v>0</v>
      </c>
      <c r="O227" s="13">
        <f t="shared" si="23"/>
        <v>0</v>
      </c>
      <c r="P227" s="12">
        <f>IFERROR(VLOOKUP(B227,'Receivable Invoice Detail'!$S$1:$U$3014,3,FALSE),0)</f>
        <v>0</v>
      </c>
    </row>
    <row r="228" spans="1:19" x14ac:dyDescent="0.25">
      <c r="B228" t="s">
        <v>2829</v>
      </c>
      <c r="C228" t="s">
        <v>159</v>
      </c>
      <c r="D228" t="s">
        <v>51</v>
      </c>
      <c r="E228" t="s">
        <v>4388</v>
      </c>
      <c r="F228" s="16">
        <v>0</v>
      </c>
      <c r="G228" s="16">
        <v>0</v>
      </c>
      <c r="H228" s="16">
        <v>0</v>
      </c>
      <c r="I228" s="16">
        <v>-66770.66</v>
      </c>
      <c r="J228" s="16" t="str">
        <f t="shared" si="24"/>
        <v/>
      </c>
      <c r="K228">
        <f t="shared" si="19"/>
        <v>0</v>
      </c>
      <c r="L228" t="str">
        <f t="shared" si="20"/>
        <v/>
      </c>
      <c r="M228" s="12">
        <f t="shared" si="21"/>
        <v>0</v>
      </c>
      <c r="N228" s="12">
        <f t="shared" si="22"/>
        <v>0</v>
      </c>
      <c r="O228" s="13">
        <f t="shared" si="23"/>
        <v>0</v>
      </c>
      <c r="P228" s="12">
        <f>IFERROR(VLOOKUP(B228,'Receivable Invoice Detail'!$S$1:$U$3014,3,FALSE),0)</f>
        <v>0</v>
      </c>
    </row>
    <row r="229" spans="1:19" x14ac:dyDescent="0.25">
      <c r="B229" t="s">
        <v>5973</v>
      </c>
      <c r="C229" t="s">
        <v>159</v>
      </c>
      <c r="D229" t="s">
        <v>51</v>
      </c>
      <c r="E229" t="s">
        <v>4389</v>
      </c>
      <c r="F229" s="16">
        <v>112468.27118251254</v>
      </c>
      <c r="G229" s="16">
        <v>82081.84</v>
      </c>
      <c r="H229" s="16">
        <v>0</v>
      </c>
      <c r="I229" s="16">
        <v>0</v>
      </c>
      <c r="J229" s="16" t="str">
        <f t="shared" si="24"/>
        <v/>
      </c>
      <c r="K229">
        <f t="shared" si="19"/>
        <v>0</v>
      </c>
      <c r="L229" t="str">
        <f t="shared" si="20"/>
        <v/>
      </c>
      <c r="M229" s="12">
        <f t="shared" si="21"/>
        <v>0</v>
      </c>
      <c r="N229" s="12">
        <f t="shared" si="22"/>
        <v>0</v>
      </c>
      <c r="O229" s="13">
        <f t="shared" si="23"/>
        <v>0</v>
      </c>
      <c r="P229" s="12">
        <f>IFERROR(VLOOKUP(B229,'Receivable Invoice Detail'!$S$1:$U$3014,3,FALSE),0)</f>
        <v>0</v>
      </c>
    </row>
    <row r="230" spans="1:19" x14ac:dyDescent="0.25">
      <c r="A230" s="23" t="s">
        <v>4315</v>
      </c>
      <c r="B230" s="23"/>
      <c r="C230" s="23"/>
      <c r="D230" s="23"/>
      <c r="E230" s="23"/>
      <c r="F230" s="24">
        <v>112468.27118251254</v>
      </c>
      <c r="G230" s="24">
        <v>82081.84</v>
      </c>
      <c r="H230" s="24">
        <v>0</v>
      </c>
      <c r="I230" s="24">
        <v>-73624.320000000007</v>
      </c>
      <c r="J230" s="16" t="str">
        <f t="shared" si="24"/>
        <v>USD</v>
      </c>
      <c r="K230">
        <f t="shared" si="19"/>
        <v>13</v>
      </c>
      <c r="L230" t="str">
        <f t="shared" si="20"/>
        <v>SO17201</v>
      </c>
      <c r="M230" s="12">
        <f t="shared" si="21"/>
        <v>0</v>
      </c>
      <c r="N230" s="12">
        <f t="shared" si="22"/>
        <v>8457.52</v>
      </c>
      <c r="O230" s="13">
        <f t="shared" si="23"/>
        <v>0</v>
      </c>
      <c r="P230" s="12">
        <f>IFERROR(VLOOKUP(B230,'Receivable Invoice Detail'!$S$1:$U$3014,3,FALSE),0)</f>
        <v>0</v>
      </c>
    </row>
    <row r="231" spans="1:19" x14ac:dyDescent="0.25">
      <c r="A231" t="s">
        <v>1381</v>
      </c>
      <c r="B231" t="s">
        <v>2779</v>
      </c>
      <c r="C231" t="s">
        <v>98</v>
      </c>
      <c r="D231" t="s">
        <v>22</v>
      </c>
      <c r="E231" t="s">
        <v>4388</v>
      </c>
      <c r="F231" s="16">
        <v>6469.1</v>
      </c>
      <c r="G231" s="16">
        <v>4668.1720202136048</v>
      </c>
      <c r="H231" s="16">
        <v>-2005.52</v>
      </c>
      <c r="I231" s="16">
        <v>0</v>
      </c>
      <c r="J231" s="16" t="str">
        <f t="shared" si="24"/>
        <v/>
      </c>
      <c r="K231">
        <f t="shared" si="19"/>
        <v>7</v>
      </c>
      <c r="L231" t="str">
        <f t="shared" si="20"/>
        <v/>
      </c>
      <c r="M231" s="12">
        <f t="shared" si="21"/>
        <v>0</v>
      </c>
      <c r="N231" s="12">
        <f t="shared" si="22"/>
        <v>0</v>
      </c>
      <c r="O231" s="13">
        <f t="shared" si="23"/>
        <v>0</v>
      </c>
      <c r="P231" s="12">
        <f>IFERROR(VLOOKUP(B231,'Receivable Invoice Detail'!$S$1:$U$3014,3,FALSE),0)</f>
        <v>0</v>
      </c>
    </row>
    <row r="232" spans="1:19" x14ac:dyDescent="0.25">
      <c r="B232" t="s">
        <v>2778</v>
      </c>
      <c r="C232" t="s">
        <v>98</v>
      </c>
      <c r="D232" t="s">
        <v>22</v>
      </c>
      <c r="E232" t="s">
        <v>4388</v>
      </c>
      <c r="F232" s="16">
        <v>0</v>
      </c>
      <c r="G232" s="16">
        <v>0</v>
      </c>
      <c r="H232" s="16">
        <v>-1214.6099999999999</v>
      </c>
      <c r="I232" s="16">
        <v>0</v>
      </c>
      <c r="J232" s="16" t="str">
        <f t="shared" si="24"/>
        <v/>
      </c>
      <c r="K232">
        <f t="shared" si="19"/>
        <v>0</v>
      </c>
      <c r="L232" t="str">
        <f t="shared" si="20"/>
        <v/>
      </c>
      <c r="M232" s="12">
        <f t="shared" si="21"/>
        <v>0</v>
      </c>
      <c r="N232" s="12">
        <f t="shared" si="22"/>
        <v>0</v>
      </c>
      <c r="O232" s="13">
        <f t="shared" si="23"/>
        <v>0</v>
      </c>
      <c r="P232" s="12">
        <f>IFERROR(VLOOKUP(B232,'Receivable Invoice Detail'!$S$1:$U$3014,3,FALSE),0)</f>
        <v>0</v>
      </c>
    </row>
    <row r="233" spans="1:19" x14ac:dyDescent="0.25">
      <c r="B233" t="s">
        <v>2777</v>
      </c>
      <c r="C233" t="s">
        <v>98</v>
      </c>
      <c r="D233" t="s">
        <v>22</v>
      </c>
      <c r="E233" t="s">
        <v>4388</v>
      </c>
      <c r="F233" s="16">
        <v>0</v>
      </c>
      <c r="G233" s="16">
        <v>0</v>
      </c>
      <c r="H233" s="16">
        <v>-3248.97</v>
      </c>
      <c r="I233" s="16">
        <v>0</v>
      </c>
      <c r="J233" s="16" t="str">
        <f t="shared" si="24"/>
        <v/>
      </c>
      <c r="K233">
        <f t="shared" si="19"/>
        <v>0</v>
      </c>
      <c r="L233" t="str">
        <f t="shared" si="20"/>
        <v/>
      </c>
      <c r="M233" s="12">
        <f t="shared" si="21"/>
        <v>0</v>
      </c>
      <c r="N233" s="12">
        <f t="shared" si="22"/>
        <v>0</v>
      </c>
      <c r="O233" s="13">
        <f t="shared" si="23"/>
        <v>0</v>
      </c>
      <c r="P233" s="12">
        <f>IFERROR(VLOOKUP(B233,'Receivable Invoice Detail'!$S$1:$U$3014,3,FALSE),0)</f>
        <v>0</v>
      </c>
    </row>
    <row r="234" spans="1:19" x14ac:dyDescent="0.25">
      <c r="A234" s="23" t="s">
        <v>4316</v>
      </c>
      <c r="B234" s="23"/>
      <c r="C234" s="23"/>
      <c r="D234" s="23"/>
      <c r="E234" s="23"/>
      <c r="F234" s="24">
        <v>6469.1</v>
      </c>
      <c r="G234" s="24">
        <v>4668.1720202136048</v>
      </c>
      <c r="H234" s="24">
        <v>-6469.1</v>
      </c>
      <c r="I234" s="24">
        <v>0</v>
      </c>
      <c r="J234" s="16" t="str">
        <f t="shared" si="24"/>
        <v>CAD</v>
      </c>
      <c r="K234">
        <f t="shared" si="19"/>
        <v>13</v>
      </c>
      <c r="L234" t="str">
        <f t="shared" si="20"/>
        <v>SO17214</v>
      </c>
      <c r="M234" s="12">
        <f t="shared" si="21"/>
        <v>0</v>
      </c>
      <c r="N234" s="12">
        <f t="shared" si="22"/>
        <v>0</v>
      </c>
      <c r="O234" s="13" t="str">
        <f t="shared" si="23"/>
        <v>Yes</v>
      </c>
      <c r="P234" s="12">
        <f>IFERROR(VLOOKUP(B234,'Receivable Invoice Detail'!$S$1:$U$3014,3,FALSE),0)</f>
        <v>0</v>
      </c>
    </row>
    <row r="235" spans="1:19" x14ac:dyDescent="0.25">
      <c r="A235" t="s">
        <v>1329</v>
      </c>
      <c r="B235" t="s">
        <v>2806</v>
      </c>
      <c r="C235" t="s">
        <v>98</v>
      </c>
      <c r="D235" t="s">
        <v>22</v>
      </c>
      <c r="E235" t="s">
        <v>4389</v>
      </c>
      <c r="F235" s="16">
        <v>4343.46</v>
      </c>
      <c r="G235" s="16">
        <v>3142.6520930929478</v>
      </c>
      <c r="H235" s="16">
        <v>0</v>
      </c>
      <c r="I235" s="16">
        <v>0</v>
      </c>
      <c r="J235" s="16" t="str">
        <f t="shared" si="24"/>
        <v/>
      </c>
      <c r="K235">
        <f t="shared" si="19"/>
        <v>7</v>
      </c>
      <c r="L235" t="str">
        <f t="shared" si="20"/>
        <v/>
      </c>
      <c r="M235" s="12">
        <f t="shared" si="21"/>
        <v>0</v>
      </c>
      <c r="N235" s="12">
        <f t="shared" si="22"/>
        <v>0</v>
      </c>
      <c r="O235" s="13">
        <f t="shared" si="23"/>
        <v>0</v>
      </c>
      <c r="P235" s="12">
        <f>IFERROR(VLOOKUP(B235,'Receivable Invoice Detail'!$S$1:$U$3014,3,FALSE),0)</f>
        <v>0</v>
      </c>
    </row>
    <row r="236" spans="1:19" x14ac:dyDescent="0.25">
      <c r="B236" t="s">
        <v>2805</v>
      </c>
      <c r="C236" t="s">
        <v>98</v>
      </c>
      <c r="D236" t="s">
        <v>22</v>
      </c>
      <c r="E236" t="s">
        <v>4388</v>
      </c>
      <c r="F236" s="16">
        <v>0</v>
      </c>
      <c r="G236" s="16">
        <v>0</v>
      </c>
      <c r="H236" s="16">
        <v>-4343.46</v>
      </c>
      <c r="I236" s="16">
        <v>0</v>
      </c>
      <c r="J236" s="16" t="str">
        <f t="shared" si="24"/>
        <v/>
      </c>
      <c r="K236">
        <f t="shared" si="19"/>
        <v>0</v>
      </c>
      <c r="L236" t="str">
        <f t="shared" si="20"/>
        <v/>
      </c>
      <c r="M236" s="12">
        <f t="shared" si="21"/>
        <v>0</v>
      </c>
      <c r="N236" s="12">
        <f t="shared" si="22"/>
        <v>0</v>
      </c>
      <c r="O236" s="13">
        <f t="shared" si="23"/>
        <v>0</v>
      </c>
      <c r="P236" s="12">
        <f>IFERROR(VLOOKUP(B236,'Receivable Invoice Detail'!$S$1:$U$3014,3,FALSE),0)</f>
        <v>0</v>
      </c>
    </row>
    <row r="237" spans="1:19" x14ac:dyDescent="0.25">
      <c r="A237" s="23" t="s">
        <v>4317</v>
      </c>
      <c r="B237" s="23"/>
      <c r="C237" s="23"/>
      <c r="D237" s="23"/>
      <c r="E237" s="23"/>
      <c r="F237" s="24">
        <v>4343.46</v>
      </c>
      <c r="G237" s="24">
        <v>3142.6520930929478</v>
      </c>
      <c r="H237" s="24">
        <v>-4343.46</v>
      </c>
      <c r="I237" s="24">
        <v>0</v>
      </c>
      <c r="J237" s="16" t="str">
        <f t="shared" si="24"/>
        <v>CAD</v>
      </c>
      <c r="K237">
        <f t="shared" si="19"/>
        <v>13</v>
      </c>
      <c r="L237" t="str">
        <f t="shared" si="20"/>
        <v>SO17249</v>
      </c>
      <c r="M237" s="12">
        <f t="shared" si="21"/>
        <v>0</v>
      </c>
      <c r="N237" s="12">
        <f t="shared" si="22"/>
        <v>0</v>
      </c>
      <c r="O237" s="13" t="str">
        <f t="shared" si="23"/>
        <v>Yes</v>
      </c>
      <c r="P237" s="12">
        <f>IFERROR(VLOOKUP(B237,'Receivable Invoice Detail'!$S$1:$U$3014,3,FALSE),0)</f>
        <v>0</v>
      </c>
    </row>
    <row r="238" spans="1:19" x14ac:dyDescent="0.25">
      <c r="A238" t="s">
        <v>1318</v>
      </c>
      <c r="B238" t="s">
        <v>2813</v>
      </c>
      <c r="C238" t="s">
        <v>159</v>
      </c>
      <c r="D238" t="s">
        <v>51</v>
      </c>
      <c r="E238" t="s">
        <v>4388</v>
      </c>
      <c r="F238" s="16">
        <v>206959.96434205474</v>
      </c>
      <c r="G238" s="16">
        <v>149743.1</v>
      </c>
      <c r="H238" s="16">
        <v>0</v>
      </c>
      <c r="I238" s="16">
        <v>-144549.6</v>
      </c>
      <c r="J238" s="16" t="str">
        <f t="shared" si="24"/>
        <v/>
      </c>
      <c r="K238">
        <f t="shared" si="19"/>
        <v>7</v>
      </c>
      <c r="L238" t="str">
        <f t="shared" si="20"/>
        <v/>
      </c>
      <c r="M238" s="12">
        <f t="shared" si="21"/>
        <v>0</v>
      </c>
      <c r="N238" s="12">
        <f t="shared" si="22"/>
        <v>0</v>
      </c>
      <c r="O238" s="13">
        <f t="shared" si="23"/>
        <v>0</v>
      </c>
      <c r="P238" s="12">
        <f>IFERROR(VLOOKUP(B238,'Receivable Invoice Detail'!$S$1:$U$3014,3,FALSE),0)</f>
        <v>0</v>
      </c>
    </row>
    <row r="239" spans="1:19" x14ac:dyDescent="0.25">
      <c r="B239" t="s">
        <v>2812</v>
      </c>
      <c r="C239" t="s">
        <v>159</v>
      </c>
      <c r="D239" t="s">
        <v>51</v>
      </c>
      <c r="E239" t="s">
        <v>4388</v>
      </c>
      <c r="F239" s="16">
        <v>0</v>
      </c>
      <c r="G239" s="16">
        <v>0</v>
      </c>
      <c r="H239" s="16">
        <v>0</v>
      </c>
      <c r="I239" s="16">
        <v>-5193.5</v>
      </c>
      <c r="J239" s="16" t="str">
        <f t="shared" si="24"/>
        <v/>
      </c>
      <c r="K239">
        <f t="shared" si="19"/>
        <v>0</v>
      </c>
      <c r="L239" t="str">
        <f t="shared" si="20"/>
        <v/>
      </c>
      <c r="M239" s="12">
        <f t="shared" si="21"/>
        <v>0</v>
      </c>
      <c r="N239" s="12">
        <f t="shared" si="22"/>
        <v>0</v>
      </c>
      <c r="O239" s="13">
        <f t="shared" si="23"/>
        <v>0</v>
      </c>
      <c r="P239" s="12">
        <f>IFERROR(VLOOKUP(B239,'Receivable Invoice Detail'!$S$1:$U$3014,3,FALSE),0)</f>
        <v>0</v>
      </c>
    </row>
    <row r="240" spans="1:19" x14ac:dyDescent="0.25">
      <c r="A240" s="23" t="s">
        <v>4318</v>
      </c>
      <c r="B240" s="23"/>
      <c r="C240" s="23"/>
      <c r="D240" s="23"/>
      <c r="E240" s="23"/>
      <c r="F240" s="24">
        <v>206959.96434205474</v>
      </c>
      <c r="G240" s="24">
        <v>149743.1</v>
      </c>
      <c r="H240" s="24">
        <v>0</v>
      </c>
      <c r="I240" s="24">
        <v>-149743.1</v>
      </c>
      <c r="J240" s="16" t="str">
        <f t="shared" si="24"/>
        <v>USD</v>
      </c>
      <c r="K240">
        <f t="shared" si="19"/>
        <v>13</v>
      </c>
      <c r="L240" t="str">
        <f t="shared" si="20"/>
        <v>SO17253</v>
      </c>
      <c r="M240" s="12">
        <f t="shared" si="21"/>
        <v>0</v>
      </c>
      <c r="N240" s="12">
        <f t="shared" si="22"/>
        <v>0</v>
      </c>
      <c r="O240" s="13" t="str">
        <f t="shared" si="23"/>
        <v>Yes</v>
      </c>
      <c r="P240" s="12">
        <f>IFERROR(VLOOKUP(B240,'Receivable Invoice Detail'!$S$1:$U$3014,3,FALSE),0)</f>
        <v>0</v>
      </c>
    </row>
    <row r="241" spans="1:16" x14ac:dyDescent="0.25">
      <c r="A241" t="s">
        <v>1262</v>
      </c>
      <c r="B241" t="s">
        <v>2843</v>
      </c>
      <c r="C241" t="s">
        <v>39</v>
      </c>
      <c r="D241" t="s">
        <v>22</v>
      </c>
      <c r="E241" t="s">
        <v>4388</v>
      </c>
      <c r="F241" s="16">
        <v>0</v>
      </c>
      <c r="G241" s="16">
        <v>0</v>
      </c>
      <c r="H241" s="16">
        <v>-3286.82</v>
      </c>
      <c r="I241" s="16">
        <v>0</v>
      </c>
      <c r="J241" s="16" t="str">
        <f t="shared" si="24"/>
        <v/>
      </c>
      <c r="K241">
        <f t="shared" si="19"/>
        <v>7</v>
      </c>
      <c r="L241" t="str">
        <f t="shared" si="20"/>
        <v/>
      </c>
      <c r="M241" s="12">
        <f t="shared" si="21"/>
        <v>0</v>
      </c>
      <c r="N241" s="12">
        <f t="shared" si="22"/>
        <v>0</v>
      </c>
      <c r="O241" s="13">
        <f t="shared" si="23"/>
        <v>0</v>
      </c>
      <c r="P241" s="12">
        <f>IFERROR(VLOOKUP(B241,'Receivable Invoice Detail'!$S$1:$U$3014,3,FALSE),0)</f>
        <v>0</v>
      </c>
    </row>
    <row r="242" spans="1:16" x14ac:dyDescent="0.25">
      <c r="B242" t="s">
        <v>2844</v>
      </c>
      <c r="C242" t="s">
        <v>39</v>
      </c>
      <c r="D242" t="s">
        <v>22</v>
      </c>
      <c r="E242" t="s">
        <v>4388</v>
      </c>
      <c r="F242" s="16">
        <v>4332.75</v>
      </c>
      <c r="G242" s="16">
        <v>3170.1973672359454</v>
      </c>
      <c r="H242" s="16">
        <v>-142.29</v>
      </c>
      <c r="I242" s="16">
        <v>0</v>
      </c>
      <c r="J242" s="16" t="str">
        <f t="shared" si="24"/>
        <v/>
      </c>
      <c r="K242">
        <f t="shared" si="19"/>
        <v>0</v>
      </c>
      <c r="L242" t="str">
        <f t="shared" si="20"/>
        <v/>
      </c>
      <c r="M242" s="12">
        <f t="shared" si="21"/>
        <v>0</v>
      </c>
      <c r="N242" s="12">
        <f t="shared" si="22"/>
        <v>0</v>
      </c>
      <c r="O242" s="13">
        <f t="shared" si="23"/>
        <v>0</v>
      </c>
      <c r="P242" s="12">
        <f>IFERROR(VLOOKUP(B242,'Receivable Invoice Detail'!$S$1:$U$3014,3,FALSE),0)</f>
        <v>0</v>
      </c>
    </row>
    <row r="243" spans="1:16" x14ac:dyDescent="0.25">
      <c r="B243" t="s">
        <v>2842</v>
      </c>
      <c r="C243" t="s">
        <v>39</v>
      </c>
      <c r="D243" t="s">
        <v>22</v>
      </c>
      <c r="E243" t="s">
        <v>4388</v>
      </c>
      <c r="F243" s="16">
        <v>0</v>
      </c>
      <c r="G243" s="16">
        <v>0</v>
      </c>
      <c r="H243" s="16">
        <v>-903.64</v>
      </c>
      <c r="I243" s="16">
        <v>0</v>
      </c>
      <c r="J243" s="16" t="str">
        <f t="shared" si="24"/>
        <v/>
      </c>
      <c r="K243">
        <f t="shared" si="19"/>
        <v>0</v>
      </c>
      <c r="L243" t="str">
        <f t="shared" si="20"/>
        <v/>
      </c>
      <c r="M243" s="12">
        <f t="shared" si="21"/>
        <v>0</v>
      </c>
      <c r="N243" s="12">
        <f t="shared" si="22"/>
        <v>0</v>
      </c>
      <c r="O243" s="13">
        <f t="shared" si="23"/>
        <v>0</v>
      </c>
      <c r="P243" s="12">
        <f>IFERROR(VLOOKUP(B243,'Receivable Invoice Detail'!$S$1:$U$3014,3,FALSE),0)</f>
        <v>0</v>
      </c>
    </row>
    <row r="244" spans="1:16" x14ac:dyDescent="0.25">
      <c r="A244" s="23" t="s">
        <v>4319</v>
      </c>
      <c r="B244" s="23"/>
      <c r="C244" s="23"/>
      <c r="D244" s="23"/>
      <c r="E244" s="23"/>
      <c r="F244" s="24">
        <v>4332.75</v>
      </c>
      <c r="G244" s="24">
        <v>3170.1973672359454</v>
      </c>
      <c r="H244" s="24">
        <v>-4332.75</v>
      </c>
      <c r="I244" s="24">
        <v>0</v>
      </c>
      <c r="J244" s="16" t="str">
        <f t="shared" si="24"/>
        <v>CAD</v>
      </c>
      <c r="K244">
        <f t="shared" si="19"/>
        <v>13</v>
      </c>
      <c r="L244" t="str">
        <f t="shared" si="20"/>
        <v>SO17264</v>
      </c>
      <c r="M244" s="12">
        <f t="shared" si="21"/>
        <v>0</v>
      </c>
      <c r="N244" s="12">
        <f t="shared" si="22"/>
        <v>0</v>
      </c>
      <c r="O244" s="13" t="str">
        <f t="shared" si="23"/>
        <v>Yes</v>
      </c>
      <c r="P244" s="12">
        <f>IFERROR(VLOOKUP(B244,'Receivable Invoice Detail'!$S$1:$U$3014,3,FALSE),0)</f>
        <v>0</v>
      </c>
    </row>
    <row r="245" spans="1:16" x14ac:dyDescent="0.25">
      <c r="A245" t="s">
        <v>1266</v>
      </c>
      <c r="B245" t="s">
        <v>2840</v>
      </c>
      <c r="C245" t="s">
        <v>1268</v>
      </c>
      <c r="D245" t="s">
        <v>22</v>
      </c>
      <c r="E245" t="s">
        <v>4388</v>
      </c>
      <c r="F245" s="16">
        <v>7778.63</v>
      </c>
      <c r="G245" s="16">
        <v>5691.4874725526615</v>
      </c>
      <c r="H245" s="16">
        <v>-4798.24</v>
      </c>
      <c r="I245" s="16">
        <v>0</v>
      </c>
      <c r="J245" s="16" t="str">
        <f t="shared" si="24"/>
        <v/>
      </c>
      <c r="K245">
        <f t="shared" si="19"/>
        <v>7</v>
      </c>
      <c r="L245" t="str">
        <f t="shared" si="20"/>
        <v/>
      </c>
      <c r="M245" s="12">
        <f t="shared" si="21"/>
        <v>0</v>
      </c>
      <c r="N245" s="12">
        <f t="shared" si="22"/>
        <v>0</v>
      </c>
      <c r="O245" s="13">
        <f t="shared" si="23"/>
        <v>0</v>
      </c>
      <c r="P245" s="12">
        <f>IFERROR(VLOOKUP(B245,'Receivable Invoice Detail'!$S$1:$U$3014,3,FALSE),0)</f>
        <v>0</v>
      </c>
    </row>
    <row r="246" spans="1:16" x14ac:dyDescent="0.25">
      <c r="B246" t="s">
        <v>2839</v>
      </c>
      <c r="C246" t="s">
        <v>1268</v>
      </c>
      <c r="D246" t="s">
        <v>22</v>
      </c>
      <c r="E246" t="s">
        <v>4388</v>
      </c>
      <c r="F246" s="16">
        <v>0</v>
      </c>
      <c r="G246" s="16">
        <v>0</v>
      </c>
      <c r="H246" s="16">
        <v>-2980.39</v>
      </c>
      <c r="I246" s="16">
        <v>0</v>
      </c>
      <c r="J246" s="16" t="str">
        <f t="shared" si="24"/>
        <v/>
      </c>
      <c r="K246">
        <f t="shared" si="19"/>
        <v>0</v>
      </c>
      <c r="L246" t="str">
        <f t="shared" si="20"/>
        <v/>
      </c>
      <c r="M246" s="12">
        <f t="shared" si="21"/>
        <v>0</v>
      </c>
      <c r="N246" s="12">
        <f t="shared" si="22"/>
        <v>0</v>
      </c>
      <c r="O246" s="13">
        <f t="shared" si="23"/>
        <v>0</v>
      </c>
      <c r="P246" s="12">
        <f>IFERROR(VLOOKUP(B246,'Receivable Invoice Detail'!$S$1:$U$3014,3,FALSE),0)</f>
        <v>0</v>
      </c>
    </row>
    <row r="247" spans="1:16" x14ac:dyDescent="0.25">
      <c r="A247" s="23" t="s">
        <v>4320</v>
      </c>
      <c r="B247" s="23"/>
      <c r="C247" s="23"/>
      <c r="D247" s="23"/>
      <c r="E247" s="23"/>
      <c r="F247" s="24">
        <v>7778.63</v>
      </c>
      <c r="G247" s="24">
        <v>5691.4874725526615</v>
      </c>
      <c r="H247" s="24">
        <v>-7778.6299999999992</v>
      </c>
      <c r="I247" s="24">
        <v>0</v>
      </c>
      <c r="J247" s="16" t="str">
        <f t="shared" si="24"/>
        <v>CAD</v>
      </c>
      <c r="K247">
        <f t="shared" si="19"/>
        <v>13</v>
      </c>
      <c r="L247" t="str">
        <f t="shared" si="20"/>
        <v>SO17291</v>
      </c>
      <c r="M247" s="12">
        <f t="shared" si="21"/>
        <v>0</v>
      </c>
      <c r="N247" s="12">
        <f t="shared" si="22"/>
        <v>0</v>
      </c>
      <c r="O247" s="13" t="str">
        <f t="shared" si="23"/>
        <v>Yes</v>
      </c>
      <c r="P247" s="12">
        <f>IFERROR(VLOOKUP(B247,'Receivable Invoice Detail'!$S$1:$U$3014,3,FALSE),0)</f>
        <v>0</v>
      </c>
    </row>
    <row r="248" spans="1:16" x14ac:dyDescent="0.25">
      <c r="A248" t="s">
        <v>1165</v>
      </c>
      <c r="B248" t="s">
        <v>2898</v>
      </c>
      <c r="C248" t="s">
        <v>369</v>
      </c>
      <c r="D248" t="s">
        <v>51</v>
      </c>
      <c r="E248" t="s">
        <v>4388</v>
      </c>
      <c r="F248" s="16">
        <v>13638.311886808056</v>
      </c>
      <c r="G248" s="16">
        <v>9934.0499999999993</v>
      </c>
      <c r="H248" s="16">
        <v>0</v>
      </c>
      <c r="I248" s="16">
        <v>-9714.65</v>
      </c>
      <c r="J248" s="16" t="str">
        <f t="shared" si="24"/>
        <v/>
      </c>
      <c r="K248">
        <f t="shared" si="19"/>
        <v>7</v>
      </c>
      <c r="L248" t="str">
        <f t="shared" si="20"/>
        <v/>
      </c>
      <c r="M248" s="12">
        <f t="shared" si="21"/>
        <v>0</v>
      </c>
      <c r="N248" s="12">
        <f t="shared" si="22"/>
        <v>0</v>
      </c>
      <c r="O248" s="13">
        <f t="shared" si="23"/>
        <v>0</v>
      </c>
      <c r="P248" s="12">
        <f>IFERROR(VLOOKUP(B248,'Receivable Invoice Detail'!$S$1:$U$3014,3,FALSE),0)</f>
        <v>0</v>
      </c>
    </row>
    <row r="249" spans="1:16" x14ac:dyDescent="0.25">
      <c r="B249" t="s">
        <v>2897</v>
      </c>
      <c r="C249" t="s">
        <v>369</v>
      </c>
      <c r="D249" t="s">
        <v>51</v>
      </c>
      <c r="E249" t="s">
        <v>4388</v>
      </c>
      <c r="F249" s="16">
        <v>0</v>
      </c>
      <c r="G249" s="16">
        <v>0</v>
      </c>
      <c r="H249" s="16">
        <v>0</v>
      </c>
      <c r="I249" s="16">
        <v>-219.4</v>
      </c>
      <c r="J249" s="16" t="str">
        <f t="shared" si="24"/>
        <v/>
      </c>
      <c r="K249">
        <f t="shared" si="19"/>
        <v>0</v>
      </c>
      <c r="L249" t="str">
        <f t="shared" si="20"/>
        <v/>
      </c>
      <c r="M249" s="12">
        <f t="shared" si="21"/>
        <v>0</v>
      </c>
      <c r="N249" s="12">
        <f t="shared" si="22"/>
        <v>0</v>
      </c>
      <c r="O249" s="13">
        <f t="shared" si="23"/>
        <v>0</v>
      </c>
      <c r="P249" s="12">
        <f>IFERROR(VLOOKUP(B249,'Receivable Invoice Detail'!$S$1:$U$3014,3,FALSE),0)</f>
        <v>0</v>
      </c>
    </row>
    <row r="250" spans="1:16" x14ac:dyDescent="0.25">
      <c r="A250" s="23" t="s">
        <v>4321</v>
      </c>
      <c r="B250" s="23"/>
      <c r="C250" s="23"/>
      <c r="D250" s="23"/>
      <c r="E250" s="23"/>
      <c r="F250" s="24">
        <v>13638.311886808056</v>
      </c>
      <c r="G250" s="24">
        <v>9934.0499999999993</v>
      </c>
      <c r="H250" s="24">
        <v>0</v>
      </c>
      <c r="I250" s="24">
        <v>-9934.0499999999993</v>
      </c>
      <c r="J250" s="16" t="str">
        <f t="shared" si="24"/>
        <v>USD</v>
      </c>
      <c r="K250">
        <f t="shared" si="19"/>
        <v>13</v>
      </c>
      <c r="L250" t="str">
        <f t="shared" si="20"/>
        <v>SO17293</v>
      </c>
      <c r="M250" s="12">
        <f t="shared" si="21"/>
        <v>0</v>
      </c>
      <c r="N250" s="12">
        <f t="shared" si="22"/>
        <v>0</v>
      </c>
      <c r="O250" s="13" t="str">
        <f t="shared" si="23"/>
        <v>Yes</v>
      </c>
      <c r="P250" s="12">
        <f>IFERROR(VLOOKUP(B250,'Receivable Invoice Detail'!$S$1:$U$3014,3,FALSE),0)</f>
        <v>0</v>
      </c>
    </row>
    <row r="251" spans="1:16" x14ac:dyDescent="0.25">
      <c r="A251" t="s">
        <v>1243</v>
      </c>
      <c r="B251" t="s">
        <v>2855</v>
      </c>
      <c r="C251" t="s">
        <v>20</v>
      </c>
      <c r="D251" t="s">
        <v>22</v>
      </c>
      <c r="E251" t="s">
        <v>4388</v>
      </c>
      <c r="F251" s="16">
        <v>4648.8900000000003</v>
      </c>
      <c r="G251" s="16">
        <v>3397.110844519375</v>
      </c>
      <c r="H251" s="16">
        <v>-2397.5100000000002</v>
      </c>
      <c r="I251" s="16">
        <v>0</v>
      </c>
      <c r="J251" s="16" t="str">
        <f t="shared" si="24"/>
        <v/>
      </c>
      <c r="K251">
        <f t="shared" si="19"/>
        <v>7</v>
      </c>
      <c r="L251" t="str">
        <f t="shared" si="20"/>
        <v/>
      </c>
      <c r="M251" s="12">
        <f t="shared" si="21"/>
        <v>0</v>
      </c>
      <c r="N251" s="12">
        <f t="shared" si="22"/>
        <v>0</v>
      </c>
      <c r="O251" s="13">
        <f t="shared" si="23"/>
        <v>0</v>
      </c>
      <c r="P251" s="12">
        <f>IFERROR(VLOOKUP(B251,'Receivable Invoice Detail'!$S$1:$U$3014,3,FALSE),0)</f>
        <v>0</v>
      </c>
    </row>
    <row r="252" spans="1:16" x14ac:dyDescent="0.25">
      <c r="B252" t="s">
        <v>2854</v>
      </c>
      <c r="C252" t="s">
        <v>20</v>
      </c>
      <c r="D252" t="s">
        <v>22</v>
      </c>
      <c r="E252" t="s">
        <v>4388</v>
      </c>
      <c r="F252" s="16">
        <v>0</v>
      </c>
      <c r="G252" s="16">
        <v>0</v>
      </c>
      <c r="H252" s="16">
        <v>-2251.38</v>
      </c>
      <c r="I252" s="16">
        <v>0</v>
      </c>
      <c r="J252" s="16" t="str">
        <f t="shared" si="24"/>
        <v/>
      </c>
      <c r="K252">
        <f t="shared" si="19"/>
        <v>0</v>
      </c>
      <c r="L252" t="str">
        <f t="shared" si="20"/>
        <v/>
      </c>
      <c r="M252" s="12">
        <f t="shared" si="21"/>
        <v>0</v>
      </c>
      <c r="N252" s="12">
        <f t="shared" si="22"/>
        <v>0</v>
      </c>
      <c r="O252" s="13">
        <f t="shared" si="23"/>
        <v>0</v>
      </c>
      <c r="P252" s="12">
        <f>IFERROR(VLOOKUP(B252,'Receivable Invoice Detail'!$S$1:$U$3014,3,FALSE),0)</f>
        <v>0</v>
      </c>
    </row>
    <row r="253" spans="1:16" x14ac:dyDescent="0.25">
      <c r="A253" s="23" t="s">
        <v>4322</v>
      </c>
      <c r="B253" s="23"/>
      <c r="C253" s="23"/>
      <c r="D253" s="23"/>
      <c r="E253" s="23"/>
      <c r="F253" s="24">
        <v>4648.8900000000003</v>
      </c>
      <c r="G253" s="24">
        <v>3397.110844519375</v>
      </c>
      <c r="H253" s="24">
        <v>-4648.8900000000003</v>
      </c>
      <c r="I253" s="24">
        <v>0</v>
      </c>
      <c r="J253" s="16" t="str">
        <f t="shared" si="24"/>
        <v>CAD</v>
      </c>
      <c r="K253">
        <f t="shared" si="19"/>
        <v>13</v>
      </c>
      <c r="L253" t="str">
        <f t="shared" si="20"/>
        <v>SO17294</v>
      </c>
      <c r="M253" s="12">
        <f t="shared" si="21"/>
        <v>0</v>
      </c>
      <c r="N253" s="12">
        <f t="shared" si="22"/>
        <v>0</v>
      </c>
      <c r="O253" s="13" t="str">
        <f t="shared" si="23"/>
        <v>Yes</v>
      </c>
      <c r="P253" s="12">
        <f>IFERROR(VLOOKUP(B253,'Receivable Invoice Detail'!$S$1:$U$3014,3,FALSE),0)</f>
        <v>0</v>
      </c>
    </row>
    <row r="254" spans="1:16" x14ac:dyDescent="0.25">
      <c r="A254" t="s">
        <v>1253</v>
      </c>
      <c r="B254" t="s">
        <v>2848</v>
      </c>
      <c r="C254" t="s">
        <v>98</v>
      </c>
      <c r="D254" t="s">
        <v>22</v>
      </c>
      <c r="E254" t="s">
        <v>4388</v>
      </c>
      <c r="F254" s="16">
        <v>0</v>
      </c>
      <c r="G254" s="16">
        <v>0</v>
      </c>
      <c r="H254" s="16">
        <v>-830.65</v>
      </c>
      <c r="I254" s="16">
        <v>0</v>
      </c>
      <c r="J254" s="16" t="str">
        <f t="shared" si="24"/>
        <v/>
      </c>
      <c r="K254">
        <f t="shared" si="19"/>
        <v>7</v>
      </c>
      <c r="L254" t="str">
        <f t="shared" si="20"/>
        <v/>
      </c>
      <c r="M254" s="12">
        <f t="shared" si="21"/>
        <v>0</v>
      </c>
      <c r="N254" s="12">
        <f t="shared" si="22"/>
        <v>0</v>
      </c>
      <c r="O254" s="13">
        <f t="shared" si="23"/>
        <v>0</v>
      </c>
      <c r="P254" s="12">
        <f>IFERROR(VLOOKUP(B254,'Receivable Invoice Detail'!$S$1:$U$3014,3,FALSE),0)</f>
        <v>0</v>
      </c>
    </row>
    <row r="255" spans="1:16" x14ac:dyDescent="0.25">
      <c r="B255" t="s">
        <v>2849</v>
      </c>
      <c r="C255" t="s">
        <v>98</v>
      </c>
      <c r="D255" t="s">
        <v>22</v>
      </c>
      <c r="E255" t="s">
        <v>4388</v>
      </c>
      <c r="F255" s="16">
        <v>8487.59</v>
      </c>
      <c r="G255" s="16">
        <v>6205.8024020589301</v>
      </c>
      <c r="H255" s="16">
        <v>-7656.94</v>
      </c>
      <c r="I255" s="16">
        <v>0</v>
      </c>
      <c r="J255" s="16" t="str">
        <f t="shared" si="24"/>
        <v/>
      </c>
      <c r="K255">
        <f t="shared" si="19"/>
        <v>0</v>
      </c>
      <c r="L255" t="str">
        <f t="shared" si="20"/>
        <v/>
      </c>
      <c r="M255" s="12">
        <f t="shared" si="21"/>
        <v>0</v>
      </c>
      <c r="N255" s="12">
        <f t="shared" si="22"/>
        <v>0</v>
      </c>
      <c r="O255" s="13">
        <f t="shared" si="23"/>
        <v>0</v>
      </c>
      <c r="P255" s="12">
        <f>IFERROR(VLOOKUP(B255,'Receivable Invoice Detail'!$S$1:$U$3014,3,FALSE),0)</f>
        <v>0</v>
      </c>
    </row>
    <row r="256" spans="1:16" x14ac:dyDescent="0.25">
      <c r="A256" s="23" t="s">
        <v>4323</v>
      </c>
      <c r="B256" s="23"/>
      <c r="C256" s="23"/>
      <c r="D256" s="23"/>
      <c r="E256" s="23"/>
      <c r="F256" s="24">
        <v>8487.59</v>
      </c>
      <c r="G256" s="24">
        <v>6205.8024020589301</v>
      </c>
      <c r="H256" s="24">
        <v>-8487.59</v>
      </c>
      <c r="I256" s="24">
        <v>0</v>
      </c>
      <c r="J256" s="16" t="str">
        <f t="shared" si="24"/>
        <v>CAD</v>
      </c>
      <c r="K256">
        <f t="shared" si="19"/>
        <v>13</v>
      </c>
      <c r="L256" t="str">
        <f t="shared" si="20"/>
        <v>SO17304</v>
      </c>
      <c r="M256" s="12">
        <f t="shared" si="21"/>
        <v>0</v>
      </c>
      <c r="N256" s="12">
        <f t="shared" si="22"/>
        <v>0</v>
      </c>
      <c r="O256" s="13" t="str">
        <f t="shared" si="23"/>
        <v>Yes</v>
      </c>
      <c r="P256" s="12">
        <f>IFERROR(VLOOKUP(B256,'Receivable Invoice Detail'!$S$1:$U$3014,3,FALSE),0)</f>
        <v>0</v>
      </c>
    </row>
    <row r="257" spans="1:16" x14ac:dyDescent="0.25">
      <c r="A257" t="s">
        <v>1223</v>
      </c>
      <c r="B257" t="s">
        <v>2866</v>
      </c>
      <c r="C257" t="s">
        <v>450</v>
      </c>
      <c r="D257" t="s">
        <v>22</v>
      </c>
      <c r="E257" t="s">
        <v>4388</v>
      </c>
      <c r="F257" s="16">
        <v>0</v>
      </c>
      <c r="G257" s="16">
        <v>0</v>
      </c>
      <c r="H257" s="16">
        <v>-2775.92</v>
      </c>
      <c r="I257" s="16">
        <v>0</v>
      </c>
      <c r="J257" s="16" t="str">
        <f t="shared" si="24"/>
        <v/>
      </c>
      <c r="K257">
        <f t="shared" si="19"/>
        <v>7</v>
      </c>
      <c r="L257" t="str">
        <f t="shared" si="20"/>
        <v/>
      </c>
      <c r="M257" s="12">
        <f t="shared" si="21"/>
        <v>0</v>
      </c>
      <c r="N257" s="12">
        <f t="shared" si="22"/>
        <v>0</v>
      </c>
      <c r="O257" s="13">
        <f t="shared" si="23"/>
        <v>0</v>
      </c>
      <c r="P257" s="12">
        <f>IFERROR(VLOOKUP(B257,'Receivable Invoice Detail'!$S$1:$U$3014,3,FALSE),0)</f>
        <v>0</v>
      </c>
    </row>
    <row r="258" spans="1:16" x14ac:dyDescent="0.25">
      <c r="B258" t="s">
        <v>2867</v>
      </c>
      <c r="C258" t="s">
        <v>450</v>
      </c>
      <c r="D258" t="s">
        <v>22</v>
      </c>
      <c r="E258" t="s">
        <v>4388</v>
      </c>
      <c r="F258" s="16">
        <v>0</v>
      </c>
      <c r="G258" s="16">
        <v>0</v>
      </c>
      <c r="H258" s="16">
        <v>-1564.84</v>
      </c>
      <c r="I258" s="16">
        <v>0</v>
      </c>
      <c r="J258" s="16" t="str">
        <f t="shared" si="24"/>
        <v/>
      </c>
      <c r="K258">
        <f t="shared" si="19"/>
        <v>0</v>
      </c>
      <c r="L258" t="str">
        <f t="shared" si="20"/>
        <v/>
      </c>
      <c r="M258" s="12">
        <f t="shared" si="21"/>
        <v>0</v>
      </c>
      <c r="N258" s="12">
        <f t="shared" si="22"/>
        <v>0</v>
      </c>
      <c r="O258" s="13">
        <f t="shared" si="23"/>
        <v>0</v>
      </c>
      <c r="P258" s="12">
        <f>IFERROR(VLOOKUP(B258,'Receivable Invoice Detail'!$S$1:$U$3014,3,FALSE),0)</f>
        <v>0</v>
      </c>
    </row>
    <row r="259" spans="1:16" x14ac:dyDescent="0.25">
      <c r="B259" t="s">
        <v>2868</v>
      </c>
      <c r="C259" t="s">
        <v>450</v>
      </c>
      <c r="D259" t="s">
        <v>22</v>
      </c>
      <c r="E259" t="s">
        <v>4388</v>
      </c>
      <c r="F259" s="16">
        <v>6945.69</v>
      </c>
      <c r="G259" s="16">
        <v>5100.207580066196</v>
      </c>
      <c r="H259" s="16">
        <v>-2604.9299999999998</v>
      </c>
      <c r="I259" s="16">
        <v>0</v>
      </c>
      <c r="J259" s="16" t="str">
        <f t="shared" si="24"/>
        <v/>
      </c>
      <c r="K259">
        <f t="shared" si="19"/>
        <v>0</v>
      </c>
      <c r="L259" t="str">
        <f t="shared" si="20"/>
        <v/>
      </c>
      <c r="M259" s="12">
        <f t="shared" si="21"/>
        <v>0</v>
      </c>
      <c r="N259" s="12">
        <f t="shared" si="22"/>
        <v>0</v>
      </c>
      <c r="O259" s="13">
        <f t="shared" si="23"/>
        <v>0</v>
      </c>
      <c r="P259" s="12">
        <f>IFERROR(VLOOKUP(B259,'Receivable Invoice Detail'!$S$1:$U$3014,3,FALSE),0)</f>
        <v>0</v>
      </c>
    </row>
    <row r="260" spans="1:16" x14ac:dyDescent="0.25">
      <c r="A260" s="23" t="s">
        <v>4324</v>
      </c>
      <c r="B260" s="23"/>
      <c r="C260" s="23"/>
      <c r="D260" s="23"/>
      <c r="E260" s="23"/>
      <c r="F260" s="24">
        <v>6945.69</v>
      </c>
      <c r="G260" s="24">
        <v>5100.207580066196</v>
      </c>
      <c r="H260" s="24">
        <v>-6945.6900000000005</v>
      </c>
      <c r="I260" s="24">
        <v>0</v>
      </c>
      <c r="J260" s="16" t="str">
        <f t="shared" si="24"/>
        <v>CAD</v>
      </c>
      <c r="K260">
        <f t="shared" si="19"/>
        <v>13</v>
      </c>
      <c r="L260" t="str">
        <f t="shared" si="20"/>
        <v>SO17321</v>
      </c>
      <c r="M260" s="12">
        <f t="shared" si="21"/>
        <v>0</v>
      </c>
      <c r="N260" s="12">
        <f t="shared" si="22"/>
        <v>0</v>
      </c>
      <c r="O260" s="13" t="str">
        <f t="shared" si="23"/>
        <v>Yes</v>
      </c>
      <c r="P260" s="12">
        <f>IFERROR(VLOOKUP(B260,'Receivable Invoice Detail'!$S$1:$U$3014,3,FALSE),0)</f>
        <v>0</v>
      </c>
    </row>
    <row r="261" spans="1:16" x14ac:dyDescent="0.25">
      <c r="A261" t="s">
        <v>1205</v>
      </c>
      <c r="B261" t="s">
        <v>2878</v>
      </c>
      <c r="C261" t="s">
        <v>149</v>
      </c>
      <c r="D261" t="s">
        <v>51</v>
      </c>
      <c r="E261" t="s">
        <v>4388</v>
      </c>
      <c r="F261" s="16">
        <v>3642.0081710789732</v>
      </c>
      <c r="G261" s="16">
        <v>2674.32</v>
      </c>
      <c r="H261" s="16">
        <v>0</v>
      </c>
      <c r="I261" s="16">
        <v>-662.76</v>
      </c>
      <c r="J261" s="16" t="str">
        <f t="shared" si="24"/>
        <v/>
      </c>
      <c r="K261">
        <f t="shared" si="19"/>
        <v>7</v>
      </c>
      <c r="L261" t="str">
        <f t="shared" si="20"/>
        <v/>
      </c>
      <c r="M261" s="12">
        <f t="shared" si="21"/>
        <v>0</v>
      </c>
      <c r="N261" s="12">
        <f t="shared" si="22"/>
        <v>0</v>
      </c>
      <c r="O261" s="13">
        <f t="shared" si="23"/>
        <v>0</v>
      </c>
      <c r="P261" s="12">
        <f>IFERROR(VLOOKUP(B261,'Receivable Invoice Detail'!$S$1:$U$3014,3,FALSE),0)</f>
        <v>143</v>
      </c>
    </row>
    <row r="262" spans="1:16" x14ac:dyDescent="0.25">
      <c r="B262" t="s">
        <v>2877</v>
      </c>
      <c r="C262" t="s">
        <v>149</v>
      </c>
      <c r="D262" t="s">
        <v>51</v>
      </c>
      <c r="E262" t="s">
        <v>4388</v>
      </c>
      <c r="F262" s="16">
        <v>0</v>
      </c>
      <c r="G262" s="16">
        <v>0</v>
      </c>
      <c r="H262" s="16">
        <v>0</v>
      </c>
      <c r="I262" s="16">
        <v>-2011.56</v>
      </c>
      <c r="J262" s="16" t="str">
        <f t="shared" si="24"/>
        <v/>
      </c>
      <c r="K262">
        <f t="shared" ref="K262:K325" si="25">LEN(A262)</f>
        <v>0</v>
      </c>
      <c r="L262" t="str">
        <f t="shared" ref="L262:L325" si="26">IF(K262=13,LEFT(A262,7),"")</f>
        <v/>
      </c>
      <c r="M262" s="12">
        <f t="shared" ref="M262:M325" si="27">IF(AND(K262=13,D261="CAD"),ROUND(F262+H262,2),0)</f>
        <v>0</v>
      </c>
      <c r="N262" s="12">
        <f t="shared" ref="N262:N325" si="28">IF(AND(K262=13,D261="USD"),ROUND(G262+I262,2),0)</f>
        <v>0</v>
      </c>
      <c r="O262" s="13">
        <f t="shared" ref="O262:O325" si="29">IF(K262=13,IF(M262+N262=0,"Yes",0),0)</f>
        <v>0</v>
      </c>
      <c r="P262" s="12">
        <f>IFERROR(VLOOKUP(B262,'Receivable Invoice Detail'!$S$1:$U$3014,3,FALSE),0)</f>
        <v>648</v>
      </c>
    </row>
    <row r="263" spans="1:16" x14ac:dyDescent="0.25">
      <c r="A263" s="23" t="s">
        <v>4325</v>
      </c>
      <c r="B263" s="23"/>
      <c r="C263" s="23"/>
      <c r="D263" s="23"/>
      <c r="E263" s="23"/>
      <c r="F263" s="24">
        <v>3642.0081710789732</v>
      </c>
      <c r="G263" s="24">
        <v>2674.32</v>
      </c>
      <c r="H263" s="24">
        <v>0</v>
      </c>
      <c r="I263" s="24">
        <v>-2674.3199999999997</v>
      </c>
      <c r="J263" s="16" t="str">
        <f t="shared" si="24"/>
        <v>USD</v>
      </c>
      <c r="K263">
        <f t="shared" si="25"/>
        <v>13</v>
      </c>
      <c r="L263" t="str">
        <f t="shared" si="26"/>
        <v>SO17332</v>
      </c>
      <c r="M263" s="12">
        <f t="shared" si="27"/>
        <v>0</v>
      </c>
      <c r="N263" s="12">
        <f t="shared" si="28"/>
        <v>0</v>
      </c>
      <c r="O263" s="13" t="str">
        <f t="shared" si="29"/>
        <v>Yes</v>
      </c>
      <c r="P263" s="12">
        <f>IFERROR(VLOOKUP(B263,'Receivable Invoice Detail'!$S$1:$U$3014,3,FALSE),0)</f>
        <v>0</v>
      </c>
    </row>
    <row r="264" spans="1:16" x14ac:dyDescent="0.25">
      <c r="A264" t="s">
        <v>1190</v>
      </c>
      <c r="B264" t="s">
        <v>2885</v>
      </c>
      <c r="C264" t="s">
        <v>239</v>
      </c>
      <c r="D264" t="s">
        <v>51</v>
      </c>
      <c r="E264" t="s">
        <v>4388</v>
      </c>
      <c r="F264" s="16">
        <v>2778.8255372946637</v>
      </c>
      <c r="G264" s="16">
        <v>2044.85</v>
      </c>
      <c r="H264" s="16">
        <v>0</v>
      </c>
      <c r="I264" s="16">
        <v>-4089.7</v>
      </c>
      <c r="J264" s="16" t="str">
        <f t="shared" si="24"/>
        <v/>
      </c>
      <c r="K264">
        <f t="shared" si="25"/>
        <v>7</v>
      </c>
      <c r="L264" t="str">
        <f t="shared" si="26"/>
        <v/>
      </c>
      <c r="M264" s="12">
        <f t="shared" si="27"/>
        <v>0</v>
      </c>
      <c r="N264" s="12">
        <f t="shared" si="28"/>
        <v>0</v>
      </c>
      <c r="O264" s="13">
        <f t="shared" si="29"/>
        <v>0</v>
      </c>
      <c r="P264" s="12">
        <f>IFERROR(VLOOKUP(B264,'Receivable Invoice Detail'!$S$1:$U$3014,3,FALSE),0)</f>
        <v>228</v>
      </c>
    </row>
    <row r="265" spans="1:16" x14ac:dyDescent="0.25">
      <c r="A265" s="23" t="s">
        <v>4326</v>
      </c>
      <c r="B265" s="23"/>
      <c r="C265" s="23"/>
      <c r="D265" s="23"/>
      <c r="E265" s="23"/>
      <c r="F265" s="24">
        <v>2778.8255372946637</v>
      </c>
      <c r="G265" s="24">
        <v>2044.85</v>
      </c>
      <c r="H265" s="24">
        <v>0</v>
      </c>
      <c r="I265" s="24">
        <v>-4089.7</v>
      </c>
      <c r="J265" s="16" t="str">
        <f t="shared" ref="J265:J328" si="30">IF(K265=13,D264,"")</f>
        <v>USD</v>
      </c>
      <c r="K265">
        <f t="shared" si="25"/>
        <v>13</v>
      </c>
      <c r="L265" t="str">
        <f t="shared" si="26"/>
        <v>SO17366</v>
      </c>
      <c r="M265" s="12">
        <f t="shared" si="27"/>
        <v>0</v>
      </c>
      <c r="N265" s="12">
        <f t="shared" si="28"/>
        <v>-2044.85</v>
      </c>
      <c r="O265" s="13">
        <f t="shared" si="29"/>
        <v>0</v>
      </c>
      <c r="P265" s="12">
        <f>IFERROR(VLOOKUP(B265,'Receivable Invoice Detail'!$S$1:$U$3014,3,FALSE),0)</f>
        <v>0</v>
      </c>
    </row>
    <row r="266" spans="1:16" x14ac:dyDescent="0.25">
      <c r="A266" t="s">
        <v>1185</v>
      </c>
      <c r="B266" t="s">
        <v>2888</v>
      </c>
      <c r="C266" t="s">
        <v>77</v>
      </c>
      <c r="D266" t="s">
        <v>22</v>
      </c>
      <c r="E266" t="s">
        <v>4388</v>
      </c>
      <c r="F266" s="16">
        <v>585.46</v>
      </c>
      <c r="G266" s="16">
        <v>427.78091117595301</v>
      </c>
      <c r="H266" s="16">
        <v>-519.5</v>
      </c>
      <c r="I266" s="16">
        <v>0</v>
      </c>
      <c r="J266" s="16" t="str">
        <f t="shared" si="30"/>
        <v/>
      </c>
      <c r="K266">
        <f t="shared" si="25"/>
        <v>7</v>
      </c>
      <c r="L266" t="str">
        <f t="shared" si="26"/>
        <v/>
      </c>
      <c r="M266" s="12">
        <f t="shared" si="27"/>
        <v>0</v>
      </c>
      <c r="N266" s="12">
        <f t="shared" si="28"/>
        <v>0</v>
      </c>
      <c r="O266" s="13">
        <f t="shared" si="29"/>
        <v>0</v>
      </c>
      <c r="P266" s="12">
        <f>IFERROR(VLOOKUP(B266,'Receivable Invoice Detail'!$S$1:$U$3014,3,FALSE),0)</f>
        <v>0</v>
      </c>
    </row>
    <row r="267" spans="1:16" x14ac:dyDescent="0.25">
      <c r="B267" t="s">
        <v>2887</v>
      </c>
      <c r="C267" t="s">
        <v>77</v>
      </c>
      <c r="D267" t="s">
        <v>22</v>
      </c>
      <c r="E267" t="s">
        <v>4388</v>
      </c>
      <c r="F267" s="16">
        <v>0</v>
      </c>
      <c r="G267" s="16">
        <v>0</v>
      </c>
      <c r="H267" s="16">
        <v>-65.959999999999994</v>
      </c>
      <c r="I267" s="16">
        <v>0</v>
      </c>
      <c r="J267" s="16" t="str">
        <f t="shared" si="30"/>
        <v/>
      </c>
      <c r="K267">
        <f t="shared" si="25"/>
        <v>0</v>
      </c>
      <c r="L267" t="str">
        <f t="shared" si="26"/>
        <v/>
      </c>
      <c r="M267" s="12">
        <f t="shared" si="27"/>
        <v>0</v>
      </c>
      <c r="N267" s="12">
        <f t="shared" si="28"/>
        <v>0</v>
      </c>
      <c r="O267" s="13">
        <f t="shared" si="29"/>
        <v>0</v>
      </c>
      <c r="P267" s="12">
        <f>IFERROR(VLOOKUP(B267,'Receivable Invoice Detail'!$S$1:$U$3014,3,FALSE),0)</f>
        <v>0</v>
      </c>
    </row>
    <row r="268" spans="1:16" x14ac:dyDescent="0.25">
      <c r="A268" s="23" t="s">
        <v>4327</v>
      </c>
      <c r="B268" s="23"/>
      <c r="C268" s="23"/>
      <c r="D268" s="23"/>
      <c r="E268" s="23"/>
      <c r="F268" s="24">
        <v>585.46</v>
      </c>
      <c r="G268" s="24">
        <v>427.78091117595301</v>
      </c>
      <c r="H268" s="24">
        <v>-585.46</v>
      </c>
      <c r="I268" s="24">
        <v>0</v>
      </c>
      <c r="J268" s="16" t="str">
        <f t="shared" si="30"/>
        <v>CAD</v>
      </c>
      <c r="K268">
        <f t="shared" si="25"/>
        <v>13</v>
      </c>
      <c r="L268" t="str">
        <f t="shared" si="26"/>
        <v>SO17367</v>
      </c>
      <c r="M268" s="12">
        <f t="shared" si="27"/>
        <v>0</v>
      </c>
      <c r="N268" s="12">
        <f t="shared" si="28"/>
        <v>0</v>
      </c>
      <c r="O268" s="13" t="str">
        <f t="shared" si="29"/>
        <v>Yes</v>
      </c>
      <c r="P268" s="12">
        <f>IFERROR(VLOOKUP(B268,'Receivable Invoice Detail'!$S$1:$U$3014,3,FALSE),0)</f>
        <v>0</v>
      </c>
    </row>
    <row r="269" spans="1:16" x14ac:dyDescent="0.25">
      <c r="A269" t="s">
        <v>1122</v>
      </c>
      <c r="B269" t="s">
        <v>2926</v>
      </c>
      <c r="C269" t="s">
        <v>159</v>
      </c>
      <c r="D269" t="s">
        <v>51</v>
      </c>
      <c r="E269" t="s">
        <v>4388</v>
      </c>
      <c r="F269" s="16">
        <v>21669.460688981169</v>
      </c>
      <c r="G269" s="16">
        <v>15835.75</v>
      </c>
      <c r="H269" s="16">
        <v>0</v>
      </c>
      <c r="I269" s="16">
        <v>-10241.64</v>
      </c>
      <c r="J269" s="16" t="str">
        <f t="shared" si="30"/>
        <v/>
      </c>
      <c r="K269">
        <f t="shared" si="25"/>
        <v>7</v>
      </c>
      <c r="L269" t="str">
        <f t="shared" si="26"/>
        <v/>
      </c>
      <c r="M269" s="12">
        <f t="shared" si="27"/>
        <v>0</v>
      </c>
      <c r="N269" s="12">
        <f t="shared" si="28"/>
        <v>0</v>
      </c>
      <c r="O269" s="13">
        <f t="shared" si="29"/>
        <v>0</v>
      </c>
      <c r="P269" s="12">
        <f>IFERROR(VLOOKUP(B269,'Receivable Invoice Detail'!$S$1:$U$3014,3,FALSE),0)</f>
        <v>0</v>
      </c>
    </row>
    <row r="270" spans="1:16" x14ac:dyDescent="0.25">
      <c r="B270" t="s">
        <v>2925</v>
      </c>
      <c r="C270" t="s">
        <v>159</v>
      </c>
      <c r="D270" t="s">
        <v>51</v>
      </c>
      <c r="E270" t="s">
        <v>4388</v>
      </c>
      <c r="F270" s="16">
        <v>0</v>
      </c>
      <c r="G270" s="16">
        <v>0</v>
      </c>
      <c r="H270" s="16">
        <v>0</v>
      </c>
      <c r="I270" s="16">
        <v>-5594.11</v>
      </c>
      <c r="J270" s="16" t="str">
        <f t="shared" si="30"/>
        <v/>
      </c>
      <c r="K270">
        <f t="shared" si="25"/>
        <v>0</v>
      </c>
      <c r="L270" t="str">
        <f t="shared" si="26"/>
        <v/>
      </c>
      <c r="M270" s="12">
        <f t="shared" si="27"/>
        <v>0</v>
      </c>
      <c r="N270" s="12">
        <f t="shared" si="28"/>
        <v>0</v>
      </c>
      <c r="O270" s="13">
        <f t="shared" si="29"/>
        <v>0</v>
      </c>
      <c r="P270" s="12">
        <f>IFERROR(VLOOKUP(B270,'Receivable Invoice Detail'!$S$1:$U$3014,3,FALSE),0)</f>
        <v>0</v>
      </c>
    </row>
    <row r="271" spans="1:16" x14ac:dyDescent="0.25">
      <c r="A271" s="23" t="s">
        <v>4328</v>
      </c>
      <c r="B271" s="23"/>
      <c r="C271" s="23"/>
      <c r="D271" s="23"/>
      <c r="E271" s="23"/>
      <c r="F271" s="24">
        <v>21669.460688981169</v>
      </c>
      <c r="G271" s="24">
        <v>15835.75</v>
      </c>
      <c r="H271" s="24">
        <v>0</v>
      </c>
      <c r="I271" s="24">
        <v>-15835.75</v>
      </c>
      <c r="J271" s="16" t="str">
        <f t="shared" si="30"/>
        <v>USD</v>
      </c>
      <c r="K271">
        <f t="shared" si="25"/>
        <v>13</v>
      </c>
      <c r="L271" t="str">
        <f t="shared" si="26"/>
        <v>SO17368</v>
      </c>
      <c r="M271" s="12">
        <f t="shared" si="27"/>
        <v>0</v>
      </c>
      <c r="N271" s="12">
        <f t="shared" si="28"/>
        <v>0</v>
      </c>
      <c r="O271" s="13" t="str">
        <f t="shared" si="29"/>
        <v>Yes</v>
      </c>
      <c r="P271" s="12">
        <f>IFERROR(VLOOKUP(B271,'Receivable Invoice Detail'!$S$1:$U$3014,3,FALSE),0)</f>
        <v>0</v>
      </c>
    </row>
    <row r="272" spans="1:16" x14ac:dyDescent="0.25">
      <c r="A272" t="s">
        <v>1153</v>
      </c>
      <c r="B272" t="s">
        <v>2905</v>
      </c>
      <c r="C272" t="s">
        <v>450</v>
      </c>
      <c r="D272" t="s">
        <v>22</v>
      </c>
      <c r="E272" t="s">
        <v>4388</v>
      </c>
      <c r="F272" s="16">
        <v>0</v>
      </c>
      <c r="G272" s="16">
        <v>0</v>
      </c>
      <c r="H272" s="16">
        <v>-240.76</v>
      </c>
      <c r="I272" s="16">
        <v>0</v>
      </c>
      <c r="J272" s="16" t="str">
        <f t="shared" si="30"/>
        <v/>
      </c>
      <c r="K272">
        <f t="shared" si="25"/>
        <v>7</v>
      </c>
      <c r="L272" t="str">
        <f t="shared" si="26"/>
        <v/>
      </c>
      <c r="M272" s="12">
        <f t="shared" si="27"/>
        <v>0</v>
      </c>
      <c r="N272" s="12">
        <f t="shared" si="28"/>
        <v>0</v>
      </c>
      <c r="O272" s="13">
        <f t="shared" si="29"/>
        <v>0</v>
      </c>
      <c r="P272" s="12">
        <f>IFERROR(VLOOKUP(B272,'Receivable Invoice Detail'!$S$1:$U$3014,3,FALSE),0)</f>
        <v>0</v>
      </c>
    </row>
    <row r="273" spans="1:16" x14ac:dyDescent="0.25">
      <c r="B273" t="s">
        <v>2906</v>
      </c>
      <c r="C273" t="s">
        <v>450</v>
      </c>
      <c r="D273" t="s">
        <v>22</v>
      </c>
      <c r="E273" t="s">
        <v>4388</v>
      </c>
      <c r="F273" s="16">
        <v>481.52</v>
      </c>
      <c r="G273" s="16">
        <v>351.15139236293976</v>
      </c>
      <c r="H273" s="16">
        <v>-240.76</v>
      </c>
      <c r="I273" s="16">
        <v>0</v>
      </c>
      <c r="J273" s="16" t="str">
        <f t="shared" si="30"/>
        <v/>
      </c>
      <c r="K273">
        <f t="shared" si="25"/>
        <v>0</v>
      </c>
      <c r="L273" t="str">
        <f t="shared" si="26"/>
        <v/>
      </c>
      <c r="M273" s="12">
        <f t="shared" si="27"/>
        <v>0</v>
      </c>
      <c r="N273" s="12">
        <f t="shared" si="28"/>
        <v>0</v>
      </c>
      <c r="O273" s="13">
        <f t="shared" si="29"/>
        <v>0</v>
      </c>
      <c r="P273" s="12">
        <f>IFERROR(VLOOKUP(B273,'Receivable Invoice Detail'!$S$1:$U$3014,3,FALSE),0)</f>
        <v>0</v>
      </c>
    </row>
    <row r="274" spans="1:16" x14ac:dyDescent="0.25">
      <c r="A274" s="23" t="s">
        <v>4329</v>
      </c>
      <c r="B274" s="23"/>
      <c r="C274" s="23"/>
      <c r="D274" s="23"/>
      <c r="E274" s="23"/>
      <c r="F274" s="24">
        <v>481.52</v>
      </c>
      <c r="G274" s="24">
        <v>351.15139236293976</v>
      </c>
      <c r="H274" s="24">
        <v>-481.52</v>
      </c>
      <c r="I274" s="24">
        <v>0</v>
      </c>
      <c r="J274" s="16" t="str">
        <f t="shared" si="30"/>
        <v>CAD</v>
      </c>
      <c r="K274">
        <f t="shared" si="25"/>
        <v>13</v>
      </c>
      <c r="L274" t="str">
        <f t="shared" si="26"/>
        <v>SO17382</v>
      </c>
      <c r="M274" s="12">
        <f t="shared" si="27"/>
        <v>0</v>
      </c>
      <c r="N274" s="12">
        <f t="shared" si="28"/>
        <v>0</v>
      </c>
      <c r="O274" s="13" t="str">
        <f t="shared" si="29"/>
        <v>Yes</v>
      </c>
      <c r="P274" s="12">
        <f>IFERROR(VLOOKUP(B274,'Receivable Invoice Detail'!$S$1:$U$3014,3,FALSE),0)</f>
        <v>0</v>
      </c>
    </row>
    <row r="275" spans="1:16" x14ac:dyDescent="0.25">
      <c r="A275" t="s">
        <v>1163</v>
      </c>
      <c r="B275" t="s">
        <v>2900</v>
      </c>
      <c r="C275" t="s">
        <v>369</v>
      </c>
      <c r="D275" t="s">
        <v>51</v>
      </c>
      <c r="E275" t="s">
        <v>4388</v>
      </c>
      <c r="F275" s="16">
        <v>8492.4217651063773</v>
      </c>
      <c r="G275" s="16">
        <v>6185.82</v>
      </c>
      <c r="H275" s="16">
        <v>0</v>
      </c>
      <c r="I275" s="16">
        <v>-6010.3</v>
      </c>
      <c r="J275" s="16" t="str">
        <f t="shared" si="30"/>
        <v/>
      </c>
      <c r="K275">
        <f t="shared" si="25"/>
        <v>7</v>
      </c>
      <c r="L275" t="str">
        <f t="shared" si="26"/>
        <v/>
      </c>
      <c r="M275" s="12">
        <f t="shared" si="27"/>
        <v>0</v>
      </c>
      <c r="N275" s="12">
        <f t="shared" si="28"/>
        <v>0</v>
      </c>
      <c r="O275" s="13">
        <f t="shared" si="29"/>
        <v>0</v>
      </c>
      <c r="P275" s="12">
        <f>IFERROR(VLOOKUP(B275,'Receivable Invoice Detail'!$S$1:$U$3014,3,FALSE),0)</f>
        <v>0</v>
      </c>
    </row>
    <row r="276" spans="1:16" x14ac:dyDescent="0.25">
      <c r="B276" t="s">
        <v>2899</v>
      </c>
      <c r="C276" t="s">
        <v>369</v>
      </c>
      <c r="D276" t="s">
        <v>51</v>
      </c>
      <c r="E276" t="s">
        <v>4388</v>
      </c>
      <c r="F276" s="16">
        <v>0</v>
      </c>
      <c r="G276" s="16">
        <v>0</v>
      </c>
      <c r="H276" s="16">
        <v>0</v>
      </c>
      <c r="I276" s="16">
        <v>-175.52</v>
      </c>
      <c r="J276" s="16" t="str">
        <f t="shared" si="30"/>
        <v/>
      </c>
      <c r="K276">
        <f t="shared" si="25"/>
        <v>0</v>
      </c>
      <c r="L276" t="str">
        <f t="shared" si="26"/>
        <v/>
      </c>
      <c r="M276" s="12">
        <f t="shared" si="27"/>
        <v>0</v>
      </c>
      <c r="N276" s="12">
        <f t="shared" si="28"/>
        <v>0</v>
      </c>
      <c r="O276" s="13">
        <f t="shared" si="29"/>
        <v>0</v>
      </c>
      <c r="P276" s="12">
        <f>IFERROR(VLOOKUP(B276,'Receivable Invoice Detail'!$S$1:$U$3014,3,FALSE),0)</f>
        <v>0</v>
      </c>
    </row>
    <row r="277" spans="1:16" x14ac:dyDescent="0.25">
      <c r="A277" s="23" t="s">
        <v>4330</v>
      </c>
      <c r="B277" s="23"/>
      <c r="C277" s="23"/>
      <c r="D277" s="23"/>
      <c r="E277" s="23"/>
      <c r="F277" s="24">
        <v>8492.4217651063773</v>
      </c>
      <c r="G277" s="24">
        <v>6185.82</v>
      </c>
      <c r="H277" s="24">
        <v>0</v>
      </c>
      <c r="I277" s="24">
        <v>-6185.8200000000006</v>
      </c>
      <c r="J277" s="16" t="str">
        <f t="shared" si="30"/>
        <v>USD</v>
      </c>
      <c r="K277">
        <f t="shared" si="25"/>
        <v>13</v>
      </c>
      <c r="L277" t="str">
        <f t="shared" si="26"/>
        <v>SO17384</v>
      </c>
      <c r="M277" s="12">
        <f t="shared" si="27"/>
        <v>0</v>
      </c>
      <c r="N277" s="12">
        <f t="shared" si="28"/>
        <v>0</v>
      </c>
      <c r="O277" s="13" t="str">
        <f t="shared" si="29"/>
        <v>Yes</v>
      </c>
      <c r="P277" s="12">
        <f>IFERROR(VLOOKUP(B277,'Receivable Invoice Detail'!$S$1:$U$3014,3,FALSE),0)</f>
        <v>0</v>
      </c>
    </row>
    <row r="278" spans="1:16" x14ac:dyDescent="0.25">
      <c r="A278" t="s">
        <v>1149</v>
      </c>
      <c r="B278" t="s">
        <v>2908</v>
      </c>
      <c r="C278" t="s">
        <v>141</v>
      </c>
      <c r="D278" t="s">
        <v>51</v>
      </c>
      <c r="E278" t="s">
        <v>4388</v>
      </c>
      <c r="F278" s="16">
        <v>0</v>
      </c>
      <c r="G278" s="16">
        <v>0</v>
      </c>
      <c r="H278" s="16">
        <v>0</v>
      </c>
      <c r="I278" s="16">
        <v>-339.85</v>
      </c>
      <c r="J278" s="16" t="str">
        <f t="shared" si="30"/>
        <v/>
      </c>
      <c r="K278">
        <f t="shared" si="25"/>
        <v>7</v>
      </c>
      <c r="L278" t="str">
        <f t="shared" si="26"/>
        <v/>
      </c>
      <c r="M278" s="12">
        <f t="shared" si="27"/>
        <v>0</v>
      </c>
      <c r="N278" s="12">
        <f t="shared" si="28"/>
        <v>0</v>
      </c>
      <c r="O278" s="13">
        <f t="shared" si="29"/>
        <v>0</v>
      </c>
      <c r="P278" s="12">
        <f>IFERROR(VLOOKUP(B278,'Receivable Invoice Detail'!$S$1:$U$3014,3,FALSE),0)</f>
        <v>0</v>
      </c>
    </row>
    <row r="279" spans="1:16" x14ac:dyDescent="0.25">
      <c r="B279" t="s">
        <v>2909</v>
      </c>
      <c r="C279" t="s">
        <v>141</v>
      </c>
      <c r="D279" t="s">
        <v>51</v>
      </c>
      <c r="E279" t="s">
        <v>4388</v>
      </c>
      <c r="F279" s="16">
        <v>1404.0831158458536</v>
      </c>
      <c r="G279" s="16">
        <v>1019.55</v>
      </c>
      <c r="H279" s="16">
        <v>0</v>
      </c>
      <c r="I279" s="16">
        <v>-679.7</v>
      </c>
      <c r="J279" s="16" t="str">
        <f t="shared" si="30"/>
        <v/>
      </c>
      <c r="K279">
        <f t="shared" si="25"/>
        <v>0</v>
      </c>
      <c r="L279" t="str">
        <f t="shared" si="26"/>
        <v/>
      </c>
      <c r="M279" s="12">
        <f t="shared" si="27"/>
        <v>0</v>
      </c>
      <c r="N279" s="12">
        <f t="shared" si="28"/>
        <v>0</v>
      </c>
      <c r="O279" s="13">
        <f t="shared" si="29"/>
        <v>0</v>
      </c>
      <c r="P279" s="12">
        <f>IFERROR(VLOOKUP(B279,'Receivable Invoice Detail'!$S$1:$U$3014,3,FALSE),0)</f>
        <v>0</v>
      </c>
    </row>
    <row r="280" spans="1:16" x14ac:dyDescent="0.25">
      <c r="A280" s="23" t="s">
        <v>4331</v>
      </c>
      <c r="B280" s="23"/>
      <c r="C280" s="23"/>
      <c r="D280" s="23"/>
      <c r="E280" s="23"/>
      <c r="F280" s="24">
        <v>1404.0831158458536</v>
      </c>
      <c r="G280" s="24">
        <v>1019.55</v>
      </c>
      <c r="H280" s="24">
        <v>0</v>
      </c>
      <c r="I280" s="24">
        <v>-1019.5500000000001</v>
      </c>
      <c r="J280" s="16" t="str">
        <f t="shared" si="30"/>
        <v>USD</v>
      </c>
      <c r="K280">
        <f t="shared" si="25"/>
        <v>13</v>
      </c>
      <c r="L280" t="str">
        <f t="shared" si="26"/>
        <v>SO17391</v>
      </c>
      <c r="M280" s="12">
        <f t="shared" si="27"/>
        <v>0</v>
      </c>
      <c r="N280" s="12">
        <f t="shared" si="28"/>
        <v>0</v>
      </c>
      <c r="O280" s="13" t="str">
        <f t="shared" si="29"/>
        <v>Yes</v>
      </c>
      <c r="P280" s="12">
        <f>IFERROR(VLOOKUP(B280,'Receivable Invoice Detail'!$S$1:$U$3014,3,FALSE),0)</f>
        <v>0</v>
      </c>
    </row>
    <row r="281" spans="1:16" x14ac:dyDescent="0.25">
      <c r="A281" t="s">
        <v>1140</v>
      </c>
      <c r="B281" t="s">
        <v>2914</v>
      </c>
      <c r="C281" t="s">
        <v>98</v>
      </c>
      <c r="D281" t="s">
        <v>22</v>
      </c>
      <c r="E281" t="s">
        <v>4389</v>
      </c>
      <c r="F281" s="16">
        <v>0</v>
      </c>
      <c r="G281" s="16">
        <v>0</v>
      </c>
      <c r="H281" s="16">
        <v>0</v>
      </c>
      <c r="I281" s="16">
        <v>0</v>
      </c>
      <c r="J281" s="16" t="str">
        <f t="shared" si="30"/>
        <v/>
      </c>
      <c r="K281">
        <f t="shared" si="25"/>
        <v>7</v>
      </c>
      <c r="L281" t="str">
        <f t="shared" si="26"/>
        <v/>
      </c>
      <c r="M281" s="12">
        <f t="shared" si="27"/>
        <v>0</v>
      </c>
      <c r="N281" s="12">
        <f t="shared" si="28"/>
        <v>0</v>
      </c>
      <c r="O281" s="13">
        <f t="shared" si="29"/>
        <v>0</v>
      </c>
      <c r="P281" s="12">
        <f>IFERROR(VLOOKUP(B281,'Receivable Invoice Detail'!$S$1:$U$3014,3,FALSE),0)</f>
        <v>0</v>
      </c>
    </row>
    <row r="282" spans="1:16" x14ac:dyDescent="0.25">
      <c r="B282" t="s">
        <v>2915</v>
      </c>
      <c r="C282" t="s">
        <v>98</v>
      </c>
      <c r="D282" t="s">
        <v>22</v>
      </c>
      <c r="E282" t="s">
        <v>4388</v>
      </c>
      <c r="F282" s="16">
        <v>775.58</v>
      </c>
      <c r="G282" s="16">
        <v>568.97918717227765</v>
      </c>
      <c r="H282" s="16">
        <v>-224.77</v>
      </c>
      <c r="I282" s="16">
        <v>0</v>
      </c>
      <c r="J282" s="16" t="str">
        <f t="shared" si="30"/>
        <v/>
      </c>
      <c r="K282">
        <f t="shared" si="25"/>
        <v>0</v>
      </c>
      <c r="L282" t="str">
        <f t="shared" si="26"/>
        <v/>
      </c>
      <c r="M282" s="12">
        <f t="shared" si="27"/>
        <v>0</v>
      </c>
      <c r="N282" s="12">
        <f t="shared" si="28"/>
        <v>0</v>
      </c>
      <c r="O282" s="13">
        <f t="shared" si="29"/>
        <v>0</v>
      </c>
      <c r="P282" s="12">
        <f>IFERROR(VLOOKUP(B282,'Receivable Invoice Detail'!$S$1:$U$3014,3,FALSE),0)</f>
        <v>0</v>
      </c>
    </row>
    <row r="283" spans="1:16" x14ac:dyDescent="0.25">
      <c r="B283" t="s">
        <v>2913</v>
      </c>
      <c r="C283" t="s">
        <v>98</v>
      </c>
      <c r="D283" t="s">
        <v>22</v>
      </c>
      <c r="E283" t="s">
        <v>4388</v>
      </c>
      <c r="F283" s="16">
        <v>0</v>
      </c>
      <c r="G283" s="16">
        <v>0</v>
      </c>
      <c r="H283" s="16">
        <v>-550.80999999999995</v>
      </c>
      <c r="I283" s="16">
        <v>0</v>
      </c>
      <c r="J283" s="16" t="str">
        <f t="shared" si="30"/>
        <v/>
      </c>
      <c r="K283">
        <f t="shared" si="25"/>
        <v>0</v>
      </c>
      <c r="L283" t="str">
        <f t="shared" si="26"/>
        <v/>
      </c>
      <c r="M283" s="12">
        <f t="shared" si="27"/>
        <v>0</v>
      </c>
      <c r="N283" s="12">
        <f t="shared" si="28"/>
        <v>0</v>
      </c>
      <c r="O283" s="13">
        <f t="shared" si="29"/>
        <v>0</v>
      </c>
      <c r="P283" s="12">
        <f>IFERROR(VLOOKUP(B283,'Receivable Invoice Detail'!$S$1:$U$3014,3,FALSE),0)</f>
        <v>0</v>
      </c>
    </row>
    <row r="284" spans="1:16" x14ac:dyDescent="0.25">
      <c r="A284" s="23" t="s">
        <v>4332</v>
      </c>
      <c r="B284" s="23"/>
      <c r="C284" s="23"/>
      <c r="D284" s="23"/>
      <c r="E284" s="23"/>
      <c r="F284" s="24">
        <v>775.58</v>
      </c>
      <c r="G284" s="24">
        <v>568.97918717227765</v>
      </c>
      <c r="H284" s="24">
        <v>-775.57999999999993</v>
      </c>
      <c r="I284" s="24">
        <v>0</v>
      </c>
      <c r="J284" s="16" t="str">
        <f t="shared" si="30"/>
        <v>CAD</v>
      </c>
      <c r="K284">
        <f t="shared" si="25"/>
        <v>13</v>
      </c>
      <c r="L284" t="str">
        <f t="shared" si="26"/>
        <v>SO17397</v>
      </c>
      <c r="M284" s="12">
        <f t="shared" si="27"/>
        <v>0</v>
      </c>
      <c r="N284" s="12">
        <f t="shared" si="28"/>
        <v>0</v>
      </c>
      <c r="O284" s="13" t="str">
        <f t="shared" si="29"/>
        <v>Yes</v>
      </c>
      <c r="P284" s="12">
        <f>IFERROR(VLOOKUP(B284,'Receivable Invoice Detail'!$S$1:$U$3014,3,FALSE),0)</f>
        <v>0</v>
      </c>
    </row>
    <row r="285" spans="1:16" x14ac:dyDescent="0.25">
      <c r="A285" t="s">
        <v>1108</v>
      </c>
      <c r="B285" t="s">
        <v>2935</v>
      </c>
      <c r="C285" t="s">
        <v>77</v>
      </c>
      <c r="D285" t="s">
        <v>22</v>
      </c>
      <c r="E285" t="s">
        <v>4388</v>
      </c>
      <c r="F285" s="16">
        <v>4196.78</v>
      </c>
      <c r="G285" s="16">
        <v>3075.2708768597663</v>
      </c>
      <c r="H285" s="16">
        <v>-2041</v>
      </c>
      <c r="I285" s="16">
        <v>0</v>
      </c>
      <c r="J285" s="16" t="str">
        <f t="shared" si="30"/>
        <v/>
      </c>
      <c r="K285">
        <f t="shared" si="25"/>
        <v>7</v>
      </c>
      <c r="L285" t="str">
        <f t="shared" si="26"/>
        <v/>
      </c>
      <c r="M285" s="12">
        <f t="shared" si="27"/>
        <v>0</v>
      </c>
      <c r="N285" s="12">
        <f t="shared" si="28"/>
        <v>0</v>
      </c>
      <c r="O285" s="13">
        <f t="shared" si="29"/>
        <v>0</v>
      </c>
      <c r="P285" s="12">
        <f>IFERROR(VLOOKUP(B285,'Receivable Invoice Detail'!$S$1:$U$3014,3,FALSE),0)</f>
        <v>0</v>
      </c>
    </row>
    <row r="286" spans="1:16" x14ac:dyDescent="0.25">
      <c r="B286" t="s">
        <v>2934</v>
      </c>
      <c r="C286" t="s">
        <v>77</v>
      </c>
      <c r="D286" t="s">
        <v>22</v>
      </c>
      <c r="E286" t="s">
        <v>4388</v>
      </c>
      <c r="F286" s="16">
        <v>0</v>
      </c>
      <c r="G286" s="16">
        <v>0</v>
      </c>
      <c r="H286" s="16">
        <v>-2155.7800000000002</v>
      </c>
      <c r="I286" s="16">
        <v>0</v>
      </c>
      <c r="J286" s="16" t="str">
        <f t="shared" si="30"/>
        <v/>
      </c>
      <c r="K286">
        <f t="shared" si="25"/>
        <v>0</v>
      </c>
      <c r="L286" t="str">
        <f t="shared" si="26"/>
        <v/>
      </c>
      <c r="M286" s="12">
        <f t="shared" si="27"/>
        <v>0</v>
      </c>
      <c r="N286" s="12">
        <f t="shared" si="28"/>
        <v>0</v>
      </c>
      <c r="O286" s="13">
        <f t="shared" si="29"/>
        <v>0</v>
      </c>
      <c r="P286" s="12">
        <f>IFERROR(VLOOKUP(B286,'Receivable Invoice Detail'!$S$1:$U$3014,3,FALSE),0)</f>
        <v>0</v>
      </c>
    </row>
    <row r="287" spans="1:16" x14ac:dyDescent="0.25">
      <c r="A287" s="23" t="s">
        <v>4333</v>
      </c>
      <c r="B287" s="23"/>
      <c r="C287" s="23"/>
      <c r="D287" s="23"/>
      <c r="E287" s="23"/>
      <c r="F287" s="24">
        <v>4196.78</v>
      </c>
      <c r="G287" s="24">
        <v>3075.2708768597663</v>
      </c>
      <c r="H287" s="24">
        <v>-4196.7800000000007</v>
      </c>
      <c r="I287" s="24">
        <v>0</v>
      </c>
      <c r="J287" s="16" t="str">
        <f t="shared" si="30"/>
        <v>CAD</v>
      </c>
      <c r="K287">
        <f t="shared" si="25"/>
        <v>13</v>
      </c>
      <c r="L287" t="str">
        <f t="shared" si="26"/>
        <v>SO17410</v>
      </c>
      <c r="M287" s="12">
        <f t="shared" si="27"/>
        <v>0</v>
      </c>
      <c r="N287" s="12">
        <f t="shared" si="28"/>
        <v>0</v>
      </c>
      <c r="O287" s="13" t="str">
        <f t="shared" si="29"/>
        <v>Yes</v>
      </c>
      <c r="P287" s="12">
        <f>IFERROR(VLOOKUP(B287,'Receivable Invoice Detail'!$S$1:$U$3014,3,FALSE),0)</f>
        <v>0</v>
      </c>
    </row>
    <row r="288" spans="1:16" x14ac:dyDescent="0.25">
      <c r="A288" t="s">
        <v>1124</v>
      </c>
      <c r="B288" t="s">
        <v>2924</v>
      </c>
      <c r="C288" t="s">
        <v>146</v>
      </c>
      <c r="D288" t="s">
        <v>22</v>
      </c>
      <c r="E288" t="s">
        <v>4388</v>
      </c>
      <c r="F288" s="16">
        <v>11084.43</v>
      </c>
      <c r="G288" s="16">
        <v>8114.3395844024626</v>
      </c>
      <c r="H288" s="16">
        <v>-7637.48</v>
      </c>
      <c r="I288" s="16">
        <v>0</v>
      </c>
      <c r="J288" s="16" t="str">
        <f t="shared" si="30"/>
        <v/>
      </c>
      <c r="K288">
        <f t="shared" si="25"/>
        <v>7</v>
      </c>
      <c r="L288" t="str">
        <f t="shared" si="26"/>
        <v/>
      </c>
      <c r="M288" s="12">
        <f t="shared" si="27"/>
        <v>0</v>
      </c>
      <c r="N288" s="12">
        <f t="shared" si="28"/>
        <v>0</v>
      </c>
      <c r="O288" s="13">
        <f t="shared" si="29"/>
        <v>0</v>
      </c>
      <c r="P288" s="12">
        <f>IFERROR(VLOOKUP(B288,'Receivable Invoice Detail'!$S$1:$U$3014,3,FALSE),0)</f>
        <v>0</v>
      </c>
    </row>
    <row r="289" spans="1:16" x14ac:dyDescent="0.25">
      <c r="B289" t="s">
        <v>2923</v>
      </c>
      <c r="C289" t="s">
        <v>146</v>
      </c>
      <c r="D289" t="s">
        <v>22</v>
      </c>
      <c r="E289" t="s">
        <v>4388</v>
      </c>
      <c r="F289" s="16">
        <v>0</v>
      </c>
      <c r="G289" s="16">
        <v>0</v>
      </c>
      <c r="H289" s="16">
        <v>-3446.95</v>
      </c>
      <c r="I289" s="16">
        <v>0</v>
      </c>
      <c r="J289" s="16" t="str">
        <f t="shared" si="30"/>
        <v/>
      </c>
      <c r="K289">
        <f t="shared" si="25"/>
        <v>0</v>
      </c>
      <c r="L289" t="str">
        <f t="shared" si="26"/>
        <v/>
      </c>
      <c r="M289" s="12">
        <f t="shared" si="27"/>
        <v>0</v>
      </c>
      <c r="N289" s="12">
        <f t="shared" si="28"/>
        <v>0</v>
      </c>
      <c r="O289" s="13">
        <f t="shared" si="29"/>
        <v>0</v>
      </c>
      <c r="P289" s="12">
        <f>IFERROR(VLOOKUP(B289,'Receivable Invoice Detail'!$S$1:$U$3014,3,FALSE),0)</f>
        <v>0</v>
      </c>
    </row>
    <row r="290" spans="1:16" x14ac:dyDescent="0.25">
      <c r="A290" s="23" t="s">
        <v>4334</v>
      </c>
      <c r="B290" s="23"/>
      <c r="C290" s="23"/>
      <c r="D290" s="23"/>
      <c r="E290" s="23"/>
      <c r="F290" s="24">
        <v>11084.43</v>
      </c>
      <c r="G290" s="24">
        <v>8114.3395844024626</v>
      </c>
      <c r="H290" s="24">
        <v>-11084.43</v>
      </c>
      <c r="I290" s="24">
        <v>0</v>
      </c>
      <c r="J290" s="16" t="str">
        <f t="shared" si="30"/>
        <v>CAD</v>
      </c>
      <c r="K290">
        <f t="shared" si="25"/>
        <v>13</v>
      </c>
      <c r="L290" t="str">
        <f t="shared" si="26"/>
        <v>SO17421</v>
      </c>
      <c r="M290" s="12">
        <f t="shared" si="27"/>
        <v>0</v>
      </c>
      <c r="N290" s="12">
        <f t="shared" si="28"/>
        <v>0</v>
      </c>
      <c r="O290" s="13" t="str">
        <f t="shared" si="29"/>
        <v>Yes</v>
      </c>
      <c r="P290" s="12">
        <f>IFERROR(VLOOKUP(B290,'Receivable Invoice Detail'!$S$1:$U$3014,3,FALSE),0)</f>
        <v>0</v>
      </c>
    </row>
    <row r="291" spans="1:16" x14ac:dyDescent="0.25">
      <c r="A291" t="s">
        <v>1128</v>
      </c>
      <c r="B291" t="s">
        <v>2920</v>
      </c>
      <c r="C291" t="s">
        <v>232</v>
      </c>
      <c r="D291" t="s">
        <v>51</v>
      </c>
      <c r="E291" t="s">
        <v>4388</v>
      </c>
      <c r="F291" s="16">
        <v>0</v>
      </c>
      <c r="G291" s="16">
        <v>0</v>
      </c>
      <c r="H291" s="16">
        <v>0</v>
      </c>
      <c r="I291" s="16">
        <v>-13540</v>
      </c>
      <c r="J291" s="16" t="str">
        <f t="shared" si="30"/>
        <v/>
      </c>
      <c r="K291">
        <f t="shared" si="25"/>
        <v>7</v>
      </c>
      <c r="L291" t="str">
        <f t="shared" si="26"/>
        <v/>
      </c>
      <c r="M291" s="12">
        <f t="shared" si="27"/>
        <v>0</v>
      </c>
      <c r="N291" s="12">
        <f t="shared" si="28"/>
        <v>0</v>
      </c>
      <c r="O291" s="13">
        <f t="shared" si="29"/>
        <v>0</v>
      </c>
      <c r="P291" s="12">
        <f>IFERROR(VLOOKUP(B291,'Receivable Invoice Detail'!$S$1:$U$3014,3,FALSE),0)</f>
        <v>1240</v>
      </c>
    </row>
    <row r="292" spans="1:16" x14ac:dyDescent="0.25">
      <c r="B292" t="s">
        <v>2921</v>
      </c>
      <c r="C292" t="s">
        <v>232</v>
      </c>
      <c r="D292" t="s">
        <v>51</v>
      </c>
      <c r="E292" t="s">
        <v>4388</v>
      </c>
      <c r="F292" s="16">
        <v>35193.886801052977</v>
      </c>
      <c r="G292" s="16">
        <v>25840</v>
      </c>
      <c r="H292" s="16">
        <v>0</v>
      </c>
      <c r="I292" s="16">
        <v>-12300</v>
      </c>
      <c r="J292" s="16" t="str">
        <f t="shared" si="30"/>
        <v/>
      </c>
      <c r="K292">
        <f t="shared" si="25"/>
        <v>0</v>
      </c>
      <c r="L292" t="str">
        <f t="shared" si="26"/>
        <v/>
      </c>
      <c r="M292" s="12">
        <f t="shared" si="27"/>
        <v>0</v>
      </c>
      <c r="N292" s="12">
        <f t="shared" si="28"/>
        <v>0</v>
      </c>
      <c r="O292" s="13">
        <f t="shared" si="29"/>
        <v>0</v>
      </c>
      <c r="P292" s="12">
        <f>IFERROR(VLOOKUP(B292,'Receivable Invoice Detail'!$S$1:$U$3014,3,FALSE),0)</f>
        <v>0</v>
      </c>
    </row>
    <row r="293" spans="1:16" x14ac:dyDescent="0.25">
      <c r="A293" s="23" t="s">
        <v>4335</v>
      </c>
      <c r="B293" s="23"/>
      <c r="C293" s="23"/>
      <c r="D293" s="23"/>
      <c r="E293" s="23"/>
      <c r="F293" s="24">
        <v>35193.886801052977</v>
      </c>
      <c r="G293" s="24">
        <v>25840</v>
      </c>
      <c r="H293" s="24">
        <v>0</v>
      </c>
      <c r="I293" s="24">
        <v>-25840</v>
      </c>
      <c r="J293" s="16" t="str">
        <f t="shared" si="30"/>
        <v>USD</v>
      </c>
      <c r="K293">
        <f t="shared" si="25"/>
        <v>13</v>
      </c>
      <c r="L293" t="str">
        <f t="shared" si="26"/>
        <v>SO17425</v>
      </c>
      <c r="M293" s="12">
        <f t="shared" si="27"/>
        <v>0</v>
      </c>
      <c r="N293" s="12">
        <f t="shared" si="28"/>
        <v>0</v>
      </c>
      <c r="O293" s="13" t="str">
        <f t="shared" si="29"/>
        <v>Yes</v>
      </c>
      <c r="P293" s="12">
        <f>IFERROR(VLOOKUP(B293,'Receivable Invoice Detail'!$S$1:$U$3014,3,FALSE),0)</f>
        <v>0</v>
      </c>
    </row>
    <row r="294" spans="1:16" x14ac:dyDescent="0.25">
      <c r="A294" t="s">
        <v>1116</v>
      </c>
      <c r="B294" t="s">
        <v>2929</v>
      </c>
      <c r="C294" t="s">
        <v>98</v>
      </c>
      <c r="D294" t="s">
        <v>22</v>
      </c>
      <c r="E294" t="s">
        <v>4388</v>
      </c>
      <c r="F294" s="16">
        <v>0</v>
      </c>
      <c r="G294" s="16">
        <v>0</v>
      </c>
      <c r="H294" s="16">
        <v>-80.05</v>
      </c>
      <c r="I294" s="16">
        <v>0</v>
      </c>
      <c r="J294" s="16" t="str">
        <f t="shared" si="30"/>
        <v/>
      </c>
      <c r="K294">
        <f t="shared" si="25"/>
        <v>7</v>
      </c>
      <c r="L294" t="str">
        <f t="shared" si="26"/>
        <v/>
      </c>
      <c r="M294" s="12">
        <f t="shared" si="27"/>
        <v>0</v>
      </c>
      <c r="N294" s="12">
        <f t="shared" si="28"/>
        <v>0</v>
      </c>
      <c r="O294" s="13">
        <f t="shared" si="29"/>
        <v>0</v>
      </c>
      <c r="P294" s="12">
        <f>IFERROR(VLOOKUP(B294,'Receivable Invoice Detail'!$S$1:$U$3014,3,FALSE),0)</f>
        <v>0</v>
      </c>
    </row>
    <row r="295" spans="1:16" x14ac:dyDescent="0.25">
      <c r="B295" t="s">
        <v>2930</v>
      </c>
      <c r="C295" t="s">
        <v>98</v>
      </c>
      <c r="D295" t="s">
        <v>22</v>
      </c>
      <c r="E295" t="s">
        <v>4388</v>
      </c>
      <c r="F295" s="16">
        <v>3388.05</v>
      </c>
      <c r="G295" s="16">
        <v>2498.3303118685494</v>
      </c>
      <c r="H295" s="16">
        <v>-3308</v>
      </c>
      <c r="I295" s="16">
        <v>0</v>
      </c>
      <c r="J295" s="16" t="str">
        <f t="shared" si="30"/>
        <v/>
      </c>
      <c r="K295">
        <f t="shared" si="25"/>
        <v>0</v>
      </c>
      <c r="L295" t="str">
        <f t="shared" si="26"/>
        <v/>
      </c>
      <c r="M295" s="12">
        <f t="shared" si="27"/>
        <v>0</v>
      </c>
      <c r="N295" s="12">
        <f t="shared" si="28"/>
        <v>0</v>
      </c>
      <c r="O295" s="13">
        <f t="shared" si="29"/>
        <v>0</v>
      </c>
      <c r="P295" s="12">
        <f>IFERROR(VLOOKUP(B295,'Receivable Invoice Detail'!$S$1:$U$3014,3,FALSE),0)</f>
        <v>0</v>
      </c>
    </row>
    <row r="296" spans="1:16" x14ac:dyDescent="0.25">
      <c r="A296" s="23" t="s">
        <v>4336</v>
      </c>
      <c r="B296" s="23"/>
      <c r="C296" s="23"/>
      <c r="D296" s="23"/>
      <c r="E296" s="23"/>
      <c r="F296" s="24">
        <v>3388.05</v>
      </c>
      <c r="G296" s="24">
        <v>2498.3303118685494</v>
      </c>
      <c r="H296" s="24">
        <v>-3388.05</v>
      </c>
      <c r="I296" s="24">
        <v>0</v>
      </c>
      <c r="J296" s="16" t="str">
        <f t="shared" si="30"/>
        <v>CAD</v>
      </c>
      <c r="K296">
        <f t="shared" si="25"/>
        <v>13</v>
      </c>
      <c r="L296" t="str">
        <f t="shared" si="26"/>
        <v>SO17430</v>
      </c>
      <c r="M296" s="12">
        <f t="shared" si="27"/>
        <v>0</v>
      </c>
      <c r="N296" s="12">
        <f t="shared" si="28"/>
        <v>0</v>
      </c>
      <c r="O296" s="13" t="str">
        <f t="shared" si="29"/>
        <v>Yes</v>
      </c>
      <c r="P296" s="12">
        <f>IFERROR(VLOOKUP(B296,'Receivable Invoice Detail'!$S$1:$U$3014,3,FALSE),0)</f>
        <v>0</v>
      </c>
    </row>
    <row r="297" spans="1:16" x14ac:dyDescent="0.25">
      <c r="A297" t="s">
        <v>1103</v>
      </c>
      <c r="B297" t="s">
        <v>2937</v>
      </c>
      <c r="C297" t="s">
        <v>1105</v>
      </c>
      <c r="D297" t="s">
        <v>22</v>
      </c>
      <c r="E297" t="s">
        <v>4388</v>
      </c>
      <c r="F297" s="16">
        <v>0</v>
      </c>
      <c r="G297" s="16">
        <v>0</v>
      </c>
      <c r="H297" s="16">
        <v>-23.43</v>
      </c>
      <c r="I297" s="16">
        <v>0</v>
      </c>
      <c r="J297" s="16" t="str">
        <f t="shared" si="30"/>
        <v/>
      </c>
      <c r="K297">
        <f t="shared" si="25"/>
        <v>7</v>
      </c>
      <c r="L297" t="str">
        <f t="shared" si="26"/>
        <v/>
      </c>
      <c r="M297" s="12">
        <f t="shared" si="27"/>
        <v>0</v>
      </c>
      <c r="N297" s="12">
        <f t="shared" si="28"/>
        <v>0</v>
      </c>
      <c r="O297" s="13">
        <f t="shared" si="29"/>
        <v>0</v>
      </c>
      <c r="P297" s="12">
        <f>IFERROR(VLOOKUP(B297,'Receivable Invoice Detail'!$S$1:$U$3014,3,FALSE),0)</f>
        <v>0</v>
      </c>
    </row>
    <row r="298" spans="1:16" x14ac:dyDescent="0.25">
      <c r="B298" t="s">
        <v>2938</v>
      </c>
      <c r="C298" t="s">
        <v>1105</v>
      </c>
      <c r="D298" t="s">
        <v>22</v>
      </c>
      <c r="E298" t="s">
        <v>4388</v>
      </c>
      <c r="F298" s="16">
        <v>429.43</v>
      </c>
      <c r="G298" s="16">
        <v>313.35477304731364</v>
      </c>
      <c r="H298" s="16">
        <v>-406</v>
      </c>
      <c r="I298" s="16">
        <v>0</v>
      </c>
      <c r="J298" s="16" t="str">
        <f t="shared" si="30"/>
        <v/>
      </c>
      <c r="K298">
        <f t="shared" si="25"/>
        <v>0</v>
      </c>
      <c r="L298" t="str">
        <f t="shared" si="26"/>
        <v/>
      </c>
      <c r="M298" s="12">
        <f t="shared" si="27"/>
        <v>0</v>
      </c>
      <c r="N298" s="12">
        <f t="shared" si="28"/>
        <v>0</v>
      </c>
      <c r="O298" s="13">
        <f t="shared" si="29"/>
        <v>0</v>
      </c>
      <c r="P298" s="12">
        <f>IFERROR(VLOOKUP(B298,'Receivable Invoice Detail'!$S$1:$U$3014,3,FALSE),0)</f>
        <v>0</v>
      </c>
    </row>
    <row r="299" spans="1:16" x14ac:dyDescent="0.25">
      <c r="A299" s="23" t="s">
        <v>4337</v>
      </c>
      <c r="B299" s="23"/>
      <c r="C299" s="23"/>
      <c r="D299" s="23"/>
      <c r="E299" s="23"/>
      <c r="F299" s="24">
        <v>429.43</v>
      </c>
      <c r="G299" s="24">
        <v>313.35477304731364</v>
      </c>
      <c r="H299" s="24">
        <v>-429.43</v>
      </c>
      <c r="I299" s="24">
        <v>0</v>
      </c>
      <c r="J299" s="16" t="str">
        <f t="shared" si="30"/>
        <v>CAD</v>
      </c>
      <c r="K299">
        <f t="shared" si="25"/>
        <v>13</v>
      </c>
      <c r="L299" t="str">
        <f t="shared" si="26"/>
        <v>SO17431</v>
      </c>
      <c r="M299" s="12">
        <f t="shared" si="27"/>
        <v>0</v>
      </c>
      <c r="N299" s="12">
        <f t="shared" si="28"/>
        <v>0</v>
      </c>
      <c r="O299" s="13" t="str">
        <f t="shared" si="29"/>
        <v>Yes</v>
      </c>
      <c r="P299" s="12">
        <f>IFERROR(VLOOKUP(B299,'Receivable Invoice Detail'!$S$1:$U$3014,3,FALSE),0)</f>
        <v>0</v>
      </c>
    </row>
    <row r="300" spans="1:16" x14ac:dyDescent="0.25">
      <c r="A300" t="s">
        <v>1083</v>
      </c>
      <c r="B300" t="s">
        <v>2948</v>
      </c>
      <c r="C300" t="s">
        <v>684</v>
      </c>
      <c r="D300" t="s">
        <v>22</v>
      </c>
      <c r="E300" t="s">
        <v>4388</v>
      </c>
      <c r="F300" s="16">
        <v>0</v>
      </c>
      <c r="G300" s="16">
        <v>0</v>
      </c>
      <c r="H300" s="16">
        <v>-537.82000000000005</v>
      </c>
      <c r="I300" s="16">
        <v>0</v>
      </c>
      <c r="J300" s="16" t="str">
        <f t="shared" si="30"/>
        <v/>
      </c>
      <c r="K300">
        <f t="shared" si="25"/>
        <v>7</v>
      </c>
      <c r="L300" t="str">
        <f t="shared" si="26"/>
        <v/>
      </c>
      <c r="M300" s="12">
        <f t="shared" si="27"/>
        <v>0</v>
      </c>
      <c r="N300" s="12">
        <f t="shared" si="28"/>
        <v>0</v>
      </c>
      <c r="O300" s="13">
        <f t="shared" si="29"/>
        <v>0</v>
      </c>
      <c r="P300" s="12">
        <f>IFERROR(VLOOKUP(B300,'Receivable Invoice Detail'!$S$1:$U$3014,3,FALSE),0)</f>
        <v>0</v>
      </c>
    </row>
    <row r="301" spans="1:16" x14ac:dyDescent="0.25">
      <c r="B301" t="s">
        <v>2949</v>
      </c>
      <c r="C301" t="s">
        <v>684</v>
      </c>
      <c r="D301" t="s">
        <v>22</v>
      </c>
      <c r="E301" t="s">
        <v>4388</v>
      </c>
      <c r="F301" s="16">
        <v>1315.82</v>
      </c>
      <c r="G301" s="16">
        <v>960.73463721764199</v>
      </c>
      <c r="H301" s="16">
        <v>-778</v>
      </c>
      <c r="I301" s="16">
        <v>0</v>
      </c>
      <c r="J301" s="16" t="str">
        <f t="shared" si="30"/>
        <v/>
      </c>
      <c r="K301">
        <f t="shared" si="25"/>
        <v>0</v>
      </c>
      <c r="L301" t="str">
        <f t="shared" si="26"/>
        <v/>
      </c>
      <c r="M301" s="12">
        <f t="shared" si="27"/>
        <v>0</v>
      </c>
      <c r="N301" s="12">
        <f t="shared" si="28"/>
        <v>0</v>
      </c>
      <c r="O301" s="13">
        <f t="shared" si="29"/>
        <v>0</v>
      </c>
      <c r="P301" s="12">
        <f>IFERROR(VLOOKUP(B301,'Receivable Invoice Detail'!$S$1:$U$3014,3,FALSE),0)</f>
        <v>0</v>
      </c>
    </row>
    <row r="302" spans="1:16" x14ac:dyDescent="0.25">
      <c r="A302" s="23" t="s">
        <v>4338</v>
      </c>
      <c r="B302" s="23"/>
      <c r="C302" s="23"/>
      <c r="D302" s="23"/>
      <c r="E302" s="23"/>
      <c r="F302" s="24">
        <v>1315.82</v>
      </c>
      <c r="G302" s="24">
        <v>960.73463721764199</v>
      </c>
      <c r="H302" s="24">
        <v>-1315.8200000000002</v>
      </c>
      <c r="I302" s="24">
        <v>0</v>
      </c>
      <c r="J302" s="16" t="str">
        <f t="shared" si="30"/>
        <v>CAD</v>
      </c>
      <c r="K302">
        <f t="shared" si="25"/>
        <v>13</v>
      </c>
      <c r="L302" t="str">
        <f t="shared" si="26"/>
        <v>SO17453</v>
      </c>
      <c r="M302" s="12">
        <f t="shared" si="27"/>
        <v>0</v>
      </c>
      <c r="N302" s="12">
        <f t="shared" si="28"/>
        <v>0</v>
      </c>
      <c r="O302" s="13" t="str">
        <f t="shared" si="29"/>
        <v>Yes</v>
      </c>
      <c r="P302" s="12">
        <f>IFERROR(VLOOKUP(B302,'Receivable Invoice Detail'!$S$1:$U$3014,3,FALSE),0)</f>
        <v>0</v>
      </c>
    </row>
    <row r="303" spans="1:16" x14ac:dyDescent="0.25">
      <c r="A303" t="s">
        <v>1087</v>
      </c>
      <c r="B303" t="s">
        <v>2945</v>
      </c>
      <c r="C303" t="s">
        <v>141</v>
      </c>
      <c r="D303" t="s">
        <v>51</v>
      </c>
      <c r="E303" t="s">
        <v>4388</v>
      </c>
      <c r="F303" s="16">
        <v>0</v>
      </c>
      <c r="G303" s="16">
        <v>0</v>
      </c>
      <c r="H303" s="16">
        <v>0</v>
      </c>
      <c r="I303" s="16">
        <v>-184.92</v>
      </c>
      <c r="J303" s="16" t="str">
        <f t="shared" si="30"/>
        <v/>
      </c>
      <c r="K303">
        <f t="shared" si="25"/>
        <v>7</v>
      </c>
      <c r="L303" t="str">
        <f t="shared" si="26"/>
        <v/>
      </c>
      <c r="M303" s="12">
        <f t="shared" si="27"/>
        <v>0</v>
      </c>
      <c r="N303" s="12">
        <f t="shared" si="28"/>
        <v>0</v>
      </c>
      <c r="O303" s="13">
        <f t="shared" si="29"/>
        <v>0</v>
      </c>
      <c r="P303" s="12">
        <f>IFERROR(VLOOKUP(B303,'Receivable Invoice Detail'!$S$1:$U$3014,3,FALSE),0)</f>
        <v>0</v>
      </c>
    </row>
    <row r="304" spans="1:16" x14ac:dyDescent="0.25">
      <c r="B304" t="s">
        <v>2946</v>
      </c>
      <c r="C304" t="s">
        <v>141</v>
      </c>
      <c r="D304" t="s">
        <v>51</v>
      </c>
      <c r="E304" t="s">
        <v>4388</v>
      </c>
      <c r="F304" s="16">
        <v>504.7155770502157</v>
      </c>
      <c r="G304" s="16">
        <v>369.84</v>
      </c>
      <c r="H304" s="16">
        <v>0</v>
      </c>
      <c r="I304" s="16">
        <v>-184.92</v>
      </c>
      <c r="J304" s="16" t="str">
        <f t="shared" si="30"/>
        <v/>
      </c>
      <c r="K304">
        <f t="shared" si="25"/>
        <v>0</v>
      </c>
      <c r="L304" t="str">
        <f t="shared" si="26"/>
        <v/>
      </c>
      <c r="M304" s="12">
        <f t="shared" si="27"/>
        <v>0</v>
      </c>
      <c r="N304" s="12">
        <f t="shared" si="28"/>
        <v>0</v>
      </c>
      <c r="O304" s="13">
        <f t="shared" si="29"/>
        <v>0</v>
      </c>
      <c r="P304" s="12">
        <f>IFERROR(VLOOKUP(B304,'Receivable Invoice Detail'!$S$1:$U$3014,3,FALSE),0)</f>
        <v>0</v>
      </c>
    </row>
    <row r="305" spans="1:16" x14ac:dyDescent="0.25">
      <c r="A305" s="23" t="s">
        <v>4339</v>
      </c>
      <c r="B305" s="23"/>
      <c r="C305" s="23"/>
      <c r="D305" s="23"/>
      <c r="E305" s="23"/>
      <c r="F305" s="24">
        <v>504.7155770502157</v>
      </c>
      <c r="G305" s="24">
        <v>369.84</v>
      </c>
      <c r="H305" s="24">
        <v>0</v>
      </c>
      <c r="I305" s="24">
        <v>-369.84</v>
      </c>
      <c r="J305" s="16" t="str">
        <f t="shared" si="30"/>
        <v>USD</v>
      </c>
      <c r="K305">
        <f t="shared" si="25"/>
        <v>13</v>
      </c>
      <c r="L305" t="str">
        <f t="shared" si="26"/>
        <v>SO17456</v>
      </c>
      <c r="M305" s="12">
        <f t="shared" si="27"/>
        <v>0</v>
      </c>
      <c r="N305" s="12">
        <f t="shared" si="28"/>
        <v>0</v>
      </c>
      <c r="O305" s="13" t="str">
        <f t="shared" si="29"/>
        <v>Yes</v>
      </c>
      <c r="P305" s="12">
        <f>IFERROR(VLOOKUP(B305,'Receivable Invoice Detail'!$S$1:$U$3014,3,FALSE),0)</f>
        <v>0</v>
      </c>
    </row>
    <row r="306" spans="1:16" x14ac:dyDescent="0.25">
      <c r="A306" t="s">
        <v>1077</v>
      </c>
      <c r="B306" t="s">
        <v>2952</v>
      </c>
      <c r="C306" t="s">
        <v>242</v>
      </c>
      <c r="D306" t="s">
        <v>22</v>
      </c>
      <c r="E306" t="s">
        <v>4388</v>
      </c>
      <c r="F306" s="16">
        <v>0</v>
      </c>
      <c r="G306" s="16">
        <v>0</v>
      </c>
      <c r="H306" s="16">
        <v>-924.36</v>
      </c>
      <c r="I306" s="16">
        <v>0</v>
      </c>
      <c r="J306" s="16" t="str">
        <f t="shared" si="30"/>
        <v/>
      </c>
      <c r="K306">
        <f t="shared" si="25"/>
        <v>7</v>
      </c>
      <c r="L306" t="str">
        <f t="shared" si="26"/>
        <v/>
      </c>
      <c r="M306" s="12">
        <f t="shared" si="27"/>
        <v>0</v>
      </c>
      <c r="N306" s="12">
        <f t="shared" si="28"/>
        <v>0</v>
      </c>
      <c r="O306" s="13">
        <f t="shared" si="29"/>
        <v>0</v>
      </c>
      <c r="P306" s="12">
        <f>IFERROR(VLOOKUP(B306,'Receivable Invoice Detail'!$S$1:$U$3014,3,FALSE),0)</f>
        <v>0</v>
      </c>
    </row>
    <row r="307" spans="1:16" x14ac:dyDescent="0.25">
      <c r="B307" t="s">
        <v>2953</v>
      </c>
      <c r="C307" t="s">
        <v>242</v>
      </c>
      <c r="D307" t="s">
        <v>22</v>
      </c>
      <c r="E307" t="s">
        <v>4388</v>
      </c>
      <c r="F307" s="16">
        <v>984.36</v>
      </c>
      <c r="G307" s="16">
        <v>718.72197374379334</v>
      </c>
      <c r="H307" s="16">
        <v>-60</v>
      </c>
      <c r="I307" s="16">
        <v>0</v>
      </c>
      <c r="J307" s="16" t="str">
        <f t="shared" si="30"/>
        <v/>
      </c>
      <c r="K307">
        <f t="shared" si="25"/>
        <v>0</v>
      </c>
      <c r="L307" t="str">
        <f t="shared" si="26"/>
        <v/>
      </c>
      <c r="M307" s="12">
        <f t="shared" si="27"/>
        <v>0</v>
      </c>
      <c r="N307" s="12">
        <f t="shared" si="28"/>
        <v>0</v>
      </c>
      <c r="O307" s="13">
        <f t="shared" si="29"/>
        <v>0</v>
      </c>
      <c r="P307" s="12">
        <f>IFERROR(VLOOKUP(B307,'Receivable Invoice Detail'!$S$1:$U$3014,3,FALSE),0)</f>
        <v>0</v>
      </c>
    </row>
    <row r="308" spans="1:16" x14ac:dyDescent="0.25">
      <c r="A308" s="23" t="s">
        <v>4340</v>
      </c>
      <c r="B308" s="23"/>
      <c r="C308" s="23"/>
      <c r="D308" s="23"/>
      <c r="E308" s="23"/>
      <c r="F308" s="24">
        <v>984.36</v>
      </c>
      <c r="G308" s="24">
        <v>718.72197374379334</v>
      </c>
      <c r="H308" s="24">
        <v>-984.36</v>
      </c>
      <c r="I308" s="24">
        <v>0</v>
      </c>
      <c r="J308" s="16" t="str">
        <f t="shared" si="30"/>
        <v>CAD</v>
      </c>
      <c r="K308">
        <f t="shared" si="25"/>
        <v>13</v>
      </c>
      <c r="L308" t="str">
        <f t="shared" si="26"/>
        <v>SO17461</v>
      </c>
      <c r="M308" s="12">
        <f t="shared" si="27"/>
        <v>0</v>
      </c>
      <c r="N308" s="12">
        <f t="shared" si="28"/>
        <v>0</v>
      </c>
      <c r="O308" s="13" t="str">
        <f t="shared" si="29"/>
        <v>Yes</v>
      </c>
      <c r="P308" s="12">
        <f>IFERROR(VLOOKUP(B308,'Receivable Invoice Detail'!$S$1:$U$3014,3,FALSE),0)</f>
        <v>0</v>
      </c>
    </row>
    <row r="309" spans="1:16" x14ac:dyDescent="0.25">
      <c r="A309" t="s">
        <v>1062</v>
      </c>
      <c r="B309" t="s">
        <v>2962</v>
      </c>
      <c r="C309" t="s">
        <v>77</v>
      </c>
      <c r="D309" t="s">
        <v>22</v>
      </c>
      <c r="E309" t="s">
        <v>4388</v>
      </c>
      <c r="F309" s="16">
        <v>2870</v>
      </c>
      <c r="G309" s="16">
        <v>2097.763626303074</v>
      </c>
      <c r="H309" s="16">
        <v>-595.67999999999995</v>
      </c>
      <c r="I309" s="16">
        <v>0</v>
      </c>
      <c r="J309" s="16" t="str">
        <f t="shared" si="30"/>
        <v/>
      </c>
      <c r="K309">
        <f t="shared" si="25"/>
        <v>7</v>
      </c>
      <c r="L309" t="str">
        <f t="shared" si="26"/>
        <v/>
      </c>
      <c r="M309" s="12">
        <f t="shared" si="27"/>
        <v>0</v>
      </c>
      <c r="N309" s="12">
        <f t="shared" si="28"/>
        <v>0</v>
      </c>
      <c r="O309" s="13">
        <f t="shared" si="29"/>
        <v>0</v>
      </c>
      <c r="P309" s="12">
        <f>IFERROR(VLOOKUP(B309,'Receivable Invoice Detail'!$S$1:$U$3014,3,FALSE),0)</f>
        <v>0</v>
      </c>
    </row>
    <row r="310" spans="1:16" x14ac:dyDescent="0.25">
      <c r="B310" t="s">
        <v>2961</v>
      </c>
      <c r="C310" t="s">
        <v>77</v>
      </c>
      <c r="D310" t="s">
        <v>22</v>
      </c>
      <c r="E310" t="s">
        <v>4388</v>
      </c>
      <c r="F310" s="16">
        <v>0</v>
      </c>
      <c r="G310" s="16">
        <v>0</v>
      </c>
      <c r="H310" s="16">
        <v>-2274.3200000000002</v>
      </c>
      <c r="I310" s="16">
        <v>0</v>
      </c>
      <c r="J310" s="16" t="str">
        <f t="shared" si="30"/>
        <v/>
      </c>
      <c r="K310">
        <f t="shared" si="25"/>
        <v>0</v>
      </c>
      <c r="L310" t="str">
        <f t="shared" si="26"/>
        <v/>
      </c>
      <c r="M310" s="12">
        <f t="shared" si="27"/>
        <v>0</v>
      </c>
      <c r="N310" s="12">
        <f t="shared" si="28"/>
        <v>0</v>
      </c>
      <c r="O310" s="13">
        <f t="shared" si="29"/>
        <v>0</v>
      </c>
      <c r="P310" s="12">
        <f>IFERROR(VLOOKUP(B310,'Receivable Invoice Detail'!$S$1:$U$3014,3,FALSE),0)</f>
        <v>0</v>
      </c>
    </row>
    <row r="311" spans="1:16" x14ac:dyDescent="0.25">
      <c r="A311" s="23" t="s">
        <v>4341</v>
      </c>
      <c r="B311" s="23"/>
      <c r="C311" s="23"/>
      <c r="D311" s="23"/>
      <c r="E311" s="23"/>
      <c r="F311" s="24">
        <v>2870</v>
      </c>
      <c r="G311" s="24">
        <v>2097.763626303074</v>
      </c>
      <c r="H311" s="24">
        <v>-2870</v>
      </c>
      <c r="I311" s="24">
        <v>0</v>
      </c>
      <c r="J311" s="16" t="str">
        <f t="shared" si="30"/>
        <v>CAD</v>
      </c>
      <c r="K311">
        <f t="shared" si="25"/>
        <v>13</v>
      </c>
      <c r="L311" t="str">
        <f t="shared" si="26"/>
        <v>SO17464</v>
      </c>
      <c r="M311" s="12">
        <f t="shared" si="27"/>
        <v>0</v>
      </c>
      <c r="N311" s="12">
        <f t="shared" si="28"/>
        <v>0</v>
      </c>
      <c r="O311" s="13" t="str">
        <f t="shared" si="29"/>
        <v>Yes</v>
      </c>
      <c r="P311" s="12">
        <f>IFERROR(VLOOKUP(B311,'Receivable Invoice Detail'!$S$1:$U$3014,3,FALSE),0)</f>
        <v>0</v>
      </c>
    </row>
    <row r="312" spans="1:16" x14ac:dyDescent="0.25">
      <c r="A312" t="s">
        <v>1005</v>
      </c>
      <c r="B312" t="s">
        <v>2996</v>
      </c>
      <c r="C312" t="s">
        <v>159</v>
      </c>
      <c r="D312" t="s">
        <v>51</v>
      </c>
      <c r="E312" t="s">
        <v>4388</v>
      </c>
      <c r="F312" s="16">
        <v>92841.399648577761</v>
      </c>
      <c r="G312" s="16">
        <v>67700.06</v>
      </c>
      <c r="H312" s="16">
        <v>0</v>
      </c>
      <c r="I312" s="16">
        <v>-34777.160000000003</v>
      </c>
      <c r="J312" s="16" t="str">
        <f t="shared" si="30"/>
        <v/>
      </c>
      <c r="K312">
        <f t="shared" si="25"/>
        <v>7</v>
      </c>
      <c r="L312" t="str">
        <f t="shared" si="26"/>
        <v/>
      </c>
      <c r="M312" s="12">
        <f t="shared" si="27"/>
        <v>0</v>
      </c>
      <c r="N312" s="12">
        <f t="shared" si="28"/>
        <v>0</v>
      </c>
      <c r="O312" s="13">
        <f t="shared" si="29"/>
        <v>0</v>
      </c>
      <c r="P312" s="12">
        <f>IFERROR(VLOOKUP(B312,'Receivable Invoice Detail'!$S$1:$U$3014,3,FALSE),0)</f>
        <v>0</v>
      </c>
    </row>
    <row r="313" spans="1:16" x14ac:dyDescent="0.25">
      <c r="B313" t="s">
        <v>2995</v>
      </c>
      <c r="C313" t="s">
        <v>159</v>
      </c>
      <c r="D313" t="s">
        <v>51</v>
      </c>
      <c r="E313" t="s">
        <v>4388</v>
      </c>
      <c r="F313" s="16">
        <v>0</v>
      </c>
      <c r="G313" s="16">
        <v>0</v>
      </c>
      <c r="H313" s="16">
        <v>0</v>
      </c>
      <c r="I313" s="16">
        <v>-32922.9</v>
      </c>
      <c r="J313" s="16" t="str">
        <f t="shared" si="30"/>
        <v/>
      </c>
      <c r="K313">
        <f t="shared" si="25"/>
        <v>0</v>
      </c>
      <c r="L313" t="str">
        <f t="shared" si="26"/>
        <v/>
      </c>
      <c r="M313" s="12">
        <f t="shared" si="27"/>
        <v>0</v>
      </c>
      <c r="N313" s="12">
        <f t="shared" si="28"/>
        <v>0</v>
      </c>
      <c r="O313" s="13">
        <f t="shared" si="29"/>
        <v>0</v>
      </c>
      <c r="P313" s="12">
        <f>IFERROR(VLOOKUP(B313,'Receivable Invoice Detail'!$S$1:$U$3014,3,FALSE),0)</f>
        <v>0</v>
      </c>
    </row>
    <row r="314" spans="1:16" x14ac:dyDescent="0.25">
      <c r="A314" s="23" t="s">
        <v>4342</v>
      </c>
      <c r="B314" s="23"/>
      <c r="C314" s="23"/>
      <c r="D314" s="23"/>
      <c r="E314" s="23"/>
      <c r="F314" s="24">
        <v>92841.399648577761</v>
      </c>
      <c r="G314" s="24">
        <v>67700.06</v>
      </c>
      <c r="H314" s="24">
        <v>0</v>
      </c>
      <c r="I314" s="24">
        <v>-67700.06</v>
      </c>
      <c r="J314" s="16" t="str">
        <f t="shared" si="30"/>
        <v>USD</v>
      </c>
      <c r="K314">
        <f t="shared" si="25"/>
        <v>13</v>
      </c>
      <c r="L314" t="str">
        <f t="shared" si="26"/>
        <v>SO17477</v>
      </c>
      <c r="M314" s="12">
        <f t="shared" si="27"/>
        <v>0</v>
      </c>
      <c r="N314" s="12">
        <f t="shared" si="28"/>
        <v>0</v>
      </c>
      <c r="O314" s="13" t="str">
        <f t="shared" si="29"/>
        <v>Yes</v>
      </c>
      <c r="P314" s="12">
        <f>IFERROR(VLOOKUP(B314,'Receivable Invoice Detail'!$S$1:$U$3014,3,FALSE),0)</f>
        <v>0</v>
      </c>
    </row>
    <row r="315" spans="1:16" x14ac:dyDescent="0.25">
      <c r="A315" t="s">
        <v>1007</v>
      </c>
      <c r="B315" t="s">
        <v>2994</v>
      </c>
      <c r="C315" t="s">
        <v>159</v>
      </c>
      <c r="D315" t="s">
        <v>51</v>
      </c>
      <c r="E315" t="s">
        <v>4388</v>
      </c>
      <c r="F315" s="16">
        <v>35091.878637381451</v>
      </c>
      <c r="G315" s="16">
        <v>25589.040000000001</v>
      </c>
      <c r="H315" s="16">
        <v>0</v>
      </c>
      <c r="I315" s="16">
        <v>-23887.63</v>
      </c>
      <c r="J315" s="16" t="str">
        <f t="shared" si="30"/>
        <v/>
      </c>
      <c r="K315">
        <f t="shared" si="25"/>
        <v>7</v>
      </c>
      <c r="L315" t="str">
        <f t="shared" si="26"/>
        <v/>
      </c>
      <c r="M315" s="12">
        <f t="shared" si="27"/>
        <v>0</v>
      </c>
      <c r="N315" s="12">
        <f t="shared" si="28"/>
        <v>0</v>
      </c>
      <c r="O315" s="13">
        <f t="shared" si="29"/>
        <v>0</v>
      </c>
      <c r="P315" s="12">
        <f>IFERROR(VLOOKUP(B315,'Receivable Invoice Detail'!$S$1:$U$3014,3,FALSE),0)</f>
        <v>0</v>
      </c>
    </row>
    <row r="316" spans="1:16" x14ac:dyDescent="0.25">
      <c r="B316" t="s">
        <v>2993</v>
      </c>
      <c r="C316" t="s">
        <v>159</v>
      </c>
      <c r="D316" t="s">
        <v>51</v>
      </c>
      <c r="E316" t="s">
        <v>4389</v>
      </c>
      <c r="F316" s="16">
        <v>0</v>
      </c>
      <c r="G316" s="16">
        <v>0</v>
      </c>
      <c r="H316" s="16">
        <v>0</v>
      </c>
      <c r="I316" s="16">
        <v>-1701.41</v>
      </c>
      <c r="J316" s="16" t="str">
        <f t="shared" si="30"/>
        <v/>
      </c>
      <c r="K316">
        <f t="shared" si="25"/>
        <v>0</v>
      </c>
      <c r="L316" t="str">
        <f t="shared" si="26"/>
        <v/>
      </c>
      <c r="M316" s="12">
        <f t="shared" si="27"/>
        <v>0</v>
      </c>
      <c r="N316" s="12">
        <f t="shared" si="28"/>
        <v>0</v>
      </c>
      <c r="O316" s="13">
        <f t="shared" si="29"/>
        <v>0</v>
      </c>
      <c r="P316" s="12">
        <f>IFERROR(VLOOKUP(B316,'Receivable Invoice Detail'!$S$1:$U$3014,3,FALSE),0)</f>
        <v>0</v>
      </c>
    </row>
    <row r="317" spans="1:16" x14ac:dyDescent="0.25">
      <c r="A317" s="23" t="s">
        <v>4343</v>
      </c>
      <c r="B317" s="23"/>
      <c r="C317" s="23"/>
      <c r="D317" s="23"/>
      <c r="E317" s="23"/>
      <c r="F317" s="24">
        <v>35091.878637381451</v>
      </c>
      <c r="G317" s="24">
        <v>25589.040000000001</v>
      </c>
      <c r="H317" s="24">
        <v>0</v>
      </c>
      <c r="I317" s="24">
        <v>-25589.040000000001</v>
      </c>
      <c r="J317" s="16" t="str">
        <f t="shared" si="30"/>
        <v>USD</v>
      </c>
      <c r="K317">
        <f t="shared" si="25"/>
        <v>13</v>
      </c>
      <c r="L317" t="str">
        <f t="shared" si="26"/>
        <v>SO17483</v>
      </c>
      <c r="M317" s="12">
        <f t="shared" si="27"/>
        <v>0</v>
      </c>
      <c r="N317" s="12">
        <f t="shared" si="28"/>
        <v>0</v>
      </c>
      <c r="O317" s="13" t="str">
        <f t="shared" si="29"/>
        <v>Yes</v>
      </c>
      <c r="P317" s="12">
        <f>IFERROR(VLOOKUP(B317,'Receivable Invoice Detail'!$S$1:$U$3014,3,FALSE),0)</f>
        <v>0</v>
      </c>
    </row>
    <row r="318" spans="1:16" x14ac:dyDescent="0.25">
      <c r="A318" t="s">
        <v>1073</v>
      </c>
      <c r="B318" t="s">
        <v>2955</v>
      </c>
      <c r="C318" t="s">
        <v>64</v>
      </c>
      <c r="D318" t="s">
        <v>22</v>
      </c>
      <c r="E318" t="s">
        <v>4388</v>
      </c>
      <c r="F318" s="16">
        <v>0</v>
      </c>
      <c r="G318" s="16">
        <v>0</v>
      </c>
      <c r="H318" s="16">
        <v>-835.95</v>
      </c>
      <c r="I318" s="16">
        <v>0</v>
      </c>
      <c r="J318" s="16" t="str">
        <f t="shared" si="30"/>
        <v/>
      </c>
      <c r="K318">
        <f t="shared" si="25"/>
        <v>7</v>
      </c>
      <c r="L318" t="str">
        <f t="shared" si="26"/>
        <v/>
      </c>
      <c r="M318" s="12">
        <f t="shared" si="27"/>
        <v>0</v>
      </c>
      <c r="N318" s="12">
        <f t="shared" si="28"/>
        <v>0</v>
      </c>
      <c r="O318" s="13">
        <f t="shared" si="29"/>
        <v>0</v>
      </c>
      <c r="P318" s="12">
        <f>IFERROR(VLOOKUP(B318,'Receivable Invoice Detail'!$S$1:$U$3014,3,FALSE),0)</f>
        <v>0</v>
      </c>
    </row>
    <row r="319" spans="1:16" x14ac:dyDescent="0.25">
      <c r="B319" t="s">
        <v>2956</v>
      </c>
      <c r="C319" t="s">
        <v>64</v>
      </c>
      <c r="D319" t="s">
        <v>22</v>
      </c>
      <c r="E319" t="s">
        <v>4388</v>
      </c>
      <c r="F319" s="16">
        <v>1114.5999999999999</v>
      </c>
      <c r="G319" s="16">
        <v>813.322846653787</v>
      </c>
      <c r="H319" s="16">
        <v>-278.64999999999998</v>
      </c>
      <c r="I319" s="16">
        <v>0</v>
      </c>
      <c r="J319" s="16" t="str">
        <f t="shared" si="30"/>
        <v/>
      </c>
      <c r="K319">
        <f t="shared" si="25"/>
        <v>0</v>
      </c>
      <c r="L319" t="str">
        <f t="shared" si="26"/>
        <v/>
      </c>
      <c r="M319" s="12">
        <f t="shared" si="27"/>
        <v>0</v>
      </c>
      <c r="N319" s="12">
        <f t="shared" si="28"/>
        <v>0</v>
      </c>
      <c r="O319" s="13">
        <f t="shared" si="29"/>
        <v>0</v>
      </c>
      <c r="P319" s="12">
        <f>IFERROR(VLOOKUP(B319,'Receivable Invoice Detail'!$S$1:$U$3014,3,FALSE),0)</f>
        <v>0</v>
      </c>
    </row>
    <row r="320" spans="1:16" x14ac:dyDescent="0.25">
      <c r="A320" s="23" t="s">
        <v>4344</v>
      </c>
      <c r="B320" s="23"/>
      <c r="C320" s="23"/>
      <c r="D320" s="23"/>
      <c r="E320" s="23"/>
      <c r="F320" s="24">
        <v>1114.5999999999999</v>
      </c>
      <c r="G320" s="24">
        <v>813.322846653787</v>
      </c>
      <c r="H320" s="24">
        <v>-1114.5999999999999</v>
      </c>
      <c r="I320" s="24">
        <v>0</v>
      </c>
      <c r="J320" s="16" t="str">
        <f t="shared" si="30"/>
        <v>CAD</v>
      </c>
      <c r="K320">
        <f t="shared" si="25"/>
        <v>13</v>
      </c>
      <c r="L320" t="str">
        <f t="shared" si="26"/>
        <v>SO17484</v>
      </c>
      <c r="M320" s="12">
        <f t="shared" si="27"/>
        <v>0</v>
      </c>
      <c r="N320" s="12">
        <f t="shared" si="28"/>
        <v>0</v>
      </c>
      <c r="O320" s="13" t="str">
        <f t="shared" si="29"/>
        <v>Yes</v>
      </c>
      <c r="P320" s="12">
        <f>IFERROR(VLOOKUP(B320,'Receivable Invoice Detail'!$S$1:$U$3014,3,FALSE),0)</f>
        <v>0</v>
      </c>
    </row>
    <row r="321" spans="1:16" x14ac:dyDescent="0.25">
      <c r="A321" t="s">
        <v>1001</v>
      </c>
      <c r="B321" t="s">
        <v>2999</v>
      </c>
      <c r="C321" t="s">
        <v>77</v>
      </c>
      <c r="D321" t="s">
        <v>22</v>
      </c>
      <c r="E321" t="s">
        <v>4388</v>
      </c>
      <c r="F321" s="16">
        <v>3861.59</v>
      </c>
      <c r="G321" s="16">
        <v>2815.8636943690262</v>
      </c>
      <c r="H321" s="16">
        <v>-180.64</v>
      </c>
      <c r="I321" s="16">
        <v>0</v>
      </c>
      <c r="J321" s="16" t="str">
        <f t="shared" si="30"/>
        <v/>
      </c>
      <c r="K321">
        <f t="shared" si="25"/>
        <v>7</v>
      </c>
      <c r="L321" t="str">
        <f t="shared" si="26"/>
        <v/>
      </c>
      <c r="M321" s="12">
        <f t="shared" si="27"/>
        <v>0</v>
      </c>
      <c r="N321" s="12">
        <f t="shared" si="28"/>
        <v>0</v>
      </c>
      <c r="O321" s="13">
        <f t="shared" si="29"/>
        <v>0</v>
      </c>
      <c r="P321" s="12">
        <f>IFERROR(VLOOKUP(B321,'Receivable Invoice Detail'!$S$1:$U$3014,3,FALSE),0)</f>
        <v>0</v>
      </c>
    </row>
    <row r="322" spans="1:16" x14ac:dyDescent="0.25">
      <c r="B322" t="s">
        <v>2998</v>
      </c>
      <c r="C322" t="s">
        <v>77</v>
      </c>
      <c r="D322" t="s">
        <v>22</v>
      </c>
      <c r="E322" t="s">
        <v>4388</v>
      </c>
      <c r="F322" s="16">
        <v>0</v>
      </c>
      <c r="G322" s="16">
        <v>0</v>
      </c>
      <c r="H322" s="16">
        <v>-3680.95</v>
      </c>
      <c r="I322" s="16">
        <v>0</v>
      </c>
      <c r="J322" s="16" t="str">
        <f t="shared" si="30"/>
        <v/>
      </c>
      <c r="K322">
        <f t="shared" si="25"/>
        <v>0</v>
      </c>
      <c r="L322" t="str">
        <f t="shared" si="26"/>
        <v/>
      </c>
      <c r="M322" s="12">
        <f t="shared" si="27"/>
        <v>0</v>
      </c>
      <c r="N322" s="12">
        <f t="shared" si="28"/>
        <v>0</v>
      </c>
      <c r="O322" s="13">
        <f t="shared" si="29"/>
        <v>0</v>
      </c>
      <c r="P322" s="12">
        <f>IFERROR(VLOOKUP(B322,'Receivable Invoice Detail'!$S$1:$U$3014,3,FALSE),0)</f>
        <v>0</v>
      </c>
    </row>
    <row r="323" spans="1:16" x14ac:dyDescent="0.25">
      <c r="A323" s="23" t="s">
        <v>4345</v>
      </c>
      <c r="B323" s="23"/>
      <c r="C323" s="23"/>
      <c r="D323" s="23"/>
      <c r="E323" s="23"/>
      <c r="F323" s="24">
        <v>3861.59</v>
      </c>
      <c r="G323" s="24">
        <v>2815.8636943690262</v>
      </c>
      <c r="H323" s="24">
        <v>-3861.5899999999997</v>
      </c>
      <c r="I323" s="24">
        <v>0</v>
      </c>
      <c r="J323" s="16" t="str">
        <f t="shared" si="30"/>
        <v>CAD</v>
      </c>
      <c r="K323">
        <f t="shared" si="25"/>
        <v>13</v>
      </c>
      <c r="L323" t="str">
        <f t="shared" si="26"/>
        <v>SO17488</v>
      </c>
      <c r="M323" s="12">
        <f t="shared" si="27"/>
        <v>0</v>
      </c>
      <c r="N323" s="12">
        <f t="shared" si="28"/>
        <v>0</v>
      </c>
      <c r="O323" s="13" t="str">
        <f t="shared" si="29"/>
        <v>Yes</v>
      </c>
      <c r="P323" s="12">
        <f>IFERROR(VLOOKUP(B323,'Receivable Invoice Detail'!$S$1:$U$3014,3,FALSE),0)</f>
        <v>0</v>
      </c>
    </row>
    <row r="324" spans="1:16" x14ac:dyDescent="0.25">
      <c r="A324" t="s">
        <v>1056</v>
      </c>
      <c r="B324" t="s">
        <v>2966</v>
      </c>
      <c r="C324" t="s">
        <v>77</v>
      </c>
      <c r="D324" t="s">
        <v>22</v>
      </c>
      <c r="E324" t="s">
        <v>4388</v>
      </c>
      <c r="F324" s="16">
        <v>3159.68</v>
      </c>
      <c r="G324" s="16">
        <v>2309.4988762220555</v>
      </c>
      <c r="H324" s="16">
        <v>-110.83</v>
      </c>
      <c r="I324" s="16">
        <v>0</v>
      </c>
      <c r="J324" s="16" t="str">
        <f t="shared" si="30"/>
        <v/>
      </c>
      <c r="K324">
        <f t="shared" si="25"/>
        <v>7</v>
      </c>
      <c r="L324" t="str">
        <f t="shared" si="26"/>
        <v/>
      </c>
      <c r="M324" s="12">
        <f t="shared" si="27"/>
        <v>0</v>
      </c>
      <c r="N324" s="12">
        <f t="shared" si="28"/>
        <v>0</v>
      </c>
      <c r="O324" s="13">
        <f t="shared" si="29"/>
        <v>0</v>
      </c>
      <c r="P324" s="12">
        <f>IFERROR(VLOOKUP(B324,'Receivable Invoice Detail'!$S$1:$U$3014,3,FALSE),0)</f>
        <v>0</v>
      </c>
    </row>
    <row r="325" spans="1:16" x14ac:dyDescent="0.25">
      <c r="B325" t="s">
        <v>2965</v>
      </c>
      <c r="C325" t="s">
        <v>77</v>
      </c>
      <c r="D325" t="s">
        <v>22</v>
      </c>
      <c r="E325" t="s">
        <v>4388</v>
      </c>
      <c r="F325" s="16">
        <v>0</v>
      </c>
      <c r="G325" s="16">
        <v>0</v>
      </c>
      <c r="H325" s="16">
        <v>-3048.85</v>
      </c>
      <c r="I325" s="16">
        <v>0</v>
      </c>
      <c r="J325" s="16" t="str">
        <f t="shared" si="30"/>
        <v/>
      </c>
      <c r="K325">
        <f t="shared" si="25"/>
        <v>0</v>
      </c>
      <c r="L325" t="str">
        <f t="shared" si="26"/>
        <v/>
      </c>
      <c r="M325" s="12">
        <f t="shared" si="27"/>
        <v>0</v>
      </c>
      <c r="N325" s="12">
        <f t="shared" si="28"/>
        <v>0</v>
      </c>
      <c r="O325" s="13">
        <f t="shared" si="29"/>
        <v>0</v>
      </c>
      <c r="P325" s="12">
        <f>IFERROR(VLOOKUP(B325,'Receivable Invoice Detail'!$S$1:$U$3014,3,FALSE),0)</f>
        <v>0</v>
      </c>
    </row>
    <row r="326" spans="1:16" x14ac:dyDescent="0.25">
      <c r="A326" s="23" t="s">
        <v>4346</v>
      </c>
      <c r="B326" s="23"/>
      <c r="C326" s="23"/>
      <c r="D326" s="23"/>
      <c r="E326" s="23"/>
      <c r="F326" s="24">
        <v>3159.68</v>
      </c>
      <c r="G326" s="24">
        <v>2309.4988762220555</v>
      </c>
      <c r="H326" s="24">
        <v>-3159.68</v>
      </c>
      <c r="I326" s="24">
        <v>0</v>
      </c>
      <c r="J326" s="16" t="str">
        <f t="shared" si="30"/>
        <v>CAD</v>
      </c>
      <c r="K326">
        <f t="shared" ref="K326:K389" si="31">LEN(A326)</f>
        <v>13</v>
      </c>
      <c r="L326" t="str">
        <f t="shared" ref="L326:L389" si="32">IF(K326=13,LEFT(A326,7),"")</f>
        <v>SO17494</v>
      </c>
      <c r="M326" s="12">
        <f t="shared" ref="M326:M389" si="33">IF(AND(K326=13,D325="CAD"),ROUND(F326+H326,2),0)</f>
        <v>0</v>
      </c>
      <c r="N326" s="12">
        <f t="shared" ref="N326:N389" si="34">IF(AND(K326=13,D325="USD"),ROUND(G326+I326,2),0)</f>
        <v>0</v>
      </c>
      <c r="O326" s="13" t="str">
        <f t="shared" ref="O326:O389" si="35">IF(K326=13,IF(M326+N326=0,"Yes",0),0)</f>
        <v>Yes</v>
      </c>
      <c r="P326" s="12">
        <f>IFERROR(VLOOKUP(B326,'Receivable Invoice Detail'!$S$1:$U$3014,3,FALSE),0)</f>
        <v>0</v>
      </c>
    </row>
    <row r="327" spans="1:16" x14ac:dyDescent="0.25">
      <c r="A327" t="s">
        <v>1052</v>
      </c>
      <c r="B327" t="s">
        <v>2968</v>
      </c>
      <c r="C327" t="s">
        <v>129</v>
      </c>
      <c r="D327" t="s">
        <v>51</v>
      </c>
      <c r="E327" t="s">
        <v>4389</v>
      </c>
      <c r="F327" s="16">
        <v>0</v>
      </c>
      <c r="G327" s="16">
        <v>0</v>
      </c>
      <c r="H327" s="16">
        <v>0</v>
      </c>
      <c r="I327" s="16">
        <v>-426</v>
      </c>
      <c r="J327" s="16" t="str">
        <f t="shared" si="30"/>
        <v/>
      </c>
      <c r="K327">
        <f t="shared" si="31"/>
        <v>7</v>
      </c>
      <c r="L327" t="str">
        <f t="shared" si="32"/>
        <v/>
      </c>
      <c r="M327" s="12">
        <f t="shared" si="33"/>
        <v>0</v>
      </c>
      <c r="N327" s="12">
        <f t="shared" si="34"/>
        <v>0</v>
      </c>
      <c r="O327" s="13">
        <f t="shared" si="35"/>
        <v>0</v>
      </c>
      <c r="P327" s="12">
        <f>IFERROR(VLOOKUP(B327,'Receivable Invoice Detail'!$S$1:$U$3014,3,FALSE),0)</f>
        <v>0</v>
      </c>
    </row>
    <row r="328" spans="1:16" x14ac:dyDescent="0.25">
      <c r="B328" t="s">
        <v>2969</v>
      </c>
      <c r="C328" t="s">
        <v>129</v>
      </c>
      <c r="D328" t="s">
        <v>51</v>
      </c>
      <c r="E328" t="s">
        <v>4389</v>
      </c>
      <c r="F328" s="16">
        <v>15706.547027076318</v>
      </c>
      <c r="G328" s="16">
        <v>11468</v>
      </c>
      <c r="H328" s="16">
        <v>0</v>
      </c>
      <c r="I328" s="16">
        <v>-11042</v>
      </c>
      <c r="J328" s="16" t="str">
        <f t="shared" si="30"/>
        <v/>
      </c>
      <c r="K328">
        <f t="shared" si="31"/>
        <v>0</v>
      </c>
      <c r="L328" t="str">
        <f t="shared" si="32"/>
        <v/>
      </c>
      <c r="M328" s="12">
        <f t="shared" si="33"/>
        <v>0</v>
      </c>
      <c r="N328" s="12">
        <f t="shared" si="34"/>
        <v>0</v>
      </c>
      <c r="O328" s="13">
        <f t="shared" si="35"/>
        <v>0</v>
      </c>
      <c r="P328" s="12">
        <f>IFERROR(VLOOKUP(B328,'Receivable Invoice Detail'!$S$1:$U$3014,3,FALSE),0)</f>
        <v>0</v>
      </c>
    </row>
    <row r="329" spans="1:16" x14ac:dyDescent="0.25">
      <c r="A329" s="23" t="s">
        <v>4347</v>
      </c>
      <c r="B329" s="23"/>
      <c r="C329" s="23"/>
      <c r="D329" s="23"/>
      <c r="E329" s="23"/>
      <c r="F329" s="24">
        <v>15706.547027076318</v>
      </c>
      <c r="G329" s="24">
        <v>11468</v>
      </c>
      <c r="H329" s="24">
        <v>0</v>
      </c>
      <c r="I329" s="24">
        <v>-11468</v>
      </c>
      <c r="J329" s="16" t="str">
        <f t="shared" ref="J329:J392" si="36">IF(K329=13,D328,"")</f>
        <v>USD</v>
      </c>
      <c r="K329">
        <f t="shared" si="31"/>
        <v>13</v>
      </c>
      <c r="L329" t="str">
        <f t="shared" si="32"/>
        <v>SO17496</v>
      </c>
      <c r="M329" s="12">
        <f t="shared" si="33"/>
        <v>0</v>
      </c>
      <c r="N329" s="12">
        <f t="shared" si="34"/>
        <v>0</v>
      </c>
      <c r="O329" s="13" t="str">
        <f t="shared" si="35"/>
        <v>Yes</v>
      </c>
      <c r="P329" s="12">
        <f>IFERROR(VLOOKUP(B329,'Receivable Invoice Detail'!$S$1:$U$3014,3,FALSE),0)</f>
        <v>0</v>
      </c>
    </row>
    <row r="330" spans="1:16" x14ac:dyDescent="0.25">
      <c r="A330" t="s">
        <v>999</v>
      </c>
      <c r="B330" t="s">
        <v>3001</v>
      </c>
      <c r="C330" t="s">
        <v>684</v>
      </c>
      <c r="D330" t="s">
        <v>22</v>
      </c>
      <c r="E330" t="s">
        <v>4388</v>
      </c>
      <c r="F330" s="16">
        <v>3769.5</v>
      </c>
      <c r="G330" s="16">
        <v>2748.7118507982573</v>
      </c>
      <c r="H330" s="16">
        <v>-1566.52</v>
      </c>
      <c r="I330" s="16">
        <v>0</v>
      </c>
      <c r="J330" s="16" t="str">
        <f t="shared" si="36"/>
        <v/>
      </c>
      <c r="K330">
        <f t="shared" si="31"/>
        <v>7</v>
      </c>
      <c r="L330" t="str">
        <f t="shared" si="32"/>
        <v/>
      </c>
      <c r="M330" s="12">
        <f t="shared" si="33"/>
        <v>0</v>
      </c>
      <c r="N330" s="12">
        <f t="shared" si="34"/>
        <v>0</v>
      </c>
      <c r="O330" s="13">
        <f t="shared" si="35"/>
        <v>0</v>
      </c>
      <c r="P330" s="12">
        <f>IFERROR(VLOOKUP(B330,'Receivable Invoice Detail'!$S$1:$U$3014,3,FALSE),0)</f>
        <v>0</v>
      </c>
    </row>
    <row r="331" spans="1:16" x14ac:dyDescent="0.25">
      <c r="B331" t="s">
        <v>3000</v>
      </c>
      <c r="C331" t="s">
        <v>684</v>
      </c>
      <c r="D331" t="s">
        <v>22</v>
      </c>
      <c r="E331" t="s">
        <v>4388</v>
      </c>
      <c r="F331" s="16">
        <v>0</v>
      </c>
      <c r="G331" s="16">
        <v>0</v>
      </c>
      <c r="H331" s="16">
        <v>-2202.98</v>
      </c>
      <c r="I331" s="16">
        <v>0</v>
      </c>
      <c r="J331" s="16" t="str">
        <f t="shared" si="36"/>
        <v/>
      </c>
      <c r="K331">
        <f t="shared" si="31"/>
        <v>0</v>
      </c>
      <c r="L331" t="str">
        <f t="shared" si="32"/>
        <v/>
      </c>
      <c r="M331" s="12">
        <f t="shared" si="33"/>
        <v>0</v>
      </c>
      <c r="N331" s="12">
        <f t="shared" si="34"/>
        <v>0</v>
      </c>
      <c r="O331" s="13">
        <f t="shared" si="35"/>
        <v>0</v>
      </c>
      <c r="P331" s="12">
        <f>IFERROR(VLOOKUP(B331,'Receivable Invoice Detail'!$S$1:$U$3014,3,FALSE),0)</f>
        <v>0</v>
      </c>
    </row>
    <row r="332" spans="1:16" x14ac:dyDescent="0.25">
      <c r="A332" s="23" t="s">
        <v>4348</v>
      </c>
      <c r="B332" s="23"/>
      <c r="C332" s="23"/>
      <c r="D332" s="23"/>
      <c r="E332" s="23"/>
      <c r="F332" s="24">
        <v>3769.5</v>
      </c>
      <c r="G332" s="24">
        <v>2748.7118507982573</v>
      </c>
      <c r="H332" s="24">
        <v>-3769.5</v>
      </c>
      <c r="I332" s="24">
        <v>0</v>
      </c>
      <c r="J332" s="16" t="str">
        <f t="shared" si="36"/>
        <v>CAD</v>
      </c>
      <c r="K332">
        <f t="shared" si="31"/>
        <v>13</v>
      </c>
      <c r="L332" t="str">
        <f t="shared" si="32"/>
        <v>SO17506</v>
      </c>
      <c r="M332" s="12">
        <f t="shared" si="33"/>
        <v>0</v>
      </c>
      <c r="N332" s="12">
        <f t="shared" si="34"/>
        <v>0</v>
      </c>
      <c r="O332" s="13" t="str">
        <f t="shared" si="35"/>
        <v>Yes</v>
      </c>
      <c r="P332" s="12">
        <f>IFERROR(VLOOKUP(B332,'Receivable Invoice Detail'!$S$1:$U$3014,3,FALSE),0)</f>
        <v>0</v>
      </c>
    </row>
    <row r="333" spans="1:16" x14ac:dyDescent="0.25">
      <c r="A333" t="s">
        <v>1033</v>
      </c>
      <c r="B333" t="s">
        <v>2977</v>
      </c>
      <c r="C333" t="s">
        <v>109</v>
      </c>
      <c r="D333" t="s">
        <v>51</v>
      </c>
      <c r="E333" t="s">
        <v>4388</v>
      </c>
      <c r="F333" s="16">
        <v>0</v>
      </c>
      <c r="G333" s="16">
        <v>0</v>
      </c>
      <c r="H333" s="16">
        <v>0</v>
      </c>
      <c r="I333" s="16">
        <v>-9589.7199999999993</v>
      </c>
      <c r="J333" s="16" t="str">
        <f t="shared" si="36"/>
        <v/>
      </c>
      <c r="K333">
        <f t="shared" si="31"/>
        <v>7</v>
      </c>
      <c r="L333" t="str">
        <f t="shared" si="32"/>
        <v/>
      </c>
      <c r="M333" s="12">
        <f t="shared" si="33"/>
        <v>0</v>
      </c>
      <c r="N333" s="12">
        <f t="shared" si="34"/>
        <v>0</v>
      </c>
      <c r="O333" s="13">
        <f t="shared" si="35"/>
        <v>0</v>
      </c>
      <c r="P333" s="12">
        <f>IFERROR(VLOOKUP(B333,'Receivable Invoice Detail'!$S$1:$U$3014,3,FALSE),0)</f>
        <v>0</v>
      </c>
    </row>
    <row r="334" spans="1:16" x14ac:dyDescent="0.25">
      <c r="B334" t="s">
        <v>2979</v>
      </c>
      <c r="C334" t="s">
        <v>109</v>
      </c>
      <c r="D334" t="s">
        <v>51</v>
      </c>
      <c r="E334" t="s">
        <v>4388</v>
      </c>
      <c r="F334" s="16">
        <v>29253.178105538074</v>
      </c>
      <c r="G334" s="16">
        <v>21361.45</v>
      </c>
      <c r="H334" s="16">
        <v>0</v>
      </c>
      <c r="I334" s="16">
        <v>-10028</v>
      </c>
      <c r="J334" s="16" t="str">
        <f t="shared" si="36"/>
        <v/>
      </c>
      <c r="K334">
        <f t="shared" si="31"/>
        <v>0</v>
      </c>
      <c r="L334" t="str">
        <f t="shared" si="32"/>
        <v/>
      </c>
      <c r="M334" s="12">
        <f t="shared" si="33"/>
        <v>0</v>
      </c>
      <c r="N334" s="12">
        <f t="shared" si="34"/>
        <v>0</v>
      </c>
      <c r="O334" s="13">
        <f t="shared" si="35"/>
        <v>0</v>
      </c>
      <c r="P334" s="12">
        <f>IFERROR(VLOOKUP(B334,'Receivable Invoice Detail'!$S$1:$U$3014,3,FALSE),0)</f>
        <v>782</v>
      </c>
    </row>
    <row r="335" spans="1:16" x14ac:dyDescent="0.25">
      <c r="B335" t="s">
        <v>2978</v>
      </c>
      <c r="C335" t="s">
        <v>109</v>
      </c>
      <c r="D335" t="s">
        <v>51</v>
      </c>
      <c r="E335" t="s">
        <v>4388</v>
      </c>
      <c r="F335" s="16">
        <v>0</v>
      </c>
      <c r="G335" s="16">
        <v>0</v>
      </c>
      <c r="H335" s="16">
        <v>0</v>
      </c>
      <c r="I335" s="16">
        <v>-1743.73</v>
      </c>
      <c r="J335" s="16" t="str">
        <f t="shared" si="36"/>
        <v/>
      </c>
      <c r="K335">
        <f t="shared" si="31"/>
        <v>0</v>
      </c>
      <c r="L335" t="str">
        <f t="shared" si="32"/>
        <v/>
      </c>
      <c r="M335" s="12">
        <f t="shared" si="33"/>
        <v>0</v>
      </c>
      <c r="N335" s="12">
        <f t="shared" si="34"/>
        <v>0</v>
      </c>
      <c r="O335" s="13">
        <f t="shared" si="35"/>
        <v>0</v>
      </c>
      <c r="P335" s="12">
        <f>IFERROR(VLOOKUP(B335,'Receivable Invoice Detail'!$S$1:$U$3014,3,FALSE),0)</f>
        <v>0</v>
      </c>
    </row>
    <row r="336" spans="1:16" x14ac:dyDescent="0.25">
      <c r="A336" s="23" t="s">
        <v>4349</v>
      </c>
      <c r="B336" s="23"/>
      <c r="C336" s="23"/>
      <c r="D336" s="23"/>
      <c r="E336" s="23"/>
      <c r="F336" s="24">
        <v>29253.178105538074</v>
      </c>
      <c r="G336" s="24">
        <v>21361.45</v>
      </c>
      <c r="H336" s="24">
        <v>0</v>
      </c>
      <c r="I336" s="24">
        <v>-21361.45</v>
      </c>
      <c r="J336" s="16" t="str">
        <f t="shared" si="36"/>
        <v>USD</v>
      </c>
      <c r="K336">
        <f t="shared" si="31"/>
        <v>13</v>
      </c>
      <c r="L336" t="str">
        <f t="shared" si="32"/>
        <v>SO17509</v>
      </c>
      <c r="M336" s="12">
        <f t="shared" si="33"/>
        <v>0</v>
      </c>
      <c r="N336" s="12">
        <f t="shared" si="34"/>
        <v>0</v>
      </c>
      <c r="O336" s="13" t="str">
        <f t="shared" si="35"/>
        <v>Yes</v>
      </c>
      <c r="P336" s="12">
        <f>IFERROR(VLOOKUP(B336,'Receivable Invoice Detail'!$S$1:$U$3014,3,FALSE),0)</f>
        <v>0</v>
      </c>
    </row>
    <row r="337" spans="1:16" x14ac:dyDescent="0.25">
      <c r="A337" t="s">
        <v>965</v>
      </c>
      <c r="B337" t="s">
        <v>3019</v>
      </c>
      <c r="C337" t="s">
        <v>146</v>
      </c>
      <c r="D337" t="s">
        <v>22</v>
      </c>
      <c r="E337" t="s">
        <v>4388</v>
      </c>
      <c r="F337" s="16">
        <v>363.32</v>
      </c>
      <c r="G337" s="16">
        <v>266.94761244432834</v>
      </c>
      <c r="H337" s="16">
        <v>-315.32</v>
      </c>
      <c r="I337" s="16">
        <v>0</v>
      </c>
      <c r="J337" s="16" t="str">
        <f t="shared" si="36"/>
        <v/>
      </c>
      <c r="K337">
        <f t="shared" si="31"/>
        <v>7</v>
      </c>
      <c r="L337" t="str">
        <f t="shared" si="32"/>
        <v/>
      </c>
      <c r="M337" s="12">
        <f t="shared" si="33"/>
        <v>0</v>
      </c>
      <c r="N337" s="12">
        <f t="shared" si="34"/>
        <v>0</v>
      </c>
      <c r="O337" s="13">
        <f t="shared" si="35"/>
        <v>0</v>
      </c>
      <c r="P337" s="12">
        <f>IFERROR(VLOOKUP(B337,'Receivable Invoice Detail'!$S$1:$U$3014,3,FALSE),0)</f>
        <v>0</v>
      </c>
    </row>
    <row r="338" spans="1:16" x14ac:dyDescent="0.25">
      <c r="B338" t="s">
        <v>3018</v>
      </c>
      <c r="C338" t="s">
        <v>146</v>
      </c>
      <c r="D338" t="s">
        <v>22</v>
      </c>
      <c r="E338" t="s">
        <v>4388</v>
      </c>
      <c r="F338" s="16">
        <v>0</v>
      </c>
      <c r="G338" s="16">
        <v>0</v>
      </c>
      <c r="H338" s="16">
        <v>-48</v>
      </c>
      <c r="I338" s="16">
        <v>0</v>
      </c>
      <c r="J338" s="16" t="str">
        <f t="shared" si="36"/>
        <v/>
      </c>
      <c r="K338">
        <f t="shared" si="31"/>
        <v>0</v>
      </c>
      <c r="L338" t="str">
        <f t="shared" si="32"/>
        <v/>
      </c>
      <c r="M338" s="12">
        <f t="shared" si="33"/>
        <v>0</v>
      </c>
      <c r="N338" s="12">
        <f t="shared" si="34"/>
        <v>0</v>
      </c>
      <c r="O338" s="13">
        <f t="shared" si="35"/>
        <v>0</v>
      </c>
      <c r="P338" s="12">
        <f>IFERROR(VLOOKUP(B338,'Receivable Invoice Detail'!$S$1:$U$3014,3,FALSE),0)</f>
        <v>0</v>
      </c>
    </row>
    <row r="339" spans="1:16" x14ac:dyDescent="0.25">
      <c r="A339" s="23" t="s">
        <v>4350</v>
      </c>
      <c r="B339" s="23"/>
      <c r="C339" s="23"/>
      <c r="D339" s="23"/>
      <c r="E339" s="23"/>
      <c r="F339" s="24">
        <v>363.32</v>
      </c>
      <c r="G339" s="24">
        <v>266.94761244432834</v>
      </c>
      <c r="H339" s="24">
        <v>-363.32</v>
      </c>
      <c r="I339" s="24">
        <v>0</v>
      </c>
      <c r="J339" s="16" t="str">
        <f t="shared" si="36"/>
        <v>CAD</v>
      </c>
      <c r="K339">
        <f t="shared" si="31"/>
        <v>13</v>
      </c>
      <c r="L339" t="str">
        <f t="shared" si="32"/>
        <v>SO17529</v>
      </c>
      <c r="M339" s="12">
        <f t="shared" si="33"/>
        <v>0</v>
      </c>
      <c r="N339" s="12">
        <f t="shared" si="34"/>
        <v>0</v>
      </c>
      <c r="O339" s="13" t="str">
        <f t="shared" si="35"/>
        <v>Yes</v>
      </c>
      <c r="P339" s="12">
        <f>IFERROR(VLOOKUP(B339,'Receivable Invoice Detail'!$S$1:$U$3014,3,FALSE),0)</f>
        <v>0</v>
      </c>
    </row>
    <row r="340" spans="1:16" x14ac:dyDescent="0.25">
      <c r="A340" t="s">
        <v>1009</v>
      </c>
      <c r="B340" t="s">
        <v>2992</v>
      </c>
      <c r="C340" t="s">
        <v>77</v>
      </c>
      <c r="D340" t="s">
        <v>22</v>
      </c>
      <c r="E340" t="s">
        <v>4388</v>
      </c>
      <c r="F340" s="16">
        <v>1589.84</v>
      </c>
      <c r="G340" s="16">
        <v>1156.2894762667372</v>
      </c>
      <c r="H340" s="16">
        <v>-452.68</v>
      </c>
      <c r="I340" s="16">
        <v>0</v>
      </c>
      <c r="J340" s="16" t="str">
        <f t="shared" si="36"/>
        <v/>
      </c>
      <c r="K340">
        <f t="shared" si="31"/>
        <v>7</v>
      </c>
      <c r="L340" t="str">
        <f t="shared" si="32"/>
        <v/>
      </c>
      <c r="M340" s="12">
        <f t="shared" si="33"/>
        <v>0</v>
      </c>
      <c r="N340" s="12">
        <f t="shared" si="34"/>
        <v>0</v>
      </c>
      <c r="O340" s="13">
        <f t="shared" si="35"/>
        <v>0</v>
      </c>
      <c r="P340" s="12">
        <f>IFERROR(VLOOKUP(B340,'Receivable Invoice Detail'!$S$1:$U$3014,3,FALSE),0)</f>
        <v>0</v>
      </c>
    </row>
    <row r="341" spans="1:16" x14ac:dyDescent="0.25">
      <c r="B341" t="s">
        <v>2991</v>
      </c>
      <c r="C341" t="s">
        <v>77</v>
      </c>
      <c r="D341" t="s">
        <v>22</v>
      </c>
      <c r="E341" t="s">
        <v>4388</v>
      </c>
      <c r="F341" s="16">
        <v>0</v>
      </c>
      <c r="G341" s="16">
        <v>0</v>
      </c>
      <c r="H341" s="16">
        <v>-1137.1600000000001</v>
      </c>
      <c r="I341" s="16">
        <v>0</v>
      </c>
      <c r="J341" s="16" t="str">
        <f t="shared" si="36"/>
        <v/>
      </c>
      <c r="K341">
        <f t="shared" si="31"/>
        <v>0</v>
      </c>
      <c r="L341" t="str">
        <f t="shared" si="32"/>
        <v/>
      </c>
      <c r="M341" s="12">
        <f t="shared" si="33"/>
        <v>0</v>
      </c>
      <c r="N341" s="12">
        <f t="shared" si="34"/>
        <v>0</v>
      </c>
      <c r="O341" s="13">
        <f t="shared" si="35"/>
        <v>0</v>
      </c>
      <c r="P341" s="12">
        <f>IFERROR(VLOOKUP(B341,'Receivable Invoice Detail'!$S$1:$U$3014,3,FALSE),0)</f>
        <v>0</v>
      </c>
    </row>
    <row r="342" spans="1:16" x14ac:dyDescent="0.25">
      <c r="A342" s="23" t="s">
        <v>4351</v>
      </c>
      <c r="B342" s="23"/>
      <c r="C342" s="23"/>
      <c r="D342" s="23"/>
      <c r="E342" s="23"/>
      <c r="F342" s="24">
        <v>1589.84</v>
      </c>
      <c r="G342" s="24">
        <v>1156.2894762667372</v>
      </c>
      <c r="H342" s="24">
        <v>-1589.8400000000001</v>
      </c>
      <c r="I342" s="24">
        <v>0</v>
      </c>
      <c r="J342" s="16" t="str">
        <f t="shared" si="36"/>
        <v>CAD</v>
      </c>
      <c r="K342">
        <f t="shared" si="31"/>
        <v>13</v>
      </c>
      <c r="L342" t="str">
        <f t="shared" si="32"/>
        <v>SO17531</v>
      </c>
      <c r="M342" s="12">
        <f t="shared" si="33"/>
        <v>0</v>
      </c>
      <c r="N342" s="12">
        <f t="shared" si="34"/>
        <v>0</v>
      </c>
      <c r="O342" s="13" t="str">
        <f t="shared" si="35"/>
        <v>Yes</v>
      </c>
      <c r="P342" s="12">
        <f>IFERROR(VLOOKUP(B342,'Receivable Invoice Detail'!$S$1:$U$3014,3,FALSE),0)</f>
        <v>0</v>
      </c>
    </row>
    <row r="343" spans="1:16" x14ac:dyDescent="0.25">
      <c r="A343" t="s">
        <v>987</v>
      </c>
      <c r="B343" t="s">
        <v>3008</v>
      </c>
      <c r="C343" t="s">
        <v>54</v>
      </c>
      <c r="D343" t="s">
        <v>22</v>
      </c>
      <c r="E343" t="s">
        <v>4389</v>
      </c>
      <c r="F343" s="16">
        <v>0</v>
      </c>
      <c r="G343" s="16">
        <v>0</v>
      </c>
      <c r="H343" s="16">
        <v>0</v>
      </c>
      <c r="I343" s="16">
        <v>0</v>
      </c>
      <c r="J343" s="16" t="str">
        <f t="shared" si="36"/>
        <v/>
      </c>
      <c r="K343">
        <f t="shared" si="31"/>
        <v>7</v>
      </c>
      <c r="L343" t="str">
        <f t="shared" si="32"/>
        <v/>
      </c>
      <c r="M343" s="12">
        <f t="shared" si="33"/>
        <v>0</v>
      </c>
      <c r="N343" s="12">
        <f t="shared" si="34"/>
        <v>0</v>
      </c>
      <c r="O343" s="13">
        <f t="shared" si="35"/>
        <v>0</v>
      </c>
      <c r="P343" s="12">
        <f>IFERROR(VLOOKUP(B343,'Receivable Invoice Detail'!$S$1:$U$3014,3,FALSE),0)</f>
        <v>0</v>
      </c>
    </row>
    <row r="344" spans="1:16" x14ac:dyDescent="0.25">
      <c r="B344" t="s">
        <v>5887</v>
      </c>
      <c r="C344" t="s">
        <v>54</v>
      </c>
      <c r="D344" t="s">
        <v>22</v>
      </c>
      <c r="E344" t="s">
        <v>4389</v>
      </c>
      <c r="F344" s="16">
        <v>24548.44</v>
      </c>
      <c r="G344" s="16">
        <v>17932.303493647378</v>
      </c>
      <c r="H344" s="16">
        <v>0</v>
      </c>
      <c r="I344" s="16">
        <v>0</v>
      </c>
      <c r="J344" s="16" t="str">
        <f t="shared" si="36"/>
        <v/>
      </c>
      <c r="K344">
        <f t="shared" si="31"/>
        <v>0</v>
      </c>
      <c r="L344" t="str">
        <f t="shared" si="32"/>
        <v/>
      </c>
      <c r="M344" s="12">
        <f t="shared" si="33"/>
        <v>0</v>
      </c>
      <c r="N344" s="12">
        <f t="shared" si="34"/>
        <v>0</v>
      </c>
      <c r="O344" s="13">
        <f t="shared" si="35"/>
        <v>0</v>
      </c>
      <c r="P344" s="12">
        <f>IFERROR(VLOOKUP(B344,'Receivable Invoice Detail'!$S$1:$U$3014,3,FALSE),0)</f>
        <v>0</v>
      </c>
    </row>
    <row r="345" spans="1:16" x14ac:dyDescent="0.25">
      <c r="A345" s="23" t="s">
        <v>5893</v>
      </c>
      <c r="B345" s="23"/>
      <c r="C345" s="23"/>
      <c r="D345" s="23"/>
      <c r="E345" s="23"/>
      <c r="F345" s="24">
        <v>24548.44</v>
      </c>
      <c r="G345" s="24">
        <v>17932.303493647378</v>
      </c>
      <c r="H345" s="24">
        <v>0</v>
      </c>
      <c r="I345" s="24">
        <v>0</v>
      </c>
      <c r="J345" s="16" t="str">
        <f t="shared" si="36"/>
        <v>CAD</v>
      </c>
      <c r="K345">
        <f t="shared" si="31"/>
        <v>13</v>
      </c>
      <c r="L345" t="str">
        <f t="shared" si="32"/>
        <v>SO17532</v>
      </c>
      <c r="M345" s="12">
        <f t="shared" si="33"/>
        <v>24548.44</v>
      </c>
      <c r="N345" s="12">
        <f t="shared" si="34"/>
        <v>0</v>
      </c>
      <c r="O345" s="13">
        <f t="shared" si="35"/>
        <v>0</v>
      </c>
      <c r="P345" s="12">
        <f>IFERROR(VLOOKUP(B345,'Receivable Invoice Detail'!$S$1:$U$3014,3,FALSE),0)</f>
        <v>0</v>
      </c>
    </row>
    <row r="346" spans="1:16" x14ac:dyDescent="0.25">
      <c r="A346" t="s">
        <v>867</v>
      </c>
      <c r="B346" t="s">
        <v>3070</v>
      </c>
      <c r="C346" t="s">
        <v>869</v>
      </c>
      <c r="D346" t="s">
        <v>51</v>
      </c>
      <c r="E346" t="s">
        <v>4388</v>
      </c>
      <c r="F346" s="16">
        <v>0</v>
      </c>
      <c r="G346" s="16">
        <v>0</v>
      </c>
      <c r="H346" s="16">
        <v>0</v>
      </c>
      <c r="I346" s="16">
        <v>-2264.77</v>
      </c>
      <c r="J346" s="16" t="str">
        <f t="shared" si="36"/>
        <v/>
      </c>
      <c r="K346">
        <f t="shared" si="31"/>
        <v>7</v>
      </c>
      <c r="L346" t="str">
        <f t="shared" si="32"/>
        <v/>
      </c>
      <c r="M346" s="12">
        <f t="shared" si="33"/>
        <v>0</v>
      </c>
      <c r="N346" s="12">
        <f t="shared" si="34"/>
        <v>0</v>
      </c>
      <c r="O346" s="13">
        <f t="shared" si="35"/>
        <v>0</v>
      </c>
      <c r="P346" s="12">
        <f>IFERROR(VLOOKUP(B346,'Receivable Invoice Detail'!$S$1:$U$3014,3,FALSE),0)</f>
        <v>0</v>
      </c>
    </row>
    <row r="347" spans="1:16" x14ac:dyDescent="0.25">
      <c r="B347" t="s">
        <v>3071</v>
      </c>
      <c r="C347" t="s">
        <v>869</v>
      </c>
      <c r="D347" t="s">
        <v>51</v>
      </c>
      <c r="E347" t="s">
        <v>4388</v>
      </c>
      <c r="F347" s="16">
        <v>3595.2725631936241</v>
      </c>
      <c r="G347" s="16">
        <v>2613.3200000000002</v>
      </c>
      <c r="H347" s="16">
        <v>0</v>
      </c>
      <c r="I347" s="16">
        <v>-348.55</v>
      </c>
      <c r="J347" s="16" t="str">
        <f t="shared" si="36"/>
        <v/>
      </c>
      <c r="K347">
        <f t="shared" si="31"/>
        <v>0</v>
      </c>
      <c r="L347" t="str">
        <f t="shared" si="32"/>
        <v/>
      </c>
      <c r="M347" s="12">
        <f t="shared" si="33"/>
        <v>0</v>
      </c>
      <c r="N347" s="12">
        <f t="shared" si="34"/>
        <v>0</v>
      </c>
      <c r="O347" s="13">
        <f t="shared" si="35"/>
        <v>0</v>
      </c>
      <c r="P347" s="12">
        <f>IFERROR(VLOOKUP(B347,'Receivable Invoice Detail'!$S$1:$U$3014,3,FALSE),0)</f>
        <v>0</v>
      </c>
    </row>
    <row r="348" spans="1:16" x14ac:dyDescent="0.25">
      <c r="A348" s="23" t="s">
        <v>4352</v>
      </c>
      <c r="B348" s="23"/>
      <c r="C348" s="23"/>
      <c r="D348" s="23"/>
      <c r="E348" s="23"/>
      <c r="F348" s="24">
        <v>3595.2725631936241</v>
      </c>
      <c r="G348" s="24">
        <v>2613.3200000000002</v>
      </c>
      <c r="H348" s="24">
        <v>0</v>
      </c>
      <c r="I348" s="24">
        <v>-2613.3200000000002</v>
      </c>
      <c r="J348" s="16" t="str">
        <f t="shared" si="36"/>
        <v>USD</v>
      </c>
      <c r="K348">
        <f t="shared" si="31"/>
        <v>13</v>
      </c>
      <c r="L348" t="str">
        <f t="shared" si="32"/>
        <v>SO17535</v>
      </c>
      <c r="M348" s="12">
        <f t="shared" si="33"/>
        <v>0</v>
      </c>
      <c r="N348" s="12">
        <f t="shared" si="34"/>
        <v>0</v>
      </c>
      <c r="O348" s="13" t="str">
        <f t="shared" si="35"/>
        <v>Yes</v>
      </c>
      <c r="P348" s="12">
        <f>IFERROR(VLOOKUP(B348,'Receivable Invoice Detail'!$S$1:$U$3014,3,FALSE),0)</f>
        <v>0</v>
      </c>
    </row>
    <row r="349" spans="1:16" x14ac:dyDescent="0.25">
      <c r="A349" t="s">
        <v>995</v>
      </c>
      <c r="B349" t="s">
        <v>3004</v>
      </c>
      <c r="C349" t="s">
        <v>95</v>
      </c>
      <c r="D349" t="s">
        <v>22</v>
      </c>
      <c r="E349" t="s">
        <v>4388</v>
      </c>
      <c r="F349" s="16">
        <v>7365.39</v>
      </c>
      <c r="G349" s="16">
        <v>5370.8276372863711</v>
      </c>
      <c r="H349" s="16">
        <v>-5815.61</v>
      </c>
      <c r="I349" s="16">
        <v>0</v>
      </c>
      <c r="J349" s="16" t="str">
        <f t="shared" si="36"/>
        <v/>
      </c>
      <c r="K349">
        <f t="shared" si="31"/>
        <v>7</v>
      </c>
      <c r="L349" t="str">
        <f t="shared" si="32"/>
        <v/>
      </c>
      <c r="M349" s="12">
        <f t="shared" si="33"/>
        <v>0</v>
      </c>
      <c r="N349" s="12">
        <f t="shared" si="34"/>
        <v>0</v>
      </c>
      <c r="O349" s="13">
        <f t="shared" si="35"/>
        <v>0</v>
      </c>
      <c r="P349" s="12">
        <f>IFERROR(VLOOKUP(B349,'Receivable Invoice Detail'!$S$1:$U$3014,3,FALSE),0)</f>
        <v>0</v>
      </c>
    </row>
    <row r="350" spans="1:16" x14ac:dyDescent="0.25">
      <c r="B350" t="s">
        <v>3003</v>
      </c>
      <c r="C350" t="s">
        <v>95</v>
      </c>
      <c r="D350" t="s">
        <v>22</v>
      </c>
      <c r="E350" t="s">
        <v>4388</v>
      </c>
      <c r="F350" s="16">
        <v>0</v>
      </c>
      <c r="G350" s="16">
        <v>0</v>
      </c>
      <c r="H350" s="16">
        <v>-1549.78</v>
      </c>
      <c r="I350" s="16">
        <v>0</v>
      </c>
      <c r="J350" s="16" t="str">
        <f t="shared" si="36"/>
        <v/>
      </c>
      <c r="K350">
        <f t="shared" si="31"/>
        <v>0</v>
      </c>
      <c r="L350" t="str">
        <f t="shared" si="32"/>
        <v/>
      </c>
      <c r="M350" s="12">
        <f t="shared" si="33"/>
        <v>0</v>
      </c>
      <c r="N350" s="12">
        <f t="shared" si="34"/>
        <v>0</v>
      </c>
      <c r="O350" s="13">
        <f t="shared" si="35"/>
        <v>0</v>
      </c>
      <c r="P350" s="12">
        <f>IFERROR(VLOOKUP(B350,'Receivable Invoice Detail'!$S$1:$U$3014,3,FALSE),0)</f>
        <v>0</v>
      </c>
    </row>
    <row r="351" spans="1:16" x14ac:dyDescent="0.25">
      <c r="A351" s="23" t="s">
        <v>4353</v>
      </c>
      <c r="B351" s="23"/>
      <c r="C351" s="23"/>
      <c r="D351" s="23"/>
      <c r="E351" s="23"/>
      <c r="F351" s="24">
        <v>7365.39</v>
      </c>
      <c r="G351" s="24">
        <v>5370.8276372863711</v>
      </c>
      <c r="H351" s="24">
        <v>-7365.3899999999994</v>
      </c>
      <c r="I351" s="24">
        <v>0</v>
      </c>
      <c r="J351" s="16" t="str">
        <f t="shared" si="36"/>
        <v>CAD</v>
      </c>
      <c r="K351">
        <f t="shared" si="31"/>
        <v>13</v>
      </c>
      <c r="L351" t="str">
        <f t="shared" si="32"/>
        <v>SO17536</v>
      </c>
      <c r="M351" s="12">
        <f t="shared" si="33"/>
        <v>0</v>
      </c>
      <c r="N351" s="12">
        <f t="shared" si="34"/>
        <v>0</v>
      </c>
      <c r="O351" s="13" t="str">
        <f t="shared" si="35"/>
        <v>Yes</v>
      </c>
      <c r="P351" s="12">
        <f>IFERROR(VLOOKUP(B351,'Receivable Invoice Detail'!$S$1:$U$3014,3,FALSE),0)</f>
        <v>0</v>
      </c>
    </row>
    <row r="352" spans="1:16" x14ac:dyDescent="0.25">
      <c r="A352" t="s">
        <v>944</v>
      </c>
      <c r="B352" t="s">
        <v>3032</v>
      </c>
      <c r="C352" t="s">
        <v>39</v>
      </c>
      <c r="D352" t="s">
        <v>22</v>
      </c>
      <c r="E352" t="s">
        <v>4388</v>
      </c>
      <c r="F352" s="16">
        <v>15140.5</v>
      </c>
      <c r="G352" s="16">
        <v>11039.509681386935</v>
      </c>
      <c r="H352" s="16">
        <v>-14898.28</v>
      </c>
      <c r="I352" s="16">
        <v>0</v>
      </c>
      <c r="J352" s="16" t="str">
        <f t="shared" si="36"/>
        <v/>
      </c>
      <c r="K352">
        <f t="shared" si="31"/>
        <v>7</v>
      </c>
      <c r="L352" t="str">
        <f t="shared" si="32"/>
        <v/>
      </c>
      <c r="M352" s="12">
        <f t="shared" si="33"/>
        <v>0</v>
      </c>
      <c r="N352" s="12">
        <f t="shared" si="34"/>
        <v>0</v>
      </c>
      <c r="O352" s="13">
        <f t="shared" si="35"/>
        <v>0</v>
      </c>
      <c r="P352" s="12">
        <f>IFERROR(VLOOKUP(B352,'Receivable Invoice Detail'!$S$1:$U$3014,3,FALSE),0)</f>
        <v>0</v>
      </c>
    </row>
    <row r="353" spans="1:16" x14ac:dyDescent="0.25">
      <c r="B353" t="s">
        <v>3031</v>
      </c>
      <c r="C353" t="s">
        <v>39</v>
      </c>
      <c r="D353" t="s">
        <v>22</v>
      </c>
      <c r="E353" t="s">
        <v>4388</v>
      </c>
      <c r="F353" s="16">
        <v>0</v>
      </c>
      <c r="G353" s="16">
        <v>0</v>
      </c>
      <c r="H353" s="16">
        <v>-242.22</v>
      </c>
      <c r="I353" s="16">
        <v>0</v>
      </c>
      <c r="J353" s="16" t="str">
        <f t="shared" si="36"/>
        <v/>
      </c>
      <c r="K353">
        <f t="shared" si="31"/>
        <v>0</v>
      </c>
      <c r="L353" t="str">
        <f t="shared" si="32"/>
        <v/>
      </c>
      <c r="M353" s="12">
        <f t="shared" si="33"/>
        <v>0</v>
      </c>
      <c r="N353" s="12">
        <f t="shared" si="34"/>
        <v>0</v>
      </c>
      <c r="O353" s="13">
        <f t="shared" si="35"/>
        <v>0</v>
      </c>
      <c r="P353" s="12">
        <f>IFERROR(VLOOKUP(B353,'Receivable Invoice Detail'!$S$1:$U$3014,3,FALSE),0)</f>
        <v>0</v>
      </c>
    </row>
    <row r="354" spans="1:16" x14ac:dyDescent="0.25">
      <c r="A354" s="23" t="s">
        <v>4354</v>
      </c>
      <c r="B354" s="23"/>
      <c r="C354" s="23"/>
      <c r="D354" s="23"/>
      <c r="E354" s="23"/>
      <c r="F354" s="24">
        <v>15140.5</v>
      </c>
      <c r="G354" s="24">
        <v>11039.509681386935</v>
      </c>
      <c r="H354" s="24">
        <v>-15140.5</v>
      </c>
      <c r="I354" s="24">
        <v>0</v>
      </c>
      <c r="J354" s="16" t="str">
        <f t="shared" si="36"/>
        <v>CAD</v>
      </c>
      <c r="K354">
        <f t="shared" si="31"/>
        <v>13</v>
      </c>
      <c r="L354" t="str">
        <f t="shared" si="32"/>
        <v>SO17564</v>
      </c>
      <c r="M354" s="12">
        <f t="shared" si="33"/>
        <v>0</v>
      </c>
      <c r="N354" s="12">
        <f t="shared" si="34"/>
        <v>0</v>
      </c>
      <c r="O354" s="13" t="str">
        <f t="shared" si="35"/>
        <v>Yes</v>
      </c>
      <c r="P354" s="12">
        <f>IFERROR(VLOOKUP(B354,'Receivable Invoice Detail'!$S$1:$U$3014,3,FALSE),0)</f>
        <v>0</v>
      </c>
    </row>
    <row r="355" spans="1:16" x14ac:dyDescent="0.25">
      <c r="A355" t="s">
        <v>957</v>
      </c>
      <c r="B355" t="s">
        <v>3023</v>
      </c>
      <c r="C355" t="s">
        <v>465</v>
      </c>
      <c r="D355" t="s">
        <v>22</v>
      </c>
      <c r="E355" t="s">
        <v>4389</v>
      </c>
      <c r="F355" s="16">
        <v>0</v>
      </c>
      <c r="G355" s="16">
        <v>0</v>
      </c>
      <c r="H355" s="16">
        <v>0</v>
      </c>
      <c r="I355" s="16">
        <v>0</v>
      </c>
      <c r="J355" s="16" t="str">
        <f t="shared" si="36"/>
        <v/>
      </c>
      <c r="K355">
        <f t="shared" si="31"/>
        <v>7</v>
      </c>
      <c r="L355" t="str">
        <f t="shared" si="32"/>
        <v/>
      </c>
      <c r="M355" s="12">
        <f t="shared" si="33"/>
        <v>0</v>
      </c>
      <c r="N355" s="12">
        <f t="shared" si="34"/>
        <v>0</v>
      </c>
      <c r="O355" s="13">
        <f t="shared" si="35"/>
        <v>0</v>
      </c>
      <c r="P355" s="12">
        <f>IFERROR(VLOOKUP(B355,'Receivable Invoice Detail'!$S$1:$U$3014,3,FALSE),0)</f>
        <v>0</v>
      </c>
    </row>
    <row r="356" spans="1:16" x14ac:dyDescent="0.25">
      <c r="B356" t="s">
        <v>3024</v>
      </c>
      <c r="C356" t="s">
        <v>465</v>
      </c>
      <c r="D356" t="s">
        <v>22</v>
      </c>
      <c r="E356" t="s">
        <v>4388</v>
      </c>
      <c r="F356" s="16">
        <v>2476.7399999999998</v>
      </c>
      <c r="G356" s="16">
        <v>1815.2601237334939</v>
      </c>
      <c r="H356" s="16">
        <v>-2476.7399999999998</v>
      </c>
      <c r="I356" s="16">
        <v>0</v>
      </c>
      <c r="J356" s="16" t="str">
        <f t="shared" si="36"/>
        <v/>
      </c>
      <c r="K356">
        <f t="shared" si="31"/>
        <v>0</v>
      </c>
      <c r="L356" t="str">
        <f t="shared" si="32"/>
        <v/>
      </c>
      <c r="M356" s="12">
        <f t="shared" si="33"/>
        <v>0</v>
      </c>
      <c r="N356" s="12">
        <f t="shared" si="34"/>
        <v>0</v>
      </c>
      <c r="O356" s="13">
        <f t="shared" si="35"/>
        <v>0</v>
      </c>
      <c r="P356" s="12">
        <f>IFERROR(VLOOKUP(B356,'Receivable Invoice Detail'!$S$1:$U$3014,3,FALSE),0)</f>
        <v>0</v>
      </c>
    </row>
    <row r="357" spans="1:16" x14ac:dyDescent="0.25">
      <c r="A357" s="23" t="s">
        <v>4355</v>
      </c>
      <c r="B357" s="23"/>
      <c r="C357" s="23"/>
      <c r="D357" s="23"/>
      <c r="E357" s="23"/>
      <c r="F357" s="24">
        <v>2476.7399999999998</v>
      </c>
      <c r="G357" s="24">
        <v>1815.2601237334939</v>
      </c>
      <c r="H357" s="24">
        <v>-2476.7399999999998</v>
      </c>
      <c r="I357" s="24">
        <v>0</v>
      </c>
      <c r="J357" s="16" t="str">
        <f t="shared" si="36"/>
        <v>CAD</v>
      </c>
      <c r="K357">
        <f t="shared" si="31"/>
        <v>13</v>
      </c>
      <c r="L357" t="str">
        <f t="shared" si="32"/>
        <v>SO17571</v>
      </c>
      <c r="M357" s="12">
        <f t="shared" si="33"/>
        <v>0</v>
      </c>
      <c r="N357" s="12">
        <f t="shared" si="34"/>
        <v>0</v>
      </c>
      <c r="O357" s="13" t="str">
        <f t="shared" si="35"/>
        <v>Yes</v>
      </c>
      <c r="P357" s="12">
        <f>IFERROR(VLOOKUP(B357,'Receivable Invoice Detail'!$S$1:$U$3014,3,FALSE),0)</f>
        <v>0</v>
      </c>
    </row>
    <row r="358" spans="1:16" x14ac:dyDescent="0.25">
      <c r="A358" t="s">
        <v>950</v>
      </c>
      <c r="B358" t="s">
        <v>3027</v>
      </c>
      <c r="C358" t="s">
        <v>6166</v>
      </c>
      <c r="D358" t="s">
        <v>22</v>
      </c>
      <c r="E358" t="s">
        <v>4389</v>
      </c>
      <c r="F358" s="16">
        <v>0</v>
      </c>
      <c r="G358" s="16">
        <v>0</v>
      </c>
      <c r="H358" s="16">
        <v>0</v>
      </c>
      <c r="I358" s="16">
        <v>0</v>
      </c>
      <c r="J358" s="16" t="str">
        <f t="shared" si="36"/>
        <v/>
      </c>
      <c r="K358">
        <f t="shared" si="31"/>
        <v>7</v>
      </c>
      <c r="L358" t="str">
        <f t="shared" si="32"/>
        <v/>
      </c>
      <c r="M358" s="12">
        <f t="shared" si="33"/>
        <v>0</v>
      </c>
      <c r="N358" s="12">
        <f t="shared" si="34"/>
        <v>0</v>
      </c>
      <c r="O358" s="13">
        <f t="shared" si="35"/>
        <v>0</v>
      </c>
      <c r="P358" s="12">
        <f>IFERROR(VLOOKUP(B358,'Receivable Invoice Detail'!$S$1:$U$3014,3,FALSE),0)</f>
        <v>0</v>
      </c>
    </row>
    <row r="359" spans="1:16" x14ac:dyDescent="0.25">
      <c r="B359" t="s">
        <v>3028</v>
      </c>
      <c r="C359" t="s">
        <v>6166</v>
      </c>
      <c r="D359" t="s">
        <v>22</v>
      </c>
      <c r="E359" t="s">
        <v>4388</v>
      </c>
      <c r="F359" s="16">
        <v>1146.8699999999999</v>
      </c>
      <c r="G359" s="16">
        <v>840.56759211957319</v>
      </c>
      <c r="H359" s="16">
        <v>-961.91</v>
      </c>
      <c r="I359" s="16">
        <v>0</v>
      </c>
      <c r="J359" s="16" t="str">
        <f t="shared" si="36"/>
        <v/>
      </c>
      <c r="K359">
        <f t="shared" si="31"/>
        <v>0</v>
      </c>
      <c r="L359" t="str">
        <f t="shared" si="32"/>
        <v/>
      </c>
      <c r="M359" s="12">
        <f t="shared" si="33"/>
        <v>0</v>
      </c>
      <c r="N359" s="12">
        <f t="shared" si="34"/>
        <v>0</v>
      </c>
      <c r="O359" s="13">
        <f t="shared" si="35"/>
        <v>0</v>
      </c>
      <c r="P359" s="12">
        <f>IFERROR(VLOOKUP(B359,'Receivable Invoice Detail'!$S$1:$U$3014,3,FALSE),0)</f>
        <v>0</v>
      </c>
    </row>
    <row r="360" spans="1:16" x14ac:dyDescent="0.25">
      <c r="A360" s="23" t="s">
        <v>4356</v>
      </c>
      <c r="B360" s="23"/>
      <c r="C360" s="23"/>
      <c r="D360" s="23"/>
      <c r="E360" s="23"/>
      <c r="F360" s="24">
        <v>1146.8699999999999</v>
      </c>
      <c r="G360" s="24">
        <v>840.56759211957319</v>
      </c>
      <c r="H360" s="24">
        <v>-961.91</v>
      </c>
      <c r="I360" s="24">
        <v>0</v>
      </c>
      <c r="J360" s="16" t="str">
        <f t="shared" si="36"/>
        <v>CAD</v>
      </c>
      <c r="K360">
        <f t="shared" si="31"/>
        <v>13</v>
      </c>
      <c r="L360" t="str">
        <f t="shared" si="32"/>
        <v>SO17578</v>
      </c>
      <c r="M360" s="12">
        <f t="shared" si="33"/>
        <v>184.96</v>
      </c>
      <c r="N360" s="12">
        <f t="shared" si="34"/>
        <v>0</v>
      </c>
      <c r="O360" s="13">
        <f t="shared" si="35"/>
        <v>0</v>
      </c>
      <c r="P360" s="12">
        <f>IFERROR(VLOOKUP(B360,'Receivable Invoice Detail'!$S$1:$U$3014,3,FALSE),0)</f>
        <v>0</v>
      </c>
    </row>
    <row r="361" spans="1:16" x14ac:dyDescent="0.25">
      <c r="A361" t="s">
        <v>928</v>
      </c>
      <c r="B361" t="s">
        <v>3040</v>
      </c>
      <c r="C361" t="s">
        <v>6167</v>
      </c>
      <c r="D361" t="s">
        <v>22</v>
      </c>
      <c r="E361" t="s">
        <v>4388</v>
      </c>
      <c r="F361" s="16">
        <v>0</v>
      </c>
      <c r="G361" s="16">
        <v>0</v>
      </c>
      <c r="H361" s="16">
        <v>-1005.03</v>
      </c>
      <c r="I361" s="16">
        <v>0</v>
      </c>
      <c r="J361" s="16" t="str">
        <f t="shared" si="36"/>
        <v/>
      </c>
      <c r="K361">
        <f t="shared" si="31"/>
        <v>7</v>
      </c>
      <c r="L361" t="str">
        <f t="shared" si="32"/>
        <v/>
      </c>
      <c r="M361" s="12">
        <f t="shared" si="33"/>
        <v>0</v>
      </c>
      <c r="N361" s="12">
        <f t="shared" si="34"/>
        <v>0</v>
      </c>
      <c r="O361" s="13">
        <f t="shared" si="35"/>
        <v>0</v>
      </c>
      <c r="P361" s="12">
        <f>IFERROR(VLOOKUP(B361,'Receivable Invoice Detail'!$S$1:$U$3014,3,FALSE),0)</f>
        <v>0</v>
      </c>
    </row>
    <row r="362" spans="1:16" x14ac:dyDescent="0.25">
      <c r="B362" t="s">
        <v>3041</v>
      </c>
      <c r="C362" t="s">
        <v>6167</v>
      </c>
      <c r="D362" t="s">
        <v>22</v>
      </c>
      <c r="E362" t="s">
        <v>4388</v>
      </c>
      <c r="F362" s="16">
        <v>1966.94</v>
      </c>
      <c r="G362" s="16">
        <v>1433.6685803711248</v>
      </c>
      <c r="H362" s="16">
        <v>-961.91</v>
      </c>
      <c r="I362" s="16">
        <v>0</v>
      </c>
      <c r="J362" s="16" t="str">
        <f t="shared" si="36"/>
        <v/>
      </c>
      <c r="K362">
        <f t="shared" si="31"/>
        <v>0</v>
      </c>
      <c r="L362" t="str">
        <f t="shared" si="32"/>
        <v/>
      </c>
      <c r="M362" s="12">
        <f t="shared" si="33"/>
        <v>0</v>
      </c>
      <c r="N362" s="12">
        <f t="shared" si="34"/>
        <v>0</v>
      </c>
      <c r="O362" s="13">
        <f t="shared" si="35"/>
        <v>0</v>
      </c>
      <c r="P362" s="12">
        <f>IFERROR(VLOOKUP(B362,'Receivable Invoice Detail'!$S$1:$U$3014,3,FALSE),0)</f>
        <v>0</v>
      </c>
    </row>
    <row r="363" spans="1:16" x14ac:dyDescent="0.25">
      <c r="A363" s="23" t="s">
        <v>4357</v>
      </c>
      <c r="B363" s="23"/>
      <c r="C363" s="23"/>
      <c r="D363" s="23"/>
      <c r="E363" s="23"/>
      <c r="F363" s="24">
        <v>1966.94</v>
      </c>
      <c r="G363" s="24">
        <v>1433.6685803711248</v>
      </c>
      <c r="H363" s="24">
        <v>-1966.94</v>
      </c>
      <c r="I363" s="24">
        <v>0</v>
      </c>
      <c r="J363" s="16" t="str">
        <f t="shared" si="36"/>
        <v>CAD</v>
      </c>
      <c r="K363">
        <f t="shared" si="31"/>
        <v>13</v>
      </c>
      <c r="L363" t="str">
        <f t="shared" si="32"/>
        <v>SO17597</v>
      </c>
      <c r="M363" s="12">
        <f t="shared" si="33"/>
        <v>0</v>
      </c>
      <c r="N363" s="12">
        <f t="shared" si="34"/>
        <v>0</v>
      </c>
      <c r="O363" s="13" t="str">
        <f t="shared" si="35"/>
        <v>Yes</v>
      </c>
      <c r="P363" s="12">
        <f>IFERROR(VLOOKUP(B363,'Receivable Invoice Detail'!$S$1:$U$3014,3,FALSE),0)</f>
        <v>0</v>
      </c>
    </row>
    <row r="364" spans="1:16" x14ac:dyDescent="0.25">
      <c r="A364" t="s">
        <v>922</v>
      </c>
      <c r="B364" t="s">
        <v>3044</v>
      </c>
      <c r="C364" t="s">
        <v>109</v>
      </c>
      <c r="D364" t="s">
        <v>51</v>
      </c>
      <c r="E364" t="s">
        <v>4388</v>
      </c>
      <c r="F364" s="16">
        <v>0</v>
      </c>
      <c r="G364" s="16">
        <v>0</v>
      </c>
      <c r="H364" s="16">
        <v>0</v>
      </c>
      <c r="I364" s="16">
        <v>-8960.35</v>
      </c>
      <c r="J364" s="16" t="str">
        <f t="shared" si="36"/>
        <v/>
      </c>
      <c r="K364">
        <f t="shared" si="31"/>
        <v>7</v>
      </c>
      <c r="L364" t="str">
        <f t="shared" si="32"/>
        <v/>
      </c>
      <c r="M364" s="12">
        <f t="shared" si="33"/>
        <v>0</v>
      </c>
      <c r="N364" s="12">
        <f t="shared" si="34"/>
        <v>0</v>
      </c>
      <c r="O364" s="13">
        <f t="shared" si="35"/>
        <v>0</v>
      </c>
      <c r="P364" s="12">
        <f>IFERROR(VLOOKUP(B364,'Receivable Invoice Detail'!$S$1:$U$3014,3,FALSE),0)</f>
        <v>594</v>
      </c>
    </row>
    <row r="365" spans="1:16" x14ac:dyDescent="0.25">
      <c r="B365" t="s">
        <v>3045</v>
      </c>
      <c r="C365" t="s">
        <v>109</v>
      </c>
      <c r="D365" t="s">
        <v>51</v>
      </c>
      <c r="E365" t="s">
        <v>4388</v>
      </c>
      <c r="F365" s="16">
        <v>26661.257599929657</v>
      </c>
      <c r="G365" s="16">
        <v>19432.93</v>
      </c>
      <c r="H365" s="16">
        <v>0</v>
      </c>
      <c r="I365" s="16">
        <v>-10472.58</v>
      </c>
      <c r="J365" s="16" t="str">
        <f t="shared" si="36"/>
        <v/>
      </c>
      <c r="K365">
        <f t="shared" si="31"/>
        <v>0</v>
      </c>
      <c r="L365" t="str">
        <f t="shared" si="32"/>
        <v/>
      </c>
      <c r="M365" s="12">
        <f t="shared" si="33"/>
        <v>0</v>
      </c>
      <c r="N365" s="12">
        <f t="shared" si="34"/>
        <v>0</v>
      </c>
      <c r="O365" s="13">
        <f t="shared" si="35"/>
        <v>0</v>
      </c>
      <c r="P365" s="12">
        <f>IFERROR(VLOOKUP(B365,'Receivable Invoice Detail'!$S$1:$U$3014,3,FALSE),0)</f>
        <v>0</v>
      </c>
    </row>
    <row r="366" spans="1:16" x14ac:dyDescent="0.25">
      <c r="A366" s="23" t="s">
        <v>4358</v>
      </c>
      <c r="B366" s="23"/>
      <c r="C366" s="23"/>
      <c r="D366" s="23"/>
      <c r="E366" s="23"/>
      <c r="F366" s="24">
        <v>26661.257599929657</v>
      </c>
      <c r="G366" s="24">
        <v>19432.93</v>
      </c>
      <c r="H366" s="24">
        <v>0</v>
      </c>
      <c r="I366" s="24">
        <v>-19432.93</v>
      </c>
      <c r="J366" s="16" t="str">
        <f t="shared" si="36"/>
        <v>USD</v>
      </c>
      <c r="K366">
        <f t="shared" si="31"/>
        <v>13</v>
      </c>
      <c r="L366" t="str">
        <f t="shared" si="32"/>
        <v>SO17603</v>
      </c>
      <c r="M366" s="12">
        <f t="shared" si="33"/>
        <v>0</v>
      </c>
      <c r="N366" s="12">
        <f t="shared" si="34"/>
        <v>0</v>
      </c>
      <c r="O366" s="13" t="str">
        <f t="shared" si="35"/>
        <v>Yes</v>
      </c>
      <c r="P366" s="12">
        <f>IFERROR(VLOOKUP(B366,'Receivable Invoice Detail'!$S$1:$U$3014,3,FALSE),0)</f>
        <v>0</v>
      </c>
    </row>
    <row r="367" spans="1:16" x14ac:dyDescent="0.25">
      <c r="A367" t="s">
        <v>717</v>
      </c>
      <c r="B367" t="s">
        <v>3144</v>
      </c>
      <c r="C367" t="s">
        <v>316</v>
      </c>
      <c r="D367" t="s">
        <v>22</v>
      </c>
      <c r="E367" t="s">
        <v>4389</v>
      </c>
      <c r="F367" s="16">
        <v>0</v>
      </c>
      <c r="G367" s="16">
        <v>0</v>
      </c>
      <c r="H367" s="16">
        <v>0</v>
      </c>
      <c r="I367" s="16">
        <v>0</v>
      </c>
      <c r="J367" s="16" t="str">
        <f t="shared" si="36"/>
        <v/>
      </c>
      <c r="K367">
        <f t="shared" si="31"/>
        <v>7</v>
      </c>
      <c r="L367" t="str">
        <f t="shared" si="32"/>
        <v/>
      </c>
      <c r="M367" s="12">
        <f t="shared" si="33"/>
        <v>0</v>
      </c>
      <c r="N367" s="12">
        <f t="shared" si="34"/>
        <v>0</v>
      </c>
      <c r="O367" s="13">
        <f t="shared" si="35"/>
        <v>0</v>
      </c>
      <c r="P367" s="12">
        <f>IFERROR(VLOOKUP(B367,'Receivable Invoice Detail'!$S$1:$U$3014,3,FALSE),0)</f>
        <v>0</v>
      </c>
    </row>
    <row r="368" spans="1:16" x14ac:dyDescent="0.25">
      <c r="B368" t="s">
        <v>3145</v>
      </c>
      <c r="C368" t="s">
        <v>316</v>
      </c>
      <c r="D368" t="s">
        <v>22</v>
      </c>
      <c r="E368" t="s">
        <v>4388</v>
      </c>
      <c r="F368" s="16">
        <v>7603.02</v>
      </c>
      <c r="G368" s="16">
        <v>5506.5517257967967</v>
      </c>
      <c r="H368" s="16">
        <v>-7603.02</v>
      </c>
      <c r="I368" s="16">
        <v>0</v>
      </c>
      <c r="J368" s="16" t="str">
        <f t="shared" si="36"/>
        <v/>
      </c>
      <c r="K368">
        <f t="shared" si="31"/>
        <v>0</v>
      </c>
      <c r="L368" t="str">
        <f t="shared" si="32"/>
        <v/>
      </c>
      <c r="M368" s="12">
        <f t="shared" si="33"/>
        <v>0</v>
      </c>
      <c r="N368" s="12">
        <f t="shared" si="34"/>
        <v>0</v>
      </c>
      <c r="O368" s="13">
        <f t="shared" si="35"/>
        <v>0</v>
      </c>
      <c r="P368" s="12">
        <f>IFERROR(VLOOKUP(B368,'Receivable Invoice Detail'!$S$1:$U$3014,3,FALSE),0)</f>
        <v>0</v>
      </c>
    </row>
    <row r="369" spans="1:16" x14ac:dyDescent="0.25">
      <c r="A369" s="23" t="s">
        <v>4359</v>
      </c>
      <c r="B369" s="23"/>
      <c r="C369" s="23"/>
      <c r="D369" s="23"/>
      <c r="E369" s="23"/>
      <c r="F369" s="24">
        <v>7603.02</v>
      </c>
      <c r="G369" s="24">
        <v>5506.5517257967967</v>
      </c>
      <c r="H369" s="24">
        <v>-7603.02</v>
      </c>
      <c r="I369" s="24">
        <v>0</v>
      </c>
      <c r="J369" s="16" t="str">
        <f t="shared" si="36"/>
        <v>CAD</v>
      </c>
      <c r="K369">
        <f t="shared" si="31"/>
        <v>13</v>
      </c>
      <c r="L369" t="str">
        <f t="shared" si="32"/>
        <v>SO17621</v>
      </c>
      <c r="M369" s="12">
        <f t="shared" si="33"/>
        <v>0</v>
      </c>
      <c r="N369" s="12">
        <f t="shared" si="34"/>
        <v>0</v>
      </c>
      <c r="O369" s="13" t="str">
        <f t="shared" si="35"/>
        <v>Yes</v>
      </c>
      <c r="P369" s="12">
        <f>IFERROR(VLOOKUP(B369,'Receivable Invoice Detail'!$S$1:$U$3014,3,FALSE),0)</f>
        <v>0</v>
      </c>
    </row>
    <row r="370" spans="1:16" x14ac:dyDescent="0.25">
      <c r="A370" t="s">
        <v>795</v>
      </c>
      <c r="B370" t="s">
        <v>3107</v>
      </c>
      <c r="C370" t="s">
        <v>159</v>
      </c>
      <c r="D370" t="s">
        <v>51</v>
      </c>
      <c r="E370" t="s">
        <v>4388</v>
      </c>
      <c r="F370" s="16">
        <v>0</v>
      </c>
      <c r="G370" s="16">
        <v>0</v>
      </c>
      <c r="H370" s="16">
        <v>0</v>
      </c>
      <c r="I370" s="16">
        <v>-41311.9</v>
      </c>
      <c r="J370" s="16" t="str">
        <f t="shared" si="36"/>
        <v/>
      </c>
      <c r="K370">
        <f t="shared" si="31"/>
        <v>7</v>
      </c>
      <c r="L370" t="str">
        <f t="shared" si="32"/>
        <v/>
      </c>
      <c r="M370" s="12">
        <f t="shared" si="33"/>
        <v>0</v>
      </c>
      <c r="N370" s="12">
        <f t="shared" si="34"/>
        <v>0</v>
      </c>
      <c r="O370" s="13">
        <f t="shared" si="35"/>
        <v>0</v>
      </c>
      <c r="P370" s="12">
        <f>IFERROR(VLOOKUP(B370,'Receivable Invoice Detail'!$S$1:$U$3014,3,FALSE),0)</f>
        <v>0</v>
      </c>
    </row>
    <row r="371" spans="1:16" x14ac:dyDescent="0.25">
      <c r="B371" t="s">
        <v>3108</v>
      </c>
      <c r="C371" t="s">
        <v>159</v>
      </c>
      <c r="D371" t="s">
        <v>51</v>
      </c>
      <c r="E371" t="s">
        <v>4389</v>
      </c>
      <c r="F371" s="16">
        <v>95905.386833706652</v>
      </c>
      <c r="G371" s="16">
        <v>68991.899999999994</v>
      </c>
      <c r="H371" s="16">
        <v>0</v>
      </c>
      <c r="I371" s="16">
        <v>0</v>
      </c>
      <c r="J371" s="16" t="str">
        <f t="shared" si="36"/>
        <v/>
      </c>
      <c r="K371">
        <f t="shared" si="31"/>
        <v>0</v>
      </c>
      <c r="L371" t="str">
        <f t="shared" si="32"/>
        <v/>
      </c>
      <c r="M371" s="12">
        <f t="shared" si="33"/>
        <v>0</v>
      </c>
      <c r="N371" s="12">
        <f t="shared" si="34"/>
        <v>0</v>
      </c>
      <c r="O371" s="13">
        <f t="shared" si="35"/>
        <v>0</v>
      </c>
      <c r="P371" s="12">
        <f>IFERROR(VLOOKUP(B371,'Receivable Invoice Detail'!$S$1:$U$3014,3,FALSE),0)</f>
        <v>0</v>
      </c>
    </row>
    <row r="372" spans="1:16" x14ac:dyDescent="0.25">
      <c r="B372" t="s">
        <v>3106</v>
      </c>
      <c r="C372" t="s">
        <v>159</v>
      </c>
      <c r="D372" t="s">
        <v>51</v>
      </c>
      <c r="E372" t="s">
        <v>4388</v>
      </c>
      <c r="F372" s="16">
        <v>0</v>
      </c>
      <c r="G372" s="16">
        <v>0</v>
      </c>
      <c r="H372" s="16">
        <v>0</v>
      </c>
      <c r="I372" s="16">
        <v>-27680</v>
      </c>
      <c r="J372" s="16" t="str">
        <f t="shared" si="36"/>
        <v/>
      </c>
      <c r="K372">
        <f t="shared" si="31"/>
        <v>0</v>
      </c>
      <c r="L372" t="str">
        <f t="shared" si="32"/>
        <v/>
      </c>
      <c r="M372" s="12">
        <f t="shared" si="33"/>
        <v>0</v>
      </c>
      <c r="N372" s="12">
        <f t="shared" si="34"/>
        <v>0</v>
      </c>
      <c r="O372" s="13">
        <f t="shared" si="35"/>
        <v>0</v>
      </c>
      <c r="P372" s="12">
        <f>IFERROR(VLOOKUP(B372,'Receivable Invoice Detail'!$S$1:$U$3014,3,FALSE),0)</f>
        <v>0</v>
      </c>
    </row>
    <row r="373" spans="1:16" x14ac:dyDescent="0.25">
      <c r="A373" s="23" t="s">
        <v>4360</v>
      </c>
      <c r="B373" s="23"/>
      <c r="C373" s="23"/>
      <c r="D373" s="23"/>
      <c r="E373" s="23"/>
      <c r="F373" s="24">
        <v>95905.386833706652</v>
      </c>
      <c r="G373" s="24">
        <v>68991.899999999994</v>
      </c>
      <c r="H373" s="24">
        <v>0</v>
      </c>
      <c r="I373" s="24">
        <v>-68991.899999999994</v>
      </c>
      <c r="J373" s="16" t="str">
        <f t="shared" si="36"/>
        <v>USD</v>
      </c>
      <c r="K373">
        <f t="shared" si="31"/>
        <v>13</v>
      </c>
      <c r="L373" t="str">
        <f t="shared" si="32"/>
        <v>SO17625</v>
      </c>
      <c r="M373" s="12">
        <f t="shared" si="33"/>
        <v>0</v>
      </c>
      <c r="N373" s="12">
        <f t="shared" si="34"/>
        <v>0</v>
      </c>
      <c r="O373" s="13" t="str">
        <f t="shared" si="35"/>
        <v>Yes</v>
      </c>
      <c r="P373" s="12">
        <f>IFERROR(VLOOKUP(B373,'Receivable Invoice Detail'!$S$1:$U$3014,3,FALSE),0)</f>
        <v>0</v>
      </c>
    </row>
    <row r="374" spans="1:16" x14ac:dyDescent="0.25">
      <c r="A374" t="s">
        <v>851</v>
      </c>
      <c r="B374" t="s">
        <v>3078</v>
      </c>
      <c r="C374" t="s">
        <v>135</v>
      </c>
      <c r="D374" t="s">
        <v>22</v>
      </c>
      <c r="E374" t="s">
        <v>4388</v>
      </c>
      <c r="F374" s="16">
        <v>0</v>
      </c>
      <c r="G374" s="16">
        <v>0</v>
      </c>
      <c r="H374" s="16">
        <v>-6649.86</v>
      </c>
      <c r="I374" s="16">
        <v>0</v>
      </c>
      <c r="J374" s="16" t="str">
        <f t="shared" si="36"/>
        <v/>
      </c>
      <c r="K374">
        <f t="shared" si="31"/>
        <v>7</v>
      </c>
      <c r="L374" t="str">
        <f t="shared" si="32"/>
        <v/>
      </c>
      <c r="M374" s="12">
        <f t="shared" si="33"/>
        <v>0</v>
      </c>
      <c r="N374" s="12">
        <f t="shared" si="34"/>
        <v>0</v>
      </c>
      <c r="O374" s="13">
        <f t="shared" si="35"/>
        <v>0</v>
      </c>
      <c r="P374" s="12">
        <f>IFERROR(VLOOKUP(B374,'Receivable Invoice Detail'!$S$1:$U$3014,3,FALSE),0)</f>
        <v>0</v>
      </c>
    </row>
    <row r="375" spans="1:16" x14ac:dyDescent="0.25">
      <c r="B375" t="s">
        <v>3079</v>
      </c>
      <c r="C375" t="s">
        <v>135</v>
      </c>
      <c r="D375" t="s">
        <v>22</v>
      </c>
      <c r="E375" t="s">
        <v>4388</v>
      </c>
      <c r="F375" s="16">
        <v>10778.64</v>
      </c>
      <c r="G375" s="16">
        <v>7830.3266601170226</v>
      </c>
      <c r="H375" s="16">
        <v>-4128.78</v>
      </c>
      <c r="I375" s="16">
        <v>0</v>
      </c>
      <c r="J375" s="16" t="str">
        <f t="shared" si="36"/>
        <v/>
      </c>
      <c r="K375">
        <f t="shared" si="31"/>
        <v>0</v>
      </c>
      <c r="L375" t="str">
        <f t="shared" si="32"/>
        <v/>
      </c>
      <c r="M375" s="12">
        <f t="shared" si="33"/>
        <v>0</v>
      </c>
      <c r="N375" s="12">
        <f t="shared" si="34"/>
        <v>0</v>
      </c>
      <c r="O375" s="13">
        <f t="shared" si="35"/>
        <v>0</v>
      </c>
      <c r="P375" s="12">
        <f>IFERROR(VLOOKUP(B375,'Receivable Invoice Detail'!$S$1:$U$3014,3,FALSE),0)</f>
        <v>0</v>
      </c>
    </row>
    <row r="376" spans="1:16" x14ac:dyDescent="0.25">
      <c r="A376" s="23" t="s">
        <v>4361</v>
      </c>
      <c r="B376" s="23"/>
      <c r="C376" s="23"/>
      <c r="D376" s="23"/>
      <c r="E376" s="23"/>
      <c r="F376" s="24">
        <v>10778.64</v>
      </c>
      <c r="G376" s="24">
        <v>7830.3266601170226</v>
      </c>
      <c r="H376" s="24">
        <v>-10778.64</v>
      </c>
      <c r="I376" s="24">
        <v>0</v>
      </c>
      <c r="J376" s="16" t="str">
        <f t="shared" si="36"/>
        <v>CAD</v>
      </c>
      <c r="K376">
        <f t="shared" si="31"/>
        <v>13</v>
      </c>
      <c r="L376" t="str">
        <f t="shared" si="32"/>
        <v>SO17644</v>
      </c>
      <c r="M376" s="12">
        <f t="shared" si="33"/>
        <v>0</v>
      </c>
      <c r="N376" s="12">
        <f t="shared" si="34"/>
        <v>0</v>
      </c>
      <c r="O376" s="13" t="str">
        <f t="shared" si="35"/>
        <v>Yes</v>
      </c>
      <c r="P376" s="12">
        <f>IFERROR(VLOOKUP(B376,'Receivable Invoice Detail'!$S$1:$U$3014,3,FALSE),0)</f>
        <v>0</v>
      </c>
    </row>
    <row r="377" spans="1:16" x14ac:dyDescent="0.25">
      <c r="A377" t="s">
        <v>715</v>
      </c>
      <c r="B377" t="s">
        <v>3146</v>
      </c>
      <c r="C377" t="s">
        <v>714</v>
      </c>
      <c r="D377" t="s">
        <v>51</v>
      </c>
      <c r="E377" t="s">
        <v>4388</v>
      </c>
      <c r="F377" s="16">
        <v>129950.47975876725</v>
      </c>
      <c r="G377" s="16">
        <v>94461.93</v>
      </c>
      <c r="H377" s="16">
        <v>0</v>
      </c>
      <c r="I377" s="16">
        <v>-86619.66</v>
      </c>
      <c r="J377" s="16" t="str">
        <f t="shared" si="36"/>
        <v/>
      </c>
      <c r="K377">
        <f t="shared" si="31"/>
        <v>7</v>
      </c>
      <c r="L377" t="str">
        <f t="shared" si="32"/>
        <v/>
      </c>
      <c r="M377" s="12">
        <f t="shared" si="33"/>
        <v>0</v>
      </c>
      <c r="N377" s="12">
        <f t="shared" si="34"/>
        <v>0</v>
      </c>
      <c r="O377" s="13">
        <f t="shared" si="35"/>
        <v>0</v>
      </c>
      <c r="P377" s="12">
        <f>IFERROR(VLOOKUP(B377,'Receivable Invoice Detail'!$S$1:$U$3014,3,FALSE),0)</f>
        <v>0</v>
      </c>
    </row>
    <row r="378" spans="1:16" x14ac:dyDescent="0.25">
      <c r="B378" t="s">
        <v>5992</v>
      </c>
      <c r="C378" t="s">
        <v>714</v>
      </c>
      <c r="D378" t="s">
        <v>51</v>
      </c>
      <c r="E378" t="s">
        <v>4388</v>
      </c>
      <c r="F378" s="16">
        <v>0</v>
      </c>
      <c r="G378" s="16">
        <v>0</v>
      </c>
      <c r="H378" s="16">
        <v>0</v>
      </c>
      <c r="I378" s="16">
        <v>-787.11</v>
      </c>
      <c r="J378" s="16" t="str">
        <f t="shared" si="36"/>
        <v/>
      </c>
      <c r="K378">
        <f t="shared" si="31"/>
        <v>0</v>
      </c>
      <c r="L378" t="str">
        <f t="shared" si="32"/>
        <v/>
      </c>
      <c r="M378" s="12">
        <f t="shared" si="33"/>
        <v>0</v>
      </c>
      <c r="N378" s="12">
        <f t="shared" si="34"/>
        <v>0</v>
      </c>
      <c r="O378" s="13">
        <f t="shared" si="35"/>
        <v>0</v>
      </c>
      <c r="P378" s="12">
        <f>IFERROR(VLOOKUP(B378,'Receivable Invoice Detail'!$S$1:$U$3014,3,FALSE),0)</f>
        <v>0</v>
      </c>
    </row>
    <row r="379" spans="1:16" x14ac:dyDescent="0.25">
      <c r="A379" s="23" t="s">
        <v>6337</v>
      </c>
      <c r="B379" s="23"/>
      <c r="C379" s="23"/>
      <c r="D379" s="23"/>
      <c r="E379" s="23"/>
      <c r="F379" s="24">
        <v>129950.47975876725</v>
      </c>
      <c r="G379" s="24">
        <v>94461.93</v>
      </c>
      <c r="H379" s="24">
        <v>0</v>
      </c>
      <c r="I379" s="24">
        <v>-87406.77</v>
      </c>
      <c r="J379" s="16" t="str">
        <f t="shared" si="36"/>
        <v>USD</v>
      </c>
      <c r="K379">
        <f t="shared" si="31"/>
        <v>13</v>
      </c>
      <c r="L379" t="str">
        <f t="shared" si="32"/>
        <v>SO17681</v>
      </c>
      <c r="M379" s="12">
        <f t="shared" si="33"/>
        <v>0</v>
      </c>
      <c r="N379" s="12">
        <f t="shared" si="34"/>
        <v>7055.16</v>
      </c>
      <c r="O379" s="13">
        <f t="shared" si="35"/>
        <v>0</v>
      </c>
      <c r="P379" s="12">
        <f>IFERROR(VLOOKUP(B379,'Receivable Invoice Detail'!$S$1:$U$3014,3,FALSE),0)</f>
        <v>0</v>
      </c>
    </row>
    <row r="380" spans="1:16" x14ac:dyDescent="0.25">
      <c r="A380" t="s">
        <v>837</v>
      </c>
      <c r="B380" t="s">
        <v>3086</v>
      </c>
      <c r="C380" t="s">
        <v>239</v>
      </c>
      <c r="D380" t="s">
        <v>51</v>
      </c>
      <c r="E380" t="s">
        <v>4388</v>
      </c>
      <c r="F380" s="16">
        <v>2732.1955433823841</v>
      </c>
      <c r="G380" s="16">
        <v>1984.85</v>
      </c>
      <c r="H380" s="16">
        <v>0</v>
      </c>
      <c r="I380" s="16">
        <v>-3633.7</v>
      </c>
      <c r="J380" s="16" t="str">
        <f t="shared" si="36"/>
        <v/>
      </c>
      <c r="K380">
        <f t="shared" si="31"/>
        <v>7</v>
      </c>
      <c r="L380" t="str">
        <f t="shared" si="32"/>
        <v/>
      </c>
      <c r="M380" s="12">
        <f t="shared" si="33"/>
        <v>0</v>
      </c>
      <c r="N380" s="12">
        <f t="shared" si="34"/>
        <v>0</v>
      </c>
      <c r="O380" s="13">
        <f t="shared" si="35"/>
        <v>0</v>
      </c>
      <c r="P380" s="12">
        <f>IFERROR(VLOOKUP(B380,'Receivable Invoice Detail'!$S$1:$U$3014,3,FALSE),0)</f>
        <v>0</v>
      </c>
    </row>
    <row r="381" spans="1:16" x14ac:dyDescent="0.25">
      <c r="A381" s="23" t="s">
        <v>4362</v>
      </c>
      <c r="B381" s="23"/>
      <c r="C381" s="23"/>
      <c r="D381" s="23"/>
      <c r="E381" s="23"/>
      <c r="F381" s="24">
        <v>2732.1955433823841</v>
      </c>
      <c r="G381" s="24">
        <v>1984.85</v>
      </c>
      <c r="H381" s="24">
        <v>0</v>
      </c>
      <c r="I381" s="24">
        <v>-3633.7</v>
      </c>
      <c r="J381" s="16" t="str">
        <f t="shared" si="36"/>
        <v>USD</v>
      </c>
      <c r="K381">
        <f t="shared" si="31"/>
        <v>13</v>
      </c>
      <c r="L381" t="str">
        <f t="shared" si="32"/>
        <v>SO17682</v>
      </c>
      <c r="M381" s="12">
        <f t="shared" si="33"/>
        <v>0</v>
      </c>
      <c r="N381" s="12">
        <f t="shared" si="34"/>
        <v>-1648.85</v>
      </c>
      <c r="O381" s="13">
        <f t="shared" si="35"/>
        <v>0</v>
      </c>
      <c r="P381" s="12">
        <f>IFERROR(VLOOKUP(B381,'Receivable Invoice Detail'!$S$1:$U$3014,3,FALSE),0)</f>
        <v>0</v>
      </c>
    </row>
    <row r="382" spans="1:16" x14ac:dyDescent="0.25">
      <c r="A382" t="s">
        <v>712</v>
      </c>
      <c r="B382" t="s">
        <v>3149</v>
      </c>
      <c r="C382" t="s">
        <v>714</v>
      </c>
      <c r="D382" t="s">
        <v>51</v>
      </c>
      <c r="E382" t="s">
        <v>4389</v>
      </c>
      <c r="F382" s="16">
        <v>0</v>
      </c>
      <c r="G382" s="16">
        <v>0</v>
      </c>
      <c r="H382" s="16">
        <v>0</v>
      </c>
      <c r="I382" s="16">
        <v>0</v>
      </c>
      <c r="J382" s="16" t="str">
        <f t="shared" si="36"/>
        <v/>
      </c>
      <c r="K382">
        <f t="shared" si="31"/>
        <v>7</v>
      </c>
      <c r="L382" t="str">
        <f t="shared" si="32"/>
        <v/>
      </c>
      <c r="M382" s="12">
        <f t="shared" si="33"/>
        <v>0</v>
      </c>
      <c r="N382" s="12">
        <f t="shared" si="34"/>
        <v>0</v>
      </c>
      <c r="O382" s="13">
        <f t="shared" si="35"/>
        <v>0</v>
      </c>
      <c r="P382" s="12">
        <f>IFERROR(VLOOKUP(B382,'Receivable Invoice Detail'!$S$1:$U$3014,3,FALSE),0)</f>
        <v>0</v>
      </c>
    </row>
    <row r="383" spans="1:16" x14ac:dyDescent="0.25">
      <c r="B383" t="s">
        <v>3147</v>
      </c>
      <c r="C383" t="s">
        <v>714</v>
      </c>
      <c r="D383" t="s">
        <v>51</v>
      </c>
      <c r="E383" t="s">
        <v>4388</v>
      </c>
      <c r="F383" s="16">
        <v>0</v>
      </c>
      <c r="G383" s="16">
        <v>0</v>
      </c>
      <c r="H383" s="16">
        <v>0</v>
      </c>
      <c r="I383" s="16">
        <v>-25317.19</v>
      </c>
      <c r="J383" s="16" t="str">
        <f t="shared" si="36"/>
        <v/>
      </c>
      <c r="K383">
        <f t="shared" si="31"/>
        <v>0</v>
      </c>
      <c r="L383" t="str">
        <f t="shared" si="32"/>
        <v/>
      </c>
      <c r="M383" s="12">
        <f t="shared" si="33"/>
        <v>0</v>
      </c>
      <c r="N383" s="12">
        <f t="shared" si="34"/>
        <v>0</v>
      </c>
      <c r="O383" s="13">
        <f t="shared" si="35"/>
        <v>0</v>
      </c>
      <c r="P383" s="12">
        <f>IFERROR(VLOOKUP(B383,'Receivable Invoice Detail'!$S$1:$U$3014,3,FALSE),0)</f>
        <v>0</v>
      </c>
    </row>
    <row r="384" spans="1:16" x14ac:dyDescent="0.25">
      <c r="B384" t="s">
        <v>3148</v>
      </c>
      <c r="C384" t="s">
        <v>714</v>
      </c>
      <c r="D384" t="s">
        <v>51</v>
      </c>
      <c r="E384" t="s">
        <v>4388</v>
      </c>
      <c r="F384" s="16">
        <v>0</v>
      </c>
      <c r="G384" s="16">
        <v>0</v>
      </c>
      <c r="H384" s="16">
        <v>0</v>
      </c>
      <c r="I384" s="16">
        <v>-241.39</v>
      </c>
      <c r="J384" s="16" t="str">
        <f t="shared" si="36"/>
        <v/>
      </c>
      <c r="K384">
        <f t="shared" si="31"/>
        <v>0</v>
      </c>
      <c r="L384" t="str">
        <f t="shared" si="32"/>
        <v/>
      </c>
      <c r="M384" s="12">
        <f t="shared" si="33"/>
        <v>0</v>
      </c>
      <c r="N384" s="12">
        <f t="shared" si="34"/>
        <v>0</v>
      </c>
      <c r="O384" s="13">
        <f t="shared" si="35"/>
        <v>0</v>
      </c>
      <c r="P384" s="12">
        <f>IFERROR(VLOOKUP(B384,'Receivable Invoice Detail'!$S$1:$U$3014,3,FALSE),0)</f>
        <v>0</v>
      </c>
    </row>
    <row r="385" spans="1:16" x14ac:dyDescent="0.25">
      <c r="B385" t="s">
        <v>5993</v>
      </c>
      <c r="C385" t="s">
        <v>714</v>
      </c>
      <c r="D385" t="s">
        <v>51</v>
      </c>
      <c r="E385" t="s">
        <v>4389</v>
      </c>
      <c r="F385" s="16">
        <v>70310.288679416393</v>
      </c>
      <c r="G385" s="16">
        <v>51109.05</v>
      </c>
      <c r="H385" s="16">
        <v>0</v>
      </c>
      <c r="I385" s="16">
        <v>-23157.72</v>
      </c>
      <c r="J385" s="16" t="str">
        <f t="shared" si="36"/>
        <v/>
      </c>
      <c r="K385">
        <f t="shared" si="31"/>
        <v>0</v>
      </c>
      <c r="L385" t="str">
        <f t="shared" si="32"/>
        <v/>
      </c>
      <c r="M385" s="12">
        <f t="shared" si="33"/>
        <v>0</v>
      </c>
      <c r="N385" s="12">
        <f t="shared" si="34"/>
        <v>0</v>
      </c>
      <c r="O385" s="13">
        <f t="shared" si="35"/>
        <v>0</v>
      </c>
      <c r="P385" s="12">
        <f>IFERROR(VLOOKUP(B385,'Receivable Invoice Detail'!$S$1:$U$3014,3,FALSE),0)</f>
        <v>0</v>
      </c>
    </row>
    <row r="386" spans="1:16" x14ac:dyDescent="0.25">
      <c r="A386" s="23" t="s">
        <v>4363</v>
      </c>
      <c r="B386" s="23"/>
      <c r="C386" s="23"/>
      <c r="D386" s="23"/>
      <c r="E386" s="23"/>
      <c r="F386" s="24">
        <v>70310.288679416393</v>
      </c>
      <c r="G386" s="24">
        <v>51109.05</v>
      </c>
      <c r="H386" s="24">
        <v>0</v>
      </c>
      <c r="I386" s="24">
        <v>-48716.3</v>
      </c>
      <c r="J386" s="16" t="str">
        <f t="shared" si="36"/>
        <v>USD</v>
      </c>
      <c r="K386">
        <f t="shared" si="31"/>
        <v>13</v>
      </c>
      <c r="L386" t="str">
        <f t="shared" si="32"/>
        <v>SO17696</v>
      </c>
      <c r="M386" s="12">
        <f t="shared" si="33"/>
        <v>0</v>
      </c>
      <c r="N386" s="12">
        <f t="shared" si="34"/>
        <v>2392.75</v>
      </c>
      <c r="O386" s="13">
        <f t="shared" si="35"/>
        <v>0</v>
      </c>
      <c r="P386" s="12">
        <f>IFERROR(VLOOKUP(B386,'Receivable Invoice Detail'!$S$1:$U$3014,3,FALSE),0)</f>
        <v>0</v>
      </c>
    </row>
    <row r="387" spans="1:16" x14ac:dyDescent="0.25">
      <c r="A387" t="s">
        <v>791</v>
      </c>
      <c r="B387" t="s">
        <v>3111</v>
      </c>
      <c r="C387" t="s">
        <v>141</v>
      </c>
      <c r="D387" t="s">
        <v>51</v>
      </c>
      <c r="E387" t="s">
        <v>4389</v>
      </c>
      <c r="F387" s="16">
        <v>19807.607682616384</v>
      </c>
      <c r="G387" s="16">
        <v>14249.09</v>
      </c>
      <c r="H387" s="16">
        <v>0</v>
      </c>
      <c r="I387" s="16">
        <v>-2465.04</v>
      </c>
      <c r="J387" s="16" t="str">
        <f t="shared" si="36"/>
        <v/>
      </c>
      <c r="K387">
        <f t="shared" si="31"/>
        <v>7</v>
      </c>
      <c r="L387" t="str">
        <f t="shared" si="32"/>
        <v/>
      </c>
      <c r="M387" s="12">
        <f t="shared" si="33"/>
        <v>0</v>
      </c>
      <c r="N387" s="12">
        <f t="shared" si="34"/>
        <v>0</v>
      </c>
      <c r="O387" s="13">
        <f t="shared" si="35"/>
        <v>0</v>
      </c>
      <c r="P387" s="12">
        <f>IFERROR(VLOOKUP(B387,'Receivable Invoice Detail'!$S$1:$U$3014,3,FALSE),0)</f>
        <v>0</v>
      </c>
    </row>
    <row r="388" spans="1:16" x14ac:dyDescent="0.25">
      <c r="B388" t="s">
        <v>3110</v>
      </c>
      <c r="C388" t="s">
        <v>141</v>
      </c>
      <c r="D388" t="s">
        <v>51</v>
      </c>
      <c r="E388" t="s">
        <v>4389</v>
      </c>
      <c r="F388" s="16">
        <v>0</v>
      </c>
      <c r="G388" s="16">
        <v>0</v>
      </c>
      <c r="H388" s="16">
        <v>0</v>
      </c>
      <c r="I388" s="16">
        <v>-11784.05</v>
      </c>
      <c r="J388" s="16" t="str">
        <f t="shared" si="36"/>
        <v/>
      </c>
      <c r="K388">
        <f t="shared" si="31"/>
        <v>0</v>
      </c>
      <c r="L388" t="str">
        <f t="shared" si="32"/>
        <v/>
      </c>
      <c r="M388" s="12">
        <f t="shared" si="33"/>
        <v>0</v>
      </c>
      <c r="N388" s="12">
        <f t="shared" si="34"/>
        <v>0</v>
      </c>
      <c r="O388" s="13">
        <f t="shared" si="35"/>
        <v>0</v>
      </c>
      <c r="P388" s="12">
        <f>IFERROR(VLOOKUP(B388,'Receivable Invoice Detail'!$S$1:$U$3014,3,FALSE),0)</f>
        <v>0</v>
      </c>
    </row>
    <row r="389" spans="1:16" x14ac:dyDescent="0.25">
      <c r="A389" s="23" t="s">
        <v>4364</v>
      </c>
      <c r="B389" s="23"/>
      <c r="C389" s="23"/>
      <c r="D389" s="23"/>
      <c r="E389" s="23"/>
      <c r="F389" s="24">
        <v>19807.607682616384</v>
      </c>
      <c r="G389" s="24">
        <v>14249.09</v>
      </c>
      <c r="H389" s="24">
        <v>0</v>
      </c>
      <c r="I389" s="24">
        <v>-14249.09</v>
      </c>
      <c r="J389" s="16" t="str">
        <f t="shared" si="36"/>
        <v>USD</v>
      </c>
      <c r="K389">
        <f t="shared" si="31"/>
        <v>13</v>
      </c>
      <c r="L389" t="str">
        <f t="shared" si="32"/>
        <v>SO17741</v>
      </c>
      <c r="M389" s="12">
        <f t="shared" si="33"/>
        <v>0</v>
      </c>
      <c r="N389" s="12">
        <f t="shared" si="34"/>
        <v>0</v>
      </c>
      <c r="O389" s="13" t="str">
        <f t="shared" si="35"/>
        <v>Yes</v>
      </c>
      <c r="P389" s="12">
        <f>IFERROR(VLOOKUP(B389,'Receivable Invoice Detail'!$S$1:$U$3014,3,FALSE),0)</f>
        <v>0</v>
      </c>
    </row>
    <row r="390" spans="1:16" x14ac:dyDescent="0.25">
      <c r="A390" t="s">
        <v>768</v>
      </c>
      <c r="B390" t="s">
        <v>3120</v>
      </c>
      <c r="C390" t="s">
        <v>192</v>
      </c>
      <c r="D390" t="s">
        <v>51</v>
      </c>
      <c r="E390" t="s">
        <v>4389</v>
      </c>
      <c r="F390" s="16">
        <v>0</v>
      </c>
      <c r="G390" s="16">
        <v>0</v>
      </c>
      <c r="H390" s="16">
        <v>0</v>
      </c>
      <c r="I390" s="16">
        <v>0</v>
      </c>
      <c r="J390" s="16" t="str">
        <f t="shared" si="36"/>
        <v/>
      </c>
      <c r="K390">
        <f t="shared" ref="K390:K446" si="37">LEN(A390)</f>
        <v>7</v>
      </c>
      <c r="L390" t="str">
        <f t="shared" ref="L390:L446" si="38">IF(K390=13,LEFT(A390,7),"")</f>
        <v/>
      </c>
      <c r="M390" s="12">
        <f t="shared" ref="M390:M446" si="39">IF(AND(K390=13,D389="CAD"),ROUND(F390+H390,2),0)</f>
        <v>0</v>
      </c>
      <c r="N390" s="12">
        <f t="shared" ref="N390:N446" si="40">IF(AND(K390=13,D389="USD"),ROUND(G390+I390,2),0)</f>
        <v>0</v>
      </c>
      <c r="O390" s="13">
        <f t="shared" ref="O390:O446" si="41">IF(K390=13,IF(M390+N390=0,"Yes",0),0)</f>
        <v>0</v>
      </c>
      <c r="P390" s="12">
        <f>IFERROR(VLOOKUP(B390,'Receivable Invoice Detail'!$S$1:$U$3014,3,FALSE),0)</f>
        <v>0</v>
      </c>
    </row>
    <row r="391" spans="1:16" x14ac:dyDescent="0.25">
      <c r="B391" t="s">
        <v>3121</v>
      </c>
      <c r="C391" t="s">
        <v>192</v>
      </c>
      <c r="D391" t="s">
        <v>51</v>
      </c>
      <c r="E391" t="s">
        <v>4388</v>
      </c>
      <c r="F391" s="16">
        <v>4155.7875542093761</v>
      </c>
      <c r="G391" s="16">
        <v>3004.55</v>
      </c>
      <c r="H391" s="16">
        <v>0</v>
      </c>
      <c r="I391" s="16">
        <v>-3004.55</v>
      </c>
      <c r="J391" s="16" t="str">
        <f t="shared" si="36"/>
        <v/>
      </c>
      <c r="K391">
        <f t="shared" si="37"/>
        <v>0</v>
      </c>
      <c r="L391" t="str">
        <f t="shared" si="38"/>
        <v/>
      </c>
      <c r="M391" s="12">
        <f t="shared" si="39"/>
        <v>0</v>
      </c>
      <c r="N391" s="12">
        <f t="shared" si="40"/>
        <v>0</v>
      </c>
      <c r="O391" s="13">
        <f t="shared" si="41"/>
        <v>0</v>
      </c>
      <c r="P391" s="12">
        <f>IFERROR(VLOOKUP(B391,'Receivable Invoice Detail'!$S$1:$U$3014,3,FALSE),0)</f>
        <v>590</v>
      </c>
    </row>
    <row r="392" spans="1:16" x14ac:dyDescent="0.25">
      <c r="A392" s="23" t="s">
        <v>4365</v>
      </c>
      <c r="B392" s="23"/>
      <c r="C392" s="23"/>
      <c r="D392" s="23"/>
      <c r="E392" s="23"/>
      <c r="F392" s="24">
        <v>4155.7875542093761</v>
      </c>
      <c r="G392" s="24">
        <v>3004.55</v>
      </c>
      <c r="H392" s="24">
        <v>0</v>
      </c>
      <c r="I392" s="24">
        <v>-3004.55</v>
      </c>
      <c r="J392" s="16" t="str">
        <f t="shared" si="36"/>
        <v>USD</v>
      </c>
      <c r="K392">
        <f t="shared" si="37"/>
        <v>13</v>
      </c>
      <c r="L392" t="str">
        <f t="shared" si="38"/>
        <v>SO17756</v>
      </c>
      <c r="M392" s="12">
        <f t="shared" si="39"/>
        <v>0</v>
      </c>
      <c r="N392" s="12">
        <f t="shared" si="40"/>
        <v>0</v>
      </c>
      <c r="O392" s="13" t="str">
        <f t="shared" si="41"/>
        <v>Yes</v>
      </c>
      <c r="P392" s="12">
        <f>IFERROR(VLOOKUP(B392,'Receivable Invoice Detail'!$S$1:$U$3014,3,FALSE),0)</f>
        <v>0</v>
      </c>
    </row>
    <row r="393" spans="1:16" x14ac:dyDescent="0.25">
      <c r="A393" t="s">
        <v>697</v>
      </c>
      <c r="B393" t="s">
        <v>3157</v>
      </c>
      <c r="C393" t="s">
        <v>39</v>
      </c>
      <c r="D393" t="s">
        <v>22</v>
      </c>
      <c r="E393" t="s">
        <v>4388</v>
      </c>
      <c r="F393" s="16">
        <v>8071.57</v>
      </c>
      <c r="G393" s="16">
        <v>5836.5405772239319</v>
      </c>
      <c r="H393" s="16">
        <v>-214.2</v>
      </c>
      <c r="I393" s="16">
        <v>0</v>
      </c>
      <c r="J393" s="16" t="str">
        <f t="shared" ref="J393:J446" si="42">IF(K393=13,D392,"")</f>
        <v/>
      </c>
      <c r="K393">
        <f t="shared" si="37"/>
        <v>7</v>
      </c>
      <c r="L393" t="str">
        <f t="shared" si="38"/>
        <v/>
      </c>
      <c r="M393" s="12">
        <f t="shared" si="39"/>
        <v>0</v>
      </c>
      <c r="N393" s="12">
        <f t="shared" si="40"/>
        <v>0</v>
      </c>
      <c r="O393" s="13">
        <f t="shared" si="41"/>
        <v>0</v>
      </c>
      <c r="P393" s="12">
        <f>IFERROR(VLOOKUP(B393,'Receivable Invoice Detail'!$S$1:$U$3014,3,FALSE),0)</f>
        <v>0</v>
      </c>
    </row>
    <row r="394" spans="1:16" x14ac:dyDescent="0.25">
      <c r="B394" t="s">
        <v>3156</v>
      </c>
      <c r="C394" t="s">
        <v>39</v>
      </c>
      <c r="D394" t="s">
        <v>22</v>
      </c>
      <c r="E394" t="s">
        <v>4388</v>
      </c>
      <c r="F394" s="16">
        <v>0</v>
      </c>
      <c r="G394" s="16">
        <v>0</v>
      </c>
      <c r="H394" s="16">
        <v>-7857.37</v>
      </c>
      <c r="I394" s="16">
        <v>0</v>
      </c>
      <c r="J394" s="16" t="str">
        <f t="shared" si="42"/>
        <v/>
      </c>
      <c r="K394">
        <f t="shared" si="37"/>
        <v>0</v>
      </c>
      <c r="L394" t="str">
        <f t="shared" si="38"/>
        <v/>
      </c>
      <c r="M394" s="12">
        <f t="shared" si="39"/>
        <v>0</v>
      </c>
      <c r="N394" s="12">
        <f t="shared" si="40"/>
        <v>0</v>
      </c>
      <c r="O394" s="13">
        <f t="shared" si="41"/>
        <v>0</v>
      </c>
      <c r="P394" s="12">
        <f>IFERROR(VLOOKUP(B394,'Receivable Invoice Detail'!$S$1:$U$3014,3,FALSE),0)</f>
        <v>0</v>
      </c>
    </row>
    <row r="395" spans="1:16" x14ac:dyDescent="0.25">
      <c r="A395" s="23" t="s">
        <v>4366</v>
      </c>
      <c r="B395" s="23"/>
      <c r="C395" s="23"/>
      <c r="D395" s="23"/>
      <c r="E395" s="23"/>
      <c r="F395" s="24">
        <v>8071.57</v>
      </c>
      <c r="G395" s="24">
        <v>5836.5405772239319</v>
      </c>
      <c r="H395" s="24">
        <v>-8071.57</v>
      </c>
      <c r="I395" s="24">
        <v>0</v>
      </c>
      <c r="J395" s="16" t="str">
        <f t="shared" si="42"/>
        <v>CAD</v>
      </c>
      <c r="K395">
        <f t="shared" si="37"/>
        <v>13</v>
      </c>
      <c r="L395" t="str">
        <f t="shared" si="38"/>
        <v>SO17759</v>
      </c>
      <c r="M395" s="12">
        <f t="shared" si="39"/>
        <v>0</v>
      </c>
      <c r="N395" s="12">
        <f t="shared" si="40"/>
        <v>0</v>
      </c>
      <c r="O395" s="13" t="str">
        <f t="shared" si="41"/>
        <v>Yes</v>
      </c>
      <c r="P395" s="12">
        <f>IFERROR(VLOOKUP(B395,'Receivable Invoice Detail'!$S$1:$U$3014,3,FALSE),0)</f>
        <v>0</v>
      </c>
    </row>
    <row r="396" spans="1:16" x14ac:dyDescent="0.25">
      <c r="A396" t="s">
        <v>764</v>
      </c>
      <c r="B396" t="s">
        <v>3122</v>
      </c>
      <c r="C396" t="s">
        <v>129</v>
      </c>
      <c r="D396" t="s">
        <v>51</v>
      </c>
      <c r="E396" t="s">
        <v>4389</v>
      </c>
      <c r="F396" s="16">
        <v>0</v>
      </c>
      <c r="G396" s="16">
        <v>0</v>
      </c>
      <c r="H396" s="16">
        <v>0</v>
      </c>
      <c r="I396" s="16">
        <v>0</v>
      </c>
      <c r="J396" s="16" t="str">
        <f t="shared" si="42"/>
        <v/>
      </c>
      <c r="K396">
        <f t="shared" si="37"/>
        <v>7</v>
      </c>
      <c r="L396" t="str">
        <f t="shared" si="38"/>
        <v/>
      </c>
      <c r="M396" s="12">
        <f t="shared" si="39"/>
        <v>0</v>
      </c>
      <c r="N396" s="12">
        <f t="shared" si="40"/>
        <v>0</v>
      </c>
      <c r="O396" s="13">
        <f t="shared" si="41"/>
        <v>0</v>
      </c>
      <c r="P396" s="12">
        <f>IFERROR(VLOOKUP(B396,'Receivable Invoice Detail'!$S$1:$U$3014,3,FALSE),0)</f>
        <v>0</v>
      </c>
    </row>
    <row r="397" spans="1:16" x14ac:dyDescent="0.25">
      <c r="B397" t="s">
        <v>3123</v>
      </c>
      <c r="C397" t="s">
        <v>129</v>
      </c>
      <c r="D397" t="s">
        <v>51</v>
      </c>
      <c r="E397" t="s">
        <v>4389</v>
      </c>
      <c r="F397" s="16">
        <v>2697.1712005818786</v>
      </c>
      <c r="G397" s="16">
        <v>1950</v>
      </c>
      <c r="H397" s="16">
        <v>0</v>
      </c>
      <c r="I397" s="16">
        <v>-420</v>
      </c>
      <c r="J397" s="16" t="str">
        <f t="shared" si="42"/>
        <v/>
      </c>
      <c r="K397">
        <f t="shared" si="37"/>
        <v>0</v>
      </c>
      <c r="L397" t="str">
        <f t="shared" si="38"/>
        <v/>
      </c>
      <c r="M397" s="12">
        <f t="shared" si="39"/>
        <v>0</v>
      </c>
      <c r="N397" s="12">
        <f t="shared" si="40"/>
        <v>0</v>
      </c>
      <c r="O397" s="13">
        <f t="shared" si="41"/>
        <v>0</v>
      </c>
      <c r="P397" s="12">
        <f>IFERROR(VLOOKUP(B397,'Receivable Invoice Detail'!$S$1:$U$3014,3,FALSE),0)</f>
        <v>0</v>
      </c>
    </row>
    <row r="398" spans="1:16" x14ac:dyDescent="0.25">
      <c r="A398" s="23" t="s">
        <v>4367</v>
      </c>
      <c r="B398" s="23"/>
      <c r="C398" s="23"/>
      <c r="D398" s="23"/>
      <c r="E398" s="23"/>
      <c r="F398" s="24">
        <v>2697.1712005818786</v>
      </c>
      <c r="G398" s="24">
        <v>1950</v>
      </c>
      <c r="H398" s="24">
        <v>0</v>
      </c>
      <c r="I398" s="24">
        <v>-420</v>
      </c>
      <c r="J398" s="16" t="str">
        <f t="shared" si="42"/>
        <v>USD</v>
      </c>
      <c r="K398">
        <f t="shared" si="37"/>
        <v>13</v>
      </c>
      <c r="L398" t="str">
        <f t="shared" si="38"/>
        <v>SO17760</v>
      </c>
      <c r="M398" s="12">
        <f t="shared" si="39"/>
        <v>0</v>
      </c>
      <c r="N398" s="12">
        <f t="shared" si="40"/>
        <v>1530</v>
      </c>
      <c r="O398" s="13">
        <f t="shared" si="41"/>
        <v>0</v>
      </c>
      <c r="P398" s="12">
        <f>IFERROR(VLOOKUP(B398,'Receivable Invoice Detail'!$S$1:$U$3014,3,FALSE),0)</f>
        <v>0</v>
      </c>
    </row>
    <row r="399" spans="1:16" x14ac:dyDescent="0.25">
      <c r="A399" t="s">
        <v>724</v>
      </c>
      <c r="B399" t="s">
        <v>3141</v>
      </c>
      <c r="C399" t="s">
        <v>83</v>
      </c>
      <c r="D399" t="s">
        <v>22</v>
      </c>
      <c r="E399" t="s">
        <v>4388</v>
      </c>
      <c r="F399" s="16">
        <v>27525.7</v>
      </c>
      <c r="G399" s="16">
        <v>19967.644454828729</v>
      </c>
      <c r="H399" s="16">
        <v>-27525.7</v>
      </c>
      <c r="I399" s="16">
        <v>0</v>
      </c>
      <c r="J399" s="16" t="str">
        <f t="shared" si="42"/>
        <v/>
      </c>
      <c r="K399">
        <f t="shared" si="37"/>
        <v>7</v>
      </c>
      <c r="L399" t="str">
        <f t="shared" si="38"/>
        <v/>
      </c>
      <c r="M399" s="12">
        <f t="shared" si="39"/>
        <v>0</v>
      </c>
      <c r="N399" s="12">
        <f t="shared" si="40"/>
        <v>0</v>
      </c>
      <c r="O399" s="13">
        <f t="shared" si="41"/>
        <v>0</v>
      </c>
      <c r="P399" s="12">
        <f>IFERROR(VLOOKUP(B399,'Receivable Invoice Detail'!$S$1:$U$3014,3,FALSE),0)</f>
        <v>0</v>
      </c>
    </row>
    <row r="400" spans="1:16" x14ac:dyDescent="0.25">
      <c r="B400" t="s">
        <v>3140</v>
      </c>
      <c r="C400" t="s">
        <v>83</v>
      </c>
      <c r="D400" t="s">
        <v>22</v>
      </c>
      <c r="E400" t="s">
        <v>4388</v>
      </c>
      <c r="F400" s="16">
        <v>0</v>
      </c>
      <c r="G400" s="16">
        <v>0</v>
      </c>
      <c r="H400" s="16">
        <v>0</v>
      </c>
      <c r="I400" s="16">
        <v>0</v>
      </c>
      <c r="J400" s="16" t="str">
        <f t="shared" si="42"/>
        <v/>
      </c>
      <c r="K400">
        <f t="shared" si="37"/>
        <v>0</v>
      </c>
      <c r="L400" t="str">
        <f t="shared" si="38"/>
        <v/>
      </c>
      <c r="M400" s="12">
        <f t="shared" si="39"/>
        <v>0</v>
      </c>
      <c r="N400" s="12">
        <f t="shared" si="40"/>
        <v>0</v>
      </c>
      <c r="O400" s="13">
        <f t="shared" si="41"/>
        <v>0</v>
      </c>
      <c r="P400" s="12">
        <f>IFERROR(VLOOKUP(B400,'Receivable Invoice Detail'!$S$1:$U$3014,3,FALSE),0)</f>
        <v>0</v>
      </c>
    </row>
    <row r="401" spans="1:16" x14ac:dyDescent="0.25">
      <c r="A401" s="23" t="s">
        <v>4368</v>
      </c>
      <c r="B401" s="23"/>
      <c r="C401" s="23"/>
      <c r="D401" s="23"/>
      <c r="E401" s="23"/>
      <c r="F401" s="24">
        <v>27525.7</v>
      </c>
      <c r="G401" s="24">
        <v>19967.644454828729</v>
      </c>
      <c r="H401" s="24">
        <v>-27525.7</v>
      </c>
      <c r="I401" s="24">
        <v>0</v>
      </c>
      <c r="J401" s="16" t="str">
        <f t="shared" si="42"/>
        <v>CAD</v>
      </c>
      <c r="K401">
        <f t="shared" si="37"/>
        <v>13</v>
      </c>
      <c r="L401" t="str">
        <f t="shared" si="38"/>
        <v>SO17768</v>
      </c>
      <c r="M401" s="12">
        <f t="shared" si="39"/>
        <v>0</v>
      </c>
      <c r="N401" s="12">
        <f t="shared" si="40"/>
        <v>0</v>
      </c>
      <c r="O401" s="13" t="str">
        <f t="shared" si="41"/>
        <v>Yes</v>
      </c>
      <c r="P401" s="12">
        <f>IFERROR(VLOOKUP(B401,'Receivable Invoice Detail'!$S$1:$U$3014,3,FALSE),0)</f>
        <v>0</v>
      </c>
    </row>
    <row r="402" spans="1:16" x14ac:dyDescent="0.25">
      <c r="A402" t="s">
        <v>749</v>
      </c>
      <c r="B402" t="s">
        <v>3130</v>
      </c>
      <c r="C402" t="s">
        <v>159</v>
      </c>
      <c r="D402" t="s">
        <v>51</v>
      </c>
      <c r="E402" t="s">
        <v>4388</v>
      </c>
      <c r="F402" s="16">
        <v>0</v>
      </c>
      <c r="G402" s="16">
        <v>0</v>
      </c>
      <c r="H402" s="16">
        <v>0</v>
      </c>
      <c r="I402" s="16">
        <v>-21079.200000000001</v>
      </c>
      <c r="J402" s="16" t="str">
        <f t="shared" si="42"/>
        <v/>
      </c>
      <c r="K402">
        <f t="shared" si="37"/>
        <v>7</v>
      </c>
      <c r="L402" t="str">
        <f t="shared" si="38"/>
        <v/>
      </c>
      <c r="M402" s="12">
        <f t="shared" si="39"/>
        <v>0</v>
      </c>
      <c r="N402" s="12">
        <f t="shared" si="40"/>
        <v>0</v>
      </c>
      <c r="O402" s="13">
        <f t="shared" si="41"/>
        <v>0</v>
      </c>
      <c r="P402" s="12">
        <f>IFERROR(VLOOKUP(B402,'Receivable Invoice Detail'!$S$1:$U$3014,3,FALSE),0)</f>
        <v>0</v>
      </c>
    </row>
    <row r="403" spans="1:16" x14ac:dyDescent="0.25">
      <c r="B403" t="s">
        <v>3131</v>
      </c>
      <c r="C403" t="s">
        <v>159</v>
      </c>
      <c r="D403" t="s">
        <v>51</v>
      </c>
      <c r="E403" t="s">
        <v>4388</v>
      </c>
      <c r="F403" s="16">
        <v>31086.578437253145</v>
      </c>
      <c r="G403" s="16">
        <v>22484.48</v>
      </c>
      <c r="H403" s="16">
        <v>0</v>
      </c>
      <c r="I403" s="16">
        <v>-1405.28</v>
      </c>
      <c r="J403" s="16" t="str">
        <f t="shared" si="42"/>
        <v/>
      </c>
      <c r="K403">
        <f t="shared" si="37"/>
        <v>0</v>
      </c>
      <c r="L403" t="str">
        <f t="shared" si="38"/>
        <v/>
      </c>
      <c r="M403" s="12">
        <f t="shared" si="39"/>
        <v>0</v>
      </c>
      <c r="N403" s="12">
        <f t="shared" si="40"/>
        <v>0</v>
      </c>
      <c r="O403" s="13">
        <f t="shared" si="41"/>
        <v>0</v>
      </c>
      <c r="P403" s="12">
        <f>IFERROR(VLOOKUP(B403,'Receivable Invoice Detail'!$S$1:$U$3014,3,FALSE),0)</f>
        <v>0</v>
      </c>
    </row>
    <row r="404" spans="1:16" x14ac:dyDescent="0.25">
      <c r="A404" s="23" t="s">
        <v>4369</v>
      </c>
      <c r="B404" s="23"/>
      <c r="C404" s="23"/>
      <c r="D404" s="23"/>
      <c r="E404" s="23"/>
      <c r="F404" s="24">
        <v>31086.578437253145</v>
      </c>
      <c r="G404" s="24">
        <v>22484.48</v>
      </c>
      <c r="H404" s="24">
        <v>0</v>
      </c>
      <c r="I404" s="24">
        <v>-22484.48</v>
      </c>
      <c r="J404" s="16" t="str">
        <f t="shared" si="42"/>
        <v>USD</v>
      </c>
      <c r="K404">
        <f t="shared" si="37"/>
        <v>13</v>
      </c>
      <c r="L404" t="str">
        <f t="shared" si="38"/>
        <v>SO17769</v>
      </c>
      <c r="M404" s="12">
        <f t="shared" si="39"/>
        <v>0</v>
      </c>
      <c r="N404" s="12">
        <f t="shared" si="40"/>
        <v>0</v>
      </c>
      <c r="O404" s="13" t="str">
        <f t="shared" si="41"/>
        <v>Yes</v>
      </c>
      <c r="P404" s="12">
        <f>IFERROR(VLOOKUP(B404,'Receivable Invoice Detail'!$S$1:$U$3014,3,FALSE),0)</f>
        <v>0</v>
      </c>
    </row>
    <row r="405" spans="1:16" x14ac:dyDescent="0.25">
      <c r="A405" t="s">
        <v>635</v>
      </c>
      <c r="B405" t="s">
        <v>3188</v>
      </c>
      <c r="C405" t="s">
        <v>316</v>
      </c>
      <c r="D405" t="s">
        <v>22</v>
      </c>
      <c r="E405" t="s">
        <v>4388</v>
      </c>
      <c r="F405" s="16">
        <v>7090.68</v>
      </c>
      <c r="G405" s="16">
        <v>5138.7247188494093</v>
      </c>
      <c r="H405" s="16">
        <v>-5689.33</v>
      </c>
      <c r="I405" s="16">
        <v>0</v>
      </c>
      <c r="J405" s="16" t="str">
        <f t="shared" si="42"/>
        <v/>
      </c>
      <c r="K405">
        <f t="shared" si="37"/>
        <v>7</v>
      </c>
      <c r="L405" t="str">
        <f t="shared" si="38"/>
        <v/>
      </c>
      <c r="M405" s="12">
        <f t="shared" si="39"/>
        <v>0</v>
      </c>
      <c r="N405" s="12">
        <f t="shared" si="40"/>
        <v>0</v>
      </c>
      <c r="O405" s="13">
        <f t="shared" si="41"/>
        <v>0</v>
      </c>
      <c r="P405" s="12">
        <f>IFERROR(VLOOKUP(B405,'Receivable Invoice Detail'!$S$1:$U$3014,3,FALSE),0)</f>
        <v>0</v>
      </c>
    </row>
    <row r="406" spans="1:16" x14ac:dyDescent="0.25">
      <c r="B406" t="s">
        <v>3187</v>
      </c>
      <c r="C406" t="s">
        <v>316</v>
      </c>
      <c r="D406" t="s">
        <v>22</v>
      </c>
      <c r="E406" t="s">
        <v>4388</v>
      </c>
      <c r="F406" s="16">
        <v>0</v>
      </c>
      <c r="G406" s="16">
        <v>0</v>
      </c>
      <c r="H406" s="16">
        <v>-1401.35</v>
      </c>
      <c r="I406" s="16">
        <v>0</v>
      </c>
      <c r="J406" s="16" t="str">
        <f t="shared" si="42"/>
        <v/>
      </c>
      <c r="K406">
        <f t="shared" si="37"/>
        <v>0</v>
      </c>
      <c r="L406" t="str">
        <f t="shared" si="38"/>
        <v/>
      </c>
      <c r="M406" s="12">
        <f t="shared" si="39"/>
        <v>0</v>
      </c>
      <c r="N406" s="12">
        <f t="shared" si="40"/>
        <v>0</v>
      </c>
      <c r="O406" s="13">
        <f t="shared" si="41"/>
        <v>0</v>
      </c>
      <c r="P406" s="12">
        <f>IFERROR(VLOOKUP(B406,'Receivable Invoice Detail'!$S$1:$U$3014,3,FALSE),0)</f>
        <v>0</v>
      </c>
    </row>
    <row r="407" spans="1:16" x14ac:dyDescent="0.25">
      <c r="A407" s="23" t="s">
        <v>4370</v>
      </c>
      <c r="B407" s="23"/>
      <c r="C407" s="23"/>
      <c r="D407" s="23"/>
      <c r="E407" s="23"/>
      <c r="F407" s="24">
        <v>7090.68</v>
      </c>
      <c r="G407" s="24">
        <v>5138.7247188494093</v>
      </c>
      <c r="H407" s="24">
        <v>-7090.68</v>
      </c>
      <c r="I407" s="24">
        <v>0</v>
      </c>
      <c r="J407" s="16" t="str">
        <f t="shared" si="42"/>
        <v>CAD</v>
      </c>
      <c r="K407">
        <f t="shared" si="37"/>
        <v>13</v>
      </c>
      <c r="L407" t="str">
        <f t="shared" si="38"/>
        <v>SO17778</v>
      </c>
      <c r="M407" s="12">
        <f t="shared" si="39"/>
        <v>0</v>
      </c>
      <c r="N407" s="12">
        <f t="shared" si="40"/>
        <v>0</v>
      </c>
      <c r="O407" s="13" t="str">
        <f t="shared" si="41"/>
        <v>Yes</v>
      </c>
      <c r="P407" s="12">
        <f>IFERROR(VLOOKUP(B407,'Receivable Invoice Detail'!$S$1:$U$3014,3,FALSE),0)</f>
        <v>0</v>
      </c>
    </row>
    <row r="408" spans="1:16" x14ac:dyDescent="0.25">
      <c r="A408" t="s">
        <v>703</v>
      </c>
      <c r="B408" t="s">
        <v>3152</v>
      </c>
      <c r="C408" t="s">
        <v>64</v>
      </c>
      <c r="D408" t="s">
        <v>22</v>
      </c>
      <c r="E408" t="s">
        <v>4388</v>
      </c>
      <c r="F408" s="16">
        <v>0</v>
      </c>
      <c r="G408" s="16">
        <v>0</v>
      </c>
      <c r="H408" s="16">
        <v>-255.35</v>
      </c>
      <c r="I408" s="16">
        <v>0</v>
      </c>
      <c r="J408" s="16" t="str">
        <f t="shared" si="42"/>
        <v/>
      </c>
      <c r="K408">
        <f t="shared" si="37"/>
        <v>7</v>
      </c>
      <c r="L408" t="str">
        <f t="shared" si="38"/>
        <v/>
      </c>
      <c r="M408" s="12">
        <f t="shared" si="39"/>
        <v>0</v>
      </c>
      <c r="N408" s="12">
        <f t="shared" si="40"/>
        <v>0</v>
      </c>
      <c r="O408" s="13">
        <f t="shared" si="41"/>
        <v>0</v>
      </c>
      <c r="P408" s="12">
        <f>IFERROR(VLOOKUP(B408,'Receivable Invoice Detail'!$S$1:$U$3014,3,FALSE),0)</f>
        <v>0</v>
      </c>
    </row>
    <row r="409" spans="1:16" x14ac:dyDescent="0.25">
      <c r="B409" t="s">
        <v>3153</v>
      </c>
      <c r="C409" t="s">
        <v>64</v>
      </c>
      <c r="D409" t="s">
        <v>22</v>
      </c>
      <c r="E409" t="s">
        <v>4388</v>
      </c>
      <c r="F409" s="16">
        <v>842.06</v>
      </c>
      <c r="G409" s="16">
        <v>608.89236647358371</v>
      </c>
      <c r="H409" s="16">
        <v>-586.71</v>
      </c>
      <c r="I409" s="16">
        <v>0</v>
      </c>
      <c r="J409" s="16" t="str">
        <f t="shared" si="42"/>
        <v/>
      </c>
      <c r="K409">
        <f t="shared" si="37"/>
        <v>0</v>
      </c>
      <c r="L409" t="str">
        <f t="shared" si="38"/>
        <v/>
      </c>
      <c r="M409" s="12">
        <f t="shared" si="39"/>
        <v>0</v>
      </c>
      <c r="N409" s="12">
        <f t="shared" si="40"/>
        <v>0</v>
      </c>
      <c r="O409" s="13">
        <f t="shared" si="41"/>
        <v>0</v>
      </c>
      <c r="P409" s="12">
        <f>IFERROR(VLOOKUP(B409,'Receivable Invoice Detail'!$S$1:$U$3014,3,FALSE),0)</f>
        <v>0</v>
      </c>
    </row>
    <row r="410" spans="1:16" x14ac:dyDescent="0.25">
      <c r="A410" s="23" t="s">
        <v>4371</v>
      </c>
      <c r="B410" s="23"/>
      <c r="C410" s="23"/>
      <c r="D410" s="23"/>
      <c r="E410" s="23"/>
      <c r="F410" s="24">
        <v>842.06</v>
      </c>
      <c r="G410" s="24">
        <v>608.89236647358371</v>
      </c>
      <c r="H410" s="24">
        <v>-842.06000000000006</v>
      </c>
      <c r="I410" s="24">
        <v>0</v>
      </c>
      <c r="J410" s="16" t="str">
        <f t="shared" si="42"/>
        <v>CAD</v>
      </c>
      <c r="K410">
        <f t="shared" si="37"/>
        <v>13</v>
      </c>
      <c r="L410" t="str">
        <f t="shared" si="38"/>
        <v>SO17796</v>
      </c>
      <c r="M410" s="12">
        <f t="shared" si="39"/>
        <v>0</v>
      </c>
      <c r="N410" s="12">
        <f t="shared" si="40"/>
        <v>0</v>
      </c>
      <c r="O410" s="13" t="str">
        <f t="shared" si="41"/>
        <v>Yes</v>
      </c>
      <c r="P410" s="12">
        <f>IFERROR(VLOOKUP(B410,'Receivable Invoice Detail'!$S$1:$U$3014,3,FALSE),0)</f>
        <v>0</v>
      </c>
    </row>
    <row r="411" spans="1:16" x14ac:dyDescent="0.25">
      <c r="A411" t="s">
        <v>674</v>
      </c>
      <c r="B411" t="s">
        <v>3167</v>
      </c>
      <c r="C411" t="s">
        <v>70</v>
      </c>
      <c r="D411" t="s">
        <v>51</v>
      </c>
      <c r="E411" t="s">
        <v>4389</v>
      </c>
      <c r="F411" s="16">
        <v>0</v>
      </c>
      <c r="G411" s="16">
        <v>0</v>
      </c>
      <c r="H411" s="16">
        <v>0</v>
      </c>
      <c r="I411" s="16">
        <v>-3727.67</v>
      </c>
      <c r="J411" s="16" t="str">
        <f t="shared" si="42"/>
        <v/>
      </c>
      <c r="K411">
        <f t="shared" si="37"/>
        <v>7</v>
      </c>
      <c r="L411" t="str">
        <f t="shared" si="38"/>
        <v/>
      </c>
      <c r="M411" s="12">
        <f t="shared" si="39"/>
        <v>0</v>
      </c>
      <c r="N411" s="12">
        <f t="shared" si="40"/>
        <v>0</v>
      </c>
      <c r="O411" s="13">
        <f t="shared" si="41"/>
        <v>0</v>
      </c>
      <c r="P411" s="12">
        <f>IFERROR(VLOOKUP(B411,'Receivable Invoice Detail'!$S$1:$U$3014,3,FALSE),0)</f>
        <v>478.15</v>
      </c>
    </row>
    <row r="412" spans="1:16" x14ac:dyDescent="0.25">
      <c r="B412" t="s">
        <v>3168</v>
      </c>
      <c r="C412" t="s">
        <v>70</v>
      </c>
      <c r="D412" t="s">
        <v>51</v>
      </c>
      <c r="E412" t="s">
        <v>4389</v>
      </c>
      <c r="F412" s="16">
        <v>13645.070346114962</v>
      </c>
      <c r="G412" s="16">
        <v>9866.5499999999993</v>
      </c>
      <c r="H412" s="16">
        <v>0</v>
      </c>
      <c r="I412" s="16">
        <v>-323.24</v>
      </c>
      <c r="J412" s="16" t="str">
        <f t="shared" si="42"/>
        <v/>
      </c>
      <c r="K412">
        <f t="shared" si="37"/>
        <v>0</v>
      </c>
      <c r="L412" t="str">
        <f t="shared" si="38"/>
        <v/>
      </c>
      <c r="M412" s="12">
        <f t="shared" si="39"/>
        <v>0</v>
      </c>
      <c r="N412" s="12">
        <f t="shared" si="40"/>
        <v>0</v>
      </c>
      <c r="O412" s="13">
        <f t="shared" si="41"/>
        <v>0</v>
      </c>
      <c r="P412" s="12">
        <f>IFERROR(VLOOKUP(B412,'Receivable Invoice Detail'!$S$1:$U$3014,3,FALSE),0)</f>
        <v>69.97</v>
      </c>
    </row>
    <row r="413" spans="1:16" x14ac:dyDescent="0.25">
      <c r="B413" t="s">
        <v>3166</v>
      </c>
      <c r="C413" t="s">
        <v>70</v>
      </c>
      <c r="D413" t="s">
        <v>51</v>
      </c>
      <c r="E413" t="s">
        <v>4389</v>
      </c>
      <c r="F413" s="16">
        <v>0</v>
      </c>
      <c r="G413" s="16">
        <v>0</v>
      </c>
      <c r="H413" s="16">
        <v>0</v>
      </c>
      <c r="I413" s="16">
        <v>-5815.64</v>
      </c>
      <c r="J413" s="16" t="str">
        <f t="shared" si="42"/>
        <v/>
      </c>
      <c r="K413">
        <f t="shared" si="37"/>
        <v>0</v>
      </c>
      <c r="L413" t="str">
        <f t="shared" si="38"/>
        <v/>
      </c>
      <c r="M413" s="12">
        <f t="shared" si="39"/>
        <v>0</v>
      </c>
      <c r="N413" s="12">
        <f t="shared" si="40"/>
        <v>0</v>
      </c>
      <c r="O413" s="13">
        <f t="shared" si="41"/>
        <v>0</v>
      </c>
      <c r="P413" s="12">
        <f>IFERROR(VLOOKUP(B413,'Receivable Invoice Detail'!$S$1:$U$3014,3,FALSE),0)</f>
        <v>513.36</v>
      </c>
    </row>
    <row r="414" spans="1:16" x14ac:dyDescent="0.25">
      <c r="A414" s="23" t="s">
        <v>4372</v>
      </c>
      <c r="B414" s="23"/>
      <c r="C414" s="23"/>
      <c r="D414" s="23"/>
      <c r="E414" s="23"/>
      <c r="F414" s="24">
        <v>13645.070346114962</v>
      </c>
      <c r="G414" s="24">
        <v>9866.5499999999993</v>
      </c>
      <c r="H414" s="24">
        <v>0</v>
      </c>
      <c r="I414" s="24">
        <v>-9866.5499999999993</v>
      </c>
      <c r="J414" s="16" t="str">
        <f t="shared" si="42"/>
        <v>USD</v>
      </c>
      <c r="K414">
        <f t="shared" si="37"/>
        <v>13</v>
      </c>
      <c r="L414" t="str">
        <f t="shared" si="38"/>
        <v>SO17806</v>
      </c>
      <c r="M414" s="12">
        <f t="shared" si="39"/>
        <v>0</v>
      </c>
      <c r="N414" s="12">
        <f t="shared" si="40"/>
        <v>0</v>
      </c>
      <c r="O414" s="13" t="str">
        <f t="shared" si="41"/>
        <v>Yes</v>
      </c>
      <c r="P414" s="12">
        <f>IFERROR(VLOOKUP(B414,'Receivable Invoice Detail'!$S$1:$U$3014,3,FALSE),0)</f>
        <v>0</v>
      </c>
    </row>
    <row r="415" spans="1:16" x14ac:dyDescent="0.25">
      <c r="A415" t="s">
        <v>610</v>
      </c>
      <c r="B415" t="s">
        <v>3201</v>
      </c>
      <c r="C415" t="s">
        <v>612</v>
      </c>
      <c r="D415" t="s">
        <v>22</v>
      </c>
      <c r="E415" t="s">
        <v>4388</v>
      </c>
      <c r="F415" s="16">
        <v>10930.21</v>
      </c>
      <c r="G415" s="16">
        <v>7921.6678286806373</v>
      </c>
      <c r="H415" s="16">
        <v>-3958.75</v>
      </c>
      <c r="I415" s="16">
        <v>0</v>
      </c>
      <c r="J415" s="16" t="str">
        <f t="shared" si="42"/>
        <v/>
      </c>
      <c r="K415">
        <f t="shared" si="37"/>
        <v>7</v>
      </c>
      <c r="L415" t="str">
        <f t="shared" si="38"/>
        <v/>
      </c>
      <c r="M415" s="12">
        <f t="shared" si="39"/>
        <v>0</v>
      </c>
      <c r="N415" s="12">
        <f t="shared" si="40"/>
        <v>0</v>
      </c>
      <c r="O415" s="13">
        <f t="shared" si="41"/>
        <v>0</v>
      </c>
      <c r="P415" s="12">
        <f>IFERROR(VLOOKUP(B415,'Receivable Invoice Detail'!$S$1:$U$3014,3,FALSE),0)</f>
        <v>0</v>
      </c>
    </row>
    <row r="416" spans="1:16" x14ac:dyDescent="0.25">
      <c r="B416" t="s">
        <v>3200</v>
      </c>
      <c r="C416" t="s">
        <v>612</v>
      </c>
      <c r="D416" t="s">
        <v>22</v>
      </c>
      <c r="E416" t="s">
        <v>4388</v>
      </c>
      <c r="F416" s="16">
        <v>0</v>
      </c>
      <c r="G416" s="16">
        <v>0</v>
      </c>
      <c r="H416" s="16">
        <v>-3396.62</v>
      </c>
      <c r="I416" s="16">
        <v>0</v>
      </c>
      <c r="J416" s="16" t="str">
        <f t="shared" si="42"/>
        <v/>
      </c>
      <c r="K416">
        <f t="shared" si="37"/>
        <v>0</v>
      </c>
      <c r="L416" t="str">
        <f t="shared" si="38"/>
        <v/>
      </c>
      <c r="M416" s="12">
        <f t="shared" si="39"/>
        <v>0</v>
      </c>
      <c r="N416" s="12">
        <f t="shared" si="40"/>
        <v>0</v>
      </c>
      <c r="O416" s="13">
        <f t="shared" si="41"/>
        <v>0</v>
      </c>
      <c r="P416" s="12">
        <f>IFERROR(VLOOKUP(B416,'Receivable Invoice Detail'!$S$1:$U$3014,3,FALSE),0)</f>
        <v>0</v>
      </c>
    </row>
    <row r="417" spans="1:16" x14ac:dyDescent="0.25">
      <c r="B417" t="s">
        <v>3199</v>
      </c>
      <c r="C417" t="s">
        <v>612</v>
      </c>
      <c r="D417" t="s">
        <v>22</v>
      </c>
      <c r="E417" t="s">
        <v>4388</v>
      </c>
      <c r="F417" s="16">
        <v>0</v>
      </c>
      <c r="G417" s="16">
        <v>0</v>
      </c>
      <c r="H417" s="16">
        <v>-178.22</v>
      </c>
      <c r="I417" s="16">
        <v>0</v>
      </c>
      <c r="J417" s="16" t="str">
        <f t="shared" si="42"/>
        <v/>
      </c>
      <c r="K417">
        <f t="shared" si="37"/>
        <v>0</v>
      </c>
      <c r="L417" t="str">
        <f t="shared" si="38"/>
        <v/>
      </c>
      <c r="M417" s="12">
        <f t="shared" si="39"/>
        <v>0</v>
      </c>
      <c r="N417" s="12">
        <f t="shared" si="40"/>
        <v>0</v>
      </c>
      <c r="O417" s="13">
        <f t="shared" si="41"/>
        <v>0</v>
      </c>
      <c r="P417" s="12">
        <f>IFERROR(VLOOKUP(B417,'Receivable Invoice Detail'!$S$1:$U$3014,3,FALSE),0)</f>
        <v>0</v>
      </c>
    </row>
    <row r="418" spans="1:16" x14ac:dyDescent="0.25">
      <c r="A418" s="23" t="s">
        <v>4373</v>
      </c>
      <c r="B418" s="23"/>
      <c r="C418" s="23"/>
      <c r="D418" s="23"/>
      <c r="E418" s="23"/>
      <c r="F418" s="24">
        <v>10930.21</v>
      </c>
      <c r="G418" s="24">
        <v>7921.6678286806373</v>
      </c>
      <c r="H418" s="24">
        <v>-7533.59</v>
      </c>
      <c r="I418" s="24">
        <v>0</v>
      </c>
      <c r="J418" s="16" t="str">
        <f t="shared" si="42"/>
        <v>CAD</v>
      </c>
      <c r="K418">
        <f t="shared" si="37"/>
        <v>13</v>
      </c>
      <c r="L418" t="str">
        <f t="shared" si="38"/>
        <v>SO17868</v>
      </c>
      <c r="M418" s="12">
        <f t="shared" si="39"/>
        <v>3396.62</v>
      </c>
      <c r="N418" s="12">
        <f t="shared" si="40"/>
        <v>0</v>
      </c>
      <c r="O418" s="13">
        <f t="shared" si="41"/>
        <v>0</v>
      </c>
      <c r="P418" s="12">
        <f>IFERROR(VLOOKUP(B418,'Receivable Invoice Detail'!$S$1:$U$3014,3,FALSE),0)</f>
        <v>0</v>
      </c>
    </row>
    <row r="419" spans="1:16" x14ac:dyDescent="0.25">
      <c r="A419" t="s">
        <v>317</v>
      </c>
      <c r="B419" t="s">
        <v>3322</v>
      </c>
      <c r="C419" t="s">
        <v>316</v>
      </c>
      <c r="D419" t="s">
        <v>22</v>
      </c>
      <c r="E419" t="s">
        <v>4388</v>
      </c>
      <c r="F419" s="16">
        <v>3462.42</v>
      </c>
      <c r="G419" s="16">
        <v>2491.7606209707242</v>
      </c>
      <c r="H419" s="16">
        <v>-3441.47</v>
      </c>
      <c r="I419" s="16">
        <v>0</v>
      </c>
      <c r="J419" s="16" t="str">
        <f t="shared" si="42"/>
        <v/>
      </c>
      <c r="K419">
        <f t="shared" si="37"/>
        <v>7</v>
      </c>
      <c r="L419" t="str">
        <f t="shared" si="38"/>
        <v/>
      </c>
      <c r="M419" s="12">
        <f t="shared" si="39"/>
        <v>0</v>
      </c>
      <c r="N419" s="12">
        <f t="shared" si="40"/>
        <v>0</v>
      </c>
      <c r="O419" s="13">
        <f t="shared" si="41"/>
        <v>0</v>
      </c>
      <c r="P419" s="12">
        <f>IFERROR(VLOOKUP(B419,'Receivable Invoice Detail'!$S$1:$U$3014,3,FALSE),0)</f>
        <v>0</v>
      </c>
    </row>
    <row r="420" spans="1:16" x14ac:dyDescent="0.25">
      <c r="B420" t="s">
        <v>3321</v>
      </c>
      <c r="C420" t="s">
        <v>316</v>
      </c>
      <c r="D420" t="s">
        <v>22</v>
      </c>
      <c r="E420" t="s">
        <v>4388</v>
      </c>
      <c r="F420" s="16">
        <v>0</v>
      </c>
      <c r="G420" s="16">
        <v>0</v>
      </c>
      <c r="H420" s="16">
        <v>-20.95</v>
      </c>
      <c r="I420" s="16">
        <v>0</v>
      </c>
      <c r="J420" s="16" t="str">
        <f t="shared" si="42"/>
        <v/>
      </c>
      <c r="K420">
        <f t="shared" si="37"/>
        <v>0</v>
      </c>
      <c r="L420" t="str">
        <f t="shared" si="38"/>
        <v/>
      </c>
      <c r="M420" s="12">
        <f t="shared" si="39"/>
        <v>0</v>
      </c>
      <c r="N420" s="12">
        <f t="shared" si="40"/>
        <v>0</v>
      </c>
      <c r="O420" s="13">
        <f t="shared" si="41"/>
        <v>0</v>
      </c>
      <c r="P420" s="12">
        <f>IFERROR(VLOOKUP(B420,'Receivable Invoice Detail'!$S$1:$U$3014,3,FALSE),0)</f>
        <v>0</v>
      </c>
    </row>
    <row r="421" spans="1:16" x14ac:dyDescent="0.25">
      <c r="A421" s="23" t="s">
        <v>4374</v>
      </c>
      <c r="B421" s="23"/>
      <c r="C421" s="23"/>
      <c r="D421" s="23"/>
      <c r="E421" s="23"/>
      <c r="F421" s="24">
        <v>3462.42</v>
      </c>
      <c r="G421" s="24">
        <v>2491.7606209707242</v>
      </c>
      <c r="H421" s="24">
        <v>-3462.4199999999996</v>
      </c>
      <c r="I421" s="24">
        <v>0</v>
      </c>
      <c r="J421" s="16" t="str">
        <f t="shared" si="42"/>
        <v>CAD</v>
      </c>
      <c r="K421">
        <f t="shared" si="37"/>
        <v>13</v>
      </c>
      <c r="L421" t="str">
        <f t="shared" si="38"/>
        <v>SO17892</v>
      </c>
      <c r="M421" s="12">
        <f t="shared" si="39"/>
        <v>0</v>
      </c>
      <c r="N421" s="12">
        <f t="shared" si="40"/>
        <v>0</v>
      </c>
      <c r="O421" s="13" t="str">
        <f t="shared" si="41"/>
        <v>Yes</v>
      </c>
      <c r="P421" s="12">
        <f>IFERROR(VLOOKUP(B421,'Receivable Invoice Detail'!$S$1:$U$3014,3,FALSE),0)</f>
        <v>0</v>
      </c>
    </row>
    <row r="422" spans="1:16" x14ac:dyDescent="0.25">
      <c r="A422" t="s">
        <v>544</v>
      </c>
      <c r="B422" t="s">
        <v>3230</v>
      </c>
      <c r="C422" t="s">
        <v>70</v>
      </c>
      <c r="D422" t="s">
        <v>51</v>
      </c>
      <c r="E422" t="s">
        <v>4389</v>
      </c>
      <c r="F422" s="16">
        <v>5107.189906547178</v>
      </c>
      <c r="G422" s="16">
        <v>3667.86</v>
      </c>
      <c r="H422" s="16">
        <v>0</v>
      </c>
      <c r="I422" s="16">
        <v>-2623.78</v>
      </c>
      <c r="J422" s="16" t="str">
        <f t="shared" si="42"/>
        <v/>
      </c>
      <c r="K422">
        <f t="shared" si="37"/>
        <v>7</v>
      </c>
      <c r="L422" t="str">
        <f t="shared" si="38"/>
        <v/>
      </c>
      <c r="M422" s="12">
        <f t="shared" si="39"/>
        <v>0</v>
      </c>
      <c r="N422" s="12">
        <f t="shared" si="40"/>
        <v>0</v>
      </c>
      <c r="O422" s="13">
        <f t="shared" si="41"/>
        <v>0</v>
      </c>
      <c r="P422" s="12">
        <f>IFERROR(VLOOKUP(B422,'Receivable Invoice Detail'!$S$1:$U$3014,3,FALSE),0)</f>
        <v>189.32</v>
      </c>
    </row>
    <row r="423" spans="1:16" x14ac:dyDescent="0.25">
      <c r="B423" t="s">
        <v>3229</v>
      </c>
      <c r="C423" t="s">
        <v>70</v>
      </c>
      <c r="D423" t="s">
        <v>51</v>
      </c>
      <c r="E423" t="s">
        <v>4389</v>
      </c>
      <c r="F423" s="16">
        <v>0</v>
      </c>
      <c r="G423" s="16">
        <v>0</v>
      </c>
      <c r="H423" s="16">
        <v>0</v>
      </c>
      <c r="I423" s="16">
        <v>-1044.08</v>
      </c>
      <c r="J423" s="16" t="str">
        <f t="shared" si="42"/>
        <v/>
      </c>
      <c r="K423">
        <f t="shared" si="37"/>
        <v>0</v>
      </c>
      <c r="L423" t="str">
        <f t="shared" si="38"/>
        <v/>
      </c>
      <c r="M423" s="12">
        <f t="shared" si="39"/>
        <v>0</v>
      </c>
      <c r="N423" s="12">
        <f t="shared" si="40"/>
        <v>0</v>
      </c>
      <c r="O423" s="13">
        <f t="shared" si="41"/>
        <v>0</v>
      </c>
      <c r="P423" s="12">
        <f>IFERROR(VLOOKUP(B423,'Receivable Invoice Detail'!$S$1:$U$3014,3,FALSE),0)</f>
        <v>131.16</v>
      </c>
    </row>
    <row r="424" spans="1:16" x14ac:dyDescent="0.25">
      <c r="A424" s="23" t="s">
        <v>4375</v>
      </c>
      <c r="B424" s="23"/>
      <c r="C424" s="23"/>
      <c r="D424" s="23"/>
      <c r="E424" s="23"/>
      <c r="F424" s="24">
        <v>5107.189906547178</v>
      </c>
      <c r="G424" s="24">
        <v>3667.86</v>
      </c>
      <c r="H424" s="24">
        <v>0</v>
      </c>
      <c r="I424" s="24">
        <v>-3667.86</v>
      </c>
      <c r="J424" s="16" t="str">
        <f t="shared" si="42"/>
        <v>USD</v>
      </c>
      <c r="K424">
        <f t="shared" si="37"/>
        <v>13</v>
      </c>
      <c r="L424" t="str">
        <f t="shared" si="38"/>
        <v>SO17899</v>
      </c>
      <c r="M424" s="12">
        <f t="shared" si="39"/>
        <v>0</v>
      </c>
      <c r="N424" s="12">
        <f t="shared" si="40"/>
        <v>0</v>
      </c>
      <c r="O424" s="13" t="str">
        <f t="shared" si="41"/>
        <v>Yes</v>
      </c>
      <c r="P424" s="12">
        <f>IFERROR(VLOOKUP(B424,'Receivable Invoice Detail'!$S$1:$U$3014,3,FALSE),0)</f>
        <v>0</v>
      </c>
    </row>
    <row r="425" spans="1:16" x14ac:dyDescent="0.25">
      <c r="A425" t="s">
        <v>584</v>
      </c>
      <c r="B425" t="s">
        <v>3211</v>
      </c>
      <c r="C425" t="s">
        <v>229</v>
      </c>
      <c r="D425" t="s">
        <v>22</v>
      </c>
      <c r="E425" t="s">
        <v>4388</v>
      </c>
      <c r="F425" s="16">
        <v>898.07</v>
      </c>
      <c r="G425" s="16">
        <v>649.14322471307662</v>
      </c>
      <c r="H425" s="16">
        <v>-848.91</v>
      </c>
      <c r="I425" s="16">
        <v>0</v>
      </c>
      <c r="J425" s="16" t="str">
        <f t="shared" si="42"/>
        <v/>
      </c>
      <c r="K425">
        <f t="shared" si="37"/>
        <v>7</v>
      </c>
      <c r="L425" t="str">
        <f t="shared" si="38"/>
        <v/>
      </c>
      <c r="M425" s="12">
        <f t="shared" si="39"/>
        <v>0</v>
      </c>
      <c r="N425" s="12">
        <f t="shared" si="40"/>
        <v>0</v>
      </c>
      <c r="O425" s="13">
        <f t="shared" si="41"/>
        <v>0</v>
      </c>
      <c r="P425" s="12">
        <f>IFERROR(VLOOKUP(B425,'Receivable Invoice Detail'!$S$1:$U$3014,3,FALSE),0)</f>
        <v>0</v>
      </c>
    </row>
    <row r="426" spans="1:16" x14ac:dyDescent="0.25">
      <c r="B426" t="s">
        <v>3210</v>
      </c>
      <c r="C426" t="s">
        <v>229</v>
      </c>
      <c r="D426" t="s">
        <v>22</v>
      </c>
      <c r="E426" t="s">
        <v>4389</v>
      </c>
      <c r="F426" s="16">
        <v>0</v>
      </c>
      <c r="G426" s="16">
        <v>0</v>
      </c>
      <c r="H426" s="16">
        <v>0</v>
      </c>
      <c r="I426" s="16">
        <v>0</v>
      </c>
      <c r="J426" s="16" t="str">
        <f t="shared" si="42"/>
        <v/>
      </c>
      <c r="K426">
        <f t="shared" si="37"/>
        <v>0</v>
      </c>
      <c r="L426" t="str">
        <f t="shared" si="38"/>
        <v/>
      </c>
      <c r="M426" s="12">
        <f t="shared" si="39"/>
        <v>0</v>
      </c>
      <c r="N426" s="12">
        <f t="shared" si="40"/>
        <v>0</v>
      </c>
      <c r="O426" s="13">
        <f t="shared" si="41"/>
        <v>0</v>
      </c>
      <c r="P426" s="12">
        <f>IFERROR(VLOOKUP(B426,'Receivable Invoice Detail'!$S$1:$U$3014,3,FALSE),0)</f>
        <v>0</v>
      </c>
    </row>
    <row r="427" spans="1:16" x14ac:dyDescent="0.25">
      <c r="A427" s="23" t="s">
        <v>4376</v>
      </c>
      <c r="B427" s="23"/>
      <c r="C427" s="23"/>
      <c r="D427" s="23"/>
      <c r="E427" s="23"/>
      <c r="F427" s="24">
        <v>898.07</v>
      </c>
      <c r="G427" s="24">
        <v>649.14322471307662</v>
      </c>
      <c r="H427" s="24">
        <v>-848.91</v>
      </c>
      <c r="I427" s="24">
        <v>0</v>
      </c>
      <c r="J427" s="16" t="str">
        <f t="shared" si="42"/>
        <v>CAD</v>
      </c>
      <c r="K427">
        <f t="shared" si="37"/>
        <v>13</v>
      </c>
      <c r="L427" t="str">
        <f t="shared" si="38"/>
        <v>SO17900</v>
      </c>
      <c r="M427" s="12">
        <f t="shared" si="39"/>
        <v>49.16</v>
      </c>
      <c r="N427" s="12">
        <f t="shared" si="40"/>
        <v>0</v>
      </c>
      <c r="O427" s="13">
        <f t="shared" si="41"/>
        <v>0</v>
      </c>
      <c r="P427" s="12">
        <f>IFERROR(VLOOKUP(B427,'Receivable Invoice Detail'!$S$1:$U$3014,3,FALSE),0)</f>
        <v>0</v>
      </c>
    </row>
    <row r="428" spans="1:16" x14ac:dyDescent="0.25">
      <c r="A428" t="s">
        <v>251</v>
      </c>
      <c r="B428" t="s">
        <v>3348</v>
      </c>
      <c r="C428" t="s">
        <v>54</v>
      </c>
      <c r="D428" t="s">
        <v>22</v>
      </c>
      <c r="E428" t="s">
        <v>4389</v>
      </c>
      <c r="F428" s="16">
        <v>3853</v>
      </c>
      <c r="G428" s="16">
        <v>2781.099751647962</v>
      </c>
      <c r="H428" s="16">
        <v>-3683.4</v>
      </c>
      <c r="I428" s="16">
        <v>0</v>
      </c>
      <c r="J428" s="16" t="str">
        <f t="shared" si="42"/>
        <v/>
      </c>
      <c r="K428">
        <f t="shared" si="37"/>
        <v>7</v>
      </c>
      <c r="L428" t="str">
        <f t="shared" si="38"/>
        <v/>
      </c>
      <c r="M428" s="12">
        <f t="shared" si="39"/>
        <v>0</v>
      </c>
      <c r="N428" s="12">
        <f t="shared" si="40"/>
        <v>0</v>
      </c>
      <c r="O428" s="13">
        <f t="shared" si="41"/>
        <v>0</v>
      </c>
      <c r="P428" s="12">
        <f>IFERROR(VLOOKUP(B428,'Receivable Invoice Detail'!$S$1:$U$3014,3,FALSE),0)</f>
        <v>0</v>
      </c>
    </row>
    <row r="429" spans="1:16" x14ac:dyDescent="0.25">
      <c r="B429" t="s">
        <v>6316</v>
      </c>
      <c r="C429" t="s">
        <v>54</v>
      </c>
      <c r="D429" t="s">
        <v>22</v>
      </c>
      <c r="E429" t="s">
        <v>4389</v>
      </c>
      <c r="F429" s="16">
        <v>0</v>
      </c>
      <c r="G429" s="16">
        <v>0</v>
      </c>
      <c r="H429" s="16">
        <v>0</v>
      </c>
      <c r="I429" s="16">
        <v>0</v>
      </c>
      <c r="J429" s="16" t="str">
        <f t="shared" si="42"/>
        <v/>
      </c>
      <c r="K429">
        <f t="shared" si="37"/>
        <v>0</v>
      </c>
      <c r="L429" t="str">
        <f t="shared" si="38"/>
        <v/>
      </c>
      <c r="M429" s="12">
        <f t="shared" si="39"/>
        <v>0</v>
      </c>
      <c r="N429" s="12">
        <f t="shared" si="40"/>
        <v>0</v>
      </c>
      <c r="O429" s="13">
        <f t="shared" si="41"/>
        <v>0</v>
      </c>
      <c r="P429" s="12">
        <f>IFERROR(VLOOKUP(B429,'Receivable Invoice Detail'!$S$1:$U$3014,3,FALSE),0)</f>
        <v>0</v>
      </c>
    </row>
    <row r="430" spans="1:16" x14ac:dyDescent="0.25">
      <c r="A430" s="23" t="s">
        <v>6338</v>
      </c>
      <c r="B430" s="23"/>
      <c r="C430" s="23"/>
      <c r="D430" s="23"/>
      <c r="E430" s="23"/>
      <c r="F430" s="24">
        <v>3853</v>
      </c>
      <c r="G430" s="24">
        <v>2781.099751647962</v>
      </c>
      <c r="H430" s="24">
        <v>-3683.4</v>
      </c>
      <c r="I430" s="24">
        <v>0</v>
      </c>
      <c r="J430" s="16" t="str">
        <f t="shared" si="42"/>
        <v>CAD</v>
      </c>
      <c r="K430">
        <f t="shared" si="37"/>
        <v>13</v>
      </c>
      <c r="L430" t="str">
        <f t="shared" si="38"/>
        <v>SO17903</v>
      </c>
      <c r="M430" s="12">
        <f t="shared" si="39"/>
        <v>169.6</v>
      </c>
      <c r="N430" s="12">
        <f t="shared" si="40"/>
        <v>0</v>
      </c>
      <c r="O430" s="13">
        <f t="shared" si="41"/>
        <v>0</v>
      </c>
      <c r="P430" s="12">
        <f>IFERROR(VLOOKUP(B430,'Receivable Invoice Detail'!$S$1:$U$3014,3,FALSE),0)</f>
        <v>0</v>
      </c>
    </row>
    <row r="431" spans="1:16" x14ac:dyDescent="0.25">
      <c r="A431" t="s">
        <v>563</v>
      </c>
      <c r="B431" t="s">
        <v>3218</v>
      </c>
      <c r="C431" t="s">
        <v>242</v>
      </c>
      <c r="D431" t="s">
        <v>22</v>
      </c>
      <c r="E431" t="s">
        <v>4388</v>
      </c>
      <c r="F431" s="16">
        <v>0</v>
      </c>
      <c r="G431" s="16">
        <v>0</v>
      </c>
      <c r="H431" s="16">
        <v>-50</v>
      </c>
      <c r="I431" s="16">
        <v>0</v>
      </c>
      <c r="J431" s="16" t="str">
        <f t="shared" si="42"/>
        <v/>
      </c>
      <c r="K431">
        <f t="shared" si="37"/>
        <v>7</v>
      </c>
      <c r="L431" t="str">
        <f t="shared" si="38"/>
        <v/>
      </c>
      <c r="M431" s="12">
        <f t="shared" si="39"/>
        <v>0</v>
      </c>
      <c r="N431" s="12">
        <f t="shared" si="40"/>
        <v>0</v>
      </c>
      <c r="O431" s="13">
        <f t="shared" si="41"/>
        <v>0</v>
      </c>
      <c r="P431" s="12">
        <f>IFERROR(VLOOKUP(B431,'Receivable Invoice Detail'!$S$1:$U$3014,3,FALSE),0)</f>
        <v>0</v>
      </c>
    </row>
    <row r="432" spans="1:16" x14ac:dyDescent="0.25">
      <c r="B432" t="s">
        <v>3219</v>
      </c>
      <c r="C432" t="s">
        <v>242</v>
      </c>
      <c r="D432" t="s">
        <v>22</v>
      </c>
      <c r="E432" t="s">
        <v>4388</v>
      </c>
      <c r="F432" s="16">
        <v>100</v>
      </c>
      <c r="G432" s="16">
        <v>71.817576144916316</v>
      </c>
      <c r="H432" s="16">
        <v>-50</v>
      </c>
      <c r="I432" s="16">
        <v>0</v>
      </c>
      <c r="J432" s="16" t="str">
        <f t="shared" si="42"/>
        <v/>
      </c>
      <c r="K432">
        <f t="shared" si="37"/>
        <v>0</v>
      </c>
      <c r="L432" t="str">
        <f t="shared" si="38"/>
        <v/>
      </c>
      <c r="M432" s="12">
        <f t="shared" si="39"/>
        <v>0</v>
      </c>
      <c r="N432" s="12">
        <f t="shared" si="40"/>
        <v>0</v>
      </c>
      <c r="O432" s="13">
        <f t="shared" si="41"/>
        <v>0</v>
      </c>
      <c r="P432" s="12">
        <f>IFERROR(VLOOKUP(B432,'Receivable Invoice Detail'!$S$1:$U$3014,3,FALSE),0)</f>
        <v>0</v>
      </c>
    </row>
    <row r="433" spans="1:16" x14ac:dyDescent="0.25">
      <c r="A433" s="23" t="s">
        <v>4377</v>
      </c>
      <c r="B433" s="23"/>
      <c r="C433" s="23"/>
      <c r="D433" s="23"/>
      <c r="E433" s="23"/>
      <c r="F433" s="24">
        <v>100</v>
      </c>
      <c r="G433" s="24">
        <v>71.817576144916316</v>
      </c>
      <c r="H433" s="24">
        <v>-100</v>
      </c>
      <c r="I433" s="24">
        <v>0</v>
      </c>
      <c r="J433" s="16" t="str">
        <f t="shared" si="42"/>
        <v>CAD</v>
      </c>
      <c r="K433">
        <f t="shared" si="37"/>
        <v>13</v>
      </c>
      <c r="L433" t="str">
        <f t="shared" si="38"/>
        <v>SO17914</v>
      </c>
      <c r="M433" s="12">
        <f t="shared" si="39"/>
        <v>0</v>
      </c>
      <c r="N433" s="12">
        <f t="shared" si="40"/>
        <v>0</v>
      </c>
      <c r="O433" s="13" t="str">
        <f t="shared" si="41"/>
        <v>Yes</v>
      </c>
      <c r="P433" s="12">
        <f>IFERROR(VLOOKUP(B433,'Receivable Invoice Detail'!$S$1:$U$3014,3,FALSE),0)</f>
        <v>0</v>
      </c>
    </row>
    <row r="434" spans="1:16" x14ac:dyDescent="0.25">
      <c r="A434" t="s">
        <v>550</v>
      </c>
      <c r="B434" t="s">
        <v>3226</v>
      </c>
      <c r="C434" t="s">
        <v>121</v>
      </c>
      <c r="D434" t="s">
        <v>22</v>
      </c>
      <c r="E434" t="s">
        <v>4388</v>
      </c>
      <c r="F434" s="16">
        <v>14319.84</v>
      </c>
      <c r="G434" s="16">
        <v>10267.147745481316</v>
      </c>
      <c r="H434" s="16">
        <v>-7335.38</v>
      </c>
      <c r="I434" s="16">
        <v>0</v>
      </c>
      <c r="J434" s="16" t="str">
        <f t="shared" si="42"/>
        <v/>
      </c>
      <c r="K434">
        <f t="shared" si="37"/>
        <v>7</v>
      </c>
      <c r="L434" t="str">
        <f t="shared" si="38"/>
        <v/>
      </c>
      <c r="M434" s="12">
        <f t="shared" si="39"/>
        <v>0</v>
      </c>
      <c r="N434" s="12">
        <f t="shared" si="40"/>
        <v>0</v>
      </c>
      <c r="O434" s="13">
        <f t="shared" si="41"/>
        <v>0</v>
      </c>
      <c r="P434" s="12">
        <f>IFERROR(VLOOKUP(B434,'Receivable Invoice Detail'!$S$1:$U$3014,3,FALSE),0)</f>
        <v>0</v>
      </c>
    </row>
    <row r="435" spans="1:16" x14ac:dyDescent="0.25">
      <c r="B435" t="s">
        <v>3225</v>
      </c>
      <c r="C435" t="s">
        <v>121</v>
      </c>
      <c r="D435" t="s">
        <v>22</v>
      </c>
      <c r="E435" t="s">
        <v>4389</v>
      </c>
      <c r="F435" s="16">
        <v>0</v>
      </c>
      <c r="G435" s="16">
        <v>0</v>
      </c>
      <c r="H435" s="16">
        <v>-1180.7</v>
      </c>
      <c r="I435" s="16">
        <v>0</v>
      </c>
      <c r="J435" s="16" t="str">
        <f t="shared" si="42"/>
        <v/>
      </c>
      <c r="K435">
        <f t="shared" si="37"/>
        <v>0</v>
      </c>
      <c r="L435" t="str">
        <f t="shared" si="38"/>
        <v/>
      </c>
      <c r="M435" s="12">
        <f t="shared" si="39"/>
        <v>0</v>
      </c>
      <c r="N435" s="12">
        <f t="shared" si="40"/>
        <v>0</v>
      </c>
      <c r="O435" s="13">
        <f t="shared" si="41"/>
        <v>0</v>
      </c>
      <c r="P435" s="12">
        <f>IFERROR(VLOOKUP(B435,'Receivable Invoice Detail'!$S$1:$U$3014,3,FALSE),0)</f>
        <v>0</v>
      </c>
    </row>
    <row r="436" spans="1:16" x14ac:dyDescent="0.25">
      <c r="A436" s="23" t="s">
        <v>4378</v>
      </c>
      <c r="B436" s="23"/>
      <c r="C436" s="23"/>
      <c r="D436" s="23"/>
      <c r="E436" s="23"/>
      <c r="F436" s="24">
        <v>14319.84</v>
      </c>
      <c r="G436" s="24">
        <v>10267.147745481316</v>
      </c>
      <c r="H436" s="24">
        <v>-8516.08</v>
      </c>
      <c r="I436" s="24">
        <v>0</v>
      </c>
      <c r="J436" s="16" t="str">
        <f t="shared" si="42"/>
        <v>CAD</v>
      </c>
      <c r="K436">
        <f t="shared" si="37"/>
        <v>13</v>
      </c>
      <c r="L436" t="str">
        <f t="shared" si="38"/>
        <v>SO17926</v>
      </c>
      <c r="M436" s="12">
        <f t="shared" si="39"/>
        <v>5803.76</v>
      </c>
      <c r="N436" s="12">
        <f t="shared" si="40"/>
        <v>0</v>
      </c>
      <c r="O436" s="13">
        <f t="shared" si="41"/>
        <v>0</v>
      </c>
      <c r="P436" s="12">
        <f>IFERROR(VLOOKUP(B436,'Receivable Invoice Detail'!$S$1:$U$3014,3,FALSE),0)</f>
        <v>0</v>
      </c>
    </row>
    <row r="437" spans="1:16" x14ac:dyDescent="0.25">
      <c r="A437" t="s">
        <v>542</v>
      </c>
      <c r="B437" t="s">
        <v>3231</v>
      </c>
      <c r="C437" t="s">
        <v>129</v>
      </c>
      <c r="D437" t="s">
        <v>51</v>
      </c>
      <c r="E437" t="s">
        <v>4389</v>
      </c>
      <c r="F437" s="16">
        <v>2575.9710913481645</v>
      </c>
      <c r="G437" s="16">
        <v>1850</v>
      </c>
      <c r="H437" s="16">
        <v>0</v>
      </c>
      <c r="I437" s="16">
        <v>-350</v>
      </c>
      <c r="J437" s="16" t="str">
        <f t="shared" si="42"/>
        <v/>
      </c>
      <c r="K437">
        <f t="shared" si="37"/>
        <v>7</v>
      </c>
      <c r="L437" t="str">
        <f t="shared" si="38"/>
        <v/>
      </c>
      <c r="M437" s="12">
        <f t="shared" si="39"/>
        <v>0</v>
      </c>
      <c r="N437" s="12">
        <f t="shared" si="40"/>
        <v>0</v>
      </c>
      <c r="O437" s="13">
        <f t="shared" si="41"/>
        <v>0</v>
      </c>
      <c r="P437" s="12">
        <f>IFERROR(VLOOKUP(B437,'Receivable Invoice Detail'!$S$1:$U$3014,3,FALSE),0)</f>
        <v>0</v>
      </c>
    </row>
    <row r="438" spans="1:16" x14ac:dyDescent="0.25">
      <c r="B438" t="s">
        <v>4411</v>
      </c>
      <c r="C438" t="s">
        <v>129</v>
      </c>
      <c r="D438" t="s">
        <v>51</v>
      </c>
      <c r="E438" t="s">
        <v>4389</v>
      </c>
      <c r="F438" s="16">
        <v>0</v>
      </c>
      <c r="G438" s="16">
        <v>0</v>
      </c>
      <c r="H438" s="16">
        <v>0</v>
      </c>
      <c r="I438" s="16">
        <v>-1500</v>
      </c>
      <c r="J438" s="16" t="str">
        <f t="shared" si="42"/>
        <v/>
      </c>
      <c r="K438">
        <f t="shared" si="37"/>
        <v>0</v>
      </c>
      <c r="L438" t="str">
        <f t="shared" si="38"/>
        <v/>
      </c>
      <c r="M438" s="12">
        <f t="shared" si="39"/>
        <v>0</v>
      </c>
      <c r="N438" s="12">
        <f t="shared" si="40"/>
        <v>0</v>
      </c>
      <c r="O438" s="13">
        <f t="shared" si="41"/>
        <v>0</v>
      </c>
      <c r="P438" s="12">
        <f>IFERROR(VLOOKUP(B438,'Receivable Invoice Detail'!$S$1:$U$3014,3,FALSE),0)</f>
        <v>0</v>
      </c>
    </row>
    <row r="439" spans="1:16" x14ac:dyDescent="0.25">
      <c r="A439" s="23" t="s">
        <v>5894</v>
      </c>
      <c r="B439" s="23"/>
      <c r="C439" s="23"/>
      <c r="D439" s="23"/>
      <c r="E439" s="23"/>
      <c r="F439" s="24">
        <v>2575.9710913481645</v>
      </c>
      <c r="G439" s="24">
        <v>1850</v>
      </c>
      <c r="H439" s="24">
        <v>0</v>
      </c>
      <c r="I439" s="24">
        <v>-1850</v>
      </c>
      <c r="J439" s="16" t="str">
        <f t="shared" si="42"/>
        <v>USD</v>
      </c>
      <c r="K439">
        <f t="shared" si="37"/>
        <v>13</v>
      </c>
      <c r="L439" t="str">
        <f t="shared" si="38"/>
        <v>SO17930</v>
      </c>
      <c r="M439" s="12">
        <f t="shared" si="39"/>
        <v>0</v>
      </c>
      <c r="N439" s="12">
        <f t="shared" si="40"/>
        <v>0</v>
      </c>
      <c r="O439" s="13" t="str">
        <f t="shared" si="41"/>
        <v>Yes</v>
      </c>
      <c r="P439" s="12">
        <f>IFERROR(VLOOKUP(B439,'Receivable Invoice Detail'!$S$1:$U$3014,3,FALSE),0)</f>
        <v>0</v>
      </c>
    </row>
    <row r="440" spans="1:16" x14ac:dyDescent="0.25">
      <c r="A440" t="s">
        <v>362</v>
      </c>
      <c r="B440" t="s">
        <v>3302</v>
      </c>
      <c r="C440" t="s">
        <v>159</v>
      </c>
      <c r="D440" t="s">
        <v>51</v>
      </c>
      <c r="E440" t="s">
        <v>4389</v>
      </c>
      <c r="F440" s="16">
        <v>0</v>
      </c>
      <c r="G440" s="16">
        <v>0</v>
      </c>
      <c r="H440" s="16">
        <v>0</v>
      </c>
      <c r="I440" s="16">
        <v>-5389.12</v>
      </c>
      <c r="J440" s="16" t="str">
        <f t="shared" si="42"/>
        <v/>
      </c>
      <c r="K440">
        <f t="shared" si="37"/>
        <v>7</v>
      </c>
      <c r="L440" t="str">
        <f t="shared" si="38"/>
        <v/>
      </c>
      <c r="M440" s="12">
        <f t="shared" si="39"/>
        <v>0</v>
      </c>
      <c r="N440" s="12">
        <f t="shared" si="40"/>
        <v>0</v>
      </c>
      <c r="O440" s="13">
        <f t="shared" si="41"/>
        <v>0</v>
      </c>
      <c r="P440" s="12">
        <f>IFERROR(VLOOKUP(B440,'Receivable Invoice Detail'!$S$1:$U$3014,3,FALSE),0)</f>
        <v>0</v>
      </c>
    </row>
    <row r="441" spans="1:16" x14ac:dyDescent="0.25">
      <c r="B441" t="s">
        <v>5971</v>
      </c>
      <c r="C441" t="s">
        <v>159</v>
      </c>
      <c r="D441" t="s">
        <v>51</v>
      </c>
      <c r="E441" t="s">
        <v>4389</v>
      </c>
      <c r="F441" s="16">
        <v>8962.1725367928775</v>
      </c>
      <c r="G441" s="16">
        <v>6387.56</v>
      </c>
      <c r="H441" s="16">
        <v>0</v>
      </c>
      <c r="I441" s="16">
        <v>-998.44</v>
      </c>
      <c r="J441" s="16" t="str">
        <f t="shared" si="42"/>
        <v/>
      </c>
      <c r="K441">
        <f t="shared" si="37"/>
        <v>0</v>
      </c>
      <c r="L441" t="str">
        <f t="shared" si="38"/>
        <v/>
      </c>
      <c r="M441" s="12">
        <f t="shared" si="39"/>
        <v>0</v>
      </c>
      <c r="N441" s="12">
        <f t="shared" si="40"/>
        <v>0</v>
      </c>
      <c r="O441" s="13">
        <f t="shared" si="41"/>
        <v>0</v>
      </c>
      <c r="P441" s="12">
        <f>IFERROR(VLOOKUP(B441,'Receivable Invoice Detail'!$S$1:$U$3014,3,FALSE),0)</f>
        <v>0</v>
      </c>
    </row>
    <row r="442" spans="1:16" x14ac:dyDescent="0.25">
      <c r="A442" s="23" t="s">
        <v>6339</v>
      </c>
      <c r="B442" s="23"/>
      <c r="C442" s="23"/>
      <c r="D442" s="23"/>
      <c r="E442" s="23"/>
      <c r="F442" s="24">
        <v>8962.1725367928775</v>
      </c>
      <c r="G442" s="24">
        <v>6387.56</v>
      </c>
      <c r="H442" s="24">
        <v>0</v>
      </c>
      <c r="I442" s="24">
        <v>-6387.5599999999995</v>
      </c>
      <c r="J442" s="16" t="str">
        <f t="shared" si="42"/>
        <v>USD</v>
      </c>
      <c r="K442">
        <f t="shared" si="37"/>
        <v>13</v>
      </c>
      <c r="L442" t="str">
        <f t="shared" si="38"/>
        <v>SO17939</v>
      </c>
      <c r="M442" s="12">
        <f t="shared" si="39"/>
        <v>0</v>
      </c>
      <c r="N442" s="12">
        <f t="shared" si="40"/>
        <v>0</v>
      </c>
      <c r="O442" s="13" t="str">
        <f t="shared" si="41"/>
        <v>Yes</v>
      </c>
      <c r="P442" s="12">
        <f>IFERROR(VLOOKUP(B442,'Receivable Invoice Detail'!$S$1:$U$3014,3,FALSE),0)</f>
        <v>0</v>
      </c>
    </row>
    <row r="443" spans="1:16" x14ac:dyDescent="0.25">
      <c r="A443" t="s">
        <v>519</v>
      </c>
      <c r="B443" t="s">
        <v>3243</v>
      </c>
      <c r="C443" t="s">
        <v>159</v>
      </c>
      <c r="D443" t="s">
        <v>51</v>
      </c>
      <c r="E443" t="s">
        <v>4389</v>
      </c>
      <c r="F443" s="16">
        <v>343554.47137796431</v>
      </c>
      <c r="G443" s="16">
        <v>247074.32</v>
      </c>
      <c r="H443" s="16">
        <v>0</v>
      </c>
      <c r="I443" s="16">
        <v>-178684.57</v>
      </c>
      <c r="J443" s="16" t="str">
        <f t="shared" si="42"/>
        <v/>
      </c>
      <c r="K443">
        <f t="shared" si="37"/>
        <v>7</v>
      </c>
      <c r="L443" t="str">
        <f t="shared" si="38"/>
        <v/>
      </c>
      <c r="M443" s="12">
        <f t="shared" si="39"/>
        <v>0</v>
      </c>
      <c r="N443" s="12">
        <f t="shared" si="40"/>
        <v>0</v>
      </c>
      <c r="O443" s="13">
        <f t="shared" si="41"/>
        <v>0</v>
      </c>
      <c r="P443" s="12">
        <f>IFERROR(VLOOKUP(B443,'Receivable Invoice Detail'!$S$1:$U$3014,3,FALSE),0)</f>
        <v>0</v>
      </c>
    </row>
    <row r="444" spans="1:16" x14ac:dyDescent="0.25">
      <c r="B444" t="s">
        <v>3242</v>
      </c>
      <c r="C444" t="s">
        <v>159</v>
      </c>
      <c r="D444" t="s">
        <v>51</v>
      </c>
      <c r="E444" t="s">
        <v>4388</v>
      </c>
      <c r="F444" s="16">
        <v>0</v>
      </c>
      <c r="G444" s="16">
        <v>0</v>
      </c>
      <c r="H444" s="16">
        <v>0</v>
      </c>
      <c r="I444" s="16">
        <v>-5214.24</v>
      </c>
      <c r="J444" s="16" t="str">
        <f t="shared" si="42"/>
        <v/>
      </c>
      <c r="K444">
        <f t="shared" si="37"/>
        <v>0</v>
      </c>
      <c r="L444" t="str">
        <f t="shared" si="38"/>
        <v/>
      </c>
      <c r="M444" s="12">
        <f t="shared" si="39"/>
        <v>0</v>
      </c>
      <c r="N444" s="12">
        <f t="shared" si="40"/>
        <v>0</v>
      </c>
      <c r="O444" s="13">
        <f t="shared" si="41"/>
        <v>0</v>
      </c>
      <c r="P444" s="12">
        <f>IFERROR(VLOOKUP(B444,'Receivable Invoice Detail'!$S$1:$U$3014,3,FALSE),0)</f>
        <v>0</v>
      </c>
    </row>
    <row r="445" spans="1:16" x14ac:dyDescent="0.25">
      <c r="B445" t="s">
        <v>5972</v>
      </c>
      <c r="C445" t="s">
        <v>159</v>
      </c>
      <c r="D445" t="s">
        <v>51</v>
      </c>
      <c r="E445" t="s">
        <v>4389</v>
      </c>
      <c r="F445" s="16">
        <v>0</v>
      </c>
      <c r="G445" s="16">
        <v>0</v>
      </c>
      <c r="H445" s="16">
        <v>0</v>
      </c>
      <c r="I445" s="16">
        <v>-3175.32</v>
      </c>
      <c r="J445" s="16" t="str">
        <f t="shared" si="42"/>
        <v/>
      </c>
      <c r="K445">
        <f t="shared" si="37"/>
        <v>0</v>
      </c>
      <c r="L445" t="str">
        <f t="shared" si="38"/>
        <v/>
      </c>
      <c r="M445" s="12">
        <f t="shared" si="39"/>
        <v>0</v>
      </c>
      <c r="N445" s="12">
        <f t="shared" si="40"/>
        <v>0</v>
      </c>
      <c r="O445" s="13">
        <f t="shared" si="41"/>
        <v>0</v>
      </c>
      <c r="P445" s="12">
        <f>IFERROR(VLOOKUP(B445,'Receivable Invoice Detail'!$S$1:$U$3014,3,FALSE),0)</f>
        <v>0</v>
      </c>
    </row>
    <row r="446" spans="1:16" x14ac:dyDescent="0.25">
      <c r="A446" s="23" t="s">
        <v>4379</v>
      </c>
      <c r="B446" s="23"/>
      <c r="C446" s="23"/>
      <c r="D446" s="23"/>
      <c r="E446" s="23"/>
      <c r="F446" s="24">
        <v>343554.47137796431</v>
      </c>
      <c r="G446" s="24">
        <v>247074.32</v>
      </c>
      <c r="H446" s="24">
        <v>0</v>
      </c>
      <c r="I446" s="24">
        <v>-187074.13</v>
      </c>
      <c r="J446" s="16" t="str">
        <f t="shared" si="42"/>
        <v>USD</v>
      </c>
      <c r="K446">
        <f t="shared" si="37"/>
        <v>13</v>
      </c>
      <c r="L446" t="str">
        <f t="shared" si="38"/>
        <v>SO17947</v>
      </c>
      <c r="M446" s="12">
        <f t="shared" si="39"/>
        <v>0</v>
      </c>
      <c r="N446" s="12">
        <f t="shared" si="40"/>
        <v>60000.19</v>
      </c>
      <c r="O446" s="13">
        <f t="shared" si="41"/>
        <v>0</v>
      </c>
      <c r="P446" s="12">
        <f>IFERROR(VLOOKUP(B446,'Receivable Invoice Detail'!$S$1:$U$3014,3,FALSE),0)</f>
        <v>0</v>
      </c>
    </row>
    <row r="447" spans="1:16" x14ac:dyDescent="0.25">
      <c r="A447" t="s">
        <v>367</v>
      </c>
      <c r="B447" t="s">
        <v>3301</v>
      </c>
      <c r="C447" t="s">
        <v>369</v>
      </c>
      <c r="D447" t="s">
        <v>51</v>
      </c>
      <c r="E447" t="s">
        <v>4388</v>
      </c>
      <c r="F447" s="16">
        <v>0</v>
      </c>
      <c r="G447" s="16">
        <v>0</v>
      </c>
      <c r="H447" s="16">
        <v>0</v>
      </c>
      <c r="I447" s="16">
        <v>-12489.11</v>
      </c>
      <c r="J447" s="16" t="str">
        <f t="shared" ref="J447:J452" si="43">IF(K447=13,D446,"")</f>
        <v/>
      </c>
      <c r="K447">
        <f t="shared" ref="K447:K452" si="44">LEN(A447)</f>
        <v>7</v>
      </c>
      <c r="L447" t="str">
        <f t="shared" ref="L447:L452" si="45">IF(K447=13,LEFT(A447,7),"")</f>
        <v/>
      </c>
      <c r="M447" s="12">
        <f t="shared" ref="M447:M452" si="46">IF(AND(K447=13,D446="CAD"),ROUND(F447+H447,2),0)</f>
        <v>0</v>
      </c>
      <c r="N447" s="12">
        <f t="shared" ref="N447:N452" si="47">IF(AND(K447=13,D446="USD"),ROUND(G447+I447,2),0)</f>
        <v>0</v>
      </c>
      <c r="O447" s="13">
        <f t="shared" ref="O447:O452" si="48">IF(K447=13,IF(M447+N447=0,"Yes",0),0)</f>
        <v>0</v>
      </c>
      <c r="P447" s="12">
        <f>IFERROR(VLOOKUP(B447,'Receivable Invoice Detail'!$S$1:$U$3014,3,FALSE),0)</f>
        <v>0</v>
      </c>
    </row>
    <row r="448" spans="1:16" x14ac:dyDescent="0.25">
      <c r="B448" t="s">
        <v>6007</v>
      </c>
      <c r="C448" t="s">
        <v>369</v>
      </c>
      <c r="D448" t="s">
        <v>51</v>
      </c>
      <c r="E448" t="s">
        <v>4389</v>
      </c>
      <c r="F448" s="16">
        <v>17525.2120577282</v>
      </c>
      <c r="G448" s="16">
        <v>12489.11</v>
      </c>
      <c r="H448" s="16">
        <v>0</v>
      </c>
      <c r="I448" s="16">
        <v>-12489.11</v>
      </c>
      <c r="J448" s="16" t="str">
        <f t="shared" si="43"/>
        <v/>
      </c>
      <c r="K448">
        <f t="shared" si="44"/>
        <v>0</v>
      </c>
      <c r="L448" t="str">
        <f t="shared" si="45"/>
        <v/>
      </c>
      <c r="M448" s="12">
        <f t="shared" si="46"/>
        <v>0</v>
      </c>
      <c r="N448" s="12">
        <f t="shared" si="47"/>
        <v>0</v>
      </c>
      <c r="O448" s="13">
        <f t="shared" si="48"/>
        <v>0</v>
      </c>
      <c r="P448" s="12">
        <f>IFERROR(VLOOKUP(B448,'Receivable Invoice Detail'!$S$1:$U$3014,3,FALSE),0)</f>
        <v>0</v>
      </c>
    </row>
    <row r="449" spans="1:16" x14ac:dyDescent="0.25">
      <c r="A449" s="23" t="s">
        <v>6340</v>
      </c>
      <c r="B449" s="23"/>
      <c r="C449" s="23"/>
      <c r="D449" s="23"/>
      <c r="E449" s="23"/>
      <c r="F449" s="24">
        <v>17525.2120577282</v>
      </c>
      <c r="G449" s="24">
        <v>12489.11</v>
      </c>
      <c r="H449" s="24">
        <v>0</v>
      </c>
      <c r="I449" s="24">
        <v>-24978.22</v>
      </c>
      <c r="J449" s="16" t="str">
        <f t="shared" si="43"/>
        <v>USD</v>
      </c>
      <c r="K449">
        <f t="shared" si="44"/>
        <v>13</v>
      </c>
      <c r="L449" t="str">
        <f t="shared" si="45"/>
        <v>SO17999</v>
      </c>
      <c r="M449" s="12">
        <f t="shared" si="46"/>
        <v>0</v>
      </c>
      <c r="N449" s="12">
        <f t="shared" si="47"/>
        <v>-12489.11</v>
      </c>
      <c r="O449" s="13">
        <f t="shared" si="48"/>
        <v>0</v>
      </c>
      <c r="P449" s="12">
        <f>IFERROR(VLOOKUP(B449,'Receivable Invoice Detail'!$S$1:$U$3014,3,FALSE),0)</f>
        <v>0</v>
      </c>
    </row>
    <row r="450" spans="1:16" x14ac:dyDescent="0.25">
      <c r="A450" t="s">
        <v>427</v>
      </c>
      <c r="B450" t="s">
        <v>3282</v>
      </c>
      <c r="C450" t="s">
        <v>429</v>
      </c>
      <c r="D450" t="s">
        <v>22</v>
      </c>
      <c r="E450" t="s">
        <v>4389</v>
      </c>
      <c r="F450" s="16">
        <v>754.36</v>
      </c>
      <c r="G450" s="16">
        <v>537.10034004754016</v>
      </c>
      <c r="H450" s="16">
        <v>0</v>
      </c>
      <c r="I450" s="16">
        <v>0</v>
      </c>
      <c r="J450" s="16" t="str">
        <f t="shared" si="43"/>
        <v/>
      </c>
      <c r="K450">
        <f t="shared" si="44"/>
        <v>7</v>
      </c>
      <c r="L450" t="str">
        <f t="shared" si="45"/>
        <v/>
      </c>
      <c r="M450" s="12">
        <f t="shared" si="46"/>
        <v>0</v>
      </c>
      <c r="N450" s="12">
        <f t="shared" si="47"/>
        <v>0</v>
      </c>
      <c r="O450" s="13">
        <f t="shared" si="48"/>
        <v>0</v>
      </c>
      <c r="P450" s="12">
        <f>IFERROR(VLOOKUP(B450,'Receivable Invoice Detail'!$S$1:$U$3014,3,FALSE),0)</f>
        <v>0</v>
      </c>
    </row>
    <row r="451" spans="1:16" x14ac:dyDescent="0.25">
      <c r="B451" t="s">
        <v>3281</v>
      </c>
      <c r="C451" t="s">
        <v>429</v>
      </c>
      <c r="D451" t="s">
        <v>22</v>
      </c>
      <c r="E451" t="s">
        <v>4388</v>
      </c>
      <c r="F451" s="16">
        <v>0</v>
      </c>
      <c r="G451" s="16">
        <v>0</v>
      </c>
      <c r="H451" s="16">
        <v>-754.36</v>
      </c>
      <c r="I451" s="16">
        <v>0</v>
      </c>
      <c r="J451" s="16" t="str">
        <f t="shared" si="43"/>
        <v/>
      </c>
      <c r="K451">
        <f t="shared" si="44"/>
        <v>0</v>
      </c>
      <c r="L451" t="str">
        <f t="shared" si="45"/>
        <v/>
      </c>
      <c r="M451" s="12">
        <f t="shared" si="46"/>
        <v>0</v>
      </c>
      <c r="N451" s="12">
        <f t="shared" si="47"/>
        <v>0</v>
      </c>
      <c r="O451" s="13">
        <f t="shared" si="48"/>
        <v>0</v>
      </c>
      <c r="P451" s="12">
        <f>IFERROR(VLOOKUP(B451,'Receivable Invoice Detail'!$S$1:$U$3014,3,FALSE),0)</f>
        <v>0</v>
      </c>
    </row>
    <row r="452" spans="1:16" x14ac:dyDescent="0.25">
      <c r="A452" s="23" t="s">
        <v>4380</v>
      </c>
      <c r="B452" s="23"/>
      <c r="C452" s="23"/>
      <c r="D452" s="23"/>
      <c r="E452" s="23"/>
      <c r="F452" s="24">
        <v>754.36</v>
      </c>
      <c r="G452" s="24">
        <v>537.10034004754016</v>
      </c>
      <c r="H452" s="24">
        <v>-754.36</v>
      </c>
      <c r="I452" s="24">
        <v>0</v>
      </c>
      <c r="J452" s="16" t="str">
        <f t="shared" si="43"/>
        <v>CAD</v>
      </c>
      <c r="K452">
        <f t="shared" si="44"/>
        <v>13</v>
      </c>
      <c r="L452" t="str">
        <f t="shared" si="45"/>
        <v>SO18013</v>
      </c>
      <c r="M452" s="12">
        <f t="shared" si="46"/>
        <v>0</v>
      </c>
      <c r="N452" s="12">
        <f t="shared" si="47"/>
        <v>0</v>
      </c>
      <c r="O452" s="13" t="str">
        <f t="shared" si="48"/>
        <v>Yes</v>
      </c>
      <c r="P452" s="12">
        <f>IFERROR(VLOOKUP(B452,'Receivable Invoice Detail'!$S$1:$U$3014,3,FALSE),0)</f>
        <v>0</v>
      </c>
    </row>
    <row r="453" spans="1:16" x14ac:dyDescent="0.25">
      <c r="A453" t="s">
        <v>394</v>
      </c>
      <c r="B453" t="s">
        <v>3290</v>
      </c>
      <c r="C453" t="s">
        <v>20</v>
      </c>
      <c r="D453" t="s">
        <v>22</v>
      </c>
      <c r="E453" t="s">
        <v>4388</v>
      </c>
      <c r="F453" s="16">
        <v>7071.07</v>
      </c>
      <c r="G453" s="16">
        <v>5055.2473405299097</v>
      </c>
      <c r="H453" s="16">
        <v>-5073.1099999999997</v>
      </c>
      <c r="I453" s="16">
        <v>0</v>
      </c>
      <c r="J453" s="16" t="str">
        <f t="shared" ref="J453:J500" si="49">IF(K453=13,D452,"")</f>
        <v/>
      </c>
      <c r="K453">
        <f t="shared" ref="K453:K500" si="50">LEN(A453)</f>
        <v>7</v>
      </c>
      <c r="L453" t="str">
        <f t="shared" ref="L453:L500" si="51">IF(K453=13,LEFT(A453,7),"")</f>
        <v/>
      </c>
      <c r="M453" s="12">
        <f t="shared" ref="M453:M500" si="52">IF(AND(K453=13,D452="CAD"),ROUND(F453+H453,2),0)</f>
        <v>0</v>
      </c>
      <c r="N453" s="12">
        <f t="shared" ref="N453:N500" si="53">IF(AND(K453=13,D452="USD"),ROUND(G453+I453,2),0)</f>
        <v>0</v>
      </c>
      <c r="O453" s="13">
        <f t="shared" ref="O453:O500" si="54">IF(K453=13,IF(M453+N453=0,"Yes",0),0)</f>
        <v>0</v>
      </c>
      <c r="P453" s="12">
        <f>IFERROR(VLOOKUP(B453,'Receivable Invoice Detail'!$S$1:$U$3014,3,FALSE),0)</f>
        <v>0</v>
      </c>
    </row>
    <row r="454" spans="1:16" x14ac:dyDescent="0.25">
      <c r="B454" t="s">
        <v>3289</v>
      </c>
      <c r="C454" t="s">
        <v>20</v>
      </c>
      <c r="D454" t="s">
        <v>22</v>
      </c>
      <c r="E454" t="s">
        <v>4389</v>
      </c>
      <c r="F454" s="16">
        <v>0</v>
      </c>
      <c r="G454" s="16">
        <v>0</v>
      </c>
      <c r="H454" s="16">
        <v>-1997.96</v>
      </c>
      <c r="I454" s="16">
        <v>0</v>
      </c>
      <c r="J454" s="16" t="str">
        <f t="shared" si="49"/>
        <v/>
      </c>
      <c r="K454">
        <f t="shared" si="50"/>
        <v>0</v>
      </c>
      <c r="L454" t="str">
        <f t="shared" si="51"/>
        <v/>
      </c>
      <c r="M454" s="12">
        <f t="shared" si="52"/>
        <v>0</v>
      </c>
      <c r="N454" s="12">
        <f t="shared" si="53"/>
        <v>0</v>
      </c>
      <c r="O454" s="13">
        <f t="shared" si="54"/>
        <v>0</v>
      </c>
      <c r="P454" s="12">
        <f>IFERROR(VLOOKUP(B454,'Receivable Invoice Detail'!$S$1:$U$3014,3,FALSE),0)</f>
        <v>0</v>
      </c>
    </row>
    <row r="455" spans="1:16" x14ac:dyDescent="0.25">
      <c r="A455" s="23" t="s">
        <v>4381</v>
      </c>
      <c r="B455" s="23"/>
      <c r="C455" s="23"/>
      <c r="D455" s="23"/>
      <c r="E455" s="23"/>
      <c r="F455" s="24">
        <v>7071.07</v>
      </c>
      <c r="G455" s="24">
        <v>5055.2473405299097</v>
      </c>
      <c r="H455" s="24">
        <v>-7071.07</v>
      </c>
      <c r="I455" s="24">
        <v>0</v>
      </c>
      <c r="J455" s="16" t="str">
        <f t="shared" si="49"/>
        <v>CAD</v>
      </c>
      <c r="K455">
        <f t="shared" si="50"/>
        <v>13</v>
      </c>
      <c r="L455" t="str">
        <f t="shared" si="51"/>
        <v>SO18057</v>
      </c>
      <c r="M455" s="12">
        <f t="shared" si="52"/>
        <v>0</v>
      </c>
      <c r="N455" s="12">
        <f t="shared" si="53"/>
        <v>0</v>
      </c>
      <c r="O455" s="13" t="str">
        <f t="shared" si="54"/>
        <v>Yes</v>
      </c>
      <c r="P455" s="12">
        <f>IFERROR(VLOOKUP(B455,'Receivable Invoice Detail'!$S$1:$U$3014,3,FALSE),0)</f>
        <v>0</v>
      </c>
    </row>
    <row r="456" spans="1:16" x14ac:dyDescent="0.25">
      <c r="A456" t="s">
        <v>354</v>
      </c>
      <c r="B456" t="s">
        <v>3305</v>
      </c>
      <c r="C456" t="s">
        <v>70</v>
      </c>
      <c r="D456" t="s">
        <v>51</v>
      </c>
      <c r="E456" t="s">
        <v>4389</v>
      </c>
      <c r="F456" s="16">
        <v>16129.718931612129</v>
      </c>
      <c r="G456" s="16">
        <v>11510.86</v>
      </c>
      <c r="H456" s="16">
        <v>0</v>
      </c>
      <c r="I456" s="16">
        <v>-6834.6</v>
      </c>
      <c r="J456" s="16" t="str">
        <f t="shared" si="49"/>
        <v/>
      </c>
      <c r="K456">
        <f t="shared" si="50"/>
        <v>7</v>
      </c>
      <c r="L456" t="str">
        <f t="shared" si="51"/>
        <v/>
      </c>
      <c r="M456" s="12">
        <f t="shared" si="52"/>
        <v>0</v>
      </c>
      <c r="N456" s="12">
        <f t="shared" si="53"/>
        <v>0</v>
      </c>
      <c r="O456" s="13">
        <f t="shared" si="54"/>
        <v>0</v>
      </c>
      <c r="P456" s="12">
        <f>IFERROR(VLOOKUP(B456,'Receivable Invoice Detail'!$S$1:$U$3014,3,FALSE),0)</f>
        <v>397.25</v>
      </c>
    </row>
    <row r="457" spans="1:16" x14ac:dyDescent="0.25">
      <c r="B457" t="s">
        <v>6323</v>
      </c>
      <c r="C457" t="s">
        <v>70</v>
      </c>
      <c r="D457" t="s">
        <v>51</v>
      </c>
      <c r="E457" t="s">
        <v>4389</v>
      </c>
      <c r="F457" s="16">
        <v>0</v>
      </c>
      <c r="G457" s="16">
        <v>0</v>
      </c>
      <c r="H457" s="16">
        <v>0</v>
      </c>
      <c r="I457" s="16">
        <v>0</v>
      </c>
      <c r="J457" s="16" t="str">
        <f t="shared" si="49"/>
        <v/>
      </c>
      <c r="K457">
        <f t="shared" si="50"/>
        <v>0</v>
      </c>
      <c r="L457" t="str">
        <f t="shared" si="51"/>
        <v/>
      </c>
      <c r="M457" s="12">
        <f t="shared" si="52"/>
        <v>0</v>
      </c>
      <c r="N457" s="12">
        <f t="shared" si="53"/>
        <v>0</v>
      </c>
      <c r="O457" s="13">
        <f t="shared" si="54"/>
        <v>0</v>
      </c>
      <c r="P457" s="12">
        <f>IFERROR(VLOOKUP(B457,'Receivable Invoice Detail'!$S$1:$U$3014,3,FALSE),0)</f>
        <v>0</v>
      </c>
    </row>
    <row r="458" spans="1:16" x14ac:dyDescent="0.25">
      <c r="A458" s="23" t="s">
        <v>6341</v>
      </c>
      <c r="B458" s="23"/>
      <c r="C458" s="23"/>
      <c r="D458" s="23"/>
      <c r="E458" s="23"/>
      <c r="F458" s="24">
        <v>16129.718931612129</v>
      </c>
      <c r="G458" s="24">
        <v>11510.86</v>
      </c>
      <c r="H458" s="24">
        <v>0</v>
      </c>
      <c r="I458" s="24">
        <v>-6834.6</v>
      </c>
      <c r="J458" s="16" t="str">
        <f t="shared" si="49"/>
        <v>USD</v>
      </c>
      <c r="K458">
        <f t="shared" si="50"/>
        <v>13</v>
      </c>
      <c r="L458" t="str">
        <f t="shared" si="51"/>
        <v>SO18089</v>
      </c>
      <c r="M458" s="12">
        <f t="shared" si="52"/>
        <v>0</v>
      </c>
      <c r="N458" s="12">
        <f t="shared" si="53"/>
        <v>4676.26</v>
      </c>
      <c r="O458" s="13">
        <f t="shared" si="54"/>
        <v>0</v>
      </c>
      <c r="P458" s="12">
        <f>IFERROR(VLOOKUP(B458,'Receivable Invoice Detail'!$S$1:$U$3014,3,FALSE),0)</f>
        <v>0</v>
      </c>
    </row>
    <row r="459" spans="1:16" x14ac:dyDescent="0.25">
      <c r="A459" t="s">
        <v>338</v>
      </c>
      <c r="B459" t="s">
        <v>3311</v>
      </c>
      <c r="C459" t="s">
        <v>20</v>
      </c>
      <c r="D459" t="s">
        <v>22</v>
      </c>
      <c r="E459" t="s">
        <v>4388</v>
      </c>
      <c r="F459" s="16">
        <v>0</v>
      </c>
      <c r="G459" s="16">
        <v>0</v>
      </c>
      <c r="H459" s="16">
        <v>-1306.8599999999999</v>
      </c>
      <c r="I459" s="16">
        <v>0</v>
      </c>
      <c r="J459" s="16" t="str">
        <f t="shared" si="49"/>
        <v/>
      </c>
      <c r="K459">
        <f t="shared" si="50"/>
        <v>7</v>
      </c>
      <c r="L459" t="str">
        <f t="shared" si="51"/>
        <v/>
      </c>
      <c r="M459" s="12">
        <f t="shared" si="52"/>
        <v>0</v>
      </c>
      <c r="N459" s="12">
        <f t="shared" si="53"/>
        <v>0</v>
      </c>
      <c r="O459" s="13">
        <f t="shared" si="54"/>
        <v>0</v>
      </c>
      <c r="P459" s="12">
        <f>IFERROR(VLOOKUP(B459,'Receivable Invoice Detail'!$S$1:$U$3014,3,FALSE),0)</f>
        <v>0</v>
      </c>
    </row>
    <row r="460" spans="1:16" x14ac:dyDescent="0.25">
      <c r="B460" t="s">
        <v>3312</v>
      </c>
      <c r="C460" t="s">
        <v>20</v>
      </c>
      <c r="D460" t="s">
        <v>22</v>
      </c>
      <c r="E460" t="s">
        <v>4389</v>
      </c>
      <c r="F460" s="16">
        <v>3540.97</v>
      </c>
      <c r="G460" s="16">
        <v>2531.5092589093579</v>
      </c>
      <c r="H460" s="16">
        <v>-2234.11</v>
      </c>
      <c r="I460" s="16">
        <v>0</v>
      </c>
      <c r="J460" s="16" t="str">
        <f t="shared" si="49"/>
        <v/>
      </c>
      <c r="K460">
        <f t="shared" si="50"/>
        <v>0</v>
      </c>
      <c r="L460" t="str">
        <f t="shared" si="51"/>
        <v/>
      </c>
      <c r="M460" s="12">
        <f t="shared" si="52"/>
        <v>0</v>
      </c>
      <c r="N460" s="12">
        <f t="shared" si="53"/>
        <v>0</v>
      </c>
      <c r="O460" s="13">
        <f t="shared" si="54"/>
        <v>0</v>
      </c>
      <c r="P460" s="12">
        <f>IFERROR(VLOOKUP(B460,'Receivable Invoice Detail'!$S$1:$U$3014,3,FALSE),0)</f>
        <v>0</v>
      </c>
    </row>
    <row r="461" spans="1:16" x14ac:dyDescent="0.25">
      <c r="A461" s="23" t="s">
        <v>4382</v>
      </c>
      <c r="B461" s="23"/>
      <c r="C461" s="23"/>
      <c r="D461" s="23"/>
      <c r="E461" s="23"/>
      <c r="F461" s="24">
        <v>3540.97</v>
      </c>
      <c r="G461" s="24">
        <v>2531.5092589093579</v>
      </c>
      <c r="H461" s="24">
        <v>-3540.9700000000003</v>
      </c>
      <c r="I461" s="24">
        <v>0</v>
      </c>
      <c r="J461" s="16" t="str">
        <f t="shared" si="49"/>
        <v>CAD</v>
      </c>
      <c r="K461">
        <f t="shared" si="50"/>
        <v>13</v>
      </c>
      <c r="L461" t="str">
        <f t="shared" si="51"/>
        <v>SO18112</v>
      </c>
      <c r="M461" s="12">
        <f t="shared" si="52"/>
        <v>0</v>
      </c>
      <c r="N461" s="12">
        <f t="shared" si="53"/>
        <v>0</v>
      </c>
      <c r="O461" s="13" t="str">
        <f t="shared" si="54"/>
        <v>Yes</v>
      </c>
      <c r="P461" s="12">
        <f>IFERROR(VLOOKUP(B461,'Receivable Invoice Detail'!$S$1:$U$3014,3,FALSE),0)</f>
        <v>0</v>
      </c>
    </row>
    <row r="462" spans="1:16" x14ac:dyDescent="0.25">
      <c r="A462" t="s">
        <v>311</v>
      </c>
      <c r="B462" t="s">
        <v>3323</v>
      </c>
      <c r="C462" t="s">
        <v>313</v>
      </c>
      <c r="D462" t="s">
        <v>51</v>
      </c>
      <c r="E462" t="s">
        <v>4389</v>
      </c>
      <c r="F462" s="16">
        <v>0</v>
      </c>
      <c r="G462" s="16">
        <v>0</v>
      </c>
      <c r="H462" s="16">
        <v>0</v>
      </c>
      <c r="I462" s="16">
        <v>-2183</v>
      </c>
      <c r="J462" s="16" t="str">
        <f t="shared" si="49"/>
        <v/>
      </c>
      <c r="K462">
        <f t="shared" si="50"/>
        <v>7</v>
      </c>
      <c r="L462" t="str">
        <f t="shared" si="51"/>
        <v/>
      </c>
      <c r="M462" s="12">
        <f t="shared" si="52"/>
        <v>0</v>
      </c>
      <c r="N462" s="12">
        <f t="shared" si="53"/>
        <v>0</v>
      </c>
      <c r="O462" s="13">
        <f t="shared" si="54"/>
        <v>0</v>
      </c>
      <c r="P462" s="12">
        <f>IFERROR(VLOOKUP(B462,'Receivable Invoice Detail'!$S$1:$U$3014,3,FALSE),0)</f>
        <v>0</v>
      </c>
    </row>
    <row r="463" spans="1:16" x14ac:dyDescent="0.25">
      <c r="B463" t="s">
        <v>3324</v>
      </c>
      <c r="C463" t="s">
        <v>313</v>
      </c>
      <c r="D463" t="s">
        <v>51</v>
      </c>
      <c r="E463" t="s">
        <v>4389</v>
      </c>
      <c r="F463" s="16">
        <v>4624.6006647798495</v>
      </c>
      <c r="G463" s="16">
        <v>3318</v>
      </c>
      <c r="H463" s="16">
        <v>0</v>
      </c>
      <c r="I463" s="16">
        <v>-1135</v>
      </c>
      <c r="J463" s="16" t="str">
        <f t="shared" si="49"/>
        <v/>
      </c>
      <c r="K463">
        <f t="shared" si="50"/>
        <v>0</v>
      </c>
      <c r="L463" t="str">
        <f t="shared" si="51"/>
        <v/>
      </c>
      <c r="M463" s="12">
        <f t="shared" si="52"/>
        <v>0</v>
      </c>
      <c r="N463" s="12">
        <f t="shared" si="53"/>
        <v>0</v>
      </c>
      <c r="O463" s="13">
        <f t="shared" si="54"/>
        <v>0</v>
      </c>
      <c r="P463" s="12">
        <f>IFERROR(VLOOKUP(B463,'Receivable Invoice Detail'!$S$1:$U$3014,3,FALSE),0)</f>
        <v>0</v>
      </c>
    </row>
    <row r="464" spans="1:16" x14ac:dyDescent="0.25">
      <c r="A464" s="23" t="s">
        <v>4383</v>
      </c>
      <c r="B464" s="23"/>
      <c r="C464" s="23"/>
      <c r="D464" s="23"/>
      <c r="E464" s="23"/>
      <c r="F464" s="24">
        <v>4624.6006647798495</v>
      </c>
      <c r="G464" s="24">
        <v>3318</v>
      </c>
      <c r="H464" s="24">
        <v>0</v>
      </c>
      <c r="I464" s="24">
        <v>-3318</v>
      </c>
      <c r="J464" s="16" t="str">
        <f t="shared" si="49"/>
        <v>USD</v>
      </c>
      <c r="K464">
        <f t="shared" si="50"/>
        <v>13</v>
      </c>
      <c r="L464" t="str">
        <f t="shared" si="51"/>
        <v>SO18115</v>
      </c>
      <c r="M464" s="12">
        <f t="shared" si="52"/>
        <v>0</v>
      </c>
      <c r="N464" s="12">
        <f t="shared" si="53"/>
        <v>0</v>
      </c>
      <c r="O464" s="13" t="str">
        <f t="shared" si="54"/>
        <v>Yes</v>
      </c>
      <c r="P464" s="12">
        <f>IFERROR(VLOOKUP(B464,'Receivable Invoice Detail'!$S$1:$U$3014,3,FALSE),0)</f>
        <v>0</v>
      </c>
    </row>
    <row r="465" spans="1:16" x14ac:dyDescent="0.25">
      <c r="A465" t="s">
        <v>336</v>
      </c>
      <c r="B465" t="s">
        <v>3313</v>
      </c>
      <c r="C465" t="s">
        <v>141</v>
      </c>
      <c r="D465" t="s">
        <v>51</v>
      </c>
      <c r="E465" t="s">
        <v>4389</v>
      </c>
      <c r="F465" s="16">
        <v>0</v>
      </c>
      <c r="G465" s="16">
        <v>0</v>
      </c>
      <c r="H465" s="16">
        <v>0</v>
      </c>
      <c r="I465" s="16">
        <v>-1019.55</v>
      </c>
      <c r="J465" s="16" t="str">
        <f t="shared" si="49"/>
        <v/>
      </c>
      <c r="K465">
        <f t="shared" si="50"/>
        <v>7</v>
      </c>
      <c r="L465" t="str">
        <f t="shared" si="51"/>
        <v/>
      </c>
      <c r="M465" s="12">
        <f t="shared" si="52"/>
        <v>0</v>
      </c>
      <c r="N465" s="12">
        <f t="shared" si="53"/>
        <v>0</v>
      </c>
      <c r="O465" s="13">
        <f t="shared" si="54"/>
        <v>0</v>
      </c>
      <c r="P465" s="12">
        <f>IFERROR(VLOOKUP(B465,'Receivable Invoice Detail'!$S$1:$U$3014,3,FALSE),0)</f>
        <v>0</v>
      </c>
    </row>
    <row r="466" spans="1:16" x14ac:dyDescent="0.25">
      <c r="B466" t="s">
        <v>6084</v>
      </c>
      <c r="C466" t="s">
        <v>141</v>
      </c>
      <c r="D466" t="s">
        <v>51</v>
      </c>
      <c r="E466" t="s">
        <v>4389</v>
      </c>
      <c r="F466" s="16">
        <v>1902.6829026759308</v>
      </c>
      <c r="G466" s="16">
        <v>1359.4</v>
      </c>
      <c r="H466" s="16">
        <v>0</v>
      </c>
      <c r="I466" s="16">
        <v>-339.85</v>
      </c>
      <c r="J466" s="16" t="str">
        <f t="shared" si="49"/>
        <v/>
      </c>
      <c r="K466">
        <f t="shared" si="50"/>
        <v>0</v>
      </c>
      <c r="L466" t="str">
        <f t="shared" si="51"/>
        <v/>
      </c>
      <c r="M466" s="12">
        <f t="shared" si="52"/>
        <v>0</v>
      </c>
      <c r="N466" s="12">
        <f t="shared" si="53"/>
        <v>0</v>
      </c>
      <c r="O466" s="13">
        <f t="shared" si="54"/>
        <v>0</v>
      </c>
      <c r="P466" s="12">
        <f>IFERROR(VLOOKUP(B466,'Receivable Invoice Detail'!$S$1:$U$3014,3,FALSE),0)</f>
        <v>0</v>
      </c>
    </row>
    <row r="467" spans="1:16" x14ac:dyDescent="0.25">
      <c r="A467" s="23" t="s">
        <v>6342</v>
      </c>
      <c r="B467" s="23"/>
      <c r="C467" s="23"/>
      <c r="D467" s="23"/>
      <c r="E467" s="23"/>
      <c r="F467" s="24">
        <v>1902.6829026759308</v>
      </c>
      <c r="G467" s="24">
        <v>1359.4</v>
      </c>
      <c r="H467" s="24">
        <v>0</v>
      </c>
      <c r="I467" s="24">
        <v>-1359.4</v>
      </c>
      <c r="J467" s="16" t="str">
        <f t="shared" si="49"/>
        <v>USD</v>
      </c>
      <c r="K467">
        <f t="shared" si="50"/>
        <v>13</v>
      </c>
      <c r="L467" t="str">
        <f t="shared" si="51"/>
        <v>SO18124</v>
      </c>
      <c r="M467" s="12">
        <f t="shared" si="52"/>
        <v>0</v>
      </c>
      <c r="N467" s="12">
        <f t="shared" si="53"/>
        <v>0</v>
      </c>
      <c r="O467" s="13" t="str">
        <f t="shared" si="54"/>
        <v>Yes</v>
      </c>
      <c r="P467" s="12">
        <f>IFERROR(VLOOKUP(B467,'Receivable Invoice Detail'!$S$1:$U$3014,3,FALSE),0)</f>
        <v>0</v>
      </c>
    </row>
    <row r="468" spans="1:16" x14ac:dyDescent="0.25">
      <c r="A468" t="s">
        <v>334</v>
      </c>
      <c r="B468" t="s">
        <v>3314</v>
      </c>
      <c r="C468" t="s">
        <v>141</v>
      </c>
      <c r="D468" t="s">
        <v>51</v>
      </c>
      <c r="E468" t="s">
        <v>4389</v>
      </c>
      <c r="F468" s="16">
        <v>0</v>
      </c>
      <c r="G468" s="16">
        <v>0</v>
      </c>
      <c r="H468" s="16">
        <v>0</v>
      </c>
      <c r="I468" s="16">
        <v>-184.92</v>
      </c>
      <c r="J468" s="16" t="str">
        <f t="shared" si="49"/>
        <v/>
      </c>
      <c r="K468">
        <f t="shared" si="50"/>
        <v>7</v>
      </c>
      <c r="L468" t="str">
        <f t="shared" si="51"/>
        <v/>
      </c>
      <c r="M468" s="12">
        <f t="shared" si="52"/>
        <v>0</v>
      </c>
      <c r="N468" s="12">
        <f t="shared" si="53"/>
        <v>0</v>
      </c>
      <c r="O468" s="13">
        <f t="shared" si="54"/>
        <v>0</v>
      </c>
      <c r="P468" s="12">
        <f>IFERROR(VLOOKUP(B468,'Receivable Invoice Detail'!$S$1:$U$3014,3,FALSE),0)</f>
        <v>0</v>
      </c>
    </row>
    <row r="469" spans="1:16" x14ac:dyDescent="0.25">
      <c r="B469" t="s">
        <v>6021</v>
      </c>
      <c r="C469" t="s">
        <v>141</v>
      </c>
      <c r="D469" t="s">
        <v>51</v>
      </c>
      <c r="E469" t="s">
        <v>4389</v>
      </c>
      <c r="F469" s="16">
        <v>517.64620032784035</v>
      </c>
      <c r="G469" s="16">
        <v>369.84</v>
      </c>
      <c r="H469" s="16">
        <v>0</v>
      </c>
      <c r="I469" s="16">
        <v>-184.92</v>
      </c>
      <c r="J469" s="16" t="str">
        <f t="shared" si="49"/>
        <v/>
      </c>
      <c r="K469">
        <f t="shared" si="50"/>
        <v>0</v>
      </c>
      <c r="L469" t="str">
        <f t="shared" si="51"/>
        <v/>
      </c>
      <c r="M469" s="12">
        <f t="shared" si="52"/>
        <v>0</v>
      </c>
      <c r="N469" s="12">
        <f t="shared" si="53"/>
        <v>0</v>
      </c>
      <c r="O469" s="13">
        <f t="shared" si="54"/>
        <v>0</v>
      </c>
      <c r="P469" s="12">
        <f>IFERROR(VLOOKUP(B469,'Receivable Invoice Detail'!$S$1:$U$3014,3,FALSE),0)</f>
        <v>0</v>
      </c>
    </row>
    <row r="470" spans="1:16" x14ac:dyDescent="0.25">
      <c r="A470" s="23" t="s">
        <v>6343</v>
      </c>
      <c r="B470" s="23"/>
      <c r="C470" s="23"/>
      <c r="D470" s="23"/>
      <c r="E470" s="23"/>
      <c r="F470" s="24">
        <v>517.64620032784035</v>
      </c>
      <c r="G470" s="24">
        <v>369.84</v>
      </c>
      <c r="H470" s="24">
        <v>0</v>
      </c>
      <c r="I470" s="24">
        <v>-369.84</v>
      </c>
      <c r="J470" s="16" t="str">
        <f t="shared" si="49"/>
        <v>USD</v>
      </c>
      <c r="K470">
        <f t="shared" si="50"/>
        <v>13</v>
      </c>
      <c r="L470" t="str">
        <f t="shared" si="51"/>
        <v>SO18125</v>
      </c>
      <c r="M470" s="12">
        <f t="shared" si="52"/>
        <v>0</v>
      </c>
      <c r="N470" s="12">
        <f t="shared" si="53"/>
        <v>0</v>
      </c>
      <c r="O470" s="13" t="str">
        <f t="shared" si="54"/>
        <v>Yes</v>
      </c>
      <c r="P470" s="12">
        <f>IFERROR(VLOOKUP(B470,'Receivable Invoice Detail'!$S$1:$U$3014,3,FALSE),0)</f>
        <v>0</v>
      </c>
    </row>
    <row r="471" spans="1:16" x14ac:dyDescent="0.25">
      <c r="A471" t="s">
        <v>332</v>
      </c>
      <c r="B471" t="s">
        <v>3315</v>
      </c>
      <c r="C471" t="s">
        <v>98</v>
      </c>
      <c r="D471" t="s">
        <v>22</v>
      </c>
      <c r="E471" t="s">
        <v>4388</v>
      </c>
      <c r="F471" s="16">
        <v>1722.75</v>
      </c>
      <c r="G471" s="16">
        <v>1236.0168832592835</v>
      </c>
      <c r="H471" s="16">
        <v>-644.64</v>
      </c>
      <c r="I471" s="16">
        <v>0</v>
      </c>
      <c r="J471" s="16" t="str">
        <f t="shared" si="49"/>
        <v/>
      </c>
      <c r="K471">
        <f t="shared" si="50"/>
        <v>7</v>
      </c>
      <c r="L471" t="str">
        <f t="shared" si="51"/>
        <v/>
      </c>
      <c r="M471" s="12">
        <f t="shared" si="52"/>
        <v>0</v>
      </c>
      <c r="N471" s="12">
        <f t="shared" si="53"/>
        <v>0</v>
      </c>
      <c r="O471" s="13">
        <f t="shared" si="54"/>
        <v>0</v>
      </c>
      <c r="P471" s="12">
        <f>IFERROR(VLOOKUP(B471,'Receivable Invoice Detail'!$S$1:$U$3014,3,FALSE),0)</f>
        <v>0</v>
      </c>
    </row>
    <row r="472" spans="1:16" x14ac:dyDescent="0.25">
      <c r="B472" t="s">
        <v>6068</v>
      </c>
      <c r="C472" t="s">
        <v>98</v>
      </c>
      <c r="D472" t="s">
        <v>22</v>
      </c>
      <c r="E472" t="s">
        <v>4389</v>
      </c>
      <c r="F472" s="16">
        <v>0</v>
      </c>
      <c r="G472" s="16">
        <v>0</v>
      </c>
      <c r="H472" s="16">
        <v>-1078.1099999999999</v>
      </c>
      <c r="I472" s="16">
        <v>0</v>
      </c>
      <c r="J472" s="16" t="str">
        <f t="shared" si="49"/>
        <v/>
      </c>
      <c r="K472">
        <f t="shared" si="50"/>
        <v>0</v>
      </c>
      <c r="L472" t="str">
        <f t="shared" si="51"/>
        <v/>
      </c>
      <c r="M472" s="12">
        <f t="shared" si="52"/>
        <v>0</v>
      </c>
      <c r="N472" s="12">
        <f t="shared" si="53"/>
        <v>0</v>
      </c>
      <c r="O472" s="13">
        <f t="shared" si="54"/>
        <v>0</v>
      </c>
      <c r="P472" s="12">
        <f>IFERROR(VLOOKUP(B472,'Receivable Invoice Detail'!$S$1:$U$3014,3,FALSE),0)</f>
        <v>0</v>
      </c>
    </row>
    <row r="473" spans="1:16" x14ac:dyDescent="0.25">
      <c r="A473" s="23" t="s">
        <v>6344</v>
      </c>
      <c r="B473" s="23"/>
      <c r="C473" s="23"/>
      <c r="D473" s="23"/>
      <c r="E473" s="23"/>
      <c r="F473" s="24">
        <v>1722.75</v>
      </c>
      <c r="G473" s="24">
        <v>1236.0168832592835</v>
      </c>
      <c r="H473" s="24">
        <v>-1722.75</v>
      </c>
      <c r="I473" s="24">
        <v>0</v>
      </c>
      <c r="J473" s="16" t="str">
        <f t="shared" si="49"/>
        <v>CAD</v>
      </c>
      <c r="K473">
        <f t="shared" si="50"/>
        <v>13</v>
      </c>
      <c r="L473" t="str">
        <f t="shared" si="51"/>
        <v>SO18126</v>
      </c>
      <c r="M473" s="12">
        <f t="shared" si="52"/>
        <v>0</v>
      </c>
      <c r="N473" s="12">
        <f t="shared" si="53"/>
        <v>0</v>
      </c>
      <c r="O473" s="13" t="str">
        <f t="shared" si="54"/>
        <v>Yes</v>
      </c>
      <c r="P473" s="12">
        <f>IFERROR(VLOOKUP(B473,'Receivable Invoice Detail'!$S$1:$U$3014,3,FALSE),0)</f>
        <v>0</v>
      </c>
    </row>
    <row r="474" spans="1:16" x14ac:dyDescent="0.25">
      <c r="A474" t="s">
        <v>122</v>
      </c>
      <c r="B474" t="s">
        <v>4398</v>
      </c>
      <c r="C474" t="s">
        <v>50</v>
      </c>
      <c r="D474" t="s">
        <v>51</v>
      </c>
      <c r="E474" t="s">
        <v>4389</v>
      </c>
      <c r="F474" s="16">
        <v>0</v>
      </c>
      <c r="G474" s="16">
        <v>0</v>
      </c>
      <c r="H474" s="16">
        <v>0</v>
      </c>
      <c r="I474" s="16">
        <v>-3330.81</v>
      </c>
      <c r="J474" s="16" t="str">
        <f t="shared" si="49"/>
        <v/>
      </c>
      <c r="K474">
        <f t="shared" si="50"/>
        <v>7</v>
      </c>
      <c r="L474" t="str">
        <f t="shared" si="51"/>
        <v/>
      </c>
      <c r="M474" s="12">
        <f t="shared" si="52"/>
        <v>0</v>
      </c>
      <c r="N474" s="12">
        <f t="shared" si="53"/>
        <v>0</v>
      </c>
      <c r="O474" s="13">
        <f t="shared" si="54"/>
        <v>0</v>
      </c>
      <c r="P474" s="12">
        <f>IFERROR(VLOOKUP(B474,'Receivable Invoice Detail'!$S$1:$U$3014,3,FALSE),0)</f>
        <v>0</v>
      </c>
    </row>
    <row r="475" spans="1:16" x14ac:dyDescent="0.25">
      <c r="B475" t="s">
        <v>6085</v>
      </c>
      <c r="C475" t="s">
        <v>50</v>
      </c>
      <c r="D475" t="s">
        <v>51</v>
      </c>
      <c r="E475" t="s">
        <v>4389</v>
      </c>
      <c r="F475" s="16">
        <v>6240.4208195344245</v>
      </c>
      <c r="G475" s="16">
        <v>4441.08</v>
      </c>
      <c r="H475" s="16">
        <v>0</v>
      </c>
      <c r="I475" s="16">
        <v>-1110.27</v>
      </c>
      <c r="J475" s="16" t="str">
        <f t="shared" si="49"/>
        <v/>
      </c>
      <c r="K475">
        <f t="shared" si="50"/>
        <v>0</v>
      </c>
      <c r="L475" t="str">
        <f t="shared" si="51"/>
        <v/>
      </c>
      <c r="M475" s="12">
        <f t="shared" si="52"/>
        <v>0</v>
      </c>
      <c r="N475" s="12">
        <f t="shared" si="53"/>
        <v>0</v>
      </c>
      <c r="O475" s="13">
        <f t="shared" si="54"/>
        <v>0</v>
      </c>
      <c r="P475" s="12">
        <f>IFERROR(VLOOKUP(B475,'Receivable Invoice Detail'!$S$1:$U$3014,3,FALSE),0)</f>
        <v>0</v>
      </c>
    </row>
    <row r="476" spans="1:16" x14ac:dyDescent="0.25">
      <c r="A476" s="23" t="s">
        <v>6345</v>
      </c>
      <c r="B476" s="23"/>
      <c r="C476" s="23"/>
      <c r="D476" s="23"/>
      <c r="E476" s="23"/>
      <c r="F476" s="24">
        <v>6240.4208195344245</v>
      </c>
      <c r="G476" s="24">
        <v>4441.08</v>
      </c>
      <c r="H476" s="24">
        <v>0</v>
      </c>
      <c r="I476" s="24">
        <v>-4441.08</v>
      </c>
      <c r="J476" s="16" t="str">
        <f t="shared" si="49"/>
        <v>USD</v>
      </c>
      <c r="K476">
        <f t="shared" si="50"/>
        <v>13</v>
      </c>
      <c r="L476" t="str">
        <f t="shared" si="51"/>
        <v>SO18154</v>
      </c>
      <c r="M476" s="12">
        <f t="shared" si="52"/>
        <v>0</v>
      </c>
      <c r="N476" s="12">
        <f t="shared" si="53"/>
        <v>0</v>
      </c>
      <c r="O476" s="13" t="str">
        <f t="shared" si="54"/>
        <v>Yes</v>
      </c>
      <c r="P476" s="12">
        <f>IFERROR(VLOOKUP(B476,'Receivable Invoice Detail'!$S$1:$U$3014,3,FALSE),0)</f>
        <v>0</v>
      </c>
    </row>
    <row r="477" spans="1:16" x14ac:dyDescent="0.25">
      <c r="A477" t="s">
        <v>249</v>
      </c>
      <c r="B477" t="s">
        <v>3349</v>
      </c>
      <c r="C477" t="s">
        <v>70</v>
      </c>
      <c r="D477" t="s">
        <v>51</v>
      </c>
      <c r="E477" t="s">
        <v>4389</v>
      </c>
      <c r="F477" s="16">
        <v>5656.4863502806011</v>
      </c>
      <c r="G477" s="16">
        <v>4009.21</v>
      </c>
      <c r="H477" s="16">
        <v>0</v>
      </c>
      <c r="I477" s="16">
        <v>-209.45</v>
      </c>
      <c r="J477" s="16" t="str">
        <f t="shared" si="49"/>
        <v/>
      </c>
      <c r="K477">
        <f t="shared" si="50"/>
        <v>7</v>
      </c>
      <c r="L477" t="str">
        <f t="shared" si="51"/>
        <v/>
      </c>
      <c r="M477" s="12">
        <f t="shared" si="52"/>
        <v>0</v>
      </c>
      <c r="N477" s="12">
        <f t="shared" si="53"/>
        <v>0</v>
      </c>
      <c r="O477" s="13">
        <f t="shared" si="54"/>
        <v>0</v>
      </c>
      <c r="P477" s="12">
        <f>IFERROR(VLOOKUP(B477,'Receivable Invoice Detail'!$S$1:$U$3014,3,FALSE),0)</f>
        <v>65</v>
      </c>
    </row>
    <row r="478" spans="1:16" x14ac:dyDescent="0.25">
      <c r="B478" t="s">
        <v>6327</v>
      </c>
      <c r="C478" t="s">
        <v>70</v>
      </c>
      <c r="D478" t="s">
        <v>51</v>
      </c>
      <c r="E478" t="s">
        <v>4389</v>
      </c>
      <c r="F478" s="16">
        <v>0</v>
      </c>
      <c r="G478" s="16">
        <v>0</v>
      </c>
      <c r="H478" s="16">
        <v>0</v>
      </c>
      <c r="I478" s="16">
        <v>0</v>
      </c>
      <c r="J478" s="16" t="str">
        <f t="shared" si="49"/>
        <v/>
      </c>
      <c r="K478">
        <f t="shared" si="50"/>
        <v>0</v>
      </c>
      <c r="L478" t="str">
        <f t="shared" si="51"/>
        <v/>
      </c>
      <c r="M478" s="12">
        <f t="shared" si="52"/>
        <v>0</v>
      </c>
      <c r="N478" s="12">
        <f t="shared" si="53"/>
        <v>0</v>
      </c>
      <c r="O478" s="13">
        <f t="shared" si="54"/>
        <v>0</v>
      </c>
      <c r="P478" s="12">
        <f>IFERROR(VLOOKUP(B478,'Receivable Invoice Detail'!$S$1:$U$3014,3,FALSE),0)</f>
        <v>0</v>
      </c>
    </row>
    <row r="479" spans="1:16" x14ac:dyDescent="0.25">
      <c r="A479" s="23" t="s">
        <v>6346</v>
      </c>
      <c r="B479" s="23"/>
      <c r="C479" s="23"/>
      <c r="D479" s="23"/>
      <c r="E479" s="23"/>
      <c r="F479" s="24">
        <v>5656.4863502806011</v>
      </c>
      <c r="G479" s="24">
        <v>4009.21</v>
      </c>
      <c r="H479" s="24">
        <v>0</v>
      </c>
      <c r="I479" s="24">
        <v>-209.45</v>
      </c>
      <c r="J479" s="16" t="str">
        <f t="shared" si="49"/>
        <v>USD</v>
      </c>
      <c r="K479">
        <f t="shared" si="50"/>
        <v>13</v>
      </c>
      <c r="L479" t="str">
        <f t="shared" si="51"/>
        <v>SO18176</v>
      </c>
      <c r="M479" s="12">
        <f t="shared" si="52"/>
        <v>0</v>
      </c>
      <c r="N479" s="12">
        <f t="shared" si="53"/>
        <v>3799.76</v>
      </c>
      <c r="O479" s="13">
        <f t="shared" si="54"/>
        <v>0</v>
      </c>
      <c r="P479" s="12">
        <f>IFERROR(VLOOKUP(B479,'Receivable Invoice Detail'!$S$1:$U$3014,3,FALSE),0)</f>
        <v>0</v>
      </c>
    </row>
    <row r="480" spans="1:16" x14ac:dyDescent="0.25">
      <c r="A480" t="s">
        <v>152</v>
      </c>
      <c r="B480" t="s">
        <v>3376</v>
      </c>
      <c r="C480" t="s">
        <v>154</v>
      </c>
      <c r="D480" t="s">
        <v>22</v>
      </c>
      <c r="E480" t="s">
        <v>4389</v>
      </c>
      <c r="F480" s="16">
        <v>0</v>
      </c>
      <c r="G480" s="16">
        <v>0</v>
      </c>
      <c r="H480" s="16">
        <v>0</v>
      </c>
      <c r="I480" s="16">
        <v>0</v>
      </c>
      <c r="J480" s="16" t="str">
        <f t="shared" si="49"/>
        <v/>
      </c>
      <c r="K480">
        <f t="shared" si="50"/>
        <v>7</v>
      </c>
      <c r="L480" t="str">
        <f t="shared" si="51"/>
        <v/>
      </c>
      <c r="M480" s="12">
        <f t="shared" si="52"/>
        <v>0</v>
      </c>
      <c r="N480" s="12">
        <f t="shared" si="53"/>
        <v>0</v>
      </c>
      <c r="O480" s="13">
        <f t="shared" si="54"/>
        <v>0</v>
      </c>
      <c r="P480" s="12">
        <f>IFERROR(VLOOKUP(B480,'Receivable Invoice Detail'!$S$1:$U$3014,3,FALSE),0)</f>
        <v>0</v>
      </c>
    </row>
    <row r="481" spans="1:16" x14ac:dyDescent="0.25">
      <c r="B481" t="s">
        <v>3377</v>
      </c>
      <c r="C481" t="s">
        <v>154</v>
      </c>
      <c r="D481" t="s">
        <v>22</v>
      </c>
      <c r="E481" t="s">
        <v>4388</v>
      </c>
      <c r="F481" s="16">
        <v>32414.15</v>
      </c>
      <c r="G481" s="16">
        <v>23158.831252169068</v>
      </c>
      <c r="H481" s="16">
        <v>-32414.15</v>
      </c>
      <c r="I481" s="16">
        <v>0</v>
      </c>
      <c r="J481" s="16" t="str">
        <f t="shared" si="49"/>
        <v/>
      </c>
      <c r="K481">
        <f t="shared" si="50"/>
        <v>0</v>
      </c>
      <c r="L481" t="str">
        <f t="shared" si="51"/>
        <v/>
      </c>
      <c r="M481" s="12">
        <f t="shared" si="52"/>
        <v>0</v>
      </c>
      <c r="N481" s="12">
        <f t="shared" si="53"/>
        <v>0</v>
      </c>
      <c r="O481" s="13">
        <f t="shared" si="54"/>
        <v>0</v>
      </c>
      <c r="P481" s="12">
        <f>IFERROR(VLOOKUP(B481,'Receivable Invoice Detail'!$S$1:$U$3014,3,FALSE),0)</f>
        <v>0</v>
      </c>
    </row>
    <row r="482" spans="1:16" x14ac:dyDescent="0.25">
      <c r="A482" s="23" t="s">
        <v>4384</v>
      </c>
      <c r="B482" s="23"/>
      <c r="C482" s="23"/>
      <c r="D482" s="23"/>
      <c r="E482" s="23"/>
      <c r="F482" s="24">
        <v>32414.15</v>
      </c>
      <c r="G482" s="24">
        <v>23158.831252169068</v>
      </c>
      <c r="H482" s="24">
        <v>-32414.15</v>
      </c>
      <c r="I482" s="24">
        <v>0</v>
      </c>
      <c r="J482" s="16" t="str">
        <f t="shared" si="49"/>
        <v>CAD</v>
      </c>
      <c r="K482">
        <f t="shared" si="50"/>
        <v>13</v>
      </c>
      <c r="L482" t="str">
        <f t="shared" si="51"/>
        <v>SO18180</v>
      </c>
      <c r="M482" s="12">
        <f t="shared" si="52"/>
        <v>0</v>
      </c>
      <c r="N482" s="12">
        <f t="shared" si="53"/>
        <v>0</v>
      </c>
      <c r="O482" s="13" t="str">
        <f t="shared" si="54"/>
        <v>Yes</v>
      </c>
      <c r="P482" s="12">
        <f>IFERROR(VLOOKUP(B482,'Receivable Invoice Detail'!$S$1:$U$3014,3,FALSE),0)</f>
        <v>0</v>
      </c>
    </row>
    <row r="483" spans="1:16" x14ac:dyDescent="0.25">
      <c r="A483" t="s">
        <v>160</v>
      </c>
      <c r="B483" t="s">
        <v>3373</v>
      </c>
      <c r="C483" t="s">
        <v>154</v>
      </c>
      <c r="D483" t="s">
        <v>22</v>
      </c>
      <c r="E483" t="s">
        <v>4389</v>
      </c>
      <c r="F483" s="16">
        <v>0</v>
      </c>
      <c r="G483" s="16">
        <v>0</v>
      </c>
      <c r="H483" s="16">
        <v>0</v>
      </c>
      <c r="I483" s="16">
        <v>0</v>
      </c>
      <c r="J483" s="16" t="str">
        <f t="shared" si="49"/>
        <v/>
      </c>
      <c r="K483">
        <f t="shared" si="50"/>
        <v>7</v>
      </c>
      <c r="L483" t="str">
        <f t="shared" si="51"/>
        <v/>
      </c>
      <c r="M483" s="12">
        <f t="shared" si="52"/>
        <v>0</v>
      </c>
      <c r="N483" s="12">
        <f t="shared" si="53"/>
        <v>0</v>
      </c>
      <c r="O483" s="13">
        <f t="shared" si="54"/>
        <v>0</v>
      </c>
      <c r="P483" s="12">
        <f>IFERROR(VLOOKUP(B483,'Receivable Invoice Detail'!$S$1:$U$3014,3,FALSE),0)</f>
        <v>0</v>
      </c>
    </row>
    <row r="484" spans="1:16" x14ac:dyDescent="0.25">
      <c r="B484" t="s">
        <v>3374</v>
      </c>
      <c r="C484" t="s">
        <v>154</v>
      </c>
      <c r="D484" t="s">
        <v>22</v>
      </c>
      <c r="E484" t="s">
        <v>4388</v>
      </c>
      <c r="F484" s="16">
        <v>6146.54</v>
      </c>
      <c r="G484" s="16">
        <v>4391.4982390316336</v>
      </c>
      <c r="H484" s="16">
        <v>-6146.54</v>
      </c>
      <c r="I484" s="16">
        <v>0</v>
      </c>
      <c r="J484" s="16" t="str">
        <f t="shared" si="49"/>
        <v/>
      </c>
      <c r="K484">
        <f t="shared" si="50"/>
        <v>0</v>
      </c>
      <c r="L484" t="str">
        <f t="shared" si="51"/>
        <v/>
      </c>
      <c r="M484" s="12">
        <f t="shared" si="52"/>
        <v>0</v>
      </c>
      <c r="N484" s="12">
        <f t="shared" si="53"/>
        <v>0</v>
      </c>
      <c r="O484" s="13">
        <f t="shared" si="54"/>
        <v>0</v>
      </c>
      <c r="P484" s="12">
        <f>IFERROR(VLOOKUP(B484,'Receivable Invoice Detail'!$S$1:$U$3014,3,FALSE),0)</f>
        <v>0</v>
      </c>
    </row>
    <row r="485" spans="1:16" x14ac:dyDescent="0.25">
      <c r="A485" s="23" t="s">
        <v>4385</v>
      </c>
      <c r="B485" s="23"/>
      <c r="C485" s="23"/>
      <c r="D485" s="23"/>
      <c r="E485" s="23"/>
      <c r="F485" s="24">
        <v>6146.54</v>
      </c>
      <c r="G485" s="24">
        <v>4391.4982390316336</v>
      </c>
      <c r="H485" s="24">
        <v>-6146.54</v>
      </c>
      <c r="I485" s="24">
        <v>0</v>
      </c>
      <c r="J485" s="16" t="str">
        <f t="shared" si="49"/>
        <v>CAD</v>
      </c>
      <c r="K485">
        <f t="shared" si="50"/>
        <v>13</v>
      </c>
      <c r="L485" t="str">
        <f t="shared" si="51"/>
        <v>SO18204</v>
      </c>
      <c r="M485" s="12">
        <f t="shared" si="52"/>
        <v>0</v>
      </c>
      <c r="N485" s="12">
        <f t="shared" si="53"/>
        <v>0</v>
      </c>
      <c r="O485" s="13" t="str">
        <f t="shared" si="54"/>
        <v>Yes</v>
      </c>
      <c r="P485" s="12">
        <f>IFERROR(VLOOKUP(B485,'Receivable Invoice Detail'!$S$1:$U$3014,3,FALSE),0)</f>
        <v>0</v>
      </c>
    </row>
    <row r="486" spans="1:16" x14ac:dyDescent="0.25">
      <c r="A486" t="s">
        <v>124</v>
      </c>
      <c r="B486" t="s">
        <v>3381</v>
      </c>
      <c r="C486" t="s">
        <v>98</v>
      </c>
      <c r="D486" t="s">
        <v>22</v>
      </c>
      <c r="E486" t="s">
        <v>4388</v>
      </c>
      <c r="F486" s="16">
        <v>3514.7</v>
      </c>
      <c r="G486" s="16">
        <v>2503.7511664098038</v>
      </c>
      <c r="H486" s="16">
        <v>-1589.47</v>
      </c>
      <c r="I486" s="16">
        <v>0</v>
      </c>
      <c r="J486" s="16" t="str">
        <f t="shared" si="49"/>
        <v/>
      </c>
      <c r="K486">
        <f t="shared" si="50"/>
        <v>7</v>
      </c>
      <c r="L486" t="str">
        <f t="shared" si="51"/>
        <v/>
      </c>
      <c r="M486" s="12">
        <f t="shared" si="52"/>
        <v>0</v>
      </c>
      <c r="N486" s="12">
        <f t="shared" si="53"/>
        <v>0</v>
      </c>
      <c r="O486" s="13">
        <f t="shared" si="54"/>
        <v>0</v>
      </c>
      <c r="P486" s="12">
        <f>IFERROR(VLOOKUP(B486,'Receivable Invoice Detail'!$S$1:$U$3014,3,FALSE),0)</f>
        <v>0</v>
      </c>
    </row>
    <row r="487" spans="1:16" x14ac:dyDescent="0.25">
      <c r="B487" t="s">
        <v>6067</v>
      </c>
      <c r="C487" t="s">
        <v>98</v>
      </c>
      <c r="D487" t="s">
        <v>22</v>
      </c>
      <c r="E487" t="s">
        <v>4389</v>
      </c>
      <c r="F487" s="16">
        <v>0</v>
      </c>
      <c r="G487" s="16">
        <v>0</v>
      </c>
      <c r="H487" s="16">
        <v>-1925.23</v>
      </c>
      <c r="I487" s="16">
        <v>0</v>
      </c>
      <c r="J487" s="16" t="str">
        <f t="shared" si="49"/>
        <v/>
      </c>
      <c r="K487">
        <f t="shared" si="50"/>
        <v>0</v>
      </c>
      <c r="L487" t="str">
        <f t="shared" si="51"/>
        <v/>
      </c>
      <c r="M487" s="12">
        <f t="shared" si="52"/>
        <v>0</v>
      </c>
      <c r="N487" s="12">
        <f t="shared" si="53"/>
        <v>0</v>
      </c>
      <c r="O487" s="13">
        <f t="shared" si="54"/>
        <v>0</v>
      </c>
      <c r="P487" s="12">
        <f>IFERROR(VLOOKUP(B487,'Receivable Invoice Detail'!$S$1:$U$3014,3,FALSE),0)</f>
        <v>0</v>
      </c>
    </row>
    <row r="488" spans="1:16" x14ac:dyDescent="0.25">
      <c r="A488" s="23" t="s">
        <v>6347</v>
      </c>
      <c r="B488" s="23"/>
      <c r="C488" s="23"/>
      <c r="D488" s="23"/>
      <c r="E488" s="23"/>
      <c r="F488" s="24">
        <v>3514.7</v>
      </c>
      <c r="G488" s="24">
        <v>2503.7511664098038</v>
      </c>
      <c r="H488" s="24">
        <v>-3514.7</v>
      </c>
      <c r="I488" s="24">
        <v>0</v>
      </c>
      <c r="J488" s="16" t="str">
        <f t="shared" si="49"/>
        <v>CAD</v>
      </c>
      <c r="K488">
        <f t="shared" si="50"/>
        <v>13</v>
      </c>
      <c r="L488" t="str">
        <f t="shared" si="51"/>
        <v>SO18265</v>
      </c>
      <c r="M488" s="12">
        <f t="shared" si="52"/>
        <v>0</v>
      </c>
      <c r="N488" s="12">
        <f t="shared" si="53"/>
        <v>0</v>
      </c>
      <c r="O488" s="13" t="str">
        <f t="shared" si="54"/>
        <v>Yes</v>
      </c>
      <c r="P488" s="12">
        <f>IFERROR(VLOOKUP(B488,'Receivable Invoice Detail'!$S$1:$U$3014,3,FALSE),0)</f>
        <v>0</v>
      </c>
    </row>
    <row r="489" spans="1:16" x14ac:dyDescent="0.25">
      <c r="A489" t="s">
        <v>6201</v>
      </c>
      <c r="B489" t="s">
        <v>6053</v>
      </c>
      <c r="C489" t="s">
        <v>77</v>
      </c>
      <c r="D489" t="s">
        <v>22</v>
      </c>
      <c r="E489" t="s">
        <v>4389</v>
      </c>
      <c r="F489" s="16">
        <v>475.47</v>
      </c>
      <c r="G489" s="16">
        <v>338.38047305396037</v>
      </c>
      <c r="H489" s="16">
        <v>-110.83</v>
      </c>
      <c r="I489" s="16">
        <v>0</v>
      </c>
      <c r="J489" s="16" t="str">
        <f t="shared" si="49"/>
        <v/>
      </c>
      <c r="K489">
        <f t="shared" si="50"/>
        <v>7</v>
      </c>
      <c r="L489" t="str">
        <f t="shared" si="51"/>
        <v/>
      </c>
      <c r="M489" s="12">
        <f t="shared" si="52"/>
        <v>0</v>
      </c>
      <c r="N489" s="12">
        <f t="shared" si="53"/>
        <v>0</v>
      </c>
      <c r="O489" s="13">
        <f t="shared" si="54"/>
        <v>0</v>
      </c>
      <c r="P489" s="12">
        <f>IFERROR(VLOOKUP(B489,'Receivable Invoice Detail'!$S$1:$U$3014,3,FALSE),0)</f>
        <v>0</v>
      </c>
    </row>
    <row r="490" spans="1:16" x14ac:dyDescent="0.25">
      <c r="B490" t="s">
        <v>5985</v>
      </c>
      <c r="C490" t="s">
        <v>77</v>
      </c>
      <c r="D490" t="s">
        <v>22</v>
      </c>
      <c r="E490" t="s">
        <v>4389</v>
      </c>
      <c r="F490" s="16">
        <v>0</v>
      </c>
      <c r="G490" s="16">
        <v>0</v>
      </c>
      <c r="H490" s="16">
        <v>-364.64</v>
      </c>
      <c r="I490" s="16">
        <v>0</v>
      </c>
      <c r="J490" s="16" t="str">
        <f t="shared" si="49"/>
        <v/>
      </c>
      <c r="K490">
        <f t="shared" si="50"/>
        <v>0</v>
      </c>
      <c r="L490" t="str">
        <f t="shared" si="51"/>
        <v/>
      </c>
      <c r="M490" s="12">
        <f t="shared" si="52"/>
        <v>0</v>
      </c>
      <c r="N490" s="12">
        <f t="shared" si="53"/>
        <v>0</v>
      </c>
      <c r="O490" s="13">
        <f t="shared" si="54"/>
        <v>0</v>
      </c>
      <c r="P490" s="12">
        <f>IFERROR(VLOOKUP(B490,'Receivable Invoice Detail'!$S$1:$U$3014,3,FALSE),0)</f>
        <v>0</v>
      </c>
    </row>
    <row r="491" spans="1:16" x14ac:dyDescent="0.25">
      <c r="A491" s="23" t="s">
        <v>6348</v>
      </c>
      <c r="B491" s="23"/>
      <c r="C491" s="23"/>
      <c r="D491" s="23"/>
      <c r="E491" s="23"/>
      <c r="F491" s="24">
        <v>475.47</v>
      </c>
      <c r="G491" s="24">
        <v>338.38047305396037</v>
      </c>
      <c r="H491" s="24">
        <v>-475.46999999999997</v>
      </c>
      <c r="I491" s="24">
        <v>0</v>
      </c>
      <c r="J491" s="16" t="str">
        <f t="shared" si="49"/>
        <v>CAD</v>
      </c>
      <c r="K491">
        <f t="shared" si="50"/>
        <v>13</v>
      </c>
      <c r="L491" t="str">
        <f t="shared" si="51"/>
        <v>SO18318</v>
      </c>
      <c r="M491" s="12">
        <f t="shared" si="52"/>
        <v>0</v>
      </c>
      <c r="N491" s="12">
        <f t="shared" si="53"/>
        <v>0</v>
      </c>
      <c r="O491" s="13" t="str">
        <f t="shared" si="54"/>
        <v>Yes</v>
      </c>
      <c r="P491" s="12">
        <f>IFERROR(VLOOKUP(B491,'Receivable Invoice Detail'!$S$1:$U$3014,3,FALSE),0)</f>
        <v>0</v>
      </c>
    </row>
    <row r="492" spans="1:16" x14ac:dyDescent="0.25">
      <c r="A492" t="s">
        <v>6211</v>
      </c>
      <c r="B492" t="s">
        <v>6332</v>
      </c>
      <c r="C492" t="s">
        <v>70</v>
      </c>
      <c r="D492" t="s">
        <v>51</v>
      </c>
      <c r="E492" t="s">
        <v>4389</v>
      </c>
      <c r="F492" s="16">
        <v>5312.762146362531</v>
      </c>
      <c r="G492" s="16">
        <v>3797.47</v>
      </c>
      <c r="H492" s="16">
        <v>0</v>
      </c>
      <c r="I492" s="16">
        <v>0</v>
      </c>
      <c r="J492" s="16" t="str">
        <f t="shared" si="49"/>
        <v/>
      </c>
      <c r="K492">
        <f t="shared" si="50"/>
        <v>7</v>
      </c>
      <c r="L492" t="str">
        <f t="shared" si="51"/>
        <v/>
      </c>
      <c r="M492" s="12">
        <f t="shared" si="52"/>
        <v>0</v>
      </c>
      <c r="N492" s="12">
        <f t="shared" si="53"/>
        <v>0</v>
      </c>
      <c r="O492" s="13">
        <f t="shared" si="54"/>
        <v>0</v>
      </c>
      <c r="P492" s="12">
        <f>IFERROR(VLOOKUP(B492,'Receivable Invoice Detail'!$S$1:$U$3014,3,FALSE),0)</f>
        <v>0</v>
      </c>
    </row>
    <row r="493" spans="1:16" x14ac:dyDescent="0.25">
      <c r="B493" t="s">
        <v>5995</v>
      </c>
      <c r="C493" t="s">
        <v>70</v>
      </c>
      <c r="D493" t="s">
        <v>51</v>
      </c>
      <c r="E493" t="s">
        <v>4389</v>
      </c>
      <c r="F493" s="16">
        <v>0</v>
      </c>
      <c r="G493" s="16">
        <v>0</v>
      </c>
      <c r="H493" s="16">
        <v>0</v>
      </c>
      <c r="I493" s="16">
        <v>-209.45</v>
      </c>
      <c r="J493" s="16" t="str">
        <f t="shared" si="49"/>
        <v/>
      </c>
      <c r="K493">
        <f t="shared" si="50"/>
        <v>0</v>
      </c>
      <c r="L493" t="str">
        <f t="shared" si="51"/>
        <v/>
      </c>
      <c r="M493" s="12">
        <f t="shared" si="52"/>
        <v>0</v>
      </c>
      <c r="N493" s="12">
        <f t="shared" si="53"/>
        <v>0</v>
      </c>
      <c r="O493" s="13">
        <f t="shared" si="54"/>
        <v>0</v>
      </c>
      <c r="P493" s="12">
        <f>IFERROR(VLOOKUP(B493,'Receivable Invoice Detail'!$S$1:$U$3014,3,FALSE),0)</f>
        <v>65</v>
      </c>
    </row>
    <row r="494" spans="1:16" x14ac:dyDescent="0.25">
      <c r="A494" s="23" t="s">
        <v>6349</v>
      </c>
      <c r="B494" s="23"/>
      <c r="C494" s="23"/>
      <c r="D494" s="23"/>
      <c r="E494" s="23"/>
      <c r="F494" s="24">
        <v>5312.762146362531</v>
      </c>
      <c r="G494" s="24">
        <v>3797.47</v>
      </c>
      <c r="H494" s="24">
        <v>0</v>
      </c>
      <c r="I494" s="24">
        <v>-209.45</v>
      </c>
      <c r="J494" s="16" t="str">
        <f t="shared" si="49"/>
        <v>USD</v>
      </c>
      <c r="K494">
        <f t="shared" si="50"/>
        <v>13</v>
      </c>
      <c r="L494" t="str">
        <f t="shared" si="51"/>
        <v>SO18347</v>
      </c>
      <c r="M494" s="12">
        <f t="shared" si="52"/>
        <v>0</v>
      </c>
      <c r="N494" s="12">
        <f t="shared" si="53"/>
        <v>3588.02</v>
      </c>
      <c r="O494" s="13">
        <f t="shared" si="54"/>
        <v>0</v>
      </c>
      <c r="P494" s="12">
        <f>IFERROR(VLOOKUP(B494,'Receivable Invoice Detail'!$S$1:$U$3014,3,FALSE),0)</f>
        <v>0</v>
      </c>
    </row>
    <row r="495" spans="1:16" x14ac:dyDescent="0.25">
      <c r="A495" t="s">
        <v>6232</v>
      </c>
      <c r="B495" t="s">
        <v>6148</v>
      </c>
      <c r="C495" t="s">
        <v>121</v>
      </c>
      <c r="D495" t="s">
        <v>22</v>
      </c>
      <c r="E495" t="s">
        <v>4389</v>
      </c>
      <c r="F495" s="16">
        <v>2367.9699999999998</v>
      </c>
      <c r="G495" s="16">
        <v>1708.5148613939079</v>
      </c>
      <c r="H495" s="16">
        <v>0</v>
      </c>
      <c r="I495" s="16">
        <v>0</v>
      </c>
      <c r="J495" s="16" t="str">
        <f t="shared" si="49"/>
        <v/>
      </c>
      <c r="K495">
        <f t="shared" si="50"/>
        <v>7</v>
      </c>
      <c r="L495" t="str">
        <f t="shared" si="51"/>
        <v/>
      </c>
      <c r="M495" s="12">
        <f t="shared" si="52"/>
        <v>0</v>
      </c>
      <c r="N495" s="12">
        <f t="shared" si="53"/>
        <v>0</v>
      </c>
      <c r="O495" s="13">
        <f t="shared" si="54"/>
        <v>0</v>
      </c>
      <c r="P495" s="12">
        <f>IFERROR(VLOOKUP(B495,'Receivable Invoice Detail'!$S$1:$U$3014,3,FALSE),0)</f>
        <v>0</v>
      </c>
    </row>
    <row r="496" spans="1:16" x14ac:dyDescent="0.25">
      <c r="B496" t="s">
        <v>5980</v>
      </c>
      <c r="C496" t="s">
        <v>121</v>
      </c>
      <c r="D496" t="s">
        <v>22</v>
      </c>
      <c r="E496" t="s">
        <v>4389</v>
      </c>
      <c r="F496" s="16">
        <v>0</v>
      </c>
      <c r="G496" s="16">
        <v>0</v>
      </c>
      <c r="H496" s="16">
        <v>-1143.57</v>
      </c>
      <c r="I496" s="16">
        <v>0</v>
      </c>
      <c r="J496" s="16" t="str">
        <f t="shared" si="49"/>
        <v/>
      </c>
      <c r="K496">
        <f t="shared" si="50"/>
        <v>0</v>
      </c>
      <c r="L496" t="str">
        <f t="shared" si="51"/>
        <v/>
      </c>
      <c r="M496" s="12">
        <f t="shared" si="52"/>
        <v>0</v>
      </c>
      <c r="N496" s="12">
        <f t="shared" si="53"/>
        <v>0</v>
      </c>
      <c r="O496" s="13">
        <f t="shared" si="54"/>
        <v>0</v>
      </c>
      <c r="P496" s="12">
        <f>IFERROR(VLOOKUP(B496,'Receivable Invoice Detail'!$S$1:$U$3014,3,FALSE),0)</f>
        <v>0</v>
      </c>
    </row>
    <row r="497" spans="1:16" x14ac:dyDescent="0.25">
      <c r="A497" s="23" t="s">
        <v>6350</v>
      </c>
      <c r="B497" s="23"/>
      <c r="C497" s="23"/>
      <c r="D497" s="23"/>
      <c r="E497" s="23"/>
      <c r="F497" s="24">
        <v>2367.9699999999998</v>
      </c>
      <c r="G497" s="24">
        <v>1708.5148613939079</v>
      </c>
      <c r="H497" s="24">
        <v>-1143.57</v>
      </c>
      <c r="I497" s="24">
        <v>0</v>
      </c>
      <c r="J497" s="16" t="str">
        <f t="shared" si="49"/>
        <v>CAD</v>
      </c>
      <c r="K497">
        <f t="shared" si="50"/>
        <v>13</v>
      </c>
      <c r="L497" t="str">
        <f t="shared" si="51"/>
        <v>SO18372</v>
      </c>
      <c r="M497" s="12">
        <f t="shared" si="52"/>
        <v>1224.4000000000001</v>
      </c>
      <c r="N497" s="12">
        <f t="shared" si="53"/>
        <v>0</v>
      </c>
      <c r="O497" s="13">
        <f t="shared" si="54"/>
        <v>0</v>
      </c>
      <c r="P497" s="12">
        <f>IFERROR(VLOOKUP(B497,'Receivable Invoice Detail'!$S$1:$U$3014,3,FALSE),0)</f>
        <v>0</v>
      </c>
    </row>
    <row r="498" spans="1:16" x14ac:dyDescent="0.25">
      <c r="A498" t="s">
        <v>6272</v>
      </c>
      <c r="B498" t="s">
        <v>6335</v>
      </c>
      <c r="C498" t="s">
        <v>6078</v>
      </c>
      <c r="D498" t="s">
        <v>51</v>
      </c>
      <c r="E498" t="s">
        <v>4389</v>
      </c>
      <c r="F498" s="16">
        <v>9008.3861051447602</v>
      </c>
      <c r="G498" s="16">
        <v>6584.64</v>
      </c>
      <c r="H498" s="16">
        <v>0</v>
      </c>
      <c r="I498" s="16">
        <v>0</v>
      </c>
      <c r="J498" s="16" t="str">
        <f t="shared" si="49"/>
        <v/>
      </c>
      <c r="K498">
        <f t="shared" si="50"/>
        <v>7</v>
      </c>
      <c r="L498" t="str">
        <f t="shared" si="51"/>
        <v/>
      </c>
      <c r="M498" s="12">
        <f t="shared" si="52"/>
        <v>0</v>
      </c>
      <c r="N498" s="12">
        <f t="shared" si="53"/>
        <v>0</v>
      </c>
      <c r="O498" s="13">
        <f t="shared" si="54"/>
        <v>0</v>
      </c>
      <c r="P498" s="12">
        <f>IFERROR(VLOOKUP(B498,'Receivable Invoice Detail'!$S$1:$U$3014,3,FALSE),0)</f>
        <v>0</v>
      </c>
    </row>
    <row r="499" spans="1:16" x14ac:dyDescent="0.25">
      <c r="B499" t="s">
        <v>6077</v>
      </c>
      <c r="C499" t="s">
        <v>6078</v>
      </c>
      <c r="D499" t="s">
        <v>51</v>
      </c>
      <c r="E499" t="s">
        <v>4388</v>
      </c>
      <c r="F499" s="16">
        <v>0</v>
      </c>
      <c r="G499" s="16">
        <v>0</v>
      </c>
      <c r="H499" s="16">
        <v>0</v>
      </c>
      <c r="I499" s="16">
        <v>-6584.64</v>
      </c>
      <c r="J499" s="16" t="str">
        <f t="shared" si="49"/>
        <v/>
      </c>
      <c r="K499">
        <f t="shared" si="50"/>
        <v>0</v>
      </c>
      <c r="L499" t="str">
        <f t="shared" si="51"/>
        <v/>
      </c>
      <c r="M499" s="12">
        <f t="shared" si="52"/>
        <v>0</v>
      </c>
      <c r="N499" s="12">
        <f t="shared" si="53"/>
        <v>0</v>
      </c>
      <c r="O499" s="13">
        <f t="shared" si="54"/>
        <v>0</v>
      </c>
      <c r="P499" s="12">
        <f>IFERROR(VLOOKUP(B499,'Receivable Invoice Detail'!$S$1:$U$3014,3,FALSE),0)</f>
        <v>0</v>
      </c>
    </row>
    <row r="500" spans="1:16" x14ac:dyDescent="0.25">
      <c r="A500" s="23" t="s">
        <v>6351</v>
      </c>
      <c r="B500" s="23"/>
      <c r="C500" s="23"/>
      <c r="D500" s="23"/>
      <c r="E500" s="23"/>
      <c r="F500" s="24">
        <v>9008.3861051447602</v>
      </c>
      <c r="G500" s="24">
        <v>6584.64</v>
      </c>
      <c r="H500" s="24">
        <v>0</v>
      </c>
      <c r="I500" s="24">
        <v>-6584.64</v>
      </c>
      <c r="J500" s="16" t="str">
        <f t="shared" si="49"/>
        <v>USD</v>
      </c>
      <c r="K500">
        <f t="shared" si="50"/>
        <v>13</v>
      </c>
      <c r="L500" t="str">
        <f t="shared" si="51"/>
        <v>SO18434</v>
      </c>
      <c r="M500" s="12">
        <f t="shared" si="52"/>
        <v>0</v>
      </c>
      <c r="N500" s="12">
        <f t="shared" si="53"/>
        <v>0</v>
      </c>
      <c r="O500" s="13" t="str">
        <f t="shared" si="54"/>
        <v>Yes</v>
      </c>
      <c r="P500" s="12">
        <f>IFERROR(VLOOKUP(B500,'Receivable Invoice Detail'!$S$1:$U$3014,3,FALSE),0)</f>
        <v>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W1337"/>
  <sheetViews>
    <sheetView workbookViewId="0">
      <pane xSplit="4" ySplit="1" topLeftCell="E1327" activePane="bottomRight" state="frozen"/>
      <selection pane="topRight" activeCell="E1" sqref="E1"/>
      <selection pane="bottomLeft" activeCell="A2" sqref="A2"/>
      <selection pane="bottomRight" activeCell="AR2" sqref="AR2"/>
    </sheetView>
  </sheetViews>
  <sheetFormatPr defaultColWidth="9.140625" defaultRowHeight="15" x14ac:dyDescent="0.25"/>
  <cols>
    <col min="1" max="1" width="9.28515625" customWidth="1"/>
    <col min="2" max="2" width="13.140625" customWidth="1"/>
    <col min="3" max="3" width="18.7109375" customWidth="1"/>
    <col min="4" max="4" width="16.7109375" customWidth="1"/>
    <col min="5" max="19" width="30.7109375" customWidth="1"/>
    <col min="20" max="20" width="11.140625" customWidth="1"/>
    <col min="21" max="21" width="13" customWidth="1"/>
    <col min="22" max="22" width="10.7109375" customWidth="1"/>
    <col min="23" max="24" width="8.42578125" customWidth="1"/>
    <col min="25" max="25" width="7.7109375" bestFit="1" customWidth="1"/>
    <col min="27" max="27" width="10.7109375" bestFit="1" customWidth="1"/>
    <col min="28" max="28" width="10.7109375" customWidth="1"/>
    <col min="29" max="29" width="12.28515625" bestFit="1" customWidth="1"/>
    <col min="30" max="30" width="12.28515625" customWidth="1"/>
    <col min="31" max="31" width="26.5703125" customWidth="1"/>
    <col min="32" max="32" width="37.5703125" bestFit="1" customWidth="1"/>
    <col min="34" max="34" width="10.140625" bestFit="1" customWidth="1"/>
    <col min="35" max="35" width="11.5703125" bestFit="1" customWidth="1"/>
    <col min="37" max="38" width="11.5703125" bestFit="1" customWidth="1"/>
    <col min="39" max="39" width="10.5703125" style="12" bestFit="1" customWidth="1"/>
    <col min="40" max="40" width="11.5703125" style="12" bestFit="1" customWidth="1"/>
    <col min="41" max="41" width="10.5703125" style="12" customWidth="1"/>
    <col min="48" max="48" width="9.5703125" bestFit="1" customWidth="1"/>
    <col min="49" max="49" width="13.5703125" bestFit="1" customWidth="1"/>
  </cols>
  <sheetData>
    <row r="1" spans="1:49" ht="45" x14ac:dyDescent="0.25">
      <c r="A1" s="1" t="s">
        <v>0</v>
      </c>
      <c r="B1" s="1" t="s">
        <v>1</v>
      </c>
      <c r="C1" s="1" t="s">
        <v>2</v>
      </c>
      <c r="D1" s="1" t="s">
        <v>3391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5" t="s">
        <v>4239</v>
      </c>
      <c r="U1" s="45" t="s">
        <v>3832</v>
      </c>
      <c r="V1" s="45" t="s">
        <v>5907</v>
      </c>
      <c r="W1" s="45" t="s">
        <v>4240</v>
      </c>
      <c r="X1" s="45" t="s">
        <v>5908</v>
      </c>
      <c r="Y1" s="44" t="s">
        <v>4237</v>
      </c>
      <c r="Z1" s="44" t="s">
        <v>3390</v>
      </c>
      <c r="AA1" s="44" t="s">
        <v>3830</v>
      </c>
      <c r="AB1" s="44" t="s">
        <v>3392</v>
      </c>
      <c r="AC1" s="44" t="s">
        <v>3826</v>
      </c>
      <c r="AD1" s="44" t="s">
        <v>3829</v>
      </c>
      <c r="AE1" s="44" t="s">
        <v>3827</v>
      </c>
      <c r="AF1" s="44" t="s">
        <v>3828</v>
      </c>
      <c r="AG1" s="44" t="s">
        <v>3831</v>
      </c>
      <c r="AH1" s="45" t="s">
        <v>4235</v>
      </c>
      <c r="AI1" s="45" t="s">
        <v>4236</v>
      </c>
      <c r="AJ1" s="44" t="s">
        <v>4238</v>
      </c>
      <c r="AK1" s="45" t="s">
        <v>3838</v>
      </c>
      <c r="AL1" s="45" t="s">
        <v>3839</v>
      </c>
      <c r="AM1" s="46" t="s">
        <v>3836</v>
      </c>
      <c r="AN1" s="46" t="s">
        <v>3837</v>
      </c>
      <c r="AO1" s="46" t="s">
        <v>3399</v>
      </c>
      <c r="AP1" s="47" t="s">
        <v>3841</v>
      </c>
      <c r="AQ1" s="47" t="s">
        <v>3842</v>
      </c>
      <c r="AR1" s="47" t="s">
        <v>4392</v>
      </c>
      <c r="AS1" s="44" t="s">
        <v>4391</v>
      </c>
      <c r="AT1" s="44" t="s">
        <v>44</v>
      </c>
      <c r="AU1" s="48" t="s">
        <v>5785</v>
      </c>
      <c r="AV1" s="47" t="s">
        <v>4390</v>
      </c>
      <c r="AW1" s="45" t="s">
        <v>5786</v>
      </c>
    </row>
    <row r="2" spans="1:49" ht="30" x14ac:dyDescent="0.25">
      <c r="A2" s="2">
        <v>1</v>
      </c>
      <c r="B2" s="2" t="s">
        <v>2257</v>
      </c>
      <c r="C2" s="2" t="s">
        <v>2258</v>
      </c>
      <c r="D2" s="2" t="s">
        <v>2275</v>
      </c>
      <c r="E2" s="2" t="s">
        <v>83</v>
      </c>
      <c r="F2" s="3">
        <v>45659.400416666656</v>
      </c>
      <c r="G2" s="3">
        <v>45663.595729166656</v>
      </c>
      <c r="H2" s="4">
        <v>45664</v>
      </c>
      <c r="I2" s="2" t="s">
        <v>21</v>
      </c>
      <c r="J2" s="2" t="s">
        <v>22</v>
      </c>
      <c r="K2" s="2">
        <v>1</v>
      </c>
      <c r="L2" s="2">
        <v>20655.240000000002</v>
      </c>
      <c r="M2" s="2">
        <v>0</v>
      </c>
      <c r="N2" s="2">
        <v>14381.876360474809</v>
      </c>
      <c r="O2" s="2">
        <v>18278.97</v>
      </c>
      <c r="P2" s="2">
        <v>2376.27</v>
      </c>
      <c r="Q2" s="2">
        <v>20655.240000000002</v>
      </c>
      <c r="R2" s="2" t="s">
        <v>44</v>
      </c>
      <c r="S2" s="2"/>
      <c r="T2" s="2">
        <f>IF(A2="",T1,A2)</f>
        <v>1</v>
      </c>
      <c r="U2" s="18">
        <f>IF(F2="",U1,MONTH(F2))</f>
        <v>1</v>
      </c>
      <c r="V2" s="18">
        <f>IF(F2="",V1,YEAR(F2))</f>
        <v>2025</v>
      </c>
      <c r="W2" s="18">
        <f>IF(AC2="Paid",MONTH(AD2),"")</f>
        <v>2</v>
      </c>
      <c r="X2" s="18">
        <f>IF(AC2="Paid",YEAR(AD2),"")</f>
        <v>2025</v>
      </c>
      <c r="Y2" s="2">
        <f t="shared" ref="Y2:Y33" si="0">IF(C2="",Y1,N2/L2)</f>
        <v>0.69628221993425432</v>
      </c>
      <c r="Z2" t="str">
        <f t="shared" ref="Z2:Z65" si="1">IF(B2="",Z1,B2)</f>
        <v>SO16348</v>
      </c>
      <c r="AA2" s="11">
        <f>IF(F2="",AA1,F2)</f>
        <v>45659.400416666656</v>
      </c>
      <c r="AB2" s="5" t="str">
        <f>IF(D2="","No Inv",D2)</f>
        <v>INV12491</v>
      </c>
      <c r="AC2" s="5" t="str">
        <f>IFERROR(VLOOKUP(D2,CAARStatus!$A$2:$AA$1600,22,FALSE),"Not invoiced")</f>
        <v>Paid</v>
      </c>
      <c r="AD2" s="11">
        <f>IF(AC2="Paid",IFERROR(VLOOKUP(D2,CAARStatus!$A$2:$AA$1600,6,FALSE),"Pending"),"Pending")</f>
        <v>45692</v>
      </c>
      <c r="AE2" s="5" t="str">
        <f>IF(C2="",AE1,C2)</f>
        <v>6500015792</v>
      </c>
      <c r="AF2" s="5" t="str">
        <f>IF(E2="",AF1,E2)</f>
        <v>Wesdome Gold Mines Ltd - Eagle River Mine</v>
      </c>
      <c r="AG2" s="5" t="str">
        <f>IF(J2="",AG1,J2)</f>
        <v>CAD</v>
      </c>
      <c r="AH2" s="5">
        <f>IFERROR(IF(AG2="CAD",O2,O2/K2),0)</f>
        <v>18278.97</v>
      </c>
      <c r="AI2" s="12">
        <f>IF(L2-N2=0,VLOOKUP(U2,rate!A$4:B$15,2,FALSE)*AH2,IF(AG2="USD",O2,AH2*Y2))</f>
        <v>12727.321809711637</v>
      </c>
      <c r="AJ2" s="13">
        <f>IFERROR(AI2/AH2,0)</f>
        <v>0.69628221993425432</v>
      </c>
      <c r="AK2" s="13">
        <f>-IF(AG2="CAD",IFERROR(VLOOKUP(D2,CAARStatus!$A$1:$Y$1600,16,FALSE),0),0)</f>
        <v>-18278.97</v>
      </c>
      <c r="AL2" s="13">
        <f>-IF(AG2="USD",IFERROR(VLOOKUP(D2,CAARStatus!$A$1:$Y$1600,11,FALSE),0),0)</f>
        <v>0</v>
      </c>
      <c r="AM2" s="22">
        <f>IF(AG2="CAD",AH2+AK2,"")</f>
        <v>0</v>
      </c>
      <c r="AN2" s="12" t="str">
        <f>IF(AG2="USD",AI2+AL2,"")</f>
        <v/>
      </c>
      <c r="AO2" s="12" t="str">
        <f>IF(AC2="Paid","Yes","Pend")</f>
        <v>Yes</v>
      </c>
      <c r="AP2" t="str">
        <f t="shared" ref="AP2:AP33" si="2">IF(AND(AO2="Pend",T2&lt;2),"Pend",IF(T2=1,"Yes","XX"))</f>
        <v>Yes</v>
      </c>
      <c r="AQ2" t="str">
        <f>IFERROR(VLOOKUP(B2,InvBal!$L$4:$P$600,4,FALSE),"Pend")</f>
        <v>Pend</v>
      </c>
      <c r="AR2" t="str">
        <f>IFERROR(VLOOKUP(D2,Manual!$C$1:$E$22,2,FALSE),"Pend")</f>
        <v>Pend</v>
      </c>
      <c r="AS2" t="str">
        <f>IF(OR(AP2="Yes",AQ2="Yes",AR2="Yes"),"Yes","")</f>
        <v>Yes</v>
      </c>
      <c r="AT2" t="str">
        <f>IF(R2="Delivered","Yes","")</f>
        <v>Yes</v>
      </c>
      <c r="AU2" s="51" t="str">
        <f>IF(AND(AS2="Yes",AT2="Yes"),"Yes","")</f>
        <v>Yes</v>
      </c>
      <c r="AV2" s="12">
        <f>IFERROR(VLOOKUP(D2,'Receivable Invoice Detail'!$S$1:$U$3014,3,FALSE),0)</f>
        <v>0</v>
      </c>
      <c r="AW2" s="12">
        <f>IF(AU2="Yes",AI2-AV2,0)</f>
        <v>12727.321809711637</v>
      </c>
    </row>
    <row r="3" spans="1:49" ht="30" x14ac:dyDescent="0.25">
      <c r="A3" s="2">
        <v>1</v>
      </c>
      <c r="B3" s="2" t="s">
        <v>2263</v>
      </c>
      <c r="C3" s="2" t="s">
        <v>2264</v>
      </c>
      <c r="D3" s="2" t="s">
        <v>2272</v>
      </c>
      <c r="E3" s="2" t="s">
        <v>232</v>
      </c>
      <c r="F3" s="3">
        <v>45659.434884259259</v>
      </c>
      <c r="G3" s="3">
        <v>45660.646631944437</v>
      </c>
      <c r="H3" s="4">
        <v>45815</v>
      </c>
      <c r="I3" s="2" t="s">
        <v>180</v>
      </c>
      <c r="J3" s="2" t="s">
        <v>51</v>
      </c>
      <c r="K3" s="2">
        <v>0.69331655724015695</v>
      </c>
      <c r="L3" s="2">
        <v>16788.290829708509</v>
      </c>
      <c r="M3" s="2">
        <v>0</v>
      </c>
      <c r="N3" s="2">
        <v>11639.6</v>
      </c>
      <c r="O3" s="2">
        <v>11639.6</v>
      </c>
      <c r="P3" s="2"/>
      <c r="Q3" s="2">
        <v>11639.6</v>
      </c>
      <c r="R3" s="2" t="s">
        <v>44</v>
      </c>
      <c r="S3" s="2"/>
      <c r="T3" s="2">
        <f t="shared" ref="T3:T66" si="3">IF(A3="",T2,A3)</f>
        <v>1</v>
      </c>
      <c r="U3" s="18">
        <f t="shared" ref="U3:U66" si="4">IF(F3="",U2,MONTH(F3))</f>
        <v>1</v>
      </c>
      <c r="V3" s="18">
        <f t="shared" ref="V3:V66" si="5">IF(F3="",V2,YEAR(F3))</f>
        <v>2025</v>
      </c>
      <c r="W3" s="18">
        <f t="shared" ref="W3:W66" si="6">IF(AC3="Paid",MONTH(AD3),"")</f>
        <v>7</v>
      </c>
      <c r="X3" s="18">
        <f t="shared" ref="X3:X66" si="7">IF(AC3="Paid",YEAR(AD3),"")</f>
        <v>2025</v>
      </c>
      <c r="Y3" s="2">
        <f t="shared" si="0"/>
        <v>0.69331655724015695</v>
      </c>
      <c r="Z3" t="str">
        <f t="shared" si="1"/>
        <v>SO16349</v>
      </c>
      <c r="AA3" s="11">
        <f t="shared" ref="AA3:AA66" si="8">IF(F3="",AA2,F3)</f>
        <v>45659.434884259259</v>
      </c>
      <c r="AB3" s="5" t="str">
        <f t="shared" ref="AB3:AB66" si="9">IF(D3="","No Inv",D3)</f>
        <v>INV12951</v>
      </c>
      <c r="AC3" s="5" t="str">
        <f>IFERROR(VLOOKUP(D3,CAARStatus!$A$2:$AA$1600,22,FALSE),"Not invoiced")</f>
        <v>Paid</v>
      </c>
      <c r="AD3" s="11">
        <f>IF(AC3="Paid",IFERROR(VLOOKUP(D3,CAARStatus!$A$2:$AA$1600,6,FALSE),"Pending"),"Pending")</f>
        <v>45849</v>
      </c>
      <c r="AE3" s="5" t="str">
        <f t="shared" ref="AE3:AE66" si="10">IF(C3="",AE2,C3)</f>
        <v>2243313</v>
      </c>
      <c r="AF3" s="5" t="str">
        <f t="shared" ref="AF3:AF66" si="11">IF(E3="",AF2,E3)</f>
        <v>Zijin Mining - Rosebel Goldmines N.V.</v>
      </c>
      <c r="AG3" s="5" t="str">
        <f t="shared" ref="AG3:AG66" si="12">IF(J3="",AG2,J3)</f>
        <v>USD</v>
      </c>
      <c r="AH3" s="5">
        <f t="shared" ref="AH3:AH66" si="13">IFERROR(IF(AG3="CAD",O3,O3/K3),0)</f>
        <v>16788.290829708509</v>
      </c>
      <c r="AI3" s="12">
        <f>IF(L3-N3=0,VLOOKUP(U3,rate!A$4:B$15,2,FALSE)*AH3,IF(AG3="USD",O3,AH3*Y3))</f>
        <v>11639.6</v>
      </c>
      <c r="AJ3" s="13">
        <f t="shared" ref="AJ3:AJ66" si="14">IFERROR(AI3/AH3,0)</f>
        <v>0.69331655724015695</v>
      </c>
      <c r="AK3" s="13">
        <f>-IF(AG3="CAD",IFERROR(VLOOKUP(D3,CAARStatus!$A$1:$Y$1600,16,FALSE),0),0)</f>
        <v>0</v>
      </c>
      <c r="AL3" s="13">
        <f>-IF(AG3="USD",IFERROR(VLOOKUP(D3,CAARStatus!$A$1:$Y$1600,11,FALSE),0),0)</f>
        <v>-11639.6</v>
      </c>
      <c r="AM3" s="22" t="str">
        <f t="shared" ref="AM3:AM66" si="15">IF(AG3="CAD",AH3+AK3,"")</f>
        <v/>
      </c>
      <c r="AN3" s="12">
        <f t="shared" ref="AN3:AN66" si="16">IF(AG3="USD",AI3+AL3,"")</f>
        <v>0</v>
      </c>
      <c r="AO3" s="12" t="str">
        <f t="shared" ref="AO3:AO66" si="17">IF(AC3="Paid","Yes","Pend")</f>
        <v>Yes</v>
      </c>
      <c r="AP3" t="str">
        <f t="shared" si="2"/>
        <v>Yes</v>
      </c>
      <c r="AQ3" t="str">
        <f>IFERROR(VLOOKUP(Z3,InvBal!$L$4:$P$600,4,FALSE),"Pend")</f>
        <v>Pend</v>
      </c>
      <c r="AR3" t="str">
        <f>IFERROR(VLOOKUP(D3,Manual!$C$1:$E$22,2,FALSE),"Pend")</f>
        <v>Pend</v>
      </c>
      <c r="AS3" t="str">
        <f t="shared" ref="AS3:AS66" si="18">IF(OR(AP3="Yes",AQ3="Yes",AR3="Yes"),"Yes","")</f>
        <v>Yes</v>
      </c>
      <c r="AT3" t="str">
        <f t="shared" ref="AT3:AT66" si="19">IF(R3="Delivered","Yes","")</f>
        <v>Yes</v>
      </c>
      <c r="AU3" s="51" t="str">
        <f t="shared" ref="AU3:AU66" si="20">IF(AND(AS3="Yes",AT3="Yes"),"Yes","")</f>
        <v>Yes</v>
      </c>
      <c r="AV3" s="12">
        <f>IFERROR(VLOOKUP(D3,'Receivable Invoice Detail'!$S$1:$U$3014,3,FALSE),0)</f>
        <v>0</v>
      </c>
      <c r="AW3" s="12">
        <f t="shared" ref="AW3:AW66" si="21">IF(AU3="Yes",AI3-AV3,0)</f>
        <v>11639.6</v>
      </c>
    </row>
    <row r="4" spans="1:49" ht="30" x14ac:dyDescent="0.25">
      <c r="A4" s="2">
        <v>1</v>
      </c>
      <c r="B4" s="2" t="s">
        <v>2267</v>
      </c>
      <c r="C4" s="2" t="s">
        <v>2268</v>
      </c>
      <c r="D4" s="2" t="s">
        <v>2270</v>
      </c>
      <c r="E4" s="2" t="s">
        <v>981</v>
      </c>
      <c r="F4" s="3">
        <v>45659.437025462961</v>
      </c>
      <c r="G4" s="3">
        <v>45659.439340277779</v>
      </c>
      <c r="H4" s="4">
        <v>45670</v>
      </c>
      <c r="I4" s="2" t="s">
        <v>21</v>
      </c>
      <c r="J4" s="2" t="s">
        <v>22</v>
      </c>
      <c r="K4" s="2">
        <v>1</v>
      </c>
      <c r="L4" s="2">
        <v>1540.6</v>
      </c>
      <c r="M4" s="2">
        <v>0</v>
      </c>
      <c r="N4" s="2">
        <v>1068.123488084186</v>
      </c>
      <c r="O4" s="2">
        <v>1363.36</v>
      </c>
      <c r="P4" s="2">
        <v>177.24</v>
      </c>
      <c r="Q4" s="2">
        <v>1540.6</v>
      </c>
      <c r="R4" s="2" t="s">
        <v>44</v>
      </c>
      <c r="S4" s="2"/>
      <c r="T4" s="2">
        <f t="shared" si="3"/>
        <v>1</v>
      </c>
      <c r="U4" s="18">
        <f t="shared" si="4"/>
        <v>1</v>
      </c>
      <c r="V4" s="18">
        <f t="shared" si="5"/>
        <v>2025</v>
      </c>
      <c r="W4" s="18">
        <f t="shared" si="6"/>
        <v>2</v>
      </c>
      <c r="X4" s="18">
        <f t="shared" si="7"/>
        <v>2025</v>
      </c>
      <c r="Y4" s="2">
        <f t="shared" si="0"/>
        <v>0.69331655724015706</v>
      </c>
      <c r="Z4" t="str">
        <f t="shared" si="1"/>
        <v>SO16350</v>
      </c>
      <c r="AA4" s="11">
        <f t="shared" si="8"/>
        <v>45659.437025462961</v>
      </c>
      <c r="AB4" s="5" t="str">
        <f t="shared" si="9"/>
        <v>INV12497</v>
      </c>
      <c r="AC4" s="5" t="str">
        <f>IFERROR(VLOOKUP(D4,CAARStatus!$A$2:$AA$1600,22,FALSE),"Not invoiced")</f>
        <v>Paid</v>
      </c>
      <c r="AD4" s="11">
        <f>IF(AC4="Paid",IFERROR(VLOOKUP(D4,CAARStatus!$A$2:$AA$1600,6,FALSE),"Pending"),"Pending")</f>
        <v>45698</v>
      </c>
      <c r="AE4" s="5" t="str">
        <f t="shared" si="10"/>
        <v>4560061462</v>
      </c>
      <c r="AF4" s="5" t="str">
        <f t="shared" si="11"/>
        <v>Alamos Gold Inc, Alamos Gold Inc Island Gold Division</v>
      </c>
      <c r="AG4" s="5" t="str">
        <f t="shared" si="12"/>
        <v>CAD</v>
      </c>
      <c r="AH4" s="5">
        <f t="shared" si="13"/>
        <v>1363.36</v>
      </c>
      <c r="AI4" s="12">
        <f>IF(L4-N4=0,VLOOKUP(U4,rate!A$4:B$15,2,FALSE)*AH4,IF(AG4="USD",O4,AH4*Y4))</f>
        <v>945.24006147894045</v>
      </c>
      <c r="AJ4" s="13">
        <f t="shared" si="14"/>
        <v>0.69331655724015706</v>
      </c>
      <c r="AK4" s="13">
        <f>-IF(AG4="CAD",IFERROR(VLOOKUP(D4,CAARStatus!$A$1:$Y$1600,16,FALSE),0),0)</f>
        <v>-1363.36</v>
      </c>
      <c r="AL4" s="13">
        <f>-IF(AG4="USD",IFERROR(VLOOKUP(D4,CAARStatus!$A$1:$Y$1600,11,FALSE),0),0)</f>
        <v>0</v>
      </c>
      <c r="AM4" s="22">
        <f t="shared" si="15"/>
        <v>0</v>
      </c>
      <c r="AN4" s="12" t="str">
        <f t="shared" si="16"/>
        <v/>
      </c>
      <c r="AO4" s="12" t="str">
        <f t="shared" si="17"/>
        <v>Yes</v>
      </c>
      <c r="AP4" t="str">
        <f t="shared" si="2"/>
        <v>Yes</v>
      </c>
      <c r="AQ4" t="str">
        <f>IFERROR(VLOOKUP(Z4,InvBal!$L$4:$P$600,4,FALSE),"Pend")</f>
        <v>Pend</v>
      </c>
      <c r="AR4" t="str">
        <f>IFERROR(VLOOKUP(D4,Manual!$C$1:$E$22,2,FALSE),"Pend")</f>
        <v>Pend</v>
      </c>
      <c r="AS4" t="str">
        <f t="shared" si="18"/>
        <v>Yes</v>
      </c>
      <c r="AT4" t="str">
        <f t="shared" si="19"/>
        <v>Yes</v>
      </c>
      <c r="AU4" s="51" t="str">
        <f t="shared" si="20"/>
        <v>Yes</v>
      </c>
      <c r="AV4" s="12">
        <f>IFERROR(VLOOKUP(D4,'Receivable Invoice Detail'!$S$1:$U$3014,3,FALSE),0)</f>
        <v>0</v>
      </c>
      <c r="AW4" s="12">
        <f t="shared" si="21"/>
        <v>945.24006147894045</v>
      </c>
    </row>
    <row r="5" spans="1:49" ht="30" x14ac:dyDescent="0.25">
      <c r="A5" s="2">
        <v>1</v>
      </c>
      <c r="B5" s="2" t="s">
        <v>2265</v>
      </c>
      <c r="C5" s="2" t="s">
        <v>2266</v>
      </c>
      <c r="D5" s="2" t="s">
        <v>2271</v>
      </c>
      <c r="E5" s="2" t="s">
        <v>98</v>
      </c>
      <c r="F5" s="3">
        <v>45659.57403935185</v>
      </c>
      <c r="G5" s="3">
        <v>45659.706597222219</v>
      </c>
      <c r="H5" s="4">
        <v>45673</v>
      </c>
      <c r="I5" s="2" t="s">
        <v>21</v>
      </c>
      <c r="J5" s="2" t="s">
        <v>22</v>
      </c>
      <c r="K5" s="2">
        <v>1</v>
      </c>
      <c r="L5" s="2">
        <v>2369.71</v>
      </c>
      <c r="M5" s="2">
        <v>0</v>
      </c>
      <c r="N5" s="2">
        <v>1642.9591788575719</v>
      </c>
      <c r="O5" s="2">
        <v>2097.09</v>
      </c>
      <c r="P5" s="2">
        <v>272.62</v>
      </c>
      <c r="Q5" s="2">
        <v>2369.71</v>
      </c>
      <c r="R5" s="2" t="s">
        <v>44</v>
      </c>
      <c r="S5" s="2"/>
      <c r="T5" s="2">
        <f t="shared" si="3"/>
        <v>1</v>
      </c>
      <c r="U5" s="18">
        <f t="shared" si="4"/>
        <v>1</v>
      </c>
      <c r="V5" s="18">
        <f t="shared" si="5"/>
        <v>2025</v>
      </c>
      <c r="W5" s="18">
        <f t="shared" si="6"/>
        <v>2</v>
      </c>
      <c r="X5" s="18">
        <f t="shared" si="7"/>
        <v>2025</v>
      </c>
      <c r="Y5" s="2">
        <f t="shared" si="0"/>
        <v>0.69331655724015673</v>
      </c>
      <c r="Z5" t="str">
        <f t="shared" si="1"/>
        <v>SO16353</v>
      </c>
      <c r="AA5" s="11">
        <f t="shared" si="8"/>
        <v>45659.57403935185</v>
      </c>
      <c r="AB5" s="5" t="str">
        <f t="shared" si="9"/>
        <v>INV12591</v>
      </c>
      <c r="AC5" s="5" t="str">
        <f>IFERROR(VLOOKUP(D5,CAARStatus!$A$2:$AA$1600,22,FALSE),"Not invoiced")</f>
        <v>Paid</v>
      </c>
      <c r="AD5" s="11">
        <f>IF(AC5="Paid",IFERROR(VLOOKUP(D5,CAARStatus!$A$2:$AA$1600,6,FALSE),"Pending"),"Pending")</f>
        <v>45707</v>
      </c>
      <c r="AE5" s="5" t="str">
        <f t="shared" si="10"/>
        <v>PO-007646</v>
      </c>
      <c r="AF5" s="5" t="str">
        <f t="shared" si="11"/>
        <v>Sling-Choker Manufacturing - Timmins</v>
      </c>
      <c r="AG5" s="5" t="str">
        <f t="shared" si="12"/>
        <v>CAD</v>
      </c>
      <c r="AH5" s="5">
        <f t="shared" si="13"/>
        <v>2097.09</v>
      </c>
      <c r="AI5" s="12">
        <f>IF(L5-N5=0,VLOOKUP(U5,rate!A$4:B$15,2,FALSE)*AH5,IF(AG5="USD",O5,AH5*Y5))</f>
        <v>1453.9472190227605</v>
      </c>
      <c r="AJ5" s="13">
        <f t="shared" si="14"/>
        <v>0.69331655724015673</v>
      </c>
      <c r="AK5" s="13">
        <f>-IF(AG5="CAD",IFERROR(VLOOKUP(D5,CAARStatus!$A$1:$Y$1600,16,FALSE),0),0)</f>
        <v>-2097.09</v>
      </c>
      <c r="AL5" s="13">
        <f>-IF(AG5="USD",IFERROR(VLOOKUP(D5,CAARStatus!$A$1:$Y$1600,11,FALSE),0),0)</f>
        <v>0</v>
      </c>
      <c r="AM5" s="22">
        <f t="shared" si="15"/>
        <v>0</v>
      </c>
      <c r="AN5" s="12" t="str">
        <f t="shared" si="16"/>
        <v/>
      </c>
      <c r="AO5" s="12" t="str">
        <f t="shared" si="17"/>
        <v>Yes</v>
      </c>
      <c r="AP5" t="str">
        <f t="shared" si="2"/>
        <v>Yes</v>
      </c>
      <c r="AQ5" t="str">
        <f>IFERROR(VLOOKUP(Z5,InvBal!$L$4:$P$600,4,FALSE),"Pend")</f>
        <v>Pend</v>
      </c>
      <c r="AR5" t="str">
        <f>IFERROR(VLOOKUP(D5,Manual!$C$1:$E$22,2,FALSE),"Pend")</f>
        <v>Pend</v>
      </c>
      <c r="AS5" t="str">
        <f t="shared" si="18"/>
        <v>Yes</v>
      </c>
      <c r="AT5" t="str">
        <f t="shared" si="19"/>
        <v>Yes</v>
      </c>
      <c r="AU5" s="51" t="str">
        <f t="shared" si="20"/>
        <v>Yes</v>
      </c>
      <c r="AV5" s="12">
        <f>IFERROR(VLOOKUP(D5,'Receivable Invoice Detail'!$S$1:$U$3014,3,FALSE),0)</f>
        <v>0</v>
      </c>
      <c r="AW5" s="12">
        <f t="shared" si="21"/>
        <v>1453.9472190227605</v>
      </c>
    </row>
    <row r="6" spans="1:49" ht="45" x14ac:dyDescent="0.25">
      <c r="A6" s="2">
        <v>1</v>
      </c>
      <c r="B6" s="2" t="s">
        <v>2253</v>
      </c>
      <c r="C6" s="2" t="s">
        <v>2254</v>
      </c>
      <c r="D6" s="2" t="s">
        <v>2277</v>
      </c>
      <c r="E6" s="2" t="s">
        <v>767</v>
      </c>
      <c r="F6" s="3">
        <v>45663.493020833332</v>
      </c>
      <c r="G6" s="3">
        <v>45664.591782407413</v>
      </c>
      <c r="H6" s="4">
        <v>45665</v>
      </c>
      <c r="I6" s="2" t="s">
        <v>21</v>
      </c>
      <c r="J6" s="2" t="s">
        <v>51</v>
      </c>
      <c r="K6" s="2">
        <v>0.69628221993425443</v>
      </c>
      <c r="L6" s="2">
        <v>144.20876639573109</v>
      </c>
      <c r="M6" s="2">
        <v>0</v>
      </c>
      <c r="N6" s="2">
        <v>100.41</v>
      </c>
      <c r="O6" s="2">
        <v>100.41</v>
      </c>
      <c r="P6" s="2"/>
      <c r="Q6" s="2">
        <v>100.41</v>
      </c>
      <c r="R6" s="2" t="s">
        <v>44</v>
      </c>
      <c r="S6" s="2"/>
      <c r="T6" s="2">
        <f t="shared" si="3"/>
        <v>1</v>
      </c>
      <c r="U6" s="18">
        <f t="shared" si="4"/>
        <v>1</v>
      </c>
      <c r="V6" s="18">
        <f t="shared" si="5"/>
        <v>2025</v>
      </c>
      <c r="W6" s="18">
        <f t="shared" si="6"/>
        <v>2</v>
      </c>
      <c r="X6" s="18">
        <f t="shared" si="7"/>
        <v>2025</v>
      </c>
      <c r="Y6" s="2">
        <f t="shared" si="0"/>
        <v>0.69628221993425476</v>
      </c>
      <c r="Z6" t="str">
        <f t="shared" si="1"/>
        <v>SO16359</v>
      </c>
      <c r="AA6" s="11">
        <f t="shared" si="8"/>
        <v>45663.493020833332</v>
      </c>
      <c r="AB6" s="5" t="str">
        <f t="shared" si="9"/>
        <v>INV12502</v>
      </c>
      <c r="AC6" s="5" t="str">
        <f>IFERROR(VLOOKUP(D6,CAARStatus!$A$2:$AA$1600,22,FALSE),"Not invoiced")</f>
        <v>Paid</v>
      </c>
      <c r="AD6" s="11">
        <f>IF(AC6="Paid",IFERROR(VLOOKUP(D6,CAARStatus!$A$2:$AA$1600,6,FALSE),"Pending"),"Pending")</f>
        <v>45701</v>
      </c>
      <c r="AE6" s="5" t="str">
        <f t="shared" si="10"/>
        <v>5334612</v>
      </c>
      <c r="AF6" s="5" t="str">
        <f t="shared" si="11"/>
        <v>Corrosion Fluid Products Corp., Corrosion Fluid Products Corp. - Chicago</v>
      </c>
      <c r="AG6" s="5" t="str">
        <f t="shared" si="12"/>
        <v>USD</v>
      </c>
      <c r="AH6" s="5">
        <f t="shared" si="13"/>
        <v>144.20876639573115</v>
      </c>
      <c r="AI6" s="12">
        <f>IF(L6-N6=0,VLOOKUP(U6,rate!A$4:B$15,2,FALSE)*AH6,IF(AG6="USD",O6,AH6*Y6))</f>
        <v>100.41</v>
      </c>
      <c r="AJ6" s="13">
        <f t="shared" si="14"/>
        <v>0.69628221993425443</v>
      </c>
      <c r="AK6" s="13">
        <f>-IF(AG6="CAD",IFERROR(VLOOKUP(D6,CAARStatus!$A$1:$Y$1600,16,FALSE),0),0)</f>
        <v>0</v>
      </c>
      <c r="AL6" s="13">
        <f>-IF(AG6="USD",IFERROR(VLOOKUP(D6,CAARStatus!$A$1:$Y$1600,11,FALSE),0),0)</f>
        <v>-100.41</v>
      </c>
      <c r="AM6" s="22" t="str">
        <f t="shared" si="15"/>
        <v/>
      </c>
      <c r="AN6" s="12">
        <f t="shared" si="16"/>
        <v>0</v>
      </c>
      <c r="AO6" s="12" t="str">
        <f t="shared" si="17"/>
        <v>Yes</v>
      </c>
      <c r="AP6" t="str">
        <f t="shared" si="2"/>
        <v>Yes</v>
      </c>
      <c r="AQ6" t="str">
        <f>IFERROR(VLOOKUP(Z6,InvBal!$L$4:$P$600,4,FALSE),"Pend")</f>
        <v>Pend</v>
      </c>
      <c r="AR6" t="str">
        <f>IFERROR(VLOOKUP(D6,Manual!$C$1:$E$22,2,FALSE),"Pend")</f>
        <v>Pend</v>
      </c>
      <c r="AS6" t="str">
        <f t="shared" si="18"/>
        <v>Yes</v>
      </c>
      <c r="AT6" t="str">
        <f t="shared" si="19"/>
        <v>Yes</v>
      </c>
      <c r="AU6" s="51" t="str">
        <f t="shared" si="20"/>
        <v>Yes</v>
      </c>
      <c r="AV6" s="12">
        <f>IFERROR(VLOOKUP(D6,'Receivable Invoice Detail'!$S$1:$U$3014,3,FALSE),0)</f>
        <v>0</v>
      </c>
      <c r="AW6" s="12">
        <f t="shared" si="21"/>
        <v>100.41</v>
      </c>
    </row>
    <row r="7" spans="1:49" x14ac:dyDescent="0.25">
      <c r="A7" s="2">
        <v>1</v>
      </c>
      <c r="B7" s="2" t="s">
        <v>2259</v>
      </c>
      <c r="C7" s="2" t="s">
        <v>2260</v>
      </c>
      <c r="D7" s="2" t="s">
        <v>2274</v>
      </c>
      <c r="E7" s="2" t="s">
        <v>146</v>
      </c>
      <c r="F7" s="3">
        <v>45663.509131944447</v>
      </c>
      <c r="G7" s="3">
        <v>45663.583483796298</v>
      </c>
      <c r="H7" s="4">
        <v>45664</v>
      </c>
      <c r="I7" s="2" t="s">
        <v>21</v>
      </c>
      <c r="J7" s="2" t="s">
        <v>22</v>
      </c>
      <c r="K7" s="2">
        <v>1</v>
      </c>
      <c r="L7" s="2">
        <v>1006.02</v>
      </c>
      <c r="M7" s="2">
        <v>0</v>
      </c>
      <c r="N7" s="2">
        <v>700.47383889825858</v>
      </c>
      <c r="O7" s="2">
        <v>958.11</v>
      </c>
      <c r="P7" s="2">
        <v>47.91</v>
      </c>
      <c r="Q7" s="2">
        <v>1006.02</v>
      </c>
      <c r="R7" s="2" t="s">
        <v>44</v>
      </c>
      <c r="S7" s="2"/>
      <c r="T7" s="2">
        <f t="shared" si="3"/>
        <v>1</v>
      </c>
      <c r="U7" s="18">
        <f t="shared" si="4"/>
        <v>1</v>
      </c>
      <c r="V7" s="18">
        <f t="shared" si="5"/>
        <v>2025</v>
      </c>
      <c r="W7" s="18">
        <f t="shared" si="6"/>
        <v>2</v>
      </c>
      <c r="X7" s="18">
        <f t="shared" si="7"/>
        <v>2025</v>
      </c>
      <c r="Y7" s="2">
        <f t="shared" si="0"/>
        <v>0.69628221993425443</v>
      </c>
      <c r="Z7" t="str">
        <f t="shared" si="1"/>
        <v>SO16360</v>
      </c>
      <c r="AA7" s="11">
        <f t="shared" si="8"/>
        <v>45663.509131944447</v>
      </c>
      <c r="AB7" s="5" t="str">
        <f t="shared" si="9"/>
        <v>INV12492</v>
      </c>
      <c r="AC7" s="5" t="str">
        <f>IFERROR(VLOOKUP(D7,CAARStatus!$A$2:$AA$1600,22,FALSE),"Not invoiced")</f>
        <v>Paid</v>
      </c>
      <c r="AD7" s="11">
        <f>IF(AC7="Paid",IFERROR(VLOOKUP(D7,CAARStatus!$A$2:$AA$1600,6,FALSE),"Pending"),"Pending")</f>
        <v>45709</v>
      </c>
      <c r="AE7" s="5" t="str">
        <f t="shared" si="10"/>
        <v>6633</v>
      </c>
      <c r="AF7" s="5" t="str">
        <f t="shared" si="11"/>
        <v>Hyperflo</v>
      </c>
      <c r="AG7" s="5" t="str">
        <f t="shared" si="12"/>
        <v>CAD</v>
      </c>
      <c r="AH7" s="5">
        <f t="shared" si="13"/>
        <v>958.11</v>
      </c>
      <c r="AI7" s="12">
        <f>IF(L7-N7=0,VLOOKUP(U7,rate!A$4:B$15,2,FALSE)*AH7,IF(AG7="USD",O7,AH7*Y7))</f>
        <v>667.11495774120851</v>
      </c>
      <c r="AJ7" s="13">
        <f t="shared" si="14"/>
        <v>0.69628221993425443</v>
      </c>
      <c r="AK7" s="13">
        <f>-IF(AG7="CAD",IFERROR(VLOOKUP(D7,CAARStatus!$A$1:$Y$1600,16,FALSE),0),0)</f>
        <v>-958.11</v>
      </c>
      <c r="AL7" s="13">
        <f>-IF(AG7="USD",IFERROR(VLOOKUP(D7,CAARStatus!$A$1:$Y$1600,11,FALSE),0),0)</f>
        <v>0</v>
      </c>
      <c r="AM7" s="22">
        <f t="shared" si="15"/>
        <v>0</v>
      </c>
      <c r="AN7" s="12" t="str">
        <f t="shared" si="16"/>
        <v/>
      </c>
      <c r="AO7" s="12" t="str">
        <f t="shared" si="17"/>
        <v>Yes</v>
      </c>
      <c r="AP7" t="str">
        <f t="shared" si="2"/>
        <v>Yes</v>
      </c>
      <c r="AQ7" t="str">
        <f>IFERROR(VLOOKUP(Z7,InvBal!$L$4:$P$600,4,FALSE),"Pend")</f>
        <v>Pend</v>
      </c>
      <c r="AR7" t="str">
        <f>IFERROR(VLOOKUP(D7,Manual!$C$1:$E$22,2,FALSE),"Pend")</f>
        <v>Pend</v>
      </c>
      <c r="AS7" t="str">
        <f t="shared" si="18"/>
        <v>Yes</v>
      </c>
      <c r="AT7" t="str">
        <f t="shared" si="19"/>
        <v>Yes</v>
      </c>
      <c r="AU7" s="51" t="str">
        <f t="shared" si="20"/>
        <v>Yes</v>
      </c>
      <c r="AV7" s="12">
        <f>IFERROR(VLOOKUP(D7,'Receivable Invoice Detail'!$S$1:$U$3014,3,FALSE),0)</f>
        <v>0</v>
      </c>
      <c r="AW7" s="12">
        <f t="shared" si="21"/>
        <v>667.11495774120851</v>
      </c>
    </row>
    <row r="8" spans="1:49" ht="30" x14ac:dyDescent="0.25">
      <c r="A8" s="2">
        <v>1</v>
      </c>
      <c r="B8" s="2" t="s">
        <v>2177</v>
      </c>
      <c r="C8" s="2" t="s">
        <v>2178</v>
      </c>
      <c r="D8" s="2" t="s">
        <v>2317</v>
      </c>
      <c r="E8" s="2" t="s">
        <v>98</v>
      </c>
      <c r="F8" s="3">
        <v>45663.523599537039</v>
      </c>
      <c r="G8" s="3">
        <v>45673.551666666674</v>
      </c>
      <c r="H8" s="4">
        <v>45750</v>
      </c>
      <c r="I8" s="2" t="s">
        <v>21</v>
      </c>
      <c r="J8" s="2" t="s">
        <v>22</v>
      </c>
      <c r="K8" s="2">
        <v>1</v>
      </c>
      <c r="L8" s="2">
        <v>29994.38</v>
      </c>
      <c r="M8" s="2">
        <v>0</v>
      </c>
      <c r="N8" s="2">
        <v>20856.609079012331</v>
      </c>
      <c r="O8" s="2">
        <v>26543.7</v>
      </c>
      <c r="P8" s="2">
        <v>3450.68</v>
      </c>
      <c r="Q8" s="2">
        <v>29994.38</v>
      </c>
      <c r="R8" s="2" t="s">
        <v>44</v>
      </c>
      <c r="S8" s="2"/>
      <c r="T8" s="2">
        <f t="shared" si="3"/>
        <v>1</v>
      </c>
      <c r="U8" s="18">
        <f t="shared" si="4"/>
        <v>1</v>
      </c>
      <c r="V8" s="18">
        <f t="shared" si="5"/>
        <v>2025</v>
      </c>
      <c r="W8" s="18">
        <f t="shared" si="6"/>
        <v>5</v>
      </c>
      <c r="X8" s="18">
        <f t="shared" si="7"/>
        <v>2025</v>
      </c>
      <c r="Y8" s="2">
        <f t="shared" si="0"/>
        <v>0.69535056497291592</v>
      </c>
      <c r="Z8" t="str">
        <f t="shared" si="1"/>
        <v>SO16361</v>
      </c>
      <c r="AA8" s="11">
        <f t="shared" si="8"/>
        <v>45663.523599537039</v>
      </c>
      <c r="AB8" s="5" t="str">
        <f t="shared" si="9"/>
        <v>INV12901</v>
      </c>
      <c r="AC8" s="5" t="str">
        <f>IFERROR(VLOOKUP(D8,CAARStatus!$A$2:$AA$1600,22,FALSE),"Not invoiced")</f>
        <v>Paid</v>
      </c>
      <c r="AD8" s="11">
        <f>IF(AC8="Paid",IFERROR(VLOOKUP(D8,CAARStatus!$A$2:$AA$1600,6,FALSE),"Pending"),"Pending")</f>
        <v>45798</v>
      </c>
      <c r="AE8" s="5" t="str">
        <f t="shared" si="10"/>
        <v>007673</v>
      </c>
      <c r="AF8" s="5" t="str">
        <f t="shared" si="11"/>
        <v>Sling-Choker Manufacturing - Timmins</v>
      </c>
      <c r="AG8" s="5" t="str">
        <f t="shared" si="12"/>
        <v>CAD</v>
      </c>
      <c r="AH8" s="5">
        <f t="shared" si="13"/>
        <v>26543.7</v>
      </c>
      <c r="AI8" s="12">
        <f>IF(L8-N8=0,VLOOKUP(U8,rate!A$4:B$15,2,FALSE)*AH8,IF(AG8="USD",O8,AH8*Y8))</f>
        <v>18457.176791471589</v>
      </c>
      <c r="AJ8" s="13">
        <f t="shared" si="14"/>
        <v>0.69535056497291592</v>
      </c>
      <c r="AK8" s="13">
        <f>-IF(AG8="CAD",IFERROR(VLOOKUP(D8,CAARStatus!$A$1:$Y$1600,16,FALSE),0),0)</f>
        <v>-26543.7</v>
      </c>
      <c r="AL8" s="13">
        <f>-IF(AG8="USD",IFERROR(VLOOKUP(D8,CAARStatus!$A$1:$Y$1600,11,FALSE),0),0)</f>
        <v>0</v>
      </c>
      <c r="AM8" s="22">
        <f t="shared" si="15"/>
        <v>0</v>
      </c>
      <c r="AN8" s="12" t="str">
        <f t="shared" si="16"/>
        <v/>
      </c>
      <c r="AO8" s="12" t="str">
        <f t="shared" si="17"/>
        <v>Yes</v>
      </c>
      <c r="AP8" t="str">
        <f t="shared" si="2"/>
        <v>Yes</v>
      </c>
      <c r="AQ8" t="str">
        <f>IFERROR(VLOOKUP(Z8,InvBal!$L$4:$P$600,4,FALSE),"Pend")</f>
        <v>Pend</v>
      </c>
      <c r="AR8" t="str">
        <f>IFERROR(VLOOKUP(D8,Manual!$C$1:$E$22,2,FALSE),"Pend")</f>
        <v>Pend</v>
      </c>
      <c r="AS8" t="str">
        <f t="shared" si="18"/>
        <v>Yes</v>
      </c>
      <c r="AT8" t="str">
        <f t="shared" si="19"/>
        <v>Yes</v>
      </c>
      <c r="AU8" s="51" t="str">
        <f t="shared" si="20"/>
        <v>Yes</v>
      </c>
      <c r="AV8" s="12">
        <f>IFERROR(VLOOKUP(D8,'Receivable Invoice Detail'!$S$1:$U$3014,3,FALSE),0)</f>
        <v>0</v>
      </c>
      <c r="AW8" s="12">
        <f t="shared" si="21"/>
        <v>18457.176791471589</v>
      </c>
    </row>
    <row r="9" spans="1:49" x14ac:dyDescent="0.25">
      <c r="A9" s="2">
        <v>1</v>
      </c>
      <c r="B9" s="2" t="s">
        <v>2255</v>
      </c>
      <c r="C9" s="2" t="s">
        <v>2256</v>
      </c>
      <c r="D9" s="2" t="s">
        <v>2276</v>
      </c>
      <c r="E9" s="2" t="s">
        <v>70</v>
      </c>
      <c r="F9" s="3">
        <v>45663.530717592592</v>
      </c>
      <c r="G9" s="3">
        <v>45664.582141203697</v>
      </c>
      <c r="H9" s="4">
        <v>45665</v>
      </c>
      <c r="I9" s="2" t="s">
        <v>71</v>
      </c>
      <c r="J9" s="2" t="s">
        <v>22</v>
      </c>
      <c r="K9" s="2">
        <v>1</v>
      </c>
      <c r="L9" s="2">
        <v>8795</v>
      </c>
      <c r="M9" s="2">
        <v>0</v>
      </c>
      <c r="N9" s="2">
        <v>6131.3692546548436</v>
      </c>
      <c r="O9" s="2">
        <v>8795</v>
      </c>
      <c r="P9" s="2"/>
      <c r="Q9" s="2">
        <v>8795</v>
      </c>
      <c r="R9" s="2" t="s">
        <v>44</v>
      </c>
      <c r="S9" s="2"/>
      <c r="T9" s="2">
        <f t="shared" si="3"/>
        <v>1</v>
      </c>
      <c r="U9" s="18">
        <f t="shared" si="4"/>
        <v>1</v>
      </c>
      <c r="V9" s="18">
        <f t="shared" si="5"/>
        <v>2025</v>
      </c>
      <c r="W9" s="18">
        <f t="shared" si="6"/>
        <v>4</v>
      </c>
      <c r="X9" s="18">
        <f t="shared" si="7"/>
        <v>2025</v>
      </c>
      <c r="Y9" s="2">
        <f t="shared" si="0"/>
        <v>0.6971426099664404</v>
      </c>
      <c r="Z9" t="str">
        <f t="shared" si="1"/>
        <v>SO16362</v>
      </c>
      <c r="AA9" s="11">
        <f t="shared" si="8"/>
        <v>45663.530717592592</v>
      </c>
      <c r="AB9" s="5" t="str">
        <f t="shared" si="9"/>
        <v>INV12503</v>
      </c>
      <c r="AC9" s="5" t="str">
        <f>IFERROR(VLOOKUP(D9,CAARStatus!$A$2:$AA$1600,22,FALSE),"Not invoiced")</f>
        <v>Paid</v>
      </c>
      <c r="AD9" s="11">
        <f>IF(AC9="Paid",IFERROR(VLOOKUP(D9,CAARStatus!$A$2:$AA$1600,6,FALSE),"Pending"),"Pending")</f>
        <v>45754</v>
      </c>
      <c r="AE9" s="5" t="str">
        <f t="shared" si="10"/>
        <v>P349617</v>
      </c>
      <c r="AF9" s="5" t="str">
        <f t="shared" si="11"/>
        <v>Covia Corp - Junction City</v>
      </c>
      <c r="AG9" s="5" t="str">
        <f t="shared" si="12"/>
        <v>CAD</v>
      </c>
      <c r="AH9" s="5">
        <f t="shared" si="13"/>
        <v>8795</v>
      </c>
      <c r="AI9" s="12">
        <f>IF(L9-N9=0,VLOOKUP(U9,rate!A$4:B$15,2,FALSE)*AH9,IF(AG9="USD",O9,AH9*Y9))</f>
        <v>6131.3692546548436</v>
      </c>
      <c r="AJ9" s="13">
        <f t="shared" si="14"/>
        <v>0.6971426099664404</v>
      </c>
      <c r="AK9" s="13">
        <f>-IF(AG9="CAD",IFERROR(VLOOKUP(D9,CAARStatus!$A$1:$Y$1600,16,FALSE),0),0)</f>
        <v>-12684.333874166216</v>
      </c>
      <c r="AL9" s="13">
        <f>-IF(AG9="USD",IFERROR(VLOOKUP(D9,CAARStatus!$A$1:$Y$1600,11,FALSE),0),0)</f>
        <v>0</v>
      </c>
      <c r="AM9" s="22">
        <f t="shared" si="15"/>
        <v>-3889.3338741662155</v>
      </c>
      <c r="AN9" s="12" t="str">
        <f t="shared" si="16"/>
        <v/>
      </c>
      <c r="AO9" s="12" t="str">
        <f t="shared" si="17"/>
        <v>Yes</v>
      </c>
      <c r="AP9" t="str">
        <f t="shared" si="2"/>
        <v>Yes</v>
      </c>
      <c r="AQ9" t="str">
        <f>IFERROR(VLOOKUP(Z9,InvBal!$L$4:$P$600,4,FALSE),"Pend")</f>
        <v>Pend</v>
      </c>
      <c r="AR9" t="str">
        <f>IFERROR(VLOOKUP(D9,Manual!$C$1:$E$22,2,FALSE),"Pend")</f>
        <v>Pend</v>
      </c>
      <c r="AS9" t="str">
        <f t="shared" si="18"/>
        <v>Yes</v>
      </c>
      <c r="AT9" t="str">
        <f t="shared" si="19"/>
        <v>Yes</v>
      </c>
      <c r="AU9" s="51" t="str">
        <f t="shared" si="20"/>
        <v>Yes</v>
      </c>
      <c r="AV9" s="12">
        <f>IFERROR(VLOOKUP(D9,'Receivable Invoice Detail'!$S$1:$U$3014,3,FALSE),0)</f>
        <v>845</v>
      </c>
      <c r="AW9" s="12">
        <f t="shared" si="21"/>
        <v>5286.3692546548436</v>
      </c>
    </row>
    <row r="10" spans="1:49" x14ac:dyDescent="0.25">
      <c r="A10" s="2">
        <v>1</v>
      </c>
      <c r="B10" s="2" t="s">
        <v>2261</v>
      </c>
      <c r="C10" s="2" t="s">
        <v>2262</v>
      </c>
      <c r="D10" s="2" t="s">
        <v>2273</v>
      </c>
      <c r="E10" s="2" t="s">
        <v>54</v>
      </c>
      <c r="F10" s="3">
        <v>45663.564351851863</v>
      </c>
      <c r="G10" s="3">
        <v>45663.564988425933</v>
      </c>
      <c r="H10" s="4">
        <v>45698</v>
      </c>
      <c r="I10" s="2" t="s">
        <v>21</v>
      </c>
      <c r="J10" s="2" t="s">
        <v>22</v>
      </c>
      <c r="K10" s="2">
        <v>1</v>
      </c>
      <c r="L10" s="2">
        <v>1135.51</v>
      </c>
      <c r="M10" s="2">
        <v>0</v>
      </c>
      <c r="N10" s="2">
        <v>790.63542355754521</v>
      </c>
      <c r="O10" s="2">
        <v>1081.44</v>
      </c>
      <c r="P10" s="2">
        <v>54.07</v>
      </c>
      <c r="Q10" s="2">
        <v>1135.51</v>
      </c>
      <c r="R10" s="2" t="s">
        <v>44</v>
      </c>
      <c r="S10" s="2"/>
      <c r="T10" s="2">
        <f t="shared" si="3"/>
        <v>1</v>
      </c>
      <c r="U10" s="18">
        <f t="shared" si="4"/>
        <v>1</v>
      </c>
      <c r="V10" s="18">
        <f t="shared" si="5"/>
        <v>2025</v>
      </c>
      <c r="W10" s="18">
        <f t="shared" si="6"/>
        <v>4</v>
      </c>
      <c r="X10" s="18">
        <f t="shared" si="7"/>
        <v>2025</v>
      </c>
      <c r="Y10" s="2">
        <f t="shared" si="0"/>
        <v>0.69628221993425443</v>
      </c>
      <c r="Z10" t="str">
        <f t="shared" si="1"/>
        <v>SO16363</v>
      </c>
      <c r="AA10" s="11">
        <f t="shared" si="8"/>
        <v>45663.564351851863</v>
      </c>
      <c r="AB10" s="5" t="str">
        <f t="shared" si="9"/>
        <v>INV12685</v>
      </c>
      <c r="AC10" s="5" t="str">
        <f>IFERROR(VLOOKUP(D10,CAARStatus!$A$2:$AA$1600,22,FALSE),"Not invoiced")</f>
        <v>Paid</v>
      </c>
      <c r="AD10" s="11">
        <f>IF(AC10="Paid",IFERROR(VLOOKUP(D10,CAARStatus!$A$2:$AA$1600,6,FALSE),"Pending"),"Pending")</f>
        <v>45768</v>
      </c>
      <c r="AE10" s="5" t="str">
        <f t="shared" si="10"/>
        <v>2961</v>
      </c>
      <c r="AF10" s="5" t="str">
        <f t="shared" si="11"/>
        <v>Les Pompes du St-Laurent Inc.</v>
      </c>
      <c r="AG10" s="5" t="str">
        <f t="shared" si="12"/>
        <v>CAD</v>
      </c>
      <c r="AH10" s="5">
        <f t="shared" si="13"/>
        <v>1081.44</v>
      </c>
      <c r="AI10" s="12">
        <f>IF(L10-N10=0,VLOOKUP(U10,rate!A$4:B$15,2,FALSE)*AH10,IF(AG10="USD",O10,AH10*Y10))</f>
        <v>752.98744392570018</v>
      </c>
      <c r="AJ10" s="13">
        <f t="shared" si="14"/>
        <v>0.69628221993425443</v>
      </c>
      <c r="AK10" s="13">
        <f>-IF(AG10="CAD",IFERROR(VLOOKUP(D10,CAARStatus!$A$1:$Y$1600,16,FALSE),0),0)</f>
        <v>-1081.44</v>
      </c>
      <c r="AL10" s="13">
        <f>-IF(AG10="USD",IFERROR(VLOOKUP(D10,CAARStatus!$A$1:$Y$1600,11,FALSE),0),0)</f>
        <v>0</v>
      </c>
      <c r="AM10" s="22">
        <f t="shared" si="15"/>
        <v>0</v>
      </c>
      <c r="AN10" s="12" t="str">
        <f t="shared" si="16"/>
        <v/>
      </c>
      <c r="AO10" s="12" t="str">
        <f t="shared" si="17"/>
        <v>Yes</v>
      </c>
      <c r="AP10" t="str">
        <f t="shared" si="2"/>
        <v>Yes</v>
      </c>
      <c r="AQ10" t="str">
        <f>IFERROR(VLOOKUP(Z10,InvBal!$L$4:$P$600,4,FALSE),"Pend")</f>
        <v>Pend</v>
      </c>
      <c r="AR10" t="str">
        <f>IFERROR(VLOOKUP(D10,Manual!$C$1:$E$22,2,FALSE),"Pend")</f>
        <v>Pend</v>
      </c>
      <c r="AS10" t="str">
        <f t="shared" si="18"/>
        <v>Yes</v>
      </c>
      <c r="AT10" t="str">
        <f t="shared" si="19"/>
        <v>Yes</v>
      </c>
      <c r="AU10" s="51" t="str">
        <f t="shared" si="20"/>
        <v>Yes</v>
      </c>
      <c r="AV10" s="12">
        <f>IFERROR(VLOOKUP(D10,'Receivable Invoice Detail'!$S$1:$U$3014,3,FALSE),0)</f>
        <v>0</v>
      </c>
      <c r="AW10" s="12">
        <f t="shared" si="21"/>
        <v>752.98744392570018</v>
      </c>
    </row>
    <row r="11" spans="1:49" ht="30" x14ac:dyDescent="0.25">
      <c r="A11" s="2">
        <v>1</v>
      </c>
      <c r="B11" s="2" t="s">
        <v>2218</v>
      </c>
      <c r="C11" s="2" t="s">
        <v>2219</v>
      </c>
      <c r="D11" s="2" t="s">
        <v>2297</v>
      </c>
      <c r="E11" s="2" t="s">
        <v>50</v>
      </c>
      <c r="F11" s="3">
        <v>45663.56958333333</v>
      </c>
      <c r="G11" s="3">
        <v>45667.612847222219</v>
      </c>
      <c r="H11" s="4">
        <v>45751</v>
      </c>
      <c r="I11" s="2" t="s">
        <v>21</v>
      </c>
      <c r="J11" s="2" t="s">
        <v>51</v>
      </c>
      <c r="K11" s="2">
        <v>0.69455773220809047</v>
      </c>
      <c r="L11" s="2">
        <v>1896.8761542852969</v>
      </c>
      <c r="M11" s="2">
        <v>0</v>
      </c>
      <c r="N11" s="2">
        <v>1317.49</v>
      </c>
      <c r="O11" s="2">
        <v>1317.49</v>
      </c>
      <c r="P11" s="2"/>
      <c r="Q11" s="2">
        <v>1317.49</v>
      </c>
      <c r="R11" s="2" t="s">
        <v>44</v>
      </c>
      <c r="S11" s="2"/>
      <c r="T11" s="2">
        <f t="shared" si="3"/>
        <v>1</v>
      </c>
      <c r="U11" s="18">
        <f t="shared" si="4"/>
        <v>1</v>
      </c>
      <c r="V11" s="18">
        <f t="shared" si="5"/>
        <v>2025</v>
      </c>
      <c r="W11" s="18">
        <f t="shared" si="6"/>
        <v>4</v>
      </c>
      <c r="X11" s="18">
        <f t="shared" si="7"/>
        <v>2025</v>
      </c>
      <c r="Y11" s="2">
        <f t="shared" si="0"/>
        <v>0.69455773220809058</v>
      </c>
      <c r="Z11" t="str">
        <f t="shared" si="1"/>
        <v>SO16364</v>
      </c>
      <c r="AA11" s="11">
        <f t="shared" si="8"/>
        <v>45663.56958333333</v>
      </c>
      <c r="AB11" s="5" t="str">
        <f t="shared" si="9"/>
        <v>INV12837</v>
      </c>
      <c r="AC11" s="5" t="str">
        <f>IFERROR(VLOOKUP(D11,CAARStatus!$A$2:$AA$1600,22,FALSE),"Not invoiced")</f>
        <v>Paid</v>
      </c>
      <c r="AD11" s="11">
        <f>IF(AC11="Paid",IFERROR(VLOOKUP(D11,CAARStatus!$A$2:$AA$1600,6,FALSE),"Pending"),"Pending")</f>
        <v>45754</v>
      </c>
      <c r="AE11" s="5" t="str">
        <f t="shared" si="10"/>
        <v>003247</v>
      </c>
      <c r="AF11" s="5" t="str">
        <f t="shared" si="11"/>
        <v>Eleazar General &amp; Industrial Supplies Limited</v>
      </c>
      <c r="AG11" s="5" t="str">
        <f t="shared" si="12"/>
        <v>USD</v>
      </c>
      <c r="AH11" s="5">
        <f t="shared" si="13"/>
        <v>1896.8761542852972</v>
      </c>
      <c r="AI11" s="12">
        <f>IF(L11-N11=0,VLOOKUP(U11,rate!A$4:B$15,2,FALSE)*AH11,IF(AG11="USD",O11,AH11*Y11))</f>
        <v>1317.49</v>
      </c>
      <c r="AJ11" s="13">
        <f t="shared" si="14"/>
        <v>0.69455773220809047</v>
      </c>
      <c r="AK11" s="13">
        <f>-IF(AG11="CAD",IFERROR(VLOOKUP(D11,CAARStatus!$A$1:$Y$1600,16,FALSE),0),0)</f>
        <v>0</v>
      </c>
      <c r="AL11" s="13">
        <f>-IF(AG11="USD",IFERROR(VLOOKUP(D11,CAARStatus!$A$1:$Y$1600,11,FALSE),0),0)</f>
        <v>-1317.49</v>
      </c>
      <c r="AM11" s="22" t="str">
        <f t="shared" si="15"/>
        <v/>
      </c>
      <c r="AN11" s="12">
        <f t="shared" si="16"/>
        <v>0</v>
      </c>
      <c r="AO11" s="12" t="str">
        <f t="shared" si="17"/>
        <v>Yes</v>
      </c>
      <c r="AP11" t="str">
        <f t="shared" si="2"/>
        <v>Yes</v>
      </c>
      <c r="AQ11" t="str">
        <f>IFERROR(VLOOKUP(Z11,InvBal!$L$4:$P$600,4,FALSE),"Pend")</f>
        <v>Pend</v>
      </c>
      <c r="AR11" t="str">
        <f>IFERROR(VLOOKUP(D11,Manual!$C$1:$E$22,2,FALSE),"Pend")</f>
        <v>Pend</v>
      </c>
      <c r="AS11" t="str">
        <f t="shared" si="18"/>
        <v>Yes</v>
      </c>
      <c r="AT11" t="str">
        <f t="shared" si="19"/>
        <v>Yes</v>
      </c>
      <c r="AU11" s="51" t="str">
        <f t="shared" si="20"/>
        <v>Yes</v>
      </c>
      <c r="AV11" s="12">
        <f>IFERROR(VLOOKUP(D11,'Receivable Invoice Detail'!$S$1:$U$3014,3,FALSE),0)</f>
        <v>0</v>
      </c>
      <c r="AW11" s="12">
        <f t="shared" si="21"/>
        <v>1317.49</v>
      </c>
    </row>
    <row r="12" spans="1:49" x14ac:dyDescent="0.25">
      <c r="A12" s="2">
        <v>1</v>
      </c>
      <c r="B12" s="2" t="s">
        <v>2224</v>
      </c>
      <c r="C12" s="2" t="s">
        <v>2225</v>
      </c>
      <c r="D12" s="2" t="s">
        <v>2294</v>
      </c>
      <c r="E12" s="2" t="s">
        <v>465</v>
      </c>
      <c r="F12" s="3">
        <v>45663.693715277783</v>
      </c>
      <c r="G12" s="3">
        <v>45666.407743055563</v>
      </c>
      <c r="H12" s="4">
        <v>45667</v>
      </c>
      <c r="I12" s="2" t="s">
        <v>21</v>
      </c>
      <c r="J12" s="2" t="s">
        <v>22</v>
      </c>
      <c r="K12" s="2">
        <v>1</v>
      </c>
      <c r="L12" s="2">
        <v>17048.099999999999</v>
      </c>
      <c r="M12" s="2">
        <v>0</v>
      </c>
      <c r="N12" s="2">
        <v>11840.88967445675</v>
      </c>
      <c r="O12" s="2">
        <v>15086.8</v>
      </c>
      <c r="P12" s="2">
        <v>1961.3</v>
      </c>
      <c r="Q12" s="2">
        <v>17048.099999999999</v>
      </c>
      <c r="R12" s="2" t="s">
        <v>44</v>
      </c>
      <c r="S12" s="2"/>
      <c r="T12" s="2">
        <f t="shared" si="3"/>
        <v>1</v>
      </c>
      <c r="U12" s="18">
        <f t="shared" si="4"/>
        <v>1</v>
      </c>
      <c r="V12" s="18">
        <f t="shared" si="5"/>
        <v>2025</v>
      </c>
      <c r="W12" s="18">
        <f t="shared" si="6"/>
        <v>3</v>
      </c>
      <c r="X12" s="18">
        <f t="shared" si="7"/>
        <v>2025</v>
      </c>
      <c r="Y12" s="2">
        <f t="shared" si="0"/>
        <v>0.69455773220809069</v>
      </c>
      <c r="Z12" t="str">
        <f t="shared" si="1"/>
        <v>SO16368</v>
      </c>
      <c r="AA12" s="11">
        <f t="shared" si="8"/>
        <v>45663.693715277783</v>
      </c>
      <c r="AB12" s="5" t="str">
        <f t="shared" si="9"/>
        <v>INV12509</v>
      </c>
      <c r="AC12" s="5" t="str">
        <f>IFERROR(VLOOKUP(D12,CAARStatus!$A$2:$AA$1600,22,FALSE),"Not invoiced")</f>
        <v>Paid</v>
      </c>
      <c r="AD12" s="11">
        <f>IF(AC12="Paid",IFERROR(VLOOKUP(D12,CAARStatus!$A$2:$AA$1600,6,FALSE),"Pending"),"Pending")</f>
        <v>45721</v>
      </c>
      <c r="AE12" s="5" t="str">
        <f t="shared" si="10"/>
        <v>M-083469</v>
      </c>
      <c r="AF12" s="5" t="str">
        <f t="shared" si="11"/>
        <v>Grant Aggregate</v>
      </c>
      <c r="AG12" s="5" t="str">
        <f t="shared" si="12"/>
        <v>CAD</v>
      </c>
      <c r="AH12" s="5">
        <f t="shared" si="13"/>
        <v>15086.8</v>
      </c>
      <c r="AI12" s="12">
        <f>IF(L12-N12=0,VLOOKUP(U12,rate!A$4:B$15,2,FALSE)*AH12,IF(AG12="USD",O12,AH12*Y12))</f>
        <v>10478.653594277022</v>
      </c>
      <c r="AJ12" s="13">
        <f t="shared" si="14"/>
        <v>0.69455773220809069</v>
      </c>
      <c r="AK12" s="13">
        <f>-IF(AG12="CAD",IFERROR(VLOOKUP(D12,CAARStatus!$A$1:$Y$1600,16,FALSE),0),0)</f>
        <v>-15086.8</v>
      </c>
      <c r="AL12" s="13">
        <f>-IF(AG12="USD",IFERROR(VLOOKUP(D12,CAARStatus!$A$1:$Y$1600,11,FALSE),0),0)</f>
        <v>0</v>
      </c>
      <c r="AM12" s="22">
        <f t="shared" si="15"/>
        <v>0</v>
      </c>
      <c r="AN12" s="12" t="str">
        <f t="shared" si="16"/>
        <v/>
      </c>
      <c r="AO12" s="12" t="str">
        <f t="shared" si="17"/>
        <v>Yes</v>
      </c>
      <c r="AP12" t="str">
        <f t="shared" si="2"/>
        <v>Yes</v>
      </c>
      <c r="AQ12" t="str">
        <f>IFERROR(VLOOKUP(Z12,InvBal!$L$4:$P$600,4,FALSE),"Pend")</f>
        <v>Pend</v>
      </c>
      <c r="AR12" t="str">
        <f>IFERROR(VLOOKUP(D12,Manual!$C$1:$E$22,2,FALSE),"Pend")</f>
        <v>Pend</v>
      </c>
      <c r="AS12" t="str">
        <f t="shared" si="18"/>
        <v>Yes</v>
      </c>
      <c r="AT12" t="str">
        <f t="shared" si="19"/>
        <v>Yes</v>
      </c>
      <c r="AU12" s="51" t="str">
        <f t="shared" si="20"/>
        <v>Yes</v>
      </c>
      <c r="AV12" s="12">
        <f>IFERROR(VLOOKUP(D12,'Receivable Invoice Detail'!$S$1:$U$3014,3,FALSE),0)</f>
        <v>0</v>
      </c>
      <c r="AW12" s="12">
        <f t="shared" si="21"/>
        <v>10478.653594277022</v>
      </c>
    </row>
    <row r="13" spans="1:49" ht="30" x14ac:dyDescent="0.25">
      <c r="A13" s="2">
        <v>1</v>
      </c>
      <c r="B13" s="2" t="s">
        <v>2251</v>
      </c>
      <c r="C13" s="2" t="s">
        <v>2252</v>
      </c>
      <c r="D13" s="2" t="s">
        <v>2278</v>
      </c>
      <c r="E13" s="2" t="s">
        <v>35</v>
      </c>
      <c r="F13" s="3">
        <v>45664.409247685187</v>
      </c>
      <c r="G13" s="3">
        <v>45664.621874999997</v>
      </c>
      <c r="H13" s="4">
        <v>45665</v>
      </c>
      <c r="I13" s="2" t="s">
        <v>21</v>
      </c>
      <c r="J13" s="2" t="s">
        <v>22</v>
      </c>
      <c r="K13" s="2">
        <v>1</v>
      </c>
      <c r="L13" s="2">
        <v>117.99</v>
      </c>
      <c r="M13" s="2">
        <v>0</v>
      </c>
      <c r="N13" s="2">
        <v>82.255856549940304</v>
      </c>
      <c r="O13" s="2">
        <v>112.37</v>
      </c>
      <c r="P13" s="2">
        <v>5.62</v>
      </c>
      <c r="Q13" s="2">
        <v>117.99</v>
      </c>
      <c r="R13" s="2" t="s">
        <v>44</v>
      </c>
      <c r="S13" s="2"/>
      <c r="T13" s="2">
        <f t="shared" si="3"/>
        <v>1</v>
      </c>
      <c r="U13" s="18">
        <f t="shared" si="4"/>
        <v>1</v>
      </c>
      <c r="V13" s="18">
        <f t="shared" si="5"/>
        <v>2025</v>
      </c>
      <c r="W13" s="18">
        <f t="shared" si="6"/>
        <v>2</v>
      </c>
      <c r="X13" s="18">
        <f t="shared" si="7"/>
        <v>2025</v>
      </c>
      <c r="Y13" s="2">
        <f t="shared" si="0"/>
        <v>0.6971426099664404</v>
      </c>
      <c r="Z13" t="str">
        <f t="shared" si="1"/>
        <v>SO16369</v>
      </c>
      <c r="AA13" s="11">
        <f t="shared" si="8"/>
        <v>45664.409247685187</v>
      </c>
      <c r="AB13" s="5" t="str">
        <f t="shared" si="9"/>
        <v>INV12493</v>
      </c>
      <c r="AC13" s="5" t="str">
        <f>IFERROR(VLOOKUP(D13,CAARStatus!$A$2:$AA$1600,22,FALSE),"Not invoiced")</f>
        <v>Paid</v>
      </c>
      <c r="AD13" s="11">
        <f>IF(AC13="Paid",IFERROR(VLOOKUP(D13,CAARStatus!$A$2:$AA$1600,6,FALSE),"Pending"),"Pending")</f>
        <v>45693</v>
      </c>
      <c r="AE13" s="5" t="str">
        <f t="shared" si="10"/>
        <v>PO13146</v>
      </c>
      <c r="AF13" s="5" t="str">
        <f t="shared" si="11"/>
        <v>Manufacture Sling-Choker (Val-d’Or) Ltée</v>
      </c>
      <c r="AG13" s="5" t="str">
        <f t="shared" si="12"/>
        <v>CAD</v>
      </c>
      <c r="AH13" s="5">
        <f t="shared" si="13"/>
        <v>112.37</v>
      </c>
      <c r="AI13" s="12">
        <f>IF(L13-N13=0,VLOOKUP(U13,rate!A$4:B$15,2,FALSE)*AH13,IF(AG13="USD",O13,AH13*Y13))</f>
        <v>78.337915081928912</v>
      </c>
      <c r="AJ13" s="13">
        <f t="shared" si="14"/>
        <v>0.6971426099664404</v>
      </c>
      <c r="AK13" s="13">
        <f>-IF(AG13="CAD",IFERROR(VLOOKUP(D13,CAARStatus!$A$1:$Y$1600,16,FALSE),0),0)</f>
        <v>-112.37</v>
      </c>
      <c r="AL13" s="13">
        <f>-IF(AG13="USD",IFERROR(VLOOKUP(D13,CAARStatus!$A$1:$Y$1600,11,FALSE),0),0)</f>
        <v>0</v>
      </c>
      <c r="AM13" s="22">
        <f t="shared" si="15"/>
        <v>0</v>
      </c>
      <c r="AN13" s="12" t="str">
        <f t="shared" si="16"/>
        <v/>
      </c>
      <c r="AO13" s="12" t="str">
        <f t="shared" si="17"/>
        <v>Yes</v>
      </c>
      <c r="AP13" t="str">
        <f t="shared" si="2"/>
        <v>Yes</v>
      </c>
      <c r="AQ13" t="str">
        <f>IFERROR(VLOOKUP(Z13,InvBal!$L$4:$P$600,4,FALSE),"Pend")</f>
        <v>Pend</v>
      </c>
      <c r="AR13" t="str">
        <f>IFERROR(VLOOKUP(D13,Manual!$C$1:$E$22,2,FALSE),"Pend")</f>
        <v>Pend</v>
      </c>
      <c r="AS13" t="str">
        <f t="shared" si="18"/>
        <v>Yes</v>
      </c>
      <c r="AT13" t="str">
        <f t="shared" si="19"/>
        <v>Yes</v>
      </c>
      <c r="AU13" s="51" t="str">
        <f t="shared" si="20"/>
        <v>Yes</v>
      </c>
      <c r="AV13" s="12">
        <f>IFERROR(VLOOKUP(D13,'Receivable Invoice Detail'!$S$1:$U$3014,3,FALSE),0)</f>
        <v>0</v>
      </c>
      <c r="AW13" s="12">
        <f t="shared" si="21"/>
        <v>78.337915081928912</v>
      </c>
    </row>
    <row r="14" spans="1:49" x14ac:dyDescent="0.25">
      <c r="A14" s="2">
        <v>1</v>
      </c>
      <c r="B14" s="2" t="s">
        <v>2175</v>
      </c>
      <c r="C14" s="2" t="s">
        <v>2176</v>
      </c>
      <c r="D14" s="2" t="s">
        <v>2318</v>
      </c>
      <c r="E14" s="2" t="s">
        <v>54</v>
      </c>
      <c r="F14" s="3">
        <v>45664.490856481483</v>
      </c>
      <c r="G14" s="3">
        <v>45673.632268518522</v>
      </c>
      <c r="H14" s="4">
        <v>45720</v>
      </c>
      <c r="I14" s="2" t="s">
        <v>21</v>
      </c>
      <c r="J14" s="2" t="s">
        <v>22</v>
      </c>
      <c r="K14" s="2">
        <v>1</v>
      </c>
      <c r="L14" s="2">
        <v>1657.93</v>
      </c>
      <c r="M14" s="2">
        <v>0</v>
      </c>
      <c r="N14" s="2">
        <v>1152.842562185547</v>
      </c>
      <c r="O14" s="2">
        <v>1578.98</v>
      </c>
      <c r="P14" s="2">
        <v>78.95</v>
      </c>
      <c r="Q14" s="2">
        <v>1657.93</v>
      </c>
      <c r="R14" s="2" t="s">
        <v>44</v>
      </c>
      <c r="S14" s="2"/>
      <c r="T14" s="2">
        <f t="shared" si="3"/>
        <v>1</v>
      </c>
      <c r="U14" s="18">
        <f t="shared" si="4"/>
        <v>1</v>
      </c>
      <c r="V14" s="18">
        <f t="shared" si="5"/>
        <v>2025</v>
      </c>
      <c r="W14" s="18">
        <f t="shared" si="6"/>
        <v>4</v>
      </c>
      <c r="X14" s="18">
        <f t="shared" si="7"/>
        <v>2025</v>
      </c>
      <c r="Y14" s="2">
        <f t="shared" si="0"/>
        <v>0.69535056497291614</v>
      </c>
      <c r="Z14" t="str">
        <f t="shared" si="1"/>
        <v>SO16372</v>
      </c>
      <c r="AA14" s="11">
        <f t="shared" si="8"/>
        <v>45664.490856481483</v>
      </c>
      <c r="AB14" s="5" t="str">
        <f t="shared" si="9"/>
        <v>INV12779</v>
      </c>
      <c r="AC14" s="5" t="str">
        <f>IFERROR(VLOOKUP(D14,CAARStatus!$A$2:$AA$1600,22,FALSE),"Not invoiced")</f>
        <v>Paid</v>
      </c>
      <c r="AD14" s="11">
        <f>IF(AC14="Paid",IFERROR(VLOOKUP(D14,CAARStatus!$A$2:$AA$1600,6,FALSE),"Pending"),"Pending")</f>
        <v>45772</v>
      </c>
      <c r="AE14" s="5" t="str">
        <f t="shared" si="10"/>
        <v>2991</v>
      </c>
      <c r="AF14" s="5" t="str">
        <f t="shared" si="11"/>
        <v>Les Pompes du St-Laurent Inc.</v>
      </c>
      <c r="AG14" s="5" t="str">
        <f t="shared" si="12"/>
        <v>CAD</v>
      </c>
      <c r="AH14" s="5">
        <f t="shared" si="13"/>
        <v>1578.98</v>
      </c>
      <c r="AI14" s="12">
        <f>IF(L14-N14=0,VLOOKUP(U14,rate!A$4:B$15,2,FALSE)*AH14,IF(AG14="USD",O14,AH14*Y14))</f>
        <v>1097.9446350809351</v>
      </c>
      <c r="AJ14" s="13">
        <f t="shared" si="14"/>
        <v>0.69535056497291614</v>
      </c>
      <c r="AK14" s="13">
        <f>-IF(AG14="CAD",IFERROR(VLOOKUP(D14,CAARStatus!$A$1:$Y$1600,16,FALSE),0),0)</f>
        <v>-1578.98</v>
      </c>
      <c r="AL14" s="13">
        <f>-IF(AG14="USD",IFERROR(VLOOKUP(D14,CAARStatus!$A$1:$Y$1600,11,FALSE),0),0)</f>
        <v>0</v>
      </c>
      <c r="AM14" s="22">
        <f t="shared" si="15"/>
        <v>0</v>
      </c>
      <c r="AN14" s="12" t="str">
        <f t="shared" si="16"/>
        <v/>
      </c>
      <c r="AO14" s="12" t="str">
        <f t="shared" si="17"/>
        <v>Yes</v>
      </c>
      <c r="AP14" t="str">
        <f t="shared" si="2"/>
        <v>Yes</v>
      </c>
      <c r="AQ14" t="str">
        <f>IFERROR(VLOOKUP(Z14,InvBal!$L$4:$P$600,4,FALSE),"Pend")</f>
        <v>Pend</v>
      </c>
      <c r="AR14" t="str">
        <f>IFERROR(VLOOKUP(D14,Manual!$C$1:$E$22,2,FALSE),"Pend")</f>
        <v>Pend</v>
      </c>
      <c r="AS14" t="str">
        <f t="shared" si="18"/>
        <v>Yes</v>
      </c>
      <c r="AT14" t="str">
        <f t="shared" si="19"/>
        <v>Yes</v>
      </c>
      <c r="AU14" s="51" t="str">
        <f t="shared" si="20"/>
        <v>Yes</v>
      </c>
      <c r="AV14" s="12">
        <f>IFERROR(VLOOKUP(D14,'Receivable Invoice Detail'!$S$1:$U$3014,3,FALSE),0)</f>
        <v>0</v>
      </c>
      <c r="AW14" s="12">
        <f t="shared" si="21"/>
        <v>1097.9446350809351</v>
      </c>
    </row>
    <row r="15" spans="1:49" x14ac:dyDescent="0.25">
      <c r="A15" s="2">
        <v>1</v>
      </c>
      <c r="B15" s="2" t="s">
        <v>2228</v>
      </c>
      <c r="C15" s="2" t="s">
        <v>2229</v>
      </c>
      <c r="D15" s="2" t="s">
        <v>2292</v>
      </c>
      <c r="E15" s="2" t="s">
        <v>54</v>
      </c>
      <c r="F15" s="3">
        <v>45664.532511574071</v>
      </c>
      <c r="G15" s="3">
        <v>45665.677407407413</v>
      </c>
      <c r="H15" s="4">
        <v>45666</v>
      </c>
      <c r="I15" s="2" t="s">
        <v>21</v>
      </c>
      <c r="J15" s="2" t="s">
        <v>22</v>
      </c>
      <c r="K15" s="2">
        <v>1</v>
      </c>
      <c r="L15" s="2">
        <v>3783.15</v>
      </c>
      <c r="M15" s="2">
        <v>0</v>
      </c>
      <c r="N15" s="2">
        <v>2631.4955949374539</v>
      </c>
      <c r="O15" s="2">
        <v>3603</v>
      </c>
      <c r="P15" s="2">
        <v>180.15</v>
      </c>
      <c r="Q15" s="2">
        <v>3783.15</v>
      </c>
      <c r="R15" s="2" t="s">
        <v>44</v>
      </c>
      <c r="S15" s="2"/>
      <c r="T15" s="2">
        <f t="shared" si="3"/>
        <v>1</v>
      </c>
      <c r="U15" s="18">
        <f t="shared" si="4"/>
        <v>1</v>
      </c>
      <c r="V15" s="18">
        <f t="shared" si="5"/>
        <v>2025</v>
      </c>
      <c r="W15" s="18">
        <f t="shared" si="6"/>
        <v>2</v>
      </c>
      <c r="X15" s="18">
        <f t="shared" si="7"/>
        <v>2025</v>
      </c>
      <c r="Y15" s="2">
        <f t="shared" si="0"/>
        <v>0.69558320313428068</v>
      </c>
      <c r="Z15" t="str">
        <f t="shared" si="1"/>
        <v>SO16374</v>
      </c>
      <c r="AA15" s="11">
        <f t="shared" si="8"/>
        <v>45664.532511574071</v>
      </c>
      <c r="AB15" s="5" t="str">
        <f t="shared" si="9"/>
        <v>INV12505</v>
      </c>
      <c r="AC15" s="5" t="str">
        <f>IFERROR(VLOOKUP(D15,CAARStatus!$A$2:$AA$1600,22,FALSE),"Not invoiced")</f>
        <v>Paid</v>
      </c>
      <c r="AD15" s="11">
        <f>IF(AC15="Paid",IFERROR(VLOOKUP(D15,CAARStatus!$A$2:$AA$1600,6,FALSE),"Pending"),"Pending")</f>
        <v>45706</v>
      </c>
      <c r="AE15" s="5" t="str">
        <f t="shared" si="10"/>
        <v>2967</v>
      </c>
      <c r="AF15" s="5" t="str">
        <f t="shared" si="11"/>
        <v>Les Pompes du St-Laurent Inc.</v>
      </c>
      <c r="AG15" s="5" t="str">
        <f t="shared" si="12"/>
        <v>CAD</v>
      </c>
      <c r="AH15" s="5">
        <f t="shared" si="13"/>
        <v>3603</v>
      </c>
      <c r="AI15" s="12">
        <f>IF(L15-N15=0,VLOOKUP(U15,rate!A$4:B$15,2,FALSE)*AH15,IF(AG15="USD",O15,AH15*Y15))</f>
        <v>2506.1862808928131</v>
      </c>
      <c r="AJ15" s="13">
        <f t="shared" si="14"/>
        <v>0.69558320313428068</v>
      </c>
      <c r="AK15" s="13">
        <f>-IF(AG15="CAD",IFERROR(VLOOKUP(D15,CAARStatus!$A$1:$Y$1600,16,FALSE),0),0)</f>
        <v>-3603</v>
      </c>
      <c r="AL15" s="13">
        <f>-IF(AG15="USD",IFERROR(VLOOKUP(D15,CAARStatus!$A$1:$Y$1600,11,FALSE),0),0)</f>
        <v>0</v>
      </c>
      <c r="AM15" s="22">
        <f t="shared" si="15"/>
        <v>0</v>
      </c>
      <c r="AN15" s="12" t="str">
        <f t="shared" si="16"/>
        <v/>
      </c>
      <c r="AO15" s="12" t="str">
        <f t="shared" si="17"/>
        <v>Yes</v>
      </c>
      <c r="AP15" t="str">
        <f t="shared" si="2"/>
        <v>Yes</v>
      </c>
      <c r="AQ15" t="str">
        <f>IFERROR(VLOOKUP(Z15,InvBal!$L$4:$P$600,4,FALSE),"Pend")</f>
        <v>Pend</v>
      </c>
      <c r="AR15" t="str">
        <f>IFERROR(VLOOKUP(D15,Manual!$C$1:$E$22,2,FALSE),"Pend")</f>
        <v>Pend</v>
      </c>
      <c r="AS15" t="str">
        <f t="shared" si="18"/>
        <v>Yes</v>
      </c>
      <c r="AT15" t="str">
        <f t="shared" si="19"/>
        <v>Yes</v>
      </c>
      <c r="AU15" s="51" t="str">
        <f t="shared" si="20"/>
        <v>Yes</v>
      </c>
      <c r="AV15" s="12">
        <f>IFERROR(VLOOKUP(D15,'Receivable Invoice Detail'!$S$1:$U$3014,3,FALSE),0)</f>
        <v>0</v>
      </c>
      <c r="AW15" s="12">
        <f t="shared" si="21"/>
        <v>2506.1862808928131</v>
      </c>
    </row>
    <row r="16" spans="1:49" x14ac:dyDescent="0.25">
      <c r="A16" s="2">
        <v>1</v>
      </c>
      <c r="B16" s="2" t="s">
        <v>2236</v>
      </c>
      <c r="C16" s="2" t="s">
        <v>2237</v>
      </c>
      <c r="D16" s="2" t="s">
        <v>2285</v>
      </c>
      <c r="E16" s="2" t="s">
        <v>70</v>
      </c>
      <c r="F16" s="3">
        <v>45664.544502314813</v>
      </c>
      <c r="G16" s="3">
        <v>45665.577222222222</v>
      </c>
      <c r="H16" s="4">
        <v>45666</v>
      </c>
      <c r="I16" s="2" t="s">
        <v>71</v>
      </c>
      <c r="J16" s="2" t="s">
        <v>22</v>
      </c>
      <c r="K16" s="2">
        <v>1</v>
      </c>
      <c r="L16" s="2">
        <v>5506</v>
      </c>
      <c r="M16" s="2">
        <v>0</v>
      </c>
      <c r="N16" s="2">
        <v>3829.8811164573499</v>
      </c>
      <c r="O16" s="2">
        <v>5506</v>
      </c>
      <c r="P16" s="2"/>
      <c r="Q16" s="2">
        <v>5506</v>
      </c>
      <c r="R16" s="2" t="s">
        <v>44</v>
      </c>
      <c r="S16" s="2"/>
      <c r="T16" s="2">
        <f t="shared" si="3"/>
        <v>1</v>
      </c>
      <c r="U16" s="18">
        <f t="shared" si="4"/>
        <v>1</v>
      </c>
      <c r="V16" s="18">
        <f t="shared" si="5"/>
        <v>2025</v>
      </c>
      <c r="W16" s="18">
        <f t="shared" si="6"/>
        <v>4</v>
      </c>
      <c r="X16" s="18">
        <f t="shared" si="7"/>
        <v>2025</v>
      </c>
      <c r="Y16" s="2">
        <f t="shared" si="0"/>
        <v>0.69558320313428079</v>
      </c>
      <c r="Z16" t="str">
        <f t="shared" si="1"/>
        <v>SO16375</v>
      </c>
      <c r="AA16" s="11">
        <f t="shared" si="8"/>
        <v>45664.544502314813</v>
      </c>
      <c r="AB16" s="5" t="str">
        <f t="shared" si="9"/>
        <v>INV12504</v>
      </c>
      <c r="AC16" s="5" t="str">
        <f>IFERROR(VLOOKUP(D16,CAARStatus!$A$2:$AA$1600,22,FALSE),"Not invoiced")</f>
        <v>Paid</v>
      </c>
      <c r="AD16" s="11">
        <f>IF(AC16="Paid",IFERROR(VLOOKUP(D16,CAARStatus!$A$2:$AA$1600,6,FALSE),"Pending"),"Pending")</f>
        <v>45754</v>
      </c>
      <c r="AE16" s="5" t="str">
        <f t="shared" si="10"/>
        <v>P349794</v>
      </c>
      <c r="AF16" s="5" t="str">
        <f t="shared" si="11"/>
        <v>Covia Corp - Junction City</v>
      </c>
      <c r="AG16" s="5" t="str">
        <f t="shared" si="12"/>
        <v>CAD</v>
      </c>
      <c r="AH16" s="5">
        <f t="shared" si="13"/>
        <v>5506</v>
      </c>
      <c r="AI16" s="12">
        <f>IF(L16-N16=0,VLOOKUP(U16,rate!A$4:B$15,2,FALSE)*AH16,IF(AG16="USD",O16,AH16*Y16))</f>
        <v>3829.8811164573499</v>
      </c>
      <c r="AJ16" s="13">
        <f t="shared" si="14"/>
        <v>0.69558320313428079</v>
      </c>
      <c r="AK16" s="13">
        <f>-IF(AG16="CAD",IFERROR(VLOOKUP(D16,CAARStatus!$A$1:$Y$1600,16,FALSE),0),0)</f>
        <v>-7940.8689381647737</v>
      </c>
      <c r="AL16" s="13">
        <f>-IF(AG16="USD",IFERROR(VLOOKUP(D16,CAARStatus!$A$1:$Y$1600,11,FALSE),0),0)</f>
        <v>0</v>
      </c>
      <c r="AM16" s="22">
        <f t="shared" si="15"/>
        <v>-2434.8689381647737</v>
      </c>
      <c r="AN16" s="12" t="str">
        <f t="shared" si="16"/>
        <v/>
      </c>
      <c r="AO16" s="12" t="str">
        <f t="shared" si="17"/>
        <v>Yes</v>
      </c>
      <c r="AP16" t="str">
        <f t="shared" si="2"/>
        <v>Yes</v>
      </c>
      <c r="AQ16" t="str">
        <f>IFERROR(VLOOKUP(Z16,InvBal!$L$4:$P$600,4,FALSE),"Pend")</f>
        <v>Pend</v>
      </c>
      <c r="AR16" t="str">
        <f>IFERROR(VLOOKUP(D16,Manual!$C$1:$E$22,2,FALSE),"Pend")</f>
        <v>Pend</v>
      </c>
      <c r="AS16" t="str">
        <f t="shared" si="18"/>
        <v>Yes</v>
      </c>
      <c r="AT16" t="str">
        <f t="shared" si="19"/>
        <v>Yes</v>
      </c>
      <c r="AU16" s="51" t="str">
        <f t="shared" si="20"/>
        <v>Yes</v>
      </c>
      <c r="AV16" s="12">
        <f>IFERROR(VLOOKUP(D16,'Receivable Invoice Detail'!$S$1:$U$3014,3,FALSE),0)</f>
        <v>0</v>
      </c>
      <c r="AW16" s="12">
        <f t="shared" si="21"/>
        <v>3829.8811164573499</v>
      </c>
    </row>
    <row r="17" spans="1:49" ht="30" x14ac:dyDescent="0.25">
      <c r="A17" s="2">
        <v>1</v>
      </c>
      <c r="B17" s="2" t="s">
        <v>2249</v>
      </c>
      <c r="C17" s="2" t="s">
        <v>2250</v>
      </c>
      <c r="D17" s="2" t="s">
        <v>2279</v>
      </c>
      <c r="E17" s="2" t="s">
        <v>98</v>
      </c>
      <c r="F17" s="3">
        <v>45664.556076388893</v>
      </c>
      <c r="G17" s="3">
        <v>45664.681759259263</v>
      </c>
      <c r="H17" s="4">
        <v>45326</v>
      </c>
      <c r="I17" s="2" t="s">
        <v>21</v>
      </c>
      <c r="J17" s="2" t="s">
        <v>22</v>
      </c>
      <c r="K17" s="2">
        <v>1</v>
      </c>
      <c r="L17" s="2">
        <v>13951.67</v>
      </c>
      <c r="M17" s="2">
        <v>0</v>
      </c>
      <c r="N17" s="2">
        <v>9726.3036371904873</v>
      </c>
      <c r="O17" s="2">
        <v>12346.61</v>
      </c>
      <c r="P17" s="2">
        <v>1605.06</v>
      </c>
      <c r="Q17" s="2">
        <v>13951.67</v>
      </c>
      <c r="R17" s="2" t="s">
        <v>44</v>
      </c>
      <c r="S17" s="2"/>
      <c r="T17" s="2">
        <f t="shared" si="3"/>
        <v>1</v>
      </c>
      <c r="U17" s="18">
        <f t="shared" si="4"/>
        <v>1</v>
      </c>
      <c r="V17" s="18">
        <f t="shared" si="5"/>
        <v>2025</v>
      </c>
      <c r="W17" s="18">
        <f t="shared" si="6"/>
        <v>2</v>
      </c>
      <c r="X17" s="18">
        <f t="shared" si="7"/>
        <v>2025</v>
      </c>
      <c r="Y17" s="2">
        <f t="shared" si="0"/>
        <v>0.6971426099664404</v>
      </c>
      <c r="Z17" t="str">
        <f t="shared" si="1"/>
        <v>SO16376</v>
      </c>
      <c r="AA17" s="11">
        <f t="shared" si="8"/>
        <v>45664.556076388893</v>
      </c>
      <c r="AB17" s="5" t="str">
        <f t="shared" si="9"/>
        <v>INV12592</v>
      </c>
      <c r="AC17" s="5" t="str">
        <f>IFERROR(VLOOKUP(D17,CAARStatus!$A$2:$AA$1600,22,FALSE),"Not invoiced")</f>
        <v>Paid</v>
      </c>
      <c r="AD17" s="11">
        <f>IF(AC17="Paid",IFERROR(VLOOKUP(D17,CAARStatus!$A$2:$AA$1600,6,FALSE),"Pending"),"Pending")</f>
        <v>45707</v>
      </c>
      <c r="AE17" s="5" t="str">
        <f t="shared" si="10"/>
        <v>007656</v>
      </c>
      <c r="AF17" s="5" t="str">
        <f t="shared" si="11"/>
        <v>Sling-Choker Manufacturing - Timmins</v>
      </c>
      <c r="AG17" s="5" t="str">
        <f t="shared" si="12"/>
        <v>CAD</v>
      </c>
      <c r="AH17" s="5">
        <f t="shared" si="13"/>
        <v>12346.61</v>
      </c>
      <c r="AI17" s="12">
        <f>IF(L17-N17=0,VLOOKUP(U17,rate!A$4:B$15,2,FALSE)*AH17,IF(AG17="USD",O17,AH17*Y17))</f>
        <v>8607.3479196377539</v>
      </c>
      <c r="AJ17" s="13">
        <f t="shared" si="14"/>
        <v>0.69714260996644051</v>
      </c>
      <c r="AK17" s="13">
        <f>-IF(AG17="CAD",IFERROR(VLOOKUP(D17,CAARStatus!$A$1:$Y$1600,16,FALSE),0),0)</f>
        <v>-12346.61</v>
      </c>
      <c r="AL17" s="13">
        <f>-IF(AG17="USD",IFERROR(VLOOKUP(D17,CAARStatus!$A$1:$Y$1600,11,FALSE),0),0)</f>
        <v>0</v>
      </c>
      <c r="AM17" s="22">
        <f t="shared" si="15"/>
        <v>0</v>
      </c>
      <c r="AN17" s="12" t="str">
        <f t="shared" si="16"/>
        <v/>
      </c>
      <c r="AO17" s="12" t="str">
        <f t="shared" si="17"/>
        <v>Yes</v>
      </c>
      <c r="AP17" t="str">
        <f t="shared" si="2"/>
        <v>Yes</v>
      </c>
      <c r="AQ17" t="str">
        <f>IFERROR(VLOOKUP(Z17,InvBal!$L$4:$P$600,4,FALSE),"Pend")</f>
        <v>Pend</v>
      </c>
      <c r="AR17" t="str">
        <f>IFERROR(VLOOKUP(D17,Manual!$C$1:$E$22,2,FALSE),"Pend")</f>
        <v>Pend</v>
      </c>
      <c r="AS17" t="str">
        <f t="shared" si="18"/>
        <v>Yes</v>
      </c>
      <c r="AT17" t="str">
        <f t="shared" si="19"/>
        <v>Yes</v>
      </c>
      <c r="AU17" s="51" t="str">
        <f t="shared" si="20"/>
        <v>Yes</v>
      </c>
      <c r="AV17" s="12">
        <f>IFERROR(VLOOKUP(D17,'Receivable Invoice Detail'!$S$1:$U$3014,3,FALSE),0)</f>
        <v>0</v>
      </c>
      <c r="AW17" s="12">
        <f t="shared" si="21"/>
        <v>8607.3479196377539</v>
      </c>
    </row>
    <row r="18" spans="1:49" x14ac:dyDescent="0.25">
      <c r="A18" s="2">
        <v>1</v>
      </c>
      <c r="B18" s="2" t="s">
        <v>2247</v>
      </c>
      <c r="C18" s="2" t="s">
        <v>2248</v>
      </c>
      <c r="D18" s="2" t="s">
        <v>2280</v>
      </c>
      <c r="E18" s="2" t="s">
        <v>95</v>
      </c>
      <c r="F18" s="3">
        <v>45664.680543981478</v>
      </c>
      <c r="G18" s="3">
        <v>45664.716041666667</v>
      </c>
      <c r="H18" s="4">
        <v>45706</v>
      </c>
      <c r="I18" s="2" t="s">
        <v>21</v>
      </c>
      <c r="J18" s="2" t="s">
        <v>22</v>
      </c>
      <c r="K18" s="2">
        <v>1</v>
      </c>
      <c r="L18" s="2">
        <v>5367.86</v>
      </c>
      <c r="M18" s="2">
        <v>0</v>
      </c>
      <c r="N18" s="2">
        <v>3742.1639303344559</v>
      </c>
      <c r="O18" s="2">
        <v>5112.25</v>
      </c>
      <c r="P18" s="2">
        <v>255.61</v>
      </c>
      <c r="Q18" s="2">
        <v>5367.86</v>
      </c>
      <c r="R18" s="2" t="s">
        <v>44</v>
      </c>
      <c r="S18" s="2"/>
      <c r="T18" s="2">
        <f t="shared" si="3"/>
        <v>1</v>
      </c>
      <c r="U18" s="18">
        <f t="shared" si="4"/>
        <v>1</v>
      </c>
      <c r="V18" s="18">
        <f t="shared" si="5"/>
        <v>2025</v>
      </c>
      <c r="W18" s="18">
        <f t="shared" si="6"/>
        <v>3</v>
      </c>
      <c r="X18" s="18">
        <f t="shared" si="7"/>
        <v>2025</v>
      </c>
      <c r="Y18" s="2">
        <f t="shared" si="0"/>
        <v>0.69714260996644029</v>
      </c>
      <c r="Z18" t="str">
        <f t="shared" si="1"/>
        <v>SO16377</v>
      </c>
      <c r="AA18" s="11">
        <f t="shared" si="8"/>
        <v>45664.680543981478</v>
      </c>
      <c r="AB18" s="5" t="str">
        <f t="shared" si="9"/>
        <v>INV12597</v>
      </c>
      <c r="AC18" s="5" t="str">
        <f>IFERROR(VLOOKUP(D18,CAARStatus!$A$2:$AA$1600,22,FALSE),"Not invoiced")</f>
        <v>Paid</v>
      </c>
      <c r="AD18" s="11">
        <f>IF(AC18="Paid",IFERROR(VLOOKUP(D18,CAARStatus!$A$2:$AA$1600,6,FALSE),"Pending"),"Pending")</f>
        <v>45721</v>
      </c>
      <c r="AE18" s="5" t="str">
        <f t="shared" si="10"/>
        <v>316223</v>
      </c>
      <c r="AF18" s="5" t="str">
        <f t="shared" si="11"/>
        <v>Gibraltar Mine (Canada)</v>
      </c>
      <c r="AG18" s="5" t="str">
        <f t="shared" si="12"/>
        <v>CAD</v>
      </c>
      <c r="AH18" s="5">
        <f t="shared" si="13"/>
        <v>5112.25</v>
      </c>
      <c r="AI18" s="12">
        <f>IF(L18-N18=0,VLOOKUP(U18,rate!A$4:B$15,2,FALSE)*AH18,IF(AG18="USD",O18,AH18*Y18))</f>
        <v>3563.9673078009341</v>
      </c>
      <c r="AJ18" s="13">
        <f t="shared" si="14"/>
        <v>0.69714260996644029</v>
      </c>
      <c r="AK18" s="13">
        <f>-IF(AG18="CAD",IFERROR(VLOOKUP(D18,CAARStatus!$A$1:$Y$1600,16,FALSE),0),0)</f>
        <v>-5112.25</v>
      </c>
      <c r="AL18" s="13">
        <f>-IF(AG18="USD",IFERROR(VLOOKUP(D18,CAARStatus!$A$1:$Y$1600,11,FALSE),0),0)</f>
        <v>0</v>
      </c>
      <c r="AM18" s="22">
        <f t="shared" si="15"/>
        <v>0</v>
      </c>
      <c r="AN18" s="12" t="str">
        <f t="shared" si="16"/>
        <v/>
      </c>
      <c r="AO18" s="12" t="str">
        <f t="shared" si="17"/>
        <v>Yes</v>
      </c>
      <c r="AP18" t="str">
        <f t="shared" si="2"/>
        <v>Yes</v>
      </c>
      <c r="AQ18" t="str">
        <f>IFERROR(VLOOKUP(Z18,InvBal!$L$4:$P$600,4,FALSE),"Pend")</f>
        <v>Pend</v>
      </c>
      <c r="AR18" t="str">
        <f>IFERROR(VLOOKUP(D18,Manual!$C$1:$E$22,2,FALSE),"Pend")</f>
        <v>Pend</v>
      </c>
      <c r="AS18" t="str">
        <f t="shared" si="18"/>
        <v>Yes</v>
      </c>
      <c r="AT18" t="str">
        <f t="shared" si="19"/>
        <v>Yes</v>
      </c>
      <c r="AU18" s="51" t="str">
        <f t="shared" si="20"/>
        <v>Yes</v>
      </c>
      <c r="AV18" s="12">
        <f>IFERROR(VLOOKUP(D18,'Receivable Invoice Detail'!$S$1:$U$3014,3,FALSE),0)</f>
        <v>0</v>
      </c>
      <c r="AW18" s="12">
        <f t="shared" si="21"/>
        <v>3563.9673078009341</v>
      </c>
    </row>
    <row r="19" spans="1:49" ht="30" x14ac:dyDescent="0.25">
      <c r="A19" s="2">
        <v>1</v>
      </c>
      <c r="B19" s="2" t="s">
        <v>2243</v>
      </c>
      <c r="C19" s="2" t="s">
        <v>2244</v>
      </c>
      <c r="D19" s="2" t="s">
        <v>2282</v>
      </c>
      <c r="E19" s="2" t="s">
        <v>1236</v>
      </c>
      <c r="F19" s="3">
        <v>45664.694398148153</v>
      </c>
      <c r="G19" s="3">
        <v>45665.3905787037</v>
      </c>
      <c r="H19" s="4">
        <v>45693</v>
      </c>
      <c r="I19" s="2" t="s">
        <v>21</v>
      </c>
      <c r="J19" s="2" t="s">
        <v>22</v>
      </c>
      <c r="K19" s="2">
        <v>1</v>
      </c>
      <c r="L19" s="2">
        <v>1036.94</v>
      </c>
      <c r="M19" s="2">
        <v>0</v>
      </c>
      <c r="N19" s="2">
        <v>721.27804665806116</v>
      </c>
      <c r="O19" s="2">
        <v>987.57</v>
      </c>
      <c r="P19" s="2">
        <v>49.37</v>
      </c>
      <c r="Q19" s="2">
        <v>1036.94</v>
      </c>
      <c r="R19" s="2" t="s">
        <v>44</v>
      </c>
      <c r="S19" s="2"/>
      <c r="T19" s="2">
        <f t="shared" si="3"/>
        <v>1</v>
      </c>
      <c r="U19" s="18">
        <f t="shared" si="4"/>
        <v>1</v>
      </c>
      <c r="V19" s="18">
        <f t="shared" si="5"/>
        <v>2025</v>
      </c>
      <c r="W19" s="18">
        <f t="shared" si="6"/>
        <v>2</v>
      </c>
      <c r="X19" s="18">
        <f t="shared" si="7"/>
        <v>2025</v>
      </c>
      <c r="Y19" s="2">
        <f t="shared" si="0"/>
        <v>0.69558320313428079</v>
      </c>
      <c r="Z19" t="str">
        <f t="shared" si="1"/>
        <v>SO16378</v>
      </c>
      <c r="AA19" s="11">
        <f t="shared" si="8"/>
        <v>45664.694398148153</v>
      </c>
      <c r="AB19" s="5" t="str">
        <f t="shared" si="9"/>
        <v>INV12543</v>
      </c>
      <c r="AC19" s="5" t="str">
        <f>IFERROR(VLOOKUP(D19,CAARStatus!$A$2:$AA$1600,22,FALSE),"Not invoiced")</f>
        <v>Paid</v>
      </c>
      <c r="AD19" s="11">
        <f>IF(AC19="Paid",IFERROR(VLOOKUP(D19,CAARStatus!$A$2:$AA$1600,6,FALSE),"Pending"),"Pending")</f>
        <v>45702</v>
      </c>
      <c r="AE19" s="5" t="str">
        <f t="shared" si="10"/>
        <v>BC78-00052101</v>
      </c>
      <c r="AF19" s="5" t="str">
        <f t="shared" si="11"/>
        <v>Motion Industries Inc. (Canada) - Quesnel</v>
      </c>
      <c r="AG19" s="5" t="str">
        <f t="shared" si="12"/>
        <v>CAD</v>
      </c>
      <c r="AH19" s="5">
        <f t="shared" si="13"/>
        <v>987.57</v>
      </c>
      <c r="AI19" s="12">
        <f>IF(L19-N19=0,VLOOKUP(U19,rate!A$4:B$15,2,FALSE)*AH19,IF(AG19="USD",O19,AH19*Y19))</f>
        <v>686.93710391932177</v>
      </c>
      <c r="AJ19" s="13">
        <f t="shared" si="14"/>
        <v>0.69558320313428079</v>
      </c>
      <c r="AK19" s="13">
        <f>-IF(AG19="CAD",IFERROR(VLOOKUP(D19,CAARStatus!$A$1:$Y$1600,16,FALSE),0),0)</f>
        <v>-987.57</v>
      </c>
      <c r="AL19" s="13">
        <f>-IF(AG19="USD",IFERROR(VLOOKUP(D19,CAARStatus!$A$1:$Y$1600,11,FALSE),0),0)</f>
        <v>0</v>
      </c>
      <c r="AM19" s="22">
        <f t="shared" si="15"/>
        <v>0</v>
      </c>
      <c r="AN19" s="12" t="str">
        <f t="shared" si="16"/>
        <v/>
      </c>
      <c r="AO19" s="12" t="str">
        <f t="shared" si="17"/>
        <v>Yes</v>
      </c>
      <c r="AP19" t="str">
        <f t="shared" si="2"/>
        <v>Yes</v>
      </c>
      <c r="AQ19" t="str">
        <f>IFERROR(VLOOKUP(Z19,InvBal!$L$4:$P$600,4,FALSE),"Pend")</f>
        <v>Pend</v>
      </c>
      <c r="AR19" t="str">
        <f>IFERROR(VLOOKUP(D19,Manual!$C$1:$E$22,2,FALSE),"Pend")</f>
        <v>Pend</v>
      </c>
      <c r="AS19" t="str">
        <f t="shared" si="18"/>
        <v>Yes</v>
      </c>
      <c r="AT19" t="str">
        <f t="shared" si="19"/>
        <v>Yes</v>
      </c>
      <c r="AU19" s="51" t="str">
        <f t="shared" si="20"/>
        <v>Yes</v>
      </c>
      <c r="AV19" s="12">
        <f>IFERROR(VLOOKUP(D19,'Receivable Invoice Detail'!$S$1:$U$3014,3,FALSE),0)</f>
        <v>0</v>
      </c>
      <c r="AW19" s="12">
        <f t="shared" si="21"/>
        <v>686.93710391932177</v>
      </c>
    </row>
    <row r="20" spans="1:49" ht="30" x14ac:dyDescent="0.25">
      <c r="A20" s="2">
        <v>1</v>
      </c>
      <c r="B20" s="2" t="s">
        <v>2245</v>
      </c>
      <c r="C20" s="2" t="s">
        <v>2246</v>
      </c>
      <c r="D20" s="2" t="s">
        <v>2281</v>
      </c>
      <c r="E20" s="2" t="s">
        <v>98</v>
      </c>
      <c r="F20" s="3">
        <v>45665.302384259259</v>
      </c>
      <c r="G20" s="3">
        <v>45665.37672453704</v>
      </c>
      <c r="H20" s="4">
        <v>45665</v>
      </c>
      <c r="I20" s="2" t="s">
        <v>1132</v>
      </c>
      <c r="J20" s="2" t="s">
        <v>22</v>
      </c>
      <c r="K20" s="2">
        <v>1</v>
      </c>
      <c r="L20" s="2">
        <v>2007.42</v>
      </c>
      <c r="M20" s="2">
        <v>0</v>
      </c>
      <c r="N20" s="2">
        <v>1396.3276336358181</v>
      </c>
      <c r="O20" s="2">
        <v>1776.49</v>
      </c>
      <c r="P20" s="2">
        <v>230.93</v>
      </c>
      <c r="Q20" s="2">
        <v>2007.42</v>
      </c>
      <c r="R20" s="2" t="s">
        <v>44</v>
      </c>
      <c r="S20" s="2"/>
      <c r="T20" s="2">
        <f t="shared" si="3"/>
        <v>1</v>
      </c>
      <c r="U20" s="18">
        <f t="shared" si="4"/>
        <v>1</v>
      </c>
      <c r="V20" s="18">
        <f t="shared" si="5"/>
        <v>2025</v>
      </c>
      <c r="W20" s="18">
        <f t="shared" si="6"/>
        <v>2</v>
      </c>
      <c r="X20" s="18">
        <f t="shared" si="7"/>
        <v>2025</v>
      </c>
      <c r="Y20" s="2">
        <f t="shared" si="0"/>
        <v>0.69558320313428079</v>
      </c>
      <c r="Z20" t="str">
        <f t="shared" si="1"/>
        <v>SO16379</v>
      </c>
      <c r="AA20" s="11">
        <f t="shared" si="8"/>
        <v>45665.302384259259</v>
      </c>
      <c r="AB20" s="5" t="str">
        <f t="shared" si="9"/>
        <v>INV12494</v>
      </c>
      <c r="AC20" s="5" t="str">
        <f>IFERROR(VLOOKUP(D20,CAARStatus!$A$2:$AA$1600,22,FALSE),"Not invoiced")</f>
        <v>Paid</v>
      </c>
      <c r="AD20" s="11">
        <f>IF(AC20="Paid",IFERROR(VLOOKUP(D20,CAARStatus!$A$2:$AA$1600,6,FALSE),"Pending"),"Pending")</f>
        <v>45693</v>
      </c>
      <c r="AE20" s="5" t="str">
        <f t="shared" si="10"/>
        <v>PO-007657</v>
      </c>
      <c r="AF20" s="5" t="str">
        <f t="shared" si="11"/>
        <v>Sling-Choker Manufacturing - Timmins</v>
      </c>
      <c r="AG20" s="5" t="str">
        <f t="shared" si="12"/>
        <v>CAD</v>
      </c>
      <c r="AH20" s="5">
        <f t="shared" si="13"/>
        <v>1776.49</v>
      </c>
      <c r="AI20" s="12">
        <f>IF(L20-N20=0,VLOOKUP(U20,rate!A$4:B$15,2,FALSE)*AH20,IF(AG20="USD",O20,AH20*Y20))</f>
        <v>1235.6966045360184</v>
      </c>
      <c r="AJ20" s="13">
        <f t="shared" si="14"/>
        <v>0.69558320313428079</v>
      </c>
      <c r="AK20" s="13">
        <f>-IF(AG20="CAD",IFERROR(VLOOKUP(D20,CAARStatus!$A$1:$Y$1600,16,FALSE),0),0)</f>
        <v>-1776.49</v>
      </c>
      <c r="AL20" s="13">
        <f>-IF(AG20="USD",IFERROR(VLOOKUP(D20,CAARStatus!$A$1:$Y$1600,11,FALSE),0),0)</f>
        <v>0</v>
      </c>
      <c r="AM20" s="22">
        <f t="shared" si="15"/>
        <v>0</v>
      </c>
      <c r="AN20" s="12" t="str">
        <f t="shared" si="16"/>
        <v/>
      </c>
      <c r="AO20" s="12" t="str">
        <f t="shared" si="17"/>
        <v>Yes</v>
      </c>
      <c r="AP20" t="str">
        <f t="shared" si="2"/>
        <v>Yes</v>
      </c>
      <c r="AQ20" t="str">
        <f>IFERROR(VLOOKUP(Z20,InvBal!$L$4:$P$600,4,FALSE),"Pend")</f>
        <v>Pend</v>
      </c>
      <c r="AR20" t="str">
        <f>IFERROR(VLOOKUP(D20,Manual!$C$1:$E$22,2,FALSE),"Pend")</f>
        <v>Pend</v>
      </c>
      <c r="AS20" t="str">
        <f t="shared" si="18"/>
        <v>Yes</v>
      </c>
      <c r="AT20" t="str">
        <f t="shared" si="19"/>
        <v>Yes</v>
      </c>
      <c r="AU20" s="51" t="str">
        <f t="shared" si="20"/>
        <v>Yes</v>
      </c>
      <c r="AV20" s="12">
        <f>IFERROR(VLOOKUP(D20,'Receivable Invoice Detail'!$S$1:$U$3014,3,FALSE),0)</f>
        <v>0</v>
      </c>
      <c r="AW20" s="12">
        <f t="shared" si="21"/>
        <v>1235.6966045360184</v>
      </c>
    </row>
    <row r="21" spans="1:49" s="20" customFormat="1" ht="30" x14ac:dyDescent="0.25">
      <c r="A21" s="2">
        <v>3</v>
      </c>
      <c r="B21" s="2" t="s">
        <v>2232</v>
      </c>
      <c r="C21" s="2" t="s">
        <v>2233</v>
      </c>
      <c r="D21" s="2" t="s">
        <v>2289</v>
      </c>
      <c r="E21" s="2" t="s">
        <v>6166</v>
      </c>
      <c r="F21" s="3">
        <v>45665.427476851852</v>
      </c>
      <c r="G21" s="3">
        <v>45665.650752314818</v>
      </c>
      <c r="H21" s="4">
        <v>45777</v>
      </c>
      <c r="I21" s="2" t="s">
        <v>1132</v>
      </c>
      <c r="J21" s="2" t="s">
        <v>22</v>
      </c>
      <c r="K21" s="2">
        <v>1</v>
      </c>
      <c r="L21" s="2">
        <v>4153.74</v>
      </c>
      <c r="M21" s="2">
        <v>0</v>
      </c>
      <c r="N21" s="2">
        <v>2889.2717741869869</v>
      </c>
      <c r="O21" s="2">
        <v>3955.95</v>
      </c>
      <c r="P21" s="2">
        <v>197.79</v>
      </c>
      <c r="Q21" s="2">
        <v>4153.74</v>
      </c>
      <c r="R21" s="2" t="s">
        <v>44</v>
      </c>
      <c r="S21" s="2"/>
      <c r="T21" s="2">
        <f t="shared" si="3"/>
        <v>3</v>
      </c>
      <c r="U21" s="21">
        <f t="shared" si="4"/>
        <v>1</v>
      </c>
      <c r="V21" s="18">
        <f t="shared" si="5"/>
        <v>2025</v>
      </c>
      <c r="W21" s="18">
        <f t="shared" si="6"/>
        <v>1</v>
      </c>
      <c r="X21" s="18">
        <f t="shared" si="7"/>
        <v>2025</v>
      </c>
      <c r="Y21" s="17">
        <f t="shared" si="0"/>
        <v>0.69558320313428068</v>
      </c>
      <c r="Z21" s="20" t="str">
        <f t="shared" si="1"/>
        <v>SO16380</v>
      </c>
      <c r="AA21" s="11">
        <f t="shared" si="8"/>
        <v>45665.427476851852</v>
      </c>
      <c r="AB21" s="19" t="str">
        <f t="shared" si="9"/>
        <v>INV12496</v>
      </c>
      <c r="AC21" s="5" t="str">
        <f>IFERROR(VLOOKUP(D21,CAARStatus!$A$2:$AA$1600,22,FALSE),"Not invoiced")</f>
        <v>Paid</v>
      </c>
      <c r="AD21" s="11">
        <f>IF(AC21="Paid",IFERROR(VLOOKUP(D21,CAARStatus!$A$2:$AA$1600,6,FALSE),"Pending"),"Pending")</f>
        <v>45666</v>
      </c>
      <c r="AE21" s="5" t="str">
        <f t="shared" si="10"/>
        <v>L63079-DS</v>
      </c>
      <c r="AF21" s="5" t="str">
        <f t="shared" si="11"/>
        <v>Wild Rows Pump &amp; Compression LTD.</v>
      </c>
      <c r="AG21" s="19" t="str">
        <f t="shared" si="12"/>
        <v>CAD</v>
      </c>
      <c r="AH21" s="5">
        <f t="shared" si="13"/>
        <v>3955.95</v>
      </c>
      <c r="AI21" s="12">
        <f>IF(L21-N21=0,VLOOKUP(U21,rate!A$4:B$15,2,FALSE)*AH21,IF(AG21="USD",O21,AH21*Y21))</f>
        <v>2751.6923724390576</v>
      </c>
      <c r="AJ21" s="13">
        <f t="shared" si="14"/>
        <v>0.69558320313428068</v>
      </c>
      <c r="AK21" s="13">
        <f>-IF(AG21="CAD",IFERROR(VLOOKUP(D21,CAARStatus!$A$1:$Y$1600,16,FALSE),0),0)</f>
        <v>-1827.63</v>
      </c>
      <c r="AL21" s="13">
        <f>-IF(AG21="USD",IFERROR(VLOOKUP(D21,CAARStatus!$A$1:$Y$1600,11,FALSE),0),0)</f>
        <v>0</v>
      </c>
      <c r="AM21" s="22">
        <f t="shared" si="15"/>
        <v>2128.3199999999997</v>
      </c>
      <c r="AN21" s="12" t="str">
        <f t="shared" si="16"/>
        <v/>
      </c>
      <c r="AO21" s="12" t="str">
        <f t="shared" si="17"/>
        <v>Yes</v>
      </c>
      <c r="AP21" t="str">
        <f t="shared" si="2"/>
        <v>XX</v>
      </c>
      <c r="AQ21" t="str">
        <f>IFERROR(VLOOKUP(Z21,InvBal!$L$4:$P$600,4,FALSE),"Pend")</f>
        <v>Yes</v>
      </c>
      <c r="AR21" t="str">
        <f>IFERROR(VLOOKUP(D21,Manual!$C$1:$E$22,2,FALSE),"Pend")</f>
        <v>Pend</v>
      </c>
      <c r="AS21" t="str">
        <f t="shared" si="18"/>
        <v>Yes</v>
      </c>
      <c r="AT21" t="str">
        <f t="shared" si="19"/>
        <v>Yes</v>
      </c>
      <c r="AU21" s="51" t="str">
        <f t="shared" si="20"/>
        <v>Yes</v>
      </c>
      <c r="AV21" s="12">
        <f>IFERROR(VLOOKUP(D21,'Receivable Invoice Detail'!$S$1:$U$3014,3,FALSE),0)</f>
        <v>0</v>
      </c>
      <c r="AW21" s="12">
        <f t="shared" si="21"/>
        <v>2751.6923724390576</v>
      </c>
    </row>
    <row r="22" spans="1:49" x14ac:dyDescent="0.25">
      <c r="A22" s="2"/>
      <c r="B22" s="2"/>
      <c r="C22" s="2"/>
      <c r="D22" s="2" t="s">
        <v>2288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f t="shared" si="3"/>
        <v>3</v>
      </c>
      <c r="U22" s="18">
        <f t="shared" si="4"/>
        <v>1</v>
      </c>
      <c r="V22" s="18">
        <f t="shared" si="5"/>
        <v>2025</v>
      </c>
      <c r="W22" s="18">
        <f t="shared" si="6"/>
        <v>1</v>
      </c>
      <c r="X22" s="18">
        <f t="shared" si="7"/>
        <v>2025</v>
      </c>
      <c r="Y22" s="2">
        <f t="shared" si="0"/>
        <v>0.69558320313428068</v>
      </c>
      <c r="Z22" t="str">
        <f t="shared" si="1"/>
        <v>SO16380</v>
      </c>
      <c r="AA22" s="11">
        <f t="shared" si="8"/>
        <v>45665.427476851852</v>
      </c>
      <c r="AB22" s="5" t="str">
        <f t="shared" si="9"/>
        <v>INV12584</v>
      </c>
      <c r="AC22" s="5" t="str">
        <f>IFERROR(VLOOKUP(D22,CAARStatus!$A$2:$AA$1600,22,FALSE),"Not invoiced")</f>
        <v>Paid</v>
      </c>
      <c r="AD22" s="11">
        <f>IF(AC22="Paid",IFERROR(VLOOKUP(D22,CAARStatus!$A$2:$AA$1600,6,FALSE),"Pending"),"Pending")</f>
        <v>45687</v>
      </c>
      <c r="AE22" s="5" t="str">
        <f t="shared" si="10"/>
        <v>L63079-DS</v>
      </c>
      <c r="AF22" s="5" t="str">
        <f t="shared" si="11"/>
        <v>Wild Rows Pump &amp; Compression LTD.</v>
      </c>
      <c r="AG22" s="5" t="str">
        <f t="shared" si="12"/>
        <v>CAD</v>
      </c>
      <c r="AH22" s="5">
        <f t="shared" si="13"/>
        <v>0</v>
      </c>
      <c r="AI22" s="12">
        <f>IF(L22-N22=0,VLOOKUP(U22,rate!A$4:B$15,2,FALSE)*AH22,IF(AG22="USD",O22,AH22*Y22))</f>
        <v>0</v>
      </c>
      <c r="AJ22" s="13">
        <f t="shared" si="14"/>
        <v>0</v>
      </c>
      <c r="AK22" s="13">
        <f>-IF(AG22="CAD",IFERROR(VLOOKUP(D22,CAARStatus!$A$1:$Y$1600,16,FALSE),0),0)</f>
        <v>-857.76</v>
      </c>
      <c r="AL22" s="13">
        <f>-IF(AG22="USD",IFERROR(VLOOKUP(D22,CAARStatus!$A$1:$Y$1600,11,FALSE),0),0)</f>
        <v>0</v>
      </c>
      <c r="AM22" s="22">
        <f t="shared" si="15"/>
        <v>-857.76</v>
      </c>
      <c r="AN22" s="12" t="str">
        <f t="shared" si="16"/>
        <v/>
      </c>
      <c r="AO22" s="12" t="str">
        <f t="shared" si="17"/>
        <v>Yes</v>
      </c>
      <c r="AP22" t="str">
        <f t="shared" si="2"/>
        <v>XX</v>
      </c>
      <c r="AQ22" t="str">
        <f>IFERROR(VLOOKUP(Z22,InvBal!$L$4:$P$600,4,FALSE),"Pend")</f>
        <v>Yes</v>
      </c>
      <c r="AR22" t="str">
        <f>IFERROR(VLOOKUP(D22,Manual!$C$1:$E$22,2,FALSE),"Pend")</f>
        <v>Pend</v>
      </c>
      <c r="AS22" t="str">
        <f t="shared" si="18"/>
        <v>Yes</v>
      </c>
      <c r="AT22" t="str">
        <f t="shared" si="19"/>
        <v/>
      </c>
      <c r="AU22" s="51" t="str">
        <f t="shared" si="20"/>
        <v/>
      </c>
      <c r="AV22" s="12">
        <f>IFERROR(VLOOKUP(D22,'Receivable Invoice Detail'!$S$1:$U$3014,3,FALSE),0)</f>
        <v>0</v>
      </c>
      <c r="AW22" s="12">
        <f t="shared" si="21"/>
        <v>0</v>
      </c>
    </row>
    <row r="23" spans="1:49" x14ac:dyDescent="0.25">
      <c r="A23" s="2"/>
      <c r="B23" s="2"/>
      <c r="C23" s="2"/>
      <c r="D23" s="2" t="s">
        <v>2287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f t="shared" si="3"/>
        <v>3</v>
      </c>
      <c r="U23" s="18">
        <f t="shared" si="4"/>
        <v>1</v>
      </c>
      <c r="V23" s="18">
        <f t="shared" si="5"/>
        <v>2025</v>
      </c>
      <c r="W23" s="18">
        <f t="shared" si="6"/>
        <v>5</v>
      </c>
      <c r="X23" s="18">
        <f t="shared" si="7"/>
        <v>2025</v>
      </c>
      <c r="Y23" s="2">
        <f t="shared" si="0"/>
        <v>0.69558320313428068</v>
      </c>
      <c r="Z23" t="str">
        <f t="shared" si="1"/>
        <v>SO16380</v>
      </c>
      <c r="AA23" s="11">
        <f t="shared" si="8"/>
        <v>45665.427476851852</v>
      </c>
      <c r="AB23" s="5" t="str">
        <f t="shared" si="9"/>
        <v>INV12953</v>
      </c>
      <c r="AC23" s="5" t="str">
        <f>IFERROR(VLOOKUP(D23,CAARStatus!$A$2:$AA$1600,22,FALSE),"Not invoiced")</f>
        <v>Paid</v>
      </c>
      <c r="AD23" s="11">
        <f>IF(AC23="Paid",IFERROR(VLOOKUP(D23,CAARStatus!$A$2:$AA$1600,6,FALSE),"Pending"),"Pending")</f>
        <v>45784</v>
      </c>
      <c r="AE23" s="5" t="str">
        <f t="shared" si="10"/>
        <v>L63079-DS</v>
      </c>
      <c r="AF23" s="5" t="str">
        <f t="shared" si="11"/>
        <v>Wild Rows Pump &amp; Compression LTD.</v>
      </c>
      <c r="AG23" s="5" t="str">
        <f t="shared" si="12"/>
        <v>CAD</v>
      </c>
      <c r="AH23" s="5">
        <f t="shared" si="13"/>
        <v>0</v>
      </c>
      <c r="AI23" s="12">
        <f>IF(L23-N23=0,VLOOKUP(U23,rate!A$4:B$15,2,FALSE)*AH23,IF(AG23="USD",O23,AH23*Y23))</f>
        <v>0</v>
      </c>
      <c r="AJ23" s="13">
        <f t="shared" si="14"/>
        <v>0</v>
      </c>
      <c r="AK23" s="13">
        <f>-IF(AG23="CAD",IFERROR(VLOOKUP(D23,CAARStatus!$A$1:$Y$1600,16,FALSE),0),0)</f>
        <v>-1270.56</v>
      </c>
      <c r="AL23" s="13">
        <f>-IF(AG23="USD",IFERROR(VLOOKUP(D23,CAARStatus!$A$1:$Y$1600,11,FALSE),0),0)</f>
        <v>0</v>
      </c>
      <c r="AM23" s="22">
        <f t="shared" si="15"/>
        <v>-1270.56</v>
      </c>
      <c r="AN23" s="12" t="str">
        <f t="shared" si="16"/>
        <v/>
      </c>
      <c r="AO23" s="12" t="str">
        <f t="shared" si="17"/>
        <v>Yes</v>
      </c>
      <c r="AP23" t="str">
        <f t="shared" si="2"/>
        <v>XX</v>
      </c>
      <c r="AQ23" t="str">
        <f>IFERROR(VLOOKUP(Z23,InvBal!$L$4:$P$600,4,FALSE),"Pend")</f>
        <v>Yes</v>
      </c>
      <c r="AR23" t="str">
        <f>IFERROR(VLOOKUP(D23,Manual!$C$1:$E$22,2,FALSE),"Pend")</f>
        <v>Pend</v>
      </c>
      <c r="AS23" t="str">
        <f t="shared" si="18"/>
        <v>Yes</v>
      </c>
      <c r="AT23" t="str">
        <f t="shared" si="19"/>
        <v/>
      </c>
      <c r="AU23" s="51" t="str">
        <f t="shared" si="20"/>
        <v/>
      </c>
      <c r="AV23" s="12">
        <f>IFERROR(VLOOKUP(D23,'Receivable Invoice Detail'!$S$1:$U$3014,3,FALSE),0)</f>
        <v>0</v>
      </c>
      <c r="AW23" s="12">
        <f t="shared" si="21"/>
        <v>0</v>
      </c>
    </row>
    <row r="24" spans="1:49" x14ac:dyDescent="0.25">
      <c r="A24" s="2">
        <v>1</v>
      </c>
      <c r="B24" s="2" t="s">
        <v>2238</v>
      </c>
      <c r="C24" s="2" t="s">
        <v>2239</v>
      </c>
      <c r="D24" s="2" t="s">
        <v>2284</v>
      </c>
      <c r="E24" s="2" t="s">
        <v>146</v>
      </c>
      <c r="F24" s="3">
        <v>45665.433240740742</v>
      </c>
      <c r="G24" s="3">
        <v>45665.477326388893</v>
      </c>
      <c r="H24" s="4">
        <v>45666</v>
      </c>
      <c r="I24" s="2" t="s">
        <v>21</v>
      </c>
      <c r="J24" s="2" t="s">
        <v>22</v>
      </c>
      <c r="K24" s="2">
        <v>1</v>
      </c>
      <c r="L24" s="2">
        <v>962.42</v>
      </c>
      <c r="M24" s="2">
        <v>0</v>
      </c>
      <c r="N24" s="2">
        <v>669.44318636049445</v>
      </c>
      <c r="O24" s="2">
        <v>916.59</v>
      </c>
      <c r="P24" s="2">
        <v>45.83</v>
      </c>
      <c r="Q24" s="2">
        <v>962.42</v>
      </c>
      <c r="R24" s="2" t="s">
        <v>44</v>
      </c>
      <c r="S24" s="2"/>
      <c r="T24" s="2">
        <f t="shared" si="3"/>
        <v>1</v>
      </c>
      <c r="U24" s="18">
        <f t="shared" si="4"/>
        <v>1</v>
      </c>
      <c r="V24" s="18">
        <f t="shared" si="5"/>
        <v>2025</v>
      </c>
      <c r="W24" s="18">
        <f t="shared" si="6"/>
        <v>2</v>
      </c>
      <c r="X24" s="18">
        <f t="shared" si="7"/>
        <v>2025</v>
      </c>
      <c r="Y24" s="2">
        <f t="shared" si="0"/>
        <v>0.69558320313428079</v>
      </c>
      <c r="Z24" t="str">
        <f t="shared" si="1"/>
        <v>SO16381</v>
      </c>
      <c r="AA24" s="11">
        <f t="shared" si="8"/>
        <v>45665.433240740742</v>
      </c>
      <c r="AB24" s="5" t="str">
        <f t="shared" si="9"/>
        <v>INV12500</v>
      </c>
      <c r="AC24" s="5" t="str">
        <f>IFERROR(VLOOKUP(D24,CAARStatus!$A$2:$AA$1600,22,FALSE),"Not invoiced")</f>
        <v>Paid</v>
      </c>
      <c r="AD24" s="11">
        <f>IF(AC24="Paid",IFERROR(VLOOKUP(D24,CAARStatus!$A$2:$AA$1600,6,FALSE),"Pending"),"Pending")</f>
        <v>45709</v>
      </c>
      <c r="AE24" s="5" t="str">
        <f t="shared" si="10"/>
        <v>6642</v>
      </c>
      <c r="AF24" s="5" t="str">
        <f t="shared" si="11"/>
        <v>Hyperflo</v>
      </c>
      <c r="AG24" s="5" t="str">
        <f t="shared" si="12"/>
        <v>CAD</v>
      </c>
      <c r="AH24" s="5">
        <f t="shared" si="13"/>
        <v>916.59</v>
      </c>
      <c r="AI24" s="12">
        <f>IF(L24-N24=0,VLOOKUP(U24,rate!A$4:B$15,2,FALSE)*AH24,IF(AG24="USD",O24,AH24*Y24))</f>
        <v>637.56460816085041</v>
      </c>
      <c r="AJ24" s="13">
        <f t="shared" si="14"/>
        <v>0.69558320313428079</v>
      </c>
      <c r="AK24" s="13">
        <f>-IF(AG24="CAD",IFERROR(VLOOKUP(D24,CAARStatus!$A$1:$Y$1600,16,FALSE),0),0)</f>
        <v>-916.59</v>
      </c>
      <c r="AL24" s="13">
        <f>-IF(AG24="USD",IFERROR(VLOOKUP(D24,CAARStatus!$A$1:$Y$1600,11,FALSE),0),0)</f>
        <v>0</v>
      </c>
      <c r="AM24" s="22">
        <f t="shared" si="15"/>
        <v>0</v>
      </c>
      <c r="AN24" s="12" t="str">
        <f t="shared" si="16"/>
        <v/>
      </c>
      <c r="AO24" s="12" t="str">
        <f t="shared" si="17"/>
        <v>Yes</v>
      </c>
      <c r="AP24" t="str">
        <f t="shared" si="2"/>
        <v>Yes</v>
      </c>
      <c r="AQ24" t="str">
        <f>IFERROR(VLOOKUP(Z24,InvBal!$L$4:$P$600,4,FALSE),"Pend")</f>
        <v>Pend</v>
      </c>
      <c r="AR24" t="str">
        <f>IFERROR(VLOOKUP(D24,Manual!$C$1:$E$22,2,FALSE),"Pend")</f>
        <v>Pend</v>
      </c>
      <c r="AS24" t="str">
        <f t="shared" si="18"/>
        <v>Yes</v>
      </c>
      <c r="AT24" t="str">
        <f t="shared" si="19"/>
        <v>Yes</v>
      </c>
      <c r="AU24" s="51" t="str">
        <f t="shared" si="20"/>
        <v>Yes</v>
      </c>
      <c r="AV24" s="12">
        <f>IFERROR(VLOOKUP(D24,'Receivable Invoice Detail'!$S$1:$U$3014,3,FALSE),0)</f>
        <v>0</v>
      </c>
      <c r="AW24" s="12">
        <f t="shared" si="21"/>
        <v>637.56460816085041</v>
      </c>
    </row>
    <row r="25" spans="1:49" x14ac:dyDescent="0.25">
      <c r="A25" s="2">
        <v>1</v>
      </c>
      <c r="B25" s="2" t="s">
        <v>2240</v>
      </c>
      <c r="C25" s="2" t="s">
        <v>2241</v>
      </c>
      <c r="D25" s="2" t="s">
        <v>2283</v>
      </c>
      <c r="E25" s="2" t="s">
        <v>2242</v>
      </c>
      <c r="F25" s="3">
        <v>45665.456134259257</v>
      </c>
      <c r="G25" s="3">
        <v>45665.459224537037</v>
      </c>
      <c r="H25" s="4">
        <v>45666</v>
      </c>
      <c r="I25" s="2" t="s">
        <v>21</v>
      </c>
      <c r="J25" s="2" t="s">
        <v>51</v>
      </c>
      <c r="K25" s="2">
        <v>0.6971426099664404</v>
      </c>
      <c r="L25" s="2">
        <v>197.62097170711181</v>
      </c>
      <c r="M25" s="2">
        <v>0</v>
      </c>
      <c r="N25" s="2">
        <v>137.77000000000001</v>
      </c>
      <c r="O25" s="2">
        <v>137.77000000000001</v>
      </c>
      <c r="P25" s="2"/>
      <c r="Q25" s="2">
        <v>137.77000000000001</v>
      </c>
      <c r="R25" s="2" t="s">
        <v>44</v>
      </c>
      <c r="S25" s="2"/>
      <c r="T25" s="2">
        <f t="shared" si="3"/>
        <v>1</v>
      </c>
      <c r="U25" s="18">
        <f t="shared" si="4"/>
        <v>1</v>
      </c>
      <c r="V25" s="18">
        <f t="shared" si="5"/>
        <v>2025</v>
      </c>
      <c r="W25" s="18">
        <f t="shared" si="6"/>
        <v>2</v>
      </c>
      <c r="X25" s="18">
        <f t="shared" si="7"/>
        <v>2025</v>
      </c>
      <c r="Y25" s="2">
        <f t="shared" si="0"/>
        <v>0.69714260996644051</v>
      </c>
      <c r="Z25" t="str">
        <f t="shared" si="1"/>
        <v>SO16382</v>
      </c>
      <c r="AA25" s="11">
        <f t="shared" si="8"/>
        <v>45665.456134259257</v>
      </c>
      <c r="AB25" s="5" t="str">
        <f t="shared" si="9"/>
        <v>INV12495</v>
      </c>
      <c r="AC25" s="5" t="str">
        <f>IFERROR(VLOOKUP(D25,CAARStatus!$A$2:$AA$1600,22,FALSE),"Not invoiced")</f>
        <v>Paid</v>
      </c>
      <c r="AD25" s="11">
        <f>IF(AC25="Paid",IFERROR(VLOOKUP(D25,CAARStatus!$A$2:$AA$1600,6,FALSE),"Pending"),"Pending")</f>
        <v>45715</v>
      </c>
      <c r="AE25" s="5" t="str">
        <f t="shared" si="10"/>
        <v>071736</v>
      </c>
      <c r="AF25" s="5" t="str">
        <f t="shared" si="11"/>
        <v>Hoffman-Kane Distributors, Inc.</v>
      </c>
      <c r="AG25" s="5" t="str">
        <f t="shared" si="12"/>
        <v>USD</v>
      </c>
      <c r="AH25" s="5">
        <f t="shared" si="13"/>
        <v>197.62097170711183</v>
      </c>
      <c r="AI25" s="12">
        <f>IF(L25-N25=0,VLOOKUP(U25,rate!A$4:B$15,2,FALSE)*AH25,IF(AG25="USD",O25,AH25*Y25))</f>
        <v>137.77000000000001</v>
      </c>
      <c r="AJ25" s="13">
        <f t="shared" si="14"/>
        <v>0.6971426099664404</v>
      </c>
      <c r="AK25" s="13">
        <f>-IF(AG25="CAD",IFERROR(VLOOKUP(D25,CAARStatus!$A$1:$Y$1600,16,FALSE),0),0)</f>
        <v>0</v>
      </c>
      <c r="AL25" s="13">
        <f>-IF(AG25="USD",IFERROR(VLOOKUP(D25,CAARStatus!$A$1:$Y$1600,11,FALSE),0),0)</f>
        <v>-137.77000000000001</v>
      </c>
      <c r="AM25" s="22" t="str">
        <f t="shared" si="15"/>
        <v/>
      </c>
      <c r="AN25" s="12">
        <f t="shared" si="16"/>
        <v>0</v>
      </c>
      <c r="AO25" s="12" t="str">
        <f t="shared" si="17"/>
        <v>Yes</v>
      </c>
      <c r="AP25" t="str">
        <f t="shared" si="2"/>
        <v>Yes</v>
      </c>
      <c r="AQ25" t="str">
        <f>IFERROR(VLOOKUP(Z25,InvBal!$L$4:$P$600,4,FALSE),"Pend")</f>
        <v>Pend</v>
      </c>
      <c r="AR25" t="str">
        <f>IFERROR(VLOOKUP(D25,Manual!$C$1:$E$22,2,FALSE),"Pend")</f>
        <v>Pend</v>
      </c>
      <c r="AS25" t="str">
        <f t="shared" si="18"/>
        <v>Yes</v>
      </c>
      <c r="AT25" t="str">
        <f t="shared" si="19"/>
        <v>Yes</v>
      </c>
      <c r="AU25" s="51" t="str">
        <f t="shared" si="20"/>
        <v>Yes</v>
      </c>
      <c r="AV25" s="12">
        <f>IFERROR(VLOOKUP(D25,'Receivable Invoice Detail'!$S$1:$U$3014,3,FALSE),0)</f>
        <v>0</v>
      </c>
      <c r="AW25" s="12">
        <f t="shared" si="21"/>
        <v>137.77000000000001</v>
      </c>
    </row>
    <row r="26" spans="1:49" ht="30" x14ac:dyDescent="0.25">
      <c r="A26" s="2">
        <v>1</v>
      </c>
      <c r="B26" s="2" t="s">
        <v>2222</v>
      </c>
      <c r="C26" s="2" t="s">
        <v>2223</v>
      </c>
      <c r="D26" s="2" t="s">
        <v>2295</v>
      </c>
      <c r="E26" s="2" t="s">
        <v>159</v>
      </c>
      <c r="F26" s="3">
        <v>45665.470312500001</v>
      </c>
      <c r="G26" s="3">
        <v>45666.818449074082</v>
      </c>
      <c r="H26" s="4">
        <v>45665</v>
      </c>
      <c r="I26" s="2" t="s">
        <v>426</v>
      </c>
      <c r="J26" s="2" t="s">
        <v>51</v>
      </c>
      <c r="K26" s="2">
        <v>0.69558320313428079</v>
      </c>
      <c r="L26" s="2">
        <v>15727.809341434109</v>
      </c>
      <c r="M26" s="2">
        <v>0</v>
      </c>
      <c r="N26" s="2">
        <v>10940</v>
      </c>
      <c r="O26" s="2">
        <v>10940</v>
      </c>
      <c r="P26" s="2"/>
      <c r="Q26" s="2">
        <v>10940</v>
      </c>
      <c r="R26" s="2" t="s">
        <v>44</v>
      </c>
      <c r="S26" s="2"/>
      <c r="T26" s="2">
        <f t="shared" si="3"/>
        <v>1</v>
      </c>
      <c r="U26" s="18">
        <f t="shared" si="4"/>
        <v>1</v>
      </c>
      <c r="V26" s="18">
        <f t="shared" si="5"/>
        <v>2025</v>
      </c>
      <c r="W26" s="18">
        <f t="shared" si="6"/>
        <v>5</v>
      </c>
      <c r="X26" s="18">
        <f t="shared" si="7"/>
        <v>2025</v>
      </c>
      <c r="Y26" s="2">
        <f t="shared" si="0"/>
        <v>0.69558320313428068</v>
      </c>
      <c r="Z26" t="str">
        <f t="shared" si="1"/>
        <v>SO16383</v>
      </c>
      <c r="AA26" s="11">
        <f t="shared" si="8"/>
        <v>45665.470312500001</v>
      </c>
      <c r="AB26" s="5" t="str">
        <f t="shared" si="9"/>
        <v>INV12761</v>
      </c>
      <c r="AC26" s="5" t="str">
        <f>IFERROR(VLOOKUP(D26,CAARStatus!$A$2:$AA$1600,22,FALSE),"Not invoiced")</f>
        <v>Paid</v>
      </c>
      <c r="AD26" s="11">
        <f>IF(AC26="Paid",IFERROR(VLOOKUP(D26,CAARStatus!$A$2:$AA$1600,6,FALSE),"Pending"),"Pending")</f>
        <v>45786</v>
      </c>
      <c r="AE26" s="5" t="str">
        <f t="shared" si="10"/>
        <v>4501080579</v>
      </c>
      <c r="AF26" s="5" t="str">
        <f t="shared" si="11"/>
        <v>Barrick Gold - Pueblo Viejo Dominicana Corporation</v>
      </c>
      <c r="AG26" s="5" t="str">
        <f t="shared" si="12"/>
        <v>USD</v>
      </c>
      <c r="AH26" s="5">
        <f t="shared" si="13"/>
        <v>15727.809341434107</v>
      </c>
      <c r="AI26" s="12">
        <f>IF(L26-N26=0,VLOOKUP(U26,rate!A$4:B$15,2,FALSE)*AH26,IF(AG26="USD",O26,AH26*Y26))</f>
        <v>10940</v>
      </c>
      <c r="AJ26" s="13">
        <f t="shared" si="14"/>
        <v>0.69558320313428079</v>
      </c>
      <c r="AK26" s="13">
        <f>-IF(AG26="CAD",IFERROR(VLOOKUP(D26,CAARStatus!$A$1:$Y$1600,16,FALSE),0),0)</f>
        <v>0</v>
      </c>
      <c r="AL26" s="13">
        <f>-IF(AG26="USD",IFERROR(VLOOKUP(D26,CAARStatus!$A$1:$Y$1600,11,FALSE),0),0)</f>
        <v>-10940</v>
      </c>
      <c r="AM26" s="22" t="str">
        <f t="shared" si="15"/>
        <v/>
      </c>
      <c r="AN26" s="12">
        <f t="shared" si="16"/>
        <v>0</v>
      </c>
      <c r="AO26" s="12" t="str">
        <f t="shared" si="17"/>
        <v>Yes</v>
      </c>
      <c r="AP26" t="str">
        <f t="shared" si="2"/>
        <v>Yes</v>
      </c>
      <c r="AQ26" t="str">
        <f>IFERROR(VLOOKUP(Z26,InvBal!$L$4:$P$600,4,FALSE),"Pend")</f>
        <v>Pend</v>
      </c>
      <c r="AR26" t="str">
        <f>IFERROR(VLOOKUP(D26,Manual!$C$1:$E$22,2,FALSE),"Pend")</f>
        <v>Pend</v>
      </c>
      <c r="AS26" t="str">
        <f t="shared" si="18"/>
        <v>Yes</v>
      </c>
      <c r="AT26" t="str">
        <f t="shared" si="19"/>
        <v>Yes</v>
      </c>
      <c r="AU26" s="51" t="str">
        <f t="shared" si="20"/>
        <v>Yes</v>
      </c>
      <c r="AV26" s="12">
        <f>IFERROR(VLOOKUP(D26,'Receivable Invoice Detail'!$S$1:$U$3014,3,FALSE),0)</f>
        <v>0</v>
      </c>
      <c r="AW26" s="12">
        <f t="shared" si="21"/>
        <v>10940</v>
      </c>
    </row>
    <row r="27" spans="1:49" x14ac:dyDescent="0.25">
      <c r="A27" s="2">
        <v>1</v>
      </c>
      <c r="B27" s="2" t="s">
        <v>2226</v>
      </c>
      <c r="C27" s="2" t="s">
        <v>2227</v>
      </c>
      <c r="D27" s="2" t="s">
        <v>2293</v>
      </c>
      <c r="E27" s="2" t="s">
        <v>54</v>
      </c>
      <c r="F27" s="3">
        <v>45665.494166666656</v>
      </c>
      <c r="G27" s="3">
        <v>45665.681377314817</v>
      </c>
      <c r="H27" s="4">
        <v>45791</v>
      </c>
      <c r="I27" s="2" t="s">
        <v>21</v>
      </c>
      <c r="J27" s="2" t="s">
        <v>22</v>
      </c>
      <c r="K27" s="2">
        <v>1</v>
      </c>
      <c r="L27" s="2">
        <v>2094.52</v>
      </c>
      <c r="M27" s="2">
        <v>0</v>
      </c>
      <c r="N27" s="2">
        <v>1456.9129306288139</v>
      </c>
      <c r="O27" s="2">
        <v>1994.78</v>
      </c>
      <c r="P27" s="2">
        <v>99.74</v>
      </c>
      <c r="Q27" s="2">
        <v>2094.52</v>
      </c>
      <c r="R27" s="2" t="s">
        <v>44</v>
      </c>
      <c r="S27" s="2"/>
      <c r="T27" s="2">
        <f t="shared" si="3"/>
        <v>1</v>
      </c>
      <c r="U27" s="18">
        <f t="shared" si="4"/>
        <v>1</v>
      </c>
      <c r="V27" s="18">
        <f t="shared" si="5"/>
        <v>2025</v>
      </c>
      <c r="W27" s="18">
        <f t="shared" si="6"/>
        <v>7</v>
      </c>
      <c r="X27" s="18">
        <f t="shared" si="7"/>
        <v>2025</v>
      </c>
      <c r="Y27" s="2">
        <f t="shared" si="0"/>
        <v>0.6955832031342809</v>
      </c>
      <c r="Z27" t="str">
        <f t="shared" si="1"/>
        <v>SO16384</v>
      </c>
      <c r="AA27" s="11">
        <f t="shared" si="8"/>
        <v>45665.494166666656</v>
      </c>
      <c r="AB27" s="5" t="str">
        <f t="shared" si="9"/>
        <v>INV13051</v>
      </c>
      <c r="AC27" s="5" t="str">
        <f>IFERROR(VLOOKUP(D27,CAARStatus!$A$2:$AA$1600,22,FALSE),"Not invoiced")</f>
        <v>Paid</v>
      </c>
      <c r="AD27" s="11">
        <f>IF(AC27="Paid",IFERROR(VLOOKUP(D27,CAARStatus!$A$2:$AA$1600,6,FALSE),"Pending"),"Pending")</f>
        <v>45848</v>
      </c>
      <c r="AE27" s="5" t="str">
        <f t="shared" si="10"/>
        <v>2968</v>
      </c>
      <c r="AF27" s="5" t="str">
        <f t="shared" si="11"/>
        <v>Les Pompes du St-Laurent Inc.</v>
      </c>
      <c r="AG27" s="5" t="str">
        <f t="shared" si="12"/>
        <v>CAD</v>
      </c>
      <c r="AH27" s="5">
        <f t="shared" si="13"/>
        <v>1994.78</v>
      </c>
      <c r="AI27" s="12">
        <f>IF(L27-N27=0,VLOOKUP(U27,rate!A$4:B$15,2,FALSE)*AH27,IF(AG27="USD",O27,AH27*Y27))</f>
        <v>1387.5354619482009</v>
      </c>
      <c r="AJ27" s="13">
        <f t="shared" si="14"/>
        <v>0.6955832031342809</v>
      </c>
      <c r="AK27" s="13">
        <f>-IF(AG27="CAD",IFERROR(VLOOKUP(D27,CAARStatus!$A$1:$Y$1600,16,FALSE),0),0)</f>
        <v>-1994.78</v>
      </c>
      <c r="AL27" s="13">
        <f>-IF(AG27="USD",IFERROR(VLOOKUP(D27,CAARStatus!$A$1:$Y$1600,11,FALSE),0),0)</f>
        <v>0</v>
      </c>
      <c r="AM27" s="22">
        <f t="shared" si="15"/>
        <v>0</v>
      </c>
      <c r="AN27" s="12" t="str">
        <f t="shared" si="16"/>
        <v/>
      </c>
      <c r="AO27" s="12" t="str">
        <f t="shared" si="17"/>
        <v>Yes</v>
      </c>
      <c r="AP27" t="str">
        <f t="shared" si="2"/>
        <v>Yes</v>
      </c>
      <c r="AQ27" t="str">
        <f>IFERROR(VLOOKUP(Z27,InvBal!$L$4:$P$600,4,FALSE),"Pend")</f>
        <v>Pend</v>
      </c>
      <c r="AR27" t="str">
        <f>IFERROR(VLOOKUP(D27,Manual!$C$1:$E$22,2,FALSE),"Pend")</f>
        <v>Pend</v>
      </c>
      <c r="AS27" t="str">
        <f t="shared" si="18"/>
        <v>Yes</v>
      </c>
      <c r="AT27" t="str">
        <f t="shared" si="19"/>
        <v>Yes</v>
      </c>
      <c r="AU27" s="51" t="str">
        <f t="shared" si="20"/>
        <v>Yes</v>
      </c>
      <c r="AV27" s="12">
        <f>IFERROR(VLOOKUP(D27,'Receivable Invoice Detail'!$S$1:$U$3014,3,FALSE),0)</f>
        <v>0</v>
      </c>
      <c r="AW27" s="12">
        <f t="shared" si="21"/>
        <v>1387.5354619482009</v>
      </c>
    </row>
    <row r="28" spans="1:49" x14ac:dyDescent="0.25">
      <c r="A28" s="2">
        <v>1</v>
      </c>
      <c r="B28" s="2" t="s">
        <v>2094</v>
      </c>
      <c r="C28" s="2" t="s">
        <v>2095</v>
      </c>
      <c r="D28" s="2" t="s">
        <v>2364</v>
      </c>
      <c r="E28" s="2" t="s">
        <v>472</v>
      </c>
      <c r="F28" s="3">
        <v>45665.500972222217</v>
      </c>
      <c r="G28" s="3">
        <v>45686.418217592603</v>
      </c>
      <c r="H28" s="4">
        <v>45687</v>
      </c>
      <c r="I28" s="2" t="s">
        <v>21</v>
      </c>
      <c r="J28" s="2" t="s">
        <v>22</v>
      </c>
      <c r="K28" s="2">
        <v>1</v>
      </c>
      <c r="L28" s="2">
        <v>12217.92</v>
      </c>
      <c r="M28" s="2">
        <v>12217.92</v>
      </c>
      <c r="N28" s="2">
        <v>12217.92</v>
      </c>
      <c r="O28" s="2">
        <v>11636.11</v>
      </c>
      <c r="P28" s="2">
        <v>581.80999999999995</v>
      </c>
      <c r="Q28" s="2">
        <v>12217.92</v>
      </c>
      <c r="R28" s="2" t="s">
        <v>44</v>
      </c>
      <c r="S28" s="2"/>
      <c r="T28" s="2">
        <f t="shared" si="3"/>
        <v>1</v>
      </c>
      <c r="U28" s="18">
        <f t="shared" si="4"/>
        <v>1</v>
      </c>
      <c r="V28" s="18">
        <f t="shared" si="5"/>
        <v>2025</v>
      </c>
      <c r="W28" s="18">
        <f t="shared" si="6"/>
        <v>2</v>
      </c>
      <c r="X28" s="18">
        <f t="shared" si="7"/>
        <v>2025</v>
      </c>
      <c r="Y28" s="2">
        <f t="shared" si="0"/>
        <v>1</v>
      </c>
      <c r="Z28" t="str">
        <f t="shared" si="1"/>
        <v>SO16385</v>
      </c>
      <c r="AA28" s="11">
        <f t="shared" si="8"/>
        <v>45665.500972222217</v>
      </c>
      <c r="AB28" s="5" t="str">
        <f t="shared" si="9"/>
        <v>INV12579</v>
      </c>
      <c r="AC28" s="5" t="str">
        <f>IFERROR(VLOOKUP(D28,CAARStatus!$A$2:$AA$1600,22,FALSE),"Not invoiced")</f>
        <v>Paid</v>
      </c>
      <c r="AD28" s="11">
        <f>IF(AC28="Paid",IFERROR(VLOOKUP(D28,CAARStatus!$A$2:$AA$1600,6,FALSE),"Pending"),"Pending")</f>
        <v>45714</v>
      </c>
      <c r="AE28" s="5" t="str">
        <f t="shared" si="10"/>
        <v>11627</v>
      </c>
      <c r="AF28" s="5" t="str">
        <f t="shared" si="11"/>
        <v>Les Pompes Diaspec Inc.</v>
      </c>
      <c r="AG28" s="5" t="str">
        <f t="shared" si="12"/>
        <v>CAD</v>
      </c>
      <c r="AH28" s="5">
        <f t="shared" si="13"/>
        <v>11636.11</v>
      </c>
      <c r="AI28" s="12">
        <f>IF(L28-N28=0,VLOOKUP(U28,rate!A$4:B$15,2,FALSE)*AH28,IF(AG28="USD",O28,AH28*Y28))</f>
        <v>8083.3508942471726</v>
      </c>
      <c r="AJ28" s="13">
        <f t="shared" si="14"/>
        <v>0.69467810928627971</v>
      </c>
      <c r="AK28" s="13">
        <f>-IF(AG28="CAD",IFERROR(VLOOKUP(D28,CAARStatus!$A$1:$Y$1600,16,FALSE),0),0)</f>
        <v>-11636.11</v>
      </c>
      <c r="AL28" s="13">
        <f>-IF(AG28="USD",IFERROR(VLOOKUP(D28,CAARStatus!$A$1:$Y$1600,11,FALSE),0),0)</f>
        <v>0</v>
      </c>
      <c r="AM28" s="22">
        <f t="shared" si="15"/>
        <v>0</v>
      </c>
      <c r="AN28" s="12" t="str">
        <f t="shared" si="16"/>
        <v/>
      </c>
      <c r="AO28" s="12" t="str">
        <f t="shared" si="17"/>
        <v>Yes</v>
      </c>
      <c r="AP28" t="str">
        <f t="shared" si="2"/>
        <v>Yes</v>
      </c>
      <c r="AQ28" t="str">
        <f>IFERROR(VLOOKUP(Z28,InvBal!$L$4:$P$600,4,FALSE),"Pend")</f>
        <v>Pend</v>
      </c>
      <c r="AR28" t="str">
        <f>IFERROR(VLOOKUP(D28,Manual!$C$1:$E$22,2,FALSE),"Pend")</f>
        <v>Pend</v>
      </c>
      <c r="AS28" t="str">
        <f t="shared" si="18"/>
        <v>Yes</v>
      </c>
      <c r="AT28" t="str">
        <f t="shared" si="19"/>
        <v>Yes</v>
      </c>
      <c r="AU28" s="51" t="str">
        <f t="shared" si="20"/>
        <v>Yes</v>
      </c>
      <c r="AV28" s="12">
        <f>IFERROR(VLOOKUP(D28,'Receivable Invoice Detail'!$S$1:$U$3014,3,FALSE),0)</f>
        <v>0</v>
      </c>
      <c r="AW28" s="12">
        <f t="shared" si="21"/>
        <v>8083.3508942471726</v>
      </c>
    </row>
    <row r="29" spans="1:49" x14ac:dyDescent="0.25">
      <c r="A29" s="2">
        <v>1</v>
      </c>
      <c r="B29" s="2" t="s">
        <v>2234</v>
      </c>
      <c r="C29" s="2" t="s">
        <v>2235</v>
      </c>
      <c r="D29" s="2" t="s">
        <v>2286</v>
      </c>
      <c r="E29" s="2" t="s">
        <v>146</v>
      </c>
      <c r="F29" s="3">
        <v>45665.569305555553</v>
      </c>
      <c r="G29" s="3">
        <v>45665.636180555557</v>
      </c>
      <c r="H29" s="4">
        <v>45666</v>
      </c>
      <c r="I29" s="2" t="s">
        <v>1132</v>
      </c>
      <c r="J29" s="2" t="s">
        <v>22</v>
      </c>
      <c r="K29" s="2">
        <v>1</v>
      </c>
      <c r="L29" s="2">
        <v>224.6</v>
      </c>
      <c r="M29" s="2">
        <v>0</v>
      </c>
      <c r="N29" s="2">
        <v>156.22798742395949</v>
      </c>
      <c r="O29" s="2">
        <v>213.9</v>
      </c>
      <c r="P29" s="2">
        <v>10.7</v>
      </c>
      <c r="Q29" s="2">
        <v>224.6</v>
      </c>
      <c r="R29" s="2" t="s">
        <v>44</v>
      </c>
      <c r="S29" s="2"/>
      <c r="T29" s="2">
        <f t="shared" si="3"/>
        <v>1</v>
      </c>
      <c r="U29" s="18">
        <f t="shared" si="4"/>
        <v>1</v>
      </c>
      <c r="V29" s="18">
        <f t="shared" si="5"/>
        <v>2025</v>
      </c>
      <c r="W29" s="18">
        <f t="shared" si="6"/>
        <v>2</v>
      </c>
      <c r="X29" s="18">
        <f t="shared" si="7"/>
        <v>2025</v>
      </c>
      <c r="Y29" s="2">
        <f t="shared" si="0"/>
        <v>0.6955832031342809</v>
      </c>
      <c r="Z29" t="str">
        <f t="shared" si="1"/>
        <v>SO16389</v>
      </c>
      <c r="AA29" s="11">
        <f t="shared" si="8"/>
        <v>45665.569305555553</v>
      </c>
      <c r="AB29" s="5" t="str">
        <f t="shared" si="9"/>
        <v>INV12501</v>
      </c>
      <c r="AC29" s="5" t="str">
        <f>IFERROR(VLOOKUP(D29,CAARStatus!$A$2:$AA$1600,22,FALSE),"Not invoiced")</f>
        <v>Paid</v>
      </c>
      <c r="AD29" s="11">
        <f>IF(AC29="Paid",IFERROR(VLOOKUP(D29,CAARStatus!$A$2:$AA$1600,6,FALSE),"Pending"),"Pending")</f>
        <v>45709</v>
      </c>
      <c r="AE29" s="5" t="str">
        <f t="shared" si="10"/>
        <v>6645</v>
      </c>
      <c r="AF29" s="5" t="str">
        <f t="shared" si="11"/>
        <v>Hyperflo</v>
      </c>
      <c r="AG29" s="5" t="str">
        <f t="shared" si="12"/>
        <v>CAD</v>
      </c>
      <c r="AH29" s="5">
        <f t="shared" si="13"/>
        <v>213.9</v>
      </c>
      <c r="AI29" s="12">
        <f>IF(L29-N29=0,VLOOKUP(U29,rate!A$4:B$15,2,FALSE)*AH29,IF(AG29="USD",O29,AH29*Y29))</f>
        <v>148.78524715042269</v>
      </c>
      <c r="AJ29" s="13">
        <f t="shared" si="14"/>
        <v>0.6955832031342809</v>
      </c>
      <c r="AK29" s="13">
        <f>-IF(AG29="CAD",IFERROR(VLOOKUP(D29,CAARStatus!$A$1:$Y$1600,16,FALSE),0),0)</f>
        <v>-213.9</v>
      </c>
      <c r="AL29" s="13">
        <f>-IF(AG29="USD",IFERROR(VLOOKUP(D29,CAARStatus!$A$1:$Y$1600,11,FALSE),0),0)</f>
        <v>0</v>
      </c>
      <c r="AM29" s="22">
        <f t="shared" si="15"/>
        <v>0</v>
      </c>
      <c r="AN29" s="12" t="str">
        <f t="shared" si="16"/>
        <v/>
      </c>
      <c r="AO29" s="12" t="str">
        <f t="shared" si="17"/>
        <v>Yes</v>
      </c>
      <c r="AP29" t="str">
        <f t="shared" si="2"/>
        <v>Yes</v>
      </c>
      <c r="AQ29" t="str">
        <f>IFERROR(VLOOKUP(Z29,InvBal!$L$4:$P$600,4,FALSE),"Pend")</f>
        <v>Pend</v>
      </c>
      <c r="AR29" t="str">
        <f>IFERROR(VLOOKUP(D29,Manual!$C$1:$E$22,2,FALSE),"Pend")</f>
        <v>Pend</v>
      </c>
      <c r="AS29" t="str">
        <f t="shared" si="18"/>
        <v>Yes</v>
      </c>
      <c r="AT29" t="str">
        <f t="shared" si="19"/>
        <v>Yes</v>
      </c>
      <c r="AU29" s="51" t="str">
        <f t="shared" si="20"/>
        <v>Yes</v>
      </c>
      <c r="AV29" s="12">
        <f>IFERROR(VLOOKUP(D29,'Receivable Invoice Detail'!$S$1:$U$3014,3,FALSE),0)</f>
        <v>0</v>
      </c>
      <c r="AW29" s="12">
        <f t="shared" si="21"/>
        <v>148.78524715042269</v>
      </c>
    </row>
    <row r="30" spans="1:49" x14ac:dyDescent="0.25">
      <c r="A30" s="2">
        <v>2</v>
      </c>
      <c r="B30" s="2" t="s">
        <v>2230</v>
      </c>
      <c r="C30" s="2" t="s">
        <v>2231</v>
      </c>
      <c r="D30" s="2" t="s">
        <v>2291</v>
      </c>
      <c r="E30" s="2" t="s">
        <v>54</v>
      </c>
      <c r="F30" s="3">
        <v>45665.671296296299</v>
      </c>
      <c r="G30" s="3">
        <v>45665.673564814817</v>
      </c>
      <c r="H30" s="4">
        <v>45688</v>
      </c>
      <c r="I30" s="2" t="s">
        <v>21</v>
      </c>
      <c r="J30" s="2" t="s">
        <v>22</v>
      </c>
      <c r="K30" s="2">
        <v>1</v>
      </c>
      <c r="L30" s="2">
        <v>972.43</v>
      </c>
      <c r="M30" s="2">
        <v>0</v>
      </c>
      <c r="N30" s="2">
        <v>676.40597422386861</v>
      </c>
      <c r="O30" s="2">
        <v>926.12</v>
      </c>
      <c r="P30" s="2">
        <v>46.31</v>
      </c>
      <c r="Q30" s="2">
        <v>972.43</v>
      </c>
      <c r="R30" s="2" t="s">
        <v>44</v>
      </c>
      <c r="S30" s="2"/>
      <c r="T30" s="2">
        <f t="shared" si="3"/>
        <v>2</v>
      </c>
      <c r="U30" s="18">
        <f t="shared" si="4"/>
        <v>1</v>
      </c>
      <c r="V30" s="18">
        <f t="shared" si="5"/>
        <v>2025</v>
      </c>
      <c r="W30" s="18">
        <f t="shared" si="6"/>
        <v>4</v>
      </c>
      <c r="X30" s="18">
        <f t="shared" si="7"/>
        <v>2025</v>
      </c>
      <c r="Y30" s="2">
        <f t="shared" si="0"/>
        <v>0.69558320313428079</v>
      </c>
      <c r="Z30" t="str">
        <f t="shared" si="1"/>
        <v>SO16390</v>
      </c>
      <c r="AA30" s="11">
        <f t="shared" si="8"/>
        <v>45665.671296296299</v>
      </c>
      <c r="AB30" s="5" t="str">
        <f t="shared" si="9"/>
        <v>INV12631</v>
      </c>
      <c r="AC30" s="5" t="str">
        <f>IFERROR(VLOOKUP(D30,CAARStatus!$A$2:$AA$1600,22,FALSE),"Not invoiced")</f>
        <v>Paid</v>
      </c>
      <c r="AD30" s="11">
        <f>IF(AC30="Paid",IFERROR(VLOOKUP(D30,CAARStatus!$A$2:$AA$1600,6,FALSE),"Pending"),"Pending")</f>
        <v>45750</v>
      </c>
      <c r="AE30" s="5" t="str">
        <f t="shared" si="10"/>
        <v>2969</v>
      </c>
      <c r="AF30" s="5" t="str">
        <f t="shared" si="11"/>
        <v>Les Pompes du St-Laurent Inc.</v>
      </c>
      <c r="AG30" s="5" t="str">
        <f t="shared" si="12"/>
        <v>CAD</v>
      </c>
      <c r="AH30" s="5">
        <f t="shared" si="13"/>
        <v>926.12</v>
      </c>
      <c r="AI30" s="12">
        <f>IF(L30-N30=0,VLOOKUP(U30,rate!A$4:B$15,2,FALSE)*AH30,IF(AG30="USD",O30,AH30*Y30))</f>
        <v>644.19351608672014</v>
      </c>
      <c r="AJ30" s="13">
        <f t="shared" si="14"/>
        <v>0.69558320313428079</v>
      </c>
      <c r="AK30" s="13">
        <f>-IF(AG30="CAD",IFERROR(VLOOKUP(D30,CAARStatus!$A$1:$Y$1600,16,FALSE),0),0)</f>
        <v>-463.06</v>
      </c>
      <c r="AL30" s="13">
        <f>-IF(AG30="USD",IFERROR(VLOOKUP(D30,CAARStatus!$A$1:$Y$1600,11,FALSE),0),0)</f>
        <v>0</v>
      </c>
      <c r="AM30" s="22">
        <f t="shared" si="15"/>
        <v>463.06</v>
      </c>
      <c r="AN30" s="12" t="str">
        <f t="shared" si="16"/>
        <v/>
      </c>
      <c r="AO30" s="12" t="str">
        <f t="shared" si="17"/>
        <v>Yes</v>
      </c>
      <c r="AP30" t="str">
        <f t="shared" si="2"/>
        <v>XX</v>
      </c>
      <c r="AQ30" t="str">
        <f>IFERROR(VLOOKUP(Z30,InvBal!$L$4:$P$600,4,FALSE),"Pend")</f>
        <v>Yes</v>
      </c>
      <c r="AR30" t="str">
        <f>IFERROR(VLOOKUP(D30,Manual!$C$1:$E$22,2,FALSE),"Pend")</f>
        <v>Pend</v>
      </c>
      <c r="AS30" t="str">
        <f t="shared" si="18"/>
        <v>Yes</v>
      </c>
      <c r="AT30" t="str">
        <f t="shared" si="19"/>
        <v>Yes</v>
      </c>
      <c r="AU30" s="51" t="str">
        <f t="shared" si="20"/>
        <v>Yes</v>
      </c>
      <c r="AV30" s="12">
        <f>IFERROR(VLOOKUP(D30,'Receivable Invoice Detail'!$S$1:$U$3014,3,FALSE),0)</f>
        <v>0</v>
      </c>
      <c r="AW30" s="12">
        <f t="shared" si="21"/>
        <v>644.19351608672014</v>
      </c>
    </row>
    <row r="31" spans="1:49" x14ac:dyDescent="0.25">
      <c r="A31" s="2"/>
      <c r="B31" s="2"/>
      <c r="C31" s="2"/>
      <c r="D31" s="2" t="s">
        <v>2290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>
        <f t="shared" si="3"/>
        <v>2</v>
      </c>
      <c r="U31" s="18">
        <f t="shared" si="4"/>
        <v>1</v>
      </c>
      <c r="V31" s="18">
        <f t="shared" si="5"/>
        <v>2025</v>
      </c>
      <c r="W31" s="18">
        <f t="shared" si="6"/>
        <v>2</v>
      </c>
      <c r="X31" s="18">
        <f t="shared" si="7"/>
        <v>2025</v>
      </c>
      <c r="Y31" s="2">
        <f t="shared" si="0"/>
        <v>0.69558320313428079</v>
      </c>
      <c r="Z31" t="str">
        <f t="shared" si="1"/>
        <v>SO16390</v>
      </c>
      <c r="AA31" s="11">
        <f t="shared" si="8"/>
        <v>45665.671296296299</v>
      </c>
      <c r="AB31" s="5" t="str">
        <f t="shared" si="9"/>
        <v>INV12506</v>
      </c>
      <c r="AC31" s="5" t="str">
        <f>IFERROR(VLOOKUP(D31,CAARStatus!$A$2:$AA$1600,22,FALSE),"Not invoiced")</f>
        <v>Paid</v>
      </c>
      <c r="AD31" s="11">
        <f>IF(AC31="Paid",IFERROR(VLOOKUP(D31,CAARStatus!$A$2:$AA$1600,6,FALSE),"Pending"),"Pending")</f>
        <v>45706</v>
      </c>
      <c r="AE31" s="5" t="str">
        <f t="shared" si="10"/>
        <v>2969</v>
      </c>
      <c r="AF31" s="5" t="str">
        <f t="shared" si="11"/>
        <v>Les Pompes du St-Laurent Inc.</v>
      </c>
      <c r="AG31" s="5" t="str">
        <f t="shared" si="12"/>
        <v>CAD</v>
      </c>
      <c r="AH31" s="5">
        <f t="shared" si="13"/>
        <v>0</v>
      </c>
      <c r="AI31" s="12">
        <f>IF(L31-N31=0,VLOOKUP(U31,rate!A$4:B$15,2,FALSE)*AH31,IF(AG31="USD",O31,AH31*Y31))</f>
        <v>0</v>
      </c>
      <c r="AJ31" s="13">
        <f t="shared" si="14"/>
        <v>0</v>
      </c>
      <c r="AK31" s="13">
        <f>-IF(AG31="CAD",IFERROR(VLOOKUP(D31,CAARStatus!$A$1:$Y$1600,16,FALSE),0),0)</f>
        <v>-463.06</v>
      </c>
      <c r="AL31" s="13">
        <f>-IF(AG31="USD",IFERROR(VLOOKUP(D31,CAARStatus!$A$1:$Y$1600,11,FALSE),0),0)</f>
        <v>0</v>
      </c>
      <c r="AM31" s="22">
        <f t="shared" si="15"/>
        <v>-463.06</v>
      </c>
      <c r="AN31" s="12" t="str">
        <f t="shared" si="16"/>
        <v/>
      </c>
      <c r="AO31" s="12" t="str">
        <f t="shared" si="17"/>
        <v>Yes</v>
      </c>
      <c r="AP31" t="str">
        <f t="shared" si="2"/>
        <v>XX</v>
      </c>
      <c r="AQ31" t="str">
        <f>IFERROR(VLOOKUP(Z31,InvBal!$L$4:$P$600,4,FALSE),"Pend")</f>
        <v>Yes</v>
      </c>
      <c r="AR31" t="str">
        <f>IFERROR(VLOOKUP(D31,Manual!$C$1:$E$22,2,FALSE),"Pend")</f>
        <v>Pend</v>
      </c>
      <c r="AS31" t="str">
        <f t="shared" si="18"/>
        <v>Yes</v>
      </c>
      <c r="AT31" t="str">
        <f t="shared" si="19"/>
        <v/>
      </c>
      <c r="AU31" s="51" t="str">
        <f t="shared" si="20"/>
        <v/>
      </c>
      <c r="AV31" s="12">
        <f>IFERROR(VLOOKUP(D31,'Receivable Invoice Detail'!$S$1:$U$3014,3,FALSE),0)</f>
        <v>0</v>
      </c>
      <c r="AW31" s="12">
        <f t="shared" si="21"/>
        <v>0</v>
      </c>
    </row>
    <row r="32" spans="1:49" ht="30" x14ac:dyDescent="0.25">
      <c r="A32" s="2">
        <v>1</v>
      </c>
      <c r="B32" s="2" t="s">
        <v>2194</v>
      </c>
      <c r="C32" s="2" t="s">
        <v>2195</v>
      </c>
      <c r="D32" s="2" t="s">
        <v>2309</v>
      </c>
      <c r="E32" s="2" t="s">
        <v>290</v>
      </c>
      <c r="F32" s="3">
        <v>45666.437789351847</v>
      </c>
      <c r="G32" s="3">
        <v>45671.640162037038</v>
      </c>
      <c r="H32" s="4">
        <v>45744</v>
      </c>
      <c r="I32" s="2" t="s">
        <v>21</v>
      </c>
      <c r="J32" s="2" t="s">
        <v>22</v>
      </c>
      <c r="K32" s="2">
        <v>1</v>
      </c>
      <c r="L32" s="2">
        <v>7778.54</v>
      </c>
      <c r="M32" s="2">
        <v>0</v>
      </c>
      <c r="N32" s="2">
        <v>5412.4629003718201</v>
      </c>
      <c r="O32" s="2">
        <v>7408.13</v>
      </c>
      <c r="P32" s="2">
        <v>370.41</v>
      </c>
      <c r="Q32" s="2">
        <v>7778.54</v>
      </c>
      <c r="R32" s="2" t="s">
        <v>44</v>
      </c>
      <c r="S32" s="2"/>
      <c r="T32" s="2">
        <f t="shared" si="3"/>
        <v>1</v>
      </c>
      <c r="U32" s="18">
        <f t="shared" si="4"/>
        <v>1</v>
      </c>
      <c r="V32" s="18">
        <f t="shared" si="5"/>
        <v>2025</v>
      </c>
      <c r="W32" s="18">
        <f t="shared" si="6"/>
        <v>5</v>
      </c>
      <c r="X32" s="18">
        <f t="shared" si="7"/>
        <v>2025</v>
      </c>
      <c r="Y32" s="2">
        <f t="shared" si="0"/>
        <v>0.69581989684077217</v>
      </c>
      <c r="Z32" t="str">
        <f t="shared" si="1"/>
        <v>SO16392</v>
      </c>
      <c r="AA32" s="11">
        <f t="shared" si="8"/>
        <v>45666.437789351847</v>
      </c>
      <c r="AB32" s="5" t="str">
        <f t="shared" si="9"/>
        <v>INV12706</v>
      </c>
      <c r="AC32" s="5" t="str">
        <f>IFERROR(VLOOKUP(D32,CAARStatus!$A$2:$AA$1600,22,FALSE),"Not invoiced")</f>
        <v>Paid</v>
      </c>
      <c r="AD32" s="11">
        <f>IF(AC32="Paid",IFERROR(VLOOKUP(D32,CAARStatus!$A$2:$AA$1600,6,FALSE),"Pending"),"Pending")</f>
        <v>45779</v>
      </c>
      <c r="AE32" s="5" t="str">
        <f t="shared" si="10"/>
        <v>4500574897</v>
      </c>
      <c r="AF32" s="5" t="str">
        <f t="shared" si="11"/>
        <v>Resolute Forest Products - Kenogami</v>
      </c>
      <c r="AG32" s="5" t="str">
        <f t="shared" si="12"/>
        <v>CAD</v>
      </c>
      <c r="AH32" s="5">
        <f t="shared" si="13"/>
        <v>7408.13</v>
      </c>
      <c r="AI32" s="12">
        <f>IF(L32-N32=0,VLOOKUP(U32,rate!A$4:B$15,2,FALSE)*AH32,IF(AG32="USD",O32,AH32*Y32))</f>
        <v>5154.72425238303</v>
      </c>
      <c r="AJ32" s="13">
        <f t="shared" si="14"/>
        <v>0.69581989684077228</v>
      </c>
      <c r="AK32" s="13">
        <f>-IF(AG32="CAD",IFERROR(VLOOKUP(D32,CAARStatus!$A$1:$Y$1600,16,FALSE),0),0)</f>
        <v>-7408.13</v>
      </c>
      <c r="AL32" s="13">
        <f>-IF(AG32="USD",IFERROR(VLOOKUP(D32,CAARStatus!$A$1:$Y$1600,11,FALSE),0),0)</f>
        <v>0</v>
      </c>
      <c r="AM32" s="22">
        <f t="shared" si="15"/>
        <v>0</v>
      </c>
      <c r="AN32" s="12" t="str">
        <f t="shared" si="16"/>
        <v/>
      </c>
      <c r="AO32" s="12" t="str">
        <f t="shared" si="17"/>
        <v>Yes</v>
      </c>
      <c r="AP32" t="str">
        <f t="shared" si="2"/>
        <v>Yes</v>
      </c>
      <c r="AQ32" t="str">
        <f>IFERROR(VLOOKUP(Z32,InvBal!$L$4:$P$600,4,FALSE),"Pend")</f>
        <v>Pend</v>
      </c>
      <c r="AR32" t="str">
        <f>IFERROR(VLOOKUP(D32,Manual!$C$1:$E$22,2,FALSE),"Pend")</f>
        <v>Pend</v>
      </c>
      <c r="AS32" t="str">
        <f t="shared" si="18"/>
        <v>Yes</v>
      </c>
      <c r="AT32" t="str">
        <f t="shared" si="19"/>
        <v>Yes</v>
      </c>
      <c r="AU32" s="51" t="str">
        <f t="shared" si="20"/>
        <v>Yes</v>
      </c>
      <c r="AV32" s="12">
        <f>IFERROR(VLOOKUP(D32,'Receivable Invoice Detail'!$S$1:$U$3014,3,FALSE),0)</f>
        <v>0</v>
      </c>
      <c r="AW32" s="12">
        <f t="shared" si="21"/>
        <v>5154.72425238303</v>
      </c>
    </row>
    <row r="33" spans="1:49" x14ac:dyDescent="0.25">
      <c r="A33" s="2">
        <v>2</v>
      </c>
      <c r="B33" s="2" t="s">
        <v>2200</v>
      </c>
      <c r="C33" s="2" t="s">
        <v>2201</v>
      </c>
      <c r="D33" s="2" t="s">
        <v>2306</v>
      </c>
      <c r="E33" s="2" t="s">
        <v>171</v>
      </c>
      <c r="F33" s="3">
        <v>45666.496747685182</v>
      </c>
      <c r="G33" s="3">
        <v>45671.440046296288</v>
      </c>
      <c r="H33" s="4">
        <v>45706</v>
      </c>
      <c r="I33" s="2" t="s">
        <v>21</v>
      </c>
      <c r="J33" s="2" t="s">
        <v>22</v>
      </c>
      <c r="K33" s="2">
        <v>1</v>
      </c>
      <c r="L33" s="2">
        <v>2482.17</v>
      </c>
      <c r="M33" s="2">
        <v>0</v>
      </c>
      <c r="N33" s="2">
        <v>1727.1432733412601</v>
      </c>
      <c r="O33" s="2">
        <v>2363.9699999999998</v>
      </c>
      <c r="P33" s="2">
        <v>118.2</v>
      </c>
      <c r="Q33" s="2">
        <v>2482.17</v>
      </c>
      <c r="R33" s="2" t="s">
        <v>44</v>
      </c>
      <c r="S33" s="2"/>
      <c r="T33" s="2">
        <f t="shared" si="3"/>
        <v>2</v>
      </c>
      <c r="U33" s="18">
        <f t="shared" si="4"/>
        <v>1</v>
      </c>
      <c r="V33" s="18">
        <f t="shared" si="5"/>
        <v>2025</v>
      </c>
      <c r="W33" s="18">
        <f t="shared" si="6"/>
        <v>4</v>
      </c>
      <c r="X33" s="18">
        <f t="shared" si="7"/>
        <v>2025</v>
      </c>
      <c r="Y33" s="2">
        <f t="shared" si="0"/>
        <v>0.69581989684077239</v>
      </c>
      <c r="Z33" t="str">
        <f t="shared" si="1"/>
        <v>SO16393</v>
      </c>
      <c r="AA33" s="11">
        <f t="shared" si="8"/>
        <v>45666.496747685182</v>
      </c>
      <c r="AB33" s="5" t="str">
        <f t="shared" si="9"/>
        <v>INV12704</v>
      </c>
      <c r="AC33" s="5" t="str">
        <f>IFERROR(VLOOKUP(D33,CAARStatus!$A$2:$AA$1600,22,FALSE),"Not invoiced")</f>
        <v>Paid</v>
      </c>
      <c r="AD33" s="11">
        <f>IF(AC33="Paid",IFERROR(VLOOKUP(D33,CAARStatus!$A$2:$AA$1600,6,FALSE),"Pending"),"Pending")</f>
        <v>45750</v>
      </c>
      <c r="AE33" s="5" t="str">
        <f t="shared" si="10"/>
        <v>2051</v>
      </c>
      <c r="AF33" s="5" t="str">
        <f t="shared" si="11"/>
        <v>FMI Products</v>
      </c>
      <c r="AG33" s="5" t="str">
        <f t="shared" si="12"/>
        <v>CAD</v>
      </c>
      <c r="AH33" s="5">
        <f t="shared" si="13"/>
        <v>2363.9699999999998</v>
      </c>
      <c r="AI33" s="12">
        <f>IF(L33-N33=0,VLOOKUP(U33,rate!A$4:B$15,2,FALSE)*AH33,IF(AG33="USD",O33,AH33*Y33))</f>
        <v>1644.8973615346806</v>
      </c>
      <c r="AJ33" s="13">
        <f t="shared" si="14"/>
        <v>0.69581989684077239</v>
      </c>
      <c r="AK33" s="13">
        <f>-IF(AG33="CAD",IFERROR(VLOOKUP(D33,CAARStatus!$A$1:$Y$1600,16,FALSE),0),0)</f>
        <v>-1662.14</v>
      </c>
      <c r="AL33" s="13">
        <f>-IF(AG33="USD",IFERROR(VLOOKUP(D33,CAARStatus!$A$1:$Y$1600,11,FALSE),0),0)</f>
        <v>0</v>
      </c>
      <c r="AM33" s="22">
        <f t="shared" si="15"/>
        <v>701.8299999999997</v>
      </c>
      <c r="AN33" s="12" t="str">
        <f t="shared" si="16"/>
        <v/>
      </c>
      <c r="AO33" s="12" t="str">
        <f t="shared" si="17"/>
        <v>Yes</v>
      </c>
      <c r="AP33" t="str">
        <f t="shared" si="2"/>
        <v>XX</v>
      </c>
      <c r="AQ33" t="str">
        <f>IFERROR(VLOOKUP(Z33,InvBal!$L$4:$P$600,4,FALSE),"Pend")</f>
        <v>Yes</v>
      </c>
      <c r="AR33" t="str">
        <f>IFERROR(VLOOKUP(D33,Manual!$C$1:$E$22,2,FALSE),"Pend")</f>
        <v>Pend</v>
      </c>
      <c r="AS33" t="str">
        <f t="shared" si="18"/>
        <v>Yes</v>
      </c>
      <c r="AT33" t="str">
        <f t="shared" si="19"/>
        <v>Yes</v>
      </c>
      <c r="AU33" s="51" t="str">
        <f t="shared" si="20"/>
        <v>Yes</v>
      </c>
      <c r="AV33" s="12">
        <f>IFERROR(VLOOKUP(D33,'Receivable Invoice Detail'!$S$1:$U$3014,3,FALSE),0)</f>
        <v>0</v>
      </c>
      <c r="AW33" s="12">
        <f t="shared" si="21"/>
        <v>1644.8973615346806</v>
      </c>
    </row>
    <row r="34" spans="1:49" x14ac:dyDescent="0.25">
      <c r="A34" s="2"/>
      <c r="B34" s="2"/>
      <c r="C34" s="2"/>
      <c r="D34" s="2" t="s">
        <v>2305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>
        <f t="shared" si="3"/>
        <v>2</v>
      </c>
      <c r="U34" s="18">
        <f t="shared" si="4"/>
        <v>1</v>
      </c>
      <c r="V34" s="18">
        <f t="shared" si="5"/>
        <v>2025</v>
      </c>
      <c r="W34" s="18">
        <f t="shared" si="6"/>
        <v>2</v>
      </c>
      <c r="X34" s="18">
        <f t="shared" si="7"/>
        <v>2025</v>
      </c>
      <c r="Y34" s="2">
        <f t="shared" ref="Y34:Y65" si="22">IF(C34="",Y33,N34/L34)</f>
        <v>0.69581989684077239</v>
      </c>
      <c r="Z34" t="str">
        <f t="shared" si="1"/>
        <v>SO16393</v>
      </c>
      <c r="AA34" s="11">
        <f t="shared" si="8"/>
        <v>45666.496747685182</v>
      </c>
      <c r="AB34" s="5" t="str">
        <f t="shared" si="9"/>
        <v>INV12541</v>
      </c>
      <c r="AC34" s="5" t="str">
        <f>IFERROR(VLOOKUP(D34,CAARStatus!$A$2:$AA$1600,22,FALSE),"Not invoiced")</f>
        <v>Paid</v>
      </c>
      <c r="AD34" s="11">
        <f>IF(AC34="Paid",IFERROR(VLOOKUP(D34,CAARStatus!$A$2:$AA$1600,6,FALSE),"Pending"),"Pending")</f>
        <v>45709</v>
      </c>
      <c r="AE34" s="5" t="str">
        <f t="shared" si="10"/>
        <v>2051</v>
      </c>
      <c r="AF34" s="5" t="str">
        <f t="shared" si="11"/>
        <v>FMI Products</v>
      </c>
      <c r="AG34" s="5" t="str">
        <f t="shared" si="12"/>
        <v>CAD</v>
      </c>
      <c r="AH34" s="5">
        <f t="shared" si="13"/>
        <v>0</v>
      </c>
      <c r="AI34" s="12">
        <f>IF(L34-N34=0,VLOOKUP(U34,rate!A$4:B$15,2,FALSE)*AH34,IF(AG34="USD",O34,AH34*Y34))</f>
        <v>0</v>
      </c>
      <c r="AJ34" s="13">
        <f t="shared" si="14"/>
        <v>0</v>
      </c>
      <c r="AK34" s="13">
        <f>-IF(AG34="CAD",IFERROR(VLOOKUP(D34,CAARStatus!$A$1:$Y$1600,16,FALSE),0),0)</f>
        <v>-701.83</v>
      </c>
      <c r="AL34" s="13">
        <f>-IF(AG34="USD",IFERROR(VLOOKUP(D34,CAARStatus!$A$1:$Y$1600,11,FALSE),0),0)</f>
        <v>0</v>
      </c>
      <c r="AM34" s="22">
        <f t="shared" si="15"/>
        <v>-701.83</v>
      </c>
      <c r="AN34" s="12" t="str">
        <f t="shared" si="16"/>
        <v/>
      </c>
      <c r="AO34" s="12" t="str">
        <f t="shared" si="17"/>
        <v>Yes</v>
      </c>
      <c r="AP34" t="str">
        <f t="shared" ref="AP34:AP65" si="23">IF(AND(AO34="Pend",T34&lt;2),"Pend",IF(T34=1,"Yes","XX"))</f>
        <v>XX</v>
      </c>
      <c r="AQ34" t="str">
        <f>IFERROR(VLOOKUP(Z34,InvBal!$L$4:$P$600,4,FALSE),"Pend")</f>
        <v>Yes</v>
      </c>
      <c r="AR34" t="str">
        <f>IFERROR(VLOOKUP(D34,Manual!$C$1:$E$22,2,FALSE),"Pend")</f>
        <v>Pend</v>
      </c>
      <c r="AS34" t="str">
        <f t="shared" si="18"/>
        <v>Yes</v>
      </c>
      <c r="AT34" t="str">
        <f t="shared" si="19"/>
        <v/>
      </c>
      <c r="AU34" s="51" t="str">
        <f t="shared" si="20"/>
        <v/>
      </c>
      <c r="AV34" s="12">
        <f>IFERROR(VLOOKUP(D34,'Receivable Invoice Detail'!$S$1:$U$3014,3,FALSE),0)</f>
        <v>0</v>
      </c>
      <c r="AW34" s="12">
        <f t="shared" si="21"/>
        <v>0</v>
      </c>
    </row>
    <row r="35" spans="1:49" x14ac:dyDescent="0.25">
      <c r="A35" s="2">
        <v>1</v>
      </c>
      <c r="B35" s="2" t="s">
        <v>1853</v>
      </c>
      <c r="C35" s="2" t="s">
        <v>1854</v>
      </c>
      <c r="D35" s="2" t="s">
        <v>2507</v>
      </c>
      <c r="E35" s="2" t="s">
        <v>581</v>
      </c>
      <c r="F35" s="3">
        <v>45666.710902777777</v>
      </c>
      <c r="G35" s="3">
        <v>45719.693657407413</v>
      </c>
      <c r="H35" s="4">
        <v>45733</v>
      </c>
      <c r="I35" s="2" t="s">
        <v>21</v>
      </c>
      <c r="J35" s="2" t="s">
        <v>51</v>
      </c>
      <c r="K35" s="2">
        <v>0.6913666591718971</v>
      </c>
      <c r="L35" s="2">
        <v>1339.7088038775501</v>
      </c>
      <c r="M35" s="2">
        <v>0</v>
      </c>
      <c r="N35" s="2">
        <v>926.23</v>
      </c>
      <c r="O35" s="2">
        <v>926.23</v>
      </c>
      <c r="P35" s="2"/>
      <c r="Q35" s="2">
        <v>926.23</v>
      </c>
      <c r="R35" s="2" t="s">
        <v>44</v>
      </c>
      <c r="S35" s="2"/>
      <c r="T35" s="2">
        <f t="shared" si="3"/>
        <v>1</v>
      </c>
      <c r="U35" s="18">
        <f t="shared" si="4"/>
        <v>1</v>
      </c>
      <c r="V35" s="18">
        <f t="shared" si="5"/>
        <v>2025</v>
      </c>
      <c r="W35" s="18">
        <f t="shared" si="6"/>
        <v>5</v>
      </c>
      <c r="X35" s="18">
        <f t="shared" si="7"/>
        <v>2025</v>
      </c>
      <c r="Y35" s="2">
        <f t="shared" si="22"/>
        <v>0.6913666591718971</v>
      </c>
      <c r="Z35" t="str">
        <f t="shared" si="1"/>
        <v>SO16397</v>
      </c>
      <c r="AA35" s="11">
        <f t="shared" si="8"/>
        <v>45666.710902777777</v>
      </c>
      <c r="AB35" s="5" t="str">
        <f t="shared" si="9"/>
        <v>INV12846</v>
      </c>
      <c r="AC35" s="5" t="str">
        <f>IFERROR(VLOOKUP(D35,CAARStatus!$A$2:$AA$1600,22,FALSE),"Not invoiced")</f>
        <v>Paid</v>
      </c>
      <c r="AD35" s="11">
        <f>IF(AC35="Paid",IFERROR(VLOOKUP(D35,CAARStatus!$A$2:$AA$1600,6,FALSE),"Pending"),"Pending")</f>
        <v>45792</v>
      </c>
      <c r="AE35" s="5" t="str">
        <f t="shared" si="10"/>
        <v>5345945</v>
      </c>
      <c r="AF35" s="5" t="str">
        <f t="shared" si="11"/>
        <v>Corrosion Fluid Products Corp.</v>
      </c>
      <c r="AG35" s="5" t="str">
        <f t="shared" si="12"/>
        <v>USD</v>
      </c>
      <c r="AH35" s="5">
        <f t="shared" si="13"/>
        <v>1339.7088038775501</v>
      </c>
      <c r="AI35" s="12">
        <f>IF(L35-N35=0,VLOOKUP(U35,rate!A$4:B$15,2,FALSE)*AH35,IF(AG35="USD",O35,AH35*Y35))</f>
        <v>926.23</v>
      </c>
      <c r="AJ35" s="13">
        <f t="shared" si="14"/>
        <v>0.6913666591718971</v>
      </c>
      <c r="AK35" s="13">
        <f>-IF(AG35="CAD",IFERROR(VLOOKUP(D35,CAARStatus!$A$1:$Y$1600,16,FALSE),0),0)</f>
        <v>0</v>
      </c>
      <c r="AL35" s="13">
        <f>-IF(AG35="USD",IFERROR(VLOOKUP(D35,CAARStatus!$A$1:$Y$1600,11,FALSE),0),0)</f>
        <v>-926.23</v>
      </c>
      <c r="AM35" s="22" t="str">
        <f t="shared" si="15"/>
        <v/>
      </c>
      <c r="AN35" s="12">
        <f t="shared" si="16"/>
        <v>0</v>
      </c>
      <c r="AO35" s="12" t="str">
        <f t="shared" si="17"/>
        <v>Yes</v>
      </c>
      <c r="AP35" t="str">
        <f t="shared" si="23"/>
        <v>Yes</v>
      </c>
      <c r="AQ35" t="str">
        <f>IFERROR(VLOOKUP(Z35,InvBal!$L$4:$P$600,4,FALSE),"Pend")</f>
        <v>Pend</v>
      </c>
      <c r="AR35" t="str">
        <f>IFERROR(VLOOKUP(D35,Manual!$C$1:$E$22,2,FALSE),"Pend")</f>
        <v>Pend</v>
      </c>
      <c r="AS35" t="str">
        <f t="shared" si="18"/>
        <v>Yes</v>
      </c>
      <c r="AT35" t="str">
        <f t="shared" si="19"/>
        <v>Yes</v>
      </c>
      <c r="AU35" s="51" t="str">
        <f t="shared" si="20"/>
        <v>Yes</v>
      </c>
      <c r="AV35" s="12">
        <f>IFERROR(VLOOKUP(D35,'Receivable Invoice Detail'!$S$1:$U$3014,3,FALSE),0)</f>
        <v>0</v>
      </c>
      <c r="AW35" s="12">
        <f t="shared" si="21"/>
        <v>926.23</v>
      </c>
    </row>
    <row r="36" spans="1:49" ht="30" x14ac:dyDescent="0.25">
      <c r="A36" s="2">
        <v>1</v>
      </c>
      <c r="B36" s="2" t="s">
        <v>2183</v>
      </c>
      <c r="C36" s="2" t="s">
        <v>2184</v>
      </c>
      <c r="D36" s="2" t="s">
        <v>2314</v>
      </c>
      <c r="E36" s="2" t="s">
        <v>509</v>
      </c>
      <c r="F36" s="3">
        <v>45667.392928240741</v>
      </c>
      <c r="G36" s="3">
        <v>45672.575254629628</v>
      </c>
      <c r="H36" s="4">
        <v>45673</v>
      </c>
      <c r="I36" s="2" t="s">
        <v>1132</v>
      </c>
      <c r="J36" s="2" t="s">
        <v>22</v>
      </c>
      <c r="K36" s="2">
        <v>1</v>
      </c>
      <c r="L36" s="2">
        <v>904.12</v>
      </c>
      <c r="M36" s="2">
        <v>904.12</v>
      </c>
      <c r="N36" s="2">
        <v>904.12</v>
      </c>
      <c r="O36" s="2">
        <v>861.07</v>
      </c>
      <c r="P36" s="2">
        <v>43.05</v>
      </c>
      <c r="Q36" s="2">
        <v>904.12</v>
      </c>
      <c r="R36" s="2" t="s">
        <v>44</v>
      </c>
      <c r="S36" s="2"/>
      <c r="T36" s="2">
        <f t="shared" si="3"/>
        <v>1</v>
      </c>
      <c r="U36" s="18">
        <f t="shared" si="4"/>
        <v>1</v>
      </c>
      <c r="V36" s="18">
        <f t="shared" si="5"/>
        <v>2025</v>
      </c>
      <c r="W36" s="18">
        <f t="shared" si="6"/>
        <v>2</v>
      </c>
      <c r="X36" s="18">
        <f t="shared" si="7"/>
        <v>2025</v>
      </c>
      <c r="Y36" s="2">
        <f t="shared" si="22"/>
        <v>1</v>
      </c>
      <c r="Z36" t="str">
        <f t="shared" si="1"/>
        <v>SO16399</v>
      </c>
      <c r="AA36" s="11">
        <f t="shared" si="8"/>
        <v>45667.392928240741</v>
      </c>
      <c r="AB36" s="5" t="str">
        <f t="shared" si="9"/>
        <v>INV12536</v>
      </c>
      <c r="AC36" s="5" t="str">
        <f>IFERROR(VLOOKUP(D36,CAARStatus!$A$2:$AA$1600,22,FALSE),"Not invoiced")</f>
        <v>Paid</v>
      </c>
      <c r="AD36" s="11">
        <f>IF(AC36="Paid",IFERROR(VLOOKUP(D36,CAARStatus!$A$2:$AA$1600,6,FALSE),"Pending"),"Pending")</f>
        <v>45715</v>
      </c>
      <c r="AE36" s="5" t="str">
        <f t="shared" si="10"/>
        <v>08840</v>
      </c>
      <c r="AF36" s="5" t="str">
        <f t="shared" si="11"/>
        <v>Tantalum Mining Corporation of Canada</v>
      </c>
      <c r="AG36" s="5" t="str">
        <f t="shared" si="12"/>
        <v>CAD</v>
      </c>
      <c r="AH36" s="5">
        <f t="shared" si="13"/>
        <v>861.07</v>
      </c>
      <c r="AI36" s="12">
        <f>IF(L36-N36=0,VLOOKUP(U36,rate!A$4:B$15,2,FALSE)*AH36,IF(AG36="USD",O36,AH36*Y36))</f>
        <v>598.16647956313693</v>
      </c>
      <c r="AJ36" s="13">
        <f t="shared" si="14"/>
        <v>0.69467810928627971</v>
      </c>
      <c r="AK36" s="13">
        <f>-IF(AG36="CAD",IFERROR(VLOOKUP(D36,CAARStatus!$A$1:$Y$1600,16,FALSE),0),0)</f>
        <v>-861.07</v>
      </c>
      <c r="AL36" s="13">
        <f>-IF(AG36="USD",IFERROR(VLOOKUP(D36,CAARStatus!$A$1:$Y$1600,11,FALSE),0),0)</f>
        <v>0</v>
      </c>
      <c r="AM36" s="22">
        <f t="shared" si="15"/>
        <v>0</v>
      </c>
      <c r="AN36" s="12" t="str">
        <f t="shared" si="16"/>
        <v/>
      </c>
      <c r="AO36" s="12" t="str">
        <f t="shared" si="17"/>
        <v>Yes</v>
      </c>
      <c r="AP36" t="str">
        <f t="shared" si="23"/>
        <v>Yes</v>
      </c>
      <c r="AQ36" t="str">
        <f>IFERROR(VLOOKUP(Z36,InvBal!$L$4:$P$600,4,FALSE),"Pend")</f>
        <v>Pend</v>
      </c>
      <c r="AR36" t="str">
        <f>IFERROR(VLOOKUP(D36,Manual!$C$1:$E$22,2,FALSE),"Pend")</f>
        <v>Pend</v>
      </c>
      <c r="AS36" t="str">
        <f t="shared" si="18"/>
        <v>Yes</v>
      </c>
      <c r="AT36" t="str">
        <f t="shared" si="19"/>
        <v>Yes</v>
      </c>
      <c r="AU36" s="51" t="str">
        <f t="shared" si="20"/>
        <v>Yes</v>
      </c>
      <c r="AV36" s="12">
        <f>IFERROR(VLOOKUP(D36,'Receivable Invoice Detail'!$S$1:$U$3014,3,FALSE),0)</f>
        <v>0</v>
      </c>
      <c r="AW36" s="12">
        <f t="shared" si="21"/>
        <v>598.16647956313693</v>
      </c>
    </row>
    <row r="37" spans="1:49" ht="45" x14ac:dyDescent="0.25">
      <c r="A37" s="2">
        <v>1</v>
      </c>
      <c r="B37" s="2" t="s">
        <v>2187</v>
      </c>
      <c r="C37" s="2" t="s">
        <v>2188</v>
      </c>
      <c r="D37" s="2" t="s">
        <v>2312</v>
      </c>
      <c r="E37" s="2" t="s">
        <v>2189</v>
      </c>
      <c r="F37" s="3">
        <v>45667.397164351853</v>
      </c>
      <c r="G37" s="3">
        <v>45672.521296296298</v>
      </c>
      <c r="H37" s="4">
        <v>45707</v>
      </c>
      <c r="I37" s="2" t="s">
        <v>1132</v>
      </c>
      <c r="J37" s="2" t="s">
        <v>51</v>
      </c>
      <c r="K37" s="2">
        <v>0.69581989684077217</v>
      </c>
      <c r="L37" s="2">
        <v>3105.4443970498778</v>
      </c>
      <c r="M37" s="2">
        <v>0</v>
      </c>
      <c r="N37" s="2">
        <v>2160.83</v>
      </c>
      <c r="O37" s="2">
        <v>2160.83</v>
      </c>
      <c r="P37" s="2"/>
      <c r="Q37" s="2">
        <v>2160.83</v>
      </c>
      <c r="R37" s="2" t="s">
        <v>44</v>
      </c>
      <c r="S37" s="2"/>
      <c r="T37" s="2">
        <f t="shared" si="3"/>
        <v>1</v>
      </c>
      <c r="U37" s="18">
        <f t="shared" si="4"/>
        <v>1</v>
      </c>
      <c r="V37" s="18">
        <f t="shared" si="5"/>
        <v>2025</v>
      </c>
      <c r="W37" s="18">
        <f t="shared" si="6"/>
        <v>4</v>
      </c>
      <c r="X37" s="18">
        <f t="shared" si="7"/>
        <v>2025</v>
      </c>
      <c r="Y37" s="2">
        <f t="shared" si="22"/>
        <v>0.69581989684077217</v>
      </c>
      <c r="Z37" t="str">
        <f t="shared" si="1"/>
        <v>SO16400</v>
      </c>
      <c r="AA37" s="11">
        <f t="shared" si="8"/>
        <v>45667.397164351853</v>
      </c>
      <c r="AB37" s="5" t="str">
        <f t="shared" si="9"/>
        <v>INV12662</v>
      </c>
      <c r="AC37" s="5" t="str">
        <f>IFERROR(VLOOKUP(D37,CAARStatus!$A$2:$AA$1600,22,FALSE),"Not invoiced")</f>
        <v>Paid</v>
      </c>
      <c r="AD37" s="11">
        <f>IF(AC37="Paid",IFERROR(VLOOKUP(D37,CAARStatus!$A$2:$AA$1600,6,FALSE),"Pending"),"Pending")</f>
        <v>45754</v>
      </c>
      <c r="AE37" s="5" t="str">
        <f t="shared" si="10"/>
        <v>9569096</v>
      </c>
      <c r="AF37" s="5" t="str">
        <f t="shared" si="11"/>
        <v>DXP Enterprises, Inc. - Pumping Solutions, Inc. - Hayward California</v>
      </c>
      <c r="AG37" s="5" t="str">
        <f t="shared" si="12"/>
        <v>USD</v>
      </c>
      <c r="AH37" s="5">
        <f t="shared" si="13"/>
        <v>3105.4443970498778</v>
      </c>
      <c r="AI37" s="12">
        <f>IF(L37-N37=0,VLOOKUP(U37,rate!A$4:B$15,2,FALSE)*AH37,IF(AG37="USD",O37,AH37*Y37))</f>
        <v>2160.83</v>
      </c>
      <c r="AJ37" s="13">
        <f t="shared" si="14"/>
        <v>0.69581989684077217</v>
      </c>
      <c r="AK37" s="13">
        <f>-IF(AG37="CAD",IFERROR(VLOOKUP(D37,CAARStatus!$A$1:$Y$1600,16,FALSE),0),0)</f>
        <v>0</v>
      </c>
      <c r="AL37" s="13">
        <f>-IF(AG37="USD",IFERROR(VLOOKUP(D37,CAARStatus!$A$1:$Y$1600,11,FALSE),0),0)</f>
        <v>-2160.83</v>
      </c>
      <c r="AM37" s="22" t="str">
        <f t="shared" si="15"/>
        <v/>
      </c>
      <c r="AN37" s="12">
        <f t="shared" si="16"/>
        <v>0</v>
      </c>
      <c r="AO37" s="12" t="str">
        <f t="shared" si="17"/>
        <v>Yes</v>
      </c>
      <c r="AP37" t="str">
        <f t="shared" si="23"/>
        <v>Yes</v>
      </c>
      <c r="AQ37" t="str">
        <f>IFERROR(VLOOKUP(Z37,InvBal!$L$4:$P$600,4,FALSE),"Pend")</f>
        <v>Pend</v>
      </c>
      <c r="AR37" t="str">
        <f>IFERROR(VLOOKUP(D37,Manual!$C$1:$E$22,2,FALSE),"Pend")</f>
        <v>Pend</v>
      </c>
      <c r="AS37" t="str">
        <f t="shared" si="18"/>
        <v>Yes</v>
      </c>
      <c r="AT37" t="str">
        <f t="shared" si="19"/>
        <v>Yes</v>
      </c>
      <c r="AU37" s="51" t="str">
        <f t="shared" si="20"/>
        <v>Yes</v>
      </c>
      <c r="AV37" s="12">
        <f>IFERROR(VLOOKUP(D37,'Receivable Invoice Detail'!$S$1:$U$3014,3,FALSE),0)</f>
        <v>0</v>
      </c>
      <c r="AW37" s="12">
        <f t="shared" si="21"/>
        <v>2160.83</v>
      </c>
    </row>
    <row r="38" spans="1:49" ht="30" x14ac:dyDescent="0.25">
      <c r="A38" s="2">
        <v>1</v>
      </c>
      <c r="B38" s="2" t="s">
        <v>2206</v>
      </c>
      <c r="C38" s="2" t="s">
        <v>2207</v>
      </c>
      <c r="D38" s="2" t="s">
        <v>2302</v>
      </c>
      <c r="E38" s="2" t="s">
        <v>2208</v>
      </c>
      <c r="F38" s="3">
        <v>45667.413298611107</v>
      </c>
      <c r="G38" s="3">
        <v>45670.587326388893</v>
      </c>
      <c r="H38" s="4">
        <v>45671</v>
      </c>
      <c r="I38" s="2" t="s">
        <v>1132</v>
      </c>
      <c r="J38" s="2" t="s">
        <v>51</v>
      </c>
      <c r="K38" s="2">
        <v>0.69462238860369352</v>
      </c>
      <c r="L38" s="2">
        <v>120.9290131993211</v>
      </c>
      <c r="M38" s="2">
        <v>0</v>
      </c>
      <c r="N38" s="2">
        <v>84</v>
      </c>
      <c r="O38" s="2">
        <v>84</v>
      </c>
      <c r="P38" s="2"/>
      <c r="Q38" s="2">
        <v>84</v>
      </c>
      <c r="R38" s="2" t="s">
        <v>44</v>
      </c>
      <c r="S38" s="2"/>
      <c r="T38" s="2">
        <f t="shared" si="3"/>
        <v>1</v>
      </c>
      <c r="U38" s="18">
        <f t="shared" si="4"/>
        <v>1</v>
      </c>
      <c r="V38" s="18">
        <f t="shared" si="5"/>
        <v>2025</v>
      </c>
      <c r="W38" s="18">
        <f t="shared" si="6"/>
        <v>2</v>
      </c>
      <c r="X38" s="18">
        <f t="shared" si="7"/>
        <v>2025</v>
      </c>
      <c r="Y38" s="2">
        <f t="shared" si="22"/>
        <v>0.69462238860369341</v>
      </c>
      <c r="Z38" t="str">
        <f t="shared" si="1"/>
        <v>SO16401</v>
      </c>
      <c r="AA38" s="11">
        <f t="shared" si="8"/>
        <v>45667.413298611107</v>
      </c>
      <c r="AB38" s="5" t="str">
        <f t="shared" si="9"/>
        <v>INV12574</v>
      </c>
      <c r="AC38" s="5" t="str">
        <f>IFERROR(VLOOKUP(D38,CAARStatus!$A$2:$AA$1600,22,FALSE),"Not invoiced")</f>
        <v>Paid</v>
      </c>
      <c r="AD38" s="11">
        <f>IF(AC38="Paid",IFERROR(VLOOKUP(D38,CAARStatus!$A$2:$AA$1600,6,FALSE),"Pending"),"Pending")</f>
        <v>45716</v>
      </c>
      <c r="AE38" s="5" t="str">
        <f t="shared" si="10"/>
        <v>FC10-00114698</v>
      </c>
      <c r="AF38" s="5" t="str">
        <f t="shared" si="11"/>
        <v>Motion Industries Inc. (U.S.) - Lakeland</v>
      </c>
      <c r="AG38" s="5" t="str">
        <f t="shared" si="12"/>
        <v>USD</v>
      </c>
      <c r="AH38" s="5">
        <f t="shared" si="13"/>
        <v>120.92901319932109</v>
      </c>
      <c r="AI38" s="12">
        <f>IF(L38-N38=0,VLOOKUP(U38,rate!A$4:B$15,2,FALSE)*AH38,IF(AG38="USD",O38,AH38*Y38))</f>
        <v>84</v>
      </c>
      <c r="AJ38" s="13">
        <f t="shared" si="14"/>
        <v>0.69462238860369352</v>
      </c>
      <c r="AK38" s="13">
        <f>-IF(AG38="CAD",IFERROR(VLOOKUP(D38,CAARStatus!$A$1:$Y$1600,16,FALSE),0),0)</f>
        <v>0</v>
      </c>
      <c r="AL38" s="13">
        <f>-IF(AG38="USD",IFERROR(VLOOKUP(D38,CAARStatus!$A$1:$Y$1600,11,FALSE),0),0)</f>
        <v>-84</v>
      </c>
      <c r="AM38" s="22" t="str">
        <f t="shared" si="15"/>
        <v/>
      </c>
      <c r="AN38" s="12">
        <f t="shared" si="16"/>
        <v>0</v>
      </c>
      <c r="AO38" s="12" t="str">
        <f t="shared" si="17"/>
        <v>Yes</v>
      </c>
      <c r="AP38" t="str">
        <f t="shared" si="23"/>
        <v>Yes</v>
      </c>
      <c r="AQ38" t="str">
        <f>IFERROR(VLOOKUP(Z38,InvBal!$L$4:$P$600,4,FALSE),"Pend")</f>
        <v>Pend</v>
      </c>
      <c r="AR38" t="str">
        <f>IFERROR(VLOOKUP(D38,Manual!$C$1:$E$22,2,FALSE),"Pend")</f>
        <v>Pend</v>
      </c>
      <c r="AS38" t="str">
        <f t="shared" si="18"/>
        <v>Yes</v>
      </c>
      <c r="AT38" t="str">
        <f t="shared" si="19"/>
        <v>Yes</v>
      </c>
      <c r="AU38" s="51" t="str">
        <f t="shared" si="20"/>
        <v>Yes</v>
      </c>
      <c r="AV38" s="12">
        <f>IFERROR(VLOOKUP(D38,'Receivable Invoice Detail'!$S$1:$U$3014,3,FALSE),0)</f>
        <v>0</v>
      </c>
      <c r="AW38" s="12">
        <f t="shared" si="21"/>
        <v>84</v>
      </c>
    </row>
    <row r="39" spans="1:49" ht="30" x14ac:dyDescent="0.25">
      <c r="A39" s="2">
        <v>1</v>
      </c>
      <c r="B39" s="2" t="s">
        <v>2211</v>
      </c>
      <c r="C39" s="2" t="s">
        <v>2212</v>
      </c>
      <c r="D39" s="2" t="s">
        <v>2300</v>
      </c>
      <c r="E39" s="2" t="s">
        <v>232</v>
      </c>
      <c r="F39" s="3">
        <v>45667.484953703701</v>
      </c>
      <c r="G39" s="3">
        <v>45670.436354166668</v>
      </c>
      <c r="H39" s="4">
        <v>45710</v>
      </c>
      <c r="I39" s="2" t="s">
        <v>180</v>
      </c>
      <c r="J39" s="2" t="s">
        <v>51</v>
      </c>
      <c r="K39" s="2">
        <v>0.69462238860369352</v>
      </c>
      <c r="L39" s="2">
        <v>5373.7110424893553</v>
      </c>
      <c r="M39" s="2">
        <v>0</v>
      </c>
      <c r="N39" s="2">
        <v>3732.7</v>
      </c>
      <c r="O39" s="2">
        <v>3732.7</v>
      </c>
      <c r="P39" s="2"/>
      <c r="Q39" s="2">
        <v>3732.7</v>
      </c>
      <c r="R39" s="2" t="s">
        <v>44</v>
      </c>
      <c r="S39" s="2"/>
      <c r="T39" s="2">
        <f t="shared" si="3"/>
        <v>1</v>
      </c>
      <c r="U39" s="18">
        <f t="shared" si="4"/>
        <v>1</v>
      </c>
      <c r="V39" s="18">
        <f t="shared" si="5"/>
        <v>2025</v>
      </c>
      <c r="W39" s="18">
        <f t="shared" si="6"/>
        <v>3</v>
      </c>
      <c r="X39" s="18">
        <f t="shared" si="7"/>
        <v>2025</v>
      </c>
      <c r="Y39" s="2">
        <f t="shared" si="22"/>
        <v>0.69462238860369352</v>
      </c>
      <c r="Z39" t="str">
        <f t="shared" si="1"/>
        <v>SO16402</v>
      </c>
      <c r="AA39" s="11">
        <f t="shared" si="8"/>
        <v>45667.484953703701</v>
      </c>
      <c r="AB39" s="5" t="str">
        <f t="shared" si="9"/>
        <v>INV12530</v>
      </c>
      <c r="AC39" s="5" t="str">
        <f>IFERROR(VLOOKUP(D39,CAARStatus!$A$2:$AA$1600,22,FALSE),"Not invoiced")</f>
        <v>Paid</v>
      </c>
      <c r="AD39" s="11">
        <f>IF(AC39="Paid",IFERROR(VLOOKUP(D39,CAARStatus!$A$2:$AA$1600,6,FALSE),"Pending"),"Pending")</f>
        <v>45741</v>
      </c>
      <c r="AE39" s="5" t="str">
        <f t="shared" si="10"/>
        <v>2243614</v>
      </c>
      <c r="AF39" s="5" t="str">
        <f t="shared" si="11"/>
        <v>Zijin Mining - Rosebel Goldmines N.V.</v>
      </c>
      <c r="AG39" s="5" t="str">
        <f t="shared" si="12"/>
        <v>USD</v>
      </c>
      <c r="AH39" s="5">
        <f t="shared" si="13"/>
        <v>5373.7110424893553</v>
      </c>
      <c r="AI39" s="12">
        <f>IF(L39-N39=0,VLOOKUP(U39,rate!A$4:B$15,2,FALSE)*AH39,IF(AG39="USD",O39,AH39*Y39))</f>
        <v>3732.7</v>
      </c>
      <c r="AJ39" s="13">
        <f t="shared" si="14"/>
        <v>0.69462238860369352</v>
      </c>
      <c r="AK39" s="13">
        <f>-IF(AG39="CAD",IFERROR(VLOOKUP(D39,CAARStatus!$A$1:$Y$1600,16,FALSE),0),0)</f>
        <v>0</v>
      </c>
      <c r="AL39" s="13">
        <f>-IF(AG39="USD",IFERROR(VLOOKUP(D39,CAARStatus!$A$1:$Y$1600,11,FALSE),0),0)</f>
        <v>-3732.7</v>
      </c>
      <c r="AM39" s="22" t="str">
        <f t="shared" si="15"/>
        <v/>
      </c>
      <c r="AN39" s="12">
        <f t="shared" si="16"/>
        <v>0</v>
      </c>
      <c r="AO39" s="12" t="str">
        <f t="shared" si="17"/>
        <v>Yes</v>
      </c>
      <c r="AP39" t="str">
        <f t="shared" si="23"/>
        <v>Yes</v>
      </c>
      <c r="AQ39" t="str">
        <f>IFERROR(VLOOKUP(Z39,InvBal!$L$4:$P$600,4,FALSE),"Pend")</f>
        <v>Pend</v>
      </c>
      <c r="AR39" t="str">
        <f>IFERROR(VLOOKUP(D39,Manual!$C$1:$E$22,2,FALSE),"Pend")</f>
        <v>Pend</v>
      </c>
      <c r="AS39" t="str">
        <f t="shared" si="18"/>
        <v>Yes</v>
      </c>
      <c r="AT39" t="str">
        <f t="shared" si="19"/>
        <v>Yes</v>
      </c>
      <c r="AU39" s="51" t="str">
        <f t="shared" si="20"/>
        <v>Yes</v>
      </c>
      <c r="AV39" s="12">
        <f>IFERROR(VLOOKUP(D39,'Receivable Invoice Detail'!$S$1:$U$3014,3,FALSE),0)</f>
        <v>250</v>
      </c>
      <c r="AW39" s="12">
        <f t="shared" si="21"/>
        <v>3482.7</v>
      </c>
    </row>
    <row r="40" spans="1:49" ht="30" x14ac:dyDescent="0.25">
      <c r="A40" s="2">
        <v>1</v>
      </c>
      <c r="B40" s="2" t="s">
        <v>2220</v>
      </c>
      <c r="C40" s="2" t="s">
        <v>2221</v>
      </c>
      <c r="D40" s="2" t="s">
        <v>2296</v>
      </c>
      <c r="E40" s="2" t="s">
        <v>86</v>
      </c>
      <c r="F40" s="3">
        <v>45667.524398148147</v>
      </c>
      <c r="G40" s="3">
        <v>45667.607708333337</v>
      </c>
      <c r="H40" s="4">
        <v>45670</v>
      </c>
      <c r="I40" s="2" t="s">
        <v>1132</v>
      </c>
      <c r="J40" s="2" t="s">
        <v>22</v>
      </c>
      <c r="K40" s="2">
        <v>1</v>
      </c>
      <c r="L40" s="2">
        <v>540.29999999999995</v>
      </c>
      <c r="M40" s="2">
        <v>0</v>
      </c>
      <c r="N40" s="2">
        <v>374.24329219542551</v>
      </c>
      <c r="O40" s="2">
        <v>540.29999999999995</v>
      </c>
      <c r="P40" s="2"/>
      <c r="Q40" s="2">
        <v>540.29999999999995</v>
      </c>
      <c r="R40" s="2" t="s">
        <v>44</v>
      </c>
      <c r="S40" s="2"/>
      <c r="T40" s="2">
        <f t="shared" si="3"/>
        <v>1</v>
      </c>
      <c r="U40" s="18">
        <f t="shared" si="4"/>
        <v>1</v>
      </c>
      <c r="V40" s="18">
        <f t="shared" si="5"/>
        <v>2025</v>
      </c>
      <c r="W40" s="18">
        <f t="shared" si="6"/>
        <v>2</v>
      </c>
      <c r="X40" s="18">
        <f t="shared" si="7"/>
        <v>2025</v>
      </c>
      <c r="Y40" s="2">
        <f t="shared" si="22"/>
        <v>0.69265832351550161</v>
      </c>
      <c r="Z40" t="str">
        <f t="shared" si="1"/>
        <v>SO16403</v>
      </c>
      <c r="AA40" s="11">
        <f t="shared" si="8"/>
        <v>45667.524398148147</v>
      </c>
      <c r="AB40" s="5" t="str">
        <f t="shared" si="9"/>
        <v>INV12508</v>
      </c>
      <c r="AC40" s="5" t="str">
        <f>IFERROR(VLOOKUP(D40,CAARStatus!$A$2:$AA$1600,22,FALSE),"Not invoiced")</f>
        <v>Paid</v>
      </c>
      <c r="AD40" s="11">
        <f>IF(AC40="Paid",IFERROR(VLOOKUP(D40,CAARStatus!$A$2:$AA$1600,6,FALSE),"Pending"),"Pending")</f>
        <v>45700</v>
      </c>
      <c r="AE40" s="5" t="str">
        <f t="shared" si="10"/>
        <v>MB21-00185834</v>
      </c>
      <c r="AF40" s="5" t="str">
        <f t="shared" si="11"/>
        <v>Motion Industries Inc. (Canada) - Winnipeg</v>
      </c>
      <c r="AG40" s="5" t="str">
        <f t="shared" si="12"/>
        <v>CAD</v>
      </c>
      <c r="AH40" s="5">
        <f t="shared" si="13"/>
        <v>540.29999999999995</v>
      </c>
      <c r="AI40" s="12">
        <f>IF(L40-N40=0,VLOOKUP(U40,rate!A$4:B$15,2,FALSE)*AH40,IF(AG40="USD",O40,AH40*Y40))</f>
        <v>374.24329219542551</v>
      </c>
      <c r="AJ40" s="13">
        <f t="shared" si="14"/>
        <v>0.69265832351550161</v>
      </c>
      <c r="AK40" s="13">
        <f>-IF(AG40="CAD",IFERROR(VLOOKUP(D40,CAARStatus!$A$1:$Y$1600,16,FALSE),0),0)</f>
        <v>-540.29999999999995</v>
      </c>
      <c r="AL40" s="13">
        <f>-IF(AG40="USD",IFERROR(VLOOKUP(D40,CAARStatus!$A$1:$Y$1600,11,FALSE),0),0)</f>
        <v>0</v>
      </c>
      <c r="AM40" s="22">
        <f t="shared" si="15"/>
        <v>0</v>
      </c>
      <c r="AN40" s="12" t="str">
        <f t="shared" si="16"/>
        <v/>
      </c>
      <c r="AO40" s="12" t="str">
        <f t="shared" si="17"/>
        <v>Yes</v>
      </c>
      <c r="AP40" t="str">
        <f t="shared" si="23"/>
        <v>Yes</v>
      </c>
      <c r="AQ40" t="str">
        <f>IFERROR(VLOOKUP(Z40,InvBal!$L$4:$P$600,4,FALSE),"Pend")</f>
        <v>Pend</v>
      </c>
      <c r="AR40" t="str">
        <f>IFERROR(VLOOKUP(D40,Manual!$C$1:$E$22,2,FALSE),"Pend")</f>
        <v>Pend</v>
      </c>
      <c r="AS40" t="str">
        <f t="shared" si="18"/>
        <v>Yes</v>
      </c>
      <c r="AT40" t="str">
        <f t="shared" si="19"/>
        <v>Yes</v>
      </c>
      <c r="AU40" s="51" t="str">
        <f t="shared" si="20"/>
        <v>Yes</v>
      </c>
      <c r="AV40" s="12">
        <f>IFERROR(VLOOKUP(D40,'Receivable Invoice Detail'!$S$1:$U$3014,3,FALSE),0)</f>
        <v>0</v>
      </c>
      <c r="AW40" s="12">
        <f t="shared" si="21"/>
        <v>374.24329219542551</v>
      </c>
    </row>
    <row r="41" spans="1:49" x14ac:dyDescent="0.25">
      <c r="A41" s="2">
        <v>1</v>
      </c>
      <c r="B41" s="2" t="s">
        <v>2215</v>
      </c>
      <c r="C41" s="2" t="s">
        <v>2216</v>
      </c>
      <c r="D41" s="2" t="s">
        <v>2298</v>
      </c>
      <c r="E41" s="2" t="s">
        <v>2217</v>
      </c>
      <c r="F41" s="3">
        <v>45667.625011574077</v>
      </c>
      <c r="G41" s="3">
        <v>45667.701006944437</v>
      </c>
      <c r="H41" s="4">
        <v>45670</v>
      </c>
      <c r="I41" s="2" t="s">
        <v>1132</v>
      </c>
      <c r="J41" s="2" t="s">
        <v>22</v>
      </c>
      <c r="K41" s="2">
        <v>1</v>
      </c>
      <c r="L41" s="2">
        <v>2138.66</v>
      </c>
      <c r="M41" s="2">
        <v>0</v>
      </c>
      <c r="N41" s="2">
        <v>1481.360650169662</v>
      </c>
      <c r="O41" s="2">
        <v>2036.82</v>
      </c>
      <c r="P41" s="2">
        <v>101.84</v>
      </c>
      <c r="Q41" s="2">
        <v>2138.66</v>
      </c>
      <c r="R41" s="2" t="s">
        <v>44</v>
      </c>
      <c r="S41" s="2"/>
      <c r="T41" s="2">
        <f t="shared" si="3"/>
        <v>1</v>
      </c>
      <c r="U41" s="18">
        <f t="shared" si="4"/>
        <v>1</v>
      </c>
      <c r="V41" s="18">
        <f t="shared" si="5"/>
        <v>2025</v>
      </c>
      <c r="W41" s="18">
        <f t="shared" si="6"/>
        <v>2</v>
      </c>
      <c r="X41" s="18">
        <f t="shared" si="7"/>
        <v>2025</v>
      </c>
      <c r="Y41" s="2">
        <f t="shared" si="22"/>
        <v>0.69265832351550138</v>
      </c>
      <c r="Z41" t="str">
        <f t="shared" si="1"/>
        <v>SO16405</v>
      </c>
      <c r="AA41" s="11">
        <f t="shared" si="8"/>
        <v>45667.625011574077</v>
      </c>
      <c r="AB41" s="5" t="str">
        <f t="shared" si="9"/>
        <v>INV12513</v>
      </c>
      <c r="AC41" s="5" t="str">
        <f>IFERROR(VLOOKUP(D41,CAARStatus!$A$2:$AA$1600,22,FALSE),"Not invoiced")</f>
        <v>Paid</v>
      </c>
      <c r="AD41" s="11">
        <f>IF(AC41="Paid",IFERROR(VLOOKUP(D41,CAARStatus!$A$2:$AA$1600,6,FALSE),"Pending"),"Pending")</f>
        <v>45707</v>
      </c>
      <c r="AE41" s="5" t="str">
        <f t="shared" si="10"/>
        <v>2100484115</v>
      </c>
      <c r="AF41" s="5" t="str">
        <f t="shared" si="11"/>
        <v>Wajax Limited - Sorel-Tracy</v>
      </c>
      <c r="AG41" s="5" t="str">
        <f t="shared" si="12"/>
        <v>CAD</v>
      </c>
      <c r="AH41" s="5">
        <f t="shared" si="13"/>
        <v>2036.82</v>
      </c>
      <c r="AI41" s="12">
        <f>IF(L41-N41=0,VLOOKUP(U41,rate!A$4:B$15,2,FALSE)*AH41,IF(AG41="USD",O41,AH41*Y41))</f>
        <v>1410.8203265028435</v>
      </c>
      <c r="AJ41" s="13">
        <f t="shared" si="14"/>
        <v>0.69265832351550138</v>
      </c>
      <c r="AK41" s="13">
        <f>-IF(AG41="CAD",IFERROR(VLOOKUP(D41,CAARStatus!$A$1:$Y$1600,16,FALSE),0),0)</f>
        <v>-2036.82</v>
      </c>
      <c r="AL41" s="13">
        <f>-IF(AG41="USD",IFERROR(VLOOKUP(D41,CAARStatus!$A$1:$Y$1600,11,FALSE),0),0)</f>
        <v>0</v>
      </c>
      <c r="AM41" s="22">
        <f t="shared" si="15"/>
        <v>0</v>
      </c>
      <c r="AN41" s="12" t="str">
        <f t="shared" si="16"/>
        <v/>
      </c>
      <c r="AO41" s="12" t="str">
        <f t="shared" si="17"/>
        <v>Yes</v>
      </c>
      <c r="AP41" t="str">
        <f t="shared" si="23"/>
        <v>Yes</v>
      </c>
      <c r="AQ41" t="str">
        <f>IFERROR(VLOOKUP(Z41,InvBal!$L$4:$P$600,4,FALSE),"Pend")</f>
        <v>Pend</v>
      </c>
      <c r="AR41" t="str">
        <f>IFERROR(VLOOKUP(D41,Manual!$C$1:$E$22,2,FALSE),"Pend")</f>
        <v>Pend</v>
      </c>
      <c r="AS41" t="str">
        <f t="shared" si="18"/>
        <v>Yes</v>
      </c>
      <c r="AT41" t="str">
        <f t="shared" si="19"/>
        <v>Yes</v>
      </c>
      <c r="AU41" s="51" t="str">
        <f t="shared" si="20"/>
        <v>Yes</v>
      </c>
      <c r="AV41" s="12">
        <f>IFERROR(VLOOKUP(D41,'Receivable Invoice Detail'!$S$1:$U$3014,3,FALSE),0)</f>
        <v>0</v>
      </c>
      <c r="AW41" s="12">
        <f t="shared" si="21"/>
        <v>1410.8203265028435</v>
      </c>
    </row>
    <row r="42" spans="1:49" x14ac:dyDescent="0.25">
      <c r="A42" s="2">
        <v>1</v>
      </c>
      <c r="B42" s="2" t="s">
        <v>2204</v>
      </c>
      <c r="C42" s="2" t="s">
        <v>2205</v>
      </c>
      <c r="D42" s="2" t="s">
        <v>2303</v>
      </c>
      <c r="E42" s="2" t="s">
        <v>54</v>
      </c>
      <c r="F42" s="3">
        <v>45667.648553240739</v>
      </c>
      <c r="G42" s="3">
        <v>45670.592569444438</v>
      </c>
      <c r="H42" s="4">
        <v>45698</v>
      </c>
      <c r="I42" s="2" t="s">
        <v>21</v>
      </c>
      <c r="J42" s="2" t="s">
        <v>22</v>
      </c>
      <c r="K42" s="2">
        <v>1</v>
      </c>
      <c r="L42" s="2">
        <v>2358.5100000000002</v>
      </c>
      <c r="M42" s="2">
        <v>0</v>
      </c>
      <c r="N42" s="2">
        <v>1636.6783557362239</v>
      </c>
      <c r="O42" s="2">
        <v>2246.1999999999998</v>
      </c>
      <c r="P42" s="2">
        <v>112.31</v>
      </c>
      <c r="Q42" s="2">
        <v>2358.5100000000002</v>
      </c>
      <c r="R42" s="2" t="s">
        <v>44</v>
      </c>
      <c r="S42" s="2"/>
      <c r="T42" s="2">
        <f t="shared" si="3"/>
        <v>1</v>
      </c>
      <c r="U42" s="18">
        <f t="shared" si="4"/>
        <v>1</v>
      </c>
      <c r="V42" s="18">
        <f t="shared" si="5"/>
        <v>2025</v>
      </c>
      <c r="W42" s="18">
        <f t="shared" si="6"/>
        <v>4</v>
      </c>
      <c r="X42" s="18">
        <f t="shared" si="7"/>
        <v>2025</v>
      </c>
      <c r="Y42" s="2">
        <f t="shared" si="22"/>
        <v>0.69394590471790396</v>
      </c>
      <c r="Z42" t="str">
        <f t="shared" si="1"/>
        <v>SO16406</v>
      </c>
      <c r="AA42" s="11">
        <f t="shared" si="8"/>
        <v>45667.648553240739</v>
      </c>
      <c r="AB42" s="5" t="str">
        <f t="shared" si="9"/>
        <v>INV12635</v>
      </c>
      <c r="AC42" s="5" t="str">
        <f>IFERROR(VLOOKUP(D42,CAARStatus!$A$2:$AA$1600,22,FALSE),"Not invoiced")</f>
        <v>Paid</v>
      </c>
      <c r="AD42" s="11">
        <f>IF(AC42="Paid",IFERROR(VLOOKUP(D42,CAARStatus!$A$2:$AA$1600,6,FALSE),"Pending"),"Pending")</f>
        <v>45750</v>
      </c>
      <c r="AE42" s="5" t="str">
        <f t="shared" si="10"/>
        <v>2981</v>
      </c>
      <c r="AF42" s="5" t="str">
        <f t="shared" si="11"/>
        <v>Les Pompes du St-Laurent Inc.</v>
      </c>
      <c r="AG42" s="5" t="str">
        <f t="shared" si="12"/>
        <v>CAD</v>
      </c>
      <c r="AH42" s="5">
        <f t="shared" si="13"/>
        <v>2246.1999999999998</v>
      </c>
      <c r="AI42" s="12">
        <f>IF(L42-N42=0,VLOOKUP(U42,rate!A$4:B$15,2,FALSE)*AH42,IF(AG42="USD",O42,AH42*Y42))</f>
        <v>1558.7412911773558</v>
      </c>
      <c r="AJ42" s="13">
        <f t="shared" si="14"/>
        <v>0.69394590471790396</v>
      </c>
      <c r="AK42" s="13">
        <f>-IF(AG42="CAD",IFERROR(VLOOKUP(D42,CAARStatus!$A$1:$Y$1600,16,FALSE),0),0)</f>
        <v>-2246.1999999999998</v>
      </c>
      <c r="AL42" s="13">
        <f>-IF(AG42="USD",IFERROR(VLOOKUP(D42,CAARStatus!$A$1:$Y$1600,11,FALSE),0),0)</f>
        <v>0</v>
      </c>
      <c r="AM42" s="22">
        <f t="shared" si="15"/>
        <v>0</v>
      </c>
      <c r="AN42" s="12" t="str">
        <f t="shared" si="16"/>
        <v/>
      </c>
      <c r="AO42" s="12" t="str">
        <f t="shared" si="17"/>
        <v>Yes</v>
      </c>
      <c r="AP42" t="str">
        <f t="shared" si="23"/>
        <v>Yes</v>
      </c>
      <c r="AQ42" t="str">
        <f>IFERROR(VLOOKUP(Z42,InvBal!$L$4:$P$600,4,FALSE),"Pend")</f>
        <v>Pend</v>
      </c>
      <c r="AR42" t="str">
        <f>IFERROR(VLOOKUP(D42,Manual!$C$1:$E$22,2,FALSE),"Pend")</f>
        <v>Pend</v>
      </c>
      <c r="AS42" t="str">
        <f t="shared" si="18"/>
        <v>Yes</v>
      </c>
      <c r="AT42" t="str">
        <f t="shared" si="19"/>
        <v>Yes</v>
      </c>
      <c r="AU42" s="51" t="str">
        <f t="shared" si="20"/>
        <v>Yes</v>
      </c>
      <c r="AV42" s="12">
        <f>IFERROR(VLOOKUP(D42,'Receivable Invoice Detail'!$S$1:$U$3014,3,FALSE),0)</f>
        <v>0</v>
      </c>
      <c r="AW42" s="12">
        <f t="shared" si="21"/>
        <v>1558.7412911773558</v>
      </c>
    </row>
    <row r="43" spans="1:49" x14ac:dyDescent="0.25">
      <c r="A43" s="2">
        <v>1</v>
      </c>
      <c r="B43" s="2" t="s">
        <v>2196</v>
      </c>
      <c r="C43" s="2" t="s">
        <v>2197</v>
      </c>
      <c r="D43" s="2" t="s">
        <v>2308</v>
      </c>
      <c r="E43" s="2" t="s">
        <v>644</v>
      </c>
      <c r="F43" s="3">
        <v>45670.402974537043</v>
      </c>
      <c r="G43" s="3">
        <v>45671.538425925923</v>
      </c>
      <c r="H43" s="4">
        <v>45672</v>
      </c>
      <c r="I43" s="2" t="s">
        <v>21</v>
      </c>
      <c r="J43" s="2" t="s">
        <v>51</v>
      </c>
      <c r="K43" s="2">
        <v>0.69394590471790418</v>
      </c>
      <c r="L43" s="2">
        <v>4614.2789779870072</v>
      </c>
      <c r="M43" s="2">
        <v>0</v>
      </c>
      <c r="N43" s="2">
        <v>3202.06</v>
      </c>
      <c r="O43" s="2">
        <v>3202.06</v>
      </c>
      <c r="P43" s="2"/>
      <c r="Q43" s="2">
        <v>3202.06</v>
      </c>
      <c r="R43" s="2" t="s">
        <v>44</v>
      </c>
      <c r="S43" s="2"/>
      <c r="T43" s="2">
        <f t="shared" si="3"/>
        <v>1</v>
      </c>
      <c r="U43" s="18">
        <f t="shared" si="4"/>
        <v>1</v>
      </c>
      <c r="V43" s="18">
        <f t="shared" si="5"/>
        <v>2025</v>
      </c>
      <c r="W43" s="18">
        <f t="shared" si="6"/>
        <v>2</v>
      </c>
      <c r="X43" s="18">
        <f t="shared" si="7"/>
        <v>2025</v>
      </c>
      <c r="Y43" s="2">
        <f t="shared" si="22"/>
        <v>0.69394590471790418</v>
      </c>
      <c r="Z43" t="str">
        <f t="shared" si="1"/>
        <v>SO16408</v>
      </c>
      <c r="AA43" s="11">
        <f t="shared" si="8"/>
        <v>45670.402974537043</v>
      </c>
      <c r="AB43" s="5" t="str">
        <f t="shared" si="9"/>
        <v>INV12519</v>
      </c>
      <c r="AC43" s="5" t="str">
        <f>IFERROR(VLOOKUP(D43,CAARStatus!$A$2:$AA$1600,22,FALSE),"Not invoiced")</f>
        <v>Paid</v>
      </c>
      <c r="AD43" s="11">
        <f>IF(AC43="Paid",IFERROR(VLOOKUP(D43,CAARStatus!$A$2:$AA$1600,6,FALSE),"Pending"),"Pending")</f>
        <v>45715</v>
      </c>
      <c r="AE43" s="5" t="str">
        <f t="shared" si="10"/>
        <v>P-11425</v>
      </c>
      <c r="AF43" s="5" t="str">
        <f t="shared" si="11"/>
        <v>Cartledge &amp; Associates Inc.</v>
      </c>
      <c r="AG43" s="5" t="str">
        <f t="shared" si="12"/>
        <v>USD</v>
      </c>
      <c r="AH43" s="5">
        <f t="shared" si="13"/>
        <v>4614.2789779870072</v>
      </c>
      <c r="AI43" s="12">
        <f>IF(L43-N43=0,VLOOKUP(U43,rate!A$4:B$15,2,FALSE)*AH43,IF(AG43="USD",O43,AH43*Y43))</f>
        <v>3202.06</v>
      </c>
      <c r="AJ43" s="13">
        <f t="shared" si="14"/>
        <v>0.69394590471790418</v>
      </c>
      <c r="AK43" s="13">
        <f>-IF(AG43="CAD",IFERROR(VLOOKUP(D43,CAARStatus!$A$1:$Y$1600,16,FALSE),0),0)</f>
        <v>0</v>
      </c>
      <c r="AL43" s="13">
        <f>-IF(AG43="USD",IFERROR(VLOOKUP(D43,CAARStatus!$A$1:$Y$1600,11,FALSE),0),0)</f>
        <v>-3202.06</v>
      </c>
      <c r="AM43" s="22" t="str">
        <f t="shared" si="15"/>
        <v/>
      </c>
      <c r="AN43" s="12">
        <f t="shared" si="16"/>
        <v>0</v>
      </c>
      <c r="AO43" s="12" t="str">
        <f t="shared" si="17"/>
        <v>Yes</v>
      </c>
      <c r="AP43" t="str">
        <f t="shared" si="23"/>
        <v>Yes</v>
      </c>
      <c r="AQ43" t="str">
        <f>IFERROR(VLOOKUP(Z43,InvBal!$L$4:$P$600,4,FALSE),"Pend")</f>
        <v>Pend</v>
      </c>
      <c r="AR43" t="str">
        <f>IFERROR(VLOOKUP(D43,Manual!$C$1:$E$22,2,FALSE),"Pend")</f>
        <v>Pend</v>
      </c>
      <c r="AS43" t="str">
        <f t="shared" si="18"/>
        <v>Yes</v>
      </c>
      <c r="AT43" t="str">
        <f t="shared" si="19"/>
        <v>Yes</v>
      </c>
      <c r="AU43" s="51" t="str">
        <f t="shared" si="20"/>
        <v>Yes</v>
      </c>
      <c r="AV43" s="12">
        <f>IFERROR(VLOOKUP(D43,'Receivable Invoice Detail'!$S$1:$U$3014,3,FALSE),0)</f>
        <v>589</v>
      </c>
      <c r="AW43" s="12">
        <f t="shared" si="21"/>
        <v>2613.06</v>
      </c>
    </row>
    <row r="44" spans="1:49" x14ac:dyDescent="0.25">
      <c r="A44" s="2">
        <v>1</v>
      </c>
      <c r="B44" s="2" t="s">
        <v>2213</v>
      </c>
      <c r="C44" s="2" t="s">
        <v>2214</v>
      </c>
      <c r="D44" s="2" t="s">
        <v>2299</v>
      </c>
      <c r="E44" s="2" t="s">
        <v>192</v>
      </c>
      <c r="F44" s="3">
        <v>45670.409097222233</v>
      </c>
      <c r="G44" s="3">
        <v>45670.429930555547</v>
      </c>
      <c r="H44" s="4">
        <v>45671</v>
      </c>
      <c r="I44" s="2" t="s">
        <v>21</v>
      </c>
      <c r="J44" s="2" t="s">
        <v>51</v>
      </c>
      <c r="K44" s="2">
        <v>0.69462238860369352</v>
      </c>
      <c r="L44" s="2">
        <v>4344.1588545191826</v>
      </c>
      <c r="M44" s="2">
        <v>0</v>
      </c>
      <c r="N44" s="2">
        <v>3017.55</v>
      </c>
      <c r="O44" s="2">
        <v>3017.55</v>
      </c>
      <c r="P44" s="2"/>
      <c r="Q44" s="2">
        <v>3017.55</v>
      </c>
      <c r="R44" s="2" t="s">
        <v>44</v>
      </c>
      <c r="S44" s="2"/>
      <c r="T44" s="2">
        <f t="shared" si="3"/>
        <v>1</v>
      </c>
      <c r="U44" s="18">
        <f t="shared" si="4"/>
        <v>1</v>
      </c>
      <c r="V44" s="18">
        <f t="shared" si="5"/>
        <v>2025</v>
      </c>
      <c r="W44" s="18">
        <f t="shared" si="6"/>
        <v>4</v>
      </c>
      <c r="X44" s="18">
        <f t="shared" si="7"/>
        <v>2025</v>
      </c>
      <c r="Y44" s="2">
        <f t="shared" si="22"/>
        <v>0.69462238860369363</v>
      </c>
      <c r="Z44" t="str">
        <f t="shared" si="1"/>
        <v>SO16409</v>
      </c>
      <c r="AA44" s="11">
        <f t="shared" si="8"/>
        <v>45670.409097222233</v>
      </c>
      <c r="AB44" s="5" t="str">
        <f t="shared" si="9"/>
        <v>INV12515</v>
      </c>
      <c r="AC44" s="5" t="str">
        <f>IFERROR(VLOOKUP(D44,CAARStatus!$A$2:$AA$1600,22,FALSE),"Not invoiced")</f>
        <v>Paid</v>
      </c>
      <c r="AD44" s="11">
        <f>IF(AC44="Paid",IFERROR(VLOOKUP(D44,CAARStatus!$A$2:$AA$1600,6,FALSE),"Pending"),"Pending")</f>
        <v>45754</v>
      </c>
      <c r="AE44" s="5" t="str">
        <f t="shared" si="10"/>
        <v>PO-038220</v>
      </c>
      <c r="AF44" s="5" t="str">
        <f t="shared" si="11"/>
        <v>Southeast Pump Specialist, Inc.</v>
      </c>
      <c r="AG44" s="5" t="str">
        <f t="shared" si="12"/>
        <v>USD</v>
      </c>
      <c r="AH44" s="5">
        <f t="shared" si="13"/>
        <v>4344.1588545191835</v>
      </c>
      <c r="AI44" s="12">
        <f>IF(L44-N44=0,VLOOKUP(U44,rate!A$4:B$15,2,FALSE)*AH44,IF(AG44="USD",O44,AH44*Y44))</f>
        <v>3017.55</v>
      </c>
      <c r="AJ44" s="13">
        <f t="shared" si="14"/>
        <v>0.69462238860369352</v>
      </c>
      <c r="AK44" s="13">
        <f>-IF(AG44="CAD",IFERROR(VLOOKUP(D44,CAARStatus!$A$1:$Y$1600,16,FALSE),0),0)</f>
        <v>0</v>
      </c>
      <c r="AL44" s="13">
        <f>-IF(AG44="USD",IFERROR(VLOOKUP(D44,CAARStatus!$A$1:$Y$1600,11,FALSE),0),0)</f>
        <v>-3017.55</v>
      </c>
      <c r="AM44" s="22" t="str">
        <f t="shared" si="15"/>
        <v/>
      </c>
      <c r="AN44" s="12">
        <f t="shared" si="16"/>
        <v>0</v>
      </c>
      <c r="AO44" s="12" t="str">
        <f t="shared" si="17"/>
        <v>Yes</v>
      </c>
      <c r="AP44" t="str">
        <f t="shared" si="23"/>
        <v>Yes</v>
      </c>
      <c r="AQ44" t="str">
        <f>IFERROR(VLOOKUP(Z44,InvBal!$L$4:$P$600,4,FALSE),"Pend")</f>
        <v>Pend</v>
      </c>
      <c r="AR44" t="str">
        <f>IFERROR(VLOOKUP(D44,Manual!$C$1:$E$22,2,FALSE),"Pend")</f>
        <v>Pend</v>
      </c>
      <c r="AS44" t="str">
        <f t="shared" si="18"/>
        <v>Yes</v>
      </c>
      <c r="AT44" t="str">
        <f t="shared" si="19"/>
        <v>Yes</v>
      </c>
      <c r="AU44" s="51" t="str">
        <f t="shared" si="20"/>
        <v>Yes</v>
      </c>
      <c r="AV44" s="12">
        <f>IFERROR(VLOOKUP(D44,'Receivable Invoice Detail'!$S$1:$U$3014,3,FALSE),0)</f>
        <v>603</v>
      </c>
      <c r="AW44" s="12">
        <f t="shared" si="21"/>
        <v>2414.5500000000002</v>
      </c>
    </row>
    <row r="45" spans="1:49" x14ac:dyDescent="0.25">
      <c r="A45" s="2">
        <v>1</v>
      </c>
      <c r="B45" s="2" t="s">
        <v>2202</v>
      </c>
      <c r="C45" s="2" t="s">
        <v>2203</v>
      </c>
      <c r="D45" s="2" t="s">
        <v>2304</v>
      </c>
      <c r="E45" s="2" t="s">
        <v>54</v>
      </c>
      <c r="F45" s="3">
        <v>45670.481087962973</v>
      </c>
      <c r="G45" s="3">
        <v>45670.620324074072</v>
      </c>
      <c r="H45" s="4">
        <v>45671</v>
      </c>
      <c r="I45" s="2" t="s">
        <v>21</v>
      </c>
      <c r="J45" s="2" t="s">
        <v>22</v>
      </c>
      <c r="K45" s="2">
        <v>1</v>
      </c>
      <c r="L45" s="2">
        <v>2776.1</v>
      </c>
      <c r="M45" s="2">
        <v>0</v>
      </c>
      <c r="N45" s="2">
        <v>1926.4632260873741</v>
      </c>
      <c r="O45" s="2">
        <v>2643.9</v>
      </c>
      <c r="P45" s="2">
        <v>132.19999999999999</v>
      </c>
      <c r="Q45" s="2">
        <v>2776.1</v>
      </c>
      <c r="R45" s="2" t="s">
        <v>44</v>
      </c>
      <c r="S45" s="2"/>
      <c r="T45" s="2">
        <f t="shared" si="3"/>
        <v>1</v>
      </c>
      <c r="U45" s="18">
        <f t="shared" si="4"/>
        <v>1</v>
      </c>
      <c r="V45" s="18">
        <f t="shared" si="5"/>
        <v>2025</v>
      </c>
      <c r="W45" s="18">
        <f t="shared" si="6"/>
        <v>2</v>
      </c>
      <c r="X45" s="18">
        <f t="shared" si="7"/>
        <v>2025</v>
      </c>
      <c r="Y45" s="2">
        <f t="shared" si="22"/>
        <v>0.69394590471790429</v>
      </c>
      <c r="Z45" t="str">
        <f t="shared" si="1"/>
        <v>SO16411</v>
      </c>
      <c r="AA45" s="11">
        <f t="shared" si="8"/>
        <v>45670.481087962973</v>
      </c>
      <c r="AB45" s="5" t="str">
        <f t="shared" si="9"/>
        <v>INV12535</v>
      </c>
      <c r="AC45" s="5" t="str">
        <f>IFERROR(VLOOKUP(D45,CAARStatus!$A$2:$AA$1600,22,FALSE),"Not invoiced")</f>
        <v>Paid</v>
      </c>
      <c r="AD45" s="11">
        <f>IF(AC45="Paid",IFERROR(VLOOKUP(D45,CAARStatus!$A$2:$AA$1600,6,FALSE),"Pending"),"Pending")</f>
        <v>45706</v>
      </c>
      <c r="AE45" s="5" t="str">
        <f t="shared" si="10"/>
        <v>2982</v>
      </c>
      <c r="AF45" s="5" t="str">
        <f t="shared" si="11"/>
        <v>Les Pompes du St-Laurent Inc.</v>
      </c>
      <c r="AG45" s="5" t="str">
        <f t="shared" si="12"/>
        <v>CAD</v>
      </c>
      <c r="AH45" s="5">
        <f t="shared" si="13"/>
        <v>2643.9</v>
      </c>
      <c r="AI45" s="12">
        <f>IF(L45-N45=0,VLOOKUP(U45,rate!A$4:B$15,2,FALSE)*AH45,IF(AG45="USD",O45,AH45*Y45))</f>
        <v>1834.7235774836672</v>
      </c>
      <c r="AJ45" s="13">
        <f t="shared" si="14"/>
        <v>0.69394590471790429</v>
      </c>
      <c r="AK45" s="13">
        <f>-IF(AG45="CAD",IFERROR(VLOOKUP(D45,CAARStatus!$A$1:$Y$1600,16,FALSE),0),0)</f>
        <v>-2643.9</v>
      </c>
      <c r="AL45" s="13">
        <f>-IF(AG45="USD",IFERROR(VLOOKUP(D45,CAARStatus!$A$1:$Y$1600,11,FALSE),0),0)</f>
        <v>0</v>
      </c>
      <c r="AM45" s="22">
        <f t="shared" si="15"/>
        <v>0</v>
      </c>
      <c r="AN45" s="12" t="str">
        <f t="shared" si="16"/>
        <v/>
      </c>
      <c r="AO45" s="12" t="str">
        <f t="shared" si="17"/>
        <v>Yes</v>
      </c>
      <c r="AP45" t="str">
        <f t="shared" si="23"/>
        <v>Yes</v>
      </c>
      <c r="AQ45" t="str">
        <f>IFERROR(VLOOKUP(Z45,InvBal!$L$4:$P$600,4,FALSE),"Pend")</f>
        <v>Pend</v>
      </c>
      <c r="AR45" t="str">
        <f>IFERROR(VLOOKUP(D45,Manual!$C$1:$E$22,2,FALSE),"Pend")</f>
        <v>Pend</v>
      </c>
      <c r="AS45" t="str">
        <f t="shared" si="18"/>
        <v>Yes</v>
      </c>
      <c r="AT45" t="str">
        <f t="shared" si="19"/>
        <v>Yes</v>
      </c>
      <c r="AU45" s="51" t="str">
        <f t="shared" si="20"/>
        <v>Yes</v>
      </c>
      <c r="AV45" s="12">
        <f>IFERROR(VLOOKUP(D45,'Receivable Invoice Detail'!$S$1:$U$3014,3,FALSE),0)</f>
        <v>0</v>
      </c>
      <c r="AW45" s="12">
        <f t="shared" si="21"/>
        <v>1834.7235774836672</v>
      </c>
    </row>
    <row r="46" spans="1:49" ht="45" x14ac:dyDescent="0.25">
      <c r="A46" s="2">
        <v>1</v>
      </c>
      <c r="B46" s="2" t="s">
        <v>2209</v>
      </c>
      <c r="C46" s="2" t="s">
        <v>2210</v>
      </c>
      <c r="D46" s="2" t="s">
        <v>2301</v>
      </c>
      <c r="E46" s="2" t="s">
        <v>502</v>
      </c>
      <c r="F46" s="3">
        <v>45670.526250000003</v>
      </c>
      <c r="G46" s="3">
        <v>45670.532361111109</v>
      </c>
      <c r="H46" s="4">
        <v>45670</v>
      </c>
      <c r="I46" s="2" t="s">
        <v>21</v>
      </c>
      <c r="J46" s="2" t="s">
        <v>22</v>
      </c>
      <c r="K46" s="2">
        <v>1</v>
      </c>
      <c r="L46" s="2">
        <v>2453.4899999999998</v>
      </c>
      <c r="M46" s="2">
        <v>0</v>
      </c>
      <c r="N46" s="2">
        <v>1702.589337766331</v>
      </c>
      <c r="O46" s="2">
        <v>2336.66</v>
      </c>
      <c r="P46" s="2">
        <v>116.83</v>
      </c>
      <c r="Q46" s="2">
        <v>2453.4899999999998</v>
      </c>
      <c r="R46" s="2" t="s">
        <v>44</v>
      </c>
      <c r="S46" s="2"/>
      <c r="T46" s="2">
        <f t="shared" si="3"/>
        <v>1</v>
      </c>
      <c r="U46" s="18">
        <f t="shared" si="4"/>
        <v>1</v>
      </c>
      <c r="V46" s="18">
        <f t="shared" si="5"/>
        <v>2025</v>
      </c>
      <c r="W46" s="18">
        <f t="shared" si="6"/>
        <v>2</v>
      </c>
      <c r="X46" s="18">
        <f t="shared" si="7"/>
        <v>2025</v>
      </c>
      <c r="Y46" s="2">
        <f t="shared" si="22"/>
        <v>0.6939459047179044</v>
      </c>
      <c r="Z46" t="str">
        <f t="shared" si="1"/>
        <v>SO16412</v>
      </c>
      <c r="AA46" s="11">
        <f t="shared" si="8"/>
        <v>45670.526250000003</v>
      </c>
      <c r="AB46" s="5" t="str">
        <f t="shared" si="9"/>
        <v>INV12539</v>
      </c>
      <c r="AC46" s="5" t="str">
        <f>IFERROR(VLOOKUP(D46,CAARStatus!$A$2:$AA$1600,22,FALSE),"Not invoiced")</f>
        <v>Paid</v>
      </c>
      <c r="AD46" s="11">
        <f>IF(AC46="Paid",IFERROR(VLOOKUP(D46,CAARStatus!$A$2:$AA$1600,6,FALSE),"Pending"),"Pending")</f>
        <v>45716</v>
      </c>
      <c r="AE46" s="5" t="str">
        <f t="shared" si="10"/>
        <v>4500554481</v>
      </c>
      <c r="AF46" s="5" t="str">
        <f t="shared" si="11"/>
        <v>Glencore Canada Corporation - Rouyn-Noranda, Glencore Canada Corp.</v>
      </c>
      <c r="AG46" s="5" t="str">
        <f t="shared" si="12"/>
        <v>CAD</v>
      </c>
      <c r="AH46" s="5">
        <f t="shared" si="13"/>
        <v>2336.66</v>
      </c>
      <c r="AI46" s="12">
        <f>IF(L46-N46=0,VLOOKUP(U46,rate!A$4:B$15,2,FALSE)*AH46,IF(AG46="USD",O46,AH46*Y46))</f>
        <v>1621.5156377181384</v>
      </c>
      <c r="AJ46" s="13">
        <f t="shared" si="14"/>
        <v>0.6939459047179044</v>
      </c>
      <c r="AK46" s="13">
        <f>-IF(AG46="CAD",IFERROR(VLOOKUP(D46,CAARStatus!$A$1:$Y$1600,16,FALSE),0),0)</f>
        <v>-2336.66</v>
      </c>
      <c r="AL46" s="13">
        <f>-IF(AG46="USD",IFERROR(VLOOKUP(D46,CAARStatus!$A$1:$Y$1600,11,FALSE),0),0)</f>
        <v>0</v>
      </c>
      <c r="AM46" s="22">
        <f t="shared" si="15"/>
        <v>0</v>
      </c>
      <c r="AN46" s="12" t="str">
        <f t="shared" si="16"/>
        <v/>
      </c>
      <c r="AO46" s="12" t="str">
        <f t="shared" si="17"/>
        <v>Yes</v>
      </c>
      <c r="AP46" t="str">
        <f t="shared" si="23"/>
        <v>Yes</v>
      </c>
      <c r="AQ46" t="str">
        <f>IFERROR(VLOOKUP(Z46,InvBal!$L$4:$P$600,4,FALSE),"Pend")</f>
        <v>Pend</v>
      </c>
      <c r="AR46" t="str">
        <f>IFERROR(VLOOKUP(D46,Manual!$C$1:$E$22,2,FALSE),"Pend")</f>
        <v>Pend</v>
      </c>
      <c r="AS46" t="str">
        <f t="shared" si="18"/>
        <v>Yes</v>
      </c>
      <c r="AT46" t="str">
        <f t="shared" si="19"/>
        <v>Yes</v>
      </c>
      <c r="AU46" s="51" t="str">
        <f t="shared" si="20"/>
        <v>Yes</v>
      </c>
      <c r="AV46" s="12">
        <f>IFERROR(VLOOKUP(D46,'Receivable Invoice Detail'!$S$1:$U$3014,3,FALSE),0)</f>
        <v>0</v>
      </c>
      <c r="AW46" s="12">
        <f t="shared" si="21"/>
        <v>1621.5156377181384</v>
      </c>
    </row>
    <row r="47" spans="1:49" ht="30" x14ac:dyDescent="0.25">
      <c r="A47" s="2">
        <v>1</v>
      </c>
      <c r="B47" s="2" t="s">
        <v>2198</v>
      </c>
      <c r="C47" s="2" t="s">
        <v>2199</v>
      </c>
      <c r="D47" s="2" t="s">
        <v>2307</v>
      </c>
      <c r="E47" s="2" t="s">
        <v>1288</v>
      </c>
      <c r="F47" s="3">
        <v>45670.539398148147</v>
      </c>
      <c r="G47" s="3">
        <v>45671.512743055559</v>
      </c>
      <c r="H47" s="4">
        <v>45672</v>
      </c>
      <c r="I47" s="2" t="s">
        <v>21</v>
      </c>
      <c r="J47" s="2" t="s">
        <v>51</v>
      </c>
      <c r="K47" s="2">
        <v>0.69394590471790418</v>
      </c>
      <c r="L47" s="2">
        <v>478.65402438685243</v>
      </c>
      <c r="M47" s="2">
        <v>0</v>
      </c>
      <c r="N47" s="2">
        <v>332.16</v>
      </c>
      <c r="O47" s="2">
        <v>332.16</v>
      </c>
      <c r="P47" s="2"/>
      <c r="Q47" s="2">
        <v>332.16</v>
      </c>
      <c r="R47" s="2" t="s">
        <v>44</v>
      </c>
      <c r="S47" s="2"/>
      <c r="T47" s="2">
        <f t="shared" si="3"/>
        <v>1</v>
      </c>
      <c r="U47" s="18">
        <f t="shared" si="4"/>
        <v>1</v>
      </c>
      <c r="V47" s="18">
        <f t="shared" si="5"/>
        <v>2025</v>
      </c>
      <c r="W47" s="18">
        <f t="shared" si="6"/>
        <v>2</v>
      </c>
      <c r="X47" s="18">
        <f t="shared" si="7"/>
        <v>2025</v>
      </c>
      <c r="Y47" s="2">
        <f t="shared" si="22"/>
        <v>0.69394590471790407</v>
      </c>
      <c r="Z47" t="str">
        <f t="shared" si="1"/>
        <v>SO16413</v>
      </c>
      <c r="AA47" s="11">
        <f t="shared" si="8"/>
        <v>45670.539398148147</v>
      </c>
      <c r="AB47" s="5" t="str">
        <f t="shared" si="9"/>
        <v>INV12516</v>
      </c>
      <c r="AC47" s="5" t="str">
        <f>IFERROR(VLOOKUP(D47,CAARStatus!$A$2:$AA$1600,22,FALSE),"Not invoiced")</f>
        <v>Paid</v>
      </c>
      <c r="AD47" s="11">
        <f>IF(AC47="Paid",IFERROR(VLOOKUP(D47,CAARStatus!$A$2:$AA$1600,6,FALSE),"Pending"),"Pending")</f>
        <v>45702</v>
      </c>
      <c r="AE47" s="5" t="str">
        <f t="shared" si="10"/>
        <v>AZ52-00108614</v>
      </c>
      <c r="AF47" s="5" t="str">
        <f t="shared" si="11"/>
        <v>Motion Industries Inc. (U.S.) - Tucson</v>
      </c>
      <c r="AG47" s="5" t="str">
        <f t="shared" si="12"/>
        <v>USD</v>
      </c>
      <c r="AH47" s="5">
        <f t="shared" si="13"/>
        <v>478.65402438685237</v>
      </c>
      <c r="AI47" s="12">
        <f>IF(L47-N47=0,VLOOKUP(U47,rate!A$4:B$15,2,FALSE)*AH47,IF(AG47="USD",O47,AH47*Y47))</f>
        <v>332.16</v>
      </c>
      <c r="AJ47" s="13">
        <f t="shared" si="14"/>
        <v>0.69394590471790418</v>
      </c>
      <c r="AK47" s="13">
        <f>-IF(AG47="CAD",IFERROR(VLOOKUP(D47,CAARStatus!$A$1:$Y$1600,16,FALSE),0),0)</f>
        <v>0</v>
      </c>
      <c r="AL47" s="13">
        <f>-IF(AG47="USD",IFERROR(VLOOKUP(D47,CAARStatus!$A$1:$Y$1600,11,FALSE),0),0)</f>
        <v>-332.16</v>
      </c>
      <c r="AM47" s="22" t="str">
        <f t="shared" si="15"/>
        <v/>
      </c>
      <c r="AN47" s="12">
        <f t="shared" si="16"/>
        <v>0</v>
      </c>
      <c r="AO47" s="12" t="str">
        <f t="shared" si="17"/>
        <v>Yes</v>
      </c>
      <c r="AP47" t="str">
        <f t="shared" si="23"/>
        <v>Yes</v>
      </c>
      <c r="AQ47" t="str">
        <f>IFERROR(VLOOKUP(Z47,InvBal!$L$4:$P$600,4,FALSE),"Pend")</f>
        <v>Pend</v>
      </c>
      <c r="AR47" t="str">
        <f>IFERROR(VLOOKUP(D47,Manual!$C$1:$E$22,2,FALSE),"Pend")</f>
        <v>Pend</v>
      </c>
      <c r="AS47" t="str">
        <f t="shared" si="18"/>
        <v>Yes</v>
      </c>
      <c r="AT47" t="str">
        <f t="shared" si="19"/>
        <v>Yes</v>
      </c>
      <c r="AU47" s="51" t="str">
        <f t="shared" si="20"/>
        <v>Yes</v>
      </c>
      <c r="AV47" s="12">
        <f>IFERROR(VLOOKUP(D47,'Receivable Invoice Detail'!$S$1:$U$3014,3,FALSE),0)</f>
        <v>0</v>
      </c>
      <c r="AW47" s="12">
        <f t="shared" si="21"/>
        <v>332.16</v>
      </c>
    </row>
    <row r="48" spans="1:49" x14ac:dyDescent="0.25">
      <c r="A48" s="2">
        <v>1</v>
      </c>
      <c r="B48" s="2" t="s">
        <v>2171</v>
      </c>
      <c r="C48" s="2" t="s">
        <v>2172</v>
      </c>
      <c r="D48" s="2" t="s">
        <v>2320</v>
      </c>
      <c r="E48" s="2" t="s">
        <v>694</v>
      </c>
      <c r="F48" s="3">
        <v>45670.543414351851</v>
      </c>
      <c r="G48" s="3">
        <v>45674.551886574067</v>
      </c>
      <c r="H48" s="4">
        <v>45676</v>
      </c>
      <c r="I48" s="2" t="s">
        <v>1132</v>
      </c>
      <c r="J48" s="2" t="s">
        <v>51</v>
      </c>
      <c r="K48" s="2">
        <v>0.69535056497291603</v>
      </c>
      <c r="L48" s="2">
        <v>102.85459393102769</v>
      </c>
      <c r="M48" s="2">
        <v>0</v>
      </c>
      <c r="N48" s="2">
        <v>71.52</v>
      </c>
      <c r="O48" s="2">
        <v>71.52</v>
      </c>
      <c r="P48" s="2"/>
      <c r="Q48" s="2">
        <v>71.52</v>
      </c>
      <c r="R48" s="2" t="s">
        <v>44</v>
      </c>
      <c r="S48" s="2"/>
      <c r="T48" s="2">
        <f t="shared" si="3"/>
        <v>1</v>
      </c>
      <c r="U48" s="18">
        <f t="shared" si="4"/>
        <v>1</v>
      </c>
      <c r="V48" s="18">
        <f t="shared" si="5"/>
        <v>2025</v>
      </c>
      <c r="W48" s="18">
        <f t="shared" si="6"/>
        <v>3</v>
      </c>
      <c r="X48" s="18">
        <f t="shared" si="7"/>
        <v>2025</v>
      </c>
      <c r="Y48" s="2">
        <f t="shared" si="22"/>
        <v>0.69535056497291636</v>
      </c>
      <c r="Z48" t="str">
        <f t="shared" si="1"/>
        <v>SO16414</v>
      </c>
      <c r="AA48" s="11">
        <f t="shared" si="8"/>
        <v>45670.543414351851</v>
      </c>
      <c r="AB48" s="5" t="str">
        <f t="shared" si="9"/>
        <v>INV12626</v>
      </c>
      <c r="AC48" s="5" t="str">
        <f>IFERROR(VLOOKUP(D48,CAARStatus!$A$2:$AA$1600,22,FALSE),"Not invoiced")</f>
        <v>Paid</v>
      </c>
      <c r="AD48" s="11">
        <f>IF(AC48="Paid",IFERROR(VLOOKUP(D48,CAARStatus!$A$2:$AA$1600,6,FALSE),"Pending"),"Pending")</f>
        <v>45743</v>
      </c>
      <c r="AE48" s="5" t="str">
        <f t="shared" si="10"/>
        <v>0203793 - JRF</v>
      </c>
      <c r="AF48" s="5" t="str">
        <f t="shared" si="11"/>
        <v>Electric Pump</v>
      </c>
      <c r="AG48" s="5" t="str">
        <f t="shared" si="12"/>
        <v>USD</v>
      </c>
      <c r="AH48" s="5">
        <f t="shared" si="13"/>
        <v>102.85459393102774</v>
      </c>
      <c r="AI48" s="12">
        <f>IF(L48-N48=0,VLOOKUP(U48,rate!A$4:B$15,2,FALSE)*AH48,IF(AG48="USD",O48,AH48*Y48))</f>
        <v>71.52</v>
      </c>
      <c r="AJ48" s="13">
        <f t="shared" si="14"/>
        <v>0.69535056497291603</v>
      </c>
      <c r="AK48" s="13">
        <f>-IF(AG48="CAD",IFERROR(VLOOKUP(D48,CAARStatus!$A$1:$Y$1600,16,FALSE),0),0)</f>
        <v>0</v>
      </c>
      <c r="AL48" s="13">
        <f>-IF(AG48="USD",IFERROR(VLOOKUP(D48,CAARStatus!$A$1:$Y$1600,11,FALSE),0),0)</f>
        <v>-71.52</v>
      </c>
      <c r="AM48" s="22" t="str">
        <f t="shared" si="15"/>
        <v/>
      </c>
      <c r="AN48" s="12">
        <f t="shared" si="16"/>
        <v>0</v>
      </c>
      <c r="AO48" s="12" t="str">
        <f t="shared" si="17"/>
        <v>Yes</v>
      </c>
      <c r="AP48" t="str">
        <f t="shared" si="23"/>
        <v>Yes</v>
      </c>
      <c r="AQ48" t="str">
        <f>IFERROR(VLOOKUP(Z48,InvBal!$L$4:$P$600,4,FALSE),"Pend")</f>
        <v>Pend</v>
      </c>
      <c r="AR48" t="str">
        <f>IFERROR(VLOOKUP(D48,Manual!$C$1:$E$22,2,FALSE),"Pend")</f>
        <v>Pend</v>
      </c>
      <c r="AS48" t="str">
        <f t="shared" si="18"/>
        <v>Yes</v>
      </c>
      <c r="AT48" t="str">
        <f t="shared" si="19"/>
        <v>Yes</v>
      </c>
      <c r="AU48" s="51" t="str">
        <f t="shared" si="20"/>
        <v>Yes</v>
      </c>
      <c r="AV48" s="12">
        <f>IFERROR(VLOOKUP(D48,'Receivable Invoice Detail'!$S$1:$U$3014,3,FALSE),0)</f>
        <v>0</v>
      </c>
      <c r="AW48" s="12">
        <f t="shared" si="21"/>
        <v>71.52</v>
      </c>
    </row>
    <row r="49" spans="1:49" x14ac:dyDescent="0.25">
      <c r="A49" s="2">
        <v>1</v>
      </c>
      <c r="B49" s="2" t="s">
        <v>2190</v>
      </c>
      <c r="C49" s="2" t="s">
        <v>2191</v>
      </c>
      <c r="D49" s="2" t="s">
        <v>2311</v>
      </c>
      <c r="E49" s="2" t="s">
        <v>239</v>
      </c>
      <c r="F49" s="3">
        <v>45670.659629629627</v>
      </c>
      <c r="G49" s="3">
        <v>45672.474236111113</v>
      </c>
      <c r="H49" s="4">
        <v>45749</v>
      </c>
      <c r="I49" s="2" t="s">
        <v>426</v>
      </c>
      <c r="J49" s="2" t="s">
        <v>51</v>
      </c>
      <c r="K49" s="2">
        <v>0.69581989684077217</v>
      </c>
      <c r="L49" s="2">
        <v>5734.2424643442628</v>
      </c>
      <c r="M49" s="2">
        <v>0</v>
      </c>
      <c r="N49" s="2">
        <v>3990</v>
      </c>
      <c r="O49" s="2">
        <v>3990</v>
      </c>
      <c r="P49" s="2"/>
      <c r="Q49" s="2">
        <v>3990</v>
      </c>
      <c r="R49" s="2" t="s">
        <v>44</v>
      </c>
      <c r="S49" s="2"/>
      <c r="T49" s="2">
        <f t="shared" si="3"/>
        <v>1</v>
      </c>
      <c r="U49" s="18">
        <f t="shared" si="4"/>
        <v>1</v>
      </c>
      <c r="V49" s="18">
        <f t="shared" si="5"/>
        <v>2025</v>
      </c>
      <c r="W49" s="18">
        <f t="shared" si="6"/>
        <v>5</v>
      </c>
      <c r="X49" s="18">
        <f t="shared" si="7"/>
        <v>2025</v>
      </c>
      <c r="Y49" s="2">
        <f t="shared" si="22"/>
        <v>0.69581989684077217</v>
      </c>
      <c r="Z49" t="str">
        <f t="shared" si="1"/>
        <v>SO16417</v>
      </c>
      <c r="AA49" s="11">
        <f t="shared" si="8"/>
        <v>45670.659629629627</v>
      </c>
      <c r="AB49" s="5" t="str">
        <f t="shared" si="9"/>
        <v>INV12872</v>
      </c>
      <c r="AC49" s="5" t="str">
        <f>IFERROR(VLOOKUP(D49,CAARStatus!$A$2:$AA$1600,22,FALSE),"Not invoiced")</f>
        <v>Paid</v>
      </c>
      <c r="AD49" s="11">
        <f>IF(AC49="Paid",IFERROR(VLOOKUP(D49,CAARStatus!$A$2:$AA$1600,6,FALSE),"Pending"),"Pending")</f>
        <v>45806</v>
      </c>
      <c r="AE49" s="5" t="str">
        <f t="shared" si="10"/>
        <v>1042</v>
      </c>
      <c r="AF49" s="5" t="str">
        <f t="shared" si="11"/>
        <v>Mill-Right Mine Services Inc.</v>
      </c>
      <c r="AG49" s="5" t="str">
        <f t="shared" si="12"/>
        <v>USD</v>
      </c>
      <c r="AH49" s="5">
        <f t="shared" si="13"/>
        <v>5734.2424643442628</v>
      </c>
      <c r="AI49" s="12">
        <f>IF(L49-N49=0,VLOOKUP(U49,rate!A$4:B$15,2,FALSE)*AH49,IF(AG49="USD",O49,AH49*Y49))</f>
        <v>3990</v>
      </c>
      <c r="AJ49" s="13">
        <f t="shared" si="14"/>
        <v>0.69581989684077217</v>
      </c>
      <c r="AK49" s="13">
        <f>-IF(AG49="CAD",IFERROR(VLOOKUP(D49,CAARStatus!$A$1:$Y$1600,16,FALSE),0),0)</f>
        <v>0</v>
      </c>
      <c r="AL49" s="13">
        <f>-IF(AG49="USD",IFERROR(VLOOKUP(D49,CAARStatus!$A$1:$Y$1600,11,FALSE),0),0)</f>
        <v>-3990</v>
      </c>
      <c r="AM49" s="22" t="str">
        <f t="shared" si="15"/>
        <v/>
      </c>
      <c r="AN49" s="12">
        <f t="shared" si="16"/>
        <v>0</v>
      </c>
      <c r="AO49" s="12" t="str">
        <f t="shared" si="17"/>
        <v>Yes</v>
      </c>
      <c r="AP49" t="str">
        <f t="shared" si="23"/>
        <v>Yes</v>
      </c>
      <c r="AQ49" t="str">
        <f>IFERROR(VLOOKUP(Z49,InvBal!$L$4:$P$600,4,FALSE),"Pend")</f>
        <v>Pend</v>
      </c>
      <c r="AR49" t="str">
        <f>IFERROR(VLOOKUP(D49,Manual!$C$1:$E$22,2,FALSE),"Pend")</f>
        <v>Pend</v>
      </c>
      <c r="AS49" t="str">
        <f t="shared" si="18"/>
        <v>Yes</v>
      </c>
      <c r="AT49" t="str">
        <f t="shared" si="19"/>
        <v>Yes</v>
      </c>
      <c r="AU49" s="51" t="str">
        <f t="shared" si="20"/>
        <v>Yes</v>
      </c>
      <c r="AV49" s="12">
        <f>IFERROR(VLOOKUP(D49,'Receivable Invoice Detail'!$S$1:$U$3014,3,FALSE),0)</f>
        <v>0</v>
      </c>
      <c r="AW49" s="12">
        <f t="shared" si="21"/>
        <v>3990</v>
      </c>
    </row>
    <row r="50" spans="1:49" x14ac:dyDescent="0.25">
      <c r="A50" s="2">
        <v>1</v>
      </c>
      <c r="B50" s="2" t="s">
        <v>2192</v>
      </c>
      <c r="C50" s="2" t="s">
        <v>2193</v>
      </c>
      <c r="D50" s="2" t="s">
        <v>2310</v>
      </c>
      <c r="E50" s="2" t="s">
        <v>95</v>
      </c>
      <c r="F50" s="3">
        <v>45671.432951388888</v>
      </c>
      <c r="G50" s="3">
        <v>45671.691076388888</v>
      </c>
      <c r="H50" s="4">
        <v>45727</v>
      </c>
      <c r="I50" s="2" t="s">
        <v>21</v>
      </c>
      <c r="J50" s="2" t="s">
        <v>22</v>
      </c>
      <c r="K50" s="2">
        <v>1</v>
      </c>
      <c r="L50" s="2">
        <v>6106.39</v>
      </c>
      <c r="M50" s="2">
        <v>0</v>
      </c>
      <c r="N50" s="2">
        <v>4248.9476598695228</v>
      </c>
      <c r="O50" s="2">
        <v>5815.61</v>
      </c>
      <c r="P50" s="2">
        <v>290.77999999999997</v>
      </c>
      <c r="Q50" s="2">
        <v>6106.39</v>
      </c>
      <c r="R50" s="2" t="s">
        <v>44</v>
      </c>
      <c r="S50" s="2"/>
      <c r="T50" s="2">
        <f t="shared" si="3"/>
        <v>1</v>
      </c>
      <c r="U50" s="18">
        <f t="shared" si="4"/>
        <v>1</v>
      </c>
      <c r="V50" s="18">
        <f t="shared" si="5"/>
        <v>2025</v>
      </c>
      <c r="W50" s="18">
        <f t="shared" si="6"/>
        <v>4</v>
      </c>
      <c r="X50" s="18">
        <f t="shared" si="7"/>
        <v>2025</v>
      </c>
      <c r="Y50" s="2">
        <f t="shared" si="22"/>
        <v>0.69581989684077217</v>
      </c>
      <c r="Z50" t="str">
        <f t="shared" si="1"/>
        <v>SO16422</v>
      </c>
      <c r="AA50" s="11">
        <f t="shared" si="8"/>
        <v>45671.432951388888</v>
      </c>
      <c r="AB50" s="5" t="str">
        <f t="shared" si="9"/>
        <v>INV12701</v>
      </c>
      <c r="AC50" s="5" t="str">
        <f>IFERROR(VLOOKUP(D50,CAARStatus!$A$2:$AA$1600,22,FALSE),"Not invoiced")</f>
        <v>Paid</v>
      </c>
      <c r="AD50" s="11">
        <f>IF(AC50="Paid",IFERROR(VLOOKUP(D50,CAARStatus!$A$2:$AA$1600,6,FALSE),"Pending"),"Pending")</f>
        <v>45749</v>
      </c>
      <c r="AE50" s="5" t="str">
        <f t="shared" si="10"/>
        <v>316424</v>
      </c>
      <c r="AF50" s="5" t="str">
        <f t="shared" si="11"/>
        <v>Gibraltar Mine (Canada)</v>
      </c>
      <c r="AG50" s="5" t="str">
        <f t="shared" si="12"/>
        <v>CAD</v>
      </c>
      <c r="AH50" s="5">
        <f t="shared" si="13"/>
        <v>5815.61</v>
      </c>
      <c r="AI50" s="12">
        <f>IF(L50-N50=0,VLOOKUP(U50,rate!A$4:B$15,2,FALSE)*AH50,IF(AG50="USD",O50,AH50*Y50))</f>
        <v>4046.6171502661628</v>
      </c>
      <c r="AJ50" s="13">
        <f t="shared" si="14"/>
        <v>0.69581989684077217</v>
      </c>
      <c r="AK50" s="13">
        <f>-IF(AG50="CAD",IFERROR(VLOOKUP(D50,CAARStatus!$A$1:$Y$1600,16,FALSE),0),0)</f>
        <v>-5815.61</v>
      </c>
      <c r="AL50" s="13">
        <f>-IF(AG50="USD",IFERROR(VLOOKUP(D50,CAARStatus!$A$1:$Y$1600,11,FALSE),0),0)</f>
        <v>0</v>
      </c>
      <c r="AM50" s="22">
        <f t="shared" si="15"/>
        <v>0</v>
      </c>
      <c r="AN50" s="12" t="str">
        <f t="shared" si="16"/>
        <v/>
      </c>
      <c r="AO50" s="12" t="str">
        <f t="shared" si="17"/>
        <v>Yes</v>
      </c>
      <c r="AP50" t="str">
        <f t="shared" si="23"/>
        <v>Yes</v>
      </c>
      <c r="AQ50" t="str">
        <f>IFERROR(VLOOKUP(Z50,InvBal!$L$4:$P$600,4,FALSE),"Pend")</f>
        <v>Pend</v>
      </c>
      <c r="AR50" t="str">
        <f>IFERROR(VLOOKUP(D50,Manual!$C$1:$E$22,2,FALSE),"Pend")</f>
        <v>Pend</v>
      </c>
      <c r="AS50" t="str">
        <f t="shared" si="18"/>
        <v>Yes</v>
      </c>
      <c r="AT50" t="str">
        <f t="shared" si="19"/>
        <v>Yes</v>
      </c>
      <c r="AU50" s="51" t="str">
        <f t="shared" si="20"/>
        <v>Yes</v>
      </c>
      <c r="AV50" s="12">
        <f>IFERROR(VLOOKUP(D50,'Receivable Invoice Detail'!$S$1:$U$3014,3,FALSE),0)</f>
        <v>0</v>
      </c>
      <c r="AW50" s="12">
        <f t="shared" si="21"/>
        <v>4046.6171502661628</v>
      </c>
    </row>
    <row r="51" spans="1:49" x14ac:dyDescent="0.25">
      <c r="A51" s="2">
        <v>1</v>
      </c>
      <c r="B51" s="2" t="s">
        <v>2173</v>
      </c>
      <c r="C51" s="2" t="s">
        <v>2174</v>
      </c>
      <c r="D51" s="2" t="s">
        <v>2319</v>
      </c>
      <c r="E51" s="2" t="s">
        <v>1423</v>
      </c>
      <c r="F51" s="3">
        <v>45671.519143518519</v>
      </c>
      <c r="G51" s="3">
        <v>45673.685069444437</v>
      </c>
      <c r="H51" s="4">
        <v>45677</v>
      </c>
      <c r="I51" s="2" t="s">
        <v>71</v>
      </c>
      <c r="J51" s="2" t="s">
        <v>22</v>
      </c>
      <c r="K51" s="2">
        <v>1</v>
      </c>
      <c r="L51" s="2">
        <v>5986</v>
      </c>
      <c r="M51" s="2">
        <v>0</v>
      </c>
      <c r="N51" s="2">
        <v>4162.3684819278751</v>
      </c>
      <c r="O51" s="2">
        <v>5986</v>
      </c>
      <c r="P51" s="2"/>
      <c r="Q51" s="2">
        <v>5986</v>
      </c>
      <c r="R51" s="2" t="s">
        <v>44</v>
      </c>
      <c r="S51" s="2"/>
      <c r="T51" s="2">
        <f t="shared" si="3"/>
        <v>1</v>
      </c>
      <c r="U51" s="18">
        <f t="shared" si="4"/>
        <v>1</v>
      </c>
      <c r="V51" s="18">
        <f t="shared" si="5"/>
        <v>2025</v>
      </c>
      <c r="W51" s="18">
        <f t="shared" si="6"/>
        <v>5</v>
      </c>
      <c r="X51" s="18">
        <f t="shared" si="7"/>
        <v>2025</v>
      </c>
      <c r="Y51" s="2">
        <f t="shared" si="22"/>
        <v>0.69535056497291603</v>
      </c>
      <c r="Z51" t="str">
        <f t="shared" si="1"/>
        <v>SO16423</v>
      </c>
      <c r="AA51" s="11">
        <f t="shared" si="8"/>
        <v>45671.519143518519</v>
      </c>
      <c r="AB51" s="5" t="str">
        <f t="shared" si="9"/>
        <v>INV12544</v>
      </c>
      <c r="AC51" s="5" t="str">
        <f>IFERROR(VLOOKUP(D51,CAARStatus!$A$2:$AA$1600,22,FALSE),"Not invoiced")</f>
        <v>Paid</v>
      </c>
      <c r="AD51" s="11">
        <f>IF(AC51="Paid",IFERROR(VLOOKUP(D51,CAARStatus!$A$2:$AA$1600,6,FALSE),"Pending"),"Pending")</f>
        <v>45779</v>
      </c>
      <c r="AE51" s="5" t="str">
        <f t="shared" si="10"/>
        <v>P350633</v>
      </c>
      <c r="AF51" s="5" t="str">
        <f t="shared" si="11"/>
        <v>Covia Corp - Camden</v>
      </c>
      <c r="AG51" s="5" t="str">
        <f t="shared" si="12"/>
        <v>CAD</v>
      </c>
      <c r="AH51" s="5">
        <f t="shared" si="13"/>
        <v>5986</v>
      </c>
      <c r="AI51" s="12">
        <f>IF(L51-N51=0,VLOOKUP(U51,rate!A$4:B$15,2,FALSE)*AH51,IF(AG51="USD",O51,AH51*Y51))</f>
        <v>4162.3684819278751</v>
      </c>
      <c r="AJ51" s="13">
        <f t="shared" si="14"/>
        <v>0.69535056497291603</v>
      </c>
      <c r="AK51" s="13">
        <f>-IF(AG51="CAD",IFERROR(VLOOKUP(D51,CAARStatus!$A$1:$Y$1600,16,FALSE),0),0)</f>
        <v>-8565.0102305083783</v>
      </c>
      <c r="AL51" s="13">
        <f>-IF(AG51="USD",IFERROR(VLOOKUP(D51,CAARStatus!$A$1:$Y$1600,11,FALSE),0),0)</f>
        <v>0</v>
      </c>
      <c r="AM51" s="22">
        <f t="shared" si="15"/>
        <v>-2579.0102305083783</v>
      </c>
      <c r="AN51" s="12" t="str">
        <f t="shared" si="16"/>
        <v/>
      </c>
      <c r="AO51" s="12" t="str">
        <f t="shared" si="17"/>
        <v>Yes</v>
      </c>
      <c r="AP51" t="str">
        <f t="shared" si="23"/>
        <v>Yes</v>
      </c>
      <c r="AQ51" t="str">
        <f>IFERROR(VLOOKUP(Z51,InvBal!$L$4:$P$600,4,FALSE),"Pend")</f>
        <v>Pend</v>
      </c>
      <c r="AR51" t="str">
        <f>IFERROR(VLOOKUP(D51,Manual!$C$1:$E$22,2,FALSE),"Pend")</f>
        <v>Pend</v>
      </c>
      <c r="AS51" t="str">
        <f t="shared" si="18"/>
        <v>Yes</v>
      </c>
      <c r="AT51" t="str">
        <f t="shared" si="19"/>
        <v>Yes</v>
      </c>
      <c r="AU51" s="51" t="str">
        <f t="shared" si="20"/>
        <v>Yes</v>
      </c>
      <c r="AV51" s="12">
        <f>IFERROR(VLOOKUP(D51,'Receivable Invoice Detail'!$S$1:$U$3014,3,FALSE),0)</f>
        <v>386</v>
      </c>
      <c r="AW51" s="12">
        <f t="shared" si="21"/>
        <v>3776.3684819278751</v>
      </c>
    </row>
    <row r="52" spans="1:49" x14ac:dyDescent="0.25">
      <c r="A52" s="2">
        <v>1</v>
      </c>
      <c r="B52" s="2" t="s">
        <v>2036</v>
      </c>
      <c r="C52" s="2" t="s">
        <v>2037</v>
      </c>
      <c r="D52" s="2" t="s">
        <v>2401</v>
      </c>
      <c r="E52" s="2" t="s">
        <v>465</v>
      </c>
      <c r="F52" s="3">
        <v>45671.532835648148</v>
      </c>
      <c r="G52" s="3">
        <v>45698.559374999997</v>
      </c>
      <c r="H52" s="4">
        <v>45699</v>
      </c>
      <c r="I52" s="2" t="s">
        <v>21</v>
      </c>
      <c r="J52" s="2" t="s">
        <v>22</v>
      </c>
      <c r="K52" s="2">
        <v>1</v>
      </c>
      <c r="L52" s="2">
        <v>24293.77</v>
      </c>
      <c r="M52" s="2">
        <v>0</v>
      </c>
      <c r="N52" s="2">
        <v>16965.42931634554</v>
      </c>
      <c r="O52" s="2">
        <v>21498.92</v>
      </c>
      <c r="P52" s="2">
        <v>2794.85</v>
      </c>
      <c r="Q52" s="2">
        <v>24293.77</v>
      </c>
      <c r="R52" s="2" t="s">
        <v>44</v>
      </c>
      <c r="S52" s="2"/>
      <c r="T52" s="2">
        <f t="shared" si="3"/>
        <v>1</v>
      </c>
      <c r="U52" s="18">
        <f t="shared" si="4"/>
        <v>1</v>
      </c>
      <c r="V52" s="18">
        <f t="shared" si="5"/>
        <v>2025</v>
      </c>
      <c r="W52" s="18">
        <f t="shared" si="6"/>
        <v>3</v>
      </c>
      <c r="X52" s="18">
        <f t="shared" si="7"/>
        <v>2025</v>
      </c>
      <c r="Y52" s="2">
        <f t="shared" si="22"/>
        <v>0.69834485616458619</v>
      </c>
      <c r="Z52" t="str">
        <f t="shared" si="1"/>
        <v>SO16424</v>
      </c>
      <c r="AA52" s="11">
        <f t="shared" si="8"/>
        <v>45671.532835648148</v>
      </c>
      <c r="AB52" s="5" t="str">
        <f t="shared" si="9"/>
        <v>INV12643</v>
      </c>
      <c r="AC52" s="5" t="str">
        <f>IFERROR(VLOOKUP(D52,CAARStatus!$A$2:$AA$1600,22,FALSE),"Not invoiced")</f>
        <v>Paid</v>
      </c>
      <c r="AD52" s="11">
        <f>IF(AC52="Paid",IFERROR(VLOOKUP(D52,CAARStatus!$A$2:$AA$1600,6,FALSE),"Pending"),"Pending")</f>
        <v>45743</v>
      </c>
      <c r="AE52" s="5" t="str">
        <f t="shared" si="10"/>
        <v>M-083550</v>
      </c>
      <c r="AF52" s="5" t="str">
        <f t="shared" si="11"/>
        <v>Grant Aggregate</v>
      </c>
      <c r="AG52" s="5" t="str">
        <f t="shared" si="12"/>
        <v>CAD</v>
      </c>
      <c r="AH52" s="5">
        <f t="shared" si="13"/>
        <v>21498.92</v>
      </c>
      <c r="AI52" s="12">
        <f>IF(L52-N52=0,VLOOKUP(U52,rate!A$4:B$15,2,FALSE)*AH52,IF(AG52="USD",O52,AH52*Y52))</f>
        <v>15013.660195093944</v>
      </c>
      <c r="AJ52" s="13">
        <f t="shared" si="14"/>
        <v>0.69834485616458619</v>
      </c>
      <c r="AK52" s="13">
        <f>-IF(AG52="CAD",IFERROR(VLOOKUP(D52,CAARStatus!$A$1:$Y$1600,16,FALSE),0),0)</f>
        <v>-21498.92</v>
      </c>
      <c r="AL52" s="13">
        <f>-IF(AG52="USD",IFERROR(VLOOKUP(D52,CAARStatus!$A$1:$Y$1600,11,FALSE),0),0)</f>
        <v>0</v>
      </c>
      <c r="AM52" s="22">
        <f t="shared" si="15"/>
        <v>0</v>
      </c>
      <c r="AN52" s="12" t="str">
        <f t="shared" si="16"/>
        <v/>
      </c>
      <c r="AO52" s="12" t="str">
        <f t="shared" si="17"/>
        <v>Yes</v>
      </c>
      <c r="AP52" t="str">
        <f t="shared" si="23"/>
        <v>Yes</v>
      </c>
      <c r="AQ52" t="str">
        <f>IFERROR(VLOOKUP(Z52,InvBal!$L$4:$P$600,4,FALSE),"Pend")</f>
        <v>Pend</v>
      </c>
      <c r="AR52" t="str">
        <f>IFERROR(VLOOKUP(D52,Manual!$C$1:$E$22,2,FALSE),"Pend")</f>
        <v>Pend</v>
      </c>
      <c r="AS52" t="str">
        <f t="shared" si="18"/>
        <v>Yes</v>
      </c>
      <c r="AT52" t="str">
        <f t="shared" si="19"/>
        <v>Yes</v>
      </c>
      <c r="AU52" s="51" t="str">
        <f t="shared" si="20"/>
        <v>Yes</v>
      </c>
      <c r="AV52" s="12">
        <f>IFERROR(VLOOKUP(D52,'Receivable Invoice Detail'!$S$1:$U$3014,3,FALSE),0)</f>
        <v>0</v>
      </c>
      <c r="AW52" s="12">
        <f t="shared" si="21"/>
        <v>15013.660195093944</v>
      </c>
    </row>
    <row r="53" spans="1:49" ht="45" x14ac:dyDescent="0.25">
      <c r="A53" s="2">
        <v>1</v>
      </c>
      <c r="B53" s="2" t="s">
        <v>1879</v>
      </c>
      <c r="C53" s="2" t="s">
        <v>1880</v>
      </c>
      <c r="D53" s="2" t="s">
        <v>2490</v>
      </c>
      <c r="E53" s="2" t="s">
        <v>1881</v>
      </c>
      <c r="F53" s="3">
        <v>45671.563206018523</v>
      </c>
      <c r="G53" s="3">
        <v>45715.641250000001</v>
      </c>
      <c r="H53" s="4">
        <v>45716</v>
      </c>
      <c r="I53" s="2" t="s">
        <v>21</v>
      </c>
      <c r="J53" s="2" t="s">
        <v>22</v>
      </c>
      <c r="K53" s="2">
        <v>1</v>
      </c>
      <c r="L53" s="2">
        <v>956.16</v>
      </c>
      <c r="M53" s="2">
        <v>0</v>
      </c>
      <c r="N53" s="2">
        <v>663.06159595385373</v>
      </c>
      <c r="O53" s="2">
        <v>846.16</v>
      </c>
      <c r="P53" s="2">
        <v>110</v>
      </c>
      <c r="Q53" s="2">
        <v>956.16</v>
      </c>
      <c r="R53" s="2" t="s">
        <v>44</v>
      </c>
      <c r="S53" s="2"/>
      <c r="T53" s="2">
        <f t="shared" si="3"/>
        <v>1</v>
      </c>
      <c r="U53" s="18">
        <f t="shared" si="4"/>
        <v>1</v>
      </c>
      <c r="V53" s="18">
        <f t="shared" si="5"/>
        <v>2025</v>
      </c>
      <c r="W53" s="18">
        <f t="shared" si="6"/>
        <v>2</v>
      </c>
      <c r="X53" s="18">
        <f t="shared" si="7"/>
        <v>2025</v>
      </c>
      <c r="Y53" s="2">
        <f t="shared" si="22"/>
        <v>0.69346301450997083</v>
      </c>
      <c r="Z53" t="str">
        <f t="shared" si="1"/>
        <v>SO16426</v>
      </c>
      <c r="AA53" s="11">
        <f t="shared" si="8"/>
        <v>45671.563206018523</v>
      </c>
      <c r="AB53" s="5" t="str">
        <f t="shared" si="9"/>
        <v>INV12695</v>
      </c>
      <c r="AC53" s="5" t="str">
        <f>IFERROR(VLOOKUP(D53,CAARStatus!$A$2:$AA$1600,22,FALSE),"Not invoiced")</f>
        <v>Paid</v>
      </c>
      <c r="AD53" s="11">
        <f>IF(AC53="Paid",IFERROR(VLOOKUP(D53,CAARStatus!$A$2:$AA$1600,6,FALSE),"Pending"),"Pending")</f>
        <v>45716</v>
      </c>
      <c r="AE53" s="5" t="str">
        <f t="shared" si="10"/>
        <v>16114 - Paid in Full $956.16 on February 28th 2025.</v>
      </c>
      <c r="AF53" s="5" t="str">
        <f t="shared" si="11"/>
        <v>Industrial Rigging &amp; Supply</v>
      </c>
      <c r="AG53" s="5" t="str">
        <f t="shared" si="12"/>
        <v>CAD</v>
      </c>
      <c r="AH53" s="5">
        <f t="shared" si="13"/>
        <v>846.16</v>
      </c>
      <c r="AI53" s="12">
        <f>IF(L53-N53=0,VLOOKUP(U53,rate!A$4:B$15,2,FALSE)*AH53,IF(AG53="USD",O53,AH53*Y53))</f>
        <v>586.7806643577569</v>
      </c>
      <c r="AJ53" s="13">
        <f t="shared" si="14"/>
        <v>0.69346301450997083</v>
      </c>
      <c r="AK53" s="13">
        <f>-IF(AG53="CAD",IFERROR(VLOOKUP(D53,CAARStatus!$A$1:$Y$1600,16,FALSE),0),0)</f>
        <v>-846.16</v>
      </c>
      <c r="AL53" s="13">
        <f>-IF(AG53="USD",IFERROR(VLOOKUP(D53,CAARStatus!$A$1:$Y$1600,11,FALSE),0),0)</f>
        <v>0</v>
      </c>
      <c r="AM53" s="22">
        <f t="shared" si="15"/>
        <v>0</v>
      </c>
      <c r="AN53" s="12" t="str">
        <f t="shared" si="16"/>
        <v/>
      </c>
      <c r="AO53" s="12" t="str">
        <f t="shared" si="17"/>
        <v>Yes</v>
      </c>
      <c r="AP53" t="str">
        <f t="shared" si="23"/>
        <v>Yes</v>
      </c>
      <c r="AQ53" t="str">
        <f>IFERROR(VLOOKUP(Z53,InvBal!$L$4:$P$600,4,FALSE),"Pend")</f>
        <v>Pend</v>
      </c>
      <c r="AR53" t="str">
        <f>IFERROR(VLOOKUP(D53,Manual!$C$1:$E$22,2,FALSE),"Pend")</f>
        <v>Pend</v>
      </c>
      <c r="AS53" t="str">
        <f t="shared" si="18"/>
        <v>Yes</v>
      </c>
      <c r="AT53" t="str">
        <f t="shared" si="19"/>
        <v>Yes</v>
      </c>
      <c r="AU53" s="51" t="str">
        <f t="shared" si="20"/>
        <v>Yes</v>
      </c>
      <c r="AV53" s="12">
        <f>IFERROR(VLOOKUP(D53,'Receivable Invoice Detail'!$S$1:$U$3014,3,FALSE),0)</f>
        <v>0</v>
      </c>
      <c r="AW53" s="12">
        <f t="shared" si="21"/>
        <v>586.7806643577569</v>
      </c>
    </row>
    <row r="54" spans="1:49" x14ac:dyDescent="0.25">
      <c r="A54" s="2">
        <v>1</v>
      </c>
      <c r="B54" s="2" t="s">
        <v>2185</v>
      </c>
      <c r="C54" s="2" t="s">
        <v>2186</v>
      </c>
      <c r="D54" s="2" t="s">
        <v>2313</v>
      </c>
      <c r="E54" s="2" t="s">
        <v>146</v>
      </c>
      <c r="F54" s="3">
        <v>45671.576388888891</v>
      </c>
      <c r="G54" s="3">
        <v>45672.536736111113</v>
      </c>
      <c r="H54" s="4">
        <v>45749</v>
      </c>
      <c r="I54" s="2" t="s">
        <v>21</v>
      </c>
      <c r="J54" s="2" t="s">
        <v>22</v>
      </c>
      <c r="K54" s="2">
        <v>1</v>
      </c>
      <c r="L54" s="2">
        <v>5081.07</v>
      </c>
      <c r="M54" s="2">
        <v>5081.07</v>
      </c>
      <c r="N54" s="2">
        <v>5081.07</v>
      </c>
      <c r="O54" s="2">
        <v>4839.1099999999997</v>
      </c>
      <c r="P54" s="2">
        <v>241.96</v>
      </c>
      <c r="Q54" s="2">
        <v>5081.07</v>
      </c>
      <c r="R54" s="2" t="s">
        <v>44</v>
      </c>
      <c r="S54" s="2"/>
      <c r="T54" s="2">
        <f t="shared" si="3"/>
        <v>1</v>
      </c>
      <c r="U54" s="18">
        <f t="shared" si="4"/>
        <v>1</v>
      </c>
      <c r="V54" s="18">
        <f t="shared" si="5"/>
        <v>2025</v>
      </c>
      <c r="W54" s="18">
        <f t="shared" si="6"/>
        <v>5</v>
      </c>
      <c r="X54" s="18">
        <f t="shared" si="7"/>
        <v>2025</v>
      </c>
      <c r="Y54" s="2">
        <f t="shared" si="22"/>
        <v>1</v>
      </c>
      <c r="Z54" t="str">
        <f t="shared" si="1"/>
        <v>SO16427</v>
      </c>
      <c r="AA54" s="11">
        <f t="shared" si="8"/>
        <v>45671.576388888891</v>
      </c>
      <c r="AB54" s="5" t="str">
        <f t="shared" si="9"/>
        <v>INV12811</v>
      </c>
      <c r="AC54" s="5" t="str">
        <f>IFERROR(VLOOKUP(D54,CAARStatus!$A$2:$AA$1600,22,FALSE),"Not invoiced")</f>
        <v>Paid</v>
      </c>
      <c r="AD54" s="11">
        <f>IF(AC54="Paid",IFERROR(VLOOKUP(D54,CAARStatus!$A$2:$AA$1600,6,FALSE),"Pending"),"Pending")</f>
        <v>45797</v>
      </c>
      <c r="AE54" s="5" t="str">
        <f t="shared" si="10"/>
        <v>6662</v>
      </c>
      <c r="AF54" s="5" t="str">
        <f t="shared" si="11"/>
        <v>Hyperflo</v>
      </c>
      <c r="AG54" s="5" t="str">
        <f t="shared" si="12"/>
        <v>CAD</v>
      </c>
      <c r="AH54" s="5">
        <f t="shared" si="13"/>
        <v>4839.1099999999997</v>
      </c>
      <c r="AI54" s="12">
        <f>IF(L54-N54=0,VLOOKUP(U54,rate!A$4:B$15,2,FALSE)*AH54,IF(AG54="USD",O54,AH54*Y54))</f>
        <v>3361.6237854283286</v>
      </c>
      <c r="AJ54" s="13">
        <f t="shared" si="14"/>
        <v>0.69467810928627971</v>
      </c>
      <c r="AK54" s="13">
        <f>-IF(AG54="CAD",IFERROR(VLOOKUP(D54,CAARStatus!$A$1:$Y$1600,16,FALSE),0),0)</f>
        <v>-4839.1099999999997</v>
      </c>
      <c r="AL54" s="13">
        <f>-IF(AG54="USD",IFERROR(VLOOKUP(D54,CAARStatus!$A$1:$Y$1600,11,FALSE),0),0)</f>
        <v>0</v>
      </c>
      <c r="AM54" s="22">
        <f t="shared" si="15"/>
        <v>0</v>
      </c>
      <c r="AN54" s="12" t="str">
        <f t="shared" si="16"/>
        <v/>
      </c>
      <c r="AO54" s="12" t="str">
        <f t="shared" si="17"/>
        <v>Yes</v>
      </c>
      <c r="AP54" t="str">
        <f t="shared" si="23"/>
        <v>Yes</v>
      </c>
      <c r="AQ54" t="str">
        <f>IFERROR(VLOOKUP(Z54,InvBal!$L$4:$P$600,4,FALSE),"Pend")</f>
        <v>Pend</v>
      </c>
      <c r="AR54" t="str">
        <f>IFERROR(VLOOKUP(D54,Manual!$C$1:$E$22,2,FALSE),"Pend")</f>
        <v>Pend</v>
      </c>
      <c r="AS54" t="str">
        <f t="shared" si="18"/>
        <v>Yes</v>
      </c>
      <c r="AT54" t="str">
        <f t="shared" si="19"/>
        <v>Yes</v>
      </c>
      <c r="AU54" s="51" t="str">
        <f t="shared" si="20"/>
        <v>Yes</v>
      </c>
      <c r="AV54" s="12">
        <f>IFERROR(VLOOKUP(D54,'Receivable Invoice Detail'!$S$1:$U$3014,3,FALSE),0)</f>
        <v>0</v>
      </c>
      <c r="AW54" s="12">
        <f t="shared" si="21"/>
        <v>3361.6237854283286</v>
      </c>
    </row>
    <row r="55" spans="1:49" ht="30" x14ac:dyDescent="0.25">
      <c r="A55" s="2">
        <v>1</v>
      </c>
      <c r="B55" s="2" t="s">
        <v>2181</v>
      </c>
      <c r="C55" s="2" t="s">
        <v>2182</v>
      </c>
      <c r="D55" s="2" t="s">
        <v>2315</v>
      </c>
      <c r="E55" s="2" t="s">
        <v>35</v>
      </c>
      <c r="F55" s="3">
        <v>45671.672847222217</v>
      </c>
      <c r="G55" s="3">
        <v>45672.589062500003</v>
      </c>
      <c r="H55" s="4">
        <v>45673</v>
      </c>
      <c r="I55" s="2" t="s">
        <v>1132</v>
      </c>
      <c r="J55" s="2" t="s">
        <v>22</v>
      </c>
      <c r="K55" s="2">
        <v>1</v>
      </c>
      <c r="L55" s="2">
        <v>917.08</v>
      </c>
      <c r="M55" s="2">
        <v>917.08</v>
      </c>
      <c r="N55" s="2">
        <v>917.08</v>
      </c>
      <c r="O55" s="2">
        <v>873.41</v>
      </c>
      <c r="P55" s="2">
        <v>43.67</v>
      </c>
      <c r="Q55" s="2">
        <v>917.08</v>
      </c>
      <c r="R55" s="2" t="s">
        <v>44</v>
      </c>
      <c r="S55" s="2"/>
      <c r="T55" s="2">
        <f t="shared" si="3"/>
        <v>1</v>
      </c>
      <c r="U55" s="18">
        <f t="shared" si="4"/>
        <v>1</v>
      </c>
      <c r="V55" s="18">
        <f t="shared" si="5"/>
        <v>2025</v>
      </c>
      <c r="W55" s="18">
        <f t="shared" si="6"/>
        <v>2</v>
      </c>
      <c r="X55" s="18">
        <f t="shared" si="7"/>
        <v>2025</v>
      </c>
      <c r="Y55" s="2">
        <f t="shared" si="22"/>
        <v>1</v>
      </c>
      <c r="Z55" t="str">
        <f t="shared" si="1"/>
        <v>SO16429</v>
      </c>
      <c r="AA55" s="11">
        <f t="shared" si="8"/>
        <v>45671.672847222217</v>
      </c>
      <c r="AB55" s="5" t="str">
        <f t="shared" si="9"/>
        <v>INV12538</v>
      </c>
      <c r="AC55" s="5" t="str">
        <f>IFERROR(VLOOKUP(D55,CAARStatus!$A$2:$AA$1600,22,FALSE),"Not invoiced")</f>
        <v>Paid</v>
      </c>
      <c r="AD55" s="11">
        <f>IF(AC55="Paid",IFERROR(VLOOKUP(D55,CAARStatus!$A$2:$AA$1600,6,FALSE),"Pending"),"Pending")</f>
        <v>45707</v>
      </c>
      <c r="AE55" s="5" t="str">
        <f t="shared" si="10"/>
        <v>13188</v>
      </c>
      <c r="AF55" s="5" t="str">
        <f t="shared" si="11"/>
        <v>Manufacture Sling-Choker (Val-d’Or) Ltée</v>
      </c>
      <c r="AG55" s="5" t="str">
        <f t="shared" si="12"/>
        <v>CAD</v>
      </c>
      <c r="AH55" s="5">
        <f t="shared" si="13"/>
        <v>873.41</v>
      </c>
      <c r="AI55" s="12">
        <f>IF(L55-N55=0,VLOOKUP(U55,rate!A$4:B$15,2,FALSE)*AH55,IF(AG55="USD",O55,AH55*Y55))</f>
        <v>606.73880743172958</v>
      </c>
      <c r="AJ55" s="13">
        <f t="shared" si="14"/>
        <v>0.69467810928627971</v>
      </c>
      <c r="AK55" s="13">
        <f>-IF(AG55="CAD",IFERROR(VLOOKUP(D55,CAARStatus!$A$1:$Y$1600,16,FALSE),0),0)</f>
        <v>-873.41</v>
      </c>
      <c r="AL55" s="13">
        <f>-IF(AG55="USD",IFERROR(VLOOKUP(D55,CAARStatus!$A$1:$Y$1600,11,FALSE),0),0)</f>
        <v>0</v>
      </c>
      <c r="AM55" s="22">
        <f t="shared" si="15"/>
        <v>0</v>
      </c>
      <c r="AN55" s="12" t="str">
        <f t="shared" si="16"/>
        <v/>
      </c>
      <c r="AO55" s="12" t="str">
        <f t="shared" si="17"/>
        <v>Yes</v>
      </c>
      <c r="AP55" t="str">
        <f t="shared" si="23"/>
        <v>Yes</v>
      </c>
      <c r="AQ55" t="str">
        <f>IFERROR(VLOOKUP(Z55,InvBal!$L$4:$P$600,4,FALSE),"Pend")</f>
        <v>Pend</v>
      </c>
      <c r="AR55" t="str">
        <f>IFERROR(VLOOKUP(D55,Manual!$C$1:$E$22,2,FALSE),"Pend")</f>
        <v>Pend</v>
      </c>
      <c r="AS55" t="str">
        <f t="shared" si="18"/>
        <v>Yes</v>
      </c>
      <c r="AT55" t="str">
        <f t="shared" si="19"/>
        <v>Yes</v>
      </c>
      <c r="AU55" s="51" t="str">
        <f t="shared" si="20"/>
        <v>Yes</v>
      </c>
      <c r="AV55" s="12">
        <f>IFERROR(VLOOKUP(D55,'Receivable Invoice Detail'!$S$1:$U$3014,3,FALSE),0)</f>
        <v>0</v>
      </c>
      <c r="AW55" s="12">
        <f t="shared" si="21"/>
        <v>606.73880743172958</v>
      </c>
    </row>
    <row r="56" spans="1:49" x14ac:dyDescent="0.25">
      <c r="A56" s="2">
        <v>0</v>
      </c>
      <c r="B56" s="2" t="s">
        <v>295</v>
      </c>
      <c r="C56" s="2" t="s">
        <v>296</v>
      </c>
      <c r="D56" s="2"/>
      <c r="E56" s="2" t="s">
        <v>54</v>
      </c>
      <c r="F56" s="3">
        <v>45671.753703703696</v>
      </c>
      <c r="G56" s="3">
        <v>45961.597928240742</v>
      </c>
      <c r="H56" s="4">
        <v>46045</v>
      </c>
      <c r="I56" s="2" t="s">
        <v>21</v>
      </c>
      <c r="J56" s="2" t="s">
        <v>22</v>
      </c>
      <c r="K56" s="2">
        <v>1</v>
      </c>
      <c r="L56" s="2">
        <v>12682.02</v>
      </c>
      <c r="M56" s="2">
        <v>0</v>
      </c>
      <c r="N56" s="2">
        <v>9050.9155822992016</v>
      </c>
      <c r="O56" s="2">
        <v>12078.11</v>
      </c>
      <c r="P56" s="2">
        <v>603.91</v>
      </c>
      <c r="Q56" s="2">
        <v>12682.02</v>
      </c>
      <c r="R56" s="2" t="s">
        <v>29</v>
      </c>
      <c r="S56" s="2"/>
      <c r="T56" s="2">
        <f t="shared" si="3"/>
        <v>0</v>
      </c>
      <c r="U56" s="18">
        <f t="shared" si="4"/>
        <v>1</v>
      </c>
      <c r="V56" s="18">
        <f t="shared" si="5"/>
        <v>2025</v>
      </c>
      <c r="W56" s="18" t="str">
        <f t="shared" si="6"/>
        <v/>
      </c>
      <c r="X56" s="18" t="str">
        <f t="shared" si="7"/>
        <v/>
      </c>
      <c r="Y56" s="2">
        <f t="shared" si="22"/>
        <v>0.71368091063562444</v>
      </c>
      <c r="Z56" t="str">
        <f t="shared" si="1"/>
        <v>SO16430</v>
      </c>
      <c r="AA56" s="11">
        <f t="shared" si="8"/>
        <v>45671.753703703696</v>
      </c>
      <c r="AB56" s="5" t="str">
        <f t="shared" si="9"/>
        <v>No Inv</v>
      </c>
      <c r="AC56" s="5" t="str">
        <f>IFERROR(VLOOKUP(D56,CAARStatus!$A$2:$AA$1600,22,FALSE),"Not invoiced")</f>
        <v>Not invoiced</v>
      </c>
      <c r="AD56" s="11" t="str">
        <f>IF(AC56="Paid",IFERROR(VLOOKUP(D56,CAARStatus!$A$2:$AA$1600,6,FALSE),"Pending"),"Pending")</f>
        <v>Pending</v>
      </c>
      <c r="AE56" s="5" t="str">
        <f t="shared" si="10"/>
        <v>3374</v>
      </c>
      <c r="AF56" s="5" t="str">
        <f t="shared" si="11"/>
        <v>Les Pompes du St-Laurent Inc.</v>
      </c>
      <c r="AG56" s="5" t="str">
        <f t="shared" si="12"/>
        <v>CAD</v>
      </c>
      <c r="AH56" s="5">
        <f t="shared" si="13"/>
        <v>12078.11</v>
      </c>
      <c r="AI56" s="12">
        <f>IF(L56-N56=0,VLOOKUP(U56,rate!A$4:B$15,2,FALSE)*AH56,IF(AG56="USD",O56,AH56*Y56))</f>
        <v>8619.9165435572431</v>
      </c>
      <c r="AJ56" s="13">
        <f t="shared" si="14"/>
        <v>0.71368091063562455</v>
      </c>
      <c r="AK56" s="13">
        <f>-IF(AG56="CAD",IFERROR(VLOOKUP(D56,CAARStatus!$A$1:$Y$1600,16,FALSE),0),0)</f>
        <v>0</v>
      </c>
      <c r="AL56" s="13">
        <f>-IF(AG56="USD",IFERROR(VLOOKUP(D56,CAARStatus!$A$1:$Y$1600,11,FALSE),0),0)</f>
        <v>0</v>
      </c>
      <c r="AM56" s="22">
        <f t="shared" si="15"/>
        <v>12078.11</v>
      </c>
      <c r="AN56" s="12" t="str">
        <f t="shared" si="16"/>
        <v/>
      </c>
      <c r="AO56" s="12" t="str">
        <f t="shared" si="17"/>
        <v>Pend</v>
      </c>
      <c r="AP56" t="str">
        <f t="shared" si="23"/>
        <v>Pend</v>
      </c>
      <c r="AQ56" t="str">
        <f>IFERROR(VLOOKUP(Z56,InvBal!$L$4:$P$600,4,FALSE),"Pend")</f>
        <v>Pend</v>
      </c>
      <c r="AR56" t="str">
        <f>IFERROR(VLOOKUP(D56,Manual!$C$1:$E$22,2,FALSE),"Pend")</f>
        <v>Pend</v>
      </c>
      <c r="AS56" t="str">
        <f t="shared" si="18"/>
        <v/>
      </c>
      <c r="AT56" t="str">
        <f t="shared" si="19"/>
        <v/>
      </c>
      <c r="AU56" s="51" t="str">
        <f t="shared" si="20"/>
        <v/>
      </c>
      <c r="AV56" s="12">
        <f>IFERROR(VLOOKUP(D56,'Receivable Invoice Detail'!$S$1:$U$3014,3,FALSE),0)</f>
        <v>0</v>
      </c>
      <c r="AW56" s="12">
        <f t="shared" si="21"/>
        <v>0</v>
      </c>
    </row>
    <row r="57" spans="1:49" ht="45" x14ac:dyDescent="0.25">
      <c r="A57" s="2">
        <v>1</v>
      </c>
      <c r="B57" s="2" t="s">
        <v>2142</v>
      </c>
      <c r="C57" s="2" t="s">
        <v>2143</v>
      </c>
      <c r="D57" s="2" t="s">
        <v>2338</v>
      </c>
      <c r="E57" s="2" t="s">
        <v>2144</v>
      </c>
      <c r="F57" s="3">
        <v>45672.438981481479</v>
      </c>
      <c r="G57" s="3">
        <v>45679.399062500001</v>
      </c>
      <c r="H57" s="4">
        <v>45680</v>
      </c>
      <c r="I57" s="2" t="s">
        <v>21</v>
      </c>
      <c r="J57" s="2" t="s">
        <v>22</v>
      </c>
      <c r="K57" s="2">
        <v>1</v>
      </c>
      <c r="L57" s="2">
        <v>523.72</v>
      </c>
      <c r="M57" s="2">
        <v>523.72</v>
      </c>
      <c r="N57" s="2">
        <v>523.72</v>
      </c>
      <c r="O57" s="2">
        <v>498.78</v>
      </c>
      <c r="P57" s="2">
        <v>24.94</v>
      </c>
      <c r="Q57" s="2">
        <v>523.72</v>
      </c>
      <c r="R57" s="2" t="s">
        <v>44</v>
      </c>
      <c r="S57" s="2"/>
      <c r="T57" s="2">
        <f t="shared" si="3"/>
        <v>1</v>
      </c>
      <c r="U57" s="18">
        <f t="shared" si="4"/>
        <v>1</v>
      </c>
      <c r="V57" s="18">
        <f t="shared" si="5"/>
        <v>2025</v>
      </c>
      <c r="W57" s="18">
        <f t="shared" si="6"/>
        <v>2</v>
      </c>
      <c r="X57" s="18">
        <f t="shared" si="7"/>
        <v>2025</v>
      </c>
      <c r="Y57" s="2">
        <f t="shared" si="22"/>
        <v>1</v>
      </c>
      <c r="Z57" t="str">
        <f t="shared" si="1"/>
        <v>SO16432</v>
      </c>
      <c r="AA57" s="11">
        <f t="shared" si="8"/>
        <v>45672.438981481479</v>
      </c>
      <c r="AB57" s="5" t="str">
        <f t="shared" si="9"/>
        <v>INV12563</v>
      </c>
      <c r="AC57" s="5" t="str">
        <f>IFERROR(VLOOKUP(D57,CAARStatus!$A$2:$AA$1600,22,FALSE),"Not invoiced")</f>
        <v>Paid</v>
      </c>
      <c r="AD57" s="11">
        <f>IF(AC57="Paid",IFERROR(VLOOKUP(D57,CAARStatus!$A$2:$AA$1600,6,FALSE),"Pending"),"Pending")</f>
        <v>45715</v>
      </c>
      <c r="AE57" s="5" t="str">
        <f t="shared" si="10"/>
        <v>OP-1500441</v>
      </c>
      <c r="AF57" s="5" t="str">
        <f t="shared" si="11"/>
        <v>Agnico Eagle Mines Ltd. - Rouyn-Noranda, LaRonde secteur Penna (11102)</v>
      </c>
      <c r="AG57" s="5" t="str">
        <f t="shared" si="12"/>
        <v>CAD</v>
      </c>
      <c r="AH57" s="5">
        <f t="shared" si="13"/>
        <v>498.78</v>
      </c>
      <c r="AI57" s="12">
        <f>IF(L57-N57=0,VLOOKUP(U57,rate!A$4:B$15,2,FALSE)*AH57,IF(AG57="USD",O57,AH57*Y57))</f>
        <v>346.49154734981056</v>
      </c>
      <c r="AJ57" s="13">
        <f t="shared" si="14"/>
        <v>0.69467810928627971</v>
      </c>
      <c r="AK57" s="13">
        <f>-IF(AG57="CAD",IFERROR(VLOOKUP(D57,CAARStatus!$A$1:$Y$1600,16,FALSE),0),0)</f>
        <v>-498.78</v>
      </c>
      <c r="AL57" s="13">
        <f>-IF(AG57="USD",IFERROR(VLOOKUP(D57,CAARStatus!$A$1:$Y$1600,11,FALSE),0),0)</f>
        <v>0</v>
      </c>
      <c r="AM57" s="22">
        <f t="shared" si="15"/>
        <v>0</v>
      </c>
      <c r="AN57" s="12" t="str">
        <f t="shared" si="16"/>
        <v/>
      </c>
      <c r="AO57" s="12" t="str">
        <f t="shared" si="17"/>
        <v>Yes</v>
      </c>
      <c r="AP57" t="str">
        <f t="shared" si="23"/>
        <v>Yes</v>
      </c>
      <c r="AQ57" t="str">
        <f>IFERROR(VLOOKUP(Z57,InvBal!$L$4:$P$600,4,FALSE),"Pend")</f>
        <v>Pend</v>
      </c>
      <c r="AR57" t="str">
        <f>IFERROR(VLOOKUP(D57,Manual!$C$1:$E$22,2,FALSE),"Pend")</f>
        <v>Pend</v>
      </c>
      <c r="AS57" t="str">
        <f t="shared" si="18"/>
        <v>Yes</v>
      </c>
      <c r="AT57" t="str">
        <f t="shared" si="19"/>
        <v>Yes</v>
      </c>
      <c r="AU57" s="51" t="str">
        <f t="shared" si="20"/>
        <v>Yes</v>
      </c>
      <c r="AV57" s="12">
        <f>IFERROR(VLOOKUP(D57,'Receivable Invoice Detail'!$S$1:$U$3014,3,FALSE),0)</f>
        <v>0</v>
      </c>
      <c r="AW57" s="12">
        <f t="shared" si="21"/>
        <v>346.49154734981056</v>
      </c>
    </row>
    <row r="58" spans="1:49" ht="30" x14ac:dyDescent="0.25">
      <c r="A58" s="2">
        <v>1</v>
      </c>
      <c r="B58" s="2" t="s">
        <v>2110</v>
      </c>
      <c r="C58" s="2" t="s">
        <v>2111</v>
      </c>
      <c r="D58" s="2" t="s">
        <v>2354</v>
      </c>
      <c r="E58" s="2" t="s">
        <v>50</v>
      </c>
      <c r="F58" s="3">
        <v>45672.524525462963</v>
      </c>
      <c r="G58" s="3">
        <v>45684.62809027778</v>
      </c>
      <c r="H58" s="4">
        <v>45685</v>
      </c>
      <c r="I58" s="2" t="s">
        <v>21</v>
      </c>
      <c r="J58" s="2" t="s">
        <v>51</v>
      </c>
      <c r="K58" s="2">
        <v>0.69723104385450763</v>
      </c>
      <c r="L58" s="2">
        <v>4777.1969268411494</v>
      </c>
      <c r="M58" s="2">
        <v>0</v>
      </c>
      <c r="N58" s="2">
        <v>3330.81</v>
      </c>
      <c r="O58" s="2">
        <v>3330.81</v>
      </c>
      <c r="P58" s="2"/>
      <c r="Q58" s="2">
        <v>3330.81</v>
      </c>
      <c r="R58" s="2" t="s">
        <v>44</v>
      </c>
      <c r="S58" s="2"/>
      <c r="T58" s="2">
        <f t="shared" si="3"/>
        <v>1</v>
      </c>
      <c r="U58" s="18">
        <f t="shared" si="4"/>
        <v>1</v>
      </c>
      <c r="V58" s="18">
        <f t="shared" si="5"/>
        <v>2025</v>
      </c>
      <c r="W58" s="18">
        <f t="shared" si="6"/>
        <v>1</v>
      </c>
      <c r="X58" s="18">
        <f t="shared" si="7"/>
        <v>2025</v>
      </c>
      <c r="Y58" s="2">
        <f t="shared" si="22"/>
        <v>0.69723104385450752</v>
      </c>
      <c r="Z58" t="str">
        <f t="shared" si="1"/>
        <v>SO16433</v>
      </c>
      <c r="AA58" s="11">
        <f t="shared" si="8"/>
        <v>45672.524525462963</v>
      </c>
      <c r="AB58" s="5" t="str">
        <f t="shared" si="9"/>
        <v>INV12602</v>
      </c>
      <c r="AC58" s="5" t="str">
        <f>IFERROR(VLOOKUP(D58,CAARStatus!$A$2:$AA$1600,22,FALSE),"Not invoiced")</f>
        <v>Paid</v>
      </c>
      <c r="AD58" s="11">
        <f>IF(AC58="Paid",IFERROR(VLOOKUP(D58,CAARStatus!$A$2:$AA$1600,6,FALSE),"Pending"),"Pending")</f>
        <v>45688</v>
      </c>
      <c r="AE58" s="5" t="str">
        <f t="shared" si="10"/>
        <v>03260</v>
      </c>
      <c r="AF58" s="5" t="str">
        <f t="shared" si="11"/>
        <v>Eleazar General &amp; Industrial Supplies Limited</v>
      </c>
      <c r="AG58" s="5" t="str">
        <f t="shared" si="12"/>
        <v>USD</v>
      </c>
      <c r="AH58" s="5">
        <f t="shared" si="13"/>
        <v>4777.1969268411485</v>
      </c>
      <c r="AI58" s="12">
        <f>IF(L58-N58=0,VLOOKUP(U58,rate!A$4:B$15,2,FALSE)*AH58,IF(AG58="USD",O58,AH58*Y58))</f>
        <v>3330.81</v>
      </c>
      <c r="AJ58" s="13">
        <f t="shared" si="14"/>
        <v>0.69723104385450763</v>
      </c>
      <c r="AK58" s="13">
        <f>-IF(AG58="CAD",IFERROR(VLOOKUP(D58,CAARStatus!$A$1:$Y$1600,16,FALSE),0),0)</f>
        <v>0</v>
      </c>
      <c r="AL58" s="13">
        <f>-IF(AG58="USD",IFERROR(VLOOKUP(D58,CAARStatus!$A$1:$Y$1600,11,FALSE),0),0)</f>
        <v>-3330.81</v>
      </c>
      <c r="AM58" s="22" t="str">
        <f t="shared" si="15"/>
        <v/>
      </c>
      <c r="AN58" s="12">
        <f t="shared" si="16"/>
        <v>0</v>
      </c>
      <c r="AO58" s="12" t="str">
        <f t="shared" si="17"/>
        <v>Yes</v>
      </c>
      <c r="AP58" t="str">
        <f t="shared" si="23"/>
        <v>Yes</v>
      </c>
      <c r="AQ58" t="str">
        <f>IFERROR(VLOOKUP(Z58,InvBal!$L$4:$P$600,4,FALSE),"Pend")</f>
        <v>Pend</v>
      </c>
      <c r="AR58" t="str">
        <f>IFERROR(VLOOKUP(D58,Manual!$C$1:$E$22,2,FALSE),"Pend")</f>
        <v>Pend</v>
      </c>
      <c r="AS58" t="str">
        <f t="shared" si="18"/>
        <v>Yes</v>
      </c>
      <c r="AT58" t="str">
        <f t="shared" si="19"/>
        <v>Yes</v>
      </c>
      <c r="AU58" s="51" t="str">
        <f t="shared" si="20"/>
        <v>Yes</v>
      </c>
      <c r="AV58" s="12">
        <f>IFERROR(VLOOKUP(D58,'Receivable Invoice Detail'!$S$1:$U$3014,3,FALSE),0)</f>
        <v>0</v>
      </c>
      <c r="AW58" s="12">
        <f t="shared" si="21"/>
        <v>3330.81</v>
      </c>
    </row>
    <row r="59" spans="1:49" ht="30" x14ac:dyDescent="0.25">
      <c r="A59" s="2">
        <v>1</v>
      </c>
      <c r="B59" s="2" t="s">
        <v>2114</v>
      </c>
      <c r="C59" s="2" t="s">
        <v>2115</v>
      </c>
      <c r="D59" s="2" t="s">
        <v>2352</v>
      </c>
      <c r="E59" s="2" t="s">
        <v>353</v>
      </c>
      <c r="F59" s="3">
        <v>45672.551655092589</v>
      </c>
      <c r="G59" s="3">
        <v>45684.57366898148</v>
      </c>
      <c r="H59" s="4">
        <v>45685</v>
      </c>
      <c r="I59" s="2" t="s">
        <v>21</v>
      </c>
      <c r="J59" s="2" t="s">
        <v>22</v>
      </c>
      <c r="K59" s="2">
        <v>1</v>
      </c>
      <c r="L59" s="2">
        <v>5733.49</v>
      </c>
      <c r="M59" s="2">
        <v>0</v>
      </c>
      <c r="N59" s="2">
        <v>3984.3182951212389</v>
      </c>
      <c r="O59" s="2">
        <v>5460.46</v>
      </c>
      <c r="P59" s="2">
        <v>273.02999999999997</v>
      </c>
      <c r="Q59" s="2">
        <v>5733.49</v>
      </c>
      <c r="R59" s="2" t="s">
        <v>44</v>
      </c>
      <c r="S59" s="2"/>
      <c r="T59" s="2">
        <f t="shared" si="3"/>
        <v>1</v>
      </c>
      <c r="U59" s="18">
        <f t="shared" si="4"/>
        <v>1</v>
      </c>
      <c r="V59" s="18">
        <f t="shared" si="5"/>
        <v>2025</v>
      </c>
      <c r="W59" s="18">
        <f t="shared" si="6"/>
        <v>3</v>
      </c>
      <c r="X59" s="18">
        <f t="shared" si="7"/>
        <v>2025</v>
      </c>
      <c r="Y59" s="2">
        <f t="shared" si="22"/>
        <v>0.69492024842133482</v>
      </c>
      <c r="Z59" t="str">
        <f t="shared" si="1"/>
        <v>SO16434</v>
      </c>
      <c r="AA59" s="11">
        <f t="shared" si="8"/>
        <v>45672.551655092589</v>
      </c>
      <c r="AB59" s="5" t="str">
        <f t="shared" si="9"/>
        <v>INV12595</v>
      </c>
      <c r="AC59" s="5" t="str">
        <f>IFERROR(VLOOKUP(D59,CAARStatus!$A$2:$AA$1600,22,FALSE),"Not invoiced")</f>
        <v>Paid</v>
      </c>
      <c r="AD59" s="11">
        <f>IF(AC59="Paid",IFERROR(VLOOKUP(D59,CAARStatus!$A$2:$AA$1600,6,FALSE),"Pending"),"Pending")</f>
        <v>45740</v>
      </c>
      <c r="AE59" s="5" t="str">
        <f t="shared" si="10"/>
        <v>6335</v>
      </c>
      <c r="AF59" s="5" t="str">
        <f t="shared" si="11"/>
        <v>ProPart Pompes du Canada 9425-4380 Quebec Inc</v>
      </c>
      <c r="AG59" s="5" t="str">
        <f t="shared" si="12"/>
        <v>CAD</v>
      </c>
      <c r="AH59" s="5">
        <f t="shared" si="13"/>
        <v>5460.46</v>
      </c>
      <c r="AI59" s="12">
        <f>IF(L59-N59=0,VLOOKUP(U59,rate!A$4:B$15,2,FALSE)*AH59,IF(AG59="USD",O59,AH59*Y59))</f>
        <v>3794.5842196947619</v>
      </c>
      <c r="AJ59" s="13">
        <f t="shared" si="14"/>
        <v>0.69492024842133482</v>
      </c>
      <c r="AK59" s="13">
        <f>-IF(AG59="CAD",IFERROR(VLOOKUP(D59,CAARStatus!$A$1:$Y$1600,16,FALSE),0),0)</f>
        <v>-5460.46</v>
      </c>
      <c r="AL59" s="13">
        <f>-IF(AG59="USD",IFERROR(VLOOKUP(D59,CAARStatus!$A$1:$Y$1600,11,FALSE),0),0)</f>
        <v>0</v>
      </c>
      <c r="AM59" s="22">
        <f t="shared" si="15"/>
        <v>0</v>
      </c>
      <c r="AN59" s="12" t="str">
        <f t="shared" si="16"/>
        <v/>
      </c>
      <c r="AO59" s="12" t="str">
        <f t="shared" si="17"/>
        <v>Yes</v>
      </c>
      <c r="AP59" t="str">
        <f t="shared" si="23"/>
        <v>Yes</v>
      </c>
      <c r="AQ59" t="str">
        <f>IFERROR(VLOOKUP(Z59,InvBal!$L$4:$P$600,4,FALSE),"Pend")</f>
        <v>Pend</v>
      </c>
      <c r="AR59" t="str">
        <f>IFERROR(VLOOKUP(D59,Manual!$C$1:$E$22,2,FALSE),"Pend")</f>
        <v>Pend</v>
      </c>
      <c r="AS59" t="str">
        <f t="shared" si="18"/>
        <v>Yes</v>
      </c>
      <c r="AT59" t="str">
        <f t="shared" si="19"/>
        <v>Yes</v>
      </c>
      <c r="AU59" s="51" t="str">
        <f t="shared" si="20"/>
        <v>Yes</v>
      </c>
      <c r="AV59" s="12">
        <f>IFERROR(VLOOKUP(D59,'Receivable Invoice Detail'!$S$1:$U$3014,3,FALSE),0)</f>
        <v>0</v>
      </c>
      <c r="AW59" s="12">
        <f t="shared" si="21"/>
        <v>3794.5842196947619</v>
      </c>
    </row>
    <row r="60" spans="1:49" x14ac:dyDescent="0.25">
      <c r="A60" s="2">
        <v>1</v>
      </c>
      <c r="B60" s="2" t="s">
        <v>2179</v>
      </c>
      <c r="C60" s="2" t="s">
        <v>2180</v>
      </c>
      <c r="D60" s="2" t="s">
        <v>2316</v>
      </c>
      <c r="E60" s="2" t="s">
        <v>242</v>
      </c>
      <c r="F60" s="3">
        <v>45672.55232638889</v>
      </c>
      <c r="G60" s="3">
        <v>45672.640763888892</v>
      </c>
      <c r="H60" s="4">
        <v>45673</v>
      </c>
      <c r="I60" s="2" t="s">
        <v>21</v>
      </c>
      <c r="J60" s="2" t="s">
        <v>22</v>
      </c>
      <c r="K60" s="2">
        <v>1</v>
      </c>
      <c r="L60" s="2">
        <v>2043.9</v>
      </c>
      <c r="M60" s="2">
        <v>2043.9</v>
      </c>
      <c r="N60" s="2">
        <v>2043.9</v>
      </c>
      <c r="O60" s="2">
        <v>1946.57</v>
      </c>
      <c r="P60" s="2">
        <v>97.33</v>
      </c>
      <c r="Q60" s="2">
        <v>2043.9</v>
      </c>
      <c r="R60" s="2" t="s">
        <v>44</v>
      </c>
      <c r="S60" s="2"/>
      <c r="T60" s="2">
        <f t="shared" si="3"/>
        <v>1</v>
      </c>
      <c r="U60" s="18">
        <f t="shared" si="4"/>
        <v>1</v>
      </c>
      <c r="V60" s="18">
        <f t="shared" si="5"/>
        <v>2025</v>
      </c>
      <c r="W60" s="18">
        <f t="shared" si="6"/>
        <v>2</v>
      </c>
      <c r="X60" s="18">
        <f t="shared" si="7"/>
        <v>2025</v>
      </c>
      <c r="Y60" s="2">
        <f t="shared" si="22"/>
        <v>1</v>
      </c>
      <c r="Z60" t="str">
        <f t="shared" si="1"/>
        <v>SO16435</v>
      </c>
      <c r="AA60" s="11">
        <f t="shared" si="8"/>
        <v>45672.55232638889</v>
      </c>
      <c r="AB60" s="5" t="str">
        <f t="shared" si="9"/>
        <v>INV12551</v>
      </c>
      <c r="AC60" s="5" t="str">
        <f>IFERROR(VLOOKUP(D60,CAARStatus!$A$2:$AA$1600,22,FALSE),"Not invoiced")</f>
        <v>Paid</v>
      </c>
      <c r="AD60" s="11">
        <f>IF(AC60="Paid",IFERROR(VLOOKUP(D60,CAARStatus!$A$2:$AA$1600,6,FALSE),"Pending"),"Pending")</f>
        <v>45714</v>
      </c>
      <c r="AE60" s="5" t="str">
        <f t="shared" si="10"/>
        <v>2100393819</v>
      </c>
      <c r="AF60" s="5" t="str">
        <f t="shared" si="11"/>
        <v>Wajax Limited - Noranda</v>
      </c>
      <c r="AG60" s="5" t="str">
        <f t="shared" si="12"/>
        <v>CAD</v>
      </c>
      <c r="AH60" s="5">
        <f t="shared" si="13"/>
        <v>1946.57</v>
      </c>
      <c r="AI60" s="12">
        <f>IF(L60-N60=0,VLOOKUP(U60,rate!A$4:B$15,2,FALSE)*AH60,IF(AG60="USD",O60,AH60*Y60))</f>
        <v>1352.2395671933934</v>
      </c>
      <c r="AJ60" s="13">
        <f t="shared" si="14"/>
        <v>0.69467810928627971</v>
      </c>
      <c r="AK60" s="13">
        <f>-IF(AG60="CAD",IFERROR(VLOOKUP(D60,CAARStatus!$A$1:$Y$1600,16,FALSE),0),0)</f>
        <v>-1946.57</v>
      </c>
      <c r="AL60" s="13">
        <f>-IF(AG60="USD",IFERROR(VLOOKUP(D60,CAARStatus!$A$1:$Y$1600,11,FALSE),0),0)</f>
        <v>0</v>
      </c>
      <c r="AM60" s="22">
        <f t="shared" si="15"/>
        <v>0</v>
      </c>
      <c r="AN60" s="12" t="str">
        <f t="shared" si="16"/>
        <v/>
      </c>
      <c r="AO60" s="12" t="str">
        <f t="shared" si="17"/>
        <v>Yes</v>
      </c>
      <c r="AP60" t="str">
        <f t="shared" si="23"/>
        <v>Yes</v>
      </c>
      <c r="AQ60" t="str">
        <f>IFERROR(VLOOKUP(Z60,InvBal!$L$4:$P$600,4,FALSE),"Pend")</f>
        <v>Pend</v>
      </c>
      <c r="AR60" t="str">
        <f>IFERROR(VLOOKUP(D60,Manual!$C$1:$E$22,2,FALSE),"Pend")</f>
        <v>Pend</v>
      </c>
      <c r="AS60" t="str">
        <f t="shared" si="18"/>
        <v>Yes</v>
      </c>
      <c r="AT60" t="str">
        <f t="shared" si="19"/>
        <v>Yes</v>
      </c>
      <c r="AU60" s="51" t="str">
        <f t="shared" si="20"/>
        <v>Yes</v>
      </c>
      <c r="AV60" s="12">
        <f>IFERROR(VLOOKUP(D60,'Receivable Invoice Detail'!$S$1:$U$3014,3,FALSE),0)</f>
        <v>0</v>
      </c>
      <c r="AW60" s="12">
        <f t="shared" si="21"/>
        <v>1352.2395671933934</v>
      </c>
    </row>
    <row r="61" spans="1:49" ht="30" x14ac:dyDescent="0.25">
      <c r="A61" s="2">
        <v>1</v>
      </c>
      <c r="B61" s="2" t="s">
        <v>2167</v>
      </c>
      <c r="C61" s="2" t="s">
        <v>2168</v>
      </c>
      <c r="D61" s="2" t="s">
        <v>2322</v>
      </c>
      <c r="E61" s="2" t="s">
        <v>1607</v>
      </c>
      <c r="F61" s="3">
        <v>45672.677824074082</v>
      </c>
      <c r="G61" s="3">
        <v>45674.643530092602</v>
      </c>
      <c r="H61" s="4">
        <v>45677</v>
      </c>
      <c r="I61" s="2" t="s">
        <v>21</v>
      </c>
      <c r="J61" s="2" t="s">
        <v>51</v>
      </c>
      <c r="K61" s="2">
        <v>0.69535056497291603</v>
      </c>
      <c r="L61" s="2">
        <v>2360.8667091022521</v>
      </c>
      <c r="M61" s="2">
        <v>0</v>
      </c>
      <c r="N61" s="2">
        <v>1641.63</v>
      </c>
      <c r="O61" s="2">
        <v>1641.63</v>
      </c>
      <c r="P61" s="2"/>
      <c r="Q61" s="2">
        <v>1641.63</v>
      </c>
      <c r="R61" s="2" t="s">
        <v>44</v>
      </c>
      <c r="S61" s="2"/>
      <c r="T61" s="2">
        <f t="shared" si="3"/>
        <v>1</v>
      </c>
      <c r="U61" s="18">
        <f t="shared" si="4"/>
        <v>1</v>
      </c>
      <c r="V61" s="18">
        <f t="shared" si="5"/>
        <v>2025</v>
      </c>
      <c r="W61" s="18">
        <f t="shared" si="6"/>
        <v>2</v>
      </c>
      <c r="X61" s="18">
        <f t="shared" si="7"/>
        <v>2025</v>
      </c>
      <c r="Y61" s="2">
        <f t="shared" si="22"/>
        <v>0.69535056497291603</v>
      </c>
      <c r="Z61" t="str">
        <f t="shared" si="1"/>
        <v>SO16436</v>
      </c>
      <c r="AA61" s="11">
        <f t="shared" si="8"/>
        <v>45672.677824074082</v>
      </c>
      <c r="AB61" s="5" t="str">
        <f t="shared" si="9"/>
        <v>INV12545</v>
      </c>
      <c r="AC61" s="5" t="str">
        <f>IFERROR(VLOOKUP(D61,CAARStatus!$A$2:$AA$1600,22,FALSE),"Not invoiced")</f>
        <v>Paid</v>
      </c>
      <c r="AD61" s="11">
        <f>IF(AC61="Paid",IFERROR(VLOOKUP(D61,CAARStatus!$A$2:$AA$1600,6,FALSE),"Pending"),"Pending")</f>
        <v>45708</v>
      </c>
      <c r="AE61" s="5" t="str">
        <f t="shared" si="10"/>
        <v>5337984</v>
      </c>
      <c r="AF61" s="5" t="str">
        <f t="shared" si="11"/>
        <v>Pierce Pump Company, Pierce Pump Company</v>
      </c>
      <c r="AG61" s="5" t="str">
        <f t="shared" si="12"/>
        <v>USD</v>
      </c>
      <c r="AH61" s="5">
        <f t="shared" si="13"/>
        <v>2360.8667091022521</v>
      </c>
      <c r="AI61" s="12">
        <f>IF(L61-N61=0,VLOOKUP(U61,rate!A$4:B$15,2,FALSE)*AH61,IF(AG61="USD",O61,AH61*Y61))</f>
        <v>1641.63</v>
      </c>
      <c r="AJ61" s="13">
        <f t="shared" si="14"/>
        <v>0.69535056497291603</v>
      </c>
      <c r="AK61" s="13">
        <f>-IF(AG61="CAD",IFERROR(VLOOKUP(D61,CAARStatus!$A$1:$Y$1600,16,FALSE),0),0)</f>
        <v>0</v>
      </c>
      <c r="AL61" s="13">
        <f>-IF(AG61="USD",IFERROR(VLOOKUP(D61,CAARStatus!$A$1:$Y$1600,11,FALSE),0),0)</f>
        <v>-1641.63</v>
      </c>
      <c r="AM61" s="22" t="str">
        <f t="shared" si="15"/>
        <v/>
      </c>
      <c r="AN61" s="12">
        <f t="shared" si="16"/>
        <v>0</v>
      </c>
      <c r="AO61" s="12" t="str">
        <f t="shared" si="17"/>
        <v>Yes</v>
      </c>
      <c r="AP61" t="str">
        <f t="shared" si="23"/>
        <v>Yes</v>
      </c>
      <c r="AQ61" t="str">
        <f>IFERROR(VLOOKUP(Z61,InvBal!$L$4:$P$600,4,FALSE),"Pend")</f>
        <v>Pend</v>
      </c>
      <c r="AR61" t="str">
        <f>IFERROR(VLOOKUP(D61,Manual!$C$1:$E$22,2,FALSE),"Pend")</f>
        <v>Pend</v>
      </c>
      <c r="AS61" t="str">
        <f t="shared" si="18"/>
        <v>Yes</v>
      </c>
      <c r="AT61" t="str">
        <f t="shared" si="19"/>
        <v>Yes</v>
      </c>
      <c r="AU61" s="51" t="str">
        <f t="shared" si="20"/>
        <v>Yes</v>
      </c>
      <c r="AV61" s="12">
        <f>IFERROR(VLOOKUP(D61,'Receivable Invoice Detail'!$S$1:$U$3014,3,FALSE),0)</f>
        <v>0</v>
      </c>
      <c r="AW61" s="12">
        <f t="shared" si="21"/>
        <v>1641.63</v>
      </c>
    </row>
    <row r="62" spans="1:49" x14ac:dyDescent="0.25">
      <c r="A62" s="2">
        <v>1</v>
      </c>
      <c r="B62" s="2" t="s">
        <v>1940</v>
      </c>
      <c r="C62" s="2"/>
      <c r="D62" s="2" t="s">
        <v>2460</v>
      </c>
      <c r="E62" s="2" t="s">
        <v>1941</v>
      </c>
      <c r="F62" s="3">
        <v>45672.716689814813</v>
      </c>
      <c r="G62" s="3">
        <v>45707.600613425922</v>
      </c>
      <c r="H62" s="4">
        <v>45709</v>
      </c>
      <c r="I62" s="2" t="s">
        <v>21</v>
      </c>
      <c r="J62" s="2" t="s">
        <v>51</v>
      </c>
      <c r="K62" s="2">
        <v>0.70492347109945219</v>
      </c>
      <c r="L62" s="2">
        <v>29586.190352651189</v>
      </c>
      <c r="M62" s="2">
        <v>0</v>
      </c>
      <c r="N62" s="2">
        <v>20856</v>
      </c>
      <c r="O62" s="2">
        <v>20856</v>
      </c>
      <c r="P62" s="2"/>
      <c r="Q62" s="2">
        <v>20856</v>
      </c>
      <c r="R62" s="2" t="s">
        <v>44</v>
      </c>
      <c r="S62" s="2"/>
      <c r="T62" s="2">
        <f t="shared" si="3"/>
        <v>1</v>
      </c>
      <c r="U62" s="18">
        <f t="shared" si="4"/>
        <v>1</v>
      </c>
      <c r="V62" s="18">
        <f t="shared" si="5"/>
        <v>2025</v>
      </c>
      <c r="W62" s="18">
        <f t="shared" si="6"/>
        <v>2</v>
      </c>
      <c r="X62" s="18">
        <f t="shared" si="7"/>
        <v>2025</v>
      </c>
      <c r="Y62" s="2">
        <f t="shared" si="22"/>
        <v>0.69535056497291603</v>
      </c>
      <c r="Z62" t="str">
        <f t="shared" si="1"/>
        <v>SO16437</v>
      </c>
      <c r="AA62" s="11">
        <f t="shared" si="8"/>
        <v>45672.716689814813</v>
      </c>
      <c r="AB62" s="5" t="str">
        <f t="shared" si="9"/>
        <v>INV12649</v>
      </c>
      <c r="AC62" s="5" t="str">
        <f>IFERROR(VLOOKUP(D62,CAARStatus!$A$2:$AA$1600,22,FALSE),"Not invoiced")</f>
        <v>Paid</v>
      </c>
      <c r="AD62" s="11">
        <f>IF(AC62="Paid",IFERROR(VLOOKUP(D62,CAARStatus!$A$2:$AA$1600,6,FALSE),"Pending"),"Pending")</f>
        <v>45712</v>
      </c>
      <c r="AE62" s="5" t="str">
        <f t="shared" si="10"/>
        <v>5337984</v>
      </c>
      <c r="AF62" s="5" t="str">
        <f t="shared" si="11"/>
        <v>Maham LLC</v>
      </c>
      <c r="AG62" s="5" t="str">
        <f t="shared" si="12"/>
        <v>USD</v>
      </c>
      <c r="AH62" s="5">
        <f t="shared" si="13"/>
        <v>29586.190352651185</v>
      </c>
      <c r="AI62" s="12">
        <f>IF(L62-N62=0,VLOOKUP(U62,rate!A$4:B$15,2,FALSE)*AH62,IF(AG62="USD",O62,AH62*Y62))</f>
        <v>20856</v>
      </c>
      <c r="AJ62" s="13">
        <f t="shared" si="14"/>
        <v>0.70492347109945219</v>
      </c>
      <c r="AK62" s="13">
        <f>-IF(AG62="CAD",IFERROR(VLOOKUP(D62,CAARStatus!$A$1:$Y$1600,16,FALSE),0),0)</f>
        <v>0</v>
      </c>
      <c r="AL62" s="13">
        <f>-IF(AG62="USD",IFERROR(VLOOKUP(D62,CAARStatus!$A$1:$Y$1600,11,FALSE),0),0)</f>
        <v>-20856</v>
      </c>
      <c r="AM62" s="22" t="str">
        <f t="shared" si="15"/>
        <v/>
      </c>
      <c r="AN62" s="12">
        <f t="shared" si="16"/>
        <v>0</v>
      </c>
      <c r="AO62" s="12" t="str">
        <f t="shared" si="17"/>
        <v>Yes</v>
      </c>
      <c r="AP62" t="str">
        <f t="shared" si="23"/>
        <v>Yes</v>
      </c>
      <c r="AQ62" t="str">
        <f>IFERROR(VLOOKUP(Z62,InvBal!$L$4:$P$600,4,FALSE),"Pend")</f>
        <v>Pend</v>
      </c>
      <c r="AR62" t="str">
        <f>IFERROR(VLOOKUP(D62,Manual!$C$1:$E$22,2,FALSE),"Pend")</f>
        <v>Pend</v>
      </c>
      <c r="AS62" t="str">
        <f t="shared" si="18"/>
        <v>Yes</v>
      </c>
      <c r="AT62" t="str">
        <f t="shared" si="19"/>
        <v>Yes</v>
      </c>
      <c r="AU62" s="51" t="str">
        <f t="shared" si="20"/>
        <v>Yes</v>
      </c>
      <c r="AV62" s="12">
        <f>IFERROR(VLOOKUP(D62,'Receivable Invoice Detail'!$S$1:$U$3014,3,FALSE),0)</f>
        <v>683</v>
      </c>
      <c r="AW62" s="12">
        <f t="shared" si="21"/>
        <v>20173</v>
      </c>
    </row>
    <row r="63" spans="1:49" x14ac:dyDescent="0.25">
      <c r="A63" s="2">
        <v>2</v>
      </c>
      <c r="B63" s="2" t="s">
        <v>2161</v>
      </c>
      <c r="C63" s="2" t="s">
        <v>2162</v>
      </c>
      <c r="D63" s="2" t="s">
        <v>2326</v>
      </c>
      <c r="E63" s="2" t="s">
        <v>77</v>
      </c>
      <c r="F63" s="3">
        <v>45673.429166666669</v>
      </c>
      <c r="G63" s="3">
        <v>45674.728703703702</v>
      </c>
      <c r="H63" s="4">
        <v>45695</v>
      </c>
      <c r="I63" s="2" t="s">
        <v>21</v>
      </c>
      <c r="J63" s="2" t="s">
        <v>22</v>
      </c>
      <c r="K63" s="2">
        <v>1</v>
      </c>
      <c r="L63" s="2">
        <v>702.05</v>
      </c>
      <c r="M63" s="2">
        <v>0</v>
      </c>
      <c r="N63" s="2">
        <v>486.74540329035608</v>
      </c>
      <c r="O63" s="2">
        <v>621.28</v>
      </c>
      <c r="P63" s="2">
        <v>80.77</v>
      </c>
      <c r="Q63" s="2">
        <v>702.05</v>
      </c>
      <c r="R63" s="2" t="s">
        <v>44</v>
      </c>
      <c r="S63" s="2"/>
      <c r="T63" s="2">
        <f t="shared" si="3"/>
        <v>2</v>
      </c>
      <c r="U63" s="18">
        <f t="shared" si="4"/>
        <v>1</v>
      </c>
      <c r="V63" s="18">
        <f t="shared" si="5"/>
        <v>2025</v>
      </c>
      <c r="W63" s="18">
        <f t="shared" si="6"/>
        <v>3</v>
      </c>
      <c r="X63" s="18">
        <f t="shared" si="7"/>
        <v>2025</v>
      </c>
      <c r="Y63" s="2">
        <f t="shared" si="22"/>
        <v>0.69332013858038044</v>
      </c>
      <c r="Z63" t="str">
        <f t="shared" si="1"/>
        <v>SO16438</v>
      </c>
      <c r="AA63" s="11">
        <f t="shared" si="8"/>
        <v>45673.429166666669</v>
      </c>
      <c r="AB63" s="5" t="str">
        <f t="shared" si="9"/>
        <v>INV12550</v>
      </c>
      <c r="AC63" s="5" t="str">
        <f>IFERROR(VLOOKUP(D63,CAARStatus!$A$2:$AA$1600,22,FALSE),"Not invoiced")</f>
        <v>Paid</v>
      </c>
      <c r="AD63" s="11">
        <f>IF(AC63="Paid",IFERROR(VLOOKUP(D63,CAARStatus!$A$2:$AA$1600,6,FALSE),"Pending"),"Pending")</f>
        <v>45729</v>
      </c>
      <c r="AE63" s="5" t="str">
        <f t="shared" si="10"/>
        <v>40-1012291</v>
      </c>
      <c r="AF63" s="5" t="str">
        <f t="shared" si="11"/>
        <v>Canadian Bearings Ltd.</v>
      </c>
      <c r="AG63" s="5" t="str">
        <f t="shared" si="12"/>
        <v>CAD</v>
      </c>
      <c r="AH63" s="5">
        <f t="shared" si="13"/>
        <v>621.28</v>
      </c>
      <c r="AI63" s="12">
        <f>IF(L63-N63=0,VLOOKUP(U63,rate!A$4:B$15,2,FALSE)*AH63,IF(AG63="USD",O63,AH63*Y63))</f>
        <v>430.74593569721873</v>
      </c>
      <c r="AJ63" s="13">
        <f t="shared" si="14"/>
        <v>0.69332013858038044</v>
      </c>
      <c r="AK63" s="13">
        <f>-IF(AG63="CAD",IFERROR(VLOOKUP(D63,CAARStatus!$A$1:$Y$1600,16,FALSE),0),0)</f>
        <v>-587.29999999999995</v>
      </c>
      <c r="AL63" s="13">
        <f>-IF(AG63="USD",IFERROR(VLOOKUP(D63,CAARStatus!$A$1:$Y$1600,11,FALSE),0),0)</f>
        <v>0</v>
      </c>
      <c r="AM63" s="22">
        <f t="shared" si="15"/>
        <v>33.980000000000018</v>
      </c>
      <c r="AN63" s="12" t="str">
        <f t="shared" si="16"/>
        <v/>
      </c>
      <c r="AO63" s="12" t="str">
        <f t="shared" si="17"/>
        <v>Yes</v>
      </c>
      <c r="AP63" t="str">
        <f t="shared" si="23"/>
        <v>XX</v>
      </c>
      <c r="AQ63" t="str">
        <f>IFERROR(VLOOKUP(Z63,InvBal!$L$4:$P$600,4,FALSE),"Pend")</f>
        <v>Yes</v>
      </c>
      <c r="AR63" t="str">
        <f>IFERROR(VLOOKUP(D63,Manual!$C$1:$E$22,2,FALSE),"Pend")</f>
        <v>Pend</v>
      </c>
      <c r="AS63" t="str">
        <f t="shared" si="18"/>
        <v>Yes</v>
      </c>
      <c r="AT63" t="str">
        <f t="shared" si="19"/>
        <v>Yes</v>
      </c>
      <c r="AU63" s="51" t="str">
        <f t="shared" si="20"/>
        <v>Yes</v>
      </c>
      <c r="AV63" s="12">
        <f>IFERROR(VLOOKUP(D63,'Receivable Invoice Detail'!$S$1:$U$3014,3,FALSE),0)</f>
        <v>0</v>
      </c>
      <c r="AW63" s="12">
        <f t="shared" si="21"/>
        <v>430.74593569721873</v>
      </c>
    </row>
    <row r="64" spans="1:49" x14ac:dyDescent="0.25">
      <c r="A64" s="2"/>
      <c r="B64" s="2"/>
      <c r="C64" s="2"/>
      <c r="D64" s="2" t="s">
        <v>2325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>
        <f t="shared" si="3"/>
        <v>2</v>
      </c>
      <c r="U64" s="18">
        <f t="shared" si="4"/>
        <v>1</v>
      </c>
      <c r="V64" s="18">
        <f t="shared" si="5"/>
        <v>2025</v>
      </c>
      <c r="W64" s="18">
        <f t="shared" si="6"/>
        <v>4</v>
      </c>
      <c r="X64" s="18">
        <f t="shared" si="7"/>
        <v>2025</v>
      </c>
      <c r="Y64" s="2">
        <f t="shared" si="22"/>
        <v>0.69332013858038044</v>
      </c>
      <c r="Z64" t="str">
        <f t="shared" si="1"/>
        <v>SO16438</v>
      </c>
      <c r="AA64" s="11">
        <f t="shared" si="8"/>
        <v>45673.429166666669</v>
      </c>
      <c r="AB64" s="5" t="str">
        <f t="shared" si="9"/>
        <v>INV12677</v>
      </c>
      <c r="AC64" s="5" t="str">
        <f>IFERROR(VLOOKUP(D64,CAARStatus!$A$2:$AA$1600,22,FALSE),"Not invoiced")</f>
        <v>Paid</v>
      </c>
      <c r="AD64" s="11">
        <f>IF(AC64="Paid",IFERROR(VLOOKUP(D64,CAARStatus!$A$2:$AA$1600,6,FALSE),"Pending"),"Pending")</f>
        <v>45757</v>
      </c>
      <c r="AE64" s="5" t="str">
        <f t="shared" si="10"/>
        <v>40-1012291</v>
      </c>
      <c r="AF64" s="5" t="str">
        <f t="shared" si="11"/>
        <v>Canadian Bearings Ltd.</v>
      </c>
      <c r="AG64" s="5" t="str">
        <f t="shared" si="12"/>
        <v>CAD</v>
      </c>
      <c r="AH64" s="5">
        <f t="shared" si="13"/>
        <v>0</v>
      </c>
      <c r="AI64" s="12">
        <f>IF(L64-N64=0,VLOOKUP(U64,rate!A$4:B$15,2,FALSE)*AH64,IF(AG64="USD",O64,AH64*Y64))</f>
        <v>0</v>
      </c>
      <c r="AJ64" s="13">
        <f t="shared" si="14"/>
        <v>0</v>
      </c>
      <c r="AK64" s="13">
        <f>-IF(AG64="CAD",IFERROR(VLOOKUP(D64,CAARStatus!$A$1:$Y$1600,16,FALSE),0),0)</f>
        <v>-33.979999999999997</v>
      </c>
      <c r="AL64" s="13">
        <f>-IF(AG64="USD",IFERROR(VLOOKUP(D64,CAARStatus!$A$1:$Y$1600,11,FALSE),0),0)</f>
        <v>0</v>
      </c>
      <c r="AM64" s="22">
        <f t="shared" si="15"/>
        <v>-33.979999999999997</v>
      </c>
      <c r="AN64" s="12" t="str">
        <f t="shared" si="16"/>
        <v/>
      </c>
      <c r="AO64" s="12" t="str">
        <f t="shared" si="17"/>
        <v>Yes</v>
      </c>
      <c r="AP64" t="str">
        <f t="shared" si="23"/>
        <v>XX</v>
      </c>
      <c r="AQ64" t="str">
        <f>IFERROR(VLOOKUP(Z64,InvBal!$L$4:$P$600,4,FALSE),"Pend")</f>
        <v>Yes</v>
      </c>
      <c r="AR64" t="str">
        <f>IFERROR(VLOOKUP(D64,Manual!$C$1:$E$22,2,FALSE),"Pend")</f>
        <v>Pend</v>
      </c>
      <c r="AS64" t="str">
        <f t="shared" si="18"/>
        <v>Yes</v>
      </c>
      <c r="AT64" t="str">
        <f t="shared" si="19"/>
        <v/>
      </c>
      <c r="AU64" s="51" t="str">
        <f t="shared" si="20"/>
        <v/>
      </c>
      <c r="AV64" s="12">
        <f>IFERROR(VLOOKUP(D64,'Receivable Invoice Detail'!$S$1:$U$3014,3,FALSE),0)</f>
        <v>0</v>
      </c>
      <c r="AW64" s="12">
        <f t="shared" si="21"/>
        <v>0</v>
      </c>
    </row>
    <row r="65" spans="1:49" ht="30" x14ac:dyDescent="0.25">
      <c r="A65" s="2">
        <v>1</v>
      </c>
      <c r="B65" s="2" t="s">
        <v>2163</v>
      </c>
      <c r="C65" s="2" t="s">
        <v>2164</v>
      </c>
      <c r="D65" s="2" t="s">
        <v>2324</v>
      </c>
      <c r="E65" s="2" t="s">
        <v>518</v>
      </c>
      <c r="F65" s="3">
        <v>45673.598599537043</v>
      </c>
      <c r="G65" s="3">
        <v>45674.701782407406</v>
      </c>
      <c r="H65" s="4">
        <v>45727</v>
      </c>
      <c r="I65" s="2" t="s">
        <v>21</v>
      </c>
      <c r="J65" s="2" t="s">
        <v>22</v>
      </c>
      <c r="K65" s="2">
        <v>1</v>
      </c>
      <c r="L65" s="2">
        <v>386.38</v>
      </c>
      <c r="M65" s="2">
        <v>0</v>
      </c>
      <c r="N65" s="2">
        <v>267.88503514468738</v>
      </c>
      <c r="O65" s="2">
        <v>386.38</v>
      </c>
      <c r="P65" s="2"/>
      <c r="Q65" s="2">
        <v>386.38</v>
      </c>
      <c r="R65" s="2" t="s">
        <v>44</v>
      </c>
      <c r="S65" s="2"/>
      <c r="T65" s="2">
        <f t="shared" si="3"/>
        <v>1</v>
      </c>
      <c r="U65" s="18">
        <f t="shared" si="4"/>
        <v>1</v>
      </c>
      <c r="V65" s="18">
        <f t="shared" si="5"/>
        <v>2025</v>
      </c>
      <c r="W65" s="18">
        <f t="shared" si="6"/>
        <v>3</v>
      </c>
      <c r="X65" s="18">
        <f t="shared" si="7"/>
        <v>2025</v>
      </c>
      <c r="Y65" s="2">
        <f t="shared" si="22"/>
        <v>0.69332013858038044</v>
      </c>
      <c r="Z65" t="str">
        <f t="shared" si="1"/>
        <v>SO16440</v>
      </c>
      <c r="AA65" s="11">
        <f t="shared" si="8"/>
        <v>45673.598599537043</v>
      </c>
      <c r="AB65" s="5" t="str">
        <f t="shared" si="9"/>
        <v>INV12653</v>
      </c>
      <c r="AC65" s="5" t="str">
        <f>IFERROR(VLOOKUP(D65,CAARStatus!$A$2:$AA$1600,22,FALSE),"Not invoiced")</f>
        <v>Paid</v>
      </c>
      <c r="AD65" s="11">
        <f>IF(AC65="Paid",IFERROR(VLOOKUP(D65,CAARStatus!$A$2:$AA$1600,6,FALSE),"Pending"),"Pending")</f>
        <v>45736</v>
      </c>
      <c r="AE65" s="5" t="str">
        <f t="shared" si="10"/>
        <v>SUD1005983</v>
      </c>
      <c r="AF65" s="5" t="str">
        <f t="shared" si="11"/>
        <v>Process and Steam Specialties, Process and Steam Specialties</v>
      </c>
      <c r="AG65" s="5" t="str">
        <f t="shared" si="12"/>
        <v>CAD</v>
      </c>
      <c r="AH65" s="5">
        <f t="shared" si="13"/>
        <v>386.38</v>
      </c>
      <c r="AI65" s="12">
        <f>IF(L65-N65=0,VLOOKUP(U65,rate!A$4:B$15,2,FALSE)*AH65,IF(AG65="USD",O65,AH65*Y65))</f>
        <v>267.88503514468738</v>
      </c>
      <c r="AJ65" s="13">
        <f t="shared" si="14"/>
        <v>0.69332013858038044</v>
      </c>
      <c r="AK65" s="13">
        <f>-IF(AG65="CAD",IFERROR(VLOOKUP(D65,CAARStatus!$A$1:$Y$1600,16,FALSE),0),0)</f>
        <v>-386.38</v>
      </c>
      <c r="AL65" s="13">
        <f>-IF(AG65="USD",IFERROR(VLOOKUP(D65,CAARStatus!$A$1:$Y$1600,11,FALSE),0),0)</f>
        <v>0</v>
      </c>
      <c r="AM65" s="22">
        <f t="shared" si="15"/>
        <v>0</v>
      </c>
      <c r="AN65" s="12" t="str">
        <f t="shared" si="16"/>
        <v/>
      </c>
      <c r="AO65" s="12" t="str">
        <f t="shared" si="17"/>
        <v>Yes</v>
      </c>
      <c r="AP65" t="str">
        <f t="shared" si="23"/>
        <v>Yes</v>
      </c>
      <c r="AQ65" t="str">
        <f>IFERROR(VLOOKUP(Z65,InvBal!$L$4:$P$600,4,FALSE),"Pend")</f>
        <v>Pend</v>
      </c>
      <c r="AR65" t="str">
        <f>IFERROR(VLOOKUP(D65,Manual!$C$1:$E$22,2,FALSE),"Pend")</f>
        <v>Pend</v>
      </c>
      <c r="AS65" t="str">
        <f t="shared" si="18"/>
        <v>Yes</v>
      </c>
      <c r="AT65" t="str">
        <f t="shared" si="19"/>
        <v>Yes</v>
      </c>
      <c r="AU65" s="51" t="str">
        <f t="shared" si="20"/>
        <v>Yes</v>
      </c>
      <c r="AV65" s="12">
        <f>IFERROR(VLOOKUP(D65,'Receivable Invoice Detail'!$S$1:$U$3014,3,FALSE),0)</f>
        <v>0</v>
      </c>
      <c r="AW65" s="12">
        <f t="shared" si="21"/>
        <v>267.88503514468738</v>
      </c>
    </row>
    <row r="66" spans="1:49" x14ac:dyDescent="0.25">
      <c r="A66" s="2">
        <v>1</v>
      </c>
      <c r="B66" s="2" t="s">
        <v>2169</v>
      </c>
      <c r="C66" s="2" t="s">
        <v>2170</v>
      </c>
      <c r="D66" s="2" t="s">
        <v>2321</v>
      </c>
      <c r="E66" s="2" t="s">
        <v>689</v>
      </c>
      <c r="F66" s="3">
        <v>45674.554166666669</v>
      </c>
      <c r="G66" s="3">
        <v>45674.556469907409</v>
      </c>
      <c r="H66" s="4">
        <v>45695</v>
      </c>
      <c r="I66" s="2" t="s">
        <v>21</v>
      </c>
      <c r="J66" s="2" t="s">
        <v>22</v>
      </c>
      <c r="K66" s="2">
        <v>1</v>
      </c>
      <c r="L66" s="2">
        <v>1693.27</v>
      </c>
      <c r="M66" s="2">
        <v>0</v>
      </c>
      <c r="N66" s="2">
        <v>1173.9781910540009</v>
      </c>
      <c r="O66" s="2">
        <v>1498.47</v>
      </c>
      <c r="P66" s="2">
        <v>194.8</v>
      </c>
      <c r="Q66" s="2">
        <v>1693.27</v>
      </c>
      <c r="R66" s="2" t="s">
        <v>44</v>
      </c>
      <c r="S66" s="2"/>
      <c r="T66" s="2">
        <f t="shared" si="3"/>
        <v>1</v>
      </c>
      <c r="U66" s="18">
        <f t="shared" si="4"/>
        <v>1</v>
      </c>
      <c r="V66" s="18">
        <f t="shared" si="5"/>
        <v>2025</v>
      </c>
      <c r="W66" s="18">
        <f t="shared" si="6"/>
        <v>3</v>
      </c>
      <c r="X66" s="18">
        <f t="shared" si="7"/>
        <v>2025</v>
      </c>
      <c r="Y66" s="2">
        <f t="shared" ref="Y66:Y129" si="24">IF(C66="",Y65,N66/L66)</f>
        <v>0.69332013858038055</v>
      </c>
      <c r="Z66" t="str">
        <f t="shared" ref="Z66:Z129" si="25">IF(B66="",Z65,B66)</f>
        <v>SO16446</v>
      </c>
      <c r="AA66" s="11">
        <f t="shared" si="8"/>
        <v>45674.554166666669</v>
      </c>
      <c r="AB66" s="5" t="str">
        <f t="shared" si="9"/>
        <v>INV12610</v>
      </c>
      <c r="AC66" s="5" t="str">
        <f>IFERROR(VLOOKUP(D66,CAARStatus!$A$2:$AA$1600,22,FALSE),"Not invoiced")</f>
        <v>Paid</v>
      </c>
      <c r="AD66" s="11">
        <f>IF(AC66="Paid",IFERROR(VLOOKUP(D66,CAARStatus!$A$2:$AA$1600,6,FALSE),"Pending"),"Pending")</f>
        <v>45735</v>
      </c>
      <c r="AE66" s="5" t="str">
        <f t="shared" si="10"/>
        <v>2100488794</v>
      </c>
      <c r="AF66" s="5" t="str">
        <f t="shared" si="11"/>
        <v>Wajax Limited - Timmins</v>
      </c>
      <c r="AG66" s="5" t="str">
        <f t="shared" si="12"/>
        <v>CAD</v>
      </c>
      <c r="AH66" s="5">
        <f t="shared" si="13"/>
        <v>1498.47</v>
      </c>
      <c r="AI66" s="12">
        <f>IF(L66-N66=0,VLOOKUP(U66,rate!A$4:B$15,2,FALSE)*AH66,IF(AG66="USD",O66,AH66*Y66))</f>
        <v>1038.919428058543</v>
      </c>
      <c r="AJ66" s="13">
        <f t="shared" si="14"/>
        <v>0.69332013858038066</v>
      </c>
      <c r="AK66" s="13">
        <f>-IF(AG66="CAD",IFERROR(VLOOKUP(D66,CAARStatus!$A$1:$Y$1600,16,FALSE),0),0)</f>
        <v>-1498.47</v>
      </c>
      <c r="AL66" s="13">
        <f>-IF(AG66="USD",IFERROR(VLOOKUP(D66,CAARStatus!$A$1:$Y$1600,11,FALSE),0),0)</f>
        <v>0</v>
      </c>
      <c r="AM66" s="22">
        <f t="shared" si="15"/>
        <v>0</v>
      </c>
      <c r="AN66" s="12" t="str">
        <f t="shared" si="16"/>
        <v/>
      </c>
      <c r="AO66" s="12" t="str">
        <f t="shared" si="17"/>
        <v>Yes</v>
      </c>
      <c r="AP66" t="str">
        <f t="shared" ref="AP66:AP129" si="26">IF(AND(AO66="Pend",T66&lt;2),"Pend",IF(T66=1,"Yes","XX"))</f>
        <v>Yes</v>
      </c>
      <c r="AQ66" t="str">
        <f>IFERROR(VLOOKUP(Z66,InvBal!$L$4:$P$600,4,FALSE),"Pend")</f>
        <v>Pend</v>
      </c>
      <c r="AR66" t="str">
        <f>IFERROR(VLOOKUP(D66,Manual!$C$1:$E$22,2,FALSE),"Pend")</f>
        <v>Pend</v>
      </c>
      <c r="AS66" t="str">
        <f t="shared" si="18"/>
        <v>Yes</v>
      </c>
      <c r="AT66" t="str">
        <f t="shared" si="19"/>
        <v>Yes</v>
      </c>
      <c r="AU66" s="51" t="str">
        <f t="shared" si="20"/>
        <v>Yes</v>
      </c>
      <c r="AV66" s="12">
        <f>IFERROR(VLOOKUP(D66,'Receivable Invoice Detail'!$S$1:$U$3014,3,FALSE),0)</f>
        <v>0</v>
      </c>
      <c r="AW66" s="12">
        <f t="shared" si="21"/>
        <v>1038.919428058543</v>
      </c>
    </row>
    <row r="67" spans="1:49" x14ac:dyDescent="0.25">
      <c r="A67" s="2">
        <v>1</v>
      </c>
      <c r="B67" s="2" t="s">
        <v>2165</v>
      </c>
      <c r="C67" s="2" t="s">
        <v>2166</v>
      </c>
      <c r="D67" s="2" t="s">
        <v>2323</v>
      </c>
      <c r="E67" s="2" t="s">
        <v>54</v>
      </c>
      <c r="F67" s="3">
        <v>45674.676678240743</v>
      </c>
      <c r="G67" s="3">
        <v>45674.682997685188</v>
      </c>
      <c r="H67" s="4">
        <v>45702</v>
      </c>
      <c r="I67" s="2" t="s">
        <v>21</v>
      </c>
      <c r="J67" s="2" t="s">
        <v>22</v>
      </c>
      <c r="K67" s="2">
        <v>1</v>
      </c>
      <c r="L67" s="2">
        <v>326.5</v>
      </c>
      <c r="M67" s="2">
        <v>0</v>
      </c>
      <c r="N67" s="2">
        <v>226.36902524649429</v>
      </c>
      <c r="O67" s="2">
        <v>310.95</v>
      </c>
      <c r="P67" s="2">
        <v>15.55</v>
      </c>
      <c r="Q67" s="2">
        <v>326.5</v>
      </c>
      <c r="R67" s="2" t="s">
        <v>44</v>
      </c>
      <c r="S67" s="2"/>
      <c r="T67" s="2">
        <f t="shared" ref="T67:T130" si="27">IF(A67="",T66,A67)</f>
        <v>1</v>
      </c>
      <c r="U67" s="18">
        <f t="shared" ref="U67:U130" si="28">IF(F67="",U66,MONTH(F67))</f>
        <v>1</v>
      </c>
      <c r="V67" s="18">
        <f t="shared" ref="V67:V130" si="29">IF(F67="",V66,YEAR(F67))</f>
        <v>2025</v>
      </c>
      <c r="W67" s="18">
        <f t="shared" ref="W67:W130" si="30">IF(AC67="Paid",MONTH(AD67),"")</f>
        <v>4</v>
      </c>
      <c r="X67" s="18">
        <f t="shared" ref="X67:X130" si="31">IF(AC67="Paid",YEAR(AD67),"")</f>
        <v>2025</v>
      </c>
      <c r="Y67" s="2">
        <f t="shared" si="24"/>
        <v>0.69332013858038066</v>
      </c>
      <c r="Z67" t="str">
        <f t="shared" si="25"/>
        <v>SO16448</v>
      </c>
      <c r="AA67" s="11">
        <f t="shared" ref="AA67:AA130" si="32">IF(F67="",AA66,F67)</f>
        <v>45674.676678240743</v>
      </c>
      <c r="AB67" s="5" t="str">
        <f t="shared" ref="AB67:AB130" si="33">IF(D67="","No Inv",D67)</f>
        <v>INV12683</v>
      </c>
      <c r="AC67" s="5" t="str">
        <f>IFERROR(VLOOKUP(D67,CAARStatus!$A$2:$AA$1600,22,FALSE),"Not invoiced")</f>
        <v>Paid</v>
      </c>
      <c r="AD67" s="11">
        <f>IF(AC67="Paid",IFERROR(VLOOKUP(D67,CAARStatus!$A$2:$AA$1600,6,FALSE),"Pending"),"Pending")</f>
        <v>45768</v>
      </c>
      <c r="AE67" s="5" t="str">
        <f t="shared" ref="AE67:AE130" si="34">IF(C67="",AE66,C67)</f>
        <v>2885</v>
      </c>
      <c r="AF67" s="5" t="str">
        <f t="shared" ref="AF67:AF130" si="35">IF(E67="",AF66,E67)</f>
        <v>Les Pompes du St-Laurent Inc.</v>
      </c>
      <c r="AG67" s="5" t="str">
        <f t="shared" ref="AG67:AG130" si="36">IF(J67="",AG66,J67)</f>
        <v>CAD</v>
      </c>
      <c r="AH67" s="5">
        <f t="shared" ref="AH67:AH130" si="37">IFERROR(IF(AG67="CAD",O67,O67/K67),0)</f>
        <v>310.95</v>
      </c>
      <c r="AI67" s="12">
        <f>IF(L67-N67=0,VLOOKUP(U67,rate!A$4:B$15,2,FALSE)*AH67,IF(AG67="USD",O67,AH67*Y67))</f>
        <v>215.58789709156935</v>
      </c>
      <c r="AJ67" s="13">
        <f t="shared" ref="AJ67:AJ130" si="38">IFERROR(AI67/AH67,0)</f>
        <v>0.69332013858038066</v>
      </c>
      <c r="AK67" s="13">
        <f>-IF(AG67="CAD",IFERROR(VLOOKUP(D67,CAARStatus!$A$1:$Y$1600,16,FALSE),0),0)</f>
        <v>-310.95</v>
      </c>
      <c r="AL67" s="13">
        <f>-IF(AG67="USD",IFERROR(VLOOKUP(D67,CAARStatus!$A$1:$Y$1600,11,FALSE),0),0)</f>
        <v>0</v>
      </c>
      <c r="AM67" s="22">
        <f t="shared" ref="AM67:AM130" si="39">IF(AG67="CAD",AH67+AK67,"")</f>
        <v>0</v>
      </c>
      <c r="AN67" s="12" t="str">
        <f t="shared" ref="AN67:AN130" si="40">IF(AG67="USD",AI67+AL67,"")</f>
        <v/>
      </c>
      <c r="AO67" s="12" t="str">
        <f t="shared" ref="AO67:AO130" si="41">IF(AC67="Paid","Yes","Pend")</f>
        <v>Yes</v>
      </c>
      <c r="AP67" t="str">
        <f t="shared" si="26"/>
        <v>Yes</v>
      </c>
      <c r="AQ67" t="str">
        <f>IFERROR(VLOOKUP(Z67,InvBal!$L$4:$P$600,4,FALSE),"Pend")</f>
        <v>Pend</v>
      </c>
      <c r="AR67" t="str">
        <f>IFERROR(VLOOKUP(D67,Manual!$C$1:$E$22,2,FALSE),"Pend")</f>
        <v>Pend</v>
      </c>
      <c r="AS67" t="str">
        <f t="shared" ref="AS67:AS130" si="42">IF(OR(AP67="Yes",AQ67="Yes",AR67="Yes"),"Yes","")</f>
        <v>Yes</v>
      </c>
      <c r="AT67" t="str">
        <f t="shared" ref="AT67:AT130" si="43">IF(R67="Delivered","Yes","")</f>
        <v>Yes</v>
      </c>
      <c r="AU67" s="51" t="str">
        <f t="shared" ref="AU67:AU130" si="44">IF(AND(AS67="Yes",AT67="Yes"),"Yes","")</f>
        <v>Yes</v>
      </c>
      <c r="AV67" s="12">
        <f>IFERROR(VLOOKUP(D67,'Receivable Invoice Detail'!$S$1:$U$3014,3,FALSE),0)</f>
        <v>0</v>
      </c>
      <c r="AW67" s="12">
        <f t="shared" ref="AW67:AW130" si="45">IF(AU67="Yes",AI67-AV67,0)</f>
        <v>215.58789709156935</v>
      </c>
    </row>
    <row r="68" spans="1:49" ht="30" x14ac:dyDescent="0.25">
      <c r="A68" s="2">
        <v>1</v>
      </c>
      <c r="B68" s="2" t="s">
        <v>2128</v>
      </c>
      <c r="C68" s="2" t="s">
        <v>2129</v>
      </c>
      <c r="D68" s="2" t="s">
        <v>2344</v>
      </c>
      <c r="E68" s="2" t="s">
        <v>39</v>
      </c>
      <c r="F68" s="3">
        <v>45674.743449074071</v>
      </c>
      <c r="G68" s="3">
        <v>45680.694108796299</v>
      </c>
      <c r="H68" s="4">
        <v>45681</v>
      </c>
      <c r="I68" s="2" t="s">
        <v>1132</v>
      </c>
      <c r="J68" s="2" t="s">
        <v>22</v>
      </c>
      <c r="K68" s="2">
        <v>1</v>
      </c>
      <c r="L68" s="2">
        <v>12661.94</v>
      </c>
      <c r="M68" s="2">
        <v>0</v>
      </c>
      <c r="N68" s="2">
        <v>8817.2283304388529</v>
      </c>
      <c r="O68" s="2">
        <v>12059</v>
      </c>
      <c r="P68" s="2">
        <v>602.94000000000005</v>
      </c>
      <c r="Q68" s="2">
        <v>12661.94</v>
      </c>
      <c r="R68" s="2" t="s">
        <v>44</v>
      </c>
      <c r="S68" s="2"/>
      <c r="T68" s="2">
        <f t="shared" si="27"/>
        <v>1</v>
      </c>
      <c r="U68" s="18">
        <f t="shared" si="28"/>
        <v>1</v>
      </c>
      <c r="V68" s="18">
        <f t="shared" si="29"/>
        <v>2025</v>
      </c>
      <c r="W68" s="18">
        <f t="shared" si="30"/>
        <v>2</v>
      </c>
      <c r="X68" s="18">
        <f t="shared" si="31"/>
        <v>2025</v>
      </c>
      <c r="Y68" s="2">
        <f t="shared" si="24"/>
        <v>0.69635682450231584</v>
      </c>
      <c r="Z68" t="str">
        <f t="shared" si="25"/>
        <v>SO16449</v>
      </c>
      <c r="AA68" s="11">
        <f t="shared" si="32"/>
        <v>45674.743449074071</v>
      </c>
      <c r="AB68" s="5" t="str">
        <f t="shared" si="33"/>
        <v>INV12572</v>
      </c>
      <c r="AC68" s="5" t="str">
        <f>IFERROR(VLOOKUP(D68,CAARStatus!$A$2:$AA$1600,22,FALSE),"Not invoiced")</f>
        <v>Paid</v>
      </c>
      <c r="AD68" s="11">
        <f>IF(AC68="Paid",IFERROR(VLOOKUP(D68,CAARStatus!$A$2:$AA$1600,6,FALSE),"Pending"),"Pending")</f>
        <v>45715</v>
      </c>
      <c r="AE68" s="5" t="str">
        <f t="shared" si="34"/>
        <v>BC65-00079319</v>
      </c>
      <c r="AF68" s="5" t="str">
        <f t="shared" si="35"/>
        <v>Motion Industries Inc. (Canada) - Prince George</v>
      </c>
      <c r="AG68" s="5" t="str">
        <f t="shared" si="36"/>
        <v>CAD</v>
      </c>
      <c r="AH68" s="5">
        <f t="shared" si="37"/>
        <v>12059</v>
      </c>
      <c r="AI68" s="12">
        <f>IF(L68-N68=0,VLOOKUP(U68,rate!A$4:B$15,2,FALSE)*AH68,IF(AG68="USD",O68,AH68*Y68))</f>
        <v>8397.3669466734264</v>
      </c>
      <c r="AJ68" s="13">
        <f t="shared" si="38"/>
        <v>0.69635682450231584</v>
      </c>
      <c r="AK68" s="13">
        <f>-IF(AG68="CAD",IFERROR(VLOOKUP(D68,CAARStatus!$A$1:$Y$1600,16,FALSE),0),0)</f>
        <v>-12059</v>
      </c>
      <c r="AL68" s="13">
        <f>-IF(AG68="USD",IFERROR(VLOOKUP(D68,CAARStatus!$A$1:$Y$1600,11,FALSE),0),0)</f>
        <v>0</v>
      </c>
      <c r="AM68" s="22">
        <f t="shared" si="39"/>
        <v>0</v>
      </c>
      <c r="AN68" s="12" t="str">
        <f t="shared" si="40"/>
        <v/>
      </c>
      <c r="AO68" s="12" t="str">
        <f t="shared" si="41"/>
        <v>Yes</v>
      </c>
      <c r="AP68" t="str">
        <f t="shared" si="26"/>
        <v>Yes</v>
      </c>
      <c r="AQ68" t="str">
        <f>IFERROR(VLOOKUP(Z68,InvBal!$L$4:$P$600,4,FALSE),"Pend")</f>
        <v>Pend</v>
      </c>
      <c r="AR68" t="str">
        <f>IFERROR(VLOOKUP(D68,Manual!$C$1:$E$22,2,FALSE),"Pend")</f>
        <v>Pend</v>
      </c>
      <c r="AS68" t="str">
        <f t="shared" si="42"/>
        <v>Yes</v>
      </c>
      <c r="AT68" t="str">
        <f t="shared" si="43"/>
        <v>Yes</v>
      </c>
      <c r="AU68" s="51" t="str">
        <f t="shared" si="44"/>
        <v>Yes</v>
      </c>
      <c r="AV68" s="12">
        <f>IFERROR(VLOOKUP(D68,'Receivable Invoice Detail'!$S$1:$U$3014,3,FALSE),0)</f>
        <v>0</v>
      </c>
      <c r="AW68" s="12">
        <f t="shared" si="45"/>
        <v>8397.3669466734264</v>
      </c>
    </row>
    <row r="69" spans="1:49" x14ac:dyDescent="0.25">
      <c r="A69" s="2">
        <v>1</v>
      </c>
      <c r="B69" s="2" t="s">
        <v>2159</v>
      </c>
      <c r="C69" s="2" t="s">
        <v>2160</v>
      </c>
      <c r="D69" s="2" t="s">
        <v>2327</v>
      </c>
      <c r="E69" s="2" t="s">
        <v>141</v>
      </c>
      <c r="F69" s="3">
        <v>45677.476111111107</v>
      </c>
      <c r="G69" s="3">
        <v>45677.476770833331</v>
      </c>
      <c r="H69" s="4">
        <v>45678</v>
      </c>
      <c r="I69" s="2" t="s">
        <v>21</v>
      </c>
      <c r="J69" s="2" t="s">
        <v>51</v>
      </c>
      <c r="K69" s="2">
        <v>0.69062014611000555</v>
      </c>
      <c r="L69" s="2">
        <v>2835.0027305576659</v>
      </c>
      <c r="M69" s="2">
        <v>0</v>
      </c>
      <c r="N69" s="2">
        <v>1957.91</v>
      </c>
      <c r="O69" s="2">
        <v>1957.91</v>
      </c>
      <c r="P69" s="2"/>
      <c r="Q69" s="2">
        <v>1957.91</v>
      </c>
      <c r="R69" s="2" t="s">
        <v>44</v>
      </c>
      <c r="S69" s="2"/>
      <c r="T69" s="2">
        <f t="shared" si="27"/>
        <v>1</v>
      </c>
      <c r="U69" s="18">
        <f t="shared" si="28"/>
        <v>1</v>
      </c>
      <c r="V69" s="18">
        <f t="shared" si="29"/>
        <v>2025</v>
      </c>
      <c r="W69" s="18">
        <f t="shared" si="30"/>
        <v>3</v>
      </c>
      <c r="X69" s="18">
        <f t="shared" si="31"/>
        <v>2025</v>
      </c>
      <c r="Y69" s="2">
        <f t="shared" si="24"/>
        <v>0.69062014611000555</v>
      </c>
      <c r="Z69" t="str">
        <f t="shared" si="25"/>
        <v>SO16451</v>
      </c>
      <c r="AA69" s="11">
        <f t="shared" si="32"/>
        <v>45677.476111111107</v>
      </c>
      <c r="AB69" s="5" t="str">
        <f t="shared" si="33"/>
        <v>INV12556</v>
      </c>
      <c r="AC69" s="5" t="str">
        <f>IFERROR(VLOOKUP(D69,CAARStatus!$A$2:$AA$1600,22,FALSE),"Not invoiced")</f>
        <v>Paid</v>
      </c>
      <c r="AD69" s="11">
        <f>IF(AC69="Paid",IFERROR(VLOOKUP(D69,CAARStatus!$A$2:$AA$1600,6,FALSE),"Pending"),"Pending")</f>
        <v>45733</v>
      </c>
      <c r="AE69" s="5" t="str">
        <f t="shared" si="34"/>
        <v>4511512958</v>
      </c>
      <c r="AF69" s="5" t="str">
        <f t="shared" si="35"/>
        <v>PT Vale Indonesia Tbk.</v>
      </c>
      <c r="AG69" s="5" t="str">
        <f t="shared" si="36"/>
        <v>USD</v>
      </c>
      <c r="AH69" s="5">
        <f t="shared" si="37"/>
        <v>2835.0027305576659</v>
      </c>
      <c r="AI69" s="12">
        <f>IF(L69-N69=0,VLOOKUP(U69,rate!A$4:B$15,2,FALSE)*AH69,IF(AG69="USD",O69,AH69*Y69))</f>
        <v>1957.91</v>
      </c>
      <c r="AJ69" s="13">
        <f t="shared" si="38"/>
        <v>0.69062014611000555</v>
      </c>
      <c r="AK69" s="13">
        <f>-IF(AG69="CAD",IFERROR(VLOOKUP(D69,CAARStatus!$A$1:$Y$1600,16,FALSE),0),0)</f>
        <v>0</v>
      </c>
      <c r="AL69" s="13">
        <f>-IF(AG69="USD",IFERROR(VLOOKUP(D69,CAARStatus!$A$1:$Y$1600,11,FALSE),0),0)</f>
        <v>-1957.91</v>
      </c>
      <c r="AM69" s="22" t="str">
        <f t="shared" si="39"/>
        <v/>
      </c>
      <c r="AN69" s="12">
        <f t="shared" si="40"/>
        <v>0</v>
      </c>
      <c r="AO69" s="12" t="str">
        <f t="shared" si="41"/>
        <v>Yes</v>
      </c>
      <c r="AP69" t="str">
        <f t="shared" si="26"/>
        <v>Yes</v>
      </c>
      <c r="AQ69" t="str">
        <f>IFERROR(VLOOKUP(Z69,InvBal!$L$4:$P$600,4,FALSE),"Pend")</f>
        <v>Pend</v>
      </c>
      <c r="AR69" t="str">
        <f>IFERROR(VLOOKUP(D69,Manual!$C$1:$E$22,2,FALSE),"Pend")</f>
        <v>Pend</v>
      </c>
      <c r="AS69" t="str">
        <f t="shared" si="42"/>
        <v>Yes</v>
      </c>
      <c r="AT69" t="str">
        <f t="shared" si="43"/>
        <v>Yes</v>
      </c>
      <c r="AU69" s="51" t="str">
        <f t="shared" si="44"/>
        <v>Yes</v>
      </c>
      <c r="AV69" s="12">
        <f>IFERROR(VLOOKUP(D69,'Receivable Invoice Detail'!$S$1:$U$3014,3,FALSE),0)</f>
        <v>0</v>
      </c>
      <c r="AW69" s="12">
        <f t="shared" si="45"/>
        <v>1957.91</v>
      </c>
    </row>
    <row r="70" spans="1:49" x14ac:dyDescent="0.25">
      <c r="A70" s="2">
        <v>1</v>
      </c>
      <c r="B70" s="2" t="s">
        <v>2157</v>
      </c>
      <c r="C70" s="2" t="s">
        <v>2158</v>
      </c>
      <c r="D70" s="2" t="s">
        <v>2328</v>
      </c>
      <c r="E70" s="2" t="s">
        <v>141</v>
      </c>
      <c r="F70" s="3">
        <v>45677.488182870373</v>
      </c>
      <c r="G70" s="3">
        <v>45677.488958333342</v>
      </c>
      <c r="H70" s="4">
        <v>45678</v>
      </c>
      <c r="I70" s="2" t="s">
        <v>21</v>
      </c>
      <c r="J70" s="2" t="s">
        <v>51</v>
      </c>
      <c r="K70" s="2">
        <v>0.69062014611000555</v>
      </c>
      <c r="L70" s="2">
        <v>3716.8478424189002</v>
      </c>
      <c r="M70" s="2">
        <v>0</v>
      </c>
      <c r="N70" s="2">
        <v>2566.9299999999998</v>
      </c>
      <c r="O70" s="2">
        <v>2566.9299999999998</v>
      </c>
      <c r="P70" s="2"/>
      <c r="Q70" s="2">
        <v>2566.9299999999998</v>
      </c>
      <c r="R70" s="2" t="s">
        <v>44</v>
      </c>
      <c r="S70" s="2"/>
      <c r="T70" s="2">
        <f t="shared" si="27"/>
        <v>1</v>
      </c>
      <c r="U70" s="18">
        <f t="shared" si="28"/>
        <v>1</v>
      </c>
      <c r="V70" s="18">
        <f t="shared" si="29"/>
        <v>2025</v>
      </c>
      <c r="W70" s="18">
        <f t="shared" si="30"/>
        <v>3</v>
      </c>
      <c r="X70" s="18">
        <f t="shared" si="31"/>
        <v>2025</v>
      </c>
      <c r="Y70" s="2">
        <f t="shared" si="24"/>
        <v>0.69062014611000555</v>
      </c>
      <c r="Z70" t="str">
        <f t="shared" si="25"/>
        <v>SO16452</v>
      </c>
      <c r="AA70" s="11">
        <f t="shared" si="32"/>
        <v>45677.488182870373</v>
      </c>
      <c r="AB70" s="5" t="str">
        <f t="shared" si="33"/>
        <v>INV12557</v>
      </c>
      <c r="AC70" s="5" t="str">
        <f>IFERROR(VLOOKUP(D70,CAARStatus!$A$2:$AA$1600,22,FALSE),"Not invoiced")</f>
        <v>Paid</v>
      </c>
      <c r="AD70" s="11">
        <f>IF(AC70="Paid",IFERROR(VLOOKUP(D70,CAARStatus!$A$2:$AA$1600,6,FALSE),"Pending"),"Pending")</f>
        <v>45733</v>
      </c>
      <c r="AE70" s="5" t="str">
        <f t="shared" si="34"/>
        <v>4511512957</v>
      </c>
      <c r="AF70" s="5" t="str">
        <f t="shared" si="35"/>
        <v>PT Vale Indonesia Tbk.</v>
      </c>
      <c r="AG70" s="5" t="str">
        <f t="shared" si="36"/>
        <v>USD</v>
      </c>
      <c r="AH70" s="5">
        <f t="shared" si="37"/>
        <v>3716.8478424189002</v>
      </c>
      <c r="AI70" s="12">
        <f>IF(L70-N70=0,VLOOKUP(U70,rate!A$4:B$15,2,FALSE)*AH70,IF(AG70="USD",O70,AH70*Y70))</f>
        <v>2566.9299999999998</v>
      </c>
      <c r="AJ70" s="13">
        <f t="shared" si="38"/>
        <v>0.69062014611000555</v>
      </c>
      <c r="AK70" s="13">
        <f>-IF(AG70="CAD",IFERROR(VLOOKUP(D70,CAARStatus!$A$1:$Y$1600,16,FALSE),0),0)</f>
        <v>0</v>
      </c>
      <c r="AL70" s="13">
        <f>-IF(AG70="USD",IFERROR(VLOOKUP(D70,CAARStatus!$A$1:$Y$1600,11,FALSE),0),0)</f>
        <v>-2566.9299999999998</v>
      </c>
      <c r="AM70" s="22" t="str">
        <f t="shared" si="39"/>
        <v/>
      </c>
      <c r="AN70" s="12">
        <f t="shared" si="40"/>
        <v>0</v>
      </c>
      <c r="AO70" s="12" t="str">
        <f t="shared" si="41"/>
        <v>Yes</v>
      </c>
      <c r="AP70" t="str">
        <f t="shared" si="26"/>
        <v>Yes</v>
      </c>
      <c r="AQ70" t="str">
        <f>IFERROR(VLOOKUP(Z70,InvBal!$L$4:$P$600,4,FALSE),"Pend")</f>
        <v>Pend</v>
      </c>
      <c r="AR70" t="str">
        <f>IFERROR(VLOOKUP(D70,Manual!$C$1:$E$22,2,FALSE),"Pend")</f>
        <v>Pend</v>
      </c>
      <c r="AS70" t="str">
        <f t="shared" si="42"/>
        <v>Yes</v>
      </c>
      <c r="AT70" t="str">
        <f t="shared" si="43"/>
        <v>Yes</v>
      </c>
      <c r="AU70" s="51" t="str">
        <f t="shared" si="44"/>
        <v>Yes</v>
      </c>
      <c r="AV70" s="12">
        <f>IFERROR(VLOOKUP(D70,'Receivable Invoice Detail'!$S$1:$U$3014,3,FALSE),0)</f>
        <v>0</v>
      </c>
      <c r="AW70" s="12">
        <f t="shared" si="45"/>
        <v>2566.9299999999998</v>
      </c>
    </row>
    <row r="71" spans="1:49" x14ac:dyDescent="0.25">
      <c r="A71" s="2">
        <v>1</v>
      </c>
      <c r="B71" s="2" t="s">
        <v>2155</v>
      </c>
      <c r="C71" s="2" t="s">
        <v>2156</v>
      </c>
      <c r="D71" s="2" t="s">
        <v>2329</v>
      </c>
      <c r="E71" s="2" t="s">
        <v>141</v>
      </c>
      <c r="F71" s="3">
        <v>45677.493460648147</v>
      </c>
      <c r="G71" s="3">
        <v>45677.494074074071</v>
      </c>
      <c r="H71" s="4">
        <v>45678</v>
      </c>
      <c r="I71" s="2" t="s">
        <v>21</v>
      </c>
      <c r="J71" s="2" t="s">
        <v>51</v>
      </c>
      <c r="K71" s="2">
        <v>0.69062014611000555</v>
      </c>
      <c r="L71" s="2">
        <v>2728.9820759149952</v>
      </c>
      <c r="M71" s="2">
        <v>0</v>
      </c>
      <c r="N71" s="2">
        <v>1884.69</v>
      </c>
      <c r="O71" s="2">
        <v>1884.69</v>
      </c>
      <c r="P71" s="2"/>
      <c r="Q71" s="2">
        <v>1884.69</v>
      </c>
      <c r="R71" s="2" t="s">
        <v>44</v>
      </c>
      <c r="S71" s="2"/>
      <c r="T71" s="2">
        <f t="shared" si="27"/>
        <v>1</v>
      </c>
      <c r="U71" s="18">
        <f t="shared" si="28"/>
        <v>1</v>
      </c>
      <c r="V71" s="18">
        <f t="shared" si="29"/>
        <v>2025</v>
      </c>
      <c r="W71" s="18">
        <f t="shared" si="30"/>
        <v>3</v>
      </c>
      <c r="X71" s="18">
        <f t="shared" si="31"/>
        <v>2025</v>
      </c>
      <c r="Y71" s="2">
        <f t="shared" si="24"/>
        <v>0.69062014611000544</v>
      </c>
      <c r="Z71" t="str">
        <f t="shared" si="25"/>
        <v>SO16453</v>
      </c>
      <c r="AA71" s="11">
        <f t="shared" si="32"/>
        <v>45677.493460648147</v>
      </c>
      <c r="AB71" s="5" t="str">
        <f t="shared" si="33"/>
        <v>INV12558</v>
      </c>
      <c r="AC71" s="5" t="str">
        <f>IFERROR(VLOOKUP(D71,CAARStatus!$A$2:$AA$1600,22,FALSE),"Not invoiced")</f>
        <v>Paid</v>
      </c>
      <c r="AD71" s="11">
        <f>IF(AC71="Paid",IFERROR(VLOOKUP(D71,CAARStatus!$A$2:$AA$1600,6,FALSE),"Pending"),"Pending")</f>
        <v>45733</v>
      </c>
      <c r="AE71" s="5" t="str">
        <f t="shared" si="34"/>
        <v>4511512959</v>
      </c>
      <c r="AF71" s="5" t="str">
        <f t="shared" si="35"/>
        <v>PT Vale Indonesia Tbk.</v>
      </c>
      <c r="AG71" s="5" t="str">
        <f t="shared" si="36"/>
        <v>USD</v>
      </c>
      <c r="AH71" s="5">
        <f t="shared" si="37"/>
        <v>2728.9820759149948</v>
      </c>
      <c r="AI71" s="12">
        <f>IF(L71-N71=0,VLOOKUP(U71,rate!A$4:B$15,2,FALSE)*AH71,IF(AG71="USD",O71,AH71*Y71))</f>
        <v>1884.69</v>
      </c>
      <c r="AJ71" s="13">
        <f t="shared" si="38"/>
        <v>0.69062014611000555</v>
      </c>
      <c r="AK71" s="13">
        <f>-IF(AG71="CAD",IFERROR(VLOOKUP(D71,CAARStatus!$A$1:$Y$1600,16,FALSE),0),0)</f>
        <v>0</v>
      </c>
      <c r="AL71" s="13">
        <f>-IF(AG71="USD",IFERROR(VLOOKUP(D71,CAARStatus!$A$1:$Y$1600,11,FALSE),0),0)</f>
        <v>-1884.69</v>
      </c>
      <c r="AM71" s="22" t="str">
        <f t="shared" si="39"/>
        <v/>
      </c>
      <c r="AN71" s="12">
        <f t="shared" si="40"/>
        <v>0</v>
      </c>
      <c r="AO71" s="12" t="str">
        <f t="shared" si="41"/>
        <v>Yes</v>
      </c>
      <c r="AP71" t="str">
        <f t="shared" si="26"/>
        <v>Yes</v>
      </c>
      <c r="AQ71" t="str">
        <f>IFERROR(VLOOKUP(Z71,InvBal!$L$4:$P$600,4,FALSE),"Pend")</f>
        <v>Pend</v>
      </c>
      <c r="AR71" t="str">
        <f>IFERROR(VLOOKUP(D71,Manual!$C$1:$E$22,2,FALSE),"Pend")</f>
        <v>Pend</v>
      </c>
      <c r="AS71" t="str">
        <f t="shared" si="42"/>
        <v>Yes</v>
      </c>
      <c r="AT71" t="str">
        <f t="shared" si="43"/>
        <v>Yes</v>
      </c>
      <c r="AU71" s="51" t="str">
        <f t="shared" si="44"/>
        <v>Yes</v>
      </c>
      <c r="AV71" s="12">
        <f>IFERROR(VLOOKUP(D71,'Receivable Invoice Detail'!$S$1:$U$3014,3,FALSE),0)</f>
        <v>0</v>
      </c>
      <c r="AW71" s="12">
        <f t="shared" si="45"/>
        <v>1884.69</v>
      </c>
    </row>
    <row r="72" spans="1:49" x14ac:dyDescent="0.25">
      <c r="A72" s="2">
        <v>1</v>
      </c>
      <c r="B72" s="2" t="s">
        <v>2135</v>
      </c>
      <c r="C72" s="2" t="s">
        <v>2136</v>
      </c>
      <c r="D72" s="2" t="s">
        <v>2341</v>
      </c>
      <c r="E72" s="2" t="s">
        <v>630</v>
      </c>
      <c r="F72" s="3">
        <v>45677.628912037027</v>
      </c>
      <c r="G72" s="3">
        <v>45679.702696759261</v>
      </c>
      <c r="H72" s="4">
        <v>45805</v>
      </c>
      <c r="I72" s="2" t="s">
        <v>21</v>
      </c>
      <c r="J72" s="2" t="s">
        <v>22</v>
      </c>
      <c r="K72" s="2">
        <v>1</v>
      </c>
      <c r="L72" s="2">
        <v>25712.400000000001</v>
      </c>
      <c r="M72" s="2">
        <v>25712.400000000001</v>
      </c>
      <c r="N72" s="2">
        <v>25712.400000000001</v>
      </c>
      <c r="O72" s="2">
        <v>24488</v>
      </c>
      <c r="P72" s="2">
        <v>1224.4000000000001</v>
      </c>
      <c r="Q72" s="2">
        <v>25712.400000000001</v>
      </c>
      <c r="R72" s="2" t="s">
        <v>44</v>
      </c>
      <c r="S72" s="2"/>
      <c r="T72" s="2">
        <f t="shared" si="27"/>
        <v>1</v>
      </c>
      <c r="U72" s="18">
        <f t="shared" si="28"/>
        <v>1</v>
      </c>
      <c r="V72" s="18">
        <f t="shared" si="29"/>
        <v>2025</v>
      </c>
      <c r="W72" s="18">
        <f t="shared" si="30"/>
        <v>8</v>
      </c>
      <c r="X72" s="18">
        <f t="shared" si="31"/>
        <v>2025</v>
      </c>
      <c r="Y72" s="2">
        <f t="shared" si="24"/>
        <v>1</v>
      </c>
      <c r="Z72" t="str">
        <f t="shared" si="25"/>
        <v>SO16455</v>
      </c>
      <c r="AA72" s="11">
        <f t="shared" si="32"/>
        <v>45677.628912037027</v>
      </c>
      <c r="AB72" s="5" t="str">
        <f t="shared" si="33"/>
        <v>INV13057</v>
      </c>
      <c r="AC72" s="5" t="str">
        <f>IFERROR(VLOOKUP(D72,CAARStatus!$A$2:$AA$1600,22,FALSE),"Not invoiced")</f>
        <v>Paid</v>
      </c>
      <c r="AD72" s="11">
        <f>IF(AC72="Paid",IFERROR(VLOOKUP(D72,CAARStatus!$A$2:$AA$1600,6,FALSE),"Pending"),"Pending")</f>
        <v>45884</v>
      </c>
      <c r="AE72" s="5" t="str">
        <f t="shared" si="34"/>
        <v>63-02681</v>
      </c>
      <c r="AF72" s="5" t="str">
        <f t="shared" si="35"/>
        <v>Quality Concrete Inc.</v>
      </c>
      <c r="AG72" s="5" t="str">
        <f t="shared" si="36"/>
        <v>CAD</v>
      </c>
      <c r="AH72" s="5">
        <f t="shared" si="37"/>
        <v>24488</v>
      </c>
      <c r="AI72" s="12">
        <f>IF(L72-N72=0,VLOOKUP(U72,rate!A$4:B$15,2,FALSE)*AH72,IF(AG72="USD",O72,AH72*Y72))</f>
        <v>17011.277540202416</v>
      </c>
      <c r="AJ72" s="13">
        <f t="shared" si="38"/>
        <v>0.69467810928627971</v>
      </c>
      <c r="AK72" s="13">
        <f>-IF(AG72="CAD",IFERROR(VLOOKUP(D72,CAARStatus!$A$1:$Y$1600,16,FALSE),0),0)</f>
        <v>-24488</v>
      </c>
      <c r="AL72" s="13">
        <f>-IF(AG72="USD",IFERROR(VLOOKUP(D72,CAARStatus!$A$1:$Y$1600,11,FALSE),0),0)</f>
        <v>0</v>
      </c>
      <c r="AM72" s="22">
        <f t="shared" si="39"/>
        <v>0</v>
      </c>
      <c r="AN72" s="12" t="str">
        <f t="shared" si="40"/>
        <v/>
      </c>
      <c r="AO72" s="12" t="str">
        <f t="shared" si="41"/>
        <v>Yes</v>
      </c>
      <c r="AP72" t="str">
        <f t="shared" si="26"/>
        <v>Yes</v>
      </c>
      <c r="AQ72" t="str">
        <f>IFERROR(VLOOKUP(Z72,InvBal!$L$4:$P$600,4,FALSE),"Pend")</f>
        <v>Pend</v>
      </c>
      <c r="AR72" t="str">
        <f>IFERROR(VLOOKUP(D72,Manual!$C$1:$E$22,2,FALSE),"Pend")</f>
        <v>Pend</v>
      </c>
      <c r="AS72" t="str">
        <f t="shared" si="42"/>
        <v>Yes</v>
      </c>
      <c r="AT72" t="str">
        <f t="shared" si="43"/>
        <v>Yes</v>
      </c>
      <c r="AU72" s="51" t="str">
        <f t="shared" si="44"/>
        <v>Yes</v>
      </c>
      <c r="AV72" s="12">
        <f>IFERROR(VLOOKUP(D72,'Receivable Invoice Detail'!$S$1:$U$3014,3,FALSE),0)</f>
        <v>0</v>
      </c>
      <c r="AW72" s="12">
        <f t="shared" si="45"/>
        <v>17011.277540202416</v>
      </c>
    </row>
    <row r="73" spans="1:49" ht="30" x14ac:dyDescent="0.25">
      <c r="A73" s="2">
        <v>1</v>
      </c>
      <c r="B73" s="2" t="s">
        <v>2145</v>
      </c>
      <c r="C73" s="2" t="s">
        <v>2146</v>
      </c>
      <c r="D73" s="2" t="s">
        <v>2337</v>
      </c>
      <c r="E73" s="2" t="s">
        <v>818</v>
      </c>
      <c r="F73" s="3">
        <v>45677.655810185177</v>
      </c>
      <c r="G73" s="3">
        <v>45679.387071759258</v>
      </c>
      <c r="H73" s="4">
        <v>45680</v>
      </c>
      <c r="I73" s="2" t="s">
        <v>21</v>
      </c>
      <c r="J73" s="2" t="s">
        <v>22</v>
      </c>
      <c r="K73" s="2">
        <v>1</v>
      </c>
      <c r="L73" s="2">
        <v>243.8</v>
      </c>
      <c r="M73" s="2">
        <v>243.8</v>
      </c>
      <c r="N73" s="2">
        <v>243.8</v>
      </c>
      <c r="O73" s="2">
        <v>232.19</v>
      </c>
      <c r="P73" s="2">
        <v>11.61</v>
      </c>
      <c r="Q73" s="2">
        <v>243.8</v>
      </c>
      <c r="R73" s="2" t="s">
        <v>44</v>
      </c>
      <c r="S73" s="2"/>
      <c r="T73" s="2">
        <f t="shared" si="27"/>
        <v>1</v>
      </c>
      <c r="U73" s="18">
        <f t="shared" si="28"/>
        <v>1</v>
      </c>
      <c r="V73" s="18">
        <f t="shared" si="29"/>
        <v>2025</v>
      </c>
      <c r="W73" s="18">
        <f t="shared" si="30"/>
        <v>2</v>
      </c>
      <c r="X73" s="18">
        <f t="shared" si="31"/>
        <v>2025</v>
      </c>
      <c r="Y73" s="2">
        <f t="shared" si="24"/>
        <v>1</v>
      </c>
      <c r="Z73" t="str">
        <f t="shared" si="25"/>
        <v>SO16457</v>
      </c>
      <c r="AA73" s="11">
        <f t="shared" si="32"/>
        <v>45677.655810185177</v>
      </c>
      <c r="AB73" s="5" t="str">
        <f t="shared" si="33"/>
        <v>INV12559</v>
      </c>
      <c r="AC73" s="5" t="str">
        <f>IFERROR(VLOOKUP(D73,CAARStatus!$A$2:$AA$1600,22,FALSE),"Not invoiced")</f>
        <v>Paid</v>
      </c>
      <c r="AD73" s="11">
        <f>IF(AC73="Paid",IFERROR(VLOOKUP(D73,CAARStatus!$A$2:$AA$1600,6,FALSE),"Pending"),"Pending")</f>
        <v>45714</v>
      </c>
      <c r="AE73" s="5" t="str">
        <f t="shared" si="34"/>
        <v>2100491932</v>
      </c>
      <c r="AF73" s="5" t="str">
        <f t="shared" si="35"/>
        <v>Wajax Limited - Pointe-aux-Trembles, Wajax Limited</v>
      </c>
      <c r="AG73" s="5" t="str">
        <f t="shared" si="36"/>
        <v>CAD</v>
      </c>
      <c r="AH73" s="5">
        <f t="shared" si="37"/>
        <v>232.19</v>
      </c>
      <c r="AI73" s="12">
        <f>IF(L73-N73=0,VLOOKUP(U73,rate!A$4:B$15,2,FALSE)*AH73,IF(AG73="USD",O73,AH73*Y73))</f>
        <v>161.2973101951813</v>
      </c>
      <c r="AJ73" s="13">
        <f t="shared" si="38"/>
        <v>0.69467810928627971</v>
      </c>
      <c r="AK73" s="13">
        <f>-IF(AG73="CAD",IFERROR(VLOOKUP(D73,CAARStatus!$A$1:$Y$1600,16,FALSE),0),0)</f>
        <v>-232.19</v>
      </c>
      <c r="AL73" s="13">
        <f>-IF(AG73="USD",IFERROR(VLOOKUP(D73,CAARStatus!$A$1:$Y$1600,11,FALSE),0),0)</f>
        <v>0</v>
      </c>
      <c r="AM73" s="22">
        <f t="shared" si="39"/>
        <v>0</v>
      </c>
      <c r="AN73" s="12" t="str">
        <f t="shared" si="40"/>
        <v/>
      </c>
      <c r="AO73" s="12" t="str">
        <f t="shared" si="41"/>
        <v>Yes</v>
      </c>
      <c r="AP73" t="str">
        <f t="shared" si="26"/>
        <v>Yes</v>
      </c>
      <c r="AQ73" t="str">
        <f>IFERROR(VLOOKUP(Z73,InvBal!$L$4:$P$600,4,FALSE),"Pend")</f>
        <v>Pend</v>
      </c>
      <c r="AR73" t="str">
        <f>IFERROR(VLOOKUP(D73,Manual!$C$1:$E$22,2,FALSE),"Pend")</f>
        <v>Pend</v>
      </c>
      <c r="AS73" t="str">
        <f t="shared" si="42"/>
        <v>Yes</v>
      </c>
      <c r="AT73" t="str">
        <f t="shared" si="43"/>
        <v>Yes</v>
      </c>
      <c r="AU73" s="51" t="str">
        <f t="shared" si="44"/>
        <v>Yes</v>
      </c>
      <c r="AV73" s="12">
        <f>IFERROR(VLOOKUP(D73,'Receivable Invoice Detail'!$S$1:$U$3014,3,FALSE),0)</f>
        <v>0</v>
      </c>
      <c r="AW73" s="12">
        <f t="shared" si="45"/>
        <v>161.2973101951813</v>
      </c>
    </row>
    <row r="74" spans="1:49" x14ac:dyDescent="0.25">
      <c r="A74" s="2">
        <v>1</v>
      </c>
      <c r="B74" s="2" t="s">
        <v>1887</v>
      </c>
      <c r="C74" s="2" t="s">
        <v>1888</v>
      </c>
      <c r="D74" s="2" t="s">
        <v>2487</v>
      </c>
      <c r="E74" s="2" t="s">
        <v>54</v>
      </c>
      <c r="F74" s="3">
        <v>45678.375219907408</v>
      </c>
      <c r="G74" s="3">
        <v>45714.687037037038</v>
      </c>
      <c r="H74" s="4">
        <v>45715</v>
      </c>
      <c r="I74" s="2" t="s">
        <v>21</v>
      </c>
      <c r="J74" s="2" t="s">
        <v>22</v>
      </c>
      <c r="K74" s="2">
        <v>1</v>
      </c>
      <c r="L74" s="2">
        <v>2023.65</v>
      </c>
      <c r="M74" s="2">
        <v>0</v>
      </c>
      <c r="N74" s="2">
        <v>1410.320525298974</v>
      </c>
      <c r="O74" s="2">
        <v>1927.29</v>
      </c>
      <c r="P74" s="2">
        <v>96.36</v>
      </c>
      <c r="Q74" s="2">
        <v>2023.65</v>
      </c>
      <c r="R74" s="2" t="s">
        <v>44</v>
      </c>
      <c r="S74" s="2"/>
      <c r="T74" s="2">
        <f t="shared" si="27"/>
        <v>1</v>
      </c>
      <c r="U74" s="18">
        <f t="shared" si="28"/>
        <v>1</v>
      </c>
      <c r="V74" s="18">
        <f t="shared" si="29"/>
        <v>2025</v>
      </c>
      <c r="W74" s="18">
        <f t="shared" si="30"/>
        <v>4</v>
      </c>
      <c r="X74" s="18">
        <f t="shared" si="31"/>
        <v>2025</v>
      </c>
      <c r="Y74" s="2">
        <f t="shared" si="24"/>
        <v>0.69691919319001505</v>
      </c>
      <c r="Z74" t="str">
        <f t="shared" si="25"/>
        <v>SO16462</v>
      </c>
      <c r="AA74" s="11">
        <f t="shared" si="32"/>
        <v>45678.375219907408</v>
      </c>
      <c r="AB74" s="5" t="str">
        <f t="shared" si="33"/>
        <v>INV12684</v>
      </c>
      <c r="AC74" s="5" t="str">
        <f>IFERROR(VLOOKUP(D74,CAARStatus!$A$2:$AA$1600,22,FALSE),"Not invoiced")</f>
        <v>Paid</v>
      </c>
      <c r="AD74" s="11">
        <f>IF(AC74="Paid",IFERROR(VLOOKUP(D74,CAARStatus!$A$2:$AA$1600,6,FALSE),"Pending"),"Pending")</f>
        <v>45768</v>
      </c>
      <c r="AE74" s="5" t="str">
        <f t="shared" si="34"/>
        <v>3071</v>
      </c>
      <c r="AF74" s="5" t="str">
        <f t="shared" si="35"/>
        <v>Les Pompes du St-Laurent Inc.</v>
      </c>
      <c r="AG74" s="5" t="str">
        <f t="shared" si="36"/>
        <v>CAD</v>
      </c>
      <c r="AH74" s="5">
        <f t="shared" si="37"/>
        <v>1927.29</v>
      </c>
      <c r="AI74" s="12">
        <f>IF(L74-N74=0,VLOOKUP(U74,rate!A$4:B$15,2,FALSE)*AH74,IF(AG74="USD",O74,AH74*Y74))</f>
        <v>1343.1653918431841</v>
      </c>
      <c r="AJ74" s="13">
        <f t="shared" si="38"/>
        <v>0.69691919319001505</v>
      </c>
      <c r="AK74" s="13">
        <f>-IF(AG74="CAD",IFERROR(VLOOKUP(D74,CAARStatus!$A$1:$Y$1600,16,FALSE),0),0)</f>
        <v>-1927.29</v>
      </c>
      <c r="AL74" s="13">
        <f>-IF(AG74="USD",IFERROR(VLOOKUP(D74,CAARStatus!$A$1:$Y$1600,11,FALSE),0),0)</f>
        <v>0</v>
      </c>
      <c r="AM74" s="22">
        <f t="shared" si="39"/>
        <v>0</v>
      </c>
      <c r="AN74" s="12" t="str">
        <f t="shared" si="40"/>
        <v/>
      </c>
      <c r="AO74" s="12" t="str">
        <f t="shared" si="41"/>
        <v>Yes</v>
      </c>
      <c r="AP74" t="str">
        <f t="shared" si="26"/>
        <v>Yes</v>
      </c>
      <c r="AQ74" t="str">
        <f>IFERROR(VLOOKUP(Z74,InvBal!$L$4:$P$600,4,FALSE),"Pend")</f>
        <v>Pend</v>
      </c>
      <c r="AR74" t="str">
        <f>IFERROR(VLOOKUP(D74,Manual!$C$1:$E$22,2,FALSE),"Pend")</f>
        <v>Pend</v>
      </c>
      <c r="AS74" t="str">
        <f t="shared" si="42"/>
        <v>Yes</v>
      </c>
      <c r="AT74" t="str">
        <f t="shared" si="43"/>
        <v>Yes</v>
      </c>
      <c r="AU74" s="51" t="str">
        <f t="shared" si="44"/>
        <v>Yes</v>
      </c>
      <c r="AV74" s="12">
        <f>IFERROR(VLOOKUP(D74,'Receivable Invoice Detail'!$S$1:$U$3014,3,FALSE),0)</f>
        <v>0</v>
      </c>
      <c r="AW74" s="12">
        <f t="shared" si="45"/>
        <v>1343.1653918431841</v>
      </c>
    </row>
    <row r="75" spans="1:49" x14ac:dyDescent="0.25">
      <c r="A75" s="2">
        <v>1</v>
      </c>
      <c r="B75" s="2" t="s">
        <v>2147</v>
      </c>
      <c r="C75" s="2" t="s">
        <v>2148</v>
      </c>
      <c r="D75" s="2" t="s">
        <v>2336</v>
      </c>
      <c r="E75" s="2" t="s">
        <v>146</v>
      </c>
      <c r="F75" s="3">
        <v>45678.390636574077</v>
      </c>
      <c r="G75" s="3">
        <v>45678.624884259261</v>
      </c>
      <c r="H75" s="4">
        <v>45679</v>
      </c>
      <c r="I75" s="2" t="s">
        <v>21</v>
      </c>
      <c r="J75" s="2" t="s">
        <v>22</v>
      </c>
      <c r="K75" s="2">
        <v>1</v>
      </c>
      <c r="L75" s="2">
        <v>1250.9000000000001</v>
      </c>
      <c r="M75" s="2">
        <v>0</v>
      </c>
      <c r="N75" s="2">
        <v>872.8093684381106</v>
      </c>
      <c r="O75" s="2">
        <v>1191.33</v>
      </c>
      <c r="P75" s="2">
        <v>59.57</v>
      </c>
      <c r="Q75" s="2">
        <v>1250.9000000000001</v>
      </c>
      <c r="R75" s="2" t="s">
        <v>44</v>
      </c>
      <c r="S75" s="2"/>
      <c r="T75" s="2">
        <f t="shared" si="27"/>
        <v>1</v>
      </c>
      <c r="U75" s="18">
        <f t="shared" si="28"/>
        <v>1</v>
      </c>
      <c r="V75" s="18">
        <f t="shared" si="29"/>
        <v>2025</v>
      </c>
      <c r="W75" s="18">
        <f t="shared" si="30"/>
        <v>3</v>
      </c>
      <c r="X75" s="18">
        <f t="shared" si="31"/>
        <v>2025</v>
      </c>
      <c r="Y75" s="2">
        <f t="shared" si="24"/>
        <v>0.69774511826533736</v>
      </c>
      <c r="Z75" t="str">
        <f t="shared" si="25"/>
        <v>SO16464</v>
      </c>
      <c r="AA75" s="11">
        <f t="shared" si="32"/>
        <v>45678.390636574077</v>
      </c>
      <c r="AB75" s="5" t="str">
        <f t="shared" si="33"/>
        <v>INV12553</v>
      </c>
      <c r="AC75" s="5" t="str">
        <f>IFERROR(VLOOKUP(D75,CAARStatus!$A$2:$AA$1600,22,FALSE),"Not invoiced")</f>
        <v>Paid</v>
      </c>
      <c r="AD75" s="11">
        <f>IF(AC75="Paid",IFERROR(VLOOKUP(D75,CAARStatus!$A$2:$AA$1600,6,FALSE),"Pending"),"Pending")</f>
        <v>45723</v>
      </c>
      <c r="AE75" s="5" t="str">
        <f t="shared" si="34"/>
        <v>6686</v>
      </c>
      <c r="AF75" s="5" t="str">
        <f t="shared" si="35"/>
        <v>Hyperflo</v>
      </c>
      <c r="AG75" s="5" t="str">
        <f t="shared" si="36"/>
        <v>CAD</v>
      </c>
      <c r="AH75" s="5">
        <f t="shared" si="37"/>
        <v>1191.33</v>
      </c>
      <c r="AI75" s="12">
        <f>IF(L75-N75=0,VLOOKUP(U75,rate!A$4:B$15,2,FALSE)*AH75,IF(AG75="USD",O75,AH75*Y75))</f>
        <v>831.24469174304431</v>
      </c>
      <c r="AJ75" s="13">
        <f t="shared" si="38"/>
        <v>0.69774511826533736</v>
      </c>
      <c r="AK75" s="13">
        <f>-IF(AG75="CAD",IFERROR(VLOOKUP(D75,CAARStatus!$A$1:$Y$1600,16,FALSE),0),0)</f>
        <v>-1191.33</v>
      </c>
      <c r="AL75" s="13">
        <f>-IF(AG75="USD",IFERROR(VLOOKUP(D75,CAARStatus!$A$1:$Y$1600,11,FALSE),0),0)</f>
        <v>0</v>
      </c>
      <c r="AM75" s="22">
        <f t="shared" si="39"/>
        <v>0</v>
      </c>
      <c r="AN75" s="12" t="str">
        <f t="shared" si="40"/>
        <v/>
      </c>
      <c r="AO75" s="12" t="str">
        <f t="shared" si="41"/>
        <v>Yes</v>
      </c>
      <c r="AP75" t="str">
        <f t="shared" si="26"/>
        <v>Yes</v>
      </c>
      <c r="AQ75" t="str">
        <f>IFERROR(VLOOKUP(Z75,InvBal!$L$4:$P$600,4,FALSE),"Pend")</f>
        <v>Pend</v>
      </c>
      <c r="AR75" t="str">
        <f>IFERROR(VLOOKUP(D75,Manual!$C$1:$E$22,2,FALSE),"Pend")</f>
        <v>Pend</v>
      </c>
      <c r="AS75" t="str">
        <f t="shared" si="42"/>
        <v>Yes</v>
      </c>
      <c r="AT75" t="str">
        <f t="shared" si="43"/>
        <v>Yes</v>
      </c>
      <c r="AU75" s="51" t="str">
        <f t="shared" si="44"/>
        <v>Yes</v>
      </c>
      <c r="AV75" s="12">
        <f>IFERROR(VLOOKUP(D75,'Receivable Invoice Detail'!$S$1:$U$3014,3,FALSE),0)</f>
        <v>0</v>
      </c>
      <c r="AW75" s="12">
        <f t="shared" si="45"/>
        <v>831.24469174304431</v>
      </c>
    </row>
    <row r="76" spans="1:49" ht="30" x14ac:dyDescent="0.25">
      <c r="A76" s="2">
        <v>1</v>
      </c>
      <c r="B76" s="2" t="s">
        <v>2132</v>
      </c>
      <c r="C76" s="2" t="s">
        <v>2133</v>
      </c>
      <c r="D76" s="2" t="s">
        <v>2342</v>
      </c>
      <c r="E76" s="2" t="s">
        <v>2134</v>
      </c>
      <c r="F76" s="3">
        <v>45678.453356481477</v>
      </c>
      <c r="G76" s="3">
        <v>45679.718935185178</v>
      </c>
      <c r="H76" s="4">
        <v>45681</v>
      </c>
      <c r="I76" s="2" t="s">
        <v>1132</v>
      </c>
      <c r="J76" s="2" t="s">
        <v>22</v>
      </c>
      <c r="K76" s="2">
        <v>1</v>
      </c>
      <c r="L76" s="2">
        <v>2386.02</v>
      </c>
      <c r="M76" s="2">
        <v>2386.02</v>
      </c>
      <c r="N76" s="2">
        <v>2386.02</v>
      </c>
      <c r="O76" s="2">
        <v>2272.41</v>
      </c>
      <c r="P76" s="2">
        <v>113.61</v>
      </c>
      <c r="Q76" s="2">
        <v>2386.02</v>
      </c>
      <c r="R76" s="2" t="s">
        <v>44</v>
      </c>
      <c r="S76" s="2"/>
      <c r="T76" s="2">
        <f t="shared" si="27"/>
        <v>1</v>
      </c>
      <c r="U76" s="18">
        <f t="shared" si="28"/>
        <v>1</v>
      </c>
      <c r="V76" s="18">
        <f t="shared" si="29"/>
        <v>2025</v>
      </c>
      <c r="W76" s="18">
        <f t="shared" si="30"/>
        <v>1</v>
      </c>
      <c r="X76" s="18">
        <f t="shared" si="31"/>
        <v>2025</v>
      </c>
      <c r="Y76" s="2">
        <f t="shared" si="24"/>
        <v>1</v>
      </c>
      <c r="Z76" t="str">
        <f t="shared" si="25"/>
        <v>SO16466</v>
      </c>
      <c r="AA76" s="11">
        <f t="shared" si="32"/>
        <v>45678.453356481477</v>
      </c>
      <c r="AB76" s="5" t="str">
        <f t="shared" si="33"/>
        <v>INV12561</v>
      </c>
      <c r="AC76" s="5" t="str">
        <f>IFERROR(VLOOKUP(D76,CAARStatus!$A$2:$AA$1600,22,FALSE),"Not invoiced")</f>
        <v>Paid</v>
      </c>
      <c r="AD76" s="11">
        <f>IF(AC76="Paid",IFERROR(VLOOKUP(D76,CAARStatus!$A$2:$AA$1600,6,FALSE),"Pending"),"Pending")</f>
        <v>45679</v>
      </c>
      <c r="AE76" s="5" t="str">
        <f t="shared" si="34"/>
        <v>107881</v>
      </c>
      <c r="AF76" s="5" t="str">
        <f t="shared" si="35"/>
        <v>Allen Bearings &amp; Technologies Ltd.</v>
      </c>
      <c r="AG76" s="5" t="str">
        <f t="shared" si="36"/>
        <v>CAD</v>
      </c>
      <c r="AH76" s="5">
        <f t="shared" si="37"/>
        <v>2272.41</v>
      </c>
      <c r="AI76" s="12">
        <f>IF(L76-N76=0,VLOOKUP(U76,rate!A$4:B$15,2,FALSE)*AH76,IF(AG76="USD",O76,AH76*Y76))</f>
        <v>1578.5934823232349</v>
      </c>
      <c r="AJ76" s="13">
        <f t="shared" si="38"/>
        <v>0.69467810928627971</v>
      </c>
      <c r="AK76" s="13">
        <f>-IF(AG76="CAD",IFERROR(VLOOKUP(D76,CAARStatus!$A$1:$Y$1600,16,FALSE),0),0)</f>
        <v>-2272.41</v>
      </c>
      <c r="AL76" s="13">
        <f>-IF(AG76="USD",IFERROR(VLOOKUP(D76,CAARStatus!$A$1:$Y$1600,11,FALSE),0),0)</f>
        <v>0</v>
      </c>
      <c r="AM76" s="22">
        <f t="shared" si="39"/>
        <v>0</v>
      </c>
      <c r="AN76" s="12" t="str">
        <f t="shared" si="40"/>
        <v/>
      </c>
      <c r="AO76" s="12" t="str">
        <f t="shared" si="41"/>
        <v>Yes</v>
      </c>
      <c r="AP76" t="str">
        <f t="shared" si="26"/>
        <v>Yes</v>
      </c>
      <c r="AQ76" t="str">
        <f>IFERROR(VLOOKUP(Z76,InvBal!$L$4:$P$600,4,FALSE),"Pend")</f>
        <v>Pend</v>
      </c>
      <c r="AR76" t="str">
        <f>IFERROR(VLOOKUP(D76,Manual!$C$1:$E$22,2,FALSE),"Pend")</f>
        <v>Pend</v>
      </c>
      <c r="AS76" t="str">
        <f t="shared" si="42"/>
        <v>Yes</v>
      </c>
      <c r="AT76" t="str">
        <f t="shared" si="43"/>
        <v>Yes</v>
      </c>
      <c r="AU76" s="51" t="str">
        <f t="shared" si="44"/>
        <v>Yes</v>
      </c>
      <c r="AV76" s="12">
        <f>IFERROR(VLOOKUP(D76,'Receivable Invoice Detail'!$S$1:$U$3014,3,FALSE),0)</f>
        <v>0</v>
      </c>
      <c r="AW76" s="12">
        <f t="shared" si="45"/>
        <v>1578.5934823232349</v>
      </c>
    </row>
    <row r="77" spans="1:49" ht="30" x14ac:dyDescent="0.25">
      <c r="A77" s="2">
        <v>3</v>
      </c>
      <c r="B77" s="2" t="s">
        <v>2151</v>
      </c>
      <c r="C77" s="2" t="s">
        <v>2152</v>
      </c>
      <c r="D77" s="2" t="s">
        <v>2334</v>
      </c>
      <c r="E77" s="2" t="s">
        <v>6166</v>
      </c>
      <c r="F77" s="3">
        <v>45678.482210648152</v>
      </c>
      <c r="G77" s="3">
        <v>45678.611527777779</v>
      </c>
      <c r="H77" s="4">
        <v>45790</v>
      </c>
      <c r="I77" s="2" t="s">
        <v>1132</v>
      </c>
      <c r="J77" s="2" t="s">
        <v>22</v>
      </c>
      <c r="K77" s="2">
        <v>1</v>
      </c>
      <c r="L77" s="2">
        <v>1078.24</v>
      </c>
      <c r="M77" s="2">
        <v>0</v>
      </c>
      <c r="N77" s="2">
        <v>752.33669631841735</v>
      </c>
      <c r="O77" s="2">
        <v>1026.9000000000001</v>
      </c>
      <c r="P77" s="2">
        <v>51.34</v>
      </c>
      <c r="Q77" s="2">
        <v>1078.24</v>
      </c>
      <c r="R77" s="2" t="s">
        <v>44</v>
      </c>
      <c r="S77" s="2"/>
      <c r="T77" s="2">
        <f t="shared" si="27"/>
        <v>3</v>
      </c>
      <c r="U77" s="18">
        <f t="shared" si="28"/>
        <v>1</v>
      </c>
      <c r="V77" s="18">
        <f t="shared" si="29"/>
        <v>2025</v>
      </c>
      <c r="W77" s="18">
        <f t="shared" si="30"/>
        <v>5</v>
      </c>
      <c r="X77" s="18">
        <f t="shared" si="31"/>
        <v>2025</v>
      </c>
      <c r="Y77" s="2">
        <f t="shared" si="24"/>
        <v>0.69774511826533736</v>
      </c>
      <c r="Z77" t="str">
        <f t="shared" si="25"/>
        <v>SO16467</v>
      </c>
      <c r="AA77" s="11">
        <f t="shared" si="32"/>
        <v>45678.482210648152</v>
      </c>
      <c r="AB77" s="5" t="str">
        <f t="shared" si="33"/>
        <v>INV12954</v>
      </c>
      <c r="AC77" s="5" t="str">
        <f>IFERROR(VLOOKUP(D77,CAARStatus!$A$2:$AA$1600,22,FALSE),"Not invoiced")</f>
        <v>Paid</v>
      </c>
      <c r="AD77" s="11">
        <f>IF(AC77="Paid",IFERROR(VLOOKUP(D77,CAARStatus!$A$2:$AA$1600,6,FALSE),"Pending"),"Pending")</f>
        <v>45784</v>
      </c>
      <c r="AE77" s="5" t="str">
        <f t="shared" si="34"/>
        <v>L63301-DS</v>
      </c>
      <c r="AF77" s="5" t="str">
        <f t="shared" si="35"/>
        <v>Wild Rows Pump &amp; Compression LTD.</v>
      </c>
      <c r="AG77" s="5" t="str">
        <f t="shared" si="36"/>
        <v>CAD</v>
      </c>
      <c r="AH77" s="5">
        <f t="shared" si="37"/>
        <v>1026.9000000000001</v>
      </c>
      <c r="AI77" s="12">
        <f>IF(L77-N77=0,VLOOKUP(U77,rate!A$4:B$15,2,FALSE)*AH77,IF(AG77="USD",O77,AH77*Y77))</f>
        <v>716.51446194667506</v>
      </c>
      <c r="AJ77" s="13">
        <f t="shared" si="38"/>
        <v>0.69774511826533736</v>
      </c>
      <c r="AK77" s="13">
        <f>-IF(AG77="CAD",IFERROR(VLOOKUP(D77,CAARStatus!$A$1:$Y$1600,16,FALSE),0),0)</f>
        <v>-847.02</v>
      </c>
      <c r="AL77" s="13">
        <f>-IF(AG77="USD",IFERROR(VLOOKUP(D77,CAARStatus!$A$1:$Y$1600,11,FALSE),0),0)</f>
        <v>0</v>
      </c>
      <c r="AM77" s="22">
        <f t="shared" si="39"/>
        <v>179.88000000000011</v>
      </c>
      <c r="AN77" s="12" t="str">
        <f t="shared" si="40"/>
        <v/>
      </c>
      <c r="AO77" s="12" t="str">
        <f t="shared" si="41"/>
        <v>Yes</v>
      </c>
      <c r="AP77" t="str">
        <f t="shared" si="26"/>
        <v>XX</v>
      </c>
      <c r="AQ77" t="str">
        <f>IFERROR(VLOOKUP(Z77,InvBal!$L$4:$P$600,4,FALSE),"Pend")</f>
        <v>Yes</v>
      </c>
      <c r="AR77" t="str">
        <f>IFERROR(VLOOKUP(D77,Manual!$C$1:$E$22,2,FALSE),"Pend")</f>
        <v>Pend</v>
      </c>
      <c r="AS77" t="str">
        <f t="shared" si="42"/>
        <v>Yes</v>
      </c>
      <c r="AT77" t="str">
        <f t="shared" si="43"/>
        <v>Yes</v>
      </c>
      <c r="AU77" s="51" t="str">
        <f t="shared" si="44"/>
        <v>Yes</v>
      </c>
      <c r="AV77" s="12">
        <f>IFERROR(VLOOKUP(D77,'Receivable Invoice Detail'!$S$1:$U$3014,3,FALSE),0)</f>
        <v>0</v>
      </c>
      <c r="AW77" s="12">
        <f t="shared" si="45"/>
        <v>716.51446194667506</v>
      </c>
    </row>
    <row r="78" spans="1:49" x14ac:dyDescent="0.25">
      <c r="A78" s="2"/>
      <c r="B78" s="2"/>
      <c r="C78" s="2"/>
      <c r="D78" s="2" t="s">
        <v>2333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>
        <f t="shared" si="27"/>
        <v>3</v>
      </c>
      <c r="U78" s="18">
        <f t="shared" si="28"/>
        <v>1</v>
      </c>
      <c r="V78" s="18">
        <f t="shared" si="29"/>
        <v>2025</v>
      </c>
      <c r="W78" s="18">
        <f t="shared" si="30"/>
        <v>1</v>
      </c>
      <c r="X78" s="18">
        <f t="shared" si="31"/>
        <v>2025</v>
      </c>
      <c r="Y78" s="2">
        <f t="shared" si="24"/>
        <v>0.69774511826533736</v>
      </c>
      <c r="Z78" t="str">
        <f t="shared" si="25"/>
        <v>SO16467</v>
      </c>
      <c r="AA78" s="11">
        <f t="shared" si="32"/>
        <v>45678.482210648152</v>
      </c>
      <c r="AB78" s="5" t="str">
        <f t="shared" si="33"/>
        <v>INV12582</v>
      </c>
      <c r="AC78" s="5" t="str">
        <f>IFERROR(VLOOKUP(D78,CAARStatus!$A$2:$AA$1600,22,FALSE),"Not invoiced")</f>
        <v>Paid</v>
      </c>
      <c r="AD78" s="11">
        <f>IF(AC78="Paid",IFERROR(VLOOKUP(D78,CAARStatus!$A$2:$AA$1600,6,FALSE),"Pending"),"Pending")</f>
        <v>45687</v>
      </c>
      <c r="AE78" s="5" t="str">
        <f t="shared" si="34"/>
        <v>L63301-DS</v>
      </c>
      <c r="AF78" s="5" t="str">
        <f t="shared" si="35"/>
        <v>Wild Rows Pump &amp; Compression LTD.</v>
      </c>
      <c r="AG78" s="5" t="str">
        <f t="shared" si="36"/>
        <v>CAD</v>
      </c>
      <c r="AH78" s="5">
        <f t="shared" si="37"/>
        <v>0</v>
      </c>
      <c r="AI78" s="12">
        <f>IF(L78-N78=0,VLOOKUP(U78,rate!A$4:B$15,2,FALSE)*AH78,IF(AG78="USD",O78,AH78*Y78))</f>
        <v>0</v>
      </c>
      <c r="AJ78" s="13">
        <f t="shared" si="38"/>
        <v>0</v>
      </c>
      <c r="AK78" s="13">
        <f>-IF(AG78="CAD",IFERROR(VLOOKUP(D78,CAARStatus!$A$1:$Y$1600,16,FALSE),0),0)</f>
        <v>-50</v>
      </c>
      <c r="AL78" s="13">
        <f>-IF(AG78="USD",IFERROR(VLOOKUP(D78,CAARStatus!$A$1:$Y$1600,11,FALSE),0),0)</f>
        <v>0</v>
      </c>
      <c r="AM78" s="22">
        <f t="shared" si="39"/>
        <v>-50</v>
      </c>
      <c r="AN78" s="12" t="str">
        <f t="shared" si="40"/>
        <v/>
      </c>
      <c r="AO78" s="12" t="str">
        <f t="shared" si="41"/>
        <v>Yes</v>
      </c>
      <c r="AP78" t="str">
        <f t="shared" si="26"/>
        <v>XX</v>
      </c>
      <c r="AQ78" t="str">
        <f>IFERROR(VLOOKUP(Z78,InvBal!$L$4:$P$600,4,FALSE),"Pend")</f>
        <v>Yes</v>
      </c>
      <c r="AR78" t="str">
        <f>IFERROR(VLOOKUP(D78,Manual!$C$1:$E$22,2,FALSE),"Pend")</f>
        <v>Pend</v>
      </c>
      <c r="AS78" t="str">
        <f t="shared" si="42"/>
        <v>Yes</v>
      </c>
      <c r="AT78" t="str">
        <f t="shared" si="43"/>
        <v/>
      </c>
      <c r="AU78" s="51" t="str">
        <f t="shared" si="44"/>
        <v/>
      </c>
      <c r="AV78" s="12">
        <f>IFERROR(VLOOKUP(D78,'Receivable Invoice Detail'!$S$1:$U$3014,3,FALSE),0)</f>
        <v>0</v>
      </c>
      <c r="AW78" s="12">
        <f t="shared" si="45"/>
        <v>0</v>
      </c>
    </row>
    <row r="79" spans="1:49" x14ac:dyDescent="0.25">
      <c r="A79" s="2"/>
      <c r="B79" s="2"/>
      <c r="C79" s="2"/>
      <c r="D79" s="2" t="s">
        <v>2332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f t="shared" si="27"/>
        <v>3</v>
      </c>
      <c r="U79" s="18">
        <f t="shared" si="28"/>
        <v>1</v>
      </c>
      <c r="V79" s="18">
        <f t="shared" si="29"/>
        <v>2025</v>
      </c>
      <c r="W79" s="18">
        <f t="shared" si="30"/>
        <v>1</v>
      </c>
      <c r="X79" s="18">
        <f t="shared" si="31"/>
        <v>2025</v>
      </c>
      <c r="Y79" s="2">
        <f t="shared" si="24"/>
        <v>0.69774511826533736</v>
      </c>
      <c r="Z79" t="str">
        <f t="shared" si="25"/>
        <v>SO16467</v>
      </c>
      <c r="AA79" s="11">
        <f t="shared" si="32"/>
        <v>45678.482210648152</v>
      </c>
      <c r="AB79" s="5" t="str">
        <f t="shared" si="33"/>
        <v>INV12585</v>
      </c>
      <c r="AC79" s="5" t="str">
        <f>IFERROR(VLOOKUP(D79,CAARStatus!$A$2:$AA$1600,22,FALSE),"Not invoiced")</f>
        <v>Paid</v>
      </c>
      <c r="AD79" s="11">
        <f>IF(AC79="Paid",IFERROR(VLOOKUP(D79,CAARStatus!$A$2:$AA$1600,6,FALSE),"Pending"),"Pending")</f>
        <v>45687</v>
      </c>
      <c r="AE79" s="5" t="str">
        <f t="shared" si="34"/>
        <v>L63301-DS</v>
      </c>
      <c r="AF79" s="5" t="str">
        <f t="shared" si="35"/>
        <v>Wild Rows Pump &amp; Compression LTD.</v>
      </c>
      <c r="AG79" s="5" t="str">
        <f t="shared" si="36"/>
        <v>CAD</v>
      </c>
      <c r="AH79" s="5">
        <f t="shared" si="37"/>
        <v>0</v>
      </c>
      <c r="AI79" s="12">
        <f>IF(L79-N79=0,VLOOKUP(U79,rate!A$4:B$15,2,FALSE)*AH79,IF(AG79="USD",O79,AH79*Y79))</f>
        <v>0</v>
      </c>
      <c r="AJ79" s="13">
        <f t="shared" si="38"/>
        <v>0</v>
      </c>
      <c r="AK79" s="13">
        <f>-IF(AG79="CAD",IFERROR(VLOOKUP(D79,CAARStatus!$A$1:$Y$1600,16,FALSE),0),0)</f>
        <v>-129.88</v>
      </c>
      <c r="AL79" s="13">
        <f>-IF(AG79="USD",IFERROR(VLOOKUP(D79,CAARStatus!$A$1:$Y$1600,11,FALSE),0),0)</f>
        <v>0</v>
      </c>
      <c r="AM79" s="22">
        <f t="shared" si="39"/>
        <v>-129.88</v>
      </c>
      <c r="AN79" s="12" t="str">
        <f t="shared" si="40"/>
        <v/>
      </c>
      <c r="AO79" s="12" t="str">
        <f t="shared" si="41"/>
        <v>Yes</v>
      </c>
      <c r="AP79" t="str">
        <f t="shared" si="26"/>
        <v>XX</v>
      </c>
      <c r="AQ79" t="str">
        <f>IFERROR(VLOOKUP(Z79,InvBal!$L$4:$P$600,4,FALSE),"Pend")</f>
        <v>Yes</v>
      </c>
      <c r="AR79" t="str">
        <f>IFERROR(VLOOKUP(D79,Manual!$C$1:$E$22,2,FALSE),"Pend")</f>
        <v>Pend</v>
      </c>
      <c r="AS79" t="str">
        <f t="shared" si="42"/>
        <v>Yes</v>
      </c>
      <c r="AT79" t="str">
        <f t="shared" si="43"/>
        <v/>
      </c>
      <c r="AU79" s="51" t="str">
        <f t="shared" si="44"/>
        <v/>
      </c>
      <c r="AV79" s="12">
        <f>IFERROR(VLOOKUP(D79,'Receivable Invoice Detail'!$S$1:$U$3014,3,FALSE),0)</f>
        <v>0</v>
      </c>
      <c r="AW79" s="12">
        <f t="shared" si="45"/>
        <v>0</v>
      </c>
    </row>
    <row r="80" spans="1:49" ht="30" x14ac:dyDescent="0.25">
      <c r="A80" s="2">
        <v>2</v>
      </c>
      <c r="B80" s="2" t="s">
        <v>2153</v>
      </c>
      <c r="C80" s="2" t="s">
        <v>2154</v>
      </c>
      <c r="D80" s="2" t="s">
        <v>2331</v>
      </c>
      <c r="E80" s="2" t="s">
        <v>20</v>
      </c>
      <c r="F80" s="3">
        <v>45678.533587962957</v>
      </c>
      <c r="G80" s="3">
        <v>45678.538969907408</v>
      </c>
      <c r="H80" s="4">
        <v>45754</v>
      </c>
      <c r="I80" s="2" t="s">
        <v>21</v>
      </c>
      <c r="J80" s="2" t="s">
        <v>22</v>
      </c>
      <c r="K80" s="2">
        <v>1</v>
      </c>
      <c r="L80" s="2">
        <v>2068.0100000000002</v>
      </c>
      <c r="M80" s="2">
        <v>0</v>
      </c>
      <c r="N80" s="2">
        <v>1442.9438820239</v>
      </c>
      <c r="O80" s="2">
        <v>1969.52</v>
      </c>
      <c r="P80" s="2">
        <v>98.49</v>
      </c>
      <c r="Q80" s="2">
        <v>2068.0100000000002</v>
      </c>
      <c r="R80" s="2" t="s">
        <v>44</v>
      </c>
      <c r="S80" s="2"/>
      <c r="T80" s="2">
        <f t="shared" si="27"/>
        <v>2</v>
      </c>
      <c r="U80" s="18">
        <f t="shared" si="28"/>
        <v>1</v>
      </c>
      <c r="V80" s="18">
        <f t="shared" si="29"/>
        <v>2025</v>
      </c>
      <c r="W80" s="18">
        <f t="shared" si="30"/>
        <v>3</v>
      </c>
      <c r="X80" s="18">
        <f t="shared" si="31"/>
        <v>2025</v>
      </c>
      <c r="Y80" s="2">
        <f t="shared" si="24"/>
        <v>0.69774511826533714</v>
      </c>
      <c r="Z80" t="str">
        <f t="shared" si="25"/>
        <v>SO16470</v>
      </c>
      <c r="AA80" s="11">
        <f t="shared" si="32"/>
        <v>45678.533587962957</v>
      </c>
      <c r="AB80" s="5" t="str">
        <f t="shared" si="33"/>
        <v>INV12549</v>
      </c>
      <c r="AC80" s="5" t="str">
        <f>IFERROR(VLOOKUP(D80,CAARStatus!$A$2:$AA$1600,22,FALSE),"Not invoiced")</f>
        <v>Paid</v>
      </c>
      <c r="AD80" s="11">
        <f>IF(AC80="Paid",IFERROR(VLOOKUP(D80,CAARStatus!$A$2:$AA$1600,6,FALSE),"Pending"),"Pending")</f>
        <v>45737</v>
      </c>
      <c r="AE80" s="5" t="str">
        <f t="shared" si="34"/>
        <v>4500574503</v>
      </c>
      <c r="AF80" s="5" t="str">
        <f t="shared" si="35"/>
        <v>Resolute Forest Products - Saint-Felicien</v>
      </c>
      <c r="AG80" s="5" t="str">
        <f t="shared" si="36"/>
        <v>CAD</v>
      </c>
      <c r="AH80" s="5">
        <f t="shared" si="37"/>
        <v>1969.52</v>
      </c>
      <c r="AI80" s="12">
        <f>IF(L80-N80=0,VLOOKUP(U80,rate!A$4:B$15,2,FALSE)*AH80,IF(AG80="USD",O80,AH80*Y80))</f>
        <v>1374.2229653259467</v>
      </c>
      <c r="AJ80" s="13">
        <f t="shared" si="38"/>
        <v>0.69774511826533714</v>
      </c>
      <c r="AK80" s="13">
        <f>-IF(AG80="CAD",IFERROR(VLOOKUP(D80,CAARStatus!$A$1:$Y$1600,16,FALSE),0),0)</f>
        <v>-784.42</v>
      </c>
      <c r="AL80" s="13">
        <f>-IF(AG80="USD",IFERROR(VLOOKUP(D80,CAARStatus!$A$1:$Y$1600,11,FALSE),0),0)</f>
        <v>0</v>
      </c>
      <c r="AM80" s="22">
        <f t="shared" si="39"/>
        <v>1185.0999999999999</v>
      </c>
      <c r="AN80" s="12" t="str">
        <f t="shared" si="40"/>
        <v/>
      </c>
      <c r="AO80" s="12" t="str">
        <f t="shared" si="41"/>
        <v>Yes</v>
      </c>
      <c r="AP80" t="str">
        <f t="shared" si="26"/>
        <v>XX</v>
      </c>
      <c r="AQ80" t="str">
        <f>IFERROR(VLOOKUP(Z80,InvBal!$L$4:$P$600,4,FALSE),"Pend")</f>
        <v>Yes</v>
      </c>
      <c r="AR80" t="str">
        <f>IFERROR(VLOOKUP(D80,Manual!$C$1:$E$22,2,FALSE),"Pend")</f>
        <v>Pend</v>
      </c>
      <c r="AS80" t="str">
        <f t="shared" si="42"/>
        <v>Yes</v>
      </c>
      <c r="AT80" t="str">
        <f t="shared" si="43"/>
        <v>Yes</v>
      </c>
      <c r="AU80" s="51" t="str">
        <f t="shared" si="44"/>
        <v>Yes</v>
      </c>
      <c r="AV80" s="12">
        <f>IFERROR(VLOOKUP(D80,'Receivable Invoice Detail'!$S$1:$U$3014,3,FALSE),0)</f>
        <v>0</v>
      </c>
      <c r="AW80" s="12">
        <f t="shared" si="45"/>
        <v>1374.2229653259467</v>
      </c>
    </row>
    <row r="81" spans="1:49" x14ac:dyDescent="0.25">
      <c r="A81" s="2"/>
      <c r="B81" s="2"/>
      <c r="C81" s="2"/>
      <c r="D81" s="2" t="s">
        <v>2330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>
        <f t="shared" si="27"/>
        <v>2</v>
      </c>
      <c r="U81" s="18">
        <f t="shared" si="28"/>
        <v>1</v>
      </c>
      <c r="V81" s="18">
        <f t="shared" si="29"/>
        <v>2025</v>
      </c>
      <c r="W81" s="18">
        <f t="shared" si="30"/>
        <v>5</v>
      </c>
      <c r="X81" s="18">
        <f t="shared" si="31"/>
        <v>2025</v>
      </c>
      <c r="Y81" s="2">
        <f t="shared" si="24"/>
        <v>0.69774511826533714</v>
      </c>
      <c r="Z81" t="str">
        <f t="shared" si="25"/>
        <v>SO16470</v>
      </c>
      <c r="AA81" s="11">
        <f t="shared" si="32"/>
        <v>45678.533587962957</v>
      </c>
      <c r="AB81" s="5" t="str">
        <f t="shared" si="33"/>
        <v>INV12697</v>
      </c>
      <c r="AC81" s="5" t="str">
        <f>IFERROR(VLOOKUP(D81,CAARStatus!$A$2:$AA$1600,22,FALSE),"Not invoiced")</f>
        <v>Paid</v>
      </c>
      <c r="AD81" s="11">
        <f>IF(AC81="Paid",IFERROR(VLOOKUP(D81,CAARStatus!$A$2:$AA$1600,6,FALSE),"Pending"),"Pending")</f>
        <v>45779</v>
      </c>
      <c r="AE81" s="5" t="str">
        <f t="shared" si="34"/>
        <v>4500574503</v>
      </c>
      <c r="AF81" s="5" t="str">
        <f t="shared" si="35"/>
        <v>Resolute Forest Products - Saint-Felicien</v>
      </c>
      <c r="AG81" s="5" t="str">
        <f t="shared" si="36"/>
        <v>CAD</v>
      </c>
      <c r="AH81" s="5">
        <f t="shared" si="37"/>
        <v>0</v>
      </c>
      <c r="AI81" s="12">
        <f>IF(L81-N81=0,VLOOKUP(U81,rate!A$4:B$15,2,FALSE)*AH81,IF(AG81="USD",O81,AH81*Y81))</f>
        <v>0</v>
      </c>
      <c r="AJ81" s="13">
        <f t="shared" si="38"/>
        <v>0</v>
      </c>
      <c r="AK81" s="13">
        <f>-IF(AG81="CAD",IFERROR(VLOOKUP(D81,CAARStatus!$A$1:$Y$1600,16,FALSE),0),0)</f>
        <v>-1185.0999999999999</v>
      </c>
      <c r="AL81" s="13">
        <f>-IF(AG81="USD",IFERROR(VLOOKUP(D81,CAARStatus!$A$1:$Y$1600,11,FALSE),0),0)</f>
        <v>0</v>
      </c>
      <c r="AM81" s="22">
        <f t="shared" si="39"/>
        <v>-1185.0999999999999</v>
      </c>
      <c r="AN81" s="12" t="str">
        <f t="shared" si="40"/>
        <v/>
      </c>
      <c r="AO81" s="12" t="str">
        <f t="shared" si="41"/>
        <v>Yes</v>
      </c>
      <c r="AP81" t="str">
        <f t="shared" si="26"/>
        <v>XX</v>
      </c>
      <c r="AQ81" t="str">
        <f>IFERROR(VLOOKUP(Z81,InvBal!$L$4:$P$600,4,FALSE),"Pend")</f>
        <v>Yes</v>
      </c>
      <c r="AR81" t="str">
        <f>IFERROR(VLOOKUP(D81,Manual!$C$1:$E$22,2,FALSE),"Pend")</f>
        <v>Pend</v>
      </c>
      <c r="AS81" t="str">
        <f t="shared" si="42"/>
        <v>Yes</v>
      </c>
      <c r="AT81" t="str">
        <f t="shared" si="43"/>
        <v/>
      </c>
      <c r="AU81" s="51" t="str">
        <f t="shared" si="44"/>
        <v/>
      </c>
      <c r="AV81" s="12">
        <f>IFERROR(VLOOKUP(D81,'Receivable Invoice Detail'!$S$1:$U$3014,3,FALSE),0)</f>
        <v>0</v>
      </c>
      <c r="AW81" s="12">
        <f t="shared" si="45"/>
        <v>0</v>
      </c>
    </row>
    <row r="82" spans="1:49" ht="30" x14ac:dyDescent="0.25">
      <c r="A82" s="2">
        <v>1</v>
      </c>
      <c r="B82" s="2" t="s">
        <v>2149</v>
      </c>
      <c r="C82" s="2" t="s">
        <v>2150</v>
      </c>
      <c r="D82" s="2" t="s">
        <v>2335</v>
      </c>
      <c r="E82" s="2" t="s">
        <v>98</v>
      </c>
      <c r="F82" s="3">
        <v>45678.617488425924</v>
      </c>
      <c r="G82" s="3">
        <v>45678.618668981479</v>
      </c>
      <c r="H82" s="4">
        <v>45679</v>
      </c>
      <c r="I82" s="2" t="s">
        <v>1132</v>
      </c>
      <c r="J82" s="2" t="s">
        <v>22</v>
      </c>
      <c r="K82" s="2">
        <v>1</v>
      </c>
      <c r="L82" s="2">
        <v>140.76</v>
      </c>
      <c r="M82" s="2">
        <v>0</v>
      </c>
      <c r="N82" s="2">
        <v>98.214602847028885</v>
      </c>
      <c r="O82" s="2">
        <v>124.57</v>
      </c>
      <c r="P82" s="2">
        <v>16.190000000000001</v>
      </c>
      <c r="Q82" s="2">
        <v>140.76</v>
      </c>
      <c r="R82" s="2" t="s">
        <v>44</v>
      </c>
      <c r="S82" s="2"/>
      <c r="T82" s="2">
        <f t="shared" si="27"/>
        <v>1</v>
      </c>
      <c r="U82" s="18">
        <f t="shared" si="28"/>
        <v>1</v>
      </c>
      <c r="V82" s="18">
        <f t="shared" si="29"/>
        <v>2025</v>
      </c>
      <c r="W82" s="18">
        <f t="shared" si="30"/>
        <v>2</v>
      </c>
      <c r="X82" s="18">
        <f t="shared" si="31"/>
        <v>2025</v>
      </c>
      <c r="Y82" s="2">
        <f t="shared" si="24"/>
        <v>0.69774511826533736</v>
      </c>
      <c r="Z82" t="str">
        <f t="shared" si="25"/>
        <v>SO16471</v>
      </c>
      <c r="AA82" s="11">
        <f t="shared" si="32"/>
        <v>45678.617488425924</v>
      </c>
      <c r="AB82" s="5" t="str">
        <f t="shared" si="33"/>
        <v>INV12593</v>
      </c>
      <c r="AC82" s="5" t="str">
        <f>IFERROR(VLOOKUP(D82,CAARStatus!$A$2:$AA$1600,22,FALSE),"Not invoiced")</f>
        <v>Paid</v>
      </c>
      <c r="AD82" s="11">
        <f>IF(AC82="Paid",IFERROR(VLOOKUP(D82,CAARStatus!$A$2:$AA$1600,6,FALSE),"Pending"),"Pending")</f>
        <v>45707</v>
      </c>
      <c r="AE82" s="5" t="str">
        <f t="shared" si="34"/>
        <v>007693</v>
      </c>
      <c r="AF82" s="5" t="str">
        <f t="shared" si="35"/>
        <v>Sling-Choker Manufacturing - Timmins</v>
      </c>
      <c r="AG82" s="5" t="str">
        <f t="shared" si="36"/>
        <v>CAD</v>
      </c>
      <c r="AH82" s="5">
        <f t="shared" si="37"/>
        <v>124.57</v>
      </c>
      <c r="AI82" s="12">
        <f>IF(L82-N82=0,VLOOKUP(U82,rate!A$4:B$15,2,FALSE)*AH82,IF(AG82="USD",O82,AH82*Y82))</f>
        <v>86.918109382313077</v>
      </c>
      <c r="AJ82" s="13">
        <f t="shared" si="38"/>
        <v>0.69774511826533736</v>
      </c>
      <c r="AK82" s="13">
        <f>-IF(AG82="CAD",IFERROR(VLOOKUP(D82,CAARStatus!$A$1:$Y$1600,16,FALSE),0),0)</f>
        <v>-124.57</v>
      </c>
      <c r="AL82" s="13">
        <f>-IF(AG82="USD",IFERROR(VLOOKUP(D82,CAARStatus!$A$1:$Y$1600,11,FALSE),0),0)</f>
        <v>0</v>
      </c>
      <c r="AM82" s="22">
        <f t="shared" si="39"/>
        <v>0</v>
      </c>
      <c r="AN82" s="12" t="str">
        <f t="shared" si="40"/>
        <v/>
      </c>
      <c r="AO82" s="12" t="str">
        <f t="shared" si="41"/>
        <v>Yes</v>
      </c>
      <c r="AP82" t="str">
        <f t="shared" si="26"/>
        <v>Yes</v>
      </c>
      <c r="AQ82" t="str">
        <f>IFERROR(VLOOKUP(Z82,InvBal!$L$4:$P$600,4,FALSE),"Pend")</f>
        <v>Pend</v>
      </c>
      <c r="AR82" t="str">
        <f>IFERROR(VLOOKUP(D82,Manual!$C$1:$E$22,2,FALSE),"Pend")</f>
        <v>Pend</v>
      </c>
      <c r="AS82" t="str">
        <f t="shared" si="42"/>
        <v>Yes</v>
      </c>
      <c r="AT82" t="str">
        <f t="shared" si="43"/>
        <v>Yes</v>
      </c>
      <c r="AU82" s="51" t="str">
        <f t="shared" si="44"/>
        <v>Yes</v>
      </c>
      <c r="AV82" s="12">
        <f>IFERROR(VLOOKUP(D82,'Receivable Invoice Detail'!$S$1:$U$3014,3,FALSE),0)</f>
        <v>0</v>
      </c>
      <c r="AW82" s="12">
        <f t="shared" si="45"/>
        <v>86.918109382313077</v>
      </c>
    </row>
    <row r="83" spans="1:49" ht="45" x14ac:dyDescent="0.25">
      <c r="A83" s="2">
        <v>1</v>
      </c>
      <c r="B83" s="2" t="s">
        <v>2139</v>
      </c>
      <c r="C83" s="2" t="s">
        <v>2140</v>
      </c>
      <c r="D83" s="2" t="s">
        <v>2339</v>
      </c>
      <c r="E83" s="2" t="s">
        <v>2141</v>
      </c>
      <c r="F83" s="3">
        <v>45679.438518518517</v>
      </c>
      <c r="G83" s="3">
        <v>45679.525219907409</v>
      </c>
      <c r="H83" s="4">
        <v>45680</v>
      </c>
      <c r="I83" s="2" t="s">
        <v>21</v>
      </c>
      <c r="J83" s="2" t="s">
        <v>22</v>
      </c>
      <c r="K83" s="2">
        <v>1</v>
      </c>
      <c r="L83" s="2">
        <v>720.84</v>
      </c>
      <c r="M83" s="2">
        <v>720.84</v>
      </c>
      <c r="N83" s="2">
        <v>720.84</v>
      </c>
      <c r="O83" s="2">
        <v>637.91</v>
      </c>
      <c r="P83" s="2">
        <v>82.93</v>
      </c>
      <c r="Q83" s="2">
        <v>720.84</v>
      </c>
      <c r="R83" s="2" t="s">
        <v>44</v>
      </c>
      <c r="S83" s="2"/>
      <c r="T83" s="2">
        <f t="shared" si="27"/>
        <v>1</v>
      </c>
      <c r="U83" s="18">
        <f t="shared" si="28"/>
        <v>1</v>
      </c>
      <c r="V83" s="18">
        <f t="shared" si="29"/>
        <v>2025</v>
      </c>
      <c r="W83" s="18">
        <f t="shared" si="30"/>
        <v>2</v>
      </c>
      <c r="X83" s="18">
        <f t="shared" si="31"/>
        <v>2025</v>
      </c>
      <c r="Y83" s="2">
        <f t="shared" si="24"/>
        <v>1</v>
      </c>
      <c r="Z83" t="str">
        <f t="shared" si="25"/>
        <v>SO16474</v>
      </c>
      <c r="AA83" s="11">
        <f t="shared" si="32"/>
        <v>45679.438518518517</v>
      </c>
      <c r="AB83" s="5" t="str">
        <f t="shared" si="33"/>
        <v>INV12562</v>
      </c>
      <c r="AC83" s="5" t="str">
        <f>IFERROR(VLOOKUP(D83,CAARStatus!$A$2:$AA$1600,22,FALSE),"Not invoiced")</f>
        <v>Paid</v>
      </c>
      <c r="AD83" s="11">
        <f>IF(AC83="Paid",IFERROR(VLOOKUP(D83,CAARStatus!$A$2:$AA$1600,6,FALSE),"Pending"),"Pending")</f>
        <v>45709</v>
      </c>
      <c r="AE83" s="5" t="str">
        <f t="shared" si="34"/>
        <v>MB21-00186138</v>
      </c>
      <c r="AF83" s="5" t="str">
        <f t="shared" si="35"/>
        <v>Motion Industries Inc. (Canada) - Winnipeg, Motion Industries Inc. (Canada) - Winnipeg</v>
      </c>
      <c r="AG83" s="5" t="str">
        <f t="shared" si="36"/>
        <v>CAD</v>
      </c>
      <c r="AH83" s="5">
        <f t="shared" si="37"/>
        <v>637.91</v>
      </c>
      <c r="AI83" s="12">
        <f>IF(L83-N83=0,VLOOKUP(U83,rate!A$4:B$15,2,FALSE)*AH83,IF(AG83="USD",O83,AH83*Y83))</f>
        <v>443.14211269481069</v>
      </c>
      <c r="AJ83" s="13">
        <f t="shared" si="38"/>
        <v>0.69467810928627971</v>
      </c>
      <c r="AK83" s="13">
        <f>-IF(AG83="CAD",IFERROR(VLOOKUP(D83,CAARStatus!$A$1:$Y$1600,16,FALSE),0),0)</f>
        <v>-637.91</v>
      </c>
      <c r="AL83" s="13">
        <f>-IF(AG83="USD",IFERROR(VLOOKUP(D83,CAARStatus!$A$1:$Y$1600,11,FALSE),0),0)</f>
        <v>0</v>
      </c>
      <c r="AM83" s="22">
        <f t="shared" si="39"/>
        <v>0</v>
      </c>
      <c r="AN83" s="12" t="str">
        <f t="shared" si="40"/>
        <v/>
      </c>
      <c r="AO83" s="12" t="str">
        <f t="shared" si="41"/>
        <v>Yes</v>
      </c>
      <c r="AP83" t="str">
        <f t="shared" si="26"/>
        <v>Yes</v>
      </c>
      <c r="AQ83" t="str">
        <f>IFERROR(VLOOKUP(Z83,InvBal!$L$4:$P$600,4,FALSE),"Pend")</f>
        <v>Pend</v>
      </c>
      <c r="AR83" t="str">
        <f>IFERROR(VLOOKUP(D83,Manual!$C$1:$E$22,2,FALSE),"Pend")</f>
        <v>Pend</v>
      </c>
      <c r="AS83" t="str">
        <f t="shared" si="42"/>
        <v>Yes</v>
      </c>
      <c r="AT83" t="str">
        <f t="shared" si="43"/>
        <v>Yes</v>
      </c>
      <c r="AU83" s="51" t="str">
        <f t="shared" si="44"/>
        <v>Yes</v>
      </c>
      <c r="AV83" s="12">
        <f>IFERROR(VLOOKUP(D83,'Receivable Invoice Detail'!$S$1:$U$3014,3,FALSE),0)</f>
        <v>0</v>
      </c>
      <c r="AW83" s="12">
        <f t="shared" si="45"/>
        <v>443.14211269481069</v>
      </c>
    </row>
    <row r="84" spans="1:49" ht="30" x14ac:dyDescent="0.25">
      <c r="A84" s="2">
        <v>1</v>
      </c>
      <c r="B84" s="2" t="s">
        <v>2137</v>
      </c>
      <c r="C84" s="2" t="s">
        <v>2138</v>
      </c>
      <c r="D84" s="2" t="s">
        <v>2340</v>
      </c>
      <c r="E84" s="2" t="s">
        <v>86</v>
      </c>
      <c r="F84" s="3">
        <v>45679.443865740737</v>
      </c>
      <c r="G84" s="3">
        <v>45679.584548611107</v>
      </c>
      <c r="H84" s="4">
        <v>45749</v>
      </c>
      <c r="I84" s="2" t="s">
        <v>21</v>
      </c>
      <c r="J84" s="2" t="s">
        <v>22</v>
      </c>
      <c r="K84" s="2">
        <v>1</v>
      </c>
      <c r="L84" s="2">
        <v>5362.74</v>
      </c>
      <c r="M84" s="2">
        <v>5362.74</v>
      </c>
      <c r="N84" s="2">
        <v>5362.74</v>
      </c>
      <c r="O84" s="2">
        <v>5107.37</v>
      </c>
      <c r="P84" s="2">
        <v>255.37</v>
      </c>
      <c r="Q84" s="2">
        <v>5362.74</v>
      </c>
      <c r="R84" s="2" t="s">
        <v>44</v>
      </c>
      <c r="S84" s="2"/>
      <c r="T84" s="2">
        <f t="shared" si="27"/>
        <v>1</v>
      </c>
      <c r="U84" s="18">
        <f t="shared" si="28"/>
        <v>1</v>
      </c>
      <c r="V84" s="18">
        <f t="shared" si="29"/>
        <v>2025</v>
      </c>
      <c r="W84" s="18">
        <f t="shared" si="30"/>
        <v>4</v>
      </c>
      <c r="X84" s="18">
        <f t="shared" si="31"/>
        <v>2025</v>
      </c>
      <c r="Y84" s="2">
        <f t="shared" si="24"/>
        <v>1</v>
      </c>
      <c r="Z84" t="str">
        <f t="shared" si="25"/>
        <v>SO16475</v>
      </c>
      <c r="AA84" s="11">
        <f t="shared" si="32"/>
        <v>45679.443865740737</v>
      </c>
      <c r="AB84" s="5" t="str">
        <f t="shared" si="33"/>
        <v>INV12776</v>
      </c>
      <c r="AC84" s="5" t="str">
        <f>IFERROR(VLOOKUP(D84,CAARStatus!$A$2:$AA$1600,22,FALSE),"Not invoiced")</f>
        <v>Paid</v>
      </c>
      <c r="AD84" s="11">
        <f>IF(AC84="Paid",IFERROR(VLOOKUP(D84,CAARStatus!$A$2:$AA$1600,6,FALSE),"Pending"),"Pending")</f>
        <v>45771</v>
      </c>
      <c r="AE84" s="5" t="str">
        <f t="shared" si="34"/>
        <v>MB21-00186141</v>
      </c>
      <c r="AF84" s="5" t="str">
        <f t="shared" si="35"/>
        <v>Motion Industries Inc. (Canada) - Winnipeg</v>
      </c>
      <c r="AG84" s="5" t="str">
        <f t="shared" si="36"/>
        <v>CAD</v>
      </c>
      <c r="AH84" s="5">
        <f t="shared" si="37"/>
        <v>5107.37</v>
      </c>
      <c r="AI84" s="12">
        <f>IF(L84-N84=0,VLOOKUP(U84,rate!A$4:B$15,2,FALSE)*AH84,IF(AG84="USD",O84,AH84*Y84))</f>
        <v>3547.9781350254661</v>
      </c>
      <c r="AJ84" s="13">
        <f t="shared" si="38"/>
        <v>0.69467810928627971</v>
      </c>
      <c r="AK84" s="13">
        <f>-IF(AG84="CAD",IFERROR(VLOOKUP(D84,CAARStatus!$A$1:$Y$1600,16,FALSE),0),0)</f>
        <v>-5107.37</v>
      </c>
      <c r="AL84" s="13">
        <f>-IF(AG84="USD",IFERROR(VLOOKUP(D84,CAARStatus!$A$1:$Y$1600,11,FALSE),0),0)</f>
        <v>0</v>
      </c>
      <c r="AM84" s="22">
        <f t="shared" si="39"/>
        <v>0</v>
      </c>
      <c r="AN84" s="12" t="str">
        <f t="shared" si="40"/>
        <v/>
      </c>
      <c r="AO84" s="12" t="str">
        <f t="shared" si="41"/>
        <v>Yes</v>
      </c>
      <c r="AP84" t="str">
        <f t="shared" si="26"/>
        <v>Yes</v>
      </c>
      <c r="AQ84" t="str">
        <f>IFERROR(VLOOKUP(Z84,InvBal!$L$4:$P$600,4,FALSE),"Pend")</f>
        <v>Pend</v>
      </c>
      <c r="AR84" t="str">
        <f>IFERROR(VLOOKUP(D84,Manual!$C$1:$E$22,2,FALSE),"Pend")</f>
        <v>Pend</v>
      </c>
      <c r="AS84" t="str">
        <f t="shared" si="42"/>
        <v>Yes</v>
      </c>
      <c r="AT84" t="str">
        <f t="shared" si="43"/>
        <v>Yes</v>
      </c>
      <c r="AU84" s="51" t="str">
        <f t="shared" si="44"/>
        <v>Yes</v>
      </c>
      <c r="AV84" s="12">
        <f>IFERROR(VLOOKUP(D84,'Receivable Invoice Detail'!$S$1:$U$3014,3,FALSE),0)</f>
        <v>0</v>
      </c>
      <c r="AW84" s="12">
        <f t="shared" si="45"/>
        <v>3547.9781350254661</v>
      </c>
    </row>
    <row r="85" spans="1:49" x14ac:dyDescent="0.25">
      <c r="A85" s="2">
        <v>2</v>
      </c>
      <c r="B85" s="2" t="s">
        <v>2104</v>
      </c>
      <c r="C85" s="2" t="s">
        <v>2105</v>
      </c>
      <c r="D85" s="2" t="s">
        <v>2358</v>
      </c>
      <c r="E85" s="2" t="s">
        <v>77</v>
      </c>
      <c r="F85" s="3">
        <v>45680.388379629629</v>
      </c>
      <c r="G85" s="3">
        <v>45685.579131944447</v>
      </c>
      <c r="H85" s="4">
        <v>45706</v>
      </c>
      <c r="I85" s="2" t="s">
        <v>1132</v>
      </c>
      <c r="J85" s="2" t="s">
        <v>22</v>
      </c>
      <c r="K85" s="2">
        <v>1</v>
      </c>
      <c r="L85" s="2">
        <v>2227.14</v>
      </c>
      <c r="M85" s="2">
        <v>0</v>
      </c>
      <c r="N85" s="2">
        <v>1547.346547054326</v>
      </c>
      <c r="O85" s="2">
        <v>2121.09</v>
      </c>
      <c r="P85" s="2">
        <v>106.05</v>
      </c>
      <c r="Q85" s="2">
        <v>2227.14</v>
      </c>
      <c r="R85" s="2" t="s">
        <v>44</v>
      </c>
      <c r="S85" s="2"/>
      <c r="T85" s="2">
        <f t="shared" si="27"/>
        <v>2</v>
      </c>
      <c r="U85" s="18">
        <f t="shared" si="28"/>
        <v>1</v>
      </c>
      <c r="V85" s="18">
        <f t="shared" si="29"/>
        <v>2025</v>
      </c>
      <c r="W85" s="18">
        <f t="shared" si="30"/>
        <v>3</v>
      </c>
      <c r="X85" s="18">
        <f t="shared" si="31"/>
        <v>2025</v>
      </c>
      <c r="Y85" s="2">
        <f t="shared" si="24"/>
        <v>0.69476842365290292</v>
      </c>
      <c r="Z85" t="str">
        <f t="shared" si="25"/>
        <v>SO16476</v>
      </c>
      <c r="AA85" s="11">
        <f t="shared" si="32"/>
        <v>45680.388379629629</v>
      </c>
      <c r="AB85" s="5" t="str">
        <f t="shared" si="33"/>
        <v>INV12614</v>
      </c>
      <c r="AC85" s="5" t="str">
        <f>IFERROR(VLOOKUP(D85,CAARStatus!$A$2:$AA$1600,22,FALSE),"Not invoiced")</f>
        <v>Paid</v>
      </c>
      <c r="AD85" s="11">
        <f>IF(AC85="Paid",IFERROR(VLOOKUP(D85,CAARStatus!$A$2:$AA$1600,6,FALSE),"Pending"),"Pending")</f>
        <v>45729</v>
      </c>
      <c r="AE85" s="5" t="str">
        <f t="shared" si="34"/>
        <v>40-1012558</v>
      </c>
      <c r="AF85" s="5" t="str">
        <f t="shared" si="35"/>
        <v>Canadian Bearings Ltd.</v>
      </c>
      <c r="AG85" s="5" t="str">
        <f t="shared" si="36"/>
        <v>CAD</v>
      </c>
      <c r="AH85" s="5">
        <f t="shared" si="37"/>
        <v>2121.09</v>
      </c>
      <c r="AI85" s="12">
        <f>IF(L85-N85=0,VLOOKUP(U85,rate!A$4:B$15,2,FALSE)*AH85,IF(AG85="USD",O85,AH85*Y85))</f>
        <v>1473.666355725936</v>
      </c>
      <c r="AJ85" s="13">
        <f t="shared" si="38"/>
        <v>0.69476842365290292</v>
      </c>
      <c r="AK85" s="13">
        <f>-IF(AG85="CAD",IFERROR(VLOOKUP(D85,CAARStatus!$A$1:$Y$1600,16,FALSE),0),0)</f>
        <v>-2041.05</v>
      </c>
      <c r="AL85" s="13">
        <f>-IF(AG85="USD",IFERROR(VLOOKUP(D85,CAARStatus!$A$1:$Y$1600,11,FALSE),0),0)</f>
        <v>0</v>
      </c>
      <c r="AM85" s="22">
        <f t="shared" si="39"/>
        <v>80.040000000000191</v>
      </c>
      <c r="AN85" s="12" t="str">
        <f t="shared" si="40"/>
        <v/>
      </c>
      <c r="AO85" s="12" t="str">
        <f t="shared" si="41"/>
        <v>Yes</v>
      </c>
      <c r="AP85" t="str">
        <f t="shared" si="26"/>
        <v>XX</v>
      </c>
      <c r="AQ85" t="str">
        <f>IFERROR(VLOOKUP(Z85,InvBal!$L$4:$P$600,4,FALSE),"Pend")</f>
        <v>Yes</v>
      </c>
      <c r="AR85" t="str">
        <f>IFERROR(VLOOKUP(D85,Manual!$C$1:$E$22,2,FALSE),"Pend")</f>
        <v>Pend</v>
      </c>
      <c r="AS85" t="str">
        <f t="shared" si="42"/>
        <v>Yes</v>
      </c>
      <c r="AT85" t="str">
        <f t="shared" si="43"/>
        <v>Yes</v>
      </c>
      <c r="AU85" s="51" t="str">
        <f t="shared" si="44"/>
        <v>Yes</v>
      </c>
      <c r="AV85" s="12">
        <f>IFERROR(VLOOKUP(D85,'Receivable Invoice Detail'!$S$1:$U$3014,3,FALSE),0)</f>
        <v>0</v>
      </c>
      <c r="AW85" s="12">
        <f t="shared" si="45"/>
        <v>1473.666355725936</v>
      </c>
    </row>
    <row r="86" spans="1:49" x14ac:dyDescent="0.25">
      <c r="A86" s="2"/>
      <c r="B86" s="2"/>
      <c r="C86" s="2"/>
      <c r="D86" s="2" t="s">
        <v>2357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f t="shared" si="27"/>
        <v>2</v>
      </c>
      <c r="U86" s="18">
        <f t="shared" si="28"/>
        <v>1</v>
      </c>
      <c r="V86" s="18">
        <f t="shared" si="29"/>
        <v>2025</v>
      </c>
      <c r="W86" s="18">
        <f t="shared" si="30"/>
        <v>3</v>
      </c>
      <c r="X86" s="18">
        <f t="shared" si="31"/>
        <v>2025</v>
      </c>
      <c r="Y86" s="2">
        <f t="shared" si="24"/>
        <v>0.69476842365290292</v>
      </c>
      <c r="Z86" t="str">
        <f t="shared" si="25"/>
        <v>SO16476</v>
      </c>
      <c r="AA86" s="11">
        <f t="shared" si="32"/>
        <v>45680.388379629629</v>
      </c>
      <c r="AB86" s="5" t="str">
        <f t="shared" si="33"/>
        <v>INV12578</v>
      </c>
      <c r="AC86" s="5" t="str">
        <f>IFERROR(VLOOKUP(D86,CAARStatus!$A$2:$AA$1600,22,FALSE),"Not invoiced")</f>
        <v>Paid</v>
      </c>
      <c r="AD86" s="11">
        <f>IF(AC86="Paid",IFERROR(VLOOKUP(D86,CAARStatus!$A$2:$AA$1600,6,FALSE),"Pending"),"Pending")</f>
        <v>45729</v>
      </c>
      <c r="AE86" s="5" t="str">
        <f t="shared" si="34"/>
        <v>40-1012558</v>
      </c>
      <c r="AF86" s="5" t="str">
        <f t="shared" si="35"/>
        <v>Canadian Bearings Ltd.</v>
      </c>
      <c r="AG86" s="5" t="str">
        <f t="shared" si="36"/>
        <v>CAD</v>
      </c>
      <c r="AH86" s="5">
        <f t="shared" si="37"/>
        <v>0</v>
      </c>
      <c r="AI86" s="12">
        <f>IF(L86-N86=0,VLOOKUP(U86,rate!A$4:B$15,2,FALSE)*AH86,IF(AG86="USD",O86,AH86*Y86))</f>
        <v>0</v>
      </c>
      <c r="AJ86" s="13">
        <f t="shared" si="38"/>
        <v>0</v>
      </c>
      <c r="AK86" s="13">
        <f>-IF(AG86="CAD",IFERROR(VLOOKUP(D86,CAARStatus!$A$1:$Y$1600,16,FALSE),0),0)</f>
        <v>-80.040000000000006</v>
      </c>
      <c r="AL86" s="13">
        <f>-IF(AG86="USD",IFERROR(VLOOKUP(D86,CAARStatus!$A$1:$Y$1600,11,FALSE),0),0)</f>
        <v>0</v>
      </c>
      <c r="AM86" s="22">
        <f t="shared" si="39"/>
        <v>-80.040000000000006</v>
      </c>
      <c r="AN86" s="12" t="str">
        <f t="shared" si="40"/>
        <v/>
      </c>
      <c r="AO86" s="12" t="str">
        <f t="shared" si="41"/>
        <v>Yes</v>
      </c>
      <c r="AP86" t="str">
        <f t="shared" si="26"/>
        <v>XX</v>
      </c>
      <c r="AQ86" t="str">
        <f>IFERROR(VLOOKUP(Z86,InvBal!$L$4:$P$600,4,FALSE),"Pend")</f>
        <v>Yes</v>
      </c>
      <c r="AR86" t="str">
        <f>IFERROR(VLOOKUP(D86,Manual!$C$1:$E$22,2,FALSE),"Pend")</f>
        <v>Pend</v>
      </c>
      <c r="AS86" t="str">
        <f t="shared" si="42"/>
        <v>Yes</v>
      </c>
      <c r="AT86" t="str">
        <f t="shared" si="43"/>
        <v/>
      </c>
      <c r="AU86" s="51" t="str">
        <f t="shared" si="44"/>
        <v/>
      </c>
      <c r="AV86" s="12">
        <f>IFERROR(VLOOKUP(D86,'Receivable Invoice Detail'!$S$1:$U$3014,3,FALSE),0)</f>
        <v>0</v>
      </c>
      <c r="AW86" s="12">
        <f t="shared" si="45"/>
        <v>0</v>
      </c>
    </row>
    <row r="87" spans="1:49" x14ac:dyDescent="0.25">
      <c r="A87" s="2">
        <v>1</v>
      </c>
      <c r="B87" s="2" t="s">
        <v>2084</v>
      </c>
      <c r="C87" s="2" t="s">
        <v>2085</v>
      </c>
      <c r="D87" s="2" t="s">
        <v>2369</v>
      </c>
      <c r="E87" s="2" t="s">
        <v>316</v>
      </c>
      <c r="F87" s="3">
        <v>45680.455196759263</v>
      </c>
      <c r="G87" s="3">
        <v>45686.747233796297</v>
      </c>
      <c r="H87" s="4">
        <v>45687</v>
      </c>
      <c r="I87" s="2" t="s">
        <v>1132</v>
      </c>
      <c r="J87" s="2" t="s">
        <v>22</v>
      </c>
      <c r="K87" s="2">
        <v>1</v>
      </c>
      <c r="L87" s="2">
        <v>2779.84</v>
      </c>
      <c r="M87" s="2">
        <v>2779.84</v>
      </c>
      <c r="N87" s="2">
        <v>2779.84</v>
      </c>
      <c r="O87" s="2">
        <v>2779.84</v>
      </c>
      <c r="P87" s="2"/>
      <c r="Q87" s="2">
        <v>2779.84</v>
      </c>
      <c r="R87" s="2" t="s">
        <v>44</v>
      </c>
      <c r="S87" s="2"/>
      <c r="T87" s="2">
        <f t="shared" si="27"/>
        <v>1</v>
      </c>
      <c r="U87" s="18">
        <f t="shared" si="28"/>
        <v>1</v>
      </c>
      <c r="V87" s="18">
        <f t="shared" si="29"/>
        <v>2025</v>
      </c>
      <c r="W87" s="18">
        <f t="shared" si="30"/>
        <v>3</v>
      </c>
      <c r="X87" s="18">
        <f t="shared" si="31"/>
        <v>2025</v>
      </c>
      <c r="Y87" s="2">
        <f t="shared" si="24"/>
        <v>1</v>
      </c>
      <c r="Z87" t="str">
        <f t="shared" si="25"/>
        <v>SO16477</v>
      </c>
      <c r="AA87" s="11">
        <f t="shared" si="32"/>
        <v>45680.455196759263</v>
      </c>
      <c r="AB87" s="5" t="str">
        <f t="shared" si="33"/>
        <v>INV12589</v>
      </c>
      <c r="AC87" s="5" t="str">
        <f>IFERROR(VLOOKUP(D87,CAARStatus!$A$2:$AA$1600,22,FALSE),"Not invoiced")</f>
        <v>Paid</v>
      </c>
      <c r="AD87" s="11">
        <f>IF(AC87="Paid",IFERROR(VLOOKUP(D87,CAARStatus!$A$2:$AA$1600,6,FALSE),"Pending"),"Pending")</f>
        <v>45728</v>
      </c>
      <c r="AE87" s="5" t="str">
        <f t="shared" si="34"/>
        <v>10223</v>
      </c>
      <c r="AF87" s="5" t="str">
        <f t="shared" si="35"/>
        <v>Canadian Industrial Pumps Ltd</v>
      </c>
      <c r="AG87" s="5" t="str">
        <f t="shared" si="36"/>
        <v>CAD</v>
      </c>
      <c r="AH87" s="5">
        <f t="shared" si="37"/>
        <v>2779.84</v>
      </c>
      <c r="AI87" s="12">
        <f>IF(L87-N87=0,VLOOKUP(U87,rate!A$4:B$15,2,FALSE)*AH87,IF(AG87="USD",O87,AH87*Y87))</f>
        <v>1931.093995318372</v>
      </c>
      <c r="AJ87" s="13">
        <f t="shared" si="38"/>
        <v>0.69467810928627971</v>
      </c>
      <c r="AK87" s="13">
        <f>-IF(AG87="CAD",IFERROR(VLOOKUP(D87,CAARStatus!$A$1:$Y$1600,16,FALSE),0),0)</f>
        <v>-2779.84</v>
      </c>
      <c r="AL87" s="13">
        <f>-IF(AG87="USD",IFERROR(VLOOKUP(D87,CAARStatus!$A$1:$Y$1600,11,FALSE),0),0)</f>
        <v>0</v>
      </c>
      <c r="AM87" s="22">
        <f t="shared" si="39"/>
        <v>0</v>
      </c>
      <c r="AN87" s="12" t="str">
        <f t="shared" si="40"/>
        <v/>
      </c>
      <c r="AO87" s="12" t="str">
        <f t="shared" si="41"/>
        <v>Yes</v>
      </c>
      <c r="AP87" t="str">
        <f t="shared" si="26"/>
        <v>Yes</v>
      </c>
      <c r="AQ87" t="str">
        <f>IFERROR(VLOOKUP(Z87,InvBal!$L$4:$P$600,4,FALSE),"Pend")</f>
        <v>Pend</v>
      </c>
      <c r="AR87" t="str">
        <f>IFERROR(VLOOKUP(D87,Manual!$C$1:$E$22,2,FALSE),"Pend")</f>
        <v>Pend</v>
      </c>
      <c r="AS87" t="str">
        <f t="shared" si="42"/>
        <v>Yes</v>
      </c>
      <c r="AT87" t="str">
        <f t="shared" si="43"/>
        <v>Yes</v>
      </c>
      <c r="AU87" s="51" t="str">
        <f t="shared" si="44"/>
        <v>Yes</v>
      </c>
      <c r="AV87" s="12">
        <f>IFERROR(VLOOKUP(D87,'Receivable Invoice Detail'!$S$1:$U$3014,3,FALSE),0)</f>
        <v>0</v>
      </c>
      <c r="AW87" s="12">
        <f t="shared" si="45"/>
        <v>1931.093995318372</v>
      </c>
    </row>
    <row r="88" spans="1:49" x14ac:dyDescent="0.25">
      <c r="A88" s="2">
        <v>1</v>
      </c>
      <c r="B88" s="2" t="s">
        <v>2130</v>
      </c>
      <c r="C88" s="2" t="s">
        <v>2131</v>
      </c>
      <c r="D88" s="2" t="s">
        <v>2343</v>
      </c>
      <c r="E88" s="2" t="s">
        <v>70</v>
      </c>
      <c r="F88" s="3">
        <v>45680.598680555559</v>
      </c>
      <c r="G88" s="3">
        <v>45680.596458333333</v>
      </c>
      <c r="H88" s="4">
        <v>45688</v>
      </c>
      <c r="I88" s="2" t="s">
        <v>71</v>
      </c>
      <c r="J88" s="2" t="s">
        <v>51</v>
      </c>
      <c r="K88" s="2">
        <v>0.69635682450231584</v>
      </c>
      <c r="L88" s="2">
        <v>6792.4946429303927</v>
      </c>
      <c r="M88" s="2">
        <v>0</v>
      </c>
      <c r="N88" s="2">
        <v>4730</v>
      </c>
      <c r="O88" s="2">
        <v>4730</v>
      </c>
      <c r="P88" s="2"/>
      <c r="Q88" s="2">
        <v>4730</v>
      </c>
      <c r="R88" s="2" t="s">
        <v>44</v>
      </c>
      <c r="S88" s="2"/>
      <c r="T88" s="2">
        <f t="shared" si="27"/>
        <v>1</v>
      </c>
      <c r="U88" s="18">
        <f t="shared" si="28"/>
        <v>1</v>
      </c>
      <c r="V88" s="18">
        <f t="shared" si="29"/>
        <v>2025</v>
      </c>
      <c r="W88" s="18">
        <f t="shared" si="30"/>
        <v>5</v>
      </c>
      <c r="X88" s="18">
        <f t="shared" si="31"/>
        <v>2025</v>
      </c>
      <c r="Y88" s="2">
        <f t="shared" si="24"/>
        <v>0.69635682450231584</v>
      </c>
      <c r="Z88" t="str">
        <f t="shared" si="25"/>
        <v>SO16479</v>
      </c>
      <c r="AA88" s="11">
        <f t="shared" si="32"/>
        <v>45680.598680555559</v>
      </c>
      <c r="AB88" s="5" t="str">
        <f t="shared" si="33"/>
        <v>INV12599</v>
      </c>
      <c r="AC88" s="5" t="str">
        <f>IFERROR(VLOOKUP(D88,CAARStatus!$A$2:$AA$1600,22,FALSE),"Not invoiced")</f>
        <v>Paid</v>
      </c>
      <c r="AD88" s="11">
        <f>IF(AC88="Paid",IFERROR(VLOOKUP(D88,CAARStatus!$A$2:$AA$1600,6,FALSE),"Pending"),"Pending")</f>
        <v>45792</v>
      </c>
      <c r="AE88" s="5" t="str">
        <f t="shared" si="34"/>
        <v>P351540</v>
      </c>
      <c r="AF88" s="5" t="str">
        <f t="shared" si="35"/>
        <v>Covia Corp - Junction City</v>
      </c>
      <c r="AG88" s="5" t="str">
        <f t="shared" si="36"/>
        <v>USD</v>
      </c>
      <c r="AH88" s="5">
        <f t="shared" si="37"/>
        <v>6792.4946429303927</v>
      </c>
      <c r="AI88" s="12">
        <f>IF(L88-N88=0,VLOOKUP(U88,rate!A$4:B$15,2,FALSE)*AH88,IF(AG88="USD",O88,AH88*Y88))</f>
        <v>4730</v>
      </c>
      <c r="AJ88" s="13">
        <f t="shared" si="38"/>
        <v>0.69635682450231584</v>
      </c>
      <c r="AK88" s="13">
        <f>-IF(AG88="CAD",IFERROR(VLOOKUP(D88,CAARStatus!$A$1:$Y$1600,16,FALSE),0),0)</f>
        <v>0</v>
      </c>
      <c r="AL88" s="13">
        <f>-IF(AG88="USD",IFERROR(VLOOKUP(D88,CAARStatus!$A$1:$Y$1600,11,FALSE),0),0)</f>
        <v>-4730</v>
      </c>
      <c r="AM88" s="22" t="str">
        <f t="shared" si="39"/>
        <v/>
      </c>
      <c r="AN88" s="12">
        <f t="shared" si="40"/>
        <v>0</v>
      </c>
      <c r="AO88" s="12" t="str">
        <f t="shared" si="41"/>
        <v>Yes</v>
      </c>
      <c r="AP88" t="str">
        <f t="shared" si="26"/>
        <v>Yes</v>
      </c>
      <c r="AQ88" t="str">
        <f>IFERROR(VLOOKUP(Z88,InvBal!$L$4:$P$600,4,FALSE),"Pend")</f>
        <v>Pend</v>
      </c>
      <c r="AR88" t="str">
        <f>IFERROR(VLOOKUP(D88,Manual!$C$1:$E$22,2,FALSE),"Pend")</f>
        <v>Pend</v>
      </c>
      <c r="AS88" t="str">
        <f t="shared" si="42"/>
        <v>Yes</v>
      </c>
      <c r="AT88" t="str">
        <f t="shared" si="43"/>
        <v>Yes</v>
      </c>
      <c r="AU88" s="51" t="str">
        <f t="shared" si="44"/>
        <v>Yes</v>
      </c>
      <c r="AV88" s="12">
        <f>IFERROR(VLOOKUP(D88,'Receivable Invoice Detail'!$S$1:$U$3014,3,FALSE),0)</f>
        <v>775</v>
      </c>
      <c r="AW88" s="12">
        <f t="shared" si="45"/>
        <v>3955</v>
      </c>
    </row>
    <row r="89" spans="1:49" ht="45" x14ac:dyDescent="0.25">
      <c r="A89" s="2">
        <v>1</v>
      </c>
      <c r="B89" s="2" t="s">
        <v>2120</v>
      </c>
      <c r="C89" s="2" t="s">
        <v>2121</v>
      </c>
      <c r="D89" s="2" t="s">
        <v>2348</v>
      </c>
      <c r="E89" s="2" t="s">
        <v>201</v>
      </c>
      <c r="F89" s="3">
        <v>45680.711076388892</v>
      </c>
      <c r="G89" s="3">
        <v>45681.711377314823</v>
      </c>
      <c r="H89" s="4">
        <v>45684</v>
      </c>
      <c r="I89" s="2" t="s">
        <v>1132</v>
      </c>
      <c r="J89" s="2" t="s">
        <v>22</v>
      </c>
      <c r="K89" s="2">
        <v>1</v>
      </c>
      <c r="L89" s="2">
        <v>240.03</v>
      </c>
      <c r="M89" s="2">
        <v>0</v>
      </c>
      <c r="N89" s="2">
        <v>167.4238529607702</v>
      </c>
      <c r="O89" s="2">
        <v>228.6</v>
      </c>
      <c r="P89" s="2">
        <v>11.43</v>
      </c>
      <c r="Q89" s="2">
        <v>240.03</v>
      </c>
      <c r="R89" s="2" t="s">
        <v>44</v>
      </c>
      <c r="S89" s="2"/>
      <c r="T89" s="2">
        <f t="shared" si="27"/>
        <v>1</v>
      </c>
      <c r="U89" s="18">
        <f t="shared" si="28"/>
        <v>1</v>
      </c>
      <c r="V89" s="18">
        <f t="shared" si="29"/>
        <v>2025</v>
      </c>
      <c r="W89" s="18">
        <f t="shared" si="30"/>
        <v>3</v>
      </c>
      <c r="X89" s="18">
        <f t="shared" si="31"/>
        <v>2025</v>
      </c>
      <c r="Y89" s="2">
        <f t="shared" si="24"/>
        <v>0.6975121983117536</v>
      </c>
      <c r="Z89" t="str">
        <f t="shared" si="25"/>
        <v>SO16481</v>
      </c>
      <c r="AA89" s="11">
        <f t="shared" si="32"/>
        <v>45680.711076388892</v>
      </c>
      <c r="AB89" s="5" t="str">
        <f t="shared" si="33"/>
        <v>INV12566</v>
      </c>
      <c r="AC89" s="5" t="str">
        <f>IFERROR(VLOOKUP(D89,CAARStatus!$A$2:$AA$1600,22,FALSE),"Not invoiced")</f>
        <v>Paid</v>
      </c>
      <c r="AD89" s="11">
        <f>IF(AC89="Paid",IFERROR(VLOOKUP(D89,CAARStatus!$A$2:$AA$1600,6,FALSE),"Pending"),"Pending")</f>
        <v>45721</v>
      </c>
      <c r="AE89" s="5" t="str">
        <f t="shared" si="34"/>
        <v>2200067803</v>
      </c>
      <c r="AF89" s="5" t="str">
        <f t="shared" si="35"/>
        <v>Wajax Limited - Val D'Or, Composants Industriels Wajax SC -57</v>
      </c>
      <c r="AG89" s="5" t="str">
        <f t="shared" si="36"/>
        <v>CAD</v>
      </c>
      <c r="AH89" s="5">
        <f t="shared" si="37"/>
        <v>228.6</v>
      </c>
      <c r="AI89" s="12">
        <f>IF(L89-N89=0,VLOOKUP(U89,rate!A$4:B$15,2,FALSE)*AH89,IF(AG89="USD",O89,AH89*Y89))</f>
        <v>159.45128853406686</v>
      </c>
      <c r="AJ89" s="13">
        <f t="shared" si="38"/>
        <v>0.6975121983117536</v>
      </c>
      <c r="AK89" s="13">
        <f>-IF(AG89="CAD",IFERROR(VLOOKUP(D89,CAARStatus!$A$1:$Y$1600,16,FALSE),0),0)</f>
        <v>-228.6</v>
      </c>
      <c r="AL89" s="13">
        <f>-IF(AG89="USD",IFERROR(VLOOKUP(D89,CAARStatus!$A$1:$Y$1600,11,FALSE),0),0)</f>
        <v>0</v>
      </c>
      <c r="AM89" s="22">
        <f t="shared" si="39"/>
        <v>0</v>
      </c>
      <c r="AN89" s="12" t="str">
        <f t="shared" si="40"/>
        <v/>
      </c>
      <c r="AO89" s="12" t="str">
        <f t="shared" si="41"/>
        <v>Yes</v>
      </c>
      <c r="AP89" t="str">
        <f t="shared" si="26"/>
        <v>Yes</v>
      </c>
      <c r="AQ89" t="str">
        <f>IFERROR(VLOOKUP(Z89,InvBal!$L$4:$P$600,4,FALSE),"Pend")</f>
        <v>Pend</v>
      </c>
      <c r="AR89" t="str">
        <f>IFERROR(VLOOKUP(D89,Manual!$C$1:$E$22,2,FALSE),"Pend")</f>
        <v>Pend</v>
      </c>
      <c r="AS89" t="str">
        <f t="shared" si="42"/>
        <v>Yes</v>
      </c>
      <c r="AT89" t="str">
        <f t="shared" si="43"/>
        <v>Yes</v>
      </c>
      <c r="AU89" s="51" t="str">
        <f t="shared" si="44"/>
        <v>Yes</v>
      </c>
      <c r="AV89" s="12">
        <f>IFERROR(VLOOKUP(D89,'Receivable Invoice Detail'!$S$1:$U$3014,3,FALSE),0)</f>
        <v>0</v>
      </c>
      <c r="AW89" s="12">
        <f t="shared" si="45"/>
        <v>159.45128853406686</v>
      </c>
    </row>
    <row r="90" spans="1:49" x14ac:dyDescent="0.25">
      <c r="A90" s="2">
        <v>1</v>
      </c>
      <c r="B90" s="2" t="s">
        <v>2126</v>
      </c>
      <c r="C90" s="2" t="s">
        <v>2127</v>
      </c>
      <c r="D90" s="2" t="s">
        <v>2345</v>
      </c>
      <c r="E90" s="2" t="s">
        <v>644</v>
      </c>
      <c r="F90" s="3">
        <v>45680.715937499997</v>
      </c>
      <c r="G90" s="3">
        <v>45681.510208333333</v>
      </c>
      <c r="H90" s="4">
        <v>45684</v>
      </c>
      <c r="I90" s="2" t="s">
        <v>21</v>
      </c>
      <c r="J90" s="2" t="s">
        <v>51</v>
      </c>
      <c r="K90" s="2">
        <v>0.69635682450231584</v>
      </c>
      <c r="L90" s="2">
        <v>3298.8116424963109</v>
      </c>
      <c r="M90" s="2">
        <v>0</v>
      </c>
      <c r="N90" s="2">
        <v>2297.15</v>
      </c>
      <c r="O90" s="2">
        <v>2297.15</v>
      </c>
      <c r="P90" s="2"/>
      <c r="Q90" s="2">
        <v>2297.15</v>
      </c>
      <c r="R90" s="2" t="s">
        <v>44</v>
      </c>
      <c r="S90" s="2"/>
      <c r="T90" s="2">
        <f t="shared" si="27"/>
        <v>1</v>
      </c>
      <c r="U90" s="18">
        <f t="shared" si="28"/>
        <v>1</v>
      </c>
      <c r="V90" s="18">
        <f t="shared" si="29"/>
        <v>2025</v>
      </c>
      <c r="W90" s="18">
        <f t="shared" si="30"/>
        <v>4</v>
      </c>
      <c r="X90" s="18">
        <f t="shared" si="31"/>
        <v>2025</v>
      </c>
      <c r="Y90" s="2">
        <f t="shared" si="24"/>
        <v>0.69635682450231595</v>
      </c>
      <c r="Z90" t="str">
        <f t="shared" si="25"/>
        <v>SO16482</v>
      </c>
      <c r="AA90" s="11">
        <f t="shared" si="32"/>
        <v>45680.715937499997</v>
      </c>
      <c r="AB90" s="5" t="str">
        <f t="shared" si="33"/>
        <v>INV12564</v>
      </c>
      <c r="AC90" s="5" t="str">
        <f>IFERROR(VLOOKUP(D90,CAARStatus!$A$2:$AA$1600,22,FALSE),"Not invoiced")</f>
        <v>Paid</v>
      </c>
      <c r="AD90" s="11">
        <f>IF(AC90="Paid",IFERROR(VLOOKUP(D90,CAARStatus!$A$2:$AA$1600,6,FALSE),"Pending"),"Pending")</f>
        <v>45754</v>
      </c>
      <c r="AE90" s="5" t="str">
        <f t="shared" si="34"/>
        <v>P-12425</v>
      </c>
      <c r="AF90" s="5" t="str">
        <f t="shared" si="35"/>
        <v>Cartledge &amp; Associates Inc.</v>
      </c>
      <c r="AG90" s="5" t="str">
        <f t="shared" si="36"/>
        <v>USD</v>
      </c>
      <c r="AH90" s="5">
        <f t="shared" si="37"/>
        <v>3298.8116424963114</v>
      </c>
      <c r="AI90" s="12">
        <f>IF(L90-N90=0,VLOOKUP(U90,rate!A$4:B$15,2,FALSE)*AH90,IF(AG90="USD",O90,AH90*Y90))</f>
        <v>2297.15</v>
      </c>
      <c r="AJ90" s="13">
        <f t="shared" si="38"/>
        <v>0.69635682450231584</v>
      </c>
      <c r="AK90" s="13">
        <f>-IF(AG90="CAD",IFERROR(VLOOKUP(D90,CAARStatus!$A$1:$Y$1600,16,FALSE),0),0)</f>
        <v>0</v>
      </c>
      <c r="AL90" s="13">
        <f>-IF(AG90="USD",IFERROR(VLOOKUP(D90,CAARStatus!$A$1:$Y$1600,11,FALSE),0),0)</f>
        <v>-2297.15</v>
      </c>
      <c r="AM90" s="22" t="str">
        <f t="shared" si="39"/>
        <v/>
      </c>
      <c r="AN90" s="12">
        <f t="shared" si="40"/>
        <v>0</v>
      </c>
      <c r="AO90" s="12" t="str">
        <f t="shared" si="41"/>
        <v>Yes</v>
      </c>
      <c r="AP90" t="str">
        <f t="shared" si="26"/>
        <v>Yes</v>
      </c>
      <c r="AQ90" t="str">
        <f>IFERROR(VLOOKUP(Z90,InvBal!$L$4:$P$600,4,FALSE),"Pend")</f>
        <v>Pend</v>
      </c>
      <c r="AR90" t="str">
        <f>IFERROR(VLOOKUP(D90,Manual!$C$1:$E$22,2,FALSE),"Pend")</f>
        <v>Pend</v>
      </c>
      <c r="AS90" t="str">
        <f t="shared" si="42"/>
        <v>Yes</v>
      </c>
      <c r="AT90" t="str">
        <f t="shared" si="43"/>
        <v>Yes</v>
      </c>
      <c r="AU90" s="51" t="str">
        <f t="shared" si="44"/>
        <v>Yes</v>
      </c>
      <c r="AV90" s="12">
        <f>IFERROR(VLOOKUP(D90,'Receivable Invoice Detail'!$S$1:$U$3014,3,FALSE),0)</f>
        <v>499</v>
      </c>
      <c r="AW90" s="12">
        <f t="shared" si="45"/>
        <v>1798.15</v>
      </c>
    </row>
    <row r="91" spans="1:49" x14ac:dyDescent="0.25">
      <c r="A91" s="2">
        <v>1</v>
      </c>
      <c r="B91" s="2" t="s">
        <v>2001</v>
      </c>
      <c r="C91" s="2" t="s">
        <v>2002</v>
      </c>
      <c r="D91" s="2" t="s">
        <v>2425</v>
      </c>
      <c r="E91" s="2" t="s">
        <v>54</v>
      </c>
      <c r="F91" s="3">
        <v>45681.398310185177</v>
      </c>
      <c r="G91" s="3">
        <v>45701.526701388888</v>
      </c>
      <c r="H91" s="4">
        <v>45722</v>
      </c>
      <c r="I91" s="2" t="s">
        <v>21</v>
      </c>
      <c r="J91" s="2" t="s">
        <v>22</v>
      </c>
      <c r="K91" s="2">
        <v>1</v>
      </c>
      <c r="L91" s="2">
        <v>2009.99</v>
      </c>
      <c r="M91" s="2">
        <v>0</v>
      </c>
      <c r="N91" s="2">
        <v>1412.472515457109</v>
      </c>
      <c r="O91" s="2">
        <v>1914.28</v>
      </c>
      <c r="P91" s="2">
        <v>95.71</v>
      </c>
      <c r="Q91" s="2">
        <v>2009.99</v>
      </c>
      <c r="R91" s="2" t="s">
        <v>44</v>
      </c>
      <c r="S91" s="2"/>
      <c r="T91" s="2">
        <f t="shared" si="27"/>
        <v>1</v>
      </c>
      <c r="U91" s="18">
        <f t="shared" si="28"/>
        <v>1</v>
      </c>
      <c r="V91" s="18">
        <f t="shared" si="29"/>
        <v>2025</v>
      </c>
      <c r="W91" s="18">
        <f t="shared" si="30"/>
        <v>4</v>
      </c>
      <c r="X91" s="18">
        <f t="shared" si="31"/>
        <v>2025</v>
      </c>
      <c r="Y91" s="2">
        <f t="shared" si="24"/>
        <v>0.70272614065597794</v>
      </c>
      <c r="Z91" t="str">
        <f t="shared" si="25"/>
        <v>SO16485</v>
      </c>
      <c r="AA91" s="11">
        <f t="shared" si="32"/>
        <v>45681.398310185177</v>
      </c>
      <c r="AB91" s="5" t="str">
        <f t="shared" si="33"/>
        <v>INV12686</v>
      </c>
      <c r="AC91" s="5" t="str">
        <f>IFERROR(VLOOKUP(D91,CAARStatus!$A$2:$AA$1600,22,FALSE),"Not invoiced")</f>
        <v>Paid</v>
      </c>
      <c r="AD91" s="11">
        <f>IF(AC91="Paid",IFERROR(VLOOKUP(D91,CAARStatus!$A$2:$AA$1600,6,FALSE),"Pending"),"Pending")</f>
        <v>45768</v>
      </c>
      <c r="AE91" s="5" t="str">
        <f t="shared" si="34"/>
        <v>3053</v>
      </c>
      <c r="AF91" s="5" t="str">
        <f t="shared" si="35"/>
        <v>Les Pompes du St-Laurent Inc.</v>
      </c>
      <c r="AG91" s="5" t="str">
        <f t="shared" si="36"/>
        <v>CAD</v>
      </c>
      <c r="AH91" s="5">
        <f t="shared" si="37"/>
        <v>1914.28</v>
      </c>
      <c r="AI91" s="12">
        <f>IF(L91-N91=0,VLOOKUP(U91,rate!A$4:B$15,2,FALSE)*AH91,IF(AG91="USD",O91,AH91*Y91))</f>
        <v>1345.2145965349255</v>
      </c>
      <c r="AJ91" s="13">
        <f t="shared" si="38"/>
        <v>0.70272614065597794</v>
      </c>
      <c r="AK91" s="13">
        <f>-IF(AG91="CAD",IFERROR(VLOOKUP(D91,CAARStatus!$A$1:$Y$1600,16,FALSE),0),0)</f>
        <v>-1914.28</v>
      </c>
      <c r="AL91" s="13">
        <f>-IF(AG91="USD",IFERROR(VLOOKUP(D91,CAARStatus!$A$1:$Y$1600,11,FALSE),0),0)</f>
        <v>0</v>
      </c>
      <c r="AM91" s="22">
        <f t="shared" si="39"/>
        <v>0</v>
      </c>
      <c r="AN91" s="12" t="str">
        <f t="shared" si="40"/>
        <v/>
      </c>
      <c r="AO91" s="12" t="str">
        <f t="shared" si="41"/>
        <v>Yes</v>
      </c>
      <c r="AP91" t="str">
        <f t="shared" si="26"/>
        <v>Yes</v>
      </c>
      <c r="AQ91" t="str">
        <f>IFERROR(VLOOKUP(Z91,InvBal!$L$4:$P$600,4,FALSE),"Pend")</f>
        <v>Pend</v>
      </c>
      <c r="AR91" t="str">
        <f>IFERROR(VLOOKUP(D91,Manual!$C$1:$E$22,2,FALSE),"Pend")</f>
        <v>Pend</v>
      </c>
      <c r="AS91" t="str">
        <f t="shared" si="42"/>
        <v>Yes</v>
      </c>
      <c r="AT91" t="str">
        <f t="shared" si="43"/>
        <v>Yes</v>
      </c>
      <c r="AU91" s="51" t="str">
        <f t="shared" si="44"/>
        <v>Yes</v>
      </c>
      <c r="AV91" s="12">
        <f>IFERROR(VLOOKUP(D91,'Receivable Invoice Detail'!$S$1:$U$3014,3,FALSE),0)</f>
        <v>0</v>
      </c>
      <c r="AW91" s="12">
        <f t="shared" si="45"/>
        <v>1345.2145965349255</v>
      </c>
    </row>
    <row r="92" spans="1:49" x14ac:dyDescent="0.25">
      <c r="A92" s="2">
        <v>1</v>
      </c>
      <c r="B92" s="2" t="s">
        <v>2112</v>
      </c>
      <c r="C92" s="2" t="s">
        <v>2113</v>
      </c>
      <c r="D92" s="2" t="s">
        <v>2353</v>
      </c>
      <c r="E92" s="2" t="s">
        <v>64</v>
      </c>
      <c r="F92" s="3">
        <v>45681.407349537039</v>
      </c>
      <c r="G92" s="3">
        <v>45684.609768518523</v>
      </c>
      <c r="H92" s="4">
        <v>45685</v>
      </c>
      <c r="I92" s="2" t="s">
        <v>21</v>
      </c>
      <c r="J92" s="2" t="s">
        <v>22</v>
      </c>
      <c r="K92" s="2">
        <v>1</v>
      </c>
      <c r="L92" s="2">
        <v>924.84</v>
      </c>
      <c r="M92" s="2">
        <v>0</v>
      </c>
      <c r="N92" s="2">
        <v>642.69004254998742</v>
      </c>
      <c r="O92" s="2">
        <v>818.44</v>
      </c>
      <c r="P92" s="2">
        <v>106.4</v>
      </c>
      <c r="Q92" s="2">
        <v>924.84</v>
      </c>
      <c r="R92" s="2" t="s">
        <v>44</v>
      </c>
      <c r="S92" s="2"/>
      <c r="T92" s="2">
        <f t="shared" si="27"/>
        <v>1</v>
      </c>
      <c r="U92" s="18">
        <f t="shared" si="28"/>
        <v>1</v>
      </c>
      <c r="V92" s="18">
        <f t="shared" si="29"/>
        <v>2025</v>
      </c>
      <c r="W92" s="18">
        <f t="shared" si="30"/>
        <v>3</v>
      </c>
      <c r="X92" s="18">
        <f t="shared" si="31"/>
        <v>2025</v>
      </c>
      <c r="Y92" s="2">
        <f t="shared" si="24"/>
        <v>0.69492024842133493</v>
      </c>
      <c r="Z92" t="str">
        <f t="shared" si="25"/>
        <v>SO16486</v>
      </c>
      <c r="AA92" s="11">
        <f t="shared" si="32"/>
        <v>45681.407349537039</v>
      </c>
      <c r="AB92" s="5" t="str">
        <f t="shared" si="33"/>
        <v>INV12573</v>
      </c>
      <c r="AC92" s="5" t="str">
        <f>IFERROR(VLOOKUP(D92,CAARStatus!$A$2:$AA$1600,22,FALSE),"Not invoiced")</f>
        <v>Paid</v>
      </c>
      <c r="AD92" s="11">
        <f>IF(AC92="Paid",IFERROR(VLOOKUP(D92,CAARStatus!$A$2:$AA$1600,6,FALSE),"Pending"),"Pending")</f>
        <v>45720</v>
      </c>
      <c r="AE92" s="5" t="str">
        <f t="shared" si="34"/>
        <v>607548</v>
      </c>
      <c r="AF92" s="5" t="str">
        <f t="shared" si="35"/>
        <v>Sealtrac Inc.</v>
      </c>
      <c r="AG92" s="5" t="str">
        <f t="shared" si="36"/>
        <v>CAD</v>
      </c>
      <c r="AH92" s="5">
        <f t="shared" si="37"/>
        <v>818.44</v>
      </c>
      <c r="AI92" s="12">
        <f>IF(L92-N92=0,VLOOKUP(U92,rate!A$4:B$15,2,FALSE)*AH92,IF(AG92="USD",O92,AH92*Y92))</f>
        <v>568.7505281179574</v>
      </c>
      <c r="AJ92" s="13">
        <f t="shared" si="38"/>
        <v>0.69492024842133493</v>
      </c>
      <c r="AK92" s="13">
        <f>-IF(AG92="CAD",IFERROR(VLOOKUP(D92,CAARStatus!$A$1:$Y$1600,16,FALSE),0),0)</f>
        <v>-818.44</v>
      </c>
      <c r="AL92" s="13">
        <f>-IF(AG92="USD",IFERROR(VLOOKUP(D92,CAARStatus!$A$1:$Y$1600,11,FALSE),0),0)</f>
        <v>0</v>
      </c>
      <c r="AM92" s="22">
        <f t="shared" si="39"/>
        <v>0</v>
      </c>
      <c r="AN92" s="12" t="str">
        <f t="shared" si="40"/>
        <v/>
      </c>
      <c r="AO92" s="12" t="str">
        <f t="shared" si="41"/>
        <v>Yes</v>
      </c>
      <c r="AP92" t="str">
        <f t="shared" si="26"/>
        <v>Yes</v>
      </c>
      <c r="AQ92" t="str">
        <f>IFERROR(VLOOKUP(Z92,InvBal!$L$4:$P$600,4,FALSE),"Pend")</f>
        <v>Pend</v>
      </c>
      <c r="AR92" t="str">
        <f>IFERROR(VLOOKUP(D92,Manual!$C$1:$E$22,2,FALSE),"Pend")</f>
        <v>Pend</v>
      </c>
      <c r="AS92" t="str">
        <f t="shared" si="42"/>
        <v>Yes</v>
      </c>
      <c r="AT92" t="str">
        <f t="shared" si="43"/>
        <v>Yes</v>
      </c>
      <c r="AU92" s="51" t="str">
        <f t="shared" si="44"/>
        <v>Yes</v>
      </c>
      <c r="AV92" s="12">
        <f>IFERROR(VLOOKUP(D92,'Receivable Invoice Detail'!$S$1:$U$3014,3,FALSE),0)</f>
        <v>0</v>
      </c>
      <c r="AW92" s="12">
        <f t="shared" si="45"/>
        <v>568.7505281179574</v>
      </c>
    </row>
    <row r="93" spans="1:49" ht="30" x14ac:dyDescent="0.25">
      <c r="A93" s="2">
        <v>1</v>
      </c>
      <c r="B93" s="2" t="s">
        <v>2122</v>
      </c>
      <c r="C93" s="2" t="s">
        <v>2123</v>
      </c>
      <c r="D93" s="2" t="s">
        <v>2347</v>
      </c>
      <c r="E93" s="2" t="s">
        <v>104</v>
      </c>
      <c r="F93" s="3">
        <v>45681.488738425927</v>
      </c>
      <c r="G93" s="3">
        <v>45681.68246527778</v>
      </c>
      <c r="H93" s="4">
        <v>45684</v>
      </c>
      <c r="I93" s="2" t="s">
        <v>21</v>
      </c>
      <c r="J93" s="2" t="s">
        <v>22</v>
      </c>
      <c r="K93" s="2">
        <v>1</v>
      </c>
      <c r="L93" s="2">
        <v>1501.27</v>
      </c>
      <c r="M93" s="2">
        <v>0</v>
      </c>
      <c r="N93" s="2">
        <v>1047.154137959486</v>
      </c>
      <c r="O93" s="2">
        <v>1429.78</v>
      </c>
      <c r="P93" s="2">
        <v>71.489999999999995</v>
      </c>
      <c r="Q93" s="2">
        <v>1501.27</v>
      </c>
      <c r="R93" s="2" t="s">
        <v>44</v>
      </c>
      <c r="S93" s="2"/>
      <c r="T93" s="2">
        <f t="shared" si="27"/>
        <v>1</v>
      </c>
      <c r="U93" s="18">
        <f t="shared" si="28"/>
        <v>1</v>
      </c>
      <c r="V93" s="18">
        <f t="shared" si="29"/>
        <v>2025</v>
      </c>
      <c r="W93" s="18">
        <f t="shared" si="30"/>
        <v>3</v>
      </c>
      <c r="X93" s="18">
        <f t="shared" si="31"/>
        <v>2025</v>
      </c>
      <c r="Y93" s="2">
        <f t="shared" si="24"/>
        <v>0.69751219831175337</v>
      </c>
      <c r="Z93" t="str">
        <f t="shared" si="25"/>
        <v>SO16488</v>
      </c>
      <c r="AA93" s="11">
        <f t="shared" si="32"/>
        <v>45681.488738425927</v>
      </c>
      <c r="AB93" s="5" t="str">
        <f t="shared" si="33"/>
        <v>INV12568</v>
      </c>
      <c r="AC93" s="5" t="str">
        <f>IFERROR(VLOOKUP(D93,CAARStatus!$A$2:$AA$1600,22,FALSE),"Not invoiced")</f>
        <v>Paid</v>
      </c>
      <c r="AD93" s="11">
        <f>IF(AC93="Paid",IFERROR(VLOOKUP(D93,CAARStatus!$A$2:$AA$1600,6,FALSE),"Pending"),"Pending")</f>
        <v>45721</v>
      </c>
      <c r="AE93" s="5" t="str">
        <f t="shared" si="34"/>
        <v>2100495165</v>
      </c>
      <c r="AF93" s="5" t="str">
        <f t="shared" si="35"/>
        <v>Wajax Limited - Noranda, Wajax Limited - Noranda</v>
      </c>
      <c r="AG93" s="5" t="str">
        <f t="shared" si="36"/>
        <v>CAD</v>
      </c>
      <c r="AH93" s="5">
        <f t="shared" si="37"/>
        <v>1429.78</v>
      </c>
      <c r="AI93" s="12">
        <f>IF(L93-N93=0,VLOOKUP(U93,rate!A$4:B$15,2,FALSE)*AH93,IF(AG93="USD",O93,AH93*Y93))</f>
        <v>997.28899090217874</v>
      </c>
      <c r="AJ93" s="13">
        <f t="shared" si="38"/>
        <v>0.69751219831175337</v>
      </c>
      <c r="AK93" s="13">
        <f>-IF(AG93="CAD",IFERROR(VLOOKUP(D93,CAARStatus!$A$1:$Y$1600,16,FALSE),0),0)</f>
        <v>-1429.78</v>
      </c>
      <c r="AL93" s="13">
        <f>-IF(AG93="USD",IFERROR(VLOOKUP(D93,CAARStatus!$A$1:$Y$1600,11,FALSE),0),0)</f>
        <v>0</v>
      </c>
      <c r="AM93" s="22">
        <f t="shared" si="39"/>
        <v>0</v>
      </c>
      <c r="AN93" s="12" t="str">
        <f t="shared" si="40"/>
        <v/>
      </c>
      <c r="AO93" s="12" t="str">
        <f t="shared" si="41"/>
        <v>Yes</v>
      </c>
      <c r="AP93" t="str">
        <f t="shared" si="26"/>
        <v>Yes</v>
      </c>
      <c r="AQ93" t="str">
        <f>IFERROR(VLOOKUP(Z93,InvBal!$L$4:$P$600,4,FALSE),"Pend")</f>
        <v>Pend</v>
      </c>
      <c r="AR93" t="str">
        <f>IFERROR(VLOOKUP(D93,Manual!$C$1:$E$22,2,FALSE),"Pend")</f>
        <v>Pend</v>
      </c>
      <c r="AS93" t="str">
        <f t="shared" si="42"/>
        <v>Yes</v>
      </c>
      <c r="AT93" t="str">
        <f t="shared" si="43"/>
        <v>Yes</v>
      </c>
      <c r="AU93" s="51" t="str">
        <f t="shared" si="44"/>
        <v>Yes</v>
      </c>
      <c r="AV93" s="12">
        <f>IFERROR(VLOOKUP(D93,'Receivable Invoice Detail'!$S$1:$U$3014,3,FALSE),0)</f>
        <v>0</v>
      </c>
      <c r="AW93" s="12">
        <f t="shared" si="45"/>
        <v>997.28899090217874</v>
      </c>
    </row>
    <row r="94" spans="1:49" ht="30" x14ac:dyDescent="0.25">
      <c r="A94" s="2">
        <v>1</v>
      </c>
      <c r="B94" s="2" t="s">
        <v>2118</v>
      </c>
      <c r="C94" s="2" t="s">
        <v>2119</v>
      </c>
      <c r="D94" s="2" t="s">
        <v>2349</v>
      </c>
      <c r="E94" s="2" t="s">
        <v>20</v>
      </c>
      <c r="F94" s="3">
        <v>45681.5469212963</v>
      </c>
      <c r="G94" s="3">
        <v>45684.388310185182</v>
      </c>
      <c r="H94" s="4">
        <v>45786</v>
      </c>
      <c r="I94" s="2" t="s">
        <v>21</v>
      </c>
      <c r="J94" s="2" t="s">
        <v>22</v>
      </c>
      <c r="K94" s="2">
        <v>1</v>
      </c>
      <c r="L94" s="2">
        <v>835.92</v>
      </c>
      <c r="M94" s="2">
        <v>0</v>
      </c>
      <c r="N94" s="2">
        <v>580.89773406036227</v>
      </c>
      <c r="O94" s="2">
        <v>796.11</v>
      </c>
      <c r="P94" s="2">
        <v>39.81</v>
      </c>
      <c r="Q94" s="2">
        <v>835.92</v>
      </c>
      <c r="R94" s="2" t="s">
        <v>44</v>
      </c>
      <c r="S94" s="2"/>
      <c r="T94" s="2">
        <f t="shared" si="27"/>
        <v>1</v>
      </c>
      <c r="U94" s="18">
        <f t="shared" si="28"/>
        <v>1</v>
      </c>
      <c r="V94" s="18">
        <f t="shared" si="29"/>
        <v>2025</v>
      </c>
      <c r="W94" s="18">
        <f t="shared" si="30"/>
        <v>8</v>
      </c>
      <c r="X94" s="18">
        <f t="shared" si="31"/>
        <v>2025</v>
      </c>
      <c r="Y94" s="2">
        <f t="shared" si="24"/>
        <v>0.69492024842133493</v>
      </c>
      <c r="Z94" t="str">
        <f t="shared" si="25"/>
        <v>SO16492</v>
      </c>
      <c r="AA94" s="11">
        <f t="shared" si="32"/>
        <v>45681.5469212963</v>
      </c>
      <c r="AB94" s="5" t="str">
        <f t="shared" si="33"/>
        <v>INV13050</v>
      </c>
      <c r="AC94" s="5" t="str">
        <f>IFERROR(VLOOKUP(D94,CAARStatus!$A$2:$AA$1600,22,FALSE),"Not invoiced")</f>
        <v>Paid</v>
      </c>
      <c r="AD94" s="11">
        <f>IF(AC94="Paid",IFERROR(VLOOKUP(D94,CAARStatus!$A$2:$AA$1600,6,FALSE),"Pending"),"Pending")</f>
        <v>45870</v>
      </c>
      <c r="AE94" s="5" t="str">
        <f t="shared" si="34"/>
        <v>4500577484</v>
      </c>
      <c r="AF94" s="5" t="str">
        <f t="shared" si="35"/>
        <v>Resolute Forest Products - Saint-Felicien</v>
      </c>
      <c r="AG94" s="5" t="str">
        <f t="shared" si="36"/>
        <v>CAD</v>
      </c>
      <c r="AH94" s="5">
        <f t="shared" si="37"/>
        <v>796.11</v>
      </c>
      <c r="AI94" s="12">
        <f>IF(L94-N94=0,VLOOKUP(U94,rate!A$4:B$15,2,FALSE)*AH94,IF(AG94="USD",O94,AH94*Y94))</f>
        <v>553.23295897070898</v>
      </c>
      <c r="AJ94" s="13">
        <f t="shared" si="38"/>
        <v>0.69492024842133493</v>
      </c>
      <c r="AK94" s="13">
        <f>-IF(AG94="CAD",IFERROR(VLOOKUP(D94,CAARStatus!$A$1:$Y$1600,16,FALSE),0),0)</f>
        <v>-796.11</v>
      </c>
      <c r="AL94" s="13">
        <f>-IF(AG94="USD",IFERROR(VLOOKUP(D94,CAARStatus!$A$1:$Y$1600,11,FALSE),0),0)</f>
        <v>0</v>
      </c>
      <c r="AM94" s="22">
        <f t="shared" si="39"/>
        <v>0</v>
      </c>
      <c r="AN94" s="12" t="str">
        <f t="shared" si="40"/>
        <v/>
      </c>
      <c r="AO94" s="12" t="str">
        <f t="shared" si="41"/>
        <v>Yes</v>
      </c>
      <c r="AP94" t="str">
        <f t="shared" si="26"/>
        <v>Yes</v>
      </c>
      <c r="AQ94" t="str">
        <f>IFERROR(VLOOKUP(Z94,InvBal!$L$4:$P$600,4,FALSE),"Pend")</f>
        <v>Pend</v>
      </c>
      <c r="AR94" t="str">
        <f>IFERROR(VLOOKUP(D94,Manual!$C$1:$E$22,2,FALSE),"Pend")</f>
        <v>Pend</v>
      </c>
      <c r="AS94" t="str">
        <f t="shared" si="42"/>
        <v>Yes</v>
      </c>
      <c r="AT94" t="str">
        <f t="shared" si="43"/>
        <v>Yes</v>
      </c>
      <c r="AU94" s="51" t="str">
        <f t="shared" si="44"/>
        <v>Yes</v>
      </c>
      <c r="AV94" s="12">
        <f>IFERROR(VLOOKUP(D94,'Receivable Invoice Detail'!$S$1:$U$3014,3,FALSE),0)</f>
        <v>0</v>
      </c>
      <c r="AW94" s="12">
        <f t="shared" si="45"/>
        <v>553.23295897070898</v>
      </c>
    </row>
    <row r="95" spans="1:49" x14ac:dyDescent="0.25">
      <c r="A95" s="2">
        <v>1</v>
      </c>
      <c r="B95" s="2" t="s">
        <v>2124</v>
      </c>
      <c r="C95" s="2" t="s">
        <v>2125</v>
      </c>
      <c r="D95" s="2" t="s">
        <v>2346</v>
      </c>
      <c r="E95" s="2" t="s">
        <v>245</v>
      </c>
      <c r="F95" s="3">
        <v>45681.637499999997</v>
      </c>
      <c r="G95" s="3">
        <v>45681.639016203713</v>
      </c>
      <c r="H95" s="4">
        <v>45758</v>
      </c>
      <c r="I95" s="2" t="s">
        <v>21</v>
      </c>
      <c r="J95" s="2" t="s">
        <v>22</v>
      </c>
      <c r="K95" s="2">
        <v>1</v>
      </c>
      <c r="L95" s="2">
        <v>1254.6099999999999</v>
      </c>
      <c r="M95" s="2">
        <v>0</v>
      </c>
      <c r="N95" s="2">
        <v>875.10577912390897</v>
      </c>
      <c r="O95" s="2">
        <v>1194.8699999999999</v>
      </c>
      <c r="P95" s="2">
        <v>59.74</v>
      </c>
      <c r="Q95" s="2">
        <v>1254.6099999999999</v>
      </c>
      <c r="R95" s="2" t="s">
        <v>44</v>
      </c>
      <c r="S95" s="2"/>
      <c r="T95" s="2">
        <f t="shared" si="27"/>
        <v>1</v>
      </c>
      <c r="U95" s="18">
        <f t="shared" si="28"/>
        <v>1</v>
      </c>
      <c r="V95" s="18">
        <f t="shared" si="29"/>
        <v>2025</v>
      </c>
      <c r="W95" s="18">
        <f t="shared" si="30"/>
        <v>3</v>
      </c>
      <c r="X95" s="18">
        <f t="shared" si="31"/>
        <v>2025</v>
      </c>
      <c r="Y95" s="2">
        <f t="shared" si="24"/>
        <v>0.69751219831175348</v>
      </c>
      <c r="Z95" t="str">
        <f t="shared" si="25"/>
        <v>SO16494</v>
      </c>
      <c r="AA95" s="11">
        <f t="shared" si="32"/>
        <v>45681.637499999997</v>
      </c>
      <c r="AB95" s="5" t="str">
        <f t="shared" si="33"/>
        <v>INV12567</v>
      </c>
      <c r="AC95" s="5" t="str">
        <f>IFERROR(VLOOKUP(D95,CAARStatus!$A$2:$AA$1600,22,FALSE),"Not invoiced")</f>
        <v>Paid</v>
      </c>
      <c r="AD95" s="11">
        <f>IF(AC95="Paid",IFERROR(VLOOKUP(D95,CAARStatus!$A$2:$AA$1600,6,FALSE),"Pending"),"Pending")</f>
        <v>45727</v>
      </c>
      <c r="AE95" s="5" t="str">
        <f t="shared" si="34"/>
        <v>21276</v>
      </c>
      <c r="AF95" s="5" t="str">
        <f t="shared" si="35"/>
        <v>DRN Industriel</v>
      </c>
      <c r="AG95" s="5" t="str">
        <f t="shared" si="36"/>
        <v>CAD</v>
      </c>
      <c r="AH95" s="5">
        <f t="shared" si="37"/>
        <v>1194.8699999999999</v>
      </c>
      <c r="AI95" s="12">
        <f>IF(L95-N95=0,VLOOKUP(U95,rate!A$4:B$15,2,FALSE)*AH95,IF(AG95="USD",O95,AH95*Y95))</f>
        <v>833.43640039676484</v>
      </c>
      <c r="AJ95" s="13">
        <f t="shared" si="38"/>
        <v>0.69751219831175348</v>
      </c>
      <c r="AK95" s="13">
        <f>-IF(AG95="CAD",IFERROR(VLOOKUP(D95,CAARStatus!$A$1:$Y$1600,16,FALSE),0),0)</f>
        <v>-1194.8699999999999</v>
      </c>
      <c r="AL95" s="13">
        <f>-IF(AG95="USD",IFERROR(VLOOKUP(D95,CAARStatus!$A$1:$Y$1600,11,FALSE),0),0)</f>
        <v>0</v>
      </c>
      <c r="AM95" s="22">
        <f t="shared" si="39"/>
        <v>0</v>
      </c>
      <c r="AN95" s="12" t="str">
        <f t="shared" si="40"/>
        <v/>
      </c>
      <c r="AO95" s="12" t="str">
        <f t="shared" si="41"/>
        <v>Yes</v>
      </c>
      <c r="AP95" t="str">
        <f t="shared" si="26"/>
        <v>Yes</v>
      </c>
      <c r="AQ95" t="str">
        <f>IFERROR(VLOOKUP(Z95,InvBal!$L$4:$P$600,4,FALSE),"Pend")</f>
        <v>Pend</v>
      </c>
      <c r="AR95" t="str">
        <f>IFERROR(VLOOKUP(D95,Manual!$C$1:$E$22,2,FALSE),"Pend")</f>
        <v>Pend</v>
      </c>
      <c r="AS95" t="str">
        <f t="shared" si="42"/>
        <v>Yes</v>
      </c>
      <c r="AT95" t="str">
        <f t="shared" si="43"/>
        <v>Yes</v>
      </c>
      <c r="AU95" s="51" t="str">
        <f t="shared" si="44"/>
        <v>Yes</v>
      </c>
      <c r="AV95" s="12">
        <f>IFERROR(VLOOKUP(D95,'Receivable Invoice Detail'!$S$1:$U$3014,3,FALSE),0)</f>
        <v>0</v>
      </c>
      <c r="AW95" s="12">
        <f t="shared" si="45"/>
        <v>833.43640039676484</v>
      </c>
    </row>
    <row r="96" spans="1:49" x14ac:dyDescent="0.25">
      <c r="A96" s="2">
        <v>1</v>
      </c>
      <c r="B96" s="2" t="s">
        <v>2108</v>
      </c>
      <c r="C96" s="2" t="s">
        <v>2109</v>
      </c>
      <c r="D96" s="2" t="s">
        <v>2355</v>
      </c>
      <c r="E96" s="2" t="s">
        <v>171</v>
      </c>
      <c r="F96" s="3">
        <v>45681.696122685193</v>
      </c>
      <c r="G96" s="3">
        <v>45684.686585648153</v>
      </c>
      <c r="H96" s="4">
        <v>45685</v>
      </c>
      <c r="I96" s="2" t="s">
        <v>1132</v>
      </c>
      <c r="J96" s="2" t="s">
        <v>22</v>
      </c>
      <c r="K96" s="2">
        <v>1</v>
      </c>
      <c r="L96" s="2">
        <v>166.72</v>
      </c>
      <c r="M96" s="2">
        <v>0</v>
      </c>
      <c r="N96" s="2">
        <v>115.85710381680499</v>
      </c>
      <c r="O96" s="2">
        <v>158.78</v>
      </c>
      <c r="P96" s="2">
        <v>7.94</v>
      </c>
      <c r="Q96" s="2">
        <v>166.72</v>
      </c>
      <c r="R96" s="2" t="s">
        <v>44</v>
      </c>
      <c r="S96" s="2"/>
      <c r="T96" s="2">
        <f t="shared" si="27"/>
        <v>1</v>
      </c>
      <c r="U96" s="18">
        <f t="shared" si="28"/>
        <v>1</v>
      </c>
      <c r="V96" s="18">
        <f t="shared" si="29"/>
        <v>2025</v>
      </c>
      <c r="W96" s="18">
        <f t="shared" si="30"/>
        <v>2</v>
      </c>
      <c r="X96" s="18">
        <f t="shared" si="31"/>
        <v>2025</v>
      </c>
      <c r="Y96" s="2">
        <f t="shared" si="24"/>
        <v>0.69492024842133515</v>
      </c>
      <c r="Z96" t="str">
        <f t="shared" si="25"/>
        <v>SO16495</v>
      </c>
      <c r="AA96" s="11">
        <f t="shared" si="32"/>
        <v>45681.696122685193</v>
      </c>
      <c r="AB96" s="5" t="str">
        <f t="shared" si="33"/>
        <v>INV12570</v>
      </c>
      <c r="AC96" s="5" t="str">
        <f>IFERROR(VLOOKUP(D96,CAARStatus!$A$2:$AA$1600,22,FALSE),"Not invoiced")</f>
        <v>Paid</v>
      </c>
      <c r="AD96" s="11">
        <f>IF(AC96="Paid",IFERROR(VLOOKUP(D96,CAARStatus!$A$2:$AA$1600,6,FALSE),"Pending"),"Pending")</f>
        <v>45716</v>
      </c>
      <c r="AE96" s="5" t="str">
        <f t="shared" si="34"/>
        <v>2056</v>
      </c>
      <c r="AF96" s="5" t="str">
        <f t="shared" si="35"/>
        <v>FMI Products</v>
      </c>
      <c r="AG96" s="5" t="str">
        <f t="shared" si="36"/>
        <v>CAD</v>
      </c>
      <c r="AH96" s="5">
        <f t="shared" si="37"/>
        <v>158.78</v>
      </c>
      <c r="AI96" s="12">
        <f>IF(L96-N96=0,VLOOKUP(U96,rate!A$4:B$15,2,FALSE)*AH96,IF(AG96="USD",O96,AH96*Y96))</f>
        <v>110.33943704433959</v>
      </c>
      <c r="AJ96" s="13">
        <f t="shared" si="38"/>
        <v>0.69492024842133515</v>
      </c>
      <c r="AK96" s="13">
        <f>-IF(AG96="CAD",IFERROR(VLOOKUP(D96,CAARStatus!$A$1:$Y$1600,16,FALSE),0),0)</f>
        <v>-158.78</v>
      </c>
      <c r="AL96" s="13">
        <f>-IF(AG96="USD",IFERROR(VLOOKUP(D96,CAARStatus!$A$1:$Y$1600,11,FALSE),0),0)</f>
        <v>0</v>
      </c>
      <c r="AM96" s="22">
        <f t="shared" si="39"/>
        <v>0</v>
      </c>
      <c r="AN96" s="12" t="str">
        <f t="shared" si="40"/>
        <v/>
      </c>
      <c r="AO96" s="12" t="str">
        <f t="shared" si="41"/>
        <v>Yes</v>
      </c>
      <c r="AP96" t="str">
        <f t="shared" si="26"/>
        <v>Yes</v>
      </c>
      <c r="AQ96" t="str">
        <f>IFERROR(VLOOKUP(Z96,InvBal!$L$4:$P$600,4,FALSE),"Pend")</f>
        <v>Pend</v>
      </c>
      <c r="AR96" t="str">
        <f>IFERROR(VLOOKUP(D96,Manual!$C$1:$E$22,2,FALSE),"Pend")</f>
        <v>Pend</v>
      </c>
      <c r="AS96" t="str">
        <f t="shared" si="42"/>
        <v>Yes</v>
      </c>
      <c r="AT96" t="str">
        <f t="shared" si="43"/>
        <v>Yes</v>
      </c>
      <c r="AU96" s="51" t="str">
        <f t="shared" si="44"/>
        <v>Yes</v>
      </c>
      <c r="AV96" s="12">
        <f>IFERROR(VLOOKUP(D96,'Receivable Invoice Detail'!$S$1:$U$3014,3,FALSE),0)</f>
        <v>0</v>
      </c>
      <c r="AW96" s="12">
        <f t="shared" si="45"/>
        <v>110.33943704433959</v>
      </c>
    </row>
    <row r="97" spans="1:49" ht="30" x14ac:dyDescent="0.25">
      <c r="A97" s="2">
        <v>2</v>
      </c>
      <c r="B97" s="2" t="s">
        <v>2116</v>
      </c>
      <c r="C97" s="2" t="s">
        <v>2117</v>
      </c>
      <c r="D97" s="2" t="s">
        <v>2351</v>
      </c>
      <c r="E97" s="2" t="s">
        <v>353</v>
      </c>
      <c r="F97" s="3">
        <v>45684.515011574083</v>
      </c>
      <c r="G97" s="3">
        <v>45684.524189814823</v>
      </c>
      <c r="H97" s="4">
        <v>45705</v>
      </c>
      <c r="I97" s="2" t="s">
        <v>21</v>
      </c>
      <c r="J97" s="2" t="s">
        <v>22</v>
      </c>
      <c r="K97" s="2">
        <v>1</v>
      </c>
      <c r="L97" s="2">
        <v>9975.8700000000008</v>
      </c>
      <c r="M97" s="2">
        <v>0</v>
      </c>
      <c r="N97" s="2">
        <v>6932.4340586189428</v>
      </c>
      <c r="O97" s="2">
        <v>9500.83</v>
      </c>
      <c r="P97" s="2">
        <v>475.04</v>
      </c>
      <c r="Q97" s="2">
        <v>9975.8700000000008</v>
      </c>
      <c r="R97" s="2" t="s">
        <v>44</v>
      </c>
      <c r="S97" s="2"/>
      <c r="T97" s="2">
        <f t="shared" si="27"/>
        <v>2</v>
      </c>
      <c r="U97" s="18">
        <f t="shared" si="28"/>
        <v>1</v>
      </c>
      <c r="V97" s="18">
        <f t="shared" si="29"/>
        <v>2025</v>
      </c>
      <c r="W97" s="18">
        <f t="shared" si="30"/>
        <v>3</v>
      </c>
      <c r="X97" s="18">
        <f t="shared" si="31"/>
        <v>2025</v>
      </c>
      <c r="Y97" s="2">
        <f t="shared" si="24"/>
        <v>0.69492024842133493</v>
      </c>
      <c r="Z97" t="str">
        <f t="shared" si="25"/>
        <v>SO16496</v>
      </c>
      <c r="AA97" s="11">
        <f t="shared" si="32"/>
        <v>45684.515011574083</v>
      </c>
      <c r="AB97" s="5" t="str">
        <f t="shared" si="33"/>
        <v>INV12596</v>
      </c>
      <c r="AC97" s="5" t="str">
        <f>IFERROR(VLOOKUP(D97,CAARStatus!$A$2:$AA$1600,22,FALSE),"Not invoiced")</f>
        <v>Paid</v>
      </c>
      <c r="AD97" s="11">
        <f>IF(AC97="Paid",IFERROR(VLOOKUP(D97,CAARStatus!$A$2:$AA$1600,6,FALSE),"Pending"),"Pending")</f>
        <v>45740</v>
      </c>
      <c r="AE97" s="5" t="str">
        <f t="shared" si="34"/>
        <v>6336</v>
      </c>
      <c r="AF97" s="5" t="str">
        <f t="shared" si="35"/>
        <v>ProPart Pompes du Canada 9425-4380 Quebec Inc</v>
      </c>
      <c r="AG97" s="5" t="str">
        <f t="shared" si="36"/>
        <v>CAD</v>
      </c>
      <c r="AH97" s="5">
        <f t="shared" si="37"/>
        <v>9500.83</v>
      </c>
      <c r="AI97" s="12">
        <f>IF(L97-N97=0,VLOOKUP(U97,rate!A$4:B$15,2,FALSE)*AH97,IF(AG97="USD",O97,AH97*Y97))</f>
        <v>6602.3191438088716</v>
      </c>
      <c r="AJ97" s="13">
        <f t="shared" si="38"/>
        <v>0.69492024842133493</v>
      </c>
      <c r="AK97" s="13">
        <f>-IF(AG97="CAD",IFERROR(VLOOKUP(D97,CAARStatus!$A$1:$Y$1600,16,FALSE),0),0)</f>
        <v>-8614.85</v>
      </c>
      <c r="AL97" s="13">
        <f>-IF(AG97="USD",IFERROR(VLOOKUP(D97,CAARStatus!$A$1:$Y$1600,11,FALSE),0),0)</f>
        <v>0</v>
      </c>
      <c r="AM97" s="22">
        <f t="shared" si="39"/>
        <v>885.97999999999956</v>
      </c>
      <c r="AN97" s="12" t="str">
        <f t="shared" si="40"/>
        <v/>
      </c>
      <c r="AO97" s="12" t="str">
        <f t="shared" si="41"/>
        <v>Yes</v>
      </c>
      <c r="AP97" t="str">
        <f t="shared" si="26"/>
        <v>XX</v>
      </c>
      <c r="AQ97" t="str">
        <f>IFERROR(VLOOKUP(Z97,InvBal!$L$4:$P$600,4,FALSE),"Pend")</f>
        <v>Yes</v>
      </c>
      <c r="AR97" t="str">
        <f>IFERROR(VLOOKUP(D97,Manual!$C$1:$E$22,2,FALSE),"Pend")</f>
        <v>Pend</v>
      </c>
      <c r="AS97" t="str">
        <f t="shared" si="42"/>
        <v>Yes</v>
      </c>
      <c r="AT97" t="str">
        <f t="shared" si="43"/>
        <v>Yes</v>
      </c>
      <c r="AU97" s="51" t="str">
        <f t="shared" si="44"/>
        <v>Yes</v>
      </c>
      <c r="AV97" s="12">
        <f>IFERROR(VLOOKUP(D97,'Receivable Invoice Detail'!$S$1:$U$3014,3,FALSE),0)</f>
        <v>0</v>
      </c>
      <c r="AW97" s="12">
        <f t="shared" si="45"/>
        <v>6602.3191438088716</v>
      </c>
    </row>
    <row r="98" spans="1:49" x14ac:dyDescent="0.25">
      <c r="A98" s="2"/>
      <c r="B98" s="2"/>
      <c r="C98" s="2"/>
      <c r="D98" s="2" t="s">
        <v>2350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>
        <f t="shared" si="27"/>
        <v>2</v>
      </c>
      <c r="U98" s="18">
        <f t="shared" si="28"/>
        <v>1</v>
      </c>
      <c r="V98" s="18">
        <f t="shared" si="29"/>
        <v>2025</v>
      </c>
      <c r="W98" s="18">
        <f t="shared" si="30"/>
        <v>3</v>
      </c>
      <c r="X98" s="18">
        <f t="shared" si="31"/>
        <v>2025</v>
      </c>
      <c r="Y98" s="2">
        <f t="shared" si="24"/>
        <v>0.69492024842133493</v>
      </c>
      <c r="Z98" t="str">
        <f t="shared" si="25"/>
        <v>SO16496</v>
      </c>
      <c r="AA98" s="11">
        <f t="shared" si="32"/>
        <v>45684.515011574083</v>
      </c>
      <c r="AB98" s="5" t="str">
        <f t="shared" si="33"/>
        <v>INV12620</v>
      </c>
      <c r="AC98" s="5" t="str">
        <f>IFERROR(VLOOKUP(D98,CAARStatus!$A$2:$AA$1600,22,FALSE),"Not invoiced")</f>
        <v>Paid</v>
      </c>
      <c r="AD98" s="11">
        <f>IF(AC98="Paid",IFERROR(VLOOKUP(D98,CAARStatus!$A$2:$AA$1600,6,FALSE),"Pending"),"Pending")</f>
        <v>45740</v>
      </c>
      <c r="AE98" s="5" t="str">
        <f t="shared" si="34"/>
        <v>6336</v>
      </c>
      <c r="AF98" s="5" t="str">
        <f t="shared" si="35"/>
        <v>ProPart Pompes du Canada 9425-4380 Quebec Inc</v>
      </c>
      <c r="AG98" s="5" t="str">
        <f t="shared" si="36"/>
        <v>CAD</v>
      </c>
      <c r="AH98" s="5">
        <f t="shared" si="37"/>
        <v>0</v>
      </c>
      <c r="AI98" s="12">
        <f>IF(L98-N98=0,VLOOKUP(U98,rate!A$4:B$15,2,FALSE)*AH98,IF(AG98="USD",O98,AH98*Y98))</f>
        <v>0</v>
      </c>
      <c r="AJ98" s="13">
        <f t="shared" si="38"/>
        <v>0</v>
      </c>
      <c r="AK98" s="13">
        <f>-IF(AG98="CAD",IFERROR(VLOOKUP(D98,CAARStatus!$A$1:$Y$1600,16,FALSE),0),0)</f>
        <v>-885.98</v>
      </c>
      <c r="AL98" s="13">
        <f>-IF(AG98="USD",IFERROR(VLOOKUP(D98,CAARStatus!$A$1:$Y$1600,11,FALSE),0),0)</f>
        <v>0</v>
      </c>
      <c r="AM98" s="22">
        <f t="shared" si="39"/>
        <v>-885.98</v>
      </c>
      <c r="AN98" s="12" t="str">
        <f t="shared" si="40"/>
        <v/>
      </c>
      <c r="AO98" s="12" t="str">
        <f t="shared" si="41"/>
        <v>Yes</v>
      </c>
      <c r="AP98" t="str">
        <f t="shared" si="26"/>
        <v>XX</v>
      </c>
      <c r="AQ98" t="str">
        <f>IFERROR(VLOOKUP(Z98,InvBal!$L$4:$P$600,4,FALSE),"Pend")</f>
        <v>Yes</v>
      </c>
      <c r="AR98" t="str">
        <f>IFERROR(VLOOKUP(D98,Manual!$C$1:$E$22,2,FALSE),"Pend")</f>
        <v>Pend</v>
      </c>
      <c r="AS98" t="str">
        <f t="shared" si="42"/>
        <v>Yes</v>
      </c>
      <c r="AT98" t="str">
        <f t="shared" si="43"/>
        <v/>
      </c>
      <c r="AU98" s="51" t="str">
        <f t="shared" si="44"/>
        <v/>
      </c>
      <c r="AV98" s="12">
        <f>IFERROR(VLOOKUP(D98,'Receivable Invoice Detail'!$S$1:$U$3014,3,FALSE),0)</f>
        <v>0</v>
      </c>
      <c r="AW98" s="12">
        <f t="shared" si="45"/>
        <v>0</v>
      </c>
    </row>
    <row r="99" spans="1:49" x14ac:dyDescent="0.25">
      <c r="A99" s="2">
        <v>1</v>
      </c>
      <c r="B99" s="2" t="s">
        <v>2088</v>
      </c>
      <c r="C99" s="2" t="s">
        <v>2089</v>
      </c>
      <c r="D99" s="2" t="s">
        <v>2367</v>
      </c>
      <c r="E99" s="2" t="s">
        <v>61</v>
      </c>
      <c r="F99" s="3">
        <v>45684.643483796302</v>
      </c>
      <c r="G99" s="3">
        <v>45686.559201388889</v>
      </c>
      <c r="H99" s="4">
        <v>45756</v>
      </c>
      <c r="I99" s="2" t="s">
        <v>21</v>
      </c>
      <c r="J99" s="2" t="s">
        <v>51</v>
      </c>
      <c r="K99" s="2">
        <v>0.69492024842133493</v>
      </c>
      <c r="L99" s="2">
        <v>3672.3350712508191</v>
      </c>
      <c r="M99" s="2">
        <v>0</v>
      </c>
      <c r="N99" s="2">
        <v>2551.98</v>
      </c>
      <c r="O99" s="2">
        <v>2551.98</v>
      </c>
      <c r="P99" s="2"/>
      <c r="Q99" s="2">
        <v>2551.98</v>
      </c>
      <c r="R99" s="2" t="s">
        <v>44</v>
      </c>
      <c r="S99" s="2"/>
      <c r="T99" s="2">
        <f t="shared" si="27"/>
        <v>1</v>
      </c>
      <c r="U99" s="18">
        <f t="shared" si="28"/>
        <v>1</v>
      </c>
      <c r="V99" s="18">
        <f t="shared" si="29"/>
        <v>2025</v>
      </c>
      <c r="W99" s="18">
        <f t="shared" si="30"/>
        <v>6</v>
      </c>
      <c r="X99" s="18">
        <f t="shared" si="31"/>
        <v>2025</v>
      </c>
      <c r="Y99" s="2">
        <f t="shared" si="24"/>
        <v>0.69492024842133493</v>
      </c>
      <c r="Z99" t="str">
        <f t="shared" si="25"/>
        <v>SO16497</v>
      </c>
      <c r="AA99" s="11">
        <f t="shared" si="32"/>
        <v>45684.643483796302</v>
      </c>
      <c r="AB99" s="5" t="str">
        <f t="shared" si="33"/>
        <v>INV12856</v>
      </c>
      <c r="AC99" s="5" t="str">
        <f>IFERROR(VLOOKUP(D99,CAARStatus!$A$2:$AA$1600,22,FALSE),"Not invoiced")</f>
        <v>Paid</v>
      </c>
      <c r="AD99" s="11">
        <f>IF(AC99="Paid",IFERROR(VLOOKUP(D99,CAARStatus!$A$2:$AA$1600,6,FALSE),"Pending"),"Pending")</f>
        <v>45822</v>
      </c>
      <c r="AE99" s="5" t="str">
        <f t="shared" si="34"/>
        <v>PONV-25-0210</v>
      </c>
      <c r="AF99" s="5" t="str">
        <f t="shared" si="35"/>
        <v>Tech-Flow</v>
      </c>
      <c r="AG99" s="5" t="str">
        <f t="shared" si="36"/>
        <v>USD</v>
      </c>
      <c r="AH99" s="5">
        <f t="shared" si="37"/>
        <v>3672.3350712508191</v>
      </c>
      <c r="AI99" s="12">
        <f>IF(L99-N99=0,VLOOKUP(U99,rate!A$4:B$15,2,FALSE)*AH99,IF(AG99="USD",O99,AH99*Y99))</f>
        <v>2551.98</v>
      </c>
      <c r="AJ99" s="13">
        <f t="shared" si="38"/>
        <v>0.69492024842133493</v>
      </c>
      <c r="AK99" s="13">
        <f>-IF(AG99="CAD",IFERROR(VLOOKUP(D99,CAARStatus!$A$1:$Y$1600,16,FALSE),0),0)</f>
        <v>0</v>
      </c>
      <c r="AL99" s="13">
        <f>-IF(AG99="USD",IFERROR(VLOOKUP(D99,CAARStatus!$A$1:$Y$1600,11,FALSE),0),0)</f>
        <v>-2551.98</v>
      </c>
      <c r="AM99" s="22" t="str">
        <f t="shared" si="39"/>
        <v/>
      </c>
      <c r="AN99" s="12">
        <f t="shared" si="40"/>
        <v>0</v>
      </c>
      <c r="AO99" s="12" t="str">
        <f t="shared" si="41"/>
        <v>Yes</v>
      </c>
      <c r="AP99" t="str">
        <f t="shared" si="26"/>
        <v>Yes</v>
      </c>
      <c r="AQ99" t="str">
        <f>IFERROR(VLOOKUP(Z99,InvBal!$L$4:$P$600,4,FALSE),"Pend")</f>
        <v>Pend</v>
      </c>
      <c r="AR99" t="str">
        <f>IFERROR(VLOOKUP(D99,Manual!$C$1:$E$22,2,FALSE),"Pend")</f>
        <v>Pend</v>
      </c>
      <c r="AS99" t="str">
        <f t="shared" si="42"/>
        <v>Yes</v>
      </c>
      <c r="AT99" t="str">
        <f t="shared" si="43"/>
        <v>Yes</v>
      </c>
      <c r="AU99" s="51" t="str">
        <f t="shared" si="44"/>
        <v>Yes</v>
      </c>
      <c r="AV99" s="12">
        <f>IFERROR(VLOOKUP(D99,'Receivable Invoice Detail'!$S$1:$U$3014,3,FALSE),0)</f>
        <v>0</v>
      </c>
      <c r="AW99" s="12">
        <f t="shared" si="45"/>
        <v>2551.98</v>
      </c>
    </row>
    <row r="100" spans="1:49" ht="30" x14ac:dyDescent="0.25">
      <c r="A100" s="2">
        <v>1</v>
      </c>
      <c r="B100" s="2" t="s">
        <v>2106</v>
      </c>
      <c r="C100" s="2" t="s">
        <v>2107</v>
      </c>
      <c r="D100" s="2" t="s">
        <v>2356</v>
      </c>
      <c r="E100" s="2" t="s">
        <v>98</v>
      </c>
      <c r="F100" s="3">
        <v>45685.307245370372</v>
      </c>
      <c r="G100" s="3">
        <v>45685.404328703713</v>
      </c>
      <c r="H100" s="4">
        <v>45686</v>
      </c>
      <c r="I100" s="2" t="s">
        <v>21</v>
      </c>
      <c r="J100" s="2" t="s">
        <v>22</v>
      </c>
      <c r="K100" s="2">
        <v>1</v>
      </c>
      <c r="L100" s="2">
        <v>5751.01</v>
      </c>
      <c r="M100" s="2">
        <v>0</v>
      </c>
      <c r="N100" s="2">
        <v>3995.620152112082</v>
      </c>
      <c r="O100" s="2">
        <v>5089.3900000000003</v>
      </c>
      <c r="P100" s="2">
        <v>661.62</v>
      </c>
      <c r="Q100" s="2">
        <v>5751.01</v>
      </c>
      <c r="R100" s="2" t="s">
        <v>44</v>
      </c>
      <c r="S100" s="2"/>
      <c r="T100" s="2">
        <f t="shared" si="27"/>
        <v>1</v>
      </c>
      <c r="U100" s="18">
        <f t="shared" si="28"/>
        <v>1</v>
      </c>
      <c r="V100" s="18">
        <f t="shared" si="29"/>
        <v>2025</v>
      </c>
      <c r="W100" s="18">
        <f t="shared" si="30"/>
        <v>2</v>
      </c>
      <c r="X100" s="18">
        <f t="shared" si="31"/>
        <v>2025</v>
      </c>
      <c r="Y100" s="2">
        <f t="shared" si="24"/>
        <v>0.69476842365290303</v>
      </c>
      <c r="Z100" t="str">
        <f t="shared" si="25"/>
        <v>SO16498</v>
      </c>
      <c r="AA100" s="11">
        <f t="shared" si="32"/>
        <v>45685.307245370372</v>
      </c>
      <c r="AB100" s="5" t="str">
        <f t="shared" si="33"/>
        <v>INV12594</v>
      </c>
      <c r="AC100" s="5" t="str">
        <f>IFERROR(VLOOKUP(D100,CAARStatus!$A$2:$AA$1600,22,FALSE),"Not invoiced")</f>
        <v>Paid</v>
      </c>
      <c r="AD100" s="11">
        <f>IF(AC100="Paid",IFERROR(VLOOKUP(D100,CAARStatus!$A$2:$AA$1600,6,FALSE),"Pending"),"Pending")</f>
        <v>45707</v>
      </c>
      <c r="AE100" s="5" t="str">
        <f t="shared" si="34"/>
        <v>007708</v>
      </c>
      <c r="AF100" s="5" t="str">
        <f t="shared" si="35"/>
        <v>Sling-Choker Manufacturing - Timmins</v>
      </c>
      <c r="AG100" s="5" t="str">
        <f t="shared" si="36"/>
        <v>CAD</v>
      </c>
      <c r="AH100" s="5">
        <f t="shared" si="37"/>
        <v>5089.3900000000003</v>
      </c>
      <c r="AI100" s="12">
        <f>IF(L100-N100=0,VLOOKUP(U100,rate!A$4:B$15,2,FALSE)*AH100,IF(AG100="USD",O100,AH100*Y100))</f>
        <v>3535.9474676548484</v>
      </c>
      <c r="AJ100" s="13">
        <f t="shared" si="38"/>
        <v>0.69476842365290303</v>
      </c>
      <c r="AK100" s="13">
        <f>-IF(AG100="CAD",IFERROR(VLOOKUP(D100,CAARStatus!$A$1:$Y$1600,16,FALSE),0),0)</f>
        <v>-5089.3900000000003</v>
      </c>
      <c r="AL100" s="13">
        <f>-IF(AG100="USD",IFERROR(VLOOKUP(D100,CAARStatus!$A$1:$Y$1600,11,FALSE),0),0)</f>
        <v>0</v>
      </c>
      <c r="AM100" s="22">
        <f t="shared" si="39"/>
        <v>0</v>
      </c>
      <c r="AN100" s="12" t="str">
        <f t="shared" si="40"/>
        <v/>
      </c>
      <c r="AO100" s="12" t="str">
        <f t="shared" si="41"/>
        <v>Yes</v>
      </c>
      <c r="AP100" t="str">
        <f t="shared" si="26"/>
        <v>Yes</v>
      </c>
      <c r="AQ100" t="str">
        <f>IFERROR(VLOOKUP(Z100,InvBal!$L$4:$P$600,4,FALSE),"Pend")</f>
        <v>Pend</v>
      </c>
      <c r="AR100" t="str">
        <f>IFERROR(VLOOKUP(D100,Manual!$C$1:$E$22,2,FALSE),"Pend")</f>
        <v>Pend</v>
      </c>
      <c r="AS100" t="str">
        <f t="shared" si="42"/>
        <v>Yes</v>
      </c>
      <c r="AT100" t="str">
        <f t="shared" si="43"/>
        <v>Yes</v>
      </c>
      <c r="AU100" s="51" t="str">
        <f t="shared" si="44"/>
        <v>Yes</v>
      </c>
      <c r="AV100" s="12">
        <f>IFERROR(VLOOKUP(D100,'Receivable Invoice Detail'!$S$1:$U$3014,3,FALSE),0)</f>
        <v>0</v>
      </c>
      <c r="AW100" s="12">
        <f t="shared" si="45"/>
        <v>3535.9474676548484</v>
      </c>
    </row>
    <row r="101" spans="1:49" ht="30" x14ac:dyDescent="0.25">
      <c r="A101" s="2">
        <v>1</v>
      </c>
      <c r="B101" s="2" t="s">
        <v>2086</v>
      </c>
      <c r="C101" s="2" t="s">
        <v>2087</v>
      </c>
      <c r="D101" s="2" t="s">
        <v>2368</v>
      </c>
      <c r="E101" s="2" t="s">
        <v>83</v>
      </c>
      <c r="F101" s="3">
        <v>45685.392881944441</v>
      </c>
      <c r="G101" s="3">
        <v>45686.69902777778</v>
      </c>
      <c r="H101" s="4">
        <v>45687</v>
      </c>
      <c r="I101" s="2" t="s">
        <v>21</v>
      </c>
      <c r="J101" s="2" t="s">
        <v>22</v>
      </c>
      <c r="K101" s="2">
        <v>1</v>
      </c>
      <c r="L101" s="2">
        <v>4138.54</v>
      </c>
      <c r="M101" s="2">
        <v>4138.54</v>
      </c>
      <c r="N101" s="2">
        <v>4138.54</v>
      </c>
      <c r="O101" s="2">
        <v>3662.42</v>
      </c>
      <c r="P101" s="2">
        <v>476.12</v>
      </c>
      <c r="Q101" s="2">
        <v>4138.54</v>
      </c>
      <c r="R101" s="2" t="s">
        <v>44</v>
      </c>
      <c r="S101" s="2"/>
      <c r="T101" s="2">
        <f t="shared" si="27"/>
        <v>1</v>
      </c>
      <c r="U101" s="18">
        <f t="shared" si="28"/>
        <v>1</v>
      </c>
      <c r="V101" s="18">
        <f t="shared" si="29"/>
        <v>2025</v>
      </c>
      <c r="W101" s="18">
        <f t="shared" si="30"/>
        <v>2</v>
      </c>
      <c r="X101" s="18">
        <f t="shared" si="31"/>
        <v>2025</v>
      </c>
      <c r="Y101" s="2">
        <f t="shared" si="24"/>
        <v>1</v>
      </c>
      <c r="Z101" t="str">
        <f t="shared" si="25"/>
        <v>SO16499</v>
      </c>
      <c r="AA101" s="11">
        <f t="shared" si="32"/>
        <v>45685.392881944441</v>
      </c>
      <c r="AB101" s="5" t="str">
        <f t="shared" si="33"/>
        <v>INV12580</v>
      </c>
      <c r="AC101" s="5" t="str">
        <f>IFERROR(VLOOKUP(D101,CAARStatus!$A$2:$AA$1600,22,FALSE),"Not invoiced")</f>
        <v>Paid</v>
      </c>
      <c r="AD101" s="11">
        <f>IF(AC101="Paid",IFERROR(VLOOKUP(D101,CAARStatus!$A$2:$AA$1600,6,FALSE),"Pending"),"Pending")</f>
        <v>45708</v>
      </c>
      <c r="AE101" s="5" t="str">
        <f t="shared" si="34"/>
        <v>6500016472</v>
      </c>
      <c r="AF101" s="5" t="str">
        <f t="shared" si="35"/>
        <v>Wesdome Gold Mines Ltd - Eagle River Mine</v>
      </c>
      <c r="AG101" s="5" t="str">
        <f t="shared" si="36"/>
        <v>CAD</v>
      </c>
      <c r="AH101" s="5">
        <f t="shared" si="37"/>
        <v>3662.42</v>
      </c>
      <c r="AI101" s="12">
        <f>IF(L101-N101=0,VLOOKUP(U101,rate!A$4:B$15,2,FALSE)*AH101,IF(AG101="USD",O101,AH101*Y101))</f>
        <v>2544.2030010122567</v>
      </c>
      <c r="AJ101" s="13">
        <f t="shared" si="38"/>
        <v>0.69467810928627971</v>
      </c>
      <c r="AK101" s="13">
        <f>-IF(AG101="CAD",IFERROR(VLOOKUP(D101,CAARStatus!$A$1:$Y$1600,16,FALSE),0),0)</f>
        <v>-3662.42</v>
      </c>
      <c r="AL101" s="13">
        <f>-IF(AG101="USD",IFERROR(VLOOKUP(D101,CAARStatus!$A$1:$Y$1600,11,FALSE),0),0)</f>
        <v>0</v>
      </c>
      <c r="AM101" s="22">
        <f t="shared" si="39"/>
        <v>0</v>
      </c>
      <c r="AN101" s="12" t="str">
        <f t="shared" si="40"/>
        <v/>
      </c>
      <c r="AO101" s="12" t="str">
        <f t="shared" si="41"/>
        <v>Yes</v>
      </c>
      <c r="AP101" t="str">
        <f t="shared" si="26"/>
        <v>Yes</v>
      </c>
      <c r="AQ101" t="str">
        <f>IFERROR(VLOOKUP(Z101,InvBal!$L$4:$P$600,4,FALSE),"Pend")</f>
        <v>Pend</v>
      </c>
      <c r="AR101" t="str">
        <f>IFERROR(VLOOKUP(D101,Manual!$C$1:$E$22,2,FALSE),"Pend")</f>
        <v>Pend</v>
      </c>
      <c r="AS101" t="str">
        <f t="shared" si="42"/>
        <v>Yes</v>
      </c>
      <c r="AT101" t="str">
        <f t="shared" si="43"/>
        <v>Yes</v>
      </c>
      <c r="AU101" s="51" t="str">
        <f t="shared" si="44"/>
        <v>Yes</v>
      </c>
      <c r="AV101" s="12">
        <f>IFERROR(VLOOKUP(D101,'Receivable Invoice Detail'!$S$1:$U$3014,3,FALSE),0)</f>
        <v>0</v>
      </c>
      <c r="AW101" s="12">
        <f t="shared" si="45"/>
        <v>2544.2030010122567</v>
      </c>
    </row>
    <row r="102" spans="1:49" ht="45" x14ac:dyDescent="0.25">
      <c r="A102" s="2">
        <v>2</v>
      </c>
      <c r="B102" s="2" t="s">
        <v>2096</v>
      </c>
      <c r="C102" s="2" t="s">
        <v>2097</v>
      </c>
      <c r="D102" s="2" t="s">
        <v>2363</v>
      </c>
      <c r="E102" s="2" t="s">
        <v>465</v>
      </c>
      <c r="F102" s="3">
        <v>45685.549560185187</v>
      </c>
      <c r="G102" s="3">
        <v>45686.406909722216</v>
      </c>
      <c r="H102" s="4">
        <v>45687</v>
      </c>
      <c r="I102" s="2" t="s">
        <v>21</v>
      </c>
      <c r="J102" s="2" t="s">
        <v>22</v>
      </c>
      <c r="K102" s="2">
        <v>1</v>
      </c>
      <c r="L102" s="2">
        <v>6676.97</v>
      </c>
      <c r="M102" s="2">
        <v>6676.97</v>
      </c>
      <c r="N102" s="2">
        <v>6676.97</v>
      </c>
      <c r="O102" s="2">
        <v>5908.82</v>
      </c>
      <c r="P102" s="2">
        <v>768.15</v>
      </c>
      <c r="Q102" s="2">
        <v>6676.97</v>
      </c>
      <c r="R102" s="2" t="s">
        <v>23</v>
      </c>
      <c r="S102" s="2"/>
      <c r="T102" s="2">
        <f t="shared" si="27"/>
        <v>2</v>
      </c>
      <c r="U102" s="18">
        <f t="shared" si="28"/>
        <v>1</v>
      </c>
      <c r="V102" s="18">
        <f t="shared" si="29"/>
        <v>2025</v>
      </c>
      <c r="W102" s="18" t="str">
        <f t="shared" si="30"/>
        <v/>
      </c>
      <c r="X102" s="18" t="str">
        <f t="shared" si="31"/>
        <v/>
      </c>
      <c r="Y102" s="2">
        <f t="shared" si="24"/>
        <v>1</v>
      </c>
      <c r="Z102" t="str">
        <f t="shared" si="25"/>
        <v>SO16501</v>
      </c>
      <c r="AA102" s="11">
        <f t="shared" si="32"/>
        <v>45685.549560185187</v>
      </c>
      <c r="AB102" s="5" t="str">
        <f t="shared" si="33"/>
        <v>RINV/2025/00001 (Reversal of: INV12581)</v>
      </c>
      <c r="AC102" s="5" t="str">
        <f>IFERROR(VLOOKUP(D102,CAARStatus!$A$2:$AA$1600,22,FALSE),"Not invoiced")</f>
        <v>Not invoiced</v>
      </c>
      <c r="AD102" s="11" t="str">
        <f>IF(AC102="Paid",IFERROR(VLOOKUP(D102,CAARStatus!$A$2:$AA$1600,6,FALSE),"Pending"),"Pending")</f>
        <v>Pending</v>
      </c>
      <c r="AE102" s="5" t="str">
        <f t="shared" si="34"/>
        <v>M-083516</v>
      </c>
      <c r="AF102" s="5" t="str">
        <f t="shared" si="35"/>
        <v>Grant Aggregate</v>
      </c>
      <c r="AG102" s="5" t="str">
        <f t="shared" si="36"/>
        <v>CAD</v>
      </c>
      <c r="AH102" s="5">
        <f t="shared" si="37"/>
        <v>5908.82</v>
      </c>
      <c r="AI102" s="12">
        <f>IF(L102-N102=0,VLOOKUP(U102,rate!A$4:B$15,2,FALSE)*AH102,IF(AG102="USD",O102,AH102*Y102))</f>
        <v>4104.7279057129554</v>
      </c>
      <c r="AJ102" s="13">
        <f t="shared" si="38"/>
        <v>0.69467810928627971</v>
      </c>
      <c r="AK102" s="61">
        <f>IF(AC102="Paid",-IF(AG102="CAD",IFERROR(VLOOKUP(D102,CAARStatus!$A$1:$Y$1600,16,FALSE),0),0),0)</f>
        <v>0</v>
      </c>
      <c r="AL102" s="61">
        <f>IF(AC102="Paid",-IF(AG102="USD",IFERROR(VLOOKUP(D102,CAARStatus!$A$1:$Y$1600,11,FALSE),0),0),0)</f>
        <v>0</v>
      </c>
      <c r="AM102" s="22">
        <f t="shared" si="39"/>
        <v>5908.82</v>
      </c>
      <c r="AN102" s="12" t="str">
        <f t="shared" si="40"/>
        <v/>
      </c>
      <c r="AO102" s="12" t="str">
        <f t="shared" si="41"/>
        <v>Pend</v>
      </c>
      <c r="AP102" t="str">
        <f t="shared" si="26"/>
        <v>XX</v>
      </c>
      <c r="AQ102">
        <f>IFERROR(VLOOKUP(Z102,InvBal!$L$4:$P$600,4,FALSE),"Pend")</f>
        <v>0</v>
      </c>
      <c r="AR102" t="str">
        <f>IFERROR(VLOOKUP(D102,Manual!$C$1:$E$22,2,FALSE),"Pend")</f>
        <v>Pend</v>
      </c>
      <c r="AS102" t="str">
        <f t="shared" si="42"/>
        <v/>
      </c>
      <c r="AT102" t="str">
        <f t="shared" si="43"/>
        <v/>
      </c>
      <c r="AU102" s="51" t="str">
        <f t="shared" si="44"/>
        <v/>
      </c>
      <c r="AV102" s="12">
        <f>IFERROR(VLOOKUP(D102,'Receivable Invoice Detail'!$S$1:$U$3014,3,FALSE),0)</f>
        <v>0</v>
      </c>
      <c r="AW102" s="12">
        <f t="shared" si="45"/>
        <v>0</v>
      </c>
    </row>
    <row r="103" spans="1:49" x14ac:dyDescent="0.25">
      <c r="A103" s="2"/>
      <c r="B103" s="2"/>
      <c r="C103" s="2"/>
      <c r="D103" s="2" t="s">
        <v>2362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>
        <f t="shared" si="27"/>
        <v>2</v>
      </c>
      <c r="U103" s="18">
        <f t="shared" si="28"/>
        <v>1</v>
      </c>
      <c r="V103" s="18">
        <f t="shared" si="29"/>
        <v>2025</v>
      </c>
      <c r="W103" s="18">
        <f t="shared" si="30"/>
        <v>3</v>
      </c>
      <c r="X103" s="18">
        <f t="shared" si="31"/>
        <v>2025</v>
      </c>
      <c r="Y103" s="2">
        <f t="shared" si="24"/>
        <v>1</v>
      </c>
      <c r="Z103" t="str">
        <f t="shared" si="25"/>
        <v>SO16501</v>
      </c>
      <c r="AA103" s="11">
        <f t="shared" si="32"/>
        <v>45685.549560185187</v>
      </c>
      <c r="AB103" s="5" t="str">
        <f t="shared" si="33"/>
        <v>INV12581</v>
      </c>
      <c r="AC103" s="5" t="str">
        <f>IFERROR(VLOOKUP(D103,CAARStatus!$A$2:$AA$1600,22,FALSE),"Not invoiced")</f>
        <v>Paid</v>
      </c>
      <c r="AD103" s="11">
        <f>IF(AC103="Paid",IFERROR(VLOOKUP(D103,CAARStatus!$A$2:$AA$1600,6,FALSE),"Pending"),"Pending")</f>
        <v>45721</v>
      </c>
      <c r="AE103" s="5" t="str">
        <f t="shared" si="34"/>
        <v>M-083516</v>
      </c>
      <c r="AF103" s="5" t="str">
        <f t="shared" si="35"/>
        <v>Grant Aggregate</v>
      </c>
      <c r="AG103" s="5" t="str">
        <f t="shared" si="36"/>
        <v>CAD</v>
      </c>
      <c r="AH103" s="5">
        <f t="shared" si="37"/>
        <v>0</v>
      </c>
      <c r="AI103" s="12">
        <f>IF(L103-N103=0,VLOOKUP(U103,rate!A$4:B$15,2,FALSE)*AH103,IF(AG103="USD",O103,AH103*Y103))</f>
        <v>0</v>
      </c>
      <c r="AJ103" s="13">
        <f t="shared" si="38"/>
        <v>0</v>
      </c>
      <c r="AK103" s="13">
        <f>-IF(AG103="CAD",IFERROR(VLOOKUP(D103,CAARStatus!$A$1:$Y$1600,16,FALSE),0),0)</f>
        <v>-7811.79</v>
      </c>
      <c r="AL103" s="13">
        <f>-IF(AG103="USD",IFERROR(VLOOKUP(D103,CAARStatus!$A$1:$Y$1600,11,FALSE),0),0)</f>
        <v>0</v>
      </c>
      <c r="AM103" s="22">
        <f t="shared" si="39"/>
        <v>-7811.79</v>
      </c>
      <c r="AN103" s="12" t="str">
        <f t="shared" si="40"/>
        <v/>
      </c>
      <c r="AO103" s="12" t="str">
        <f t="shared" si="41"/>
        <v>Yes</v>
      </c>
      <c r="AP103" t="str">
        <f t="shared" si="26"/>
        <v>XX</v>
      </c>
      <c r="AQ103">
        <f>IFERROR(VLOOKUP(Z103,InvBal!$L$4:$P$600,4,FALSE),"Pend")</f>
        <v>0</v>
      </c>
      <c r="AR103" t="str">
        <f>IFERROR(VLOOKUP(D103,Manual!$C$1:$E$22,2,FALSE),"Pend")</f>
        <v>Pend</v>
      </c>
      <c r="AS103" t="str">
        <f t="shared" si="42"/>
        <v/>
      </c>
      <c r="AT103" t="str">
        <f t="shared" si="43"/>
        <v/>
      </c>
      <c r="AU103" s="51" t="str">
        <f t="shared" si="44"/>
        <v/>
      </c>
      <c r="AV103" s="12">
        <f>IFERROR(VLOOKUP(D103,'Receivable Invoice Detail'!$S$1:$U$3014,3,FALSE),0)</f>
        <v>0</v>
      </c>
      <c r="AW103" s="12">
        <f t="shared" si="45"/>
        <v>0</v>
      </c>
    </row>
    <row r="104" spans="1:49" ht="30" x14ac:dyDescent="0.25">
      <c r="A104" s="2">
        <v>1</v>
      </c>
      <c r="B104" s="2" t="s">
        <v>2098</v>
      </c>
      <c r="C104" s="2" t="s">
        <v>2099</v>
      </c>
      <c r="D104" s="2" t="s">
        <v>2361</v>
      </c>
      <c r="E104" s="2" t="s">
        <v>86</v>
      </c>
      <c r="F104" s="3">
        <v>45685.625763888893</v>
      </c>
      <c r="G104" s="3">
        <v>45686.383900462963</v>
      </c>
      <c r="H104" s="4">
        <v>45687</v>
      </c>
      <c r="I104" s="2" t="s">
        <v>1132</v>
      </c>
      <c r="J104" s="2" t="s">
        <v>22</v>
      </c>
      <c r="K104" s="2">
        <v>1</v>
      </c>
      <c r="L104" s="2">
        <v>132.43</v>
      </c>
      <c r="M104" s="2">
        <v>132.43</v>
      </c>
      <c r="N104" s="2">
        <v>132.43</v>
      </c>
      <c r="O104" s="2">
        <v>126.12</v>
      </c>
      <c r="P104" s="2">
        <v>6.31</v>
      </c>
      <c r="Q104" s="2">
        <v>132.43</v>
      </c>
      <c r="R104" s="2" t="s">
        <v>44</v>
      </c>
      <c r="S104" s="2"/>
      <c r="T104" s="2">
        <f t="shared" si="27"/>
        <v>1</v>
      </c>
      <c r="U104" s="18">
        <f t="shared" si="28"/>
        <v>1</v>
      </c>
      <c r="V104" s="18">
        <f t="shared" si="29"/>
        <v>2025</v>
      </c>
      <c r="W104" s="18">
        <f t="shared" si="30"/>
        <v>2</v>
      </c>
      <c r="X104" s="18">
        <f t="shared" si="31"/>
        <v>2025</v>
      </c>
      <c r="Y104" s="2">
        <f t="shared" si="24"/>
        <v>1</v>
      </c>
      <c r="Z104" t="str">
        <f t="shared" si="25"/>
        <v>SO16503</v>
      </c>
      <c r="AA104" s="11">
        <f t="shared" si="32"/>
        <v>45685.625763888893</v>
      </c>
      <c r="AB104" s="5" t="str">
        <f t="shared" si="33"/>
        <v>INV12576</v>
      </c>
      <c r="AC104" s="5" t="str">
        <f>IFERROR(VLOOKUP(D104,CAARStatus!$A$2:$AA$1600,22,FALSE),"Not invoiced")</f>
        <v>Paid</v>
      </c>
      <c r="AD104" s="11">
        <f>IF(AC104="Paid",IFERROR(VLOOKUP(D104,CAARStatus!$A$2:$AA$1600,6,FALSE),"Pending"),"Pending")</f>
        <v>45716</v>
      </c>
      <c r="AE104" s="5" t="str">
        <f t="shared" si="34"/>
        <v>MB21-00186347</v>
      </c>
      <c r="AF104" s="5" t="str">
        <f t="shared" si="35"/>
        <v>Motion Industries Inc. (Canada) - Winnipeg</v>
      </c>
      <c r="AG104" s="5" t="str">
        <f t="shared" si="36"/>
        <v>CAD</v>
      </c>
      <c r="AH104" s="5">
        <f t="shared" si="37"/>
        <v>126.12</v>
      </c>
      <c r="AI104" s="12">
        <f>IF(L104-N104=0,VLOOKUP(U104,rate!A$4:B$15,2,FALSE)*AH104,IF(AG104="USD",O104,AH104*Y104))</f>
        <v>87.612803143185602</v>
      </c>
      <c r="AJ104" s="13">
        <f t="shared" si="38"/>
        <v>0.69467810928627971</v>
      </c>
      <c r="AK104" s="13">
        <f>-IF(AG104="CAD",IFERROR(VLOOKUP(D104,CAARStatus!$A$1:$Y$1600,16,FALSE),0),0)</f>
        <v>-126.12</v>
      </c>
      <c r="AL104" s="13">
        <f>-IF(AG104="USD",IFERROR(VLOOKUP(D104,CAARStatus!$A$1:$Y$1600,11,FALSE),0),0)</f>
        <v>0</v>
      </c>
      <c r="AM104" s="22">
        <f t="shared" si="39"/>
        <v>0</v>
      </c>
      <c r="AN104" s="12" t="str">
        <f t="shared" si="40"/>
        <v/>
      </c>
      <c r="AO104" s="12" t="str">
        <f t="shared" si="41"/>
        <v>Yes</v>
      </c>
      <c r="AP104" t="str">
        <f t="shared" si="26"/>
        <v>Yes</v>
      </c>
      <c r="AQ104" t="str">
        <f>IFERROR(VLOOKUP(Z104,InvBal!$L$4:$P$600,4,FALSE),"Pend")</f>
        <v>Pend</v>
      </c>
      <c r="AR104" t="str">
        <f>IFERROR(VLOOKUP(D104,Manual!$C$1:$E$22,2,FALSE),"Pend")</f>
        <v>Pend</v>
      </c>
      <c r="AS104" t="str">
        <f t="shared" si="42"/>
        <v>Yes</v>
      </c>
      <c r="AT104" t="str">
        <f t="shared" si="43"/>
        <v>Yes</v>
      </c>
      <c r="AU104" s="51" t="str">
        <f t="shared" si="44"/>
        <v>Yes</v>
      </c>
      <c r="AV104" s="12">
        <f>IFERROR(VLOOKUP(D104,'Receivable Invoice Detail'!$S$1:$U$3014,3,FALSE),0)</f>
        <v>0</v>
      </c>
      <c r="AW104" s="12">
        <f t="shared" si="45"/>
        <v>87.612803143185602</v>
      </c>
    </row>
    <row r="105" spans="1:49" ht="30" x14ac:dyDescent="0.25">
      <c r="A105" s="2">
        <v>1</v>
      </c>
      <c r="B105" s="2" t="s">
        <v>2102</v>
      </c>
      <c r="C105" s="2" t="s">
        <v>2103</v>
      </c>
      <c r="D105" s="2" t="s">
        <v>2359</v>
      </c>
      <c r="E105" s="2" t="s">
        <v>129</v>
      </c>
      <c r="F105" s="3">
        <v>45685.679293981477</v>
      </c>
      <c r="G105" s="3">
        <v>45685.678900462961</v>
      </c>
      <c r="H105" s="4">
        <v>45723</v>
      </c>
      <c r="I105" s="2" t="s">
        <v>130</v>
      </c>
      <c r="J105" s="2" t="s">
        <v>51</v>
      </c>
      <c r="K105" s="2">
        <v>0.69492024842133493</v>
      </c>
      <c r="L105" s="2">
        <v>661.94646226670147</v>
      </c>
      <c r="M105" s="2">
        <v>0</v>
      </c>
      <c r="N105" s="2">
        <v>460</v>
      </c>
      <c r="O105" s="2">
        <v>460</v>
      </c>
      <c r="P105" s="2"/>
      <c r="Q105" s="2">
        <v>460</v>
      </c>
      <c r="R105" s="2" t="s">
        <v>44</v>
      </c>
      <c r="S105" s="2"/>
      <c r="T105" s="2">
        <f t="shared" si="27"/>
        <v>1</v>
      </c>
      <c r="U105" s="18">
        <f t="shared" si="28"/>
        <v>1</v>
      </c>
      <c r="V105" s="18">
        <f t="shared" si="29"/>
        <v>2025</v>
      </c>
      <c r="W105" s="18" t="str">
        <f t="shared" si="30"/>
        <v/>
      </c>
      <c r="X105" s="18" t="str">
        <f t="shared" si="31"/>
        <v/>
      </c>
      <c r="Y105" s="2">
        <f t="shared" si="24"/>
        <v>0.69492024842133493</v>
      </c>
      <c r="Z105" t="str">
        <f t="shared" si="25"/>
        <v>SO16504</v>
      </c>
      <c r="AA105" s="11">
        <f t="shared" si="32"/>
        <v>45685.679293981477</v>
      </c>
      <c r="AB105" s="5" t="str">
        <f t="shared" si="33"/>
        <v>INV12864</v>
      </c>
      <c r="AC105" s="5" t="str">
        <f>IFERROR(VLOOKUP(D105,CAARStatus!$A$2:$AA$1600,22,FALSE),"Not invoiced")</f>
        <v>Approved</v>
      </c>
      <c r="AD105" s="11" t="str">
        <f>IF(AC105="Paid",IFERROR(VLOOKUP(D105,CAARStatus!$A$2:$AA$1600,6,FALSE),"Pending"),"Pending")</f>
        <v>Pending</v>
      </c>
      <c r="AE105" s="5" t="str">
        <f t="shared" si="34"/>
        <v>OC00142</v>
      </c>
      <c r="AF105" s="5" t="str">
        <f t="shared" si="35"/>
        <v>Dynapro Pumps México S de RL de CV</v>
      </c>
      <c r="AG105" s="5" t="str">
        <f t="shared" si="36"/>
        <v>USD</v>
      </c>
      <c r="AH105" s="5">
        <f t="shared" si="37"/>
        <v>661.94646226670147</v>
      </c>
      <c r="AI105" s="12">
        <f>IF(L105-N105=0,VLOOKUP(U105,rate!A$4:B$15,2,FALSE)*AH105,IF(AG105="USD",O105,AH105*Y105))</f>
        <v>460</v>
      </c>
      <c r="AJ105" s="13">
        <f t="shared" si="38"/>
        <v>0.69492024842133493</v>
      </c>
      <c r="AK105" s="13">
        <f>-IF(AG105="CAD",IFERROR(VLOOKUP(D105,CAARStatus!$A$1:$Y$1600,16,FALSE),0),0)</f>
        <v>0</v>
      </c>
      <c r="AL105" s="13">
        <f>-IF(AG105="USD",IFERROR(VLOOKUP(D105,CAARStatus!$A$1:$Y$1600,11,FALSE),0),0)</f>
        <v>-460</v>
      </c>
      <c r="AM105" s="22" t="str">
        <f t="shared" si="39"/>
        <v/>
      </c>
      <c r="AN105" s="12">
        <f t="shared" si="40"/>
        <v>0</v>
      </c>
      <c r="AO105" s="12" t="str">
        <f t="shared" si="41"/>
        <v>Pend</v>
      </c>
      <c r="AP105" t="str">
        <f t="shared" si="26"/>
        <v>Pend</v>
      </c>
      <c r="AQ105" t="str">
        <f>IFERROR(VLOOKUP(Z105,InvBal!$L$4:$P$600,4,FALSE),"Pend")</f>
        <v>Pend</v>
      </c>
      <c r="AR105" t="str">
        <f>IFERROR(VLOOKUP(D105,Manual!$C$1:$E$22,2,FALSE),"Pend")</f>
        <v>Pend</v>
      </c>
      <c r="AS105" t="str">
        <f t="shared" si="42"/>
        <v/>
      </c>
      <c r="AT105" t="str">
        <f t="shared" si="43"/>
        <v>Yes</v>
      </c>
      <c r="AU105" s="51" t="str">
        <f t="shared" si="44"/>
        <v/>
      </c>
      <c r="AV105" s="12">
        <f>IFERROR(VLOOKUP(D105,'Receivable Invoice Detail'!$S$1:$U$3014,3,FALSE),0)</f>
        <v>0</v>
      </c>
      <c r="AW105" s="12">
        <f t="shared" si="45"/>
        <v>0</v>
      </c>
    </row>
    <row r="106" spans="1:49" x14ac:dyDescent="0.25">
      <c r="A106" s="2">
        <v>1</v>
      </c>
      <c r="B106" s="2" t="s">
        <v>2100</v>
      </c>
      <c r="C106" s="2" t="s">
        <v>2101</v>
      </c>
      <c r="D106" s="2" t="s">
        <v>2360</v>
      </c>
      <c r="E106" s="2" t="s">
        <v>245</v>
      </c>
      <c r="F106" s="3">
        <v>45685.718368055554</v>
      </c>
      <c r="G106" s="3">
        <v>45685.723368055558</v>
      </c>
      <c r="H106" s="4">
        <v>45686</v>
      </c>
      <c r="I106" s="2" t="s">
        <v>1132</v>
      </c>
      <c r="J106" s="2" t="s">
        <v>22</v>
      </c>
      <c r="K106" s="2">
        <v>1</v>
      </c>
      <c r="L106" s="2">
        <v>1254.6099999999999</v>
      </c>
      <c r="M106" s="2">
        <v>0</v>
      </c>
      <c r="N106" s="2">
        <v>871.6634119991686</v>
      </c>
      <c r="O106" s="2">
        <v>1194.8699999999999</v>
      </c>
      <c r="P106" s="2">
        <v>59.74</v>
      </c>
      <c r="Q106" s="2">
        <v>1254.6099999999999</v>
      </c>
      <c r="R106" s="2" t="s">
        <v>44</v>
      </c>
      <c r="S106" s="2"/>
      <c r="T106" s="2">
        <f t="shared" si="27"/>
        <v>1</v>
      </c>
      <c r="U106" s="18">
        <f t="shared" si="28"/>
        <v>1</v>
      </c>
      <c r="V106" s="18">
        <f t="shared" si="29"/>
        <v>2025</v>
      </c>
      <c r="W106" s="18">
        <f t="shared" si="30"/>
        <v>3</v>
      </c>
      <c r="X106" s="18">
        <f t="shared" si="31"/>
        <v>2025</v>
      </c>
      <c r="Y106" s="2">
        <f t="shared" si="24"/>
        <v>0.69476842365290303</v>
      </c>
      <c r="Z106" t="str">
        <f t="shared" si="25"/>
        <v>SO16505</v>
      </c>
      <c r="AA106" s="11">
        <f t="shared" si="32"/>
        <v>45685.718368055554</v>
      </c>
      <c r="AB106" s="5" t="str">
        <f t="shared" si="33"/>
        <v>INV12577</v>
      </c>
      <c r="AC106" s="5" t="str">
        <f>IFERROR(VLOOKUP(D106,CAARStatus!$A$2:$AA$1600,22,FALSE),"Not invoiced")</f>
        <v>Paid</v>
      </c>
      <c r="AD106" s="11">
        <f>IF(AC106="Paid",IFERROR(VLOOKUP(D106,CAARStatus!$A$2:$AA$1600,6,FALSE),"Pending"),"Pending")</f>
        <v>45727</v>
      </c>
      <c r="AE106" s="5" t="str">
        <f t="shared" si="34"/>
        <v>21292</v>
      </c>
      <c r="AF106" s="5" t="str">
        <f t="shared" si="35"/>
        <v>DRN Industriel</v>
      </c>
      <c r="AG106" s="5" t="str">
        <f t="shared" si="36"/>
        <v>CAD</v>
      </c>
      <c r="AH106" s="5">
        <f t="shared" si="37"/>
        <v>1194.8699999999999</v>
      </c>
      <c r="AI106" s="12">
        <f>IF(L106-N106=0,VLOOKUP(U106,rate!A$4:B$15,2,FALSE)*AH106,IF(AG106="USD",O106,AH106*Y106))</f>
        <v>830.15794637014415</v>
      </c>
      <c r="AJ106" s="13">
        <f t="shared" si="38"/>
        <v>0.69476842365290303</v>
      </c>
      <c r="AK106" s="13">
        <f>-IF(AG106="CAD",IFERROR(VLOOKUP(D106,CAARStatus!$A$1:$Y$1600,16,FALSE),0),0)</f>
        <v>-1194.8699999999999</v>
      </c>
      <c r="AL106" s="13">
        <f>-IF(AG106="USD",IFERROR(VLOOKUP(D106,CAARStatus!$A$1:$Y$1600,11,FALSE),0),0)</f>
        <v>0</v>
      </c>
      <c r="AM106" s="22">
        <f t="shared" si="39"/>
        <v>0</v>
      </c>
      <c r="AN106" s="12" t="str">
        <f t="shared" si="40"/>
        <v/>
      </c>
      <c r="AO106" s="12" t="str">
        <f t="shared" si="41"/>
        <v>Yes</v>
      </c>
      <c r="AP106" t="str">
        <f t="shared" si="26"/>
        <v>Yes</v>
      </c>
      <c r="AQ106" t="str">
        <f>IFERROR(VLOOKUP(Z106,InvBal!$L$4:$P$600,4,FALSE),"Pend")</f>
        <v>Pend</v>
      </c>
      <c r="AR106" t="str">
        <f>IFERROR(VLOOKUP(D106,Manual!$C$1:$E$22,2,FALSE),"Pend")</f>
        <v>Pend</v>
      </c>
      <c r="AS106" t="str">
        <f t="shared" si="42"/>
        <v>Yes</v>
      </c>
      <c r="AT106" t="str">
        <f t="shared" si="43"/>
        <v>Yes</v>
      </c>
      <c r="AU106" s="51" t="str">
        <f t="shared" si="44"/>
        <v>Yes</v>
      </c>
      <c r="AV106" s="12">
        <f>IFERROR(VLOOKUP(D106,'Receivable Invoice Detail'!$S$1:$U$3014,3,FALSE),0)</f>
        <v>0</v>
      </c>
      <c r="AW106" s="12">
        <f t="shared" si="45"/>
        <v>830.15794637014415</v>
      </c>
    </row>
    <row r="107" spans="1:49" x14ac:dyDescent="0.25">
      <c r="A107" s="2">
        <v>1</v>
      </c>
      <c r="B107" s="2" t="s">
        <v>2092</v>
      </c>
      <c r="C107" s="2" t="s">
        <v>2093</v>
      </c>
      <c r="D107" s="2" t="s">
        <v>2365</v>
      </c>
      <c r="E107" s="2" t="s">
        <v>70</v>
      </c>
      <c r="F107" s="3">
        <v>45686.497511574067</v>
      </c>
      <c r="G107" s="3">
        <v>45686.498182870368</v>
      </c>
      <c r="H107" s="4">
        <v>45686</v>
      </c>
      <c r="I107" s="2" t="s">
        <v>71</v>
      </c>
      <c r="J107" s="2" t="s">
        <v>51</v>
      </c>
      <c r="K107" s="2">
        <v>0.69492024842133493</v>
      </c>
      <c r="L107" s="2">
        <v>5157.4263494866482</v>
      </c>
      <c r="M107" s="2">
        <v>0</v>
      </c>
      <c r="N107" s="2">
        <v>3584</v>
      </c>
      <c r="O107" s="2">
        <v>3584</v>
      </c>
      <c r="P107" s="2"/>
      <c r="Q107" s="2">
        <v>3584</v>
      </c>
      <c r="R107" s="2" t="s">
        <v>44</v>
      </c>
      <c r="S107" s="2"/>
      <c r="T107" s="2">
        <f t="shared" si="27"/>
        <v>1</v>
      </c>
      <c r="U107" s="18">
        <f t="shared" si="28"/>
        <v>1</v>
      </c>
      <c r="V107" s="18">
        <f t="shared" si="29"/>
        <v>2025</v>
      </c>
      <c r="W107" s="18">
        <f t="shared" si="30"/>
        <v>5</v>
      </c>
      <c r="X107" s="18">
        <f t="shared" si="31"/>
        <v>2025</v>
      </c>
      <c r="Y107" s="2">
        <f t="shared" si="24"/>
        <v>0.69492024842133493</v>
      </c>
      <c r="Z107" t="str">
        <f t="shared" si="25"/>
        <v>SO16509</v>
      </c>
      <c r="AA107" s="11">
        <f t="shared" si="32"/>
        <v>45686.497511574067</v>
      </c>
      <c r="AB107" s="5" t="str">
        <f t="shared" si="33"/>
        <v>INV12600</v>
      </c>
      <c r="AC107" s="5" t="str">
        <f>IFERROR(VLOOKUP(D107,CAARStatus!$A$2:$AA$1600,22,FALSE),"Not invoiced")</f>
        <v>Paid</v>
      </c>
      <c r="AD107" s="11">
        <f>IF(AC107="Paid",IFERROR(VLOOKUP(D107,CAARStatus!$A$2:$AA$1600,6,FALSE),"Pending"),"Pending")</f>
        <v>45792</v>
      </c>
      <c r="AE107" s="5" t="str">
        <f t="shared" si="34"/>
        <v>P351539</v>
      </c>
      <c r="AF107" s="5" t="str">
        <f t="shared" si="35"/>
        <v>Covia Corp - Junction City</v>
      </c>
      <c r="AG107" s="5" t="str">
        <f t="shared" si="36"/>
        <v>USD</v>
      </c>
      <c r="AH107" s="5">
        <f t="shared" si="37"/>
        <v>5157.4263494866482</v>
      </c>
      <c r="AI107" s="12">
        <f>IF(L107-N107=0,VLOOKUP(U107,rate!A$4:B$15,2,FALSE)*AH107,IF(AG107="USD",O107,AH107*Y107))</f>
        <v>3584</v>
      </c>
      <c r="AJ107" s="13">
        <f t="shared" si="38"/>
        <v>0.69492024842133493</v>
      </c>
      <c r="AK107" s="13">
        <f>-IF(AG107="CAD",IFERROR(VLOOKUP(D107,CAARStatus!$A$1:$Y$1600,16,FALSE),0),0)</f>
        <v>0</v>
      </c>
      <c r="AL107" s="13">
        <f>-IF(AG107="USD",IFERROR(VLOOKUP(D107,CAARStatus!$A$1:$Y$1600,11,FALSE),0),0)</f>
        <v>-3584</v>
      </c>
      <c r="AM107" s="22" t="str">
        <f t="shared" si="39"/>
        <v/>
      </c>
      <c r="AN107" s="12">
        <f t="shared" si="40"/>
        <v>0</v>
      </c>
      <c r="AO107" s="12" t="str">
        <f t="shared" si="41"/>
        <v>Yes</v>
      </c>
      <c r="AP107" t="str">
        <f t="shared" si="26"/>
        <v>Yes</v>
      </c>
      <c r="AQ107" t="str">
        <f>IFERROR(VLOOKUP(Z107,InvBal!$L$4:$P$600,4,FALSE),"Pend")</f>
        <v>Pend</v>
      </c>
      <c r="AR107" t="str">
        <f>IFERROR(VLOOKUP(D107,Manual!$C$1:$E$22,2,FALSE),"Pend")</f>
        <v>Pend</v>
      </c>
      <c r="AS107" t="str">
        <f t="shared" si="42"/>
        <v>Yes</v>
      </c>
      <c r="AT107" t="str">
        <f t="shared" si="43"/>
        <v>Yes</v>
      </c>
      <c r="AU107" s="51" t="str">
        <f t="shared" si="44"/>
        <v>Yes</v>
      </c>
      <c r="AV107" s="12">
        <f>IFERROR(VLOOKUP(D107,'Receivable Invoice Detail'!$S$1:$U$3014,3,FALSE),0)</f>
        <v>0</v>
      </c>
      <c r="AW107" s="12">
        <f t="shared" si="45"/>
        <v>3584</v>
      </c>
    </row>
    <row r="108" spans="1:49" x14ac:dyDescent="0.25">
      <c r="A108" s="2">
        <v>1</v>
      </c>
      <c r="B108" s="2" t="s">
        <v>2090</v>
      </c>
      <c r="C108" s="2" t="s">
        <v>2091</v>
      </c>
      <c r="D108" s="2" t="s">
        <v>2366</v>
      </c>
      <c r="E108" s="2" t="s">
        <v>70</v>
      </c>
      <c r="F108" s="3">
        <v>45686.516851851848</v>
      </c>
      <c r="G108" s="3">
        <v>45686.520219907397</v>
      </c>
      <c r="H108" s="4">
        <v>45790</v>
      </c>
      <c r="I108" s="2" t="s">
        <v>71</v>
      </c>
      <c r="J108" s="2" t="s">
        <v>51</v>
      </c>
      <c r="K108" s="2">
        <v>0.69492024842133493</v>
      </c>
      <c r="L108" s="2">
        <v>8749.9968720343295</v>
      </c>
      <c r="M108" s="2">
        <v>0</v>
      </c>
      <c r="N108" s="2">
        <v>6080.55</v>
      </c>
      <c r="O108" s="2">
        <v>6080.55</v>
      </c>
      <c r="P108" s="2"/>
      <c r="Q108" s="2">
        <v>6080.55</v>
      </c>
      <c r="R108" s="2" t="s">
        <v>44</v>
      </c>
      <c r="S108" s="2"/>
      <c r="T108" s="2">
        <f t="shared" si="27"/>
        <v>1</v>
      </c>
      <c r="U108" s="18">
        <f t="shared" si="28"/>
        <v>1</v>
      </c>
      <c r="V108" s="18">
        <f t="shared" si="29"/>
        <v>2025</v>
      </c>
      <c r="W108" s="18">
        <f t="shared" si="30"/>
        <v>8</v>
      </c>
      <c r="X108" s="18">
        <f t="shared" si="31"/>
        <v>2025</v>
      </c>
      <c r="Y108" s="2">
        <f t="shared" si="24"/>
        <v>0.69492024842133493</v>
      </c>
      <c r="Z108" t="str">
        <f t="shared" si="25"/>
        <v>SO16511</v>
      </c>
      <c r="AA108" s="11">
        <f t="shared" si="32"/>
        <v>45686.516851851848</v>
      </c>
      <c r="AB108" s="5" t="str">
        <f t="shared" si="33"/>
        <v>INV12970</v>
      </c>
      <c r="AC108" s="5" t="str">
        <f>IFERROR(VLOOKUP(D108,CAARStatus!$A$2:$AA$1600,22,FALSE),"Not invoiced")</f>
        <v>Paid</v>
      </c>
      <c r="AD108" s="11">
        <f>IF(AC108="Paid",IFERROR(VLOOKUP(D108,CAARStatus!$A$2:$AA$1600,6,FALSE),"Pending"),"Pending")</f>
        <v>45894</v>
      </c>
      <c r="AE108" s="5" t="str">
        <f t="shared" si="34"/>
        <v>P351588</v>
      </c>
      <c r="AF108" s="5" t="str">
        <f t="shared" si="35"/>
        <v>Covia Corp - Junction City</v>
      </c>
      <c r="AG108" s="5" t="str">
        <f t="shared" si="36"/>
        <v>USD</v>
      </c>
      <c r="AH108" s="5">
        <f t="shared" si="37"/>
        <v>8749.9968720343295</v>
      </c>
      <c r="AI108" s="12">
        <f>IF(L108-N108=0,VLOOKUP(U108,rate!A$4:B$15,2,FALSE)*AH108,IF(AG108="USD",O108,AH108*Y108))</f>
        <v>6080.55</v>
      </c>
      <c r="AJ108" s="13">
        <f t="shared" si="38"/>
        <v>0.69492024842133493</v>
      </c>
      <c r="AK108" s="13">
        <f>-IF(AG108="CAD",IFERROR(VLOOKUP(D108,CAARStatus!$A$1:$Y$1600,16,FALSE),0),0)</f>
        <v>0</v>
      </c>
      <c r="AL108" s="13">
        <f>-IF(AG108="USD",IFERROR(VLOOKUP(D108,CAARStatus!$A$1:$Y$1600,11,FALSE),0),0)</f>
        <v>-6080.55</v>
      </c>
      <c r="AM108" s="22" t="str">
        <f t="shared" si="39"/>
        <v/>
      </c>
      <c r="AN108" s="12">
        <f t="shared" si="40"/>
        <v>0</v>
      </c>
      <c r="AO108" s="12" t="str">
        <f t="shared" si="41"/>
        <v>Yes</v>
      </c>
      <c r="AP108" t="str">
        <f t="shared" si="26"/>
        <v>Yes</v>
      </c>
      <c r="AQ108" t="str">
        <f>IFERROR(VLOOKUP(Z108,InvBal!$L$4:$P$600,4,FALSE),"Pend")</f>
        <v>Pend</v>
      </c>
      <c r="AR108" t="str">
        <f>IFERROR(VLOOKUP(D108,Manual!$C$1:$E$22,2,FALSE),"Pend")</f>
        <v>Pend</v>
      </c>
      <c r="AS108" t="str">
        <f t="shared" si="42"/>
        <v>Yes</v>
      </c>
      <c r="AT108" t="str">
        <f t="shared" si="43"/>
        <v>Yes</v>
      </c>
      <c r="AU108" s="51" t="str">
        <f t="shared" si="44"/>
        <v>Yes</v>
      </c>
      <c r="AV108" s="12">
        <f>IFERROR(VLOOKUP(D108,'Receivable Invoice Detail'!$S$1:$U$3014,3,FALSE),0)</f>
        <v>574.54999999999995</v>
      </c>
      <c r="AW108" s="12">
        <f t="shared" si="45"/>
        <v>5506</v>
      </c>
    </row>
    <row r="109" spans="1:49" x14ac:dyDescent="0.25">
      <c r="A109" s="2">
        <v>1</v>
      </c>
      <c r="B109" s="2" t="s">
        <v>2082</v>
      </c>
      <c r="C109" s="2" t="s">
        <v>2083</v>
      </c>
      <c r="D109" s="2" t="s">
        <v>2370</v>
      </c>
      <c r="E109" s="2" t="s">
        <v>465</v>
      </c>
      <c r="F109" s="3">
        <v>45686.567418981482</v>
      </c>
      <c r="G109" s="3">
        <v>45687.447152777779</v>
      </c>
      <c r="H109" s="4">
        <v>45706</v>
      </c>
      <c r="I109" s="2" t="s">
        <v>21</v>
      </c>
      <c r="J109" s="2" t="s">
        <v>22</v>
      </c>
      <c r="K109" s="2">
        <v>1</v>
      </c>
      <c r="L109" s="2">
        <v>1988.36</v>
      </c>
      <c r="M109" s="2">
        <v>0</v>
      </c>
      <c r="N109" s="2">
        <v>1379.386222879732</v>
      </c>
      <c r="O109" s="2">
        <v>1759.61</v>
      </c>
      <c r="P109" s="2">
        <v>228.75</v>
      </c>
      <c r="Q109" s="2">
        <v>1988.36</v>
      </c>
      <c r="R109" s="2" t="s">
        <v>44</v>
      </c>
      <c r="S109" s="2"/>
      <c r="T109" s="2">
        <f t="shared" si="27"/>
        <v>1</v>
      </c>
      <c r="U109" s="18">
        <f t="shared" si="28"/>
        <v>1</v>
      </c>
      <c r="V109" s="18">
        <f t="shared" si="29"/>
        <v>2025</v>
      </c>
      <c r="W109" s="18">
        <f t="shared" si="30"/>
        <v>3</v>
      </c>
      <c r="X109" s="18">
        <f t="shared" si="31"/>
        <v>2025</v>
      </c>
      <c r="Y109" s="2">
        <f t="shared" si="24"/>
        <v>0.69373062366962324</v>
      </c>
      <c r="Z109" t="str">
        <f t="shared" si="25"/>
        <v>SO16512</v>
      </c>
      <c r="AA109" s="11">
        <f t="shared" si="32"/>
        <v>45686.567418981482</v>
      </c>
      <c r="AB109" s="5" t="str">
        <f t="shared" si="33"/>
        <v>INV12642</v>
      </c>
      <c r="AC109" s="5" t="str">
        <f>IFERROR(VLOOKUP(D109,CAARStatus!$A$2:$AA$1600,22,FALSE),"Not invoiced")</f>
        <v>Paid</v>
      </c>
      <c r="AD109" s="11">
        <f>IF(AC109="Paid",IFERROR(VLOOKUP(D109,CAARStatus!$A$2:$AA$1600,6,FALSE),"Pending"),"Pending")</f>
        <v>45726</v>
      </c>
      <c r="AE109" s="5" t="str">
        <f t="shared" si="34"/>
        <v>M-083523</v>
      </c>
      <c r="AF109" s="5" t="str">
        <f t="shared" si="35"/>
        <v>Grant Aggregate</v>
      </c>
      <c r="AG109" s="5" t="str">
        <f t="shared" si="36"/>
        <v>CAD</v>
      </c>
      <c r="AH109" s="5">
        <f t="shared" si="37"/>
        <v>1759.61</v>
      </c>
      <c r="AI109" s="12">
        <f>IF(L109-N109=0,VLOOKUP(U109,rate!A$4:B$15,2,FALSE)*AH109,IF(AG109="USD",O109,AH109*Y109))</f>
        <v>1220.6953427153057</v>
      </c>
      <c r="AJ109" s="13">
        <f t="shared" si="38"/>
        <v>0.69373062366962324</v>
      </c>
      <c r="AK109" s="13">
        <f>-IF(AG109="CAD",IFERROR(VLOOKUP(D109,CAARStatus!$A$1:$Y$1600,16,FALSE),0),0)</f>
        <v>-1759.61</v>
      </c>
      <c r="AL109" s="13">
        <f>-IF(AG109="USD",IFERROR(VLOOKUP(D109,CAARStatus!$A$1:$Y$1600,11,FALSE),0),0)</f>
        <v>0</v>
      </c>
      <c r="AM109" s="22">
        <f t="shared" si="39"/>
        <v>0</v>
      </c>
      <c r="AN109" s="12" t="str">
        <f t="shared" si="40"/>
        <v/>
      </c>
      <c r="AO109" s="12" t="str">
        <f t="shared" si="41"/>
        <v>Yes</v>
      </c>
      <c r="AP109" t="str">
        <f t="shared" si="26"/>
        <v>Yes</v>
      </c>
      <c r="AQ109" t="str">
        <f>IFERROR(VLOOKUP(Z109,InvBal!$L$4:$P$600,4,FALSE),"Pend")</f>
        <v>Pend</v>
      </c>
      <c r="AR109" t="str">
        <f>IFERROR(VLOOKUP(D109,Manual!$C$1:$E$22,2,FALSE),"Pend")</f>
        <v>Pend</v>
      </c>
      <c r="AS109" t="str">
        <f t="shared" si="42"/>
        <v>Yes</v>
      </c>
      <c r="AT109" t="str">
        <f t="shared" si="43"/>
        <v>Yes</v>
      </c>
      <c r="AU109" s="51" t="str">
        <f t="shared" si="44"/>
        <v>Yes</v>
      </c>
      <c r="AV109" s="12">
        <f>IFERROR(VLOOKUP(D109,'Receivable Invoice Detail'!$S$1:$U$3014,3,FALSE),0)</f>
        <v>0</v>
      </c>
      <c r="AW109" s="12">
        <f t="shared" si="45"/>
        <v>1220.6953427153057</v>
      </c>
    </row>
    <row r="110" spans="1:49" x14ac:dyDescent="0.25">
      <c r="A110" s="2">
        <v>2</v>
      </c>
      <c r="B110" s="2" t="s">
        <v>1683</v>
      </c>
      <c r="C110" s="2" t="s">
        <v>1684</v>
      </c>
      <c r="D110" s="2" t="s">
        <v>2606</v>
      </c>
      <c r="E110" s="2" t="s">
        <v>54</v>
      </c>
      <c r="F110" s="3">
        <v>45686.58222222222</v>
      </c>
      <c r="G110" s="3">
        <v>45747.679259259261</v>
      </c>
      <c r="H110" s="4">
        <v>45765</v>
      </c>
      <c r="I110" s="2" t="s">
        <v>21</v>
      </c>
      <c r="J110" s="2" t="s">
        <v>22</v>
      </c>
      <c r="K110" s="2">
        <v>1</v>
      </c>
      <c r="L110" s="2">
        <v>17592.46</v>
      </c>
      <c r="M110" s="2">
        <v>0</v>
      </c>
      <c r="N110" s="2">
        <v>12257.64472282046</v>
      </c>
      <c r="O110" s="2">
        <v>16754.72</v>
      </c>
      <c r="P110" s="2">
        <v>837.74</v>
      </c>
      <c r="Q110" s="2">
        <v>17592.46</v>
      </c>
      <c r="R110" s="2" t="s">
        <v>44</v>
      </c>
      <c r="S110" s="2"/>
      <c r="T110" s="2">
        <f t="shared" si="27"/>
        <v>2</v>
      </c>
      <c r="U110" s="18">
        <f t="shared" si="28"/>
        <v>1</v>
      </c>
      <c r="V110" s="18">
        <f t="shared" si="29"/>
        <v>2025</v>
      </c>
      <c r="W110" s="18">
        <f t="shared" si="30"/>
        <v>6</v>
      </c>
      <c r="X110" s="18">
        <f t="shared" si="31"/>
        <v>2025</v>
      </c>
      <c r="Y110" s="2">
        <f t="shared" si="24"/>
        <v>0.69675558294976714</v>
      </c>
      <c r="Z110" t="str">
        <f t="shared" si="25"/>
        <v>SO16513</v>
      </c>
      <c r="AA110" s="11">
        <f t="shared" si="32"/>
        <v>45686.58222222222</v>
      </c>
      <c r="AB110" s="5" t="str">
        <f t="shared" si="33"/>
        <v>INV12915</v>
      </c>
      <c r="AC110" s="5" t="str">
        <f>IFERROR(VLOOKUP(D110,CAARStatus!$A$2:$AA$1600,22,FALSE),"Not invoiced")</f>
        <v>Paid</v>
      </c>
      <c r="AD110" s="11">
        <f>IF(AC110="Paid",IFERROR(VLOOKUP(D110,CAARStatus!$A$2:$AA$1600,6,FALSE),"Pending"),"Pending")</f>
        <v>45821</v>
      </c>
      <c r="AE110" s="5" t="str">
        <f t="shared" si="34"/>
        <v>3113</v>
      </c>
      <c r="AF110" s="5" t="str">
        <f t="shared" si="35"/>
        <v>Les Pompes du St-Laurent Inc.</v>
      </c>
      <c r="AG110" s="5" t="str">
        <f t="shared" si="36"/>
        <v>CAD</v>
      </c>
      <c r="AH110" s="5">
        <f t="shared" si="37"/>
        <v>16754.72</v>
      </c>
      <c r="AI110" s="12">
        <f>IF(L110-N110=0,VLOOKUP(U110,rate!A$4:B$15,2,FALSE)*AH110,IF(AG110="USD",O110,AH110*Y110))</f>
        <v>11673.944700760123</v>
      </c>
      <c r="AJ110" s="13">
        <f t="shared" si="38"/>
        <v>0.69675558294976714</v>
      </c>
      <c r="AK110" s="13">
        <f>-IF(AG110="CAD",IFERROR(VLOOKUP(D110,CAARStatus!$A$1:$Y$1600,16,FALSE),0),0)</f>
        <v>-5998.85</v>
      </c>
      <c r="AL110" s="13">
        <f>-IF(AG110="USD",IFERROR(VLOOKUP(D110,CAARStatus!$A$1:$Y$1600,11,FALSE),0),0)</f>
        <v>0</v>
      </c>
      <c r="AM110" s="22">
        <f t="shared" si="39"/>
        <v>10755.87</v>
      </c>
      <c r="AN110" s="12" t="str">
        <f t="shared" si="40"/>
        <v/>
      </c>
      <c r="AO110" s="12" t="str">
        <f t="shared" si="41"/>
        <v>Yes</v>
      </c>
      <c r="AP110" t="str">
        <f t="shared" si="26"/>
        <v>XX</v>
      </c>
      <c r="AQ110" t="str">
        <f>IFERROR(VLOOKUP(Z110,InvBal!$L$4:$P$600,4,FALSE),"Pend")</f>
        <v>Yes</v>
      </c>
      <c r="AR110" t="str">
        <f>IFERROR(VLOOKUP(D110,Manual!$C$1:$E$22,2,FALSE),"Pend")</f>
        <v>Pend</v>
      </c>
      <c r="AS110" t="str">
        <f t="shared" si="42"/>
        <v>Yes</v>
      </c>
      <c r="AT110" t="str">
        <f t="shared" si="43"/>
        <v>Yes</v>
      </c>
      <c r="AU110" s="51" t="str">
        <f t="shared" si="44"/>
        <v>Yes</v>
      </c>
      <c r="AV110" s="12">
        <f>IFERROR(VLOOKUP(D110,'Receivable Invoice Detail'!$S$1:$U$3014,3,FALSE),0)</f>
        <v>0</v>
      </c>
      <c r="AW110" s="12">
        <f t="shared" si="45"/>
        <v>11673.944700760123</v>
      </c>
    </row>
    <row r="111" spans="1:49" x14ac:dyDescent="0.25">
      <c r="A111" s="2"/>
      <c r="B111" s="2"/>
      <c r="C111" s="2"/>
      <c r="D111" s="2" t="s">
        <v>2605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>
        <f t="shared" si="27"/>
        <v>2</v>
      </c>
      <c r="U111" s="18">
        <f t="shared" si="28"/>
        <v>1</v>
      </c>
      <c r="V111" s="18">
        <f t="shared" si="29"/>
        <v>2025</v>
      </c>
      <c r="W111" s="18">
        <f t="shared" si="30"/>
        <v>5</v>
      </c>
      <c r="X111" s="18">
        <f t="shared" si="31"/>
        <v>2025</v>
      </c>
      <c r="Y111" s="2">
        <f t="shared" si="24"/>
        <v>0.69675558294976714</v>
      </c>
      <c r="Z111" t="str">
        <f t="shared" si="25"/>
        <v>SO16513</v>
      </c>
      <c r="AA111" s="11">
        <f t="shared" si="32"/>
        <v>45686.58222222222</v>
      </c>
      <c r="AB111" s="5" t="str">
        <f t="shared" si="33"/>
        <v>INV12833</v>
      </c>
      <c r="AC111" s="5" t="str">
        <f>IFERROR(VLOOKUP(D111,CAARStatus!$A$2:$AA$1600,22,FALSE),"Not invoiced")</f>
        <v>Paid</v>
      </c>
      <c r="AD111" s="11">
        <f>IF(AC111="Paid",IFERROR(VLOOKUP(D111,CAARStatus!$A$2:$AA$1600,6,FALSE),"Pending"),"Pending")</f>
        <v>45799</v>
      </c>
      <c r="AE111" s="5" t="str">
        <f t="shared" si="34"/>
        <v>3113</v>
      </c>
      <c r="AF111" s="5" t="str">
        <f t="shared" si="35"/>
        <v>Les Pompes du St-Laurent Inc.</v>
      </c>
      <c r="AG111" s="5" t="str">
        <f t="shared" si="36"/>
        <v>CAD</v>
      </c>
      <c r="AH111" s="5">
        <f t="shared" si="37"/>
        <v>0</v>
      </c>
      <c r="AI111" s="12">
        <f>IF(L111-N111=0,VLOOKUP(U111,rate!A$4:B$15,2,FALSE)*AH111,IF(AG111="USD",O111,AH111*Y111))</f>
        <v>0</v>
      </c>
      <c r="AJ111" s="13">
        <f t="shared" si="38"/>
        <v>0</v>
      </c>
      <c r="AK111" s="13">
        <f>-IF(AG111="CAD",IFERROR(VLOOKUP(D111,CAARStatus!$A$1:$Y$1600,16,FALSE),0),0)</f>
        <v>-10755.87</v>
      </c>
      <c r="AL111" s="13">
        <f>-IF(AG111="USD",IFERROR(VLOOKUP(D111,CAARStatus!$A$1:$Y$1600,11,FALSE),0),0)</f>
        <v>0</v>
      </c>
      <c r="AM111" s="22">
        <f t="shared" si="39"/>
        <v>-10755.87</v>
      </c>
      <c r="AN111" s="12" t="str">
        <f t="shared" si="40"/>
        <v/>
      </c>
      <c r="AO111" s="12" t="str">
        <f t="shared" si="41"/>
        <v>Yes</v>
      </c>
      <c r="AP111" t="str">
        <f t="shared" si="26"/>
        <v>XX</v>
      </c>
      <c r="AQ111" t="str">
        <f>IFERROR(VLOOKUP(Z111,InvBal!$L$4:$P$600,4,FALSE),"Pend")</f>
        <v>Yes</v>
      </c>
      <c r="AR111" t="str">
        <f>IFERROR(VLOOKUP(D111,Manual!$C$1:$E$22,2,FALSE),"Pend")</f>
        <v>Pend</v>
      </c>
      <c r="AS111" t="str">
        <f t="shared" si="42"/>
        <v>Yes</v>
      </c>
      <c r="AT111" t="str">
        <f t="shared" si="43"/>
        <v/>
      </c>
      <c r="AU111" s="51" t="str">
        <f t="shared" si="44"/>
        <v/>
      </c>
      <c r="AV111" s="12">
        <f>IFERROR(VLOOKUP(D111,'Receivable Invoice Detail'!$S$1:$U$3014,3,FALSE),0)</f>
        <v>0</v>
      </c>
      <c r="AW111" s="12">
        <f t="shared" si="45"/>
        <v>0</v>
      </c>
    </row>
    <row r="112" spans="1:49" x14ac:dyDescent="0.25">
      <c r="A112" s="2">
        <v>2</v>
      </c>
      <c r="B112" s="2" t="s">
        <v>2070</v>
      </c>
      <c r="C112" s="2" t="s">
        <v>2071</v>
      </c>
      <c r="D112" s="2" t="s">
        <v>2378</v>
      </c>
      <c r="E112" s="2" t="s">
        <v>77</v>
      </c>
      <c r="F112" s="3">
        <v>45686.728726851848</v>
      </c>
      <c r="G112" s="3">
        <v>45691.598657407398</v>
      </c>
      <c r="H112" s="4">
        <v>45747</v>
      </c>
      <c r="I112" s="2" t="s">
        <v>21</v>
      </c>
      <c r="J112" s="2" t="s">
        <v>22</v>
      </c>
      <c r="K112" s="2">
        <v>1</v>
      </c>
      <c r="L112" s="2">
        <v>1456.77</v>
      </c>
      <c r="M112" s="2">
        <v>0</v>
      </c>
      <c r="N112" s="2">
        <v>997.7329272310983</v>
      </c>
      <c r="O112" s="2">
        <v>1387.4</v>
      </c>
      <c r="P112" s="2">
        <v>69.37</v>
      </c>
      <c r="Q112" s="2">
        <v>1456.77</v>
      </c>
      <c r="R112" s="2" t="s">
        <v>44</v>
      </c>
      <c r="S112" s="2"/>
      <c r="T112" s="2">
        <f t="shared" si="27"/>
        <v>2</v>
      </c>
      <c r="U112" s="18">
        <f t="shared" si="28"/>
        <v>1</v>
      </c>
      <c r="V112" s="18">
        <f t="shared" si="29"/>
        <v>2025</v>
      </c>
      <c r="W112" s="18">
        <f t="shared" si="30"/>
        <v>3</v>
      </c>
      <c r="X112" s="18">
        <f t="shared" si="31"/>
        <v>2025</v>
      </c>
      <c r="Y112" s="2">
        <f t="shared" si="24"/>
        <v>0.68489392782051961</v>
      </c>
      <c r="Z112" t="str">
        <f t="shared" si="25"/>
        <v>SO16515</v>
      </c>
      <c r="AA112" s="11">
        <f t="shared" si="32"/>
        <v>45686.728726851848</v>
      </c>
      <c r="AB112" s="5" t="str">
        <f t="shared" si="33"/>
        <v>INV12615</v>
      </c>
      <c r="AC112" s="5" t="str">
        <f>IFERROR(VLOOKUP(D112,CAARStatus!$A$2:$AA$1600,22,FALSE),"Not invoiced")</f>
        <v>Paid</v>
      </c>
      <c r="AD112" s="11">
        <f>IF(AC112="Paid",IFERROR(VLOOKUP(D112,CAARStatus!$A$2:$AA$1600,6,FALSE),"Pending"),"Pending")</f>
        <v>45729</v>
      </c>
      <c r="AE112" s="5" t="str">
        <f t="shared" si="34"/>
        <v>40-1012759</v>
      </c>
      <c r="AF112" s="5" t="str">
        <f t="shared" si="35"/>
        <v>Canadian Bearings Ltd.</v>
      </c>
      <c r="AG112" s="5" t="str">
        <f t="shared" si="36"/>
        <v>CAD</v>
      </c>
      <c r="AH112" s="5">
        <f t="shared" si="37"/>
        <v>1387.4</v>
      </c>
      <c r="AI112" s="12">
        <f>IF(L112-N112=0,VLOOKUP(U112,rate!A$4:B$15,2,FALSE)*AH112,IF(AG112="USD",O112,AH112*Y112))</f>
        <v>950.22183545818893</v>
      </c>
      <c r="AJ112" s="13">
        <f t="shared" si="38"/>
        <v>0.68489392782051961</v>
      </c>
      <c r="AK112" s="13">
        <f>-IF(AG112="CAD",IFERROR(VLOOKUP(D112,CAARStatus!$A$1:$Y$1600,16,FALSE),0),0)</f>
        <v>-158.34</v>
      </c>
      <c r="AL112" s="13">
        <f>-IF(AG112="USD",IFERROR(VLOOKUP(D112,CAARStatus!$A$1:$Y$1600,11,FALSE),0),0)</f>
        <v>0</v>
      </c>
      <c r="AM112" s="22">
        <f t="shared" si="39"/>
        <v>1229.0600000000002</v>
      </c>
      <c r="AN112" s="12" t="str">
        <f t="shared" si="40"/>
        <v/>
      </c>
      <c r="AO112" s="12" t="str">
        <f t="shared" si="41"/>
        <v>Yes</v>
      </c>
      <c r="AP112" t="str">
        <f t="shared" si="26"/>
        <v>XX</v>
      </c>
      <c r="AQ112" t="str">
        <f>IFERROR(VLOOKUP(Z112,InvBal!$L$4:$P$600,4,FALSE),"Pend")</f>
        <v>Yes</v>
      </c>
      <c r="AR112" t="str">
        <f>IFERROR(VLOOKUP(D112,Manual!$C$1:$E$22,2,FALSE),"Pend")</f>
        <v>Pend</v>
      </c>
      <c r="AS112" t="str">
        <f t="shared" si="42"/>
        <v>Yes</v>
      </c>
      <c r="AT112" t="str">
        <f t="shared" si="43"/>
        <v>Yes</v>
      </c>
      <c r="AU112" s="51" t="str">
        <f t="shared" si="44"/>
        <v>Yes</v>
      </c>
      <c r="AV112" s="12">
        <f>IFERROR(VLOOKUP(D112,'Receivable Invoice Detail'!$S$1:$U$3014,3,FALSE),0)</f>
        <v>0</v>
      </c>
      <c r="AW112" s="12">
        <f t="shared" si="45"/>
        <v>950.22183545818893</v>
      </c>
    </row>
    <row r="113" spans="1:49" x14ac:dyDescent="0.25">
      <c r="A113" s="2"/>
      <c r="B113" s="2"/>
      <c r="C113" s="2"/>
      <c r="D113" s="2" t="s">
        <v>2377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f t="shared" si="27"/>
        <v>2</v>
      </c>
      <c r="U113" s="18">
        <f t="shared" si="28"/>
        <v>1</v>
      </c>
      <c r="V113" s="18">
        <f t="shared" si="29"/>
        <v>2025</v>
      </c>
      <c r="W113" s="18">
        <f t="shared" si="30"/>
        <v>4</v>
      </c>
      <c r="X113" s="18">
        <f t="shared" si="31"/>
        <v>2025</v>
      </c>
      <c r="Y113" s="2">
        <f t="shared" si="24"/>
        <v>0.68489392782051961</v>
      </c>
      <c r="Z113" t="str">
        <f t="shared" si="25"/>
        <v>SO16515</v>
      </c>
      <c r="AA113" s="11">
        <f t="shared" si="32"/>
        <v>45686.728726851848</v>
      </c>
      <c r="AB113" s="5" t="str">
        <f t="shared" si="33"/>
        <v>INV12676</v>
      </c>
      <c r="AC113" s="5" t="str">
        <f>IFERROR(VLOOKUP(D113,CAARStatus!$A$2:$AA$1600,22,FALSE),"Not invoiced")</f>
        <v>Paid</v>
      </c>
      <c r="AD113" s="11">
        <f>IF(AC113="Paid",IFERROR(VLOOKUP(D113,CAARStatus!$A$2:$AA$1600,6,FALSE),"Pending"),"Pending")</f>
        <v>45757</v>
      </c>
      <c r="AE113" s="5" t="str">
        <f t="shared" si="34"/>
        <v>40-1012759</v>
      </c>
      <c r="AF113" s="5" t="str">
        <f t="shared" si="35"/>
        <v>Canadian Bearings Ltd.</v>
      </c>
      <c r="AG113" s="5" t="str">
        <f t="shared" si="36"/>
        <v>CAD</v>
      </c>
      <c r="AH113" s="5">
        <f t="shared" si="37"/>
        <v>0</v>
      </c>
      <c r="AI113" s="12">
        <f>IF(L113-N113=0,VLOOKUP(U113,rate!A$4:B$15,2,FALSE)*AH113,IF(AG113="USD",O113,AH113*Y113))</f>
        <v>0</v>
      </c>
      <c r="AJ113" s="13">
        <f t="shared" si="38"/>
        <v>0</v>
      </c>
      <c r="AK113" s="13">
        <f>-IF(AG113="CAD",IFERROR(VLOOKUP(D113,CAARStatus!$A$1:$Y$1600,16,FALSE),0),0)</f>
        <v>-1229.06</v>
      </c>
      <c r="AL113" s="13">
        <f>-IF(AG113="USD",IFERROR(VLOOKUP(D113,CAARStatus!$A$1:$Y$1600,11,FALSE),0),0)</f>
        <v>0</v>
      </c>
      <c r="AM113" s="22">
        <f t="shared" si="39"/>
        <v>-1229.06</v>
      </c>
      <c r="AN113" s="12" t="str">
        <f t="shared" si="40"/>
        <v/>
      </c>
      <c r="AO113" s="12" t="str">
        <f t="shared" si="41"/>
        <v>Yes</v>
      </c>
      <c r="AP113" t="str">
        <f t="shared" si="26"/>
        <v>XX</v>
      </c>
      <c r="AQ113" t="str">
        <f>IFERROR(VLOOKUP(Z113,InvBal!$L$4:$P$600,4,FALSE),"Pend")</f>
        <v>Yes</v>
      </c>
      <c r="AR113" t="str">
        <f>IFERROR(VLOOKUP(D113,Manual!$C$1:$E$22,2,FALSE),"Pend")</f>
        <v>Pend</v>
      </c>
      <c r="AS113" t="str">
        <f t="shared" si="42"/>
        <v>Yes</v>
      </c>
      <c r="AT113" t="str">
        <f t="shared" si="43"/>
        <v/>
      </c>
      <c r="AU113" s="51" t="str">
        <f t="shared" si="44"/>
        <v/>
      </c>
      <c r="AV113" s="12">
        <f>IFERROR(VLOOKUP(D113,'Receivable Invoice Detail'!$S$1:$U$3014,3,FALSE),0)</f>
        <v>0</v>
      </c>
      <c r="AW113" s="12">
        <f t="shared" si="45"/>
        <v>0</v>
      </c>
    </row>
    <row r="114" spans="1:49" x14ac:dyDescent="0.25">
      <c r="A114" s="2">
        <v>2</v>
      </c>
      <c r="B114" s="2" t="s">
        <v>2019</v>
      </c>
      <c r="C114" s="2" t="s">
        <v>2020</v>
      </c>
      <c r="D114" s="2" t="s">
        <v>2414</v>
      </c>
      <c r="E114" s="2" t="s">
        <v>77</v>
      </c>
      <c r="F114" s="3">
        <v>45686.740324074082</v>
      </c>
      <c r="G114" s="3">
        <v>45699.59946759259</v>
      </c>
      <c r="H114" s="4">
        <v>45720</v>
      </c>
      <c r="I114" s="2" t="s">
        <v>1132</v>
      </c>
      <c r="J114" s="2" t="s">
        <v>22</v>
      </c>
      <c r="K114" s="2">
        <v>1</v>
      </c>
      <c r="L114" s="2">
        <v>193.03</v>
      </c>
      <c r="M114" s="2">
        <v>0</v>
      </c>
      <c r="N114" s="2">
        <v>134.90296737157391</v>
      </c>
      <c r="O114" s="2">
        <v>183.84</v>
      </c>
      <c r="P114" s="2">
        <v>9.19</v>
      </c>
      <c r="Q114" s="2">
        <v>193.03</v>
      </c>
      <c r="R114" s="2" t="s">
        <v>44</v>
      </c>
      <c r="S114" s="2"/>
      <c r="T114" s="2">
        <f t="shared" si="27"/>
        <v>2</v>
      </c>
      <c r="U114" s="18">
        <f t="shared" si="28"/>
        <v>1</v>
      </c>
      <c r="V114" s="18">
        <f t="shared" si="29"/>
        <v>2025</v>
      </c>
      <c r="W114" s="18">
        <f t="shared" si="30"/>
        <v>3</v>
      </c>
      <c r="X114" s="18">
        <f t="shared" si="31"/>
        <v>2025</v>
      </c>
      <c r="Y114" s="2">
        <f t="shared" si="24"/>
        <v>0.69887047283621151</v>
      </c>
      <c r="Z114" t="str">
        <f t="shared" si="25"/>
        <v>SO16516</v>
      </c>
      <c r="AA114" s="11">
        <f t="shared" si="32"/>
        <v>45686.740324074082</v>
      </c>
      <c r="AB114" s="5" t="str">
        <f t="shared" si="33"/>
        <v>INV12638</v>
      </c>
      <c r="AC114" s="5" t="str">
        <f>IFERROR(VLOOKUP(D114,CAARStatus!$A$2:$AA$1600,22,FALSE),"Not invoiced")</f>
        <v>Paid</v>
      </c>
      <c r="AD114" s="11">
        <f>IF(AC114="Paid",IFERROR(VLOOKUP(D114,CAARStatus!$A$2:$AA$1600,6,FALSE),"Pending"),"Pending")</f>
        <v>45729</v>
      </c>
      <c r="AE114" s="5" t="str">
        <f t="shared" si="34"/>
        <v>40-1012965</v>
      </c>
      <c r="AF114" s="5" t="str">
        <f t="shared" si="35"/>
        <v>Canadian Bearings Ltd.</v>
      </c>
      <c r="AG114" s="5" t="str">
        <f t="shared" si="36"/>
        <v>CAD</v>
      </c>
      <c r="AH114" s="5">
        <f t="shared" si="37"/>
        <v>183.84</v>
      </c>
      <c r="AI114" s="12">
        <f>IF(L114-N114=0,VLOOKUP(U114,rate!A$4:B$15,2,FALSE)*AH114,IF(AG114="USD",O114,AH114*Y114))</f>
        <v>128.48034772620912</v>
      </c>
      <c r="AJ114" s="13">
        <f t="shared" si="38"/>
        <v>0.69887047283621151</v>
      </c>
      <c r="AK114" s="13">
        <f>-IF(AG114="CAD",IFERROR(VLOOKUP(D114,CAARStatus!$A$1:$Y$1600,16,FALSE),0),0)</f>
        <v>-126.5</v>
      </c>
      <c r="AL114" s="13">
        <f>-IF(AG114="USD",IFERROR(VLOOKUP(D114,CAARStatus!$A$1:$Y$1600,11,FALSE),0),0)</f>
        <v>0</v>
      </c>
      <c r="AM114" s="22">
        <f t="shared" si="39"/>
        <v>57.34</v>
      </c>
      <c r="AN114" s="12" t="str">
        <f t="shared" si="40"/>
        <v/>
      </c>
      <c r="AO114" s="12" t="str">
        <f t="shared" si="41"/>
        <v>Yes</v>
      </c>
      <c r="AP114" t="str">
        <f t="shared" si="26"/>
        <v>XX</v>
      </c>
      <c r="AQ114" t="str">
        <f>IFERROR(VLOOKUP(Z114,InvBal!$L$4:$P$600,4,FALSE),"Pend")</f>
        <v>Yes</v>
      </c>
      <c r="AR114" t="str">
        <f>IFERROR(VLOOKUP(D114,Manual!$C$1:$E$22,2,FALSE),"Pend")</f>
        <v>Pend</v>
      </c>
      <c r="AS114" t="str">
        <f t="shared" si="42"/>
        <v>Yes</v>
      </c>
      <c r="AT114" t="str">
        <f t="shared" si="43"/>
        <v>Yes</v>
      </c>
      <c r="AU114" s="51" t="str">
        <f t="shared" si="44"/>
        <v>Yes</v>
      </c>
      <c r="AV114" s="12">
        <f>IFERROR(VLOOKUP(D114,'Receivable Invoice Detail'!$S$1:$U$3014,3,FALSE),0)</f>
        <v>0</v>
      </c>
      <c r="AW114" s="12">
        <f t="shared" si="45"/>
        <v>128.48034772620912</v>
      </c>
    </row>
    <row r="115" spans="1:49" x14ac:dyDescent="0.25">
      <c r="A115" s="2"/>
      <c r="B115" s="2"/>
      <c r="C115" s="2"/>
      <c r="D115" s="2" t="s">
        <v>2413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>
        <f t="shared" si="27"/>
        <v>2</v>
      </c>
      <c r="U115" s="18">
        <f t="shared" si="28"/>
        <v>1</v>
      </c>
      <c r="V115" s="18">
        <f t="shared" si="29"/>
        <v>2025</v>
      </c>
      <c r="W115" s="18">
        <f t="shared" si="30"/>
        <v>4</v>
      </c>
      <c r="X115" s="18">
        <f t="shared" si="31"/>
        <v>2025</v>
      </c>
      <c r="Y115" s="2">
        <f t="shared" si="24"/>
        <v>0.69887047283621151</v>
      </c>
      <c r="Z115" t="str">
        <f t="shared" si="25"/>
        <v>SO16516</v>
      </c>
      <c r="AA115" s="11">
        <f t="shared" si="32"/>
        <v>45686.740324074082</v>
      </c>
      <c r="AB115" s="5" t="str">
        <f t="shared" si="33"/>
        <v>INV12675</v>
      </c>
      <c r="AC115" s="5" t="str">
        <f>IFERROR(VLOOKUP(D115,CAARStatus!$A$2:$AA$1600,22,FALSE),"Not invoiced")</f>
        <v>Paid</v>
      </c>
      <c r="AD115" s="11">
        <f>IF(AC115="Paid",IFERROR(VLOOKUP(D115,CAARStatus!$A$2:$AA$1600,6,FALSE),"Pending"),"Pending")</f>
        <v>45757</v>
      </c>
      <c r="AE115" s="5" t="str">
        <f t="shared" si="34"/>
        <v>40-1012965</v>
      </c>
      <c r="AF115" s="5" t="str">
        <f t="shared" si="35"/>
        <v>Canadian Bearings Ltd.</v>
      </c>
      <c r="AG115" s="5" t="str">
        <f t="shared" si="36"/>
        <v>CAD</v>
      </c>
      <c r="AH115" s="5">
        <f t="shared" si="37"/>
        <v>0</v>
      </c>
      <c r="AI115" s="12">
        <f>IF(L115-N115=0,VLOOKUP(U115,rate!A$4:B$15,2,FALSE)*AH115,IF(AG115="USD",O115,AH115*Y115))</f>
        <v>0</v>
      </c>
      <c r="AJ115" s="13">
        <f t="shared" si="38"/>
        <v>0</v>
      </c>
      <c r="AK115" s="13">
        <f>-IF(AG115="CAD",IFERROR(VLOOKUP(D115,CAARStatus!$A$1:$Y$1600,16,FALSE),0),0)</f>
        <v>-57.34</v>
      </c>
      <c r="AL115" s="13">
        <f>-IF(AG115="USD",IFERROR(VLOOKUP(D115,CAARStatus!$A$1:$Y$1600,11,FALSE),0),0)</f>
        <v>0</v>
      </c>
      <c r="AM115" s="22">
        <f t="shared" si="39"/>
        <v>-57.34</v>
      </c>
      <c r="AN115" s="12" t="str">
        <f t="shared" si="40"/>
        <v/>
      </c>
      <c r="AO115" s="12" t="str">
        <f t="shared" si="41"/>
        <v>Yes</v>
      </c>
      <c r="AP115" t="str">
        <f t="shared" si="26"/>
        <v>XX</v>
      </c>
      <c r="AQ115" t="str">
        <f>IFERROR(VLOOKUP(Z115,InvBal!$L$4:$P$600,4,FALSE),"Pend")</f>
        <v>Yes</v>
      </c>
      <c r="AR115" t="str">
        <f>IFERROR(VLOOKUP(D115,Manual!$C$1:$E$22,2,FALSE),"Pend")</f>
        <v>Pend</v>
      </c>
      <c r="AS115" t="str">
        <f t="shared" si="42"/>
        <v>Yes</v>
      </c>
      <c r="AT115" t="str">
        <f t="shared" si="43"/>
        <v/>
      </c>
      <c r="AU115" s="51" t="str">
        <f t="shared" si="44"/>
        <v/>
      </c>
      <c r="AV115" s="12">
        <f>IFERROR(VLOOKUP(D115,'Receivable Invoice Detail'!$S$1:$U$3014,3,FALSE),0)</f>
        <v>0</v>
      </c>
      <c r="AW115" s="12">
        <f t="shared" si="45"/>
        <v>0</v>
      </c>
    </row>
    <row r="116" spans="1:49" ht="30" x14ac:dyDescent="0.25">
      <c r="A116" s="2">
        <v>1</v>
      </c>
      <c r="B116" s="2" t="s">
        <v>2080</v>
      </c>
      <c r="C116" s="2" t="s">
        <v>2081</v>
      </c>
      <c r="D116" s="2" t="s">
        <v>2371</v>
      </c>
      <c r="E116" s="2" t="s">
        <v>1288</v>
      </c>
      <c r="F116" s="3">
        <v>45687.471030092587</v>
      </c>
      <c r="G116" s="3">
        <v>45687.472511574073</v>
      </c>
      <c r="H116" s="4">
        <v>45688</v>
      </c>
      <c r="I116" s="2" t="s">
        <v>21</v>
      </c>
      <c r="J116" s="2" t="s">
        <v>51</v>
      </c>
      <c r="K116" s="2">
        <v>0.69476842365290303</v>
      </c>
      <c r="L116" s="2">
        <v>239.0436789380793</v>
      </c>
      <c r="M116" s="2">
        <v>0</v>
      </c>
      <c r="N116" s="2">
        <v>166.08</v>
      </c>
      <c r="O116" s="2">
        <v>166.08</v>
      </c>
      <c r="P116" s="2"/>
      <c r="Q116" s="2">
        <v>166.08</v>
      </c>
      <c r="R116" s="2" t="s">
        <v>44</v>
      </c>
      <c r="S116" s="2"/>
      <c r="T116" s="2">
        <f t="shared" si="27"/>
        <v>1</v>
      </c>
      <c r="U116" s="18">
        <f t="shared" si="28"/>
        <v>1</v>
      </c>
      <c r="V116" s="18">
        <f t="shared" si="29"/>
        <v>2025</v>
      </c>
      <c r="W116" s="18">
        <f t="shared" si="30"/>
        <v>2</v>
      </c>
      <c r="X116" s="18">
        <f t="shared" si="31"/>
        <v>2025</v>
      </c>
      <c r="Y116" s="2">
        <f t="shared" si="24"/>
        <v>0.69476842365290303</v>
      </c>
      <c r="Z116" t="str">
        <f t="shared" si="25"/>
        <v>SO16517</v>
      </c>
      <c r="AA116" s="11">
        <f t="shared" si="32"/>
        <v>45687.471030092587</v>
      </c>
      <c r="AB116" s="5" t="str">
        <f t="shared" si="33"/>
        <v>INV12587</v>
      </c>
      <c r="AC116" s="5" t="str">
        <f>IFERROR(VLOOKUP(D116,CAARStatus!$A$2:$AA$1600,22,FALSE),"Not invoiced")</f>
        <v>Paid</v>
      </c>
      <c r="AD116" s="11">
        <f>IF(AC116="Paid",IFERROR(VLOOKUP(D116,CAARStatus!$A$2:$AA$1600,6,FALSE),"Pending"),"Pending")</f>
        <v>45716</v>
      </c>
      <c r="AE116" s="5" t="str">
        <f t="shared" si="34"/>
        <v>AZ52-00109170</v>
      </c>
      <c r="AF116" s="5" t="str">
        <f t="shared" si="35"/>
        <v>Motion Industries Inc. (U.S.) - Tucson</v>
      </c>
      <c r="AG116" s="5" t="str">
        <f t="shared" si="36"/>
        <v>USD</v>
      </c>
      <c r="AH116" s="5">
        <f t="shared" si="37"/>
        <v>239.0436789380793</v>
      </c>
      <c r="AI116" s="12">
        <f>IF(L116-N116=0,VLOOKUP(U116,rate!A$4:B$15,2,FALSE)*AH116,IF(AG116="USD",O116,AH116*Y116))</f>
        <v>166.08</v>
      </c>
      <c r="AJ116" s="13">
        <f t="shared" si="38"/>
        <v>0.69476842365290303</v>
      </c>
      <c r="AK116" s="13">
        <f>-IF(AG116="CAD",IFERROR(VLOOKUP(D116,CAARStatus!$A$1:$Y$1600,16,FALSE),0),0)</f>
        <v>0</v>
      </c>
      <c r="AL116" s="13">
        <f>-IF(AG116="USD",IFERROR(VLOOKUP(D116,CAARStatus!$A$1:$Y$1600,11,FALSE),0),0)</f>
        <v>-166.08</v>
      </c>
      <c r="AM116" s="22" t="str">
        <f t="shared" si="39"/>
        <v/>
      </c>
      <c r="AN116" s="12">
        <f t="shared" si="40"/>
        <v>0</v>
      </c>
      <c r="AO116" s="12" t="str">
        <f t="shared" si="41"/>
        <v>Yes</v>
      </c>
      <c r="AP116" t="str">
        <f t="shared" si="26"/>
        <v>Yes</v>
      </c>
      <c r="AQ116" t="str">
        <f>IFERROR(VLOOKUP(Z116,InvBal!$L$4:$P$600,4,FALSE),"Pend")</f>
        <v>Pend</v>
      </c>
      <c r="AR116" t="str">
        <f>IFERROR(VLOOKUP(D116,Manual!$C$1:$E$22,2,FALSE),"Pend")</f>
        <v>Pend</v>
      </c>
      <c r="AS116" t="str">
        <f t="shared" si="42"/>
        <v>Yes</v>
      </c>
      <c r="AT116" t="str">
        <f t="shared" si="43"/>
        <v>Yes</v>
      </c>
      <c r="AU116" s="51" t="str">
        <f t="shared" si="44"/>
        <v>Yes</v>
      </c>
      <c r="AV116" s="12">
        <f>IFERROR(VLOOKUP(D116,'Receivable Invoice Detail'!$S$1:$U$3014,3,FALSE),0)</f>
        <v>0</v>
      </c>
      <c r="AW116" s="12">
        <f t="shared" si="45"/>
        <v>166.08</v>
      </c>
    </row>
    <row r="117" spans="1:49" ht="30" x14ac:dyDescent="0.25">
      <c r="A117" s="2">
        <v>1</v>
      </c>
      <c r="B117" s="2" t="s">
        <v>2058</v>
      </c>
      <c r="C117" s="2" t="s">
        <v>2059</v>
      </c>
      <c r="D117" s="2" t="s">
        <v>2390</v>
      </c>
      <c r="E117" s="2" t="s">
        <v>80</v>
      </c>
      <c r="F117" s="3">
        <v>45687.562164351853</v>
      </c>
      <c r="G117" s="3">
        <v>45693.404942129629</v>
      </c>
      <c r="H117" s="4">
        <v>45763</v>
      </c>
      <c r="I117" s="2" t="s">
        <v>21</v>
      </c>
      <c r="J117" s="2" t="s">
        <v>22</v>
      </c>
      <c r="K117" s="2">
        <v>1</v>
      </c>
      <c r="L117" s="2">
        <v>6261.19</v>
      </c>
      <c r="M117" s="2">
        <v>0</v>
      </c>
      <c r="N117" s="2">
        <v>4383.382732256362</v>
      </c>
      <c r="O117" s="2">
        <v>5963.04</v>
      </c>
      <c r="P117" s="2">
        <v>298.14999999999998</v>
      </c>
      <c r="Q117" s="2">
        <v>6261.19</v>
      </c>
      <c r="R117" s="2" t="s">
        <v>44</v>
      </c>
      <c r="S117" s="2"/>
      <c r="T117" s="2">
        <f t="shared" si="27"/>
        <v>1</v>
      </c>
      <c r="U117" s="18">
        <f t="shared" si="28"/>
        <v>1</v>
      </c>
      <c r="V117" s="18">
        <f t="shared" si="29"/>
        <v>2025</v>
      </c>
      <c r="W117" s="18">
        <f t="shared" si="30"/>
        <v>6</v>
      </c>
      <c r="X117" s="18">
        <f t="shared" si="31"/>
        <v>2025</v>
      </c>
      <c r="Y117" s="2">
        <f t="shared" si="24"/>
        <v>0.70008779996396253</v>
      </c>
      <c r="Z117" t="str">
        <f t="shared" si="25"/>
        <v>SO16519</v>
      </c>
      <c r="AA117" s="11">
        <f t="shared" si="32"/>
        <v>45687.562164351853</v>
      </c>
      <c r="AB117" s="5" t="str">
        <f t="shared" si="33"/>
        <v>INV12828</v>
      </c>
      <c r="AC117" s="5" t="str">
        <f>IFERROR(VLOOKUP(D117,CAARStatus!$A$2:$AA$1600,22,FALSE),"Not invoiced")</f>
        <v>Paid</v>
      </c>
      <c r="AD117" s="11">
        <f>IF(AC117="Paid",IFERROR(VLOOKUP(D117,CAARStatus!$A$2:$AA$1600,6,FALSE),"Pending"),"Pending")</f>
        <v>45814</v>
      </c>
      <c r="AE117" s="5" t="str">
        <f t="shared" si="34"/>
        <v>4500578527</v>
      </c>
      <c r="AF117" s="5" t="str">
        <f t="shared" si="35"/>
        <v>Resolute Forest Products - Dolbeau</v>
      </c>
      <c r="AG117" s="5" t="str">
        <f t="shared" si="36"/>
        <v>CAD</v>
      </c>
      <c r="AH117" s="5">
        <f t="shared" si="37"/>
        <v>5963.04</v>
      </c>
      <c r="AI117" s="12">
        <f>IF(L117-N117=0,VLOOKUP(U117,rate!A$4:B$15,2,FALSE)*AH117,IF(AG117="USD",O117,AH117*Y117))</f>
        <v>4174.6515546971068</v>
      </c>
      <c r="AJ117" s="13">
        <f t="shared" si="38"/>
        <v>0.70008779996396253</v>
      </c>
      <c r="AK117" s="13">
        <f>-IF(AG117="CAD",IFERROR(VLOOKUP(D117,CAARStatus!$A$1:$Y$1600,16,FALSE),0),0)</f>
        <v>-5963.04</v>
      </c>
      <c r="AL117" s="13">
        <f>-IF(AG117="USD",IFERROR(VLOOKUP(D117,CAARStatus!$A$1:$Y$1600,11,FALSE),0),0)</f>
        <v>0</v>
      </c>
      <c r="AM117" s="22">
        <f t="shared" si="39"/>
        <v>0</v>
      </c>
      <c r="AN117" s="12" t="str">
        <f t="shared" si="40"/>
        <v/>
      </c>
      <c r="AO117" s="12" t="str">
        <f t="shared" si="41"/>
        <v>Yes</v>
      </c>
      <c r="AP117" t="str">
        <f t="shared" si="26"/>
        <v>Yes</v>
      </c>
      <c r="AQ117" t="str">
        <f>IFERROR(VLOOKUP(Z117,InvBal!$L$4:$P$600,4,FALSE),"Pend")</f>
        <v>Pend</v>
      </c>
      <c r="AR117" t="str">
        <f>IFERROR(VLOOKUP(D117,Manual!$C$1:$E$22,2,FALSE),"Pend")</f>
        <v>Pend</v>
      </c>
      <c r="AS117" t="str">
        <f t="shared" si="42"/>
        <v>Yes</v>
      </c>
      <c r="AT117" t="str">
        <f t="shared" si="43"/>
        <v>Yes</v>
      </c>
      <c r="AU117" s="51" t="str">
        <f t="shared" si="44"/>
        <v>Yes</v>
      </c>
      <c r="AV117" s="12">
        <f>IFERROR(VLOOKUP(D117,'Receivable Invoice Detail'!$S$1:$U$3014,3,FALSE),0)</f>
        <v>0</v>
      </c>
      <c r="AW117" s="12">
        <f t="shared" si="45"/>
        <v>4174.6515546971068</v>
      </c>
    </row>
    <row r="118" spans="1:49" ht="30" x14ac:dyDescent="0.25">
      <c r="A118" s="2">
        <v>1</v>
      </c>
      <c r="B118" s="2" t="s">
        <v>2078</v>
      </c>
      <c r="C118" s="2" t="s">
        <v>2079</v>
      </c>
      <c r="D118" s="2" t="s">
        <v>2372</v>
      </c>
      <c r="E118" s="2" t="s">
        <v>39</v>
      </c>
      <c r="F118" s="3">
        <v>45687.683703703697</v>
      </c>
      <c r="G118" s="3">
        <v>45687.68545138889</v>
      </c>
      <c r="H118" s="4">
        <v>45688</v>
      </c>
      <c r="I118" s="2" t="s">
        <v>21</v>
      </c>
      <c r="J118" s="2" t="s">
        <v>22</v>
      </c>
      <c r="K118" s="2">
        <v>1</v>
      </c>
      <c r="L118" s="2">
        <v>232.68</v>
      </c>
      <c r="M118" s="2">
        <v>0</v>
      </c>
      <c r="N118" s="2">
        <v>161.4172415154479</v>
      </c>
      <c r="O118" s="2">
        <v>221.6</v>
      </c>
      <c r="P118" s="2">
        <v>11.08</v>
      </c>
      <c r="Q118" s="2">
        <v>232.68</v>
      </c>
      <c r="R118" s="2" t="s">
        <v>44</v>
      </c>
      <c r="S118" s="2"/>
      <c r="T118" s="2">
        <f t="shared" si="27"/>
        <v>1</v>
      </c>
      <c r="U118" s="18">
        <f t="shared" si="28"/>
        <v>1</v>
      </c>
      <c r="V118" s="18">
        <f t="shared" si="29"/>
        <v>2025</v>
      </c>
      <c r="W118" s="18">
        <f t="shared" si="30"/>
        <v>2</v>
      </c>
      <c r="X118" s="18">
        <f t="shared" si="31"/>
        <v>2025</v>
      </c>
      <c r="Y118" s="2">
        <f t="shared" si="24"/>
        <v>0.69373062366962301</v>
      </c>
      <c r="Z118" t="str">
        <f t="shared" si="25"/>
        <v>SO16520</v>
      </c>
      <c r="AA118" s="11">
        <f t="shared" si="32"/>
        <v>45687.683703703697</v>
      </c>
      <c r="AB118" s="5" t="str">
        <f t="shared" si="33"/>
        <v>INV12586</v>
      </c>
      <c r="AC118" s="5" t="str">
        <f>IFERROR(VLOOKUP(D118,CAARStatus!$A$2:$AA$1600,22,FALSE),"Not invoiced")</f>
        <v>Paid</v>
      </c>
      <c r="AD118" s="11">
        <f>IF(AC118="Paid",IFERROR(VLOOKUP(D118,CAARStatus!$A$2:$AA$1600,6,FALSE),"Pending"),"Pending")</f>
        <v>45716</v>
      </c>
      <c r="AE118" s="5" t="str">
        <f t="shared" si="34"/>
        <v>BC65-00079399</v>
      </c>
      <c r="AF118" s="5" t="str">
        <f t="shared" si="35"/>
        <v>Motion Industries Inc. (Canada) - Prince George</v>
      </c>
      <c r="AG118" s="5" t="str">
        <f t="shared" si="36"/>
        <v>CAD</v>
      </c>
      <c r="AH118" s="5">
        <f t="shared" si="37"/>
        <v>221.6</v>
      </c>
      <c r="AI118" s="12">
        <f>IF(L118-N118=0,VLOOKUP(U118,rate!A$4:B$15,2,FALSE)*AH118,IF(AG118="USD",O118,AH118*Y118))</f>
        <v>153.73070620518845</v>
      </c>
      <c r="AJ118" s="13">
        <f t="shared" si="38"/>
        <v>0.69373062366962301</v>
      </c>
      <c r="AK118" s="13">
        <f>-IF(AG118="CAD",IFERROR(VLOOKUP(D118,CAARStatus!$A$1:$Y$1600,16,FALSE),0),0)</f>
        <v>-221.6</v>
      </c>
      <c r="AL118" s="13">
        <f>-IF(AG118="USD",IFERROR(VLOOKUP(D118,CAARStatus!$A$1:$Y$1600,11,FALSE),0),0)</f>
        <v>0</v>
      </c>
      <c r="AM118" s="22">
        <f t="shared" si="39"/>
        <v>0</v>
      </c>
      <c r="AN118" s="12" t="str">
        <f t="shared" si="40"/>
        <v/>
      </c>
      <c r="AO118" s="12" t="str">
        <f t="shared" si="41"/>
        <v>Yes</v>
      </c>
      <c r="AP118" t="str">
        <f t="shared" si="26"/>
        <v>Yes</v>
      </c>
      <c r="AQ118" t="str">
        <f>IFERROR(VLOOKUP(Z118,InvBal!$L$4:$P$600,4,FALSE),"Pend")</f>
        <v>Pend</v>
      </c>
      <c r="AR118" t="str">
        <f>IFERROR(VLOOKUP(D118,Manual!$C$1:$E$22,2,FALSE),"Pend")</f>
        <v>Pend</v>
      </c>
      <c r="AS118" t="str">
        <f t="shared" si="42"/>
        <v>Yes</v>
      </c>
      <c r="AT118" t="str">
        <f t="shared" si="43"/>
        <v>Yes</v>
      </c>
      <c r="AU118" s="51" t="str">
        <f t="shared" si="44"/>
        <v>Yes</v>
      </c>
      <c r="AV118" s="12">
        <f>IFERROR(VLOOKUP(D118,'Receivable Invoice Detail'!$S$1:$U$3014,3,FALSE),0)</f>
        <v>0</v>
      </c>
      <c r="AW118" s="12">
        <f t="shared" si="45"/>
        <v>153.73070620518845</v>
      </c>
    </row>
    <row r="119" spans="1:49" x14ac:dyDescent="0.25">
      <c r="A119" s="2">
        <v>1</v>
      </c>
      <c r="B119" s="2" t="s">
        <v>2076</v>
      </c>
      <c r="C119" s="2" t="s">
        <v>2077</v>
      </c>
      <c r="D119" s="2" t="s">
        <v>2373</v>
      </c>
      <c r="E119" s="2" t="s">
        <v>141</v>
      </c>
      <c r="F119" s="3">
        <v>45687.737222222233</v>
      </c>
      <c r="G119" s="3">
        <v>45687.739340277767</v>
      </c>
      <c r="H119" s="4">
        <v>45722</v>
      </c>
      <c r="I119" s="2" t="s">
        <v>21</v>
      </c>
      <c r="J119" s="2" t="s">
        <v>51</v>
      </c>
      <c r="K119" s="2">
        <v>0.69476842365290303</v>
      </c>
      <c r="L119" s="2">
        <v>3553.7020911495529</v>
      </c>
      <c r="M119" s="2">
        <v>0</v>
      </c>
      <c r="N119" s="2">
        <v>2469</v>
      </c>
      <c r="O119" s="2">
        <v>2469</v>
      </c>
      <c r="P119" s="2"/>
      <c r="Q119" s="2">
        <v>2469</v>
      </c>
      <c r="R119" s="2" t="s">
        <v>44</v>
      </c>
      <c r="S119" s="2"/>
      <c r="T119" s="2">
        <f t="shared" si="27"/>
        <v>1</v>
      </c>
      <c r="U119" s="18">
        <f t="shared" si="28"/>
        <v>1</v>
      </c>
      <c r="V119" s="18">
        <f t="shared" si="29"/>
        <v>2025</v>
      </c>
      <c r="W119" s="18">
        <f t="shared" si="30"/>
        <v>5</v>
      </c>
      <c r="X119" s="18">
        <f t="shared" si="31"/>
        <v>2025</v>
      </c>
      <c r="Y119" s="2">
        <f t="shared" si="24"/>
        <v>0.69476842365290303</v>
      </c>
      <c r="Z119" t="str">
        <f t="shared" si="25"/>
        <v>SO16521</v>
      </c>
      <c r="AA119" s="11">
        <f t="shared" si="32"/>
        <v>45687.737222222233</v>
      </c>
      <c r="AB119" s="5" t="str">
        <f t="shared" si="33"/>
        <v>INV12772</v>
      </c>
      <c r="AC119" s="5" t="str">
        <f>IFERROR(VLOOKUP(D119,CAARStatus!$A$2:$AA$1600,22,FALSE),"Not invoiced")</f>
        <v>Paid</v>
      </c>
      <c r="AD119" s="11">
        <f>IF(AC119="Paid",IFERROR(VLOOKUP(D119,CAARStatus!$A$2:$AA$1600,6,FALSE),"Pending"),"Pending")</f>
        <v>45797</v>
      </c>
      <c r="AE119" s="5" t="str">
        <f t="shared" si="34"/>
        <v>4511559088</v>
      </c>
      <c r="AF119" s="5" t="str">
        <f t="shared" si="35"/>
        <v>PT Vale Indonesia Tbk.</v>
      </c>
      <c r="AG119" s="5" t="str">
        <f t="shared" si="36"/>
        <v>USD</v>
      </c>
      <c r="AH119" s="5">
        <f t="shared" si="37"/>
        <v>3553.7020911495529</v>
      </c>
      <c r="AI119" s="12">
        <f>IF(L119-N119=0,VLOOKUP(U119,rate!A$4:B$15,2,FALSE)*AH119,IF(AG119="USD",O119,AH119*Y119))</f>
        <v>2469</v>
      </c>
      <c r="AJ119" s="13">
        <f t="shared" si="38"/>
        <v>0.69476842365290303</v>
      </c>
      <c r="AK119" s="13">
        <f>-IF(AG119="CAD",IFERROR(VLOOKUP(D119,CAARStatus!$A$1:$Y$1600,16,FALSE),0),0)</f>
        <v>0</v>
      </c>
      <c r="AL119" s="13">
        <f>-IF(AG119="USD",IFERROR(VLOOKUP(D119,CAARStatus!$A$1:$Y$1600,11,FALSE),0),0)</f>
        <v>-2469</v>
      </c>
      <c r="AM119" s="22" t="str">
        <f t="shared" si="39"/>
        <v/>
      </c>
      <c r="AN119" s="12">
        <f t="shared" si="40"/>
        <v>0</v>
      </c>
      <c r="AO119" s="12" t="str">
        <f t="shared" si="41"/>
        <v>Yes</v>
      </c>
      <c r="AP119" t="str">
        <f t="shared" si="26"/>
        <v>Yes</v>
      </c>
      <c r="AQ119" t="str">
        <f>IFERROR(VLOOKUP(Z119,InvBal!$L$4:$P$600,4,FALSE),"Pend")</f>
        <v>Pend</v>
      </c>
      <c r="AR119" t="str">
        <f>IFERROR(VLOOKUP(D119,Manual!$C$1:$E$22,2,FALSE),"Pend")</f>
        <v>Pend</v>
      </c>
      <c r="AS119" t="str">
        <f t="shared" si="42"/>
        <v>Yes</v>
      </c>
      <c r="AT119" t="str">
        <f t="shared" si="43"/>
        <v>Yes</v>
      </c>
      <c r="AU119" s="51" t="str">
        <f t="shared" si="44"/>
        <v>Yes</v>
      </c>
      <c r="AV119" s="12">
        <f>IFERROR(VLOOKUP(D119,'Receivable Invoice Detail'!$S$1:$U$3014,3,FALSE),0)</f>
        <v>0</v>
      </c>
      <c r="AW119" s="12">
        <f t="shared" si="45"/>
        <v>2469</v>
      </c>
    </row>
    <row r="120" spans="1:49" x14ac:dyDescent="0.25">
      <c r="A120" s="2">
        <v>2</v>
      </c>
      <c r="B120" s="2" t="s">
        <v>2074</v>
      </c>
      <c r="C120" s="2" t="s">
        <v>2075</v>
      </c>
      <c r="D120" s="2" t="s">
        <v>2375</v>
      </c>
      <c r="E120" s="2" t="s">
        <v>1852</v>
      </c>
      <c r="F120" s="3">
        <v>45688.407627314817</v>
      </c>
      <c r="G120" s="3">
        <v>45688.403148148151</v>
      </c>
      <c r="H120" s="4">
        <v>45751</v>
      </c>
      <c r="I120" s="2" t="s">
        <v>21</v>
      </c>
      <c r="J120" s="2" t="s">
        <v>51</v>
      </c>
      <c r="K120" s="2">
        <v>0.69373062366962301</v>
      </c>
      <c r="L120" s="2">
        <v>1011.631858325199</v>
      </c>
      <c r="M120" s="2">
        <v>0</v>
      </c>
      <c r="N120" s="2">
        <v>701.8</v>
      </c>
      <c r="O120" s="2">
        <v>701.8</v>
      </c>
      <c r="P120" s="2"/>
      <c r="Q120" s="2">
        <v>701.8</v>
      </c>
      <c r="R120" s="2" t="s">
        <v>44</v>
      </c>
      <c r="S120" s="2"/>
      <c r="T120" s="2">
        <f t="shared" si="27"/>
        <v>2</v>
      </c>
      <c r="U120" s="18">
        <f t="shared" si="28"/>
        <v>1</v>
      </c>
      <c r="V120" s="18">
        <f t="shared" si="29"/>
        <v>2025</v>
      </c>
      <c r="W120" s="18">
        <f t="shared" si="30"/>
        <v>2</v>
      </c>
      <c r="X120" s="18">
        <f t="shared" si="31"/>
        <v>2025</v>
      </c>
      <c r="Y120" s="2">
        <f t="shared" si="24"/>
        <v>0.6937306236696229</v>
      </c>
      <c r="Z120" t="str">
        <f t="shared" si="25"/>
        <v>SO16522</v>
      </c>
      <c r="AA120" s="11">
        <f t="shared" si="32"/>
        <v>45688.407627314817</v>
      </c>
      <c r="AB120" s="5" t="str">
        <f t="shared" si="33"/>
        <v>INV12625</v>
      </c>
      <c r="AC120" s="5" t="str">
        <f>IFERROR(VLOOKUP(D120,CAARStatus!$A$2:$AA$1600,22,FALSE),"Not invoiced")</f>
        <v>Paid</v>
      </c>
      <c r="AD120" s="11">
        <f>IF(AC120="Paid",IFERROR(VLOOKUP(D120,CAARStatus!$A$2:$AA$1600,6,FALSE),"Pending"),"Pending")</f>
        <v>45706</v>
      </c>
      <c r="AE120" s="5" t="str">
        <f t="shared" si="34"/>
        <v>Melissa Rosier - PO</v>
      </c>
      <c r="AF120" s="5" t="str">
        <f t="shared" si="35"/>
        <v>D&amp;H Materials Inc</v>
      </c>
      <c r="AG120" s="5" t="str">
        <f t="shared" si="36"/>
        <v>USD</v>
      </c>
      <c r="AH120" s="5">
        <f t="shared" si="37"/>
        <v>1011.6318583251989</v>
      </c>
      <c r="AI120" s="12">
        <f>IF(L120-N120=0,VLOOKUP(U120,rate!A$4:B$15,2,FALSE)*AH120,IF(AG120="USD",O120,AH120*Y120))</f>
        <v>701.8</v>
      </c>
      <c r="AJ120" s="13">
        <f t="shared" si="38"/>
        <v>0.69373062366962301</v>
      </c>
      <c r="AK120" s="13">
        <f>-IF(AG120="CAD",IFERROR(VLOOKUP(D120,CAARStatus!$A$1:$Y$1600,16,FALSE),0),0)</f>
        <v>0</v>
      </c>
      <c r="AL120" s="13">
        <f>-IF(AG120="USD",IFERROR(VLOOKUP(D120,CAARStatus!$A$1:$Y$1600,11,FALSE),0),0)</f>
        <v>-331.92</v>
      </c>
      <c r="AM120" s="22" t="str">
        <f t="shared" si="39"/>
        <v/>
      </c>
      <c r="AN120" s="12">
        <f t="shared" si="40"/>
        <v>369.87999999999994</v>
      </c>
      <c r="AO120" s="12" t="str">
        <f t="shared" si="41"/>
        <v>Yes</v>
      </c>
      <c r="AP120" t="str">
        <f t="shared" si="26"/>
        <v>XX</v>
      </c>
      <c r="AQ120" t="str">
        <f>IFERROR(VLOOKUP(Z120,InvBal!$L$4:$P$600,4,FALSE),"Pend")</f>
        <v>Yes</v>
      </c>
      <c r="AR120" t="str">
        <f>IFERROR(VLOOKUP(D120,Manual!$C$1:$E$22,2,FALSE),"Pend")</f>
        <v>Pend</v>
      </c>
      <c r="AS120" t="str">
        <f t="shared" si="42"/>
        <v>Yes</v>
      </c>
      <c r="AT120" t="str">
        <f t="shared" si="43"/>
        <v>Yes</v>
      </c>
      <c r="AU120" s="51" t="str">
        <f t="shared" si="44"/>
        <v>Yes</v>
      </c>
      <c r="AV120" s="12">
        <f>IFERROR(VLOOKUP(D120,'Receivable Invoice Detail'!$S$1:$U$3014,3,FALSE),0)</f>
        <v>0</v>
      </c>
      <c r="AW120" s="12">
        <f t="shared" si="45"/>
        <v>701.8</v>
      </c>
    </row>
    <row r="121" spans="1:49" x14ac:dyDescent="0.25">
      <c r="A121" s="2"/>
      <c r="B121" s="2"/>
      <c r="C121" s="2"/>
      <c r="D121" s="2" t="s">
        <v>2374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f t="shared" si="27"/>
        <v>2</v>
      </c>
      <c r="U121" s="18">
        <f t="shared" si="28"/>
        <v>1</v>
      </c>
      <c r="V121" s="18">
        <f t="shared" si="29"/>
        <v>2025</v>
      </c>
      <c r="W121" s="18">
        <f t="shared" si="30"/>
        <v>4</v>
      </c>
      <c r="X121" s="18">
        <f t="shared" si="31"/>
        <v>2025</v>
      </c>
      <c r="Y121" s="2">
        <f t="shared" si="24"/>
        <v>0.6937306236696229</v>
      </c>
      <c r="Z121" t="str">
        <f t="shared" si="25"/>
        <v>SO16522</v>
      </c>
      <c r="AA121" s="11">
        <f t="shared" si="32"/>
        <v>45688.407627314817</v>
      </c>
      <c r="AB121" s="5" t="str">
        <f t="shared" si="33"/>
        <v>INV12921</v>
      </c>
      <c r="AC121" s="5" t="str">
        <f>IFERROR(VLOOKUP(D121,CAARStatus!$A$2:$AA$1600,22,FALSE),"Not invoiced")</f>
        <v>Paid</v>
      </c>
      <c r="AD121" s="11">
        <f>IF(AC121="Paid",IFERROR(VLOOKUP(D121,CAARStatus!$A$2:$AA$1600,6,FALSE),"Pending"),"Pending")</f>
        <v>45776</v>
      </c>
      <c r="AE121" s="5" t="str">
        <f t="shared" si="34"/>
        <v>Melissa Rosier - PO</v>
      </c>
      <c r="AF121" s="5" t="str">
        <f t="shared" si="35"/>
        <v>D&amp;H Materials Inc</v>
      </c>
      <c r="AG121" s="5" t="str">
        <f t="shared" si="36"/>
        <v>USD</v>
      </c>
      <c r="AH121" s="5">
        <f t="shared" si="37"/>
        <v>0</v>
      </c>
      <c r="AI121" s="12">
        <f>IF(L121-N121=0,VLOOKUP(U121,rate!A$4:B$15,2,FALSE)*AH121,IF(AG121="USD",O121,AH121*Y121))</f>
        <v>0</v>
      </c>
      <c r="AJ121" s="13">
        <f t="shared" si="38"/>
        <v>0</v>
      </c>
      <c r="AK121" s="13">
        <f>-IF(AG121="CAD",IFERROR(VLOOKUP(D121,CAARStatus!$A$1:$Y$1600,16,FALSE),0),0)</f>
        <v>0</v>
      </c>
      <c r="AL121" s="13">
        <f>-IF(AG121="USD",IFERROR(VLOOKUP(D121,CAARStatus!$A$1:$Y$1600,11,FALSE),0),0)</f>
        <v>-369.88</v>
      </c>
      <c r="AM121" s="22" t="str">
        <f t="shared" si="39"/>
        <v/>
      </c>
      <c r="AN121" s="12">
        <f t="shared" si="40"/>
        <v>-369.88</v>
      </c>
      <c r="AO121" s="12" t="str">
        <f t="shared" si="41"/>
        <v>Yes</v>
      </c>
      <c r="AP121" t="str">
        <f t="shared" si="26"/>
        <v>XX</v>
      </c>
      <c r="AQ121" t="str">
        <f>IFERROR(VLOOKUP(Z121,InvBal!$L$4:$P$600,4,FALSE),"Pend")</f>
        <v>Yes</v>
      </c>
      <c r="AR121" t="str">
        <f>IFERROR(VLOOKUP(D121,Manual!$C$1:$E$22,2,FALSE),"Pend")</f>
        <v>Pend</v>
      </c>
      <c r="AS121" t="str">
        <f t="shared" si="42"/>
        <v>Yes</v>
      </c>
      <c r="AT121" t="str">
        <f t="shared" si="43"/>
        <v/>
      </c>
      <c r="AU121" s="51" t="str">
        <f t="shared" si="44"/>
        <v/>
      </c>
      <c r="AV121" s="12">
        <f>IFERROR(VLOOKUP(D121,'Receivable Invoice Detail'!$S$1:$U$3014,3,FALSE),0)</f>
        <v>0</v>
      </c>
      <c r="AW121" s="12">
        <f t="shared" si="45"/>
        <v>0</v>
      </c>
    </row>
    <row r="122" spans="1:49" x14ac:dyDescent="0.25">
      <c r="A122" s="2">
        <v>2</v>
      </c>
      <c r="B122" s="2" t="s">
        <v>2068</v>
      </c>
      <c r="C122" s="2" t="s">
        <v>2069</v>
      </c>
      <c r="D122" s="2" t="s">
        <v>2380</v>
      </c>
      <c r="E122" s="2" t="s">
        <v>644</v>
      </c>
      <c r="F122" s="3">
        <v>45688.684201388889</v>
      </c>
      <c r="G122" s="3">
        <v>45691.773842592593</v>
      </c>
      <c r="H122" s="4">
        <v>45761</v>
      </c>
      <c r="I122" s="2" t="s">
        <v>21</v>
      </c>
      <c r="J122" s="2" t="s">
        <v>51</v>
      </c>
      <c r="K122" s="2">
        <v>0.68831733110963</v>
      </c>
      <c r="L122" s="2">
        <v>10249.502200717279</v>
      </c>
      <c r="M122" s="2">
        <v>0</v>
      </c>
      <c r="N122" s="2">
        <v>7054.91</v>
      </c>
      <c r="O122" s="2">
        <v>7054.91</v>
      </c>
      <c r="P122" s="2"/>
      <c r="Q122" s="2">
        <v>7054.91</v>
      </c>
      <c r="R122" s="2" t="s">
        <v>44</v>
      </c>
      <c r="S122" s="2"/>
      <c r="T122" s="2">
        <f t="shared" si="27"/>
        <v>2</v>
      </c>
      <c r="U122" s="18">
        <f t="shared" si="28"/>
        <v>1</v>
      </c>
      <c r="V122" s="18">
        <f t="shared" si="29"/>
        <v>2025</v>
      </c>
      <c r="W122" s="18">
        <f t="shared" si="30"/>
        <v>5</v>
      </c>
      <c r="X122" s="18">
        <f t="shared" si="31"/>
        <v>2025</v>
      </c>
      <c r="Y122" s="2">
        <f t="shared" si="24"/>
        <v>0.68831733110963034</v>
      </c>
      <c r="Z122" t="str">
        <f t="shared" si="25"/>
        <v>SO16525</v>
      </c>
      <c r="AA122" s="11">
        <f t="shared" si="32"/>
        <v>45688.684201388889</v>
      </c>
      <c r="AB122" s="5" t="str">
        <f t="shared" si="33"/>
        <v>INV12830</v>
      </c>
      <c r="AC122" s="5" t="str">
        <f>IFERROR(VLOOKUP(D122,CAARStatus!$A$2:$AA$1600,22,FALSE),"Not invoiced")</f>
        <v>Paid</v>
      </c>
      <c r="AD122" s="11">
        <f>IF(AC122="Paid",IFERROR(VLOOKUP(D122,CAARStatus!$A$2:$AA$1600,6,FALSE),"Pending"),"Pending")</f>
        <v>45792</v>
      </c>
      <c r="AE122" s="5" t="str">
        <f t="shared" si="34"/>
        <v>P-20325</v>
      </c>
      <c r="AF122" s="5" t="str">
        <f t="shared" si="35"/>
        <v>Cartledge &amp; Associates Inc.</v>
      </c>
      <c r="AG122" s="5" t="str">
        <f t="shared" si="36"/>
        <v>USD</v>
      </c>
      <c r="AH122" s="5">
        <f t="shared" si="37"/>
        <v>10249.502200717283</v>
      </c>
      <c r="AI122" s="12">
        <f>IF(L122-N122=0,VLOOKUP(U122,rate!A$4:B$15,2,FALSE)*AH122,IF(AG122="USD",O122,AH122*Y122))</f>
        <v>7054.91</v>
      </c>
      <c r="AJ122" s="13">
        <f t="shared" si="38"/>
        <v>0.68831733110963</v>
      </c>
      <c r="AK122" s="13">
        <f>-IF(AG122="CAD",IFERROR(VLOOKUP(D122,CAARStatus!$A$1:$Y$1600,16,FALSE),0),0)</f>
        <v>0</v>
      </c>
      <c r="AL122" s="13">
        <f>-IF(AG122="USD",IFERROR(VLOOKUP(D122,CAARStatus!$A$1:$Y$1600,11,FALSE),0),0)</f>
        <v>-4239.3</v>
      </c>
      <c r="AM122" s="22" t="str">
        <f t="shared" si="39"/>
        <v/>
      </c>
      <c r="AN122" s="12">
        <f t="shared" si="40"/>
        <v>2815.6099999999997</v>
      </c>
      <c r="AO122" s="12" t="str">
        <f t="shared" si="41"/>
        <v>Yes</v>
      </c>
      <c r="AP122" t="str">
        <f t="shared" si="26"/>
        <v>XX</v>
      </c>
      <c r="AQ122">
        <f>IFERROR(VLOOKUP(Z122,InvBal!$L$4:$P$600,4,FALSE),"Pend")</f>
        <v>0</v>
      </c>
      <c r="AR122" t="str">
        <f>IFERROR(VLOOKUP(D122,Manual!$C$1:$E$22,2,FALSE),"Pend")</f>
        <v>Yes</v>
      </c>
      <c r="AS122" t="str">
        <f t="shared" si="42"/>
        <v>Yes</v>
      </c>
      <c r="AT122" t="str">
        <f t="shared" si="43"/>
        <v>Yes</v>
      </c>
      <c r="AU122" s="51" t="str">
        <f t="shared" si="44"/>
        <v>Yes</v>
      </c>
      <c r="AV122" s="12">
        <f>IFERROR(VLOOKUP(D122,'Receivable Invoice Detail'!$S$1:$U$3014,3,FALSE),0)</f>
        <v>643</v>
      </c>
      <c r="AW122" s="12">
        <f t="shared" si="45"/>
        <v>6411.91</v>
      </c>
    </row>
    <row r="123" spans="1:49" x14ac:dyDescent="0.25">
      <c r="A123" s="2"/>
      <c r="B123" s="2"/>
      <c r="C123" s="2"/>
      <c r="D123" s="2" t="s">
        <v>2379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f t="shared" si="27"/>
        <v>2</v>
      </c>
      <c r="U123" s="18">
        <f t="shared" si="28"/>
        <v>1</v>
      </c>
      <c r="V123" s="18">
        <f t="shared" si="29"/>
        <v>2025</v>
      </c>
      <c r="W123" s="18">
        <f t="shared" si="30"/>
        <v>4</v>
      </c>
      <c r="X123" s="18">
        <f t="shared" si="31"/>
        <v>2025</v>
      </c>
      <c r="Y123" s="2">
        <f t="shared" si="24"/>
        <v>0.68831733110963034</v>
      </c>
      <c r="Z123" t="str">
        <f t="shared" si="25"/>
        <v>SO16525</v>
      </c>
      <c r="AA123" s="11">
        <f t="shared" si="32"/>
        <v>45688.684201388889</v>
      </c>
      <c r="AB123" s="5" t="str">
        <f t="shared" si="33"/>
        <v>INV12604</v>
      </c>
      <c r="AC123" s="5" t="str">
        <f>IFERROR(VLOOKUP(D123,CAARStatus!$A$2:$AA$1600,22,FALSE),"Not invoiced")</f>
        <v>Paid</v>
      </c>
      <c r="AD123" s="11">
        <f>IF(AC123="Paid",IFERROR(VLOOKUP(D123,CAARStatus!$A$2:$AA$1600,6,FALSE),"Pending"),"Pending")</f>
        <v>45754</v>
      </c>
      <c r="AE123" s="5" t="str">
        <f t="shared" si="34"/>
        <v>P-20325</v>
      </c>
      <c r="AF123" s="5" t="str">
        <f t="shared" si="35"/>
        <v>Cartledge &amp; Associates Inc.</v>
      </c>
      <c r="AG123" s="5" t="str">
        <f t="shared" si="36"/>
        <v>USD</v>
      </c>
      <c r="AH123" s="5">
        <f t="shared" si="37"/>
        <v>0</v>
      </c>
      <c r="AI123" s="12">
        <f>IF(L123-N123=0,VLOOKUP(U123,rate!A$4:B$15,2,FALSE)*AH123,IF(AG123="USD",O123,AH123*Y123))</f>
        <v>0</v>
      </c>
      <c r="AJ123" s="13">
        <f t="shared" si="38"/>
        <v>0</v>
      </c>
      <c r="AK123" s="13">
        <f>-IF(AG123="CAD",IFERROR(VLOOKUP(D123,CAARStatus!$A$1:$Y$1600,16,FALSE),0),0)</f>
        <v>0</v>
      </c>
      <c r="AL123" s="13">
        <f>-IF(AG123="USD",IFERROR(VLOOKUP(D123,CAARStatus!$A$1:$Y$1600,11,FALSE),0),0)</f>
        <v>-3458.61</v>
      </c>
      <c r="AM123" s="22" t="str">
        <f t="shared" si="39"/>
        <v/>
      </c>
      <c r="AN123" s="12">
        <f t="shared" si="40"/>
        <v>-3458.61</v>
      </c>
      <c r="AO123" s="12" t="str">
        <f t="shared" si="41"/>
        <v>Yes</v>
      </c>
      <c r="AP123" t="str">
        <f t="shared" si="26"/>
        <v>XX</v>
      </c>
      <c r="AQ123">
        <f>IFERROR(VLOOKUP(Z123,InvBal!$L$4:$P$600,4,FALSE),"Pend")</f>
        <v>0</v>
      </c>
      <c r="AR123" t="str">
        <f>IFERROR(VLOOKUP(D123,Manual!$C$1:$E$22,2,FALSE),"Pend")</f>
        <v>Pend</v>
      </c>
      <c r="AS123" t="str">
        <f t="shared" si="42"/>
        <v/>
      </c>
      <c r="AT123" t="str">
        <f t="shared" si="43"/>
        <v/>
      </c>
      <c r="AU123" s="51" t="str">
        <f t="shared" si="44"/>
        <v/>
      </c>
      <c r="AV123" s="12">
        <f>IFERROR(VLOOKUP(D123,'Receivable Invoice Detail'!$S$1:$U$3014,3,FALSE),0)</f>
        <v>605</v>
      </c>
      <c r="AW123" s="12">
        <f t="shared" si="45"/>
        <v>0</v>
      </c>
    </row>
    <row r="124" spans="1:49" ht="30" x14ac:dyDescent="0.25">
      <c r="A124" s="2">
        <v>1</v>
      </c>
      <c r="B124" s="2" t="s">
        <v>2042</v>
      </c>
      <c r="C124" s="2" t="s">
        <v>2043</v>
      </c>
      <c r="D124" s="2" t="s">
        <v>2398</v>
      </c>
      <c r="E124" s="2" t="s">
        <v>20</v>
      </c>
      <c r="F124" s="3">
        <v>45688.70449074074</v>
      </c>
      <c r="G124" s="3">
        <v>45695.459861111107</v>
      </c>
      <c r="H124" s="4">
        <v>45698</v>
      </c>
      <c r="I124" s="2" t="s">
        <v>21</v>
      </c>
      <c r="J124" s="2" t="s">
        <v>22</v>
      </c>
      <c r="K124" s="2">
        <v>1</v>
      </c>
      <c r="L124" s="2">
        <v>316.85000000000002</v>
      </c>
      <c r="M124" s="2">
        <v>0</v>
      </c>
      <c r="N124" s="2">
        <v>221.40096770167111</v>
      </c>
      <c r="O124" s="2">
        <v>301.76</v>
      </c>
      <c r="P124" s="2">
        <v>15.09</v>
      </c>
      <c r="Q124" s="2">
        <v>316.85000000000002</v>
      </c>
      <c r="R124" s="2" t="s">
        <v>44</v>
      </c>
      <c r="S124" s="2"/>
      <c r="T124" s="2">
        <f t="shared" si="27"/>
        <v>1</v>
      </c>
      <c r="U124" s="18">
        <f t="shared" si="28"/>
        <v>1</v>
      </c>
      <c r="V124" s="18">
        <f t="shared" si="29"/>
        <v>2025</v>
      </c>
      <c r="W124" s="18">
        <f t="shared" si="30"/>
        <v>4</v>
      </c>
      <c r="X124" s="18">
        <f t="shared" si="31"/>
        <v>2025</v>
      </c>
      <c r="Y124" s="2">
        <f t="shared" si="24"/>
        <v>0.69875640745359346</v>
      </c>
      <c r="Z124" t="str">
        <f t="shared" si="25"/>
        <v>SO16526</v>
      </c>
      <c r="AA124" s="11">
        <f t="shared" si="32"/>
        <v>45688.70449074074</v>
      </c>
      <c r="AB124" s="5" t="str">
        <f t="shared" si="33"/>
        <v>INV12612</v>
      </c>
      <c r="AC124" s="5" t="str">
        <f>IFERROR(VLOOKUP(D124,CAARStatus!$A$2:$AA$1600,22,FALSE),"Not invoiced")</f>
        <v>Paid</v>
      </c>
      <c r="AD124" s="11">
        <f>IF(AC124="Paid",IFERROR(VLOOKUP(D124,CAARStatus!$A$2:$AA$1600,6,FALSE),"Pending"),"Pending")</f>
        <v>45758</v>
      </c>
      <c r="AE124" s="5" t="str">
        <f t="shared" si="34"/>
        <v>4500579153</v>
      </c>
      <c r="AF124" s="5" t="str">
        <f t="shared" si="35"/>
        <v>Resolute Forest Products - Saint-Felicien</v>
      </c>
      <c r="AG124" s="5" t="str">
        <f t="shared" si="36"/>
        <v>CAD</v>
      </c>
      <c r="AH124" s="5">
        <f t="shared" si="37"/>
        <v>301.76</v>
      </c>
      <c r="AI124" s="12">
        <f>IF(L124-N124=0,VLOOKUP(U124,rate!A$4:B$15,2,FALSE)*AH124,IF(AG124="USD",O124,AH124*Y124))</f>
        <v>210.85673351319636</v>
      </c>
      <c r="AJ124" s="13">
        <f t="shared" si="38"/>
        <v>0.69875640745359346</v>
      </c>
      <c r="AK124" s="13">
        <f>-IF(AG124="CAD",IFERROR(VLOOKUP(D124,CAARStatus!$A$1:$Y$1600,16,FALSE),0),0)</f>
        <v>-301.76</v>
      </c>
      <c r="AL124" s="13">
        <f>-IF(AG124="USD",IFERROR(VLOOKUP(D124,CAARStatus!$A$1:$Y$1600,11,FALSE),0),0)</f>
        <v>0</v>
      </c>
      <c r="AM124" s="22">
        <f t="shared" si="39"/>
        <v>0</v>
      </c>
      <c r="AN124" s="12" t="str">
        <f t="shared" si="40"/>
        <v/>
      </c>
      <c r="AO124" s="12" t="str">
        <f t="shared" si="41"/>
        <v>Yes</v>
      </c>
      <c r="AP124" t="str">
        <f t="shared" si="26"/>
        <v>Yes</v>
      </c>
      <c r="AQ124" t="str">
        <f>IFERROR(VLOOKUP(Z124,InvBal!$L$4:$P$600,4,FALSE),"Pend")</f>
        <v>Pend</v>
      </c>
      <c r="AR124" t="str">
        <f>IFERROR(VLOOKUP(D124,Manual!$C$1:$E$22,2,FALSE),"Pend")</f>
        <v>Pend</v>
      </c>
      <c r="AS124" t="str">
        <f t="shared" si="42"/>
        <v>Yes</v>
      </c>
      <c r="AT124" t="str">
        <f t="shared" si="43"/>
        <v>Yes</v>
      </c>
      <c r="AU124" s="51" t="str">
        <f t="shared" si="44"/>
        <v>Yes</v>
      </c>
      <c r="AV124" s="12">
        <f>IFERROR(VLOOKUP(D124,'Receivable Invoice Detail'!$S$1:$U$3014,3,FALSE),0)</f>
        <v>0</v>
      </c>
      <c r="AW124" s="12">
        <f t="shared" si="45"/>
        <v>210.85673351319636</v>
      </c>
    </row>
    <row r="125" spans="1:49" ht="30" x14ac:dyDescent="0.25">
      <c r="A125" s="2">
        <v>2</v>
      </c>
      <c r="B125" s="2" t="s">
        <v>2007</v>
      </c>
      <c r="C125" s="2" t="s">
        <v>2008</v>
      </c>
      <c r="D125" s="2" t="s">
        <v>2422</v>
      </c>
      <c r="E125" s="2" t="s">
        <v>20</v>
      </c>
      <c r="F125" s="3">
        <v>45688.708981481483</v>
      </c>
      <c r="G125" s="3">
        <v>45700.413078703707</v>
      </c>
      <c r="H125" s="4">
        <v>45779</v>
      </c>
      <c r="I125" s="2" t="s">
        <v>21</v>
      </c>
      <c r="J125" s="2" t="s">
        <v>22</v>
      </c>
      <c r="K125" s="2">
        <v>1</v>
      </c>
      <c r="L125" s="2">
        <v>6712.59</v>
      </c>
      <c r="M125" s="2">
        <v>0</v>
      </c>
      <c r="N125" s="2">
        <v>4697.876514106154</v>
      </c>
      <c r="O125" s="2">
        <v>6392.94</v>
      </c>
      <c r="P125" s="2">
        <v>319.64999999999998</v>
      </c>
      <c r="Q125" s="2">
        <v>6712.59</v>
      </c>
      <c r="R125" s="2" t="s">
        <v>44</v>
      </c>
      <c r="S125" s="2"/>
      <c r="T125" s="2">
        <f t="shared" si="27"/>
        <v>2</v>
      </c>
      <c r="U125" s="18">
        <f t="shared" si="28"/>
        <v>1</v>
      </c>
      <c r="V125" s="18">
        <f t="shared" si="29"/>
        <v>2025</v>
      </c>
      <c r="W125" s="18">
        <f t="shared" si="30"/>
        <v>8</v>
      </c>
      <c r="X125" s="18">
        <f t="shared" si="31"/>
        <v>2025</v>
      </c>
      <c r="Y125" s="2">
        <f t="shared" si="24"/>
        <v>0.69986048814334767</v>
      </c>
      <c r="Z125" t="str">
        <f t="shared" si="25"/>
        <v>SO16527</v>
      </c>
      <c r="AA125" s="11">
        <f t="shared" si="32"/>
        <v>45688.708981481483</v>
      </c>
      <c r="AB125" s="5" t="str">
        <f t="shared" si="33"/>
        <v>INV13100</v>
      </c>
      <c r="AC125" s="5" t="str">
        <f>IFERROR(VLOOKUP(D125,CAARStatus!$A$2:$AA$1600,22,FALSE),"Not invoiced")</f>
        <v>Paid</v>
      </c>
      <c r="AD125" s="11">
        <f>IF(AC125="Paid",IFERROR(VLOOKUP(D125,CAARStatus!$A$2:$AA$1600,6,FALSE),"Pending"),"Pending")</f>
        <v>45883</v>
      </c>
      <c r="AE125" s="5" t="str">
        <f t="shared" si="34"/>
        <v>4500579111</v>
      </c>
      <c r="AF125" s="5" t="str">
        <f t="shared" si="35"/>
        <v>Resolute Forest Products - Saint-Felicien</v>
      </c>
      <c r="AG125" s="5" t="str">
        <f t="shared" si="36"/>
        <v>CAD</v>
      </c>
      <c r="AH125" s="5">
        <f t="shared" si="37"/>
        <v>6392.94</v>
      </c>
      <c r="AI125" s="12">
        <f>IF(L125-N125=0,VLOOKUP(U125,rate!A$4:B$15,2,FALSE)*AH125,IF(AG125="USD",O125,AH125*Y125))</f>
        <v>4474.1661090711332</v>
      </c>
      <c r="AJ125" s="13">
        <f t="shared" si="38"/>
        <v>0.69986048814334778</v>
      </c>
      <c r="AK125" s="13">
        <f>-IF(AG125="CAD",IFERROR(VLOOKUP(D125,CAARStatus!$A$1:$Y$1600,16,FALSE),0),0)</f>
        <v>-5714.85</v>
      </c>
      <c r="AL125" s="13">
        <f>-IF(AG125="USD",IFERROR(VLOOKUP(D125,CAARStatus!$A$1:$Y$1600,11,FALSE),0),0)</f>
        <v>0</v>
      </c>
      <c r="AM125" s="22">
        <f t="shared" si="39"/>
        <v>678.08999999999924</v>
      </c>
      <c r="AN125" s="12" t="str">
        <f t="shared" si="40"/>
        <v/>
      </c>
      <c r="AO125" s="12" t="str">
        <f t="shared" si="41"/>
        <v>Yes</v>
      </c>
      <c r="AP125" t="str">
        <f t="shared" si="26"/>
        <v>XX</v>
      </c>
      <c r="AQ125" t="str">
        <f>IFERROR(VLOOKUP(Z125,InvBal!$L$4:$P$600,4,FALSE),"Pend")</f>
        <v>Yes</v>
      </c>
      <c r="AR125" t="str">
        <f>IFERROR(VLOOKUP(D125,Manual!$C$1:$E$22,2,FALSE),"Pend")</f>
        <v>Pend</v>
      </c>
      <c r="AS125" t="str">
        <f t="shared" si="42"/>
        <v>Yes</v>
      </c>
      <c r="AT125" t="str">
        <f t="shared" si="43"/>
        <v>Yes</v>
      </c>
      <c r="AU125" s="51" t="str">
        <f t="shared" si="44"/>
        <v>Yes</v>
      </c>
      <c r="AV125" s="12">
        <f>IFERROR(VLOOKUP(D125,'Receivable Invoice Detail'!$S$1:$U$3014,3,FALSE),0)</f>
        <v>0</v>
      </c>
      <c r="AW125" s="12">
        <f t="shared" si="45"/>
        <v>4474.1661090711332</v>
      </c>
    </row>
    <row r="126" spans="1:49" x14ac:dyDescent="0.25">
      <c r="A126" s="2"/>
      <c r="B126" s="2"/>
      <c r="C126" s="2"/>
      <c r="D126" s="2" t="s">
        <v>2421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>
        <f t="shared" si="27"/>
        <v>2</v>
      </c>
      <c r="U126" s="18">
        <f t="shared" si="28"/>
        <v>1</v>
      </c>
      <c r="V126" s="18">
        <f t="shared" si="29"/>
        <v>2025</v>
      </c>
      <c r="W126" s="18">
        <f t="shared" si="30"/>
        <v>4</v>
      </c>
      <c r="X126" s="18">
        <f t="shared" si="31"/>
        <v>2025</v>
      </c>
      <c r="Y126" s="2">
        <f t="shared" si="24"/>
        <v>0.69986048814334767</v>
      </c>
      <c r="Z126" t="str">
        <f t="shared" si="25"/>
        <v>SO16527</v>
      </c>
      <c r="AA126" s="11">
        <f t="shared" si="32"/>
        <v>45688.708981481483</v>
      </c>
      <c r="AB126" s="5" t="str">
        <f t="shared" si="33"/>
        <v>INV12624</v>
      </c>
      <c r="AC126" s="5" t="str">
        <f>IFERROR(VLOOKUP(D126,CAARStatus!$A$2:$AA$1600,22,FALSE),"Not invoiced")</f>
        <v>Paid</v>
      </c>
      <c r="AD126" s="11">
        <f>IF(AC126="Paid",IFERROR(VLOOKUP(D126,CAARStatus!$A$2:$AA$1600,6,FALSE),"Pending"),"Pending")</f>
        <v>45764</v>
      </c>
      <c r="AE126" s="5" t="str">
        <f t="shared" si="34"/>
        <v>4500579111</v>
      </c>
      <c r="AF126" s="5" t="str">
        <f t="shared" si="35"/>
        <v>Resolute Forest Products - Saint-Felicien</v>
      </c>
      <c r="AG126" s="5" t="str">
        <f t="shared" si="36"/>
        <v>CAD</v>
      </c>
      <c r="AH126" s="5">
        <f t="shared" si="37"/>
        <v>0</v>
      </c>
      <c r="AI126" s="12">
        <f>IF(L126-N126=0,VLOOKUP(U126,rate!A$4:B$15,2,FALSE)*AH126,IF(AG126="USD",O126,AH126*Y126))</f>
        <v>0</v>
      </c>
      <c r="AJ126" s="13">
        <f t="shared" si="38"/>
        <v>0</v>
      </c>
      <c r="AK126" s="13">
        <f>-IF(AG126="CAD",IFERROR(VLOOKUP(D126,CAARStatus!$A$1:$Y$1600,16,FALSE),0),0)</f>
        <v>-678.09</v>
      </c>
      <c r="AL126" s="13">
        <f>-IF(AG126="USD",IFERROR(VLOOKUP(D126,CAARStatus!$A$1:$Y$1600,11,FALSE),0),0)</f>
        <v>0</v>
      </c>
      <c r="AM126" s="22">
        <f t="shared" si="39"/>
        <v>-678.09</v>
      </c>
      <c r="AN126" s="12" t="str">
        <f t="shared" si="40"/>
        <v/>
      </c>
      <c r="AO126" s="12" t="str">
        <f t="shared" si="41"/>
        <v>Yes</v>
      </c>
      <c r="AP126" t="str">
        <f t="shared" si="26"/>
        <v>XX</v>
      </c>
      <c r="AQ126" t="str">
        <f>IFERROR(VLOOKUP(Z126,InvBal!$L$4:$P$600,4,FALSE),"Pend")</f>
        <v>Yes</v>
      </c>
      <c r="AR126" t="str">
        <f>IFERROR(VLOOKUP(D126,Manual!$C$1:$E$22,2,FALSE),"Pend")</f>
        <v>Pend</v>
      </c>
      <c r="AS126" t="str">
        <f t="shared" si="42"/>
        <v>Yes</v>
      </c>
      <c r="AT126" t="str">
        <f t="shared" si="43"/>
        <v/>
      </c>
      <c r="AU126" s="51" t="str">
        <f t="shared" si="44"/>
        <v/>
      </c>
      <c r="AV126" s="12">
        <f>IFERROR(VLOOKUP(D126,'Receivable Invoice Detail'!$S$1:$U$3014,3,FALSE),0)</f>
        <v>0</v>
      </c>
      <c r="AW126" s="12">
        <f t="shared" si="45"/>
        <v>0</v>
      </c>
    </row>
    <row r="127" spans="1:49" x14ac:dyDescent="0.25">
      <c r="A127" s="2">
        <v>1</v>
      </c>
      <c r="B127" s="2" t="s">
        <v>1958</v>
      </c>
      <c r="C127" s="2" t="s">
        <v>1959</v>
      </c>
      <c r="D127" s="2" t="s">
        <v>2449</v>
      </c>
      <c r="E127" s="2" t="s">
        <v>77</v>
      </c>
      <c r="F127" s="3">
        <v>45691.385787037027</v>
      </c>
      <c r="G127" s="3">
        <v>45706.630231481482</v>
      </c>
      <c r="H127" s="4">
        <v>45709</v>
      </c>
      <c r="I127" s="2" t="s">
        <v>1132</v>
      </c>
      <c r="J127" s="2" t="s">
        <v>22</v>
      </c>
      <c r="K127" s="2">
        <v>1</v>
      </c>
      <c r="L127" s="2">
        <v>293.48</v>
      </c>
      <c r="M127" s="2">
        <v>293.48</v>
      </c>
      <c r="N127" s="2">
        <v>293.48</v>
      </c>
      <c r="O127" s="2">
        <v>279.5</v>
      </c>
      <c r="P127" s="2">
        <v>13.98</v>
      </c>
      <c r="Q127" s="2">
        <v>293.48</v>
      </c>
      <c r="R127" s="2" t="s">
        <v>44</v>
      </c>
      <c r="S127" s="2"/>
      <c r="T127" s="2">
        <f t="shared" si="27"/>
        <v>1</v>
      </c>
      <c r="U127" s="18">
        <f t="shared" si="28"/>
        <v>2</v>
      </c>
      <c r="V127" s="18">
        <f t="shared" si="29"/>
        <v>2025</v>
      </c>
      <c r="W127" s="18">
        <f t="shared" si="30"/>
        <v>3</v>
      </c>
      <c r="X127" s="18">
        <f t="shared" si="31"/>
        <v>2025</v>
      </c>
      <c r="Y127" s="2">
        <f t="shared" si="24"/>
        <v>1</v>
      </c>
      <c r="Z127" t="str">
        <f t="shared" si="25"/>
        <v>SO16528</v>
      </c>
      <c r="AA127" s="11">
        <f t="shared" si="32"/>
        <v>45691.385787037027</v>
      </c>
      <c r="AB127" s="5" t="str">
        <f t="shared" si="33"/>
        <v>INV12637</v>
      </c>
      <c r="AC127" s="5" t="str">
        <f>IFERROR(VLOOKUP(D127,CAARStatus!$A$2:$AA$1600,22,FALSE),"Not invoiced")</f>
        <v>Paid</v>
      </c>
      <c r="AD127" s="11">
        <f>IF(AC127="Paid",IFERROR(VLOOKUP(D127,CAARStatus!$A$2:$AA$1600,6,FALSE),"Pending"),"Pending")</f>
        <v>45729</v>
      </c>
      <c r="AE127" s="5" t="str">
        <f t="shared" si="34"/>
        <v>PO-40-1013109</v>
      </c>
      <c r="AF127" s="5" t="str">
        <f t="shared" si="35"/>
        <v>Canadian Bearings Ltd.</v>
      </c>
      <c r="AG127" s="5" t="str">
        <f t="shared" si="36"/>
        <v>CAD</v>
      </c>
      <c r="AH127" s="5">
        <f t="shared" si="37"/>
        <v>279.5</v>
      </c>
      <c r="AI127" s="12">
        <f>IF(L127-N127=0,VLOOKUP(U127,rate!A$4:B$15,2,FALSE)*AH127,IF(AG127="USD",O127,AH127*Y127))</f>
        <v>196.28851884118686</v>
      </c>
      <c r="AJ127" s="13">
        <f t="shared" si="38"/>
        <v>0.70228450390406749</v>
      </c>
      <c r="AK127" s="13">
        <f>-IF(AG127="CAD",IFERROR(VLOOKUP(D127,CAARStatus!$A$1:$Y$1600,16,FALSE),0),0)</f>
        <v>-279.5</v>
      </c>
      <c r="AL127" s="13">
        <f>-IF(AG127="USD",IFERROR(VLOOKUP(D127,CAARStatus!$A$1:$Y$1600,11,FALSE),0),0)</f>
        <v>0</v>
      </c>
      <c r="AM127" s="22">
        <f t="shared" si="39"/>
        <v>0</v>
      </c>
      <c r="AN127" s="12" t="str">
        <f t="shared" si="40"/>
        <v/>
      </c>
      <c r="AO127" s="12" t="str">
        <f t="shared" si="41"/>
        <v>Yes</v>
      </c>
      <c r="AP127" t="str">
        <f t="shared" si="26"/>
        <v>Yes</v>
      </c>
      <c r="AQ127" t="str">
        <f>IFERROR(VLOOKUP(Z127,InvBal!$L$4:$P$600,4,FALSE),"Pend")</f>
        <v>Pend</v>
      </c>
      <c r="AR127" t="str">
        <f>IFERROR(VLOOKUP(D127,Manual!$C$1:$E$22,2,FALSE),"Pend")</f>
        <v>Pend</v>
      </c>
      <c r="AS127" t="str">
        <f t="shared" si="42"/>
        <v>Yes</v>
      </c>
      <c r="AT127" t="str">
        <f t="shared" si="43"/>
        <v>Yes</v>
      </c>
      <c r="AU127" s="51" t="str">
        <f t="shared" si="44"/>
        <v>Yes</v>
      </c>
      <c r="AV127" s="12">
        <f>IFERROR(VLOOKUP(D127,'Receivable Invoice Detail'!$S$1:$U$3014,3,FALSE),0)</f>
        <v>0</v>
      </c>
      <c r="AW127" s="12">
        <f t="shared" si="45"/>
        <v>196.28851884118686</v>
      </c>
    </row>
    <row r="128" spans="1:49" x14ac:dyDescent="0.25">
      <c r="A128" s="2">
        <v>1</v>
      </c>
      <c r="B128" s="2" t="s">
        <v>1956</v>
      </c>
      <c r="C128" s="2" t="s">
        <v>1957</v>
      </c>
      <c r="D128" s="2" t="s">
        <v>2450</v>
      </c>
      <c r="E128" s="2" t="s">
        <v>714</v>
      </c>
      <c r="F128" s="3">
        <v>45691.561157407406</v>
      </c>
      <c r="G128" s="3">
        <v>45706.682962962957</v>
      </c>
      <c r="H128" s="2"/>
      <c r="I128" s="2" t="s">
        <v>21</v>
      </c>
      <c r="J128" s="2" t="s">
        <v>51</v>
      </c>
      <c r="K128" s="2">
        <v>0.70491579277313177</v>
      </c>
      <c r="L128" s="2">
        <v>21850.453852659211</v>
      </c>
      <c r="M128" s="2">
        <v>0</v>
      </c>
      <c r="N128" s="2">
        <v>15402.73</v>
      </c>
      <c r="O128" s="2">
        <v>15402.73</v>
      </c>
      <c r="P128" s="2"/>
      <c r="Q128" s="2">
        <v>15402.73</v>
      </c>
      <c r="R128" s="2" t="s">
        <v>44</v>
      </c>
      <c r="S128" s="2"/>
      <c r="T128" s="2">
        <f t="shared" si="27"/>
        <v>1</v>
      </c>
      <c r="U128" s="18">
        <f t="shared" si="28"/>
        <v>2</v>
      </c>
      <c r="V128" s="18">
        <f t="shared" si="29"/>
        <v>2025</v>
      </c>
      <c r="W128" s="18">
        <f t="shared" si="30"/>
        <v>4</v>
      </c>
      <c r="X128" s="18">
        <f t="shared" si="31"/>
        <v>2025</v>
      </c>
      <c r="Y128" s="2">
        <f t="shared" si="24"/>
        <v>0.70491579277313177</v>
      </c>
      <c r="Z128" t="str">
        <f t="shared" si="25"/>
        <v>SO16529</v>
      </c>
      <c r="AA128" s="11">
        <f t="shared" si="32"/>
        <v>45691.561157407406</v>
      </c>
      <c r="AB128" s="5" t="str">
        <f t="shared" si="33"/>
        <v>INV12744</v>
      </c>
      <c r="AC128" s="5" t="str">
        <f>IFERROR(VLOOKUP(D128,CAARStatus!$A$2:$AA$1600,22,FALSE),"Not invoiced")</f>
        <v>Paid</v>
      </c>
      <c r="AD128" s="11">
        <f>IF(AC128="Paid",IFERROR(VLOOKUP(D128,CAARStatus!$A$2:$AA$1600,6,FALSE),"Pending"),"Pending")</f>
        <v>45763</v>
      </c>
      <c r="AE128" s="5" t="str">
        <f t="shared" si="34"/>
        <v>S305369</v>
      </c>
      <c r="AF128" s="5" t="str">
        <f t="shared" si="35"/>
        <v>Kumtor Gold Company</v>
      </c>
      <c r="AG128" s="5" t="str">
        <f t="shared" si="36"/>
        <v>USD</v>
      </c>
      <c r="AH128" s="5">
        <f t="shared" si="37"/>
        <v>21850.453852659211</v>
      </c>
      <c r="AI128" s="12">
        <f>IF(L128-N128=0,VLOOKUP(U128,rate!A$4:B$15,2,FALSE)*AH128,IF(AG128="USD",O128,AH128*Y128))</f>
        <v>15402.73</v>
      </c>
      <c r="AJ128" s="13">
        <f t="shared" si="38"/>
        <v>0.70491579277313177</v>
      </c>
      <c r="AK128" s="13">
        <f>-IF(AG128="CAD",IFERROR(VLOOKUP(D128,CAARStatus!$A$1:$Y$1600,16,FALSE),0),0)</f>
        <v>0</v>
      </c>
      <c r="AL128" s="13">
        <f>-IF(AG128="USD",IFERROR(VLOOKUP(D128,CAARStatus!$A$1:$Y$1600,11,FALSE),0),0)</f>
        <v>-15402.73</v>
      </c>
      <c r="AM128" s="22" t="str">
        <f t="shared" si="39"/>
        <v/>
      </c>
      <c r="AN128" s="12">
        <f t="shared" si="40"/>
        <v>0</v>
      </c>
      <c r="AO128" s="12" t="str">
        <f t="shared" si="41"/>
        <v>Yes</v>
      </c>
      <c r="AP128" t="str">
        <f t="shared" si="26"/>
        <v>Yes</v>
      </c>
      <c r="AQ128" t="str">
        <f>IFERROR(VLOOKUP(Z128,InvBal!$L$4:$P$600,4,FALSE),"Pend")</f>
        <v>Pend</v>
      </c>
      <c r="AR128" t="str">
        <f>IFERROR(VLOOKUP(D128,Manual!$C$1:$E$22,2,FALSE),"Pend")</f>
        <v>Pend</v>
      </c>
      <c r="AS128" t="str">
        <f t="shared" si="42"/>
        <v>Yes</v>
      </c>
      <c r="AT128" t="str">
        <f t="shared" si="43"/>
        <v>Yes</v>
      </c>
      <c r="AU128" s="51" t="str">
        <f t="shared" si="44"/>
        <v>Yes</v>
      </c>
      <c r="AV128" s="12">
        <f>IFERROR(VLOOKUP(D128,'Receivable Invoice Detail'!$S$1:$U$3014,3,FALSE),0)</f>
        <v>0</v>
      </c>
      <c r="AW128" s="12">
        <f t="shared" si="45"/>
        <v>15402.73</v>
      </c>
    </row>
    <row r="129" spans="1:49" x14ac:dyDescent="0.25">
      <c r="A129" s="2">
        <v>1</v>
      </c>
      <c r="B129" s="2" t="s">
        <v>2072</v>
      </c>
      <c r="C129" s="2" t="s">
        <v>2073</v>
      </c>
      <c r="D129" s="2" t="s">
        <v>2376</v>
      </c>
      <c r="E129" s="2" t="s">
        <v>472</v>
      </c>
      <c r="F129" s="3">
        <v>45691.59170138889</v>
      </c>
      <c r="G129" s="3">
        <v>45691.59170138889</v>
      </c>
      <c r="H129" s="4">
        <v>45691</v>
      </c>
      <c r="I129" s="2" t="s">
        <v>1132</v>
      </c>
      <c r="J129" s="2" t="s">
        <v>22</v>
      </c>
      <c r="K129" s="2">
        <v>1</v>
      </c>
      <c r="L129" s="2">
        <v>293.94</v>
      </c>
      <c r="M129" s="2">
        <v>0</v>
      </c>
      <c r="N129" s="2">
        <v>201.31772114356349</v>
      </c>
      <c r="O129" s="2">
        <v>279.94</v>
      </c>
      <c r="P129" s="2">
        <v>14</v>
      </c>
      <c r="Q129" s="2">
        <v>293.94</v>
      </c>
      <c r="R129" s="2" t="s">
        <v>44</v>
      </c>
      <c r="S129" s="2"/>
      <c r="T129" s="2">
        <f t="shared" si="27"/>
        <v>1</v>
      </c>
      <c r="U129" s="18">
        <f t="shared" si="28"/>
        <v>2</v>
      </c>
      <c r="V129" s="18">
        <f t="shared" si="29"/>
        <v>2025</v>
      </c>
      <c r="W129" s="18">
        <f t="shared" si="30"/>
        <v>3</v>
      </c>
      <c r="X129" s="18">
        <f t="shared" si="31"/>
        <v>2025</v>
      </c>
      <c r="Y129" s="2">
        <f t="shared" si="24"/>
        <v>0.6848939278205195</v>
      </c>
      <c r="Z129" t="str">
        <f t="shared" si="25"/>
        <v>SO16530</v>
      </c>
      <c r="AA129" s="11">
        <f t="shared" si="32"/>
        <v>45691.59170138889</v>
      </c>
      <c r="AB129" s="5" t="str">
        <f t="shared" si="33"/>
        <v>INV12696</v>
      </c>
      <c r="AC129" s="5" t="str">
        <f>IFERROR(VLOOKUP(D129,CAARStatus!$A$2:$AA$1600,22,FALSE),"Not invoiced")</f>
        <v>Paid</v>
      </c>
      <c r="AD129" s="11">
        <f>IF(AC129="Paid",IFERROR(VLOOKUP(D129,CAARStatus!$A$2:$AA$1600,6,FALSE),"Pending"),"Pending")</f>
        <v>45741</v>
      </c>
      <c r="AE129" s="5" t="str">
        <f t="shared" si="34"/>
        <v>11667</v>
      </c>
      <c r="AF129" s="5" t="str">
        <f t="shared" si="35"/>
        <v>Les Pompes Diaspec Inc.</v>
      </c>
      <c r="AG129" s="5" t="str">
        <f t="shared" si="36"/>
        <v>CAD</v>
      </c>
      <c r="AH129" s="5">
        <f t="shared" si="37"/>
        <v>279.94</v>
      </c>
      <c r="AI129" s="12">
        <f>IF(L129-N129=0,VLOOKUP(U129,rate!A$4:B$15,2,FALSE)*AH129,IF(AG129="USD",O129,AH129*Y129))</f>
        <v>191.72920615407622</v>
      </c>
      <c r="AJ129" s="13">
        <f t="shared" si="38"/>
        <v>0.6848939278205195</v>
      </c>
      <c r="AK129" s="13">
        <f>-IF(AG129="CAD",IFERROR(VLOOKUP(D129,CAARStatus!$A$1:$Y$1600,16,FALSE),0),0)</f>
        <v>-279.94</v>
      </c>
      <c r="AL129" s="13">
        <f>-IF(AG129="USD",IFERROR(VLOOKUP(D129,CAARStatus!$A$1:$Y$1600,11,FALSE),0),0)</f>
        <v>0</v>
      </c>
      <c r="AM129" s="22">
        <f t="shared" si="39"/>
        <v>0</v>
      </c>
      <c r="AN129" s="12" t="str">
        <f t="shared" si="40"/>
        <v/>
      </c>
      <c r="AO129" s="12" t="str">
        <f t="shared" si="41"/>
        <v>Yes</v>
      </c>
      <c r="AP129" t="str">
        <f t="shared" si="26"/>
        <v>Yes</v>
      </c>
      <c r="AQ129" t="str">
        <f>IFERROR(VLOOKUP(Z129,InvBal!$L$4:$P$600,4,FALSE),"Pend")</f>
        <v>Pend</v>
      </c>
      <c r="AR129" t="str">
        <f>IFERROR(VLOOKUP(D129,Manual!$C$1:$E$22,2,FALSE),"Pend")</f>
        <v>Pend</v>
      </c>
      <c r="AS129" t="str">
        <f t="shared" si="42"/>
        <v>Yes</v>
      </c>
      <c r="AT129" t="str">
        <f t="shared" si="43"/>
        <v>Yes</v>
      </c>
      <c r="AU129" s="51" t="str">
        <f t="shared" si="44"/>
        <v>Yes</v>
      </c>
      <c r="AV129" s="12">
        <f>IFERROR(VLOOKUP(D129,'Receivable Invoice Detail'!$S$1:$U$3014,3,FALSE),0)</f>
        <v>0</v>
      </c>
      <c r="AW129" s="12">
        <f t="shared" si="45"/>
        <v>191.72920615407622</v>
      </c>
    </row>
    <row r="130" spans="1:49" x14ac:dyDescent="0.25">
      <c r="A130" s="2">
        <v>4</v>
      </c>
      <c r="B130" s="2" t="s">
        <v>2032</v>
      </c>
      <c r="C130" s="2" t="s">
        <v>2033</v>
      </c>
      <c r="D130" s="2" t="s">
        <v>2406</v>
      </c>
      <c r="E130" s="2" t="s">
        <v>714</v>
      </c>
      <c r="F130" s="3">
        <v>45691.665821759263</v>
      </c>
      <c r="G130" s="3">
        <v>45698.66269675926</v>
      </c>
      <c r="H130" s="4">
        <v>45776</v>
      </c>
      <c r="I130" s="2" t="s">
        <v>21</v>
      </c>
      <c r="J130" s="2" t="s">
        <v>51</v>
      </c>
      <c r="K130" s="2">
        <v>0.69834485616458641</v>
      </c>
      <c r="L130" s="2">
        <v>55151.891876930713</v>
      </c>
      <c r="M130" s="2">
        <v>0</v>
      </c>
      <c r="N130" s="2">
        <v>38515.040000000001</v>
      </c>
      <c r="O130" s="2">
        <v>38515.040000000001</v>
      </c>
      <c r="P130" s="2"/>
      <c r="Q130" s="2">
        <v>38515.040000000001</v>
      </c>
      <c r="R130" s="2" t="s">
        <v>44</v>
      </c>
      <c r="S130" s="2"/>
      <c r="T130" s="2">
        <f t="shared" si="27"/>
        <v>4</v>
      </c>
      <c r="U130" s="18">
        <f t="shared" si="28"/>
        <v>2</v>
      </c>
      <c r="V130" s="18">
        <f t="shared" si="29"/>
        <v>2025</v>
      </c>
      <c r="W130" s="18">
        <f t="shared" si="30"/>
        <v>4</v>
      </c>
      <c r="X130" s="18">
        <f t="shared" si="31"/>
        <v>2025</v>
      </c>
      <c r="Y130" s="2">
        <f t="shared" ref="Y130:Y193" si="46">IF(C130="",Y129,N130/L130)</f>
        <v>0.69834485616458641</v>
      </c>
      <c r="Z130" t="str">
        <f t="shared" ref="Z130:Z193" si="47">IF(B130="",Z129,B130)</f>
        <v>SO16531</v>
      </c>
      <c r="AA130" s="11">
        <f t="shared" si="32"/>
        <v>45691.665821759263</v>
      </c>
      <c r="AB130" s="5" t="str">
        <f t="shared" si="33"/>
        <v>INV12749</v>
      </c>
      <c r="AC130" s="5" t="str">
        <f>IFERROR(VLOOKUP(D130,CAARStatus!$A$2:$AA$1600,22,FALSE),"Not invoiced")</f>
        <v>Paid</v>
      </c>
      <c r="AD130" s="11">
        <f>IF(AC130="Paid",IFERROR(VLOOKUP(D130,CAARStatus!$A$2:$AA$1600,6,FALSE),"Pending"),"Pending")</f>
        <v>45763</v>
      </c>
      <c r="AE130" s="5" t="str">
        <f t="shared" si="34"/>
        <v>S305276</v>
      </c>
      <c r="AF130" s="5" t="str">
        <f t="shared" si="35"/>
        <v>Kumtor Gold Company</v>
      </c>
      <c r="AG130" s="5" t="str">
        <f t="shared" si="36"/>
        <v>USD</v>
      </c>
      <c r="AH130" s="5">
        <f t="shared" si="37"/>
        <v>55151.891876930713</v>
      </c>
      <c r="AI130" s="12">
        <f>IF(L130-N130=0,VLOOKUP(U130,rate!A$4:B$15,2,FALSE)*AH130,IF(AG130="USD",O130,AH130*Y130))</f>
        <v>38515.040000000001</v>
      </c>
      <c r="AJ130" s="13">
        <f t="shared" si="38"/>
        <v>0.69834485616458641</v>
      </c>
      <c r="AK130" s="13">
        <f>-IF(AG130="CAD",IFERROR(VLOOKUP(D130,CAARStatus!$A$1:$Y$1600,16,FALSE),0),0)</f>
        <v>0</v>
      </c>
      <c r="AL130" s="13">
        <f>-IF(AG130="USD",IFERROR(VLOOKUP(D130,CAARStatus!$A$1:$Y$1600,11,FALSE),0),0)</f>
        <v>-23141.73</v>
      </c>
      <c r="AM130" s="22" t="str">
        <f t="shared" si="39"/>
        <v/>
      </c>
      <c r="AN130" s="12">
        <f t="shared" si="40"/>
        <v>15373.310000000001</v>
      </c>
      <c r="AO130" s="12" t="str">
        <f t="shared" si="41"/>
        <v>Yes</v>
      </c>
      <c r="AP130" t="str">
        <f t="shared" ref="AP130:AP193" si="48">IF(AND(AO130="Pend",T130&lt;2),"Pend",IF(T130=1,"Yes","XX"))</f>
        <v>XX</v>
      </c>
      <c r="AQ130" t="str">
        <f>IFERROR(VLOOKUP(Z130,InvBal!$L$4:$P$600,4,FALSE),"Pend")</f>
        <v>Yes</v>
      </c>
      <c r="AR130" t="str">
        <f>IFERROR(VLOOKUP(D130,Manual!$C$1:$E$22,2,FALSE),"Pend")</f>
        <v>Pend</v>
      </c>
      <c r="AS130" t="str">
        <f t="shared" si="42"/>
        <v>Yes</v>
      </c>
      <c r="AT130" t="str">
        <f t="shared" si="43"/>
        <v>Yes</v>
      </c>
      <c r="AU130" s="51" t="str">
        <f t="shared" si="44"/>
        <v>Yes</v>
      </c>
      <c r="AV130" s="12">
        <f>IFERROR(VLOOKUP(D130,'Receivable Invoice Detail'!$S$1:$U$3014,3,FALSE),0)</f>
        <v>0</v>
      </c>
      <c r="AW130" s="12">
        <f t="shared" si="45"/>
        <v>38515.040000000001</v>
      </c>
    </row>
    <row r="131" spans="1:49" x14ac:dyDescent="0.25">
      <c r="A131" s="2"/>
      <c r="B131" s="2"/>
      <c r="C131" s="2"/>
      <c r="D131" s="2" t="s">
        <v>2404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f t="shared" ref="T131:T194" si="49">IF(A131="",T130,A131)</f>
        <v>4</v>
      </c>
      <c r="U131" s="18">
        <f t="shared" ref="U131:U194" si="50">IF(F131="",U130,MONTH(F131))</f>
        <v>2</v>
      </c>
      <c r="V131" s="18">
        <f t="shared" ref="V131:V194" si="51">IF(F131="",V130,YEAR(F131))</f>
        <v>2025</v>
      </c>
      <c r="W131" s="18">
        <f t="shared" ref="W131:W194" si="52">IF(AC131="Paid",MONTH(AD131),"")</f>
        <v>4</v>
      </c>
      <c r="X131" s="18">
        <f t="shared" ref="X131:X194" si="53">IF(AC131="Paid",YEAR(AD131),"")</f>
        <v>2025</v>
      </c>
      <c r="Y131" s="2">
        <f t="shared" si="46"/>
        <v>0.69834485616458641</v>
      </c>
      <c r="Z131" t="str">
        <f t="shared" si="47"/>
        <v>SO16531</v>
      </c>
      <c r="AA131" s="11">
        <f t="shared" ref="AA131:AA194" si="54">IF(F131="",AA130,F131)</f>
        <v>45691.665821759263</v>
      </c>
      <c r="AB131" s="5" t="str">
        <f t="shared" ref="AB131:AB194" si="55">IF(D131="","No Inv",D131)</f>
        <v>INV12782</v>
      </c>
      <c r="AC131" s="5" t="str">
        <f>IFERROR(VLOOKUP(D131,CAARStatus!$A$2:$AA$1600,22,FALSE),"Not invoiced")</f>
        <v>Paid</v>
      </c>
      <c r="AD131" s="11">
        <f>IF(AC131="Paid",IFERROR(VLOOKUP(D131,CAARStatus!$A$2:$AA$1600,6,FALSE),"Pending"),"Pending")</f>
        <v>45751</v>
      </c>
      <c r="AE131" s="5" t="str">
        <f t="shared" ref="AE131:AE194" si="56">IF(C131="",AE130,C131)</f>
        <v>S305276</v>
      </c>
      <c r="AF131" s="5" t="str">
        <f t="shared" ref="AF131:AF194" si="57">IF(E131="",AF130,E131)</f>
        <v>Kumtor Gold Company</v>
      </c>
      <c r="AG131" s="5" t="str">
        <f t="shared" ref="AG131:AG194" si="58">IF(J131="",AG130,J131)</f>
        <v>USD</v>
      </c>
      <c r="AH131" s="5">
        <f t="shared" ref="AH131:AH194" si="59">IFERROR(IF(AG131="CAD",O131,O131/K131),0)</f>
        <v>0</v>
      </c>
      <c r="AI131" s="12">
        <f>IF(L131-N131=0,VLOOKUP(U131,rate!A$4:B$15,2,FALSE)*AH131,IF(AG131="USD",O131,AH131*Y131))</f>
        <v>0</v>
      </c>
      <c r="AJ131" s="13">
        <f t="shared" ref="AJ131:AJ194" si="60">IFERROR(AI131/AH131,0)</f>
        <v>0</v>
      </c>
      <c r="AK131" s="13">
        <f>-IF(AG131="CAD",IFERROR(VLOOKUP(D131,CAARStatus!$A$1:$Y$1600,16,FALSE),0),0)</f>
        <v>0</v>
      </c>
      <c r="AL131" s="13">
        <f>-IF(AG131="USD",IFERROR(VLOOKUP(D131,CAARStatus!$A$1:$Y$1600,11,FALSE),0),0)</f>
        <v>-468.06</v>
      </c>
      <c r="AM131" s="22" t="str">
        <f t="shared" ref="AM131:AM194" si="61">IF(AG131="CAD",AH131+AK131,"")</f>
        <v/>
      </c>
      <c r="AN131" s="12">
        <f t="shared" ref="AN131:AN194" si="62">IF(AG131="USD",AI131+AL131,"")</f>
        <v>-468.06</v>
      </c>
      <c r="AO131" s="12" t="str">
        <f t="shared" ref="AO131:AO194" si="63">IF(AC131="Paid","Yes","Pend")</f>
        <v>Yes</v>
      </c>
      <c r="AP131" t="str">
        <f t="shared" si="48"/>
        <v>XX</v>
      </c>
      <c r="AQ131" t="str">
        <f>IFERROR(VLOOKUP(Z131,InvBal!$L$4:$P$600,4,FALSE),"Pend")</f>
        <v>Yes</v>
      </c>
      <c r="AR131" t="str">
        <f>IFERROR(VLOOKUP(D131,Manual!$C$1:$E$22,2,FALSE),"Pend")</f>
        <v>Pend</v>
      </c>
      <c r="AS131" t="str">
        <f t="shared" ref="AS131:AS194" si="64">IF(OR(AP131="Yes",AQ131="Yes",AR131="Yes"),"Yes","")</f>
        <v>Yes</v>
      </c>
      <c r="AT131" t="str">
        <f t="shared" ref="AT131:AT194" si="65">IF(R131="Delivered","Yes","")</f>
        <v/>
      </c>
      <c r="AU131" s="51" t="str">
        <f t="shared" ref="AU131:AU194" si="66">IF(AND(AS131="Yes",AT131="Yes"),"Yes","")</f>
        <v/>
      </c>
      <c r="AV131" s="12">
        <f>IFERROR(VLOOKUP(D131,'Receivable Invoice Detail'!$S$1:$U$3014,3,FALSE),0)</f>
        <v>0</v>
      </c>
      <c r="AW131" s="12">
        <f t="shared" ref="AW131:AW194" si="67">IF(AU131="Yes",AI131-AV131,0)</f>
        <v>0</v>
      </c>
    </row>
    <row r="132" spans="1:49" x14ac:dyDescent="0.25">
      <c r="A132" s="2"/>
      <c r="B132" s="2"/>
      <c r="C132" s="2"/>
      <c r="D132" s="2" t="s">
        <v>2403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>
        <f t="shared" si="49"/>
        <v>4</v>
      </c>
      <c r="U132" s="18">
        <f t="shared" si="50"/>
        <v>2</v>
      </c>
      <c r="V132" s="18">
        <f t="shared" si="51"/>
        <v>2025</v>
      </c>
      <c r="W132" s="18">
        <f t="shared" si="52"/>
        <v>4</v>
      </c>
      <c r="X132" s="18">
        <f t="shared" si="53"/>
        <v>2025</v>
      </c>
      <c r="Y132" s="2">
        <f t="shared" si="46"/>
        <v>0.69834485616458641</v>
      </c>
      <c r="Z132" t="str">
        <f t="shared" si="47"/>
        <v>SO16531</v>
      </c>
      <c r="AA132" s="11">
        <f t="shared" si="54"/>
        <v>45691.665821759263</v>
      </c>
      <c r="AB132" s="5" t="str">
        <f t="shared" si="55"/>
        <v>INV12822</v>
      </c>
      <c r="AC132" s="5" t="str">
        <f>IFERROR(VLOOKUP(D132,CAARStatus!$A$2:$AA$1600,22,FALSE),"Not invoiced")</f>
        <v>Paid</v>
      </c>
      <c r="AD132" s="11">
        <f>IF(AC132="Paid",IFERROR(VLOOKUP(D132,CAARStatus!$A$2:$AA$1600,6,FALSE),"Pending"),"Pending")</f>
        <v>45763</v>
      </c>
      <c r="AE132" s="5" t="str">
        <f t="shared" si="56"/>
        <v>S305276</v>
      </c>
      <c r="AF132" s="5" t="str">
        <f t="shared" si="57"/>
        <v>Kumtor Gold Company</v>
      </c>
      <c r="AG132" s="5" t="str">
        <f t="shared" si="58"/>
        <v>USD</v>
      </c>
      <c r="AH132" s="5">
        <f t="shared" si="59"/>
        <v>0</v>
      </c>
      <c r="AI132" s="12">
        <f>IF(L132-N132=0,VLOOKUP(U132,rate!A$4:B$15,2,FALSE)*AH132,IF(AG132="USD",O132,AH132*Y132))</f>
        <v>0</v>
      </c>
      <c r="AJ132" s="13">
        <f t="shared" si="60"/>
        <v>0</v>
      </c>
      <c r="AK132" s="13">
        <f>-IF(AG132="CAD",IFERROR(VLOOKUP(D132,CAARStatus!$A$1:$Y$1600,16,FALSE),0),0)</f>
        <v>0</v>
      </c>
      <c r="AL132" s="13">
        <f>-IF(AG132="USD",IFERROR(VLOOKUP(D132,CAARStatus!$A$1:$Y$1600,11,FALSE),0),0)</f>
        <v>-14156.31</v>
      </c>
      <c r="AM132" s="22" t="str">
        <f t="shared" si="61"/>
        <v/>
      </c>
      <c r="AN132" s="12">
        <f t="shared" si="62"/>
        <v>-14156.31</v>
      </c>
      <c r="AO132" s="12" t="str">
        <f t="shared" si="63"/>
        <v>Yes</v>
      </c>
      <c r="AP132" t="str">
        <f t="shared" si="48"/>
        <v>XX</v>
      </c>
      <c r="AQ132" t="str">
        <f>IFERROR(VLOOKUP(Z132,InvBal!$L$4:$P$600,4,FALSE),"Pend")</f>
        <v>Yes</v>
      </c>
      <c r="AR132" t="str">
        <f>IFERROR(VLOOKUP(D132,Manual!$C$1:$E$22,2,FALSE),"Pend")</f>
        <v>Pend</v>
      </c>
      <c r="AS132" t="str">
        <f t="shared" si="64"/>
        <v>Yes</v>
      </c>
      <c r="AT132" t="str">
        <f t="shared" si="65"/>
        <v/>
      </c>
      <c r="AU132" s="51" t="str">
        <f t="shared" si="66"/>
        <v/>
      </c>
      <c r="AV132" s="12">
        <f>IFERROR(VLOOKUP(D132,'Receivable Invoice Detail'!$S$1:$U$3014,3,FALSE),0)</f>
        <v>0</v>
      </c>
      <c r="AW132" s="12">
        <f t="shared" si="67"/>
        <v>0</v>
      </c>
    </row>
    <row r="133" spans="1:49" x14ac:dyDescent="0.25">
      <c r="A133" s="2"/>
      <c r="B133" s="2"/>
      <c r="C133" s="2"/>
      <c r="D133" s="2" t="s">
        <v>2405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f t="shared" si="49"/>
        <v>4</v>
      </c>
      <c r="U133" s="18">
        <f t="shared" si="50"/>
        <v>2</v>
      </c>
      <c r="V133" s="18">
        <f t="shared" si="51"/>
        <v>2025</v>
      </c>
      <c r="W133" s="18">
        <f t="shared" si="52"/>
        <v>6</v>
      </c>
      <c r="X133" s="18">
        <f t="shared" si="53"/>
        <v>2025</v>
      </c>
      <c r="Y133" s="2">
        <f t="shared" si="46"/>
        <v>0.69834485616458641</v>
      </c>
      <c r="Z133" t="str">
        <f t="shared" si="47"/>
        <v>SO16531</v>
      </c>
      <c r="AA133" s="11">
        <f t="shared" si="54"/>
        <v>45691.665821759263</v>
      </c>
      <c r="AB133" s="5" t="str">
        <f t="shared" si="55"/>
        <v>INV13035</v>
      </c>
      <c r="AC133" s="5" t="str">
        <f>IFERROR(VLOOKUP(D133,CAARStatus!$A$2:$AA$1600,22,FALSE),"Not invoiced")</f>
        <v>Paid</v>
      </c>
      <c r="AD133" s="11">
        <f>IF(AC133="Paid",IFERROR(VLOOKUP(D133,CAARStatus!$A$2:$AA$1600,6,FALSE),"Pending"),"Pending")</f>
        <v>45821</v>
      </c>
      <c r="AE133" s="5" t="str">
        <f t="shared" si="56"/>
        <v>S305276</v>
      </c>
      <c r="AF133" s="5" t="str">
        <f t="shared" si="57"/>
        <v>Kumtor Gold Company</v>
      </c>
      <c r="AG133" s="5" t="str">
        <f t="shared" si="58"/>
        <v>USD</v>
      </c>
      <c r="AH133" s="5">
        <f t="shared" si="59"/>
        <v>0</v>
      </c>
      <c r="AI133" s="12">
        <f>IF(L133-N133=0,VLOOKUP(U133,rate!A$4:B$15,2,FALSE)*AH133,IF(AG133="USD",O133,AH133*Y133))</f>
        <v>0</v>
      </c>
      <c r="AJ133" s="13">
        <f t="shared" si="60"/>
        <v>0</v>
      </c>
      <c r="AK133" s="13">
        <f>-IF(AG133="CAD",IFERROR(VLOOKUP(D133,CAARStatus!$A$1:$Y$1600,16,FALSE),0),0)</f>
        <v>0</v>
      </c>
      <c r="AL133" s="13">
        <f>-IF(AG133="USD",IFERROR(VLOOKUP(D133,CAARStatus!$A$1:$Y$1600,11,FALSE),0),0)</f>
        <v>-748.94</v>
      </c>
      <c r="AM133" s="22" t="str">
        <f t="shared" si="61"/>
        <v/>
      </c>
      <c r="AN133" s="12">
        <f t="shared" si="62"/>
        <v>-748.94</v>
      </c>
      <c r="AO133" s="12" t="str">
        <f t="shared" si="63"/>
        <v>Yes</v>
      </c>
      <c r="AP133" t="str">
        <f t="shared" si="48"/>
        <v>XX</v>
      </c>
      <c r="AQ133" t="str">
        <f>IFERROR(VLOOKUP(Z133,InvBal!$L$4:$P$600,4,FALSE),"Pend")</f>
        <v>Yes</v>
      </c>
      <c r="AR133" t="str">
        <f>IFERROR(VLOOKUP(D133,Manual!$C$1:$E$22,2,FALSE),"Pend")</f>
        <v>Pend</v>
      </c>
      <c r="AS133" t="str">
        <f t="shared" si="64"/>
        <v>Yes</v>
      </c>
      <c r="AT133" t="str">
        <f t="shared" si="65"/>
        <v/>
      </c>
      <c r="AU133" s="51" t="str">
        <f t="shared" si="66"/>
        <v/>
      </c>
      <c r="AV133" s="12">
        <f>IFERROR(VLOOKUP(D133,'Receivable Invoice Detail'!$S$1:$U$3014,3,FALSE),0)</f>
        <v>0</v>
      </c>
      <c r="AW133" s="12">
        <f t="shared" si="67"/>
        <v>0</v>
      </c>
    </row>
    <row r="134" spans="1:49" x14ac:dyDescent="0.25">
      <c r="A134" s="2">
        <v>1</v>
      </c>
      <c r="B134" s="2" t="s">
        <v>2003</v>
      </c>
      <c r="C134" s="2" t="s">
        <v>2004</v>
      </c>
      <c r="D134" s="2" t="s">
        <v>2424</v>
      </c>
      <c r="E134" s="2" t="s">
        <v>1196</v>
      </c>
      <c r="F134" s="3">
        <v>45691.729861111111</v>
      </c>
      <c r="G134" s="3">
        <v>45701.397326388891</v>
      </c>
      <c r="H134" s="4">
        <v>45778</v>
      </c>
      <c r="I134" s="2" t="s">
        <v>21</v>
      </c>
      <c r="J134" s="2" t="s">
        <v>22</v>
      </c>
      <c r="K134" s="2">
        <v>1</v>
      </c>
      <c r="L134" s="2">
        <v>6082.12</v>
      </c>
      <c r="M134" s="2">
        <v>0</v>
      </c>
      <c r="N134" s="2">
        <v>4274.0647146065348</v>
      </c>
      <c r="O134" s="2">
        <v>5382.41</v>
      </c>
      <c r="P134" s="2">
        <v>699.71</v>
      </c>
      <c r="Q134" s="2">
        <v>6082.12</v>
      </c>
      <c r="R134" s="2" t="s">
        <v>44</v>
      </c>
      <c r="S134" s="2"/>
      <c r="T134" s="2">
        <f t="shared" si="49"/>
        <v>1</v>
      </c>
      <c r="U134" s="18">
        <f t="shared" si="50"/>
        <v>2</v>
      </c>
      <c r="V134" s="18">
        <f t="shared" si="51"/>
        <v>2025</v>
      </c>
      <c r="W134" s="18">
        <f t="shared" si="52"/>
        <v>5</v>
      </c>
      <c r="X134" s="18">
        <f t="shared" si="53"/>
        <v>2025</v>
      </c>
      <c r="Y134" s="2">
        <f t="shared" si="46"/>
        <v>0.70272614065597772</v>
      </c>
      <c r="Z134" t="str">
        <f t="shared" si="47"/>
        <v>SO16532</v>
      </c>
      <c r="AA134" s="11">
        <f t="shared" si="54"/>
        <v>45691.729861111111</v>
      </c>
      <c r="AB134" s="5" t="str">
        <f t="shared" si="55"/>
        <v>INV12898</v>
      </c>
      <c r="AC134" s="5" t="str">
        <f>IFERROR(VLOOKUP(D134,CAARStatus!$A$2:$AA$1600,22,FALSE),"Not invoiced")</f>
        <v>Paid</v>
      </c>
      <c r="AD134" s="11">
        <f>IF(AC134="Paid",IFERROR(VLOOKUP(D134,CAARStatus!$A$2:$AA$1600,6,FALSE),"Pending"),"Pending")</f>
        <v>45798</v>
      </c>
      <c r="AE134" s="5" t="str">
        <f t="shared" si="56"/>
        <v>4004044</v>
      </c>
      <c r="AF134" s="5" t="str">
        <f t="shared" si="57"/>
        <v>John Brooks Company Limited</v>
      </c>
      <c r="AG134" s="5" t="str">
        <f t="shared" si="58"/>
        <v>CAD</v>
      </c>
      <c r="AH134" s="5">
        <f t="shared" si="59"/>
        <v>5382.41</v>
      </c>
      <c r="AI134" s="12">
        <f>IF(L134-N134=0,VLOOKUP(U134,rate!A$4:B$15,2,FALSE)*AH134,IF(AG134="USD",O134,AH134*Y134))</f>
        <v>3782.3602067281408</v>
      </c>
      <c r="AJ134" s="13">
        <f t="shared" si="60"/>
        <v>0.70272614065597772</v>
      </c>
      <c r="AK134" s="13">
        <f>-IF(AG134="CAD",IFERROR(VLOOKUP(D134,CAARStatus!$A$1:$Y$1600,16,FALSE),0),0)</f>
        <v>-5382.41</v>
      </c>
      <c r="AL134" s="13">
        <f>-IF(AG134="USD",IFERROR(VLOOKUP(D134,CAARStatus!$A$1:$Y$1600,11,FALSE),0),0)</f>
        <v>0</v>
      </c>
      <c r="AM134" s="22">
        <f t="shared" si="61"/>
        <v>0</v>
      </c>
      <c r="AN134" s="12" t="str">
        <f t="shared" si="62"/>
        <v/>
      </c>
      <c r="AO134" s="12" t="str">
        <f t="shared" si="63"/>
        <v>Yes</v>
      </c>
      <c r="AP134" t="str">
        <f t="shared" si="48"/>
        <v>Yes</v>
      </c>
      <c r="AQ134" t="str">
        <f>IFERROR(VLOOKUP(Z134,InvBal!$L$4:$P$600,4,FALSE),"Pend")</f>
        <v>Pend</v>
      </c>
      <c r="AR134" t="str">
        <f>IFERROR(VLOOKUP(D134,Manual!$C$1:$E$22,2,FALSE),"Pend")</f>
        <v>Pend</v>
      </c>
      <c r="AS134" t="str">
        <f t="shared" si="64"/>
        <v>Yes</v>
      </c>
      <c r="AT134" t="str">
        <f t="shared" si="65"/>
        <v>Yes</v>
      </c>
      <c r="AU134" s="51" t="str">
        <f t="shared" si="66"/>
        <v>Yes</v>
      </c>
      <c r="AV134" s="12">
        <f>IFERROR(VLOOKUP(D134,'Receivable Invoice Detail'!$S$1:$U$3014,3,FALSE),0)</f>
        <v>0</v>
      </c>
      <c r="AW134" s="12">
        <f t="shared" si="67"/>
        <v>3782.3602067281408</v>
      </c>
    </row>
    <row r="135" spans="1:49" ht="30" x14ac:dyDescent="0.25">
      <c r="A135" s="2">
        <v>1</v>
      </c>
      <c r="B135" s="2" t="s">
        <v>1948</v>
      </c>
      <c r="C135" s="2" t="s">
        <v>1949</v>
      </c>
      <c r="D135" s="2" t="s">
        <v>2454</v>
      </c>
      <c r="E135" s="2" t="s">
        <v>1322</v>
      </c>
      <c r="F135" s="3">
        <v>45691.744537037041</v>
      </c>
      <c r="G135" s="3">
        <v>45706.778541666667</v>
      </c>
      <c r="H135" s="4">
        <v>45782</v>
      </c>
      <c r="I135" s="2" t="s">
        <v>21</v>
      </c>
      <c r="J135" s="2" t="s">
        <v>22</v>
      </c>
      <c r="K135" s="2">
        <v>1</v>
      </c>
      <c r="L135" s="2">
        <v>6231.59</v>
      </c>
      <c r="M135" s="2">
        <v>6231.59</v>
      </c>
      <c r="N135" s="2">
        <v>6231.59</v>
      </c>
      <c r="O135" s="2">
        <v>5934.85</v>
      </c>
      <c r="P135" s="2">
        <v>296.74</v>
      </c>
      <c r="Q135" s="2">
        <v>6231.59</v>
      </c>
      <c r="R135" s="2" t="s">
        <v>44</v>
      </c>
      <c r="S135" s="2"/>
      <c r="T135" s="2">
        <f t="shared" si="49"/>
        <v>1</v>
      </c>
      <c r="U135" s="18">
        <f t="shared" si="50"/>
        <v>2</v>
      </c>
      <c r="V135" s="18">
        <f t="shared" si="51"/>
        <v>2025</v>
      </c>
      <c r="W135" s="18">
        <f t="shared" si="52"/>
        <v>5</v>
      </c>
      <c r="X135" s="18">
        <f t="shared" si="53"/>
        <v>2025</v>
      </c>
      <c r="Y135" s="2">
        <f t="shared" si="46"/>
        <v>1</v>
      </c>
      <c r="Z135" t="str">
        <f t="shared" si="47"/>
        <v>SO16533</v>
      </c>
      <c r="AA135" s="11">
        <f t="shared" si="54"/>
        <v>45691.744537037041</v>
      </c>
      <c r="AB135" s="5" t="str">
        <f t="shared" si="55"/>
        <v>INV12756</v>
      </c>
      <c r="AC135" s="5" t="str">
        <f>IFERROR(VLOOKUP(D135,CAARStatus!$A$2:$AA$1600,22,FALSE),"Not invoiced")</f>
        <v>Paid</v>
      </c>
      <c r="AD135" s="11">
        <f>IF(AC135="Paid",IFERROR(VLOOKUP(D135,CAARStatus!$A$2:$AA$1600,6,FALSE),"Pending"),"Pending")</f>
        <v>45790</v>
      </c>
      <c r="AE135" s="5" t="str">
        <f t="shared" si="56"/>
        <v>PO-40-1013133</v>
      </c>
      <c r="AF135" s="5" t="str">
        <f t="shared" si="57"/>
        <v>Canadian Bearings Ltd., Canadian Bearings Ltd. - Quebec City</v>
      </c>
      <c r="AG135" s="5" t="str">
        <f t="shared" si="58"/>
        <v>CAD</v>
      </c>
      <c r="AH135" s="5">
        <f t="shared" si="59"/>
        <v>5934.85</v>
      </c>
      <c r="AI135" s="12">
        <f>IF(L135-N135=0,VLOOKUP(U135,rate!A$4:B$15,2,FALSE)*AH135,IF(AG135="USD",O135,AH135*Y135))</f>
        <v>4167.9531879950555</v>
      </c>
      <c r="AJ135" s="13">
        <f t="shared" si="60"/>
        <v>0.70228450390406749</v>
      </c>
      <c r="AK135" s="13">
        <f>-IF(AG135="CAD",IFERROR(VLOOKUP(D135,CAARStatus!$A$1:$Y$1600,16,FALSE),0),0)</f>
        <v>-5934.85</v>
      </c>
      <c r="AL135" s="13">
        <f>-IF(AG135="USD",IFERROR(VLOOKUP(D135,CAARStatus!$A$1:$Y$1600,11,FALSE),0),0)</f>
        <v>0</v>
      </c>
      <c r="AM135" s="22">
        <f t="shared" si="61"/>
        <v>0</v>
      </c>
      <c r="AN135" s="12" t="str">
        <f t="shared" si="62"/>
        <v/>
      </c>
      <c r="AO135" s="12" t="str">
        <f t="shared" si="63"/>
        <v>Yes</v>
      </c>
      <c r="AP135" t="str">
        <f t="shared" si="48"/>
        <v>Yes</v>
      </c>
      <c r="AQ135" t="str">
        <f>IFERROR(VLOOKUP(Z135,InvBal!$L$4:$P$600,4,FALSE),"Pend")</f>
        <v>Pend</v>
      </c>
      <c r="AR135" t="str">
        <f>IFERROR(VLOOKUP(D135,Manual!$C$1:$E$22,2,FALSE),"Pend")</f>
        <v>Pend</v>
      </c>
      <c r="AS135" t="str">
        <f t="shared" si="64"/>
        <v>Yes</v>
      </c>
      <c r="AT135" t="str">
        <f t="shared" si="65"/>
        <v>Yes</v>
      </c>
      <c r="AU135" s="51" t="str">
        <f t="shared" si="66"/>
        <v>Yes</v>
      </c>
      <c r="AV135" s="12">
        <f>IFERROR(VLOOKUP(D135,'Receivable Invoice Detail'!$S$1:$U$3014,3,FALSE),0)</f>
        <v>0</v>
      </c>
      <c r="AW135" s="12">
        <f t="shared" si="67"/>
        <v>4167.9531879950555</v>
      </c>
    </row>
    <row r="136" spans="1:49" x14ac:dyDescent="0.25">
      <c r="A136" s="2">
        <v>5</v>
      </c>
      <c r="B136" s="2" t="s">
        <v>2064</v>
      </c>
      <c r="C136" s="2" t="s">
        <v>2065</v>
      </c>
      <c r="D136" s="2" t="s">
        <v>2386</v>
      </c>
      <c r="E136" s="2" t="s">
        <v>714</v>
      </c>
      <c r="F136" s="3">
        <v>45692.441203703696</v>
      </c>
      <c r="G136" s="3">
        <v>45692.448078703703</v>
      </c>
      <c r="H136" s="4">
        <v>45811</v>
      </c>
      <c r="I136" s="2" t="s">
        <v>21</v>
      </c>
      <c r="J136" s="2" t="s">
        <v>51</v>
      </c>
      <c r="K136" s="2">
        <v>0.68489392782051961</v>
      </c>
      <c r="L136" s="2">
        <v>77306.715462478212</v>
      </c>
      <c r="M136" s="2">
        <v>0</v>
      </c>
      <c r="N136" s="2">
        <v>52946.9</v>
      </c>
      <c r="O136" s="2">
        <v>52946.9</v>
      </c>
      <c r="P136" s="2"/>
      <c r="Q136" s="2">
        <v>52946.9</v>
      </c>
      <c r="R136" s="2" t="s">
        <v>44</v>
      </c>
      <c r="S136" s="2"/>
      <c r="T136" s="2">
        <f t="shared" si="49"/>
        <v>5</v>
      </c>
      <c r="U136" s="18">
        <f t="shared" si="50"/>
        <v>2</v>
      </c>
      <c r="V136" s="18">
        <f t="shared" si="51"/>
        <v>2025</v>
      </c>
      <c r="W136" s="18">
        <f t="shared" si="52"/>
        <v>3</v>
      </c>
      <c r="X136" s="18">
        <f t="shared" si="53"/>
        <v>2025</v>
      </c>
      <c r="Y136" s="2">
        <f t="shared" si="46"/>
        <v>0.68489392782051961</v>
      </c>
      <c r="Z136" t="str">
        <f t="shared" si="47"/>
        <v>SO16534</v>
      </c>
      <c r="AA136" s="11">
        <f t="shared" si="54"/>
        <v>45692.441203703696</v>
      </c>
      <c r="AB136" s="5" t="str">
        <f t="shared" si="55"/>
        <v>INV12618</v>
      </c>
      <c r="AC136" s="5" t="str">
        <f>IFERROR(VLOOKUP(D136,CAARStatus!$A$2:$AA$1600,22,FALSE),"Not invoiced")</f>
        <v>Paid</v>
      </c>
      <c r="AD136" s="11">
        <f>IF(AC136="Paid",IFERROR(VLOOKUP(D136,CAARStatus!$A$2:$AA$1600,6,FALSE),"Pending"),"Pending")</f>
        <v>45735</v>
      </c>
      <c r="AE136" s="5" t="str">
        <f t="shared" si="56"/>
        <v>S305039</v>
      </c>
      <c r="AF136" s="5" t="str">
        <f t="shared" si="57"/>
        <v>Kumtor Gold Company</v>
      </c>
      <c r="AG136" s="5" t="str">
        <f t="shared" si="58"/>
        <v>USD</v>
      </c>
      <c r="AH136" s="5">
        <f t="shared" si="59"/>
        <v>77306.715462478212</v>
      </c>
      <c r="AI136" s="12">
        <f>IF(L136-N136=0,VLOOKUP(U136,rate!A$4:B$15,2,FALSE)*AH136,IF(AG136="USD",O136,AH136*Y136))</f>
        <v>52946.9</v>
      </c>
      <c r="AJ136" s="13">
        <f t="shared" si="60"/>
        <v>0.68489392782051961</v>
      </c>
      <c r="AK136" s="13">
        <f>-IF(AG136="CAD",IFERROR(VLOOKUP(D136,CAARStatus!$A$1:$Y$1600,16,FALSE),0),0)</f>
        <v>0</v>
      </c>
      <c r="AL136" s="13">
        <f>-IF(AG136="USD",IFERROR(VLOOKUP(D136,CAARStatus!$A$1:$Y$1600,11,FALSE),0),0)</f>
        <v>-16104.77</v>
      </c>
      <c r="AM136" s="22" t="str">
        <f t="shared" si="61"/>
        <v/>
      </c>
      <c r="AN136" s="12">
        <f t="shared" si="62"/>
        <v>36842.130000000005</v>
      </c>
      <c r="AO136" s="12" t="str">
        <f t="shared" si="63"/>
        <v>Yes</v>
      </c>
      <c r="AP136" t="str">
        <f t="shared" si="48"/>
        <v>XX</v>
      </c>
      <c r="AQ136" t="str">
        <f>IFERROR(VLOOKUP(Z136,InvBal!$L$4:$P$600,4,FALSE),"Pend")</f>
        <v>Yes</v>
      </c>
      <c r="AR136" t="str">
        <f>IFERROR(VLOOKUP(D136,Manual!$C$1:$E$22,2,FALSE),"Pend")</f>
        <v>Pend</v>
      </c>
      <c r="AS136" t="str">
        <f t="shared" si="64"/>
        <v>Yes</v>
      </c>
      <c r="AT136" t="str">
        <f t="shared" si="65"/>
        <v>Yes</v>
      </c>
      <c r="AU136" s="51" t="str">
        <f t="shared" si="66"/>
        <v>Yes</v>
      </c>
      <c r="AV136" s="12">
        <f>IFERROR(VLOOKUP(D136,'Receivable Invoice Detail'!$S$1:$U$3014,3,FALSE),0)</f>
        <v>0</v>
      </c>
      <c r="AW136" s="12">
        <f t="shared" si="67"/>
        <v>52946.9</v>
      </c>
    </row>
    <row r="137" spans="1:49" x14ac:dyDescent="0.25">
      <c r="A137" s="2"/>
      <c r="B137" s="2"/>
      <c r="C137" s="2"/>
      <c r="D137" s="2" t="s">
        <v>2382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f t="shared" si="49"/>
        <v>5</v>
      </c>
      <c r="U137" s="18">
        <f t="shared" si="50"/>
        <v>2</v>
      </c>
      <c r="V137" s="18">
        <f t="shared" si="51"/>
        <v>2025</v>
      </c>
      <c r="W137" s="18">
        <f t="shared" si="52"/>
        <v>4</v>
      </c>
      <c r="X137" s="18">
        <f t="shared" si="53"/>
        <v>2025</v>
      </c>
      <c r="Y137" s="2">
        <f t="shared" si="46"/>
        <v>0.68489392782051961</v>
      </c>
      <c r="Z137" t="str">
        <f t="shared" si="47"/>
        <v>SO16534</v>
      </c>
      <c r="AA137" s="11">
        <f t="shared" si="54"/>
        <v>45692.441203703696</v>
      </c>
      <c r="AB137" s="5" t="str">
        <f t="shared" si="55"/>
        <v>INV12747</v>
      </c>
      <c r="AC137" s="5" t="str">
        <f>IFERROR(VLOOKUP(D137,CAARStatus!$A$2:$AA$1600,22,FALSE),"Not invoiced")</f>
        <v>Paid</v>
      </c>
      <c r="AD137" s="11">
        <f>IF(AC137="Paid",IFERROR(VLOOKUP(D137,CAARStatus!$A$2:$AA$1600,6,FALSE),"Pending"),"Pending")</f>
        <v>45763</v>
      </c>
      <c r="AE137" s="5" t="str">
        <f t="shared" si="56"/>
        <v>S305039</v>
      </c>
      <c r="AF137" s="5" t="str">
        <f t="shared" si="57"/>
        <v>Kumtor Gold Company</v>
      </c>
      <c r="AG137" s="5" t="str">
        <f t="shared" si="58"/>
        <v>USD</v>
      </c>
      <c r="AH137" s="5">
        <f t="shared" si="59"/>
        <v>0</v>
      </c>
      <c r="AI137" s="12">
        <f>IF(L137-N137=0,VLOOKUP(U137,rate!A$4:B$15,2,FALSE)*AH137,IF(AG137="USD",O137,AH137*Y137))</f>
        <v>0</v>
      </c>
      <c r="AJ137" s="13">
        <f t="shared" si="60"/>
        <v>0</v>
      </c>
      <c r="AK137" s="13">
        <f>-IF(AG137="CAD",IFERROR(VLOOKUP(D137,CAARStatus!$A$1:$Y$1600,16,FALSE),0),0)</f>
        <v>0</v>
      </c>
      <c r="AL137" s="13">
        <f>-IF(AG137="USD",IFERROR(VLOOKUP(D137,CAARStatus!$A$1:$Y$1600,11,FALSE),0),0)</f>
        <v>-1452.39</v>
      </c>
      <c r="AM137" s="22" t="str">
        <f t="shared" si="61"/>
        <v/>
      </c>
      <c r="AN137" s="12">
        <f t="shared" si="62"/>
        <v>-1452.39</v>
      </c>
      <c r="AO137" s="12" t="str">
        <f t="shared" si="63"/>
        <v>Yes</v>
      </c>
      <c r="AP137" t="str">
        <f t="shared" si="48"/>
        <v>XX</v>
      </c>
      <c r="AQ137" t="str">
        <f>IFERROR(VLOOKUP(Z137,InvBal!$L$4:$P$600,4,FALSE),"Pend")</f>
        <v>Yes</v>
      </c>
      <c r="AR137" t="str">
        <f>IFERROR(VLOOKUP(D137,Manual!$C$1:$E$22,2,FALSE),"Pend")</f>
        <v>Pend</v>
      </c>
      <c r="AS137" t="str">
        <f t="shared" si="64"/>
        <v>Yes</v>
      </c>
      <c r="AT137" t="str">
        <f t="shared" si="65"/>
        <v/>
      </c>
      <c r="AU137" s="51" t="str">
        <f t="shared" si="66"/>
        <v/>
      </c>
      <c r="AV137" s="12">
        <f>IFERROR(VLOOKUP(D137,'Receivable Invoice Detail'!$S$1:$U$3014,3,FALSE),0)</f>
        <v>0</v>
      </c>
      <c r="AW137" s="12">
        <f t="shared" si="67"/>
        <v>0</v>
      </c>
    </row>
    <row r="138" spans="1:49" x14ac:dyDescent="0.25">
      <c r="A138" s="2"/>
      <c r="B138" s="2"/>
      <c r="C138" s="2"/>
      <c r="D138" s="2" t="s">
        <v>2383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>
        <f t="shared" si="49"/>
        <v>5</v>
      </c>
      <c r="U138" s="18">
        <f t="shared" si="50"/>
        <v>2</v>
      </c>
      <c r="V138" s="18">
        <f t="shared" si="51"/>
        <v>2025</v>
      </c>
      <c r="W138" s="18">
        <f t="shared" si="52"/>
        <v>4</v>
      </c>
      <c r="X138" s="18">
        <f t="shared" si="53"/>
        <v>2025</v>
      </c>
      <c r="Y138" s="2">
        <f t="shared" si="46"/>
        <v>0.68489392782051961</v>
      </c>
      <c r="Z138" t="str">
        <f t="shared" si="47"/>
        <v>SO16534</v>
      </c>
      <c r="AA138" s="11">
        <f t="shared" si="54"/>
        <v>45692.441203703696</v>
      </c>
      <c r="AB138" s="5" t="str">
        <f t="shared" si="55"/>
        <v>INV12840</v>
      </c>
      <c r="AC138" s="5" t="str">
        <f>IFERROR(VLOOKUP(D138,CAARStatus!$A$2:$AA$1600,22,FALSE),"Not invoiced")</f>
        <v>Paid</v>
      </c>
      <c r="AD138" s="11">
        <f>IF(AC138="Paid",IFERROR(VLOOKUP(D138,CAARStatus!$A$2:$AA$1600,6,FALSE),"Pending"),"Pending")</f>
        <v>45763</v>
      </c>
      <c r="AE138" s="5" t="str">
        <f t="shared" si="56"/>
        <v>S305039</v>
      </c>
      <c r="AF138" s="5" t="str">
        <f t="shared" si="57"/>
        <v>Kumtor Gold Company</v>
      </c>
      <c r="AG138" s="5" t="str">
        <f t="shared" si="58"/>
        <v>USD</v>
      </c>
      <c r="AH138" s="5">
        <f t="shared" si="59"/>
        <v>0</v>
      </c>
      <c r="AI138" s="12">
        <f>IF(L138-N138=0,VLOOKUP(U138,rate!A$4:B$15,2,FALSE)*AH138,IF(AG138="USD",O138,AH138*Y138))</f>
        <v>0</v>
      </c>
      <c r="AJ138" s="13">
        <f t="shared" si="60"/>
        <v>0</v>
      </c>
      <c r="AK138" s="13">
        <f>-IF(AG138="CAD",IFERROR(VLOOKUP(D138,CAARStatus!$A$1:$Y$1600,16,FALSE),0),0)</f>
        <v>0</v>
      </c>
      <c r="AL138" s="13">
        <f>-IF(AG138="USD",IFERROR(VLOOKUP(D138,CAARStatus!$A$1:$Y$1600,11,FALSE),0),0)</f>
        <v>-18751.86</v>
      </c>
      <c r="AM138" s="22" t="str">
        <f t="shared" si="61"/>
        <v/>
      </c>
      <c r="AN138" s="12">
        <f t="shared" si="62"/>
        <v>-18751.86</v>
      </c>
      <c r="AO138" s="12" t="str">
        <f t="shared" si="63"/>
        <v>Yes</v>
      </c>
      <c r="AP138" t="str">
        <f t="shared" si="48"/>
        <v>XX</v>
      </c>
      <c r="AQ138" t="str">
        <f>IFERROR(VLOOKUP(Z138,InvBal!$L$4:$P$600,4,FALSE),"Pend")</f>
        <v>Yes</v>
      </c>
      <c r="AR138" t="str">
        <f>IFERROR(VLOOKUP(D138,Manual!$C$1:$E$22,2,FALSE),"Pend")</f>
        <v>Pend</v>
      </c>
      <c r="AS138" t="str">
        <f t="shared" si="64"/>
        <v>Yes</v>
      </c>
      <c r="AT138" t="str">
        <f t="shared" si="65"/>
        <v/>
      </c>
      <c r="AU138" s="51" t="str">
        <f t="shared" si="66"/>
        <v/>
      </c>
      <c r="AV138" s="12">
        <f>IFERROR(VLOOKUP(D138,'Receivable Invoice Detail'!$S$1:$U$3014,3,FALSE),0)</f>
        <v>0</v>
      </c>
      <c r="AW138" s="12">
        <f t="shared" si="67"/>
        <v>0</v>
      </c>
    </row>
    <row r="139" spans="1:49" x14ac:dyDescent="0.25">
      <c r="A139" s="2"/>
      <c r="B139" s="2"/>
      <c r="C139" s="2"/>
      <c r="D139" s="2" t="s">
        <v>2384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f t="shared" si="49"/>
        <v>5</v>
      </c>
      <c r="U139" s="18">
        <f t="shared" si="50"/>
        <v>2</v>
      </c>
      <c r="V139" s="18">
        <f t="shared" si="51"/>
        <v>2025</v>
      </c>
      <c r="W139" s="18">
        <f t="shared" si="52"/>
        <v>4</v>
      </c>
      <c r="X139" s="18">
        <f t="shared" si="53"/>
        <v>2025</v>
      </c>
      <c r="Y139" s="2">
        <f t="shared" si="46"/>
        <v>0.68489392782051961</v>
      </c>
      <c r="Z139" t="str">
        <f t="shared" si="47"/>
        <v>SO16534</v>
      </c>
      <c r="AA139" s="11">
        <f t="shared" si="54"/>
        <v>45692.441203703696</v>
      </c>
      <c r="AB139" s="5" t="str">
        <f t="shared" si="55"/>
        <v>INV12860</v>
      </c>
      <c r="AC139" s="5" t="str">
        <f>IFERROR(VLOOKUP(D139,CAARStatus!$A$2:$AA$1600,22,FALSE),"Not invoiced")</f>
        <v>Paid</v>
      </c>
      <c r="AD139" s="11">
        <f>IF(AC139="Paid",IFERROR(VLOOKUP(D139,CAARStatus!$A$2:$AA$1600,6,FALSE),"Pending"),"Pending")</f>
        <v>45772</v>
      </c>
      <c r="AE139" s="5" t="str">
        <f t="shared" si="56"/>
        <v>S305039</v>
      </c>
      <c r="AF139" s="5" t="str">
        <f t="shared" si="57"/>
        <v>Kumtor Gold Company</v>
      </c>
      <c r="AG139" s="5" t="str">
        <f t="shared" si="58"/>
        <v>USD</v>
      </c>
      <c r="AH139" s="5">
        <f t="shared" si="59"/>
        <v>0</v>
      </c>
      <c r="AI139" s="12">
        <f>IF(L139-N139=0,VLOOKUP(U139,rate!A$4:B$15,2,FALSE)*AH139,IF(AG139="USD",O139,AH139*Y139))</f>
        <v>0</v>
      </c>
      <c r="AJ139" s="13">
        <f t="shared" si="60"/>
        <v>0</v>
      </c>
      <c r="AK139" s="13">
        <f>-IF(AG139="CAD",IFERROR(VLOOKUP(D139,CAARStatus!$A$1:$Y$1600,16,FALSE),0),0)</f>
        <v>0</v>
      </c>
      <c r="AL139" s="13">
        <f>-IF(AG139="USD",IFERROR(VLOOKUP(D139,CAARStatus!$A$1:$Y$1600,11,FALSE),0),0)</f>
        <v>-7261.95</v>
      </c>
      <c r="AM139" s="22" t="str">
        <f t="shared" si="61"/>
        <v/>
      </c>
      <c r="AN139" s="12">
        <f t="shared" si="62"/>
        <v>-7261.95</v>
      </c>
      <c r="AO139" s="12" t="str">
        <f t="shared" si="63"/>
        <v>Yes</v>
      </c>
      <c r="AP139" t="str">
        <f t="shared" si="48"/>
        <v>XX</v>
      </c>
      <c r="AQ139" t="str">
        <f>IFERROR(VLOOKUP(Z139,InvBal!$L$4:$P$600,4,FALSE),"Pend")</f>
        <v>Yes</v>
      </c>
      <c r="AR139" t="str">
        <f>IFERROR(VLOOKUP(D139,Manual!$C$1:$E$22,2,FALSE),"Pend")</f>
        <v>Pend</v>
      </c>
      <c r="AS139" t="str">
        <f t="shared" si="64"/>
        <v>Yes</v>
      </c>
      <c r="AT139" t="str">
        <f t="shared" si="65"/>
        <v/>
      </c>
      <c r="AU139" s="51" t="str">
        <f t="shared" si="66"/>
        <v/>
      </c>
      <c r="AV139" s="12">
        <f>IFERROR(VLOOKUP(D139,'Receivable Invoice Detail'!$S$1:$U$3014,3,FALSE),0)</f>
        <v>0</v>
      </c>
      <c r="AW139" s="12">
        <f t="shared" si="67"/>
        <v>0</v>
      </c>
    </row>
    <row r="140" spans="1:49" x14ac:dyDescent="0.25">
      <c r="A140" s="2"/>
      <c r="B140" s="2"/>
      <c r="C140" s="2"/>
      <c r="D140" s="2" t="s">
        <v>2385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>
        <f t="shared" si="49"/>
        <v>5</v>
      </c>
      <c r="U140" s="18">
        <f t="shared" si="50"/>
        <v>2</v>
      </c>
      <c r="V140" s="18">
        <f t="shared" si="51"/>
        <v>2025</v>
      </c>
      <c r="W140" s="18">
        <f t="shared" si="52"/>
        <v>6</v>
      </c>
      <c r="X140" s="18">
        <f t="shared" si="53"/>
        <v>2025</v>
      </c>
      <c r="Y140" s="2">
        <f t="shared" si="46"/>
        <v>0.68489392782051961</v>
      </c>
      <c r="Z140" t="str">
        <f t="shared" si="47"/>
        <v>SO16534</v>
      </c>
      <c r="AA140" s="11">
        <f t="shared" si="54"/>
        <v>45692.441203703696</v>
      </c>
      <c r="AB140" s="5" t="str">
        <f t="shared" si="55"/>
        <v>INV13074</v>
      </c>
      <c r="AC140" s="5" t="str">
        <f>IFERROR(VLOOKUP(D140,CAARStatus!$A$2:$AA$1600,22,FALSE),"Not invoiced")</f>
        <v>Paid</v>
      </c>
      <c r="AD140" s="11">
        <f>IF(AC140="Paid",IFERROR(VLOOKUP(D140,CAARStatus!$A$2:$AA$1600,6,FALSE),"Pending"),"Pending")</f>
        <v>45826</v>
      </c>
      <c r="AE140" s="5" t="str">
        <f t="shared" si="56"/>
        <v>S305039</v>
      </c>
      <c r="AF140" s="5" t="str">
        <f t="shared" si="57"/>
        <v>Kumtor Gold Company</v>
      </c>
      <c r="AG140" s="5" t="str">
        <f t="shared" si="58"/>
        <v>USD</v>
      </c>
      <c r="AH140" s="5">
        <f t="shared" si="59"/>
        <v>0</v>
      </c>
      <c r="AI140" s="12">
        <f>IF(L140-N140=0,VLOOKUP(U140,rate!A$4:B$15,2,FALSE)*AH140,IF(AG140="USD",O140,AH140*Y140))</f>
        <v>0</v>
      </c>
      <c r="AJ140" s="13">
        <f t="shared" si="60"/>
        <v>0</v>
      </c>
      <c r="AK140" s="13">
        <f>-IF(AG140="CAD",IFERROR(VLOOKUP(D140,CAARStatus!$A$1:$Y$1600,16,FALSE),0),0)</f>
        <v>0</v>
      </c>
      <c r="AL140" s="13">
        <f>-IF(AG140="USD",IFERROR(VLOOKUP(D140,CAARStatus!$A$1:$Y$1600,11,FALSE),0),0)</f>
        <v>-9375.93</v>
      </c>
      <c r="AM140" s="22" t="str">
        <f t="shared" si="61"/>
        <v/>
      </c>
      <c r="AN140" s="12">
        <f t="shared" si="62"/>
        <v>-9375.93</v>
      </c>
      <c r="AO140" s="12" t="str">
        <f t="shared" si="63"/>
        <v>Yes</v>
      </c>
      <c r="AP140" t="str">
        <f t="shared" si="48"/>
        <v>XX</v>
      </c>
      <c r="AQ140" t="str">
        <f>IFERROR(VLOOKUP(Z140,InvBal!$L$4:$P$600,4,FALSE),"Pend")</f>
        <v>Yes</v>
      </c>
      <c r="AR140" t="str">
        <f>IFERROR(VLOOKUP(D140,Manual!$C$1:$E$22,2,FALSE),"Pend")</f>
        <v>Pend</v>
      </c>
      <c r="AS140" t="str">
        <f t="shared" si="64"/>
        <v>Yes</v>
      </c>
      <c r="AT140" t="str">
        <f t="shared" si="65"/>
        <v/>
      </c>
      <c r="AU140" s="51" t="str">
        <f t="shared" si="66"/>
        <v/>
      </c>
      <c r="AV140" s="12">
        <f>IFERROR(VLOOKUP(D140,'Receivable Invoice Detail'!$S$1:$U$3014,3,FALSE),0)</f>
        <v>0</v>
      </c>
      <c r="AW140" s="12">
        <f t="shared" si="67"/>
        <v>0</v>
      </c>
    </row>
    <row r="141" spans="1:49" ht="30" x14ac:dyDescent="0.25">
      <c r="A141" s="2">
        <v>1</v>
      </c>
      <c r="B141" s="2" t="s">
        <v>2066</v>
      </c>
      <c r="C141" s="2" t="s">
        <v>2067</v>
      </c>
      <c r="D141" s="2" t="s">
        <v>2381</v>
      </c>
      <c r="E141" s="2" t="s">
        <v>159</v>
      </c>
      <c r="F141" s="3">
        <v>45692.445648148147</v>
      </c>
      <c r="G141" s="3">
        <v>45692.445891203701</v>
      </c>
      <c r="H141" s="4">
        <v>45707</v>
      </c>
      <c r="I141" s="2" t="s">
        <v>426</v>
      </c>
      <c r="J141" s="2" t="s">
        <v>51</v>
      </c>
      <c r="K141" s="2">
        <v>0.68489392782051961</v>
      </c>
      <c r="L141" s="2">
        <v>22748.778120402549</v>
      </c>
      <c r="M141" s="2">
        <v>0</v>
      </c>
      <c r="N141" s="2">
        <v>15580.5</v>
      </c>
      <c r="O141" s="2">
        <v>15580.5</v>
      </c>
      <c r="P141" s="2"/>
      <c r="Q141" s="2">
        <v>15580.5</v>
      </c>
      <c r="R141" s="2" t="s">
        <v>44</v>
      </c>
      <c r="S141" s="2"/>
      <c r="T141" s="2">
        <f t="shared" si="49"/>
        <v>1</v>
      </c>
      <c r="U141" s="18">
        <f t="shared" si="50"/>
        <v>2</v>
      </c>
      <c r="V141" s="18">
        <f t="shared" si="51"/>
        <v>2025</v>
      </c>
      <c r="W141" s="18">
        <f t="shared" si="52"/>
        <v>4</v>
      </c>
      <c r="X141" s="18">
        <f t="shared" si="53"/>
        <v>2025</v>
      </c>
      <c r="Y141" s="2">
        <f t="shared" si="46"/>
        <v>0.68489392782051961</v>
      </c>
      <c r="Z141" t="str">
        <f t="shared" si="47"/>
        <v>SO16535</v>
      </c>
      <c r="AA141" s="11">
        <f t="shared" si="54"/>
        <v>45692.445648148147</v>
      </c>
      <c r="AB141" s="5" t="str">
        <f t="shared" si="55"/>
        <v>INV12644</v>
      </c>
      <c r="AC141" s="5" t="str">
        <f>IFERROR(VLOOKUP(D141,CAARStatus!$A$2:$AA$1600,22,FALSE),"Not invoiced")</f>
        <v>Paid</v>
      </c>
      <c r="AD141" s="11">
        <f>IF(AC141="Paid",IFERROR(VLOOKUP(D141,CAARStatus!$A$2:$AA$1600,6,FALSE),"Pending"),"Pending")</f>
        <v>45758</v>
      </c>
      <c r="AE141" s="5" t="str">
        <f t="shared" si="56"/>
        <v>4501101861</v>
      </c>
      <c r="AF141" s="5" t="str">
        <f t="shared" si="57"/>
        <v>Barrick Gold - Pueblo Viejo Dominicana Corporation</v>
      </c>
      <c r="AG141" s="5" t="str">
        <f t="shared" si="58"/>
        <v>USD</v>
      </c>
      <c r="AH141" s="5">
        <f t="shared" si="59"/>
        <v>22748.778120402549</v>
      </c>
      <c r="AI141" s="12">
        <f>IF(L141-N141=0,VLOOKUP(U141,rate!A$4:B$15,2,FALSE)*AH141,IF(AG141="USD",O141,AH141*Y141))</f>
        <v>15580.5</v>
      </c>
      <c r="AJ141" s="13">
        <f t="shared" si="60"/>
        <v>0.68489392782051961</v>
      </c>
      <c r="AK141" s="13">
        <f>-IF(AG141="CAD",IFERROR(VLOOKUP(D141,CAARStatus!$A$1:$Y$1600,16,FALSE),0),0)</f>
        <v>0</v>
      </c>
      <c r="AL141" s="13">
        <f>-IF(AG141="USD",IFERROR(VLOOKUP(D141,CAARStatus!$A$1:$Y$1600,11,FALSE),0),0)</f>
        <v>-15580.5</v>
      </c>
      <c r="AM141" s="22" t="str">
        <f t="shared" si="61"/>
        <v/>
      </c>
      <c r="AN141" s="12">
        <f t="shared" si="62"/>
        <v>0</v>
      </c>
      <c r="AO141" s="12" t="str">
        <f t="shared" si="63"/>
        <v>Yes</v>
      </c>
      <c r="AP141" t="str">
        <f t="shared" si="48"/>
        <v>Yes</v>
      </c>
      <c r="AQ141" t="str">
        <f>IFERROR(VLOOKUP(Z141,InvBal!$L$4:$P$600,4,FALSE),"Pend")</f>
        <v>Pend</v>
      </c>
      <c r="AR141" t="str">
        <f>IFERROR(VLOOKUP(D141,Manual!$C$1:$E$22,2,FALSE),"Pend")</f>
        <v>Pend</v>
      </c>
      <c r="AS141" t="str">
        <f t="shared" si="64"/>
        <v>Yes</v>
      </c>
      <c r="AT141" t="str">
        <f t="shared" si="65"/>
        <v>Yes</v>
      </c>
      <c r="AU141" s="51" t="str">
        <f t="shared" si="66"/>
        <v>Yes</v>
      </c>
      <c r="AV141" s="12">
        <f>IFERROR(VLOOKUP(D141,'Receivable Invoice Detail'!$S$1:$U$3014,3,FALSE),0)</f>
        <v>0</v>
      </c>
      <c r="AW141" s="12">
        <f t="shared" si="67"/>
        <v>15580.5</v>
      </c>
    </row>
    <row r="142" spans="1:49" x14ac:dyDescent="0.25">
      <c r="A142" s="2">
        <v>2</v>
      </c>
      <c r="B142" s="2" t="s">
        <v>2060</v>
      </c>
      <c r="C142" s="2" t="s">
        <v>2061</v>
      </c>
      <c r="D142" s="2" t="s">
        <v>2389</v>
      </c>
      <c r="E142" s="2" t="s">
        <v>644</v>
      </c>
      <c r="F142" s="3">
        <v>45692.508703703701</v>
      </c>
      <c r="G142" s="3">
        <v>45692.740787037037</v>
      </c>
      <c r="H142" s="4">
        <v>45769</v>
      </c>
      <c r="I142" s="2" t="s">
        <v>21</v>
      </c>
      <c r="J142" s="2" t="s">
        <v>51</v>
      </c>
      <c r="K142" s="2">
        <v>0.68489392782051961</v>
      </c>
      <c r="L142" s="2">
        <v>5976.3998974636061</v>
      </c>
      <c r="M142" s="2">
        <v>0</v>
      </c>
      <c r="N142" s="2">
        <v>4093.2</v>
      </c>
      <c r="O142" s="2">
        <v>4093.2</v>
      </c>
      <c r="P142" s="2"/>
      <c r="Q142" s="2">
        <v>4093.2</v>
      </c>
      <c r="R142" s="2" t="s">
        <v>44</v>
      </c>
      <c r="S142" s="2"/>
      <c r="T142" s="2">
        <f t="shared" si="49"/>
        <v>2</v>
      </c>
      <c r="U142" s="18">
        <f t="shared" si="50"/>
        <v>2</v>
      </c>
      <c r="V142" s="18">
        <f t="shared" si="51"/>
        <v>2025</v>
      </c>
      <c r="W142" s="18">
        <f t="shared" si="52"/>
        <v>5</v>
      </c>
      <c r="X142" s="18">
        <f t="shared" si="53"/>
        <v>2025</v>
      </c>
      <c r="Y142" s="2">
        <f t="shared" si="46"/>
        <v>0.68489392782051961</v>
      </c>
      <c r="Z142" t="str">
        <f t="shared" si="47"/>
        <v>SO16537</v>
      </c>
      <c r="AA142" s="11">
        <f t="shared" si="54"/>
        <v>45692.508703703701</v>
      </c>
      <c r="AB142" s="5" t="str">
        <f t="shared" si="55"/>
        <v>INV12832</v>
      </c>
      <c r="AC142" s="5" t="str">
        <f>IFERROR(VLOOKUP(D142,CAARStatus!$A$2:$AA$1600,22,FALSE),"Not invoiced")</f>
        <v>Paid</v>
      </c>
      <c r="AD142" s="11">
        <f>IF(AC142="Paid",IFERROR(VLOOKUP(D142,CAARStatus!$A$2:$AA$1600,6,FALSE),"Pending"),"Pending")</f>
        <v>45792</v>
      </c>
      <c r="AE142" s="5" t="str">
        <f t="shared" si="56"/>
        <v>P-20525</v>
      </c>
      <c r="AF142" s="5" t="str">
        <f t="shared" si="57"/>
        <v>Cartledge &amp; Associates Inc.</v>
      </c>
      <c r="AG142" s="5" t="str">
        <f t="shared" si="58"/>
        <v>USD</v>
      </c>
      <c r="AH142" s="5">
        <f t="shared" si="59"/>
        <v>5976.3998974636061</v>
      </c>
      <c r="AI142" s="12">
        <f>IF(L142-N142=0,VLOOKUP(U142,rate!A$4:B$15,2,FALSE)*AH142,IF(AG142="USD",O142,AH142*Y142))</f>
        <v>4093.2</v>
      </c>
      <c r="AJ142" s="13">
        <f t="shared" si="60"/>
        <v>0.68489392782051961</v>
      </c>
      <c r="AK142" s="13">
        <f>-IF(AG142="CAD",IFERROR(VLOOKUP(D142,CAARStatus!$A$1:$Y$1600,16,FALSE),0),0)</f>
        <v>0</v>
      </c>
      <c r="AL142" s="13">
        <f>-IF(AG142="USD",IFERROR(VLOOKUP(D142,CAARStatus!$A$1:$Y$1600,11,FALSE),0),0)</f>
        <v>-3069.9</v>
      </c>
      <c r="AM142" s="22" t="str">
        <f t="shared" si="61"/>
        <v/>
      </c>
      <c r="AN142" s="12">
        <f t="shared" si="62"/>
        <v>1023.2999999999997</v>
      </c>
      <c r="AO142" s="12" t="str">
        <f t="shared" si="63"/>
        <v>Yes</v>
      </c>
      <c r="AP142" t="str">
        <f t="shared" si="48"/>
        <v>XX</v>
      </c>
      <c r="AQ142" t="str">
        <f>IFERROR(VLOOKUP(Z142,InvBal!$L$4:$P$600,4,FALSE),"Pend")</f>
        <v>Yes</v>
      </c>
      <c r="AR142" t="str">
        <f>IFERROR(VLOOKUP(D142,Manual!$C$1:$E$22,2,FALSE),"Pend")</f>
        <v>Pend</v>
      </c>
      <c r="AS142" t="str">
        <f t="shared" si="64"/>
        <v>Yes</v>
      </c>
      <c r="AT142" t="str">
        <f t="shared" si="65"/>
        <v>Yes</v>
      </c>
      <c r="AU142" s="51" t="str">
        <f t="shared" si="66"/>
        <v>Yes</v>
      </c>
      <c r="AV142" s="12">
        <f>IFERROR(VLOOKUP(D142,'Receivable Invoice Detail'!$S$1:$U$3014,3,FALSE),0)</f>
        <v>0</v>
      </c>
      <c r="AW142" s="12">
        <f t="shared" si="67"/>
        <v>4093.2</v>
      </c>
    </row>
    <row r="143" spans="1:49" x14ac:dyDescent="0.25">
      <c r="A143" s="2"/>
      <c r="B143" s="2"/>
      <c r="C143" s="2"/>
      <c r="D143" s="2" t="s">
        <v>2388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>
        <f t="shared" si="49"/>
        <v>2</v>
      </c>
      <c r="U143" s="18">
        <f t="shared" si="50"/>
        <v>2</v>
      </c>
      <c r="V143" s="18">
        <f t="shared" si="51"/>
        <v>2025</v>
      </c>
      <c r="W143" s="18">
        <f t="shared" si="52"/>
        <v>4</v>
      </c>
      <c r="X143" s="18">
        <f t="shared" si="53"/>
        <v>2025</v>
      </c>
      <c r="Y143" s="2">
        <f t="shared" si="46"/>
        <v>0.68489392782051961</v>
      </c>
      <c r="Z143" t="str">
        <f t="shared" si="47"/>
        <v>SO16537</v>
      </c>
      <c r="AA143" s="11">
        <f t="shared" si="54"/>
        <v>45692.508703703701</v>
      </c>
      <c r="AB143" s="5" t="str">
        <f t="shared" si="55"/>
        <v>INV12605</v>
      </c>
      <c r="AC143" s="5" t="str">
        <f>IFERROR(VLOOKUP(D143,CAARStatus!$A$2:$AA$1600,22,FALSE),"Not invoiced")</f>
        <v>Paid</v>
      </c>
      <c r="AD143" s="11">
        <f>IF(AC143="Paid",IFERROR(VLOOKUP(D143,CAARStatus!$A$2:$AA$1600,6,FALSE),"Pending"),"Pending")</f>
        <v>45754</v>
      </c>
      <c r="AE143" s="5" t="str">
        <f t="shared" si="56"/>
        <v>P-20525</v>
      </c>
      <c r="AF143" s="5" t="str">
        <f t="shared" si="57"/>
        <v>Cartledge &amp; Associates Inc.</v>
      </c>
      <c r="AG143" s="5" t="str">
        <f t="shared" si="58"/>
        <v>USD</v>
      </c>
      <c r="AH143" s="5">
        <f t="shared" si="59"/>
        <v>0</v>
      </c>
      <c r="AI143" s="12">
        <f>IF(L143-N143=0,VLOOKUP(U143,rate!A$4:B$15,2,FALSE)*AH143,IF(AG143="USD",O143,AH143*Y143))</f>
        <v>0</v>
      </c>
      <c r="AJ143" s="13">
        <f t="shared" si="60"/>
        <v>0</v>
      </c>
      <c r="AK143" s="13">
        <f>-IF(AG143="CAD",IFERROR(VLOOKUP(D143,CAARStatus!$A$1:$Y$1600,16,FALSE),0),0)</f>
        <v>0</v>
      </c>
      <c r="AL143" s="13">
        <f>-IF(AG143="USD",IFERROR(VLOOKUP(D143,CAARStatus!$A$1:$Y$1600,11,FALSE),0),0)</f>
        <v>-1023.3</v>
      </c>
      <c r="AM143" s="22" t="str">
        <f t="shared" si="61"/>
        <v/>
      </c>
      <c r="AN143" s="12">
        <f t="shared" si="62"/>
        <v>-1023.3</v>
      </c>
      <c r="AO143" s="12" t="str">
        <f t="shared" si="63"/>
        <v>Yes</v>
      </c>
      <c r="AP143" t="str">
        <f t="shared" si="48"/>
        <v>XX</v>
      </c>
      <c r="AQ143" t="str">
        <f>IFERROR(VLOOKUP(Z143,InvBal!$L$4:$P$600,4,FALSE),"Pend")</f>
        <v>Yes</v>
      </c>
      <c r="AR143" t="str">
        <f>IFERROR(VLOOKUP(D143,Manual!$C$1:$E$22,2,FALSE),"Pend")</f>
        <v>Pend</v>
      </c>
      <c r="AS143" t="str">
        <f t="shared" si="64"/>
        <v>Yes</v>
      </c>
      <c r="AT143" t="str">
        <f t="shared" si="65"/>
        <v/>
      </c>
      <c r="AU143" s="51" t="str">
        <f t="shared" si="66"/>
        <v/>
      </c>
      <c r="AV143" s="12">
        <f>IFERROR(VLOOKUP(D143,'Receivable Invoice Detail'!$S$1:$U$3014,3,FALSE),0)</f>
        <v>0</v>
      </c>
      <c r="AW143" s="12">
        <f t="shared" si="67"/>
        <v>0</v>
      </c>
    </row>
    <row r="144" spans="1:49" x14ac:dyDescent="0.25">
      <c r="A144" s="2">
        <v>1</v>
      </c>
      <c r="B144" s="2" t="s">
        <v>2062</v>
      </c>
      <c r="C144" s="2" t="s">
        <v>2063</v>
      </c>
      <c r="D144" s="2" t="s">
        <v>2387</v>
      </c>
      <c r="E144" s="2" t="s">
        <v>465</v>
      </c>
      <c r="F144" s="3">
        <v>45692.598634259259</v>
      </c>
      <c r="G144" s="3">
        <v>45692.599918981483</v>
      </c>
      <c r="H144" s="4">
        <v>45693</v>
      </c>
      <c r="I144" s="2" t="s">
        <v>21</v>
      </c>
      <c r="J144" s="2" t="s">
        <v>22</v>
      </c>
      <c r="K144" s="2">
        <v>1</v>
      </c>
      <c r="L144" s="2">
        <v>505.23</v>
      </c>
      <c r="M144" s="2">
        <v>0</v>
      </c>
      <c r="N144" s="2">
        <v>352.80671767308098</v>
      </c>
      <c r="O144" s="2">
        <v>447.11</v>
      </c>
      <c r="P144" s="2">
        <v>58.12</v>
      </c>
      <c r="Q144" s="2">
        <v>505.23</v>
      </c>
      <c r="R144" s="2" t="s">
        <v>44</v>
      </c>
      <c r="S144" s="2"/>
      <c r="T144" s="2">
        <f t="shared" si="49"/>
        <v>1</v>
      </c>
      <c r="U144" s="18">
        <f t="shared" si="50"/>
        <v>2</v>
      </c>
      <c r="V144" s="18">
        <f t="shared" si="51"/>
        <v>2025</v>
      </c>
      <c r="W144" s="18">
        <f t="shared" si="52"/>
        <v>3</v>
      </c>
      <c r="X144" s="18">
        <f t="shared" si="53"/>
        <v>2025</v>
      </c>
      <c r="Y144" s="2">
        <f t="shared" si="46"/>
        <v>0.69830912193076611</v>
      </c>
      <c r="Z144" t="str">
        <f t="shared" si="47"/>
        <v>SO16539</v>
      </c>
      <c r="AA144" s="11">
        <f t="shared" si="54"/>
        <v>45692.598634259259</v>
      </c>
      <c r="AB144" s="5" t="str">
        <f t="shared" si="55"/>
        <v>INV12603</v>
      </c>
      <c r="AC144" s="5" t="str">
        <f>IFERROR(VLOOKUP(D144,CAARStatus!$A$2:$AA$1600,22,FALSE),"Not invoiced")</f>
        <v>Paid</v>
      </c>
      <c r="AD144" s="11">
        <f>IF(AC144="Paid",IFERROR(VLOOKUP(D144,CAARStatus!$A$2:$AA$1600,6,FALSE),"Pending"),"Pending")</f>
        <v>45726</v>
      </c>
      <c r="AE144" s="5" t="str">
        <f t="shared" si="56"/>
        <v>068612</v>
      </c>
      <c r="AF144" s="5" t="str">
        <f t="shared" si="57"/>
        <v>Grant Aggregate</v>
      </c>
      <c r="AG144" s="5" t="str">
        <f t="shared" si="58"/>
        <v>CAD</v>
      </c>
      <c r="AH144" s="5">
        <f t="shared" si="59"/>
        <v>447.11</v>
      </c>
      <c r="AI144" s="12">
        <f>IF(L144-N144=0,VLOOKUP(U144,rate!A$4:B$15,2,FALSE)*AH144,IF(AG144="USD",O144,AH144*Y144))</f>
        <v>312.22099150646483</v>
      </c>
      <c r="AJ144" s="13">
        <f t="shared" si="60"/>
        <v>0.69830912193076611</v>
      </c>
      <c r="AK144" s="13">
        <f>-IF(AG144="CAD",IFERROR(VLOOKUP(D144,CAARStatus!$A$1:$Y$1600,16,FALSE),0),0)</f>
        <v>-447.11</v>
      </c>
      <c r="AL144" s="13">
        <f>-IF(AG144="USD",IFERROR(VLOOKUP(D144,CAARStatus!$A$1:$Y$1600,11,FALSE),0),0)</f>
        <v>0</v>
      </c>
      <c r="AM144" s="22">
        <f t="shared" si="61"/>
        <v>0</v>
      </c>
      <c r="AN144" s="12" t="str">
        <f t="shared" si="62"/>
        <v/>
      </c>
      <c r="AO144" s="12" t="str">
        <f t="shared" si="63"/>
        <v>Yes</v>
      </c>
      <c r="AP144" t="str">
        <f t="shared" si="48"/>
        <v>Yes</v>
      </c>
      <c r="AQ144" t="str">
        <f>IFERROR(VLOOKUP(Z144,InvBal!$L$4:$P$600,4,FALSE),"Pend")</f>
        <v>Pend</v>
      </c>
      <c r="AR144" t="str">
        <f>IFERROR(VLOOKUP(D144,Manual!$C$1:$E$22,2,FALSE),"Pend")</f>
        <v>Pend</v>
      </c>
      <c r="AS144" t="str">
        <f t="shared" si="64"/>
        <v>Yes</v>
      </c>
      <c r="AT144" t="str">
        <f t="shared" si="65"/>
        <v>Yes</v>
      </c>
      <c r="AU144" s="51" t="str">
        <f t="shared" si="66"/>
        <v>Yes</v>
      </c>
      <c r="AV144" s="12">
        <f>IFERROR(VLOOKUP(D144,'Receivable Invoice Detail'!$S$1:$U$3014,3,FALSE),0)</f>
        <v>0</v>
      </c>
      <c r="AW144" s="12">
        <f t="shared" si="67"/>
        <v>312.22099150646483</v>
      </c>
    </row>
    <row r="145" spans="1:49" ht="30" x14ac:dyDescent="0.25">
      <c r="A145" s="2">
        <v>2</v>
      </c>
      <c r="B145" s="2" t="s">
        <v>1501</v>
      </c>
      <c r="C145" s="2" t="s">
        <v>1502</v>
      </c>
      <c r="D145" s="2" t="s">
        <v>2712</v>
      </c>
      <c r="E145" s="2" t="s">
        <v>86</v>
      </c>
      <c r="F145" s="3">
        <v>45693.534907407397</v>
      </c>
      <c r="G145" s="3">
        <v>45778.44158564815</v>
      </c>
      <c r="H145" s="4">
        <v>45855</v>
      </c>
      <c r="I145" s="2" t="s">
        <v>21</v>
      </c>
      <c r="J145" s="2" t="s">
        <v>22</v>
      </c>
      <c r="K145" s="2">
        <v>1</v>
      </c>
      <c r="L145" s="2">
        <v>7864.84</v>
      </c>
      <c r="M145" s="2">
        <v>0</v>
      </c>
      <c r="N145" s="2">
        <v>5679.2136625299991</v>
      </c>
      <c r="O145" s="2">
        <v>7490.32</v>
      </c>
      <c r="P145" s="2">
        <v>374.52</v>
      </c>
      <c r="Q145" s="2">
        <v>7864.84</v>
      </c>
      <c r="R145" s="2" t="s">
        <v>44</v>
      </c>
      <c r="S145" s="2"/>
      <c r="T145" s="2">
        <f t="shared" si="49"/>
        <v>2</v>
      </c>
      <c r="U145" s="18">
        <f t="shared" si="50"/>
        <v>2</v>
      </c>
      <c r="V145" s="18">
        <f t="shared" si="51"/>
        <v>2025</v>
      </c>
      <c r="W145" s="18">
        <f t="shared" si="52"/>
        <v>6</v>
      </c>
      <c r="X145" s="18">
        <f t="shared" si="53"/>
        <v>2025</v>
      </c>
      <c r="Y145" s="2">
        <f t="shared" si="46"/>
        <v>0.72210161459482947</v>
      </c>
      <c r="Z145" t="str">
        <f t="shared" si="47"/>
        <v>SO16544</v>
      </c>
      <c r="AA145" s="11">
        <f t="shared" si="54"/>
        <v>45693.534907407397</v>
      </c>
      <c r="AB145" s="5" t="str">
        <f t="shared" si="55"/>
        <v>INV12940</v>
      </c>
      <c r="AC145" s="5" t="str">
        <f>IFERROR(VLOOKUP(D145,CAARStatus!$A$2:$AA$1600,22,FALSE),"Not invoiced")</f>
        <v>Paid</v>
      </c>
      <c r="AD145" s="11">
        <f>IF(AC145="Paid",IFERROR(VLOOKUP(D145,CAARStatus!$A$2:$AA$1600,6,FALSE),"Pending"),"Pending")</f>
        <v>45810</v>
      </c>
      <c r="AE145" s="5" t="str">
        <f t="shared" si="56"/>
        <v>MB21-00189084</v>
      </c>
      <c r="AF145" s="5" t="str">
        <f t="shared" si="57"/>
        <v>Motion Industries Inc. (Canada) - Winnipeg</v>
      </c>
      <c r="AG145" s="5" t="str">
        <f t="shared" si="58"/>
        <v>CAD</v>
      </c>
      <c r="AH145" s="5">
        <f t="shared" si="59"/>
        <v>7490.32</v>
      </c>
      <c r="AI145" s="12">
        <f>IF(L145-N145=0,VLOOKUP(U145,rate!A$4:B$15,2,FALSE)*AH145,IF(AG145="USD",O145,AH145*Y145))</f>
        <v>5408.7721658319424</v>
      </c>
      <c r="AJ145" s="13">
        <f t="shared" si="60"/>
        <v>0.72210161459482936</v>
      </c>
      <c r="AK145" s="13">
        <f>-IF(AG145="CAD",IFERROR(VLOOKUP(D145,CAARStatus!$A$1:$Y$1600,16,FALSE),0),0)</f>
        <v>-92.22</v>
      </c>
      <c r="AL145" s="13">
        <f>-IF(AG145="USD",IFERROR(VLOOKUP(D145,CAARStatus!$A$1:$Y$1600,11,FALSE),0),0)</f>
        <v>0</v>
      </c>
      <c r="AM145" s="22">
        <f t="shared" si="61"/>
        <v>7398.0999999999995</v>
      </c>
      <c r="AN145" s="12" t="str">
        <f t="shared" si="62"/>
        <v/>
      </c>
      <c r="AO145" s="12" t="str">
        <f t="shared" si="63"/>
        <v>Yes</v>
      </c>
      <c r="AP145" t="str">
        <f t="shared" si="48"/>
        <v>XX</v>
      </c>
      <c r="AQ145" t="str">
        <f>IFERROR(VLOOKUP(Z145,InvBal!$L$4:$P$600,4,FALSE),"Pend")</f>
        <v>Yes</v>
      </c>
      <c r="AR145" t="str">
        <f>IFERROR(VLOOKUP(D145,Manual!$C$1:$E$22,2,FALSE),"Pend")</f>
        <v>Pend</v>
      </c>
      <c r="AS145" t="str">
        <f t="shared" si="64"/>
        <v>Yes</v>
      </c>
      <c r="AT145" t="str">
        <f t="shared" si="65"/>
        <v>Yes</v>
      </c>
      <c r="AU145" s="51" t="str">
        <f t="shared" si="66"/>
        <v>Yes</v>
      </c>
      <c r="AV145" s="12">
        <f>IFERROR(VLOOKUP(D145,'Receivable Invoice Detail'!$S$1:$U$3014,3,FALSE),0)</f>
        <v>0</v>
      </c>
      <c r="AW145" s="12">
        <f t="shared" si="67"/>
        <v>5408.7721658319424</v>
      </c>
    </row>
    <row r="146" spans="1:49" x14ac:dyDescent="0.25">
      <c r="A146" s="2"/>
      <c r="B146" s="2"/>
      <c r="C146" s="2"/>
      <c r="D146" s="2" t="s">
        <v>2711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>
        <f t="shared" si="49"/>
        <v>2</v>
      </c>
      <c r="U146" s="18">
        <f t="shared" si="50"/>
        <v>2</v>
      </c>
      <c r="V146" s="18">
        <f t="shared" si="51"/>
        <v>2025</v>
      </c>
      <c r="W146" s="18">
        <f t="shared" si="52"/>
        <v>9</v>
      </c>
      <c r="X146" s="18">
        <f t="shared" si="53"/>
        <v>2025</v>
      </c>
      <c r="Y146" s="2">
        <f t="shared" si="46"/>
        <v>0.72210161459482947</v>
      </c>
      <c r="Z146" t="str">
        <f t="shared" si="47"/>
        <v>SO16544</v>
      </c>
      <c r="AA146" s="11">
        <f t="shared" si="54"/>
        <v>45693.534907407397</v>
      </c>
      <c r="AB146" s="5" t="str">
        <f t="shared" si="55"/>
        <v>INV13261</v>
      </c>
      <c r="AC146" s="5" t="str">
        <f>IFERROR(VLOOKUP(D146,CAARStatus!$A$2:$AA$1600,22,FALSE),"Not invoiced")</f>
        <v>Paid</v>
      </c>
      <c r="AD146" s="11">
        <f>IF(AC146="Paid",IFERROR(VLOOKUP(D146,CAARStatus!$A$2:$AA$1600,6,FALSE),"Pending"),"Pending")</f>
        <v>45904</v>
      </c>
      <c r="AE146" s="5" t="str">
        <f t="shared" si="56"/>
        <v>MB21-00189084</v>
      </c>
      <c r="AF146" s="5" t="str">
        <f t="shared" si="57"/>
        <v>Motion Industries Inc. (Canada) - Winnipeg</v>
      </c>
      <c r="AG146" s="5" t="str">
        <f t="shared" si="58"/>
        <v>CAD</v>
      </c>
      <c r="AH146" s="5">
        <f t="shared" si="59"/>
        <v>0</v>
      </c>
      <c r="AI146" s="12">
        <f>IF(L146-N146=0,VLOOKUP(U146,rate!A$4:B$15,2,FALSE)*AH146,IF(AG146="USD",O146,AH146*Y146))</f>
        <v>0</v>
      </c>
      <c r="AJ146" s="13">
        <f t="shared" si="60"/>
        <v>0</v>
      </c>
      <c r="AK146" s="13">
        <f>-IF(AG146="CAD",IFERROR(VLOOKUP(D146,CAARStatus!$A$1:$Y$1600,16,FALSE),0),0)</f>
        <v>-7398.1</v>
      </c>
      <c r="AL146" s="13">
        <f>-IF(AG146="USD",IFERROR(VLOOKUP(D146,CAARStatus!$A$1:$Y$1600,11,FALSE),0),0)</f>
        <v>0</v>
      </c>
      <c r="AM146" s="22">
        <f t="shared" si="61"/>
        <v>-7398.1</v>
      </c>
      <c r="AN146" s="12" t="str">
        <f t="shared" si="62"/>
        <v/>
      </c>
      <c r="AO146" s="12" t="str">
        <f t="shared" si="63"/>
        <v>Yes</v>
      </c>
      <c r="AP146" t="str">
        <f t="shared" si="48"/>
        <v>XX</v>
      </c>
      <c r="AQ146" t="str">
        <f>IFERROR(VLOOKUP(Z146,InvBal!$L$4:$P$600,4,FALSE),"Pend")</f>
        <v>Yes</v>
      </c>
      <c r="AR146" t="str">
        <f>IFERROR(VLOOKUP(D146,Manual!$C$1:$E$22,2,FALSE),"Pend")</f>
        <v>Pend</v>
      </c>
      <c r="AS146" t="str">
        <f t="shared" si="64"/>
        <v>Yes</v>
      </c>
      <c r="AT146" t="str">
        <f t="shared" si="65"/>
        <v/>
      </c>
      <c r="AU146" s="51" t="str">
        <f t="shared" si="66"/>
        <v/>
      </c>
      <c r="AV146" s="12">
        <f>IFERROR(VLOOKUP(D146,'Receivable Invoice Detail'!$S$1:$U$3014,3,FALSE),0)</f>
        <v>0</v>
      </c>
      <c r="AW146" s="12">
        <f t="shared" si="67"/>
        <v>0</v>
      </c>
    </row>
    <row r="147" spans="1:49" x14ac:dyDescent="0.25">
      <c r="A147" s="2">
        <v>1</v>
      </c>
      <c r="B147" s="2" t="s">
        <v>2054</v>
      </c>
      <c r="C147" s="2" t="s">
        <v>2055</v>
      </c>
      <c r="D147" s="2" t="s">
        <v>2392</v>
      </c>
      <c r="E147" s="2" t="s">
        <v>245</v>
      </c>
      <c r="F147" s="3">
        <v>45693.536840277768</v>
      </c>
      <c r="G147" s="3">
        <v>45693.715254629627</v>
      </c>
      <c r="H147" s="4">
        <v>45777</v>
      </c>
      <c r="I147" s="2" t="s">
        <v>21</v>
      </c>
      <c r="J147" s="2" t="s">
        <v>22</v>
      </c>
      <c r="K147" s="2">
        <v>1</v>
      </c>
      <c r="L147" s="2">
        <v>4559.7299999999996</v>
      </c>
      <c r="M147" s="2">
        <v>0</v>
      </c>
      <c r="N147" s="2">
        <v>3192.2113441296779</v>
      </c>
      <c r="O147" s="2">
        <v>4342.6000000000004</v>
      </c>
      <c r="P147" s="2">
        <v>217.13</v>
      </c>
      <c r="Q147" s="2">
        <v>4559.7299999999996</v>
      </c>
      <c r="R147" s="2" t="s">
        <v>44</v>
      </c>
      <c r="S147" s="2"/>
      <c r="T147" s="2">
        <f t="shared" si="49"/>
        <v>1</v>
      </c>
      <c r="U147" s="18">
        <f t="shared" si="50"/>
        <v>2</v>
      </c>
      <c r="V147" s="18">
        <f t="shared" si="51"/>
        <v>2025</v>
      </c>
      <c r="W147" s="18">
        <f t="shared" si="52"/>
        <v>7</v>
      </c>
      <c r="X147" s="18">
        <f t="shared" si="53"/>
        <v>2025</v>
      </c>
      <c r="Y147" s="2">
        <f t="shared" si="46"/>
        <v>0.70008779996396242</v>
      </c>
      <c r="Z147" t="str">
        <f t="shared" si="47"/>
        <v>SO16545</v>
      </c>
      <c r="AA147" s="11">
        <f t="shared" si="54"/>
        <v>45693.536840277768</v>
      </c>
      <c r="AB147" s="5" t="str">
        <f t="shared" si="55"/>
        <v>INV13030</v>
      </c>
      <c r="AC147" s="5" t="str">
        <f>IFERROR(VLOOKUP(D147,CAARStatus!$A$2:$AA$1600,22,FALSE),"Not invoiced")</f>
        <v>Paid</v>
      </c>
      <c r="AD147" s="11">
        <f>IF(AC147="Paid",IFERROR(VLOOKUP(D147,CAARStatus!$A$2:$AA$1600,6,FALSE),"Pending"),"Pending")</f>
        <v>45841</v>
      </c>
      <c r="AE147" s="5" t="str">
        <f t="shared" si="56"/>
        <v>21316</v>
      </c>
      <c r="AF147" s="5" t="str">
        <f t="shared" si="57"/>
        <v>DRN Industriel</v>
      </c>
      <c r="AG147" s="5" t="str">
        <f t="shared" si="58"/>
        <v>CAD</v>
      </c>
      <c r="AH147" s="5">
        <f t="shared" si="59"/>
        <v>4342.6000000000004</v>
      </c>
      <c r="AI147" s="12">
        <f>IF(L147-N147=0,VLOOKUP(U147,rate!A$4:B$15,2,FALSE)*AH147,IF(AG147="USD",O147,AH147*Y147))</f>
        <v>3040.2012801235032</v>
      </c>
      <c r="AJ147" s="13">
        <f t="shared" si="60"/>
        <v>0.70008779996396242</v>
      </c>
      <c r="AK147" s="13">
        <f>-IF(AG147="CAD",IFERROR(VLOOKUP(D147,CAARStatus!$A$1:$Y$1600,16,FALSE),0),0)</f>
        <v>-4342.6000000000004</v>
      </c>
      <c r="AL147" s="13">
        <f>-IF(AG147="USD",IFERROR(VLOOKUP(D147,CAARStatus!$A$1:$Y$1600,11,FALSE),0),0)</f>
        <v>0</v>
      </c>
      <c r="AM147" s="22">
        <f t="shared" si="61"/>
        <v>0</v>
      </c>
      <c r="AN147" s="12" t="str">
        <f t="shared" si="62"/>
        <v/>
      </c>
      <c r="AO147" s="12" t="str">
        <f t="shared" si="63"/>
        <v>Yes</v>
      </c>
      <c r="AP147" t="str">
        <f t="shared" si="48"/>
        <v>Yes</v>
      </c>
      <c r="AQ147" t="str">
        <f>IFERROR(VLOOKUP(Z147,InvBal!$L$4:$P$600,4,FALSE),"Pend")</f>
        <v>Pend</v>
      </c>
      <c r="AR147" t="str">
        <f>IFERROR(VLOOKUP(D147,Manual!$C$1:$E$22,2,FALSE),"Pend")</f>
        <v>Pend</v>
      </c>
      <c r="AS147" t="str">
        <f t="shared" si="64"/>
        <v>Yes</v>
      </c>
      <c r="AT147" t="str">
        <f t="shared" si="65"/>
        <v>Yes</v>
      </c>
      <c r="AU147" s="51" t="str">
        <f t="shared" si="66"/>
        <v>Yes</v>
      </c>
      <c r="AV147" s="12">
        <f>IFERROR(VLOOKUP(D147,'Receivable Invoice Detail'!$S$1:$U$3014,3,FALSE),0)</f>
        <v>0</v>
      </c>
      <c r="AW147" s="12">
        <f t="shared" si="67"/>
        <v>3040.2012801235032</v>
      </c>
    </row>
    <row r="148" spans="1:49" ht="30" x14ac:dyDescent="0.25">
      <c r="A148" s="2">
        <v>1</v>
      </c>
      <c r="B148" s="2" t="s">
        <v>2052</v>
      </c>
      <c r="C148" s="2" t="s">
        <v>2053</v>
      </c>
      <c r="D148" s="2" t="s">
        <v>2393</v>
      </c>
      <c r="E148" s="2" t="s">
        <v>159</v>
      </c>
      <c r="F148" s="3">
        <v>45693.596678240741</v>
      </c>
      <c r="G148" s="3">
        <v>45693.721574074072</v>
      </c>
      <c r="H148" s="4">
        <v>45707</v>
      </c>
      <c r="I148" s="2" t="s">
        <v>426</v>
      </c>
      <c r="J148" s="2" t="s">
        <v>51</v>
      </c>
      <c r="K148" s="2">
        <v>0.69830912193076611</v>
      </c>
      <c r="L148" s="2">
        <v>29631.719463706959</v>
      </c>
      <c r="M148" s="2">
        <v>0</v>
      </c>
      <c r="N148" s="2">
        <v>20692.099999999999</v>
      </c>
      <c r="O148" s="2">
        <v>20692.099999999999</v>
      </c>
      <c r="P148" s="2"/>
      <c r="Q148" s="2">
        <v>20692.099999999999</v>
      </c>
      <c r="R148" s="2" t="s">
        <v>44</v>
      </c>
      <c r="S148" s="2"/>
      <c r="T148" s="2">
        <f t="shared" si="49"/>
        <v>1</v>
      </c>
      <c r="U148" s="18">
        <f t="shared" si="50"/>
        <v>2</v>
      </c>
      <c r="V148" s="18">
        <f t="shared" si="51"/>
        <v>2025</v>
      </c>
      <c r="W148" s="18">
        <f t="shared" si="52"/>
        <v>4</v>
      </c>
      <c r="X148" s="18">
        <f t="shared" si="53"/>
        <v>2025</v>
      </c>
      <c r="Y148" s="2">
        <f t="shared" si="46"/>
        <v>0.69830912193076611</v>
      </c>
      <c r="Z148" t="str">
        <f t="shared" si="47"/>
        <v>SO16546</v>
      </c>
      <c r="AA148" s="11">
        <f t="shared" si="54"/>
        <v>45693.596678240741</v>
      </c>
      <c r="AB148" s="5" t="str">
        <f t="shared" si="55"/>
        <v>INV12646</v>
      </c>
      <c r="AC148" s="5" t="str">
        <f>IFERROR(VLOOKUP(D148,CAARStatus!$A$2:$AA$1600,22,FALSE),"Not invoiced")</f>
        <v>Paid</v>
      </c>
      <c r="AD148" s="11">
        <f>IF(AC148="Paid",IFERROR(VLOOKUP(D148,CAARStatus!$A$2:$AA$1600,6,FALSE),"Pending"),"Pending")</f>
        <v>45758</v>
      </c>
      <c r="AE148" s="5" t="str">
        <f t="shared" si="56"/>
        <v>4501102834</v>
      </c>
      <c r="AF148" s="5" t="str">
        <f t="shared" si="57"/>
        <v>Barrick Gold - Pueblo Viejo Dominicana Corporation</v>
      </c>
      <c r="AG148" s="5" t="str">
        <f t="shared" si="58"/>
        <v>USD</v>
      </c>
      <c r="AH148" s="5">
        <f t="shared" si="59"/>
        <v>29631.719463706959</v>
      </c>
      <c r="AI148" s="12">
        <f>IF(L148-N148=0,VLOOKUP(U148,rate!A$4:B$15,2,FALSE)*AH148,IF(AG148="USD",O148,AH148*Y148))</f>
        <v>20692.099999999999</v>
      </c>
      <c r="AJ148" s="13">
        <f t="shared" si="60"/>
        <v>0.69830912193076611</v>
      </c>
      <c r="AK148" s="13">
        <f>-IF(AG148="CAD",IFERROR(VLOOKUP(D148,CAARStatus!$A$1:$Y$1600,16,FALSE),0),0)</f>
        <v>0</v>
      </c>
      <c r="AL148" s="13">
        <f>-IF(AG148="USD",IFERROR(VLOOKUP(D148,CAARStatus!$A$1:$Y$1600,11,FALSE),0),0)</f>
        <v>-20692.099999999999</v>
      </c>
      <c r="AM148" s="22" t="str">
        <f t="shared" si="61"/>
        <v/>
      </c>
      <c r="AN148" s="12">
        <f t="shared" si="62"/>
        <v>0</v>
      </c>
      <c r="AO148" s="12" t="str">
        <f t="shared" si="63"/>
        <v>Yes</v>
      </c>
      <c r="AP148" t="str">
        <f t="shared" si="48"/>
        <v>Yes</v>
      </c>
      <c r="AQ148" t="str">
        <f>IFERROR(VLOOKUP(Z148,InvBal!$L$4:$P$600,4,FALSE),"Pend")</f>
        <v>Pend</v>
      </c>
      <c r="AR148" t="str">
        <f>IFERROR(VLOOKUP(D148,Manual!$C$1:$E$22,2,FALSE),"Pend")</f>
        <v>Pend</v>
      </c>
      <c r="AS148" t="str">
        <f t="shared" si="64"/>
        <v>Yes</v>
      </c>
      <c r="AT148" t="str">
        <f t="shared" si="65"/>
        <v>Yes</v>
      </c>
      <c r="AU148" s="51" t="str">
        <f t="shared" si="66"/>
        <v>Yes</v>
      </c>
      <c r="AV148" s="12">
        <f>IFERROR(VLOOKUP(D148,'Receivable Invoice Detail'!$S$1:$U$3014,3,FALSE),0)</f>
        <v>0</v>
      </c>
      <c r="AW148" s="12">
        <f t="shared" si="67"/>
        <v>20692.099999999999</v>
      </c>
    </row>
    <row r="149" spans="1:49" x14ac:dyDescent="0.25">
      <c r="A149" s="2">
        <v>1</v>
      </c>
      <c r="B149" s="2" t="s">
        <v>2056</v>
      </c>
      <c r="C149" s="2" t="s">
        <v>2057</v>
      </c>
      <c r="D149" s="2" t="s">
        <v>2391</v>
      </c>
      <c r="E149" s="2" t="s">
        <v>1423</v>
      </c>
      <c r="F149" s="3">
        <v>45693.602812500001</v>
      </c>
      <c r="G149" s="3">
        <v>45693.60229166667</v>
      </c>
      <c r="H149" s="4">
        <v>45786</v>
      </c>
      <c r="I149" s="2" t="s">
        <v>71</v>
      </c>
      <c r="J149" s="2" t="s">
        <v>51</v>
      </c>
      <c r="K149" s="2">
        <v>0.69830912193076611</v>
      </c>
      <c r="L149" s="2">
        <v>895.69215173736814</v>
      </c>
      <c r="M149" s="2">
        <v>0</v>
      </c>
      <c r="N149" s="2">
        <v>625.47</v>
      </c>
      <c r="O149" s="2">
        <v>625.47</v>
      </c>
      <c r="P149" s="2"/>
      <c r="Q149" s="2">
        <v>625.47</v>
      </c>
      <c r="R149" s="2" t="s">
        <v>44</v>
      </c>
      <c r="S149" s="2"/>
      <c r="T149" s="2">
        <f t="shared" si="49"/>
        <v>1</v>
      </c>
      <c r="U149" s="18">
        <f t="shared" si="50"/>
        <v>2</v>
      </c>
      <c r="V149" s="18">
        <f t="shared" si="51"/>
        <v>2025</v>
      </c>
      <c r="W149" s="18">
        <f t="shared" si="52"/>
        <v>8</v>
      </c>
      <c r="X149" s="18">
        <f t="shared" si="53"/>
        <v>2025</v>
      </c>
      <c r="Y149" s="2">
        <f t="shared" si="46"/>
        <v>0.69830912193076611</v>
      </c>
      <c r="Z149" t="str">
        <f t="shared" si="47"/>
        <v>SO16547</v>
      </c>
      <c r="AA149" s="11">
        <f t="shared" si="54"/>
        <v>45693.602812500001</v>
      </c>
      <c r="AB149" s="5" t="str">
        <f t="shared" si="55"/>
        <v>INV12962</v>
      </c>
      <c r="AC149" s="5" t="str">
        <f>IFERROR(VLOOKUP(D149,CAARStatus!$A$2:$AA$1600,22,FALSE),"Not invoiced")</f>
        <v>Paid</v>
      </c>
      <c r="AD149" s="11">
        <f>IF(AC149="Paid",IFERROR(VLOOKUP(D149,CAARStatus!$A$2:$AA$1600,6,FALSE),"Pending"),"Pending")</f>
        <v>45876</v>
      </c>
      <c r="AE149" s="5" t="str">
        <f t="shared" si="56"/>
        <v>P352270</v>
      </c>
      <c r="AF149" s="5" t="str">
        <f t="shared" si="57"/>
        <v>Covia Corp - Camden</v>
      </c>
      <c r="AG149" s="5" t="str">
        <f t="shared" si="58"/>
        <v>USD</v>
      </c>
      <c r="AH149" s="5">
        <f t="shared" si="59"/>
        <v>895.69215173736814</v>
      </c>
      <c r="AI149" s="12">
        <f>IF(L149-N149=0,VLOOKUP(U149,rate!A$4:B$15,2,FALSE)*AH149,IF(AG149="USD",O149,AH149*Y149))</f>
        <v>625.47</v>
      </c>
      <c r="AJ149" s="13">
        <f t="shared" si="60"/>
        <v>0.69830912193076611</v>
      </c>
      <c r="AK149" s="13">
        <f>-IF(AG149="CAD",IFERROR(VLOOKUP(D149,CAARStatus!$A$1:$Y$1600,16,FALSE),0),0)</f>
        <v>0</v>
      </c>
      <c r="AL149" s="13">
        <f>-IF(AG149="USD",IFERROR(VLOOKUP(D149,CAARStatus!$A$1:$Y$1600,11,FALSE),0),0)</f>
        <v>-625.47</v>
      </c>
      <c r="AM149" s="22" t="str">
        <f t="shared" si="61"/>
        <v/>
      </c>
      <c r="AN149" s="12">
        <f t="shared" si="62"/>
        <v>0</v>
      </c>
      <c r="AO149" s="12" t="str">
        <f t="shared" si="63"/>
        <v>Yes</v>
      </c>
      <c r="AP149" t="str">
        <f t="shared" si="48"/>
        <v>Yes</v>
      </c>
      <c r="AQ149" t="str">
        <f>IFERROR(VLOOKUP(Z149,InvBal!$L$4:$P$600,4,FALSE),"Pend")</f>
        <v>Pend</v>
      </c>
      <c r="AR149" t="str">
        <f>IFERROR(VLOOKUP(D149,Manual!$C$1:$E$22,2,FALSE),"Pend")</f>
        <v>Pend</v>
      </c>
      <c r="AS149" t="str">
        <f t="shared" si="64"/>
        <v>Yes</v>
      </c>
      <c r="AT149" t="str">
        <f t="shared" si="65"/>
        <v>Yes</v>
      </c>
      <c r="AU149" s="51" t="str">
        <f t="shared" si="66"/>
        <v>Yes</v>
      </c>
      <c r="AV149" s="12">
        <f>IFERROR(VLOOKUP(D149,'Receivable Invoice Detail'!$S$1:$U$3014,3,FALSE),0)</f>
        <v>210.47</v>
      </c>
      <c r="AW149" s="12">
        <f t="shared" si="67"/>
        <v>415</v>
      </c>
    </row>
    <row r="150" spans="1:49" ht="30" x14ac:dyDescent="0.25">
      <c r="A150" s="2">
        <v>1</v>
      </c>
      <c r="B150" s="2" t="s">
        <v>2038</v>
      </c>
      <c r="C150" s="2" t="s">
        <v>2039</v>
      </c>
      <c r="D150" s="2" t="s">
        <v>2400</v>
      </c>
      <c r="E150" s="2" t="s">
        <v>20</v>
      </c>
      <c r="F150" s="3">
        <v>45694.383356481478</v>
      </c>
      <c r="G150" s="3">
        <v>45695.489259259259</v>
      </c>
      <c r="H150" s="4">
        <v>45699</v>
      </c>
      <c r="I150" s="2" t="s">
        <v>21</v>
      </c>
      <c r="J150" s="2" t="s">
        <v>22</v>
      </c>
      <c r="K150" s="2">
        <v>1</v>
      </c>
      <c r="L150" s="2">
        <v>4349.0200000000004</v>
      </c>
      <c r="M150" s="2">
        <v>0</v>
      </c>
      <c r="N150" s="2">
        <v>3038.9055911438272</v>
      </c>
      <c r="O150" s="2">
        <v>4141.92</v>
      </c>
      <c r="P150" s="2">
        <v>207.1</v>
      </c>
      <c r="Q150" s="2">
        <v>4349.0200000000004</v>
      </c>
      <c r="R150" s="2" t="s">
        <v>44</v>
      </c>
      <c r="S150" s="2"/>
      <c r="T150" s="2">
        <f t="shared" si="49"/>
        <v>1</v>
      </c>
      <c r="U150" s="18">
        <f t="shared" si="50"/>
        <v>2</v>
      </c>
      <c r="V150" s="18">
        <f t="shared" si="51"/>
        <v>2025</v>
      </c>
      <c r="W150" s="18">
        <f t="shared" si="52"/>
        <v>4</v>
      </c>
      <c r="X150" s="18">
        <f t="shared" si="53"/>
        <v>2025</v>
      </c>
      <c r="Y150" s="2">
        <f t="shared" si="46"/>
        <v>0.69875640745359346</v>
      </c>
      <c r="Z150" t="str">
        <f t="shared" si="47"/>
        <v>SO16549</v>
      </c>
      <c r="AA150" s="11">
        <f t="shared" si="54"/>
        <v>45694.383356481478</v>
      </c>
      <c r="AB150" s="5" t="str">
        <f t="shared" si="55"/>
        <v>INV12613</v>
      </c>
      <c r="AC150" s="5" t="str">
        <f>IFERROR(VLOOKUP(D150,CAARStatus!$A$2:$AA$1600,22,FALSE),"Not invoiced")</f>
        <v>Paid</v>
      </c>
      <c r="AD150" s="11">
        <f>IF(AC150="Paid",IFERROR(VLOOKUP(D150,CAARStatus!$A$2:$AA$1600,6,FALSE),"Pending"),"Pending")</f>
        <v>45758</v>
      </c>
      <c r="AE150" s="5" t="str">
        <f t="shared" si="56"/>
        <v>4500580004</v>
      </c>
      <c r="AF150" s="5" t="str">
        <f t="shared" si="57"/>
        <v>Resolute Forest Products - Saint-Felicien</v>
      </c>
      <c r="AG150" s="5" t="str">
        <f t="shared" si="58"/>
        <v>CAD</v>
      </c>
      <c r="AH150" s="5">
        <f t="shared" si="59"/>
        <v>4141.92</v>
      </c>
      <c r="AI150" s="12">
        <f>IF(L150-N150=0,VLOOKUP(U150,rate!A$4:B$15,2,FALSE)*AH150,IF(AG150="USD",O150,AH150*Y150))</f>
        <v>2894.1931391601879</v>
      </c>
      <c r="AJ150" s="13">
        <f t="shared" si="60"/>
        <v>0.69875640745359346</v>
      </c>
      <c r="AK150" s="13">
        <f>-IF(AG150="CAD",IFERROR(VLOOKUP(D150,CAARStatus!$A$1:$Y$1600,16,FALSE),0),0)</f>
        <v>-4141.92</v>
      </c>
      <c r="AL150" s="13">
        <f>-IF(AG150="USD",IFERROR(VLOOKUP(D150,CAARStatus!$A$1:$Y$1600,11,FALSE),0),0)</f>
        <v>0</v>
      </c>
      <c r="AM150" s="22">
        <f t="shared" si="61"/>
        <v>0</v>
      </c>
      <c r="AN150" s="12" t="str">
        <f t="shared" si="62"/>
        <v/>
      </c>
      <c r="AO150" s="12" t="str">
        <f t="shared" si="63"/>
        <v>Yes</v>
      </c>
      <c r="AP150" t="str">
        <f t="shared" si="48"/>
        <v>Yes</v>
      </c>
      <c r="AQ150" t="str">
        <f>IFERROR(VLOOKUP(Z150,InvBal!$L$4:$P$600,4,FALSE),"Pend")</f>
        <v>Pend</v>
      </c>
      <c r="AR150" t="str">
        <f>IFERROR(VLOOKUP(D150,Manual!$C$1:$E$22,2,FALSE),"Pend")</f>
        <v>Pend</v>
      </c>
      <c r="AS150" t="str">
        <f t="shared" si="64"/>
        <v>Yes</v>
      </c>
      <c r="AT150" t="str">
        <f t="shared" si="65"/>
        <v>Yes</v>
      </c>
      <c r="AU150" s="51" t="str">
        <f t="shared" si="66"/>
        <v>Yes</v>
      </c>
      <c r="AV150" s="12">
        <f>IFERROR(VLOOKUP(D150,'Receivable Invoice Detail'!$S$1:$U$3014,3,FALSE),0)</f>
        <v>0</v>
      </c>
      <c r="AW150" s="12">
        <f t="shared" si="67"/>
        <v>2894.1931391601879</v>
      </c>
    </row>
    <row r="151" spans="1:49" x14ac:dyDescent="0.25">
      <c r="A151" s="2">
        <v>1</v>
      </c>
      <c r="B151" s="2" t="s">
        <v>2050</v>
      </c>
      <c r="C151" s="2" t="s">
        <v>2051</v>
      </c>
      <c r="D151" s="2" t="s">
        <v>2394</v>
      </c>
      <c r="E151" s="2" t="s">
        <v>242</v>
      </c>
      <c r="F151" s="3">
        <v>45694.45</v>
      </c>
      <c r="G151" s="3">
        <v>45694.486030092587</v>
      </c>
      <c r="H151" s="4">
        <v>45695</v>
      </c>
      <c r="I151" s="2" t="s">
        <v>21</v>
      </c>
      <c r="J151" s="2" t="s">
        <v>22</v>
      </c>
      <c r="K151" s="2">
        <v>1</v>
      </c>
      <c r="L151" s="2">
        <v>746.81</v>
      </c>
      <c r="M151" s="2">
        <v>0</v>
      </c>
      <c r="N151" s="2">
        <v>521.66267612002866</v>
      </c>
      <c r="O151" s="2">
        <v>711.25</v>
      </c>
      <c r="P151" s="2">
        <v>35.56</v>
      </c>
      <c r="Q151" s="2">
        <v>746.81</v>
      </c>
      <c r="R151" s="2" t="s">
        <v>44</v>
      </c>
      <c r="S151" s="2"/>
      <c r="T151" s="2">
        <f t="shared" si="49"/>
        <v>1</v>
      </c>
      <c r="U151" s="18">
        <f t="shared" si="50"/>
        <v>2</v>
      </c>
      <c r="V151" s="18">
        <f t="shared" si="51"/>
        <v>2025</v>
      </c>
      <c r="W151" s="18">
        <f t="shared" si="52"/>
        <v>3</v>
      </c>
      <c r="X151" s="18">
        <f t="shared" si="53"/>
        <v>2025</v>
      </c>
      <c r="Y151" s="2">
        <f t="shared" si="46"/>
        <v>0.69852127866529468</v>
      </c>
      <c r="Z151" t="str">
        <f t="shared" si="47"/>
        <v>SO16550</v>
      </c>
      <c r="AA151" s="11">
        <f t="shared" si="54"/>
        <v>45694.45</v>
      </c>
      <c r="AB151" s="5" t="str">
        <f t="shared" si="55"/>
        <v>INV12607</v>
      </c>
      <c r="AC151" s="5" t="str">
        <f>IFERROR(VLOOKUP(D151,CAARStatus!$A$2:$AA$1600,22,FALSE),"Not invoiced")</f>
        <v>Paid</v>
      </c>
      <c r="AD151" s="11">
        <f>IF(AC151="Paid",IFERROR(VLOOKUP(D151,CAARStatus!$A$2:$AA$1600,6,FALSE),"Pending"),"Pending")</f>
        <v>45728</v>
      </c>
      <c r="AE151" s="5" t="str">
        <f t="shared" si="56"/>
        <v>2100504291</v>
      </c>
      <c r="AF151" s="5" t="str">
        <f t="shared" si="57"/>
        <v>Wajax Limited - Noranda</v>
      </c>
      <c r="AG151" s="5" t="str">
        <f t="shared" si="58"/>
        <v>CAD</v>
      </c>
      <c r="AH151" s="5">
        <f t="shared" si="59"/>
        <v>711.25</v>
      </c>
      <c r="AI151" s="12">
        <f>IF(L151-N151=0,VLOOKUP(U151,rate!A$4:B$15,2,FALSE)*AH151,IF(AG151="USD",O151,AH151*Y151))</f>
        <v>496.82325945069084</v>
      </c>
      <c r="AJ151" s="13">
        <f t="shared" si="60"/>
        <v>0.69852127866529468</v>
      </c>
      <c r="AK151" s="13">
        <f>-IF(AG151="CAD",IFERROR(VLOOKUP(D151,CAARStatus!$A$1:$Y$1600,16,FALSE),0),0)</f>
        <v>-711.25</v>
      </c>
      <c r="AL151" s="13">
        <f>-IF(AG151="USD",IFERROR(VLOOKUP(D151,CAARStatus!$A$1:$Y$1600,11,FALSE),0),0)</f>
        <v>0</v>
      </c>
      <c r="AM151" s="22">
        <f t="shared" si="61"/>
        <v>0</v>
      </c>
      <c r="AN151" s="12" t="str">
        <f t="shared" si="62"/>
        <v/>
      </c>
      <c r="AO151" s="12" t="str">
        <f t="shared" si="63"/>
        <v>Yes</v>
      </c>
      <c r="AP151" t="str">
        <f t="shared" si="48"/>
        <v>Yes</v>
      </c>
      <c r="AQ151" t="str">
        <f>IFERROR(VLOOKUP(Z151,InvBal!$L$4:$P$600,4,FALSE),"Pend")</f>
        <v>Pend</v>
      </c>
      <c r="AR151" t="str">
        <f>IFERROR(VLOOKUP(D151,Manual!$C$1:$E$22,2,FALSE),"Pend")</f>
        <v>Pend</v>
      </c>
      <c r="AS151" t="str">
        <f t="shared" si="64"/>
        <v>Yes</v>
      </c>
      <c r="AT151" t="str">
        <f t="shared" si="65"/>
        <v>Yes</v>
      </c>
      <c r="AU151" s="51" t="str">
        <f t="shared" si="66"/>
        <v>Yes</v>
      </c>
      <c r="AV151" s="12">
        <f>IFERROR(VLOOKUP(D151,'Receivable Invoice Detail'!$S$1:$U$3014,3,FALSE),0)</f>
        <v>0</v>
      </c>
      <c r="AW151" s="12">
        <f t="shared" si="67"/>
        <v>496.82325945069084</v>
      </c>
    </row>
    <row r="152" spans="1:49" ht="30" x14ac:dyDescent="0.25">
      <c r="A152" s="2">
        <v>1</v>
      </c>
      <c r="B152" s="2" t="s">
        <v>2040</v>
      </c>
      <c r="C152" s="2" t="s">
        <v>2041</v>
      </c>
      <c r="D152" s="2" t="s">
        <v>2399</v>
      </c>
      <c r="E152" s="2" t="s">
        <v>290</v>
      </c>
      <c r="F152" s="3">
        <v>45694.469317129631</v>
      </c>
      <c r="G152" s="3">
        <v>45695.475671296299</v>
      </c>
      <c r="H152" s="4">
        <v>45723</v>
      </c>
      <c r="I152" s="2" t="s">
        <v>21</v>
      </c>
      <c r="J152" s="2" t="s">
        <v>22</v>
      </c>
      <c r="K152" s="2">
        <v>1</v>
      </c>
      <c r="L152" s="2">
        <v>8183.91</v>
      </c>
      <c r="M152" s="2">
        <v>0</v>
      </c>
      <c r="N152" s="2">
        <v>5718.5595505235378</v>
      </c>
      <c r="O152" s="2">
        <v>7794.2</v>
      </c>
      <c r="P152" s="2">
        <v>389.71</v>
      </c>
      <c r="Q152" s="2">
        <v>8183.91</v>
      </c>
      <c r="R152" s="2" t="s">
        <v>44</v>
      </c>
      <c r="S152" s="2"/>
      <c r="T152" s="2">
        <f t="shared" si="49"/>
        <v>1</v>
      </c>
      <c r="U152" s="18">
        <f t="shared" si="50"/>
        <v>2</v>
      </c>
      <c r="V152" s="18">
        <f t="shared" si="51"/>
        <v>2025</v>
      </c>
      <c r="W152" s="18">
        <f t="shared" si="52"/>
        <v>5</v>
      </c>
      <c r="X152" s="18">
        <f t="shared" si="53"/>
        <v>2025</v>
      </c>
      <c r="Y152" s="2">
        <f t="shared" si="46"/>
        <v>0.69875640745359346</v>
      </c>
      <c r="Z152" t="str">
        <f t="shared" si="47"/>
        <v>SO16551</v>
      </c>
      <c r="AA152" s="11">
        <f t="shared" si="54"/>
        <v>45694.469317129631</v>
      </c>
      <c r="AB152" s="5" t="str">
        <f t="shared" si="55"/>
        <v>INV12743</v>
      </c>
      <c r="AC152" s="5" t="str">
        <f>IFERROR(VLOOKUP(D152,CAARStatus!$A$2:$AA$1600,22,FALSE),"Not invoiced")</f>
        <v>Paid</v>
      </c>
      <c r="AD152" s="11">
        <f>IF(AC152="Paid",IFERROR(VLOOKUP(D152,CAARStatus!$A$2:$AA$1600,6,FALSE),"Pending"),"Pending")</f>
        <v>45793</v>
      </c>
      <c r="AE152" s="5" t="str">
        <f t="shared" si="56"/>
        <v>4500580445</v>
      </c>
      <c r="AF152" s="5" t="str">
        <f t="shared" si="57"/>
        <v>Resolute Forest Products - Kenogami</v>
      </c>
      <c r="AG152" s="5" t="str">
        <f t="shared" si="58"/>
        <v>CAD</v>
      </c>
      <c r="AH152" s="5">
        <f t="shared" si="59"/>
        <v>7794.2</v>
      </c>
      <c r="AI152" s="12">
        <f>IF(L152-N152=0,VLOOKUP(U152,rate!A$4:B$15,2,FALSE)*AH152,IF(AG152="USD",O152,AH152*Y152))</f>
        <v>5446.2471909747983</v>
      </c>
      <c r="AJ152" s="13">
        <f t="shared" si="60"/>
        <v>0.69875640745359346</v>
      </c>
      <c r="AK152" s="13">
        <f>-IF(AG152="CAD",IFERROR(VLOOKUP(D152,CAARStatus!$A$1:$Y$1600,16,FALSE),0),0)</f>
        <v>-7794.2</v>
      </c>
      <c r="AL152" s="13">
        <f>-IF(AG152="USD",IFERROR(VLOOKUP(D152,CAARStatus!$A$1:$Y$1600,11,FALSE),0),0)</f>
        <v>0</v>
      </c>
      <c r="AM152" s="22">
        <f t="shared" si="61"/>
        <v>0</v>
      </c>
      <c r="AN152" s="12" t="str">
        <f t="shared" si="62"/>
        <v/>
      </c>
      <c r="AO152" s="12" t="str">
        <f t="shared" si="63"/>
        <v>Yes</v>
      </c>
      <c r="AP152" t="str">
        <f t="shared" si="48"/>
        <v>Yes</v>
      </c>
      <c r="AQ152" t="str">
        <f>IFERROR(VLOOKUP(Z152,InvBal!$L$4:$P$600,4,FALSE),"Pend")</f>
        <v>Pend</v>
      </c>
      <c r="AR152" t="str">
        <f>IFERROR(VLOOKUP(D152,Manual!$C$1:$E$22,2,FALSE),"Pend")</f>
        <v>Pend</v>
      </c>
      <c r="AS152" t="str">
        <f t="shared" si="64"/>
        <v>Yes</v>
      </c>
      <c r="AT152" t="str">
        <f t="shared" si="65"/>
        <v>Yes</v>
      </c>
      <c r="AU152" s="51" t="str">
        <f t="shared" si="66"/>
        <v>Yes</v>
      </c>
      <c r="AV152" s="12">
        <f>IFERROR(VLOOKUP(D152,'Receivable Invoice Detail'!$S$1:$U$3014,3,FALSE),0)</f>
        <v>0</v>
      </c>
      <c r="AW152" s="12">
        <f t="shared" si="67"/>
        <v>5446.2471909747983</v>
      </c>
    </row>
    <row r="153" spans="1:49" x14ac:dyDescent="0.25">
      <c r="A153" s="2">
        <v>1</v>
      </c>
      <c r="B153" s="2" t="s">
        <v>2048</v>
      </c>
      <c r="C153" s="2" t="s">
        <v>2049</v>
      </c>
      <c r="D153" s="2" t="s">
        <v>2395</v>
      </c>
      <c r="E153" s="2" t="s">
        <v>146</v>
      </c>
      <c r="F153" s="3">
        <v>45694.529537037037</v>
      </c>
      <c r="G153" s="3">
        <v>45694.530578703707</v>
      </c>
      <c r="H153" s="4">
        <v>45750</v>
      </c>
      <c r="I153" s="2" t="s">
        <v>1132</v>
      </c>
      <c r="J153" s="2" t="s">
        <v>22</v>
      </c>
      <c r="K153" s="2">
        <v>1</v>
      </c>
      <c r="L153" s="2">
        <v>180.92</v>
      </c>
      <c r="M153" s="2">
        <v>0</v>
      </c>
      <c r="N153" s="2">
        <v>126.3764697361251</v>
      </c>
      <c r="O153" s="2">
        <v>172.3</v>
      </c>
      <c r="P153" s="2">
        <v>8.6199999999999992</v>
      </c>
      <c r="Q153" s="2">
        <v>180.92</v>
      </c>
      <c r="R153" s="2" t="s">
        <v>44</v>
      </c>
      <c r="S153" s="2"/>
      <c r="T153" s="2">
        <f t="shared" si="49"/>
        <v>1</v>
      </c>
      <c r="U153" s="18">
        <f t="shared" si="50"/>
        <v>2</v>
      </c>
      <c r="V153" s="18">
        <f t="shared" si="51"/>
        <v>2025</v>
      </c>
      <c r="W153" s="18">
        <f t="shared" si="52"/>
        <v>4</v>
      </c>
      <c r="X153" s="18">
        <f t="shared" si="53"/>
        <v>2025</v>
      </c>
      <c r="Y153" s="2">
        <f t="shared" si="46"/>
        <v>0.69852127866529468</v>
      </c>
      <c r="Z153" t="str">
        <f t="shared" si="47"/>
        <v>SO16552</v>
      </c>
      <c r="AA153" s="11">
        <f t="shared" si="54"/>
        <v>45694.529537037037</v>
      </c>
      <c r="AB153" s="5" t="str">
        <f t="shared" si="55"/>
        <v>INV12757</v>
      </c>
      <c r="AC153" s="5" t="str">
        <f>IFERROR(VLOOKUP(D153,CAARStatus!$A$2:$AA$1600,22,FALSE),"Not invoiced")</f>
        <v>Paid</v>
      </c>
      <c r="AD153" s="11">
        <f>IF(AC153="Paid",IFERROR(VLOOKUP(D153,CAARStatus!$A$2:$AA$1600,6,FALSE),"Pending"),"Pending")</f>
        <v>45776</v>
      </c>
      <c r="AE153" s="5" t="str">
        <f t="shared" si="56"/>
        <v>6752</v>
      </c>
      <c r="AF153" s="5" t="str">
        <f t="shared" si="57"/>
        <v>Hyperflo</v>
      </c>
      <c r="AG153" s="5" t="str">
        <f t="shared" si="58"/>
        <v>CAD</v>
      </c>
      <c r="AH153" s="5">
        <f t="shared" si="59"/>
        <v>172.3</v>
      </c>
      <c r="AI153" s="12">
        <f>IF(L153-N153=0,VLOOKUP(U153,rate!A$4:B$15,2,FALSE)*AH153,IF(AG153="USD",O153,AH153*Y153))</f>
        <v>120.35521631403029</v>
      </c>
      <c r="AJ153" s="13">
        <f t="shared" si="60"/>
        <v>0.69852127866529468</v>
      </c>
      <c r="AK153" s="13">
        <f>-IF(AG153="CAD",IFERROR(VLOOKUP(D153,CAARStatus!$A$1:$Y$1600,16,FALSE),0),0)</f>
        <v>-172.3</v>
      </c>
      <c r="AL153" s="13">
        <f>-IF(AG153="USD",IFERROR(VLOOKUP(D153,CAARStatus!$A$1:$Y$1600,11,FALSE),0),0)</f>
        <v>0</v>
      </c>
      <c r="AM153" s="22">
        <f t="shared" si="61"/>
        <v>0</v>
      </c>
      <c r="AN153" s="12" t="str">
        <f t="shared" si="62"/>
        <v/>
      </c>
      <c r="AO153" s="12" t="str">
        <f t="shared" si="63"/>
        <v>Yes</v>
      </c>
      <c r="AP153" t="str">
        <f t="shared" si="48"/>
        <v>Yes</v>
      </c>
      <c r="AQ153" t="str">
        <f>IFERROR(VLOOKUP(Z153,InvBal!$L$4:$P$600,4,FALSE),"Pend")</f>
        <v>Pend</v>
      </c>
      <c r="AR153" t="str">
        <f>IFERROR(VLOOKUP(D153,Manual!$C$1:$E$22,2,FALSE),"Pend")</f>
        <v>Pend</v>
      </c>
      <c r="AS153" t="str">
        <f t="shared" si="64"/>
        <v>Yes</v>
      </c>
      <c r="AT153" t="str">
        <f t="shared" si="65"/>
        <v>Yes</v>
      </c>
      <c r="AU153" s="51" t="str">
        <f t="shared" si="66"/>
        <v>Yes</v>
      </c>
      <c r="AV153" s="12">
        <f>IFERROR(VLOOKUP(D153,'Receivable Invoice Detail'!$S$1:$U$3014,3,FALSE),0)</f>
        <v>0</v>
      </c>
      <c r="AW153" s="12">
        <f t="shared" si="67"/>
        <v>120.35521631403029</v>
      </c>
    </row>
    <row r="154" spans="1:49" ht="30" x14ac:dyDescent="0.25">
      <c r="A154" s="2">
        <v>2</v>
      </c>
      <c r="B154" s="2" t="s">
        <v>2017</v>
      </c>
      <c r="C154" s="2" t="s">
        <v>2018</v>
      </c>
      <c r="D154" s="2" t="s">
        <v>2416</v>
      </c>
      <c r="E154" s="2" t="s">
        <v>159</v>
      </c>
      <c r="F154" s="3">
        <v>45694.657141203701</v>
      </c>
      <c r="G154" s="3">
        <v>45699.682708333326</v>
      </c>
      <c r="H154" s="4">
        <v>45852</v>
      </c>
      <c r="I154" s="2" t="s">
        <v>426</v>
      </c>
      <c r="J154" s="2" t="s">
        <v>51</v>
      </c>
      <c r="K154" s="2">
        <v>0.69834485616458641</v>
      </c>
      <c r="L154" s="2">
        <v>45189.049108657709</v>
      </c>
      <c r="M154" s="2">
        <v>0</v>
      </c>
      <c r="N154" s="2">
        <v>31557.54</v>
      </c>
      <c r="O154" s="2">
        <v>31557.54</v>
      </c>
      <c r="P154" s="2"/>
      <c r="Q154" s="2">
        <v>31557.54</v>
      </c>
      <c r="R154" s="2" t="s">
        <v>44</v>
      </c>
      <c r="S154" s="2"/>
      <c r="T154" s="2">
        <f t="shared" si="49"/>
        <v>2</v>
      </c>
      <c r="U154" s="18">
        <f t="shared" si="50"/>
        <v>2</v>
      </c>
      <c r="V154" s="18">
        <f t="shared" si="51"/>
        <v>2025</v>
      </c>
      <c r="W154" s="18">
        <f t="shared" si="52"/>
        <v>8</v>
      </c>
      <c r="X154" s="18">
        <f t="shared" si="53"/>
        <v>2025</v>
      </c>
      <c r="Y154" s="2">
        <f t="shared" si="46"/>
        <v>0.69834485616458641</v>
      </c>
      <c r="Z154" t="str">
        <f t="shared" si="47"/>
        <v>SO16554</v>
      </c>
      <c r="AA154" s="11">
        <f t="shared" si="54"/>
        <v>45694.657141203701</v>
      </c>
      <c r="AB154" s="5" t="str">
        <f t="shared" si="55"/>
        <v>INV13151</v>
      </c>
      <c r="AC154" s="5" t="str">
        <f>IFERROR(VLOOKUP(D154,CAARStatus!$A$2:$AA$1600,22,FALSE),"Not invoiced")</f>
        <v>Paid</v>
      </c>
      <c r="AD154" s="11">
        <f>IF(AC154="Paid",IFERROR(VLOOKUP(D154,CAARStatus!$A$2:$AA$1600,6,FALSE),"Pending"),"Pending")</f>
        <v>45890</v>
      </c>
      <c r="AE154" s="5" t="str">
        <f t="shared" si="56"/>
        <v>4501106578</v>
      </c>
      <c r="AF154" s="5" t="str">
        <f t="shared" si="57"/>
        <v>Barrick Gold - Pueblo Viejo Dominicana Corporation</v>
      </c>
      <c r="AG154" s="5" t="str">
        <f t="shared" si="58"/>
        <v>USD</v>
      </c>
      <c r="AH154" s="5">
        <f t="shared" si="59"/>
        <v>45189.049108657709</v>
      </c>
      <c r="AI154" s="12">
        <f>IF(L154-N154=0,VLOOKUP(U154,rate!A$4:B$15,2,FALSE)*AH154,IF(AG154="USD",O154,AH154*Y154))</f>
        <v>31557.54</v>
      </c>
      <c r="AJ154" s="13">
        <f t="shared" si="60"/>
        <v>0.69834485616458641</v>
      </c>
      <c r="AK154" s="13">
        <f>-IF(AG154="CAD",IFERROR(VLOOKUP(D154,CAARStatus!$A$1:$Y$1600,16,FALSE),0),0)</f>
        <v>0</v>
      </c>
      <c r="AL154" s="13">
        <f>-IF(AG154="USD",IFERROR(VLOOKUP(D154,CAARStatus!$A$1:$Y$1600,11,FALSE),0),0)</f>
        <v>-28632.45</v>
      </c>
      <c r="AM154" s="22" t="str">
        <f t="shared" si="61"/>
        <v/>
      </c>
      <c r="AN154" s="12">
        <f t="shared" si="62"/>
        <v>2925.09</v>
      </c>
      <c r="AO154" s="12" t="str">
        <f t="shared" si="63"/>
        <v>Yes</v>
      </c>
      <c r="AP154" t="str">
        <f t="shared" si="48"/>
        <v>XX</v>
      </c>
      <c r="AQ154" t="str">
        <f>IFERROR(VLOOKUP(Z154,InvBal!$L$4:$P$600,4,FALSE),"Pend")</f>
        <v>Yes</v>
      </c>
      <c r="AR154" t="str">
        <f>IFERROR(VLOOKUP(D154,Manual!$C$1:$E$22,2,FALSE),"Pend")</f>
        <v>Pend</v>
      </c>
      <c r="AS154" t="str">
        <f t="shared" si="64"/>
        <v>Yes</v>
      </c>
      <c r="AT154" t="str">
        <f t="shared" si="65"/>
        <v>Yes</v>
      </c>
      <c r="AU154" s="51" t="str">
        <f t="shared" si="66"/>
        <v>Yes</v>
      </c>
      <c r="AV154" s="12">
        <f>IFERROR(VLOOKUP(D154,'Receivable Invoice Detail'!$S$1:$U$3014,3,FALSE),0)</f>
        <v>0</v>
      </c>
      <c r="AW154" s="12">
        <f t="shared" si="67"/>
        <v>31557.54</v>
      </c>
    </row>
    <row r="155" spans="1:49" x14ac:dyDescent="0.25">
      <c r="A155" s="2"/>
      <c r="B155" s="2"/>
      <c r="C155" s="2"/>
      <c r="D155" s="2" t="s">
        <v>2415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f t="shared" si="49"/>
        <v>2</v>
      </c>
      <c r="U155" s="18">
        <f t="shared" si="50"/>
        <v>2</v>
      </c>
      <c r="V155" s="18">
        <f t="shared" si="51"/>
        <v>2025</v>
      </c>
      <c r="W155" s="18">
        <f t="shared" si="52"/>
        <v>5</v>
      </c>
      <c r="X155" s="18">
        <f t="shared" si="53"/>
        <v>2025</v>
      </c>
      <c r="Y155" s="2">
        <f t="shared" si="46"/>
        <v>0.69834485616458641</v>
      </c>
      <c r="Z155" t="str">
        <f t="shared" si="47"/>
        <v>SO16554</v>
      </c>
      <c r="AA155" s="11">
        <f t="shared" si="54"/>
        <v>45694.657141203701</v>
      </c>
      <c r="AB155" s="5" t="str">
        <f t="shared" si="55"/>
        <v>INV12765</v>
      </c>
      <c r="AC155" s="5" t="str">
        <f>IFERROR(VLOOKUP(D155,CAARStatus!$A$2:$AA$1600,22,FALSE),"Not invoiced")</f>
        <v>Paid</v>
      </c>
      <c r="AD155" s="11">
        <f>IF(AC155="Paid",IFERROR(VLOOKUP(D155,CAARStatus!$A$2:$AA$1600,6,FALSE),"Pending"),"Pending")</f>
        <v>45786</v>
      </c>
      <c r="AE155" s="5" t="str">
        <f t="shared" si="56"/>
        <v>4501106578</v>
      </c>
      <c r="AF155" s="5" t="str">
        <f t="shared" si="57"/>
        <v>Barrick Gold - Pueblo Viejo Dominicana Corporation</v>
      </c>
      <c r="AG155" s="5" t="str">
        <f t="shared" si="58"/>
        <v>USD</v>
      </c>
      <c r="AH155" s="5">
        <f t="shared" si="59"/>
        <v>0</v>
      </c>
      <c r="AI155" s="12">
        <f>IF(L155-N155=0,VLOOKUP(U155,rate!A$4:B$15,2,FALSE)*AH155,IF(AG155="USD",O155,AH155*Y155))</f>
        <v>0</v>
      </c>
      <c r="AJ155" s="13">
        <f t="shared" si="60"/>
        <v>0</v>
      </c>
      <c r="AK155" s="13">
        <f>-IF(AG155="CAD",IFERROR(VLOOKUP(D155,CAARStatus!$A$1:$Y$1600,16,FALSE),0),0)</f>
        <v>0</v>
      </c>
      <c r="AL155" s="13">
        <f>-IF(AG155="USD",IFERROR(VLOOKUP(D155,CAARStatus!$A$1:$Y$1600,11,FALSE),0),0)</f>
        <v>-2925.09</v>
      </c>
      <c r="AM155" s="22" t="str">
        <f t="shared" si="61"/>
        <v/>
      </c>
      <c r="AN155" s="12">
        <f t="shared" si="62"/>
        <v>-2925.09</v>
      </c>
      <c r="AO155" s="12" t="str">
        <f t="shared" si="63"/>
        <v>Yes</v>
      </c>
      <c r="AP155" t="str">
        <f t="shared" si="48"/>
        <v>XX</v>
      </c>
      <c r="AQ155" t="str">
        <f>IFERROR(VLOOKUP(Z155,InvBal!$L$4:$P$600,4,FALSE),"Pend")</f>
        <v>Yes</v>
      </c>
      <c r="AR155" t="str">
        <f>IFERROR(VLOOKUP(D155,Manual!$C$1:$E$22,2,FALSE),"Pend")</f>
        <v>Pend</v>
      </c>
      <c r="AS155" t="str">
        <f t="shared" si="64"/>
        <v>Yes</v>
      </c>
      <c r="AT155" t="str">
        <f t="shared" si="65"/>
        <v/>
      </c>
      <c r="AU155" s="51" t="str">
        <f t="shared" si="66"/>
        <v/>
      </c>
      <c r="AV155" s="12">
        <f>IFERROR(VLOOKUP(D155,'Receivable Invoice Detail'!$S$1:$U$3014,3,FALSE),0)</f>
        <v>0</v>
      </c>
      <c r="AW155" s="12">
        <f t="shared" si="67"/>
        <v>0</v>
      </c>
    </row>
    <row r="156" spans="1:49" ht="30" x14ac:dyDescent="0.25">
      <c r="A156" s="2">
        <v>1</v>
      </c>
      <c r="B156" s="2" t="s">
        <v>2046</v>
      </c>
      <c r="C156" s="2" t="s">
        <v>2047</v>
      </c>
      <c r="D156" s="2" t="s">
        <v>2396</v>
      </c>
      <c r="E156" s="2" t="s">
        <v>129</v>
      </c>
      <c r="F156" s="3">
        <v>45694.782557870371</v>
      </c>
      <c r="G156" s="3">
        <v>45694.780671296299</v>
      </c>
      <c r="H156" s="4">
        <v>45726</v>
      </c>
      <c r="I156" s="2" t="s">
        <v>130</v>
      </c>
      <c r="J156" s="2" t="s">
        <v>51</v>
      </c>
      <c r="K156" s="2">
        <v>0.70008779996396242</v>
      </c>
      <c r="L156" s="2">
        <v>5240.7712292499091</v>
      </c>
      <c r="M156" s="2">
        <v>0</v>
      </c>
      <c r="N156" s="2">
        <v>3669</v>
      </c>
      <c r="O156" s="2">
        <v>3669</v>
      </c>
      <c r="P156" s="2"/>
      <c r="Q156" s="2">
        <v>3669</v>
      </c>
      <c r="R156" s="2" t="s">
        <v>44</v>
      </c>
      <c r="S156" s="2"/>
      <c r="T156" s="2">
        <f t="shared" si="49"/>
        <v>1</v>
      </c>
      <c r="U156" s="18">
        <f t="shared" si="50"/>
        <v>2</v>
      </c>
      <c r="V156" s="18">
        <f t="shared" si="51"/>
        <v>2025</v>
      </c>
      <c r="W156" s="18" t="str">
        <f t="shared" si="52"/>
        <v/>
      </c>
      <c r="X156" s="18" t="str">
        <f t="shared" si="53"/>
        <v/>
      </c>
      <c r="Y156" s="2">
        <f t="shared" si="46"/>
        <v>0.70008779996396242</v>
      </c>
      <c r="Z156" t="str">
        <f t="shared" si="47"/>
        <v>SO16556</v>
      </c>
      <c r="AA156" s="11">
        <f t="shared" si="54"/>
        <v>45694.782557870371</v>
      </c>
      <c r="AB156" s="5" t="str">
        <f t="shared" si="55"/>
        <v>INV12867</v>
      </c>
      <c r="AC156" s="5" t="str">
        <f>IFERROR(VLOOKUP(D156,CAARStatus!$A$2:$AA$1600,22,FALSE),"Not invoiced")</f>
        <v>Approved</v>
      </c>
      <c r="AD156" s="11" t="str">
        <f>IF(AC156="Paid",IFERROR(VLOOKUP(D156,CAARStatus!$A$2:$AA$1600,6,FALSE),"Pending"),"Pending")</f>
        <v>Pending</v>
      </c>
      <c r="AE156" s="5" t="str">
        <f t="shared" si="56"/>
        <v>OC00143</v>
      </c>
      <c r="AF156" s="5" t="str">
        <f t="shared" si="57"/>
        <v>Dynapro Pumps México S de RL de CV</v>
      </c>
      <c r="AG156" s="5" t="str">
        <f t="shared" si="58"/>
        <v>USD</v>
      </c>
      <c r="AH156" s="5">
        <f t="shared" si="59"/>
        <v>5240.7712292499091</v>
      </c>
      <c r="AI156" s="12">
        <f>IF(L156-N156=0,VLOOKUP(U156,rate!A$4:B$15,2,FALSE)*AH156,IF(AG156="USD",O156,AH156*Y156))</f>
        <v>3669</v>
      </c>
      <c r="AJ156" s="13">
        <f t="shared" si="60"/>
        <v>0.70008779996396242</v>
      </c>
      <c r="AK156" s="13">
        <f>-IF(AG156="CAD",IFERROR(VLOOKUP(D156,CAARStatus!$A$1:$Y$1600,16,FALSE),0),0)</f>
        <v>0</v>
      </c>
      <c r="AL156" s="13">
        <f>-IF(AG156="USD",IFERROR(VLOOKUP(D156,CAARStatus!$A$1:$Y$1600,11,FALSE),0),0)</f>
        <v>-3669</v>
      </c>
      <c r="AM156" s="22" t="str">
        <f t="shared" si="61"/>
        <v/>
      </c>
      <c r="AN156" s="12">
        <f t="shared" si="62"/>
        <v>0</v>
      </c>
      <c r="AO156" s="12" t="str">
        <f t="shared" si="63"/>
        <v>Pend</v>
      </c>
      <c r="AP156" t="str">
        <f t="shared" si="48"/>
        <v>Pend</v>
      </c>
      <c r="AQ156" t="str">
        <f>IFERROR(VLOOKUP(Z156,InvBal!$L$4:$P$600,4,FALSE),"Pend")</f>
        <v>Pend</v>
      </c>
      <c r="AR156" t="str">
        <f>IFERROR(VLOOKUP(D156,Manual!$C$1:$E$22,2,FALSE),"Pend")</f>
        <v>Pend</v>
      </c>
      <c r="AS156" t="str">
        <f t="shared" si="64"/>
        <v/>
      </c>
      <c r="AT156" t="str">
        <f t="shared" si="65"/>
        <v>Yes</v>
      </c>
      <c r="AU156" s="51" t="str">
        <f t="shared" si="66"/>
        <v/>
      </c>
      <c r="AV156" s="12">
        <f>IFERROR(VLOOKUP(D156,'Receivable Invoice Detail'!$S$1:$U$3014,3,FALSE),0)</f>
        <v>0</v>
      </c>
      <c r="AW156" s="12">
        <f t="shared" si="67"/>
        <v>0</v>
      </c>
    </row>
    <row r="157" spans="1:49" x14ac:dyDescent="0.25">
      <c r="A157" s="2">
        <v>1</v>
      </c>
      <c r="B157" s="2" t="s">
        <v>1987</v>
      </c>
      <c r="C157" s="2" t="s">
        <v>1988</v>
      </c>
      <c r="D157" s="2" t="s">
        <v>2432</v>
      </c>
      <c r="E157" s="2" t="s">
        <v>77</v>
      </c>
      <c r="F157" s="3">
        <v>45695.382523148153</v>
      </c>
      <c r="G157" s="3">
        <v>45705.382523148153</v>
      </c>
      <c r="H157" s="4">
        <v>45706</v>
      </c>
      <c r="I157" s="2" t="s">
        <v>1132</v>
      </c>
      <c r="J157" s="2" t="s">
        <v>22</v>
      </c>
      <c r="K157" s="2">
        <v>1</v>
      </c>
      <c r="L157" s="2">
        <v>283.87</v>
      </c>
      <c r="M157" s="2">
        <v>0</v>
      </c>
      <c r="N157" s="2">
        <v>200.10662574100149</v>
      </c>
      <c r="O157" s="2">
        <v>270.35000000000002</v>
      </c>
      <c r="P157" s="2">
        <v>13.52</v>
      </c>
      <c r="Q157" s="2">
        <v>283.87</v>
      </c>
      <c r="R157" s="2" t="s">
        <v>44</v>
      </c>
      <c r="S157" s="2"/>
      <c r="T157" s="2">
        <f t="shared" si="49"/>
        <v>1</v>
      </c>
      <c r="U157" s="18">
        <f t="shared" si="50"/>
        <v>2</v>
      </c>
      <c r="V157" s="18">
        <f t="shared" si="51"/>
        <v>2025</v>
      </c>
      <c r="W157" s="18">
        <f t="shared" si="52"/>
        <v>3</v>
      </c>
      <c r="X157" s="18">
        <f t="shared" si="53"/>
        <v>2025</v>
      </c>
      <c r="Y157" s="2">
        <f t="shared" si="46"/>
        <v>0.70492347109945219</v>
      </c>
      <c r="Z157" t="str">
        <f t="shared" si="47"/>
        <v>SO16557</v>
      </c>
      <c r="AA157" s="11">
        <f t="shared" si="54"/>
        <v>45695.382523148153</v>
      </c>
      <c r="AB157" s="5" t="str">
        <f t="shared" si="55"/>
        <v>INV12636</v>
      </c>
      <c r="AC157" s="5" t="str">
        <f>IFERROR(VLOOKUP(D157,CAARStatus!$A$2:$AA$1600,22,FALSE),"Not invoiced")</f>
        <v>Paid</v>
      </c>
      <c r="AD157" s="11">
        <f>IF(AC157="Paid",IFERROR(VLOOKUP(D157,CAARStatus!$A$2:$AA$1600,6,FALSE),"Pending"),"Pending")</f>
        <v>45729</v>
      </c>
      <c r="AE157" s="5" t="str">
        <f t="shared" si="56"/>
        <v>40-1013039</v>
      </c>
      <c r="AF157" s="5" t="str">
        <f t="shared" si="57"/>
        <v>Canadian Bearings Ltd.</v>
      </c>
      <c r="AG157" s="5" t="str">
        <f t="shared" si="58"/>
        <v>CAD</v>
      </c>
      <c r="AH157" s="5">
        <f t="shared" si="59"/>
        <v>270.35000000000002</v>
      </c>
      <c r="AI157" s="12">
        <f>IF(L157-N157=0,VLOOKUP(U157,rate!A$4:B$15,2,FALSE)*AH157,IF(AG157="USD",O157,AH157*Y157))</f>
        <v>190.5760604117369</v>
      </c>
      <c r="AJ157" s="13">
        <f t="shared" si="60"/>
        <v>0.70492347109945219</v>
      </c>
      <c r="AK157" s="13">
        <f>-IF(AG157="CAD",IFERROR(VLOOKUP(D157,CAARStatus!$A$1:$Y$1600,16,FALSE),0),0)</f>
        <v>-270.35000000000002</v>
      </c>
      <c r="AL157" s="13">
        <f>-IF(AG157="USD",IFERROR(VLOOKUP(D157,CAARStatus!$A$1:$Y$1600,11,FALSE),0),0)</f>
        <v>0</v>
      </c>
      <c r="AM157" s="22">
        <f t="shared" si="61"/>
        <v>0</v>
      </c>
      <c r="AN157" s="12" t="str">
        <f t="shared" si="62"/>
        <v/>
      </c>
      <c r="AO157" s="12" t="str">
        <f t="shared" si="63"/>
        <v>Yes</v>
      </c>
      <c r="AP157" t="str">
        <f t="shared" si="48"/>
        <v>Yes</v>
      </c>
      <c r="AQ157" t="str">
        <f>IFERROR(VLOOKUP(Z157,InvBal!$L$4:$P$600,4,FALSE),"Pend")</f>
        <v>Pend</v>
      </c>
      <c r="AR157" t="str">
        <f>IFERROR(VLOOKUP(D157,Manual!$C$1:$E$22,2,FALSE),"Pend")</f>
        <v>Pend</v>
      </c>
      <c r="AS157" t="str">
        <f t="shared" si="64"/>
        <v>Yes</v>
      </c>
      <c r="AT157" t="str">
        <f t="shared" si="65"/>
        <v>Yes</v>
      </c>
      <c r="AU157" s="51" t="str">
        <f t="shared" si="66"/>
        <v>Yes</v>
      </c>
      <c r="AV157" s="12">
        <f>IFERROR(VLOOKUP(D157,'Receivable Invoice Detail'!$S$1:$U$3014,3,FALSE),0)</f>
        <v>0</v>
      </c>
      <c r="AW157" s="12">
        <f t="shared" si="67"/>
        <v>190.5760604117369</v>
      </c>
    </row>
    <row r="158" spans="1:49" x14ac:dyDescent="0.25">
      <c r="A158" s="2">
        <v>1</v>
      </c>
      <c r="B158" s="2" t="s">
        <v>2044</v>
      </c>
      <c r="C158" s="2" t="s">
        <v>2045</v>
      </c>
      <c r="D158" s="2" t="s">
        <v>2397</v>
      </c>
      <c r="E158" s="2" t="s">
        <v>54</v>
      </c>
      <c r="F158" s="3">
        <v>45695.385023148148</v>
      </c>
      <c r="G158" s="3">
        <v>45695.398761574077</v>
      </c>
      <c r="H158" s="4">
        <v>45779</v>
      </c>
      <c r="I158" s="2" t="s">
        <v>21</v>
      </c>
      <c r="J158" s="2" t="s">
        <v>22</v>
      </c>
      <c r="K158" s="2">
        <v>1</v>
      </c>
      <c r="L158" s="2">
        <v>3524.01</v>
      </c>
      <c r="M158" s="2">
        <v>0</v>
      </c>
      <c r="N158" s="2">
        <v>2462.424567430538</v>
      </c>
      <c r="O158" s="2">
        <v>3356.2</v>
      </c>
      <c r="P158" s="2">
        <v>167.81</v>
      </c>
      <c r="Q158" s="2">
        <v>3524.01</v>
      </c>
      <c r="R158" s="2" t="s">
        <v>44</v>
      </c>
      <c r="S158" s="2"/>
      <c r="T158" s="2">
        <f t="shared" si="49"/>
        <v>1</v>
      </c>
      <c r="U158" s="18">
        <f t="shared" si="50"/>
        <v>2</v>
      </c>
      <c r="V158" s="18">
        <f t="shared" si="51"/>
        <v>2025</v>
      </c>
      <c r="W158" s="18">
        <f t="shared" si="52"/>
        <v>5</v>
      </c>
      <c r="X158" s="18">
        <f t="shared" si="53"/>
        <v>2025</v>
      </c>
      <c r="Y158" s="2">
        <f t="shared" si="46"/>
        <v>0.69875640745359346</v>
      </c>
      <c r="Z158" t="str">
        <f t="shared" si="47"/>
        <v>SO16558</v>
      </c>
      <c r="AA158" s="11">
        <f t="shared" si="54"/>
        <v>45695.385023148148</v>
      </c>
      <c r="AB158" s="5" t="str">
        <f t="shared" si="55"/>
        <v>INV12977</v>
      </c>
      <c r="AC158" s="5" t="str">
        <f>IFERROR(VLOOKUP(D158,CAARStatus!$A$2:$AA$1600,22,FALSE),"Not invoiced")</f>
        <v>Paid</v>
      </c>
      <c r="AD158" s="11">
        <f>IF(AC158="Paid",IFERROR(VLOOKUP(D158,CAARStatus!$A$2:$AA$1600,6,FALSE),"Pending"),"Pending")</f>
        <v>45799</v>
      </c>
      <c r="AE158" s="5" t="str">
        <f t="shared" si="56"/>
        <v>2851</v>
      </c>
      <c r="AF158" s="5" t="str">
        <f t="shared" si="57"/>
        <v>Les Pompes du St-Laurent Inc.</v>
      </c>
      <c r="AG158" s="5" t="str">
        <f t="shared" si="58"/>
        <v>CAD</v>
      </c>
      <c r="AH158" s="5">
        <f t="shared" si="59"/>
        <v>3356.2</v>
      </c>
      <c r="AI158" s="12">
        <f>IF(L158-N158=0,VLOOKUP(U158,rate!A$4:B$15,2,FALSE)*AH158,IF(AG158="USD",O158,AH158*Y158))</f>
        <v>2345.1662546957505</v>
      </c>
      <c r="AJ158" s="13">
        <f t="shared" si="60"/>
        <v>0.69875640745359358</v>
      </c>
      <c r="AK158" s="13">
        <f>-IF(AG158="CAD",IFERROR(VLOOKUP(D158,CAARStatus!$A$1:$Y$1600,16,FALSE),0),0)</f>
        <v>-3356.2</v>
      </c>
      <c r="AL158" s="13">
        <f>-IF(AG158="USD",IFERROR(VLOOKUP(D158,CAARStatus!$A$1:$Y$1600,11,FALSE),0),0)</f>
        <v>0</v>
      </c>
      <c r="AM158" s="22">
        <f t="shared" si="61"/>
        <v>0</v>
      </c>
      <c r="AN158" s="12" t="str">
        <f t="shared" si="62"/>
        <v/>
      </c>
      <c r="AO158" s="12" t="str">
        <f t="shared" si="63"/>
        <v>Yes</v>
      </c>
      <c r="AP158" t="str">
        <f t="shared" si="48"/>
        <v>Yes</v>
      </c>
      <c r="AQ158" t="str">
        <f>IFERROR(VLOOKUP(Z158,InvBal!$L$4:$P$600,4,FALSE),"Pend")</f>
        <v>Pend</v>
      </c>
      <c r="AR158" t="str">
        <f>IFERROR(VLOOKUP(D158,Manual!$C$1:$E$22,2,FALSE),"Pend")</f>
        <v>Pend</v>
      </c>
      <c r="AS158" t="str">
        <f t="shared" si="64"/>
        <v>Yes</v>
      </c>
      <c r="AT158" t="str">
        <f t="shared" si="65"/>
        <v>Yes</v>
      </c>
      <c r="AU158" s="51" t="str">
        <f t="shared" si="66"/>
        <v>Yes</v>
      </c>
      <c r="AV158" s="12">
        <f>IFERROR(VLOOKUP(D158,'Receivable Invoice Detail'!$S$1:$U$3014,3,FALSE),0)</f>
        <v>0</v>
      </c>
      <c r="AW158" s="12">
        <f t="shared" si="67"/>
        <v>2345.1662546957505</v>
      </c>
    </row>
    <row r="159" spans="1:49" ht="30" x14ac:dyDescent="0.25">
      <c r="A159" s="2">
        <v>1</v>
      </c>
      <c r="B159" s="2" t="s">
        <v>1975</v>
      </c>
      <c r="C159" s="2" t="s">
        <v>1976</v>
      </c>
      <c r="D159" s="2" t="s">
        <v>2439</v>
      </c>
      <c r="E159" s="2" t="s">
        <v>509</v>
      </c>
      <c r="F159" s="3">
        <v>45695.397291666668</v>
      </c>
      <c r="G159" s="3">
        <v>45706.39603009259</v>
      </c>
      <c r="H159" s="4">
        <v>45709</v>
      </c>
      <c r="I159" s="2" t="s">
        <v>1132</v>
      </c>
      <c r="J159" s="2" t="s">
        <v>22</v>
      </c>
      <c r="K159" s="2">
        <v>1</v>
      </c>
      <c r="L159" s="2">
        <v>2120.44</v>
      </c>
      <c r="M159" s="2">
        <v>2120.44</v>
      </c>
      <c r="N159" s="2">
        <v>2120.44</v>
      </c>
      <c r="O159" s="2">
        <v>2019.47</v>
      </c>
      <c r="P159" s="2">
        <v>100.97</v>
      </c>
      <c r="Q159" s="2">
        <v>2120.44</v>
      </c>
      <c r="R159" s="2" t="s">
        <v>44</v>
      </c>
      <c r="S159" s="2"/>
      <c r="T159" s="2">
        <f t="shared" si="49"/>
        <v>1</v>
      </c>
      <c r="U159" s="18">
        <f t="shared" si="50"/>
        <v>2</v>
      </c>
      <c r="V159" s="18">
        <f t="shared" si="51"/>
        <v>2025</v>
      </c>
      <c r="W159" s="18">
        <f t="shared" si="52"/>
        <v>3</v>
      </c>
      <c r="X159" s="18">
        <f t="shared" si="53"/>
        <v>2025</v>
      </c>
      <c r="Y159" s="2">
        <f t="shared" si="46"/>
        <v>1</v>
      </c>
      <c r="Z159" t="str">
        <f t="shared" si="47"/>
        <v>SO16559</v>
      </c>
      <c r="AA159" s="11">
        <f t="shared" si="54"/>
        <v>45695.397291666668</v>
      </c>
      <c r="AB159" s="5" t="str">
        <f t="shared" si="55"/>
        <v>INV12640</v>
      </c>
      <c r="AC159" s="5" t="str">
        <f>IFERROR(VLOOKUP(D159,CAARStatus!$A$2:$AA$1600,22,FALSE),"Not invoiced")</f>
        <v>Paid</v>
      </c>
      <c r="AD159" s="11">
        <f>IF(AC159="Paid",IFERROR(VLOOKUP(D159,CAARStatus!$A$2:$AA$1600,6,FALSE),"Pending"),"Pending")</f>
        <v>45743</v>
      </c>
      <c r="AE159" s="5" t="str">
        <f t="shared" si="56"/>
        <v>PO09020</v>
      </c>
      <c r="AF159" s="5" t="str">
        <f t="shared" si="57"/>
        <v>Tantalum Mining Corporation of Canada</v>
      </c>
      <c r="AG159" s="5" t="str">
        <f t="shared" si="58"/>
        <v>CAD</v>
      </c>
      <c r="AH159" s="5">
        <f t="shared" si="59"/>
        <v>2019.47</v>
      </c>
      <c r="AI159" s="12">
        <f>IF(L159-N159=0,VLOOKUP(U159,rate!A$4:B$15,2,FALSE)*AH159,IF(AG159="USD",O159,AH159*Y159))</f>
        <v>1418.2424870991472</v>
      </c>
      <c r="AJ159" s="13">
        <f t="shared" si="60"/>
        <v>0.70228450390406749</v>
      </c>
      <c r="AK159" s="13">
        <f>-IF(AG159="CAD",IFERROR(VLOOKUP(D159,CAARStatus!$A$1:$Y$1600,16,FALSE),0),0)</f>
        <v>-2019.47</v>
      </c>
      <c r="AL159" s="13">
        <f>-IF(AG159="USD",IFERROR(VLOOKUP(D159,CAARStatus!$A$1:$Y$1600,11,FALSE),0),0)</f>
        <v>0</v>
      </c>
      <c r="AM159" s="22">
        <f t="shared" si="61"/>
        <v>0</v>
      </c>
      <c r="AN159" s="12" t="str">
        <f t="shared" si="62"/>
        <v/>
      </c>
      <c r="AO159" s="12" t="str">
        <f t="shared" si="63"/>
        <v>Yes</v>
      </c>
      <c r="AP159" t="str">
        <f t="shared" si="48"/>
        <v>Yes</v>
      </c>
      <c r="AQ159" t="str">
        <f>IFERROR(VLOOKUP(Z159,InvBal!$L$4:$P$600,4,FALSE),"Pend")</f>
        <v>Pend</v>
      </c>
      <c r="AR159" t="str">
        <f>IFERROR(VLOOKUP(D159,Manual!$C$1:$E$22,2,FALSE),"Pend")</f>
        <v>Pend</v>
      </c>
      <c r="AS159" t="str">
        <f t="shared" si="64"/>
        <v>Yes</v>
      </c>
      <c r="AT159" t="str">
        <f t="shared" si="65"/>
        <v>Yes</v>
      </c>
      <c r="AU159" s="51" t="str">
        <f t="shared" si="66"/>
        <v>Yes</v>
      </c>
      <c r="AV159" s="12">
        <f>IFERROR(VLOOKUP(D159,'Receivable Invoice Detail'!$S$1:$U$3014,3,FALSE),0)</f>
        <v>0</v>
      </c>
      <c r="AW159" s="12">
        <f t="shared" si="67"/>
        <v>1418.2424870991472</v>
      </c>
    </row>
    <row r="160" spans="1:49" ht="30" x14ac:dyDescent="0.25">
      <c r="A160" s="2">
        <v>1</v>
      </c>
      <c r="B160" s="2" t="s">
        <v>2005</v>
      </c>
      <c r="C160" s="2" t="s">
        <v>2006</v>
      </c>
      <c r="D160" s="2" t="s">
        <v>2423</v>
      </c>
      <c r="E160" s="2" t="s">
        <v>290</v>
      </c>
      <c r="F160" s="3">
        <v>45695.450486111113</v>
      </c>
      <c r="G160" s="3">
        <v>45700.451423611114</v>
      </c>
      <c r="H160" s="4">
        <v>45716</v>
      </c>
      <c r="I160" s="2" t="s">
        <v>21</v>
      </c>
      <c r="J160" s="2" t="s">
        <v>22</v>
      </c>
      <c r="K160" s="2">
        <v>1</v>
      </c>
      <c r="L160" s="2">
        <v>986.77</v>
      </c>
      <c r="M160" s="2">
        <v>0</v>
      </c>
      <c r="N160" s="2">
        <v>690.60133388521115</v>
      </c>
      <c r="O160" s="2">
        <v>939.78</v>
      </c>
      <c r="P160" s="2">
        <v>46.99</v>
      </c>
      <c r="Q160" s="2">
        <v>986.77</v>
      </c>
      <c r="R160" s="2" t="s">
        <v>44</v>
      </c>
      <c r="S160" s="2"/>
      <c r="T160" s="2">
        <f t="shared" si="49"/>
        <v>1</v>
      </c>
      <c r="U160" s="18">
        <f t="shared" si="50"/>
        <v>2</v>
      </c>
      <c r="V160" s="18">
        <f t="shared" si="51"/>
        <v>2025</v>
      </c>
      <c r="W160" s="18">
        <f t="shared" si="52"/>
        <v>4</v>
      </c>
      <c r="X160" s="18">
        <f t="shared" si="53"/>
        <v>2025</v>
      </c>
      <c r="Y160" s="2">
        <f t="shared" si="46"/>
        <v>0.69986048814334767</v>
      </c>
      <c r="Z160" t="str">
        <f t="shared" si="47"/>
        <v>SO16560</v>
      </c>
      <c r="AA160" s="11">
        <f t="shared" si="54"/>
        <v>45695.450486111113</v>
      </c>
      <c r="AB160" s="5" t="str">
        <f t="shared" si="55"/>
        <v>INV12622</v>
      </c>
      <c r="AC160" s="5" t="str">
        <f>IFERROR(VLOOKUP(D160,CAARStatus!$A$2:$AA$1600,22,FALSE),"Not invoiced")</f>
        <v>Paid</v>
      </c>
      <c r="AD160" s="11">
        <f>IF(AC160="Paid",IFERROR(VLOOKUP(D160,CAARStatus!$A$2:$AA$1600,6,FALSE),"Pending"),"Pending")</f>
        <v>45764</v>
      </c>
      <c r="AE160" s="5" t="str">
        <f t="shared" si="56"/>
        <v>4500580330</v>
      </c>
      <c r="AF160" s="5" t="str">
        <f t="shared" si="57"/>
        <v>Resolute Forest Products - Kenogami</v>
      </c>
      <c r="AG160" s="5" t="str">
        <f t="shared" si="58"/>
        <v>CAD</v>
      </c>
      <c r="AH160" s="5">
        <f t="shared" si="59"/>
        <v>939.78</v>
      </c>
      <c r="AI160" s="12">
        <f>IF(L160-N160=0,VLOOKUP(U160,rate!A$4:B$15,2,FALSE)*AH160,IF(AG160="USD",O160,AH160*Y160))</f>
        <v>657.71488954735526</v>
      </c>
      <c r="AJ160" s="13">
        <f t="shared" si="60"/>
        <v>0.69986048814334767</v>
      </c>
      <c r="AK160" s="13">
        <f>-IF(AG160="CAD",IFERROR(VLOOKUP(D160,CAARStatus!$A$1:$Y$1600,16,FALSE),0),0)</f>
        <v>-939.78</v>
      </c>
      <c r="AL160" s="13">
        <f>-IF(AG160="USD",IFERROR(VLOOKUP(D160,CAARStatus!$A$1:$Y$1600,11,FALSE),0),0)</f>
        <v>0</v>
      </c>
      <c r="AM160" s="22">
        <f t="shared" si="61"/>
        <v>0</v>
      </c>
      <c r="AN160" s="12" t="str">
        <f t="shared" si="62"/>
        <v/>
      </c>
      <c r="AO160" s="12" t="str">
        <f t="shared" si="63"/>
        <v>Yes</v>
      </c>
      <c r="AP160" t="str">
        <f t="shared" si="48"/>
        <v>Yes</v>
      </c>
      <c r="AQ160" t="str">
        <f>IFERROR(VLOOKUP(Z160,InvBal!$L$4:$P$600,4,FALSE),"Pend")</f>
        <v>Pend</v>
      </c>
      <c r="AR160" t="str">
        <f>IFERROR(VLOOKUP(D160,Manual!$C$1:$E$22,2,FALSE),"Pend")</f>
        <v>Pend</v>
      </c>
      <c r="AS160" t="str">
        <f t="shared" si="64"/>
        <v>Yes</v>
      </c>
      <c r="AT160" t="str">
        <f t="shared" si="65"/>
        <v>Yes</v>
      </c>
      <c r="AU160" s="51" t="str">
        <f t="shared" si="66"/>
        <v>Yes</v>
      </c>
      <c r="AV160" s="12">
        <f>IFERROR(VLOOKUP(D160,'Receivable Invoice Detail'!$S$1:$U$3014,3,FALSE),0)</f>
        <v>0</v>
      </c>
      <c r="AW160" s="12">
        <f t="shared" si="67"/>
        <v>657.71488954735526</v>
      </c>
    </row>
    <row r="161" spans="1:49" x14ac:dyDescent="0.25">
      <c r="A161" s="2">
        <v>1</v>
      </c>
      <c r="B161" s="2" t="s">
        <v>1954</v>
      </c>
      <c r="C161" s="2" t="s">
        <v>1955</v>
      </c>
      <c r="D161" s="2" t="s">
        <v>2451</v>
      </c>
      <c r="E161" s="2" t="s">
        <v>64</v>
      </c>
      <c r="F161" s="3">
        <v>45695.546620370369</v>
      </c>
      <c r="G161" s="3">
        <v>45706.694479166668</v>
      </c>
      <c r="H161" s="4">
        <v>45707</v>
      </c>
      <c r="I161" s="2" t="s">
        <v>21</v>
      </c>
      <c r="J161" s="2" t="s">
        <v>22</v>
      </c>
      <c r="K161" s="2">
        <v>1</v>
      </c>
      <c r="L161" s="2">
        <v>607.11</v>
      </c>
      <c r="M161" s="2">
        <v>607.11</v>
      </c>
      <c r="N161" s="2">
        <v>607.11</v>
      </c>
      <c r="O161" s="2">
        <v>537.27</v>
      </c>
      <c r="P161" s="2">
        <v>69.84</v>
      </c>
      <c r="Q161" s="2">
        <v>607.11</v>
      </c>
      <c r="R161" s="2" t="s">
        <v>44</v>
      </c>
      <c r="S161" s="2"/>
      <c r="T161" s="2">
        <f t="shared" si="49"/>
        <v>1</v>
      </c>
      <c r="U161" s="18">
        <f t="shared" si="50"/>
        <v>2</v>
      </c>
      <c r="V161" s="18">
        <f t="shared" si="51"/>
        <v>2025</v>
      </c>
      <c r="W161" s="18">
        <f t="shared" si="52"/>
        <v>4</v>
      </c>
      <c r="X161" s="18">
        <f t="shared" si="53"/>
        <v>2025</v>
      </c>
      <c r="Y161" s="2">
        <f t="shared" si="46"/>
        <v>1</v>
      </c>
      <c r="Z161" t="str">
        <f t="shared" si="47"/>
        <v>SO16561</v>
      </c>
      <c r="AA161" s="11">
        <f t="shared" si="54"/>
        <v>45695.546620370369</v>
      </c>
      <c r="AB161" s="5" t="str">
        <f t="shared" si="55"/>
        <v>INV12693</v>
      </c>
      <c r="AC161" s="5" t="str">
        <f>IFERROR(VLOOKUP(D161,CAARStatus!$A$2:$AA$1600,22,FALSE),"Not invoiced")</f>
        <v>Paid</v>
      </c>
      <c r="AD161" s="11">
        <f>IF(AC161="Paid",IFERROR(VLOOKUP(D161,CAARStatus!$A$2:$AA$1600,6,FALSE),"Pending"),"Pending")</f>
        <v>45763</v>
      </c>
      <c r="AE161" s="5" t="str">
        <f t="shared" si="56"/>
        <v>606867</v>
      </c>
      <c r="AF161" s="5" t="str">
        <f t="shared" si="57"/>
        <v>Sealtrac Inc.</v>
      </c>
      <c r="AG161" s="5" t="str">
        <f t="shared" si="58"/>
        <v>CAD</v>
      </c>
      <c r="AH161" s="5">
        <f t="shared" si="59"/>
        <v>537.27</v>
      </c>
      <c r="AI161" s="12">
        <f>IF(L161-N161=0,VLOOKUP(U161,rate!A$4:B$15,2,FALSE)*AH161,IF(AG161="USD",O161,AH161*Y161))</f>
        <v>377.31639541253833</v>
      </c>
      <c r="AJ161" s="13">
        <f t="shared" si="60"/>
        <v>0.70228450390406749</v>
      </c>
      <c r="AK161" s="13">
        <f>-IF(AG161="CAD",IFERROR(VLOOKUP(D161,CAARStatus!$A$1:$Y$1600,16,FALSE),0),0)</f>
        <v>-537.27</v>
      </c>
      <c r="AL161" s="13">
        <f>-IF(AG161="USD",IFERROR(VLOOKUP(D161,CAARStatus!$A$1:$Y$1600,11,FALSE),0),0)</f>
        <v>0</v>
      </c>
      <c r="AM161" s="22">
        <f t="shared" si="61"/>
        <v>0</v>
      </c>
      <c r="AN161" s="12" t="str">
        <f t="shared" si="62"/>
        <v/>
      </c>
      <c r="AO161" s="12" t="str">
        <f t="shared" si="63"/>
        <v>Yes</v>
      </c>
      <c r="AP161" t="str">
        <f t="shared" si="48"/>
        <v>Yes</v>
      </c>
      <c r="AQ161" t="str">
        <f>IFERROR(VLOOKUP(Z161,InvBal!$L$4:$P$600,4,FALSE),"Pend")</f>
        <v>Pend</v>
      </c>
      <c r="AR161" t="str">
        <f>IFERROR(VLOOKUP(D161,Manual!$C$1:$E$22,2,FALSE),"Pend")</f>
        <v>Pend</v>
      </c>
      <c r="AS161" t="str">
        <f t="shared" si="64"/>
        <v>Yes</v>
      </c>
      <c r="AT161" t="str">
        <f t="shared" si="65"/>
        <v>Yes</v>
      </c>
      <c r="AU161" s="51" t="str">
        <f t="shared" si="66"/>
        <v>Yes</v>
      </c>
      <c r="AV161" s="12">
        <f>IFERROR(VLOOKUP(D161,'Receivable Invoice Detail'!$S$1:$U$3014,3,FALSE),0)</f>
        <v>0</v>
      </c>
      <c r="AW161" s="12">
        <f t="shared" si="67"/>
        <v>377.31639541253833</v>
      </c>
    </row>
    <row r="162" spans="1:49" ht="30" x14ac:dyDescent="0.25">
      <c r="A162" s="2">
        <v>2</v>
      </c>
      <c r="B162" s="2" t="s">
        <v>2021</v>
      </c>
      <c r="C162" s="2" t="s">
        <v>2022</v>
      </c>
      <c r="D162" s="2" t="s">
        <v>2412</v>
      </c>
      <c r="E162" s="2" t="s">
        <v>98</v>
      </c>
      <c r="F162" s="3">
        <v>45698.403321759259</v>
      </c>
      <c r="G162" s="3">
        <v>45699.568912037037</v>
      </c>
      <c r="H162" s="4">
        <v>45776</v>
      </c>
      <c r="I162" s="2" t="s">
        <v>1132</v>
      </c>
      <c r="J162" s="2" t="s">
        <v>22</v>
      </c>
      <c r="K162" s="2">
        <v>1</v>
      </c>
      <c r="L162" s="2">
        <v>15007.69</v>
      </c>
      <c r="M162" s="2">
        <v>0</v>
      </c>
      <c r="N162" s="2">
        <v>10488.43140647928</v>
      </c>
      <c r="O162" s="2">
        <v>13281.16</v>
      </c>
      <c r="P162" s="2">
        <v>1726.53</v>
      </c>
      <c r="Q162" s="2">
        <v>15007.69</v>
      </c>
      <c r="R162" s="2" t="s">
        <v>44</v>
      </c>
      <c r="S162" s="2"/>
      <c r="T162" s="2">
        <f t="shared" si="49"/>
        <v>2</v>
      </c>
      <c r="U162" s="18">
        <f t="shared" si="50"/>
        <v>2</v>
      </c>
      <c r="V162" s="18">
        <f t="shared" si="51"/>
        <v>2025</v>
      </c>
      <c r="W162" s="18">
        <f t="shared" si="52"/>
        <v>5</v>
      </c>
      <c r="X162" s="18">
        <f t="shared" si="53"/>
        <v>2025</v>
      </c>
      <c r="Y162" s="2">
        <f t="shared" si="46"/>
        <v>0.69887047283621129</v>
      </c>
      <c r="Z162" t="str">
        <f t="shared" si="47"/>
        <v>SO16564</v>
      </c>
      <c r="AA162" s="11">
        <f t="shared" si="54"/>
        <v>45698.403321759259</v>
      </c>
      <c r="AB162" s="5" t="str">
        <f t="shared" si="55"/>
        <v>INV12880</v>
      </c>
      <c r="AC162" s="5" t="str">
        <f>IFERROR(VLOOKUP(D162,CAARStatus!$A$2:$AA$1600,22,FALSE),"Not invoiced")</f>
        <v>Paid</v>
      </c>
      <c r="AD162" s="11">
        <f>IF(AC162="Paid",IFERROR(VLOOKUP(D162,CAARStatus!$A$2:$AA$1600,6,FALSE),"Pending"),"Pending")</f>
        <v>45798</v>
      </c>
      <c r="AE162" s="5" t="str">
        <f t="shared" si="56"/>
        <v>007750</v>
      </c>
      <c r="AF162" s="5" t="str">
        <f t="shared" si="57"/>
        <v>Sling-Choker Manufacturing - Timmins</v>
      </c>
      <c r="AG162" s="5" t="str">
        <f t="shared" si="58"/>
        <v>CAD</v>
      </c>
      <c r="AH162" s="5">
        <f t="shared" si="59"/>
        <v>13281.16</v>
      </c>
      <c r="AI162" s="12">
        <f>IF(L162-N162=0,VLOOKUP(U162,rate!A$4:B$15,2,FALSE)*AH162,IF(AG162="USD",O162,AH162*Y162))</f>
        <v>9281.8105690133762</v>
      </c>
      <c r="AJ162" s="13">
        <f t="shared" si="60"/>
        <v>0.69887047283621129</v>
      </c>
      <c r="AK162" s="13">
        <f>-IF(AG162="CAD",IFERROR(VLOOKUP(D162,CAARStatus!$A$1:$Y$1600,16,FALSE),0),0)</f>
        <v>-12249.7</v>
      </c>
      <c r="AL162" s="13">
        <f>-IF(AG162="USD",IFERROR(VLOOKUP(D162,CAARStatus!$A$1:$Y$1600,11,FALSE),0),0)</f>
        <v>0</v>
      </c>
      <c r="AM162" s="22">
        <f t="shared" si="61"/>
        <v>1031.4599999999991</v>
      </c>
      <c r="AN162" s="12" t="str">
        <f t="shared" si="62"/>
        <v/>
      </c>
      <c r="AO162" s="12" t="str">
        <f t="shared" si="63"/>
        <v>Yes</v>
      </c>
      <c r="AP162" t="str">
        <f t="shared" si="48"/>
        <v>XX</v>
      </c>
      <c r="AQ162" t="str">
        <f>IFERROR(VLOOKUP(Z162,InvBal!$L$4:$P$600,4,FALSE),"Pend")</f>
        <v>Yes</v>
      </c>
      <c r="AR162" t="str">
        <f>IFERROR(VLOOKUP(D162,Manual!$C$1:$E$22,2,FALSE),"Pend")</f>
        <v>Pend</v>
      </c>
      <c r="AS162" t="str">
        <f t="shared" si="64"/>
        <v>Yes</v>
      </c>
      <c r="AT162" t="str">
        <f t="shared" si="65"/>
        <v>Yes</v>
      </c>
      <c r="AU162" s="51" t="str">
        <f t="shared" si="66"/>
        <v>Yes</v>
      </c>
      <c r="AV162" s="12">
        <f>IFERROR(VLOOKUP(D162,'Receivable Invoice Detail'!$S$1:$U$3014,3,FALSE),0)</f>
        <v>0</v>
      </c>
      <c r="AW162" s="12">
        <f t="shared" si="67"/>
        <v>9281.8105690133762</v>
      </c>
    </row>
    <row r="163" spans="1:49" x14ac:dyDescent="0.25">
      <c r="A163" s="2"/>
      <c r="B163" s="2"/>
      <c r="C163" s="2"/>
      <c r="D163" s="2" t="s">
        <v>2411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>
        <f t="shared" si="49"/>
        <v>2</v>
      </c>
      <c r="U163" s="18">
        <f t="shared" si="50"/>
        <v>2</v>
      </c>
      <c r="V163" s="18">
        <f t="shared" si="51"/>
        <v>2025</v>
      </c>
      <c r="W163" s="18">
        <f t="shared" si="52"/>
        <v>3</v>
      </c>
      <c r="X163" s="18">
        <f t="shared" si="53"/>
        <v>2025</v>
      </c>
      <c r="Y163" s="2">
        <f t="shared" si="46"/>
        <v>0.69887047283621129</v>
      </c>
      <c r="Z163" t="str">
        <f t="shared" si="47"/>
        <v>SO16564</v>
      </c>
      <c r="AA163" s="11">
        <f t="shared" si="54"/>
        <v>45698.403321759259</v>
      </c>
      <c r="AB163" s="5" t="str">
        <f t="shared" si="55"/>
        <v>INV12664</v>
      </c>
      <c r="AC163" s="5" t="str">
        <f>IFERROR(VLOOKUP(D163,CAARStatus!$A$2:$AA$1600,22,FALSE),"Not invoiced")</f>
        <v>Paid</v>
      </c>
      <c r="AD163" s="11">
        <f>IF(AC163="Paid",IFERROR(VLOOKUP(D163,CAARStatus!$A$2:$AA$1600,6,FALSE),"Pending"),"Pending")</f>
        <v>45742</v>
      </c>
      <c r="AE163" s="5" t="str">
        <f t="shared" si="56"/>
        <v>007750</v>
      </c>
      <c r="AF163" s="5" t="str">
        <f t="shared" si="57"/>
        <v>Sling-Choker Manufacturing - Timmins</v>
      </c>
      <c r="AG163" s="5" t="str">
        <f t="shared" si="58"/>
        <v>CAD</v>
      </c>
      <c r="AH163" s="5">
        <f t="shared" si="59"/>
        <v>0</v>
      </c>
      <c r="AI163" s="12">
        <f>IF(L163-N163=0,VLOOKUP(U163,rate!A$4:B$15,2,FALSE)*AH163,IF(AG163="USD",O163,AH163*Y163))</f>
        <v>0</v>
      </c>
      <c r="AJ163" s="13">
        <f t="shared" si="60"/>
        <v>0</v>
      </c>
      <c r="AK163" s="13">
        <f>-IF(AG163="CAD",IFERROR(VLOOKUP(D163,CAARStatus!$A$1:$Y$1600,16,FALSE),0),0)</f>
        <v>-1031.46</v>
      </c>
      <c r="AL163" s="13">
        <f>-IF(AG163="USD",IFERROR(VLOOKUP(D163,CAARStatus!$A$1:$Y$1600,11,FALSE),0),0)</f>
        <v>0</v>
      </c>
      <c r="AM163" s="22">
        <f t="shared" si="61"/>
        <v>-1031.46</v>
      </c>
      <c r="AN163" s="12" t="str">
        <f t="shared" si="62"/>
        <v/>
      </c>
      <c r="AO163" s="12" t="str">
        <f t="shared" si="63"/>
        <v>Yes</v>
      </c>
      <c r="AP163" t="str">
        <f t="shared" si="48"/>
        <v>XX</v>
      </c>
      <c r="AQ163" t="str">
        <f>IFERROR(VLOOKUP(Z163,InvBal!$L$4:$P$600,4,FALSE),"Pend")</f>
        <v>Yes</v>
      </c>
      <c r="AR163" t="str">
        <f>IFERROR(VLOOKUP(D163,Manual!$C$1:$E$22,2,FALSE),"Pend")</f>
        <v>Pend</v>
      </c>
      <c r="AS163" t="str">
        <f t="shared" si="64"/>
        <v>Yes</v>
      </c>
      <c r="AT163" t="str">
        <f t="shared" si="65"/>
        <v/>
      </c>
      <c r="AU163" s="51" t="str">
        <f t="shared" si="66"/>
        <v/>
      </c>
      <c r="AV163" s="12">
        <f>IFERROR(VLOOKUP(D163,'Receivable Invoice Detail'!$S$1:$U$3014,3,FALSE),0)</f>
        <v>0</v>
      </c>
      <c r="AW163" s="12">
        <f t="shared" si="67"/>
        <v>0</v>
      </c>
    </row>
    <row r="164" spans="1:49" x14ac:dyDescent="0.25">
      <c r="A164" s="2">
        <v>1</v>
      </c>
      <c r="B164" s="2" t="s">
        <v>1889</v>
      </c>
      <c r="C164" s="2" t="s">
        <v>1890</v>
      </c>
      <c r="D164" s="2" t="s">
        <v>2486</v>
      </c>
      <c r="E164" s="2" t="s">
        <v>54</v>
      </c>
      <c r="F164" s="3">
        <v>45698.574097222219</v>
      </c>
      <c r="G164" s="3">
        <v>45714.532372685193</v>
      </c>
      <c r="H164" s="4">
        <v>45715</v>
      </c>
      <c r="I164" s="2" t="s">
        <v>21</v>
      </c>
      <c r="J164" s="2" t="s">
        <v>22</v>
      </c>
      <c r="K164" s="2">
        <v>1</v>
      </c>
      <c r="L164" s="2">
        <v>1269.5899999999999</v>
      </c>
      <c r="M164" s="2">
        <v>0</v>
      </c>
      <c r="N164" s="2">
        <v>884.80163848211089</v>
      </c>
      <c r="O164" s="2">
        <v>1209.1300000000001</v>
      </c>
      <c r="P164" s="2">
        <v>60.46</v>
      </c>
      <c r="Q164" s="2">
        <v>1269.5899999999999</v>
      </c>
      <c r="R164" s="2" t="s">
        <v>44</v>
      </c>
      <c r="S164" s="2"/>
      <c r="T164" s="2">
        <f t="shared" si="49"/>
        <v>1</v>
      </c>
      <c r="U164" s="18">
        <f t="shared" si="50"/>
        <v>2</v>
      </c>
      <c r="V164" s="18">
        <f t="shared" si="51"/>
        <v>2025</v>
      </c>
      <c r="W164" s="18">
        <f t="shared" si="52"/>
        <v>4</v>
      </c>
      <c r="X164" s="18">
        <f t="shared" si="53"/>
        <v>2025</v>
      </c>
      <c r="Y164" s="2">
        <f t="shared" si="46"/>
        <v>0.69691919319001483</v>
      </c>
      <c r="Z164" t="str">
        <f t="shared" si="47"/>
        <v>SO16568</v>
      </c>
      <c r="AA164" s="11">
        <f t="shared" si="54"/>
        <v>45698.574097222219</v>
      </c>
      <c r="AB164" s="5" t="str">
        <f t="shared" si="55"/>
        <v>INV12741</v>
      </c>
      <c r="AC164" s="5" t="str">
        <f>IFERROR(VLOOKUP(D164,CAARStatus!$A$2:$AA$1600,22,FALSE),"Not invoiced")</f>
        <v>Paid</v>
      </c>
      <c r="AD164" s="11">
        <f>IF(AC164="Paid",IFERROR(VLOOKUP(D164,CAARStatus!$A$2:$AA$1600,6,FALSE),"Pending"),"Pending")</f>
        <v>45769</v>
      </c>
      <c r="AE164" s="5" t="str">
        <f t="shared" si="56"/>
        <v>3069</v>
      </c>
      <c r="AF164" s="5" t="str">
        <f t="shared" si="57"/>
        <v>Les Pompes du St-Laurent Inc.</v>
      </c>
      <c r="AG164" s="5" t="str">
        <f t="shared" si="58"/>
        <v>CAD</v>
      </c>
      <c r="AH164" s="5">
        <f t="shared" si="59"/>
        <v>1209.1300000000001</v>
      </c>
      <c r="AI164" s="12">
        <f>IF(L164-N164=0,VLOOKUP(U164,rate!A$4:B$15,2,FALSE)*AH164,IF(AG164="USD",O164,AH164*Y164))</f>
        <v>842.66590406184275</v>
      </c>
      <c r="AJ164" s="13">
        <f t="shared" si="60"/>
        <v>0.69691919319001483</v>
      </c>
      <c r="AK164" s="13">
        <f>-IF(AG164="CAD",IFERROR(VLOOKUP(D164,CAARStatus!$A$1:$Y$1600,16,FALSE),0),0)</f>
        <v>-1209.1300000000001</v>
      </c>
      <c r="AL164" s="13">
        <f>-IF(AG164="USD",IFERROR(VLOOKUP(D164,CAARStatus!$A$1:$Y$1600,11,FALSE),0),0)</f>
        <v>0</v>
      </c>
      <c r="AM164" s="22">
        <f t="shared" si="61"/>
        <v>0</v>
      </c>
      <c r="AN164" s="12" t="str">
        <f t="shared" si="62"/>
        <v/>
      </c>
      <c r="AO164" s="12" t="str">
        <f t="shared" si="63"/>
        <v>Yes</v>
      </c>
      <c r="AP164" t="str">
        <f t="shared" si="48"/>
        <v>Yes</v>
      </c>
      <c r="AQ164" t="str">
        <f>IFERROR(VLOOKUP(Z164,InvBal!$L$4:$P$600,4,FALSE),"Pend")</f>
        <v>Pend</v>
      </c>
      <c r="AR164" t="str">
        <f>IFERROR(VLOOKUP(D164,Manual!$C$1:$E$22,2,FALSE),"Pend")</f>
        <v>Pend</v>
      </c>
      <c r="AS164" t="str">
        <f t="shared" si="64"/>
        <v>Yes</v>
      </c>
      <c r="AT164" t="str">
        <f t="shared" si="65"/>
        <v>Yes</v>
      </c>
      <c r="AU164" s="51" t="str">
        <f t="shared" si="66"/>
        <v>Yes</v>
      </c>
      <c r="AV164" s="12">
        <f>IFERROR(VLOOKUP(D164,'Receivable Invoice Detail'!$S$1:$U$3014,3,FALSE),0)</f>
        <v>0</v>
      </c>
      <c r="AW164" s="12">
        <f t="shared" si="67"/>
        <v>842.66590406184275</v>
      </c>
    </row>
    <row r="165" spans="1:49" ht="30" x14ac:dyDescent="0.25">
      <c r="A165" s="2">
        <v>1</v>
      </c>
      <c r="B165" s="2" t="s">
        <v>2034</v>
      </c>
      <c r="C165" s="2" t="s">
        <v>2035</v>
      </c>
      <c r="D165" s="2" t="s">
        <v>2402</v>
      </c>
      <c r="E165" s="2" t="s">
        <v>159</v>
      </c>
      <c r="F165" s="3">
        <v>45698.605717592603</v>
      </c>
      <c r="G165" s="3">
        <v>45698.605752314812</v>
      </c>
      <c r="H165" s="4">
        <v>45707</v>
      </c>
      <c r="I165" s="2" t="s">
        <v>426</v>
      </c>
      <c r="J165" s="2" t="s">
        <v>51</v>
      </c>
      <c r="K165" s="2">
        <v>0.69968074493980925</v>
      </c>
      <c r="L165" s="2">
        <v>14139.591623106729</v>
      </c>
      <c r="M165" s="2">
        <v>0</v>
      </c>
      <c r="N165" s="2">
        <v>9893.2000000000007</v>
      </c>
      <c r="O165" s="2">
        <v>9893.2000000000007</v>
      </c>
      <c r="P165" s="2"/>
      <c r="Q165" s="2">
        <v>9893.2000000000007</v>
      </c>
      <c r="R165" s="2" t="s">
        <v>44</v>
      </c>
      <c r="S165" s="2"/>
      <c r="T165" s="2">
        <f t="shared" si="49"/>
        <v>1</v>
      </c>
      <c r="U165" s="18">
        <f t="shared" si="50"/>
        <v>2</v>
      </c>
      <c r="V165" s="18">
        <f t="shared" si="51"/>
        <v>2025</v>
      </c>
      <c r="W165" s="18">
        <f t="shared" si="52"/>
        <v>4</v>
      </c>
      <c r="X165" s="18">
        <f t="shared" si="53"/>
        <v>2025</v>
      </c>
      <c r="Y165" s="2">
        <f t="shared" si="46"/>
        <v>0.69968074493980914</v>
      </c>
      <c r="Z165" t="str">
        <f t="shared" si="47"/>
        <v>SO16569</v>
      </c>
      <c r="AA165" s="11">
        <f t="shared" si="54"/>
        <v>45698.605717592603</v>
      </c>
      <c r="AB165" s="5" t="str">
        <f t="shared" si="55"/>
        <v>INV12645</v>
      </c>
      <c r="AC165" s="5" t="str">
        <f>IFERROR(VLOOKUP(D165,CAARStatus!$A$2:$AA$1600,22,FALSE),"Not invoiced")</f>
        <v>Paid</v>
      </c>
      <c r="AD165" s="11">
        <f>IF(AC165="Paid",IFERROR(VLOOKUP(D165,CAARStatus!$A$2:$AA$1600,6,FALSE),"Pending"),"Pending")</f>
        <v>45758</v>
      </c>
      <c r="AE165" s="5" t="str">
        <f t="shared" si="56"/>
        <v>4501107274</v>
      </c>
      <c r="AF165" s="5" t="str">
        <f t="shared" si="57"/>
        <v>Barrick Gold - Pueblo Viejo Dominicana Corporation</v>
      </c>
      <c r="AG165" s="5" t="str">
        <f t="shared" si="58"/>
        <v>USD</v>
      </c>
      <c r="AH165" s="5">
        <f t="shared" si="59"/>
        <v>14139.591623106726</v>
      </c>
      <c r="AI165" s="12">
        <f>IF(L165-N165=0,VLOOKUP(U165,rate!A$4:B$15,2,FALSE)*AH165,IF(AG165="USD",O165,AH165*Y165))</f>
        <v>9893.2000000000007</v>
      </c>
      <c r="AJ165" s="13">
        <f t="shared" si="60"/>
        <v>0.69968074493980925</v>
      </c>
      <c r="AK165" s="13">
        <f>-IF(AG165="CAD",IFERROR(VLOOKUP(D165,CAARStatus!$A$1:$Y$1600,16,FALSE),0),0)</f>
        <v>0</v>
      </c>
      <c r="AL165" s="13">
        <f>-IF(AG165="USD",IFERROR(VLOOKUP(D165,CAARStatus!$A$1:$Y$1600,11,FALSE),0),0)</f>
        <v>-9893.2000000000007</v>
      </c>
      <c r="AM165" s="22" t="str">
        <f t="shared" si="61"/>
        <v/>
      </c>
      <c r="AN165" s="12">
        <f t="shared" si="62"/>
        <v>0</v>
      </c>
      <c r="AO165" s="12" t="str">
        <f t="shared" si="63"/>
        <v>Yes</v>
      </c>
      <c r="AP165" t="str">
        <f t="shared" si="48"/>
        <v>Yes</v>
      </c>
      <c r="AQ165" t="str">
        <f>IFERROR(VLOOKUP(Z165,InvBal!$L$4:$P$600,4,FALSE),"Pend")</f>
        <v>Pend</v>
      </c>
      <c r="AR165" t="str">
        <f>IFERROR(VLOOKUP(D165,Manual!$C$1:$E$22,2,FALSE),"Pend")</f>
        <v>Pend</v>
      </c>
      <c r="AS165" t="str">
        <f t="shared" si="64"/>
        <v>Yes</v>
      </c>
      <c r="AT165" t="str">
        <f t="shared" si="65"/>
        <v>Yes</v>
      </c>
      <c r="AU165" s="51" t="str">
        <f t="shared" si="66"/>
        <v>Yes</v>
      </c>
      <c r="AV165" s="12">
        <f>IFERROR(VLOOKUP(D165,'Receivable Invoice Detail'!$S$1:$U$3014,3,FALSE),0)</f>
        <v>0</v>
      </c>
      <c r="AW165" s="12">
        <f t="shared" si="67"/>
        <v>9893.2000000000007</v>
      </c>
    </row>
    <row r="166" spans="1:49" ht="30" x14ac:dyDescent="0.25">
      <c r="A166" s="2">
        <v>2</v>
      </c>
      <c r="B166" s="2" t="s">
        <v>1969</v>
      </c>
      <c r="C166" s="2" t="s">
        <v>1970</v>
      </c>
      <c r="D166" s="2" t="s">
        <v>2444</v>
      </c>
      <c r="E166" s="2" t="s">
        <v>50</v>
      </c>
      <c r="F166" s="3">
        <v>45698.682083333333</v>
      </c>
      <c r="G166" s="3">
        <v>45706.428553240738</v>
      </c>
      <c r="H166" s="4">
        <v>45779</v>
      </c>
      <c r="I166" s="2" t="s">
        <v>1132</v>
      </c>
      <c r="J166" s="2" t="s">
        <v>51</v>
      </c>
      <c r="K166" s="2">
        <v>0.70491579277313177</v>
      </c>
      <c r="L166" s="2">
        <v>6885.1911813557999</v>
      </c>
      <c r="M166" s="2">
        <v>0</v>
      </c>
      <c r="N166" s="2">
        <v>4853.4799999999996</v>
      </c>
      <c r="O166" s="2">
        <v>4853.4799999999996</v>
      </c>
      <c r="P166" s="2"/>
      <c r="Q166" s="2">
        <v>4853.4799999999996</v>
      </c>
      <c r="R166" s="2" t="s">
        <v>44</v>
      </c>
      <c r="S166" s="2"/>
      <c r="T166" s="2">
        <f t="shared" si="49"/>
        <v>2</v>
      </c>
      <c r="U166" s="18">
        <f t="shared" si="50"/>
        <v>2</v>
      </c>
      <c r="V166" s="18">
        <f t="shared" si="51"/>
        <v>2025</v>
      </c>
      <c r="W166" s="18">
        <f t="shared" si="52"/>
        <v>3</v>
      </c>
      <c r="X166" s="18">
        <f t="shared" si="53"/>
        <v>2025</v>
      </c>
      <c r="Y166" s="2">
        <f t="shared" si="46"/>
        <v>0.70491579277313177</v>
      </c>
      <c r="Z166" t="str">
        <f t="shared" si="47"/>
        <v>SO16570</v>
      </c>
      <c r="AA166" s="11">
        <f t="shared" si="54"/>
        <v>45698.682083333333</v>
      </c>
      <c r="AB166" s="5" t="str">
        <f t="shared" si="55"/>
        <v>INV12628</v>
      </c>
      <c r="AC166" s="5" t="str">
        <f>IFERROR(VLOOKUP(D166,CAARStatus!$A$2:$AA$1600,22,FALSE),"Not invoiced")</f>
        <v>Paid</v>
      </c>
      <c r="AD166" s="11">
        <f>IF(AC166="Paid",IFERROR(VLOOKUP(D166,CAARStatus!$A$2:$AA$1600,6,FALSE),"Pending"),"Pending")</f>
        <v>45734</v>
      </c>
      <c r="AE166" s="5" t="str">
        <f t="shared" si="56"/>
        <v>PO003287</v>
      </c>
      <c r="AF166" s="5" t="str">
        <f t="shared" si="57"/>
        <v>Eleazar General &amp; Industrial Supplies Limited</v>
      </c>
      <c r="AG166" s="5" t="str">
        <f t="shared" si="58"/>
        <v>USD</v>
      </c>
      <c r="AH166" s="5">
        <f t="shared" si="59"/>
        <v>6885.1911813557999</v>
      </c>
      <c r="AI166" s="12">
        <f>IF(L166-N166=0,VLOOKUP(U166,rate!A$4:B$15,2,FALSE)*AH166,IF(AG166="USD",O166,AH166*Y166))</f>
        <v>4853.4799999999996</v>
      </c>
      <c r="AJ166" s="13">
        <f t="shared" si="60"/>
        <v>0.70491579277313177</v>
      </c>
      <c r="AK166" s="13">
        <f>-IF(AG166="CAD",IFERROR(VLOOKUP(D166,CAARStatus!$A$1:$Y$1600,16,FALSE),0),0)</f>
        <v>0</v>
      </c>
      <c r="AL166" s="13">
        <f>-IF(AG166="USD",IFERROR(VLOOKUP(D166,CAARStatus!$A$1:$Y$1600,11,FALSE),0),0)</f>
        <v>-1098.5899999999999</v>
      </c>
      <c r="AM166" s="22" t="str">
        <f t="shared" si="61"/>
        <v/>
      </c>
      <c r="AN166" s="12">
        <f t="shared" si="62"/>
        <v>3754.8899999999994</v>
      </c>
      <c r="AO166" s="12" t="str">
        <f t="shared" si="63"/>
        <v>Yes</v>
      </c>
      <c r="AP166" t="str">
        <f t="shared" si="48"/>
        <v>XX</v>
      </c>
      <c r="AQ166" t="str">
        <f>IFERROR(VLOOKUP(Z166,InvBal!$L$4:$P$600,4,FALSE),"Pend")</f>
        <v>Yes</v>
      </c>
      <c r="AR166" t="str">
        <f>IFERROR(VLOOKUP(D166,Manual!$C$1:$E$22,2,FALSE),"Pend")</f>
        <v>Pend</v>
      </c>
      <c r="AS166" t="str">
        <f t="shared" si="64"/>
        <v>Yes</v>
      </c>
      <c r="AT166" t="str">
        <f t="shared" si="65"/>
        <v>Yes</v>
      </c>
      <c r="AU166" s="51" t="str">
        <f t="shared" si="66"/>
        <v>Yes</v>
      </c>
      <c r="AV166" s="12">
        <f>IFERROR(VLOOKUP(D166,'Receivable Invoice Detail'!$S$1:$U$3014,3,FALSE),0)</f>
        <v>0</v>
      </c>
      <c r="AW166" s="12">
        <f t="shared" si="67"/>
        <v>4853.4799999999996</v>
      </c>
    </row>
    <row r="167" spans="1:49" x14ac:dyDescent="0.25">
      <c r="A167" s="2"/>
      <c r="B167" s="2"/>
      <c r="C167" s="2"/>
      <c r="D167" s="2" t="s">
        <v>2443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>
        <f t="shared" si="49"/>
        <v>2</v>
      </c>
      <c r="U167" s="18">
        <f t="shared" si="50"/>
        <v>2</v>
      </c>
      <c r="V167" s="18">
        <f t="shared" si="51"/>
        <v>2025</v>
      </c>
      <c r="W167" s="18">
        <f t="shared" si="52"/>
        <v>5</v>
      </c>
      <c r="X167" s="18">
        <f t="shared" si="53"/>
        <v>2025</v>
      </c>
      <c r="Y167" s="2">
        <f t="shared" si="46"/>
        <v>0.70491579277313177</v>
      </c>
      <c r="Z167" t="str">
        <f t="shared" si="47"/>
        <v>SO16570</v>
      </c>
      <c r="AA167" s="11">
        <f t="shared" si="54"/>
        <v>45698.682083333333</v>
      </c>
      <c r="AB167" s="5" t="str">
        <f t="shared" si="55"/>
        <v>INV12836</v>
      </c>
      <c r="AC167" s="5" t="str">
        <f>IFERROR(VLOOKUP(D167,CAARStatus!$A$2:$AA$1600,22,FALSE),"Not invoiced")</f>
        <v>Paid</v>
      </c>
      <c r="AD167" s="11">
        <f>IF(AC167="Paid",IFERROR(VLOOKUP(D167,CAARStatus!$A$2:$AA$1600,6,FALSE),"Pending"),"Pending")</f>
        <v>45799</v>
      </c>
      <c r="AE167" s="5" t="str">
        <f t="shared" si="56"/>
        <v>PO003287</v>
      </c>
      <c r="AF167" s="5" t="str">
        <f t="shared" si="57"/>
        <v>Eleazar General &amp; Industrial Supplies Limited</v>
      </c>
      <c r="AG167" s="5" t="str">
        <f t="shared" si="58"/>
        <v>USD</v>
      </c>
      <c r="AH167" s="5">
        <f t="shared" si="59"/>
        <v>0</v>
      </c>
      <c r="AI167" s="12">
        <f>IF(L167-N167=0,VLOOKUP(U167,rate!A$4:B$15,2,FALSE)*AH167,IF(AG167="USD",O167,AH167*Y167))</f>
        <v>0</v>
      </c>
      <c r="AJ167" s="13">
        <f t="shared" si="60"/>
        <v>0</v>
      </c>
      <c r="AK167" s="13">
        <f>-IF(AG167="CAD",IFERROR(VLOOKUP(D167,CAARStatus!$A$1:$Y$1600,16,FALSE),0),0)</f>
        <v>0</v>
      </c>
      <c r="AL167" s="13">
        <f>-IF(AG167="USD",IFERROR(VLOOKUP(D167,CAARStatus!$A$1:$Y$1600,11,FALSE),0),0)</f>
        <v>-3754.89</v>
      </c>
      <c r="AM167" s="22" t="str">
        <f t="shared" si="61"/>
        <v/>
      </c>
      <c r="AN167" s="12">
        <f t="shared" si="62"/>
        <v>-3754.89</v>
      </c>
      <c r="AO167" s="12" t="str">
        <f t="shared" si="63"/>
        <v>Yes</v>
      </c>
      <c r="AP167" t="str">
        <f t="shared" si="48"/>
        <v>XX</v>
      </c>
      <c r="AQ167" t="str">
        <f>IFERROR(VLOOKUP(Z167,InvBal!$L$4:$P$600,4,FALSE),"Pend")</f>
        <v>Yes</v>
      </c>
      <c r="AR167" t="str">
        <f>IFERROR(VLOOKUP(D167,Manual!$C$1:$E$22,2,FALSE),"Pend")</f>
        <v>Pend</v>
      </c>
      <c r="AS167" t="str">
        <f t="shared" si="64"/>
        <v>Yes</v>
      </c>
      <c r="AT167" t="str">
        <f t="shared" si="65"/>
        <v/>
      </c>
      <c r="AU167" s="51" t="str">
        <f t="shared" si="66"/>
        <v/>
      </c>
      <c r="AV167" s="12">
        <f>IFERROR(VLOOKUP(D167,'Receivable Invoice Detail'!$S$1:$U$3014,3,FALSE),0)</f>
        <v>0</v>
      </c>
      <c r="AW167" s="12">
        <f t="shared" si="67"/>
        <v>0</v>
      </c>
    </row>
    <row r="168" spans="1:49" x14ac:dyDescent="0.25">
      <c r="A168" s="2">
        <v>1</v>
      </c>
      <c r="B168" s="2" t="s">
        <v>2029</v>
      </c>
      <c r="C168" s="2" t="s">
        <v>2030</v>
      </c>
      <c r="D168" s="2" t="s">
        <v>2407</v>
      </c>
      <c r="E168" s="2" t="s">
        <v>2031</v>
      </c>
      <c r="F168" s="3">
        <v>45698.693738425929</v>
      </c>
      <c r="G168" s="3">
        <v>45698.693773148138</v>
      </c>
      <c r="H168" s="4">
        <v>45700</v>
      </c>
      <c r="I168" s="2" t="s">
        <v>71</v>
      </c>
      <c r="J168" s="2" t="s">
        <v>51</v>
      </c>
      <c r="K168" s="2">
        <v>0.69968074493980925</v>
      </c>
      <c r="L168" s="2">
        <v>10063.16102153949</v>
      </c>
      <c r="M168" s="2">
        <v>0</v>
      </c>
      <c r="N168" s="2">
        <v>7041</v>
      </c>
      <c r="O168" s="2">
        <v>7041</v>
      </c>
      <c r="P168" s="2"/>
      <c r="Q168" s="2">
        <v>7041</v>
      </c>
      <c r="R168" s="2" t="s">
        <v>44</v>
      </c>
      <c r="S168" s="2"/>
      <c r="T168" s="2">
        <f t="shared" si="49"/>
        <v>1</v>
      </c>
      <c r="U168" s="18">
        <f t="shared" si="50"/>
        <v>2</v>
      </c>
      <c r="V168" s="18">
        <f t="shared" si="51"/>
        <v>2025</v>
      </c>
      <c r="W168" s="18">
        <f t="shared" si="52"/>
        <v>5</v>
      </c>
      <c r="X168" s="18">
        <f t="shared" si="53"/>
        <v>2025</v>
      </c>
      <c r="Y168" s="17">
        <f t="shared" si="46"/>
        <v>0.69968074493980903</v>
      </c>
      <c r="Z168" t="str">
        <f t="shared" si="47"/>
        <v>SO16571</v>
      </c>
      <c r="AA168" s="11">
        <f t="shared" si="54"/>
        <v>45698.693738425929</v>
      </c>
      <c r="AB168" s="5" t="str">
        <f t="shared" si="55"/>
        <v>INV12619</v>
      </c>
      <c r="AC168" s="5" t="str">
        <f>IFERROR(VLOOKUP(D168,CAARStatus!$A$2:$AA$1600,22,FALSE),"Not invoiced")</f>
        <v>Paid</v>
      </c>
      <c r="AD168" s="11">
        <f>IF(AC168="Paid",IFERROR(VLOOKUP(D168,CAARStatus!$A$2:$AA$1600,6,FALSE),"Pending"),"Pending")</f>
        <v>45807</v>
      </c>
      <c r="AE168" s="5" t="str">
        <f t="shared" si="56"/>
        <v>P352424</v>
      </c>
      <c r="AF168" s="5" t="str">
        <f t="shared" si="57"/>
        <v>Covia Corp - Tunnel City</v>
      </c>
      <c r="AG168" s="5" t="str">
        <f t="shared" si="58"/>
        <v>USD</v>
      </c>
      <c r="AH168" s="5">
        <f t="shared" si="59"/>
        <v>10063.161021539487</v>
      </c>
      <c r="AI168" s="12">
        <f>IF(L168-N168=0,VLOOKUP(U168,rate!A$4:B$15,2,FALSE)*AH168,IF(AG168="USD",O168,AH168*Y168))</f>
        <v>7041</v>
      </c>
      <c r="AJ168" s="13">
        <f t="shared" si="60"/>
        <v>0.69968074493980925</v>
      </c>
      <c r="AK168" s="13">
        <f>-IF(AG168="CAD",IFERROR(VLOOKUP(D168,CAARStatus!$A$1:$Y$1600,16,FALSE),0),0)</f>
        <v>0</v>
      </c>
      <c r="AL168" s="13">
        <f>-IF(AG168="USD",IFERROR(VLOOKUP(D168,CAARStatus!$A$1:$Y$1600,11,FALSE),0),0)</f>
        <v>-7041</v>
      </c>
      <c r="AM168" s="22" t="str">
        <f t="shared" si="61"/>
        <v/>
      </c>
      <c r="AN168" s="12">
        <f t="shared" si="62"/>
        <v>0</v>
      </c>
      <c r="AO168" s="12" t="str">
        <f t="shared" si="63"/>
        <v>Yes</v>
      </c>
      <c r="AP168" t="str">
        <f t="shared" si="48"/>
        <v>Yes</v>
      </c>
      <c r="AQ168" t="str">
        <f>IFERROR(VLOOKUP(Z168,InvBal!$L$4:$P$600,4,FALSE),"Pend")</f>
        <v>Pend</v>
      </c>
      <c r="AR168" t="str">
        <f>IFERROR(VLOOKUP(D168,Manual!$C$1:$E$22,2,FALSE),"Pend")</f>
        <v>Pend</v>
      </c>
      <c r="AS168" t="str">
        <f t="shared" si="64"/>
        <v>Yes</v>
      </c>
      <c r="AT168" t="str">
        <f t="shared" si="65"/>
        <v>Yes</v>
      </c>
      <c r="AU168" s="51" t="str">
        <f t="shared" si="66"/>
        <v>Yes</v>
      </c>
      <c r="AV168" s="12">
        <f>IFERROR(VLOOKUP(D168,'Receivable Invoice Detail'!$S$1:$U$3014,3,FALSE),0)</f>
        <v>671</v>
      </c>
      <c r="AW168" s="12">
        <f t="shared" si="67"/>
        <v>6370</v>
      </c>
    </row>
    <row r="169" spans="1:49" x14ac:dyDescent="0.25">
      <c r="A169" s="2">
        <v>1</v>
      </c>
      <c r="B169" s="2" t="s">
        <v>2025</v>
      </c>
      <c r="C169" s="2" t="s">
        <v>2026</v>
      </c>
      <c r="D169" s="2" t="s">
        <v>2409</v>
      </c>
      <c r="E169" s="2" t="s">
        <v>146</v>
      </c>
      <c r="F169" s="3">
        <v>45698.696782407409</v>
      </c>
      <c r="G169" s="3">
        <v>45699.40415509259</v>
      </c>
      <c r="H169" s="4">
        <v>45700</v>
      </c>
      <c r="I169" s="2" t="s">
        <v>1132</v>
      </c>
      <c r="J169" s="2" t="s">
        <v>22</v>
      </c>
      <c r="K169" s="2">
        <v>1</v>
      </c>
      <c r="L169" s="2">
        <v>4198.72</v>
      </c>
      <c r="M169" s="2">
        <v>0</v>
      </c>
      <c r="N169" s="2">
        <v>2934.3614317068568</v>
      </c>
      <c r="O169" s="2">
        <v>3998.78</v>
      </c>
      <c r="P169" s="2">
        <v>199.94</v>
      </c>
      <c r="Q169" s="2">
        <v>4198.72</v>
      </c>
      <c r="R169" s="2" t="s">
        <v>44</v>
      </c>
      <c r="S169" s="2"/>
      <c r="T169" s="2">
        <f t="shared" si="49"/>
        <v>1</v>
      </c>
      <c r="U169" s="18">
        <f t="shared" si="50"/>
        <v>2</v>
      </c>
      <c r="V169" s="18">
        <f t="shared" si="51"/>
        <v>2025</v>
      </c>
      <c r="W169" s="18">
        <f t="shared" si="52"/>
        <v>4</v>
      </c>
      <c r="X169" s="18">
        <f t="shared" si="53"/>
        <v>2025</v>
      </c>
      <c r="Y169" s="2">
        <f t="shared" si="46"/>
        <v>0.69887047283621118</v>
      </c>
      <c r="Z169" t="str">
        <f t="shared" si="47"/>
        <v>SO16572</v>
      </c>
      <c r="AA169" s="11">
        <f t="shared" si="54"/>
        <v>45698.696782407409</v>
      </c>
      <c r="AB169" s="5" t="str">
        <f t="shared" si="55"/>
        <v>INV12616</v>
      </c>
      <c r="AC169" s="5" t="str">
        <f>IFERROR(VLOOKUP(D169,CAARStatus!$A$2:$AA$1600,22,FALSE),"Not invoiced")</f>
        <v>Paid</v>
      </c>
      <c r="AD169" s="11">
        <f>IF(AC169="Paid",IFERROR(VLOOKUP(D169,CAARStatus!$A$2:$AA$1600,6,FALSE),"Pending"),"Pending")</f>
        <v>45751</v>
      </c>
      <c r="AE169" s="5" t="str">
        <f t="shared" si="56"/>
        <v>6767</v>
      </c>
      <c r="AF169" s="5" t="str">
        <f t="shared" si="57"/>
        <v>Hyperflo</v>
      </c>
      <c r="AG169" s="5" t="str">
        <f t="shared" si="58"/>
        <v>CAD</v>
      </c>
      <c r="AH169" s="5">
        <f t="shared" si="59"/>
        <v>3998.78</v>
      </c>
      <c r="AI169" s="12">
        <f>IF(L169-N169=0,VLOOKUP(U169,rate!A$4:B$15,2,FALSE)*AH169,IF(AG169="USD",O169,AH169*Y169))</f>
        <v>2794.6292693679848</v>
      </c>
      <c r="AJ169" s="13">
        <f t="shared" si="60"/>
        <v>0.69887047283621118</v>
      </c>
      <c r="AK169" s="13">
        <f>-IF(AG169="CAD",IFERROR(VLOOKUP(D169,CAARStatus!$A$1:$Y$1600,16,FALSE),0),0)</f>
        <v>-3998.78</v>
      </c>
      <c r="AL169" s="13">
        <f>-IF(AG169="USD",IFERROR(VLOOKUP(D169,CAARStatus!$A$1:$Y$1600,11,FALSE),0),0)</f>
        <v>0</v>
      </c>
      <c r="AM169" s="22">
        <f t="shared" si="61"/>
        <v>0</v>
      </c>
      <c r="AN169" s="12" t="str">
        <f t="shared" si="62"/>
        <v/>
      </c>
      <c r="AO169" s="12" t="str">
        <f t="shared" si="63"/>
        <v>Yes</v>
      </c>
      <c r="AP169" t="str">
        <f t="shared" si="48"/>
        <v>Yes</v>
      </c>
      <c r="AQ169" t="str">
        <f>IFERROR(VLOOKUP(Z169,InvBal!$L$4:$P$600,4,FALSE),"Pend")</f>
        <v>Pend</v>
      </c>
      <c r="AR169" t="str">
        <f>IFERROR(VLOOKUP(D169,Manual!$C$1:$E$22,2,FALSE),"Pend")</f>
        <v>Pend</v>
      </c>
      <c r="AS169" t="str">
        <f t="shared" si="64"/>
        <v>Yes</v>
      </c>
      <c r="AT169" t="str">
        <f t="shared" si="65"/>
        <v>Yes</v>
      </c>
      <c r="AU169" s="51" t="str">
        <f t="shared" si="66"/>
        <v>Yes</v>
      </c>
      <c r="AV169" s="12">
        <f>IFERROR(VLOOKUP(D169,'Receivable Invoice Detail'!$S$1:$U$3014,3,FALSE),0)</f>
        <v>0</v>
      </c>
      <c r="AW169" s="12">
        <f t="shared" si="67"/>
        <v>2794.6292693679848</v>
      </c>
    </row>
    <row r="170" spans="1:49" ht="30" x14ac:dyDescent="0.25">
      <c r="A170" s="2">
        <v>1</v>
      </c>
      <c r="B170" s="2" t="s">
        <v>2027</v>
      </c>
      <c r="C170" s="2" t="s">
        <v>2028</v>
      </c>
      <c r="D170" s="2" t="s">
        <v>2408</v>
      </c>
      <c r="E170" s="2" t="s">
        <v>129</v>
      </c>
      <c r="F170" s="3">
        <v>45698.781655092593</v>
      </c>
      <c r="G170" s="3">
        <v>45698.781111111108</v>
      </c>
      <c r="H170" s="4">
        <v>45758</v>
      </c>
      <c r="I170" s="2" t="s">
        <v>130</v>
      </c>
      <c r="J170" s="2" t="s">
        <v>51</v>
      </c>
      <c r="K170" s="2">
        <v>0.69968074493980925</v>
      </c>
      <c r="L170" s="2">
        <v>18579.902468401269</v>
      </c>
      <c r="M170" s="2">
        <v>0</v>
      </c>
      <c r="N170" s="2">
        <v>13000</v>
      </c>
      <c r="O170" s="2">
        <v>13000</v>
      </c>
      <c r="P170" s="2"/>
      <c r="Q170" s="2">
        <v>13000</v>
      </c>
      <c r="R170" s="2" t="s">
        <v>44</v>
      </c>
      <c r="S170" s="2"/>
      <c r="T170" s="2">
        <f t="shared" si="49"/>
        <v>1</v>
      </c>
      <c r="U170" s="18">
        <f t="shared" si="50"/>
        <v>2</v>
      </c>
      <c r="V170" s="18">
        <f t="shared" si="51"/>
        <v>2025</v>
      </c>
      <c r="W170" s="18" t="str">
        <f t="shared" si="52"/>
        <v/>
      </c>
      <c r="X170" s="18" t="str">
        <f t="shared" si="53"/>
        <v/>
      </c>
      <c r="Y170" s="2">
        <f t="shared" si="46"/>
        <v>0.69968074493980925</v>
      </c>
      <c r="Z170" t="str">
        <f t="shared" si="47"/>
        <v>SO16574</v>
      </c>
      <c r="AA170" s="11">
        <f t="shared" si="54"/>
        <v>45698.781655092593</v>
      </c>
      <c r="AB170" s="5" t="str">
        <f t="shared" si="55"/>
        <v>INV13016</v>
      </c>
      <c r="AC170" s="5" t="str">
        <f>IFERROR(VLOOKUP(D170,CAARStatus!$A$2:$AA$1600,22,FALSE),"Not invoiced")</f>
        <v>Approved</v>
      </c>
      <c r="AD170" s="11" t="str">
        <f>IF(AC170="Paid",IFERROR(VLOOKUP(D170,CAARStatus!$A$2:$AA$1600,6,FALSE),"Pending"),"Pending")</f>
        <v>Pending</v>
      </c>
      <c r="AE170" s="5" t="str">
        <f t="shared" si="56"/>
        <v>OC00144</v>
      </c>
      <c r="AF170" s="5" t="str">
        <f t="shared" si="57"/>
        <v>Dynapro Pumps México S de RL de CV</v>
      </c>
      <c r="AG170" s="5" t="str">
        <f t="shared" si="58"/>
        <v>USD</v>
      </c>
      <c r="AH170" s="5">
        <f t="shared" si="59"/>
        <v>18579.902468401269</v>
      </c>
      <c r="AI170" s="12">
        <f>IF(L170-N170=0,VLOOKUP(U170,rate!A$4:B$15,2,FALSE)*AH170,IF(AG170="USD",O170,AH170*Y170))</f>
        <v>13000</v>
      </c>
      <c r="AJ170" s="13">
        <f t="shared" si="60"/>
        <v>0.69968074493980925</v>
      </c>
      <c r="AK170" s="13">
        <f>-IF(AG170="CAD",IFERROR(VLOOKUP(D170,CAARStatus!$A$1:$Y$1600,16,FALSE),0),0)</f>
        <v>0</v>
      </c>
      <c r="AL170" s="13">
        <f>-IF(AG170="USD",IFERROR(VLOOKUP(D170,CAARStatus!$A$1:$Y$1600,11,FALSE),0),0)</f>
        <v>-13000</v>
      </c>
      <c r="AM170" s="22" t="str">
        <f t="shared" si="61"/>
        <v/>
      </c>
      <c r="AN170" s="12">
        <f t="shared" si="62"/>
        <v>0</v>
      </c>
      <c r="AO170" s="12" t="str">
        <f t="shared" si="63"/>
        <v>Pend</v>
      </c>
      <c r="AP170" t="str">
        <f t="shared" si="48"/>
        <v>Pend</v>
      </c>
      <c r="AQ170" t="str">
        <f>IFERROR(VLOOKUP(Z170,InvBal!$L$4:$P$600,4,FALSE),"Pend")</f>
        <v>Pend</v>
      </c>
      <c r="AR170" t="str">
        <f>IFERROR(VLOOKUP(D170,Manual!$C$1:$E$22,2,FALSE),"Pend")</f>
        <v>Pend</v>
      </c>
      <c r="AS170" t="str">
        <f t="shared" si="64"/>
        <v/>
      </c>
      <c r="AT170" t="str">
        <f t="shared" si="65"/>
        <v>Yes</v>
      </c>
      <c r="AU170" s="51" t="str">
        <f t="shared" si="66"/>
        <v/>
      </c>
      <c r="AV170" s="12">
        <f>IFERROR(VLOOKUP(D170,'Receivable Invoice Detail'!$S$1:$U$3014,3,FALSE),0)</f>
        <v>0</v>
      </c>
      <c r="AW170" s="12">
        <f t="shared" si="67"/>
        <v>0</v>
      </c>
    </row>
    <row r="171" spans="1:49" ht="30" x14ac:dyDescent="0.25">
      <c r="A171" s="2">
        <v>1</v>
      </c>
      <c r="B171" s="2" t="s">
        <v>2023</v>
      </c>
      <c r="C171" s="2" t="s">
        <v>2024</v>
      </c>
      <c r="D171" s="2" t="s">
        <v>2410</v>
      </c>
      <c r="E171" s="2" t="s">
        <v>159</v>
      </c>
      <c r="F171" s="3">
        <v>45699.406678240739</v>
      </c>
      <c r="G171" s="3">
        <v>45699.406724537039</v>
      </c>
      <c r="H171" s="4">
        <v>45707</v>
      </c>
      <c r="I171" s="2" t="s">
        <v>426</v>
      </c>
      <c r="J171" s="2" t="s">
        <v>51</v>
      </c>
      <c r="K171" s="2">
        <v>0.69834485616458641</v>
      </c>
      <c r="L171" s="2">
        <v>18719.218570314879</v>
      </c>
      <c r="M171" s="2">
        <v>0</v>
      </c>
      <c r="N171" s="2">
        <v>13072.47</v>
      </c>
      <c r="O171" s="2">
        <v>13072.47</v>
      </c>
      <c r="P171" s="2"/>
      <c r="Q171" s="2">
        <v>13072.47</v>
      </c>
      <c r="R171" s="2" t="s">
        <v>44</v>
      </c>
      <c r="S171" s="2"/>
      <c r="T171" s="2">
        <f t="shared" si="49"/>
        <v>1</v>
      </c>
      <c r="U171" s="18">
        <f t="shared" si="50"/>
        <v>2</v>
      </c>
      <c r="V171" s="18">
        <f t="shared" si="51"/>
        <v>2025</v>
      </c>
      <c r="W171" s="18">
        <f t="shared" si="52"/>
        <v>4</v>
      </c>
      <c r="X171" s="18">
        <f t="shared" si="53"/>
        <v>2025</v>
      </c>
      <c r="Y171" s="2">
        <f t="shared" si="46"/>
        <v>0.69834485616458641</v>
      </c>
      <c r="Z171" t="str">
        <f t="shared" si="47"/>
        <v>SO16577</v>
      </c>
      <c r="AA171" s="11">
        <f t="shared" si="54"/>
        <v>45699.406678240739</v>
      </c>
      <c r="AB171" s="5" t="str">
        <f t="shared" si="55"/>
        <v>INV12647</v>
      </c>
      <c r="AC171" s="5" t="str">
        <f>IFERROR(VLOOKUP(D171,CAARStatus!$A$2:$AA$1600,22,FALSE),"Not invoiced")</f>
        <v>Paid</v>
      </c>
      <c r="AD171" s="11">
        <f>IF(AC171="Paid",IFERROR(VLOOKUP(D171,CAARStatus!$A$2:$AA$1600,6,FALSE),"Pending"),"Pending")</f>
        <v>45758</v>
      </c>
      <c r="AE171" s="5" t="str">
        <f t="shared" si="56"/>
        <v>4501108170</v>
      </c>
      <c r="AF171" s="5" t="str">
        <f t="shared" si="57"/>
        <v>Barrick Gold - Pueblo Viejo Dominicana Corporation</v>
      </c>
      <c r="AG171" s="5" t="str">
        <f t="shared" si="58"/>
        <v>USD</v>
      </c>
      <c r="AH171" s="5">
        <f t="shared" si="59"/>
        <v>18719.218570314879</v>
      </c>
      <c r="AI171" s="12">
        <f>IF(L171-N171=0,VLOOKUP(U171,rate!A$4:B$15,2,FALSE)*AH171,IF(AG171="USD",O171,AH171*Y171))</f>
        <v>13072.47</v>
      </c>
      <c r="AJ171" s="13">
        <f t="shared" si="60"/>
        <v>0.69834485616458641</v>
      </c>
      <c r="AK171" s="13">
        <f>-IF(AG171="CAD",IFERROR(VLOOKUP(D171,CAARStatus!$A$1:$Y$1600,16,FALSE),0),0)</f>
        <v>0</v>
      </c>
      <c r="AL171" s="13">
        <f>-IF(AG171="USD",IFERROR(VLOOKUP(D171,CAARStatus!$A$1:$Y$1600,11,FALSE),0),0)</f>
        <v>-13072.47</v>
      </c>
      <c r="AM171" s="22" t="str">
        <f t="shared" si="61"/>
        <v/>
      </c>
      <c r="AN171" s="12">
        <f t="shared" si="62"/>
        <v>0</v>
      </c>
      <c r="AO171" s="12" t="str">
        <f t="shared" si="63"/>
        <v>Yes</v>
      </c>
      <c r="AP171" t="str">
        <f t="shared" si="48"/>
        <v>Yes</v>
      </c>
      <c r="AQ171" t="str">
        <f>IFERROR(VLOOKUP(Z171,InvBal!$L$4:$P$600,4,FALSE),"Pend")</f>
        <v>Pend</v>
      </c>
      <c r="AR171" t="str">
        <f>IFERROR(VLOOKUP(D171,Manual!$C$1:$E$22,2,FALSE),"Pend")</f>
        <v>Pend</v>
      </c>
      <c r="AS171" t="str">
        <f t="shared" si="64"/>
        <v>Yes</v>
      </c>
      <c r="AT171" t="str">
        <f t="shared" si="65"/>
        <v>Yes</v>
      </c>
      <c r="AU171" s="51" t="str">
        <f t="shared" si="66"/>
        <v>Yes</v>
      </c>
      <c r="AV171" s="12">
        <f>IFERROR(VLOOKUP(D171,'Receivable Invoice Detail'!$S$1:$U$3014,3,FALSE),0)</f>
        <v>0</v>
      </c>
      <c r="AW171" s="12">
        <f t="shared" si="67"/>
        <v>13072.47</v>
      </c>
    </row>
    <row r="172" spans="1:49" x14ac:dyDescent="0.25">
      <c r="A172" s="2">
        <v>1</v>
      </c>
      <c r="B172" s="2" t="s">
        <v>1932</v>
      </c>
      <c r="C172" s="2" t="s">
        <v>1933</v>
      </c>
      <c r="D172" s="2" t="s">
        <v>2464</v>
      </c>
      <c r="E172" s="2" t="s">
        <v>64</v>
      </c>
      <c r="F172" s="3">
        <v>45699.410474537042</v>
      </c>
      <c r="G172" s="3">
        <v>45708.493750000001</v>
      </c>
      <c r="H172" s="4">
        <v>45713</v>
      </c>
      <c r="I172" s="2" t="s">
        <v>1132</v>
      </c>
      <c r="J172" s="2" t="s">
        <v>22</v>
      </c>
      <c r="K172" s="2">
        <v>1</v>
      </c>
      <c r="L172" s="2">
        <v>880.04</v>
      </c>
      <c r="M172" s="2">
        <v>0</v>
      </c>
      <c r="N172" s="2">
        <v>619.97308948624664</v>
      </c>
      <c r="O172" s="2">
        <v>778.8</v>
      </c>
      <c r="P172" s="2">
        <v>101.24</v>
      </c>
      <c r="Q172" s="2">
        <v>880.04</v>
      </c>
      <c r="R172" s="2" t="s">
        <v>44</v>
      </c>
      <c r="S172" s="2"/>
      <c r="T172" s="2">
        <f t="shared" si="49"/>
        <v>1</v>
      </c>
      <c r="U172" s="18">
        <f t="shared" si="50"/>
        <v>2</v>
      </c>
      <c r="V172" s="18">
        <f t="shared" si="51"/>
        <v>2025</v>
      </c>
      <c r="W172" s="18">
        <f t="shared" si="52"/>
        <v>4</v>
      </c>
      <c r="X172" s="18">
        <f t="shared" si="53"/>
        <v>2025</v>
      </c>
      <c r="Y172" s="2">
        <f t="shared" si="46"/>
        <v>0.70448285246834996</v>
      </c>
      <c r="Z172" t="str">
        <f t="shared" si="47"/>
        <v>SO16578</v>
      </c>
      <c r="AA172" s="11">
        <f t="shared" si="54"/>
        <v>45699.410474537042</v>
      </c>
      <c r="AB172" s="5" t="str">
        <f t="shared" si="55"/>
        <v>INV12692</v>
      </c>
      <c r="AC172" s="5" t="str">
        <f>IFERROR(VLOOKUP(D172,CAARStatus!$A$2:$AA$1600,22,FALSE),"Not invoiced")</f>
        <v>Paid</v>
      </c>
      <c r="AD172" s="11">
        <f>IF(AC172="Paid",IFERROR(VLOOKUP(D172,CAARStatus!$A$2:$AA$1600,6,FALSE),"Pending"),"Pending")</f>
        <v>45763</v>
      </c>
      <c r="AE172" s="5" t="str">
        <f t="shared" si="56"/>
        <v>606873</v>
      </c>
      <c r="AF172" s="5" t="str">
        <f t="shared" si="57"/>
        <v>Sealtrac Inc.</v>
      </c>
      <c r="AG172" s="5" t="str">
        <f t="shared" si="58"/>
        <v>CAD</v>
      </c>
      <c r="AH172" s="5">
        <f t="shared" si="59"/>
        <v>778.8</v>
      </c>
      <c r="AI172" s="12">
        <f>IF(L172-N172=0,VLOOKUP(U172,rate!A$4:B$15,2,FALSE)*AH172,IF(AG172="USD",O172,AH172*Y172))</f>
        <v>548.65124550235089</v>
      </c>
      <c r="AJ172" s="13">
        <f t="shared" si="60"/>
        <v>0.70448285246834996</v>
      </c>
      <c r="AK172" s="13">
        <f>-IF(AG172="CAD",IFERROR(VLOOKUP(D172,CAARStatus!$A$1:$Y$1600,16,FALSE),0),0)</f>
        <v>-778.8</v>
      </c>
      <c r="AL172" s="13">
        <f>-IF(AG172="USD",IFERROR(VLOOKUP(D172,CAARStatus!$A$1:$Y$1600,11,FALSE),0),0)</f>
        <v>0</v>
      </c>
      <c r="AM172" s="22">
        <f t="shared" si="61"/>
        <v>0</v>
      </c>
      <c r="AN172" s="12" t="str">
        <f t="shared" si="62"/>
        <v/>
      </c>
      <c r="AO172" s="12" t="str">
        <f t="shared" si="63"/>
        <v>Yes</v>
      </c>
      <c r="AP172" t="str">
        <f t="shared" si="48"/>
        <v>Yes</v>
      </c>
      <c r="AQ172" t="str">
        <f>IFERROR(VLOOKUP(Z172,InvBal!$L$4:$P$600,4,FALSE),"Pend")</f>
        <v>Pend</v>
      </c>
      <c r="AR172" t="str">
        <f>IFERROR(VLOOKUP(D172,Manual!$C$1:$E$22,2,FALSE),"Pend")</f>
        <v>Pend</v>
      </c>
      <c r="AS172" t="str">
        <f t="shared" si="64"/>
        <v>Yes</v>
      </c>
      <c r="AT172" t="str">
        <f t="shared" si="65"/>
        <v>Yes</v>
      </c>
      <c r="AU172" s="51" t="str">
        <f t="shared" si="66"/>
        <v>Yes</v>
      </c>
      <c r="AV172" s="12">
        <f>IFERROR(VLOOKUP(D172,'Receivable Invoice Detail'!$S$1:$U$3014,3,FALSE),0)</f>
        <v>0</v>
      </c>
      <c r="AW172" s="12">
        <f t="shared" si="67"/>
        <v>548.65124550235089</v>
      </c>
    </row>
    <row r="173" spans="1:49" ht="30" x14ac:dyDescent="0.25">
      <c r="A173" s="2">
        <v>1</v>
      </c>
      <c r="B173" s="2" t="s">
        <v>2013</v>
      </c>
      <c r="C173" s="2" t="s">
        <v>2014</v>
      </c>
      <c r="D173" s="2" t="s">
        <v>2418</v>
      </c>
      <c r="E173" s="2" t="s">
        <v>20</v>
      </c>
      <c r="F173" s="3">
        <v>45699.425185185188</v>
      </c>
      <c r="G173" s="3">
        <v>45699.715324074074</v>
      </c>
      <c r="H173" s="4">
        <v>45706</v>
      </c>
      <c r="I173" s="2" t="s">
        <v>21</v>
      </c>
      <c r="J173" s="2" t="s">
        <v>22</v>
      </c>
      <c r="K173" s="2">
        <v>1</v>
      </c>
      <c r="L173" s="2">
        <v>169.65</v>
      </c>
      <c r="M173" s="2">
        <v>0</v>
      </c>
      <c r="N173" s="2">
        <v>118.5633757166632</v>
      </c>
      <c r="O173" s="2">
        <v>161.57</v>
      </c>
      <c r="P173" s="2">
        <v>8.08</v>
      </c>
      <c r="Q173" s="2">
        <v>169.65</v>
      </c>
      <c r="R173" s="2" t="s">
        <v>44</v>
      </c>
      <c r="S173" s="2"/>
      <c r="T173" s="2">
        <f t="shared" si="49"/>
        <v>1</v>
      </c>
      <c r="U173" s="18">
        <f t="shared" si="50"/>
        <v>2</v>
      </c>
      <c r="V173" s="18">
        <f t="shared" si="51"/>
        <v>2025</v>
      </c>
      <c r="W173" s="18">
        <f t="shared" si="52"/>
        <v>4</v>
      </c>
      <c r="X173" s="18">
        <f t="shared" si="53"/>
        <v>2025</v>
      </c>
      <c r="Y173" s="2">
        <f t="shared" si="46"/>
        <v>0.69887047283621107</v>
      </c>
      <c r="Z173" t="str">
        <f t="shared" si="47"/>
        <v>SO16579</v>
      </c>
      <c r="AA173" s="11">
        <f t="shared" si="54"/>
        <v>45699.425185185188</v>
      </c>
      <c r="AB173" s="5" t="str">
        <f t="shared" si="55"/>
        <v>INV12623</v>
      </c>
      <c r="AC173" s="5" t="str">
        <f>IFERROR(VLOOKUP(D173,CAARStatus!$A$2:$AA$1600,22,FALSE),"Not invoiced")</f>
        <v>Paid</v>
      </c>
      <c r="AD173" s="11">
        <f>IF(AC173="Paid",IFERROR(VLOOKUP(D173,CAARStatus!$A$2:$AA$1600,6,FALSE),"Pending"),"Pending")</f>
        <v>45764</v>
      </c>
      <c r="AE173" s="5" t="str">
        <f t="shared" si="56"/>
        <v>4500580734</v>
      </c>
      <c r="AF173" s="5" t="str">
        <f t="shared" si="57"/>
        <v>Resolute Forest Products - Saint-Felicien</v>
      </c>
      <c r="AG173" s="5" t="str">
        <f t="shared" si="58"/>
        <v>CAD</v>
      </c>
      <c r="AH173" s="5">
        <f t="shared" si="59"/>
        <v>161.57</v>
      </c>
      <c r="AI173" s="12">
        <f>IF(L173-N173=0,VLOOKUP(U173,rate!A$4:B$15,2,FALSE)*AH173,IF(AG173="USD",O173,AH173*Y173))</f>
        <v>112.91650229614662</v>
      </c>
      <c r="AJ173" s="13">
        <f t="shared" si="60"/>
        <v>0.69887047283621107</v>
      </c>
      <c r="AK173" s="13">
        <f>-IF(AG173="CAD",IFERROR(VLOOKUP(D173,CAARStatus!$A$1:$Y$1600,16,FALSE),0),0)</f>
        <v>-161.57</v>
      </c>
      <c r="AL173" s="13">
        <f>-IF(AG173="USD",IFERROR(VLOOKUP(D173,CAARStatus!$A$1:$Y$1600,11,FALSE),0),0)</f>
        <v>0</v>
      </c>
      <c r="AM173" s="22">
        <f t="shared" si="61"/>
        <v>0</v>
      </c>
      <c r="AN173" s="12" t="str">
        <f t="shared" si="62"/>
        <v/>
      </c>
      <c r="AO173" s="12" t="str">
        <f t="shared" si="63"/>
        <v>Yes</v>
      </c>
      <c r="AP173" t="str">
        <f t="shared" si="48"/>
        <v>Yes</v>
      </c>
      <c r="AQ173" t="str">
        <f>IFERROR(VLOOKUP(Z173,InvBal!$L$4:$P$600,4,FALSE),"Pend")</f>
        <v>Pend</v>
      </c>
      <c r="AR173" t="str">
        <f>IFERROR(VLOOKUP(D173,Manual!$C$1:$E$22,2,FALSE),"Pend")</f>
        <v>Pend</v>
      </c>
      <c r="AS173" t="str">
        <f t="shared" si="64"/>
        <v>Yes</v>
      </c>
      <c r="AT173" t="str">
        <f t="shared" si="65"/>
        <v>Yes</v>
      </c>
      <c r="AU173" s="51" t="str">
        <f t="shared" si="66"/>
        <v>Yes</v>
      </c>
      <c r="AV173" s="12">
        <f>IFERROR(VLOOKUP(D173,'Receivable Invoice Detail'!$S$1:$U$3014,3,FALSE),0)</f>
        <v>0</v>
      </c>
      <c r="AW173" s="12">
        <f t="shared" si="67"/>
        <v>112.91650229614662</v>
      </c>
    </row>
    <row r="174" spans="1:49" ht="30" x14ac:dyDescent="0.25">
      <c r="A174" s="2">
        <v>1</v>
      </c>
      <c r="B174" s="2" t="s">
        <v>2009</v>
      </c>
      <c r="C174" s="2" t="s">
        <v>2010</v>
      </c>
      <c r="D174" s="2" t="s">
        <v>2420</v>
      </c>
      <c r="E174" s="2" t="s">
        <v>232</v>
      </c>
      <c r="F174" s="3">
        <v>45699.514305555553</v>
      </c>
      <c r="G174" s="3">
        <v>45700.407997685194</v>
      </c>
      <c r="H174" s="4">
        <v>45737</v>
      </c>
      <c r="I174" s="2" t="s">
        <v>180</v>
      </c>
      <c r="J174" s="2" t="s">
        <v>51</v>
      </c>
      <c r="K174" s="2">
        <v>0.69834485616458641</v>
      </c>
      <c r="L174" s="2">
        <v>225.24687997834619</v>
      </c>
      <c r="M174" s="2">
        <v>0</v>
      </c>
      <c r="N174" s="2">
        <v>157.30000000000001</v>
      </c>
      <c r="O174" s="2">
        <v>157.30000000000001</v>
      </c>
      <c r="P174" s="2"/>
      <c r="Q174" s="2">
        <v>157.30000000000001</v>
      </c>
      <c r="R174" s="2" t="s">
        <v>44</v>
      </c>
      <c r="S174" s="2"/>
      <c r="T174" s="2">
        <f t="shared" si="49"/>
        <v>1</v>
      </c>
      <c r="U174" s="18">
        <f t="shared" si="50"/>
        <v>2</v>
      </c>
      <c r="V174" s="18">
        <f t="shared" si="51"/>
        <v>2025</v>
      </c>
      <c r="W174" s="18">
        <f t="shared" si="52"/>
        <v>7</v>
      </c>
      <c r="X174" s="18">
        <f t="shared" si="53"/>
        <v>2025</v>
      </c>
      <c r="Y174" s="2">
        <f t="shared" si="46"/>
        <v>0.6983448561645863</v>
      </c>
      <c r="Z174" t="str">
        <f t="shared" si="47"/>
        <v>SO16580</v>
      </c>
      <c r="AA174" s="11">
        <f t="shared" si="54"/>
        <v>45699.514305555553</v>
      </c>
      <c r="AB174" s="5" t="str">
        <f t="shared" si="55"/>
        <v>INV12712</v>
      </c>
      <c r="AC174" s="5" t="str">
        <f>IFERROR(VLOOKUP(D174,CAARStatus!$A$2:$AA$1600,22,FALSE),"Not invoiced")</f>
        <v>Paid</v>
      </c>
      <c r="AD174" s="11">
        <f>IF(AC174="Paid",IFERROR(VLOOKUP(D174,CAARStatus!$A$2:$AA$1600,6,FALSE),"Pending"),"Pending")</f>
        <v>45853</v>
      </c>
      <c r="AE174" s="5" t="str">
        <f t="shared" si="56"/>
        <v>2245211</v>
      </c>
      <c r="AF174" s="5" t="str">
        <f t="shared" si="57"/>
        <v>Zijin Mining - Rosebel Goldmines N.V.</v>
      </c>
      <c r="AG174" s="5" t="str">
        <f t="shared" si="58"/>
        <v>USD</v>
      </c>
      <c r="AH174" s="5">
        <f t="shared" si="59"/>
        <v>225.24687997834616</v>
      </c>
      <c r="AI174" s="12">
        <f>IF(L174-N174=0,VLOOKUP(U174,rate!A$4:B$15,2,FALSE)*AH174,IF(AG174="USD",O174,AH174*Y174))</f>
        <v>157.30000000000001</v>
      </c>
      <c r="AJ174" s="13">
        <f t="shared" si="60"/>
        <v>0.69834485616458641</v>
      </c>
      <c r="AK174" s="13">
        <f>-IF(AG174="CAD",IFERROR(VLOOKUP(D174,CAARStatus!$A$1:$Y$1600,16,FALSE),0),0)</f>
        <v>0</v>
      </c>
      <c r="AL174" s="13">
        <f>-IF(AG174="USD",IFERROR(VLOOKUP(D174,CAARStatus!$A$1:$Y$1600,11,FALSE),0),0)</f>
        <v>-157.30000000000001</v>
      </c>
      <c r="AM174" s="22" t="str">
        <f t="shared" si="61"/>
        <v/>
      </c>
      <c r="AN174" s="12">
        <f t="shared" si="62"/>
        <v>0</v>
      </c>
      <c r="AO174" s="12" t="str">
        <f t="shared" si="63"/>
        <v>Yes</v>
      </c>
      <c r="AP174" t="str">
        <f t="shared" si="48"/>
        <v>Yes</v>
      </c>
      <c r="AQ174" t="str">
        <f>IFERROR(VLOOKUP(Z174,InvBal!$L$4:$P$600,4,FALSE),"Pend")</f>
        <v>Pend</v>
      </c>
      <c r="AR174" t="str">
        <f>IFERROR(VLOOKUP(D174,Manual!$C$1:$E$22,2,FALSE),"Pend")</f>
        <v>Pend</v>
      </c>
      <c r="AS174" t="str">
        <f t="shared" si="64"/>
        <v>Yes</v>
      </c>
      <c r="AT174" t="str">
        <f t="shared" si="65"/>
        <v>Yes</v>
      </c>
      <c r="AU174" s="51" t="str">
        <f t="shared" si="66"/>
        <v>Yes</v>
      </c>
      <c r="AV174" s="12">
        <f>IFERROR(VLOOKUP(D174,'Receivable Invoice Detail'!$S$1:$U$3014,3,FALSE),0)</f>
        <v>0</v>
      </c>
      <c r="AW174" s="12">
        <f t="shared" si="67"/>
        <v>157.30000000000001</v>
      </c>
    </row>
    <row r="175" spans="1:49" x14ac:dyDescent="0.25">
      <c r="A175" s="2">
        <v>2</v>
      </c>
      <c r="B175" s="2" t="s">
        <v>1542</v>
      </c>
      <c r="C175" s="2" t="s">
        <v>1543</v>
      </c>
      <c r="D175" s="2" t="s">
        <v>2690</v>
      </c>
      <c r="E175" s="2" t="s">
        <v>901</v>
      </c>
      <c r="F175" s="3">
        <v>45699.517696759263</v>
      </c>
      <c r="G175" s="3">
        <v>45771.647824074083</v>
      </c>
      <c r="H175" s="4">
        <v>45838</v>
      </c>
      <c r="I175" s="2" t="s">
        <v>180</v>
      </c>
      <c r="J175" s="2" t="s">
        <v>51</v>
      </c>
      <c r="K175" s="2">
        <v>0.71976247782558811</v>
      </c>
      <c r="L175" s="2">
        <v>44264.602534226957</v>
      </c>
      <c r="M175" s="2">
        <v>0</v>
      </c>
      <c r="N175" s="2">
        <v>31860</v>
      </c>
      <c r="O175" s="2">
        <v>31860</v>
      </c>
      <c r="P175" s="2"/>
      <c r="Q175" s="2">
        <v>31860</v>
      </c>
      <c r="R175" s="2" t="s">
        <v>44</v>
      </c>
      <c r="S175" s="2"/>
      <c r="T175" s="2">
        <f t="shared" si="49"/>
        <v>2</v>
      </c>
      <c r="U175" s="18">
        <f t="shared" si="50"/>
        <v>2</v>
      </c>
      <c r="V175" s="18">
        <f t="shared" si="51"/>
        <v>2025</v>
      </c>
      <c r="W175" s="18">
        <f t="shared" si="52"/>
        <v>9</v>
      </c>
      <c r="X175" s="18">
        <f t="shared" si="53"/>
        <v>2025</v>
      </c>
      <c r="Y175" s="2">
        <f t="shared" si="46"/>
        <v>0.71976247782558811</v>
      </c>
      <c r="Z175" t="str">
        <f t="shared" si="47"/>
        <v>SO16581</v>
      </c>
      <c r="AA175" s="11">
        <f t="shared" si="54"/>
        <v>45699.517696759263</v>
      </c>
      <c r="AB175" s="5" t="str">
        <f t="shared" si="55"/>
        <v>INV13214</v>
      </c>
      <c r="AC175" s="5" t="str">
        <f>IFERROR(VLOOKUP(D175,CAARStatus!$A$2:$AA$1600,22,FALSE),"Not invoiced")</f>
        <v>Paid</v>
      </c>
      <c r="AD175" s="11">
        <f>IF(AC175="Paid",IFERROR(VLOOKUP(D175,CAARStatus!$A$2:$AA$1600,6,FALSE),"Pending"),"Pending")</f>
        <v>45915</v>
      </c>
      <c r="AE175" s="5" t="str">
        <f t="shared" si="56"/>
        <v>4500788353</v>
      </c>
      <c r="AF175" s="5" t="str">
        <f t="shared" si="57"/>
        <v>AGM Inc.</v>
      </c>
      <c r="AG175" s="5" t="str">
        <f t="shared" si="58"/>
        <v>USD</v>
      </c>
      <c r="AH175" s="5">
        <f t="shared" si="59"/>
        <v>44264.602534226957</v>
      </c>
      <c r="AI175" s="12">
        <f>IF(L175-N175=0,VLOOKUP(U175,rate!A$4:B$15,2,FALSE)*AH175,IF(AG175="USD",O175,AH175*Y175))</f>
        <v>31860</v>
      </c>
      <c r="AJ175" s="13">
        <f t="shared" si="60"/>
        <v>0.71976247782558811</v>
      </c>
      <c r="AK175" s="13">
        <f>-IF(AG175="CAD",IFERROR(VLOOKUP(D175,CAARStatus!$A$1:$Y$1600,16,FALSE),0),0)</f>
        <v>0</v>
      </c>
      <c r="AL175" s="13">
        <f>-IF(AG175="USD",IFERROR(VLOOKUP(D175,CAARStatus!$A$1:$Y$1600,11,FALSE),0),0)</f>
        <v>-15930</v>
      </c>
      <c r="AM175" s="22" t="str">
        <f t="shared" si="61"/>
        <v/>
      </c>
      <c r="AN175" s="12">
        <f t="shared" si="62"/>
        <v>15930</v>
      </c>
      <c r="AO175" s="12" t="str">
        <f t="shared" si="63"/>
        <v>Yes</v>
      </c>
      <c r="AP175" t="str">
        <f t="shared" si="48"/>
        <v>XX</v>
      </c>
      <c r="AQ175" t="str">
        <f>IFERROR(VLOOKUP(Z175,InvBal!$L$4:$P$600,4,FALSE),"Pend")</f>
        <v>Yes</v>
      </c>
      <c r="AR175" t="str">
        <f>IFERROR(VLOOKUP(D175,Manual!$C$1:$E$22,2,FALSE),"Pend")</f>
        <v>Pend</v>
      </c>
      <c r="AS175" t="str">
        <f t="shared" si="64"/>
        <v>Yes</v>
      </c>
      <c r="AT175" t="str">
        <f t="shared" si="65"/>
        <v>Yes</v>
      </c>
      <c r="AU175" s="51" t="str">
        <f t="shared" si="66"/>
        <v>Yes</v>
      </c>
      <c r="AV175" s="12">
        <f>IFERROR(VLOOKUP(D175,'Receivable Invoice Detail'!$S$1:$U$3014,3,FALSE),0)</f>
        <v>0</v>
      </c>
      <c r="AW175" s="12">
        <f t="shared" si="67"/>
        <v>31860</v>
      </c>
    </row>
    <row r="176" spans="1:49" x14ac:dyDescent="0.25">
      <c r="A176" s="2"/>
      <c r="B176" s="2"/>
      <c r="C176" s="2"/>
      <c r="D176" s="2" t="s">
        <v>2689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>
        <f t="shared" si="49"/>
        <v>2</v>
      </c>
      <c r="U176" s="18">
        <f t="shared" si="50"/>
        <v>2</v>
      </c>
      <c r="V176" s="18">
        <f t="shared" si="51"/>
        <v>2025</v>
      </c>
      <c r="W176" s="18">
        <f t="shared" si="52"/>
        <v>9</v>
      </c>
      <c r="X176" s="18">
        <f t="shared" si="53"/>
        <v>2025</v>
      </c>
      <c r="Y176" s="2">
        <f t="shared" si="46"/>
        <v>0.71976247782558811</v>
      </c>
      <c r="Z176" t="str">
        <f t="shared" si="47"/>
        <v>SO16581</v>
      </c>
      <c r="AA176" s="11">
        <f t="shared" si="54"/>
        <v>45699.517696759263</v>
      </c>
      <c r="AB176" s="5" t="str">
        <f t="shared" si="55"/>
        <v>INV13188</v>
      </c>
      <c r="AC176" s="5" t="str">
        <f>IFERROR(VLOOKUP(D176,CAARStatus!$A$2:$AA$1600,22,FALSE),"Not invoiced")</f>
        <v>Paid</v>
      </c>
      <c r="AD176" s="11">
        <f>IF(AC176="Paid",IFERROR(VLOOKUP(D176,CAARStatus!$A$2:$AA$1600,6,FALSE),"Pending"),"Pending")</f>
        <v>45915</v>
      </c>
      <c r="AE176" s="5" t="str">
        <f t="shared" si="56"/>
        <v>4500788353</v>
      </c>
      <c r="AF176" s="5" t="str">
        <f t="shared" si="57"/>
        <v>AGM Inc.</v>
      </c>
      <c r="AG176" s="5" t="str">
        <f t="shared" si="58"/>
        <v>USD</v>
      </c>
      <c r="AH176" s="5">
        <f t="shared" si="59"/>
        <v>0</v>
      </c>
      <c r="AI176" s="12">
        <f>IF(L176-N176=0,VLOOKUP(U176,rate!A$4:B$15,2,FALSE)*AH176,IF(AG176="USD",O176,AH176*Y176))</f>
        <v>0</v>
      </c>
      <c r="AJ176" s="13">
        <f t="shared" si="60"/>
        <v>0</v>
      </c>
      <c r="AK176" s="13">
        <f>-IF(AG176="CAD",IFERROR(VLOOKUP(D176,CAARStatus!$A$1:$Y$1600,16,FALSE),0),0)</f>
        <v>0</v>
      </c>
      <c r="AL176" s="13">
        <f>-IF(AG176="USD",IFERROR(VLOOKUP(D176,CAARStatus!$A$1:$Y$1600,11,FALSE),0),0)</f>
        <v>-15930</v>
      </c>
      <c r="AM176" s="22" t="str">
        <f t="shared" si="61"/>
        <v/>
      </c>
      <c r="AN176" s="12">
        <f t="shared" si="62"/>
        <v>-15930</v>
      </c>
      <c r="AO176" s="12" t="str">
        <f t="shared" si="63"/>
        <v>Yes</v>
      </c>
      <c r="AP176" t="str">
        <f t="shared" si="48"/>
        <v>XX</v>
      </c>
      <c r="AQ176" t="str">
        <f>IFERROR(VLOOKUP(Z176,InvBal!$L$4:$P$600,4,FALSE),"Pend")</f>
        <v>Yes</v>
      </c>
      <c r="AR176" t="str">
        <f>IFERROR(VLOOKUP(D176,Manual!$C$1:$E$22,2,FALSE),"Pend")</f>
        <v>Pend</v>
      </c>
      <c r="AS176" t="str">
        <f t="shared" si="64"/>
        <v>Yes</v>
      </c>
      <c r="AT176" t="str">
        <f t="shared" si="65"/>
        <v/>
      </c>
      <c r="AU176" s="51" t="str">
        <f t="shared" si="66"/>
        <v/>
      </c>
      <c r="AV176" s="12">
        <f>IFERROR(VLOOKUP(D176,'Receivable Invoice Detail'!$S$1:$U$3014,3,FALSE),0)</f>
        <v>0</v>
      </c>
      <c r="AW176" s="12">
        <f t="shared" si="67"/>
        <v>0</v>
      </c>
    </row>
    <row r="177" spans="1:49" x14ac:dyDescent="0.25">
      <c r="A177" s="2">
        <v>1</v>
      </c>
      <c r="B177" s="2" t="s">
        <v>2015</v>
      </c>
      <c r="C177" s="2" t="s">
        <v>2016</v>
      </c>
      <c r="D177" s="2" t="s">
        <v>2417</v>
      </c>
      <c r="E177" s="2" t="s">
        <v>54</v>
      </c>
      <c r="F177" s="3">
        <v>45699.693356481483</v>
      </c>
      <c r="G177" s="3">
        <v>45699.696238425917</v>
      </c>
      <c r="H177" s="4">
        <v>45700</v>
      </c>
      <c r="I177" s="2" t="s">
        <v>1132</v>
      </c>
      <c r="J177" s="2" t="s">
        <v>22</v>
      </c>
      <c r="K177" s="2">
        <v>1</v>
      </c>
      <c r="L177" s="2">
        <v>3705.77</v>
      </c>
      <c r="M177" s="2">
        <v>0</v>
      </c>
      <c r="N177" s="2">
        <v>2589.853232122246</v>
      </c>
      <c r="O177" s="2">
        <v>3529.3</v>
      </c>
      <c r="P177" s="2">
        <v>176.47</v>
      </c>
      <c r="Q177" s="2">
        <v>3705.77</v>
      </c>
      <c r="R177" s="2" t="s">
        <v>44</v>
      </c>
      <c r="S177" s="2"/>
      <c r="T177" s="2">
        <f t="shared" si="49"/>
        <v>1</v>
      </c>
      <c r="U177" s="18">
        <f t="shared" si="50"/>
        <v>2</v>
      </c>
      <c r="V177" s="18">
        <f t="shared" si="51"/>
        <v>2025</v>
      </c>
      <c r="W177" s="18">
        <f t="shared" si="52"/>
        <v>4</v>
      </c>
      <c r="X177" s="18">
        <f t="shared" si="53"/>
        <v>2025</v>
      </c>
      <c r="Y177" s="2">
        <f t="shared" si="46"/>
        <v>0.69887047283621107</v>
      </c>
      <c r="Z177" t="str">
        <f t="shared" si="47"/>
        <v>SO16583</v>
      </c>
      <c r="AA177" s="11">
        <f t="shared" si="54"/>
        <v>45699.693356481483</v>
      </c>
      <c r="AB177" s="5" t="str">
        <f t="shared" si="55"/>
        <v>INV12632</v>
      </c>
      <c r="AC177" s="5" t="str">
        <f>IFERROR(VLOOKUP(D177,CAARStatus!$A$2:$AA$1600,22,FALSE),"Not invoiced")</f>
        <v>Paid</v>
      </c>
      <c r="AD177" s="11">
        <f>IF(AC177="Paid",IFERROR(VLOOKUP(D177,CAARStatus!$A$2:$AA$1600,6,FALSE),"Pending"),"Pending")</f>
        <v>45750</v>
      </c>
      <c r="AE177" s="5" t="str">
        <f t="shared" si="56"/>
        <v>3048</v>
      </c>
      <c r="AF177" s="5" t="str">
        <f t="shared" si="57"/>
        <v>Les Pompes du St-Laurent Inc.</v>
      </c>
      <c r="AG177" s="5" t="str">
        <f t="shared" si="58"/>
        <v>CAD</v>
      </c>
      <c r="AH177" s="5">
        <f t="shared" si="59"/>
        <v>3529.3</v>
      </c>
      <c r="AI177" s="12">
        <f>IF(L177-N177=0,VLOOKUP(U177,rate!A$4:B$15,2,FALSE)*AH177,IF(AG177="USD",O177,AH177*Y177))</f>
        <v>2466.5235597808401</v>
      </c>
      <c r="AJ177" s="13">
        <f t="shared" si="60"/>
        <v>0.69887047283621118</v>
      </c>
      <c r="AK177" s="13">
        <f>-IF(AG177="CAD",IFERROR(VLOOKUP(D177,CAARStatus!$A$1:$Y$1600,16,FALSE),0),0)</f>
        <v>-3529.3</v>
      </c>
      <c r="AL177" s="13">
        <f>-IF(AG177="USD",IFERROR(VLOOKUP(D177,CAARStatus!$A$1:$Y$1600,11,FALSE),0),0)</f>
        <v>0</v>
      </c>
      <c r="AM177" s="22">
        <f t="shared" si="61"/>
        <v>0</v>
      </c>
      <c r="AN177" s="12" t="str">
        <f t="shared" si="62"/>
        <v/>
      </c>
      <c r="AO177" s="12" t="str">
        <f t="shared" si="63"/>
        <v>Yes</v>
      </c>
      <c r="AP177" t="str">
        <f t="shared" si="48"/>
        <v>Yes</v>
      </c>
      <c r="AQ177" t="str">
        <f>IFERROR(VLOOKUP(Z177,InvBal!$L$4:$P$600,4,FALSE),"Pend")</f>
        <v>Pend</v>
      </c>
      <c r="AR177" t="str">
        <f>IFERROR(VLOOKUP(D177,Manual!$C$1:$E$22,2,FALSE),"Pend")</f>
        <v>Pend</v>
      </c>
      <c r="AS177" t="str">
        <f t="shared" si="64"/>
        <v>Yes</v>
      </c>
      <c r="AT177" t="str">
        <f t="shared" si="65"/>
        <v>Yes</v>
      </c>
      <c r="AU177" s="51" t="str">
        <f t="shared" si="66"/>
        <v>Yes</v>
      </c>
      <c r="AV177" s="12">
        <f>IFERROR(VLOOKUP(D177,'Receivable Invoice Detail'!$S$1:$U$3014,3,FALSE),0)</f>
        <v>0</v>
      </c>
      <c r="AW177" s="12">
        <f t="shared" si="67"/>
        <v>2466.5235597808401</v>
      </c>
    </row>
    <row r="178" spans="1:49" ht="30" x14ac:dyDescent="0.25">
      <c r="A178" s="2">
        <v>1</v>
      </c>
      <c r="B178" s="2" t="s">
        <v>2011</v>
      </c>
      <c r="C178" s="2" t="s">
        <v>2012</v>
      </c>
      <c r="D178" s="2" t="s">
        <v>2419</v>
      </c>
      <c r="E178" s="2" t="s">
        <v>70</v>
      </c>
      <c r="F178" s="3">
        <v>45699.723854166667</v>
      </c>
      <c r="G178" s="3">
        <v>45699.723263888889</v>
      </c>
      <c r="H178" s="4">
        <v>45712</v>
      </c>
      <c r="I178" s="2" t="s">
        <v>71</v>
      </c>
      <c r="J178" s="2" t="s">
        <v>51</v>
      </c>
      <c r="K178" s="2">
        <v>0.69834485616458641</v>
      </c>
      <c r="L178" s="2">
        <v>4537.8726169827014</v>
      </c>
      <c r="M178" s="2">
        <v>0</v>
      </c>
      <c r="N178" s="2">
        <v>3169</v>
      </c>
      <c r="O178" s="2">
        <v>3169</v>
      </c>
      <c r="P178" s="2"/>
      <c r="Q178" s="2">
        <v>3169</v>
      </c>
      <c r="R178" s="2" t="s">
        <v>44</v>
      </c>
      <c r="S178" s="2"/>
      <c r="T178" s="2">
        <f t="shared" si="49"/>
        <v>1</v>
      </c>
      <c r="U178" s="18">
        <f t="shared" si="50"/>
        <v>2</v>
      </c>
      <c r="V178" s="18">
        <f t="shared" si="51"/>
        <v>2025</v>
      </c>
      <c r="W178" s="18" t="str">
        <f t="shared" si="52"/>
        <v/>
      </c>
      <c r="X178" s="18" t="str">
        <f t="shared" si="53"/>
        <v/>
      </c>
      <c r="Y178" s="2">
        <f t="shared" si="46"/>
        <v>0.69834485616458641</v>
      </c>
      <c r="Z178" t="str">
        <f t="shared" si="47"/>
        <v>SO16584</v>
      </c>
      <c r="AA178" s="11">
        <f t="shared" si="54"/>
        <v>45699.723854166667</v>
      </c>
      <c r="AB178" s="5" t="str">
        <f t="shared" si="55"/>
        <v>Borrador de factura INV12661</v>
      </c>
      <c r="AC178" s="5" t="str">
        <f>IFERROR(VLOOKUP(D178,CAARStatus!$A$2:$AA$1600,22,FALSE),"Not invoiced")</f>
        <v>Not invoiced</v>
      </c>
      <c r="AD178" s="11" t="str">
        <f>IF(AC178="Paid",IFERROR(VLOOKUP(D178,CAARStatus!$A$2:$AA$1600,6,FALSE),"Pending"),"Pending")</f>
        <v>Pending</v>
      </c>
      <c r="AE178" s="5" t="str">
        <f t="shared" si="56"/>
        <v>P353307</v>
      </c>
      <c r="AF178" s="5" t="str">
        <f t="shared" si="57"/>
        <v>Covia Corp - Junction City</v>
      </c>
      <c r="AG178" s="5" t="str">
        <f t="shared" si="58"/>
        <v>USD</v>
      </c>
      <c r="AH178" s="5">
        <f t="shared" si="59"/>
        <v>4537.8726169827014</v>
      </c>
      <c r="AI178" s="12">
        <f>IF(L178-N178=0,VLOOKUP(U178,rate!A$4:B$15,2,FALSE)*AH178,IF(AG178="USD",O178,AH178*Y178))</f>
        <v>3169</v>
      </c>
      <c r="AJ178" s="13">
        <f t="shared" si="60"/>
        <v>0.69834485616458641</v>
      </c>
      <c r="AK178" s="13">
        <f>-IF(AG178="CAD",IFERROR(VLOOKUP(D178,CAARStatus!$A$1:$Y$1600,16,FALSE),0),0)</f>
        <v>0</v>
      </c>
      <c r="AL178" s="13">
        <f>-IF(AG178="USD",IFERROR(VLOOKUP(D178,CAARStatus!$A$1:$Y$1600,11,FALSE),0),0)</f>
        <v>0</v>
      </c>
      <c r="AM178" s="22" t="str">
        <f t="shared" si="61"/>
        <v/>
      </c>
      <c r="AN178" s="12">
        <f t="shared" si="62"/>
        <v>3169</v>
      </c>
      <c r="AO178" s="12" t="str">
        <f t="shared" si="63"/>
        <v>Pend</v>
      </c>
      <c r="AP178" t="str">
        <f t="shared" si="48"/>
        <v>Pend</v>
      </c>
      <c r="AQ178" t="str">
        <f>IFERROR(VLOOKUP(Z178,InvBal!$L$4:$P$600,4,FALSE),"Pend")</f>
        <v>Pend</v>
      </c>
      <c r="AR178" t="str">
        <f>IFERROR(VLOOKUP(D178,Manual!$C$1:$E$22,2,FALSE),"Pend")</f>
        <v>Pend</v>
      </c>
      <c r="AS178" t="str">
        <f t="shared" si="64"/>
        <v/>
      </c>
      <c r="AT178" t="str">
        <f t="shared" si="65"/>
        <v>Yes</v>
      </c>
      <c r="AU178" s="51" t="str">
        <f t="shared" si="66"/>
        <v/>
      </c>
      <c r="AV178" s="12">
        <f>IFERROR(VLOOKUP(D178,'Receivable Invoice Detail'!$S$1:$U$3014,3,FALSE),0)</f>
        <v>0</v>
      </c>
      <c r="AW178" s="12">
        <f t="shared" si="67"/>
        <v>0</v>
      </c>
    </row>
    <row r="179" spans="1:49" ht="30" x14ac:dyDescent="0.25">
      <c r="A179" s="2">
        <v>2</v>
      </c>
      <c r="B179" s="2" t="s">
        <v>1825</v>
      </c>
      <c r="C179" s="2" t="s">
        <v>1826</v>
      </c>
      <c r="D179" s="2" t="s">
        <v>2525</v>
      </c>
      <c r="E179" s="2" t="s">
        <v>86</v>
      </c>
      <c r="F179" s="3">
        <v>45700.404618055552</v>
      </c>
      <c r="G179" s="3">
        <v>45723.504282407397</v>
      </c>
      <c r="H179" s="4">
        <v>45758</v>
      </c>
      <c r="I179" s="2" t="s">
        <v>21</v>
      </c>
      <c r="J179" s="2" t="s">
        <v>22</v>
      </c>
      <c r="K179" s="2">
        <v>1</v>
      </c>
      <c r="L179" s="2">
        <v>129.11000000000001</v>
      </c>
      <c r="M179" s="2">
        <v>0</v>
      </c>
      <c r="N179" s="2">
        <v>89.727723880657493</v>
      </c>
      <c r="O179" s="2">
        <v>122.96</v>
      </c>
      <c r="P179" s="2">
        <v>6.15</v>
      </c>
      <c r="Q179" s="2">
        <v>129.11000000000001</v>
      </c>
      <c r="R179" s="2" t="s">
        <v>44</v>
      </c>
      <c r="S179" s="2"/>
      <c r="T179" s="2">
        <f t="shared" si="49"/>
        <v>2</v>
      </c>
      <c r="U179" s="18">
        <f t="shared" si="50"/>
        <v>2</v>
      </c>
      <c r="V179" s="18">
        <f t="shared" si="51"/>
        <v>2025</v>
      </c>
      <c r="W179" s="18">
        <f t="shared" si="52"/>
        <v>5</v>
      </c>
      <c r="X179" s="18">
        <f t="shared" si="53"/>
        <v>2025</v>
      </c>
      <c r="Y179" s="2">
        <f t="shared" si="46"/>
        <v>0.69497113996326765</v>
      </c>
      <c r="Z179" t="str">
        <f t="shared" si="47"/>
        <v>SO16586</v>
      </c>
      <c r="AA179" s="11">
        <f t="shared" si="54"/>
        <v>45700.404618055552</v>
      </c>
      <c r="AB179" s="5" t="str">
        <f t="shared" si="55"/>
        <v>INV12904</v>
      </c>
      <c r="AC179" s="5" t="str">
        <f>IFERROR(VLOOKUP(D179,CAARStatus!$A$2:$AA$1600,22,FALSE),"Not invoiced")</f>
        <v>Paid</v>
      </c>
      <c r="AD179" s="11">
        <f>IF(AC179="Paid",IFERROR(VLOOKUP(D179,CAARStatus!$A$2:$AA$1600,6,FALSE),"Pending"),"Pending")</f>
        <v>45800</v>
      </c>
      <c r="AE179" s="5" t="str">
        <f t="shared" si="56"/>
        <v>MB21-00186901</v>
      </c>
      <c r="AF179" s="5" t="str">
        <f t="shared" si="57"/>
        <v>Motion Industries Inc. (Canada) - Winnipeg</v>
      </c>
      <c r="AG179" s="5" t="str">
        <f t="shared" si="58"/>
        <v>CAD</v>
      </c>
      <c r="AH179" s="5">
        <f t="shared" si="59"/>
        <v>122.96</v>
      </c>
      <c r="AI179" s="12">
        <f>IF(L179-N179=0,VLOOKUP(U179,rate!A$4:B$15,2,FALSE)*AH179,IF(AG179="USD",O179,AH179*Y179))</f>
        <v>85.453651369883389</v>
      </c>
      <c r="AJ179" s="13">
        <f t="shared" si="60"/>
        <v>0.69497113996326765</v>
      </c>
      <c r="AK179" s="13">
        <f>-IF(AG179="CAD",IFERROR(VLOOKUP(D179,CAARStatus!$A$1:$Y$1600,16,FALSE),0),0)</f>
        <v>-30.74</v>
      </c>
      <c r="AL179" s="13">
        <f>-IF(AG179="USD",IFERROR(VLOOKUP(D179,CAARStatus!$A$1:$Y$1600,11,FALSE),0),0)</f>
        <v>0</v>
      </c>
      <c r="AM179" s="22">
        <f t="shared" si="61"/>
        <v>92.22</v>
      </c>
      <c r="AN179" s="12" t="str">
        <f t="shared" si="62"/>
        <v/>
      </c>
      <c r="AO179" s="12" t="str">
        <f t="shared" si="63"/>
        <v>Yes</v>
      </c>
      <c r="AP179" t="str">
        <f t="shared" si="48"/>
        <v>XX</v>
      </c>
      <c r="AQ179" t="str">
        <f>IFERROR(VLOOKUP(Z179,InvBal!$L$4:$P$600,4,FALSE),"Pend")</f>
        <v>Yes</v>
      </c>
      <c r="AR179" t="str">
        <f>IFERROR(VLOOKUP(D179,Manual!$C$1:$E$22,2,FALSE),"Pend")</f>
        <v>Pend</v>
      </c>
      <c r="AS179" t="str">
        <f t="shared" si="64"/>
        <v>Yes</v>
      </c>
      <c r="AT179" t="str">
        <f t="shared" si="65"/>
        <v>Yes</v>
      </c>
      <c r="AU179" s="51" t="str">
        <f t="shared" si="66"/>
        <v>Yes</v>
      </c>
      <c r="AV179" s="12">
        <f>IFERROR(VLOOKUP(D179,'Receivable Invoice Detail'!$S$1:$U$3014,3,FALSE),0)</f>
        <v>0</v>
      </c>
      <c r="AW179" s="12">
        <f t="shared" si="67"/>
        <v>85.453651369883389</v>
      </c>
    </row>
    <row r="180" spans="1:49" x14ac:dyDescent="0.25">
      <c r="A180" s="2"/>
      <c r="B180" s="2"/>
      <c r="C180" s="2"/>
      <c r="D180" s="2" t="s">
        <v>2524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>
        <f t="shared" si="49"/>
        <v>2</v>
      </c>
      <c r="U180" s="18">
        <f t="shared" si="50"/>
        <v>2</v>
      </c>
      <c r="V180" s="18">
        <f t="shared" si="51"/>
        <v>2025</v>
      </c>
      <c r="W180" s="18">
        <f t="shared" si="52"/>
        <v>4</v>
      </c>
      <c r="X180" s="18">
        <f t="shared" si="53"/>
        <v>2025</v>
      </c>
      <c r="Y180" s="2">
        <f t="shared" si="46"/>
        <v>0.69497113996326765</v>
      </c>
      <c r="Z180" t="str">
        <f t="shared" si="47"/>
        <v>SO16586</v>
      </c>
      <c r="AA180" s="11">
        <f t="shared" si="54"/>
        <v>45700.404618055552</v>
      </c>
      <c r="AB180" s="5" t="str">
        <f t="shared" si="55"/>
        <v>INV12717</v>
      </c>
      <c r="AC180" s="5" t="str">
        <f>IFERROR(VLOOKUP(D180,CAARStatus!$A$2:$AA$1600,22,FALSE),"Not invoiced")</f>
        <v>Paid</v>
      </c>
      <c r="AD180" s="11">
        <f>IF(AC180="Paid",IFERROR(VLOOKUP(D180,CAARStatus!$A$2:$AA$1600,6,FALSE),"Pending"),"Pending")</f>
        <v>45756</v>
      </c>
      <c r="AE180" s="5" t="str">
        <f t="shared" si="56"/>
        <v>MB21-00186901</v>
      </c>
      <c r="AF180" s="5" t="str">
        <f t="shared" si="57"/>
        <v>Motion Industries Inc. (Canada) - Winnipeg</v>
      </c>
      <c r="AG180" s="5" t="str">
        <f t="shared" si="58"/>
        <v>CAD</v>
      </c>
      <c r="AH180" s="5">
        <f t="shared" si="59"/>
        <v>0</v>
      </c>
      <c r="AI180" s="12">
        <f>IF(L180-N180=0,VLOOKUP(U180,rate!A$4:B$15,2,FALSE)*AH180,IF(AG180="USD",O180,AH180*Y180))</f>
        <v>0</v>
      </c>
      <c r="AJ180" s="13">
        <f t="shared" si="60"/>
        <v>0</v>
      </c>
      <c r="AK180" s="13">
        <f>-IF(AG180="CAD",IFERROR(VLOOKUP(D180,CAARStatus!$A$1:$Y$1600,16,FALSE),0),0)</f>
        <v>-92.22</v>
      </c>
      <c r="AL180" s="13">
        <f>-IF(AG180="USD",IFERROR(VLOOKUP(D180,CAARStatus!$A$1:$Y$1600,11,FALSE),0),0)</f>
        <v>0</v>
      </c>
      <c r="AM180" s="22">
        <f t="shared" si="61"/>
        <v>-92.22</v>
      </c>
      <c r="AN180" s="12" t="str">
        <f t="shared" si="62"/>
        <v/>
      </c>
      <c r="AO180" s="12" t="str">
        <f t="shared" si="63"/>
        <v>Yes</v>
      </c>
      <c r="AP180" t="str">
        <f t="shared" si="48"/>
        <v>XX</v>
      </c>
      <c r="AQ180" t="str">
        <f>IFERROR(VLOOKUP(Z180,InvBal!$L$4:$P$600,4,FALSE),"Pend")</f>
        <v>Yes</v>
      </c>
      <c r="AR180" t="str">
        <f>IFERROR(VLOOKUP(D180,Manual!$C$1:$E$22,2,FALSE),"Pend")</f>
        <v>Pend</v>
      </c>
      <c r="AS180" t="str">
        <f t="shared" si="64"/>
        <v>Yes</v>
      </c>
      <c r="AT180" t="str">
        <f t="shared" si="65"/>
        <v/>
      </c>
      <c r="AU180" s="51" t="str">
        <f t="shared" si="66"/>
        <v/>
      </c>
      <c r="AV180" s="12">
        <f>IFERROR(VLOOKUP(D180,'Receivable Invoice Detail'!$S$1:$U$3014,3,FALSE),0)</f>
        <v>0</v>
      </c>
      <c r="AW180" s="12">
        <f t="shared" si="67"/>
        <v>0</v>
      </c>
    </row>
    <row r="181" spans="1:49" ht="30" x14ac:dyDescent="0.25">
      <c r="A181" s="2">
        <v>1</v>
      </c>
      <c r="B181" s="2" t="s">
        <v>1995</v>
      </c>
      <c r="C181" s="2" t="s">
        <v>1996</v>
      </c>
      <c r="D181" s="2" t="s">
        <v>2428</v>
      </c>
      <c r="E181" s="2" t="s">
        <v>20</v>
      </c>
      <c r="F181" s="3">
        <v>45700.499872685177</v>
      </c>
      <c r="G181" s="3">
        <v>45701.714988425927</v>
      </c>
      <c r="H181" s="4">
        <v>45791</v>
      </c>
      <c r="I181" s="2" t="s">
        <v>180</v>
      </c>
      <c r="J181" s="2" t="s">
        <v>22</v>
      </c>
      <c r="K181" s="2">
        <v>1</v>
      </c>
      <c r="L181" s="2">
        <v>2550.67</v>
      </c>
      <c r="M181" s="2">
        <v>0</v>
      </c>
      <c r="N181" s="2">
        <v>1792.4224851869831</v>
      </c>
      <c r="O181" s="2">
        <v>2429.21</v>
      </c>
      <c r="P181" s="2">
        <v>121.46</v>
      </c>
      <c r="Q181" s="2">
        <v>2550.67</v>
      </c>
      <c r="R181" s="2" t="s">
        <v>44</v>
      </c>
      <c r="S181" s="2"/>
      <c r="T181" s="2">
        <f t="shared" si="49"/>
        <v>1</v>
      </c>
      <c r="U181" s="18">
        <f t="shared" si="50"/>
        <v>2</v>
      </c>
      <c r="V181" s="18">
        <f t="shared" si="51"/>
        <v>2025</v>
      </c>
      <c r="W181" s="18">
        <f t="shared" si="52"/>
        <v>6</v>
      </c>
      <c r="X181" s="18">
        <f t="shared" si="53"/>
        <v>2025</v>
      </c>
      <c r="Y181" s="2">
        <f t="shared" si="46"/>
        <v>0.70272614065597783</v>
      </c>
      <c r="Z181" t="str">
        <f t="shared" si="47"/>
        <v>SO16588</v>
      </c>
      <c r="AA181" s="11">
        <f t="shared" si="54"/>
        <v>45700.499872685177</v>
      </c>
      <c r="AB181" s="5" t="str">
        <f t="shared" si="55"/>
        <v>INV12879</v>
      </c>
      <c r="AC181" s="5" t="str">
        <f>IFERROR(VLOOKUP(D181,CAARStatus!$A$2:$AA$1600,22,FALSE),"Not invoiced")</f>
        <v>Paid</v>
      </c>
      <c r="AD181" s="11">
        <f>IF(AC181="Paid",IFERROR(VLOOKUP(D181,CAARStatus!$A$2:$AA$1600,6,FALSE),"Pending"),"Pending")</f>
        <v>45821</v>
      </c>
      <c r="AE181" s="5" t="str">
        <f t="shared" si="56"/>
        <v>4500581569</v>
      </c>
      <c r="AF181" s="5" t="str">
        <f t="shared" si="57"/>
        <v>Resolute Forest Products - Saint-Felicien</v>
      </c>
      <c r="AG181" s="5" t="str">
        <f t="shared" si="58"/>
        <v>CAD</v>
      </c>
      <c r="AH181" s="5">
        <f t="shared" si="59"/>
        <v>2429.21</v>
      </c>
      <c r="AI181" s="12">
        <f>IF(L181-N181=0,VLOOKUP(U181,rate!A$4:B$15,2,FALSE)*AH181,IF(AG181="USD",O181,AH181*Y181))</f>
        <v>1707.0693681429079</v>
      </c>
      <c r="AJ181" s="13">
        <f t="shared" si="60"/>
        <v>0.70272614065597783</v>
      </c>
      <c r="AK181" s="13">
        <f>-IF(AG181="CAD",IFERROR(VLOOKUP(D181,CAARStatus!$A$1:$Y$1600,16,FALSE),0),0)</f>
        <v>-2429.21</v>
      </c>
      <c r="AL181" s="13">
        <f>-IF(AG181="USD",IFERROR(VLOOKUP(D181,CAARStatus!$A$1:$Y$1600,11,FALSE),0),0)</f>
        <v>0</v>
      </c>
      <c r="AM181" s="22">
        <f t="shared" si="61"/>
        <v>0</v>
      </c>
      <c r="AN181" s="12" t="str">
        <f t="shared" si="62"/>
        <v/>
      </c>
      <c r="AO181" s="12" t="str">
        <f t="shared" si="63"/>
        <v>Yes</v>
      </c>
      <c r="AP181" t="str">
        <f t="shared" si="48"/>
        <v>Yes</v>
      </c>
      <c r="AQ181" t="str">
        <f>IFERROR(VLOOKUP(Z181,InvBal!$L$4:$P$600,4,FALSE),"Pend")</f>
        <v>Pend</v>
      </c>
      <c r="AR181" t="str">
        <f>IFERROR(VLOOKUP(D181,Manual!$C$1:$E$22,2,FALSE),"Pend")</f>
        <v>Pend</v>
      </c>
      <c r="AS181" t="str">
        <f t="shared" si="64"/>
        <v>Yes</v>
      </c>
      <c r="AT181" t="str">
        <f t="shared" si="65"/>
        <v>Yes</v>
      </c>
      <c r="AU181" s="51" t="str">
        <f t="shared" si="66"/>
        <v>Yes</v>
      </c>
      <c r="AV181" s="12">
        <f>IFERROR(VLOOKUP(D181,'Receivable Invoice Detail'!$S$1:$U$3014,3,FALSE),0)</f>
        <v>0</v>
      </c>
      <c r="AW181" s="12">
        <f t="shared" si="67"/>
        <v>1707.0693681429079</v>
      </c>
    </row>
    <row r="182" spans="1:49" x14ac:dyDescent="0.25">
      <c r="A182" s="2">
        <v>1</v>
      </c>
      <c r="B182" s="2" t="s">
        <v>1965</v>
      </c>
      <c r="C182" s="2" t="s">
        <v>1966</v>
      </c>
      <c r="D182" s="2" t="s">
        <v>2446</v>
      </c>
      <c r="E182" s="2" t="s">
        <v>644</v>
      </c>
      <c r="F182" s="3">
        <v>45700.594074074077</v>
      </c>
      <c r="G182" s="3">
        <v>45706.438402777778</v>
      </c>
      <c r="H182" s="4">
        <v>45707</v>
      </c>
      <c r="I182" s="2" t="s">
        <v>1132</v>
      </c>
      <c r="J182" s="2" t="s">
        <v>51</v>
      </c>
      <c r="K182" s="2">
        <v>0.70491579277313177</v>
      </c>
      <c r="L182" s="2">
        <v>7479.5600468223229</v>
      </c>
      <c r="M182" s="2">
        <v>0</v>
      </c>
      <c r="N182" s="2">
        <v>5272.46</v>
      </c>
      <c r="O182" s="2">
        <v>5272.46</v>
      </c>
      <c r="P182" s="2"/>
      <c r="Q182" s="2">
        <v>5272.46</v>
      </c>
      <c r="R182" s="2" t="s">
        <v>44</v>
      </c>
      <c r="S182" s="2"/>
      <c r="T182" s="2">
        <f t="shared" si="49"/>
        <v>1</v>
      </c>
      <c r="U182" s="18">
        <f t="shared" si="50"/>
        <v>2</v>
      </c>
      <c r="V182" s="18">
        <f t="shared" si="51"/>
        <v>2025</v>
      </c>
      <c r="W182" s="18">
        <f t="shared" si="52"/>
        <v>3</v>
      </c>
      <c r="X182" s="18">
        <f t="shared" si="53"/>
        <v>2025</v>
      </c>
      <c r="Y182" s="2">
        <f t="shared" si="46"/>
        <v>0.70491579277313177</v>
      </c>
      <c r="Z182" t="str">
        <f t="shared" si="47"/>
        <v>SO16589</v>
      </c>
      <c r="AA182" s="11">
        <f t="shared" si="54"/>
        <v>45700.594074074077</v>
      </c>
      <c r="AB182" s="5" t="str">
        <f t="shared" si="55"/>
        <v>INV12672</v>
      </c>
      <c r="AC182" s="5" t="str">
        <f>IFERROR(VLOOKUP(D182,CAARStatus!$A$2:$AA$1600,22,FALSE),"Not invoiced")</f>
        <v>Paid</v>
      </c>
      <c r="AD182" s="11">
        <f>IF(AC182="Paid",IFERROR(VLOOKUP(D182,CAARStatus!$A$2:$AA$1600,6,FALSE),"Pending"),"Pending")</f>
        <v>45743</v>
      </c>
      <c r="AE182" s="5" t="str">
        <f t="shared" si="56"/>
        <v>P-21825</v>
      </c>
      <c r="AF182" s="5" t="str">
        <f t="shared" si="57"/>
        <v>Cartledge &amp; Associates Inc.</v>
      </c>
      <c r="AG182" s="5" t="str">
        <f t="shared" si="58"/>
        <v>USD</v>
      </c>
      <c r="AH182" s="5">
        <f t="shared" si="59"/>
        <v>7479.5600468223229</v>
      </c>
      <c r="AI182" s="12">
        <f>IF(L182-N182=0,VLOOKUP(U182,rate!A$4:B$15,2,FALSE)*AH182,IF(AG182="USD",O182,AH182*Y182))</f>
        <v>5272.46</v>
      </c>
      <c r="AJ182" s="13">
        <f t="shared" si="60"/>
        <v>0.70491579277313177</v>
      </c>
      <c r="AK182" s="13">
        <f>-IF(AG182="CAD",IFERROR(VLOOKUP(D182,CAARStatus!$A$1:$Y$1600,16,FALSE),0),0)</f>
        <v>0</v>
      </c>
      <c r="AL182" s="13">
        <f>-IF(AG182="USD",IFERROR(VLOOKUP(D182,CAARStatus!$A$1:$Y$1600,11,FALSE),0),0)</f>
        <v>-5272.46</v>
      </c>
      <c r="AM182" s="22" t="str">
        <f t="shared" si="61"/>
        <v/>
      </c>
      <c r="AN182" s="12">
        <f t="shared" si="62"/>
        <v>0</v>
      </c>
      <c r="AO182" s="12" t="str">
        <f t="shared" si="63"/>
        <v>Yes</v>
      </c>
      <c r="AP182" t="str">
        <f t="shared" si="48"/>
        <v>Yes</v>
      </c>
      <c r="AQ182" t="str">
        <f>IFERROR(VLOOKUP(Z182,InvBal!$L$4:$P$600,4,FALSE),"Pend")</f>
        <v>Pend</v>
      </c>
      <c r="AR182" t="str">
        <f>IFERROR(VLOOKUP(D182,Manual!$C$1:$E$22,2,FALSE),"Pend")</f>
        <v>Pend</v>
      </c>
      <c r="AS182" t="str">
        <f t="shared" si="64"/>
        <v>Yes</v>
      </c>
      <c r="AT182" t="str">
        <f t="shared" si="65"/>
        <v>Yes</v>
      </c>
      <c r="AU182" s="51" t="str">
        <f t="shared" si="66"/>
        <v>Yes</v>
      </c>
      <c r="AV182" s="12">
        <f>IFERROR(VLOOKUP(D182,'Receivable Invoice Detail'!$S$1:$U$3014,3,FALSE),0)</f>
        <v>590</v>
      </c>
      <c r="AW182" s="12">
        <f t="shared" si="67"/>
        <v>4682.46</v>
      </c>
    </row>
    <row r="183" spans="1:49" ht="30" x14ac:dyDescent="0.25">
      <c r="A183" s="2">
        <v>1</v>
      </c>
      <c r="B183" s="2" t="s">
        <v>1901</v>
      </c>
      <c r="C183" s="2" t="s">
        <v>1902</v>
      </c>
      <c r="D183" s="2" t="s">
        <v>2480</v>
      </c>
      <c r="E183" s="2" t="s">
        <v>232</v>
      </c>
      <c r="F183" s="3">
        <v>45700.788622685177</v>
      </c>
      <c r="G183" s="3">
        <v>45713.683472222219</v>
      </c>
      <c r="H183" s="4">
        <v>45838</v>
      </c>
      <c r="I183" s="2" t="s">
        <v>180</v>
      </c>
      <c r="J183" s="2" t="s">
        <v>51</v>
      </c>
      <c r="K183" s="2">
        <v>0.70298555845892441</v>
      </c>
      <c r="L183" s="2">
        <v>60987.568640793208</v>
      </c>
      <c r="M183" s="2">
        <v>0</v>
      </c>
      <c r="N183" s="2">
        <v>42873.38</v>
      </c>
      <c r="O183" s="2">
        <v>42873.38</v>
      </c>
      <c r="P183" s="2"/>
      <c r="Q183" s="2">
        <v>42873.38</v>
      </c>
      <c r="R183" s="2" t="s">
        <v>44</v>
      </c>
      <c r="S183" s="2"/>
      <c r="T183" s="2">
        <f t="shared" si="49"/>
        <v>1</v>
      </c>
      <c r="U183" s="18">
        <f t="shared" si="50"/>
        <v>2</v>
      </c>
      <c r="V183" s="18">
        <f t="shared" si="51"/>
        <v>2025</v>
      </c>
      <c r="W183" s="18">
        <f t="shared" si="52"/>
        <v>9</v>
      </c>
      <c r="X183" s="18">
        <f t="shared" si="53"/>
        <v>2025</v>
      </c>
      <c r="Y183" s="2">
        <f t="shared" si="46"/>
        <v>0.70298555845892441</v>
      </c>
      <c r="Z183" t="str">
        <f t="shared" si="47"/>
        <v>SO16592</v>
      </c>
      <c r="AA183" s="11">
        <f t="shared" si="54"/>
        <v>45700.788622685177</v>
      </c>
      <c r="AB183" s="5" t="str">
        <f t="shared" si="55"/>
        <v>INV12943</v>
      </c>
      <c r="AC183" s="5" t="str">
        <f>IFERROR(VLOOKUP(D183,CAARStatus!$A$2:$AA$1600,22,FALSE),"Not invoiced")</f>
        <v>Paid</v>
      </c>
      <c r="AD183" s="11">
        <f>IF(AC183="Paid",IFERROR(VLOOKUP(D183,CAARStatus!$A$2:$AA$1600,6,FALSE),"Pending"),"Pending")</f>
        <v>45908</v>
      </c>
      <c r="AE183" s="5" t="str">
        <f t="shared" si="56"/>
        <v>2245686</v>
      </c>
      <c r="AF183" s="5" t="str">
        <f t="shared" si="57"/>
        <v>Zijin Mining - Rosebel Goldmines N.V.</v>
      </c>
      <c r="AG183" s="5" t="str">
        <f t="shared" si="58"/>
        <v>USD</v>
      </c>
      <c r="AH183" s="5">
        <f t="shared" si="59"/>
        <v>60987.568640793208</v>
      </c>
      <c r="AI183" s="12">
        <f>IF(L183-N183=0,VLOOKUP(U183,rate!A$4:B$15,2,FALSE)*AH183,IF(AG183="USD",O183,AH183*Y183))</f>
        <v>42873.38</v>
      </c>
      <c r="AJ183" s="13">
        <f t="shared" si="60"/>
        <v>0.70298555845892441</v>
      </c>
      <c r="AK183" s="13">
        <f>-IF(AG183="CAD",IFERROR(VLOOKUP(D183,CAARStatus!$A$1:$Y$1600,16,FALSE),0),0)</f>
        <v>0</v>
      </c>
      <c r="AL183" s="13">
        <f>-IF(AG183="USD",IFERROR(VLOOKUP(D183,CAARStatus!$A$1:$Y$1600,11,FALSE),0),0)</f>
        <v>-42873.38</v>
      </c>
      <c r="AM183" s="22" t="str">
        <f t="shared" si="61"/>
        <v/>
      </c>
      <c r="AN183" s="12">
        <f t="shared" si="62"/>
        <v>0</v>
      </c>
      <c r="AO183" s="12" t="str">
        <f t="shared" si="63"/>
        <v>Yes</v>
      </c>
      <c r="AP183" t="str">
        <f t="shared" si="48"/>
        <v>Yes</v>
      </c>
      <c r="AQ183" t="str">
        <f>IFERROR(VLOOKUP(Z183,InvBal!$L$4:$P$600,4,FALSE),"Pend")</f>
        <v>Pend</v>
      </c>
      <c r="AR183" t="str">
        <f>IFERROR(VLOOKUP(D183,Manual!$C$1:$E$22,2,FALSE),"Pend")</f>
        <v>Pend</v>
      </c>
      <c r="AS183" t="str">
        <f t="shared" si="64"/>
        <v>Yes</v>
      </c>
      <c r="AT183" t="str">
        <f t="shared" si="65"/>
        <v>Yes</v>
      </c>
      <c r="AU183" s="51" t="str">
        <f t="shared" si="66"/>
        <v>Yes</v>
      </c>
      <c r="AV183" s="12">
        <f>IFERROR(VLOOKUP(D183,'Receivable Invoice Detail'!$S$1:$U$3014,3,FALSE),0)</f>
        <v>0</v>
      </c>
      <c r="AW183" s="12">
        <f t="shared" si="67"/>
        <v>42873.38</v>
      </c>
    </row>
    <row r="184" spans="1:49" ht="30" x14ac:dyDescent="0.25">
      <c r="A184" s="2">
        <v>1</v>
      </c>
      <c r="B184" s="2" t="s">
        <v>1997</v>
      </c>
      <c r="C184" s="2" t="s">
        <v>1998</v>
      </c>
      <c r="D184" s="2" t="s">
        <v>2427</v>
      </c>
      <c r="E184" s="2" t="s">
        <v>159</v>
      </c>
      <c r="F184" s="3">
        <v>45701.432824074072</v>
      </c>
      <c r="G184" s="3">
        <v>45701.64334490741</v>
      </c>
      <c r="H184" s="4">
        <v>45926</v>
      </c>
      <c r="I184" s="2" t="s">
        <v>426</v>
      </c>
      <c r="J184" s="2" t="s">
        <v>51</v>
      </c>
      <c r="K184" s="2">
        <v>0.69887047283621118</v>
      </c>
      <c r="L184" s="2">
        <v>2544.1767381932409</v>
      </c>
      <c r="M184" s="2">
        <v>0</v>
      </c>
      <c r="N184" s="2">
        <v>1778.05</v>
      </c>
      <c r="O184" s="2">
        <v>1778.05</v>
      </c>
      <c r="P184" s="2"/>
      <c r="Q184" s="2">
        <v>1778.05</v>
      </c>
      <c r="R184" s="2" t="s">
        <v>44</v>
      </c>
      <c r="S184" s="2"/>
      <c r="T184" s="2">
        <f t="shared" si="49"/>
        <v>1</v>
      </c>
      <c r="U184" s="18">
        <f t="shared" si="50"/>
        <v>2</v>
      </c>
      <c r="V184" s="18">
        <f t="shared" si="51"/>
        <v>2025</v>
      </c>
      <c r="W184" s="18">
        <f t="shared" si="52"/>
        <v>8</v>
      </c>
      <c r="X184" s="18">
        <f t="shared" si="53"/>
        <v>2025</v>
      </c>
      <c r="Y184" s="2">
        <f t="shared" si="46"/>
        <v>0.69887047283621129</v>
      </c>
      <c r="Z184" t="str">
        <f t="shared" si="47"/>
        <v>SO16593</v>
      </c>
      <c r="AA184" s="11">
        <f t="shared" si="54"/>
        <v>45701.432824074072</v>
      </c>
      <c r="AB184" s="5" t="str">
        <f t="shared" si="55"/>
        <v>INV13152</v>
      </c>
      <c r="AC184" s="5" t="str">
        <f>IFERROR(VLOOKUP(D184,CAARStatus!$A$2:$AA$1600,22,FALSE),"Not invoiced")</f>
        <v>Paid</v>
      </c>
      <c r="AD184" s="11">
        <f>IF(AC184="Paid",IFERROR(VLOOKUP(D184,CAARStatus!$A$2:$AA$1600,6,FALSE),"Pending"),"Pending")</f>
        <v>45890</v>
      </c>
      <c r="AE184" s="5" t="str">
        <f t="shared" si="56"/>
        <v>4501110739</v>
      </c>
      <c r="AF184" s="5" t="str">
        <f t="shared" si="57"/>
        <v>Barrick Gold - Pueblo Viejo Dominicana Corporation</v>
      </c>
      <c r="AG184" s="5" t="str">
        <f t="shared" si="58"/>
        <v>USD</v>
      </c>
      <c r="AH184" s="5">
        <f t="shared" si="59"/>
        <v>2544.1767381932414</v>
      </c>
      <c r="AI184" s="12">
        <f>IF(L184-N184=0,VLOOKUP(U184,rate!A$4:B$15,2,FALSE)*AH184,IF(AG184="USD",O184,AH184*Y184))</f>
        <v>1778.05</v>
      </c>
      <c r="AJ184" s="13">
        <f t="shared" si="60"/>
        <v>0.69887047283621118</v>
      </c>
      <c r="AK184" s="13">
        <f>-IF(AG184="CAD",IFERROR(VLOOKUP(D184,CAARStatus!$A$1:$Y$1600,16,FALSE),0),0)</f>
        <v>0</v>
      </c>
      <c r="AL184" s="13">
        <f>-IF(AG184="USD",IFERROR(VLOOKUP(D184,CAARStatus!$A$1:$Y$1600,11,FALSE),0),0)</f>
        <v>-1778.05</v>
      </c>
      <c r="AM184" s="22" t="str">
        <f t="shared" si="61"/>
        <v/>
      </c>
      <c r="AN184" s="12">
        <f t="shared" si="62"/>
        <v>0</v>
      </c>
      <c r="AO184" s="12" t="str">
        <f t="shared" si="63"/>
        <v>Yes</v>
      </c>
      <c r="AP184" t="str">
        <f t="shared" si="48"/>
        <v>Yes</v>
      </c>
      <c r="AQ184" t="str">
        <f>IFERROR(VLOOKUP(Z184,InvBal!$L$4:$P$600,4,FALSE),"Pend")</f>
        <v>Pend</v>
      </c>
      <c r="AR184" t="str">
        <f>IFERROR(VLOOKUP(D184,Manual!$C$1:$E$22,2,FALSE),"Pend")</f>
        <v>Pend</v>
      </c>
      <c r="AS184" t="str">
        <f t="shared" si="64"/>
        <v>Yes</v>
      </c>
      <c r="AT184" t="str">
        <f t="shared" si="65"/>
        <v>Yes</v>
      </c>
      <c r="AU184" s="51" t="str">
        <f t="shared" si="66"/>
        <v>Yes</v>
      </c>
      <c r="AV184" s="12">
        <f>IFERROR(VLOOKUP(D184,'Receivable Invoice Detail'!$S$1:$U$3014,3,FALSE),0)</f>
        <v>0</v>
      </c>
      <c r="AW184" s="12">
        <f t="shared" si="67"/>
        <v>1778.05</v>
      </c>
    </row>
    <row r="185" spans="1:49" x14ac:dyDescent="0.25">
      <c r="A185" s="2">
        <v>1</v>
      </c>
      <c r="B185" s="2" t="s">
        <v>1993</v>
      </c>
      <c r="C185" s="2" t="s">
        <v>1994</v>
      </c>
      <c r="D185" s="2" t="s">
        <v>2429</v>
      </c>
      <c r="E185" s="2" t="s">
        <v>54</v>
      </c>
      <c r="F185" s="3">
        <v>45701.545277777783</v>
      </c>
      <c r="G185" s="3">
        <v>45702.38821759259</v>
      </c>
      <c r="H185" s="4">
        <v>45705</v>
      </c>
      <c r="I185" s="2" t="s">
        <v>21</v>
      </c>
      <c r="J185" s="2" t="s">
        <v>22</v>
      </c>
      <c r="K185" s="2">
        <v>1</v>
      </c>
      <c r="L185" s="2">
        <v>9113.6299999999992</v>
      </c>
      <c r="M185" s="2">
        <v>0</v>
      </c>
      <c r="N185" s="2">
        <v>6429.9150958947284</v>
      </c>
      <c r="O185" s="2">
        <v>8679.65</v>
      </c>
      <c r="P185" s="2">
        <v>433.98</v>
      </c>
      <c r="Q185" s="2">
        <v>9113.6299999999992</v>
      </c>
      <c r="R185" s="2" t="s">
        <v>44</v>
      </c>
      <c r="S185" s="2"/>
      <c r="T185" s="2">
        <f t="shared" si="49"/>
        <v>1</v>
      </c>
      <c r="U185" s="18">
        <f t="shared" si="50"/>
        <v>2</v>
      </c>
      <c r="V185" s="18">
        <f t="shared" si="51"/>
        <v>2025</v>
      </c>
      <c r="W185" s="18">
        <f t="shared" si="52"/>
        <v>4</v>
      </c>
      <c r="X185" s="18">
        <f t="shared" si="53"/>
        <v>2025</v>
      </c>
      <c r="Y185" s="2">
        <f t="shared" si="46"/>
        <v>0.70552733607736207</v>
      </c>
      <c r="Z185" t="str">
        <f t="shared" si="47"/>
        <v>SO16595</v>
      </c>
      <c r="AA185" s="11">
        <f t="shared" si="54"/>
        <v>45701.545277777783</v>
      </c>
      <c r="AB185" s="5" t="str">
        <f t="shared" si="55"/>
        <v>INV12633</v>
      </c>
      <c r="AC185" s="5" t="str">
        <f>IFERROR(VLOOKUP(D185,CAARStatus!$A$2:$AA$1600,22,FALSE),"Not invoiced")</f>
        <v>Paid</v>
      </c>
      <c r="AD185" s="11">
        <f>IF(AC185="Paid",IFERROR(VLOOKUP(D185,CAARStatus!$A$2:$AA$1600,6,FALSE),"Pending"),"Pending")</f>
        <v>45750</v>
      </c>
      <c r="AE185" s="5" t="str">
        <f t="shared" si="56"/>
        <v>3055</v>
      </c>
      <c r="AF185" s="5" t="str">
        <f t="shared" si="57"/>
        <v>Les Pompes du St-Laurent Inc.</v>
      </c>
      <c r="AG185" s="5" t="str">
        <f t="shared" si="58"/>
        <v>CAD</v>
      </c>
      <c r="AH185" s="5">
        <f t="shared" si="59"/>
        <v>8679.65</v>
      </c>
      <c r="AI185" s="12">
        <f>IF(L185-N185=0,VLOOKUP(U185,rate!A$4:B$15,2,FALSE)*AH185,IF(AG185="USD",O185,AH185*Y185))</f>
        <v>6123.7303425838754</v>
      </c>
      <c r="AJ185" s="13">
        <f t="shared" si="60"/>
        <v>0.70552733607736207</v>
      </c>
      <c r="AK185" s="13">
        <f>-IF(AG185="CAD",IFERROR(VLOOKUP(D185,CAARStatus!$A$1:$Y$1600,16,FALSE),0),0)</f>
        <v>-8679.65</v>
      </c>
      <c r="AL185" s="13">
        <f>-IF(AG185="USD",IFERROR(VLOOKUP(D185,CAARStatus!$A$1:$Y$1600,11,FALSE),0),0)</f>
        <v>0</v>
      </c>
      <c r="AM185" s="22">
        <f t="shared" si="61"/>
        <v>0</v>
      </c>
      <c r="AN185" s="12" t="str">
        <f t="shared" si="62"/>
        <v/>
      </c>
      <c r="AO185" s="12" t="str">
        <f t="shared" si="63"/>
        <v>Yes</v>
      </c>
      <c r="AP185" t="str">
        <f t="shared" si="48"/>
        <v>Yes</v>
      </c>
      <c r="AQ185" t="str">
        <f>IFERROR(VLOOKUP(Z185,InvBal!$L$4:$P$600,4,FALSE),"Pend")</f>
        <v>Pend</v>
      </c>
      <c r="AR185" t="str">
        <f>IFERROR(VLOOKUP(D185,Manual!$C$1:$E$22,2,FALSE),"Pend")</f>
        <v>Pend</v>
      </c>
      <c r="AS185" t="str">
        <f t="shared" si="64"/>
        <v>Yes</v>
      </c>
      <c r="AT185" t="str">
        <f t="shared" si="65"/>
        <v>Yes</v>
      </c>
      <c r="AU185" s="51" t="str">
        <f t="shared" si="66"/>
        <v>Yes</v>
      </c>
      <c r="AV185" s="12">
        <f>IFERROR(VLOOKUP(D185,'Receivable Invoice Detail'!$S$1:$U$3014,3,FALSE),0)</f>
        <v>0</v>
      </c>
      <c r="AW185" s="12">
        <f t="shared" si="67"/>
        <v>6123.7303425838754</v>
      </c>
    </row>
    <row r="186" spans="1:49" x14ac:dyDescent="0.25">
      <c r="A186" s="2">
        <v>1</v>
      </c>
      <c r="B186" s="2" t="s">
        <v>1999</v>
      </c>
      <c r="C186" s="2" t="s">
        <v>2000</v>
      </c>
      <c r="D186" s="2" t="s">
        <v>2426</v>
      </c>
      <c r="E186" s="2" t="s">
        <v>54</v>
      </c>
      <c r="F186" s="3">
        <v>45701.572210648148</v>
      </c>
      <c r="G186" s="3">
        <v>45701.573391203703</v>
      </c>
      <c r="H186" s="4">
        <v>45702</v>
      </c>
      <c r="I186" s="2" t="s">
        <v>1132</v>
      </c>
      <c r="J186" s="2" t="s">
        <v>22</v>
      </c>
      <c r="K186" s="2">
        <v>1</v>
      </c>
      <c r="L186" s="2">
        <v>3155.25</v>
      </c>
      <c r="M186" s="2">
        <v>0</v>
      </c>
      <c r="N186" s="2">
        <v>2217.2766553047741</v>
      </c>
      <c r="O186" s="2">
        <v>3005</v>
      </c>
      <c r="P186" s="2">
        <v>150.25</v>
      </c>
      <c r="Q186" s="2">
        <v>3155.25</v>
      </c>
      <c r="R186" s="2" t="s">
        <v>44</v>
      </c>
      <c r="S186" s="2"/>
      <c r="T186" s="2">
        <f t="shared" si="49"/>
        <v>1</v>
      </c>
      <c r="U186" s="18">
        <f t="shared" si="50"/>
        <v>2</v>
      </c>
      <c r="V186" s="18">
        <f t="shared" si="51"/>
        <v>2025</v>
      </c>
      <c r="W186" s="18">
        <f t="shared" si="52"/>
        <v>4</v>
      </c>
      <c r="X186" s="18">
        <f t="shared" si="53"/>
        <v>2025</v>
      </c>
      <c r="Y186" s="2">
        <f t="shared" si="46"/>
        <v>0.70272614065597783</v>
      </c>
      <c r="Z186" t="str">
        <f t="shared" si="47"/>
        <v>SO16596</v>
      </c>
      <c r="AA186" s="11">
        <f t="shared" si="54"/>
        <v>45701.572210648148</v>
      </c>
      <c r="AB186" s="5" t="str">
        <f t="shared" si="55"/>
        <v>INV12634</v>
      </c>
      <c r="AC186" s="5" t="str">
        <f>IFERROR(VLOOKUP(D186,CAARStatus!$A$2:$AA$1600,22,FALSE),"Not invoiced")</f>
        <v>Paid</v>
      </c>
      <c r="AD186" s="11">
        <f>IF(AC186="Paid",IFERROR(VLOOKUP(D186,CAARStatus!$A$2:$AA$1600,6,FALSE),"Pending"),"Pending")</f>
        <v>45750</v>
      </c>
      <c r="AE186" s="5" t="str">
        <f t="shared" si="56"/>
        <v>3054</v>
      </c>
      <c r="AF186" s="5" t="str">
        <f t="shared" si="57"/>
        <v>Les Pompes du St-Laurent Inc.</v>
      </c>
      <c r="AG186" s="5" t="str">
        <f t="shared" si="58"/>
        <v>CAD</v>
      </c>
      <c r="AH186" s="5">
        <f t="shared" si="59"/>
        <v>3005</v>
      </c>
      <c r="AI186" s="12">
        <f>IF(L186-N186=0,VLOOKUP(U186,rate!A$4:B$15,2,FALSE)*AH186,IF(AG186="USD",O186,AH186*Y186))</f>
        <v>2111.6920526712133</v>
      </c>
      <c r="AJ186" s="13">
        <f t="shared" si="60"/>
        <v>0.70272614065597783</v>
      </c>
      <c r="AK186" s="13">
        <f>-IF(AG186="CAD",IFERROR(VLOOKUP(D186,CAARStatus!$A$1:$Y$1600,16,FALSE),0),0)</f>
        <v>-3005</v>
      </c>
      <c r="AL186" s="13">
        <f>-IF(AG186="USD",IFERROR(VLOOKUP(D186,CAARStatus!$A$1:$Y$1600,11,FALSE),0),0)</f>
        <v>0</v>
      </c>
      <c r="AM186" s="22">
        <f t="shared" si="61"/>
        <v>0</v>
      </c>
      <c r="AN186" s="12" t="str">
        <f t="shared" si="62"/>
        <v/>
      </c>
      <c r="AO186" s="12" t="str">
        <f t="shared" si="63"/>
        <v>Yes</v>
      </c>
      <c r="AP186" t="str">
        <f t="shared" si="48"/>
        <v>Yes</v>
      </c>
      <c r="AQ186" t="str">
        <f>IFERROR(VLOOKUP(Z186,InvBal!$L$4:$P$600,4,FALSE),"Pend")</f>
        <v>Pend</v>
      </c>
      <c r="AR186" t="str">
        <f>IFERROR(VLOOKUP(D186,Manual!$C$1:$E$22,2,FALSE),"Pend")</f>
        <v>Pend</v>
      </c>
      <c r="AS186" t="str">
        <f t="shared" si="64"/>
        <v>Yes</v>
      </c>
      <c r="AT186" t="str">
        <f t="shared" si="65"/>
        <v>Yes</v>
      </c>
      <c r="AU186" s="51" t="str">
        <f t="shared" si="66"/>
        <v>Yes</v>
      </c>
      <c r="AV186" s="12">
        <f>IFERROR(VLOOKUP(D186,'Receivable Invoice Detail'!$S$1:$U$3014,3,FALSE),0)</f>
        <v>0</v>
      </c>
      <c r="AW186" s="12">
        <f t="shared" si="67"/>
        <v>2111.6920526712133</v>
      </c>
    </row>
    <row r="187" spans="1:49" ht="30" x14ac:dyDescent="0.25">
      <c r="A187" s="2">
        <v>1</v>
      </c>
      <c r="B187" s="2" t="s">
        <v>1979</v>
      </c>
      <c r="C187" s="2" t="s">
        <v>1980</v>
      </c>
      <c r="D187" s="2" t="s">
        <v>2436</v>
      </c>
      <c r="E187" s="2" t="s">
        <v>35</v>
      </c>
      <c r="F187" s="3">
        <v>45701.637048611112</v>
      </c>
      <c r="G187" s="3">
        <v>45705.51829861111</v>
      </c>
      <c r="H187" s="4">
        <v>45706</v>
      </c>
      <c r="I187" s="2" t="s">
        <v>1132</v>
      </c>
      <c r="J187" s="2" t="s">
        <v>22</v>
      </c>
      <c r="K187" s="2">
        <v>1</v>
      </c>
      <c r="L187" s="2">
        <v>2877.18</v>
      </c>
      <c r="M187" s="2">
        <v>0</v>
      </c>
      <c r="N187" s="2">
        <v>2028.1917125779221</v>
      </c>
      <c r="O187" s="2">
        <v>2740.17</v>
      </c>
      <c r="P187" s="2">
        <v>137.01</v>
      </c>
      <c r="Q187" s="2">
        <v>2877.18</v>
      </c>
      <c r="R187" s="2" t="s">
        <v>44</v>
      </c>
      <c r="S187" s="2"/>
      <c r="T187" s="2">
        <f t="shared" si="49"/>
        <v>1</v>
      </c>
      <c r="U187" s="18">
        <f t="shared" si="50"/>
        <v>2</v>
      </c>
      <c r="V187" s="18">
        <f t="shared" si="51"/>
        <v>2025</v>
      </c>
      <c r="W187" s="18">
        <f t="shared" si="52"/>
        <v>4</v>
      </c>
      <c r="X187" s="18">
        <f t="shared" si="53"/>
        <v>2025</v>
      </c>
      <c r="Y187" s="2">
        <f t="shared" si="46"/>
        <v>0.7049234710994523</v>
      </c>
      <c r="Z187" t="str">
        <f t="shared" si="47"/>
        <v>SO16597</v>
      </c>
      <c r="AA187" s="11">
        <f t="shared" si="54"/>
        <v>45701.637048611112</v>
      </c>
      <c r="AB187" s="5" t="str">
        <f t="shared" si="55"/>
        <v>INV12655</v>
      </c>
      <c r="AC187" s="5" t="str">
        <f>IFERROR(VLOOKUP(D187,CAARStatus!$A$2:$AA$1600,22,FALSE),"Not invoiced")</f>
        <v>Paid</v>
      </c>
      <c r="AD187" s="11">
        <f>IF(AC187="Paid",IFERROR(VLOOKUP(D187,CAARStatus!$A$2:$AA$1600,6,FALSE),"Pending"),"Pending")</f>
        <v>45777</v>
      </c>
      <c r="AE187" s="5" t="str">
        <f t="shared" si="56"/>
        <v>13300</v>
      </c>
      <c r="AF187" s="5" t="str">
        <f t="shared" si="57"/>
        <v>Manufacture Sling-Choker (Val-d’Or) Ltée</v>
      </c>
      <c r="AG187" s="5" t="str">
        <f t="shared" si="58"/>
        <v>CAD</v>
      </c>
      <c r="AH187" s="5">
        <f t="shared" si="59"/>
        <v>2740.17</v>
      </c>
      <c r="AI187" s="12">
        <f>IF(L187-N187=0,VLOOKUP(U187,rate!A$4:B$15,2,FALSE)*AH187,IF(AG187="USD",O187,AH187*Y187))</f>
        <v>1931.6101478025862</v>
      </c>
      <c r="AJ187" s="13">
        <f t="shared" si="60"/>
        <v>0.7049234710994523</v>
      </c>
      <c r="AK187" s="13">
        <f>-IF(AG187="CAD",IFERROR(VLOOKUP(D187,CAARStatus!$A$1:$Y$1600,16,FALSE),0),0)</f>
        <v>-2740.17</v>
      </c>
      <c r="AL187" s="13">
        <f>-IF(AG187="USD",IFERROR(VLOOKUP(D187,CAARStatus!$A$1:$Y$1600,11,FALSE),0),0)</f>
        <v>0</v>
      </c>
      <c r="AM187" s="22">
        <f t="shared" si="61"/>
        <v>0</v>
      </c>
      <c r="AN187" s="12" t="str">
        <f t="shared" si="62"/>
        <v/>
      </c>
      <c r="AO187" s="12" t="str">
        <f t="shared" si="63"/>
        <v>Yes</v>
      </c>
      <c r="AP187" t="str">
        <f t="shared" si="48"/>
        <v>Yes</v>
      </c>
      <c r="AQ187" t="str">
        <f>IFERROR(VLOOKUP(Z187,InvBal!$L$4:$P$600,4,FALSE),"Pend")</f>
        <v>Pend</v>
      </c>
      <c r="AR187" t="str">
        <f>IFERROR(VLOOKUP(D187,Manual!$C$1:$E$22,2,FALSE),"Pend")</f>
        <v>Pend</v>
      </c>
      <c r="AS187" t="str">
        <f t="shared" si="64"/>
        <v>Yes</v>
      </c>
      <c r="AT187" t="str">
        <f t="shared" si="65"/>
        <v>Yes</v>
      </c>
      <c r="AU187" s="51" t="str">
        <f t="shared" si="66"/>
        <v>Yes</v>
      </c>
      <c r="AV187" s="12">
        <f>IFERROR(VLOOKUP(D187,'Receivable Invoice Detail'!$S$1:$U$3014,3,FALSE),0)</f>
        <v>0</v>
      </c>
      <c r="AW187" s="12">
        <f t="shared" si="67"/>
        <v>1931.6101478025862</v>
      </c>
    </row>
    <row r="188" spans="1:49" x14ac:dyDescent="0.25">
      <c r="A188" s="2">
        <v>1</v>
      </c>
      <c r="B188" s="2" t="s">
        <v>1938</v>
      </c>
      <c r="C188" s="2" t="s">
        <v>1939</v>
      </c>
      <c r="D188" s="2" t="s">
        <v>2461</v>
      </c>
      <c r="E188" s="2" t="s">
        <v>1778</v>
      </c>
      <c r="F188" s="3">
        <v>45701.642453703702</v>
      </c>
      <c r="G188" s="3">
        <v>45707.70076388889</v>
      </c>
      <c r="H188" s="4">
        <v>45708</v>
      </c>
      <c r="I188" s="2" t="s">
        <v>1132</v>
      </c>
      <c r="J188" s="2" t="s">
        <v>51</v>
      </c>
      <c r="K188" s="2">
        <v>0.70492347109945219</v>
      </c>
      <c r="L188" s="2">
        <v>368.12506695977089</v>
      </c>
      <c r="M188" s="2">
        <v>0</v>
      </c>
      <c r="N188" s="2">
        <v>259.5</v>
      </c>
      <c r="O188" s="2">
        <v>259.5</v>
      </c>
      <c r="P188" s="2"/>
      <c r="Q188" s="2">
        <v>259.5</v>
      </c>
      <c r="R188" s="2" t="s">
        <v>44</v>
      </c>
      <c r="S188" s="2"/>
      <c r="T188" s="2">
        <f t="shared" si="49"/>
        <v>1</v>
      </c>
      <c r="U188" s="18">
        <f t="shared" si="50"/>
        <v>2</v>
      </c>
      <c r="V188" s="18">
        <f t="shared" si="51"/>
        <v>2025</v>
      </c>
      <c r="W188" s="18">
        <f t="shared" si="52"/>
        <v>3</v>
      </c>
      <c r="X188" s="18">
        <f t="shared" si="53"/>
        <v>2025</v>
      </c>
      <c r="Y188" s="2">
        <f t="shared" si="46"/>
        <v>0.7049234710994523</v>
      </c>
      <c r="Z188" t="str">
        <f t="shared" si="47"/>
        <v>SO16598</v>
      </c>
      <c r="AA188" s="11">
        <f t="shared" si="54"/>
        <v>45701.642453703702</v>
      </c>
      <c r="AB188" s="5" t="str">
        <f t="shared" si="55"/>
        <v>INV12648</v>
      </c>
      <c r="AC188" s="5" t="str">
        <f>IFERROR(VLOOKUP(D188,CAARStatus!$A$2:$AA$1600,22,FALSE),"Not invoiced")</f>
        <v>Paid</v>
      </c>
      <c r="AD188" s="11">
        <f>IF(AC188="Paid",IFERROR(VLOOKUP(D188,CAARStatus!$A$2:$AA$1600,6,FALSE),"Pending"),"Pending")</f>
        <v>45743</v>
      </c>
      <c r="AE188" s="5" t="str">
        <f t="shared" si="56"/>
        <v>25-30598</v>
      </c>
      <c r="AF188" s="5" t="str">
        <f t="shared" si="57"/>
        <v>Advanced Engineered Pump Inc.</v>
      </c>
      <c r="AG188" s="5" t="str">
        <f t="shared" si="58"/>
        <v>USD</v>
      </c>
      <c r="AH188" s="5">
        <f t="shared" si="59"/>
        <v>368.12506695977095</v>
      </c>
      <c r="AI188" s="12">
        <f>IF(L188-N188=0,VLOOKUP(U188,rate!A$4:B$15,2,FALSE)*AH188,IF(AG188="USD",O188,AH188*Y188))</f>
        <v>259.5</v>
      </c>
      <c r="AJ188" s="13">
        <f t="shared" si="60"/>
        <v>0.70492347109945219</v>
      </c>
      <c r="AK188" s="13">
        <f>-IF(AG188="CAD",IFERROR(VLOOKUP(D188,CAARStatus!$A$1:$Y$1600,16,FALSE),0),0)</f>
        <v>0</v>
      </c>
      <c r="AL188" s="13">
        <f>-IF(AG188="USD",IFERROR(VLOOKUP(D188,CAARStatus!$A$1:$Y$1600,11,FALSE),0),0)</f>
        <v>-259.5</v>
      </c>
      <c r="AM188" s="22" t="str">
        <f t="shared" si="61"/>
        <v/>
      </c>
      <c r="AN188" s="12">
        <f t="shared" si="62"/>
        <v>0</v>
      </c>
      <c r="AO188" s="12" t="str">
        <f t="shared" si="63"/>
        <v>Yes</v>
      </c>
      <c r="AP188" t="str">
        <f t="shared" si="48"/>
        <v>Yes</v>
      </c>
      <c r="AQ188" t="str">
        <f>IFERROR(VLOOKUP(Z188,InvBal!$L$4:$P$600,4,FALSE),"Pend")</f>
        <v>Pend</v>
      </c>
      <c r="AR188" t="str">
        <f>IFERROR(VLOOKUP(D188,Manual!$C$1:$E$22,2,FALSE),"Pend")</f>
        <v>Pend</v>
      </c>
      <c r="AS188" t="str">
        <f t="shared" si="64"/>
        <v>Yes</v>
      </c>
      <c r="AT188" t="str">
        <f t="shared" si="65"/>
        <v>Yes</v>
      </c>
      <c r="AU188" s="51" t="str">
        <f t="shared" si="66"/>
        <v>Yes</v>
      </c>
      <c r="AV188" s="12">
        <f>IFERROR(VLOOKUP(D188,'Receivable Invoice Detail'!$S$1:$U$3014,3,FALSE),0)</f>
        <v>0</v>
      </c>
      <c r="AW188" s="12">
        <f t="shared" si="67"/>
        <v>259.5</v>
      </c>
    </row>
    <row r="189" spans="1:49" ht="45" x14ac:dyDescent="0.25">
      <c r="A189" s="2">
        <v>1</v>
      </c>
      <c r="B189" s="2" t="s">
        <v>1962</v>
      </c>
      <c r="C189" s="2" t="s">
        <v>1963</v>
      </c>
      <c r="D189" s="2" t="s">
        <v>2447</v>
      </c>
      <c r="E189" s="2" t="s">
        <v>1964</v>
      </c>
      <c r="F189" s="3">
        <v>45701.66883101852</v>
      </c>
      <c r="G189" s="3">
        <v>45706.580081018517</v>
      </c>
      <c r="H189" s="4">
        <v>45709</v>
      </c>
      <c r="I189" s="2" t="s">
        <v>180</v>
      </c>
      <c r="J189" s="2" t="s">
        <v>22</v>
      </c>
      <c r="K189" s="2">
        <v>1</v>
      </c>
      <c r="L189" s="2">
        <v>803.27</v>
      </c>
      <c r="M189" s="2">
        <v>803.27</v>
      </c>
      <c r="N189" s="2">
        <v>803.27</v>
      </c>
      <c r="O189" s="2">
        <v>765.02</v>
      </c>
      <c r="P189" s="2">
        <v>38.25</v>
      </c>
      <c r="Q189" s="2">
        <v>803.27</v>
      </c>
      <c r="R189" s="2" t="s">
        <v>44</v>
      </c>
      <c r="S189" s="2"/>
      <c r="T189" s="2">
        <f t="shared" si="49"/>
        <v>1</v>
      </c>
      <c r="U189" s="18">
        <f t="shared" si="50"/>
        <v>2</v>
      </c>
      <c r="V189" s="18">
        <f t="shared" si="51"/>
        <v>2025</v>
      </c>
      <c r="W189" s="18">
        <f t="shared" si="52"/>
        <v>4</v>
      </c>
      <c r="X189" s="18">
        <f t="shared" si="53"/>
        <v>2025</v>
      </c>
      <c r="Y189" s="2">
        <f t="shared" si="46"/>
        <v>1</v>
      </c>
      <c r="Z189" t="str">
        <f t="shared" si="47"/>
        <v>SO16599</v>
      </c>
      <c r="AA189" s="11">
        <f t="shared" si="54"/>
        <v>45701.66883101852</v>
      </c>
      <c r="AB189" s="5" t="str">
        <f t="shared" si="55"/>
        <v>INV12639</v>
      </c>
      <c r="AC189" s="5" t="str">
        <f>IFERROR(VLOOKUP(D189,CAARStatus!$A$2:$AA$1600,22,FALSE),"Not invoiced")</f>
        <v>Paid</v>
      </c>
      <c r="AD189" s="11">
        <f>IF(AC189="Paid",IFERROR(VLOOKUP(D189,CAARStatus!$A$2:$AA$1600,6,FALSE),"Pending"),"Pending")</f>
        <v>45764</v>
      </c>
      <c r="AE189" s="5" t="str">
        <f t="shared" si="56"/>
        <v>4500581272</v>
      </c>
      <c r="AF189" s="5" t="str">
        <f t="shared" si="57"/>
        <v>Resolute Forest Products - Clermont, Resolute Forest Products - Clermont</v>
      </c>
      <c r="AG189" s="5" t="str">
        <f t="shared" si="58"/>
        <v>CAD</v>
      </c>
      <c r="AH189" s="5">
        <f t="shared" si="59"/>
        <v>765.02</v>
      </c>
      <c r="AI189" s="12">
        <f>IF(L189-N189=0,VLOOKUP(U189,rate!A$4:B$15,2,FALSE)*AH189,IF(AG189="USD",O189,AH189*Y189))</f>
        <v>537.26169117668974</v>
      </c>
      <c r="AJ189" s="13">
        <f t="shared" si="60"/>
        <v>0.70228450390406749</v>
      </c>
      <c r="AK189" s="13">
        <f>-IF(AG189="CAD",IFERROR(VLOOKUP(D189,CAARStatus!$A$1:$Y$1600,16,FALSE),0),0)</f>
        <v>-765.02</v>
      </c>
      <c r="AL189" s="13">
        <f>-IF(AG189="USD",IFERROR(VLOOKUP(D189,CAARStatus!$A$1:$Y$1600,11,FALSE),0),0)</f>
        <v>0</v>
      </c>
      <c r="AM189" s="22">
        <f t="shared" si="61"/>
        <v>0</v>
      </c>
      <c r="AN189" s="12" t="str">
        <f t="shared" si="62"/>
        <v/>
      </c>
      <c r="AO189" s="12" t="str">
        <f t="shared" si="63"/>
        <v>Yes</v>
      </c>
      <c r="AP189" t="str">
        <f t="shared" si="48"/>
        <v>Yes</v>
      </c>
      <c r="AQ189" t="str">
        <f>IFERROR(VLOOKUP(Z189,InvBal!$L$4:$P$600,4,FALSE),"Pend")</f>
        <v>Pend</v>
      </c>
      <c r="AR189" t="str">
        <f>IFERROR(VLOOKUP(D189,Manual!$C$1:$E$22,2,FALSE),"Pend")</f>
        <v>Pend</v>
      </c>
      <c r="AS189" t="str">
        <f t="shared" si="64"/>
        <v>Yes</v>
      </c>
      <c r="AT189" t="str">
        <f t="shared" si="65"/>
        <v>Yes</v>
      </c>
      <c r="AU189" s="51" t="str">
        <f t="shared" si="66"/>
        <v>Yes</v>
      </c>
      <c r="AV189" s="12">
        <f>IFERROR(VLOOKUP(D189,'Receivable Invoice Detail'!$S$1:$U$3014,3,FALSE),0)</f>
        <v>0</v>
      </c>
      <c r="AW189" s="12">
        <f t="shared" si="67"/>
        <v>537.26169117668974</v>
      </c>
    </row>
    <row r="190" spans="1:49" x14ac:dyDescent="0.25">
      <c r="A190" s="2">
        <v>1</v>
      </c>
      <c r="B190" s="2" t="s">
        <v>1989</v>
      </c>
      <c r="C190" s="2" t="s">
        <v>1990</v>
      </c>
      <c r="D190" s="2" t="s">
        <v>2431</v>
      </c>
      <c r="E190" s="2" t="s">
        <v>242</v>
      </c>
      <c r="F190" s="3">
        <v>45702.376018518517</v>
      </c>
      <c r="G190" s="3">
        <v>45702.421655092592</v>
      </c>
      <c r="H190" s="4">
        <v>45779</v>
      </c>
      <c r="I190" s="2" t="s">
        <v>1132</v>
      </c>
      <c r="J190" s="2" t="s">
        <v>22</v>
      </c>
      <c r="K190" s="2">
        <v>1</v>
      </c>
      <c r="L190" s="2">
        <v>10203.23</v>
      </c>
      <c r="M190" s="2">
        <v>0</v>
      </c>
      <c r="N190" s="2">
        <v>7198.6576812846224</v>
      </c>
      <c r="O190" s="2">
        <v>9717.36</v>
      </c>
      <c r="P190" s="2">
        <v>485.87</v>
      </c>
      <c r="Q190" s="2">
        <v>10203.23</v>
      </c>
      <c r="R190" s="2" t="s">
        <v>44</v>
      </c>
      <c r="S190" s="2"/>
      <c r="T190" s="2">
        <f t="shared" si="49"/>
        <v>1</v>
      </c>
      <c r="U190" s="18">
        <f t="shared" si="50"/>
        <v>2</v>
      </c>
      <c r="V190" s="18">
        <f t="shared" si="51"/>
        <v>2025</v>
      </c>
      <c r="W190" s="18">
        <f t="shared" si="52"/>
        <v>11</v>
      </c>
      <c r="X190" s="18">
        <f t="shared" si="53"/>
        <v>2025</v>
      </c>
      <c r="Y190" s="2">
        <f t="shared" si="46"/>
        <v>0.70552733607736207</v>
      </c>
      <c r="Z190" t="str">
        <f t="shared" si="47"/>
        <v>SO16601</v>
      </c>
      <c r="AA190" s="11">
        <f t="shared" si="54"/>
        <v>45702.376018518517</v>
      </c>
      <c r="AB190" s="5" t="str">
        <f t="shared" si="55"/>
        <v>INV13505</v>
      </c>
      <c r="AC190" s="5" t="str">
        <f>IFERROR(VLOOKUP(D190,CAARStatus!$A$2:$AA$1600,22,FALSE),"Not invoiced")</f>
        <v>Paid</v>
      </c>
      <c r="AD190" s="11">
        <f>IF(AC190="Paid",IFERROR(VLOOKUP(D190,CAARStatus!$A$2:$AA$1600,6,FALSE),"Pending"),"Pending")</f>
        <v>45973</v>
      </c>
      <c r="AE190" s="5" t="str">
        <f t="shared" si="56"/>
        <v>2100510660</v>
      </c>
      <c r="AF190" s="5" t="str">
        <f t="shared" si="57"/>
        <v>Wajax Limited - Noranda</v>
      </c>
      <c r="AG190" s="5" t="str">
        <f t="shared" si="58"/>
        <v>CAD</v>
      </c>
      <c r="AH190" s="5">
        <f t="shared" si="59"/>
        <v>9717.36</v>
      </c>
      <c r="AI190" s="12">
        <f>IF(L190-N190=0,VLOOKUP(U190,rate!A$4:B$15,2,FALSE)*AH190,IF(AG190="USD",O190,AH190*Y190))</f>
        <v>6855.8631145047157</v>
      </c>
      <c r="AJ190" s="13">
        <f t="shared" si="60"/>
        <v>0.70552733607736207</v>
      </c>
      <c r="AK190" s="13">
        <f>-IF(AG190="CAD",IFERROR(VLOOKUP(D190,CAARStatus!$A$1:$Y$1600,16,FALSE),0),0)</f>
        <v>-9717.36</v>
      </c>
      <c r="AL190" s="13">
        <f>-IF(AG190="USD",IFERROR(VLOOKUP(D190,CAARStatus!$A$1:$Y$1600,11,FALSE),0),0)</f>
        <v>0</v>
      </c>
      <c r="AM190" s="22">
        <f t="shared" si="61"/>
        <v>0</v>
      </c>
      <c r="AN190" s="12" t="str">
        <f t="shared" si="62"/>
        <v/>
      </c>
      <c r="AO190" s="12" t="str">
        <f t="shared" si="63"/>
        <v>Yes</v>
      </c>
      <c r="AP190" t="str">
        <f t="shared" si="48"/>
        <v>Yes</v>
      </c>
      <c r="AQ190" t="str">
        <f>IFERROR(VLOOKUP(Z190,InvBal!$L$4:$P$600,4,FALSE),"Pend")</f>
        <v>Pend</v>
      </c>
      <c r="AR190" t="str">
        <f>IFERROR(VLOOKUP(D190,Manual!$C$1:$E$22,2,FALSE),"Pend")</f>
        <v>Pend</v>
      </c>
      <c r="AS190" t="str">
        <f t="shared" si="64"/>
        <v>Yes</v>
      </c>
      <c r="AT190" t="str">
        <f t="shared" si="65"/>
        <v>Yes</v>
      </c>
      <c r="AU190" s="51" t="str">
        <f t="shared" si="66"/>
        <v>Yes</v>
      </c>
      <c r="AV190" s="12">
        <f>IFERROR(VLOOKUP(D190,'Receivable Invoice Detail'!$S$1:$U$3014,3,FALSE),0)</f>
        <v>0</v>
      </c>
      <c r="AW190" s="12">
        <f t="shared" si="67"/>
        <v>6855.8631145047157</v>
      </c>
    </row>
    <row r="191" spans="1:49" ht="30" x14ac:dyDescent="0.25">
      <c r="A191" s="2">
        <v>1</v>
      </c>
      <c r="B191" s="2" t="s">
        <v>1991</v>
      </c>
      <c r="C191" s="2" t="s">
        <v>1992</v>
      </c>
      <c r="D191" s="2" t="s">
        <v>2430</v>
      </c>
      <c r="E191" s="2" t="s">
        <v>39</v>
      </c>
      <c r="F191" s="3">
        <v>45702.413356481477</v>
      </c>
      <c r="G191" s="3">
        <v>45702.416331018518</v>
      </c>
      <c r="H191" s="4">
        <v>45705</v>
      </c>
      <c r="I191" s="2" t="s">
        <v>1132</v>
      </c>
      <c r="J191" s="2" t="s">
        <v>22</v>
      </c>
      <c r="K191" s="2">
        <v>1</v>
      </c>
      <c r="L191" s="2">
        <v>3553.6</v>
      </c>
      <c r="M191" s="2">
        <v>0</v>
      </c>
      <c r="N191" s="2">
        <v>2507.161941484514</v>
      </c>
      <c r="O191" s="2">
        <v>3384.38</v>
      </c>
      <c r="P191" s="2">
        <v>169.22</v>
      </c>
      <c r="Q191" s="2">
        <v>3553.6</v>
      </c>
      <c r="R191" s="2" t="s">
        <v>44</v>
      </c>
      <c r="S191" s="2"/>
      <c r="T191" s="2">
        <f t="shared" si="49"/>
        <v>1</v>
      </c>
      <c r="U191" s="18">
        <f t="shared" si="50"/>
        <v>2</v>
      </c>
      <c r="V191" s="18">
        <f t="shared" si="51"/>
        <v>2025</v>
      </c>
      <c r="W191" s="18">
        <f t="shared" si="52"/>
        <v>3</v>
      </c>
      <c r="X191" s="18">
        <f t="shared" si="53"/>
        <v>2025</v>
      </c>
      <c r="Y191" s="2">
        <f t="shared" si="46"/>
        <v>0.70552733607736218</v>
      </c>
      <c r="Z191" t="str">
        <f t="shared" si="47"/>
        <v>SO16603</v>
      </c>
      <c r="AA191" s="11">
        <f t="shared" si="54"/>
        <v>45702.413356481477</v>
      </c>
      <c r="AB191" s="5" t="str">
        <f t="shared" si="55"/>
        <v>INV12629</v>
      </c>
      <c r="AC191" s="5" t="str">
        <f>IFERROR(VLOOKUP(D191,CAARStatus!$A$2:$AA$1600,22,FALSE),"Not invoiced")</f>
        <v>Paid</v>
      </c>
      <c r="AD191" s="11">
        <f>IF(AC191="Paid",IFERROR(VLOOKUP(D191,CAARStatus!$A$2:$AA$1600,6,FALSE),"Pending"),"Pending")</f>
        <v>45736</v>
      </c>
      <c r="AE191" s="5" t="str">
        <f t="shared" si="56"/>
        <v>00079542</v>
      </c>
      <c r="AF191" s="5" t="str">
        <f t="shared" si="57"/>
        <v>Motion Industries Inc. (Canada) - Prince George</v>
      </c>
      <c r="AG191" s="5" t="str">
        <f t="shared" si="58"/>
        <v>CAD</v>
      </c>
      <c r="AH191" s="5">
        <f t="shared" si="59"/>
        <v>3384.38</v>
      </c>
      <c r="AI191" s="12">
        <f>IF(L191-N191=0,VLOOKUP(U191,rate!A$4:B$15,2,FALSE)*AH191,IF(AG191="USD",O191,AH191*Y191))</f>
        <v>2387.7726056735032</v>
      </c>
      <c r="AJ191" s="13">
        <f t="shared" si="60"/>
        <v>0.70552733607736218</v>
      </c>
      <c r="AK191" s="13">
        <f>-IF(AG191="CAD",IFERROR(VLOOKUP(D191,CAARStatus!$A$1:$Y$1600,16,FALSE),0),0)</f>
        <v>-3384.38</v>
      </c>
      <c r="AL191" s="13">
        <f>-IF(AG191="USD",IFERROR(VLOOKUP(D191,CAARStatus!$A$1:$Y$1600,11,FALSE),0),0)</f>
        <v>0</v>
      </c>
      <c r="AM191" s="22">
        <f t="shared" si="61"/>
        <v>0</v>
      </c>
      <c r="AN191" s="12" t="str">
        <f t="shared" si="62"/>
        <v/>
      </c>
      <c r="AO191" s="12" t="str">
        <f t="shared" si="63"/>
        <v>Yes</v>
      </c>
      <c r="AP191" t="str">
        <f t="shared" si="48"/>
        <v>Yes</v>
      </c>
      <c r="AQ191" t="str">
        <f>IFERROR(VLOOKUP(Z191,InvBal!$L$4:$P$600,4,FALSE),"Pend")</f>
        <v>Pend</v>
      </c>
      <c r="AR191" t="str">
        <f>IFERROR(VLOOKUP(D191,Manual!$C$1:$E$22,2,FALSE),"Pend")</f>
        <v>Pend</v>
      </c>
      <c r="AS191" t="str">
        <f t="shared" si="64"/>
        <v>Yes</v>
      </c>
      <c r="AT191" t="str">
        <f t="shared" si="65"/>
        <v>Yes</v>
      </c>
      <c r="AU191" s="51" t="str">
        <f t="shared" si="66"/>
        <v>Yes</v>
      </c>
      <c r="AV191" s="12">
        <f>IFERROR(VLOOKUP(D191,'Receivable Invoice Detail'!$S$1:$U$3014,3,FALSE),0)</f>
        <v>0</v>
      </c>
      <c r="AW191" s="12">
        <f t="shared" si="67"/>
        <v>2387.7726056735032</v>
      </c>
    </row>
    <row r="192" spans="1:49" x14ac:dyDescent="0.25">
      <c r="A192" s="2">
        <v>1</v>
      </c>
      <c r="B192" s="2" t="s">
        <v>1817</v>
      </c>
      <c r="C192" s="2" t="s">
        <v>1818</v>
      </c>
      <c r="D192" s="2" t="s">
        <v>2529</v>
      </c>
      <c r="E192" s="2" t="s">
        <v>581</v>
      </c>
      <c r="F192" s="3">
        <v>45702.48065972222</v>
      </c>
      <c r="G192" s="3">
        <v>45726.577453703707</v>
      </c>
      <c r="H192" s="4">
        <v>45831</v>
      </c>
      <c r="I192" s="2" t="s">
        <v>21</v>
      </c>
      <c r="J192" s="2" t="s">
        <v>51</v>
      </c>
      <c r="K192" s="2">
        <v>0.69588843853535265</v>
      </c>
      <c r="L192" s="2">
        <v>16094.79246928314</v>
      </c>
      <c r="M192" s="2">
        <v>0</v>
      </c>
      <c r="N192" s="2">
        <v>11200.18</v>
      </c>
      <c r="O192" s="2">
        <v>11200.18</v>
      </c>
      <c r="P192" s="2"/>
      <c r="Q192" s="2">
        <v>11200.18</v>
      </c>
      <c r="R192" s="2" t="s">
        <v>44</v>
      </c>
      <c r="S192" s="2"/>
      <c r="T192" s="2">
        <f t="shared" si="49"/>
        <v>1</v>
      </c>
      <c r="U192" s="18">
        <f t="shared" si="50"/>
        <v>2</v>
      </c>
      <c r="V192" s="18">
        <f t="shared" si="51"/>
        <v>2025</v>
      </c>
      <c r="W192" s="18">
        <f t="shared" si="52"/>
        <v>8</v>
      </c>
      <c r="X192" s="18">
        <f t="shared" si="53"/>
        <v>2025</v>
      </c>
      <c r="Y192" s="2">
        <f t="shared" si="46"/>
        <v>0.69588843853535287</v>
      </c>
      <c r="Z192" t="str">
        <f t="shared" si="47"/>
        <v>SO16604</v>
      </c>
      <c r="AA192" s="11">
        <f t="shared" si="54"/>
        <v>45702.48065972222</v>
      </c>
      <c r="AB192" s="5" t="str">
        <f t="shared" si="55"/>
        <v>INV13207</v>
      </c>
      <c r="AC192" s="5" t="str">
        <f>IFERROR(VLOOKUP(D192,CAARStatus!$A$2:$AA$1600,22,FALSE),"Not invoiced")</f>
        <v>Paid</v>
      </c>
      <c r="AD192" s="11">
        <f>IF(AC192="Paid",IFERROR(VLOOKUP(D192,CAARStatus!$A$2:$AA$1600,6,FALSE),"Pending"),"Pending")</f>
        <v>45890</v>
      </c>
      <c r="AE192" s="5" t="str">
        <f t="shared" si="56"/>
        <v>5352366</v>
      </c>
      <c r="AF192" s="5" t="str">
        <f t="shared" si="57"/>
        <v>Corrosion Fluid Products Corp.</v>
      </c>
      <c r="AG192" s="5" t="str">
        <f t="shared" si="58"/>
        <v>USD</v>
      </c>
      <c r="AH192" s="5">
        <f t="shared" si="59"/>
        <v>16094.792469283144</v>
      </c>
      <c r="AI192" s="12">
        <f>IF(L192-N192=0,VLOOKUP(U192,rate!A$4:B$15,2,FALSE)*AH192,IF(AG192="USD",O192,AH192*Y192))</f>
        <v>11200.18</v>
      </c>
      <c r="AJ192" s="13">
        <f t="shared" si="60"/>
        <v>0.69588843853535265</v>
      </c>
      <c r="AK192" s="13">
        <f>-IF(AG192="CAD",IFERROR(VLOOKUP(D192,CAARStatus!$A$1:$Y$1600,16,FALSE),0),0)</f>
        <v>0</v>
      </c>
      <c r="AL192" s="13">
        <f>-IF(AG192="USD",IFERROR(VLOOKUP(D192,CAARStatus!$A$1:$Y$1600,11,FALSE),0),0)</f>
        <v>-11200.18</v>
      </c>
      <c r="AM192" s="22" t="str">
        <f t="shared" si="61"/>
        <v/>
      </c>
      <c r="AN192" s="12">
        <f t="shared" si="62"/>
        <v>0</v>
      </c>
      <c r="AO192" s="12" t="str">
        <f t="shared" si="63"/>
        <v>Yes</v>
      </c>
      <c r="AP192" t="str">
        <f t="shared" si="48"/>
        <v>Yes</v>
      </c>
      <c r="AQ192" t="str">
        <f>IFERROR(VLOOKUP(Z192,InvBal!$L$4:$P$600,4,FALSE),"Pend")</f>
        <v>Pend</v>
      </c>
      <c r="AR192" t="str">
        <f>IFERROR(VLOOKUP(D192,Manual!$C$1:$E$22,2,FALSE),"Pend")</f>
        <v>Pend</v>
      </c>
      <c r="AS192" t="str">
        <f t="shared" si="64"/>
        <v>Yes</v>
      </c>
      <c r="AT192" t="str">
        <f t="shared" si="65"/>
        <v>Yes</v>
      </c>
      <c r="AU192" s="51" t="str">
        <f t="shared" si="66"/>
        <v>Yes</v>
      </c>
      <c r="AV192" s="12">
        <f>IFERROR(VLOOKUP(D192,'Receivable Invoice Detail'!$S$1:$U$3014,3,FALSE),0)</f>
        <v>0</v>
      </c>
      <c r="AW192" s="12">
        <f t="shared" si="67"/>
        <v>11200.18</v>
      </c>
    </row>
    <row r="193" spans="1:49" x14ac:dyDescent="0.25">
      <c r="A193" s="2">
        <v>1</v>
      </c>
      <c r="B193" s="2" t="s">
        <v>1967</v>
      </c>
      <c r="C193" s="2" t="s">
        <v>1968</v>
      </c>
      <c r="D193" s="2" t="s">
        <v>2445</v>
      </c>
      <c r="E193" s="2" t="s">
        <v>465</v>
      </c>
      <c r="F193" s="3">
        <v>45702.572650462957</v>
      </c>
      <c r="G193" s="3">
        <v>45706.432916666658</v>
      </c>
      <c r="H193" s="4">
        <v>45709</v>
      </c>
      <c r="I193" s="2" t="s">
        <v>1132</v>
      </c>
      <c r="J193" s="2" t="s">
        <v>22</v>
      </c>
      <c r="K193" s="2">
        <v>1</v>
      </c>
      <c r="L193" s="2">
        <v>193.87</v>
      </c>
      <c r="M193" s="2">
        <v>193.87</v>
      </c>
      <c r="N193" s="2">
        <v>193.87</v>
      </c>
      <c r="O193" s="2">
        <v>171.56</v>
      </c>
      <c r="P193" s="2">
        <v>22.31</v>
      </c>
      <c r="Q193" s="2">
        <v>193.87</v>
      </c>
      <c r="R193" s="2" t="s">
        <v>44</v>
      </c>
      <c r="S193" s="2"/>
      <c r="T193" s="2">
        <f t="shared" si="49"/>
        <v>1</v>
      </c>
      <c r="U193" s="18">
        <f t="shared" si="50"/>
        <v>2</v>
      </c>
      <c r="V193" s="18">
        <f t="shared" si="51"/>
        <v>2025</v>
      </c>
      <c r="W193" s="18">
        <f t="shared" si="52"/>
        <v>3</v>
      </c>
      <c r="X193" s="18">
        <f t="shared" si="53"/>
        <v>2025</v>
      </c>
      <c r="Y193" s="2">
        <f t="shared" si="46"/>
        <v>1</v>
      </c>
      <c r="Z193" t="str">
        <f t="shared" si="47"/>
        <v>SO16605</v>
      </c>
      <c r="AA193" s="11">
        <f t="shared" si="54"/>
        <v>45702.572650462957</v>
      </c>
      <c r="AB193" s="5" t="str">
        <f t="shared" si="55"/>
        <v>INV12641</v>
      </c>
      <c r="AC193" s="5" t="str">
        <f>IFERROR(VLOOKUP(D193,CAARStatus!$A$2:$AA$1600,22,FALSE),"Not invoiced")</f>
        <v>Paid</v>
      </c>
      <c r="AD193" s="11">
        <f>IF(AC193="Paid",IFERROR(VLOOKUP(D193,CAARStatus!$A$2:$AA$1600,6,FALSE),"Pending"),"Pending")</f>
        <v>45726</v>
      </c>
      <c r="AE193" s="5" t="str">
        <f t="shared" si="56"/>
        <v>M-083565</v>
      </c>
      <c r="AF193" s="5" t="str">
        <f t="shared" si="57"/>
        <v>Grant Aggregate</v>
      </c>
      <c r="AG193" s="5" t="str">
        <f t="shared" si="58"/>
        <v>CAD</v>
      </c>
      <c r="AH193" s="5">
        <f t="shared" si="59"/>
        <v>171.56</v>
      </c>
      <c r="AI193" s="12">
        <f>IF(L193-N193=0,VLOOKUP(U193,rate!A$4:B$15,2,FALSE)*AH193,IF(AG193="USD",O193,AH193*Y193))</f>
        <v>120.48392948978181</v>
      </c>
      <c r="AJ193" s="13">
        <f t="shared" si="60"/>
        <v>0.70228450390406749</v>
      </c>
      <c r="AK193" s="13">
        <f>-IF(AG193="CAD",IFERROR(VLOOKUP(D193,CAARStatus!$A$1:$Y$1600,16,FALSE),0),0)</f>
        <v>-171.56</v>
      </c>
      <c r="AL193" s="13">
        <f>-IF(AG193="USD",IFERROR(VLOOKUP(D193,CAARStatus!$A$1:$Y$1600,11,FALSE),0),0)</f>
        <v>0</v>
      </c>
      <c r="AM193" s="22">
        <f t="shared" si="61"/>
        <v>0</v>
      </c>
      <c r="AN193" s="12" t="str">
        <f t="shared" si="62"/>
        <v/>
      </c>
      <c r="AO193" s="12" t="str">
        <f t="shared" si="63"/>
        <v>Yes</v>
      </c>
      <c r="AP193" t="str">
        <f t="shared" si="48"/>
        <v>Yes</v>
      </c>
      <c r="AQ193" t="str">
        <f>IFERROR(VLOOKUP(Z193,InvBal!$L$4:$P$600,4,FALSE),"Pend")</f>
        <v>Pend</v>
      </c>
      <c r="AR193" t="str">
        <f>IFERROR(VLOOKUP(D193,Manual!$C$1:$E$22,2,FALSE),"Pend")</f>
        <v>Pend</v>
      </c>
      <c r="AS193" t="str">
        <f t="shared" si="64"/>
        <v>Yes</v>
      </c>
      <c r="AT193" t="str">
        <f t="shared" si="65"/>
        <v>Yes</v>
      </c>
      <c r="AU193" s="51" t="str">
        <f t="shared" si="66"/>
        <v>Yes</v>
      </c>
      <c r="AV193" s="12">
        <f>IFERROR(VLOOKUP(D193,'Receivable Invoice Detail'!$S$1:$U$3014,3,FALSE),0)</f>
        <v>0</v>
      </c>
      <c r="AW193" s="12">
        <f t="shared" si="67"/>
        <v>120.48392948978181</v>
      </c>
    </row>
    <row r="194" spans="1:49" x14ac:dyDescent="0.25">
      <c r="A194" s="2">
        <v>1</v>
      </c>
      <c r="B194" s="2" t="s">
        <v>1942</v>
      </c>
      <c r="C194" s="2" t="s">
        <v>1943</v>
      </c>
      <c r="D194" s="2" t="s">
        <v>2459</v>
      </c>
      <c r="E194" s="2" t="s">
        <v>1261</v>
      </c>
      <c r="F194" s="3">
        <v>45704.450925925928</v>
      </c>
      <c r="G194" s="3">
        <v>45707.587754629632</v>
      </c>
      <c r="H194" s="4">
        <v>45708</v>
      </c>
      <c r="I194" s="2" t="s">
        <v>1132</v>
      </c>
      <c r="J194" s="2" t="s">
        <v>22</v>
      </c>
      <c r="K194" s="2">
        <v>1</v>
      </c>
      <c r="L194" s="2">
        <v>5614.58</v>
      </c>
      <c r="M194" s="2">
        <v>0</v>
      </c>
      <c r="N194" s="2">
        <v>3943.5503280605708</v>
      </c>
      <c r="O194" s="2">
        <v>5347.22</v>
      </c>
      <c r="P194" s="2">
        <v>267.36</v>
      </c>
      <c r="Q194" s="2">
        <v>5614.58</v>
      </c>
      <c r="R194" s="2" t="s">
        <v>44</v>
      </c>
      <c r="S194" s="2"/>
      <c r="T194" s="2">
        <f t="shared" si="49"/>
        <v>1</v>
      </c>
      <c r="U194" s="18">
        <f t="shared" si="50"/>
        <v>2</v>
      </c>
      <c r="V194" s="18">
        <f t="shared" si="51"/>
        <v>2025</v>
      </c>
      <c r="W194" s="18">
        <f t="shared" si="52"/>
        <v>2</v>
      </c>
      <c r="X194" s="18">
        <f t="shared" si="53"/>
        <v>2025</v>
      </c>
      <c r="Y194" s="17">
        <f t="shared" ref="Y194:Y257" si="68">IF(C194="",Y193,N194/L194)</f>
        <v>0.70237672774465243</v>
      </c>
      <c r="Z194" t="str">
        <f t="shared" ref="Z194:Z257" si="69">IF(B194="",Z193,B194)</f>
        <v>SO16607</v>
      </c>
      <c r="AA194" s="11">
        <f t="shared" si="54"/>
        <v>45704.450925925928</v>
      </c>
      <c r="AB194" s="5" t="str">
        <f t="shared" si="55"/>
        <v>INV12657</v>
      </c>
      <c r="AC194" s="5" t="str">
        <f>IFERROR(VLOOKUP(D194,CAARStatus!$A$2:$AA$1600,22,FALSE),"Not invoiced")</f>
        <v>Paid</v>
      </c>
      <c r="AD194" s="11">
        <f>IF(AC194="Paid",IFERROR(VLOOKUP(D194,CAARStatus!$A$2:$AA$1600,6,FALSE),"Pending"),"Pending")</f>
        <v>45708</v>
      </c>
      <c r="AE194" s="5" t="str">
        <f t="shared" si="56"/>
        <v>PSI15322</v>
      </c>
      <c r="AF194" s="5" t="str">
        <f t="shared" si="57"/>
        <v>Progressive Sealing Inc.</v>
      </c>
      <c r="AG194" s="5" t="str">
        <f t="shared" si="58"/>
        <v>CAD</v>
      </c>
      <c r="AH194" s="5">
        <f t="shared" si="59"/>
        <v>5347.22</v>
      </c>
      <c r="AI194" s="12">
        <f>IF(L194-N194=0,VLOOKUP(U194,rate!A$4:B$15,2,FALSE)*AH194,IF(AG194="USD",O194,AH194*Y194))</f>
        <v>3755.7628861307608</v>
      </c>
      <c r="AJ194" s="13">
        <f t="shared" si="60"/>
        <v>0.70237672774465243</v>
      </c>
      <c r="AK194" s="13">
        <f>-IF(AG194="CAD",IFERROR(VLOOKUP(D194,CAARStatus!$A$1:$Y$1600,16,FALSE),0),0)</f>
        <v>-5347.22</v>
      </c>
      <c r="AL194" s="13">
        <f>-IF(AG194="USD",IFERROR(VLOOKUP(D194,CAARStatus!$A$1:$Y$1600,11,FALSE),0),0)</f>
        <v>0</v>
      </c>
      <c r="AM194" s="22">
        <f t="shared" si="61"/>
        <v>0</v>
      </c>
      <c r="AN194" s="12" t="str">
        <f t="shared" si="62"/>
        <v/>
      </c>
      <c r="AO194" s="12" t="str">
        <f t="shared" si="63"/>
        <v>Yes</v>
      </c>
      <c r="AP194" t="str">
        <f t="shared" ref="AP194:AP257" si="70">IF(AND(AO194="Pend",T194&lt;2),"Pend",IF(T194=1,"Yes","XX"))</f>
        <v>Yes</v>
      </c>
      <c r="AQ194" t="str">
        <f>IFERROR(VLOOKUP(Z194,InvBal!$L$4:$P$600,4,FALSE),"Pend")</f>
        <v>Pend</v>
      </c>
      <c r="AR194" t="str">
        <f>IFERROR(VLOOKUP(D194,Manual!$C$1:$E$22,2,FALSE),"Pend")</f>
        <v>Pend</v>
      </c>
      <c r="AS194" t="str">
        <f t="shared" si="64"/>
        <v>Yes</v>
      </c>
      <c r="AT194" t="str">
        <f t="shared" si="65"/>
        <v>Yes</v>
      </c>
      <c r="AU194" s="51" t="str">
        <f t="shared" si="66"/>
        <v>Yes</v>
      </c>
      <c r="AV194" s="12">
        <f>IFERROR(VLOOKUP(D194,'Receivable Invoice Detail'!$S$1:$U$3014,3,FALSE),0)</f>
        <v>0</v>
      </c>
      <c r="AW194" s="12">
        <f t="shared" si="67"/>
        <v>3755.7628861307608</v>
      </c>
    </row>
    <row r="195" spans="1:49" ht="30" x14ac:dyDescent="0.25">
      <c r="A195" s="2">
        <v>1</v>
      </c>
      <c r="B195" s="2" t="s">
        <v>1985</v>
      </c>
      <c r="C195" s="2" t="s">
        <v>1986</v>
      </c>
      <c r="D195" s="2" t="s">
        <v>2433</v>
      </c>
      <c r="E195" s="2" t="s">
        <v>129</v>
      </c>
      <c r="F195" s="3">
        <v>45705.423680555563</v>
      </c>
      <c r="G195" s="3">
        <v>45705.423495370371</v>
      </c>
      <c r="H195" s="4">
        <v>45758</v>
      </c>
      <c r="I195" s="2" t="s">
        <v>130</v>
      </c>
      <c r="J195" s="2" t="s">
        <v>51</v>
      </c>
      <c r="K195" s="2">
        <v>0.70480367014915091</v>
      </c>
      <c r="L195" s="2">
        <v>13095.84553957664</v>
      </c>
      <c r="M195" s="2">
        <v>0</v>
      </c>
      <c r="N195" s="2">
        <v>9230</v>
      </c>
      <c r="O195" s="2">
        <v>9230</v>
      </c>
      <c r="P195" s="2"/>
      <c r="Q195" s="2">
        <v>9230</v>
      </c>
      <c r="R195" s="2" t="s">
        <v>44</v>
      </c>
      <c r="S195" s="2"/>
      <c r="T195" s="2">
        <f t="shared" ref="T195:T258" si="71">IF(A195="",T194,A195)</f>
        <v>1</v>
      </c>
      <c r="U195" s="18">
        <f t="shared" ref="U195:U258" si="72">IF(F195="",U194,MONTH(F195))</f>
        <v>2</v>
      </c>
      <c r="V195" s="18">
        <f t="shared" ref="V195:V258" si="73">IF(F195="",V194,YEAR(F195))</f>
        <v>2025</v>
      </c>
      <c r="W195" s="18" t="str">
        <f t="shared" ref="W195:W258" si="74">IF(AC195="Paid",MONTH(AD195),"")</f>
        <v/>
      </c>
      <c r="X195" s="18" t="str">
        <f t="shared" ref="X195:X258" si="75">IF(AC195="Paid",YEAR(AD195),"")</f>
        <v/>
      </c>
      <c r="Y195" s="17">
        <f t="shared" si="68"/>
        <v>0.70480367014915069</v>
      </c>
      <c r="Z195" t="str">
        <f t="shared" si="69"/>
        <v>SO16609</v>
      </c>
      <c r="AA195" s="11">
        <f t="shared" ref="AA195:AA258" si="76">IF(F195="",AA194,F195)</f>
        <v>45705.423680555563</v>
      </c>
      <c r="AB195" s="5" t="str">
        <f t="shared" ref="AB195:AB258" si="77">IF(D195="","No Inv",D195)</f>
        <v>INV13017</v>
      </c>
      <c r="AC195" s="5" t="str">
        <f>IFERROR(VLOOKUP(D195,CAARStatus!$A$2:$AA$1600,22,FALSE),"Not invoiced")</f>
        <v>Approved</v>
      </c>
      <c r="AD195" s="11" t="str">
        <f>IF(AC195="Paid",IFERROR(VLOOKUP(D195,CAARStatus!$A$2:$AA$1600,6,FALSE),"Pending"),"Pending")</f>
        <v>Pending</v>
      </c>
      <c r="AE195" s="5" t="str">
        <f t="shared" ref="AE195:AE258" si="78">IF(C195="",AE194,C195)</f>
        <v>OC00146</v>
      </c>
      <c r="AF195" s="5" t="str">
        <f t="shared" ref="AF195:AF258" si="79">IF(E195="",AF194,E195)</f>
        <v>Dynapro Pumps México S de RL de CV</v>
      </c>
      <c r="AG195" s="5" t="str">
        <f t="shared" ref="AG195:AG258" si="80">IF(J195="",AG194,J195)</f>
        <v>USD</v>
      </c>
      <c r="AH195" s="5">
        <f t="shared" ref="AH195:AH258" si="81">IFERROR(IF(AG195="CAD",O195,O195/K195),0)</f>
        <v>13095.845539576636</v>
      </c>
      <c r="AI195" s="12">
        <f>IF(L195-N195=0,VLOOKUP(U195,rate!A$4:B$15,2,FALSE)*AH195,IF(AG195="USD",O195,AH195*Y195))</f>
        <v>9230</v>
      </c>
      <c r="AJ195" s="13">
        <f t="shared" ref="AJ195:AJ258" si="82">IFERROR(AI195/AH195,0)</f>
        <v>0.70480367014915091</v>
      </c>
      <c r="AK195" s="13">
        <f>-IF(AG195="CAD",IFERROR(VLOOKUP(D195,CAARStatus!$A$1:$Y$1600,16,FALSE),0),0)</f>
        <v>0</v>
      </c>
      <c r="AL195" s="13">
        <f>-IF(AG195="USD",IFERROR(VLOOKUP(D195,CAARStatus!$A$1:$Y$1600,11,FALSE),0),0)</f>
        <v>-9230</v>
      </c>
      <c r="AM195" s="22" t="str">
        <f t="shared" ref="AM195:AM258" si="83">IF(AG195="CAD",AH195+AK195,"")</f>
        <v/>
      </c>
      <c r="AN195" s="12">
        <f t="shared" ref="AN195:AN258" si="84">IF(AG195="USD",AI195+AL195,"")</f>
        <v>0</v>
      </c>
      <c r="AO195" s="12" t="str">
        <f t="shared" ref="AO195:AO258" si="85">IF(AC195="Paid","Yes","Pend")</f>
        <v>Pend</v>
      </c>
      <c r="AP195" t="str">
        <f t="shared" si="70"/>
        <v>Pend</v>
      </c>
      <c r="AQ195" t="str">
        <f>IFERROR(VLOOKUP(Z195,InvBal!$L$4:$P$600,4,FALSE),"Pend")</f>
        <v>Pend</v>
      </c>
      <c r="AR195" t="str">
        <f>IFERROR(VLOOKUP(D195,Manual!$C$1:$E$22,2,FALSE),"Pend")</f>
        <v>Pend</v>
      </c>
      <c r="AS195" t="str">
        <f t="shared" ref="AS195:AS258" si="86">IF(OR(AP195="Yes",AQ195="Yes",AR195="Yes"),"Yes","")</f>
        <v/>
      </c>
      <c r="AT195" t="str">
        <f t="shared" ref="AT195:AT258" si="87">IF(R195="Delivered","Yes","")</f>
        <v>Yes</v>
      </c>
      <c r="AU195" s="51" t="str">
        <f t="shared" ref="AU195:AU258" si="88">IF(AND(AS195="Yes",AT195="Yes"),"Yes","")</f>
        <v/>
      </c>
      <c r="AV195" s="12">
        <f>IFERROR(VLOOKUP(D195,'Receivable Invoice Detail'!$S$1:$U$3014,3,FALSE),0)</f>
        <v>0</v>
      </c>
      <c r="AW195" s="12">
        <f t="shared" ref="AW195:AW258" si="89">IF(AU195="Yes",AI195-AV195,0)</f>
        <v>0</v>
      </c>
    </row>
    <row r="196" spans="1:49" ht="30" x14ac:dyDescent="0.25">
      <c r="A196" s="2">
        <v>1</v>
      </c>
      <c r="B196" s="2" t="s">
        <v>1983</v>
      </c>
      <c r="C196" s="2" t="s">
        <v>1984</v>
      </c>
      <c r="D196" s="2" t="s">
        <v>2434</v>
      </c>
      <c r="E196" s="2" t="s">
        <v>129</v>
      </c>
      <c r="F196" s="3">
        <v>45705.458969907413</v>
      </c>
      <c r="G196" s="3">
        <v>45705.458865740737</v>
      </c>
      <c r="H196" s="4">
        <v>45740</v>
      </c>
      <c r="I196" s="2" t="s">
        <v>130</v>
      </c>
      <c r="J196" s="2" t="s">
        <v>51</v>
      </c>
      <c r="K196" s="2">
        <v>0.70480367014915091</v>
      </c>
      <c r="L196" s="2">
        <v>8081.683227890413</v>
      </c>
      <c r="M196" s="2">
        <v>0</v>
      </c>
      <c r="N196" s="2">
        <v>5696</v>
      </c>
      <c r="O196" s="2">
        <v>5696</v>
      </c>
      <c r="P196" s="2"/>
      <c r="Q196" s="2">
        <v>5696</v>
      </c>
      <c r="R196" s="2" t="s">
        <v>44</v>
      </c>
      <c r="S196" s="2"/>
      <c r="T196" s="2">
        <f t="shared" si="71"/>
        <v>1</v>
      </c>
      <c r="U196" s="18">
        <f t="shared" si="72"/>
        <v>2</v>
      </c>
      <c r="V196" s="18">
        <f t="shared" si="73"/>
        <v>2025</v>
      </c>
      <c r="W196" s="18" t="str">
        <f t="shared" si="74"/>
        <v/>
      </c>
      <c r="X196" s="18" t="str">
        <f t="shared" si="75"/>
        <v/>
      </c>
      <c r="Y196" s="2">
        <f t="shared" si="68"/>
        <v>0.70480367014915091</v>
      </c>
      <c r="Z196" t="str">
        <f t="shared" si="69"/>
        <v>SO16610</v>
      </c>
      <c r="AA196" s="11">
        <f t="shared" si="76"/>
        <v>45705.458969907413</v>
      </c>
      <c r="AB196" s="5" t="str">
        <f t="shared" si="77"/>
        <v>INV12863</v>
      </c>
      <c r="AC196" s="5" t="str">
        <f>IFERROR(VLOOKUP(D196,CAARStatus!$A$2:$AA$1600,22,FALSE),"Not invoiced")</f>
        <v>Approved</v>
      </c>
      <c r="AD196" s="11" t="str">
        <f>IF(AC196="Paid",IFERROR(VLOOKUP(D196,CAARStatus!$A$2:$AA$1600,6,FALSE),"Pending"),"Pending")</f>
        <v>Pending</v>
      </c>
      <c r="AE196" s="5" t="str">
        <f t="shared" si="78"/>
        <v>OC00147</v>
      </c>
      <c r="AF196" s="5" t="str">
        <f t="shared" si="79"/>
        <v>Dynapro Pumps México S de RL de CV</v>
      </c>
      <c r="AG196" s="5" t="str">
        <f t="shared" si="80"/>
        <v>USD</v>
      </c>
      <c r="AH196" s="5">
        <f t="shared" si="81"/>
        <v>8081.683227890413</v>
      </c>
      <c r="AI196" s="12">
        <f>IF(L196-N196=0,VLOOKUP(U196,rate!A$4:B$15,2,FALSE)*AH196,IF(AG196="USD",O196,AH196*Y196))</f>
        <v>5696</v>
      </c>
      <c r="AJ196" s="13">
        <f t="shared" si="82"/>
        <v>0.70480367014915091</v>
      </c>
      <c r="AK196" s="13">
        <f>-IF(AG196="CAD",IFERROR(VLOOKUP(D196,CAARStatus!$A$1:$Y$1600,16,FALSE),0),0)</f>
        <v>0</v>
      </c>
      <c r="AL196" s="13">
        <f>-IF(AG196="USD",IFERROR(VLOOKUP(D196,CAARStatus!$A$1:$Y$1600,11,FALSE),0),0)</f>
        <v>-5696</v>
      </c>
      <c r="AM196" s="22" t="str">
        <f t="shared" si="83"/>
        <v/>
      </c>
      <c r="AN196" s="12">
        <f t="shared" si="84"/>
        <v>0</v>
      </c>
      <c r="AO196" s="12" t="str">
        <f t="shared" si="85"/>
        <v>Pend</v>
      </c>
      <c r="AP196" t="str">
        <f t="shared" si="70"/>
        <v>Pend</v>
      </c>
      <c r="AQ196" t="str">
        <f>IFERROR(VLOOKUP(Z196,InvBal!$L$4:$P$600,4,FALSE),"Pend")</f>
        <v>Pend</v>
      </c>
      <c r="AR196" t="str">
        <f>IFERROR(VLOOKUP(D196,Manual!$C$1:$E$22,2,FALSE),"Pend")</f>
        <v>Pend</v>
      </c>
      <c r="AS196" t="str">
        <f t="shared" si="86"/>
        <v/>
      </c>
      <c r="AT196" t="str">
        <f t="shared" si="87"/>
        <v>Yes</v>
      </c>
      <c r="AU196" s="51" t="str">
        <f t="shared" si="88"/>
        <v/>
      </c>
      <c r="AV196" s="12">
        <f>IFERROR(VLOOKUP(D196,'Receivable Invoice Detail'!$S$1:$U$3014,3,FALSE),0)</f>
        <v>0</v>
      </c>
      <c r="AW196" s="12">
        <f t="shared" si="89"/>
        <v>0</v>
      </c>
    </row>
    <row r="197" spans="1:49" ht="30" x14ac:dyDescent="0.25">
      <c r="A197" s="2">
        <v>1</v>
      </c>
      <c r="B197" s="2" t="s">
        <v>1981</v>
      </c>
      <c r="C197" s="2" t="s">
        <v>1982</v>
      </c>
      <c r="D197" s="2" t="s">
        <v>2435</v>
      </c>
      <c r="E197" s="2" t="s">
        <v>129</v>
      </c>
      <c r="F197" s="3">
        <v>45705.487280092602</v>
      </c>
      <c r="G197" s="3">
        <v>45705.487164351849</v>
      </c>
      <c r="H197" s="4">
        <v>45772</v>
      </c>
      <c r="I197" s="2" t="s">
        <v>130</v>
      </c>
      <c r="J197" s="2" t="s">
        <v>51</v>
      </c>
      <c r="K197" s="2">
        <v>0.70480367014915091</v>
      </c>
      <c r="L197" s="2">
        <v>5587.7972360254244</v>
      </c>
      <c r="M197" s="2">
        <v>0</v>
      </c>
      <c r="N197" s="2">
        <v>3938.3</v>
      </c>
      <c r="O197" s="2">
        <v>3938.3</v>
      </c>
      <c r="P197" s="2"/>
      <c r="Q197" s="2">
        <v>3938.3</v>
      </c>
      <c r="R197" s="2" t="s">
        <v>44</v>
      </c>
      <c r="S197" s="2"/>
      <c r="T197" s="2">
        <f t="shared" si="71"/>
        <v>1</v>
      </c>
      <c r="U197" s="18">
        <f t="shared" si="72"/>
        <v>2</v>
      </c>
      <c r="V197" s="18">
        <f t="shared" si="73"/>
        <v>2025</v>
      </c>
      <c r="W197" s="18" t="str">
        <f t="shared" si="74"/>
        <v/>
      </c>
      <c r="X197" s="18" t="str">
        <f t="shared" si="75"/>
        <v/>
      </c>
      <c r="Y197" s="2">
        <f t="shared" si="68"/>
        <v>0.70480367014915091</v>
      </c>
      <c r="Z197" t="str">
        <f t="shared" si="69"/>
        <v>SO16611</v>
      </c>
      <c r="AA197" s="11">
        <f t="shared" si="76"/>
        <v>45705.487280092602</v>
      </c>
      <c r="AB197" s="5" t="str">
        <f t="shared" si="77"/>
        <v>INV12942</v>
      </c>
      <c r="AC197" s="5" t="str">
        <f>IFERROR(VLOOKUP(D197,CAARStatus!$A$2:$AA$1600,22,FALSE),"Not invoiced")</f>
        <v>Approved</v>
      </c>
      <c r="AD197" s="11" t="str">
        <f>IF(AC197="Paid",IFERROR(VLOOKUP(D197,CAARStatus!$A$2:$AA$1600,6,FALSE),"Pending"),"Pending")</f>
        <v>Pending</v>
      </c>
      <c r="AE197" s="5" t="str">
        <f t="shared" si="78"/>
        <v>OC00145</v>
      </c>
      <c r="AF197" s="5" t="str">
        <f t="shared" si="79"/>
        <v>Dynapro Pumps México S de RL de CV</v>
      </c>
      <c r="AG197" s="5" t="str">
        <f t="shared" si="80"/>
        <v>USD</v>
      </c>
      <c r="AH197" s="5">
        <f t="shared" si="81"/>
        <v>5587.7972360254244</v>
      </c>
      <c r="AI197" s="12">
        <f>IF(L197-N197=0,VLOOKUP(U197,rate!A$4:B$15,2,FALSE)*AH197,IF(AG197="USD",O197,AH197*Y197))</f>
        <v>3938.3</v>
      </c>
      <c r="AJ197" s="13">
        <f t="shared" si="82"/>
        <v>0.70480367014915091</v>
      </c>
      <c r="AK197" s="13">
        <f>-IF(AG197="CAD",IFERROR(VLOOKUP(D197,CAARStatus!$A$1:$Y$1600,16,FALSE),0),0)</f>
        <v>0</v>
      </c>
      <c r="AL197" s="13">
        <f>-IF(AG197="USD",IFERROR(VLOOKUP(D197,CAARStatus!$A$1:$Y$1600,11,FALSE),0),0)</f>
        <v>-3938.3</v>
      </c>
      <c r="AM197" s="22" t="str">
        <f t="shared" si="83"/>
        <v/>
      </c>
      <c r="AN197" s="12">
        <f t="shared" si="84"/>
        <v>0</v>
      </c>
      <c r="AO197" s="12" t="str">
        <f t="shared" si="85"/>
        <v>Pend</v>
      </c>
      <c r="AP197" t="str">
        <f t="shared" si="70"/>
        <v>Pend</v>
      </c>
      <c r="AQ197" t="str">
        <f>IFERROR(VLOOKUP(Z197,InvBal!$L$4:$P$600,4,FALSE),"Pend")</f>
        <v>Pend</v>
      </c>
      <c r="AR197" t="str">
        <f>IFERROR(VLOOKUP(D197,Manual!$C$1:$E$22,2,FALSE),"Pend")</f>
        <v>Pend</v>
      </c>
      <c r="AS197" t="str">
        <f t="shared" si="86"/>
        <v/>
      </c>
      <c r="AT197" t="str">
        <f t="shared" si="87"/>
        <v>Yes</v>
      </c>
      <c r="AU197" s="51" t="str">
        <f t="shared" si="88"/>
        <v/>
      </c>
      <c r="AV197" s="12">
        <f>IFERROR(VLOOKUP(D197,'Receivable Invoice Detail'!$S$1:$U$3014,3,FALSE),0)</f>
        <v>0</v>
      </c>
      <c r="AW197" s="12">
        <f t="shared" si="89"/>
        <v>0</v>
      </c>
    </row>
    <row r="198" spans="1:49" x14ac:dyDescent="0.25">
      <c r="A198" s="2">
        <v>2</v>
      </c>
      <c r="B198" s="2" t="s">
        <v>1977</v>
      </c>
      <c r="C198" s="2" t="s">
        <v>1978</v>
      </c>
      <c r="D198" s="2" t="s">
        <v>2438</v>
      </c>
      <c r="E198" s="2" t="s">
        <v>171</v>
      </c>
      <c r="F198" s="3">
        <v>45705.522939814808</v>
      </c>
      <c r="G198" s="3">
        <v>45705.522939814808</v>
      </c>
      <c r="H198" s="4">
        <v>45761</v>
      </c>
      <c r="I198" s="2" t="s">
        <v>1132</v>
      </c>
      <c r="J198" s="2" t="s">
        <v>22</v>
      </c>
      <c r="K198" s="2">
        <v>1</v>
      </c>
      <c r="L198" s="2">
        <v>1247.44</v>
      </c>
      <c r="M198" s="2">
        <v>0</v>
      </c>
      <c r="N198" s="2">
        <v>879.34973478830068</v>
      </c>
      <c r="O198" s="2">
        <v>1188.04</v>
      </c>
      <c r="P198" s="2">
        <v>59.4</v>
      </c>
      <c r="Q198" s="2">
        <v>1247.44</v>
      </c>
      <c r="R198" s="2" t="s">
        <v>44</v>
      </c>
      <c r="S198" s="2"/>
      <c r="T198" s="2">
        <f t="shared" si="71"/>
        <v>2</v>
      </c>
      <c r="U198" s="18">
        <f t="shared" si="72"/>
        <v>2</v>
      </c>
      <c r="V198" s="18">
        <f t="shared" si="73"/>
        <v>2025</v>
      </c>
      <c r="W198" s="18">
        <f t="shared" si="74"/>
        <v>4</v>
      </c>
      <c r="X198" s="18">
        <f t="shared" si="75"/>
        <v>2025</v>
      </c>
      <c r="Y198" s="17">
        <f t="shared" si="68"/>
        <v>0.70492347109945219</v>
      </c>
      <c r="Z198" t="str">
        <f t="shared" si="69"/>
        <v>SO16612</v>
      </c>
      <c r="AA198" s="11">
        <f t="shared" si="76"/>
        <v>45705.522939814808</v>
      </c>
      <c r="AB198" s="5" t="str">
        <f t="shared" si="77"/>
        <v>INV12705</v>
      </c>
      <c r="AC198" s="5" t="str">
        <f>IFERROR(VLOOKUP(D198,CAARStatus!$A$2:$AA$1600,22,FALSE),"Not invoiced")</f>
        <v>Paid</v>
      </c>
      <c r="AD198" s="11">
        <f>IF(AC198="Paid",IFERROR(VLOOKUP(D198,CAARStatus!$A$2:$AA$1600,6,FALSE),"Pending"),"Pending")</f>
        <v>45750</v>
      </c>
      <c r="AE198" s="5" t="str">
        <f t="shared" si="78"/>
        <v>2067</v>
      </c>
      <c r="AF198" s="5" t="str">
        <f t="shared" si="79"/>
        <v>FMI Products</v>
      </c>
      <c r="AG198" s="5" t="str">
        <f t="shared" si="80"/>
        <v>CAD</v>
      </c>
      <c r="AH198" s="5">
        <f t="shared" si="81"/>
        <v>1188.04</v>
      </c>
      <c r="AI198" s="12">
        <f>IF(L198-N198=0,VLOOKUP(U198,rate!A$4:B$15,2,FALSE)*AH198,IF(AG198="USD",O198,AH198*Y198))</f>
        <v>837.47728060499321</v>
      </c>
      <c r="AJ198" s="13">
        <f t="shared" si="82"/>
        <v>0.70492347109945219</v>
      </c>
      <c r="AK198" s="13">
        <f>-IF(AG198="CAD",IFERROR(VLOOKUP(D198,CAARStatus!$A$1:$Y$1600,16,FALSE),0),0)</f>
        <v>-622.95000000000005</v>
      </c>
      <c r="AL198" s="13">
        <f>-IF(AG198="USD",IFERROR(VLOOKUP(D198,CAARStatus!$A$1:$Y$1600,11,FALSE),0),0)</f>
        <v>0</v>
      </c>
      <c r="AM198" s="22">
        <f t="shared" si="83"/>
        <v>565.08999999999992</v>
      </c>
      <c r="AN198" s="12" t="str">
        <f t="shared" si="84"/>
        <v/>
      </c>
      <c r="AO198" s="12" t="str">
        <f t="shared" si="85"/>
        <v>Yes</v>
      </c>
      <c r="AP198" t="str">
        <f t="shared" si="70"/>
        <v>XX</v>
      </c>
      <c r="AQ198" t="str">
        <f>IFERROR(VLOOKUP(Z198,InvBal!$L$4:$P$600,4,FALSE),"Pend")</f>
        <v>Yes</v>
      </c>
      <c r="AR198" t="str">
        <f>IFERROR(VLOOKUP(D198,Manual!$C$1:$E$22,2,FALSE),"Pend")</f>
        <v>Pend</v>
      </c>
      <c r="AS198" t="str">
        <f t="shared" si="86"/>
        <v>Yes</v>
      </c>
      <c r="AT198" t="str">
        <f t="shared" si="87"/>
        <v>Yes</v>
      </c>
      <c r="AU198" s="51" t="str">
        <f t="shared" si="88"/>
        <v>Yes</v>
      </c>
      <c r="AV198" s="12">
        <f>IFERROR(VLOOKUP(D198,'Receivable Invoice Detail'!$S$1:$U$3014,3,FALSE),0)</f>
        <v>0</v>
      </c>
      <c r="AW198" s="12">
        <f t="shared" si="89"/>
        <v>837.47728060499321</v>
      </c>
    </row>
    <row r="199" spans="1:49" x14ac:dyDescent="0.25">
      <c r="A199" s="2"/>
      <c r="B199" s="2"/>
      <c r="C199" s="2"/>
      <c r="D199" s="2" t="s">
        <v>2437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>
        <f t="shared" si="71"/>
        <v>2</v>
      </c>
      <c r="U199" s="18">
        <f t="shared" si="72"/>
        <v>2</v>
      </c>
      <c r="V199" s="18">
        <f t="shared" si="73"/>
        <v>2025</v>
      </c>
      <c r="W199" s="18">
        <f t="shared" si="74"/>
        <v>6</v>
      </c>
      <c r="X199" s="18">
        <f t="shared" si="75"/>
        <v>2025</v>
      </c>
      <c r="Y199" s="2">
        <f t="shared" si="68"/>
        <v>0.70492347109945219</v>
      </c>
      <c r="Z199" t="str">
        <f t="shared" si="69"/>
        <v>SO16612</v>
      </c>
      <c r="AA199" s="11">
        <f t="shared" si="76"/>
        <v>45705.522939814808</v>
      </c>
      <c r="AB199" s="5" t="str">
        <f t="shared" si="77"/>
        <v>INV13052</v>
      </c>
      <c r="AC199" s="5" t="str">
        <f>IFERROR(VLOOKUP(D199,CAARStatus!$A$2:$AA$1600,22,FALSE),"Not invoiced")</f>
        <v>Paid</v>
      </c>
      <c r="AD199" s="11">
        <f>IF(AC199="Paid",IFERROR(VLOOKUP(D199,CAARStatus!$A$2:$AA$1600,6,FALSE),"Pending"),"Pending")</f>
        <v>45834</v>
      </c>
      <c r="AE199" s="5" t="str">
        <f t="shared" si="78"/>
        <v>2067</v>
      </c>
      <c r="AF199" s="5" t="str">
        <f t="shared" si="79"/>
        <v>FMI Products</v>
      </c>
      <c r="AG199" s="5" t="str">
        <f t="shared" si="80"/>
        <v>CAD</v>
      </c>
      <c r="AH199" s="5">
        <f t="shared" si="81"/>
        <v>0</v>
      </c>
      <c r="AI199" s="12">
        <f>IF(L199-N199=0,VLOOKUP(U199,rate!A$4:B$15,2,FALSE)*AH199,IF(AG199="USD",O199,AH199*Y199))</f>
        <v>0</v>
      </c>
      <c r="AJ199" s="13">
        <f t="shared" si="82"/>
        <v>0</v>
      </c>
      <c r="AK199" s="13">
        <f>-IF(AG199="CAD",IFERROR(VLOOKUP(D199,CAARStatus!$A$1:$Y$1600,16,FALSE),0),0)</f>
        <v>-565.09</v>
      </c>
      <c r="AL199" s="13">
        <f>-IF(AG199="USD",IFERROR(VLOOKUP(D199,CAARStatus!$A$1:$Y$1600,11,FALSE),0),0)</f>
        <v>0</v>
      </c>
      <c r="AM199" s="22">
        <f t="shared" si="83"/>
        <v>-565.09</v>
      </c>
      <c r="AN199" s="12" t="str">
        <f t="shared" si="84"/>
        <v/>
      </c>
      <c r="AO199" s="12" t="str">
        <f t="shared" si="85"/>
        <v>Yes</v>
      </c>
      <c r="AP199" t="str">
        <f t="shared" si="70"/>
        <v>XX</v>
      </c>
      <c r="AQ199" t="str">
        <f>IFERROR(VLOOKUP(Z199,InvBal!$L$4:$P$600,4,FALSE),"Pend")</f>
        <v>Yes</v>
      </c>
      <c r="AR199" t="str">
        <f>IFERROR(VLOOKUP(D199,Manual!$C$1:$E$22,2,FALSE),"Pend")</f>
        <v>Pend</v>
      </c>
      <c r="AS199" t="str">
        <f t="shared" si="86"/>
        <v>Yes</v>
      </c>
      <c r="AT199" t="str">
        <f t="shared" si="87"/>
        <v/>
      </c>
      <c r="AU199" s="51" t="str">
        <f t="shared" si="88"/>
        <v/>
      </c>
      <c r="AV199" s="12">
        <f>IFERROR(VLOOKUP(D199,'Receivable Invoice Detail'!$S$1:$U$3014,3,FALSE),0)</f>
        <v>0</v>
      </c>
      <c r="AW199" s="12">
        <f t="shared" si="89"/>
        <v>0</v>
      </c>
    </row>
    <row r="200" spans="1:49" ht="30" x14ac:dyDescent="0.25">
      <c r="A200" s="2">
        <v>1</v>
      </c>
      <c r="B200" s="2" t="s">
        <v>1971</v>
      </c>
      <c r="C200" s="2" t="s">
        <v>1972</v>
      </c>
      <c r="D200" s="2" t="s">
        <v>2442</v>
      </c>
      <c r="E200" s="2" t="s">
        <v>129</v>
      </c>
      <c r="F200" s="3">
        <v>45705.578344907408</v>
      </c>
      <c r="G200" s="3">
        <v>45706.423784722218</v>
      </c>
      <c r="H200" s="4">
        <v>45777</v>
      </c>
      <c r="I200" s="2" t="s">
        <v>130</v>
      </c>
      <c r="J200" s="2" t="s">
        <v>51</v>
      </c>
      <c r="K200" s="2">
        <v>0.70491579277313177</v>
      </c>
      <c r="L200" s="2">
        <v>11791.479330177401</v>
      </c>
      <c r="M200" s="2">
        <v>0</v>
      </c>
      <c r="N200" s="2">
        <v>8312</v>
      </c>
      <c r="O200" s="2">
        <v>8312</v>
      </c>
      <c r="P200" s="2"/>
      <c r="Q200" s="2">
        <v>8312</v>
      </c>
      <c r="R200" s="2" t="s">
        <v>44</v>
      </c>
      <c r="S200" s="2"/>
      <c r="T200" s="2">
        <f t="shared" si="71"/>
        <v>1</v>
      </c>
      <c r="U200" s="18">
        <f t="shared" si="72"/>
        <v>2</v>
      </c>
      <c r="V200" s="18">
        <f t="shared" si="73"/>
        <v>2025</v>
      </c>
      <c r="W200" s="18" t="str">
        <f t="shared" si="74"/>
        <v/>
      </c>
      <c r="X200" s="18" t="str">
        <f t="shared" si="75"/>
        <v/>
      </c>
      <c r="Y200" s="2">
        <f t="shared" si="68"/>
        <v>0.70491579277313188</v>
      </c>
      <c r="Z200" t="str">
        <f t="shared" si="69"/>
        <v>SO16613</v>
      </c>
      <c r="AA200" s="11">
        <f t="shared" si="76"/>
        <v>45705.578344907408</v>
      </c>
      <c r="AB200" s="5" t="str">
        <f t="shared" si="77"/>
        <v>INV13018</v>
      </c>
      <c r="AC200" s="5" t="str">
        <f>IFERROR(VLOOKUP(D200,CAARStatus!$A$2:$AA$1600,22,FALSE),"Not invoiced")</f>
        <v>Approved</v>
      </c>
      <c r="AD200" s="11" t="str">
        <f>IF(AC200="Paid",IFERROR(VLOOKUP(D200,CAARStatus!$A$2:$AA$1600,6,FALSE),"Pending"),"Pending")</f>
        <v>Pending</v>
      </c>
      <c r="AE200" s="5" t="str">
        <f t="shared" si="78"/>
        <v>OC00148</v>
      </c>
      <c r="AF200" s="5" t="str">
        <f t="shared" si="79"/>
        <v>Dynapro Pumps México S de RL de CV</v>
      </c>
      <c r="AG200" s="5" t="str">
        <f t="shared" si="80"/>
        <v>USD</v>
      </c>
      <c r="AH200" s="5">
        <f t="shared" si="81"/>
        <v>11791.479330177403</v>
      </c>
      <c r="AI200" s="12">
        <f>IF(L200-N200=0,VLOOKUP(U200,rate!A$4:B$15,2,FALSE)*AH200,IF(AG200="USD",O200,AH200*Y200))</f>
        <v>8312</v>
      </c>
      <c r="AJ200" s="13">
        <f t="shared" si="82"/>
        <v>0.70491579277313177</v>
      </c>
      <c r="AK200" s="13">
        <f>-IF(AG200="CAD",IFERROR(VLOOKUP(D200,CAARStatus!$A$1:$Y$1600,16,FALSE),0),0)</f>
        <v>0</v>
      </c>
      <c r="AL200" s="13">
        <f>-IF(AG200="USD",IFERROR(VLOOKUP(D200,CAARStatus!$A$1:$Y$1600,11,FALSE),0),0)</f>
        <v>-8312</v>
      </c>
      <c r="AM200" s="22" t="str">
        <f t="shared" si="83"/>
        <v/>
      </c>
      <c r="AN200" s="12">
        <f t="shared" si="84"/>
        <v>0</v>
      </c>
      <c r="AO200" s="12" t="str">
        <f t="shared" si="85"/>
        <v>Pend</v>
      </c>
      <c r="AP200" t="str">
        <f t="shared" si="70"/>
        <v>Pend</v>
      </c>
      <c r="AQ200" t="str">
        <f>IFERROR(VLOOKUP(Z200,InvBal!$L$4:$P$600,4,FALSE),"Pend")</f>
        <v>Pend</v>
      </c>
      <c r="AR200" t="str">
        <f>IFERROR(VLOOKUP(D200,Manual!$C$1:$E$22,2,FALSE),"Pend")</f>
        <v>Pend</v>
      </c>
      <c r="AS200" t="str">
        <f t="shared" si="86"/>
        <v/>
      </c>
      <c r="AT200" t="str">
        <f t="shared" si="87"/>
        <v>Yes</v>
      </c>
      <c r="AU200" s="51" t="str">
        <f t="shared" si="88"/>
        <v/>
      </c>
      <c r="AV200" s="12">
        <f>IFERROR(VLOOKUP(D200,'Receivable Invoice Detail'!$S$1:$U$3014,3,FALSE),0)</f>
        <v>0</v>
      </c>
      <c r="AW200" s="12">
        <f t="shared" si="89"/>
        <v>0</v>
      </c>
    </row>
    <row r="201" spans="1:49" x14ac:dyDescent="0.25">
      <c r="A201" s="2">
        <v>1</v>
      </c>
      <c r="B201" s="2" t="s">
        <v>1952</v>
      </c>
      <c r="C201" s="2" t="s">
        <v>1953</v>
      </c>
      <c r="D201" s="2" t="s">
        <v>2452</v>
      </c>
      <c r="E201" s="2" t="s">
        <v>242</v>
      </c>
      <c r="F201" s="3">
        <v>45706.405601851853</v>
      </c>
      <c r="G201" s="3">
        <v>45706.720949074072</v>
      </c>
      <c r="H201" s="4">
        <v>45707</v>
      </c>
      <c r="I201" s="2" t="s">
        <v>1132</v>
      </c>
      <c r="J201" s="2" t="s">
        <v>22</v>
      </c>
      <c r="K201" s="2">
        <v>1</v>
      </c>
      <c r="L201" s="2">
        <v>2758.72</v>
      </c>
      <c r="M201" s="2">
        <v>2758.72</v>
      </c>
      <c r="N201" s="2">
        <v>2758.72</v>
      </c>
      <c r="O201" s="2">
        <v>2627.35</v>
      </c>
      <c r="P201" s="2">
        <v>131.37</v>
      </c>
      <c r="Q201" s="2">
        <v>2758.72</v>
      </c>
      <c r="R201" s="2" t="s">
        <v>44</v>
      </c>
      <c r="S201" s="2"/>
      <c r="T201" s="2">
        <f t="shared" si="71"/>
        <v>1</v>
      </c>
      <c r="U201" s="18">
        <f t="shared" si="72"/>
        <v>2</v>
      </c>
      <c r="V201" s="18">
        <f t="shared" si="73"/>
        <v>2025</v>
      </c>
      <c r="W201" s="18">
        <f t="shared" si="74"/>
        <v>4</v>
      </c>
      <c r="X201" s="18">
        <f t="shared" si="75"/>
        <v>2025</v>
      </c>
      <c r="Y201" s="2">
        <f t="shared" si="68"/>
        <v>1</v>
      </c>
      <c r="Z201" t="str">
        <f t="shared" si="69"/>
        <v>SO16615</v>
      </c>
      <c r="AA201" s="11">
        <f t="shared" si="76"/>
        <v>45706.405601851853</v>
      </c>
      <c r="AB201" s="5" t="str">
        <f t="shared" si="77"/>
        <v>INV12658</v>
      </c>
      <c r="AC201" s="5" t="str">
        <f>IFERROR(VLOOKUP(D201,CAARStatus!$A$2:$AA$1600,22,FALSE),"Not invoiced")</f>
        <v>Paid</v>
      </c>
      <c r="AD201" s="11">
        <f>IF(AC201="Paid",IFERROR(VLOOKUP(D201,CAARStatus!$A$2:$AA$1600,6,FALSE),"Pending"),"Pending")</f>
        <v>45749</v>
      </c>
      <c r="AE201" s="5" t="str">
        <f t="shared" si="78"/>
        <v>2100512815</v>
      </c>
      <c r="AF201" s="5" t="str">
        <f t="shared" si="79"/>
        <v>Wajax Limited - Noranda</v>
      </c>
      <c r="AG201" s="5" t="str">
        <f t="shared" si="80"/>
        <v>CAD</v>
      </c>
      <c r="AH201" s="5">
        <f t="shared" si="81"/>
        <v>2627.35</v>
      </c>
      <c r="AI201" s="12">
        <f>IF(L201-N201=0,VLOOKUP(U201,rate!A$4:B$15,2,FALSE)*AH201,IF(AG201="USD",O201,AH201*Y201))</f>
        <v>1845.1471913323517</v>
      </c>
      <c r="AJ201" s="13">
        <f t="shared" si="82"/>
        <v>0.70228450390406749</v>
      </c>
      <c r="AK201" s="13">
        <f>-IF(AG201="CAD",IFERROR(VLOOKUP(D201,CAARStatus!$A$1:$Y$1600,16,FALSE),0),0)</f>
        <v>-2627.35</v>
      </c>
      <c r="AL201" s="13">
        <f>-IF(AG201="USD",IFERROR(VLOOKUP(D201,CAARStatus!$A$1:$Y$1600,11,FALSE),0),0)</f>
        <v>0</v>
      </c>
      <c r="AM201" s="22">
        <f t="shared" si="83"/>
        <v>0</v>
      </c>
      <c r="AN201" s="12" t="str">
        <f t="shared" si="84"/>
        <v/>
      </c>
      <c r="AO201" s="12" t="str">
        <f t="shared" si="85"/>
        <v>Yes</v>
      </c>
      <c r="AP201" t="str">
        <f t="shared" si="70"/>
        <v>Yes</v>
      </c>
      <c r="AQ201" t="str">
        <f>IFERROR(VLOOKUP(Z201,InvBal!$L$4:$P$600,4,FALSE),"Pend")</f>
        <v>Pend</v>
      </c>
      <c r="AR201" t="str">
        <f>IFERROR(VLOOKUP(D201,Manual!$C$1:$E$22,2,FALSE),"Pend")</f>
        <v>Pend</v>
      </c>
      <c r="AS201" t="str">
        <f t="shared" si="86"/>
        <v>Yes</v>
      </c>
      <c r="AT201" t="str">
        <f t="shared" si="87"/>
        <v>Yes</v>
      </c>
      <c r="AU201" s="51" t="str">
        <f t="shared" si="88"/>
        <v>Yes</v>
      </c>
      <c r="AV201" s="12">
        <f>IFERROR(VLOOKUP(D201,'Receivable Invoice Detail'!$S$1:$U$3014,3,FALSE),0)</f>
        <v>0</v>
      </c>
      <c r="AW201" s="12">
        <f t="shared" si="89"/>
        <v>1845.1471913323517</v>
      </c>
    </row>
    <row r="202" spans="1:49" x14ac:dyDescent="0.25">
      <c r="A202" s="2">
        <v>2</v>
      </c>
      <c r="B202" s="2" t="s">
        <v>1973</v>
      </c>
      <c r="C202" s="2" t="s">
        <v>1974</v>
      </c>
      <c r="D202" s="2" t="s">
        <v>2441</v>
      </c>
      <c r="E202" s="2" t="s">
        <v>192</v>
      </c>
      <c r="F202" s="3">
        <v>45706.418321759258</v>
      </c>
      <c r="G202" s="3">
        <v>45706.418379629627</v>
      </c>
      <c r="H202" s="4">
        <v>45818</v>
      </c>
      <c r="I202" s="2" t="s">
        <v>180</v>
      </c>
      <c r="J202" s="2" t="s">
        <v>51</v>
      </c>
      <c r="K202" s="2">
        <v>0.70491579277313177</v>
      </c>
      <c r="L202" s="2">
        <v>4742.5097214071429</v>
      </c>
      <c r="M202" s="2">
        <v>0</v>
      </c>
      <c r="N202" s="2">
        <v>3343.07</v>
      </c>
      <c r="O202" s="2">
        <v>3343.07</v>
      </c>
      <c r="P202" s="2"/>
      <c r="Q202" s="2">
        <v>3343.07</v>
      </c>
      <c r="R202" s="2" t="s">
        <v>44</v>
      </c>
      <c r="S202" s="2"/>
      <c r="T202" s="2">
        <f t="shared" si="71"/>
        <v>2</v>
      </c>
      <c r="U202" s="18">
        <f t="shared" si="72"/>
        <v>2</v>
      </c>
      <c r="V202" s="18">
        <f t="shared" si="73"/>
        <v>2025</v>
      </c>
      <c r="W202" s="18">
        <f t="shared" si="74"/>
        <v>5</v>
      </c>
      <c r="X202" s="18">
        <f t="shared" si="75"/>
        <v>2025</v>
      </c>
      <c r="Y202" s="2">
        <f t="shared" si="68"/>
        <v>0.70491579277313166</v>
      </c>
      <c r="Z202" t="str">
        <f t="shared" si="69"/>
        <v>SO16617</v>
      </c>
      <c r="AA202" s="11">
        <f t="shared" si="76"/>
        <v>45706.418321759258</v>
      </c>
      <c r="AB202" s="5" t="str">
        <f t="shared" si="77"/>
        <v>INV12680</v>
      </c>
      <c r="AC202" s="5" t="str">
        <f>IFERROR(VLOOKUP(D202,CAARStatus!$A$2:$AA$1600,22,FALSE),"Not invoiced")</f>
        <v>Paid</v>
      </c>
      <c r="AD202" s="11">
        <f>IF(AC202="Paid",IFERROR(VLOOKUP(D202,CAARStatus!$A$2:$AA$1600,6,FALSE),"Pending"),"Pending")</f>
        <v>45779</v>
      </c>
      <c r="AE202" s="5" t="str">
        <f t="shared" si="78"/>
        <v>PO-038899</v>
      </c>
      <c r="AF202" s="5" t="str">
        <f t="shared" si="79"/>
        <v>Southeast Pump Specialist, Inc.</v>
      </c>
      <c r="AG202" s="5" t="str">
        <f t="shared" si="80"/>
        <v>USD</v>
      </c>
      <c r="AH202" s="5">
        <f t="shared" si="81"/>
        <v>4742.5097214071429</v>
      </c>
      <c r="AI202" s="12">
        <f>IF(L202-N202=0,VLOOKUP(U202,rate!A$4:B$15,2,FALSE)*AH202,IF(AG202="USD",O202,AH202*Y202))</f>
        <v>3343.07</v>
      </c>
      <c r="AJ202" s="13">
        <f t="shared" si="82"/>
        <v>0.70491579277313166</v>
      </c>
      <c r="AK202" s="13">
        <f>-IF(AG202="CAD",IFERROR(VLOOKUP(D202,CAARStatus!$A$1:$Y$1600,16,FALSE),0),0)</f>
        <v>0</v>
      </c>
      <c r="AL202" s="13">
        <f>-IF(AG202="USD",IFERROR(VLOOKUP(D202,CAARStatus!$A$1:$Y$1600,11,FALSE),0),0)</f>
        <v>-339.52</v>
      </c>
      <c r="AM202" s="22" t="str">
        <f t="shared" si="83"/>
        <v/>
      </c>
      <c r="AN202" s="12">
        <f t="shared" si="84"/>
        <v>3003.55</v>
      </c>
      <c r="AO202" s="12" t="str">
        <f t="shared" si="85"/>
        <v>Yes</v>
      </c>
      <c r="AP202" t="str">
        <f t="shared" si="70"/>
        <v>XX</v>
      </c>
      <c r="AQ202" t="str">
        <f>IFERROR(VLOOKUP(Z202,InvBal!$L$4:$P$600,4,FALSE),"Pend")</f>
        <v>Yes</v>
      </c>
      <c r="AR202" t="str">
        <f>IFERROR(VLOOKUP(D202,Manual!$C$1:$E$22,2,FALSE),"Pend")</f>
        <v>Pend</v>
      </c>
      <c r="AS202" t="str">
        <f t="shared" si="86"/>
        <v>Yes</v>
      </c>
      <c r="AT202" t="str">
        <f t="shared" si="87"/>
        <v>Yes</v>
      </c>
      <c r="AU202" s="51" t="str">
        <f t="shared" si="88"/>
        <v>Yes</v>
      </c>
      <c r="AV202" s="12">
        <f>IFERROR(VLOOKUP(D202,'Receivable Invoice Detail'!$S$1:$U$3014,3,FALSE),0)</f>
        <v>0</v>
      </c>
      <c r="AW202" s="12">
        <f t="shared" si="89"/>
        <v>3343.07</v>
      </c>
    </row>
    <row r="203" spans="1:49" x14ac:dyDescent="0.25">
      <c r="A203" s="2"/>
      <c r="B203" s="2"/>
      <c r="C203" s="2"/>
      <c r="D203" s="2" t="s">
        <v>2440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>
        <f t="shared" si="71"/>
        <v>2</v>
      </c>
      <c r="U203" s="18">
        <f t="shared" si="72"/>
        <v>2</v>
      </c>
      <c r="V203" s="18">
        <f t="shared" si="73"/>
        <v>2025</v>
      </c>
      <c r="W203" s="18">
        <f t="shared" si="74"/>
        <v>7</v>
      </c>
      <c r="X203" s="18">
        <f t="shared" si="75"/>
        <v>2025</v>
      </c>
      <c r="Y203" s="2">
        <f t="shared" si="68"/>
        <v>0.70491579277313166</v>
      </c>
      <c r="Z203" t="str">
        <f t="shared" si="69"/>
        <v>SO16617</v>
      </c>
      <c r="AA203" s="11">
        <f t="shared" si="76"/>
        <v>45706.418321759258</v>
      </c>
      <c r="AB203" s="5" t="str">
        <f t="shared" si="77"/>
        <v>INV12965</v>
      </c>
      <c r="AC203" s="5" t="str">
        <f>IFERROR(VLOOKUP(D203,CAARStatus!$A$2:$AA$1600,22,FALSE),"Not invoiced")</f>
        <v>Paid</v>
      </c>
      <c r="AD203" s="11">
        <f>IF(AC203="Paid",IFERROR(VLOOKUP(D203,CAARStatus!$A$2:$AA$1600,6,FALSE),"Pending"),"Pending")</f>
        <v>45843</v>
      </c>
      <c r="AE203" s="5" t="str">
        <f t="shared" si="78"/>
        <v>PO-038899</v>
      </c>
      <c r="AF203" s="5" t="str">
        <f t="shared" si="79"/>
        <v>Southeast Pump Specialist, Inc.</v>
      </c>
      <c r="AG203" s="5" t="str">
        <f t="shared" si="80"/>
        <v>USD</v>
      </c>
      <c r="AH203" s="5">
        <f t="shared" si="81"/>
        <v>0</v>
      </c>
      <c r="AI203" s="12">
        <f>IF(L203-N203=0,VLOOKUP(U203,rate!A$4:B$15,2,FALSE)*AH203,IF(AG203="USD",O203,AH203*Y203))</f>
        <v>0</v>
      </c>
      <c r="AJ203" s="13">
        <f t="shared" si="82"/>
        <v>0</v>
      </c>
      <c r="AK203" s="13">
        <f>-IF(AG203="CAD",IFERROR(VLOOKUP(D203,CAARStatus!$A$1:$Y$1600,16,FALSE),0),0)</f>
        <v>0</v>
      </c>
      <c r="AL203" s="13">
        <f>-IF(AG203="USD",IFERROR(VLOOKUP(D203,CAARStatus!$A$1:$Y$1600,11,FALSE),0),0)</f>
        <v>-3003.55</v>
      </c>
      <c r="AM203" s="22" t="str">
        <f t="shared" si="83"/>
        <v/>
      </c>
      <c r="AN203" s="12">
        <f t="shared" si="84"/>
        <v>-3003.55</v>
      </c>
      <c r="AO203" s="12" t="str">
        <f t="shared" si="85"/>
        <v>Yes</v>
      </c>
      <c r="AP203" t="str">
        <f t="shared" si="70"/>
        <v>XX</v>
      </c>
      <c r="AQ203" t="str">
        <f>IFERROR(VLOOKUP(Z203,InvBal!$L$4:$P$600,4,FALSE),"Pend")</f>
        <v>Yes</v>
      </c>
      <c r="AR203" t="str">
        <f>IFERROR(VLOOKUP(D203,Manual!$C$1:$E$22,2,FALSE),"Pend")</f>
        <v>Pend</v>
      </c>
      <c r="AS203" t="str">
        <f t="shared" si="86"/>
        <v>Yes</v>
      </c>
      <c r="AT203" t="str">
        <f t="shared" si="87"/>
        <v/>
      </c>
      <c r="AU203" s="51" t="str">
        <f t="shared" si="88"/>
        <v/>
      </c>
      <c r="AV203" s="12">
        <f>IFERROR(VLOOKUP(D203,'Receivable Invoice Detail'!$S$1:$U$3014,3,FALSE),0)</f>
        <v>589</v>
      </c>
      <c r="AW203" s="12">
        <f t="shared" si="89"/>
        <v>0</v>
      </c>
    </row>
    <row r="204" spans="1:49" ht="30" x14ac:dyDescent="0.25">
      <c r="A204" s="2">
        <v>1</v>
      </c>
      <c r="B204" s="2" t="s">
        <v>1861</v>
      </c>
      <c r="C204" s="2" t="s">
        <v>1862</v>
      </c>
      <c r="D204" s="2" t="s">
        <v>2502</v>
      </c>
      <c r="E204" s="2" t="s">
        <v>86</v>
      </c>
      <c r="F204" s="3">
        <v>45706.440439814818</v>
      </c>
      <c r="G204" s="3">
        <v>45719.413425925923</v>
      </c>
      <c r="H204" s="4">
        <v>45720</v>
      </c>
      <c r="I204" s="2" t="s">
        <v>21</v>
      </c>
      <c r="J204" s="2" t="s">
        <v>22</v>
      </c>
      <c r="K204" s="2">
        <v>1</v>
      </c>
      <c r="L204" s="2">
        <v>673.27</v>
      </c>
      <c r="M204" s="2">
        <v>0</v>
      </c>
      <c r="N204" s="2">
        <v>467.51510004687128</v>
      </c>
      <c r="O204" s="2">
        <v>641.21</v>
      </c>
      <c r="P204" s="2">
        <v>32.06</v>
      </c>
      <c r="Q204" s="2">
        <v>673.27</v>
      </c>
      <c r="R204" s="2" t="s">
        <v>44</v>
      </c>
      <c r="S204" s="2"/>
      <c r="T204" s="2">
        <f t="shared" si="71"/>
        <v>1</v>
      </c>
      <c r="U204" s="18">
        <f t="shared" si="72"/>
        <v>2</v>
      </c>
      <c r="V204" s="18">
        <f t="shared" si="73"/>
        <v>2025</v>
      </c>
      <c r="W204" s="18">
        <f t="shared" si="74"/>
        <v>4</v>
      </c>
      <c r="X204" s="18">
        <f t="shared" si="75"/>
        <v>2025</v>
      </c>
      <c r="Y204" s="2">
        <f t="shared" si="68"/>
        <v>0.69439467085548334</v>
      </c>
      <c r="Z204" t="str">
        <f t="shared" si="69"/>
        <v>SO16618</v>
      </c>
      <c r="AA204" s="11">
        <f t="shared" si="76"/>
        <v>45706.440439814818</v>
      </c>
      <c r="AB204" s="5" t="str">
        <f t="shared" si="77"/>
        <v>INV12700</v>
      </c>
      <c r="AC204" s="5" t="str">
        <f>IFERROR(VLOOKUP(D204,CAARStatus!$A$2:$AA$1600,22,FALSE),"Not invoiced")</f>
        <v>Paid</v>
      </c>
      <c r="AD204" s="11">
        <f>IF(AC204="Paid",IFERROR(VLOOKUP(D204,CAARStatus!$A$2:$AA$1600,6,FALSE),"Pending"),"Pending")</f>
        <v>45750</v>
      </c>
      <c r="AE204" s="5" t="str">
        <f t="shared" si="78"/>
        <v>MB21-00187300</v>
      </c>
      <c r="AF204" s="5" t="str">
        <f t="shared" si="79"/>
        <v>Motion Industries Inc. (Canada) - Winnipeg</v>
      </c>
      <c r="AG204" s="5" t="str">
        <f t="shared" si="80"/>
        <v>CAD</v>
      </c>
      <c r="AH204" s="5">
        <f t="shared" si="81"/>
        <v>641.21</v>
      </c>
      <c r="AI204" s="12">
        <f>IF(L204-N204=0,VLOOKUP(U204,rate!A$4:B$15,2,FALSE)*AH204,IF(AG204="USD",O204,AH204*Y204))</f>
        <v>445.25280689924449</v>
      </c>
      <c r="AJ204" s="13">
        <f t="shared" si="82"/>
        <v>0.69439467085548334</v>
      </c>
      <c r="AK204" s="13">
        <f>-IF(AG204="CAD",IFERROR(VLOOKUP(D204,CAARStatus!$A$1:$Y$1600,16,FALSE),0),0)</f>
        <v>-641.21</v>
      </c>
      <c r="AL204" s="13">
        <f>-IF(AG204="USD",IFERROR(VLOOKUP(D204,CAARStatus!$A$1:$Y$1600,11,FALSE),0),0)</f>
        <v>0</v>
      </c>
      <c r="AM204" s="22">
        <f t="shared" si="83"/>
        <v>0</v>
      </c>
      <c r="AN204" s="12" t="str">
        <f t="shared" si="84"/>
        <v/>
      </c>
      <c r="AO204" s="12" t="str">
        <f t="shared" si="85"/>
        <v>Yes</v>
      </c>
      <c r="AP204" t="str">
        <f t="shared" si="70"/>
        <v>Yes</v>
      </c>
      <c r="AQ204" t="str">
        <f>IFERROR(VLOOKUP(Z204,InvBal!$L$4:$P$600,4,FALSE),"Pend")</f>
        <v>Pend</v>
      </c>
      <c r="AR204" t="str">
        <f>IFERROR(VLOOKUP(D204,Manual!$C$1:$E$22,2,FALSE),"Pend")</f>
        <v>Pend</v>
      </c>
      <c r="AS204" t="str">
        <f t="shared" si="86"/>
        <v>Yes</v>
      </c>
      <c r="AT204" t="str">
        <f t="shared" si="87"/>
        <v>Yes</v>
      </c>
      <c r="AU204" s="51" t="str">
        <f t="shared" si="88"/>
        <v>Yes</v>
      </c>
      <c r="AV204" s="12">
        <f>IFERROR(VLOOKUP(D204,'Receivable Invoice Detail'!$S$1:$U$3014,3,FALSE),0)</f>
        <v>0</v>
      </c>
      <c r="AW204" s="12">
        <f t="shared" si="89"/>
        <v>445.25280689924449</v>
      </c>
    </row>
    <row r="205" spans="1:49" ht="30" x14ac:dyDescent="0.25">
      <c r="A205" s="2">
        <v>1</v>
      </c>
      <c r="B205" s="2" t="s">
        <v>1960</v>
      </c>
      <c r="C205" s="2" t="s">
        <v>1961</v>
      </c>
      <c r="D205" s="2" t="s">
        <v>2448</v>
      </c>
      <c r="E205" s="2" t="s">
        <v>159</v>
      </c>
      <c r="F205" s="3">
        <v>45706.583807870367</v>
      </c>
      <c r="G205" s="3">
        <v>45706.584374999999</v>
      </c>
      <c r="H205" s="4">
        <v>45929</v>
      </c>
      <c r="I205" s="2" t="s">
        <v>426</v>
      </c>
      <c r="J205" s="2" t="s">
        <v>51</v>
      </c>
      <c r="K205" s="2">
        <v>0.70491579277313177</v>
      </c>
      <c r="L205" s="2">
        <v>12448.67839529907</v>
      </c>
      <c r="M205" s="2">
        <v>0</v>
      </c>
      <c r="N205" s="2">
        <v>8775.27</v>
      </c>
      <c r="O205" s="2">
        <v>8775.27</v>
      </c>
      <c r="P205" s="2"/>
      <c r="Q205" s="2">
        <v>8775.27</v>
      </c>
      <c r="R205" s="2" t="s">
        <v>44</v>
      </c>
      <c r="S205" s="2"/>
      <c r="T205" s="2">
        <f t="shared" si="71"/>
        <v>1</v>
      </c>
      <c r="U205" s="18">
        <f t="shared" si="72"/>
        <v>2</v>
      </c>
      <c r="V205" s="18">
        <f t="shared" si="73"/>
        <v>2025</v>
      </c>
      <c r="W205" s="18">
        <f t="shared" si="74"/>
        <v>5</v>
      </c>
      <c r="X205" s="18">
        <f t="shared" si="75"/>
        <v>2025</v>
      </c>
      <c r="Y205" s="2">
        <f t="shared" si="68"/>
        <v>0.70491579277313166</v>
      </c>
      <c r="Z205" t="str">
        <f t="shared" si="69"/>
        <v>SO16619</v>
      </c>
      <c r="AA205" s="11">
        <f t="shared" si="76"/>
        <v>45706.583807870367</v>
      </c>
      <c r="AB205" s="5" t="str">
        <f t="shared" si="77"/>
        <v>INV12768</v>
      </c>
      <c r="AC205" s="5" t="str">
        <f>IFERROR(VLOOKUP(D205,CAARStatus!$A$2:$AA$1600,22,FALSE),"Not invoiced")</f>
        <v>Paid</v>
      </c>
      <c r="AD205" s="11">
        <f>IF(AC205="Paid",IFERROR(VLOOKUP(D205,CAARStatus!$A$2:$AA$1600,6,FALSE),"Pending"),"Pending")</f>
        <v>45786</v>
      </c>
      <c r="AE205" s="5" t="str">
        <f t="shared" si="78"/>
        <v>4501112337</v>
      </c>
      <c r="AF205" s="5" t="str">
        <f t="shared" si="79"/>
        <v>Barrick Gold - Pueblo Viejo Dominicana Corporation</v>
      </c>
      <c r="AG205" s="5" t="str">
        <f t="shared" si="80"/>
        <v>USD</v>
      </c>
      <c r="AH205" s="5">
        <f t="shared" si="81"/>
        <v>12448.678395299068</v>
      </c>
      <c r="AI205" s="12">
        <f>IF(L205-N205=0,VLOOKUP(U205,rate!A$4:B$15,2,FALSE)*AH205,IF(AG205="USD",O205,AH205*Y205))</f>
        <v>8775.27</v>
      </c>
      <c r="AJ205" s="13">
        <f t="shared" si="82"/>
        <v>0.70491579277313177</v>
      </c>
      <c r="AK205" s="13">
        <f>-IF(AG205="CAD",IFERROR(VLOOKUP(D205,CAARStatus!$A$1:$Y$1600,16,FALSE),0),0)</f>
        <v>0</v>
      </c>
      <c r="AL205" s="13">
        <f>-IF(AG205="USD",IFERROR(VLOOKUP(D205,CAARStatus!$A$1:$Y$1600,11,FALSE),0),0)</f>
        <v>-8775.27</v>
      </c>
      <c r="AM205" s="22" t="str">
        <f t="shared" si="83"/>
        <v/>
      </c>
      <c r="AN205" s="12">
        <f t="shared" si="84"/>
        <v>0</v>
      </c>
      <c r="AO205" s="12" t="str">
        <f t="shared" si="85"/>
        <v>Yes</v>
      </c>
      <c r="AP205" t="str">
        <f t="shared" si="70"/>
        <v>Yes</v>
      </c>
      <c r="AQ205" t="str">
        <f>IFERROR(VLOOKUP(Z205,InvBal!$L$4:$P$600,4,FALSE),"Pend")</f>
        <v>Pend</v>
      </c>
      <c r="AR205" t="str">
        <f>IFERROR(VLOOKUP(D205,Manual!$C$1:$E$22,2,FALSE),"Pend")</f>
        <v>Pend</v>
      </c>
      <c r="AS205" t="str">
        <f t="shared" si="86"/>
        <v>Yes</v>
      </c>
      <c r="AT205" t="str">
        <f t="shared" si="87"/>
        <v>Yes</v>
      </c>
      <c r="AU205" s="51" t="str">
        <f t="shared" si="88"/>
        <v>Yes</v>
      </c>
      <c r="AV205" s="12">
        <f>IFERROR(VLOOKUP(D205,'Receivable Invoice Detail'!$S$1:$U$3014,3,FALSE),0)</f>
        <v>0</v>
      </c>
      <c r="AW205" s="12">
        <f t="shared" si="89"/>
        <v>8775.27</v>
      </c>
    </row>
    <row r="206" spans="1:49" x14ac:dyDescent="0.25">
      <c r="A206" s="2">
        <v>1</v>
      </c>
      <c r="B206" s="2" t="s">
        <v>1950</v>
      </c>
      <c r="C206" s="2" t="s">
        <v>1951</v>
      </c>
      <c r="D206" s="2" t="s">
        <v>2453</v>
      </c>
      <c r="E206" s="2" t="s">
        <v>429</v>
      </c>
      <c r="F206" s="3">
        <v>45706.6096875</v>
      </c>
      <c r="G206" s="3">
        <v>45706.727453703701</v>
      </c>
      <c r="H206" s="4">
        <v>45707</v>
      </c>
      <c r="I206" s="2" t="s">
        <v>1132</v>
      </c>
      <c r="J206" s="2" t="s">
        <v>22</v>
      </c>
      <c r="K206" s="2">
        <v>1</v>
      </c>
      <c r="L206" s="2">
        <v>1584.16</v>
      </c>
      <c r="M206" s="2">
        <v>1584.16</v>
      </c>
      <c r="N206" s="2">
        <v>1584.16</v>
      </c>
      <c r="O206" s="2">
        <v>1508.72</v>
      </c>
      <c r="P206" s="2">
        <v>75.44</v>
      </c>
      <c r="Q206" s="2">
        <v>1584.16</v>
      </c>
      <c r="R206" s="2" t="s">
        <v>44</v>
      </c>
      <c r="S206" s="2"/>
      <c r="T206" s="2">
        <f t="shared" si="71"/>
        <v>1</v>
      </c>
      <c r="U206" s="18">
        <f t="shared" si="72"/>
        <v>2</v>
      </c>
      <c r="V206" s="18">
        <f t="shared" si="73"/>
        <v>2025</v>
      </c>
      <c r="W206" s="18">
        <f t="shared" si="74"/>
        <v>2</v>
      </c>
      <c r="X206" s="18">
        <f t="shared" si="75"/>
        <v>2025</v>
      </c>
      <c r="Y206" s="2">
        <f t="shared" si="68"/>
        <v>1</v>
      </c>
      <c r="Z206" t="str">
        <f t="shared" si="69"/>
        <v>SO16623</v>
      </c>
      <c r="AA206" s="11">
        <f t="shared" si="76"/>
        <v>45706.6096875</v>
      </c>
      <c r="AB206" s="5" t="str">
        <f t="shared" si="77"/>
        <v>INV12670</v>
      </c>
      <c r="AC206" s="5" t="str">
        <f>IFERROR(VLOOKUP(D206,CAARStatus!$A$2:$AA$1600,22,FALSE),"Not invoiced")</f>
        <v>Paid</v>
      </c>
      <c r="AD206" s="11">
        <f>IF(AC206="Paid",IFERROR(VLOOKUP(D206,CAARStatus!$A$2:$AA$1600,6,FALSE),"Pending"),"Pending")</f>
        <v>45708</v>
      </c>
      <c r="AE206" s="5" t="str">
        <f t="shared" si="78"/>
        <v>62435</v>
      </c>
      <c r="AF206" s="5" t="str">
        <f t="shared" si="79"/>
        <v>Harvey Bearings</v>
      </c>
      <c r="AG206" s="5" t="str">
        <f t="shared" si="80"/>
        <v>CAD</v>
      </c>
      <c r="AH206" s="5">
        <f t="shared" si="81"/>
        <v>1508.72</v>
      </c>
      <c r="AI206" s="12">
        <f>IF(L206-N206=0,VLOOKUP(U206,rate!A$4:B$15,2,FALSE)*AH206,IF(AG206="USD",O206,AH206*Y206))</f>
        <v>1059.5506767301447</v>
      </c>
      <c r="AJ206" s="13">
        <f t="shared" si="82"/>
        <v>0.70228450390406749</v>
      </c>
      <c r="AK206" s="13">
        <f>-IF(AG206="CAD",IFERROR(VLOOKUP(D206,CAARStatus!$A$1:$Y$1600,16,FALSE),0),0)</f>
        <v>-1508.72</v>
      </c>
      <c r="AL206" s="13">
        <f>-IF(AG206="USD",IFERROR(VLOOKUP(D206,CAARStatus!$A$1:$Y$1600,11,FALSE),0),0)</f>
        <v>0</v>
      </c>
      <c r="AM206" s="22">
        <f t="shared" si="83"/>
        <v>0</v>
      </c>
      <c r="AN206" s="12" t="str">
        <f t="shared" si="84"/>
        <v/>
      </c>
      <c r="AO206" s="12" t="str">
        <f t="shared" si="85"/>
        <v>Yes</v>
      </c>
      <c r="AP206" t="str">
        <f t="shared" si="70"/>
        <v>Yes</v>
      </c>
      <c r="AQ206" t="str">
        <f>IFERROR(VLOOKUP(Z206,InvBal!$L$4:$P$600,4,FALSE),"Pend")</f>
        <v>Pend</v>
      </c>
      <c r="AR206" t="str">
        <f>IFERROR(VLOOKUP(D206,Manual!$C$1:$E$22,2,FALSE),"Pend")</f>
        <v>Pend</v>
      </c>
      <c r="AS206" t="str">
        <f t="shared" si="86"/>
        <v>Yes</v>
      </c>
      <c r="AT206" t="str">
        <f t="shared" si="87"/>
        <v>Yes</v>
      </c>
      <c r="AU206" s="51" t="str">
        <f t="shared" si="88"/>
        <v>Yes</v>
      </c>
      <c r="AV206" s="12">
        <f>IFERROR(VLOOKUP(D206,'Receivable Invoice Detail'!$S$1:$U$3014,3,FALSE),0)</f>
        <v>0</v>
      </c>
      <c r="AW206" s="12">
        <f t="shared" si="89"/>
        <v>1059.5506767301447</v>
      </c>
    </row>
    <row r="207" spans="1:49" x14ac:dyDescent="0.25">
      <c r="A207" s="2">
        <v>1</v>
      </c>
      <c r="B207" s="2" t="s">
        <v>1928</v>
      </c>
      <c r="C207" s="2" t="s">
        <v>1929</v>
      </c>
      <c r="D207" s="2" t="s">
        <v>2466</v>
      </c>
      <c r="E207" s="2" t="s">
        <v>242</v>
      </c>
      <c r="F207" s="3">
        <v>45706.774375000001</v>
      </c>
      <c r="G207" s="3">
        <v>45709.620023148149</v>
      </c>
      <c r="H207" s="4">
        <v>45713</v>
      </c>
      <c r="I207" s="2" t="s">
        <v>21</v>
      </c>
      <c r="J207" s="2" t="s">
        <v>22</v>
      </c>
      <c r="K207" s="2">
        <v>1</v>
      </c>
      <c r="L207" s="2">
        <v>105</v>
      </c>
      <c r="M207" s="2">
        <v>0</v>
      </c>
      <c r="N207" s="2">
        <v>73.951217101838466</v>
      </c>
      <c r="O207" s="2">
        <v>100</v>
      </c>
      <c r="P207" s="2">
        <v>5</v>
      </c>
      <c r="Q207" s="2">
        <v>105</v>
      </c>
      <c r="R207" s="2" t="s">
        <v>44</v>
      </c>
      <c r="S207" s="2"/>
      <c r="T207" s="2">
        <f t="shared" si="71"/>
        <v>1</v>
      </c>
      <c r="U207" s="18">
        <f t="shared" si="72"/>
        <v>2</v>
      </c>
      <c r="V207" s="18">
        <f t="shared" si="73"/>
        <v>2025</v>
      </c>
      <c r="W207" s="18">
        <f t="shared" si="74"/>
        <v>4</v>
      </c>
      <c r="X207" s="18">
        <f t="shared" si="75"/>
        <v>2025</v>
      </c>
      <c r="Y207" s="2">
        <f t="shared" si="68"/>
        <v>0.70429730573179494</v>
      </c>
      <c r="Z207" t="str">
        <f t="shared" si="69"/>
        <v>SO16626</v>
      </c>
      <c r="AA207" s="11">
        <f t="shared" si="76"/>
        <v>45706.774375000001</v>
      </c>
      <c r="AB207" s="5" t="str">
        <f t="shared" si="77"/>
        <v>INV12659</v>
      </c>
      <c r="AC207" s="5" t="str">
        <f>IFERROR(VLOOKUP(D207,CAARStatus!$A$2:$AA$1600,22,FALSE),"Not invoiced")</f>
        <v>Paid</v>
      </c>
      <c r="AD207" s="11">
        <f>IF(AC207="Paid",IFERROR(VLOOKUP(D207,CAARStatus!$A$2:$AA$1600,6,FALSE),"Pending"),"Pending")</f>
        <v>45749</v>
      </c>
      <c r="AE207" s="5" t="str">
        <f t="shared" si="78"/>
        <v>2100515134</v>
      </c>
      <c r="AF207" s="5" t="str">
        <f t="shared" si="79"/>
        <v>Wajax Limited - Noranda</v>
      </c>
      <c r="AG207" s="5" t="str">
        <f t="shared" si="80"/>
        <v>CAD</v>
      </c>
      <c r="AH207" s="5">
        <f t="shared" si="81"/>
        <v>100</v>
      </c>
      <c r="AI207" s="12">
        <f>IF(L207-N207=0,VLOOKUP(U207,rate!A$4:B$15,2,FALSE)*AH207,IF(AG207="USD",O207,AH207*Y207))</f>
        <v>70.429730573179498</v>
      </c>
      <c r="AJ207" s="13">
        <f t="shared" si="82"/>
        <v>0.70429730573179494</v>
      </c>
      <c r="AK207" s="13">
        <f>-IF(AG207="CAD",IFERROR(VLOOKUP(D207,CAARStatus!$A$1:$Y$1600,16,FALSE),0),0)</f>
        <v>-100</v>
      </c>
      <c r="AL207" s="13">
        <f>-IF(AG207="USD",IFERROR(VLOOKUP(D207,CAARStatus!$A$1:$Y$1600,11,FALSE),0),0)</f>
        <v>0</v>
      </c>
      <c r="AM207" s="22">
        <f t="shared" si="83"/>
        <v>0</v>
      </c>
      <c r="AN207" s="12" t="str">
        <f t="shared" si="84"/>
        <v/>
      </c>
      <c r="AO207" s="12" t="str">
        <f t="shared" si="85"/>
        <v>Yes</v>
      </c>
      <c r="AP207" t="str">
        <f t="shared" si="70"/>
        <v>Yes</v>
      </c>
      <c r="AQ207" t="str">
        <f>IFERROR(VLOOKUP(Z207,InvBal!$L$4:$P$600,4,FALSE),"Pend")</f>
        <v>Pend</v>
      </c>
      <c r="AR207" t="str">
        <f>IFERROR(VLOOKUP(D207,Manual!$C$1:$E$22,2,FALSE),"Pend")</f>
        <v>Pend</v>
      </c>
      <c r="AS207" t="str">
        <f t="shared" si="86"/>
        <v>Yes</v>
      </c>
      <c r="AT207" t="str">
        <f t="shared" si="87"/>
        <v>Yes</v>
      </c>
      <c r="AU207" s="51" t="str">
        <f t="shared" si="88"/>
        <v>Yes</v>
      </c>
      <c r="AV207" s="12">
        <f>IFERROR(VLOOKUP(D207,'Receivable Invoice Detail'!$S$1:$U$3014,3,FALSE),0)</f>
        <v>0</v>
      </c>
      <c r="AW207" s="12">
        <f t="shared" si="89"/>
        <v>70.429730573179498</v>
      </c>
    </row>
    <row r="208" spans="1:49" x14ac:dyDescent="0.25">
      <c r="A208" s="2">
        <v>2</v>
      </c>
      <c r="B208" s="2" t="s">
        <v>1944</v>
      </c>
      <c r="C208" s="2" t="s">
        <v>1945</v>
      </c>
      <c r="D208" s="2" t="s">
        <v>2458</v>
      </c>
      <c r="E208" s="2" t="s">
        <v>556</v>
      </c>
      <c r="F208" s="3">
        <v>45706.824652777781</v>
      </c>
      <c r="G208" s="3">
        <v>45707.429363425923</v>
      </c>
      <c r="H208" s="4">
        <v>45709</v>
      </c>
      <c r="I208" s="2" t="s">
        <v>1132</v>
      </c>
      <c r="J208" s="2" t="s">
        <v>22</v>
      </c>
      <c r="K208" s="2">
        <v>1</v>
      </c>
      <c r="L208" s="2">
        <v>523.99</v>
      </c>
      <c r="M208" s="2">
        <v>0</v>
      </c>
      <c r="N208" s="2">
        <v>368.03838157092048</v>
      </c>
      <c r="O208" s="2">
        <v>463.71</v>
      </c>
      <c r="P208" s="2">
        <v>60.28</v>
      </c>
      <c r="Q208" s="2">
        <v>523.99</v>
      </c>
      <c r="R208" s="2" t="s">
        <v>44</v>
      </c>
      <c r="S208" s="2"/>
      <c r="T208" s="2">
        <f t="shared" si="71"/>
        <v>2</v>
      </c>
      <c r="U208" s="18">
        <f t="shared" si="72"/>
        <v>2</v>
      </c>
      <c r="V208" s="18">
        <f t="shared" si="73"/>
        <v>2025</v>
      </c>
      <c r="W208" s="18">
        <f t="shared" si="74"/>
        <v>4</v>
      </c>
      <c r="X208" s="18">
        <f t="shared" si="75"/>
        <v>2025</v>
      </c>
      <c r="Y208" s="2">
        <f t="shared" si="68"/>
        <v>0.70237672774465254</v>
      </c>
      <c r="Z208" t="str">
        <f t="shared" si="69"/>
        <v>SO16628</v>
      </c>
      <c r="AA208" s="11">
        <f t="shared" si="76"/>
        <v>45706.824652777781</v>
      </c>
      <c r="AB208" s="5" t="str">
        <f t="shared" si="77"/>
        <v>INV12668</v>
      </c>
      <c r="AC208" s="5" t="str">
        <f>IFERROR(VLOOKUP(D208,CAARStatus!$A$2:$AA$1600,22,FALSE),"Not invoiced")</f>
        <v>Paid</v>
      </c>
      <c r="AD208" s="11">
        <f>IF(AC208="Paid",IFERROR(VLOOKUP(D208,CAARStatus!$A$2:$AA$1600,6,FALSE),"Pending"),"Pending")</f>
        <v>45751</v>
      </c>
      <c r="AE208" s="5" t="str">
        <f t="shared" si="78"/>
        <v>185323</v>
      </c>
      <c r="AF208" s="5" t="str">
        <f t="shared" si="79"/>
        <v>Fabrene Inc.</v>
      </c>
      <c r="AG208" s="5" t="str">
        <f t="shared" si="80"/>
        <v>CAD</v>
      </c>
      <c r="AH208" s="5">
        <f t="shared" si="81"/>
        <v>463.71</v>
      </c>
      <c r="AI208" s="12">
        <f>IF(L208-N208=0,VLOOKUP(U208,rate!A$4:B$15,2,FALSE)*AH208,IF(AG208="USD",O208,AH208*Y208))</f>
        <v>325.69911242247281</v>
      </c>
      <c r="AJ208" s="13">
        <f t="shared" si="82"/>
        <v>0.70237672774465254</v>
      </c>
      <c r="AK208" s="13">
        <f>-IF(AG208="CAD",IFERROR(VLOOKUP(D208,CAARStatus!$A$1:$Y$1600,16,FALSE),0),0)</f>
        <v>-444.46</v>
      </c>
      <c r="AL208" s="13">
        <f>-IF(AG208="USD",IFERROR(VLOOKUP(D208,CAARStatus!$A$1:$Y$1600,11,FALSE),0),0)</f>
        <v>0</v>
      </c>
      <c r="AM208" s="22">
        <f t="shared" si="83"/>
        <v>19.25</v>
      </c>
      <c r="AN208" s="12" t="str">
        <f t="shared" si="84"/>
        <v/>
      </c>
      <c r="AO208" s="12" t="str">
        <f t="shared" si="85"/>
        <v>Yes</v>
      </c>
      <c r="AP208" t="str">
        <f t="shared" si="70"/>
        <v>XX</v>
      </c>
      <c r="AQ208" t="str">
        <f>IFERROR(VLOOKUP(Z208,InvBal!$L$4:$P$600,4,FALSE),"Pend")</f>
        <v>Yes</v>
      </c>
      <c r="AR208" t="str">
        <f>IFERROR(VLOOKUP(D208,Manual!$C$1:$E$22,2,FALSE),"Pend")</f>
        <v>Pend</v>
      </c>
      <c r="AS208" t="str">
        <f t="shared" si="86"/>
        <v>Yes</v>
      </c>
      <c r="AT208" t="str">
        <f t="shared" si="87"/>
        <v>Yes</v>
      </c>
      <c r="AU208" s="51" t="str">
        <f t="shared" si="88"/>
        <v>Yes</v>
      </c>
      <c r="AV208" s="12">
        <f>IFERROR(VLOOKUP(D208,'Receivable Invoice Detail'!$S$1:$U$3014,3,FALSE),0)</f>
        <v>0</v>
      </c>
      <c r="AW208" s="12">
        <f t="shared" si="89"/>
        <v>325.69911242247281</v>
      </c>
    </row>
    <row r="209" spans="1:49" x14ac:dyDescent="0.25">
      <c r="A209" s="2"/>
      <c r="B209" s="2"/>
      <c r="C209" s="2"/>
      <c r="D209" s="2" t="s">
        <v>2457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>
        <f t="shared" si="71"/>
        <v>2</v>
      </c>
      <c r="U209" s="18">
        <f t="shared" si="72"/>
        <v>2</v>
      </c>
      <c r="V209" s="18">
        <f t="shared" si="73"/>
        <v>2025</v>
      </c>
      <c r="W209" s="18">
        <f t="shared" si="74"/>
        <v>4</v>
      </c>
      <c r="X209" s="18">
        <f t="shared" si="75"/>
        <v>2025</v>
      </c>
      <c r="Y209" s="2">
        <f t="shared" si="68"/>
        <v>0.70237672774465254</v>
      </c>
      <c r="Z209" t="str">
        <f t="shared" si="69"/>
        <v>SO16628</v>
      </c>
      <c r="AA209" s="11">
        <f t="shared" si="76"/>
        <v>45706.824652777781</v>
      </c>
      <c r="AB209" s="5" t="str">
        <f t="shared" si="77"/>
        <v>INV12724</v>
      </c>
      <c r="AC209" s="5" t="str">
        <f>IFERROR(VLOOKUP(D209,CAARStatus!$A$2:$AA$1600,22,FALSE),"Not invoiced")</f>
        <v>Paid</v>
      </c>
      <c r="AD209" s="11">
        <f>IF(AC209="Paid",IFERROR(VLOOKUP(D209,CAARStatus!$A$2:$AA$1600,6,FALSE),"Pending"),"Pending")</f>
        <v>45770</v>
      </c>
      <c r="AE209" s="5" t="str">
        <f t="shared" si="78"/>
        <v>185323</v>
      </c>
      <c r="AF209" s="5" t="str">
        <f t="shared" si="79"/>
        <v>Fabrene Inc.</v>
      </c>
      <c r="AG209" s="5" t="str">
        <f t="shared" si="80"/>
        <v>CAD</v>
      </c>
      <c r="AH209" s="5">
        <f t="shared" si="81"/>
        <v>0</v>
      </c>
      <c r="AI209" s="12">
        <f>IF(L209-N209=0,VLOOKUP(U209,rate!A$4:B$15,2,FALSE)*AH209,IF(AG209="USD",O209,AH209*Y209))</f>
        <v>0</v>
      </c>
      <c r="AJ209" s="13">
        <f t="shared" si="82"/>
        <v>0</v>
      </c>
      <c r="AK209" s="13">
        <f>-IF(AG209="CAD",IFERROR(VLOOKUP(D209,CAARStatus!$A$1:$Y$1600,16,FALSE),0),0)</f>
        <v>-19.25</v>
      </c>
      <c r="AL209" s="13">
        <f>-IF(AG209="USD",IFERROR(VLOOKUP(D209,CAARStatus!$A$1:$Y$1600,11,FALSE),0),0)</f>
        <v>0</v>
      </c>
      <c r="AM209" s="22">
        <f t="shared" si="83"/>
        <v>-19.25</v>
      </c>
      <c r="AN209" s="12" t="str">
        <f t="shared" si="84"/>
        <v/>
      </c>
      <c r="AO209" s="12" t="str">
        <f t="shared" si="85"/>
        <v>Yes</v>
      </c>
      <c r="AP209" t="str">
        <f t="shared" si="70"/>
        <v>XX</v>
      </c>
      <c r="AQ209" t="str">
        <f>IFERROR(VLOOKUP(Z209,InvBal!$L$4:$P$600,4,FALSE),"Pend")</f>
        <v>Yes</v>
      </c>
      <c r="AR209" t="str">
        <f>IFERROR(VLOOKUP(D209,Manual!$C$1:$E$22,2,FALSE),"Pend")</f>
        <v>Pend</v>
      </c>
      <c r="AS209" t="str">
        <f t="shared" si="86"/>
        <v>Yes</v>
      </c>
      <c r="AT209" t="str">
        <f t="shared" si="87"/>
        <v/>
      </c>
      <c r="AU209" s="51" t="str">
        <f t="shared" si="88"/>
        <v/>
      </c>
      <c r="AV209" s="12">
        <f>IFERROR(VLOOKUP(D209,'Receivable Invoice Detail'!$S$1:$U$3014,3,FALSE),0)</f>
        <v>0</v>
      </c>
      <c r="AW209" s="12">
        <f t="shared" si="89"/>
        <v>0</v>
      </c>
    </row>
    <row r="210" spans="1:49" ht="30" x14ac:dyDescent="0.25">
      <c r="A210" s="2">
        <v>2</v>
      </c>
      <c r="B210" s="2" t="s">
        <v>1946</v>
      </c>
      <c r="C210" s="2" t="s">
        <v>1947</v>
      </c>
      <c r="D210" s="2" t="s">
        <v>2456</v>
      </c>
      <c r="E210" s="2" t="s">
        <v>39</v>
      </c>
      <c r="F210" s="3">
        <v>45706.838935185187</v>
      </c>
      <c r="G210" s="3">
        <v>45706.838935185187</v>
      </c>
      <c r="H210" s="4">
        <v>45814</v>
      </c>
      <c r="I210" s="2" t="s">
        <v>21</v>
      </c>
      <c r="J210" s="2" t="s">
        <v>22</v>
      </c>
      <c r="K210" s="2">
        <v>1</v>
      </c>
      <c r="L210" s="2">
        <v>329.35</v>
      </c>
      <c r="M210" s="2">
        <v>0</v>
      </c>
      <c r="N210" s="2">
        <v>231.32777528270131</v>
      </c>
      <c r="O210" s="2">
        <v>313.66000000000003</v>
      </c>
      <c r="P210" s="2">
        <v>15.69</v>
      </c>
      <c r="Q210" s="2">
        <v>329.35</v>
      </c>
      <c r="R210" s="2" t="s">
        <v>44</v>
      </c>
      <c r="S210" s="2"/>
      <c r="T210" s="2">
        <f t="shared" si="71"/>
        <v>2</v>
      </c>
      <c r="U210" s="18">
        <f t="shared" si="72"/>
        <v>2</v>
      </c>
      <c r="V210" s="18">
        <f t="shared" si="73"/>
        <v>2025</v>
      </c>
      <c r="W210" s="18">
        <f t="shared" si="74"/>
        <v>6</v>
      </c>
      <c r="X210" s="18">
        <f t="shared" si="75"/>
        <v>2025</v>
      </c>
      <c r="Y210" s="2">
        <f t="shared" si="68"/>
        <v>0.70237672774465243</v>
      </c>
      <c r="Z210" t="str">
        <f t="shared" si="69"/>
        <v>SO16630</v>
      </c>
      <c r="AA210" s="11">
        <f t="shared" si="76"/>
        <v>45706.838935185187</v>
      </c>
      <c r="AB210" s="5" t="str">
        <f t="shared" si="77"/>
        <v>INV12952</v>
      </c>
      <c r="AC210" s="5" t="str">
        <f>IFERROR(VLOOKUP(D210,CAARStatus!$A$2:$AA$1600,22,FALSE),"Not invoiced")</f>
        <v>Paid</v>
      </c>
      <c r="AD210" s="11">
        <f>IF(AC210="Paid",IFERROR(VLOOKUP(D210,CAARStatus!$A$2:$AA$1600,6,FALSE),"Pending"),"Pending")</f>
        <v>45814</v>
      </c>
      <c r="AE210" s="5" t="str">
        <f t="shared" si="78"/>
        <v>BC65-00079605</v>
      </c>
      <c r="AF210" s="5" t="str">
        <f t="shared" si="79"/>
        <v>Motion Industries Inc. (Canada) - Prince George</v>
      </c>
      <c r="AG210" s="5" t="str">
        <f t="shared" si="80"/>
        <v>CAD</v>
      </c>
      <c r="AH210" s="5">
        <f t="shared" si="81"/>
        <v>313.66000000000003</v>
      </c>
      <c r="AI210" s="12">
        <f>IF(L210-N210=0,VLOOKUP(U210,rate!A$4:B$15,2,FALSE)*AH210,IF(AG210="USD",O210,AH210*Y210))</f>
        <v>220.3074844243877</v>
      </c>
      <c r="AJ210" s="13">
        <f t="shared" si="82"/>
        <v>0.70237672774465243</v>
      </c>
      <c r="AK210" s="13">
        <f>-IF(AG210="CAD",IFERROR(VLOOKUP(D210,CAARStatus!$A$1:$Y$1600,16,FALSE),0),0)</f>
        <v>-22.78</v>
      </c>
      <c r="AL210" s="13">
        <f>-IF(AG210="USD",IFERROR(VLOOKUP(D210,CAARStatus!$A$1:$Y$1600,11,FALSE),0),0)</f>
        <v>0</v>
      </c>
      <c r="AM210" s="22">
        <f t="shared" si="83"/>
        <v>290.88</v>
      </c>
      <c r="AN210" s="12" t="str">
        <f t="shared" si="84"/>
        <v/>
      </c>
      <c r="AO210" s="12" t="str">
        <f t="shared" si="85"/>
        <v>Yes</v>
      </c>
      <c r="AP210" t="str">
        <f t="shared" si="70"/>
        <v>XX</v>
      </c>
      <c r="AQ210" t="str">
        <f>IFERROR(VLOOKUP(Z210,InvBal!$L$4:$P$600,4,FALSE),"Pend")</f>
        <v>Yes</v>
      </c>
      <c r="AR210" t="str">
        <f>IFERROR(VLOOKUP(D210,Manual!$C$1:$E$22,2,FALSE),"Pend")</f>
        <v>Pend</v>
      </c>
      <c r="AS210" t="str">
        <f t="shared" si="86"/>
        <v>Yes</v>
      </c>
      <c r="AT210" t="str">
        <f t="shared" si="87"/>
        <v>Yes</v>
      </c>
      <c r="AU210" s="51" t="str">
        <f t="shared" si="88"/>
        <v>Yes</v>
      </c>
      <c r="AV210" s="12">
        <f>IFERROR(VLOOKUP(D210,'Receivable Invoice Detail'!$S$1:$U$3014,3,FALSE),0)</f>
        <v>0</v>
      </c>
      <c r="AW210" s="12">
        <f t="shared" si="89"/>
        <v>220.3074844243877</v>
      </c>
    </row>
    <row r="211" spans="1:49" x14ac:dyDescent="0.25">
      <c r="A211" s="2"/>
      <c r="B211" s="2"/>
      <c r="C211" s="2"/>
      <c r="D211" s="2" t="s">
        <v>2455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>
        <f t="shared" si="71"/>
        <v>2</v>
      </c>
      <c r="U211" s="18">
        <f t="shared" si="72"/>
        <v>2</v>
      </c>
      <c r="V211" s="18">
        <f t="shared" si="73"/>
        <v>2025</v>
      </c>
      <c r="W211" s="18">
        <f t="shared" si="74"/>
        <v>3</v>
      </c>
      <c r="X211" s="18">
        <f t="shared" si="75"/>
        <v>2025</v>
      </c>
      <c r="Y211" s="2">
        <f t="shared" si="68"/>
        <v>0.70237672774465243</v>
      </c>
      <c r="Z211" t="str">
        <f t="shared" si="69"/>
        <v>SO16630</v>
      </c>
      <c r="AA211" s="11">
        <f t="shared" si="76"/>
        <v>45706.838935185187</v>
      </c>
      <c r="AB211" s="5" t="str">
        <f t="shared" si="77"/>
        <v>INV12671</v>
      </c>
      <c r="AC211" s="5" t="str">
        <f>IFERROR(VLOOKUP(D211,CAARStatus!$A$2:$AA$1600,22,FALSE),"Not invoiced")</f>
        <v>Paid</v>
      </c>
      <c r="AD211" s="11">
        <f>IF(AC211="Paid",IFERROR(VLOOKUP(D211,CAARStatus!$A$2:$AA$1600,6,FALSE),"Pending"),"Pending")</f>
        <v>45743</v>
      </c>
      <c r="AE211" s="5" t="str">
        <f t="shared" si="78"/>
        <v>BC65-00079605</v>
      </c>
      <c r="AF211" s="5" t="str">
        <f t="shared" si="79"/>
        <v>Motion Industries Inc. (Canada) - Prince George</v>
      </c>
      <c r="AG211" s="5" t="str">
        <f t="shared" si="80"/>
        <v>CAD</v>
      </c>
      <c r="AH211" s="5">
        <f t="shared" si="81"/>
        <v>0</v>
      </c>
      <c r="AI211" s="12">
        <f>IF(L211-N211=0,VLOOKUP(U211,rate!A$4:B$15,2,FALSE)*AH211,IF(AG211="USD",O211,AH211*Y211))</f>
        <v>0</v>
      </c>
      <c r="AJ211" s="13">
        <f t="shared" si="82"/>
        <v>0</v>
      </c>
      <c r="AK211" s="13">
        <f>-IF(AG211="CAD",IFERROR(VLOOKUP(D211,CAARStatus!$A$1:$Y$1600,16,FALSE),0),0)</f>
        <v>-290.88</v>
      </c>
      <c r="AL211" s="13">
        <f>-IF(AG211="USD",IFERROR(VLOOKUP(D211,CAARStatus!$A$1:$Y$1600,11,FALSE),0),0)</f>
        <v>0</v>
      </c>
      <c r="AM211" s="22">
        <f t="shared" si="83"/>
        <v>-290.88</v>
      </c>
      <c r="AN211" s="12" t="str">
        <f t="shared" si="84"/>
        <v/>
      </c>
      <c r="AO211" s="12" t="str">
        <f t="shared" si="85"/>
        <v>Yes</v>
      </c>
      <c r="AP211" t="str">
        <f t="shared" si="70"/>
        <v>XX</v>
      </c>
      <c r="AQ211" t="str">
        <f>IFERROR(VLOOKUP(Z211,InvBal!$L$4:$P$600,4,FALSE),"Pend")</f>
        <v>Yes</v>
      </c>
      <c r="AR211" t="str">
        <f>IFERROR(VLOOKUP(D211,Manual!$C$1:$E$22,2,FALSE),"Pend")</f>
        <v>Pend</v>
      </c>
      <c r="AS211" t="str">
        <f t="shared" si="86"/>
        <v>Yes</v>
      </c>
      <c r="AT211" t="str">
        <f t="shared" si="87"/>
        <v/>
      </c>
      <c r="AU211" s="51" t="str">
        <f t="shared" si="88"/>
        <v/>
      </c>
      <c r="AV211" s="12">
        <f>IFERROR(VLOOKUP(D211,'Receivable Invoice Detail'!$S$1:$U$3014,3,FALSE),0)</f>
        <v>0</v>
      </c>
      <c r="AW211" s="12">
        <f t="shared" si="89"/>
        <v>0</v>
      </c>
    </row>
    <row r="212" spans="1:49" x14ac:dyDescent="0.25">
      <c r="A212" s="2">
        <v>1</v>
      </c>
      <c r="B212" s="2" t="s">
        <v>1936</v>
      </c>
      <c r="C212" s="2" t="s">
        <v>1937</v>
      </c>
      <c r="D212" s="2" t="s">
        <v>2462</v>
      </c>
      <c r="E212" s="2" t="s">
        <v>556</v>
      </c>
      <c r="F212" s="3">
        <v>45708.379004629627</v>
      </c>
      <c r="G212" s="3">
        <v>45708.441678240742</v>
      </c>
      <c r="H212" s="4">
        <v>45709</v>
      </c>
      <c r="I212" s="2" t="s">
        <v>21</v>
      </c>
      <c r="J212" s="2" t="s">
        <v>22</v>
      </c>
      <c r="K212" s="2">
        <v>1</v>
      </c>
      <c r="L212" s="2">
        <v>945.5</v>
      </c>
      <c r="M212" s="2">
        <v>0</v>
      </c>
      <c r="N212" s="2">
        <v>666.08853700882491</v>
      </c>
      <c r="O212" s="2">
        <v>836.73</v>
      </c>
      <c r="P212" s="2">
        <v>108.77</v>
      </c>
      <c r="Q212" s="2">
        <v>945.5</v>
      </c>
      <c r="R212" s="2" t="s">
        <v>44</v>
      </c>
      <c r="S212" s="2"/>
      <c r="T212" s="2">
        <f t="shared" si="71"/>
        <v>1</v>
      </c>
      <c r="U212" s="18">
        <f t="shared" si="72"/>
        <v>2</v>
      </c>
      <c r="V212" s="18">
        <f t="shared" si="73"/>
        <v>2025</v>
      </c>
      <c r="W212" s="18">
        <f t="shared" si="74"/>
        <v>4</v>
      </c>
      <c r="X212" s="18">
        <f t="shared" si="75"/>
        <v>2025</v>
      </c>
      <c r="Y212" s="2">
        <f t="shared" si="68"/>
        <v>0.70448285246834996</v>
      </c>
      <c r="Z212" t="str">
        <f t="shared" si="69"/>
        <v>SO16636</v>
      </c>
      <c r="AA212" s="11">
        <f t="shared" si="76"/>
        <v>45708.379004629627</v>
      </c>
      <c r="AB212" s="5" t="str">
        <f t="shared" si="77"/>
        <v>INV12651</v>
      </c>
      <c r="AC212" s="5" t="str">
        <f>IFERROR(VLOOKUP(D212,CAARStatus!$A$2:$AA$1600,22,FALSE),"Not invoiced")</f>
        <v>Paid</v>
      </c>
      <c r="AD212" s="11">
        <f>IF(AC212="Paid",IFERROR(VLOOKUP(D212,CAARStatus!$A$2:$AA$1600,6,FALSE),"Pending"),"Pending")</f>
        <v>45751</v>
      </c>
      <c r="AE212" s="5" t="str">
        <f t="shared" si="78"/>
        <v>185393</v>
      </c>
      <c r="AF212" s="5" t="str">
        <f t="shared" si="79"/>
        <v>Fabrene Inc.</v>
      </c>
      <c r="AG212" s="5" t="str">
        <f t="shared" si="80"/>
        <v>CAD</v>
      </c>
      <c r="AH212" s="5">
        <f t="shared" si="81"/>
        <v>836.73</v>
      </c>
      <c r="AI212" s="12">
        <f>IF(L212-N212=0,VLOOKUP(U212,rate!A$4:B$15,2,FALSE)*AH212,IF(AG212="USD",O212,AH212*Y212))</f>
        <v>589.46193714584251</v>
      </c>
      <c r="AJ212" s="13">
        <f t="shared" si="82"/>
        <v>0.70448285246834996</v>
      </c>
      <c r="AK212" s="13">
        <f>-IF(AG212="CAD",IFERROR(VLOOKUP(D212,CAARStatus!$A$1:$Y$1600,16,FALSE),0),0)</f>
        <v>-836.73</v>
      </c>
      <c r="AL212" s="13">
        <f>-IF(AG212="USD",IFERROR(VLOOKUP(D212,CAARStatus!$A$1:$Y$1600,11,FALSE),0),0)</f>
        <v>0</v>
      </c>
      <c r="AM212" s="22">
        <f t="shared" si="83"/>
        <v>0</v>
      </c>
      <c r="AN212" s="12" t="str">
        <f t="shared" si="84"/>
        <v/>
      </c>
      <c r="AO212" s="12" t="str">
        <f t="shared" si="85"/>
        <v>Yes</v>
      </c>
      <c r="AP212" t="str">
        <f t="shared" si="70"/>
        <v>Yes</v>
      </c>
      <c r="AQ212" t="str">
        <f>IFERROR(VLOOKUP(Z212,InvBal!$L$4:$P$600,4,FALSE),"Pend")</f>
        <v>Pend</v>
      </c>
      <c r="AR212" t="str">
        <f>IFERROR(VLOOKUP(D212,Manual!$C$1:$E$22,2,FALSE),"Pend")</f>
        <v>Pend</v>
      </c>
      <c r="AS212" t="str">
        <f t="shared" si="86"/>
        <v>Yes</v>
      </c>
      <c r="AT212" t="str">
        <f t="shared" si="87"/>
        <v>Yes</v>
      </c>
      <c r="AU212" s="51" t="str">
        <f t="shared" si="88"/>
        <v>Yes</v>
      </c>
      <c r="AV212" s="12">
        <f>IFERROR(VLOOKUP(D212,'Receivable Invoice Detail'!$S$1:$U$3014,3,FALSE),0)</f>
        <v>0</v>
      </c>
      <c r="AW212" s="12">
        <f t="shared" si="89"/>
        <v>589.46193714584251</v>
      </c>
    </row>
    <row r="213" spans="1:49" ht="30" x14ac:dyDescent="0.25">
      <c r="A213" s="2">
        <v>1</v>
      </c>
      <c r="B213" s="2" t="s">
        <v>1865</v>
      </c>
      <c r="C213" s="2" t="s">
        <v>1866</v>
      </c>
      <c r="D213" s="2" t="s">
        <v>2498</v>
      </c>
      <c r="E213" s="2" t="s">
        <v>20</v>
      </c>
      <c r="F213" s="3">
        <v>45708.397824074083</v>
      </c>
      <c r="G213" s="3">
        <v>45716.657442129632</v>
      </c>
      <c r="H213" s="4">
        <v>45720</v>
      </c>
      <c r="I213" s="2" t="s">
        <v>21</v>
      </c>
      <c r="J213" s="2" t="s">
        <v>22</v>
      </c>
      <c r="K213" s="2">
        <v>1</v>
      </c>
      <c r="L213" s="2">
        <v>345.32</v>
      </c>
      <c r="M213" s="2">
        <v>0</v>
      </c>
      <c r="N213" s="2">
        <v>239.23970820386629</v>
      </c>
      <c r="O213" s="2">
        <v>328.88</v>
      </c>
      <c r="P213" s="2">
        <v>16.440000000000001</v>
      </c>
      <c r="Q213" s="2">
        <v>345.32</v>
      </c>
      <c r="R213" s="2" t="s">
        <v>44</v>
      </c>
      <c r="S213" s="2"/>
      <c r="T213" s="2">
        <f t="shared" si="71"/>
        <v>1</v>
      </c>
      <c r="U213" s="18">
        <f t="shared" si="72"/>
        <v>2</v>
      </c>
      <c r="V213" s="18">
        <f t="shared" si="73"/>
        <v>2025</v>
      </c>
      <c r="W213" s="18">
        <f t="shared" si="74"/>
        <v>5</v>
      </c>
      <c r="X213" s="18">
        <f t="shared" si="75"/>
        <v>2025</v>
      </c>
      <c r="Y213" s="2">
        <f t="shared" si="68"/>
        <v>0.69280582707015603</v>
      </c>
      <c r="Z213" t="str">
        <f t="shared" si="69"/>
        <v>SO16637</v>
      </c>
      <c r="AA213" s="11">
        <f t="shared" si="76"/>
        <v>45708.397824074083</v>
      </c>
      <c r="AB213" s="5" t="str">
        <f t="shared" si="77"/>
        <v>INV12694</v>
      </c>
      <c r="AC213" s="5" t="str">
        <f>IFERROR(VLOOKUP(D213,CAARStatus!$A$2:$AA$1600,22,FALSE),"Not invoiced")</f>
        <v>Paid</v>
      </c>
      <c r="AD213" s="11">
        <f>IF(AC213="Paid",IFERROR(VLOOKUP(D213,CAARStatus!$A$2:$AA$1600,6,FALSE),"Pending"),"Pending")</f>
        <v>45779</v>
      </c>
      <c r="AE213" s="5" t="str">
        <f t="shared" si="78"/>
        <v>4500582497</v>
      </c>
      <c r="AF213" s="5" t="str">
        <f t="shared" si="79"/>
        <v>Resolute Forest Products - Saint-Felicien</v>
      </c>
      <c r="AG213" s="5" t="str">
        <f t="shared" si="80"/>
        <v>CAD</v>
      </c>
      <c r="AH213" s="5">
        <f t="shared" si="81"/>
        <v>328.88</v>
      </c>
      <c r="AI213" s="12">
        <f>IF(L213-N213=0,VLOOKUP(U213,rate!A$4:B$15,2,FALSE)*AH213,IF(AG213="USD",O213,AH213*Y213))</f>
        <v>227.84998040683291</v>
      </c>
      <c r="AJ213" s="13">
        <f t="shared" si="82"/>
        <v>0.69280582707015603</v>
      </c>
      <c r="AK213" s="13">
        <f>-IF(AG213="CAD",IFERROR(VLOOKUP(D213,CAARStatus!$A$1:$Y$1600,16,FALSE),0),0)</f>
        <v>-328.88</v>
      </c>
      <c r="AL213" s="13">
        <f>-IF(AG213="USD",IFERROR(VLOOKUP(D213,CAARStatus!$A$1:$Y$1600,11,FALSE),0),0)</f>
        <v>0</v>
      </c>
      <c r="AM213" s="22">
        <f t="shared" si="83"/>
        <v>0</v>
      </c>
      <c r="AN213" s="12" t="str">
        <f t="shared" si="84"/>
        <v/>
      </c>
      <c r="AO213" s="12" t="str">
        <f t="shared" si="85"/>
        <v>Yes</v>
      </c>
      <c r="AP213" t="str">
        <f t="shared" si="70"/>
        <v>Yes</v>
      </c>
      <c r="AQ213" t="str">
        <f>IFERROR(VLOOKUP(Z213,InvBal!$L$4:$P$600,4,FALSE),"Pend")</f>
        <v>Pend</v>
      </c>
      <c r="AR213" t="str">
        <f>IFERROR(VLOOKUP(D213,Manual!$C$1:$E$22,2,FALSE),"Pend")</f>
        <v>Pend</v>
      </c>
      <c r="AS213" t="str">
        <f t="shared" si="86"/>
        <v>Yes</v>
      </c>
      <c r="AT213" t="str">
        <f t="shared" si="87"/>
        <v>Yes</v>
      </c>
      <c r="AU213" s="51" t="str">
        <f t="shared" si="88"/>
        <v>Yes</v>
      </c>
      <c r="AV213" s="12">
        <f>IFERROR(VLOOKUP(D213,'Receivable Invoice Detail'!$S$1:$U$3014,3,FALSE),0)</f>
        <v>0</v>
      </c>
      <c r="AW213" s="12">
        <f t="shared" si="89"/>
        <v>227.84998040683291</v>
      </c>
    </row>
    <row r="214" spans="1:49" x14ac:dyDescent="0.25">
      <c r="A214" s="2">
        <v>1</v>
      </c>
      <c r="B214" s="2" t="s">
        <v>1934</v>
      </c>
      <c r="C214" s="2" t="s">
        <v>1935</v>
      </c>
      <c r="D214" s="2" t="s">
        <v>2463</v>
      </c>
      <c r="E214" s="2" t="s">
        <v>644</v>
      </c>
      <c r="F214" s="3">
        <v>45708.478194444448</v>
      </c>
      <c r="G214" s="3">
        <v>45708.479664351849</v>
      </c>
      <c r="H214" s="4">
        <v>45761</v>
      </c>
      <c r="I214" s="2" t="s">
        <v>21</v>
      </c>
      <c r="J214" s="2" t="s">
        <v>51</v>
      </c>
      <c r="K214" s="2">
        <v>0.70237672774465254</v>
      </c>
      <c r="L214" s="2">
        <v>5120.1867287770201</v>
      </c>
      <c r="M214" s="2">
        <v>0</v>
      </c>
      <c r="N214" s="2">
        <v>3596.3</v>
      </c>
      <c r="O214" s="2">
        <v>3596.3</v>
      </c>
      <c r="P214" s="2"/>
      <c r="Q214" s="2">
        <v>3596.3</v>
      </c>
      <c r="R214" s="2" t="s">
        <v>44</v>
      </c>
      <c r="S214" s="2"/>
      <c r="T214" s="2">
        <f t="shared" si="71"/>
        <v>1</v>
      </c>
      <c r="U214" s="18">
        <f t="shared" si="72"/>
        <v>2</v>
      </c>
      <c r="V214" s="18">
        <f t="shared" si="73"/>
        <v>2025</v>
      </c>
      <c r="W214" s="18">
        <f t="shared" si="74"/>
        <v>5</v>
      </c>
      <c r="X214" s="18">
        <f t="shared" si="75"/>
        <v>2025</v>
      </c>
      <c r="Y214" s="2">
        <f t="shared" si="68"/>
        <v>0.70237672774465254</v>
      </c>
      <c r="Z214" t="str">
        <f t="shared" si="69"/>
        <v>SO16640</v>
      </c>
      <c r="AA214" s="11">
        <f t="shared" si="76"/>
        <v>45708.478194444448</v>
      </c>
      <c r="AB214" s="5" t="str">
        <f t="shared" si="77"/>
        <v>INV12831</v>
      </c>
      <c r="AC214" s="5" t="str">
        <f>IFERROR(VLOOKUP(D214,CAARStatus!$A$2:$AA$1600,22,FALSE),"Not invoiced")</f>
        <v>Paid</v>
      </c>
      <c r="AD214" s="11">
        <f>IF(AC214="Paid",IFERROR(VLOOKUP(D214,CAARStatus!$A$2:$AA$1600,6,FALSE),"Pending"),"Pending")</f>
        <v>45792</v>
      </c>
      <c r="AE214" s="5" t="str">
        <f t="shared" si="78"/>
        <v>P-22025</v>
      </c>
      <c r="AF214" s="5" t="str">
        <f t="shared" si="79"/>
        <v>Cartledge &amp; Associates Inc.</v>
      </c>
      <c r="AG214" s="5" t="str">
        <f t="shared" si="80"/>
        <v>USD</v>
      </c>
      <c r="AH214" s="5">
        <f t="shared" si="81"/>
        <v>5120.1867287770201</v>
      </c>
      <c r="AI214" s="12">
        <f>IF(L214-N214=0,VLOOKUP(U214,rate!A$4:B$15,2,FALSE)*AH214,IF(AG214="USD",O214,AH214*Y214))</f>
        <v>3596.3</v>
      </c>
      <c r="AJ214" s="13">
        <f t="shared" si="82"/>
        <v>0.70237672774465254</v>
      </c>
      <c r="AK214" s="13">
        <f>-IF(AG214="CAD",IFERROR(VLOOKUP(D214,CAARStatus!$A$1:$Y$1600,16,FALSE),0),0)</f>
        <v>0</v>
      </c>
      <c r="AL214" s="13">
        <f>-IF(AG214="USD",IFERROR(VLOOKUP(D214,CAARStatus!$A$1:$Y$1600,11,FALSE),0),0)</f>
        <v>-3596.3</v>
      </c>
      <c r="AM214" s="22" t="str">
        <f t="shared" si="83"/>
        <v/>
      </c>
      <c r="AN214" s="12">
        <f t="shared" si="84"/>
        <v>0</v>
      </c>
      <c r="AO214" s="12" t="str">
        <f t="shared" si="85"/>
        <v>Yes</v>
      </c>
      <c r="AP214" t="str">
        <f t="shared" si="70"/>
        <v>Yes</v>
      </c>
      <c r="AQ214" t="str">
        <f>IFERROR(VLOOKUP(Z214,InvBal!$L$4:$P$600,4,FALSE),"Pend")</f>
        <v>Pend</v>
      </c>
      <c r="AR214" t="str">
        <f>IFERROR(VLOOKUP(D214,Manual!$C$1:$E$22,2,FALSE),"Pend")</f>
        <v>Pend</v>
      </c>
      <c r="AS214" t="str">
        <f t="shared" si="86"/>
        <v>Yes</v>
      </c>
      <c r="AT214" t="str">
        <f t="shared" si="87"/>
        <v>Yes</v>
      </c>
      <c r="AU214" s="51" t="str">
        <f t="shared" si="88"/>
        <v>Yes</v>
      </c>
      <c r="AV214" s="12">
        <f>IFERROR(VLOOKUP(D214,'Receivable Invoice Detail'!$S$1:$U$3014,3,FALSE),0)</f>
        <v>0</v>
      </c>
      <c r="AW214" s="12">
        <f t="shared" si="89"/>
        <v>3596.3</v>
      </c>
    </row>
    <row r="215" spans="1:49" ht="30" x14ac:dyDescent="0.25">
      <c r="A215" s="2">
        <v>1</v>
      </c>
      <c r="B215" s="2" t="s">
        <v>1930</v>
      </c>
      <c r="C215" s="2" t="s">
        <v>1931</v>
      </c>
      <c r="D215" s="2" t="s">
        <v>2465</v>
      </c>
      <c r="E215" s="2" t="s">
        <v>159</v>
      </c>
      <c r="F215" s="3">
        <v>45708.70108796296</v>
      </c>
      <c r="G215" s="3">
        <v>45709.382615740738</v>
      </c>
      <c r="H215" s="4">
        <v>45737</v>
      </c>
      <c r="I215" s="2" t="s">
        <v>426</v>
      </c>
      <c r="J215" s="2" t="s">
        <v>51</v>
      </c>
      <c r="K215" s="2">
        <v>0.70448285246834996</v>
      </c>
      <c r="L215" s="2">
        <v>249.8286500279396</v>
      </c>
      <c r="M215" s="2">
        <v>0</v>
      </c>
      <c r="N215" s="2">
        <v>176</v>
      </c>
      <c r="O215" s="2">
        <v>176</v>
      </c>
      <c r="P215" s="2"/>
      <c r="Q215" s="2">
        <v>176</v>
      </c>
      <c r="R215" s="2" t="s">
        <v>44</v>
      </c>
      <c r="S215" s="2"/>
      <c r="T215" s="2">
        <f t="shared" si="71"/>
        <v>1</v>
      </c>
      <c r="U215" s="18">
        <f t="shared" si="72"/>
        <v>2</v>
      </c>
      <c r="V215" s="18">
        <f t="shared" si="73"/>
        <v>2025</v>
      </c>
      <c r="W215" s="18">
        <f t="shared" si="74"/>
        <v>4</v>
      </c>
      <c r="X215" s="18">
        <f t="shared" si="75"/>
        <v>2025</v>
      </c>
      <c r="Y215" s="2">
        <f t="shared" si="68"/>
        <v>0.70448285246834996</v>
      </c>
      <c r="Z215" t="str">
        <f t="shared" si="69"/>
        <v>SO16642</v>
      </c>
      <c r="AA215" s="11">
        <f t="shared" si="76"/>
        <v>45708.70108796296</v>
      </c>
      <c r="AB215" s="5" t="str">
        <f t="shared" si="77"/>
        <v>INV12766</v>
      </c>
      <c r="AC215" s="5" t="str">
        <f>IFERROR(VLOOKUP(D215,CAARStatus!$A$2:$AA$1600,22,FALSE),"Not invoiced")</f>
        <v>Paid</v>
      </c>
      <c r="AD215" s="11">
        <f>IF(AC215="Paid",IFERROR(VLOOKUP(D215,CAARStatus!$A$2:$AA$1600,6,FALSE),"Pending"),"Pending")</f>
        <v>45772</v>
      </c>
      <c r="AE215" s="5" t="str">
        <f t="shared" si="78"/>
        <v>4501116468</v>
      </c>
      <c r="AF215" s="5" t="str">
        <f t="shared" si="79"/>
        <v>Barrick Gold - Pueblo Viejo Dominicana Corporation</v>
      </c>
      <c r="AG215" s="5" t="str">
        <f t="shared" si="80"/>
        <v>USD</v>
      </c>
      <c r="AH215" s="5">
        <f t="shared" si="81"/>
        <v>249.8286500279396</v>
      </c>
      <c r="AI215" s="12">
        <f>IF(L215-N215=0,VLOOKUP(U215,rate!A$4:B$15,2,FALSE)*AH215,IF(AG215="USD",O215,AH215*Y215))</f>
        <v>176</v>
      </c>
      <c r="AJ215" s="13">
        <f t="shared" si="82"/>
        <v>0.70448285246834996</v>
      </c>
      <c r="AK215" s="13">
        <f>-IF(AG215="CAD",IFERROR(VLOOKUP(D215,CAARStatus!$A$1:$Y$1600,16,FALSE),0),0)</f>
        <v>0</v>
      </c>
      <c r="AL215" s="13">
        <f>-IF(AG215="USD",IFERROR(VLOOKUP(D215,CAARStatus!$A$1:$Y$1600,11,FALSE),0),0)</f>
        <v>-176</v>
      </c>
      <c r="AM215" s="22" t="str">
        <f t="shared" si="83"/>
        <v/>
      </c>
      <c r="AN215" s="12">
        <f t="shared" si="84"/>
        <v>0</v>
      </c>
      <c r="AO215" s="12" t="str">
        <f t="shared" si="85"/>
        <v>Yes</v>
      </c>
      <c r="AP215" t="str">
        <f t="shared" si="70"/>
        <v>Yes</v>
      </c>
      <c r="AQ215" t="str">
        <f>IFERROR(VLOOKUP(Z215,InvBal!$L$4:$P$600,4,FALSE),"Pend")</f>
        <v>Pend</v>
      </c>
      <c r="AR215" t="str">
        <f>IFERROR(VLOOKUP(D215,Manual!$C$1:$E$22,2,FALSE),"Pend")</f>
        <v>Pend</v>
      </c>
      <c r="AS215" t="str">
        <f t="shared" si="86"/>
        <v>Yes</v>
      </c>
      <c r="AT215" t="str">
        <f t="shared" si="87"/>
        <v>Yes</v>
      </c>
      <c r="AU215" s="51" t="str">
        <f t="shared" si="88"/>
        <v>Yes</v>
      </c>
      <c r="AV215" s="12">
        <f>IFERROR(VLOOKUP(D215,'Receivable Invoice Detail'!$S$1:$U$3014,3,FALSE),0)</f>
        <v>0</v>
      </c>
      <c r="AW215" s="12">
        <f t="shared" si="89"/>
        <v>176</v>
      </c>
    </row>
    <row r="216" spans="1:49" ht="45" x14ac:dyDescent="0.25">
      <c r="A216" s="2">
        <v>2</v>
      </c>
      <c r="B216" s="2" t="s">
        <v>1829</v>
      </c>
      <c r="C216" s="2" t="s">
        <v>1830</v>
      </c>
      <c r="D216" s="2" t="s">
        <v>2522</v>
      </c>
      <c r="E216" s="2" t="s">
        <v>767</v>
      </c>
      <c r="F216" s="3">
        <v>45709.631365740737</v>
      </c>
      <c r="G216" s="3">
        <v>45722.749212962961</v>
      </c>
      <c r="H216" s="4">
        <v>45841</v>
      </c>
      <c r="I216" s="2" t="s">
        <v>21</v>
      </c>
      <c r="J216" s="2" t="s">
        <v>51</v>
      </c>
      <c r="K216" s="2">
        <v>0.69534626226790575</v>
      </c>
      <c r="L216" s="2">
        <v>61849.473181507048</v>
      </c>
      <c r="M216" s="2">
        <v>0</v>
      </c>
      <c r="N216" s="2">
        <v>43006.8</v>
      </c>
      <c r="O216" s="2">
        <v>43006.8</v>
      </c>
      <c r="P216" s="2"/>
      <c r="Q216" s="2">
        <v>43006.8</v>
      </c>
      <c r="R216" s="2" t="s">
        <v>44</v>
      </c>
      <c r="S216" s="2"/>
      <c r="T216" s="2">
        <f t="shared" si="71"/>
        <v>2</v>
      </c>
      <c r="U216" s="18">
        <f t="shared" si="72"/>
        <v>2</v>
      </c>
      <c r="V216" s="18">
        <f t="shared" si="73"/>
        <v>2025</v>
      </c>
      <c r="W216" s="18">
        <f t="shared" si="74"/>
        <v>8</v>
      </c>
      <c r="X216" s="18">
        <f t="shared" si="75"/>
        <v>2025</v>
      </c>
      <c r="Y216" s="2">
        <f t="shared" si="68"/>
        <v>0.69534626226790575</v>
      </c>
      <c r="Z216" t="str">
        <f t="shared" si="69"/>
        <v>SO16645</v>
      </c>
      <c r="AA216" s="11">
        <f t="shared" si="76"/>
        <v>45709.631365740737</v>
      </c>
      <c r="AB216" s="5" t="str">
        <f t="shared" si="77"/>
        <v>INV13221</v>
      </c>
      <c r="AC216" s="5" t="str">
        <f>IFERROR(VLOOKUP(D216,CAARStatus!$A$2:$AA$1600,22,FALSE),"Not invoiced")</f>
        <v>Paid</v>
      </c>
      <c r="AD216" s="11">
        <f>IF(AC216="Paid",IFERROR(VLOOKUP(D216,CAARStatus!$A$2:$AA$1600,6,FALSE),"Pending"),"Pending")</f>
        <v>45897</v>
      </c>
      <c r="AE216" s="5" t="str">
        <f t="shared" si="78"/>
        <v>5351972</v>
      </c>
      <c r="AF216" s="5" t="str">
        <f t="shared" si="79"/>
        <v>Corrosion Fluid Products Corp., Corrosion Fluid Products Corp. - Chicago</v>
      </c>
      <c r="AG216" s="5" t="str">
        <f t="shared" si="80"/>
        <v>USD</v>
      </c>
      <c r="AH216" s="5">
        <f t="shared" si="81"/>
        <v>61849.473181507048</v>
      </c>
      <c r="AI216" s="12">
        <f>IF(L216-N216=0,VLOOKUP(U216,rate!A$4:B$15,2,FALSE)*AH216,IF(AG216="USD",O216,AH216*Y216))</f>
        <v>43006.8</v>
      </c>
      <c r="AJ216" s="13">
        <f t="shared" si="82"/>
        <v>0.69534626226790575</v>
      </c>
      <c r="AK216" s="13">
        <f>-IF(AG216="CAD",IFERROR(VLOOKUP(D216,CAARStatus!$A$1:$Y$1600,16,FALSE),0),0)</f>
        <v>0</v>
      </c>
      <c r="AL216" s="13">
        <f>-IF(AG216="USD",IFERROR(VLOOKUP(D216,CAARStatus!$A$1:$Y$1600,11,FALSE),0),0)</f>
        <v>-42594</v>
      </c>
      <c r="AM216" s="22" t="str">
        <f t="shared" si="83"/>
        <v/>
      </c>
      <c r="AN216" s="12">
        <f t="shared" si="84"/>
        <v>412.80000000000291</v>
      </c>
      <c r="AO216" s="12" t="str">
        <f t="shared" si="85"/>
        <v>Yes</v>
      </c>
      <c r="AP216" t="str">
        <f t="shared" si="70"/>
        <v>XX</v>
      </c>
      <c r="AQ216" t="str">
        <f>IFERROR(VLOOKUP(Z216,InvBal!$L$4:$P$600,4,FALSE),"Pend")</f>
        <v>Yes</v>
      </c>
      <c r="AR216" t="str">
        <f>IFERROR(VLOOKUP(D216,Manual!$C$1:$E$22,2,FALSE),"Pend")</f>
        <v>Pend</v>
      </c>
      <c r="AS216" t="str">
        <f t="shared" si="86"/>
        <v>Yes</v>
      </c>
      <c r="AT216" t="str">
        <f t="shared" si="87"/>
        <v>Yes</v>
      </c>
      <c r="AU216" s="51" t="str">
        <f t="shared" si="88"/>
        <v>Yes</v>
      </c>
      <c r="AV216" s="12">
        <f>IFERROR(VLOOKUP(D216,'Receivable Invoice Detail'!$S$1:$U$3014,3,FALSE),0)</f>
        <v>0</v>
      </c>
      <c r="AW216" s="12">
        <f t="shared" si="89"/>
        <v>43006.8</v>
      </c>
    </row>
    <row r="217" spans="1:49" x14ac:dyDescent="0.25">
      <c r="A217" s="2"/>
      <c r="B217" s="2"/>
      <c r="C217" s="2"/>
      <c r="D217" s="2" t="s">
        <v>2521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f t="shared" si="71"/>
        <v>2</v>
      </c>
      <c r="U217" s="18">
        <f t="shared" si="72"/>
        <v>2</v>
      </c>
      <c r="V217" s="18">
        <f t="shared" si="73"/>
        <v>2025</v>
      </c>
      <c r="W217" s="18">
        <f t="shared" si="74"/>
        <v>9</v>
      </c>
      <c r="X217" s="18">
        <f t="shared" si="75"/>
        <v>2025</v>
      </c>
      <c r="Y217" s="2">
        <f t="shared" si="68"/>
        <v>0.69534626226790575</v>
      </c>
      <c r="Z217" t="str">
        <f t="shared" si="69"/>
        <v>SO16645</v>
      </c>
      <c r="AA217" s="11">
        <f t="shared" si="76"/>
        <v>45709.631365740737</v>
      </c>
      <c r="AB217" s="5" t="str">
        <f t="shared" si="77"/>
        <v>INV13247</v>
      </c>
      <c r="AC217" s="5" t="str">
        <f>IFERROR(VLOOKUP(D217,CAARStatus!$A$2:$AA$1600,22,FALSE),"Not invoiced")</f>
        <v>Paid</v>
      </c>
      <c r="AD217" s="11">
        <f>IF(AC217="Paid",IFERROR(VLOOKUP(D217,CAARStatus!$A$2:$AA$1600,6,FALSE),"Pending"),"Pending")</f>
        <v>45904</v>
      </c>
      <c r="AE217" s="5" t="str">
        <f t="shared" si="78"/>
        <v>5351972</v>
      </c>
      <c r="AF217" s="5" t="str">
        <f t="shared" si="79"/>
        <v>Corrosion Fluid Products Corp., Corrosion Fluid Products Corp. - Chicago</v>
      </c>
      <c r="AG217" s="5" t="str">
        <f t="shared" si="80"/>
        <v>USD</v>
      </c>
      <c r="AH217" s="5">
        <f t="shared" si="81"/>
        <v>0</v>
      </c>
      <c r="AI217" s="12">
        <f>IF(L217-N217=0,VLOOKUP(U217,rate!A$4:B$15,2,FALSE)*AH217,IF(AG217="USD",O217,AH217*Y217))</f>
        <v>0</v>
      </c>
      <c r="AJ217" s="13">
        <f t="shared" si="82"/>
        <v>0</v>
      </c>
      <c r="AK217" s="13">
        <f>-IF(AG217="CAD",IFERROR(VLOOKUP(D217,CAARStatus!$A$1:$Y$1600,16,FALSE),0),0)</f>
        <v>0</v>
      </c>
      <c r="AL217" s="13">
        <f>-IF(AG217="USD",IFERROR(VLOOKUP(D217,CAARStatus!$A$1:$Y$1600,11,FALSE),0),0)</f>
        <v>-412.8</v>
      </c>
      <c r="AM217" s="22" t="str">
        <f t="shared" si="83"/>
        <v/>
      </c>
      <c r="AN217" s="12">
        <f t="shared" si="84"/>
        <v>-412.8</v>
      </c>
      <c r="AO217" s="12" t="str">
        <f t="shared" si="85"/>
        <v>Yes</v>
      </c>
      <c r="AP217" t="str">
        <f t="shared" si="70"/>
        <v>XX</v>
      </c>
      <c r="AQ217" t="str">
        <f>IFERROR(VLOOKUP(Z217,InvBal!$L$4:$P$600,4,FALSE),"Pend")</f>
        <v>Yes</v>
      </c>
      <c r="AR217" t="str">
        <f>IFERROR(VLOOKUP(D217,Manual!$C$1:$E$22,2,FALSE),"Pend")</f>
        <v>Pend</v>
      </c>
      <c r="AS217" t="str">
        <f t="shared" si="86"/>
        <v>Yes</v>
      </c>
      <c r="AT217" t="str">
        <f t="shared" si="87"/>
        <v/>
      </c>
      <c r="AU217" s="51" t="str">
        <f t="shared" si="88"/>
        <v/>
      </c>
      <c r="AV217" s="12">
        <f>IFERROR(VLOOKUP(D217,'Receivable Invoice Detail'!$S$1:$U$3014,3,FALSE),0)</f>
        <v>0</v>
      </c>
      <c r="AW217" s="12">
        <f t="shared" si="89"/>
        <v>0</v>
      </c>
    </row>
    <row r="218" spans="1:49" x14ac:dyDescent="0.25">
      <c r="A218" s="2">
        <v>1</v>
      </c>
      <c r="B218" s="2" t="s">
        <v>1530</v>
      </c>
      <c r="C218" s="2" t="s">
        <v>1531</v>
      </c>
      <c r="D218" s="2" t="s">
        <v>2696</v>
      </c>
      <c r="E218" s="2" t="s">
        <v>149</v>
      </c>
      <c r="F218" s="3">
        <v>45709.703611111108</v>
      </c>
      <c r="G218" s="3">
        <v>45772.529861111107</v>
      </c>
      <c r="H218" s="4">
        <v>45775</v>
      </c>
      <c r="I218" s="2" t="s">
        <v>21</v>
      </c>
      <c r="J218" s="2" t="s">
        <v>51</v>
      </c>
      <c r="K218" s="2">
        <v>0.71989223732843666</v>
      </c>
      <c r="L218" s="2">
        <v>5735.5251048723894</v>
      </c>
      <c r="M218" s="2">
        <v>0</v>
      </c>
      <c r="N218" s="2">
        <v>4128.96</v>
      </c>
      <c r="O218" s="2">
        <v>4128.96</v>
      </c>
      <c r="P218" s="2"/>
      <c r="Q218" s="2">
        <v>4128.96</v>
      </c>
      <c r="R218" s="2" t="s">
        <v>44</v>
      </c>
      <c r="S218" s="2"/>
      <c r="T218" s="2">
        <f t="shared" si="71"/>
        <v>1</v>
      </c>
      <c r="U218" s="18">
        <f t="shared" si="72"/>
        <v>2</v>
      </c>
      <c r="V218" s="18">
        <f t="shared" si="73"/>
        <v>2025</v>
      </c>
      <c r="W218" s="18">
        <f t="shared" si="74"/>
        <v>5</v>
      </c>
      <c r="X218" s="18">
        <f t="shared" si="75"/>
        <v>2025</v>
      </c>
      <c r="Y218" s="2">
        <f t="shared" si="68"/>
        <v>0.71989223732843655</v>
      </c>
      <c r="Z218" t="str">
        <f t="shared" si="69"/>
        <v>SO16646</v>
      </c>
      <c r="AA218" s="11">
        <f t="shared" si="76"/>
        <v>45709.703611111108</v>
      </c>
      <c r="AB218" s="5" t="str">
        <f t="shared" si="77"/>
        <v>INV12920</v>
      </c>
      <c r="AC218" s="5" t="str">
        <f>IFERROR(VLOOKUP(D218,CAARStatus!$A$2:$AA$1600,22,FALSE),"Not invoiced")</f>
        <v>Paid</v>
      </c>
      <c r="AD218" s="11">
        <f>IF(AC218="Paid",IFERROR(VLOOKUP(D218,CAARStatus!$A$2:$AA$1600,6,FALSE),"Pending"),"Pending")</f>
        <v>45807</v>
      </c>
      <c r="AE218" s="5" t="str">
        <f t="shared" si="78"/>
        <v>MAB15259</v>
      </c>
      <c r="AF218" s="5" t="str">
        <f t="shared" si="79"/>
        <v>MAB Equipment Company Inc.</v>
      </c>
      <c r="AG218" s="5" t="str">
        <f t="shared" si="80"/>
        <v>USD</v>
      </c>
      <c r="AH218" s="5">
        <f t="shared" si="81"/>
        <v>5735.5251048723885</v>
      </c>
      <c r="AI218" s="12">
        <f>IF(L218-N218=0,VLOOKUP(U218,rate!A$4:B$15,2,FALSE)*AH218,IF(AG218="USD",O218,AH218*Y218))</f>
        <v>4128.96</v>
      </c>
      <c r="AJ218" s="13">
        <f t="shared" si="82"/>
        <v>0.71989223732843666</v>
      </c>
      <c r="AK218" s="13">
        <f>-IF(AG218="CAD",IFERROR(VLOOKUP(D218,CAARStatus!$A$1:$Y$1600,16,FALSE),0),0)</f>
        <v>0</v>
      </c>
      <c r="AL218" s="13">
        <f>-IF(AG218="USD",IFERROR(VLOOKUP(D218,CAARStatus!$A$1:$Y$1600,11,FALSE),0),0)</f>
        <v>-4128.96</v>
      </c>
      <c r="AM218" s="22" t="str">
        <f t="shared" si="83"/>
        <v/>
      </c>
      <c r="AN218" s="12">
        <f t="shared" si="84"/>
        <v>0</v>
      </c>
      <c r="AO218" s="12" t="str">
        <f t="shared" si="85"/>
        <v>Yes</v>
      </c>
      <c r="AP218" t="str">
        <f t="shared" si="70"/>
        <v>Yes</v>
      </c>
      <c r="AQ218" t="str">
        <f>IFERROR(VLOOKUP(Z218,InvBal!$L$4:$P$600,4,FALSE),"Pend")</f>
        <v>Pend</v>
      </c>
      <c r="AR218" t="str">
        <f>IFERROR(VLOOKUP(D218,Manual!$C$1:$E$22,2,FALSE),"Pend")</f>
        <v>Pend</v>
      </c>
      <c r="AS218" t="str">
        <f t="shared" si="86"/>
        <v>Yes</v>
      </c>
      <c r="AT218" t="str">
        <f t="shared" si="87"/>
        <v>Yes</v>
      </c>
      <c r="AU218" s="51" t="str">
        <f t="shared" si="88"/>
        <v>Yes</v>
      </c>
      <c r="AV218" s="12">
        <f>IFERROR(VLOOKUP(D218,'Receivable Invoice Detail'!$S$1:$U$3014,3,FALSE),0)</f>
        <v>652</v>
      </c>
      <c r="AW218" s="12">
        <f t="shared" si="89"/>
        <v>3476.96</v>
      </c>
    </row>
    <row r="219" spans="1:49" x14ac:dyDescent="0.25">
      <c r="A219" s="2">
        <v>1</v>
      </c>
      <c r="B219" s="2" t="s">
        <v>1925</v>
      </c>
      <c r="C219" s="2" t="s">
        <v>1926</v>
      </c>
      <c r="D219" s="2" t="s">
        <v>2467</v>
      </c>
      <c r="E219" s="2" t="s">
        <v>1927</v>
      </c>
      <c r="F219" s="3">
        <v>45709.708414351851</v>
      </c>
      <c r="G219" s="3">
        <v>45709.707499999997</v>
      </c>
      <c r="H219" s="4">
        <v>45714</v>
      </c>
      <c r="I219" s="2" t="s">
        <v>71</v>
      </c>
      <c r="J219" s="2" t="s">
        <v>51</v>
      </c>
      <c r="K219" s="2">
        <v>0.70448285246834996</v>
      </c>
      <c r="L219" s="2">
        <v>9353.6698259040222</v>
      </c>
      <c r="M219" s="2">
        <v>0</v>
      </c>
      <c r="N219" s="2">
        <v>6589.5</v>
      </c>
      <c r="O219" s="2">
        <v>6589.5</v>
      </c>
      <c r="P219" s="2"/>
      <c r="Q219" s="2">
        <v>6589.5</v>
      </c>
      <c r="R219" s="2" t="s">
        <v>44</v>
      </c>
      <c r="S219" s="2"/>
      <c r="T219" s="2">
        <f t="shared" si="71"/>
        <v>1</v>
      </c>
      <c r="U219" s="18">
        <f t="shared" si="72"/>
        <v>2</v>
      </c>
      <c r="V219" s="18">
        <f t="shared" si="73"/>
        <v>2025</v>
      </c>
      <c r="W219" s="18">
        <f t="shared" si="74"/>
        <v>6</v>
      </c>
      <c r="X219" s="18">
        <f t="shared" si="75"/>
        <v>2025</v>
      </c>
      <c r="Y219" s="2">
        <f t="shared" si="68"/>
        <v>0.70448285246834996</v>
      </c>
      <c r="Z219" t="str">
        <f t="shared" si="69"/>
        <v>SO16647</v>
      </c>
      <c r="AA219" s="11">
        <f t="shared" si="76"/>
        <v>45709.708414351851</v>
      </c>
      <c r="AB219" s="5" t="str">
        <f t="shared" si="77"/>
        <v>INV12681</v>
      </c>
      <c r="AC219" s="5" t="str">
        <f>IFERROR(VLOOKUP(D219,CAARStatus!$A$2:$AA$1600,22,FALSE),"Not invoiced")</f>
        <v>Paid</v>
      </c>
      <c r="AD219" s="11">
        <f>IF(AC219="Paid",IFERROR(VLOOKUP(D219,CAARStatus!$A$2:$AA$1600,6,FALSE),"Pending"),"Pending")</f>
        <v>45822</v>
      </c>
      <c r="AE219" s="5" t="str">
        <f t="shared" si="78"/>
        <v>P353469</v>
      </c>
      <c r="AF219" s="5" t="str">
        <f t="shared" si="79"/>
        <v>Covia Corp - Roff</v>
      </c>
      <c r="AG219" s="5" t="str">
        <f t="shared" si="80"/>
        <v>USD</v>
      </c>
      <c r="AH219" s="5">
        <f t="shared" si="81"/>
        <v>9353.6698259040222</v>
      </c>
      <c r="AI219" s="12">
        <f>IF(L219-N219=0,VLOOKUP(U219,rate!A$4:B$15,2,FALSE)*AH219,IF(AG219="USD",O219,AH219*Y219))</f>
        <v>6589.5</v>
      </c>
      <c r="AJ219" s="13">
        <f t="shared" si="82"/>
        <v>0.70448285246834996</v>
      </c>
      <c r="AK219" s="13">
        <f>-IF(AG219="CAD",IFERROR(VLOOKUP(D219,CAARStatus!$A$1:$Y$1600,16,FALSE),0),0)</f>
        <v>0</v>
      </c>
      <c r="AL219" s="13">
        <f>-IF(AG219="USD",IFERROR(VLOOKUP(D219,CAARStatus!$A$1:$Y$1600,11,FALSE),0),0)</f>
        <v>-6589.5</v>
      </c>
      <c r="AM219" s="22" t="str">
        <f t="shared" si="83"/>
        <v/>
      </c>
      <c r="AN219" s="12">
        <f t="shared" si="84"/>
        <v>0</v>
      </c>
      <c r="AO219" s="12" t="str">
        <f t="shared" si="85"/>
        <v>Yes</v>
      </c>
      <c r="AP219" t="str">
        <f t="shared" si="70"/>
        <v>Yes</v>
      </c>
      <c r="AQ219" t="str">
        <f>IFERROR(VLOOKUP(Z219,InvBal!$L$4:$P$600,4,FALSE),"Pend")</f>
        <v>Pend</v>
      </c>
      <c r="AR219" t="str">
        <f>IFERROR(VLOOKUP(D219,Manual!$C$1:$E$22,2,FALSE),"Pend")</f>
        <v>Pend</v>
      </c>
      <c r="AS219" t="str">
        <f t="shared" si="86"/>
        <v>Yes</v>
      </c>
      <c r="AT219" t="str">
        <f t="shared" si="87"/>
        <v>Yes</v>
      </c>
      <c r="AU219" s="51" t="str">
        <f t="shared" si="88"/>
        <v>Yes</v>
      </c>
      <c r="AV219" s="12">
        <f>IFERROR(VLOOKUP(D219,'Receivable Invoice Detail'!$S$1:$U$3014,3,FALSE),0)</f>
        <v>637</v>
      </c>
      <c r="AW219" s="12">
        <f t="shared" si="89"/>
        <v>5952.5</v>
      </c>
    </row>
    <row r="220" spans="1:49" ht="30" x14ac:dyDescent="0.25">
      <c r="A220" s="2">
        <v>1</v>
      </c>
      <c r="B220" s="2" t="s">
        <v>1875</v>
      </c>
      <c r="C220" s="2" t="s">
        <v>1876</v>
      </c>
      <c r="D220" s="2" t="s">
        <v>2492</v>
      </c>
      <c r="E220" s="2" t="s">
        <v>39</v>
      </c>
      <c r="F220" s="3">
        <v>45711.473935185182</v>
      </c>
      <c r="G220" s="3">
        <v>45715.66946759259</v>
      </c>
      <c r="H220" s="4">
        <v>45736</v>
      </c>
      <c r="I220" s="2" t="s">
        <v>21</v>
      </c>
      <c r="J220" s="2" t="s">
        <v>22</v>
      </c>
      <c r="K220" s="2">
        <v>1</v>
      </c>
      <c r="L220" s="2">
        <v>224.91</v>
      </c>
      <c r="M220" s="2">
        <v>0</v>
      </c>
      <c r="N220" s="2">
        <v>155.96676659343751</v>
      </c>
      <c r="O220" s="2">
        <v>214.2</v>
      </c>
      <c r="P220" s="2">
        <v>10.71</v>
      </c>
      <c r="Q220" s="2">
        <v>224.91</v>
      </c>
      <c r="R220" s="2" t="s">
        <v>44</v>
      </c>
      <c r="S220" s="2"/>
      <c r="T220" s="2">
        <f t="shared" si="71"/>
        <v>1</v>
      </c>
      <c r="U220" s="18">
        <f t="shared" si="72"/>
        <v>2</v>
      </c>
      <c r="V220" s="18">
        <f t="shared" si="73"/>
        <v>2025</v>
      </c>
      <c r="W220" s="18">
        <f t="shared" si="74"/>
        <v>4</v>
      </c>
      <c r="X220" s="18">
        <f t="shared" si="75"/>
        <v>2025</v>
      </c>
      <c r="Y220" s="2">
        <f t="shared" si="68"/>
        <v>0.69346301450997072</v>
      </c>
      <c r="Z220" t="str">
        <f t="shared" si="69"/>
        <v>SO16648</v>
      </c>
      <c r="AA220" s="11">
        <f t="shared" si="76"/>
        <v>45711.473935185182</v>
      </c>
      <c r="AB220" s="5" t="str">
        <f t="shared" si="77"/>
        <v>INV12777</v>
      </c>
      <c r="AC220" s="5" t="str">
        <f>IFERROR(VLOOKUP(D220,CAARStatus!$A$2:$AA$1600,22,FALSE),"Not invoiced")</f>
        <v>Paid</v>
      </c>
      <c r="AD220" s="11">
        <f>IF(AC220="Paid",IFERROR(VLOOKUP(D220,CAARStatus!$A$2:$AA$1600,6,FALSE),"Pending"),"Pending")</f>
        <v>45771</v>
      </c>
      <c r="AE220" s="5" t="str">
        <f t="shared" si="78"/>
        <v>BC65-00079680</v>
      </c>
      <c r="AF220" s="5" t="str">
        <f t="shared" si="79"/>
        <v>Motion Industries Inc. (Canada) - Prince George</v>
      </c>
      <c r="AG220" s="5" t="str">
        <f t="shared" si="80"/>
        <v>CAD</v>
      </c>
      <c r="AH220" s="5">
        <f t="shared" si="81"/>
        <v>214.2</v>
      </c>
      <c r="AI220" s="12">
        <f>IF(L220-N220=0,VLOOKUP(U220,rate!A$4:B$15,2,FALSE)*AH220,IF(AG220="USD",O220,AH220*Y220))</f>
        <v>148.53977770803573</v>
      </c>
      <c r="AJ220" s="13">
        <f t="shared" si="82"/>
        <v>0.69346301450997072</v>
      </c>
      <c r="AK220" s="13">
        <f>-IF(AG220="CAD",IFERROR(VLOOKUP(D220,CAARStatus!$A$1:$Y$1600,16,FALSE),0),0)</f>
        <v>-214.2</v>
      </c>
      <c r="AL220" s="13">
        <f>-IF(AG220="USD",IFERROR(VLOOKUP(D220,CAARStatus!$A$1:$Y$1600,11,FALSE),0),0)</f>
        <v>0</v>
      </c>
      <c r="AM220" s="22">
        <f t="shared" si="83"/>
        <v>0</v>
      </c>
      <c r="AN220" s="12" t="str">
        <f t="shared" si="84"/>
        <v/>
      </c>
      <c r="AO220" s="12" t="str">
        <f t="shared" si="85"/>
        <v>Yes</v>
      </c>
      <c r="AP220" t="str">
        <f t="shared" si="70"/>
        <v>Yes</v>
      </c>
      <c r="AQ220" t="str">
        <f>IFERROR(VLOOKUP(Z220,InvBal!$L$4:$P$600,4,FALSE),"Pend")</f>
        <v>Pend</v>
      </c>
      <c r="AR220" t="str">
        <f>IFERROR(VLOOKUP(D220,Manual!$C$1:$E$22,2,FALSE),"Pend")</f>
        <v>Pend</v>
      </c>
      <c r="AS220" t="str">
        <f t="shared" si="86"/>
        <v>Yes</v>
      </c>
      <c r="AT220" t="str">
        <f t="shared" si="87"/>
        <v>Yes</v>
      </c>
      <c r="AU220" s="51" t="str">
        <f t="shared" si="88"/>
        <v>Yes</v>
      </c>
      <c r="AV220" s="12">
        <f>IFERROR(VLOOKUP(D220,'Receivable Invoice Detail'!$S$1:$U$3014,3,FALSE),0)</f>
        <v>0</v>
      </c>
      <c r="AW220" s="12">
        <f t="shared" si="89"/>
        <v>148.53977770803573</v>
      </c>
    </row>
    <row r="221" spans="1:49" x14ac:dyDescent="0.25">
      <c r="A221" s="2">
        <v>4</v>
      </c>
      <c r="B221" s="2" t="s">
        <v>1740</v>
      </c>
      <c r="C221" s="2" t="s">
        <v>1741</v>
      </c>
      <c r="D221" s="2" t="s">
        <v>2575</v>
      </c>
      <c r="E221" s="2" t="s">
        <v>901</v>
      </c>
      <c r="F221" s="3">
        <v>45711.504756944443</v>
      </c>
      <c r="G221" s="3">
        <v>45740.461469907408</v>
      </c>
      <c r="H221" s="4">
        <v>45865</v>
      </c>
      <c r="I221" s="2" t="s">
        <v>180</v>
      </c>
      <c r="J221" s="2" t="s">
        <v>51</v>
      </c>
      <c r="K221" s="2">
        <v>0.69694344458511093</v>
      </c>
      <c r="L221" s="2">
        <v>77514.783186116387</v>
      </c>
      <c r="M221" s="2">
        <v>0</v>
      </c>
      <c r="N221" s="2">
        <v>54023.42</v>
      </c>
      <c r="O221" s="2">
        <v>54023.42</v>
      </c>
      <c r="P221" s="2"/>
      <c r="Q221" s="2">
        <v>54023.42</v>
      </c>
      <c r="R221" s="2" t="s">
        <v>44</v>
      </c>
      <c r="S221" s="2"/>
      <c r="T221" s="2">
        <f t="shared" si="71"/>
        <v>4</v>
      </c>
      <c r="U221" s="18">
        <f t="shared" si="72"/>
        <v>2</v>
      </c>
      <c r="V221" s="18">
        <f t="shared" si="73"/>
        <v>2025</v>
      </c>
      <c r="W221" s="18">
        <f t="shared" si="74"/>
        <v>9</v>
      </c>
      <c r="X221" s="18">
        <f t="shared" si="75"/>
        <v>2025</v>
      </c>
      <c r="Y221" s="2">
        <f t="shared" si="68"/>
        <v>0.69694344458511093</v>
      </c>
      <c r="Z221" t="str">
        <f t="shared" si="69"/>
        <v>SO16651</v>
      </c>
      <c r="AA221" s="11">
        <f t="shared" si="76"/>
        <v>45711.504756944443</v>
      </c>
      <c r="AB221" s="5" t="str">
        <f t="shared" si="77"/>
        <v>INV13189</v>
      </c>
      <c r="AC221" s="5" t="str">
        <f>IFERROR(VLOOKUP(D221,CAARStatus!$A$2:$AA$1600,22,FALSE),"Not invoiced")</f>
        <v>Paid</v>
      </c>
      <c r="AD221" s="11">
        <f>IF(AC221="Paid",IFERROR(VLOOKUP(D221,CAARStatus!$A$2:$AA$1600,6,FALSE),"Pending"),"Pending")</f>
        <v>45904</v>
      </c>
      <c r="AE221" s="5" t="str">
        <f t="shared" si="78"/>
        <v>4500788354</v>
      </c>
      <c r="AF221" s="5" t="str">
        <f t="shared" si="79"/>
        <v>AGM Inc.</v>
      </c>
      <c r="AG221" s="5" t="str">
        <f t="shared" si="80"/>
        <v>USD</v>
      </c>
      <c r="AH221" s="5">
        <f t="shared" si="81"/>
        <v>77514.783186116387</v>
      </c>
      <c r="AI221" s="12">
        <f>IF(L221-N221=0,VLOOKUP(U221,rate!A$4:B$15,2,FALSE)*AH221,IF(AG221="USD",O221,AH221*Y221))</f>
        <v>54023.42</v>
      </c>
      <c r="AJ221" s="13">
        <f t="shared" si="82"/>
        <v>0.69694344458511093</v>
      </c>
      <c r="AK221" s="13">
        <f>-IF(AG221="CAD",IFERROR(VLOOKUP(D221,CAARStatus!$A$1:$Y$1600,16,FALSE),0),0)</f>
        <v>0</v>
      </c>
      <c r="AL221" s="13">
        <f>-IF(AG221="USD",IFERROR(VLOOKUP(D221,CAARStatus!$A$1:$Y$1600,11,FALSE),0),0)</f>
        <v>-23970.9</v>
      </c>
      <c r="AM221" s="22" t="str">
        <f t="shared" si="83"/>
        <v/>
      </c>
      <c r="AN221" s="12">
        <f t="shared" si="84"/>
        <v>30052.519999999997</v>
      </c>
      <c r="AO221" s="12" t="str">
        <f t="shared" si="85"/>
        <v>Yes</v>
      </c>
      <c r="AP221" t="str">
        <f t="shared" si="70"/>
        <v>XX</v>
      </c>
      <c r="AQ221" t="str">
        <f>IFERROR(VLOOKUP(Z221,InvBal!$L$4:$P$600,4,FALSE),"Pend")</f>
        <v>Yes</v>
      </c>
      <c r="AR221" t="str">
        <f>IFERROR(VLOOKUP(D221,Manual!$C$1:$E$22,2,FALSE),"Pend")</f>
        <v>Pend</v>
      </c>
      <c r="AS221" t="str">
        <f t="shared" si="86"/>
        <v>Yes</v>
      </c>
      <c r="AT221" t="str">
        <f t="shared" si="87"/>
        <v>Yes</v>
      </c>
      <c r="AU221" s="51" t="str">
        <f t="shared" si="88"/>
        <v>Yes</v>
      </c>
      <c r="AV221" s="12">
        <f>IFERROR(VLOOKUP(D221,'Receivable Invoice Detail'!$S$1:$U$3014,3,FALSE),0)</f>
        <v>0</v>
      </c>
      <c r="AW221" s="12">
        <f t="shared" si="89"/>
        <v>54023.42</v>
      </c>
    </row>
    <row r="222" spans="1:49" x14ac:dyDescent="0.25">
      <c r="A222" s="2"/>
      <c r="B222" s="2"/>
      <c r="C222" s="2"/>
      <c r="D222" s="2" t="s">
        <v>2572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>
        <f t="shared" si="71"/>
        <v>4</v>
      </c>
      <c r="U222" s="18">
        <f t="shared" si="72"/>
        <v>2</v>
      </c>
      <c r="V222" s="18">
        <f t="shared" si="73"/>
        <v>2025</v>
      </c>
      <c r="W222" s="18">
        <f t="shared" si="74"/>
        <v>9</v>
      </c>
      <c r="X222" s="18">
        <f t="shared" si="75"/>
        <v>2025</v>
      </c>
      <c r="Y222" s="2">
        <f t="shared" si="68"/>
        <v>0.69694344458511093</v>
      </c>
      <c r="Z222" t="str">
        <f t="shared" si="69"/>
        <v>SO16651</v>
      </c>
      <c r="AA222" s="11">
        <f t="shared" si="76"/>
        <v>45711.504756944443</v>
      </c>
      <c r="AB222" s="5" t="str">
        <f t="shared" si="77"/>
        <v>INV12886</v>
      </c>
      <c r="AC222" s="5" t="str">
        <f>IFERROR(VLOOKUP(D222,CAARStatus!$A$2:$AA$1600,22,FALSE),"Not invoiced")</f>
        <v>Paid</v>
      </c>
      <c r="AD222" s="11">
        <f>IF(AC222="Paid",IFERROR(VLOOKUP(D222,CAARStatus!$A$2:$AA$1600,6,FALSE),"Pending"),"Pending")</f>
        <v>45904</v>
      </c>
      <c r="AE222" s="5" t="str">
        <f t="shared" si="78"/>
        <v>4500788354</v>
      </c>
      <c r="AF222" s="5" t="str">
        <f t="shared" si="79"/>
        <v>AGM Inc.</v>
      </c>
      <c r="AG222" s="5" t="str">
        <f t="shared" si="80"/>
        <v>USD</v>
      </c>
      <c r="AH222" s="5">
        <f t="shared" si="81"/>
        <v>0</v>
      </c>
      <c r="AI222" s="12">
        <f>IF(L222-N222=0,VLOOKUP(U222,rate!A$4:B$15,2,FALSE)*AH222,IF(AG222="USD",O222,AH222*Y222))</f>
        <v>0</v>
      </c>
      <c r="AJ222" s="13">
        <f t="shared" si="82"/>
        <v>0</v>
      </c>
      <c r="AK222" s="13">
        <f>-IF(AG222="CAD",IFERROR(VLOOKUP(D222,CAARStatus!$A$1:$Y$1600,16,FALSE),0),0)</f>
        <v>0</v>
      </c>
      <c r="AL222" s="13">
        <f>-IF(AG222="USD",IFERROR(VLOOKUP(D222,CAARStatus!$A$1:$Y$1600,11,FALSE),0),0)</f>
        <v>-13983.47</v>
      </c>
      <c r="AM222" s="22" t="str">
        <f t="shared" si="83"/>
        <v/>
      </c>
      <c r="AN222" s="12">
        <f t="shared" si="84"/>
        <v>-13983.47</v>
      </c>
      <c r="AO222" s="12" t="str">
        <f t="shared" si="85"/>
        <v>Yes</v>
      </c>
      <c r="AP222" t="str">
        <f t="shared" si="70"/>
        <v>XX</v>
      </c>
      <c r="AQ222" t="str">
        <f>IFERROR(VLOOKUP(Z222,InvBal!$L$4:$P$600,4,FALSE),"Pend")</f>
        <v>Yes</v>
      </c>
      <c r="AR222" t="str">
        <f>IFERROR(VLOOKUP(D222,Manual!$C$1:$E$22,2,FALSE),"Pend")</f>
        <v>Pend</v>
      </c>
      <c r="AS222" t="str">
        <f t="shared" si="86"/>
        <v>Yes</v>
      </c>
      <c r="AT222" t="str">
        <f t="shared" si="87"/>
        <v/>
      </c>
      <c r="AU222" s="51" t="str">
        <f t="shared" si="88"/>
        <v/>
      </c>
      <c r="AV222" s="12">
        <f>IFERROR(VLOOKUP(D222,'Receivable Invoice Detail'!$S$1:$U$3014,3,FALSE),0)</f>
        <v>0</v>
      </c>
      <c r="AW222" s="12">
        <f t="shared" si="89"/>
        <v>0</v>
      </c>
    </row>
    <row r="223" spans="1:49" x14ac:dyDescent="0.25">
      <c r="A223" s="2"/>
      <c r="B223" s="2"/>
      <c r="C223" s="2"/>
      <c r="D223" s="2" t="s">
        <v>2573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>
        <f t="shared" si="71"/>
        <v>4</v>
      </c>
      <c r="U223" s="18">
        <f t="shared" si="72"/>
        <v>2</v>
      </c>
      <c r="V223" s="18">
        <f t="shared" si="73"/>
        <v>2025</v>
      </c>
      <c r="W223" s="18">
        <f t="shared" si="74"/>
        <v>9</v>
      </c>
      <c r="X223" s="18">
        <f t="shared" si="75"/>
        <v>2025</v>
      </c>
      <c r="Y223" s="2">
        <f t="shared" si="68"/>
        <v>0.69694344458511093</v>
      </c>
      <c r="Z223" t="str">
        <f t="shared" si="69"/>
        <v>SO16651</v>
      </c>
      <c r="AA223" s="11">
        <f t="shared" si="76"/>
        <v>45711.504756944443</v>
      </c>
      <c r="AB223" s="5" t="str">
        <f t="shared" si="77"/>
        <v>INV12985</v>
      </c>
      <c r="AC223" s="5" t="str">
        <f>IFERROR(VLOOKUP(D223,CAARStatus!$A$2:$AA$1600,22,FALSE),"Not invoiced")</f>
        <v>Paid</v>
      </c>
      <c r="AD223" s="11">
        <f>IF(AC223="Paid",IFERROR(VLOOKUP(D223,CAARStatus!$A$2:$AA$1600,6,FALSE),"Pending"),"Pending")</f>
        <v>45904</v>
      </c>
      <c r="AE223" s="5" t="str">
        <f t="shared" si="78"/>
        <v>4500788354</v>
      </c>
      <c r="AF223" s="5" t="str">
        <f t="shared" si="79"/>
        <v>AGM Inc.</v>
      </c>
      <c r="AG223" s="5" t="str">
        <f t="shared" si="80"/>
        <v>USD</v>
      </c>
      <c r="AH223" s="5">
        <f t="shared" si="81"/>
        <v>0</v>
      </c>
      <c r="AI223" s="12">
        <f>IF(L223-N223=0,VLOOKUP(U223,rate!A$4:B$15,2,FALSE)*AH223,IF(AG223="USD",O223,AH223*Y223))</f>
        <v>0</v>
      </c>
      <c r="AJ223" s="13">
        <f t="shared" si="82"/>
        <v>0</v>
      </c>
      <c r="AK223" s="13">
        <f>-IF(AG223="CAD",IFERROR(VLOOKUP(D223,CAARStatus!$A$1:$Y$1600,16,FALSE),0),0)</f>
        <v>0</v>
      </c>
      <c r="AL223" s="13">
        <f>-IF(AG223="USD",IFERROR(VLOOKUP(D223,CAARStatus!$A$1:$Y$1600,11,FALSE),0),0)</f>
        <v>-14651.3</v>
      </c>
      <c r="AM223" s="22" t="str">
        <f t="shared" si="83"/>
        <v/>
      </c>
      <c r="AN223" s="12">
        <f t="shared" si="84"/>
        <v>-14651.3</v>
      </c>
      <c r="AO223" s="12" t="str">
        <f t="shared" si="85"/>
        <v>Yes</v>
      </c>
      <c r="AP223" t="str">
        <f t="shared" si="70"/>
        <v>XX</v>
      </c>
      <c r="AQ223" t="str">
        <f>IFERROR(VLOOKUP(Z223,InvBal!$L$4:$P$600,4,FALSE),"Pend")</f>
        <v>Yes</v>
      </c>
      <c r="AR223" t="str">
        <f>IFERROR(VLOOKUP(D223,Manual!$C$1:$E$22,2,FALSE),"Pend")</f>
        <v>Pend</v>
      </c>
      <c r="AS223" t="str">
        <f t="shared" si="86"/>
        <v>Yes</v>
      </c>
      <c r="AT223" t="str">
        <f t="shared" si="87"/>
        <v/>
      </c>
      <c r="AU223" s="51" t="str">
        <f t="shared" si="88"/>
        <v/>
      </c>
      <c r="AV223" s="12">
        <f>IFERROR(VLOOKUP(D223,'Receivable Invoice Detail'!$S$1:$U$3014,3,FALSE),0)</f>
        <v>0</v>
      </c>
      <c r="AW223" s="12">
        <f t="shared" si="89"/>
        <v>0</v>
      </c>
    </row>
    <row r="224" spans="1:49" x14ac:dyDescent="0.25">
      <c r="A224" s="2"/>
      <c r="B224" s="2"/>
      <c r="C224" s="2"/>
      <c r="D224" s="2" t="s">
        <v>2574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>
        <f t="shared" si="71"/>
        <v>4</v>
      </c>
      <c r="U224" s="18">
        <f t="shared" si="72"/>
        <v>2</v>
      </c>
      <c r="V224" s="18">
        <f t="shared" si="73"/>
        <v>2025</v>
      </c>
      <c r="W224" s="18">
        <f t="shared" si="74"/>
        <v>9</v>
      </c>
      <c r="X224" s="18">
        <f t="shared" si="75"/>
        <v>2025</v>
      </c>
      <c r="Y224" s="2">
        <f t="shared" si="68"/>
        <v>0.69694344458511093</v>
      </c>
      <c r="Z224" t="str">
        <f t="shared" si="69"/>
        <v>SO16651</v>
      </c>
      <c r="AA224" s="11">
        <f t="shared" si="76"/>
        <v>45711.504756944443</v>
      </c>
      <c r="AB224" s="5" t="str">
        <f t="shared" si="77"/>
        <v>INV13215</v>
      </c>
      <c r="AC224" s="5" t="str">
        <f>IFERROR(VLOOKUP(D224,CAARStatus!$A$2:$AA$1600,22,FALSE),"Not invoiced")</f>
        <v>Paid</v>
      </c>
      <c r="AD224" s="11">
        <f>IF(AC224="Paid",IFERROR(VLOOKUP(D224,CAARStatus!$A$2:$AA$1600,6,FALSE),"Pending"),"Pending")</f>
        <v>45904</v>
      </c>
      <c r="AE224" s="5" t="str">
        <f t="shared" si="78"/>
        <v>4500788354</v>
      </c>
      <c r="AF224" s="5" t="str">
        <f t="shared" si="79"/>
        <v>AGM Inc.</v>
      </c>
      <c r="AG224" s="5" t="str">
        <f t="shared" si="80"/>
        <v>USD</v>
      </c>
      <c r="AH224" s="5">
        <f t="shared" si="81"/>
        <v>0</v>
      </c>
      <c r="AI224" s="12">
        <f>IF(L224-N224=0,VLOOKUP(U224,rate!A$4:B$15,2,FALSE)*AH224,IF(AG224="USD",O224,AH224*Y224))</f>
        <v>0</v>
      </c>
      <c r="AJ224" s="13">
        <f t="shared" si="82"/>
        <v>0</v>
      </c>
      <c r="AK224" s="13">
        <f>-IF(AG224="CAD",IFERROR(VLOOKUP(D224,CAARStatus!$A$1:$Y$1600,16,FALSE),0),0)</f>
        <v>0</v>
      </c>
      <c r="AL224" s="13">
        <f>-IF(AG224="USD",IFERROR(VLOOKUP(D224,CAARStatus!$A$1:$Y$1600,11,FALSE),0),0)</f>
        <v>-1417.75</v>
      </c>
      <c r="AM224" s="22" t="str">
        <f t="shared" si="83"/>
        <v/>
      </c>
      <c r="AN224" s="12">
        <f t="shared" si="84"/>
        <v>-1417.75</v>
      </c>
      <c r="AO224" s="12" t="str">
        <f t="shared" si="85"/>
        <v>Yes</v>
      </c>
      <c r="AP224" t="str">
        <f t="shared" si="70"/>
        <v>XX</v>
      </c>
      <c r="AQ224" t="str">
        <f>IFERROR(VLOOKUP(Z224,InvBal!$L$4:$P$600,4,FALSE),"Pend")</f>
        <v>Yes</v>
      </c>
      <c r="AR224" t="str">
        <f>IFERROR(VLOOKUP(D224,Manual!$C$1:$E$22,2,FALSE),"Pend")</f>
        <v>Pend</v>
      </c>
      <c r="AS224" t="str">
        <f t="shared" si="86"/>
        <v>Yes</v>
      </c>
      <c r="AT224" t="str">
        <f t="shared" si="87"/>
        <v/>
      </c>
      <c r="AU224" s="51" t="str">
        <f t="shared" si="88"/>
        <v/>
      </c>
      <c r="AV224" s="12">
        <f>IFERROR(VLOOKUP(D224,'Receivable Invoice Detail'!$S$1:$U$3014,3,FALSE),0)</f>
        <v>0</v>
      </c>
      <c r="AW224" s="12">
        <f t="shared" si="89"/>
        <v>0</v>
      </c>
    </row>
    <row r="225" spans="1:49" x14ac:dyDescent="0.25">
      <c r="A225" s="2">
        <v>1</v>
      </c>
      <c r="B225" s="2" t="s">
        <v>984</v>
      </c>
      <c r="C225" s="2" t="s">
        <v>985</v>
      </c>
      <c r="D225" s="2" t="s">
        <v>3009</v>
      </c>
      <c r="E225" s="2" t="s">
        <v>986</v>
      </c>
      <c r="F225" s="3">
        <v>45711.669351851851</v>
      </c>
      <c r="G225" s="3">
        <v>45859.507233796299</v>
      </c>
      <c r="H225" s="4">
        <v>45904</v>
      </c>
      <c r="I225" s="2" t="s">
        <v>180</v>
      </c>
      <c r="J225" s="2" t="s">
        <v>51</v>
      </c>
      <c r="K225" s="2">
        <v>0.72845881656938405</v>
      </c>
      <c r="L225" s="2">
        <v>8554.704615077495</v>
      </c>
      <c r="M225" s="2">
        <v>0</v>
      </c>
      <c r="N225" s="2">
        <v>6231.75</v>
      </c>
      <c r="O225" s="2">
        <v>6231.75</v>
      </c>
      <c r="P225" s="2"/>
      <c r="Q225" s="2">
        <v>6231.75</v>
      </c>
      <c r="R225" s="2" t="s">
        <v>44</v>
      </c>
      <c r="S225" s="2"/>
      <c r="T225" s="2">
        <f t="shared" si="71"/>
        <v>1</v>
      </c>
      <c r="U225" s="18">
        <f t="shared" si="72"/>
        <v>2</v>
      </c>
      <c r="V225" s="18">
        <f t="shared" si="73"/>
        <v>2025</v>
      </c>
      <c r="W225" s="18">
        <f t="shared" si="74"/>
        <v>9</v>
      </c>
      <c r="X225" s="18">
        <f t="shared" si="75"/>
        <v>2025</v>
      </c>
      <c r="Y225" s="2">
        <f t="shared" si="68"/>
        <v>0.72845881656938405</v>
      </c>
      <c r="Z225" t="str">
        <f t="shared" si="69"/>
        <v>SO16653</v>
      </c>
      <c r="AA225" s="11">
        <f t="shared" si="76"/>
        <v>45711.669351851851</v>
      </c>
      <c r="AB225" s="5" t="str">
        <f t="shared" si="77"/>
        <v>INV13374</v>
      </c>
      <c r="AC225" s="5" t="str">
        <f>IFERROR(VLOOKUP(D225,CAARStatus!$A$2:$AA$1600,22,FALSE),"Not invoiced")</f>
        <v>Paid</v>
      </c>
      <c r="AD225" s="11">
        <f>IF(AC225="Paid",IFERROR(VLOOKUP(D225,CAARStatus!$A$2:$AA$1600,6,FALSE),"Pending"),"Pending")</f>
        <v>45909</v>
      </c>
      <c r="AE225" s="5" t="str">
        <f t="shared" si="78"/>
        <v>30862</v>
      </c>
      <c r="AF225" s="5" t="str">
        <f t="shared" si="79"/>
        <v>First Bauxite Inc.</v>
      </c>
      <c r="AG225" s="5" t="str">
        <f t="shared" si="80"/>
        <v>USD</v>
      </c>
      <c r="AH225" s="5">
        <f t="shared" si="81"/>
        <v>8554.704615077495</v>
      </c>
      <c r="AI225" s="12">
        <f>IF(L225-N225=0,VLOOKUP(U225,rate!A$4:B$15,2,FALSE)*AH225,IF(AG225="USD",O225,AH225*Y225))</f>
        <v>6231.75</v>
      </c>
      <c r="AJ225" s="13">
        <f t="shared" si="82"/>
        <v>0.72845881656938405</v>
      </c>
      <c r="AK225" s="13">
        <f>-IF(AG225="CAD",IFERROR(VLOOKUP(D225,CAARStatus!$A$1:$Y$1600,16,FALSE),0),0)</f>
        <v>0</v>
      </c>
      <c r="AL225" s="13">
        <f>-IF(AG225="USD",IFERROR(VLOOKUP(D225,CAARStatus!$A$1:$Y$1600,11,FALSE),0),0)</f>
        <v>-6231.75</v>
      </c>
      <c r="AM225" s="22" t="str">
        <f t="shared" si="83"/>
        <v/>
      </c>
      <c r="AN225" s="12">
        <f t="shared" si="84"/>
        <v>0</v>
      </c>
      <c r="AO225" s="12" t="str">
        <f t="shared" si="85"/>
        <v>Yes</v>
      </c>
      <c r="AP225" t="str">
        <f t="shared" si="70"/>
        <v>Yes</v>
      </c>
      <c r="AQ225" t="str">
        <f>IFERROR(VLOOKUP(Z225,InvBal!$L$4:$P$600,4,FALSE),"Pend")</f>
        <v>Pend</v>
      </c>
      <c r="AR225" t="str">
        <f>IFERROR(VLOOKUP(D225,Manual!$C$1:$E$22,2,FALSE),"Pend")</f>
        <v>Pend</v>
      </c>
      <c r="AS225" t="str">
        <f t="shared" si="86"/>
        <v>Yes</v>
      </c>
      <c r="AT225" t="str">
        <f t="shared" si="87"/>
        <v>Yes</v>
      </c>
      <c r="AU225" s="51" t="str">
        <f t="shared" si="88"/>
        <v>Yes</v>
      </c>
      <c r="AV225" s="12">
        <f>IFERROR(VLOOKUP(D225,'Receivable Invoice Detail'!$S$1:$U$3014,3,FALSE),0)</f>
        <v>0</v>
      </c>
      <c r="AW225" s="12">
        <f t="shared" si="89"/>
        <v>6231.75</v>
      </c>
    </row>
    <row r="226" spans="1:49" ht="45" x14ac:dyDescent="0.25">
      <c r="A226" s="2">
        <v>1</v>
      </c>
      <c r="B226" s="2" t="s">
        <v>1923</v>
      </c>
      <c r="C226" s="2" t="s">
        <v>1924</v>
      </c>
      <c r="D226" s="2" t="s">
        <v>2468</v>
      </c>
      <c r="E226" s="2" t="s">
        <v>502</v>
      </c>
      <c r="F226" s="3">
        <v>45711.909050925933</v>
      </c>
      <c r="G226" s="3">
        <v>45711.909513888888</v>
      </c>
      <c r="H226" s="4">
        <v>45713</v>
      </c>
      <c r="I226" s="2" t="s">
        <v>21</v>
      </c>
      <c r="J226" s="2" t="s">
        <v>22</v>
      </c>
      <c r="K226" s="2">
        <v>1</v>
      </c>
      <c r="L226" s="2">
        <v>3134.29</v>
      </c>
      <c r="M226" s="2">
        <v>0</v>
      </c>
      <c r="N226" s="2">
        <v>2203.3606060222219</v>
      </c>
      <c r="O226" s="2">
        <v>2985.04</v>
      </c>
      <c r="P226" s="2">
        <v>149.25</v>
      </c>
      <c r="Q226" s="2">
        <v>3134.29</v>
      </c>
      <c r="R226" s="2" t="s">
        <v>44</v>
      </c>
      <c r="S226" s="2"/>
      <c r="T226" s="2">
        <f t="shared" si="71"/>
        <v>1</v>
      </c>
      <c r="U226" s="18">
        <f t="shared" si="72"/>
        <v>2</v>
      </c>
      <c r="V226" s="18">
        <f t="shared" si="73"/>
        <v>2025</v>
      </c>
      <c r="W226" s="18">
        <f t="shared" si="74"/>
        <v>4</v>
      </c>
      <c r="X226" s="18">
        <f t="shared" si="75"/>
        <v>2025</v>
      </c>
      <c r="Y226" s="2">
        <f t="shared" si="68"/>
        <v>0.7029855584589243</v>
      </c>
      <c r="Z226" t="str">
        <f t="shared" si="69"/>
        <v>SO16654</v>
      </c>
      <c r="AA226" s="11">
        <f t="shared" si="76"/>
        <v>45711.909050925933</v>
      </c>
      <c r="AB226" s="5" t="str">
        <f t="shared" si="77"/>
        <v>INV12669</v>
      </c>
      <c r="AC226" s="5" t="str">
        <f>IFERROR(VLOOKUP(D226,CAARStatus!$A$2:$AA$1600,22,FALSE),"Not invoiced")</f>
        <v>Paid</v>
      </c>
      <c r="AD226" s="11">
        <f>IF(AC226="Paid",IFERROR(VLOOKUP(D226,CAARStatus!$A$2:$AA$1600,6,FALSE),"Pending"),"Pending")</f>
        <v>45751</v>
      </c>
      <c r="AE226" s="5" t="str">
        <f t="shared" si="78"/>
        <v>4500563473</v>
      </c>
      <c r="AF226" s="5" t="str">
        <f t="shared" si="79"/>
        <v>Glencore Canada Corporation - Rouyn-Noranda, Glencore Canada Corp.</v>
      </c>
      <c r="AG226" s="5" t="str">
        <f t="shared" si="80"/>
        <v>CAD</v>
      </c>
      <c r="AH226" s="5">
        <f t="shared" si="81"/>
        <v>2985.04</v>
      </c>
      <c r="AI226" s="12">
        <f>IF(L226-N226=0,VLOOKUP(U226,rate!A$4:B$15,2,FALSE)*AH226,IF(AG226="USD",O226,AH226*Y226))</f>
        <v>2098.4400114222271</v>
      </c>
      <c r="AJ226" s="13">
        <f t="shared" si="82"/>
        <v>0.70298555845892419</v>
      </c>
      <c r="AK226" s="13">
        <f>-IF(AG226="CAD",IFERROR(VLOOKUP(D226,CAARStatus!$A$1:$Y$1600,16,FALSE),0),0)</f>
        <v>-2985.04</v>
      </c>
      <c r="AL226" s="13">
        <f>-IF(AG226="USD",IFERROR(VLOOKUP(D226,CAARStatus!$A$1:$Y$1600,11,FALSE),0),0)</f>
        <v>0</v>
      </c>
      <c r="AM226" s="22">
        <f t="shared" si="83"/>
        <v>0</v>
      </c>
      <c r="AN226" s="12" t="str">
        <f t="shared" si="84"/>
        <v/>
      </c>
      <c r="AO226" s="12" t="str">
        <f t="shared" si="85"/>
        <v>Yes</v>
      </c>
      <c r="AP226" t="str">
        <f t="shared" si="70"/>
        <v>Yes</v>
      </c>
      <c r="AQ226" t="str">
        <f>IFERROR(VLOOKUP(Z226,InvBal!$L$4:$P$600,4,FALSE),"Pend")</f>
        <v>Pend</v>
      </c>
      <c r="AR226" t="str">
        <f>IFERROR(VLOOKUP(D226,Manual!$C$1:$E$22,2,FALSE),"Pend")</f>
        <v>Pend</v>
      </c>
      <c r="AS226" t="str">
        <f t="shared" si="86"/>
        <v>Yes</v>
      </c>
      <c r="AT226" t="str">
        <f t="shared" si="87"/>
        <v>Yes</v>
      </c>
      <c r="AU226" s="51" t="str">
        <f t="shared" si="88"/>
        <v>Yes</v>
      </c>
      <c r="AV226" s="12">
        <f>IFERROR(VLOOKUP(D226,'Receivable Invoice Detail'!$S$1:$U$3014,3,FALSE),0)</f>
        <v>0</v>
      </c>
      <c r="AW226" s="12">
        <f t="shared" si="89"/>
        <v>2098.4400114222271</v>
      </c>
    </row>
    <row r="227" spans="1:49" ht="30" x14ac:dyDescent="0.25">
      <c r="A227" s="2">
        <v>1</v>
      </c>
      <c r="B227" s="2" t="s">
        <v>1921</v>
      </c>
      <c r="C227" s="2" t="s">
        <v>1922</v>
      </c>
      <c r="D227" s="2" t="s">
        <v>2469</v>
      </c>
      <c r="E227" s="2" t="s">
        <v>981</v>
      </c>
      <c r="F227" s="3">
        <v>45712.40253472222</v>
      </c>
      <c r="G227" s="3">
        <v>45712.40253472222</v>
      </c>
      <c r="H227" s="4">
        <v>45722</v>
      </c>
      <c r="I227" s="2" t="s">
        <v>21</v>
      </c>
      <c r="J227" s="2" t="s">
        <v>22</v>
      </c>
      <c r="K227" s="2">
        <v>1</v>
      </c>
      <c r="L227" s="2">
        <v>1540.6</v>
      </c>
      <c r="M227" s="2">
        <v>0</v>
      </c>
      <c r="N227" s="2">
        <v>1083.0195513618189</v>
      </c>
      <c r="O227" s="2">
        <v>1363.36</v>
      </c>
      <c r="P227" s="2">
        <v>177.24</v>
      </c>
      <c r="Q227" s="2">
        <v>1540.6</v>
      </c>
      <c r="R227" s="2" t="s">
        <v>44</v>
      </c>
      <c r="S227" s="2"/>
      <c r="T227" s="2">
        <f t="shared" si="71"/>
        <v>1</v>
      </c>
      <c r="U227" s="18">
        <f t="shared" si="72"/>
        <v>2</v>
      </c>
      <c r="V227" s="18">
        <f t="shared" si="73"/>
        <v>2025</v>
      </c>
      <c r="W227" s="18">
        <f t="shared" si="74"/>
        <v>4</v>
      </c>
      <c r="X227" s="18">
        <f t="shared" si="75"/>
        <v>2025</v>
      </c>
      <c r="Y227" s="2">
        <f t="shared" si="68"/>
        <v>0.70298555845892441</v>
      </c>
      <c r="Z227" t="str">
        <f t="shared" si="69"/>
        <v>SO16656</v>
      </c>
      <c r="AA227" s="11">
        <f t="shared" si="76"/>
        <v>45712.40253472222</v>
      </c>
      <c r="AB227" s="5" t="str">
        <f t="shared" si="77"/>
        <v>INV12714</v>
      </c>
      <c r="AC227" s="5" t="str">
        <f>IFERROR(VLOOKUP(D227,CAARStatus!$A$2:$AA$1600,22,FALSE),"Not invoiced")</f>
        <v>Paid</v>
      </c>
      <c r="AD227" s="11">
        <f>IF(AC227="Paid",IFERROR(VLOOKUP(D227,CAARStatus!$A$2:$AA$1600,6,FALSE),"Pending"),"Pending")</f>
        <v>45754</v>
      </c>
      <c r="AE227" s="5" t="str">
        <f t="shared" si="78"/>
        <v>4560062740</v>
      </c>
      <c r="AF227" s="5" t="str">
        <f t="shared" si="79"/>
        <v>Alamos Gold Inc, Alamos Gold Inc Island Gold Division</v>
      </c>
      <c r="AG227" s="5" t="str">
        <f t="shared" si="80"/>
        <v>CAD</v>
      </c>
      <c r="AH227" s="5">
        <f t="shared" si="81"/>
        <v>1363.36</v>
      </c>
      <c r="AI227" s="12">
        <f>IF(L227-N227=0,VLOOKUP(U227,rate!A$4:B$15,2,FALSE)*AH227,IF(AG227="USD",O227,AH227*Y227))</f>
        <v>958.42239098055916</v>
      </c>
      <c r="AJ227" s="13">
        <f t="shared" si="82"/>
        <v>0.70298555845892441</v>
      </c>
      <c r="AK227" s="13">
        <f>-IF(AG227="CAD",IFERROR(VLOOKUP(D227,CAARStatus!$A$1:$Y$1600,16,FALSE),0),0)</f>
        <v>-1363.36</v>
      </c>
      <c r="AL227" s="13">
        <f>-IF(AG227="USD",IFERROR(VLOOKUP(D227,CAARStatus!$A$1:$Y$1600,11,FALSE),0),0)</f>
        <v>0</v>
      </c>
      <c r="AM227" s="22">
        <f t="shared" si="83"/>
        <v>0</v>
      </c>
      <c r="AN227" s="12" t="str">
        <f t="shared" si="84"/>
        <v/>
      </c>
      <c r="AO227" s="12" t="str">
        <f t="shared" si="85"/>
        <v>Yes</v>
      </c>
      <c r="AP227" t="str">
        <f t="shared" si="70"/>
        <v>Yes</v>
      </c>
      <c r="AQ227" t="str">
        <f>IFERROR(VLOOKUP(Z227,InvBal!$L$4:$P$600,4,FALSE),"Pend")</f>
        <v>Pend</v>
      </c>
      <c r="AR227" t="str">
        <f>IFERROR(VLOOKUP(D227,Manual!$C$1:$E$22,2,FALSE),"Pend")</f>
        <v>Pend</v>
      </c>
      <c r="AS227" t="str">
        <f t="shared" si="86"/>
        <v>Yes</v>
      </c>
      <c r="AT227" t="str">
        <f t="shared" si="87"/>
        <v>Yes</v>
      </c>
      <c r="AU227" s="51" t="str">
        <f t="shared" si="88"/>
        <v>Yes</v>
      </c>
      <c r="AV227" s="12">
        <f>IFERROR(VLOOKUP(D227,'Receivable Invoice Detail'!$S$1:$U$3014,3,FALSE),0)</f>
        <v>0</v>
      </c>
      <c r="AW227" s="12">
        <f t="shared" si="89"/>
        <v>958.42239098055916</v>
      </c>
    </row>
    <row r="228" spans="1:49" ht="30" x14ac:dyDescent="0.25">
      <c r="A228" s="2">
        <v>1</v>
      </c>
      <c r="B228" s="2" t="s">
        <v>1911</v>
      </c>
      <c r="C228" s="2" t="s">
        <v>1912</v>
      </c>
      <c r="D228" s="2" t="s">
        <v>2475</v>
      </c>
      <c r="E228" s="2" t="s">
        <v>98</v>
      </c>
      <c r="F228" s="3">
        <v>45712.459004629629</v>
      </c>
      <c r="G228" s="3">
        <v>45712.666747685187</v>
      </c>
      <c r="H228" s="4">
        <v>45713</v>
      </c>
      <c r="I228" s="2" t="s">
        <v>21</v>
      </c>
      <c r="J228" s="2" t="s">
        <v>22</v>
      </c>
      <c r="K228" s="2">
        <v>1</v>
      </c>
      <c r="L228" s="2">
        <v>169.43</v>
      </c>
      <c r="M228" s="2">
        <v>0</v>
      </c>
      <c r="N228" s="2">
        <v>119.10684316969559</v>
      </c>
      <c r="O228" s="2">
        <v>149.94</v>
      </c>
      <c r="P228" s="2">
        <v>19.489999999999998</v>
      </c>
      <c r="Q228" s="2">
        <v>169.43</v>
      </c>
      <c r="R228" s="2" t="s">
        <v>44</v>
      </c>
      <c r="S228" s="2"/>
      <c r="T228" s="2">
        <f t="shared" si="71"/>
        <v>1</v>
      </c>
      <c r="U228" s="18">
        <f t="shared" si="72"/>
        <v>2</v>
      </c>
      <c r="V228" s="18">
        <f t="shared" si="73"/>
        <v>2025</v>
      </c>
      <c r="W228" s="18">
        <f t="shared" si="74"/>
        <v>3</v>
      </c>
      <c r="X228" s="18">
        <f t="shared" si="75"/>
        <v>2025</v>
      </c>
      <c r="Y228" s="2">
        <f t="shared" si="68"/>
        <v>0.70298555845892452</v>
      </c>
      <c r="Z228" t="str">
        <f t="shared" si="69"/>
        <v>SO16657</v>
      </c>
      <c r="AA228" s="11">
        <f t="shared" si="76"/>
        <v>45712.459004629629</v>
      </c>
      <c r="AB228" s="5" t="str">
        <f t="shared" si="77"/>
        <v>INV12665</v>
      </c>
      <c r="AC228" s="5" t="str">
        <f>IFERROR(VLOOKUP(D228,CAARStatus!$A$2:$AA$1600,22,FALSE),"Not invoiced")</f>
        <v>Paid</v>
      </c>
      <c r="AD228" s="11">
        <f>IF(AC228="Paid",IFERROR(VLOOKUP(D228,CAARStatus!$A$2:$AA$1600,6,FALSE),"Pending"),"Pending")</f>
        <v>45742</v>
      </c>
      <c r="AE228" s="5" t="str">
        <f t="shared" si="78"/>
        <v>PO-007775</v>
      </c>
      <c r="AF228" s="5" t="str">
        <f t="shared" si="79"/>
        <v>Sling-Choker Manufacturing - Timmins</v>
      </c>
      <c r="AG228" s="5" t="str">
        <f t="shared" si="80"/>
        <v>CAD</v>
      </c>
      <c r="AH228" s="5">
        <f t="shared" si="81"/>
        <v>149.94</v>
      </c>
      <c r="AI228" s="12">
        <f>IF(L228-N228=0,VLOOKUP(U228,rate!A$4:B$15,2,FALSE)*AH228,IF(AG228="USD",O228,AH228*Y228))</f>
        <v>105.40565463533115</v>
      </c>
      <c r="AJ228" s="13">
        <f t="shared" si="82"/>
        <v>0.70298555845892452</v>
      </c>
      <c r="AK228" s="13">
        <f>-IF(AG228="CAD",IFERROR(VLOOKUP(D228,CAARStatus!$A$1:$Y$1600,16,FALSE),0),0)</f>
        <v>-149.94</v>
      </c>
      <c r="AL228" s="13">
        <f>-IF(AG228="USD",IFERROR(VLOOKUP(D228,CAARStatus!$A$1:$Y$1600,11,FALSE),0),0)</f>
        <v>0</v>
      </c>
      <c r="AM228" s="22">
        <f t="shared" si="83"/>
        <v>0</v>
      </c>
      <c r="AN228" s="12" t="str">
        <f t="shared" si="84"/>
        <v/>
      </c>
      <c r="AO228" s="12" t="str">
        <f t="shared" si="85"/>
        <v>Yes</v>
      </c>
      <c r="AP228" t="str">
        <f t="shared" si="70"/>
        <v>Yes</v>
      </c>
      <c r="AQ228" t="str">
        <f>IFERROR(VLOOKUP(Z228,InvBal!$L$4:$P$600,4,FALSE),"Pend")</f>
        <v>Pend</v>
      </c>
      <c r="AR228" t="str">
        <f>IFERROR(VLOOKUP(D228,Manual!$C$1:$E$22,2,FALSE),"Pend")</f>
        <v>Pend</v>
      </c>
      <c r="AS228" t="str">
        <f t="shared" si="86"/>
        <v>Yes</v>
      </c>
      <c r="AT228" t="str">
        <f t="shared" si="87"/>
        <v>Yes</v>
      </c>
      <c r="AU228" s="51" t="str">
        <f t="shared" si="88"/>
        <v>Yes</v>
      </c>
      <c r="AV228" s="12">
        <f>IFERROR(VLOOKUP(D228,'Receivable Invoice Detail'!$S$1:$U$3014,3,FALSE),0)</f>
        <v>0</v>
      </c>
      <c r="AW228" s="12">
        <f t="shared" si="89"/>
        <v>105.40565463533115</v>
      </c>
    </row>
    <row r="229" spans="1:49" ht="30" x14ac:dyDescent="0.25">
      <c r="A229" s="2">
        <v>2</v>
      </c>
      <c r="B229" s="2" t="s">
        <v>1919</v>
      </c>
      <c r="C229" s="2" t="s">
        <v>1920</v>
      </c>
      <c r="D229" s="2" t="s">
        <v>2471</v>
      </c>
      <c r="E229" s="2" t="s">
        <v>129</v>
      </c>
      <c r="F229" s="3">
        <v>45712.468587962961</v>
      </c>
      <c r="G229" s="3">
        <v>45712.468391203707</v>
      </c>
      <c r="H229" s="4">
        <v>45737</v>
      </c>
      <c r="I229" s="2" t="s">
        <v>130</v>
      </c>
      <c r="J229" s="2" t="s">
        <v>51</v>
      </c>
      <c r="K229" s="2">
        <v>0.70296853684155547</v>
      </c>
      <c r="L229" s="2">
        <v>5468.2390441983789</v>
      </c>
      <c r="M229" s="2">
        <v>0</v>
      </c>
      <c r="N229" s="2">
        <v>3844</v>
      </c>
      <c r="O229" s="2">
        <v>3844</v>
      </c>
      <c r="P229" s="2"/>
      <c r="Q229" s="2">
        <v>3844</v>
      </c>
      <c r="R229" s="2" t="s">
        <v>44</v>
      </c>
      <c r="S229" s="2"/>
      <c r="T229" s="2">
        <f t="shared" si="71"/>
        <v>2</v>
      </c>
      <c r="U229" s="18">
        <f t="shared" si="72"/>
        <v>2</v>
      </c>
      <c r="V229" s="18">
        <f t="shared" si="73"/>
        <v>2025</v>
      </c>
      <c r="W229" s="18" t="str">
        <f t="shared" si="74"/>
        <v/>
      </c>
      <c r="X229" s="18" t="str">
        <f t="shared" si="75"/>
        <v/>
      </c>
      <c r="Y229" s="2">
        <f t="shared" si="68"/>
        <v>0.70296853684155547</v>
      </c>
      <c r="Z229" t="str">
        <f t="shared" si="69"/>
        <v>SO16658</v>
      </c>
      <c r="AA229" s="11">
        <f t="shared" si="76"/>
        <v>45712.468587962961</v>
      </c>
      <c r="AB229" s="5" t="str">
        <f t="shared" si="77"/>
        <v>INV12888</v>
      </c>
      <c r="AC229" s="5" t="str">
        <f>IFERROR(VLOOKUP(D229,CAARStatus!$A$2:$AA$1600,22,FALSE),"Not invoiced")</f>
        <v>Approved</v>
      </c>
      <c r="AD229" s="11" t="str">
        <f>IF(AC229="Paid",IFERROR(VLOOKUP(D229,CAARStatus!$A$2:$AA$1600,6,FALSE),"Pending"),"Pending")</f>
        <v>Pending</v>
      </c>
      <c r="AE229" s="5" t="str">
        <f t="shared" si="78"/>
        <v>OC00150</v>
      </c>
      <c r="AF229" s="5" t="str">
        <f t="shared" si="79"/>
        <v>Dynapro Pumps México S de RL de CV</v>
      </c>
      <c r="AG229" s="5" t="str">
        <f t="shared" si="80"/>
        <v>USD</v>
      </c>
      <c r="AH229" s="5">
        <f t="shared" si="81"/>
        <v>5468.2390441983789</v>
      </c>
      <c r="AI229" s="12">
        <f>IF(L229-N229=0,VLOOKUP(U229,rate!A$4:B$15,2,FALSE)*AH229,IF(AG229="USD",O229,AH229*Y229))</f>
        <v>3844</v>
      </c>
      <c r="AJ229" s="13">
        <f t="shared" si="82"/>
        <v>0.70296853684155547</v>
      </c>
      <c r="AK229" s="61">
        <f>IF(AC229="Paid",-IF(AG229="CAD",IFERROR(VLOOKUP(D229,CAARStatus!$A$1:$Y$1600,16,FALSE),0),0),0)</f>
        <v>0</v>
      </c>
      <c r="AL229" s="61">
        <f>IF(AC229="Paid",-IF(AG229="USD",IFERROR(VLOOKUP(D229,CAARStatus!$A$1:$Y$1600,11,FALSE),0),0),0)</f>
        <v>0</v>
      </c>
      <c r="AM229" s="22" t="str">
        <f t="shared" si="83"/>
        <v/>
      </c>
      <c r="AN229" s="12">
        <f t="shared" si="84"/>
        <v>3844</v>
      </c>
      <c r="AO229" s="12" t="str">
        <f t="shared" si="85"/>
        <v>Pend</v>
      </c>
      <c r="AP229" t="str">
        <f t="shared" si="70"/>
        <v>XX</v>
      </c>
      <c r="AQ229">
        <f>IFERROR(VLOOKUP(Z229,InvBal!$L$4:$P$600,4,FALSE),"Pend")</f>
        <v>0</v>
      </c>
      <c r="AR229" t="str">
        <f>IFERROR(VLOOKUP(D229,Manual!$C$1:$E$22,2,FALSE),"Pend")</f>
        <v>Pend</v>
      </c>
      <c r="AS229" t="str">
        <f t="shared" si="86"/>
        <v/>
      </c>
      <c r="AT229" t="str">
        <f t="shared" si="87"/>
        <v>Yes</v>
      </c>
      <c r="AU229" s="51" t="str">
        <f t="shared" si="88"/>
        <v/>
      </c>
      <c r="AV229" s="12">
        <f>IFERROR(VLOOKUP(D229,'Receivable Invoice Detail'!$S$1:$U$3014,3,FALSE),0)</f>
        <v>0</v>
      </c>
      <c r="AW229" s="12">
        <f t="shared" si="89"/>
        <v>0</v>
      </c>
    </row>
    <row r="230" spans="1:49" x14ac:dyDescent="0.25">
      <c r="A230" s="2"/>
      <c r="B230" s="2"/>
      <c r="C230" s="2"/>
      <c r="D230" s="2" t="s">
        <v>2470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f t="shared" si="71"/>
        <v>2</v>
      </c>
      <c r="U230" s="18">
        <f t="shared" si="72"/>
        <v>2</v>
      </c>
      <c r="V230" s="18">
        <f t="shared" si="73"/>
        <v>2025</v>
      </c>
      <c r="W230" s="18" t="str">
        <f t="shared" si="74"/>
        <v/>
      </c>
      <c r="X230" s="18" t="str">
        <f t="shared" si="75"/>
        <v/>
      </c>
      <c r="Y230" s="2">
        <f t="shared" si="68"/>
        <v>0.70296853684155547</v>
      </c>
      <c r="Z230" t="str">
        <f t="shared" si="69"/>
        <v>SO16658</v>
      </c>
      <c r="AA230" s="11">
        <f t="shared" si="76"/>
        <v>45712.468587962961</v>
      </c>
      <c r="AB230" s="5" t="str">
        <f t="shared" si="77"/>
        <v>INV12887</v>
      </c>
      <c r="AC230" s="5" t="str">
        <f>IFERROR(VLOOKUP(D230,CAARStatus!$A$2:$AA$1600,22,FALSE),"Not invoiced")</f>
        <v>Approved</v>
      </c>
      <c r="AD230" s="11" t="str">
        <f>IF(AC230="Paid",IFERROR(VLOOKUP(D230,CAARStatus!$A$2:$AA$1600,6,FALSE),"Pending"),"Pending")</f>
        <v>Pending</v>
      </c>
      <c r="AE230" s="5" t="str">
        <f t="shared" si="78"/>
        <v>OC00150</v>
      </c>
      <c r="AF230" s="5" t="str">
        <f t="shared" si="79"/>
        <v>Dynapro Pumps México S de RL de CV</v>
      </c>
      <c r="AG230" s="5" t="str">
        <f t="shared" si="80"/>
        <v>USD</v>
      </c>
      <c r="AH230" s="5">
        <f t="shared" si="81"/>
        <v>0</v>
      </c>
      <c r="AI230" s="12">
        <f>IF(L230-N230=0,VLOOKUP(U230,rate!A$4:B$15,2,FALSE)*AH230,IF(AG230="USD",O230,AH230*Y230))</f>
        <v>0</v>
      </c>
      <c r="AJ230" s="13">
        <f t="shared" si="82"/>
        <v>0</v>
      </c>
      <c r="AK230" s="61">
        <f>IF(AC230="Paid",-IF(AG230="CAD",IFERROR(VLOOKUP(D230,CAARStatus!$A$1:$Y$1600,16,FALSE),0),0),0)</f>
        <v>0</v>
      </c>
      <c r="AL230" s="61">
        <f>IF(AC230="Paid",-IF(AG230="USD",IFERROR(VLOOKUP(D230,CAARStatus!$A$1:$Y$1600,11,FALSE),0),0),0)</f>
        <v>0</v>
      </c>
      <c r="AM230" s="22" t="str">
        <f t="shared" si="83"/>
        <v/>
      </c>
      <c r="AN230" s="12">
        <f t="shared" si="84"/>
        <v>0</v>
      </c>
      <c r="AO230" s="12" t="str">
        <f t="shared" si="85"/>
        <v>Pend</v>
      </c>
      <c r="AP230" t="str">
        <f t="shared" si="70"/>
        <v>XX</v>
      </c>
      <c r="AQ230">
        <f>IFERROR(VLOOKUP(Z230,InvBal!$L$4:$P$600,4,FALSE),"Pend")</f>
        <v>0</v>
      </c>
      <c r="AR230" t="str">
        <f>IFERROR(VLOOKUP(D230,Manual!$C$1:$E$22,2,FALSE),"Pend")</f>
        <v>Pend</v>
      </c>
      <c r="AS230" t="str">
        <f t="shared" si="86"/>
        <v/>
      </c>
      <c r="AT230" t="str">
        <f t="shared" si="87"/>
        <v/>
      </c>
      <c r="AU230" s="51" t="str">
        <f t="shared" si="88"/>
        <v/>
      </c>
      <c r="AV230" s="12">
        <f>IFERROR(VLOOKUP(D230,'Receivable Invoice Detail'!$S$1:$U$3014,3,FALSE),0)</f>
        <v>0</v>
      </c>
      <c r="AW230" s="12">
        <f t="shared" si="89"/>
        <v>0</v>
      </c>
    </row>
    <row r="231" spans="1:49" ht="30" x14ac:dyDescent="0.25">
      <c r="A231" s="2">
        <v>1</v>
      </c>
      <c r="B231" s="2" t="s">
        <v>1915</v>
      </c>
      <c r="C231" s="2" t="s">
        <v>1916</v>
      </c>
      <c r="D231" s="2" t="s">
        <v>2473</v>
      </c>
      <c r="E231" s="2" t="s">
        <v>98</v>
      </c>
      <c r="F231" s="3">
        <v>45712.48337962963</v>
      </c>
      <c r="G231" s="3">
        <v>45712.649641203701</v>
      </c>
      <c r="H231" s="4">
        <v>45714</v>
      </c>
      <c r="I231" s="2" t="s">
        <v>21</v>
      </c>
      <c r="J231" s="2" t="s">
        <v>22</v>
      </c>
      <c r="K231" s="2">
        <v>1</v>
      </c>
      <c r="L231" s="2">
        <v>510.16</v>
      </c>
      <c r="M231" s="2">
        <v>0</v>
      </c>
      <c r="N231" s="2">
        <v>358.63511250340491</v>
      </c>
      <c r="O231" s="2">
        <v>451.47</v>
      </c>
      <c r="P231" s="2">
        <v>58.69</v>
      </c>
      <c r="Q231" s="2">
        <v>510.16</v>
      </c>
      <c r="R231" s="2" t="s">
        <v>44</v>
      </c>
      <c r="S231" s="2"/>
      <c r="T231" s="2">
        <f t="shared" si="71"/>
        <v>1</v>
      </c>
      <c r="U231" s="18">
        <f t="shared" si="72"/>
        <v>2</v>
      </c>
      <c r="V231" s="18">
        <f t="shared" si="73"/>
        <v>2025</v>
      </c>
      <c r="W231" s="18">
        <f t="shared" si="74"/>
        <v>3</v>
      </c>
      <c r="X231" s="18">
        <f t="shared" si="75"/>
        <v>2025</v>
      </c>
      <c r="Y231" s="2">
        <f t="shared" si="68"/>
        <v>0.70298555845892441</v>
      </c>
      <c r="Z231" t="str">
        <f t="shared" si="69"/>
        <v>SO16659</v>
      </c>
      <c r="AA231" s="11">
        <f t="shared" si="76"/>
        <v>45712.48337962963</v>
      </c>
      <c r="AB231" s="5" t="str">
        <f t="shared" si="77"/>
        <v>INV12667</v>
      </c>
      <c r="AC231" s="5" t="str">
        <f>IFERROR(VLOOKUP(D231,CAARStatus!$A$2:$AA$1600,22,FALSE),"Not invoiced")</f>
        <v>Paid</v>
      </c>
      <c r="AD231" s="11">
        <f>IF(AC231="Paid",IFERROR(VLOOKUP(D231,CAARStatus!$A$2:$AA$1600,6,FALSE),"Pending"),"Pending")</f>
        <v>45742</v>
      </c>
      <c r="AE231" s="5" t="str">
        <f t="shared" si="78"/>
        <v>PO-007778</v>
      </c>
      <c r="AF231" s="5" t="str">
        <f t="shared" si="79"/>
        <v>Sling-Choker Manufacturing - Timmins</v>
      </c>
      <c r="AG231" s="5" t="str">
        <f t="shared" si="80"/>
        <v>CAD</v>
      </c>
      <c r="AH231" s="5">
        <f t="shared" si="81"/>
        <v>451.47</v>
      </c>
      <c r="AI231" s="12">
        <f>IF(L231-N231=0,VLOOKUP(U231,rate!A$4:B$15,2,FALSE)*AH231,IF(AG231="USD",O231,AH231*Y231))</f>
        <v>317.37689007745064</v>
      </c>
      <c r="AJ231" s="13">
        <f t="shared" si="82"/>
        <v>0.70298555845892441</v>
      </c>
      <c r="AK231" s="13">
        <f>-IF(AG231="CAD",IFERROR(VLOOKUP(D231,CAARStatus!$A$1:$Y$1600,16,FALSE),0),0)</f>
        <v>-451.47</v>
      </c>
      <c r="AL231" s="13">
        <f>-IF(AG231="USD",IFERROR(VLOOKUP(D231,CAARStatus!$A$1:$Y$1600,11,FALSE),0),0)</f>
        <v>0</v>
      </c>
      <c r="AM231" s="22">
        <f t="shared" si="83"/>
        <v>0</v>
      </c>
      <c r="AN231" s="12" t="str">
        <f t="shared" si="84"/>
        <v/>
      </c>
      <c r="AO231" s="12" t="str">
        <f t="shared" si="85"/>
        <v>Yes</v>
      </c>
      <c r="AP231" t="str">
        <f t="shared" si="70"/>
        <v>Yes</v>
      </c>
      <c r="AQ231" t="str">
        <f>IFERROR(VLOOKUP(Z231,InvBal!$L$4:$P$600,4,FALSE),"Pend")</f>
        <v>Pend</v>
      </c>
      <c r="AR231" t="str">
        <f>IFERROR(VLOOKUP(D231,Manual!$C$1:$E$22,2,FALSE),"Pend")</f>
        <v>Pend</v>
      </c>
      <c r="AS231" t="str">
        <f t="shared" si="86"/>
        <v>Yes</v>
      </c>
      <c r="AT231" t="str">
        <f t="shared" si="87"/>
        <v>Yes</v>
      </c>
      <c r="AU231" s="51" t="str">
        <f t="shared" si="88"/>
        <v>Yes</v>
      </c>
      <c r="AV231" s="12">
        <f>IFERROR(VLOOKUP(D231,'Receivable Invoice Detail'!$S$1:$U$3014,3,FALSE),0)</f>
        <v>0</v>
      </c>
      <c r="AW231" s="12">
        <f t="shared" si="89"/>
        <v>317.37689007745064</v>
      </c>
    </row>
    <row r="232" spans="1:49" ht="30" x14ac:dyDescent="0.25">
      <c r="A232" s="2">
        <v>1</v>
      </c>
      <c r="B232" s="2" t="s">
        <v>1917</v>
      </c>
      <c r="C232" s="2" t="s">
        <v>1918</v>
      </c>
      <c r="D232" s="2" t="s">
        <v>2472</v>
      </c>
      <c r="E232" s="2" t="s">
        <v>129</v>
      </c>
      <c r="F232" s="3">
        <v>45712.59820601852</v>
      </c>
      <c r="G232" s="3">
        <v>45712.598020833328</v>
      </c>
      <c r="H232" s="4">
        <v>45744</v>
      </c>
      <c r="I232" s="2" t="s">
        <v>130</v>
      </c>
      <c r="J232" s="2" t="s">
        <v>51</v>
      </c>
      <c r="K232" s="2">
        <v>0.70296853684155547</v>
      </c>
      <c r="L232" s="2">
        <v>113.8031018563658</v>
      </c>
      <c r="M232" s="2">
        <v>0</v>
      </c>
      <c r="N232" s="2">
        <v>80</v>
      </c>
      <c r="O232" s="2">
        <v>80</v>
      </c>
      <c r="P232" s="2"/>
      <c r="Q232" s="2">
        <v>80</v>
      </c>
      <c r="R232" s="2" t="s">
        <v>44</v>
      </c>
      <c r="S232" s="2"/>
      <c r="T232" s="2">
        <f t="shared" si="71"/>
        <v>1</v>
      </c>
      <c r="U232" s="18">
        <f t="shared" si="72"/>
        <v>2</v>
      </c>
      <c r="V232" s="18">
        <f t="shared" si="73"/>
        <v>2025</v>
      </c>
      <c r="W232" s="18" t="str">
        <f t="shared" si="74"/>
        <v/>
      </c>
      <c r="X232" s="18" t="str">
        <f t="shared" si="75"/>
        <v/>
      </c>
      <c r="Y232" s="2">
        <f t="shared" si="68"/>
        <v>0.70296853684155569</v>
      </c>
      <c r="Z232" t="str">
        <f t="shared" si="69"/>
        <v>SO16660</v>
      </c>
      <c r="AA232" s="11">
        <f t="shared" si="76"/>
        <v>45712.59820601852</v>
      </c>
      <c r="AB232" s="5" t="str">
        <f t="shared" si="77"/>
        <v>INV12866</v>
      </c>
      <c r="AC232" s="5" t="str">
        <f>IFERROR(VLOOKUP(D232,CAARStatus!$A$2:$AA$1600,22,FALSE),"Not invoiced")</f>
        <v>Approved</v>
      </c>
      <c r="AD232" s="11" t="str">
        <f>IF(AC232="Paid",IFERROR(VLOOKUP(D232,CAARStatus!$A$2:$AA$1600,6,FALSE),"Pending"),"Pending")</f>
        <v>Pending</v>
      </c>
      <c r="AE232" s="5" t="str">
        <f t="shared" si="78"/>
        <v>OC00151</v>
      </c>
      <c r="AF232" s="5" t="str">
        <f t="shared" si="79"/>
        <v>Dynapro Pumps México S de RL de CV</v>
      </c>
      <c r="AG232" s="5" t="str">
        <f t="shared" si="80"/>
        <v>USD</v>
      </c>
      <c r="AH232" s="5">
        <f t="shared" si="81"/>
        <v>113.80310185636584</v>
      </c>
      <c r="AI232" s="12">
        <f>IF(L232-N232=0,VLOOKUP(U232,rate!A$4:B$15,2,FALSE)*AH232,IF(AG232="USD",O232,AH232*Y232))</f>
        <v>80</v>
      </c>
      <c r="AJ232" s="13">
        <f t="shared" si="82"/>
        <v>0.70296853684155547</v>
      </c>
      <c r="AK232" s="13">
        <f>-IF(AG232="CAD",IFERROR(VLOOKUP(D232,CAARStatus!$A$1:$Y$1600,16,FALSE),0),0)</f>
        <v>0</v>
      </c>
      <c r="AL232" s="13">
        <f>-IF(AG232="USD",IFERROR(VLOOKUP(D232,CAARStatus!$A$1:$Y$1600,11,FALSE),0),0)</f>
        <v>-80</v>
      </c>
      <c r="AM232" s="22" t="str">
        <f t="shared" si="83"/>
        <v/>
      </c>
      <c r="AN232" s="12">
        <f t="shared" si="84"/>
        <v>0</v>
      </c>
      <c r="AO232" s="12" t="str">
        <f t="shared" si="85"/>
        <v>Pend</v>
      </c>
      <c r="AP232" t="str">
        <f t="shared" si="70"/>
        <v>Pend</v>
      </c>
      <c r="AQ232" t="str">
        <f>IFERROR(VLOOKUP(Z232,InvBal!$L$4:$P$600,4,FALSE),"Pend")</f>
        <v>Pend</v>
      </c>
      <c r="AR232" t="str">
        <f>IFERROR(VLOOKUP(D232,Manual!$C$1:$E$22,2,FALSE),"Pend")</f>
        <v>Pend</v>
      </c>
      <c r="AS232" t="str">
        <f t="shared" si="86"/>
        <v/>
      </c>
      <c r="AT232" t="str">
        <f t="shared" si="87"/>
        <v>Yes</v>
      </c>
      <c r="AU232" s="51" t="str">
        <f t="shared" si="88"/>
        <v/>
      </c>
      <c r="AV232" s="12">
        <f>IFERROR(VLOOKUP(D232,'Receivable Invoice Detail'!$S$1:$U$3014,3,FALSE),0)</f>
        <v>0</v>
      </c>
      <c r="AW232" s="12">
        <f t="shared" si="89"/>
        <v>0</v>
      </c>
    </row>
    <row r="233" spans="1:49" ht="30" x14ac:dyDescent="0.25">
      <c r="A233" s="2">
        <v>1</v>
      </c>
      <c r="B233" s="2" t="s">
        <v>1873</v>
      </c>
      <c r="C233" s="2" t="s">
        <v>1874</v>
      </c>
      <c r="D233" s="2" t="s">
        <v>2493</v>
      </c>
      <c r="E233" s="2" t="s">
        <v>1236</v>
      </c>
      <c r="F233" s="3">
        <v>45712.637696759259</v>
      </c>
      <c r="G233" s="3">
        <v>45715.730150462958</v>
      </c>
      <c r="H233" s="4">
        <v>45716</v>
      </c>
      <c r="I233" s="2" t="s">
        <v>21</v>
      </c>
      <c r="J233" s="2" t="s">
        <v>22</v>
      </c>
      <c r="K233" s="2">
        <v>1</v>
      </c>
      <c r="L233" s="2">
        <v>1521.22</v>
      </c>
      <c r="M233" s="2">
        <v>0</v>
      </c>
      <c r="N233" s="2">
        <v>1054.9098069328579</v>
      </c>
      <c r="O233" s="2">
        <v>1448.78</v>
      </c>
      <c r="P233" s="2">
        <v>72.44</v>
      </c>
      <c r="Q233" s="2">
        <v>1521.22</v>
      </c>
      <c r="R233" s="2" t="s">
        <v>44</v>
      </c>
      <c r="S233" s="2"/>
      <c r="T233" s="2">
        <f t="shared" si="71"/>
        <v>1</v>
      </c>
      <c r="U233" s="18">
        <f t="shared" si="72"/>
        <v>2</v>
      </c>
      <c r="V233" s="18">
        <f t="shared" si="73"/>
        <v>2025</v>
      </c>
      <c r="W233" s="18">
        <f t="shared" si="74"/>
        <v>3</v>
      </c>
      <c r="X233" s="18">
        <f t="shared" si="75"/>
        <v>2025</v>
      </c>
      <c r="Y233" s="2">
        <f t="shared" si="68"/>
        <v>0.69346301450997083</v>
      </c>
      <c r="Z233" t="str">
        <f t="shared" si="69"/>
        <v>SO16662</v>
      </c>
      <c r="AA233" s="11">
        <f t="shared" si="76"/>
        <v>45712.637696759259</v>
      </c>
      <c r="AB233" s="5" t="str">
        <f t="shared" si="77"/>
        <v>INV12689</v>
      </c>
      <c r="AC233" s="5" t="str">
        <f>IFERROR(VLOOKUP(D233,CAARStatus!$A$2:$AA$1600,22,FALSE),"Not invoiced")</f>
        <v>Paid</v>
      </c>
      <c r="AD233" s="11">
        <f>IF(AC233="Paid",IFERROR(VLOOKUP(D233,CAARStatus!$A$2:$AA$1600,6,FALSE),"Pending"),"Pending")</f>
        <v>45747</v>
      </c>
      <c r="AE233" s="5" t="str">
        <f t="shared" si="78"/>
        <v>BC78-00052744</v>
      </c>
      <c r="AF233" s="5" t="str">
        <f t="shared" si="79"/>
        <v>Motion Industries Inc. (Canada) - Quesnel</v>
      </c>
      <c r="AG233" s="5" t="str">
        <f t="shared" si="80"/>
        <v>CAD</v>
      </c>
      <c r="AH233" s="5">
        <f t="shared" si="81"/>
        <v>1448.78</v>
      </c>
      <c r="AI233" s="12">
        <f>IF(L233-N233=0,VLOOKUP(U233,rate!A$4:B$15,2,FALSE)*AH233,IF(AG233="USD",O233,AH233*Y233))</f>
        <v>1004.6753461617556</v>
      </c>
      <c r="AJ233" s="13">
        <f t="shared" si="82"/>
        <v>0.69346301450997083</v>
      </c>
      <c r="AK233" s="13">
        <f>-IF(AG233="CAD",IFERROR(VLOOKUP(D233,CAARStatus!$A$1:$Y$1600,16,FALSE),0),0)</f>
        <v>-1448.78</v>
      </c>
      <c r="AL233" s="13">
        <f>-IF(AG233="USD",IFERROR(VLOOKUP(D233,CAARStatus!$A$1:$Y$1600,11,FALSE),0),0)</f>
        <v>0</v>
      </c>
      <c r="AM233" s="22">
        <f t="shared" si="83"/>
        <v>0</v>
      </c>
      <c r="AN233" s="12" t="str">
        <f t="shared" si="84"/>
        <v/>
      </c>
      <c r="AO233" s="12" t="str">
        <f t="shared" si="85"/>
        <v>Yes</v>
      </c>
      <c r="AP233" t="str">
        <f t="shared" si="70"/>
        <v>Yes</v>
      </c>
      <c r="AQ233" t="str">
        <f>IFERROR(VLOOKUP(Z233,InvBal!$L$4:$P$600,4,FALSE),"Pend")</f>
        <v>Pend</v>
      </c>
      <c r="AR233" t="str">
        <f>IFERROR(VLOOKUP(D233,Manual!$C$1:$E$22,2,FALSE),"Pend")</f>
        <v>Pend</v>
      </c>
      <c r="AS233" t="str">
        <f t="shared" si="86"/>
        <v>Yes</v>
      </c>
      <c r="AT233" t="str">
        <f t="shared" si="87"/>
        <v>Yes</v>
      </c>
      <c r="AU233" s="51" t="str">
        <f t="shared" si="88"/>
        <v>Yes</v>
      </c>
      <c r="AV233" s="12">
        <f>IFERROR(VLOOKUP(D233,'Receivable Invoice Detail'!$S$1:$U$3014,3,FALSE),0)</f>
        <v>0</v>
      </c>
      <c r="AW233" s="12">
        <f t="shared" si="89"/>
        <v>1004.6753461617556</v>
      </c>
    </row>
    <row r="234" spans="1:49" x14ac:dyDescent="0.25">
      <c r="A234" s="2">
        <v>1</v>
      </c>
      <c r="B234" s="2" t="s">
        <v>1913</v>
      </c>
      <c r="C234" s="2" t="s">
        <v>1914</v>
      </c>
      <c r="D234" s="2" t="s">
        <v>2474</v>
      </c>
      <c r="E234" s="2" t="s">
        <v>644</v>
      </c>
      <c r="F234" s="3">
        <v>45712.657233796293</v>
      </c>
      <c r="G234" s="3">
        <v>45712.658553240741</v>
      </c>
      <c r="H234" s="4">
        <v>45754</v>
      </c>
      <c r="I234" s="2" t="s">
        <v>21</v>
      </c>
      <c r="J234" s="2" t="s">
        <v>51</v>
      </c>
      <c r="K234" s="2">
        <v>0.70296853684155547</v>
      </c>
      <c r="L234" s="2">
        <v>6427.869475214452</v>
      </c>
      <c r="M234" s="2">
        <v>0</v>
      </c>
      <c r="N234" s="2">
        <v>4518.59</v>
      </c>
      <c r="O234" s="2">
        <v>4518.59</v>
      </c>
      <c r="P234" s="2"/>
      <c r="Q234" s="2">
        <v>4518.59</v>
      </c>
      <c r="R234" s="2" t="s">
        <v>44</v>
      </c>
      <c r="S234" s="2"/>
      <c r="T234" s="2">
        <f t="shared" si="71"/>
        <v>1</v>
      </c>
      <c r="U234" s="18">
        <f t="shared" si="72"/>
        <v>2</v>
      </c>
      <c r="V234" s="18">
        <f t="shared" si="73"/>
        <v>2025</v>
      </c>
      <c r="W234" s="18">
        <f t="shared" si="74"/>
        <v>5</v>
      </c>
      <c r="X234" s="18">
        <f t="shared" si="75"/>
        <v>2025</v>
      </c>
      <c r="Y234" s="2">
        <f t="shared" si="68"/>
        <v>0.70296853684155547</v>
      </c>
      <c r="Z234" t="str">
        <f t="shared" si="69"/>
        <v>SO16663</v>
      </c>
      <c r="AA234" s="11">
        <f t="shared" si="76"/>
        <v>45712.657233796293</v>
      </c>
      <c r="AB234" s="5" t="str">
        <f t="shared" si="77"/>
        <v>INV12855</v>
      </c>
      <c r="AC234" s="5" t="str">
        <f>IFERROR(VLOOKUP(D234,CAARStatus!$A$2:$AA$1600,22,FALSE),"Not invoiced")</f>
        <v>Paid</v>
      </c>
      <c r="AD234" s="11">
        <f>IF(AC234="Paid",IFERROR(VLOOKUP(D234,CAARStatus!$A$2:$AA$1600,6,FALSE),"Pending"),"Pending")</f>
        <v>45792</v>
      </c>
      <c r="AE234" s="5" t="str">
        <f t="shared" si="78"/>
        <v>P-22425</v>
      </c>
      <c r="AF234" s="5" t="str">
        <f t="shared" si="79"/>
        <v>Cartledge &amp; Associates Inc.</v>
      </c>
      <c r="AG234" s="5" t="str">
        <f t="shared" si="80"/>
        <v>USD</v>
      </c>
      <c r="AH234" s="5">
        <f t="shared" si="81"/>
        <v>6427.869475214452</v>
      </c>
      <c r="AI234" s="12">
        <f>IF(L234-N234=0,VLOOKUP(U234,rate!A$4:B$15,2,FALSE)*AH234,IF(AG234="USD",O234,AH234*Y234))</f>
        <v>4518.59</v>
      </c>
      <c r="AJ234" s="13">
        <f t="shared" si="82"/>
        <v>0.70296853684155547</v>
      </c>
      <c r="AK234" s="13">
        <f>-IF(AG234="CAD",IFERROR(VLOOKUP(D234,CAARStatus!$A$1:$Y$1600,16,FALSE),0),0)</f>
        <v>0</v>
      </c>
      <c r="AL234" s="13">
        <f>-IF(AG234="USD",IFERROR(VLOOKUP(D234,CAARStatus!$A$1:$Y$1600,11,FALSE),0),0)</f>
        <v>-4518.59</v>
      </c>
      <c r="AM234" s="22" t="str">
        <f t="shared" si="83"/>
        <v/>
      </c>
      <c r="AN234" s="12">
        <f t="shared" si="84"/>
        <v>0</v>
      </c>
      <c r="AO234" s="12" t="str">
        <f t="shared" si="85"/>
        <v>Yes</v>
      </c>
      <c r="AP234" t="str">
        <f t="shared" si="70"/>
        <v>Yes</v>
      </c>
      <c r="AQ234" t="str">
        <f>IFERROR(VLOOKUP(Z234,InvBal!$L$4:$P$600,4,FALSE),"Pend")</f>
        <v>Pend</v>
      </c>
      <c r="AR234" t="str">
        <f>IFERROR(VLOOKUP(D234,Manual!$C$1:$E$22,2,FALSE),"Pend")</f>
        <v>Pend</v>
      </c>
      <c r="AS234" t="str">
        <f t="shared" si="86"/>
        <v>Yes</v>
      </c>
      <c r="AT234" t="str">
        <f t="shared" si="87"/>
        <v>Yes</v>
      </c>
      <c r="AU234" s="51" t="str">
        <f t="shared" si="88"/>
        <v>Yes</v>
      </c>
      <c r="AV234" s="12">
        <f>IFERROR(VLOOKUP(D234,'Receivable Invoice Detail'!$S$1:$U$3014,3,FALSE),0)</f>
        <v>599</v>
      </c>
      <c r="AW234" s="12">
        <f t="shared" si="89"/>
        <v>3919.59</v>
      </c>
    </row>
    <row r="235" spans="1:49" x14ac:dyDescent="0.25">
      <c r="A235" s="2">
        <v>1</v>
      </c>
      <c r="B235" s="2" t="s">
        <v>1897</v>
      </c>
      <c r="C235" s="2" t="s">
        <v>1898</v>
      </c>
      <c r="D235" s="2" t="s">
        <v>2482</v>
      </c>
      <c r="E235" s="2" t="s">
        <v>192</v>
      </c>
      <c r="F235" s="3">
        <v>45712.67869212963</v>
      </c>
      <c r="G235" s="3">
        <v>45713.716967592591</v>
      </c>
      <c r="H235" s="4">
        <v>45755</v>
      </c>
      <c r="I235" s="2" t="s">
        <v>21</v>
      </c>
      <c r="J235" s="2" t="s">
        <v>51</v>
      </c>
      <c r="K235" s="2">
        <v>0.70298555845892441</v>
      </c>
      <c r="L235" s="2">
        <v>12206.666121010219</v>
      </c>
      <c r="M235" s="2">
        <v>0</v>
      </c>
      <c r="N235" s="2">
        <v>8581.11</v>
      </c>
      <c r="O235" s="2">
        <v>8581.11</v>
      </c>
      <c r="P235" s="2"/>
      <c r="Q235" s="2">
        <v>8581.11</v>
      </c>
      <c r="R235" s="2" t="s">
        <v>44</v>
      </c>
      <c r="S235" s="2"/>
      <c r="T235" s="2">
        <f t="shared" si="71"/>
        <v>1</v>
      </c>
      <c r="U235" s="18">
        <f t="shared" si="72"/>
        <v>2</v>
      </c>
      <c r="V235" s="18">
        <f t="shared" si="73"/>
        <v>2025</v>
      </c>
      <c r="W235" s="18">
        <f t="shared" si="74"/>
        <v>5</v>
      </c>
      <c r="X235" s="18">
        <f t="shared" si="75"/>
        <v>2025</v>
      </c>
      <c r="Y235" s="2">
        <f t="shared" si="68"/>
        <v>0.7029855584589243</v>
      </c>
      <c r="Z235" t="str">
        <f t="shared" si="69"/>
        <v>SO16664</v>
      </c>
      <c r="AA235" s="11">
        <f t="shared" si="76"/>
        <v>45712.67869212963</v>
      </c>
      <c r="AB235" s="5" t="str">
        <f t="shared" si="77"/>
        <v>INV12821</v>
      </c>
      <c r="AC235" s="5" t="str">
        <f>IFERROR(VLOOKUP(D235,CAARStatus!$A$2:$AA$1600,22,FALSE),"Not invoiced")</f>
        <v>Paid</v>
      </c>
      <c r="AD235" s="11">
        <f>IF(AC235="Paid",IFERROR(VLOOKUP(D235,CAARStatus!$A$2:$AA$1600,6,FALSE),"Pending"),"Pending")</f>
        <v>45792</v>
      </c>
      <c r="AE235" s="5" t="str">
        <f t="shared" si="78"/>
        <v>PO-039100</v>
      </c>
      <c r="AF235" s="5" t="str">
        <f t="shared" si="79"/>
        <v>Southeast Pump Specialist, Inc.</v>
      </c>
      <c r="AG235" s="5" t="str">
        <f t="shared" si="80"/>
        <v>USD</v>
      </c>
      <c r="AH235" s="5">
        <f t="shared" si="81"/>
        <v>12206.666121010217</v>
      </c>
      <c r="AI235" s="12">
        <f>IF(L235-N235=0,VLOOKUP(U235,rate!A$4:B$15,2,FALSE)*AH235,IF(AG235="USD",O235,AH235*Y235))</f>
        <v>8581.11</v>
      </c>
      <c r="AJ235" s="13">
        <f t="shared" si="82"/>
        <v>0.70298555845892441</v>
      </c>
      <c r="AK235" s="13">
        <f>-IF(AG235="CAD",IFERROR(VLOOKUP(D235,CAARStatus!$A$1:$Y$1600,16,FALSE),0),0)</f>
        <v>0</v>
      </c>
      <c r="AL235" s="13">
        <f>-IF(AG235="USD",IFERROR(VLOOKUP(D235,CAARStatus!$A$1:$Y$1600,11,FALSE),0),0)</f>
        <v>-8581.11</v>
      </c>
      <c r="AM235" s="22" t="str">
        <f t="shared" si="83"/>
        <v/>
      </c>
      <c r="AN235" s="12">
        <f t="shared" si="84"/>
        <v>0</v>
      </c>
      <c r="AO235" s="12" t="str">
        <f t="shared" si="85"/>
        <v>Yes</v>
      </c>
      <c r="AP235" t="str">
        <f t="shared" si="70"/>
        <v>Yes</v>
      </c>
      <c r="AQ235" t="str">
        <f>IFERROR(VLOOKUP(Z235,InvBal!$L$4:$P$600,4,FALSE),"Pend")</f>
        <v>Pend</v>
      </c>
      <c r="AR235" t="str">
        <f>IFERROR(VLOOKUP(D235,Manual!$C$1:$E$22,2,FALSE),"Pend")</f>
        <v>Pend</v>
      </c>
      <c r="AS235" t="str">
        <f t="shared" si="86"/>
        <v>Yes</v>
      </c>
      <c r="AT235" t="str">
        <f t="shared" si="87"/>
        <v>Yes</v>
      </c>
      <c r="AU235" s="51" t="str">
        <f t="shared" si="88"/>
        <v>Yes</v>
      </c>
      <c r="AV235" s="12">
        <f>IFERROR(VLOOKUP(D235,'Receivable Invoice Detail'!$S$1:$U$3014,3,FALSE),0)</f>
        <v>613</v>
      </c>
      <c r="AW235" s="12">
        <f t="shared" si="89"/>
        <v>7968.1100000000006</v>
      </c>
    </row>
    <row r="236" spans="1:49" ht="30" x14ac:dyDescent="0.25">
      <c r="A236" s="2">
        <v>1</v>
      </c>
      <c r="B236" s="2" t="s">
        <v>1909</v>
      </c>
      <c r="C236" s="2" t="s">
        <v>1910</v>
      </c>
      <c r="D236" s="2" t="s">
        <v>2476</v>
      </c>
      <c r="E236" s="2" t="s">
        <v>159</v>
      </c>
      <c r="F236" s="3">
        <v>45712.756284722222</v>
      </c>
      <c r="G236" s="3">
        <v>45712.756724537037</v>
      </c>
      <c r="H236" s="4">
        <v>45727</v>
      </c>
      <c r="I236" s="2" t="s">
        <v>426</v>
      </c>
      <c r="J236" s="2" t="s">
        <v>51</v>
      </c>
      <c r="K236" s="2">
        <v>0.70296853684155547</v>
      </c>
      <c r="L236" s="2">
        <v>3907.4579530137848</v>
      </c>
      <c r="M236" s="2">
        <v>0</v>
      </c>
      <c r="N236" s="2">
        <v>2746.82</v>
      </c>
      <c r="O236" s="2">
        <v>2746.82</v>
      </c>
      <c r="P236" s="2"/>
      <c r="Q236" s="2">
        <v>2746.82</v>
      </c>
      <c r="R236" s="2" t="s">
        <v>44</v>
      </c>
      <c r="S236" s="2"/>
      <c r="T236" s="2">
        <f t="shared" si="71"/>
        <v>1</v>
      </c>
      <c r="U236" s="18">
        <f t="shared" si="72"/>
        <v>2</v>
      </c>
      <c r="V236" s="18">
        <f t="shared" si="73"/>
        <v>2025</v>
      </c>
      <c r="W236" s="18">
        <f t="shared" si="74"/>
        <v>5</v>
      </c>
      <c r="X236" s="18">
        <f t="shared" si="75"/>
        <v>2025</v>
      </c>
      <c r="Y236" s="2">
        <f t="shared" si="68"/>
        <v>0.70296853684155558</v>
      </c>
      <c r="Z236" t="str">
        <f t="shared" si="69"/>
        <v>SO16665</v>
      </c>
      <c r="AA236" s="11">
        <f t="shared" si="76"/>
        <v>45712.756284722222</v>
      </c>
      <c r="AB236" s="5" t="str">
        <f t="shared" si="77"/>
        <v>INV12760</v>
      </c>
      <c r="AC236" s="5" t="str">
        <f>IFERROR(VLOOKUP(D236,CAARStatus!$A$2:$AA$1600,22,FALSE),"Not invoiced")</f>
        <v>Paid</v>
      </c>
      <c r="AD236" s="11">
        <f>IF(AC236="Paid",IFERROR(VLOOKUP(D236,CAARStatus!$A$2:$AA$1600,6,FALSE),"Pending"),"Pending")</f>
        <v>45785</v>
      </c>
      <c r="AE236" s="5" t="str">
        <f t="shared" si="78"/>
        <v>4501118327</v>
      </c>
      <c r="AF236" s="5" t="str">
        <f t="shared" si="79"/>
        <v>Barrick Gold - Pueblo Viejo Dominicana Corporation</v>
      </c>
      <c r="AG236" s="5" t="str">
        <f t="shared" si="80"/>
        <v>USD</v>
      </c>
      <c r="AH236" s="5">
        <f t="shared" si="81"/>
        <v>3907.4579530137853</v>
      </c>
      <c r="AI236" s="12">
        <f>IF(L236-N236=0,VLOOKUP(U236,rate!A$4:B$15,2,FALSE)*AH236,IF(AG236="USD",O236,AH236*Y236))</f>
        <v>2746.82</v>
      </c>
      <c r="AJ236" s="13">
        <f t="shared" si="82"/>
        <v>0.70296853684155547</v>
      </c>
      <c r="AK236" s="13">
        <f>-IF(AG236="CAD",IFERROR(VLOOKUP(D236,CAARStatus!$A$1:$Y$1600,16,FALSE),0),0)</f>
        <v>0</v>
      </c>
      <c r="AL236" s="13">
        <f>-IF(AG236="USD",IFERROR(VLOOKUP(D236,CAARStatus!$A$1:$Y$1600,11,FALSE),0),0)</f>
        <v>-2746.82</v>
      </c>
      <c r="AM236" s="22" t="str">
        <f t="shared" si="83"/>
        <v/>
      </c>
      <c r="AN236" s="12">
        <f t="shared" si="84"/>
        <v>0</v>
      </c>
      <c r="AO236" s="12" t="str">
        <f t="shared" si="85"/>
        <v>Yes</v>
      </c>
      <c r="AP236" t="str">
        <f t="shared" si="70"/>
        <v>Yes</v>
      </c>
      <c r="AQ236" t="str">
        <f>IFERROR(VLOOKUP(Z236,InvBal!$L$4:$P$600,4,FALSE),"Pend")</f>
        <v>Pend</v>
      </c>
      <c r="AR236" t="str">
        <f>IFERROR(VLOOKUP(D236,Manual!$C$1:$E$22,2,FALSE),"Pend")</f>
        <v>Pend</v>
      </c>
      <c r="AS236" t="str">
        <f t="shared" si="86"/>
        <v>Yes</v>
      </c>
      <c r="AT236" t="str">
        <f t="shared" si="87"/>
        <v>Yes</v>
      </c>
      <c r="AU236" s="51" t="str">
        <f t="shared" si="88"/>
        <v>Yes</v>
      </c>
      <c r="AV236" s="12">
        <f>IFERROR(VLOOKUP(D236,'Receivable Invoice Detail'!$S$1:$U$3014,3,FALSE),0)</f>
        <v>0</v>
      </c>
      <c r="AW236" s="12">
        <f t="shared" si="89"/>
        <v>2746.82</v>
      </c>
    </row>
    <row r="237" spans="1:49" x14ac:dyDescent="0.25">
      <c r="A237" s="2">
        <v>1</v>
      </c>
      <c r="B237" s="2" t="s">
        <v>1891</v>
      </c>
      <c r="C237" s="2" t="s">
        <v>1892</v>
      </c>
      <c r="D237" s="2" t="s">
        <v>2485</v>
      </c>
      <c r="E237" s="2" t="s">
        <v>146</v>
      </c>
      <c r="F237" s="3">
        <v>45713.385844907411</v>
      </c>
      <c r="G237" s="3">
        <v>45714.475798611107</v>
      </c>
      <c r="H237" s="4">
        <v>45715</v>
      </c>
      <c r="I237" s="2" t="s">
        <v>21</v>
      </c>
      <c r="J237" s="2" t="s">
        <v>22</v>
      </c>
      <c r="K237" s="2">
        <v>1</v>
      </c>
      <c r="L237" s="2">
        <v>477.52</v>
      </c>
      <c r="M237" s="2">
        <v>0</v>
      </c>
      <c r="N237" s="2">
        <v>332.79285313209579</v>
      </c>
      <c r="O237" s="2">
        <v>454.78</v>
      </c>
      <c r="P237" s="2">
        <v>22.74</v>
      </c>
      <c r="Q237" s="2">
        <v>477.52</v>
      </c>
      <c r="R237" s="2" t="s">
        <v>44</v>
      </c>
      <c r="S237" s="2"/>
      <c r="T237" s="2">
        <f t="shared" si="71"/>
        <v>1</v>
      </c>
      <c r="U237" s="18">
        <f t="shared" si="72"/>
        <v>2</v>
      </c>
      <c r="V237" s="18">
        <f t="shared" si="73"/>
        <v>2025</v>
      </c>
      <c r="W237" s="18">
        <f t="shared" si="74"/>
        <v>4</v>
      </c>
      <c r="X237" s="18">
        <f t="shared" si="75"/>
        <v>2025</v>
      </c>
      <c r="Y237" s="2">
        <f t="shared" si="68"/>
        <v>0.69691919319001461</v>
      </c>
      <c r="Z237" t="str">
        <f t="shared" si="69"/>
        <v>SO16666</v>
      </c>
      <c r="AA237" s="11">
        <f t="shared" si="76"/>
        <v>45713.385844907411</v>
      </c>
      <c r="AB237" s="5" t="str">
        <f t="shared" si="77"/>
        <v>INV12687</v>
      </c>
      <c r="AC237" s="5" t="str">
        <f>IFERROR(VLOOKUP(D237,CAARStatus!$A$2:$AA$1600,22,FALSE),"Not invoiced")</f>
        <v>Paid</v>
      </c>
      <c r="AD237" s="11">
        <f>IF(AC237="Paid",IFERROR(VLOOKUP(D237,CAARStatus!$A$2:$AA$1600,6,FALSE),"Pending"),"Pending")</f>
        <v>45751</v>
      </c>
      <c r="AE237" s="5" t="str">
        <f t="shared" si="78"/>
        <v>6824</v>
      </c>
      <c r="AF237" s="5" t="str">
        <f t="shared" si="79"/>
        <v>Hyperflo</v>
      </c>
      <c r="AG237" s="5" t="str">
        <f t="shared" si="80"/>
        <v>CAD</v>
      </c>
      <c r="AH237" s="5">
        <f t="shared" si="81"/>
        <v>454.78</v>
      </c>
      <c r="AI237" s="12">
        <f>IF(L237-N237=0,VLOOKUP(U237,rate!A$4:B$15,2,FALSE)*AH237,IF(AG237="USD",O237,AH237*Y237))</f>
        <v>316.94491067895484</v>
      </c>
      <c r="AJ237" s="13">
        <f t="shared" si="82"/>
        <v>0.69691919319001461</v>
      </c>
      <c r="AK237" s="13">
        <f>-IF(AG237="CAD",IFERROR(VLOOKUP(D237,CAARStatus!$A$1:$Y$1600,16,FALSE),0),0)</f>
        <v>-454.78</v>
      </c>
      <c r="AL237" s="13">
        <f>-IF(AG237="USD",IFERROR(VLOOKUP(D237,CAARStatus!$A$1:$Y$1600,11,FALSE),0),0)</f>
        <v>0</v>
      </c>
      <c r="AM237" s="22">
        <f t="shared" si="83"/>
        <v>0</v>
      </c>
      <c r="AN237" s="12" t="str">
        <f t="shared" si="84"/>
        <v/>
      </c>
      <c r="AO237" s="12" t="str">
        <f t="shared" si="85"/>
        <v>Yes</v>
      </c>
      <c r="AP237" t="str">
        <f t="shared" si="70"/>
        <v>Yes</v>
      </c>
      <c r="AQ237" t="str">
        <f>IFERROR(VLOOKUP(Z237,InvBal!$L$4:$P$600,4,FALSE),"Pend")</f>
        <v>Pend</v>
      </c>
      <c r="AR237" t="str">
        <f>IFERROR(VLOOKUP(D237,Manual!$C$1:$E$22,2,FALSE),"Pend")</f>
        <v>Pend</v>
      </c>
      <c r="AS237" t="str">
        <f t="shared" si="86"/>
        <v>Yes</v>
      </c>
      <c r="AT237" t="str">
        <f t="shared" si="87"/>
        <v>Yes</v>
      </c>
      <c r="AU237" s="51" t="str">
        <f t="shared" si="88"/>
        <v>Yes</v>
      </c>
      <c r="AV237" s="12">
        <f>IFERROR(VLOOKUP(D237,'Receivable Invoice Detail'!$S$1:$U$3014,3,FALSE),0)</f>
        <v>0</v>
      </c>
      <c r="AW237" s="12">
        <f t="shared" si="89"/>
        <v>316.94491067895484</v>
      </c>
    </row>
    <row r="238" spans="1:49" x14ac:dyDescent="0.25">
      <c r="A238" s="2">
        <v>1</v>
      </c>
      <c r="B238" s="2" t="s">
        <v>1905</v>
      </c>
      <c r="C238" s="2" t="s">
        <v>1906</v>
      </c>
      <c r="D238" s="2" t="s">
        <v>2478</v>
      </c>
      <c r="E238" s="2" t="s">
        <v>465</v>
      </c>
      <c r="F238" s="3">
        <v>45713.393599537027</v>
      </c>
      <c r="G238" s="3">
        <v>45713.442685185182</v>
      </c>
      <c r="H238" s="4">
        <v>45713</v>
      </c>
      <c r="I238" s="2" t="s">
        <v>21</v>
      </c>
      <c r="J238" s="2" t="s">
        <v>22</v>
      </c>
      <c r="K238" s="2">
        <v>1</v>
      </c>
      <c r="L238" s="2">
        <v>132.66</v>
      </c>
      <c r="M238" s="2">
        <v>0</v>
      </c>
      <c r="N238" s="2">
        <v>92.7634808680167</v>
      </c>
      <c r="O238" s="2">
        <v>117.4</v>
      </c>
      <c r="P238" s="2">
        <v>15.26</v>
      </c>
      <c r="Q238" s="2">
        <v>132.66</v>
      </c>
      <c r="R238" s="2" t="s">
        <v>44</v>
      </c>
      <c r="S238" s="2"/>
      <c r="T238" s="2">
        <f t="shared" si="71"/>
        <v>1</v>
      </c>
      <c r="U238" s="18">
        <f t="shared" si="72"/>
        <v>2</v>
      </c>
      <c r="V238" s="18">
        <f t="shared" si="73"/>
        <v>2025</v>
      </c>
      <c r="W238" s="18">
        <f t="shared" si="74"/>
        <v>3</v>
      </c>
      <c r="X238" s="18">
        <f t="shared" si="75"/>
        <v>2025</v>
      </c>
      <c r="Y238" s="2">
        <f t="shared" si="68"/>
        <v>0.69925735615872686</v>
      </c>
      <c r="Z238" t="str">
        <f t="shared" si="69"/>
        <v>SO16667</v>
      </c>
      <c r="AA238" s="11">
        <f t="shared" si="76"/>
        <v>45713.393599537027</v>
      </c>
      <c r="AB238" s="5" t="str">
        <f t="shared" si="77"/>
        <v>INV12673</v>
      </c>
      <c r="AC238" s="5" t="str">
        <f>IFERROR(VLOOKUP(D238,CAARStatus!$A$2:$AA$1600,22,FALSE),"Not invoiced")</f>
        <v>Paid</v>
      </c>
      <c r="AD238" s="11">
        <f>IF(AC238="Paid",IFERROR(VLOOKUP(D238,CAARStatus!$A$2:$AA$1600,6,FALSE),"Pending"),"Pending")</f>
        <v>45726</v>
      </c>
      <c r="AE238" s="5" t="str">
        <f t="shared" si="78"/>
        <v>M-083580</v>
      </c>
      <c r="AF238" s="5" t="str">
        <f t="shared" si="79"/>
        <v>Grant Aggregate</v>
      </c>
      <c r="AG238" s="5" t="str">
        <f t="shared" si="80"/>
        <v>CAD</v>
      </c>
      <c r="AH238" s="5">
        <f t="shared" si="81"/>
        <v>117.4</v>
      </c>
      <c r="AI238" s="12">
        <f>IF(L238-N238=0,VLOOKUP(U238,rate!A$4:B$15,2,FALSE)*AH238,IF(AG238="USD",O238,AH238*Y238))</f>
        <v>82.092813613034537</v>
      </c>
      <c r="AJ238" s="13">
        <f t="shared" si="82"/>
        <v>0.69925735615872686</v>
      </c>
      <c r="AK238" s="13">
        <f>-IF(AG238="CAD",IFERROR(VLOOKUP(D238,CAARStatus!$A$1:$Y$1600,16,FALSE),0),0)</f>
        <v>-117.4</v>
      </c>
      <c r="AL238" s="13">
        <f>-IF(AG238="USD",IFERROR(VLOOKUP(D238,CAARStatus!$A$1:$Y$1600,11,FALSE),0),0)</f>
        <v>0</v>
      </c>
      <c r="AM238" s="22">
        <f t="shared" si="83"/>
        <v>0</v>
      </c>
      <c r="AN238" s="12" t="str">
        <f t="shared" si="84"/>
        <v/>
      </c>
      <c r="AO238" s="12" t="str">
        <f t="shared" si="85"/>
        <v>Yes</v>
      </c>
      <c r="AP238" t="str">
        <f t="shared" si="70"/>
        <v>Yes</v>
      </c>
      <c r="AQ238" t="str">
        <f>IFERROR(VLOOKUP(Z238,InvBal!$L$4:$P$600,4,FALSE),"Pend")</f>
        <v>Pend</v>
      </c>
      <c r="AR238" t="str">
        <f>IFERROR(VLOOKUP(D238,Manual!$C$1:$E$22,2,FALSE),"Pend")</f>
        <v>Pend</v>
      </c>
      <c r="AS238" t="str">
        <f t="shared" si="86"/>
        <v>Yes</v>
      </c>
      <c r="AT238" t="str">
        <f t="shared" si="87"/>
        <v>Yes</v>
      </c>
      <c r="AU238" s="51" t="str">
        <f t="shared" si="88"/>
        <v>Yes</v>
      </c>
      <c r="AV238" s="12">
        <f>IFERROR(VLOOKUP(D238,'Receivable Invoice Detail'!$S$1:$U$3014,3,FALSE),0)</f>
        <v>0</v>
      </c>
      <c r="AW238" s="12">
        <f t="shared" si="89"/>
        <v>82.092813613034537</v>
      </c>
    </row>
    <row r="239" spans="1:49" ht="30" x14ac:dyDescent="0.25">
      <c r="A239" s="2">
        <v>1</v>
      </c>
      <c r="B239" s="2" t="s">
        <v>1895</v>
      </c>
      <c r="C239" s="2" t="s">
        <v>1896</v>
      </c>
      <c r="D239" s="2" t="s">
        <v>2483</v>
      </c>
      <c r="E239" s="2" t="s">
        <v>98</v>
      </c>
      <c r="F239" s="3">
        <v>45713.3981712963</v>
      </c>
      <c r="G239" s="3">
        <v>45714.429409722223</v>
      </c>
      <c r="H239" s="4">
        <v>45715</v>
      </c>
      <c r="I239" s="2" t="s">
        <v>21</v>
      </c>
      <c r="J239" s="2" t="s">
        <v>22</v>
      </c>
      <c r="K239" s="2">
        <v>1</v>
      </c>
      <c r="L239" s="2">
        <v>334.54</v>
      </c>
      <c r="M239" s="2">
        <v>0</v>
      </c>
      <c r="N239" s="2">
        <v>233.1473468897876</v>
      </c>
      <c r="O239" s="2">
        <v>296.05</v>
      </c>
      <c r="P239" s="2">
        <v>38.49</v>
      </c>
      <c r="Q239" s="2">
        <v>334.54</v>
      </c>
      <c r="R239" s="2" t="s">
        <v>44</v>
      </c>
      <c r="S239" s="2"/>
      <c r="T239" s="2">
        <f t="shared" si="71"/>
        <v>1</v>
      </c>
      <c r="U239" s="18">
        <f t="shared" si="72"/>
        <v>2</v>
      </c>
      <c r="V239" s="18">
        <f t="shared" si="73"/>
        <v>2025</v>
      </c>
      <c r="W239" s="18">
        <f t="shared" si="74"/>
        <v>4</v>
      </c>
      <c r="X239" s="18">
        <f t="shared" si="75"/>
        <v>2025</v>
      </c>
      <c r="Y239" s="2">
        <f t="shared" si="68"/>
        <v>0.69691919319001494</v>
      </c>
      <c r="Z239" t="str">
        <f t="shared" si="69"/>
        <v>SO16668</v>
      </c>
      <c r="AA239" s="11">
        <f t="shared" si="76"/>
        <v>45713.3981712963</v>
      </c>
      <c r="AB239" s="5" t="str">
        <f t="shared" si="77"/>
        <v>INV12792</v>
      </c>
      <c r="AC239" s="5" t="str">
        <f>IFERROR(VLOOKUP(D239,CAARStatus!$A$2:$AA$1600,22,FALSE),"Not invoiced")</f>
        <v>Paid</v>
      </c>
      <c r="AD239" s="11">
        <f>IF(AC239="Paid",IFERROR(VLOOKUP(D239,CAARStatus!$A$2:$AA$1600,6,FALSE),"Pending"),"Pending")</f>
        <v>45777</v>
      </c>
      <c r="AE239" s="5" t="str">
        <f t="shared" si="78"/>
        <v>PO-007788</v>
      </c>
      <c r="AF239" s="5" t="str">
        <f t="shared" si="79"/>
        <v>Sling-Choker Manufacturing - Timmins</v>
      </c>
      <c r="AG239" s="5" t="str">
        <f t="shared" si="80"/>
        <v>CAD</v>
      </c>
      <c r="AH239" s="5">
        <f t="shared" si="81"/>
        <v>296.05</v>
      </c>
      <c r="AI239" s="12">
        <f>IF(L239-N239=0,VLOOKUP(U239,rate!A$4:B$15,2,FALSE)*AH239,IF(AG239="USD",O239,AH239*Y239))</f>
        <v>206.32292714390394</v>
      </c>
      <c r="AJ239" s="13">
        <f t="shared" si="82"/>
        <v>0.69691919319001494</v>
      </c>
      <c r="AK239" s="13">
        <f>-IF(AG239="CAD",IFERROR(VLOOKUP(D239,CAARStatus!$A$1:$Y$1600,16,FALSE),0),0)</f>
        <v>-296.05</v>
      </c>
      <c r="AL239" s="13">
        <f>-IF(AG239="USD",IFERROR(VLOOKUP(D239,CAARStatus!$A$1:$Y$1600,11,FALSE),0),0)</f>
        <v>0</v>
      </c>
      <c r="AM239" s="22">
        <f t="shared" si="83"/>
        <v>0</v>
      </c>
      <c r="AN239" s="12" t="str">
        <f t="shared" si="84"/>
        <v/>
      </c>
      <c r="AO239" s="12" t="str">
        <f t="shared" si="85"/>
        <v>Yes</v>
      </c>
      <c r="AP239" t="str">
        <f t="shared" si="70"/>
        <v>Yes</v>
      </c>
      <c r="AQ239" t="str">
        <f>IFERROR(VLOOKUP(Z239,InvBal!$L$4:$P$600,4,FALSE),"Pend")</f>
        <v>Pend</v>
      </c>
      <c r="AR239" t="str">
        <f>IFERROR(VLOOKUP(D239,Manual!$C$1:$E$22,2,FALSE),"Pend")</f>
        <v>Pend</v>
      </c>
      <c r="AS239" t="str">
        <f t="shared" si="86"/>
        <v>Yes</v>
      </c>
      <c r="AT239" t="str">
        <f t="shared" si="87"/>
        <v>Yes</v>
      </c>
      <c r="AU239" s="51" t="str">
        <f t="shared" si="88"/>
        <v>Yes</v>
      </c>
      <c r="AV239" s="12">
        <f>IFERROR(VLOOKUP(D239,'Receivable Invoice Detail'!$S$1:$U$3014,3,FALSE),0)</f>
        <v>0</v>
      </c>
      <c r="AW239" s="12">
        <f t="shared" si="89"/>
        <v>206.32292714390394</v>
      </c>
    </row>
    <row r="240" spans="1:49" ht="30" x14ac:dyDescent="0.25">
      <c r="A240" s="2">
        <v>1</v>
      </c>
      <c r="B240" s="2" t="s">
        <v>1907</v>
      </c>
      <c r="C240" s="2" t="s">
        <v>1908</v>
      </c>
      <c r="D240" s="2" t="s">
        <v>2477</v>
      </c>
      <c r="E240" s="2" t="s">
        <v>159</v>
      </c>
      <c r="F240" s="3">
        <v>45713.405555555553</v>
      </c>
      <c r="G240" s="3">
        <v>45713.40625</v>
      </c>
      <c r="H240" s="4">
        <v>45728</v>
      </c>
      <c r="I240" s="2" t="s">
        <v>426</v>
      </c>
      <c r="J240" s="2" t="s">
        <v>51</v>
      </c>
      <c r="K240" s="2">
        <v>0.70298555845892441</v>
      </c>
      <c r="L240" s="2">
        <v>1249.854978423911</v>
      </c>
      <c r="M240" s="2">
        <v>0</v>
      </c>
      <c r="N240" s="2">
        <v>878.63</v>
      </c>
      <c r="O240" s="2">
        <v>878.63</v>
      </c>
      <c r="P240" s="2"/>
      <c r="Q240" s="2">
        <v>878.63</v>
      </c>
      <c r="R240" s="2" t="s">
        <v>44</v>
      </c>
      <c r="S240" s="2"/>
      <c r="T240" s="2">
        <f t="shared" si="71"/>
        <v>1</v>
      </c>
      <c r="U240" s="18">
        <f t="shared" si="72"/>
        <v>2</v>
      </c>
      <c r="V240" s="18">
        <f t="shared" si="73"/>
        <v>2025</v>
      </c>
      <c r="W240" s="18">
        <f t="shared" si="74"/>
        <v>5</v>
      </c>
      <c r="X240" s="18">
        <f t="shared" si="75"/>
        <v>2025</v>
      </c>
      <c r="Y240" s="2">
        <f t="shared" si="68"/>
        <v>0.70298555845892441</v>
      </c>
      <c r="Z240" t="str">
        <f t="shared" si="69"/>
        <v>SO16669</v>
      </c>
      <c r="AA240" s="11">
        <f t="shared" si="76"/>
        <v>45713.405555555553</v>
      </c>
      <c r="AB240" s="5" t="str">
        <f t="shared" si="77"/>
        <v>INV12764</v>
      </c>
      <c r="AC240" s="5" t="str">
        <f>IFERROR(VLOOKUP(D240,CAARStatus!$A$2:$AA$1600,22,FALSE),"Not invoiced")</f>
        <v>Paid</v>
      </c>
      <c r="AD240" s="11">
        <f>IF(AC240="Paid",IFERROR(VLOOKUP(D240,CAARStatus!$A$2:$AA$1600,6,FALSE),"Pending"),"Pending")</f>
        <v>45786</v>
      </c>
      <c r="AE240" s="5" t="str">
        <f t="shared" si="78"/>
        <v>4501118996</v>
      </c>
      <c r="AF240" s="5" t="str">
        <f t="shared" si="79"/>
        <v>Barrick Gold - Pueblo Viejo Dominicana Corporation</v>
      </c>
      <c r="AG240" s="5" t="str">
        <f t="shared" si="80"/>
        <v>USD</v>
      </c>
      <c r="AH240" s="5">
        <f t="shared" si="81"/>
        <v>1249.854978423911</v>
      </c>
      <c r="AI240" s="12">
        <f>IF(L240-N240=0,VLOOKUP(U240,rate!A$4:B$15,2,FALSE)*AH240,IF(AG240="USD",O240,AH240*Y240))</f>
        <v>878.63</v>
      </c>
      <c r="AJ240" s="13">
        <f t="shared" si="82"/>
        <v>0.70298555845892441</v>
      </c>
      <c r="AK240" s="13">
        <f>-IF(AG240="CAD",IFERROR(VLOOKUP(D240,CAARStatus!$A$1:$Y$1600,16,FALSE),0),0)</f>
        <v>0</v>
      </c>
      <c r="AL240" s="13">
        <f>-IF(AG240="USD",IFERROR(VLOOKUP(D240,CAARStatus!$A$1:$Y$1600,11,FALSE),0),0)</f>
        <v>-878.63</v>
      </c>
      <c r="AM240" s="22" t="str">
        <f t="shared" si="83"/>
        <v/>
      </c>
      <c r="AN240" s="12">
        <f t="shared" si="84"/>
        <v>0</v>
      </c>
      <c r="AO240" s="12" t="str">
        <f t="shared" si="85"/>
        <v>Yes</v>
      </c>
      <c r="AP240" t="str">
        <f t="shared" si="70"/>
        <v>Yes</v>
      </c>
      <c r="AQ240" t="str">
        <f>IFERROR(VLOOKUP(Z240,InvBal!$L$4:$P$600,4,FALSE),"Pend")</f>
        <v>Pend</v>
      </c>
      <c r="AR240" t="str">
        <f>IFERROR(VLOOKUP(D240,Manual!$C$1:$E$22,2,FALSE),"Pend")</f>
        <v>Pend</v>
      </c>
      <c r="AS240" t="str">
        <f t="shared" si="86"/>
        <v>Yes</v>
      </c>
      <c r="AT240" t="str">
        <f t="shared" si="87"/>
        <v>Yes</v>
      </c>
      <c r="AU240" s="51" t="str">
        <f t="shared" si="88"/>
        <v>Yes</v>
      </c>
      <c r="AV240" s="12">
        <f>IFERROR(VLOOKUP(D240,'Receivable Invoice Detail'!$S$1:$U$3014,3,FALSE),0)</f>
        <v>0</v>
      </c>
      <c r="AW240" s="12">
        <f t="shared" si="89"/>
        <v>878.63</v>
      </c>
    </row>
    <row r="241" spans="1:49" x14ac:dyDescent="0.25">
      <c r="A241" s="2">
        <v>1</v>
      </c>
      <c r="B241" s="2" t="s">
        <v>1882</v>
      </c>
      <c r="C241" s="2" t="s">
        <v>1883</v>
      </c>
      <c r="D241" s="2" t="s">
        <v>2489</v>
      </c>
      <c r="E241" s="2" t="s">
        <v>372</v>
      </c>
      <c r="F241" s="3">
        <v>45713.614421296297</v>
      </c>
      <c r="G241" s="3">
        <v>45715.488182870373</v>
      </c>
      <c r="H241" s="4">
        <v>45869</v>
      </c>
      <c r="I241" s="2" t="s">
        <v>21</v>
      </c>
      <c r="J241" s="2" t="s">
        <v>22</v>
      </c>
      <c r="K241" s="2">
        <v>1</v>
      </c>
      <c r="L241" s="2">
        <v>4167.47</v>
      </c>
      <c r="M241" s="2">
        <v>0</v>
      </c>
      <c r="N241" s="2">
        <v>2889.986309079869</v>
      </c>
      <c r="O241" s="2">
        <v>3969.02</v>
      </c>
      <c r="P241" s="2">
        <v>198.45</v>
      </c>
      <c r="Q241" s="2">
        <v>4167.47</v>
      </c>
      <c r="R241" s="2" t="s">
        <v>44</v>
      </c>
      <c r="S241" s="2"/>
      <c r="T241" s="2">
        <f t="shared" si="71"/>
        <v>1</v>
      </c>
      <c r="U241" s="18">
        <f t="shared" si="72"/>
        <v>2</v>
      </c>
      <c r="V241" s="18">
        <f t="shared" si="73"/>
        <v>2025</v>
      </c>
      <c r="W241" s="18">
        <f t="shared" si="74"/>
        <v>9</v>
      </c>
      <c r="X241" s="18">
        <f t="shared" si="75"/>
        <v>2025</v>
      </c>
      <c r="Y241" s="2">
        <f t="shared" si="68"/>
        <v>0.69346301450997094</v>
      </c>
      <c r="Z241" t="str">
        <f t="shared" si="69"/>
        <v>SO16671</v>
      </c>
      <c r="AA241" s="11">
        <f t="shared" si="76"/>
        <v>45713.614421296297</v>
      </c>
      <c r="AB241" s="5" t="str">
        <f t="shared" si="77"/>
        <v>INV13192</v>
      </c>
      <c r="AC241" s="5" t="str">
        <f>IFERROR(VLOOKUP(D241,CAARStatus!$A$2:$AA$1600,22,FALSE),"Not invoiced")</f>
        <v>Paid</v>
      </c>
      <c r="AD241" s="11">
        <f>IF(AC241="Paid",IFERROR(VLOOKUP(D241,CAARStatus!$A$2:$AA$1600,6,FALSE),"Pending"),"Pending")</f>
        <v>45912</v>
      </c>
      <c r="AE241" s="5" t="str">
        <f t="shared" si="78"/>
        <v>129836</v>
      </c>
      <c r="AF241" s="5" t="str">
        <f t="shared" si="79"/>
        <v>Cypress Sales Partnership</v>
      </c>
      <c r="AG241" s="5" t="str">
        <f t="shared" si="80"/>
        <v>CAD</v>
      </c>
      <c r="AH241" s="5">
        <f t="shared" si="81"/>
        <v>3969.02</v>
      </c>
      <c r="AI241" s="12">
        <f>IF(L241-N241=0,VLOOKUP(U241,rate!A$4:B$15,2,FALSE)*AH241,IF(AG241="USD",O241,AH241*Y241))</f>
        <v>2752.368573850365</v>
      </c>
      <c r="AJ241" s="13">
        <f t="shared" si="82"/>
        <v>0.69346301450997094</v>
      </c>
      <c r="AK241" s="13">
        <f>-IF(AG241="CAD",IFERROR(VLOOKUP(D241,CAARStatus!$A$1:$Y$1600,16,FALSE),0),0)</f>
        <v>-3969.02</v>
      </c>
      <c r="AL241" s="13">
        <f>-IF(AG241="USD",IFERROR(VLOOKUP(D241,CAARStatus!$A$1:$Y$1600,11,FALSE),0),0)</f>
        <v>0</v>
      </c>
      <c r="AM241" s="22">
        <f t="shared" si="83"/>
        <v>0</v>
      </c>
      <c r="AN241" s="12" t="str">
        <f t="shared" si="84"/>
        <v/>
      </c>
      <c r="AO241" s="12" t="str">
        <f t="shared" si="85"/>
        <v>Yes</v>
      </c>
      <c r="AP241" t="str">
        <f t="shared" si="70"/>
        <v>Yes</v>
      </c>
      <c r="AQ241" t="str">
        <f>IFERROR(VLOOKUP(Z241,InvBal!$L$4:$P$600,4,FALSE),"Pend")</f>
        <v>Pend</v>
      </c>
      <c r="AR241" t="str">
        <f>IFERROR(VLOOKUP(D241,Manual!$C$1:$E$22,2,FALSE),"Pend")</f>
        <v>Pend</v>
      </c>
      <c r="AS241" t="str">
        <f t="shared" si="86"/>
        <v>Yes</v>
      </c>
      <c r="AT241" t="str">
        <f t="shared" si="87"/>
        <v>Yes</v>
      </c>
      <c r="AU241" s="51" t="str">
        <f t="shared" si="88"/>
        <v>Yes</v>
      </c>
      <c r="AV241" s="12">
        <f>IFERROR(VLOOKUP(D241,'Receivable Invoice Detail'!$S$1:$U$3014,3,FALSE),0)</f>
        <v>0</v>
      </c>
      <c r="AW241" s="12">
        <f t="shared" si="89"/>
        <v>2752.368573850365</v>
      </c>
    </row>
    <row r="242" spans="1:49" ht="30" x14ac:dyDescent="0.25">
      <c r="A242" s="2">
        <v>1</v>
      </c>
      <c r="B242" s="2" t="s">
        <v>1903</v>
      </c>
      <c r="C242" s="2" t="s">
        <v>1904</v>
      </c>
      <c r="D242" s="2" t="s">
        <v>2479</v>
      </c>
      <c r="E242" s="2" t="s">
        <v>290</v>
      </c>
      <c r="F242" s="3">
        <v>45713.639456018522</v>
      </c>
      <c r="G242" s="3">
        <v>45713.651643518519</v>
      </c>
      <c r="H242" s="4">
        <v>45716</v>
      </c>
      <c r="I242" s="2" t="s">
        <v>21</v>
      </c>
      <c r="J242" s="2" t="s">
        <v>22</v>
      </c>
      <c r="K242" s="2">
        <v>1</v>
      </c>
      <c r="L242" s="2">
        <v>986.77</v>
      </c>
      <c r="M242" s="2">
        <v>0</v>
      </c>
      <c r="N242" s="2">
        <v>690.00618133674686</v>
      </c>
      <c r="O242" s="2">
        <v>939.78</v>
      </c>
      <c r="P242" s="2">
        <v>46.99</v>
      </c>
      <c r="Q242" s="2">
        <v>986.77</v>
      </c>
      <c r="R242" s="2" t="s">
        <v>44</v>
      </c>
      <c r="S242" s="2"/>
      <c r="T242" s="2">
        <f t="shared" si="71"/>
        <v>1</v>
      </c>
      <c r="U242" s="18">
        <f t="shared" si="72"/>
        <v>2</v>
      </c>
      <c r="V242" s="18">
        <f t="shared" si="73"/>
        <v>2025</v>
      </c>
      <c r="W242" s="18">
        <f t="shared" si="74"/>
        <v>4</v>
      </c>
      <c r="X242" s="18">
        <f t="shared" si="75"/>
        <v>2025</v>
      </c>
      <c r="Y242" s="2">
        <f t="shared" si="68"/>
        <v>0.69925735615872686</v>
      </c>
      <c r="Z242" t="str">
        <f t="shared" si="69"/>
        <v>SO16672</v>
      </c>
      <c r="AA242" s="11">
        <f t="shared" si="76"/>
        <v>45713.639456018522</v>
      </c>
      <c r="AB242" s="5" t="str">
        <f t="shared" si="77"/>
        <v>INV12678</v>
      </c>
      <c r="AC242" s="5" t="str">
        <f>IFERROR(VLOOKUP(D242,CAARStatus!$A$2:$AA$1600,22,FALSE),"Not invoiced")</f>
        <v>Paid</v>
      </c>
      <c r="AD242" s="11">
        <f>IF(AC242="Paid",IFERROR(VLOOKUP(D242,CAARStatus!$A$2:$AA$1600,6,FALSE),"Pending"),"Pending")</f>
        <v>45772</v>
      </c>
      <c r="AE242" s="5" t="str">
        <f t="shared" si="78"/>
        <v>4500583205</v>
      </c>
      <c r="AF242" s="5" t="str">
        <f t="shared" si="79"/>
        <v>Resolute Forest Products - Kenogami</v>
      </c>
      <c r="AG242" s="5" t="str">
        <f t="shared" si="80"/>
        <v>CAD</v>
      </c>
      <c r="AH242" s="5">
        <f t="shared" si="81"/>
        <v>939.78</v>
      </c>
      <c r="AI242" s="12">
        <f>IF(L242-N242=0,VLOOKUP(U242,rate!A$4:B$15,2,FALSE)*AH242,IF(AG242="USD",O242,AH242*Y242))</f>
        <v>657.14807817084829</v>
      </c>
      <c r="AJ242" s="13">
        <f t="shared" si="82"/>
        <v>0.69925735615872686</v>
      </c>
      <c r="AK242" s="13">
        <f>-IF(AG242="CAD",IFERROR(VLOOKUP(D242,CAARStatus!$A$1:$Y$1600,16,FALSE),0),0)</f>
        <v>-939.78</v>
      </c>
      <c r="AL242" s="13">
        <f>-IF(AG242="USD",IFERROR(VLOOKUP(D242,CAARStatus!$A$1:$Y$1600,11,FALSE),0),0)</f>
        <v>0</v>
      </c>
      <c r="AM242" s="22">
        <f t="shared" si="83"/>
        <v>0</v>
      </c>
      <c r="AN242" s="12" t="str">
        <f t="shared" si="84"/>
        <v/>
      </c>
      <c r="AO242" s="12" t="str">
        <f t="shared" si="85"/>
        <v>Yes</v>
      </c>
      <c r="AP242" t="str">
        <f t="shared" si="70"/>
        <v>Yes</v>
      </c>
      <c r="AQ242" t="str">
        <f>IFERROR(VLOOKUP(Z242,InvBal!$L$4:$P$600,4,FALSE),"Pend")</f>
        <v>Pend</v>
      </c>
      <c r="AR242" t="str">
        <f>IFERROR(VLOOKUP(D242,Manual!$C$1:$E$22,2,FALSE),"Pend")</f>
        <v>Pend</v>
      </c>
      <c r="AS242" t="str">
        <f t="shared" si="86"/>
        <v>Yes</v>
      </c>
      <c r="AT242" t="str">
        <f t="shared" si="87"/>
        <v>Yes</v>
      </c>
      <c r="AU242" s="51" t="str">
        <f t="shared" si="88"/>
        <v>Yes</v>
      </c>
      <c r="AV242" s="12">
        <f>IFERROR(VLOOKUP(D242,'Receivable Invoice Detail'!$S$1:$U$3014,3,FALSE),0)</f>
        <v>0</v>
      </c>
      <c r="AW242" s="12">
        <f t="shared" si="89"/>
        <v>657.14807817084829</v>
      </c>
    </row>
    <row r="243" spans="1:49" x14ac:dyDescent="0.25">
      <c r="A243" s="2">
        <v>1</v>
      </c>
      <c r="B243" s="2" t="s">
        <v>1893</v>
      </c>
      <c r="C243" s="2" t="s">
        <v>1894</v>
      </c>
      <c r="D243" s="2" t="s">
        <v>2484</v>
      </c>
      <c r="E243" s="2" t="s">
        <v>242</v>
      </c>
      <c r="F243" s="3">
        <v>45713.696377314824</v>
      </c>
      <c r="G243" s="3">
        <v>45714.45853009259</v>
      </c>
      <c r="H243" s="4">
        <v>45735</v>
      </c>
      <c r="I243" s="2" t="s">
        <v>21</v>
      </c>
      <c r="J243" s="2" t="s">
        <v>22</v>
      </c>
      <c r="K243" s="2">
        <v>1</v>
      </c>
      <c r="L243" s="2">
        <v>1280.96</v>
      </c>
      <c r="M243" s="2">
        <v>0</v>
      </c>
      <c r="N243" s="2">
        <v>892.72560970868142</v>
      </c>
      <c r="O243" s="2">
        <v>1219.96</v>
      </c>
      <c r="P243" s="2">
        <v>61</v>
      </c>
      <c r="Q243" s="2">
        <v>1280.96</v>
      </c>
      <c r="R243" s="2" t="s">
        <v>44</v>
      </c>
      <c r="S243" s="2"/>
      <c r="T243" s="2">
        <f t="shared" si="71"/>
        <v>1</v>
      </c>
      <c r="U243" s="18">
        <f t="shared" si="72"/>
        <v>2</v>
      </c>
      <c r="V243" s="18">
        <f t="shared" si="73"/>
        <v>2025</v>
      </c>
      <c r="W243" s="18">
        <f t="shared" si="74"/>
        <v>4</v>
      </c>
      <c r="X243" s="18">
        <f t="shared" si="75"/>
        <v>2025</v>
      </c>
      <c r="Y243" s="2">
        <f t="shared" si="68"/>
        <v>0.69691919319001483</v>
      </c>
      <c r="Z243" t="str">
        <f t="shared" si="69"/>
        <v>SO16673</v>
      </c>
      <c r="AA243" s="11">
        <f t="shared" si="76"/>
        <v>45713.696377314824</v>
      </c>
      <c r="AB243" s="5" t="str">
        <f t="shared" si="77"/>
        <v>INV12716</v>
      </c>
      <c r="AC243" s="5" t="str">
        <f>IFERROR(VLOOKUP(D243,CAARStatus!$A$2:$AA$1600,22,FALSE),"Not invoiced")</f>
        <v>Paid</v>
      </c>
      <c r="AD243" s="11">
        <f>IF(AC243="Paid",IFERROR(VLOOKUP(D243,CAARStatus!$A$2:$AA$1600,6,FALSE),"Pending"),"Pending")</f>
        <v>45763</v>
      </c>
      <c r="AE243" s="5" t="str">
        <f t="shared" si="78"/>
        <v>2100518557</v>
      </c>
      <c r="AF243" s="5" t="str">
        <f t="shared" si="79"/>
        <v>Wajax Limited - Noranda</v>
      </c>
      <c r="AG243" s="5" t="str">
        <f t="shared" si="80"/>
        <v>CAD</v>
      </c>
      <c r="AH243" s="5">
        <f t="shared" si="81"/>
        <v>1219.96</v>
      </c>
      <c r="AI243" s="12">
        <f>IF(L243-N243=0,VLOOKUP(U243,rate!A$4:B$15,2,FALSE)*AH243,IF(AG243="USD",O243,AH243*Y243))</f>
        <v>850.21353892409047</v>
      </c>
      <c r="AJ243" s="13">
        <f t="shared" si="82"/>
        <v>0.69691919319001483</v>
      </c>
      <c r="AK243" s="13">
        <f>-IF(AG243="CAD",IFERROR(VLOOKUP(D243,CAARStatus!$A$1:$Y$1600,16,FALSE),0),0)</f>
        <v>-1219.96</v>
      </c>
      <c r="AL243" s="13">
        <f>-IF(AG243="USD",IFERROR(VLOOKUP(D243,CAARStatus!$A$1:$Y$1600,11,FALSE),0),0)</f>
        <v>0</v>
      </c>
      <c r="AM243" s="22">
        <f t="shared" si="83"/>
        <v>0</v>
      </c>
      <c r="AN243" s="12" t="str">
        <f t="shared" si="84"/>
        <v/>
      </c>
      <c r="AO243" s="12" t="str">
        <f t="shared" si="85"/>
        <v>Yes</v>
      </c>
      <c r="AP243" t="str">
        <f t="shared" si="70"/>
        <v>Yes</v>
      </c>
      <c r="AQ243" t="str">
        <f>IFERROR(VLOOKUP(Z243,InvBal!$L$4:$P$600,4,FALSE),"Pend")</f>
        <v>Pend</v>
      </c>
      <c r="AR243" t="str">
        <f>IFERROR(VLOOKUP(D243,Manual!$C$1:$E$22,2,FALSE),"Pend")</f>
        <v>Pend</v>
      </c>
      <c r="AS243" t="str">
        <f t="shared" si="86"/>
        <v>Yes</v>
      </c>
      <c r="AT243" t="str">
        <f t="shared" si="87"/>
        <v>Yes</v>
      </c>
      <c r="AU243" s="51" t="str">
        <f t="shared" si="88"/>
        <v>Yes</v>
      </c>
      <c r="AV243" s="12">
        <f>IFERROR(VLOOKUP(D243,'Receivable Invoice Detail'!$S$1:$U$3014,3,FALSE),0)</f>
        <v>0</v>
      </c>
      <c r="AW243" s="12">
        <f t="shared" si="89"/>
        <v>850.21353892409047</v>
      </c>
    </row>
    <row r="244" spans="1:49" ht="30" x14ac:dyDescent="0.25">
      <c r="A244" s="2">
        <v>1</v>
      </c>
      <c r="B244" s="2" t="s">
        <v>1899</v>
      </c>
      <c r="C244" s="2" t="s">
        <v>1900</v>
      </c>
      <c r="D244" s="2" t="s">
        <v>2481</v>
      </c>
      <c r="E244" s="2" t="s">
        <v>159</v>
      </c>
      <c r="F244" s="3">
        <v>45713.697025462963</v>
      </c>
      <c r="G244" s="3">
        <v>45713.697638888887</v>
      </c>
      <c r="H244" s="4">
        <v>45713</v>
      </c>
      <c r="I244" s="2" t="s">
        <v>426</v>
      </c>
      <c r="J244" s="2" t="s">
        <v>51</v>
      </c>
      <c r="K244" s="2">
        <v>0.70298555845892441</v>
      </c>
      <c r="L244" s="2">
        <v>45278.654187118482</v>
      </c>
      <c r="M244" s="2">
        <v>0</v>
      </c>
      <c r="N244" s="2">
        <v>31830.240000000002</v>
      </c>
      <c r="O244" s="2">
        <v>31830.240000000002</v>
      </c>
      <c r="P244" s="2"/>
      <c r="Q244" s="2">
        <v>31830.240000000002</v>
      </c>
      <c r="R244" s="2" t="s">
        <v>44</v>
      </c>
      <c r="S244" s="2"/>
      <c r="T244" s="2">
        <f t="shared" si="71"/>
        <v>1</v>
      </c>
      <c r="U244" s="18">
        <f t="shared" si="72"/>
        <v>2</v>
      </c>
      <c r="V244" s="18">
        <f t="shared" si="73"/>
        <v>2025</v>
      </c>
      <c r="W244" s="18">
        <f t="shared" si="74"/>
        <v>5</v>
      </c>
      <c r="X244" s="18">
        <f t="shared" si="75"/>
        <v>2025</v>
      </c>
      <c r="Y244" s="2">
        <f t="shared" si="68"/>
        <v>0.70298555845892441</v>
      </c>
      <c r="Z244" t="str">
        <f t="shared" si="69"/>
        <v>SO16674</v>
      </c>
      <c r="AA244" s="11">
        <f t="shared" si="76"/>
        <v>45713.697025462963</v>
      </c>
      <c r="AB244" s="5" t="str">
        <f t="shared" si="77"/>
        <v>INV12763</v>
      </c>
      <c r="AC244" s="5" t="str">
        <f>IFERROR(VLOOKUP(D244,CAARStatus!$A$2:$AA$1600,22,FALSE),"Not invoiced")</f>
        <v>Paid</v>
      </c>
      <c r="AD244" s="11">
        <f>IF(AC244="Paid",IFERROR(VLOOKUP(D244,CAARStatus!$A$2:$AA$1600,6,FALSE),"Pending"),"Pending")</f>
        <v>45786</v>
      </c>
      <c r="AE244" s="5" t="str">
        <f t="shared" si="78"/>
        <v>4501119302</v>
      </c>
      <c r="AF244" s="5" t="str">
        <f t="shared" si="79"/>
        <v>Barrick Gold - Pueblo Viejo Dominicana Corporation</v>
      </c>
      <c r="AG244" s="5" t="str">
        <f t="shared" si="80"/>
        <v>USD</v>
      </c>
      <c r="AH244" s="5">
        <f t="shared" si="81"/>
        <v>45278.654187118482</v>
      </c>
      <c r="AI244" s="12">
        <f>IF(L244-N244=0,VLOOKUP(U244,rate!A$4:B$15,2,FALSE)*AH244,IF(AG244="USD",O244,AH244*Y244))</f>
        <v>31830.240000000002</v>
      </c>
      <c r="AJ244" s="13">
        <f t="shared" si="82"/>
        <v>0.70298555845892441</v>
      </c>
      <c r="AK244" s="13">
        <f>-IF(AG244="CAD",IFERROR(VLOOKUP(D244,CAARStatus!$A$1:$Y$1600,16,FALSE),0),0)</f>
        <v>0</v>
      </c>
      <c r="AL244" s="13">
        <f>-IF(AG244="USD",IFERROR(VLOOKUP(D244,CAARStatus!$A$1:$Y$1600,11,FALSE),0),0)</f>
        <v>-31830.240000000002</v>
      </c>
      <c r="AM244" s="22" t="str">
        <f t="shared" si="83"/>
        <v/>
      </c>
      <c r="AN244" s="12">
        <f t="shared" si="84"/>
        <v>0</v>
      </c>
      <c r="AO244" s="12" t="str">
        <f t="shared" si="85"/>
        <v>Yes</v>
      </c>
      <c r="AP244" t="str">
        <f t="shared" si="70"/>
        <v>Yes</v>
      </c>
      <c r="AQ244" t="str">
        <f>IFERROR(VLOOKUP(Z244,InvBal!$L$4:$P$600,4,FALSE),"Pend")</f>
        <v>Pend</v>
      </c>
      <c r="AR244" t="str">
        <f>IFERROR(VLOOKUP(D244,Manual!$C$1:$E$22,2,FALSE),"Pend")</f>
        <v>Pend</v>
      </c>
      <c r="AS244" t="str">
        <f t="shared" si="86"/>
        <v>Yes</v>
      </c>
      <c r="AT244" t="str">
        <f t="shared" si="87"/>
        <v>Yes</v>
      </c>
      <c r="AU244" s="51" t="str">
        <f t="shared" si="88"/>
        <v>Yes</v>
      </c>
      <c r="AV244" s="12">
        <f>IFERROR(VLOOKUP(D244,'Receivable Invoice Detail'!$S$1:$U$3014,3,FALSE),0)</f>
        <v>0</v>
      </c>
      <c r="AW244" s="12">
        <f t="shared" si="89"/>
        <v>31830.240000000002</v>
      </c>
    </row>
    <row r="245" spans="1:49" ht="30" x14ac:dyDescent="0.25">
      <c r="A245" s="2">
        <v>1</v>
      </c>
      <c r="B245" s="2" t="s">
        <v>1877</v>
      </c>
      <c r="C245" s="2" t="s">
        <v>1878</v>
      </c>
      <c r="D245" s="2" t="s">
        <v>2491</v>
      </c>
      <c r="E245" s="2" t="s">
        <v>981</v>
      </c>
      <c r="F245" s="3">
        <v>45714.416550925933</v>
      </c>
      <c r="G245" s="3">
        <v>45715.650439814817</v>
      </c>
      <c r="H245" s="4">
        <v>45726</v>
      </c>
      <c r="I245" s="2" t="s">
        <v>21</v>
      </c>
      <c r="J245" s="2" t="s">
        <v>22</v>
      </c>
      <c r="K245" s="2">
        <v>1</v>
      </c>
      <c r="L245" s="2">
        <v>1392.37</v>
      </c>
      <c r="M245" s="2">
        <v>0</v>
      </c>
      <c r="N245" s="2">
        <v>965.55709751324798</v>
      </c>
      <c r="O245" s="2">
        <v>1232.19</v>
      </c>
      <c r="P245" s="2">
        <v>160.18</v>
      </c>
      <c r="Q245" s="2">
        <v>1392.37</v>
      </c>
      <c r="R245" s="2" t="s">
        <v>44</v>
      </c>
      <c r="S245" s="2"/>
      <c r="T245" s="2">
        <f t="shared" si="71"/>
        <v>1</v>
      </c>
      <c r="U245" s="18">
        <f t="shared" si="72"/>
        <v>2</v>
      </c>
      <c r="V245" s="18">
        <f t="shared" si="73"/>
        <v>2025</v>
      </c>
      <c r="W245" s="18">
        <f t="shared" si="74"/>
        <v>4</v>
      </c>
      <c r="X245" s="18">
        <f t="shared" si="75"/>
        <v>2025</v>
      </c>
      <c r="Y245" s="2">
        <f t="shared" si="68"/>
        <v>0.69346301450997083</v>
      </c>
      <c r="Z245" t="str">
        <f t="shared" si="69"/>
        <v>SO16676</v>
      </c>
      <c r="AA245" s="11">
        <f t="shared" si="76"/>
        <v>45714.416550925933</v>
      </c>
      <c r="AB245" s="5" t="str">
        <f t="shared" si="77"/>
        <v>INV12727</v>
      </c>
      <c r="AC245" s="5" t="str">
        <f>IFERROR(VLOOKUP(D245,CAARStatus!$A$2:$AA$1600,22,FALSE),"Not invoiced")</f>
        <v>Paid</v>
      </c>
      <c r="AD245" s="11">
        <f>IF(AC245="Paid",IFERROR(VLOOKUP(D245,CAARStatus!$A$2:$AA$1600,6,FALSE),"Pending"),"Pending")</f>
        <v>45754</v>
      </c>
      <c r="AE245" s="5" t="str">
        <f t="shared" si="78"/>
        <v>4500057458</v>
      </c>
      <c r="AF245" s="5" t="str">
        <f t="shared" si="79"/>
        <v>Alamos Gold Inc, Alamos Gold Inc Island Gold Division</v>
      </c>
      <c r="AG245" s="5" t="str">
        <f t="shared" si="80"/>
        <v>CAD</v>
      </c>
      <c r="AH245" s="5">
        <f t="shared" si="81"/>
        <v>1232.19</v>
      </c>
      <c r="AI245" s="12">
        <f>IF(L245-N245=0,VLOOKUP(U245,rate!A$4:B$15,2,FALSE)*AH245,IF(AG245="USD",O245,AH245*Y245))</f>
        <v>854.47819184904097</v>
      </c>
      <c r="AJ245" s="13">
        <f t="shared" si="82"/>
        <v>0.69346301450997083</v>
      </c>
      <c r="AK245" s="13">
        <f>-IF(AG245="CAD",IFERROR(VLOOKUP(D245,CAARStatus!$A$1:$Y$1600,16,FALSE),0),0)</f>
        <v>-1232.19</v>
      </c>
      <c r="AL245" s="13">
        <f>-IF(AG245="USD",IFERROR(VLOOKUP(D245,CAARStatus!$A$1:$Y$1600,11,FALSE),0),0)</f>
        <v>0</v>
      </c>
      <c r="AM245" s="22">
        <f t="shared" si="83"/>
        <v>0</v>
      </c>
      <c r="AN245" s="12" t="str">
        <f t="shared" si="84"/>
        <v/>
      </c>
      <c r="AO245" s="12" t="str">
        <f t="shared" si="85"/>
        <v>Yes</v>
      </c>
      <c r="AP245" t="str">
        <f t="shared" si="70"/>
        <v>Yes</v>
      </c>
      <c r="AQ245" t="str">
        <f>IFERROR(VLOOKUP(Z245,InvBal!$L$4:$P$600,4,FALSE),"Pend")</f>
        <v>Pend</v>
      </c>
      <c r="AR245" t="str">
        <f>IFERROR(VLOOKUP(D245,Manual!$C$1:$E$22,2,FALSE),"Pend")</f>
        <v>Pend</v>
      </c>
      <c r="AS245" t="str">
        <f t="shared" si="86"/>
        <v>Yes</v>
      </c>
      <c r="AT245" t="str">
        <f t="shared" si="87"/>
        <v>Yes</v>
      </c>
      <c r="AU245" s="51" t="str">
        <f t="shared" si="88"/>
        <v>Yes</v>
      </c>
      <c r="AV245" s="12">
        <f>IFERROR(VLOOKUP(D245,'Receivable Invoice Detail'!$S$1:$U$3014,3,FALSE),0)</f>
        <v>0</v>
      </c>
      <c r="AW245" s="12">
        <f t="shared" si="89"/>
        <v>854.47819184904097</v>
      </c>
    </row>
    <row r="246" spans="1:49" ht="30" x14ac:dyDescent="0.25">
      <c r="A246" s="2">
        <v>1</v>
      </c>
      <c r="B246" s="2" t="s">
        <v>1395</v>
      </c>
      <c r="C246" s="2" t="s">
        <v>1396</v>
      </c>
      <c r="D246" s="2" t="s">
        <v>2770</v>
      </c>
      <c r="E246" s="2" t="s">
        <v>20</v>
      </c>
      <c r="F246" s="3">
        <v>45714.422523148147</v>
      </c>
      <c r="G246" s="3">
        <v>45797.668553240743</v>
      </c>
      <c r="H246" s="4">
        <v>45798</v>
      </c>
      <c r="I246" s="2" t="s">
        <v>21</v>
      </c>
      <c r="J246" s="2" t="s">
        <v>22</v>
      </c>
      <c r="K246" s="2">
        <v>1</v>
      </c>
      <c r="L246" s="2">
        <v>297.61</v>
      </c>
      <c r="M246" s="2">
        <v>0</v>
      </c>
      <c r="N246" s="2">
        <v>213.44336232893241</v>
      </c>
      <c r="O246" s="2">
        <v>283.44</v>
      </c>
      <c r="P246" s="2">
        <v>14.17</v>
      </c>
      <c r="Q246" s="2">
        <v>297.61</v>
      </c>
      <c r="R246" s="2" t="s">
        <v>44</v>
      </c>
      <c r="S246" s="2"/>
      <c r="T246" s="2">
        <f t="shared" si="71"/>
        <v>1</v>
      </c>
      <c r="U246" s="18">
        <f t="shared" si="72"/>
        <v>2</v>
      </c>
      <c r="V246" s="18">
        <f t="shared" si="73"/>
        <v>2025</v>
      </c>
      <c r="W246" s="18">
        <f t="shared" si="74"/>
        <v>7</v>
      </c>
      <c r="X246" s="18">
        <f t="shared" si="75"/>
        <v>2025</v>
      </c>
      <c r="Y246" s="2">
        <f t="shared" si="68"/>
        <v>0.71719150004681431</v>
      </c>
      <c r="Z246" t="str">
        <f t="shared" si="69"/>
        <v>SO16677</v>
      </c>
      <c r="AA246" s="11">
        <f t="shared" si="76"/>
        <v>45714.422523148147</v>
      </c>
      <c r="AB246" s="5" t="str">
        <f t="shared" si="77"/>
        <v>INV13004</v>
      </c>
      <c r="AC246" s="5" t="str">
        <f>IFERROR(VLOOKUP(D246,CAARStatus!$A$2:$AA$1600,22,FALSE),"Not invoiced")</f>
        <v>Paid</v>
      </c>
      <c r="AD246" s="11">
        <f>IF(AC246="Paid",IFERROR(VLOOKUP(D246,CAARStatus!$A$2:$AA$1600,6,FALSE),"Pending"),"Pending")</f>
        <v>45856</v>
      </c>
      <c r="AE246" s="5" t="str">
        <f t="shared" si="78"/>
        <v>4500583340</v>
      </c>
      <c r="AF246" s="5" t="str">
        <f t="shared" si="79"/>
        <v>Resolute Forest Products - Saint-Felicien</v>
      </c>
      <c r="AG246" s="5" t="str">
        <f t="shared" si="80"/>
        <v>CAD</v>
      </c>
      <c r="AH246" s="5">
        <f t="shared" si="81"/>
        <v>283.44</v>
      </c>
      <c r="AI246" s="12">
        <f>IF(L246-N246=0,VLOOKUP(U246,rate!A$4:B$15,2,FALSE)*AH246,IF(AG246="USD",O246,AH246*Y246))</f>
        <v>203.28075877326904</v>
      </c>
      <c r="AJ246" s="13">
        <f t="shared" si="82"/>
        <v>0.71719150004681431</v>
      </c>
      <c r="AK246" s="13">
        <f>-IF(AG246="CAD",IFERROR(VLOOKUP(D246,CAARStatus!$A$1:$Y$1600,16,FALSE),0),0)</f>
        <v>-283.44</v>
      </c>
      <c r="AL246" s="13">
        <f>-IF(AG246="USD",IFERROR(VLOOKUP(D246,CAARStatus!$A$1:$Y$1600,11,FALSE),0),0)</f>
        <v>0</v>
      </c>
      <c r="AM246" s="22">
        <f t="shared" si="83"/>
        <v>0</v>
      </c>
      <c r="AN246" s="12" t="str">
        <f t="shared" si="84"/>
        <v/>
      </c>
      <c r="AO246" s="12" t="str">
        <f t="shared" si="85"/>
        <v>Yes</v>
      </c>
      <c r="AP246" t="str">
        <f t="shared" si="70"/>
        <v>Yes</v>
      </c>
      <c r="AQ246" t="str">
        <f>IFERROR(VLOOKUP(Z246,InvBal!$L$4:$P$600,4,FALSE),"Pend")</f>
        <v>Pend</v>
      </c>
      <c r="AR246" t="str">
        <f>IFERROR(VLOOKUP(D246,Manual!$C$1:$E$22,2,FALSE),"Pend")</f>
        <v>Pend</v>
      </c>
      <c r="AS246" t="str">
        <f t="shared" si="86"/>
        <v>Yes</v>
      </c>
      <c r="AT246" t="str">
        <f t="shared" si="87"/>
        <v>Yes</v>
      </c>
      <c r="AU246" s="51" t="str">
        <f t="shared" si="88"/>
        <v>Yes</v>
      </c>
      <c r="AV246" s="12">
        <f>IFERROR(VLOOKUP(D246,'Receivable Invoice Detail'!$S$1:$U$3014,3,FALSE),0)</f>
        <v>0</v>
      </c>
      <c r="AW246" s="12">
        <f t="shared" si="89"/>
        <v>203.28075877326904</v>
      </c>
    </row>
    <row r="247" spans="1:49" ht="45" x14ac:dyDescent="0.25">
      <c r="A247" s="2">
        <v>2</v>
      </c>
      <c r="B247" s="2" t="s">
        <v>1378</v>
      </c>
      <c r="C247" s="2" t="s">
        <v>1379</v>
      </c>
      <c r="D247" s="2" t="s">
        <v>2780</v>
      </c>
      <c r="E247" s="2" t="s">
        <v>1380</v>
      </c>
      <c r="F247" s="3">
        <v>45714.500092592592</v>
      </c>
      <c r="G247" s="3">
        <v>45799.958333333343</v>
      </c>
      <c r="H247" s="4">
        <v>45856</v>
      </c>
      <c r="I247" s="2" t="s">
        <v>36</v>
      </c>
      <c r="J247" s="2" t="s">
        <v>51</v>
      </c>
      <c r="K247" s="2">
        <v>0.72679928805504312</v>
      </c>
      <c r="L247" s="2">
        <v>39478.216987228247</v>
      </c>
      <c r="M247" s="2">
        <v>0</v>
      </c>
      <c r="N247" s="2">
        <v>28692.74</v>
      </c>
      <c r="O247" s="2">
        <v>28692.74</v>
      </c>
      <c r="P247" s="2"/>
      <c r="Q247" s="2">
        <v>28692.74</v>
      </c>
      <c r="R247" s="2" t="s">
        <v>44</v>
      </c>
      <c r="S247" s="2"/>
      <c r="T247" s="2">
        <f t="shared" si="71"/>
        <v>2</v>
      </c>
      <c r="U247" s="18">
        <f t="shared" si="72"/>
        <v>2</v>
      </c>
      <c r="V247" s="18">
        <f t="shared" si="73"/>
        <v>2025</v>
      </c>
      <c r="W247" s="18">
        <f t="shared" si="74"/>
        <v>7</v>
      </c>
      <c r="X247" s="18">
        <f t="shared" si="75"/>
        <v>2025</v>
      </c>
      <c r="Y247" s="2">
        <f t="shared" si="68"/>
        <v>0.72679928805504324</v>
      </c>
      <c r="Z247" t="str">
        <f t="shared" si="69"/>
        <v>SO16679</v>
      </c>
      <c r="AA247" s="11">
        <f t="shared" si="76"/>
        <v>45714.500092592592</v>
      </c>
      <c r="AB247" s="5" t="str">
        <f t="shared" si="77"/>
        <v>INV13003</v>
      </c>
      <c r="AC247" s="5" t="str">
        <f>IFERROR(VLOOKUP(D247,CAARStatus!$A$2:$AA$1600,22,FALSE),"Not invoiced")</f>
        <v>Paid</v>
      </c>
      <c r="AD247" s="11">
        <f>IF(AC247="Paid",IFERROR(VLOOKUP(D247,CAARStatus!$A$2:$AA$1600,6,FALSE),"Pending"),"Pending")</f>
        <v>45853</v>
      </c>
      <c r="AE247" s="5" t="str">
        <f t="shared" si="78"/>
        <v>4501409436</v>
      </c>
      <c r="AF247" s="5" t="str">
        <f t="shared" si="79"/>
        <v>ARYA OILFIELD AND NATURAL GAS EQUIPMENT AND SPARE PARTS TRADING L.L.C</v>
      </c>
      <c r="AG247" s="5" t="str">
        <f t="shared" si="80"/>
        <v>USD</v>
      </c>
      <c r="AH247" s="5">
        <f t="shared" si="81"/>
        <v>39478.216987228247</v>
      </c>
      <c r="AI247" s="12">
        <f>IF(L247-N247=0,VLOOKUP(U247,rate!A$4:B$15,2,FALSE)*AH247,IF(AG247="USD",O247,AH247*Y247))</f>
        <v>28692.74</v>
      </c>
      <c r="AJ247" s="13">
        <f t="shared" si="82"/>
        <v>0.72679928805504324</v>
      </c>
      <c r="AK247" s="13">
        <f>-IF(AG247="CAD",IFERROR(VLOOKUP(D247,CAARStatus!$A$1:$Y$1600,16,FALSE),0),0)</f>
        <v>0</v>
      </c>
      <c r="AL247" s="13">
        <f>-IF(AG247="USD",IFERROR(VLOOKUP(D247,CAARStatus!$A$1:$Y$1600,11,FALSE),0),0)</f>
        <v>-28692.74</v>
      </c>
      <c r="AM247" s="22" t="str">
        <f t="shared" si="83"/>
        <v/>
      </c>
      <c r="AN247" s="12">
        <f t="shared" si="84"/>
        <v>0</v>
      </c>
      <c r="AO247" s="12" t="str">
        <f t="shared" si="85"/>
        <v>Yes</v>
      </c>
      <c r="AP247" t="str">
        <f t="shared" si="70"/>
        <v>XX</v>
      </c>
      <c r="AQ247" t="str">
        <f>IFERROR(VLOOKUP(Z247,InvBal!$L$4:$P$600,4,FALSE),"Pend")</f>
        <v>Yes</v>
      </c>
      <c r="AR247" t="str">
        <f>IFERROR(VLOOKUP(D247,Manual!$C$1:$E$22,2,FALSE),"Pend")</f>
        <v>Pend</v>
      </c>
      <c r="AS247" t="str">
        <f t="shared" si="86"/>
        <v>Yes</v>
      </c>
      <c r="AT247" t="str">
        <f t="shared" si="87"/>
        <v>Yes</v>
      </c>
      <c r="AU247" s="51" t="str">
        <f t="shared" si="88"/>
        <v>Yes</v>
      </c>
      <c r="AV247" s="12">
        <f>IFERROR(VLOOKUP(D247,'Receivable Invoice Detail'!$S$1:$U$3014,3,FALSE),0)</f>
        <v>0</v>
      </c>
      <c r="AW247" s="12">
        <f t="shared" si="89"/>
        <v>28692.74</v>
      </c>
    </row>
    <row r="248" spans="1:49" x14ac:dyDescent="0.25">
      <c r="A248" s="2"/>
      <c r="B248" s="2"/>
      <c r="C248" s="2"/>
      <c r="D248" s="2" t="s">
        <v>2780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>
        <f t="shared" si="71"/>
        <v>2</v>
      </c>
      <c r="U248" s="18">
        <f t="shared" si="72"/>
        <v>2</v>
      </c>
      <c r="V248" s="18">
        <f t="shared" si="73"/>
        <v>2025</v>
      </c>
      <c r="W248" s="18">
        <f t="shared" si="74"/>
        <v>7</v>
      </c>
      <c r="X248" s="18">
        <f t="shared" si="75"/>
        <v>2025</v>
      </c>
      <c r="Y248" s="2">
        <f t="shared" si="68"/>
        <v>0.72679928805504324</v>
      </c>
      <c r="Z248" t="str">
        <f t="shared" si="69"/>
        <v>SO16679</v>
      </c>
      <c r="AA248" s="11">
        <f t="shared" si="76"/>
        <v>45714.500092592592</v>
      </c>
      <c r="AB248" s="5" t="str">
        <f t="shared" si="77"/>
        <v>INV13003</v>
      </c>
      <c r="AC248" s="5" t="str">
        <f>IFERROR(VLOOKUP(D248,CAARStatus!$A$2:$AA$1600,22,FALSE),"Not invoiced")</f>
        <v>Paid</v>
      </c>
      <c r="AD248" s="11">
        <f>IF(AC248="Paid",IFERROR(VLOOKUP(D248,CAARStatus!$A$2:$AA$1600,6,FALSE),"Pending"),"Pending")</f>
        <v>45853</v>
      </c>
      <c r="AE248" s="5" t="str">
        <f t="shared" si="78"/>
        <v>4501409436</v>
      </c>
      <c r="AF248" s="5" t="str">
        <f t="shared" si="79"/>
        <v>ARYA OILFIELD AND NATURAL GAS EQUIPMENT AND SPARE PARTS TRADING L.L.C</v>
      </c>
      <c r="AG248" s="5" t="str">
        <f t="shared" si="80"/>
        <v>USD</v>
      </c>
      <c r="AH248" s="5">
        <f t="shared" si="81"/>
        <v>0</v>
      </c>
      <c r="AI248" s="12">
        <f>IF(L248-N248=0,VLOOKUP(U248,rate!A$4:B$15,2,FALSE)*AH248,IF(AG248="USD",O248,AH248*Y248))</f>
        <v>0</v>
      </c>
      <c r="AJ248" s="13">
        <f t="shared" si="82"/>
        <v>0</v>
      </c>
      <c r="AK248" s="13">
        <f>-IF(AG248="CAD",IFERROR(VLOOKUP(D248,CAARStatus!$A$1:$Y$1600,16,FALSE),0),0)</f>
        <v>0</v>
      </c>
      <c r="AL248" s="65"/>
      <c r="AM248" s="22" t="str">
        <f t="shared" si="83"/>
        <v/>
      </c>
      <c r="AN248" s="12">
        <f t="shared" si="84"/>
        <v>0</v>
      </c>
      <c r="AO248" s="12" t="str">
        <f t="shared" si="85"/>
        <v>Yes</v>
      </c>
      <c r="AP248" t="str">
        <f t="shared" si="70"/>
        <v>XX</v>
      </c>
      <c r="AQ248" t="str">
        <f>IFERROR(VLOOKUP(Z248,InvBal!$L$4:$P$600,4,FALSE),"Pend")</f>
        <v>Yes</v>
      </c>
      <c r="AR248" t="str">
        <f>IFERROR(VLOOKUP(D248,Manual!$C$1:$E$22,2,FALSE),"Pend")</f>
        <v>Pend</v>
      </c>
      <c r="AS248" t="str">
        <f t="shared" si="86"/>
        <v>Yes</v>
      </c>
      <c r="AT248" t="str">
        <f t="shared" si="87"/>
        <v/>
      </c>
      <c r="AU248" s="51" t="str">
        <f t="shared" si="88"/>
        <v/>
      </c>
      <c r="AV248" s="12">
        <f>IFERROR(VLOOKUP(D248,'Receivable Invoice Detail'!$S$1:$U$3014,3,FALSE),0)</f>
        <v>0</v>
      </c>
      <c r="AW248" s="12">
        <f t="shared" si="89"/>
        <v>0</v>
      </c>
    </row>
    <row r="249" spans="1:49" x14ac:dyDescent="0.25">
      <c r="A249" s="2">
        <v>1</v>
      </c>
      <c r="B249" s="2" t="s">
        <v>1412</v>
      </c>
      <c r="C249" s="2" t="s">
        <v>1413</v>
      </c>
      <c r="D249" s="2" t="s">
        <v>2761</v>
      </c>
      <c r="E249" s="2" t="s">
        <v>171</v>
      </c>
      <c r="F249" s="3">
        <v>45714.627905092602</v>
      </c>
      <c r="G249" s="3">
        <v>45792.412106481483</v>
      </c>
      <c r="H249" s="4">
        <v>45793</v>
      </c>
      <c r="I249" s="2" t="s">
        <v>21</v>
      </c>
      <c r="J249" s="2" t="s">
        <v>22</v>
      </c>
      <c r="K249" s="2">
        <v>1</v>
      </c>
      <c r="L249" s="2">
        <v>123.03</v>
      </c>
      <c r="M249" s="2">
        <v>0</v>
      </c>
      <c r="N249" s="2">
        <v>87.941909047642014</v>
      </c>
      <c r="O249" s="2">
        <v>117.17</v>
      </c>
      <c r="P249" s="2">
        <v>5.86</v>
      </c>
      <c r="Q249" s="2">
        <v>123.03</v>
      </c>
      <c r="R249" s="2" t="s">
        <v>44</v>
      </c>
      <c r="S249" s="2"/>
      <c r="T249" s="2">
        <f t="shared" si="71"/>
        <v>1</v>
      </c>
      <c r="U249" s="18">
        <f t="shared" si="72"/>
        <v>2</v>
      </c>
      <c r="V249" s="18">
        <f t="shared" si="73"/>
        <v>2025</v>
      </c>
      <c r="W249" s="18">
        <f t="shared" si="74"/>
        <v>6</v>
      </c>
      <c r="X249" s="18">
        <f t="shared" si="75"/>
        <v>2025</v>
      </c>
      <c r="Y249" s="2">
        <f t="shared" si="68"/>
        <v>0.7148005287136634</v>
      </c>
      <c r="Z249" t="str">
        <f t="shared" si="69"/>
        <v>SO16680</v>
      </c>
      <c r="AA249" s="11">
        <f t="shared" si="76"/>
        <v>45714.627905092602</v>
      </c>
      <c r="AB249" s="5" t="str">
        <f t="shared" si="77"/>
        <v>INV12989</v>
      </c>
      <c r="AC249" s="5" t="str">
        <f>IFERROR(VLOOKUP(D249,CAARStatus!$A$2:$AA$1600,22,FALSE),"Not invoiced")</f>
        <v>Paid</v>
      </c>
      <c r="AD249" s="11">
        <f>IF(AC249="Paid",IFERROR(VLOOKUP(D249,CAARStatus!$A$2:$AA$1600,6,FALSE),"Pending"),"Pending")</f>
        <v>45820</v>
      </c>
      <c r="AE249" s="5" t="str">
        <f t="shared" si="78"/>
        <v>2083</v>
      </c>
      <c r="AF249" s="5" t="str">
        <f t="shared" si="79"/>
        <v>FMI Products</v>
      </c>
      <c r="AG249" s="5" t="str">
        <f t="shared" si="80"/>
        <v>CAD</v>
      </c>
      <c r="AH249" s="5">
        <f t="shared" si="81"/>
        <v>117.17</v>
      </c>
      <c r="AI249" s="12">
        <f>IF(L249-N249=0,VLOOKUP(U249,rate!A$4:B$15,2,FALSE)*AH249,IF(AG249="USD",O249,AH249*Y249))</f>
        <v>83.753177949379946</v>
      </c>
      <c r="AJ249" s="13">
        <f t="shared" si="82"/>
        <v>0.7148005287136634</v>
      </c>
      <c r="AK249" s="13">
        <f>-IF(AG249="CAD",IFERROR(VLOOKUP(D249,CAARStatus!$A$1:$Y$1600,16,FALSE),0),0)</f>
        <v>-117.17</v>
      </c>
      <c r="AL249" s="13">
        <f>-IF(AG249="USD",IFERROR(VLOOKUP(D249,CAARStatus!$A$1:$Y$1600,11,FALSE),0),0)</f>
        <v>0</v>
      </c>
      <c r="AM249" s="22">
        <f t="shared" si="83"/>
        <v>0</v>
      </c>
      <c r="AN249" s="12" t="str">
        <f t="shared" si="84"/>
        <v/>
      </c>
      <c r="AO249" s="12" t="str">
        <f t="shared" si="85"/>
        <v>Yes</v>
      </c>
      <c r="AP249" t="str">
        <f t="shared" si="70"/>
        <v>Yes</v>
      </c>
      <c r="AQ249" t="str">
        <f>IFERROR(VLOOKUP(Z249,InvBal!$L$4:$P$600,4,FALSE),"Pend")</f>
        <v>Pend</v>
      </c>
      <c r="AR249" t="str">
        <f>IFERROR(VLOOKUP(D249,Manual!$C$1:$E$22,2,FALSE),"Pend")</f>
        <v>Pend</v>
      </c>
      <c r="AS249" t="str">
        <f t="shared" si="86"/>
        <v>Yes</v>
      </c>
      <c r="AT249" t="str">
        <f t="shared" si="87"/>
        <v>Yes</v>
      </c>
      <c r="AU249" s="51" t="str">
        <f t="shared" si="88"/>
        <v>Yes</v>
      </c>
      <c r="AV249" s="12">
        <f>IFERROR(VLOOKUP(D249,'Receivable Invoice Detail'!$S$1:$U$3014,3,FALSE),0)</f>
        <v>0</v>
      </c>
      <c r="AW249" s="12">
        <f t="shared" si="89"/>
        <v>83.753177949379946</v>
      </c>
    </row>
    <row r="250" spans="1:49" ht="30" x14ac:dyDescent="0.25">
      <c r="A250" s="2">
        <v>1</v>
      </c>
      <c r="B250" s="2" t="s">
        <v>1831</v>
      </c>
      <c r="C250" s="2" t="s">
        <v>1832</v>
      </c>
      <c r="D250" s="2" t="s">
        <v>2520</v>
      </c>
      <c r="E250" s="2" t="s">
        <v>509</v>
      </c>
      <c r="F250" s="3">
        <v>45714.713506944441</v>
      </c>
      <c r="G250" s="3">
        <v>45722.713009259263</v>
      </c>
      <c r="H250" s="4">
        <v>45723</v>
      </c>
      <c r="I250" s="2" t="s">
        <v>21</v>
      </c>
      <c r="J250" s="2" t="s">
        <v>22</v>
      </c>
      <c r="K250" s="2">
        <v>1</v>
      </c>
      <c r="L250" s="2">
        <v>1945.71</v>
      </c>
      <c r="M250" s="2">
        <v>0</v>
      </c>
      <c r="N250" s="2">
        <v>1362.5781860617219</v>
      </c>
      <c r="O250" s="2">
        <v>1853.06</v>
      </c>
      <c r="P250" s="2">
        <v>92.65</v>
      </c>
      <c r="Q250" s="2">
        <v>1945.71</v>
      </c>
      <c r="R250" s="2" t="s">
        <v>44</v>
      </c>
      <c r="S250" s="2"/>
      <c r="T250" s="2">
        <f t="shared" si="71"/>
        <v>1</v>
      </c>
      <c r="U250" s="18">
        <f t="shared" si="72"/>
        <v>2</v>
      </c>
      <c r="V250" s="18">
        <f t="shared" si="73"/>
        <v>2025</v>
      </c>
      <c r="W250" s="18">
        <f t="shared" si="74"/>
        <v>4</v>
      </c>
      <c r="X250" s="18">
        <f t="shared" si="75"/>
        <v>2025</v>
      </c>
      <c r="Y250" s="2">
        <f t="shared" si="68"/>
        <v>0.70029870127702576</v>
      </c>
      <c r="Z250" t="str">
        <f t="shared" si="69"/>
        <v>SO16682</v>
      </c>
      <c r="AA250" s="11">
        <f t="shared" si="76"/>
        <v>45714.713506944441</v>
      </c>
      <c r="AB250" s="5" t="str">
        <f t="shared" si="77"/>
        <v>INV12719</v>
      </c>
      <c r="AC250" s="5" t="str">
        <f>IFERROR(VLOOKUP(D250,CAARStatus!$A$2:$AA$1600,22,FALSE),"Not invoiced")</f>
        <v>Paid</v>
      </c>
      <c r="AD250" s="11">
        <f>IF(AC250="Paid",IFERROR(VLOOKUP(D250,CAARStatus!$A$2:$AA$1600,6,FALSE),"Pending"),"Pending")</f>
        <v>45757</v>
      </c>
      <c r="AE250" s="5" t="str">
        <f t="shared" si="78"/>
        <v>PO09111</v>
      </c>
      <c r="AF250" s="5" t="str">
        <f t="shared" si="79"/>
        <v>Tantalum Mining Corporation of Canada</v>
      </c>
      <c r="AG250" s="5" t="str">
        <f t="shared" si="80"/>
        <v>CAD</v>
      </c>
      <c r="AH250" s="5">
        <f t="shared" si="81"/>
        <v>1853.06</v>
      </c>
      <c r="AI250" s="12">
        <f>IF(L250-N250=0,VLOOKUP(U250,rate!A$4:B$15,2,FALSE)*AH250,IF(AG250="USD",O250,AH250*Y250))</f>
        <v>1297.6955113884053</v>
      </c>
      <c r="AJ250" s="13">
        <f t="shared" si="82"/>
        <v>0.70029870127702576</v>
      </c>
      <c r="AK250" s="13">
        <f>-IF(AG250="CAD",IFERROR(VLOOKUP(D250,CAARStatus!$A$1:$Y$1600,16,FALSE),0),0)</f>
        <v>-1853.06</v>
      </c>
      <c r="AL250" s="13">
        <f>-IF(AG250="USD",IFERROR(VLOOKUP(D250,CAARStatus!$A$1:$Y$1600,11,FALSE),0),0)</f>
        <v>0</v>
      </c>
      <c r="AM250" s="22">
        <f t="shared" si="83"/>
        <v>0</v>
      </c>
      <c r="AN250" s="12" t="str">
        <f t="shared" si="84"/>
        <v/>
      </c>
      <c r="AO250" s="12" t="str">
        <f t="shared" si="85"/>
        <v>Yes</v>
      </c>
      <c r="AP250" t="str">
        <f t="shared" si="70"/>
        <v>Yes</v>
      </c>
      <c r="AQ250" t="str">
        <f>IFERROR(VLOOKUP(Z250,InvBal!$L$4:$P$600,4,FALSE),"Pend")</f>
        <v>Pend</v>
      </c>
      <c r="AR250" t="str">
        <f>IFERROR(VLOOKUP(D250,Manual!$C$1:$E$22,2,FALSE),"Pend")</f>
        <v>Pend</v>
      </c>
      <c r="AS250" t="str">
        <f t="shared" si="86"/>
        <v>Yes</v>
      </c>
      <c r="AT250" t="str">
        <f t="shared" si="87"/>
        <v>Yes</v>
      </c>
      <c r="AU250" s="51" t="str">
        <f t="shared" si="88"/>
        <v>Yes</v>
      </c>
      <c r="AV250" s="12">
        <f>IFERROR(VLOOKUP(D250,'Receivable Invoice Detail'!$S$1:$U$3014,3,FALSE),0)</f>
        <v>0</v>
      </c>
      <c r="AW250" s="12">
        <f t="shared" si="89"/>
        <v>1297.6955113884053</v>
      </c>
    </row>
    <row r="251" spans="1:49" ht="30" x14ac:dyDescent="0.25">
      <c r="A251" s="2">
        <v>1</v>
      </c>
      <c r="B251" s="2" t="s">
        <v>1871</v>
      </c>
      <c r="C251" s="2" t="s">
        <v>1872</v>
      </c>
      <c r="D251" s="2" t="s">
        <v>2494</v>
      </c>
      <c r="E251" s="2" t="s">
        <v>80</v>
      </c>
      <c r="F251" s="3">
        <v>45715.418206018519</v>
      </c>
      <c r="G251" s="3">
        <v>45716.418206018519</v>
      </c>
      <c r="H251" s="4">
        <v>45721</v>
      </c>
      <c r="I251" s="2" t="s">
        <v>21</v>
      </c>
      <c r="J251" s="2" t="s">
        <v>22</v>
      </c>
      <c r="K251" s="2">
        <v>1</v>
      </c>
      <c r="L251" s="2">
        <v>232.41</v>
      </c>
      <c r="M251" s="2">
        <v>0</v>
      </c>
      <c r="N251" s="2">
        <v>161.015002269375</v>
      </c>
      <c r="O251" s="2">
        <v>221.34</v>
      </c>
      <c r="P251" s="2">
        <v>11.07</v>
      </c>
      <c r="Q251" s="2">
        <v>232.41</v>
      </c>
      <c r="R251" s="2" t="s">
        <v>44</v>
      </c>
      <c r="S251" s="2"/>
      <c r="T251" s="2">
        <f t="shared" si="71"/>
        <v>1</v>
      </c>
      <c r="U251" s="18">
        <f t="shared" si="72"/>
        <v>2</v>
      </c>
      <c r="V251" s="18">
        <f t="shared" si="73"/>
        <v>2025</v>
      </c>
      <c r="W251" s="18">
        <f t="shared" si="74"/>
        <v>5</v>
      </c>
      <c r="X251" s="18">
        <f t="shared" si="75"/>
        <v>2025</v>
      </c>
      <c r="Y251" s="2">
        <f t="shared" si="68"/>
        <v>0.69280582707015625</v>
      </c>
      <c r="Z251" t="str">
        <f t="shared" si="69"/>
        <v>SO16683</v>
      </c>
      <c r="AA251" s="11">
        <f t="shared" si="76"/>
        <v>45715.418206018519</v>
      </c>
      <c r="AB251" s="5" t="str">
        <f t="shared" si="77"/>
        <v>INV12698</v>
      </c>
      <c r="AC251" s="5" t="str">
        <f>IFERROR(VLOOKUP(D251,CAARStatus!$A$2:$AA$1600,22,FALSE),"Not invoiced")</f>
        <v>Paid</v>
      </c>
      <c r="AD251" s="11">
        <f>IF(AC251="Paid",IFERROR(VLOOKUP(D251,CAARStatus!$A$2:$AA$1600,6,FALSE),"Pending"),"Pending")</f>
        <v>45779</v>
      </c>
      <c r="AE251" s="5" t="str">
        <f t="shared" si="78"/>
        <v>4500583568</v>
      </c>
      <c r="AF251" s="5" t="str">
        <f t="shared" si="79"/>
        <v>Resolute Forest Products - Dolbeau</v>
      </c>
      <c r="AG251" s="5" t="str">
        <f t="shared" si="80"/>
        <v>CAD</v>
      </c>
      <c r="AH251" s="5">
        <f t="shared" si="81"/>
        <v>221.34</v>
      </c>
      <c r="AI251" s="12">
        <f>IF(L251-N251=0,VLOOKUP(U251,rate!A$4:B$15,2,FALSE)*AH251,IF(AG251="USD",O251,AH251*Y251))</f>
        <v>153.34564176370839</v>
      </c>
      <c r="AJ251" s="13">
        <f t="shared" si="82"/>
        <v>0.69280582707015625</v>
      </c>
      <c r="AK251" s="13">
        <f>-IF(AG251="CAD",IFERROR(VLOOKUP(D251,CAARStatus!$A$1:$Y$1600,16,FALSE),0),0)</f>
        <v>-221.34</v>
      </c>
      <c r="AL251" s="13">
        <f>-IF(AG251="USD",IFERROR(VLOOKUP(D251,CAARStatus!$A$1:$Y$1600,11,FALSE),0),0)</f>
        <v>0</v>
      </c>
      <c r="AM251" s="22">
        <f t="shared" si="83"/>
        <v>0</v>
      </c>
      <c r="AN251" s="12" t="str">
        <f t="shared" si="84"/>
        <v/>
      </c>
      <c r="AO251" s="12" t="str">
        <f t="shared" si="85"/>
        <v>Yes</v>
      </c>
      <c r="AP251" t="str">
        <f t="shared" si="70"/>
        <v>Yes</v>
      </c>
      <c r="AQ251" t="str">
        <f>IFERROR(VLOOKUP(Z251,InvBal!$L$4:$P$600,4,FALSE),"Pend")</f>
        <v>Pend</v>
      </c>
      <c r="AR251" t="str">
        <f>IFERROR(VLOOKUP(D251,Manual!$C$1:$E$22,2,FALSE),"Pend")</f>
        <v>Pend</v>
      </c>
      <c r="AS251" t="str">
        <f t="shared" si="86"/>
        <v>Yes</v>
      </c>
      <c r="AT251" t="str">
        <f t="shared" si="87"/>
        <v>Yes</v>
      </c>
      <c r="AU251" s="51" t="str">
        <f t="shared" si="88"/>
        <v>Yes</v>
      </c>
      <c r="AV251" s="12">
        <f>IFERROR(VLOOKUP(D251,'Receivable Invoice Detail'!$S$1:$U$3014,3,FALSE),0)</f>
        <v>0</v>
      </c>
      <c r="AW251" s="12">
        <f t="shared" si="89"/>
        <v>153.34564176370839</v>
      </c>
    </row>
    <row r="252" spans="1:49" x14ac:dyDescent="0.25">
      <c r="A252" s="2">
        <v>1</v>
      </c>
      <c r="B252" s="2" t="s">
        <v>1884</v>
      </c>
      <c r="C252" s="2" t="s">
        <v>1885</v>
      </c>
      <c r="D252" s="2" t="s">
        <v>2488</v>
      </c>
      <c r="E252" s="2" t="s">
        <v>1886</v>
      </c>
      <c r="F252" s="3">
        <v>45715.458726851852</v>
      </c>
      <c r="G252" s="3">
        <v>45715.480543981481</v>
      </c>
      <c r="H252" s="4">
        <v>45716</v>
      </c>
      <c r="I252" s="2" t="s">
        <v>21</v>
      </c>
      <c r="J252" s="2" t="s">
        <v>22</v>
      </c>
      <c r="K252" s="2">
        <v>1</v>
      </c>
      <c r="L252" s="2">
        <v>3900.85</v>
      </c>
      <c r="M252" s="2">
        <v>0</v>
      </c>
      <c r="N252" s="2">
        <v>2705.0952001512201</v>
      </c>
      <c r="O252" s="2">
        <v>3715.09</v>
      </c>
      <c r="P252" s="2">
        <v>185.76</v>
      </c>
      <c r="Q252" s="2">
        <v>3900.85</v>
      </c>
      <c r="R252" s="2" t="s">
        <v>44</v>
      </c>
      <c r="S252" s="2"/>
      <c r="T252" s="2">
        <f t="shared" si="71"/>
        <v>1</v>
      </c>
      <c r="U252" s="18">
        <f t="shared" si="72"/>
        <v>2</v>
      </c>
      <c r="V252" s="18">
        <f t="shared" si="73"/>
        <v>2025</v>
      </c>
      <c r="W252" s="18">
        <f t="shared" si="74"/>
        <v>3</v>
      </c>
      <c r="X252" s="18">
        <f t="shared" si="75"/>
        <v>2025</v>
      </c>
      <c r="Y252" s="2">
        <f t="shared" si="68"/>
        <v>0.69346301450997094</v>
      </c>
      <c r="Z252" t="str">
        <f t="shared" si="69"/>
        <v>SO16685</v>
      </c>
      <c r="AA252" s="11">
        <f t="shared" si="76"/>
        <v>45715.458726851852</v>
      </c>
      <c r="AB252" s="5" t="str">
        <f t="shared" si="77"/>
        <v>INV12709</v>
      </c>
      <c r="AC252" s="5" t="str">
        <f>IFERROR(VLOOKUP(D252,CAARStatus!$A$2:$AA$1600,22,FALSE),"Not invoiced")</f>
        <v>Paid</v>
      </c>
      <c r="AD252" s="11">
        <f>IF(AC252="Paid",IFERROR(VLOOKUP(D252,CAARStatus!$A$2:$AA$1600,6,FALSE),"Pending"),"Pending")</f>
        <v>45737</v>
      </c>
      <c r="AE252" s="5" t="str">
        <f t="shared" si="78"/>
        <v>4500564240</v>
      </c>
      <c r="AF252" s="5" t="str">
        <f t="shared" si="79"/>
        <v>Glencore Canada Corporation</v>
      </c>
      <c r="AG252" s="5" t="str">
        <f t="shared" si="80"/>
        <v>CAD</v>
      </c>
      <c r="AH252" s="5">
        <f t="shared" si="81"/>
        <v>3715.09</v>
      </c>
      <c r="AI252" s="12">
        <f>IF(L252-N252=0,VLOOKUP(U252,rate!A$4:B$15,2,FALSE)*AH252,IF(AG252="USD",O252,AH252*Y252))</f>
        <v>2576.2775105758478</v>
      </c>
      <c r="AJ252" s="13">
        <f t="shared" si="82"/>
        <v>0.69346301450997083</v>
      </c>
      <c r="AK252" s="13">
        <f>-IF(AG252="CAD",IFERROR(VLOOKUP(D252,CAARStatus!$A$1:$Y$1600,16,FALSE),0),0)</f>
        <v>-3715.09</v>
      </c>
      <c r="AL252" s="13">
        <f>-IF(AG252="USD",IFERROR(VLOOKUP(D252,CAARStatus!$A$1:$Y$1600,11,FALSE),0),0)</f>
        <v>0</v>
      </c>
      <c r="AM252" s="22">
        <f t="shared" si="83"/>
        <v>0</v>
      </c>
      <c r="AN252" s="12" t="str">
        <f t="shared" si="84"/>
        <v/>
      </c>
      <c r="AO252" s="12" t="str">
        <f t="shared" si="85"/>
        <v>Yes</v>
      </c>
      <c r="AP252" t="str">
        <f t="shared" si="70"/>
        <v>Yes</v>
      </c>
      <c r="AQ252" t="str">
        <f>IFERROR(VLOOKUP(Z252,InvBal!$L$4:$P$600,4,FALSE),"Pend")</f>
        <v>Pend</v>
      </c>
      <c r="AR252" t="str">
        <f>IFERROR(VLOOKUP(D252,Manual!$C$1:$E$22,2,FALSE),"Pend")</f>
        <v>Pend</v>
      </c>
      <c r="AS252" t="str">
        <f t="shared" si="86"/>
        <v>Yes</v>
      </c>
      <c r="AT252" t="str">
        <f t="shared" si="87"/>
        <v>Yes</v>
      </c>
      <c r="AU252" s="51" t="str">
        <f t="shared" si="88"/>
        <v>Yes</v>
      </c>
      <c r="AV252" s="12">
        <f>IFERROR(VLOOKUP(D252,'Receivable Invoice Detail'!$S$1:$U$3014,3,FALSE),0)</f>
        <v>0</v>
      </c>
      <c r="AW252" s="12">
        <f t="shared" si="89"/>
        <v>2576.2775105758478</v>
      </c>
    </row>
    <row r="253" spans="1:49" ht="45" x14ac:dyDescent="0.25">
      <c r="A253" s="2">
        <v>1</v>
      </c>
      <c r="B253" s="2" t="s">
        <v>1771</v>
      </c>
      <c r="C253" s="2" t="s">
        <v>1772</v>
      </c>
      <c r="D253" s="2" t="s">
        <v>2555</v>
      </c>
      <c r="E253" s="2" t="s">
        <v>1773</v>
      </c>
      <c r="F253" s="3">
        <v>45715.513414351852</v>
      </c>
      <c r="G253" s="3">
        <v>45730.610034722216</v>
      </c>
      <c r="H253" s="4">
        <v>45765</v>
      </c>
      <c r="I253" s="2" t="s">
        <v>21</v>
      </c>
      <c r="J253" s="2" t="s">
        <v>22</v>
      </c>
      <c r="K253" s="2">
        <v>1</v>
      </c>
      <c r="L253" s="2">
        <v>11384.16</v>
      </c>
      <c r="M253" s="2">
        <v>0</v>
      </c>
      <c r="N253" s="2">
        <v>7916.2056228353849</v>
      </c>
      <c r="O253" s="2">
        <v>10842.06</v>
      </c>
      <c r="P253" s="2">
        <v>542.1</v>
      </c>
      <c r="Q253" s="2">
        <v>11384.16</v>
      </c>
      <c r="R253" s="2" t="s">
        <v>44</v>
      </c>
      <c r="S253" s="2"/>
      <c r="T253" s="2">
        <f t="shared" si="71"/>
        <v>1</v>
      </c>
      <c r="U253" s="18">
        <f t="shared" si="72"/>
        <v>2</v>
      </c>
      <c r="V253" s="18">
        <f t="shared" si="73"/>
        <v>2025</v>
      </c>
      <c r="W253" s="18">
        <f t="shared" si="74"/>
        <v>4</v>
      </c>
      <c r="X253" s="18">
        <f t="shared" si="75"/>
        <v>2025</v>
      </c>
      <c r="Y253" s="2">
        <f t="shared" si="68"/>
        <v>0.69537020059761856</v>
      </c>
      <c r="Z253" t="str">
        <f t="shared" si="69"/>
        <v>SO16687</v>
      </c>
      <c r="AA253" s="11">
        <f t="shared" si="76"/>
        <v>45715.513414351852</v>
      </c>
      <c r="AB253" s="5" t="str">
        <f t="shared" si="77"/>
        <v>INV12896</v>
      </c>
      <c r="AC253" s="5" t="str">
        <f>IFERROR(VLOOKUP(D253,CAARStatus!$A$2:$AA$1600,22,FALSE),"Not invoiced")</f>
        <v>Paid</v>
      </c>
      <c r="AD253" s="11">
        <f>IF(AC253="Paid",IFERROR(VLOOKUP(D253,CAARStatus!$A$2:$AA$1600,6,FALSE),"Pending"),"Pending")</f>
        <v>45769</v>
      </c>
      <c r="AE253" s="5" t="str">
        <f t="shared" si="78"/>
        <v>Cory Brown -  Order - Paid in full on March 14th</v>
      </c>
      <c r="AF253" s="5" t="str">
        <f t="shared" si="79"/>
        <v>Norsearch Industries (2002)Ltd</v>
      </c>
      <c r="AG253" s="5" t="str">
        <f t="shared" si="80"/>
        <v>CAD</v>
      </c>
      <c r="AH253" s="5">
        <f t="shared" si="81"/>
        <v>10842.06</v>
      </c>
      <c r="AI253" s="12">
        <f>IF(L253-N253=0,VLOOKUP(U253,rate!A$4:B$15,2,FALSE)*AH253,IF(AG253="USD",O253,AH253*Y253))</f>
        <v>7539.2454370914156</v>
      </c>
      <c r="AJ253" s="13">
        <f t="shared" si="82"/>
        <v>0.69537020059761856</v>
      </c>
      <c r="AK253" s="13">
        <f>-IF(AG253="CAD",IFERROR(VLOOKUP(D253,CAARStatus!$A$1:$Y$1600,16,FALSE),0),0)</f>
        <v>-10842.06</v>
      </c>
      <c r="AL253" s="13">
        <f>-IF(AG253="USD",IFERROR(VLOOKUP(D253,CAARStatus!$A$1:$Y$1600,11,FALSE),0),0)</f>
        <v>0</v>
      </c>
      <c r="AM253" s="22">
        <f t="shared" si="83"/>
        <v>0</v>
      </c>
      <c r="AN253" s="12" t="str">
        <f t="shared" si="84"/>
        <v/>
      </c>
      <c r="AO253" s="12" t="str">
        <f t="shared" si="85"/>
        <v>Yes</v>
      </c>
      <c r="AP253" t="str">
        <f t="shared" si="70"/>
        <v>Yes</v>
      </c>
      <c r="AQ253" t="str">
        <f>IFERROR(VLOOKUP(Z253,InvBal!$L$4:$P$600,4,FALSE),"Pend")</f>
        <v>Pend</v>
      </c>
      <c r="AR253" t="str">
        <f>IFERROR(VLOOKUP(D253,Manual!$C$1:$E$22,2,FALSE),"Pend")</f>
        <v>Pend</v>
      </c>
      <c r="AS253" t="str">
        <f t="shared" si="86"/>
        <v>Yes</v>
      </c>
      <c r="AT253" t="str">
        <f t="shared" si="87"/>
        <v>Yes</v>
      </c>
      <c r="AU253" s="51" t="str">
        <f t="shared" si="88"/>
        <v>Yes</v>
      </c>
      <c r="AV253" s="12">
        <f>IFERROR(VLOOKUP(D253,'Receivable Invoice Detail'!$S$1:$U$3014,3,FALSE),0)</f>
        <v>0</v>
      </c>
      <c r="AW253" s="12">
        <f t="shared" si="89"/>
        <v>7539.2454370914156</v>
      </c>
    </row>
    <row r="254" spans="1:49" ht="30" x14ac:dyDescent="0.25">
      <c r="A254" s="2">
        <v>3</v>
      </c>
      <c r="B254" s="2" t="s">
        <v>1863</v>
      </c>
      <c r="C254" s="2" t="s">
        <v>1864</v>
      </c>
      <c r="D254" s="2" t="s">
        <v>2501</v>
      </c>
      <c r="E254" s="2" t="s">
        <v>98</v>
      </c>
      <c r="F254" s="3">
        <v>45716.389305555553</v>
      </c>
      <c r="G254" s="3">
        <v>45716.670648148152</v>
      </c>
      <c r="H254" s="4">
        <v>45719</v>
      </c>
      <c r="I254" s="2" t="s">
        <v>21</v>
      </c>
      <c r="J254" s="2" t="s">
        <v>22</v>
      </c>
      <c r="K254" s="2">
        <v>1</v>
      </c>
      <c r="L254" s="2">
        <v>3852.97</v>
      </c>
      <c r="M254" s="2">
        <v>0</v>
      </c>
      <c r="N254" s="2">
        <v>2669.3600675264988</v>
      </c>
      <c r="O254" s="2">
        <v>3409.71</v>
      </c>
      <c r="P254" s="2">
        <v>443.26</v>
      </c>
      <c r="Q254" s="2">
        <v>3852.97</v>
      </c>
      <c r="R254" s="2" t="s">
        <v>44</v>
      </c>
      <c r="S254" s="2"/>
      <c r="T254" s="2">
        <f t="shared" si="71"/>
        <v>3</v>
      </c>
      <c r="U254" s="18">
        <f t="shared" si="72"/>
        <v>2</v>
      </c>
      <c r="V254" s="18">
        <f t="shared" si="73"/>
        <v>2025</v>
      </c>
      <c r="W254" s="18">
        <f t="shared" si="74"/>
        <v>5</v>
      </c>
      <c r="X254" s="18">
        <f t="shared" si="75"/>
        <v>2025</v>
      </c>
      <c r="Y254" s="2">
        <f t="shared" si="68"/>
        <v>0.69280582707015603</v>
      </c>
      <c r="Z254" t="str">
        <f t="shared" si="69"/>
        <v>SO16692</v>
      </c>
      <c r="AA254" s="11">
        <f t="shared" si="76"/>
        <v>45716.389305555553</v>
      </c>
      <c r="AB254" s="5" t="str">
        <f t="shared" si="77"/>
        <v>INV12807</v>
      </c>
      <c r="AC254" s="5" t="str">
        <f>IFERROR(VLOOKUP(D254,CAARStatus!$A$2:$AA$1600,22,FALSE),"Not invoiced")</f>
        <v>Paid</v>
      </c>
      <c r="AD254" s="11">
        <f>IF(AC254="Paid",IFERROR(VLOOKUP(D254,CAARStatus!$A$2:$AA$1600,6,FALSE),"Pending"),"Pending")</f>
        <v>45784</v>
      </c>
      <c r="AE254" s="5" t="str">
        <f t="shared" si="78"/>
        <v>PO-007796</v>
      </c>
      <c r="AF254" s="5" t="str">
        <f t="shared" si="79"/>
        <v>Sling-Choker Manufacturing - Timmins</v>
      </c>
      <c r="AG254" s="5" t="str">
        <f t="shared" si="80"/>
        <v>CAD</v>
      </c>
      <c r="AH254" s="5">
        <f t="shared" si="81"/>
        <v>3409.71</v>
      </c>
      <c r="AI254" s="12">
        <f>IF(L254-N254=0,VLOOKUP(U254,rate!A$4:B$15,2,FALSE)*AH254,IF(AG254="USD",O254,AH254*Y254))</f>
        <v>2362.2669566193817</v>
      </c>
      <c r="AJ254" s="13">
        <f t="shared" si="82"/>
        <v>0.69280582707015603</v>
      </c>
      <c r="AK254" s="13">
        <f>-IF(AG254="CAD",IFERROR(VLOOKUP(D254,CAARStatus!$A$1:$Y$1600,16,FALSE),0),0)</f>
        <v>-19.89</v>
      </c>
      <c r="AL254" s="13">
        <f>-IF(AG254="USD",IFERROR(VLOOKUP(D254,CAARStatus!$A$1:$Y$1600,11,FALSE),0),0)</f>
        <v>0</v>
      </c>
      <c r="AM254" s="22">
        <f t="shared" si="83"/>
        <v>3389.82</v>
      </c>
      <c r="AN254" s="12" t="str">
        <f t="shared" si="84"/>
        <v/>
      </c>
      <c r="AO254" s="12" t="str">
        <f t="shared" si="85"/>
        <v>Yes</v>
      </c>
      <c r="AP254" t="str">
        <f t="shared" si="70"/>
        <v>XX</v>
      </c>
      <c r="AQ254" t="str">
        <f>IFERROR(VLOOKUP(Z254,InvBal!$L$4:$P$600,4,FALSE),"Pend")</f>
        <v>Yes</v>
      </c>
      <c r="AR254" t="str">
        <f>IFERROR(VLOOKUP(D254,Manual!$C$1:$E$22,2,FALSE),"Pend")</f>
        <v>Pend</v>
      </c>
      <c r="AS254" t="str">
        <f t="shared" si="86"/>
        <v>Yes</v>
      </c>
      <c r="AT254" t="str">
        <f t="shared" si="87"/>
        <v>Yes</v>
      </c>
      <c r="AU254" s="51" t="str">
        <f t="shared" si="88"/>
        <v>Yes</v>
      </c>
      <c r="AV254" s="12">
        <f>IFERROR(VLOOKUP(D254,'Receivable Invoice Detail'!$S$1:$U$3014,3,FALSE),0)</f>
        <v>0</v>
      </c>
      <c r="AW254" s="12">
        <f t="shared" si="89"/>
        <v>2362.2669566193817</v>
      </c>
    </row>
    <row r="255" spans="1:49" x14ac:dyDescent="0.25">
      <c r="A255" s="2"/>
      <c r="B255" s="2"/>
      <c r="C255" s="2"/>
      <c r="D255" s="2" t="s">
        <v>2500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>
        <f t="shared" si="71"/>
        <v>3</v>
      </c>
      <c r="U255" s="18">
        <f t="shared" si="72"/>
        <v>2</v>
      </c>
      <c r="V255" s="18">
        <f t="shared" si="73"/>
        <v>2025</v>
      </c>
      <c r="W255" s="18">
        <f t="shared" si="74"/>
        <v>4</v>
      </c>
      <c r="X255" s="18">
        <f t="shared" si="75"/>
        <v>2025</v>
      </c>
      <c r="Y255" s="2">
        <f t="shared" si="68"/>
        <v>0.69280582707015603</v>
      </c>
      <c r="Z255" t="str">
        <f t="shared" si="69"/>
        <v>SO16692</v>
      </c>
      <c r="AA255" s="11">
        <f t="shared" si="76"/>
        <v>45716.389305555553</v>
      </c>
      <c r="AB255" s="5" t="str">
        <f t="shared" si="77"/>
        <v>INV12793</v>
      </c>
      <c r="AC255" s="5" t="str">
        <f>IFERROR(VLOOKUP(D255,CAARStatus!$A$2:$AA$1600,22,FALSE),"Not invoiced")</f>
        <v>Paid</v>
      </c>
      <c r="AD255" s="11">
        <f>IF(AC255="Paid",IFERROR(VLOOKUP(D255,CAARStatus!$A$2:$AA$1600,6,FALSE),"Pending"),"Pending")</f>
        <v>45777</v>
      </c>
      <c r="AE255" s="5" t="str">
        <f t="shared" si="78"/>
        <v>PO-007796</v>
      </c>
      <c r="AF255" s="5" t="str">
        <f t="shared" si="79"/>
        <v>Sling-Choker Manufacturing - Timmins</v>
      </c>
      <c r="AG255" s="5" t="str">
        <f t="shared" si="80"/>
        <v>CAD</v>
      </c>
      <c r="AH255" s="5">
        <f t="shared" si="81"/>
        <v>0</v>
      </c>
      <c r="AI255" s="12">
        <f>IF(L255-N255=0,VLOOKUP(U255,rate!A$4:B$15,2,FALSE)*AH255,IF(AG255="USD",O255,AH255*Y255))</f>
        <v>0</v>
      </c>
      <c r="AJ255" s="13">
        <f t="shared" si="82"/>
        <v>0</v>
      </c>
      <c r="AK255" s="13">
        <f>-IF(AG255="CAD",IFERROR(VLOOKUP(D255,CAARStatus!$A$1:$Y$1600,16,FALSE),0),0)</f>
        <v>-2175.21</v>
      </c>
      <c r="AL255" s="13">
        <f>-IF(AG255="USD",IFERROR(VLOOKUP(D255,CAARStatus!$A$1:$Y$1600,11,FALSE),0),0)</f>
        <v>0</v>
      </c>
      <c r="AM255" s="22">
        <f t="shared" si="83"/>
        <v>-2175.21</v>
      </c>
      <c r="AN255" s="12" t="str">
        <f t="shared" si="84"/>
        <v/>
      </c>
      <c r="AO255" s="12" t="str">
        <f t="shared" si="85"/>
        <v>Yes</v>
      </c>
      <c r="AP255" t="str">
        <f t="shared" si="70"/>
        <v>XX</v>
      </c>
      <c r="AQ255" t="str">
        <f>IFERROR(VLOOKUP(Z255,InvBal!$L$4:$P$600,4,FALSE),"Pend")</f>
        <v>Yes</v>
      </c>
      <c r="AR255" t="str">
        <f>IFERROR(VLOOKUP(D255,Manual!$C$1:$E$22,2,FALSE),"Pend")</f>
        <v>Pend</v>
      </c>
      <c r="AS255" t="str">
        <f t="shared" si="86"/>
        <v>Yes</v>
      </c>
      <c r="AT255" t="str">
        <f t="shared" si="87"/>
        <v/>
      </c>
      <c r="AU255" s="51" t="str">
        <f t="shared" si="88"/>
        <v/>
      </c>
      <c r="AV255" s="12">
        <f>IFERROR(VLOOKUP(D255,'Receivable Invoice Detail'!$S$1:$U$3014,3,FALSE),0)</f>
        <v>0</v>
      </c>
      <c r="AW255" s="12">
        <f t="shared" si="89"/>
        <v>0</v>
      </c>
    </row>
    <row r="256" spans="1:49" x14ac:dyDescent="0.25">
      <c r="A256" s="2"/>
      <c r="B256" s="2"/>
      <c r="C256" s="2"/>
      <c r="D256" s="2" t="s">
        <v>2499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>
        <f t="shared" si="71"/>
        <v>3</v>
      </c>
      <c r="U256" s="18">
        <f t="shared" si="72"/>
        <v>2</v>
      </c>
      <c r="V256" s="18">
        <f t="shared" si="73"/>
        <v>2025</v>
      </c>
      <c r="W256" s="18">
        <f t="shared" si="74"/>
        <v>5</v>
      </c>
      <c r="X256" s="18">
        <f t="shared" si="75"/>
        <v>2025</v>
      </c>
      <c r="Y256" s="2">
        <f t="shared" si="68"/>
        <v>0.69280582707015603</v>
      </c>
      <c r="Z256" t="str">
        <f t="shared" si="69"/>
        <v>SO16692</v>
      </c>
      <c r="AA256" s="11">
        <f t="shared" si="76"/>
        <v>45716.389305555553</v>
      </c>
      <c r="AB256" s="5" t="str">
        <f t="shared" si="77"/>
        <v>INV12853</v>
      </c>
      <c r="AC256" s="5" t="str">
        <f>IFERROR(VLOOKUP(D256,CAARStatus!$A$2:$AA$1600,22,FALSE),"Not invoiced")</f>
        <v>Paid</v>
      </c>
      <c r="AD256" s="11">
        <f>IF(AC256="Paid",IFERROR(VLOOKUP(D256,CAARStatus!$A$2:$AA$1600,6,FALSE),"Pending"),"Pending")</f>
        <v>45798</v>
      </c>
      <c r="AE256" s="5" t="str">
        <f t="shared" si="78"/>
        <v>PO-007796</v>
      </c>
      <c r="AF256" s="5" t="str">
        <f t="shared" si="79"/>
        <v>Sling-Choker Manufacturing - Timmins</v>
      </c>
      <c r="AG256" s="5" t="str">
        <f t="shared" si="80"/>
        <v>CAD</v>
      </c>
      <c r="AH256" s="5">
        <f t="shared" si="81"/>
        <v>0</v>
      </c>
      <c r="AI256" s="12">
        <f>IF(L256-N256=0,VLOOKUP(U256,rate!A$4:B$15,2,FALSE)*AH256,IF(AG256="USD",O256,AH256*Y256))</f>
        <v>0</v>
      </c>
      <c r="AJ256" s="13">
        <f t="shared" si="82"/>
        <v>0</v>
      </c>
      <c r="AK256" s="13">
        <f>-IF(AG256="CAD",IFERROR(VLOOKUP(D256,CAARStatus!$A$1:$Y$1600,16,FALSE),0),0)</f>
        <v>-1214.6099999999999</v>
      </c>
      <c r="AL256" s="13">
        <f>-IF(AG256="USD",IFERROR(VLOOKUP(D256,CAARStatus!$A$1:$Y$1600,11,FALSE),0),0)</f>
        <v>0</v>
      </c>
      <c r="AM256" s="22">
        <f t="shared" si="83"/>
        <v>-1214.6099999999999</v>
      </c>
      <c r="AN256" s="12" t="str">
        <f t="shared" si="84"/>
        <v/>
      </c>
      <c r="AO256" s="12" t="str">
        <f t="shared" si="85"/>
        <v>Yes</v>
      </c>
      <c r="AP256" t="str">
        <f t="shared" si="70"/>
        <v>XX</v>
      </c>
      <c r="AQ256" t="str">
        <f>IFERROR(VLOOKUP(Z256,InvBal!$L$4:$P$600,4,FALSE),"Pend")</f>
        <v>Yes</v>
      </c>
      <c r="AR256" t="str">
        <f>IFERROR(VLOOKUP(D256,Manual!$C$1:$E$22,2,FALSE),"Pend")</f>
        <v>Pend</v>
      </c>
      <c r="AS256" t="str">
        <f t="shared" si="86"/>
        <v>Yes</v>
      </c>
      <c r="AT256" t="str">
        <f t="shared" si="87"/>
        <v/>
      </c>
      <c r="AU256" s="51" t="str">
        <f t="shared" si="88"/>
        <v/>
      </c>
      <c r="AV256" s="12">
        <f>IFERROR(VLOOKUP(D256,'Receivable Invoice Detail'!$S$1:$U$3014,3,FALSE),0)</f>
        <v>0</v>
      </c>
      <c r="AW256" s="12">
        <f t="shared" si="89"/>
        <v>0</v>
      </c>
    </row>
    <row r="257" spans="1:49" x14ac:dyDescent="0.25">
      <c r="A257" s="2">
        <v>2</v>
      </c>
      <c r="B257" s="2" t="s">
        <v>1869</v>
      </c>
      <c r="C257" s="2" t="s">
        <v>1870</v>
      </c>
      <c r="D257" s="2" t="s">
        <v>2496</v>
      </c>
      <c r="E257" s="2" t="s">
        <v>723</v>
      </c>
      <c r="F257" s="3">
        <v>45716.466539351852</v>
      </c>
      <c r="G257" s="3">
        <v>45716.46497685185</v>
      </c>
      <c r="H257" s="4">
        <v>45814</v>
      </c>
      <c r="I257" s="2" t="s">
        <v>71</v>
      </c>
      <c r="J257" s="2" t="s">
        <v>51</v>
      </c>
      <c r="K257" s="2">
        <v>0.69691919319001483</v>
      </c>
      <c r="L257" s="2">
        <v>13417.26571942828</v>
      </c>
      <c r="M257" s="2">
        <v>0</v>
      </c>
      <c r="N257" s="2">
        <v>9350.75</v>
      </c>
      <c r="O257" s="2">
        <v>8275</v>
      </c>
      <c r="P257" s="2">
        <v>1075.75</v>
      </c>
      <c r="Q257" s="2">
        <v>9350.75</v>
      </c>
      <c r="R257" s="2" t="s">
        <v>44</v>
      </c>
      <c r="S257" s="2"/>
      <c r="T257" s="2">
        <f t="shared" si="71"/>
        <v>2</v>
      </c>
      <c r="U257" s="18">
        <f t="shared" si="72"/>
        <v>2</v>
      </c>
      <c r="V257" s="18">
        <f t="shared" si="73"/>
        <v>2025</v>
      </c>
      <c r="W257" s="18">
        <f t="shared" si="74"/>
        <v>6</v>
      </c>
      <c r="X257" s="18">
        <f t="shared" si="75"/>
        <v>2025</v>
      </c>
      <c r="Y257" s="2">
        <f t="shared" si="68"/>
        <v>0.69691919319001472</v>
      </c>
      <c r="Z257" t="str">
        <f t="shared" si="69"/>
        <v>SO16693</v>
      </c>
      <c r="AA257" s="11">
        <f t="shared" si="76"/>
        <v>45716.466539351852</v>
      </c>
      <c r="AB257" s="5" t="str">
        <f t="shared" si="77"/>
        <v>INV12734</v>
      </c>
      <c r="AC257" s="5" t="str">
        <f>IFERROR(VLOOKUP(D257,CAARStatus!$A$2:$AA$1600,22,FALSE),"Not invoiced")</f>
        <v>Paid</v>
      </c>
      <c r="AD257" s="11">
        <f>IF(AC257="Paid",IFERROR(VLOOKUP(D257,CAARStatus!$A$2:$AA$1600,6,FALSE),"Pending"),"Pending")</f>
        <v>45822</v>
      </c>
      <c r="AE257" s="5" t="str">
        <f t="shared" si="78"/>
        <v>P354000</v>
      </c>
      <c r="AF257" s="5" t="str">
        <f t="shared" si="79"/>
        <v>Covia Corp - Blue Mountain</v>
      </c>
      <c r="AG257" s="5" t="str">
        <f t="shared" si="80"/>
        <v>USD</v>
      </c>
      <c r="AH257" s="5">
        <f t="shared" si="81"/>
        <v>11873.686477370158</v>
      </c>
      <c r="AI257" s="12">
        <f>IF(L257-N257=0,VLOOKUP(U257,rate!A$4:B$15,2,FALSE)*AH257,IF(AG257="USD",O257,AH257*Y257))</f>
        <v>8275</v>
      </c>
      <c r="AJ257" s="13">
        <f t="shared" si="82"/>
        <v>0.69691919319001483</v>
      </c>
      <c r="AK257" s="13">
        <f>-IF(AG257="CAD",IFERROR(VLOOKUP(D257,CAARStatus!$A$1:$Y$1600,16,FALSE),0),0)</f>
        <v>0</v>
      </c>
      <c r="AL257" s="13">
        <f>-IF(AG257="USD",IFERROR(VLOOKUP(D257,CAARStatus!$A$1:$Y$1600,11,FALSE),0),0)</f>
        <v>-5509</v>
      </c>
      <c r="AM257" s="22" t="str">
        <f t="shared" si="83"/>
        <v/>
      </c>
      <c r="AN257" s="12">
        <f t="shared" si="84"/>
        <v>2766</v>
      </c>
      <c r="AO257" s="12" t="str">
        <f t="shared" si="85"/>
        <v>Yes</v>
      </c>
      <c r="AP257" t="str">
        <f t="shared" si="70"/>
        <v>XX</v>
      </c>
      <c r="AQ257">
        <f>IFERROR(VLOOKUP(Z257,InvBal!$L$4:$P$600,4,FALSE),"Pend")</f>
        <v>0</v>
      </c>
      <c r="AR257" t="str">
        <f>IFERROR(VLOOKUP(D257,Manual!$C$1:$E$22,2,FALSE),"Pend")</f>
        <v>Pend</v>
      </c>
      <c r="AS257" t="str">
        <f t="shared" si="86"/>
        <v/>
      </c>
      <c r="AT257" t="str">
        <f t="shared" si="87"/>
        <v>Yes</v>
      </c>
      <c r="AU257" s="51" t="str">
        <f t="shared" si="88"/>
        <v/>
      </c>
      <c r="AV257" s="12">
        <f>IFERROR(VLOOKUP(D257,'Receivable Invoice Detail'!$S$1:$U$3014,3,FALSE),0)</f>
        <v>395</v>
      </c>
      <c r="AW257" s="12">
        <f t="shared" si="89"/>
        <v>0</v>
      </c>
    </row>
    <row r="258" spans="1:49" x14ac:dyDescent="0.25">
      <c r="A258" s="2"/>
      <c r="B258" s="2"/>
      <c r="C258" s="2"/>
      <c r="D258" s="2" t="s">
        <v>2495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>
        <f t="shared" si="71"/>
        <v>2</v>
      </c>
      <c r="U258" s="18">
        <f t="shared" si="72"/>
        <v>2</v>
      </c>
      <c r="V258" s="18">
        <f t="shared" si="73"/>
        <v>2025</v>
      </c>
      <c r="W258" s="18">
        <f t="shared" si="74"/>
        <v>9</v>
      </c>
      <c r="X258" s="18">
        <f t="shared" si="75"/>
        <v>2025</v>
      </c>
      <c r="Y258" s="2">
        <f t="shared" ref="Y258:Y321" si="90">IF(C258="",Y257,N258/L258)</f>
        <v>0.69691919319001472</v>
      </c>
      <c r="Z258" t="str">
        <f t="shared" ref="Z258:Z321" si="91">IF(B258="",Z257,B258)</f>
        <v>SO16693</v>
      </c>
      <c r="AA258" s="11">
        <f t="shared" si="76"/>
        <v>45716.466539351852</v>
      </c>
      <c r="AB258" s="5" t="str">
        <f t="shared" si="77"/>
        <v>INV13075</v>
      </c>
      <c r="AC258" s="5" t="str">
        <f>IFERROR(VLOOKUP(D258,CAARStatus!$A$2:$AA$1600,22,FALSE),"Not invoiced")</f>
        <v>Paid</v>
      </c>
      <c r="AD258" s="11">
        <f>IF(AC258="Paid",IFERROR(VLOOKUP(D258,CAARStatus!$A$2:$AA$1600,6,FALSE),"Pending"),"Pending")</f>
        <v>45913</v>
      </c>
      <c r="AE258" s="5" t="str">
        <f t="shared" si="78"/>
        <v>P354000</v>
      </c>
      <c r="AF258" s="5" t="str">
        <f t="shared" si="79"/>
        <v>Covia Corp - Blue Mountain</v>
      </c>
      <c r="AG258" s="5" t="str">
        <f t="shared" si="80"/>
        <v>USD</v>
      </c>
      <c r="AH258" s="5">
        <f t="shared" si="81"/>
        <v>0</v>
      </c>
      <c r="AI258" s="12">
        <f>IF(L258-N258=0,VLOOKUP(U258,rate!A$4:B$15,2,FALSE)*AH258,IF(AG258="USD",O258,AH258*Y258))</f>
        <v>0</v>
      </c>
      <c r="AJ258" s="13">
        <f t="shared" si="82"/>
        <v>0</v>
      </c>
      <c r="AK258" s="13">
        <f>-IF(AG258="CAD",IFERROR(VLOOKUP(D258,CAARStatus!$A$1:$Y$1600,16,FALSE),0),0)</f>
        <v>0</v>
      </c>
      <c r="AL258" s="13">
        <f>-IF(AG258="USD",IFERROR(VLOOKUP(D258,CAARStatus!$A$1:$Y$1600,11,FALSE),0),0)</f>
        <v>-3048.65</v>
      </c>
      <c r="AM258" s="22" t="str">
        <f t="shared" si="83"/>
        <v/>
      </c>
      <c r="AN258" s="12">
        <f t="shared" si="84"/>
        <v>-3048.65</v>
      </c>
      <c r="AO258" s="12" t="str">
        <f t="shared" si="85"/>
        <v>Yes</v>
      </c>
      <c r="AP258" t="str">
        <f t="shared" ref="AP258:AP321" si="92">IF(AND(AO258="Pend",T258&lt;2),"Pend",IF(T258=1,"Yes","XX"))</f>
        <v>XX</v>
      </c>
      <c r="AQ258">
        <f>IFERROR(VLOOKUP(Z258,InvBal!$L$4:$P$600,4,FALSE),"Pend")</f>
        <v>0</v>
      </c>
      <c r="AR258" t="str">
        <f>IFERROR(VLOOKUP(D258,Manual!$C$1:$E$22,2,FALSE),"Pend")</f>
        <v>Yes</v>
      </c>
      <c r="AS258" t="str">
        <f t="shared" si="86"/>
        <v>Yes</v>
      </c>
      <c r="AT258" t="str">
        <f t="shared" si="87"/>
        <v/>
      </c>
      <c r="AU258" s="51" t="str">
        <f t="shared" si="88"/>
        <v/>
      </c>
      <c r="AV258" s="12">
        <f>IFERROR(VLOOKUP(D258,'Receivable Invoice Detail'!$S$1:$U$3014,3,FALSE),0)</f>
        <v>282.64999999999998</v>
      </c>
      <c r="AW258" s="12">
        <f t="shared" si="89"/>
        <v>0</v>
      </c>
    </row>
    <row r="259" spans="1:49" ht="30" x14ac:dyDescent="0.25">
      <c r="A259" s="2">
        <v>1</v>
      </c>
      <c r="B259" s="2" t="s">
        <v>1867</v>
      </c>
      <c r="C259" s="2" t="s">
        <v>1868</v>
      </c>
      <c r="D259" s="2" t="s">
        <v>2497</v>
      </c>
      <c r="E259" s="2" t="s">
        <v>20</v>
      </c>
      <c r="F259" s="3">
        <v>45716.515925925924</v>
      </c>
      <c r="G259" s="3">
        <v>45716.515925925924</v>
      </c>
      <c r="H259" s="4">
        <v>45737</v>
      </c>
      <c r="I259" s="2" t="s">
        <v>21</v>
      </c>
      <c r="J259" s="2" t="s">
        <v>22</v>
      </c>
      <c r="K259" s="2">
        <v>1</v>
      </c>
      <c r="L259" s="2">
        <v>2045.52</v>
      </c>
      <c r="M259" s="2">
        <v>0</v>
      </c>
      <c r="N259" s="2">
        <v>1417.148175388546</v>
      </c>
      <c r="O259" s="2">
        <v>1948.11</v>
      </c>
      <c r="P259" s="2">
        <v>97.41</v>
      </c>
      <c r="Q259" s="2">
        <v>2045.52</v>
      </c>
      <c r="R259" s="2" t="s">
        <v>44</v>
      </c>
      <c r="S259" s="2"/>
      <c r="T259" s="2">
        <f t="shared" ref="T259:T322" si="93">IF(A259="",T258,A259)</f>
        <v>1</v>
      </c>
      <c r="U259" s="18">
        <f t="shared" ref="U259:U322" si="94">IF(F259="",U258,MONTH(F259))</f>
        <v>2</v>
      </c>
      <c r="V259" s="18">
        <f t="shared" ref="V259:V322" si="95">IF(F259="",V258,YEAR(F259))</f>
        <v>2025</v>
      </c>
      <c r="W259" s="18">
        <f t="shared" ref="W259:W322" si="96">IF(AC259="Paid",MONTH(AD259),"")</f>
        <v>5</v>
      </c>
      <c r="X259" s="18">
        <f t="shared" ref="X259:X322" si="97">IF(AC259="Paid",YEAR(AD259),"")</f>
        <v>2025</v>
      </c>
      <c r="Y259" s="2">
        <f t="shared" si="90"/>
        <v>0.69280582707015625</v>
      </c>
      <c r="Z259" t="str">
        <f t="shared" si="91"/>
        <v>SO16694</v>
      </c>
      <c r="AA259" s="11">
        <f t="shared" ref="AA259:AA322" si="98">IF(F259="",AA258,F259)</f>
        <v>45716.515925925924</v>
      </c>
      <c r="AB259" s="5" t="str">
        <f t="shared" ref="AB259:AB322" si="99">IF(D259="","No Inv",D259)</f>
        <v>INV12775</v>
      </c>
      <c r="AC259" s="5" t="str">
        <f>IFERROR(VLOOKUP(D259,CAARStatus!$A$2:$AA$1600,22,FALSE),"Not invoiced")</f>
        <v>Paid</v>
      </c>
      <c r="AD259" s="11">
        <f>IF(AC259="Paid",IFERROR(VLOOKUP(D259,CAARStatus!$A$2:$AA$1600,6,FALSE),"Pending"),"Pending")</f>
        <v>45800</v>
      </c>
      <c r="AE259" s="5" t="str">
        <f t="shared" ref="AE259:AE322" si="100">IF(C259="",AE258,C259)</f>
        <v>4500583779</v>
      </c>
      <c r="AF259" s="5" t="str">
        <f t="shared" ref="AF259:AF322" si="101">IF(E259="",AF258,E259)</f>
        <v>Resolute Forest Products - Saint-Felicien</v>
      </c>
      <c r="AG259" s="5" t="str">
        <f t="shared" ref="AG259:AG322" si="102">IF(J259="",AG258,J259)</f>
        <v>CAD</v>
      </c>
      <c r="AH259" s="5">
        <f t="shared" ref="AH259:AH322" si="103">IFERROR(IF(AG259="CAD",O259,O259/K259),0)</f>
        <v>1948.11</v>
      </c>
      <c r="AI259" s="12">
        <f>IF(L259-N259=0,VLOOKUP(U259,rate!A$4:B$15,2,FALSE)*AH259,IF(AG259="USD",O259,AH259*Y259))</f>
        <v>1349.6619597736421</v>
      </c>
      <c r="AJ259" s="13">
        <f t="shared" ref="AJ259:AJ322" si="104">IFERROR(AI259/AH259,0)</f>
        <v>0.69280582707015625</v>
      </c>
      <c r="AK259" s="13">
        <f>-IF(AG259="CAD",IFERROR(VLOOKUP(D259,CAARStatus!$A$1:$Y$1600,16,FALSE),0),0)</f>
        <v>-1948.11</v>
      </c>
      <c r="AL259" s="13">
        <f>-IF(AG259="USD",IFERROR(VLOOKUP(D259,CAARStatus!$A$1:$Y$1600,11,FALSE),0),0)</f>
        <v>0</v>
      </c>
      <c r="AM259" s="22">
        <f t="shared" ref="AM259:AM322" si="105">IF(AG259="CAD",AH259+AK259,"")</f>
        <v>0</v>
      </c>
      <c r="AN259" s="12" t="str">
        <f t="shared" ref="AN259:AN322" si="106">IF(AG259="USD",AI259+AL259,"")</f>
        <v/>
      </c>
      <c r="AO259" s="12" t="str">
        <f t="shared" ref="AO259:AO322" si="107">IF(AC259="Paid","Yes","Pend")</f>
        <v>Yes</v>
      </c>
      <c r="AP259" t="str">
        <f t="shared" si="92"/>
        <v>Yes</v>
      </c>
      <c r="AQ259" t="str">
        <f>IFERROR(VLOOKUP(Z259,InvBal!$L$4:$P$600,4,FALSE),"Pend")</f>
        <v>Pend</v>
      </c>
      <c r="AR259" t="str">
        <f>IFERROR(VLOOKUP(D259,Manual!$C$1:$E$22,2,FALSE),"Pend")</f>
        <v>Pend</v>
      </c>
      <c r="AS259" t="str">
        <f t="shared" ref="AS259:AS322" si="108">IF(OR(AP259="Yes",AQ259="Yes",AR259="Yes"),"Yes","")</f>
        <v>Yes</v>
      </c>
      <c r="AT259" t="str">
        <f t="shared" ref="AT259:AT322" si="109">IF(R259="Delivered","Yes","")</f>
        <v>Yes</v>
      </c>
      <c r="AU259" s="51" t="str">
        <f t="shared" ref="AU259:AU322" si="110">IF(AND(AS259="Yes",AT259="Yes"),"Yes","")</f>
        <v>Yes</v>
      </c>
      <c r="AV259" s="12">
        <f>IFERROR(VLOOKUP(D259,'Receivable Invoice Detail'!$S$1:$U$3014,3,FALSE),0)</f>
        <v>0</v>
      </c>
      <c r="AW259" s="12">
        <f t="shared" ref="AW259:AW322" si="111">IF(AU259="Yes",AI259-AV259,0)</f>
        <v>1349.6619597736421</v>
      </c>
    </row>
    <row r="260" spans="1:49" x14ac:dyDescent="0.25">
      <c r="A260" s="2">
        <v>1</v>
      </c>
      <c r="B260" s="2" t="s">
        <v>1747</v>
      </c>
      <c r="C260" s="2" t="s">
        <v>1748</v>
      </c>
      <c r="D260" s="2" t="s">
        <v>2569</v>
      </c>
      <c r="E260" s="2" t="s">
        <v>581</v>
      </c>
      <c r="F260" s="3">
        <v>45716.597546296303</v>
      </c>
      <c r="G260" s="3">
        <v>45736.411736111113</v>
      </c>
      <c r="H260" s="4">
        <v>45737</v>
      </c>
      <c r="I260" s="2" t="s">
        <v>21</v>
      </c>
      <c r="J260" s="2" t="s">
        <v>51</v>
      </c>
      <c r="K260" s="2">
        <v>0.69777964949161275</v>
      </c>
      <c r="L260" s="2">
        <v>182.0632059025491</v>
      </c>
      <c r="M260" s="2">
        <v>0</v>
      </c>
      <c r="N260" s="2">
        <v>127.04</v>
      </c>
      <c r="O260" s="2">
        <v>127.04</v>
      </c>
      <c r="P260" s="2"/>
      <c r="Q260" s="2">
        <v>127.04</v>
      </c>
      <c r="R260" s="2" t="s">
        <v>44</v>
      </c>
      <c r="S260" s="2"/>
      <c r="T260" s="2">
        <f t="shared" si="93"/>
        <v>1</v>
      </c>
      <c r="U260" s="18">
        <f t="shared" si="94"/>
        <v>2</v>
      </c>
      <c r="V260" s="18">
        <f t="shared" si="95"/>
        <v>2025</v>
      </c>
      <c r="W260" s="18">
        <f t="shared" si="96"/>
        <v>4</v>
      </c>
      <c r="X260" s="18">
        <f t="shared" si="97"/>
        <v>2025</v>
      </c>
      <c r="Y260" s="2">
        <f t="shared" si="90"/>
        <v>0.69777964949161264</v>
      </c>
      <c r="Z260" t="str">
        <f t="shared" si="91"/>
        <v>SO16696</v>
      </c>
      <c r="AA260" s="11">
        <f t="shared" si="98"/>
        <v>45716.597546296303</v>
      </c>
      <c r="AB260" s="5" t="str">
        <f t="shared" si="99"/>
        <v>INV12767</v>
      </c>
      <c r="AC260" s="5" t="str">
        <f>IFERROR(VLOOKUP(D260,CAARStatus!$A$2:$AA$1600,22,FALSE),"Not invoiced")</f>
        <v>Paid</v>
      </c>
      <c r="AD260" s="11">
        <f>IF(AC260="Paid",IFERROR(VLOOKUP(D260,CAARStatus!$A$2:$AA$1600,6,FALSE),"Pending"),"Pending")</f>
        <v>45771</v>
      </c>
      <c r="AE260" s="5" t="str">
        <f t="shared" si="100"/>
        <v>5355643</v>
      </c>
      <c r="AF260" s="5" t="str">
        <f t="shared" si="101"/>
        <v>Corrosion Fluid Products Corp.</v>
      </c>
      <c r="AG260" s="5" t="str">
        <f t="shared" si="102"/>
        <v>USD</v>
      </c>
      <c r="AH260" s="5">
        <f t="shared" si="103"/>
        <v>182.06320590254907</v>
      </c>
      <c r="AI260" s="12">
        <f>IF(L260-N260=0,VLOOKUP(U260,rate!A$4:B$15,2,FALSE)*AH260,IF(AG260="USD",O260,AH260*Y260))</f>
        <v>127.04</v>
      </c>
      <c r="AJ260" s="13">
        <f t="shared" si="104"/>
        <v>0.69777964949161275</v>
      </c>
      <c r="AK260" s="13">
        <f>-IF(AG260="CAD",IFERROR(VLOOKUP(D260,CAARStatus!$A$1:$Y$1600,16,FALSE),0),0)</f>
        <v>0</v>
      </c>
      <c r="AL260" s="13">
        <f>-IF(AG260="USD",IFERROR(VLOOKUP(D260,CAARStatus!$A$1:$Y$1600,11,FALSE),0),0)</f>
        <v>-127.04</v>
      </c>
      <c r="AM260" s="22" t="str">
        <f t="shared" si="105"/>
        <v/>
      </c>
      <c r="AN260" s="12">
        <f t="shared" si="106"/>
        <v>0</v>
      </c>
      <c r="AO260" s="12" t="str">
        <f t="shared" si="107"/>
        <v>Yes</v>
      </c>
      <c r="AP260" t="str">
        <f t="shared" si="92"/>
        <v>Yes</v>
      </c>
      <c r="AQ260" t="str">
        <f>IFERROR(VLOOKUP(Z260,InvBal!$L$4:$P$600,4,FALSE),"Pend")</f>
        <v>Pend</v>
      </c>
      <c r="AR260" t="str">
        <f>IFERROR(VLOOKUP(D260,Manual!$C$1:$E$22,2,FALSE),"Pend")</f>
        <v>Pend</v>
      </c>
      <c r="AS260" t="str">
        <f t="shared" si="108"/>
        <v>Yes</v>
      </c>
      <c r="AT260" t="str">
        <f t="shared" si="109"/>
        <v>Yes</v>
      </c>
      <c r="AU260" s="51" t="str">
        <f t="shared" si="110"/>
        <v>Yes</v>
      </c>
      <c r="AV260" s="12">
        <f>IFERROR(VLOOKUP(D260,'Receivable Invoice Detail'!$S$1:$U$3014,3,FALSE),0)</f>
        <v>0</v>
      </c>
      <c r="AW260" s="12">
        <f t="shared" si="111"/>
        <v>127.04</v>
      </c>
    </row>
    <row r="261" spans="1:49" ht="30" x14ac:dyDescent="0.25">
      <c r="A261" s="2">
        <v>1</v>
      </c>
      <c r="B261" s="2" t="s">
        <v>1795</v>
      </c>
      <c r="C261" s="2" t="s">
        <v>1796</v>
      </c>
      <c r="D261" s="2" t="s">
        <v>2543</v>
      </c>
      <c r="E261" s="2" t="s">
        <v>1797</v>
      </c>
      <c r="F261" s="3">
        <v>45716.705671296288</v>
      </c>
      <c r="G261" s="3">
        <v>45728.419490740736</v>
      </c>
      <c r="H261" s="4">
        <v>45730</v>
      </c>
      <c r="I261" s="2" t="s">
        <v>21</v>
      </c>
      <c r="J261" s="2" t="s">
        <v>22</v>
      </c>
      <c r="K261" s="2">
        <v>1</v>
      </c>
      <c r="L261" s="2">
        <v>2197.21</v>
      </c>
      <c r="M261" s="2">
        <v>0</v>
      </c>
      <c r="N261" s="2">
        <v>1525.8465398041619</v>
      </c>
      <c r="O261" s="2">
        <v>2092.58</v>
      </c>
      <c r="P261" s="2">
        <v>104.63</v>
      </c>
      <c r="Q261" s="2">
        <v>2197.21</v>
      </c>
      <c r="R261" s="2" t="s">
        <v>44</v>
      </c>
      <c r="S261" s="2"/>
      <c r="T261" s="2">
        <f t="shared" si="93"/>
        <v>1</v>
      </c>
      <c r="U261" s="18">
        <f t="shared" si="94"/>
        <v>2</v>
      </c>
      <c r="V261" s="18">
        <f t="shared" si="95"/>
        <v>2025</v>
      </c>
      <c r="W261" s="18">
        <f t="shared" si="96"/>
        <v>4</v>
      </c>
      <c r="X261" s="18">
        <f t="shared" si="97"/>
        <v>2025</v>
      </c>
      <c r="Y261" s="2">
        <f t="shared" si="90"/>
        <v>0.69444729443437903</v>
      </c>
      <c r="Z261" t="str">
        <f t="shared" si="91"/>
        <v>SO16698</v>
      </c>
      <c r="AA261" s="11">
        <f t="shared" si="98"/>
        <v>45716.705671296288</v>
      </c>
      <c r="AB261" s="5" t="str">
        <f t="shared" si="99"/>
        <v>INV12730</v>
      </c>
      <c r="AC261" s="5" t="str">
        <f>IFERROR(VLOOKUP(D261,CAARStatus!$A$2:$AA$1600,22,FALSE),"Not invoiced")</f>
        <v>Paid</v>
      </c>
      <c r="AD261" s="11">
        <f>IF(AC261="Paid",IFERROR(VLOOKUP(D261,CAARStatus!$A$2:$AA$1600,6,FALSE),"Pending"),"Pending")</f>
        <v>45757</v>
      </c>
      <c r="AE261" s="5" t="str">
        <f t="shared" si="100"/>
        <v>C002967100</v>
      </c>
      <c r="AF261" s="5" t="str">
        <f t="shared" si="101"/>
        <v>Glencore Canada Corporation Closed Sites</v>
      </c>
      <c r="AG261" s="5" t="str">
        <f t="shared" si="102"/>
        <v>CAD</v>
      </c>
      <c r="AH261" s="5">
        <f t="shared" si="103"/>
        <v>2092.58</v>
      </c>
      <c r="AI261" s="12">
        <f>IF(L261-N261=0,VLOOKUP(U261,rate!A$4:B$15,2,FALSE)*AH261,IF(AG261="USD",O261,AH261*Y261))</f>
        <v>1453.1865193874928</v>
      </c>
      <c r="AJ261" s="13">
        <f t="shared" si="104"/>
        <v>0.69444729443437903</v>
      </c>
      <c r="AK261" s="13">
        <f>-IF(AG261="CAD",IFERROR(VLOOKUP(D261,CAARStatus!$A$1:$Y$1600,16,FALSE),0),0)</f>
        <v>-2092.58</v>
      </c>
      <c r="AL261" s="13">
        <f>-IF(AG261="USD",IFERROR(VLOOKUP(D261,CAARStatus!$A$1:$Y$1600,11,FALSE),0),0)</f>
        <v>0</v>
      </c>
      <c r="AM261" s="22">
        <f t="shared" si="105"/>
        <v>0</v>
      </c>
      <c r="AN261" s="12" t="str">
        <f t="shared" si="106"/>
        <v/>
      </c>
      <c r="AO261" s="12" t="str">
        <f t="shared" si="107"/>
        <v>Yes</v>
      </c>
      <c r="AP261" t="str">
        <f t="shared" si="92"/>
        <v>Yes</v>
      </c>
      <c r="AQ261" t="str">
        <f>IFERROR(VLOOKUP(Z261,InvBal!$L$4:$P$600,4,FALSE),"Pend")</f>
        <v>Pend</v>
      </c>
      <c r="AR261" t="str">
        <f>IFERROR(VLOOKUP(D261,Manual!$C$1:$E$22,2,FALSE),"Pend")</f>
        <v>Pend</v>
      </c>
      <c r="AS261" t="str">
        <f t="shared" si="108"/>
        <v>Yes</v>
      </c>
      <c r="AT261" t="str">
        <f t="shared" si="109"/>
        <v>Yes</v>
      </c>
      <c r="AU261" s="51" t="str">
        <f t="shared" si="110"/>
        <v>Yes</v>
      </c>
      <c r="AV261" s="12">
        <f>IFERROR(VLOOKUP(D261,'Receivable Invoice Detail'!$S$1:$U$3014,3,FALSE),0)</f>
        <v>0</v>
      </c>
      <c r="AW261" s="12">
        <f t="shared" si="111"/>
        <v>1453.1865193874928</v>
      </c>
    </row>
    <row r="262" spans="1:49" x14ac:dyDescent="0.25">
      <c r="A262" s="2">
        <v>2</v>
      </c>
      <c r="B262" s="2" t="s">
        <v>1859</v>
      </c>
      <c r="C262" s="2" t="s">
        <v>1860</v>
      </c>
      <c r="D262" s="2" t="s">
        <v>2504</v>
      </c>
      <c r="E262" s="2" t="s">
        <v>146</v>
      </c>
      <c r="F262" s="3">
        <v>45719.514849537038</v>
      </c>
      <c r="G262" s="3">
        <v>45719.520995370367</v>
      </c>
      <c r="H262" s="4">
        <v>45747</v>
      </c>
      <c r="I262" s="2" t="s">
        <v>21</v>
      </c>
      <c r="J262" s="2" t="s">
        <v>22</v>
      </c>
      <c r="K262" s="2">
        <v>1</v>
      </c>
      <c r="L262" s="2">
        <v>663.2</v>
      </c>
      <c r="M262" s="2">
        <v>0</v>
      </c>
      <c r="N262" s="2">
        <v>460.5225457113566</v>
      </c>
      <c r="O262" s="2">
        <v>631.62</v>
      </c>
      <c r="P262" s="2">
        <v>31.58</v>
      </c>
      <c r="Q262" s="2">
        <v>663.2</v>
      </c>
      <c r="R262" s="2" t="s">
        <v>44</v>
      </c>
      <c r="S262" s="2"/>
      <c r="T262" s="2">
        <f t="shared" si="93"/>
        <v>2</v>
      </c>
      <c r="U262" s="18">
        <f t="shared" si="94"/>
        <v>3</v>
      </c>
      <c r="V262" s="18">
        <f t="shared" si="95"/>
        <v>2025</v>
      </c>
      <c r="W262" s="18">
        <f t="shared" si="96"/>
        <v>8</v>
      </c>
      <c r="X262" s="18">
        <f t="shared" si="97"/>
        <v>2025</v>
      </c>
      <c r="Y262" s="2">
        <f t="shared" si="90"/>
        <v>0.69439467085548334</v>
      </c>
      <c r="Z262" t="str">
        <f t="shared" si="91"/>
        <v>SO16703</v>
      </c>
      <c r="AA262" s="11">
        <f t="shared" si="98"/>
        <v>45719.514849537038</v>
      </c>
      <c r="AB262" s="5" t="str">
        <f t="shared" si="99"/>
        <v>INV13091</v>
      </c>
      <c r="AC262" s="5" t="str">
        <f>IFERROR(VLOOKUP(D262,CAARStatus!$A$2:$AA$1600,22,FALSE),"Not invoiced")</f>
        <v>Paid</v>
      </c>
      <c r="AD262" s="11">
        <f>IF(AC262="Paid",IFERROR(VLOOKUP(D262,CAARStatus!$A$2:$AA$1600,6,FALSE),"Pending"),"Pending")</f>
        <v>45873</v>
      </c>
      <c r="AE262" s="5" t="str">
        <f t="shared" si="100"/>
        <v>6847</v>
      </c>
      <c r="AF262" s="5" t="str">
        <f t="shared" si="101"/>
        <v>Hyperflo</v>
      </c>
      <c r="AG262" s="5" t="str">
        <f t="shared" si="102"/>
        <v>CAD</v>
      </c>
      <c r="AH262" s="5">
        <f t="shared" si="103"/>
        <v>631.62</v>
      </c>
      <c r="AI262" s="12">
        <f>IF(L262-N262=0,VLOOKUP(U262,rate!A$4:B$15,2,FALSE)*AH262,IF(AG262="USD",O262,AH262*Y262))</f>
        <v>438.59356200574041</v>
      </c>
      <c r="AJ262" s="13">
        <f t="shared" si="104"/>
        <v>0.69439467085548334</v>
      </c>
      <c r="AK262" s="13">
        <f>-IF(AG262="CAD",IFERROR(VLOOKUP(D262,CAARStatus!$A$1:$Y$1600,16,FALSE),0),0)</f>
        <v>-537.73</v>
      </c>
      <c r="AL262" s="13">
        <f>-IF(AG262="USD",IFERROR(VLOOKUP(D262,CAARStatus!$A$1:$Y$1600,11,FALSE),0),0)</f>
        <v>0</v>
      </c>
      <c r="AM262" s="22">
        <f t="shared" si="105"/>
        <v>93.889999999999986</v>
      </c>
      <c r="AN262" s="12" t="str">
        <f t="shared" si="106"/>
        <v/>
      </c>
      <c r="AO262" s="12" t="str">
        <f t="shared" si="107"/>
        <v>Yes</v>
      </c>
      <c r="AP262" t="str">
        <f t="shared" si="92"/>
        <v>XX</v>
      </c>
      <c r="AQ262" t="str">
        <f>IFERROR(VLOOKUP(Z262,InvBal!$L$4:$P$600,4,FALSE),"Pend")</f>
        <v>Yes</v>
      </c>
      <c r="AR262" t="str">
        <f>IFERROR(VLOOKUP(D262,Manual!$C$1:$E$22,2,FALSE),"Pend")</f>
        <v>Pend</v>
      </c>
      <c r="AS262" t="str">
        <f t="shared" si="108"/>
        <v>Yes</v>
      </c>
      <c r="AT262" t="str">
        <f t="shared" si="109"/>
        <v>Yes</v>
      </c>
      <c r="AU262" s="51" t="str">
        <f t="shared" si="110"/>
        <v>Yes</v>
      </c>
      <c r="AV262" s="12">
        <f>IFERROR(VLOOKUP(D262,'Receivable Invoice Detail'!$S$1:$U$3014,3,FALSE),0)</f>
        <v>0</v>
      </c>
      <c r="AW262" s="12">
        <f t="shared" si="111"/>
        <v>438.59356200574041</v>
      </c>
    </row>
    <row r="263" spans="1:49" x14ac:dyDescent="0.25">
      <c r="A263" s="2"/>
      <c r="B263" s="2"/>
      <c r="C263" s="2"/>
      <c r="D263" s="2" t="s">
        <v>2503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>
        <f t="shared" si="93"/>
        <v>2</v>
      </c>
      <c r="U263" s="18">
        <f t="shared" si="94"/>
        <v>3</v>
      </c>
      <c r="V263" s="18">
        <f t="shared" si="95"/>
        <v>2025</v>
      </c>
      <c r="W263" s="18">
        <f t="shared" si="96"/>
        <v>4</v>
      </c>
      <c r="X263" s="18">
        <f t="shared" si="97"/>
        <v>2025</v>
      </c>
      <c r="Y263" s="2">
        <f t="shared" si="90"/>
        <v>0.69439467085548334</v>
      </c>
      <c r="Z263" t="str">
        <f t="shared" si="91"/>
        <v>SO16703</v>
      </c>
      <c r="AA263" s="11">
        <f t="shared" si="98"/>
        <v>45719.514849537038</v>
      </c>
      <c r="AB263" s="5" t="str">
        <f t="shared" si="99"/>
        <v>INV12721</v>
      </c>
      <c r="AC263" s="5" t="str">
        <f>IFERROR(VLOOKUP(D263,CAARStatus!$A$2:$AA$1600,22,FALSE),"Not invoiced")</f>
        <v>Paid</v>
      </c>
      <c r="AD263" s="11">
        <f>IF(AC263="Paid",IFERROR(VLOOKUP(D263,CAARStatus!$A$2:$AA$1600,6,FALSE),"Pending"),"Pending")</f>
        <v>45776</v>
      </c>
      <c r="AE263" s="5" t="str">
        <f t="shared" si="100"/>
        <v>6847</v>
      </c>
      <c r="AF263" s="5" t="str">
        <f t="shared" si="101"/>
        <v>Hyperflo</v>
      </c>
      <c r="AG263" s="5" t="str">
        <f t="shared" si="102"/>
        <v>CAD</v>
      </c>
      <c r="AH263" s="5">
        <f t="shared" si="103"/>
        <v>0</v>
      </c>
      <c r="AI263" s="12">
        <f>IF(L263-N263=0,VLOOKUP(U263,rate!A$4:B$15,2,FALSE)*AH263,IF(AG263="USD",O263,AH263*Y263))</f>
        <v>0</v>
      </c>
      <c r="AJ263" s="13">
        <f t="shared" si="104"/>
        <v>0</v>
      </c>
      <c r="AK263" s="13">
        <f>-IF(AG263="CAD",IFERROR(VLOOKUP(D263,CAARStatus!$A$1:$Y$1600,16,FALSE),0),0)</f>
        <v>-93.89</v>
      </c>
      <c r="AL263" s="13">
        <f>-IF(AG263="USD",IFERROR(VLOOKUP(D263,CAARStatus!$A$1:$Y$1600,11,FALSE),0),0)</f>
        <v>0</v>
      </c>
      <c r="AM263" s="22">
        <f t="shared" si="105"/>
        <v>-93.89</v>
      </c>
      <c r="AN263" s="12" t="str">
        <f t="shared" si="106"/>
        <v/>
      </c>
      <c r="AO263" s="12" t="str">
        <f t="shared" si="107"/>
        <v>Yes</v>
      </c>
      <c r="AP263" t="str">
        <f t="shared" si="92"/>
        <v>XX</v>
      </c>
      <c r="AQ263" t="str">
        <f>IFERROR(VLOOKUP(Z263,InvBal!$L$4:$P$600,4,FALSE),"Pend")</f>
        <v>Yes</v>
      </c>
      <c r="AR263" t="str">
        <f>IFERROR(VLOOKUP(D263,Manual!$C$1:$E$22,2,FALSE),"Pend")</f>
        <v>Pend</v>
      </c>
      <c r="AS263" t="str">
        <f t="shared" si="108"/>
        <v>Yes</v>
      </c>
      <c r="AT263" t="str">
        <f t="shared" si="109"/>
        <v/>
      </c>
      <c r="AU263" s="51" t="str">
        <f t="shared" si="110"/>
        <v/>
      </c>
      <c r="AV263" s="12">
        <f>IFERROR(VLOOKUP(D263,'Receivable Invoice Detail'!$S$1:$U$3014,3,FALSE),0)</f>
        <v>0</v>
      </c>
      <c r="AW263" s="12">
        <f t="shared" si="111"/>
        <v>0</v>
      </c>
    </row>
    <row r="264" spans="1:49" ht="30" x14ac:dyDescent="0.25">
      <c r="A264" s="2">
        <v>1</v>
      </c>
      <c r="B264" s="2" t="s">
        <v>1857</v>
      </c>
      <c r="C264" s="2" t="s">
        <v>1858</v>
      </c>
      <c r="D264" s="2" t="s">
        <v>2505</v>
      </c>
      <c r="E264" s="2" t="s">
        <v>630</v>
      </c>
      <c r="F264" s="3">
        <v>45719.52851851852</v>
      </c>
      <c r="G264" s="3">
        <v>45719.530081018522</v>
      </c>
      <c r="H264" s="4">
        <v>44996</v>
      </c>
      <c r="I264" s="2" t="s">
        <v>21</v>
      </c>
      <c r="J264" s="2" t="s">
        <v>22</v>
      </c>
      <c r="K264" s="2">
        <v>1</v>
      </c>
      <c r="L264" s="2">
        <v>0</v>
      </c>
      <c r="M264" s="2">
        <v>0</v>
      </c>
      <c r="N264" s="2">
        <v>0</v>
      </c>
      <c r="O264" s="2"/>
      <c r="P264" s="2"/>
      <c r="Q264" s="2"/>
      <c r="R264" s="2" t="s">
        <v>44</v>
      </c>
      <c r="S264" s="2"/>
      <c r="T264" s="2">
        <f t="shared" si="93"/>
        <v>1</v>
      </c>
      <c r="U264" s="18">
        <f t="shared" si="94"/>
        <v>3</v>
      </c>
      <c r="V264" s="18">
        <f t="shared" si="95"/>
        <v>2025</v>
      </c>
      <c r="W264" s="18">
        <f t="shared" si="96"/>
        <v>1</v>
      </c>
      <c r="X264" s="18">
        <f t="shared" si="97"/>
        <v>1900</v>
      </c>
      <c r="Y264" s="2" t="e">
        <f t="shared" si="90"/>
        <v>#DIV/0!</v>
      </c>
      <c r="Z264" t="str">
        <f t="shared" si="91"/>
        <v>SO16704</v>
      </c>
      <c r="AA264" s="11">
        <f t="shared" si="98"/>
        <v>45719.52851851852</v>
      </c>
      <c r="AB264" s="5" t="str">
        <f t="shared" si="99"/>
        <v>INV12702</v>
      </c>
      <c r="AC264" s="5" t="str">
        <f>IFERROR(VLOOKUP(D264,CAARStatus!$A$2:$AA$1600,22,FALSE),"Not invoiced")</f>
        <v>Paid</v>
      </c>
      <c r="AD264" s="11">
        <f>IF(AC264="Paid",IFERROR(VLOOKUP(D264,CAARStatus!$A$2:$AA$1600,6,FALSE),"Pending"),"Pending")</f>
        <v>0</v>
      </c>
      <c r="AE264" s="5" t="str">
        <f t="shared" si="100"/>
        <v>Replacement Part for 63-01537</v>
      </c>
      <c r="AF264" s="5" t="str">
        <f t="shared" si="101"/>
        <v>Quality Concrete Inc.</v>
      </c>
      <c r="AG264" s="5" t="str">
        <f t="shared" si="102"/>
        <v>CAD</v>
      </c>
      <c r="AH264" s="5">
        <f t="shared" si="103"/>
        <v>0</v>
      </c>
      <c r="AI264" s="12">
        <f>IF(L264-N264=0,VLOOKUP(U264,rate!A$4:B$15,2,FALSE)*AH264,IF(AG264="USD",O264,AH264*Y264))</f>
        <v>0</v>
      </c>
      <c r="AJ264" s="13">
        <f t="shared" si="104"/>
        <v>0</v>
      </c>
      <c r="AK264" s="13">
        <f>-IF(AG264="CAD",IFERROR(VLOOKUP(D264,CAARStatus!$A$1:$Y$1600,16,FALSE),0),0)</f>
        <v>0</v>
      </c>
      <c r="AL264" s="13">
        <f>-IF(AG264="USD",IFERROR(VLOOKUP(D264,CAARStatus!$A$1:$Y$1600,11,FALSE),0),0)</f>
        <v>0</v>
      </c>
      <c r="AM264" s="22">
        <f t="shared" si="105"/>
        <v>0</v>
      </c>
      <c r="AN264" s="12" t="str">
        <f t="shared" si="106"/>
        <v/>
      </c>
      <c r="AO264" s="12" t="str">
        <f t="shared" si="107"/>
        <v>Yes</v>
      </c>
      <c r="AP264" t="str">
        <f t="shared" si="92"/>
        <v>Yes</v>
      </c>
      <c r="AQ264" t="str">
        <f>IFERROR(VLOOKUP(Z264,InvBal!$L$4:$P$600,4,FALSE),"Pend")</f>
        <v>Pend</v>
      </c>
      <c r="AR264" t="str">
        <f>IFERROR(VLOOKUP(D264,Manual!$C$1:$E$22,2,FALSE),"Pend")</f>
        <v>Pend</v>
      </c>
      <c r="AS264" t="str">
        <f t="shared" si="108"/>
        <v>Yes</v>
      </c>
      <c r="AT264" t="str">
        <f t="shared" si="109"/>
        <v>Yes</v>
      </c>
      <c r="AU264" s="51" t="str">
        <f t="shared" si="110"/>
        <v>Yes</v>
      </c>
      <c r="AV264" s="12">
        <f>IFERROR(VLOOKUP(D264,'Receivable Invoice Detail'!$S$1:$U$3014,3,FALSE),0)</f>
        <v>0</v>
      </c>
      <c r="AW264" s="12">
        <f t="shared" si="111"/>
        <v>0</v>
      </c>
    </row>
    <row r="265" spans="1:49" x14ac:dyDescent="0.25">
      <c r="A265" s="2">
        <v>1</v>
      </c>
      <c r="B265" s="2" t="s">
        <v>1855</v>
      </c>
      <c r="C265" s="2" t="s">
        <v>1856</v>
      </c>
      <c r="D265" s="2" t="s">
        <v>2506</v>
      </c>
      <c r="E265" s="2" t="s">
        <v>77</v>
      </c>
      <c r="F265" s="3">
        <v>45719.621979166674</v>
      </c>
      <c r="G265" s="3">
        <v>45719.622847222221</v>
      </c>
      <c r="H265" s="4">
        <v>45721</v>
      </c>
      <c r="I265" s="2" t="s">
        <v>21</v>
      </c>
      <c r="J265" s="2" t="s">
        <v>22</v>
      </c>
      <c r="K265" s="2">
        <v>1</v>
      </c>
      <c r="L265" s="2">
        <v>283.87</v>
      </c>
      <c r="M265" s="2">
        <v>0</v>
      </c>
      <c r="N265" s="2">
        <v>197.11781521574599</v>
      </c>
      <c r="O265" s="2">
        <v>270.35000000000002</v>
      </c>
      <c r="P265" s="2">
        <v>13.52</v>
      </c>
      <c r="Q265" s="2">
        <v>283.87</v>
      </c>
      <c r="R265" s="2" t="s">
        <v>44</v>
      </c>
      <c r="S265" s="2"/>
      <c r="T265" s="2">
        <f t="shared" si="93"/>
        <v>1</v>
      </c>
      <c r="U265" s="18">
        <f t="shared" si="94"/>
        <v>3</v>
      </c>
      <c r="V265" s="18">
        <f t="shared" si="95"/>
        <v>2025</v>
      </c>
      <c r="W265" s="18">
        <f t="shared" si="96"/>
        <v>4</v>
      </c>
      <c r="X265" s="18">
        <f t="shared" si="97"/>
        <v>2025</v>
      </c>
      <c r="Y265" s="2">
        <f t="shared" si="90"/>
        <v>0.69439467085548312</v>
      </c>
      <c r="Z265" t="str">
        <f t="shared" si="91"/>
        <v>SO16705</v>
      </c>
      <c r="AA265" s="11">
        <f t="shared" si="98"/>
        <v>45719.621979166674</v>
      </c>
      <c r="AB265" s="5" t="str">
        <f t="shared" si="99"/>
        <v>INV12699</v>
      </c>
      <c r="AC265" s="5" t="str">
        <f>IFERROR(VLOOKUP(D265,CAARStatus!$A$2:$AA$1600,22,FALSE),"Not invoiced")</f>
        <v>Paid</v>
      </c>
      <c r="AD265" s="11">
        <f>IF(AC265="Paid",IFERROR(VLOOKUP(D265,CAARStatus!$A$2:$AA$1600,6,FALSE),"Pending"),"Pending")</f>
        <v>45757</v>
      </c>
      <c r="AE265" s="5" t="str">
        <f t="shared" si="100"/>
        <v>PO-40-1013419</v>
      </c>
      <c r="AF265" s="5" t="str">
        <f t="shared" si="101"/>
        <v>Canadian Bearings Ltd.</v>
      </c>
      <c r="AG265" s="5" t="str">
        <f t="shared" si="102"/>
        <v>CAD</v>
      </c>
      <c r="AH265" s="5">
        <f t="shared" si="103"/>
        <v>270.35000000000002</v>
      </c>
      <c r="AI265" s="12">
        <f>IF(L265-N265=0,VLOOKUP(U265,rate!A$4:B$15,2,FALSE)*AH265,IF(AG265="USD",O265,AH265*Y265))</f>
        <v>187.72959926577988</v>
      </c>
      <c r="AJ265" s="13">
        <f t="shared" si="104"/>
        <v>0.69439467085548312</v>
      </c>
      <c r="AK265" s="13">
        <f>-IF(AG265="CAD",IFERROR(VLOOKUP(D265,CAARStatus!$A$1:$Y$1600,16,FALSE),0),0)</f>
        <v>-270.35000000000002</v>
      </c>
      <c r="AL265" s="13">
        <f>-IF(AG265="USD",IFERROR(VLOOKUP(D265,CAARStatus!$A$1:$Y$1600,11,FALSE),0),0)</f>
        <v>0</v>
      </c>
      <c r="AM265" s="22">
        <f t="shared" si="105"/>
        <v>0</v>
      </c>
      <c r="AN265" s="12" t="str">
        <f t="shared" si="106"/>
        <v/>
      </c>
      <c r="AO265" s="12" t="str">
        <f t="shared" si="107"/>
        <v>Yes</v>
      </c>
      <c r="AP265" t="str">
        <f t="shared" si="92"/>
        <v>Yes</v>
      </c>
      <c r="AQ265" t="str">
        <f>IFERROR(VLOOKUP(Z265,InvBal!$L$4:$P$600,4,FALSE),"Pend")</f>
        <v>Pend</v>
      </c>
      <c r="AR265" t="str">
        <f>IFERROR(VLOOKUP(D265,Manual!$C$1:$E$22,2,FALSE),"Pend")</f>
        <v>Pend</v>
      </c>
      <c r="AS265" t="str">
        <f t="shared" si="108"/>
        <v>Yes</v>
      </c>
      <c r="AT265" t="str">
        <f t="shared" si="109"/>
        <v>Yes</v>
      </c>
      <c r="AU265" s="51" t="str">
        <f t="shared" si="110"/>
        <v>Yes</v>
      </c>
      <c r="AV265" s="12">
        <f>IFERROR(VLOOKUP(D265,'Receivable Invoice Detail'!$S$1:$U$3014,3,FALSE),0)</f>
        <v>0</v>
      </c>
      <c r="AW265" s="12">
        <f t="shared" si="111"/>
        <v>187.72959926577988</v>
      </c>
    </row>
    <row r="266" spans="1:49" x14ac:dyDescent="0.25">
      <c r="A266" s="2">
        <v>1</v>
      </c>
      <c r="B266" s="2" t="s">
        <v>1763</v>
      </c>
      <c r="C266" s="2" t="s">
        <v>1764</v>
      </c>
      <c r="D266" s="2" t="s">
        <v>2559</v>
      </c>
      <c r="E266" s="2" t="s">
        <v>146</v>
      </c>
      <c r="F266" s="3">
        <v>45719.723564814813</v>
      </c>
      <c r="G266" s="3">
        <v>45734.483796296299</v>
      </c>
      <c r="H266" s="4">
        <v>45735</v>
      </c>
      <c r="I266" s="2" t="s">
        <v>21</v>
      </c>
      <c r="J266" s="2" t="s">
        <v>22</v>
      </c>
      <c r="K266" s="2">
        <v>1</v>
      </c>
      <c r="L266" s="2">
        <v>6899.97</v>
      </c>
      <c r="M266" s="2">
        <v>0</v>
      </c>
      <c r="N266" s="2">
        <v>4821.2009685891953</v>
      </c>
      <c r="O266" s="2">
        <v>6571.4</v>
      </c>
      <c r="P266" s="2">
        <v>328.57</v>
      </c>
      <c r="Q266" s="2">
        <v>6899.97</v>
      </c>
      <c r="R266" s="2" t="s">
        <v>44</v>
      </c>
      <c r="S266" s="2"/>
      <c r="T266" s="2">
        <f t="shared" si="93"/>
        <v>1</v>
      </c>
      <c r="U266" s="18">
        <f t="shared" si="94"/>
        <v>3</v>
      </c>
      <c r="V266" s="18">
        <f t="shared" si="95"/>
        <v>2025</v>
      </c>
      <c r="W266" s="18">
        <f t="shared" si="96"/>
        <v>4</v>
      </c>
      <c r="X266" s="18">
        <f t="shared" si="97"/>
        <v>2025</v>
      </c>
      <c r="Y266" s="2">
        <f t="shared" si="90"/>
        <v>0.69872781600343115</v>
      </c>
      <c r="Z266" t="str">
        <f t="shared" si="91"/>
        <v>SO16706</v>
      </c>
      <c r="AA266" s="11">
        <f t="shared" si="98"/>
        <v>45719.723564814813</v>
      </c>
      <c r="AB266" s="5" t="str">
        <f t="shared" si="99"/>
        <v>INV12755</v>
      </c>
      <c r="AC266" s="5" t="str">
        <f>IFERROR(VLOOKUP(D266,CAARStatus!$A$2:$AA$1600,22,FALSE),"Not invoiced")</f>
        <v>Paid</v>
      </c>
      <c r="AD266" s="11">
        <f>IF(AC266="Paid",IFERROR(VLOOKUP(D266,CAARStatus!$A$2:$AA$1600,6,FALSE),"Pending"),"Pending")</f>
        <v>45776</v>
      </c>
      <c r="AE266" s="5" t="str">
        <f t="shared" si="100"/>
        <v>6911</v>
      </c>
      <c r="AF266" s="5" t="str">
        <f t="shared" si="101"/>
        <v>Hyperflo</v>
      </c>
      <c r="AG266" s="5" t="str">
        <f t="shared" si="102"/>
        <v>CAD</v>
      </c>
      <c r="AH266" s="5">
        <f t="shared" si="103"/>
        <v>6571.4</v>
      </c>
      <c r="AI266" s="12">
        <f>IF(L266-N266=0,VLOOKUP(U266,rate!A$4:B$15,2,FALSE)*AH266,IF(AG266="USD",O266,AH266*Y266))</f>
        <v>4591.6199700849475</v>
      </c>
      <c r="AJ266" s="13">
        <f t="shared" si="104"/>
        <v>0.69872781600343115</v>
      </c>
      <c r="AK266" s="13">
        <f>-IF(AG266="CAD",IFERROR(VLOOKUP(D266,CAARStatus!$A$1:$Y$1600,16,FALSE),0),0)</f>
        <v>-6571.4</v>
      </c>
      <c r="AL266" s="13">
        <f>-IF(AG266="USD",IFERROR(VLOOKUP(D266,CAARStatus!$A$1:$Y$1600,11,FALSE),0),0)</f>
        <v>0</v>
      </c>
      <c r="AM266" s="22">
        <f t="shared" si="105"/>
        <v>0</v>
      </c>
      <c r="AN266" s="12" t="str">
        <f t="shared" si="106"/>
        <v/>
      </c>
      <c r="AO266" s="12" t="str">
        <f t="shared" si="107"/>
        <v>Yes</v>
      </c>
      <c r="AP266" t="str">
        <f t="shared" si="92"/>
        <v>Yes</v>
      </c>
      <c r="AQ266" t="str">
        <f>IFERROR(VLOOKUP(Z266,InvBal!$L$4:$P$600,4,FALSE),"Pend")</f>
        <v>Pend</v>
      </c>
      <c r="AR266" t="str">
        <f>IFERROR(VLOOKUP(D266,Manual!$C$1:$E$22,2,FALSE),"Pend")</f>
        <v>Pend</v>
      </c>
      <c r="AS266" t="str">
        <f t="shared" si="108"/>
        <v>Yes</v>
      </c>
      <c r="AT266" t="str">
        <f t="shared" si="109"/>
        <v>Yes</v>
      </c>
      <c r="AU266" s="51" t="str">
        <f t="shared" si="110"/>
        <v>Yes</v>
      </c>
      <c r="AV266" s="12">
        <f>IFERROR(VLOOKUP(D266,'Receivable Invoice Detail'!$S$1:$U$3014,3,FALSE),0)</f>
        <v>0</v>
      </c>
      <c r="AW266" s="12">
        <f t="shared" si="111"/>
        <v>4591.6199700849475</v>
      </c>
    </row>
    <row r="267" spans="1:49" ht="60" x14ac:dyDescent="0.25">
      <c r="A267" s="2">
        <v>2</v>
      </c>
      <c r="B267" s="2" t="s">
        <v>1850</v>
      </c>
      <c r="C267" s="2" t="s">
        <v>1851</v>
      </c>
      <c r="D267" s="2" t="s">
        <v>2509</v>
      </c>
      <c r="E267" s="2" t="s">
        <v>1852</v>
      </c>
      <c r="F267" s="3">
        <v>45719.729571759257</v>
      </c>
      <c r="G267" s="3">
        <v>45720.702627314808</v>
      </c>
      <c r="H267" s="4">
        <v>45790</v>
      </c>
      <c r="I267" s="2" t="s">
        <v>21</v>
      </c>
      <c r="J267" s="2" t="s">
        <v>51</v>
      </c>
      <c r="K267" s="2">
        <v>0.69439467085548334</v>
      </c>
      <c r="L267" s="2">
        <v>6126.7031251243734</v>
      </c>
      <c r="M267" s="2">
        <v>0</v>
      </c>
      <c r="N267" s="2">
        <v>4254.3500000000004</v>
      </c>
      <c r="O267" s="2">
        <v>4254.3500000000004</v>
      </c>
      <c r="P267" s="2"/>
      <c r="Q267" s="2">
        <v>4254.3500000000004</v>
      </c>
      <c r="R267" s="2" t="s">
        <v>44</v>
      </c>
      <c r="S267" s="2"/>
      <c r="T267" s="2">
        <f t="shared" si="93"/>
        <v>2</v>
      </c>
      <c r="U267" s="18">
        <f t="shared" si="94"/>
        <v>3</v>
      </c>
      <c r="V267" s="18">
        <f t="shared" si="95"/>
        <v>2025</v>
      </c>
      <c r="W267" s="18">
        <f t="shared" si="96"/>
        <v>4</v>
      </c>
      <c r="X267" s="18">
        <f t="shared" si="97"/>
        <v>2025</v>
      </c>
      <c r="Y267" s="2">
        <f t="shared" si="90"/>
        <v>0.69439467085548334</v>
      </c>
      <c r="Z267" t="str">
        <f t="shared" si="91"/>
        <v>SO16707</v>
      </c>
      <c r="AA267" s="11">
        <f t="shared" si="98"/>
        <v>45719.729571759257</v>
      </c>
      <c r="AB267" s="5" t="str">
        <f t="shared" si="99"/>
        <v>INV12803</v>
      </c>
      <c r="AC267" s="5" t="str">
        <f>IFERROR(VLOOKUP(D267,CAARStatus!$A$2:$AA$1600,22,FALSE),"Not invoiced")</f>
        <v>Paid</v>
      </c>
      <c r="AD267" s="11">
        <f>IF(AC267="Paid",IFERROR(VLOOKUP(D267,CAARStatus!$A$2:$AA$1600,6,FALSE),"Pending"),"Pending")</f>
        <v>45748</v>
      </c>
      <c r="AE267" s="5" t="str">
        <f t="shared" si="100"/>
        <v>Melissa Rosier - PO - Email Confirmation - Paid in Full on March 5th 2025</v>
      </c>
      <c r="AF267" s="5" t="str">
        <f t="shared" si="101"/>
        <v>D&amp;H Materials Inc</v>
      </c>
      <c r="AG267" s="5" t="str">
        <f t="shared" si="102"/>
        <v>USD</v>
      </c>
      <c r="AH267" s="5">
        <f t="shared" si="103"/>
        <v>6126.7031251243734</v>
      </c>
      <c r="AI267" s="12">
        <f>IF(L267-N267=0,VLOOKUP(U267,rate!A$4:B$15,2,FALSE)*AH267,IF(AG267="USD",O267,AH267*Y267))</f>
        <v>4254.3500000000004</v>
      </c>
      <c r="AJ267" s="13">
        <f t="shared" si="104"/>
        <v>0.69439467085548334</v>
      </c>
      <c r="AK267" s="13">
        <f>-IF(AG267="CAD",IFERROR(VLOOKUP(D267,CAARStatus!$A$1:$Y$1600,16,FALSE),0),0)</f>
        <v>0</v>
      </c>
      <c r="AL267" s="13">
        <f>-IF(AG267="USD",IFERROR(VLOOKUP(D267,CAARStatus!$A$1:$Y$1600,11,FALSE),0),0)</f>
        <v>-3884.47</v>
      </c>
      <c r="AM267" s="22" t="str">
        <f t="shared" si="105"/>
        <v/>
      </c>
      <c r="AN267" s="12">
        <f t="shared" si="106"/>
        <v>369.88000000000056</v>
      </c>
      <c r="AO267" s="12" t="str">
        <f t="shared" si="107"/>
        <v>Yes</v>
      </c>
      <c r="AP267" t="str">
        <f t="shared" si="92"/>
        <v>XX</v>
      </c>
      <c r="AQ267" t="str">
        <f>IFERROR(VLOOKUP(Z267,InvBal!$L$4:$P$600,4,FALSE),"Pend")</f>
        <v>Yes</v>
      </c>
      <c r="AR267" t="str">
        <f>IFERROR(VLOOKUP(D267,Manual!$C$1:$E$22,2,FALSE),"Pend")</f>
        <v>Pend</v>
      </c>
      <c r="AS267" t="str">
        <f t="shared" si="108"/>
        <v>Yes</v>
      </c>
      <c r="AT267" t="str">
        <f t="shared" si="109"/>
        <v>Yes</v>
      </c>
      <c r="AU267" s="51" t="str">
        <f t="shared" si="110"/>
        <v>Yes</v>
      </c>
      <c r="AV267" s="12">
        <f>IFERROR(VLOOKUP(D267,'Receivable Invoice Detail'!$S$1:$U$3014,3,FALSE),0)</f>
        <v>0</v>
      </c>
      <c r="AW267" s="12">
        <f t="shared" si="111"/>
        <v>4254.3500000000004</v>
      </c>
    </row>
    <row r="268" spans="1:49" x14ac:dyDescent="0.25">
      <c r="A268" s="2"/>
      <c r="B268" s="2"/>
      <c r="C268" s="2"/>
      <c r="D268" s="2" t="s">
        <v>2508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>
        <f t="shared" si="93"/>
        <v>2</v>
      </c>
      <c r="U268" s="18">
        <f t="shared" si="94"/>
        <v>3</v>
      </c>
      <c r="V268" s="18">
        <f t="shared" si="95"/>
        <v>2025</v>
      </c>
      <c r="W268" s="18">
        <f t="shared" si="96"/>
        <v>5</v>
      </c>
      <c r="X268" s="18">
        <f t="shared" si="97"/>
        <v>2025</v>
      </c>
      <c r="Y268" s="2">
        <f t="shared" si="90"/>
        <v>0.69439467085548334</v>
      </c>
      <c r="Z268" t="str">
        <f t="shared" si="91"/>
        <v>SO16707</v>
      </c>
      <c r="AA268" s="11">
        <f t="shared" si="98"/>
        <v>45719.729571759257</v>
      </c>
      <c r="AB268" s="5" t="str">
        <f t="shared" si="99"/>
        <v>INV12946</v>
      </c>
      <c r="AC268" s="5" t="str">
        <f>IFERROR(VLOOKUP(D268,CAARStatus!$A$2:$AA$1600,22,FALSE),"Not invoiced")</f>
        <v>Paid</v>
      </c>
      <c r="AD268" s="11">
        <f>IF(AC268="Paid",IFERROR(VLOOKUP(D268,CAARStatus!$A$2:$AA$1600,6,FALSE),"Pending"),"Pending")</f>
        <v>45783</v>
      </c>
      <c r="AE268" s="5" t="str">
        <f t="shared" si="100"/>
        <v>Melissa Rosier - PO - Email Confirmation - Paid in Full on March 5th 2025</v>
      </c>
      <c r="AF268" s="5" t="str">
        <f t="shared" si="101"/>
        <v>D&amp;H Materials Inc</v>
      </c>
      <c r="AG268" s="5" t="str">
        <f t="shared" si="102"/>
        <v>USD</v>
      </c>
      <c r="AH268" s="5">
        <f t="shared" si="103"/>
        <v>0</v>
      </c>
      <c r="AI268" s="12">
        <f>IF(L268-N268=0,VLOOKUP(U268,rate!A$4:B$15,2,FALSE)*AH268,IF(AG268="USD",O268,AH268*Y268))</f>
        <v>0</v>
      </c>
      <c r="AJ268" s="13">
        <f t="shared" si="104"/>
        <v>0</v>
      </c>
      <c r="AK268" s="13">
        <f>-IF(AG268="CAD",IFERROR(VLOOKUP(D268,CAARStatus!$A$1:$Y$1600,16,FALSE),0),0)</f>
        <v>0</v>
      </c>
      <c r="AL268" s="13">
        <f>-IF(AG268="USD",IFERROR(VLOOKUP(D268,CAARStatus!$A$1:$Y$1600,11,FALSE),0),0)</f>
        <v>-369.88</v>
      </c>
      <c r="AM268" s="22" t="str">
        <f t="shared" si="105"/>
        <v/>
      </c>
      <c r="AN268" s="12">
        <f t="shared" si="106"/>
        <v>-369.88</v>
      </c>
      <c r="AO268" s="12" t="str">
        <f t="shared" si="107"/>
        <v>Yes</v>
      </c>
      <c r="AP268" t="str">
        <f t="shared" si="92"/>
        <v>XX</v>
      </c>
      <c r="AQ268" t="str">
        <f>IFERROR(VLOOKUP(Z268,InvBal!$L$4:$P$600,4,FALSE),"Pend")</f>
        <v>Yes</v>
      </c>
      <c r="AR268" t="str">
        <f>IFERROR(VLOOKUP(D268,Manual!$C$1:$E$22,2,FALSE),"Pend")</f>
        <v>Pend</v>
      </c>
      <c r="AS268" t="str">
        <f t="shared" si="108"/>
        <v>Yes</v>
      </c>
      <c r="AT268" t="str">
        <f t="shared" si="109"/>
        <v/>
      </c>
      <c r="AU268" s="51" t="str">
        <f t="shared" si="110"/>
        <v/>
      </c>
      <c r="AV268" s="12">
        <f>IFERROR(VLOOKUP(D268,'Receivable Invoice Detail'!$S$1:$U$3014,3,FALSE),0)</f>
        <v>0</v>
      </c>
      <c r="AW268" s="12">
        <f t="shared" si="111"/>
        <v>0</v>
      </c>
    </row>
    <row r="269" spans="1:49" x14ac:dyDescent="0.25">
      <c r="A269" s="2">
        <v>1</v>
      </c>
      <c r="B269" s="2" t="s">
        <v>1833</v>
      </c>
      <c r="C269" s="2" t="s">
        <v>1834</v>
      </c>
      <c r="D269" s="2" t="s">
        <v>2519</v>
      </c>
      <c r="E269" s="2" t="s">
        <v>1835</v>
      </c>
      <c r="F269" s="3">
        <v>45719.735150462962</v>
      </c>
      <c r="G269" s="3">
        <v>45722.618761574071</v>
      </c>
      <c r="H269" s="4">
        <v>45723</v>
      </c>
      <c r="I269" s="2" t="s">
        <v>21</v>
      </c>
      <c r="J269" s="2" t="s">
        <v>22</v>
      </c>
      <c r="K269" s="2">
        <v>1</v>
      </c>
      <c r="L269" s="2">
        <v>1492.58</v>
      </c>
      <c r="M269" s="2">
        <v>0</v>
      </c>
      <c r="N269" s="2">
        <v>1045.2518355520631</v>
      </c>
      <c r="O269" s="2">
        <v>1421.5</v>
      </c>
      <c r="P269" s="2">
        <v>71.08</v>
      </c>
      <c r="Q269" s="2">
        <v>1492.58</v>
      </c>
      <c r="R269" s="2" t="s">
        <v>44</v>
      </c>
      <c r="S269" s="2"/>
      <c r="T269" s="2">
        <f t="shared" si="93"/>
        <v>1</v>
      </c>
      <c r="U269" s="18">
        <f t="shared" si="94"/>
        <v>3</v>
      </c>
      <c r="V269" s="18">
        <f t="shared" si="95"/>
        <v>2025</v>
      </c>
      <c r="W269" s="18">
        <f t="shared" si="96"/>
        <v>4</v>
      </c>
      <c r="X269" s="18">
        <f t="shared" si="97"/>
        <v>2025</v>
      </c>
      <c r="Y269" s="2">
        <f t="shared" si="90"/>
        <v>0.70029870127702576</v>
      </c>
      <c r="Z269" t="str">
        <f t="shared" si="91"/>
        <v>SO16708</v>
      </c>
      <c r="AA269" s="11">
        <f t="shared" si="98"/>
        <v>45719.735150462962</v>
      </c>
      <c r="AB269" s="5" t="str">
        <f t="shared" si="99"/>
        <v>INV12713</v>
      </c>
      <c r="AC269" s="5" t="str">
        <f>IFERROR(VLOOKUP(D269,CAARStatus!$A$2:$AA$1600,22,FALSE),"Not invoiced")</f>
        <v>Paid</v>
      </c>
      <c r="AD269" s="11">
        <f>IF(AC269="Paid",IFERROR(VLOOKUP(D269,CAARStatus!$A$2:$AA$1600,6,FALSE),"Pending"),"Pending")</f>
        <v>45768</v>
      </c>
      <c r="AE269" s="5" t="str">
        <f t="shared" si="100"/>
        <v>3005395</v>
      </c>
      <c r="AF269" s="5" t="str">
        <f t="shared" si="101"/>
        <v>SCG Process</v>
      </c>
      <c r="AG269" s="5" t="str">
        <f t="shared" si="102"/>
        <v>CAD</v>
      </c>
      <c r="AH269" s="5">
        <f t="shared" si="103"/>
        <v>1421.5</v>
      </c>
      <c r="AI269" s="12">
        <f>IF(L269-N269=0,VLOOKUP(U269,rate!A$4:B$15,2,FALSE)*AH269,IF(AG269="USD",O269,AH269*Y269))</f>
        <v>995.47460386529212</v>
      </c>
      <c r="AJ269" s="13">
        <f t="shared" si="104"/>
        <v>0.70029870127702576</v>
      </c>
      <c r="AK269" s="13">
        <f>-IF(AG269="CAD",IFERROR(VLOOKUP(D269,CAARStatus!$A$1:$Y$1600,16,FALSE),0),0)</f>
        <v>-1421.5</v>
      </c>
      <c r="AL269" s="13">
        <f>-IF(AG269="USD",IFERROR(VLOOKUP(D269,CAARStatus!$A$1:$Y$1600,11,FALSE),0),0)</f>
        <v>0</v>
      </c>
      <c r="AM269" s="22">
        <f t="shared" si="105"/>
        <v>0</v>
      </c>
      <c r="AN269" s="12" t="str">
        <f t="shared" si="106"/>
        <v/>
      </c>
      <c r="AO269" s="12" t="str">
        <f t="shared" si="107"/>
        <v>Yes</v>
      </c>
      <c r="AP269" t="str">
        <f t="shared" si="92"/>
        <v>Yes</v>
      </c>
      <c r="AQ269" t="str">
        <f>IFERROR(VLOOKUP(Z269,InvBal!$L$4:$P$600,4,FALSE),"Pend")</f>
        <v>Pend</v>
      </c>
      <c r="AR269" t="str">
        <f>IFERROR(VLOOKUP(D269,Manual!$C$1:$E$22,2,FALSE),"Pend")</f>
        <v>Pend</v>
      </c>
      <c r="AS269" t="str">
        <f t="shared" si="108"/>
        <v>Yes</v>
      </c>
      <c r="AT269" t="str">
        <f t="shared" si="109"/>
        <v>Yes</v>
      </c>
      <c r="AU269" s="51" t="str">
        <f t="shared" si="110"/>
        <v>Yes</v>
      </c>
      <c r="AV269" s="12">
        <f>IFERROR(VLOOKUP(D269,'Receivable Invoice Detail'!$S$1:$U$3014,3,FALSE),0)</f>
        <v>0</v>
      </c>
      <c r="AW269" s="12">
        <f t="shared" si="111"/>
        <v>995.47460386529212</v>
      </c>
    </row>
    <row r="270" spans="1:49" x14ac:dyDescent="0.25">
      <c r="A270" s="2">
        <v>2</v>
      </c>
      <c r="B270" s="2" t="s">
        <v>1842</v>
      </c>
      <c r="C270" s="2" t="s">
        <v>1843</v>
      </c>
      <c r="D270" s="2" t="s">
        <v>2515</v>
      </c>
      <c r="E270" s="2" t="s">
        <v>229</v>
      </c>
      <c r="F270" s="3">
        <v>45720.499201388891</v>
      </c>
      <c r="G270" s="3">
        <v>45721.72084490741</v>
      </c>
      <c r="H270" s="4">
        <v>45742</v>
      </c>
      <c r="I270" s="2" t="s">
        <v>21</v>
      </c>
      <c r="J270" s="2" t="s">
        <v>22</v>
      </c>
      <c r="K270" s="2">
        <v>1</v>
      </c>
      <c r="L270" s="2">
        <v>2094.98</v>
      </c>
      <c r="M270" s="2">
        <v>0</v>
      </c>
      <c r="N270" s="2">
        <v>1456.7365125260169</v>
      </c>
      <c r="O270" s="2">
        <v>1995.22</v>
      </c>
      <c r="P270" s="2">
        <v>99.76</v>
      </c>
      <c r="Q270" s="2">
        <v>2094.98</v>
      </c>
      <c r="R270" s="2" t="s">
        <v>44</v>
      </c>
      <c r="S270" s="2"/>
      <c r="T270" s="2">
        <f t="shared" si="93"/>
        <v>2</v>
      </c>
      <c r="U270" s="18">
        <f t="shared" si="94"/>
        <v>3</v>
      </c>
      <c r="V270" s="18">
        <f t="shared" si="95"/>
        <v>2025</v>
      </c>
      <c r="W270" s="18">
        <f t="shared" si="96"/>
        <v>4</v>
      </c>
      <c r="X270" s="18">
        <f t="shared" si="97"/>
        <v>2025</v>
      </c>
      <c r="Y270" s="2">
        <f t="shared" si="90"/>
        <v>0.69534626226790563</v>
      </c>
      <c r="Z270" t="str">
        <f t="shared" si="91"/>
        <v>SO16711</v>
      </c>
      <c r="AA270" s="11">
        <f t="shared" si="98"/>
        <v>45720.499201388891</v>
      </c>
      <c r="AB270" s="5" t="str">
        <f t="shared" si="99"/>
        <v>INV12750</v>
      </c>
      <c r="AC270" s="5" t="str">
        <f>IFERROR(VLOOKUP(D270,CAARStatus!$A$2:$AA$1600,22,FALSE),"Not invoiced")</f>
        <v>Paid</v>
      </c>
      <c r="AD270" s="11">
        <f>IF(AC270="Paid",IFERROR(VLOOKUP(D270,CAARStatus!$A$2:$AA$1600,6,FALSE),"Pending"),"Pending")</f>
        <v>45770</v>
      </c>
      <c r="AE270" s="5" t="str">
        <f t="shared" si="100"/>
        <v>2200075271</v>
      </c>
      <c r="AF270" s="5" t="str">
        <f t="shared" si="101"/>
        <v>Wajax Limited - Lachine</v>
      </c>
      <c r="AG270" s="5" t="str">
        <f t="shared" si="102"/>
        <v>CAD</v>
      </c>
      <c r="AH270" s="5">
        <f t="shared" si="103"/>
        <v>1995.22</v>
      </c>
      <c r="AI270" s="12">
        <f>IF(L270-N270=0,VLOOKUP(U270,rate!A$4:B$15,2,FALSE)*AH270,IF(AG270="USD",O270,AH270*Y270))</f>
        <v>1387.3687694021708</v>
      </c>
      <c r="AJ270" s="13">
        <f t="shared" si="104"/>
        <v>0.69534626226790563</v>
      </c>
      <c r="AK270" s="13">
        <f>-IF(AG270="CAD",IFERROR(VLOOKUP(D270,CAARStatus!$A$1:$Y$1600,16,FALSE),0),0)</f>
        <v>-498.96</v>
      </c>
      <c r="AL270" s="13">
        <f>-IF(AG270="USD",IFERROR(VLOOKUP(D270,CAARStatus!$A$1:$Y$1600,11,FALSE),0),0)</f>
        <v>0</v>
      </c>
      <c r="AM270" s="22">
        <f t="shared" si="105"/>
        <v>1496.26</v>
      </c>
      <c r="AN270" s="12" t="str">
        <f t="shared" si="106"/>
        <v/>
      </c>
      <c r="AO270" s="12" t="str">
        <f t="shared" si="107"/>
        <v>Yes</v>
      </c>
      <c r="AP270" t="str">
        <f t="shared" si="92"/>
        <v>XX</v>
      </c>
      <c r="AQ270" t="str">
        <f>IFERROR(VLOOKUP(Z270,InvBal!$L$4:$P$600,4,FALSE),"Pend")</f>
        <v>Yes</v>
      </c>
      <c r="AR270" t="str">
        <f>IFERROR(VLOOKUP(D270,Manual!$C$1:$E$22,2,FALSE),"Pend")</f>
        <v>Pend</v>
      </c>
      <c r="AS270" t="str">
        <f t="shared" si="108"/>
        <v>Yes</v>
      </c>
      <c r="AT270" t="str">
        <f t="shared" si="109"/>
        <v>Yes</v>
      </c>
      <c r="AU270" s="51" t="str">
        <f t="shared" si="110"/>
        <v>Yes</v>
      </c>
      <c r="AV270" s="12">
        <f>IFERROR(VLOOKUP(D270,'Receivable Invoice Detail'!$S$1:$U$3014,3,FALSE),0)</f>
        <v>0</v>
      </c>
      <c r="AW270" s="12">
        <f t="shared" si="111"/>
        <v>1387.3687694021708</v>
      </c>
    </row>
    <row r="271" spans="1:49" x14ac:dyDescent="0.25">
      <c r="A271" s="2"/>
      <c r="B271" s="2"/>
      <c r="C271" s="2"/>
      <c r="D271" s="2" t="s">
        <v>2514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>
        <f t="shared" si="93"/>
        <v>2</v>
      </c>
      <c r="U271" s="18">
        <f t="shared" si="94"/>
        <v>3</v>
      </c>
      <c r="V271" s="18">
        <f t="shared" si="95"/>
        <v>2025</v>
      </c>
      <c r="W271" s="18">
        <f t="shared" si="96"/>
        <v>5</v>
      </c>
      <c r="X271" s="18">
        <f t="shared" si="97"/>
        <v>2025</v>
      </c>
      <c r="Y271" s="2">
        <f t="shared" si="90"/>
        <v>0.69534626226790563</v>
      </c>
      <c r="Z271" t="str">
        <f t="shared" si="91"/>
        <v>SO16711</v>
      </c>
      <c r="AA271" s="11">
        <f t="shared" si="98"/>
        <v>45720.499201388891</v>
      </c>
      <c r="AB271" s="5" t="str">
        <f t="shared" si="99"/>
        <v>INV12817</v>
      </c>
      <c r="AC271" s="5" t="str">
        <f>IFERROR(VLOOKUP(D271,CAARStatus!$A$2:$AA$1600,22,FALSE),"Not invoiced")</f>
        <v>Paid</v>
      </c>
      <c r="AD271" s="11">
        <f>IF(AC271="Paid",IFERROR(VLOOKUP(D271,CAARStatus!$A$2:$AA$1600,6,FALSE),"Pending"),"Pending")</f>
        <v>45784</v>
      </c>
      <c r="AE271" s="5" t="str">
        <f t="shared" si="100"/>
        <v>2200075271</v>
      </c>
      <c r="AF271" s="5" t="str">
        <f t="shared" si="101"/>
        <v>Wajax Limited - Lachine</v>
      </c>
      <c r="AG271" s="5" t="str">
        <f t="shared" si="102"/>
        <v>CAD</v>
      </c>
      <c r="AH271" s="5">
        <f t="shared" si="103"/>
        <v>0</v>
      </c>
      <c r="AI271" s="12">
        <f>IF(L271-N271=0,VLOOKUP(U271,rate!A$4:B$15,2,FALSE)*AH271,IF(AG271="USD",O271,AH271*Y271))</f>
        <v>0</v>
      </c>
      <c r="AJ271" s="13">
        <f t="shared" si="104"/>
        <v>0</v>
      </c>
      <c r="AK271" s="13">
        <f>-IF(AG271="CAD",IFERROR(VLOOKUP(D271,CAARStatus!$A$1:$Y$1600,16,FALSE),0),0)</f>
        <v>-1496.26</v>
      </c>
      <c r="AL271" s="13">
        <f>-IF(AG271="USD",IFERROR(VLOOKUP(D271,CAARStatus!$A$1:$Y$1600,11,FALSE),0),0)</f>
        <v>0</v>
      </c>
      <c r="AM271" s="22">
        <f t="shared" si="105"/>
        <v>-1496.26</v>
      </c>
      <c r="AN271" s="12" t="str">
        <f t="shared" si="106"/>
        <v/>
      </c>
      <c r="AO271" s="12" t="str">
        <f t="shared" si="107"/>
        <v>Yes</v>
      </c>
      <c r="AP271" t="str">
        <f t="shared" si="92"/>
        <v>XX</v>
      </c>
      <c r="AQ271" t="str">
        <f>IFERROR(VLOOKUP(Z271,InvBal!$L$4:$P$600,4,FALSE),"Pend")</f>
        <v>Yes</v>
      </c>
      <c r="AR271" t="str">
        <f>IFERROR(VLOOKUP(D271,Manual!$C$1:$E$22,2,FALSE),"Pend")</f>
        <v>Pend</v>
      </c>
      <c r="AS271" t="str">
        <f t="shared" si="108"/>
        <v>Yes</v>
      </c>
      <c r="AT271" t="str">
        <f t="shared" si="109"/>
        <v/>
      </c>
      <c r="AU271" s="51" t="str">
        <f t="shared" si="110"/>
        <v/>
      </c>
      <c r="AV271" s="12">
        <f>IFERROR(VLOOKUP(D271,'Receivable Invoice Detail'!$S$1:$U$3014,3,FALSE),0)</f>
        <v>0</v>
      </c>
      <c r="AW271" s="12">
        <f t="shared" si="111"/>
        <v>0</v>
      </c>
    </row>
    <row r="272" spans="1:49" x14ac:dyDescent="0.25">
      <c r="A272" s="2">
        <v>2</v>
      </c>
      <c r="B272" s="2" t="s">
        <v>1840</v>
      </c>
      <c r="C272" s="2" t="s">
        <v>1841</v>
      </c>
      <c r="D272" s="2" t="s">
        <v>2516</v>
      </c>
      <c r="E272" s="2" t="s">
        <v>986</v>
      </c>
      <c r="F272" s="3">
        <v>45720.512141203697</v>
      </c>
      <c r="G272" s="3">
        <v>45722.366793981477</v>
      </c>
      <c r="H272" s="4">
        <v>45763</v>
      </c>
      <c r="I272" s="2" t="s">
        <v>180</v>
      </c>
      <c r="J272" s="2" t="s">
        <v>51</v>
      </c>
      <c r="K272" s="2">
        <v>0.69534626226790575</v>
      </c>
      <c r="L272" s="2">
        <v>10642.179877209001</v>
      </c>
      <c r="M272" s="2">
        <v>0</v>
      </c>
      <c r="N272" s="2">
        <v>7400</v>
      </c>
      <c r="O272" s="2">
        <v>7400</v>
      </c>
      <c r="P272" s="2"/>
      <c r="Q272" s="2">
        <v>7400</v>
      </c>
      <c r="R272" s="2" t="s">
        <v>44</v>
      </c>
      <c r="S272" s="2"/>
      <c r="T272" s="2">
        <f t="shared" si="93"/>
        <v>2</v>
      </c>
      <c r="U272" s="18">
        <f t="shared" si="94"/>
        <v>3</v>
      </c>
      <c r="V272" s="18">
        <f t="shared" si="95"/>
        <v>2025</v>
      </c>
      <c r="W272" s="18">
        <f t="shared" si="96"/>
        <v>3</v>
      </c>
      <c r="X272" s="18">
        <f t="shared" si="97"/>
        <v>2025</v>
      </c>
      <c r="Y272" s="2">
        <f t="shared" si="90"/>
        <v>0.69534626226790586</v>
      </c>
      <c r="Z272" t="str">
        <f t="shared" si="91"/>
        <v>SO16712</v>
      </c>
      <c r="AA272" s="11">
        <f t="shared" si="98"/>
        <v>45720.512141203697</v>
      </c>
      <c r="AB272" s="5" t="str">
        <f t="shared" si="99"/>
        <v>INV12703</v>
      </c>
      <c r="AC272" s="5" t="str">
        <f>IFERROR(VLOOKUP(D272,CAARStatus!$A$2:$AA$1600,22,FALSE),"Not invoiced")</f>
        <v>Paid</v>
      </c>
      <c r="AD272" s="11">
        <f>IF(AC272="Paid",IFERROR(VLOOKUP(D272,CAARStatus!$A$2:$AA$1600,6,FALSE),"Pending"),"Pending")</f>
        <v>45736</v>
      </c>
      <c r="AE272" s="5" t="str">
        <f t="shared" si="100"/>
        <v>30783</v>
      </c>
      <c r="AF272" s="5" t="str">
        <f t="shared" si="101"/>
        <v>First Bauxite Inc.</v>
      </c>
      <c r="AG272" s="5" t="str">
        <f t="shared" si="102"/>
        <v>USD</v>
      </c>
      <c r="AH272" s="5">
        <f t="shared" si="103"/>
        <v>10642.179877209002</v>
      </c>
      <c r="AI272" s="12">
        <f>IF(L272-N272=0,VLOOKUP(U272,rate!A$4:B$15,2,FALSE)*AH272,IF(AG272="USD",O272,AH272*Y272))</f>
        <v>7400</v>
      </c>
      <c r="AJ272" s="13">
        <f t="shared" si="104"/>
        <v>0.69534626226790575</v>
      </c>
      <c r="AK272" s="13">
        <f>-IF(AG272="CAD",IFERROR(VLOOKUP(D272,CAARStatus!$A$1:$Y$1600,16,FALSE),0),0)</f>
        <v>0</v>
      </c>
      <c r="AL272" s="13">
        <f>-IF(AG272="USD",IFERROR(VLOOKUP(D272,CAARStatus!$A$1:$Y$1600,11,FALSE),0),0)</f>
        <v>-7400</v>
      </c>
      <c r="AM272" s="22" t="str">
        <f t="shared" si="105"/>
        <v/>
      </c>
      <c r="AN272" s="12">
        <f t="shared" si="106"/>
        <v>0</v>
      </c>
      <c r="AO272" s="12" t="str">
        <f t="shared" si="107"/>
        <v>Yes</v>
      </c>
      <c r="AP272" t="str">
        <f t="shared" si="92"/>
        <v>XX</v>
      </c>
      <c r="AQ272">
        <f>IFERROR(VLOOKUP(Z272,InvBal!$L$4:$P$600,4,FALSE),"Pend")</f>
        <v>0</v>
      </c>
      <c r="AR272" t="str">
        <f>IFERROR(VLOOKUP(D272,Manual!$C$1:$E$22,2,FALSE),"Pend")</f>
        <v>Pend</v>
      </c>
      <c r="AS272" t="str">
        <f t="shared" si="108"/>
        <v/>
      </c>
      <c r="AT272" t="str">
        <f t="shared" si="109"/>
        <v>Yes</v>
      </c>
      <c r="AU272" s="51" t="str">
        <f t="shared" si="110"/>
        <v/>
      </c>
      <c r="AV272" s="12">
        <f>IFERROR(VLOOKUP(D272,'Receivable Invoice Detail'!$S$1:$U$3014,3,FALSE),0)</f>
        <v>0</v>
      </c>
      <c r="AW272" s="12">
        <f t="shared" si="111"/>
        <v>0</v>
      </c>
    </row>
    <row r="273" spans="1:49" x14ac:dyDescent="0.25">
      <c r="A273" s="2"/>
      <c r="B273" s="2"/>
      <c r="C273" s="2"/>
      <c r="D273" s="2" t="s">
        <v>2516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>
        <f t="shared" si="93"/>
        <v>2</v>
      </c>
      <c r="U273" s="18">
        <f t="shared" si="94"/>
        <v>3</v>
      </c>
      <c r="V273" s="18">
        <f t="shared" si="95"/>
        <v>2025</v>
      </c>
      <c r="W273" s="18">
        <f t="shared" si="96"/>
        <v>3</v>
      </c>
      <c r="X273" s="18">
        <f t="shared" si="97"/>
        <v>2025</v>
      </c>
      <c r="Y273" s="2">
        <f t="shared" si="90"/>
        <v>0.69534626226790586</v>
      </c>
      <c r="Z273" t="str">
        <f t="shared" si="91"/>
        <v>SO16712</v>
      </c>
      <c r="AA273" s="11">
        <f t="shared" si="98"/>
        <v>45720.512141203697</v>
      </c>
      <c r="AB273" s="5" t="str">
        <f t="shared" si="99"/>
        <v>INV12703</v>
      </c>
      <c r="AC273" s="5" t="str">
        <f>IFERROR(VLOOKUP(D273,CAARStatus!$A$2:$AA$1600,22,FALSE),"Not invoiced")</f>
        <v>Paid</v>
      </c>
      <c r="AD273" s="11">
        <f>IF(AC273="Paid",IFERROR(VLOOKUP(D273,CAARStatus!$A$2:$AA$1600,6,FALSE),"Pending"),"Pending")</f>
        <v>45736</v>
      </c>
      <c r="AE273" s="5" t="str">
        <f t="shared" si="100"/>
        <v>30783</v>
      </c>
      <c r="AF273" s="5" t="str">
        <f t="shared" si="101"/>
        <v>First Bauxite Inc.</v>
      </c>
      <c r="AG273" s="5" t="str">
        <f t="shared" si="102"/>
        <v>USD</v>
      </c>
      <c r="AH273" s="5">
        <f t="shared" si="103"/>
        <v>0</v>
      </c>
      <c r="AI273" s="12">
        <f>IF(L273-N273=0,VLOOKUP(U273,rate!A$4:B$15,2,FALSE)*AH273,IF(AG273="USD",O273,AH273*Y273))</f>
        <v>0</v>
      </c>
      <c r="AJ273" s="13">
        <f t="shared" si="104"/>
        <v>0</v>
      </c>
      <c r="AK273" s="13">
        <f>-IF(AG273="CAD",IFERROR(VLOOKUP(D273,CAARStatus!$A$1:$Y$1600,16,FALSE),0),0)</f>
        <v>0</v>
      </c>
      <c r="AL273" s="13">
        <f>-IF(AG273="USD",IFERROR(VLOOKUP(D273,CAARStatus!$A$1:$Y$1600,11,FALSE),0),0)</f>
        <v>-7400</v>
      </c>
      <c r="AM273" s="22" t="str">
        <f t="shared" si="105"/>
        <v/>
      </c>
      <c r="AN273" s="12">
        <f t="shared" si="106"/>
        <v>-7400</v>
      </c>
      <c r="AO273" s="12" t="str">
        <f t="shared" si="107"/>
        <v>Yes</v>
      </c>
      <c r="AP273" t="str">
        <f t="shared" si="92"/>
        <v>XX</v>
      </c>
      <c r="AQ273">
        <f>IFERROR(VLOOKUP(Z273,InvBal!$L$4:$P$600,4,FALSE),"Pend")</f>
        <v>0</v>
      </c>
      <c r="AR273" t="str">
        <f>IFERROR(VLOOKUP(D273,Manual!$C$1:$E$22,2,FALSE),"Pend")</f>
        <v>Pend</v>
      </c>
      <c r="AS273" t="str">
        <f t="shared" si="108"/>
        <v/>
      </c>
      <c r="AT273" t="str">
        <f t="shared" si="109"/>
        <v/>
      </c>
      <c r="AU273" s="51" t="str">
        <f t="shared" si="110"/>
        <v/>
      </c>
      <c r="AV273" s="12">
        <f>IFERROR(VLOOKUP(D273,'Receivable Invoice Detail'!$S$1:$U$3014,3,FALSE),0)</f>
        <v>0</v>
      </c>
      <c r="AW273" s="12">
        <f t="shared" si="111"/>
        <v>0</v>
      </c>
    </row>
    <row r="274" spans="1:49" x14ac:dyDescent="0.25">
      <c r="A274" s="2">
        <v>1</v>
      </c>
      <c r="B274" s="2" t="s">
        <v>1838</v>
      </c>
      <c r="C274" s="2" t="s">
        <v>1839</v>
      </c>
      <c r="D274" s="2" t="s">
        <v>2517</v>
      </c>
      <c r="E274" s="2" t="s">
        <v>689</v>
      </c>
      <c r="F274" s="3">
        <v>45720.683715277781</v>
      </c>
      <c r="G274" s="3">
        <v>45722.534803240742</v>
      </c>
      <c r="H274" s="4">
        <v>45723</v>
      </c>
      <c r="I274" s="2" t="s">
        <v>21</v>
      </c>
      <c r="J274" s="2" t="s">
        <v>22</v>
      </c>
      <c r="K274" s="2">
        <v>1</v>
      </c>
      <c r="L274" s="2">
        <v>337.62</v>
      </c>
      <c r="M274" s="2">
        <v>0</v>
      </c>
      <c r="N274" s="2">
        <v>236.43484752514951</v>
      </c>
      <c r="O274" s="2">
        <v>298.77999999999997</v>
      </c>
      <c r="P274" s="2">
        <v>38.840000000000003</v>
      </c>
      <c r="Q274" s="2">
        <v>337.62</v>
      </c>
      <c r="R274" s="2" t="s">
        <v>44</v>
      </c>
      <c r="S274" s="2"/>
      <c r="T274" s="2">
        <f t="shared" si="93"/>
        <v>1</v>
      </c>
      <c r="U274" s="18">
        <f t="shared" si="94"/>
        <v>3</v>
      </c>
      <c r="V274" s="18">
        <f t="shared" si="95"/>
        <v>2025</v>
      </c>
      <c r="W274" s="18">
        <f t="shared" si="96"/>
        <v>4</v>
      </c>
      <c r="X274" s="18">
        <f t="shared" si="97"/>
        <v>2025</v>
      </c>
      <c r="Y274" s="2">
        <f t="shared" si="90"/>
        <v>0.70029870127702598</v>
      </c>
      <c r="Z274" t="str">
        <f t="shared" si="91"/>
        <v>SO16714</v>
      </c>
      <c r="AA274" s="11">
        <f t="shared" si="98"/>
        <v>45720.683715277781</v>
      </c>
      <c r="AB274" s="5" t="str">
        <f t="shared" si="99"/>
        <v>INV12715</v>
      </c>
      <c r="AC274" s="5" t="str">
        <f>IFERROR(VLOOKUP(D274,CAARStatus!$A$2:$AA$1600,22,FALSE),"Not invoiced")</f>
        <v>Paid</v>
      </c>
      <c r="AD274" s="11">
        <f>IF(AC274="Paid",IFERROR(VLOOKUP(D274,CAARStatus!$A$2:$AA$1600,6,FALSE),"Pending"),"Pending")</f>
        <v>45763</v>
      </c>
      <c r="AE274" s="5" t="str">
        <f t="shared" si="100"/>
        <v>2100524786</v>
      </c>
      <c r="AF274" s="5" t="str">
        <f t="shared" si="101"/>
        <v>Wajax Limited - Timmins</v>
      </c>
      <c r="AG274" s="5" t="str">
        <f t="shared" si="102"/>
        <v>CAD</v>
      </c>
      <c r="AH274" s="5">
        <f t="shared" si="103"/>
        <v>298.77999999999997</v>
      </c>
      <c r="AI274" s="12">
        <f>IF(L274-N274=0,VLOOKUP(U274,rate!A$4:B$15,2,FALSE)*AH274,IF(AG274="USD",O274,AH274*Y274))</f>
        <v>209.23524596754982</v>
      </c>
      <c r="AJ274" s="13">
        <f t="shared" si="104"/>
        <v>0.70029870127702598</v>
      </c>
      <c r="AK274" s="13">
        <f>-IF(AG274="CAD",IFERROR(VLOOKUP(D274,CAARStatus!$A$1:$Y$1600,16,FALSE),0),0)</f>
        <v>-298.77999999999997</v>
      </c>
      <c r="AL274" s="13">
        <f>-IF(AG274="USD",IFERROR(VLOOKUP(D274,CAARStatus!$A$1:$Y$1600,11,FALSE),0),0)</f>
        <v>0</v>
      </c>
      <c r="AM274" s="22">
        <f t="shared" si="105"/>
        <v>0</v>
      </c>
      <c r="AN274" s="12" t="str">
        <f t="shared" si="106"/>
        <v/>
      </c>
      <c r="AO274" s="12" t="str">
        <f t="shared" si="107"/>
        <v>Yes</v>
      </c>
      <c r="AP274" t="str">
        <f t="shared" si="92"/>
        <v>Yes</v>
      </c>
      <c r="AQ274" t="str">
        <f>IFERROR(VLOOKUP(Z274,InvBal!$L$4:$P$600,4,FALSE),"Pend")</f>
        <v>Pend</v>
      </c>
      <c r="AR274" t="str">
        <f>IFERROR(VLOOKUP(D274,Manual!$C$1:$E$22,2,FALSE),"Pend")</f>
        <v>Pend</v>
      </c>
      <c r="AS274" t="str">
        <f t="shared" si="108"/>
        <v>Yes</v>
      </c>
      <c r="AT274" t="str">
        <f t="shared" si="109"/>
        <v>Yes</v>
      </c>
      <c r="AU274" s="51" t="str">
        <f t="shared" si="110"/>
        <v>Yes</v>
      </c>
      <c r="AV274" s="12">
        <f>IFERROR(VLOOKUP(D274,'Receivable Invoice Detail'!$S$1:$U$3014,3,FALSE),0)</f>
        <v>0</v>
      </c>
      <c r="AW274" s="12">
        <f t="shared" si="111"/>
        <v>209.23524596754982</v>
      </c>
    </row>
    <row r="275" spans="1:49" x14ac:dyDescent="0.25">
      <c r="A275" s="2">
        <v>1</v>
      </c>
      <c r="B275" s="2" t="s">
        <v>1819</v>
      </c>
      <c r="C275" s="2" t="s">
        <v>1820</v>
      </c>
      <c r="D275" s="2" t="s">
        <v>2528</v>
      </c>
      <c r="E275" s="2" t="s">
        <v>242</v>
      </c>
      <c r="F275" s="3">
        <v>45720.714039351849</v>
      </c>
      <c r="G275" s="3">
        <v>45726.426030092603</v>
      </c>
      <c r="H275" s="4">
        <v>45728</v>
      </c>
      <c r="I275" s="2" t="s">
        <v>21</v>
      </c>
      <c r="J275" s="2" t="s">
        <v>22</v>
      </c>
      <c r="K275" s="2">
        <v>1</v>
      </c>
      <c r="L275" s="2">
        <v>746.81</v>
      </c>
      <c r="M275" s="2">
        <v>746.81</v>
      </c>
      <c r="N275" s="2">
        <v>746.81</v>
      </c>
      <c r="O275" s="2">
        <v>711.25</v>
      </c>
      <c r="P275" s="2">
        <v>35.56</v>
      </c>
      <c r="Q275" s="2">
        <v>746.81</v>
      </c>
      <c r="R275" s="2" t="s">
        <v>44</v>
      </c>
      <c r="S275" s="2"/>
      <c r="T275" s="2">
        <f t="shared" si="93"/>
        <v>1</v>
      </c>
      <c r="U275" s="18">
        <f t="shared" si="94"/>
        <v>3</v>
      </c>
      <c r="V275" s="18">
        <f t="shared" si="95"/>
        <v>2025</v>
      </c>
      <c r="W275" s="18">
        <f t="shared" si="96"/>
        <v>4</v>
      </c>
      <c r="X275" s="18">
        <f t="shared" si="97"/>
        <v>2025</v>
      </c>
      <c r="Y275" s="2">
        <f t="shared" si="90"/>
        <v>1</v>
      </c>
      <c r="Z275" t="str">
        <f t="shared" si="91"/>
        <v>SO16715</v>
      </c>
      <c r="AA275" s="11">
        <f t="shared" si="98"/>
        <v>45720.714039351849</v>
      </c>
      <c r="AB275" s="5" t="str">
        <f t="shared" si="99"/>
        <v>INV12725</v>
      </c>
      <c r="AC275" s="5" t="str">
        <f>IFERROR(VLOOKUP(D275,CAARStatus!$A$2:$AA$1600,22,FALSE),"Not invoiced")</f>
        <v>Paid</v>
      </c>
      <c r="AD275" s="11">
        <f>IF(AC275="Paid",IFERROR(VLOOKUP(D275,CAARStatus!$A$2:$AA$1600,6,FALSE),"Pending"),"Pending")</f>
        <v>45763</v>
      </c>
      <c r="AE275" s="5" t="str">
        <f t="shared" si="100"/>
        <v>2100526890</v>
      </c>
      <c r="AF275" s="5" t="str">
        <f t="shared" si="101"/>
        <v>Wajax Limited - Noranda</v>
      </c>
      <c r="AG275" s="5" t="str">
        <f t="shared" si="102"/>
        <v>CAD</v>
      </c>
      <c r="AH275" s="5">
        <f t="shared" si="103"/>
        <v>711.25</v>
      </c>
      <c r="AI275" s="12">
        <f>IF(L275-N275=0,VLOOKUP(U275,rate!A$4:B$15,2,FALSE)*AH275,IF(AG275="USD",O275,AH275*Y275))</f>
        <v>497.88775997583059</v>
      </c>
      <c r="AJ275" s="13">
        <f t="shared" si="104"/>
        <v>0.70001794021206409</v>
      </c>
      <c r="AK275" s="13">
        <f>-IF(AG275="CAD",IFERROR(VLOOKUP(D275,CAARStatus!$A$1:$Y$1600,16,FALSE),0),0)</f>
        <v>-711.25</v>
      </c>
      <c r="AL275" s="13">
        <f>-IF(AG275="USD",IFERROR(VLOOKUP(D275,CAARStatus!$A$1:$Y$1600,11,FALSE),0),0)</f>
        <v>0</v>
      </c>
      <c r="AM275" s="22">
        <f t="shared" si="105"/>
        <v>0</v>
      </c>
      <c r="AN275" s="12" t="str">
        <f t="shared" si="106"/>
        <v/>
      </c>
      <c r="AO275" s="12" t="str">
        <f t="shared" si="107"/>
        <v>Yes</v>
      </c>
      <c r="AP275" t="str">
        <f t="shared" si="92"/>
        <v>Yes</v>
      </c>
      <c r="AQ275" t="str">
        <f>IFERROR(VLOOKUP(Z275,InvBal!$L$4:$P$600,4,FALSE),"Pend")</f>
        <v>Pend</v>
      </c>
      <c r="AR275" t="str">
        <f>IFERROR(VLOOKUP(D275,Manual!$C$1:$E$22,2,FALSE),"Pend")</f>
        <v>Pend</v>
      </c>
      <c r="AS275" t="str">
        <f t="shared" si="108"/>
        <v>Yes</v>
      </c>
      <c r="AT275" t="str">
        <f t="shared" si="109"/>
        <v>Yes</v>
      </c>
      <c r="AU275" s="51" t="str">
        <f t="shared" si="110"/>
        <v>Yes</v>
      </c>
      <c r="AV275" s="12">
        <f>IFERROR(VLOOKUP(D275,'Receivable Invoice Detail'!$S$1:$U$3014,3,FALSE),0)</f>
        <v>0</v>
      </c>
      <c r="AW275" s="12">
        <f t="shared" si="111"/>
        <v>497.88775997583059</v>
      </c>
    </row>
    <row r="276" spans="1:49" x14ac:dyDescent="0.25">
      <c r="A276" s="2">
        <v>2</v>
      </c>
      <c r="B276" s="2" t="s">
        <v>1846</v>
      </c>
      <c r="C276" s="2" t="s">
        <v>1847</v>
      </c>
      <c r="D276" s="2" t="s">
        <v>2512</v>
      </c>
      <c r="E276" s="2" t="s">
        <v>54</v>
      </c>
      <c r="F276" s="3">
        <v>45720.732708333337</v>
      </c>
      <c r="G276" s="3">
        <v>45721.380810185183</v>
      </c>
      <c r="H276" s="4">
        <v>45749</v>
      </c>
      <c r="I276" s="2" t="s">
        <v>21</v>
      </c>
      <c r="J276" s="2" t="s">
        <v>22</v>
      </c>
      <c r="K276" s="2">
        <v>1</v>
      </c>
      <c r="L276" s="2">
        <v>1420.18</v>
      </c>
      <c r="M276" s="2">
        <v>0</v>
      </c>
      <c r="N276" s="2">
        <v>987.5168547476344</v>
      </c>
      <c r="O276" s="2">
        <v>1352.55</v>
      </c>
      <c r="P276" s="2">
        <v>67.63</v>
      </c>
      <c r="Q276" s="2">
        <v>1420.18</v>
      </c>
      <c r="R276" s="2" t="s">
        <v>44</v>
      </c>
      <c r="S276" s="2"/>
      <c r="T276" s="2">
        <f t="shared" si="93"/>
        <v>2</v>
      </c>
      <c r="U276" s="18">
        <f t="shared" si="94"/>
        <v>3</v>
      </c>
      <c r="V276" s="18">
        <f t="shared" si="95"/>
        <v>2025</v>
      </c>
      <c r="W276" s="18">
        <f t="shared" si="96"/>
        <v>4</v>
      </c>
      <c r="X276" s="18">
        <f t="shared" si="97"/>
        <v>2025</v>
      </c>
      <c r="Y276" s="2">
        <f t="shared" si="90"/>
        <v>0.69534626226790575</v>
      </c>
      <c r="Z276" t="str">
        <f t="shared" si="91"/>
        <v>SO16718</v>
      </c>
      <c r="AA276" s="11">
        <f t="shared" si="98"/>
        <v>45720.732708333337</v>
      </c>
      <c r="AB276" s="5" t="str">
        <f t="shared" si="99"/>
        <v>INV12710</v>
      </c>
      <c r="AC276" s="5" t="str">
        <f>IFERROR(VLOOKUP(D276,CAARStatus!$A$2:$AA$1600,22,FALSE),"Not invoiced")</f>
        <v>Paid</v>
      </c>
      <c r="AD276" s="11">
        <f>IF(AC276="Paid",IFERROR(VLOOKUP(D276,CAARStatus!$A$2:$AA$1600,6,FALSE),"Pending"),"Pending")</f>
        <v>45769</v>
      </c>
      <c r="AE276" s="5" t="str">
        <f t="shared" si="100"/>
        <v>3077</v>
      </c>
      <c r="AF276" s="5" t="str">
        <f t="shared" si="101"/>
        <v>Les Pompes du St-Laurent Inc.</v>
      </c>
      <c r="AG276" s="5" t="str">
        <f t="shared" si="102"/>
        <v>CAD</v>
      </c>
      <c r="AH276" s="5">
        <f t="shared" si="103"/>
        <v>1352.55</v>
      </c>
      <c r="AI276" s="12">
        <f>IF(L276-N276=0,VLOOKUP(U276,rate!A$4:B$15,2,FALSE)*AH276,IF(AG276="USD",O276,AH276*Y276))</f>
        <v>940.49058703045591</v>
      </c>
      <c r="AJ276" s="13">
        <f t="shared" si="104"/>
        <v>0.69534626226790575</v>
      </c>
      <c r="AK276" s="13">
        <f>-IF(AG276="CAD",IFERROR(VLOOKUP(D276,CAARStatus!$A$1:$Y$1600,16,FALSE),0),0)</f>
        <v>-970.83</v>
      </c>
      <c r="AL276" s="13">
        <f>-IF(AG276="USD",IFERROR(VLOOKUP(D276,CAARStatus!$A$1:$Y$1600,11,FALSE),0),0)</f>
        <v>0</v>
      </c>
      <c r="AM276" s="22">
        <f t="shared" si="105"/>
        <v>381.71999999999991</v>
      </c>
      <c r="AN276" s="12" t="str">
        <f t="shared" si="106"/>
        <v/>
      </c>
      <c r="AO276" s="12" t="str">
        <f t="shared" si="107"/>
        <v>Yes</v>
      </c>
      <c r="AP276" t="str">
        <f t="shared" si="92"/>
        <v>XX</v>
      </c>
      <c r="AQ276" t="str">
        <f>IFERROR(VLOOKUP(Z276,InvBal!$L$4:$P$600,4,FALSE),"Pend")</f>
        <v>Yes</v>
      </c>
      <c r="AR276" t="str">
        <f>IFERROR(VLOOKUP(D276,Manual!$C$1:$E$22,2,FALSE),"Pend")</f>
        <v>Pend</v>
      </c>
      <c r="AS276" t="str">
        <f t="shared" si="108"/>
        <v>Yes</v>
      </c>
      <c r="AT276" t="str">
        <f t="shared" si="109"/>
        <v>Yes</v>
      </c>
      <c r="AU276" s="51" t="str">
        <f t="shared" si="110"/>
        <v>Yes</v>
      </c>
      <c r="AV276" s="12">
        <f>IFERROR(VLOOKUP(D276,'Receivable Invoice Detail'!$S$1:$U$3014,3,FALSE),0)</f>
        <v>0</v>
      </c>
      <c r="AW276" s="12">
        <f t="shared" si="111"/>
        <v>940.49058703045591</v>
      </c>
    </row>
    <row r="277" spans="1:49" x14ac:dyDescent="0.25">
      <c r="A277" s="2"/>
      <c r="B277" s="2"/>
      <c r="C277" s="2"/>
      <c r="D277" s="2" t="s">
        <v>2511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>
        <f t="shared" si="93"/>
        <v>2</v>
      </c>
      <c r="U277" s="18">
        <f t="shared" si="94"/>
        <v>3</v>
      </c>
      <c r="V277" s="18">
        <f t="shared" si="95"/>
        <v>2025</v>
      </c>
      <c r="W277" s="18">
        <f t="shared" si="96"/>
        <v>4</v>
      </c>
      <c r="X277" s="18">
        <f t="shared" si="97"/>
        <v>2025</v>
      </c>
      <c r="Y277" s="2">
        <f t="shared" si="90"/>
        <v>0.69534626226790575</v>
      </c>
      <c r="Z277" t="str">
        <f t="shared" si="91"/>
        <v>SO16718</v>
      </c>
      <c r="AA277" s="11">
        <f t="shared" si="98"/>
        <v>45720.732708333337</v>
      </c>
      <c r="AB277" s="5" t="str">
        <f t="shared" si="99"/>
        <v>INV12780</v>
      </c>
      <c r="AC277" s="5" t="str">
        <f>IFERROR(VLOOKUP(D277,CAARStatus!$A$2:$AA$1600,22,FALSE),"Not invoiced")</f>
        <v>Paid</v>
      </c>
      <c r="AD277" s="11">
        <f>IF(AC277="Paid",IFERROR(VLOOKUP(D277,CAARStatus!$A$2:$AA$1600,6,FALSE),"Pending"),"Pending")</f>
        <v>45772</v>
      </c>
      <c r="AE277" s="5" t="str">
        <f t="shared" si="100"/>
        <v>3077</v>
      </c>
      <c r="AF277" s="5" t="str">
        <f t="shared" si="101"/>
        <v>Les Pompes du St-Laurent Inc.</v>
      </c>
      <c r="AG277" s="5" t="str">
        <f t="shared" si="102"/>
        <v>CAD</v>
      </c>
      <c r="AH277" s="5">
        <f t="shared" si="103"/>
        <v>0</v>
      </c>
      <c r="AI277" s="12">
        <f>IF(L277-N277=0,VLOOKUP(U277,rate!A$4:B$15,2,FALSE)*AH277,IF(AG277="USD",O277,AH277*Y277))</f>
        <v>0</v>
      </c>
      <c r="AJ277" s="13">
        <f t="shared" si="104"/>
        <v>0</v>
      </c>
      <c r="AK277" s="13">
        <f>-IF(AG277="CAD",IFERROR(VLOOKUP(D277,CAARStatus!$A$1:$Y$1600,16,FALSE),0),0)</f>
        <v>-381.72</v>
      </c>
      <c r="AL277" s="13">
        <f>-IF(AG277="USD",IFERROR(VLOOKUP(D277,CAARStatus!$A$1:$Y$1600,11,FALSE),0),0)</f>
        <v>0</v>
      </c>
      <c r="AM277" s="22">
        <f t="shared" si="105"/>
        <v>-381.72</v>
      </c>
      <c r="AN277" s="12" t="str">
        <f t="shared" si="106"/>
        <v/>
      </c>
      <c r="AO277" s="12" t="str">
        <f t="shared" si="107"/>
        <v>Yes</v>
      </c>
      <c r="AP277" t="str">
        <f t="shared" si="92"/>
        <v>XX</v>
      </c>
      <c r="AQ277" t="str">
        <f>IFERROR(VLOOKUP(Z277,InvBal!$L$4:$P$600,4,FALSE),"Pend")</f>
        <v>Yes</v>
      </c>
      <c r="AR277" t="str">
        <f>IFERROR(VLOOKUP(D277,Manual!$C$1:$E$22,2,FALSE),"Pend")</f>
        <v>Pend</v>
      </c>
      <c r="AS277" t="str">
        <f t="shared" si="108"/>
        <v>Yes</v>
      </c>
      <c r="AT277" t="str">
        <f t="shared" si="109"/>
        <v/>
      </c>
      <c r="AU277" s="51" t="str">
        <f t="shared" si="110"/>
        <v/>
      </c>
      <c r="AV277" s="12">
        <f>IFERROR(VLOOKUP(D277,'Receivable Invoice Detail'!$S$1:$U$3014,3,FALSE),0)</f>
        <v>0</v>
      </c>
      <c r="AW277" s="12">
        <f t="shared" si="111"/>
        <v>0</v>
      </c>
    </row>
    <row r="278" spans="1:49" ht="30" x14ac:dyDescent="0.25">
      <c r="A278" s="2">
        <v>1</v>
      </c>
      <c r="B278" s="2" t="s">
        <v>1848</v>
      </c>
      <c r="C278" s="2" t="s">
        <v>1849</v>
      </c>
      <c r="D278" s="2" t="s">
        <v>2510</v>
      </c>
      <c r="E278" s="2" t="s">
        <v>129</v>
      </c>
      <c r="F278" s="3">
        <v>45720.756493055553</v>
      </c>
      <c r="G278" s="3">
        <v>45720.756793981483</v>
      </c>
      <c r="H278" s="4">
        <v>45744</v>
      </c>
      <c r="I278" s="2" t="s">
        <v>130</v>
      </c>
      <c r="J278" s="2" t="s">
        <v>51</v>
      </c>
      <c r="K278" s="2">
        <v>0.69439467085548334</v>
      </c>
      <c r="L278" s="2">
        <v>86.406193074726431</v>
      </c>
      <c r="M278" s="2">
        <v>0</v>
      </c>
      <c r="N278" s="2">
        <v>60</v>
      </c>
      <c r="O278" s="2">
        <v>60</v>
      </c>
      <c r="P278" s="2"/>
      <c r="Q278" s="2">
        <v>60</v>
      </c>
      <c r="R278" s="2" t="s">
        <v>44</v>
      </c>
      <c r="S278" s="2"/>
      <c r="T278" s="2">
        <f t="shared" si="93"/>
        <v>1</v>
      </c>
      <c r="U278" s="18">
        <f t="shared" si="94"/>
        <v>3</v>
      </c>
      <c r="V278" s="18">
        <f t="shared" si="95"/>
        <v>2025</v>
      </c>
      <c r="W278" s="18" t="str">
        <f t="shared" si="96"/>
        <v/>
      </c>
      <c r="X278" s="18" t="str">
        <f t="shared" si="97"/>
        <v/>
      </c>
      <c r="Y278" s="2">
        <f t="shared" si="90"/>
        <v>0.69439467085548334</v>
      </c>
      <c r="Z278" t="str">
        <f t="shared" si="91"/>
        <v>SO16719</v>
      </c>
      <c r="AA278" s="11">
        <f t="shared" si="98"/>
        <v>45720.756493055553</v>
      </c>
      <c r="AB278" s="5" t="str">
        <f t="shared" si="99"/>
        <v>INV12889</v>
      </c>
      <c r="AC278" s="5" t="str">
        <f>IFERROR(VLOOKUP(D278,CAARStatus!$A$2:$AA$1600,22,FALSE),"Not invoiced")</f>
        <v>Approved</v>
      </c>
      <c r="AD278" s="11" t="str">
        <f>IF(AC278="Paid",IFERROR(VLOOKUP(D278,CAARStatus!$A$2:$AA$1600,6,FALSE),"Pending"),"Pending")</f>
        <v>Pending</v>
      </c>
      <c r="AE278" s="5" t="str">
        <f t="shared" si="100"/>
        <v>OC00154</v>
      </c>
      <c r="AF278" s="5" t="str">
        <f t="shared" si="101"/>
        <v>Dynapro Pumps México S de RL de CV</v>
      </c>
      <c r="AG278" s="5" t="str">
        <f t="shared" si="102"/>
        <v>USD</v>
      </c>
      <c r="AH278" s="5">
        <f t="shared" si="103"/>
        <v>86.406193074726431</v>
      </c>
      <c r="AI278" s="12">
        <f>IF(L278-N278=0,VLOOKUP(U278,rate!A$4:B$15,2,FALSE)*AH278,IF(AG278="USD",O278,AH278*Y278))</f>
        <v>60</v>
      </c>
      <c r="AJ278" s="13">
        <f t="shared" si="104"/>
        <v>0.69439467085548334</v>
      </c>
      <c r="AK278" s="13">
        <f>-IF(AG278="CAD",IFERROR(VLOOKUP(D278,CAARStatus!$A$1:$Y$1600,16,FALSE),0),0)</f>
        <v>0</v>
      </c>
      <c r="AL278" s="13">
        <f>-IF(AG278="USD",IFERROR(VLOOKUP(D278,CAARStatus!$A$1:$Y$1600,11,FALSE),0),0)</f>
        <v>-60</v>
      </c>
      <c r="AM278" s="22" t="str">
        <f t="shared" si="105"/>
        <v/>
      </c>
      <c r="AN278" s="12">
        <f t="shared" si="106"/>
        <v>0</v>
      </c>
      <c r="AO278" s="12" t="str">
        <f t="shared" si="107"/>
        <v>Pend</v>
      </c>
      <c r="AP278" t="str">
        <f t="shared" si="92"/>
        <v>Pend</v>
      </c>
      <c r="AQ278" t="str">
        <f>IFERROR(VLOOKUP(Z278,InvBal!$L$4:$P$600,4,FALSE),"Pend")</f>
        <v>Pend</v>
      </c>
      <c r="AR278" t="str">
        <f>IFERROR(VLOOKUP(D278,Manual!$C$1:$E$22,2,FALSE),"Pend")</f>
        <v>Pend</v>
      </c>
      <c r="AS278" t="str">
        <f t="shared" si="108"/>
        <v/>
      </c>
      <c r="AT278" t="str">
        <f t="shared" si="109"/>
        <v>Yes</v>
      </c>
      <c r="AU278" s="51" t="str">
        <f t="shared" si="110"/>
        <v/>
      </c>
      <c r="AV278" s="12">
        <f>IFERROR(VLOOKUP(D278,'Receivable Invoice Detail'!$S$1:$U$3014,3,FALSE),0)</f>
        <v>0</v>
      </c>
      <c r="AW278" s="12">
        <f t="shared" si="111"/>
        <v>0</v>
      </c>
    </row>
    <row r="279" spans="1:49" x14ac:dyDescent="0.25">
      <c r="A279" s="2">
        <v>1</v>
      </c>
      <c r="B279" s="2" t="s">
        <v>1844</v>
      </c>
      <c r="C279" s="2" t="s">
        <v>1845</v>
      </c>
      <c r="D279" s="2" t="s">
        <v>2513</v>
      </c>
      <c r="E279" s="2" t="s">
        <v>146</v>
      </c>
      <c r="F279" s="3">
        <v>45721.46266203704</v>
      </c>
      <c r="G279" s="3">
        <v>45721.538460648153</v>
      </c>
      <c r="H279" s="4">
        <v>45784</v>
      </c>
      <c r="I279" s="2" t="s">
        <v>21</v>
      </c>
      <c r="J279" s="2" t="s">
        <v>22</v>
      </c>
      <c r="K279" s="2">
        <v>1</v>
      </c>
      <c r="L279" s="2">
        <v>1245.19</v>
      </c>
      <c r="M279" s="2">
        <v>0</v>
      </c>
      <c r="N279" s="2">
        <v>865.83821231337356</v>
      </c>
      <c r="O279" s="2">
        <v>1185.8900000000001</v>
      </c>
      <c r="P279" s="2">
        <v>59.3</v>
      </c>
      <c r="Q279" s="2">
        <v>1245.19</v>
      </c>
      <c r="R279" s="2" t="s">
        <v>44</v>
      </c>
      <c r="S279" s="2"/>
      <c r="T279" s="2">
        <f t="shared" si="93"/>
        <v>1</v>
      </c>
      <c r="U279" s="18">
        <f t="shared" si="94"/>
        <v>3</v>
      </c>
      <c r="V279" s="18">
        <f t="shared" si="95"/>
        <v>2025</v>
      </c>
      <c r="W279" s="18">
        <f t="shared" si="96"/>
        <v>8</v>
      </c>
      <c r="X279" s="18">
        <f t="shared" si="97"/>
        <v>2025</v>
      </c>
      <c r="Y279" s="2">
        <f t="shared" si="90"/>
        <v>0.69534626226790575</v>
      </c>
      <c r="Z279" t="str">
        <f t="shared" si="91"/>
        <v>SO16720</v>
      </c>
      <c r="AA279" s="11">
        <f t="shared" si="98"/>
        <v>45721.46266203704</v>
      </c>
      <c r="AB279" s="5" t="str">
        <f t="shared" si="99"/>
        <v>INV13090</v>
      </c>
      <c r="AC279" s="5" t="str">
        <f>IFERROR(VLOOKUP(D279,CAARStatus!$A$2:$AA$1600,22,FALSE),"Not invoiced")</f>
        <v>Paid</v>
      </c>
      <c r="AD279" s="11">
        <f>IF(AC279="Paid",IFERROR(VLOOKUP(D279,CAARStatus!$A$2:$AA$1600,6,FALSE),"Pending"),"Pending")</f>
        <v>45873</v>
      </c>
      <c r="AE279" s="5" t="str">
        <f t="shared" si="100"/>
        <v>6863</v>
      </c>
      <c r="AF279" s="5" t="str">
        <f t="shared" si="101"/>
        <v>Hyperflo</v>
      </c>
      <c r="AG279" s="5" t="str">
        <f t="shared" si="102"/>
        <v>CAD</v>
      </c>
      <c r="AH279" s="5">
        <f t="shared" si="103"/>
        <v>1185.8900000000001</v>
      </c>
      <c r="AI279" s="12">
        <f>IF(L279-N279=0,VLOOKUP(U279,rate!A$4:B$15,2,FALSE)*AH279,IF(AG279="USD",O279,AH279*Y279))</f>
        <v>824.60417896088677</v>
      </c>
      <c r="AJ279" s="13">
        <f t="shared" si="104"/>
        <v>0.69534626226790575</v>
      </c>
      <c r="AK279" s="13">
        <f>-IF(AG279="CAD",IFERROR(VLOOKUP(D279,CAARStatus!$A$1:$Y$1600,16,FALSE),0),0)</f>
        <v>-1185.8900000000001</v>
      </c>
      <c r="AL279" s="13">
        <f>-IF(AG279="USD",IFERROR(VLOOKUP(D279,CAARStatus!$A$1:$Y$1600,11,FALSE),0),0)</f>
        <v>0</v>
      </c>
      <c r="AM279" s="22">
        <f t="shared" si="105"/>
        <v>0</v>
      </c>
      <c r="AN279" s="12" t="str">
        <f t="shared" si="106"/>
        <v/>
      </c>
      <c r="AO279" s="12" t="str">
        <f t="shared" si="107"/>
        <v>Yes</v>
      </c>
      <c r="AP279" t="str">
        <f t="shared" si="92"/>
        <v>Yes</v>
      </c>
      <c r="AQ279" t="str">
        <f>IFERROR(VLOOKUP(Z279,InvBal!$L$4:$P$600,4,FALSE),"Pend")</f>
        <v>Pend</v>
      </c>
      <c r="AR279" t="str">
        <f>IFERROR(VLOOKUP(D279,Manual!$C$1:$E$22,2,FALSE),"Pend")</f>
        <v>Pend</v>
      </c>
      <c r="AS279" t="str">
        <f t="shared" si="108"/>
        <v>Yes</v>
      </c>
      <c r="AT279" t="str">
        <f t="shared" si="109"/>
        <v>Yes</v>
      </c>
      <c r="AU279" s="51" t="str">
        <f t="shared" si="110"/>
        <v>Yes</v>
      </c>
      <c r="AV279" s="12">
        <f>IFERROR(VLOOKUP(D279,'Receivable Invoice Detail'!$S$1:$U$3014,3,FALSE),0)</f>
        <v>0</v>
      </c>
      <c r="AW279" s="12">
        <f t="shared" si="111"/>
        <v>824.60417896088677</v>
      </c>
    </row>
    <row r="280" spans="1:49" x14ac:dyDescent="0.25">
      <c r="A280" s="2">
        <v>1</v>
      </c>
      <c r="B280" s="2" t="s">
        <v>1836</v>
      </c>
      <c r="C280" s="2" t="s">
        <v>1837</v>
      </c>
      <c r="D280" s="2" t="s">
        <v>2518</v>
      </c>
      <c r="E280" s="2" t="s">
        <v>242</v>
      </c>
      <c r="F280" s="3">
        <v>45722.481874999998</v>
      </c>
      <c r="G280" s="3">
        <v>45722.601226851853</v>
      </c>
      <c r="H280" s="4">
        <v>45723</v>
      </c>
      <c r="I280" s="2" t="s">
        <v>21</v>
      </c>
      <c r="J280" s="2" t="s">
        <v>22</v>
      </c>
      <c r="K280" s="2">
        <v>1</v>
      </c>
      <c r="L280" s="2">
        <v>2043.9</v>
      </c>
      <c r="M280" s="2">
        <v>0</v>
      </c>
      <c r="N280" s="2">
        <v>1431.340515540114</v>
      </c>
      <c r="O280" s="2">
        <v>1946.57</v>
      </c>
      <c r="P280" s="2">
        <v>97.33</v>
      </c>
      <c r="Q280" s="2">
        <v>2043.9</v>
      </c>
      <c r="R280" s="2" t="s">
        <v>44</v>
      </c>
      <c r="S280" s="2"/>
      <c r="T280" s="2">
        <f t="shared" si="93"/>
        <v>1</v>
      </c>
      <c r="U280" s="18">
        <f t="shared" si="94"/>
        <v>3</v>
      </c>
      <c r="V280" s="18">
        <f t="shared" si="95"/>
        <v>2025</v>
      </c>
      <c r="W280" s="18">
        <f t="shared" si="96"/>
        <v>4</v>
      </c>
      <c r="X280" s="18">
        <f t="shared" si="97"/>
        <v>2025</v>
      </c>
      <c r="Y280" s="2">
        <f t="shared" si="90"/>
        <v>0.7002987012770262</v>
      </c>
      <c r="Z280" t="str">
        <f t="shared" si="91"/>
        <v>SO16725</v>
      </c>
      <c r="AA280" s="11">
        <f t="shared" si="98"/>
        <v>45722.481874999998</v>
      </c>
      <c r="AB280" s="5" t="str">
        <f t="shared" si="99"/>
        <v>INV12718</v>
      </c>
      <c r="AC280" s="5" t="str">
        <f>IFERROR(VLOOKUP(D280,CAARStatus!$A$2:$AA$1600,22,FALSE),"Not invoiced")</f>
        <v>Paid</v>
      </c>
      <c r="AD280" s="11">
        <f>IF(AC280="Paid",IFERROR(VLOOKUP(D280,CAARStatus!$A$2:$AA$1600,6,FALSE),"Pending"),"Pending")</f>
        <v>45756</v>
      </c>
      <c r="AE280" s="5" t="str">
        <f t="shared" si="100"/>
        <v>2100524851</v>
      </c>
      <c r="AF280" s="5" t="str">
        <f t="shared" si="101"/>
        <v>Wajax Limited - Noranda</v>
      </c>
      <c r="AG280" s="5" t="str">
        <f t="shared" si="102"/>
        <v>CAD</v>
      </c>
      <c r="AH280" s="5">
        <f t="shared" si="103"/>
        <v>1946.57</v>
      </c>
      <c r="AI280" s="12">
        <f>IF(L280-N280=0,VLOOKUP(U280,rate!A$4:B$15,2,FALSE)*AH280,IF(AG280="USD",O280,AH280*Y280))</f>
        <v>1363.1804429448209</v>
      </c>
      <c r="AJ280" s="13">
        <f t="shared" si="104"/>
        <v>0.7002987012770262</v>
      </c>
      <c r="AK280" s="13">
        <f>-IF(AG280="CAD",IFERROR(VLOOKUP(D280,CAARStatus!$A$1:$Y$1600,16,FALSE),0),0)</f>
        <v>-1946.57</v>
      </c>
      <c r="AL280" s="13">
        <f>-IF(AG280="USD",IFERROR(VLOOKUP(D280,CAARStatus!$A$1:$Y$1600,11,FALSE),0),0)</f>
        <v>0</v>
      </c>
      <c r="AM280" s="22">
        <f t="shared" si="105"/>
        <v>0</v>
      </c>
      <c r="AN280" s="12" t="str">
        <f t="shared" si="106"/>
        <v/>
      </c>
      <c r="AO280" s="12" t="str">
        <f t="shared" si="107"/>
        <v>Yes</v>
      </c>
      <c r="AP280" t="str">
        <f t="shared" si="92"/>
        <v>Yes</v>
      </c>
      <c r="AQ280" t="str">
        <f>IFERROR(VLOOKUP(Z280,InvBal!$L$4:$P$600,4,FALSE),"Pend")</f>
        <v>Pend</v>
      </c>
      <c r="AR280" t="str">
        <f>IFERROR(VLOOKUP(D280,Manual!$C$1:$E$22,2,FALSE),"Pend")</f>
        <v>Pend</v>
      </c>
      <c r="AS280" t="str">
        <f t="shared" si="108"/>
        <v>Yes</v>
      </c>
      <c r="AT280" t="str">
        <f t="shared" si="109"/>
        <v>Yes</v>
      </c>
      <c r="AU280" s="51" t="str">
        <f t="shared" si="110"/>
        <v>Yes</v>
      </c>
      <c r="AV280" s="12">
        <f>IFERROR(VLOOKUP(D280,'Receivable Invoice Detail'!$S$1:$U$3014,3,FALSE),0)</f>
        <v>0</v>
      </c>
      <c r="AW280" s="12">
        <f t="shared" si="111"/>
        <v>1363.1804429448209</v>
      </c>
    </row>
    <row r="281" spans="1:49" x14ac:dyDescent="0.25">
      <c r="A281" s="2">
        <v>1</v>
      </c>
      <c r="B281" s="2" t="s">
        <v>1621</v>
      </c>
      <c r="C281" s="2" t="s">
        <v>1622</v>
      </c>
      <c r="D281" s="2" t="s">
        <v>2645</v>
      </c>
      <c r="E281" s="2" t="s">
        <v>149</v>
      </c>
      <c r="F281" s="3">
        <v>45722.608634259261</v>
      </c>
      <c r="G281" s="3">
        <v>45757.614872685182</v>
      </c>
      <c r="H281" s="4">
        <v>45758</v>
      </c>
      <c r="I281" s="2" t="s">
        <v>21</v>
      </c>
      <c r="J281" s="2" t="s">
        <v>51</v>
      </c>
      <c r="K281" s="2">
        <v>0.70412200178460038</v>
      </c>
      <c r="L281" s="2">
        <v>8672.1050961676501</v>
      </c>
      <c r="M281" s="2">
        <v>0</v>
      </c>
      <c r="N281" s="2">
        <v>6106.22</v>
      </c>
      <c r="O281" s="2">
        <v>6106.22</v>
      </c>
      <c r="P281" s="2"/>
      <c r="Q281" s="2">
        <v>6106.22</v>
      </c>
      <c r="R281" s="2" t="s">
        <v>44</v>
      </c>
      <c r="S281" s="2"/>
      <c r="T281" s="2">
        <f t="shared" si="93"/>
        <v>1</v>
      </c>
      <c r="U281" s="18">
        <f t="shared" si="94"/>
        <v>3</v>
      </c>
      <c r="V281" s="18">
        <f t="shared" si="95"/>
        <v>2025</v>
      </c>
      <c r="W281" s="18">
        <f t="shared" si="96"/>
        <v>5</v>
      </c>
      <c r="X281" s="18">
        <f t="shared" si="97"/>
        <v>2025</v>
      </c>
      <c r="Y281" s="2">
        <f t="shared" si="90"/>
        <v>0.70412200178460038</v>
      </c>
      <c r="Z281" t="str">
        <f t="shared" si="91"/>
        <v>SO16727</v>
      </c>
      <c r="AA281" s="11">
        <f t="shared" si="98"/>
        <v>45722.608634259261</v>
      </c>
      <c r="AB281" s="5" t="str">
        <f t="shared" si="99"/>
        <v>INV12862</v>
      </c>
      <c r="AC281" s="5" t="str">
        <f>IFERROR(VLOOKUP(D281,CAARStatus!$A$2:$AA$1600,22,FALSE),"Not invoiced")</f>
        <v>Paid</v>
      </c>
      <c r="AD281" s="11">
        <f>IF(AC281="Paid",IFERROR(VLOOKUP(D281,CAARStatus!$A$2:$AA$1600,6,FALSE),"Pending"),"Pending")</f>
        <v>45807</v>
      </c>
      <c r="AE281" s="5" t="str">
        <f t="shared" si="100"/>
        <v>MPO-1008</v>
      </c>
      <c r="AF281" s="5" t="str">
        <f t="shared" si="101"/>
        <v>MAB Equipment Company Inc.</v>
      </c>
      <c r="AG281" s="5" t="str">
        <f t="shared" si="102"/>
        <v>USD</v>
      </c>
      <c r="AH281" s="5">
        <f t="shared" si="103"/>
        <v>8672.1050961676501</v>
      </c>
      <c r="AI281" s="12">
        <f>IF(L281-N281=0,VLOOKUP(U281,rate!A$4:B$15,2,FALSE)*AH281,IF(AG281="USD",O281,AH281*Y281))</f>
        <v>6106.22</v>
      </c>
      <c r="AJ281" s="13">
        <f t="shared" si="104"/>
        <v>0.70412200178460038</v>
      </c>
      <c r="AK281" s="13">
        <f>-IF(AG281="CAD",IFERROR(VLOOKUP(D281,CAARStatus!$A$1:$Y$1600,16,FALSE),0),0)</f>
        <v>0</v>
      </c>
      <c r="AL281" s="13">
        <f>-IF(AG281="USD",IFERROR(VLOOKUP(D281,CAARStatus!$A$1:$Y$1600,11,FALSE),0),0)</f>
        <v>-6106.22</v>
      </c>
      <c r="AM281" s="22" t="str">
        <f t="shared" si="105"/>
        <v/>
      </c>
      <c r="AN281" s="12">
        <f t="shared" si="106"/>
        <v>0</v>
      </c>
      <c r="AO281" s="12" t="str">
        <f t="shared" si="107"/>
        <v>Yes</v>
      </c>
      <c r="AP281" t="str">
        <f t="shared" si="92"/>
        <v>Yes</v>
      </c>
      <c r="AQ281" t="str">
        <f>IFERROR(VLOOKUP(Z281,InvBal!$L$4:$P$600,4,FALSE),"Pend")</f>
        <v>Pend</v>
      </c>
      <c r="AR281" t="str">
        <f>IFERROR(VLOOKUP(D281,Manual!$C$1:$E$22,2,FALSE),"Pend")</f>
        <v>Pend</v>
      </c>
      <c r="AS281" t="str">
        <f t="shared" si="108"/>
        <v>Yes</v>
      </c>
      <c r="AT281" t="str">
        <f t="shared" si="109"/>
        <v>Yes</v>
      </c>
      <c r="AU281" s="51" t="str">
        <f t="shared" si="110"/>
        <v>Yes</v>
      </c>
      <c r="AV281" s="12">
        <f>IFERROR(VLOOKUP(D281,'Receivable Invoice Detail'!$S$1:$U$3014,3,FALSE),0)</f>
        <v>608</v>
      </c>
      <c r="AW281" s="12">
        <f t="shared" si="111"/>
        <v>5498.22</v>
      </c>
    </row>
    <row r="282" spans="1:49" ht="30" x14ac:dyDescent="0.25">
      <c r="A282" s="2">
        <v>1</v>
      </c>
      <c r="B282" s="2" t="s">
        <v>1827</v>
      </c>
      <c r="C282" s="2" t="s">
        <v>1828</v>
      </c>
      <c r="D282" s="2" t="s">
        <v>2523</v>
      </c>
      <c r="E282" s="2" t="s">
        <v>98</v>
      </c>
      <c r="F282" s="3">
        <v>45723.445532407408</v>
      </c>
      <c r="G282" s="3">
        <v>45723.446296296293</v>
      </c>
      <c r="H282" s="4">
        <v>45723</v>
      </c>
      <c r="I282" s="2" t="s">
        <v>1132</v>
      </c>
      <c r="J282" s="2" t="s">
        <v>22</v>
      </c>
      <c r="K282" s="2">
        <v>1</v>
      </c>
      <c r="L282" s="2">
        <v>0</v>
      </c>
      <c r="M282" s="2">
        <v>0</v>
      </c>
      <c r="N282" s="2">
        <v>0</v>
      </c>
      <c r="O282" s="2"/>
      <c r="P282" s="2"/>
      <c r="Q282" s="2"/>
      <c r="R282" s="2" t="s">
        <v>44</v>
      </c>
      <c r="S282" s="2"/>
      <c r="T282" s="2">
        <f t="shared" si="93"/>
        <v>1</v>
      </c>
      <c r="U282" s="18">
        <f t="shared" si="94"/>
        <v>3</v>
      </c>
      <c r="V282" s="18">
        <f t="shared" si="95"/>
        <v>2025</v>
      </c>
      <c r="W282" s="18" t="str">
        <f t="shared" si="96"/>
        <v/>
      </c>
      <c r="X282" s="18" t="str">
        <f t="shared" si="97"/>
        <v/>
      </c>
      <c r="Y282" s="2" t="e">
        <f t="shared" si="90"/>
        <v>#DIV/0!</v>
      </c>
      <c r="Z282" t="str">
        <f t="shared" si="91"/>
        <v>SO16732</v>
      </c>
      <c r="AA282" s="11">
        <f t="shared" si="98"/>
        <v>45723.445532407408</v>
      </c>
      <c r="AB282" s="5" t="str">
        <f t="shared" si="99"/>
        <v>INV12971</v>
      </c>
      <c r="AC282" s="5" t="str">
        <f>IFERROR(VLOOKUP(D282,CAARStatus!$A$2:$AA$1600,22,FALSE),"Not invoiced")</f>
        <v>Not invoiced</v>
      </c>
      <c r="AD282" s="11" t="str">
        <f>IF(AC282="Paid",IFERROR(VLOOKUP(D282,CAARStatus!$A$2:$AA$1600,6,FALSE),"Pending"),"Pending")</f>
        <v>Pending</v>
      </c>
      <c r="AE282" s="5" t="str">
        <f t="shared" si="100"/>
        <v>007750 Replacement</v>
      </c>
      <c r="AF282" s="5" t="str">
        <f t="shared" si="101"/>
        <v>Sling-Choker Manufacturing - Timmins</v>
      </c>
      <c r="AG282" s="5" t="str">
        <f t="shared" si="102"/>
        <v>CAD</v>
      </c>
      <c r="AH282" s="5">
        <f t="shared" si="103"/>
        <v>0</v>
      </c>
      <c r="AI282" s="12">
        <f>IF(L282-N282=0,VLOOKUP(U282,rate!A$4:B$15,2,FALSE)*AH282,IF(AG282="USD",O282,AH282*Y282))</f>
        <v>0</v>
      </c>
      <c r="AJ282" s="13">
        <f t="shared" si="104"/>
        <v>0</v>
      </c>
      <c r="AK282" s="13">
        <f>-IF(AG282="CAD",IFERROR(VLOOKUP(D282,CAARStatus!$A$1:$Y$1600,16,FALSE),0),0)</f>
        <v>0</v>
      </c>
      <c r="AL282" s="13">
        <f>-IF(AG282="USD",IFERROR(VLOOKUP(D282,CAARStatus!$A$1:$Y$1600,11,FALSE),0),0)</f>
        <v>0</v>
      </c>
      <c r="AM282" s="22">
        <f t="shared" si="105"/>
        <v>0</v>
      </c>
      <c r="AN282" s="12" t="str">
        <f t="shared" si="106"/>
        <v/>
      </c>
      <c r="AO282" s="12" t="str">
        <f t="shared" si="107"/>
        <v>Pend</v>
      </c>
      <c r="AP282" t="str">
        <f t="shared" si="92"/>
        <v>Pend</v>
      </c>
      <c r="AQ282" t="str">
        <f>IFERROR(VLOOKUP(Z282,InvBal!$L$4:$P$600,4,FALSE),"Pend")</f>
        <v>Pend</v>
      </c>
      <c r="AR282" t="str">
        <f>IFERROR(VLOOKUP(D282,Manual!$C$1:$E$22,2,FALSE),"Pend")</f>
        <v>Pend</v>
      </c>
      <c r="AS282" t="str">
        <f t="shared" si="108"/>
        <v/>
      </c>
      <c r="AT282" t="str">
        <f t="shared" si="109"/>
        <v>Yes</v>
      </c>
      <c r="AU282" s="51" t="str">
        <f t="shared" si="110"/>
        <v/>
      </c>
      <c r="AV282" s="12">
        <f>IFERROR(VLOOKUP(D282,'Receivable Invoice Detail'!$S$1:$U$3014,3,FALSE),0)</f>
        <v>0</v>
      </c>
      <c r="AW282" s="12">
        <f t="shared" si="111"/>
        <v>0</v>
      </c>
    </row>
    <row r="283" spans="1:49" ht="30" x14ac:dyDescent="0.25">
      <c r="A283" s="2">
        <v>3</v>
      </c>
      <c r="B283" s="2" t="s">
        <v>1804</v>
      </c>
      <c r="C283" s="2" t="s">
        <v>1805</v>
      </c>
      <c r="D283" s="2" t="s">
        <v>2539</v>
      </c>
      <c r="E283" s="2" t="s">
        <v>98</v>
      </c>
      <c r="F283" s="3">
        <v>45723.467453703714</v>
      </c>
      <c r="G283" s="3">
        <v>45727.688425925917</v>
      </c>
      <c r="H283" s="4">
        <v>45748</v>
      </c>
      <c r="I283" s="2" t="s">
        <v>21</v>
      </c>
      <c r="J283" s="2" t="s">
        <v>22</v>
      </c>
      <c r="K283" s="2">
        <v>1</v>
      </c>
      <c r="L283" s="2">
        <v>9600.0499999999993</v>
      </c>
      <c r="M283" s="2">
        <v>0</v>
      </c>
      <c r="N283" s="2">
        <v>6636.2105933580606</v>
      </c>
      <c r="O283" s="2">
        <v>8495.61</v>
      </c>
      <c r="P283" s="2">
        <v>1104.44</v>
      </c>
      <c r="Q283" s="2">
        <v>9600.0499999999993</v>
      </c>
      <c r="R283" s="2" t="s">
        <v>44</v>
      </c>
      <c r="S283" s="2"/>
      <c r="T283" s="2">
        <f t="shared" si="93"/>
        <v>3</v>
      </c>
      <c r="U283" s="18">
        <f t="shared" si="94"/>
        <v>3</v>
      </c>
      <c r="V283" s="18">
        <f t="shared" si="95"/>
        <v>2025</v>
      </c>
      <c r="W283" s="18">
        <f t="shared" si="96"/>
        <v>5</v>
      </c>
      <c r="X283" s="18">
        <f t="shared" si="97"/>
        <v>2025</v>
      </c>
      <c r="Y283" s="2">
        <f t="shared" si="90"/>
        <v>0.69126833645221231</v>
      </c>
      <c r="Z283" t="str">
        <f t="shared" si="91"/>
        <v>SO16733</v>
      </c>
      <c r="AA283" s="11">
        <f t="shared" si="98"/>
        <v>45723.467453703714</v>
      </c>
      <c r="AB283" s="5" t="str">
        <f t="shared" si="99"/>
        <v>INV12804</v>
      </c>
      <c r="AC283" s="5" t="str">
        <f>IFERROR(VLOOKUP(D283,CAARStatus!$A$2:$AA$1600,22,FALSE),"Not invoiced")</f>
        <v>Paid</v>
      </c>
      <c r="AD283" s="11">
        <f>IF(AC283="Paid",IFERROR(VLOOKUP(D283,CAARStatus!$A$2:$AA$1600,6,FALSE),"Pending"),"Pending")</f>
        <v>45784</v>
      </c>
      <c r="AE283" s="5" t="str">
        <f t="shared" si="100"/>
        <v>PO-007818</v>
      </c>
      <c r="AF283" s="5" t="str">
        <f t="shared" si="101"/>
        <v>Sling-Choker Manufacturing - Timmins</v>
      </c>
      <c r="AG283" s="5" t="str">
        <f t="shared" si="102"/>
        <v>CAD</v>
      </c>
      <c r="AH283" s="5">
        <f t="shared" si="103"/>
        <v>8495.61</v>
      </c>
      <c r="AI283" s="12">
        <f>IF(L283-N283=0,VLOOKUP(U283,rate!A$4:B$15,2,FALSE)*AH283,IF(AG283="USD",O283,AH283*Y283))</f>
        <v>5872.7461918467798</v>
      </c>
      <c r="AJ283" s="13">
        <f t="shared" si="104"/>
        <v>0.69126833645221231</v>
      </c>
      <c r="AK283" s="13">
        <f>-IF(AG283="CAD",IFERROR(VLOOKUP(D283,CAARStatus!$A$1:$Y$1600,16,FALSE),0),0)</f>
        <v>-2913.34</v>
      </c>
      <c r="AL283" s="13">
        <f>-IF(AG283="USD",IFERROR(VLOOKUP(D283,CAARStatus!$A$1:$Y$1600,11,FALSE),0),0)</f>
        <v>0</v>
      </c>
      <c r="AM283" s="22">
        <f t="shared" si="105"/>
        <v>5582.27</v>
      </c>
      <c r="AN283" s="12" t="str">
        <f t="shared" si="106"/>
        <v/>
      </c>
      <c r="AO283" s="12" t="str">
        <f t="shared" si="107"/>
        <v>Yes</v>
      </c>
      <c r="AP283" t="str">
        <f t="shared" si="92"/>
        <v>XX</v>
      </c>
      <c r="AQ283" t="str">
        <f>IFERROR(VLOOKUP(Z283,InvBal!$L$4:$P$600,4,FALSE),"Pend")</f>
        <v>Yes</v>
      </c>
      <c r="AR283" t="str">
        <f>IFERROR(VLOOKUP(D283,Manual!$C$1:$E$22,2,FALSE),"Pend")</f>
        <v>Pend</v>
      </c>
      <c r="AS283" t="str">
        <f t="shared" si="108"/>
        <v>Yes</v>
      </c>
      <c r="AT283" t="str">
        <f t="shared" si="109"/>
        <v>Yes</v>
      </c>
      <c r="AU283" s="51" t="str">
        <f t="shared" si="110"/>
        <v>Yes</v>
      </c>
      <c r="AV283" s="12">
        <f>IFERROR(VLOOKUP(D283,'Receivable Invoice Detail'!$S$1:$U$3014,3,FALSE),0)</f>
        <v>0</v>
      </c>
      <c r="AW283" s="12">
        <f t="shared" si="111"/>
        <v>5872.7461918467798</v>
      </c>
    </row>
    <row r="284" spans="1:49" x14ac:dyDescent="0.25">
      <c r="A284" s="2"/>
      <c r="B284" s="2"/>
      <c r="C284" s="2"/>
      <c r="D284" s="2" t="s">
        <v>2537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>
        <f t="shared" si="93"/>
        <v>3</v>
      </c>
      <c r="U284" s="18">
        <f t="shared" si="94"/>
        <v>3</v>
      </c>
      <c r="V284" s="18">
        <f t="shared" si="95"/>
        <v>2025</v>
      </c>
      <c r="W284" s="18">
        <f t="shared" si="96"/>
        <v>4</v>
      </c>
      <c r="X284" s="18">
        <f t="shared" si="97"/>
        <v>2025</v>
      </c>
      <c r="Y284" s="2">
        <f t="shared" si="90"/>
        <v>0.69126833645221231</v>
      </c>
      <c r="Z284" t="str">
        <f t="shared" si="91"/>
        <v>SO16733</v>
      </c>
      <c r="AA284" s="11">
        <f t="shared" si="98"/>
        <v>45723.467453703714</v>
      </c>
      <c r="AB284" s="5" t="str">
        <f t="shared" si="99"/>
        <v>INV12794</v>
      </c>
      <c r="AC284" s="5" t="str">
        <f>IFERROR(VLOOKUP(D284,CAARStatus!$A$2:$AA$1600,22,FALSE),"Not invoiced")</f>
        <v>Paid</v>
      </c>
      <c r="AD284" s="11">
        <f>IF(AC284="Paid",IFERROR(VLOOKUP(D284,CAARStatus!$A$2:$AA$1600,6,FALSE),"Pending"),"Pending")</f>
        <v>45777</v>
      </c>
      <c r="AE284" s="5" t="str">
        <f t="shared" si="100"/>
        <v>PO-007818</v>
      </c>
      <c r="AF284" s="5" t="str">
        <f t="shared" si="101"/>
        <v>Sling-Choker Manufacturing - Timmins</v>
      </c>
      <c r="AG284" s="5" t="str">
        <f t="shared" si="102"/>
        <v>CAD</v>
      </c>
      <c r="AH284" s="5">
        <f t="shared" si="103"/>
        <v>0</v>
      </c>
      <c r="AI284" s="12">
        <f>IF(L284-N284=0,VLOOKUP(U284,rate!A$4:B$15,2,FALSE)*AH284,IF(AG284="USD",O284,AH284*Y284))</f>
        <v>0</v>
      </c>
      <c r="AJ284" s="13">
        <f t="shared" si="104"/>
        <v>0</v>
      </c>
      <c r="AK284" s="13">
        <f>-IF(AG284="CAD",IFERROR(VLOOKUP(D284,CAARStatus!$A$1:$Y$1600,16,FALSE),0),0)</f>
        <v>-4672.05</v>
      </c>
      <c r="AL284" s="13">
        <f>-IF(AG284="USD",IFERROR(VLOOKUP(D284,CAARStatus!$A$1:$Y$1600,11,FALSE),0),0)</f>
        <v>0</v>
      </c>
      <c r="AM284" s="22">
        <f t="shared" si="105"/>
        <v>-4672.05</v>
      </c>
      <c r="AN284" s="12" t="str">
        <f t="shared" si="106"/>
        <v/>
      </c>
      <c r="AO284" s="12" t="str">
        <f t="shared" si="107"/>
        <v>Yes</v>
      </c>
      <c r="AP284" t="str">
        <f t="shared" si="92"/>
        <v>XX</v>
      </c>
      <c r="AQ284" t="str">
        <f>IFERROR(VLOOKUP(Z284,InvBal!$L$4:$P$600,4,FALSE),"Pend")</f>
        <v>Yes</v>
      </c>
      <c r="AR284" t="str">
        <f>IFERROR(VLOOKUP(D284,Manual!$C$1:$E$22,2,FALSE),"Pend")</f>
        <v>Pend</v>
      </c>
      <c r="AS284" t="str">
        <f t="shared" si="108"/>
        <v>Yes</v>
      </c>
      <c r="AT284" t="str">
        <f t="shared" si="109"/>
        <v/>
      </c>
      <c r="AU284" s="51" t="str">
        <f t="shared" si="110"/>
        <v/>
      </c>
      <c r="AV284" s="12">
        <f>IFERROR(VLOOKUP(D284,'Receivable Invoice Detail'!$S$1:$U$3014,3,FALSE),0)</f>
        <v>0</v>
      </c>
      <c r="AW284" s="12">
        <f t="shared" si="111"/>
        <v>0</v>
      </c>
    </row>
    <row r="285" spans="1:49" x14ac:dyDescent="0.25">
      <c r="A285" s="2"/>
      <c r="B285" s="2"/>
      <c r="C285" s="2"/>
      <c r="D285" s="2" t="s">
        <v>2538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>
        <f t="shared" si="93"/>
        <v>3</v>
      </c>
      <c r="U285" s="18">
        <f t="shared" si="94"/>
        <v>3</v>
      </c>
      <c r="V285" s="18">
        <f t="shared" si="95"/>
        <v>2025</v>
      </c>
      <c r="W285" s="18">
        <f t="shared" si="96"/>
        <v>5</v>
      </c>
      <c r="X285" s="18">
        <f t="shared" si="97"/>
        <v>2025</v>
      </c>
      <c r="Y285" s="2">
        <f t="shared" si="90"/>
        <v>0.69126833645221231</v>
      </c>
      <c r="Z285" t="str">
        <f t="shared" si="91"/>
        <v>SO16733</v>
      </c>
      <c r="AA285" s="11">
        <f t="shared" si="98"/>
        <v>45723.467453703714</v>
      </c>
      <c r="AB285" s="5" t="str">
        <f t="shared" si="99"/>
        <v>INV12852</v>
      </c>
      <c r="AC285" s="5" t="str">
        <f>IFERROR(VLOOKUP(D285,CAARStatus!$A$2:$AA$1600,22,FALSE),"Not invoiced")</f>
        <v>Paid</v>
      </c>
      <c r="AD285" s="11">
        <f>IF(AC285="Paid",IFERROR(VLOOKUP(D285,CAARStatus!$A$2:$AA$1600,6,FALSE),"Pending"),"Pending")</f>
        <v>45798</v>
      </c>
      <c r="AE285" s="5" t="str">
        <f t="shared" si="100"/>
        <v>PO-007818</v>
      </c>
      <c r="AF285" s="5" t="str">
        <f t="shared" si="101"/>
        <v>Sling-Choker Manufacturing - Timmins</v>
      </c>
      <c r="AG285" s="5" t="str">
        <f t="shared" si="102"/>
        <v>CAD</v>
      </c>
      <c r="AH285" s="5">
        <f t="shared" si="103"/>
        <v>0</v>
      </c>
      <c r="AI285" s="12">
        <f>IF(L285-N285=0,VLOOKUP(U285,rate!A$4:B$15,2,FALSE)*AH285,IF(AG285="USD",O285,AH285*Y285))</f>
        <v>0</v>
      </c>
      <c r="AJ285" s="13">
        <f t="shared" si="104"/>
        <v>0</v>
      </c>
      <c r="AK285" s="13">
        <f>-IF(AG285="CAD",IFERROR(VLOOKUP(D285,CAARStatus!$A$1:$Y$1600,16,FALSE),0),0)</f>
        <v>-910.22</v>
      </c>
      <c r="AL285" s="13">
        <f>-IF(AG285="USD",IFERROR(VLOOKUP(D285,CAARStatus!$A$1:$Y$1600,11,FALSE),0),0)</f>
        <v>0</v>
      </c>
      <c r="AM285" s="22">
        <f t="shared" si="105"/>
        <v>-910.22</v>
      </c>
      <c r="AN285" s="12" t="str">
        <f t="shared" si="106"/>
        <v/>
      </c>
      <c r="AO285" s="12" t="str">
        <f t="shared" si="107"/>
        <v>Yes</v>
      </c>
      <c r="AP285" t="str">
        <f t="shared" si="92"/>
        <v>XX</v>
      </c>
      <c r="AQ285" t="str">
        <f>IFERROR(VLOOKUP(Z285,InvBal!$L$4:$P$600,4,FALSE),"Pend")</f>
        <v>Yes</v>
      </c>
      <c r="AR285" t="str">
        <f>IFERROR(VLOOKUP(D285,Manual!$C$1:$E$22,2,FALSE),"Pend")</f>
        <v>Pend</v>
      </c>
      <c r="AS285" t="str">
        <f t="shared" si="108"/>
        <v>Yes</v>
      </c>
      <c r="AT285" t="str">
        <f t="shared" si="109"/>
        <v/>
      </c>
      <c r="AU285" s="51" t="str">
        <f t="shared" si="110"/>
        <v/>
      </c>
      <c r="AV285" s="12">
        <f>IFERROR(VLOOKUP(D285,'Receivable Invoice Detail'!$S$1:$U$3014,3,FALSE),0)</f>
        <v>0</v>
      </c>
      <c r="AW285" s="12">
        <f t="shared" si="111"/>
        <v>0</v>
      </c>
    </row>
    <row r="286" spans="1:49" x14ac:dyDescent="0.25">
      <c r="A286" s="2">
        <v>1</v>
      </c>
      <c r="B286" s="2" t="s">
        <v>1813</v>
      </c>
      <c r="C286" s="2" t="s">
        <v>1814</v>
      </c>
      <c r="D286" s="2" t="s">
        <v>2531</v>
      </c>
      <c r="E286" s="2" t="s">
        <v>229</v>
      </c>
      <c r="F286" s="3">
        <v>45723.480196759258</v>
      </c>
      <c r="G286" s="3">
        <v>45726.63548611111</v>
      </c>
      <c r="H286" s="4">
        <v>45728</v>
      </c>
      <c r="I286" s="2" t="s">
        <v>21</v>
      </c>
      <c r="J286" s="2" t="s">
        <v>22</v>
      </c>
      <c r="K286" s="2">
        <v>1</v>
      </c>
      <c r="L286" s="2">
        <v>2001.4</v>
      </c>
      <c r="M286" s="2">
        <v>2001.4</v>
      </c>
      <c r="N286" s="2">
        <v>2001.4</v>
      </c>
      <c r="O286" s="2">
        <v>1906.1</v>
      </c>
      <c r="P286" s="2">
        <v>95.3</v>
      </c>
      <c r="Q286" s="2">
        <v>2001.4</v>
      </c>
      <c r="R286" s="2" t="s">
        <v>44</v>
      </c>
      <c r="S286" s="2"/>
      <c r="T286" s="2">
        <f t="shared" si="93"/>
        <v>1</v>
      </c>
      <c r="U286" s="18">
        <f t="shared" si="94"/>
        <v>3</v>
      </c>
      <c r="V286" s="18">
        <f t="shared" si="95"/>
        <v>2025</v>
      </c>
      <c r="W286" s="18">
        <f t="shared" si="96"/>
        <v>4</v>
      </c>
      <c r="X286" s="18">
        <f t="shared" si="97"/>
        <v>2025</v>
      </c>
      <c r="Y286" s="2">
        <f t="shared" si="90"/>
        <v>1</v>
      </c>
      <c r="Z286" t="str">
        <f t="shared" si="91"/>
        <v>SO16734</v>
      </c>
      <c r="AA286" s="11">
        <f t="shared" si="98"/>
        <v>45723.480196759258</v>
      </c>
      <c r="AB286" s="5" t="str">
        <f t="shared" si="99"/>
        <v>INV12736</v>
      </c>
      <c r="AC286" s="5" t="str">
        <f>IFERROR(VLOOKUP(D286,CAARStatus!$A$2:$AA$1600,22,FALSE),"Not invoiced")</f>
        <v>Paid</v>
      </c>
      <c r="AD286" s="11">
        <f>IF(AC286="Paid",IFERROR(VLOOKUP(D286,CAARStatus!$A$2:$AA$1600,6,FALSE),"Pending"),"Pending")</f>
        <v>45770</v>
      </c>
      <c r="AE286" s="5" t="str">
        <f t="shared" si="100"/>
        <v>2200076047</v>
      </c>
      <c r="AF286" s="5" t="str">
        <f t="shared" si="101"/>
        <v>Wajax Limited - Lachine</v>
      </c>
      <c r="AG286" s="5" t="str">
        <f t="shared" si="102"/>
        <v>CAD</v>
      </c>
      <c r="AH286" s="5">
        <f t="shared" si="103"/>
        <v>1906.1</v>
      </c>
      <c r="AI286" s="12">
        <f>IF(L286-N286=0,VLOOKUP(U286,rate!A$4:B$15,2,FALSE)*AH286,IF(AG286="USD",O286,AH286*Y286))</f>
        <v>1334.3041958382153</v>
      </c>
      <c r="AJ286" s="13">
        <f t="shared" si="104"/>
        <v>0.70001794021206409</v>
      </c>
      <c r="AK286" s="13">
        <f>-IF(AG286="CAD",IFERROR(VLOOKUP(D286,CAARStatus!$A$1:$Y$1600,16,FALSE),0),0)</f>
        <v>-1906.1</v>
      </c>
      <c r="AL286" s="13">
        <f>-IF(AG286="USD",IFERROR(VLOOKUP(D286,CAARStatus!$A$1:$Y$1600,11,FALSE),0),0)</f>
        <v>0</v>
      </c>
      <c r="AM286" s="22">
        <f t="shared" si="105"/>
        <v>0</v>
      </c>
      <c r="AN286" s="12" t="str">
        <f t="shared" si="106"/>
        <v/>
      </c>
      <c r="AO286" s="12" t="str">
        <f t="shared" si="107"/>
        <v>Yes</v>
      </c>
      <c r="AP286" t="str">
        <f t="shared" si="92"/>
        <v>Yes</v>
      </c>
      <c r="AQ286" t="str">
        <f>IFERROR(VLOOKUP(Z286,InvBal!$L$4:$P$600,4,FALSE),"Pend")</f>
        <v>Pend</v>
      </c>
      <c r="AR286" t="str">
        <f>IFERROR(VLOOKUP(D286,Manual!$C$1:$E$22,2,FALSE),"Pend")</f>
        <v>Pend</v>
      </c>
      <c r="AS286" t="str">
        <f t="shared" si="108"/>
        <v>Yes</v>
      </c>
      <c r="AT286" t="str">
        <f t="shared" si="109"/>
        <v>Yes</v>
      </c>
      <c r="AU286" s="51" t="str">
        <f t="shared" si="110"/>
        <v>Yes</v>
      </c>
      <c r="AV286" s="12">
        <f>IFERROR(VLOOKUP(D286,'Receivable Invoice Detail'!$S$1:$U$3014,3,FALSE),0)</f>
        <v>0</v>
      </c>
      <c r="AW286" s="12">
        <f t="shared" si="111"/>
        <v>1334.3041958382153</v>
      </c>
    </row>
    <row r="287" spans="1:49" x14ac:dyDescent="0.25">
      <c r="A287" s="2">
        <v>1</v>
      </c>
      <c r="B287" s="2" t="s">
        <v>1823</v>
      </c>
      <c r="C287" s="2" t="s">
        <v>1824</v>
      </c>
      <c r="D287" s="2" t="s">
        <v>2526</v>
      </c>
      <c r="E287" s="2" t="s">
        <v>556</v>
      </c>
      <c r="F287" s="3">
        <v>45723.710636574076</v>
      </c>
      <c r="G287" s="3">
        <v>45723.711921296293</v>
      </c>
      <c r="H287" s="4">
        <v>45727</v>
      </c>
      <c r="I287" s="2" t="s">
        <v>21</v>
      </c>
      <c r="J287" s="2" t="s">
        <v>22</v>
      </c>
      <c r="K287" s="2">
        <v>1</v>
      </c>
      <c r="L287" s="2">
        <v>945.5</v>
      </c>
      <c r="M287" s="2">
        <v>0</v>
      </c>
      <c r="N287" s="2">
        <v>657.09521283526954</v>
      </c>
      <c r="O287" s="2">
        <v>836.73</v>
      </c>
      <c r="P287" s="2">
        <v>108.77</v>
      </c>
      <c r="Q287" s="2">
        <v>945.5</v>
      </c>
      <c r="R287" s="2" t="s">
        <v>44</v>
      </c>
      <c r="S287" s="2"/>
      <c r="T287" s="2">
        <f t="shared" si="93"/>
        <v>1</v>
      </c>
      <c r="U287" s="18">
        <f t="shared" si="94"/>
        <v>3</v>
      </c>
      <c r="V287" s="18">
        <f t="shared" si="95"/>
        <v>2025</v>
      </c>
      <c r="W287" s="18">
        <f t="shared" si="96"/>
        <v>4</v>
      </c>
      <c r="X287" s="18">
        <f t="shared" si="97"/>
        <v>2025</v>
      </c>
      <c r="Y287" s="2">
        <f t="shared" si="90"/>
        <v>0.69497113996326765</v>
      </c>
      <c r="Z287" t="str">
        <f t="shared" si="91"/>
        <v>SO16736</v>
      </c>
      <c r="AA287" s="11">
        <f t="shared" si="98"/>
        <v>45723.710636574076</v>
      </c>
      <c r="AB287" s="5" t="str">
        <f t="shared" si="99"/>
        <v>INV12720</v>
      </c>
      <c r="AC287" s="5" t="str">
        <f>IFERROR(VLOOKUP(D287,CAARStatus!$A$2:$AA$1600,22,FALSE),"Not invoiced")</f>
        <v>Paid</v>
      </c>
      <c r="AD287" s="11">
        <f>IF(AC287="Paid",IFERROR(VLOOKUP(D287,CAARStatus!$A$2:$AA$1600,6,FALSE),"Pending"),"Pending")</f>
        <v>45770</v>
      </c>
      <c r="AE287" s="5" t="str">
        <f t="shared" si="100"/>
        <v>185533</v>
      </c>
      <c r="AF287" s="5" t="str">
        <f t="shared" si="101"/>
        <v>Fabrene Inc.</v>
      </c>
      <c r="AG287" s="5" t="str">
        <f t="shared" si="102"/>
        <v>CAD</v>
      </c>
      <c r="AH287" s="5">
        <f t="shared" si="103"/>
        <v>836.73</v>
      </c>
      <c r="AI287" s="12">
        <f>IF(L287-N287=0,VLOOKUP(U287,rate!A$4:B$15,2,FALSE)*AH287,IF(AG287="USD",O287,AH287*Y287))</f>
        <v>581.50320194146491</v>
      </c>
      <c r="AJ287" s="13">
        <f t="shared" si="104"/>
        <v>0.69497113996326765</v>
      </c>
      <c r="AK287" s="13">
        <f>-IF(AG287="CAD",IFERROR(VLOOKUP(D287,CAARStatus!$A$1:$Y$1600,16,FALSE),0),0)</f>
        <v>-836.73</v>
      </c>
      <c r="AL287" s="13">
        <f>-IF(AG287="USD",IFERROR(VLOOKUP(D287,CAARStatus!$A$1:$Y$1600,11,FALSE),0),0)</f>
        <v>0</v>
      </c>
      <c r="AM287" s="22">
        <f t="shared" si="105"/>
        <v>0</v>
      </c>
      <c r="AN287" s="12" t="str">
        <f t="shared" si="106"/>
        <v/>
      </c>
      <c r="AO287" s="12" t="str">
        <f t="shared" si="107"/>
        <v>Yes</v>
      </c>
      <c r="AP287" t="str">
        <f t="shared" si="92"/>
        <v>Yes</v>
      </c>
      <c r="AQ287" t="str">
        <f>IFERROR(VLOOKUP(Z287,InvBal!$L$4:$P$600,4,FALSE),"Pend")</f>
        <v>Pend</v>
      </c>
      <c r="AR287" t="str">
        <f>IFERROR(VLOOKUP(D287,Manual!$C$1:$E$22,2,FALSE),"Pend")</f>
        <v>Pend</v>
      </c>
      <c r="AS287" t="str">
        <f t="shared" si="108"/>
        <v>Yes</v>
      </c>
      <c r="AT287" t="str">
        <f t="shared" si="109"/>
        <v>Yes</v>
      </c>
      <c r="AU287" s="51" t="str">
        <f t="shared" si="110"/>
        <v>Yes</v>
      </c>
      <c r="AV287" s="12">
        <f>IFERROR(VLOOKUP(D287,'Receivable Invoice Detail'!$S$1:$U$3014,3,FALSE),0)</f>
        <v>0</v>
      </c>
      <c r="AW287" s="12">
        <f t="shared" si="111"/>
        <v>581.50320194146491</v>
      </c>
    </row>
    <row r="288" spans="1:49" ht="30" x14ac:dyDescent="0.25">
      <c r="A288" s="2">
        <v>1</v>
      </c>
      <c r="B288" s="2" t="s">
        <v>1414</v>
      </c>
      <c r="C288" s="2" t="s">
        <v>1415</v>
      </c>
      <c r="D288" s="2" t="s">
        <v>2760</v>
      </c>
      <c r="E288" s="2" t="s">
        <v>576</v>
      </c>
      <c r="F288" s="3">
        <v>45723.717766203707</v>
      </c>
      <c r="G288" s="3">
        <v>45792.354305555556</v>
      </c>
      <c r="H288" s="4">
        <v>45793</v>
      </c>
      <c r="I288" s="2" t="s">
        <v>1132</v>
      </c>
      <c r="J288" s="2" t="s">
        <v>22</v>
      </c>
      <c r="K288" s="2">
        <v>1</v>
      </c>
      <c r="L288" s="2">
        <v>3912.99</v>
      </c>
      <c r="M288" s="2">
        <v>0</v>
      </c>
      <c r="N288" s="2">
        <v>2797.0073208512781</v>
      </c>
      <c r="O288" s="2">
        <v>3726.65</v>
      </c>
      <c r="P288" s="2">
        <v>186.34</v>
      </c>
      <c r="Q288" s="2">
        <v>3912.99</v>
      </c>
      <c r="R288" s="2" t="s">
        <v>44</v>
      </c>
      <c r="S288" s="2"/>
      <c r="T288" s="2">
        <f t="shared" si="93"/>
        <v>1</v>
      </c>
      <c r="U288" s="18">
        <f t="shared" si="94"/>
        <v>3</v>
      </c>
      <c r="V288" s="18">
        <f t="shared" si="95"/>
        <v>2025</v>
      </c>
      <c r="W288" s="18">
        <f t="shared" si="96"/>
        <v>6</v>
      </c>
      <c r="X288" s="18">
        <f t="shared" si="97"/>
        <v>2025</v>
      </c>
      <c r="Y288" s="2">
        <f t="shared" si="90"/>
        <v>0.71480052871366351</v>
      </c>
      <c r="Z288" t="str">
        <f t="shared" si="91"/>
        <v>SO16737</v>
      </c>
      <c r="AA288" s="11">
        <f t="shared" si="98"/>
        <v>45723.717766203707</v>
      </c>
      <c r="AB288" s="5" t="str">
        <f t="shared" si="99"/>
        <v>INV12988</v>
      </c>
      <c r="AC288" s="5" t="str">
        <f>IFERROR(VLOOKUP(D288,CAARStatus!$A$2:$AA$1600,22,FALSE),"Not invoiced")</f>
        <v>Paid</v>
      </c>
      <c r="AD288" s="11">
        <f>IF(AC288="Paid",IFERROR(VLOOKUP(D288,CAARStatus!$A$2:$AA$1600,6,FALSE),"Pending"),"Pending")</f>
        <v>45835</v>
      </c>
      <c r="AE288" s="5" t="str">
        <f t="shared" si="100"/>
        <v>10372</v>
      </c>
      <c r="AF288" s="5" t="str">
        <f t="shared" si="101"/>
        <v>Canadian Industrial Pumps Ltd, Canadian Industrial Pumps Ltd</v>
      </c>
      <c r="AG288" s="5" t="str">
        <f t="shared" si="102"/>
        <v>CAD</v>
      </c>
      <c r="AH288" s="5">
        <f t="shared" si="103"/>
        <v>3726.65</v>
      </c>
      <c r="AI288" s="12">
        <f>IF(L288-N288=0,VLOOKUP(U288,rate!A$4:B$15,2,FALSE)*AH288,IF(AG288="USD",O288,AH288*Y288))</f>
        <v>2663.811390330774</v>
      </c>
      <c r="AJ288" s="13">
        <f t="shared" si="104"/>
        <v>0.71480052871366351</v>
      </c>
      <c r="AK288" s="13">
        <f>-IF(AG288="CAD",IFERROR(VLOOKUP(D288,CAARStatus!$A$1:$Y$1600,16,FALSE),0),0)</f>
        <v>-3726.65</v>
      </c>
      <c r="AL288" s="13">
        <f>-IF(AG288="USD",IFERROR(VLOOKUP(D288,CAARStatus!$A$1:$Y$1600,11,FALSE),0),0)</f>
        <v>0</v>
      </c>
      <c r="AM288" s="22">
        <f t="shared" si="105"/>
        <v>0</v>
      </c>
      <c r="AN288" s="12" t="str">
        <f t="shared" si="106"/>
        <v/>
      </c>
      <c r="AO288" s="12" t="str">
        <f t="shared" si="107"/>
        <v>Yes</v>
      </c>
      <c r="AP288" t="str">
        <f t="shared" si="92"/>
        <v>Yes</v>
      </c>
      <c r="AQ288" t="str">
        <f>IFERROR(VLOOKUP(Z288,InvBal!$L$4:$P$600,4,FALSE),"Pend")</f>
        <v>Pend</v>
      </c>
      <c r="AR288" t="str">
        <f>IFERROR(VLOOKUP(D288,Manual!$C$1:$E$22,2,FALSE),"Pend")</f>
        <v>Pend</v>
      </c>
      <c r="AS288" t="str">
        <f t="shared" si="108"/>
        <v>Yes</v>
      </c>
      <c r="AT288" t="str">
        <f t="shared" si="109"/>
        <v>Yes</v>
      </c>
      <c r="AU288" s="51" t="str">
        <f t="shared" si="110"/>
        <v>Yes</v>
      </c>
      <c r="AV288" s="12">
        <f>IFERROR(VLOOKUP(D288,'Receivable Invoice Detail'!$S$1:$U$3014,3,FALSE),0)</f>
        <v>0</v>
      </c>
      <c r="AW288" s="12">
        <f t="shared" si="111"/>
        <v>2663.811390330774</v>
      </c>
    </row>
    <row r="289" spans="1:49" ht="30" x14ac:dyDescent="0.25">
      <c r="A289" s="2">
        <v>1</v>
      </c>
      <c r="B289" s="2" t="s">
        <v>1821</v>
      </c>
      <c r="C289" s="2" t="s">
        <v>1822</v>
      </c>
      <c r="D289" s="2" t="s">
        <v>2527</v>
      </c>
      <c r="E289" s="2" t="s">
        <v>129</v>
      </c>
      <c r="F289" s="3">
        <v>45723.7812962963</v>
      </c>
      <c r="G289" s="3">
        <v>45723.781064814822</v>
      </c>
      <c r="H289" s="4">
        <v>45744</v>
      </c>
      <c r="I289" s="2" t="s">
        <v>130</v>
      </c>
      <c r="J289" s="2" t="s">
        <v>51</v>
      </c>
      <c r="K289" s="2">
        <v>0.70029870127702598</v>
      </c>
      <c r="L289" s="2">
        <v>197.05876899150439</v>
      </c>
      <c r="M289" s="2">
        <v>0</v>
      </c>
      <c r="N289" s="2">
        <v>138</v>
      </c>
      <c r="O289" s="2">
        <v>138</v>
      </c>
      <c r="P289" s="2"/>
      <c r="Q289" s="2">
        <v>138</v>
      </c>
      <c r="R289" s="2" t="s">
        <v>44</v>
      </c>
      <c r="S289" s="2"/>
      <c r="T289" s="2">
        <f t="shared" si="93"/>
        <v>1</v>
      </c>
      <c r="U289" s="18">
        <f t="shared" si="94"/>
        <v>3</v>
      </c>
      <c r="V289" s="18">
        <f t="shared" si="95"/>
        <v>2025</v>
      </c>
      <c r="W289" s="18" t="str">
        <f t="shared" si="96"/>
        <v/>
      </c>
      <c r="X289" s="18" t="str">
        <f t="shared" si="97"/>
        <v/>
      </c>
      <c r="Y289" s="2">
        <f t="shared" si="90"/>
        <v>0.70029870127702598</v>
      </c>
      <c r="Z289" t="str">
        <f t="shared" si="91"/>
        <v>SO16738</v>
      </c>
      <c r="AA289" s="11">
        <f t="shared" si="98"/>
        <v>45723.7812962963</v>
      </c>
      <c r="AB289" s="5" t="str">
        <f t="shared" si="99"/>
        <v>INV12865</v>
      </c>
      <c r="AC289" s="5" t="str">
        <f>IFERROR(VLOOKUP(D289,CAARStatus!$A$2:$AA$1600,22,FALSE),"Not invoiced")</f>
        <v>Approved</v>
      </c>
      <c r="AD289" s="11" t="str">
        <f>IF(AC289="Paid",IFERROR(VLOOKUP(D289,CAARStatus!$A$2:$AA$1600,6,FALSE),"Pending"),"Pending")</f>
        <v>Pending</v>
      </c>
      <c r="AE289" s="5" t="str">
        <f t="shared" si="100"/>
        <v>OC00155</v>
      </c>
      <c r="AF289" s="5" t="str">
        <f t="shared" si="101"/>
        <v>Dynapro Pumps México S de RL de CV</v>
      </c>
      <c r="AG289" s="5" t="str">
        <f t="shared" si="102"/>
        <v>USD</v>
      </c>
      <c r="AH289" s="5">
        <f t="shared" si="103"/>
        <v>197.05876899150439</v>
      </c>
      <c r="AI289" s="12">
        <f>IF(L289-N289=0,VLOOKUP(U289,rate!A$4:B$15,2,FALSE)*AH289,IF(AG289="USD",O289,AH289*Y289))</f>
        <v>138</v>
      </c>
      <c r="AJ289" s="13">
        <f t="shared" si="104"/>
        <v>0.70029870127702598</v>
      </c>
      <c r="AK289" s="13">
        <f>-IF(AG289="CAD",IFERROR(VLOOKUP(D289,CAARStatus!$A$1:$Y$1600,16,FALSE),0),0)</f>
        <v>0</v>
      </c>
      <c r="AL289" s="13">
        <f>-IF(AG289="USD",IFERROR(VLOOKUP(D289,CAARStatus!$A$1:$Y$1600,11,FALSE),0),0)</f>
        <v>-138</v>
      </c>
      <c r="AM289" s="22" t="str">
        <f t="shared" si="105"/>
        <v/>
      </c>
      <c r="AN289" s="12">
        <f t="shared" si="106"/>
        <v>0</v>
      </c>
      <c r="AO289" s="12" t="str">
        <f t="shared" si="107"/>
        <v>Pend</v>
      </c>
      <c r="AP289" t="str">
        <f t="shared" si="92"/>
        <v>Pend</v>
      </c>
      <c r="AQ289" t="str">
        <f>IFERROR(VLOOKUP(Z289,InvBal!$L$4:$P$600,4,FALSE),"Pend")</f>
        <v>Pend</v>
      </c>
      <c r="AR289" t="str">
        <f>IFERROR(VLOOKUP(D289,Manual!$C$1:$E$22,2,FALSE),"Pend")</f>
        <v>Pend</v>
      </c>
      <c r="AS289" t="str">
        <f t="shared" si="108"/>
        <v/>
      </c>
      <c r="AT289" t="str">
        <f t="shared" si="109"/>
        <v>Yes</v>
      </c>
      <c r="AU289" s="51" t="str">
        <f t="shared" si="110"/>
        <v/>
      </c>
      <c r="AV289" s="12">
        <f>IFERROR(VLOOKUP(D289,'Receivable Invoice Detail'!$S$1:$U$3014,3,FALSE),0)</f>
        <v>0</v>
      </c>
      <c r="AW289" s="12">
        <f t="shared" si="111"/>
        <v>0</v>
      </c>
    </row>
    <row r="290" spans="1:49" x14ac:dyDescent="0.25">
      <c r="A290" s="2">
        <v>1</v>
      </c>
      <c r="B290" s="2" t="s">
        <v>1812</v>
      </c>
      <c r="C290" s="2" t="s">
        <v>1484</v>
      </c>
      <c r="D290" s="2" t="s">
        <v>2532</v>
      </c>
      <c r="E290" s="2" t="s">
        <v>171</v>
      </c>
      <c r="F290" s="3">
        <v>45726.404467592591</v>
      </c>
      <c r="G290" s="3">
        <v>45726.643587962957</v>
      </c>
      <c r="H290" s="4">
        <v>45728</v>
      </c>
      <c r="I290" s="2" t="s">
        <v>21</v>
      </c>
      <c r="J290" s="2" t="s">
        <v>22</v>
      </c>
      <c r="K290" s="2">
        <v>1</v>
      </c>
      <c r="L290" s="2">
        <v>1186.27</v>
      </c>
      <c r="M290" s="2">
        <v>1186.27</v>
      </c>
      <c r="N290" s="2">
        <v>1186.27</v>
      </c>
      <c r="O290" s="2">
        <v>1129.78</v>
      </c>
      <c r="P290" s="2">
        <v>56.49</v>
      </c>
      <c r="Q290" s="2">
        <v>1186.27</v>
      </c>
      <c r="R290" s="2" t="s">
        <v>44</v>
      </c>
      <c r="S290" s="2"/>
      <c r="T290" s="2">
        <f t="shared" si="93"/>
        <v>1</v>
      </c>
      <c r="U290" s="18">
        <f t="shared" si="94"/>
        <v>3</v>
      </c>
      <c r="V290" s="18">
        <f t="shared" si="95"/>
        <v>2025</v>
      </c>
      <c r="W290" s="18">
        <f t="shared" si="96"/>
        <v>4</v>
      </c>
      <c r="X290" s="18">
        <f t="shared" si="97"/>
        <v>2025</v>
      </c>
      <c r="Y290" s="2">
        <f t="shared" si="90"/>
        <v>1</v>
      </c>
      <c r="Z290" t="str">
        <f t="shared" si="91"/>
        <v>SO16739</v>
      </c>
      <c r="AA290" s="11">
        <f t="shared" si="98"/>
        <v>45726.404467592591</v>
      </c>
      <c r="AB290" s="5" t="str">
        <f t="shared" si="99"/>
        <v>INV12737</v>
      </c>
      <c r="AC290" s="5" t="str">
        <f>IFERROR(VLOOKUP(D290,CAARStatus!$A$2:$AA$1600,22,FALSE),"Not invoiced")</f>
        <v>Paid</v>
      </c>
      <c r="AD290" s="11">
        <f>IF(AC290="Paid",IFERROR(VLOOKUP(D290,CAARStatus!$A$2:$AA$1600,6,FALSE),"Pending"),"Pending")</f>
        <v>45776</v>
      </c>
      <c r="AE290" s="5" t="str">
        <f t="shared" si="100"/>
        <v>2088</v>
      </c>
      <c r="AF290" s="5" t="str">
        <f t="shared" si="101"/>
        <v>FMI Products</v>
      </c>
      <c r="AG290" s="5" t="str">
        <f t="shared" si="102"/>
        <v>CAD</v>
      </c>
      <c r="AH290" s="5">
        <f t="shared" si="103"/>
        <v>1129.78</v>
      </c>
      <c r="AI290" s="12">
        <f>IF(L290-N290=0,VLOOKUP(U290,rate!A$4:B$15,2,FALSE)*AH290,IF(AG290="USD",O290,AH290*Y290))</f>
        <v>790.86626849278571</v>
      </c>
      <c r="AJ290" s="13">
        <f t="shared" si="104"/>
        <v>0.70001794021206409</v>
      </c>
      <c r="AK290" s="13">
        <f>-IF(AG290="CAD",IFERROR(VLOOKUP(D290,CAARStatus!$A$1:$Y$1600,16,FALSE),0),0)</f>
        <v>-1129.78</v>
      </c>
      <c r="AL290" s="13">
        <f>-IF(AG290="USD",IFERROR(VLOOKUP(D290,CAARStatus!$A$1:$Y$1600,11,FALSE),0),0)</f>
        <v>0</v>
      </c>
      <c r="AM290" s="22">
        <f t="shared" si="105"/>
        <v>0</v>
      </c>
      <c r="AN290" s="12" t="str">
        <f t="shared" si="106"/>
        <v/>
      </c>
      <c r="AO290" s="12" t="str">
        <f t="shared" si="107"/>
        <v>Yes</v>
      </c>
      <c r="AP290" t="str">
        <f t="shared" si="92"/>
        <v>Yes</v>
      </c>
      <c r="AQ290" t="str">
        <f>IFERROR(VLOOKUP(Z290,InvBal!$L$4:$P$600,4,FALSE),"Pend")</f>
        <v>Pend</v>
      </c>
      <c r="AR290" t="str">
        <f>IFERROR(VLOOKUP(D290,Manual!$C$1:$E$22,2,FALSE),"Pend")</f>
        <v>Pend</v>
      </c>
      <c r="AS290" t="str">
        <f t="shared" si="108"/>
        <v>Yes</v>
      </c>
      <c r="AT290" t="str">
        <f t="shared" si="109"/>
        <v>Yes</v>
      </c>
      <c r="AU290" s="51" t="str">
        <f t="shared" si="110"/>
        <v>Yes</v>
      </c>
      <c r="AV290" s="12">
        <f>IFERROR(VLOOKUP(D290,'Receivable Invoice Detail'!$S$1:$U$3014,3,FALSE),0)</f>
        <v>0</v>
      </c>
      <c r="AW290" s="12">
        <f t="shared" si="111"/>
        <v>790.86626849278571</v>
      </c>
    </row>
    <row r="291" spans="1:49" ht="30" x14ac:dyDescent="0.25">
      <c r="A291" s="2">
        <v>1</v>
      </c>
      <c r="B291" s="2" t="s">
        <v>1789</v>
      </c>
      <c r="C291" s="2" t="s">
        <v>1790</v>
      </c>
      <c r="D291" s="2" t="s">
        <v>2546</v>
      </c>
      <c r="E291" s="2" t="s">
        <v>47</v>
      </c>
      <c r="F291" s="3">
        <v>45726.513425925928</v>
      </c>
      <c r="G291" s="3">
        <v>45729.397372685176</v>
      </c>
      <c r="H291" s="4">
        <v>45733</v>
      </c>
      <c r="I291" s="2" t="s">
        <v>21</v>
      </c>
      <c r="J291" s="2" t="s">
        <v>22</v>
      </c>
      <c r="K291" s="2">
        <v>1</v>
      </c>
      <c r="L291" s="2">
        <v>2152.54</v>
      </c>
      <c r="M291" s="2">
        <v>0</v>
      </c>
      <c r="N291" s="2">
        <v>1494.9888863164419</v>
      </c>
      <c r="O291" s="2">
        <v>1904.9</v>
      </c>
      <c r="P291" s="2">
        <v>247.64</v>
      </c>
      <c r="Q291" s="2">
        <v>2152.54</v>
      </c>
      <c r="R291" s="2" t="s">
        <v>44</v>
      </c>
      <c r="S291" s="2"/>
      <c r="T291" s="2">
        <f t="shared" si="93"/>
        <v>1</v>
      </c>
      <c r="U291" s="18">
        <f t="shared" si="94"/>
        <v>3</v>
      </c>
      <c r="V291" s="18">
        <f t="shared" si="95"/>
        <v>2025</v>
      </c>
      <c r="W291" s="18">
        <f t="shared" si="96"/>
        <v>5</v>
      </c>
      <c r="X291" s="18">
        <f t="shared" si="97"/>
        <v>2025</v>
      </c>
      <c r="Y291" s="2">
        <f t="shared" si="90"/>
        <v>0.69452316162135985</v>
      </c>
      <c r="Z291" t="str">
        <f t="shared" si="91"/>
        <v>SO16740</v>
      </c>
      <c r="AA291" s="11">
        <f t="shared" si="98"/>
        <v>45726.513425925928</v>
      </c>
      <c r="AB291" s="5" t="str">
        <f t="shared" si="99"/>
        <v>INV12742</v>
      </c>
      <c r="AC291" s="5" t="str">
        <f>IFERROR(VLOOKUP(D291,CAARStatus!$A$2:$AA$1600,22,FALSE),"Not invoiced")</f>
        <v>Paid</v>
      </c>
      <c r="AD291" s="11">
        <f>IF(AC291="Paid",IFERROR(VLOOKUP(D291,CAARStatus!$A$2:$AA$1600,6,FALSE),"Pending"),"Pending")</f>
        <v>45793</v>
      </c>
      <c r="AE291" s="5" t="str">
        <f t="shared" si="100"/>
        <v>03R19523</v>
      </c>
      <c r="AF291" s="5" t="str">
        <f t="shared" si="101"/>
        <v>Moffatt Supply &amp; Specialties - Red Lake</v>
      </c>
      <c r="AG291" s="5" t="str">
        <f t="shared" si="102"/>
        <v>CAD</v>
      </c>
      <c r="AH291" s="5">
        <f t="shared" si="103"/>
        <v>1904.9</v>
      </c>
      <c r="AI291" s="12">
        <f>IF(L291-N291=0,VLOOKUP(U291,rate!A$4:B$15,2,FALSE)*AH291,IF(AG291="USD",O291,AH291*Y291))</f>
        <v>1322.9971705725284</v>
      </c>
      <c r="AJ291" s="13">
        <f t="shared" si="104"/>
        <v>0.69452316162135985</v>
      </c>
      <c r="AK291" s="13">
        <f>-IF(AG291="CAD",IFERROR(VLOOKUP(D291,CAARStatus!$A$1:$Y$1600,16,FALSE),0),0)</f>
        <v>-1904.9</v>
      </c>
      <c r="AL291" s="13">
        <f>-IF(AG291="USD",IFERROR(VLOOKUP(D291,CAARStatus!$A$1:$Y$1600,11,FALSE),0),0)</f>
        <v>0</v>
      </c>
      <c r="AM291" s="22">
        <f t="shared" si="105"/>
        <v>0</v>
      </c>
      <c r="AN291" s="12" t="str">
        <f t="shared" si="106"/>
        <v/>
      </c>
      <c r="AO291" s="12" t="str">
        <f t="shared" si="107"/>
        <v>Yes</v>
      </c>
      <c r="AP291" t="str">
        <f t="shared" si="92"/>
        <v>Yes</v>
      </c>
      <c r="AQ291" t="str">
        <f>IFERROR(VLOOKUP(Z291,InvBal!$L$4:$P$600,4,FALSE),"Pend")</f>
        <v>Pend</v>
      </c>
      <c r="AR291" t="str">
        <f>IFERROR(VLOOKUP(D291,Manual!$C$1:$E$22,2,FALSE),"Pend")</f>
        <v>Pend</v>
      </c>
      <c r="AS291" t="str">
        <f t="shared" si="108"/>
        <v>Yes</v>
      </c>
      <c r="AT291" t="str">
        <f t="shared" si="109"/>
        <v>Yes</v>
      </c>
      <c r="AU291" s="51" t="str">
        <f t="shared" si="110"/>
        <v>Yes</v>
      </c>
      <c r="AV291" s="12">
        <f>IFERROR(VLOOKUP(D291,'Receivable Invoice Detail'!$S$1:$U$3014,3,FALSE),0)</f>
        <v>0</v>
      </c>
      <c r="AW291" s="12">
        <f t="shared" si="111"/>
        <v>1322.9971705725284</v>
      </c>
    </row>
    <row r="292" spans="1:49" x14ac:dyDescent="0.25">
      <c r="A292" s="2">
        <v>1</v>
      </c>
      <c r="B292" s="2" t="s">
        <v>1787</v>
      </c>
      <c r="C292" s="2" t="s">
        <v>1788</v>
      </c>
      <c r="D292" s="2" t="s">
        <v>2547</v>
      </c>
      <c r="E292" s="2" t="s">
        <v>242</v>
      </c>
      <c r="F292" s="3">
        <v>45726.533668981479</v>
      </c>
      <c r="G292" s="3">
        <v>45729.402662037042</v>
      </c>
      <c r="H292" s="4">
        <v>45733</v>
      </c>
      <c r="I292" s="2" t="s">
        <v>21</v>
      </c>
      <c r="J292" s="2" t="s">
        <v>22</v>
      </c>
      <c r="K292" s="2">
        <v>1</v>
      </c>
      <c r="L292" s="2">
        <v>209.03</v>
      </c>
      <c r="M292" s="2">
        <v>0</v>
      </c>
      <c r="N292" s="2">
        <v>145.17617647371279</v>
      </c>
      <c r="O292" s="2">
        <v>199.07</v>
      </c>
      <c r="P292" s="2">
        <v>9.9600000000000009</v>
      </c>
      <c r="Q292" s="2">
        <v>209.03</v>
      </c>
      <c r="R292" s="2" t="s">
        <v>44</v>
      </c>
      <c r="S292" s="2"/>
      <c r="T292" s="2">
        <f t="shared" si="93"/>
        <v>1</v>
      </c>
      <c r="U292" s="18">
        <f t="shared" si="94"/>
        <v>3</v>
      </c>
      <c r="V292" s="18">
        <f t="shared" si="95"/>
        <v>2025</v>
      </c>
      <c r="W292" s="18">
        <f t="shared" si="96"/>
        <v>4</v>
      </c>
      <c r="X292" s="18">
        <f t="shared" si="97"/>
        <v>2025</v>
      </c>
      <c r="Y292" s="2">
        <f t="shared" si="90"/>
        <v>0.69452316162135952</v>
      </c>
      <c r="Z292" t="str">
        <f t="shared" si="91"/>
        <v>SO16742</v>
      </c>
      <c r="AA292" s="11">
        <f t="shared" si="98"/>
        <v>45726.533668981479</v>
      </c>
      <c r="AB292" s="5" t="str">
        <f t="shared" si="99"/>
        <v>INV12731</v>
      </c>
      <c r="AC292" s="5" t="str">
        <f>IFERROR(VLOOKUP(D292,CAARStatus!$A$2:$AA$1600,22,FALSE),"Not invoiced")</f>
        <v>Paid</v>
      </c>
      <c r="AD292" s="11">
        <f>IF(AC292="Paid",IFERROR(VLOOKUP(D292,CAARStatus!$A$2:$AA$1600,6,FALSE),"Pending"),"Pending")</f>
        <v>45763</v>
      </c>
      <c r="AE292" s="5" t="str">
        <f t="shared" si="100"/>
        <v>2100527126</v>
      </c>
      <c r="AF292" s="5" t="str">
        <f t="shared" si="101"/>
        <v>Wajax Limited - Noranda</v>
      </c>
      <c r="AG292" s="5" t="str">
        <f t="shared" si="102"/>
        <v>CAD</v>
      </c>
      <c r="AH292" s="5">
        <f t="shared" si="103"/>
        <v>199.07</v>
      </c>
      <c r="AI292" s="12">
        <f>IF(L292-N292=0,VLOOKUP(U292,rate!A$4:B$15,2,FALSE)*AH292,IF(AG292="USD",O292,AH292*Y292))</f>
        <v>138.25872578396402</v>
      </c>
      <c r="AJ292" s="13">
        <f t="shared" si="104"/>
        <v>0.69452316162135952</v>
      </c>
      <c r="AK292" s="13">
        <f>-IF(AG292="CAD",IFERROR(VLOOKUP(D292,CAARStatus!$A$1:$Y$1600,16,FALSE),0),0)</f>
        <v>-199.07</v>
      </c>
      <c r="AL292" s="13">
        <f>-IF(AG292="USD",IFERROR(VLOOKUP(D292,CAARStatus!$A$1:$Y$1600,11,FALSE),0),0)</f>
        <v>0</v>
      </c>
      <c r="AM292" s="22">
        <f t="shared" si="105"/>
        <v>0</v>
      </c>
      <c r="AN292" s="12" t="str">
        <f t="shared" si="106"/>
        <v/>
      </c>
      <c r="AO292" s="12" t="str">
        <f t="shared" si="107"/>
        <v>Yes</v>
      </c>
      <c r="AP292" t="str">
        <f t="shared" si="92"/>
        <v>Yes</v>
      </c>
      <c r="AQ292" t="str">
        <f>IFERROR(VLOOKUP(Z292,InvBal!$L$4:$P$600,4,FALSE),"Pend")</f>
        <v>Pend</v>
      </c>
      <c r="AR292" t="str">
        <f>IFERROR(VLOOKUP(D292,Manual!$C$1:$E$22,2,FALSE),"Pend")</f>
        <v>Pend</v>
      </c>
      <c r="AS292" t="str">
        <f t="shared" si="108"/>
        <v>Yes</v>
      </c>
      <c r="AT292" t="str">
        <f t="shared" si="109"/>
        <v>Yes</v>
      </c>
      <c r="AU292" s="51" t="str">
        <f t="shared" si="110"/>
        <v>Yes</v>
      </c>
      <c r="AV292" s="12">
        <f>IFERROR(VLOOKUP(D292,'Receivable Invoice Detail'!$S$1:$U$3014,3,FALSE),0)</f>
        <v>0</v>
      </c>
      <c r="AW292" s="12">
        <f t="shared" si="111"/>
        <v>138.25872578396402</v>
      </c>
    </row>
    <row r="293" spans="1:49" ht="30" x14ac:dyDescent="0.25">
      <c r="A293" s="2">
        <v>1</v>
      </c>
      <c r="B293" s="2" t="s">
        <v>1815</v>
      </c>
      <c r="C293" s="2" t="s">
        <v>1816</v>
      </c>
      <c r="D293" s="2" t="s">
        <v>2530</v>
      </c>
      <c r="E293" s="2" t="s">
        <v>159</v>
      </c>
      <c r="F293" s="3">
        <v>45726.629340277781</v>
      </c>
      <c r="G293" s="3">
        <v>45726.631516203714</v>
      </c>
      <c r="H293" s="4">
        <v>45741</v>
      </c>
      <c r="I293" s="2" t="s">
        <v>426</v>
      </c>
      <c r="J293" s="2" t="s">
        <v>51</v>
      </c>
      <c r="K293" s="2">
        <v>0.69588843853535265</v>
      </c>
      <c r="L293" s="2">
        <v>1262.601807050087</v>
      </c>
      <c r="M293" s="2">
        <v>0</v>
      </c>
      <c r="N293" s="2">
        <v>878.63</v>
      </c>
      <c r="O293" s="2">
        <v>878.63</v>
      </c>
      <c r="P293" s="2"/>
      <c r="Q293" s="2">
        <v>878.63</v>
      </c>
      <c r="R293" s="2" t="s">
        <v>44</v>
      </c>
      <c r="S293" s="2"/>
      <c r="T293" s="2">
        <f t="shared" si="93"/>
        <v>1</v>
      </c>
      <c r="U293" s="18">
        <f t="shared" si="94"/>
        <v>3</v>
      </c>
      <c r="V293" s="18">
        <f t="shared" si="95"/>
        <v>2025</v>
      </c>
      <c r="W293" s="18">
        <f t="shared" si="96"/>
        <v>5</v>
      </c>
      <c r="X293" s="18">
        <f t="shared" si="97"/>
        <v>2025</v>
      </c>
      <c r="Y293" s="2">
        <f t="shared" si="90"/>
        <v>0.69588843853535287</v>
      </c>
      <c r="Z293" t="str">
        <f t="shared" si="91"/>
        <v>SO16744</v>
      </c>
      <c r="AA293" s="11">
        <f t="shared" si="98"/>
        <v>45726.629340277781</v>
      </c>
      <c r="AB293" s="5" t="str">
        <f t="shared" si="99"/>
        <v>INV12762</v>
      </c>
      <c r="AC293" s="5" t="str">
        <f>IFERROR(VLOOKUP(D293,CAARStatus!$A$2:$AA$1600,22,FALSE),"Not invoiced")</f>
        <v>Paid</v>
      </c>
      <c r="AD293" s="11">
        <f>IF(AC293="Paid",IFERROR(VLOOKUP(D293,CAARStatus!$A$2:$AA$1600,6,FALSE),"Pending"),"Pending")</f>
        <v>45786</v>
      </c>
      <c r="AE293" s="5" t="str">
        <f t="shared" si="100"/>
        <v>4501129262</v>
      </c>
      <c r="AF293" s="5" t="str">
        <f t="shared" si="101"/>
        <v>Barrick Gold - Pueblo Viejo Dominicana Corporation</v>
      </c>
      <c r="AG293" s="5" t="str">
        <f t="shared" si="102"/>
        <v>USD</v>
      </c>
      <c r="AH293" s="5">
        <f t="shared" si="103"/>
        <v>1262.6018070500875</v>
      </c>
      <c r="AI293" s="12">
        <f>IF(L293-N293=0,VLOOKUP(U293,rate!A$4:B$15,2,FALSE)*AH293,IF(AG293="USD",O293,AH293*Y293))</f>
        <v>878.63</v>
      </c>
      <c r="AJ293" s="13">
        <f t="shared" si="104"/>
        <v>0.69588843853535265</v>
      </c>
      <c r="AK293" s="13">
        <f>-IF(AG293="CAD",IFERROR(VLOOKUP(D293,CAARStatus!$A$1:$Y$1600,16,FALSE),0),0)</f>
        <v>0</v>
      </c>
      <c r="AL293" s="13">
        <f>-IF(AG293="USD",IFERROR(VLOOKUP(D293,CAARStatus!$A$1:$Y$1600,11,FALSE),0),0)</f>
        <v>-878.63</v>
      </c>
      <c r="AM293" s="22" t="str">
        <f t="shared" si="105"/>
        <v/>
      </c>
      <c r="AN293" s="12">
        <f t="shared" si="106"/>
        <v>0</v>
      </c>
      <c r="AO293" s="12" t="str">
        <f t="shared" si="107"/>
        <v>Yes</v>
      </c>
      <c r="AP293" t="str">
        <f t="shared" si="92"/>
        <v>Yes</v>
      </c>
      <c r="AQ293" t="str">
        <f>IFERROR(VLOOKUP(Z293,InvBal!$L$4:$P$600,4,FALSE),"Pend")</f>
        <v>Pend</v>
      </c>
      <c r="AR293" t="str">
        <f>IFERROR(VLOOKUP(D293,Manual!$C$1:$E$22,2,FALSE),"Pend")</f>
        <v>Pend</v>
      </c>
      <c r="AS293" t="str">
        <f t="shared" si="108"/>
        <v>Yes</v>
      </c>
      <c r="AT293" t="str">
        <f t="shared" si="109"/>
        <v>Yes</v>
      </c>
      <c r="AU293" s="51" t="str">
        <f t="shared" si="110"/>
        <v>Yes</v>
      </c>
      <c r="AV293" s="12">
        <f>IFERROR(VLOOKUP(D293,'Receivable Invoice Detail'!$S$1:$U$3014,3,FALSE),0)</f>
        <v>0</v>
      </c>
      <c r="AW293" s="12">
        <f t="shared" si="111"/>
        <v>878.63</v>
      </c>
    </row>
    <row r="294" spans="1:49" x14ac:dyDescent="0.25">
      <c r="A294" s="2">
        <v>2</v>
      </c>
      <c r="B294" s="2" t="s">
        <v>1810</v>
      </c>
      <c r="C294" s="2" t="s">
        <v>1811</v>
      </c>
      <c r="D294" s="2" t="s">
        <v>2534</v>
      </c>
      <c r="E294" s="2" t="s">
        <v>714</v>
      </c>
      <c r="F294" s="3">
        <v>45727.410300925927</v>
      </c>
      <c r="G294" s="3">
        <v>45727.418043981481</v>
      </c>
      <c r="H294" s="4">
        <v>45804</v>
      </c>
      <c r="I294" s="2" t="s">
        <v>21</v>
      </c>
      <c r="J294" s="2" t="s">
        <v>51</v>
      </c>
      <c r="K294" s="2">
        <v>0.69588843853535265</v>
      </c>
      <c r="L294" s="2">
        <v>4613.8861090402879</v>
      </c>
      <c r="M294" s="2">
        <v>0</v>
      </c>
      <c r="N294" s="2">
        <v>3210.75</v>
      </c>
      <c r="O294" s="2">
        <v>3210.75</v>
      </c>
      <c r="P294" s="2"/>
      <c r="Q294" s="2">
        <v>3210.75</v>
      </c>
      <c r="R294" s="2" t="s">
        <v>44</v>
      </c>
      <c r="S294" s="2"/>
      <c r="T294" s="2">
        <f t="shared" si="93"/>
        <v>2</v>
      </c>
      <c r="U294" s="18">
        <f t="shared" si="94"/>
        <v>3</v>
      </c>
      <c r="V294" s="18">
        <f t="shared" si="95"/>
        <v>2025</v>
      </c>
      <c r="W294" s="18">
        <f t="shared" si="96"/>
        <v>6</v>
      </c>
      <c r="X294" s="18">
        <f t="shared" si="97"/>
        <v>2025</v>
      </c>
      <c r="Y294" s="2">
        <f t="shared" si="90"/>
        <v>0.69588843853535265</v>
      </c>
      <c r="Z294" t="str">
        <f t="shared" si="91"/>
        <v>SO16746</v>
      </c>
      <c r="AA294" s="11">
        <f t="shared" si="98"/>
        <v>45727.410300925927</v>
      </c>
      <c r="AB294" s="5" t="str">
        <f t="shared" si="99"/>
        <v>INV13036</v>
      </c>
      <c r="AC294" s="5" t="str">
        <f>IFERROR(VLOOKUP(D294,CAARStatus!$A$2:$AA$1600,22,FALSE),"Not invoiced")</f>
        <v>Paid</v>
      </c>
      <c r="AD294" s="11">
        <f>IF(AC294="Paid",IFERROR(VLOOKUP(D294,CAARStatus!$A$2:$AA$1600,6,FALSE),"Pending"),"Pending")</f>
        <v>45821</v>
      </c>
      <c r="AE294" s="5" t="str">
        <f t="shared" si="100"/>
        <v>S306168</v>
      </c>
      <c r="AF294" s="5" t="str">
        <f t="shared" si="101"/>
        <v>Kumtor Gold Company</v>
      </c>
      <c r="AG294" s="5" t="str">
        <f t="shared" si="102"/>
        <v>USD</v>
      </c>
      <c r="AH294" s="5">
        <f t="shared" si="103"/>
        <v>4613.8861090402879</v>
      </c>
      <c r="AI294" s="12">
        <f>IF(L294-N294=0,VLOOKUP(U294,rate!A$4:B$15,2,FALSE)*AH294,IF(AG294="USD",O294,AH294*Y294))</f>
        <v>3210.75</v>
      </c>
      <c r="AJ294" s="13">
        <f t="shared" si="104"/>
        <v>0.69588843853535265</v>
      </c>
      <c r="AK294" s="13">
        <f>-IF(AG294="CAD",IFERROR(VLOOKUP(D294,CAARStatus!$A$1:$Y$1600,16,FALSE),0),0)</f>
        <v>0</v>
      </c>
      <c r="AL294" s="13">
        <f>-IF(AG294="USD",IFERROR(VLOOKUP(D294,CAARStatus!$A$1:$Y$1600,11,FALSE),0),0)</f>
        <v>-1497.88</v>
      </c>
      <c r="AM294" s="22" t="str">
        <f t="shared" si="105"/>
        <v/>
      </c>
      <c r="AN294" s="12">
        <f t="shared" si="106"/>
        <v>1712.87</v>
      </c>
      <c r="AO294" s="12" t="str">
        <f t="shared" si="107"/>
        <v>Yes</v>
      </c>
      <c r="AP294" t="str">
        <f t="shared" si="92"/>
        <v>XX</v>
      </c>
      <c r="AQ294" t="str">
        <f>IFERROR(VLOOKUP(Z294,InvBal!$L$4:$P$600,4,FALSE),"Pend")</f>
        <v>Yes</v>
      </c>
      <c r="AR294" t="str">
        <f>IFERROR(VLOOKUP(D294,Manual!$C$1:$E$22,2,FALSE),"Pend")</f>
        <v>Pend</v>
      </c>
      <c r="AS294" t="str">
        <f t="shared" si="108"/>
        <v>Yes</v>
      </c>
      <c r="AT294" t="str">
        <f t="shared" si="109"/>
        <v>Yes</v>
      </c>
      <c r="AU294" s="51" t="str">
        <f t="shared" si="110"/>
        <v>Yes</v>
      </c>
      <c r="AV294" s="12">
        <f>IFERROR(VLOOKUP(D294,'Receivable Invoice Detail'!$S$1:$U$3014,3,FALSE),0)</f>
        <v>0</v>
      </c>
      <c r="AW294" s="12">
        <f t="shared" si="111"/>
        <v>3210.75</v>
      </c>
    </row>
    <row r="295" spans="1:49" x14ac:dyDescent="0.25">
      <c r="A295" s="2"/>
      <c r="B295" s="2"/>
      <c r="C295" s="2"/>
      <c r="D295" s="2" t="s">
        <v>2533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>
        <f t="shared" si="93"/>
        <v>2</v>
      </c>
      <c r="U295" s="18">
        <f t="shared" si="94"/>
        <v>3</v>
      </c>
      <c r="V295" s="18">
        <f t="shared" si="95"/>
        <v>2025</v>
      </c>
      <c r="W295" s="18">
        <f t="shared" si="96"/>
        <v>4</v>
      </c>
      <c r="X295" s="18">
        <f t="shared" si="97"/>
        <v>2025</v>
      </c>
      <c r="Y295" s="2">
        <f t="shared" si="90"/>
        <v>0.69588843853535265</v>
      </c>
      <c r="Z295" t="str">
        <f t="shared" si="91"/>
        <v>SO16746</v>
      </c>
      <c r="AA295" s="11">
        <f t="shared" si="98"/>
        <v>45727.410300925927</v>
      </c>
      <c r="AB295" s="5" t="str">
        <f t="shared" si="99"/>
        <v>INV12748</v>
      </c>
      <c r="AC295" s="5" t="str">
        <f>IFERROR(VLOOKUP(D295,CAARStatus!$A$2:$AA$1600,22,FALSE),"Not invoiced")</f>
        <v>Paid</v>
      </c>
      <c r="AD295" s="11">
        <f>IF(AC295="Paid",IFERROR(VLOOKUP(D295,CAARStatus!$A$2:$AA$1600,6,FALSE),"Pending"),"Pending")</f>
        <v>45763</v>
      </c>
      <c r="AE295" s="5" t="str">
        <f t="shared" si="100"/>
        <v>S306168</v>
      </c>
      <c r="AF295" s="5" t="str">
        <f t="shared" si="101"/>
        <v>Kumtor Gold Company</v>
      </c>
      <c r="AG295" s="5" t="str">
        <f t="shared" si="102"/>
        <v>USD</v>
      </c>
      <c r="AH295" s="5">
        <f t="shared" si="103"/>
        <v>0</v>
      </c>
      <c r="AI295" s="12">
        <f>IF(L295-N295=0,VLOOKUP(U295,rate!A$4:B$15,2,FALSE)*AH295,IF(AG295="USD",O295,AH295*Y295))</f>
        <v>0</v>
      </c>
      <c r="AJ295" s="13">
        <f t="shared" si="104"/>
        <v>0</v>
      </c>
      <c r="AK295" s="13">
        <f>-IF(AG295="CAD",IFERROR(VLOOKUP(D295,CAARStatus!$A$1:$Y$1600,16,FALSE),0),0)</f>
        <v>0</v>
      </c>
      <c r="AL295" s="13">
        <f>-IF(AG295="USD",IFERROR(VLOOKUP(D295,CAARStatus!$A$1:$Y$1600,11,FALSE),0),0)</f>
        <v>-1712.87</v>
      </c>
      <c r="AM295" s="22" t="str">
        <f t="shared" si="105"/>
        <v/>
      </c>
      <c r="AN295" s="12">
        <f t="shared" si="106"/>
        <v>-1712.87</v>
      </c>
      <c r="AO295" s="12" t="str">
        <f t="shared" si="107"/>
        <v>Yes</v>
      </c>
      <c r="AP295" t="str">
        <f t="shared" si="92"/>
        <v>XX</v>
      </c>
      <c r="AQ295" t="str">
        <f>IFERROR(VLOOKUP(Z295,InvBal!$L$4:$P$600,4,FALSE),"Pend")</f>
        <v>Yes</v>
      </c>
      <c r="AR295" t="str">
        <f>IFERROR(VLOOKUP(D295,Manual!$C$1:$E$22,2,FALSE),"Pend")</f>
        <v>Pend</v>
      </c>
      <c r="AS295" t="str">
        <f t="shared" si="108"/>
        <v>Yes</v>
      </c>
      <c r="AT295" t="str">
        <f t="shared" si="109"/>
        <v/>
      </c>
      <c r="AU295" s="51" t="str">
        <f t="shared" si="110"/>
        <v/>
      </c>
      <c r="AV295" s="12">
        <f>IFERROR(VLOOKUP(D295,'Receivable Invoice Detail'!$S$1:$U$3014,3,FALSE),0)</f>
        <v>0</v>
      </c>
      <c r="AW295" s="12">
        <f t="shared" si="111"/>
        <v>0</v>
      </c>
    </row>
    <row r="296" spans="1:49" x14ac:dyDescent="0.25">
      <c r="A296" s="2">
        <v>1</v>
      </c>
      <c r="B296" s="2" t="s">
        <v>1808</v>
      </c>
      <c r="C296" s="2" t="s">
        <v>1809</v>
      </c>
      <c r="D296" s="2" t="s">
        <v>2535</v>
      </c>
      <c r="E296" s="2" t="s">
        <v>192</v>
      </c>
      <c r="F296" s="3">
        <v>45727.430879629632</v>
      </c>
      <c r="G296" s="3">
        <v>45727.432384259257</v>
      </c>
      <c r="H296" s="4">
        <v>45755</v>
      </c>
      <c r="I296" s="2" t="s">
        <v>21</v>
      </c>
      <c r="J296" s="2" t="s">
        <v>51</v>
      </c>
      <c r="K296" s="2">
        <v>0.69588843853535265</v>
      </c>
      <c r="L296" s="2">
        <v>12276.55113509404</v>
      </c>
      <c r="M296" s="2">
        <v>0</v>
      </c>
      <c r="N296" s="2">
        <v>8543.11</v>
      </c>
      <c r="O296" s="2">
        <v>8543.11</v>
      </c>
      <c r="P296" s="2"/>
      <c r="Q296" s="2">
        <v>8543.11</v>
      </c>
      <c r="R296" s="2" t="s">
        <v>44</v>
      </c>
      <c r="S296" s="2"/>
      <c r="T296" s="2">
        <f t="shared" si="93"/>
        <v>1</v>
      </c>
      <c r="U296" s="18">
        <f t="shared" si="94"/>
        <v>3</v>
      </c>
      <c r="V296" s="18">
        <f t="shared" si="95"/>
        <v>2025</v>
      </c>
      <c r="W296" s="18">
        <f t="shared" si="96"/>
        <v>8</v>
      </c>
      <c r="X296" s="18">
        <f t="shared" si="97"/>
        <v>2025</v>
      </c>
      <c r="Y296" s="2">
        <f t="shared" si="90"/>
        <v>0.69588843853535254</v>
      </c>
      <c r="Z296" t="str">
        <f t="shared" si="91"/>
        <v>SO16747</v>
      </c>
      <c r="AA296" s="11">
        <f t="shared" si="98"/>
        <v>45727.430879629632</v>
      </c>
      <c r="AB296" s="5" t="str">
        <f t="shared" si="99"/>
        <v>INV13095</v>
      </c>
      <c r="AC296" s="5" t="str">
        <f>IFERROR(VLOOKUP(D296,CAARStatus!$A$2:$AA$1600,22,FALSE),"Not invoiced")</f>
        <v>Paid</v>
      </c>
      <c r="AD296" s="11">
        <f>IF(AC296="Paid",IFERROR(VLOOKUP(D296,CAARStatus!$A$2:$AA$1600,6,FALSE),"Pending"),"Pending")</f>
        <v>45876</v>
      </c>
      <c r="AE296" s="5" t="str">
        <f t="shared" si="100"/>
        <v>PO-039348</v>
      </c>
      <c r="AF296" s="5" t="str">
        <f t="shared" si="101"/>
        <v>Southeast Pump Specialist, Inc.</v>
      </c>
      <c r="AG296" s="5" t="str">
        <f t="shared" si="102"/>
        <v>USD</v>
      </c>
      <c r="AH296" s="5">
        <f t="shared" si="103"/>
        <v>12276.551135094038</v>
      </c>
      <c r="AI296" s="12">
        <f>IF(L296-N296=0,VLOOKUP(U296,rate!A$4:B$15,2,FALSE)*AH296,IF(AG296="USD",O296,AH296*Y296))</f>
        <v>8543.11</v>
      </c>
      <c r="AJ296" s="13">
        <f t="shared" si="104"/>
        <v>0.69588843853535265</v>
      </c>
      <c r="AK296" s="13">
        <f>-IF(AG296="CAD",IFERROR(VLOOKUP(D296,CAARStatus!$A$1:$Y$1600,16,FALSE),0),0)</f>
        <v>0</v>
      </c>
      <c r="AL296" s="13">
        <f>-IF(AG296="USD",IFERROR(VLOOKUP(D296,CAARStatus!$A$1:$Y$1600,11,FALSE),0),0)</f>
        <v>-8543.11</v>
      </c>
      <c r="AM296" s="22" t="str">
        <f t="shared" si="105"/>
        <v/>
      </c>
      <c r="AN296" s="12">
        <f t="shared" si="106"/>
        <v>0</v>
      </c>
      <c r="AO296" s="12" t="str">
        <f t="shared" si="107"/>
        <v>Yes</v>
      </c>
      <c r="AP296" t="str">
        <f t="shared" si="92"/>
        <v>Yes</v>
      </c>
      <c r="AQ296" t="str">
        <f>IFERROR(VLOOKUP(Z296,InvBal!$L$4:$P$600,4,FALSE),"Pend")</f>
        <v>Pend</v>
      </c>
      <c r="AR296" t="str">
        <f>IFERROR(VLOOKUP(D296,Manual!$C$1:$E$22,2,FALSE),"Pend")</f>
        <v>Pend</v>
      </c>
      <c r="AS296" t="str">
        <f t="shared" si="108"/>
        <v>Yes</v>
      </c>
      <c r="AT296" t="str">
        <f t="shared" si="109"/>
        <v>Yes</v>
      </c>
      <c r="AU296" s="51" t="str">
        <f t="shared" si="110"/>
        <v>Yes</v>
      </c>
      <c r="AV296" s="12">
        <f>IFERROR(VLOOKUP(D296,'Receivable Invoice Detail'!$S$1:$U$3014,3,FALSE),0)</f>
        <v>575</v>
      </c>
      <c r="AW296" s="12">
        <f t="shared" si="111"/>
        <v>7968.1100000000006</v>
      </c>
    </row>
    <row r="297" spans="1:49" x14ac:dyDescent="0.25">
      <c r="A297" s="2">
        <v>1</v>
      </c>
      <c r="B297" s="2" t="s">
        <v>1779</v>
      </c>
      <c r="C297" s="2" t="s">
        <v>1780</v>
      </c>
      <c r="D297" s="2" t="s">
        <v>2552</v>
      </c>
      <c r="E297" s="2" t="s">
        <v>242</v>
      </c>
      <c r="F297" s="3">
        <v>45727.639722222222</v>
      </c>
      <c r="G297" s="3">
        <v>45730.348680555559</v>
      </c>
      <c r="H297" s="4">
        <v>45734</v>
      </c>
      <c r="I297" s="2" t="s">
        <v>21</v>
      </c>
      <c r="J297" s="2" t="s">
        <v>22</v>
      </c>
      <c r="K297" s="2">
        <v>1</v>
      </c>
      <c r="L297" s="2">
        <v>177.02</v>
      </c>
      <c r="M297" s="2">
        <v>0</v>
      </c>
      <c r="N297" s="2">
        <v>123.0944329097904</v>
      </c>
      <c r="O297" s="2">
        <v>168.59</v>
      </c>
      <c r="P297" s="2">
        <v>8.43</v>
      </c>
      <c r="Q297" s="2">
        <v>177.02</v>
      </c>
      <c r="R297" s="2" t="s">
        <v>44</v>
      </c>
      <c r="S297" s="2"/>
      <c r="T297" s="2">
        <f t="shared" si="93"/>
        <v>1</v>
      </c>
      <c r="U297" s="18">
        <f t="shared" si="94"/>
        <v>3</v>
      </c>
      <c r="V297" s="18">
        <f t="shared" si="95"/>
        <v>2025</v>
      </c>
      <c r="W297" s="18">
        <f t="shared" si="96"/>
        <v>4</v>
      </c>
      <c r="X297" s="18">
        <f t="shared" si="97"/>
        <v>2025</v>
      </c>
      <c r="Y297" s="2">
        <f t="shared" si="90"/>
        <v>0.69537020059761834</v>
      </c>
      <c r="Z297" t="str">
        <f t="shared" si="91"/>
        <v>SO16749</v>
      </c>
      <c r="AA297" s="11">
        <f t="shared" si="98"/>
        <v>45727.639722222222</v>
      </c>
      <c r="AB297" s="5" t="str">
        <f t="shared" si="99"/>
        <v>INV12732</v>
      </c>
      <c r="AC297" s="5" t="str">
        <f>IFERROR(VLOOKUP(D297,CAARStatus!$A$2:$AA$1600,22,FALSE),"Not invoiced")</f>
        <v>Paid</v>
      </c>
      <c r="AD297" s="11">
        <f>IF(AC297="Paid",IFERROR(VLOOKUP(D297,CAARStatus!$A$2:$AA$1600,6,FALSE),"Pending"),"Pending")</f>
        <v>45763</v>
      </c>
      <c r="AE297" s="5" t="str">
        <f t="shared" si="100"/>
        <v>2100531214</v>
      </c>
      <c r="AF297" s="5" t="str">
        <f t="shared" si="101"/>
        <v>Wajax Limited - Noranda</v>
      </c>
      <c r="AG297" s="5" t="str">
        <f t="shared" si="102"/>
        <v>CAD</v>
      </c>
      <c r="AH297" s="5">
        <f t="shared" si="103"/>
        <v>168.59</v>
      </c>
      <c r="AI297" s="12">
        <f>IF(L297-N297=0,VLOOKUP(U297,rate!A$4:B$15,2,FALSE)*AH297,IF(AG297="USD",O297,AH297*Y297))</f>
        <v>117.23246211875248</v>
      </c>
      <c r="AJ297" s="13">
        <f t="shared" si="104"/>
        <v>0.69537020059761834</v>
      </c>
      <c r="AK297" s="13">
        <f>-IF(AG297="CAD",IFERROR(VLOOKUP(D297,CAARStatus!$A$1:$Y$1600,16,FALSE),0),0)</f>
        <v>-168.59</v>
      </c>
      <c r="AL297" s="13">
        <f>-IF(AG297="USD",IFERROR(VLOOKUP(D297,CAARStatus!$A$1:$Y$1600,11,FALSE),0),0)</f>
        <v>0</v>
      </c>
      <c r="AM297" s="22">
        <f t="shared" si="105"/>
        <v>0</v>
      </c>
      <c r="AN297" s="12" t="str">
        <f t="shared" si="106"/>
        <v/>
      </c>
      <c r="AO297" s="12" t="str">
        <f t="shared" si="107"/>
        <v>Yes</v>
      </c>
      <c r="AP297" t="str">
        <f t="shared" si="92"/>
        <v>Yes</v>
      </c>
      <c r="AQ297" t="str">
        <f>IFERROR(VLOOKUP(Z297,InvBal!$L$4:$P$600,4,FALSE),"Pend")</f>
        <v>Pend</v>
      </c>
      <c r="AR297" t="str">
        <f>IFERROR(VLOOKUP(D297,Manual!$C$1:$E$22,2,FALSE),"Pend")</f>
        <v>Pend</v>
      </c>
      <c r="AS297" t="str">
        <f t="shared" si="108"/>
        <v>Yes</v>
      </c>
      <c r="AT297" t="str">
        <f t="shared" si="109"/>
        <v>Yes</v>
      </c>
      <c r="AU297" s="51" t="str">
        <f t="shared" si="110"/>
        <v>Yes</v>
      </c>
      <c r="AV297" s="12">
        <f>IFERROR(VLOOKUP(D297,'Receivable Invoice Detail'!$S$1:$U$3014,3,FALSE),0)</f>
        <v>0</v>
      </c>
      <c r="AW297" s="12">
        <f t="shared" si="111"/>
        <v>117.23246211875248</v>
      </c>
    </row>
    <row r="298" spans="1:49" x14ac:dyDescent="0.25">
      <c r="A298" s="2">
        <v>1</v>
      </c>
      <c r="B298" s="2" t="s">
        <v>1681</v>
      </c>
      <c r="C298" s="2" t="s">
        <v>1682</v>
      </c>
      <c r="D298" s="2" t="s">
        <v>2607</v>
      </c>
      <c r="E298" s="2" t="s">
        <v>61</v>
      </c>
      <c r="F298" s="3">
        <v>45727.644687499997</v>
      </c>
      <c r="G298" s="3">
        <v>45747.711782407408</v>
      </c>
      <c r="H298" s="4">
        <v>45748</v>
      </c>
      <c r="I298" s="2" t="s">
        <v>21</v>
      </c>
      <c r="J298" s="2" t="s">
        <v>51</v>
      </c>
      <c r="K298" s="2">
        <v>0.69828295020834585</v>
      </c>
      <c r="L298" s="2">
        <v>624.04502339629346</v>
      </c>
      <c r="M298" s="2">
        <v>0</v>
      </c>
      <c r="N298" s="2">
        <v>435.76</v>
      </c>
      <c r="O298" s="2">
        <v>435.76</v>
      </c>
      <c r="P298" s="2"/>
      <c r="Q298" s="2">
        <v>435.76</v>
      </c>
      <c r="R298" s="2" t="s">
        <v>44</v>
      </c>
      <c r="S298" s="2"/>
      <c r="T298" s="2">
        <f t="shared" si="93"/>
        <v>1</v>
      </c>
      <c r="U298" s="18">
        <f t="shared" si="94"/>
        <v>3</v>
      </c>
      <c r="V298" s="18">
        <f t="shared" si="95"/>
        <v>2025</v>
      </c>
      <c r="W298" s="18">
        <f t="shared" si="96"/>
        <v>5</v>
      </c>
      <c r="X298" s="18">
        <f t="shared" si="97"/>
        <v>2025</v>
      </c>
      <c r="Y298" s="2">
        <f t="shared" si="90"/>
        <v>0.69828295020834585</v>
      </c>
      <c r="Z298" t="str">
        <f t="shared" si="91"/>
        <v>SO16750</v>
      </c>
      <c r="AA298" s="11">
        <f t="shared" si="98"/>
        <v>45727.644687499997</v>
      </c>
      <c r="AB298" s="5" t="str">
        <f t="shared" si="99"/>
        <v>INV12808</v>
      </c>
      <c r="AC298" s="5" t="str">
        <f>IFERROR(VLOOKUP(D298,CAARStatus!$A$2:$AA$1600,22,FALSE),"Not invoiced")</f>
        <v>Paid</v>
      </c>
      <c r="AD298" s="11">
        <f>IF(AC298="Paid",IFERROR(VLOOKUP(D298,CAARStatus!$A$2:$AA$1600,6,FALSE),"Pending"),"Pending")</f>
        <v>45792</v>
      </c>
      <c r="AE298" s="5" t="str">
        <f t="shared" si="100"/>
        <v>PONV-25-0706</v>
      </c>
      <c r="AF298" s="5" t="str">
        <f t="shared" si="101"/>
        <v>Tech-Flow</v>
      </c>
      <c r="AG298" s="5" t="str">
        <f t="shared" si="102"/>
        <v>USD</v>
      </c>
      <c r="AH298" s="5">
        <f t="shared" si="103"/>
        <v>624.04502339629346</v>
      </c>
      <c r="AI298" s="12">
        <f>IF(L298-N298=0,VLOOKUP(U298,rate!A$4:B$15,2,FALSE)*AH298,IF(AG298="USD",O298,AH298*Y298))</f>
        <v>435.76</v>
      </c>
      <c r="AJ298" s="13">
        <f t="shared" si="104"/>
        <v>0.69828295020834585</v>
      </c>
      <c r="AK298" s="13">
        <f>-IF(AG298="CAD",IFERROR(VLOOKUP(D298,CAARStatus!$A$1:$Y$1600,16,FALSE),0),0)</f>
        <v>0</v>
      </c>
      <c r="AL298" s="13">
        <f>-IF(AG298="USD",IFERROR(VLOOKUP(D298,CAARStatus!$A$1:$Y$1600,11,FALSE),0),0)</f>
        <v>-435.76</v>
      </c>
      <c r="AM298" s="22" t="str">
        <f t="shared" si="105"/>
        <v/>
      </c>
      <c r="AN298" s="12">
        <f t="shared" si="106"/>
        <v>0</v>
      </c>
      <c r="AO298" s="12" t="str">
        <f t="shared" si="107"/>
        <v>Yes</v>
      </c>
      <c r="AP298" t="str">
        <f t="shared" si="92"/>
        <v>Yes</v>
      </c>
      <c r="AQ298" t="str">
        <f>IFERROR(VLOOKUP(Z298,InvBal!$L$4:$P$600,4,FALSE),"Pend")</f>
        <v>Pend</v>
      </c>
      <c r="AR298" t="str">
        <f>IFERROR(VLOOKUP(D298,Manual!$C$1:$E$22,2,FALSE),"Pend")</f>
        <v>Pend</v>
      </c>
      <c r="AS298" t="str">
        <f t="shared" si="108"/>
        <v>Yes</v>
      </c>
      <c r="AT298" t="str">
        <f t="shared" si="109"/>
        <v>Yes</v>
      </c>
      <c r="AU298" s="51" t="str">
        <f t="shared" si="110"/>
        <v>Yes</v>
      </c>
      <c r="AV298" s="12">
        <f>IFERROR(VLOOKUP(D298,'Receivable Invoice Detail'!$S$1:$U$3014,3,FALSE),0)</f>
        <v>0</v>
      </c>
      <c r="AW298" s="12">
        <f t="shared" si="111"/>
        <v>435.76</v>
      </c>
    </row>
    <row r="299" spans="1:49" x14ac:dyDescent="0.25">
      <c r="A299" s="2">
        <v>1</v>
      </c>
      <c r="B299" s="2" t="s">
        <v>1589</v>
      </c>
      <c r="C299" s="2" t="s">
        <v>1590</v>
      </c>
      <c r="D299" s="2" t="s">
        <v>2663</v>
      </c>
      <c r="E299" s="2" t="s">
        <v>198</v>
      </c>
      <c r="F299" s="3">
        <v>45727.650150462963</v>
      </c>
      <c r="G299" s="3">
        <v>45762.332650462973</v>
      </c>
      <c r="H299" s="4">
        <v>45873</v>
      </c>
      <c r="I299" s="2" t="s">
        <v>180</v>
      </c>
      <c r="J299" s="2" t="s">
        <v>51</v>
      </c>
      <c r="K299" s="2">
        <v>0.71974046347359422</v>
      </c>
      <c r="L299" s="2">
        <v>38671.550944448398</v>
      </c>
      <c r="M299" s="2">
        <v>0</v>
      </c>
      <c r="N299" s="2">
        <v>27833.48</v>
      </c>
      <c r="O299" s="2">
        <v>27833.48</v>
      </c>
      <c r="P299" s="2"/>
      <c r="Q299" s="2">
        <v>27833.48</v>
      </c>
      <c r="R299" s="2" t="s">
        <v>44</v>
      </c>
      <c r="S299" s="2"/>
      <c r="T299" s="2">
        <f t="shared" si="93"/>
        <v>1</v>
      </c>
      <c r="U299" s="18">
        <f t="shared" si="94"/>
        <v>3</v>
      </c>
      <c r="V299" s="18">
        <f t="shared" si="95"/>
        <v>2025</v>
      </c>
      <c r="W299" s="18">
        <f t="shared" si="96"/>
        <v>8</v>
      </c>
      <c r="X299" s="18">
        <f t="shared" si="97"/>
        <v>2025</v>
      </c>
      <c r="Y299" s="17">
        <f t="shared" si="90"/>
        <v>0.71974046347359422</v>
      </c>
      <c r="Z299" t="str">
        <f t="shared" si="91"/>
        <v>SO16751</v>
      </c>
      <c r="AA299" s="11">
        <f t="shared" si="98"/>
        <v>45727.650150462963</v>
      </c>
      <c r="AB299" s="5" t="str">
        <f t="shared" si="99"/>
        <v>INV13179</v>
      </c>
      <c r="AC299" s="5" t="str">
        <f>IFERROR(VLOOKUP(D299,CAARStatus!$A$2:$AA$1600,22,FALSE),"Not invoiced")</f>
        <v>Paid</v>
      </c>
      <c r="AD299" s="11">
        <f>IF(AC299="Paid",IFERROR(VLOOKUP(D299,CAARStatus!$A$2:$AA$1600,6,FALSE),"Pending"),"Pending")</f>
        <v>45887</v>
      </c>
      <c r="AE299" s="5" t="str">
        <f t="shared" si="100"/>
        <v>T161567DS</v>
      </c>
      <c r="AF299" s="5" t="str">
        <f t="shared" si="101"/>
        <v>Tencarva Machinery Company</v>
      </c>
      <c r="AG299" s="5" t="str">
        <f t="shared" si="102"/>
        <v>USD</v>
      </c>
      <c r="AH299" s="5">
        <f t="shared" si="103"/>
        <v>38671.550944448398</v>
      </c>
      <c r="AI299" s="12">
        <f>IF(L299-N299=0,VLOOKUP(U299,rate!A$4:B$15,2,FALSE)*AH299,IF(AG299="USD",O299,AH299*Y299))</f>
        <v>27833.48</v>
      </c>
      <c r="AJ299" s="13">
        <f t="shared" si="104"/>
        <v>0.71974046347359422</v>
      </c>
      <c r="AK299" s="13">
        <f>-IF(AG299="CAD",IFERROR(VLOOKUP(D299,CAARStatus!$A$1:$Y$1600,16,FALSE),0),0)</f>
        <v>0</v>
      </c>
      <c r="AL299" s="13">
        <f>-IF(AG299="USD",IFERROR(VLOOKUP(D299,CAARStatus!$A$1:$Y$1600,11,FALSE),0),0)</f>
        <v>-27833.48</v>
      </c>
      <c r="AM299" s="22" t="str">
        <f t="shared" si="105"/>
        <v/>
      </c>
      <c r="AN299" s="12">
        <f t="shared" si="106"/>
        <v>0</v>
      </c>
      <c r="AO299" s="12" t="str">
        <f t="shared" si="107"/>
        <v>Yes</v>
      </c>
      <c r="AP299" t="str">
        <f t="shared" si="92"/>
        <v>Yes</v>
      </c>
      <c r="AQ299" t="str">
        <f>IFERROR(VLOOKUP(Z299,InvBal!$L$4:$P$600,4,FALSE),"Pend")</f>
        <v>Pend</v>
      </c>
      <c r="AR299" t="str">
        <f>IFERROR(VLOOKUP(D299,Manual!$C$1:$E$22,2,FALSE),"Pend")</f>
        <v>Pend</v>
      </c>
      <c r="AS299" t="str">
        <f t="shared" si="108"/>
        <v>Yes</v>
      </c>
      <c r="AT299" t="str">
        <f t="shared" si="109"/>
        <v>Yes</v>
      </c>
      <c r="AU299" s="51" t="str">
        <f t="shared" si="110"/>
        <v>Yes</v>
      </c>
      <c r="AV299" s="12">
        <f>IFERROR(VLOOKUP(D299,'Receivable Invoice Detail'!$S$1:$U$3014,3,FALSE),0)</f>
        <v>1250</v>
      </c>
      <c r="AW299" s="12">
        <f t="shared" si="111"/>
        <v>26583.48</v>
      </c>
    </row>
    <row r="300" spans="1:49" x14ac:dyDescent="0.25">
      <c r="A300" s="2">
        <v>1</v>
      </c>
      <c r="B300" s="2" t="s">
        <v>1806</v>
      </c>
      <c r="C300" s="2" t="s">
        <v>1807</v>
      </c>
      <c r="D300" s="2" t="s">
        <v>2536</v>
      </c>
      <c r="E300" s="2" t="s">
        <v>465</v>
      </c>
      <c r="F300" s="3">
        <v>45727.66034722222</v>
      </c>
      <c r="G300" s="3">
        <v>45727.666666666657</v>
      </c>
      <c r="H300" s="4">
        <v>45728</v>
      </c>
      <c r="I300" s="2" t="s">
        <v>21</v>
      </c>
      <c r="J300" s="2" t="s">
        <v>22</v>
      </c>
      <c r="K300" s="2">
        <v>1</v>
      </c>
      <c r="L300" s="2">
        <v>1403.78</v>
      </c>
      <c r="M300" s="2">
        <v>0</v>
      </c>
      <c r="N300" s="2">
        <v>970.38866534488659</v>
      </c>
      <c r="O300" s="2">
        <v>1242.28</v>
      </c>
      <c r="P300" s="2">
        <v>161.5</v>
      </c>
      <c r="Q300" s="2">
        <v>1403.78</v>
      </c>
      <c r="R300" s="2" t="s">
        <v>44</v>
      </c>
      <c r="S300" s="2"/>
      <c r="T300" s="2">
        <f t="shared" si="93"/>
        <v>1</v>
      </c>
      <c r="U300" s="18">
        <f t="shared" si="94"/>
        <v>3</v>
      </c>
      <c r="V300" s="18">
        <f t="shared" si="95"/>
        <v>2025</v>
      </c>
      <c r="W300" s="18">
        <f t="shared" si="96"/>
        <v>5</v>
      </c>
      <c r="X300" s="18">
        <f t="shared" si="97"/>
        <v>2025</v>
      </c>
      <c r="Y300" s="2">
        <f t="shared" si="90"/>
        <v>0.69126833645221231</v>
      </c>
      <c r="Z300" t="str">
        <f t="shared" si="91"/>
        <v>SO16752</v>
      </c>
      <c r="AA300" s="11">
        <f t="shared" si="98"/>
        <v>45727.66034722222</v>
      </c>
      <c r="AB300" s="5" t="str">
        <f t="shared" si="99"/>
        <v>INV12726</v>
      </c>
      <c r="AC300" s="5" t="str">
        <f>IFERROR(VLOOKUP(D300,CAARStatus!$A$2:$AA$1600,22,FALSE),"Not invoiced")</f>
        <v>Paid</v>
      </c>
      <c r="AD300" s="11">
        <f>IF(AC300="Paid",IFERROR(VLOOKUP(D300,CAARStatus!$A$2:$AA$1600,6,FALSE),"Pending"),"Pending")</f>
        <v>45778</v>
      </c>
      <c r="AE300" s="5" t="str">
        <f t="shared" si="100"/>
        <v>M-083615</v>
      </c>
      <c r="AF300" s="5" t="str">
        <f t="shared" si="101"/>
        <v>Grant Aggregate</v>
      </c>
      <c r="AG300" s="5" t="str">
        <f t="shared" si="102"/>
        <v>CAD</v>
      </c>
      <c r="AH300" s="5">
        <f t="shared" si="103"/>
        <v>1242.28</v>
      </c>
      <c r="AI300" s="12">
        <f>IF(L300-N300=0,VLOOKUP(U300,rate!A$4:B$15,2,FALSE)*AH300,IF(AG300="USD",O300,AH300*Y300))</f>
        <v>858.74882900785428</v>
      </c>
      <c r="AJ300" s="13">
        <f t="shared" si="104"/>
        <v>0.69126833645221231</v>
      </c>
      <c r="AK300" s="13">
        <f>-IF(AG300="CAD",IFERROR(VLOOKUP(D300,CAARStatus!$A$1:$Y$1600,16,FALSE),0),0)</f>
        <v>-1242.28</v>
      </c>
      <c r="AL300" s="13">
        <f>-IF(AG300="USD",IFERROR(VLOOKUP(D300,CAARStatus!$A$1:$Y$1600,11,FALSE),0),0)</f>
        <v>0</v>
      </c>
      <c r="AM300" s="22">
        <f t="shared" si="105"/>
        <v>0</v>
      </c>
      <c r="AN300" s="12" t="str">
        <f t="shared" si="106"/>
        <v/>
      </c>
      <c r="AO300" s="12" t="str">
        <f t="shared" si="107"/>
        <v>Yes</v>
      </c>
      <c r="AP300" t="str">
        <f t="shared" si="92"/>
        <v>Yes</v>
      </c>
      <c r="AQ300" t="str">
        <f>IFERROR(VLOOKUP(Z300,InvBal!$L$4:$P$600,4,FALSE),"Pend")</f>
        <v>Pend</v>
      </c>
      <c r="AR300" t="str">
        <f>IFERROR(VLOOKUP(D300,Manual!$C$1:$E$22,2,FALSE),"Pend")</f>
        <v>Pend</v>
      </c>
      <c r="AS300" t="str">
        <f t="shared" si="108"/>
        <v>Yes</v>
      </c>
      <c r="AT300" t="str">
        <f t="shared" si="109"/>
        <v>Yes</v>
      </c>
      <c r="AU300" s="51" t="str">
        <f t="shared" si="110"/>
        <v>Yes</v>
      </c>
      <c r="AV300" s="12">
        <f>IFERROR(VLOOKUP(D300,'Receivable Invoice Detail'!$S$1:$U$3014,3,FALSE),0)</f>
        <v>0</v>
      </c>
      <c r="AW300" s="12">
        <f t="shared" si="111"/>
        <v>858.74882900785428</v>
      </c>
    </row>
    <row r="301" spans="1:49" x14ac:dyDescent="0.25">
      <c r="A301" s="2">
        <v>1</v>
      </c>
      <c r="B301" s="2" t="s">
        <v>1802</v>
      </c>
      <c r="C301" s="2" t="s">
        <v>1803</v>
      </c>
      <c r="D301" s="2" t="s">
        <v>2540</v>
      </c>
      <c r="E301" s="2" t="s">
        <v>644</v>
      </c>
      <c r="F301" s="3">
        <v>45727.689780092587</v>
      </c>
      <c r="G301" s="3">
        <v>45727.690578703703</v>
      </c>
      <c r="H301" s="4">
        <v>45755</v>
      </c>
      <c r="I301" s="2" t="s">
        <v>21</v>
      </c>
      <c r="J301" s="2" t="s">
        <v>51</v>
      </c>
      <c r="K301" s="2">
        <v>0.69588843853535265</v>
      </c>
      <c r="L301" s="2">
        <v>1877.499219199379</v>
      </c>
      <c r="M301" s="2">
        <v>0</v>
      </c>
      <c r="N301" s="2">
        <v>1306.53</v>
      </c>
      <c r="O301" s="2">
        <v>1306.53</v>
      </c>
      <c r="P301" s="2"/>
      <c r="Q301" s="2">
        <v>1306.53</v>
      </c>
      <c r="R301" s="2" t="s">
        <v>44</v>
      </c>
      <c r="S301" s="2"/>
      <c r="T301" s="2">
        <f t="shared" si="93"/>
        <v>1</v>
      </c>
      <c r="U301" s="18">
        <f t="shared" si="94"/>
        <v>3</v>
      </c>
      <c r="V301" s="18">
        <f t="shared" si="95"/>
        <v>2025</v>
      </c>
      <c r="W301" s="18">
        <f t="shared" si="96"/>
        <v>5</v>
      </c>
      <c r="X301" s="18">
        <f t="shared" si="97"/>
        <v>2025</v>
      </c>
      <c r="Y301" s="2">
        <f t="shared" si="90"/>
        <v>0.69588843853535287</v>
      </c>
      <c r="Z301" t="str">
        <f t="shared" si="91"/>
        <v>SO16753</v>
      </c>
      <c r="AA301" s="11">
        <f t="shared" si="98"/>
        <v>45727.689780092587</v>
      </c>
      <c r="AB301" s="5" t="str">
        <f t="shared" si="99"/>
        <v>INV12854</v>
      </c>
      <c r="AC301" s="5" t="str">
        <f>IFERROR(VLOOKUP(D301,CAARStatus!$A$2:$AA$1600,22,FALSE),"Not invoiced")</f>
        <v>Paid</v>
      </c>
      <c r="AD301" s="11">
        <f>IF(AC301="Paid",IFERROR(VLOOKUP(D301,CAARStatus!$A$2:$AA$1600,6,FALSE),"Pending"),"Pending")</f>
        <v>45792</v>
      </c>
      <c r="AE301" s="5" t="str">
        <f t="shared" si="100"/>
        <v>P-31125</v>
      </c>
      <c r="AF301" s="5" t="str">
        <f t="shared" si="101"/>
        <v>Cartledge &amp; Associates Inc.</v>
      </c>
      <c r="AG301" s="5" t="str">
        <f t="shared" si="102"/>
        <v>USD</v>
      </c>
      <c r="AH301" s="5">
        <f t="shared" si="103"/>
        <v>1877.4992191993795</v>
      </c>
      <c r="AI301" s="12">
        <f>IF(L301-N301=0,VLOOKUP(U301,rate!A$4:B$15,2,FALSE)*AH301,IF(AG301="USD",O301,AH301*Y301))</f>
        <v>1306.53</v>
      </c>
      <c r="AJ301" s="13">
        <f t="shared" si="104"/>
        <v>0.69588843853535265</v>
      </c>
      <c r="AK301" s="13">
        <f>-IF(AG301="CAD",IFERROR(VLOOKUP(D301,CAARStatus!$A$1:$Y$1600,16,FALSE),0),0)</f>
        <v>0</v>
      </c>
      <c r="AL301" s="13">
        <f>-IF(AG301="USD",IFERROR(VLOOKUP(D301,CAARStatus!$A$1:$Y$1600,11,FALSE),0),0)</f>
        <v>-1306.53</v>
      </c>
      <c r="AM301" s="22" t="str">
        <f t="shared" si="105"/>
        <v/>
      </c>
      <c r="AN301" s="12">
        <f t="shared" si="106"/>
        <v>0</v>
      </c>
      <c r="AO301" s="12" t="str">
        <f t="shared" si="107"/>
        <v>Yes</v>
      </c>
      <c r="AP301" t="str">
        <f t="shared" si="92"/>
        <v>Yes</v>
      </c>
      <c r="AQ301" t="str">
        <f>IFERROR(VLOOKUP(Z301,InvBal!$L$4:$P$600,4,FALSE),"Pend")</f>
        <v>Pend</v>
      </c>
      <c r="AR301" t="str">
        <f>IFERROR(VLOOKUP(D301,Manual!$C$1:$E$22,2,FALSE),"Pend")</f>
        <v>Pend</v>
      </c>
      <c r="AS301" t="str">
        <f t="shared" si="108"/>
        <v>Yes</v>
      </c>
      <c r="AT301" t="str">
        <f t="shared" si="109"/>
        <v>Yes</v>
      </c>
      <c r="AU301" s="51" t="str">
        <f t="shared" si="110"/>
        <v>Yes</v>
      </c>
      <c r="AV301" s="12">
        <f>IFERROR(VLOOKUP(D301,'Receivable Invoice Detail'!$S$1:$U$3014,3,FALSE),0)</f>
        <v>0</v>
      </c>
      <c r="AW301" s="12">
        <f t="shared" si="111"/>
        <v>1306.53</v>
      </c>
    </row>
    <row r="302" spans="1:49" ht="30" x14ac:dyDescent="0.25">
      <c r="A302" s="2">
        <v>1</v>
      </c>
      <c r="B302" s="2" t="s">
        <v>1769</v>
      </c>
      <c r="C302" s="2" t="s">
        <v>1770</v>
      </c>
      <c r="D302" s="2" t="s">
        <v>2556</v>
      </c>
      <c r="E302" s="2" t="s">
        <v>20</v>
      </c>
      <c r="F302" s="3">
        <v>45728.351539351846</v>
      </c>
      <c r="G302" s="3">
        <v>45733.336377314823</v>
      </c>
      <c r="H302" s="4">
        <v>45734</v>
      </c>
      <c r="I302" s="2" t="s">
        <v>21</v>
      </c>
      <c r="J302" s="2" t="s">
        <v>22</v>
      </c>
      <c r="K302" s="2">
        <v>1</v>
      </c>
      <c r="L302" s="2">
        <v>549.58000000000004</v>
      </c>
      <c r="M302" s="2">
        <v>549.58000000000004</v>
      </c>
      <c r="N302" s="2">
        <v>549.58000000000004</v>
      </c>
      <c r="O302" s="2">
        <v>523.41</v>
      </c>
      <c r="P302" s="2">
        <v>26.17</v>
      </c>
      <c r="Q302" s="2">
        <v>549.58000000000004</v>
      </c>
      <c r="R302" s="2" t="s">
        <v>44</v>
      </c>
      <c r="S302" s="2"/>
      <c r="T302" s="2">
        <f t="shared" si="93"/>
        <v>1</v>
      </c>
      <c r="U302" s="18">
        <f t="shared" si="94"/>
        <v>3</v>
      </c>
      <c r="V302" s="18">
        <f t="shared" si="95"/>
        <v>2025</v>
      </c>
      <c r="W302" s="18">
        <f t="shared" si="96"/>
        <v>5</v>
      </c>
      <c r="X302" s="18">
        <f t="shared" si="97"/>
        <v>2025</v>
      </c>
      <c r="Y302" s="2">
        <f t="shared" si="90"/>
        <v>1</v>
      </c>
      <c r="Z302" t="str">
        <f t="shared" si="91"/>
        <v>SO16754</v>
      </c>
      <c r="AA302" s="11">
        <f t="shared" si="98"/>
        <v>45728.351539351846</v>
      </c>
      <c r="AB302" s="5" t="str">
        <f t="shared" si="99"/>
        <v>INV12753</v>
      </c>
      <c r="AC302" s="5" t="str">
        <f>IFERROR(VLOOKUP(D302,CAARStatus!$A$2:$AA$1600,22,FALSE),"Not invoiced")</f>
        <v>Paid</v>
      </c>
      <c r="AD302" s="11">
        <f>IF(AC302="Paid",IFERROR(VLOOKUP(D302,CAARStatus!$A$2:$AA$1600,6,FALSE),"Pending"),"Pending")</f>
        <v>45793</v>
      </c>
      <c r="AE302" s="5" t="str">
        <f t="shared" si="100"/>
        <v>4500585797</v>
      </c>
      <c r="AF302" s="5" t="str">
        <f t="shared" si="101"/>
        <v>Resolute Forest Products - Saint-Felicien</v>
      </c>
      <c r="AG302" s="5" t="str">
        <f t="shared" si="102"/>
        <v>CAD</v>
      </c>
      <c r="AH302" s="5">
        <f t="shared" si="103"/>
        <v>523.41</v>
      </c>
      <c r="AI302" s="12">
        <f>IF(L302-N302=0,VLOOKUP(U302,rate!A$4:B$15,2,FALSE)*AH302,IF(AG302="USD",O302,AH302*Y302))</f>
        <v>366.39639008639642</v>
      </c>
      <c r="AJ302" s="13">
        <f t="shared" si="104"/>
        <v>0.70001794021206409</v>
      </c>
      <c r="AK302" s="13">
        <f>-IF(AG302="CAD",IFERROR(VLOOKUP(D302,CAARStatus!$A$1:$Y$1600,16,FALSE),0),0)</f>
        <v>-523.41</v>
      </c>
      <c r="AL302" s="13">
        <f>-IF(AG302="USD",IFERROR(VLOOKUP(D302,CAARStatus!$A$1:$Y$1600,11,FALSE),0),0)</f>
        <v>0</v>
      </c>
      <c r="AM302" s="22">
        <f t="shared" si="105"/>
        <v>0</v>
      </c>
      <c r="AN302" s="12" t="str">
        <f t="shared" si="106"/>
        <v/>
      </c>
      <c r="AO302" s="12" t="str">
        <f t="shared" si="107"/>
        <v>Yes</v>
      </c>
      <c r="AP302" t="str">
        <f t="shared" si="92"/>
        <v>Yes</v>
      </c>
      <c r="AQ302" t="str">
        <f>IFERROR(VLOOKUP(Z302,InvBal!$L$4:$P$600,4,FALSE),"Pend")</f>
        <v>Pend</v>
      </c>
      <c r="AR302" t="str">
        <f>IFERROR(VLOOKUP(D302,Manual!$C$1:$E$22,2,FALSE),"Pend")</f>
        <v>Pend</v>
      </c>
      <c r="AS302" t="str">
        <f t="shared" si="108"/>
        <v>Yes</v>
      </c>
      <c r="AT302" t="str">
        <f t="shared" si="109"/>
        <v>Yes</v>
      </c>
      <c r="AU302" s="51" t="str">
        <f t="shared" si="110"/>
        <v>Yes</v>
      </c>
      <c r="AV302" s="12">
        <f>IFERROR(VLOOKUP(D302,'Receivable Invoice Detail'!$S$1:$U$3014,3,FALSE),0)</f>
        <v>0</v>
      </c>
      <c r="AW302" s="12">
        <f t="shared" si="111"/>
        <v>366.39639008639642</v>
      </c>
    </row>
    <row r="303" spans="1:49" ht="30" x14ac:dyDescent="0.25">
      <c r="A303" s="2">
        <v>1</v>
      </c>
      <c r="B303" s="2" t="s">
        <v>1800</v>
      </c>
      <c r="C303" s="2" t="s">
        <v>1801</v>
      </c>
      <c r="D303" s="2" t="s">
        <v>2541</v>
      </c>
      <c r="E303" s="2" t="s">
        <v>20</v>
      </c>
      <c r="F303" s="3">
        <v>45728.370798611111</v>
      </c>
      <c r="G303" s="3">
        <v>45728.371331018519</v>
      </c>
      <c r="H303" s="4">
        <v>45729</v>
      </c>
      <c r="I303" s="2" t="s">
        <v>21</v>
      </c>
      <c r="J303" s="2" t="s">
        <v>22</v>
      </c>
      <c r="K303" s="2">
        <v>1</v>
      </c>
      <c r="L303" s="2">
        <v>316.85000000000002</v>
      </c>
      <c r="M303" s="2">
        <v>0</v>
      </c>
      <c r="N303" s="2">
        <v>220.0356252415331</v>
      </c>
      <c r="O303" s="2">
        <v>301.76</v>
      </c>
      <c r="P303" s="2">
        <v>15.09</v>
      </c>
      <c r="Q303" s="2">
        <v>316.85000000000002</v>
      </c>
      <c r="R303" s="2" t="s">
        <v>44</v>
      </c>
      <c r="S303" s="2"/>
      <c r="T303" s="2">
        <f t="shared" si="93"/>
        <v>1</v>
      </c>
      <c r="U303" s="18">
        <f t="shared" si="94"/>
        <v>3</v>
      </c>
      <c r="V303" s="18">
        <f t="shared" si="95"/>
        <v>2025</v>
      </c>
      <c r="W303" s="18">
        <f t="shared" si="96"/>
        <v>5</v>
      </c>
      <c r="X303" s="18">
        <f t="shared" si="97"/>
        <v>2025</v>
      </c>
      <c r="Y303" s="17">
        <f t="shared" si="90"/>
        <v>0.69444729443437925</v>
      </c>
      <c r="Z303" t="str">
        <f t="shared" si="91"/>
        <v>SO16755</v>
      </c>
      <c r="AA303" s="11">
        <f t="shared" si="98"/>
        <v>45728.370798611111</v>
      </c>
      <c r="AB303" s="5" t="str">
        <f t="shared" si="99"/>
        <v>INV12729</v>
      </c>
      <c r="AC303" s="5" t="str">
        <f>IFERROR(VLOOKUP(D303,CAARStatus!$A$2:$AA$1600,22,FALSE),"Not invoiced")</f>
        <v>Paid</v>
      </c>
      <c r="AD303" s="11">
        <f>IF(AC303="Paid",IFERROR(VLOOKUP(D303,CAARStatus!$A$2:$AA$1600,6,FALSE),"Pending"),"Pending")</f>
        <v>45789</v>
      </c>
      <c r="AE303" s="5" t="str">
        <f t="shared" si="100"/>
        <v>4500585840</v>
      </c>
      <c r="AF303" s="5" t="str">
        <f t="shared" si="101"/>
        <v>Resolute Forest Products - Saint-Felicien</v>
      </c>
      <c r="AG303" s="5" t="str">
        <f t="shared" si="102"/>
        <v>CAD</v>
      </c>
      <c r="AH303" s="5">
        <f t="shared" si="103"/>
        <v>301.76</v>
      </c>
      <c r="AI303" s="12">
        <f>IF(L303-N303=0,VLOOKUP(U303,rate!A$4:B$15,2,FALSE)*AH303,IF(AG303="USD",O303,AH303*Y303))</f>
        <v>209.55641556851828</v>
      </c>
      <c r="AJ303" s="13">
        <f t="shared" si="104"/>
        <v>0.69444729443437925</v>
      </c>
      <c r="AK303" s="13">
        <f>-IF(AG303="CAD",IFERROR(VLOOKUP(D303,CAARStatus!$A$1:$Y$1600,16,FALSE),0),0)</f>
        <v>-301.76</v>
      </c>
      <c r="AL303" s="13">
        <f>-IF(AG303="USD",IFERROR(VLOOKUP(D303,CAARStatus!$A$1:$Y$1600,11,FALSE),0),0)</f>
        <v>0</v>
      </c>
      <c r="AM303" s="22">
        <f t="shared" si="105"/>
        <v>0</v>
      </c>
      <c r="AN303" s="12" t="str">
        <f t="shared" si="106"/>
        <v/>
      </c>
      <c r="AO303" s="12" t="str">
        <f t="shared" si="107"/>
        <v>Yes</v>
      </c>
      <c r="AP303" t="str">
        <f t="shared" si="92"/>
        <v>Yes</v>
      </c>
      <c r="AQ303" t="str">
        <f>IFERROR(VLOOKUP(Z303,InvBal!$L$4:$P$600,4,FALSE),"Pend")</f>
        <v>Pend</v>
      </c>
      <c r="AR303" t="str">
        <f>IFERROR(VLOOKUP(D303,Manual!$C$1:$E$22,2,FALSE),"Pend")</f>
        <v>Pend</v>
      </c>
      <c r="AS303" t="str">
        <f t="shared" si="108"/>
        <v>Yes</v>
      </c>
      <c r="AT303" t="str">
        <f t="shared" si="109"/>
        <v>Yes</v>
      </c>
      <c r="AU303" s="51" t="str">
        <f t="shared" si="110"/>
        <v>Yes</v>
      </c>
      <c r="AV303" s="12">
        <f>IFERROR(VLOOKUP(D303,'Receivable Invoice Detail'!$S$1:$U$3014,3,FALSE),0)</f>
        <v>0</v>
      </c>
      <c r="AW303" s="12">
        <f t="shared" si="111"/>
        <v>209.55641556851828</v>
      </c>
    </row>
    <row r="304" spans="1:49" ht="30" x14ac:dyDescent="0.25">
      <c r="A304" s="2">
        <v>1</v>
      </c>
      <c r="B304" s="2" t="s">
        <v>1783</v>
      </c>
      <c r="C304" s="2" t="s">
        <v>1784</v>
      </c>
      <c r="D304" s="2" t="s">
        <v>2549</v>
      </c>
      <c r="E304" s="2" t="s">
        <v>98</v>
      </c>
      <c r="F304" s="3">
        <v>45728.377303240741</v>
      </c>
      <c r="G304" s="3">
        <v>45729.443784722222</v>
      </c>
      <c r="H304" s="4">
        <v>45757</v>
      </c>
      <c r="I304" s="2" t="s">
        <v>21</v>
      </c>
      <c r="J304" s="2" t="s">
        <v>22</v>
      </c>
      <c r="K304" s="2">
        <v>1</v>
      </c>
      <c r="L304" s="2">
        <v>3183.04</v>
      </c>
      <c r="M304" s="2">
        <v>0</v>
      </c>
      <c r="N304" s="2">
        <v>2210.6950043672532</v>
      </c>
      <c r="O304" s="2">
        <v>2816.85</v>
      </c>
      <c r="P304" s="2">
        <v>366.19</v>
      </c>
      <c r="Q304" s="2">
        <v>3183.04</v>
      </c>
      <c r="R304" s="2" t="s">
        <v>44</v>
      </c>
      <c r="S304" s="2"/>
      <c r="T304" s="2">
        <f t="shared" si="93"/>
        <v>1</v>
      </c>
      <c r="U304" s="18">
        <f t="shared" si="94"/>
        <v>3</v>
      </c>
      <c r="V304" s="18">
        <f t="shared" si="95"/>
        <v>2025</v>
      </c>
      <c r="W304" s="18">
        <f t="shared" si="96"/>
        <v>4</v>
      </c>
      <c r="X304" s="18">
        <f t="shared" si="97"/>
        <v>2025</v>
      </c>
      <c r="Y304" s="17">
        <f t="shared" si="90"/>
        <v>0.69452316162135985</v>
      </c>
      <c r="Z304" t="str">
        <f t="shared" si="91"/>
        <v>SO16756</v>
      </c>
      <c r="AA304" s="11">
        <f t="shared" si="98"/>
        <v>45728.377303240741</v>
      </c>
      <c r="AB304" s="5" t="str">
        <f t="shared" si="99"/>
        <v>INV12796</v>
      </c>
      <c r="AC304" s="5" t="str">
        <f>IFERROR(VLOOKUP(D304,CAARStatus!$A$2:$AA$1600,22,FALSE),"Not invoiced")</f>
        <v>Paid</v>
      </c>
      <c r="AD304" s="11">
        <f>IF(AC304="Paid",IFERROR(VLOOKUP(D304,CAARStatus!$A$2:$AA$1600,6,FALSE),"Pending"),"Pending")</f>
        <v>45777</v>
      </c>
      <c r="AE304" s="5" t="str">
        <f t="shared" si="100"/>
        <v>PO-007824</v>
      </c>
      <c r="AF304" s="5" t="str">
        <f t="shared" si="101"/>
        <v>Sling-Choker Manufacturing - Timmins</v>
      </c>
      <c r="AG304" s="5" t="str">
        <f t="shared" si="102"/>
        <v>CAD</v>
      </c>
      <c r="AH304" s="5">
        <f t="shared" si="103"/>
        <v>2816.85</v>
      </c>
      <c r="AI304" s="12">
        <f>IF(L304-N304=0,VLOOKUP(U304,rate!A$4:B$15,2,FALSE)*AH304,IF(AG304="USD",O304,AH304*Y304))</f>
        <v>1956.3675678131274</v>
      </c>
      <c r="AJ304" s="13">
        <f t="shared" si="104"/>
        <v>0.69452316162135985</v>
      </c>
      <c r="AK304" s="13">
        <f>-IF(AG304="CAD",IFERROR(VLOOKUP(D304,CAARStatus!$A$1:$Y$1600,16,FALSE),0),0)</f>
        <v>-2816.85</v>
      </c>
      <c r="AL304" s="13">
        <f>-IF(AG304="USD",IFERROR(VLOOKUP(D304,CAARStatus!$A$1:$Y$1600,11,FALSE),0),0)</f>
        <v>0</v>
      </c>
      <c r="AM304" s="22">
        <f t="shared" si="105"/>
        <v>0</v>
      </c>
      <c r="AN304" s="12" t="str">
        <f t="shared" si="106"/>
        <v/>
      </c>
      <c r="AO304" s="12" t="str">
        <f t="shared" si="107"/>
        <v>Yes</v>
      </c>
      <c r="AP304" t="str">
        <f t="shared" si="92"/>
        <v>Yes</v>
      </c>
      <c r="AQ304" t="str">
        <f>IFERROR(VLOOKUP(Z304,InvBal!$L$4:$P$600,4,FALSE),"Pend")</f>
        <v>Pend</v>
      </c>
      <c r="AR304" t="str">
        <f>IFERROR(VLOOKUP(D304,Manual!$C$1:$E$22,2,FALSE),"Pend")</f>
        <v>Pend</v>
      </c>
      <c r="AS304" t="str">
        <f t="shared" si="108"/>
        <v>Yes</v>
      </c>
      <c r="AT304" t="str">
        <f t="shared" si="109"/>
        <v>Yes</v>
      </c>
      <c r="AU304" s="51" t="str">
        <f t="shared" si="110"/>
        <v>Yes</v>
      </c>
      <c r="AV304" s="12">
        <f>IFERROR(VLOOKUP(D304,'Receivable Invoice Detail'!$S$1:$U$3014,3,FALSE),0)</f>
        <v>0</v>
      </c>
      <c r="AW304" s="12">
        <f t="shared" si="111"/>
        <v>1956.3675678131274</v>
      </c>
    </row>
    <row r="305" spans="1:49" ht="30" x14ac:dyDescent="0.25">
      <c r="A305" s="2">
        <v>1</v>
      </c>
      <c r="B305" s="2" t="s">
        <v>1798</v>
      </c>
      <c r="C305" s="2" t="s">
        <v>1799</v>
      </c>
      <c r="D305" s="2" t="s">
        <v>2542</v>
      </c>
      <c r="E305" s="2" t="s">
        <v>121</v>
      </c>
      <c r="F305" s="3">
        <v>45728.398043981477</v>
      </c>
      <c r="G305" s="3">
        <v>45728.408518518518</v>
      </c>
      <c r="H305" s="4">
        <v>45733</v>
      </c>
      <c r="I305" s="2" t="s">
        <v>21</v>
      </c>
      <c r="J305" s="2" t="s">
        <v>22</v>
      </c>
      <c r="K305" s="2">
        <v>1</v>
      </c>
      <c r="L305" s="2">
        <v>1840.09</v>
      </c>
      <c r="M305" s="2">
        <v>0</v>
      </c>
      <c r="N305" s="2">
        <v>1277.8455220157571</v>
      </c>
      <c r="O305" s="2">
        <v>1752.46</v>
      </c>
      <c r="P305" s="2">
        <v>87.63</v>
      </c>
      <c r="Q305" s="2">
        <v>1840.09</v>
      </c>
      <c r="R305" s="2" t="s">
        <v>44</v>
      </c>
      <c r="S305" s="2"/>
      <c r="T305" s="2">
        <f t="shared" si="93"/>
        <v>1</v>
      </c>
      <c r="U305" s="18">
        <f t="shared" si="94"/>
        <v>3</v>
      </c>
      <c r="V305" s="18">
        <f t="shared" si="95"/>
        <v>2025</v>
      </c>
      <c r="W305" s="18">
        <f t="shared" si="96"/>
        <v>4</v>
      </c>
      <c r="X305" s="18">
        <f t="shared" si="97"/>
        <v>2025</v>
      </c>
      <c r="Y305" s="2">
        <f t="shared" si="90"/>
        <v>0.69444729443437936</v>
      </c>
      <c r="Z305" t="str">
        <f t="shared" si="91"/>
        <v>SO16757</v>
      </c>
      <c r="AA305" s="11">
        <f t="shared" si="98"/>
        <v>45728.398043981477</v>
      </c>
      <c r="AB305" s="5" t="str">
        <f t="shared" si="99"/>
        <v>INV12740</v>
      </c>
      <c r="AC305" s="5" t="str">
        <f>IFERROR(VLOOKUP(D305,CAARStatus!$A$2:$AA$1600,22,FALSE),"Not invoiced")</f>
        <v>Paid</v>
      </c>
      <c r="AD305" s="11">
        <f>IF(AC305="Paid",IFERROR(VLOOKUP(D305,CAARStatus!$A$2:$AA$1600,6,FALSE),"Pending"),"Pending")</f>
        <v>45772</v>
      </c>
      <c r="AE305" s="5" t="str">
        <f t="shared" si="100"/>
        <v>4500566265</v>
      </c>
      <c r="AF305" s="5" t="str">
        <f t="shared" si="101"/>
        <v>Glencore Canada Corporation - Rouyn-Noranda</v>
      </c>
      <c r="AG305" s="5" t="str">
        <f t="shared" si="102"/>
        <v>CAD</v>
      </c>
      <c r="AH305" s="5">
        <f t="shared" si="103"/>
        <v>1752.46</v>
      </c>
      <c r="AI305" s="12">
        <f>IF(L305-N305=0,VLOOKUP(U305,rate!A$4:B$15,2,FALSE)*AH305,IF(AG305="USD",O305,AH305*Y305))</f>
        <v>1216.9911056044725</v>
      </c>
      <c r="AJ305" s="13">
        <f t="shared" si="104"/>
        <v>0.69444729443437936</v>
      </c>
      <c r="AK305" s="13">
        <f>-IF(AG305="CAD",IFERROR(VLOOKUP(D305,CAARStatus!$A$1:$Y$1600,16,FALSE),0),0)</f>
        <v>-1752.46</v>
      </c>
      <c r="AL305" s="13">
        <f>-IF(AG305="USD",IFERROR(VLOOKUP(D305,CAARStatus!$A$1:$Y$1600,11,FALSE),0),0)</f>
        <v>0</v>
      </c>
      <c r="AM305" s="22">
        <f t="shared" si="105"/>
        <v>0</v>
      </c>
      <c r="AN305" s="12" t="str">
        <f t="shared" si="106"/>
        <v/>
      </c>
      <c r="AO305" s="12" t="str">
        <f t="shared" si="107"/>
        <v>Yes</v>
      </c>
      <c r="AP305" t="str">
        <f t="shared" si="92"/>
        <v>Yes</v>
      </c>
      <c r="AQ305" t="str">
        <f>IFERROR(VLOOKUP(Z305,InvBal!$L$4:$P$600,4,FALSE),"Pend")</f>
        <v>Pend</v>
      </c>
      <c r="AR305" t="str">
        <f>IFERROR(VLOOKUP(D305,Manual!$C$1:$E$22,2,FALSE),"Pend")</f>
        <v>Pend</v>
      </c>
      <c r="AS305" t="str">
        <f t="shared" si="108"/>
        <v>Yes</v>
      </c>
      <c r="AT305" t="str">
        <f t="shared" si="109"/>
        <v>Yes</v>
      </c>
      <c r="AU305" s="51" t="str">
        <f t="shared" si="110"/>
        <v>Yes</v>
      </c>
      <c r="AV305" s="12">
        <f>IFERROR(VLOOKUP(D305,'Receivable Invoice Detail'!$S$1:$U$3014,3,FALSE),0)</f>
        <v>0</v>
      </c>
      <c r="AW305" s="12">
        <f t="shared" si="111"/>
        <v>1216.9911056044725</v>
      </c>
    </row>
    <row r="306" spans="1:49" x14ac:dyDescent="0.25">
      <c r="A306" s="2">
        <v>1</v>
      </c>
      <c r="B306" s="2" t="s">
        <v>1791</v>
      </c>
      <c r="C306" s="2" t="s">
        <v>1792</v>
      </c>
      <c r="D306" s="2" t="s">
        <v>2545</v>
      </c>
      <c r="E306" s="2" t="s">
        <v>242</v>
      </c>
      <c r="F306" s="3">
        <v>45728.556759259263</v>
      </c>
      <c r="G306" s="3">
        <v>45728.669212962966</v>
      </c>
      <c r="H306" s="4">
        <v>45729</v>
      </c>
      <c r="I306" s="2" t="s">
        <v>21</v>
      </c>
      <c r="J306" s="2" t="s">
        <v>22</v>
      </c>
      <c r="K306" s="2">
        <v>1</v>
      </c>
      <c r="L306" s="2">
        <v>338</v>
      </c>
      <c r="M306" s="2">
        <v>0</v>
      </c>
      <c r="N306" s="2">
        <v>234.7231855188202</v>
      </c>
      <c r="O306" s="2">
        <v>321.89999999999998</v>
      </c>
      <c r="P306" s="2">
        <v>16.100000000000001</v>
      </c>
      <c r="Q306" s="2">
        <v>338</v>
      </c>
      <c r="R306" s="2" t="s">
        <v>44</v>
      </c>
      <c r="S306" s="2"/>
      <c r="T306" s="2">
        <f t="shared" si="93"/>
        <v>1</v>
      </c>
      <c r="U306" s="18">
        <f t="shared" si="94"/>
        <v>3</v>
      </c>
      <c r="V306" s="18">
        <f t="shared" si="95"/>
        <v>2025</v>
      </c>
      <c r="W306" s="18">
        <f t="shared" si="96"/>
        <v>4</v>
      </c>
      <c r="X306" s="18">
        <f t="shared" si="97"/>
        <v>2025</v>
      </c>
      <c r="Y306" s="2">
        <f t="shared" si="90"/>
        <v>0.69444729443437925</v>
      </c>
      <c r="Z306" t="str">
        <f t="shared" si="91"/>
        <v>SO16760</v>
      </c>
      <c r="AA306" s="11">
        <f t="shared" si="98"/>
        <v>45728.556759259263</v>
      </c>
      <c r="AB306" s="5" t="str">
        <f t="shared" si="99"/>
        <v>INV12728</v>
      </c>
      <c r="AC306" s="5" t="str">
        <f>IFERROR(VLOOKUP(D306,CAARStatus!$A$2:$AA$1600,22,FALSE),"Not invoiced")</f>
        <v>Paid</v>
      </c>
      <c r="AD306" s="11">
        <f>IF(AC306="Paid",IFERROR(VLOOKUP(D306,CAARStatus!$A$2:$AA$1600,6,FALSE),"Pending"),"Pending")</f>
        <v>45763</v>
      </c>
      <c r="AE306" s="5" t="str">
        <f t="shared" si="100"/>
        <v>2100476726</v>
      </c>
      <c r="AF306" s="5" t="str">
        <f t="shared" si="101"/>
        <v>Wajax Limited - Noranda</v>
      </c>
      <c r="AG306" s="5" t="str">
        <f t="shared" si="102"/>
        <v>CAD</v>
      </c>
      <c r="AH306" s="5">
        <f t="shared" si="103"/>
        <v>321.89999999999998</v>
      </c>
      <c r="AI306" s="12">
        <f>IF(L306-N306=0,VLOOKUP(U306,rate!A$4:B$15,2,FALSE)*AH306,IF(AG306="USD",O306,AH306*Y306))</f>
        <v>223.54258407842667</v>
      </c>
      <c r="AJ306" s="13">
        <f t="shared" si="104"/>
        <v>0.69444729443437925</v>
      </c>
      <c r="AK306" s="13">
        <f>-IF(AG306="CAD",IFERROR(VLOOKUP(D306,CAARStatus!$A$1:$Y$1600,16,FALSE),0),0)</f>
        <v>-321.89999999999998</v>
      </c>
      <c r="AL306" s="13">
        <f>-IF(AG306="USD",IFERROR(VLOOKUP(D306,CAARStatus!$A$1:$Y$1600,11,FALSE),0),0)</f>
        <v>0</v>
      </c>
      <c r="AM306" s="22">
        <f t="shared" si="105"/>
        <v>0</v>
      </c>
      <c r="AN306" s="12" t="str">
        <f t="shared" si="106"/>
        <v/>
      </c>
      <c r="AO306" s="12" t="str">
        <f t="shared" si="107"/>
        <v>Yes</v>
      </c>
      <c r="AP306" t="str">
        <f t="shared" si="92"/>
        <v>Yes</v>
      </c>
      <c r="AQ306" t="str">
        <f>IFERROR(VLOOKUP(Z306,InvBal!$L$4:$P$600,4,FALSE),"Pend")</f>
        <v>Pend</v>
      </c>
      <c r="AR306" t="str">
        <f>IFERROR(VLOOKUP(D306,Manual!$C$1:$E$22,2,FALSE),"Pend")</f>
        <v>Pend</v>
      </c>
      <c r="AS306" t="str">
        <f t="shared" si="108"/>
        <v>Yes</v>
      </c>
      <c r="AT306" t="str">
        <f t="shared" si="109"/>
        <v>Yes</v>
      </c>
      <c r="AU306" s="51" t="str">
        <f t="shared" si="110"/>
        <v>Yes</v>
      </c>
      <c r="AV306" s="12">
        <f>IFERROR(VLOOKUP(D306,'Receivable Invoice Detail'!$S$1:$U$3014,3,FALSE),0)</f>
        <v>0</v>
      </c>
      <c r="AW306" s="12">
        <f t="shared" si="111"/>
        <v>223.54258407842667</v>
      </c>
    </row>
    <row r="307" spans="1:49" ht="30" x14ac:dyDescent="0.25">
      <c r="A307" s="2">
        <v>1</v>
      </c>
      <c r="B307" s="2" t="s">
        <v>1793</v>
      </c>
      <c r="C307" s="2" t="s">
        <v>1794</v>
      </c>
      <c r="D307" s="2" t="s">
        <v>2544</v>
      </c>
      <c r="E307" s="2" t="s">
        <v>129</v>
      </c>
      <c r="F307" s="3">
        <v>45728.560081018521</v>
      </c>
      <c r="G307" s="3">
        <v>45728.559513888889</v>
      </c>
      <c r="H307" s="4">
        <v>45728</v>
      </c>
      <c r="I307" s="2" t="s">
        <v>130</v>
      </c>
      <c r="J307" s="2" t="s">
        <v>51</v>
      </c>
      <c r="K307" s="2">
        <v>0.69126833645221231</v>
      </c>
      <c r="L307" s="2">
        <v>520.78184550969513</v>
      </c>
      <c r="M307" s="2">
        <v>0</v>
      </c>
      <c r="N307" s="2">
        <v>360</v>
      </c>
      <c r="O307" s="2">
        <v>360</v>
      </c>
      <c r="P307" s="2"/>
      <c r="Q307" s="2">
        <v>360</v>
      </c>
      <c r="R307" s="2" t="s">
        <v>44</v>
      </c>
      <c r="S307" s="2"/>
      <c r="T307" s="2">
        <f t="shared" si="93"/>
        <v>1</v>
      </c>
      <c r="U307" s="18">
        <f t="shared" si="94"/>
        <v>3</v>
      </c>
      <c r="V307" s="18">
        <f t="shared" si="95"/>
        <v>2025</v>
      </c>
      <c r="W307" s="18" t="str">
        <f t="shared" si="96"/>
        <v/>
      </c>
      <c r="X307" s="18" t="str">
        <f t="shared" si="97"/>
        <v/>
      </c>
      <c r="Y307" s="2">
        <f t="shared" si="90"/>
        <v>0.69126833645221231</v>
      </c>
      <c r="Z307" t="str">
        <f t="shared" si="91"/>
        <v>SO16761</v>
      </c>
      <c r="AA307" s="11">
        <f t="shared" si="98"/>
        <v>45728.560081018521</v>
      </c>
      <c r="AB307" s="5" t="str">
        <f t="shared" si="99"/>
        <v>INV13019</v>
      </c>
      <c r="AC307" s="5" t="str">
        <f>IFERROR(VLOOKUP(D307,CAARStatus!$A$2:$AA$1600,22,FALSE),"Not invoiced")</f>
        <v>Approved</v>
      </c>
      <c r="AD307" s="11" t="str">
        <f>IF(AC307="Paid",IFERROR(VLOOKUP(D307,CAARStatus!$A$2:$AA$1600,6,FALSE),"Pending"),"Pending")</f>
        <v>Pending</v>
      </c>
      <c r="AE307" s="5" t="str">
        <f t="shared" si="100"/>
        <v>OC00157</v>
      </c>
      <c r="AF307" s="5" t="str">
        <f t="shared" si="101"/>
        <v>Dynapro Pumps México S de RL de CV</v>
      </c>
      <c r="AG307" s="5" t="str">
        <f t="shared" si="102"/>
        <v>USD</v>
      </c>
      <c r="AH307" s="5">
        <f t="shared" si="103"/>
        <v>520.78184550969513</v>
      </c>
      <c r="AI307" s="12">
        <f>IF(L307-N307=0,VLOOKUP(U307,rate!A$4:B$15,2,FALSE)*AH307,IF(AG307="USD",O307,AH307*Y307))</f>
        <v>360</v>
      </c>
      <c r="AJ307" s="13">
        <f t="shared" si="104"/>
        <v>0.69126833645221231</v>
      </c>
      <c r="AK307" s="13">
        <f>-IF(AG307="CAD",IFERROR(VLOOKUP(D307,CAARStatus!$A$1:$Y$1600,16,FALSE),0),0)</f>
        <v>0</v>
      </c>
      <c r="AL307" s="13">
        <f>-IF(AG307="USD",IFERROR(VLOOKUP(D307,CAARStatus!$A$1:$Y$1600,11,FALSE),0),0)</f>
        <v>-360</v>
      </c>
      <c r="AM307" s="22" t="str">
        <f t="shared" si="105"/>
        <v/>
      </c>
      <c r="AN307" s="12">
        <f t="shared" si="106"/>
        <v>0</v>
      </c>
      <c r="AO307" s="12" t="str">
        <f t="shared" si="107"/>
        <v>Pend</v>
      </c>
      <c r="AP307" t="str">
        <f t="shared" si="92"/>
        <v>Pend</v>
      </c>
      <c r="AQ307" t="str">
        <f>IFERROR(VLOOKUP(Z307,InvBal!$L$4:$P$600,4,FALSE),"Pend")</f>
        <v>Pend</v>
      </c>
      <c r="AR307" t="str">
        <f>IFERROR(VLOOKUP(D307,Manual!$C$1:$E$22,2,FALSE),"Pend")</f>
        <v>Pend</v>
      </c>
      <c r="AS307" t="str">
        <f t="shared" si="108"/>
        <v/>
      </c>
      <c r="AT307" t="str">
        <f t="shared" si="109"/>
        <v>Yes</v>
      </c>
      <c r="AU307" s="51" t="str">
        <f t="shared" si="110"/>
        <v/>
      </c>
      <c r="AV307" s="12">
        <f>IFERROR(VLOOKUP(D307,'Receivable Invoice Detail'!$S$1:$U$3014,3,FALSE),0)</f>
        <v>0</v>
      </c>
      <c r="AW307" s="12">
        <f t="shared" si="111"/>
        <v>0</v>
      </c>
    </row>
    <row r="308" spans="1:49" x14ac:dyDescent="0.25">
      <c r="A308" s="2">
        <v>1</v>
      </c>
      <c r="B308" s="2" t="s">
        <v>1759</v>
      </c>
      <c r="C308" s="2" t="s">
        <v>1760</v>
      </c>
      <c r="D308" s="2" t="s">
        <v>2562</v>
      </c>
      <c r="E308" s="2" t="s">
        <v>229</v>
      </c>
      <c r="F308" s="3">
        <v>45728.618020833332</v>
      </c>
      <c r="G308" s="3">
        <v>45734.672083333331</v>
      </c>
      <c r="H308" s="4">
        <v>45735</v>
      </c>
      <c r="I308" s="2" t="s">
        <v>21</v>
      </c>
      <c r="J308" s="2" t="s">
        <v>22</v>
      </c>
      <c r="K308" s="2">
        <v>1</v>
      </c>
      <c r="L308" s="2">
        <v>838.92</v>
      </c>
      <c r="M308" s="2">
        <v>0</v>
      </c>
      <c r="N308" s="2">
        <v>586.17673940159841</v>
      </c>
      <c r="O308" s="2">
        <v>798.97</v>
      </c>
      <c r="P308" s="2">
        <v>39.950000000000003</v>
      </c>
      <c r="Q308" s="2">
        <v>838.92</v>
      </c>
      <c r="R308" s="2" t="s">
        <v>44</v>
      </c>
      <c r="S308" s="2"/>
      <c r="T308" s="2">
        <f t="shared" si="93"/>
        <v>1</v>
      </c>
      <c r="U308" s="18">
        <f t="shared" si="94"/>
        <v>3</v>
      </c>
      <c r="V308" s="18">
        <f t="shared" si="95"/>
        <v>2025</v>
      </c>
      <c r="W308" s="18">
        <f t="shared" si="96"/>
        <v>4</v>
      </c>
      <c r="X308" s="18">
        <f t="shared" si="97"/>
        <v>2025</v>
      </c>
      <c r="Y308" s="2">
        <f t="shared" si="90"/>
        <v>0.69872781600343115</v>
      </c>
      <c r="Z308" t="str">
        <f t="shared" si="91"/>
        <v>SO16762</v>
      </c>
      <c r="AA308" s="11">
        <f t="shared" si="98"/>
        <v>45728.618020833332</v>
      </c>
      <c r="AB308" s="5" t="str">
        <f t="shared" si="99"/>
        <v>INV12751</v>
      </c>
      <c r="AC308" s="5" t="str">
        <f>IFERROR(VLOOKUP(D308,CAARStatus!$A$2:$AA$1600,22,FALSE),"Not invoiced")</f>
        <v>Paid</v>
      </c>
      <c r="AD308" s="11">
        <f>IF(AC308="Paid",IFERROR(VLOOKUP(D308,CAARStatus!$A$2:$AA$1600,6,FALSE),"Pending"),"Pending")</f>
        <v>45770</v>
      </c>
      <c r="AE308" s="5" t="str">
        <f t="shared" si="100"/>
        <v>2100533807</v>
      </c>
      <c r="AF308" s="5" t="str">
        <f t="shared" si="101"/>
        <v>Wajax Limited - Lachine</v>
      </c>
      <c r="AG308" s="5" t="str">
        <f t="shared" si="102"/>
        <v>CAD</v>
      </c>
      <c r="AH308" s="5">
        <f t="shared" si="103"/>
        <v>798.97</v>
      </c>
      <c r="AI308" s="12">
        <f>IF(L308-N308=0,VLOOKUP(U308,rate!A$4:B$15,2,FALSE)*AH308,IF(AG308="USD",O308,AH308*Y308))</f>
        <v>558.26256315226135</v>
      </c>
      <c r="AJ308" s="13">
        <f t="shared" si="104"/>
        <v>0.69872781600343103</v>
      </c>
      <c r="AK308" s="13">
        <f>-IF(AG308="CAD",IFERROR(VLOOKUP(D308,CAARStatus!$A$1:$Y$1600,16,FALSE),0),0)</f>
        <v>-798.97</v>
      </c>
      <c r="AL308" s="13">
        <f>-IF(AG308="USD",IFERROR(VLOOKUP(D308,CAARStatus!$A$1:$Y$1600,11,FALSE),0),0)</f>
        <v>0</v>
      </c>
      <c r="AM308" s="22">
        <f t="shared" si="105"/>
        <v>0</v>
      </c>
      <c r="AN308" s="12" t="str">
        <f t="shared" si="106"/>
        <v/>
      </c>
      <c r="AO308" s="12" t="str">
        <f t="shared" si="107"/>
        <v>Yes</v>
      </c>
      <c r="AP308" t="str">
        <f t="shared" si="92"/>
        <v>Yes</v>
      </c>
      <c r="AQ308" t="str">
        <f>IFERROR(VLOOKUP(Z308,InvBal!$L$4:$P$600,4,FALSE),"Pend")</f>
        <v>Pend</v>
      </c>
      <c r="AR308" t="str">
        <f>IFERROR(VLOOKUP(D308,Manual!$C$1:$E$22,2,FALSE),"Pend")</f>
        <v>Pend</v>
      </c>
      <c r="AS308" t="str">
        <f t="shared" si="108"/>
        <v>Yes</v>
      </c>
      <c r="AT308" t="str">
        <f t="shared" si="109"/>
        <v>Yes</v>
      </c>
      <c r="AU308" s="51" t="str">
        <f t="shared" si="110"/>
        <v>Yes</v>
      </c>
      <c r="AV308" s="12">
        <f>IFERROR(VLOOKUP(D308,'Receivable Invoice Detail'!$S$1:$U$3014,3,FALSE),0)</f>
        <v>0</v>
      </c>
      <c r="AW308" s="12">
        <f t="shared" si="111"/>
        <v>558.26256315226135</v>
      </c>
    </row>
    <row r="309" spans="1:49" x14ac:dyDescent="0.25">
      <c r="A309" s="2">
        <v>1</v>
      </c>
      <c r="B309" s="2" t="s">
        <v>1774</v>
      </c>
      <c r="C309" s="2" t="s">
        <v>1775</v>
      </c>
      <c r="D309" s="2" t="s">
        <v>2554</v>
      </c>
      <c r="E309" s="2" t="s">
        <v>242</v>
      </c>
      <c r="F309" s="3">
        <v>45729.357592592591</v>
      </c>
      <c r="G309" s="3">
        <v>45730.591145833343</v>
      </c>
      <c r="H309" s="4">
        <v>45734</v>
      </c>
      <c r="I309" s="2" t="s">
        <v>21</v>
      </c>
      <c r="J309" s="2" t="s">
        <v>22</v>
      </c>
      <c r="K309" s="2">
        <v>1</v>
      </c>
      <c r="L309" s="2">
        <v>311.01</v>
      </c>
      <c r="M309" s="2">
        <v>0</v>
      </c>
      <c r="N309" s="2">
        <v>216.26708608786541</v>
      </c>
      <c r="O309" s="2">
        <v>296.2</v>
      </c>
      <c r="P309" s="2">
        <v>14.81</v>
      </c>
      <c r="Q309" s="2">
        <v>311.01</v>
      </c>
      <c r="R309" s="2" t="s">
        <v>44</v>
      </c>
      <c r="S309" s="2"/>
      <c r="T309" s="2">
        <f t="shared" si="93"/>
        <v>1</v>
      </c>
      <c r="U309" s="18">
        <f t="shared" si="94"/>
        <v>3</v>
      </c>
      <c r="V309" s="18">
        <f t="shared" si="95"/>
        <v>2025</v>
      </c>
      <c r="W309" s="18">
        <f t="shared" si="96"/>
        <v>4</v>
      </c>
      <c r="X309" s="18">
        <f t="shared" si="97"/>
        <v>2025</v>
      </c>
      <c r="Y309" s="2">
        <f t="shared" si="90"/>
        <v>0.69537020059761878</v>
      </c>
      <c r="Z309" t="str">
        <f t="shared" si="91"/>
        <v>SO16764</v>
      </c>
      <c r="AA309" s="11">
        <f t="shared" si="98"/>
        <v>45729.357592592591</v>
      </c>
      <c r="AB309" s="5" t="str">
        <f t="shared" si="99"/>
        <v>INV12735</v>
      </c>
      <c r="AC309" s="5" t="str">
        <f>IFERROR(VLOOKUP(D309,CAARStatus!$A$2:$AA$1600,22,FALSE),"Not invoiced")</f>
        <v>Paid</v>
      </c>
      <c r="AD309" s="11">
        <f>IF(AC309="Paid",IFERROR(VLOOKUP(D309,CAARStatus!$A$2:$AA$1600,6,FALSE),"Pending"),"Pending")</f>
        <v>45770</v>
      </c>
      <c r="AE309" s="5" t="str">
        <f t="shared" si="100"/>
        <v>2100531829</v>
      </c>
      <c r="AF309" s="5" t="str">
        <f t="shared" si="101"/>
        <v>Wajax Limited - Noranda</v>
      </c>
      <c r="AG309" s="5" t="str">
        <f t="shared" si="102"/>
        <v>CAD</v>
      </c>
      <c r="AH309" s="5">
        <f t="shared" si="103"/>
        <v>296.2</v>
      </c>
      <c r="AI309" s="12">
        <f>IF(L309-N309=0,VLOOKUP(U309,rate!A$4:B$15,2,FALSE)*AH309,IF(AG309="USD",O309,AH309*Y309))</f>
        <v>205.96865341701468</v>
      </c>
      <c r="AJ309" s="13">
        <f t="shared" si="104"/>
        <v>0.69537020059761878</v>
      </c>
      <c r="AK309" s="13">
        <f>-IF(AG309="CAD",IFERROR(VLOOKUP(D309,CAARStatus!$A$1:$Y$1600,16,FALSE),0),0)</f>
        <v>-296.2</v>
      </c>
      <c r="AL309" s="13">
        <f>-IF(AG309="USD",IFERROR(VLOOKUP(D309,CAARStatus!$A$1:$Y$1600,11,FALSE),0),0)</f>
        <v>0</v>
      </c>
      <c r="AM309" s="22">
        <f t="shared" si="105"/>
        <v>0</v>
      </c>
      <c r="AN309" s="12" t="str">
        <f t="shared" si="106"/>
        <v/>
      </c>
      <c r="AO309" s="12" t="str">
        <f t="shared" si="107"/>
        <v>Yes</v>
      </c>
      <c r="AP309" t="str">
        <f t="shared" si="92"/>
        <v>Yes</v>
      </c>
      <c r="AQ309" t="str">
        <f>IFERROR(VLOOKUP(Z309,InvBal!$L$4:$P$600,4,FALSE),"Pend")</f>
        <v>Pend</v>
      </c>
      <c r="AR309" t="str">
        <f>IFERROR(VLOOKUP(D309,Manual!$C$1:$E$22,2,FALSE),"Pend")</f>
        <v>Pend</v>
      </c>
      <c r="AS309" t="str">
        <f t="shared" si="108"/>
        <v>Yes</v>
      </c>
      <c r="AT309" t="str">
        <f t="shared" si="109"/>
        <v>Yes</v>
      </c>
      <c r="AU309" s="51" t="str">
        <f t="shared" si="110"/>
        <v>Yes</v>
      </c>
      <c r="AV309" s="12">
        <f>IFERROR(VLOOKUP(D309,'Receivable Invoice Detail'!$S$1:$U$3014,3,FALSE),0)</f>
        <v>0</v>
      </c>
      <c r="AW309" s="12">
        <f t="shared" si="111"/>
        <v>205.96865341701468</v>
      </c>
    </row>
    <row r="310" spans="1:49" ht="30" x14ac:dyDescent="0.25">
      <c r="A310" s="2">
        <v>1</v>
      </c>
      <c r="B310" s="2" t="s">
        <v>1785</v>
      </c>
      <c r="C310" s="2" t="s">
        <v>1786</v>
      </c>
      <c r="D310" s="2" t="s">
        <v>2548</v>
      </c>
      <c r="E310" s="2" t="s">
        <v>121</v>
      </c>
      <c r="F310" s="3">
        <v>45729.411435185182</v>
      </c>
      <c r="G310" s="3">
        <v>45729.421030092592</v>
      </c>
      <c r="H310" s="4">
        <v>45733</v>
      </c>
      <c r="I310" s="2" t="s">
        <v>21</v>
      </c>
      <c r="J310" s="2" t="s">
        <v>22</v>
      </c>
      <c r="K310" s="2">
        <v>1</v>
      </c>
      <c r="L310" s="2">
        <v>4286.34</v>
      </c>
      <c r="M310" s="2">
        <v>0</v>
      </c>
      <c r="N310" s="2">
        <v>2976.9624085840992</v>
      </c>
      <c r="O310" s="2">
        <v>4082.22</v>
      </c>
      <c r="P310" s="2">
        <v>204.12</v>
      </c>
      <c r="Q310" s="2">
        <v>4286.34</v>
      </c>
      <c r="R310" s="2" t="s">
        <v>44</v>
      </c>
      <c r="S310" s="2"/>
      <c r="T310" s="2">
        <f t="shared" si="93"/>
        <v>1</v>
      </c>
      <c r="U310" s="18">
        <f t="shared" si="94"/>
        <v>3</v>
      </c>
      <c r="V310" s="18">
        <f t="shared" si="95"/>
        <v>2025</v>
      </c>
      <c r="W310" s="18">
        <f t="shared" si="96"/>
        <v>4</v>
      </c>
      <c r="X310" s="18">
        <f t="shared" si="97"/>
        <v>2025</v>
      </c>
      <c r="Y310" s="2">
        <f t="shared" si="90"/>
        <v>0.69452316162135974</v>
      </c>
      <c r="Z310" t="str">
        <f t="shared" si="91"/>
        <v>SO16765</v>
      </c>
      <c r="AA310" s="11">
        <f t="shared" si="98"/>
        <v>45729.411435185182</v>
      </c>
      <c r="AB310" s="5" t="str">
        <f t="shared" si="99"/>
        <v>INV12738</v>
      </c>
      <c r="AC310" s="5" t="str">
        <f>IFERROR(VLOOKUP(D310,CAARStatus!$A$2:$AA$1600,22,FALSE),"Not invoiced")</f>
        <v>Paid</v>
      </c>
      <c r="AD310" s="11">
        <f>IF(AC310="Paid",IFERROR(VLOOKUP(D310,CAARStatus!$A$2:$AA$1600,6,FALSE),"Pending"),"Pending")</f>
        <v>45772</v>
      </c>
      <c r="AE310" s="5" t="str">
        <f t="shared" si="100"/>
        <v>4500566464</v>
      </c>
      <c r="AF310" s="5" t="str">
        <f t="shared" si="101"/>
        <v>Glencore Canada Corporation - Rouyn-Noranda</v>
      </c>
      <c r="AG310" s="5" t="str">
        <f t="shared" si="102"/>
        <v>CAD</v>
      </c>
      <c r="AH310" s="5">
        <f t="shared" si="103"/>
        <v>4082.22</v>
      </c>
      <c r="AI310" s="12">
        <f>IF(L310-N310=0,VLOOKUP(U310,rate!A$4:B$15,2,FALSE)*AH310,IF(AG310="USD",O310,AH310*Y310))</f>
        <v>2835.196340833947</v>
      </c>
      <c r="AJ310" s="13">
        <f t="shared" si="104"/>
        <v>0.69452316162135974</v>
      </c>
      <c r="AK310" s="13">
        <f>-IF(AG310="CAD",IFERROR(VLOOKUP(D310,CAARStatus!$A$1:$Y$1600,16,FALSE),0),0)</f>
        <v>-4082.22</v>
      </c>
      <c r="AL310" s="13">
        <f>-IF(AG310="USD",IFERROR(VLOOKUP(D310,CAARStatus!$A$1:$Y$1600,11,FALSE),0),0)</f>
        <v>0</v>
      </c>
      <c r="AM310" s="22">
        <f t="shared" si="105"/>
        <v>0</v>
      </c>
      <c r="AN310" s="12" t="str">
        <f t="shared" si="106"/>
        <v/>
      </c>
      <c r="AO310" s="12" t="str">
        <f t="shared" si="107"/>
        <v>Yes</v>
      </c>
      <c r="AP310" t="str">
        <f t="shared" si="92"/>
        <v>Yes</v>
      </c>
      <c r="AQ310" t="str">
        <f>IFERROR(VLOOKUP(Z310,InvBal!$L$4:$P$600,4,FALSE),"Pend")</f>
        <v>Pend</v>
      </c>
      <c r="AR310" t="str">
        <f>IFERROR(VLOOKUP(D310,Manual!$C$1:$E$22,2,FALSE),"Pend")</f>
        <v>Pend</v>
      </c>
      <c r="AS310" t="str">
        <f t="shared" si="108"/>
        <v>Yes</v>
      </c>
      <c r="AT310" t="str">
        <f t="shared" si="109"/>
        <v>Yes</v>
      </c>
      <c r="AU310" s="51" t="str">
        <f t="shared" si="110"/>
        <v>Yes</v>
      </c>
      <c r="AV310" s="12">
        <f>IFERROR(VLOOKUP(D310,'Receivable Invoice Detail'!$S$1:$U$3014,3,FALSE),0)</f>
        <v>0</v>
      </c>
      <c r="AW310" s="12">
        <f t="shared" si="111"/>
        <v>2835.196340833947</v>
      </c>
    </row>
    <row r="311" spans="1:49" x14ac:dyDescent="0.25">
      <c r="A311" s="2">
        <v>1</v>
      </c>
      <c r="B311" s="2" t="s">
        <v>1595</v>
      </c>
      <c r="C311" s="2" t="s">
        <v>1596</v>
      </c>
      <c r="D311" s="2" t="s">
        <v>2657</v>
      </c>
      <c r="E311" s="2" t="s">
        <v>1039</v>
      </c>
      <c r="F311" s="3">
        <v>45729.432002314818</v>
      </c>
      <c r="G311" s="3">
        <v>45761.625891203701</v>
      </c>
      <c r="H311" s="4">
        <v>45762</v>
      </c>
      <c r="I311" s="2" t="s">
        <v>21</v>
      </c>
      <c r="J311" s="2" t="s">
        <v>22</v>
      </c>
      <c r="K311" s="2">
        <v>1</v>
      </c>
      <c r="L311" s="2">
        <v>781.08</v>
      </c>
      <c r="M311" s="2">
        <v>0</v>
      </c>
      <c r="N311" s="2">
        <v>562.17488120995495</v>
      </c>
      <c r="O311" s="2">
        <v>743.88</v>
      </c>
      <c r="P311" s="2">
        <v>37.200000000000003</v>
      </c>
      <c r="Q311" s="2">
        <v>781.08</v>
      </c>
      <c r="R311" s="2" t="s">
        <v>44</v>
      </c>
      <c r="S311" s="2"/>
      <c r="T311" s="2">
        <f t="shared" si="93"/>
        <v>1</v>
      </c>
      <c r="U311" s="18">
        <f t="shared" si="94"/>
        <v>3</v>
      </c>
      <c r="V311" s="18">
        <f t="shared" si="95"/>
        <v>2025</v>
      </c>
      <c r="W311" s="18">
        <f t="shared" si="96"/>
        <v>6</v>
      </c>
      <c r="X311" s="18">
        <f t="shared" si="97"/>
        <v>2025</v>
      </c>
      <c r="Y311" s="2">
        <f t="shared" si="90"/>
        <v>0.71974046347359411</v>
      </c>
      <c r="Z311" t="str">
        <f t="shared" si="91"/>
        <v>SO16766</v>
      </c>
      <c r="AA311" s="11">
        <f t="shared" si="98"/>
        <v>45729.432002314818</v>
      </c>
      <c r="AB311" s="5" t="str">
        <f t="shared" si="99"/>
        <v>INV12883</v>
      </c>
      <c r="AC311" s="5" t="str">
        <f>IFERROR(VLOOKUP(D311,CAARStatus!$A$2:$AA$1600,22,FALSE),"Not invoiced")</f>
        <v>Paid</v>
      </c>
      <c r="AD311" s="11">
        <f>IF(AC311="Paid",IFERROR(VLOOKUP(D311,CAARStatus!$A$2:$AA$1600,6,FALSE),"Pending"),"Pending")</f>
        <v>45821</v>
      </c>
      <c r="AE311" s="5" t="str">
        <f t="shared" si="100"/>
        <v>4500586022</v>
      </c>
      <c r="AF311" s="5" t="str">
        <f t="shared" si="101"/>
        <v>Resolute Forest Products - Alma</v>
      </c>
      <c r="AG311" s="5" t="str">
        <f t="shared" si="102"/>
        <v>CAD</v>
      </c>
      <c r="AH311" s="5">
        <f t="shared" si="103"/>
        <v>743.88</v>
      </c>
      <c r="AI311" s="12">
        <f>IF(L311-N311=0,VLOOKUP(U311,rate!A$4:B$15,2,FALSE)*AH311,IF(AG311="USD",O311,AH311*Y311))</f>
        <v>535.40053596873713</v>
      </c>
      <c r="AJ311" s="13">
        <f t="shared" si="104"/>
        <v>0.71974046347359399</v>
      </c>
      <c r="AK311" s="13">
        <f>-IF(AG311="CAD",IFERROR(VLOOKUP(D311,CAARStatus!$A$1:$Y$1600,16,FALSE),0),0)</f>
        <v>-743.88</v>
      </c>
      <c r="AL311" s="13">
        <f>-IF(AG311="USD",IFERROR(VLOOKUP(D311,CAARStatus!$A$1:$Y$1600,11,FALSE),0),0)</f>
        <v>0</v>
      </c>
      <c r="AM311" s="22">
        <f t="shared" si="105"/>
        <v>0</v>
      </c>
      <c r="AN311" s="12" t="str">
        <f t="shared" si="106"/>
        <v/>
      </c>
      <c r="AO311" s="12" t="str">
        <f t="shared" si="107"/>
        <v>Yes</v>
      </c>
      <c r="AP311" t="str">
        <f t="shared" si="92"/>
        <v>Yes</v>
      </c>
      <c r="AQ311" t="str">
        <f>IFERROR(VLOOKUP(Z311,InvBal!$L$4:$P$600,4,FALSE),"Pend")</f>
        <v>Pend</v>
      </c>
      <c r="AR311" t="str">
        <f>IFERROR(VLOOKUP(D311,Manual!$C$1:$E$22,2,FALSE),"Pend")</f>
        <v>Pend</v>
      </c>
      <c r="AS311" t="str">
        <f t="shared" si="108"/>
        <v>Yes</v>
      </c>
      <c r="AT311" t="str">
        <f t="shared" si="109"/>
        <v>Yes</v>
      </c>
      <c r="AU311" s="51" t="str">
        <f t="shared" si="110"/>
        <v>Yes</v>
      </c>
      <c r="AV311" s="12">
        <f>IFERROR(VLOOKUP(D311,'Receivable Invoice Detail'!$S$1:$U$3014,3,FALSE),0)</f>
        <v>0</v>
      </c>
      <c r="AW311" s="12">
        <f t="shared" si="111"/>
        <v>535.40053596873713</v>
      </c>
    </row>
    <row r="312" spans="1:49" ht="30" x14ac:dyDescent="0.25">
      <c r="A312" s="2">
        <v>1</v>
      </c>
      <c r="B312" s="2" t="s">
        <v>1675</v>
      </c>
      <c r="C312" s="2" t="s">
        <v>1676</v>
      </c>
      <c r="D312" s="2" t="s">
        <v>2611</v>
      </c>
      <c r="E312" s="2" t="s">
        <v>26</v>
      </c>
      <c r="F312" s="3">
        <v>45729.642881944441</v>
      </c>
      <c r="G312" s="3">
        <v>45748.436331018522</v>
      </c>
      <c r="H312" s="4">
        <v>45749</v>
      </c>
      <c r="I312" s="2" t="s">
        <v>21</v>
      </c>
      <c r="J312" s="2" t="s">
        <v>22</v>
      </c>
      <c r="K312" s="2">
        <v>1</v>
      </c>
      <c r="L312" s="2">
        <v>1089.42</v>
      </c>
      <c r="M312" s="2">
        <v>0</v>
      </c>
      <c r="N312" s="2">
        <v>756.8055451792269</v>
      </c>
      <c r="O312" s="2">
        <v>1037.54</v>
      </c>
      <c r="P312" s="2">
        <v>51.88</v>
      </c>
      <c r="Q312" s="2">
        <v>1089.42</v>
      </c>
      <c r="R312" s="2" t="s">
        <v>44</v>
      </c>
      <c r="S312" s="2"/>
      <c r="T312" s="2">
        <f t="shared" si="93"/>
        <v>1</v>
      </c>
      <c r="U312" s="18">
        <f t="shared" si="94"/>
        <v>3</v>
      </c>
      <c r="V312" s="18">
        <f t="shared" si="95"/>
        <v>2025</v>
      </c>
      <c r="W312" s="18">
        <f t="shared" si="96"/>
        <v>5</v>
      </c>
      <c r="X312" s="18">
        <f t="shared" si="97"/>
        <v>2025</v>
      </c>
      <c r="Y312" s="2">
        <f t="shared" si="90"/>
        <v>0.69468666371025578</v>
      </c>
      <c r="Z312" t="str">
        <f t="shared" si="91"/>
        <v>SO16769</v>
      </c>
      <c r="AA312" s="11">
        <f t="shared" si="98"/>
        <v>45729.642881944441</v>
      </c>
      <c r="AB312" s="5" t="str">
        <f t="shared" si="99"/>
        <v>INV12975</v>
      </c>
      <c r="AC312" s="5" t="str">
        <f>IFERROR(VLOOKUP(D312,CAARStatus!$A$2:$AA$1600,22,FALSE),"Not invoiced")</f>
        <v>Paid</v>
      </c>
      <c r="AD312" s="11">
        <f>IF(AC312="Paid",IFERROR(VLOOKUP(D312,CAARStatus!$A$2:$AA$1600,6,FALSE),"Pending"),"Pending")</f>
        <v>45807</v>
      </c>
      <c r="AE312" s="5" t="str">
        <f t="shared" si="100"/>
        <v>4500586136</v>
      </c>
      <c r="AF312" s="5" t="str">
        <f t="shared" si="101"/>
        <v>Resolute Forest Products - Clermont</v>
      </c>
      <c r="AG312" s="5" t="str">
        <f t="shared" si="102"/>
        <v>CAD</v>
      </c>
      <c r="AH312" s="5">
        <f t="shared" si="103"/>
        <v>1037.54</v>
      </c>
      <c r="AI312" s="12">
        <f>IF(L312-N312=0,VLOOKUP(U312,rate!A$4:B$15,2,FALSE)*AH312,IF(AG312="USD",O312,AH312*Y312))</f>
        <v>720.76520106593875</v>
      </c>
      <c r="AJ312" s="13">
        <f t="shared" si="104"/>
        <v>0.69468666371025578</v>
      </c>
      <c r="AK312" s="13">
        <f>-IF(AG312="CAD",IFERROR(VLOOKUP(D312,CAARStatus!$A$1:$Y$1600,16,FALSE),0),0)</f>
        <v>-1037.54</v>
      </c>
      <c r="AL312" s="13">
        <f>-IF(AG312="USD",IFERROR(VLOOKUP(D312,CAARStatus!$A$1:$Y$1600,11,FALSE),0),0)</f>
        <v>0</v>
      </c>
      <c r="AM312" s="22">
        <f t="shared" si="105"/>
        <v>0</v>
      </c>
      <c r="AN312" s="12" t="str">
        <f t="shared" si="106"/>
        <v/>
      </c>
      <c r="AO312" s="12" t="str">
        <f t="shared" si="107"/>
        <v>Yes</v>
      </c>
      <c r="AP312" t="str">
        <f t="shared" si="92"/>
        <v>Yes</v>
      </c>
      <c r="AQ312" t="str">
        <f>IFERROR(VLOOKUP(Z312,InvBal!$L$4:$P$600,4,FALSE),"Pend")</f>
        <v>Pend</v>
      </c>
      <c r="AR312" t="str">
        <f>IFERROR(VLOOKUP(D312,Manual!$C$1:$E$22,2,FALSE),"Pend")</f>
        <v>Pend</v>
      </c>
      <c r="AS312" t="str">
        <f t="shared" si="108"/>
        <v>Yes</v>
      </c>
      <c r="AT312" t="str">
        <f t="shared" si="109"/>
        <v>Yes</v>
      </c>
      <c r="AU312" s="51" t="str">
        <f t="shared" si="110"/>
        <v>Yes</v>
      </c>
      <c r="AV312" s="12">
        <f>IFERROR(VLOOKUP(D312,'Receivable Invoice Detail'!$S$1:$U$3014,3,FALSE),0)</f>
        <v>0</v>
      </c>
      <c r="AW312" s="12">
        <f t="shared" si="111"/>
        <v>720.76520106593875</v>
      </c>
    </row>
    <row r="313" spans="1:49" ht="30" x14ac:dyDescent="0.25">
      <c r="A313" s="2">
        <v>2</v>
      </c>
      <c r="B313" s="2" t="s">
        <v>1781</v>
      </c>
      <c r="C313" s="2" t="s">
        <v>1782</v>
      </c>
      <c r="D313" s="2" t="s">
        <v>2551</v>
      </c>
      <c r="E313" s="2" t="s">
        <v>121</v>
      </c>
      <c r="F313" s="3">
        <v>45730.338530092587</v>
      </c>
      <c r="G313" s="3">
        <v>45730.340891203698</v>
      </c>
      <c r="H313" s="4">
        <v>45733</v>
      </c>
      <c r="I313" s="2" t="s">
        <v>21</v>
      </c>
      <c r="J313" s="2" t="s">
        <v>22</v>
      </c>
      <c r="K313" s="2">
        <v>1</v>
      </c>
      <c r="L313" s="2">
        <v>364.12</v>
      </c>
      <c r="M313" s="2">
        <v>0</v>
      </c>
      <c r="N313" s="2">
        <v>253.19819744160489</v>
      </c>
      <c r="O313" s="2">
        <v>346.78</v>
      </c>
      <c r="P313" s="2">
        <v>17.34</v>
      </c>
      <c r="Q313" s="2">
        <v>364.12</v>
      </c>
      <c r="R313" s="2" t="s">
        <v>44</v>
      </c>
      <c r="S313" s="2"/>
      <c r="T313" s="2">
        <f t="shared" si="93"/>
        <v>2</v>
      </c>
      <c r="U313" s="18">
        <f t="shared" si="94"/>
        <v>3</v>
      </c>
      <c r="V313" s="18">
        <f t="shared" si="95"/>
        <v>2025</v>
      </c>
      <c r="W313" s="18">
        <f t="shared" si="96"/>
        <v>4</v>
      </c>
      <c r="X313" s="18">
        <f t="shared" si="97"/>
        <v>2025</v>
      </c>
      <c r="Y313" s="2">
        <f t="shared" si="90"/>
        <v>0.69537020059761856</v>
      </c>
      <c r="Z313" t="str">
        <f t="shared" si="91"/>
        <v>SO16770</v>
      </c>
      <c r="AA313" s="11">
        <f t="shared" si="98"/>
        <v>45730.338530092587</v>
      </c>
      <c r="AB313" s="5" t="str">
        <f t="shared" si="99"/>
        <v>INV12739</v>
      </c>
      <c r="AC313" s="5" t="str">
        <f>IFERROR(VLOOKUP(D313,CAARStatus!$A$2:$AA$1600,22,FALSE),"Not invoiced")</f>
        <v>Paid</v>
      </c>
      <c r="AD313" s="11">
        <f>IF(AC313="Paid",IFERROR(VLOOKUP(D313,CAARStatus!$A$2:$AA$1600,6,FALSE),"Pending"),"Pending")</f>
        <v>45772</v>
      </c>
      <c r="AE313" s="5" t="str">
        <f t="shared" si="100"/>
        <v>4500566720</v>
      </c>
      <c r="AF313" s="5" t="str">
        <f t="shared" si="101"/>
        <v>Glencore Canada Corporation - Rouyn-Noranda</v>
      </c>
      <c r="AG313" s="5" t="str">
        <f t="shared" si="102"/>
        <v>CAD</v>
      </c>
      <c r="AH313" s="5">
        <f t="shared" si="103"/>
        <v>346.78</v>
      </c>
      <c r="AI313" s="12">
        <f>IF(L313-N313=0,VLOOKUP(U313,rate!A$4:B$15,2,FALSE)*AH313,IF(AG313="USD",O313,AH313*Y313))</f>
        <v>241.14047816324214</v>
      </c>
      <c r="AJ313" s="13">
        <f t="shared" si="104"/>
        <v>0.69537020059761856</v>
      </c>
      <c r="AK313" s="13">
        <f>-IF(AG313="CAD",IFERROR(VLOOKUP(D313,CAARStatus!$A$1:$Y$1600,16,FALSE),0),0)</f>
        <v>-42.52</v>
      </c>
      <c r="AL313" s="13">
        <f>-IF(AG313="USD",IFERROR(VLOOKUP(D313,CAARStatus!$A$1:$Y$1600,11,FALSE),0),0)</f>
        <v>0</v>
      </c>
      <c r="AM313" s="22">
        <f t="shared" si="105"/>
        <v>304.26</v>
      </c>
      <c r="AN313" s="12" t="str">
        <f t="shared" si="106"/>
        <v/>
      </c>
      <c r="AO313" s="12" t="str">
        <f t="shared" si="107"/>
        <v>Yes</v>
      </c>
      <c r="AP313" t="str">
        <f t="shared" si="92"/>
        <v>XX</v>
      </c>
      <c r="AQ313" t="str">
        <f>IFERROR(VLOOKUP(Z313,InvBal!$L$4:$P$600,4,FALSE),"Pend")</f>
        <v>Yes</v>
      </c>
      <c r="AR313" t="str">
        <f>IFERROR(VLOOKUP(D313,Manual!$C$1:$E$22,2,FALSE),"Pend")</f>
        <v>Pend</v>
      </c>
      <c r="AS313" t="str">
        <f t="shared" si="108"/>
        <v>Yes</v>
      </c>
      <c r="AT313" t="str">
        <f t="shared" si="109"/>
        <v>Yes</v>
      </c>
      <c r="AU313" s="51" t="str">
        <f t="shared" si="110"/>
        <v>Yes</v>
      </c>
      <c r="AV313" s="12">
        <f>IFERROR(VLOOKUP(D313,'Receivable Invoice Detail'!$S$1:$U$3014,3,FALSE),0)</f>
        <v>0</v>
      </c>
      <c r="AW313" s="12">
        <f t="shared" si="111"/>
        <v>241.14047816324214</v>
      </c>
    </row>
    <row r="314" spans="1:49" x14ac:dyDescent="0.25">
      <c r="A314" s="2"/>
      <c r="B314" s="2"/>
      <c r="C314" s="2"/>
      <c r="D314" s="2" t="s">
        <v>2550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>
        <f t="shared" si="93"/>
        <v>2</v>
      </c>
      <c r="U314" s="18">
        <f t="shared" si="94"/>
        <v>3</v>
      </c>
      <c r="V314" s="18">
        <f t="shared" si="95"/>
        <v>2025</v>
      </c>
      <c r="W314" s="18">
        <f t="shared" si="96"/>
        <v>5</v>
      </c>
      <c r="X314" s="18">
        <f t="shared" si="97"/>
        <v>2025</v>
      </c>
      <c r="Y314" s="2">
        <f t="shared" si="90"/>
        <v>0.69537020059761856</v>
      </c>
      <c r="Z314" t="str">
        <f t="shared" si="91"/>
        <v>SO16770</v>
      </c>
      <c r="AA314" s="11">
        <f t="shared" si="98"/>
        <v>45730.338530092587</v>
      </c>
      <c r="AB314" s="5" t="str">
        <f t="shared" si="99"/>
        <v>INV12787</v>
      </c>
      <c r="AC314" s="5" t="str">
        <f>IFERROR(VLOOKUP(D314,CAARStatus!$A$2:$AA$1600,22,FALSE),"Not invoiced")</f>
        <v>Paid</v>
      </c>
      <c r="AD314" s="11">
        <f>IF(AC314="Paid",IFERROR(VLOOKUP(D314,CAARStatus!$A$2:$AA$1600,6,FALSE),"Pending"),"Pending")</f>
        <v>45786</v>
      </c>
      <c r="AE314" s="5" t="str">
        <f t="shared" si="100"/>
        <v>4500566720</v>
      </c>
      <c r="AF314" s="5" t="str">
        <f t="shared" si="101"/>
        <v>Glencore Canada Corporation - Rouyn-Noranda</v>
      </c>
      <c r="AG314" s="5" t="str">
        <f t="shared" si="102"/>
        <v>CAD</v>
      </c>
      <c r="AH314" s="5">
        <f t="shared" si="103"/>
        <v>0</v>
      </c>
      <c r="AI314" s="12">
        <f>IF(L314-N314=0,VLOOKUP(U314,rate!A$4:B$15,2,FALSE)*AH314,IF(AG314="USD",O314,AH314*Y314))</f>
        <v>0</v>
      </c>
      <c r="AJ314" s="13">
        <f t="shared" si="104"/>
        <v>0</v>
      </c>
      <c r="AK314" s="13">
        <f>-IF(AG314="CAD",IFERROR(VLOOKUP(D314,CAARStatus!$A$1:$Y$1600,16,FALSE),0),0)</f>
        <v>-304.26</v>
      </c>
      <c r="AL314" s="13">
        <f>-IF(AG314="USD",IFERROR(VLOOKUP(D314,CAARStatus!$A$1:$Y$1600,11,FALSE),0),0)</f>
        <v>0</v>
      </c>
      <c r="AM314" s="22">
        <f t="shared" si="105"/>
        <v>-304.26</v>
      </c>
      <c r="AN314" s="12" t="str">
        <f t="shared" si="106"/>
        <v/>
      </c>
      <c r="AO314" s="12" t="str">
        <f t="shared" si="107"/>
        <v>Yes</v>
      </c>
      <c r="AP314" t="str">
        <f t="shared" si="92"/>
        <v>XX</v>
      </c>
      <c r="AQ314" t="str">
        <f>IFERROR(VLOOKUP(Z314,InvBal!$L$4:$P$600,4,FALSE),"Pend")</f>
        <v>Yes</v>
      </c>
      <c r="AR314" t="str">
        <f>IFERROR(VLOOKUP(D314,Manual!$C$1:$E$22,2,FALSE),"Pend")</f>
        <v>Pend</v>
      </c>
      <c r="AS314" t="str">
        <f t="shared" si="108"/>
        <v>Yes</v>
      </c>
      <c r="AT314" t="str">
        <f t="shared" si="109"/>
        <v/>
      </c>
      <c r="AU314" s="51" t="str">
        <f t="shared" si="110"/>
        <v/>
      </c>
      <c r="AV314" s="12">
        <f>IFERROR(VLOOKUP(D314,'Receivable Invoice Detail'!$S$1:$U$3014,3,FALSE),0)</f>
        <v>0</v>
      </c>
      <c r="AW314" s="12">
        <f t="shared" si="111"/>
        <v>0</v>
      </c>
    </row>
    <row r="315" spans="1:49" ht="30" x14ac:dyDescent="0.25">
      <c r="A315" s="2">
        <v>1</v>
      </c>
      <c r="B315" s="2" t="s">
        <v>1685</v>
      </c>
      <c r="C315" s="2" t="s">
        <v>1686</v>
      </c>
      <c r="D315" s="2" t="s">
        <v>2604</v>
      </c>
      <c r="E315" s="2" t="s">
        <v>20</v>
      </c>
      <c r="F315" s="3">
        <v>45730.447615740741</v>
      </c>
      <c r="G315" s="3">
        <v>45747.630983796298</v>
      </c>
      <c r="H315" s="4">
        <v>45748</v>
      </c>
      <c r="I315" s="2" t="s">
        <v>21</v>
      </c>
      <c r="J315" s="2" t="s">
        <v>22</v>
      </c>
      <c r="K315" s="2">
        <v>1</v>
      </c>
      <c r="L315" s="2">
        <v>2422.23</v>
      </c>
      <c r="M315" s="2">
        <v>0</v>
      </c>
      <c r="N315" s="2">
        <v>1687.7022756884139</v>
      </c>
      <c r="O315" s="2">
        <v>2306.88</v>
      </c>
      <c r="P315" s="2">
        <v>115.35</v>
      </c>
      <c r="Q315" s="2">
        <v>2422.23</v>
      </c>
      <c r="R315" s="2" t="s">
        <v>44</v>
      </c>
      <c r="S315" s="2"/>
      <c r="T315" s="2">
        <f t="shared" si="93"/>
        <v>1</v>
      </c>
      <c r="U315" s="18">
        <f t="shared" si="94"/>
        <v>3</v>
      </c>
      <c r="V315" s="18">
        <f t="shared" si="95"/>
        <v>2025</v>
      </c>
      <c r="W315" s="18">
        <f t="shared" si="96"/>
        <v>6</v>
      </c>
      <c r="X315" s="18">
        <f t="shared" si="97"/>
        <v>2025</v>
      </c>
      <c r="Y315" s="2">
        <f t="shared" si="90"/>
        <v>0.69675558294976692</v>
      </c>
      <c r="Z315" t="str">
        <f t="shared" si="91"/>
        <v>SO16772</v>
      </c>
      <c r="AA315" s="11">
        <f t="shared" si="98"/>
        <v>45730.447615740741</v>
      </c>
      <c r="AB315" s="5" t="str">
        <f t="shared" si="99"/>
        <v>INV12812</v>
      </c>
      <c r="AC315" s="5" t="str">
        <f>IFERROR(VLOOKUP(D315,CAARStatus!$A$2:$AA$1600,22,FALSE),"Not invoiced")</f>
        <v>Paid</v>
      </c>
      <c r="AD315" s="11">
        <f>IF(AC315="Paid",IFERROR(VLOOKUP(D315,CAARStatus!$A$2:$AA$1600,6,FALSE),"Pending"),"Pending")</f>
        <v>45810</v>
      </c>
      <c r="AE315" s="5" t="str">
        <f t="shared" si="100"/>
        <v>4500586282</v>
      </c>
      <c r="AF315" s="5" t="str">
        <f t="shared" si="101"/>
        <v>Resolute Forest Products - Saint-Felicien</v>
      </c>
      <c r="AG315" s="5" t="str">
        <f t="shared" si="102"/>
        <v>CAD</v>
      </c>
      <c r="AH315" s="5">
        <f t="shared" si="103"/>
        <v>2306.88</v>
      </c>
      <c r="AI315" s="12">
        <f>IF(L315-N315=0,VLOOKUP(U315,rate!A$4:B$15,2,FALSE)*AH315,IF(AG315="USD",O315,AH315*Y315))</f>
        <v>1607.3315191951583</v>
      </c>
      <c r="AJ315" s="13">
        <f t="shared" si="104"/>
        <v>0.69675558294976692</v>
      </c>
      <c r="AK315" s="13">
        <f>-IF(AG315="CAD",IFERROR(VLOOKUP(D315,CAARStatus!$A$1:$Y$1600,16,FALSE),0),0)</f>
        <v>-2306.88</v>
      </c>
      <c r="AL315" s="13">
        <f>-IF(AG315="USD",IFERROR(VLOOKUP(D315,CAARStatus!$A$1:$Y$1600,11,FALSE),0),0)</f>
        <v>0</v>
      </c>
      <c r="AM315" s="22">
        <f t="shared" si="105"/>
        <v>0</v>
      </c>
      <c r="AN315" s="12" t="str">
        <f t="shared" si="106"/>
        <v/>
      </c>
      <c r="AO315" s="12" t="str">
        <f t="shared" si="107"/>
        <v>Yes</v>
      </c>
      <c r="AP315" t="str">
        <f t="shared" si="92"/>
        <v>Yes</v>
      </c>
      <c r="AQ315" t="str">
        <f>IFERROR(VLOOKUP(Z315,InvBal!$L$4:$P$600,4,FALSE),"Pend")</f>
        <v>Pend</v>
      </c>
      <c r="AR315" t="str">
        <f>IFERROR(VLOOKUP(D315,Manual!$C$1:$E$22,2,FALSE),"Pend")</f>
        <v>Pend</v>
      </c>
      <c r="AS315" t="str">
        <f t="shared" si="108"/>
        <v>Yes</v>
      </c>
      <c r="AT315" t="str">
        <f t="shared" si="109"/>
        <v>Yes</v>
      </c>
      <c r="AU315" s="51" t="str">
        <f t="shared" si="110"/>
        <v>Yes</v>
      </c>
      <c r="AV315" s="12">
        <f>IFERROR(VLOOKUP(D315,'Receivable Invoice Detail'!$S$1:$U$3014,3,FALSE),0)</f>
        <v>0</v>
      </c>
      <c r="AW315" s="12">
        <f t="shared" si="111"/>
        <v>1607.3315191951583</v>
      </c>
    </row>
    <row r="316" spans="1:49" x14ac:dyDescent="0.25">
      <c r="A316" s="2">
        <v>1</v>
      </c>
      <c r="B316" s="2" t="s">
        <v>1776</v>
      </c>
      <c r="C316" s="2" t="s">
        <v>1777</v>
      </c>
      <c r="D316" s="2" t="s">
        <v>2553</v>
      </c>
      <c r="E316" s="2" t="s">
        <v>1778</v>
      </c>
      <c r="F316" s="3">
        <v>45730.489421296297</v>
      </c>
      <c r="G316" s="3">
        <v>45730.490613425929</v>
      </c>
      <c r="H316" s="4">
        <v>45734</v>
      </c>
      <c r="I316" s="2" t="s">
        <v>21</v>
      </c>
      <c r="J316" s="2" t="s">
        <v>51</v>
      </c>
      <c r="K316" s="2">
        <v>0.69452316162135974</v>
      </c>
      <c r="L316" s="2">
        <v>747.27529430177378</v>
      </c>
      <c r="M316" s="2">
        <v>0</v>
      </c>
      <c r="N316" s="2">
        <v>519</v>
      </c>
      <c r="O316" s="2">
        <v>519</v>
      </c>
      <c r="P316" s="2"/>
      <c r="Q316" s="2">
        <v>519</v>
      </c>
      <c r="R316" s="2" t="s">
        <v>44</v>
      </c>
      <c r="S316" s="2"/>
      <c r="T316" s="2">
        <f t="shared" si="93"/>
        <v>1</v>
      </c>
      <c r="U316" s="18">
        <f t="shared" si="94"/>
        <v>3</v>
      </c>
      <c r="V316" s="18">
        <f t="shared" si="95"/>
        <v>2025</v>
      </c>
      <c r="W316" s="18">
        <f t="shared" si="96"/>
        <v>5</v>
      </c>
      <c r="X316" s="18">
        <f t="shared" si="97"/>
        <v>2025</v>
      </c>
      <c r="Y316" s="2">
        <f t="shared" si="90"/>
        <v>0.69452316162135974</v>
      </c>
      <c r="Z316" t="str">
        <f t="shared" si="91"/>
        <v>SO16774</v>
      </c>
      <c r="AA316" s="11">
        <f t="shared" si="98"/>
        <v>45730.489421296297</v>
      </c>
      <c r="AB316" s="5" t="str">
        <f t="shared" si="99"/>
        <v>INV12733</v>
      </c>
      <c r="AC316" s="5" t="str">
        <f>IFERROR(VLOOKUP(D316,CAARStatus!$A$2:$AA$1600,22,FALSE),"Not invoiced")</f>
        <v>Paid</v>
      </c>
      <c r="AD316" s="11">
        <f>IF(AC316="Paid",IFERROR(VLOOKUP(D316,CAARStatus!$A$2:$AA$1600,6,FALSE),"Pending"),"Pending")</f>
        <v>45779</v>
      </c>
      <c r="AE316" s="5" t="str">
        <f t="shared" si="100"/>
        <v>25-30654</v>
      </c>
      <c r="AF316" s="5" t="str">
        <f t="shared" si="101"/>
        <v>Advanced Engineered Pump Inc.</v>
      </c>
      <c r="AG316" s="5" t="str">
        <f t="shared" si="102"/>
        <v>USD</v>
      </c>
      <c r="AH316" s="5">
        <f t="shared" si="103"/>
        <v>747.27529430177378</v>
      </c>
      <c r="AI316" s="12">
        <f>IF(L316-N316=0,VLOOKUP(U316,rate!A$4:B$15,2,FALSE)*AH316,IF(AG316="USD",O316,AH316*Y316))</f>
        <v>519</v>
      </c>
      <c r="AJ316" s="13">
        <f t="shared" si="104"/>
        <v>0.69452316162135974</v>
      </c>
      <c r="AK316" s="13">
        <f>-IF(AG316="CAD",IFERROR(VLOOKUP(D316,CAARStatus!$A$1:$Y$1600,16,FALSE),0),0)</f>
        <v>0</v>
      </c>
      <c r="AL316" s="13">
        <f>-IF(AG316="USD",IFERROR(VLOOKUP(D316,CAARStatus!$A$1:$Y$1600,11,FALSE),0),0)</f>
        <v>-519</v>
      </c>
      <c r="AM316" s="22" t="str">
        <f t="shared" si="105"/>
        <v/>
      </c>
      <c r="AN316" s="12">
        <f t="shared" si="106"/>
        <v>0</v>
      </c>
      <c r="AO316" s="12" t="str">
        <f t="shared" si="107"/>
        <v>Yes</v>
      </c>
      <c r="AP316" t="str">
        <f t="shared" si="92"/>
        <v>Yes</v>
      </c>
      <c r="AQ316" t="str">
        <f>IFERROR(VLOOKUP(Z316,InvBal!$L$4:$P$600,4,FALSE),"Pend")</f>
        <v>Pend</v>
      </c>
      <c r="AR316" t="str">
        <f>IFERROR(VLOOKUP(D316,Manual!$C$1:$E$22,2,FALSE),"Pend")</f>
        <v>Pend</v>
      </c>
      <c r="AS316" t="str">
        <f t="shared" si="108"/>
        <v>Yes</v>
      </c>
      <c r="AT316" t="str">
        <f t="shared" si="109"/>
        <v>Yes</v>
      </c>
      <c r="AU316" s="51" t="str">
        <f t="shared" si="110"/>
        <v>Yes</v>
      </c>
      <c r="AV316" s="12">
        <f>IFERROR(VLOOKUP(D316,'Receivable Invoice Detail'!$S$1:$U$3014,3,FALSE),0)</f>
        <v>0</v>
      </c>
      <c r="AW316" s="12">
        <f t="shared" si="111"/>
        <v>519</v>
      </c>
    </row>
    <row r="317" spans="1:49" x14ac:dyDescent="0.25">
      <c r="A317" s="2">
        <v>1</v>
      </c>
      <c r="B317" s="2" t="s">
        <v>1767</v>
      </c>
      <c r="C317" s="2" t="s">
        <v>1768</v>
      </c>
      <c r="D317" s="2" t="s">
        <v>2557</v>
      </c>
      <c r="E317" s="2" t="s">
        <v>372</v>
      </c>
      <c r="F317" s="3">
        <v>45730.503298611111</v>
      </c>
      <c r="G317" s="3">
        <v>45733.5390625</v>
      </c>
      <c r="H317" s="4">
        <v>45887</v>
      </c>
      <c r="I317" s="2" t="s">
        <v>21</v>
      </c>
      <c r="J317" s="2" t="s">
        <v>22</v>
      </c>
      <c r="K317" s="2">
        <v>1</v>
      </c>
      <c r="L317" s="2">
        <v>8334.94</v>
      </c>
      <c r="M317" s="2">
        <v>8334.94</v>
      </c>
      <c r="N317" s="2">
        <v>8334.94</v>
      </c>
      <c r="O317" s="2">
        <v>7938.04</v>
      </c>
      <c r="P317" s="2">
        <v>396.9</v>
      </c>
      <c r="Q317" s="2">
        <v>8334.94</v>
      </c>
      <c r="R317" s="2" t="s">
        <v>44</v>
      </c>
      <c r="S317" s="2"/>
      <c r="T317" s="2">
        <f t="shared" si="93"/>
        <v>1</v>
      </c>
      <c r="U317" s="18">
        <f t="shared" si="94"/>
        <v>3</v>
      </c>
      <c r="V317" s="18">
        <f t="shared" si="95"/>
        <v>2025</v>
      </c>
      <c r="W317" s="18">
        <f t="shared" si="96"/>
        <v>9</v>
      </c>
      <c r="X317" s="18">
        <f t="shared" si="97"/>
        <v>2025</v>
      </c>
      <c r="Y317" s="2">
        <f t="shared" si="90"/>
        <v>1</v>
      </c>
      <c r="Z317" t="str">
        <f t="shared" si="91"/>
        <v>SO16775</v>
      </c>
      <c r="AA317" s="11">
        <f t="shared" si="98"/>
        <v>45730.503298611111</v>
      </c>
      <c r="AB317" s="5" t="str">
        <f t="shared" si="99"/>
        <v>INV13191</v>
      </c>
      <c r="AC317" s="5" t="str">
        <f>IFERROR(VLOOKUP(D317,CAARStatus!$A$2:$AA$1600,22,FALSE),"Not invoiced")</f>
        <v>Paid</v>
      </c>
      <c r="AD317" s="11">
        <f>IF(AC317="Paid",IFERROR(VLOOKUP(D317,CAARStatus!$A$2:$AA$1600,6,FALSE),"Pending"),"Pending")</f>
        <v>45912</v>
      </c>
      <c r="AE317" s="5" t="str">
        <f t="shared" si="100"/>
        <v>130080</v>
      </c>
      <c r="AF317" s="5" t="str">
        <f t="shared" si="101"/>
        <v>Cypress Sales Partnership</v>
      </c>
      <c r="AG317" s="5" t="str">
        <f t="shared" si="102"/>
        <v>CAD</v>
      </c>
      <c r="AH317" s="5">
        <f t="shared" si="103"/>
        <v>7938.04</v>
      </c>
      <c r="AI317" s="12">
        <f>IF(L317-N317=0,VLOOKUP(U317,rate!A$4:B$15,2,FALSE)*AH317,IF(AG317="USD",O317,AH317*Y317))</f>
        <v>5556.7704101209729</v>
      </c>
      <c r="AJ317" s="13">
        <f t="shared" si="104"/>
        <v>0.70001794021206409</v>
      </c>
      <c r="AK317" s="13">
        <f>-IF(AG317="CAD",IFERROR(VLOOKUP(D317,CAARStatus!$A$1:$Y$1600,16,FALSE),0),0)</f>
        <v>-7938.04</v>
      </c>
      <c r="AL317" s="13">
        <f>-IF(AG317="USD",IFERROR(VLOOKUP(D317,CAARStatus!$A$1:$Y$1600,11,FALSE),0),0)</f>
        <v>0</v>
      </c>
      <c r="AM317" s="22">
        <f t="shared" si="105"/>
        <v>0</v>
      </c>
      <c r="AN317" s="12" t="str">
        <f t="shared" si="106"/>
        <v/>
      </c>
      <c r="AO317" s="12" t="str">
        <f t="shared" si="107"/>
        <v>Yes</v>
      </c>
      <c r="AP317" t="str">
        <f t="shared" si="92"/>
        <v>Yes</v>
      </c>
      <c r="AQ317" t="str">
        <f>IFERROR(VLOOKUP(Z317,InvBal!$L$4:$P$600,4,FALSE),"Pend")</f>
        <v>Pend</v>
      </c>
      <c r="AR317" t="str">
        <f>IFERROR(VLOOKUP(D317,Manual!$C$1:$E$22,2,FALSE),"Pend")</f>
        <v>Pend</v>
      </c>
      <c r="AS317" t="str">
        <f t="shared" si="108"/>
        <v>Yes</v>
      </c>
      <c r="AT317" t="str">
        <f t="shared" si="109"/>
        <v>Yes</v>
      </c>
      <c r="AU317" s="51" t="str">
        <f t="shared" si="110"/>
        <v>Yes</v>
      </c>
      <c r="AV317" s="12">
        <f>IFERROR(VLOOKUP(D317,'Receivable Invoice Detail'!$S$1:$U$3014,3,FALSE),0)</f>
        <v>0</v>
      </c>
      <c r="AW317" s="12">
        <f t="shared" si="111"/>
        <v>5556.7704101209729</v>
      </c>
    </row>
    <row r="318" spans="1:49" ht="30" x14ac:dyDescent="0.25">
      <c r="A318" s="2">
        <v>1</v>
      </c>
      <c r="B318" s="2" t="s">
        <v>1742</v>
      </c>
      <c r="C318" s="2" t="s">
        <v>1743</v>
      </c>
      <c r="D318" s="2" t="s">
        <v>2571</v>
      </c>
      <c r="E318" s="2" t="s">
        <v>1744</v>
      </c>
      <c r="F318" s="3">
        <v>45733.371319444443</v>
      </c>
      <c r="G318" s="3">
        <v>45736.584988425922</v>
      </c>
      <c r="H318" s="4">
        <v>45737</v>
      </c>
      <c r="I318" s="2" t="s">
        <v>21</v>
      </c>
      <c r="J318" s="2" t="s">
        <v>22</v>
      </c>
      <c r="K318" s="2">
        <v>1</v>
      </c>
      <c r="L318" s="2">
        <v>171.09</v>
      </c>
      <c r="M318" s="2">
        <v>0</v>
      </c>
      <c r="N318" s="2">
        <v>119.40589572991151</v>
      </c>
      <c r="O318" s="2">
        <v>171.09</v>
      </c>
      <c r="P318" s="2"/>
      <c r="Q318" s="2">
        <v>171.09</v>
      </c>
      <c r="R318" s="2" t="s">
        <v>44</v>
      </c>
      <c r="S318" s="2"/>
      <c r="T318" s="2">
        <f t="shared" si="93"/>
        <v>1</v>
      </c>
      <c r="U318" s="18">
        <f t="shared" si="94"/>
        <v>3</v>
      </c>
      <c r="V318" s="18">
        <f t="shared" si="95"/>
        <v>2025</v>
      </c>
      <c r="W318" s="18">
        <f t="shared" si="96"/>
        <v>4</v>
      </c>
      <c r="X318" s="18">
        <f t="shared" si="97"/>
        <v>2025</v>
      </c>
      <c r="Y318" s="2">
        <f t="shared" si="90"/>
        <v>0.69791276947753522</v>
      </c>
      <c r="Z318" t="str">
        <f t="shared" si="91"/>
        <v>SO16778</v>
      </c>
      <c r="AA318" s="11">
        <f t="shared" si="98"/>
        <v>45733.371319444443</v>
      </c>
      <c r="AB318" s="5" t="str">
        <f t="shared" si="99"/>
        <v>INV12759</v>
      </c>
      <c r="AC318" s="5" t="str">
        <f>IFERROR(VLOOKUP(D318,CAARStatus!$A$2:$AA$1600,22,FALSE),"Not invoiced")</f>
        <v>Paid</v>
      </c>
      <c r="AD318" s="11">
        <f>IF(AC318="Paid",IFERROR(VLOOKUP(D318,CAARStatus!$A$2:$AA$1600,6,FALSE),"Pending"),"Pending")</f>
        <v>45768</v>
      </c>
      <c r="AE318" s="5" t="str">
        <f t="shared" si="100"/>
        <v>AB39-00081077</v>
      </c>
      <c r="AF318" s="5" t="str">
        <f t="shared" si="101"/>
        <v>Motion Industries Inc. (Canada) - Red Deer</v>
      </c>
      <c r="AG318" s="5" t="str">
        <f t="shared" si="102"/>
        <v>CAD</v>
      </c>
      <c r="AH318" s="5">
        <f t="shared" si="103"/>
        <v>171.09</v>
      </c>
      <c r="AI318" s="12">
        <f>IF(L318-N318=0,VLOOKUP(U318,rate!A$4:B$15,2,FALSE)*AH318,IF(AG318="USD",O318,AH318*Y318))</f>
        <v>119.40589572991151</v>
      </c>
      <c r="AJ318" s="13">
        <f t="shared" si="104"/>
        <v>0.69791276947753522</v>
      </c>
      <c r="AK318" s="13">
        <f>-IF(AG318="CAD",IFERROR(VLOOKUP(D318,CAARStatus!$A$1:$Y$1600,16,FALSE),0),0)</f>
        <v>-171.09</v>
      </c>
      <c r="AL318" s="13">
        <f>-IF(AG318="USD",IFERROR(VLOOKUP(D318,CAARStatus!$A$1:$Y$1600,11,FALSE),0),0)</f>
        <v>0</v>
      </c>
      <c r="AM318" s="22">
        <f t="shared" si="105"/>
        <v>0</v>
      </c>
      <c r="AN318" s="12" t="str">
        <f t="shared" si="106"/>
        <v/>
      </c>
      <c r="AO318" s="12" t="str">
        <f t="shared" si="107"/>
        <v>Yes</v>
      </c>
      <c r="AP318" t="str">
        <f t="shared" si="92"/>
        <v>Yes</v>
      </c>
      <c r="AQ318" t="str">
        <f>IFERROR(VLOOKUP(Z318,InvBal!$L$4:$P$600,4,FALSE),"Pend")</f>
        <v>Pend</v>
      </c>
      <c r="AR318" t="str">
        <f>IFERROR(VLOOKUP(D318,Manual!$C$1:$E$22,2,FALSE),"Pend")</f>
        <v>Pend</v>
      </c>
      <c r="AS318" t="str">
        <f t="shared" si="108"/>
        <v>Yes</v>
      </c>
      <c r="AT318" t="str">
        <f t="shared" si="109"/>
        <v>Yes</v>
      </c>
      <c r="AU318" s="51" t="str">
        <f t="shared" si="110"/>
        <v>Yes</v>
      </c>
      <c r="AV318" s="12">
        <f>IFERROR(VLOOKUP(D318,'Receivable Invoice Detail'!$S$1:$U$3014,3,FALSE),0)</f>
        <v>0</v>
      </c>
      <c r="AW318" s="12">
        <f t="shared" si="111"/>
        <v>119.40589572991151</v>
      </c>
    </row>
    <row r="319" spans="1:49" x14ac:dyDescent="0.25">
      <c r="A319" s="2">
        <v>2</v>
      </c>
      <c r="B319" s="2" t="s">
        <v>1666</v>
      </c>
      <c r="C319" s="2" t="s">
        <v>1667</v>
      </c>
      <c r="D319" s="2" t="s">
        <v>2616</v>
      </c>
      <c r="E319" s="2" t="s">
        <v>714</v>
      </c>
      <c r="F319" s="3">
        <v>45733.651863425926</v>
      </c>
      <c r="G319" s="3">
        <v>45749.417407407411</v>
      </c>
      <c r="H319" s="4">
        <v>45777</v>
      </c>
      <c r="I319" s="2" t="s">
        <v>21</v>
      </c>
      <c r="J319" s="2" t="s">
        <v>51</v>
      </c>
      <c r="K319" s="2">
        <v>0.69468666371025578</v>
      </c>
      <c r="L319" s="2">
        <v>8032.4271236151872</v>
      </c>
      <c r="M319" s="2">
        <v>0</v>
      </c>
      <c r="N319" s="2">
        <v>5580.02</v>
      </c>
      <c r="O319" s="2">
        <v>5580.02</v>
      </c>
      <c r="P319" s="2"/>
      <c r="Q319" s="2">
        <v>5580.02</v>
      </c>
      <c r="R319" s="2" t="s">
        <v>44</v>
      </c>
      <c r="S319" s="2"/>
      <c r="T319" s="2">
        <f t="shared" si="93"/>
        <v>2</v>
      </c>
      <c r="U319" s="18">
        <f t="shared" si="94"/>
        <v>3</v>
      </c>
      <c r="V319" s="18">
        <f t="shared" si="95"/>
        <v>2025</v>
      </c>
      <c r="W319" s="18">
        <f t="shared" si="96"/>
        <v>5</v>
      </c>
      <c r="X319" s="18">
        <f t="shared" si="97"/>
        <v>2025</v>
      </c>
      <c r="Y319" s="2">
        <f t="shared" si="90"/>
        <v>0.69468666371025578</v>
      </c>
      <c r="Z319" t="str">
        <f t="shared" si="91"/>
        <v>SO16783</v>
      </c>
      <c r="AA319" s="11">
        <f t="shared" si="98"/>
        <v>45733.651863425926</v>
      </c>
      <c r="AB319" s="5" t="str">
        <f t="shared" si="99"/>
        <v>INV12917</v>
      </c>
      <c r="AC319" s="5" t="str">
        <f>IFERROR(VLOOKUP(D319,CAARStatus!$A$2:$AA$1600,22,FALSE),"Not invoiced")</f>
        <v>Paid</v>
      </c>
      <c r="AD319" s="11">
        <f>IF(AC319="Paid",IFERROR(VLOOKUP(D319,CAARStatus!$A$2:$AA$1600,6,FALSE),"Pending"),"Pending")</f>
        <v>45804</v>
      </c>
      <c r="AE319" s="5" t="str">
        <f t="shared" si="100"/>
        <v>S306621</v>
      </c>
      <c r="AF319" s="5" t="str">
        <f t="shared" si="101"/>
        <v>Kumtor Gold Company</v>
      </c>
      <c r="AG319" s="5" t="str">
        <f t="shared" si="102"/>
        <v>USD</v>
      </c>
      <c r="AH319" s="5">
        <f t="shared" si="103"/>
        <v>8032.4271236151872</v>
      </c>
      <c r="AI319" s="12">
        <f>IF(L319-N319=0,VLOOKUP(U319,rate!A$4:B$15,2,FALSE)*AH319,IF(AG319="USD",O319,AH319*Y319))</f>
        <v>5580.02</v>
      </c>
      <c r="AJ319" s="13">
        <f t="shared" si="104"/>
        <v>0.69468666371025578</v>
      </c>
      <c r="AK319" s="13">
        <f>-IF(AG319="CAD",IFERROR(VLOOKUP(D319,CAARStatus!$A$1:$Y$1600,16,FALSE),0),0)</f>
        <v>0</v>
      </c>
      <c r="AL319" s="13">
        <f>-IF(AG319="USD",IFERROR(VLOOKUP(D319,CAARStatus!$A$1:$Y$1600,11,FALSE),0),0)</f>
        <v>-189.35</v>
      </c>
      <c r="AM319" s="22" t="str">
        <f t="shared" si="105"/>
        <v/>
      </c>
      <c r="AN319" s="12">
        <f t="shared" si="106"/>
        <v>5390.67</v>
      </c>
      <c r="AO319" s="12" t="str">
        <f t="shared" si="107"/>
        <v>Yes</v>
      </c>
      <c r="AP319" t="str">
        <f t="shared" si="92"/>
        <v>XX</v>
      </c>
      <c r="AQ319" t="str">
        <f>IFERROR(VLOOKUP(Z319,InvBal!$L$4:$P$600,4,FALSE),"Pend")</f>
        <v>Yes</v>
      </c>
      <c r="AR319" t="str">
        <f>IFERROR(VLOOKUP(D319,Manual!$C$1:$E$22,2,FALSE),"Pend")</f>
        <v>Pend</v>
      </c>
      <c r="AS319" t="str">
        <f t="shared" si="108"/>
        <v>Yes</v>
      </c>
      <c r="AT319" t="str">
        <f t="shared" si="109"/>
        <v>Yes</v>
      </c>
      <c r="AU319" s="51" t="str">
        <f t="shared" si="110"/>
        <v>Yes</v>
      </c>
      <c r="AV319" s="12">
        <f>IFERROR(VLOOKUP(D319,'Receivable Invoice Detail'!$S$1:$U$3014,3,FALSE),0)</f>
        <v>0</v>
      </c>
      <c r="AW319" s="12">
        <f t="shared" si="111"/>
        <v>5580.02</v>
      </c>
    </row>
    <row r="320" spans="1:49" x14ac:dyDescent="0.25">
      <c r="A320" s="2"/>
      <c r="B320" s="2"/>
      <c r="C320" s="2"/>
      <c r="D320" s="2" t="s">
        <v>2615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>
        <f t="shared" si="93"/>
        <v>2</v>
      </c>
      <c r="U320" s="18">
        <f t="shared" si="94"/>
        <v>3</v>
      </c>
      <c r="V320" s="18">
        <f t="shared" si="95"/>
        <v>2025</v>
      </c>
      <c r="W320" s="18">
        <f t="shared" si="96"/>
        <v>4</v>
      </c>
      <c r="X320" s="18">
        <f t="shared" si="97"/>
        <v>2025</v>
      </c>
      <c r="Y320" s="2">
        <f t="shared" si="90"/>
        <v>0.69468666371025578</v>
      </c>
      <c r="Z320" t="str">
        <f t="shared" si="91"/>
        <v>SO16783</v>
      </c>
      <c r="AA320" s="11">
        <f t="shared" si="98"/>
        <v>45733.651863425926</v>
      </c>
      <c r="AB320" s="5" t="str">
        <f t="shared" si="99"/>
        <v>INV12823</v>
      </c>
      <c r="AC320" s="5" t="str">
        <f>IFERROR(VLOOKUP(D320,CAARStatus!$A$2:$AA$1600,22,FALSE),"Not invoiced")</f>
        <v>Paid</v>
      </c>
      <c r="AD320" s="11">
        <f>IF(AC320="Paid",IFERROR(VLOOKUP(D320,CAARStatus!$A$2:$AA$1600,6,FALSE),"Pending"),"Pending")</f>
        <v>45763</v>
      </c>
      <c r="AE320" s="5" t="str">
        <f t="shared" si="100"/>
        <v>S306621</v>
      </c>
      <c r="AF320" s="5" t="str">
        <f t="shared" si="101"/>
        <v>Kumtor Gold Company</v>
      </c>
      <c r="AG320" s="5" t="str">
        <f t="shared" si="102"/>
        <v>USD</v>
      </c>
      <c r="AH320" s="5">
        <f t="shared" si="103"/>
        <v>0</v>
      </c>
      <c r="AI320" s="12">
        <f>IF(L320-N320=0,VLOOKUP(U320,rate!A$4:B$15,2,FALSE)*AH320,IF(AG320="USD",O320,AH320*Y320))</f>
        <v>0</v>
      </c>
      <c r="AJ320" s="13">
        <f t="shared" si="104"/>
        <v>0</v>
      </c>
      <c r="AK320" s="13">
        <f>-IF(AG320="CAD",IFERROR(VLOOKUP(D320,CAARStatus!$A$1:$Y$1600,16,FALSE),0),0)</f>
        <v>0</v>
      </c>
      <c r="AL320" s="13">
        <f>-IF(AG320="USD",IFERROR(VLOOKUP(D320,CAARStatus!$A$1:$Y$1600,11,FALSE),0),0)</f>
        <v>-5390.67</v>
      </c>
      <c r="AM320" s="22" t="str">
        <f t="shared" si="105"/>
        <v/>
      </c>
      <c r="AN320" s="12">
        <f t="shared" si="106"/>
        <v>-5390.67</v>
      </c>
      <c r="AO320" s="12" t="str">
        <f t="shared" si="107"/>
        <v>Yes</v>
      </c>
      <c r="AP320" t="str">
        <f t="shared" si="92"/>
        <v>XX</v>
      </c>
      <c r="AQ320" t="str">
        <f>IFERROR(VLOOKUP(Z320,InvBal!$L$4:$P$600,4,FALSE),"Pend")</f>
        <v>Yes</v>
      </c>
      <c r="AR320" t="str">
        <f>IFERROR(VLOOKUP(D320,Manual!$C$1:$E$22,2,FALSE),"Pend")</f>
        <v>Pend</v>
      </c>
      <c r="AS320" t="str">
        <f t="shared" si="108"/>
        <v>Yes</v>
      </c>
      <c r="AT320" t="str">
        <f t="shared" si="109"/>
        <v/>
      </c>
      <c r="AU320" s="51" t="str">
        <f t="shared" si="110"/>
        <v/>
      </c>
      <c r="AV320" s="12">
        <f>IFERROR(VLOOKUP(D320,'Receivable Invoice Detail'!$S$1:$U$3014,3,FALSE),0)</f>
        <v>0</v>
      </c>
      <c r="AW320" s="12">
        <f t="shared" si="111"/>
        <v>0</v>
      </c>
    </row>
    <row r="321" spans="1:49" ht="30" x14ac:dyDescent="0.25">
      <c r="A321" s="2">
        <v>1</v>
      </c>
      <c r="B321" s="2" t="s">
        <v>1765</v>
      </c>
      <c r="C321" s="2" t="s">
        <v>1766</v>
      </c>
      <c r="D321" s="2" t="s">
        <v>2558</v>
      </c>
      <c r="E321" s="2" t="s">
        <v>129</v>
      </c>
      <c r="F321" s="3">
        <v>45734.451956018522</v>
      </c>
      <c r="G321" s="3">
        <v>45734.452962962961</v>
      </c>
      <c r="H321" s="4">
        <v>45772</v>
      </c>
      <c r="I321" s="2" t="s">
        <v>130</v>
      </c>
      <c r="J321" s="2" t="s">
        <v>51</v>
      </c>
      <c r="K321" s="2">
        <v>0.69620152464306795</v>
      </c>
      <c r="L321" s="2">
        <v>1291.2927768448999</v>
      </c>
      <c r="M321" s="2">
        <v>0</v>
      </c>
      <c r="N321" s="2">
        <v>899</v>
      </c>
      <c r="O321" s="2">
        <v>899</v>
      </c>
      <c r="P321" s="2"/>
      <c r="Q321" s="2">
        <v>899</v>
      </c>
      <c r="R321" s="2" t="s">
        <v>44</v>
      </c>
      <c r="S321" s="2"/>
      <c r="T321" s="2">
        <f t="shared" si="93"/>
        <v>1</v>
      </c>
      <c r="U321" s="18">
        <f t="shared" si="94"/>
        <v>3</v>
      </c>
      <c r="V321" s="18">
        <f t="shared" si="95"/>
        <v>2025</v>
      </c>
      <c r="W321" s="18" t="str">
        <f t="shared" si="96"/>
        <v/>
      </c>
      <c r="X321" s="18" t="str">
        <f t="shared" si="97"/>
        <v/>
      </c>
      <c r="Y321" s="2">
        <f t="shared" si="90"/>
        <v>0.69620152464306784</v>
      </c>
      <c r="Z321" t="str">
        <f t="shared" si="91"/>
        <v>SO16787</v>
      </c>
      <c r="AA321" s="11">
        <f t="shared" si="98"/>
        <v>45734.451956018522</v>
      </c>
      <c r="AB321" s="5" t="str">
        <f t="shared" si="99"/>
        <v>INV12958</v>
      </c>
      <c r="AC321" s="5" t="str">
        <f>IFERROR(VLOOKUP(D321,CAARStatus!$A$2:$AA$1600,22,FALSE),"Not invoiced")</f>
        <v>Approved</v>
      </c>
      <c r="AD321" s="11" t="str">
        <f>IF(AC321="Paid",IFERROR(VLOOKUP(D321,CAARStatus!$A$2:$AA$1600,6,FALSE),"Pending"),"Pending")</f>
        <v>Pending</v>
      </c>
      <c r="AE321" s="5" t="str">
        <f t="shared" si="100"/>
        <v>OC00156</v>
      </c>
      <c r="AF321" s="5" t="str">
        <f t="shared" si="101"/>
        <v>Dynapro Pumps México S de RL de CV</v>
      </c>
      <c r="AG321" s="5" t="str">
        <f t="shared" si="102"/>
        <v>USD</v>
      </c>
      <c r="AH321" s="5">
        <f t="shared" si="103"/>
        <v>1291.2927768448997</v>
      </c>
      <c r="AI321" s="12">
        <f>IF(L321-N321=0,VLOOKUP(U321,rate!A$4:B$15,2,FALSE)*AH321,IF(AG321="USD",O321,AH321*Y321))</f>
        <v>899</v>
      </c>
      <c r="AJ321" s="13">
        <f t="shared" si="104"/>
        <v>0.69620152464306795</v>
      </c>
      <c r="AK321" s="13">
        <f>-IF(AG321="CAD",IFERROR(VLOOKUP(D321,CAARStatus!$A$1:$Y$1600,16,FALSE),0),0)</f>
        <v>0</v>
      </c>
      <c r="AL321" s="13">
        <f>-IF(AG321="USD",IFERROR(VLOOKUP(D321,CAARStatus!$A$1:$Y$1600,11,FALSE),0),0)</f>
        <v>-899</v>
      </c>
      <c r="AM321" s="22" t="str">
        <f t="shared" si="105"/>
        <v/>
      </c>
      <c r="AN321" s="12">
        <f t="shared" si="106"/>
        <v>0</v>
      </c>
      <c r="AO321" s="12" t="str">
        <f t="shared" si="107"/>
        <v>Pend</v>
      </c>
      <c r="AP321" t="str">
        <f t="shared" si="92"/>
        <v>Pend</v>
      </c>
      <c r="AQ321" t="str">
        <f>IFERROR(VLOOKUP(Z321,InvBal!$L$4:$P$600,4,FALSE),"Pend")</f>
        <v>Pend</v>
      </c>
      <c r="AR321" t="str">
        <f>IFERROR(VLOOKUP(D321,Manual!$C$1:$E$22,2,FALSE),"Pend")</f>
        <v>Pend</v>
      </c>
      <c r="AS321" t="str">
        <f t="shared" si="108"/>
        <v/>
      </c>
      <c r="AT321" t="str">
        <f t="shared" si="109"/>
        <v>Yes</v>
      </c>
      <c r="AU321" s="51" t="str">
        <f t="shared" si="110"/>
        <v/>
      </c>
      <c r="AV321" s="12">
        <f>IFERROR(VLOOKUP(D321,'Receivable Invoice Detail'!$S$1:$U$3014,3,FALSE),0)</f>
        <v>0</v>
      </c>
      <c r="AW321" s="12">
        <f t="shared" si="111"/>
        <v>0</v>
      </c>
    </row>
    <row r="322" spans="1:49" ht="45" x14ac:dyDescent="0.25">
      <c r="A322" s="2">
        <v>2</v>
      </c>
      <c r="B322" s="2" t="s">
        <v>1761</v>
      </c>
      <c r="C322" s="2" t="s">
        <v>1762</v>
      </c>
      <c r="D322" s="2" t="s">
        <v>2561</v>
      </c>
      <c r="E322" s="2" t="s">
        <v>502</v>
      </c>
      <c r="F322" s="3">
        <v>45734.457650462973</v>
      </c>
      <c r="G322" s="3">
        <v>45734.539699074077</v>
      </c>
      <c r="H322" s="4">
        <v>45755</v>
      </c>
      <c r="I322" s="2" t="s">
        <v>21</v>
      </c>
      <c r="J322" s="2" t="s">
        <v>22</v>
      </c>
      <c r="K322" s="2">
        <v>1</v>
      </c>
      <c r="L322" s="2">
        <v>2887.52</v>
      </c>
      <c r="M322" s="2">
        <v>0</v>
      </c>
      <c r="N322" s="2">
        <v>2017.590543266228</v>
      </c>
      <c r="O322" s="2">
        <v>2750.02</v>
      </c>
      <c r="P322" s="2">
        <v>137.5</v>
      </c>
      <c r="Q322" s="2">
        <v>2887.52</v>
      </c>
      <c r="R322" s="2" t="s">
        <v>44</v>
      </c>
      <c r="S322" s="2"/>
      <c r="T322" s="2">
        <f t="shared" si="93"/>
        <v>2</v>
      </c>
      <c r="U322" s="18">
        <f t="shared" si="94"/>
        <v>3</v>
      </c>
      <c r="V322" s="18">
        <f t="shared" si="95"/>
        <v>2025</v>
      </c>
      <c r="W322" s="18">
        <f t="shared" si="96"/>
        <v>5</v>
      </c>
      <c r="X322" s="18">
        <f t="shared" si="97"/>
        <v>2025</v>
      </c>
      <c r="Y322" s="2">
        <f t="shared" ref="Y322:Y385" si="112">IF(C322="",Y321,N322/L322)</f>
        <v>0.69872781600343137</v>
      </c>
      <c r="Z322" t="str">
        <f t="shared" ref="Z322:Z385" si="113">IF(B322="",Z321,B322)</f>
        <v>SO16788</v>
      </c>
      <c r="AA322" s="11">
        <f t="shared" si="98"/>
        <v>45734.457650462973</v>
      </c>
      <c r="AB322" s="5" t="str">
        <f t="shared" si="99"/>
        <v>INV12799</v>
      </c>
      <c r="AC322" s="5" t="str">
        <f>IFERROR(VLOOKUP(D322,CAARStatus!$A$2:$AA$1600,22,FALSE),"Not invoiced")</f>
        <v>Paid</v>
      </c>
      <c r="AD322" s="11">
        <f>IF(AC322="Paid",IFERROR(VLOOKUP(D322,CAARStatus!$A$2:$AA$1600,6,FALSE),"Pending"),"Pending")</f>
        <v>45779</v>
      </c>
      <c r="AE322" s="5" t="str">
        <f t="shared" si="100"/>
        <v>4500567129</v>
      </c>
      <c r="AF322" s="5" t="str">
        <f t="shared" si="101"/>
        <v>Glencore Canada Corporation - Rouyn-Noranda, Glencore Canada Corp.</v>
      </c>
      <c r="AG322" s="5" t="str">
        <f t="shared" si="102"/>
        <v>CAD</v>
      </c>
      <c r="AH322" s="5">
        <f t="shared" si="103"/>
        <v>2750.02</v>
      </c>
      <c r="AI322" s="12">
        <f>IF(L322-N322=0,VLOOKUP(U322,rate!A$4:B$15,2,FALSE)*AH322,IF(AG322="USD",O322,AH322*Y322))</f>
        <v>1921.5154685657562</v>
      </c>
      <c r="AJ322" s="13">
        <f t="shared" si="104"/>
        <v>0.69872781600343137</v>
      </c>
      <c r="AK322" s="13">
        <f>-IF(AG322="CAD",IFERROR(VLOOKUP(D322,CAARStatus!$A$1:$Y$1600,16,FALSE),0),0)</f>
        <v>-1126.22</v>
      </c>
      <c r="AL322" s="13">
        <f>-IF(AG322="USD",IFERROR(VLOOKUP(D322,CAARStatus!$A$1:$Y$1600,11,FALSE),0),0)</f>
        <v>0</v>
      </c>
      <c r="AM322" s="22">
        <f t="shared" si="105"/>
        <v>1623.8</v>
      </c>
      <c r="AN322" s="12" t="str">
        <f t="shared" si="106"/>
        <v/>
      </c>
      <c r="AO322" s="12" t="str">
        <f t="shared" si="107"/>
        <v>Yes</v>
      </c>
      <c r="AP322" t="str">
        <f t="shared" ref="AP322:AP385" si="114">IF(AND(AO322="Pend",T322&lt;2),"Pend",IF(T322=1,"Yes","XX"))</f>
        <v>XX</v>
      </c>
      <c r="AQ322" t="str">
        <f>IFERROR(VLOOKUP(Z322,InvBal!$L$4:$P$600,4,FALSE),"Pend")</f>
        <v>Yes</v>
      </c>
      <c r="AR322" t="str">
        <f>IFERROR(VLOOKUP(D322,Manual!$C$1:$E$22,2,FALSE),"Pend")</f>
        <v>Pend</v>
      </c>
      <c r="AS322" t="str">
        <f t="shared" si="108"/>
        <v>Yes</v>
      </c>
      <c r="AT322" t="str">
        <f t="shared" si="109"/>
        <v>Yes</v>
      </c>
      <c r="AU322" s="51" t="str">
        <f t="shared" si="110"/>
        <v>Yes</v>
      </c>
      <c r="AV322" s="12">
        <f>IFERROR(VLOOKUP(D322,'Receivable Invoice Detail'!$S$1:$U$3014,3,FALSE),0)</f>
        <v>0</v>
      </c>
      <c r="AW322" s="12">
        <f t="shared" si="111"/>
        <v>1921.5154685657562</v>
      </c>
    </row>
    <row r="323" spans="1:49" x14ac:dyDescent="0.25">
      <c r="A323" s="2"/>
      <c r="B323" s="2"/>
      <c r="C323" s="2"/>
      <c r="D323" s="2" t="s">
        <v>2560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>
        <f t="shared" ref="T323:T386" si="115">IF(A323="",T322,A323)</f>
        <v>2</v>
      </c>
      <c r="U323" s="18">
        <f t="shared" ref="U323:U386" si="116">IF(F323="",U322,MONTH(F323))</f>
        <v>3</v>
      </c>
      <c r="V323" s="18">
        <f t="shared" ref="V323:V386" si="117">IF(F323="",V322,YEAR(F323))</f>
        <v>2025</v>
      </c>
      <c r="W323" s="18">
        <f t="shared" ref="W323:W386" si="118">IF(AC323="Paid",MONTH(AD323),"")</f>
        <v>5</v>
      </c>
      <c r="X323" s="18">
        <f t="shared" ref="X323:X386" si="119">IF(AC323="Paid",YEAR(AD323),"")</f>
        <v>2025</v>
      </c>
      <c r="Y323" s="2">
        <f t="shared" si="112"/>
        <v>0.69872781600343137</v>
      </c>
      <c r="Z323" t="str">
        <f t="shared" si="113"/>
        <v>SO16788</v>
      </c>
      <c r="AA323" s="11">
        <f t="shared" ref="AA323:AA386" si="120">IF(F323="",AA322,F323)</f>
        <v>45734.457650462973</v>
      </c>
      <c r="AB323" s="5" t="str">
        <f t="shared" ref="AB323:AB386" si="121">IF(D323="","No Inv",D323)</f>
        <v>INV12813</v>
      </c>
      <c r="AC323" s="5" t="str">
        <f>IFERROR(VLOOKUP(D323,CAARStatus!$A$2:$AA$1600,22,FALSE),"Not invoiced")</f>
        <v>Paid</v>
      </c>
      <c r="AD323" s="11">
        <f>IF(AC323="Paid",IFERROR(VLOOKUP(D323,CAARStatus!$A$2:$AA$1600,6,FALSE),"Pending"),"Pending")</f>
        <v>45793</v>
      </c>
      <c r="AE323" s="5" t="str">
        <f t="shared" ref="AE323:AE386" si="122">IF(C323="",AE322,C323)</f>
        <v>4500567129</v>
      </c>
      <c r="AF323" s="5" t="str">
        <f t="shared" ref="AF323:AF386" si="123">IF(E323="",AF322,E323)</f>
        <v>Glencore Canada Corporation - Rouyn-Noranda, Glencore Canada Corp.</v>
      </c>
      <c r="AG323" s="5" t="str">
        <f t="shared" ref="AG323:AG386" si="124">IF(J323="",AG322,J323)</f>
        <v>CAD</v>
      </c>
      <c r="AH323" s="5">
        <f t="shared" ref="AH323:AH386" si="125">IFERROR(IF(AG323="CAD",O323,O323/K323),0)</f>
        <v>0</v>
      </c>
      <c r="AI323" s="12">
        <f>IF(L323-N323=0,VLOOKUP(U323,rate!A$4:B$15,2,FALSE)*AH323,IF(AG323="USD",O323,AH323*Y323))</f>
        <v>0</v>
      </c>
      <c r="AJ323" s="13">
        <f t="shared" ref="AJ323:AJ386" si="126">IFERROR(AI323/AH323,0)</f>
        <v>0</v>
      </c>
      <c r="AK323" s="13">
        <f>-IF(AG323="CAD",IFERROR(VLOOKUP(D323,CAARStatus!$A$1:$Y$1600,16,FALSE),0),0)</f>
        <v>-1623.8</v>
      </c>
      <c r="AL323" s="13">
        <f>-IF(AG323="USD",IFERROR(VLOOKUP(D323,CAARStatus!$A$1:$Y$1600,11,FALSE),0),0)</f>
        <v>0</v>
      </c>
      <c r="AM323" s="22">
        <f t="shared" ref="AM323:AM386" si="127">IF(AG323="CAD",AH323+AK323,"")</f>
        <v>-1623.8</v>
      </c>
      <c r="AN323" s="12" t="str">
        <f t="shared" ref="AN323:AN386" si="128">IF(AG323="USD",AI323+AL323,"")</f>
        <v/>
      </c>
      <c r="AO323" s="12" t="str">
        <f t="shared" ref="AO323:AO386" si="129">IF(AC323="Paid","Yes","Pend")</f>
        <v>Yes</v>
      </c>
      <c r="AP323" t="str">
        <f t="shared" si="114"/>
        <v>XX</v>
      </c>
      <c r="AQ323" t="str">
        <f>IFERROR(VLOOKUP(Z323,InvBal!$L$4:$P$600,4,FALSE),"Pend")</f>
        <v>Yes</v>
      </c>
      <c r="AR323" t="str">
        <f>IFERROR(VLOOKUP(D323,Manual!$C$1:$E$22,2,FALSE),"Pend")</f>
        <v>Pend</v>
      </c>
      <c r="AS323" t="str">
        <f t="shared" ref="AS323:AS386" si="130">IF(OR(AP323="Yes",AQ323="Yes",AR323="Yes"),"Yes","")</f>
        <v>Yes</v>
      </c>
      <c r="AT323" t="str">
        <f t="shared" ref="AT323:AT386" si="131">IF(R323="Delivered","Yes","")</f>
        <v/>
      </c>
      <c r="AU323" s="51" t="str">
        <f t="shared" ref="AU323:AU386" si="132">IF(AND(AS323="Yes",AT323="Yes"),"Yes","")</f>
        <v/>
      </c>
      <c r="AV323" s="12">
        <f>IFERROR(VLOOKUP(D323,'Receivable Invoice Detail'!$S$1:$U$3014,3,FALSE),0)</f>
        <v>0</v>
      </c>
      <c r="AW323" s="12">
        <f t="shared" ref="AW323:AW386" si="133">IF(AU323="Yes",AI323-AV323,0)</f>
        <v>0</v>
      </c>
    </row>
    <row r="324" spans="1:49" x14ac:dyDescent="0.25">
      <c r="A324" s="2">
        <v>1</v>
      </c>
      <c r="B324" s="2" t="s">
        <v>1732</v>
      </c>
      <c r="C324" s="2" t="s">
        <v>1733</v>
      </c>
      <c r="D324" s="2" t="s">
        <v>2579</v>
      </c>
      <c r="E324" s="2" t="s">
        <v>70</v>
      </c>
      <c r="F324" s="3">
        <v>45734.652754629627</v>
      </c>
      <c r="G324" s="3">
        <v>45741.631643518522</v>
      </c>
      <c r="H324" s="4">
        <v>45747</v>
      </c>
      <c r="I324" s="2" t="s">
        <v>71</v>
      </c>
      <c r="J324" s="2" t="s">
        <v>51</v>
      </c>
      <c r="K324" s="2">
        <v>0.69959491803052931</v>
      </c>
      <c r="L324" s="2">
        <v>15979.247006926031</v>
      </c>
      <c r="M324" s="2">
        <v>0</v>
      </c>
      <c r="N324" s="2">
        <v>11179</v>
      </c>
      <c r="O324" s="2">
        <v>11179</v>
      </c>
      <c r="P324" s="2"/>
      <c r="Q324" s="2">
        <v>11179</v>
      </c>
      <c r="R324" s="2" t="s">
        <v>44</v>
      </c>
      <c r="S324" s="2"/>
      <c r="T324" s="2">
        <f t="shared" si="115"/>
        <v>1</v>
      </c>
      <c r="U324" s="18">
        <f t="shared" si="116"/>
        <v>3</v>
      </c>
      <c r="V324" s="18">
        <f t="shared" si="117"/>
        <v>2025</v>
      </c>
      <c r="W324" s="18">
        <f t="shared" si="118"/>
        <v>7</v>
      </c>
      <c r="X324" s="18">
        <f t="shared" si="119"/>
        <v>2025</v>
      </c>
      <c r="Y324" s="2">
        <f t="shared" si="112"/>
        <v>0.69959491803052953</v>
      </c>
      <c r="Z324" t="str">
        <f t="shared" si="113"/>
        <v>SO16792</v>
      </c>
      <c r="AA324" s="11">
        <f t="shared" si="120"/>
        <v>45734.652754629627</v>
      </c>
      <c r="AB324" s="5" t="str">
        <f t="shared" si="121"/>
        <v>INV12802</v>
      </c>
      <c r="AC324" s="5" t="str">
        <f>IFERROR(VLOOKUP(D324,CAARStatus!$A$2:$AA$1600,22,FALSE),"Not invoiced")</f>
        <v>Paid</v>
      </c>
      <c r="AD324" s="11">
        <f>IF(AC324="Paid",IFERROR(VLOOKUP(D324,CAARStatus!$A$2:$AA$1600,6,FALSE),"Pending"),"Pending")</f>
        <v>45843</v>
      </c>
      <c r="AE324" s="5" t="str">
        <f t="shared" si="122"/>
        <v>P355611</v>
      </c>
      <c r="AF324" s="5" t="str">
        <f t="shared" si="123"/>
        <v>Covia Corp - Junction City</v>
      </c>
      <c r="AG324" s="5" t="str">
        <f t="shared" si="124"/>
        <v>USD</v>
      </c>
      <c r="AH324" s="5">
        <f t="shared" si="125"/>
        <v>15979.247006926034</v>
      </c>
      <c r="AI324" s="12">
        <f>IF(L324-N324=0,VLOOKUP(U324,rate!A$4:B$15,2,FALSE)*AH324,IF(AG324="USD",O324,AH324*Y324))</f>
        <v>11179</v>
      </c>
      <c r="AJ324" s="13">
        <f t="shared" si="126"/>
        <v>0.69959491803052931</v>
      </c>
      <c r="AK324" s="13">
        <f>-IF(AG324="CAD",IFERROR(VLOOKUP(D324,CAARStatus!$A$1:$Y$1600,16,FALSE),0),0)</f>
        <v>0</v>
      </c>
      <c r="AL324" s="13">
        <f>-IF(AG324="USD",IFERROR(VLOOKUP(D324,CAARStatus!$A$1:$Y$1600,11,FALSE),0),0)</f>
        <v>-11179</v>
      </c>
      <c r="AM324" s="22" t="str">
        <f t="shared" si="127"/>
        <v/>
      </c>
      <c r="AN324" s="12">
        <f t="shared" si="128"/>
        <v>0</v>
      </c>
      <c r="AO324" s="12" t="str">
        <f t="shared" si="129"/>
        <v>Yes</v>
      </c>
      <c r="AP324" t="str">
        <f t="shared" si="114"/>
        <v>Yes</v>
      </c>
      <c r="AQ324" t="str">
        <f>IFERROR(VLOOKUP(Z324,InvBal!$L$4:$P$600,4,FALSE),"Pend")</f>
        <v>Pend</v>
      </c>
      <c r="AR324" t="str">
        <f>IFERROR(VLOOKUP(D324,Manual!$C$1:$E$22,2,FALSE),"Pend")</f>
        <v>Pend</v>
      </c>
      <c r="AS324" t="str">
        <f t="shared" si="130"/>
        <v>Yes</v>
      </c>
      <c r="AT324" t="str">
        <f t="shared" si="131"/>
        <v>Yes</v>
      </c>
      <c r="AU324" s="51" t="str">
        <f t="shared" si="132"/>
        <v>Yes</v>
      </c>
      <c r="AV324" s="12">
        <f>IFERROR(VLOOKUP(D324,'Receivable Invoice Detail'!$S$1:$U$3014,3,FALSE),0)</f>
        <v>749</v>
      </c>
      <c r="AW324" s="12">
        <f t="shared" si="133"/>
        <v>10430</v>
      </c>
    </row>
    <row r="325" spans="1:49" ht="30" x14ac:dyDescent="0.25">
      <c r="A325" s="2">
        <v>1</v>
      </c>
      <c r="B325" s="2" t="s">
        <v>1757</v>
      </c>
      <c r="C325" s="2" t="s">
        <v>1758</v>
      </c>
      <c r="D325" s="2" t="s">
        <v>2563</v>
      </c>
      <c r="E325" s="2" t="s">
        <v>518</v>
      </c>
      <c r="F325" s="3">
        <v>45734.678668981483</v>
      </c>
      <c r="G325" s="3">
        <v>45734.681064814817</v>
      </c>
      <c r="H325" s="4">
        <v>45735</v>
      </c>
      <c r="I325" s="2" t="s">
        <v>21</v>
      </c>
      <c r="J325" s="2" t="s">
        <v>22</v>
      </c>
      <c r="K325" s="2">
        <v>1</v>
      </c>
      <c r="L325" s="2">
        <v>1561.69</v>
      </c>
      <c r="M325" s="2">
        <v>0</v>
      </c>
      <c r="N325" s="2">
        <v>1091.196242974399</v>
      </c>
      <c r="O325" s="2">
        <v>1487.32</v>
      </c>
      <c r="P325" s="2">
        <v>74.37</v>
      </c>
      <c r="Q325" s="2">
        <v>1561.69</v>
      </c>
      <c r="R325" s="2" t="s">
        <v>44</v>
      </c>
      <c r="S325" s="2"/>
      <c r="T325" s="2">
        <f t="shared" si="115"/>
        <v>1</v>
      </c>
      <c r="U325" s="18">
        <f t="shared" si="116"/>
        <v>3</v>
      </c>
      <c r="V325" s="18">
        <f t="shared" si="117"/>
        <v>2025</v>
      </c>
      <c r="W325" s="18">
        <f t="shared" si="118"/>
        <v>5</v>
      </c>
      <c r="X325" s="18">
        <f t="shared" si="119"/>
        <v>2025</v>
      </c>
      <c r="Y325" s="17">
        <f t="shared" si="112"/>
        <v>0.69872781600343148</v>
      </c>
      <c r="Z325" t="str">
        <f t="shared" si="113"/>
        <v>SO16793</v>
      </c>
      <c r="AA325" s="11">
        <f t="shared" si="120"/>
        <v>45734.678668981483</v>
      </c>
      <c r="AB325" s="5" t="str">
        <f t="shared" si="121"/>
        <v>INV12752</v>
      </c>
      <c r="AC325" s="5" t="str">
        <f>IFERROR(VLOOKUP(D325,CAARStatus!$A$2:$AA$1600,22,FALSE),"Not invoiced")</f>
        <v>Paid</v>
      </c>
      <c r="AD325" s="11">
        <f>IF(AC325="Paid",IFERROR(VLOOKUP(D325,CAARStatus!$A$2:$AA$1600,6,FALSE),"Pending"),"Pending")</f>
        <v>45778</v>
      </c>
      <c r="AE325" s="5" t="str">
        <f t="shared" si="122"/>
        <v>SUD1005997</v>
      </c>
      <c r="AF325" s="5" t="str">
        <f t="shared" si="123"/>
        <v>Process and Steam Specialties, Process and Steam Specialties</v>
      </c>
      <c r="AG325" s="5" t="str">
        <f t="shared" si="124"/>
        <v>CAD</v>
      </c>
      <c r="AH325" s="5">
        <f t="shared" si="125"/>
        <v>1487.32</v>
      </c>
      <c r="AI325" s="12">
        <f>IF(L325-N325=0,VLOOKUP(U325,rate!A$4:B$15,2,FALSE)*AH325,IF(AG325="USD",O325,AH325*Y325))</f>
        <v>1039.2318552982238</v>
      </c>
      <c r="AJ325" s="13">
        <f t="shared" si="126"/>
        <v>0.69872781600343159</v>
      </c>
      <c r="AK325" s="13">
        <f>-IF(AG325="CAD",IFERROR(VLOOKUP(D325,CAARStatus!$A$1:$Y$1600,16,FALSE),0),0)</f>
        <v>-1487.32</v>
      </c>
      <c r="AL325" s="13">
        <f>-IF(AG325="USD",IFERROR(VLOOKUP(D325,CAARStatus!$A$1:$Y$1600,11,FALSE),0),0)</f>
        <v>0</v>
      </c>
      <c r="AM325" s="22">
        <f t="shared" si="127"/>
        <v>0</v>
      </c>
      <c r="AN325" s="12" t="str">
        <f t="shared" si="128"/>
        <v/>
      </c>
      <c r="AO325" s="12" t="str">
        <f t="shared" si="129"/>
        <v>Yes</v>
      </c>
      <c r="AP325" t="str">
        <f t="shared" si="114"/>
        <v>Yes</v>
      </c>
      <c r="AQ325" t="str">
        <f>IFERROR(VLOOKUP(Z325,InvBal!$L$4:$P$600,4,FALSE),"Pend")</f>
        <v>Pend</v>
      </c>
      <c r="AR325" t="str">
        <f>IFERROR(VLOOKUP(D325,Manual!$C$1:$E$22,2,FALSE),"Pend")</f>
        <v>Pend</v>
      </c>
      <c r="AS325" t="str">
        <f t="shared" si="130"/>
        <v>Yes</v>
      </c>
      <c r="AT325" t="str">
        <f t="shared" si="131"/>
        <v>Yes</v>
      </c>
      <c r="AU325" s="51" t="str">
        <f t="shared" si="132"/>
        <v>Yes</v>
      </c>
      <c r="AV325" s="12">
        <f>IFERROR(VLOOKUP(D325,'Receivable Invoice Detail'!$S$1:$U$3014,3,FALSE),0)</f>
        <v>0</v>
      </c>
      <c r="AW325" s="12">
        <f t="shared" si="133"/>
        <v>1039.2318552982238</v>
      </c>
    </row>
    <row r="326" spans="1:49" ht="30" x14ac:dyDescent="0.25">
      <c r="A326" s="2">
        <v>2</v>
      </c>
      <c r="B326" s="2" t="s">
        <v>1755</v>
      </c>
      <c r="C326" s="2" t="s">
        <v>1756</v>
      </c>
      <c r="D326" s="2" t="s">
        <v>2565</v>
      </c>
      <c r="E326" s="2" t="s">
        <v>98</v>
      </c>
      <c r="F326" s="3">
        <v>45734.698472222219</v>
      </c>
      <c r="G326" s="3">
        <v>45735.379537037043</v>
      </c>
      <c r="H326" s="4">
        <v>45833</v>
      </c>
      <c r="I326" s="2" t="s">
        <v>21</v>
      </c>
      <c r="J326" s="2" t="s">
        <v>22</v>
      </c>
      <c r="K326" s="2">
        <v>1</v>
      </c>
      <c r="L326" s="2">
        <v>14190.21</v>
      </c>
      <c r="M326" s="2">
        <v>0</v>
      </c>
      <c r="N326" s="2">
        <v>9901.6397600123782</v>
      </c>
      <c r="O326" s="2">
        <v>12557.71</v>
      </c>
      <c r="P326" s="2">
        <v>1632.5</v>
      </c>
      <c r="Q326" s="2">
        <v>14190.21</v>
      </c>
      <c r="R326" s="2" t="s">
        <v>44</v>
      </c>
      <c r="S326" s="2"/>
      <c r="T326" s="2">
        <f t="shared" si="115"/>
        <v>2</v>
      </c>
      <c r="U326" s="18">
        <f t="shared" si="116"/>
        <v>3</v>
      </c>
      <c r="V326" s="18">
        <f t="shared" si="117"/>
        <v>2025</v>
      </c>
      <c r="W326" s="18">
        <f t="shared" si="118"/>
        <v>4</v>
      </c>
      <c r="X326" s="18">
        <f t="shared" si="119"/>
        <v>2025</v>
      </c>
      <c r="Y326" s="2">
        <f t="shared" si="112"/>
        <v>0.69777964949161275</v>
      </c>
      <c r="Z326" t="str">
        <f t="shared" si="113"/>
        <v>SO16794</v>
      </c>
      <c r="AA326" s="11">
        <f t="shared" si="120"/>
        <v>45734.698472222219</v>
      </c>
      <c r="AB326" s="5" t="str">
        <f t="shared" si="121"/>
        <v>INV12795</v>
      </c>
      <c r="AC326" s="5" t="str">
        <f>IFERROR(VLOOKUP(D326,CAARStatus!$A$2:$AA$1600,22,FALSE),"Not invoiced")</f>
        <v>Paid</v>
      </c>
      <c r="AD326" s="11">
        <f>IF(AC326="Paid",IFERROR(VLOOKUP(D326,CAARStatus!$A$2:$AA$1600,6,FALSE),"Pending"),"Pending")</f>
        <v>45777</v>
      </c>
      <c r="AE326" s="5" t="str">
        <f t="shared" si="122"/>
        <v>PO-007838</v>
      </c>
      <c r="AF326" s="5" t="str">
        <f t="shared" si="123"/>
        <v>Sling-Choker Manufacturing - Timmins</v>
      </c>
      <c r="AG326" s="5" t="str">
        <f t="shared" si="124"/>
        <v>CAD</v>
      </c>
      <c r="AH326" s="5">
        <f t="shared" si="125"/>
        <v>12557.71</v>
      </c>
      <c r="AI326" s="12">
        <f>IF(L326-N326=0,VLOOKUP(U326,rate!A$4:B$15,2,FALSE)*AH326,IF(AG326="USD",O326,AH326*Y326))</f>
        <v>8762.5144822173206</v>
      </c>
      <c r="AJ326" s="13">
        <f t="shared" si="126"/>
        <v>0.69777964949161286</v>
      </c>
      <c r="AK326" s="13">
        <f>-IF(AG326="CAD",IFERROR(VLOOKUP(D326,CAARStatus!$A$1:$Y$1600,16,FALSE),0),0)</f>
        <v>-211.1</v>
      </c>
      <c r="AL326" s="13">
        <f>-IF(AG326="USD",IFERROR(VLOOKUP(D326,CAARStatus!$A$1:$Y$1600,11,FALSE),0),0)</f>
        <v>0</v>
      </c>
      <c r="AM326" s="22">
        <f t="shared" si="127"/>
        <v>12346.609999999999</v>
      </c>
      <c r="AN326" s="12" t="str">
        <f t="shared" si="128"/>
        <v/>
      </c>
      <c r="AO326" s="12" t="str">
        <f t="shared" si="129"/>
        <v>Yes</v>
      </c>
      <c r="AP326" t="str">
        <f t="shared" si="114"/>
        <v>XX</v>
      </c>
      <c r="AQ326" t="str">
        <f>IFERROR(VLOOKUP(Z326,InvBal!$L$4:$P$600,4,FALSE),"Pend")</f>
        <v>Yes</v>
      </c>
      <c r="AR326" t="str">
        <f>IFERROR(VLOOKUP(D326,Manual!$C$1:$E$22,2,FALSE),"Pend")</f>
        <v>Pend</v>
      </c>
      <c r="AS326" t="str">
        <f t="shared" si="130"/>
        <v>Yes</v>
      </c>
      <c r="AT326" t="str">
        <f t="shared" si="131"/>
        <v>Yes</v>
      </c>
      <c r="AU326" s="51" t="str">
        <f t="shared" si="132"/>
        <v>Yes</v>
      </c>
      <c r="AV326" s="12">
        <f>IFERROR(VLOOKUP(D326,'Receivable Invoice Detail'!$S$1:$U$3014,3,FALSE),0)</f>
        <v>0</v>
      </c>
      <c r="AW326" s="12">
        <f t="shared" si="133"/>
        <v>8762.5144822173206</v>
      </c>
    </row>
    <row r="327" spans="1:49" x14ac:dyDescent="0.25">
      <c r="A327" s="2"/>
      <c r="B327" s="2"/>
      <c r="C327" s="2"/>
      <c r="D327" s="2" t="s">
        <v>2564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>
        <f t="shared" si="115"/>
        <v>2</v>
      </c>
      <c r="U327" s="18">
        <f t="shared" si="116"/>
        <v>3</v>
      </c>
      <c r="V327" s="18">
        <f t="shared" si="117"/>
        <v>2025</v>
      </c>
      <c r="W327" s="18">
        <f t="shared" si="118"/>
        <v>8</v>
      </c>
      <c r="X327" s="18">
        <f t="shared" si="119"/>
        <v>2025</v>
      </c>
      <c r="Y327" s="17">
        <f t="shared" si="112"/>
        <v>0.69777964949161275</v>
      </c>
      <c r="Z327" t="str">
        <f t="shared" si="113"/>
        <v>SO16794</v>
      </c>
      <c r="AA327" s="11">
        <f t="shared" si="120"/>
        <v>45734.698472222219</v>
      </c>
      <c r="AB327" s="5" t="str">
        <f t="shared" si="121"/>
        <v>INV13161</v>
      </c>
      <c r="AC327" s="5" t="str">
        <f>IFERROR(VLOOKUP(D327,CAARStatus!$A$2:$AA$1600,22,FALSE),"Not invoiced")</f>
        <v>Paid</v>
      </c>
      <c r="AD327" s="11">
        <f>IF(AC327="Paid",IFERROR(VLOOKUP(D327,CAARStatus!$A$2:$AA$1600,6,FALSE),"Pending"),"Pending")</f>
        <v>45875</v>
      </c>
      <c r="AE327" s="5" t="str">
        <f t="shared" si="122"/>
        <v>PO-007838</v>
      </c>
      <c r="AF327" s="5" t="str">
        <f t="shared" si="123"/>
        <v>Sling-Choker Manufacturing - Timmins</v>
      </c>
      <c r="AG327" s="5" t="str">
        <f t="shared" si="124"/>
        <v>CAD</v>
      </c>
      <c r="AH327" s="5">
        <f t="shared" si="125"/>
        <v>0</v>
      </c>
      <c r="AI327" s="12">
        <f>IF(L327-N327=0,VLOOKUP(U327,rate!A$4:B$15,2,FALSE)*AH327,IF(AG327="USD",O327,AH327*Y327))</f>
        <v>0</v>
      </c>
      <c r="AJ327" s="13">
        <f t="shared" si="126"/>
        <v>0</v>
      </c>
      <c r="AK327" s="13">
        <f>-IF(AG327="CAD",IFERROR(VLOOKUP(D327,CAARStatus!$A$1:$Y$1600,16,FALSE),0),0)</f>
        <v>-12346.61</v>
      </c>
      <c r="AL327" s="13">
        <f>-IF(AG327="USD",IFERROR(VLOOKUP(D327,CAARStatus!$A$1:$Y$1600,11,FALSE),0),0)</f>
        <v>0</v>
      </c>
      <c r="AM327" s="22">
        <f t="shared" si="127"/>
        <v>-12346.61</v>
      </c>
      <c r="AN327" s="12" t="str">
        <f t="shared" si="128"/>
        <v/>
      </c>
      <c r="AO327" s="12" t="str">
        <f t="shared" si="129"/>
        <v>Yes</v>
      </c>
      <c r="AP327" t="str">
        <f t="shared" si="114"/>
        <v>XX</v>
      </c>
      <c r="AQ327" t="str">
        <f>IFERROR(VLOOKUP(Z327,InvBal!$L$4:$P$600,4,FALSE),"Pend")</f>
        <v>Yes</v>
      </c>
      <c r="AR327" t="str">
        <f>IFERROR(VLOOKUP(D327,Manual!$C$1:$E$22,2,FALSE),"Pend")</f>
        <v>Pend</v>
      </c>
      <c r="AS327" t="str">
        <f t="shared" si="130"/>
        <v>Yes</v>
      </c>
      <c r="AT327" t="str">
        <f t="shared" si="131"/>
        <v/>
      </c>
      <c r="AU327" s="51" t="str">
        <f t="shared" si="132"/>
        <v/>
      </c>
      <c r="AV327" s="12">
        <f>IFERROR(VLOOKUP(D327,'Receivable Invoice Detail'!$S$1:$U$3014,3,FALSE),0)</f>
        <v>0</v>
      </c>
      <c r="AW327" s="12">
        <f t="shared" si="133"/>
        <v>0</v>
      </c>
    </row>
    <row r="328" spans="1:49" x14ac:dyDescent="0.25">
      <c r="A328" s="2">
        <v>1</v>
      </c>
      <c r="B328" s="2" t="s">
        <v>1753</v>
      </c>
      <c r="C328" s="2" t="s">
        <v>1754</v>
      </c>
      <c r="D328" s="2" t="s">
        <v>2566</v>
      </c>
      <c r="E328" s="2" t="s">
        <v>242</v>
      </c>
      <c r="F328" s="3">
        <v>45735.360706018517</v>
      </c>
      <c r="G328" s="3">
        <v>45735.513993055552</v>
      </c>
      <c r="H328" s="4">
        <v>45736</v>
      </c>
      <c r="I328" s="2" t="s">
        <v>21</v>
      </c>
      <c r="J328" s="2" t="s">
        <v>22</v>
      </c>
      <c r="K328" s="2">
        <v>1</v>
      </c>
      <c r="L328" s="2">
        <v>155.12</v>
      </c>
      <c r="M328" s="2">
        <v>0</v>
      </c>
      <c r="N328" s="2">
        <v>108.239579229139</v>
      </c>
      <c r="O328" s="2">
        <v>147.72999999999999</v>
      </c>
      <c r="P328" s="2">
        <v>7.39</v>
      </c>
      <c r="Q328" s="2">
        <v>155.12</v>
      </c>
      <c r="R328" s="2" t="s">
        <v>44</v>
      </c>
      <c r="S328" s="2"/>
      <c r="T328" s="2">
        <f t="shared" si="115"/>
        <v>1</v>
      </c>
      <c r="U328" s="18">
        <f t="shared" si="116"/>
        <v>3</v>
      </c>
      <c r="V328" s="18">
        <f t="shared" si="117"/>
        <v>2025</v>
      </c>
      <c r="W328" s="18">
        <f t="shared" si="118"/>
        <v>4</v>
      </c>
      <c r="X328" s="18">
        <f t="shared" si="119"/>
        <v>2025</v>
      </c>
      <c r="Y328" s="2">
        <f t="shared" si="112"/>
        <v>0.69777964949161286</v>
      </c>
      <c r="Z328" t="str">
        <f t="shared" si="113"/>
        <v>SO16796</v>
      </c>
      <c r="AA328" s="11">
        <f t="shared" si="120"/>
        <v>45735.360706018517</v>
      </c>
      <c r="AB328" s="5" t="str">
        <f t="shared" si="121"/>
        <v>INV12754</v>
      </c>
      <c r="AC328" s="5" t="str">
        <f>IFERROR(VLOOKUP(D328,CAARStatus!$A$2:$AA$1600,22,FALSE),"Not invoiced")</f>
        <v>Paid</v>
      </c>
      <c r="AD328" s="11">
        <f>IF(AC328="Paid",IFERROR(VLOOKUP(D328,CAARStatus!$A$2:$AA$1600,6,FALSE),"Pending"),"Pending")</f>
        <v>45770</v>
      </c>
      <c r="AE328" s="5" t="str">
        <f t="shared" si="122"/>
        <v>2100534732</v>
      </c>
      <c r="AF328" s="5" t="str">
        <f t="shared" si="123"/>
        <v>Wajax Limited - Noranda</v>
      </c>
      <c r="AG328" s="5" t="str">
        <f t="shared" si="124"/>
        <v>CAD</v>
      </c>
      <c r="AH328" s="5">
        <f t="shared" si="125"/>
        <v>147.72999999999999</v>
      </c>
      <c r="AI328" s="12">
        <f>IF(L328-N328=0,VLOOKUP(U328,rate!A$4:B$15,2,FALSE)*AH328,IF(AG328="USD",O328,AH328*Y328))</f>
        <v>103.08298761939596</v>
      </c>
      <c r="AJ328" s="13">
        <f t="shared" si="126"/>
        <v>0.69777964949161286</v>
      </c>
      <c r="AK328" s="13">
        <f>-IF(AG328="CAD",IFERROR(VLOOKUP(D328,CAARStatus!$A$1:$Y$1600,16,FALSE),0),0)</f>
        <v>-147.72999999999999</v>
      </c>
      <c r="AL328" s="13">
        <f>-IF(AG328="USD",IFERROR(VLOOKUP(D328,CAARStatus!$A$1:$Y$1600,11,FALSE),0),0)</f>
        <v>0</v>
      </c>
      <c r="AM328" s="22">
        <f t="shared" si="127"/>
        <v>0</v>
      </c>
      <c r="AN328" s="12" t="str">
        <f t="shared" si="128"/>
        <v/>
      </c>
      <c r="AO328" s="12" t="str">
        <f t="shared" si="129"/>
        <v>Yes</v>
      </c>
      <c r="AP328" t="str">
        <f t="shared" si="114"/>
        <v>Yes</v>
      </c>
      <c r="AQ328" t="str">
        <f>IFERROR(VLOOKUP(Z328,InvBal!$L$4:$P$600,4,FALSE),"Pend")</f>
        <v>Pend</v>
      </c>
      <c r="AR328" t="str">
        <f>IFERROR(VLOOKUP(D328,Manual!$C$1:$E$22,2,FALSE),"Pend")</f>
        <v>Pend</v>
      </c>
      <c r="AS328" t="str">
        <f t="shared" si="130"/>
        <v>Yes</v>
      </c>
      <c r="AT328" t="str">
        <f t="shared" si="131"/>
        <v>Yes</v>
      </c>
      <c r="AU328" s="51" t="str">
        <f t="shared" si="132"/>
        <v>Yes</v>
      </c>
      <c r="AV328" s="12">
        <f>IFERROR(VLOOKUP(D328,'Receivable Invoice Detail'!$S$1:$U$3014,3,FALSE),0)</f>
        <v>0</v>
      </c>
      <c r="AW328" s="12">
        <f t="shared" si="133"/>
        <v>103.08298761939596</v>
      </c>
    </row>
    <row r="329" spans="1:49" x14ac:dyDescent="0.25">
      <c r="A329" s="2">
        <v>1</v>
      </c>
      <c r="B329" s="2" t="s">
        <v>1749</v>
      </c>
      <c r="C329" s="2" t="s">
        <v>1750</v>
      </c>
      <c r="D329" s="2" t="s">
        <v>2568</v>
      </c>
      <c r="E329" s="2" t="s">
        <v>465</v>
      </c>
      <c r="F329" s="3">
        <v>45735.36409722222</v>
      </c>
      <c r="G329" s="3">
        <v>45736.393483796302</v>
      </c>
      <c r="H329" s="4">
        <v>45750</v>
      </c>
      <c r="I329" s="2" t="s">
        <v>21</v>
      </c>
      <c r="J329" s="2" t="s">
        <v>22</v>
      </c>
      <c r="K329" s="2">
        <v>1</v>
      </c>
      <c r="L329" s="2">
        <v>1336.67</v>
      </c>
      <c r="M329" s="2">
        <v>0</v>
      </c>
      <c r="N329" s="2">
        <v>932.87906157753673</v>
      </c>
      <c r="O329" s="2">
        <v>1182.8900000000001</v>
      </c>
      <c r="P329" s="2">
        <v>153.78</v>
      </c>
      <c r="Q329" s="2">
        <v>1336.67</v>
      </c>
      <c r="R329" s="2" t="s">
        <v>44</v>
      </c>
      <c r="S329" s="2"/>
      <c r="T329" s="2">
        <f t="shared" si="115"/>
        <v>1</v>
      </c>
      <c r="U329" s="18">
        <f t="shared" si="116"/>
        <v>3</v>
      </c>
      <c r="V329" s="18">
        <f t="shared" si="117"/>
        <v>2025</v>
      </c>
      <c r="W329" s="18">
        <f t="shared" si="118"/>
        <v>5</v>
      </c>
      <c r="X329" s="18">
        <f t="shared" si="119"/>
        <v>2025</v>
      </c>
      <c r="Y329" s="2">
        <f t="shared" si="112"/>
        <v>0.697912769477535</v>
      </c>
      <c r="Z329" t="str">
        <f t="shared" si="113"/>
        <v>SO16797</v>
      </c>
      <c r="AA329" s="11">
        <f t="shared" si="120"/>
        <v>45735.36409722222</v>
      </c>
      <c r="AB329" s="5" t="str">
        <f t="shared" si="121"/>
        <v>INV12826</v>
      </c>
      <c r="AC329" s="5" t="str">
        <f>IFERROR(VLOOKUP(D329,CAARStatus!$A$2:$AA$1600,22,FALSE),"Not invoiced")</f>
        <v>Paid</v>
      </c>
      <c r="AD329" s="11">
        <f>IF(AC329="Paid",IFERROR(VLOOKUP(D329,CAARStatus!$A$2:$AA$1600,6,FALSE),"Pending"),"Pending")</f>
        <v>45800</v>
      </c>
      <c r="AE329" s="5" t="str">
        <f t="shared" si="122"/>
        <v>M-083636</v>
      </c>
      <c r="AF329" s="5" t="str">
        <f t="shared" si="123"/>
        <v>Grant Aggregate</v>
      </c>
      <c r="AG329" s="5" t="str">
        <f t="shared" si="124"/>
        <v>CAD</v>
      </c>
      <c r="AH329" s="5">
        <f t="shared" si="125"/>
        <v>1182.8900000000001</v>
      </c>
      <c r="AI329" s="12">
        <f>IF(L329-N329=0,VLOOKUP(U329,rate!A$4:B$15,2,FALSE)*AH329,IF(AG329="USD",O329,AH329*Y329))</f>
        <v>825.55403588728143</v>
      </c>
      <c r="AJ329" s="13">
        <f t="shared" si="126"/>
        <v>0.697912769477535</v>
      </c>
      <c r="AK329" s="13">
        <f>-IF(AG329="CAD",IFERROR(VLOOKUP(D329,CAARStatus!$A$1:$Y$1600,16,FALSE),0),0)</f>
        <v>-1182.8900000000001</v>
      </c>
      <c r="AL329" s="13">
        <f>-IF(AG329="USD",IFERROR(VLOOKUP(D329,CAARStatus!$A$1:$Y$1600,11,FALSE),0),0)</f>
        <v>0</v>
      </c>
      <c r="AM329" s="22">
        <f t="shared" si="127"/>
        <v>0</v>
      </c>
      <c r="AN329" s="12" t="str">
        <f t="shared" si="128"/>
        <v/>
      </c>
      <c r="AO329" s="12" t="str">
        <f t="shared" si="129"/>
        <v>Yes</v>
      </c>
      <c r="AP329" t="str">
        <f t="shared" si="114"/>
        <v>Yes</v>
      </c>
      <c r="AQ329" t="str">
        <f>IFERROR(VLOOKUP(Z329,InvBal!$L$4:$P$600,4,FALSE),"Pend")</f>
        <v>Pend</v>
      </c>
      <c r="AR329" t="str">
        <f>IFERROR(VLOOKUP(D329,Manual!$C$1:$E$22,2,FALSE),"Pend")</f>
        <v>Pend</v>
      </c>
      <c r="AS329" t="str">
        <f t="shared" si="130"/>
        <v>Yes</v>
      </c>
      <c r="AT329" t="str">
        <f t="shared" si="131"/>
        <v>Yes</v>
      </c>
      <c r="AU329" s="51" t="str">
        <f t="shared" si="132"/>
        <v>Yes</v>
      </c>
      <c r="AV329" s="12">
        <f>IFERROR(VLOOKUP(D329,'Receivable Invoice Detail'!$S$1:$U$3014,3,FALSE),0)</f>
        <v>0</v>
      </c>
      <c r="AW329" s="12">
        <f t="shared" si="133"/>
        <v>825.55403588728143</v>
      </c>
    </row>
    <row r="330" spans="1:49" x14ac:dyDescent="0.25">
      <c r="A330" s="2">
        <v>3</v>
      </c>
      <c r="B330" s="2" t="s">
        <v>1585</v>
      </c>
      <c r="C330" s="2" t="s">
        <v>1586</v>
      </c>
      <c r="D330" s="2" t="s">
        <v>2667</v>
      </c>
      <c r="E330" s="2" t="s">
        <v>714</v>
      </c>
      <c r="F330" s="3">
        <v>45735.475891203707</v>
      </c>
      <c r="G330" s="3">
        <v>45762.415763888886</v>
      </c>
      <c r="H330" s="4">
        <v>45860</v>
      </c>
      <c r="I330" s="2" t="s">
        <v>21</v>
      </c>
      <c r="J330" s="2" t="s">
        <v>51</v>
      </c>
      <c r="K330" s="2">
        <v>0.71974046347359422</v>
      </c>
      <c r="L330" s="2">
        <v>12832.08388121817</v>
      </c>
      <c r="M330" s="2">
        <v>0</v>
      </c>
      <c r="N330" s="2">
        <v>9235.77</v>
      </c>
      <c r="O330" s="2">
        <v>9235.77</v>
      </c>
      <c r="P330" s="2"/>
      <c r="Q330" s="2">
        <v>9235.77</v>
      </c>
      <c r="R330" s="2" t="s">
        <v>44</v>
      </c>
      <c r="S330" s="2"/>
      <c r="T330" s="2">
        <f t="shared" si="115"/>
        <v>3</v>
      </c>
      <c r="U330" s="18">
        <f t="shared" si="116"/>
        <v>3</v>
      </c>
      <c r="V330" s="18">
        <f t="shared" si="117"/>
        <v>2025</v>
      </c>
      <c r="W330" s="18">
        <f t="shared" si="118"/>
        <v>5</v>
      </c>
      <c r="X330" s="18">
        <f t="shared" si="119"/>
        <v>2025</v>
      </c>
      <c r="Y330" s="2">
        <f t="shared" si="112"/>
        <v>0.71974046347359399</v>
      </c>
      <c r="Z330" t="str">
        <f t="shared" si="113"/>
        <v>SO16798</v>
      </c>
      <c r="AA330" s="11">
        <f t="shared" si="120"/>
        <v>45735.475891203707</v>
      </c>
      <c r="AB330" s="5" t="str">
        <f t="shared" si="121"/>
        <v>INV12968</v>
      </c>
      <c r="AC330" s="5" t="str">
        <f>IFERROR(VLOOKUP(D330,CAARStatus!$A$2:$AA$1600,22,FALSE),"Not invoiced")</f>
        <v>Paid</v>
      </c>
      <c r="AD330" s="11">
        <f>IF(AC330="Paid",IFERROR(VLOOKUP(D330,CAARStatus!$A$2:$AA$1600,6,FALSE),"Pending"),"Pending")</f>
        <v>45804</v>
      </c>
      <c r="AE330" s="5" t="str">
        <f t="shared" si="122"/>
        <v>S306876</v>
      </c>
      <c r="AF330" s="5" t="str">
        <f t="shared" si="123"/>
        <v>Kumtor Gold Company</v>
      </c>
      <c r="AG330" s="5" t="str">
        <f t="shared" si="124"/>
        <v>USD</v>
      </c>
      <c r="AH330" s="5">
        <f t="shared" si="125"/>
        <v>12832.083881218166</v>
      </c>
      <c r="AI330" s="12">
        <f>IF(L330-N330=0,VLOOKUP(U330,rate!A$4:B$15,2,FALSE)*AH330,IF(AG330="USD",O330,AH330*Y330))</f>
        <v>9235.77</v>
      </c>
      <c r="AJ330" s="13">
        <f t="shared" si="126"/>
        <v>0.71974046347359422</v>
      </c>
      <c r="AK330" s="13">
        <f>-IF(AG330="CAD",IFERROR(VLOOKUP(D330,CAARStatus!$A$1:$Y$1600,16,FALSE),0),0)</f>
        <v>0</v>
      </c>
      <c r="AL330" s="13">
        <f>-IF(AG330="USD",IFERROR(VLOOKUP(D330,CAARStatus!$A$1:$Y$1600,11,FALSE),0),0)</f>
        <v>-2392.75</v>
      </c>
      <c r="AM330" s="22" t="str">
        <f t="shared" si="127"/>
        <v/>
      </c>
      <c r="AN330" s="12">
        <f t="shared" si="128"/>
        <v>6843.02</v>
      </c>
      <c r="AO330" s="12" t="str">
        <f t="shared" si="129"/>
        <v>Yes</v>
      </c>
      <c r="AP330" t="str">
        <f t="shared" si="114"/>
        <v>XX</v>
      </c>
      <c r="AQ330" t="str">
        <f>IFERROR(VLOOKUP(Z330,InvBal!$L$4:$P$600,4,FALSE),"Pend")</f>
        <v>Yes</v>
      </c>
      <c r="AR330" t="str">
        <f>IFERROR(VLOOKUP(D330,Manual!$C$1:$E$22,2,FALSE),"Pend")</f>
        <v>Pend</v>
      </c>
      <c r="AS330" t="str">
        <f t="shared" si="130"/>
        <v>Yes</v>
      </c>
      <c r="AT330" t="str">
        <f t="shared" si="131"/>
        <v>Yes</v>
      </c>
      <c r="AU330" s="51" t="str">
        <f t="shared" si="132"/>
        <v>Yes</v>
      </c>
      <c r="AV330" s="12">
        <f>IFERROR(VLOOKUP(D330,'Receivable Invoice Detail'!$S$1:$U$3014,3,FALSE),0)</f>
        <v>0</v>
      </c>
      <c r="AW330" s="12">
        <f t="shared" si="133"/>
        <v>9235.77</v>
      </c>
    </row>
    <row r="331" spans="1:49" x14ac:dyDescent="0.25">
      <c r="A331" s="2"/>
      <c r="B331" s="2"/>
      <c r="C331" s="2"/>
      <c r="D331" s="2" t="s">
        <v>2666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>
        <f t="shared" si="115"/>
        <v>3</v>
      </c>
      <c r="U331" s="18">
        <f t="shared" si="116"/>
        <v>3</v>
      </c>
      <c r="V331" s="18">
        <f t="shared" si="117"/>
        <v>2025</v>
      </c>
      <c r="W331" s="18">
        <f t="shared" si="118"/>
        <v>5</v>
      </c>
      <c r="X331" s="18">
        <f t="shared" si="119"/>
        <v>2025</v>
      </c>
      <c r="Y331" s="2">
        <f t="shared" si="112"/>
        <v>0.71974046347359399</v>
      </c>
      <c r="Z331" t="str">
        <f t="shared" si="113"/>
        <v>SO16798</v>
      </c>
      <c r="AA331" s="11">
        <f t="shared" si="120"/>
        <v>45735.475891203707</v>
      </c>
      <c r="AB331" s="5" t="str">
        <f t="shared" si="121"/>
        <v>INV12916</v>
      </c>
      <c r="AC331" s="5" t="str">
        <f>IFERROR(VLOOKUP(D331,CAARStatus!$A$2:$AA$1600,22,FALSE),"Not invoiced")</f>
        <v>Paid</v>
      </c>
      <c r="AD331" s="11">
        <f>IF(AC331="Paid",IFERROR(VLOOKUP(D331,CAARStatus!$A$2:$AA$1600,6,FALSE),"Pending"),"Pending")</f>
        <v>45804</v>
      </c>
      <c r="AE331" s="5" t="str">
        <f t="shared" si="122"/>
        <v>S306876</v>
      </c>
      <c r="AF331" s="5" t="str">
        <f t="shared" si="123"/>
        <v>Kumtor Gold Company</v>
      </c>
      <c r="AG331" s="5" t="str">
        <f t="shared" si="124"/>
        <v>USD</v>
      </c>
      <c r="AH331" s="5">
        <f t="shared" si="125"/>
        <v>0</v>
      </c>
      <c r="AI331" s="12">
        <f>IF(L331-N331=0,VLOOKUP(U331,rate!A$4:B$15,2,FALSE)*AH331,IF(AG331="USD",O331,AH331*Y331))</f>
        <v>0</v>
      </c>
      <c r="AJ331" s="13">
        <f t="shared" si="126"/>
        <v>0</v>
      </c>
      <c r="AK331" s="13">
        <f>-IF(AG331="CAD",IFERROR(VLOOKUP(D331,CAARStatus!$A$1:$Y$1600,16,FALSE),0),0)</f>
        <v>0</v>
      </c>
      <c r="AL331" s="13">
        <f>-IF(AG331="USD",IFERROR(VLOOKUP(D331,CAARStatus!$A$1:$Y$1600,11,FALSE),0),0)</f>
        <v>-4785.5</v>
      </c>
      <c r="AM331" s="22" t="str">
        <f t="shared" si="127"/>
        <v/>
      </c>
      <c r="AN331" s="12">
        <f t="shared" si="128"/>
        <v>-4785.5</v>
      </c>
      <c r="AO331" s="12" t="str">
        <f t="shared" si="129"/>
        <v>Yes</v>
      </c>
      <c r="AP331" t="str">
        <f t="shared" si="114"/>
        <v>XX</v>
      </c>
      <c r="AQ331" t="str">
        <f>IFERROR(VLOOKUP(Z331,InvBal!$L$4:$P$600,4,FALSE),"Pend")</f>
        <v>Yes</v>
      </c>
      <c r="AR331" t="str">
        <f>IFERROR(VLOOKUP(D331,Manual!$C$1:$E$22,2,FALSE),"Pend")</f>
        <v>Pend</v>
      </c>
      <c r="AS331" t="str">
        <f t="shared" si="130"/>
        <v>Yes</v>
      </c>
      <c r="AT331" t="str">
        <f t="shared" si="131"/>
        <v/>
      </c>
      <c r="AU331" s="51" t="str">
        <f t="shared" si="132"/>
        <v/>
      </c>
      <c r="AV331" s="12">
        <f>IFERROR(VLOOKUP(D331,'Receivable Invoice Detail'!$S$1:$U$3014,3,FALSE),0)</f>
        <v>0</v>
      </c>
      <c r="AW331" s="12">
        <f t="shared" si="133"/>
        <v>0</v>
      </c>
    </row>
    <row r="332" spans="1:49" x14ac:dyDescent="0.25">
      <c r="A332" s="2"/>
      <c r="B332" s="2"/>
      <c r="C332" s="2"/>
      <c r="D332" s="2" t="s">
        <v>2665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>
        <f t="shared" si="115"/>
        <v>3</v>
      </c>
      <c r="U332" s="18">
        <f t="shared" si="116"/>
        <v>3</v>
      </c>
      <c r="V332" s="18">
        <f t="shared" si="117"/>
        <v>2025</v>
      </c>
      <c r="W332" s="18">
        <f t="shared" si="118"/>
        <v>8</v>
      </c>
      <c r="X332" s="18">
        <f t="shared" si="119"/>
        <v>2025</v>
      </c>
      <c r="Y332" s="2">
        <f t="shared" si="112"/>
        <v>0.71974046347359399</v>
      </c>
      <c r="Z332" t="str">
        <f t="shared" si="113"/>
        <v>SO16798</v>
      </c>
      <c r="AA332" s="11">
        <f t="shared" si="120"/>
        <v>45735.475891203707</v>
      </c>
      <c r="AB332" s="5" t="str">
        <f t="shared" si="121"/>
        <v>INV13275</v>
      </c>
      <c r="AC332" s="5" t="str">
        <f>IFERROR(VLOOKUP(D332,CAARStatus!$A$2:$AA$1600,22,FALSE),"Not invoiced")</f>
        <v>Paid</v>
      </c>
      <c r="AD332" s="11">
        <f>IF(AC332="Paid",IFERROR(VLOOKUP(D332,CAARStatus!$A$2:$AA$1600,6,FALSE),"Pending"),"Pending")</f>
        <v>45882</v>
      </c>
      <c r="AE332" s="5" t="str">
        <f t="shared" si="122"/>
        <v>S306876</v>
      </c>
      <c r="AF332" s="5" t="str">
        <f t="shared" si="123"/>
        <v>Kumtor Gold Company</v>
      </c>
      <c r="AG332" s="5" t="str">
        <f t="shared" si="124"/>
        <v>USD</v>
      </c>
      <c r="AH332" s="5">
        <f t="shared" si="125"/>
        <v>0</v>
      </c>
      <c r="AI332" s="12">
        <f>IF(L332-N332=0,VLOOKUP(U332,rate!A$4:B$15,2,FALSE)*AH332,IF(AG332="USD",O332,AH332*Y332))</f>
        <v>0</v>
      </c>
      <c r="AJ332" s="13">
        <f t="shared" si="126"/>
        <v>0</v>
      </c>
      <c r="AK332" s="13">
        <f>-IF(AG332="CAD",IFERROR(VLOOKUP(D332,CAARStatus!$A$1:$Y$1600,16,FALSE),0),0)</f>
        <v>0</v>
      </c>
      <c r="AL332" s="13">
        <f>-IF(AG332="USD",IFERROR(VLOOKUP(D332,CAARStatus!$A$1:$Y$1600,11,FALSE),0),0)</f>
        <v>-2057.52</v>
      </c>
      <c r="AM332" s="22" t="str">
        <f t="shared" si="127"/>
        <v/>
      </c>
      <c r="AN332" s="12">
        <f t="shared" si="128"/>
        <v>-2057.52</v>
      </c>
      <c r="AO332" s="12" t="str">
        <f t="shared" si="129"/>
        <v>Yes</v>
      </c>
      <c r="AP332" t="str">
        <f t="shared" si="114"/>
        <v>XX</v>
      </c>
      <c r="AQ332" t="str">
        <f>IFERROR(VLOOKUP(Z332,InvBal!$L$4:$P$600,4,FALSE),"Pend")</f>
        <v>Yes</v>
      </c>
      <c r="AR332" t="str">
        <f>IFERROR(VLOOKUP(D332,Manual!$C$1:$E$22,2,FALSE),"Pend")</f>
        <v>Pend</v>
      </c>
      <c r="AS332" t="str">
        <f t="shared" si="130"/>
        <v>Yes</v>
      </c>
      <c r="AT332" t="str">
        <f t="shared" si="131"/>
        <v/>
      </c>
      <c r="AU332" s="51" t="str">
        <f t="shared" si="132"/>
        <v/>
      </c>
      <c r="AV332" s="12">
        <f>IFERROR(VLOOKUP(D332,'Receivable Invoice Detail'!$S$1:$U$3014,3,FALSE),0)</f>
        <v>0</v>
      </c>
      <c r="AW332" s="12">
        <f t="shared" si="133"/>
        <v>0</v>
      </c>
    </row>
    <row r="333" spans="1:49" ht="30" x14ac:dyDescent="0.25">
      <c r="A333" s="2">
        <v>1</v>
      </c>
      <c r="B333" s="2" t="s">
        <v>1751</v>
      </c>
      <c r="C333" s="2" t="s">
        <v>1752</v>
      </c>
      <c r="D333" s="2" t="s">
        <v>2567</v>
      </c>
      <c r="E333" s="2" t="s">
        <v>121</v>
      </c>
      <c r="F333" s="3">
        <v>45735.535578703697</v>
      </c>
      <c r="G333" s="3">
        <v>45735.540266203701</v>
      </c>
      <c r="H333" s="4">
        <v>45736</v>
      </c>
      <c r="I333" s="2" t="s">
        <v>21</v>
      </c>
      <c r="J333" s="2" t="s">
        <v>22</v>
      </c>
      <c r="K333" s="2">
        <v>1</v>
      </c>
      <c r="L333" s="2">
        <v>5581.2</v>
      </c>
      <c r="M333" s="2">
        <v>0</v>
      </c>
      <c r="N333" s="2">
        <v>3894.4477797425889</v>
      </c>
      <c r="O333" s="2">
        <v>5315.42</v>
      </c>
      <c r="P333" s="2">
        <v>265.77999999999997</v>
      </c>
      <c r="Q333" s="2">
        <v>5581.2</v>
      </c>
      <c r="R333" s="2" t="s">
        <v>44</v>
      </c>
      <c r="S333" s="2"/>
      <c r="T333" s="2">
        <f t="shared" si="115"/>
        <v>1</v>
      </c>
      <c r="U333" s="18">
        <f t="shared" si="116"/>
        <v>3</v>
      </c>
      <c r="V333" s="18">
        <f t="shared" si="117"/>
        <v>2025</v>
      </c>
      <c r="W333" s="18">
        <f t="shared" si="118"/>
        <v>5</v>
      </c>
      <c r="X333" s="18">
        <f t="shared" si="119"/>
        <v>2025</v>
      </c>
      <c r="Y333" s="2">
        <f t="shared" si="112"/>
        <v>0.69777964949161275</v>
      </c>
      <c r="Z333" t="str">
        <f t="shared" si="113"/>
        <v>SO16799</v>
      </c>
      <c r="AA333" s="11">
        <f t="shared" si="120"/>
        <v>45735.535578703697</v>
      </c>
      <c r="AB333" s="5" t="str">
        <f t="shared" si="121"/>
        <v>INV12788</v>
      </c>
      <c r="AC333" s="5" t="str">
        <f>IFERROR(VLOOKUP(D333,CAARStatus!$A$2:$AA$1600,22,FALSE),"Not invoiced")</f>
        <v>Paid</v>
      </c>
      <c r="AD333" s="11">
        <f>IF(AC333="Paid",IFERROR(VLOOKUP(D333,CAARStatus!$A$2:$AA$1600,6,FALSE),"Pending"),"Pending")</f>
        <v>45786</v>
      </c>
      <c r="AE333" s="5" t="str">
        <f t="shared" si="122"/>
        <v>4500567408</v>
      </c>
      <c r="AF333" s="5" t="str">
        <f t="shared" si="123"/>
        <v>Glencore Canada Corporation - Rouyn-Noranda</v>
      </c>
      <c r="AG333" s="5" t="str">
        <f t="shared" si="124"/>
        <v>CAD</v>
      </c>
      <c r="AH333" s="5">
        <f t="shared" si="125"/>
        <v>5315.42</v>
      </c>
      <c r="AI333" s="12">
        <f>IF(L333-N333=0,VLOOKUP(U333,rate!A$4:B$15,2,FALSE)*AH333,IF(AG333="USD",O333,AH333*Y333))</f>
        <v>3708.9919045007082</v>
      </c>
      <c r="AJ333" s="13">
        <f t="shared" si="126"/>
        <v>0.69777964949161275</v>
      </c>
      <c r="AK333" s="13">
        <f>-IF(AG333="CAD",IFERROR(VLOOKUP(D333,CAARStatus!$A$1:$Y$1600,16,FALSE),0),0)</f>
        <v>-5315.42</v>
      </c>
      <c r="AL333" s="13">
        <f>-IF(AG333="USD",IFERROR(VLOOKUP(D333,CAARStatus!$A$1:$Y$1600,11,FALSE),0),0)</f>
        <v>0</v>
      </c>
      <c r="AM333" s="22">
        <f t="shared" si="127"/>
        <v>0</v>
      </c>
      <c r="AN333" s="12" t="str">
        <f t="shared" si="128"/>
        <v/>
      </c>
      <c r="AO333" s="12" t="str">
        <f t="shared" si="129"/>
        <v>Yes</v>
      </c>
      <c r="AP333" t="str">
        <f t="shared" si="114"/>
        <v>Yes</v>
      </c>
      <c r="AQ333" t="str">
        <f>IFERROR(VLOOKUP(Z333,InvBal!$L$4:$P$600,4,FALSE),"Pend")</f>
        <v>Pend</v>
      </c>
      <c r="AR333" t="str">
        <f>IFERROR(VLOOKUP(D333,Manual!$C$1:$E$22,2,FALSE),"Pend")</f>
        <v>Pend</v>
      </c>
      <c r="AS333" t="str">
        <f t="shared" si="130"/>
        <v>Yes</v>
      </c>
      <c r="AT333" t="str">
        <f t="shared" si="131"/>
        <v>Yes</v>
      </c>
      <c r="AU333" s="51" t="str">
        <f t="shared" si="132"/>
        <v>Yes</v>
      </c>
      <c r="AV333" s="12">
        <f>IFERROR(VLOOKUP(D333,'Receivable Invoice Detail'!$S$1:$U$3014,3,FALSE),0)</f>
        <v>0</v>
      </c>
      <c r="AW333" s="12">
        <f t="shared" si="133"/>
        <v>3708.9919045007082</v>
      </c>
    </row>
    <row r="334" spans="1:49" ht="30" x14ac:dyDescent="0.25">
      <c r="A334" s="2">
        <v>1</v>
      </c>
      <c r="B334" s="2" t="s">
        <v>1639</v>
      </c>
      <c r="C334" s="2" t="s">
        <v>1640</v>
      </c>
      <c r="D334" s="2" t="s">
        <v>2632</v>
      </c>
      <c r="E334" s="2" t="s">
        <v>20</v>
      </c>
      <c r="F334" s="3">
        <v>45736.36577546296</v>
      </c>
      <c r="G334" s="3">
        <v>45755.670624999999</v>
      </c>
      <c r="H334" s="4">
        <v>45756</v>
      </c>
      <c r="I334" s="2" t="s">
        <v>21</v>
      </c>
      <c r="J334" s="2" t="s">
        <v>22</v>
      </c>
      <c r="K334" s="2">
        <v>1</v>
      </c>
      <c r="L334" s="2">
        <v>1886.26</v>
      </c>
      <c r="M334" s="2">
        <v>0</v>
      </c>
      <c r="N334" s="2">
        <v>1328.1571670862199</v>
      </c>
      <c r="O334" s="2">
        <v>1796.44</v>
      </c>
      <c r="P334" s="2">
        <v>89.82</v>
      </c>
      <c r="Q334" s="2">
        <v>1886.26</v>
      </c>
      <c r="R334" s="2" t="s">
        <v>44</v>
      </c>
      <c r="S334" s="2"/>
      <c r="T334" s="2">
        <f t="shared" si="115"/>
        <v>1</v>
      </c>
      <c r="U334" s="18">
        <f t="shared" si="116"/>
        <v>3</v>
      </c>
      <c r="V334" s="18">
        <f t="shared" si="117"/>
        <v>2025</v>
      </c>
      <c r="W334" s="18">
        <f t="shared" si="118"/>
        <v>6</v>
      </c>
      <c r="X334" s="18">
        <f t="shared" si="119"/>
        <v>2025</v>
      </c>
      <c r="Y334" s="2">
        <f t="shared" si="112"/>
        <v>0.70412200178460016</v>
      </c>
      <c r="Z334" t="str">
        <f t="shared" si="113"/>
        <v>SO16803</v>
      </c>
      <c r="AA334" s="11">
        <f t="shared" si="120"/>
        <v>45736.36577546296</v>
      </c>
      <c r="AB334" s="5" t="str">
        <f t="shared" si="121"/>
        <v>INV12848</v>
      </c>
      <c r="AC334" s="5" t="str">
        <f>IFERROR(VLOOKUP(D334,CAARStatus!$A$2:$AA$1600,22,FALSE),"Not invoiced")</f>
        <v>Paid</v>
      </c>
      <c r="AD334" s="11">
        <f>IF(AC334="Paid",IFERROR(VLOOKUP(D334,CAARStatus!$A$2:$AA$1600,6,FALSE),"Pending"),"Pending")</f>
        <v>45817</v>
      </c>
      <c r="AE334" s="5" t="str">
        <f t="shared" si="122"/>
        <v>4500587186</v>
      </c>
      <c r="AF334" s="5" t="str">
        <f t="shared" si="123"/>
        <v>Resolute Forest Products - Saint-Felicien</v>
      </c>
      <c r="AG334" s="5" t="str">
        <f t="shared" si="124"/>
        <v>CAD</v>
      </c>
      <c r="AH334" s="5">
        <f t="shared" si="125"/>
        <v>1796.44</v>
      </c>
      <c r="AI334" s="12">
        <f>IF(L334-N334=0,VLOOKUP(U334,rate!A$4:B$15,2,FALSE)*AH334,IF(AG334="USD",O334,AH334*Y334))</f>
        <v>1264.9129288859272</v>
      </c>
      <c r="AJ334" s="13">
        <f t="shared" si="126"/>
        <v>0.70412200178460016</v>
      </c>
      <c r="AK334" s="13">
        <f>-IF(AG334="CAD",IFERROR(VLOOKUP(D334,CAARStatus!$A$1:$Y$1600,16,FALSE),0),0)</f>
        <v>-1796.44</v>
      </c>
      <c r="AL334" s="13">
        <f>-IF(AG334="USD",IFERROR(VLOOKUP(D334,CAARStatus!$A$1:$Y$1600,11,FALSE),0),0)</f>
        <v>0</v>
      </c>
      <c r="AM334" s="22">
        <f t="shared" si="127"/>
        <v>0</v>
      </c>
      <c r="AN334" s="12" t="str">
        <f t="shared" si="128"/>
        <v/>
      </c>
      <c r="AO334" s="12" t="str">
        <f t="shared" si="129"/>
        <v>Yes</v>
      </c>
      <c r="AP334" t="str">
        <f t="shared" si="114"/>
        <v>Yes</v>
      </c>
      <c r="AQ334" t="str">
        <f>IFERROR(VLOOKUP(Z334,InvBal!$L$4:$P$600,4,FALSE),"Pend")</f>
        <v>Pend</v>
      </c>
      <c r="AR334" t="str">
        <f>IFERROR(VLOOKUP(D334,Manual!$C$1:$E$22,2,FALSE),"Pend")</f>
        <v>Pend</v>
      </c>
      <c r="AS334" t="str">
        <f t="shared" si="130"/>
        <v>Yes</v>
      </c>
      <c r="AT334" t="str">
        <f t="shared" si="131"/>
        <v>Yes</v>
      </c>
      <c r="AU334" s="51" t="str">
        <f t="shared" si="132"/>
        <v>Yes</v>
      </c>
      <c r="AV334" s="12">
        <f>IFERROR(VLOOKUP(D334,'Receivable Invoice Detail'!$S$1:$U$3014,3,FALSE),0)</f>
        <v>0</v>
      </c>
      <c r="AW334" s="12">
        <f t="shared" si="133"/>
        <v>1264.9129288859272</v>
      </c>
    </row>
    <row r="335" spans="1:49" ht="30" x14ac:dyDescent="0.25">
      <c r="A335" s="2">
        <v>1</v>
      </c>
      <c r="B335" s="2" t="s">
        <v>1745</v>
      </c>
      <c r="C335" s="2" t="s">
        <v>1746</v>
      </c>
      <c r="D335" s="2" t="s">
        <v>2570</v>
      </c>
      <c r="E335" s="2" t="s">
        <v>20</v>
      </c>
      <c r="F335" s="3">
        <v>45736.47146990741</v>
      </c>
      <c r="G335" s="3">
        <v>45736.472326388888</v>
      </c>
      <c r="H335" s="4">
        <v>45737</v>
      </c>
      <c r="I335" s="2" t="s">
        <v>21</v>
      </c>
      <c r="J335" s="2" t="s">
        <v>22</v>
      </c>
      <c r="K335" s="2">
        <v>1</v>
      </c>
      <c r="L335" s="2">
        <v>316.85000000000002</v>
      </c>
      <c r="M335" s="2">
        <v>0</v>
      </c>
      <c r="N335" s="2">
        <v>221.13366100895701</v>
      </c>
      <c r="O335" s="2">
        <v>301.76</v>
      </c>
      <c r="P335" s="2">
        <v>15.09</v>
      </c>
      <c r="Q335" s="2">
        <v>316.85000000000002</v>
      </c>
      <c r="R335" s="2" t="s">
        <v>44</v>
      </c>
      <c r="S335" s="2"/>
      <c r="T335" s="2">
        <f t="shared" si="115"/>
        <v>1</v>
      </c>
      <c r="U335" s="18">
        <f t="shared" si="116"/>
        <v>3</v>
      </c>
      <c r="V335" s="18">
        <f t="shared" si="117"/>
        <v>2025</v>
      </c>
      <c r="W335" s="18">
        <f t="shared" si="118"/>
        <v>5</v>
      </c>
      <c r="X335" s="18">
        <f t="shared" si="119"/>
        <v>2025</v>
      </c>
      <c r="Y335" s="2">
        <f t="shared" si="112"/>
        <v>0.69791276947753511</v>
      </c>
      <c r="Z335" t="str">
        <f t="shared" si="113"/>
        <v>SO16804</v>
      </c>
      <c r="AA335" s="11">
        <f t="shared" si="120"/>
        <v>45736.47146990741</v>
      </c>
      <c r="AB335" s="5" t="str">
        <f t="shared" si="121"/>
        <v>INV12758</v>
      </c>
      <c r="AC335" s="5" t="str">
        <f>IFERROR(VLOOKUP(D335,CAARStatus!$A$2:$AA$1600,22,FALSE),"Not invoiced")</f>
        <v>Paid</v>
      </c>
      <c r="AD335" s="11">
        <f>IF(AC335="Paid",IFERROR(VLOOKUP(D335,CAARStatus!$A$2:$AA$1600,6,FALSE),"Pending"),"Pending")</f>
        <v>45797</v>
      </c>
      <c r="AE335" s="5" t="str">
        <f t="shared" si="122"/>
        <v>4500587239</v>
      </c>
      <c r="AF335" s="5" t="str">
        <f t="shared" si="123"/>
        <v>Resolute Forest Products - Saint-Felicien</v>
      </c>
      <c r="AG335" s="5" t="str">
        <f t="shared" si="124"/>
        <v>CAD</v>
      </c>
      <c r="AH335" s="5">
        <f t="shared" si="125"/>
        <v>301.76</v>
      </c>
      <c r="AI335" s="12">
        <f>IF(L335-N335=0,VLOOKUP(U335,rate!A$4:B$15,2,FALSE)*AH335,IF(AG335="USD",O335,AH335*Y335))</f>
        <v>210.60215731754099</v>
      </c>
      <c r="AJ335" s="13">
        <f t="shared" si="126"/>
        <v>0.69791276947753511</v>
      </c>
      <c r="AK335" s="13">
        <f>-IF(AG335="CAD",IFERROR(VLOOKUP(D335,CAARStatus!$A$1:$Y$1600,16,FALSE),0),0)</f>
        <v>-301.76</v>
      </c>
      <c r="AL335" s="13">
        <f>-IF(AG335="USD",IFERROR(VLOOKUP(D335,CAARStatus!$A$1:$Y$1600,11,FALSE),0),0)</f>
        <v>0</v>
      </c>
      <c r="AM335" s="22">
        <f t="shared" si="127"/>
        <v>0</v>
      </c>
      <c r="AN335" s="12" t="str">
        <f t="shared" si="128"/>
        <v/>
      </c>
      <c r="AO335" s="12" t="str">
        <f t="shared" si="129"/>
        <v>Yes</v>
      </c>
      <c r="AP335" t="str">
        <f t="shared" si="114"/>
        <v>Yes</v>
      </c>
      <c r="AQ335" t="str">
        <f>IFERROR(VLOOKUP(Z335,InvBal!$L$4:$P$600,4,FALSE),"Pend")</f>
        <v>Pend</v>
      </c>
      <c r="AR335" t="str">
        <f>IFERROR(VLOOKUP(D335,Manual!$C$1:$E$22,2,FALSE),"Pend")</f>
        <v>Pend</v>
      </c>
      <c r="AS335" t="str">
        <f t="shared" si="130"/>
        <v>Yes</v>
      </c>
      <c r="AT335" t="str">
        <f t="shared" si="131"/>
        <v>Yes</v>
      </c>
      <c r="AU335" s="51" t="str">
        <f t="shared" si="132"/>
        <v>Yes</v>
      </c>
      <c r="AV335" s="12">
        <f>IFERROR(VLOOKUP(D335,'Receivable Invoice Detail'!$S$1:$U$3014,3,FALSE),0)</f>
        <v>0</v>
      </c>
      <c r="AW335" s="12">
        <f t="shared" si="133"/>
        <v>210.60215731754099</v>
      </c>
    </row>
    <row r="336" spans="1:49" x14ac:dyDescent="0.25">
      <c r="A336" s="2">
        <v>1</v>
      </c>
      <c r="B336" s="2" t="s">
        <v>1718</v>
      </c>
      <c r="C336" s="2" t="s">
        <v>1719</v>
      </c>
      <c r="D336" s="2" t="s">
        <v>2586</v>
      </c>
      <c r="E336" s="2" t="s">
        <v>1420</v>
      </c>
      <c r="F336" s="3">
        <v>45736.501817129632</v>
      </c>
      <c r="G336" s="3">
        <v>45742.674618055556</v>
      </c>
      <c r="H336" s="4">
        <v>45812</v>
      </c>
      <c r="I336" s="2" t="s">
        <v>21</v>
      </c>
      <c r="J336" s="2" t="s">
        <v>22</v>
      </c>
      <c r="K336" s="2">
        <v>1</v>
      </c>
      <c r="L336" s="2">
        <v>13878.16</v>
      </c>
      <c r="M336" s="2">
        <v>0</v>
      </c>
      <c r="N336" s="2">
        <v>9734.5382757816169</v>
      </c>
      <c r="O336" s="2">
        <v>12281.56</v>
      </c>
      <c r="P336" s="2">
        <v>1596.6</v>
      </c>
      <c r="Q336" s="2">
        <v>13878.16</v>
      </c>
      <c r="R336" s="2" t="s">
        <v>44</v>
      </c>
      <c r="S336" s="2"/>
      <c r="T336" s="2">
        <f t="shared" si="115"/>
        <v>1</v>
      </c>
      <c r="U336" s="18">
        <f t="shared" si="116"/>
        <v>3</v>
      </c>
      <c r="V336" s="18">
        <f t="shared" si="117"/>
        <v>2025</v>
      </c>
      <c r="W336" s="18">
        <f t="shared" si="118"/>
        <v>6</v>
      </c>
      <c r="X336" s="18">
        <f t="shared" si="119"/>
        <v>2025</v>
      </c>
      <c r="Y336" s="2">
        <f t="shared" si="112"/>
        <v>0.70142859541766467</v>
      </c>
      <c r="Z336" t="str">
        <f t="shared" si="113"/>
        <v>SO16805</v>
      </c>
      <c r="AA336" s="11">
        <f t="shared" si="120"/>
        <v>45736.501817129632</v>
      </c>
      <c r="AB336" s="5" t="str">
        <f t="shared" si="121"/>
        <v>INV13049</v>
      </c>
      <c r="AC336" s="5" t="str">
        <f>IFERROR(VLOOKUP(D336,CAARStatus!$A$2:$AA$1600,22,FALSE),"Not invoiced")</f>
        <v>Paid</v>
      </c>
      <c r="AD336" s="11">
        <f>IF(AC336="Paid",IFERROR(VLOOKUP(D336,CAARStatus!$A$2:$AA$1600,6,FALSE),"Pending"),"Pending")</f>
        <v>45826</v>
      </c>
      <c r="AE336" s="5" t="str">
        <f t="shared" si="122"/>
        <v>5400231028</v>
      </c>
      <c r="AF336" s="5" t="str">
        <f t="shared" si="123"/>
        <v>Algoma Steel Inc.</v>
      </c>
      <c r="AG336" s="5" t="str">
        <f t="shared" si="124"/>
        <v>CAD</v>
      </c>
      <c r="AH336" s="5">
        <f t="shared" si="125"/>
        <v>12281.56</v>
      </c>
      <c r="AI336" s="12">
        <f>IF(L336-N336=0,VLOOKUP(U336,rate!A$4:B$15,2,FALSE)*AH336,IF(AG336="USD",O336,AH336*Y336))</f>
        <v>8614.6373803377737</v>
      </c>
      <c r="AJ336" s="13">
        <f t="shared" si="126"/>
        <v>0.70142859541766467</v>
      </c>
      <c r="AK336" s="13">
        <f>-IF(AG336="CAD",IFERROR(VLOOKUP(D336,CAARStatus!$A$1:$Y$1600,16,FALSE),0),0)</f>
        <v>-12281.56</v>
      </c>
      <c r="AL336" s="13">
        <f>-IF(AG336="USD",IFERROR(VLOOKUP(D336,CAARStatus!$A$1:$Y$1600,11,FALSE),0),0)</f>
        <v>0</v>
      </c>
      <c r="AM336" s="22">
        <f t="shared" si="127"/>
        <v>0</v>
      </c>
      <c r="AN336" s="12" t="str">
        <f t="shared" si="128"/>
        <v/>
      </c>
      <c r="AO336" s="12" t="str">
        <f t="shared" si="129"/>
        <v>Yes</v>
      </c>
      <c r="AP336" t="str">
        <f t="shared" si="114"/>
        <v>Yes</v>
      </c>
      <c r="AQ336" t="str">
        <f>IFERROR(VLOOKUP(Z336,InvBal!$L$4:$P$600,4,FALSE),"Pend")</f>
        <v>Pend</v>
      </c>
      <c r="AR336" t="str">
        <f>IFERROR(VLOOKUP(D336,Manual!$C$1:$E$22,2,FALSE),"Pend")</f>
        <v>Pend</v>
      </c>
      <c r="AS336" t="str">
        <f t="shared" si="130"/>
        <v>Yes</v>
      </c>
      <c r="AT336" t="str">
        <f t="shared" si="131"/>
        <v>Yes</v>
      </c>
      <c r="AU336" s="51" t="str">
        <f t="shared" si="132"/>
        <v>Yes</v>
      </c>
      <c r="AV336" s="12">
        <f>IFERROR(VLOOKUP(D336,'Receivable Invoice Detail'!$S$1:$U$3014,3,FALSE),0)</f>
        <v>0</v>
      </c>
      <c r="AW336" s="12">
        <f t="shared" si="133"/>
        <v>8614.6373803377737</v>
      </c>
    </row>
    <row r="337" spans="1:49" x14ac:dyDescent="0.25">
      <c r="A337" s="2">
        <v>2</v>
      </c>
      <c r="B337" s="2" t="s">
        <v>1358</v>
      </c>
      <c r="C337" s="2" t="s">
        <v>1359</v>
      </c>
      <c r="D337" s="2" t="s">
        <v>2791</v>
      </c>
      <c r="E337" s="2" t="s">
        <v>242</v>
      </c>
      <c r="F337" s="3">
        <v>45737.53087962963</v>
      </c>
      <c r="G337" s="3">
        <v>45800.571666666663</v>
      </c>
      <c r="H337" s="4">
        <v>45898</v>
      </c>
      <c r="I337" s="2" t="s">
        <v>21</v>
      </c>
      <c r="J337" s="2" t="s">
        <v>22</v>
      </c>
      <c r="K337" s="2">
        <v>1</v>
      </c>
      <c r="L337" s="2">
        <v>8392.52</v>
      </c>
      <c r="M337" s="2">
        <v>0</v>
      </c>
      <c r="N337" s="2">
        <v>6099.6775609877104</v>
      </c>
      <c r="O337" s="2">
        <v>7992.87</v>
      </c>
      <c r="P337" s="2">
        <v>399.65</v>
      </c>
      <c r="Q337" s="2">
        <v>8392.52</v>
      </c>
      <c r="R337" s="2" t="s">
        <v>44</v>
      </c>
      <c r="S337" s="2"/>
      <c r="T337" s="2">
        <f t="shared" si="115"/>
        <v>2</v>
      </c>
      <c r="U337" s="18">
        <f t="shared" si="116"/>
        <v>3</v>
      </c>
      <c r="V337" s="18">
        <f t="shared" si="117"/>
        <v>2025</v>
      </c>
      <c r="W337" s="18" t="str">
        <f t="shared" si="118"/>
        <v/>
      </c>
      <c r="X337" s="18" t="str">
        <f t="shared" si="119"/>
        <v/>
      </c>
      <c r="Y337" s="2">
        <f t="shared" si="112"/>
        <v>0.72679928805504312</v>
      </c>
      <c r="Z337" t="str">
        <f t="shared" si="113"/>
        <v>SO16809</v>
      </c>
      <c r="AA337" s="11">
        <f t="shared" si="120"/>
        <v>45737.53087962963</v>
      </c>
      <c r="AB337" s="5" t="str">
        <f t="shared" si="121"/>
        <v>INV13438</v>
      </c>
      <c r="AC337" s="5" t="str">
        <f>IFERROR(VLOOKUP(D337,CAARStatus!$A$2:$AA$1600,22,FALSE),"Not invoiced")</f>
        <v>Not invoiced</v>
      </c>
      <c r="AD337" s="11" t="str">
        <f>IF(AC337="Paid",IFERROR(VLOOKUP(D337,CAARStatus!$A$2:$AA$1600,6,FALSE),"Pending"),"Pending")</f>
        <v>Pending</v>
      </c>
      <c r="AE337" s="5" t="str">
        <f t="shared" si="122"/>
        <v>2100579915</v>
      </c>
      <c r="AF337" s="5" t="str">
        <f t="shared" si="123"/>
        <v>Wajax Limited - Noranda</v>
      </c>
      <c r="AG337" s="5" t="str">
        <f t="shared" si="124"/>
        <v>CAD</v>
      </c>
      <c r="AH337" s="5">
        <f t="shared" si="125"/>
        <v>7992.87</v>
      </c>
      <c r="AI337" s="12">
        <f>IF(L337-N337=0,VLOOKUP(U337,rate!A$4:B$15,2,FALSE)*AH337,IF(AG337="USD",O337,AH337*Y337))</f>
        <v>5809.2122255165123</v>
      </c>
      <c r="AJ337" s="13">
        <f t="shared" si="126"/>
        <v>0.72679928805504312</v>
      </c>
      <c r="AK337" s="61">
        <f>IF(AC337="Paid",-IF(AG337="CAD",IFERROR(VLOOKUP(D337,CAARStatus!$A$1:$Y$1600,16,FALSE),0),0),0)</f>
        <v>0</v>
      </c>
      <c r="AL337" s="61">
        <f>IF(AC337="Paid",-IF(AG337="USD",IFERROR(VLOOKUP(D337,CAARStatus!$A$1:$Y$1600,11,FALSE),0),0),0)</f>
        <v>0</v>
      </c>
      <c r="AM337" s="22">
        <f t="shared" si="127"/>
        <v>7992.87</v>
      </c>
      <c r="AN337" s="12" t="str">
        <f t="shared" si="128"/>
        <v/>
      </c>
      <c r="AO337" s="12" t="str">
        <f t="shared" si="129"/>
        <v>Pend</v>
      </c>
      <c r="AP337" t="str">
        <f t="shared" si="114"/>
        <v>XX</v>
      </c>
      <c r="AQ337">
        <f>IFERROR(VLOOKUP(Z337,InvBal!$L$4:$P$600,4,FALSE),"Pend")</f>
        <v>0</v>
      </c>
      <c r="AR337" t="str">
        <f>IFERROR(VLOOKUP(D337,Manual!$C$1:$E$22,2,FALSE),"Pend")</f>
        <v>Pend</v>
      </c>
      <c r="AS337" t="str">
        <f t="shared" si="130"/>
        <v/>
      </c>
      <c r="AT337" t="str">
        <f t="shared" si="131"/>
        <v>Yes</v>
      </c>
      <c r="AU337" s="51" t="str">
        <f t="shared" si="132"/>
        <v/>
      </c>
      <c r="AV337" s="12">
        <f>IFERROR(VLOOKUP(D337,'Receivable Invoice Detail'!$S$1:$U$3014,3,FALSE),0)</f>
        <v>0</v>
      </c>
      <c r="AW337" s="12">
        <f t="shared" si="133"/>
        <v>0</v>
      </c>
    </row>
    <row r="338" spans="1:49" x14ac:dyDescent="0.25">
      <c r="A338" s="2"/>
      <c r="B338" s="2"/>
      <c r="C338" s="2"/>
      <c r="D338" s="2" t="s">
        <v>2790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>
        <f t="shared" si="115"/>
        <v>2</v>
      </c>
      <c r="U338" s="18">
        <f t="shared" si="116"/>
        <v>3</v>
      </c>
      <c r="V338" s="18">
        <f t="shared" si="117"/>
        <v>2025</v>
      </c>
      <c r="W338" s="18">
        <f t="shared" si="118"/>
        <v>7</v>
      </c>
      <c r="X338" s="18">
        <f t="shared" si="119"/>
        <v>2025</v>
      </c>
      <c r="Y338" s="2">
        <f t="shared" si="112"/>
        <v>0.72679928805504312</v>
      </c>
      <c r="Z338" t="str">
        <f t="shared" si="113"/>
        <v>SO16809</v>
      </c>
      <c r="AA338" s="11">
        <f t="shared" si="120"/>
        <v>45737.53087962963</v>
      </c>
      <c r="AB338" s="5" t="str">
        <f t="shared" si="121"/>
        <v>INV13026</v>
      </c>
      <c r="AC338" s="5" t="str">
        <f>IFERROR(VLOOKUP(D338,CAARStatus!$A$2:$AA$1600,22,FALSE),"Not invoiced")</f>
        <v>Paid</v>
      </c>
      <c r="AD338" s="11">
        <f>IF(AC338="Paid",IFERROR(VLOOKUP(D338,CAARStatus!$A$2:$AA$1600,6,FALSE),"Pending"),"Pending")</f>
        <v>45847</v>
      </c>
      <c r="AE338" s="5" t="str">
        <f t="shared" si="122"/>
        <v>2100579915</v>
      </c>
      <c r="AF338" s="5" t="str">
        <f t="shared" si="123"/>
        <v>Wajax Limited - Noranda</v>
      </c>
      <c r="AG338" s="5" t="str">
        <f t="shared" si="124"/>
        <v>CAD</v>
      </c>
      <c r="AH338" s="5">
        <f t="shared" si="125"/>
        <v>0</v>
      </c>
      <c r="AI338" s="12">
        <f>IF(L338-N338=0,VLOOKUP(U338,rate!A$4:B$15,2,FALSE)*AH338,IF(AG338="USD",O338,AH338*Y338))</f>
        <v>0</v>
      </c>
      <c r="AJ338" s="13">
        <f t="shared" si="126"/>
        <v>0</v>
      </c>
      <c r="AK338" s="13">
        <f>-IF(AG338="CAD",IFERROR(VLOOKUP(D338,CAARStatus!$A$1:$Y$1600,16,FALSE),0),0)</f>
        <v>-5.14</v>
      </c>
      <c r="AL338" s="13">
        <f>-IF(AG338="USD",IFERROR(VLOOKUP(D338,CAARStatus!$A$1:$Y$1600,11,FALSE),0),0)</f>
        <v>0</v>
      </c>
      <c r="AM338" s="22">
        <f t="shared" si="127"/>
        <v>-5.14</v>
      </c>
      <c r="AN338" s="12" t="str">
        <f t="shared" si="128"/>
        <v/>
      </c>
      <c r="AO338" s="12" t="str">
        <f t="shared" si="129"/>
        <v>Yes</v>
      </c>
      <c r="AP338" t="str">
        <f t="shared" si="114"/>
        <v>XX</v>
      </c>
      <c r="AQ338">
        <f>IFERROR(VLOOKUP(Z338,InvBal!$L$4:$P$600,4,FALSE),"Pend")</f>
        <v>0</v>
      </c>
      <c r="AR338" t="str">
        <f>IFERROR(VLOOKUP(D338,Manual!$C$1:$E$22,2,FALSE),"Pend")</f>
        <v>Pend</v>
      </c>
      <c r="AS338" t="str">
        <f t="shared" si="130"/>
        <v/>
      </c>
      <c r="AT338" t="str">
        <f t="shared" si="131"/>
        <v/>
      </c>
      <c r="AU338" s="51" t="str">
        <f t="shared" si="132"/>
        <v/>
      </c>
      <c r="AV338" s="12">
        <f>IFERROR(VLOOKUP(D338,'Receivable Invoice Detail'!$S$1:$U$3014,3,FALSE),0)</f>
        <v>0</v>
      </c>
      <c r="AW338" s="12">
        <f t="shared" si="133"/>
        <v>0</v>
      </c>
    </row>
    <row r="339" spans="1:49" x14ac:dyDescent="0.25">
      <c r="A339" s="2">
        <v>1</v>
      </c>
      <c r="B339" s="2" t="s">
        <v>1608</v>
      </c>
      <c r="C339" s="2" t="s">
        <v>1609</v>
      </c>
      <c r="D339" s="2" t="s">
        <v>2651</v>
      </c>
      <c r="E339" s="2" t="s">
        <v>869</v>
      </c>
      <c r="F339" s="3">
        <v>45737.622523148151</v>
      </c>
      <c r="G339" s="3">
        <v>45758.64230324074</v>
      </c>
      <c r="H339" s="4">
        <v>45761</v>
      </c>
      <c r="I339" s="2" t="s">
        <v>180</v>
      </c>
      <c r="J339" s="2" t="s">
        <v>51</v>
      </c>
      <c r="K339" s="2">
        <v>0.70470066534440534</v>
      </c>
      <c r="L339" s="2">
        <v>6778.1829007718588</v>
      </c>
      <c r="M339" s="2">
        <v>0</v>
      </c>
      <c r="N339" s="2">
        <v>4776.59</v>
      </c>
      <c r="O339" s="2">
        <v>4776.59</v>
      </c>
      <c r="P339" s="2"/>
      <c r="Q339" s="2">
        <v>4776.59</v>
      </c>
      <c r="R339" s="2" t="s">
        <v>44</v>
      </c>
      <c r="S339" s="2"/>
      <c r="T339" s="2">
        <f t="shared" si="115"/>
        <v>1</v>
      </c>
      <c r="U339" s="18">
        <f t="shared" si="116"/>
        <v>3</v>
      </c>
      <c r="V339" s="18">
        <f t="shared" si="117"/>
        <v>2025</v>
      </c>
      <c r="W339" s="18">
        <f t="shared" si="118"/>
        <v>5</v>
      </c>
      <c r="X339" s="18">
        <f t="shared" si="119"/>
        <v>2025</v>
      </c>
      <c r="Y339" s="2">
        <f t="shared" si="112"/>
        <v>0.70470066534440534</v>
      </c>
      <c r="Z339" t="str">
        <f t="shared" si="113"/>
        <v>SO16812</v>
      </c>
      <c r="AA339" s="11">
        <f t="shared" si="120"/>
        <v>45737.622523148151</v>
      </c>
      <c r="AB339" s="5" t="str">
        <f t="shared" si="121"/>
        <v>INV12869</v>
      </c>
      <c r="AC339" s="5" t="str">
        <f>IFERROR(VLOOKUP(D339,CAARStatus!$A$2:$AA$1600,22,FALSE),"Not invoiced")</f>
        <v>Paid</v>
      </c>
      <c r="AD339" s="11">
        <f>IF(AC339="Paid",IFERROR(VLOOKUP(D339,CAARStatus!$A$2:$AA$1600,6,FALSE),"Pending"),"Pending")</f>
        <v>45807</v>
      </c>
      <c r="AE339" s="5" t="str">
        <f t="shared" si="122"/>
        <v>1079552</v>
      </c>
      <c r="AF339" s="5" t="str">
        <f t="shared" si="123"/>
        <v>Hisco Pump Inc.</v>
      </c>
      <c r="AG339" s="5" t="str">
        <f t="shared" si="124"/>
        <v>USD</v>
      </c>
      <c r="AH339" s="5">
        <f t="shared" si="125"/>
        <v>6778.1829007718588</v>
      </c>
      <c r="AI339" s="12">
        <f>IF(L339-N339=0,VLOOKUP(U339,rate!A$4:B$15,2,FALSE)*AH339,IF(AG339="USD",O339,AH339*Y339))</f>
        <v>4776.59</v>
      </c>
      <c r="AJ339" s="13">
        <f t="shared" si="126"/>
        <v>0.70470066534440534</v>
      </c>
      <c r="AK339" s="13">
        <f>-IF(AG339="CAD",IFERROR(VLOOKUP(D339,CAARStatus!$A$1:$Y$1600,16,FALSE),0),0)</f>
        <v>0</v>
      </c>
      <c r="AL339" s="13">
        <f>-IF(AG339="USD",IFERROR(VLOOKUP(D339,CAARStatus!$A$1:$Y$1600,11,FALSE),0),0)</f>
        <v>-4776.59</v>
      </c>
      <c r="AM339" s="22" t="str">
        <f t="shared" si="127"/>
        <v/>
      </c>
      <c r="AN339" s="12">
        <f t="shared" si="128"/>
        <v>0</v>
      </c>
      <c r="AO339" s="12" t="str">
        <f t="shared" si="129"/>
        <v>Yes</v>
      </c>
      <c r="AP339" t="str">
        <f t="shared" si="114"/>
        <v>Yes</v>
      </c>
      <c r="AQ339" t="str">
        <f>IFERROR(VLOOKUP(Z339,InvBal!$L$4:$P$600,4,FALSE),"Pend")</f>
        <v>Pend</v>
      </c>
      <c r="AR339" t="str">
        <f>IFERROR(VLOOKUP(D339,Manual!$C$1:$E$22,2,FALSE),"Pend")</f>
        <v>Pend</v>
      </c>
      <c r="AS339" t="str">
        <f t="shared" si="130"/>
        <v>Yes</v>
      </c>
      <c r="AT339" t="str">
        <f t="shared" si="131"/>
        <v>Yes</v>
      </c>
      <c r="AU339" s="51" t="str">
        <f t="shared" si="132"/>
        <v>Yes</v>
      </c>
      <c r="AV339" s="12">
        <f>IFERROR(VLOOKUP(D339,'Receivable Invoice Detail'!$S$1:$U$3014,3,FALSE),0)</f>
        <v>543</v>
      </c>
      <c r="AW339" s="12">
        <f t="shared" si="133"/>
        <v>4233.59</v>
      </c>
    </row>
    <row r="340" spans="1:49" x14ac:dyDescent="0.25">
      <c r="A340" s="2">
        <v>2</v>
      </c>
      <c r="B340" s="2" t="s">
        <v>1677</v>
      </c>
      <c r="C340" s="2" t="s">
        <v>1678</v>
      </c>
      <c r="D340" s="2" t="s">
        <v>2610</v>
      </c>
      <c r="E340" s="2" t="s">
        <v>901</v>
      </c>
      <c r="F340" s="3">
        <v>45737.641550925917</v>
      </c>
      <c r="G340" s="3">
        <v>45748.418634259258</v>
      </c>
      <c r="H340" s="4">
        <v>45783</v>
      </c>
      <c r="I340" s="2" t="s">
        <v>180</v>
      </c>
      <c r="J340" s="2" t="s">
        <v>51</v>
      </c>
      <c r="K340" s="2">
        <v>0.69675558294976692</v>
      </c>
      <c r="L340" s="2">
        <v>19956.495994094501</v>
      </c>
      <c r="M340" s="2">
        <v>0</v>
      </c>
      <c r="N340" s="2">
        <v>13904.8</v>
      </c>
      <c r="O340" s="2">
        <v>13904.8</v>
      </c>
      <c r="P340" s="2"/>
      <c r="Q340" s="2">
        <v>13904.8</v>
      </c>
      <c r="R340" s="2" t="s">
        <v>44</v>
      </c>
      <c r="S340" s="2"/>
      <c r="T340" s="2">
        <f t="shared" si="115"/>
        <v>2</v>
      </c>
      <c r="U340" s="18">
        <f t="shared" si="116"/>
        <v>3</v>
      </c>
      <c r="V340" s="18">
        <f t="shared" si="117"/>
        <v>2025</v>
      </c>
      <c r="W340" s="18">
        <f t="shared" si="118"/>
        <v>7</v>
      </c>
      <c r="X340" s="18">
        <f t="shared" si="119"/>
        <v>2025</v>
      </c>
      <c r="Y340" s="2">
        <f t="shared" si="112"/>
        <v>0.69675558294976681</v>
      </c>
      <c r="Z340" t="str">
        <f t="shared" si="113"/>
        <v>SO16813</v>
      </c>
      <c r="AA340" s="11">
        <f t="shared" si="120"/>
        <v>45737.641550925917</v>
      </c>
      <c r="AB340" s="5" t="str">
        <f t="shared" si="121"/>
        <v>INV12986</v>
      </c>
      <c r="AC340" s="5" t="str">
        <f>IFERROR(VLOOKUP(D340,CAARStatus!$A$2:$AA$1600,22,FALSE),"Not invoiced")</f>
        <v>Paid</v>
      </c>
      <c r="AD340" s="11">
        <f>IF(AC340="Paid",IFERROR(VLOOKUP(D340,CAARStatus!$A$2:$AA$1600,6,FALSE),"Pending"),"Pending")</f>
        <v>45859</v>
      </c>
      <c r="AE340" s="5" t="str">
        <f t="shared" si="122"/>
        <v>4500792148</v>
      </c>
      <c r="AF340" s="5" t="str">
        <f t="shared" si="123"/>
        <v>AGM Inc.</v>
      </c>
      <c r="AG340" s="5" t="str">
        <f t="shared" si="124"/>
        <v>USD</v>
      </c>
      <c r="AH340" s="5">
        <f t="shared" si="125"/>
        <v>19956.495994094497</v>
      </c>
      <c r="AI340" s="12">
        <f>IF(L340-N340=0,VLOOKUP(U340,rate!A$4:B$15,2,FALSE)*AH340,IF(AG340="USD",O340,AH340*Y340))</f>
        <v>13904.8</v>
      </c>
      <c r="AJ340" s="13">
        <f t="shared" si="126"/>
        <v>0.69675558294976692</v>
      </c>
      <c r="AK340" s="13">
        <f>-IF(AG340="CAD",IFERROR(VLOOKUP(D340,CAARStatus!$A$1:$Y$1600,16,FALSE),0),0)</f>
        <v>0</v>
      </c>
      <c r="AL340" s="13">
        <f>-IF(AG340="USD",IFERROR(VLOOKUP(D340,CAARStatus!$A$1:$Y$1600,11,FALSE),0),0)</f>
        <v>-9044.7999999999993</v>
      </c>
      <c r="AM340" s="22" t="str">
        <f t="shared" si="127"/>
        <v/>
      </c>
      <c r="AN340" s="12">
        <f t="shared" si="128"/>
        <v>4860</v>
      </c>
      <c r="AO340" s="12" t="str">
        <f t="shared" si="129"/>
        <v>Yes</v>
      </c>
      <c r="AP340" t="str">
        <f t="shared" si="114"/>
        <v>XX</v>
      </c>
      <c r="AQ340" t="str">
        <f>IFERROR(VLOOKUP(Z340,InvBal!$L$4:$P$600,4,FALSE),"Pend")</f>
        <v>Yes</v>
      </c>
      <c r="AR340" t="str">
        <f>IFERROR(VLOOKUP(D340,Manual!$C$1:$E$22,2,FALSE),"Pend")</f>
        <v>Pend</v>
      </c>
      <c r="AS340" t="str">
        <f t="shared" si="130"/>
        <v>Yes</v>
      </c>
      <c r="AT340" t="str">
        <f t="shared" si="131"/>
        <v>Yes</v>
      </c>
      <c r="AU340" s="51" t="str">
        <f t="shared" si="132"/>
        <v>Yes</v>
      </c>
      <c r="AV340" s="12">
        <f>IFERROR(VLOOKUP(D340,'Receivable Invoice Detail'!$S$1:$U$3014,3,FALSE),0)</f>
        <v>0</v>
      </c>
      <c r="AW340" s="12">
        <f t="shared" si="133"/>
        <v>13904.8</v>
      </c>
    </row>
    <row r="341" spans="1:49" x14ac:dyDescent="0.25">
      <c r="A341" s="2"/>
      <c r="B341" s="2"/>
      <c r="C341" s="2"/>
      <c r="D341" s="2" t="s">
        <v>2609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>
        <f t="shared" si="115"/>
        <v>2</v>
      </c>
      <c r="U341" s="18">
        <f t="shared" si="116"/>
        <v>3</v>
      </c>
      <c r="V341" s="18">
        <f t="shared" si="117"/>
        <v>2025</v>
      </c>
      <c r="W341" s="18">
        <f t="shared" si="118"/>
        <v>8</v>
      </c>
      <c r="X341" s="18">
        <f t="shared" si="119"/>
        <v>2025</v>
      </c>
      <c r="Y341" s="2">
        <f t="shared" si="112"/>
        <v>0.69675558294976681</v>
      </c>
      <c r="Z341" t="str">
        <f t="shared" si="113"/>
        <v>SO16813</v>
      </c>
      <c r="AA341" s="11">
        <f t="shared" si="120"/>
        <v>45737.641550925917</v>
      </c>
      <c r="AB341" s="5" t="str">
        <f t="shared" si="121"/>
        <v>INV12845</v>
      </c>
      <c r="AC341" s="5" t="str">
        <f>IFERROR(VLOOKUP(D341,CAARStatus!$A$2:$AA$1600,22,FALSE),"Not invoiced")</f>
        <v>Paid</v>
      </c>
      <c r="AD341" s="11">
        <f>IF(AC341="Paid",IFERROR(VLOOKUP(D341,CAARStatus!$A$2:$AA$1600,6,FALSE),"Pending"),"Pending")</f>
        <v>45887</v>
      </c>
      <c r="AE341" s="5" t="str">
        <f t="shared" si="122"/>
        <v>4500792148</v>
      </c>
      <c r="AF341" s="5" t="str">
        <f t="shared" si="123"/>
        <v>AGM Inc.</v>
      </c>
      <c r="AG341" s="5" t="str">
        <f t="shared" si="124"/>
        <v>USD</v>
      </c>
      <c r="AH341" s="5">
        <f t="shared" si="125"/>
        <v>0</v>
      </c>
      <c r="AI341" s="12">
        <f>IF(L341-N341=0,VLOOKUP(U341,rate!A$4:B$15,2,FALSE)*AH341,IF(AG341="USD",O341,AH341*Y341))</f>
        <v>0</v>
      </c>
      <c r="AJ341" s="13">
        <f t="shared" si="126"/>
        <v>0</v>
      </c>
      <c r="AK341" s="13">
        <f>-IF(AG341="CAD",IFERROR(VLOOKUP(D341,CAARStatus!$A$1:$Y$1600,16,FALSE),0),0)</f>
        <v>0</v>
      </c>
      <c r="AL341" s="13">
        <f>-IF(AG341="USD",IFERROR(VLOOKUP(D341,CAARStatus!$A$1:$Y$1600,11,FALSE),0),0)</f>
        <v>-4860</v>
      </c>
      <c r="AM341" s="22" t="str">
        <f t="shared" si="127"/>
        <v/>
      </c>
      <c r="AN341" s="12">
        <f t="shared" si="128"/>
        <v>-4860</v>
      </c>
      <c r="AO341" s="12" t="str">
        <f t="shared" si="129"/>
        <v>Yes</v>
      </c>
      <c r="AP341" t="str">
        <f t="shared" si="114"/>
        <v>XX</v>
      </c>
      <c r="AQ341" t="str">
        <f>IFERROR(VLOOKUP(Z341,InvBal!$L$4:$P$600,4,FALSE),"Pend")</f>
        <v>Yes</v>
      </c>
      <c r="AR341" t="str">
        <f>IFERROR(VLOOKUP(D341,Manual!$C$1:$E$22,2,FALSE),"Pend")</f>
        <v>Pend</v>
      </c>
      <c r="AS341" t="str">
        <f t="shared" si="130"/>
        <v>Yes</v>
      </c>
      <c r="AT341" t="str">
        <f t="shared" si="131"/>
        <v/>
      </c>
      <c r="AU341" s="51" t="str">
        <f t="shared" si="132"/>
        <v/>
      </c>
      <c r="AV341" s="12">
        <f>IFERROR(VLOOKUP(D341,'Receivable Invoice Detail'!$S$1:$U$3014,3,FALSE),0)</f>
        <v>0</v>
      </c>
      <c r="AW341" s="12">
        <f t="shared" si="133"/>
        <v>0</v>
      </c>
    </row>
    <row r="342" spans="1:49" x14ac:dyDescent="0.25">
      <c r="A342" s="2">
        <v>1</v>
      </c>
      <c r="B342" s="2" t="s">
        <v>1726</v>
      </c>
      <c r="C342" s="2" t="s">
        <v>1727</v>
      </c>
      <c r="D342" s="2" t="s">
        <v>2582</v>
      </c>
      <c r="E342" s="2" t="s">
        <v>714</v>
      </c>
      <c r="F342" s="3">
        <v>45740.337002314824</v>
      </c>
      <c r="G342" s="3">
        <v>45742.3281712963</v>
      </c>
      <c r="H342" s="4">
        <v>45742</v>
      </c>
      <c r="I342" s="2" t="s">
        <v>21</v>
      </c>
      <c r="J342" s="2" t="s">
        <v>51</v>
      </c>
      <c r="K342" s="2">
        <v>0.69885068489118096</v>
      </c>
      <c r="L342" s="2">
        <v>7831.9305086640406</v>
      </c>
      <c r="M342" s="2">
        <v>0</v>
      </c>
      <c r="N342" s="2">
        <v>5473.35</v>
      </c>
      <c r="O342" s="2">
        <v>5473.35</v>
      </c>
      <c r="P342" s="2"/>
      <c r="Q342" s="2">
        <v>5473.35</v>
      </c>
      <c r="R342" s="2" t="s">
        <v>44</v>
      </c>
      <c r="S342" s="2"/>
      <c r="T342" s="2">
        <f t="shared" si="115"/>
        <v>1</v>
      </c>
      <c r="U342" s="18">
        <f t="shared" si="116"/>
        <v>3</v>
      </c>
      <c r="V342" s="18">
        <f t="shared" si="117"/>
        <v>2025</v>
      </c>
      <c r="W342" s="18">
        <f t="shared" si="118"/>
        <v>4</v>
      </c>
      <c r="X342" s="18">
        <f t="shared" si="119"/>
        <v>2025</v>
      </c>
      <c r="Y342" s="2">
        <f t="shared" si="112"/>
        <v>0.69885068489118096</v>
      </c>
      <c r="Z342" t="str">
        <f t="shared" si="113"/>
        <v>SO16814</v>
      </c>
      <c r="AA342" s="11">
        <f t="shared" si="120"/>
        <v>45740.337002314824</v>
      </c>
      <c r="AB342" s="5" t="str">
        <f t="shared" si="121"/>
        <v>INV12781</v>
      </c>
      <c r="AC342" s="5" t="str">
        <f>IFERROR(VLOOKUP(D342,CAARStatus!$A$2:$AA$1600,22,FALSE),"Not invoiced")</f>
        <v>Paid</v>
      </c>
      <c r="AD342" s="11">
        <f>IF(AC342="Paid",IFERROR(VLOOKUP(D342,CAARStatus!$A$2:$AA$1600,6,FALSE),"Pending"),"Pending")</f>
        <v>45751</v>
      </c>
      <c r="AE342" s="5" t="str">
        <f t="shared" si="122"/>
        <v>S306482</v>
      </c>
      <c r="AF342" s="5" t="str">
        <f t="shared" si="123"/>
        <v>Kumtor Gold Company</v>
      </c>
      <c r="AG342" s="5" t="str">
        <f t="shared" si="124"/>
        <v>USD</v>
      </c>
      <c r="AH342" s="5">
        <f t="shared" si="125"/>
        <v>7831.9305086640406</v>
      </c>
      <c r="AI342" s="12">
        <f>IF(L342-N342=0,VLOOKUP(U342,rate!A$4:B$15,2,FALSE)*AH342,IF(AG342="USD",O342,AH342*Y342))</f>
        <v>5473.35</v>
      </c>
      <c r="AJ342" s="13">
        <f t="shared" si="126"/>
        <v>0.69885068489118096</v>
      </c>
      <c r="AK342" s="13">
        <f>-IF(AG342="CAD",IFERROR(VLOOKUP(D342,CAARStatus!$A$1:$Y$1600,16,FALSE),0),0)</f>
        <v>0</v>
      </c>
      <c r="AL342" s="13">
        <f>-IF(AG342="USD",IFERROR(VLOOKUP(D342,CAARStatus!$A$1:$Y$1600,11,FALSE),0),0)</f>
        <v>-5473.35</v>
      </c>
      <c r="AM342" s="22" t="str">
        <f t="shared" si="127"/>
        <v/>
      </c>
      <c r="AN342" s="12">
        <f t="shared" si="128"/>
        <v>0</v>
      </c>
      <c r="AO342" s="12" t="str">
        <f t="shared" si="129"/>
        <v>Yes</v>
      </c>
      <c r="AP342" t="str">
        <f t="shared" si="114"/>
        <v>Yes</v>
      </c>
      <c r="AQ342" t="str">
        <f>IFERROR(VLOOKUP(Z342,InvBal!$L$4:$P$600,4,FALSE),"Pend")</f>
        <v>Pend</v>
      </c>
      <c r="AR342" t="str">
        <f>IFERROR(VLOOKUP(D342,Manual!$C$1:$E$22,2,FALSE),"Pend")</f>
        <v>Pend</v>
      </c>
      <c r="AS342" t="str">
        <f t="shared" si="130"/>
        <v>Yes</v>
      </c>
      <c r="AT342" t="str">
        <f t="shared" si="131"/>
        <v>Yes</v>
      </c>
      <c r="AU342" s="51" t="str">
        <f t="shared" si="132"/>
        <v>Yes</v>
      </c>
      <c r="AV342" s="12">
        <f>IFERROR(VLOOKUP(D342,'Receivable Invoice Detail'!$S$1:$U$3014,3,FALSE),0)</f>
        <v>0</v>
      </c>
      <c r="AW342" s="12">
        <f t="shared" si="133"/>
        <v>5473.35</v>
      </c>
    </row>
    <row r="343" spans="1:49" x14ac:dyDescent="0.25">
      <c r="A343" s="2">
        <v>1</v>
      </c>
      <c r="B343" s="2" t="s">
        <v>1710</v>
      </c>
      <c r="C343" s="2" t="s">
        <v>1711</v>
      </c>
      <c r="D343" s="2" t="s">
        <v>2591</v>
      </c>
      <c r="E343" s="2" t="s">
        <v>77</v>
      </c>
      <c r="F343" s="3">
        <v>45740.365243055552</v>
      </c>
      <c r="G343" s="3">
        <v>45743.418310185189</v>
      </c>
      <c r="H343" s="4">
        <v>45771</v>
      </c>
      <c r="I343" s="2" t="s">
        <v>21</v>
      </c>
      <c r="J343" s="2" t="s">
        <v>22</v>
      </c>
      <c r="K343" s="2">
        <v>1</v>
      </c>
      <c r="L343" s="2">
        <v>2263.5700000000002</v>
      </c>
      <c r="M343" s="2">
        <v>0</v>
      </c>
      <c r="N343" s="2">
        <v>1580.9480548073821</v>
      </c>
      <c r="O343" s="2">
        <v>2155.7800000000002</v>
      </c>
      <c r="P343" s="2">
        <v>107.79</v>
      </c>
      <c r="Q343" s="2">
        <v>2263.5700000000002</v>
      </c>
      <c r="R343" s="2" t="s">
        <v>44</v>
      </c>
      <c r="S343" s="2"/>
      <c r="T343" s="2">
        <f t="shared" si="115"/>
        <v>1</v>
      </c>
      <c r="U343" s="18">
        <f t="shared" si="116"/>
        <v>3</v>
      </c>
      <c r="V343" s="18">
        <f t="shared" si="117"/>
        <v>2025</v>
      </c>
      <c r="W343" s="18">
        <f t="shared" si="118"/>
        <v>5</v>
      </c>
      <c r="X343" s="18">
        <f t="shared" si="119"/>
        <v>2025</v>
      </c>
      <c r="Y343" s="2">
        <f t="shared" si="112"/>
        <v>0.69843126336158456</v>
      </c>
      <c r="Z343" t="str">
        <f t="shared" si="113"/>
        <v>SO16815</v>
      </c>
      <c r="AA343" s="11">
        <f t="shared" si="120"/>
        <v>45740.365243055552</v>
      </c>
      <c r="AB343" s="5" t="str">
        <f t="shared" si="121"/>
        <v>INV12814</v>
      </c>
      <c r="AC343" s="5" t="str">
        <f>IFERROR(VLOOKUP(D343,CAARStatus!$A$2:$AA$1600,22,FALSE),"Not invoiced")</f>
        <v>Paid</v>
      </c>
      <c r="AD343" s="11">
        <f>IF(AC343="Paid",IFERROR(VLOOKUP(D343,CAARStatus!$A$2:$AA$1600,6,FALSE),"Pending"),"Pending")</f>
        <v>45790</v>
      </c>
      <c r="AE343" s="5" t="str">
        <f t="shared" si="122"/>
        <v>PO-40-1014081</v>
      </c>
      <c r="AF343" s="5" t="str">
        <f t="shared" si="123"/>
        <v>Canadian Bearings Ltd.</v>
      </c>
      <c r="AG343" s="5" t="str">
        <f t="shared" si="124"/>
        <v>CAD</v>
      </c>
      <c r="AH343" s="5">
        <f t="shared" si="125"/>
        <v>2155.7800000000002</v>
      </c>
      <c r="AI343" s="12">
        <f>IF(L343-N343=0,VLOOKUP(U343,rate!A$4:B$15,2,FALSE)*AH343,IF(AG343="USD",O343,AH343*Y343))</f>
        <v>1505.6641489296369</v>
      </c>
      <c r="AJ343" s="13">
        <f t="shared" si="126"/>
        <v>0.69843126336158456</v>
      </c>
      <c r="AK343" s="13">
        <f>-IF(AG343="CAD",IFERROR(VLOOKUP(D343,CAARStatus!$A$1:$Y$1600,16,FALSE),0),0)</f>
        <v>-2155.7800000000002</v>
      </c>
      <c r="AL343" s="13">
        <f>-IF(AG343="USD",IFERROR(VLOOKUP(D343,CAARStatus!$A$1:$Y$1600,11,FALSE),0),0)</f>
        <v>0</v>
      </c>
      <c r="AM343" s="22">
        <f t="shared" si="127"/>
        <v>0</v>
      </c>
      <c r="AN343" s="12" t="str">
        <f t="shared" si="128"/>
        <v/>
      </c>
      <c r="AO343" s="12" t="str">
        <f t="shared" si="129"/>
        <v>Yes</v>
      </c>
      <c r="AP343" t="str">
        <f t="shared" si="114"/>
        <v>Yes</v>
      </c>
      <c r="AQ343" t="str">
        <f>IFERROR(VLOOKUP(Z343,InvBal!$L$4:$P$600,4,FALSE),"Pend")</f>
        <v>Pend</v>
      </c>
      <c r="AR343" t="str">
        <f>IFERROR(VLOOKUP(D343,Manual!$C$1:$E$22,2,FALSE),"Pend")</f>
        <v>Pend</v>
      </c>
      <c r="AS343" t="str">
        <f t="shared" si="130"/>
        <v>Yes</v>
      </c>
      <c r="AT343" t="str">
        <f t="shared" si="131"/>
        <v>Yes</v>
      </c>
      <c r="AU343" s="51" t="str">
        <f t="shared" si="132"/>
        <v>Yes</v>
      </c>
      <c r="AV343" s="12">
        <f>IFERROR(VLOOKUP(D343,'Receivable Invoice Detail'!$S$1:$U$3014,3,FALSE),0)</f>
        <v>0</v>
      </c>
      <c r="AW343" s="12">
        <f t="shared" si="133"/>
        <v>1505.6641489296369</v>
      </c>
    </row>
    <row r="344" spans="1:49" x14ac:dyDescent="0.25">
      <c r="A344" s="2">
        <v>1</v>
      </c>
      <c r="B344" s="2" t="s">
        <v>1738</v>
      </c>
      <c r="C344" s="2" t="s">
        <v>1739</v>
      </c>
      <c r="D344" s="2" t="s">
        <v>2576</v>
      </c>
      <c r="E344" s="2" t="s">
        <v>77</v>
      </c>
      <c r="F344" s="3">
        <v>45740.477650462963</v>
      </c>
      <c r="G344" s="3">
        <v>45740.480520833327</v>
      </c>
      <c r="H344" s="4">
        <v>45741</v>
      </c>
      <c r="I344" s="2" t="s">
        <v>21</v>
      </c>
      <c r="J344" s="2" t="s">
        <v>22</v>
      </c>
      <c r="K344" s="2">
        <v>1</v>
      </c>
      <c r="L344" s="2">
        <v>168.08</v>
      </c>
      <c r="M344" s="2">
        <v>0</v>
      </c>
      <c r="N344" s="2">
        <v>117.58791382257139</v>
      </c>
      <c r="O344" s="2">
        <v>160.08000000000001</v>
      </c>
      <c r="P344" s="2">
        <v>8</v>
      </c>
      <c r="Q344" s="2">
        <v>168.08</v>
      </c>
      <c r="R344" s="2" t="s">
        <v>44</v>
      </c>
      <c r="S344" s="2"/>
      <c r="T344" s="2">
        <f t="shared" si="115"/>
        <v>1</v>
      </c>
      <c r="U344" s="18">
        <f t="shared" si="116"/>
        <v>3</v>
      </c>
      <c r="V344" s="18">
        <f t="shared" si="117"/>
        <v>2025</v>
      </c>
      <c r="W344" s="18">
        <f t="shared" si="118"/>
        <v>5</v>
      </c>
      <c r="X344" s="18">
        <f t="shared" si="119"/>
        <v>2025</v>
      </c>
      <c r="Y344" s="2">
        <f t="shared" si="112"/>
        <v>0.69959491803052942</v>
      </c>
      <c r="Z344" t="str">
        <f t="shared" si="113"/>
        <v>SO16816</v>
      </c>
      <c r="AA344" s="11">
        <f t="shared" si="120"/>
        <v>45740.477650462963</v>
      </c>
      <c r="AB344" s="5" t="str">
        <f t="shared" si="121"/>
        <v>INV12778</v>
      </c>
      <c r="AC344" s="5" t="str">
        <f>IFERROR(VLOOKUP(D344,CAARStatus!$A$2:$AA$1600,22,FALSE),"Not invoiced")</f>
        <v>Paid</v>
      </c>
      <c r="AD344" s="11">
        <f>IF(AC344="Paid",IFERROR(VLOOKUP(D344,CAARStatus!$A$2:$AA$1600,6,FALSE),"Pending"),"Pending")</f>
        <v>45790</v>
      </c>
      <c r="AE344" s="5" t="str">
        <f t="shared" si="122"/>
        <v>PO-40-1013960</v>
      </c>
      <c r="AF344" s="5" t="str">
        <f t="shared" si="123"/>
        <v>Canadian Bearings Ltd.</v>
      </c>
      <c r="AG344" s="5" t="str">
        <f t="shared" si="124"/>
        <v>CAD</v>
      </c>
      <c r="AH344" s="5">
        <f t="shared" si="125"/>
        <v>160.08000000000001</v>
      </c>
      <c r="AI344" s="12">
        <f>IF(L344-N344=0,VLOOKUP(U344,rate!A$4:B$15,2,FALSE)*AH344,IF(AG344="USD",O344,AH344*Y344))</f>
        <v>111.99115447832716</v>
      </c>
      <c r="AJ344" s="13">
        <f t="shared" si="126"/>
        <v>0.69959491803052942</v>
      </c>
      <c r="AK344" s="13">
        <f>-IF(AG344="CAD",IFERROR(VLOOKUP(D344,CAARStatus!$A$1:$Y$1600,16,FALSE),0),0)</f>
        <v>-160.08000000000001</v>
      </c>
      <c r="AL344" s="13">
        <f>-IF(AG344="USD",IFERROR(VLOOKUP(D344,CAARStatus!$A$1:$Y$1600,11,FALSE),0),0)</f>
        <v>0</v>
      </c>
      <c r="AM344" s="22">
        <f t="shared" si="127"/>
        <v>0</v>
      </c>
      <c r="AN344" s="12" t="str">
        <f t="shared" si="128"/>
        <v/>
      </c>
      <c r="AO344" s="12" t="str">
        <f t="shared" si="129"/>
        <v>Yes</v>
      </c>
      <c r="AP344" t="str">
        <f t="shared" si="114"/>
        <v>Yes</v>
      </c>
      <c r="AQ344" t="str">
        <f>IFERROR(VLOOKUP(Z344,InvBal!$L$4:$P$600,4,FALSE),"Pend")</f>
        <v>Pend</v>
      </c>
      <c r="AR344" t="str">
        <f>IFERROR(VLOOKUP(D344,Manual!$C$1:$E$22,2,FALSE),"Pend")</f>
        <v>Pend</v>
      </c>
      <c r="AS344" t="str">
        <f t="shared" si="130"/>
        <v>Yes</v>
      </c>
      <c r="AT344" t="str">
        <f t="shared" si="131"/>
        <v>Yes</v>
      </c>
      <c r="AU344" s="51" t="str">
        <f t="shared" si="132"/>
        <v>Yes</v>
      </c>
      <c r="AV344" s="12">
        <f>IFERROR(VLOOKUP(D344,'Receivable Invoice Detail'!$S$1:$U$3014,3,FALSE),0)</f>
        <v>0</v>
      </c>
      <c r="AW344" s="12">
        <f t="shared" si="133"/>
        <v>111.99115447832716</v>
      </c>
    </row>
    <row r="345" spans="1:49" x14ac:dyDescent="0.25">
      <c r="A345" s="2">
        <v>1</v>
      </c>
      <c r="B345" s="2" t="s">
        <v>1522</v>
      </c>
      <c r="C345" s="2" t="s">
        <v>1523</v>
      </c>
      <c r="D345" s="2" t="s">
        <v>2700</v>
      </c>
      <c r="E345" s="2" t="s">
        <v>869</v>
      </c>
      <c r="F345" s="3">
        <v>45740.491886574076</v>
      </c>
      <c r="G345" s="3">
        <v>45775.60796296296</v>
      </c>
      <c r="H345" s="4">
        <v>45789</v>
      </c>
      <c r="I345" s="2" t="s">
        <v>180</v>
      </c>
      <c r="J345" s="2" t="s">
        <v>51</v>
      </c>
      <c r="K345" s="2">
        <v>0.72125060891744774</v>
      </c>
      <c r="L345" s="2">
        <v>1995.3120069597301</v>
      </c>
      <c r="M345" s="2">
        <v>0</v>
      </c>
      <c r="N345" s="2">
        <v>1439.12</v>
      </c>
      <c r="O345" s="2">
        <v>1439.12</v>
      </c>
      <c r="P345" s="2"/>
      <c r="Q345" s="2">
        <v>1439.12</v>
      </c>
      <c r="R345" s="2" t="s">
        <v>44</v>
      </c>
      <c r="S345" s="2"/>
      <c r="T345" s="2">
        <f t="shared" si="115"/>
        <v>1</v>
      </c>
      <c r="U345" s="18">
        <f t="shared" si="116"/>
        <v>3</v>
      </c>
      <c r="V345" s="18">
        <f t="shared" si="117"/>
        <v>2025</v>
      </c>
      <c r="W345" s="18">
        <f t="shared" si="118"/>
        <v>7</v>
      </c>
      <c r="X345" s="18">
        <f t="shared" si="119"/>
        <v>2025</v>
      </c>
      <c r="Y345" s="2">
        <f t="shared" si="112"/>
        <v>0.72125060891744763</v>
      </c>
      <c r="Z345" t="str">
        <f t="shared" si="113"/>
        <v>SO16817</v>
      </c>
      <c r="AA345" s="11">
        <f t="shared" si="120"/>
        <v>45740.491886574076</v>
      </c>
      <c r="AB345" s="5" t="str">
        <f t="shared" si="121"/>
        <v>INV13007</v>
      </c>
      <c r="AC345" s="5" t="str">
        <f>IFERROR(VLOOKUP(D345,CAARStatus!$A$2:$AA$1600,22,FALSE),"Not invoiced")</f>
        <v>Paid</v>
      </c>
      <c r="AD345" s="11">
        <f>IF(AC345="Paid",IFERROR(VLOOKUP(D345,CAARStatus!$A$2:$AA$1600,6,FALSE),"Pending"),"Pending")</f>
        <v>45843</v>
      </c>
      <c r="AE345" s="5" t="str">
        <f t="shared" si="122"/>
        <v>1079674</v>
      </c>
      <c r="AF345" s="5" t="str">
        <f t="shared" si="123"/>
        <v>Hisco Pump Inc.</v>
      </c>
      <c r="AG345" s="5" t="str">
        <f t="shared" si="124"/>
        <v>USD</v>
      </c>
      <c r="AH345" s="5">
        <f t="shared" si="125"/>
        <v>1995.3120069597298</v>
      </c>
      <c r="AI345" s="12">
        <f>IF(L345-N345=0,VLOOKUP(U345,rate!A$4:B$15,2,FALSE)*AH345,IF(AG345="USD",O345,AH345*Y345))</f>
        <v>1439.12</v>
      </c>
      <c r="AJ345" s="13">
        <f t="shared" si="126"/>
        <v>0.72125060891744774</v>
      </c>
      <c r="AK345" s="13">
        <f>-IF(AG345="CAD",IFERROR(VLOOKUP(D345,CAARStatus!$A$1:$Y$1600,16,FALSE),0),0)</f>
        <v>0</v>
      </c>
      <c r="AL345" s="13">
        <f>-IF(AG345="USD",IFERROR(VLOOKUP(D345,CAARStatus!$A$1:$Y$1600,11,FALSE),0),0)</f>
        <v>-1439.12</v>
      </c>
      <c r="AM345" s="22" t="str">
        <f t="shared" si="127"/>
        <v/>
      </c>
      <c r="AN345" s="12">
        <f t="shared" si="128"/>
        <v>0</v>
      </c>
      <c r="AO345" s="12" t="str">
        <f t="shared" si="129"/>
        <v>Yes</v>
      </c>
      <c r="AP345" t="str">
        <f t="shared" si="114"/>
        <v>Yes</v>
      </c>
      <c r="AQ345" t="str">
        <f>IFERROR(VLOOKUP(Z345,InvBal!$L$4:$P$600,4,FALSE),"Pend")</f>
        <v>Pend</v>
      </c>
      <c r="AR345" t="str">
        <f>IFERROR(VLOOKUP(D345,Manual!$C$1:$E$22,2,FALSE),"Pend")</f>
        <v>Pend</v>
      </c>
      <c r="AS345" t="str">
        <f t="shared" si="130"/>
        <v>Yes</v>
      </c>
      <c r="AT345" t="str">
        <f t="shared" si="131"/>
        <v>Yes</v>
      </c>
      <c r="AU345" s="51" t="str">
        <f t="shared" si="132"/>
        <v>Yes</v>
      </c>
      <c r="AV345" s="12">
        <f>IFERROR(VLOOKUP(D345,'Receivable Invoice Detail'!$S$1:$U$3014,3,FALSE),0)</f>
        <v>0</v>
      </c>
      <c r="AW345" s="12">
        <f t="shared" si="133"/>
        <v>1439.12</v>
      </c>
    </row>
    <row r="346" spans="1:49" ht="30" x14ac:dyDescent="0.25">
      <c r="A346" s="2">
        <v>1</v>
      </c>
      <c r="B346" s="2" t="s">
        <v>1736</v>
      </c>
      <c r="C346" s="2" t="s">
        <v>1737</v>
      </c>
      <c r="D346" s="2" t="s">
        <v>2577</v>
      </c>
      <c r="E346" s="2" t="s">
        <v>159</v>
      </c>
      <c r="F346" s="3">
        <v>45740.533958333333</v>
      </c>
      <c r="G346" s="3">
        <v>45740.534803240742</v>
      </c>
      <c r="H346" s="4">
        <v>45756</v>
      </c>
      <c r="I346" s="2" t="s">
        <v>426</v>
      </c>
      <c r="J346" s="2" t="s">
        <v>51</v>
      </c>
      <c r="K346" s="2">
        <v>0.69694344458511093</v>
      </c>
      <c r="L346" s="2">
        <v>29807.296648534691</v>
      </c>
      <c r="M346" s="2">
        <v>0</v>
      </c>
      <c r="N346" s="2">
        <v>20774</v>
      </c>
      <c r="O346" s="2">
        <v>20774</v>
      </c>
      <c r="P346" s="2"/>
      <c r="Q346" s="2">
        <v>20774</v>
      </c>
      <c r="R346" s="2" t="s">
        <v>44</v>
      </c>
      <c r="S346" s="2"/>
      <c r="T346" s="2">
        <f t="shared" si="115"/>
        <v>1</v>
      </c>
      <c r="U346" s="18">
        <f t="shared" si="116"/>
        <v>3</v>
      </c>
      <c r="V346" s="18">
        <f t="shared" si="117"/>
        <v>2025</v>
      </c>
      <c r="W346" s="18">
        <f t="shared" si="118"/>
        <v>5</v>
      </c>
      <c r="X346" s="18">
        <f t="shared" si="119"/>
        <v>2025</v>
      </c>
      <c r="Y346" s="2">
        <f t="shared" si="112"/>
        <v>0.69694344458511093</v>
      </c>
      <c r="Z346" t="str">
        <f t="shared" si="113"/>
        <v>SO16819</v>
      </c>
      <c r="AA346" s="11">
        <f t="shared" si="120"/>
        <v>45740.533958333333</v>
      </c>
      <c r="AB346" s="5" t="str">
        <f t="shared" si="121"/>
        <v>INV12835</v>
      </c>
      <c r="AC346" s="5" t="str">
        <f>IFERROR(VLOOKUP(D346,CAARStatus!$A$2:$AA$1600,22,FALSE),"Not invoiced")</f>
        <v>Paid</v>
      </c>
      <c r="AD346" s="11">
        <f>IF(AC346="Paid",IFERROR(VLOOKUP(D346,CAARStatus!$A$2:$AA$1600,6,FALSE),"Pending"),"Pending")</f>
        <v>45804</v>
      </c>
      <c r="AE346" s="5" t="str">
        <f t="shared" si="122"/>
        <v>4501139731</v>
      </c>
      <c r="AF346" s="5" t="str">
        <f t="shared" si="123"/>
        <v>Barrick Gold - Pueblo Viejo Dominicana Corporation</v>
      </c>
      <c r="AG346" s="5" t="str">
        <f t="shared" si="124"/>
        <v>USD</v>
      </c>
      <c r="AH346" s="5">
        <f t="shared" si="125"/>
        <v>29807.296648534691</v>
      </c>
      <c r="AI346" s="12">
        <f>IF(L346-N346=0,VLOOKUP(U346,rate!A$4:B$15,2,FALSE)*AH346,IF(AG346="USD",O346,AH346*Y346))</f>
        <v>20774</v>
      </c>
      <c r="AJ346" s="13">
        <f t="shared" si="126"/>
        <v>0.69694344458511093</v>
      </c>
      <c r="AK346" s="13">
        <f>-IF(AG346="CAD",IFERROR(VLOOKUP(D346,CAARStatus!$A$1:$Y$1600,16,FALSE),0),0)</f>
        <v>0</v>
      </c>
      <c r="AL346" s="13">
        <f>-IF(AG346="USD",IFERROR(VLOOKUP(D346,CAARStatus!$A$1:$Y$1600,11,FALSE),0),0)</f>
        <v>-20774</v>
      </c>
      <c r="AM346" s="22" t="str">
        <f t="shared" si="127"/>
        <v/>
      </c>
      <c r="AN346" s="12">
        <f t="shared" si="128"/>
        <v>0</v>
      </c>
      <c r="AO346" s="12" t="str">
        <f t="shared" si="129"/>
        <v>Yes</v>
      </c>
      <c r="AP346" t="str">
        <f t="shared" si="114"/>
        <v>Yes</v>
      </c>
      <c r="AQ346" t="str">
        <f>IFERROR(VLOOKUP(Z346,InvBal!$L$4:$P$600,4,FALSE),"Pend")</f>
        <v>Pend</v>
      </c>
      <c r="AR346" t="str">
        <f>IFERROR(VLOOKUP(D346,Manual!$C$1:$E$22,2,FALSE),"Pend")</f>
        <v>Pend</v>
      </c>
      <c r="AS346" t="str">
        <f t="shared" si="130"/>
        <v>Yes</v>
      </c>
      <c r="AT346" t="str">
        <f t="shared" si="131"/>
        <v>Yes</v>
      </c>
      <c r="AU346" s="51" t="str">
        <f t="shared" si="132"/>
        <v>Yes</v>
      </c>
      <c r="AV346" s="12">
        <f>IFERROR(VLOOKUP(D346,'Receivable Invoice Detail'!$S$1:$U$3014,3,FALSE),0)</f>
        <v>0</v>
      </c>
      <c r="AW346" s="12">
        <f t="shared" si="133"/>
        <v>20774</v>
      </c>
    </row>
    <row r="347" spans="1:49" x14ac:dyDescent="0.25">
      <c r="A347" s="2">
        <v>1</v>
      </c>
      <c r="B347" s="2" t="s">
        <v>1693</v>
      </c>
      <c r="C347" s="2" t="s">
        <v>1694</v>
      </c>
      <c r="D347" s="2" t="s">
        <v>2600</v>
      </c>
      <c r="E347" s="2" t="s">
        <v>77</v>
      </c>
      <c r="F347" s="3">
        <v>45740.608206018522</v>
      </c>
      <c r="G347" s="3">
        <v>45747.534814814811</v>
      </c>
      <c r="H347" s="4">
        <v>45749</v>
      </c>
      <c r="I347" s="2" t="s">
        <v>21</v>
      </c>
      <c r="J347" s="2" t="s">
        <v>22</v>
      </c>
      <c r="K347" s="2">
        <v>1</v>
      </c>
      <c r="L347" s="2">
        <v>283.87</v>
      </c>
      <c r="M347" s="2">
        <v>0</v>
      </c>
      <c r="N347" s="2">
        <v>197.7880073319503</v>
      </c>
      <c r="O347" s="2">
        <v>270.35000000000002</v>
      </c>
      <c r="P347" s="2">
        <v>13.52</v>
      </c>
      <c r="Q347" s="2">
        <v>283.87</v>
      </c>
      <c r="R347" s="2" t="s">
        <v>44</v>
      </c>
      <c r="S347" s="2"/>
      <c r="T347" s="2">
        <f t="shared" si="115"/>
        <v>1</v>
      </c>
      <c r="U347" s="18">
        <f t="shared" si="116"/>
        <v>3</v>
      </c>
      <c r="V347" s="18">
        <f t="shared" si="117"/>
        <v>2025</v>
      </c>
      <c r="W347" s="18">
        <f t="shared" si="118"/>
        <v>6</v>
      </c>
      <c r="X347" s="18">
        <f t="shared" si="119"/>
        <v>2025</v>
      </c>
      <c r="Y347" s="2">
        <f t="shared" si="112"/>
        <v>0.69675558294976681</v>
      </c>
      <c r="Z347" t="str">
        <f t="shared" si="113"/>
        <v>SO16821</v>
      </c>
      <c r="AA347" s="11">
        <f t="shared" si="120"/>
        <v>45740.608206018522</v>
      </c>
      <c r="AB347" s="5" t="str">
        <f t="shared" si="121"/>
        <v>INV12976</v>
      </c>
      <c r="AC347" s="5" t="str">
        <f>IFERROR(VLOOKUP(D347,CAARStatus!$A$2:$AA$1600,22,FALSE),"Not invoiced")</f>
        <v>Paid</v>
      </c>
      <c r="AD347" s="11">
        <f>IF(AC347="Paid",IFERROR(VLOOKUP(D347,CAARStatus!$A$2:$AA$1600,6,FALSE),"Pending"),"Pending")</f>
        <v>45826</v>
      </c>
      <c r="AE347" s="5" t="str">
        <f t="shared" si="122"/>
        <v>PO-40-1014161</v>
      </c>
      <c r="AF347" s="5" t="str">
        <f t="shared" si="123"/>
        <v>Canadian Bearings Ltd.</v>
      </c>
      <c r="AG347" s="5" t="str">
        <f t="shared" si="124"/>
        <v>CAD</v>
      </c>
      <c r="AH347" s="5">
        <f t="shared" si="125"/>
        <v>270.35000000000002</v>
      </c>
      <c r="AI347" s="12">
        <f>IF(L347-N347=0,VLOOKUP(U347,rate!A$4:B$15,2,FALSE)*AH347,IF(AG347="USD",O347,AH347*Y347))</f>
        <v>188.36787185046947</v>
      </c>
      <c r="AJ347" s="13">
        <f t="shared" si="126"/>
        <v>0.69675558294976681</v>
      </c>
      <c r="AK347" s="13">
        <f>-IF(AG347="CAD",IFERROR(VLOOKUP(D347,CAARStatus!$A$1:$Y$1600,16,FALSE),0),0)</f>
        <v>-270.35000000000002</v>
      </c>
      <c r="AL347" s="13">
        <f>-IF(AG347="USD",IFERROR(VLOOKUP(D347,CAARStatus!$A$1:$Y$1600,11,FALSE),0),0)</f>
        <v>0</v>
      </c>
      <c r="AM347" s="22">
        <f t="shared" si="127"/>
        <v>0</v>
      </c>
      <c r="AN347" s="12" t="str">
        <f t="shared" si="128"/>
        <v/>
      </c>
      <c r="AO347" s="12" t="str">
        <f t="shared" si="129"/>
        <v>Yes</v>
      </c>
      <c r="AP347" t="str">
        <f t="shared" si="114"/>
        <v>Yes</v>
      </c>
      <c r="AQ347" t="str">
        <f>IFERROR(VLOOKUP(Z347,InvBal!$L$4:$P$600,4,FALSE),"Pend")</f>
        <v>Pend</v>
      </c>
      <c r="AR347" t="str">
        <f>IFERROR(VLOOKUP(D347,Manual!$C$1:$E$22,2,FALSE),"Pend")</f>
        <v>Pend</v>
      </c>
      <c r="AS347" t="str">
        <f t="shared" si="130"/>
        <v>Yes</v>
      </c>
      <c r="AT347" t="str">
        <f t="shared" si="131"/>
        <v>Yes</v>
      </c>
      <c r="AU347" s="51" t="str">
        <f t="shared" si="132"/>
        <v>Yes</v>
      </c>
      <c r="AV347" s="12">
        <f>IFERROR(VLOOKUP(D347,'Receivable Invoice Detail'!$S$1:$U$3014,3,FALSE),0)</f>
        <v>0</v>
      </c>
      <c r="AW347" s="12">
        <f t="shared" si="133"/>
        <v>188.36787185046947</v>
      </c>
    </row>
    <row r="348" spans="1:49" x14ac:dyDescent="0.25">
      <c r="A348" s="2">
        <v>1</v>
      </c>
      <c r="B348" s="2" t="s">
        <v>1499</v>
      </c>
      <c r="C348" s="2" t="s">
        <v>1500</v>
      </c>
      <c r="D348" s="2" t="s">
        <v>2713</v>
      </c>
      <c r="E348" s="2" t="s">
        <v>64</v>
      </c>
      <c r="F348" s="3">
        <v>45740.626250000001</v>
      </c>
      <c r="G348" s="3">
        <v>45778.450972222221</v>
      </c>
      <c r="H348" s="4">
        <v>45779</v>
      </c>
      <c r="I348" s="2" t="s">
        <v>21</v>
      </c>
      <c r="J348" s="2" t="s">
        <v>22</v>
      </c>
      <c r="K348" s="2">
        <v>1</v>
      </c>
      <c r="L348" s="2">
        <v>5086.5200000000004</v>
      </c>
      <c r="M348" s="2">
        <v>0</v>
      </c>
      <c r="N348" s="2">
        <v>3672.984304668892</v>
      </c>
      <c r="O348" s="2">
        <v>4501.3500000000004</v>
      </c>
      <c r="P348" s="2">
        <v>585.16999999999996</v>
      </c>
      <c r="Q348" s="2">
        <v>5086.5200000000004</v>
      </c>
      <c r="R348" s="2" t="s">
        <v>44</v>
      </c>
      <c r="S348" s="2"/>
      <c r="T348" s="2">
        <f t="shared" si="115"/>
        <v>1</v>
      </c>
      <c r="U348" s="18">
        <f t="shared" si="116"/>
        <v>3</v>
      </c>
      <c r="V348" s="18">
        <f t="shared" si="117"/>
        <v>2025</v>
      </c>
      <c r="W348" s="18">
        <f t="shared" si="118"/>
        <v>6</v>
      </c>
      <c r="X348" s="18">
        <f t="shared" si="119"/>
        <v>2025</v>
      </c>
      <c r="Y348" s="2">
        <f t="shared" si="112"/>
        <v>0.72210161459482947</v>
      </c>
      <c r="Z348" t="str">
        <f t="shared" si="113"/>
        <v>SO16822</v>
      </c>
      <c r="AA348" s="11">
        <f t="shared" si="120"/>
        <v>45740.626250000001</v>
      </c>
      <c r="AB348" s="5" t="str">
        <f t="shared" si="121"/>
        <v>INV12937</v>
      </c>
      <c r="AC348" s="5" t="str">
        <f>IFERROR(VLOOKUP(D348,CAARStatus!$A$2:$AA$1600,22,FALSE),"Not invoiced")</f>
        <v>Paid</v>
      </c>
      <c r="AD348" s="11">
        <f>IF(AC348="Paid",IFERROR(VLOOKUP(D348,CAARStatus!$A$2:$AA$1600,6,FALSE),"Pending"),"Pending")</f>
        <v>45827</v>
      </c>
      <c r="AE348" s="5" t="str">
        <f t="shared" si="122"/>
        <v>606884</v>
      </c>
      <c r="AF348" s="5" t="str">
        <f t="shared" si="123"/>
        <v>Sealtrac Inc.</v>
      </c>
      <c r="AG348" s="5" t="str">
        <f t="shared" si="124"/>
        <v>CAD</v>
      </c>
      <c r="AH348" s="5">
        <f t="shared" si="125"/>
        <v>4501.3500000000004</v>
      </c>
      <c r="AI348" s="12">
        <f>IF(L348-N348=0,VLOOKUP(U348,rate!A$4:B$15,2,FALSE)*AH348,IF(AG348="USD",O348,AH348*Y348))</f>
        <v>3250.4321028564359</v>
      </c>
      <c r="AJ348" s="13">
        <f t="shared" si="126"/>
        <v>0.72210161459482947</v>
      </c>
      <c r="AK348" s="13">
        <f>-IF(AG348="CAD",IFERROR(VLOOKUP(D348,CAARStatus!$A$1:$Y$1600,16,FALSE),0),0)</f>
        <v>-4501.3500000000004</v>
      </c>
      <c r="AL348" s="13">
        <f>-IF(AG348="USD",IFERROR(VLOOKUP(D348,CAARStatus!$A$1:$Y$1600,11,FALSE),0),0)</f>
        <v>0</v>
      </c>
      <c r="AM348" s="22">
        <f t="shared" si="127"/>
        <v>0</v>
      </c>
      <c r="AN348" s="12" t="str">
        <f t="shared" si="128"/>
        <v/>
      </c>
      <c r="AO348" s="12" t="str">
        <f t="shared" si="129"/>
        <v>Yes</v>
      </c>
      <c r="AP348" t="str">
        <f t="shared" si="114"/>
        <v>Yes</v>
      </c>
      <c r="AQ348" t="str">
        <f>IFERROR(VLOOKUP(Z348,InvBal!$L$4:$P$600,4,FALSE),"Pend")</f>
        <v>Pend</v>
      </c>
      <c r="AR348" t="str">
        <f>IFERROR(VLOOKUP(D348,Manual!$C$1:$E$22,2,FALSE),"Pend")</f>
        <v>Pend</v>
      </c>
      <c r="AS348" t="str">
        <f t="shared" si="130"/>
        <v>Yes</v>
      </c>
      <c r="AT348" t="str">
        <f t="shared" si="131"/>
        <v>Yes</v>
      </c>
      <c r="AU348" s="51" t="str">
        <f t="shared" si="132"/>
        <v>Yes</v>
      </c>
      <c r="AV348" s="12">
        <f>IFERROR(VLOOKUP(D348,'Receivable Invoice Detail'!$S$1:$U$3014,3,FALSE),0)</f>
        <v>0</v>
      </c>
      <c r="AW348" s="12">
        <f t="shared" si="133"/>
        <v>3250.4321028564359</v>
      </c>
    </row>
    <row r="349" spans="1:49" ht="45" x14ac:dyDescent="0.25">
      <c r="A349" s="2">
        <v>1</v>
      </c>
      <c r="B349" s="2" t="s">
        <v>1703</v>
      </c>
      <c r="C349" s="2" t="s">
        <v>1704</v>
      </c>
      <c r="D349" s="2" t="s">
        <v>2595</v>
      </c>
      <c r="E349" s="2" t="s">
        <v>1705</v>
      </c>
      <c r="F349" s="3">
        <v>45740.652511574073</v>
      </c>
      <c r="G349" s="3">
        <v>45743.608067129629</v>
      </c>
      <c r="H349" s="4">
        <v>45744</v>
      </c>
      <c r="I349" s="2" t="s">
        <v>21</v>
      </c>
      <c r="J349" s="2" t="s">
        <v>22</v>
      </c>
      <c r="K349" s="2">
        <v>1</v>
      </c>
      <c r="L349" s="2">
        <v>617.23</v>
      </c>
      <c r="M349" s="2">
        <v>0</v>
      </c>
      <c r="N349" s="2">
        <v>431.09272868467087</v>
      </c>
      <c r="O349" s="2">
        <v>546.22</v>
      </c>
      <c r="P349" s="2">
        <v>71.010000000000005</v>
      </c>
      <c r="Q349" s="2">
        <v>617.23</v>
      </c>
      <c r="R349" s="2" t="s">
        <v>44</v>
      </c>
      <c r="S349" s="2"/>
      <c r="T349" s="2">
        <f t="shared" si="115"/>
        <v>1</v>
      </c>
      <c r="U349" s="18">
        <f t="shared" si="116"/>
        <v>3</v>
      </c>
      <c r="V349" s="18">
        <f t="shared" si="117"/>
        <v>2025</v>
      </c>
      <c r="W349" s="18">
        <f t="shared" si="118"/>
        <v>5</v>
      </c>
      <c r="X349" s="18">
        <f t="shared" si="119"/>
        <v>2025</v>
      </c>
      <c r="Y349" s="2">
        <f t="shared" si="112"/>
        <v>0.69843126336158456</v>
      </c>
      <c r="Z349" t="str">
        <f t="shared" si="113"/>
        <v>SO16824</v>
      </c>
      <c r="AA349" s="11">
        <f t="shared" si="120"/>
        <v>45740.652511574073</v>
      </c>
      <c r="AB349" s="5" t="str">
        <f t="shared" si="121"/>
        <v>INV12798</v>
      </c>
      <c r="AC349" s="5" t="str">
        <f>IFERROR(VLOOKUP(D349,CAARStatus!$A$2:$AA$1600,22,FALSE),"Not invoiced")</f>
        <v>Paid</v>
      </c>
      <c r="AD349" s="11">
        <f>IF(AC349="Paid",IFERROR(VLOOKUP(D349,CAARStatus!$A$2:$AA$1600,6,FALSE),"Pending"),"Pending")</f>
        <v>45783</v>
      </c>
      <c r="AE349" s="5" t="str">
        <f t="shared" si="122"/>
        <v>ON50-00002306</v>
      </c>
      <c r="AF349" s="5" t="str">
        <f t="shared" si="123"/>
        <v>Motion Industries Inc. (Canada) - Thunder Bay, Motion Industries Canada</v>
      </c>
      <c r="AG349" s="5" t="str">
        <f t="shared" si="124"/>
        <v>CAD</v>
      </c>
      <c r="AH349" s="5">
        <f t="shared" si="125"/>
        <v>546.22</v>
      </c>
      <c r="AI349" s="12">
        <f>IF(L349-N349=0,VLOOKUP(U349,rate!A$4:B$15,2,FALSE)*AH349,IF(AG349="USD",O349,AH349*Y349))</f>
        <v>381.49712467336474</v>
      </c>
      <c r="AJ349" s="13">
        <f t="shared" si="126"/>
        <v>0.69843126336158456</v>
      </c>
      <c r="AK349" s="13">
        <f>-IF(AG349="CAD",IFERROR(VLOOKUP(D349,CAARStatus!$A$1:$Y$1600,16,FALSE),0),0)</f>
        <v>-546.22</v>
      </c>
      <c r="AL349" s="13">
        <f>-IF(AG349="USD",IFERROR(VLOOKUP(D349,CAARStatus!$A$1:$Y$1600,11,FALSE),0),0)</f>
        <v>0</v>
      </c>
      <c r="AM349" s="22">
        <f t="shared" si="127"/>
        <v>0</v>
      </c>
      <c r="AN349" s="12" t="str">
        <f t="shared" si="128"/>
        <v/>
      </c>
      <c r="AO349" s="12" t="str">
        <f t="shared" si="129"/>
        <v>Yes</v>
      </c>
      <c r="AP349" t="str">
        <f t="shared" si="114"/>
        <v>Yes</v>
      </c>
      <c r="AQ349" t="str">
        <f>IFERROR(VLOOKUP(Z349,InvBal!$L$4:$P$600,4,FALSE),"Pend")</f>
        <v>Pend</v>
      </c>
      <c r="AR349" t="str">
        <f>IFERROR(VLOOKUP(D349,Manual!$C$1:$E$22,2,FALSE),"Pend")</f>
        <v>Pend</v>
      </c>
      <c r="AS349" t="str">
        <f t="shared" si="130"/>
        <v>Yes</v>
      </c>
      <c r="AT349" t="str">
        <f t="shared" si="131"/>
        <v>Yes</v>
      </c>
      <c r="AU349" s="51" t="str">
        <f t="shared" si="132"/>
        <v>Yes</v>
      </c>
      <c r="AV349" s="12">
        <f>IFERROR(VLOOKUP(D349,'Receivable Invoice Detail'!$S$1:$U$3014,3,FALSE),0)</f>
        <v>0</v>
      </c>
      <c r="AW349" s="12">
        <f t="shared" si="133"/>
        <v>381.49712467336474</v>
      </c>
    </row>
    <row r="350" spans="1:49" x14ac:dyDescent="0.25">
      <c r="A350" s="2">
        <v>1</v>
      </c>
      <c r="B350" s="2" t="s">
        <v>1734</v>
      </c>
      <c r="C350" s="2" t="s">
        <v>1735</v>
      </c>
      <c r="D350" s="2" t="s">
        <v>2578</v>
      </c>
      <c r="E350" s="2" t="s">
        <v>242</v>
      </c>
      <c r="F350" s="3">
        <v>45741.571481481478</v>
      </c>
      <c r="G350" s="3">
        <v>45741.573321759257</v>
      </c>
      <c r="H350" s="4">
        <v>45742</v>
      </c>
      <c r="I350" s="2" t="s">
        <v>21</v>
      </c>
      <c r="J350" s="2" t="s">
        <v>22</v>
      </c>
      <c r="K350" s="2">
        <v>1</v>
      </c>
      <c r="L350" s="2">
        <v>173.13</v>
      </c>
      <c r="M350" s="2">
        <v>0</v>
      </c>
      <c r="N350" s="2">
        <v>120.99201907521019</v>
      </c>
      <c r="O350" s="2">
        <v>164.89</v>
      </c>
      <c r="P350" s="2">
        <v>8.24</v>
      </c>
      <c r="Q350" s="2">
        <v>173.13</v>
      </c>
      <c r="R350" s="2" t="s">
        <v>44</v>
      </c>
      <c r="S350" s="2"/>
      <c r="T350" s="2">
        <f t="shared" si="115"/>
        <v>1</v>
      </c>
      <c r="U350" s="18">
        <f t="shared" si="116"/>
        <v>3</v>
      </c>
      <c r="V350" s="18">
        <f t="shared" si="117"/>
        <v>2025</v>
      </c>
      <c r="W350" s="18">
        <f t="shared" si="118"/>
        <v>4</v>
      </c>
      <c r="X350" s="18">
        <f t="shared" si="119"/>
        <v>2025</v>
      </c>
      <c r="Y350" s="2">
        <f t="shared" si="112"/>
        <v>0.69885068489118118</v>
      </c>
      <c r="Z350" t="str">
        <f t="shared" si="113"/>
        <v>SO16826</v>
      </c>
      <c r="AA350" s="11">
        <f t="shared" si="120"/>
        <v>45741.571481481478</v>
      </c>
      <c r="AB350" s="5" t="str">
        <f t="shared" si="121"/>
        <v>INV12784</v>
      </c>
      <c r="AC350" s="5" t="str">
        <f>IFERROR(VLOOKUP(D350,CAARStatus!$A$2:$AA$1600,22,FALSE),"Not invoiced")</f>
        <v>Paid</v>
      </c>
      <c r="AD350" s="11">
        <f>IF(AC350="Paid",IFERROR(VLOOKUP(D350,CAARStatus!$A$2:$AA$1600,6,FALSE),"Pending"),"Pending")</f>
        <v>45777</v>
      </c>
      <c r="AE350" s="5" t="str">
        <f t="shared" si="122"/>
        <v>2100538961</v>
      </c>
      <c r="AF350" s="5" t="str">
        <f t="shared" si="123"/>
        <v>Wajax Limited - Noranda</v>
      </c>
      <c r="AG350" s="5" t="str">
        <f t="shared" si="124"/>
        <v>CAD</v>
      </c>
      <c r="AH350" s="5">
        <f t="shared" si="125"/>
        <v>164.89</v>
      </c>
      <c r="AI350" s="12">
        <f>IF(L350-N350=0,VLOOKUP(U350,rate!A$4:B$15,2,FALSE)*AH350,IF(AG350="USD",O350,AH350*Y350))</f>
        <v>115.23348943170686</v>
      </c>
      <c r="AJ350" s="13">
        <f t="shared" si="126"/>
        <v>0.69885068489118118</v>
      </c>
      <c r="AK350" s="13">
        <f>-IF(AG350="CAD",IFERROR(VLOOKUP(D350,CAARStatus!$A$1:$Y$1600,16,FALSE),0),0)</f>
        <v>-164.89</v>
      </c>
      <c r="AL350" s="13">
        <f>-IF(AG350="USD",IFERROR(VLOOKUP(D350,CAARStatus!$A$1:$Y$1600,11,FALSE),0),0)</f>
        <v>0</v>
      </c>
      <c r="AM350" s="22">
        <f t="shared" si="127"/>
        <v>0</v>
      </c>
      <c r="AN350" s="12" t="str">
        <f t="shared" si="128"/>
        <v/>
      </c>
      <c r="AO350" s="12" t="str">
        <f t="shared" si="129"/>
        <v>Yes</v>
      </c>
      <c r="AP350" t="str">
        <f t="shared" si="114"/>
        <v>Yes</v>
      </c>
      <c r="AQ350" t="str">
        <f>IFERROR(VLOOKUP(Z350,InvBal!$L$4:$P$600,4,FALSE),"Pend")</f>
        <v>Pend</v>
      </c>
      <c r="AR350" t="str">
        <f>IFERROR(VLOOKUP(D350,Manual!$C$1:$E$22,2,FALSE),"Pend")</f>
        <v>Pend</v>
      </c>
      <c r="AS350" t="str">
        <f t="shared" si="130"/>
        <v>Yes</v>
      </c>
      <c r="AT350" t="str">
        <f t="shared" si="131"/>
        <v>Yes</v>
      </c>
      <c r="AU350" s="51" t="str">
        <f t="shared" si="132"/>
        <v>Yes</v>
      </c>
      <c r="AV350" s="12">
        <f>IFERROR(VLOOKUP(D350,'Receivable Invoice Detail'!$S$1:$U$3014,3,FALSE),0)</f>
        <v>0</v>
      </c>
      <c r="AW350" s="12">
        <f t="shared" si="133"/>
        <v>115.23348943170686</v>
      </c>
    </row>
    <row r="351" spans="1:49" ht="30" x14ac:dyDescent="0.25">
      <c r="A351" s="2">
        <v>1</v>
      </c>
      <c r="B351" s="2" t="s">
        <v>1728</v>
      </c>
      <c r="C351" s="2" t="s">
        <v>1729</v>
      </c>
      <c r="D351" s="2" t="s">
        <v>2581</v>
      </c>
      <c r="E351" s="2" t="s">
        <v>47</v>
      </c>
      <c r="F351" s="3">
        <v>45741.579340277778</v>
      </c>
      <c r="G351" s="3">
        <v>45741.640555555547</v>
      </c>
      <c r="H351" s="4">
        <v>45742</v>
      </c>
      <c r="I351" s="2" t="s">
        <v>21</v>
      </c>
      <c r="J351" s="2" t="s">
        <v>22</v>
      </c>
      <c r="K351" s="2">
        <v>1</v>
      </c>
      <c r="L351" s="2">
        <v>3613.67</v>
      </c>
      <c r="M351" s="2">
        <v>0</v>
      </c>
      <c r="N351" s="2">
        <v>2525.4157544707141</v>
      </c>
      <c r="O351" s="2">
        <v>3197.94</v>
      </c>
      <c r="P351" s="2">
        <v>415.73</v>
      </c>
      <c r="Q351" s="2">
        <v>3613.67</v>
      </c>
      <c r="R351" s="2" t="s">
        <v>44</v>
      </c>
      <c r="S351" s="2"/>
      <c r="T351" s="2">
        <f t="shared" si="115"/>
        <v>1</v>
      </c>
      <c r="U351" s="18">
        <f t="shared" si="116"/>
        <v>3</v>
      </c>
      <c r="V351" s="18">
        <f t="shared" si="117"/>
        <v>2025</v>
      </c>
      <c r="W351" s="18">
        <f t="shared" si="118"/>
        <v>5</v>
      </c>
      <c r="X351" s="18">
        <f t="shared" si="119"/>
        <v>2025</v>
      </c>
      <c r="Y351" s="2">
        <f t="shared" si="112"/>
        <v>0.69885068489118096</v>
      </c>
      <c r="Z351" t="str">
        <f t="shared" si="113"/>
        <v>SO16827</v>
      </c>
      <c r="AA351" s="11">
        <f t="shared" si="120"/>
        <v>45741.579340277778</v>
      </c>
      <c r="AB351" s="5" t="str">
        <f t="shared" si="121"/>
        <v>INV12791</v>
      </c>
      <c r="AC351" s="5" t="str">
        <f>IFERROR(VLOOKUP(D351,CAARStatus!$A$2:$AA$1600,22,FALSE),"Not invoiced")</f>
        <v>Paid</v>
      </c>
      <c r="AD351" s="11">
        <f>IF(AC351="Paid",IFERROR(VLOOKUP(D351,CAARStatus!$A$2:$AA$1600,6,FALSE),"Pending"),"Pending")</f>
        <v>45793</v>
      </c>
      <c r="AE351" s="5" t="str">
        <f t="shared" si="122"/>
        <v>03R19616</v>
      </c>
      <c r="AF351" s="5" t="str">
        <f t="shared" si="123"/>
        <v>Moffatt Supply &amp; Specialties - Red Lake</v>
      </c>
      <c r="AG351" s="5" t="str">
        <f t="shared" si="124"/>
        <v>CAD</v>
      </c>
      <c r="AH351" s="5">
        <f t="shared" si="125"/>
        <v>3197.94</v>
      </c>
      <c r="AI351" s="12">
        <f>IF(L351-N351=0,VLOOKUP(U351,rate!A$4:B$15,2,FALSE)*AH351,IF(AG351="USD",O351,AH351*Y351))</f>
        <v>2234.8825592409034</v>
      </c>
      <c r="AJ351" s="13">
        <f t="shared" si="126"/>
        <v>0.69885068489118096</v>
      </c>
      <c r="AK351" s="13">
        <f>-IF(AG351="CAD",IFERROR(VLOOKUP(D351,CAARStatus!$A$1:$Y$1600,16,FALSE),0),0)</f>
        <v>-3197.94</v>
      </c>
      <c r="AL351" s="13">
        <f>-IF(AG351="USD",IFERROR(VLOOKUP(D351,CAARStatus!$A$1:$Y$1600,11,FALSE),0),0)</f>
        <v>0</v>
      </c>
      <c r="AM351" s="22">
        <f t="shared" si="127"/>
        <v>0</v>
      </c>
      <c r="AN351" s="12" t="str">
        <f t="shared" si="128"/>
        <v/>
      </c>
      <c r="AO351" s="12" t="str">
        <f t="shared" si="129"/>
        <v>Yes</v>
      </c>
      <c r="AP351" t="str">
        <f t="shared" si="114"/>
        <v>Yes</v>
      </c>
      <c r="AQ351" t="str">
        <f>IFERROR(VLOOKUP(Z351,InvBal!$L$4:$P$600,4,FALSE),"Pend")</f>
        <v>Pend</v>
      </c>
      <c r="AR351" t="str">
        <f>IFERROR(VLOOKUP(D351,Manual!$C$1:$E$22,2,FALSE),"Pend")</f>
        <v>Pend</v>
      </c>
      <c r="AS351" t="str">
        <f t="shared" si="130"/>
        <v>Yes</v>
      </c>
      <c r="AT351" t="str">
        <f t="shared" si="131"/>
        <v>Yes</v>
      </c>
      <c r="AU351" s="51" t="str">
        <f t="shared" si="132"/>
        <v>Yes</v>
      </c>
      <c r="AV351" s="12">
        <f>IFERROR(VLOOKUP(D351,'Receivable Invoice Detail'!$S$1:$U$3014,3,FALSE),0)</f>
        <v>0</v>
      </c>
      <c r="AW351" s="12">
        <f t="shared" si="133"/>
        <v>2234.8825592409034</v>
      </c>
    </row>
    <row r="352" spans="1:49" ht="30" x14ac:dyDescent="0.25">
      <c r="A352" s="2">
        <v>1</v>
      </c>
      <c r="B352" s="2" t="s">
        <v>1701</v>
      </c>
      <c r="C352" s="2" t="s">
        <v>1702</v>
      </c>
      <c r="D352" s="2" t="s">
        <v>2596</v>
      </c>
      <c r="E352" s="2" t="s">
        <v>39</v>
      </c>
      <c r="F352" s="3">
        <v>45741.620925925927</v>
      </c>
      <c r="G352" s="3">
        <v>45743.620925925927</v>
      </c>
      <c r="H352" s="4">
        <v>45744</v>
      </c>
      <c r="I352" s="2" t="s">
        <v>21</v>
      </c>
      <c r="J352" s="2" t="s">
        <v>22</v>
      </c>
      <c r="K352" s="2">
        <v>1</v>
      </c>
      <c r="L352" s="2">
        <v>277.45</v>
      </c>
      <c r="M352" s="2">
        <v>0</v>
      </c>
      <c r="N352" s="2">
        <v>193.77975401967171</v>
      </c>
      <c r="O352" s="2">
        <v>264.24</v>
      </c>
      <c r="P352" s="2">
        <v>13.21</v>
      </c>
      <c r="Q352" s="2">
        <v>277.45</v>
      </c>
      <c r="R352" s="2" t="s">
        <v>44</v>
      </c>
      <c r="S352" s="2"/>
      <c r="T352" s="2">
        <f t="shared" si="115"/>
        <v>1</v>
      </c>
      <c r="U352" s="18">
        <f t="shared" si="116"/>
        <v>3</v>
      </c>
      <c r="V352" s="18">
        <f t="shared" si="117"/>
        <v>2025</v>
      </c>
      <c r="W352" s="18">
        <f t="shared" si="118"/>
        <v>5</v>
      </c>
      <c r="X352" s="18">
        <f t="shared" si="119"/>
        <v>2025</v>
      </c>
      <c r="Y352" s="2">
        <f t="shared" si="112"/>
        <v>0.6984312633615849</v>
      </c>
      <c r="Z352" t="str">
        <f t="shared" si="113"/>
        <v>SO16829</v>
      </c>
      <c r="AA352" s="11">
        <f t="shared" si="120"/>
        <v>45741.620925925927</v>
      </c>
      <c r="AB352" s="5" t="str">
        <f t="shared" si="121"/>
        <v>INV12797</v>
      </c>
      <c r="AC352" s="5" t="str">
        <f>IFERROR(VLOOKUP(D352,CAARStatus!$A$2:$AA$1600,22,FALSE),"Not invoiced")</f>
        <v>Paid</v>
      </c>
      <c r="AD352" s="11">
        <f>IF(AC352="Paid",IFERROR(VLOOKUP(D352,CAARStatus!$A$2:$AA$1600,6,FALSE),"Pending"),"Pending")</f>
        <v>45800</v>
      </c>
      <c r="AE352" s="5" t="str">
        <f t="shared" si="122"/>
        <v>BC65-00080002</v>
      </c>
      <c r="AF352" s="5" t="str">
        <f t="shared" si="123"/>
        <v>Motion Industries Inc. (Canada) - Prince George</v>
      </c>
      <c r="AG352" s="5" t="str">
        <f t="shared" si="124"/>
        <v>CAD</v>
      </c>
      <c r="AH352" s="5">
        <f t="shared" si="125"/>
        <v>264.24</v>
      </c>
      <c r="AI352" s="12">
        <f>IF(L352-N352=0,VLOOKUP(U352,rate!A$4:B$15,2,FALSE)*AH352,IF(AG352="USD",O352,AH352*Y352))</f>
        <v>184.55347703066519</v>
      </c>
      <c r="AJ352" s="13">
        <f t="shared" si="126"/>
        <v>0.6984312633615849</v>
      </c>
      <c r="AK352" s="13">
        <f>-IF(AG352="CAD",IFERROR(VLOOKUP(D352,CAARStatus!$A$1:$Y$1600,16,FALSE),0),0)</f>
        <v>-264.24</v>
      </c>
      <c r="AL352" s="13">
        <f>-IF(AG352="USD",IFERROR(VLOOKUP(D352,CAARStatus!$A$1:$Y$1600,11,FALSE),0),0)</f>
        <v>0</v>
      </c>
      <c r="AM352" s="22">
        <f t="shared" si="127"/>
        <v>0</v>
      </c>
      <c r="AN352" s="12" t="str">
        <f t="shared" si="128"/>
        <v/>
      </c>
      <c r="AO352" s="12" t="str">
        <f t="shared" si="129"/>
        <v>Yes</v>
      </c>
      <c r="AP352" t="str">
        <f t="shared" si="114"/>
        <v>Yes</v>
      </c>
      <c r="AQ352" t="str">
        <f>IFERROR(VLOOKUP(Z352,InvBal!$L$4:$P$600,4,FALSE),"Pend")</f>
        <v>Pend</v>
      </c>
      <c r="AR352" t="str">
        <f>IFERROR(VLOOKUP(D352,Manual!$C$1:$E$22,2,FALSE),"Pend")</f>
        <v>Pend</v>
      </c>
      <c r="AS352" t="str">
        <f t="shared" si="130"/>
        <v>Yes</v>
      </c>
      <c r="AT352" t="str">
        <f t="shared" si="131"/>
        <v>Yes</v>
      </c>
      <c r="AU352" s="51" t="str">
        <f t="shared" si="132"/>
        <v>Yes</v>
      </c>
      <c r="AV352" s="12">
        <f>IFERROR(VLOOKUP(D352,'Receivable Invoice Detail'!$S$1:$U$3014,3,FALSE),0)</f>
        <v>0</v>
      </c>
      <c r="AW352" s="12">
        <f t="shared" si="133"/>
        <v>184.55347703066519</v>
      </c>
    </row>
    <row r="353" spans="1:49" x14ac:dyDescent="0.25">
      <c r="A353" s="2">
        <v>1</v>
      </c>
      <c r="B353" s="2" t="s">
        <v>1730</v>
      </c>
      <c r="C353" s="2" t="s">
        <v>1731</v>
      </c>
      <c r="D353" s="2" t="s">
        <v>2580</v>
      </c>
      <c r="E353" s="2" t="s">
        <v>146</v>
      </c>
      <c r="F353" s="3">
        <v>45741.629687499997</v>
      </c>
      <c r="G353" s="3">
        <v>45741.631689814807</v>
      </c>
      <c r="H353" s="4">
        <v>45742</v>
      </c>
      <c r="I353" s="2" t="s">
        <v>21</v>
      </c>
      <c r="J353" s="2" t="s">
        <v>22</v>
      </c>
      <c r="K353" s="2">
        <v>1</v>
      </c>
      <c r="L353" s="2">
        <v>542.75</v>
      </c>
      <c r="M353" s="2">
        <v>0</v>
      </c>
      <c r="N353" s="2">
        <v>379.30120922468848</v>
      </c>
      <c r="O353" s="2">
        <v>516.9</v>
      </c>
      <c r="P353" s="2">
        <v>25.85</v>
      </c>
      <c r="Q353" s="2">
        <v>542.75</v>
      </c>
      <c r="R353" s="2" t="s">
        <v>44</v>
      </c>
      <c r="S353" s="2"/>
      <c r="T353" s="2">
        <f t="shared" si="115"/>
        <v>1</v>
      </c>
      <c r="U353" s="18">
        <f t="shared" si="116"/>
        <v>3</v>
      </c>
      <c r="V353" s="18">
        <f t="shared" si="117"/>
        <v>2025</v>
      </c>
      <c r="W353" s="18">
        <f t="shared" si="118"/>
        <v>4</v>
      </c>
      <c r="X353" s="18">
        <f t="shared" si="119"/>
        <v>2025</v>
      </c>
      <c r="Y353" s="2">
        <f t="shared" si="112"/>
        <v>0.69885068489118096</v>
      </c>
      <c r="Z353" t="str">
        <f t="shared" si="113"/>
        <v>SO16830</v>
      </c>
      <c r="AA353" s="11">
        <f t="shared" si="120"/>
        <v>45741.629687499997</v>
      </c>
      <c r="AB353" s="5" t="str">
        <f t="shared" si="121"/>
        <v>INV12786</v>
      </c>
      <c r="AC353" s="5" t="str">
        <f>IFERROR(VLOOKUP(D353,CAARStatus!$A$2:$AA$1600,22,FALSE),"Not invoiced")</f>
        <v>Paid</v>
      </c>
      <c r="AD353" s="11">
        <f>IF(AC353="Paid",IFERROR(VLOOKUP(D353,CAARStatus!$A$2:$AA$1600,6,FALSE),"Pending"),"Pending")</f>
        <v>45776</v>
      </c>
      <c r="AE353" s="5" t="str">
        <f t="shared" si="122"/>
        <v>6943</v>
      </c>
      <c r="AF353" s="5" t="str">
        <f t="shared" si="123"/>
        <v>Hyperflo</v>
      </c>
      <c r="AG353" s="5" t="str">
        <f t="shared" si="124"/>
        <v>CAD</v>
      </c>
      <c r="AH353" s="5">
        <f t="shared" si="125"/>
        <v>516.9</v>
      </c>
      <c r="AI353" s="12">
        <f>IF(L353-N353=0,VLOOKUP(U353,rate!A$4:B$15,2,FALSE)*AH353,IF(AG353="USD",O353,AH353*Y353))</f>
        <v>361.2359190202514</v>
      </c>
      <c r="AJ353" s="13">
        <f t="shared" si="126"/>
        <v>0.69885068489118096</v>
      </c>
      <c r="AK353" s="13">
        <f>-IF(AG353="CAD",IFERROR(VLOOKUP(D353,CAARStatus!$A$1:$Y$1600,16,FALSE),0),0)</f>
        <v>-516.9</v>
      </c>
      <c r="AL353" s="13">
        <f>-IF(AG353="USD",IFERROR(VLOOKUP(D353,CAARStatus!$A$1:$Y$1600,11,FALSE),0),0)</f>
        <v>0</v>
      </c>
      <c r="AM353" s="22">
        <f t="shared" si="127"/>
        <v>0</v>
      </c>
      <c r="AN353" s="12" t="str">
        <f t="shared" si="128"/>
        <v/>
      </c>
      <c r="AO353" s="12" t="str">
        <f t="shared" si="129"/>
        <v>Yes</v>
      </c>
      <c r="AP353" t="str">
        <f t="shared" si="114"/>
        <v>Yes</v>
      </c>
      <c r="AQ353" t="str">
        <f>IFERROR(VLOOKUP(Z353,InvBal!$L$4:$P$600,4,FALSE),"Pend")</f>
        <v>Pend</v>
      </c>
      <c r="AR353" t="str">
        <f>IFERROR(VLOOKUP(D353,Manual!$C$1:$E$22,2,FALSE),"Pend")</f>
        <v>Pend</v>
      </c>
      <c r="AS353" t="str">
        <f t="shared" si="130"/>
        <v>Yes</v>
      </c>
      <c r="AT353" t="str">
        <f t="shared" si="131"/>
        <v>Yes</v>
      </c>
      <c r="AU353" s="51" t="str">
        <f t="shared" si="132"/>
        <v>Yes</v>
      </c>
      <c r="AV353" s="12">
        <f>IFERROR(VLOOKUP(D353,'Receivable Invoice Detail'!$S$1:$U$3014,3,FALSE),0)</f>
        <v>0</v>
      </c>
      <c r="AW353" s="12">
        <f t="shared" si="133"/>
        <v>361.2359190202514</v>
      </c>
    </row>
    <row r="354" spans="1:49" x14ac:dyDescent="0.25">
      <c r="A354" s="2">
        <v>1</v>
      </c>
      <c r="B354" s="2" t="s">
        <v>1724</v>
      </c>
      <c r="C354" s="2" t="s">
        <v>1725</v>
      </c>
      <c r="D354" s="2" t="s">
        <v>2583</v>
      </c>
      <c r="E354" s="2" t="s">
        <v>146</v>
      </c>
      <c r="F354" s="3">
        <v>45742.334618055553</v>
      </c>
      <c r="G354" s="3">
        <v>45742.335081018522</v>
      </c>
      <c r="H354" s="4">
        <v>45742</v>
      </c>
      <c r="I354" s="2" t="s">
        <v>21</v>
      </c>
      <c r="J354" s="2" t="s">
        <v>22</v>
      </c>
      <c r="K354" s="2">
        <v>1</v>
      </c>
      <c r="L354" s="2">
        <v>361.83</v>
      </c>
      <c r="M354" s="2">
        <v>0</v>
      </c>
      <c r="N354" s="2">
        <v>253.7979086799736</v>
      </c>
      <c r="O354" s="2">
        <v>344.6</v>
      </c>
      <c r="P354" s="2">
        <v>17.23</v>
      </c>
      <c r="Q354" s="2">
        <v>361.83</v>
      </c>
      <c r="R354" s="2" t="s">
        <v>44</v>
      </c>
      <c r="S354" s="2"/>
      <c r="T354" s="2">
        <f t="shared" si="115"/>
        <v>1</v>
      </c>
      <c r="U354" s="18">
        <f t="shared" si="116"/>
        <v>3</v>
      </c>
      <c r="V354" s="18">
        <f t="shared" si="117"/>
        <v>2025</v>
      </c>
      <c r="W354" s="18">
        <f t="shared" si="118"/>
        <v>4</v>
      </c>
      <c r="X354" s="18">
        <f t="shared" si="119"/>
        <v>2025</v>
      </c>
      <c r="Y354" s="2">
        <f t="shared" si="112"/>
        <v>0.70142859541766467</v>
      </c>
      <c r="Z354" t="str">
        <f t="shared" si="113"/>
        <v>SO16833</v>
      </c>
      <c r="AA354" s="11">
        <f t="shared" si="120"/>
        <v>45742.334618055553</v>
      </c>
      <c r="AB354" s="5" t="str">
        <f t="shared" si="121"/>
        <v>INV12785</v>
      </c>
      <c r="AC354" s="5" t="str">
        <f>IFERROR(VLOOKUP(D354,CAARStatus!$A$2:$AA$1600,22,FALSE),"Not invoiced")</f>
        <v>Paid</v>
      </c>
      <c r="AD354" s="11">
        <f>IF(AC354="Paid",IFERROR(VLOOKUP(D354,CAARStatus!$A$2:$AA$1600,6,FALSE),"Pending"),"Pending")</f>
        <v>45776</v>
      </c>
      <c r="AE354" s="5" t="str">
        <f t="shared" si="122"/>
        <v>6944</v>
      </c>
      <c r="AF354" s="5" t="str">
        <f t="shared" si="123"/>
        <v>Hyperflo</v>
      </c>
      <c r="AG354" s="5" t="str">
        <f t="shared" si="124"/>
        <v>CAD</v>
      </c>
      <c r="AH354" s="5">
        <f t="shared" si="125"/>
        <v>344.6</v>
      </c>
      <c r="AI354" s="12">
        <f>IF(L354-N354=0,VLOOKUP(U354,rate!A$4:B$15,2,FALSE)*AH354,IF(AG354="USD",O354,AH354*Y354))</f>
        <v>241.71229398092726</v>
      </c>
      <c r="AJ354" s="13">
        <f t="shared" si="126"/>
        <v>0.70142859541766467</v>
      </c>
      <c r="AK354" s="13">
        <f>-IF(AG354="CAD",IFERROR(VLOOKUP(D354,CAARStatus!$A$1:$Y$1600,16,FALSE),0),0)</f>
        <v>-344.6</v>
      </c>
      <c r="AL354" s="13">
        <f>-IF(AG354="USD",IFERROR(VLOOKUP(D354,CAARStatus!$A$1:$Y$1600,11,FALSE),0),0)</f>
        <v>0</v>
      </c>
      <c r="AM354" s="22">
        <f t="shared" si="127"/>
        <v>0</v>
      </c>
      <c r="AN354" s="12" t="str">
        <f t="shared" si="128"/>
        <v/>
      </c>
      <c r="AO354" s="12" t="str">
        <f t="shared" si="129"/>
        <v>Yes</v>
      </c>
      <c r="AP354" t="str">
        <f t="shared" si="114"/>
        <v>Yes</v>
      </c>
      <c r="AQ354" t="str">
        <f>IFERROR(VLOOKUP(Z354,InvBal!$L$4:$P$600,4,FALSE),"Pend")</f>
        <v>Pend</v>
      </c>
      <c r="AR354" t="str">
        <f>IFERROR(VLOOKUP(D354,Manual!$C$1:$E$22,2,FALSE),"Pend")</f>
        <v>Pend</v>
      </c>
      <c r="AS354" t="str">
        <f t="shared" si="130"/>
        <v>Yes</v>
      </c>
      <c r="AT354" t="str">
        <f t="shared" si="131"/>
        <v>Yes</v>
      </c>
      <c r="AU354" s="51" t="str">
        <f t="shared" si="132"/>
        <v>Yes</v>
      </c>
      <c r="AV354" s="12">
        <f>IFERROR(VLOOKUP(D354,'Receivable Invoice Detail'!$S$1:$U$3014,3,FALSE),0)</f>
        <v>0</v>
      </c>
      <c r="AW354" s="12">
        <f t="shared" si="133"/>
        <v>241.71229398092726</v>
      </c>
    </row>
    <row r="355" spans="1:49" ht="30" x14ac:dyDescent="0.25">
      <c r="A355" s="2">
        <v>2</v>
      </c>
      <c r="B355" s="2" t="s">
        <v>1662</v>
      </c>
      <c r="C355" s="2" t="s">
        <v>1663</v>
      </c>
      <c r="D355" s="2" t="s">
        <v>2620</v>
      </c>
      <c r="E355" s="2" t="s">
        <v>159</v>
      </c>
      <c r="F355" s="3">
        <v>45742.51153935185</v>
      </c>
      <c r="G355" s="3">
        <v>45750.51295138889</v>
      </c>
      <c r="H355" s="4">
        <v>45786</v>
      </c>
      <c r="I355" s="2" t="s">
        <v>40</v>
      </c>
      <c r="J355" s="2" t="s">
        <v>51</v>
      </c>
      <c r="K355" s="2">
        <v>0.69879848026194369</v>
      </c>
      <c r="L355" s="2">
        <v>57048.635802780322</v>
      </c>
      <c r="M355" s="2">
        <v>0</v>
      </c>
      <c r="N355" s="2">
        <v>39865.5</v>
      </c>
      <c r="O355" s="2">
        <v>39865.5</v>
      </c>
      <c r="P355" s="2"/>
      <c r="Q355" s="2">
        <v>39865.5</v>
      </c>
      <c r="R355" s="2" t="s">
        <v>44</v>
      </c>
      <c r="S355" s="2"/>
      <c r="T355" s="2">
        <f t="shared" si="115"/>
        <v>2</v>
      </c>
      <c r="U355" s="18">
        <f t="shared" si="116"/>
        <v>3</v>
      </c>
      <c r="V355" s="18">
        <f t="shared" si="117"/>
        <v>2025</v>
      </c>
      <c r="W355" s="18">
        <f t="shared" si="118"/>
        <v>6</v>
      </c>
      <c r="X355" s="18">
        <f t="shared" si="119"/>
        <v>2025</v>
      </c>
      <c r="Y355" s="2">
        <f t="shared" si="112"/>
        <v>0.69879848026194369</v>
      </c>
      <c r="Z355" t="str">
        <f t="shared" si="113"/>
        <v>SO16834</v>
      </c>
      <c r="AA355" s="11">
        <f t="shared" si="120"/>
        <v>45742.51153935185</v>
      </c>
      <c r="AB355" s="5" t="str">
        <f t="shared" si="121"/>
        <v>INV12908</v>
      </c>
      <c r="AC355" s="5" t="str">
        <f>IFERROR(VLOOKUP(D355,CAARStatus!$A$2:$AA$1600,22,FALSE),"Not invoiced")</f>
        <v>Paid</v>
      </c>
      <c r="AD355" s="11">
        <f>IF(AC355="Paid",IFERROR(VLOOKUP(D355,CAARStatus!$A$2:$AA$1600,6,FALSE),"Pending"),"Pending")</f>
        <v>45821</v>
      </c>
      <c r="AE355" s="5" t="str">
        <f t="shared" si="122"/>
        <v>4501151823</v>
      </c>
      <c r="AF355" s="5" t="str">
        <f t="shared" si="123"/>
        <v>Barrick Gold - Pueblo Viejo Dominicana Corporation</v>
      </c>
      <c r="AG355" s="5" t="str">
        <f t="shared" si="124"/>
        <v>USD</v>
      </c>
      <c r="AH355" s="5">
        <f t="shared" si="125"/>
        <v>57048.635802780322</v>
      </c>
      <c r="AI355" s="12">
        <f>IF(L355-N355=0,VLOOKUP(U355,rate!A$4:B$15,2,FALSE)*AH355,IF(AG355="USD",O355,AH355*Y355))</f>
        <v>39865.5</v>
      </c>
      <c r="AJ355" s="13">
        <f t="shared" si="126"/>
        <v>0.69879848026194369</v>
      </c>
      <c r="AK355" s="13">
        <f>-IF(AG355="CAD",IFERROR(VLOOKUP(D355,CAARStatus!$A$1:$Y$1600,16,FALSE),0),0)</f>
        <v>0</v>
      </c>
      <c r="AL355" s="13">
        <f>-IF(AG355="USD",IFERROR(VLOOKUP(D355,CAARStatus!$A$1:$Y$1600,11,FALSE),0),0)</f>
        <v>-30541.5</v>
      </c>
      <c r="AM355" s="22" t="str">
        <f t="shared" si="127"/>
        <v/>
      </c>
      <c r="AN355" s="12">
        <f t="shared" si="128"/>
        <v>9324</v>
      </c>
      <c r="AO355" s="12" t="str">
        <f t="shared" si="129"/>
        <v>Yes</v>
      </c>
      <c r="AP355" t="str">
        <f t="shared" si="114"/>
        <v>XX</v>
      </c>
      <c r="AQ355" t="str">
        <f>IFERROR(VLOOKUP(Z355,InvBal!$L$4:$P$600,4,FALSE),"Pend")</f>
        <v>Yes</v>
      </c>
      <c r="AR355" t="str">
        <f>IFERROR(VLOOKUP(D355,Manual!$C$1:$E$22,2,FALSE),"Pend")</f>
        <v>Pend</v>
      </c>
      <c r="AS355" t="str">
        <f t="shared" si="130"/>
        <v>Yes</v>
      </c>
      <c r="AT355" t="str">
        <f t="shared" si="131"/>
        <v>Yes</v>
      </c>
      <c r="AU355" s="51" t="str">
        <f t="shared" si="132"/>
        <v>Yes</v>
      </c>
      <c r="AV355" s="12">
        <f>IFERROR(VLOOKUP(D355,'Receivable Invoice Detail'!$S$1:$U$3014,3,FALSE),0)</f>
        <v>0</v>
      </c>
      <c r="AW355" s="12">
        <f t="shared" si="133"/>
        <v>39865.5</v>
      </c>
    </row>
    <row r="356" spans="1:49" x14ac:dyDescent="0.25">
      <c r="A356" s="2"/>
      <c r="B356" s="2"/>
      <c r="C356" s="2"/>
      <c r="D356" s="2" t="s">
        <v>2619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f t="shared" si="115"/>
        <v>2</v>
      </c>
      <c r="U356" s="18">
        <f t="shared" si="116"/>
        <v>3</v>
      </c>
      <c r="V356" s="18">
        <f t="shared" si="117"/>
        <v>2025</v>
      </c>
      <c r="W356" s="18">
        <f t="shared" si="118"/>
        <v>6</v>
      </c>
      <c r="X356" s="18">
        <f t="shared" si="119"/>
        <v>2025</v>
      </c>
      <c r="Y356" s="2">
        <f t="shared" si="112"/>
        <v>0.69879848026194369</v>
      </c>
      <c r="Z356" t="str">
        <f t="shared" si="113"/>
        <v>SO16834</v>
      </c>
      <c r="AA356" s="11">
        <f t="shared" si="120"/>
        <v>45742.51153935185</v>
      </c>
      <c r="AB356" s="5" t="str">
        <f t="shared" si="121"/>
        <v>INV12982</v>
      </c>
      <c r="AC356" s="5" t="str">
        <f>IFERROR(VLOOKUP(D356,CAARStatus!$A$2:$AA$1600,22,FALSE),"Not invoiced")</f>
        <v>Paid</v>
      </c>
      <c r="AD356" s="11">
        <f>IF(AC356="Paid",IFERROR(VLOOKUP(D356,CAARStatus!$A$2:$AA$1600,6,FALSE),"Pending"),"Pending")</f>
        <v>45835</v>
      </c>
      <c r="AE356" s="5" t="str">
        <f t="shared" si="122"/>
        <v>4501151823</v>
      </c>
      <c r="AF356" s="5" t="str">
        <f t="shared" si="123"/>
        <v>Barrick Gold - Pueblo Viejo Dominicana Corporation</v>
      </c>
      <c r="AG356" s="5" t="str">
        <f t="shared" si="124"/>
        <v>USD</v>
      </c>
      <c r="AH356" s="5">
        <f t="shared" si="125"/>
        <v>0</v>
      </c>
      <c r="AI356" s="12">
        <f>IF(L356-N356=0,VLOOKUP(U356,rate!A$4:B$15,2,FALSE)*AH356,IF(AG356="USD",O356,AH356*Y356))</f>
        <v>0</v>
      </c>
      <c r="AJ356" s="13">
        <f t="shared" si="126"/>
        <v>0</v>
      </c>
      <c r="AK356" s="13">
        <f>-IF(AG356="CAD",IFERROR(VLOOKUP(D356,CAARStatus!$A$1:$Y$1600,16,FALSE),0),0)</f>
        <v>0</v>
      </c>
      <c r="AL356" s="13">
        <f>-IF(AG356="USD",IFERROR(VLOOKUP(D356,CAARStatus!$A$1:$Y$1600,11,FALSE),0),0)</f>
        <v>-9324</v>
      </c>
      <c r="AM356" s="22" t="str">
        <f t="shared" si="127"/>
        <v/>
      </c>
      <c r="AN356" s="12">
        <f t="shared" si="128"/>
        <v>-9324</v>
      </c>
      <c r="AO356" s="12" t="str">
        <f t="shared" si="129"/>
        <v>Yes</v>
      </c>
      <c r="AP356" t="str">
        <f t="shared" si="114"/>
        <v>XX</v>
      </c>
      <c r="AQ356" t="str">
        <f>IFERROR(VLOOKUP(Z356,InvBal!$L$4:$P$600,4,FALSE),"Pend")</f>
        <v>Yes</v>
      </c>
      <c r="AR356" t="str">
        <f>IFERROR(VLOOKUP(D356,Manual!$C$1:$E$22,2,FALSE),"Pend")</f>
        <v>Pend</v>
      </c>
      <c r="AS356" t="str">
        <f t="shared" si="130"/>
        <v>Yes</v>
      </c>
      <c r="AT356" t="str">
        <f t="shared" si="131"/>
        <v/>
      </c>
      <c r="AU356" s="51" t="str">
        <f t="shared" si="132"/>
        <v/>
      </c>
      <c r="AV356" s="12">
        <f>IFERROR(VLOOKUP(D356,'Receivable Invoice Detail'!$S$1:$U$3014,3,FALSE),0)</f>
        <v>0</v>
      </c>
      <c r="AW356" s="12">
        <f t="shared" si="133"/>
        <v>0</v>
      </c>
    </row>
    <row r="357" spans="1:49" ht="30" x14ac:dyDescent="0.25">
      <c r="A357" s="2">
        <v>2</v>
      </c>
      <c r="B357" s="2" t="s">
        <v>1664</v>
      </c>
      <c r="C357" s="2" t="s">
        <v>1665</v>
      </c>
      <c r="D357" s="2" t="s">
        <v>2618</v>
      </c>
      <c r="E357" s="2" t="s">
        <v>149</v>
      </c>
      <c r="F357" s="3">
        <v>45742.540625000001</v>
      </c>
      <c r="G357" s="3">
        <v>45750.355833333328</v>
      </c>
      <c r="H357" s="4">
        <v>45855</v>
      </c>
      <c r="I357" s="2" t="s">
        <v>21</v>
      </c>
      <c r="J357" s="2" t="s">
        <v>51</v>
      </c>
      <c r="K357" s="2">
        <v>0.69879848026194369</v>
      </c>
      <c r="L357" s="2">
        <v>6611.1906801346231</v>
      </c>
      <c r="M357" s="2">
        <v>0</v>
      </c>
      <c r="N357" s="2">
        <v>4619.8900000000003</v>
      </c>
      <c r="O357" s="2">
        <v>4619.8900000000003</v>
      </c>
      <c r="P357" s="2"/>
      <c r="Q357" s="2">
        <v>4619.8900000000003</v>
      </c>
      <c r="R357" s="2" t="s">
        <v>44</v>
      </c>
      <c r="S357" s="2"/>
      <c r="T357" s="2">
        <f t="shared" si="115"/>
        <v>2</v>
      </c>
      <c r="U357" s="18">
        <f t="shared" si="116"/>
        <v>3</v>
      </c>
      <c r="V357" s="18">
        <f t="shared" si="117"/>
        <v>2025</v>
      </c>
      <c r="W357" s="18">
        <f t="shared" si="118"/>
        <v>4</v>
      </c>
      <c r="X357" s="18">
        <f t="shared" si="119"/>
        <v>2025</v>
      </c>
      <c r="Y357" s="2">
        <f t="shared" si="112"/>
        <v>0.69879848026194369</v>
      </c>
      <c r="Z357" t="str">
        <f t="shared" si="113"/>
        <v>SO16835</v>
      </c>
      <c r="AA357" s="11">
        <f t="shared" si="120"/>
        <v>45742.540625000001</v>
      </c>
      <c r="AB357" s="5" t="str">
        <f t="shared" si="121"/>
        <v>INV12825</v>
      </c>
      <c r="AC357" s="5" t="str">
        <f>IFERROR(VLOOKUP(D357,CAARStatus!$A$2:$AA$1600,22,FALSE),"Not invoiced")</f>
        <v>Paid</v>
      </c>
      <c r="AD357" s="11">
        <f>IF(AC357="Paid",IFERROR(VLOOKUP(D357,CAARStatus!$A$2:$AA$1600,6,FALSE),"Pending"),"Pending")</f>
        <v>45755</v>
      </c>
      <c r="AE357" s="5" t="str">
        <f t="shared" si="122"/>
        <v>MAB15243 - Paid in full on April 3rd</v>
      </c>
      <c r="AF357" s="5" t="str">
        <f t="shared" si="123"/>
        <v>MAB Equipment Company Inc.</v>
      </c>
      <c r="AG357" s="5" t="str">
        <f t="shared" si="124"/>
        <v>USD</v>
      </c>
      <c r="AH357" s="5">
        <f t="shared" si="125"/>
        <v>6611.1906801346231</v>
      </c>
      <c r="AI357" s="12">
        <f>IF(L357-N357=0,VLOOKUP(U357,rate!A$4:B$15,2,FALSE)*AH357,IF(AG357="USD",O357,AH357*Y357))</f>
        <v>4619.8900000000003</v>
      </c>
      <c r="AJ357" s="13">
        <f t="shared" si="126"/>
        <v>0.69879848026194369</v>
      </c>
      <c r="AK357" s="13">
        <f>-IF(AG357="CAD",IFERROR(VLOOKUP(D357,CAARStatus!$A$1:$Y$1600,16,FALSE),0),0)</f>
        <v>0</v>
      </c>
      <c r="AL357" s="13">
        <f>-IF(AG357="USD",IFERROR(VLOOKUP(D357,CAARStatus!$A$1:$Y$1600,11,FALSE),0),0)</f>
        <v>-3921.01</v>
      </c>
      <c r="AM357" s="22" t="str">
        <f t="shared" si="127"/>
        <v/>
      </c>
      <c r="AN357" s="12">
        <f t="shared" si="128"/>
        <v>698.88000000000011</v>
      </c>
      <c r="AO357" s="12" t="str">
        <f t="shared" si="129"/>
        <v>Yes</v>
      </c>
      <c r="AP357" t="str">
        <f t="shared" si="114"/>
        <v>XX</v>
      </c>
      <c r="AQ357" t="str">
        <f>IFERROR(VLOOKUP(Z357,InvBal!$L$4:$P$600,4,FALSE),"Pend")</f>
        <v>Yes</v>
      </c>
      <c r="AR357" t="str">
        <f>IFERROR(VLOOKUP(D357,Manual!$C$1:$E$22,2,FALSE),"Pend")</f>
        <v>Pend</v>
      </c>
      <c r="AS357" t="str">
        <f t="shared" si="130"/>
        <v>Yes</v>
      </c>
      <c r="AT357" t="str">
        <f t="shared" si="131"/>
        <v>Yes</v>
      </c>
      <c r="AU357" s="51" t="str">
        <f t="shared" si="132"/>
        <v>Yes</v>
      </c>
      <c r="AV357" s="12">
        <f>IFERROR(VLOOKUP(D357,'Receivable Invoice Detail'!$S$1:$U$3014,3,FALSE),0)</f>
        <v>645</v>
      </c>
      <c r="AW357" s="12">
        <f t="shared" si="133"/>
        <v>3974.8900000000003</v>
      </c>
    </row>
    <row r="358" spans="1:49" x14ac:dyDescent="0.25">
      <c r="A358" s="2"/>
      <c r="B358" s="2"/>
      <c r="C358" s="2"/>
      <c r="D358" s="2" t="s">
        <v>2617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>
        <f t="shared" si="115"/>
        <v>2</v>
      </c>
      <c r="U358" s="18">
        <f t="shared" si="116"/>
        <v>3</v>
      </c>
      <c r="V358" s="18">
        <f t="shared" si="117"/>
        <v>2025</v>
      </c>
      <c r="W358" s="18">
        <f t="shared" si="118"/>
        <v>6</v>
      </c>
      <c r="X358" s="18">
        <f t="shared" si="119"/>
        <v>2025</v>
      </c>
      <c r="Y358" s="2">
        <f t="shared" si="112"/>
        <v>0.69879848026194369</v>
      </c>
      <c r="Z358" t="str">
        <f t="shared" si="113"/>
        <v>SO16835</v>
      </c>
      <c r="AA358" s="11">
        <f t="shared" si="120"/>
        <v>45742.540625000001</v>
      </c>
      <c r="AB358" s="5" t="str">
        <f t="shared" si="121"/>
        <v>INV13129</v>
      </c>
      <c r="AC358" s="5" t="str">
        <f>IFERROR(VLOOKUP(D358,CAARStatus!$A$2:$AA$1600,22,FALSE),"Not invoiced")</f>
        <v>Paid</v>
      </c>
      <c r="AD358" s="11">
        <f>IF(AC358="Paid",IFERROR(VLOOKUP(D358,CAARStatus!$A$2:$AA$1600,6,FALSE),"Pending"),"Pending")</f>
        <v>45833</v>
      </c>
      <c r="AE358" s="5" t="str">
        <f t="shared" si="122"/>
        <v>MAB15243 - Paid in full on April 3rd</v>
      </c>
      <c r="AF358" s="5" t="str">
        <f t="shared" si="123"/>
        <v>MAB Equipment Company Inc.</v>
      </c>
      <c r="AG358" s="5" t="str">
        <f t="shared" si="124"/>
        <v>USD</v>
      </c>
      <c r="AH358" s="5">
        <f t="shared" si="125"/>
        <v>0</v>
      </c>
      <c r="AI358" s="12">
        <f>IF(L358-N358=0,VLOOKUP(U358,rate!A$4:B$15,2,FALSE)*AH358,IF(AG358="USD",O358,AH358*Y358))</f>
        <v>0</v>
      </c>
      <c r="AJ358" s="13">
        <f t="shared" si="126"/>
        <v>0</v>
      </c>
      <c r="AK358" s="13">
        <f>-IF(AG358="CAD",IFERROR(VLOOKUP(D358,CAARStatus!$A$1:$Y$1600,16,FALSE),0),0)</f>
        <v>0</v>
      </c>
      <c r="AL358" s="13">
        <f>-IF(AG358="USD",IFERROR(VLOOKUP(D358,CAARStatus!$A$1:$Y$1600,11,FALSE),0),0)</f>
        <v>-698.88</v>
      </c>
      <c r="AM358" s="22" t="str">
        <f t="shared" si="127"/>
        <v/>
      </c>
      <c r="AN358" s="12">
        <f t="shared" si="128"/>
        <v>-698.88</v>
      </c>
      <c r="AO358" s="12" t="str">
        <f t="shared" si="129"/>
        <v>Yes</v>
      </c>
      <c r="AP358" t="str">
        <f t="shared" si="114"/>
        <v>XX</v>
      </c>
      <c r="AQ358" t="str">
        <f>IFERROR(VLOOKUP(Z358,InvBal!$L$4:$P$600,4,FALSE),"Pend")</f>
        <v>Yes</v>
      </c>
      <c r="AR358" t="str">
        <f>IFERROR(VLOOKUP(D358,Manual!$C$1:$E$22,2,FALSE),"Pend")</f>
        <v>Pend</v>
      </c>
      <c r="AS358" t="str">
        <f t="shared" si="130"/>
        <v>Yes</v>
      </c>
      <c r="AT358" t="str">
        <f t="shared" si="131"/>
        <v/>
      </c>
      <c r="AU358" s="51" t="str">
        <f t="shared" si="132"/>
        <v/>
      </c>
      <c r="AV358" s="12">
        <f>IFERROR(VLOOKUP(D358,'Receivable Invoice Detail'!$S$1:$U$3014,3,FALSE),0)</f>
        <v>0</v>
      </c>
      <c r="AW358" s="12">
        <f t="shared" si="133"/>
        <v>0</v>
      </c>
    </row>
    <row r="359" spans="1:49" x14ac:dyDescent="0.25">
      <c r="A359" s="2">
        <v>1</v>
      </c>
      <c r="B359" s="2" t="s">
        <v>1716</v>
      </c>
      <c r="C359" s="2" t="s">
        <v>1717</v>
      </c>
      <c r="D359" s="2" t="s">
        <v>2587</v>
      </c>
      <c r="E359" s="2" t="s">
        <v>242</v>
      </c>
      <c r="F359" s="3">
        <v>45742.563379629632</v>
      </c>
      <c r="G359" s="3">
        <v>45743.337245370371</v>
      </c>
      <c r="H359" s="4">
        <v>45744</v>
      </c>
      <c r="I359" s="2" t="s">
        <v>21</v>
      </c>
      <c r="J359" s="2" t="s">
        <v>22</v>
      </c>
      <c r="K359" s="2">
        <v>1</v>
      </c>
      <c r="L359" s="2">
        <v>2102.94</v>
      </c>
      <c r="M359" s="2">
        <v>0</v>
      </c>
      <c r="N359" s="2">
        <v>1468.759040973611</v>
      </c>
      <c r="O359" s="2">
        <v>2002.8</v>
      </c>
      <c r="P359" s="2">
        <v>100.14</v>
      </c>
      <c r="Q359" s="2">
        <v>2102.94</v>
      </c>
      <c r="R359" s="2" t="s">
        <v>44</v>
      </c>
      <c r="S359" s="2"/>
      <c r="T359" s="2">
        <f t="shared" si="115"/>
        <v>1</v>
      </c>
      <c r="U359" s="18">
        <f t="shared" si="116"/>
        <v>3</v>
      </c>
      <c r="V359" s="18">
        <f t="shared" si="117"/>
        <v>2025</v>
      </c>
      <c r="W359" s="18">
        <f t="shared" si="118"/>
        <v>4</v>
      </c>
      <c r="X359" s="18">
        <f t="shared" si="119"/>
        <v>2025</v>
      </c>
      <c r="Y359" s="2">
        <f t="shared" si="112"/>
        <v>0.69843126336158479</v>
      </c>
      <c r="Z359" t="str">
        <f t="shared" si="113"/>
        <v>SO16836</v>
      </c>
      <c r="AA359" s="11">
        <f t="shared" si="120"/>
        <v>45742.563379629632</v>
      </c>
      <c r="AB359" s="5" t="str">
        <f t="shared" si="121"/>
        <v>INV12790</v>
      </c>
      <c r="AC359" s="5" t="str">
        <f>IFERROR(VLOOKUP(D359,CAARStatus!$A$2:$AA$1600,22,FALSE),"Not invoiced")</f>
        <v>Paid</v>
      </c>
      <c r="AD359" s="11">
        <f>IF(AC359="Paid",IFERROR(VLOOKUP(D359,CAARStatus!$A$2:$AA$1600,6,FALSE),"Pending"),"Pending")</f>
        <v>45777</v>
      </c>
      <c r="AE359" s="5" t="str">
        <f t="shared" si="122"/>
        <v>2100540513</v>
      </c>
      <c r="AF359" s="5" t="str">
        <f t="shared" si="123"/>
        <v>Wajax Limited - Noranda</v>
      </c>
      <c r="AG359" s="5" t="str">
        <f t="shared" si="124"/>
        <v>CAD</v>
      </c>
      <c r="AH359" s="5">
        <f t="shared" si="125"/>
        <v>2002.8</v>
      </c>
      <c r="AI359" s="12">
        <f>IF(L359-N359=0,VLOOKUP(U359,rate!A$4:B$15,2,FALSE)*AH359,IF(AG359="USD",O359,AH359*Y359))</f>
        <v>1398.8181342605819</v>
      </c>
      <c r="AJ359" s="13">
        <f t="shared" si="126"/>
        <v>0.69843126336158479</v>
      </c>
      <c r="AK359" s="13">
        <f>-IF(AG359="CAD",IFERROR(VLOOKUP(D359,CAARStatus!$A$1:$Y$1600,16,FALSE),0),0)</f>
        <v>-2002.8</v>
      </c>
      <c r="AL359" s="13">
        <f>-IF(AG359="USD",IFERROR(VLOOKUP(D359,CAARStatus!$A$1:$Y$1600,11,FALSE),0),0)</f>
        <v>0</v>
      </c>
      <c r="AM359" s="22">
        <f t="shared" si="127"/>
        <v>0</v>
      </c>
      <c r="AN359" s="12" t="str">
        <f t="shared" si="128"/>
        <v/>
      </c>
      <c r="AO359" s="12" t="str">
        <f t="shared" si="129"/>
        <v>Yes</v>
      </c>
      <c r="AP359" t="str">
        <f t="shared" si="114"/>
        <v>Yes</v>
      </c>
      <c r="AQ359" t="str">
        <f>IFERROR(VLOOKUP(Z359,InvBal!$L$4:$P$600,4,FALSE),"Pend")</f>
        <v>Pend</v>
      </c>
      <c r="AR359" t="str">
        <f>IFERROR(VLOOKUP(D359,Manual!$C$1:$E$22,2,FALSE),"Pend")</f>
        <v>Pend</v>
      </c>
      <c r="AS359" t="str">
        <f t="shared" si="130"/>
        <v>Yes</v>
      </c>
      <c r="AT359" t="str">
        <f t="shared" si="131"/>
        <v>Yes</v>
      </c>
      <c r="AU359" s="51" t="str">
        <f t="shared" si="132"/>
        <v>Yes</v>
      </c>
      <c r="AV359" s="12">
        <f>IFERROR(VLOOKUP(D359,'Receivable Invoice Detail'!$S$1:$U$3014,3,FALSE),0)</f>
        <v>0</v>
      </c>
      <c r="AW359" s="12">
        <f t="shared" si="133"/>
        <v>1398.8181342605819</v>
      </c>
    </row>
    <row r="360" spans="1:49" x14ac:dyDescent="0.25">
      <c r="A360" s="2">
        <v>1</v>
      </c>
      <c r="B360" s="2" t="s">
        <v>1722</v>
      </c>
      <c r="C360" s="2" t="s">
        <v>1723</v>
      </c>
      <c r="D360" s="2" t="s">
        <v>2584</v>
      </c>
      <c r="E360" s="2" t="s">
        <v>242</v>
      </c>
      <c r="F360" s="3">
        <v>45742.572060185194</v>
      </c>
      <c r="G360" s="3">
        <v>45742.579583333332</v>
      </c>
      <c r="H360" s="4">
        <v>45743</v>
      </c>
      <c r="I360" s="2" t="s">
        <v>21</v>
      </c>
      <c r="J360" s="2" t="s">
        <v>22</v>
      </c>
      <c r="K360" s="2">
        <v>1</v>
      </c>
      <c r="L360" s="2">
        <v>3254.54</v>
      </c>
      <c r="M360" s="2">
        <v>0</v>
      </c>
      <c r="N360" s="2">
        <v>2282.827420930606</v>
      </c>
      <c r="O360" s="2">
        <v>3099.56</v>
      </c>
      <c r="P360" s="2">
        <v>154.97999999999999</v>
      </c>
      <c r="Q360" s="2">
        <v>3254.54</v>
      </c>
      <c r="R360" s="2" t="s">
        <v>44</v>
      </c>
      <c r="S360" s="2"/>
      <c r="T360" s="2">
        <f t="shared" si="115"/>
        <v>1</v>
      </c>
      <c r="U360" s="18">
        <f t="shared" si="116"/>
        <v>3</v>
      </c>
      <c r="V360" s="18">
        <f t="shared" si="117"/>
        <v>2025</v>
      </c>
      <c r="W360" s="18">
        <f t="shared" si="118"/>
        <v>4</v>
      </c>
      <c r="X360" s="18">
        <f t="shared" si="119"/>
        <v>2025</v>
      </c>
      <c r="Y360" s="2">
        <f t="shared" si="112"/>
        <v>0.70142859541766456</v>
      </c>
      <c r="Z360" t="str">
        <f t="shared" si="113"/>
        <v>SO16837</v>
      </c>
      <c r="AA360" s="11">
        <f t="shared" si="120"/>
        <v>45742.572060185194</v>
      </c>
      <c r="AB360" s="5" t="str">
        <f t="shared" si="121"/>
        <v>INV12789</v>
      </c>
      <c r="AC360" s="5" t="str">
        <f>IFERROR(VLOOKUP(D360,CAARStatus!$A$2:$AA$1600,22,FALSE),"Not invoiced")</f>
        <v>Paid</v>
      </c>
      <c r="AD360" s="11">
        <f>IF(AC360="Paid",IFERROR(VLOOKUP(D360,CAARStatus!$A$2:$AA$1600,6,FALSE),"Pending"),"Pending")</f>
        <v>45777</v>
      </c>
      <c r="AE360" s="5" t="str">
        <f t="shared" si="122"/>
        <v>2100540142</v>
      </c>
      <c r="AF360" s="5" t="str">
        <f t="shared" si="123"/>
        <v>Wajax Limited - Noranda</v>
      </c>
      <c r="AG360" s="5" t="str">
        <f t="shared" si="124"/>
        <v>CAD</v>
      </c>
      <c r="AH360" s="5">
        <f t="shared" si="125"/>
        <v>3099.56</v>
      </c>
      <c r="AI360" s="12">
        <f>IF(L360-N360=0,VLOOKUP(U360,rate!A$4:B$15,2,FALSE)*AH360,IF(AG360="USD",O360,AH360*Y360))</f>
        <v>2174.1200172127765</v>
      </c>
      <c r="AJ360" s="13">
        <f t="shared" si="126"/>
        <v>0.70142859541766456</v>
      </c>
      <c r="AK360" s="13">
        <f>-IF(AG360="CAD",IFERROR(VLOOKUP(D360,CAARStatus!$A$1:$Y$1600,16,FALSE),0),0)</f>
        <v>-3099.56</v>
      </c>
      <c r="AL360" s="13">
        <f>-IF(AG360="USD",IFERROR(VLOOKUP(D360,CAARStatus!$A$1:$Y$1600,11,FALSE),0),0)</f>
        <v>0</v>
      </c>
      <c r="AM360" s="22">
        <f t="shared" si="127"/>
        <v>0</v>
      </c>
      <c r="AN360" s="12" t="str">
        <f t="shared" si="128"/>
        <v/>
      </c>
      <c r="AO360" s="12" t="str">
        <f t="shared" si="129"/>
        <v>Yes</v>
      </c>
      <c r="AP360" t="str">
        <f t="shared" si="114"/>
        <v>Yes</v>
      </c>
      <c r="AQ360" t="str">
        <f>IFERROR(VLOOKUP(Z360,InvBal!$L$4:$P$600,4,FALSE),"Pend")</f>
        <v>Pend</v>
      </c>
      <c r="AR360" t="str">
        <f>IFERROR(VLOOKUP(D360,Manual!$C$1:$E$22,2,FALSE),"Pend")</f>
        <v>Pend</v>
      </c>
      <c r="AS360" t="str">
        <f t="shared" si="130"/>
        <v>Yes</v>
      </c>
      <c r="AT360" t="str">
        <f t="shared" si="131"/>
        <v>Yes</v>
      </c>
      <c r="AU360" s="51" t="str">
        <f t="shared" si="132"/>
        <v>Yes</v>
      </c>
      <c r="AV360" s="12">
        <f>IFERROR(VLOOKUP(D360,'Receivable Invoice Detail'!$S$1:$U$3014,3,FALSE),0)</f>
        <v>0</v>
      </c>
      <c r="AW360" s="12">
        <f t="shared" si="133"/>
        <v>2174.1200172127765</v>
      </c>
    </row>
    <row r="361" spans="1:49" x14ac:dyDescent="0.25">
      <c r="A361" s="2">
        <v>1</v>
      </c>
      <c r="B361" s="2" t="s">
        <v>1712</v>
      </c>
      <c r="C361" s="2" t="s">
        <v>1713</v>
      </c>
      <c r="D361" s="2" t="s">
        <v>2590</v>
      </c>
      <c r="E361" s="2" t="s">
        <v>146</v>
      </c>
      <c r="F361" s="3">
        <v>45742.627233796287</v>
      </c>
      <c r="G361" s="3">
        <v>45743.397615740738</v>
      </c>
      <c r="H361" s="4">
        <v>45764</v>
      </c>
      <c r="I361" s="2" t="s">
        <v>21</v>
      </c>
      <c r="J361" s="2" t="s">
        <v>22</v>
      </c>
      <c r="K361" s="2">
        <v>1</v>
      </c>
      <c r="L361" s="2">
        <v>2175.37</v>
      </c>
      <c r="M361" s="2">
        <v>0</v>
      </c>
      <c r="N361" s="2">
        <v>1519.34641737889</v>
      </c>
      <c r="O361" s="2">
        <v>2071.7800000000002</v>
      </c>
      <c r="P361" s="2">
        <v>103.59</v>
      </c>
      <c r="Q361" s="2">
        <v>2175.37</v>
      </c>
      <c r="R361" s="2" t="s">
        <v>44</v>
      </c>
      <c r="S361" s="2"/>
      <c r="T361" s="2">
        <f t="shared" si="115"/>
        <v>1</v>
      </c>
      <c r="U361" s="18">
        <f t="shared" si="116"/>
        <v>3</v>
      </c>
      <c r="V361" s="18">
        <f t="shared" si="117"/>
        <v>2025</v>
      </c>
      <c r="W361" s="18">
        <f t="shared" si="118"/>
        <v>6</v>
      </c>
      <c r="X361" s="18">
        <f t="shared" si="119"/>
        <v>2025</v>
      </c>
      <c r="Y361" s="2">
        <f t="shared" si="112"/>
        <v>0.69843126336158445</v>
      </c>
      <c r="Z361" t="str">
        <f t="shared" si="113"/>
        <v>SO16839</v>
      </c>
      <c r="AA361" s="11">
        <f t="shared" si="120"/>
        <v>45742.627233796287</v>
      </c>
      <c r="AB361" s="5" t="str">
        <f t="shared" si="121"/>
        <v>INV12927</v>
      </c>
      <c r="AC361" s="5" t="str">
        <f>IFERROR(VLOOKUP(D361,CAARStatus!$A$2:$AA$1600,22,FALSE),"Not invoiced")</f>
        <v>Paid</v>
      </c>
      <c r="AD361" s="11">
        <f>IF(AC361="Paid",IFERROR(VLOOKUP(D361,CAARStatus!$A$2:$AA$1600,6,FALSE),"Pending"),"Pending")</f>
        <v>45824</v>
      </c>
      <c r="AE361" s="5" t="str">
        <f t="shared" si="122"/>
        <v>6951</v>
      </c>
      <c r="AF361" s="5" t="str">
        <f t="shared" si="123"/>
        <v>Hyperflo</v>
      </c>
      <c r="AG361" s="5" t="str">
        <f t="shared" si="124"/>
        <v>CAD</v>
      </c>
      <c r="AH361" s="5">
        <f t="shared" si="125"/>
        <v>2071.7800000000002</v>
      </c>
      <c r="AI361" s="12">
        <f>IF(L361-N361=0,VLOOKUP(U361,rate!A$4:B$15,2,FALSE)*AH361,IF(AG361="USD",O361,AH361*Y361))</f>
        <v>1446.9959228072635</v>
      </c>
      <c r="AJ361" s="13">
        <f t="shared" si="126"/>
        <v>0.69843126336158445</v>
      </c>
      <c r="AK361" s="13">
        <f>-IF(AG361="CAD",IFERROR(VLOOKUP(D361,CAARStatus!$A$1:$Y$1600,16,FALSE),0),0)</f>
        <v>-2071.7800000000002</v>
      </c>
      <c r="AL361" s="13">
        <f>-IF(AG361="USD",IFERROR(VLOOKUP(D361,CAARStatus!$A$1:$Y$1600,11,FALSE),0),0)</f>
        <v>0</v>
      </c>
      <c r="AM361" s="22">
        <f t="shared" si="127"/>
        <v>0</v>
      </c>
      <c r="AN361" s="12" t="str">
        <f t="shared" si="128"/>
        <v/>
      </c>
      <c r="AO361" s="12" t="str">
        <f t="shared" si="129"/>
        <v>Yes</v>
      </c>
      <c r="AP361" t="str">
        <f t="shared" si="114"/>
        <v>Yes</v>
      </c>
      <c r="AQ361" t="str">
        <f>IFERROR(VLOOKUP(Z361,InvBal!$L$4:$P$600,4,FALSE),"Pend")</f>
        <v>Pend</v>
      </c>
      <c r="AR361" t="str">
        <f>IFERROR(VLOOKUP(D361,Manual!$C$1:$E$22,2,FALSE),"Pend")</f>
        <v>Pend</v>
      </c>
      <c r="AS361" t="str">
        <f t="shared" si="130"/>
        <v>Yes</v>
      </c>
      <c r="AT361" t="str">
        <f t="shared" si="131"/>
        <v>Yes</v>
      </c>
      <c r="AU361" s="51" t="str">
        <f t="shared" si="132"/>
        <v>Yes</v>
      </c>
      <c r="AV361" s="12">
        <f>IFERROR(VLOOKUP(D361,'Receivable Invoice Detail'!$S$1:$U$3014,3,FALSE),0)</f>
        <v>0</v>
      </c>
      <c r="AW361" s="12">
        <f t="shared" si="133"/>
        <v>1446.9959228072635</v>
      </c>
    </row>
    <row r="362" spans="1:49" ht="30" x14ac:dyDescent="0.25">
      <c r="A362" s="2">
        <v>1</v>
      </c>
      <c r="B362" s="2" t="s">
        <v>1720</v>
      </c>
      <c r="C362" s="2" t="s">
        <v>1721</v>
      </c>
      <c r="D362" s="2" t="s">
        <v>2585</v>
      </c>
      <c r="E362" s="2" t="s">
        <v>159</v>
      </c>
      <c r="F362" s="3">
        <v>45742.63140046296</v>
      </c>
      <c r="G362" s="3">
        <v>45742.634629629632</v>
      </c>
      <c r="H362" s="4">
        <v>45756</v>
      </c>
      <c r="I362" s="2" t="s">
        <v>180</v>
      </c>
      <c r="J362" s="2" t="s">
        <v>51</v>
      </c>
      <c r="K362" s="2">
        <v>0.69885068489118096</v>
      </c>
      <c r="L362" s="2">
        <v>19780.63454592237</v>
      </c>
      <c r="M362" s="2">
        <v>0</v>
      </c>
      <c r="N362" s="2">
        <v>13823.71</v>
      </c>
      <c r="O362" s="2">
        <v>13823.71</v>
      </c>
      <c r="P362" s="2"/>
      <c r="Q362" s="2">
        <v>13823.71</v>
      </c>
      <c r="R362" s="2" t="s">
        <v>44</v>
      </c>
      <c r="S362" s="2"/>
      <c r="T362" s="2">
        <f t="shared" si="115"/>
        <v>1</v>
      </c>
      <c r="U362" s="18">
        <f t="shared" si="116"/>
        <v>3</v>
      </c>
      <c r="V362" s="18">
        <f t="shared" si="117"/>
        <v>2025</v>
      </c>
      <c r="W362" s="18">
        <f t="shared" si="118"/>
        <v>5</v>
      </c>
      <c r="X362" s="18">
        <f t="shared" si="119"/>
        <v>2025</v>
      </c>
      <c r="Y362" s="2">
        <f t="shared" si="112"/>
        <v>0.69885068489118074</v>
      </c>
      <c r="Z362" t="str">
        <f t="shared" si="113"/>
        <v>SO16840</v>
      </c>
      <c r="AA362" s="11">
        <f t="shared" si="120"/>
        <v>45742.63140046296</v>
      </c>
      <c r="AB362" s="5" t="str">
        <f t="shared" si="121"/>
        <v>INV12834</v>
      </c>
      <c r="AC362" s="5" t="str">
        <f>IFERROR(VLOOKUP(D362,CAARStatus!$A$2:$AA$1600,22,FALSE),"Not invoiced")</f>
        <v>Paid</v>
      </c>
      <c r="AD362" s="11">
        <f>IF(AC362="Paid",IFERROR(VLOOKUP(D362,CAARStatus!$A$2:$AA$1600,6,FALSE),"Pending"),"Pending")</f>
        <v>45804</v>
      </c>
      <c r="AE362" s="5" t="str">
        <f t="shared" si="122"/>
        <v>4501142021</v>
      </c>
      <c r="AF362" s="5" t="str">
        <f t="shared" si="123"/>
        <v>Barrick Gold - Pueblo Viejo Dominicana Corporation</v>
      </c>
      <c r="AG362" s="5" t="str">
        <f t="shared" si="124"/>
        <v>USD</v>
      </c>
      <c r="AH362" s="5">
        <f t="shared" si="125"/>
        <v>19780.634545922367</v>
      </c>
      <c r="AI362" s="12">
        <f>IF(L362-N362=0,VLOOKUP(U362,rate!A$4:B$15,2,FALSE)*AH362,IF(AG362="USD",O362,AH362*Y362))</f>
        <v>13823.71</v>
      </c>
      <c r="AJ362" s="13">
        <f t="shared" si="126"/>
        <v>0.69885068489118085</v>
      </c>
      <c r="AK362" s="13">
        <f>-IF(AG362="CAD",IFERROR(VLOOKUP(D362,CAARStatus!$A$1:$Y$1600,16,FALSE),0),0)</f>
        <v>0</v>
      </c>
      <c r="AL362" s="13">
        <f>-IF(AG362="USD",IFERROR(VLOOKUP(D362,CAARStatus!$A$1:$Y$1600,11,FALSE),0),0)</f>
        <v>-13823.71</v>
      </c>
      <c r="AM362" s="22" t="str">
        <f t="shared" si="127"/>
        <v/>
      </c>
      <c r="AN362" s="12">
        <f t="shared" si="128"/>
        <v>0</v>
      </c>
      <c r="AO362" s="12" t="str">
        <f t="shared" si="129"/>
        <v>Yes</v>
      </c>
      <c r="AP362" t="str">
        <f t="shared" si="114"/>
        <v>Yes</v>
      </c>
      <c r="AQ362" t="str">
        <f>IFERROR(VLOOKUP(Z362,InvBal!$L$4:$P$600,4,FALSE),"Pend")</f>
        <v>Pend</v>
      </c>
      <c r="AR362" t="str">
        <f>IFERROR(VLOOKUP(D362,Manual!$C$1:$E$22,2,FALSE),"Pend")</f>
        <v>Pend</v>
      </c>
      <c r="AS362" t="str">
        <f t="shared" si="130"/>
        <v>Yes</v>
      </c>
      <c r="AT362" t="str">
        <f t="shared" si="131"/>
        <v>Yes</v>
      </c>
      <c r="AU362" s="51" t="str">
        <f t="shared" si="132"/>
        <v>Yes</v>
      </c>
      <c r="AV362" s="12">
        <f>IFERROR(VLOOKUP(D362,'Receivable Invoice Detail'!$S$1:$U$3014,3,FALSE),0)</f>
        <v>0</v>
      </c>
      <c r="AW362" s="12">
        <f t="shared" si="133"/>
        <v>13823.71</v>
      </c>
    </row>
    <row r="363" spans="1:49" ht="30" x14ac:dyDescent="0.25">
      <c r="A363" s="2">
        <v>1</v>
      </c>
      <c r="B363" s="2" t="s">
        <v>1689</v>
      </c>
      <c r="C363" s="2" t="s">
        <v>1690</v>
      </c>
      <c r="D363" s="2" t="s">
        <v>2602</v>
      </c>
      <c r="E363" s="2" t="s">
        <v>509</v>
      </c>
      <c r="F363" s="3">
        <v>45742.696030092593</v>
      </c>
      <c r="G363" s="3">
        <v>45747.557106481479</v>
      </c>
      <c r="H363" s="4">
        <v>45748</v>
      </c>
      <c r="I363" s="2" t="s">
        <v>21</v>
      </c>
      <c r="J363" s="2" t="s">
        <v>22</v>
      </c>
      <c r="K363" s="2">
        <v>1</v>
      </c>
      <c r="L363" s="2">
        <v>904.12</v>
      </c>
      <c r="M363" s="2">
        <v>0</v>
      </c>
      <c r="N363" s="2">
        <v>629.95065765654329</v>
      </c>
      <c r="O363" s="2">
        <v>861.07</v>
      </c>
      <c r="P363" s="2">
        <v>43.05</v>
      </c>
      <c r="Q363" s="2">
        <v>904.12</v>
      </c>
      <c r="R363" s="2" t="s">
        <v>44</v>
      </c>
      <c r="S363" s="2"/>
      <c r="T363" s="2">
        <f t="shared" si="115"/>
        <v>1</v>
      </c>
      <c r="U363" s="18">
        <f t="shared" si="116"/>
        <v>3</v>
      </c>
      <c r="V363" s="18">
        <f t="shared" si="117"/>
        <v>2025</v>
      </c>
      <c r="W363" s="18">
        <f t="shared" si="118"/>
        <v>5</v>
      </c>
      <c r="X363" s="18">
        <f t="shared" si="119"/>
        <v>2025</v>
      </c>
      <c r="Y363" s="2">
        <f t="shared" si="112"/>
        <v>0.69675558294976692</v>
      </c>
      <c r="Z363" t="str">
        <f t="shared" si="113"/>
        <v>SO16842</v>
      </c>
      <c r="AA363" s="11">
        <f t="shared" si="120"/>
        <v>45742.696030092593</v>
      </c>
      <c r="AB363" s="5" t="str">
        <f t="shared" si="121"/>
        <v>INV12810</v>
      </c>
      <c r="AC363" s="5" t="str">
        <f>IFERROR(VLOOKUP(D363,CAARStatus!$A$2:$AA$1600,22,FALSE),"Not invoiced")</f>
        <v>Paid</v>
      </c>
      <c r="AD363" s="11">
        <f>IF(AC363="Paid",IFERROR(VLOOKUP(D363,CAARStatus!$A$2:$AA$1600,6,FALSE),"Pending"),"Pending")</f>
        <v>45785</v>
      </c>
      <c r="AE363" s="5" t="str">
        <f t="shared" si="122"/>
        <v>PO09308</v>
      </c>
      <c r="AF363" s="5" t="str">
        <f t="shared" si="123"/>
        <v>Tantalum Mining Corporation of Canada</v>
      </c>
      <c r="AG363" s="5" t="str">
        <f t="shared" si="124"/>
        <v>CAD</v>
      </c>
      <c r="AH363" s="5">
        <f t="shared" si="125"/>
        <v>861.07</v>
      </c>
      <c r="AI363" s="12">
        <f>IF(L363-N363=0,VLOOKUP(U363,rate!A$4:B$15,2,FALSE)*AH363,IF(AG363="USD",O363,AH363*Y363))</f>
        <v>599.95532981055578</v>
      </c>
      <c r="AJ363" s="13">
        <f t="shared" si="126"/>
        <v>0.69675558294976681</v>
      </c>
      <c r="AK363" s="13">
        <f>-IF(AG363="CAD",IFERROR(VLOOKUP(D363,CAARStatus!$A$1:$Y$1600,16,FALSE),0),0)</f>
        <v>-861.07</v>
      </c>
      <c r="AL363" s="13">
        <f>-IF(AG363="USD",IFERROR(VLOOKUP(D363,CAARStatus!$A$1:$Y$1600,11,FALSE),0),0)</f>
        <v>0</v>
      </c>
      <c r="AM363" s="22">
        <f t="shared" si="127"/>
        <v>0</v>
      </c>
      <c r="AN363" s="12" t="str">
        <f t="shared" si="128"/>
        <v/>
      </c>
      <c r="AO363" s="12" t="str">
        <f t="shared" si="129"/>
        <v>Yes</v>
      </c>
      <c r="AP363" t="str">
        <f t="shared" si="114"/>
        <v>Yes</v>
      </c>
      <c r="AQ363" t="str">
        <f>IFERROR(VLOOKUP(Z363,InvBal!$L$4:$P$600,4,FALSE),"Pend")</f>
        <v>Pend</v>
      </c>
      <c r="AR363" t="str">
        <f>IFERROR(VLOOKUP(D363,Manual!$C$1:$E$22,2,FALSE),"Pend")</f>
        <v>Pend</v>
      </c>
      <c r="AS363" t="str">
        <f t="shared" si="130"/>
        <v>Yes</v>
      </c>
      <c r="AT363" t="str">
        <f t="shared" si="131"/>
        <v>Yes</v>
      </c>
      <c r="AU363" s="51" t="str">
        <f t="shared" si="132"/>
        <v>Yes</v>
      </c>
      <c r="AV363" s="12">
        <f>IFERROR(VLOOKUP(D363,'Receivable Invoice Detail'!$S$1:$U$3014,3,FALSE),0)</f>
        <v>0</v>
      </c>
      <c r="AW363" s="12">
        <f t="shared" si="133"/>
        <v>599.95532981055578</v>
      </c>
    </row>
    <row r="364" spans="1:49" x14ac:dyDescent="0.25">
      <c r="A364" s="2">
        <v>2</v>
      </c>
      <c r="B364" s="2" t="s">
        <v>1714</v>
      </c>
      <c r="C364" s="2" t="s">
        <v>1715</v>
      </c>
      <c r="D364" s="2" t="s">
        <v>2589</v>
      </c>
      <c r="E364" s="2" t="s">
        <v>714</v>
      </c>
      <c r="F364" s="3">
        <v>45743.345960648148</v>
      </c>
      <c r="G364" s="3">
        <v>45743.348877314813</v>
      </c>
      <c r="H364" s="4">
        <v>45716</v>
      </c>
      <c r="I364" s="2" t="s">
        <v>21</v>
      </c>
      <c r="J364" s="2" t="s">
        <v>51</v>
      </c>
      <c r="K364" s="2">
        <v>0.70142859541766467</v>
      </c>
      <c r="L364" s="2">
        <v>1698.1058482378539</v>
      </c>
      <c r="M364" s="2">
        <v>0</v>
      </c>
      <c r="N364" s="2">
        <v>1191.0999999999999</v>
      </c>
      <c r="O364" s="2">
        <v>1191.0999999999999</v>
      </c>
      <c r="P364" s="2"/>
      <c r="Q364" s="2">
        <v>1191.0999999999999</v>
      </c>
      <c r="R364" s="2" t="s">
        <v>44</v>
      </c>
      <c r="S364" s="2"/>
      <c r="T364" s="2">
        <f t="shared" si="115"/>
        <v>2</v>
      </c>
      <c r="U364" s="18">
        <f t="shared" si="116"/>
        <v>3</v>
      </c>
      <c r="V364" s="18">
        <f t="shared" si="117"/>
        <v>2025</v>
      </c>
      <c r="W364" s="18" t="str">
        <f t="shared" si="118"/>
        <v/>
      </c>
      <c r="X364" s="18" t="str">
        <f t="shared" si="119"/>
        <v/>
      </c>
      <c r="Y364" s="2">
        <f t="shared" si="112"/>
        <v>0.70142859541766467</v>
      </c>
      <c r="Z364" t="str">
        <f t="shared" si="113"/>
        <v>SO16844</v>
      </c>
      <c r="AA364" s="11">
        <f t="shared" si="120"/>
        <v>45743.345960648148</v>
      </c>
      <c r="AB364" s="5" t="str">
        <f t="shared" si="121"/>
        <v>INV12824</v>
      </c>
      <c r="AC364" s="5" t="str">
        <f>IFERROR(VLOOKUP(D364,CAARStatus!$A$2:$AA$1600,22,FALSE),"Not invoiced")</f>
        <v>Not invoiced</v>
      </c>
      <c r="AD364" s="11" t="str">
        <f>IF(AC364="Paid",IFERROR(VLOOKUP(D364,CAARStatus!$A$2:$AA$1600,6,FALSE),"Pending"),"Pending")</f>
        <v>Pending</v>
      </c>
      <c r="AE364" s="5" t="str">
        <f t="shared" si="122"/>
        <v>S306532</v>
      </c>
      <c r="AF364" s="5" t="str">
        <f t="shared" si="123"/>
        <v>Kumtor Gold Company</v>
      </c>
      <c r="AG364" s="5" t="str">
        <f t="shared" si="124"/>
        <v>USD</v>
      </c>
      <c r="AH364" s="5">
        <f t="shared" si="125"/>
        <v>1698.1058482378539</v>
      </c>
      <c r="AI364" s="12">
        <f>IF(L364-N364=0,VLOOKUP(U364,rate!A$4:B$15,2,FALSE)*AH364,IF(AG364="USD",O364,AH364*Y364))</f>
        <v>1191.0999999999999</v>
      </c>
      <c r="AJ364" s="13">
        <f t="shared" si="126"/>
        <v>0.70142859541766467</v>
      </c>
      <c r="AK364" s="61">
        <f>IF(AC364="Paid",-IF(AG364="CAD",IFERROR(VLOOKUP(D364,CAARStatus!$A$1:$Y$1600,16,FALSE),0),0),0)</f>
        <v>0</v>
      </c>
      <c r="AL364" s="61">
        <f>IF(AC364="Paid",-IF(AG364="USD",IFERROR(VLOOKUP(D364,CAARStatus!$A$1:$Y$1600,11,FALSE),0),0),0)</f>
        <v>0</v>
      </c>
      <c r="AM364" s="22" t="str">
        <f t="shared" si="127"/>
        <v/>
      </c>
      <c r="AN364" s="12">
        <f t="shared" si="128"/>
        <v>1191.0999999999999</v>
      </c>
      <c r="AO364" s="12" t="str">
        <f t="shared" si="129"/>
        <v>Pend</v>
      </c>
      <c r="AP364" t="str">
        <f t="shared" si="114"/>
        <v>XX</v>
      </c>
      <c r="AQ364">
        <f>IFERROR(VLOOKUP(Z364,InvBal!$L$4:$P$600,4,FALSE),"Pend")</f>
        <v>0</v>
      </c>
      <c r="AR364" t="str">
        <f>IFERROR(VLOOKUP(D364,Manual!$C$1:$E$22,2,FALSE),"Pend")</f>
        <v>Pend</v>
      </c>
      <c r="AS364" t="str">
        <f t="shared" si="130"/>
        <v/>
      </c>
      <c r="AT364" t="str">
        <f t="shared" si="131"/>
        <v>Yes</v>
      </c>
      <c r="AU364" s="51" t="str">
        <f t="shared" si="132"/>
        <v/>
      </c>
      <c r="AV364" s="12">
        <f>IFERROR(VLOOKUP(D364,'Receivable Invoice Detail'!$S$1:$U$3014,3,FALSE),0)</f>
        <v>0</v>
      </c>
      <c r="AW364" s="12">
        <f t="shared" si="133"/>
        <v>0</v>
      </c>
    </row>
    <row r="365" spans="1:49" x14ac:dyDescent="0.25">
      <c r="A365" s="2"/>
      <c r="B365" s="2"/>
      <c r="C365" s="2"/>
      <c r="D365" s="2" t="s">
        <v>2588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>
        <f t="shared" si="115"/>
        <v>2</v>
      </c>
      <c r="U365" s="18">
        <f t="shared" si="116"/>
        <v>3</v>
      </c>
      <c r="V365" s="18">
        <f t="shared" si="117"/>
        <v>2025</v>
      </c>
      <c r="W365" s="18">
        <f t="shared" si="118"/>
        <v>5</v>
      </c>
      <c r="X365" s="18">
        <f t="shared" si="119"/>
        <v>2025</v>
      </c>
      <c r="Y365" s="2">
        <f t="shared" si="112"/>
        <v>0.70142859541766467</v>
      </c>
      <c r="Z365" t="str">
        <f t="shared" si="113"/>
        <v>SO16844</v>
      </c>
      <c r="AA365" s="11">
        <f t="shared" si="120"/>
        <v>45743.345960648148</v>
      </c>
      <c r="AB365" s="5" t="str">
        <f t="shared" si="121"/>
        <v>INV12918</v>
      </c>
      <c r="AC365" s="5" t="str">
        <f>IFERROR(VLOOKUP(D365,CAARStatus!$A$2:$AA$1600,22,FALSE),"Not invoiced")</f>
        <v>Paid</v>
      </c>
      <c r="AD365" s="11">
        <f>IF(AC365="Paid",IFERROR(VLOOKUP(D365,CAARStatus!$A$2:$AA$1600,6,FALSE),"Pending"),"Pending")</f>
        <v>45804</v>
      </c>
      <c r="AE365" s="5" t="str">
        <f t="shared" si="122"/>
        <v>S306532</v>
      </c>
      <c r="AF365" s="5" t="str">
        <f t="shared" si="123"/>
        <v>Kumtor Gold Company</v>
      </c>
      <c r="AG365" s="5" t="str">
        <f t="shared" si="124"/>
        <v>USD</v>
      </c>
      <c r="AH365" s="5">
        <f t="shared" si="125"/>
        <v>0</v>
      </c>
      <c r="AI365" s="12">
        <f>IF(L365-N365=0,VLOOKUP(U365,rate!A$4:B$15,2,FALSE)*AH365,IF(AG365="USD",O365,AH365*Y365))</f>
        <v>0</v>
      </c>
      <c r="AJ365" s="13">
        <f t="shared" si="126"/>
        <v>0</v>
      </c>
      <c r="AK365" s="13">
        <f>-IF(AG365="CAD",IFERROR(VLOOKUP(D365,CAARStatus!$A$1:$Y$1600,16,FALSE),0),0)</f>
        <v>0</v>
      </c>
      <c r="AL365" s="13">
        <f>-IF(AG365="USD",IFERROR(VLOOKUP(D365,CAARStatus!$A$1:$Y$1600,11,FALSE),0),0)</f>
        <v>-444.92</v>
      </c>
      <c r="AM365" s="22" t="str">
        <f t="shared" si="127"/>
        <v/>
      </c>
      <c r="AN365" s="12">
        <f t="shared" si="128"/>
        <v>-444.92</v>
      </c>
      <c r="AO365" s="12" t="str">
        <f t="shared" si="129"/>
        <v>Yes</v>
      </c>
      <c r="AP365" t="str">
        <f t="shared" si="114"/>
        <v>XX</v>
      </c>
      <c r="AQ365">
        <f>IFERROR(VLOOKUP(Z365,InvBal!$L$4:$P$600,4,FALSE),"Pend")</f>
        <v>0</v>
      </c>
      <c r="AR365" t="str">
        <f>IFERROR(VLOOKUP(D365,Manual!$C$1:$E$22,2,FALSE),"Pend")</f>
        <v>Pend</v>
      </c>
      <c r="AS365" t="str">
        <f t="shared" si="130"/>
        <v/>
      </c>
      <c r="AT365" t="str">
        <f t="shared" si="131"/>
        <v/>
      </c>
      <c r="AU365" s="51" t="str">
        <f t="shared" si="132"/>
        <v/>
      </c>
      <c r="AV365" s="12">
        <f>IFERROR(VLOOKUP(D365,'Receivable Invoice Detail'!$S$1:$U$3014,3,FALSE),0)</f>
        <v>0</v>
      </c>
      <c r="AW365" s="12">
        <f t="shared" si="133"/>
        <v>0</v>
      </c>
    </row>
    <row r="366" spans="1:49" x14ac:dyDescent="0.25">
      <c r="A366" s="2">
        <v>1</v>
      </c>
      <c r="B366" s="2" t="s">
        <v>1671</v>
      </c>
      <c r="C366" s="2" t="s">
        <v>1672</v>
      </c>
      <c r="D366" s="2" t="s">
        <v>2613</v>
      </c>
      <c r="E366" s="2" t="s">
        <v>77</v>
      </c>
      <c r="F366" s="3">
        <v>45743.383935185193</v>
      </c>
      <c r="G366" s="3">
        <v>45748.659247685187</v>
      </c>
      <c r="H366" s="4">
        <v>45749</v>
      </c>
      <c r="I366" s="2" t="s">
        <v>1132</v>
      </c>
      <c r="J366" s="2" t="s">
        <v>22</v>
      </c>
      <c r="K366" s="2">
        <v>1</v>
      </c>
      <c r="L366" s="2">
        <v>2143.1</v>
      </c>
      <c r="M366" s="2">
        <v>0</v>
      </c>
      <c r="N366" s="2">
        <v>1488.7829889974489</v>
      </c>
      <c r="O366" s="2">
        <v>2041.05</v>
      </c>
      <c r="P366" s="2">
        <v>102.05</v>
      </c>
      <c r="Q366" s="2">
        <v>2143.1</v>
      </c>
      <c r="R366" s="2" t="s">
        <v>44</v>
      </c>
      <c r="S366" s="2"/>
      <c r="T366" s="2">
        <f t="shared" si="115"/>
        <v>1</v>
      </c>
      <c r="U366" s="18">
        <f t="shared" si="116"/>
        <v>3</v>
      </c>
      <c r="V366" s="18">
        <f t="shared" si="117"/>
        <v>2025</v>
      </c>
      <c r="W366" s="18">
        <f t="shared" si="118"/>
        <v>6</v>
      </c>
      <c r="X366" s="18">
        <f t="shared" si="119"/>
        <v>2025</v>
      </c>
      <c r="Y366" s="2">
        <f t="shared" si="112"/>
        <v>0.69468666371025567</v>
      </c>
      <c r="Z366" t="str">
        <f t="shared" si="113"/>
        <v>SO16846</v>
      </c>
      <c r="AA366" s="11">
        <f t="shared" si="120"/>
        <v>45743.383935185193</v>
      </c>
      <c r="AB366" s="5" t="str">
        <f t="shared" si="121"/>
        <v>INV12974</v>
      </c>
      <c r="AC366" s="5" t="str">
        <f>IFERROR(VLOOKUP(D366,CAARStatus!$A$2:$AA$1600,22,FALSE),"Not invoiced")</f>
        <v>Paid</v>
      </c>
      <c r="AD366" s="11">
        <f>IF(AC366="Paid",IFERROR(VLOOKUP(D366,CAARStatus!$A$2:$AA$1600,6,FALSE),"Pending"),"Pending")</f>
        <v>45826</v>
      </c>
      <c r="AE366" s="5" t="str">
        <f t="shared" si="122"/>
        <v>PO-40-1014238</v>
      </c>
      <c r="AF366" s="5" t="str">
        <f t="shared" si="123"/>
        <v>Canadian Bearings Ltd.</v>
      </c>
      <c r="AG366" s="5" t="str">
        <f t="shared" si="124"/>
        <v>CAD</v>
      </c>
      <c r="AH366" s="5">
        <f t="shared" si="125"/>
        <v>2041.05</v>
      </c>
      <c r="AI366" s="12">
        <f>IF(L366-N366=0,VLOOKUP(U366,rate!A$4:B$15,2,FALSE)*AH366,IF(AG366="USD",O366,AH366*Y366))</f>
        <v>1417.8902149658172</v>
      </c>
      <c r="AJ366" s="13">
        <f t="shared" si="126"/>
        <v>0.69468666371025567</v>
      </c>
      <c r="AK366" s="13">
        <f>-IF(AG366="CAD",IFERROR(VLOOKUP(D366,CAARStatus!$A$1:$Y$1600,16,FALSE),0),0)</f>
        <v>-2041.05</v>
      </c>
      <c r="AL366" s="13">
        <f>-IF(AG366="USD",IFERROR(VLOOKUP(D366,CAARStatus!$A$1:$Y$1600,11,FALSE),0),0)</f>
        <v>0</v>
      </c>
      <c r="AM366" s="22">
        <f t="shared" si="127"/>
        <v>0</v>
      </c>
      <c r="AN366" s="12" t="str">
        <f t="shared" si="128"/>
        <v/>
      </c>
      <c r="AO366" s="12" t="str">
        <f t="shared" si="129"/>
        <v>Yes</v>
      </c>
      <c r="AP366" t="str">
        <f t="shared" si="114"/>
        <v>Yes</v>
      </c>
      <c r="AQ366" t="str">
        <f>IFERROR(VLOOKUP(Z366,InvBal!$L$4:$P$600,4,FALSE),"Pend")</f>
        <v>Pend</v>
      </c>
      <c r="AR366" t="str">
        <f>IFERROR(VLOOKUP(D366,Manual!$C$1:$E$22,2,FALSE),"Pend")</f>
        <v>Pend</v>
      </c>
      <c r="AS366" t="str">
        <f t="shared" si="130"/>
        <v>Yes</v>
      </c>
      <c r="AT366" t="str">
        <f t="shared" si="131"/>
        <v>Yes</v>
      </c>
      <c r="AU366" s="51" t="str">
        <f t="shared" si="132"/>
        <v>Yes</v>
      </c>
      <c r="AV366" s="12">
        <f>IFERROR(VLOOKUP(D366,'Receivable Invoice Detail'!$S$1:$U$3014,3,FALSE),0)</f>
        <v>0</v>
      </c>
      <c r="AW366" s="12">
        <f t="shared" si="133"/>
        <v>1417.8902149658172</v>
      </c>
    </row>
    <row r="367" spans="1:49" ht="30" x14ac:dyDescent="0.25">
      <c r="A367" s="2">
        <v>1</v>
      </c>
      <c r="B367" s="2" t="s">
        <v>1708</v>
      </c>
      <c r="C367" s="2" t="s">
        <v>1709</v>
      </c>
      <c r="D367" s="2" t="s">
        <v>2592</v>
      </c>
      <c r="E367" s="2" t="s">
        <v>129</v>
      </c>
      <c r="F367" s="3">
        <v>45743.426898148151</v>
      </c>
      <c r="G367" s="3">
        <v>45743.425474537027</v>
      </c>
      <c r="H367" s="4">
        <v>45743</v>
      </c>
      <c r="I367" s="2" t="s">
        <v>130</v>
      </c>
      <c r="J367" s="2" t="s">
        <v>51</v>
      </c>
      <c r="K367" s="2">
        <v>0.70142859541766467</v>
      </c>
      <c r="L367" s="2">
        <v>3227.6984639497118</v>
      </c>
      <c r="M367" s="2">
        <v>0</v>
      </c>
      <c r="N367" s="2">
        <v>2264</v>
      </c>
      <c r="O367" s="2">
        <v>2264</v>
      </c>
      <c r="P367" s="2"/>
      <c r="Q367" s="2">
        <v>2264</v>
      </c>
      <c r="R367" s="2" t="s">
        <v>44</v>
      </c>
      <c r="S367" s="2"/>
      <c r="T367" s="2">
        <f t="shared" si="115"/>
        <v>1</v>
      </c>
      <c r="U367" s="18">
        <f t="shared" si="116"/>
        <v>3</v>
      </c>
      <c r="V367" s="18">
        <f t="shared" si="117"/>
        <v>2025</v>
      </c>
      <c r="W367" s="18" t="str">
        <f t="shared" si="118"/>
        <v/>
      </c>
      <c r="X367" s="18" t="str">
        <f t="shared" si="119"/>
        <v/>
      </c>
      <c r="Y367" s="2">
        <f t="shared" si="112"/>
        <v>0.70142859541766467</v>
      </c>
      <c r="Z367" t="str">
        <f t="shared" si="113"/>
        <v>SO16847</v>
      </c>
      <c r="AA367" s="11">
        <f t="shared" si="120"/>
        <v>45743.426898148151</v>
      </c>
      <c r="AB367" s="5" t="str">
        <f t="shared" si="121"/>
        <v>INV13115</v>
      </c>
      <c r="AC367" s="5" t="str">
        <f>IFERROR(VLOOKUP(D367,CAARStatus!$A$2:$AA$1600,22,FALSE),"Not invoiced")</f>
        <v>Approved</v>
      </c>
      <c r="AD367" s="11" t="str">
        <f>IF(AC367="Paid",IFERROR(VLOOKUP(D367,CAARStatus!$A$2:$AA$1600,6,FALSE),"Pending"),"Pending")</f>
        <v>Pending</v>
      </c>
      <c r="AE367" s="5" t="str">
        <f t="shared" si="122"/>
        <v>OC00160</v>
      </c>
      <c r="AF367" s="5" t="str">
        <f t="shared" si="123"/>
        <v>Dynapro Pumps México S de RL de CV</v>
      </c>
      <c r="AG367" s="5" t="str">
        <f t="shared" si="124"/>
        <v>USD</v>
      </c>
      <c r="AH367" s="5">
        <f t="shared" si="125"/>
        <v>3227.6984639497118</v>
      </c>
      <c r="AI367" s="12">
        <f>IF(L367-N367=0,VLOOKUP(U367,rate!A$4:B$15,2,FALSE)*AH367,IF(AG367="USD",O367,AH367*Y367))</f>
        <v>2264</v>
      </c>
      <c r="AJ367" s="13">
        <f t="shared" si="126"/>
        <v>0.70142859541766467</v>
      </c>
      <c r="AK367" s="13">
        <f>-IF(AG367="CAD",IFERROR(VLOOKUP(D367,CAARStatus!$A$1:$Y$1600,16,FALSE),0),0)</f>
        <v>0</v>
      </c>
      <c r="AL367" s="13">
        <f>-IF(AG367="USD",IFERROR(VLOOKUP(D367,CAARStatus!$A$1:$Y$1600,11,FALSE),0),0)</f>
        <v>-2264</v>
      </c>
      <c r="AM367" s="22" t="str">
        <f t="shared" si="127"/>
        <v/>
      </c>
      <c r="AN367" s="12">
        <f t="shared" si="128"/>
        <v>0</v>
      </c>
      <c r="AO367" s="12" t="str">
        <f t="shared" si="129"/>
        <v>Pend</v>
      </c>
      <c r="AP367" t="str">
        <f t="shared" si="114"/>
        <v>Pend</v>
      </c>
      <c r="AQ367" t="str">
        <f>IFERROR(VLOOKUP(Z367,InvBal!$L$4:$P$600,4,FALSE),"Pend")</f>
        <v>Pend</v>
      </c>
      <c r="AR367" t="str">
        <f>IFERROR(VLOOKUP(D367,Manual!$C$1:$E$22,2,FALSE),"Pend")</f>
        <v>Pend</v>
      </c>
      <c r="AS367" t="str">
        <f t="shared" si="130"/>
        <v/>
      </c>
      <c r="AT367" t="str">
        <f t="shared" si="131"/>
        <v>Yes</v>
      </c>
      <c r="AU367" s="51" t="str">
        <f t="shared" si="132"/>
        <v/>
      </c>
      <c r="AV367" s="12">
        <f>IFERROR(VLOOKUP(D367,'Receivable Invoice Detail'!$S$1:$U$3014,3,FALSE),0)</f>
        <v>0</v>
      </c>
      <c r="AW367" s="12">
        <f t="shared" si="133"/>
        <v>0</v>
      </c>
    </row>
    <row r="368" spans="1:49" ht="30" x14ac:dyDescent="0.25">
      <c r="A368" s="2">
        <v>2</v>
      </c>
      <c r="B368" s="2" t="s">
        <v>1706</v>
      </c>
      <c r="C368" s="2" t="s">
        <v>1707</v>
      </c>
      <c r="D368" s="2" t="s">
        <v>2594</v>
      </c>
      <c r="E368" s="2" t="s">
        <v>98</v>
      </c>
      <c r="F368" s="3">
        <v>45743.529849537037</v>
      </c>
      <c r="G368" s="3">
        <v>45743.587037037039</v>
      </c>
      <c r="H368" s="4">
        <v>45771</v>
      </c>
      <c r="I368" s="2" t="s">
        <v>21</v>
      </c>
      <c r="J368" s="2" t="s">
        <v>22</v>
      </c>
      <c r="K368" s="2">
        <v>1</v>
      </c>
      <c r="L368" s="2">
        <v>387.84</v>
      </c>
      <c r="M368" s="2">
        <v>0</v>
      </c>
      <c r="N368" s="2">
        <v>270.87958118215698</v>
      </c>
      <c r="O368" s="2">
        <v>343.22</v>
      </c>
      <c r="P368" s="2">
        <v>44.62</v>
      </c>
      <c r="Q368" s="2">
        <v>387.84</v>
      </c>
      <c r="R368" s="2" t="s">
        <v>44</v>
      </c>
      <c r="S368" s="2"/>
      <c r="T368" s="2">
        <f t="shared" si="115"/>
        <v>2</v>
      </c>
      <c r="U368" s="18">
        <f t="shared" si="116"/>
        <v>3</v>
      </c>
      <c r="V368" s="18">
        <f t="shared" si="117"/>
        <v>2025</v>
      </c>
      <c r="W368" s="18">
        <f t="shared" si="118"/>
        <v>5</v>
      </c>
      <c r="X368" s="18">
        <f t="shared" si="119"/>
        <v>2025</v>
      </c>
      <c r="Y368" s="2">
        <f t="shared" si="112"/>
        <v>0.69843126336158468</v>
      </c>
      <c r="Z368" t="str">
        <f t="shared" si="113"/>
        <v>SO16848</v>
      </c>
      <c r="AA368" s="11">
        <f t="shared" si="120"/>
        <v>45743.529849537037</v>
      </c>
      <c r="AB368" s="5" t="str">
        <f t="shared" si="121"/>
        <v>INV12805</v>
      </c>
      <c r="AC368" s="5" t="str">
        <f>IFERROR(VLOOKUP(D368,CAARStatus!$A$2:$AA$1600,22,FALSE),"Not invoiced")</f>
        <v>Paid</v>
      </c>
      <c r="AD368" s="11">
        <f>IF(AC368="Paid",IFERROR(VLOOKUP(D368,CAARStatus!$A$2:$AA$1600,6,FALSE),"Pending"),"Pending")</f>
        <v>45784</v>
      </c>
      <c r="AE368" s="5" t="str">
        <f t="shared" si="122"/>
        <v>PO-007864</v>
      </c>
      <c r="AF368" s="5" t="str">
        <f t="shared" si="123"/>
        <v>Sling-Choker Manufacturing - Timmins</v>
      </c>
      <c r="AG368" s="5" t="str">
        <f t="shared" si="124"/>
        <v>CAD</v>
      </c>
      <c r="AH368" s="5">
        <f t="shared" si="125"/>
        <v>343.22</v>
      </c>
      <c r="AI368" s="12">
        <f>IF(L368-N368=0,VLOOKUP(U368,rate!A$4:B$15,2,FALSE)*AH368,IF(AG368="USD",O368,AH368*Y368))</f>
        <v>239.71557821096312</v>
      </c>
      <c r="AJ368" s="13">
        <f t="shared" si="126"/>
        <v>0.69843126336158468</v>
      </c>
      <c r="AK368" s="13">
        <f>-IF(AG368="CAD",IFERROR(VLOOKUP(D368,CAARStatus!$A$1:$Y$1600,16,FALSE),0),0)</f>
        <v>-201.44</v>
      </c>
      <c r="AL368" s="13">
        <f>-IF(AG368="USD",IFERROR(VLOOKUP(D368,CAARStatus!$A$1:$Y$1600,11,FALSE),0),0)</f>
        <v>0</v>
      </c>
      <c r="AM368" s="22">
        <f t="shared" si="127"/>
        <v>141.78000000000003</v>
      </c>
      <c r="AN368" s="12" t="str">
        <f t="shared" si="128"/>
        <v/>
      </c>
      <c r="AO368" s="12" t="str">
        <f t="shared" si="129"/>
        <v>Yes</v>
      </c>
      <c r="AP368" t="str">
        <f t="shared" si="114"/>
        <v>XX</v>
      </c>
      <c r="AQ368" t="str">
        <f>IFERROR(VLOOKUP(Z368,InvBal!$L$4:$P$600,4,FALSE),"Pend")</f>
        <v>Yes</v>
      </c>
      <c r="AR368" t="str">
        <f>IFERROR(VLOOKUP(D368,Manual!$C$1:$E$22,2,FALSE),"Pend")</f>
        <v>Pend</v>
      </c>
      <c r="AS368" t="str">
        <f t="shared" si="130"/>
        <v>Yes</v>
      </c>
      <c r="AT368" t="str">
        <f t="shared" si="131"/>
        <v>Yes</v>
      </c>
      <c r="AU368" s="51" t="str">
        <f t="shared" si="132"/>
        <v>Yes</v>
      </c>
      <c r="AV368" s="12">
        <f>IFERROR(VLOOKUP(D368,'Receivable Invoice Detail'!$S$1:$U$3014,3,FALSE),0)</f>
        <v>0</v>
      </c>
      <c r="AW368" s="12">
        <f t="shared" si="133"/>
        <v>239.71557821096312</v>
      </c>
    </row>
    <row r="369" spans="1:49" x14ac:dyDescent="0.25">
      <c r="A369" s="2"/>
      <c r="B369" s="2"/>
      <c r="C369" s="2"/>
      <c r="D369" s="2" t="s">
        <v>2593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f t="shared" si="115"/>
        <v>2</v>
      </c>
      <c r="U369" s="18">
        <f t="shared" si="116"/>
        <v>3</v>
      </c>
      <c r="V369" s="18">
        <f t="shared" si="117"/>
        <v>2025</v>
      </c>
      <c r="W369" s="18">
        <f t="shared" si="118"/>
        <v>5</v>
      </c>
      <c r="X369" s="18">
        <f t="shared" si="119"/>
        <v>2025</v>
      </c>
      <c r="Y369" s="2">
        <f t="shared" si="112"/>
        <v>0.69843126336158468</v>
      </c>
      <c r="Z369" t="str">
        <f t="shared" si="113"/>
        <v>SO16848</v>
      </c>
      <c r="AA369" s="11">
        <f t="shared" si="120"/>
        <v>45743.529849537037</v>
      </c>
      <c r="AB369" s="5" t="str">
        <f t="shared" si="121"/>
        <v>INV12900</v>
      </c>
      <c r="AC369" s="5" t="str">
        <f>IFERROR(VLOOKUP(D369,CAARStatus!$A$2:$AA$1600,22,FALSE),"Not invoiced")</f>
        <v>Paid</v>
      </c>
      <c r="AD369" s="11">
        <f>IF(AC369="Paid",IFERROR(VLOOKUP(D369,CAARStatus!$A$2:$AA$1600,6,FALSE),"Pending"),"Pending")</f>
        <v>45798</v>
      </c>
      <c r="AE369" s="5" t="str">
        <f t="shared" si="122"/>
        <v>PO-007864</v>
      </c>
      <c r="AF369" s="5" t="str">
        <f t="shared" si="123"/>
        <v>Sling-Choker Manufacturing - Timmins</v>
      </c>
      <c r="AG369" s="5" t="str">
        <f t="shared" si="124"/>
        <v>CAD</v>
      </c>
      <c r="AH369" s="5">
        <f t="shared" si="125"/>
        <v>0</v>
      </c>
      <c r="AI369" s="12">
        <f>IF(L369-N369=0,VLOOKUP(U369,rate!A$4:B$15,2,FALSE)*AH369,IF(AG369="USD",O369,AH369*Y369))</f>
        <v>0</v>
      </c>
      <c r="AJ369" s="13">
        <f t="shared" si="126"/>
        <v>0</v>
      </c>
      <c r="AK369" s="13">
        <f>-IF(AG369="CAD",IFERROR(VLOOKUP(D369,CAARStatus!$A$1:$Y$1600,16,FALSE),0),0)</f>
        <v>-141.78</v>
      </c>
      <c r="AL369" s="13">
        <f>-IF(AG369="USD",IFERROR(VLOOKUP(D369,CAARStatus!$A$1:$Y$1600,11,FALSE),0),0)</f>
        <v>0</v>
      </c>
      <c r="AM369" s="22">
        <f t="shared" si="127"/>
        <v>-141.78</v>
      </c>
      <c r="AN369" s="12" t="str">
        <f t="shared" si="128"/>
        <v/>
      </c>
      <c r="AO369" s="12" t="str">
        <f t="shared" si="129"/>
        <v>Yes</v>
      </c>
      <c r="AP369" t="str">
        <f t="shared" si="114"/>
        <v>XX</v>
      </c>
      <c r="AQ369" t="str">
        <f>IFERROR(VLOOKUP(Z369,InvBal!$L$4:$P$600,4,FALSE),"Pend")</f>
        <v>Yes</v>
      </c>
      <c r="AR369" t="str">
        <f>IFERROR(VLOOKUP(D369,Manual!$C$1:$E$22,2,FALSE),"Pend")</f>
        <v>Pend</v>
      </c>
      <c r="AS369" t="str">
        <f t="shared" si="130"/>
        <v>Yes</v>
      </c>
      <c r="AT369" t="str">
        <f t="shared" si="131"/>
        <v/>
      </c>
      <c r="AU369" s="51" t="str">
        <f t="shared" si="132"/>
        <v/>
      </c>
      <c r="AV369" s="12">
        <f>IFERROR(VLOOKUP(D369,'Receivable Invoice Detail'!$S$1:$U$3014,3,FALSE),0)</f>
        <v>0</v>
      </c>
      <c r="AW369" s="12">
        <f t="shared" si="133"/>
        <v>0</v>
      </c>
    </row>
    <row r="370" spans="1:49" ht="30" x14ac:dyDescent="0.25">
      <c r="A370" s="2">
        <v>1</v>
      </c>
      <c r="B370" s="2" t="s">
        <v>1655</v>
      </c>
      <c r="C370" s="2" t="s">
        <v>1656</v>
      </c>
      <c r="D370" s="2" t="s">
        <v>2623</v>
      </c>
      <c r="E370" s="2" t="s">
        <v>39</v>
      </c>
      <c r="F370" s="3">
        <v>45743.641793981478</v>
      </c>
      <c r="G370" s="3">
        <v>45750.679097222222</v>
      </c>
      <c r="H370" s="4">
        <v>45751</v>
      </c>
      <c r="I370" s="2" t="s">
        <v>21</v>
      </c>
      <c r="J370" s="2" t="s">
        <v>22</v>
      </c>
      <c r="K370" s="2">
        <v>1</v>
      </c>
      <c r="L370" s="2">
        <v>1078.71</v>
      </c>
      <c r="M370" s="2">
        <v>1078.71</v>
      </c>
      <c r="N370" s="2">
        <v>1078.71</v>
      </c>
      <c r="O370" s="2">
        <v>1027.3399999999999</v>
      </c>
      <c r="P370" s="2">
        <v>51.37</v>
      </c>
      <c r="Q370" s="2">
        <v>1078.71</v>
      </c>
      <c r="R370" s="2" t="s">
        <v>44</v>
      </c>
      <c r="S370" s="2"/>
      <c r="T370" s="2">
        <f t="shared" si="115"/>
        <v>1</v>
      </c>
      <c r="U370" s="18">
        <f t="shared" si="116"/>
        <v>3</v>
      </c>
      <c r="V370" s="18">
        <f t="shared" si="117"/>
        <v>2025</v>
      </c>
      <c r="W370" s="18">
        <f t="shared" si="118"/>
        <v>5</v>
      </c>
      <c r="X370" s="18">
        <f t="shared" si="119"/>
        <v>2025</v>
      </c>
      <c r="Y370" s="2">
        <f t="shared" si="112"/>
        <v>1</v>
      </c>
      <c r="Z370" t="str">
        <f t="shared" si="113"/>
        <v>SO16850</v>
      </c>
      <c r="AA370" s="11">
        <f t="shared" si="120"/>
        <v>45743.641793981478</v>
      </c>
      <c r="AB370" s="5" t="str">
        <f t="shared" si="121"/>
        <v>INV12818</v>
      </c>
      <c r="AC370" s="5" t="str">
        <f>IFERROR(VLOOKUP(D370,CAARStatus!$A$2:$AA$1600,22,FALSE),"Not invoiced")</f>
        <v>Paid</v>
      </c>
      <c r="AD370" s="11">
        <f>IF(AC370="Paid",IFERROR(VLOOKUP(D370,CAARStatus!$A$2:$AA$1600,6,FALSE),"Pending"),"Pending")</f>
        <v>45779</v>
      </c>
      <c r="AE370" s="5" t="str">
        <f t="shared" si="122"/>
        <v>BC65-00080086</v>
      </c>
      <c r="AF370" s="5" t="str">
        <f t="shared" si="123"/>
        <v>Motion Industries Inc. (Canada) - Prince George</v>
      </c>
      <c r="AG370" s="5" t="str">
        <f t="shared" si="124"/>
        <v>CAD</v>
      </c>
      <c r="AH370" s="5">
        <f t="shared" si="125"/>
        <v>1027.3399999999999</v>
      </c>
      <c r="AI370" s="12">
        <f>IF(L370-N370=0,VLOOKUP(U370,rate!A$4:B$15,2,FALSE)*AH370,IF(AG370="USD",O370,AH370*Y370))</f>
        <v>719.15643069746181</v>
      </c>
      <c r="AJ370" s="13">
        <f t="shared" si="126"/>
        <v>0.70001794021206409</v>
      </c>
      <c r="AK370" s="13">
        <f>-IF(AG370="CAD",IFERROR(VLOOKUP(D370,CAARStatus!$A$1:$Y$1600,16,FALSE),0),0)</f>
        <v>-1027.3399999999999</v>
      </c>
      <c r="AL370" s="13">
        <f>-IF(AG370="USD",IFERROR(VLOOKUP(D370,CAARStatus!$A$1:$Y$1600,11,FALSE),0),0)</f>
        <v>0</v>
      </c>
      <c r="AM370" s="22">
        <f t="shared" si="127"/>
        <v>0</v>
      </c>
      <c r="AN370" s="12" t="str">
        <f t="shared" si="128"/>
        <v/>
      </c>
      <c r="AO370" s="12" t="str">
        <f t="shared" si="129"/>
        <v>Yes</v>
      </c>
      <c r="AP370" t="str">
        <f t="shared" si="114"/>
        <v>Yes</v>
      </c>
      <c r="AQ370" t="str">
        <f>IFERROR(VLOOKUP(Z370,InvBal!$L$4:$P$600,4,FALSE),"Pend")</f>
        <v>Pend</v>
      </c>
      <c r="AR370" t="str">
        <f>IFERROR(VLOOKUP(D370,Manual!$C$1:$E$22,2,FALSE),"Pend")</f>
        <v>Pend</v>
      </c>
      <c r="AS370" t="str">
        <f t="shared" si="130"/>
        <v>Yes</v>
      </c>
      <c r="AT370" t="str">
        <f t="shared" si="131"/>
        <v>Yes</v>
      </c>
      <c r="AU370" s="51" t="str">
        <f t="shared" si="132"/>
        <v>Yes</v>
      </c>
      <c r="AV370" s="12">
        <f>IFERROR(VLOOKUP(D370,'Receivable Invoice Detail'!$S$1:$U$3014,3,FALSE),0)</f>
        <v>0</v>
      </c>
      <c r="AW370" s="12">
        <f t="shared" si="133"/>
        <v>719.15643069746181</v>
      </c>
    </row>
    <row r="371" spans="1:49" ht="30" x14ac:dyDescent="0.25">
      <c r="A371" s="2">
        <v>1</v>
      </c>
      <c r="B371" s="2" t="s">
        <v>1697</v>
      </c>
      <c r="C371" s="2" t="s">
        <v>1698</v>
      </c>
      <c r="D371" s="2" t="s">
        <v>2598</v>
      </c>
      <c r="E371" s="2" t="s">
        <v>98</v>
      </c>
      <c r="F371" s="3">
        <v>45744.340949074067</v>
      </c>
      <c r="G371" s="3">
        <v>45744.538472222222</v>
      </c>
      <c r="H371" s="4">
        <v>45747</v>
      </c>
      <c r="I371" s="2" t="s">
        <v>21</v>
      </c>
      <c r="J371" s="2" t="s">
        <v>22</v>
      </c>
      <c r="K371" s="2">
        <v>1</v>
      </c>
      <c r="L371" s="2">
        <v>6280.39</v>
      </c>
      <c r="M371" s="2">
        <v>0</v>
      </c>
      <c r="N371" s="2">
        <v>4396.7804534179604</v>
      </c>
      <c r="O371" s="2">
        <v>5557.87</v>
      </c>
      <c r="P371" s="2">
        <v>722.52</v>
      </c>
      <c r="Q371" s="2">
        <v>6280.39</v>
      </c>
      <c r="R371" s="2" t="s">
        <v>44</v>
      </c>
      <c r="S371" s="2"/>
      <c r="T371" s="2">
        <f t="shared" si="115"/>
        <v>1</v>
      </c>
      <c r="U371" s="18">
        <f t="shared" si="116"/>
        <v>3</v>
      </c>
      <c r="V371" s="18">
        <f t="shared" si="117"/>
        <v>2025</v>
      </c>
      <c r="W371" s="18">
        <f t="shared" si="118"/>
        <v>5</v>
      </c>
      <c r="X371" s="18">
        <f t="shared" si="119"/>
        <v>2025</v>
      </c>
      <c r="Y371" s="2">
        <f t="shared" si="112"/>
        <v>0.70008079966657488</v>
      </c>
      <c r="Z371" t="str">
        <f t="shared" si="113"/>
        <v>SO16853</v>
      </c>
      <c r="AA371" s="11">
        <f t="shared" si="120"/>
        <v>45744.340949074067</v>
      </c>
      <c r="AB371" s="5" t="str">
        <f t="shared" si="121"/>
        <v>INV12806</v>
      </c>
      <c r="AC371" s="5" t="str">
        <f>IFERROR(VLOOKUP(D371,CAARStatus!$A$2:$AA$1600,22,FALSE),"Not invoiced")</f>
        <v>Paid</v>
      </c>
      <c r="AD371" s="11">
        <f>IF(AC371="Paid",IFERROR(VLOOKUP(D371,CAARStatus!$A$2:$AA$1600,6,FALSE),"Pending"),"Pending")</f>
        <v>45784</v>
      </c>
      <c r="AE371" s="5" t="str">
        <f t="shared" si="122"/>
        <v>PO-007868</v>
      </c>
      <c r="AF371" s="5" t="str">
        <f t="shared" si="123"/>
        <v>Sling-Choker Manufacturing - Timmins</v>
      </c>
      <c r="AG371" s="5" t="str">
        <f t="shared" si="124"/>
        <v>CAD</v>
      </c>
      <c r="AH371" s="5">
        <f t="shared" si="125"/>
        <v>5557.87</v>
      </c>
      <c r="AI371" s="12">
        <f>IF(L371-N371=0,VLOOKUP(U371,rate!A$4:B$15,2,FALSE)*AH371,IF(AG371="USD",O371,AH371*Y371))</f>
        <v>3890.9580740428664</v>
      </c>
      <c r="AJ371" s="13">
        <f t="shared" si="126"/>
        <v>0.70008079966657488</v>
      </c>
      <c r="AK371" s="13">
        <f>-IF(AG371="CAD",IFERROR(VLOOKUP(D371,CAARStatus!$A$1:$Y$1600,16,FALSE),0),0)</f>
        <v>-5557.87</v>
      </c>
      <c r="AL371" s="13">
        <f>-IF(AG371="USD",IFERROR(VLOOKUP(D371,CAARStatus!$A$1:$Y$1600,11,FALSE),0),0)</f>
        <v>0</v>
      </c>
      <c r="AM371" s="22">
        <f t="shared" si="127"/>
        <v>0</v>
      </c>
      <c r="AN371" s="12" t="str">
        <f t="shared" si="128"/>
        <v/>
      </c>
      <c r="AO371" s="12" t="str">
        <f t="shared" si="129"/>
        <v>Yes</v>
      </c>
      <c r="AP371" t="str">
        <f t="shared" si="114"/>
        <v>Yes</v>
      </c>
      <c r="AQ371" t="str">
        <f>IFERROR(VLOOKUP(Z371,InvBal!$L$4:$P$600,4,FALSE),"Pend")</f>
        <v>Pend</v>
      </c>
      <c r="AR371" t="str">
        <f>IFERROR(VLOOKUP(D371,Manual!$C$1:$E$22,2,FALSE),"Pend")</f>
        <v>Pend</v>
      </c>
      <c r="AS371" t="str">
        <f t="shared" si="130"/>
        <v>Yes</v>
      </c>
      <c r="AT371" t="str">
        <f t="shared" si="131"/>
        <v>Yes</v>
      </c>
      <c r="AU371" s="51" t="str">
        <f t="shared" si="132"/>
        <v>Yes</v>
      </c>
      <c r="AV371" s="12">
        <f>IFERROR(VLOOKUP(D371,'Receivable Invoice Detail'!$S$1:$U$3014,3,FALSE),0)</f>
        <v>0</v>
      </c>
      <c r="AW371" s="12">
        <f t="shared" si="133"/>
        <v>3890.9580740428664</v>
      </c>
    </row>
    <row r="372" spans="1:49" ht="30" x14ac:dyDescent="0.25">
      <c r="A372" s="2">
        <v>1</v>
      </c>
      <c r="B372" s="2" t="s">
        <v>1699</v>
      </c>
      <c r="C372" s="2" t="s">
        <v>1700</v>
      </c>
      <c r="D372" s="2" t="s">
        <v>2597</v>
      </c>
      <c r="E372" s="2" t="s">
        <v>602</v>
      </c>
      <c r="F372" s="3">
        <v>45744.445196759261</v>
      </c>
      <c r="G372" s="3">
        <v>45744.508298611108</v>
      </c>
      <c r="H372" s="4">
        <v>45765</v>
      </c>
      <c r="I372" s="2" t="s">
        <v>21</v>
      </c>
      <c r="J372" s="2" t="s">
        <v>22</v>
      </c>
      <c r="K372" s="2">
        <v>1</v>
      </c>
      <c r="L372" s="2">
        <v>1655.53</v>
      </c>
      <c r="M372" s="2">
        <v>0</v>
      </c>
      <c r="N372" s="2">
        <v>1159.0047662720051</v>
      </c>
      <c r="O372" s="2">
        <v>1465.07</v>
      </c>
      <c r="P372" s="2">
        <v>190.46</v>
      </c>
      <c r="Q372" s="2">
        <v>1655.53</v>
      </c>
      <c r="R372" s="2" t="s">
        <v>44</v>
      </c>
      <c r="S372" s="2"/>
      <c r="T372" s="2">
        <f t="shared" si="115"/>
        <v>1</v>
      </c>
      <c r="U372" s="18">
        <f t="shared" si="116"/>
        <v>3</v>
      </c>
      <c r="V372" s="18">
        <f t="shared" si="117"/>
        <v>2025</v>
      </c>
      <c r="W372" s="18">
        <f t="shared" si="118"/>
        <v>5</v>
      </c>
      <c r="X372" s="18">
        <f t="shared" si="119"/>
        <v>2025</v>
      </c>
      <c r="Y372" s="2">
        <f t="shared" si="112"/>
        <v>0.7000807996665751</v>
      </c>
      <c r="Z372" t="str">
        <f t="shared" si="113"/>
        <v>SO16856</v>
      </c>
      <c r="AA372" s="11">
        <f t="shared" si="120"/>
        <v>45744.445196759261</v>
      </c>
      <c r="AB372" s="5" t="str">
        <f t="shared" si="121"/>
        <v>INV12893</v>
      </c>
      <c r="AC372" s="5" t="str">
        <f>IFERROR(VLOOKUP(D372,CAARStatus!$A$2:$AA$1600,22,FALSE),"Not invoiced")</f>
        <v>Paid</v>
      </c>
      <c r="AD372" s="11">
        <f>IF(AC372="Paid",IFERROR(VLOOKUP(D372,CAARStatus!$A$2:$AA$1600,6,FALSE),"Pending"),"Pending")</f>
        <v>45798</v>
      </c>
      <c r="AE372" s="5" t="str">
        <f t="shared" si="122"/>
        <v>ON50-00002317</v>
      </c>
      <c r="AF372" s="5" t="str">
        <f t="shared" si="123"/>
        <v>Motion Industries Inc. (Canada) - Thunder Bay</v>
      </c>
      <c r="AG372" s="5" t="str">
        <f t="shared" si="124"/>
        <v>CAD</v>
      </c>
      <c r="AH372" s="5">
        <f t="shared" si="125"/>
        <v>1465.07</v>
      </c>
      <c r="AI372" s="12">
        <f>IF(L372-N372=0,VLOOKUP(U372,rate!A$4:B$15,2,FALSE)*AH372,IF(AG372="USD",O372,AH372*Y372))</f>
        <v>1025.6673771675091</v>
      </c>
      <c r="AJ372" s="13">
        <f t="shared" si="126"/>
        <v>0.7000807996665751</v>
      </c>
      <c r="AK372" s="13">
        <f>-IF(AG372="CAD",IFERROR(VLOOKUP(D372,CAARStatus!$A$1:$Y$1600,16,FALSE),0),0)</f>
        <v>-1465.07</v>
      </c>
      <c r="AL372" s="13">
        <f>-IF(AG372="USD",IFERROR(VLOOKUP(D372,CAARStatus!$A$1:$Y$1600,11,FALSE),0),0)</f>
        <v>0</v>
      </c>
      <c r="AM372" s="22">
        <f t="shared" si="127"/>
        <v>0</v>
      </c>
      <c r="AN372" s="12" t="str">
        <f t="shared" si="128"/>
        <v/>
      </c>
      <c r="AO372" s="12" t="str">
        <f t="shared" si="129"/>
        <v>Yes</v>
      </c>
      <c r="AP372" t="str">
        <f t="shared" si="114"/>
        <v>Yes</v>
      </c>
      <c r="AQ372" t="str">
        <f>IFERROR(VLOOKUP(Z372,InvBal!$L$4:$P$600,4,FALSE),"Pend")</f>
        <v>Pend</v>
      </c>
      <c r="AR372" t="str">
        <f>IFERROR(VLOOKUP(D372,Manual!$C$1:$E$22,2,FALSE),"Pend")</f>
        <v>Pend</v>
      </c>
      <c r="AS372" t="str">
        <f t="shared" si="130"/>
        <v>Yes</v>
      </c>
      <c r="AT372" t="str">
        <f t="shared" si="131"/>
        <v>Yes</v>
      </c>
      <c r="AU372" s="51" t="str">
        <f t="shared" si="132"/>
        <v>Yes</v>
      </c>
      <c r="AV372" s="12">
        <f>IFERROR(VLOOKUP(D372,'Receivable Invoice Detail'!$S$1:$U$3014,3,FALSE),0)</f>
        <v>0</v>
      </c>
      <c r="AW372" s="12">
        <f t="shared" si="133"/>
        <v>1025.6673771675091</v>
      </c>
    </row>
    <row r="373" spans="1:49" ht="45" x14ac:dyDescent="0.25">
      <c r="A373" s="2">
        <v>1</v>
      </c>
      <c r="B373" s="2" t="s">
        <v>1653</v>
      </c>
      <c r="C373" s="2" t="s">
        <v>1654</v>
      </c>
      <c r="D373" s="2" t="s">
        <v>2624</v>
      </c>
      <c r="E373" s="2" t="s">
        <v>1333</v>
      </c>
      <c r="F373" s="3">
        <v>45744.628668981481</v>
      </c>
      <c r="G373" s="3">
        <v>45751.554456018523</v>
      </c>
      <c r="H373" s="4">
        <v>45772</v>
      </c>
      <c r="I373" s="2" t="s">
        <v>21</v>
      </c>
      <c r="J373" s="2" t="s">
        <v>22</v>
      </c>
      <c r="K373" s="2">
        <v>1</v>
      </c>
      <c r="L373" s="2">
        <v>157.16</v>
      </c>
      <c r="M373" s="2">
        <v>0</v>
      </c>
      <c r="N373" s="2">
        <v>110.71929211220299</v>
      </c>
      <c r="O373" s="2">
        <v>149.68</v>
      </c>
      <c r="P373" s="2">
        <v>7.48</v>
      </c>
      <c r="Q373" s="2">
        <v>157.16</v>
      </c>
      <c r="R373" s="2" t="s">
        <v>44</v>
      </c>
      <c r="S373" s="2"/>
      <c r="T373" s="2">
        <f t="shared" si="115"/>
        <v>1</v>
      </c>
      <c r="U373" s="18">
        <f t="shared" si="116"/>
        <v>3</v>
      </c>
      <c r="V373" s="18">
        <f t="shared" si="117"/>
        <v>2025</v>
      </c>
      <c r="W373" s="18">
        <f t="shared" si="118"/>
        <v>5</v>
      </c>
      <c r="X373" s="18">
        <f t="shared" si="119"/>
        <v>2025</v>
      </c>
      <c r="Y373" s="2">
        <f t="shared" si="112"/>
        <v>0.70450045884578139</v>
      </c>
      <c r="Z373" t="str">
        <f t="shared" si="113"/>
        <v>SO16860</v>
      </c>
      <c r="AA373" s="11">
        <f t="shared" si="120"/>
        <v>45744.628668981481</v>
      </c>
      <c r="AB373" s="5" t="str">
        <f t="shared" si="121"/>
        <v>INV12827</v>
      </c>
      <c r="AC373" s="5" t="str">
        <f>IFERROR(VLOOKUP(D373,CAARStatus!$A$2:$AA$1600,22,FALSE),"Not invoiced")</f>
        <v>Paid</v>
      </c>
      <c r="AD373" s="11">
        <f>IF(AC373="Paid",IFERROR(VLOOKUP(D373,CAARStatus!$A$2:$AA$1600,6,FALSE),"Pending"),"Pending")</f>
        <v>45784</v>
      </c>
      <c r="AE373" s="5" t="str">
        <f t="shared" si="122"/>
        <v>QC10-00125571</v>
      </c>
      <c r="AF373" s="5" t="str">
        <f t="shared" si="123"/>
        <v>Motion Industries Inc. (Canada) - Chicoutimi, Motion Industries Inc. (Canada) - Chicoutimi</v>
      </c>
      <c r="AG373" s="5" t="str">
        <f t="shared" si="124"/>
        <v>CAD</v>
      </c>
      <c r="AH373" s="5">
        <f t="shared" si="125"/>
        <v>149.68</v>
      </c>
      <c r="AI373" s="12">
        <f>IF(L373-N373=0,VLOOKUP(U373,rate!A$4:B$15,2,FALSE)*AH373,IF(AG373="USD",O373,AH373*Y373))</f>
        <v>105.44962868003657</v>
      </c>
      <c r="AJ373" s="13">
        <f t="shared" si="126"/>
        <v>0.70450045884578139</v>
      </c>
      <c r="AK373" s="13">
        <f>-IF(AG373="CAD",IFERROR(VLOOKUP(D373,CAARStatus!$A$1:$Y$1600,16,FALSE),0),0)</f>
        <v>-149.68</v>
      </c>
      <c r="AL373" s="13">
        <f>-IF(AG373="USD",IFERROR(VLOOKUP(D373,CAARStatus!$A$1:$Y$1600,11,FALSE),0),0)</f>
        <v>0</v>
      </c>
      <c r="AM373" s="22">
        <f t="shared" si="127"/>
        <v>0</v>
      </c>
      <c r="AN373" s="12" t="str">
        <f t="shared" si="128"/>
        <v/>
      </c>
      <c r="AO373" s="12" t="str">
        <f t="shared" si="129"/>
        <v>Yes</v>
      </c>
      <c r="AP373" t="str">
        <f t="shared" si="114"/>
        <v>Yes</v>
      </c>
      <c r="AQ373" t="str">
        <f>IFERROR(VLOOKUP(Z373,InvBal!$L$4:$P$600,4,FALSE),"Pend")</f>
        <v>Pend</v>
      </c>
      <c r="AR373" t="str">
        <f>IFERROR(VLOOKUP(D373,Manual!$C$1:$E$22,2,FALSE),"Pend")</f>
        <v>Pend</v>
      </c>
      <c r="AS373" t="str">
        <f t="shared" si="130"/>
        <v>Yes</v>
      </c>
      <c r="AT373" t="str">
        <f t="shared" si="131"/>
        <v>Yes</v>
      </c>
      <c r="AU373" s="51" t="str">
        <f t="shared" si="132"/>
        <v>Yes</v>
      </c>
      <c r="AV373" s="12">
        <f>IFERROR(VLOOKUP(D373,'Receivable Invoice Detail'!$S$1:$U$3014,3,FALSE),0)</f>
        <v>0</v>
      </c>
      <c r="AW373" s="12">
        <f t="shared" si="133"/>
        <v>105.44962868003657</v>
      </c>
    </row>
    <row r="374" spans="1:49" x14ac:dyDescent="0.25">
      <c r="A374" s="2">
        <v>1</v>
      </c>
      <c r="B374" s="2" t="s">
        <v>1687</v>
      </c>
      <c r="C374" s="2" t="s">
        <v>1688</v>
      </c>
      <c r="D374" s="2" t="s">
        <v>2603</v>
      </c>
      <c r="E374" s="2" t="s">
        <v>61</v>
      </c>
      <c r="F374" s="3">
        <v>45747.492893518523</v>
      </c>
      <c r="G374" s="3">
        <v>45747.574571759258</v>
      </c>
      <c r="H374" s="4">
        <v>45782</v>
      </c>
      <c r="I374" s="2" t="s">
        <v>21</v>
      </c>
      <c r="J374" s="2" t="s">
        <v>51</v>
      </c>
      <c r="K374" s="2">
        <v>0.69828295020834585</v>
      </c>
      <c r="L374" s="2">
        <v>3654.650309360366</v>
      </c>
      <c r="M374" s="2">
        <v>0</v>
      </c>
      <c r="N374" s="2">
        <v>2551.98</v>
      </c>
      <c r="O374" s="2">
        <v>2551.98</v>
      </c>
      <c r="P374" s="2"/>
      <c r="Q374" s="2">
        <v>2551.98</v>
      </c>
      <c r="R374" s="2" t="s">
        <v>44</v>
      </c>
      <c r="S374" s="2"/>
      <c r="T374" s="2">
        <f t="shared" si="115"/>
        <v>1</v>
      </c>
      <c r="U374" s="18">
        <f t="shared" si="116"/>
        <v>3</v>
      </c>
      <c r="V374" s="18">
        <f t="shared" si="117"/>
        <v>2025</v>
      </c>
      <c r="W374" s="18">
        <f t="shared" si="118"/>
        <v>6</v>
      </c>
      <c r="X374" s="18">
        <f t="shared" si="119"/>
        <v>2025</v>
      </c>
      <c r="Y374" s="2">
        <f t="shared" si="112"/>
        <v>0.69828295020834574</v>
      </c>
      <c r="Z374" t="str">
        <f t="shared" si="113"/>
        <v>SO16865</v>
      </c>
      <c r="AA374" s="11">
        <f t="shared" si="120"/>
        <v>45747.492893518523</v>
      </c>
      <c r="AB374" s="5" t="str">
        <f t="shared" si="121"/>
        <v>INV12857</v>
      </c>
      <c r="AC374" s="5" t="str">
        <f>IFERROR(VLOOKUP(D374,CAARStatus!$A$2:$AA$1600,22,FALSE),"Not invoiced")</f>
        <v>Paid</v>
      </c>
      <c r="AD374" s="11">
        <f>IF(AC374="Paid",IFERROR(VLOOKUP(D374,CAARStatus!$A$2:$AA$1600,6,FALSE),"Pending"),"Pending")</f>
        <v>45822</v>
      </c>
      <c r="AE374" s="5" t="str">
        <f t="shared" si="122"/>
        <v>PONV-25-0705</v>
      </c>
      <c r="AF374" s="5" t="str">
        <f t="shared" si="123"/>
        <v>Tech-Flow</v>
      </c>
      <c r="AG374" s="5" t="str">
        <f t="shared" si="124"/>
        <v>USD</v>
      </c>
      <c r="AH374" s="5">
        <f t="shared" si="125"/>
        <v>3654.6503093603656</v>
      </c>
      <c r="AI374" s="12">
        <f>IF(L374-N374=0,VLOOKUP(U374,rate!A$4:B$15,2,FALSE)*AH374,IF(AG374="USD",O374,AH374*Y374))</f>
        <v>2551.98</v>
      </c>
      <c r="AJ374" s="13">
        <f t="shared" si="126"/>
        <v>0.69828295020834585</v>
      </c>
      <c r="AK374" s="13">
        <f>-IF(AG374="CAD",IFERROR(VLOOKUP(D374,CAARStatus!$A$1:$Y$1600,16,FALSE),0),0)</f>
        <v>0</v>
      </c>
      <c r="AL374" s="13">
        <f>-IF(AG374="USD",IFERROR(VLOOKUP(D374,CAARStatus!$A$1:$Y$1600,11,FALSE),0),0)</f>
        <v>-2551.98</v>
      </c>
      <c r="AM374" s="22" t="str">
        <f t="shared" si="127"/>
        <v/>
      </c>
      <c r="AN374" s="12">
        <f t="shared" si="128"/>
        <v>0</v>
      </c>
      <c r="AO374" s="12" t="str">
        <f t="shared" si="129"/>
        <v>Yes</v>
      </c>
      <c r="AP374" t="str">
        <f t="shared" si="114"/>
        <v>Yes</v>
      </c>
      <c r="AQ374" t="str">
        <f>IFERROR(VLOOKUP(Z374,InvBal!$L$4:$P$600,4,FALSE),"Pend")</f>
        <v>Pend</v>
      </c>
      <c r="AR374" t="str">
        <f>IFERROR(VLOOKUP(D374,Manual!$C$1:$E$22,2,FALSE),"Pend")</f>
        <v>Pend</v>
      </c>
      <c r="AS374" t="str">
        <f t="shared" si="130"/>
        <v>Yes</v>
      </c>
      <c r="AT374" t="str">
        <f t="shared" si="131"/>
        <v>Yes</v>
      </c>
      <c r="AU374" s="51" t="str">
        <f t="shared" si="132"/>
        <v>Yes</v>
      </c>
      <c r="AV374" s="12">
        <f>IFERROR(VLOOKUP(D374,'Receivable Invoice Detail'!$S$1:$U$3014,3,FALSE),0)</f>
        <v>0</v>
      </c>
      <c r="AW374" s="12">
        <f t="shared" si="133"/>
        <v>2551.98</v>
      </c>
    </row>
    <row r="375" spans="1:49" ht="30" x14ac:dyDescent="0.25">
      <c r="A375" s="2">
        <v>1</v>
      </c>
      <c r="B375" s="2" t="s">
        <v>1637</v>
      </c>
      <c r="C375" s="2" t="s">
        <v>1638</v>
      </c>
      <c r="D375" s="2" t="s">
        <v>2633</v>
      </c>
      <c r="E375" s="2" t="s">
        <v>20</v>
      </c>
      <c r="F375" s="3">
        <v>45747.503194444442</v>
      </c>
      <c r="G375" s="3">
        <v>45755.677291666667</v>
      </c>
      <c r="H375" s="4">
        <v>45756</v>
      </c>
      <c r="I375" s="2" t="s">
        <v>21</v>
      </c>
      <c r="J375" s="2" t="s">
        <v>22</v>
      </c>
      <c r="K375" s="2">
        <v>1</v>
      </c>
      <c r="L375" s="2">
        <v>656.71</v>
      </c>
      <c r="M375" s="2">
        <v>0</v>
      </c>
      <c r="N375" s="2">
        <v>462.40395979196501</v>
      </c>
      <c r="O375" s="2">
        <v>625.44000000000005</v>
      </c>
      <c r="P375" s="2">
        <v>31.27</v>
      </c>
      <c r="Q375" s="2">
        <v>656.71</v>
      </c>
      <c r="R375" s="2" t="s">
        <v>44</v>
      </c>
      <c r="S375" s="2"/>
      <c r="T375" s="2">
        <f t="shared" si="115"/>
        <v>1</v>
      </c>
      <c r="U375" s="18">
        <f t="shared" si="116"/>
        <v>3</v>
      </c>
      <c r="V375" s="18">
        <f t="shared" si="117"/>
        <v>2025</v>
      </c>
      <c r="W375" s="18">
        <f t="shared" si="118"/>
        <v>6</v>
      </c>
      <c r="X375" s="18">
        <f t="shared" si="119"/>
        <v>2025</v>
      </c>
      <c r="Y375" s="2">
        <f t="shared" si="112"/>
        <v>0.70412200178460049</v>
      </c>
      <c r="Z375" t="str">
        <f t="shared" si="113"/>
        <v>SO16866</v>
      </c>
      <c r="AA375" s="11">
        <f t="shared" si="120"/>
        <v>45747.503194444442</v>
      </c>
      <c r="AB375" s="5" t="str">
        <f t="shared" si="121"/>
        <v>INV12882</v>
      </c>
      <c r="AC375" s="5" t="str">
        <f>IFERROR(VLOOKUP(D375,CAARStatus!$A$2:$AA$1600,22,FALSE),"Not invoiced")</f>
        <v>Paid</v>
      </c>
      <c r="AD375" s="11">
        <f>IF(AC375="Paid",IFERROR(VLOOKUP(D375,CAARStatus!$A$2:$AA$1600,6,FALSE),"Pending"),"Pending")</f>
        <v>45817</v>
      </c>
      <c r="AE375" s="5" t="str">
        <f t="shared" si="122"/>
        <v>4500588862</v>
      </c>
      <c r="AF375" s="5" t="str">
        <f t="shared" si="123"/>
        <v>Resolute Forest Products - Saint-Felicien</v>
      </c>
      <c r="AG375" s="5" t="str">
        <f t="shared" si="124"/>
        <v>CAD</v>
      </c>
      <c r="AH375" s="5">
        <f t="shared" si="125"/>
        <v>625.44000000000005</v>
      </c>
      <c r="AI375" s="12">
        <f>IF(L375-N375=0,VLOOKUP(U375,rate!A$4:B$15,2,FALSE)*AH375,IF(AG375="USD",O375,AH375*Y375))</f>
        <v>440.38606479616055</v>
      </c>
      <c r="AJ375" s="13">
        <f t="shared" si="126"/>
        <v>0.70412200178460049</v>
      </c>
      <c r="AK375" s="13">
        <f>-IF(AG375="CAD",IFERROR(VLOOKUP(D375,CAARStatus!$A$1:$Y$1600,16,FALSE),0),0)</f>
        <v>-625.44000000000005</v>
      </c>
      <c r="AL375" s="13">
        <f>-IF(AG375="USD",IFERROR(VLOOKUP(D375,CAARStatus!$A$1:$Y$1600,11,FALSE),0),0)</f>
        <v>0</v>
      </c>
      <c r="AM375" s="22">
        <f t="shared" si="127"/>
        <v>0</v>
      </c>
      <c r="AN375" s="12" t="str">
        <f t="shared" si="128"/>
        <v/>
      </c>
      <c r="AO375" s="12" t="str">
        <f t="shared" si="129"/>
        <v>Yes</v>
      </c>
      <c r="AP375" t="str">
        <f t="shared" si="114"/>
        <v>Yes</v>
      </c>
      <c r="AQ375" t="str">
        <f>IFERROR(VLOOKUP(Z375,InvBal!$L$4:$P$600,4,FALSE),"Pend")</f>
        <v>Pend</v>
      </c>
      <c r="AR375" t="str">
        <f>IFERROR(VLOOKUP(D375,Manual!$C$1:$E$22,2,FALSE),"Pend")</f>
        <v>Pend</v>
      </c>
      <c r="AS375" t="str">
        <f t="shared" si="130"/>
        <v>Yes</v>
      </c>
      <c r="AT375" t="str">
        <f t="shared" si="131"/>
        <v>Yes</v>
      </c>
      <c r="AU375" s="51" t="str">
        <f t="shared" si="132"/>
        <v>Yes</v>
      </c>
      <c r="AV375" s="12">
        <f>IFERROR(VLOOKUP(D375,'Receivable Invoice Detail'!$S$1:$U$3014,3,FALSE),0)</f>
        <v>0</v>
      </c>
      <c r="AW375" s="12">
        <f t="shared" si="133"/>
        <v>440.38606479616055</v>
      </c>
    </row>
    <row r="376" spans="1:49" ht="30" x14ac:dyDescent="0.25">
      <c r="A376" s="2">
        <v>1</v>
      </c>
      <c r="B376" s="2" t="s">
        <v>1695</v>
      </c>
      <c r="C376" s="2" t="s">
        <v>1696</v>
      </c>
      <c r="D376" s="2" t="s">
        <v>2599</v>
      </c>
      <c r="E376" s="2" t="s">
        <v>20</v>
      </c>
      <c r="F376" s="3">
        <v>45747.510763888888</v>
      </c>
      <c r="G376" s="3">
        <v>45747.516736111109</v>
      </c>
      <c r="H376" s="4">
        <v>45749</v>
      </c>
      <c r="I376" s="2" t="s">
        <v>21</v>
      </c>
      <c r="J376" s="2" t="s">
        <v>22</v>
      </c>
      <c r="K376" s="2">
        <v>1</v>
      </c>
      <c r="L376" s="2">
        <v>316.85000000000002</v>
      </c>
      <c r="M376" s="2">
        <v>0</v>
      </c>
      <c r="N376" s="2">
        <v>220.7670064576337</v>
      </c>
      <c r="O376" s="2">
        <v>301.76</v>
      </c>
      <c r="P376" s="2">
        <v>15.09</v>
      </c>
      <c r="Q376" s="2">
        <v>316.85000000000002</v>
      </c>
      <c r="R376" s="2" t="s">
        <v>44</v>
      </c>
      <c r="S376" s="2"/>
      <c r="T376" s="2">
        <f t="shared" si="115"/>
        <v>1</v>
      </c>
      <c r="U376" s="18">
        <f t="shared" si="116"/>
        <v>3</v>
      </c>
      <c r="V376" s="18">
        <f t="shared" si="117"/>
        <v>2025</v>
      </c>
      <c r="W376" s="18">
        <f t="shared" si="118"/>
        <v>5</v>
      </c>
      <c r="X376" s="18">
        <f t="shared" si="119"/>
        <v>2025</v>
      </c>
      <c r="Y376" s="2">
        <f t="shared" si="112"/>
        <v>0.69675558294976703</v>
      </c>
      <c r="Z376" t="str">
        <f t="shared" si="113"/>
        <v>SO16867</v>
      </c>
      <c r="AA376" s="11">
        <f t="shared" si="120"/>
        <v>45747.510763888888</v>
      </c>
      <c r="AB376" s="5" t="str">
        <f t="shared" si="121"/>
        <v>INV12809</v>
      </c>
      <c r="AC376" s="5" t="str">
        <f>IFERROR(VLOOKUP(D376,CAARStatus!$A$2:$AA$1600,22,FALSE),"Not invoiced")</f>
        <v>Paid</v>
      </c>
      <c r="AD376" s="11">
        <f>IF(AC376="Paid",IFERROR(VLOOKUP(D376,CAARStatus!$A$2:$AA$1600,6,FALSE),"Pending"),"Pending")</f>
        <v>45807</v>
      </c>
      <c r="AE376" s="5" t="str">
        <f t="shared" si="122"/>
        <v>4500588906</v>
      </c>
      <c r="AF376" s="5" t="str">
        <f t="shared" si="123"/>
        <v>Resolute Forest Products - Saint-Felicien</v>
      </c>
      <c r="AG376" s="5" t="str">
        <f t="shared" si="124"/>
        <v>CAD</v>
      </c>
      <c r="AH376" s="5">
        <f t="shared" si="125"/>
        <v>301.76</v>
      </c>
      <c r="AI376" s="12">
        <f>IF(L376-N376=0,VLOOKUP(U376,rate!A$4:B$15,2,FALSE)*AH376,IF(AG376="USD",O376,AH376*Y376))</f>
        <v>210.2529647109217</v>
      </c>
      <c r="AJ376" s="13">
        <f t="shared" si="126"/>
        <v>0.69675558294976703</v>
      </c>
      <c r="AK376" s="13">
        <f>-IF(AG376="CAD",IFERROR(VLOOKUP(D376,CAARStatus!$A$1:$Y$1600,16,FALSE),0),0)</f>
        <v>-301.76</v>
      </c>
      <c r="AL376" s="13">
        <f>-IF(AG376="USD",IFERROR(VLOOKUP(D376,CAARStatus!$A$1:$Y$1600,11,FALSE),0),0)</f>
        <v>0</v>
      </c>
      <c r="AM376" s="22">
        <f t="shared" si="127"/>
        <v>0</v>
      </c>
      <c r="AN376" s="12" t="str">
        <f t="shared" si="128"/>
        <v/>
      </c>
      <c r="AO376" s="12" t="str">
        <f t="shared" si="129"/>
        <v>Yes</v>
      </c>
      <c r="AP376" t="str">
        <f t="shared" si="114"/>
        <v>Yes</v>
      </c>
      <c r="AQ376" t="str">
        <f>IFERROR(VLOOKUP(Z376,InvBal!$L$4:$P$600,4,FALSE),"Pend")</f>
        <v>Pend</v>
      </c>
      <c r="AR376" t="str">
        <f>IFERROR(VLOOKUP(D376,Manual!$C$1:$E$22,2,FALSE),"Pend")</f>
        <v>Pend</v>
      </c>
      <c r="AS376" t="str">
        <f t="shared" si="130"/>
        <v>Yes</v>
      </c>
      <c r="AT376" t="str">
        <f t="shared" si="131"/>
        <v>Yes</v>
      </c>
      <c r="AU376" s="51" t="str">
        <f t="shared" si="132"/>
        <v>Yes</v>
      </c>
      <c r="AV376" s="12">
        <f>IFERROR(VLOOKUP(D376,'Receivable Invoice Detail'!$S$1:$U$3014,3,FALSE),0)</f>
        <v>0</v>
      </c>
      <c r="AW376" s="12">
        <f t="shared" si="133"/>
        <v>210.2529647109217</v>
      </c>
    </row>
    <row r="377" spans="1:49" x14ac:dyDescent="0.25">
      <c r="A377" s="2">
        <v>1</v>
      </c>
      <c r="B377" s="2" t="s">
        <v>1691</v>
      </c>
      <c r="C377" s="2" t="s">
        <v>1692</v>
      </c>
      <c r="D377" s="2" t="s">
        <v>2601</v>
      </c>
      <c r="E377" s="2" t="s">
        <v>141</v>
      </c>
      <c r="F377" s="3">
        <v>45747.547152777777</v>
      </c>
      <c r="G377" s="3">
        <v>45747.548171296286</v>
      </c>
      <c r="H377" s="4">
        <v>45748</v>
      </c>
      <c r="I377" s="2" t="s">
        <v>21</v>
      </c>
      <c r="J377" s="2" t="s">
        <v>51</v>
      </c>
      <c r="K377" s="2">
        <v>0.69828295020834585</v>
      </c>
      <c r="L377" s="2">
        <v>416.39281026874028</v>
      </c>
      <c r="M377" s="2">
        <v>0</v>
      </c>
      <c r="N377" s="2">
        <v>290.76</v>
      </c>
      <c r="O377" s="2">
        <v>290.76</v>
      </c>
      <c r="P377" s="2"/>
      <c r="Q377" s="2">
        <v>290.76</v>
      </c>
      <c r="R377" s="2" t="s">
        <v>44</v>
      </c>
      <c r="S377" s="2"/>
      <c r="T377" s="2">
        <f t="shared" si="115"/>
        <v>1</v>
      </c>
      <c r="U377" s="18">
        <f t="shared" si="116"/>
        <v>3</v>
      </c>
      <c r="V377" s="18">
        <f t="shared" si="117"/>
        <v>2025</v>
      </c>
      <c r="W377" s="18">
        <f t="shared" si="118"/>
        <v>6</v>
      </c>
      <c r="X377" s="18">
        <f t="shared" si="119"/>
        <v>2025</v>
      </c>
      <c r="Y377" s="2">
        <f t="shared" si="112"/>
        <v>0.69828295020834585</v>
      </c>
      <c r="Z377" t="str">
        <f t="shared" si="113"/>
        <v>SO16868</v>
      </c>
      <c r="AA377" s="11">
        <f t="shared" si="120"/>
        <v>45747.547152777777</v>
      </c>
      <c r="AB377" s="5" t="str">
        <f t="shared" si="121"/>
        <v>INV12885</v>
      </c>
      <c r="AC377" s="5" t="str">
        <f>IFERROR(VLOOKUP(D377,CAARStatus!$A$2:$AA$1600,22,FALSE),"Not invoiced")</f>
        <v>Paid</v>
      </c>
      <c r="AD377" s="11">
        <f>IF(AC377="Paid",IFERROR(VLOOKUP(D377,CAARStatus!$A$2:$AA$1600,6,FALSE),"Pending"),"Pending")</f>
        <v>45813</v>
      </c>
      <c r="AE377" s="5" t="str">
        <f t="shared" si="122"/>
        <v>4511745974</v>
      </c>
      <c r="AF377" s="5" t="str">
        <f t="shared" si="123"/>
        <v>PT Vale Indonesia Tbk.</v>
      </c>
      <c r="AG377" s="5" t="str">
        <f t="shared" si="124"/>
        <v>USD</v>
      </c>
      <c r="AH377" s="5">
        <f t="shared" si="125"/>
        <v>416.39281026874033</v>
      </c>
      <c r="AI377" s="12">
        <f>IF(L377-N377=0,VLOOKUP(U377,rate!A$4:B$15,2,FALSE)*AH377,IF(AG377="USD",O377,AH377*Y377))</f>
        <v>290.76</v>
      </c>
      <c r="AJ377" s="13">
        <f t="shared" si="126"/>
        <v>0.69828295020834585</v>
      </c>
      <c r="AK377" s="13">
        <f>-IF(AG377="CAD",IFERROR(VLOOKUP(D377,CAARStatus!$A$1:$Y$1600,16,FALSE),0),0)</f>
        <v>0</v>
      </c>
      <c r="AL377" s="13">
        <f>-IF(AG377="USD",IFERROR(VLOOKUP(D377,CAARStatus!$A$1:$Y$1600,11,FALSE),0),0)</f>
        <v>-290.76</v>
      </c>
      <c r="AM377" s="22" t="str">
        <f t="shared" si="127"/>
        <v/>
      </c>
      <c r="AN377" s="12">
        <f t="shared" si="128"/>
        <v>0</v>
      </c>
      <c r="AO377" s="12" t="str">
        <f t="shared" si="129"/>
        <v>Yes</v>
      </c>
      <c r="AP377" t="str">
        <f t="shared" si="114"/>
        <v>Yes</v>
      </c>
      <c r="AQ377" t="str">
        <f>IFERROR(VLOOKUP(Z377,InvBal!$L$4:$P$600,4,FALSE),"Pend")</f>
        <v>Pend</v>
      </c>
      <c r="AR377" t="str">
        <f>IFERROR(VLOOKUP(D377,Manual!$C$1:$E$22,2,FALSE),"Pend")</f>
        <v>Pend</v>
      </c>
      <c r="AS377" t="str">
        <f t="shared" si="130"/>
        <v>Yes</v>
      </c>
      <c r="AT377" t="str">
        <f t="shared" si="131"/>
        <v>Yes</v>
      </c>
      <c r="AU377" s="51" t="str">
        <f t="shared" si="132"/>
        <v>Yes</v>
      </c>
      <c r="AV377" s="12">
        <f>IFERROR(VLOOKUP(D377,'Receivable Invoice Detail'!$S$1:$U$3014,3,FALSE),0)</f>
        <v>0</v>
      </c>
      <c r="AW377" s="12">
        <f t="shared" si="133"/>
        <v>290.76</v>
      </c>
    </row>
    <row r="378" spans="1:49" x14ac:dyDescent="0.25">
      <c r="A378" s="2">
        <v>1</v>
      </c>
      <c r="B378" s="2" t="s">
        <v>1679</v>
      </c>
      <c r="C378" s="2" t="s">
        <v>1680</v>
      </c>
      <c r="D378" s="2" t="s">
        <v>2608</v>
      </c>
      <c r="E378" s="2" t="s">
        <v>239</v>
      </c>
      <c r="F378" s="3">
        <v>45748.331446759257</v>
      </c>
      <c r="G378" s="3">
        <v>45748.331377314818</v>
      </c>
      <c r="H378" s="4">
        <v>45758</v>
      </c>
      <c r="I378" s="2" t="s">
        <v>180</v>
      </c>
      <c r="J378" s="2" t="s">
        <v>51</v>
      </c>
      <c r="K378" s="2">
        <v>0.69675558294976692</v>
      </c>
      <c r="L378" s="2">
        <v>20860.686811386331</v>
      </c>
      <c r="M378" s="2">
        <v>0</v>
      </c>
      <c r="N378" s="2">
        <v>14534.8</v>
      </c>
      <c r="O378" s="2">
        <v>14534.8</v>
      </c>
      <c r="P378" s="2"/>
      <c r="Q378" s="2">
        <v>14534.8</v>
      </c>
      <c r="R378" s="2" t="s">
        <v>44</v>
      </c>
      <c r="S378" s="2"/>
      <c r="T378" s="2">
        <f t="shared" si="115"/>
        <v>1</v>
      </c>
      <c r="U378" s="18">
        <f t="shared" si="116"/>
        <v>4</v>
      </c>
      <c r="V378" s="18">
        <f t="shared" si="117"/>
        <v>2025</v>
      </c>
      <c r="W378" s="18">
        <f t="shared" si="118"/>
        <v>5</v>
      </c>
      <c r="X378" s="18">
        <f t="shared" si="119"/>
        <v>2025</v>
      </c>
      <c r="Y378" s="2">
        <f t="shared" si="112"/>
        <v>0.69675558294976703</v>
      </c>
      <c r="Z378" t="str">
        <f t="shared" si="113"/>
        <v>SO16870</v>
      </c>
      <c r="AA378" s="11">
        <f t="shared" si="120"/>
        <v>45748.331446759257</v>
      </c>
      <c r="AB378" s="5" t="str">
        <f t="shared" si="121"/>
        <v>INV12871</v>
      </c>
      <c r="AC378" s="5" t="str">
        <f>IFERROR(VLOOKUP(D378,CAARStatus!$A$2:$AA$1600,22,FALSE),"Not invoiced")</f>
        <v>Paid</v>
      </c>
      <c r="AD378" s="11">
        <f>IF(AC378="Paid",IFERROR(VLOOKUP(D378,CAARStatus!$A$2:$AA$1600,6,FALSE),"Pending"),"Pending")</f>
        <v>45806</v>
      </c>
      <c r="AE378" s="5" t="str">
        <f t="shared" si="122"/>
        <v>1045</v>
      </c>
      <c r="AF378" s="5" t="str">
        <f t="shared" si="123"/>
        <v>Mill-Right Mine Services Inc.</v>
      </c>
      <c r="AG378" s="5" t="str">
        <f t="shared" si="124"/>
        <v>USD</v>
      </c>
      <c r="AH378" s="5">
        <f t="shared" si="125"/>
        <v>20860.686811386335</v>
      </c>
      <c r="AI378" s="12">
        <f>IF(L378-N378=0,VLOOKUP(U378,rate!A$4:B$15,2,FALSE)*AH378,IF(AG378="USD",O378,AH378*Y378))</f>
        <v>14534.8</v>
      </c>
      <c r="AJ378" s="13">
        <f t="shared" si="126"/>
        <v>0.69675558294976692</v>
      </c>
      <c r="AK378" s="13">
        <f>-IF(AG378="CAD",IFERROR(VLOOKUP(D378,CAARStatus!$A$1:$Y$1600,16,FALSE),0),0)</f>
        <v>0</v>
      </c>
      <c r="AL378" s="13">
        <f>-IF(AG378="USD",IFERROR(VLOOKUP(D378,CAARStatus!$A$1:$Y$1600,11,FALSE),0),0)</f>
        <v>-14534.8</v>
      </c>
      <c r="AM378" s="22" t="str">
        <f t="shared" si="127"/>
        <v/>
      </c>
      <c r="AN378" s="12">
        <f t="shared" si="128"/>
        <v>0</v>
      </c>
      <c r="AO378" s="12" t="str">
        <f t="shared" si="129"/>
        <v>Yes</v>
      </c>
      <c r="AP378" t="str">
        <f t="shared" si="114"/>
        <v>Yes</v>
      </c>
      <c r="AQ378" t="str">
        <f>IFERROR(VLOOKUP(Z378,InvBal!$L$4:$P$600,4,FALSE),"Pend")</f>
        <v>Pend</v>
      </c>
      <c r="AR378" t="str">
        <f>IFERROR(VLOOKUP(D378,Manual!$C$1:$E$22,2,FALSE),"Pend")</f>
        <v>Pend</v>
      </c>
      <c r="AS378" t="str">
        <f t="shared" si="130"/>
        <v>Yes</v>
      </c>
      <c r="AT378" t="str">
        <f t="shared" si="131"/>
        <v>Yes</v>
      </c>
      <c r="AU378" s="51" t="str">
        <f t="shared" si="132"/>
        <v>Yes</v>
      </c>
      <c r="AV378" s="12">
        <f>IFERROR(VLOOKUP(D378,'Receivable Invoice Detail'!$S$1:$U$3014,3,FALSE),0)</f>
        <v>0</v>
      </c>
      <c r="AW378" s="12">
        <f t="shared" si="133"/>
        <v>14534.8</v>
      </c>
    </row>
    <row r="379" spans="1:49" x14ac:dyDescent="0.25">
      <c r="A379" s="2">
        <v>2</v>
      </c>
      <c r="B379" s="2" t="s">
        <v>1469</v>
      </c>
      <c r="C379" s="2" t="s">
        <v>1470</v>
      </c>
      <c r="D379" s="2" t="s">
        <v>2731</v>
      </c>
      <c r="E379" s="2" t="s">
        <v>149</v>
      </c>
      <c r="F379" s="3">
        <v>45748.382002314807</v>
      </c>
      <c r="G379" s="3">
        <v>45783.373298611114</v>
      </c>
      <c r="H379" s="4">
        <v>45902</v>
      </c>
      <c r="I379" s="2" t="s">
        <v>21</v>
      </c>
      <c r="J379" s="2" t="s">
        <v>51</v>
      </c>
      <c r="K379" s="2">
        <v>0.72216450455647252</v>
      </c>
      <c r="L379" s="2">
        <v>8484.1057146154453</v>
      </c>
      <c r="M379" s="2">
        <v>0</v>
      </c>
      <c r="N379" s="2">
        <v>6126.92</v>
      </c>
      <c r="O379" s="2">
        <v>6126.92</v>
      </c>
      <c r="P379" s="2"/>
      <c r="Q379" s="2">
        <v>6126.92</v>
      </c>
      <c r="R379" s="2" t="s">
        <v>44</v>
      </c>
      <c r="S379" s="2"/>
      <c r="T379" s="2">
        <f t="shared" si="115"/>
        <v>2</v>
      </c>
      <c r="U379" s="18">
        <f t="shared" si="116"/>
        <v>4</v>
      </c>
      <c r="V379" s="18">
        <f t="shared" si="117"/>
        <v>2025</v>
      </c>
      <c r="W379" s="18">
        <f t="shared" si="118"/>
        <v>6</v>
      </c>
      <c r="X379" s="18">
        <f t="shared" si="119"/>
        <v>2025</v>
      </c>
      <c r="Y379" s="2">
        <f t="shared" si="112"/>
        <v>0.72216450455647252</v>
      </c>
      <c r="Z379" t="str">
        <f t="shared" si="113"/>
        <v>SO16874</v>
      </c>
      <c r="AA379" s="11">
        <f t="shared" si="120"/>
        <v>45748.382002314807</v>
      </c>
      <c r="AB379" s="5" t="str">
        <f t="shared" si="121"/>
        <v>INV12963</v>
      </c>
      <c r="AC379" s="5" t="str">
        <f>IFERROR(VLOOKUP(D379,CAARStatus!$A$2:$AA$1600,22,FALSE),"Not invoiced")</f>
        <v>Paid</v>
      </c>
      <c r="AD379" s="11">
        <f>IF(AC379="Paid",IFERROR(VLOOKUP(D379,CAARStatus!$A$2:$AA$1600,6,FALSE),"Pending"),"Pending")</f>
        <v>45822</v>
      </c>
      <c r="AE379" s="5" t="str">
        <f t="shared" si="122"/>
        <v>PO-0020176</v>
      </c>
      <c r="AF379" s="5" t="str">
        <f t="shared" si="123"/>
        <v>MAB Equipment Company Inc.</v>
      </c>
      <c r="AG379" s="5" t="str">
        <f t="shared" si="124"/>
        <v>USD</v>
      </c>
      <c r="AH379" s="5">
        <f t="shared" si="125"/>
        <v>8484.1057146154453</v>
      </c>
      <c r="AI379" s="12">
        <f>IF(L379-N379=0,VLOOKUP(U379,rate!A$4:B$15,2,FALSE)*AH379,IF(AG379="USD",O379,AH379*Y379))</f>
        <v>6126.92</v>
      </c>
      <c r="AJ379" s="13">
        <f t="shared" si="126"/>
        <v>0.72216450455647252</v>
      </c>
      <c r="AK379" s="13">
        <f>-IF(AG379="CAD",IFERROR(VLOOKUP(D379,CAARStatus!$A$1:$Y$1600,16,FALSE),0),0)</f>
        <v>0</v>
      </c>
      <c r="AL379" s="13">
        <f>-IF(AG379="USD",IFERROR(VLOOKUP(D379,CAARStatus!$A$1:$Y$1600,11,FALSE),0),0)</f>
        <v>-2779.5</v>
      </c>
      <c r="AM379" s="22" t="str">
        <f t="shared" si="127"/>
        <v/>
      </c>
      <c r="AN379" s="12">
        <f t="shared" si="128"/>
        <v>3347.42</v>
      </c>
      <c r="AO379" s="12" t="str">
        <f t="shared" si="129"/>
        <v>Yes</v>
      </c>
      <c r="AP379" t="str">
        <f t="shared" si="114"/>
        <v>XX</v>
      </c>
      <c r="AQ379" t="str">
        <f>IFERROR(VLOOKUP(Z379,InvBal!$L$4:$P$600,4,FALSE),"Pend")</f>
        <v>Yes</v>
      </c>
      <c r="AR379" t="str">
        <f>IFERROR(VLOOKUP(D379,Manual!$C$1:$E$22,2,FALSE),"Pend")</f>
        <v>Pend</v>
      </c>
      <c r="AS379" t="str">
        <f t="shared" si="130"/>
        <v>Yes</v>
      </c>
      <c r="AT379" t="str">
        <f t="shared" si="131"/>
        <v>Yes</v>
      </c>
      <c r="AU379" s="51" t="str">
        <f t="shared" si="132"/>
        <v>Yes</v>
      </c>
      <c r="AV379" s="12">
        <f>IFERROR(VLOOKUP(D379,'Receivable Invoice Detail'!$S$1:$U$3014,3,FALSE),0)</f>
        <v>695</v>
      </c>
      <c r="AW379" s="12">
        <f t="shared" si="133"/>
        <v>5431.92</v>
      </c>
    </row>
    <row r="380" spans="1:49" x14ac:dyDescent="0.25">
      <c r="A380" s="2"/>
      <c r="B380" s="2"/>
      <c r="C380" s="2"/>
      <c r="D380" s="2" t="s">
        <v>2730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>
        <f t="shared" si="115"/>
        <v>2</v>
      </c>
      <c r="U380" s="18">
        <f t="shared" si="116"/>
        <v>4</v>
      </c>
      <c r="V380" s="18">
        <f t="shared" si="117"/>
        <v>2025</v>
      </c>
      <c r="W380" s="18">
        <f t="shared" si="118"/>
        <v>9</v>
      </c>
      <c r="X380" s="18">
        <f t="shared" si="119"/>
        <v>2025</v>
      </c>
      <c r="Y380" s="2">
        <f t="shared" si="112"/>
        <v>0.72216450455647252</v>
      </c>
      <c r="Z380" t="str">
        <f t="shared" si="113"/>
        <v>SO16874</v>
      </c>
      <c r="AA380" s="11">
        <f t="shared" si="120"/>
        <v>45748.382002314807</v>
      </c>
      <c r="AB380" s="5" t="str">
        <f t="shared" si="121"/>
        <v>INV13301</v>
      </c>
      <c r="AC380" s="5" t="str">
        <f>IFERROR(VLOOKUP(D380,CAARStatus!$A$2:$AA$1600,22,FALSE),"Not invoiced")</f>
        <v>Paid</v>
      </c>
      <c r="AD380" s="11">
        <f>IF(AC380="Paid",IFERROR(VLOOKUP(D380,CAARStatus!$A$2:$AA$1600,6,FALSE),"Pending"),"Pending")</f>
        <v>45913</v>
      </c>
      <c r="AE380" s="5" t="str">
        <f t="shared" si="122"/>
        <v>PO-0020176</v>
      </c>
      <c r="AF380" s="5" t="str">
        <f t="shared" si="123"/>
        <v>MAB Equipment Company Inc.</v>
      </c>
      <c r="AG380" s="5" t="str">
        <f t="shared" si="124"/>
        <v>USD</v>
      </c>
      <c r="AH380" s="5">
        <f t="shared" si="125"/>
        <v>0</v>
      </c>
      <c r="AI380" s="12">
        <f>IF(L380-N380=0,VLOOKUP(U380,rate!A$4:B$15,2,FALSE)*AH380,IF(AG380="USD",O380,AH380*Y380))</f>
        <v>0</v>
      </c>
      <c r="AJ380" s="13">
        <f t="shared" si="126"/>
        <v>0</v>
      </c>
      <c r="AK380" s="13">
        <f>-IF(AG380="CAD",IFERROR(VLOOKUP(D380,CAARStatus!$A$1:$Y$1600,16,FALSE),0),0)</f>
        <v>0</v>
      </c>
      <c r="AL380" s="13">
        <f>-IF(AG380="USD",IFERROR(VLOOKUP(D380,CAARStatus!$A$1:$Y$1600,11,FALSE),0),0)</f>
        <v>-3347.42</v>
      </c>
      <c r="AM380" s="22" t="str">
        <f t="shared" si="127"/>
        <v/>
      </c>
      <c r="AN380" s="12">
        <f t="shared" si="128"/>
        <v>-3347.42</v>
      </c>
      <c r="AO380" s="12" t="str">
        <f t="shared" si="129"/>
        <v>Yes</v>
      </c>
      <c r="AP380" t="str">
        <f t="shared" si="114"/>
        <v>XX</v>
      </c>
      <c r="AQ380" t="str">
        <f>IFERROR(VLOOKUP(Z380,InvBal!$L$4:$P$600,4,FALSE),"Pend")</f>
        <v>Yes</v>
      </c>
      <c r="AR380" t="str">
        <f>IFERROR(VLOOKUP(D380,Manual!$C$1:$E$22,2,FALSE),"Pend")</f>
        <v>Pend</v>
      </c>
      <c r="AS380" t="str">
        <f t="shared" si="130"/>
        <v>Yes</v>
      </c>
      <c r="AT380" t="str">
        <f t="shared" si="131"/>
        <v/>
      </c>
      <c r="AU380" s="51" t="str">
        <f t="shared" si="132"/>
        <v/>
      </c>
      <c r="AV380" s="12">
        <f>IFERROR(VLOOKUP(D380,'Receivable Invoice Detail'!$S$1:$U$3014,3,FALSE),0)</f>
        <v>698</v>
      </c>
      <c r="AW380" s="12">
        <f t="shared" si="133"/>
        <v>0</v>
      </c>
    </row>
    <row r="381" spans="1:49" ht="30" x14ac:dyDescent="0.25">
      <c r="A381" s="2">
        <v>1</v>
      </c>
      <c r="B381" s="2" t="s">
        <v>1668</v>
      </c>
      <c r="C381" s="2" t="s">
        <v>1669</v>
      </c>
      <c r="D381" s="2" t="s">
        <v>2614</v>
      </c>
      <c r="E381" s="2" t="s">
        <v>1670</v>
      </c>
      <c r="F381" s="3">
        <v>45748.419537037043</v>
      </c>
      <c r="G381" s="3">
        <v>45749.337233796286</v>
      </c>
      <c r="H381" s="4">
        <v>45772</v>
      </c>
      <c r="I381" s="2" t="s">
        <v>21</v>
      </c>
      <c r="J381" s="2" t="s">
        <v>22</v>
      </c>
      <c r="K381" s="2">
        <v>1</v>
      </c>
      <c r="L381" s="2">
        <v>1722.58</v>
      </c>
      <c r="M381" s="2">
        <v>0</v>
      </c>
      <c r="N381" s="2">
        <v>1203.736286129619</v>
      </c>
      <c r="O381" s="2">
        <v>1640.55</v>
      </c>
      <c r="P381" s="2">
        <v>82.03</v>
      </c>
      <c r="Q381" s="2">
        <v>1722.58</v>
      </c>
      <c r="R381" s="2" t="s">
        <v>44</v>
      </c>
      <c r="S381" s="2"/>
      <c r="T381" s="2">
        <f t="shared" si="115"/>
        <v>1</v>
      </c>
      <c r="U381" s="18">
        <f t="shared" si="116"/>
        <v>4</v>
      </c>
      <c r="V381" s="18">
        <f t="shared" si="117"/>
        <v>2025</v>
      </c>
      <c r="W381" s="18">
        <f t="shared" si="118"/>
        <v>4</v>
      </c>
      <c r="X381" s="18">
        <f t="shared" si="119"/>
        <v>2025</v>
      </c>
      <c r="Y381" s="2">
        <f t="shared" si="112"/>
        <v>0.69879848026194369</v>
      </c>
      <c r="Z381" t="str">
        <f t="shared" si="113"/>
        <v>SO16875</v>
      </c>
      <c r="AA381" s="11">
        <f t="shared" si="120"/>
        <v>45748.419537037043</v>
      </c>
      <c r="AB381" s="5" t="str">
        <f t="shared" si="121"/>
        <v>INV12906</v>
      </c>
      <c r="AC381" s="5" t="str">
        <f>IFERROR(VLOOKUP(D381,CAARStatus!$A$2:$AA$1600,22,FALSE),"Not invoiced")</f>
        <v>Paid</v>
      </c>
      <c r="AD381" s="11">
        <f>IF(AC381="Paid",IFERROR(VLOOKUP(D381,CAARStatus!$A$2:$AA$1600,6,FALSE),"Pending"),"Pending")</f>
        <v>45770</v>
      </c>
      <c r="AE381" s="5" t="str">
        <f t="shared" si="122"/>
        <v>POMPA-CA112182 - Paid in full</v>
      </c>
      <c r="AF381" s="5" t="str">
        <f t="shared" si="123"/>
        <v>Pompaction Inc.</v>
      </c>
      <c r="AG381" s="5" t="str">
        <f t="shared" si="124"/>
        <v>CAD</v>
      </c>
      <c r="AH381" s="5">
        <f t="shared" si="125"/>
        <v>1640.55</v>
      </c>
      <c r="AI381" s="12">
        <f>IF(L381-N381=0,VLOOKUP(U381,rate!A$4:B$15,2,FALSE)*AH381,IF(AG381="USD",O381,AH381*Y381))</f>
        <v>1146.4138467937316</v>
      </c>
      <c r="AJ381" s="13">
        <f t="shared" si="126"/>
        <v>0.69879848026194369</v>
      </c>
      <c r="AK381" s="13">
        <f>-IF(AG381="CAD",IFERROR(VLOOKUP(D381,CAARStatus!$A$1:$Y$1600,16,FALSE),0),0)</f>
        <v>-1640.55</v>
      </c>
      <c r="AL381" s="13">
        <f>-IF(AG381="USD",IFERROR(VLOOKUP(D381,CAARStatus!$A$1:$Y$1600,11,FALSE),0),0)</f>
        <v>0</v>
      </c>
      <c r="AM381" s="22">
        <f t="shared" si="127"/>
        <v>0</v>
      </c>
      <c r="AN381" s="12" t="str">
        <f t="shared" si="128"/>
        <v/>
      </c>
      <c r="AO381" s="12" t="str">
        <f t="shared" si="129"/>
        <v>Yes</v>
      </c>
      <c r="AP381" t="str">
        <f t="shared" si="114"/>
        <v>Yes</v>
      </c>
      <c r="AQ381" t="str">
        <f>IFERROR(VLOOKUP(Z381,InvBal!$L$4:$P$600,4,FALSE),"Pend")</f>
        <v>Pend</v>
      </c>
      <c r="AR381" t="str">
        <f>IFERROR(VLOOKUP(D381,Manual!$C$1:$E$22,2,FALSE),"Pend")</f>
        <v>Pend</v>
      </c>
      <c r="AS381" t="str">
        <f t="shared" si="130"/>
        <v>Yes</v>
      </c>
      <c r="AT381" t="str">
        <f t="shared" si="131"/>
        <v>Yes</v>
      </c>
      <c r="AU381" s="51" t="str">
        <f t="shared" si="132"/>
        <v>Yes</v>
      </c>
      <c r="AV381" s="12">
        <f>IFERROR(VLOOKUP(D381,'Receivable Invoice Detail'!$S$1:$U$3014,3,FALSE),0)</f>
        <v>0</v>
      </c>
      <c r="AW381" s="12">
        <f t="shared" si="133"/>
        <v>1146.4138467937316</v>
      </c>
    </row>
    <row r="382" spans="1:49" ht="30" x14ac:dyDescent="0.25">
      <c r="A382" s="2">
        <v>1</v>
      </c>
      <c r="B382" s="2" t="s">
        <v>1673</v>
      </c>
      <c r="C382" s="2" t="s">
        <v>1674</v>
      </c>
      <c r="D382" s="2" t="s">
        <v>2612</v>
      </c>
      <c r="E382" s="2" t="s">
        <v>47</v>
      </c>
      <c r="F382" s="3">
        <v>45748.456782407397</v>
      </c>
      <c r="G382" s="3">
        <v>45748.512696759259</v>
      </c>
      <c r="H382" s="4">
        <v>45749</v>
      </c>
      <c r="I382" s="2" t="s">
        <v>21</v>
      </c>
      <c r="J382" s="2" t="s">
        <v>22</v>
      </c>
      <c r="K382" s="2">
        <v>1</v>
      </c>
      <c r="L382" s="2">
        <v>2152.54</v>
      </c>
      <c r="M382" s="2">
        <v>0</v>
      </c>
      <c r="N382" s="2">
        <v>1495.3408311028741</v>
      </c>
      <c r="O382" s="2">
        <v>1904.9</v>
      </c>
      <c r="P382" s="2">
        <v>247.64</v>
      </c>
      <c r="Q382" s="2">
        <v>2152.54</v>
      </c>
      <c r="R382" s="2" t="s">
        <v>44</v>
      </c>
      <c r="S382" s="2"/>
      <c r="T382" s="2">
        <f t="shared" si="115"/>
        <v>1</v>
      </c>
      <c r="U382" s="18">
        <f t="shared" si="116"/>
        <v>4</v>
      </c>
      <c r="V382" s="18">
        <f t="shared" si="117"/>
        <v>2025</v>
      </c>
      <c r="W382" s="18">
        <f t="shared" si="118"/>
        <v>5</v>
      </c>
      <c r="X382" s="18">
        <f t="shared" si="119"/>
        <v>2025</v>
      </c>
      <c r="Y382" s="2">
        <f t="shared" si="112"/>
        <v>0.69468666371025578</v>
      </c>
      <c r="Z382" t="str">
        <f t="shared" si="113"/>
        <v>SO16876</v>
      </c>
      <c r="AA382" s="11">
        <f t="shared" si="120"/>
        <v>45748.456782407397</v>
      </c>
      <c r="AB382" s="5" t="str">
        <f t="shared" si="121"/>
        <v>INV12815</v>
      </c>
      <c r="AC382" s="5" t="str">
        <f>IFERROR(VLOOKUP(D382,CAARStatus!$A$2:$AA$1600,22,FALSE),"Not invoiced")</f>
        <v>Paid</v>
      </c>
      <c r="AD382" s="11">
        <f>IF(AC382="Paid",IFERROR(VLOOKUP(D382,CAARStatus!$A$2:$AA$1600,6,FALSE),"Pending"),"Pending")</f>
        <v>45806</v>
      </c>
      <c r="AE382" s="5" t="str">
        <f t="shared" si="122"/>
        <v>03R19644</v>
      </c>
      <c r="AF382" s="5" t="str">
        <f t="shared" si="123"/>
        <v>Moffatt Supply &amp; Specialties - Red Lake</v>
      </c>
      <c r="AG382" s="5" t="str">
        <f t="shared" si="124"/>
        <v>CAD</v>
      </c>
      <c r="AH382" s="5">
        <f t="shared" si="125"/>
        <v>1904.9</v>
      </c>
      <c r="AI382" s="12">
        <f>IF(L382-N382=0,VLOOKUP(U382,rate!A$4:B$15,2,FALSE)*AH382,IF(AG382="USD",O382,AH382*Y382))</f>
        <v>1323.3086257016662</v>
      </c>
      <c r="AJ382" s="13">
        <f t="shared" si="126"/>
        <v>0.69468666371025567</v>
      </c>
      <c r="AK382" s="13">
        <f>-IF(AG382="CAD",IFERROR(VLOOKUP(D382,CAARStatus!$A$1:$Y$1600,16,FALSE),0),0)</f>
        <v>-1904.9</v>
      </c>
      <c r="AL382" s="13">
        <f>-IF(AG382="USD",IFERROR(VLOOKUP(D382,CAARStatus!$A$1:$Y$1600,11,FALSE),0),0)</f>
        <v>0</v>
      </c>
      <c r="AM382" s="22">
        <f t="shared" si="127"/>
        <v>0</v>
      </c>
      <c r="AN382" s="12" t="str">
        <f t="shared" si="128"/>
        <v/>
      </c>
      <c r="AO382" s="12" t="str">
        <f t="shared" si="129"/>
        <v>Yes</v>
      </c>
      <c r="AP382" t="str">
        <f t="shared" si="114"/>
        <v>Yes</v>
      </c>
      <c r="AQ382" t="str">
        <f>IFERROR(VLOOKUP(Z382,InvBal!$L$4:$P$600,4,FALSE),"Pend")</f>
        <v>Pend</v>
      </c>
      <c r="AR382" t="str">
        <f>IFERROR(VLOOKUP(D382,Manual!$C$1:$E$22,2,FALSE),"Pend")</f>
        <v>Pend</v>
      </c>
      <c r="AS382" t="str">
        <f t="shared" si="130"/>
        <v>Yes</v>
      </c>
      <c r="AT382" t="str">
        <f t="shared" si="131"/>
        <v>Yes</v>
      </c>
      <c r="AU382" s="51" t="str">
        <f t="shared" si="132"/>
        <v>Yes</v>
      </c>
      <c r="AV382" s="12">
        <f>IFERROR(VLOOKUP(D382,'Receivable Invoice Detail'!$S$1:$U$3014,3,FALSE),0)</f>
        <v>0</v>
      </c>
      <c r="AW382" s="12">
        <f t="shared" si="133"/>
        <v>1323.3086257016662</v>
      </c>
    </row>
    <row r="383" spans="1:49" ht="30" x14ac:dyDescent="0.25">
      <c r="A383" s="2">
        <v>1</v>
      </c>
      <c r="B383" s="2" t="s">
        <v>1659</v>
      </c>
      <c r="C383" s="2" t="s">
        <v>1660</v>
      </c>
      <c r="D383" s="2" t="s">
        <v>2621</v>
      </c>
      <c r="E383" s="2" t="s">
        <v>1661</v>
      </c>
      <c r="F383" s="3">
        <v>45749.37128472222</v>
      </c>
      <c r="G383" s="3">
        <v>45750.595532407409</v>
      </c>
      <c r="H383" s="4">
        <v>45778</v>
      </c>
      <c r="I383" s="2" t="s">
        <v>21</v>
      </c>
      <c r="J383" s="2" t="s">
        <v>22</v>
      </c>
      <c r="K383" s="2">
        <v>1</v>
      </c>
      <c r="L383" s="2">
        <v>228.11</v>
      </c>
      <c r="M383" s="2">
        <v>228.11</v>
      </c>
      <c r="N383" s="2">
        <v>228.11</v>
      </c>
      <c r="O383" s="2">
        <v>201.87</v>
      </c>
      <c r="P383" s="2">
        <v>26.24</v>
      </c>
      <c r="Q383" s="2">
        <v>228.11</v>
      </c>
      <c r="R383" s="2" t="s">
        <v>44</v>
      </c>
      <c r="S383" s="2"/>
      <c r="T383" s="2">
        <f t="shared" si="115"/>
        <v>1</v>
      </c>
      <c r="U383" s="18">
        <f t="shared" si="116"/>
        <v>4</v>
      </c>
      <c r="V383" s="18">
        <f t="shared" si="117"/>
        <v>2025</v>
      </c>
      <c r="W383" s="18">
        <f t="shared" si="118"/>
        <v>5</v>
      </c>
      <c r="X383" s="18">
        <f t="shared" si="119"/>
        <v>2025</v>
      </c>
      <c r="Y383" s="2">
        <f t="shared" si="112"/>
        <v>1</v>
      </c>
      <c r="Z383" t="str">
        <f t="shared" si="113"/>
        <v>SO16879</v>
      </c>
      <c r="AA383" s="11">
        <f t="shared" si="120"/>
        <v>45749.37128472222</v>
      </c>
      <c r="AB383" s="5" t="str">
        <f t="shared" si="121"/>
        <v>INV12894</v>
      </c>
      <c r="AC383" s="5" t="str">
        <f>IFERROR(VLOOKUP(D383,CAARStatus!$A$2:$AA$1600,22,FALSE),"Not invoiced")</f>
        <v>Paid</v>
      </c>
      <c r="AD383" s="11">
        <f>IF(AC383="Paid",IFERROR(VLOOKUP(D383,CAARStatus!$A$2:$AA$1600,6,FALSE),"Pending"),"Pending")</f>
        <v>45798</v>
      </c>
      <c r="AE383" s="5" t="str">
        <f t="shared" si="122"/>
        <v>ON19-00093241</v>
      </c>
      <c r="AF383" s="5" t="str">
        <f t="shared" si="123"/>
        <v>Motion Industries Inc. (Canada) - Ottawa</v>
      </c>
      <c r="AG383" s="5" t="str">
        <f t="shared" si="124"/>
        <v>CAD</v>
      </c>
      <c r="AH383" s="5">
        <f t="shared" si="125"/>
        <v>201.87</v>
      </c>
      <c r="AI383" s="12">
        <f>IF(L383-N383=0,VLOOKUP(U383,rate!A$4:B$15,2,FALSE)*AH383,IF(AG383="USD",O383,AH383*Y383))</f>
        <v>144.67251352655083</v>
      </c>
      <c r="AJ383" s="13">
        <f t="shared" si="126"/>
        <v>0.71666177998984903</v>
      </c>
      <c r="AK383" s="13">
        <f>-IF(AG383="CAD",IFERROR(VLOOKUP(D383,CAARStatus!$A$1:$Y$1600,16,FALSE),0),0)</f>
        <v>-201.87</v>
      </c>
      <c r="AL383" s="13">
        <f>-IF(AG383="USD",IFERROR(VLOOKUP(D383,CAARStatus!$A$1:$Y$1600,11,FALSE),0),0)</f>
        <v>0</v>
      </c>
      <c r="AM383" s="22">
        <f t="shared" si="127"/>
        <v>0</v>
      </c>
      <c r="AN383" s="12" t="str">
        <f t="shared" si="128"/>
        <v/>
      </c>
      <c r="AO383" s="12" t="str">
        <f t="shared" si="129"/>
        <v>Yes</v>
      </c>
      <c r="AP383" t="str">
        <f t="shared" si="114"/>
        <v>Yes</v>
      </c>
      <c r="AQ383" t="str">
        <f>IFERROR(VLOOKUP(Z383,InvBal!$L$4:$P$600,4,FALSE),"Pend")</f>
        <v>Pend</v>
      </c>
      <c r="AR383" t="str">
        <f>IFERROR(VLOOKUP(D383,Manual!$C$1:$E$22,2,FALSE),"Pend")</f>
        <v>Pend</v>
      </c>
      <c r="AS383" t="str">
        <f t="shared" si="130"/>
        <v>Yes</v>
      </c>
      <c r="AT383" t="str">
        <f t="shared" si="131"/>
        <v>Yes</v>
      </c>
      <c r="AU383" s="51" t="str">
        <f t="shared" si="132"/>
        <v>Yes</v>
      </c>
      <c r="AV383" s="12">
        <f>IFERROR(VLOOKUP(D383,'Receivable Invoice Detail'!$S$1:$U$3014,3,FALSE),0)</f>
        <v>0</v>
      </c>
      <c r="AW383" s="12">
        <f t="shared" si="133"/>
        <v>144.67251352655083</v>
      </c>
    </row>
    <row r="384" spans="1:49" ht="30" x14ac:dyDescent="0.25">
      <c r="A384" s="2">
        <v>2</v>
      </c>
      <c r="B384" s="2" t="s">
        <v>1648</v>
      </c>
      <c r="C384" s="2" t="s">
        <v>1649</v>
      </c>
      <c r="D384" s="2" t="s">
        <v>2628</v>
      </c>
      <c r="E384" s="2" t="s">
        <v>98</v>
      </c>
      <c r="F384" s="3">
        <v>45749.502812500003</v>
      </c>
      <c r="G384" s="3">
        <v>45754.57</v>
      </c>
      <c r="H384" s="4">
        <v>45782</v>
      </c>
      <c r="I384" s="2" t="s">
        <v>21</v>
      </c>
      <c r="J384" s="2" t="s">
        <v>22</v>
      </c>
      <c r="K384" s="2">
        <v>1</v>
      </c>
      <c r="L384" s="2">
        <v>5485.93</v>
      </c>
      <c r="M384" s="2">
        <v>0</v>
      </c>
      <c r="N384" s="2">
        <v>3856.4655425530709</v>
      </c>
      <c r="O384" s="2">
        <v>4854.8</v>
      </c>
      <c r="P384" s="2">
        <v>631.13</v>
      </c>
      <c r="Q384" s="2">
        <v>5485.93</v>
      </c>
      <c r="R384" s="2" t="s">
        <v>44</v>
      </c>
      <c r="S384" s="2"/>
      <c r="T384" s="2">
        <f t="shared" si="115"/>
        <v>2</v>
      </c>
      <c r="U384" s="18">
        <f t="shared" si="116"/>
        <v>4</v>
      </c>
      <c r="V384" s="18">
        <f t="shared" si="117"/>
        <v>2025</v>
      </c>
      <c r="W384" s="18">
        <f t="shared" si="118"/>
        <v>5</v>
      </c>
      <c r="X384" s="18">
        <f t="shared" si="119"/>
        <v>2025</v>
      </c>
      <c r="Y384" s="2">
        <f t="shared" si="112"/>
        <v>0.7029738882109452</v>
      </c>
      <c r="Z384" t="str">
        <f t="shared" si="113"/>
        <v>SO16881</v>
      </c>
      <c r="AA384" s="11">
        <f t="shared" si="120"/>
        <v>45749.502812500003</v>
      </c>
      <c r="AB384" s="5" t="str">
        <f t="shared" si="121"/>
        <v>INV12881</v>
      </c>
      <c r="AC384" s="5" t="str">
        <f>IFERROR(VLOOKUP(D384,CAARStatus!$A$2:$AA$1600,22,FALSE),"Not invoiced")</f>
        <v>Paid</v>
      </c>
      <c r="AD384" s="11">
        <f>IF(AC384="Paid",IFERROR(VLOOKUP(D384,CAARStatus!$A$2:$AA$1600,6,FALSE),"Pending"),"Pending")</f>
        <v>45798</v>
      </c>
      <c r="AE384" s="5" t="str">
        <f t="shared" si="122"/>
        <v>PO-007886</v>
      </c>
      <c r="AF384" s="5" t="str">
        <f t="shared" si="123"/>
        <v>Sling-Choker Manufacturing - Timmins</v>
      </c>
      <c r="AG384" s="5" t="str">
        <f t="shared" si="124"/>
        <v>CAD</v>
      </c>
      <c r="AH384" s="5">
        <f t="shared" si="125"/>
        <v>4854.8</v>
      </c>
      <c r="AI384" s="12">
        <f>IF(L384-N384=0,VLOOKUP(U384,rate!A$4:B$15,2,FALSE)*AH384,IF(AG384="USD",O384,AH384*Y384))</f>
        <v>3412.7976324864967</v>
      </c>
      <c r="AJ384" s="13">
        <f t="shared" si="126"/>
        <v>0.7029738882109452</v>
      </c>
      <c r="AK384" s="13">
        <f>-IF(AG384="CAD",IFERROR(VLOOKUP(D384,CAARStatus!$A$1:$Y$1600,16,FALSE),0),0)</f>
        <v>-3181.34</v>
      </c>
      <c r="AL384" s="13">
        <f>-IF(AG384="USD",IFERROR(VLOOKUP(D384,CAARStatus!$A$1:$Y$1600,11,FALSE),0),0)</f>
        <v>0</v>
      </c>
      <c r="AM384" s="22">
        <f t="shared" si="127"/>
        <v>1673.46</v>
      </c>
      <c r="AN384" s="12" t="str">
        <f t="shared" si="128"/>
        <v/>
      </c>
      <c r="AO384" s="12" t="str">
        <f t="shared" si="129"/>
        <v>Yes</v>
      </c>
      <c r="AP384" t="str">
        <f t="shared" si="114"/>
        <v>XX</v>
      </c>
      <c r="AQ384" t="str">
        <f>IFERROR(VLOOKUP(Z384,InvBal!$L$4:$P$600,4,FALSE),"Pend")</f>
        <v>Yes</v>
      </c>
      <c r="AR384" t="str">
        <f>IFERROR(VLOOKUP(D384,Manual!$C$1:$E$22,2,FALSE),"Pend")</f>
        <v>Pend</v>
      </c>
      <c r="AS384" t="str">
        <f t="shared" si="130"/>
        <v>Yes</v>
      </c>
      <c r="AT384" t="str">
        <f t="shared" si="131"/>
        <v>Yes</v>
      </c>
      <c r="AU384" s="51" t="str">
        <f t="shared" si="132"/>
        <v>Yes</v>
      </c>
      <c r="AV384" s="12">
        <f>IFERROR(VLOOKUP(D384,'Receivable Invoice Detail'!$S$1:$U$3014,3,FALSE),0)</f>
        <v>0</v>
      </c>
      <c r="AW384" s="12">
        <f t="shared" si="133"/>
        <v>3412.7976324864967</v>
      </c>
    </row>
    <row r="385" spans="1:49" x14ac:dyDescent="0.25">
      <c r="A385" s="2"/>
      <c r="B385" s="2"/>
      <c r="C385" s="2"/>
      <c r="D385" s="2" t="s">
        <v>2627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>
        <f t="shared" si="115"/>
        <v>2</v>
      </c>
      <c r="U385" s="18">
        <f t="shared" si="116"/>
        <v>4</v>
      </c>
      <c r="V385" s="18">
        <f t="shared" si="117"/>
        <v>2025</v>
      </c>
      <c r="W385" s="18">
        <f t="shared" si="118"/>
        <v>6</v>
      </c>
      <c r="X385" s="18">
        <f t="shared" si="119"/>
        <v>2025</v>
      </c>
      <c r="Y385" s="2">
        <f t="shared" si="112"/>
        <v>0.7029738882109452</v>
      </c>
      <c r="Z385" t="str">
        <f t="shared" si="113"/>
        <v>SO16881</v>
      </c>
      <c r="AA385" s="11">
        <f t="shared" si="120"/>
        <v>45749.502812500003</v>
      </c>
      <c r="AB385" s="5" t="str">
        <f t="shared" si="121"/>
        <v>INV13022</v>
      </c>
      <c r="AC385" s="5" t="str">
        <f>IFERROR(VLOOKUP(D385,CAARStatus!$A$2:$AA$1600,22,FALSE),"Not invoiced")</f>
        <v>Paid</v>
      </c>
      <c r="AD385" s="11">
        <f>IF(AC385="Paid",IFERROR(VLOOKUP(D385,CAARStatus!$A$2:$AA$1600,6,FALSE),"Pending"),"Pending")</f>
        <v>45833</v>
      </c>
      <c r="AE385" s="5" t="str">
        <f t="shared" si="122"/>
        <v>PO-007886</v>
      </c>
      <c r="AF385" s="5" t="str">
        <f t="shared" si="123"/>
        <v>Sling-Choker Manufacturing - Timmins</v>
      </c>
      <c r="AG385" s="5" t="str">
        <f t="shared" si="124"/>
        <v>CAD</v>
      </c>
      <c r="AH385" s="5">
        <f t="shared" si="125"/>
        <v>0</v>
      </c>
      <c r="AI385" s="12">
        <f>IF(L385-N385=0,VLOOKUP(U385,rate!A$4:B$15,2,FALSE)*AH385,IF(AG385="USD",O385,AH385*Y385))</f>
        <v>0</v>
      </c>
      <c r="AJ385" s="13">
        <f t="shared" si="126"/>
        <v>0</v>
      </c>
      <c r="AK385" s="61">
        <f>-IF(AG385="CAD",IFERROR(VLOOKUP(D385,CAARStatus!$A$1:$Y$1600,16,FALSE),0),0)</f>
        <v>-1673.46</v>
      </c>
      <c r="AL385" s="13">
        <f>-IF(AG385="USD",IFERROR(VLOOKUP(D385,CAARStatus!$A$1:$Y$1600,11,FALSE),0),0)</f>
        <v>0</v>
      </c>
      <c r="AM385" s="22">
        <f t="shared" si="127"/>
        <v>-1673.46</v>
      </c>
      <c r="AN385" s="12" t="str">
        <f t="shared" si="128"/>
        <v/>
      </c>
      <c r="AO385" s="12" t="str">
        <f t="shared" si="129"/>
        <v>Yes</v>
      </c>
      <c r="AP385" t="str">
        <f t="shared" si="114"/>
        <v>XX</v>
      </c>
      <c r="AQ385" t="str">
        <f>IFERROR(VLOOKUP(Z385,InvBal!$L$4:$P$600,4,FALSE),"Pend")</f>
        <v>Yes</v>
      </c>
      <c r="AR385" t="str">
        <f>IFERROR(VLOOKUP(D385,Manual!$C$1:$E$22,2,FALSE),"Pend")</f>
        <v>Pend</v>
      </c>
      <c r="AS385" t="str">
        <f t="shared" si="130"/>
        <v>Yes</v>
      </c>
      <c r="AT385" t="str">
        <f t="shared" si="131"/>
        <v/>
      </c>
      <c r="AU385" s="51" t="str">
        <f t="shared" si="132"/>
        <v/>
      </c>
      <c r="AV385" s="12">
        <f>IFERROR(VLOOKUP(D385,'Receivable Invoice Detail'!$S$1:$U$3014,3,FALSE),0)</f>
        <v>0</v>
      </c>
      <c r="AW385" s="12">
        <f t="shared" si="133"/>
        <v>0</v>
      </c>
    </row>
    <row r="386" spans="1:49" ht="30" x14ac:dyDescent="0.25">
      <c r="A386" s="2">
        <v>1</v>
      </c>
      <c r="B386" s="2" t="s">
        <v>1657</v>
      </c>
      <c r="C386" s="2" t="s">
        <v>1658</v>
      </c>
      <c r="D386" s="2" t="s">
        <v>2622</v>
      </c>
      <c r="E386" s="2" t="s">
        <v>32</v>
      </c>
      <c r="F386" s="3">
        <v>45749.568773148138</v>
      </c>
      <c r="G386" s="3">
        <v>45750.610868055563</v>
      </c>
      <c r="H386" s="4">
        <v>45751</v>
      </c>
      <c r="I386" s="2" t="s">
        <v>21</v>
      </c>
      <c r="J386" s="2" t="s">
        <v>22</v>
      </c>
      <c r="K386" s="2">
        <v>1</v>
      </c>
      <c r="L386" s="2">
        <v>767.09</v>
      </c>
      <c r="M386" s="2">
        <v>767.09</v>
      </c>
      <c r="N386" s="2">
        <v>767.09</v>
      </c>
      <c r="O386" s="2">
        <v>678.84</v>
      </c>
      <c r="P386" s="2">
        <v>88.25</v>
      </c>
      <c r="Q386" s="2">
        <v>767.09</v>
      </c>
      <c r="R386" s="2" t="s">
        <v>44</v>
      </c>
      <c r="S386" s="2"/>
      <c r="T386" s="2">
        <f t="shared" si="115"/>
        <v>1</v>
      </c>
      <c r="U386" s="18">
        <f t="shared" si="116"/>
        <v>4</v>
      </c>
      <c r="V386" s="18">
        <f t="shared" si="117"/>
        <v>2025</v>
      </c>
      <c r="W386" s="18">
        <f t="shared" si="118"/>
        <v>5</v>
      </c>
      <c r="X386" s="18">
        <f t="shared" si="119"/>
        <v>2025</v>
      </c>
      <c r="Y386" s="2">
        <f t="shared" ref="Y386:Y449" si="134">IF(C386="",Y385,N386/L386)</f>
        <v>1</v>
      </c>
      <c r="Z386" t="str">
        <f t="shared" ref="Z386:Z449" si="135">IF(B386="",Z385,B386)</f>
        <v>SO16882</v>
      </c>
      <c r="AA386" s="11">
        <f t="shared" si="120"/>
        <v>45749.568773148138</v>
      </c>
      <c r="AB386" s="5" t="str">
        <f t="shared" si="121"/>
        <v>INV12819</v>
      </c>
      <c r="AC386" s="5" t="str">
        <f>IFERROR(VLOOKUP(D386,CAARStatus!$A$2:$AA$1600,22,FALSE),"Not invoiced")</f>
        <v>Paid</v>
      </c>
      <c r="AD386" s="11">
        <f>IF(AC386="Paid",IFERROR(VLOOKUP(D386,CAARStatus!$A$2:$AA$1600,6,FALSE),"Pending"),"Pending")</f>
        <v>45779</v>
      </c>
      <c r="AE386" s="5" t="str">
        <f t="shared" si="122"/>
        <v>4500884428</v>
      </c>
      <c r="AF386" s="5" t="str">
        <f t="shared" si="123"/>
        <v>Cameco Corporation - Blind River Refinery</v>
      </c>
      <c r="AG386" s="5" t="str">
        <f t="shared" si="124"/>
        <v>CAD</v>
      </c>
      <c r="AH386" s="5">
        <f t="shared" si="125"/>
        <v>678.84</v>
      </c>
      <c r="AI386" s="12">
        <f>IF(L386-N386=0,VLOOKUP(U386,rate!A$4:B$15,2,FALSE)*AH386,IF(AG386="USD",O386,AH386*Y386))</f>
        <v>486.49868272830912</v>
      </c>
      <c r="AJ386" s="13">
        <f t="shared" si="126"/>
        <v>0.71666177998984903</v>
      </c>
      <c r="AK386" s="13">
        <f>-IF(AG386="CAD",IFERROR(VLOOKUP(D386,CAARStatus!$A$1:$Y$1600,16,FALSE),0),0)</f>
        <v>-678.84</v>
      </c>
      <c r="AL386" s="13">
        <f>-IF(AG386="USD",IFERROR(VLOOKUP(D386,CAARStatus!$A$1:$Y$1600,11,FALSE),0),0)</f>
        <v>0</v>
      </c>
      <c r="AM386" s="22">
        <f t="shared" si="127"/>
        <v>0</v>
      </c>
      <c r="AN386" s="12" t="str">
        <f t="shared" si="128"/>
        <v/>
      </c>
      <c r="AO386" s="12" t="str">
        <f t="shared" si="129"/>
        <v>Yes</v>
      </c>
      <c r="AP386" t="str">
        <f t="shared" ref="AP386:AP449" si="136">IF(AND(AO386="Pend",T386&lt;2),"Pend",IF(T386=1,"Yes","XX"))</f>
        <v>Yes</v>
      </c>
      <c r="AQ386" t="str">
        <f>IFERROR(VLOOKUP(Z386,InvBal!$L$4:$P$600,4,FALSE),"Pend")</f>
        <v>Pend</v>
      </c>
      <c r="AR386" t="str">
        <f>IFERROR(VLOOKUP(D386,Manual!$C$1:$E$22,2,FALSE),"Pend")</f>
        <v>Pend</v>
      </c>
      <c r="AS386" t="str">
        <f t="shared" si="130"/>
        <v>Yes</v>
      </c>
      <c r="AT386" t="str">
        <f t="shared" si="131"/>
        <v>Yes</v>
      </c>
      <c r="AU386" s="51" t="str">
        <f t="shared" si="132"/>
        <v>Yes</v>
      </c>
      <c r="AV386" s="12">
        <f>IFERROR(VLOOKUP(D386,'Receivable Invoice Detail'!$S$1:$U$3014,3,FALSE),0)</f>
        <v>0</v>
      </c>
      <c r="AW386" s="12">
        <f t="shared" si="133"/>
        <v>486.49868272830912</v>
      </c>
    </row>
    <row r="387" spans="1:49" ht="30" x14ac:dyDescent="0.25">
      <c r="A387" s="2">
        <v>1</v>
      </c>
      <c r="B387" s="2" t="s">
        <v>1536</v>
      </c>
      <c r="C387" s="2" t="s">
        <v>1537</v>
      </c>
      <c r="D387" s="2" t="s">
        <v>2693</v>
      </c>
      <c r="E387" s="2" t="s">
        <v>159</v>
      </c>
      <c r="F387" s="3">
        <v>45749.639837962961</v>
      </c>
      <c r="G387" s="3">
        <v>45772.436006944437</v>
      </c>
      <c r="H387" s="4">
        <v>45887</v>
      </c>
      <c r="I387" s="2" t="s">
        <v>40</v>
      </c>
      <c r="J387" s="2" t="s">
        <v>51</v>
      </c>
      <c r="K387" s="2">
        <v>0.71989223732843666</v>
      </c>
      <c r="L387" s="2">
        <v>53490.450380327929</v>
      </c>
      <c r="M387" s="2">
        <v>0</v>
      </c>
      <c r="N387" s="2">
        <v>38507.360000000001</v>
      </c>
      <c r="O387" s="2">
        <v>38507.360000000001</v>
      </c>
      <c r="P387" s="2"/>
      <c r="Q387" s="2">
        <v>38507.360000000001</v>
      </c>
      <c r="R387" s="2" t="s">
        <v>44</v>
      </c>
      <c r="S387" s="2"/>
      <c r="T387" s="2">
        <f t="shared" ref="T387:T450" si="137">IF(A387="",T386,A387)</f>
        <v>1</v>
      </c>
      <c r="U387" s="18">
        <f t="shared" ref="U387:U450" si="138">IF(F387="",U386,MONTH(F387))</f>
        <v>4</v>
      </c>
      <c r="V387" s="18">
        <f t="shared" ref="V387:V450" si="139">IF(F387="",V386,YEAR(F387))</f>
        <v>2025</v>
      </c>
      <c r="W387" s="18">
        <f t="shared" ref="W387:W450" si="140">IF(AC387="Paid",MONTH(AD387),"")</f>
        <v>7</v>
      </c>
      <c r="X387" s="18">
        <f t="shared" ref="X387:X450" si="141">IF(AC387="Paid",YEAR(AD387),"")</f>
        <v>2025</v>
      </c>
      <c r="Y387" s="2">
        <f t="shared" si="134"/>
        <v>0.71989223732843666</v>
      </c>
      <c r="Z387" t="str">
        <f t="shared" si="135"/>
        <v>SO16884</v>
      </c>
      <c r="AA387" s="11">
        <f t="shared" ref="AA387:AA450" si="142">IF(F387="",AA386,F387)</f>
        <v>45749.639837962961</v>
      </c>
      <c r="AB387" s="5" t="str">
        <f t="shared" ref="AB387:AB450" si="143">IF(D387="","No Inv",D387)</f>
        <v>INV13122</v>
      </c>
      <c r="AC387" s="5" t="str">
        <f>IFERROR(VLOOKUP(D387,CAARStatus!$A$2:$AA$1600,22,FALSE),"Not invoiced")</f>
        <v>Paid</v>
      </c>
      <c r="AD387" s="11">
        <f>IF(AC387="Paid",IFERROR(VLOOKUP(D387,CAARStatus!$A$2:$AA$1600,6,FALSE),"Pending"),"Pending")</f>
        <v>45856</v>
      </c>
      <c r="AE387" s="5" t="str">
        <f t="shared" ref="AE387:AE450" si="144">IF(C387="",AE386,C387)</f>
        <v>4501168541</v>
      </c>
      <c r="AF387" s="5" t="str">
        <f t="shared" ref="AF387:AF450" si="145">IF(E387="",AF386,E387)</f>
        <v>Barrick Gold - Pueblo Viejo Dominicana Corporation</v>
      </c>
      <c r="AG387" s="5" t="str">
        <f t="shared" ref="AG387:AG450" si="146">IF(J387="",AG386,J387)</f>
        <v>USD</v>
      </c>
      <c r="AH387" s="5">
        <f t="shared" ref="AH387:AH450" si="147">IFERROR(IF(AG387="CAD",O387,O387/K387),0)</f>
        <v>53490.450380327929</v>
      </c>
      <c r="AI387" s="12">
        <f>IF(L387-N387=0,VLOOKUP(U387,rate!A$4:B$15,2,FALSE)*AH387,IF(AG387="USD",O387,AH387*Y387))</f>
        <v>38507.360000000001</v>
      </c>
      <c r="AJ387" s="13">
        <f t="shared" ref="AJ387:AJ450" si="148">IFERROR(AI387/AH387,0)</f>
        <v>0.71989223732843666</v>
      </c>
      <c r="AK387" s="13">
        <f>-IF(AG387="CAD",IFERROR(VLOOKUP(D387,CAARStatus!$A$1:$Y$1600,16,FALSE),0),0)</f>
        <v>0</v>
      </c>
      <c r="AL387" s="13">
        <f>-IF(AG387="USD",IFERROR(VLOOKUP(D387,CAARStatus!$A$1:$Y$1600,11,FALSE),0),0)</f>
        <v>-38507.360000000001</v>
      </c>
      <c r="AM387" s="22" t="str">
        <f t="shared" ref="AM387:AM450" si="149">IF(AG387="CAD",AH387+AK387,"")</f>
        <v/>
      </c>
      <c r="AN387" s="12">
        <f t="shared" ref="AN387:AN450" si="150">IF(AG387="USD",AI387+AL387,"")</f>
        <v>0</v>
      </c>
      <c r="AO387" s="12" t="str">
        <f t="shared" ref="AO387:AO450" si="151">IF(AC387="Paid","Yes","Pend")</f>
        <v>Yes</v>
      </c>
      <c r="AP387" t="str">
        <f t="shared" si="136"/>
        <v>Yes</v>
      </c>
      <c r="AQ387" t="str">
        <f>IFERROR(VLOOKUP(Z387,InvBal!$L$4:$P$600,4,FALSE),"Pend")</f>
        <v>Pend</v>
      </c>
      <c r="AR387" t="str">
        <f>IFERROR(VLOOKUP(D387,Manual!$C$1:$E$22,2,FALSE),"Pend")</f>
        <v>Pend</v>
      </c>
      <c r="AS387" t="str">
        <f t="shared" ref="AS387:AS450" si="152">IF(OR(AP387="Yes",AQ387="Yes",AR387="Yes"),"Yes","")</f>
        <v>Yes</v>
      </c>
      <c r="AT387" t="str">
        <f t="shared" ref="AT387:AT450" si="153">IF(R387="Delivered","Yes","")</f>
        <v>Yes</v>
      </c>
      <c r="AU387" s="51" t="str">
        <f t="shared" ref="AU387:AU450" si="154">IF(AND(AS387="Yes",AT387="Yes"),"Yes","")</f>
        <v>Yes</v>
      </c>
      <c r="AV387" s="12">
        <f>IFERROR(VLOOKUP(D387,'Receivable Invoice Detail'!$S$1:$U$3014,3,FALSE),0)</f>
        <v>0</v>
      </c>
      <c r="AW387" s="12">
        <f t="shared" ref="AW387:AW450" si="155">IF(AU387="Yes",AI387-AV387,0)</f>
        <v>38507.360000000001</v>
      </c>
    </row>
    <row r="388" spans="1:49" x14ac:dyDescent="0.25">
      <c r="A388" s="2">
        <v>1</v>
      </c>
      <c r="B388" s="2" t="s">
        <v>1646</v>
      </c>
      <c r="C388" s="2" t="s">
        <v>1647</v>
      </c>
      <c r="D388" s="2" t="s">
        <v>2629</v>
      </c>
      <c r="E388" s="2" t="s">
        <v>135</v>
      </c>
      <c r="F388" s="3">
        <v>45749.650324074071</v>
      </c>
      <c r="G388" s="3">
        <v>45755.366423611107</v>
      </c>
      <c r="H388" s="4">
        <v>45832</v>
      </c>
      <c r="I388" s="2" t="s">
        <v>21</v>
      </c>
      <c r="J388" s="2" t="s">
        <v>22</v>
      </c>
      <c r="K388" s="2">
        <v>1</v>
      </c>
      <c r="L388" s="2">
        <v>37243.99</v>
      </c>
      <c r="M388" s="2">
        <v>0</v>
      </c>
      <c r="N388" s="2">
        <v>26224.312793245641</v>
      </c>
      <c r="O388" s="2">
        <v>32959.279999999999</v>
      </c>
      <c r="P388" s="2">
        <v>4284.71</v>
      </c>
      <c r="Q388" s="2">
        <v>37243.99</v>
      </c>
      <c r="R388" s="2" t="s">
        <v>44</v>
      </c>
      <c r="S388" s="2"/>
      <c r="T388" s="2">
        <f t="shared" si="137"/>
        <v>1</v>
      </c>
      <c r="U388" s="18">
        <f t="shared" si="138"/>
        <v>4</v>
      </c>
      <c r="V388" s="18">
        <f t="shared" si="139"/>
        <v>2025</v>
      </c>
      <c r="W388" s="18">
        <f t="shared" si="140"/>
        <v>8</v>
      </c>
      <c r="X388" s="18">
        <f t="shared" si="141"/>
        <v>2025</v>
      </c>
      <c r="Y388" s="2">
        <f t="shared" si="134"/>
        <v>0.70412200178460049</v>
      </c>
      <c r="Z388" t="str">
        <f t="shared" si="135"/>
        <v>SO16885</v>
      </c>
      <c r="AA388" s="11">
        <f t="shared" si="142"/>
        <v>45749.650324074071</v>
      </c>
      <c r="AB388" s="5" t="str">
        <f t="shared" si="143"/>
        <v>INV13098</v>
      </c>
      <c r="AC388" s="5" t="str">
        <f>IFERROR(VLOOKUP(D388,CAARStatus!$A$2:$AA$1600,22,FALSE),"Not invoiced")</f>
        <v>Paid</v>
      </c>
      <c r="AD388" s="11">
        <f>IF(AC388="Paid",IFERROR(VLOOKUP(D388,CAARStatus!$A$2:$AA$1600,6,FALSE),"Pending"),"Pending")</f>
        <v>45883</v>
      </c>
      <c r="AE388" s="5" t="str">
        <f t="shared" si="144"/>
        <v>1019583  - REV3</v>
      </c>
      <c r="AF388" s="5" t="str">
        <f t="shared" si="145"/>
        <v>Thunder Bay Pulp and Paper Inc</v>
      </c>
      <c r="AG388" s="5" t="str">
        <f t="shared" si="146"/>
        <v>CAD</v>
      </c>
      <c r="AH388" s="5">
        <f t="shared" si="147"/>
        <v>32959.279999999999</v>
      </c>
      <c r="AI388" s="12">
        <f>IF(L388-N388=0,VLOOKUP(U388,rate!A$4:B$15,2,FALSE)*AH388,IF(AG388="USD",O388,AH388*Y388))</f>
        <v>23207.354210979145</v>
      </c>
      <c r="AJ388" s="13">
        <f t="shared" si="148"/>
        <v>0.70412200178460049</v>
      </c>
      <c r="AK388" s="13">
        <f>-IF(AG388="CAD",IFERROR(VLOOKUP(D388,CAARStatus!$A$1:$Y$1600,16,FALSE),0),0)</f>
        <v>-32959.279999999999</v>
      </c>
      <c r="AL388" s="13">
        <f>-IF(AG388="USD",IFERROR(VLOOKUP(D388,CAARStatus!$A$1:$Y$1600,11,FALSE),0),0)</f>
        <v>0</v>
      </c>
      <c r="AM388" s="22">
        <f t="shared" si="149"/>
        <v>0</v>
      </c>
      <c r="AN388" s="12" t="str">
        <f t="shared" si="150"/>
        <v/>
      </c>
      <c r="AO388" s="12" t="str">
        <f t="shared" si="151"/>
        <v>Yes</v>
      </c>
      <c r="AP388" t="str">
        <f t="shared" si="136"/>
        <v>Yes</v>
      </c>
      <c r="AQ388" t="str">
        <f>IFERROR(VLOOKUP(Z388,InvBal!$L$4:$P$600,4,FALSE),"Pend")</f>
        <v>Pend</v>
      </c>
      <c r="AR388" t="str">
        <f>IFERROR(VLOOKUP(D388,Manual!$C$1:$E$22,2,FALSE),"Pend")</f>
        <v>Pend</v>
      </c>
      <c r="AS388" t="str">
        <f t="shared" si="152"/>
        <v>Yes</v>
      </c>
      <c r="AT388" t="str">
        <f t="shared" si="153"/>
        <v>Yes</v>
      </c>
      <c r="AU388" s="51" t="str">
        <f t="shared" si="154"/>
        <v>Yes</v>
      </c>
      <c r="AV388" s="12">
        <f>IFERROR(VLOOKUP(D388,'Receivable Invoice Detail'!$S$1:$U$3014,3,FALSE),0)</f>
        <v>0</v>
      </c>
      <c r="AW388" s="12">
        <f t="shared" si="155"/>
        <v>23207.354210979145</v>
      </c>
    </row>
    <row r="389" spans="1:49" x14ac:dyDescent="0.25">
      <c r="A389" s="2">
        <v>2</v>
      </c>
      <c r="B389" s="2" t="s">
        <v>1650</v>
      </c>
      <c r="C389" s="2" t="s">
        <v>1651</v>
      </c>
      <c r="D389" s="2" t="s">
        <v>2626</v>
      </c>
      <c r="E389" s="2" t="s">
        <v>1652</v>
      </c>
      <c r="F389" s="3">
        <v>45750.432152777779</v>
      </c>
      <c r="G389" s="3">
        <v>45751.588969907411</v>
      </c>
      <c r="H389" s="4">
        <v>45842</v>
      </c>
      <c r="I389" s="2" t="s">
        <v>21</v>
      </c>
      <c r="J389" s="2" t="s">
        <v>51</v>
      </c>
      <c r="K389" s="2">
        <v>0.69879848026194369</v>
      </c>
      <c r="L389" s="2">
        <v>27268.948828934299</v>
      </c>
      <c r="M389" s="2">
        <v>0</v>
      </c>
      <c r="N389" s="2">
        <v>19055.5</v>
      </c>
      <c r="O389" s="2">
        <v>19055.5</v>
      </c>
      <c r="P389" s="2"/>
      <c r="Q389" s="2">
        <v>19055.5</v>
      </c>
      <c r="R389" s="2" t="s">
        <v>44</v>
      </c>
      <c r="S389" s="2"/>
      <c r="T389" s="2">
        <f t="shared" si="137"/>
        <v>2</v>
      </c>
      <c r="U389" s="18">
        <f t="shared" si="138"/>
        <v>4</v>
      </c>
      <c r="V389" s="18">
        <f t="shared" si="139"/>
        <v>2025</v>
      </c>
      <c r="W389" s="18">
        <f t="shared" si="140"/>
        <v>4</v>
      </c>
      <c r="X389" s="18">
        <f t="shared" si="141"/>
        <v>2025</v>
      </c>
      <c r="Y389" s="2">
        <f t="shared" si="134"/>
        <v>0.6987984802619438</v>
      </c>
      <c r="Z389" t="str">
        <f t="shared" si="135"/>
        <v>SO16888</v>
      </c>
      <c r="AA389" s="11">
        <f t="shared" si="142"/>
        <v>45750.432152777779</v>
      </c>
      <c r="AB389" s="5" t="str">
        <f t="shared" si="143"/>
        <v>INV12829</v>
      </c>
      <c r="AC389" s="5" t="str">
        <f>IFERROR(VLOOKUP(D389,CAARStatus!$A$2:$AA$1600,22,FALSE),"Not invoiced")</f>
        <v>Paid</v>
      </c>
      <c r="AD389" s="11">
        <f>IF(AC389="Paid",IFERROR(VLOOKUP(D389,CAARStatus!$A$2:$AA$1600,6,FALSE),"Pending"),"Pending")</f>
        <v>45755</v>
      </c>
      <c r="AE389" s="5" t="str">
        <f t="shared" si="144"/>
        <v>25326-5789</v>
      </c>
      <c r="AF389" s="5" t="str">
        <f t="shared" si="145"/>
        <v>Mertec Engineering</v>
      </c>
      <c r="AG389" s="5" t="str">
        <f t="shared" si="146"/>
        <v>USD</v>
      </c>
      <c r="AH389" s="5">
        <f t="shared" si="147"/>
        <v>27268.948828934303</v>
      </c>
      <c r="AI389" s="12">
        <f>IF(L389-N389=0,VLOOKUP(U389,rate!A$4:B$15,2,FALSE)*AH389,IF(AG389="USD",O389,AH389*Y389))</f>
        <v>19055.5</v>
      </c>
      <c r="AJ389" s="13">
        <f t="shared" si="148"/>
        <v>0.69879848026194369</v>
      </c>
      <c r="AK389" s="13">
        <f>-IF(AG389="CAD",IFERROR(VLOOKUP(D389,CAARStatus!$A$1:$Y$1600,16,FALSE),0),0)</f>
        <v>0</v>
      </c>
      <c r="AL389" s="13">
        <f>-IF(AG389="USD",IFERROR(VLOOKUP(D389,CAARStatus!$A$1:$Y$1600,11,FALSE),0),0)</f>
        <v>-11018.86</v>
      </c>
      <c r="AM389" s="22" t="str">
        <f t="shared" si="149"/>
        <v/>
      </c>
      <c r="AN389" s="12">
        <f t="shared" si="150"/>
        <v>8036.6399999999994</v>
      </c>
      <c r="AO389" s="12" t="str">
        <f t="shared" si="151"/>
        <v>Yes</v>
      </c>
      <c r="AP389" t="str">
        <f t="shared" si="136"/>
        <v>XX</v>
      </c>
      <c r="AQ389" t="str">
        <f>IFERROR(VLOOKUP(Z389,InvBal!$L$4:$P$600,4,FALSE),"Pend")</f>
        <v>Yes</v>
      </c>
      <c r="AR389" t="str">
        <f>IFERROR(VLOOKUP(D389,Manual!$C$1:$E$22,2,FALSE),"Pend")</f>
        <v>Pend</v>
      </c>
      <c r="AS389" t="str">
        <f t="shared" si="152"/>
        <v>Yes</v>
      </c>
      <c r="AT389" t="str">
        <f t="shared" si="153"/>
        <v>Yes</v>
      </c>
      <c r="AU389" s="51" t="str">
        <f t="shared" si="154"/>
        <v>Yes</v>
      </c>
      <c r="AV389" s="12">
        <f>IFERROR(VLOOKUP(D389,'Receivable Invoice Detail'!$S$1:$U$3014,3,FALSE),0)</f>
        <v>743</v>
      </c>
      <c r="AW389" s="12">
        <f t="shared" si="155"/>
        <v>18312.5</v>
      </c>
    </row>
    <row r="390" spans="1:49" x14ac:dyDescent="0.25">
      <c r="A390" s="2"/>
      <c r="B390" s="2"/>
      <c r="C390" s="2"/>
      <c r="D390" s="2" t="s">
        <v>2625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>
        <f t="shared" si="137"/>
        <v>2</v>
      </c>
      <c r="U390" s="18">
        <f t="shared" si="138"/>
        <v>4</v>
      </c>
      <c r="V390" s="18">
        <f t="shared" si="139"/>
        <v>2025</v>
      </c>
      <c r="W390" s="18">
        <f t="shared" si="140"/>
        <v>7</v>
      </c>
      <c r="X390" s="18">
        <f t="shared" si="141"/>
        <v>2025</v>
      </c>
      <c r="Y390" s="2">
        <f t="shared" si="134"/>
        <v>0.6987984802619438</v>
      </c>
      <c r="Z390" t="str">
        <f t="shared" si="135"/>
        <v>SO16888</v>
      </c>
      <c r="AA390" s="11">
        <f t="shared" si="142"/>
        <v>45750.432152777779</v>
      </c>
      <c r="AB390" s="5" t="str">
        <f t="shared" si="143"/>
        <v>INV13216</v>
      </c>
      <c r="AC390" s="5" t="str">
        <f>IFERROR(VLOOKUP(D390,CAARStatus!$A$2:$AA$1600,22,FALSE),"Not invoiced")</f>
        <v>Paid</v>
      </c>
      <c r="AD390" s="11">
        <f>IF(AC390="Paid",IFERROR(VLOOKUP(D390,CAARStatus!$A$2:$AA$1600,6,FALSE),"Pending"),"Pending")</f>
        <v>45867</v>
      </c>
      <c r="AE390" s="5" t="str">
        <f t="shared" si="144"/>
        <v>25326-5789</v>
      </c>
      <c r="AF390" s="5" t="str">
        <f t="shared" si="145"/>
        <v>Mertec Engineering</v>
      </c>
      <c r="AG390" s="5" t="str">
        <f t="shared" si="146"/>
        <v>USD</v>
      </c>
      <c r="AH390" s="5">
        <f t="shared" si="147"/>
        <v>0</v>
      </c>
      <c r="AI390" s="12">
        <f>IF(L390-N390=0,VLOOKUP(U390,rate!A$4:B$15,2,FALSE)*AH390,IF(AG390="USD",O390,AH390*Y390))</f>
        <v>0</v>
      </c>
      <c r="AJ390" s="13">
        <f t="shared" si="148"/>
        <v>0</v>
      </c>
      <c r="AK390" s="13">
        <f>-IF(AG390="CAD",IFERROR(VLOOKUP(D390,CAARStatus!$A$1:$Y$1600,16,FALSE),0),0)</f>
        <v>0</v>
      </c>
      <c r="AL390" s="13">
        <f>-IF(AG390="USD",IFERROR(VLOOKUP(D390,CAARStatus!$A$1:$Y$1600,11,FALSE),0),0)</f>
        <v>-8036.64</v>
      </c>
      <c r="AM390" s="22" t="str">
        <f t="shared" si="149"/>
        <v/>
      </c>
      <c r="AN390" s="12">
        <f t="shared" si="150"/>
        <v>-8036.64</v>
      </c>
      <c r="AO390" s="12" t="str">
        <f t="shared" si="151"/>
        <v>Yes</v>
      </c>
      <c r="AP390" t="str">
        <f t="shared" si="136"/>
        <v>XX</v>
      </c>
      <c r="AQ390" t="str">
        <f>IFERROR(VLOOKUP(Z390,InvBal!$L$4:$P$600,4,FALSE),"Pend")</f>
        <v>Yes</v>
      </c>
      <c r="AR390" t="str">
        <f>IFERROR(VLOOKUP(D390,Manual!$C$1:$E$22,2,FALSE),"Pend")</f>
        <v>Pend</v>
      </c>
      <c r="AS390" t="str">
        <f t="shared" si="152"/>
        <v>Yes</v>
      </c>
      <c r="AT390" t="str">
        <f t="shared" si="153"/>
        <v/>
      </c>
      <c r="AU390" s="51" t="str">
        <f t="shared" si="154"/>
        <v/>
      </c>
      <c r="AV390" s="12">
        <f>IFERROR(VLOOKUP(D390,'Receivable Invoice Detail'!$S$1:$U$3014,3,FALSE),0)</f>
        <v>690</v>
      </c>
      <c r="AW390" s="12">
        <f t="shared" si="155"/>
        <v>0</v>
      </c>
    </row>
    <row r="391" spans="1:49" ht="30" x14ac:dyDescent="0.25">
      <c r="A391" s="2">
        <v>1</v>
      </c>
      <c r="B391" s="2" t="s">
        <v>1643</v>
      </c>
      <c r="C391" s="2" t="s">
        <v>1644</v>
      </c>
      <c r="D391" s="2" t="s">
        <v>2630</v>
      </c>
      <c r="E391" s="2" t="s">
        <v>1645</v>
      </c>
      <c r="F391" s="3">
        <v>45751.563101851847</v>
      </c>
      <c r="G391" s="3">
        <v>45755.57880787037</v>
      </c>
      <c r="H391" s="4">
        <v>45756</v>
      </c>
      <c r="I391" s="2" t="s">
        <v>21</v>
      </c>
      <c r="J391" s="2" t="s">
        <v>22</v>
      </c>
      <c r="K391" s="2">
        <v>1</v>
      </c>
      <c r="L391" s="2">
        <v>190.44</v>
      </c>
      <c r="M391" s="2">
        <v>0</v>
      </c>
      <c r="N391" s="2">
        <v>134.0929940198593</v>
      </c>
      <c r="O391" s="2">
        <v>168.53</v>
      </c>
      <c r="P391" s="2">
        <v>21.91</v>
      </c>
      <c r="Q391" s="2">
        <v>190.44</v>
      </c>
      <c r="R391" s="2" t="s">
        <v>44</v>
      </c>
      <c r="S391" s="2"/>
      <c r="T391" s="2">
        <f t="shared" si="137"/>
        <v>1</v>
      </c>
      <c r="U391" s="18">
        <f t="shared" si="138"/>
        <v>4</v>
      </c>
      <c r="V391" s="18">
        <f t="shared" si="139"/>
        <v>2025</v>
      </c>
      <c r="W391" s="18">
        <f t="shared" si="140"/>
        <v>5</v>
      </c>
      <c r="X391" s="18">
        <f t="shared" si="141"/>
        <v>2025</v>
      </c>
      <c r="Y391" s="2">
        <f t="shared" si="134"/>
        <v>0.70412200178460038</v>
      </c>
      <c r="Z391" t="str">
        <f t="shared" si="135"/>
        <v>SO16903</v>
      </c>
      <c r="AA391" s="11">
        <f t="shared" si="142"/>
        <v>45751.563101851847</v>
      </c>
      <c r="AB391" s="5" t="str">
        <f t="shared" si="143"/>
        <v>INV12843</v>
      </c>
      <c r="AC391" s="5" t="str">
        <f>IFERROR(VLOOKUP(D391,CAARStatus!$A$2:$AA$1600,22,FALSE),"Not invoiced")</f>
        <v>Paid</v>
      </c>
      <c r="AD391" s="11">
        <f>IF(AC391="Paid",IFERROR(VLOOKUP(D391,CAARStatus!$A$2:$AA$1600,6,FALSE),"Pending"),"Pending")</f>
        <v>45786</v>
      </c>
      <c r="AE391" s="5" t="str">
        <f t="shared" si="144"/>
        <v>ON33-00092152</v>
      </c>
      <c r="AF391" s="5" t="str">
        <f t="shared" si="145"/>
        <v>Motion Industries Inc. (Canada) - Scarborough</v>
      </c>
      <c r="AG391" s="5" t="str">
        <f t="shared" si="146"/>
        <v>CAD</v>
      </c>
      <c r="AH391" s="5">
        <f t="shared" si="147"/>
        <v>168.53</v>
      </c>
      <c r="AI391" s="12">
        <f>IF(L391-N391=0,VLOOKUP(U391,rate!A$4:B$15,2,FALSE)*AH391,IF(AG391="USD",O391,AH391*Y391))</f>
        <v>118.66568096075871</v>
      </c>
      <c r="AJ391" s="13">
        <f t="shared" si="148"/>
        <v>0.70412200178460038</v>
      </c>
      <c r="AK391" s="13">
        <f>-IF(AG391="CAD",IFERROR(VLOOKUP(D391,CAARStatus!$A$1:$Y$1600,16,FALSE),0),0)</f>
        <v>-168.53</v>
      </c>
      <c r="AL391" s="13">
        <f>-IF(AG391="USD",IFERROR(VLOOKUP(D391,CAARStatus!$A$1:$Y$1600,11,FALSE),0),0)</f>
        <v>0</v>
      </c>
      <c r="AM391" s="22">
        <f t="shared" si="149"/>
        <v>0</v>
      </c>
      <c r="AN391" s="12" t="str">
        <f t="shared" si="150"/>
        <v/>
      </c>
      <c r="AO391" s="12" t="str">
        <f t="shared" si="151"/>
        <v>Yes</v>
      </c>
      <c r="AP391" t="str">
        <f t="shared" si="136"/>
        <v>Yes</v>
      </c>
      <c r="AQ391" t="str">
        <f>IFERROR(VLOOKUP(Z391,InvBal!$L$4:$P$600,4,FALSE),"Pend")</f>
        <v>Pend</v>
      </c>
      <c r="AR391" t="str">
        <f>IFERROR(VLOOKUP(D391,Manual!$C$1:$E$22,2,FALSE),"Pend")</f>
        <v>Pend</v>
      </c>
      <c r="AS391" t="str">
        <f t="shared" si="152"/>
        <v>Yes</v>
      </c>
      <c r="AT391" t="str">
        <f t="shared" si="153"/>
        <v>Yes</v>
      </c>
      <c r="AU391" s="51" t="str">
        <f t="shared" si="154"/>
        <v>Yes</v>
      </c>
      <c r="AV391" s="12">
        <f>IFERROR(VLOOKUP(D391,'Receivable Invoice Detail'!$S$1:$U$3014,3,FALSE),0)</f>
        <v>0</v>
      </c>
      <c r="AW391" s="12">
        <f t="shared" si="155"/>
        <v>118.66568096075871</v>
      </c>
    </row>
    <row r="392" spans="1:49" ht="30" x14ac:dyDescent="0.25">
      <c r="A392" s="2">
        <v>3</v>
      </c>
      <c r="B392" s="2" t="s">
        <v>1225</v>
      </c>
      <c r="C392" s="2" t="s">
        <v>1226</v>
      </c>
      <c r="D392" s="2" t="s">
        <v>2865</v>
      </c>
      <c r="E392" s="2" t="s">
        <v>159</v>
      </c>
      <c r="F392" s="3">
        <v>45754.550520833327</v>
      </c>
      <c r="G392" s="3">
        <v>45820.478865740741</v>
      </c>
      <c r="H392" s="4">
        <v>45917</v>
      </c>
      <c r="I392" s="2" t="s">
        <v>40</v>
      </c>
      <c r="J392" s="2" t="s">
        <v>51</v>
      </c>
      <c r="K392" s="2">
        <v>0.73186663114413975</v>
      </c>
      <c r="L392" s="2">
        <v>52513.420293417817</v>
      </c>
      <c r="M392" s="2">
        <v>0</v>
      </c>
      <c r="N392" s="2">
        <v>38432.82</v>
      </c>
      <c r="O392" s="2">
        <v>38432.82</v>
      </c>
      <c r="P392" s="2"/>
      <c r="Q392" s="2">
        <v>38432.82</v>
      </c>
      <c r="R392" s="2" t="s">
        <v>44</v>
      </c>
      <c r="S392" s="2"/>
      <c r="T392" s="2">
        <f t="shared" si="137"/>
        <v>3</v>
      </c>
      <c r="U392" s="18">
        <f t="shared" si="138"/>
        <v>4</v>
      </c>
      <c r="V392" s="18">
        <f t="shared" si="139"/>
        <v>2025</v>
      </c>
      <c r="W392" s="18">
        <f t="shared" si="140"/>
        <v>7</v>
      </c>
      <c r="X392" s="18">
        <f t="shared" si="141"/>
        <v>2025</v>
      </c>
      <c r="Y392" s="2">
        <f t="shared" si="134"/>
        <v>0.73186663114413975</v>
      </c>
      <c r="Z392" t="str">
        <f t="shared" si="135"/>
        <v>SO16918</v>
      </c>
      <c r="AA392" s="11">
        <f t="shared" si="142"/>
        <v>45754.550520833327</v>
      </c>
      <c r="AB392" s="5" t="str">
        <f t="shared" si="143"/>
        <v>INV13121</v>
      </c>
      <c r="AC392" s="5" t="str">
        <f>IFERROR(VLOOKUP(D392,CAARStatus!$A$2:$AA$1600,22,FALSE),"Not invoiced")</f>
        <v>Paid</v>
      </c>
      <c r="AD392" s="11">
        <f>IF(AC392="Paid",IFERROR(VLOOKUP(D392,CAARStatus!$A$2:$AA$1600,6,FALSE),"Pending"),"Pending")</f>
        <v>45845</v>
      </c>
      <c r="AE392" s="5" t="str">
        <f t="shared" si="144"/>
        <v>4501209613</v>
      </c>
      <c r="AF392" s="5" t="str">
        <f t="shared" si="145"/>
        <v>Barrick Gold - Pueblo Viejo Dominicana Corporation</v>
      </c>
      <c r="AG392" s="5" t="str">
        <f t="shared" si="146"/>
        <v>USD</v>
      </c>
      <c r="AH392" s="5">
        <f t="shared" si="147"/>
        <v>52513.420293417817</v>
      </c>
      <c r="AI392" s="12">
        <f>IF(L392-N392=0,VLOOKUP(U392,rate!A$4:B$15,2,FALSE)*AH392,IF(AG392="USD",O392,AH392*Y392))</f>
        <v>38432.82</v>
      </c>
      <c r="AJ392" s="13">
        <f t="shared" si="148"/>
        <v>0.73186663114413975</v>
      </c>
      <c r="AK392" s="13">
        <f>-IF(AG392="CAD",IFERROR(VLOOKUP(D392,CAARStatus!$A$1:$Y$1600,16,FALSE),0),0)</f>
        <v>0</v>
      </c>
      <c r="AL392" s="13">
        <f>-IF(AG392="USD",IFERROR(VLOOKUP(D392,CAARStatus!$A$1:$Y$1600,11,FALSE),0),0)</f>
        <v>-37641.019999999997</v>
      </c>
      <c r="AM392" s="22" t="str">
        <f t="shared" si="149"/>
        <v/>
      </c>
      <c r="AN392" s="12">
        <f t="shared" si="150"/>
        <v>791.80000000000291</v>
      </c>
      <c r="AO392" s="12" t="str">
        <f t="shared" si="151"/>
        <v>Yes</v>
      </c>
      <c r="AP392" t="str">
        <f t="shared" si="136"/>
        <v>XX</v>
      </c>
      <c r="AQ392" t="str">
        <f>IFERROR(VLOOKUP(Z392,InvBal!$L$4:$P$600,4,FALSE),"Pend")</f>
        <v>Yes</v>
      </c>
      <c r="AR392" t="str">
        <f>IFERROR(VLOOKUP(D392,Manual!$C$1:$E$22,2,FALSE),"Pend")</f>
        <v>Pend</v>
      </c>
      <c r="AS392" t="str">
        <f t="shared" si="152"/>
        <v>Yes</v>
      </c>
      <c r="AT392" t="str">
        <f t="shared" si="153"/>
        <v>Yes</v>
      </c>
      <c r="AU392" s="51" t="str">
        <f t="shared" si="154"/>
        <v>Yes</v>
      </c>
      <c r="AV392" s="12">
        <f>IFERROR(VLOOKUP(D392,'Receivable Invoice Detail'!$S$1:$U$3014,3,FALSE),0)</f>
        <v>0</v>
      </c>
      <c r="AW392" s="12">
        <f t="shared" si="155"/>
        <v>38432.82</v>
      </c>
    </row>
    <row r="393" spans="1:49" x14ac:dyDescent="0.25">
      <c r="A393" s="2"/>
      <c r="B393" s="2"/>
      <c r="C393" s="2"/>
      <c r="D393" s="2" t="s">
        <v>2864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>
        <f t="shared" si="137"/>
        <v>3</v>
      </c>
      <c r="U393" s="18">
        <f t="shared" si="138"/>
        <v>4</v>
      </c>
      <c r="V393" s="18">
        <f t="shared" si="139"/>
        <v>2025</v>
      </c>
      <c r="W393" s="18" t="str">
        <f t="shared" si="140"/>
        <v/>
      </c>
      <c r="X393" s="18" t="str">
        <f t="shared" si="141"/>
        <v/>
      </c>
      <c r="Y393" s="2">
        <f t="shared" si="134"/>
        <v>0.73186663114413975</v>
      </c>
      <c r="Z393" t="str">
        <f t="shared" si="135"/>
        <v>SO16918</v>
      </c>
      <c r="AA393" s="11">
        <f t="shared" si="142"/>
        <v>45754.550520833327</v>
      </c>
      <c r="AB393" s="5" t="str">
        <f t="shared" si="143"/>
        <v>INV13251</v>
      </c>
      <c r="AC393" s="5" t="str">
        <f>IFERROR(VLOOKUP(D393,CAARStatus!$A$2:$AA$1600,22,FALSE),"Not invoiced")</f>
        <v>Not invoiced</v>
      </c>
      <c r="AD393" s="11" t="str">
        <f>IF(AC393="Paid",IFERROR(VLOOKUP(D393,CAARStatus!$A$2:$AA$1600,6,FALSE),"Pending"),"Pending")</f>
        <v>Pending</v>
      </c>
      <c r="AE393" s="5" t="str">
        <f t="shared" si="144"/>
        <v>4501209613</v>
      </c>
      <c r="AF393" s="5" t="str">
        <f t="shared" si="145"/>
        <v>Barrick Gold - Pueblo Viejo Dominicana Corporation</v>
      </c>
      <c r="AG393" s="5" t="str">
        <f t="shared" si="146"/>
        <v>USD</v>
      </c>
      <c r="AH393" s="5">
        <f t="shared" si="147"/>
        <v>0</v>
      </c>
      <c r="AI393" s="12">
        <f>IF(L393-N393=0,VLOOKUP(U393,rate!A$4:B$15,2,FALSE)*AH393,IF(AG393="USD",O393,AH393*Y393))</f>
        <v>0</v>
      </c>
      <c r="AJ393" s="13">
        <f t="shared" si="148"/>
        <v>0</v>
      </c>
      <c r="AK393" s="61">
        <f>IF(AC393="Paid",-IF(AG393="CAD",IFERROR(VLOOKUP(D393,CAARStatus!$A$1:$Y$1600,16,FALSE),0),0),0)</f>
        <v>0</v>
      </c>
      <c r="AL393" s="61">
        <f>IF(AC393="Paid",-IF(AG393="USD",IFERROR(VLOOKUP(D393,CAARStatus!$A$1:$Y$1600,11,FALSE),0),0),0)</f>
        <v>0</v>
      </c>
      <c r="AM393" s="22" t="str">
        <f t="shared" si="149"/>
        <v/>
      </c>
      <c r="AN393" s="12">
        <f t="shared" si="150"/>
        <v>0</v>
      </c>
      <c r="AO393" s="12" t="str">
        <f t="shared" si="151"/>
        <v>Pend</v>
      </c>
      <c r="AP393" t="str">
        <f t="shared" si="136"/>
        <v>XX</v>
      </c>
      <c r="AQ393" t="str">
        <f>IFERROR(VLOOKUP(Z393,InvBal!$L$4:$P$600,4,FALSE),"Pend")</f>
        <v>Yes</v>
      </c>
      <c r="AR393" t="str">
        <f>IFERROR(VLOOKUP(D393,Manual!$C$1:$E$22,2,FALSE),"Pend")</f>
        <v>Pend</v>
      </c>
      <c r="AS393" t="str">
        <f t="shared" si="152"/>
        <v>Yes</v>
      </c>
      <c r="AT393" t="str">
        <f t="shared" si="153"/>
        <v/>
      </c>
      <c r="AU393" s="51" t="str">
        <f t="shared" si="154"/>
        <v/>
      </c>
      <c r="AV393" s="12">
        <f>IFERROR(VLOOKUP(D393,'Receivable Invoice Detail'!$S$1:$U$3014,3,FALSE),0)</f>
        <v>0</v>
      </c>
      <c r="AW393" s="12">
        <f t="shared" si="155"/>
        <v>0</v>
      </c>
    </row>
    <row r="394" spans="1:49" x14ac:dyDescent="0.25">
      <c r="A394" s="2"/>
      <c r="B394" s="2"/>
      <c r="C394" s="2"/>
      <c r="D394" s="2" t="s">
        <v>2863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>
        <f t="shared" si="137"/>
        <v>3</v>
      </c>
      <c r="U394" s="18">
        <f t="shared" si="138"/>
        <v>4</v>
      </c>
      <c r="V394" s="18">
        <f t="shared" si="139"/>
        <v>2025</v>
      </c>
      <c r="W394" s="18">
        <f t="shared" si="140"/>
        <v>12</v>
      </c>
      <c r="X394" s="18">
        <f t="shared" si="141"/>
        <v>2025</v>
      </c>
      <c r="Y394" s="2">
        <f t="shared" si="134"/>
        <v>0.73186663114413975</v>
      </c>
      <c r="Z394" t="str">
        <f t="shared" si="135"/>
        <v>SO16918</v>
      </c>
      <c r="AA394" s="11">
        <f t="shared" si="142"/>
        <v>45754.550520833327</v>
      </c>
      <c r="AB394" s="5" t="str">
        <f t="shared" si="143"/>
        <v>INV13475</v>
      </c>
      <c r="AC394" s="5" t="str">
        <f>IFERROR(VLOOKUP(D394,CAARStatus!$A$2:$AA$1600,22,FALSE),"Not invoiced")</f>
        <v>Paid</v>
      </c>
      <c r="AD394" s="11">
        <f>IF(AC394="Paid",IFERROR(VLOOKUP(D394,CAARStatus!$A$2:$AA$1600,6,FALSE),"Pending"),"Pending")</f>
        <v>45995</v>
      </c>
      <c r="AE394" s="5" t="str">
        <f t="shared" si="144"/>
        <v>4501209613</v>
      </c>
      <c r="AF394" s="5" t="str">
        <f t="shared" si="145"/>
        <v>Barrick Gold - Pueblo Viejo Dominicana Corporation</v>
      </c>
      <c r="AG394" s="5" t="str">
        <f t="shared" si="146"/>
        <v>USD</v>
      </c>
      <c r="AH394" s="5">
        <f t="shared" si="147"/>
        <v>0</v>
      </c>
      <c r="AI394" s="12">
        <f>IF(L394-N394=0,VLOOKUP(U394,rate!A$4:B$15,2,FALSE)*AH394,IF(AG394="USD",O394,AH394*Y394))</f>
        <v>0</v>
      </c>
      <c r="AJ394" s="13">
        <f t="shared" si="148"/>
        <v>0</v>
      </c>
      <c r="AK394" s="61">
        <f>IF(AC394="Paid",-IF(AG394="CAD",IFERROR(VLOOKUP(D394,CAARStatus!$A$1:$Y$1600,16,FALSE),0),0),0)</f>
        <v>0</v>
      </c>
      <c r="AL394" s="61">
        <f>IF(AC394="Paid",-IF(AG394="USD",IFERROR(VLOOKUP(D394,CAARStatus!$A$1:$Y$1600,11,FALSE),0),0),0)</f>
        <v>-791.8</v>
      </c>
      <c r="AM394" s="22" t="str">
        <f t="shared" si="149"/>
        <v/>
      </c>
      <c r="AN394" s="12">
        <f t="shared" si="150"/>
        <v>-791.8</v>
      </c>
      <c r="AO394" s="12" t="str">
        <f t="shared" si="151"/>
        <v>Yes</v>
      </c>
      <c r="AP394" t="str">
        <f t="shared" si="136"/>
        <v>XX</v>
      </c>
      <c r="AQ394" t="str">
        <f>IFERROR(VLOOKUP(Z394,InvBal!$L$4:$P$600,4,FALSE),"Pend")</f>
        <v>Yes</v>
      </c>
      <c r="AR394" t="str">
        <f>IFERROR(VLOOKUP(D394,Manual!$C$1:$E$22,2,FALSE),"Pend")</f>
        <v>Pend</v>
      </c>
      <c r="AS394" t="str">
        <f t="shared" si="152"/>
        <v>Yes</v>
      </c>
      <c r="AT394" t="str">
        <f t="shared" si="153"/>
        <v/>
      </c>
      <c r="AU394" s="51" t="str">
        <f t="shared" si="154"/>
        <v/>
      </c>
      <c r="AV394" s="12">
        <f>IFERROR(VLOOKUP(D394,'Receivable Invoice Detail'!$S$1:$U$3014,3,FALSE),0)</f>
        <v>0</v>
      </c>
      <c r="AW394" s="12">
        <f t="shared" si="155"/>
        <v>0</v>
      </c>
    </row>
    <row r="395" spans="1:49" ht="30" x14ac:dyDescent="0.25">
      <c r="A395" s="2">
        <v>1</v>
      </c>
      <c r="B395" s="2" t="s">
        <v>1391</v>
      </c>
      <c r="C395" s="2" t="s">
        <v>1392</v>
      </c>
      <c r="D395" s="2" t="s">
        <v>2772</v>
      </c>
      <c r="E395" s="2" t="s">
        <v>232</v>
      </c>
      <c r="F395" s="3">
        <v>45754.602083333331</v>
      </c>
      <c r="G395" s="3">
        <v>45798.520914351851</v>
      </c>
      <c r="H395" s="4">
        <v>45836</v>
      </c>
      <c r="I395" s="2" t="s">
        <v>180</v>
      </c>
      <c r="J395" s="2" t="s">
        <v>51</v>
      </c>
      <c r="K395" s="2">
        <v>0.7168814564314101</v>
      </c>
      <c r="L395" s="2">
        <v>4250.395895533301</v>
      </c>
      <c r="M395" s="2">
        <v>0</v>
      </c>
      <c r="N395" s="2">
        <v>3047.03</v>
      </c>
      <c r="O395" s="2">
        <v>3047.03</v>
      </c>
      <c r="P395" s="2"/>
      <c r="Q395" s="2">
        <v>3047.03</v>
      </c>
      <c r="R395" s="2" t="s">
        <v>44</v>
      </c>
      <c r="S395" s="2"/>
      <c r="T395" s="2">
        <f t="shared" si="137"/>
        <v>1</v>
      </c>
      <c r="U395" s="18">
        <f t="shared" si="138"/>
        <v>4</v>
      </c>
      <c r="V395" s="18">
        <f t="shared" si="139"/>
        <v>2025</v>
      </c>
      <c r="W395" s="18">
        <f t="shared" si="140"/>
        <v>8</v>
      </c>
      <c r="X395" s="18">
        <f t="shared" si="141"/>
        <v>2025</v>
      </c>
      <c r="Y395" s="2">
        <f t="shared" si="134"/>
        <v>0.7168814564314101</v>
      </c>
      <c r="Z395" t="str">
        <f t="shared" si="135"/>
        <v>SO16923</v>
      </c>
      <c r="AA395" s="11">
        <f t="shared" si="142"/>
        <v>45754.602083333331</v>
      </c>
      <c r="AB395" s="5" t="str">
        <f t="shared" si="143"/>
        <v>INV13044</v>
      </c>
      <c r="AC395" s="5" t="str">
        <f>IFERROR(VLOOKUP(D395,CAARStatus!$A$2:$AA$1600,22,FALSE),"Not invoiced")</f>
        <v>Paid</v>
      </c>
      <c r="AD395" s="11">
        <f>IF(AC395="Paid",IFERROR(VLOOKUP(D395,CAARStatus!$A$2:$AA$1600,6,FALSE),"Pending"),"Pending")</f>
        <v>45874</v>
      </c>
      <c r="AE395" s="5" t="str">
        <f t="shared" si="144"/>
        <v>2249920</v>
      </c>
      <c r="AF395" s="5" t="str">
        <f t="shared" si="145"/>
        <v>Zijin Mining - Rosebel Goldmines N.V.</v>
      </c>
      <c r="AG395" s="5" t="str">
        <f t="shared" si="146"/>
        <v>USD</v>
      </c>
      <c r="AH395" s="5">
        <f t="shared" si="147"/>
        <v>4250.395895533301</v>
      </c>
      <c r="AI395" s="12">
        <f>IF(L395-N395=0,VLOOKUP(U395,rate!A$4:B$15,2,FALSE)*AH395,IF(AG395="USD",O395,AH395*Y395))</f>
        <v>3047.03</v>
      </c>
      <c r="AJ395" s="13">
        <f t="shared" si="148"/>
        <v>0.7168814564314101</v>
      </c>
      <c r="AK395" s="13">
        <f>-IF(AG395="CAD",IFERROR(VLOOKUP(D395,CAARStatus!$A$1:$Y$1600,16,FALSE),0),0)</f>
        <v>0</v>
      </c>
      <c r="AL395" s="13">
        <f>-IF(AG395="USD",IFERROR(VLOOKUP(D395,CAARStatus!$A$1:$Y$1600,11,FALSE),0),0)</f>
        <v>-3047.03</v>
      </c>
      <c r="AM395" s="22" t="str">
        <f t="shared" si="149"/>
        <v/>
      </c>
      <c r="AN395" s="12">
        <f t="shared" si="150"/>
        <v>0</v>
      </c>
      <c r="AO395" s="12" t="str">
        <f t="shared" si="151"/>
        <v>Yes</v>
      </c>
      <c r="AP395" t="str">
        <f t="shared" si="136"/>
        <v>Yes</v>
      </c>
      <c r="AQ395" t="str">
        <f>IFERROR(VLOOKUP(Z395,InvBal!$L$4:$P$600,4,FALSE),"Pend")</f>
        <v>Pend</v>
      </c>
      <c r="AR395" t="str">
        <f>IFERROR(VLOOKUP(D395,Manual!$C$1:$E$22,2,FALSE),"Pend")</f>
        <v>Pend</v>
      </c>
      <c r="AS395" t="str">
        <f t="shared" si="152"/>
        <v>Yes</v>
      </c>
      <c r="AT395" t="str">
        <f t="shared" si="153"/>
        <v>Yes</v>
      </c>
      <c r="AU395" s="51" t="str">
        <f t="shared" si="154"/>
        <v>Yes</v>
      </c>
      <c r="AV395" s="12">
        <f>IFERROR(VLOOKUP(D395,'Receivable Invoice Detail'!$S$1:$U$3014,3,FALSE),0)</f>
        <v>214.7</v>
      </c>
      <c r="AW395" s="12">
        <f t="shared" si="155"/>
        <v>2832.3300000000004</v>
      </c>
    </row>
    <row r="396" spans="1:49" x14ac:dyDescent="0.25">
      <c r="A396" s="2">
        <v>1</v>
      </c>
      <c r="B396" s="2" t="s">
        <v>1612</v>
      </c>
      <c r="C396" s="2" t="s">
        <v>1613</v>
      </c>
      <c r="D396" s="2" t="s">
        <v>2649</v>
      </c>
      <c r="E396" s="2" t="s">
        <v>239</v>
      </c>
      <c r="F396" s="3">
        <v>45755.332557870373</v>
      </c>
      <c r="G396" s="3">
        <v>45758.454907407409</v>
      </c>
      <c r="H396" s="4">
        <v>45855</v>
      </c>
      <c r="I396" s="2" t="s">
        <v>180</v>
      </c>
      <c r="J396" s="2" t="s">
        <v>51</v>
      </c>
      <c r="K396" s="2">
        <v>0.70470066534440534</v>
      </c>
      <c r="L396" s="2">
        <v>3213.1940714052812</v>
      </c>
      <c r="M396" s="2">
        <v>0</v>
      </c>
      <c r="N396" s="2">
        <v>2264.34</v>
      </c>
      <c r="O396" s="2">
        <v>2264.34</v>
      </c>
      <c r="P396" s="2"/>
      <c r="Q396" s="2">
        <v>2264.34</v>
      </c>
      <c r="R396" s="2" t="s">
        <v>44</v>
      </c>
      <c r="S396" s="2"/>
      <c r="T396" s="2">
        <f t="shared" si="137"/>
        <v>1</v>
      </c>
      <c r="U396" s="18">
        <f t="shared" si="138"/>
        <v>4</v>
      </c>
      <c r="V396" s="18">
        <f t="shared" si="139"/>
        <v>2025</v>
      </c>
      <c r="W396" s="18" t="str">
        <f t="shared" si="140"/>
        <v/>
      </c>
      <c r="X396" s="18" t="str">
        <f t="shared" si="141"/>
        <v/>
      </c>
      <c r="Y396" s="2">
        <f t="shared" si="134"/>
        <v>0.70470066534440523</v>
      </c>
      <c r="Z396" t="str">
        <f t="shared" si="135"/>
        <v>SO16931</v>
      </c>
      <c r="AA396" s="11">
        <f t="shared" si="142"/>
        <v>45755.332557870373</v>
      </c>
      <c r="AB396" s="5" t="str">
        <f t="shared" si="143"/>
        <v>INV13234</v>
      </c>
      <c r="AC396" s="5" t="str">
        <f>IFERROR(VLOOKUP(D396,CAARStatus!$A$2:$AA$1600,22,FALSE),"Not invoiced")</f>
        <v>Not invoiced</v>
      </c>
      <c r="AD396" s="11" t="str">
        <f>IF(AC396="Paid",IFERROR(VLOOKUP(D396,CAARStatus!$A$2:$AA$1600,6,FALSE),"Pending"),"Pending")</f>
        <v>Pending</v>
      </c>
      <c r="AE396" s="5" t="str">
        <f t="shared" si="144"/>
        <v>1046</v>
      </c>
      <c r="AF396" s="5" t="str">
        <f t="shared" si="145"/>
        <v>Mill-Right Mine Services Inc.</v>
      </c>
      <c r="AG396" s="5" t="str">
        <f t="shared" si="146"/>
        <v>USD</v>
      </c>
      <c r="AH396" s="5">
        <f t="shared" si="147"/>
        <v>3213.1940714052807</v>
      </c>
      <c r="AI396" s="12">
        <f>IF(L396-N396=0,VLOOKUP(U396,rate!A$4:B$15,2,FALSE)*AH396,IF(AG396="USD",O396,AH396*Y396))</f>
        <v>2264.34</v>
      </c>
      <c r="AJ396" s="13">
        <f t="shared" si="148"/>
        <v>0.70470066534440534</v>
      </c>
      <c r="AK396" s="13">
        <f>-IF(AG396="CAD",IFERROR(VLOOKUP(D396,CAARStatus!$A$1:$Y$1600,16,FALSE),0),0)</f>
        <v>0</v>
      </c>
      <c r="AL396" s="13">
        <f>-IF(AG396="USD",IFERROR(VLOOKUP(D396,CAARStatus!$A$1:$Y$1600,11,FALSE),0),0)</f>
        <v>0</v>
      </c>
      <c r="AM396" s="22" t="str">
        <f t="shared" si="149"/>
        <v/>
      </c>
      <c r="AN396" s="12">
        <f t="shared" si="150"/>
        <v>2264.34</v>
      </c>
      <c r="AO396" s="12" t="str">
        <f t="shared" si="151"/>
        <v>Pend</v>
      </c>
      <c r="AP396" t="str">
        <f t="shared" si="136"/>
        <v>Pend</v>
      </c>
      <c r="AQ396" t="str">
        <f>IFERROR(VLOOKUP(Z396,InvBal!$L$4:$P$600,4,FALSE),"Pend")</f>
        <v>Pend</v>
      </c>
      <c r="AR396" t="str">
        <f>IFERROR(VLOOKUP(D396,Manual!$C$1:$E$22,2,FALSE),"Pend")</f>
        <v>Pend</v>
      </c>
      <c r="AS396" t="str">
        <f t="shared" si="152"/>
        <v/>
      </c>
      <c r="AT396" t="str">
        <f t="shared" si="153"/>
        <v>Yes</v>
      </c>
      <c r="AU396" s="51" t="str">
        <f t="shared" si="154"/>
        <v/>
      </c>
      <c r="AV396" s="12">
        <f>IFERROR(VLOOKUP(D396,'Receivable Invoice Detail'!$S$1:$U$3014,3,FALSE),0)</f>
        <v>0</v>
      </c>
      <c r="AW396" s="12">
        <f t="shared" si="155"/>
        <v>0</v>
      </c>
    </row>
    <row r="397" spans="1:49" ht="30" x14ac:dyDescent="0.25">
      <c r="A397" s="2">
        <v>1</v>
      </c>
      <c r="B397" s="2" t="s">
        <v>1048</v>
      </c>
      <c r="C397" s="2" t="s">
        <v>1049</v>
      </c>
      <c r="D397" s="2" t="s">
        <v>2971</v>
      </c>
      <c r="E397" s="2" t="s">
        <v>518</v>
      </c>
      <c r="F397" s="3">
        <v>45755.412974537037</v>
      </c>
      <c r="G397" s="3">
        <v>45852.398553240739</v>
      </c>
      <c r="H397" s="4">
        <v>45933</v>
      </c>
      <c r="I397" s="2" t="s">
        <v>21</v>
      </c>
      <c r="J397" s="2" t="s">
        <v>22</v>
      </c>
      <c r="K397" s="2">
        <v>1</v>
      </c>
      <c r="L397" s="2">
        <v>7833.15</v>
      </c>
      <c r="M397" s="2">
        <v>0</v>
      </c>
      <c r="N397" s="2">
        <v>5719.7757475539529</v>
      </c>
      <c r="O397" s="2">
        <v>6931.99</v>
      </c>
      <c r="P397" s="2">
        <v>901.16</v>
      </c>
      <c r="Q397" s="2">
        <v>7833.15</v>
      </c>
      <c r="R397" s="2" t="s">
        <v>44</v>
      </c>
      <c r="S397" s="2"/>
      <c r="T397" s="2">
        <f t="shared" si="137"/>
        <v>1</v>
      </c>
      <c r="U397" s="18">
        <f t="shared" si="138"/>
        <v>4</v>
      </c>
      <c r="V397" s="18">
        <f t="shared" si="139"/>
        <v>2025</v>
      </c>
      <c r="W397" s="18" t="str">
        <f t="shared" si="140"/>
        <v/>
      </c>
      <c r="X397" s="18" t="str">
        <f t="shared" si="141"/>
        <v/>
      </c>
      <c r="Y397" s="2">
        <f t="shared" si="134"/>
        <v>0.73020122780158092</v>
      </c>
      <c r="Z397" t="str">
        <f t="shared" si="135"/>
        <v>SO16932</v>
      </c>
      <c r="AA397" s="11">
        <f t="shared" si="142"/>
        <v>45755.412974537037</v>
      </c>
      <c r="AB397" s="5" t="str">
        <f t="shared" si="143"/>
        <v>INV13407</v>
      </c>
      <c r="AC397" s="5" t="str">
        <f>IFERROR(VLOOKUP(D397,CAARStatus!$A$2:$AA$1600,22,FALSE),"Not invoiced")</f>
        <v>Approved</v>
      </c>
      <c r="AD397" s="11" t="str">
        <f>IF(AC397="Paid",IFERROR(VLOOKUP(D397,CAARStatus!$A$2:$AA$1600,6,FALSE),"Pending"),"Pending")</f>
        <v>Pending</v>
      </c>
      <c r="AE397" s="5" t="str">
        <f t="shared" si="144"/>
        <v>SUD1006029</v>
      </c>
      <c r="AF397" s="5" t="str">
        <f t="shared" si="145"/>
        <v>Process and Steam Specialties, Process and Steam Specialties</v>
      </c>
      <c r="AG397" s="5" t="str">
        <f t="shared" si="146"/>
        <v>CAD</v>
      </c>
      <c r="AH397" s="5">
        <f t="shared" si="147"/>
        <v>6931.99</v>
      </c>
      <c r="AI397" s="12">
        <f>IF(L397-N397=0,VLOOKUP(U397,rate!A$4:B$15,2,FALSE)*AH397,IF(AG397="USD",O397,AH397*Y397))</f>
        <v>5061.7476091082808</v>
      </c>
      <c r="AJ397" s="13">
        <f t="shared" si="148"/>
        <v>0.73020122780158092</v>
      </c>
      <c r="AK397" s="13">
        <f>-IF(AG397="CAD",IFERROR(VLOOKUP(D397,CAARStatus!$A$1:$Y$1600,16,FALSE),0),0)</f>
        <v>-6931.99</v>
      </c>
      <c r="AL397" s="13">
        <f>-IF(AG397="USD",IFERROR(VLOOKUP(D397,CAARStatus!$A$1:$Y$1600,11,FALSE),0),0)</f>
        <v>0</v>
      </c>
      <c r="AM397" s="22">
        <f t="shared" si="149"/>
        <v>0</v>
      </c>
      <c r="AN397" s="12" t="str">
        <f t="shared" si="150"/>
        <v/>
      </c>
      <c r="AO397" s="12" t="str">
        <f t="shared" si="151"/>
        <v>Pend</v>
      </c>
      <c r="AP397" t="str">
        <f t="shared" si="136"/>
        <v>Pend</v>
      </c>
      <c r="AQ397" t="str">
        <f>IFERROR(VLOOKUP(Z397,InvBal!$L$4:$P$600,4,FALSE),"Pend")</f>
        <v>Pend</v>
      </c>
      <c r="AR397" t="str">
        <f>IFERROR(VLOOKUP(D397,Manual!$C$1:$E$22,2,FALSE),"Pend")</f>
        <v>Pend</v>
      </c>
      <c r="AS397" t="str">
        <f t="shared" si="152"/>
        <v/>
      </c>
      <c r="AT397" t="str">
        <f t="shared" si="153"/>
        <v>Yes</v>
      </c>
      <c r="AU397" s="51" t="str">
        <f t="shared" si="154"/>
        <v/>
      </c>
      <c r="AV397" s="12">
        <f>IFERROR(VLOOKUP(D397,'Receivable Invoice Detail'!$S$1:$U$3014,3,FALSE),0)</f>
        <v>0</v>
      </c>
      <c r="AW397" s="12">
        <f t="shared" si="155"/>
        <v>0</v>
      </c>
    </row>
    <row r="398" spans="1:49" ht="30" x14ac:dyDescent="0.25">
      <c r="A398" s="2">
        <v>1</v>
      </c>
      <c r="B398" s="2" t="s">
        <v>1641</v>
      </c>
      <c r="C398" s="2" t="s">
        <v>1642</v>
      </c>
      <c r="D398" s="2" t="s">
        <v>2631</v>
      </c>
      <c r="E398" s="2" t="s">
        <v>20</v>
      </c>
      <c r="F398" s="3">
        <v>45755.640069444453</v>
      </c>
      <c r="G398" s="3">
        <v>45755.647962962961</v>
      </c>
      <c r="H398" s="4">
        <v>45756</v>
      </c>
      <c r="I398" s="2" t="s">
        <v>21</v>
      </c>
      <c r="J398" s="2" t="s">
        <v>22</v>
      </c>
      <c r="K398" s="2">
        <v>1</v>
      </c>
      <c r="L398" s="2">
        <v>2209.0500000000002</v>
      </c>
      <c r="M398" s="2">
        <v>0</v>
      </c>
      <c r="N398" s="2">
        <v>1555.440708042272</v>
      </c>
      <c r="O398" s="2">
        <v>2103.86</v>
      </c>
      <c r="P398" s="2">
        <v>105.19</v>
      </c>
      <c r="Q398" s="2">
        <v>2209.0500000000002</v>
      </c>
      <c r="R398" s="2" t="s">
        <v>44</v>
      </c>
      <c r="S398" s="2"/>
      <c r="T398" s="2">
        <f t="shared" si="137"/>
        <v>1</v>
      </c>
      <c r="U398" s="18">
        <f t="shared" si="138"/>
        <v>4</v>
      </c>
      <c r="V398" s="18">
        <f t="shared" si="139"/>
        <v>2025</v>
      </c>
      <c r="W398" s="18">
        <f t="shared" si="140"/>
        <v>6</v>
      </c>
      <c r="X398" s="18">
        <f t="shared" si="141"/>
        <v>2025</v>
      </c>
      <c r="Y398" s="2">
        <f t="shared" si="134"/>
        <v>0.7041220017846006</v>
      </c>
      <c r="Z398" t="str">
        <f t="shared" si="135"/>
        <v>SO16934</v>
      </c>
      <c r="AA398" s="11">
        <f t="shared" si="142"/>
        <v>45755.640069444453</v>
      </c>
      <c r="AB398" s="5" t="str">
        <f t="shared" si="143"/>
        <v>INV12842</v>
      </c>
      <c r="AC398" s="5" t="str">
        <f>IFERROR(VLOOKUP(D398,CAARStatus!$A$2:$AA$1600,22,FALSE),"Not invoiced")</f>
        <v>Paid</v>
      </c>
      <c r="AD398" s="11">
        <f>IF(AC398="Paid",IFERROR(VLOOKUP(D398,CAARStatus!$A$2:$AA$1600,6,FALSE),"Pending"),"Pending")</f>
        <v>45814</v>
      </c>
      <c r="AE398" s="5" t="str">
        <f t="shared" si="144"/>
        <v>4500590642</v>
      </c>
      <c r="AF398" s="5" t="str">
        <f t="shared" si="145"/>
        <v>Resolute Forest Products - Saint-Felicien</v>
      </c>
      <c r="AG398" s="5" t="str">
        <f t="shared" si="146"/>
        <v>CAD</v>
      </c>
      <c r="AH398" s="5">
        <f t="shared" si="147"/>
        <v>2103.86</v>
      </c>
      <c r="AI398" s="12">
        <f>IF(L398-N398=0,VLOOKUP(U398,rate!A$4:B$15,2,FALSE)*AH398,IF(AG398="USD",O398,AH398*Y398))</f>
        <v>1481.3741146745499</v>
      </c>
      <c r="AJ398" s="13">
        <f t="shared" si="148"/>
        <v>0.7041220017846006</v>
      </c>
      <c r="AK398" s="13">
        <f>-IF(AG398="CAD",IFERROR(VLOOKUP(D398,CAARStatus!$A$1:$Y$1600,16,FALSE),0),0)</f>
        <v>-2103.86</v>
      </c>
      <c r="AL398" s="13">
        <f>-IF(AG398="USD",IFERROR(VLOOKUP(D398,CAARStatus!$A$1:$Y$1600,11,FALSE),0),0)</f>
        <v>0</v>
      </c>
      <c r="AM398" s="22">
        <f t="shared" si="149"/>
        <v>0</v>
      </c>
      <c r="AN398" s="12" t="str">
        <f t="shared" si="150"/>
        <v/>
      </c>
      <c r="AO398" s="12" t="str">
        <f t="shared" si="151"/>
        <v>Yes</v>
      </c>
      <c r="AP398" t="str">
        <f t="shared" si="136"/>
        <v>Yes</v>
      </c>
      <c r="AQ398" t="str">
        <f>IFERROR(VLOOKUP(Z398,InvBal!$L$4:$P$600,4,FALSE),"Pend")</f>
        <v>Pend</v>
      </c>
      <c r="AR398" t="str">
        <f>IFERROR(VLOOKUP(D398,Manual!$C$1:$E$22,2,FALSE),"Pend")</f>
        <v>Pend</v>
      </c>
      <c r="AS398" t="str">
        <f t="shared" si="152"/>
        <v>Yes</v>
      </c>
      <c r="AT398" t="str">
        <f t="shared" si="153"/>
        <v>Yes</v>
      </c>
      <c r="AU398" s="51" t="str">
        <f t="shared" si="154"/>
        <v>Yes</v>
      </c>
      <c r="AV398" s="12">
        <f>IFERROR(VLOOKUP(D398,'Receivable Invoice Detail'!$S$1:$U$3014,3,FALSE),0)</f>
        <v>0</v>
      </c>
      <c r="AW398" s="12">
        <f t="shared" si="155"/>
        <v>1481.3741146745499</v>
      </c>
    </row>
    <row r="399" spans="1:49" x14ac:dyDescent="0.25">
      <c r="A399" s="2">
        <v>4</v>
      </c>
      <c r="B399" s="2" t="s">
        <v>1633</v>
      </c>
      <c r="C399" s="2" t="s">
        <v>1634</v>
      </c>
      <c r="D399" s="2" t="s">
        <v>2638</v>
      </c>
      <c r="E399" s="2" t="s">
        <v>644</v>
      </c>
      <c r="F399" s="3">
        <v>45755.710717592592</v>
      </c>
      <c r="G399" s="3">
        <v>45756.439791666657</v>
      </c>
      <c r="H399" s="4">
        <v>45757</v>
      </c>
      <c r="I399" s="2" t="s">
        <v>21</v>
      </c>
      <c r="J399" s="2" t="s">
        <v>51</v>
      </c>
      <c r="K399" s="2">
        <v>0.70297388821094531</v>
      </c>
      <c r="L399" s="2">
        <v>13846.24687094949</v>
      </c>
      <c r="M399" s="2">
        <v>0</v>
      </c>
      <c r="N399" s="2">
        <v>9733.5499999999993</v>
      </c>
      <c r="O399" s="2">
        <v>9733.5499999999993</v>
      </c>
      <c r="P399" s="2"/>
      <c r="Q399" s="2">
        <v>9733.5499999999993</v>
      </c>
      <c r="R399" s="2" t="s">
        <v>44</v>
      </c>
      <c r="S399" s="2"/>
      <c r="T399" s="2">
        <f t="shared" si="137"/>
        <v>4</v>
      </c>
      <c r="U399" s="18">
        <f t="shared" si="138"/>
        <v>4</v>
      </c>
      <c r="V399" s="18">
        <f t="shared" si="139"/>
        <v>2025</v>
      </c>
      <c r="W399" s="18">
        <f t="shared" si="140"/>
        <v>5</v>
      </c>
      <c r="X399" s="18">
        <f t="shared" si="141"/>
        <v>2025</v>
      </c>
      <c r="Y399" s="2">
        <f t="shared" si="134"/>
        <v>0.70297388821094542</v>
      </c>
      <c r="Z399" t="str">
        <f t="shared" si="135"/>
        <v>SO16939</v>
      </c>
      <c r="AA399" s="11">
        <f t="shared" si="142"/>
        <v>45755.710717592592</v>
      </c>
      <c r="AB399" s="5" t="str">
        <f t="shared" si="143"/>
        <v>INV12841</v>
      </c>
      <c r="AC399" s="5" t="str">
        <f>IFERROR(VLOOKUP(D399,CAARStatus!$A$2:$AA$1600,22,FALSE),"Not invoiced")</f>
        <v>Paid</v>
      </c>
      <c r="AD399" s="11">
        <f>IF(AC399="Paid",IFERROR(VLOOKUP(D399,CAARStatus!$A$2:$AA$1600,6,FALSE),"Pending"),"Pending")</f>
        <v>45792</v>
      </c>
      <c r="AE399" s="5" t="str">
        <f t="shared" si="144"/>
        <v>P-40925</v>
      </c>
      <c r="AF399" s="5" t="str">
        <f t="shared" si="145"/>
        <v>Cartledge &amp; Associates Inc.</v>
      </c>
      <c r="AG399" s="5" t="str">
        <f t="shared" si="146"/>
        <v>USD</v>
      </c>
      <c r="AH399" s="5">
        <f t="shared" si="147"/>
        <v>13846.246870949491</v>
      </c>
      <c r="AI399" s="12">
        <f>IF(L399-N399=0,VLOOKUP(U399,rate!A$4:B$15,2,FALSE)*AH399,IF(AG399="USD",O399,AH399*Y399))</f>
        <v>9733.5499999999993</v>
      </c>
      <c r="AJ399" s="13">
        <f t="shared" si="148"/>
        <v>0.70297388821094531</v>
      </c>
      <c r="AK399" s="13">
        <f>-IF(AG399="CAD",IFERROR(VLOOKUP(D399,CAARStatus!$A$1:$Y$1600,16,FALSE),0),0)</f>
        <v>0</v>
      </c>
      <c r="AL399" s="13">
        <f>-IF(AG399="USD",IFERROR(VLOOKUP(D399,CAARStatus!$A$1:$Y$1600,11,FALSE),0),0)</f>
        <v>-9733.5499999999993</v>
      </c>
      <c r="AM399" s="22" t="str">
        <f t="shared" si="149"/>
        <v/>
      </c>
      <c r="AN399" s="12">
        <f t="shared" si="150"/>
        <v>0</v>
      </c>
      <c r="AO399" s="12" t="str">
        <f t="shared" si="151"/>
        <v>Yes</v>
      </c>
      <c r="AP399" t="str">
        <f t="shared" si="136"/>
        <v>XX</v>
      </c>
      <c r="AQ399" t="str">
        <f>IFERROR(VLOOKUP(Z399,InvBal!$L$4:$P$600,4,FALSE),"Pend")</f>
        <v>Yes</v>
      </c>
      <c r="AR399" t="str">
        <f>IFERROR(VLOOKUP(D399,Manual!$C$1:$E$22,2,FALSE),"Pend")</f>
        <v>Pend</v>
      </c>
      <c r="AS399" t="str">
        <f t="shared" si="152"/>
        <v>Yes</v>
      </c>
      <c r="AT399" t="str">
        <f t="shared" si="153"/>
        <v>Yes</v>
      </c>
      <c r="AU399" s="51" t="str">
        <f t="shared" si="154"/>
        <v>Yes</v>
      </c>
      <c r="AV399" s="12">
        <f>IFERROR(VLOOKUP(D399,'Receivable Invoice Detail'!$S$1:$U$3014,3,FALSE),0)</f>
        <v>615</v>
      </c>
      <c r="AW399" s="12">
        <f t="shared" si="155"/>
        <v>9118.5499999999993</v>
      </c>
    </row>
    <row r="400" spans="1:49" x14ac:dyDescent="0.25">
      <c r="A400" s="2"/>
      <c r="B400" s="2"/>
      <c r="C400" s="2"/>
      <c r="D400" s="2" t="s">
        <v>2635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>
        <f t="shared" si="137"/>
        <v>4</v>
      </c>
      <c r="U400" s="18">
        <f t="shared" si="138"/>
        <v>4</v>
      </c>
      <c r="V400" s="18">
        <f t="shared" si="139"/>
        <v>2025</v>
      </c>
      <c r="W400" s="18" t="str">
        <f t="shared" si="140"/>
        <v/>
      </c>
      <c r="X400" s="18" t="str">
        <f t="shared" si="141"/>
        <v/>
      </c>
      <c r="Y400" s="2">
        <f t="shared" si="134"/>
        <v>0.70297388821094542</v>
      </c>
      <c r="Z400" t="str">
        <f t="shared" si="135"/>
        <v>SO16939</v>
      </c>
      <c r="AA400" s="11">
        <f t="shared" si="142"/>
        <v>45755.710717592592</v>
      </c>
      <c r="AB400" s="5" t="str">
        <f t="shared" si="143"/>
        <v>(* 72154)</v>
      </c>
      <c r="AC400" s="5" t="str">
        <f>IFERROR(VLOOKUP(D400,CAARStatus!$A$2:$AA$1600,22,FALSE),"Not invoiced")</f>
        <v>Not invoiced</v>
      </c>
      <c r="AD400" s="11" t="str">
        <f>IF(AC400="Paid",IFERROR(VLOOKUP(D400,CAARStatus!$A$2:$AA$1600,6,FALSE),"Pending"),"Pending")</f>
        <v>Pending</v>
      </c>
      <c r="AE400" s="5" t="str">
        <f t="shared" si="144"/>
        <v>P-40925</v>
      </c>
      <c r="AF400" s="5" t="str">
        <f t="shared" si="145"/>
        <v>Cartledge &amp; Associates Inc.</v>
      </c>
      <c r="AG400" s="5" t="str">
        <f t="shared" si="146"/>
        <v>USD</v>
      </c>
      <c r="AH400" s="5">
        <f t="shared" si="147"/>
        <v>0</v>
      </c>
      <c r="AI400" s="12">
        <f>IF(L400-N400=0,VLOOKUP(U400,rate!A$4:B$15,2,FALSE)*AH400,IF(AG400="USD",O400,AH400*Y400))</f>
        <v>0</v>
      </c>
      <c r="AJ400" s="13">
        <f t="shared" si="148"/>
        <v>0</v>
      </c>
      <c r="AK400" s="61">
        <f>IF(AC400="Paid",-IF(AG400="CAD",IFERROR(VLOOKUP(D400,CAARStatus!$A$1:$Y$1600,16,FALSE),0),0),0)</f>
        <v>0</v>
      </c>
      <c r="AL400" s="61">
        <f>IF(AC400="Paid",-IF(AG400="USD",IFERROR(VLOOKUP(D400,CAARStatus!$A$1:$Y$1600,11,FALSE),0),0),0)</f>
        <v>0</v>
      </c>
      <c r="AM400" s="22" t="str">
        <f t="shared" si="149"/>
        <v/>
      </c>
      <c r="AN400" s="12">
        <f t="shared" si="150"/>
        <v>0</v>
      </c>
      <c r="AO400" s="12" t="str">
        <f t="shared" si="151"/>
        <v>Pend</v>
      </c>
      <c r="AP400" t="str">
        <f t="shared" si="136"/>
        <v>XX</v>
      </c>
      <c r="AQ400" t="str">
        <f>IFERROR(VLOOKUP(Z400,InvBal!$L$4:$P$600,4,FALSE),"Pend")</f>
        <v>Yes</v>
      </c>
      <c r="AR400" t="str">
        <f>IFERROR(VLOOKUP(D400,Manual!$C$1:$E$22,2,FALSE),"Pend")</f>
        <v>Pend</v>
      </c>
      <c r="AS400" t="str">
        <f t="shared" si="152"/>
        <v>Yes</v>
      </c>
      <c r="AT400" t="str">
        <f t="shared" si="153"/>
        <v/>
      </c>
      <c r="AU400" s="51" t="str">
        <f t="shared" si="154"/>
        <v/>
      </c>
      <c r="AV400" s="12">
        <f>IFERROR(VLOOKUP(D400,'Receivable Invoice Detail'!$S$1:$U$3014,3,FALSE),0)</f>
        <v>0</v>
      </c>
      <c r="AW400" s="12">
        <f t="shared" si="155"/>
        <v>0</v>
      </c>
    </row>
    <row r="401" spans="1:49" x14ac:dyDescent="0.25">
      <c r="A401" s="2"/>
      <c r="B401" s="2"/>
      <c r="C401" s="2"/>
      <c r="D401" s="2" t="s">
        <v>2636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>
        <f t="shared" si="137"/>
        <v>4</v>
      </c>
      <c r="U401" s="18">
        <f t="shared" si="138"/>
        <v>4</v>
      </c>
      <c r="V401" s="18">
        <f t="shared" si="139"/>
        <v>2025</v>
      </c>
      <c r="W401" s="18" t="str">
        <f t="shared" si="140"/>
        <v/>
      </c>
      <c r="X401" s="18" t="str">
        <f t="shared" si="141"/>
        <v/>
      </c>
      <c r="Y401" s="2">
        <f t="shared" si="134"/>
        <v>0.70297388821094542</v>
      </c>
      <c r="Z401" t="str">
        <f t="shared" si="135"/>
        <v>SO16939</v>
      </c>
      <c r="AA401" s="11">
        <f t="shared" si="142"/>
        <v>45755.710717592592</v>
      </c>
      <c r="AB401" s="5" t="str">
        <f t="shared" si="143"/>
        <v>INV12838</v>
      </c>
      <c r="AC401" s="5" t="str">
        <f>IFERROR(VLOOKUP(D401,CAARStatus!$A$2:$AA$1600,22,FALSE),"Not invoiced")</f>
        <v>Not invoiced</v>
      </c>
      <c r="AD401" s="11" t="str">
        <f>IF(AC401="Paid",IFERROR(VLOOKUP(D401,CAARStatus!$A$2:$AA$1600,6,FALSE),"Pending"),"Pending")</f>
        <v>Pending</v>
      </c>
      <c r="AE401" s="5" t="str">
        <f t="shared" si="144"/>
        <v>P-40925</v>
      </c>
      <c r="AF401" s="5" t="str">
        <f t="shared" si="145"/>
        <v>Cartledge &amp; Associates Inc.</v>
      </c>
      <c r="AG401" s="5" t="str">
        <f t="shared" si="146"/>
        <v>USD</v>
      </c>
      <c r="AH401" s="5">
        <f t="shared" si="147"/>
        <v>0</v>
      </c>
      <c r="AI401" s="12">
        <f>IF(L401-N401=0,VLOOKUP(U401,rate!A$4:B$15,2,FALSE)*AH401,IF(AG401="USD",O401,AH401*Y401))</f>
        <v>0</v>
      </c>
      <c r="AJ401" s="13">
        <f t="shared" si="148"/>
        <v>0</v>
      </c>
      <c r="AK401" s="61">
        <f>IF(AC401="Paid",-IF(AG401="CAD",IFERROR(VLOOKUP(D401,CAARStatus!$A$1:$Y$1600,16,FALSE),0),0),0)</f>
        <v>0</v>
      </c>
      <c r="AL401" s="61">
        <f>IF(AC401="Paid",-IF(AG401="USD",IFERROR(VLOOKUP(D401,CAARStatus!$A$1:$Y$1600,11,FALSE),0),0),0)</f>
        <v>0</v>
      </c>
      <c r="AM401" s="22" t="str">
        <f t="shared" si="149"/>
        <v/>
      </c>
      <c r="AN401" s="12">
        <f t="shared" si="150"/>
        <v>0</v>
      </c>
      <c r="AO401" s="12" t="str">
        <f t="shared" si="151"/>
        <v>Pend</v>
      </c>
      <c r="AP401" t="str">
        <f t="shared" si="136"/>
        <v>XX</v>
      </c>
      <c r="AQ401" t="str">
        <f>IFERROR(VLOOKUP(Z401,InvBal!$L$4:$P$600,4,FALSE),"Pend")</f>
        <v>Yes</v>
      </c>
      <c r="AR401" t="str">
        <f>IFERROR(VLOOKUP(D401,Manual!$C$1:$E$22,2,FALSE),"Pend")</f>
        <v>Pend</v>
      </c>
      <c r="AS401" t="str">
        <f t="shared" si="152"/>
        <v>Yes</v>
      </c>
      <c r="AT401" t="str">
        <f t="shared" si="153"/>
        <v/>
      </c>
      <c r="AU401" s="51" t="str">
        <f t="shared" si="154"/>
        <v/>
      </c>
      <c r="AV401" s="12">
        <f>IFERROR(VLOOKUP(D401,'Receivable Invoice Detail'!$S$1:$U$3014,3,FALSE),0)</f>
        <v>0</v>
      </c>
      <c r="AW401" s="12">
        <f t="shared" si="155"/>
        <v>0</v>
      </c>
    </row>
    <row r="402" spans="1:49" x14ac:dyDescent="0.25">
      <c r="A402" s="2"/>
      <c r="B402" s="2"/>
      <c r="C402" s="2"/>
      <c r="D402" s="2" t="s">
        <v>2637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>
        <f t="shared" si="137"/>
        <v>4</v>
      </c>
      <c r="U402" s="18">
        <f t="shared" si="138"/>
        <v>4</v>
      </c>
      <c r="V402" s="18">
        <f t="shared" si="139"/>
        <v>2025</v>
      </c>
      <c r="W402" s="18" t="str">
        <f t="shared" si="140"/>
        <v/>
      </c>
      <c r="X402" s="18" t="str">
        <f t="shared" si="141"/>
        <v/>
      </c>
      <c r="Y402" s="2">
        <f t="shared" si="134"/>
        <v>0.70297388821094542</v>
      </c>
      <c r="Z402" t="str">
        <f t="shared" si="135"/>
        <v>SO16939</v>
      </c>
      <c r="AA402" s="11">
        <f t="shared" si="142"/>
        <v>45755.710717592592</v>
      </c>
      <c r="AB402" s="5" t="str">
        <f t="shared" si="143"/>
        <v>INV12839</v>
      </c>
      <c r="AC402" s="5" t="str">
        <f>IFERROR(VLOOKUP(D402,CAARStatus!$A$2:$AA$1600,22,FALSE),"Not invoiced")</f>
        <v>Not invoiced</v>
      </c>
      <c r="AD402" s="11" t="str">
        <f>IF(AC402="Paid",IFERROR(VLOOKUP(D402,CAARStatus!$A$2:$AA$1600,6,FALSE),"Pending"),"Pending")</f>
        <v>Pending</v>
      </c>
      <c r="AE402" s="5" t="str">
        <f t="shared" si="144"/>
        <v>P-40925</v>
      </c>
      <c r="AF402" s="5" t="str">
        <f t="shared" si="145"/>
        <v>Cartledge &amp; Associates Inc.</v>
      </c>
      <c r="AG402" s="5" t="str">
        <f t="shared" si="146"/>
        <v>USD</v>
      </c>
      <c r="AH402" s="5">
        <f t="shared" si="147"/>
        <v>0</v>
      </c>
      <c r="AI402" s="12">
        <f>IF(L402-N402=0,VLOOKUP(U402,rate!A$4:B$15,2,FALSE)*AH402,IF(AG402="USD",O402,AH402*Y402))</f>
        <v>0</v>
      </c>
      <c r="AJ402" s="13">
        <f t="shared" si="148"/>
        <v>0</v>
      </c>
      <c r="AK402" s="61">
        <f>IF(AC402="Paid",-IF(AG402="CAD",IFERROR(VLOOKUP(D402,CAARStatus!$A$1:$Y$1600,16,FALSE),0),0),0)</f>
        <v>0</v>
      </c>
      <c r="AL402" s="61">
        <f>IF(AC402="Paid",-IF(AG402="USD",IFERROR(VLOOKUP(D402,CAARStatus!$A$1:$Y$1600,11,FALSE),0),0),0)</f>
        <v>0</v>
      </c>
      <c r="AM402" s="22" t="str">
        <f t="shared" si="149"/>
        <v/>
      </c>
      <c r="AN402" s="12">
        <f t="shared" si="150"/>
        <v>0</v>
      </c>
      <c r="AO402" s="12" t="str">
        <f t="shared" si="151"/>
        <v>Pend</v>
      </c>
      <c r="AP402" t="str">
        <f t="shared" si="136"/>
        <v>XX</v>
      </c>
      <c r="AQ402" t="str">
        <f>IFERROR(VLOOKUP(Z402,InvBal!$L$4:$P$600,4,FALSE),"Pend")</f>
        <v>Yes</v>
      </c>
      <c r="AR402" t="str">
        <f>IFERROR(VLOOKUP(D402,Manual!$C$1:$E$22,2,FALSE),"Pend")</f>
        <v>Pend</v>
      </c>
      <c r="AS402" t="str">
        <f t="shared" si="152"/>
        <v>Yes</v>
      </c>
      <c r="AT402" t="str">
        <f t="shared" si="153"/>
        <v/>
      </c>
      <c r="AU402" s="51" t="str">
        <f t="shared" si="154"/>
        <v/>
      </c>
      <c r="AV402" s="12">
        <f>IFERROR(VLOOKUP(D402,'Receivable Invoice Detail'!$S$1:$U$3014,3,FALSE),0)</f>
        <v>0</v>
      </c>
      <c r="AW402" s="12">
        <f t="shared" si="155"/>
        <v>0</v>
      </c>
    </row>
    <row r="403" spans="1:49" x14ac:dyDescent="0.25">
      <c r="A403" s="2">
        <v>1</v>
      </c>
      <c r="B403" s="2" t="s">
        <v>1631</v>
      </c>
      <c r="C403" s="2" t="s">
        <v>1632</v>
      </c>
      <c r="D403" s="2" t="s">
        <v>2639</v>
      </c>
      <c r="E403" s="2" t="s">
        <v>64</v>
      </c>
      <c r="F403" s="3">
        <v>45756.38076388889</v>
      </c>
      <c r="G403" s="3">
        <v>45756.568449074082</v>
      </c>
      <c r="H403" s="4">
        <v>45847</v>
      </c>
      <c r="I403" s="2" t="s">
        <v>21</v>
      </c>
      <c r="J403" s="2" t="s">
        <v>22</v>
      </c>
      <c r="K403" s="2">
        <v>1</v>
      </c>
      <c r="L403" s="2">
        <v>4949.3999999999996</v>
      </c>
      <c r="M403" s="2">
        <v>0</v>
      </c>
      <c r="N403" s="2">
        <v>3487.8454730556</v>
      </c>
      <c r="O403" s="2">
        <v>4380</v>
      </c>
      <c r="P403" s="2">
        <v>569.4</v>
      </c>
      <c r="Q403" s="2">
        <v>4949.3999999999996</v>
      </c>
      <c r="R403" s="2" t="s">
        <v>44</v>
      </c>
      <c r="S403" s="2"/>
      <c r="T403" s="2">
        <f t="shared" si="137"/>
        <v>1</v>
      </c>
      <c r="U403" s="18">
        <f t="shared" si="138"/>
        <v>4</v>
      </c>
      <c r="V403" s="18">
        <f t="shared" si="139"/>
        <v>2025</v>
      </c>
      <c r="W403" s="18">
        <f t="shared" si="140"/>
        <v>7</v>
      </c>
      <c r="X403" s="18">
        <f t="shared" si="141"/>
        <v>2025</v>
      </c>
      <c r="Y403" s="2">
        <f t="shared" si="134"/>
        <v>0.70470066534440545</v>
      </c>
      <c r="Z403" t="str">
        <f t="shared" si="135"/>
        <v>SO16941</v>
      </c>
      <c r="AA403" s="11">
        <f t="shared" si="142"/>
        <v>45756.38076388889</v>
      </c>
      <c r="AB403" s="5" t="str">
        <f t="shared" si="143"/>
        <v>INV13135</v>
      </c>
      <c r="AC403" s="5" t="str">
        <f>IFERROR(VLOOKUP(D403,CAARStatus!$A$2:$AA$1600,22,FALSE),"Not invoiced")</f>
        <v>Paid</v>
      </c>
      <c r="AD403" s="11">
        <f>IF(AC403="Paid",IFERROR(VLOOKUP(D403,CAARStatus!$A$2:$AA$1600,6,FALSE),"Pending"),"Pending")</f>
        <v>45869</v>
      </c>
      <c r="AE403" s="5" t="str">
        <f t="shared" si="144"/>
        <v>606890</v>
      </c>
      <c r="AF403" s="5" t="str">
        <f t="shared" si="145"/>
        <v>Sealtrac Inc.</v>
      </c>
      <c r="AG403" s="5" t="str">
        <f t="shared" si="146"/>
        <v>CAD</v>
      </c>
      <c r="AH403" s="5">
        <f t="shared" si="147"/>
        <v>4380</v>
      </c>
      <c r="AI403" s="12">
        <f>IF(L403-N403=0,VLOOKUP(U403,rate!A$4:B$15,2,FALSE)*AH403,IF(AG403="USD",O403,AH403*Y403))</f>
        <v>3086.5889142084957</v>
      </c>
      <c r="AJ403" s="13">
        <f t="shared" si="148"/>
        <v>0.70470066534440545</v>
      </c>
      <c r="AK403" s="13">
        <f>-IF(AG403="CAD",IFERROR(VLOOKUP(D403,CAARStatus!$A$1:$Y$1600,16,FALSE),0),0)</f>
        <v>-4380</v>
      </c>
      <c r="AL403" s="13">
        <f>-IF(AG403="USD",IFERROR(VLOOKUP(D403,CAARStatus!$A$1:$Y$1600,11,FALSE),0),0)</f>
        <v>0</v>
      </c>
      <c r="AM403" s="22">
        <f t="shared" si="149"/>
        <v>0</v>
      </c>
      <c r="AN403" s="12" t="str">
        <f t="shared" si="150"/>
        <v/>
      </c>
      <c r="AO403" s="12" t="str">
        <f t="shared" si="151"/>
        <v>Yes</v>
      </c>
      <c r="AP403" t="str">
        <f t="shared" si="136"/>
        <v>Yes</v>
      </c>
      <c r="AQ403" t="str">
        <f>IFERROR(VLOOKUP(Z403,InvBal!$L$4:$P$600,4,FALSE),"Pend")</f>
        <v>Pend</v>
      </c>
      <c r="AR403" t="str">
        <f>IFERROR(VLOOKUP(D403,Manual!$C$1:$E$22,2,FALSE),"Pend")</f>
        <v>Pend</v>
      </c>
      <c r="AS403" t="str">
        <f t="shared" si="152"/>
        <v>Yes</v>
      </c>
      <c r="AT403" t="str">
        <f t="shared" si="153"/>
        <v>Yes</v>
      </c>
      <c r="AU403" s="51" t="str">
        <f t="shared" si="154"/>
        <v>Yes</v>
      </c>
      <c r="AV403" s="12">
        <f>IFERROR(VLOOKUP(D403,'Receivable Invoice Detail'!$S$1:$U$3014,3,FALSE),0)</f>
        <v>0</v>
      </c>
      <c r="AW403" s="12">
        <f t="shared" si="155"/>
        <v>3086.5889142084957</v>
      </c>
    </row>
    <row r="404" spans="1:49" x14ac:dyDescent="0.25">
      <c r="A404" s="2">
        <v>1</v>
      </c>
      <c r="B404" s="2" t="s">
        <v>1635</v>
      </c>
      <c r="C404" s="2" t="s">
        <v>1636</v>
      </c>
      <c r="D404" s="2" t="s">
        <v>2634</v>
      </c>
      <c r="E404" s="2" t="s">
        <v>141</v>
      </c>
      <c r="F404" s="3">
        <v>45756.385810185187</v>
      </c>
      <c r="G404" s="3">
        <v>45756.387743055559</v>
      </c>
      <c r="H404" s="4">
        <v>45757</v>
      </c>
      <c r="I404" s="2" t="s">
        <v>21</v>
      </c>
      <c r="J404" s="2" t="s">
        <v>51</v>
      </c>
      <c r="K404" s="2">
        <v>0.70297388821094531</v>
      </c>
      <c r="L404" s="2">
        <v>45.478218375028149</v>
      </c>
      <c r="M404" s="2">
        <v>0</v>
      </c>
      <c r="N404" s="2">
        <v>31.97</v>
      </c>
      <c r="O404" s="2">
        <v>31.97</v>
      </c>
      <c r="P404" s="2"/>
      <c r="Q404" s="2">
        <v>31.97</v>
      </c>
      <c r="R404" s="2" t="s">
        <v>44</v>
      </c>
      <c r="S404" s="2"/>
      <c r="T404" s="2">
        <f t="shared" si="137"/>
        <v>1</v>
      </c>
      <c r="U404" s="18">
        <f t="shared" si="138"/>
        <v>4</v>
      </c>
      <c r="V404" s="18">
        <f t="shared" si="139"/>
        <v>2025</v>
      </c>
      <c r="W404" s="18">
        <f t="shared" si="140"/>
        <v>6</v>
      </c>
      <c r="X404" s="18">
        <f t="shared" si="141"/>
        <v>2025</v>
      </c>
      <c r="Y404" s="2">
        <f t="shared" si="134"/>
        <v>0.70297388821094531</v>
      </c>
      <c r="Z404" t="str">
        <f t="shared" si="135"/>
        <v>SO16942</v>
      </c>
      <c r="AA404" s="11">
        <f t="shared" si="142"/>
        <v>45756.385810185187</v>
      </c>
      <c r="AB404" s="5" t="str">
        <f t="shared" si="143"/>
        <v>INV12884</v>
      </c>
      <c r="AC404" s="5" t="str">
        <f>IFERROR(VLOOKUP(D404,CAARStatus!$A$2:$AA$1600,22,FALSE),"Not invoiced")</f>
        <v>Paid</v>
      </c>
      <c r="AD404" s="11">
        <f>IF(AC404="Paid",IFERROR(VLOOKUP(D404,CAARStatus!$A$2:$AA$1600,6,FALSE),"Pending"),"Pending")</f>
        <v>45813</v>
      </c>
      <c r="AE404" s="5" t="str">
        <f t="shared" si="144"/>
        <v>4511783974</v>
      </c>
      <c r="AF404" s="5" t="str">
        <f t="shared" si="145"/>
        <v>PT Vale Indonesia Tbk.</v>
      </c>
      <c r="AG404" s="5" t="str">
        <f t="shared" si="146"/>
        <v>USD</v>
      </c>
      <c r="AH404" s="5">
        <f t="shared" si="147"/>
        <v>45.478218375028149</v>
      </c>
      <c r="AI404" s="12">
        <f>IF(L404-N404=0,VLOOKUP(U404,rate!A$4:B$15,2,FALSE)*AH404,IF(AG404="USD",O404,AH404*Y404))</f>
        <v>31.97</v>
      </c>
      <c r="AJ404" s="13">
        <f t="shared" si="148"/>
        <v>0.70297388821094531</v>
      </c>
      <c r="AK404" s="13">
        <f>-IF(AG404="CAD",IFERROR(VLOOKUP(D404,CAARStatus!$A$1:$Y$1600,16,FALSE),0),0)</f>
        <v>0</v>
      </c>
      <c r="AL404" s="13">
        <f>-IF(AG404="USD",IFERROR(VLOOKUP(D404,CAARStatus!$A$1:$Y$1600,11,FALSE),0),0)</f>
        <v>-31.97</v>
      </c>
      <c r="AM404" s="22" t="str">
        <f t="shared" si="149"/>
        <v/>
      </c>
      <c r="AN404" s="12">
        <f t="shared" si="150"/>
        <v>0</v>
      </c>
      <c r="AO404" s="12" t="str">
        <f t="shared" si="151"/>
        <v>Yes</v>
      </c>
      <c r="AP404" t="str">
        <f t="shared" si="136"/>
        <v>Yes</v>
      </c>
      <c r="AQ404" t="str">
        <f>IFERROR(VLOOKUP(Z404,InvBal!$L$4:$P$600,4,FALSE),"Pend")</f>
        <v>Pend</v>
      </c>
      <c r="AR404" t="str">
        <f>IFERROR(VLOOKUP(D404,Manual!$C$1:$E$22,2,FALSE),"Pend")</f>
        <v>Pend</v>
      </c>
      <c r="AS404" t="str">
        <f t="shared" si="152"/>
        <v>Yes</v>
      </c>
      <c r="AT404" t="str">
        <f t="shared" si="153"/>
        <v>Yes</v>
      </c>
      <c r="AU404" s="51" t="str">
        <f t="shared" si="154"/>
        <v>Yes</v>
      </c>
      <c r="AV404" s="12">
        <f>IFERROR(VLOOKUP(D404,'Receivable Invoice Detail'!$S$1:$U$3014,3,FALSE),0)</f>
        <v>0</v>
      </c>
      <c r="AW404" s="12">
        <f t="shared" si="155"/>
        <v>31.97</v>
      </c>
    </row>
    <row r="405" spans="1:49" x14ac:dyDescent="0.25">
      <c r="A405" s="2">
        <v>1</v>
      </c>
      <c r="B405" s="2" t="s">
        <v>1169</v>
      </c>
      <c r="C405" s="2" t="s">
        <v>1170</v>
      </c>
      <c r="D405" s="2" t="s">
        <v>2895</v>
      </c>
      <c r="E405" s="2" t="s">
        <v>192</v>
      </c>
      <c r="F405" s="3">
        <v>45756.535451388889</v>
      </c>
      <c r="G405" s="3">
        <v>45828.662233796298</v>
      </c>
      <c r="H405" s="4">
        <v>45831</v>
      </c>
      <c r="I405" s="2" t="s">
        <v>21</v>
      </c>
      <c r="J405" s="2" t="s">
        <v>51</v>
      </c>
      <c r="K405" s="2">
        <v>0.73067487305017076</v>
      </c>
      <c r="L405" s="2">
        <v>2860.0682424951929</v>
      </c>
      <c r="M405" s="2">
        <v>0</v>
      </c>
      <c r="N405" s="2">
        <v>2089.7800000000002</v>
      </c>
      <c r="O405" s="2">
        <v>2089.7800000000002</v>
      </c>
      <c r="P405" s="2"/>
      <c r="Q405" s="2">
        <v>2089.7800000000002</v>
      </c>
      <c r="R405" s="2" t="s">
        <v>44</v>
      </c>
      <c r="S405" s="2"/>
      <c r="T405" s="2">
        <f t="shared" si="137"/>
        <v>1</v>
      </c>
      <c r="U405" s="18">
        <f t="shared" si="138"/>
        <v>4</v>
      </c>
      <c r="V405" s="18">
        <f t="shared" si="139"/>
        <v>2025</v>
      </c>
      <c r="W405" s="18">
        <f t="shared" si="140"/>
        <v>8</v>
      </c>
      <c r="X405" s="18">
        <f t="shared" si="141"/>
        <v>2025</v>
      </c>
      <c r="Y405" s="2">
        <f t="shared" si="134"/>
        <v>0.73067487305017076</v>
      </c>
      <c r="Z405" t="str">
        <f t="shared" si="135"/>
        <v>SO16947</v>
      </c>
      <c r="AA405" s="11">
        <f t="shared" si="142"/>
        <v>45756.535451388889</v>
      </c>
      <c r="AB405" s="5" t="str">
        <f t="shared" si="143"/>
        <v>INV13123</v>
      </c>
      <c r="AC405" s="5" t="str">
        <f>IFERROR(VLOOKUP(D405,CAARStatus!$A$2:$AA$1600,22,FALSE),"Not invoiced")</f>
        <v>Paid</v>
      </c>
      <c r="AD405" s="11">
        <f>IF(AC405="Paid",IFERROR(VLOOKUP(D405,CAARStatus!$A$2:$AA$1600,6,FALSE),"Pending"),"Pending")</f>
        <v>45876</v>
      </c>
      <c r="AE405" s="5" t="str">
        <f t="shared" si="144"/>
        <v>PO-041091</v>
      </c>
      <c r="AF405" s="5" t="str">
        <f t="shared" si="145"/>
        <v>Southeast Pump Specialist, Inc.</v>
      </c>
      <c r="AG405" s="5" t="str">
        <f t="shared" si="146"/>
        <v>USD</v>
      </c>
      <c r="AH405" s="5">
        <f t="shared" si="147"/>
        <v>2860.0682424951929</v>
      </c>
      <c r="AI405" s="12">
        <f>IF(L405-N405=0,VLOOKUP(U405,rate!A$4:B$15,2,FALSE)*AH405,IF(AG405="USD",O405,AH405*Y405))</f>
        <v>2089.7800000000002</v>
      </c>
      <c r="AJ405" s="13">
        <f t="shared" si="148"/>
        <v>0.73067487305017076</v>
      </c>
      <c r="AK405" s="13">
        <f>-IF(AG405="CAD",IFERROR(VLOOKUP(D405,CAARStatus!$A$1:$Y$1600,16,FALSE),0),0)</f>
        <v>0</v>
      </c>
      <c r="AL405" s="13">
        <f>-IF(AG405="USD",IFERROR(VLOOKUP(D405,CAARStatus!$A$1:$Y$1600,11,FALSE),0),0)</f>
        <v>-2089.7800000000002</v>
      </c>
      <c r="AM405" s="22" t="str">
        <f t="shared" si="149"/>
        <v/>
      </c>
      <c r="AN405" s="12">
        <f t="shared" si="150"/>
        <v>0</v>
      </c>
      <c r="AO405" s="12" t="str">
        <f t="shared" si="151"/>
        <v>Yes</v>
      </c>
      <c r="AP405" t="str">
        <f t="shared" si="136"/>
        <v>Yes</v>
      </c>
      <c r="AQ405" t="str">
        <f>IFERROR(VLOOKUP(Z405,InvBal!$L$4:$P$600,4,FALSE),"Pend")</f>
        <v>Pend</v>
      </c>
      <c r="AR405" t="str">
        <f>IFERROR(VLOOKUP(D405,Manual!$C$1:$E$22,2,FALSE),"Pend")</f>
        <v>Pend</v>
      </c>
      <c r="AS405" t="str">
        <f t="shared" si="152"/>
        <v>Yes</v>
      </c>
      <c r="AT405" t="str">
        <f t="shared" si="153"/>
        <v>Yes</v>
      </c>
      <c r="AU405" s="51" t="str">
        <f t="shared" si="154"/>
        <v>Yes</v>
      </c>
      <c r="AV405" s="12">
        <f>IFERROR(VLOOKUP(D405,'Receivable Invoice Detail'!$S$1:$U$3014,3,FALSE),0)</f>
        <v>595</v>
      </c>
      <c r="AW405" s="12">
        <f t="shared" si="155"/>
        <v>1494.7800000000002</v>
      </c>
    </row>
    <row r="406" spans="1:49" x14ac:dyDescent="0.25">
      <c r="A406" s="2">
        <v>2</v>
      </c>
      <c r="B406" s="2" t="s">
        <v>1627</v>
      </c>
      <c r="C406" s="2" t="s">
        <v>1628</v>
      </c>
      <c r="D406" s="2" t="s">
        <v>2642</v>
      </c>
      <c r="E406" s="2" t="s">
        <v>229</v>
      </c>
      <c r="F406" s="3">
        <v>45756.561990740738</v>
      </c>
      <c r="G406" s="3">
        <v>45756.665370370371</v>
      </c>
      <c r="H406" s="4">
        <v>45757</v>
      </c>
      <c r="I406" s="2" t="s">
        <v>21</v>
      </c>
      <c r="J406" s="2" t="s">
        <v>22</v>
      </c>
      <c r="K406" s="2">
        <v>1</v>
      </c>
      <c r="L406" s="2">
        <v>1256.1400000000001</v>
      </c>
      <c r="M406" s="2">
        <v>0</v>
      </c>
      <c r="N406" s="2">
        <v>885.20269376572139</v>
      </c>
      <c r="O406" s="2">
        <v>1196.32</v>
      </c>
      <c r="P406" s="2">
        <v>59.82</v>
      </c>
      <c r="Q406" s="2">
        <v>1256.1400000000001</v>
      </c>
      <c r="R406" s="2" t="s">
        <v>44</v>
      </c>
      <c r="S406" s="2"/>
      <c r="T406" s="2">
        <f t="shared" si="137"/>
        <v>2</v>
      </c>
      <c r="U406" s="18">
        <f t="shared" si="138"/>
        <v>4</v>
      </c>
      <c r="V406" s="18">
        <f t="shared" si="139"/>
        <v>2025</v>
      </c>
      <c r="W406" s="18">
        <f t="shared" si="140"/>
        <v>5</v>
      </c>
      <c r="X406" s="18">
        <f t="shared" si="141"/>
        <v>2025</v>
      </c>
      <c r="Y406" s="2">
        <f t="shared" si="134"/>
        <v>0.70470066534440534</v>
      </c>
      <c r="Z406" t="str">
        <f t="shared" si="135"/>
        <v>SO16948</v>
      </c>
      <c r="AA406" s="11">
        <f t="shared" si="142"/>
        <v>45756.561990740738</v>
      </c>
      <c r="AB406" s="5" t="str">
        <f t="shared" si="143"/>
        <v>INV12913</v>
      </c>
      <c r="AC406" s="5" t="str">
        <f>IFERROR(VLOOKUP(D406,CAARStatus!$A$2:$AA$1600,22,FALSE),"Not invoiced")</f>
        <v>Paid</v>
      </c>
      <c r="AD406" s="11">
        <f>IF(AC406="Paid",IFERROR(VLOOKUP(D406,CAARStatus!$A$2:$AA$1600,6,FALSE),"Pending"),"Pending")</f>
        <v>45805</v>
      </c>
      <c r="AE406" s="5" t="str">
        <f t="shared" si="144"/>
        <v>2100550517</v>
      </c>
      <c r="AF406" s="5" t="str">
        <f t="shared" si="145"/>
        <v>Wajax Limited - Lachine</v>
      </c>
      <c r="AG406" s="5" t="str">
        <f t="shared" si="146"/>
        <v>CAD</v>
      </c>
      <c r="AH406" s="5">
        <f t="shared" si="147"/>
        <v>1196.32</v>
      </c>
      <c r="AI406" s="12">
        <f>IF(L406-N406=0,VLOOKUP(U406,rate!A$4:B$15,2,FALSE)*AH406,IF(AG406="USD",O406,AH406*Y406))</f>
        <v>843.04749996481894</v>
      </c>
      <c r="AJ406" s="13">
        <f t="shared" si="148"/>
        <v>0.70470066534440534</v>
      </c>
      <c r="AK406" s="13">
        <f>-IF(AG406="CAD",IFERROR(VLOOKUP(D406,CAARStatus!$A$1:$Y$1600,16,FALSE),0),0)</f>
        <v>-147.72999999999999</v>
      </c>
      <c r="AL406" s="13">
        <f>-IF(AG406="USD",IFERROR(VLOOKUP(D406,CAARStatus!$A$1:$Y$1600,11,FALSE),0),0)</f>
        <v>0</v>
      </c>
      <c r="AM406" s="22">
        <f t="shared" si="149"/>
        <v>1048.5899999999999</v>
      </c>
      <c r="AN406" s="12" t="str">
        <f t="shared" si="150"/>
        <v/>
      </c>
      <c r="AO406" s="12" t="str">
        <f t="shared" si="151"/>
        <v>Yes</v>
      </c>
      <c r="AP406" t="str">
        <f t="shared" si="136"/>
        <v>XX</v>
      </c>
      <c r="AQ406" t="str">
        <f>IFERROR(VLOOKUP(Z406,InvBal!$L$4:$P$600,4,FALSE),"Pend")</f>
        <v>Yes</v>
      </c>
      <c r="AR406" t="str">
        <f>IFERROR(VLOOKUP(D406,Manual!$C$1:$E$22,2,FALSE),"Pend")</f>
        <v>Pend</v>
      </c>
      <c r="AS406" t="str">
        <f t="shared" si="152"/>
        <v>Yes</v>
      </c>
      <c r="AT406" t="str">
        <f t="shared" si="153"/>
        <v>Yes</v>
      </c>
      <c r="AU406" s="51" t="str">
        <f t="shared" si="154"/>
        <v>Yes</v>
      </c>
      <c r="AV406" s="12">
        <f>IFERROR(VLOOKUP(D406,'Receivable Invoice Detail'!$S$1:$U$3014,3,FALSE),0)</f>
        <v>0</v>
      </c>
      <c r="AW406" s="12">
        <f t="shared" si="155"/>
        <v>843.04749996481894</v>
      </c>
    </row>
    <row r="407" spans="1:49" x14ac:dyDescent="0.25">
      <c r="A407" s="2"/>
      <c r="B407" s="2"/>
      <c r="C407" s="2"/>
      <c r="D407" s="2" t="s">
        <v>2641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f t="shared" si="137"/>
        <v>2</v>
      </c>
      <c r="U407" s="18">
        <f t="shared" si="138"/>
        <v>4</v>
      </c>
      <c r="V407" s="18">
        <f t="shared" si="139"/>
        <v>2025</v>
      </c>
      <c r="W407" s="18">
        <f t="shared" si="140"/>
        <v>5</v>
      </c>
      <c r="X407" s="18">
        <f t="shared" si="141"/>
        <v>2025</v>
      </c>
      <c r="Y407" s="2">
        <f t="shared" si="134"/>
        <v>0.70470066534440534</v>
      </c>
      <c r="Z407" t="str">
        <f t="shared" si="135"/>
        <v>SO16948</v>
      </c>
      <c r="AA407" s="11">
        <f t="shared" si="142"/>
        <v>45756.561990740738</v>
      </c>
      <c r="AB407" s="5" t="str">
        <f t="shared" si="143"/>
        <v>INV12851</v>
      </c>
      <c r="AC407" s="5" t="str">
        <f>IFERROR(VLOOKUP(D407,CAARStatus!$A$2:$AA$1600,22,FALSE),"Not invoiced")</f>
        <v>Paid</v>
      </c>
      <c r="AD407" s="11">
        <f>IF(AC407="Paid",IFERROR(VLOOKUP(D407,CAARStatus!$A$2:$AA$1600,6,FALSE),"Pending"),"Pending")</f>
        <v>45791</v>
      </c>
      <c r="AE407" s="5" t="str">
        <f t="shared" si="144"/>
        <v>2100550517</v>
      </c>
      <c r="AF407" s="5" t="str">
        <f t="shared" si="145"/>
        <v>Wajax Limited - Lachine</v>
      </c>
      <c r="AG407" s="5" t="str">
        <f t="shared" si="146"/>
        <v>CAD</v>
      </c>
      <c r="AH407" s="5">
        <f t="shared" si="147"/>
        <v>0</v>
      </c>
      <c r="AI407" s="12">
        <f>IF(L407-N407=0,VLOOKUP(U407,rate!A$4:B$15,2,FALSE)*AH407,IF(AG407="USD",O407,AH407*Y407))</f>
        <v>0</v>
      </c>
      <c r="AJ407" s="13">
        <f t="shared" si="148"/>
        <v>0</v>
      </c>
      <c r="AK407" s="13">
        <f>-IF(AG407="CAD",IFERROR(VLOOKUP(D407,CAARStatus!$A$1:$Y$1600,16,FALSE),0),0)</f>
        <v>-1048.5899999999999</v>
      </c>
      <c r="AL407" s="13">
        <f>-IF(AG407="USD",IFERROR(VLOOKUP(D407,CAARStatus!$A$1:$Y$1600,11,FALSE),0),0)</f>
        <v>0</v>
      </c>
      <c r="AM407" s="22">
        <f t="shared" si="149"/>
        <v>-1048.5899999999999</v>
      </c>
      <c r="AN407" s="12" t="str">
        <f t="shared" si="150"/>
        <v/>
      </c>
      <c r="AO407" s="12" t="str">
        <f t="shared" si="151"/>
        <v>Yes</v>
      </c>
      <c r="AP407" t="str">
        <f t="shared" si="136"/>
        <v>XX</v>
      </c>
      <c r="AQ407" t="str">
        <f>IFERROR(VLOOKUP(Z407,InvBal!$L$4:$P$600,4,FALSE),"Pend")</f>
        <v>Yes</v>
      </c>
      <c r="AR407" t="str">
        <f>IFERROR(VLOOKUP(D407,Manual!$C$1:$E$22,2,FALSE),"Pend")</f>
        <v>Pend</v>
      </c>
      <c r="AS407" t="str">
        <f t="shared" si="152"/>
        <v>Yes</v>
      </c>
      <c r="AT407" t="str">
        <f t="shared" si="153"/>
        <v/>
      </c>
      <c r="AU407" s="51" t="str">
        <f t="shared" si="154"/>
        <v/>
      </c>
      <c r="AV407" s="12">
        <f>IFERROR(VLOOKUP(D407,'Receivable Invoice Detail'!$S$1:$U$3014,3,FALSE),0)</f>
        <v>0</v>
      </c>
      <c r="AW407" s="12">
        <f t="shared" si="155"/>
        <v>0</v>
      </c>
    </row>
    <row r="408" spans="1:49" ht="30" x14ac:dyDescent="0.25">
      <c r="A408" s="2">
        <v>1</v>
      </c>
      <c r="B408" s="2" t="s">
        <v>1629</v>
      </c>
      <c r="C408" s="2" t="s">
        <v>1630</v>
      </c>
      <c r="D408" s="2" t="s">
        <v>2640</v>
      </c>
      <c r="E408" s="2" t="s">
        <v>121</v>
      </c>
      <c r="F408" s="3">
        <v>45756.648518518523</v>
      </c>
      <c r="G408" s="3">
        <v>45756.650370370371</v>
      </c>
      <c r="H408" s="4">
        <v>45757</v>
      </c>
      <c r="I408" s="2" t="s">
        <v>21</v>
      </c>
      <c r="J408" s="2" t="s">
        <v>22</v>
      </c>
      <c r="K408" s="2">
        <v>1</v>
      </c>
      <c r="L408" s="2">
        <v>1474.74</v>
      </c>
      <c r="M408" s="2">
        <v>0</v>
      </c>
      <c r="N408" s="2">
        <v>1039.2502592100079</v>
      </c>
      <c r="O408" s="2">
        <v>1404.51</v>
      </c>
      <c r="P408" s="2">
        <v>70.23</v>
      </c>
      <c r="Q408" s="2">
        <v>1474.74</v>
      </c>
      <c r="R408" s="2" t="s">
        <v>44</v>
      </c>
      <c r="S408" s="2"/>
      <c r="T408" s="2">
        <f t="shared" si="137"/>
        <v>1</v>
      </c>
      <c r="U408" s="18">
        <f t="shared" si="138"/>
        <v>4</v>
      </c>
      <c r="V408" s="18">
        <f t="shared" si="139"/>
        <v>2025</v>
      </c>
      <c r="W408" s="18">
        <f t="shared" si="140"/>
        <v>5</v>
      </c>
      <c r="X408" s="18">
        <f t="shared" si="141"/>
        <v>2025</v>
      </c>
      <c r="Y408" s="2">
        <f t="shared" si="134"/>
        <v>0.70470066534440501</v>
      </c>
      <c r="Z408" t="str">
        <f t="shared" si="135"/>
        <v>SO16949</v>
      </c>
      <c r="AA408" s="11">
        <f t="shared" si="142"/>
        <v>45756.648518518523</v>
      </c>
      <c r="AB408" s="5" t="str">
        <f t="shared" si="143"/>
        <v>INV12847</v>
      </c>
      <c r="AC408" s="5" t="str">
        <f>IFERROR(VLOOKUP(D408,CAARStatus!$A$2:$AA$1600,22,FALSE),"Not invoiced")</f>
        <v>Paid</v>
      </c>
      <c r="AD408" s="11">
        <f>IF(AC408="Paid",IFERROR(VLOOKUP(D408,CAARStatus!$A$2:$AA$1600,6,FALSE),"Pending"),"Pending")</f>
        <v>45800</v>
      </c>
      <c r="AE408" s="5" t="str">
        <f t="shared" si="144"/>
        <v>4500564942</v>
      </c>
      <c r="AF408" s="5" t="str">
        <f t="shared" si="145"/>
        <v>Glencore Canada Corporation - Rouyn-Noranda</v>
      </c>
      <c r="AG408" s="5" t="str">
        <f t="shared" si="146"/>
        <v>CAD</v>
      </c>
      <c r="AH408" s="5">
        <f t="shared" si="147"/>
        <v>1404.51</v>
      </c>
      <c r="AI408" s="12">
        <f>IF(L408-N408=0,VLOOKUP(U408,rate!A$4:B$15,2,FALSE)*AH408,IF(AG408="USD",O408,AH408*Y408))</f>
        <v>989.75913148287032</v>
      </c>
      <c r="AJ408" s="13">
        <f t="shared" si="148"/>
        <v>0.70470066534440501</v>
      </c>
      <c r="AK408" s="13">
        <f>-IF(AG408="CAD",IFERROR(VLOOKUP(D408,CAARStatus!$A$1:$Y$1600,16,FALSE),0),0)</f>
        <v>-1404.51</v>
      </c>
      <c r="AL408" s="13">
        <f>-IF(AG408="USD",IFERROR(VLOOKUP(D408,CAARStatus!$A$1:$Y$1600,11,FALSE),0),0)</f>
        <v>0</v>
      </c>
      <c r="AM408" s="22">
        <f t="shared" si="149"/>
        <v>0</v>
      </c>
      <c r="AN408" s="12" t="str">
        <f t="shared" si="150"/>
        <v/>
      </c>
      <c r="AO408" s="12" t="str">
        <f t="shared" si="151"/>
        <v>Yes</v>
      </c>
      <c r="AP408" t="str">
        <f t="shared" si="136"/>
        <v>Yes</v>
      </c>
      <c r="AQ408" t="str">
        <f>IFERROR(VLOOKUP(Z408,InvBal!$L$4:$P$600,4,FALSE),"Pend")</f>
        <v>Pend</v>
      </c>
      <c r="AR408" t="str">
        <f>IFERROR(VLOOKUP(D408,Manual!$C$1:$E$22,2,FALSE),"Pend")</f>
        <v>Pend</v>
      </c>
      <c r="AS408" t="str">
        <f t="shared" si="152"/>
        <v>Yes</v>
      </c>
      <c r="AT408" t="str">
        <f t="shared" si="153"/>
        <v>Yes</v>
      </c>
      <c r="AU408" s="51" t="str">
        <f t="shared" si="154"/>
        <v>Yes</v>
      </c>
      <c r="AV408" s="12">
        <f>IFERROR(VLOOKUP(D408,'Receivable Invoice Detail'!$S$1:$U$3014,3,FALSE),0)</f>
        <v>0</v>
      </c>
      <c r="AW408" s="12">
        <f t="shared" si="155"/>
        <v>989.75913148287032</v>
      </c>
    </row>
    <row r="409" spans="1:49" ht="30" x14ac:dyDescent="0.25">
      <c r="A409" s="2">
        <v>1</v>
      </c>
      <c r="B409" s="2" t="s">
        <v>1625</v>
      </c>
      <c r="C409" s="2" t="s">
        <v>1626</v>
      </c>
      <c r="D409" s="2" t="s">
        <v>2643</v>
      </c>
      <c r="E409" s="2" t="s">
        <v>26</v>
      </c>
      <c r="F409" s="3">
        <v>45756.687581018523</v>
      </c>
      <c r="G409" s="3">
        <v>45756.688657407409</v>
      </c>
      <c r="H409" s="4">
        <v>45757</v>
      </c>
      <c r="I409" s="2" t="s">
        <v>21</v>
      </c>
      <c r="J409" s="2" t="s">
        <v>22</v>
      </c>
      <c r="K409" s="2">
        <v>1</v>
      </c>
      <c r="L409" s="2">
        <v>28.07</v>
      </c>
      <c r="M409" s="2">
        <v>0</v>
      </c>
      <c r="N409" s="2">
        <v>19.780947676217458</v>
      </c>
      <c r="O409" s="2">
        <v>26.73</v>
      </c>
      <c r="P409" s="2">
        <v>1.34</v>
      </c>
      <c r="Q409" s="2">
        <v>28.07</v>
      </c>
      <c r="R409" s="2" t="s">
        <v>44</v>
      </c>
      <c r="S409" s="2"/>
      <c r="T409" s="2">
        <f t="shared" si="137"/>
        <v>1</v>
      </c>
      <c r="U409" s="18">
        <f t="shared" si="138"/>
        <v>4</v>
      </c>
      <c r="V409" s="18">
        <f t="shared" si="139"/>
        <v>2025</v>
      </c>
      <c r="W409" s="18">
        <f t="shared" si="140"/>
        <v>6</v>
      </c>
      <c r="X409" s="18">
        <f t="shared" si="141"/>
        <v>2025</v>
      </c>
      <c r="Y409" s="2">
        <f t="shared" si="134"/>
        <v>0.70470066534440534</v>
      </c>
      <c r="Z409" t="str">
        <f t="shared" si="135"/>
        <v>SO16951</v>
      </c>
      <c r="AA409" s="11">
        <f t="shared" si="142"/>
        <v>45756.687581018523</v>
      </c>
      <c r="AB409" s="5" t="str">
        <f t="shared" si="143"/>
        <v>INV12874</v>
      </c>
      <c r="AC409" s="5" t="str">
        <f>IFERROR(VLOOKUP(D409,CAARStatus!$A$2:$AA$1600,22,FALSE),"Not invoiced")</f>
        <v>Paid</v>
      </c>
      <c r="AD409" s="11">
        <f>IF(AC409="Paid",IFERROR(VLOOKUP(D409,CAARStatus!$A$2:$AA$1600,6,FALSE),"Pending"),"Pending")</f>
        <v>45817</v>
      </c>
      <c r="AE409" s="5" t="str">
        <f t="shared" si="144"/>
        <v>4500590836</v>
      </c>
      <c r="AF409" s="5" t="str">
        <f t="shared" si="145"/>
        <v>Resolute Forest Products - Clermont</v>
      </c>
      <c r="AG409" s="5" t="str">
        <f t="shared" si="146"/>
        <v>CAD</v>
      </c>
      <c r="AH409" s="5">
        <f t="shared" si="147"/>
        <v>26.73</v>
      </c>
      <c r="AI409" s="12">
        <f>IF(L409-N409=0,VLOOKUP(U409,rate!A$4:B$15,2,FALSE)*AH409,IF(AG409="USD",O409,AH409*Y409))</f>
        <v>18.836648784655956</v>
      </c>
      <c r="AJ409" s="13">
        <f t="shared" si="148"/>
        <v>0.70470066534440534</v>
      </c>
      <c r="AK409" s="13">
        <f>-IF(AG409="CAD",IFERROR(VLOOKUP(D409,CAARStatus!$A$1:$Y$1600,16,FALSE),0),0)</f>
        <v>-26.73</v>
      </c>
      <c r="AL409" s="13">
        <f>-IF(AG409="USD",IFERROR(VLOOKUP(D409,CAARStatus!$A$1:$Y$1600,11,FALSE),0),0)</f>
        <v>0</v>
      </c>
      <c r="AM409" s="22">
        <f t="shared" si="149"/>
        <v>0</v>
      </c>
      <c r="AN409" s="12" t="str">
        <f t="shared" si="150"/>
        <v/>
      </c>
      <c r="AO409" s="12" t="str">
        <f t="shared" si="151"/>
        <v>Yes</v>
      </c>
      <c r="AP409" t="str">
        <f t="shared" si="136"/>
        <v>Yes</v>
      </c>
      <c r="AQ409" t="str">
        <f>IFERROR(VLOOKUP(Z409,InvBal!$L$4:$P$600,4,FALSE),"Pend")</f>
        <v>Pend</v>
      </c>
      <c r="AR409" t="str">
        <f>IFERROR(VLOOKUP(D409,Manual!$C$1:$E$22,2,FALSE),"Pend")</f>
        <v>Pend</v>
      </c>
      <c r="AS409" t="str">
        <f t="shared" si="152"/>
        <v>Yes</v>
      </c>
      <c r="AT409" t="str">
        <f t="shared" si="153"/>
        <v>Yes</v>
      </c>
      <c r="AU409" s="51" t="str">
        <f t="shared" si="154"/>
        <v>Yes</v>
      </c>
      <c r="AV409" s="12">
        <f>IFERROR(VLOOKUP(D409,'Receivable Invoice Detail'!$S$1:$U$3014,3,FALSE),0)</f>
        <v>0</v>
      </c>
      <c r="AW409" s="12">
        <f t="shared" si="155"/>
        <v>18.836648784655956</v>
      </c>
    </row>
    <row r="410" spans="1:49" x14ac:dyDescent="0.25">
      <c r="A410" s="2">
        <v>1</v>
      </c>
      <c r="B410" s="2" t="s">
        <v>1599</v>
      </c>
      <c r="C410" s="2" t="s">
        <v>1600</v>
      </c>
      <c r="D410" s="2" t="s">
        <v>2655</v>
      </c>
      <c r="E410" s="2" t="s">
        <v>242</v>
      </c>
      <c r="F410" s="3">
        <v>45756.700335648151</v>
      </c>
      <c r="G410" s="3">
        <v>45761.540300925917</v>
      </c>
      <c r="H410" s="4">
        <v>45785</v>
      </c>
      <c r="I410" s="2" t="s">
        <v>21</v>
      </c>
      <c r="J410" s="2" t="s">
        <v>22</v>
      </c>
      <c r="K410" s="2">
        <v>1</v>
      </c>
      <c r="L410" s="2">
        <v>3445.52</v>
      </c>
      <c r="M410" s="2">
        <v>0</v>
      </c>
      <c r="N410" s="2">
        <v>2479.8801617075378</v>
      </c>
      <c r="O410" s="2">
        <v>3281.44</v>
      </c>
      <c r="P410" s="2">
        <v>164.08</v>
      </c>
      <c r="Q410" s="2">
        <v>3445.52</v>
      </c>
      <c r="R410" s="2" t="s">
        <v>44</v>
      </c>
      <c r="S410" s="2"/>
      <c r="T410" s="2">
        <f t="shared" si="137"/>
        <v>1</v>
      </c>
      <c r="U410" s="18">
        <f t="shared" si="138"/>
        <v>4</v>
      </c>
      <c r="V410" s="18">
        <f t="shared" si="139"/>
        <v>2025</v>
      </c>
      <c r="W410" s="18">
        <f t="shared" si="140"/>
        <v>6</v>
      </c>
      <c r="X410" s="18">
        <f t="shared" si="141"/>
        <v>2025</v>
      </c>
      <c r="Y410" s="2">
        <f t="shared" si="134"/>
        <v>0.71974046347359411</v>
      </c>
      <c r="Z410" t="str">
        <f t="shared" si="135"/>
        <v>SO16952</v>
      </c>
      <c r="AA410" s="11">
        <f t="shared" si="142"/>
        <v>45756.700335648151</v>
      </c>
      <c r="AB410" s="5" t="str">
        <f t="shared" si="143"/>
        <v>INV12925</v>
      </c>
      <c r="AC410" s="5" t="str">
        <f>IFERROR(VLOOKUP(D410,CAARStatus!$A$2:$AA$1600,22,FALSE),"Not invoiced")</f>
        <v>Paid</v>
      </c>
      <c r="AD410" s="11">
        <f>IF(AC410="Paid",IFERROR(VLOOKUP(D410,CAARStatus!$A$2:$AA$1600,6,FALSE),"Pending"),"Pending")</f>
        <v>45812</v>
      </c>
      <c r="AE410" s="5" t="str">
        <f t="shared" si="144"/>
        <v>2100552642</v>
      </c>
      <c r="AF410" s="5" t="str">
        <f t="shared" si="145"/>
        <v>Wajax Limited - Noranda</v>
      </c>
      <c r="AG410" s="5" t="str">
        <f t="shared" si="146"/>
        <v>CAD</v>
      </c>
      <c r="AH410" s="5">
        <f t="shared" si="147"/>
        <v>3281.44</v>
      </c>
      <c r="AI410" s="12">
        <f>IF(L410-N410=0,VLOOKUP(U410,rate!A$4:B$15,2,FALSE)*AH410,IF(AG410="USD",O410,AH410*Y410))</f>
        <v>2361.7851464607907</v>
      </c>
      <c r="AJ410" s="13">
        <f t="shared" si="148"/>
        <v>0.71974046347359411</v>
      </c>
      <c r="AK410" s="13">
        <f>-IF(AG410="CAD",IFERROR(VLOOKUP(D410,CAARStatus!$A$1:$Y$1600,16,FALSE),0),0)</f>
        <v>-3281.44</v>
      </c>
      <c r="AL410" s="13">
        <f>-IF(AG410="USD",IFERROR(VLOOKUP(D410,CAARStatus!$A$1:$Y$1600,11,FALSE),0),0)</f>
        <v>0</v>
      </c>
      <c r="AM410" s="22">
        <f t="shared" si="149"/>
        <v>0</v>
      </c>
      <c r="AN410" s="12" t="str">
        <f t="shared" si="150"/>
        <v/>
      </c>
      <c r="AO410" s="12" t="str">
        <f t="shared" si="151"/>
        <v>Yes</v>
      </c>
      <c r="AP410" t="str">
        <f t="shared" si="136"/>
        <v>Yes</v>
      </c>
      <c r="AQ410" t="str">
        <f>IFERROR(VLOOKUP(Z410,InvBal!$L$4:$P$600,4,FALSE),"Pend")</f>
        <v>Pend</v>
      </c>
      <c r="AR410" t="str">
        <f>IFERROR(VLOOKUP(D410,Manual!$C$1:$E$22,2,FALSE),"Pend")</f>
        <v>Pend</v>
      </c>
      <c r="AS410" t="str">
        <f t="shared" si="152"/>
        <v>Yes</v>
      </c>
      <c r="AT410" t="str">
        <f t="shared" si="153"/>
        <v>Yes</v>
      </c>
      <c r="AU410" s="51" t="str">
        <f t="shared" si="154"/>
        <v>Yes</v>
      </c>
      <c r="AV410" s="12">
        <f>IFERROR(VLOOKUP(D410,'Receivable Invoice Detail'!$S$1:$U$3014,3,FALSE),0)</f>
        <v>0</v>
      </c>
      <c r="AW410" s="12">
        <f t="shared" si="155"/>
        <v>2361.7851464607907</v>
      </c>
    </row>
    <row r="411" spans="1:49" ht="30" x14ac:dyDescent="0.25">
      <c r="A411" s="2">
        <v>1</v>
      </c>
      <c r="B411" s="2" t="s">
        <v>1623</v>
      </c>
      <c r="C411" s="2" t="s">
        <v>1624</v>
      </c>
      <c r="D411" s="2" t="s">
        <v>2644</v>
      </c>
      <c r="E411" s="2" t="s">
        <v>129</v>
      </c>
      <c r="F411" s="3">
        <v>45756.765879629631</v>
      </c>
      <c r="G411" s="3">
        <v>45756.765902777777</v>
      </c>
      <c r="H411" s="4">
        <v>45793</v>
      </c>
      <c r="I411" s="2" t="s">
        <v>130</v>
      </c>
      <c r="J411" s="2" t="s">
        <v>51</v>
      </c>
      <c r="K411" s="2">
        <v>0.70297388821094531</v>
      </c>
      <c r="L411" s="2">
        <v>7382.9200302282179</v>
      </c>
      <c r="M411" s="2">
        <v>0</v>
      </c>
      <c r="N411" s="2">
        <v>5190</v>
      </c>
      <c r="O411" s="2">
        <v>5190</v>
      </c>
      <c r="P411" s="2"/>
      <c r="Q411" s="2">
        <v>5190</v>
      </c>
      <c r="R411" s="2" t="s">
        <v>44</v>
      </c>
      <c r="S411" s="2"/>
      <c r="T411" s="2">
        <f t="shared" si="137"/>
        <v>1</v>
      </c>
      <c r="U411" s="18">
        <f t="shared" si="138"/>
        <v>4</v>
      </c>
      <c r="V411" s="18">
        <f t="shared" si="139"/>
        <v>2025</v>
      </c>
      <c r="W411" s="18" t="str">
        <f t="shared" si="140"/>
        <v/>
      </c>
      <c r="X411" s="18" t="str">
        <f t="shared" si="141"/>
        <v/>
      </c>
      <c r="Y411" s="2">
        <f t="shared" si="134"/>
        <v>0.70297388821094531</v>
      </c>
      <c r="Z411" t="str">
        <f t="shared" si="135"/>
        <v>SO16953</v>
      </c>
      <c r="AA411" s="11">
        <f t="shared" si="142"/>
        <v>45756.765879629631</v>
      </c>
      <c r="AB411" s="5" t="str">
        <f t="shared" si="143"/>
        <v>INV13204</v>
      </c>
      <c r="AC411" s="5" t="str">
        <f>IFERROR(VLOOKUP(D411,CAARStatus!$A$2:$AA$1600,22,FALSE),"Not invoiced")</f>
        <v>Approved</v>
      </c>
      <c r="AD411" s="11" t="str">
        <f>IF(AC411="Paid",IFERROR(VLOOKUP(D411,CAARStatus!$A$2:$AA$1600,6,FALSE),"Pending"),"Pending")</f>
        <v>Pending</v>
      </c>
      <c r="AE411" s="5" t="str">
        <f t="shared" si="144"/>
        <v>OC00161</v>
      </c>
      <c r="AF411" s="5" t="str">
        <f t="shared" si="145"/>
        <v>Dynapro Pumps México S de RL de CV</v>
      </c>
      <c r="AG411" s="5" t="str">
        <f t="shared" si="146"/>
        <v>USD</v>
      </c>
      <c r="AH411" s="5">
        <f t="shared" si="147"/>
        <v>7382.9200302282179</v>
      </c>
      <c r="AI411" s="12">
        <f>IF(L411-N411=0,VLOOKUP(U411,rate!A$4:B$15,2,FALSE)*AH411,IF(AG411="USD",O411,AH411*Y411))</f>
        <v>5190</v>
      </c>
      <c r="AJ411" s="13">
        <f t="shared" si="148"/>
        <v>0.70297388821094531</v>
      </c>
      <c r="AK411" s="13">
        <f>-IF(AG411="CAD",IFERROR(VLOOKUP(D411,CAARStatus!$A$1:$Y$1600,16,FALSE),0),0)</f>
        <v>0</v>
      </c>
      <c r="AL411" s="13">
        <f>-IF(AG411="USD",IFERROR(VLOOKUP(D411,CAARStatus!$A$1:$Y$1600,11,FALSE),0),0)</f>
        <v>-5190</v>
      </c>
      <c r="AM411" s="22" t="str">
        <f t="shared" si="149"/>
        <v/>
      </c>
      <c r="AN411" s="12">
        <f t="shared" si="150"/>
        <v>0</v>
      </c>
      <c r="AO411" s="12" t="str">
        <f t="shared" si="151"/>
        <v>Pend</v>
      </c>
      <c r="AP411" t="str">
        <f t="shared" si="136"/>
        <v>Pend</v>
      </c>
      <c r="AQ411" t="str">
        <f>IFERROR(VLOOKUP(Z411,InvBal!$L$4:$P$600,4,FALSE),"Pend")</f>
        <v>Pend</v>
      </c>
      <c r="AR411" t="str">
        <f>IFERROR(VLOOKUP(D411,Manual!$C$1:$E$22,2,FALSE),"Pend")</f>
        <v>Pend</v>
      </c>
      <c r="AS411" t="str">
        <f t="shared" si="152"/>
        <v/>
      </c>
      <c r="AT411" t="str">
        <f t="shared" si="153"/>
        <v>Yes</v>
      </c>
      <c r="AU411" s="51" t="str">
        <f t="shared" si="154"/>
        <v/>
      </c>
      <c r="AV411" s="12">
        <f>IFERROR(VLOOKUP(D411,'Receivable Invoice Detail'!$S$1:$U$3014,3,FALSE),0)</f>
        <v>0</v>
      </c>
      <c r="AW411" s="12">
        <f t="shared" si="155"/>
        <v>0</v>
      </c>
    </row>
    <row r="412" spans="1:49" ht="30" x14ac:dyDescent="0.25">
      <c r="A412" s="2">
        <v>3</v>
      </c>
      <c r="B412" s="2" t="s">
        <v>1591</v>
      </c>
      <c r="C412" s="2" t="s">
        <v>1592</v>
      </c>
      <c r="D412" s="2" t="s">
        <v>2662</v>
      </c>
      <c r="E412" s="2" t="s">
        <v>98</v>
      </c>
      <c r="F412" s="3">
        <v>45757.37427083333</v>
      </c>
      <c r="G412" s="3">
        <v>45761.707615740743</v>
      </c>
      <c r="H412" s="4">
        <v>45785</v>
      </c>
      <c r="I412" s="2" t="s">
        <v>21</v>
      </c>
      <c r="J412" s="2" t="s">
        <v>22</v>
      </c>
      <c r="K412" s="2">
        <v>1</v>
      </c>
      <c r="L412" s="2">
        <v>5871.64</v>
      </c>
      <c r="M412" s="2">
        <v>0</v>
      </c>
      <c r="N412" s="2">
        <v>4226.0568949500948</v>
      </c>
      <c r="O412" s="2">
        <v>5196.1499999999996</v>
      </c>
      <c r="P412" s="2">
        <v>675.49</v>
      </c>
      <c r="Q412" s="2">
        <v>5871.64</v>
      </c>
      <c r="R412" s="2" t="s">
        <v>44</v>
      </c>
      <c r="S412" s="2"/>
      <c r="T412" s="2">
        <f t="shared" si="137"/>
        <v>3</v>
      </c>
      <c r="U412" s="18">
        <f t="shared" si="138"/>
        <v>4</v>
      </c>
      <c r="V412" s="18">
        <f t="shared" si="139"/>
        <v>2025</v>
      </c>
      <c r="W412" s="18">
        <f t="shared" si="140"/>
        <v>5</v>
      </c>
      <c r="X412" s="18">
        <f t="shared" si="141"/>
        <v>2025</v>
      </c>
      <c r="Y412" s="2">
        <f t="shared" si="134"/>
        <v>0.71974046347359422</v>
      </c>
      <c r="Z412" t="str">
        <f t="shared" si="135"/>
        <v>SO16957</v>
      </c>
      <c r="AA412" s="11">
        <f t="shared" si="142"/>
        <v>45757.37427083333</v>
      </c>
      <c r="AB412" s="5" t="str">
        <f t="shared" si="143"/>
        <v>INV12902</v>
      </c>
      <c r="AC412" s="5" t="str">
        <f>IFERROR(VLOOKUP(D412,CAARStatus!$A$2:$AA$1600,22,FALSE),"Not invoiced")</f>
        <v>Paid</v>
      </c>
      <c r="AD412" s="11">
        <f>IF(AC412="Paid",IFERROR(VLOOKUP(D412,CAARStatus!$A$2:$AA$1600,6,FALSE),"Pending"),"Pending")</f>
        <v>45798</v>
      </c>
      <c r="AE412" s="5" t="str">
        <f t="shared" si="144"/>
        <v>PO-007902</v>
      </c>
      <c r="AF412" s="5" t="str">
        <f t="shared" si="145"/>
        <v>Sling-Choker Manufacturing - Timmins</v>
      </c>
      <c r="AG412" s="5" t="str">
        <f t="shared" si="146"/>
        <v>CAD</v>
      </c>
      <c r="AH412" s="5">
        <f t="shared" si="147"/>
        <v>5196.1499999999996</v>
      </c>
      <c r="AI412" s="12">
        <f>IF(L412-N412=0,VLOOKUP(U412,rate!A$4:B$15,2,FALSE)*AH412,IF(AG412="USD",O412,AH412*Y412))</f>
        <v>3739.8794092783164</v>
      </c>
      <c r="AJ412" s="13">
        <f t="shared" si="148"/>
        <v>0.71974046347359422</v>
      </c>
      <c r="AK412" s="13">
        <f>-IF(AG412="CAD",IFERROR(VLOOKUP(D412,CAARStatus!$A$1:$Y$1600,16,FALSE),0),0)</f>
        <v>-4285.93</v>
      </c>
      <c r="AL412" s="13">
        <f>-IF(AG412="USD",IFERROR(VLOOKUP(D412,CAARStatus!$A$1:$Y$1600,11,FALSE),0),0)</f>
        <v>0</v>
      </c>
      <c r="AM412" s="22">
        <f t="shared" si="149"/>
        <v>910.21999999999935</v>
      </c>
      <c r="AN412" s="12" t="str">
        <f t="shared" si="150"/>
        <v/>
      </c>
      <c r="AO412" s="12" t="str">
        <f t="shared" si="151"/>
        <v>Yes</v>
      </c>
      <c r="AP412" t="str">
        <f t="shared" si="136"/>
        <v>XX</v>
      </c>
      <c r="AQ412" t="str">
        <f>IFERROR(VLOOKUP(Z412,InvBal!$L$4:$P$600,4,FALSE),"Pend")</f>
        <v>Yes</v>
      </c>
      <c r="AR412" t="str">
        <f>IFERROR(VLOOKUP(D412,Manual!$C$1:$E$22,2,FALSE),"Pend")</f>
        <v>Pend</v>
      </c>
      <c r="AS412" t="str">
        <f t="shared" si="152"/>
        <v>Yes</v>
      </c>
      <c r="AT412" t="str">
        <f t="shared" si="153"/>
        <v>Yes</v>
      </c>
      <c r="AU412" s="51" t="str">
        <f t="shared" si="154"/>
        <v>Yes</v>
      </c>
      <c r="AV412" s="12">
        <f>IFERROR(VLOOKUP(D412,'Receivable Invoice Detail'!$S$1:$U$3014,3,FALSE),0)</f>
        <v>0</v>
      </c>
      <c r="AW412" s="12">
        <f t="shared" si="155"/>
        <v>3739.8794092783164</v>
      </c>
    </row>
    <row r="413" spans="1:49" x14ac:dyDescent="0.25">
      <c r="A413" s="2"/>
      <c r="B413" s="2"/>
      <c r="C413" s="2"/>
      <c r="D413" s="2" t="s">
        <v>2660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>
        <f t="shared" si="137"/>
        <v>3</v>
      </c>
      <c r="U413" s="18">
        <f t="shared" si="138"/>
        <v>4</v>
      </c>
      <c r="V413" s="18">
        <f t="shared" si="139"/>
        <v>2025</v>
      </c>
      <c r="W413" s="18" t="str">
        <f t="shared" si="140"/>
        <v/>
      </c>
      <c r="X413" s="18" t="str">
        <f t="shared" si="141"/>
        <v/>
      </c>
      <c r="Y413" s="2">
        <f t="shared" si="134"/>
        <v>0.71974046347359422</v>
      </c>
      <c r="Z413" t="str">
        <f t="shared" si="135"/>
        <v>SO16957</v>
      </c>
      <c r="AA413" s="11">
        <f t="shared" si="142"/>
        <v>45757.37427083333</v>
      </c>
      <c r="AB413" s="5" t="str">
        <f t="shared" si="143"/>
        <v>INV12973</v>
      </c>
      <c r="AC413" s="5" t="str">
        <f>IFERROR(VLOOKUP(D413,CAARStatus!$A$2:$AA$1600,22,FALSE),"Not invoiced")</f>
        <v>Not invoiced</v>
      </c>
      <c r="AD413" s="11" t="str">
        <f>IF(AC413="Paid",IFERROR(VLOOKUP(D413,CAARStatus!$A$2:$AA$1600,6,FALSE),"Pending"),"Pending")</f>
        <v>Pending</v>
      </c>
      <c r="AE413" s="5" t="str">
        <f t="shared" si="144"/>
        <v>PO-007902</v>
      </c>
      <c r="AF413" s="5" t="str">
        <f t="shared" si="145"/>
        <v>Sling-Choker Manufacturing - Timmins</v>
      </c>
      <c r="AG413" s="5" t="str">
        <f t="shared" si="146"/>
        <v>CAD</v>
      </c>
      <c r="AH413" s="5">
        <f t="shared" si="147"/>
        <v>0</v>
      </c>
      <c r="AI413" s="12">
        <f>IF(L413-N413=0,VLOOKUP(U413,rate!A$4:B$15,2,FALSE)*AH413,IF(AG413="USD",O413,AH413*Y413))</f>
        <v>0</v>
      </c>
      <c r="AJ413" s="13">
        <f t="shared" si="148"/>
        <v>0</v>
      </c>
      <c r="AK413" s="61">
        <f>IF(AC413="Paid",-IF(AG413="CAD",IFERROR(VLOOKUP(D413,CAARStatus!$A$1:$Y$1600,16,FALSE),0),0),0)</f>
        <v>0</v>
      </c>
      <c r="AL413" s="61">
        <f>IF(AC413="Paid",-IF(AG413="USD",IFERROR(VLOOKUP(D413,CAARStatus!$A$1:$Y$1600,11,FALSE),0),0),0)</f>
        <v>0</v>
      </c>
      <c r="AM413" s="22">
        <f t="shared" si="149"/>
        <v>0</v>
      </c>
      <c r="AN413" s="12" t="str">
        <f t="shared" si="150"/>
        <v/>
      </c>
      <c r="AO413" s="12" t="str">
        <f t="shared" si="151"/>
        <v>Pend</v>
      </c>
      <c r="AP413" t="str">
        <f t="shared" si="136"/>
        <v>XX</v>
      </c>
      <c r="AQ413" t="str">
        <f>IFERROR(VLOOKUP(Z413,InvBal!$L$4:$P$600,4,FALSE),"Pend")</f>
        <v>Yes</v>
      </c>
      <c r="AR413" t="str">
        <f>IFERROR(VLOOKUP(D413,Manual!$C$1:$E$22,2,FALSE),"Pend")</f>
        <v>Pend</v>
      </c>
      <c r="AS413" t="str">
        <f t="shared" si="152"/>
        <v>Yes</v>
      </c>
      <c r="AT413" t="str">
        <f t="shared" si="153"/>
        <v/>
      </c>
      <c r="AU413" s="51" t="str">
        <f t="shared" si="154"/>
        <v/>
      </c>
      <c r="AV413" s="12">
        <f>IFERROR(VLOOKUP(D413,'Receivable Invoice Detail'!$S$1:$U$3014,3,FALSE),0)</f>
        <v>0</v>
      </c>
      <c r="AW413" s="12">
        <f t="shared" si="155"/>
        <v>0</v>
      </c>
    </row>
    <row r="414" spans="1:49" x14ac:dyDescent="0.25">
      <c r="A414" s="2"/>
      <c r="B414" s="2"/>
      <c r="C414" s="2"/>
      <c r="D414" s="2" t="s">
        <v>2661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>
        <f t="shared" si="137"/>
        <v>3</v>
      </c>
      <c r="U414" s="18">
        <f t="shared" si="138"/>
        <v>4</v>
      </c>
      <c r="V414" s="18">
        <f t="shared" si="139"/>
        <v>2025</v>
      </c>
      <c r="W414" s="18">
        <f t="shared" si="140"/>
        <v>6</v>
      </c>
      <c r="X414" s="18">
        <f t="shared" si="141"/>
        <v>2025</v>
      </c>
      <c r="Y414" s="2">
        <f t="shared" si="134"/>
        <v>0.71974046347359422</v>
      </c>
      <c r="Z414" t="str">
        <f t="shared" si="135"/>
        <v>SO16957</v>
      </c>
      <c r="AA414" s="11">
        <f t="shared" si="142"/>
        <v>45757.37427083333</v>
      </c>
      <c r="AB414" s="5" t="str">
        <f t="shared" si="143"/>
        <v>INV13008</v>
      </c>
      <c r="AC414" s="5" t="str">
        <f>IFERROR(VLOOKUP(D414,CAARStatus!$A$2:$AA$1600,22,FALSE),"Not invoiced")</f>
        <v>Paid</v>
      </c>
      <c r="AD414" s="11">
        <f>IF(AC414="Paid",IFERROR(VLOOKUP(D414,CAARStatus!$A$2:$AA$1600,6,FALSE),"Pending"),"Pending")</f>
        <v>45833</v>
      </c>
      <c r="AE414" s="5" t="str">
        <f t="shared" si="144"/>
        <v>PO-007902</v>
      </c>
      <c r="AF414" s="5" t="str">
        <f t="shared" si="145"/>
        <v>Sling-Choker Manufacturing - Timmins</v>
      </c>
      <c r="AG414" s="5" t="str">
        <f t="shared" si="146"/>
        <v>CAD</v>
      </c>
      <c r="AH414" s="5">
        <f t="shared" si="147"/>
        <v>0</v>
      </c>
      <c r="AI414" s="12">
        <f>IF(L414-N414=0,VLOOKUP(U414,rate!A$4:B$15,2,FALSE)*AH414,IF(AG414="USD",O414,AH414*Y414))</f>
        <v>0</v>
      </c>
      <c r="AJ414" s="13">
        <f t="shared" si="148"/>
        <v>0</v>
      </c>
      <c r="AK414" s="13">
        <f>-IF(AG414="CAD",IFERROR(VLOOKUP(D414,CAARStatus!$A$1:$Y$1600,16,FALSE),0),0)</f>
        <v>-910.22</v>
      </c>
      <c r="AL414" s="13">
        <f>-IF(AG414="USD",IFERROR(VLOOKUP(D414,CAARStatus!$A$1:$Y$1600,11,FALSE),0),0)</f>
        <v>0</v>
      </c>
      <c r="AM414" s="22">
        <f t="shared" si="149"/>
        <v>-910.22</v>
      </c>
      <c r="AN414" s="12" t="str">
        <f t="shared" si="150"/>
        <v/>
      </c>
      <c r="AO414" s="12" t="str">
        <f t="shared" si="151"/>
        <v>Yes</v>
      </c>
      <c r="AP414" t="str">
        <f t="shared" si="136"/>
        <v>XX</v>
      </c>
      <c r="AQ414" t="str">
        <f>IFERROR(VLOOKUP(Z414,InvBal!$L$4:$P$600,4,FALSE),"Pend")</f>
        <v>Yes</v>
      </c>
      <c r="AR414" t="str">
        <f>IFERROR(VLOOKUP(D414,Manual!$C$1:$E$22,2,FALSE),"Pend")</f>
        <v>Pend</v>
      </c>
      <c r="AS414" t="str">
        <f t="shared" si="152"/>
        <v>Yes</v>
      </c>
      <c r="AT414" t="str">
        <f t="shared" si="153"/>
        <v/>
      </c>
      <c r="AU414" s="51" t="str">
        <f t="shared" si="154"/>
        <v/>
      </c>
      <c r="AV414" s="12">
        <f>IFERROR(VLOOKUP(D414,'Receivable Invoice Detail'!$S$1:$U$3014,3,FALSE),0)</f>
        <v>0</v>
      </c>
      <c r="AW414" s="12">
        <f t="shared" si="155"/>
        <v>0</v>
      </c>
    </row>
    <row r="415" spans="1:49" x14ac:dyDescent="0.25">
      <c r="A415" s="2">
        <v>1</v>
      </c>
      <c r="B415" s="2" t="s">
        <v>1601</v>
      </c>
      <c r="C415" s="2" t="s">
        <v>1602</v>
      </c>
      <c r="D415" s="2" t="s">
        <v>2654</v>
      </c>
      <c r="E415" s="2" t="s">
        <v>61</v>
      </c>
      <c r="F415" s="3">
        <v>45757.437569444453</v>
      </c>
      <c r="G415" s="3">
        <v>45761.486863425933</v>
      </c>
      <c r="H415" s="4">
        <v>45817</v>
      </c>
      <c r="I415" s="2" t="s">
        <v>21</v>
      </c>
      <c r="J415" s="2" t="s">
        <v>51</v>
      </c>
      <c r="K415" s="2">
        <v>0.72095821438553542</v>
      </c>
      <c r="L415" s="2">
        <v>319.35276609093222</v>
      </c>
      <c r="M415" s="2">
        <v>0</v>
      </c>
      <c r="N415" s="2">
        <v>230.24</v>
      </c>
      <c r="O415" s="2">
        <v>230.24</v>
      </c>
      <c r="P415" s="2"/>
      <c r="Q415" s="2">
        <v>230.24</v>
      </c>
      <c r="R415" s="2" t="s">
        <v>44</v>
      </c>
      <c r="S415" s="2"/>
      <c r="T415" s="2">
        <f t="shared" si="137"/>
        <v>1</v>
      </c>
      <c r="U415" s="18">
        <f t="shared" si="138"/>
        <v>4</v>
      </c>
      <c r="V415" s="18">
        <f t="shared" si="139"/>
        <v>2025</v>
      </c>
      <c r="W415" s="18">
        <f t="shared" si="140"/>
        <v>7</v>
      </c>
      <c r="X415" s="18">
        <f t="shared" si="141"/>
        <v>2025</v>
      </c>
      <c r="Y415" s="2">
        <f t="shared" si="134"/>
        <v>0.72095821438553531</v>
      </c>
      <c r="Z415" t="str">
        <f t="shared" si="135"/>
        <v>SO16958</v>
      </c>
      <c r="AA415" s="11">
        <f t="shared" si="142"/>
        <v>45757.437569444453</v>
      </c>
      <c r="AB415" s="5" t="str">
        <f t="shared" si="143"/>
        <v>INV12999</v>
      </c>
      <c r="AC415" s="5" t="str">
        <f>IFERROR(VLOOKUP(D415,CAARStatus!$A$2:$AA$1600,22,FALSE),"Not invoiced")</f>
        <v>Paid</v>
      </c>
      <c r="AD415" s="11">
        <f>IF(AC415="Paid",IFERROR(VLOOKUP(D415,CAARStatus!$A$2:$AA$1600,6,FALSE),"Pending"),"Pending")</f>
        <v>45843</v>
      </c>
      <c r="AE415" s="5" t="str">
        <f t="shared" si="144"/>
        <v>PONV-25-0782</v>
      </c>
      <c r="AF415" s="5" t="str">
        <f t="shared" si="145"/>
        <v>Tech-Flow</v>
      </c>
      <c r="AG415" s="5" t="str">
        <f t="shared" si="146"/>
        <v>USD</v>
      </c>
      <c r="AH415" s="5">
        <f t="shared" si="147"/>
        <v>319.35276609093216</v>
      </c>
      <c r="AI415" s="12">
        <f>IF(L415-N415=0,VLOOKUP(U415,rate!A$4:B$15,2,FALSE)*AH415,IF(AG415="USD",O415,AH415*Y415))</f>
        <v>230.24</v>
      </c>
      <c r="AJ415" s="13">
        <f t="shared" si="148"/>
        <v>0.72095821438553542</v>
      </c>
      <c r="AK415" s="13">
        <f>-IF(AG415="CAD",IFERROR(VLOOKUP(D415,CAARStatus!$A$1:$Y$1600,16,FALSE),0),0)</f>
        <v>0</v>
      </c>
      <c r="AL415" s="13">
        <f>-IF(AG415="USD",IFERROR(VLOOKUP(D415,CAARStatus!$A$1:$Y$1600,11,FALSE),0),0)</f>
        <v>-230.24</v>
      </c>
      <c r="AM415" s="22" t="str">
        <f t="shared" si="149"/>
        <v/>
      </c>
      <c r="AN415" s="12">
        <f t="shared" si="150"/>
        <v>0</v>
      </c>
      <c r="AO415" s="12" t="str">
        <f t="shared" si="151"/>
        <v>Yes</v>
      </c>
      <c r="AP415" t="str">
        <f t="shared" si="136"/>
        <v>Yes</v>
      </c>
      <c r="AQ415" t="str">
        <f>IFERROR(VLOOKUP(Z415,InvBal!$L$4:$P$600,4,FALSE),"Pend")</f>
        <v>Pend</v>
      </c>
      <c r="AR415" t="str">
        <f>IFERROR(VLOOKUP(D415,Manual!$C$1:$E$22,2,FALSE),"Pend")</f>
        <v>Pend</v>
      </c>
      <c r="AS415" t="str">
        <f t="shared" si="152"/>
        <v>Yes</v>
      </c>
      <c r="AT415" t="str">
        <f t="shared" si="153"/>
        <v>Yes</v>
      </c>
      <c r="AU415" s="51" t="str">
        <f t="shared" si="154"/>
        <v>Yes</v>
      </c>
      <c r="AV415" s="12">
        <f>IFERROR(VLOOKUP(D415,'Receivable Invoice Detail'!$S$1:$U$3014,3,FALSE),0)</f>
        <v>0</v>
      </c>
      <c r="AW415" s="12">
        <f t="shared" si="155"/>
        <v>230.24</v>
      </c>
    </row>
    <row r="416" spans="1:49" ht="30" x14ac:dyDescent="0.25">
      <c r="A416" s="2">
        <v>1</v>
      </c>
      <c r="B416" s="2" t="s">
        <v>1616</v>
      </c>
      <c r="C416" s="2" t="s">
        <v>1617</v>
      </c>
      <c r="D416" s="2" t="s">
        <v>2647</v>
      </c>
      <c r="E416" s="2" t="s">
        <v>1618</v>
      </c>
      <c r="F416" s="3">
        <v>45757.644363425927</v>
      </c>
      <c r="G416" s="3">
        <v>45757.666354166657</v>
      </c>
      <c r="H416" s="4">
        <v>45758</v>
      </c>
      <c r="I416" s="2" t="s">
        <v>21</v>
      </c>
      <c r="J416" s="2" t="s">
        <v>22</v>
      </c>
      <c r="K416" s="2">
        <v>1</v>
      </c>
      <c r="L416" s="2">
        <v>153.53</v>
      </c>
      <c r="M416" s="2">
        <v>0</v>
      </c>
      <c r="N416" s="2">
        <v>109.582148607286</v>
      </c>
      <c r="O416" s="2">
        <v>146.22</v>
      </c>
      <c r="P416" s="2">
        <v>7.31</v>
      </c>
      <c r="Q416" s="2">
        <v>153.53</v>
      </c>
      <c r="R416" s="2" t="s">
        <v>44</v>
      </c>
      <c r="S416" s="2"/>
      <c r="T416" s="2">
        <f t="shared" si="137"/>
        <v>1</v>
      </c>
      <c r="U416" s="18">
        <f t="shared" si="138"/>
        <v>4</v>
      </c>
      <c r="V416" s="18">
        <f t="shared" si="139"/>
        <v>2025</v>
      </c>
      <c r="W416" s="18">
        <f t="shared" si="140"/>
        <v>5</v>
      </c>
      <c r="X416" s="18">
        <f t="shared" si="141"/>
        <v>2025</v>
      </c>
      <c r="Y416" s="2">
        <f t="shared" si="134"/>
        <v>0.71375072368453074</v>
      </c>
      <c r="Z416" t="str">
        <f t="shared" si="135"/>
        <v>SO16962</v>
      </c>
      <c r="AA416" s="11">
        <f t="shared" si="142"/>
        <v>45757.644363425927</v>
      </c>
      <c r="AB416" s="5" t="str">
        <f t="shared" si="143"/>
        <v>INV12861</v>
      </c>
      <c r="AC416" s="5" t="str">
        <f>IFERROR(VLOOKUP(D416,CAARStatus!$A$2:$AA$1600,22,FALSE),"Not invoiced")</f>
        <v>Paid</v>
      </c>
      <c r="AD416" s="11">
        <f>IF(AC416="Paid",IFERROR(VLOOKUP(D416,CAARStatus!$A$2:$AA$1600,6,FALSE),"Pending"),"Pending")</f>
        <v>45790</v>
      </c>
      <c r="AE416" s="5" t="str">
        <f t="shared" si="144"/>
        <v>AB09-000290234</v>
      </c>
      <c r="AF416" s="5" t="str">
        <f t="shared" si="145"/>
        <v>Motion Industries Inc. (Canada) - Calgary</v>
      </c>
      <c r="AG416" s="5" t="str">
        <f t="shared" si="146"/>
        <v>CAD</v>
      </c>
      <c r="AH416" s="5">
        <f t="shared" si="147"/>
        <v>146.22</v>
      </c>
      <c r="AI416" s="12">
        <f>IF(L416-N416=0,VLOOKUP(U416,rate!A$4:B$15,2,FALSE)*AH416,IF(AG416="USD",O416,AH416*Y416))</f>
        <v>104.36463081715209</v>
      </c>
      <c r="AJ416" s="13">
        <f t="shared" si="148"/>
        <v>0.71375072368453074</v>
      </c>
      <c r="AK416" s="13">
        <f>-IF(AG416="CAD",IFERROR(VLOOKUP(D416,CAARStatus!$A$1:$Y$1600,16,FALSE),0),0)</f>
        <v>-146.22</v>
      </c>
      <c r="AL416" s="13">
        <f>-IF(AG416="USD",IFERROR(VLOOKUP(D416,CAARStatus!$A$1:$Y$1600,11,FALSE),0),0)</f>
        <v>0</v>
      </c>
      <c r="AM416" s="22">
        <f t="shared" si="149"/>
        <v>0</v>
      </c>
      <c r="AN416" s="12" t="str">
        <f t="shared" si="150"/>
        <v/>
      </c>
      <c r="AO416" s="12" t="str">
        <f t="shared" si="151"/>
        <v>Yes</v>
      </c>
      <c r="AP416" t="str">
        <f t="shared" si="136"/>
        <v>Yes</v>
      </c>
      <c r="AQ416" t="str">
        <f>IFERROR(VLOOKUP(Z416,InvBal!$L$4:$P$600,4,FALSE),"Pend")</f>
        <v>Pend</v>
      </c>
      <c r="AR416" t="str">
        <f>IFERROR(VLOOKUP(D416,Manual!$C$1:$E$22,2,FALSE),"Pend")</f>
        <v>Pend</v>
      </c>
      <c r="AS416" t="str">
        <f t="shared" si="152"/>
        <v>Yes</v>
      </c>
      <c r="AT416" t="str">
        <f t="shared" si="153"/>
        <v>Yes</v>
      </c>
      <c r="AU416" s="51" t="str">
        <f t="shared" si="154"/>
        <v>Yes</v>
      </c>
      <c r="AV416" s="12">
        <f>IFERROR(VLOOKUP(D416,'Receivable Invoice Detail'!$S$1:$U$3014,3,FALSE),0)</f>
        <v>0</v>
      </c>
      <c r="AW416" s="12">
        <f t="shared" si="155"/>
        <v>104.36463081715209</v>
      </c>
    </row>
    <row r="417" spans="1:49" x14ac:dyDescent="0.25">
      <c r="A417" s="2">
        <v>1</v>
      </c>
      <c r="B417" s="2" t="s">
        <v>1619</v>
      </c>
      <c r="C417" s="2" t="s">
        <v>1620</v>
      </c>
      <c r="D417" s="2" t="s">
        <v>2646</v>
      </c>
      <c r="E417" s="2" t="s">
        <v>229</v>
      </c>
      <c r="F417" s="3">
        <v>45757.649421296293</v>
      </c>
      <c r="G417" s="3">
        <v>45757.650266203702</v>
      </c>
      <c r="H417" s="4">
        <v>45758</v>
      </c>
      <c r="I417" s="2" t="s">
        <v>21</v>
      </c>
      <c r="J417" s="2" t="s">
        <v>22</v>
      </c>
      <c r="K417" s="2">
        <v>1</v>
      </c>
      <c r="L417" s="2">
        <v>838.92</v>
      </c>
      <c r="M417" s="2">
        <v>0</v>
      </c>
      <c r="N417" s="2">
        <v>598.77975711342629</v>
      </c>
      <c r="O417" s="2">
        <v>798.97</v>
      </c>
      <c r="P417" s="2">
        <v>39.950000000000003</v>
      </c>
      <c r="Q417" s="2">
        <v>838.92</v>
      </c>
      <c r="R417" s="2" t="s">
        <v>44</v>
      </c>
      <c r="S417" s="2"/>
      <c r="T417" s="2">
        <f t="shared" si="137"/>
        <v>1</v>
      </c>
      <c r="U417" s="18">
        <f t="shared" si="138"/>
        <v>4</v>
      </c>
      <c r="V417" s="18">
        <f t="shared" si="139"/>
        <v>2025</v>
      </c>
      <c r="W417" s="18">
        <f t="shared" si="140"/>
        <v>5</v>
      </c>
      <c r="X417" s="18">
        <f t="shared" si="141"/>
        <v>2025</v>
      </c>
      <c r="Y417" s="2">
        <f t="shared" si="134"/>
        <v>0.71375072368453052</v>
      </c>
      <c r="Z417" t="str">
        <f t="shared" si="135"/>
        <v>SO16963</v>
      </c>
      <c r="AA417" s="11">
        <f t="shared" si="142"/>
        <v>45757.649421296293</v>
      </c>
      <c r="AB417" s="5" t="str">
        <f t="shared" si="143"/>
        <v>INV12868</v>
      </c>
      <c r="AC417" s="5" t="str">
        <f>IFERROR(VLOOKUP(D417,CAARStatus!$A$2:$AA$1600,22,FALSE),"Not invoiced")</f>
        <v>Paid</v>
      </c>
      <c r="AD417" s="11">
        <f>IF(AC417="Paid",IFERROR(VLOOKUP(D417,CAARStatus!$A$2:$AA$1600,6,FALSE),"Pending"),"Pending")</f>
        <v>45791</v>
      </c>
      <c r="AE417" s="5" t="str">
        <f t="shared" si="144"/>
        <v>2100551604</v>
      </c>
      <c r="AF417" s="5" t="str">
        <f t="shared" si="145"/>
        <v>Wajax Limited - Lachine</v>
      </c>
      <c r="AG417" s="5" t="str">
        <f t="shared" si="146"/>
        <v>CAD</v>
      </c>
      <c r="AH417" s="5">
        <f t="shared" si="147"/>
        <v>798.97</v>
      </c>
      <c r="AI417" s="12">
        <f>IF(L417-N417=0,VLOOKUP(U417,rate!A$4:B$15,2,FALSE)*AH417,IF(AG417="USD",O417,AH417*Y417))</f>
        <v>570.26541570222935</v>
      </c>
      <c r="AJ417" s="13">
        <f t="shared" si="148"/>
        <v>0.71375072368453052</v>
      </c>
      <c r="AK417" s="13">
        <f>-IF(AG417="CAD",IFERROR(VLOOKUP(D417,CAARStatus!$A$1:$Y$1600,16,FALSE),0),0)</f>
        <v>-798.97</v>
      </c>
      <c r="AL417" s="13">
        <f>-IF(AG417="USD",IFERROR(VLOOKUP(D417,CAARStatus!$A$1:$Y$1600,11,FALSE),0),0)</f>
        <v>0</v>
      </c>
      <c r="AM417" s="22">
        <f t="shared" si="149"/>
        <v>0</v>
      </c>
      <c r="AN417" s="12" t="str">
        <f t="shared" si="150"/>
        <v/>
      </c>
      <c r="AO417" s="12" t="str">
        <f t="shared" si="151"/>
        <v>Yes</v>
      </c>
      <c r="AP417" t="str">
        <f t="shared" si="136"/>
        <v>Yes</v>
      </c>
      <c r="AQ417" t="str">
        <f>IFERROR(VLOOKUP(Z417,InvBal!$L$4:$P$600,4,FALSE),"Pend")</f>
        <v>Pend</v>
      </c>
      <c r="AR417" t="str">
        <f>IFERROR(VLOOKUP(D417,Manual!$C$1:$E$22,2,FALSE),"Pend")</f>
        <v>Pend</v>
      </c>
      <c r="AS417" t="str">
        <f t="shared" si="152"/>
        <v>Yes</v>
      </c>
      <c r="AT417" t="str">
        <f t="shared" si="153"/>
        <v>Yes</v>
      </c>
      <c r="AU417" s="51" t="str">
        <f t="shared" si="154"/>
        <v>Yes</v>
      </c>
      <c r="AV417" s="12">
        <f>IFERROR(VLOOKUP(D417,'Receivable Invoice Detail'!$S$1:$U$3014,3,FALSE),0)</f>
        <v>0</v>
      </c>
      <c r="AW417" s="12">
        <f t="shared" si="155"/>
        <v>570.26541570222935</v>
      </c>
    </row>
    <row r="418" spans="1:49" x14ac:dyDescent="0.25">
      <c r="A418" s="2">
        <v>1</v>
      </c>
      <c r="B418" s="2" t="s">
        <v>1614</v>
      </c>
      <c r="C418" s="2" t="s">
        <v>1615</v>
      </c>
      <c r="D418" s="2" t="s">
        <v>2648</v>
      </c>
      <c r="E418" s="2" t="s">
        <v>61</v>
      </c>
      <c r="F418" s="3">
        <v>45757.674502314818</v>
      </c>
      <c r="G418" s="3">
        <v>45757.674803240741</v>
      </c>
      <c r="H418" s="4">
        <v>45841</v>
      </c>
      <c r="I418" s="2" t="s">
        <v>21</v>
      </c>
      <c r="J418" s="2" t="s">
        <v>51</v>
      </c>
      <c r="K418" s="2">
        <v>0.70412200178460038</v>
      </c>
      <c r="L418" s="2">
        <v>7867.7558519108898</v>
      </c>
      <c r="M418" s="2">
        <v>0</v>
      </c>
      <c r="N418" s="2">
        <v>5539.86</v>
      </c>
      <c r="O418" s="2">
        <v>5539.86</v>
      </c>
      <c r="P418" s="2"/>
      <c r="Q418" s="2">
        <v>5539.86</v>
      </c>
      <c r="R418" s="2" t="s">
        <v>44</v>
      </c>
      <c r="S418" s="2"/>
      <c r="T418" s="2">
        <f t="shared" si="137"/>
        <v>1</v>
      </c>
      <c r="U418" s="18">
        <f t="shared" si="138"/>
        <v>4</v>
      </c>
      <c r="V418" s="18">
        <f t="shared" si="139"/>
        <v>2025</v>
      </c>
      <c r="W418" s="18">
        <f t="shared" si="140"/>
        <v>7</v>
      </c>
      <c r="X418" s="18">
        <f t="shared" si="141"/>
        <v>2025</v>
      </c>
      <c r="Y418" s="2">
        <f t="shared" si="134"/>
        <v>0.70412200178460038</v>
      </c>
      <c r="Z418" t="str">
        <f t="shared" si="135"/>
        <v>SO16964</v>
      </c>
      <c r="AA418" s="11">
        <f t="shared" si="142"/>
        <v>45757.674502314818</v>
      </c>
      <c r="AB418" s="5" t="str">
        <f t="shared" si="143"/>
        <v>INV13001</v>
      </c>
      <c r="AC418" s="5" t="str">
        <f>IFERROR(VLOOKUP(D418,CAARStatus!$A$2:$AA$1600,22,FALSE),"Not invoiced")</f>
        <v>Paid</v>
      </c>
      <c r="AD418" s="11">
        <f>IF(AC418="Paid",IFERROR(VLOOKUP(D418,CAARStatus!$A$2:$AA$1600,6,FALSE),"Pending"),"Pending")</f>
        <v>45843</v>
      </c>
      <c r="AE418" s="5" t="str">
        <f t="shared" si="144"/>
        <v>PONV-25-0777</v>
      </c>
      <c r="AF418" s="5" t="str">
        <f t="shared" si="145"/>
        <v>Tech-Flow</v>
      </c>
      <c r="AG418" s="5" t="str">
        <f t="shared" si="146"/>
        <v>USD</v>
      </c>
      <c r="AH418" s="5">
        <f t="shared" si="147"/>
        <v>7867.7558519108898</v>
      </c>
      <c r="AI418" s="12">
        <f>IF(L418-N418=0,VLOOKUP(U418,rate!A$4:B$15,2,FALSE)*AH418,IF(AG418="USD",O418,AH418*Y418))</f>
        <v>5539.86</v>
      </c>
      <c r="AJ418" s="13">
        <f t="shared" si="148"/>
        <v>0.70412200178460038</v>
      </c>
      <c r="AK418" s="13">
        <f>-IF(AG418="CAD",IFERROR(VLOOKUP(D418,CAARStatus!$A$1:$Y$1600,16,FALSE),0),0)</f>
        <v>0</v>
      </c>
      <c r="AL418" s="13">
        <f>-IF(AG418="USD",IFERROR(VLOOKUP(D418,CAARStatus!$A$1:$Y$1600,11,FALSE),0),0)</f>
        <v>-5539.86</v>
      </c>
      <c r="AM418" s="22" t="str">
        <f t="shared" si="149"/>
        <v/>
      </c>
      <c r="AN418" s="12">
        <f t="shared" si="150"/>
        <v>0</v>
      </c>
      <c r="AO418" s="12" t="str">
        <f t="shared" si="151"/>
        <v>Yes</v>
      </c>
      <c r="AP418" t="str">
        <f t="shared" si="136"/>
        <v>Yes</v>
      </c>
      <c r="AQ418" t="str">
        <f>IFERROR(VLOOKUP(Z418,InvBal!$L$4:$P$600,4,FALSE),"Pend")</f>
        <v>Pend</v>
      </c>
      <c r="AR418" t="str">
        <f>IFERROR(VLOOKUP(D418,Manual!$C$1:$E$22,2,FALSE),"Pend")</f>
        <v>Pend</v>
      </c>
      <c r="AS418" t="str">
        <f t="shared" si="152"/>
        <v>Yes</v>
      </c>
      <c r="AT418" t="str">
        <f t="shared" si="153"/>
        <v>Yes</v>
      </c>
      <c r="AU418" s="51" t="str">
        <f t="shared" si="154"/>
        <v>Yes</v>
      </c>
      <c r="AV418" s="12">
        <f>IFERROR(VLOOKUP(D418,'Receivable Invoice Detail'!$S$1:$U$3014,3,FALSE),0)</f>
        <v>0</v>
      </c>
      <c r="AW418" s="12">
        <f t="shared" si="155"/>
        <v>5539.86</v>
      </c>
    </row>
    <row r="419" spans="1:49" x14ac:dyDescent="0.25">
      <c r="A419" s="2">
        <v>1</v>
      </c>
      <c r="B419" s="2" t="s">
        <v>1603</v>
      </c>
      <c r="C419" s="2" t="s">
        <v>1604</v>
      </c>
      <c r="D419" s="2" t="s">
        <v>2653</v>
      </c>
      <c r="E419" s="2" t="s">
        <v>146</v>
      </c>
      <c r="F419" s="3">
        <v>45757.703159722223</v>
      </c>
      <c r="G419" s="3">
        <v>45761.354618055557</v>
      </c>
      <c r="H419" s="4">
        <v>45762</v>
      </c>
      <c r="I419" s="2" t="s">
        <v>21</v>
      </c>
      <c r="J419" s="2" t="s">
        <v>22</v>
      </c>
      <c r="K419" s="2">
        <v>1</v>
      </c>
      <c r="L419" s="2">
        <v>208.63</v>
      </c>
      <c r="M419" s="2">
        <v>0</v>
      </c>
      <c r="N419" s="2">
        <v>150.15945289449601</v>
      </c>
      <c r="O419" s="2">
        <v>198.69</v>
      </c>
      <c r="P419" s="2">
        <v>9.94</v>
      </c>
      <c r="Q419" s="2">
        <v>208.63</v>
      </c>
      <c r="R419" s="2" t="s">
        <v>44</v>
      </c>
      <c r="S419" s="2"/>
      <c r="T419" s="2">
        <f t="shared" si="137"/>
        <v>1</v>
      </c>
      <c r="U419" s="18">
        <f t="shared" si="138"/>
        <v>4</v>
      </c>
      <c r="V419" s="18">
        <f t="shared" si="139"/>
        <v>2025</v>
      </c>
      <c r="W419" s="18">
        <f t="shared" si="140"/>
        <v>5</v>
      </c>
      <c r="X419" s="18">
        <f t="shared" si="141"/>
        <v>2025</v>
      </c>
      <c r="Y419" s="2">
        <f t="shared" si="134"/>
        <v>0.71974046347359444</v>
      </c>
      <c r="Z419" t="str">
        <f t="shared" si="135"/>
        <v>SO16965</v>
      </c>
      <c r="AA419" s="11">
        <f t="shared" si="142"/>
        <v>45757.703159722223</v>
      </c>
      <c r="AB419" s="5" t="str">
        <f t="shared" si="143"/>
        <v>INV12873</v>
      </c>
      <c r="AC419" s="5" t="str">
        <f>IFERROR(VLOOKUP(D419,CAARStatus!$A$2:$AA$1600,22,FALSE),"Not invoiced")</f>
        <v>Paid</v>
      </c>
      <c r="AD419" s="11">
        <f>IF(AC419="Paid",IFERROR(VLOOKUP(D419,CAARStatus!$A$2:$AA$1600,6,FALSE),"Pending"),"Pending")</f>
        <v>45800</v>
      </c>
      <c r="AE419" s="5" t="str">
        <f t="shared" si="144"/>
        <v>7017</v>
      </c>
      <c r="AF419" s="5" t="str">
        <f t="shared" si="145"/>
        <v>Hyperflo</v>
      </c>
      <c r="AG419" s="5" t="str">
        <f t="shared" si="146"/>
        <v>CAD</v>
      </c>
      <c r="AH419" s="5">
        <f t="shared" si="147"/>
        <v>198.69</v>
      </c>
      <c r="AI419" s="12">
        <f>IF(L419-N419=0,VLOOKUP(U419,rate!A$4:B$15,2,FALSE)*AH419,IF(AG419="USD",O419,AH419*Y419))</f>
        <v>143.00523268756848</v>
      </c>
      <c r="AJ419" s="13">
        <f t="shared" si="148"/>
        <v>0.71974046347359444</v>
      </c>
      <c r="AK419" s="13">
        <f>-IF(AG419="CAD",IFERROR(VLOOKUP(D419,CAARStatus!$A$1:$Y$1600,16,FALSE),0),0)</f>
        <v>-198.69</v>
      </c>
      <c r="AL419" s="13">
        <f>-IF(AG419="USD",IFERROR(VLOOKUP(D419,CAARStatus!$A$1:$Y$1600,11,FALSE),0),0)</f>
        <v>0</v>
      </c>
      <c r="AM419" s="22">
        <f t="shared" si="149"/>
        <v>0</v>
      </c>
      <c r="AN419" s="12" t="str">
        <f t="shared" si="150"/>
        <v/>
      </c>
      <c r="AO419" s="12" t="str">
        <f t="shared" si="151"/>
        <v>Yes</v>
      </c>
      <c r="AP419" t="str">
        <f t="shared" si="136"/>
        <v>Yes</v>
      </c>
      <c r="AQ419" t="str">
        <f>IFERROR(VLOOKUP(Z419,InvBal!$L$4:$P$600,4,FALSE),"Pend")</f>
        <v>Pend</v>
      </c>
      <c r="AR419" t="str">
        <f>IFERROR(VLOOKUP(D419,Manual!$C$1:$E$22,2,FALSE),"Pend")</f>
        <v>Pend</v>
      </c>
      <c r="AS419" t="str">
        <f t="shared" si="152"/>
        <v>Yes</v>
      </c>
      <c r="AT419" t="str">
        <f t="shared" si="153"/>
        <v>Yes</v>
      </c>
      <c r="AU419" s="51" t="str">
        <f t="shared" si="154"/>
        <v>Yes</v>
      </c>
      <c r="AV419" s="12">
        <f>IFERROR(VLOOKUP(D419,'Receivable Invoice Detail'!$S$1:$U$3014,3,FALSE),0)</f>
        <v>0</v>
      </c>
      <c r="AW419" s="12">
        <f t="shared" si="155"/>
        <v>143.00523268756848</v>
      </c>
    </row>
    <row r="420" spans="1:49" ht="30" x14ac:dyDescent="0.25">
      <c r="A420" s="2">
        <v>1</v>
      </c>
      <c r="B420" s="2" t="s">
        <v>1481</v>
      </c>
      <c r="C420" s="2" t="s">
        <v>1482</v>
      </c>
      <c r="D420" s="2" t="s">
        <v>2724</v>
      </c>
      <c r="E420" s="2" t="s">
        <v>20</v>
      </c>
      <c r="F420" s="3">
        <v>45758.372847222221</v>
      </c>
      <c r="G420" s="3">
        <v>45782.562638888892</v>
      </c>
      <c r="H420" s="4">
        <v>45859</v>
      </c>
      <c r="I420" s="2" t="s">
        <v>21</v>
      </c>
      <c r="J420" s="2" t="s">
        <v>22</v>
      </c>
      <c r="K420" s="2">
        <v>1</v>
      </c>
      <c r="L420" s="2">
        <v>10372.02</v>
      </c>
      <c r="M420" s="2">
        <v>10372.02</v>
      </c>
      <c r="N420" s="2">
        <v>10372.02</v>
      </c>
      <c r="O420" s="2">
        <v>9878.11</v>
      </c>
      <c r="P420" s="2">
        <v>493.91</v>
      </c>
      <c r="Q420" s="2">
        <v>10372.02</v>
      </c>
      <c r="R420" s="2" t="s">
        <v>44</v>
      </c>
      <c r="S420" s="2"/>
      <c r="T420" s="2">
        <f t="shared" si="137"/>
        <v>1</v>
      </c>
      <c r="U420" s="18">
        <f t="shared" si="138"/>
        <v>4</v>
      </c>
      <c r="V420" s="18">
        <f t="shared" si="139"/>
        <v>2025</v>
      </c>
      <c r="W420" s="18">
        <f t="shared" si="140"/>
        <v>8</v>
      </c>
      <c r="X420" s="18">
        <f t="shared" si="141"/>
        <v>2025</v>
      </c>
      <c r="Y420" s="2">
        <f t="shared" si="134"/>
        <v>1</v>
      </c>
      <c r="Z420" t="str">
        <f t="shared" si="135"/>
        <v>SO16967</v>
      </c>
      <c r="AA420" s="11">
        <f t="shared" si="142"/>
        <v>45758.372847222221</v>
      </c>
      <c r="AB420" s="5" t="str">
        <f t="shared" si="143"/>
        <v>INV13141</v>
      </c>
      <c r="AC420" s="5" t="str">
        <f>IFERROR(VLOOKUP(D420,CAARStatus!$A$2:$AA$1600,22,FALSE),"Not invoiced")</f>
        <v>Paid</v>
      </c>
      <c r="AD420" s="11">
        <f>IF(AC420="Paid",IFERROR(VLOOKUP(D420,CAARStatus!$A$2:$AA$1600,6,FALSE),"Pending"),"Pending")</f>
        <v>45898</v>
      </c>
      <c r="AE420" s="5" t="str">
        <f t="shared" si="144"/>
        <v>4500593166</v>
      </c>
      <c r="AF420" s="5" t="str">
        <f t="shared" si="145"/>
        <v>Resolute Forest Products - Saint-Felicien</v>
      </c>
      <c r="AG420" s="5" t="str">
        <f t="shared" si="146"/>
        <v>CAD</v>
      </c>
      <c r="AH420" s="5">
        <f t="shared" si="147"/>
        <v>9878.11</v>
      </c>
      <c r="AI420" s="12">
        <f>IF(L420-N420=0,VLOOKUP(U420,rate!A$4:B$15,2,FALSE)*AH420,IF(AG420="USD",O420,AH420*Y420))</f>
        <v>7079.2638955355278</v>
      </c>
      <c r="AJ420" s="13">
        <f t="shared" si="148"/>
        <v>0.71666177998984903</v>
      </c>
      <c r="AK420" s="13">
        <f>-IF(AG420="CAD",IFERROR(VLOOKUP(D420,CAARStatus!$A$1:$Y$1600,16,FALSE),0),0)</f>
        <v>-9878.11</v>
      </c>
      <c r="AL420" s="13">
        <f>-IF(AG420="USD",IFERROR(VLOOKUP(D420,CAARStatus!$A$1:$Y$1600,11,FALSE),0),0)</f>
        <v>0</v>
      </c>
      <c r="AM420" s="22">
        <f t="shared" si="149"/>
        <v>0</v>
      </c>
      <c r="AN420" s="12" t="str">
        <f t="shared" si="150"/>
        <v/>
      </c>
      <c r="AO420" s="12" t="str">
        <f t="shared" si="151"/>
        <v>Yes</v>
      </c>
      <c r="AP420" t="str">
        <f t="shared" si="136"/>
        <v>Yes</v>
      </c>
      <c r="AQ420" t="str">
        <f>IFERROR(VLOOKUP(Z420,InvBal!$L$4:$P$600,4,FALSE),"Pend")</f>
        <v>Pend</v>
      </c>
      <c r="AR420" t="str">
        <f>IFERROR(VLOOKUP(D420,Manual!$C$1:$E$22,2,FALSE),"Pend")</f>
        <v>Pend</v>
      </c>
      <c r="AS420" t="str">
        <f t="shared" si="152"/>
        <v>Yes</v>
      </c>
      <c r="AT420" t="str">
        <f t="shared" si="153"/>
        <v>Yes</v>
      </c>
      <c r="AU420" s="51" t="str">
        <f t="shared" si="154"/>
        <v>Yes</v>
      </c>
      <c r="AV420" s="12">
        <f>IFERROR(VLOOKUP(D420,'Receivable Invoice Detail'!$S$1:$U$3014,3,FALSE),0)</f>
        <v>0</v>
      </c>
      <c r="AW420" s="12">
        <f t="shared" si="155"/>
        <v>7079.2638955355278</v>
      </c>
    </row>
    <row r="421" spans="1:49" ht="30" x14ac:dyDescent="0.25">
      <c r="A421" s="2">
        <v>1</v>
      </c>
      <c r="B421" s="2" t="s">
        <v>1605</v>
      </c>
      <c r="C421" s="2" t="s">
        <v>1606</v>
      </c>
      <c r="D421" s="2" t="s">
        <v>2652</v>
      </c>
      <c r="E421" s="2" t="s">
        <v>1607</v>
      </c>
      <c r="F421" s="3">
        <v>45758.507685185177</v>
      </c>
      <c r="G421" s="3">
        <v>45758.658726851849</v>
      </c>
      <c r="H421" s="4">
        <v>45761</v>
      </c>
      <c r="I421" s="2" t="s">
        <v>1132</v>
      </c>
      <c r="J421" s="2" t="s">
        <v>51</v>
      </c>
      <c r="K421" s="2">
        <v>0.70470066534440534</v>
      </c>
      <c r="L421" s="2">
        <v>4700.4922272652111</v>
      </c>
      <c r="M421" s="2">
        <v>0</v>
      </c>
      <c r="N421" s="2">
        <v>3312.44</v>
      </c>
      <c r="O421" s="2">
        <v>3312.44</v>
      </c>
      <c r="P421" s="2"/>
      <c r="Q421" s="2">
        <v>3312.44</v>
      </c>
      <c r="R421" s="2" t="s">
        <v>44</v>
      </c>
      <c r="S421" s="2"/>
      <c r="T421" s="2">
        <f t="shared" si="137"/>
        <v>1</v>
      </c>
      <c r="U421" s="18">
        <f t="shared" si="138"/>
        <v>4</v>
      </c>
      <c r="V421" s="18">
        <f t="shared" si="139"/>
        <v>2025</v>
      </c>
      <c r="W421" s="18">
        <f t="shared" si="140"/>
        <v>5</v>
      </c>
      <c r="X421" s="18">
        <f t="shared" si="141"/>
        <v>2025</v>
      </c>
      <c r="Y421" s="2">
        <f t="shared" si="134"/>
        <v>0.70470066534440534</v>
      </c>
      <c r="Z421" t="str">
        <f t="shared" si="135"/>
        <v>SO16968</v>
      </c>
      <c r="AA421" s="11">
        <f t="shared" si="142"/>
        <v>45758.507685185177</v>
      </c>
      <c r="AB421" s="5" t="str">
        <f t="shared" si="143"/>
        <v>INV12870</v>
      </c>
      <c r="AC421" s="5" t="str">
        <f>IFERROR(VLOOKUP(D421,CAARStatus!$A$2:$AA$1600,22,FALSE),"Not invoiced")</f>
        <v>Paid</v>
      </c>
      <c r="AD421" s="11">
        <f>IF(AC421="Paid",IFERROR(VLOOKUP(D421,CAARStatus!$A$2:$AA$1600,6,FALSE),"Pending"),"Pending")</f>
        <v>45792</v>
      </c>
      <c r="AE421" s="5" t="str">
        <f t="shared" si="144"/>
        <v>5362319</v>
      </c>
      <c r="AF421" s="5" t="str">
        <f t="shared" si="145"/>
        <v>Pierce Pump Company, Pierce Pump Company</v>
      </c>
      <c r="AG421" s="5" t="str">
        <f t="shared" si="146"/>
        <v>USD</v>
      </c>
      <c r="AH421" s="5">
        <f t="shared" si="147"/>
        <v>4700.4922272652111</v>
      </c>
      <c r="AI421" s="12">
        <f>IF(L421-N421=0,VLOOKUP(U421,rate!A$4:B$15,2,FALSE)*AH421,IF(AG421="USD",O421,AH421*Y421))</f>
        <v>3312.44</v>
      </c>
      <c r="AJ421" s="13">
        <f t="shared" si="148"/>
        <v>0.70470066534440534</v>
      </c>
      <c r="AK421" s="13">
        <f>-IF(AG421="CAD",IFERROR(VLOOKUP(D421,CAARStatus!$A$1:$Y$1600,16,FALSE),0),0)</f>
        <v>0</v>
      </c>
      <c r="AL421" s="13">
        <f>-IF(AG421="USD",IFERROR(VLOOKUP(D421,CAARStatus!$A$1:$Y$1600,11,FALSE),0),0)</f>
        <v>-3312.44</v>
      </c>
      <c r="AM421" s="22" t="str">
        <f t="shared" si="149"/>
        <v/>
      </c>
      <c r="AN421" s="12">
        <f t="shared" si="150"/>
        <v>0</v>
      </c>
      <c r="AO421" s="12" t="str">
        <f t="shared" si="151"/>
        <v>Yes</v>
      </c>
      <c r="AP421" t="str">
        <f t="shared" si="136"/>
        <v>Yes</v>
      </c>
      <c r="AQ421" t="str">
        <f>IFERROR(VLOOKUP(Z421,InvBal!$L$4:$P$600,4,FALSE),"Pend")</f>
        <v>Pend</v>
      </c>
      <c r="AR421" t="str">
        <f>IFERROR(VLOOKUP(D421,Manual!$C$1:$E$22,2,FALSE),"Pend")</f>
        <v>Pend</v>
      </c>
      <c r="AS421" t="str">
        <f t="shared" si="152"/>
        <v>Yes</v>
      </c>
      <c r="AT421" t="str">
        <f t="shared" si="153"/>
        <v>Yes</v>
      </c>
      <c r="AU421" s="51" t="str">
        <f t="shared" si="154"/>
        <v>Yes</v>
      </c>
      <c r="AV421" s="12">
        <f>IFERROR(VLOOKUP(D421,'Receivable Invoice Detail'!$S$1:$U$3014,3,FALSE),0)</f>
        <v>0</v>
      </c>
      <c r="AW421" s="12">
        <f t="shared" si="155"/>
        <v>3312.44</v>
      </c>
    </row>
    <row r="422" spans="1:49" ht="30" x14ac:dyDescent="0.25">
      <c r="A422" s="2">
        <v>1</v>
      </c>
      <c r="B422" s="2" t="s">
        <v>1610</v>
      </c>
      <c r="C422" s="2" t="s">
        <v>1611</v>
      </c>
      <c r="D422" s="2" t="s">
        <v>2650</v>
      </c>
      <c r="E422" s="2" t="s">
        <v>290</v>
      </c>
      <c r="F422" s="3">
        <v>45758.616354166668</v>
      </c>
      <c r="G422" s="3">
        <v>45758.622245370367</v>
      </c>
      <c r="H422" s="4">
        <v>45761</v>
      </c>
      <c r="I422" s="2" t="s">
        <v>21</v>
      </c>
      <c r="J422" s="2" t="s">
        <v>22</v>
      </c>
      <c r="K422" s="2">
        <v>1</v>
      </c>
      <c r="L422" s="2">
        <v>986.77</v>
      </c>
      <c r="M422" s="2">
        <v>0</v>
      </c>
      <c r="N422" s="2">
        <v>709.97649734587617</v>
      </c>
      <c r="O422" s="2">
        <v>939.78</v>
      </c>
      <c r="P422" s="2">
        <v>46.99</v>
      </c>
      <c r="Q422" s="2">
        <v>986.77</v>
      </c>
      <c r="R422" s="2" t="s">
        <v>44</v>
      </c>
      <c r="S422" s="2"/>
      <c r="T422" s="2">
        <f t="shared" si="137"/>
        <v>1</v>
      </c>
      <c r="U422" s="18">
        <f t="shared" si="138"/>
        <v>4</v>
      </c>
      <c r="V422" s="18">
        <f t="shared" si="139"/>
        <v>2025</v>
      </c>
      <c r="W422" s="18">
        <f t="shared" si="140"/>
        <v>6</v>
      </c>
      <c r="X422" s="18">
        <f t="shared" si="141"/>
        <v>2025</v>
      </c>
      <c r="Y422" s="2">
        <f t="shared" si="134"/>
        <v>0.71949542177597225</v>
      </c>
      <c r="Z422" t="str">
        <f t="shared" si="135"/>
        <v>SO16970</v>
      </c>
      <c r="AA422" s="11">
        <f t="shared" si="142"/>
        <v>45758.616354166668</v>
      </c>
      <c r="AB422" s="5" t="str">
        <f t="shared" si="143"/>
        <v>INV12877</v>
      </c>
      <c r="AC422" s="5" t="str">
        <f>IFERROR(VLOOKUP(D422,CAARStatus!$A$2:$AA$1600,22,FALSE),"Not invoiced")</f>
        <v>Paid</v>
      </c>
      <c r="AD422" s="11">
        <f>IF(AC422="Paid",IFERROR(VLOOKUP(D422,CAARStatus!$A$2:$AA$1600,6,FALSE),"Pending"),"Pending")</f>
        <v>45821</v>
      </c>
      <c r="AE422" s="5" t="str">
        <f t="shared" si="144"/>
        <v>4500591345</v>
      </c>
      <c r="AF422" s="5" t="str">
        <f t="shared" si="145"/>
        <v>Resolute Forest Products - Kenogami</v>
      </c>
      <c r="AG422" s="5" t="str">
        <f t="shared" si="146"/>
        <v>CAD</v>
      </c>
      <c r="AH422" s="5">
        <f t="shared" si="147"/>
        <v>939.78</v>
      </c>
      <c r="AI422" s="12">
        <f>IF(L422-N422=0,VLOOKUP(U422,rate!A$4:B$15,2,FALSE)*AH422,IF(AG422="USD",O422,AH422*Y422))</f>
        <v>676.16740747662323</v>
      </c>
      <c r="AJ422" s="13">
        <f t="shared" si="148"/>
        <v>0.71949542177597225</v>
      </c>
      <c r="AK422" s="13">
        <f>-IF(AG422="CAD",IFERROR(VLOOKUP(D422,CAARStatus!$A$1:$Y$1600,16,FALSE),0),0)</f>
        <v>-939.78</v>
      </c>
      <c r="AL422" s="13">
        <f>-IF(AG422="USD",IFERROR(VLOOKUP(D422,CAARStatus!$A$1:$Y$1600,11,FALSE),0),0)</f>
        <v>0</v>
      </c>
      <c r="AM422" s="22">
        <f t="shared" si="149"/>
        <v>0</v>
      </c>
      <c r="AN422" s="12" t="str">
        <f t="shared" si="150"/>
        <v/>
      </c>
      <c r="AO422" s="12" t="str">
        <f t="shared" si="151"/>
        <v>Yes</v>
      </c>
      <c r="AP422" t="str">
        <f t="shared" si="136"/>
        <v>Yes</v>
      </c>
      <c r="AQ422" t="str">
        <f>IFERROR(VLOOKUP(Z422,InvBal!$L$4:$P$600,4,FALSE),"Pend")</f>
        <v>Pend</v>
      </c>
      <c r="AR422" t="str">
        <f>IFERROR(VLOOKUP(D422,Manual!$C$1:$E$22,2,FALSE),"Pend")</f>
        <v>Pend</v>
      </c>
      <c r="AS422" t="str">
        <f t="shared" si="152"/>
        <v>Yes</v>
      </c>
      <c r="AT422" t="str">
        <f t="shared" si="153"/>
        <v>Yes</v>
      </c>
      <c r="AU422" s="51" t="str">
        <f t="shared" si="154"/>
        <v>Yes</v>
      </c>
      <c r="AV422" s="12">
        <f>IFERROR(VLOOKUP(D422,'Receivable Invoice Detail'!$S$1:$U$3014,3,FALSE),0)</f>
        <v>0</v>
      </c>
      <c r="AW422" s="12">
        <f t="shared" si="155"/>
        <v>676.16740747662323</v>
      </c>
    </row>
    <row r="423" spans="1:49" x14ac:dyDescent="0.25">
      <c r="A423" s="2">
        <v>1</v>
      </c>
      <c r="B423" s="2" t="s">
        <v>1455</v>
      </c>
      <c r="C423" s="2" t="s">
        <v>1456</v>
      </c>
      <c r="D423" s="2" t="s">
        <v>2738</v>
      </c>
      <c r="E423" s="2" t="s">
        <v>901</v>
      </c>
      <c r="F423" s="3">
        <v>45761.399108796293</v>
      </c>
      <c r="G423" s="3">
        <v>45785.33326388889</v>
      </c>
      <c r="H423" s="4">
        <v>45786</v>
      </c>
      <c r="I423" s="2" t="s">
        <v>180</v>
      </c>
      <c r="J423" s="2" t="s">
        <v>51</v>
      </c>
      <c r="K423" s="2">
        <v>0.72599223409301405</v>
      </c>
      <c r="L423" s="2">
        <v>6239.7361669568727</v>
      </c>
      <c r="M423" s="2">
        <v>0</v>
      </c>
      <c r="N423" s="2">
        <v>4530</v>
      </c>
      <c r="O423" s="2">
        <v>4530</v>
      </c>
      <c r="P423" s="2"/>
      <c r="Q423" s="2">
        <v>4530</v>
      </c>
      <c r="R423" s="2" t="s">
        <v>44</v>
      </c>
      <c r="S423" s="2"/>
      <c r="T423" s="2">
        <f t="shared" si="137"/>
        <v>1</v>
      </c>
      <c r="U423" s="18">
        <f t="shared" si="138"/>
        <v>4</v>
      </c>
      <c r="V423" s="18">
        <f t="shared" si="139"/>
        <v>2025</v>
      </c>
      <c r="W423" s="18">
        <f t="shared" si="140"/>
        <v>8</v>
      </c>
      <c r="X423" s="18">
        <f t="shared" si="141"/>
        <v>2025</v>
      </c>
      <c r="Y423" s="17">
        <f t="shared" si="134"/>
        <v>0.72599223409301405</v>
      </c>
      <c r="Z423" t="str">
        <f t="shared" si="135"/>
        <v>SO16976</v>
      </c>
      <c r="AA423" s="11">
        <f t="shared" si="142"/>
        <v>45761.399108796293</v>
      </c>
      <c r="AB423" s="5" t="str">
        <f t="shared" si="143"/>
        <v>INV12969</v>
      </c>
      <c r="AC423" s="5" t="str">
        <f>IFERROR(VLOOKUP(D423,CAARStatus!$A$2:$AA$1600,22,FALSE),"Not invoiced")</f>
        <v>Paid</v>
      </c>
      <c r="AD423" s="11">
        <f>IF(AC423="Paid",IFERROR(VLOOKUP(D423,CAARStatus!$A$2:$AA$1600,6,FALSE),"Pending"),"Pending")</f>
        <v>45895</v>
      </c>
      <c r="AE423" s="5" t="str">
        <f t="shared" si="144"/>
        <v>4500804288</v>
      </c>
      <c r="AF423" s="5" t="str">
        <f t="shared" si="145"/>
        <v>AGM Inc.</v>
      </c>
      <c r="AG423" s="5" t="str">
        <f t="shared" si="146"/>
        <v>USD</v>
      </c>
      <c r="AH423" s="5">
        <f t="shared" si="147"/>
        <v>6239.7361669568727</v>
      </c>
      <c r="AI423" s="12">
        <f>IF(L423-N423=0,VLOOKUP(U423,rate!A$4:B$15,2,FALSE)*AH423,IF(AG423="USD",O423,AH423*Y423))</f>
        <v>4530</v>
      </c>
      <c r="AJ423" s="13">
        <f t="shared" si="148"/>
        <v>0.72599223409301405</v>
      </c>
      <c r="AK423" s="13">
        <f>-IF(AG423="CAD",IFERROR(VLOOKUP(D423,CAARStatus!$A$1:$Y$1600,16,FALSE),0),0)</f>
        <v>0</v>
      </c>
      <c r="AL423" s="13">
        <f>-IF(AG423="USD",IFERROR(VLOOKUP(D423,CAARStatus!$A$1:$Y$1600,11,FALSE),0),0)</f>
        <v>-4530</v>
      </c>
      <c r="AM423" s="22" t="str">
        <f t="shared" si="149"/>
        <v/>
      </c>
      <c r="AN423" s="12">
        <f t="shared" si="150"/>
        <v>0</v>
      </c>
      <c r="AO423" s="12" t="str">
        <f t="shared" si="151"/>
        <v>Yes</v>
      </c>
      <c r="AP423" t="str">
        <f t="shared" si="136"/>
        <v>Yes</v>
      </c>
      <c r="AQ423" t="str">
        <f>IFERROR(VLOOKUP(Z423,InvBal!$L$4:$P$600,4,FALSE),"Pend")</f>
        <v>Pend</v>
      </c>
      <c r="AR423" t="str">
        <f>IFERROR(VLOOKUP(D423,Manual!$C$1:$E$22,2,FALSE),"Pend")</f>
        <v>Pend</v>
      </c>
      <c r="AS423" t="str">
        <f t="shared" si="152"/>
        <v>Yes</v>
      </c>
      <c r="AT423" t="str">
        <f t="shared" si="153"/>
        <v>Yes</v>
      </c>
      <c r="AU423" s="51" t="str">
        <f t="shared" si="154"/>
        <v>Yes</v>
      </c>
      <c r="AV423" s="12">
        <f>IFERROR(VLOOKUP(D423,'Receivable Invoice Detail'!$S$1:$U$3014,3,FALSE),0)</f>
        <v>0</v>
      </c>
      <c r="AW423" s="12">
        <f t="shared" si="155"/>
        <v>4530</v>
      </c>
    </row>
    <row r="424" spans="1:49" ht="30" x14ac:dyDescent="0.25">
      <c r="A424" s="2">
        <v>1</v>
      </c>
      <c r="B424" s="2" t="s">
        <v>1564</v>
      </c>
      <c r="C424" s="2" t="s">
        <v>1565</v>
      </c>
      <c r="D424" s="2" t="s">
        <v>2677</v>
      </c>
      <c r="E424" s="2" t="s">
        <v>86</v>
      </c>
      <c r="F424" s="3">
        <v>45761.574444444443</v>
      </c>
      <c r="G424" s="3">
        <v>45764.492546296293</v>
      </c>
      <c r="H424" s="4">
        <v>45768</v>
      </c>
      <c r="I424" s="2" t="s">
        <v>21</v>
      </c>
      <c r="J424" s="2" t="s">
        <v>22</v>
      </c>
      <c r="K424" s="2">
        <v>1</v>
      </c>
      <c r="L424" s="2">
        <v>204.72</v>
      </c>
      <c r="M424" s="2">
        <v>0</v>
      </c>
      <c r="N424" s="2">
        <v>147.73001141053911</v>
      </c>
      <c r="O424" s="2">
        <v>194.97</v>
      </c>
      <c r="P424" s="2">
        <v>9.75</v>
      </c>
      <c r="Q424" s="2">
        <v>204.72</v>
      </c>
      <c r="R424" s="2" t="s">
        <v>44</v>
      </c>
      <c r="S424" s="2"/>
      <c r="T424" s="2">
        <f t="shared" si="137"/>
        <v>1</v>
      </c>
      <c r="U424" s="18">
        <f t="shared" si="138"/>
        <v>4</v>
      </c>
      <c r="V424" s="18">
        <f t="shared" si="139"/>
        <v>2025</v>
      </c>
      <c r="W424" s="18">
        <f t="shared" si="140"/>
        <v>5</v>
      </c>
      <c r="X424" s="18">
        <f t="shared" si="141"/>
        <v>2025</v>
      </c>
      <c r="Y424" s="2">
        <f t="shared" si="134"/>
        <v>0.72161982908625977</v>
      </c>
      <c r="Z424" t="str">
        <f t="shared" si="135"/>
        <v>SO16983</v>
      </c>
      <c r="AA424" s="11">
        <f t="shared" si="142"/>
        <v>45761.574444444443</v>
      </c>
      <c r="AB424" s="5" t="str">
        <f t="shared" si="143"/>
        <v>INV12890</v>
      </c>
      <c r="AC424" s="5" t="str">
        <f>IFERROR(VLOOKUP(D424,CAARStatus!$A$2:$AA$1600,22,FALSE),"Not invoiced")</f>
        <v>Paid</v>
      </c>
      <c r="AD424" s="11">
        <f>IF(AC424="Paid",IFERROR(VLOOKUP(D424,CAARStatus!$A$2:$AA$1600,6,FALSE),"Pending"),"Pending")</f>
        <v>45798</v>
      </c>
      <c r="AE424" s="5" t="str">
        <f t="shared" si="144"/>
        <v>MB21-00188690</v>
      </c>
      <c r="AF424" s="5" t="str">
        <f t="shared" si="145"/>
        <v>Motion Industries Inc. (Canada) - Winnipeg</v>
      </c>
      <c r="AG424" s="5" t="str">
        <f t="shared" si="146"/>
        <v>CAD</v>
      </c>
      <c r="AH424" s="5">
        <f t="shared" si="147"/>
        <v>194.97</v>
      </c>
      <c r="AI424" s="12">
        <f>IF(L424-N424=0,VLOOKUP(U424,rate!A$4:B$15,2,FALSE)*AH424,IF(AG424="USD",O424,AH424*Y424))</f>
        <v>140.69421807694806</v>
      </c>
      <c r="AJ424" s="13">
        <f t="shared" si="148"/>
        <v>0.72161982908625977</v>
      </c>
      <c r="AK424" s="13">
        <f>-IF(AG424="CAD",IFERROR(VLOOKUP(D424,CAARStatus!$A$1:$Y$1600,16,FALSE),0),0)</f>
        <v>-194.97</v>
      </c>
      <c r="AL424" s="13">
        <f>-IF(AG424="USD",IFERROR(VLOOKUP(D424,CAARStatus!$A$1:$Y$1600,11,FALSE),0),0)</f>
        <v>0</v>
      </c>
      <c r="AM424" s="22">
        <f t="shared" si="149"/>
        <v>0</v>
      </c>
      <c r="AN424" s="12" t="str">
        <f t="shared" si="150"/>
        <v/>
      </c>
      <c r="AO424" s="12" t="str">
        <f t="shared" si="151"/>
        <v>Yes</v>
      </c>
      <c r="AP424" t="str">
        <f t="shared" si="136"/>
        <v>Yes</v>
      </c>
      <c r="AQ424" t="str">
        <f>IFERROR(VLOOKUP(Z424,InvBal!$L$4:$P$600,4,FALSE),"Pend")</f>
        <v>Pend</v>
      </c>
      <c r="AR424" t="str">
        <f>IFERROR(VLOOKUP(D424,Manual!$C$1:$E$22,2,FALSE),"Pend")</f>
        <v>Pend</v>
      </c>
      <c r="AS424" t="str">
        <f t="shared" si="152"/>
        <v>Yes</v>
      </c>
      <c r="AT424" t="str">
        <f t="shared" si="153"/>
        <v>Yes</v>
      </c>
      <c r="AU424" s="51" t="str">
        <f t="shared" si="154"/>
        <v>Yes</v>
      </c>
      <c r="AV424" s="12">
        <f>IFERROR(VLOOKUP(D424,'Receivable Invoice Detail'!$S$1:$U$3014,3,FALSE),0)</f>
        <v>0</v>
      </c>
      <c r="AW424" s="12">
        <f t="shared" si="155"/>
        <v>140.69421807694806</v>
      </c>
    </row>
    <row r="425" spans="1:49" x14ac:dyDescent="0.25">
      <c r="A425" s="2">
        <v>1</v>
      </c>
      <c r="B425" s="2" t="s">
        <v>1597</v>
      </c>
      <c r="C425" s="2" t="s">
        <v>1598</v>
      </c>
      <c r="D425" s="2" t="s">
        <v>2656</v>
      </c>
      <c r="E425" s="2" t="s">
        <v>70</v>
      </c>
      <c r="F425" s="3">
        <v>45761.592974537038</v>
      </c>
      <c r="G425" s="3">
        <v>45761.592094907413</v>
      </c>
      <c r="H425" s="4">
        <v>45771</v>
      </c>
      <c r="I425" s="2" t="s">
        <v>71</v>
      </c>
      <c r="J425" s="2" t="s">
        <v>51</v>
      </c>
      <c r="K425" s="2">
        <v>0.72095821438553542</v>
      </c>
      <c r="L425" s="2">
        <v>1482.776641793469</v>
      </c>
      <c r="M425" s="2">
        <v>0</v>
      </c>
      <c r="N425" s="2">
        <v>1069.02</v>
      </c>
      <c r="O425" s="2">
        <v>1069.02</v>
      </c>
      <c r="P425" s="2"/>
      <c r="Q425" s="2">
        <v>1069.02</v>
      </c>
      <c r="R425" s="2" t="s">
        <v>44</v>
      </c>
      <c r="S425" s="2"/>
      <c r="T425" s="2">
        <f t="shared" si="137"/>
        <v>1</v>
      </c>
      <c r="U425" s="18">
        <f t="shared" si="138"/>
        <v>4</v>
      </c>
      <c r="V425" s="18">
        <f t="shared" si="139"/>
        <v>2025</v>
      </c>
      <c r="W425" s="18">
        <f t="shared" si="140"/>
        <v>7</v>
      </c>
      <c r="X425" s="18">
        <f t="shared" si="141"/>
        <v>2025</v>
      </c>
      <c r="Y425" s="2">
        <f t="shared" si="134"/>
        <v>0.72095821438553531</v>
      </c>
      <c r="Z425" t="str">
        <f t="shared" si="135"/>
        <v>SO16985</v>
      </c>
      <c r="AA425" s="11">
        <f t="shared" si="142"/>
        <v>45761.592974537038</v>
      </c>
      <c r="AB425" s="5" t="str">
        <f t="shared" si="143"/>
        <v>INV12903</v>
      </c>
      <c r="AC425" s="5" t="str">
        <f>IFERROR(VLOOKUP(D425,CAARStatus!$A$2:$AA$1600,22,FALSE),"Not invoiced")</f>
        <v>Paid</v>
      </c>
      <c r="AD425" s="11">
        <f>IF(AC425="Paid",IFERROR(VLOOKUP(D425,CAARStatus!$A$2:$AA$1600,6,FALSE),"Pending"),"Pending")</f>
        <v>45867</v>
      </c>
      <c r="AE425" s="5" t="str">
        <f t="shared" si="144"/>
        <v>P357437</v>
      </c>
      <c r="AF425" s="5" t="str">
        <f t="shared" si="145"/>
        <v>Covia Corp - Junction City</v>
      </c>
      <c r="AG425" s="5" t="str">
        <f t="shared" si="146"/>
        <v>USD</v>
      </c>
      <c r="AH425" s="5">
        <f t="shared" si="147"/>
        <v>1482.7766417934688</v>
      </c>
      <c r="AI425" s="12">
        <f>IF(L425-N425=0,VLOOKUP(U425,rate!A$4:B$15,2,FALSE)*AH425,IF(AG425="USD",O425,AH425*Y425))</f>
        <v>1069.02</v>
      </c>
      <c r="AJ425" s="13">
        <f t="shared" si="148"/>
        <v>0.72095821438553542</v>
      </c>
      <c r="AK425" s="13">
        <f>-IF(AG425="CAD",IFERROR(VLOOKUP(D425,CAARStatus!$A$1:$Y$1600,16,FALSE),0),0)</f>
        <v>0</v>
      </c>
      <c r="AL425" s="13">
        <f>-IF(AG425="USD",IFERROR(VLOOKUP(D425,CAARStatus!$A$1:$Y$1600,11,FALSE),0),0)</f>
        <v>-1069.02</v>
      </c>
      <c r="AM425" s="22" t="str">
        <f t="shared" si="149"/>
        <v/>
      </c>
      <c r="AN425" s="12">
        <f t="shared" si="150"/>
        <v>0</v>
      </c>
      <c r="AO425" s="12" t="str">
        <f t="shared" si="151"/>
        <v>Yes</v>
      </c>
      <c r="AP425" t="str">
        <f t="shared" si="136"/>
        <v>Yes</v>
      </c>
      <c r="AQ425" t="str">
        <f>IFERROR(VLOOKUP(Z425,InvBal!$L$4:$P$600,4,FALSE),"Pend")</f>
        <v>Pend</v>
      </c>
      <c r="AR425" t="str">
        <f>IFERROR(VLOOKUP(D425,Manual!$C$1:$E$22,2,FALSE),"Pend")</f>
        <v>Pend</v>
      </c>
      <c r="AS425" t="str">
        <f t="shared" si="152"/>
        <v>Yes</v>
      </c>
      <c r="AT425" t="str">
        <f t="shared" si="153"/>
        <v>Yes</v>
      </c>
      <c r="AU425" s="51" t="str">
        <f t="shared" si="154"/>
        <v>Yes</v>
      </c>
      <c r="AV425" s="12">
        <f>IFERROR(VLOOKUP(D425,'Receivable Invoice Detail'!$S$1:$U$3014,3,FALSE),0)</f>
        <v>171.5</v>
      </c>
      <c r="AW425" s="12">
        <f t="shared" si="155"/>
        <v>897.52</v>
      </c>
    </row>
    <row r="426" spans="1:49" ht="30" x14ac:dyDescent="0.25">
      <c r="A426" s="2">
        <v>2</v>
      </c>
      <c r="B426" s="2" t="s">
        <v>1593</v>
      </c>
      <c r="C426" s="2" t="s">
        <v>1594</v>
      </c>
      <c r="D426" s="2" t="s">
        <v>2659</v>
      </c>
      <c r="E426" s="2" t="s">
        <v>39</v>
      </c>
      <c r="F426" s="3">
        <v>45761.692974537043</v>
      </c>
      <c r="G426" s="3">
        <v>45761.692974537043</v>
      </c>
      <c r="H426" s="4">
        <v>45869</v>
      </c>
      <c r="I426" s="2" t="s">
        <v>21</v>
      </c>
      <c r="J426" s="2" t="s">
        <v>22</v>
      </c>
      <c r="K426" s="2">
        <v>1</v>
      </c>
      <c r="L426" s="2">
        <v>1784.76</v>
      </c>
      <c r="M426" s="2">
        <v>0</v>
      </c>
      <c r="N426" s="2">
        <v>1284.563989589132</v>
      </c>
      <c r="O426" s="2">
        <v>1699.77</v>
      </c>
      <c r="P426" s="2">
        <v>84.99</v>
      </c>
      <c r="Q426" s="2">
        <v>1784.76</v>
      </c>
      <c r="R426" s="2" t="s">
        <v>44</v>
      </c>
      <c r="S426" s="2"/>
      <c r="T426" s="2">
        <f t="shared" si="137"/>
        <v>2</v>
      </c>
      <c r="U426" s="18">
        <f t="shared" si="138"/>
        <v>4</v>
      </c>
      <c r="V426" s="18">
        <f t="shared" si="139"/>
        <v>2025</v>
      </c>
      <c r="W426" s="18">
        <f t="shared" si="140"/>
        <v>5</v>
      </c>
      <c r="X426" s="18">
        <f t="shared" si="141"/>
        <v>2025</v>
      </c>
      <c r="Y426" s="17">
        <f t="shared" si="134"/>
        <v>0.71974046347359422</v>
      </c>
      <c r="Z426" t="str">
        <f t="shared" si="135"/>
        <v>SO16989</v>
      </c>
      <c r="AA426" s="11">
        <f t="shared" si="142"/>
        <v>45761.692974537043</v>
      </c>
      <c r="AB426" s="5" t="str">
        <f t="shared" si="143"/>
        <v>INV12923</v>
      </c>
      <c r="AC426" s="5" t="str">
        <f>IFERROR(VLOOKUP(D426,CAARStatus!$A$2:$AA$1600,22,FALSE),"Not invoiced")</f>
        <v>Paid</v>
      </c>
      <c r="AD426" s="11">
        <f>IF(AC426="Paid",IFERROR(VLOOKUP(D426,CAARStatus!$A$2:$AA$1600,6,FALSE),"Pending"),"Pending")</f>
        <v>45806</v>
      </c>
      <c r="AE426" s="5" t="str">
        <f t="shared" si="144"/>
        <v>BC65-00080260</v>
      </c>
      <c r="AF426" s="5" t="str">
        <f t="shared" si="145"/>
        <v>Motion Industries Inc. (Canada) - Prince George</v>
      </c>
      <c r="AG426" s="5" t="str">
        <f t="shared" si="146"/>
        <v>CAD</v>
      </c>
      <c r="AH426" s="5">
        <f t="shared" si="147"/>
        <v>1699.77</v>
      </c>
      <c r="AI426" s="12">
        <f>IF(L426-N426=0,VLOOKUP(U426,rate!A$4:B$15,2,FALSE)*AH426,IF(AG426="USD",O426,AH426*Y426))</f>
        <v>1223.3932475985112</v>
      </c>
      <c r="AJ426" s="13">
        <f t="shared" si="148"/>
        <v>0.71974046347359422</v>
      </c>
      <c r="AK426" s="13">
        <f>-IF(AG426="CAD",IFERROR(VLOOKUP(D426,CAARStatus!$A$1:$Y$1600,16,FALSE),0),0)</f>
        <v>-1340.49</v>
      </c>
      <c r="AL426" s="13">
        <f>-IF(AG426="USD",IFERROR(VLOOKUP(D426,CAARStatus!$A$1:$Y$1600,11,FALSE),0),0)</f>
        <v>0</v>
      </c>
      <c r="AM426" s="22">
        <f t="shared" si="149"/>
        <v>359.28</v>
      </c>
      <c r="AN426" s="12" t="str">
        <f t="shared" si="150"/>
        <v/>
      </c>
      <c r="AO426" s="12" t="str">
        <f t="shared" si="151"/>
        <v>Yes</v>
      </c>
      <c r="AP426" t="str">
        <f t="shared" si="136"/>
        <v>XX</v>
      </c>
      <c r="AQ426" t="str">
        <f>IFERROR(VLOOKUP(Z426,InvBal!$L$4:$P$600,4,FALSE),"Pend")</f>
        <v>Yes</v>
      </c>
      <c r="AR426" t="str">
        <f>IFERROR(VLOOKUP(D426,Manual!$C$1:$E$22,2,FALSE),"Pend")</f>
        <v>Pend</v>
      </c>
      <c r="AS426" t="str">
        <f t="shared" si="152"/>
        <v>Yes</v>
      </c>
      <c r="AT426" t="str">
        <f t="shared" si="153"/>
        <v>Yes</v>
      </c>
      <c r="AU426" s="51" t="str">
        <f t="shared" si="154"/>
        <v>Yes</v>
      </c>
      <c r="AV426" s="12">
        <f>IFERROR(VLOOKUP(D426,'Receivable Invoice Detail'!$S$1:$U$3014,3,FALSE),0)</f>
        <v>0</v>
      </c>
      <c r="AW426" s="12">
        <f t="shared" si="155"/>
        <v>1223.3932475985112</v>
      </c>
    </row>
    <row r="427" spans="1:49" x14ac:dyDescent="0.25">
      <c r="A427" s="2"/>
      <c r="B427" s="2"/>
      <c r="C427" s="2"/>
      <c r="D427" s="2" t="s">
        <v>2658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>
        <f t="shared" si="137"/>
        <v>2</v>
      </c>
      <c r="U427" s="18">
        <f t="shared" si="138"/>
        <v>4</v>
      </c>
      <c r="V427" s="18">
        <f t="shared" si="139"/>
        <v>2025</v>
      </c>
      <c r="W427" s="18">
        <f t="shared" si="140"/>
        <v>7</v>
      </c>
      <c r="X427" s="18">
        <f t="shared" si="141"/>
        <v>2025</v>
      </c>
      <c r="Y427" s="2">
        <f t="shared" si="134"/>
        <v>0.71974046347359422</v>
      </c>
      <c r="Z427" t="str">
        <f t="shared" si="135"/>
        <v>SO16989</v>
      </c>
      <c r="AA427" s="11">
        <f t="shared" si="142"/>
        <v>45761.692974537043</v>
      </c>
      <c r="AB427" s="5" t="str">
        <f t="shared" si="143"/>
        <v>INV13125</v>
      </c>
      <c r="AC427" s="5" t="str">
        <f>IFERROR(VLOOKUP(D427,CAARStatus!$A$2:$AA$1600,22,FALSE),"Not invoiced")</f>
        <v>Paid</v>
      </c>
      <c r="AD427" s="11">
        <f>IF(AC427="Paid",IFERROR(VLOOKUP(D427,CAARStatus!$A$2:$AA$1600,6,FALSE),"Pending"),"Pending")</f>
        <v>45862</v>
      </c>
      <c r="AE427" s="5" t="str">
        <f t="shared" si="144"/>
        <v>BC65-00080260</v>
      </c>
      <c r="AF427" s="5" t="str">
        <f t="shared" si="145"/>
        <v>Motion Industries Inc. (Canada) - Prince George</v>
      </c>
      <c r="AG427" s="5" t="str">
        <f t="shared" si="146"/>
        <v>CAD</v>
      </c>
      <c r="AH427" s="5">
        <f t="shared" si="147"/>
        <v>0</v>
      </c>
      <c r="AI427" s="12">
        <f>IF(L427-N427=0,VLOOKUP(U427,rate!A$4:B$15,2,FALSE)*AH427,IF(AG427="USD",O427,AH427*Y427))</f>
        <v>0</v>
      </c>
      <c r="AJ427" s="13">
        <f t="shared" si="148"/>
        <v>0</v>
      </c>
      <c r="AK427" s="13">
        <f>-IF(AG427="CAD",IFERROR(VLOOKUP(D427,CAARStatus!$A$1:$Y$1600,16,FALSE),0),0)</f>
        <v>-359.28</v>
      </c>
      <c r="AL427" s="13">
        <f>-IF(AG427="USD",IFERROR(VLOOKUP(D427,CAARStatus!$A$1:$Y$1600,11,FALSE),0),0)</f>
        <v>0</v>
      </c>
      <c r="AM427" s="22">
        <f t="shared" si="149"/>
        <v>-359.28</v>
      </c>
      <c r="AN427" s="12" t="str">
        <f t="shared" si="150"/>
        <v/>
      </c>
      <c r="AO427" s="12" t="str">
        <f t="shared" si="151"/>
        <v>Yes</v>
      </c>
      <c r="AP427" t="str">
        <f t="shared" si="136"/>
        <v>XX</v>
      </c>
      <c r="AQ427" t="str">
        <f>IFERROR(VLOOKUP(Z427,InvBal!$L$4:$P$600,4,FALSE),"Pend")</f>
        <v>Yes</v>
      </c>
      <c r="AR427" t="str">
        <f>IFERROR(VLOOKUP(D427,Manual!$C$1:$E$22,2,FALSE),"Pend")</f>
        <v>Pend</v>
      </c>
      <c r="AS427" t="str">
        <f t="shared" si="152"/>
        <v>Yes</v>
      </c>
      <c r="AT427" t="str">
        <f t="shared" si="153"/>
        <v/>
      </c>
      <c r="AU427" s="51" t="str">
        <f t="shared" si="154"/>
        <v/>
      </c>
      <c r="AV427" s="12">
        <f>IFERROR(VLOOKUP(D427,'Receivable Invoice Detail'!$S$1:$U$3014,3,FALSE),0)</f>
        <v>0</v>
      </c>
      <c r="AW427" s="12">
        <f t="shared" si="155"/>
        <v>0</v>
      </c>
    </row>
    <row r="428" spans="1:49" x14ac:dyDescent="0.25">
      <c r="A428" s="2">
        <v>1</v>
      </c>
      <c r="B428" s="2" t="s">
        <v>1583</v>
      </c>
      <c r="C428" s="2" t="s">
        <v>1584</v>
      </c>
      <c r="D428" s="2" t="s">
        <v>2668</v>
      </c>
      <c r="E428" s="2" t="s">
        <v>271</v>
      </c>
      <c r="F428" s="3">
        <v>45762.340810185182</v>
      </c>
      <c r="G428" s="3">
        <v>45762.448842592603</v>
      </c>
      <c r="H428" s="4">
        <v>45762</v>
      </c>
      <c r="I428" s="2" t="s">
        <v>21</v>
      </c>
      <c r="J428" s="2" t="s">
        <v>22</v>
      </c>
      <c r="K428" s="2">
        <v>1</v>
      </c>
      <c r="L428" s="2">
        <v>96.72</v>
      </c>
      <c r="M428" s="2">
        <v>0</v>
      </c>
      <c r="N428" s="2">
        <v>69.349600472038262</v>
      </c>
      <c r="O428" s="2">
        <v>92.11</v>
      </c>
      <c r="P428" s="2">
        <v>4.6100000000000003</v>
      </c>
      <c r="Q428" s="2">
        <v>96.72</v>
      </c>
      <c r="R428" s="2" t="s">
        <v>44</v>
      </c>
      <c r="S428" s="2"/>
      <c r="T428" s="2">
        <f t="shared" si="137"/>
        <v>1</v>
      </c>
      <c r="U428" s="18">
        <f t="shared" si="138"/>
        <v>4</v>
      </c>
      <c r="V428" s="18">
        <f t="shared" si="139"/>
        <v>2025</v>
      </c>
      <c r="W428" s="18">
        <f t="shared" si="140"/>
        <v>5</v>
      </c>
      <c r="X428" s="18">
        <f t="shared" si="141"/>
        <v>2025</v>
      </c>
      <c r="Y428" s="2">
        <f t="shared" si="134"/>
        <v>0.71701406608807139</v>
      </c>
      <c r="Z428" t="str">
        <f t="shared" si="135"/>
        <v>SO16990</v>
      </c>
      <c r="AA428" s="11">
        <f t="shared" si="142"/>
        <v>45762.340810185182</v>
      </c>
      <c r="AB428" s="5" t="str">
        <f t="shared" si="143"/>
        <v>INV12878</v>
      </c>
      <c r="AC428" s="5" t="str">
        <f>IFERROR(VLOOKUP(D428,CAARStatus!$A$2:$AA$1600,22,FALSE),"Not invoiced")</f>
        <v>Paid</v>
      </c>
      <c r="AD428" s="11">
        <f>IF(AC428="Paid",IFERROR(VLOOKUP(D428,CAARStatus!$A$2:$AA$1600,6,FALSE),"Pending"),"Pending")</f>
        <v>45800</v>
      </c>
      <c r="AE428" s="5" t="str">
        <f t="shared" si="144"/>
        <v>7025</v>
      </c>
      <c r="AF428" s="5" t="str">
        <f t="shared" si="145"/>
        <v>Hyperflo, Hyperflo</v>
      </c>
      <c r="AG428" s="5" t="str">
        <f t="shared" si="146"/>
        <v>CAD</v>
      </c>
      <c r="AH428" s="5">
        <f t="shared" si="147"/>
        <v>92.11</v>
      </c>
      <c r="AI428" s="12">
        <f>IF(L428-N428=0,VLOOKUP(U428,rate!A$4:B$15,2,FALSE)*AH428,IF(AG428="USD",O428,AH428*Y428))</f>
        <v>66.044165627372251</v>
      </c>
      <c r="AJ428" s="13">
        <f t="shared" si="148"/>
        <v>0.71701406608807139</v>
      </c>
      <c r="AK428" s="13">
        <f>-IF(AG428="CAD",IFERROR(VLOOKUP(D428,CAARStatus!$A$1:$Y$1600,16,FALSE),0),0)</f>
        <v>-92.11</v>
      </c>
      <c r="AL428" s="13">
        <f>-IF(AG428="USD",IFERROR(VLOOKUP(D428,CAARStatus!$A$1:$Y$1600,11,FALSE),0),0)</f>
        <v>0</v>
      </c>
      <c r="AM428" s="22">
        <f t="shared" si="149"/>
        <v>0</v>
      </c>
      <c r="AN428" s="12" t="str">
        <f t="shared" si="150"/>
        <v/>
      </c>
      <c r="AO428" s="12" t="str">
        <f t="shared" si="151"/>
        <v>Yes</v>
      </c>
      <c r="AP428" t="str">
        <f t="shared" si="136"/>
        <v>Yes</v>
      </c>
      <c r="AQ428" t="str">
        <f>IFERROR(VLOOKUP(Z428,InvBal!$L$4:$P$600,4,FALSE),"Pend")</f>
        <v>Pend</v>
      </c>
      <c r="AR428" t="str">
        <f>IFERROR(VLOOKUP(D428,Manual!$C$1:$E$22,2,FALSE),"Pend")</f>
        <v>Pend</v>
      </c>
      <c r="AS428" t="str">
        <f t="shared" si="152"/>
        <v>Yes</v>
      </c>
      <c r="AT428" t="str">
        <f t="shared" si="153"/>
        <v>Yes</v>
      </c>
      <c r="AU428" s="51" t="str">
        <f t="shared" si="154"/>
        <v>Yes</v>
      </c>
      <c r="AV428" s="12">
        <f>IFERROR(VLOOKUP(D428,'Receivable Invoice Detail'!$S$1:$U$3014,3,FALSE),0)</f>
        <v>0</v>
      </c>
      <c r="AW428" s="12">
        <f t="shared" si="155"/>
        <v>66.044165627372251</v>
      </c>
    </row>
    <row r="429" spans="1:49" ht="30" x14ac:dyDescent="0.25">
      <c r="A429" s="2">
        <v>1</v>
      </c>
      <c r="B429" s="2" t="s">
        <v>1587</v>
      </c>
      <c r="C429" s="2" t="s">
        <v>1588</v>
      </c>
      <c r="D429" s="2" t="s">
        <v>2664</v>
      </c>
      <c r="E429" s="2" t="s">
        <v>20</v>
      </c>
      <c r="F429" s="3">
        <v>45762.398414351846</v>
      </c>
      <c r="G429" s="3">
        <v>45762.402418981481</v>
      </c>
      <c r="H429" s="4">
        <v>45763</v>
      </c>
      <c r="I429" s="2" t="s">
        <v>21</v>
      </c>
      <c r="J429" s="2" t="s">
        <v>22</v>
      </c>
      <c r="K429" s="2">
        <v>1</v>
      </c>
      <c r="L429" s="2">
        <v>311.39</v>
      </c>
      <c r="M429" s="2">
        <v>0</v>
      </c>
      <c r="N429" s="2">
        <v>223.27101003916451</v>
      </c>
      <c r="O429" s="2">
        <v>296.56</v>
      </c>
      <c r="P429" s="2">
        <v>14.83</v>
      </c>
      <c r="Q429" s="2">
        <v>311.39</v>
      </c>
      <c r="R429" s="2" t="s">
        <v>44</v>
      </c>
      <c r="S429" s="2"/>
      <c r="T429" s="2">
        <f t="shared" si="137"/>
        <v>1</v>
      </c>
      <c r="U429" s="18">
        <f t="shared" si="138"/>
        <v>4</v>
      </c>
      <c r="V429" s="18">
        <f t="shared" si="139"/>
        <v>2025</v>
      </c>
      <c r="W429" s="18">
        <f t="shared" si="140"/>
        <v>6</v>
      </c>
      <c r="X429" s="18">
        <f t="shared" si="141"/>
        <v>2025</v>
      </c>
      <c r="Y429" s="2">
        <f t="shared" si="134"/>
        <v>0.71701406608807128</v>
      </c>
      <c r="Z429" t="str">
        <f t="shared" si="135"/>
        <v>SO16991</v>
      </c>
      <c r="AA429" s="11">
        <f t="shared" si="142"/>
        <v>45762.398414351846</v>
      </c>
      <c r="AB429" s="5" t="str">
        <f t="shared" si="143"/>
        <v>INV12876</v>
      </c>
      <c r="AC429" s="5" t="str">
        <f>IFERROR(VLOOKUP(D429,CAARStatus!$A$2:$AA$1600,22,FALSE),"Not invoiced")</f>
        <v>Paid</v>
      </c>
      <c r="AD429" s="11">
        <f>IF(AC429="Paid",IFERROR(VLOOKUP(D429,CAARStatus!$A$2:$AA$1600,6,FALSE),"Pending"),"Pending")</f>
        <v>45821</v>
      </c>
      <c r="AE429" s="5" t="str">
        <f t="shared" si="144"/>
        <v>4500591694</v>
      </c>
      <c r="AF429" s="5" t="str">
        <f t="shared" si="145"/>
        <v>Resolute Forest Products - Saint-Felicien</v>
      </c>
      <c r="AG429" s="5" t="str">
        <f t="shared" si="146"/>
        <v>CAD</v>
      </c>
      <c r="AH429" s="5">
        <f t="shared" si="147"/>
        <v>296.56</v>
      </c>
      <c r="AI429" s="12">
        <f>IF(L429-N429=0,VLOOKUP(U429,rate!A$4:B$15,2,FALSE)*AH429,IF(AG429="USD",O429,AH429*Y429))</f>
        <v>212.63769143907842</v>
      </c>
      <c r="AJ429" s="13">
        <f t="shared" si="148"/>
        <v>0.71701406608807128</v>
      </c>
      <c r="AK429" s="13">
        <f>-IF(AG429="CAD",IFERROR(VLOOKUP(D429,CAARStatus!$A$1:$Y$1600,16,FALSE),0),0)</f>
        <v>-296.56</v>
      </c>
      <c r="AL429" s="13">
        <f>-IF(AG429="USD",IFERROR(VLOOKUP(D429,CAARStatus!$A$1:$Y$1600,11,FALSE),0),0)</f>
        <v>0</v>
      </c>
      <c r="AM429" s="22">
        <f t="shared" si="149"/>
        <v>0</v>
      </c>
      <c r="AN429" s="12" t="str">
        <f t="shared" si="150"/>
        <v/>
      </c>
      <c r="AO429" s="12" t="str">
        <f t="shared" si="151"/>
        <v>Yes</v>
      </c>
      <c r="AP429" t="str">
        <f t="shared" si="136"/>
        <v>Yes</v>
      </c>
      <c r="AQ429" t="str">
        <f>IFERROR(VLOOKUP(Z429,InvBal!$L$4:$P$600,4,FALSE),"Pend")</f>
        <v>Pend</v>
      </c>
      <c r="AR429" t="str">
        <f>IFERROR(VLOOKUP(D429,Manual!$C$1:$E$22,2,FALSE),"Pend")</f>
        <v>Pend</v>
      </c>
      <c r="AS429" t="str">
        <f t="shared" si="152"/>
        <v>Yes</v>
      </c>
      <c r="AT429" t="str">
        <f t="shared" si="153"/>
        <v>Yes</v>
      </c>
      <c r="AU429" s="51" t="str">
        <f t="shared" si="154"/>
        <v>Yes</v>
      </c>
      <c r="AV429" s="12">
        <f>IFERROR(VLOOKUP(D429,'Receivable Invoice Detail'!$S$1:$U$3014,3,FALSE),0)</f>
        <v>0</v>
      </c>
      <c r="AW429" s="12">
        <f t="shared" si="155"/>
        <v>212.63769143907842</v>
      </c>
    </row>
    <row r="430" spans="1:49" ht="45" x14ac:dyDescent="0.25">
      <c r="A430" s="2">
        <v>1</v>
      </c>
      <c r="B430" s="2" t="s">
        <v>1580</v>
      </c>
      <c r="C430" s="2" t="s">
        <v>1581</v>
      </c>
      <c r="D430" s="2" t="s">
        <v>2669</v>
      </c>
      <c r="E430" s="2" t="s">
        <v>1582</v>
      </c>
      <c r="F430" s="3">
        <v>45762.465520833342</v>
      </c>
      <c r="G430" s="3">
        <v>45762.461168981477</v>
      </c>
      <c r="H430" s="4">
        <v>45763</v>
      </c>
      <c r="I430" s="2" t="s">
        <v>21</v>
      </c>
      <c r="J430" s="2" t="s">
        <v>51</v>
      </c>
      <c r="K430" s="2">
        <v>0.71701406608807139</v>
      </c>
      <c r="L430" s="2">
        <v>145.1017559078411</v>
      </c>
      <c r="M430" s="2">
        <v>0</v>
      </c>
      <c r="N430" s="2">
        <v>104.04</v>
      </c>
      <c r="O430" s="2">
        <v>104.04</v>
      </c>
      <c r="P430" s="2"/>
      <c r="Q430" s="2">
        <v>104.04</v>
      </c>
      <c r="R430" s="2" t="s">
        <v>44</v>
      </c>
      <c r="S430" s="2"/>
      <c r="T430" s="2">
        <f t="shared" si="137"/>
        <v>1</v>
      </c>
      <c r="U430" s="18">
        <f t="shared" si="138"/>
        <v>4</v>
      </c>
      <c r="V430" s="18">
        <f t="shared" si="139"/>
        <v>2025</v>
      </c>
      <c r="W430" s="18">
        <f t="shared" si="140"/>
        <v>6</v>
      </c>
      <c r="X430" s="18">
        <f t="shared" si="141"/>
        <v>2025</v>
      </c>
      <c r="Y430" s="2">
        <f t="shared" si="134"/>
        <v>0.71701406608807161</v>
      </c>
      <c r="Z430" t="str">
        <f t="shared" si="135"/>
        <v>SO16992</v>
      </c>
      <c r="AA430" s="11">
        <f t="shared" si="142"/>
        <v>45762.465520833342</v>
      </c>
      <c r="AB430" s="5" t="str">
        <f t="shared" si="143"/>
        <v>INV12984</v>
      </c>
      <c r="AC430" s="5" t="str">
        <f>IFERROR(VLOOKUP(D430,CAARStatus!$A$2:$AA$1600,22,FALSE),"Not invoiced")</f>
        <v>Paid</v>
      </c>
      <c r="AD430" s="11">
        <f>IF(AC430="Paid",IFERROR(VLOOKUP(D430,CAARStatus!$A$2:$AA$1600,6,FALSE),"Pending"),"Pending")</f>
        <v>45821</v>
      </c>
      <c r="AE430" s="5" t="str">
        <f t="shared" si="144"/>
        <v>KS10-01410312</v>
      </c>
      <c r="AF430" s="5" t="str">
        <f t="shared" si="145"/>
        <v>Motion Industries Inc. (U.S.) - Wichita, Motion Industries Inc. (U.S.) - Wichita</v>
      </c>
      <c r="AG430" s="5" t="str">
        <f t="shared" si="146"/>
        <v>USD</v>
      </c>
      <c r="AH430" s="5">
        <f t="shared" si="147"/>
        <v>145.10175590784112</v>
      </c>
      <c r="AI430" s="12">
        <f>IF(L430-N430=0,VLOOKUP(U430,rate!A$4:B$15,2,FALSE)*AH430,IF(AG430="USD",O430,AH430*Y430))</f>
        <v>104.04</v>
      </c>
      <c r="AJ430" s="13">
        <f t="shared" si="148"/>
        <v>0.71701406608807139</v>
      </c>
      <c r="AK430" s="13">
        <f>-IF(AG430="CAD",IFERROR(VLOOKUP(D430,CAARStatus!$A$1:$Y$1600,16,FALSE),0),0)</f>
        <v>0</v>
      </c>
      <c r="AL430" s="13">
        <f>-IF(AG430="USD",IFERROR(VLOOKUP(D430,CAARStatus!$A$1:$Y$1600,11,FALSE),0),0)</f>
        <v>-104.04</v>
      </c>
      <c r="AM430" s="22" t="str">
        <f t="shared" si="149"/>
        <v/>
      </c>
      <c r="AN430" s="12">
        <f t="shared" si="150"/>
        <v>0</v>
      </c>
      <c r="AO430" s="12" t="str">
        <f t="shared" si="151"/>
        <v>Yes</v>
      </c>
      <c r="AP430" t="str">
        <f t="shared" si="136"/>
        <v>Yes</v>
      </c>
      <c r="AQ430" t="str">
        <f>IFERROR(VLOOKUP(Z430,InvBal!$L$4:$P$600,4,FALSE),"Pend")</f>
        <v>Pend</v>
      </c>
      <c r="AR430" t="str">
        <f>IFERROR(VLOOKUP(D430,Manual!$C$1:$E$22,2,FALSE),"Pend")</f>
        <v>Pend</v>
      </c>
      <c r="AS430" t="str">
        <f t="shared" si="152"/>
        <v>Yes</v>
      </c>
      <c r="AT430" t="str">
        <f t="shared" si="153"/>
        <v>Yes</v>
      </c>
      <c r="AU430" s="51" t="str">
        <f t="shared" si="154"/>
        <v>Yes</v>
      </c>
      <c r="AV430" s="12">
        <f>IFERROR(VLOOKUP(D430,'Receivable Invoice Detail'!$S$1:$U$3014,3,FALSE),0)</f>
        <v>0</v>
      </c>
      <c r="AW430" s="12">
        <f t="shared" si="155"/>
        <v>104.04</v>
      </c>
    </row>
    <row r="431" spans="1:49" x14ac:dyDescent="0.25">
      <c r="A431" s="2">
        <v>1</v>
      </c>
      <c r="B431" s="2" t="s">
        <v>1572</v>
      </c>
      <c r="C431" s="2" t="s">
        <v>1573</v>
      </c>
      <c r="D431" s="2" t="s">
        <v>2673</v>
      </c>
      <c r="E431" s="2" t="s">
        <v>242</v>
      </c>
      <c r="F431" s="3">
        <v>45762.534687500003</v>
      </c>
      <c r="G431" s="3">
        <v>45763.363993055558</v>
      </c>
      <c r="H431" s="4">
        <v>45770</v>
      </c>
      <c r="I431" s="2" t="s">
        <v>21</v>
      </c>
      <c r="J431" s="2" t="s">
        <v>22</v>
      </c>
      <c r="K431" s="2">
        <v>1</v>
      </c>
      <c r="L431" s="2">
        <v>310.23</v>
      </c>
      <c r="M431" s="2">
        <v>0</v>
      </c>
      <c r="N431" s="2">
        <v>223.4274177859771</v>
      </c>
      <c r="O431" s="2">
        <v>295.45999999999998</v>
      </c>
      <c r="P431" s="2">
        <v>14.77</v>
      </c>
      <c r="Q431" s="2">
        <v>310.23</v>
      </c>
      <c r="R431" s="2" t="s">
        <v>44</v>
      </c>
      <c r="S431" s="2"/>
      <c r="T431" s="2">
        <f t="shared" si="137"/>
        <v>1</v>
      </c>
      <c r="U431" s="18">
        <f t="shared" si="138"/>
        <v>4</v>
      </c>
      <c r="V431" s="18">
        <f t="shared" si="139"/>
        <v>2025</v>
      </c>
      <c r="W431" s="18">
        <f t="shared" si="140"/>
        <v>5</v>
      </c>
      <c r="X431" s="18">
        <f t="shared" si="141"/>
        <v>2025</v>
      </c>
      <c r="Y431" s="2">
        <f t="shared" si="134"/>
        <v>0.72019926437152137</v>
      </c>
      <c r="Z431" t="str">
        <f t="shared" si="135"/>
        <v>SO16994</v>
      </c>
      <c r="AA431" s="11">
        <f t="shared" si="142"/>
        <v>45762.534687500003</v>
      </c>
      <c r="AB431" s="5" t="str">
        <f t="shared" si="143"/>
        <v>INV12912</v>
      </c>
      <c r="AC431" s="5" t="str">
        <f>IFERROR(VLOOKUP(D431,CAARStatus!$A$2:$AA$1600,22,FALSE),"Not invoiced")</f>
        <v>Paid</v>
      </c>
      <c r="AD431" s="11">
        <f>IF(AC431="Paid",IFERROR(VLOOKUP(D431,CAARStatus!$A$2:$AA$1600,6,FALSE),"Pending"),"Pending")</f>
        <v>45805</v>
      </c>
      <c r="AE431" s="5" t="str">
        <f t="shared" si="144"/>
        <v>2100554981</v>
      </c>
      <c r="AF431" s="5" t="str">
        <f t="shared" si="145"/>
        <v>Wajax Limited - Noranda</v>
      </c>
      <c r="AG431" s="5" t="str">
        <f t="shared" si="146"/>
        <v>CAD</v>
      </c>
      <c r="AH431" s="5">
        <f t="shared" si="147"/>
        <v>295.45999999999998</v>
      </c>
      <c r="AI431" s="12">
        <f>IF(L431-N431=0,VLOOKUP(U431,rate!A$4:B$15,2,FALSE)*AH431,IF(AG431="USD",O431,AH431*Y431))</f>
        <v>212.79007465120969</v>
      </c>
      <c r="AJ431" s="13">
        <f t="shared" si="148"/>
        <v>0.72019926437152137</v>
      </c>
      <c r="AK431" s="13">
        <f>-IF(AG431="CAD",IFERROR(VLOOKUP(D431,CAARStatus!$A$1:$Y$1600,16,FALSE),0),0)</f>
        <v>-295.45999999999998</v>
      </c>
      <c r="AL431" s="13">
        <f>-IF(AG431="USD",IFERROR(VLOOKUP(D431,CAARStatus!$A$1:$Y$1600,11,FALSE),0),0)</f>
        <v>0</v>
      </c>
      <c r="AM431" s="22">
        <f t="shared" si="149"/>
        <v>0</v>
      </c>
      <c r="AN431" s="12" t="str">
        <f t="shared" si="150"/>
        <v/>
      </c>
      <c r="AO431" s="12" t="str">
        <f t="shared" si="151"/>
        <v>Yes</v>
      </c>
      <c r="AP431" t="str">
        <f t="shared" si="136"/>
        <v>Yes</v>
      </c>
      <c r="AQ431" t="str">
        <f>IFERROR(VLOOKUP(Z431,InvBal!$L$4:$P$600,4,FALSE),"Pend")</f>
        <v>Pend</v>
      </c>
      <c r="AR431" t="str">
        <f>IFERROR(VLOOKUP(D431,Manual!$C$1:$E$22,2,FALSE),"Pend")</f>
        <v>Pend</v>
      </c>
      <c r="AS431" t="str">
        <f t="shared" si="152"/>
        <v>Yes</v>
      </c>
      <c r="AT431" t="str">
        <f t="shared" si="153"/>
        <v>Yes</v>
      </c>
      <c r="AU431" s="51" t="str">
        <f t="shared" si="154"/>
        <v>Yes</v>
      </c>
      <c r="AV431" s="12">
        <f>IFERROR(VLOOKUP(D431,'Receivable Invoice Detail'!$S$1:$U$3014,3,FALSE),0)</f>
        <v>0</v>
      </c>
      <c r="AW431" s="12">
        <f t="shared" si="155"/>
        <v>212.79007465120969</v>
      </c>
    </row>
    <row r="432" spans="1:49" ht="45" x14ac:dyDescent="0.25">
      <c r="A432" s="2">
        <v>1</v>
      </c>
      <c r="B432" s="2" t="s">
        <v>1574</v>
      </c>
      <c r="C432" s="2" t="s">
        <v>1575</v>
      </c>
      <c r="D432" s="2" t="s">
        <v>2672</v>
      </c>
      <c r="E432" s="2" t="s">
        <v>138</v>
      </c>
      <c r="F432" s="3">
        <v>45762.550659722219</v>
      </c>
      <c r="G432" s="3">
        <v>45762.695787037039</v>
      </c>
      <c r="H432" s="4">
        <v>45763</v>
      </c>
      <c r="I432" s="2" t="s">
        <v>21</v>
      </c>
      <c r="J432" s="2" t="s">
        <v>22</v>
      </c>
      <c r="K432" s="2">
        <v>1</v>
      </c>
      <c r="L432" s="2">
        <v>107.31</v>
      </c>
      <c r="M432" s="2">
        <v>0</v>
      </c>
      <c r="N432" s="2">
        <v>76.942779431910949</v>
      </c>
      <c r="O432" s="2">
        <v>102.2</v>
      </c>
      <c r="P432" s="2">
        <v>5.1100000000000003</v>
      </c>
      <c r="Q432" s="2">
        <v>107.31</v>
      </c>
      <c r="R432" s="2" t="s">
        <v>44</v>
      </c>
      <c r="S432" s="2"/>
      <c r="T432" s="2">
        <f t="shared" si="137"/>
        <v>1</v>
      </c>
      <c r="U432" s="18">
        <f t="shared" si="138"/>
        <v>4</v>
      </c>
      <c r="V432" s="18">
        <f t="shared" si="139"/>
        <v>2025</v>
      </c>
      <c r="W432" s="18">
        <f t="shared" si="140"/>
        <v>5</v>
      </c>
      <c r="X432" s="18">
        <f t="shared" si="141"/>
        <v>2025</v>
      </c>
      <c r="Y432" s="2">
        <f t="shared" si="134"/>
        <v>0.7170140660880715</v>
      </c>
      <c r="Z432" t="str">
        <f t="shared" si="135"/>
        <v>SO16995</v>
      </c>
      <c r="AA432" s="11">
        <f t="shared" si="142"/>
        <v>45762.550659722219</v>
      </c>
      <c r="AB432" s="5" t="str">
        <f t="shared" si="143"/>
        <v>INV12895</v>
      </c>
      <c r="AC432" s="5" t="str">
        <f>IFERROR(VLOOKUP(D432,CAARStatus!$A$2:$AA$1600,22,FALSE),"Not invoiced")</f>
        <v>Paid</v>
      </c>
      <c r="AD432" s="11">
        <f>IF(AC432="Paid",IFERROR(VLOOKUP(D432,CAARStatus!$A$2:$AA$1600,6,FALSE),"Pending"),"Pending")</f>
        <v>45798</v>
      </c>
      <c r="AE432" s="5" t="str">
        <f t="shared" si="144"/>
        <v>PO13501</v>
      </c>
      <c r="AF432" s="5" t="str">
        <f t="shared" si="145"/>
        <v>Manufacture Sling-Choker (Val-d’Or) Ltée, Manufacture Sling-Choker (Val-d’Or) Ltée</v>
      </c>
      <c r="AG432" s="5" t="str">
        <f t="shared" si="146"/>
        <v>CAD</v>
      </c>
      <c r="AH432" s="5">
        <f t="shared" si="147"/>
        <v>102.2</v>
      </c>
      <c r="AI432" s="12">
        <f>IF(L432-N432=0,VLOOKUP(U432,rate!A$4:B$15,2,FALSE)*AH432,IF(AG432="USD",O432,AH432*Y432))</f>
        <v>73.278837554200905</v>
      </c>
      <c r="AJ432" s="13">
        <f t="shared" si="148"/>
        <v>0.7170140660880715</v>
      </c>
      <c r="AK432" s="13">
        <f>-IF(AG432="CAD",IFERROR(VLOOKUP(D432,CAARStatus!$A$1:$Y$1600,16,FALSE),0),0)</f>
        <v>-102.2</v>
      </c>
      <c r="AL432" s="13">
        <f>-IF(AG432="USD",IFERROR(VLOOKUP(D432,CAARStatus!$A$1:$Y$1600,11,FALSE),0),0)</f>
        <v>0</v>
      </c>
      <c r="AM432" s="22">
        <f t="shared" si="149"/>
        <v>0</v>
      </c>
      <c r="AN432" s="12" t="str">
        <f t="shared" si="150"/>
        <v/>
      </c>
      <c r="AO432" s="12" t="str">
        <f t="shared" si="151"/>
        <v>Yes</v>
      </c>
      <c r="AP432" t="str">
        <f t="shared" si="136"/>
        <v>Yes</v>
      </c>
      <c r="AQ432" t="str">
        <f>IFERROR(VLOOKUP(Z432,InvBal!$L$4:$P$600,4,FALSE),"Pend")</f>
        <v>Pend</v>
      </c>
      <c r="AR432" t="str">
        <f>IFERROR(VLOOKUP(D432,Manual!$C$1:$E$22,2,FALSE),"Pend")</f>
        <v>Pend</v>
      </c>
      <c r="AS432" t="str">
        <f t="shared" si="152"/>
        <v>Yes</v>
      </c>
      <c r="AT432" t="str">
        <f t="shared" si="153"/>
        <v>Yes</v>
      </c>
      <c r="AU432" s="51" t="str">
        <f t="shared" si="154"/>
        <v>Yes</v>
      </c>
      <c r="AV432" s="12">
        <f>IFERROR(VLOOKUP(D432,'Receivable Invoice Detail'!$S$1:$U$3014,3,FALSE),0)</f>
        <v>0</v>
      </c>
      <c r="AW432" s="12">
        <f t="shared" si="155"/>
        <v>73.278837554200905</v>
      </c>
    </row>
    <row r="433" spans="1:49" ht="45" x14ac:dyDescent="0.25">
      <c r="A433" s="2">
        <v>1</v>
      </c>
      <c r="B433" s="2" t="s">
        <v>1578</v>
      </c>
      <c r="C433" s="2" t="s">
        <v>1579</v>
      </c>
      <c r="D433" s="2" t="s">
        <v>2670</v>
      </c>
      <c r="E433" s="2" t="s">
        <v>6167</v>
      </c>
      <c r="F433" s="3">
        <v>45762.557662037027</v>
      </c>
      <c r="G433" s="3">
        <v>45762.552094907413</v>
      </c>
      <c r="H433" s="4">
        <v>45785</v>
      </c>
      <c r="I433" s="2" t="s">
        <v>1132</v>
      </c>
      <c r="J433" s="2" t="s">
        <v>22</v>
      </c>
      <c r="K433" s="2">
        <v>1</v>
      </c>
      <c r="L433" s="2">
        <v>456.4</v>
      </c>
      <c r="M433" s="2">
        <v>0</v>
      </c>
      <c r="N433" s="2">
        <v>327.24521976259581</v>
      </c>
      <c r="O433" s="2">
        <v>456.4</v>
      </c>
      <c r="P433" s="2"/>
      <c r="Q433" s="2">
        <v>456.4</v>
      </c>
      <c r="R433" s="2" t="s">
        <v>44</v>
      </c>
      <c r="S433" s="2"/>
      <c r="T433" s="2">
        <f t="shared" si="137"/>
        <v>1</v>
      </c>
      <c r="U433" s="18">
        <f t="shared" si="138"/>
        <v>4</v>
      </c>
      <c r="V433" s="18">
        <f t="shared" si="139"/>
        <v>2025</v>
      </c>
      <c r="W433" s="18">
        <f t="shared" si="140"/>
        <v>5</v>
      </c>
      <c r="X433" s="18">
        <f t="shared" si="141"/>
        <v>2025</v>
      </c>
      <c r="Y433" s="2">
        <f t="shared" si="134"/>
        <v>0.7170140660880715</v>
      </c>
      <c r="Z433" t="str">
        <f t="shared" si="135"/>
        <v>SO16996</v>
      </c>
      <c r="AA433" s="11">
        <f t="shared" si="142"/>
        <v>45762.557662037027</v>
      </c>
      <c r="AB433" s="5" t="str">
        <f t="shared" si="143"/>
        <v>INV12966</v>
      </c>
      <c r="AC433" s="5" t="str">
        <f>IFERROR(VLOOKUP(D433,CAARStatus!$A$2:$AA$1600,22,FALSE),"Not invoiced")</f>
        <v>Paid</v>
      </c>
      <c r="AD433" s="11">
        <f>IF(AC433="Paid",IFERROR(VLOOKUP(D433,CAARStatus!$A$2:$AA$1600,6,FALSE),"Pending"),"Pending")</f>
        <v>45798</v>
      </c>
      <c r="AE433" s="5" t="str">
        <f t="shared" si="144"/>
        <v>L64691-DS</v>
      </c>
      <c r="AF433" s="5" t="str">
        <f t="shared" si="145"/>
        <v>Wild Rows Pump &amp; Compression LTD., Wild Rows Pump &amp; Compression LTD.</v>
      </c>
      <c r="AG433" s="5" t="str">
        <f t="shared" si="146"/>
        <v>CAD</v>
      </c>
      <c r="AH433" s="5">
        <f t="shared" si="147"/>
        <v>456.4</v>
      </c>
      <c r="AI433" s="12">
        <f>IF(L433-N433=0,VLOOKUP(U433,rate!A$4:B$15,2,FALSE)*AH433,IF(AG433="USD",O433,AH433*Y433))</f>
        <v>327.24521976259581</v>
      </c>
      <c r="AJ433" s="13">
        <f t="shared" si="148"/>
        <v>0.7170140660880715</v>
      </c>
      <c r="AK433" s="13">
        <f>-IF(AG433="CAD",IFERROR(VLOOKUP(D433,CAARStatus!$A$1:$Y$1600,16,FALSE),0),0)</f>
        <v>-456.4</v>
      </c>
      <c r="AL433" s="13">
        <f>-IF(AG433="USD",IFERROR(VLOOKUP(D433,CAARStatus!$A$1:$Y$1600,11,FALSE),0),0)</f>
        <v>0</v>
      </c>
      <c r="AM433" s="22">
        <f t="shared" si="149"/>
        <v>0</v>
      </c>
      <c r="AN433" s="12" t="str">
        <f t="shared" si="150"/>
        <v/>
      </c>
      <c r="AO433" s="12" t="str">
        <f t="shared" si="151"/>
        <v>Yes</v>
      </c>
      <c r="AP433" t="str">
        <f t="shared" si="136"/>
        <v>Yes</v>
      </c>
      <c r="AQ433" t="str">
        <f>IFERROR(VLOOKUP(Z433,InvBal!$L$4:$P$600,4,FALSE),"Pend")</f>
        <v>Pend</v>
      </c>
      <c r="AR433" t="str">
        <f>IFERROR(VLOOKUP(D433,Manual!$C$1:$E$22,2,FALSE),"Pend")</f>
        <v>Pend</v>
      </c>
      <c r="AS433" t="str">
        <f t="shared" si="152"/>
        <v>Yes</v>
      </c>
      <c r="AT433" t="str">
        <f t="shared" si="153"/>
        <v>Yes</v>
      </c>
      <c r="AU433" s="51" t="str">
        <f t="shared" si="154"/>
        <v>Yes</v>
      </c>
      <c r="AV433" s="12">
        <f>IFERROR(VLOOKUP(D433,'Receivable Invoice Detail'!$S$1:$U$3014,3,FALSE),0)</f>
        <v>0</v>
      </c>
      <c r="AW433" s="12">
        <f t="shared" si="155"/>
        <v>327.24521976259581</v>
      </c>
    </row>
    <row r="434" spans="1:49" ht="45" x14ac:dyDescent="0.25">
      <c r="A434" s="2">
        <v>1</v>
      </c>
      <c r="B434" s="2" t="s">
        <v>1576</v>
      </c>
      <c r="C434" s="2" t="s">
        <v>1577</v>
      </c>
      <c r="D434" s="2" t="s">
        <v>2671</v>
      </c>
      <c r="E434" s="2" t="s">
        <v>502</v>
      </c>
      <c r="F434" s="3">
        <v>45762.630740740737</v>
      </c>
      <c r="G434" s="3">
        <v>45762.6325462963</v>
      </c>
      <c r="H434" s="4">
        <v>45763</v>
      </c>
      <c r="I434" s="2" t="s">
        <v>21</v>
      </c>
      <c r="J434" s="2" t="s">
        <v>22</v>
      </c>
      <c r="K434" s="2">
        <v>1</v>
      </c>
      <c r="L434" s="2">
        <v>44.65</v>
      </c>
      <c r="M434" s="2">
        <v>0</v>
      </c>
      <c r="N434" s="2">
        <v>32.014678050832387</v>
      </c>
      <c r="O434" s="2">
        <v>42.52</v>
      </c>
      <c r="P434" s="2">
        <v>2.13</v>
      </c>
      <c r="Q434" s="2">
        <v>44.65</v>
      </c>
      <c r="R434" s="2" t="s">
        <v>44</v>
      </c>
      <c r="S434" s="2"/>
      <c r="T434" s="2">
        <f t="shared" si="137"/>
        <v>1</v>
      </c>
      <c r="U434" s="18">
        <f t="shared" si="138"/>
        <v>4</v>
      </c>
      <c r="V434" s="18">
        <f t="shared" si="139"/>
        <v>2025</v>
      </c>
      <c r="W434" s="18">
        <f t="shared" si="140"/>
        <v>5</v>
      </c>
      <c r="X434" s="18">
        <f t="shared" si="141"/>
        <v>2025</v>
      </c>
      <c r="Y434" s="2">
        <f t="shared" si="134"/>
        <v>0.71701406608807139</v>
      </c>
      <c r="Z434" t="str">
        <f t="shared" si="135"/>
        <v>SO17000</v>
      </c>
      <c r="AA434" s="11">
        <f t="shared" si="142"/>
        <v>45762.630740740737</v>
      </c>
      <c r="AB434" s="5" t="str">
        <f t="shared" si="143"/>
        <v>INV12875</v>
      </c>
      <c r="AC434" s="5" t="str">
        <f>IFERROR(VLOOKUP(D434,CAARStatus!$A$2:$AA$1600,22,FALSE),"Not invoiced")</f>
        <v>Paid</v>
      </c>
      <c r="AD434" s="11">
        <f>IF(AC434="Paid",IFERROR(VLOOKUP(D434,CAARStatus!$A$2:$AA$1600,6,FALSE),"Pending"),"Pending")</f>
        <v>45806</v>
      </c>
      <c r="AE434" s="5" t="str">
        <f t="shared" si="144"/>
        <v>4500571170</v>
      </c>
      <c r="AF434" s="5" t="str">
        <f t="shared" si="145"/>
        <v>Glencore Canada Corporation - Rouyn-Noranda, Glencore Canada Corp.</v>
      </c>
      <c r="AG434" s="5" t="str">
        <f t="shared" si="146"/>
        <v>CAD</v>
      </c>
      <c r="AH434" s="5">
        <f t="shared" si="147"/>
        <v>42.52</v>
      </c>
      <c r="AI434" s="12">
        <f>IF(L434-N434=0,VLOOKUP(U434,rate!A$4:B$15,2,FALSE)*AH434,IF(AG434="USD",O434,AH434*Y434))</f>
        <v>30.487438090064799</v>
      </c>
      <c r="AJ434" s="13">
        <f t="shared" si="148"/>
        <v>0.71701406608807139</v>
      </c>
      <c r="AK434" s="13">
        <f>-IF(AG434="CAD",IFERROR(VLOOKUP(D434,CAARStatus!$A$1:$Y$1600,16,FALSE),0),0)</f>
        <v>-42.52</v>
      </c>
      <c r="AL434" s="13">
        <f>-IF(AG434="USD",IFERROR(VLOOKUP(D434,CAARStatus!$A$1:$Y$1600,11,FALSE),0),0)</f>
        <v>0</v>
      </c>
      <c r="AM434" s="22">
        <f t="shared" si="149"/>
        <v>0</v>
      </c>
      <c r="AN434" s="12" t="str">
        <f t="shared" si="150"/>
        <v/>
      </c>
      <c r="AO434" s="12" t="str">
        <f t="shared" si="151"/>
        <v>Yes</v>
      </c>
      <c r="AP434" t="str">
        <f t="shared" si="136"/>
        <v>Yes</v>
      </c>
      <c r="AQ434" t="str">
        <f>IFERROR(VLOOKUP(Z434,InvBal!$L$4:$P$600,4,FALSE),"Pend")</f>
        <v>Pend</v>
      </c>
      <c r="AR434" t="str">
        <f>IFERROR(VLOOKUP(D434,Manual!$C$1:$E$22,2,FALSE),"Pend")</f>
        <v>Pend</v>
      </c>
      <c r="AS434" t="str">
        <f t="shared" si="152"/>
        <v>Yes</v>
      </c>
      <c r="AT434" t="str">
        <f t="shared" si="153"/>
        <v>Yes</v>
      </c>
      <c r="AU434" s="51" t="str">
        <f t="shared" si="154"/>
        <v>Yes</v>
      </c>
      <c r="AV434" s="12">
        <f>IFERROR(VLOOKUP(D434,'Receivable Invoice Detail'!$S$1:$U$3014,3,FALSE),0)</f>
        <v>0</v>
      </c>
      <c r="AW434" s="12">
        <f t="shared" si="155"/>
        <v>30.487438090064799</v>
      </c>
    </row>
    <row r="435" spans="1:49" ht="45" x14ac:dyDescent="0.25">
      <c r="A435" s="2">
        <v>1</v>
      </c>
      <c r="B435" s="2" t="s">
        <v>1570</v>
      </c>
      <c r="C435" s="2" t="s">
        <v>1571</v>
      </c>
      <c r="D435" s="2" t="s">
        <v>2674</v>
      </c>
      <c r="E435" s="2" t="s">
        <v>502</v>
      </c>
      <c r="F435" s="3">
        <v>45763.383136574077</v>
      </c>
      <c r="G435" s="3">
        <v>45763.38690972222</v>
      </c>
      <c r="H435" s="4">
        <v>45785</v>
      </c>
      <c r="I435" s="2" t="s">
        <v>21</v>
      </c>
      <c r="J435" s="2" t="s">
        <v>22</v>
      </c>
      <c r="K435" s="2">
        <v>1</v>
      </c>
      <c r="L435" s="2">
        <v>1567.15</v>
      </c>
      <c r="M435" s="2">
        <v>0</v>
      </c>
      <c r="N435" s="2">
        <v>1128.66027715983</v>
      </c>
      <c r="O435" s="2">
        <v>1492.52</v>
      </c>
      <c r="P435" s="2">
        <v>74.63</v>
      </c>
      <c r="Q435" s="2">
        <v>1567.15</v>
      </c>
      <c r="R435" s="2" t="s">
        <v>44</v>
      </c>
      <c r="S435" s="2"/>
      <c r="T435" s="2">
        <f t="shared" si="137"/>
        <v>1</v>
      </c>
      <c r="U435" s="18">
        <f t="shared" si="138"/>
        <v>4</v>
      </c>
      <c r="V435" s="18">
        <f t="shared" si="139"/>
        <v>2025</v>
      </c>
      <c r="W435" s="18">
        <f t="shared" si="140"/>
        <v>6</v>
      </c>
      <c r="X435" s="18">
        <f t="shared" si="141"/>
        <v>2025</v>
      </c>
      <c r="Y435" s="2">
        <f t="shared" si="134"/>
        <v>0.72019926437152149</v>
      </c>
      <c r="Z435" t="str">
        <f t="shared" si="135"/>
        <v>SO17001</v>
      </c>
      <c r="AA435" s="11">
        <f t="shared" si="142"/>
        <v>45763.383136574077</v>
      </c>
      <c r="AB435" s="5" t="str">
        <f t="shared" si="143"/>
        <v>INV12932</v>
      </c>
      <c r="AC435" s="5" t="str">
        <f>IFERROR(VLOOKUP(D435,CAARStatus!$A$2:$AA$1600,22,FALSE),"Not invoiced")</f>
        <v>Paid</v>
      </c>
      <c r="AD435" s="11">
        <f>IF(AC435="Paid",IFERROR(VLOOKUP(D435,CAARStatus!$A$2:$AA$1600,6,FALSE),"Pending"),"Pending")</f>
        <v>45821</v>
      </c>
      <c r="AE435" s="5" t="str">
        <f t="shared" si="144"/>
        <v>4500571675</v>
      </c>
      <c r="AF435" s="5" t="str">
        <f t="shared" si="145"/>
        <v>Glencore Canada Corporation - Rouyn-Noranda, Glencore Canada Corp.</v>
      </c>
      <c r="AG435" s="5" t="str">
        <f t="shared" si="146"/>
        <v>CAD</v>
      </c>
      <c r="AH435" s="5">
        <f t="shared" si="147"/>
        <v>1492.52</v>
      </c>
      <c r="AI435" s="12">
        <f>IF(L435-N435=0,VLOOKUP(U435,rate!A$4:B$15,2,FALSE)*AH435,IF(AG435="USD",O435,AH435*Y435))</f>
        <v>1074.9118060597832</v>
      </c>
      <c r="AJ435" s="13">
        <f t="shared" si="148"/>
        <v>0.72019926437152149</v>
      </c>
      <c r="AK435" s="13">
        <f>-IF(AG435="CAD",IFERROR(VLOOKUP(D435,CAARStatus!$A$1:$Y$1600,16,FALSE),0),0)</f>
        <v>-1492.52</v>
      </c>
      <c r="AL435" s="13">
        <f>-IF(AG435="USD",IFERROR(VLOOKUP(D435,CAARStatus!$A$1:$Y$1600,11,FALSE),0),0)</f>
        <v>0</v>
      </c>
      <c r="AM435" s="22">
        <f t="shared" si="149"/>
        <v>0</v>
      </c>
      <c r="AN435" s="12" t="str">
        <f t="shared" si="150"/>
        <v/>
      </c>
      <c r="AO435" s="12" t="str">
        <f t="shared" si="151"/>
        <v>Yes</v>
      </c>
      <c r="AP435" t="str">
        <f t="shared" si="136"/>
        <v>Yes</v>
      </c>
      <c r="AQ435" t="str">
        <f>IFERROR(VLOOKUP(Z435,InvBal!$L$4:$P$600,4,FALSE),"Pend")</f>
        <v>Pend</v>
      </c>
      <c r="AR435" t="str">
        <f>IFERROR(VLOOKUP(D435,Manual!$C$1:$E$22,2,FALSE),"Pend")</f>
        <v>Pend</v>
      </c>
      <c r="AS435" t="str">
        <f t="shared" si="152"/>
        <v>Yes</v>
      </c>
      <c r="AT435" t="str">
        <f t="shared" si="153"/>
        <v>Yes</v>
      </c>
      <c r="AU435" s="51" t="str">
        <f t="shared" si="154"/>
        <v>Yes</v>
      </c>
      <c r="AV435" s="12">
        <f>IFERROR(VLOOKUP(D435,'Receivable Invoice Detail'!$S$1:$U$3014,3,FALSE),0)</f>
        <v>0</v>
      </c>
      <c r="AW435" s="12">
        <f t="shared" si="155"/>
        <v>1074.9118060597832</v>
      </c>
    </row>
    <row r="436" spans="1:49" x14ac:dyDescent="0.25">
      <c r="A436" s="2">
        <v>1</v>
      </c>
      <c r="B436" s="2" t="s">
        <v>1568</v>
      </c>
      <c r="C436" s="2" t="s">
        <v>1569</v>
      </c>
      <c r="D436" s="2" t="s">
        <v>2675</v>
      </c>
      <c r="E436" s="2" t="s">
        <v>141</v>
      </c>
      <c r="F436" s="3">
        <v>45764.341747685183</v>
      </c>
      <c r="G436" s="3">
        <v>45764.346400462957</v>
      </c>
      <c r="H436" s="4">
        <v>45768</v>
      </c>
      <c r="I436" s="2" t="s">
        <v>21</v>
      </c>
      <c r="J436" s="2" t="s">
        <v>51</v>
      </c>
      <c r="K436" s="2">
        <v>0.72019926437152137</v>
      </c>
      <c r="L436" s="2">
        <v>471.88329232267211</v>
      </c>
      <c r="M436" s="2">
        <v>0</v>
      </c>
      <c r="N436" s="2">
        <v>339.85</v>
      </c>
      <c r="O436" s="2">
        <v>339.85</v>
      </c>
      <c r="P436" s="2"/>
      <c r="Q436" s="2">
        <v>339.85</v>
      </c>
      <c r="R436" s="2" t="s">
        <v>44</v>
      </c>
      <c r="S436" s="2"/>
      <c r="T436" s="2">
        <f t="shared" si="137"/>
        <v>1</v>
      </c>
      <c r="U436" s="18">
        <f t="shared" si="138"/>
        <v>4</v>
      </c>
      <c r="V436" s="18">
        <f t="shared" si="139"/>
        <v>2025</v>
      </c>
      <c r="W436" s="18">
        <f t="shared" si="140"/>
        <v>6</v>
      </c>
      <c r="X436" s="18">
        <f t="shared" si="141"/>
        <v>2025</v>
      </c>
      <c r="Y436" s="2">
        <f t="shared" si="134"/>
        <v>0.72019926437152137</v>
      </c>
      <c r="Z436" t="str">
        <f t="shared" si="135"/>
        <v>SO17003</v>
      </c>
      <c r="AA436" s="11">
        <f t="shared" si="142"/>
        <v>45764.341747685183</v>
      </c>
      <c r="AB436" s="5" t="str">
        <f t="shared" si="143"/>
        <v>INV12891</v>
      </c>
      <c r="AC436" s="5" t="str">
        <f>IFERROR(VLOOKUP(D436,CAARStatus!$A$2:$AA$1600,22,FALSE),"Not invoiced")</f>
        <v>Paid</v>
      </c>
      <c r="AD436" s="11">
        <f>IF(AC436="Paid",IFERROR(VLOOKUP(D436,CAARStatus!$A$2:$AA$1600,6,FALSE),"Pending"),"Pending")</f>
        <v>45818</v>
      </c>
      <c r="AE436" s="5" t="str">
        <f t="shared" si="144"/>
        <v>4511811410</v>
      </c>
      <c r="AF436" s="5" t="str">
        <f t="shared" si="145"/>
        <v>PT Vale Indonesia Tbk.</v>
      </c>
      <c r="AG436" s="5" t="str">
        <f t="shared" si="146"/>
        <v>USD</v>
      </c>
      <c r="AH436" s="5">
        <f t="shared" si="147"/>
        <v>471.88329232267211</v>
      </c>
      <c r="AI436" s="12">
        <f>IF(L436-N436=0,VLOOKUP(U436,rate!A$4:B$15,2,FALSE)*AH436,IF(AG436="USD",O436,AH436*Y436))</f>
        <v>339.85</v>
      </c>
      <c r="AJ436" s="13">
        <f t="shared" si="148"/>
        <v>0.72019926437152137</v>
      </c>
      <c r="AK436" s="13">
        <f>-IF(AG436="CAD",IFERROR(VLOOKUP(D436,CAARStatus!$A$1:$Y$1600,16,FALSE),0),0)</f>
        <v>0</v>
      </c>
      <c r="AL436" s="13">
        <f>-IF(AG436="USD",IFERROR(VLOOKUP(D436,CAARStatus!$A$1:$Y$1600,11,FALSE),0),0)</f>
        <v>-339.85</v>
      </c>
      <c r="AM436" s="22" t="str">
        <f t="shared" si="149"/>
        <v/>
      </c>
      <c r="AN436" s="12">
        <f t="shared" si="150"/>
        <v>0</v>
      </c>
      <c r="AO436" s="12" t="str">
        <f t="shared" si="151"/>
        <v>Yes</v>
      </c>
      <c r="AP436" t="str">
        <f t="shared" si="136"/>
        <v>Yes</v>
      </c>
      <c r="AQ436" t="str">
        <f>IFERROR(VLOOKUP(Z436,InvBal!$L$4:$P$600,4,FALSE),"Pend")</f>
        <v>Pend</v>
      </c>
      <c r="AR436" t="str">
        <f>IFERROR(VLOOKUP(D436,Manual!$C$1:$E$22,2,FALSE),"Pend")</f>
        <v>Pend</v>
      </c>
      <c r="AS436" t="str">
        <f t="shared" si="152"/>
        <v>Yes</v>
      </c>
      <c r="AT436" t="str">
        <f t="shared" si="153"/>
        <v>Yes</v>
      </c>
      <c r="AU436" s="51" t="str">
        <f t="shared" si="154"/>
        <v>Yes</v>
      </c>
      <c r="AV436" s="12">
        <f>IFERROR(VLOOKUP(D436,'Receivable Invoice Detail'!$S$1:$U$3014,3,FALSE),0)</f>
        <v>0</v>
      </c>
      <c r="AW436" s="12">
        <f t="shared" si="155"/>
        <v>339.85</v>
      </c>
    </row>
    <row r="437" spans="1:49" ht="30" x14ac:dyDescent="0.25">
      <c r="A437" s="2">
        <v>1</v>
      </c>
      <c r="B437" s="2" t="s">
        <v>1566</v>
      </c>
      <c r="C437" s="2" t="s">
        <v>1567</v>
      </c>
      <c r="D437" s="2" t="s">
        <v>2676</v>
      </c>
      <c r="E437" s="2" t="s">
        <v>630</v>
      </c>
      <c r="F437" s="3">
        <v>45764.386423611111</v>
      </c>
      <c r="G437" s="3">
        <v>45764.387546296297</v>
      </c>
      <c r="H437" s="4">
        <v>45789</v>
      </c>
      <c r="I437" s="2" t="s">
        <v>21</v>
      </c>
      <c r="J437" s="2" t="s">
        <v>22</v>
      </c>
      <c r="K437" s="2">
        <v>1</v>
      </c>
      <c r="L437" s="2">
        <v>6675</v>
      </c>
      <c r="M437" s="2">
        <v>0</v>
      </c>
      <c r="N437" s="2">
        <v>4816.8123591507838</v>
      </c>
      <c r="O437" s="2">
        <v>6357.14</v>
      </c>
      <c r="P437" s="2">
        <v>317.86</v>
      </c>
      <c r="Q437" s="2">
        <v>6675</v>
      </c>
      <c r="R437" s="2" t="s">
        <v>44</v>
      </c>
      <c r="S437" s="2"/>
      <c r="T437" s="2">
        <f t="shared" si="137"/>
        <v>1</v>
      </c>
      <c r="U437" s="18">
        <f t="shared" si="138"/>
        <v>4</v>
      </c>
      <c r="V437" s="18">
        <f t="shared" si="139"/>
        <v>2025</v>
      </c>
      <c r="W437" s="18">
        <f t="shared" si="140"/>
        <v>8</v>
      </c>
      <c r="X437" s="18">
        <f t="shared" si="141"/>
        <v>2025</v>
      </c>
      <c r="Y437" s="2">
        <f t="shared" si="134"/>
        <v>0.72161982908625977</v>
      </c>
      <c r="Z437" t="str">
        <f t="shared" si="135"/>
        <v>SO17004</v>
      </c>
      <c r="AA437" s="11">
        <f t="shared" si="142"/>
        <v>45764.386423611111</v>
      </c>
      <c r="AB437" s="5" t="str">
        <f t="shared" si="143"/>
        <v>INV13056</v>
      </c>
      <c r="AC437" s="5" t="str">
        <f>IFERROR(VLOOKUP(D437,CAARStatus!$A$2:$AA$1600,22,FALSE),"Not invoiced")</f>
        <v>Paid</v>
      </c>
      <c r="AD437" s="11">
        <f>IF(AC437="Paid",IFERROR(VLOOKUP(D437,CAARStatus!$A$2:$AA$1600,6,FALSE),"Pending"),"Pending")</f>
        <v>45884</v>
      </c>
      <c r="AE437" s="5" t="str">
        <f t="shared" si="144"/>
        <v>Darren Approved PO</v>
      </c>
      <c r="AF437" s="5" t="str">
        <f t="shared" si="145"/>
        <v>Quality Concrete Inc.</v>
      </c>
      <c r="AG437" s="5" t="str">
        <f t="shared" si="146"/>
        <v>CAD</v>
      </c>
      <c r="AH437" s="5">
        <f t="shared" si="147"/>
        <v>6357.14</v>
      </c>
      <c r="AI437" s="12">
        <f>IF(L437-N437=0,VLOOKUP(U437,rate!A$4:B$15,2,FALSE)*AH437,IF(AG437="USD",O437,AH437*Y437))</f>
        <v>4587.4382802774253</v>
      </c>
      <c r="AJ437" s="13">
        <f t="shared" si="148"/>
        <v>0.72161982908625966</v>
      </c>
      <c r="AK437" s="13">
        <f>-IF(AG437="CAD",IFERROR(VLOOKUP(D437,CAARStatus!$A$1:$Y$1600,16,FALSE),0),0)</f>
        <v>-6357.14</v>
      </c>
      <c r="AL437" s="13">
        <f>-IF(AG437="USD",IFERROR(VLOOKUP(D437,CAARStatus!$A$1:$Y$1600,11,FALSE),0),0)</f>
        <v>0</v>
      </c>
      <c r="AM437" s="22">
        <f t="shared" si="149"/>
        <v>0</v>
      </c>
      <c r="AN437" s="12" t="str">
        <f t="shared" si="150"/>
        <v/>
      </c>
      <c r="AO437" s="12" t="str">
        <f t="shared" si="151"/>
        <v>Yes</v>
      </c>
      <c r="AP437" t="str">
        <f t="shared" si="136"/>
        <v>Yes</v>
      </c>
      <c r="AQ437" t="str">
        <f>IFERROR(VLOOKUP(Z437,InvBal!$L$4:$P$600,4,FALSE),"Pend")</f>
        <v>Pend</v>
      </c>
      <c r="AR437" t="str">
        <f>IFERROR(VLOOKUP(D437,Manual!$C$1:$E$22,2,FALSE),"Pend")</f>
        <v>Pend</v>
      </c>
      <c r="AS437" t="str">
        <f t="shared" si="152"/>
        <v>Yes</v>
      </c>
      <c r="AT437" t="str">
        <f t="shared" si="153"/>
        <v>Yes</v>
      </c>
      <c r="AU437" s="51" t="str">
        <f t="shared" si="154"/>
        <v>Yes</v>
      </c>
      <c r="AV437" s="12">
        <f>IFERROR(VLOOKUP(D437,'Receivable Invoice Detail'!$S$1:$U$3014,3,FALSE),0)</f>
        <v>0</v>
      </c>
      <c r="AW437" s="12">
        <f t="shared" si="155"/>
        <v>4587.4382802774253</v>
      </c>
    </row>
    <row r="438" spans="1:49" x14ac:dyDescent="0.25">
      <c r="A438" s="2">
        <v>1</v>
      </c>
      <c r="B438" s="2" t="s">
        <v>1540</v>
      </c>
      <c r="C438" s="2" t="s">
        <v>1541</v>
      </c>
      <c r="D438" s="2" t="s">
        <v>2691</v>
      </c>
      <c r="E438" s="2" t="s">
        <v>229</v>
      </c>
      <c r="F438" s="3">
        <v>45764.411006944443</v>
      </c>
      <c r="G438" s="3">
        <v>45771.648680555547</v>
      </c>
      <c r="H438" s="4">
        <v>45772</v>
      </c>
      <c r="I438" s="2" t="s">
        <v>21</v>
      </c>
      <c r="J438" s="2" t="s">
        <v>22</v>
      </c>
      <c r="K438" s="2">
        <v>1</v>
      </c>
      <c r="L438" s="2">
        <v>472.15</v>
      </c>
      <c r="M438" s="2">
        <v>0</v>
      </c>
      <c r="N438" s="2">
        <v>339.89711985462128</v>
      </c>
      <c r="O438" s="2">
        <v>449.67</v>
      </c>
      <c r="P438" s="2">
        <v>22.48</v>
      </c>
      <c r="Q438" s="2">
        <v>472.15</v>
      </c>
      <c r="R438" s="2" t="s">
        <v>44</v>
      </c>
      <c r="S438" s="2"/>
      <c r="T438" s="2">
        <f t="shared" si="137"/>
        <v>1</v>
      </c>
      <c r="U438" s="18">
        <f t="shared" si="138"/>
        <v>4</v>
      </c>
      <c r="V438" s="18">
        <f t="shared" si="139"/>
        <v>2025</v>
      </c>
      <c r="W438" s="18">
        <f t="shared" si="140"/>
        <v>6</v>
      </c>
      <c r="X438" s="18">
        <f t="shared" si="141"/>
        <v>2025</v>
      </c>
      <c r="Y438" s="2">
        <f t="shared" si="134"/>
        <v>0.71989223732843655</v>
      </c>
      <c r="Z438" t="str">
        <f t="shared" si="135"/>
        <v>SO17005</v>
      </c>
      <c r="AA438" s="11">
        <f t="shared" si="142"/>
        <v>45764.411006944443</v>
      </c>
      <c r="AB438" s="5" t="str">
        <f t="shared" si="143"/>
        <v>INV12930</v>
      </c>
      <c r="AC438" s="5" t="str">
        <f>IFERROR(VLOOKUP(D438,CAARStatus!$A$2:$AA$1600,22,FALSE),"Not invoiced")</f>
        <v>Paid</v>
      </c>
      <c r="AD438" s="11">
        <f>IF(AC438="Paid",IFERROR(VLOOKUP(D438,CAARStatus!$A$2:$AA$1600,6,FALSE),"Pending"),"Pending")</f>
        <v>45812</v>
      </c>
      <c r="AE438" s="5" t="str">
        <f t="shared" si="144"/>
        <v>2100560502</v>
      </c>
      <c r="AF438" s="5" t="str">
        <f t="shared" si="145"/>
        <v>Wajax Limited - Lachine</v>
      </c>
      <c r="AG438" s="5" t="str">
        <f t="shared" si="146"/>
        <v>CAD</v>
      </c>
      <c r="AH438" s="5">
        <f t="shared" si="147"/>
        <v>449.67</v>
      </c>
      <c r="AI438" s="12">
        <f>IF(L438-N438=0,VLOOKUP(U438,rate!A$4:B$15,2,FALSE)*AH438,IF(AG438="USD",O438,AH438*Y438))</f>
        <v>323.7139423594781</v>
      </c>
      <c r="AJ438" s="13">
        <f t="shared" si="148"/>
        <v>0.71989223732843655</v>
      </c>
      <c r="AK438" s="13">
        <f>-IF(AG438="CAD",IFERROR(VLOOKUP(D438,CAARStatus!$A$1:$Y$1600,16,FALSE),0),0)</f>
        <v>-449.67</v>
      </c>
      <c r="AL438" s="13">
        <f>-IF(AG438="USD",IFERROR(VLOOKUP(D438,CAARStatus!$A$1:$Y$1600,11,FALSE),0),0)</f>
        <v>0</v>
      </c>
      <c r="AM438" s="22">
        <f t="shared" si="149"/>
        <v>0</v>
      </c>
      <c r="AN438" s="12" t="str">
        <f t="shared" si="150"/>
        <v/>
      </c>
      <c r="AO438" s="12" t="str">
        <f t="shared" si="151"/>
        <v>Yes</v>
      </c>
      <c r="AP438" t="str">
        <f t="shared" si="136"/>
        <v>Yes</v>
      </c>
      <c r="AQ438" t="str">
        <f>IFERROR(VLOOKUP(Z438,InvBal!$L$4:$P$600,4,FALSE),"Pend")</f>
        <v>Pend</v>
      </c>
      <c r="AR438" t="str">
        <f>IFERROR(VLOOKUP(D438,Manual!$C$1:$E$22,2,FALSE),"Pend")</f>
        <v>Pend</v>
      </c>
      <c r="AS438" t="str">
        <f t="shared" si="152"/>
        <v>Yes</v>
      </c>
      <c r="AT438" t="str">
        <f t="shared" si="153"/>
        <v>Yes</v>
      </c>
      <c r="AU438" s="51" t="str">
        <f t="shared" si="154"/>
        <v>Yes</v>
      </c>
      <c r="AV438" s="12">
        <f>IFERROR(VLOOKUP(D438,'Receivable Invoice Detail'!$S$1:$U$3014,3,FALSE),0)</f>
        <v>0</v>
      </c>
      <c r="AW438" s="12">
        <f t="shared" si="155"/>
        <v>323.7139423594781</v>
      </c>
    </row>
    <row r="439" spans="1:49" ht="30" x14ac:dyDescent="0.25">
      <c r="A439" s="2">
        <v>1</v>
      </c>
      <c r="B439" s="2" t="s">
        <v>1562</v>
      </c>
      <c r="C439" s="2" t="s">
        <v>1563</v>
      </c>
      <c r="D439" s="2" t="s">
        <v>2678</v>
      </c>
      <c r="E439" s="2" t="s">
        <v>35</v>
      </c>
      <c r="F439" s="3">
        <v>45764.556469907409</v>
      </c>
      <c r="G439" s="3">
        <v>45764.691377314812</v>
      </c>
      <c r="H439" s="4">
        <v>45768</v>
      </c>
      <c r="I439" s="2" t="s">
        <v>21</v>
      </c>
      <c r="J439" s="2" t="s">
        <v>22</v>
      </c>
      <c r="K439" s="2">
        <v>1</v>
      </c>
      <c r="L439" s="2">
        <v>131.22999999999999</v>
      </c>
      <c r="M439" s="2">
        <v>0</v>
      </c>
      <c r="N439" s="2">
        <v>94.698170170989869</v>
      </c>
      <c r="O439" s="2">
        <v>124.98</v>
      </c>
      <c r="P439" s="2">
        <v>6.25</v>
      </c>
      <c r="Q439" s="2">
        <v>131.22999999999999</v>
      </c>
      <c r="R439" s="2" t="s">
        <v>44</v>
      </c>
      <c r="S439" s="2"/>
      <c r="T439" s="2">
        <f t="shared" si="137"/>
        <v>1</v>
      </c>
      <c r="U439" s="18">
        <f t="shared" si="138"/>
        <v>4</v>
      </c>
      <c r="V439" s="18">
        <f t="shared" si="139"/>
        <v>2025</v>
      </c>
      <c r="W439" s="18">
        <f t="shared" si="140"/>
        <v>5</v>
      </c>
      <c r="X439" s="18">
        <f t="shared" si="141"/>
        <v>2025</v>
      </c>
      <c r="Y439" s="2">
        <f t="shared" si="134"/>
        <v>0.72161982908625977</v>
      </c>
      <c r="Z439" t="str">
        <f t="shared" si="135"/>
        <v>SO17006</v>
      </c>
      <c r="AA439" s="11">
        <f t="shared" si="142"/>
        <v>45764.556469907409</v>
      </c>
      <c r="AB439" s="5" t="str">
        <f t="shared" si="143"/>
        <v>INV12892</v>
      </c>
      <c r="AC439" s="5" t="str">
        <f>IFERROR(VLOOKUP(D439,CAARStatus!$A$2:$AA$1600,22,FALSE),"Not invoiced")</f>
        <v>Paid</v>
      </c>
      <c r="AD439" s="11">
        <f>IF(AC439="Paid",IFERROR(VLOOKUP(D439,CAARStatus!$A$2:$AA$1600,6,FALSE),"Pending"),"Pending")</f>
        <v>45798</v>
      </c>
      <c r="AE439" s="5" t="str">
        <f t="shared" si="144"/>
        <v>PO13510</v>
      </c>
      <c r="AF439" s="5" t="str">
        <f t="shared" si="145"/>
        <v>Manufacture Sling-Choker (Val-d’Or) Ltée</v>
      </c>
      <c r="AG439" s="5" t="str">
        <f t="shared" si="146"/>
        <v>CAD</v>
      </c>
      <c r="AH439" s="5">
        <f t="shared" si="147"/>
        <v>124.98</v>
      </c>
      <c r="AI439" s="12">
        <f>IF(L439-N439=0,VLOOKUP(U439,rate!A$4:B$15,2,FALSE)*AH439,IF(AG439="USD",O439,AH439*Y439))</f>
        <v>90.188046239200744</v>
      </c>
      <c r="AJ439" s="13">
        <f t="shared" si="148"/>
        <v>0.72161982908625977</v>
      </c>
      <c r="AK439" s="13">
        <f>-IF(AG439="CAD",IFERROR(VLOOKUP(D439,CAARStatus!$A$1:$Y$1600,16,FALSE),0),0)</f>
        <v>-124.98</v>
      </c>
      <c r="AL439" s="13">
        <f>-IF(AG439="USD",IFERROR(VLOOKUP(D439,CAARStatus!$A$1:$Y$1600,11,FALSE),0),0)</f>
        <v>0</v>
      </c>
      <c r="AM439" s="22">
        <f t="shared" si="149"/>
        <v>0</v>
      </c>
      <c r="AN439" s="12" t="str">
        <f t="shared" si="150"/>
        <v/>
      </c>
      <c r="AO439" s="12" t="str">
        <f t="shared" si="151"/>
        <v>Yes</v>
      </c>
      <c r="AP439" t="str">
        <f t="shared" si="136"/>
        <v>Yes</v>
      </c>
      <c r="AQ439" t="str">
        <f>IFERROR(VLOOKUP(Z439,InvBal!$L$4:$P$600,4,FALSE),"Pend")</f>
        <v>Pend</v>
      </c>
      <c r="AR439" t="str">
        <f>IFERROR(VLOOKUP(D439,Manual!$C$1:$E$22,2,FALSE),"Pend")</f>
        <v>Pend</v>
      </c>
      <c r="AS439" t="str">
        <f t="shared" si="152"/>
        <v>Yes</v>
      </c>
      <c r="AT439" t="str">
        <f t="shared" si="153"/>
        <v>Yes</v>
      </c>
      <c r="AU439" s="51" t="str">
        <f t="shared" si="154"/>
        <v>Yes</v>
      </c>
      <c r="AV439" s="12">
        <f>IFERROR(VLOOKUP(D439,'Receivable Invoice Detail'!$S$1:$U$3014,3,FALSE),0)</f>
        <v>0</v>
      </c>
      <c r="AW439" s="12">
        <f t="shared" si="155"/>
        <v>90.188046239200744</v>
      </c>
    </row>
    <row r="440" spans="1:49" ht="30" x14ac:dyDescent="0.25">
      <c r="A440" s="2">
        <v>1</v>
      </c>
      <c r="B440" s="2" t="s">
        <v>896</v>
      </c>
      <c r="C440" s="2" t="s">
        <v>897</v>
      </c>
      <c r="D440" s="2" t="s">
        <v>3057</v>
      </c>
      <c r="E440" s="2" t="s">
        <v>898</v>
      </c>
      <c r="F440" s="3">
        <v>45764.671342592592</v>
      </c>
      <c r="G440" s="3">
        <v>45874.705439814818</v>
      </c>
      <c r="H440" s="4">
        <v>45909</v>
      </c>
      <c r="I440" s="2" t="s">
        <v>21</v>
      </c>
      <c r="J440" s="2" t="s">
        <v>22</v>
      </c>
      <c r="K440" s="2">
        <v>1</v>
      </c>
      <c r="L440" s="2">
        <v>7542.77</v>
      </c>
      <c r="M440" s="2">
        <v>0</v>
      </c>
      <c r="N440" s="2">
        <v>5473.0502303356379</v>
      </c>
      <c r="O440" s="2">
        <v>7183.59</v>
      </c>
      <c r="P440" s="2">
        <v>359.18</v>
      </c>
      <c r="Q440" s="2">
        <v>7542.77</v>
      </c>
      <c r="R440" s="2" t="s">
        <v>44</v>
      </c>
      <c r="S440" s="2"/>
      <c r="T440" s="2">
        <f t="shared" si="137"/>
        <v>1</v>
      </c>
      <c r="U440" s="18">
        <f t="shared" si="138"/>
        <v>4</v>
      </c>
      <c r="V440" s="18">
        <f t="shared" si="139"/>
        <v>2025</v>
      </c>
      <c r="W440" s="18">
        <f t="shared" si="140"/>
        <v>9</v>
      </c>
      <c r="X440" s="18">
        <f t="shared" si="141"/>
        <v>2025</v>
      </c>
      <c r="Y440" s="2">
        <f t="shared" si="134"/>
        <v>0.72560216344070383</v>
      </c>
      <c r="Z440" t="str">
        <f t="shared" si="135"/>
        <v>SO17008</v>
      </c>
      <c r="AA440" s="11">
        <f t="shared" si="142"/>
        <v>45764.671342592592</v>
      </c>
      <c r="AB440" s="5" t="str">
        <f t="shared" si="143"/>
        <v>INV13372</v>
      </c>
      <c r="AC440" s="5" t="str">
        <f>IFERROR(VLOOKUP(D440,CAARStatus!$A$2:$AA$1600,22,FALSE),"Not invoiced")</f>
        <v>Paid</v>
      </c>
      <c r="AD440" s="11">
        <f>IF(AC440="Paid",IFERROR(VLOOKUP(D440,CAARStatus!$A$2:$AA$1600,6,FALSE),"Pending"),"Pending")</f>
        <v>45909</v>
      </c>
      <c r="AE440" s="5" t="str">
        <f t="shared" si="144"/>
        <v>5518 - Paid in full on August 6th 2025</v>
      </c>
      <c r="AF440" s="5" t="str">
        <f t="shared" si="145"/>
        <v>MJR Admin</v>
      </c>
      <c r="AG440" s="5" t="str">
        <f t="shared" si="146"/>
        <v>CAD</v>
      </c>
      <c r="AH440" s="5">
        <f t="shared" si="147"/>
        <v>7183.59</v>
      </c>
      <c r="AI440" s="12">
        <f>IF(L440-N440=0,VLOOKUP(U440,rate!A$4:B$15,2,FALSE)*AH440,IF(AG440="USD",O440,AH440*Y440))</f>
        <v>5212.4284452710053</v>
      </c>
      <c r="AJ440" s="13">
        <f t="shared" si="148"/>
        <v>0.72560216344070383</v>
      </c>
      <c r="AK440" s="13">
        <f>-IF(AG440="CAD",IFERROR(VLOOKUP(D440,CAARStatus!$A$1:$Y$1600,16,FALSE),0),0)</f>
        <v>-7183.59</v>
      </c>
      <c r="AL440" s="13">
        <f>-IF(AG440="USD",IFERROR(VLOOKUP(D440,CAARStatus!$A$1:$Y$1600,11,FALSE),0),0)</f>
        <v>0</v>
      </c>
      <c r="AM440" s="22">
        <f t="shared" si="149"/>
        <v>0</v>
      </c>
      <c r="AN440" s="12" t="str">
        <f t="shared" si="150"/>
        <v/>
      </c>
      <c r="AO440" s="12" t="str">
        <f t="shared" si="151"/>
        <v>Yes</v>
      </c>
      <c r="AP440" t="str">
        <f t="shared" si="136"/>
        <v>Yes</v>
      </c>
      <c r="AQ440" t="str">
        <f>IFERROR(VLOOKUP(Z440,InvBal!$L$4:$P$600,4,FALSE),"Pend")</f>
        <v>Pend</v>
      </c>
      <c r="AR440" t="str">
        <f>IFERROR(VLOOKUP(D440,Manual!$C$1:$E$22,2,FALSE),"Pend")</f>
        <v>Pend</v>
      </c>
      <c r="AS440" t="str">
        <f t="shared" si="152"/>
        <v>Yes</v>
      </c>
      <c r="AT440" t="str">
        <f t="shared" si="153"/>
        <v>Yes</v>
      </c>
      <c r="AU440" s="51" t="str">
        <f t="shared" si="154"/>
        <v>Yes</v>
      </c>
      <c r="AV440" s="12">
        <f>IFERROR(VLOOKUP(D440,'Receivable Invoice Detail'!$S$1:$U$3014,3,FALSE),0)</f>
        <v>0</v>
      </c>
      <c r="AW440" s="12">
        <f t="shared" si="155"/>
        <v>5212.4284452710053</v>
      </c>
    </row>
    <row r="441" spans="1:49" ht="30" x14ac:dyDescent="0.25">
      <c r="A441" s="2">
        <v>1</v>
      </c>
      <c r="B441" s="2" t="s">
        <v>1042</v>
      </c>
      <c r="C441" s="2" t="s">
        <v>1043</v>
      </c>
      <c r="D441" s="2" t="s">
        <v>2973</v>
      </c>
      <c r="E441" s="2" t="s">
        <v>98</v>
      </c>
      <c r="F441" s="3">
        <v>45768.489965277768</v>
      </c>
      <c r="G441" s="3">
        <v>45852.453472222223</v>
      </c>
      <c r="H441" s="4">
        <v>45853</v>
      </c>
      <c r="I441" s="2" t="s">
        <v>21</v>
      </c>
      <c r="J441" s="2" t="s">
        <v>22</v>
      </c>
      <c r="K441" s="2">
        <v>1</v>
      </c>
      <c r="L441" s="2">
        <v>814.95</v>
      </c>
      <c r="M441" s="2">
        <v>0</v>
      </c>
      <c r="N441" s="2">
        <v>595.07749059689843</v>
      </c>
      <c r="O441" s="2">
        <v>721.19</v>
      </c>
      <c r="P441" s="2">
        <v>93.76</v>
      </c>
      <c r="Q441" s="2">
        <v>814.95</v>
      </c>
      <c r="R441" s="2" t="s">
        <v>44</v>
      </c>
      <c r="S441" s="2"/>
      <c r="T441" s="2">
        <f t="shared" si="137"/>
        <v>1</v>
      </c>
      <c r="U441" s="18">
        <f t="shared" si="138"/>
        <v>4</v>
      </c>
      <c r="V441" s="18">
        <f t="shared" si="139"/>
        <v>2025</v>
      </c>
      <c r="W441" s="18">
        <f t="shared" si="140"/>
        <v>8</v>
      </c>
      <c r="X441" s="18">
        <f t="shared" si="141"/>
        <v>2025</v>
      </c>
      <c r="Y441" s="2">
        <f t="shared" si="134"/>
        <v>0.73020122780158092</v>
      </c>
      <c r="Z441" t="str">
        <f t="shared" si="135"/>
        <v>SO17009</v>
      </c>
      <c r="AA441" s="11">
        <f t="shared" si="142"/>
        <v>45768.489965277768</v>
      </c>
      <c r="AB441" s="5" t="str">
        <f t="shared" si="143"/>
        <v>INV13230</v>
      </c>
      <c r="AC441" s="5" t="str">
        <f>IFERROR(VLOOKUP(D441,CAARStatus!$A$2:$AA$1600,22,FALSE),"Not invoiced")</f>
        <v>Paid</v>
      </c>
      <c r="AD441" s="11">
        <f>IF(AC441="Paid",IFERROR(VLOOKUP(D441,CAARStatus!$A$2:$AA$1600,6,FALSE),"Pending"),"Pending")</f>
        <v>45875</v>
      </c>
      <c r="AE441" s="5" t="str">
        <f t="shared" si="144"/>
        <v>PO-007930</v>
      </c>
      <c r="AF441" s="5" t="str">
        <f t="shared" si="145"/>
        <v>Sling-Choker Manufacturing - Timmins</v>
      </c>
      <c r="AG441" s="5" t="str">
        <f t="shared" si="146"/>
        <v>CAD</v>
      </c>
      <c r="AH441" s="5">
        <f t="shared" si="147"/>
        <v>721.19</v>
      </c>
      <c r="AI441" s="12">
        <f>IF(L441-N441=0,VLOOKUP(U441,rate!A$4:B$15,2,FALSE)*AH441,IF(AG441="USD",O441,AH441*Y441))</f>
        <v>526.61382347822223</v>
      </c>
      <c r="AJ441" s="13">
        <f t="shared" si="148"/>
        <v>0.73020122780158103</v>
      </c>
      <c r="AK441" s="13">
        <f>-IF(AG441="CAD",IFERROR(VLOOKUP(D441,CAARStatus!$A$1:$Y$1600,16,FALSE),0),0)</f>
        <v>-721.19</v>
      </c>
      <c r="AL441" s="13">
        <f>-IF(AG441="USD",IFERROR(VLOOKUP(D441,CAARStatus!$A$1:$Y$1600,11,FALSE),0),0)</f>
        <v>0</v>
      </c>
      <c r="AM441" s="22">
        <f t="shared" si="149"/>
        <v>0</v>
      </c>
      <c r="AN441" s="12" t="str">
        <f t="shared" si="150"/>
        <v/>
      </c>
      <c r="AO441" s="12" t="str">
        <f t="shared" si="151"/>
        <v>Yes</v>
      </c>
      <c r="AP441" t="str">
        <f t="shared" si="136"/>
        <v>Yes</v>
      </c>
      <c r="AQ441" t="str">
        <f>IFERROR(VLOOKUP(Z441,InvBal!$L$4:$P$600,4,FALSE),"Pend")</f>
        <v>Pend</v>
      </c>
      <c r="AR441" t="str">
        <f>IFERROR(VLOOKUP(D441,Manual!$C$1:$E$22,2,FALSE),"Pend")</f>
        <v>Pend</v>
      </c>
      <c r="AS441" t="str">
        <f t="shared" si="152"/>
        <v>Yes</v>
      </c>
      <c r="AT441" t="str">
        <f t="shared" si="153"/>
        <v>Yes</v>
      </c>
      <c r="AU441" s="51" t="str">
        <f t="shared" si="154"/>
        <v>Yes</v>
      </c>
      <c r="AV441" s="12">
        <f>IFERROR(VLOOKUP(D441,'Receivable Invoice Detail'!$S$1:$U$3014,3,FALSE),0)</f>
        <v>0</v>
      </c>
      <c r="AW441" s="12">
        <f t="shared" si="155"/>
        <v>526.61382347822223</v>
      </c>
    </row>
    <row r="442" spans="1:49" ht="30" x14ac:dyDescent="0.25">
      <c r="A442" s="2">
        <v>1</v>
      </c>
      <c r="B442" s="2" t="s">
        <v>1560</v>
      </c>
      <c r="C442" s="2" t="s">
        <v>1561</v>
      </c>
      <c r="D442" s="2" t="s">
        <v>2679</v>
      </c>
      <c r="E442" s="2" t="s">
        <v>129</v>
      </c>
      <c r="F442" s="3">
        <v>45768.579594907409</v>
      </c>
      <c r="G442" s="3">
        <v>45768.579062500001</v>
      </c>
      <c r="H442" s="4">
        <v>45869</v>
      </c>
      <c r="I442" s="2" t="s">
        <v>130</v>
      </c>
      <c r="J442" s="2" t="s">
        <v>51</v>
      </c>
      <c r="K442" s="2">
        <v>0.72213687898096424</v>
      </c>
      <c r="L442" s="2">
        <v>21452.99658682627</v>
      </c>
      <c r="M442" s="2">
        <v>0</v>
      </c>
      <c r="N442" s="2">
        <v>15492</v>
      </c>
      <c r="O442" s="2">
        <v>15492</v>
      </c>
      <c r="P442" s="2"/>
      <c r="Q442" s="2">
        <v>15492</v>
      </c>
      <c r="R442" s="2" t="s">
        <v>44</v>
      </c>
      <c r="S442" s="2"/>
      <c r="T442" s="2">
        <f t="shared" si="137"/>
        <v>1</v>
      </c>
      <c r="U442" s="18">
        <f t="shared" si="138"/>
        <v>4</v>
      </c>
      <c r="V442" s="18">
        <f t="shared" si="139"/>
        <v>2025</v>
      </c>
      <c r="W442" s="18" t="str">
        <f t="shared" si="140"/>
        <v/>
      </c>
      <c r="X442" s="18" t="str">
        <f t="shared" si="141"/>
        <v/>
      </c>
      <c r="Y442" s="2">
        <f t="shared" si="134"/>
        <v>0.72213687898096424</v>
      </c>
      <c r="Z442" t="str">
        <f t="shared" si="135"/>
        <v>SO17010</v>
      </c>
      <c r="AA442" s="11">
        <f t="shared" si="142"/>
        <v>45768.579594907409</v>
      </c>
      <c r="AB442" s="5" t="str">
        <f t="shared" si="143"/>
        <v>INV13272</v>
      </c>
      <c r="AC442" s="5" t="str">
        <f>IFERROR(VLOOKUP(D442,CAARStatus!$A$2:$AA$1600,22,FALSE),"Not invoiced")</f>
        <v>Approved</v>
      </c>
      <c r="AD442" s="11" t="str">
        <f>IF(AC442="Paid",IFERROR(VLOOKUP(D442,CAARStatus!$A$2:$AA$1600,6,FALSE),"Pending"),"Pending")</f>
        <v>Pending</v>
      </c>
      <c r="AE442" s="5" t="str">
        <f t="shared" si="144"/>
        <v>OC00163</v>
      </c>
      <c r="AF442" s="5" t="str">
        <f t="shared" si="145"/>
        <v>Dynapro Pumps México S de RL de CV</v>
      </c>
      <c r="AG442" s="5" t="str">
        <f t="shared" si="146"/>
        <v>USD</v>
      </c>
      <c r="AH442" s="5">
        <f t="shared" si="147"/>
        <v>21452.99658682627</v>
      </c>
      <c r="AI442" s="12">
        <f>IF(L442-N442=0,VLOOKUP(U442,rate!A$4:B$15,2,FALSE)*AH442,IF(AG442="USD",O442,AH442*Y442))</f>
        <v>15492</v>
      </c>
      <c r="AJ442" s="13">
        <f t="shared" si="148"/>
        <v>0.72213687898096424</v>
      </c>
      <c r="AK442" s="13">
        <f>-IF(AG442="CAD",IFERROR(VLOOKUP(D442,CAARStatus!$A$1:$Y$1600,16,FALSE),0),0)</f>
        <v>0</v>
      </c>
      <c r="AL442" s="13">
        <f>-IF(AG442="USD",IFERROR(VLOOKUP(D442,CAARStatus!$A$1:$Y$1600,11,FALSE),0),0)</f>
        <v>-15492</v>
      </c>
      <c r="AM442" s="22" t="str">
        <f t="shared" si="149"/>
        <v/>
      </c>
      <c r="AN442" s="12">
        <f t="shared" si="150"/>
        <v>0</v>
      </c>
      <c r="AO442" s="12" t="str">
        <f t="shared" si="151"/>
        <v>Pend</v>
      </c>
      <c r="AP442" t="str">
        <f t="shared" si="136"/>
        <v>Pend</v>
      </c>
      <c r="AQ442" t="str">
        <f>IFERROR(VLOOKUP(Z442,InvBal!$L$4:$P$600,4,FALSE),"Pend")</f>
        <v>Pend</v>
      </c>
      <c r="AR442" t="str">
        <f>IFERROR(VLOOKUP(D442,Manual!$C$1:$E$22,2,FALSE),"Pend")</f>
        <v>Pend</v>
      </c>
      <c r="AS442" t="str">
        <f t="shared" si="152"/>
        <v/>
      </c>
      <c r="AT442" t="str">
        <f t="shared" si="153"/>
        <v>Yes</v>
      </c>
      <c r="AU442" s="51" t="str">
        <f t="shared" si="154"/>
        <v/>
      </c>
      <c r="AV442" s="12">
        <f>IFERROR(VLOOKUP(D442,'Receivable Invoice Detail'!$S$1:$U$3014,3,FALSE),0)</f>
        <v>0</v>
      </c>
      <c r="AW442" s="12">
        <f t="shared" si="155"/>
        <v>0</v>
      </c>
    </row>
    <row r="443" spans="1:49" ht="45" x14ac:dyDescent="0.25">
      <c r="A443" s="2">
        <v>1</v>
      </c>
      <c r="B443" s="2" t="s">
        <v>1558</v>
      </c>
      <c r="C443" s="2" t="s">
        <v>1559</v>
      </c>
      <c r="D443" s="2" t="s">
        <v>2680</v>
      </c>
      <c r="E443" s="2" t="s">
        <v>502</v>
      </c>
      <c r="F443" s="3">
        <v>45769.562210648153</v>
      </c>
      <c r="G443" s="3">
        <v>45769.565266203703</v>
      </c>
      <c r="H443" s="4">
        <v>45770</v>
      </c>
      <c r="I443" s="2" t="s">
        <v>21</v>
      </c>
      <c r="J443" s="2" t="s">
        <v>22</v>
      </c>
      <c r="K443" s="2">
        <v>1</v>
      </c>
      <c r="L443" s="2">
        <v>539.67999999999995</v>
      </c>
      <c r="M443" s="2">
        <v>0</v>
      </c>
      <c r="N443" s="2">
        <v>390.87901308584662</v>
      </c>
      <c r="O443" s="2">
        <v>519.21</v>
      </c>
      <c r="P443" s="2">
        <v>20.47</v>
      </c>
      <c r="Q443" s="2">
        <v>539.67999999999995</v>
      </c>
      <c r="R443" s="2" t="s">
        <v>44</v>
      </c>
      <c r="S443" s="2"/>
      <c r="T443" s="2">
        <f t="shared" si="137"/>
        <v>1</v>
      </c>
      <c r="U443" s="18">
        <f t="shared" si="138"/>
        <v>4</v>
      </c>
      <c r="V443" s="18">
        <f t="shared" si="139"/>
        <v>2025</v>
      </c>
      <c r="W443" s="18">
        <f t="shared" si="140"/>
        <v>6</v>
      </c>
      <c r="X443" s="18">
        <f t="shared" si="141"/>
        <v>2025</v>
      </c>
      <c r="Y443" s="2">
        <f t="shared" si="134"/>
        <v>0.72427922673778289</v>
      </c>
      <c r="Z443" t="str">
        <f t="shared" si="135"/>
        <v>SO17013</v>
      </c>
      <c r="AA443" s="11">
        <f t="shared" si="142"/>
        <v>45769.562210648153</v>
      </c>
      <c r="AB443" s="5" t="str">
        <f t="shared" si="143"/>
        <v>INV12905</v>
      </c>
      <c r="AC443" s="5" t="str">
        <f>IFERROR(VLOOKUP(D443,CAARStatus!$A$2:$AA$1600,22,FALSE),"Not invoiced")</f>
        <v>Paid</v>
      </c>
      <c r="AD443" s="11">
        <f>IF(AC443="Paid",IFERROR(VLOOKUP(D443,CAARStatus!$A$2:$AA$1600,6,FALSE),"Pending"),"Pending")</f>
        <v>45814</v>
      </c>
      <c r="AE443" s="5" t="str">
        <f t="shared" si="144"/>
        <v>4500572350</v>
      </c>
      <c r="AF443" s="5" t="str">
        <f t="shared" si="145"/>
        <v>Glencore Canada Corporation - Rouyn-Noranda, Glencore Canada Corp.</v>
      </c>
      <c r="AG443" s="5" t="str">
        <f t="shared" si="146"/>
        <v>CAD</v>
      </c>
      <c r="AH443" s="5">
        <f t="shared" si="147"/>
        <v>519.21</v>
      </c>
      <c r="AI443" s="12">
        <f>IF(L443-N443=0,VLOOKUP(U443,rate!A$4:B$15,2,FALSE)*AH443,IF(AG443="USD",O443,AH443*Y443))</f>
        <v>376.05301731452425</v>
      </c>
      <c r="AJ443" s="13">
        <f t="shared" si="148"/>
        <v>0.72427922673778289</v>
      </c>
      <c r="AK443" s="13">
        <f>-IF(AG443="CAD",IFERROR(VLOOKUP(D443,CAARStatus!$A$1:$Y$1600,16,FALSE),0),0)</f>
        <v>-519.21</v>
      </c>
      <c r="AL443" s="13">
        <f>-IF(AG443="USD",IFERROR(VLOOKUP(D443,CAARStatus!$A$1:$Y$1600,11,FALSE),0),0)</f>
        <v>0</v>
      </c>
      <c r="AM443" s="22">
        <f t="shared" si="149"/>
        <v>0</v>
      </c>
      <c r="AN443" s="12" t="str">
        <f t="shared" si="150"/>
        <v/>
      </c>
      <c r="AO443" s="12" t="str">
        <f t="shared" si="151"/>
        <v>Yes</v>
      </c>
      <c r="AP443" t="str">
        <f t="shared" si="136"/>
        <v>Yes</v>
      </c>
      <c r="AQ443" t="str">
        <f>IFERROR(VLOOKUP(Z443,InvBal!$L$4:$P$600,4,FALSE),"Pend")</f>
        <v>Pend</v>
      </c>
      <c r="AR443" t="str">
        <f>IFERROR(VLOOKUP(D443,Manual!$C$1:$E$22,2,FALSE),"Pend")</f>
        <v>Pend</v>
      </c>
      <c r="AS443" t="str">
        <f t="shared" si="152"/>
        <v>Yes</v>
      </c>
      <c r="AT443" t="str">
        <f t="shared" si="153"/>
        <v>Yes</v>
      </c>
      <c r="AU443" s="51" t="str">
        <f t="shared" si="154"/>
        <v>Yes</v>
      </c>
      <c r="AV443" s="12">
        <f>IFERROR(VLOOKUP(D443,'Receivable Invoice Detail'!$S$1:$U$3014,3,FALSE),0)</f>
        <v>0</v>
      </c>
      <c r="AW443" s="12">
        <f t="shared" si="155"/>
        <v>376.05301731452425</v>
      </c>
    </row>
    <row r="444" spans="1:49" ht="30" x14ac:dyDescent="0.25">
      <c r="A444" s="2">
        <v>1</v>
      </c>
      <c r="B444" s="2" t="s">
        <v>1538</v>
      </c>
      <c r="C444" s="2" t="s">
        <v>1539</v>
      </c>
      <c r="D444" s="2" t="s">
        <v>2692</v>
      </c>
      <c r="E444" s="2" t="s">
        <v>39</v>
      </c>
      <c r="F444" s="3">
        <v>45770.374884259261</v>
      </c>
      <c r="G444" s="3">
        <v>45771.655532407407</v>
      </c>
      <c r="H444" s="4">
        <v>45876</v>
      </c>
      <c r="I444" s="2" t="s">
        <v>21</v>
      </c>
      <c r="J444" s="2" t="s">
        <v>22</v>
      </c>
      <c r="K444" s="2">
        <v>1</v>
      </c>
      <c r="L444" s="2">
        <v>16616.349999999999</v>
      </c>
      <c r="M444" s="2">
        <v>0</v>
      </c>
      <c r="N444" s="2">
        <v>11961.981377732371</v>
      </c>
      <c r="O444" s="2">
        <v>15825.1</v>
      </c>
      <c r="P444" s="2">
        <v>791.25</v>
      </c>
      <c r="Q444" s="2">
        <v>16616.349999999999</v>
      </c>
      <c r="R444" s="2" t="s">
        <v>44</v>
      </c>
      <c r="S444" s="2"/>
      <c r="T444" s="2">
        <f t="shared" si="137"/>
        <v>1</v>
      </c>
      <c r="U444" s="18">
        <f t="shared" si="138"/>
        <v>4</v>
      </c>
      <c r="V444" s="18">
        <f t="shared" si="139"/>
        <v>2025</v>
      </c>
      <c r="W444" s="18">
        <f t="shared" si="140"/>
        <v>7</v>
      </c>
      <c r="X444" s="18">
        <f t="shared" si="141"/>
        <v>2025</v>
      </c>
      <c r="Y444" s="2">
        <f t="shared" si="134"/>
        <v>0.71989223732843688</v>
      </c>
      <c r="Z444" t="str">
        <f t="shared" si="135"/>
        <v>SO17015</v>
      </c>
      <c r="AA444" s="11">
        <f t="shared" si="142"/>
        <v>45770.374884259261</v>
      </c>
      <c r="AB444" s="5" t="str">
        <f t="shared" si="143"/>
        <v>INV13105</v>
      </c>
      <c r="AC444" s="5" t="str">
        <f>IFERROR(VLOOKUP(D444,CAARStatus!$A$2:$AA$1600,22,FALSE),"Not invoiced")</f>
        <v>Paid</v>
      </c>
      <c r="AD444" s="11">
        <f>IF(AC444="Paid",IFERROR(VLOOKUP(D444,CAARStatus!$A$2:$AA$1600,6,FALSE),"Pending"),"Pending")</f>
        <v>45859</v>
      </c>
      <c r="AE444" s="5" t="str">
        <f t="shared" si="144"/>
        <v>BC65-00080320</v>
      </c>
      <c r="AF444" s="5" t="str">
        <f t="shared" si="145"/>
        <v>Motion Industries Inc. (Canada) - Prince George</v>
      </c>
      <c r="AG444" s="5" t="str">
        <f t="shared" si="146"/>
        <v>CAD</v>
      </c>
      <c r="AH444" s="5">
        <f t="shared" si="147"/>
        <v>15825.1</v>
      </c>
      <c r="AI444" s="12">
        <f>IF(L444-N444=0,VLOOKUP(U444,rate!A$4:B$15,2,FALSE)*AH444,IF(AG444="USD",O444,AH444*Y444))</f>
        <v>11392.366644946247</v>
      </c>
      <c r="AJ444" s="13">
        <f t="shared" si="148"/>
        <v>0.71989223732843688</v>
      </c>
      <c r="AK444" s="13">
        <f>-IF(AG444="CAD",IFERROR(VLOOKUP(D444,CAARStatus!$A$1:$Y$1600,16,FALSE),0),0)</f>
        <v>-15825.1</v>
      </c>
      <c r="AL444" s="13">
        <f>-IF(AG444="USD",IFERROR(VLOOKUP(D444,CAARStatus!$A$1:$Y$1600,11,FALSE),0),0)</f>
        <v>0</v>
      </c>
      <c r="AM444" s="22">
        <f t="shared" si="149"/>
        <v>0</v>
      </c>
      <c r="AN444" s="12" t="str">
        <f t="shared" si="150"/>
        <v/>
      </c>
      <c r="AO444" s="12" t="str">
        <f t="shared" si="151"/>
        <v>Yes</v>
      </c>
      <c r="AP444" t="str">
        <f t="shared" si="136"/>
        <v>Yes</v>
      </c>
      <c r="AQ444" t="str">
        <f>IFERROR(VLOOKUP(Z444,InvBal!$L$4:$P$600,4,FALSE),"Pend")</f>
        <v>Pend</v>
      </c>
      <c r="AR444" t="str">
        <f>IFERROR(VLOOKUP(D444,Manual!$C$1:$E$22,2,FALSE),"Pend")</f>
        <v>Pend</v>
      </c>
      <c r="AS444" t="str">
        <f t="shared" si="152"/>
        <v>Yes</v>
      </c>
      <c r="AT444" t="str">
        <f t="shared" si="153"/>
        <v>Yes</v>
      </c>
      <c r="AU444" s="51" t="str">
        <f t="shared" si="154"/>
        <v>Yes</v>
      </c>
      <c r="AV444" s="12">
        <f>IFERROR(VLOOKUP(D444,'Receivable Invoice Detail'!$S$1:$U$3014,3,FALSE),0)</f>
        <v>0</v>
      </c>
      <c r="AW444" s="12">
        <f t="shared" si="155"/>
        <v>11392.366644946247</v>
      </c>
    </row>
    <row r="445" spans="1:49" ht="30" x14ac:dyDescent="0.25">
      <c r="A445" s="2">
        <v>2</v>
      </c>
      <c r="B445" s="2" t="s">
        <v>1556</v>
      </c>
      <c r="C445" s="2" t="s">
        <v>1557</v>
      </c>
      <c r="D445" s="2" t="s">
        <v>2682</v>
      </c>
      <c r="E445" s="2" t="s">
        <v>121</v>
      </c>
      <c r="F445" s="3">
        <v>45770.508576388893</v>
      </c>
      <c r="G445" s="3">
        <v>45770.574965277781</v>
      </c>
      <c r="H445" s="4">
        <v>45847</v>
      </c>
      <c r="I445" s="2" t="s">
        <v>21</v>
      </c>
      <c r="J445" s="2" t="s">
        <v>22</v>
      </c>
      <c r="K445" s="2">
        <v>1</v>
      </c>
      <c r="L445" s="2">
        <v>8531.2099999999991</v>
      </c>
      <c r="M445" s="2">
        <v>0</v>
      </c>
      <c r="N445" s="2">
        <v>6140.4448484504346</v>
      </c>
      <c r="O445" s="2">
        <v>8124.96</v>
      </c>
      <c r="P445" s="2">
        <v>406.25</v>
      </c>
      <c r="Q445" s="2">
        <v>8531.2099999999991</v>
      </c>
      <c r="R445" s="2" t="s">
        <v>44</v>
      </c>
      <c r="S445" s="2"/>
      <c r="T445" s="2">
        <f t="shared" si="137"/>
        <v>2</v>
      </c>
      <c r="U445" s="18">
        <f t="shared" si="138"/>
        <v>4</v>
      </c>
      <c r="V445" s="18">
        <f t="shared" si="139"/>
        <v>2025</v>
      </c>
      <c r="W445" s="18">
        <f t="shared" si="140"/>
        <v>6</v>
      </c>
      <c r="X445" s="18">
        <f t="shared" si="141"/>
        <v>2025</v>
      </c>
      <c r="Y445" s="2">
        <f t="shared" si="134"/>
        <v>0.71976247782558811</v>
      </c>
      <c r="Z445" t="str">
        <f t="shared" si="135"/>
        <v>SO17017</v>
      </c>
      <c r="AA445" s="11">
        <f t="shared" si="142"/>
        <v>45770.508576388893</v>
      </c>
      <c r="AB445" s="5" t="str">
        <f t="shared" si="143"/>
        <v>INV12914</v>
      </c>
      <c r="AC445" s="5" t="str">
        <f>IFERROR(VLOOKUP(D445,CAARStatus!$A$2:$AA$1600,22,FALSE),"Not invoiced")</f>
        <v>Paid</v>
      </c>
      <c r="AD445" s="11">
        <f>IF(AC445="Paid",IFERROR(VLOOKUP(D445,CAARStatus!$A$2:$AA$1600,6,FALSE),"Pending"),"Pending")</f>
        <v>45814</v>
      </c>
      <c r="AE445" s="5" t="str">
        <f t="shared" si="144"/>
        <v>4500572502</v>
      </c>
      <c r="AF445" s="5" t="str">
        <f t="shared" si="145"/>
        <v>Glencore Canada Corporation - Rouyn-Noranda</v>
      </c>
      <c r="AG445" s="5" t="str">
        <f t="shared" si="146"/>
        <v>CAD</v>
      </c>
      <c r="AH445" s="5">
        <f t="shared" si="147"/>
        <v>8124.96</v>
      </c>
      <c r="AI445" s="12">
        <f>IF(L445-N445=0,VLOOKUP(U445,rate!A$4:B$15,2,FALSE)*AH445,IF(AG445="USD",O445,AH445*Y445))</f>
        <v>5848.0413418337903</v>
      </c>
      <c r="AJ445" s="13">
        <f t="shared" si="148"/>
        <v>0.71976247782558811</v>
      </c>
      <c r="AK445" s="13">
        <f>-IF(AG445="CAD",IFERROR(VLOOKUP(D445,CAARStatus!$A$1:$Y$1600,16,FALSE),0),0)</f>
        <v>-7240.4</v>
      </c>
      <c r="AL445" s="13">
        <f>-IF(AG445="USD",IFERROR(VLOOKUP(D445,CAARStatus!$A$1:$Y$1600,11,FALSE),0),0)</f>
        <v>0</v>
      </c>
      <c r="AM445" s="22">
        <f t="shared" si="149"/>
        <v>884.5600000000004</v>
      </c>
      <c r="AN445" s="12" t="str">
        <f t="shared" si="150"/>
        <v/>
      </c>
      <c r="AO445" s="12" t="str">
        <f t="shared" si="151"/>
        <v>Yes</v>
      </c>
      <c r="AP445" t="str">
        <f t="shared" si="136"/>
        <v>XX</v>
      </c>
      <c r="AQ445" t="str">
        <f>IFERROR(VLOOKUP(Z445,InvBal!$L$4:$P$600,4,FALSE),"Pend")</f>
        <v>Yes</v>
      </c>
      <c r="AR445" t="str">
        <f>IFERROR(VLOOKUP(D445,Manual!$C$1:$E$22,2,FALSE),"Pend")</f>
        <v>Pend</v>
      </c>
      <c r="AS445" t="str">
        <f t="shared" si="152"/>
        <v>Yes</v>
      </c>
      <c r="AT445" t="str">
        <f t="shared" si="153"/>
        <v>Yes</v>
      </c>
      <c r="AU445" s="51" t="str">
        <f t="shared" si="154"/>
        <v>Yes</v>
      </c>
      <c r="AV445" s="12">
        <f>IFERROR(VLOOKUP(D445,'Receivable Invoice Detail'!$S$1:$U$3014,3,FALSE),0)</f>
        <v>0</v>
      </c>
      <c r="AW445" s="12">
        <f t="shared" si="155"/>
        <v>5848.0413418337903</v>
      </c>
    </row>
    <row r="446" spans="1:49" x14ac:dyDescent="0.25">
      <c r="A446" s="2"/>
      <c r="B446" s="2"/>
      <c r="C446" s="2"/>
      <c r="D446" s="2" t="s">
        <v>2681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>
        <f t="shared" si="137"/>
        <v>2</v>
      </c>
      <c r="U446" s="18">
        <f t="shared" si="138"/>
        <v>4</v>
      </c>
      <c r="V446" s="18">
        <f t="shared" si="139"/>
        <v>2025</v>
      </c>
      <c r="W446" s="18">
        <f t="shared" si="140"/>
        <v>7</v>
      </c>
      <c r="X446" s="18">
        <f t="shared" si="141"/>
        <v>2025</v>
      </c>
      <c r="Y446" s="2">
        <f t="shared" si="134"/>
        <v>0.71976247782558811</v>
      </c>
      <c r="Z446" t="str">
        <f t="shared" si="135"/>
        <v>SO17017</v>
      </c>
      <c r="AA446" s="11">
        <f t="shared" si="142"/>
        <v>45770.508576388893</v>
      </c>
      <c r="AB446" s="5" t="str">
        <f t="shared" si="143"/>
        <v>INV13032</v>
      </c>
      <c r="AC446" s="5" t="str">
        <f>IFERROR(VLOOKUP(D446,CAARStatus!$A$2:$AA$1600,22,FALSE),"Not invoiced")</f>
        <v>Paid</v>
      </c>
      <c r="AD446" s="11">
        <f>IF(AC446="Paid",IFERROR(VLOOKUP(D446,CAARStatus!$A$2:$AA$1600,6,FALSE),"Pending"),"Pending")</f>
        <v>45849</v>
      </c>
      <c r="AE446" s="5" t="str">
        <f t="shared" si="144"/>
        <v>4500572502</v>
      </c>
      <c r="AF446" s="5" t="str">
        <f t="shared" si="145"/>
        <v>Glencore Canada Corporation - Rouyn-Noranda</v>
      </c>
      <c r="AG446" s="5" t="str">
        <f t="shared" si="146"/>
        <v>CAD</v>
      </c>
      <c r="AH446" s="5">
        <f t="shared" si="147"/>
        <v>0</v>
      </c>
      <c r="AI446" s="12">
        <f>IF(L446-N446=0,VLOOKUP(U446,rate!A$4:B$15,2,FALSE)*AH446,IF(AG446="USD",O446,AH446*Y446))</f>
        <v>0</v>
      </c>
      <c r="AJ446" s="13">
        <f t="shared" si="148"/>
        <v>0</v>
      </c>
      <c r="AK446" s="13">
        <f>-IF(AG446="CAD",IFERROR(VLOOKUP(D446,CAARStatus!$A$1:$Y$1600,16,FALSE),0),0)</f>
        <v>-884.56</v>
      </c>
      <c r="AL446" s="13">
        <f>-IF(AG446="USD",IFERROR(VLOOKUP(D446,CAARStatus!$A$1:$Y$1600,11,FALSE),0),0)</f>
        <v>0</v>
      </c>
      <c r="AM446" s="22">
        <f t="shared" si="149"/>
        <v>-884.56</v>
      </c>
      <c r="AN446" s="12" t="str">
        <f t="shared" si="150"/>
        <v/>
      </c>
      <c r="AO446" s="12" t="str">
        <f t="shared" si="151"/>
        <v>Yes</v>
      </c>
      <c r="AP446" t="str">
        <f t="shared" si="136"/>
        <v>XX</v>
      </c>
      <c r="AQ446" t="str">
        <f>IFERROR(VLOOKUP(Z446,InvBal!$L$4:$P$600,4,FALSE),"Pend")</f>
        <v>Yes</v>
      </c>
      <c r="AR446" t="str">
        <f>IFERROR(VLOOKUP(D446,Manual!$C$1:$E$22,2,FALSE),"Pend")</f>
        <v>Pend</v>
      </c>
      <c r="AS446" t="str">
        <f t="shared" si="152"/>
        <v>Yes</v>
      </c>
      <c r="AT446" t="str">
        <f t="shared" si="153"/>
        <v/>
      </c>
      <c r="AU446" s="51" t="str">
        <f t="shared" si="154"/>
        <v/>
      </c>
      <c r="AV446" s="12">
        <f>IFERROR(VLOOKUP(D446,'Receivable Invoice Detail'!$S$1:$U$3014,3,FALSE),0)</f>
        <v>0</v>
      </c>
      <c r="AW446" s="12">
        <f t="shared" si="155"/>
        <v>0</v>
      </c>
    </row>
    <row r="447" spans="1:49" ht="30" x14ac:dyDescent="0.25">
      <c r="A447" s="2">
        <v>1</v>
      </c>
      <c r="B447" s="2" t="s">
        <v>1554</v>
      </c>
      <c r="C447" s="2" t="s">
        <v>1555</v>
      </c>
      <c r="D447" s="2" t="s">
        <v>2683</v>
      </c>
      <c r="E447" s="2" t="s">
        <v>290</v>
      </c>
      <c r="F447" s="3">
        <v>45770.681898148148</v>
      </c>
      <c r="G447" s="3">
        <v>45770.682696759257</v>
      </c>
      <c r="H447" s="4">
        <v>45771</v>
      </c>
      <c r="I447" s="2" t="s">
        <v>21</v>
      </c>
      <c r="J447" s="2" t="s">
        <v>22</v>
      </c>
      <c r="K447" s="2">
        <v>1</v>
      </c>
      <c r="L447" s="2">
        <v>1973.54</v>
      </c>
      <c r="M447" s="2">
        <v>0</v>
      </c>
      <c r="N447" s="2">
        <v>1420.4800404879111</v>
      </c>
      <c r="O447" s="2">
        <v>1879.56</v>
      </c>
      <c r="P447" s="2">
        <v>93.98</v>
      </c>
      <c r="Q447" s="2">
        <v>1973.54</v>
      </c>
      <c r="R447" s="2" t="s">
        <v>44</v>
      </c>
      <c r="S447" s="2"/>
      <c r="T447" s="2">
        <f t="shared" si="137"/>
        <v>1</v>
      </c>
      <c r="U447" s="18">
        <f t="shared" si="138"/>
        <v>4</v>
      </c>
      <c r="V447" s="18">
        <f t="shared" si="139"/>
        <v>2025</v>
      </c>
      <c r="W447" s="18">
        <f t="shared" si="140"/>
        <v>6</v>
      </c>
      <c r="X447" s="18">
        <f t="shared" si="141"/>
        <v>2025</v>
      </c>
      <c r="Y447" s="2">
        <f t="shared" si="134"/>
        <v>0.71976247782558811</v>
      </c>
      <c r="Z447" t="str">
        <f t="shared" si="135"/>
        <v>SO17020</v>
      </c>
      <c r="AA447" s="11">
        <f t="shared" si="142"/>
        <v>45770.681898148148</v>
      </c>
      <c r="AB447" s="5" t="str">
        <f t="shared" si="143"/>
        <v>INV12911</v>
      </c>
      <c r="AC447" s="5" t="str">
        <f>IFERROR(VLOOKUP(D447,CAARStatus!$A$2:$AA$1600,22,FALSE),"Not invoiced")</f>
        <v>Paid</v>
      </c>
      <c r="AD447" s="11">
        <f>IF(AC447="Paid",IFERROR(VLOOKUP(D447,CAARStatus!$A$2:$AA$1600,6,FALSE),"Pending"),"Pending")</f>
        <v>45831</v>
      </c>
      <c r="AE447" s="5" t="str">
        <f t="shared" si="144"/>
        <v>4500592998</v>
      </c>
      <c r="AF447" s="5" t="str">
        <f t="shared" si="145"/>
        <v>Resolute Forest Products - Kenogami</v>
      </c>
      <c r="AG447" s="5" t="str">
        <f t="shared" si="146"/>
        <v>CAD</v>
      </c>
      <c r="AH447" s="5">
        <f t="shared" si="147"/>
        <v>1879.56</v>
      </c>
      <c r="AI447" s="12">
        <f>IF(L447-N447=0,VLOOKUP(U447,rate!A$4:B$15,2,FALSE)*AH447,IF(AG447="USD",O447,AH447*Y447))</f>
        <v>1352.8367628218623</v>
      </c>
      <c r="AJ447" s="13">
        <f t="shared" si="148"/>
        <v>0.71976247782558811</v>
      </c>
      <c r="AK447" s="13">
        <f>-IF(AG447="CAD",IFERROR(VLOOKUP(D447,CAARStatus!$A$1:$Y$1600,16,FALSE),0),0)</f>
        <v>-1879.56</v>
      </c>
      <c r="AL447" s="13">
        <f>-IF(AG447="USD",IFERROR(VLOOKUP(D447,CAARStatus!$A$1:$Y$1600,11,FALSE),0),0)</f>
        <v>0</v>
      </c>
      <c r="AM447" s="22">
        <f t="shared" si="149"/>
        <v>0</v>
      </c>
      <c r="AN447" s="12" t="str">
        <f t="shared" si="150"/>
        <v/>
      </c>
      <c r="AO447" s="12" t="str">
        <f t="shared" si="151"/>
        <v>Yes</v>
      </c>
      <c r="AP447" t="str">
        <f t="shared" si="136"/>
        <v>Yes</v>
      </c>
      <c r="AQ447" t="str">
        <f>IFERROR(VLOOKUP(Z447,InvBal!$L$4:$P$600,4,FALSE),"Pend")</f>
        <v>Pend</v>
      </c>
      <c r="AR447" t="str">
        <f>IFERROR(VLOOKUP(D447,Manual!$C$1:$E$22,2,FALSE),"Pend")</f>
        <v>Pend</v>
      </c>
      <c r="AS447" t="str">
        <f t="shared" si="152"/>
        <v>Yes</v>
      </c>
      <c r="AT447" t="str">
        <f t="shared" si="153"/>
        <v>Yes</v>
      </c>
      <c r="AU447" s="51" t="str">
        <f t="shared" si="154"/>
        <v>Yes</v>
      </c>
      <c r="AV447" s="12">
        <f>IFERROR(VLOOKUP(D447,'Receivable Invoice Detail'!$S$1:$U$3014,3,FALSE),0)</f>
        <v>0</v>
      </c>
      <c r="AW447" s="12">
        <f t="shared" si="155"/>
        <v>1352.8367628218623</v>
      </c>
    </row>
    <row r="448" spans="1:49" x14ac:dyDescent="0.25">
      <c r="A448" s="2">
        <v>1</v>
      </c>
      <c r="B448" s="2" t="s">
        <v>1532</v>
      </c>
      <c r="C448" s="2" t="s">
        <v>1533</v>
      </c>
      <c r="D448" s="2" t="s">
        <v>2695</v>
      </c>
      <c r="E448" s="2" t="s">
        <v>176</v>
      </c>
      <c r="F448" s="3">
        <v>45771.402673611112</v>
      </c>
      <c r="G448" s="3">
        <v>45772.52107638889</v>
      </c>
      <c r="H448" s="4">
        <v>45775</v>
      </c>
      <c r="I448" s="2" t="s">
        <v>21</v>
      </c>
      <c r="J448" s="2" t="s">
        <v>22</v>
      </c>
      <c r="K448" s="2">
        <v>1</v>
      </c>
      <c r="L448" s="2">
        <v>474.46</v>
      </c>
      <c r="M448" s="2">
        <v>0</v>
      </c>
      <c r="N448" s="2">
        <v>342.36794756113471</v>
      </c>
      <c r="O448" s="2">
        <v>419.88</v>
      </c>
      <c r="P448" s="2">
        <v>54.58</v>
      </c>
      <c r="Q448" s="2">
        <v>474.46</v>
      </c>
      <c r="R448" s="2" t="s">
        <v>44</v>
      </c>
      <c r="S448" s="2"/>
      <c r="T448" s="2">
        <f t="shared" si="137"/>
        <v>1</v>
      </c>
      <c r="U448" s="18">
        <f t="shared" si="138"/>
        <v>4</v>
      </c>
      <c r="V448" s="18">
        <f t="shared" si="139"/>
        <v>2025</v>
      </c>
      <c r="W448" s="18">
        <f t="shared" si="140"/>
        <v>4</v>
      </c>
      <c r="X448" s="18">
        <f t="shared" si="141"/>
        <v>2025</v>
      </c>
      <c r="Y448" s="2">
        <f t="shared" si="134"/>
        <v>0.72159496598477157</v>
      </c>
      <c r="Z448" t="str">
        <f t="shared" si="135"/>
        <v>SO17022</v>
      </c>
      <c r="AA448" s="11">
        <f t="shared" si="142"/>
        <v>45771.402673611112</v>
      </c>
      <c r="AB448" s="5" t="str">
        <f t="shared" si="143"/>
        <v>INV12926</v>
      </c>
      <c r="AC448" s="5" t="str">
        <f>IFERROR(VLOOKUP(D448,CAARStatus!$A$2:$AA$1600,22,FALSE),"Not invoiced")</f>
        <v>Paid</v>
      </c>
      <c r="AD448" s="11">
        <f>IF(AC448="Paid",IFERROR(VLOOKUP(D448,CAARStatus!$A$2:$AA$1600,6,FALSE),"Pending"),"Pending")</f>
        <v>45772</v>
      </c>
      <c r="AE448" s="5" t="str">
        <f t="shared" si="144"/>
        <v>P-04252593</v>
      </c>
      <c r="AF448" s="5" t="str">
        <f t="shared" si="145"/>
        <v>Industrial Pump Repair Canada</v>
      </c>
      <c r="AG448" s="5" t="str">
        <f t="shared" si="146"/>
        <v>CAD</v>
      </c>
      <c r="AH448" s="5">
        <f t="shared" si="147"/>
        <v>419.88</v>
      </c>
      <c r="AI448" s="12">
        <f>IF(L448-N448=0,VLOOKUP(U448,rate!A$4:B$15,2,FALSE)*AH448,IF(AG448="USD",O448,AH448*Y448))</f>
        <v>302.98329431768587</v>
      </c>
      <c r="AJ448" s="13">
        <f t="shared" si="148"/>
        <v>0.72159496598477157</v>
      </c>
      <c r="AK448" s="13">
        <f>-IF(AG448="CAD",IFERROR(VLOOKUP(D448,CAARStatus!$A$1:$Y$1600,16,FALSE),0),0)</f>
        <v>-419.88</v>
      </c>
      <c r="AL448" s="13">
        <f>-IF(AG448="USD",IFERROR(VLOOKUP(D448,CAARStatus!$A$1:$Y$1600,11,FALSE),0),0)</f>
        <v>0</v>
      </c>
      <c r="AM448" s="22">
        <f t="shared" si="149"/>
        <v>0</v>
      </c>
      <c r="AN448" s="12" t="str">
        <f t="shared" si="150"/>
        <v/>
      </c>
      <c r="AO448" s="12" t="str">
        <f t="shared" si="151"/>
        <v>Yes</v>
      </c>
      <c r="AP448" t="str">
        <f t="shared" si="136"/>
        <v>Yes</v>
      </c>
      <c r="AQ448" t="str">
        <f>IFERROR(VLOOKUP(Z448,InvBal!$L$4:$P$600,4,FALSE),"Pend")</f>
        <v>Pend</v>
      </c>
      <c r="AR448" t="str">
        <f>IFERROR(VLOOKUP(D448,Manual!$C$1:$E$22,2,FALSE),"Pend")</f>
        <v>Pend</v>
      </c>
      <c r="AS448" t="str">
        <f t="shared" si="152"/>
        <v>Yes</v>
      </c>
      <c r="AT448" t="str">
        <f t="shared" si="153"/>
        <v>Yes</v>
      </c>
      <c r="AU448" s="51" t="str">
        <f t="shared" si="154"/>
        <v>Yes</v>
      </c>
      <c r="AV448" s="12">
        <f>IFERROR(VLOOKUP(D448,'Receivable Invoice Detail'!$S$1:$U$3014,3,FALSE),0)</f>
        <v>0</v>
      </c>
      <c r="AW448" s="12">
        <f t="shared" si="155"/>
        <v>302.98329431768587</v>
      </c>
    </row>
    <row r="449" spans="1:49" ht="30" x14ac:dyDescent="0.25">
      <c r="A449" s="2">
        <v>1</v>
      </c>
      <c r="B449" s="2" t="s">
        <v>1552</v>
      </c>
      <c r="C449" s="2" t="s">
        <v>1553</v>
      </c>
      <c r="D449" s="2" t="s">
        <v>2684</v>
      </c>
      <c r="E449" s="2" t="s">
        <v>159</v>
      </c>
      <c r="F449" s="3">
        <v>45771.414398148147</v>
      </c>
      <c r="G449" s="3">
        <v>45771.414398148147</v>
      </c>
      <c r="H449" s="4">
        <v>45807</v>
      </c>
      <c r="I449" s="2" t="s">
        <v>40</v>
      </c>
      <c r="J449" s="2" t="s">
        <v>51</v>
      </c>
      <c r="K449" s="2">
        <v>0.71976247782558811</v>
      </c>
      <c r="L449" s="2">
        <v>1750.5775013536081</v>
      </c>
      <c r="M449" s="2">
        <v>0</v>
      </c>
      <c r="N449" s="2">
        <v>1260</v>
      </c>
      <c r="O449" s="2">
        <v>1260</v>
      </c>
      <c r="P449" s="2"/>
      <c r="Q449" s="2">
        <v>1260</v>
      </c>
      <c r="R449" s="2" t="s">
        <v>44</v>
      </c>
      <c r="S449" s="2"/>
      <c r="T449" s="2">
        <f t="shared" si="137"/>
        <v>1</v>
      </c>
      <c r="U449" s="18">
        <f t="shared" si="138"/>
        <v>4</v>
      </c>
      <c r="V449" s="18">
        <f t="shared" si="139"/>
        <v>2025</v>
      </c>
      <c r="W449" s="18">
        <f t="shared" si="140"/>
        <v>7</v>
      </c>
      <c r="X449" s="18">
        <f t="shared" si="141"/>
        <v>2025</v>
      </c>
      <c r="Y449" s="2">
        <f t="shared" si="134"/>
        <v>0.71976247782558822</v>
      </c>
      <c r="Z449" t="str">
        <f t="shared" si="135"/>
        <v>SO17024</v>
      </c>
      <c r="AA449" s="11">
        <f t="shared" si="142"/>
        <v>45771.414398148147</v>
      </c>
      <c r="AB449" s="5" t="str">
        <f t="shared" si="143"/>
        <v>INV13067</v>
      </c>
      <c r="AC449" s="5" t="str">
        <f>IFERROR(VLOOKUP(D449,CAARStatus!$A$2:$AA$1600,22,FALSE),"Not invoiced")</f>
        <v>Paid</v>
      </c>
      <c r="AD449" s="11">
        <f>IF(AC449="Paid",IFERROR(VLOOKUP(D449,CAARStatus!$A$2:$AA$1600,6,FALSE),"Pending"),"Pending")</f>
        <v>45863</v>
      </c>
      <c r="AE449" s="5" t="str">
        <f t="shared" si="144"/>
        <v>4501182469</v>
      </c>
      <c r="AF449" s="5" t="str">
        <f t="shared" si="145"/>
        <v>Barrick Gold - Pueblo Viejo Dominicana Corporation</v>
      </c>
      <c r="AG449" s="5" t="str">
        <f t="shared" si="146"/>
        <v>USD</v>
      </c>
      <c r="AH449" s="5">
        <f t="shared" si="147"/>
        <v>1750.5775013536083</v>
      </c>
      <c r="AI449" s="12">
        <f>IF(L449-N449=0,VLOOKUP(U449,rate!A$4:B$15,2,FALSE)*AH449,IF(AG449="USD",O449,AH449*Y449))</f>
        <v>1260</v>
      </c>
      <c r="AJ449" s="13">
        <f t="shared" si="148"/>
        <v>0.71976247782558811</v>
      </c>
      <c r="AK449" s="13">
        <f>-IF(AG449="CAD",IFERROR(VLOOKUP(D449,CAARStatus!$A$1:$Y$1600,16,FALSE),0),0)</f>
        <v>0</v>
      </c>
      <c r="AL449" s="13">
        <f>-IF(AG449="USD",IFERROR(VLOOKUP(D449,CAARStatus!$A$1:$Y$1600,11,FALSE),0),0)</f>
        <v>-1260</v>
      </c>
      <c r="AM449" s="22" t="str">
        <f t="shared" si="149"/>
        <v/>
      </c>
      <c r="AN449" s="12">
        <f t="shared" si="150"/>
        <v>0</v>
      </c>
      <c r="AO449" s="12" t="str">
        <f t="shared" si="151"/>
        <v>Yes</v>
      </c>
      <c r="AP449" t="str">
        <f t="shared" si="136"/>
        <v>Yes</v>
      </c>
      <c r="AQ449" t="str">
        <f>IFERROR(VLOOKUP(Z449,InvBal!$L$4:$P$600,4,FALSE),"Pend")</f>
        <v>Pend</v>
      </c>
      <c r="AR449" t="str">
        <f>IFERROR(VLOOKUP(D449,Manual!$C$1:$E$22,2,FALSE),"Pend")</f>
        <v>Pend</v>
      </c>
      <c r="AS449" t="str">
        <f t="shared" si="152"/>
        <v>Yes</v>
      </c>
      <c r="AT449" t="str">
        <f t="shared" si="153"/>
        <v>Yes</v>
      </c>
      <c r="AU449" s="51" t="str">
        <f t="shared" si="154"/>
        <v>Yes</v>
      </c>
      <c r="AV449" s="12">
        <f>IFERROR(VLOOKUP(D449,'Receivable Invoice Detail'!$S$1:$U$3014,3,FALSE),0)</f>
        <v>0</v>
      </c>
      <c r="AW449" s="12">
        <f t="shared" si="155"/>
        <v>1260</v>
      </c>
    </row>
    <row r="450" spans="1:49" ht="30" x14ac:dyDescent="0.25">
      <c r="A450" s="2">
        <v>1</v>
      </c>
      <c r="B450" s="2" t="s">
        <v>1550</v>
      </c>
      <c r="C450" s="2" t="s">
        <v>1551</v>
      </c>
      <c r="D450" s="2" t="s">
        <v>2685</v>
      </c>
      <c r="E450" s="2" t="s">
        <v>159</v>
      </c>
      <c r="F450" s="3">
        <v>45771.48233796296</v>
      </c>
      <c r="G450" s="3">
        <v>45771.484618055547</v>
      </c>
      <c r="H450" s="4">
        <v>45771</v>
      </c>
      <c r="I450" s="2" t="s">
        <v>40</v>
      </c>
      <c r="J450" s="2" t="s">
        <v>51</v>
      </c>
      <c r="K450" s="2">
        <v>0.71976247782558811</v>
      </c>
      <c r="L450" s="2">
        <v>10352.63747356058</v>
      </c>
      <c r="M450" s="2">
        <v>0</v>
      </c>
      <c r="N450" s="2">
        <v>7451.44</v>
      </c>
      <c r="O450" s="2">
        <v>7451.44</v>
      </c>
      <c r="P450" s="2"/>
      <c r="Q450" s="2">
        <v>7451.44</v>
      </c>
      <c r="R450" s="2" t="s">
        <v>44</v>
      </c>
      <c r="S450" s="2"/>
      <c r="T450" s="2">
        <f t="shared" si="137"/>
        <v>1</v>
      </c>
      <c r="U450" s="18">
        <f t="shared" si="138"/>
        <v>4</v>
      </c>
      <c r="V450" s="18">
        <f t="shared" si="139"/>
        <v>2025</v>
      </c>
      <c r="W450" s="18">
        <f t="shared" si="140"/>
        <v>6</v>
      </c>
      <c r="X450" s="18">
        <f t="shared" si="141"/>
        <v>2025</v>
      </c>
      <c r="Y450" s="2">
        <f t="shared" ref="Y450:Y513" si="156">IF(C450="",Y449,N450/L450)</f>
        <v>0.71976247782558811</v>
      </c>
      <c r="Z450" t="str">
        <f t="shared" ref="Z450:Z513" si="157">IF(B450="",Z449,B450)</f>
        <v>SO17025</v>
      </c>
      <c r="AA450" s="11">
        <f t="shared" si="142"/>
        <v>45771.48233796296</v>
      </c>
      <c r="AB450" s="5" t="str">
        <f t="shared" si="143"/>
        <v>INV12909</v>
      </c>
      <c r="AC450" s="5" t="str">
        <f>IFERROR(VLOOKUP(D450,CAARStatus!$A$2:$AA$1600,22,FALSE),"Not invoiced")</f>
        <v>Paid</v>
      </c>
      <c r="AD450" s="11">
        <f>IF(AC450="Paid",IFERROR(VLOOKUP(D450,CAARStatus!$A$2:$AA$1600,6,FALSE),"Pending"),"Pending")</f>
        <v>45814</v>
      </c>
      <c r="AE450" s="5" t="str">
        <f t="shared" si="144"/>
        <v>4501171770</v>
      </c>
      <c r="AF450" s="5" t="str">
        <f t="shared" si="145"/>
        <v>Barrick Gold - Pueblo Viejo Dominicana Corporation</v>
      </c>
      <c r="AG450" s="5" t="str">
        <f t="shared" si="146"/>
        <v>USD</v>
      </c>
      <c r="AH450" s="5">
        <f t="shared" si="147"/>
        <v>10352.63747356058</v>
      </c>
      <c r="AI450" s="12">
        <f>IF(L450-N450=0,VLOOKUP(U450,rate!A$4:B$15,2,FALSE)*AH450,IF(AG450="USD",O450,AH450*Y450))</f>
        <v>7451.44</v>
      </c>
      <c r="AJ450" s="13">
        <f t="shared" si="148"/>
        <v>0.71976247782558811</v>
      </c>
      <c r="AK450" s="13">
        <f>-IF(AG450="CAD",IFERROR(VLOOKUP(D450,CAARStatus!$A$1:$Y$1600,16,FALSE),0),0)</f>
        <v>0</v>
      </c>
      <c r="AL450" s="13">
        <f>-IF(AG450="USD",IFERROR(VLOOKUP(D450,CAARStatus!$A$1:$Y$1600,11,FALSE),0),0)</f>
        <v>-7451.44</v>
      </c>
      <c r="AM450" s="22" t="str">
        <f t="shared" si="149"/>
        <v/>
      </c>
      <c r="AN450" s="12">
        <f t="shared" si="150"/>
        <v>0</v>
      </c>
      <c r="AO450" s="12" t="str">
        <f t="shared" si="151"/>
        <v>Yes</v>
      </c>
      <c r="AP450" t="str">
        <f t="shared" ref="AP450:AP513" si="158">IF(AND(AO450="Pend",T450&lt;2),"Pend",IF(T450=1,"Yes","XX"))</f>
        <v>Yes</v>
      </c>
      <c r="AQ450" t="str">
        <f>IFERROR(VLOOKUP(Z450,InvBal!$L$4:$P$600,4,FALSE),"Pend")</f>
        <v>Pend</v>
      </c>
      <c r="AR450" t="str">
        <f>IFERROR(VLOOKUP(D450,Manual!$C$1:$E$22,2,FALSE),"Pend")</f>
        <v>Pend</v>
      </c>
      <c r="AS450" t="str">
        <f t="shared" si="152"/>
        <v>Yes</v>
      </c>
      <c r="AT450" t="str">
        <f t="shared" si="153"/>
        <v>Yes</v>
      </c>
      <c r="AU450" s="51" t="str">
        <f t="shared" si="154"/>
        <v>Yes</v>
      </c>
      <c r="AV450" s="12">
        <f>IFERROR(VLOOKUP(D450,'Receivable Invoice Detail'!$S$1:$U$3014,3,FALSE),0)</f>
        <v>0</v>
      </c>
      <c r="AW450" s="12">
        <f t="shared" si="155"/>
        <v>7451.44</v>
      </c>
    </row>
    <row r="451" spans="1:49" x14ac:dyDescent="0.25">
      <c r="A451" s="2">
        <v>1</v>
      </c>
      <c r="B451" s="2" t="s">
        <v>1546</v>
      </c>
      <c r="C451" s="2" t="s">
        <v>1547</v>
      </c>
      <c r="D451" s="2" t="s">
        <v>2687</v>
      </c>
      <c r="E451" s="2" t="s">
        <v>229</v>
      </c>
      <c r="F451" s="3">
        <v>45771.531273148154</v>
      </c>
      <c r="G451" s="3">
        <v>45771.606469907398</v>
      </c>
      <c r="H451" s="4">
        <v>45772</v>
      </c>
      <c r="I451" s="2" t="s">
        <v>21</v>
      </c>
      <c r="J451" s="2" t="s">
        <v>22</v>
      </c>
      <c r="K451" s="2">
        <v>1</v>
      </c>
      <c r="L451" s="2">
        <v>312.77</v>
      </c>
      <c r="M451" s="2">
        <v>0</v>
      </c>
      <c r="N451" s="2">
        <v>225.16069506921511</v>
      </c>
      <c r="O451" s="2">
        <v>297.88</v>
      </c>
      <c r="P451" s="2">
        <v>14.89</v>
      </c>
      <c r="Q451" s="2">
        <v>312.77</v>
      </c>
      <c r="R451" s="2" t="s">
        <v>44</v>
      </c>
      <c r="S451" s="2"/>
      <c r="T451" s="2">
        <f t="shared" ref="T451:T514" si="159">IF(A451="",T450,A451)</f>
        <v>1</v>
      </c>
      <c r="U451" s="18">
        <f t="shared" ref="U451:U514" si="160">IF(F451="",U450,MONTH(F451))</f>
        <v>4</v>
      </c>
      <c r="V451" s="18">
        <f t="shared" ref="V451:V514" si="161">IF(F451="",V450,YEAR(F451))</f>
        <v>2025</v>
      </c>
      <c r="W451" s="18">
        <f t="shared" ref="W451:W514" si="162">IF(AC451="Paid",MONTH(AD451),"")</f>
        <v>6</v>
      </c>
      <c r="X451" s="18">
        <f t="shared" ref="X451:X514" si="163">IF(AC451="Paid",YEAR(AD451),"")</f>
        <v>2025</v>
      </c>
      <c r="Y451" s="2">
        <f t="shared" si="156"/>
        <v>0.71989223732843666</v>
      </c>
      <c r="Z451" t="str">
        <f t="shared" si="157"/>
        <v>SO17026</v>
      </c>
      <c r="AA451" s="11">
        <f t="shared" ref="AA451:AA514" si="164">IF(F451="",AA450,F451)</f>
        <v>45771.531273148154</v>
      </c>
      <c r="AB451" s="5" t="str">
        <f t="shared" ref="AB451:AB514" si="165">IF(D451="","No Inv",D451)</f>
        <v>INV12931</v>
      </c>
      <c r="AC451" s="5" t="str">
        <f>IFERROR(VLOOKUP(D451,CAARStatus!$A$2:$AA$1600,22,FALSE),"Not invoiced")</f>
        <v>Paid</v>
      </c>
      <c r="AD451" s="11">
        <f>IF(AC451="Paid",IFERROR(VLOOKUP(D451,CAARStatus!$A$2:$AA$1600,6,FALSE),"Pending"),"Pending")</f>
        <v>45812</v>
      </c>
      <c r="AE451" s="5" t="str">
        <f t="shared" ref="AE451:AE514" si="166">IF(C451="",AE450,C451)</f>
        <v>2100560417</v>
      </c>
      <c r="AF451" s="5" t="str">
        <f t="shared" ref="AF451:AF514" si="167">IF(E451="",AF450,E451)</f>
        <v>Wajax Limited - Lachine</v>
      </c>
      <c r="AG451" s="5" t="str">
        <f t="shared" ref="AG451:AG514" si="168">IF(J451="",AG450,J451)</f>
        <v>CAD</v>
      </c>
      <c r="AH451" s="5">
        <f t="shared" ref="AH451:AH514" si="169">IFERROR(IF(AG451="CAD",O451,O451/K451),0)</f>
        <v>297.88</v>
      </c>
      <c r="AI451" s="12">
        <f>IF(L451-N451=0,VLOOKUP(U451,rate!A$4:B$15,2,FALSE)*AH451,IF(AG451="USD",O451,AH451*Y451))</f>
        <v>214.44149965539472</v>
      </c>
      <c r="AJ451" s="13">
        <f t="shared" ref="AJ451:AJ514" si="170">IFERROR(AI451/AH451,0)</f>
        <v>0.71989223732843666</v>
      </c>
      <c r="AK451" s="13">
        <f>-IF(AG451="CAD",IFERROR(VLOOKUP(D451,CAARStatus!$A$1:$Y$1600,16,FALSE),0),0)</f>
        <v>-297.88</v>
      </c>
      <c r="AL451" s="13">
        <f>-IF(AG451="USD",IFERROR(VLOOKUP(D451,CAARStatus!$A$1:$Y$1600,11,FALSE),0),0)</f>
        <v>0</v>
      </c>
      <c r="AM451" s="22">
        <f t="shared" ref="AM451:AM514" si="171">IF(AG451="CAD",AH451+AK451,"")</f>
        <v>0</v>
      </c>
      <c r="AN451" s="12" t="str">
        <f t="shared" ref="AN451:AN514" si="172">IF(AG451="USD",AI451+AL451,"")</f>
        <v/>
      </c>
      <c r="AO451" s="12" t="str">
        <f t="shared" ref="AO451:AO514" si="173">IF(AC451="Paid","Yes","Pend")</f>
        <v>Yes</v>
      </c>
      <c r="AP451" t="str">
        <f t="shared" si="158"/>
        <v>Yes</v>
      </c>
      <c r="AQ451" t="str">
        <f>IFERROR(VLOOKUP(Z451,InvBal!$L$4:$P$600,4,FALSE),"Pend")</f>
        <v>Pend</v>
      </c>
      <c r="AR451" t="str">
        <f>IFERROR(VLOOKUP(D451,Manual!$C$1:$E$22,2,FALSE),"Pend")</f>
        <v>Pend</v>
      </c>
      <c r="AS451" t="str">
        <f t="shared" ref="AS451:AS514" si="174">IF(OR(AP451="Yes",AQ451="Yes",AR451="Yes"),"Yes","")</f>
        <v>Yes</v>
      </c>
      <c r="AT451" t="str">
        <f t="shared" ref="AT451:AT514" si="175">IF(R451="Delivered","Yes","")</f>
        <v>Yes</v>
      </c>
      <c r="AU451" s="51" t="str">
        <f t="shared" ref="AU451:AU514" si="176">IF(AND(AS451="Yes",AT451="Yes"),"Yes","")</f>
        <v>Yes</v>
      </c>
      <c r="AV451" s="12">
        <f>IFERROR(VLOOKUP(D451,'Receivable Invoice Detail'!$S$1:$U$3014,3,FALSE),0)</f>
        <v>0</v>
      </c>
      <c r="AW451" s="12">
        <f t="shared" ref="AW451:AW514" si="177">IF(AU451="Yes",AI451-AV451,0)</f>
        <v>214.44149965539472</v>
      </c>
    </row>
    <row r="452" spans="1:49" ht="30" x14ac:dyDescent="0.25">
      <c r="A452" s="2">
        <v>1</v>
      </c>
      <c r="B452" s="2" t="s">
        <v>1548</v>
      </c>
      <c r="C452" s="2" t="s">
        <v>1549</v>
      </c>
      <c r="D452" s="2" t="s">
        <v>2686</v>
      </c>
      <c r="E452" s="2" t="s">
        <v>159</v>
      </c>
      <c r="F452" s="3">
        <v>45771.557719907411</v>
      </c>
      <c r="G452" s="3">
        <v>45771.559537037043</v>
      </c>
      <c r="H452" s="4">
        <v>45771</v>
      </c>
      <c r="I452" s="2" t="s">
        <v>40</v>
      </c>
      <c r="J452" s="2" t="s">
        <v>51</v>
      </c>
      <c r="K452" s="2">
        <v>0.71976247782558811</v>
      </c>
      <c r="L452" s="2">
        <v>8414.5814578953414</v>
      </c>
      <c r="M452" s="2">
        <v>0</v>
      </c>
      <c r="N452" s="2">
        <v>6056.5</v>
      </c>
      <c r="O452" s="2">
        <v>6056.5</v>
      </c>
      <c r="P452" s="2"/>
      <c r="Q452" s="2">
        <v>6056.5</v>
      </c>
      <c r="R452" s="2" t="s">
        <v>44</v>
      </c>
      <c r="S452" s="2"/>
      <c r="T452" s="2">
        <f t="shared" si="159"/>
        <v>1</v>
      </c>
      <c r="U452" s="18">
        <f t="shared" si="160"/>
        <v>4</v>
      </c>
      <c r="V452" s="18">
        <f t="shared" si="161"/>
        <v>2025</v>
      </c>
      <c r="W452" s="18">
        <f t="shared" si="162"/>
        <v>6</v>
      </c>
      <c r="X452" s="18">
        <f t="shared" si="163"/>
        <v>2025</v>
      </c>
      <c r="Y452" s="2">
        <f t="shared" si="156"/>
        <v>0.719762477825588</v>
      </c>
      <c r="Z452" t="str">
        <f t="shared" si="157"/>
        <v>SO17027</v>
      </c>
      <c r="AA452" s="11">
        <f t="shared" si="164"/>
        <v>45771.557719907411</v>
      </c>
      <c r="AB452" s="5" t="str">
        <f t="shared" si="165"/>
        <v>INV12910</v>
      </c>
      <c r="AC452" s="5" t="str">
        <f>IFERROR(VLOOKUP(D452,CAARStatus!$A$2:$AA$1600,22,FALSE),"Not invoiced")</f>
        <v>Paid</v>
      </c>
      <c r="AD452" s="11">
        <f>IF(AC452="Paid",IFERROR(VLOOKUP(D452,CAARStatus!$A$2:$AA$1600,6,FALSE),"Pending"),"Pending")</f>
        <v>45814</v>
      </c>
      <c r="AE452" s="5" t="str">
        <f t="shared" si="166"/>
        <v>4501171906</v>
      </c>
      <c r="AF452" s="5" t="str">
        <f t="shared" si="167"/>
        <v>Barrick Gold - Pueblo Viejo Dominicana Corporation</v>
      </c>
      <c r="AG452" s="5" t="str">
        <f t="shared" si="168"/>
        <v>USD</v>
      </c>
      <c r="AH452" s="5">
        <f t="shared" si="169"/>
        <v>8414.5814578953414</v>
      </c>
      <c r="AI452" s="12">
        <f>IF(L452-N452=0,VLOOKUP(U452,rate!A$4:B$15,2,FALSE)*AH452,IF(AG452="USD",O452,AH452*Y452))</f>
        <v>6056.5</v>
      </c>
      <c r="AJ452" s="13">
        <f t="shared" si="170"/>
        <v>0.719762477825588</v>
      </c>
      <c r="AK452" s="13">
        <f>-IF(AG452="CAD",IFERROR(VLOOKUP(D452,CAARStatus!$A$1:$Y$1600,16,FALSE),0),0)</f>
        <v>0</v>
      </c>
      <c r="AL452" s="13">
        <f>-IF(AG452="USD",IFERROR(VLOOKUP(D452,CAARStatus!$A$1:$Y$1600,11,FALSE),0),0)</f>
        <v>-6056.5</v>
      </c>
      <c r="AM452" s="22" t="str">
        <f t="shared" si="171"/>
        <v/>
      </c>
      <c r="AN452" s="12">
        <f t="shared" si="172"/>
        <v>0</v>
      </c>
      <c r="AO452" s="12" t="str">
        <f t="shared" si="173"/>
        <v>Yes</v>
      </c>
      <c r="AP452" t="str">
        <f t="shared" si="158"/>
        <v>Yes</v>
      </c>
      <c r="AQ452" t="str">
        <f>IFERROR(VLOOKUP(Z452,InvBal!$L$4:$P$600,4,FALSE),"Pend")</f>
        <v>Pend</v>
      </c>
      <c r="AR452" t="str">
        <f>IFERROR(VLOOKUP(D452,Manual!$C$1:$E$22,2,FALSE),"Pend")</f>
        <v>Pend</v>
      </c>
      <c r="AS452" t="str">
        <f t="shared" si="174"/>
        <v>Yes</v>
      </c>
      <c r="AT452" t="str">
        <f t="shared" si="175"/>
        <v>Yes</v>
      </c>
      <c r="AU452" s="51" t="str">
        <f t="shared" si="176"/>
        <v>Yes</v>
      </c>
      <c r="AV452" s="12">
        <f>IFERROR(VLOOKUP(D452,'Receivable Invoice Detail'!$S$1:$U$3014,3,FALSE),0)</f>
        <v>0</v>
      </c>
      <c r="AW452" s="12">
        <f t="shared" si="177"/>
        <v>6056.5</v>
      </c>
    </row>
    <row r="453" spans="1:49" x14ac:dyDescent="0.25">
      <c r="A453" s="2">
        <v>1</v>
      </c>
      <c r="B453" s="2" t="s">
        <v>1544</v>
      </c>
      <c r="C453" s="2" t="s">
        <v>1545</v>
      </c>
      <c r="D453" s="2" t="s">
        <v>2688</v>
      </c>
      <c r="E453" s="2" t="s">
        <v>54</v>
      </c>
      <c r="F453" s="3">
        <v>45771.59275462963</v>
      </c>
      <c r="G453" s="3">
        <v>45771.637384259258</v>
      </c>
      <c r="H453" s="4">
        <v>45772</v>
      </c>
      <c r="I453" s="2" t="s">
        <v>21</v>
      </c>
      <c r="J453" s="2" t="s">
        <v>22</v>
      </c>
      <c r="K453" s="2">
        <v>1</v>
      </c>
      <c r="L453" s="2">
        <v>3697.36</v>
      </c>
      <c r="M453" s="2">
        <v>0</v>
      </c>
      <c r="N453" s="2">
        <v>2661.7007626086688</v>
      </c>
      <c r="O453" s="2">
        <v>3521.29</v>
      </c>
      <c r="P453" s="2">
        <v>176.07</v>
      </c>
      <c r="Q453" s="2">
        <v>3697.36</v>
      </c>
      <c r="R453" s="2" t="s">
        <v>44</v>
      </c>
      <c r="S453" s="2"/>
      <c r="T453" s="2">
        <f t="shared" si="159"/>
        <v>1</v>
      </c>
      <c r="U453" s="18">
        <f t="shared" si="160"/>
        <v>4</v>
      </c>
      <c r="V453" s="18">
        <f t="shared" si="161"/>
        <v>2025</v>
      </c>
      <c r="W453" s="18">
        <f t="shared" si="162"/>
        <v>6</v>
      </c>
      <c r="X453" s="18">
        <f t="shared" si="163"/>
        <v>2025</v>
      </c>
      <c r="Y453" s="2">
        <f t="shared" si="156"/>
        <v>0.71989223732843666</v>
      </c>
      <c r="Z453" t="str">
        <f t="shared" si="157"/>
        <v>SO17028</v>
      </c>
      <c r="AA453" s="11">
        <f t="shared" si="164"/>
        <v>45771.59275462963</v>
      </c>
      <c r="AB453" s="5" t="str">
        <f t="shared" si="165"/>
        <v>INV12933</v>
      </c>
      <c r="AC453" s="5" t="str">
        <f>IFERROR(VLOOKUP(D453,CAARStatus!$A$2:$AA$1600,22,FALSE),"Not invoiced")</f>
        <v>Paid</v>
      </c>
      <c r="AD453" s="11">
        <f>IF(AC453="Paid",IFERROR(VLOOKUP(D453,CAARStatus!$A$2:$AA$1600,6,FALSE),"Pending"),"Pending")</f>
        <v>45821</v>
      </c>
      <c r="AE453" s="5" t="str">
        <f t="shared" si="166"/>
        <v>3145</v>
      </c>
      <c r="AF453" s="5" t="str">
        <f t="shared" si="167"/>
        <v>Les Pompes du St-Laurent Inc.</v>
      </c>
      <c r="AG453" s="5" t="str">
        <f t="shared" si="168"/>
        <v>CAD</v>
      </c>
      <c r="AH453" s="5">
        <f t="shared" si="169"/>
        <v>3521.29</v>
      </c>
      <c r="AI453" s="12">
        <f>IF(L453-N453=0,VLOOKUP(U453,rate!A$4:B$15,2,FALSE)*AH453,IF(AG453="USD",O453,AH453*Y453))</f>
        <v>2534.9493363822507</v>
      </c>
      <c r="AJ453" s="13">
        <f t="shared" si="170"/>
        <v>0.71989223732843666</v>
      </c>
      <c r="AK453" s="13">
        <f>-IF(AG453="CAD",IFERROR(VLOOKUP(D453,CAARStatus!$A$1:$Y$1600,16,FALSE),0),0)</f>
        <v>-3521.29</v>
      </c>
      <c r="AL453" s="13">
        <f>-IF(AG453="USD",IFERROR(VLOOKUP(D453,CAARStatus!$A$1:$Y$1600,11,FALSE),0),0)</f>
        <v>0</v>
      </c>
      <c r="AM453" s="22">
        <f t="shared" si="171"/>
        <v>0</v>
      </c>
      <c r="AN453" s="12" t="str">
        <f t="shared" si="172"/>
        <v/>
      </c>
      <c r="AO453" s="12" t="str">
        <f t="shared" si="173"/>
        <v>Yes</v>
      </c>
      <c r="AP453" t="str">
        <f t="shared" si="158"/>
        <v>Yes</v>
      </c>
      <c r="AQ453" t="str">
        <f>IFERROR(VLOOKUP(Z453,InvBal!$L$4:$P$600,4,FALSE),"Pend")</f>
        <v>Pend</v>
      </c>
      <c r="AR453" t="str">
        <f>IFERROR(VLOOKUP(D453,Manual!$C$1:$E$22,2,FALSE),"Pend")</f>
        <v>Pend</v>
      </c>
      <c r="AS453" t="str">
        <f t="shared" si="174"/>
        <v>Yes</v>
      </c>
      <c r="AT453" t="str">
        <f t="shared" si="175"/>
        <v>Yes</v>
      </c>
      <c r="AU453" s="51" t="str">
        <f t="shared" si="176"/>
        <v>Yes</v>
      </c>
      <c r="AV453" s="12">
        <f>IFERROR(VLOOKUP(D453,'Receivable Invoice Detail'!$S$1:$U$3014,3,FALSE),0)</f>
        <v>0</v>
      </c>
      <c r="AW453" s="12">
        <f t="shared" si="177"/>
        <v>2534.9493363822507</v>
      </c>
    </row>
    <row r="454" spans="1:49" x14ac:dyDescent="0.25">
      <c r="A454" s="2">
        <v>1</v>
      </c>
      <c r="B454" s="2" t="s">
        <v>1528</v>
      </c>
      <c r="C454" s="2" t="s">
        <v>1529</v>
      </c>
      <c r="D454" s="2" t="s">
        <v>2697</v>
      </c>
      <c r="E454" s="2" t="s">
        <v>192</v>
      </c>
      <c r="F454" s="3">
        <v>45772.436273148152</v>
      </c>
      <c r="G454" s="3">
        <v>45772.589108796303</v>
      </c>
      <c r="H454" s="4">
        <v>45775</v>
      </c>
      <c r="I454" s="2" t="s">
        <v>21</v>
      </c>
      <c r="J454" s="2" t="s">
        <v>51</v>
      </c>
      <c r="K454" s="2">
        <v>0.71989223732843666</v>
      </c>
      <c r="L454" s="2">
        <v>8471.5457172204988</v>
      </c>
      <c r="M454" s="2">
        <v>0</v>
      </c>
      <c r="N454" s="2">
        <v>6098.6</v>
      </c>
      <c r="O454" s="2">
        <v>6098.6</v>
      </c>
      <c r="P454" s="2"/>
      <c r="Q454" s="2">
        <v>6098.6</v>
      </c>
      <c r="R454" s="2" t="s">
        <v>44</v>
      </c>
      <c r="S454" s="2"/>
      <c r="T454" s="2">
        <f t="shared" si="159"/>
        <v>1</v>
      </c>
      <c r="U454" s="18">
        <f t="shared" si="160"/>
        <v>4</v>
      </c>
      <c r="V454" s="18">
        <f t="shared" si="161"/>
        <v>2025</v>
      </c>
      <c r="W454" s="18">
        <f t="shared" si="162"/>
        <v>7</v>
      </c>
      <c r="X454" s="18">
        <f t="shared" si="163"/>
        <v>2025</v>
      </c>
      <c r="Y454" s="2">
        <f t="shared" si="156"/>
        <v>0.71989223732843666</v>
      </c>
      <c r="Z454" t="str">
        <f t="shared" si="157"/>
        <v>SO17029</v>
      </c>
      <c r="AA454" s="11">
        <f t="shared" si="164"/>
        <v>45772.436273148152</v>
      </c>
      <c r="AB454" s="5" t="str">
        <f t="shared" si="165"/>
        <v>INV12919</v>
      </c>
      <c r="AC454" s="5" t="str">
        <f>IFERROR(VLOOKUP(D454,CAARStatus!$A$2:$AA$1600,22,FALSE),"Not invoiced")</f>
        <v>Paid</v>
      </c>
      <c r="AD454" s="11">
        <f>IF(AC454="Paid",IFERROR(VLOOKUP(D454,CAARStatus!$A$2:$AA$1600,6,FALSE),"Pending"),"Pending")</f>
        <v>45843</v>
      </c>
      <c r="AE454" s="5" t="str">
        <f t="shared" si="166"/>
        <v>PO-040164</v>
      </c>
      <c r="AF454" s="5" t="str">
        <f t="shared" si="167"/>
        <v>Southeast Pump Specialist, Inc.</v>
      </c>
      <c r="AG454" s="5" t="str">
        <f t="shared" si="168"/>
        <v>USD</v>
      </c>
      <c r="AH454" s="5">
        <f t="shared" si="169"/>
        <v>8471.5457172204988</v>
      </c>
      <c r="AI454" s="12">
        <f>IF(L454-N454=0,VLOOKUP(U454,rate!A$4:B$15,2,FALSE)*AH454,IF(AG454="USD",O454,AH454*Y454))</f>
        <v>6098.6</v>
      </c>
      <c r="AJ454" s="13">
        <f t="shared" si="170"/>
        <v>0.71989223732843666</v>
      </c>
      <c r="AK454" s="13">
        <f>-IF(AG454="CAD",IFERROR(VLOOKUP(D454,CAARStatus!$A$1:$Y$1600,16,FALSE),0),0)</f>
        <v>0</v>
      </c>
      <c r="AL454" s="13">
        <f>-IF(AG454="USD",IFERROR(VLOOKUP(D454,CAARStatus!$A$1:$Y$1600,11,FALSE),0),0)</f>
        <v>-6098.6</v>
      </c>
      <c r="AM454" s="22" t="str">
        <f t="shared" si="171"/>
        <v/>
      </c>
      <c r="AN454" s="12">
        <f t="shared" si="172"/>
        <v>0</v>
      </c>
      <c r="AO454" s="12" t="str">
        <f t="shared" si="173"/>
        <v>Yes</v>
      </c>
      <c r="AP454" t="str">
        <f t="shared" si="158"/>
        <v>Yes</v>
      </c>
      <c r="AQ454" t="str">
        <f>IFERROR(VLOOKUP(Z454,InvBal!$L$4:$P$600,4,FALSE),"Pend")</f>
        <v>Pend</v>
      </c>
      <c r="AR454" t="str">
        <f>IFERROR(VLOOKUP(D454,Manual!$C$1:$E$22,2,FALSE),"Pend")</f>
        <v>Pend</v>
      </c>
      <c r="AS454" t="str">
        <f t="shared" si="174"/>
        <v>Yes</v>
      </c>
      <c r="AT454" t="str">
        <f t="shared" si="175"/>
        <v>Yes</v>
      </c>
      <c r="AU454" s="51" t="str">
        <f t="shared" si="176"/>
        <v>Yes</v>
      </c>
      <c r="AV454" s="12">
        <f>IFERROR(VLOOKUP(D454,'Receivable Invoice Detail'!$S$1:$U$3014,3,FALSE),0)</f>
        <v>562</v>
      </c>
      <c r="AW454" s="12">
        <f t="shared" si="177"/>
        <v>5536.6</v>
      </c>
    </row>
    <row r="455" spans="1:49" x14ac:dyDescent="0.25">
      <c r="A455" s="2">
        <v>1</v>
      </c>
      <c r="B455" s="2" t="s">
        <v>1534</v>
      </c>
      <c r="C455" s="2" t="s">
        <v>1535</v>
      </c>
      <c r="D455" s="2" t="s">
        <v>2694</v>
      </c>
      <c r="E455" s="2" t="s">
        <v>141</v>
      </c>
      <c r="F455" s="3">
        <v>45772.469907407409</v>
      </c>
      <c r="G455" s="3">
        <v>45772.482407407413</v>
      </c>
      <c r="H455" s="4">
        <v>45775</v>
      </c>
      <c r="I455" s="2" t="s">
        <v>21</v>
      </c>
      <c r="J455" s="2" t="s">
        <v>51</v>
      </c>
      <c r="K455" s="2">
        <v>0.71989223732843666</v>
      </c>
      <c r="L455" s="2">
        <v>472.08454596093958</v>
      </c>
      <c r="M455" s="2">
        <v>0</v>
      </c>
      <c r="N455" s="2">
        <v>339.85</v>
      </c>
      <c r="O455" s="2">
        <v>339.85</v>
      </c>
      <c r="P455" s="2"/>
      <c r="Q455" s="2">
        <v>339.85</v>
      </c>
      <c r="R455" s="2" t="s">
        <v>44</v>
      </c>
      <c r="S455" s="2"/>
      <c r="T455" s="2">
        <f t="shared" si="159"/>
        <v>1</v>
      </c>
      <c r="U455" s="18">
        <f t="shared" si="160"/>
        <v>4</v>
      </c>
      <c r="V455" s="18">
        <f t="shared" si="161"/>
        <v>2025</v>
      </c>
      <c r="W455" s="18">
        <f t="shared" si="162"/>
        <v>7</v>
      </c>
      <c r="X455" s="18">
        <f t="shared" si="163"/>
        <v>2025</v>
      </c>
      <c r="Y455" s="2">
        <f t="shared" si="156"/>
        <v>0.71989223732843677</v>
      </c>
      <c r="Z455" t="str">
        <f t="shared" si="157"/>
        <v>SO17030</v>
      </c>
      <c r="AA455" s="11">
        <f t="shared" si="164"/>
        <v>45772.469907407409</v>
      </c>
      <c r="AB455" s="5" t="str">
        <f t="shared" si="165"/>
        <v>INV12922</v>
      </c>
      <c r="AC455" s="5" t="str">
        <f>IFERROR(VLOOKUP(D455,CAARStatus!$A$2:$AA$1600,22,FALSE),"Not invoiced")</f>
        <v>Paid</v>
      </c>
      <c r="AD455" s="11">
        <f>IF(AC455="Paid",IFERROR(VLOOKUP(D455,CAARStatus!$A$2:$AA$1600,6,FALSE),"Pending"),"Pending")</f>
        <v>45840</v>
      </c>
      <c r="AE455" s="5" t="str">
        <f t="shared" si="166"/>
        <v>4511832963</v>
      </c>
      <c r="AF455" s="5" t="str">
        <f t="shared" si="167"/>
        <v>PT Vale Indonesia Tbk.</v>
      </c>
      <c r="AG455" s="5" t="str">
        <f t="shared" si="168"/>
        <v>USD</v>
      </c>
      <c r="AH455" s="5">
        <f t="shared" si="169"/>
        <v>472.08454596093964</v>
      </c>
      <c r="AI455" s="12">
        <f>IF(L455-N455=0,VLOOKUP(U455,rate!A$4:B$15,2,FALSE)*AH455,IF(AG455="USD",O455,AH455*Y455))</f>
        <v>339.85</v>
      </c>
      <c r="AJ455" s="13">
        <f t="shared" si="170"/>
        <v>0.71989223732843666</v>
      </c>
      <c r="AK455" s="13">
        <f>-IF(AG455="CAD",IFERROR(VLOOKUP(D455,CAARStatus!$A$1:$Y$1600,16,FALSE),0),0)</f>
        <v>0</v>
      </c>
      <c r="AL455" s="13">
        <f>-IF(AG455="USD",IFERROR(VLOOKUP(D455,CAARStatus!$A$1:$Y$1600,11,FALSE),0),0)</f>
        <v>-339.85</v>
      </c>
      <c r="AM455" s="22" t="str">
        <f t="shared" si="171"/>
        <v/>
      </c>
      <c r="AN455" s="12">
        <f t="shared" si="172"/>
        <v>0</v>
      </c>
      <c r="AO455" s="12" t="str">
        <f t="shared" si="173"/>
        <v>Yes</v>
      </c>
      <c r="AP455" t="str">
        <f t="shared" si="158"/>
        <v>Yes</v>
      </c>
      <c r="AQ455" t="str">
        <f>IFERROR(VLOOKUP(Z455,InvBal!$L$4:$P$600,4,FALSE),"Pend")</f>
        <v>Pend</v>
      </c>
      <c r="AR455" t="str">
        <f>IFERROR(VLOOKUP(D455,Manual!$C$1:$E$22,2,FALSE),"Pend")</f>
        <v>Pend</v>
      </c>
      <c r="AS455" t="str">
        <f t="shared" si="174"/>
        <v>Yes</v>
      </c>
      <c r="AT455" t="str">
        <f t="shared" si="175"/>
        <v>Yes</v>
      </c>
      <c r="AU455" s="51" t="str">
        <f t="shared" si="176"/>
        <v>Yes</v>
      </c>
      <c r="AV455" s="12">
        <f>IFERROR(VLOOKUP(D455,'Receivable Invoice Detail'!$S$1:$U$3014,3,FALSE),0)</f>
        <v>0</v>
      </c>
      <c r="AW455" s="12">
        <f t="shared" si="177"/>
        <v>339.85</v>
      </c>
    </row>
    <row r="456" spans="1:49" x14ac:dyDescent="0.25">
      <c r="A456" s="2">
        <v>1</v>
      </c>
      <c r="B456" s="2" t="s">
        <v>1491</v>
      </c>
      <c r="C456" s="2" t="s">
        <v>1492</v>
      </c>
      <c r="D456" s="2" t="s">
        <v>2718</v>
      </c>
      <c r="E456" s="2" t="s">
        <v>77</v>
      </c>
      <c r="F456" s="3">
        <v>45772.500324074077</v>
      </c>
      <c r="G456" s="3">
        <v>45782.269409722219</v>
      </c>
      <c r="H456" s="4">
        <v>45783</v>
      </c>
      <c r="I456" s="2" t="s">
        <v>21</v>
      </c>
      <c r="J456" s="2" t="s">
        <v>22</v>
      </c>
      <c r="K456" s="2">
        <v>1</v>
      </c>
      <c r="L456" s="2">
        <v>464.61</v>
      </c>
      <c r="M456" s="2">
        <v>464.61</v>
      </c>
      <c r="N456" s="2">
        <v>464.61</v>
      </c>
      <c r="O456" s="2">
        <v>442.49</v>
      </c>
      <c r="P456" s="2">
        <v>22.12</v>
      </c>
      <c r="Q456" s="2">
        <v>464.61</v>
      </c>
      <c r="R456" s="2" t="s">
        <v>44</v>
      </c>
      <c r="S456" s="2"/>
      <c r="T456" s="2">
        <f t="shared" si="159"/>
        <v>1</v>
      </c>
      <c r="U456" s="18">
        <f t="shared" si="160"/>
        <v>4</v>
      </c>
      <c r="V456" s="18">
        <f t="shared" si="161"/>
        <v>2025</v>
      </c>
      <c r="W456" s="18">
        <f t="shared" si="162"/>
        <v>5</v>
      </c>
      <c r="X456" s="18">
        <f t="shared" si="163"/>
        <v>2025</v>
      </c>
      <c r="Y456" s="2">
        <f t="shared" si="156"/>
        <v>1</v>
      </c>
      <c r="Z456" t="str">
        <f t="shared" si="157"/>
        <v>SO17031</v>
      </c>
      <c r="AA456" s="11">
        <f t="shared" si="164"/>
        <v>45772.500324074077</v>
      </c>
      <c r="AB456" s="5" t="str">
        <f t="shared" si="165"/>
        <v>INV12945</v>
      </c>
      <c r="AC456" s="5" t="str">
        <f>IFERROR(VLOOKUP(D456,CAARStatus!$A$2:$AA$1600,22,FALSE),"Not invoiced")</f>
        <v>Paid</v>
      </c>
      <c r="AD456" s="11">
        <f>IF(AC456="Paid",IFERROR(VLOOKUP(D456,CAARStatus!$A$2:$AA$1600,6,FALSE),"Pending"),"Pending")</f>
        <v>45804</v>
      </c>
      <c r="AE456" s="5" t="str">
        <f t="shared" si="166"/>
        <v>40-1015050</v>
      </c>
      <c r="AF456" s="5" t="str">
        <f t="shared" si="167"/>
        <v>Canadian Bearings Ltd.</v>
      </c>
      <c r="AG456" s="5" t="str">
        <f t="shared" si="168"/>
        <v>CAD</v>
      </c>
      <c r="AH456" s="5">
        <f t="shared" si="169"/>
        <v>442.49</v>
      </c>
      <c r="AI456" s="12">
        <f>IF(L456-N456=0,VLOOKUP(U456,rate!A$4:B$15,2,FALSE)*AH456,IF(AG456="USD",O456,AH456*Y456))</f>
        <v>317.11567102770829</v>
      </c>
      <c r="AJ456" s="13">
        <f t="shared" si="170"/>
        <v>0.71666177998984903</v>
      </c>
      <c r="AK456" s="13">
        <f>-IF(AG456="CAD",IFERROR(VLOOKUP(D456,CAARStatus!$A$1:$Y$1600,16,FALSE),0),0)</f>
        <v>-442.49</v>
      </c>
      <c r="AL456" s="13">
        <f>-IF(AG456="USD",IFERROR(VLOOKUP(D456,CAARStatus!$A$1:$Y$1600,11,FALSE),0),0)</f>
        <v>0</v>
      </c>
      <c r="AM456" s="22">
        <f t="shared" si="171"/>
        <v>0</v>
      </c>
      <c r="AN456" s="12" t="str">
        <f t="shared" si="172"/>
        <v/>
      </c>
      <c r="AO456" s="12" t="str">
        <f t="shared" si="173"/>
        <v>Yes</v>
      </c>
      <c r="AP456" t="str">
        <f t="shared" si="158"/>
        <v>Yes</v>
      </c>
      <c r="AQ456" t="str">
        <f>IFERROR(VLOOKUP(Z456,InvBal!$L$4:$P$600,4,FALSE),"Pend")</f>
        <v>Pend</v>
      </c>
      <c r="AR456" t="str">
        <f>IFERROR(VLOOKUP(D456,Manual!$C$1:$E$22,2,FALSE),"Pend")</f>
        <v>Pend</v>
      </c>
      <c r="AS456" t="str">
        <f t="shared" si="174"/>
        <v>Yes</v>
      </c>
      <c r="AT456" t="str">
        <f t="shared" si="175"/>
        <v>Yes</v>
      </c>
      <c r="AU456" s="51" t="str">
        <f t="shared" si="176"/>
        <v>Yes</v>
      </c>
      <c r="AV456" s="12">
        <f>IFERROR(VLOOKUP(D456,'Receivable Invoice Detail'!$S$1:$U$3014,3,FALSE),0)</f>
        <v>0</v>
      </c>
      <c r="AW456" s="12">
        <f t="shared" si="177"/>
        <v>317.11567102770829</v>
      </c>
    </row>
    <row r="457" spans="1:49" ht="30" x14ac:dyDescent="0.25">
      <c r="A457" s="2">
        <v>1</v>
      </c>
      <c r="B457" s="2" t="s">
        <v>1487</v>
      </c>
      <c r="C457" s="2" t="s">
        <v>1488</v>
      </c>
      <c r="D457" s="2" t="s">
        <v>2721</v>
      </c>
      <c r="E457" s="2" t="s">
        <v>509</v>
      </c>
      <c r="F457" s="3">
        <v>45772.573692129627</v>
      </c>
      <c r="G457" s="3">
        <v>45782.484652777777</v>
      </c>
      <c r="H457" s="4">
        <v>45783</v>
      </c>
      <c r="I457" s="2" t="s">
        <v>21</v>
      </c>
      <c r="J457" s="2" t="s">
        <v>22</v>
      </c>
      <c r="K457" s="2">
        <v>1</v>
      </c>
      <c r="L457" s="2">
        <v>2189.1799999999998</v>
      </c>
      <c r="M457" s="2">
        <v>2189.1799999999998</v>
      </c>
      <c r="N457" s="2">
        <v>2189.1799999999998</v>
      </c>
      <c r="O457" s="2">
        <v>2084.9299999999998</v>
      </c>
      <c r="P457" s="2">
        <v>104.25</v>
      </c>
      <c r="Q457" s="2">
        <v>2189.1799999999998</v>
      </c>
      <c r="R457" s="2" t="s">
        <v>44</v>
      </c>
      <c r="S457" s="2"/>
      <c r="T457" s="2">
        <f t="shared" si="159"/>
        <v>1</v>
      </c>
      <c r="U457" s="18">
        <f t="shared" si="160"/>
        <v>4</v>
      </c>
      <c r="V457" s="18">
        <f t="shared" si="161"/>
        <v>2025</v>
      </c>
      <c r="W457" s="18">
        <f t="shared" si="162"/>
        <v>6</v>
      </c>
      <c r="X457" s="18">
        <f t="shared" si="163"/>
        <v>2025</v>
      </c>
      <c r="Y457" s="2">
        <f t="shared" si="156"/>
        <v>1</v>
      </c>
      <c r="Z457" t="str">
        <f t="shared" si="157"/>
        <v>SO17033</v>
      </c>
      <c r="AA457" s="11">
        <f t="shared" si="164"/>
        <v>45772.573692129627</v>
      </c>
      <c r="AB457" s="5" t="str">
        <f t="shared" si="165"/>
        <v>INV12948</v>
      </c>
      <c r="AC457" s="5" t="str">
        <f>IFERROR(VLOOKUP(D457,CAARStatus!$A$2:$AA$1600,22,FALSE),"Not invoiced")</f>
        <v>Paid</v>
      </c>
      <c r="AD457" s="11">
        <f>IF(AC457="Paid",IFERROR(VLOOKUP(D457,CAARStatus!$A$2:$AA$1600,6,FALSE),"Pending"),"Pending")</f>
        <v>45827</v>
      </c>
      <c r="AE457" s="5" t="str">
        <f t="shared" si="166"/>
        <v>PO09506</v>
      </c>
      <c r="AF457" s="5" t="str">
        <f t="shared" si="167"/>
        <v>Tantalum Mining Corporation of Canada</v>
      </c>
      <c r="AG457" s="5" t="str">
        <f t="shared" si="168"/>
        <v>CAD</v>
      </c>
      <c r="AH457" s="5">
        <f t="shared" si="169"/>
        <v>2084.9299999999998</v>
      </c>
      <c r="AI457" s="12">
        <f>IF(L457-N457=0,VLOOKUP(U457,rate!A$4:B$15,2,FALSE)*AH457,IF(AG457="USD",O457,AH457*Y457))</f>
        <v>1494.1896449542357</v>
      </c>
      <c r="AJ457" s="13">
        <f t="shared" si="170"/>
        <v>0.71666177998984903</v>
      </c>
      <c r="AK457" s="13">
        <f>-IF(AG457="CAD",IFERROR(VLOOKUP(D457,CAARStatus!$A$1:$Y$1600,16,FALSE),0),0)</f>
        <v>-2084.9299999999998</v>
      </c>
      <c r="AL457" s="13">
        <f>-IF(AG457="USD",IFERROR(VLOOKUP(D457,CAARStatus!$A$1:$Y$1600,11,FALSE),0),0)</f>
        <v>0</v>
      </c>
      <c r="AM457" s="22">
        <f t="shared" si="171"/>
        <v>0</v>
      </c>
      <c r="AN457" s="12" t="str">
        <f t="shared" si="172"/>
        <v/>
      </c>
      <c r="AO457" s="12" t="str">
        <f t="shared" si="173"/>
        <v>Yes</v>
      </c>
      <c r="AP457" t="str">
        <f t="shared" si="158"/>
        <v>Yes</v>
      </c>
      <c r="AQ457" t="str">
        <f>IFERROR(VLOOKUP(Z457,InvBal!$L$4:$P$600,4,FALSE),"Pend")</f>
        <v>Pend</v>
      </c>
      <c r="AR457" t="str">
        <f>IFERROR(VLOOKUP(D457,Manual!$C$1:$E$22,2,FALSE),"Pend")</f>
        <v>Pend</v>
      </c>
      <c r="AS457" t="str">
        <f t="shared" si="174"/>
        <v>Yes</v>
      </c>
      <c r="AT457" t="str">
        <f t="shared" si="175"/>
        <v>Yes</v>
      </c>
      <c r="AU457" s="51" t="str">
        <f t="shared" si="176"/>
        <v>Yes</v>
      </c>
      <c r="AV457" s="12">
        <f>IFERROR(VLOOKUP(D457,'Receivable Invoice Detail'!$S$1:$U$3014,3,FALSE),0)</f>
        <v>0</v>
      </c>
      <c r="AW457" s="12">
        <f t="shared" si="177"/>
        <v>1494.1896449542357</v>
      </c>
    </row>
    <row r="458" spans="1:49" ht="30" x14ac:dyDescent="0.25">
      <c r="A458" s="2">
        <v>1</v>
      </c>
      <c r="B458" s="2" t="s">
        <v>1503</v>
      </c>
      <c r="C458" s="2" t="s">
        <v>1504</v>
      </c>
      <c r="D458" s="2" t="s">
        <v>2710</v>
      </c>
      <c r="E458" s="2" t="s">
        <v>518</v>
      </c>
      <c r="F458" s="3">
        <v>45772.626759259263</v>
      </c>
      <c r="G458" s="3">
        <v>45778.416168981479</v>
      </c>
      <c r="H458" s="4">
        <v>45779</v>
      </c>
      <c r="I458" s="2" t="s">
        <v>21</v>
      </c>
      <c r="J458" s="2" t="s">
        <v>22</v>
      </c>
      <c r="K458" s="2">
        <v>1</v>
      </c>
      <c r="L458" s="2">
        <v>1047.51</v>
      </c>
      <c r="M458" s="2">
        <v>0</v>
      </c>
      <c r="N458" s="2">
        <v>756.40866230422978</v>
      </c>
      <c r="O458" s="2">
        <v>997.63</v>
      </c>
      <c r="P458" s="2">
        <v>49.88</v>
      </c>
      <c r="Q458" s="2">
        <v>1047.51</v>
      </c>
      <c r="R458" s="2" t="s">
        <v>44</v>
      </c>
      <c r="S458" s="2"/>
      <c r="T458" s="2">
        <f t="shared" si="159"/>
        <v>1</v>
      </c>
      <c r="U458" s="18">
        <f t="shared" si="160"/>
        <v>4</v>
      </c>
      <c r="V458" s="18">
        <f t="shared" si="161"/>
        <v>2025</v>
      </c>
      <c r="W458" s="18">
        <f t="shared" si="162"/>
        <v>6</v>
      </c>
      <c r="X458" s="18">
        <f t="shared" si="163"/>
        <v>2025</v>
      </c>
      <c r="Y458" s="2">
        <f t="shared" si="156"/>
        <v>0.72210161459482947</v>
      </c>
      <c r="Z458" t="str">
        <f t="shared" si="157"/>
        <v>SO17037</v>
      </c>
      <c r="AA458" s="11">
        <f t="shared" si="164"/>
        <v>45772.626759259263</v>
      </c>
      <c r="AB458" s="5" t="str">
        <f t="shared" si="165"/>
        <v>INV12939</v>
      </c>
      <c r="AC458" s="5" t="str">
        <f>IFERROR(VLOOKUP(D458,CAARStatus!$A$2:$AA$1600,22,FALSE),"Not invoiced")</f>
        <v>Paid</v>
      </c>
      <c r="AD458" s="11">
        <f>IF(AC458="Paid",IFERROR(VLOOKUP(D458,CAARStatus!$A$2:$AA$1600,6,FALSE),"Pending"),"Pending")</f>
        <v>45828</v>
      </c>
      <c r="AE458" s="5" t="str">
        <f t="shared" si="166"/>
        <v>SUD1006009</v>
      </c>
      <c r="AF458" s="5" t="str">
        <f t="shared" si="167"/>
        <v>Process and Steam Specialties, Process and Steam Specialties</v>
      </c>
      <c r="AG458" s="5" t="str">
        <f t="shared" si="168"/>
        <v>CAD</v>
      </c>
      <c r="AH458" s="5">
        <f t="shared" si="169"/>
        <v>997.63</v>
      </c>
      <c r="AI458" s="12">
        <f>IF(L458-N458=0,VLOOKUP(U458,rate!A$4:B$15,2,FALSE)*AH458,IF(AG458="USD",O458,AH458*Y458))</f>
        <v>720.39023376823968</v>
      </c>
      <c r="AJ458" s="13">
        <f t="shared" si="170"/>
        <v>0.72210161459482947</v>
      </c>
      <c r="AK458" s="13">
        <f>-IF(AG458="CAD",IFERROR(VLOOKUP(D458,CAARStatus!$A$1:$Y$1600,16,FALSE),0),0)</f>
        <v>-997.63</v>
      </c>
      <c r="AL458" s="13">
        <f>-IF(AG458="USD",IFERROR(VLOOKUP(D458,CAARStatus!$A$1:$Y$1600,11,FALSE),0),0)</f>
        <v>0</v>
      </c>
      <c r="AM458" s="22">
        <f t="shared" si="171"/>
        <v>0</v>
      </c>
      <c r="AN458" s="12" t="str">
        <f t="shared" si="172"/>
        <v/>
      </c>
      <c r="AO458" s="12" t="str">
        <f t="shared" si="173"/>
        <v>Yes</v>
      </c>
      <c r="AP458" t="str">
        <f t="shared" si="158"/>
        <v>Yes</v>
      </c>
      <c r="AQ458" t="str">
        <f>IFERROR(VLOOKUP(Z458,InvBal!$L$4:$P$600,4,FALSE),"Pend")</f>
        <v>Pend</v>
      </c>
      <c r="AR458" t="str">
        <f>IFERROR(VLOOKUP(D458,Manual!$C$1:$E$22,2,FALSE),"Pend")</f>
        <v>Pend</v>
      </c>
      <c r="AS458" t="str">
        <f t="shared" si="174"/>
        <v>Yes</v>
      </c>
      <c r="AT458" t="str">
        <f t="shared" si="175"/>
        <v>Yes</v>
      </c>
      <c r="AU458" s="51" t="str">
        <f t="shared" si="176"/>
        <v>Yes</v>
      </c>
      <c r="AV458" s="12">
        <f>IFERROR(VLOOKUP(D458,'Receivable Invoice Detail'!$S$1:$U$3014,3,FALSE),0)</f>
        <v>0</v>
      </c>
      <c r="AW458" s="12">
        <f t="shared" si="177"/>
        <v>720.39023376823968</v>
      </c>
    </row>
    <row r="459" spans="1:49" ht="30" x14ac:dyDescent="0.25">
      <c r="A459" s="2">
        <v>1</v>
      </c>
      <c r="B459" s="2" t="s">
        <v>1463</v>
      </c>
      <c r="C459" s="2" t="s">
        <v>1464</v>
      </c>
      <c r="D459" s="2" t="s">
        <v>2734</v>
      </c>
      <c r="E459" s="2" t="s">
        <v>20</v>
      </c>
      <c r="F459" s="3">
        <v>45772.7031712963</v>
      </c>
      <c r="G459" s="3">
        <v>45784.559247685182</v>
      </c>
      <c r="H459" s="4">
        <v>45861</v>
      </c>
      <c r="I459" s="2" t="s">
        <v>21</v>
      </c>
      <c r="J459" s="2" t="s">
        <v>22</v>
      </c>
      <c r="K459" s="2">
        <v>1</v>
      </c>
      <c r="L459" s="2">
        <v>1931.54</v>
      </c>
      <c r="M459" s="2">
        <v>0</v>
      </c>
      <c r="N459" s="2">
        <v>1402.2830398400199</v>
      </c>
      <c r="O459" s="2">
        <v>1839.56</v>
      </c>
      <c r="P459" s="2">
        <v>91.98</v>
      </c>
      <c r="Q459" s="2">
        <v>1931.54</v>
      </c>
      <c r="R459" s="2" t="s">
        <v>44</v>
      </c>
      <c r="S459" s="2"/>
      <c r="T459" s="2">
        <f t="shared" si="159"/>
        <v>1</v>
      </c>
      <c r="U459" s="18">
        <f t="shared" si="160"/>
        <v>4</v>
      </c>
      <c r="V459" s="18">
        <f t="shared" si="161"/>
        <v>2025</v>
      </c>
      <c r="W459" s="18">
        <f t="shared" si="162"/>
        <v>8</v>
      </c>
      <c r="X459" s="18">
        <f t="shared" si="163"/>
        <v>2025</v>
      </c>
      <c r="Y459" s="2">
        <f t="shared" si="156"/>
        <v>0.72599223409301383</v>
      </c>
      <c r="Z459" t="str">
        <f t="shared" si="157"/>
        <v>SO17044</v>
      </c>
      <c r="AA459" s="11">
        <f t="shared" si="164"/>
        <v>45772.7031712963</v>
      </c>
      <c r="AB459" s="5" t="str">
        <f t="shared" si="165"/>
        <v>INV13088</v>
      </c>
      <c r="AC459" s="5" t="str">
        <f>IFERROR(VLOOKUP(D459,CAARStatus!$A$2:$AA$1600,22,FALSE),"Not invoiced")</f>
        <v>Paid</v>
      </c>
      <c r="AD459" s="11">
        <f>IF(AC459="Paid",IFERROR(VLOOKUP(D459,CAARStatus!$A$2:$AA$1600,6,FALSE),"Pending"),"Pending")</f>
        <v>45881</v>
      </c>
      <c r="AE459" s="5" t="str">
        <f t="shared" si="166"/>
        <v>4500595256</v>
      </c>
      <c r="AF459" s="5" t="str">
        <f t="shared" si="167"/>
        <v>Resolute Forest Products - Saint-Felicien</v>
      </c>
      <c r="AG459" s="5" t="str">
        <f t="shared" si="168"/>
        <v>CAD</v>
      </c>
      <c r="AH459" s="5">
        <f t="shared" si="169"/>
        <v>1839.56</v>
      </c>
      <c r="AI459" s="12">
        <f>IF(L459-N459=0,VLOOKUP(U459,rate!A$4:B$15,2,FALSE)*AH459,IF(AG459="USD",O459,AH459*Y459))</f>
        <v>1335.5062741481445</v>
      </c>
      <c r="AJ459" s="13">
        <f t="shared" si="170"/>
        <v>0.72599223409301383</v>
      </c>
      <c r="AK459" s="13">
        <f>-IF(AG459="CAD",IFERROR(VLOOKUP(D459,CAARStatus!$A$1:$Y$1600,16,FALSE),0),0)</f>
        <v>-1839.56</v>
      </c>
      <c r="AL459" s="13">
        <f>-IF(AG459="USD",IFERROR(VLOOKUP(D459,CAARStatus!$A$1:$Y$1600,11,FALSE),0),0)</f>
        <v>0</v>
      </c>
      <c r="AM459" s="22">
        <f t="shared" si="171"/>
        <v>0</v>
      </c>
      <c r="AN459" s="12" t="str">
        <f t="shared" si="172"/>
        <v/>
      </c>
      <c r="AO459" s="12" t="str">
        <f t="shared" si="173"/>
        <v>Yes</v>
      </c>
      <c r="AP459" t="str">
        <f t="shared" si="158"/>
        <v>Yes</v>
      </c>
      <c r="AQ459" t="str">
        <f>IFERROR(VLOOKUP(Z459,InvBal!$L$4:$P$600,4,FALSE),"Pend")</f>
        <v>Pend</v>
      </c>
      <c r="AR459" t="str">
        <f>IFERROR(VLOOKUP(D459,Manual!$C$1:$E$22,2,FALSE),"Pend")</f>
        <v>Pend</v>
      </c>
      <c r="AS459" t="str">
        <f t="shared" si="174"/>
        <v>Yes</v>
      </c>
      <c r="AT459" t="str">
        <f t="shared" si="175"/>
        <v>Yes</v>
      </c>
      <c r="AU459" s="51" t="str">
        <f t="shared" si="176"/>
        <v>Yes</v>
      </c>
      <c r="AV459" s="12">
        <f>IFERROR(VLOOKUP(D459,'Receivable Invoice Detail'!$S$1:$U$3014,3,FALSE),0)</f>
        <v>0</v>
      </c>
      <c r="AW459" s="12">
        <f t="shared" si="177"/>
        <v>1335.5062741481445</v>
      </c>
    </row>
    <row r="460" spans="1:49" ht="45" x14ac:dyDescent="0.25">
      <c r="A460" s="2">
        <v>1</v>
      </c>
      <c r="B460" s="2" t="s">
        <v>1526</v>
      </c>
      <c r="C460" s="2" t="s">
        <v>1527</v>
      </c>
      <c r="D460" s="2" t="s">
        <v>2698</v>
      </c>
      <c r="E460" s="2" t="s">
        <v>502</v>
      </c>
      <c r="F460" s="3">
        <v>45775.369039351863</v>
      </c>
      <c r="G460" s="3">
        <v>45775.405578703707</v>
      </c>
      <c r="H460" s="4">
        <v>45776</v>
      </c>
      <c r="I460" s="2" t="s">
        <v>21</v>
      </c>
      <c r="J460" s="2" t="s">
        <v>22</v>
      </c>
      <c r="K460" s="2">
        <v>1</v>
      </c>
      <c r="L460" s="2">
        <v>159.74</v>
      </c>
      <c r="M460" s="2">
        <v>0</v>
      </c>
      <c r="N460" s="2">
        <v>115.25563838707551</v>
      </c>
      <c r="O460" s="2">
        <v>152.13</v>
      </c>
      <c r="P460" s="2">
        <v>7.61</v>
      </c>
      <c r="Q460" s="2">
        <v>159.74</v>
      </c>
      <c r="R460" s="2" t="s">
        <v>44</v>
      </c>
      <c r="S460" s="2"/>
      <c r="T460" s="2">
        <f t="shared" si="159"/>
        <v>1</v>
      </c>
      <c r="U460" s="18">
        <f t="shared" si="160"/>
        <v>4</v>
      </c>
      <c r="V460" s="18">
        <f t="shared" si="161"/>
        <v>2025</v>
      </c>
      <c r="W460" s="18">
        <f t="shared" si="162"/>
        <v>6</v>
      </c>
      <c r="X460" s="18">
        <f t="shared" si="163"/>
        <v>2025</v>
      </c>
      <c r="Y460" s="2">
        <f t="shared" si="156"/>
        <v>0.72152021026089586</v>
      </c>
      <c r="Z460" t="str">
        <f t="shared" si="157"/>
        <v>SO17046</v>
      </c>
      <c r="AA460" s="11">
        <f t="shared" si="164"/>
        <v>45775.369039351863</v>
      </c>
      <c r="AB460" s="5" t="str">
        <f t="shared" si="165"/>
        <v>INV12956</v>
      </c>
      <c r="AC460" s="5" t="str">
        <f>IFERROR(VLOOKUP(D460,CAARStatus!$A$2:$AA$1600,22,FALSE),"Not invoiced")</f>
        <v>Paid</v>
      </c>
      <c r="AD460" s="11">
        <f>IF(AC460="Paid",IFERROR(VLOOKUP(D460,CAARStatus!$A$2:$AA$1600,6,FALSE),"Pending"),"Pending")</f>
        <v>45828</v>
      </c>
      <c r="AE460" s="5" t="str">
        <f t="shared" si="166"/>
        <v>4500573136</v>
      </c>
      <c r="AF460" s="5" t="str">
        <f t="shared" si="167"/>
        <v>Glencore Canada Corporation - Rouyn-Noranda, Glencore Canada Corp.</v>
      </c>
      <c r="AG460" s="5" t="str">
        <f t="shared" si="168"/>
        <v>CAD</v>
      </c>
      <c r="AH460" s="5">
        <f t="shared" si="169"/>
        <v>152.13</v>
      </c>
      <c r="AI460" s="12">
        <f>IF(L460-N460=0,VLOOKUP(U460,rate!A$4:B$15,2,FALSE)*AH460,IF(AG460="USD",O460,AH460*Y460))</f>
        <v>109.76486958699009</v>
      </c>
      <c r="AJ460" s="13">
        <f t="shared" si="170"/>
        <v>0.72152021026089586</v>
      </c>
      <c r="AK460" s="13">
        <f>-IF(AG460="CAD",IFERROR(VLOOKUP(D460,CAARStatus!$A$1:$Y$1600,16,FALSE),0),0)</f>
        <v>-152.13</v>
      </c>
      <c r="AL460" s="13">
        <f>-IF(AG460="USD",IFERROR(VLOOKUP(D460,CAARStatus!$A$1:$Y$1600,11,FALSE),0),0)</f>
        <v>0</v>
      </c>
      <c r="AM460" s="22">
        <f t="shared" si="171"/>
        <v>0</v>
      </c>
      <c r="AN460" s="12" t="str">
        <f t="shared" si="172"/>
        <v/>
      </c>
      <c r="AO460" s="12" t="str">
        <f t="shared" si="173"/>
        <v>Yes</v>
      </c>
      <c r="AP460" t="str">
        <f t="shared" si="158"/>
        <v>Yes</v>
      </c>
      <c r="AQ460" t="str">
        <f>IFERROR(VLOOKUP(Z460,InvBal!$L$4:$P$600,4,FALSE),"Pend")</f>
        <v>Pend</v>
      </c>
      <c r="AR460" t="str">
        <f>IFERROR(VLOOKUP(D460,Manual!$C$1:$E$22,2,FALSE),"Pend")</f>
        <v>Pend</v>
      </c>
      <c r="AS460" t="str">
        <f t="shared" si="174"/>
        <v>Yes</v>
      </c>
      <c r="AT460" t="str">
        <f t="shared" si="175"/>
        <v>Yes</v>
      </c>
      <c r="AU460" s="51" t="str">
        <f t="shared" si="176"/>
        <v>Yes</v>
      </c>
      <c r="AV460" s="12">
        <f>IFERROR(VLOOKUP(D460,'Receivable Invoice Detail'!$S$1:$U$3014,3,FALSE),0)</f>
        <v>0</v>
      </c>
      <c r="AW460" s="12">
        <f t="shared" si="177"/>
        <v>109.76486958699009</v>
      </c>
    </row>
    <row r="461" spans="1:49" x14ac:dyDescent="0.25">
      <c r="A461" s="2">
        <v>1</v>
      </c>
      <c r="B461" s="2" t="s">
        <v>1512</v>
      </c>
      <c r="C461" s="2" t="s">
        <v>1513</v>
      </c>
      <c r="D461" s="2" t="s">
        <v>2706</v>
      </c>
      <c r="E461" s="2" t="s">
        <v>192</v>
      </c>
      <c r="F461" s="3">
        <v>45775.492430555547</v>
      </c>
      <c r="G461" s="3">
        <v>45776.464259259257</v>
      </c>
      <c r="H461" s="4">
        <v>45777</v>
      </c>
      <c r="I461" s="2" t="s">
        <v>21</v>
      </c>
      <c r="J461" s="2" t="s">
        <v>51</v>
      </c>
      <c r="K461" s="2">
        <v>0.72124093927420463</v>
      </c>
      <c r="L461" s="2">
        <v>2608.1714134156041</v>
      </c>
      <c r="M461" s="2">
        <v>0</v>
      </c>
      <c r="N461" s="2">
        <v>1881.12</v>
      </c>
      <c r="O461" s="2">
        <v>1881.12</v>
      </c>
      <c r="P461" s="2"/>
      <c r="Q461" s="2">
        <v>1881.12</v>
      </c>
      <c r="R461" s="2" t="s">
        <v>44</v>
      </c>
      <c r="S461" s="2"/>
      <c r="T461" s="2">
        <f t="shared" si="159"/>
        <v>1</v>
      </c>
      <c r="U461" s="18">
        <f t="shared" si="160"/>
        <v>4</v>
      </c>
      <c r="V461" s="18">
        <f t="shared" si="161"/>
        <v>2025</v>
      </c>
      <c r="W461" s="18">
        <f t="shared" si="162"/>
        <v>7</v>
      </c>
      <c r="X461" s="18">
        <f t="shared" si="163"/>
        <v>2025</v>
      </c>
      <c r="Y461" s="17">
        <f t="shared" si="156"/>
        <v>0.72124093927420452</v>
      </c>
      <c r="Z461" t="str">
        <f t="shared" si="157"/>
        <v>SO17047</v>
      </c>
      <c r="AA461" s="11">
        <f t="shared" si="164"/>
        <v>45775.492430555547</v>
      </c>
      <c r="AB461" s="5" t="str">
        <f t="shared" si="165"/>
        <v>INV12929</v>
      </c>
      <c r="AC461" s="5" t="str">
        <f>IFERROR(VLOOKUP(D461,CAARStatus!$A$2:$AA$1600,22,FALSE),"Not invoiced")</f>
        <v>Paid</v>
      </c>
      <c r="AD461" s="11">
        <f>IF(AC461="Paid",IFERROR(VLOOKUP(D461,CAARStatus!$A$2:$AA$1600,6,FALSE),"Pending"),"Pending")</f>
        <v>45843</v>
      </c>
      <c r="AE461" s="5" t="str">
        <f t="shared" si="166"/>
        <v>040201</v>
      </c>
      <c r="AF461" s="5" t="str">
        <f t="shared" si="167"/>
        <v>Southeast Pump Specialist, Inc.</v>
      </c>
      <c r="AG461" s="5" t="str">
        <f t="shared" si="168"/>
        <v>USD</v>
      </c>
      <c r="AH461" s="5">
        <f t="shared" si="169"/>
        <v>2608.1714134156036</v>
      </c>
      <c r="AI461" s="12">
        <f>IF(L461-N461=0,VLOOKUP(U461,rate!A$4:B$15,2,FALSE)*AH461,IF(AG461="USD",O461,AH461*Y461))</f>
        <v>1881.12</v>
      </c>
      <c r="AJ461" s="13">
        <f t="shared" si="170"/>
        <v>0.72124093927420463</v>
      </c>
      <c r="AK461" s="13">
        <f>-IF(AG461="CAD",IFERROR(VLOOKUP(D461,CAARStatus!$A$1:$Y$1600,16,FALSE),0),0)</f>
        <v>0</v>
      </c>
      <c r="AL461" s="13">
        <f>-IF(AG461="USD",IFERROR(VLOOKUP(D461,CAARStatus!$A$1:$Y$1600,11,FALSE),0),0)</f>
        <v>-1881.12</v>
      </c>
      <c r="AM461" s="22" t="str">
        <f t="shared" si="171"/>
        <v/>
      </c>
      <c r="AN461" s="12">
        <f t="shared" si="172"/>
        <v>0</v>
      </c>
      <c r="AO461" s="12" t="str">
        <f t="shared" si="173"/>
        <v>Yes</v>
      </c>
      <c r="AP461" t="str">
        <f t="shared" si="158"/>
        <v>Yes</v>
      </c>
      <c r="AQ461" t="str">
        <f>IFERROR(VLOOKUP(Z461,InvBal!$L$4:$P$600,4,FALSE),"Pend")</f>
        <v>Pend</v>
      </c>
      <c r="AR461" t="str">
        <f>IFERROR(VLOOKUP(D461,Manual!$C$1:$E$22,2,FALSE),"Pend")</f>
        <v>Pend</v>
      </c>
      <c r="AS461" t="str">
        <f t="shared" si="174"/>
        <v>Yes</v>
      </c>
      <c r="AT461" t="str">
        <f t="shared" si="175"/>
        <v>Yes</v>
      </c>
      <c r="AU461" s="51" t="str">
        <f t="shared" si="176"/>
        <v>Yes</v>
      </c>
      <c r="AV461" s="12">
        <f>IFERROR(VLOOKUP(D461,'Receivable Invoice Detail'!$S$1:$U$3014,3,FALSE),0)</f>
        <v>562</v>
      </c>
      <c r="AW461" s="12">
        <f t="shared" si="177"/>
        <v>1319.12</v>
      </c>
    </row>
    <row r="462" spans="1:49" x14ac:dyDescent="0.25">
      <c r="A462" s="2">
        <v>1</v>
      </c>
      <c r="B462" s="2" t="s">
        <v>1524</v>
      </c>
      <c r="C462" s="2" t="s">
        <v>1525</v>
      </c>
      <c r="D462" s="2" t="s">
        <v>2699</v>
      </c>
      <c r="E462" s="2" t="s">
        <v>64</v>
      </c>
      <c r="F462" s="3">
        <v>45775.506435185183</v>
      </c>
      <c r="G462" s="3">
        <v>45775.511979166673</v>
      </c>
      <c r="H462" s="4">
        <v>45776</v>
      </c>
      <c r="I462" s="2" t="s">
        <v>21</v>
      </c>
      <c r="J462" s="2" t="s">
        <v>22</v>
      </c>
      <c r="K462" s="2">
        <v>1</v>
      </c>
      <c r="L462" s="2">
        <v>1214.23</v>
      </c>
      <c r="M462" s="2">
        <v>0</v>
      </c>
      <c r="N462" s="2">
        <v>876.09148490508733</v>
      </c>
      <c r="O462" s="2">
        <v>1074.54</v>
      </c>
      <c r="P462" s="2">
        <v>139.69</v>
      </c>
      <c r="Q462" s="2">
        <v>1214.23</v>
      </c>
      <c r="R462" s="2" t="s">
        <v>44</v>
      </c>
      <c r="S462" s="2"/>
      <c r="T462" s="2">
        <f t="shared" si="159"/>
        <v>1</v>
      </c>
      <c r="U462" s="18">
        <f t="shared" si="160"/>
        <v>4</v>
      </c>
      <c r="V462" s="18">
        <f t="shared" si="161"/>
        <v>2025</v>
      </c>
      <c r="W462" s="18">
        <f t="shared" si="162"/>
        <v>6</v>
      </c>
      <c r="X462" s="18">
        <f t="shared" si="163"/>
        <v>2025</v>
      </c>
      <c r="Y462" s="17">
        <f t="shared" si="156"/>
        <v>0.72152021026089563</v>
      </c>
      <c r="Z462" t="str">
        <f t="shared" si="157"/>
        <v>SO17048</v>
      </c>
      <c r="AA462" s="11">
        <f t="shared" si="164"/>
        <v>45775.506435185183</v>
      </c>
      <c r="AB462" s="5" t="str">
        <f t="shared" si="165"/>
        <v>INV12936</v>
      </c>
      <c r="AC462" s="5" t="str">
        <f>IFERROR(VLOOKUP(D462,CAARStatus!$A$2:$AA$1600,22,FALSE),"Not invoiced")</f>
        <v>Paid</v>
      </c>
      <c r="AD462" s="11">
        <f>IF(AC462="Paid",IFERROR(VLOOKUP(D462,CAARStatus!$A$2:$AA$1600,6,FALSE),"Pending"),"Pending")</f>
        <v>45827</v>
      </c>
      <c r="AE462" s="5" t="str">
        <f t="shared" si="166"/>
        <v>607001</v>
      </c>
      <c r="AF462" s="5" t="str">
        <f t="shared" si="167"/>
        <v>Sealtrac Inc.</v>
      </c>
      <c r="AG462" s="5" t="str">
        <f t="shared" si="168"/>
        <v>CAD</v>
      </c>
      <c r="AH462" s="5">
        <f t="shared" si="169"/>
        <v>1074.54</v>
      </c>
      <c r="AI462" s="12">
        <f>IF(L462-N462=0,VLOOKUP(U462,rate!A$4:B$15,2,FALSE)*AH462,IF(AG462="USD",O462,AH462*Y462))</f>
        <v>775.3023267337428</v>
      </c>
      <c r="AJ462" s="13">
        <f t="shared" si="170"/>
        <v>0.72152021026089563</v>
      </c>
      <c r="AK462" s="13">
        <f>-IF(AG462="CAD",IFERROR(VLOOKUP(D462,CAARStatus!$A$1:$Y$1600,16,FALSE),0),0)</f>
        <v>-1074.54</v>
      </c>
      <c r="AL462" s="13">
        <f>-IF(AG462="USD",IFERROR(VLOOKUP(D462,CAARStatus!$A$1:$Y$1600,11,FALSE),0),0)</f>
        <v>0</v>
      </c>
      <c r="AM462" s="22">
        <f t="shared" si="171"/>
        <v>0</v>
      </c>
      <c r="AN462" s="12" t="str">
        <f t="shared" si="172"/>
        <v/>
      </c>
      <c r="AO462" s="12" t="str">
        <f t="shared" si="173"/>
        <v>Yes</v>
      </c>
      <c r="AP462" t="str">
        <f t="shared" si="158"/>
        <v>Yes</v>
      </c>
      <c r="AQ462" t="str">
        <f>IFERROR(VLOOKUP(Z462,InvBal!$L$4:$P$600,4,FALSE),"Pend")</f>
        <v>Pend</v>
      </c>
      <c r="AR462" t="str">
        <f>IFERROR(VLOOKUP(D462,Manual!$C$1:$E$22,2,FALSE),"Pend")</f>
        <v>Pend</v>
      </c>
      <c r="AS462" t="str">
        <f t="shared" si="174"/>
        <v>Yes</v>
      </c>
      <c r="AT462" t="str">
        <f t="shared" si="175"/>
        <v>Yes</v>
      </c>
      <c r="AU462" s="51" t="str">
        <f t="shared" si="176"/>
        <v>Yes</v>
      </c>
      <c r="AV462" s="12">
        <f>IFERROR(VLOOKUP(D462,'Receivable Invoice Detail'!$S$1:$U$3014,3,FALSE),0)</f>
        <v>0</v>
      </c>
      <c r="AW462" s="12">
        <f t="shared" si="177"/>
        <v>775.3023267337428</v>
      </c>
    </row>
    <row r="463" spans="1:49" ht="30" x14ac:dyDescent="0.25">
      <c r="A463" s="2">
        <v>1</v>
      </c>
      <c r="B463" s="2" t="s">
        <v>1505</v>
      </c>
      <c r="C463" s="2" t="s">
        <v>1506</v>
      </c>
      <c r="D463" s="2" t="s">
        <v>2709</v>
      </c>
      <c r="E463" s="2" t="s">
        <v>981</v>
      </c>
      <c r="F463" s="3">
        <v>45775.522546296299</v>
      </c>
      <c r="G463" s="3">
        <v>45776.622349537043</v>
      </c>
      <c r="H463" s="4">
        <v>45777</v>
      </c>
      <c r="I463" s="2" t="s">
        <v>21</v>
      </c>
      <c r="J463" s="2" t="s">
        <v>22</v>
      </c>
      <c r="K463" s="2">
        <v>1</v>
      </c>
      <c r="L463" s="2">
        <v>102.33</v>
      </c>
      <c r="M463" s="2">
        <v>102.33</v>
      </c>
      <c r="N463" s="2">
        <v>102.33</v>
      </c>
      <c r="O463" s="2">
        <v>90.56</v>
      </c>
      <c r="P463" s="2">
        <v>11.77</v>
      </c>
      <c r="Q463" s="2">
        <v>102.33</v>
      </c>
      <c r="R463" s="2" t="s">
        <v>44</v>
      </c>
      <c r="S463" s="2"/>
      <c r="T463" s="2">
        <f t="shared" si="159"/>
        <v>1</v>
      </c>
      <c r="U463" s="18">
        <f t="shared" si="160"/>
        <v>4</v>
      </c>
      <c r="V463" s="18">
        <f t="shared" si="161"/>
        <v>2025</v>
      </c>
      <c r="W463" s="18">
        <f t="shared" si="162"/>
        <v>5</v>
      </c>
      <c r="X463" s="18">
        <f t="shared" si="163"/>
        <v>2025</v>
      </c>
      <c r="Y463" s="17">
        <f t="shared" si="156"/>
        <v>1</v>
      </c>
      <c r="Z463" t="str">
        <f t="shared" si="157"/>
        <v>SO17049</v>
      </c>
      <c r="AA463" s="11">
        <f t="shared" si="164"/>
        <v>45775.522546296299</v>
      </c>
      <c r="AB463" s="5" t="str">
        <f t="shared" si="165"/>
        <v>INV12938</v>
      </c>
      <c r="AC463" s="5" t="str">
        <f>IFERROR(VLOOKUP(D463,CAARStatus!$A$2:$AA$1600,22,FALSE),"Not invoiced")</f>
        <v>Paid</v>
      </c>
      <c r="AD463" s="11">
        <f>IF(AC463="Paid",IFERROR(VLOOKUP(D463,CAARStatus!$A$2:$AA$1600,6,FALSE),"Pending"),"Pending")</f>
        <v>45805</v>
      </c>
      <c r="AE463" s="5" t="str">
        <f t="shared" si="166"/>
        <v>4560065429</v>
      </c>
      <c r="AF463" s="5" t="str">
        <f t="shared" si="167"/>
        <v>Alamos Gold Inc, Alamos Gold Inc Island Gold Division</v>
      </c>
      <c r="AG463" s="5" t="str">
        <f t="shared" si="168"/>
        <v>CAD</v>
      </c>
      <c r="AH463" s="5">
        <f t="shared" si="169"/>
        <v>90.56</v>
      </c>
      <c r="AI463" s="12">
        <f>IF(L463-N463=0,VLOOKUP(U463,rate!A$4:B$15,2,FALSE)*AH463,IF(AG463="USD",O463,AH463*Y463))</f>
        <v>64.900890795880727</v>
      </c>
      <c r="AJ463" s="13">
        <f t="shared" si="170"/>
        <v>0.71666177998984903</v>
      </c>
      <c r="AK463" s="13">
        <f>-IF(AG463="CAD",IFERROR(VLOOKUP(D463,CAARStatus!$A$1:$Y$1600,16,FALSE),0),0)</f>
        <v>-90.56</v>
      </c>
      <c r="AL463" s="13">
        <f>-IF(AG463="USD",IFERROR(VLOOKUP(D463,CAARStatus!$A$1:$Y$1600,11,FALSE),0),0)</f>
        <v>0</v>
      </c>
      <c r="AM463" s="22">
        <f t="shared" si="171"/>
        <v>0</v>
      </c>
      <c r="AN463" s="12" t="str">
        <f t="shared" si="172"/>
        <v/>
      </c>
      <c r="AO463" s="12" t="str">
        <f t="shared" si="173"/>
        <v>Yes</v>
      </c>
      <c r="AP463" t="str">
        <f t="shared" si="158"/>
        <v>Yes</v>
      </c>
      <c r="AQ463" t="str">
        <f>IFERROR(VLOOKUP(Z463,InvBal!$L$4:$P$600,4,FALSE),"Pend")</f>
        <v>Pend</v>
      </c>
      <c r="AR463" t="str">
        <f>IFERROR(VLOOKUP(D463,Manual!$C$1:$E$22,2,FALSE),"Pend")</f>
        <v>Pend</v>
      </c>
      <c r="AS463" t="str">
        <f t="shared" si="174"/>
        <v>Yes</v>
      </c>
      <c r="AT463" t="str">
        <f t="shared" si="175"/>
        <v>Yes</v>
      </c>
      <c r="AU463" s="51" t="str">
        <f t="shared" si="176"/>
        <v>Yes</v>
      </c>
      <c r="AV463" s="12">
        <f>IFERROR(VLOOKUP(D463,'Receivable Invoice Detail'!$S$1:$U$3014,3,FALSE),0)</f>
        <v>0</v>
      </c>
      <c r="AW463" s="12">
        <f t="shared" si="177"/>
        <v>64.900890795880727</v>
      </c>
    </row>
    <row r="464" spans="1:49" ht="60" x14ac:dyDescent="0.25">
      <c r="A464" s="2">
        <v>1</v>
      </c>
      <c r="B464" s="2" t="s">
        <v>1295</v>
      </c>
      <c r="C464" s="2" t="s">
        <v>1296</v>
      </c>
      <c r="D464" s="2" t="s">
        <v>2824</v>
      </c>
      <c r="E464" s="2" t="s">
        <v>369</v>
      </c>
      <c r="F464" s="3">
        <v>45775.551863425928</v>
      </c>
      <c r="G464" s="3">
        <v>45810.54078703704</v>
      </c>
      <c r="H464" s="4">
        <v>45845</v>
      </c>
      <c r="I464" s="2" t="s">
        <v>21</v>
      </c>
      <c r="J464" s="2" t="s">
        <v>51</v>
      </c>
      <c r="K464" s="2">
        <v>0.72782949041434608</v>
      </c>
      <c r="L464" s="2">
        <v>28589.292236776691</v>
      </c>
      <c r="M464" s="2">
        <v>0</v>
      </c>
      <c r="N464" s="2">
        <v>20808.13</v>
      </c>
      <c r="O464" s="2">
        <v>20808.13</v>
      </c>
      <c r="P464" s="2"/>
      <c r="Q464" s="2">
        <v>20808.13</v>
      </c>
      <c r="R464" s="2" t="s">
        <v>44</v>
      </c>
      <c r="S464" s="2"/>
      <c r="T464" s="2">
        <f t="shared" si="159"/>
        <v>1</v>
      </c>
      <c r="U464" s="18">
        <f t="shared" si="160"/>
        <v>4</v>
      </c>
      <c r="V464" s="18">
        <f t="shared" si="161"/>
        <v>2025</v>
      </c>
      <c r="W464" s="18">
        <f t="shared" si="162"/>
        <v>6</v>
      </c>
      <c r="X464" s="18">
        <f t="shared" si="163"/>
        <v>2025</v>
      </c>
      <c r="Y464" s="17">
        <f t="shared" si="156"/>
        <v>0.72782949041434608</v>
      </c>
      <c r="Z464" t="str">
        <f t="shared" si="157"/>
        <v>SO17051</v>
      </c>
      <c r="AA464" s="11">
        <f t="shared" si="164"/>
        <v>45775.551863425928</v>
      </c>
      <c r="AB464" s="5" t="str">
        <f t="shared" si="165"/>
        <v>INV13133</v>
      </c>
      <c r="AC464" s="5" t="str">
        <f>IFERROR(VLOOKUP(D464,CAARStatus!$A$2:$AA$1600,22,FALSE),"Not invoiced")</f>
        <v>Paid</v>
      </c>
      <c r="AD464" s="11">
        <f>IF(AC464="Paid",IFERROR(VLOOKUP(D464,CAARStatus!$A$2:$AA$1600,6,FALSE),"Pending"),"Pending")</f>
        <v>45833</v>
      </c>
      <c r="AE464" s="5" t="str">
        <f t="shared" si="166"/>
        <v>RJEDD/IPO/2526/00046 - paid in full on June 6th 2025. $20,808.13</v>
      </c>
      <c r="AF464" s="5" t="str">
        <f t="shared" si="167"/>
        <v>Jindal Drilling &amp; Industries Limited</v>
      </c>
      <c r="AG464" s="5" t="str">
        <f t="shared" si="168"/>
        <v>USD</v>
      </c>
      <c r="AH464" s="5">
        <f t="shared" si="169"/>
        <v>28589.292236776691</v>
      </c>
      <c r="AI464" s="12">
        <f>IF(L464-N464=0,VLOOKUP(U464,rate!A$4:B$15,2,FALSE)*AH464,IF(AG464="USD",O464,AH464*Y464))</f>
        <v>20808.13</v>
      </c>
      <c r="AJ464" s="13">
        <f t="shared" si="170"/>
        <v>0.72782949041434608</v>
      </c>
      <c r="AK464" s="13">
        <f>-IF(AG464="CAD",IFERROR(VLOOKUP(D464,CAARStatus!$A$1:$Y$1600,16,FALSE),0),0)</f>
        <v>0</v>
      </c>
      <c r="AL464" s="13">
        <f>-IF(AG464="USD",IFERROR(VLOOKUP(D464,CAARStatus!$A$1:$Y$1600,11,FALSE),0),0)</f>
        <v>-20808.13</v>
      </c>
      <c r="AM464" s="22" t="str">
        <f t="shared" si="171"/>
        <v/>
      </c>
      <c r="AN464" s="12">
        <f t="shared" si="172"/>
        <v>0</v>
      </c>
      <c r="AO464" s="12" t="str">
        <f t="shared" si="173"/>
        <v>Yes</v>
      </c>
      <c r="AP464" t="str">
        <f t="shared" si="158"/>
        <v>Yes</v>
      </c>
      <c r="AQ464" t="str">
        <f>IFERROR(VLOOKUP(Z464,InvBal!$L$4:$P$600,4,FALSE),"Pend")</f>
        <v>Pend</v>
      </c>
      <c r="AR464" t="str">
        <f>IFERROR(VLOOKUP(D464,Manual!$C$1:$E$22,2,FALSE),"Pend")</f>
        <v>Pend</v>
      </c>
      <c r="AS464" t="str">
        <f t="shared" si="174"/>
        <v>Yes</v>
      </c>
      <c r="AT464" t="str">
        <f t="shared" si="175"/>
        <v>Yes</v>
      </c>
      <c r="AU464" s="51" t="str">
        <f t="shared" si="176"/>
        <v>Yes</v>
      </c>
      <c r="AV464" s="12">
        <f>IFERROR(VLOOKUP(D464,'Receivable Invoice Detail'!$S$1:$U$3014,3,FALSE),0)</f>
        <v>0</v>
      </c>
      <c r="AW464" s="12">
        <f t="shared" si="177"/>
        <v>20808.13</v>
      </c>
    </row>
    <row r="465" spans="1:49" x14ac:dyDescent="0.25">
      <c r="A465" s="2">
        <v>1</v>
      </c>
      <c r="B465" s="2" t="s">
        <v>1520</v>
      </c>
      <c r="C465" s="2" t="s">
        <v>1521</v>
      </c>
      <c r="D465" s="2" t="s">
        <v>2701</v>
      </c>
      <c r="E465" s="2" t="s">
        <v>556</v>
      </c>
      <c r="F465" s="3">
        <v>45775.644548611112</v>
      </c>
      <c r="G465" s="3">
        <v>45775.644548611112</v>
      </c>
      <c r="H465" s="4">
        <v>45776</v>
      </c>
      <c r="I465" s="2" t="s">
        <v>21</v>
      </c>
      <c r="J465" s="2" t="s">
        <v>22</v>
      </c>
      <c r="K465" s="2">
        <v>1</v>
      </c>
      <c r="L465" s="2">
        <v>259.76</v>
      </c>
      <c r="M465" s="2">
        <v>0</v>
      </c>
      <c r="N465" s="2">
        <v>187.42208981737019</v>
      </c>
      <c r="O465" s="2">
        <v>229.88</v>
      </c>
      <c r="P465" s="2">
        <v>29.88</v>
      </c>
      <c r="Q465" s="2">
        <v>259.76</v>
      </c>
      <c r="R465" s="2" t="s">
        <v>44</v>
      </c>
      <c r="S465" s="2"/>
      <c r="T465" s="2">
        <f t="shared" si="159"/>
        <v>1</v>
      </c>
      <c r="U465" s="18">
        <f t="shared" si="160"/>
        <v>4</v>
      </c>
      <c r="V465" s="18">
        <f t="shared" si="161"/>
        <v>2025</v>
      </c>
      <c r="W465" s="18">
        <f t="shared" si="162"/>
        <v>6</v>
      </c>
      <c r="X465" s="18">
        <f t="shared" si="163"/>
        <v>2025</v>
      </c>
      <c r="Y465" s="2">
        <f t="shared" si="156"/>
        <v>0.72152021026089541</v>
      </c>
      <c r="Z465" t="str">
        <f t="shared" si="157"/>
        <v>SO17053</v>
      </c>
      <c r="AA465" s="11">
        <f t="shared" si="164"/>
        <v>45775.644548611112</v>
      </c>
      <c r="AB465" s="5" t="str">
        <f t="shared" si="165"/>
        <v>INV12934</v>
      </c>
      <c r="AC465" s="5" t="str">
        <f>IFERROR(VLOOKUP(D465,CAARStatus!$A$2:$AA$1600,22,FALSE),"Not invoiced")</f>
        <v>Paid</v>
      </c>
      <c r="AD465" s="11">
        <f>IF(AC465="Paid",IFERROR(VLOOKUP(D465,CAARStatus!$A$2:$AA$1600,6,FALSE),"Pending"),"Pending")</f>
        <v>45828</v>
      </c>
      <c r="AE465" s="5" t="str">
        <f t="shared" si="166"/>
        <v>185878</v>
      </c>
      <c r="AF465" s="5" t="str">
        <f t="shared" si="167"/>
        <v>Fabrene Inc.</v>
      </c>
      <c r="AG465" s="5" t="str">
        <f t="shared" si="168"/>
        <v>CAD</v>
      </c>
      <c r="AH465" s="5">
        <f t="shared" si="169"/>
        <v>229.88</v>
      </c>
      <c r="AI465" s="12">
        <f>IF(L465-N465=0,VLOOKUP(U465,rate!A$4:B$15,2,FALSE)*AH465,IF(AG465="USD",O465,AH465*Y465))</f>
        <v>165.86306593477462</v>
      </c>
      <c r="AJ465" s="13">
        <f t="shared" si="170"/>
        <v>0.72152021026089541</v>
      </c>
      <c r="AK465" s="13">
        <f>-IF(AG465="CAD",IFERROR(VLOOKUP(D465,CAARStatus!$A$1:$Y$1600,16,FALSE),0),0)</f>
        <v>-229.88</v>
      </c>
      <c r="AL465" s="13">
        <f>-IF(AG465="USD",IFERROR(VLOOKUP(D465,CAARStatus!$A$1:$Y$1600,11,FALSE),0),0)</f>
        <v>0</v>
      </c>
      <c r="AM465" s="22">
        <f t="shared" si="171"/>
        <v>0</v>
      </c>
      <c r="AN465" s="12" t="str">
        <f t="shared" si="172"/>
        <v/>
      </c>
      <c r="AO465" s="12" t="str">
        <f t="shared" si="173"/>
        <v>Yes</v>
      </c>
      <c r="AP465" t="str">
        <f t="shared" si="158"/>
        <v>Yes</v>
      </c>
      <c r="AQ465" t="str">
        <f>IFERROR(VLOOKUP(Z465,InvBal!$L$4:$P$600,4,FALSE),"Pend")</f>
        <v>Pend</v>
      </c>
      <c r="AR465" t="str">
        <f>IFERROR(VLOOKUP(D465,Manual!$C$1:$E$22,2,FALSE),"Pend")</f>
        <v>Pend</v>
      </c>
      <c r="AS465" t="str">
        <f t="shared" si="174"/>
        <v>Yes</v>
      </c>
      <c r="AT465" t="str">
        <f t="shared" si="175"/>
        <v>Yes</v>
      </c>
      <c r="AU465" s="51" t="str">
        <f t="shared" si="176"/>
        <v>Yes</v>
      </c>
      <c r="AV465" s="12">
        <f>IFERROR(VLOOKUP(D465,'Receivable Invoice Detail'!$S$1:$U$3014,3,FALSE),0)</f>
        <v>0</v>
      </c>
      <c r="AW465" s="12">
        <f t="shared" si="177"/>
        <v>165.86306593477462</v>
      </c>
    </row>
    <row r="466" spans="1:49" x14ac:dyDescent="0.25">
      <c r="A466" s="2">
        <v>1</v>
      </c>
      <c r="B466" s="2" t="s">
        <v>1518</v>
      </c>
      <c r="C466" s="2" t="s">
        <v>1519</v>
      </c>
      <c r="D466" s="2" t="s">
        <v>2702</v>
      </c>
      <c r="E466" s="2" t="s">
        <v>556</v>
      </c>
      <c r="F466" s="3">
        <v>45775.646168981482</v>
      </c>
      <c r="G466" s="3">
        <v>45775.647465277783</v>
      </c>
      <c r="H466" s="4">
        <v>45776</v>
      </c>
      <c r="I466" s="2" t="s">
        <v>21</v>
      </c>
      <c r="J466" s="2" t="s">
        <v>22</v>
      </c>
      <c r="K466" s="2">
        <v>1</v>
      </c>
      <c r="L466" s="2">
        <v>480.49</v>
      </c>
      <c r="M466" s="2">
        <v>0</v>
      </c>
      <c r="N466" s="2">
        <v>346.68324582825772</v>
      </c>
      <c r="O466" s="2">
        <v>425.21</v>
      </c>
      <c r="P466" s="2">
        <v>55.28</v>
      </c>
      <c r="Q466" s="2">
        <v>480.49</v>
      </c>
      <c r="R466" s="2" t="s">
        <v>44</v>
      </c>
      <c r="S466" s="2"/>
      <c r="T466" s="2">
        <f t="shared" si="159"/>
        <v>1</v>
      </c>
      <c r="U466" s="18">
        <f t="shared" si="160"/>
        <v>4</v>
      </c>
      <c r="V466" s="18">
        <f t="shared" si="161"/>
        <v>2025</v>
      </c>
      <c r="W466" s="18">
        <f t="shared" si="162"/>
        <v>6</v>
      </c>
      <c r="X466" s="18">
        <f t="shared" si="163"/>
        <v>2025</v>
      </c>
      <c r="Y466" s="2">
        <f t="shared" si="156"/>
        <v>0.72152021026089563</v>
      </c>
      <c r="Z466" t="str">
        <f t="shared" si="157"/>
        <v>SO17054</v>
      </c>
      <c r="AA466" s="11">
        <f t="shared" si="164"/>
        <v>45775.646168981482</v>
      </c>
      <c r="AB466" s="5" t="str">
        <f t="shared" si="165"/>
        <v>INV12924</v>
      </c>
      <c r="AC466" s="5" t="str">
        <f>IFERROR(VLOOKUP(D466,CAARStatus!$A$2:$AA$1600,22,FALSE),"Not invoiced")</f>
        <v>Paid</v>
      </c>
      <c r="AD466" s="11">
        <f>IF(AC466="Paid",IFERROR(VLOOKUP(D466,CAARStatus!$A$2:$AA$1600,6,FALSE),"Pending"),"Pending")</f>
        <v>45828</v>
      </c>
      <c r="AE466" s="5" t="str">
        <f t="shared" si="166"/>
        <v>185850</v>
      </c>
      <c r="AF466" s="5" t="str">
        <f t="shared" si="167"/>
        <v>Fabrene Inc.</v>
      </c>
      <c r="AG466" s="5" t="str">
        <f t="shared" si="168"/>
        <v>CAD</v>
      </c>
      <c r="AH466" s="5">
        <f t="shared" si="169"/>
        <v>425.21</v>
      </c>
      <c r="AI466" s="12">
        <f>IF(L466-N466=0,VLOOKUP(U466,rate!A$4:B$15,2,FALSE)*AH466,IF(AG466="USD",O466,AH466*Y466))</f>
        <v>306.79760860503541</v>
      </c>
      <c r="AJ466" s="13">
        <f t="shared" si="170"/>
        <v>0.72152021026089563</v>
      </c>
      <c r="AK466" s="13">
        <f>-IF(AG466="CAD",IFERROR(VLOOKUP(D466,CAARStatus!$A$1:$Y$1600,16,FALSE),0),0)</f>
        <v>-425.21</v>
      </c>
      <c r="AL466" s="13">
        <f>-IF(AG466="USD",IFERROR(VLOOKUP(D466,CAARStatus!$A$1:$Y$1600,11,FALSE),0),0)</f>
        <v>0</v>
      </c>
      <c r="AM466" s="22">
        <f t="shared" si="171"/>
        <v>0</v>
      </c>
      <c r="AN466" s="12" t="str">
        <f t="shared" si="172"/>
        <v/>
      </c>
      <c r="AO466" s="12" t="str">
        <f t="shared" si="173"/>
        <v>Yes</v>
      </c>
      <c r="AP466" t="str">
        <f t="shared" si="158"/>
        <v>Yes</v>
      </c>
      <c r="AQ466" t="str">
        <f>IFERROR(VLOOKUP(Z466,InvBal!$L$4:$P$600,4,FALSE),"Pend")</f>
        <v>Pend</v>
      </c>
      <c r="AR466" t="str">
        <f>IFERROR(VLOOKUP(D466,Manual!$C$1:$E$22,2,FALSE),"Pend")</f>
        <v>Pend</v>
      </c>
      <c r="AS466" t="str">
        <f t="shared" si="174"/>
        <v>Yes</v>
      </c>
      <c r="AT466" t="str">
        <f t="shared" si="175"/>
        <v>Yes</v>
      </c>
      <c r="AU466" s="51" t="str">
        <f t="shared" si="176"/>
        <v>Yes</v>
      </c>
      <c r="AV466" s="12">
        <f>IFERROR(VLOOKUP(D466,'Receivable Invoice Detail'!$S$1:$U$3014,3,FALSE),0)</f>
        <v>0</v>
      </c>
      <c r="AW466" s="12">
        <f t="shared" si="177"/>
        <v>306.79760860503541</v>
      </c>
    </row>
    <row r="467" spans="1:49" x14ac:dyDescent="0.25">
      <c r="A467" s="2">
        <v>1</v>
      </c>
      <c r="B467" s="2" t="s">
        <v>1514</v>
      </c>
      <c r="C467" s="2" t="s">
        <v>1515</v>
      </c>
      <c r="D467" s="2" t="s">
        <v>2705</v>
      </c>
      <c r="E467" s="2" t="s">
        <v>61</v>
      </c>
      <c r="F467" s="3">
        <v>45775.650891203702</v>
      </c>
      <c r="G467" s="3">
        <v>45776.458715277768</v>
      </c>
      <c r="H467" s="4">
        <v>45777</v>
      </c>
      <c r="I467" s="2" t="s">
        <v>21</v>
      </c>
      <c r="J467" s="2" t="s">
        <v>51</v>
      </c>
      <c r="K467" s="2">
        <v>0.72124093927420463</v>
      </c>
      <c r="L467" s="2">
        <v>3538.3182803905929</v>
      </c>
      <c r="M467" s="2">
        <v>0</v>
      </c>
      <c r="N467" s="2">
        <v>2551.98</v>
      </c>
      <c r="O467" s="2">
        <v>2551.98</v>
      </c>
      <c r="P467" s="2"/>
      <c r="Q467" s="2">
        <v>2551.98</v>
      </c>
      <c r="R467" s="2" t="s">
        <v>44</v>
      </c>
      <c r="S467" s="2"/>
      <c r="T467" s="2">
        <f t="shared" si="159"/>
        <v>1</v>
      </c>
      <c r="U467" s="18">
        <f t="shared" si="160"/>
        <v>4</v>
      </c>
      <c r="V467" s="18">
        <f t="shared" si="161"/>
        <v>2025</v>
      </c>
      <c r="W467" s="18">
        <f t="shared" si="162"/>
        <v>6</v>
      </c>
      <c r="X467" s="18">
        <f t="shared" si="163"/>
        <v>2025</v>
      </c>
      <c r="Y467" s="2">
        <f t="shared" si="156"/>
        <v>0.72124093927420474</v>
      </c>
      <c r="Z467" t="str">
        <f t="shared" si="157"/>
        <v>SO17055</v>
      </c>
      <c r="AA467" s="11">
        <f t="shared" si="164"/>
        <v>45775.650891203702</v>
      </c>
      <c r="AB467" s="5" t="str">
        <f t="shared" si="165"/>
        <v>INV12928</v>
      </c>
      <c r="AC467" s="5" t="str">
        <f>IFERROR(VLOOKUP(D467,CAARStatus!$A$2:$AA$1600,22,FALSE),"Not invoiced")</f>
        <v>Paid</v>
      </c>
      <c r="AD467" s="11">
        <f>IF(AC467="Paid",IFERROR(VLOOKUP(D467,CAARStatus!$A$2:$AA$1600,6,FALSE),"Pending"),"Pending")</f>
        <v>45822</v>
      </c>
      <c r="AE467" s="5" t="str">
        <f t="shared" si="166"/>
        <v>PONV-25-0896</v>
      </c>
      <c r="AF467" s="5" t="str">
        <f t="shared" si="167"/>
        <v>Tech-Flow</v>
      </c>
      <c r="AG467" s="5" t="str">
        <f t="shared" si="168"/>
        <v>USD</v>
      </c>
      <c r="AH467" s="5">
        <f t="shared" si="169"/>
        <v>3538.3182803905934</v>
      </c>
      <c r="AI467" s="12">
        <f>IF(L467-N467=0,VLOOKUP(U467,rate!A$4:B$15,2,FALSE)*AH467,IF(AG467="USD",O467,AH467*Y467))</f>
        <v>2551.98</v>
      </c>
      <c r="AJ467" s="13">
        <f t="shared" si="170"/>
        <v>0.72124093927420463</v>
      </c>
      <c r="AK467" s="13">
        <f>-IF(AG467="CAD",IFERROR(VLOOKUP(D467,CAARStatus!$A$1:$Y$1600,16,FALSE),0),0)</f>
        <v>0</v>
      </c>
      <c r="AL467" s="13">
        <f>-IF(AG467="USD",IFERROR(VLOOKUP(D467,CAARStatus!$A$1:$Y$1600,11,FALSE),0),0)</f>
        <v>-2551.98</v>
      </c>
      <c r="AM467" s="22" t="str">
        <f t="shared" si="171"/>
        <v/>
      </c>
      <c r="AN467" s="12">
        <f t="shared" si="172"/>
        <v>0</v>
      </c>
      <c r="AO467" s="12" t="str">
        <f t="shared" si="173"/>
        <v>Yes</v>
      </c>
      <c r="AP467" t="str">
        <f t="shared" si="158"/>
        <v>Yes</v>
      </c>
      <c r="AQ467" t="str">
        <f>IFERROR(VLOOKUP(Z467,InvBal!$L$4:$P$600,4,FALSE),"Pend")</f>
        <v>Pend</v>
      </c>
      <c r="AR467" t="str">
        <f>IFERROR(VLOOKUP(D467,Manual!$C$1:$E$22,2,FALSE),"Pend")</f>
        <v>Pend</v>
      </c>
      <c r="AS467" t="str">
        <f t="shared" si="174"/>
        <v>Yes</v>
      </c>
      <c r="AT467" t="str">
        <f t="shared" si="175"/>
        <v>Yes</v>
      </c>
      <c r="AU467" s="51" t="str">
        <f t="shared" si="176"/>
        <v>Yes</v>
      </c>
      <c r="AV467" s="12">
        <f>IFERROR(VLOOKUP(D467,'Receivable Invoice Detail'!$S$1:$U$3014,3,FALSE),0)</f>
        <v>0</v>
      </c>
      <c r="AW467" s="12">
        <f t="shared" si="177"/>
        <v>2551.98</v>
      </c>
    </row>
    <row r="468" spans="1:49" ht="30" x14ac:dyDescent="0.25">
      <c r="A468" s="2">
        <v>2</v>
      </c>
      <c r="B468" s="2" t="s">
        <v>1516</v>
      </c>
      <c r="C468" s="2" t="s">
        <v>1517</v>
      </c>
      <c r="D468" s="2" t="s">
        <v>2704</v>
      </c>
      <c r="E468" s="2" t="s">
        <v>129</v>
      </c>
      <c r="F468" s="3">
        <v>45775.711053240739</v>
      </c>
      <c r="G468" s="3">
        <v>45775.7112037037</v>
      </c>
      <c r="H468" s="4">
        <v>45838</v>
      </c>
      <c r="I468" s="2" t="s">
        <v>130</v>
      </c>
      <c r="J468" s="2" t="s">
        <v>51</v>
      </c>
      <c r="K468" s="2">
        <v>0.72125060891744774</v>
      </c>
      <c r="L468" s="2">
        <v>42958.715898354742</v>
      </c>
      <c r="M468" s="2">
        <v>0</v>
      </c>
      <c r="N468" s="2">
        <v>30984</v>
      </c>
      <c r="O468" s="2">
        <v>30984</v>
      </c>
      <c r="P468" s="2"/>
      <c r="Q468" s="2">
        <v>30984</v>
      </c>
      <c r="R468" s="2" t="s">
        <v>44</v>
      </c>
      <c r="S468" s="2"/>
      <c r="T468" s="2">
        <f t="shared" si="159"/>
        <v>2</v>
      </c>
      <c r="U468" s="18">
        <f t="shared" si="160"/>
        <v>4</v>
      </c>
      <c r="V468" s="18">
        <f t="shared" si="161"/>
        <v>2025</v>
      </c>
      <c r="W468" s="18" t="str">
        <f t="shared" si="162"/>
        <v/>
      </c>
      <c r="X468" s="18" t="str">
        <f t="shared" si="163"/>
        <v/>
      </c>
      <c r="Y468" s="2">
        <f t="shared" si="156"/>
        <v>0.72125060891744774</v>
      </c>
      <c r="Z468" t="str">
        <f t="shared" si="157"/>
        <v>SO17059</v>
      </c>
      <c r="AA468" s="11">
        <f t="shared" si="164"/>
        <v>45775.711053240739</v>
      </c>
      <c r="AB468" s="5" t="str">
        <f t="shared" si="165"/>
        <v>INV13394</v>
      </c>
      <c r="AC468" s="5" t="str">
        <f>IFERROR(VLOOKUP(D468,CAARStatus!$A$2:$AA$1600,22,FALSE),"Not invoiced")</f>
        <v>Approved</v>
      </c>
      <c r="AD468" s="11" t="str">
        <f>IF(AC468="Paid",IFERROR(VLOOKUP(D468,CAARStatus!$A$2:$AA$1600,6,FALSE),"Pending"),"Pending")</f>
        <v>Pending</v>
      </c>
      <c r="AE468" s="5" t="str">
        <f t="shared" si="166"/>
        <v>OC00165</v>
      </c>
      <c r="AF468" s="5" t="str">
        <f t="shared" si="167"/>
        <v>Dynapro Pumps México S de RL de CV</v>
      </c>
      <c r="AG468" s="5" t="str">
        <f t="shared" si="168"/>
        <v>USD</v>
      </c>
      <c r="AH468" s="5">
        <f t="shared" si="169"/>
        <v>42958.715898354742</v>
      </c>
      <c r="AI468" s="12">
        <f>IF(L468-N468=0,VLOOKUP(U468,rate!A$4:B$15,2,FALSE)*AH468,IF(AG468="USD",O468,AH468*Y468))</f>
        <v>30984</v>
      </c>
      <c r="AJ468" s="13">
        <f t="shared" si="170"/>
        <v>0.72125060891744774</v>
      </c>
      <c r="AK468" s="61">
        <f>IF(AC468="Paid",-IF(AG468="CAD",IFERROR(VLOOKUP(D468,CAARStatus!$A$1:$Y$1600,16,FALSE),0),0),0)</f>
        <v>0</v>
      </c>
      <c r="AL468" s="61">
        <f>IF(AC468="Paid",-IF(AG468="USD",IFERROR(VLOOKUP(D468,CAARStatus!$A$1:$Y$1600,11,FALSE),0),0),0)</f>
        <v>0</v>
      </c>
      <c r="AM468" s="22" t="str">
        <f t="shared" si="171"/>
        <v/>
      </c>
      <c r="AN468" s="12">
        <f t="shared" si="172"/>
        <v>30984</v>
      </c>
      <c r="AO468" s="12" t="str">
        <f t="shared" si="173"/>
        <v>Pend</v>
      </c>
      <c r="AP468" t="str">
        <f t="shared" si="158"/>
        <v>XX</v>
      </c>
      <c r="AQ468">
        <f>IFERROR(VLOOKUP(Z468,InvBal!$L$4:$P$600,4,FALSE),"Pend")</f>
        <v>0</v>
      </c>
      <c r="AR468" t="str">
        <f>IFERROR(VLOOKUP(D468,Manual!$C$1:$E$22,2,FALSE),"Pend")</f>
        <v>Pend</v>
      </c>
      <c r="AS468" t="str">
        <f t="shared" si="174"/>
        <v/>
      </c>
      <c r="AT468" t="str">
        <f t="shared" si="175"/>
        <v>Yes</v>
      </c>
      <c r="AU468" s="51" t="str">
        <f t="shared" si="176"/>
        <v/>
      </c>
      <c r="AV468" s="12">
        <f>IFERROR(VLOOKUP(D468,'Receivable Invoice Detail'!$S$1:$U$3014,3,FALSE),0)</f>
        <v>0</v>
      </c>
      <c r="AW468" s="12">
        <f t="shared" si="177"/>
        <v>0</v>
      </c>
    </row>
    <row r="469" spans="1:49" x14ac:dyDescent="0.25">
      <c r="A469" s="2"/>
      <c r="B469" s="2"/>
      <c r="C469" s="2"/>
      <c r="D469" s="2" t="s">
        <v>2703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>
        <f t="shared" si="159"/>
        <v>2</v>
      </c>
      <c r="U469" s="18">
        <f t="shared" si="160"/>
        <v>4</v>
      </c>
      <c r="V469" s="18">
        <f t="shared" si="161"/>
        <v>2025</v>
      </c>
      <c r="W469" s="18" t="str">
        <f t="shared" si="162"/>
        <v/>
      </c>
      <c r="X469" s="18" t="str">
        <f t="shared" si="163"/>
        <v/>
      </c>
      <c r="Y469" s="2">
        <f t="shared" si="156"/>
        <v>0.72125060891744774</v>
      </c>
      <c r="Z469" t="str">
        <f t="shared" si="157"/>
        <v>SO17059</v>
      </c>
      <c r="AA469" s="11">
        <f t="shared" si="164"/>
        <v>45775.711053240739</v>
      </c>
      <c r="AB469" s="5" t="str">
        <f t="shared" si="165"/>
        <v>INV13273</v>
      </c>
      <c r="AC469" s="5" t="str">
        <f>IFERROR(VLOOKUP(D469,CAARStatus!$A$2:$AA$1600,22,FALSE),"Not invoiced")</f>
        <v>Approved</v>
      </c>
      <c r="AD469" s="11" t="str">
        <f>IF(AC469="Paid",IFERROR(VLOOKUP(D469,CAARStatus!$A$2:$AA$1600,6,FALSE),"Pending"),"Pending")</f>
        <v>Pending</v>
      </c>
      <c r="AE469" s="5" t="str">
        <f t="shared" si="166"/>
        <v>OC00165</v>
      </c>
      <c r="AF469" s="5" t="str">
        <f t="shared" si="167"/>
        <v>Dynapro Pumps México S de RL de CV</v>
      </c>
      <c r="AG469" s="5" t="str">
        <f t="shared" si="168"/>
        <v>USD</v>
      </c>
      <c r="AH469" s="5">
        <f t="shared" si="169"/>
        <v>0</v>
      </c>
      <c r="AI469" s="12">
        <f>IF(L469-N469=0,VLOOKUP(U469,rate!A$4:B$15,2,FALSE)*AH469,IF(AG469="USD",O469,AH469*Y469))</f>
        <v>0</v>
      </c>
      <c r="AJ469" s="13">
        <f t="shared" si="170"/>
        <v>0</v>
      </c>
      <c r="AK469" s="61">
        <f>IF(AC469="Paid",-IF(AG469="CAD",IFERROR(VLOOKUP(D469,CAARStatus!$A$1:$Y$1600,16,FALSE),0),0),0)</f>
        <v>0</v>
      </c>
      <c r="AL469" s="61">
        <f>IF(AC469="Paid",-IF(AG469="USD",IFERROR(VLOOKUP(D469,CAARStatus!$A$1:$Y$1600,11,FALSE),0),0),0)</f>
        <v>0</v>
      </c>
      <c r="AM469" s="22" t="str">
        <f t="shared" si="171"/>
        <v/>
      </c>
      <c r="AN469" s="12">
        <f t="shared" si="172"/>
        <v>0</v>
      </c>
      <c r="AO469" s="12" t="str">
        <f t="shared" si="173"/>
        <v>Pend</v>
      </c>
      <c r="AP469" t="str">
        <f t="shared" si="158"/>
        <v>XX</v>
      </c>
      <c r="AQ469">
        <f>IFERROR(VLOOKUP(Z469,InvBal!$L$4:$P$600,4,FALSE),"Pend")</f>
        <v>0</v>
      </c>
      <c r="AR469" t="str">
        <f>IFERROR(VLOOKUP(D469,Manual!$C$1:$E$22,2,FALSE),"Pend")</f>
        <v>Pend</v>
      </c>
      <c r="AS469" t="str">
        <f t="shared" si="174"/>
        <v/>
      </c>
      <c r="AT469" t="str">
        <f t="shared" si="175"/>
        <v/>
      </c>
      <c r="AU469" s="51" t="str">
        <f t="shared" si="176"/>
        <v/>
      </c>
      <c r="AV469" s="12">
        <f>IFERROR(VLOOKUP(D469,'Receivable Invoice Detail'!$S$1:$U$3014,3,FALSE),0)</f>
        <v>0</v>
      </c>
      <c r="AW469" s="12">
        <f t="shared" si="177"/>
        <v>0</v>
      </c>
    </row>
    <row r="470" spans="1:49" ht="30" x14ac:dyDescent="0.25">
      <c r="A470" s="2">
        <v>2</v>
      </c>
      <c r="B470" s="2" t="s">
        <v>1489</v>
      </c>
      <c r="C470" s="2" t="s">
        <v>1490</v>
      </c>
      <c r="D470" s="2" t="s">
        <v>2720</v>
      </c>
      <c r="E470" s="2" t="s">
        <v>98</v>
      </c>
      <c r="F470" s="3">
        <v>45776.420173611114</v>
      </c>
      <c r="G470" s="3">
        <v>45782.390868055547</v>
      </c>
      <c r="H470" s="4">
        <v>45803</v>
      </c>
      <c r="I470" s="2" t="s">
        <v>1132</v>
      </c>
      <c r="J470" s="2" t="s">
        <v>22</v>
      </c>
      <c r="K470" s="2">
        <v>1</v>
      </c>
      <c r="L470" s="2">
        <v>19102.41</v>
      </c>
      <c r="M470" s="2">
        <v>19102.41</v>
      </c>
      <c r="N470" s="2">
        <v>19102.41</v>
      </c>
      <c r="O470" s="2">
        <v>16904.79</v>
      </c>
      <c r="P470" s="2">
        <v>2197.62</v>
      </c>
      <c r="Q470" s="2">
        <v>19102.41</v>
      </c>
      <c r="R470" s="2" t="s">
        <v>44</v>
      </c>
      <c r="S470" s="2"/>
      <c r="T470" s="2">
        <f t="shared" si="159"/>
        <v>2</v>
      </c>
      <c r="U470" s="18">
        <f t="shared" si="160"/>
        <v>4</v>
      </c>
      <c r="V470" s="18">
        <f t="shared" si="161"/>
        <v>2025</v>
      </c>
      <c r="W470" s="18">
        <f t="shared" si="162"/>
        <v>6</v>
      </c>
      <c r="X470" s="18">
        <f t="shared" si="163"/>
        <v>2025</v>
      </c>
      <c r="Y470" s="2">
        <f t="shared" si="156"/>
        <v>1</v>
      </c>
      <c r="Z470" t="str">
        <f t="shared" si="157"/>
        <v>SO17060</v>
      </c>
      <c r="AA470" s="11">
        <f t="shared" si="164"/>
        <v>45776.420173611114</v>
      </c>
      <c r="AB470" s="5" t="str">
        <f t="shared" si="165"/>
        <v>INV13021</v>
      </c>
      <c r="AC470" s="5" t="str">
        <f>IFERROR(VLOOKUP(D470,CAARStatus!$A$2:$AA$1600,22,FALSE),"Not invoiced")</f>
        <v>Paid</v>
      </c>
      <c r="AD470" s="11">
        <f>IF(AC470="Paid",IFERROR(VLOOKUP(D470,CAARStatus!$A$2:$AA$1600,6,FALSE),"Pending"),"Pending")</f>
        <v>45833</v>
      </c>
      <c r="AE470" s="5" t="str">
        <f t="shared" si="166"/>
        <v>PO-007949</v>
      </c>
      <c r="AF470" s="5" t="str">
        <f t="shared" si="167"/>
        <v>Sling-Choker Manufacturing - Timmins</v>
      </c>
      <c r="AG470" s="5" t="str">
        <f t="shared" si="168"/>
        <v>CAD</v>
      </c>
      <c r="AH470" s="5">
        <f t="shared" si="169"/>
        <v>16904.79</v>
      </c>
      <c r="AI470" s="12">
        <f>IF(L470-N470=0,VLOOKUP(U470,rate!A$4:B$15,2,FALSE)*AH470,IF(AG470="USD",O470,AH470*Y470))</f>
        <v>12115.0168917546</v>
      </c>
      <c r="AJ470" s="13">
        <f t="shared" si="170"/>
        <v>0.71666177998984903</v>
      </c>
      <c r="AK470" s="13">
        <f>-IF(AG470="CAD",IFERROR(VLOOKUP(D470,CAARStatus!$A$1:$Y$1600,16,FALSE),0),0)</f>
        <v>-15909.73</v>
      </c>
      <c r="AL470" s="13">
        <f>-IF(AG470="USD",IFERROR(VLOOKUP(D470,CAARStatus!$A$1:$Y$1600,11,FALSE),0),0)</f>
        <v>0</v>
      </c>
      <c r="AM470" s="22">
        <f t="shared" si="171"/>
        <v>995.06000000000131</v>
      </c>
      <c r="AN470" s="12" t="str">
        <f t="shared" si="172"/>
        <v/>
      </c>
      <c r="AO470" s="12" t="str">
        <f t="shared" si="173"/>
        <v>Yes</v>
      </c>
      <c r="AP470" t="str">
        <f t="shared" si="158"/>
        <v>XX</v>
      </c>
      <c r="AQ470" t="str">
        <f>IFERROR(VLOOKUP(Z470,InvBal!$L$4:$P$600,4,FALSE),"Pend")</f>
        <v>Yes</v>
      </c>
      <c r="AR470" t="str">
        <f>IFERROR(VLOOKUP(D470,Manual!$C$1:$E$22,2,FALSE),"Pend")</f>
        <v>Pend</v>
      </c>
      <c r="AS470" t="str">
        <f t="shared" si="174"/>
        <v>Yes</v>
      </c>
      <c r="AT470" t="str">
        <f t="shared" si="175"/>
        <v>Yes</v>
      </c>
      <c r="AU470" s="51" t="str">
        <f t="shared" si="176"/>
        <v>Yes</v>
      </c>
      <c r="AV470" s="12">
        <f>IFERROR(VLOOKUP(D470,'Receivable Invoice Detail'!$S$1:$U$3014,3,FALSE),0)</f>
        <v>0</v>
      </c>
      <c r="AW470" s="12">
        <f t="shared" si="177"/>
        <v>12115.0168917546</v>
      </c>
    </row>
    <row r="471" spans="1:49" x14ac:dyDescent="0.25">
      <c r="A471" s="2"/>
      <c r="B471" s="2"/>
      <c r="C471" s="2"/>
      <c r="D471" s="2" t="s">
        <v>2719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>
        <f t="shared" si="159"/>
        <v>2</v>
      </c>
      <c r="U471" s="18">
        <f t="shared" si="160"/>
        <v>4</v>
      </c>
      <c r="V471" s="18">
        <f t="shared" si="161"/>
        <v>2025</v>
      </c>
      <c r="W471" s="18">
        <f t="shared" si="162"/>
        <v>7</v>
      </c>
      <c r="X471" s="18">
        <f t="shared" si="163"/>
        <v>2025</v>
      </c>
      <c r="Y471" s="2">
        <f t="shared" si="156"/>
        <v>1</v>
      </c>
      <c r="Z471" t="str">
        <f t="shared" si="157"/>
        <v>SO17060</v>
      </c>
      <c r="AA471" s="11">
        <f t="shared" si="164"/>
        <v>45776.420173611114</v>
      </c>
      <c r="AB471" s="5" t="str">
        <f t="shared" si="165"/>
        <v>INV13114</v>
      </c>
      <c r="AC471" s="5" t="str">
        <f>IFERROR(VLOOKUP(D471,CAARStatus!$A$2:$AA$1600,22,FALSE),"Not invoiced")</f>
        <v>Paid</v>
      </c>
      <c r="AD471" s="11">
        <f>IF(AC471="Paid",IFERROR(VLOOKUP(D471,CAARStatus!$A$2:$AA$1600,6,FALSE),"Pending"),"Pending")</f>
        <v>45861</v>
      </c>
      <c r="AE471" s="5" t="str">
        <f t="shared" si="166"/>
        <v>PO-007949</v>
      </c>
      <c r="AF471" s="5" t="str">
        <f t="shared" si="167"/>
        <v>Sling-Choker Manufacturing - Timmins</v>
      </c>
      <c r="AG471" s="5" t="str">
        <f t="shared" si="168"/>
        <v>CAD</v>
      </c>
      <c r="AH471" s="5">
        <f t="shared" si="169"/>
        <v>0</v>
      </c>
      <c r="AI471" s="12">
        <f>IF(L471-N471=0,VLOOKUP(U471,rate!A$4:B$15,2,FALSE)*AH471,IF(AG471="USD",O471,AH471*Y471))</f>
        <v>0</v>
      </c>
      <c r="AJ471" s="13">
        <f t="shared" si="170"/>
        <v>0</v>
      </c>
      <c r="AK471" s="13">
        <f>-IF(AG471="CAD",IFERROR(VLOOKUP(D471,CAARStatus!$A$1:$Y$1600,16,FALSE),0),0)</f>
        <v>-995.06</v>
      </c>
      <c r="AL471" s="13">
        <f>-IF(AG471="USD",IFERROR(VLOOKUP(D471,CAARStatus!$A$1:$Y$1600,11,FALSE),0),0)</f>
        <v>0</v>
      </c>
      <c r="AM471" s="22">
        <f t="shared" si="171"/>
        <v>-995.06</v>
      </c>
      <c r="AN471" s="12" t="str">
        <f t="shared" si="172"/>
        <v/>
      </c>
      <c r="AO471" s="12" t="str">
        <f t="shared" si="173"/>
        <v>Yes</v>
      </c>
      <c r="AP471" t="str">
        <f t="shared" si="158"/>
        <v>XX</v>
      </c>
      <c r="AQ471" t="str">
        <f>IFERROR(VLOOKUP(Z471,InvBal!$L$4:$P$600,4,FALSE),"Pend")</f>
        <v>Yes</v>
      </c>
      <c r="AR471" t="str">
        <f>IFERROR(VLOOKUP(D471,Manual!$C$1:$E$22,2,FALSE),"Pend")</f>
        <v>Pend</v>
      </c>
      <c r="AS471" t="str">
        <f t="shared" si="174"/>
        <v>Yes</v>
      </c>
      <c r="AT471" t="str">
        <f t="shared" si="175"/>
        <v/>
      </c>
      <c r="AU471" s="51" t="str">
        <f t="shared" si="176"/>
        <v/>
      </c>
      <c r="AV471" s="12">
        <f>IFERROR(VLOOKUP(D471,'Receivable Invoice Detail'!$S$1:$U$3014,3,FALSE),0)</f>
        <v>0</v>
      </c>
      <c r="AW471" s="12">
        <f t="shared" si="177"/>
        <v>0</v>
      </c>
    </row>
    <row r="472" spans="1:49" ht="30" x14ac:dyDescent="0.25">
      <c r="A472" s="2">
        <v>1</v>
      </c>
      <c r="B472" s="2" t="s">
        <v>1509</v>
      </c>
      <c r="C472" s="2" t="s">
        <v>1510</v>
      </c>
      <c r="D472" s="2" t="s">
        <v>2707</v>
      </c>
      <c r="E472" s="2" t="s">
        <v>1511</v>
      </c>
      <c r="F472" s="3">
        <v>45776.436076388891</v>
      </c>
      <c r="G472" s="3">
        <v>45776.574467592603</v>
      </c>
      <c r="H472" s="4">
        <v>45783</v>
      </c>
      <c r="I472" s="2" t="s">
        <v>21</v>
      </c>
      <c r="J472" s="2" t="s">
        <v>51</v>
      </c>
      <c r="K472" s="2">
        <v>0.72124093927420463</v>
      </c>
      <c r="L472" s="2">
        <v>185.1531058877263</v>
      </c>
      <c r="M472" s="2">
        <v>0</v>
      </c>
      <c r="N472" s="2">
        <v>133.54</v>
      </c>
      <c r="O472" s="2">
        <v>133.54</v>
      </c>
      <c r="P472" s="2"/>
      <c r="Q472" s="2">
        <v>133.54</v>
      </c>
      <c r="R472" s="2" t="s">
        <v>44</v>
      </c>
      <c r="S472" s="2"/>
      <c r="T472" s="2">
        <f t="shared" si="159"/>
        <v>1</v>
      </c>
      <c r="U472" s="18">
        <f t="shared" si="160"/>
        <v>4</v>
      </c>
      <c r="V472" s="18">
        <f t="shared" si="161"/>
        <v>2025</v>
      </c>
      <c r="W472" s="18">
        <f t="shared" si="162"/>
        <v>6</v>
      </c>
      <c r="X472" s="18">
        <f t="shared" si="163"/>
        <v>2025</v>
      </c>
      <c r="Y472" s="2">
        <f t="shared" si="156"/>
        <v>0.72124093927420463</v>
      </c>
      <c r="Z472" t="str">
        <f t="shared" si="157"/>
        <v>SO17061</v>
      </c>
      <c r="AA472" s="11">
        <f t="shared" si="164"/>
        <v>45776.436076388891</v>
      </c>
      <c r="AB472" s="5" t="str">
        <f t="shared" si="165"/>
        <v>INV12995</v>
      </c>
      <c r="AC472" s="5" t="str">
        <f>IFERROR(VLOOKUP(D472,CAARStatus!$A$2:$AA$1600,22,FALSE),"Not invoiced")</f>
        <v>Paid</v>
      </c>
      <c r="AD472" s="11">
        <f>IF(AC472="Paid",IFERROR(VLOOKUP(D472,CAARStatus!$A$2:$AA$1600,6,FALSE),"Pending"),"Pending")</f>
        <v>45828</v>
      </c>
      <c r="AE472" s="5" t="str">
        <f t="shared" si="166"/>
        <v>LA73-00118858</v>
      </c>
      <c r="AF472" s="5" t="str">
        <f t="shared" si="167"/>
        <v>Motion Industries Inc. (U.S.) - Westlake</v>
      </c>
      <c r="AG472" s="5" t="str">
        <f t="shared" si="168"/>
        <v>USD</v>
      </c>
      <c r="AH472" s="5">
        <f t="shared" si="169"/>
        <v>185.1531058877263</v>
      </c>
      <c r="AI472" s="12">
        <f>IF(L472-N472=0,VLOOKUP(U472,rate!A$4:B$15,2,FALSE)*AH472,IF(AG472="USD",O472,AH472*Y472))</f>
        <v>133.54</v>
      </c>
      <c r="AJ472" s="13">
        <f t="shared" si="170"/>
        <v>0.72124093927420463</v>
      </c>
      <c r="AK472" s="13">
        <f>-IF(AG472="CAD",IFERROR(VLOOKUP(D472,CAARStatus!$A$1:$Y$1600,16,FALSE),0),0)</f>
        <v>0</v>
      </c>
      <c r="AL472" s="13">
        <f>-IF(AG472="USD",IFERROR(VLOOKUP(D472,CAARStatus!$A$1:$Y$1600,11,FALSE),0),0)</f>
        <v>-133.54</v>
      </c>
      <c r="AM472" s="22" t="str">
        <f t="shared" si="171"/>
        <v/>
      </c>
      <c r="AN472" s="12">
        <f t="shared" si="172"/>
        <v>0</v>
      </c>
      <c r="AO472" s="12" t="str">
        <f t="shared" si="173"/>
        <v>Yes</v>
      </c>
      <c r="AP472" t="str">
        <f t="shared" si="158"/>
        <v>Yes</v>
      </c>
      <c r="AQ472" t="str">
        <f>IFERROR(VLOOKUP(Z472,InvBal!$L$4:$P$600,4,FALSE),"Pend")</f>
        <v>Pend</v>
      </c>
      <c r="AR472" t="str">
        <f>IFERROR(VLOOKUP(D472,Manual!$C$1:$E$22,2,FALSE),"Pend")</f>
        <v>Pend</v>
      </c>
      <c r="AS472" t="str">
        <f t="shared" si="174"/>
        <v>Yes</v>
      </c>
      <c r="AT472" t="str">
        <f t="shared" si="175"/>
        <v>Yes</v>
      </c>
      <c r="AU472" s="51" t="str">
        <f t="shared" si="176"/>
        <v>Yes</v>
      </c>
      <c r="AV472" s="12">
        <f>IFERROR(VLOOKUP(D472,'Receivable Invoice Detail'!$S$1:$U$3014,3,FALSE),0)</f>
        <v>0</v>
      </c>
      <c r="AW472" s="12">
        <f t="shared" si="177"/>
        <v>133.54</v>
      </c>
    </row>
    <row r="473" spans="1:49" ht="30" x14ac:dyDescent="0.25">
      <c r="A473" s="2">
        <v>1</v>
      </c>
      <c r="B473" s="2" t="s">
        <v>1507</v>
      </c>
      <c r="C473" s="2" t="s">
        <v>1508</v>
      </c>
      <c r="D473" s="2" t="s">
        <v>2708</v>
      </c>
      <c r="E473" s="2" t="s">
        <v>159</v>
      </c>
      <c r="F473" s="3">
        <v>45776.456273148149</v>
      </c>
      <c r="G473" s="3">
        <v>45776.595486111109</v>
      </c>
      <c r="H473" s="4">
        <v>45909</v>
      </c>
      <c r="I473" s="2" t="s">
        <v>40</v>
      </c>
      <c r="J473" s="2" t="s">
        <v>51</v>
      </c>
      <c r="K473" s="2">
        <v>0.72124093927420463</v>
      </c>
      <c r="L473" s="2">
        <v>20638.65095481052</v>
      </c>
      <c r="M473" s="2">
        <v>0</v>
      </c>
      <c r="N473" s="2">
        <v>14885.44</v>
      </c>
      <c r="O473" s="2">
        <v>14885.44</v>
      </c>
      <c r="P473" s="2"/>
      <c r="Q473" s="2">
        <v>14885.44</v>
      </c>
      <c r="R473" s="2" t="s">
        <v>44</v>
      </c>
      <c r="S473" s="2"/>
      <c r="T473" s="2">
        <f t="shared" si="159"/>
        <v>1</v>
      </c>
      <c r="U473" s="18">
        <f t="shared" si="160"/>
        <v>4</v>
      </c>
      <c r="V473" s="18">
        <f t="shared" si="161"/>
        <v>2025</v>
      </c>
      <c r="W473" s="18">
        <f t="shared" si="162"/>
        <v>8</v>
      </c>
      <c r="X473" s="18">
        <f t="shared" si="163"/>
        <v>2025</v>
      </c>
      <c r="Y473" s="2">
        <f t="shared" si="156"/>
        <v>0.72124093927420463</v>
      </c>
      <c r="Z473" t="str">
        <f t="shared" si="157"/>
        <v>SO17062</v>
      </c>
      <c r="AA473" s="11">
        <f t="shared" si="164"/>
        <v>45776.456273148149</v>
      </c>
      <c r="AB473" s="5" t="str">
        <f t="shared" si="165"/>
        <v>INV13187</v>
      </c>
      <c r="AC473" s="5" t="str">
        <f>IFERROR(VLOOKUP(D473,CAARStatus!$A$2:$AA$1600,22,FALSE),"Not invoiced")</f>
        <v>Paid</v>
      </c>
      <c r="AD473" s="11">
        <f>IF(AC473="Paid",IFERROR(VLOOKUP(D473,CAARStatus!$A$2:$AA$1600,6,FALSE),"Pending"),"Pending")</f>
        <v>45898</v>
      </c>
      <c r="AE473" s="5" t="str">
        <f t="shared" si="166"/>
        <v>4501175680</v>
      </c>
      <c r="AF473" s="5" t="str">
        <f t="shared" si="167"/>
        <v>Barrick Gold - Pueblo Viejo Dominicana Corporation</v>
      </c>
      <c r="AG473" s="5" t="str">
        <f t="shared" si="168"/>
        <v>USD</v>
      </c>
      <c r="AH473" s="5">
        <f t="shared" si="169"/>
        <v>20638.65095481052</v>
      </c>
      <c r="AI473" s="12">
        <f>IF(L473-N473=0,VLOOKUP(U473,rate!A$4:B$15,2,FALSE)*AH473,IF(AG473="USD",O473,AH473*Y473))</f>
        <v>14885.44</v>
      </c>
      <c r="AJ473" s="13">
        <f t="shared" si="170"/>
        <v>0.72124093927420463</v>
      </c>
      <c r="AK473" s="13">
        <f>-IF(AG473="CAD",IFERROR(VLOOKUP(D473,CAARStatus!$A$1:$Y$1600,16,FALSE),0),0)</f>
        <v>0</v>
      </c>
      <c r="AL473" s="13">
        <f>-IF(AG473="USD",IFERROR(VLOOKUP(D473,CAARStatus!$A$1:$Y$1600,11,FALSE),0),0)</f>
        <v>-14885.44</v>
      </c>
      <c r="AM473" s="22" t="str">
        <f t="shared" si="171"/>
        <v/>
      </c>
      <c r="AN473" s="12">
        <f t="shared" si="172"/>
        <v>0</v>
      </c>
      <c r="AO473" s="12" t="str">
        <f t="shared" si="173"/>
        <v>Yes</v>
      </c>
      <c r="AP473" t="str">
        <f t="shared" si="158"/>
        <v>Yes</v>
      </c>
      <c r="AQ473" t="str">
        <f>IFERROR(VLOOKUP(Z473,InvBal!$L$4:$P$600,4,FALSE),"Pend")</f>
        <v>Pend</v>
      </c>
      <c r="AR473" t="str">
        <f>IFERROR(VLOOKUP(D473,Manual!$C$1:$E$22,2,FALSE),"Pend")</f>
        <v>Pend</v>
      </c>
      <c r="AS473" t="str">
        <f t="shared" si="174"/>
        <v>Yes</v>
      </c>
      <c r="AT473" t="str">
        <f t="shared" si="175"/>
        <v>Yes</v>
      </c>
      <c r="AU473" s="51" t="str">
        <f t="shared" si="176"/>
        <v>Yes</v>
      </c>
      <c r="AV473" s="12">
        <f>IFERROR(VLOOKUP(D473,'Receivable Invoice Detail'!$S$1:$U$3014,3,FALSE),0)</f>
        <v>0</v>
      </c>
      <c r="AW473" s="12">
        <f t="shared" si="177"/>
        <v>14885.44</v>
      </c>
    </row>
    <row r="474" spans="1:49" x14ac:dyDescent="0.25">
      <c r="A474" s="2">
        <v>1</v>
      </c>
      <c r="B474" s="2" t="s">
        <v>888</v>
      </c>
      <c r="C474" s="2" t="s">
        <v>889</v>
      </c>
      <c r="D474" s="2" t="s">
        <v>3061</v>
      </c>
      <c r="E474" s="2" t="s">
        <v>54</v>
      </c>
      <c r="F474" s="3">
        <v>45776.542268518519</v>
      </c>
      <c r="G474" s="3">
        <v>45875.693564814806</v>
      </c>
      <c r="H474" s="4">
        <v>45896</v>
      </c>
      <c r="I474" s="2" t="s">
        <v>21</v>
      </c>
      <c r="J474" s="2" t="s">
        <v>22</v>
      </c>
      <c r="K474" s="2">
        <v>1</v>
      </c>
      <c r="L474" s="2">
        <v>1821.57</v>
      </c>
      <c r="M474" s="2">
        <v>0</v>
      </c>
      <c r="N474" s="2">
        <v>1325.6068472676029</v>
      </c>
      <c r="O474" s="2">
        <v>1734.82</v>
      </c>
      <c r="P474" s="2">
        <v>86.75</v>
      </c>
      <c r="Q474" s="2">
        <v>1821.57</v>
      </c>
      <c r="R474" s="2" t="s">
        <v>44</v>
      </c>
      <c r="S474" s="2"/>
      <c r="T474" s="2">
        <f t="shared" si="159"/>
        <v>1</v>
      </c>
      <c r="U474" s="18">
        <f t="shared" si="160"/>
        <v>4</v>
      </c>
      <c r="V474" s="18">
        <f t="shared" si="161"/>
        <v>2025</v>
      </c>
      <c r="W474" s="18">
        <f t="shared" si="162"/>
        <v>10</v>
      </c>
      <c r="X474" s="18">
        <f t="shared" si="163"/>
        <v>2025</v>
      </c>
      <c r="Y474" s="2">
        <f t="shared" si="156"/>
        <v>0.72772764552973701</v>
      </c>
      <c r="Z474" t="str">
        <f t="shared" si="157"/>
        <v>SO17063</v>
      </c>
      <c r="AA474" s="11">
        <f t="shared" si="164"/>
        <v>45776.542268518519</v>
      </c>
      <c r="AB474" s="5" t="str">
        <f t="shared" si="165"/>
        <v>INV13386</v>
      </c>
      <c r="AC474" s="5" t="str">
        <f>IFERROR(VLOOKUP(D474,CAARStatus!$A$2:$AA$1600,22,FALSE),"Not invoiced")</f>
        <v>Paid</v>
      </c>
      <c r="AD474" s="11">
        <f>IF(AC474="Paid",IFERROR(VLOOKUP(D474,CAARStatus!$A$2:$AA$1600,6,FALSE),"Pending"),"Pending")</f>
        <v>45936</v>
      </c>
      <c r="AE474" s="5" t="str">
        <f t="shared" si="166"/>
        <v>3263</v>
      </c>
      <c r="AF474" s="5" t="str">
        <f t="shared" si="167"/>
        <v>Les Pompes du St-Laurent Inc.</v>
      </c>
      <c r="AG474" s="5" t="str">
        <f t="shared" si="168"/>
        <v>CAD</v>
      </c>
      <c r="AH474" s="5">
        <f t="shared" si="169"/>
        <v>1734.82</v>
      </c>
      <c r="AI474" s="12">
        <f>IF(L474-N474=0,VLOOKUP(U474,rate!A$4:B$15,2,FALSE)*AH474,IF(AG474="USD",O474,AH474*Y474))</f>
        <v>1262.4764740178982</v>
      </c>
      <c r="AJ474" s="13">
        <f t="shared" si="170"/>
        <v>0.72772764552973701</v>
      </c>
      <c r="AK474" s="13">
        <f>-IF(AG474="CAD",IFERROR(VLOOKUP(D474,CAARStatus!$A$1:$Y$1600,16,FALSE),0),0)</f>
        <v>-1734.82</v>
      </c>
      <c r="AL474" s="13">
        <f>-IF(AG474="USD",IFERROR(VLOOKUP(D474,CAARStatus!$A$1:$Y$1600,11,FALSE),0),0)</f>
        <v>0</v>
      </c>
      <c r="AM474" s="22">
        <f t="shared" si="171"/>
        <v>0</v>
      </c>
      <c r="AN474" s="12" t="str">
        <f t="shared" si="172"/>
        <v/>
      </c>
      <c r="AO474" s="12" t="str">
        <f t="shared" si="173"/>
        <v>Yes</v>
      </c>
      <c r="AP474" t="str">
        <f t="shared" si="158"/>
        <v>Yes</v>
      </c>
      <c r="AQ474" t="str">
        <f>IFERROR(VLOOKUP(Z474,InvBal!$L$4:$P$600,4,FALSE),"Pend")</f>
        <v>Pend</v>
      </c>
      <c r="AR474" t="str">
        <f>IFERROR(VLOOKUP(D474,Manual!$C$1:$E$22,2,FALSE),"Pend")</f>
        <v>Pend</v>
      </c>
      <c r="AS474" t="str">
        <f t="shared" si="174"/>
        <v>Yes</v>
      </c>
      <c r="AT474" t="str">
        <f t="shared" si="175"/>
        <v>Yes</v>
      </c>
      <c r="AU474" s="51" t="str">
        <f t="shared" si="176"/>
        <v>Yes</v>
      </c>
      <c r="AV474" s="12">
        <f>IFERROR(VLOOKUP(D474,'Receivable Invoice Detail'!$S$1:$U$3014,3,FALSE),0)</f>
        <v>0</v>
      </c>
      <c r="AW474" s="12">
        <f t="shared" si="177"/>
        <v>1262.4764740178982</v>
      </c>
    </row>
    <row r="475" spans="1:49" x14ac:dyDescent="0.25">
      <c r="A475" s="2">
        <v>1</v>
      </c>
      <c r="B475" s="2" t="s">
        <v>1483</v>
      </c>
      <c r="C475" s="2" t="s">
        <v>1484</v>
      </c>
      <c r="D475" s="2" t="s">
        <v>2723</v>
      </c>
      <c r="E475" s="2" t="s">
        <v>171</v>
      </c>
      <c r="F475" s="3">
        <v>45777.479456018518</v>
      </c>
      <c r="G475" s="3">
        <v>45782.5547337963</v>
      </c>
      <c r="H475" s="4">
        <v>45783</v>
      </c>
      <c r="I475" s="2" t="s">
        <v>21</v>
      </c>
      <c r="J475" s="2" t="s">
        <v>22</v>
      </c>
      <c r="K475" s="2">
        <v>1</v>
      </c>
      <c r="L475" s="2">
        <v>143.63999999999999</v>
      </c>
      <c r="M475" s="2">
        <v>143.63999999999999</v>
      </c>
      <c r="N475" s="2">
        <v>143.63999999999999</v>
      </c>
      <c r="O475" s="2">
        <v>136.80000000000001</v>
      </c>
      <c r="P475" s="2">
        <v>6.84</v>
      </c>
      <c r="Q475" s="2">
        <v>143.63999999999999</v>
      </c>
      <c r="R475" s="2" t="s">
        <v>44</v>
      </c>
      <c r="S475" s="2"/>
      <c r="T475" s="2">
        <f t="shared" si="159"/>
        <v>1</v>
      </c>
      <c r="U475" s="18">
        <f t="shared" si="160"/>
        <v>4</v>
      </c>
      <c r="V475" s="18">
        <f t="shared" si="161"/>
        <v>2025</v>
      </c>
      <c r="W475" s="18">
        <f t="shared" si="162"/>
        <v>5</v>
      </c>
      <c r="X475" s="18">
        <f t="shared" si="163"/>
        <v>2025</v>
      </c>
      <c r="Y475" s="2">
        <f t="shared" si="156"/>
        <v>1</v>
      </c>
      <c r="Z475" t="str">
        <f t="shared" si="157"/>
        <v>SO17073</v>
      </c>
      <c r="AA475" s="11">
        <f t="shared" si="164"/>
        <v>45777.479456018518</v>
      </c>
      <c r="AB475" s="5" t="str">
        <f t="shared" si="165"/>
        <v>INV12949</v>
      </c>
      <c r="AC475" s="5" t="str">
        <f>IFERROR(VLOOKUP(D475,CAARStatus!$A$2:$AA$1600,22,FALSE),"Not invoiced")</f>
        <v>Paid</v>
      </c>
      <c r="AD475" s="11">
        <f>IF(AC475="Paid",IFERROR(VLOOKUP(D475,CAARStatus!$A$2:$AA$1600,6,FALSE),"Pending"),"Pending")</f>
        <v>45806</v>
      </c>
      <c r="AE475" s="5" t="str">
        <f t="shared" si="166"/>
        <v>2088</v>
      </c>
      <c r="AF475" s="5" t="str">
        <f t="shared" si="167"/>
        <v>FMI Products</v>
      </c>
      <c r="AG475" s="5" t="str">
        <f t="shared" si="168"/>
        <v>CAD</v>
      </c>
      <c r="AH475" s="5">
        <f t="shared" si="169"/>
        <v>136.80000000000001</v>
      </c>
      <c r="AI475" s="12">
        <f>IF(L475-N475=0,VLOOKUP(U475,rate!A$4:B$15,2,FALSE)*AH475,IF(AG475="USD",O475,AH475*Y475))</f>
        <v>98.039331502611361</v>
      </c>
      <c r="AJ475" s="13">
        <f t="shared" si="170"/>
        <v>0.71666177998984903</v>
      </c>
      <c r="AK475" s="13">
        <f>-IF(AG475="CAD",IFERROR(VLOOKUP(D475,CAARStatus!$A$1:$Y$1600,16,FALSE),0),0)</f>
        <v>-136.80000000000001</v>
      </c>
      <c r="AL475" s="13">
        <f>-IF(AG475="USD",IFERROR(VLOOKUP(D475,CAARStatus!$A$1:$Y$1600,11,FALSE),0),0)</f>
        <v>0</v>
      </c>
      <c r="AM475" s="22">
        <f t="shared" si="171"/>
        <v>0</v>
      </c>
      <c r="AN475" s="12" t="str">
        <f t="shared" si="172"/>
        <v/>
      </c>
      <c r="AO475" s="12" t="str">
        <f t="shared" si="173"/>
        <v>Yes</v>
      </c>
      <c r="AP475" t="str">
        <f t="shared" si="158"/>
        <v>Yes</v>
      </c>
      <c r="AQ475" t="str">
        <f>IFERROR(VLOOKUP(Z475,InvBal!$L$4:$P$600,4,FALSE),"Pend")</f>
        <v>Pend</v>
      </c>
      <c r="AR475" t="str">
        <f>IFERROR(VLOOKUP(D475,Manual!$C$1:$E$22,2,FALSE),"Pend")</f>
        <v>Pend</v>
      </c>
      <c r="AS475" t="str">
        <f t="shared" si="174"/>
        <v>Yes</v>
      </c>
      <c r="AT475" t="str">
        <f t="shared" si="175"/>
        <v>Yes</v>
      </c>
      <c r="AU475" s="51" t="str">
        <f t="shared" si="176"/>
        <v>Yes</v>
      </c>
      <c r="AV475" s="12">
        <f>IFERROR(VLOOKUP(D475,'Receivable Invoice Detail'!$S$1:$U$3014,3,FALSE),0)</f>
        <v>0</v>
      </c>
      <c r="AW475" s="12">
        <f t="shared" si="177"/>
        <v>98.039331502611361</v>
      </c>
    </row>
    <row r="476" spans="1:49" ht="30" x14ac:dyDescent="0.25">
      <c r="A476" s="2">
        <v>1</v>
      </c>
      <c r="B476" s="2" t="s">
        <v>1493</v>
      </c>
      <c r="C476" s="2" t="s">
        <v>1494</v>
      </c>
      <c r="D476" s="2" t="s">
        <v>2717</v>
      </c>
      <c r="E476" s="2" t="s">
        <v>35</v>
      </c>
      <c r="F476" s="3">
        <v>45778.549942129634</v>
      </c>
      <c r="G476" s="3">
        <v>45779.590543981481</v>
      </c>
      <c r="H476" s="4">
        <v>45782</v>
      </c>
      <c r="I476" s="2" t="s">
        <v>1132</v>
      </c>
      <c r="J476" s="2" t="s">
        <v>22</v>
      </c>
      <c r="K476" s="2">
        <v>1</v>
      </c>
      <c r="L476" s="2">
        <v>505.8</v>
      </c>
      <c r="M476" s="2">
        <v>0</v>
      </c>
      <c r="N476" s="2">
        <v>366.71985780098481</v>
      </c>
      <c r="O476" s="2">
        <v>481.71</v>
      </c>
      <c r="P476" s="2">
        <v>24.09</v>
      </c>
      <c r="Q476" s="2">
        <v>505.8</v>
      </c>
      <c r="R476" s="2" t="s">
        <v>44</v>
      </c>
      <c r="S476" s="2"/>
      <c r="T476" s="2">
        <f t="shared" si="159"/>
        <v>1</v>
      </c>
      <c r="U476" s="18">
        <f t="shared" si="160"/>
        <v>5</v>
      </c>
      <c r="V476" s="18">
        <f t="shared" si="161"/>
        <v>2025</v>
      </c>
      <c r="W476" s="18">
        <f t="shared" si="162"/>
        <v>6</v>
      </c>
      <c r="X476" s="18">
        <f t="shared" si="163"/>
        <v>2025</v>
      </c>
      <c r="Y476" s="2">
        <f t="shared" si="156"/>
        <v>0.72502937485366703</v>
      </c>
      <c r="Z476" t="str">
        <f t="shared" si="157"/>
        <v>SO17079</v>
      </c>
      <c r="AA476" s="11">
        <f t="shared" si="164"/>
        <v>45778.549942129634</v>
      </c>
      <c r="AB476" s="5" t="str">
        <f t="shared" si="165"/>
        <v>INV12944</v>
      </c>
      <c r="AC476" s="5" t="str">
        <f>IFERROR(VLOOKUP(D476,CAARStatus!$A$2:$AA$1600,22,FALSE),"Not invoiced")</f>
        <v>Paid</v>
      </c>
      <c r="AD476" s="11">
        <f>IF(AC476="Paid",IFERROR(VLOOKUP(D476,CAARStatus!$A$2:$AA$1600,6,FALSE),"Pending"),"Pending")</f>
        <v>45812</v>
      </c>
      <c r="AE476" s="5" t="str">
        <f t="shared" si="166"/>
        <v>PO13559</v>
      </c>
      <c r="AF476" s="5" t="str">
        <f t="shared" si="167"/>
        <v>Manufacture Sling-Choker (Val-d’Or) Ltée</v>
      </c>
      <c r="AG476" s="5" t="str">
        <f t="shared" si="168"/>
        <v>CAD</v>
      </c>
      <c r="AH476" s="5">
        <f t="shared" si="169"/>
        <v>481.71</v>
      </c>
      <c r="AI476" s="12">
        <f>IF(L476-N476=0,VLOOKUP(U476,rate!A$4:B$15,2,FALSE)*AH476,IF(AG476="USD",O476,AH476*Y476))</f>
        <v>349.25390016075994</v>
      </c>
      <c r="AJ476" s="13">
        <f t="shared" si="170"/>
        <v>0.72502937485366703</v>
      </c>
      <c r="AK476" s="13">
        <f>-IF(AG476="CAD",IFERROR(VLOOKUP(D476,CAARStatus!$A$1:$Y$1600,16,FALSE),0),0)</f>
        <v>-481.71</v>
      </c>
      <c r="AL476" s="13">
        <f>-IF(AG476="USD",IFERROR(VLOOKUP(D476,CAARStatus!$A$1:$Y$1600,11,FALSE),0),0)</f>
        <v>0</v>
      </c>
      <c r="AM476" s="22">
        <f t="shared" si="171"/>
        <v>0</v>
      </c>
      <c r="AN476" s="12" t="str">
        <f t="shared" si="172"/>
        <v/>
      </c>
      <c r="AO476" s="12" t="str">
        <f t="shared" si="173"/>
        <v>Yes</v>
      </c>
      <c r="AP476" t="str">
        <f t="shared" si="158"/>
        <v>Yes</v>
      </c>
      <c r="AQ476" t="str">
        <f>IFERROR(VLOOKUP(Z476,InvBal!$L$4:$P$600,4,FALSE),"Pend")</f>
        <v>Pend</v>
      </c>
      <c r="AR476" t="str">
        <f>IFERROR(VLOOKUP(D476,Manual!$C$1:$E$22,2,FALSE),"Pend")</f>
        <v>Pend</v>
      </c>
      <c r="AS476" t="str">
        <f t="shared" si="174"/>
        <v>Yes</v>
      </c>
      <c r="AT476" t="str">
        <f t="shared" si="175"/>
        <v>Yes</v>
      </c>
      <c r="AU476" s="51" t="str">
        <f t="shared" si="176"/>
        <v>Yes</v>
      </c>
      <c r="AV476" s="12">
        <f>IFERROR(VLOOKUP(D476,'Receivable Invoice Detail'!$S$1:$U$3014,3,FALSE),0)</f>
        <v>0</v>
      </c>
      <c r="AW476" s="12">
        <f t="shared" si="177"/>
        <v>349.25390016075994</v>
      </c>
    </row>
    <row r="477" spans="1:49" x14ac:dyDescent="0.25">
      <c r="A477" s="2">
        <v>1</v>
      </c>
      <c r="B477" s="2" t="s">
        <v>1495</v>
      </c>
      <c r="C477" s="2" t="s">
        <v>1496</v>
      </c>
      <c r="D477" s="2" t="s">
        <v>2716</v>
      </c>
      <c r="E477" s="2" t="s">
        <v>146</v>
      </c>
      <c r="F477" s="3">
        <v>45778.569872685177</v>
      </c>
      <c r="G477" s="3">
        <v>45779.386793981481</v>
      </c>
      <c r="H477" s="4">
        <v>45782</v>
      </c>
      <c r="I477" s="2" t="s">
        <v>21</v>
      </c>
      <c r="J477" s="2" t="s">
        <v>22</v>
      </c>
      <c r="K477" s="2">
        <v>1</v>
      </c>
      <c r="L477" s="2">
        <v>2002.14</v>
      </c>
      <c r="M477" s="2">
        <v>0</v>
      </c>
      <c r="N477" s="2">
        <v>1451.6103125695211</v>
      </c>
      <c r="O477" s="2">
        <v>1906.8</v>
      </c>
      <c r="P477" s="2">
        <v>95.34</v>
      </c>
      <c r="Q477" s="2">
        <v>2002.14</v>
      </c>
      <c r="R477" s="2" t="s">
        <v>44</v>
      </c>
      <c r="S477" s="2"/>
      <c r="T477" s="2">
        <f t="shared" si="159"/>
        <v>1</v>
      </c>
      <c r="U477" s="18">
        <f t="shared" si="160"/>
        <v>5</v>
      </c>
      <c r="V477" s="18">
        <f t="shared" si="161"/>
        <v>2025</v>
      </c>
      <c r="W477" s="18">
        <f t="shared" si="162"/>
        <v>6</v>
      </c>
      <c r="X477" s="18">
        <f t="shared" si="163"/>
        <v>2025</v>
      </c>
      <c r="Y477" s="2">
        <f t="shared" si="156"/>
        <v>0.72502937485366703</v>
      </c>
      <c r="Z477" t="str">
        <f t="shared" si="157"/>
        <v>SO17080</v>
      </c>
      <c r="AA477" s="11">
        <f t="shared" si="164"/>
        <v>45778.569872685177</v>
      </c>
      <c r="AB477" s="5" t="str">
        <f t="shared" si="165"/>
        <v>INV12941</v>
      </c>
      <c r="AC477" s="5" t="str">
        <f>IFERROR(VLOOKUP(D477,CAARStatus!$A$2:$AA$1600,22,FALSE),"Not invoiced")</f>
        <v>Paid</v>
      </c>
      <c r="AD477" s="11">
        <f>IF(AC477="Paid",IFERROR(VLOOKUP(D477,CAARStatus!$A$2:$AA$1600,6,FALSE),"Pending"),"Pending")</f>
        <v>45824</v>
      </c>
      <c r="AE477" s="5" t="str">
        <f t="shared" si="166"/>
        <v>7100</v>
      </c>
      <c r="AF477" s="5" t="str">
        <f t="shared" si="167"/>
        <v>Hyperflo</v>
      </c>
      <c r="AG477" s="5" t="str">
        <f t="shared" si="168"/>
        <v>CAD</v>
      </c>
      <c r="AH477" s="5">
        <f t="shared" si="169"/>
        <v>1906.8</v>
      </c>
      <c r="AI477" s="12">
        <f>IF(L477-N477=0,VLOOKUP(U477,rate!A$4:B$15,2,FALSE)*AH477,IF(AG477="USD",O477,AH477*Y477))</f>
        <v>1382.4860119709722</v>
      </c>
      <c r="AJ477" s="13">
        <f t="shared" si="170"/>
        <v>0.72502937485366703</v>
      </c>
      <c r="AK477" s="13">
        <f>-IF(AG477="CAD",IFERROR(VLOOKUP(D477,CAARStatus!$A$1:$Y$1600,16,FALSE),0),0)</f>
        <v>-1906.8</v>
      </c>
      <c r="AL477" s="13">
        <f>-IF(AG477="USD",IFERROR(VLOOKUP(D477,CAARStatus!$A$1:$Y$1600,11,FALSE),0),0)</f>
        <v>0</v>
      </c>
      <c r="AM477" s="22">
        <f t="shared" si="171"/>
        <v>0</v>
      </c>
      <c r="AN477" s="12" t="str">
        <f t="shared" si="172"/>
        <v/>
      </c>
      <c r="AO477" s="12" t="str">
        <f t="shared" si="173"/>
        <v>Yes</v>
      </c>
      <c r="AP477" t="str">
        <f t="shared" si="158"/>
        <v>Yes</v>
      </c>
      <c r="AQ477" t="str">
        <f>IFERROR(VLOOKUP(Z477,InvBal!$L$4:$P$600,4,FALSE),"Pend")</f>
        <v>Pend</v>
      </c>
      <c r="AR477" t="str">
        <f>IFERROR(VLOOKUP(D477,Manual!$C$1:$E$22,2,FALSE),"Pend")</f>
        <v>Pend</v>
      </c>
      <c r="AS477" t="str">
        <f t="shared" si="174"/>
        <v>Yes</v>
      </c>
      <c r="AT477" t="str">
        <f t="shared" si="175"/>
        <v>Yes</v>
      </c>
      <c r="AU477" s="51" t="str">
        <f t="shared" si="176"/>
        <v>Yes</v>
      </c>
      <c r="AV477" s="12">
        <f>IFERROR(VLOOKUP(D477,'Receivable Invoice Detail'!$S$1:$U$3014,3,FALSE),0)</f>
        <v>0</v>
      </c>
      <c r="AW477" s="12">
        <f t="shared" si="177"/>
        <v>1382.4860119709722</v>
      </c>
    </row>
    <row r="478" spans="1:49" x14ac:dyDescent="0.25">
      <c r="A478" s="2">
        <v>1</v>
      </c>
      <c r="B478" s="2" t="s">
        <v>1461</v>
      </c>
      <c r="C478" s="2" t="s">
        <v>1462</v>
      </c>
      <c r="D478" s="2" t="s">
        <v>2735</v>
      </c>
      <c r="E478" s="2" t="s">
        <v>146</v>
      </c>
      <c r="F478" s="3">
        <v>45778.583287037043</v>
      </c>
      <c r="G478" s="3">
        <v>45784.675416666672</v>
      </c>
      <c r="H478" s="4">
        <v>45785</v>
      </c>
      <c r="I478" s="2" t="s">
        <v>21</v>
      </c>
      <c r="J478" s="2" t="s">
        <v>22</v>
      </c>
      <c r="K478" s="2">
        <v>1</v>
      </c>
      <c r="L478" s="2">
        <v>5388.29</v>
      </c>
      <c r="M478" s="2">
        <v>0</v>
      </c>
      <c r="N478" s="2">
        <v>3911.8566950410468</v>
      </c>
      <c r="O478" s="2">
        <v>5131.7</v>
      </c>
      <c r="P478" s="2">
        <v>256.58999999999997</v>
      </c>
      <c r="Q478" s="2">
        <v>5388.29</v>
      </c>
      <c r="R478" s="2" t="s">
        <v>44</v>
      </c>
      <c r="S478" s="2"/>
      <c r="T478" s="2">
        <f t="shared" si="159"/>
        <v>1</v>
      </c>
      <c r="U478" s="18">
        <f t="shared" si="160"/>
        <v>5</v>
      </c>
      <c r="V478" s="18">
        <f t="shared" si="161"/>
        <v>2025</v>
      </c>
      <c r="W478" s="18">
        <f t="shared" si="162"/>
        <v>6</v>
      </c>
      <c r="X478" s="18">
        <f t="shared" si="163"/>
        <v>2025</v>
      </c>
      <c r="Y478" s="2">
        <f t="shared" si="156"/>
        <v>0.72599223409301405</v>
      </c>
      <c r="Z478" t="str">
        <f t="shared" si="157"/>
        <v>SO17082</v>
      </c>
      <c r="AA478" s="11">
        <f t="shared" si="164"/>
        <v>45778.583287037043</v>
      </c>
      <c r="AB478" s="5" t="str">
        <f t="shared" si="165"/>
        <v>INV12961</v>
      </c>
      <c r="AC478" s="5" t="str">
        <f>IFERROR(VLOOKUP(D478,CAARStatus!$A$2:$AA$1600,22,FALSE),"Not invoiced")</f>
        <v>Paid</v>
      </c>
      <c r="AD478" s="11">
        <f>IF(AC478="Paid",IFERROR(VLOOKUP(D478,CAARStatus!$A$2:$AA$1600,6,FALSE),"Pending"),"Pending")</f>
        <v>45824</v>
      </c>
      <c r="AE478" s="5" t="str">
        <f t="shared" si="166"/>
        <v>7116</v>
      </c>
      <c r="AF478" s="5" t="str">
        <f t="shared" si="167"/>
        <v>Hyperflo</v>
      </c>
      <c r="AG478" s="5" t="str">
        <f t="shared" si="168"/>
        <v>CAD</v>
      </c>
      <c r="AH478" s="5">
        <f t="shared" si="169"/>
        <v>5131.7</v>
      </c>
      <c r="AI478" s="12">
        <f>IF(L478-N478=0,VLOOKUP(U478,rate!A$4:B$15,2,FALSE)*AH478,IF(AG478="USD",O478,AH478*Y478))</f>
        <v>3725.5743476951202</v>
      </c>
      <c r="AJ478" s="13">
        <f t="shared" si="170"/>
        <v>0.72599223409301405</v>
      </c>
      <c r="AK478" s="13">
        <f>-IF(AG478="CAD",IFERROR(VLOOKUP(D478,CAARStatus!$A$1:$Y$1600,16,FALSE),0),0)</f>
        <v>-5131.7</v>
      </c>
      <c r="AL478" s="13">
        <f>-IF(AG478="USD",IFERROR(VLOOKUP(D478,CAARStatus!$A$1:$Y$1600,11,FALSE),0),0)</f>
        <v>0</v>
      </c>
      <c r="AM478" s="22">
        <f t="shared" si="171"/>
        <v>0</v>
      </c>
      <c r="AN478" s="12" t="str">
        <f t="shared" si="172"/>
        <v/>
      </c>
      <c r="AO478" s="12" t="str">
        <f t="shared" si="173"/>
        <v>Yes</v>
      </c>
      <c r="AP478" t="str">
        <f t="shared" si="158"/>
        <v>Yes</v>
      </c>
      <c r="AQ478" t="str">
        <f>IFERROR(VLOOKUP(Z478,InvBal!$L$4:$P$600,4,FALSE),"Pend")</f>
        <v>Pend</v>
      </c>
      <c r="AR478" t="str">
        <f>IFERROR(VLOOKUP(D478,Manual!$C$1:$E$22,2,FALSE),"Pend")</f>
        <v>Pend</v>
      </c>
      <c r="AS478" t="str">
        <f t="shared" si="174"/>
        <v>Yes</v>
      </c>
      <c r="AT478" t="str">
        <f t="shared" si="175"/>
        <v>Yes</v>
      </c>
      <c r="AU478" s="51" t="str">
        <f t="shared" si="176"/>
        <v>Yes</v>
      </c>
      <c r="AV478" s="12">
        <f>IFERROR(VLOOKUP(D478,'Receivable Invoice Detail'!$S$1:$U$3014,3,FALSE),0)</f>
        <v>0</v>
      </c>
      <c r="AW478" s="12">
        <f t="shared" si="177"/>
        <v>3725.5743476951202</v>
      </c>
    </row>
    <row r="479" spans="1:49" x14ac:dyDescent="0.25">
      <c r="A479" s="2">
        <v>2</v>
      </c>
      <c r="B479" s="2" t="s">
        <v>1497</v>
      </c>
      <c r="C479" s="2" t="s">
        <v>1498</v>
      </c>
      <c r="D479" s="2" t="s">
        <v>2715</v>
      </c>
      <c r="E479" s="2" t="s">
        <v>986</v>
      </c>
      <c r="F479" s="3">
        <v>45779.328541666669</v>
      </c>
      <c r="G479" s="3">
        <v>45779.33053240741</v>
      </c>
      <c r="H479" s="4">
        <v>45828</v>
      </c>
      <c r="I479" s="2" t="s">
        <v>180</v>
      </c>
      <c r="J479" s="2" t="s">
        <v>51</v>
      </c>
      <c r="K479" s="2">
        <v>0.72210161459482947</v>
      </c>
      <c r="L479" s="2">
        <v>10427.16128563814</v>
      </c>
      <c r="M479" s="2">
        <v>0</v>
      </c>
      <c r="N479" s="2">
        <v>7529.47</v>
      </c>
      <c r="O479" s="2">
        <v>7529.47</v>
      </c>
      <c r="P479" s="2"/>
      <c r="Q479" s="2">
        <v>7529.47</v>
      </c>
      <c r="R479" s="2" t="s">
        <v>44</v>
      </c>
      <c r="S479" s="2"/>
      <c r="T479" s="2">
        <f t="shared" si="159"/>
        <v>2</v>
      </c>
      <c r="U479" s="18">
        <f t="shared" si="160"/>
        <v>5</v>
      </c>
      <c r="V479" s="18">
        <f t="shared" si="161"/>
        <v>2025</v>
      </c>
      <c r="W479" s="18" t="str">
        <f t="shared" si="162"/>
        <v/>
      </c>
      <c r="X479" s="18" t="str">
        <f t="shared" si="163"/>
        <v/>
      </c>
      <c r="Y479" s="2">
        <f t="shared" si="156"/>
        <v>0.72210161459482958</v>
      </c>
      <c r="Z479" t="str">
        <f t="shared" si="157"/>
        <v>SO17086</v>
      </c>
      <c r="AA479" s="11">
        <f t="shared" si="164"/>
        <v>45779.328541666669</v>
      </c>
      <c r="AB479" s="5" t="str">
        <f t="shared" si="165"/>
        <v>INV13109</v>
      </c>
      <c r="AC479" s="5" t="str">
        <f>IFERROR(VLOOKUP(D479,CAARStatus!$A$2:$AA$1600,22,FALSE),"Not invoiced")</f>
        <v>Approved</v>
      </c>
      <c r="AD479" s="11" t="str">
        <f>IF(AC479="Paid",IFERROR(VLOOKUP(D479,CAARStatus!$A$2:$AA$1600,6,FALSE),"Pending"),"Pending")</f>
        <v>Pending</v>
      </c>
      <c r="AE479" s="5" t="str">
        <f t="shared" si="166"/>
        <v>31072</v>
      </c>
      <c r="AF479" s="5" t="str">
        <f t="shared" si="167"/>
        <v>First Bauxite Inc.</v>
      </c>
      <c r="AG479" s="5" t="str">
        <f t="shared" si="168"/>
        <v>USD</v>
      </c>
      <c r="AH479" s="5">
        <f t="shared" si="169"/>
        <v>10427.161285638142</v>
      </c>
      <c r="AI479" s="12">
        <f>IF(L479-N479=0,VLOOKUP(U479,rate!A$4:B$15,2,FALSE)*AH479,IF(AG479="USD",O479,AH479*Y479))</f>
        <v>7529.47</v>
      </c>
      <c r="AJ479" s="13">
        <f t="shared" si="170"/>
        <v>0.72210161459482947</v>
      </c>
      <c r="AK479" s="13">
        <f>-IF(AG479="CAD",IFERROR(VLOOKUP(D479,CAARStatus!$A$1:$Y$1600,16,FALSE),0),0)</f>
        <v>0</v>
      </c>
      <c r="AL479" s="13">
        <f>-IF(AG479="USD",IFERROR(VLOOKUP(D479,CAARStatus!$A$1:$Y$1600,11,FALSE),0),0)</f>
        <v>-7529.47</v>
      </c>
      <c r="AM479" s="22" t="str">
        <f t="shared" si="171"/>
        <v/>
      </c>
      <c r="AN479" s="12">
        <f t="shared" si="172"/>
        <v>0</v>
      </c>
      <c r="AO479" s="12" t="str">
        <f t="shared" si="173"/>
        <v>Pend</v>
      </c>
      <c r="AP479" t="str">
        <f t="shared" si="158"/>
        <v>XX</v>
      </c>
      <c r="AQ479" t="str">
        <f>IFERROR(VLOOKUP(Z479,InvBal!$L$4:$P$600,4,FALSE),"Pend")</f>
        <v>Yes</v>
      </c>
      <c r="AR479" t="str">
        <f>IFERROR(VLOOKUP(D479,Manual!$C$1:$E$22,2,FALSE),"Pend")</f>
        <v>Pend</v>
      </c>
      <c r="AS479" t="str">
        <f t="shared" si="174"/>
        <v>Yes</v>
      </c>
      <c r="AT479" t="str">
        <f t="shared" si="175"/>
        <v>Yes</v>
      </c>
      <c r="AU479" s="51" t="str">
        <f t="shared" si="176"/>
        <v>Yes</v>
      </c>
      <c r="AV479" s="12">
        <f>IFERROR(VLOOKUP(D479,'Receivable Invoice Detail'!$S$1:$U$3014,3,FALSE),0)</f>
        <v>129.47</v>
      </c>
      <c r="AW479" s="12">
        <f t="shared" si="177"/>
        <v>7400</v>
      </c>
    </row>
    <row r="480" spans="1:49" x14ac:dyDescent="0.25">
      <c r="A480" s="2"/>
      <c r="B480" s="2"/>
      <c r="C480" s="2"/>
      <c r="D480" s="2" t="s">
        <v>2714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>
        <f t="shared" si="159"/>
        <v>2</v>
      </c>
      <c r="U480" s="18">
        <f t="shared" si="160"/>
        <v>5</v>
      </c>
      <c r="V480" s="18">
        <f t="shared" si="161"/>
        <v>2025</v>
      </c>
      <c r="W480" s="18" t="str">
        <f t="shared" si="162"/>
        <v/>
      </c>
      <c r="X480" s="18" t="str">
        <f t="shared" si="163"/>
        <v/>
      </c>
      <c r="Y480" s="2">
        <f t="shared" si="156"/>
        <v>0.72210161459482958</v>
      </c>
      <c r="Z480" t="str">
        <f t="shared" si="157"/>
        <v>SO17086</v>
      </c>
      <c r="AA480" s="11">
        <f t="shared" si="164"/>
        <v>45779.328541666669</v>
      </c>
      <c r="AB480" s="5" t="str">
        <f t="shared" si="165"/>
        <v>INV12935</v>
      </c>
      <c r="AC480" s="5" t="str">
        <f>IFERROR(VLOOKUP(D480,CAARStatus!$A$2:$AA$1600,22,FALSE),"Not invoiced")</f>
        <v>Not invoiced</v>
      </c>
      <c r="AD480" s="11" t="str">
        <f>IF(AC480="Paid",IFERROR(VLOOKUP(D480,CAARStatus!$A$2:$AA$1600,6,FALSE),"Pending"),"Pending")</f>
        <v>Pending</v>
      </c>
      <c r="AE480" s="5" t="str">
        <f t="shared" si="166"/>
        <v>31072</v>
      </c>
      <c r="AF480" s="5" t="str">
        <f t="shared" si="167"/>
        <v>First Bauxite Inc.</v>
      </c>
      <c r="AG480" s="5" t="str">
        <f t="shared" si="168"/>
        <v>USD</v>
      </c>
      <c r="AH480" s="5">
        <f t="shared" si="169"/>
        <v>0</v>
      </c>
      <c r="AI480" s="12">
        <f>IF(L480-N480=0,VLOOKUP(U480,rate!A$4:B$15,2,FALSE)*AH480,IF(AG480="USD",O480,AH480*Y480))</f>
        <v>0</v>
      </c>
      <c r="AJ480" s="13">
        <f t="shared" si="170"/>
        <v>0</v>
      </c>
      <c r="AK480" s="61">
        <f>IF(AC480="Paid",-IF(AG480="CAD",IFERROR(VLOOKUP(D480,CAARStatus!$A$1:$Y$1600,16,FALSE),0),0),0)</f>
        <v>0</v>
      </c>
      <c r="AL480" s="61">
        <f>IF(AC480="Paid",-IF(AG480="USD",IFERROR(VLOOKUP(D480,CAARStatus!$A$1:$Y$1600,11,FALSE),0),0),0)</f>
        <v>0</v>
      </c>
      <c r="AM480" s="22" t="str">
        <f t="shared" si="171"/>
        <v/>
      </c>
      <c r="AN480" s="12">
        <f t="shared" si="172"/>
        <v>0</v>
      </c>
      <c r="AO480" s="12" t="str">
        <f t="shared" si="173"/>
        <v>Pend</v>
      </c>
      <c r="AP480" t="str">
        <f t="shared" si="158"/>
        <v>XX</v>
      </c>
      <c r="AQ480" t="str">
        <f>IFERROR(VLOOKUP(Z480,InvBal!$L$4:$P$600,4,FALSE),"Pend")</f>
        <v>Yes</v>
      </c>
      <c r="AR480" t="str">
        <f>IFERROR(VLOOKUP(D480,Manual!$C$1:$E$22,2,FALSE),"Pend")</f>
        <v>Pend</v>
      </c>
      <c r="AS480" t="str">
        <f t="shared" si="174"/>
        <v>Yes</v>
      </c>
      <c r="AT480" t="str">
        <f t="shared" si="175"/>
        <v/>
      </c>
      <c r="AU480" s="51" t="str">
        <f t="shared" si="176"/>
        <v/>
      </c>
      <c r="AV480" s="12">
        <f>IFERROR(VLOOKUP(D480,'Receivable Invoice Detail'!$S$1:$U$3014,3,FALSE),0)</f>
        <v>0</v>
      </c>
      <c r="AW480" s="12">
        <f t="shared" si="177"/>
        <v>0</v>
      </c>
    </row>
    <row r="481" spans="1:49" x14ac:dyDescent="0.25">
      <c r="A481" s="2">
        <v>1</v>
      </c>
      <c r="B481" s="2" t="s">
        <v>1459</v>
      </c>
      <c r="C481" s="2" t="s">
        <v>1460</v>
      </c>
      <c r="D481" s="2" t="s">
        <v>2736</v>
      </c>
      <c r="E481" s="2" t="s">
        <v>316</v>
      </c>
      <c r="F481" s="3">
        <v>45779.61278935185</v>
      </c>
      <c r="G481" s="3">
        <v>45784.680104166669</v>
      </c>
      <c r="H481" s="4">
        <v>45784</v>
      </c>
      <c r="I481" s="2" t="s">
        <v>1132</v>
      </c>
      <c r="J481" s="2" t="s">
        <v>22</v>
      </c>
      <c r="K481" s="2">
        <v>1</v>
      </c>
      <c r="L481" s="2">
        <v>1459.42</v>
      </c>
      <c r="M481" s="2">
        <v>0</v>
      </c>
      <c r="N481" s="2">
        <v>1059.527586280027</v>
      </c>
      <c r="O481" s="2">
        <v>1389.92</v>
      </c>
      <c r="P481" s="2">
        <v>69.5</v>
      </c>
      <c r="Q481" s="2">
        <v>1459.42</v>
      </c>
      <c r="R481" s="2" t="s">
        <v>44</v>
      </c>
      <c r="S481" s="2"/>
      <c r="T481" s="2">
        <f t="shared" si="159"/>
        <v>1</v>
      </c>
      <c r="U481" s="18">
        <f t="shared" si="160"/>
        <v>5</v>
      </c>
      <c r="V481" s="18">
        <f t="shared" si="161"/>
        <v>2025</v>
      </c>
      <c r="W481" s="18">
        <f t="shared" si="162"/>
        <v>6</v>
      </c>
      <c r="X481" s="18">
        <f t="shared" si="163"/>
        <v>2025</v>
      </c>
      <c r="Y481" s="2">
        <f t="shared" si="156"/>
        <v>0.72599223409301428</v>
      </c>
      <c r="Z481" t="str">
        <f t="shared" si="157"/>
        <v>SO17095</v>
      </c>
      <c r="AA481" s="11">
        <f t="shared" si="164"/>
        <v>45779.61278935185</v>
      </c>
      <c r="AB481" s="5" t="str">
        <f t="shared" si="165"/>
        <v>INV12960</v>
      </c>
      <c r="AC481" s="5" t="str">
        <f>IFERROR(VLOOKUP(D481,CAARStatus!$A$2:$AA$1600,22,FALSE),"Not invoiced")</f>
        <v>Paid</v>
      </c>
      <c r="AD481" s="11">
        <f>IF(AC481="Paid",IFERROR(VLOOKUP(D481,CAARStatus!$A$2:$AA$1600,6,FALSE),"Pending"),"Pending")</f>
        <v>45826</v>
      </c>
      <c r="AE481" s="5" t="str">
        <f t="shared" si="166"/>
        <v>10352</v>
      </c>
      <c r="AF481" s="5" t="str">
        <f t="shared" si="167"/>
        <v>Canadian Industrial Pumps Ltd</v>
      </c>
      <c r="AG481" s="5" t="str">
        <f t="shared" si="168"/>
        <v>CAD</v>
      </c>
      <c r="AH481" s="5">
        <f t="shared" si="169"/>
        <v>1389.92</v>
      </c>
      <c r="AI481" s="12">
        <f>IF(L481-N481=0,VLOOKUP(U481,rate!A$4:B$15,2,FALSE)*AH481,IF(AG481="USD",O481,AH481*Y481))</f>
        <v>1009.0711260105625</v>
      </c>
      <c r="AJ481" s="13">
        <f t="shared" si="170"/>
        <v>0.72599223409301428</v>
      </c>
      <c r="AK481" s="13">
        <f>-IF(AG481="CAD",IFERROR(VLOOKUP(D481,CAARStatus!$A$1:$Y$1600,16,FALSE),0),0)</f>
        <v>-1389.92</v>
      </c>
      <c r="AL481" s="13">
        <f>-IF(AG481="USD",IFERROR(VLOOKUP(D481,CAARStatus!$A$1:$Y$1600,11,FALSE),0),0)</f>
        <v>0</v>
      </c>
      <c r="AM481" s="22">
        <f t="shared" si="171"/>
        <v>0</v>
      </c>
      <c r="AN481" s="12" t="str">
        <f t="shared" si="172"/>
        <v/>
      </c>
      <c r="AO481" s="12" t="str">
        <f t="shared" si="173"/>
        <v>Yes</v>
      </c>
      <c r="AP481" t="str">
        <f t="shared" si="158"/>
        <v>Yes</v>
      </c>
      <c r="AQ481" t="str">
        <f>IFERROR(VLOOKUP(Z481,InvBal!$L$4:$P$600,4,FALSE),"Pend")</f>
        <v>Pend</v>
      </c>
      <c r="AR481" t="str">
        <f>IFERROR(VLOOKUP(D481,Manual!$C$1:$E$22,2,FALSE),"Pend")</f>
        <v>Pend</v>
      </c>
      <c r="AS481" t="str">
        <f t="shared" si="174"/>
        <v>Yes</v>
      </c>
      <c r="AT481" t="str">
        <f t="shared" si="175"/>
        <v>Yes</v>
      </c>
      <c r="AU481" s="51" t="str">
        <f t="shared" si="176"/>
        <v>Yes</v>
      </c>
      <c r="AV481" s="12">
        <f>IFERROR(VLOOKUP(D481,'Receivable Invoice Detail'!$S$1:$U$3014,3,FALSE),0)</f>
        <v>0</v>
      </c>
      <c r="AW481" s="12">
        <f t="shared" si="177"/>
        <v>1009.0711260105625</v>
      </c>
    </row>
    <row r="482" spans="1:49" ht="45" x14ac:dyDescent="0.25">
      <c r="A482" s="2">
        <v>1</v>
      </c>
      <c r="B482" s="2" t="s">
        <v>1485</v>
      </c>
      <c r="C482" s="2" t="s">
        <v>1486</v>
      </c>
      <c r="D482" s="2" t="s">
        <v>2722</v>
      </c>
      <c r="E482" s="2" t="s">
        <v>502</v>
      </c>
      <c r="F482" s="3">
        <v>45782.494826388887</v>
      </c>
      <c r="G482" s="3">
        <v>45782.495243055557</v>
      </c>
      <c r="H482" s="4">
        <v>45783</v>
      </c>
      <c r="I482" s="2" t="s">
        <v>21</v>
      </c>
      <c r="J482" s="2" t="s">
        <v>22</v>
      </c>
      <c r="K482" s="2">
        <v>1</v>
      </c>
      <c r="L482" s="2">
        <v>3190.39</v>
      </c>
      <c r="M482" s="2">
        <v>3190.39</v>
      </c>
      <c r="N482" s="2">
        <v>3190.39</v>
      </c>
      <c r="O482" s="2">
        <v>3038.47</v>
      </c>
      <c r="P482" s="2">
        <v>151.91999999999999</v>
      </c>
      <c r="Q482" s="2">
        <v>3190.39</v>
      </c>
      <c r="R482" s="2" t="s">
        <v>44</v>
      </c>
      <c r="S482" s="2"/>
      <c r="T482" s="2">
        <f t="shared" si="159"/>
        <v>1</v>
      </c>
      <c r="U482" s="18">
        <f t="shared" si="160"/>
        <v>5</v>
      </c>
      <c r="V482" s="18">
        <f t="shared" si="161"/>
        <v>2025</v>
      </c>
      <c r="W482" s="18">
        <f t="shared" si="162"/>
        <v>6</v>
      </c>
      <c r="X482" s="18">
        <f t="shared" si="163"/>
        <v>2025</v>
      </c>
      <c r="Y482" s="2">
        <f t="shared" si="156"/>
        <v>1</v>
      </c>
      <c r="Z482" t="str">
        <f t="shared" si="157"/>
        <v>SO17099</v>
      </c>
      <c r="AA482" s="11">
        <f t="shared" si="164"/>
        <v>45782.494826388887</v>
      </c>
      <c r="AB482" s="5" t="str">
        <f t="shared" si="165"/>
        <v>INV12950</v>
      </c>
      <c r="AC482" s="5" t="str">
        <f>IFERROR(VLOOKUP(D482,CAARStatus!$A$2:$AA$1600,22,FALSE),"Not invoiced")</f>
        <v>Paid</v>
      </c>
      <c r="AD482" s="11">
        <f>IF(AC482="Paid",IFERROR(VLOOKUP(D482,CAARStatus!$A$2:$AA$1600,6,FALSE),"Pending"),"Pending")</f>
        <v>45821</v>
      </c>
      <c r="AE482" s="5" t="str">
        <f t="shared" si="166"/>
        <v>4500574169</v>
      </c>
      <c r="AF482" s="5" t="str">
        <f t="shared" si="167"/>
        <v>Glencore Canada Corporation - Rouyn-Noranda, Glencore Canada Corp.</v>
      </c>
      <c r="AG482" s="5" t="str">
        <f t="shared" si="168"/>
        <v>CAD</v>
      </c>
      <c r="AH482" s="5">
        <f t="shared" si="169"/>
        <v>3038.47</v>
      </c>
      <c r="AI482" s="12">
        <f>IF(L482-N482=0,VLOOKUP(U482,rate!A$4:B$15,2,FALSE)*AH482,IF(AG482="USD",O482,AH482*Y482))</f>
        <v>2193.5481362451369</v>
      </c>
      <c r="AJ482" s="13">
        <f t="shared" si="170"/>
        <v>0.72192522428891415</v>
      </c>
      <c r="AK482" s="13">
        <f>-IF(AG482="CAD",IFERROR(VLOOKUP(D482,CAARStatus!$A$1:$Y$1600,16,FALSE),0),0)</f>
        <v>-3038.47</v>
      </c>
      <c r="AL482" s="13">
        <f>-IF(AG482="USD",IFERROR(VLOOKUP(D482,CAARStatus!$A$1:$Y$1600,11,FALSE),0),0)</f>
        <v>0</v>
      </c>
      <c r="AM482" s="22">
        <f t="shared" si="171"/>
        <v>0</v>
      </c>
      <c r="AN482" s="12" t="str">
        <f t="shared" si="172"/>
        <v/>
      </c>
      <c r="AO482" s="12" t="str">
        <f t="shared" si="173"/>
        <v>Yes</v>
      </c>
      <c r="AP482" t="str">
        <f t="shared" si="158"/>
        <v>Yes</v>
      </c>
      <c r="AQ482" t="str">
        <f>IFERROR(VLOOKUP(Z482,InvBal!$L$4:$P$600,4,FALSE),"Pend")</f>
        <v>Pend</v>
      </c>
      <c r="AR482" t="str">
        <f>IFERROR(VLOOKUP(D482,Manual!$C$1:$E$22,2,FALSE),"Pend")</f>
        <v>Pend</v>
      </c>
      <c r="AS482" t="str">
        <f t="shared" si="174"/>
        <v>Yes</v>
      </c>
      <c r="AT482" t="str">
        <f t="shared" si="175"/>
        <v>Yes</v>
      </c>
      <c r="AU482" s="51" t="str">
        <f t="shared" si="176"/>
        <v>Yes</v>
      </c>
      <c r="AV482" s="12">
        <f>IFERROR(VLOOKUP(D482,'Receivable Invoice Detail'!$S$1:$U$3014,3,FALSE),0)</f>
        <v>0</v>
      </c>
      <c r="AW482" s="12">
        <f t="shared" si="177"/>
        <v>2193.5481362451369</v>
      </c>
    </row>
    <row r="483" spans="1:49" ht="30" x14ac:dyDescent="0.25">
      <c r="A483" s="2">
        <v>1</v>
      </c>
      <c r="B483" s="2" t="s">
        <v>1477</v>
      </c>
      <c r="C483" s="2" t="s">
        <v>1478</v>
      </c>
      <c r="D483" s="2" t="s">
        <v>2726</v>
      </c>
      <c r="E483" s="2" t="s">
        <v>20</v>
      </c>
      <c r="F483" s="3">
        <v>45782.521249999998</v>
      </c>
      <c r="G483" s="3">
        <v>45782.644004629627</v>
      </c>
      <c r="H483" s="4">
        <v>45870</v>
      </c>
      <c r="I483" s="2" t="s">
        <v>21</v>
      </c>
      <c r="J483" s="2" t="s">
        <v>22</v>
      </c>
      <c r="K483" s="2">
        <v>1</v>
      </c>
      <c r="L483" s="2">
        <v>6506.97</v>
      </c>
      <c r="M483" s="2">
        <v>6506.97</v>
      </c>
      <c r="N483" s="2">
        <v>6506.97</v>
      </c>
      <c r="O483" s="2">
        <v>6197.11</v>
      </c>
      <c r="P483" s="2">
        <v>309.86</v>
      </c>
      <c r="Q483" s="2">
        <v>6506.97</v>
      </c>
      <c r="R483" s="2" t="s">
        <v>44</v>
      </c>
      <c r="S483" s="2"/>
      <c r="T483" s="2">
        <f t="shared" si="159"/>
        <v>1</v>
      </c>
      <c r="U483" s="18">
        <f t="shared" si="160"/>
        <v>5</v>
      </c>
      <c r="V483" s="18">
        <f t="shared" si="161"/>
        <v>2025</v>
      </c>
      <c r="W483" s="18">
        <f t="shared" si="162"/>
        <v>12</v>
      </c>
      <c r="X483" s="18">
        <f t="shared" si="163"/>
        <v>2025</v>
      </c>
      <c r="Y483" s="2">
        <f t="shared" si="156"/>
        <v>1</v>
      </c>
      <c r="Z483" t="str">
        <f t="shared" si="157"/>
        <v>SO17100</v>
      </c>
      <c r="AA483" s="11">
        <f t="shared" si="164"/>
        <v>45782.521249999998</v>
      </c>
      <c r="AB483" s="5" t="str">
        <f t="shared" si="165"/>
        <v>INV13099</v>
      </c>
      <c r="AC483" s="5" t="str">
        <f>IFERROR(VLOOKUP(D483,CAARStatus!$A$2:$AA$1600,22,FALSE),"Not invoiced")</f>
        <v>Paid</v>
      </c>
      <c r="AD483" s="11">
        <f>IF(AC483="Paid",IFERROR(VLOOKUP(D483,CAARStatus!$A$2:$AA$1600,6,FALSE),"Pending"),"Pending")</f>
        <v>45996</v>
      </c>
      <c r="AE483" s="5" t="str">
        <f t="shared" si="166"/>
        <v>4500593300</v>
      </c>
      <c r="AF483" s="5" t="str">
        <f t="shared" si="167"/>
        <v>Resolute Forest Products - Saint-Felicien</v>
      </c>
      <c r="AG483" s="5" t="str">
        <f t="shared" si="168"/>
        <v>CAD</v>
      </c>
      <c r="AH483" s="5">
        <f t="shared" si="169"/>
        <v>6197.11</v>
      </c>
      <c r="AI483" s="12">
        <f>IF(L483-N483=0,VLOOKUP(U483,rate!A$4:B$15,2,FALSE)*AH483,IF(AG483="USD",O483,AH483*Y483))</f>
        <v>4473.8500266930723</v>
      </c>
      <c r="AJ483" s="13">
        <f t="shared" si="170"/>
        <v>0.72192522428891415</v>
      </c>
      <c r="AK483" s="13">
        <f>-IF(AG483="CAD",IFERROR(VLOOKUP(D483,CAARStatus!$A$1:$Y$1600,16,FALSE),0),0)</f>
        <v>-6197.11</v>
      </c>
      <c r="AL483" s="13">
        <f>-IF(AG483="USD",IFERROR(VLOOKUP(D483,CAARStatus!$A$1:$Y$1600,11,FALSE),0),0)</f>
        <v>0</v>
      </c>
      <c r="AM483" s="22">
        <f t="shared" si="171"/>
        <v>0</v>
      </c>
      <c r="AN483" s="12" t="str">
        <f t="shared" si="172"/>
        <v/>
      </c>
      <c r="AO483" s="12" t="str">
        <f t="shared" si="173"/>
        <v>Yes</v>
      </c>
      <c r="AP483" t="str">
        <f t="shared" si="158"/>
        <v>Yes</v>
      </c>
      <c r="AQ483" t="str">
        <f>IFERROR(VLOOKUP(Z483,InvBal!$L$4:$P$600,4,FALSE),"Pend")</f>
        <v>Pend</v>
      </c>
      <c r="AR483" t="str">
        <f>IFERROR(VLOOKUP(D483,Manual!$C$1:$E$22,2,FALSE),"Pend")</f>
        <v>Pend</v>
      </c>
      <c r="AS483" t="str">
        <f t="shared" si="174"/>
        <v>Yes</v>
      </c>
      <c r="AT483" t="str">
        <f t="shared" si="175"/>
        <v>Yes</v>
      </c>
      <c r="AU483" s="51" t="str">
        <f t="shared" si="176"/>
        <v>Yes</v>
      </c>
      <c r="AV483" s="12">
        <f>IFERROR(VLOOKUP(D483,'Receivable Invoice Detail'!$S$1:$U$3014,3,FALSE),0)</f>
        <v>0</v>
      </c>
      <c r="AW483" s="12">
        <f t="shared" si="177"/>
        <v>4473.8500266930723</v>
      </c>
    </row>
    <row r="484" spans="1:49" ht="30" x14ac:dyDescent="0.25">
      <c r="A484" s="2">
        <v>1</v>
      </c>
      <c r="B484" s="2" t="s">
        <v>1479</v>
      </c>
      <c r="C484" s="2" t="s">
        <v>1480</v>
      </c>
      <c r="D484" s="2" t="s">
        <v>2725</v>
      </c>
      <c r="E484" s="2" t="s">
        <v>129</v>
      </c>
      <c r="F484" s="3">
        <v>45782.563611111109</v>
      </c>
      <c r="G484" s="3">
        <v>45782.563217592593</v>
      </c>
      <c r="H484" s="4">
        <v>45835</v>
      </c>
      <c r="I484" s="2" t="s">
        <v>130</v>
      </c>
      <c r="J484" s="2" t="s">
        <v>51</v>
      </c>
      <c r="K484" s="2">
        <v>0.72363703447569616</v>
      </c>
      <c r="L484" s="2">
        <v>3358.0370879727461</v>
      </c>
      <c r="M484" s="2">
        <v>0</v>
      </c>
      <c r="N484" s="2">
        <v>2430</v>
      </c>
      <c r="O484" s="2">
        <v>2430</v>
      </c>
      <c r="P484" s="2"/>
      <c r="Q484" s="2">
        <v>2430</v>
      </c>
      <c r="R484" s="2" t="s">
        <v>44</v>
      </c>
      <c r="S484" s="2"/>
      <c r="T484" s="2">
        <f t="shared" si="159"/>
        <v>1</v>
      </c>
      <c r="U484" s="18">
        <f t="shared" si="160"/>
        <v>5</v>
      </c>
      <c r="V484" s="18">
        <f t="shared" si="161"/>
        <v>2025</v>
      </c>
      <c r="W484" s="18" t="str">
        <f t="shared" si="162"/>
        <v/>
      </c>
      <c r="X484" s="18" t="str">
        <f t="shared" si="163"/>
        <v/>
      </c>
      <c r="Y484" s="2">
        <f t="shared" si="156"/>
        <v>0.72363703447569605</v>
      </c>
      <c r="Z484" t="str">
        <f t="shared" si="157"/>
        <v>SO17101</v>
      </c>
      <c r="AA484" s="11">
        <f t="shared" si="164"/>
        <v>45782.563611111109</v>
      </c>
      <c r="AB484" s="5" t="str">
        <f t="shared" si="165"/>
        <v>INV13206</v>
      </c>
      <c r="AC484" s="5" t="str">
        <f>IFERROR(VLOOKUP(D484,CAARStatus!$A$2:$AA$1600,22,FALSE),"Not invoiced")</f>
        <v>Approved</v>
      </c>
      <c r="AD484" s="11" t="str">
        <f>IF(AC484="Paid",IFERROR(VLOOKUP(D484,CAARStatus!$A$2:$AA$1600,6,FALSE),"Pending"),"Pending")</f>
        <v>Pending</v>
      </c>
      <c r="AE484" s="5" t="str">
        <f t="shared" si="166"/>
        <v>OC00166</v>
      </c>
      <c r="AF484" s="5" t="str">
        <f t="shared" si="167"/>
        <v>Dynapro Pumps México S de RL de CV</v>
      </c>
      <c r="AG484" s="5" t="str">
        <f t="shared" si="168"/>
        <v>USD</v>
      </c>
      <c r="AH484" s="5">
        <f t="shared" si="169"/>
        <v>3358.0370879727457</v>
      </c>
      <c r="AI484" s="12">
        <f>IF(L484-N484=0,VLOOKUP(U484,rate!A$4:B$15,2,FALSE)*AH484,IF(AG484="USD",O484,AH484*Y484))</f>
        <v>2430</v>
      </c>
      <c r="AJ484" s="13">
        <f t="shared" si="170"/>
        <v>0.72363703447569616</v>
      </c>
      <c r="AK484" s="13">
        <f>-IF(AG484="CAD",IFERROR(VLOOKUP(D484,CAARStatus!$A$1:$Y$1600,16,FALSE),0),0)</f>
        <v>0</v>
      </c>
      <c r="AL484" s="13">
        <f>-IF(AG484="USD",IFERROR(VLOOKUP(D484,CAARStatus!$A$1:$Y$1600,11,FALSE),0),0)</f>
        <v>-2430</v>
      </c>
      <c r="AM484" s="22" t="str">
        <f t="shared" si="171"/>
        <v/>
      </c>
      <c r="AN484" s="12">
        <f t="shared" si="172"/>
        <v>0</v>
      </c>
      <c r="AO484" s="12" t="str">
        <f t="shared" si="173"/>
        <v>Pend</v>
      </c>
      <c r="AP484" t="str">
        <f t="shared" si="158"/>
        <v>Pend</v>
      </c>
      <c r="AQ484" t="str">
        <f>IFERROR(VLOOKUP(Z484,InvBal!$L$4:$P$600,4,FALSE),"Pend")</f>
        <v>Pend</v>
      </c>
      <c r="AR484" t="str">
        <f>IFERROR(VLOOKUP(D484,Manual!$C$1:$E$22,2,FALSE),"Pend")</f>
        <v>Pend</v>
      </c>
      <c r="AS484" t="str">
        <f t="shared" si="174"/>
        <v/>
      </c>
      <c r="AT484" t="str">
        <f t="shared" si="175"/>
        <v>Yes</v>
      </c>
      <c r="AU484" s="51" t="str">
        <f t="shared" si="176"/>
        <v/>
      </c>
      <c r="AV484" s="12">
        <f>IFERROR(VLOOKUP(D484,'Receivable Invoice Detail'!$S$1:$U$3014,3,FALSE),0)</f>
        <v>0</v>
      </c>
      <c r="AW484" s="12">
        <f t="shared" si="177"/>
        <v>0</v>
      </c>
    </row>
    <row r="485" spans="1:49" x14ac:dyDescent="0.25">
      <c r="A485" s="2">
        <v>1</v>
      </c>
      <c r="B485" s="2" t="s">
        <v>1471</v>
      </c>
      <c r="C485" s="2" t="s">
        <v>1472</v>
      </c>
      <c r="D485" s="2" t="s">
        <v>2729</v>
      </c>
      <c r="E485" s="2" t="s">
        <v>146</v>
      </c>
      <c r="F485" s="3">
        <v>45782.571273148147</v>
      </c>
      <c r="G485" s="3">
        <v>45783.351319444453</v>
      </c>
      <c r="H485" s="4">
        <v>45784</v>
      </c>
      <c r="I485" s="2" t="s">
        <v>21</v>
      </c>
      <c r="J485" s="2" t="s">
        <v>22</v>
      </c>
      <c r="K485" s="2">
        <v>1</v>
      </c>
      <c r="L485" s="2">
        <v>1150.52</v>
      </c>
      <c r="M485" s="2">
        <v>0</v>
      </c>
      <c r="N485" s="2">
        <v>835.14664945869379</v>
      </c>
      <c r="O485" s="2">
        <v>1095.73</v>
      </c>
      <c r="P485" s="2">
        <v>54.79</v>
      </c>
      <c r="Q485" s="2">
        <v>1150.52</v>
      </c>
      <c r="R485" s="2" t="s">
        <v>44</v>
      </c>
      <c r="S485" s="2"/>
      <c r="T485" s="2">
        <f t="shared" si="159"/>
        <v>1</v>
      </c>
      <c r="U485" s="18">
        <f t="shared" si="160"/>
        <v>5</v>
      </c>
      <c r="V485" s="18">
        <f t="shared" si="161"/>
        <v>2025</v>
      </c>
      <c r="W485" s="18">
        <f t="shared" si="162"/>
        <v>6</v>
      </c>
      <c r="X485" s="18">
        <f t="shared" si="163"/>
        <v>2025</v>
      </c>
      <c r="Y485" s="2">
        <f t="shared" si="156"/>
        <v>0.72588625096364578</v>
      </c>
      <c r="Z485" t="str">
        <f t="shared" si="157"/>
        <v>SO17102</v>
      </c>
      <c r="AA485" s="11">
        <f t="shared" si="164"/>
        <v>45782.571273148147</v>
      </c>
      <c r="AB485" s="5" t="str">
        <f t="shared" si="165"/>
        <v>INV12947</v>
      </c>
      <c r="AC485" s="5" t="str">
        <f>IFERROR(VLOOKUP(D485,CAARStatus!$A$2:$AA$1600,22,FALSE),"Not invoiced")</f>
        <v>Paid</v>
      </c>
      <c r="AD485" s="11">
        <f>IF(AC485="Paid",IFERROR(VLOOKUP(D485,CAARStatus!$A$2:$AA$1600,6,FALSE),"Pending"),"Pending")</f>
        <v>45824</v>
      </c>
      <c r="AE485" s="5" t="str">
        <f t="shared" si="166"/>
        <v>7108</v>
      </c>
      <c r="AF485" s="5" t="str">
        <f t="shared" si="167"/>
        <v>Hyperflo</v>
      </c>
      <c r="AG485" s="5" t="str">
        <f t="shared" si="168"/>
        <v>CAD</v>
      </c>
      <c r="AH485" s="5">
        <f t="shared" si="169"/>
        <v>1095.73</v>
      </c>
      <c r="AI485" s="12">
        <f>IF(L485-N485=0,VLOOKUP(U485,rate!A$4:B$15,2,FALSE)*AH485,IF(AG485="USD",O485,AH485*Y485))</f>
        <v>795.37534176839563</v>
      </c>
      <c r="AJ485" s="13">
        <f t="shared" si="170"/>
        <v>0.72588625096364578</v>
      </c>
      <c r="AK485" s="13">
        <f>-IF(AG485="CAD",IFERROR(VLOOKUP(D485,CAARStatus!$A$1:$Y$1600,16,FALSE),0),0)</f>
        <v>-1095.73</v>
      </c>
      <c r="AL485" s="13">
        <f>-IF(AG485="USD",IFERROR(VLOOKUP(D485,CAARStatus!$A$1:$Y$1600,11,FALSE),0),0)</f>
        <v>0</v>
      </c>
      <c r="AM485" s="22">
        <f t="shared" si="171"/>
        <v>0</v>
      </c>
      <c r="AN485" s="12" t="str">
        <f t="shared" si="172"/>
        <v/>
      </c>
      <c r="AO485" s="12" t="str">
        <f t="shared" si="173"/>
        <v>Yes</v>
      </c>
      <c r="AP485" t="str">
        <f t="shared" si="158"/>
        <v>Yes</v>
      </c>
      <c r="AQ485" t="str">
        <f>IFERROR(VLOOKUP(Z485,InvBal!$L$4:$P$600,4,FALSE),"Pend")</f>
        <v>Pend</v>
      </c>
      <c r="AR485" t="str">
        <f>IFERROR(VLOOKUP(D485,Manual!$C$1:$E$22,2,FALSE),"Pend")</f>
        <v>Pend</v>
      </c>
      <c r="AS485" t="str">
        <f t="shared" si="174"/>
        <v>Yes</v>
      </c>
      <c r="AT485" t="str">
        <f t="shared" si="175"/>
        <v>Yes</v>
      </c>
      <c r="AU485" s="51" t="str">
        <f t="shared" si="176"/>
        <v>Yes</v>
      </c>
      <c r="AV485" s="12">
        <f>IFERROR(VLOOKUP(D485,'Receivable Invoice Detail'!$S$1:$U$3014,3,FALSE),0)</f>
        <v>0</v>
      </c>
      <c r="AW485" s="12">
        <f t="shared" si="177"/>
        <v>795.37534176839563</v>
      </c>
    </row>
    <row r="486" spans="1:49" x14ac:dyDescent="0.25">
      <c r="A486" s="2">
        <v>1</v>
      </c>
      <c r="B486" s="2" t="s">
        <v>1418</v>
      </c>
      <c r="C486" s="2" t="s">
        <v>1419</v>
      </c>
      <c r="D486" s="2" t="s">
        <v>2758</v>
      </c>
      <c r="E486" s="2" t="s">
        <v>1420</v>
      </c>
      <c r="F486" s="3">
        <v>45782.576388888891</v>
      </c>
      <c r="G486" s="3">
        <v>45792.34034722222</v>
      </c>
      <c r="H486" s="4">
        <v>45793</v>
      </c>
      <c r="I486" s="2" t="s">
        <v>21</v>
      </c>
      <c r="J486" s="2" t="s">
        <v>22</v>
      </c>
      <c r="K486" s="2">
        <v>1</v>
      </c>
      <c r="L486" s="2">
        <v>12576.76</v>
      </c>
      <c r="M486" s="2">
        <v>0</v>
      </c>
      <c r="N486" s="2">
        <v>8989.8746975048525</v>
      </c>
      <c r="O486" s="2">
        <v>11129.88</v>
      </c>
      <c r="P486" s="2">
        <v>1446.88</v>
      </c>
      <c r="Q486" s="2">
        <v>12576.76</v>
      </c>
      <c r="R486" s="2" t="s">
        <v>44</v>
      </c>
      <c r="S486" s="2"/>
      <c r="T486" s="2">
        <f t="shared" si="159"/>
        <v>1</v>
      </c>
      <c r="U486" s="18">
        <f t="shared" si="160"/>
        <v>5</v>
      </c>
      <c r="V486" s="18">
        <f t="shared" si="161"/>
        <v>2025</v>
      </c>
      <c r="W486" s="18">
        <f t="shared" si="162"/>
        <v>5</v>
      </c>
      <c r="X486" s="18">
        <f t="shared" si="163"/>
        <v>2025</v>
      </c>
      <c r="Y486" s="2">
        <f t="shared" si="156"/>
        <v>0.71480052871366329</v>
      </c>
      <c r="Z486" t="str">
        <f t="shared" si="157"/>
        <v>SO17103</v>
      </c>
      <c r="AA486" s="11">
        <f t="shared" si="164"/>
        <v>45782.576388888891</v>
      </c>
      <c r="AB486" s="5" t="str">
        <f t="shared" si="165"/>
        <v>INV12987</v>
      </c>
      <c r="AC486" s="5" t="str">
        <f>IFERROR(VLOOKUP(D486,CAARStatus!$A$2:$AA$1600,22,FALSE),"Not invoiced")</f>
        <v>Paid</v>
      </c>
      <c r="AD486" s="11">
        <f>IF(AC486="Paid",IFERROR(VLOOKUP(D486,CAARStatus!$A$2:$AA$1600,6,FALSE),"Pending"),"Pending")</f>
        <v>45805</v>
      </c>
      <c r="AE486" s="5" t="str">
        <f t="shared" si="166"/>
        <v>5400233536</v>
      </c>
      <c r="AF486" s="5" t="str">
        <f t="shared" si="167"/>
        <v>Algoma Steel Inc.</v>
      </c>
      <c r="AG486" s="5" t="str">
        <f t="shared" si="168"/>
        <v>CAD</v>
      </c>
      <c r="AH486" s="5">
        <f t="shared" si="169"/>
        <v>11129.88</v>
      </c>
      <c r="AI486" s="12">
        <f>IF(L486-N486=0,VLOOKUP(U486,rate!A$4:B$15,2,FALSE)*AH486,IF(AG486="USD",O486,AH486*Y486))</f>
        <v>7955.6441085196266</v>
      </c>
      <c r="AJ486" s="13">
        <f t="shared" si="170"/>
        <v>0.71480052871366329</v>
      </c>
      <c r="AK486" s="13">
        <f>-IF(AG486="CAD",IFERROR(VLOOKUP(D486,CAARStatus!$A$1:$Y$1600,16,FALSE),0),0)</f>
        <v>-11129.88</v>
      </c>
      <c r="AL486" s="13">
        <f>-IF(AG486="USD",IFERROR(VLOOKUP(D486,CAARStatus!$A$1:$Y$1600,11,FALSE),0),0)</f>
        <v>0</v>
      </c>
      <c r="AM486" s="22">
        <f t="shared" si="171"/>
        <v>0</v>
      </c>
      <c r="AN486" s="12" t="str">
        <f t="shared" si="172"/>
        <v/>
      </c>
      <c r="AO486" s="12" t="str">
        <f t="shared" si="173"/>
        <v>Yes</v>
      </c>
      <c r="AP486" t="str">
        <f t="shared" si="158"/>
        <v>Yes</v>
      </c>
      <c r="AQ486" t="str">
        <f>IFERROR(VLOOKUP(Z486,InvBal!$L$4:$P$600,4,FALSE),"Pend")</f>
        <v>Pend</v>
      </c>
      <c r="AR486" t="str">
        <f>IFERROR(VLOOKUP(D486,Manual!$C$1:$E$22,2,FALSE),"Pend")</f>
        <v>Pend</v>
      </c>
      <c r="AS486" t="str">
        <f t="shared" si="174"/>
        <v>Yes</v>
      </c>
      <c r="AT486" t="str">
        <f t="shared" si="175"/>
        <v>Yes</v>
      </c>
      <c r="AU486" s="51" t="str">
        <f t="shared" si="176"/>
        <v>Yes</v>
      </c>
      <c r="AV486" s="12">
        <f>IFERROR(VLOOKUP(D486,'Receivable Invoice Detail'!$S$1:$U$3014,3,FALSE),0)</f>
        <v>0</v>
      </c>
      <c r="AW486" s="12">
        <f t="shared" si="177"/>
        <v>7955.6441085196266</v>
      </c>
    </row>
    <row r="487" spans="1:49" ht="30" x14ac:dyDescent="0.25">
      <c r="A487" s="2">
        <v>1</v>
      </c>
      <c r="B487" s="2" t="s">
        <v>1473</v>
      </c>
      <c r="C487" s="2" t="s">
        <v>1474</v>
      </c>
      <c r="D487" s="2" t="s">
        <v>2728</v>
      </c>
      <c r="E487" s="2" t="s">
        <v>129</v>
      </c>
      <c r="F487" s="3">
        <v>45782.63013888889</v>
      </c>
      <c r="G487" s="3">
        <v>45782.757256944453</v>
      </c>
      <c r="H487" s="4">
        <v>45821</v>
      </c>
      <c r="I487" s="2" t="s">
        <v>130</v>
      </c>
      <c r="J487" s="2" t="s">
        <v>51</v>
      </c>
      <c r="K487" s="2">
        <v>0.72363703447569616</v>
      </c>
      <c r="L487" s="2">
        <v>5722.9243428655509</v>
      </c>
      <c r="M487" s="2">
        <v>0</v>
      </c>
      <c r="N487" s="2">
        <v>4141.32</v>
      </c>
      <c r="O487" s="2">
        <v>4141.32</v>
      </c>
      <c r="P487" s="2"/>
      <c r="Q487" s="2">
        <v>4141.32</v>
      </c>
      <c r="R487" s="2" t="s">
        <v>44</v>
      </c>
      <c r="S487" s="2"/>
      <c r="T487" s="2">
        <f t="shared" si="159"/>
        <v>1</v>
      </c>
      <c r="U487" s="18">
        <f t="shared" si="160"/>
        <v>5</v>
      </c>
      <c r="V487" s="18">
        <f t="shared" si="161"/>
        <v>2025</v>
      </c>
      <c r="W487" s="18" t="str">
        <f t="shared" si="162"/>
        <v/>
      </c>
      <c r="X487" s="18" t="str">
        <f t="shared" si="163"/>
        <v/>
      </c>
      <c r="Y487" s="2">
        <f t="shared" si="156"/>
        <v>0.72363703447569616</v>
      </c>
      <c r="Z487" t="str">
        <f t="shared" si="157"/>
        <v>SO17104</v>
      </c>
      <c r="AA487" s="11">
        <f t="shared" si="164"/>
        <v>45782.63013888889</v>
      </c>
      <c r="AB487" s="5" t="str">
        <f t="shared" si="165"/>
        <v>INV13116</v>
      </c>
      <c r="AC487" s="5" t="str">
        <f>IFERROR(VLOOKUP(D487,CAARStatus!$A$2:$AA$1600,22,FALSE),"Not invoiced")</f>
        <v>Approved</v>
      </c>
      <c r="AD487" s="11" t="str">
        <f>IF(AC487="Paid",IFERROR(VLOOKUP(D487,CAARStatus!$A$2:$AA$1600,6,FALSE),"Pending"),"Pending")</f>
        <v>Pending</v>
      </c>
      <c r="AE487" s="5" t="str">
        <f t="shared" si="166"/>
        <v>OC00164</v>
      </c>
      <c r="AF487" s="5" t="str">
        <f t="shared" si="167"/>
        <v>Dynapro Pumps México S de RL de CV</v>
      </c>
      <c r="AG487" s="5" t="str">
        <f t="shared" si="168"/>
        <v>USD</v>
      </c>
      <c r="AH487" s="5">
        <f t="shared" si="169"/>
        <v>5722.9243428655509</v>
      </c>
      <c r="AI487" s="12">
        <f>IF(L487-N487=0,VLOOKUP(U487,rate!A$4:B$15,2,FALSE)*AH487,IF(AG487="USD",O487,AH487*Y487))</f>
        <v>4141.32</v>
      </c>
      <c r="AJ487" s="13">
        <f t="shared" si="170"/>
        <v>0.72363703447569616</v>
      </c>
      <c r="AK487" s="13">
        <f>-IF(AG487="CAD",IFERROR(VLOOKUP(D487,CAARStatus!$A$1:$Y$1600,16,FALSE),0),0)</f>
        <v>0</v>
      </c>
      <c r="AL487" s="13">
        <f>-IF(AG487="USD",IFERROR(VLOOKUP(D487,CAARStatus!$A$1:$Y$1600,11,FALSE),0),0)</f>
        <v>-4141.32</v>
      </c>
      <c r="AM487" s="22" t="str">
        <f t="shared" si="171"/>
        <v/>
      </c>
      <c r="AN487" s="12">
        <f t="shared" si="172"/>
        <v>0</v>
      </c>
      <c r="AO487" s="12" t="str">
        <f t="shared" si="173"/>
        <v>Pend</v>
      </c>
      <c r="AP487" t="str">
        <f t="shared" si="158"/>
        <v>Pend</v>
      </c>
      <c r="AQ487" t="str">
        <f>IFERROR(VLOOKUP(Z487,InvBal!$L$4:$P$600,4,FALSE),"Pend")</f>
        <v>Pend</v>
      </c>
      <c r="AR487" t="str">
        <f>IFERROR(VLOOKUP(D487,Manual!$C$1:$E$22,2,FALSE),"Pend")</f>
        <v>Pend</v>
      </c>
      <c r="AS487" t="str">
        <f t="shared" si="174"/>
        <v/>
      </c>
      <c r="AT487" t="str">
        <f t="shared" si="175"/>
        <v>Yes</v>
      </c>
      <c r="AU487" s="51" t="str">
        <f t="shared" si="176"/>
        <v/>
      </c>
      <c r="AV487" s="12">
        <f>IFERROR(VLOOKUP(D487,'Receivable Invoice Detail'!$S$1:$U$3014,3,FALSE),0)</f>
        <v>0</v>
      </c>
      <c r="AW487" s="12">
        <f t="shared" si="177"/>
        <v>0</v>
      </c>
    </row>
    <row r="488" spans="1:49" x14ac:dyDescent="0.25">
      <c r="A488" s="2">
        <v>1</v>
      </c>
      <c r="B488" s="2" t="s">
        <v>1249</v>
      </c>
      <c r="C488" s="2" t="s">
        <v>1250</v>
      </c>
      <c r="D488" s="2" t="s">
        <v>2851</v>
      </c>
      <c r="E488" s="2" t="s">
        <v>242</v>
      </c>
      <c r="F488" s="3">
        <v>45782.638252314813</v>
      </c>
      <c r="G488" s="3">
        <v>45818.486458333333</v>
      </c>
      <c r="H488" s="4">
        <v>45888</v>
      </c>
      <c r="I488" s="2" t="s">
        <v>21</v>
      </c>
      <c r="J488" s="2" t="s">
        <v>22</v>
      </c>
      <c r="K488" s="2">
        <v>1</v>
      </c>
      <c r="L488" s="2">
        <v>1690.27</v>
      </c>
      <c r="M488" s="2">
        <v>0</v>
      </c>
      <c r="N488" s="2">
        <v>1235.1409792801639</v>
      </c>
      <c r="O488" s="2">
        <v>1609.78</v>
      </c>
      <c r="P488" s="2">
        <v>80.489999999999995</v>
      </c>
      <c r="Q488" s="2">
        <v>1690.27</v>
      </c>
      <c r="R488" s="2" t="s">
        <v>44</v>
      </c>
      <c r="S488" s="2"/>
      <c r="T488" s="2">
        <f t="shared" si="159"/>
        <v>1</v>
      </c>
      <c r="U488" s="18">
        <f t="shared" si="160"/>
        <v>5</v>
      </c>
      <c r="V488" s="18">
        <f t="shared" si="161"/>
        <v>2025</v>
      </c>
      <c r="W488" s="18" t="str">
        <f t="shared" si="162"/>
        <v/>
      </c>
      <c r="X488" s="18" t="str">
        <f t="shared" si="163"/>
        <v/>
      </c>
      <c r="Y488" s="17">
        <f t="shared" si="156"/>
        <v>0.73073590567197189</v>
      </c>
      <c r="Z488" t="str">
        <f t="shared" si="157"/>
        <v>SO17105</v>
      </c>
      <c r="AA488" s="11">
        <f t="shared" si="164"/>
        <v>45782.638252314813</v>
      </c>
      <c r="AB488" s="5" t="str">
        <f t="shared" si="165"/>
        <v>INV13436</v>
      </c>
      <c r="AC488" s="5" t="str">
        <f>IFERROR(VLOOKUP(D488,CAARStatus!$A$2:$AA$1600,22,FALSE),"Not invoiced")</f>
        <v>Not invoiced</v>
      </c>
      <c r="AD488" s="11" t="str">
        <f>IF(AC488="Paid",IFERROR(VLOOKUP(D488,CAARStatus!$A$2:$AA$1600,6,FALSE),"Pending"),"Pending")</f>
        <v>Pending</v>
      </c>
      <c r="AE488" s="5" t="str">
        <f t="shared" si="166"/>
        <v>2100591554</v>
      </c>
      <c r="AF488" s="5" t="str">
        <f t="shared" si="167"/>
        <v>Wajax Limited - Noranda</v>
      </c>
      <c r="AG488" s="5" t="str">
        <f t="shared" si="168"/>
        <v>CAD</v>
      </c>
      <c r="AH488" s="5">
        <f t="shared" si="169"/>
        <v>1609.78</v>
      </c>
      <c r="AI488" s="12">
        <f>IF(L488-N488=0,VLOOKUP(U488,rate!A$4:B$15,2,FALSE)*AH488,IF(AG488="USD",O488,AH488*Y488))</f>
        <v>1176.3240462326269</v>
      </c>
      <c r="AJ488" s="13">
        <f t="shared" si="170"/>
        <v>0.73073590567197189</v>
      </c>
      <c r="AK488" s="13">
        <f>-IF(AG488="CAD",IFERROR(VLOOKUP(D488,CAARStatus!$A$1:$Y$1600,16,FALSE),0),0)</f>
        <v>0</v>
      </c>
      <c r="AL488" s="13">
        <f>-IF(AG488="USD",IFERROR(VLOOKUP(D488,CAARStatus!$A$1:$Y$1600,11,FALSE),0),0)</f>
        <v>0</v>
      </c>
      <c r="AM488" s="22">
        <f t="shared" si="171"/>
        <v>1609.78</v>
      </c>
      <c r="AN488" s="12" t="str">
        <f t="shared" si="172"/>
        <v/>
      </c>
      <c r="AO488" s="12" t="str">
        <f t="shared" si="173"/>
        <v>Pend</v>
      </c>
      <c r="AP488" t="str">
        <f t="shared" si="158"/>
        <v>Pend</v>
      </c>
      <c r="AQ488" t="str">
        <f>IFERROR(VLOOKUP(Z488,InvBal!$L$4:$P$600,4,FALSE),"Pend")</f>
        <v>Pend</v>
      </c>
      <c r="AR488" t="str">
        <f>IFERROR(VLOOKUP(D488,Manual!$C$1:$E$22,2,FALSE),"Pend")</f>
        <v>Pend</v>
      </c>
      <c r="AS488" t="str">
        <f t="shared" si="174"/>
        <v/>
      </c>
      <c r="AT488" t="str">
        <f t="shared" si="175"/>
        <v>Yes</v>
      </c>
      <c r="AU488" s="51" t="str">
        <f t="shared" si="176"/>
        <v/>
      </c>
      <c r="AV488" s="12">
        <f>IFERROR(VLOOKUP(D488,'Receivable Invoice Detail'!$S$1:$U$3014,3,FALSE),0)</f>
        <v>0</v>
      </c>
      <c r="AW488" s="12">
        <f t="shared" si="177"/>
        <v>0</v>
      </c>
    </row>
    <row r="489" spans="1:49" x14ac:dyDescent="0.25">
      <c r="A489" s="2">
        <v>1</v>
      </c>
      <c r="B489" s="2" t="s">
        <v>1475</v>
      </c>
      <c r="C489" s="2" t="s">
        <v>1476</v>
      </c>
      <c r="D489" s="2" t="s">
        <v>2727</v>
      </c>
      <c r="E489" s="2" t="s">
        <v>465</v>
      </c>
      <c r="F489" s="3">
        <v>45782.667592592603</v>
      </c>
      <c r="G489" s="3">
        <v>45782.667939814812</v>
      </c>
      <c r="H489" s="4">
        <v>45783</v>
      </c>
      <c r="I489" s="2" t="s">
        <v>21</v>
      </c>
      <c r="J489" s="2" t="s">
        <v>22</v>
      </c>
      <c r="K489" s="2">
        <v>1</v>
      </c>
      <c r="L489" s="2">
        <v>134.91999999999999</v>
      </c>
      <c r="M489" s="2">
        <v>134.91999999999999</v>
      </c>
      <c r="N489" s="2">
        <v>134.91999999999999</v>
      </c>
      <c r="O489" s="2">
        <v>119.4</v>
      </c>
      <c r="P489" s="2">
        <v>15.52</v>
      </c>
      <c r="Q489" s="2">
        <v>134.91999999999999</v>
      </c>
      <c r="R489" s="2" t="s">
        <v>44</v>
      </c>
      <c r="S489" s="2"/>
      <c r="T489" s="2">
        <f t="shared" si="159"/>
        <v>1</v>
      </c>
      <c r="U489" s="18">
        <f t="shared" si="160"/>
        <v>5</v>
      </c>
      <c r="V489" s="18">
        <f t="shared" si="161"/>
        <v>2025</v>
      </c>
      <c r="W489" s="18">
        <f t="shared" si="162"/>
        <v>6</v>
      </c>
      <c r="X489" s="18">
        <f t="shared" si="163"/>
        <v>2025</v>
      </c>
      <c r="Y489" s="17">
        <f t="shared" si="156"/>
        <v>1</v>
      </c>
      <c r="Z489" t="str">
        <f t="shared" si="157"/>
        <v>SO17106</v>
      </c>
      <c r="AA489" s="11">
        <f t="shared" si="164"/>
        <v>45782.667592592603</v>
      </c>
      <c r="AB489" s="5" t="str">
        <f t="shared" si="165"/>
        <v>INV12955</v>
      </c>
      <c r="AC489" s="5" t="str">
        <f>IFERROR(VLOOKUP(D489,CAARStatus!$A$2:$AA$1600,22,FALSE),"Not invoiced")</f>
        <v>Paid</v>
      </c>
      <c r="AD489" s="11">
        <f>IF(AC489="Paid",IFERROR(VLOOKUP(D489,CAARStatus!$A$2:$AA$1600,6,FALSE),"Pending"),"Pending")</f>
        <v>45835</v>
      </c>
      <c r="AE489" s="5" t="str">
        <f t="shared" si="166"/>
        <v>M-083739</v>
      </c>
      <c r="AF489" s="5" t="str">
        <f t="shared" si="167"/>
        <v>Grant Aggregate</v>
      </c>
      <c r="AG489" s="5" t="str">
        <f t="shared" si="168"/>
        <v>CAD</v>
      </c>
      <c r="AH489" s="5">
        <f t="shared" si="169"/>
        <v>119.4</v>
      </c>
      <c r="AI489" s="12">
        <f>IF(L489-N489=0,VLOOKUP(U489,rate!A$4:B$15,2,FALSE)*AH489,IF(AG489="USD",O489,AH489*Y489))</f>
        <v>86.197871780096349</v>
      </c>
      <c r="AJ489" s="13">
        <f t="shared" si="170"/>
        <v>0.72192522428891415</v>
      </c>
      <c r="AK489" s="13">
        <f>-IF(AG489="CAD",IFERROR(VLOOKUP(D489,CAARStatus!$A$1:$Y$1600,16,FALSE),0),0)</f>
        <v>-119.4</v>
      </c>
      <c r="AL489" s="13">
        <f>-IF(AG489="USD",IFERROR(VLOOKUP(D489,CAARStatus!$A$1:$Y$1600,11,FALSE),0),0)</f>
        <v>0</v>
      </c>
      <c r="AM489" s="22">
        <f t="shared" si="171"/>
        <v>0</v>
      </c>
      <c r="AN489" s="12" t="str">
        <f t="shared" si="172"/>
        <v/>
      </c>
      <c r="AO489" s="12" t="str">
        <f t="shared" si="173"/>
        <v>Yes</v>
      </c>
      <c r="AP489" t="str">
        <f t="shared" si="158"/>
        <v>Yes</v>
      </c>
      <c r="AQ489" t="str">
        <f>IFERROR(VLOOKUP(Z489,InvBal!$L$4:$P$600,4,FALSE),"Pend")</f>
        <v>Pend</v>
      </c>
      <c r="AR489" t="str">
        <f>IFERROR(VLOOKUP(D489,Manual!$C$1:$E$22,2,FALSE),"Pend")</f>
        <v>Pend</v>
      </c>
      <c r="AS489" t="str">
        <f t="shared" si="174"/>
        <v>Yes</v>
      </c>
      <c r="AT489" t="str">
        <f t="shared" si="175"/>
        <v>Yes</v>
      </c>
      <c r="AU489" s="51" t="str">
        <f t="shared" si="176"/>
        <v>Yes</v>
      </c>
      <c r="AV489" s="12">
        <f>IFERROR(VLOOKUP(D489,'Receivable Invoice Detail'!$S$1:$U$3014,3,FALSE),0)</f>
        <v>0</v>
      </c>
      <c r="AW489" s="12">
        <f t="shared" si="177"/>
        <v>86.197871780096349</v>
      </c>
    </row>
    <row r="490" spans="1:49" ht="30" x14ac:dyDescent="0.25">
      <c r="A490" s="2">
        <v>1</v>
      </c>
      <c r="B490" s="2" t="s">
        <v>1467</v>
      </c>
      <c r="C490" s="2" t="s">
        <v>1468</v>
      </c>
      <c r="D490" s="2" t="s">
        <v>2732</v>
      </c>
      <c r="E490" s="2" t="s">
        <v>35</v>
      </c>
      <c r="F490" s="3">
        <v>45783.668564814812</v>
      </c>
      <c r="G490" s="3">
        <v>45783.669976851852</v>
      </c>
      <c r="H490" s="4">
        <v>45784</v>
      </c>
      <c r="I490" s="2" t="s">
        <v>21</v>
      </c>
      <c r="J490" s="2" t="s">
        <v>22</v>
      </c>
      <c r="K490" s="2">
        <v>1</v>
      </c>
      <c r="L490" s="2">
        <v>117.99</v>
      </c>
      <c r="M490" s="2">
        <v>0</v>
      </c>
      <c r="N490" s="2">
        <v>85.647318751200558</v>
      </c>
      <c r="O490" s="2">
        <v>112.37</v>
      </c>
      <c r="P490" s="2">
        <v>5.62</v>
      </c>
      <c r="Q490" s="2">
        <v>117.99</v>
      </c>
      <c r="R490" s="2" t="s">
        <v>44</v>
      </c>
      <c r="S490" s="2"/>
      <c r="T490" s="2">
        <f t="shared" si="159"/>
        <v>1</v>
      </c>
      <c r="U490" s="18">
        <f t="shared" si="160"/>
        <v>5</v>
      </c>
      <c r="V490" s="18">
        <f t="shared" si="161"/>
        <v>2025</v>
      </c>
      <c r="W490" s="18">
        <f t="shared" si="162"/>
        <v>6</v>
      </c>
      <c r="X490" s="18">
        <f t="shared" si="163"/>
        <v>2025</v>
      </c>
      <c r="Y490" s="2">
        <f t="shared" si="156"/>
        <v>0.72588625096364578</v>
      </c>
      <c r="Z490" t="str">
        <f t="shared" si="157"/>
        <v>SO17114</v>
      </c>
      <c r="AA490" s="11">
        <f t="shared" si="164"/>
        <v>45783.668564814812</v>
      </c>
      <c r="AB490" s="5" t="str">
        <f t="shared" si="165"/>
        <v>INV12957</v>
      </c>
      <c r="AC490" s="5" t="str">
        <f>IFERROR(VLOOKUP(D490,CAARStatus!$A$2:$AA$1600,22,FALSE),"Not invoiced")</f>
        <v>Paid</v>
      </c>
      <c r="AD490" s="11">
        <f>IF(AC490="Paid",IFERROR(VLOOKUP(D490,CAARStatus!$A$2:$AA$1600,6,FALSE),"Pending"),"Pending")</f>
        <v>45812</v>
      </c>
      <c r="AE490" s="5" t="str">
        <f t="shared" si="166"/>
        <v>PO13564</v>
      </c>
      <c r="AF490" s="5" t="str">
        <f t="shared" si="167"/>
        <v>Manufacture Sling-Choker (Val-d’Or) Ltée</v>
      </c>
      <c r="AG490" s="5" t="str">
        <f t="shared" si="168"/>
        <v>CAD</v>
      </c>
      <c r="AH490" s="5">
        <f t="shared" si="169"/>
        <v>112.37</v>
      </c>
      <c r="AI490" s="12">
        <f>IF(L490-N490=0,VLOOKUP(U490,rate!A$4:B$15,2,FALSE)*AH490,IF(AG490="USD",O490,AH490*Y490))</f>
        <v>81.567838020784876</v>
      </c>
      <c r="AJ490" s="13">
        <f t="shared" si="170"/>
        <v>0.72588625096364578</v>
      </c>
      <c r="AK490" s="13">
        <f>-IF(AG490="CAD",IFERROR(VLOOKUP(D490,CAARStatus!$A$1:$Y$1600,16,FALSE),0),0)</f>
        <v>-112.37</v>
      </c>
      <c r="AL490" s="13">
        <f>-IF(AG490="USD",IFERROR(VLOOKUP(D490,CAARStatus!$A$1:$Y$1600,11,FALSE),0),0)</f>
        <v>0</v>
      </c>
      <c r="AM490" s="22">
        <f t="shared" si="171"/>
        <v>0</v>
      </c>
      <c r="AN490" s="12" t="str">
        <f t="shared" si="172"/>
        <v/>
      </c>
      <c r="AO490" s="12" t="str">
        <f t="shared" si="173"/>
        <v>Yes</v>
      </c>
      <c r="AP490" t="str">
        <f t="shared" si="158"/>
        <v>Yes</v>
      </c>
      <c r="AQ490" t="str">
        <f>IFERROR(VLOOKUP(Z490,InvBal!$L$4:$P$600,4,FALSE),"Pend")</f>
        <v>Pend</v>
      </c>
      <c r="AR490" t="str">
        <f>IFERROR(VLOOKUP(D490,Manual!$C$1:$E$22,2,FALSE),"Pend")</f>
        <v>Pend</v>
      </c>
      <c r="AS490" t="str">
        <f t="shared" si="174"/>
        <v>Yes</v>
      </c>
      <c r="AT490" t="str">
        <f t="shared" si="175"/>
        <v>Yes</v>
      </c>
      <c r="AU490" s="51" t="str">
        <f t="shared" si="176"/>
        <v>Yes</v>
      </c>
      <c r="AV490" s="12">
        <f>IFERROR(VLOOKUP(D490,'Receivable Invoice Detail'!$S$1:$U$3014,3,FALSE),0)</f>
        <v>0</v>
      </c>
      <c r="AW490" s="12">
        <f t="shared" si="177"/>
        <v>81.567838020784876</v>
      </c>
    </row>
    <row r="491" spans="1:49" ht="30" x14ac:dyDescent="0.25">
      <c r="A491" s="2">
        <v>1</v>
      </c>
      <c r="B491" s="2" t="s">
        <v>1465</v>
      </c>
      <c r="C491" s="2" t="s">
        <v>1466</v>
      </c>
      <c r="D491" s="2" t="s">
        <v>2733</v>
      </c>
      <c r="E491" s="2" t="s">
        <v>898</v>
      </c>
      <c r="F491" s="3">
        <v>45784.352013888893</v>
      </c>
      <c r="G491" s="3">
        <v>45784.422349537039</v>
      </c>
      <c r="H491" s="4">
        <v>45785</v>
      </c>
      <c r="I491" s="2" t="s">
        <v>21</v>
      </c>
      <c r="J491" s="2" t="s">
        <v>22</v>
      </c>
      <c r="K491" s="2">
        <v>1</v>
      </c>
      <c r="L491" s="2">
        <v>1298.97</v>
      </c>
      <c r="M491" s="2">
        <v>0</v>
      </c>
      <c r="N491" s="2">
        <v>943.04213231980248</v>
      </c>
      <c r="O491" s="2">
        <v>1237.1099999999999</v>
      </c>
      <c r="P491" s="2">
        <v>61.86</v>
      </c>
      <c r="Q491" s="2">
        <v>1298.97</v>
      </c>
      <c r="R491" s="2" t="s">
        <v>44</v>
      </c>
      <c r="S491" s="2"/>
      <c r="T491" s="2">
        <f t="shared" si="159"/>
        <v>1</v>
      </c>
      <c r="U491" s="18">
        <f t="shared" si="160"/>
        <v>5</v>
      </c>
      <c r="V491" s="18">
        <f t="shared" si="161"/>
        <v>2025</v>
      </c>
      <c r="W491" s="18">
        <f t="shared" si="162"/>
        <v>5</v>
      </c>
      <c r="X491" s="18">
        <f t="shared" si="163"/>
        <v>2025</v>
      </c>
      <c r="Y491" s="17">
        <f t="shared" si="156"/>
        <v>0.72599223409301405</v>
      </c>
      <c r="Z491" t="str">
        <f t="shared" si="157"/>
        <v>SO17116</v>
      </c>
      <c r="AA491" s="11">
        <f t="shared" si="164"/>
        <v>45784.352013888893</v>
      </c>
      <c r="AB491" s="5" t="str">
        <f t="shared" si="165"/>
        <v>INV12959</v>
      </c>
      <c r="AC491" s="5" t="str">
        <f>IFERROR(VLOOKUP(D491,CAARStatus!$A$2:$AA$1600,22,FALSE),"Not invoiced")</f>
        <v>Paid</v>
      </c>
      <c r="AD491" s="11">
        <f>IF(AC491="Paid",IFERROR(VLOOKUP(D491,CAARStatus!$A$2:$AA$1600,6,FALSE),"Pending"),"Pending")</f>
        <v>45784</v>
      </c>
      <c r="AE491" s="5" t="str">
        <f t="shared" si="166"/>
        <v>5285 - Paid in full on May 7th 2025</v>
      </c>
      <c r="AF491" s="5" t="str">
        <f t="shared" si="167"/>
        <v>MJR Admin</v>
      </c>
      <c r="AG491" s="5" t="str">
        <f t="shared" si="168"/>
        <v>CAD</v>
      </c>
      <c r="AH491" s="5">
        <f t="shared" si="169"/>
        <v>1237.1099999999999</v>
      </c>
      <c r="AI491" s="12">
        <f>IF(L491-N491=0,VLOOKUP(U491,rate!A$4:B$15,2,FALSE)*AH491,IF(AG491="USD",O491,AH491*Y491))</f>
        <v>898.13225271880856</v>
      </c>
      <c r="AJ491" s="13">
        <f t="shared" si="170"/>
        <v>0.72599223409301405</v>
      </c>
      <c r="AK491" s="13">
        <f>-IF(AG491="CAD",IFERROR(VLOOKUP(D491,CAARStatus!$A$1:$Y$1600,16,FALSE),0),0)</f>
        <v>-1237.1099999999999</v>
      </c>
      <c r="AL491" s="13">
        <f>-IF(AG491="USD",IFERROR(VLOOKUP(D491,CAARStatus!$A$1:$Y$1600,11,FALSE),0),0)</f>
        <v>0</v>
      </c>
      <c r="AM491" s="22">
        <f t="shared" si="171"/>
        <v>0</v>
      </c>
      <c r="AN491" s="12" t="str">
        <f t="shared" si="172"/>
        <v/>
      </c>
      <c r="AO491" s="12" t="str">
        <f t="shared" si="173"/>
        <v>Yes</v>
      </c>
      <c r="AP491" t="str">
        <f t="shared" si="158"/>
        <v>Yes</v>
      </c>
      <c r="AQ491" t="str">
        <f>IFERROR(VLOOKUP(Z491,InvBal!$L$4:$P$600,4,FALSE),"Pend")</f>
        <v>Pend</v>
      </c>
      <c r="AR491" t="str">
        <f>IFERROR(VLOOKUP(D491,Manual!$C$1:$E$22,2,FALSE),"Pend")</f>
        <v>Pend</v>
      </c>
      <c r="AS491" t="str">
        <f t="shared" si="174"/>
        <v>Yes</v>
      </c>
      <c r="AT491" t="str">
        <f t="shared" si="175"/>
        <v>Yes</v>
      </c>
      <c r="AU491" s="51" t="str">
        <f t="shared" si="176"/>
        <v>Yes</v>
      </c>
      <c r="AV491" s="12">
        <f>IFERROR(VLOOKUP(D491,'Receivable Invoice Detail'!$S$1:$U$3014,3,FALSE),0)</f>
        <v>0</v>
      </c>
      <c r="AW491" s="12">
        <f t="shared" si="177"/>
        <v>898.13225271880856</v>
      </c>
    </row>
    <row r="492" spans="1:49" x14ac:dyDescent="0.25">
      <c r="A492" s="2">
        <v>1</v>
      </c>
      <c r="B492" s="2" t="s">
        <v>1435</v>
      </c>
      <c r="C492" s="2" t="s">
        <v>1436</v>
      </c>
      <c r="D492" s="2" t="s">
        <v>2750</v>
      </c>
      <c r="E492" s="2" t="s">
        <v>146</v>
      </c>
      <c r="F492" s="3">
        <v>45784.436967592592</v>
      </c>
      <c r="G492" s="3">
        <v>45789.617291666669</v>
      </c>
      <c r="H492" s="4">
        <v>45824</v>
      </c>
      <c r="I492" s="2" t="s">
        <v>21</v>
      </c>
      <c r="J492" s="2" t="s">
        <v>22</v>
      </c>
      <c r="K492" s="2">
        <v>1</v>
      </c>
      <c r="L492" s="2">
        <v>157.08000000000001</v>
      </c>
      <c r="M492" s="2">
        <v>0</v>
      </c>
      <c r="N492" s="2">
        <v>112.16196135102641</v>
      </c>
      <c r="O492" s="2">
        <v>149.6</v>
      </c>
      <c r="P492" s="2">
        <v>7.48</v>
      </c>
      <c r="Q492" s="2">
        <v>157.08000000000001</v>
      </c>
      <c r="R492" s="2" t="s">
        <v>44</v>
      </c>
      <c r="S492" s="2"/>
      <c r="T492" s="2">
        <f t="shared" si="159"/>
        <v>1</v>
      </c>
      <c r="U492" s="18">
        <f t="shared" si="160"/>
        <v>5</v>
      </c>
      <c r="V492" s="18">
        <f t="shared" si="161"/>
        <v>2025</v>
      </c>
      <c r="W492" s="18">
        <f t="shared" si="162"/>
        <v>8</v>
      </c>
      <c r="X492" s="18">
        <f t="shared" si="163"/>
        <v>2025</v>
      </c>
      <c r="Y492" s="17">
        <f t="shared" si="156"/>
        <v>0.71404355329148461</v>
      </c>
      <c r="Z492" t="str">
        <f t="shared" si="157"/>
        <v>SO17119</v>
      </c>
      <c r="AA492" s="11">
        <f t="shared" si="164"/>
        <v>45784.436967592592</v>
      </c>
      <c r="AB492" s="5" t="str">
        <f t="shared" si="165"/>
        <v>INV13089</v>
      </c>
      <c r="AC492" s="5" t="str">
        <f>IFERROR(VLOOKUP(D492,CAARStatus!$A$2:$AA$1600,22,FALSE),"Not invoiced")</f>
        <v>Paid</v>
      </c>
      <c r="AD492" s="11">
        <f>IF(AC492="Paid",IFERROR(VLOOKUP(D492,CAARStatus!$A$2:$AA$1600,6,FALSE),"Pending"),"Pending")</f>
        <v>45873</v>
      </c>
      <c r="AE492" s="5" t="str">
        <f t="shared" si="166"/>
        <v>7128</v>
      </c>
      <c r="AF492" s="5" t="str">
        <f t="shared" si="167"/>
        <v>Hyperflo</v>
      </c>
      <c r="AG492" s="5" t="str">
        <f t="shared" si="168"/>
        <v>CAD</v>
      </c>
      <c r="AH492" s="5">
        <f t="shared" si="169"/>
        <v>149.6</v>
      </c>
      <c r="AI492" s="12">
        <f>IF(L492-N492=0,VLOOKUP(U492,rate!A$4:B$15,2,FALSE)*AH492,IF(AG492="USD",O492,AH492*Y492))</f>
        <v>106.82091557240609</v>
      </c>
      <c r="AJ492" s="13">
        <f t="shared" si="170"/>
        <v>0.71404355329148461</v>
      </c>
      <c r="AK492" s="13">
        <f>-IF(AG492="CAD",IFERROR(VLOOKUP(D492,CAARStatus!$A$1:$Y$1600,16,FALSE),0),0)</f>
        <v>-149.6</v>
      </c>
      <c r="AL492" s="13">
        <f>-IF(AG492="USD",IFERROR(VLOOKUP(D492,CAARStatus!$A$1:$Y$1600,11,FALSE),0),0)</f>
        <v>0</v>
      </c>
      <c r="AM492" s="22">
        <f t="shared" si="171"/>
        <v>0</v>
      </c>
      <c r="AN492" s="12" t="str">
        <f t="shared" si="172"/>
        <v/>
      </c>
      <c r="AO492" s="12" t="str">
        <f t="shared" si="173"/>
        <v>Yes</v>
      </c>
      <c r="AP492" t="str">
        <f t="shared" si="158"/>
        <v>Yes</v>
      </c>
      <c r="AQ492" t="str">
        <f>IFERROR(VLOOKUP(Z492,InvBal!$L$4:$P$600,4,FALSE),"Pend")</f>
        <v>Pend</v>
      </c>
      <c r="AR492" t="str">
        <f>IFERROR(VLOOKUP(D492,Manual!$C$1:$E$22,2,FALSE),"Pend")</f>
        <v>Pend</v>
      </c>
      <c r="AS492" t="str">
        <f t="shared" si="174"/>
        <v>Yes</v>
      </c>
      <c r="AT492" t="str">
        <f t="shared" si="175"/>
        <v>Yes</v>
      </c>
      <c r="AU492" s="51" t="str">
        <f t="shared" si="176"/>
        <v>Yes</v>
      </c>
      <c r="AV492" s="12">
        <f>IFERROR(VLOOKUP(D492,'Receivable Invoice Detail'!$S$1:$U$3014,3,FALSE),0)</f>
        <v>0</v>
      </c>
      <c r="AW492" s="12">
        <f t="shared" si="177"/>
        <v>106.82091557240609</v>
      </c>
    </row>
    <row r="493" spans="1:49" ht="30" x14ac:dyDescent="0.25">
      <c r="A493" s="2">
        <v>1</v>
      </c>
      <c r="B493" s="2" t="s">
        <v>1457</v>
      </c>
      <c r="C493" s="2" t="s">
        <v>1458</v>
      </c>
      <c r="D493" s="2" t="s">
        <v>2737</v>
      </c>
      <c r="E493" s="2" t="s">
        <v>630</v>
      </c>
      <c r="F493" s="3">
        <v>45784.688842592594</v>
      </c>
      <c r="G493" s="3">
        <v>45784.68886574074</v>
      </c>
      <c r="H493" s="4">
        <v>45812</v>
      </c>
      <c r="I493" s="2" t="s">
        <v>21</v>
      </c>
      <c r="J493" s="2" t="s">
        <v>22</v>
      </c>
      <c r="K493" s="2">
        <v>1</v>
      </c>
      <c r="L493" s="2">
        <v>855.1</v>
      </c>
      <c r="M493" s="2">
        <v>0</v>
      </c>
      <c r="N493" s="2">
        <v>620.7959593729363</v>
      </c>
      <c r="O493" s="2">
        <v>814.38</v>
      </c>
      <c r="P493" s="2">
        <v>40.72</v>
      </c>
      <c r="Q493" s="2">
        <v>855.1</v>
      </c>
      <c r="R493" s="2" t="s">
        <v>44</v>
      </c>
      <c r="S493" s="2"/>
      <c r="T493" s="2">
        <f t="shared" si="159"/>
        <v>1</v>
      </c>
      <c r="U493" s="18">
        <f t="shared" si="160"/>
        <v>5</v>
      </c>
      <c r="V493" s="18">
        <f t="shared" si="161"/>
        <v>2025</v>
      </c>
      <c r="W493" s="18">
        <f t="shared" si="162"/>
        <v>8</v>
      </c>
      <c r="X493" s="18">
        <f t="shared" si="163"/>
        <v>2025</v>
      </c>
      <c r="Y493" s="17">
        <f t="shared" si="156"/>
        <v>0.72599223409301405</v>
      </c>
      <c r="Z493" t="str">
        <f t="shared" si="157"/>
        <v>SO17126</v>
      </c>
      <c r="AA493" s="11">
        <f t="shared" si="164"/>
        <v>45784.688842592594</v>
      </c>
      <c r="AB493" s="5" t="str">
        <f t="shared" si="165"/>
        <v>INV13058</v>
      </c>
      <c r="AC493" s="5" t="str">
        <f>IFERROR(VLOOKUP(D493,CAARStatus!$A$2:$AA$1600,22,FALSE),"Not invoiced")</f>
        <v>Paid</v>
      </c>
      <c r="AD493" s="11">
        <f>IF(AC493="Paid",IFERROR(VLOOKUP(D493,CAARStatus!$A$2:$AA$1600,6,FALSE),"Pending"),"Pending")</f>
        <v>45884</v>
      </c>
      <c r="AE493" s="5" t="str">
        <f t="shared" si="166"/>
        <v>Darren - PO Email Confirmation</v>
      </c>
      <c r="AF493" s="5" t="str">
        <f t="shared" si="167"/>
        <v>Quality Concrete Inc.</v>
      </c>
      <c r="AG493" s="5" t="str">
        <f t="shared" si="168"/>
        <v>CAD</v>
      </c>
      <c r="AH493" s="5">
        <f t="shared" si="169"/>
        <v>814.38</v>
      </c>
      <c r="AI493" s="12">
        <f>IF(L493-N493=0,VLOOKUP(U493,rate!A$4:B$15,2,FALSE)*AH493,IF(AG493="USD",O493,AH493*Y493))</f>
        <v>591.23355560066875</v>
      </c>
      <c r="AJ493" s="13">
        <f t="shared" si="170"/>
        <v>0.72599223409301405</v>
      </c>
      <c r="AK493" s="13">
        <f>-IF(AG493="CAD",IFERROR(VLOOKUP(D493,CAARStatus!$A$1:$Y$1600,16,FALSE),0),0)</f>
        <v>-814.38</v>
      </c>
      <c r="AL493" s="13">
        <f>-IF(AG493="USD",IFERROR(VLOOKUP(D493,CAARStatus!$A$1:$Y$1600,11,FALSE),0),0)</f>
        <v>0</v>
      </c>
      <c r="AM493" s="22">
        <f t="shared" si="171"/>
        <v>0</v>
      </c>
      <c r="AN493" s="12" t="str">
        <f t="shared" si="172"/>
        <v/>
      </c>
      <c r="AO493" s="12" t="str">
        <f t="shared" si="173"/>
        <v>Yes</v>
      </c>
      <c r="AP493" t="str">
        <f t="shared" si="158"/>
        <v>Yes</v>
      </c>
      <c r="AQ493" t="str">
        <f>IFERROR(VLOOKUP(Z493,InvBal!$L$4:$P$600,4,FALSE),"Pend")</f>
        <v>Pend</v>
      </c>
      <c r="AR493" t="str">
        <f>IFERROR(VLOOKUP(D493,Manual!$C$1:$E$22,2,FALSE),"Pend")</f>
        <v>Pend</v>
      </c>
      <c r="AS493" t="str">
        <f t="shared" si="174"/>
        <v>Yes</v>
      </c>
      <c r="AT493" t="str">
        <f t="shared" si="175"/>
        <v>Yes</v>
      </c>
      <c r="AU493" s="51" t="str">
        <f t="shared" si="176"/>
        <v>Yes</v>
      </c>
      <c r="AV493" s="12">
        <f>IFERROR(VLOOKUP(D493,'Receivable Invoice Detail'!$S$1:$U$3014,3,FALSE),0)</f>
        <v>0</v>
      </c>
      <c r="AW493" s="12">
        <f t="shared" si="177"/>
        <v>591.23355560066875</v>
      </c>
    </row>
    <row r="494" spans="1:49" ht="30" x14ac:dyDescent="0.25">
      <c r="A494" s="2">
        <v>1</v>
      </c>
      <c r="B494" s="2" t="s">
        <v>1348</v>
      </c>
      <c r="C494" s="2" t="s">
        <v>1349</v>
      </c>
      <c r="D494" s="2" t="s">
        <v>2796</v>
      </c>
      <c r="E494" s="2" t="s">
        <v>864</v>
      </c>
      <c r="F494" s="3">
        <v>45785.374537037038</v>
      </c>
      <c r="G494" s="3">
        <v>45803.547546296293</v>
      </c>
      <c r="H494" s="4">
        <v>45804</v>
      </c>
      <c r="I494" s="2" t="s">
        <v>21</v>
      </c>
      <c r="J494" s="2" t="s">
        <v>22</v>
      </c>
      <c r="K494" s="2">
        <v>1</v>
      </c>
      <c r="L494" s="2">
        <v>135.38999999999999</v>
      </c>
      <c r="M494" s="2">
        <v>135.38999999999999</v>
      </c>
      <c r="N494" s="2">
        <v>135.38999999999999</v>
      </c>
      <c r="O494" s="2">
        <v>128.94</v>
      </c>
      <c r="P494" s="2">
        <v>6.45</v>
      </c>
      <c r="Q494" s="2">
        <v>135.38999999999999</v>
      </c>
      <c r="R494" s="2" t="s">
        <v>44</v>
      </c>
      <c r="S494" s="2"/>
      <c r="T494" s="2">
        <f t="shared" si="159"/>
        <v>1</v>
      </c>
      <c r="U494" s="18">
        <f t="shared" si="160"/>
        <v>5</v>
      </c>
      <c r="V494" s="18">
        <f t="shared" si="161"/>
        <v>2025</v>
      </c>
      <c r="W494" s="18">
        <f t="shared" si="162"/>
        <v>7</v>
      </c>
      <c r="X494" s="18">
        <f t="shared" si="163"/>
        <v>2025</v>
      </c>
      <c r="Y494" s="2">
        <f t="shared" si="156"/>
        <v>1</v>
      </c>
      <c r="Z494" t="str">
        <f t="shared" si="157"/>
        <v>SO17129</v>
      </c>
      <c r="AA494" s="11">
        <f t="shared" si="164"/>
        <v>45785.374537037038</v>
      </c>
      <c r="AB494" s="5" t="str">
        <f t="shared" si="165"/>
        <v>INV13028</v>
      </c>
      <c r="AC494" s="5" t="str">
        <f>IFERROR(VLOOKUP(D494,CAARStatus!$A$2:$AA$1600,22,FALSE),"Not invoiced")</f>
        <v>Paid</v>
      </c>
      <c r="AD494" s="11">
        <f>IF(AC494="Paid",IFERROR(VLOOKUP(D494,CAARStatus!$A$2:$AA$1600,6,FALSE),"Pending"),"Pending")</f>
        <v>45847</v>
      </c>
      <c r="AE494" s="5" t="str">
        <f t="shared" si="166"/>
        <v>2100580915</v>
      </c>
      <c r="AF494" s="5" t="str">
        <f t="shared" si="167"/>
        <v>Wajax Limited - Pointe-aux-Trembles</v>
      </c>
      <c r="AG494" s="5" t="str">
        <f t="shared" si="168"/>
        <v>CAD</v>
      </c>
      <c r="AH494" s="5">
        <f t="shared" si="169"/>
        <v>128.94</v>
      </c>
      <c r="AI494" s="12">
        <f>IF(L494-N494=0,VLOOKUP(U494,rate!A$4:B$15,2,FALSE)*AH494,IF(AG494="USD",O494,AH494*Y494))</f>
        <v>93.085038419812591</v>
      </c>
      <c r="AJ494" s="13">
        <f t="shared" si="170"/>
        <v>0.72192522428891415</v>
      </c>
      <c r="AK494" s="13">
        <f>-IF(AG494="CAD",IFERROR(VLOOKUP(D494,CAARStatus!$A$1:$Y$1600,16,FALSE),0),0)</f>
        <v>-128.94</v>
      </c>
      <c r="AL494" s="13">
        <f>-IF(AG494="USD",IFERROR(VLOOKUP(D494,CAARStatus!$A$1:$Y$1600,11,FALSE),0),0)</f>
        <v>0</v>
      </c>
      <c r="AM494" s="22">
        <f t="shared" si="171"/>
        <v>0</v>
      </c>
      <c r="AN494" s="12" t="str">
        <f t="shared" si="172"/>
        <v/>
      </c>
      <c r="AO494" s="12" t="str">
        <f t="shared" si="173"/>
        <v>Yes</v>
      </c>
      <c r="AP494" t="str">
        <f t="shared" si="158"/>
        <v>Yes</v>
      </c>
      <c r="AQ494" t="str">
        <f>IFERROR(VLOOKUP(Z494,InvBal!$L$4:$P$600,4,FALSE),"Pend")</f>
        <v>Pend</v>
      </c>
      <c r="AR494" t="str">
        <f>IFERROR(VLOOKUP(D494,Manual!$C$1:$E$22,2,FALSE),"Pend")</f>
        <v>Pend</v>
      </c>
      <c r="AS494" t="str">
        <f t="shared" si="174"/>
        <v>Yes</v>
      </c>
      <c r="AT494" t="str">
        <f t="shared" si="175"/>
        <v>Yes</v>
      </c>
      <c r="AU494" s="51" t="str">
        <f t="shared" si="176"/>
        <v>Yes</v>
      </c>
      <c r="AV494" s="12">
        <f>IFERROR(VLOOKUP(D494,'Receivable Invoice Detail'!$S$1:$U$3014,3,FALSE),0)</f>
        <v>0</v>
      </c>
      <c r="AW494" s="12">
        <f t="shared" si="177"/>
        <v>93.085038419812591</v>
      </c>
    </row>
    <row r="495" spans="1:49" x14ac:dyDescent="0.25">
      <c r="A495" s="2">
        <v>1</v>
      </c>
      <c r="B495" s="2" t="s">
        <v>535</v>
      </c>
      <c r="C495" s="2" t="s">
        <v>536</v>
      </c>
      <c r="D495" s="2" t="s">
        <v>3235</v>
      </c>
      <c r="E495" s="2" t="s">
        <v>141</v>
      </c>
      <c r="F495" s="3">
        <v>45785.481076388889</v>
      </c>
      <c r="G495" s="3">
        <v>45926.559618055559</v>
      </c>
      <c r="H495" s="4">
        <v>46010</v>
      </c>
      <c r="I495" s="2" t="s">
        <v>21</v>
      </c>
      <c r="J495" s="2" t="s">
        <v>51</v>
      </c>
      <c r="K495" s="2">
        <v>0.71817576144916317</v>
      </c>
      <c r="L495" s="2">
        <v>3401.367925688362</v>
      </c>
      <c r="M495" s="2">
        <v>0</v>
      </c>
      <c r="N495" s="2">
        <v>2442.7800000000002</v>
      </c>
      <c r="O495" s="2">
        <v>2442.7800000000002</v>
      </c>
      <c r="P495" s="2"/>
      <c r="Q495" s="2">
        <v>2442.7800000000002</v>
      </c>
      <c r="R495" s="2" t="s">
        <v>44</v>
      </c>
      <c r="S495" s="2"/>
      <c r="T495" s="2">
        <f t="shared" si="159"/>
        <v>1</v>
      </c>
      <c r="U495" s="18">
        <f t="shared" si="160"/>
        <v>5</v>
      </c>
      <c r="V495" s="18">
        <f t="shared" si="161"/>
        <v>2025</v>
      </c>
      <c r="W495" s="18" t="str">
        <f t="shared" si="162"/>
        <v/>
      </c>
      <c r="X495" s="18" t="str">
        <f t="shared" si="163"/>
        <v/>
      </c>
      <c r="Y495" s="2">
        <f t="shared" si="156"/>
        <v>0.71817576144916317</v>
      </c>
      <c r="Z495" t="str">
        <f t="shared" si="157"/>
        <v>SO17130</v>
      </c>
      <c r="AA495" s="11">
        <f t="shared" si="164"/>
        <v>45785.481076388889</v>
      </c>
      <c r="AB495" s="5" t="str">
        <f t="shared" si="165"/>
        <v>INV13595</v>
      </c>
      <c r="AC495" s="5" t="str">
        <f>IFERROR(VLOOKUP(D495,CAARStatus!$A$2:$AA$1600,22,FALSE),"Not invoiced")</f>
        <v>Approved</v>
      </c>
      <c r="AD495" s="11" t="str">
        <f>IF(AC495="Paid",IFERROR(VLOOKUP(D495,CAARStatus!$A$2:$AA$1600,6,FALSE),"Pending"),"Pending")</f>
        <v>Pending</v>
      </c>
      <c r="AE495" s="5" t="str">
        <f t="shared" si="166"/>
        <v>4511879334</v>
      </c>
      <c r="AF495" s="5" t="str">
        <f t="shared" si="167"/>
        <v>PT Vale Indonesia Tbk.</v>
      </c>
      <c r="AG495" s="5" t="str">
        <f t="shared" si="168"/>
        <v>USD</v>
      </c>
      <c r="AH495" s="5">
        <f t="shared" si="169"/>
        <v>3401.367925688362</v>
      </c>
      <c r="AI495" s="12">
        <f>IF(L495-N495=0,VLOOKUP(U495,rate!A$4:B$15,2,FALSE)*AH495,IF(AG495="USD",O495,AH495*Y495))</f>
        <v>2442.7800000000002</v>
      </c>
      <c r="AJ495" s="13">
        <f t="shared" si="170"/>
        <v>0.71817576144916317</v>
      </c>
      <c r="AK495" s="13">
        <f>-IF(AG495="CAD",IFERROR(VLOOKUP(D495,CAARStatus!$A$1:$Y$1600,16,FALSE),0),0)</f>
        <v>0</v>
      </c>
      <c r="AL495" s="13">
        <f>-IF(AG495="USD",IFERROR(VLOOKUP(D495,CAARStatus!$A$1:$Y$1600,11,FALSE),0),0)</f>
        <v>-2442.7800000000002</v>
      </c>
      <c r="AM495" s="22" t="str">
        <f t="shared" si="171"/>
        <v/>
      </c>
      <c r="AN495" s="12">
        <f t="shared" si="172"/>
        <v>0</v>
      </c>
      <c r="AO495" s="12" t="str">
        <f t="shared" si="173"/>
        <v>Pend</v>
      </c>
      <c r="AP495" t="str">
        <f t="shared" si="158"/>
        <v>Pend</v>
      </c>
      <c r="AQ495" t="str">
        <f>IFERROR(VLOOKUP(Z495,InvBal!$L$4:$P$600,4,FALSE),"Pend")</f>
        <v>Pend</v>
      </c>
      <c r="AR495" t="str">
        <f>IFERROR(VLOOKUP(D495,Manual!$C$1:$E$22,2,FALSE),"Pend")</f>
        <v>Pend</v>
      </c>
      <c r="AS495" t="str">
        <f t="shared" si="174"/>
        <v/>
      </c>
      <c r="AT495" t="str">
        <f t="shared" si="175"/>
        <v>Yes</v>
      </c>
      <c r="AU495" s="51" t="str">
        <f t="shared" si="176"/>
        <v/>
      </c>
      <c r="AV495" s="12">
        <f>IFERROR(VLOOKUP(D495,'Receivable Invoice Detail'!$S$1:$U$3014,3,FALSE),0)</f>
        <v>0</v>
      </c>
      <c r="AW495" s="12">
        <f t="shared" si="177"/>
        <v>0</v>
      </c>
    </row>
    <row r="496" spans="1:49" x14ac:dyDescent="0.25">
      <c r="A496" s="2">
        <v>1</v>
      </c>
      <c r="B496" s="2" t="s">
        <v>1453</v>
      </c>
      <c r="C496" s="2" t="s">
        <v>1454</v>
      </c>
      <c r="D496" s="2" t="s">
        <v>2739</v>
      </c>
      <c r="E496" s="2" t="s">
        <v>242</v>
      </c>
      <c r="F496" s="3">
        <v>45785.613819444443</v>
      </c>
      <c r="G496" s="3">
        <v>45785.676979166667</v>
      </c>
      <c r="H496" s="4">
        <v>45786</v>
      </c>
      <c r="I496" s="2" t="s">
        <v>21</v>
      </c>
      <c r="J496" s="2" t="s">
        <v>22</v>
      </c>
      <c r="K496" s="2">
        <v>1</v>
      </c>
      <c r="L496" s="2">
        <v>2758.72</v>
      </c>
      <c r="M496" s="2">
        <v>0</v>
      </c>
      <c r="N496" s="2">
        <v>1982.4501957321349</v>
      </c>
      <c r="O496" s="2">
        <v>2627.35</v>
      </c>
      <c r="P496" s="2">
        <v>131.37</v>
      </c>
      <c r="Q496" s="2">
        <v>2758.72</v>
      </c>
      <c r="R496" s="2" t="s">
        <v>44</v>
      </c>
      <c r="S496" s="2"/>
      <c r="T496" s="2">
        <f t="shared" si="159"/>
        <v>1</v>
      </c>
      <c r="U496" s="18">
        <f t="shared" si="160"/>
        <v>5</v>
      </c>
      <c r="V496" s="18">
        <f t="shared" si="161"/>
        <v>2025</v>
      </c>
      <c r="W496" s="18">
        <f t="shared" si="162"/>
        <v>6</v>
      </c>
      <c r="X496" s="18">
        <f t="shared" si="163"/>
        <v>2025</v>
      </c>
      <c r="Y496" s="2">
        <f t="shared" si="156"/>
        <v>0.71861232590916624</v>
      </c>
      <c r="Z496" t="str">
        <f t="shared" si="157"/>
        <v>SO17133</v>
      </c>
      <c r="AA496" s="11">
        <f t="shared" si="164"/>
        <v>45785.613819444443</v>
      </c>
      <c r="AB496" s="5" t="str">
        <f t="shared" si="165"/>
        <v>INV12964</v>
      </c>
      <c r="AC496" s="5" t="str">
        <f>IFERROR(VLOOKUP(D496,CAARStatus!$A$2:$AA$1600,22,FALSE),"Not invoiced")</f>
        <v>Paid</v>
      </c>
      <c r="AD496" s="11">
        <f>IF(AC496="Paid",IFERROR(VLOOKUP(D496,CAARStatus!$A$2:$AA$1600,6,FALSE),"Pending"),"Pending")</f>
        <v>45819</v>
      </c>
      <c r="AE496" s="5" t="str">
        <f t="shared" si="166"/>
        <v>2100570535</v>
      </c>
      <c r="AF496" s="5" t="str">
        <f t="shared" si="167"/>
        <v>Wajax Limited - Noranda</v>
      </c>
      <c r="AG496" s="5" t="str">
        <f t="shared" si="168"/>
        <v>CAD</v>
      </c>
      <c r="AH496" s="5">
        <f t="shared" si="169"/>
        <v>2627.35</v>
      </c>
      <c r="AI496" s="12">
        <f>IF(L496-N496=0,VLOOKUP(U496,rate!A$4:B$15,2,FALSE)*AH496,IF(AG496="USD",O496,AH496*Y496))</f>
        <v>1888.0460944774479</v>
      </c>
      <c r="AJ496" s="13">
        <f t="shared" si="170"/>
        <v>0.71861232590916624</v>
      </c>
      <c r="AK496" s="13">
        <f>-IF(AG496="CAD",IFERROR(VLOOKUP(D496,CAARStatus!$A$1:$Y$1600,16,FALSE),0),0)</f>
        <v>-2627.35</v>
      </c>
      <c r="AL496" s="13">
        <f>-IF(AG496="USD",IFERROR(VLOOKUP(D496,CAARStatus!$A$1:$Y$1600,11,FALSE),0),0)</f>
        <v>0</v>
      </c>
      <c r="AM496" s="22">
        <f t="shared" si="171"/>
        <v>0</v>
      </c>
      <c r="AN496" s="12" t="str">
        <f t="shared" si="172"/>
        <v/>
      </c>
      <c r="AO496" s="12" t="str">
        <f t="shared" si="173"/>
        <v>Yes</v>
      </c>
      <c r="AP496" t="str">
        <f t="shared" si="158"/>
        <v>Yes</v>
      </c>
      <c r="AQ496" t="str">
        <f>IFERROR(VLOOKUP(Z496,InvBal!$L$4:$P$600,4,FALSE),"Pend")</f>
        <v>Pend</v>
      </c>
      <c r="AR496" t="str">
        <f>IFERROR(VLOOKUP(D496,Manual!$C$1:$E$22,2,FALSE),"Pend")</f>
        <v>Pend</v>
      </c>
      <c r="AS496" t="str">
        <f t="shared" si="174"/>
        <v>Yes</v>
      </c>
      <c r="AT496" t="str">
        <f t="shared" si="175"/>
        <v>Yes</v>
      </c>
      <c r="AU496" s="51" t="str">
        <f t="shared" si="176"/>
        <v>Yes</v>
      </c>
      <c r="AV496" s="12">
        <f>IFERROR(VLOOKUP(D496,'Receivable Invoice Detail'!$S$1:$U$3014,3,FALSE),0)</f>
        <v>0</v>
      </c>
      <c r="AW496" s="12">
        <f t="shared" si="177"/>
        <v>1888.0460944774479</v>
      </c>
    </row>
    <row r="497" spans="1:49" x14ac:dyDescent="0.25">
      <c r="A497" s="2">
        <v>2</v>
      </c>
      <c r="B497" s="2" t="s">
        <v>1397</v>
      </c>
      <c r="C497" s="2" t="s">
        <v>1398</v>
      </c>
      <c r="D497" s="2" t="s">
        <v>2769</v>
      </c>
      <c r="E497" s="2" t="s">
        <v>70</v>
      </c>
      <c r="F497" s="3">
        <v>45785.618206018517</v>
      </c>
      <c r="G497" s="3">
        <v>45793.653113425928</v>
      </c>
      <c r="H497" s="4">
        <v>45919</v>
      </c>
      <c r="I497" s="2" t="s">
        <v>71</v>
      </c>
      <c r="J497" s="2" t="s">
        <v>51</v>
      </c>
      <c r="K497" s="2">
        <v>0.7148005287136634</v>
      </c>
      <c r="L497" s="2">
        <v>4676.6753320898888</v>
      </c>
      <c r="M497" s="2">
        <v>0</v>
      </c>
      <c r="N497" s="2">
        <v>3342.89</v>
      </c>
      <c r="O497" s="2">
        <v>3342.89</v>
      </c>
      <c r="P497" s="2"/>
      <c r="Q497" s="2">
        <v>3342.89</v>
      </c>
      <c r="R497" s="2" t="s">
        <v>44</v>
      </c>
      <c r="S497" s="2"/>
      <c r="T497" s="2">
        <f t="shared" si="159"/>
        <v>2</v>
      </c>
      <c r="U497" s="18">
        <f t="shared" si="160"/>
        <v>5</v>
      </c>
      <c r="V497" s="18">
        <f t="shared" si="161"/>
        <v>2025</v>
      </c>
      <c r="W497" s="18">
        <f t="shared" si="162"/>
        <v>9</v>
      </c>
      <c r="X497" s="18">
        <f t="shared" si="163"/>
        <v>2025</v>
      </c>
      <c r="Y497" s="2">
        <f t="shared" si="156"/>
        <v>0.7148005287136634</v>
      </c>
      <c r="Z497" t="str">
        <f t="shared" si="157"/>
        <v>SO17134</v>
      </c>
      <c r="AA497" s="11">
        <f t="shared" si="164"/>
        <v>45785.618206018517</v>
      </c>
      <c r="AB497" s="5" t="str">
        <f t="shared" si="165"/>
        <v>INV13063</v>
      </c>
      <c r="AC497" s="5" t="str">
        <f>IFERROR(VLOOKUP(D497,CAARStatus!$A$2:$AA$1600,22,FALSE),"Not invoiced")</f>
        <v>Paid</v>
      </c>
      <c r="AD497" s="11">
        <f>IF(AC497="Paid",IFERROR(VLOOKUP(D497,CAARStatus!$A$2:$AA$1600,6,FALSE),"Pending"),"Pending")</f>
        <v>45913</v>
      </c>
      <c r="AE497" s="5" t="str">
        <f t="shared" si="166"/>
        <v>P359291</v>
      </c>
      <c r="AF497" s="5" t="str">
        <f t="shared" si="167"/>
        <v>Covia Corp - Junction City</v>
      </c>
      <c r="AG497" s="5" t="str">
        <f t="shared" si="168"/>
        <v>USD</v>
      </c>
      <c r="AH497" s="5">
        <f t="shared" si="169"/>
        <v>4676.6753320898888</v>
      </c>
      <c r="AI497" s="12">
        <f>IF(L497-N497=0,VLOOKUP(U497,rate!A$4:B$15,2,FALSE)*AH497,IF(AG497="USD",O497,AH497*Y497))</f>
        <v>3342.89</v>
      </c>
      <c r="AJ497" s="13">
        <f t="shared" si="170"/>
        <v>0.7148005287136634</v>
      </c>
      <c r="AK497" s="13">
        <f>-IF(AG497="CAD",IFERROR(VLOOKUP(D497,CAARStatus!$A$1:$Y$1600,16,FALSE),0),0)</f>
        <v>0</v>
      </c>
      <c r="AL497" s="13">
        <f>-IF(AG497="USD",IFERROR(VLOOKUP(D497,CAARStatus!$A$1:$Y$1600,11,FALSE),0),0)</f>
        <v>-390.9</v>
      </c>
      <c r="AM497" s="22" t="str">
        <f t="shared" si="171"/>
        <v/>
      </c>
      <c r="AN497" s="12">
        <f t="shared" si="172"/>
        <v>2951.99</v>
      </c>
      <c r="AO497" s="12" t="str">
        <f t="shared" si="173"/>
        <v>Yes</v>
      </c>
      <c r="AP497" t="str">
        <f t="shared" si="158"/>
        <v>XX</v>
      </c>
      <c r="AQ497" t="str">
        <f>IFERROR(VLOOKUP(Z497,InvBal!$L$4:$P$600,4,FALSE),"Pend")</f>
        <v>Yes</v>
      </c>
      <c r="AR497" t="str">
        <f>IFERROR(VLOOKUP(D497,Manual!$C$1:$E$22,2,FALSE),"Pend")</f>
        <v>Pend</v>
      </c>
      <c r="AS497" t="str">
        <f t="shared" si="174"/>
        <v>Yes</v>
      </c>
      <c r="AT497" t="str">
        <f t="shared" si="175"/>
        <v>Yes</v>
      </c>
      <c r="AU497" s="51" t="str">
        <f t="shared" si="176"/>
        <v>Yes</v>
      </c>
      <c r="AV497" s="12">
        <f>IFERROR(VLOOKUP(D497,'Receivable Invoice Detail'!$S$1:$U$3014,3,FALSE),0)</f>
        <v>184.82</v>
      </c>
      <c r="AW497" s="12">
        <f t="shared" si="177"/>
        <v>3158.0699999999997</v>
      </c>
    </row>
    <row r="498" spans="1:49" x14ac:dyDescent="0.25">
      <c r="A498" s="2"/>
      <c r="B498" s="2"/>
      <c r="C498" s="2"/>
      <c r="D498" s="2" t="s">
        <v>2768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>
        <f t="shared" si="159"/>
        <v>2</v>
      </c>
      <c r="U498" s="18">
        <f t="shared" si="160"/>
        <v>5</v>
      </c>
      <c r="V498" s="18">
        <f t="shared" si="161"/>
        <v>2025</v>
      </c>
      <c r="W498" s="18">
        <f t="shared" si="162"/>
        <v>8</v>
      </c>
      <c r="X498" s="18">
        <f t="shared" si="163"/>
        <v>2025</v>
      </c>
      <c r="Y498" s="2">
        <f t="shared" si="156"/>
        <v>0.7148005287136634</v>
      </c>
      <c r="Z498" t="str">
        <f t="shared" si="157"/>
        <v>SO17134</v>
      </c>
      <c r="AA498" s="11">
        <f t="shared" si="164"/>
        <v>45785.618206018517</v>
      </c>
      <c r="AB498" s="5" t="str">
        <f t="shared" si="165"/>
        <v>INV12996</v>
      </c>
      <c r="AC498" s="5" t="str">
        <f>IFERROR(VLOOKUP(D498,CAARStatus!$A$2:$AA$1600,22,FALSE),"Not invoiced")</f>
        <v>Paid</v>
      </c>
      <c r="AD498" s="11">
        <f>IF(AC498="Paid",IFERROR(VLOOKUP(D498,CAARStatus!$A$2:$AA$1600,6,FALSE),"Pending"),"Pending")</f>
        <v>45894</v>
      </c>
      <c r="AE498" s="5" t="str">
        <f t="shared" si="166"/>
        <v>P359291</v>
      </c>
      <c r="AF498" s="5" t="str">
        <f t="shared" si="167"/>
        <v>Covia Corp - Junction City</v>
      </c>
      <c r="AG498" s="5" t="str">
        <f t="shared" si="168"/>
        <v>USD</v>
      </c>
      <c r="AH498" s="5">
        <f t="shared" si="169"/>
        <v>0</v>
      </c>
      <c r="AI498" s="12">
        <f>IF(L498-N498=0,VLOOKUP(U498,rate!A$4:B$15,2,FALSE)*AH498,IF(AG498="USD",O498,AH498*Y498))</f>
        <v>0</v>
      </c>
      <c r="AJ498" s="13">
        <f t="shared" si="170"/>
        <v>0</v>
      </c>
      <c r="AK498" s="13">
        <f>-IF(AG498="CAD",IFERROR(VLOOKUP(D498,CAARStatus!$A$1:$Y$1600,16,FALSE),0),0)</f>
        <v>0</v>
      </c>
      <c r="AL498" s="13">
        <f>-IF(AG498="USD",IFERROR(VLOOKUP(D498,CAARStatus!$A$1:$Y$1600,11,FALSE),0),0)</f>
        <v>-2951.99</v>
      </c>
      <c r="AM498" s="22" t="str">
        <f t="shared" si="171"/>
        <v/>
      </c>
      <c r="AN498" s="12">
        <f t="shared" si="172"/>
        <v>-2951.99</v>
      </c>
      <c r="AO498" s="12" t="str">
        <f t="shared" si="173"/>
        <v>Yes</v>
      </c>
      <c r="AP498" t="str">
        <f t="shared" si="158"/>
        <v>XX</v>
      </c>
      <c r="AQ498" t="str">
        <f>IFERROR(VLOOKUP(Z498,InvBal!$L$4:$P$600,4,FALSE),"Pend")</f>
        <v>Yes</v>
      </c>
      <c r="AR498" t="str">
        <f>IFERROR(VLOOKUP(D498,Manual!$C$1:$E$22,2,FALSE),"Pend")</f>
        <v>Pend</v>
      </c>
      <c r="AS498" t="str">
        <f t="shared" si="174"/>
        <v>Yes</v>
      </c>
      <c r="AT498" t="str">
        <f t="shared" si="175"/>
        <v/>
      </c>
      <c r="AU498" s="51" t="str">
        <f t="shared" si="176"/>
        <v/>
      </c>
      <c r="AV498" s="12">
        <f>IFERROR(VLOOKUP(D498,'Receivable Invoice Detail'!$S$1:$U$3014,3,FALSE),0)</f>
        <v>517.53</v>
      </c>
      <c r="AW498" s="12">
        <f t="shared" si="177"/>
        <v>0</v>
      </c>
    </row>
    <row r="499" spans="1:49" ht="30" x14ac:dyDescent="0.25">
      <c r="A499" s="2">
        <v>2</v>
      </c>
      <c r="B499" s="2" t="s">
        <v>1449</v>
      </c>
      <c r="C499" s="2" t="s">
        <v>1450</v>
      </c>
      <c r="D499" s="2" t="s">
        <v>2742</v>
      </c>
      <c r="E499" s="2" t="s">
        <v>159</v>
      </c>
      <c r="F499" s="3">
        <v>45786.552974537037</v>
      </c>
      <c r="G499" s="3">
        <v>45786.571921296287</v>
      </c>
      <c r="H499" s="4">
        <v>45802</v>
      </c>
      <c r="I499" s="2" t="s">
        <v>40</v>
      </c>
      <c r="J499" s="2" t="s">
        <v>51</v>
      </c>
      <c r="K499" s="2">
        <v>0.71861232590916624</v>
      </c>
      <c r="L499" s="2">
        <v>16789.984759494779</v>
      </c>
      <c r="M499" s="2">
        <v>0</v>
      </c>
      <c r="N499" s="2">
        <v>12065.49</v>
      </c>
      <c r="O499" s="2">
        <v>12065.49</v>
      </c>
      <c r="P499" s="2"/>
      <c r="Q499" s="2">
        <v>12065.49</v>
      </c>
      <c r="R499" s="2" t="s">
        <v>44</v>
      </c>
      <c r="S499" s="2"/>
      <c r="T499" s="2">
        <f t="shared" si="159"/>
        <v>2</v>
      </c>
      <c r="U499" s="18">
        <f t="shared" si="160"/>
        <v>5</v>
      </c>
      <c r="V499" s="18">
        <f t="shared" si="161"/>
        <v>2025</v>
      </c>
      <c r="W499" s="18">
        <f t="shared" si="162"/>
        <v>7</v>
      </c>
      <c r="X499" s="18">
        <f t="shared" si="163"/>
        <v>2025</v>
      </c>
      <c r="Y499" s="2">
        <f t="shared" si="156"/>
        <v>0.71861232590916646</v>
      </c>
      <c r="Z499" t="str">
        <f t="shared" si="157"/>
        <v>SO17139</v>
      </c>
      <c r="AA499" s="11">
        <f t="shared" si="164"/>
        <v>45786.552974537037</v>
      </c>
      <c r="AB499" s="5" t="str">
        <f t="shared" si="165"/>
        <v>INV12978</v>
      </c>
      <c r="AC499" s="5" t="str">
        <f>IFERROR(VLOOKUP(D499,CAARStatus!$A$2:$AA$1600,22,FALSE),"Not invoiced")</f>
        <v>Paid</v>
      </c>
      <c r="AD499" s="11">
        <f>IF(AC499="Paid",IFERROR(VLOOKUP(D499,CAARStatus!$A$2:$AA$1600,6,FALSE),"Pending"),"Pending")</f>
        <v>45849</v>
      </c>
      <c r="AE499" s="5" t="str">
        <f t="shared" si="166"/>
        <v>4501184273</v>
      </c>
      <c r="AF499" s="5" t="str">
        <f t="shared" si="167"/>
        <v>Barrick Gold - Pueblo Viejo Dominicana Corporation</v>
      </c>
      <c r="AG499" s="5" t="str">
        <f t="shared" si="168"/>
        <v>USD</v>
      </c>
      <c r="AH499" s="5">
        <f t="shared" si="169"/>
        <v>16789.984759494782</v>
      </c>
      <c r="AI499" s="12">
        <f>IF(L499-N499=0,VLOOKUP(U499,rate!A$4:B$15,2,FALSE)*AH499,IF(AG499="USD",O499,AH499*Y499))</f>
        <v>12065.49</v>
      </c>
      <c r="AJ499" s="13">
        <f t="shared" si="170"/>
        <v>0.71861232590916635</v>
      </c>
      <c r="AK499" s="13">
        <f>-IF(AG499="CAD",IFERROR(VLOOKUP(D499,CAARStatus!$A$1:$Y$1600,16,FALSE),0),0)</f>
        <v>0</v>
      </c>
      <c r="AL499" s="13">
        <f>-IF(AG499="USD",IFERROR(VLOOKUP(D499,CAARStatus!$A$1:$Y$1600,11,FALSE),0),0)</f>
        <v>-10879.89</v>
      </c>
      <c r="AM499" s="22" t="str">
        <f t="shared" si="171"/>
        <v/>
      </c>
      <c r="AN499" s="12">
        <f t="shared" si="172"/>
        <v>1185.6000000000004</v>
      </c>
      <c r="AO499" s="12" t="str">
        <f t="shared" si="173"/>
        <v>Yes</v>
      </c>
      <c r="AP499" t="str">
        <f t="shared" si="158"/>
        <v>XX</v>
      </c>
      <c r="AQ499" t="str">
        <f>IFERROR(VLOOKUP(Z499,InvBal!$L$4:$P$600,4,FALSE),"Pend")</f>
        <v>Yes</v>
      </c>
      <c r="AR499" t="str">
        <f>IFERROR(VLOOKUP(D499,Manual!$C$1:$E$22,2,FALSE),"Pend")</f>
        <v>Pend</v>
      </c>
      <c r="AS499" t="str">
        <f t="shared" si="174"/>
        <v>Yes</v>
      </c>
      <c r="AT499" t="str">
        <f t="shared" si="175"/>
        <v>Yes</v>
      </c>
      <c r="AU499" s="51" t="str">
        <f t="shared" si="176"/>
        <v>Yes</v>
      </c>
      <c r="AV499" s="12">
        <f>IFERROR(VLOOKUP(D499,'Receivable Invoice Detail'!$S$1:$U$3014,3,FALSE),0)</f>
        <v>0</v>
      </c>
      <c r="AW499" s="12">
        <f t="shared" si="177"/>
        <v>12065.49</v>
      </c>
    </row>
    <row r="500" spans="1:49" x14ac:dyDescent="0.25">
      <c r="A500" s="2"/>
      <c r="B500" s="2"/>
      <c r="C500" s="2"/>
      <c r="D500" s="2" t="s">
        <v>2741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>
        <f t="shared" si="159"/>
        <v>2</v>
      </c>
      <c r="U500" s="18">
        <f t="shared" si="160"/>
        <v>5</v>
      </c>
      <c r="V500" s="18">
        <f t="shared" si="161"/>
        <v>2025</v>
      </c>
      <c r="W500" s="18">
        <f t="shared" si="162"/>
        <v>7</v>
      </c>
      <c r="X500" s="18">
        <f t="shared" si="163"/>
        <v>2025</v>
      </c>
      <c r="Y500" s="2">
        <f t="shared" si="156"/>
        <v>0.71861232590916646</v>
      </c>
      <c r="Z500" t="str">
        <f t="shared" si="157"/>
        <v>SO17139</v>
      </c>
      <c r="AA500" s="11">
        <f t="shared" si="164"/>
        <v>45786.552974537037</v>
      </c>
      <c r="AB500" s="5" t="str">
        <f t="shared" si="165"/>
        <v>INV13066</v>
      </c>
      <c r="AC500" s="5" t="str">
        <f>IFERROR(VLOOKUP(D500,CAARStatus!$A$2:$AA$1600,22,FALSE),"Not invoiced")</f>
        <v>Paid</v>
      </c>
      <c r="AD500" s="11">
        <f>IF(AC500="Paid",IFERROR(VLOOKUP(D500,CAARStatus!$A$2:$AA$1600,6,FALSE),"Pending"),"Pending")</f>
        <v>45863</v>
      </c>
      <c r="AE500" s="5" t="str">
        <f t="shared" si="166"/>
        <v>4501184273</v>
      </c>
      <c r="AF500" s="5" t="str">
        <f t="shared" si="167"/>
        <v>Barrick Gold - Pueblo Viejo Dominicana Corporation</v>
      </c>
      <c r="AG500" s="5" t="str">
        <f t="shared" si="168"/>
        <v>USD</v>
      </c>
      <c r="AH500" s="5">
        <f t="shared" si="169"/>
        <v>0</v>
      </c>
      <c r="AI500" s="12">
        <f>IF(L500-N500=0,VLOOKUP(U500,rate!A$4:B$15,2,FALSE)*AH500,IF(AG500="USD",O500,AH500*Y500))</f>
        <v>0</v>
      </c>
      <c r="AJ500" s="13">
        <f t="shared" si="170"/>
        <v>0</v>
      </c>
      <c r="AK500" s="13">
        <f>-IF(AG500="CAD",IFERROR(VLOOKUP(D500,CAARStatus!$A$1:$Y$1600,16,FALSE),0),0)</f>
        <v>0</v>
      </c>
      <c r="AL500" s="13">
        <f>-IF(AG500="USD",IFERROR(VLOOKUP(D500,CAARStatus!$A$1:$Y$1600,11,FALSE),0),0)</f>
        <v>-1185.5999999999999</v>
      </c>
      <c r="AM500" s="22" t="str">
        <f t="shared" si="171"/>
        <v/>
      </c>
      <c r="AN500" s="12">
        <f t="shared" si="172"/>
        <v>-1185.5999999999999</v>
      </c>
      <c r="AO500" s="12" t="str">
        <f t="shared" si="173"/>
        <v>Yes</v>
      </c>
      <c r="AP500" t="str">
        <f t="shared" si="158"/>
        <v>XX</v>
      </c>
      <c r="AQ500" t="str">
        <f>IFERROR(VLOOKUP(Z500,InvBal!$L$4:$P$600,4,FALSE),"Pend")</f>
        <v>Yes</v>
      </c>
      <c r="AR500" t="str">
        <f>IFERROR(VLOOKUP(D500,Manual!$C$1:$E$22,2,FALSE),"Pend")</f>
        <v>Pend</v>
      </c>
      <c r="AS500" t="str">
        <f t="shared" si="174"/>
        <v>Yes</v>
      </c>
      <c r="AT500" t="str">
        <f t="shared" si="175"/>
        <v/>
      </c>
      <c r="AU500" s="51" t="str">
        <f t="shared" si="176"/>
        <v/>
      </c>
      <c r="AV500" s="12">
        <f>IFERROR(VLOOKUP(D500,'Receivable Invoice Detail'!$S$1:$U$3014,3,FALSE),0)</f>
        <v>0</v>
      </c>
      <c r="AW500" s="12">
        <f t="shared" si="177"/>
        <v>0</v>
      </c>
    </row>
    <row r="501" spans="1:49" ht="45" x14ac:dyDescent="0.25">
      <c r="A501" s="2">
        <v>1</v>
      </c>
      <c r="B501" s="2" t="s">
        <v>1451</v>
      </c>
      <c r="C501" s="2" t="s">
        <v>1452</v>
      </c>
      <c r="D501" s="2" t="s">
        <v>2740</v>
      </c>
      <c r="E501" s="2" t="s">
        <v>502</v>
      </c>
      <c r="F501" s="3">
        <v>45786.557557870372</v>
      </c>
      <c r="G501" s="3">
        <v>45786.566759259258</v>
      </c>
      <c r="H501" s="4">
        <v>45789</v>
      </c>
      <c r="I501" s="2" t="s">
        <v>21</v>
      </c>
      <c r="J501" s="2" t="s">
        <v>22</v>
      </c>
      <c r="K501" s="2">
        <v>1</v>
      </c>
      <c r="L501" s="2">
        <v>1125.9000000000001</v>
      </c>
      <c r="M501" s="2">
        <v>0</v>
      </c>
      <c r="N501" s="2">
        <v>808.38208382159405</v>
      </c>
      <c r="O501" s="2">
        <v>1072.28</v>
      </c>
      <c r="P501" s="2">
        <v>53.62</v>
      </c>
      <c r="Q501" s="2">
        <v>1125.9000000000001</v>
      </c>
      <c r="R501" s="2" t="s">
        <v>44</v>
      </c>
      <c r="S501" s="2"/>
      <c r="T501" s="2">
        <f t="shared" si="159"/>
        <v>1</v>
      </c>
      <c r="U501" s="18">
        <f t="shared" si="160"/>
        <v>5</v>
      </c>
      <c r="V501" s="18">
        <f t="shared" si="161"/>
        <v>2025</v>
      </c>
      <c r="W501" s="18">
        <f t="shared" si="162"/>
        <v>6</v>
      </c>
      <c r="X501" s="18">
        <f t="shared" si="163"/>
        <v>2025</v>
      </c>
      <c r="Y501" s="2">
        <f t="shared" si="156"/>
        <v>0.71798746231600852</v>
      </c>
      <c r="Z501" t="str">
        <f t="shared" si="157"/>
        <v>SO17140</v>
      </c>
      <c r="AA501" s="11">
        <f t="shared" si="164"/>
        <v>45786.557557870372</v>
      </c>
      <c r="AB501" s="5" t="str">
        <f t="shared" si="165"/>
        <v>INV12967</v>
      </c>
      <c r="AC501" s="5" t="str">
        <f>IFERROR(VLOOKUP(D501,CAARStatus!$A$2:$AA$1600,22,FALSE),"Not invoiced")</f>
        <v>Paid</v>
      </c>
      <c r="AD501" s="11">
        <f>IF(AC501="Paid",IFERROR(VLOOKUP(D501,CAARStatus!$A$2:$AA$1600,6,FALSE),"Pending"),"Pending")</f>
        <v>45828</v>
      </c>
      <c r="AE501" s="5" t="str">
        <f t="shared" si="166"/>
        <v>4500575219</v>
      </c>
      <c r="AF501" s="5" t="str">
        <f t="shared" si="167"/>
        <v>Glencore Canada Corporation - Rouyn-Noranda, Glencore Canada Corp.</v>
      </c>
      <c r="AG501" s="5" t="str">
        <f t="shared" si="168"/>
        <v>CAD</v>
      </c>
      <c r="AH501" s="5">
        <f t="shared" si="169"/>
        <v>1072.28</v>
      </c>
      <c r="AI501" s="12">
        <f>IF(L501-N501=0,VLOOKUP(U501,rate!A$4:B$15,2,FALSE)*AH501,IF(AG501="USD",O501,AH501*Y501))</f>
        <v>769.88359609220959</v>
      </c>
      <c r="AJ501" s="13">
        <f t="shared" si="170"/>
        <v>0.71798746231600852</v>
      </c>
      <c r="AK501" s="13">
        <f>-IF(AG501="CAD",IFERROR(VLOOKUP(D501,CAARStatus!$A$1:$Y$1600,16,FALSE),0),0)</f>
        <v>-1072.28</v>
      </c>
      <c r="AL501" s="13">
        <f>-IF(AG501="USD",IFERROR(VLOOKUP(D501,CAARStatus!$A$1:$Y$1600,11,FALSE),0),0)</f>
        <v>0</v>
      </c>
      <c r="AM501" s="22">
        <f t="shared" si="171"/>
        <v>0</v>
      </c>
      <c r="AN501" s="12" t="str">
        <f t="shared" si="172"/>
        <v/>
      </c>
      <c r="AO501" s="12" t="str">
        <f t="shared" si="173"/>
        <v>Yes</v>
      </c>
      <c r="AP501" t="str">
        <f t="shared" si="158"/>
        <v>Yes</v>
      </c>
      <c r="AQ501" t="str">
        <f>IFERROR(VLOOKUP(Z501,InvBal!$L$4:$P$600,4,FALSE),"Pend")</f>
        <v>Pend</v>
      </c>
      <c r="AR501" t="str">
        <f>IFERROR(VLOOKUP(D501,Manual!$C$1:$E$22,2,FALSE),"Pend")</f>
        <v>Pend</v>
      </c>
      <c r="AS501" t="str">
        <f t="shared" si="174"/>
        <v>Yes</v>
      </c>
      <c r="AT501" t="str">
        <f t="shared" si="175"/>
        <v>Yes</v>
      </c>
      <c r="AU501" s="51" t="str">
        <f t="shared" si="176"/>
        <v>Yes</v>
      </c>
      <c r="AV501" s="12">
        <f>IFERROR(VLOOKUP(D501,'Receivable Invoice Detail'!$S$1:$U$3014,3,FALSE),0)</f>
        <v>0</v>
      </c>
      <c r="AW501" s="12">
        <f t="shared" si="177"/>
        <v>769.88359609220959</v>
      </c>
    </row>
    <row r="502" spans="1:49" x14ac:dyDescent="0.25">
      <c r="A502" s="2">
        <v>1</v>
      </c>
      <c r="B502" s="2" t="s">
        <v>1447</v>
      </c>
      <c r="C502" s="2" t="s">
        <v>1448</v>
      </c>
      <c r="D502" s="2" t="s">
        <v>2743</v>
      </c>
      <c r="E502" s="2" t="s">
        <v>141</v>
      </c>
      <c r="F502" s="3">
        <v>45786.594583333332</v>
      </c>
      <c r="G502" s="3">
        <v>45786.595532407409</v>
      </c>
      <c r="H502" s="4">
        <v>45814</v>
      </c>
      <c r="I502" s="2" t="s">
        <v>21</v>
      </c>
      <c r="J502" s="2" t="s">
        <v>51</v>
      </c>
      <c r="K502" s="2">
        <v>0.71861232590916624</v>
      </c>
      <c r="L502" s="2">
        <v>1362.7653808484561</v>
      </c>
      <c r="M502" s="2">
        <v>0</v>
      </c>
      <c r="N502" s="2">
        <v>979.3</v>
      </c>
      <c r="O502" s="2">
        <v>979.3</v>
      </c>
      <c r="P502" s="2"/>
      <c r="Q502" s="2">
        <v>979.3</v>
      </c>
      <c r="R502" s="2" t="s">
        <v>44</v>
      </c>
      <c r="S502" s="2"/>
      <c r="T502" s="2">
        <f t="shared" si="159"/>
        <v>1</v>
      </c>
      <c r="U502" s="18">
        <f t="shared" si="160"/>
        <v>5</v>
      </c>
      <c r="V502" s="18">
        <f t="shared" si="161"/>
        <v>2025</v>
      </c>
      <c r="W502" s="18">
        <f t="shared" si="162"/>
        <v>7</v>
      </c>
      <c r="X502" s="18">
        <f t="shared" si="163"/>
        <v>2025</v>
      </c>
      <c r="Y502" s="2">
        <f t="shared" si="156"/>
        <v>0.71861232590916635</v>
      </c>
      <c r="Z502" t="str">
        <f t="shared" si="157"/>
        <v>SO17142</v>
      </c>
      <c r="AA502" s="11">
        <f t="shared" si="164"/>
        <v>45786.594583333332</v>
      </c>
      <c r="AB502" s="5" t="str">
        <f t="shared" si="165"/>
        <v>INV13015</v>
      </c>
      <c r="AC502" s="5" t="str">
        <f>IFERROR(VLOOKUP(D502,CAARStatus!$A$2:$AA$1600,22,FALSE),"Not invoiced")</f>
        <v>Paid</v>
      </c>
      <c r="AD502" s="11">
        <f>IF(AC502="Paid",IFERROR(VLOOKUP(D502,CAARStatus!$A$2:$AA$1600,6,FALSE),"Pending"),"Pending")</f>
        <v>45868</v>
      </c>
      <c r="AE502" s="5" t="str">
        <f t="shared" si="166"/>
        <v>4511884651</v>
      </c>
      <c r="AF502" s="5" t="str">
        <f t="shared" si="167"/>
        <v>PT Vale Indonesia Tbk.</v>
      </c>
      <c r="AG502" s="5" t="str">
        <f t="shared" si="168"/>
        <v>USD</v>
      </c>
      <c r="AH502" s="5">
        <f t="shared" si="169"/>
        <v>1362.7653808484563</v>
      </c>
      <c r="AI502" s="12">
        <f>IF(L502-N502=0,VLOOKUP(U502,rate!A$4:B$15,2,FALSE)*AH502,IF(AG502="USD",O502,AH502*Y502))</f>
        <v>979.3</v>
      </c>
      <c r="AJ502" s="13">
        <f t="shared" si="170"/>
        <v>0.71861232590916624</v>
      </c>
      <c r="AK502" s="13">
        <f>-IF(AG502="CAD",IFERROR(VLOOKUP(D502,CAARStatus!$A$1:$Y$1600,16,FALSE),0),0)</f>
        <v>0</v>
      </c>
      <c r="AL502" s="13">
        <f>-IF(AG502="USD",IFERROR(VLOOKUP(D502,CAARStatus!$A$1:$Y$1600,11,FALSE),0),0)</f>
        <v>-979.3</v>
      </c>
      <c r="AM502" s="22" t="str">
        <f t="shared" si="171"/>
        <v/>
      </c>
      <c r="AN502" s="12">
        <f t="shared" si="172"/>
        <v>0</v>
      </c>
      <c r="AO502" s="12" t="str">
        <f t="shared" si="173"/>
        <v>Yes</v>
      </c>
      <c r="AP502" t="str">
        <f t="shared" si="158"/>
        <v>Yes</v>
      </c>
      <c r="AQ502" t="str">
        <f>IFERROR(VLOOKUP(Z502,InvBal!$L$4:$P$600,4,FALSE),"Pend")</f>
        <v>Pend</v>
      </c>
      <c r="AR502" t="str">
        <f>IFERROR(VLOOKUP(D502,Manual!$C$1:$E$22,2,FALSE),"Pend")</f>
        <v>Pend</v>
      </c>
      <c r="AS502" t="str">
        <f t="shared" si="174"/>
        <v>Yes</v>
      </c>
      <c r="AT502" t="str">
        <f t="shared" si="175"/>
        <v>Yes</v>
      </c>
      <c r="AU502" s="51" t="str">
        <f t="shared" si="176"/>
        <v>Yes</v>
      </c>
      <c r="AV502" s="12">
        <f>IFERROR(VLOOKUP(D502,'Receivable Invoice Detail'!$S$1:$U$3014,3,FALSE),0)</f>
        <v>0</v>
      </c>
      <c r="AW502" s="12">
        <f t="shared" si="177"/>
        <v>979.3</v>
      </c>
    </row>
    <row r="503" spans="1:49" ht="30" x14ac:dyDescent="0.25">
      <c r="A503" s="2">
        <v>1</v>
      </c>
      <c r="B503" s="2" t="s">
        <v>1407</v>
      </c>
      <c r="C503" s="2" t="s">
        <v>1408</v>
      </c>
      <c r="D503" s="2" t="s">
        <v>2763</v>
      </c>
      <c r="E503" s="2" t="s">
        <v>20</v>
      </c>
      <c r="F503" s="3">
        <v>45786.599918981483</v>
      </c>
      <c r="G503" s="3">
        <v>45792.561273148152</v>
      </c>
      <c r="H503" s="4">
        <v>45793</v>
      </c>
      <c r="I503" s="2" t="s">
        <v>21</v>
      </c>
      <c r="J503" s="2" t="s">
        <v>22</v>
      </c>
      <c r="K503" s="2">
        <v>1</v>
      </c>
      <c r="L503" s="2">
        <v>429.07</v>
      </c>
      <c r="M503" s="2">
        <v>0</v>
      </c>
      <c r="N503" s="2">
        <v>306.69946285517148</v>
      </c>
      <c r="O503" s="2">
        <v>408.64</v>
      </c>
      <c r="P503" s="2">
        <v>20.43</v>
      </c>
      <c r="Q503" s="2">
        <v>429.07</v>
      </c>
      <c r="R503" s="2" t="s">
        <v>44</v>
      </c>
      <c r="S503" s="2"/>
      <c r="T503" s="2">
        <f t="shared" si="159"/>
        <v>1</v>
      </c>
      <c r="U503" s="18">
        <f t="shared" si="160"/>
        <v>5</v>
      </c>
      <c r="V503" s="18">
        <f t="shared" si="161"/>
        <v>2025</v>
      </c>
      <c r="W503" s="18">
        <f t="shared" si="162"/>
        <v>7</v>
      </c>
      <c r="X503" s="18">
        <f t="shared" si="163"/>
        <v>2025</v>
      </c>
      <c r="Y503" s="2">
        <f t="shared" si="156"/>
        <v>0.71480052871366317</v>
      </c>
      <c r="Z503" t="str">
        <f t="shared" si="157"/>
        <v>SO17143</v>
      </c>
      <c r="AA503" s="11">
        <f t="shared" si="164"/>
        <v>45786.599918981483</v>
      </c>
      <c r="AB503" s="5" t="str">
        <f t="shared" si="165"/>
        <v>INV12993</v>
      </c>
      <c r="AC503" s="5" t="str">
        <f>IFERROR(VLOOKUP(D503,CAARStatus!$A$2:$AA$1600,22,FALSE),"Not invoiced")</f>
        <v>Paid</v>
      </c>
      <c r="AD503" s="11">
        <f>IF(AC503="Paid",IFERROR(VLOOKUP(D503,CAARStatus!$A$2:$AA$1600,6,FALSE),"Pending"),"Pending")</f>
        <v>45853</v>
      </c>
      <c r="AE503" s="5" t="str">
        <f t="shared" si="166"/>
        <v>4500595680</v>
      </c>
      <c r="AF503" s="5" t="str">
        <f t="shared" si="167"/>
        <v>Resolute Forest Products - Saint-Felicien</v>
      </c>
      <c r="AG503" s="5" t="str">
        <f t="shared" si="168"/>
        <v>CAD</v>
      </c>
      <c r="AH503" s="5">
        <f t="shared" si="169"/>
        <v>408.64</v>
      </c>
      <c r="AI503" s="12">
        <f>IF(L503-N503=0,VLOOKUP(U503,rate!A$4:B$15,2,FALSE)*AH503,IF(AG503="USD",O503,AH503*Y503))</f>
        <v>292.09608805355128</v>
      </c>
      <c r="AJ503" s="13">
        <f t="shared" si="170"/>
        <v>0.71480052871366306</v>
      </c>
      <c r="AK503" s="13">
        <f>-IF(AG503="CAD",IFERROR(VLOOKUP(D503,CAARStatus!$A$1:$Y$1600,16,FALSE),0),0)</f>
        <v>-408.64</v>
      </c>
      <c r="AL503" s="13">
        <f>-IF(AG503="USD",IFERROR(VLOOKUP(D503,CAARStatus!$A$1:$Y$1600,11,FALSE),0),0)</f>
        <v>0</v>
      </c>
      <c r="AM503" s="22">
        <f t="shared" si="171"/>
        <v>0</v>
      </c>
      <c r="AN503" s="12" t="str">
        <f t="shared" si="172"/>
        <v/>
      </c>
      <c r="AO503" s="12" t="str">
        <f t="shared" si="173"/>
        <v>Yes</v>
      </c>
      <c r="AP503" t="str">
        <f t="shared" si="158"/>
        <v>Yes</v>
      </c>
      <c r="AQ503" t="str">
        <f>IFERROR(VLOOKUP(Z503,InvBal!$L$4:$P$600,4,FALSE),"Pend")</f>
        <v>Pend</v>
      </c>
      <c r="AR503" t="str">
        <f>IFERROR(VLOOKUP(D503,Manual!$C$1:$E$22,2,FALSE),"Pend")</f>
        <v>Pend</v>
      </c>
      <c r="AS503" t="str">
        <f t="shared" si="174"/>
        <v>Yes</v>
      </c>
      <c r="AT503" t="str">
        <f t="shared" si="175"/>
        <v>Yes</v>
      </c>
      <c r="AU503" s="51" t="str">
        <f t="shared" si="176"/>
        <v>Yes</v>
      </c>
      <c r="AV503" s="12">
        <f>IFERROR(VLOOKUP(D503,'Receivable Invoice Detail'!$S$1:$U$3014,3,FALSE),0)</f>
        <v>0</v>
      </c>
      <c r="AW503" s="12">
        <f t="shared" si="177"/>
        <v>292.09608805355128</v>
      </c>
    </row>
    <row r="504" spans="1:49" ht="30" x14ac:dyDescent="0.25">
      <c r="A504" s="2">
        <v>1</v>
      </c>
      <c r="B504" s="2" t="s">
        <v>1433</v>
      </c>
      <c r="C504" s="2" t="s">
        <v>1434</v>
      </c>
      <c r="D504" s="2" t="s">
        <v>2751</v>
      </c>
      <c r="E504" s="2" t="s">
        <v>1288</v>
      </c>
      <c r="F504" s="3">
        <v>45789.346215277779</v>
      </c>
      <c r="G504" s="3">
        <v>45789.691307870373</v>
      </c>
      <c r="H504" s="4">
        <v>45824</v>
      </c>
      <c r="I504" s="2" t="s">
        <v>21</v>
      </c>
      <c r="J504" s="2" t="s">
        <v>51</v>
      </c>
      <c r="K504" s="2">
        <v>0.71740863464391214</v>
      </c>
      <c r="L504" s="2">
        <v>625.55700939221788</v>
      </c>
      <c r="M504" s="2">
        <v>0</v>
      </c>
      <c r="N504" s="2">
        <v>448.78</v>
      </c>
      <c r="O504" s="2">
        <v>448.78</v>
      </c>
      <c r="P504" s="2"/>
      <c r="Q504" s="2">
        <v>448.78</v>
      </c>
      <c r="R504" s="2" t="s">
        <v>44</v>
      </c>
      <c r="S504" s="2"/>
      <c r="T504" s="2">
        <f t="shared" si="159"/>
        <v>1</v>
      </c>
      <c r="U504" s="18">
        <f t="shared" si="160"/>
        <v>5</v>
      </c>
      <c r="V504" s="18">
        <f t="shared" si="161"/>
        <v>2025</v>
      </c>
      <c r="W504" s="18">
        <f t="shared" si="162"/>
        <v>7</v>
      </c>
      <c r="X504" s="18">
        <f t="shared" si="163"/>
        <v>2025</v>
      </c>
      <c r="Y504" s="2">
        <f t="shared" si="156"/>
        <v>0.71740863464391214</v>
      </c>
      <c r="Z504" t="str">
        <f t="shared" si="157"/>
        <v>SO17144</v>
      </c>
      <c r="AA504" s="11">
        <f t="shared" si="164"/>
        <v>45789.346215277779</v>
      </c>
      <c r="AB504" s="5" t="str">
        <f t="shared" si="165"/>
        <v>INV13084</v>
      </c>
      <c r="AC504" s="5" t="str">
        <f>IFERROR(VLOOKUP(D504,CAARStatus!$A$2:$AA$1600,22,FALSE),"Not invoiced")</f>
        <v>Paid</v>
      </c>
      <c r="AD504" s="11">
        <f>IF(AC504="Paid",IFERROR(VLOOKUP(D504,CAARStatus!$A$2:$AA$1600,6,FALSE),"Pending"),"Pending")</f>
        <v>45852</v>
      </c>
      <c r="AE504" s="5" t="str">
        <f t="shared" si="166"/>
        <v>AZ52-00111768</v>
      </c>
      <c r="AF504" s="5" t="str">
        <f t="shared" si="167"/>
        <v>Motion Industries Inc. (U.S.) - Tucson</v>
      </c>
      <c r="AG504" s="5" t="str">
        <f t="shared" si="168"/>
        <v>USD</v>
      </c>
      <c r="AH504" s="5">
        <f t="shared" si="169"/>
        <v>625.55700939221788</v>
      </c>
      <c r="AI504" s="12">
        <f>IF(L504-N504=0,VLOOKUP(U504,rate!A$4:B$15,2,FALSE)*AH504,IF(AG504="USD",O504,AH504*Y504))</f>
        <v>448.78</v>
      </c>
      <c r="AJ504" s="13">
        <f t="shared" si="170"/>
        <v>0.71740863464391214</v>
      </c>
      <c r="AK504" s="13">
        <f>-IF(AG504="CAD",IFERROR(VLOOKUP(D504,CAARStatus!$A$1:$Y$1600,16,FALSE),0),0)</f>
        <v>0</v>
      </c>
      <c r="AL504" s="13">
        <f>-IF(AG504="USD",IFERROR(VLOOKUP(D504,CAARStatus!$A$1:$Y$1600,11,FALSE),0),0)</f>
        <v>-448.78</v>
      </c>
      <c r="AM504" s="22" t="str">
        <f t="shared" si="171"/>
        <v/>
      </c>
      <c r="AN504" s="12">
        <f t="shared" si="172"/>
        <v>0</v>
      </c>
      <c r="AO504" s="12" t="str">
        <f t="shared" si="173"/>
        <v>Yes</v>
      </c>
      <c r="AP504" t="str">
        <f t="shared" si="158"/>
        <v>Yes</v>
      </c>
      <c r="AQ504" t="str">
        <f>IFERROR(VLOOKUP(Z504,InvBal!$L$4:$P$600,4,FALSE),"Pend")</f>
        <v>Pend</v>
      </c>
      <c r="AR504" t="str">
        <f>IFERROR(VLOOKUP(D504,Manual!$C$1:$E$22,2,FALSE),"Pend")</f>
        <v>Pend</v>
      </c>
      <c r="AS504" t="str">
        <f t="shared" si="174"/>
        <v>Yes</v>
      </c>
      <c r="AT504" t="str">
        <f t="shared" si="175"/>
        <v>Yes</v>
      </c>
      <c r="AU504" s="51" t="str">
        <f t="shared" si="176"/>
        <v>Yes</v>
      </c>
      <c r="AV504" s="12">
        <f>IFERROR(VLOOKUP(D504,'Receivable Invoice Detail'!$S$1:$U$3014,3,FALSE),0)</f>
        <v>0</v>
      </c>
      <c r="AW504" s="12">
        <f t="shared" si="177"/>
        <v>448.78</v>
      </c>
    </row>
    <row r="505" spans="1:49" ht="30" x14ac:dyDescent="0.25">
      <c r="A505" s="2">
        <v>1</v>
      </c>
      <c r="B505" s="2" t="s">
        <v>1445</v>
      </c>
      <c r="C505" s="2" t="s">
        <v>1446</v>
      </c>
      <c r="D505" s="2" t="s">
        <v>2744</v>
      </c>
      <c r="E505" s="2" t="s">
        <v>159</v>
      </c>
      <c r="F505" s="3">
        <v>45789.473738425928</v>
      </c>
      <c r="G505" s="3">
        <v>45789.47583333333</v>
      </c>
      <c r="H505" s="4">
        <v>45801</v>
      </c>
      <c r="I505" s="2" t="s">
        <v>40</v>
      </c>
      <c r="J505" s="2" t="s">
        <v>51</v>
      </c>
      <c r="K505" s="2">
        <v>0.71740863464391214</v>
      </c>
      <c r="L505" s="2">
        <v>25856.602644889019</v>
      </c>
      <c r="M505" s="2">
        <v>0</v>
      </c>
      <c r="N505" s="2">
        <v>18549.75</v>
      </c>
      <c r="O505" s="2">
        <v>18549.75</v>
      </c>
      <c r="P505" s="2"/>
      <c r="Q505" s="2">
        <v>18549.75</v>
      </c>
      <c r="R505" s="2" t="s">
        <v>44</v>
      </c>
      <c r="S505" s="2"/>
      <c r="T505" s="2">
        <f t="shared" si="159"/>
        <v>1</v>
      </c>
      <c r="U505" s="18">
        <f t="shared" si="160"/>
        <v>5</v>
      </c>
      <c r="V505" s="18">
        <f t="shared" si="161"/>
        <v>2025</v>
      </c>
      <c r="W505" s="18">
        <f t="shared" si="162"/>
        <v>6</v>
      </c>
      <c r="X505" s="18">
        <f t="shared" si="163"/>
        <v>2025</v>
      </c>
      <c r="Y505" s="2">
        <f t="shared" si="156"/>
        <v>0.71740863464391225</v>
      </c>
      <c r="Z505" t="str">
        <f t="shared" si="157"/>
        <v>SO17145</v>
      </c>
      <c r="AA505" s="11">
        <f t="shared" si="164"/>
        <v>45789.473738425928</v>
      </c>
      <c r="AB505" s="5" t="str">
        <f t="shared" si="165"/>
        <v>INV12981</v>
      </c>
      <c r="AC505" s="5" t="str">
        <f>IFERROR(VLOOKUP(D505,CAARStatus!$A$2:$AA$1600,22,FALSE),"Not invoiced")</f>
        <v>Paid</v>
      </c>
      <c r="AD505" s="11">
        <f>IF(AC505="Paid",IFERROR(VLOOKUP(D505,CAARStatus!$A$2:$AA$1600,6,FALSE),"Pending"),"Pending")</f>
        <v>45835</v>
      </c>
      <c r="AE505" s="5" t="str">
        <f t="shared" si="166"/>
        <v>4501185388</v>
      </c>
      <c r="AF505" s="5" t="str">
        <f t="shared" si="167"/>
        <v>Barrick Gold - Pueblo Viejo Dominicana Corporation</v>
      </c>
      <c r="AG505" s="5" t="str">
        <f t="shared" si="168"/>
        <v>USD</v>
      </c>
      <c r="AH505" s="5">
        <f t="shared" si="169"/>
        <v>25856.602644889022</v>
      </c>
      <c r="AI505" s="12">
        <f>IF(L505-N505=0,VLOOKUP(U505,rate!A$4:B$15,2,FALSE)*AH505,IF(AG505="USD",O505,AH505*Y505))</f>
        <v>18549.75</v>
      </c>
      <c r="AJ505" s="13">
        <f t="shared" si="170"/>
        <v>0.71740863464391214</v>
      </c>
      <c r="AK505" s="13">
        <f>-IF(AG505="CAD",IFERROR(VLOOKUP(D505,CAARStatus!$A$1:$Y$1600,16,FALSE),0),0)</f>
        <v>0</v>
      </c>
      <c r="AL505" s="13">
        <f>-IF(AG505="USD",IFERROR(VLOOKUP(D505,CAARStatus!$A$1:$Y$1600,11,FALSE),0),0)</f>
        <v>-18549.75</v>
      </c>
      <c r="AM505" s="22" t="str">
        <f t="shared" si="171"/>
        <v/>
      </c>
      <c r="AN505" s="12">
        <f t="shared" si="172"/>
        <v>0</v>
      </c>
      <c r="AO505" s="12" t="str">
        <f t="shared" si="173"/>
        <v>Yes</v>
      </c>
      <c r="AP505" t="str">
        <f t="shared" si="158"/>
        <v>Yes</v>
      </c>
      <c r="AQ505" t="str">
        <f>IFERROR(VLOOKUP(Z505,InvBal!$L$4:$P$600,4,FALSE),"Pend")</f>
        <v>Pend</v>
      </c>
      <c r="AR505" t="str">
        <f>IFERROR(VLOOKUP(D505,Manual!$C$1:$E$22,2,FALSE),"Pend")</f>
        <v>Pend</v>
      </c>
      <c r="AS505" t="str">
        <f t="shared" si="174"/>
        <v>Yes</v>
      </c>
      <c r="AT505" t="str">
        <f t="shared" si="175"/>
        <v>Yes</v>
      </c>
      <c r="AU505" s="51" t="str">
        <f t="shared" si="176"/>
        <v>Yes</v>
      </c>
      <c r="AV505" s="12">
        <f>IFERROR(VLOOKUP(D505,'Receivable Invoice Detail'!$S$1:$U$3014,3,FALSE),0)</f>
        <v>0</v>
      </c>
      <c r="AW505" s="12">
        <f t="shared" si="177"/>
        <v>18549.75</v>
      </c>
    </row>
    <row r="506" spans="1:49" ht="30" x14ac:dyDescent="0.25">
      <c r="A506" s="2">
        <v>2</v>
      </c>
      <c r="B506" s="2" t="s">
        <v>1443</v>
      </c>
      <c r="C506" s="2" t="s">
        <v>1444</v>
      </c>
      <c r="D506" s="2" t="s">
        <v>2746</v>
      </c>
      <c r="E506" s="2" t="s">
        <v>159</v>
      </c>
      <c r="F506" s="3">
        <v>45789.486435185187</v>
      </c>
      <c r="G506" s="3">
        <v>45789.488321759258</v>
      </c>
      <c r="H506" s="4">
        <v>45805</v>
      </c>
      <c r="I506" s="2" t="s">
        <v>40</v>
      </c>
      <c r="J506" s="2" t="s">
        <v>51</v>
      </c>
      <c r="K506" s="2">
        <v>0.71740863464391214</v>
      </c>
      <c r="L506" s="2">
        <v>17084.87939524692</v>
      </c>
      <c r="M506" s="2">
        <v>0</v>
      </c>
      <c r="N506" s="2">
        <v>12256.84</v>
      </c>
      <c r="O506" s="2">
        <v>12256.84</v>
      </c>
      <c r="P506" s="2"/>
      <c r="Q506" s="2">
        <v>12256.84</v>
      </c>
      <c r="R506" s="2" t="s">
        <v>44</v>
      </c>
      <c r="S506" s="2"/>
      <c r="T506" s="2">
        <f t="shared" si="159"/>
        <v>2</v>
      </c>
      <c r="U506" s="18">
        <f t="shared" si="160"/>
        <v>5</v>
      </c>
      <c r="V506" s="18">
        <f t="shared" si="161"/>
        <v>2025</v>
      </c>
      <c r="W506" s="18">
        <f t="shared" si="162"/>
        <v>6</v>
      </c>
      <c r="X506" s="18">
        <f t="shared" si="163"/>
        <v>2025</v>
      </c>
      <c r="Y506" s="2">
        <f t="shared" si="156"/>
        <v>0.71740863464391214</v>
      </c>
      <c r="Z506" t="str">
        <f t="shared" si="157"/>
        <v>SO17146</v>
      </c>
      <c r="AA506" s="11">
        <f t="shared" si="164"/>
        <v>45789.486435185187</v>
      </c>
      <c r="AB506" s="5" t="str">
        <f t="shared" si="165"/>
        <v>INV12980</v>
      </c>
      <c r="AC506" s="5" t="str">
        <f>IFERROR(VLOOKUP(D506,CAARStatus!$A$2:$AA$1600,22,FALSE),"Not invoiced")</f>
        <v>Paid</v>
      </c>
      <c r="AD506" s="11">
        <f>IF(AC506="Paid",IFERROR(VLOOKUP(D506,CAARStatus!$A$2:$AA$1600,6,FALSE),"Pending"),"Pending")</f>
        <v>45835</v>
      </c>
      <c r="AE506" s="5" t="str">
        <f t="shared" si="166"/>
        <v>4501185524</v>
      </c>
      <c r="AF506" s="5" t="str">
        <f t="shared" si="167"/>
        <v>Barrick Gold - Pueblo Viejo Dominicana Corporation</v>
      </c>
      <c r="AG506" s="5" t="str">
        <f t="shared" si="168"/>
        <v>USD</v>
      </c>
      <c r="AH506" s="5">
        <f t="shared" si="169"/>
        <v>17084.87939524692</v>
      </c>
      <c r="AI506" s="12">
        <f>IF(L506-N506=0,VLOOKUP(U506,rate!A$4:B$15,2,FALSE)*AH506,IF(AG506="USD",O506,AH506*Y506))</f>
        <v>12256.84</v>
      </c>
      <c r="AJ506" s="13">
        <f t="shared" si="170"/>
        <v>0.71740863464391214</v>
      </c>
      <c r="AK506" s="13">
        <f>-IF(AG506="CAD",IFERROR(VLOOKUP(D506,CAARStatus!$A$1:$Y$1600,16,FALSE),0),0)</f>
        <v>0</v>
      </c>
      <c r="AL506" s="13">
        <f>-IF(AG506="USD",IFERROR(VLOOKUP(D506,CAARStatus!$A$1:$Y$1600,11,FALSE),0),0)</f>
        <v>-7514.44</v>
      </c>
      <c r="AM506" s="22" t="str">
        <f t="shared" si="171"/>
        <v/>
      </c>
      <c r="AN506" s="12">
        <f t="shared" si="172"/>
        <v>4742.4000000000005</v>
      </c>
      <c r="AO506" s="12" t="str">
        <f t="shared" si="173"/>
        <v>Yes</v>
      </c>
      <c r="AP506" t="str">
        <f t="shared" si="158"/>
        <v>XX</v>
      </c>
      <c r="AQ506" t="str">
        <f>IFERROR(VLOOKUP(Z506,InvBal!$L$4:$P$600,4,FALSE),"Pend")</f>
        <v>Yes</v>
      </c>
      <c r="AR506" t="str">
        <f>IFERROR(VLOOKUP(D506,Manual!$C$1:$E$22,2,FALSE),"Pend")</f>
        <v>Pend</v>
      </c>
      <c r="AS506" t="str">
        <f t="shared" si="174"/>
        <v>Yes</v>
      </c>
      <c r="AT506" t="str">
        <f t="shared" si="175"/>
        <v>Yes</v>
      </c>
      <c r="AU506" s="51" t="str">
        <f t="shared" si="176"/>
        <v>Yes</v>
      </c>
      <c r="AV506" s="12">
        <f>IFERROR(VLOOKUP(D506,'Receivable Invoice Detail'!$S$1:$U$3014,3,FALSE),0)</f>
        <v>0</v>
      </c>
      <c r="AW506" s="12">
        <f t="shared" si="177"/>
        <v>12256.84</v>
      </c>
    </row>
    <row r="507" spans="1:49" x14ac:dyDescent="0.25">
      <c r="A507" s="2"/>
      <c r="B507" s="2"/>
      <c r="C507" s="2"/>
      <c r="D507" s="2" t="s">
        <v>2745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>
        <f t="shared" si="159"/>
        <v>2</v>
      </c>
      <c r="U507" s="18">
        <f t="shared" si="160"/>
        <v>5</v>
      </c>
      <c r="V507" s="18">
        <f t="shared" si="161"/>
        <v>2025</v>
      </c>
      <c r="W507" s="18">
        <f t="shared" si="162"/>
        <v>8</v>
      </c>
      <c r="X507" s="18">
        <f t="shared" si="163"/>
        <v>2025</v>
      </c>
      <c r="Y507" s="2">
        <f t="shared" si="156"/>
        <v>0.71740863464391214</v>
      </c>
      <c r="Z507" t="str">
        <f t="shared" si="157"/>
        <v>SO17146</v>
      </c>
      <c r="AA507" s="11">
        <f t="shared" si="164"/>
        <v>45789.486435185187</v>
      </c>
      <c r="AB507" s="5" t="str">
        <f t="shared" si="165"/>
        <v>INV13068</v>
      </c>
      <c r="AC507" s="5" t="str">
        <f>IFERROR(VLOOKUP(D507,CAARStatus!$A$2:$AA$1600,22,FALSE),"Not invoiced")</f>
        <v>Paid</v>
      </c>
      <c r="AD507" s="11">
        <f>IF(AC507="Paid",IFERROR(VLOOKUP(D507,CAARStatus!$A$2:$AA$1600,6,FALSE),"Pending"),"Pending")</f>
        <v>45870</v>
      </c>
      <c r="AE507" s="5" t="str">
        <f t="shared" si="166"/>
        <v>4501185524</v>
      </c>
      <c r="AF507" s="5" t="str">
        <f t="shared" si="167"/>
        <v>Barrick Gold - Pueblo Viejo Dominicana Corporation</v>
      </c>
      <c r="AG507" s="5" t="str">
        <f t="shared" si="168"/>
        <v>USD</v>
      </c>
      <c r="AH507" s="5">
        <f t="shared" si="169"/>
        <v>0</v>
      </c>
      <c r="AI507" s="12">
        <f>IF(L507-N507=0,VLOOKUP(U507,rate!A$4:B$15,2,FALSE)*AH507,IF(AG507="USD",O507,AH507*Y507))</f>
        <v>0</v>
      </c>
      <c r="AJ507" s="13">
        <f t="shared" si="170"/>
        <v>0</v>
      </c>
      <c r="AK507" s="13">
        <f>-IF(AG507="CAD",IFERROR(VLOOKUP(D507,CAARStatus!$A$1:$Y$1600,16,FALSE),0),0)</f>
        <v>0</v>
      </c>
      <c r="AL507" s="13">
        <f>-IF(AG507="USD",IFERROR(VLOOKUP(D507,CAARStatus!$A$1:$Y$1600,11,FALSE),0),0)</f>
        <v>-4742.3999999999996</v>
      </c>
      <c r="AM507" s="22" t="str">
        <f t="shared" si="171"/>
        <v/>
      </c>
      <c r="AN507" s="12">
        <f t="shared" si="172"/>
        <v>-4742.3999999999996</v>
      </c>
      <c r="AO507" s="12" t="str">
        <f t="shared" si="173"/>
        <v>Yes</v>
      </c>
      <c r="AP507" t="str">
        <f t="shared" si="158"/>
        <v>XX</v>
      </c>
      <c r="AQ507" t="str">
        <f>IFERROR(VLOOKUP(Z507,InvBal!$L$4:$P$600,4,FALSE),"Pend")</f>
        <v>Yes</v>
      </c>
      <c r="AR507" t="str">
        <f>IFERROR(VLOOKUP(D507,Manual!$C$1:$E$22,2,FALSE),"Pend")</f>
        <v>Pend</v>
      </c>
      <c r="AS507" t="str">
        <f t="shared" si="174"/>
        <v>Yes</v>
      </c>
      <c r="AT507" t="str">
        <f t="shared" si="175"/>
        <v/>
      </c>
      <c r="AU507" s="51" t="str">
        <f t="shared" si="176"/>
        <v/>
      </c>
      <c r="AV507" s="12">
        <f>IFERROR(VLOOKUP(D507,'Receivable Invoice Detail'!$S$1:$U$3014,3,FALSE),0)</f>
        <v>0</v>
      </c>
      <c r="AW507" s="12">
        <f t="shared" si="177"/>
        <v>0</v>
      </c>
    </row>
    <row r="508" spans="1:49" x14ac:dyDescent="0.25">
      <c r="A508" s="2">
        <v>1</v>
      </c>
      <c r="B508" s="2" t="s">
        <v>1428</v>
      </c>
      <c r="C508" s="2" t="s">
        <v>1429</v>
      </c>
      <c r="D508" s="2" t="s">
        <v>2753</v>
      </c>
      <c r="E508" s="2" t="s">
        <v>1430</v>
      </c>
      <c r="F508" s="3">
        <v>45789.507060185177</v>
      </c>
      <c r="G508" s="3">
        <v>45790.507060185177</v>
      </c>
      <c r="H508" s="4">
        <v>45847</v>
      </c>
      <c r="I508" s="2" t="s">
        <v>21</v>
      </c>
      <c r="J508" s="2" t="s">
        <v>22</v>
      </c>
      <c r="K508" s="2">
        <v>1</v>
      </c>
      <c r="L508" s="2">
        <v>6152.97</v>
      </c>
      <c r="M508" s="2">
        <v>0</v>
      </c>
      <c r="N508" s="2">
        <v>4407.9887868135866</v>
      </c>
      <c r="O508" s="2">
        <v>5859.97</v>
      </c>
      <c r="P508" s="2">
        <v>293</v>
      </c>
      <c r="Q508" s="2">
        <v>6152.97</v>
      </c>
      <c r="R508" s="2" t="s">
        <v>44</v>
      </c>
      <c r="S508" s="2"/>
      <c r="T508" s="2">
        <f t="shared" si="159"/>
        <v>1</v>
      </c>
      <c r="U508" s="18">
        <f t="shared" si="160"/>
        <v>5</v>
      </c>
      <c r="V508" s="18">
        <f t="shared" si="161"/>
        <v>2025</v>
      </c>
      <c r="W508" s="18">
        <f t="shared" si="162"/>
        <v>7</v>
      </c>
      <c r="X508" s="18">
        <f t="shared" si="163"/>
        <v>2025</v>
      </c>
      <c r="Y508" s="2">
        <f t="shared" si="156"/>
        <v>0.71640017533217071</v>
      </c>
      <c r="Z508" t="str">
        <f t="shared" si="157"/>
        <v>SO17148</v>
      </c>
      <c r="AA508" s="11">
        <f t="shared" si="164"/>
        <v>45789.507060185177</v>
      </c>
      <c r="AB508" s="5" t="str">
        <f t="shared" si="165"/>
        <v>INV13086</v>
      </c>
      <c r="AC508" s="5" t="str">
        <f>IFERROR(VLOOKUP(D508,CAARStatus!$A$2:$AA$1600,22,FALSE),"Not invoiced")</f>
        <v>Paid</v>
      </c>
      <c r="AD508" s="11">
        <f>IF(AC508="Paid",IFERROR(VLOOKUP(D508,CAARStatus!$A$2:$AA$1600,6,FALSE),"Pending"),"Pending")</f>
        <v>45854</v>
      </c>
      <c r="AE508" s="5" t="str">
        <f t="shared" si="166"/>
        <v>2100573830</v>
      </c>
      <c r="AF508" s="5" t="str">
        <f t="shared" si="167"/>
        <v>Wajax Limited - Témiscaming</v>
      </c>
      <c r="AG508" s="5" t="str">
        <f t="shared" si="168"/>
        <v>CAD</v>
      </c>
      <c r="AH508" s="5">
        <f t="shared" si="169"/>
        <v>5859.97</v>
      </c>
      <c r="AI508" s="12">
        <f>IF(L508-N508=0,VLOOKUP(U508,rate!A$4:B$15,2,FALSE)*AH508,IF(AG508="USD",O508,AH508*Y508))</f>
        <v>4198.0835354412602</v>
      </c>
      <c r="AJ508" s="13">
        <f t="shared" si="170"/>
        <v>0.7164001753321706</v>
      </c>
      <c r="AK508" s="13">
        <f>-IF(AG508="CAD",IFERROR(VLOOKUP(D508,CAARStatus!$A$1:$Y$1600,16,FALSE),0),0)</f>
        <v>-5859.97</v>
      </c>
      <c r="AL508" s="13">
        <f>-IF(AG508="USD",IFERROR(VLOOKUP(D508,CAARStatus!$A$1:$Y$1600,11,FALSE),0),0)</f>
        <v>0</v>
      </c>
      <c r="AM508" s="22">
        <f t="shared" si="171"/>
        <v>0</v>
      </c>
      <c r="AN508" s="12" t="str">
        <f t="shared" si="172"/>
        <v/>
      </c>
      <c r="AO508" s="12" t="str">
        <f t="shared" si="173"/>
        <v>Yes</v>
      </c>
      <c r="AP508" t="str">
        <f t="shared" si="158"/>
        <v>Yes</v>
      </c>
      <c r="AQ508" t="str">
        <f>IFERROR(VLOOKUP(Z508,InvBal!$L$4:$P$600,4,FALSE),"Pend")</f>
        <v>Pend</v>
      </c>
      <c r="AR508" t="str">
        <f>IFERROR(VLOOKUP(D508,Manual!$C$1:$E$22,2,FALSE),"Pend")</f>
        <v>Pend</v>
      </c>
      <c r="AS508" t="str">
        <f t="shared" si="174"/>
        <v>Yes</v>
      </c>
      <c r="AT508" t="str">
        <f t="shared" si="175"/>
        <v>Yes</v>
      </c>
      <c r="AU508" s="51" t="str">
        <f t="shared" si="176"/>
        <v>Yes</v>
      </c>
      <c r="AV508" s="12">
        <f>IFERROR(VLOOKUP(D508,'Receivable Invoice Detail'!$S$1:$U$3014,3,FALSE),0)</f>
        <v>0</v>
      </c>
      <c r="AW508" s="12">
        <f t="shared" si="177"/>
        <v>4198.0835354412602</v>
      </c>
    </row>
    <row r="509" spans="1:49" x14ac:dyDescent="0.25">
      <c r="A509" s="2">
        <v>1</v>
      </c>
      <c r="B509" s="2" t="s">
        <v>1441</v>
      </c>
      <c r="C509" s="2" t="s">
        <v>1442</v>
      </c>
      <c r="D509" s="2" t="s">
        <v>2747</v>
      </c>
      <c r="E509" s="2" t="s">
        <v>901</v>
      </c>
      <c r="F509" s="3">
        <v>45789.549837962957</v>
      </c>
      <c r="G509" s="3">
        <v>45789.549953703703</v>
      </c>
      <c r="H509" s="4">
        <v>45811</v>
      </c>
      <c r="I509" s="2" t="s">
        <v>180</v>
      </c>
      <c r="J509" s="2" t="s">
        <v>51</v>
      </c>
      <c r="K509" s="2">
        <v>0.71740863464391214</v>
      </c>
      <c r="L509" s="2">
        <v>5514.8485938753311</v>
      </c>
      <c r="M509" s="2">
        <v>0</v>
      </c>
      <c r="N509" s="2">
        <v>3956.4</v>
      </c>
      <c r="O509" s="2">
        <v>3956.4</v>
      </c>
      <c r="P509" s="2"/>
      <c r="Q509" s="2">
        <v>3956.4</v>
      </c>
      <c r="R509" s="2" t="s">
        <v>44</v>
      </c>
      <c r="S509" s="2"/>
      <c r="T509" s="2">
        <f t="shared" si="159"/>
        <v>1</v>
      </c>
      <c r="U509" s="18">
        <f t="shared" si="160"/>
        <v>5</v>
      </c>
      <c r="V509" s="18">
        <f t="shared" si="161"/>
        <v>2025</v>
      </c>
      <c r="W509" s="18">
        <f t="shared" si="162"/>
        <v>8</v>
      </c>
      <c r="X509" s="18">
        <f t="shared" si="163"/>
        <v>2025</v>
      </c>
      <c r="Y509" s="2">
        <f t="shared" si="156"/>
        <v>0.71740863464391214</v>
      </c>
      <c r="Z509" t="str">
        <f t="shared" si="157"/>
        <v>SO17149</v>
      </c>
      <c r="AA509" s="11">
        <f t="shared" si="164"/>
        <v>45789.549837962957</v>
      </c>
      <c r="AB509" s="5" t="str">
        <f t="shared" si="165"/>
        <v>INV13190</v>
      </c>
      <c r="AC509" s="5" t="str">
        <f>IFERROR(VLOOKUP(D509,CAARStatus!$A$2:$AA$1600,22,FALSE),"Not invoiced")</f>
        <v>Paid</v>
      </c>
      <c r="AD509" s="11">
        <f>IF(AC509="Paid",IFERROR(VLOOKUP(D509,CAARStatus!$A$2:$AA$1600,6,FALSE),"Pending"),"Pending")</f>
        <v>45895</v>
      </c>
      <c r="AE509" s="5" t="str">
        <f t="shared" si="166"/>
        <v>4500805495</v>
      </c>
      <c r="AF509" s="5" t="str">
        <f t="shared" si="167"/>
        <v>AGM Inc.</v>
      </c>
      <c r="AG509" s="5" t="str">
        <f t="shared" si="168"/>
        <v>USD</v>
      </c>
      <c r="AH509" s="5">
        <f t="shared" si="169"/>
        <v>5514.8485938753311</v>
      </c>
      <c r="AI509" s="12">
        <f>IF(L509-N509=0,VLOOKUP(U509,rate!A$4:B$15,2,FALSE)*AH509,IF(AG509="USD",O509,AH509*Y509))</f>
        <v>3956.4</v>
      </c>
      <c r="AJ509" s="13">
        <f t="shared" si="170"/>
        <v>0.71740863464391214</v>
      </c>
      <c r="AK509" s="13">
        <f>-IF(AG509="CAD",IFERROR(VLOOKUP(D509,CAARStatus!$A$1:$Y$1600,16,FALSE),0),0)</f>
        <v>0</v>
      </c>
      <c r="AL509" s="13">
        <f>-IF(AG509="USD",IFERROR(VLOOKUP(D509,CAARStatus!$A$1:$Y$1600,11,FALSE),0),0)</f>
        <v>-3956.4</v>
      </c>
      <c r="AM509" s="22" t="str">
        <f t="shared" si="171"/>
        <v/>
      </c>
      <c r="AN509" s="12">
        <f t="shared" si="172"/>
        <v>0</v>
      </c>
      <c r="AO509" s="12" t="str">
        <f t="shared" si="173"/>
        <v>Yes</v>
      </c>
      <c r="AP509" t="str">
        <f t="shared" si="158"/>
        <v>Yes</v>
      </c>
      <c r="AQ509" t="str">
        <f>IFERROR(VLOOKUP(Z509,InvBal!$L$4:$P$600,4,FALSE),"Pend")</f>
        <v>Pend</v>
      </c>
      <c r="AR509" t="str">
        <f>IFERROR(VLOOKUP(D509,Manual!$C$1:$E$22,2,FALSE),"Pend")</f>
        <v>Pend</v>
      </c>
      <c r="AS509" t="str">
        <f t="shared" si="174"/>
        <v>Yes</v>
      </c>
      <c r="AT509" t="str">
        <f t="shared" si="175"/>
        <v>Yes</v>
      </c>
      <c r="AU509" s="51" t="str">
        <f t="shared" si="176"/>
        <v>Yes</v>
      </c>
      <c r="AV509" s="12">
        <f>IFERROR(VLOOKUP(D509,'Receivable Invoice Detail'!$S$1:$U$3014,3,FALSE),0)</f>
        <v>0</v>
      </c>
      <c r="AW509" s="12">
        <f t="shared" si="177"/>
        <v>3956.4</v>
      </c>
    </row>
    <row r="510" spans="1:49" ht="30" x14ac:dyDescent="0.25">
      <c r="A510" s="2">
        <v>1</v>
      </c>
      <c r="B510" s="2" t="s">
        <v>1437</v>
      </c>
      <c r="C510" s="2" t="s">
        <v>1438</v>
      </c>
      <c r="D510" s="2" t="s">
        <v>2749</v>
      </c>
      <c r="E510" s="2" t="s">
        <v>159</v>
      </c>
      <c r="F510" s="3">
        <v>45789.554884259262</v>
      </c>
      <c r="G510" s="3">
        <v>45789.576909722222</v>
      </c>
      <c r="H510" s="4">
        <v>45800</v>
      </c>
      <c r="I510" s="2" t="s">
        <v>40</v>
      </c>
      <c r="J510" s="2" t="s">
        <v>51</v>
      </c>
      <c r="K510" s="2">
        <v>0.71740863464391214</v>
      </c>
      <c r="L510" s="2">
        <v>58023.109828698012</v>
      </c>
      <c r="M510" s="2">
        <v>0</v>
      </c>
      <c r="N510" s="2">
        <v>41626.28</v>
      </c>
      <c r="O510" s="2">
        <v>41626.28</v>
      </c>
      <c r="P510" s="2"/>
      <c r="Q510" s="2">
        <v>41626.28</v>
      </c>
      <c r="R510" s="2" t="s">
        <v>44</v>
      </c>
      <c r="S510" s="2"/>
      <c r="T510" s="2">
        <f t="shared" si="159"/>
        <v>1</v>
      </c>
      <c r="U510" s="18">
        <f t="shared" si="160"/>
        <v>5</v>
      </c>
      <c r="V510" s="18">
        <f t="shared" si="161"/>
        <v>2025</v>
      </c>
      <c r="W510" s="18">
        <f t="shared" si="162"/>
        <v>6</v>
      </c>
      <c r="X510" s="18">
        <f t="shared" si="163"/>
        <v>2025</v>
      </c>
      <c r="Y510" s="2">
        <f t="shared" si="156"/>
        <v>0.71740863464391214</v>
      </c>
      <c r="Z510" t="str">
        <f t="shared" si="157"/>
        <v>SO17151</v>
      </c>
      <c r="AA510" s="11">
        <f t="shared" si="164"/>
        <v>45789.554884259262</v>
      </c>
      <c r="AB510" s="5" t="str">
        <f t="shared" si="165"/>
        <v>INV12983</v>
      </c>
      <c r="AC510" s="5" t="str">
        <f>IFERROR(VLOOKUP(D510,CAARStatus!$A$2:$AA$1600,22,FALSE),"Not invoiced")</f>
        <v>Paid</v>
      </c>
      <c r="AD510" s="11">
        <f>IF(AC510="Paid",IFERROR(VLOOKUP(D510,CAARStatus!$A$2:$AA$1600,6,FALSE),"Pending"),"Pending")</f>
        <v>45835</v>
      </c>
      <c r="AE510" s="5" t="str">
        <f t="shared" si="166"/>
        <v>4501184153</v>
      </c>
      <c r="AF510" s="5" t="str">
        <f t="shared" si="167"/>
        <v>Barrick Gold - Pueblo Viejo Dominicana Corporation</v>
      </c>
      <c r="AG510" s="5" t="str">
        <f t="shared" si="168"/>
        <v>USD</v>
      </c>
      <c r="AH510" s="5">
        <f t="shared" si="169"/>
        <v>58023.109828698012</v>
      </c>
      <c r="AI510" s="12">
        <f>IF(L510-N510=0,VLOOKUP(U510,rate!A$4:B$15,2,FALSE)*AH510,IF(AG510="USD",O510,AH510*Y510))</f>
        <v>41626.28</v>
      </c>
      <c r="AJ510" s="13">
        <f t="shared" si="170"/>
        <v>0.71740863464391214</v>
      </c>
      <c r="AK510" s="13">
        <f>-IF(AG510="CAD",IFERROR(VLOOKUP(D510,CAARStatus!$A$1:$Y$1600,16,FALSE),0),0)</f>
        <v>0</v>
      </c>
      <c r="AL510" s="13">
        <f>-IF(AG510="USD",IFERROR(VLOOKUP(D510,CAARStatus!$A$1:$Y$1600,11,FALSE),0),0)</f>
        <v>-41626.28</v>
      </c>
      <c r="AM510" s="22" t="str">
        <f t="shared" si="171"/>
        <v/>
      </c>
      <c r="AN510" s="12">
        <f t="shared" si="172"/>
        <v>0</v>
      </c>
      <c r="AO510" s="12" t="str">
        <f t="shared" si="173"/>
        <v>Yes</v>
      </c>
      <c r="AP510" t="str">
        <f t="shared" si="158"/>
        <v>Yes</v>
      </c>
      <c r="AQ510" t="str">
        <f>IFERROR(VLOOKUP(Z510,InvBal!$L$4:$P$600,4,FALSE),"Pend")</f>
        <v>Pend</v>
      </c>
      <c r="AR510" t="str">
        <f>IFERROR(VLOOKUP(D510,Manual!$C$1:$E$22,2,FALSE),"Pend")</f>
        <v>Pend</v>
      </c>
      <c r="AS510" t="str">
        <f t="shared" si="174"/>
        <v>Yes</v>
      </c>
      <c r="AT510" t="str">
        <f t="shared" si="175"/>
        <v>Yes</v>
      </c>
      <c r="AU510" s="51" t="str">
        <f t="shared" si="176"/>
        <v>Yes</v>
      </c>
      <c r="AV510" s="12">
        <f>IFERROR(VLOOKUP(D510,'Receivable Invoice Detail'!$S$1:$U$3014,3,FALSE),0)</f>
        <v>0</v>
      </c>
      <c r="AW510" s="12">
        <f t="shared" si="177"/>
        <v>41626.28</v>
      </c>
    </row>
    <row r="511" spans="1:49" x14ac:dyDescent="0.25">
      <c r="A511" s="2">
        <v>1</v>
      </c>
      <c r="B511" s="2" t="s">
        <v>1439</v>
      </c>
      <c r="C511" s="2" t="s">
        <v>1440</v>
      </c>
      <c r="D511" s="2" t="s">
        <v>2748</v>
      </c>
      <c r="E511" s="2" t="s">
        <v>1261</v>
      </c>
      <c r="F511" s="3">
        <v>45789.560277777768</v>
      </c>
      <c r="G511" s="3">
        <v>45789.562928240739</v>
      </c>
      <c r="H511" s="4">
        <v>45790</v>
      </c>
      <c r="I511" s="2" t="s">
        <v>1132</v>
      </c>
      <c r="J511" s="2" t="s">
        <v>22</v>
      </c>
      <c r="K511" s="2">
        <v>1</v>
      </c>
      <c r="L511" s="2">
        <v>2087.66</v>
      </c>
      <c r="M511" s="2">
        <v>0</v>
      </c>
      <c r="N511" s="2">
        <v>1490.6801644645</v>
      </c>
      <c r="O511" s="2">
        <v>2087.66</v>
      </c>
      <c r="P511" s="2"/>
      <c r="Q511" s="2">
        <v>2087.66</v>
      </c>
      <c r="R511" s="2" t="s">
        <v>44</v>
      </c>
      <c r="S511" s="2"/>
      <c r="T511" s="2">
        <f t="shared" si="159"/>
        <v>1</v>
      </c>
      <c r="U511" s="18">
        <f t="shared" si="160"/>
        <v>5</v>
      </c>
      <c r="V511" s="18">
        <f t="shared" si="161"/>
        <v>2025</v>
      </c>
      <c r="W511" s="18">
        <f t="shared" si="162"/>
        <v>6</v>
      </c>
      <c r="X511" s="18">
        <f t="shared" si="163"/>
        <v>2025</v>
      </c>
      <c r="Y511" s="2">
        <f t="shared" si="156"/>
        <v>0.71404355329148428</v>
      </c>
      <c r="Z511" t="str">
        <f t="shared" si="157"/>
        <v>SO17152</v>
      </c>
      <c r="AA511" s="11">
        <f t="shared" si="164"/>
        <v>45789.560277777768</v>
      </c>
      <c r="AB511" s="5" t="str">
        <f t="shared" si="165"/>
        <v>INV12991</v>
      </c>
      <c r="AC511" s="5" t="str">
        <f>IFERROR(VLOOKUP(D511,CAARStatus!$A$2:$AA$1600,22,FALSE),"Not invoiced")</f>
        <v>Paid</v>
      </c>
      <c r="AD511" s="11">
        <f>IF(AC511="Paid",IFERROR(VLOOKUP(D511,CAARStatus!$A$2:$AA$1600,6,FALSE),"Pending"),"Pending")</f>
        <v>45821</v>
      </c>
      <c r="AE511" s="5" t="str">
        <f t="shared" si="166"/>
        <v>PSI15675</v>
      </c>
      <c r="AF511" s="5" t="str">
        <f t="shared" si="167"/>
        <v>Progressive Sealing Inc.</v>
      </c>
      <c r="AG511" s="5" t="str">
        <f t="shared" si="168"/>
        <v>CAD</v>
      </c>
      <c r="AH511" s="5">
        <f t="shared" si="169"/>
        <v>2087.66</v>
      </c>
      <c r="AI511" s="12">
        <f>IF(L511-N511=0,VLOOKUP(U511,rate!A$4:B$15,2,FALSE)*AH511,IF(AG511="USD",O511,AH511*Y511))</f>
        <v>1490.6801644645</v>
      </c>
      <c r="AJ511" s="13">
        <f t="shared" si="170"/>
        <v>0.71404355329148428</v>
      </c>
      <c r="AK511" s="13">
        <f>-IF(AG511="CAD",IFERROR(VLOOKUP(D511,CAARStatus!$A$1:$Y$1600,16,FALSE),0),0)</f>
        <v>-2087.66</v>
      </c>
      <c r="AL511" s="13">
        <f>-IF(AG511="USD",IFERROR(VLOOKUP(D511,CAARStatus!$A$1:$Y$1600,11,FALSE),0),0)</f>
        <v>0</v>
      </c>
      <c r="AM511" s="22">
        <f t="shared" si="171"/>
        <v>0</v>
      </c>
      <c r="AN511" s="12" t="str">
        <f t="shared" si="172"/>
        <v/>
      </c>
      <c r="AO511" s="12" t="str">
        <f t="shared" si="173"/>
        <v>Yes</v>
      </c>
      <c r="AP511" t="str">
        <f t="shared" si="158"/>
        <v>Yes</v>
      </c>
      <c r="AQ511" t="str">
        <f>IFERROR(VLOOKUP(Z511,InvBal!$L$4:$P$600,4,FALSE),"Pend")</f>
        <v>Pend</v>
      </c>
      <c r="AR511" t="str">
        <f>IFERROR(VLOOKUP(D511,Manual!$C$1:$E$22,2,FALSE),"Pend")</f>
        <v>Pend</v>
      </c>
      <c r="AS511" t="str">
        <f t="shared" si="174"/>
        <v>Yes</v>
      </c>
      <c r="AT511" t="str">
        <f t="shared" si="175"/>
        <v>Yes</v>
      </c>
      <c r="AU511" s="51" t="str">
        <f t="shared" si="176"/>
        <v>Yes</v>
      </c>
      <c r="AV511" s="12">
        <f>IFERROR(VLOOKUP(D511,'Receivable Invoice Detail'!$S$1:$U$3014,3,FALSE),0)</f>
        <v>0</v>
      </c>
      <c r="AW511" s="12">
        <f t="shared" si="177"/>
        <v>1490.6801644645</v>
      </c>
    </row>
    <row r="512" spans="1:49" x14ac:dyDescent="0.25">
      <c r="A512" s="2">
        <v>1</v>
      </c>
      <c r="B512" s="2" t="s">
        <v>1340</v>
      </c>
      <c r="C512" s="2" t="s">
        <v>1341</v>
      </c>
      <c r="D512" s="2" t="s">
        <v>2800</v>
      </c>
      <c r="E512" s="2" t="s">
        <v>149</v>
      </c>
      <c r="F512" s="3">
        <v>45789.582881944443</v>
      </c>
      <c r="G512" s="3">
        <v>45804.544178240743</v>
      </c>
      <c r="H512" s="4">
        <v>45923</v>
      </c>
      <c r="I512" s="2" t="s">
        <v>21</v>
      </c>
      <c r="J512" s="2" t="s">
        <v>51</v>
      </c>
      <c r="K512" s="2">
        <v>0.72825076867173777</v>
      </c>
      <c r="L512" s="2">
        <v>13791.54054079309</v>
      </c>
      <c r="M512" s="2">
        <v>0</v>
      </c>
      <c r="N512" s="2">
        <v>10043.700000000001</v>
      </c>
      <c r="O512" s="2">
        <v>10043.700000000001</v>
      </c>
      <c r="P512" s="2"/>
      <c r="Q512" s="2">
        <v>10043.700000000001</v>
      </c>
      <c r="R512" s="2" t="s">
        <v>44</v>
      </c>
      <c r="S512" s="2"/>
      <c r="T512" s="2">
        <f t="shared" si="159"/>
        <v>1</v>
      </c>
      <c r="U512" s="18">
        <f t="shared" si="160"/>
        <v>5</v>
      </c>
      <c r="V512" s="18">
        <f t="shared" si="161"/>
        <v>2025</v>
      </c>
      <c r="W512" s="18">
        <f t="shared" si="162"/>
        <v>9</v>
      </c>
      <c r="X512" s="18">
        <f t="shared" si="163"/>
        <v>2025</v>
      </c>
      <c r="Y512" s="2">
        <f t="shared" si="156"/>
        <v>0.72825076867173766</v>
      </c>
      <c r="Z512" t="str">
        <f t="shared" si="157"/>
        <v>SO17153</v>
      </c>
      <c r="AA512" s="11">
        <f t="shared" si="164"/>
        <v>45789.582881944443</v>
      </c>
      <c r="AB512" s="5" t="str">
        <f t="shared" si="165"/>
        <v>INV13302</v>
      </c>
      <c r="AC512" s="5" t="str">
        <f>IFERROR(VLOOKUP(D512,CAARStatus!$A$2:$AA$1600,22,FALSE),"Not invoiced")</f>
        <v>Paid</v>
      </c>
      <c r="AD512" s="11">
        <f>IF(AC512="Paid",IFERROR(VLOOKUP(D512,CAARStatus!$A$2:$AA$1600,6,FALSE),"Pending"),"Pending")</f>
        <v>45913</v>
      </c>
      <c r="AE512" s="5" t="str">
        <f t="shared" si="166"/>
        <v>PO-0020310</v>
      </c>
      <c r="AF512" s="5" t="str">
        <f t="shared" si="167"/>
        <v>MAB Equipment Company Inc.</v>
      </c>
      <c r="AG512" s="5" t="str">
        <f t="shared" si="168"/>
        <v>USD</v>
      </c>
      <c r="AH512" s="5">
        <f t="shared" si="169"/>
        <v>13791.540540793088</v>
      </c>
      <c r="AI512" s="12">
        <f>IF(L512-N512=0,VLOOKUP(U512,rate!A$4:B$15,2,FALSE)*AH512,IF(AG512="USD",O512,AH512*Y512))</f>
        <v>10043.700000000001</v>
      </c>
      <c r="AJ512" s="13">
        <f t="shared" si="170"/>
        <v>0.72825076867173777</v>
      </c>
      <c r="AK512" s="13">
        <f>-IF(AG512="CAD",IFERROR(VLOOKUP(D512,CAARStatus!$A$1:$Y$1600,16,FALSE),0),0)</f>
        <v>0</v>
      </c>
      <c r="AL512" s="13">
        <f>-IF(AG512="USD",IFERROR(VLOOKUP(D512,CAARStatus!$A$1:$Y$1600,11,FALSE),0),0)</f>
        <v>-10043.700000000001</v>
      </c>
      <c r="AM512" s="22" t="str">
        <f t="shared" si="171"/>
        <v/>
      </c>
      <c r="AN512" s="12">
        <f t="shared" si="172"/>
        <v>0</v>
      </c>
      <c r="AO512" s="12" t="str">
        <f t="shared" si="173"/>
        <v>Yes</v>
      </c>
      <c r="AP512" t="str">
        <f t="shared" si="158"/>
        <v>Yes</v>
      </c>
      <c r="AQ512" t="str">
        <f>IFERROR(VLOOKUP(Z512,InvBal!$L$4:$P$600,4,FALSE),"Pend")</f>
        <v>Pend</v>
      </c>
      <c r="AR512" t="str">
        <f>IFERROR(VLOOKUP(D512,Manual!$C$1:$E$22,2,FALSE),"Pend")</f>
        <v>Pend</v>
      </c>
      <c r="AS512" t="str">
        <f t="shared" si="174"/>
        <v>Yes</v>
      </c>
      <c r="AT512" t="str">
        <f t="shared" si="175"/>
        <v>Yes</v>
      </c>
      <c r="AU512" s="51" t="str">
        <f t="shared" si="176"/>
        <v>Yes</v>
      </c>
      <c r="AV512" s="12">
        <f>IFERROR(VLOOKUP(D512,'Receivable Invoice Detail'!$S$1:$U$3014,3,FALSE),0)</f>
        <v>817</v>
      </c>
      <c r="AW512" s="12">
        <f t="shared" si="177"/>
        <v>9226.7000000000007</v>
      </c>
    </row>
    <row r="513" spans="1:49" x14ac:dyDescent="0.25">
      <c r="A513" s="2">
        <v>1</v>
      </c>
      <c r="B513" s="2" t="s">
        <v>1297</v>
      </c>
      <c r="C513" s="2" t="s">
        <v>1298</v>
      </c>
      <c r="D513" s="2" t="s">
        <v>2823</v>
      </c>
      <c r="E513" s="2" t="s">
        <v>1299</v>
      </c>
      <c r="F513" s="3">
        <v>45790.350891203707</v>
      </c>
      <c r="G513" s="3">
        <v>45810.345104166663</v>
      </c>
      <c r="H513" s="4">
        <v>45867</v>
      </c>
      <c r="I513" s="2" t="s">
        <v>21</v>
      </c>
      <c r="J513" s="2" t="s">
        <v>51</v>
      </c>
      <c r="K513" s="2">
        <v>0.72982219017840411</v>
      </c>
      <c r="L513" s="2">
        <v>13922.076002534601</v>
      </c>
      <c r="M513" s="2">
        <v>0</v>
      </c>
      <c r="N513" s="2">
        <v>10160.64</v>
      </c>
      <c r="O513" s="2">
        <v>10160.64</v>
      </c>
      <c r="P513" s="2"/>
      <c r="Q513" s="2">
        <v>10160.64</v>
      </c>
      <c r="R513" s="2" t="s">
        <v>44</v>
      </c>
      <c r="S513" s="2"/>
      <c r="T513" s="2">
        <f t="shared" si="159"/>
        <v>1</v>
      </c>
      <c r="U513" s="18">
        <f t="shared" si="160"/>
        <v>5</v>
      </c>
      <c r="V513" s="18">
        <f t="shared" si="161"/>
        <v>2025</v>
      </c>
      <c r="W513" s="18">
        <f t="shared" si="162"/>
        <v>11</v>
      </c>
      <c r="X513" s="18">
        <f t="shared" si="163"/>
        <v>2025</v>
      </c>
      <c r="Y513" s="2">
        <f t="shared" si="156"/>
        <v>0.72982219017840377</v>
      </c>
      <c r="Z513" t="str">
        <f t="shared" si="157"/>
        <v>SO17159</v>
      </c>
      <c r="AA513" s="11">
        <f t="shared" si="164"/>
        <v>45790.350891203707</v>
      </c>
      <c r="AB513" s="5" t="str">
        <f t="shared" si="165"/>
        <v>INV13340</v>
      </c>
      <c r="AC513" s="5" t="str">
        <f>IFERROR(VLOOKUP(D513,CAARStatus!$A$2:$AA$1600,22,FALSE),"Not invoiced")</f>
        <v>Paid</v>
      </c>
      <c r="AD513" s="11">
        <f>IF(AC513="Paid",IFERROR(VLOOKUP(D513,CAARStatus!$A$2:$AA$1600,6,FALSE),"Pending"),"Pending")</f>
        <v>45974</v>
      </c>
      <c r="AE513" s="5" t="str">
        <f t="shared" si="166"/>
        <v>PO# 70300</v>
      </c>
      <c r="AF513" s="5" t="str">
        <f t="shared" si="167"/>
        <v>SRM Materials</v>
      </c>
      <c r="AG513" s="5" t="str">
        <f t="shared" si="168"/>
        <v>USD</v>
      </c>
      <c r="AH513" s="5">
        <f t="shared" si="169"/>
        <v>13922.076002534595</v>
      </c>
      <c r="AI513" s="12">
        <f>IF(L513-N513=0,VLOOKUP(U513,rate!A$4:B$15,2,FALSE)*AH513,IF(AG513="USD",O513,AH513*Y513))</f>
        <v>10160.64</v>
      </c>
      <c r="AJ513" s="13">
        <f t="shared" si="170"/>
        <v>0.72982219017840411</v>
      </c>
      <c r="AK513" s="13">
        <f>-IF(AG513="CAD",IFERROR(VLOOKUP(D513,CAARStatus!$A$1:$Y$1600,16,FALSE),0),0)</f>
        <v>0</v>
      </c>
      <c r="AL513" s="13">
        <f>-IF(AG513="USD",IFERROR(VLOOKUP(D513,CAARStatus!$A$1:$Y$1600,11,FALSE),0),0)</f>
        <v>-10160.64</v>
      </c>
      <c r="AM513" s="22" t="str">
        <f t="shared" si="171"/>
        <v/>
      </c>
      <c r="AN513" s="12">
        <f t="shared" si="172"/>
        <v>0</v>
      </c>
      <c r="AO513" s="12" t="str">
        <f t="shared" si="173"/>
        <v>Yes</v>
      </c>
      <c r="AP513" t="str">
        <f t="shared" si="158"/>
        <v>Yes</v>
      </c>
      <c r="AQ513" t="str">
        <f>IFERROR(VLOOKUP(Z513,InvBal!$L$4:$P$600,4,FALSE),"Pend")</f>
        <v>Pend</v>
      </c>
      <c r="AR513" t="str">
        <f>IFERROR(VLOOKUP(D513,Manual!$C$1:$E$22,2,FALSE),"Pend")</f>
        <v>Pend</v>
      </c>
      <c r="AS513" t="str">
        <f t="shared" si="174"/>
        <v>Yes</v>
      </c>
      <c r="AT513" t="str">
        <f t="shared" si="175"/>
        <v>Yes</v>
      </c>
      <c r="AU513" s="51" t="str">
        <f t="shared" si="176"/>
        <v>Yes</v>
      </c>
      <c r="AV513" s="12">
        <f>IFERROR(VLOOKUP(D513,'Receivable Invoice Detail'!$S$1:$U$3014,3,FALSE),0)</f>
        <v>643</v>
      </c>
      <c r="AW513" s="12">
        <f t="shared" si="177"/>
        <v>9517.64</v>
      </c>
    </row>
    <row r="514" spans="1:49" ht="30" x14ac:dyDescent="0.25">
      <c r="A514" s="2">
        <v>1</v>
      </c>
      <c r="B514" s="2" t="s">
        <v>1182</v>
      </c>
      <c r="C514" s="2" t="s">
        <v>1183</v>
      </c>
      <c r="D514" s="2" t="s">
        <v>2889</v>
      </c>
      <c r="E514" s="2" t="s">
        <v>1184</v>
      </c>
      <c r="F514" s="3">
        <v>45790.437534722223</v>
      </c>
      <c r="G514" s="3">
        <v>45826.644467592603</v>
      </c>
      <c r="H514" s="4">
        <v>45903</v>
      </c>
      <c r="I514" s="2" t="s">
        <v>21</v>
      </c>
      <c r="J514" s="2" t="s">
        <v>51</v>
      </c>
      <c r="K514" s="2">
        <v>0.73586843526375945</v>
      </c>
      <c r="L514" s="2">
        <v>4966.9068883080045</v>
      </c>
      <c r="M514" s="2">
        <v>0</v>
      </c>
      <c r="N514" s="2">
        <v>3654.99</v>
      </c>
      <c r="O514" s="2">
        <v>3654.99</v>
      </c>
      <c r="P514" s="2"/>
      <c r="Q514" s="2">
        <v>3654.99</v>
      </c>
      <c r="R514" s="2" t="s">
        <v>44</v>
      </c>
      <c r="S514" s="2"/>
      <c r="T514" s="2">
        <f t="shared" si="159"/>
        <v>1</v>
      </c>
      <c r="U514" s="18">
        <f t="shared" si="160"/>
        <v>5</v>
      </c>
      <c r="V514" s="18">
        <f t="shared" si="161"/>
        <v>2025</v>
      </c>
      <c r="W514" s="18">
        <f t="shared" si="162"/>
        <v>10</v>
      </c>
      <c r="X514" s="18">
        <f t="shared" si="163"/>
        <v>2025</v>
      </c>
      <c r="Y514" s="2">
        <f t="shared" ref="Y514:Y577" si="178">IF(C514="",Y513,N514/L514)</f>
        <v>0.73586843526375945</v>
      </c>
      <c r="Z514" t="str">
        <f t="shared" ref="Z514:Z577" si="179">IF(B514="",Z513,B514)</f>
        <v>SO17163</v>
      </c>
      <c r="AA514" s="11">
        <f t="shared" si="164"/>
        <v>45790.437534722223</v>
      </c>
      <c r="AB514" s="5" t="str">
        <f t="shared" si="165"/>
        <v>INV13440</v>
      </c>
      <c r="AC514" s="5" t="str">
        <f>IFERROR(VLOOKUP(D514,CAARStatus!$A$2:$AA$1600,22,FALSE),"Not invoiced")</f>
        <v>Paid</v>
      </c>
      <c r="AD514" s="11">
        <f>IF(AC514="Paid",IFERROR(VLOOKUP(D514,CAARStatus!$A$2:$AA$1600,6,FALSE),"Pending"),"Pending")</f>
        <v>45954</v>
      </c>
      <c r="AE514" s="5" t="str">
        <f t="shared" si="166"/>
        <v>NC07-00334898</v>
      </c>
      <c r="AF514" s="5" t="str">
        <f t="shared" si="167"/>
        <v>Motion Industries Inc. (U.S.) - Charleston</v>
      </c>
      <c r="AG514" s="5" t="str">
        <f t="shared" si="168"/>
        <v>USD</v>
      </c>
      <c r="AH514" s="5">
        <f t="shared" si="169"/>
        <v>4966.9068883080045</v>
      </c>
      <c r="AI514" s="12">
        <f>IF(L514-N514=0,VLOOKUP(U514,rate!A$4:B$15,2,FALSE)*AH514,IF(AG514="USD",O514,AH514*Y514))</f>
        <v>3654.99</v>
      </c>
      <c r="AJ514" s="13">
        <f t="shared" si="170"/>
        <v>0.73586843526375945</v>
      </c>
      <c r="AK514" s="13">
        <f>-IF(AG514="CAD",IFERROR(VLOOKUP(D514,CAARStatus!$A$1:$Y$1600,16,FALSE),0),0)</f>
        <v>0</v>
      </c>
      <c r="AL514" s="13">
        <f>-IF(AG514="USD",IFERROR(VLOOKUP(D514,CAARStatus!$A$1:$Y$1600,11,FALSE),0),0)</f>
        <v>-3654.99</v>
      </c>
      <c r="AM514" s="22" t="str">
        <f t="shared" si="171"/>
        <v/>
      </c>
      <c r="AN514" s="12">
        <f t="shared" si="172"/>
        <v>0</v>
      </c>
      <c r="AO514" s="12" t="str">
        <f t="shared" si="173"/>
        <v>Yes</v>
      </c>
      <c r="AP514" t="str">
        <f t="shared" ref="AP514:AP577" si="180">IF(AND(AO514="Pend",T514&lt;2),"Pend",IF(T514=1,"Yes","XX"))</f>
        <v>Yes</v>
      </c>
      <c r="AQ514" t="str">
        <f>IFERROR(VLOOKUP(Z514,InvBal!$L$4:$P$600,4,FALSE),"Pend")</f>
        <v>Pend</v>
      </c>
      <c r="AR514" t="str">
        <f>IFERROR(VLOOKUP(D514,Manual!$C$1:$E$22,2,FALSE),"Pend")</f>
        <v>Pend</v>
      </c>
      <c r="AS514" t="str">
        <f t="shared" si="174"/>
        <v>Yes</v>
      </c>
      <c r="AT514" t="str">
        <f t="shared" si="175"/>
        <v>Yes</v>
      </c>
      <c r="AU514" s="51" t="str">
        <f t="shared" si="176"/>
        <v>Yes</v>
      </c>
      <c r="AV514" s="12">
        <f>IFERROR(VLOOKUP(D514,'Receivable Invoice Detail'!$S$1:$U$3014,3,FALSE),0)</f>
        <v>0</v>
      </c>
      <c r="AW514" s="12">
        <f t="shared" si="177"/>
        <v>3654.99</v>
      </c>
    </row>
    <row r="515" spans="1:49" x14ac:dyDescent="0.25">
      <c r="A515" s="2">
        <v>1</v>
      </c>
      <c r="B515" s="2" t="s">
        <v>1409</v>
      </c>
      <c r="C515" s="2" t="s">
        <v>1410</v>
      </c>
      <c r="D515" s="2" t="s">
        <v>2762</v>
      </c>
      <c r="E515" s="2" t="s">
        <v>1411</v>
      </c>
      <c r="F515" s="3">
        <v>45790.53638888889</v>
      </c>
      <c r="G515" s="3">
        <v>45792.50885416667</v>
      </c>
      <c r="H515" s="4">
        <v>45793</v>
      </c>
      <c r="I515" s="2" t="s">
        <v>21</v>
      </c>
      <c r="J515" s="2" t="s">
        <v>22</v>
      </c>
      <c r="K515" s="2">
        <v>1</v>
      </c>
      <c r="L515" s="2">
        <v>3106.74</v>
      </c>
      <c r="M515" s="2">
        <v>0</v>
      </c>
      <c r="N515" s="2">
        <v>2220.6993945758859</v>
      </c>
      <c r="O515" s="2">
        <v>2749.33</v>
      </c>
      <c r="P515" s="2">
        <v>357.41</v>
      </c>
      <c r="Q515" s="2">
        <v>3106.74</v>
      </c>
      <c r="R515" s="2" t="s">
        <v>44</v>
      </c>
      <c r="S515" s="2"/>
      <c r="T515" s="2">
        <f t="shared" ref="T515:T578" si="181">IF(A515="",T514,A515)</f>
        <v>1</v>
      </c>
      <c r="U515" s="18">
        <f t="shared" ref="U515:U578" si="182">IF(F515="",U514,MONTH(F515))</f>
        <v>5</v>
      </c>
      <c r="V515" s="18">
        <f t="shared" ref="V515:V578" si="183">IF(F515="",V514,YEAR(F515))</f>
        <v>2025</v>
      </c>
      <c r="W515" s="18">
        <f t="shared" ref="W515:W578" si="184">IF(AC515="Paid",MONTH(AD515),"")</f>
        <v>7</v>
      </c>
      <c r="X515" s="18">
        <f t="shared" ref="X515:X578" si="185">IF(AC515="Paid",YEAR(AD515),"")</f>
        <v>2025</v>
      </c>
      <c r="Y515" s="2">
        <f t="shared" si="178"/>
        <v>0.71480052871366317</v>
      </c>
      <c r="Z515" t="str">
        <f t="shared" si="179"/>
        <v>SO17164</v>
      </c>
      <c r="AA515" s="11">
        <f t="shared" ref="AA515:AA578" si="186">IF(F515="",AA514,F515)</f>
        <v>45790.53638888889</v>
      </c>
      <c r="AB515" s="5" t="str">
        <f t="shared" ref="AB515:AB578" si="187">IF(D515="","No Inv",D515)</f>
        <v>INV12997</v>
      </c>
      <c r="AC515" s="5" t="str">
        <f>IFERROR(VLOOKUP(D515,CAARStatus!$A$2:$AA$1600,22,FALSE),"Not invoiced")</f>
        <v>Paid</v>
      </c>
      <c r="AD515" s="11">
        <f>IF(AC515="Paid",IFERROR(VLOOKUP(D515,CAARStatus!$A$2:$AA$1600,6,FALSE),"Pending"),"Pending")</f>
        <v>45840</v>
      </c>
      <c r="AE515" s="5" t="str">
        <f t="shared" ref="AE515:AE578" si="188">IF(C515="",AE514,C515)</f>
        <v>029766</v>
      </c>
      <c r="AF515" s="5" t="str">
        <f t="shared" ref="AF515:AF578" si="189">IF(E515="",AF514,E515)</f>
        <v>Windsor Pump Company, Ltd.</v>
      </c>
      <c r="AG515" s="5" t="str">
        <f t="shared" ref="AG515:AG578" si="190">IF(J515="",AG514,J515)</f>
        <v>CAD</v>
      </c>
      <c r="AH515" s="5">
        <f t="shared" ref="AH515:AH578" si="191">IFERROR(IF(AG515="CAD",O515,O515/K515),0)</f>
        <v>2749.33</v>
      </c>
      <c r="AI515" s="12">
        <f>IF(L515-N515=0,VLOOKUP(U515,rate!A$4:B$15,2,FALSE)*AH515,IF(AG515="USD",O515,AH515*Y515))</f>
        <v>1965.2225376083354</v>
      </c>
      <c r="AJ515" s="13">
        <f t="shared" ref="AJ515:AJ578" si="192">IFERROR(AI515/AH515,0)</f>
        <v>0.71480052871366317</v>
      </c>
      <c r="AK515" s="13">
        <f>-IF(AG515="CAD",IFERROR(VLOOKUP(D515,CAARStatus!$A$1:$Y$1600,16,FALSE),0),0)</f>
        <v>-2749.33</v>
      </c>
      <c r="AL515" s="13">
        <f>-IF(AG515="USD",IFERROR(VLOOKUP(D515,CAARStatus!$A$1:$Y$1600,11,FALSE),0),0)</f>
        <v>0</v>
      </c>
      <c r="AM515" s="22">
        <f t="shared" ref="AM515:AM578" si="193">IF(AG515="CAD",AH515+AK515,"")</f>
        <v>0</v>
      </c>
      <c r="AN515" s="12" t="str">
        <f t="shared" ref="AN515:AN578" si="194">IF(AG515="USD",AI515+AL515,"")</f>
        <v/>
      </c>
      <c r="AO515" s="12" t="str">
        <f t="shared" ref="AO515:AO578" si="195">IF(AC515="Paid","Yes","Pend")</f>
        <v>Yes</v>
      </c>
      <c r="AP515" t="str">
        <f t="shared" si="180"/>
        <v>Yes</v>
      </c>
      <c r="AQ515" t="str">
        <f>IFERROR(VLOOKUP(Z515,InvBal!$L$4:$P$600,4,FALSE),"Pend")</f>
        <v>Pend</v>
      </c>
      <c r="AR515" t="str">
        <f>IFERROR(VLOOKUP(D515,Manual!$C$1:$E$22,2,FALSE),"Pend")</f>
        <v>Pend</v>
      </c>
      <c r="AS515" t="str">
        <f t="shared" ref="AS515:AS578" si="196">IF(OR(AP515="Yes",AQ515="Yes",AR515="Yes"),"Yes","")</f>
        <v>Yes</v>
      </c>
      <c r="AT515" t="str">
        <f t="shared" ref="AT515:AT578" si="197">IF(R515="Delivered","Yes","")</f>
        <v>Yes</v>
      </c>
      <c r="AU515" s="51" t="str">
        <f t="shared" ref="AU515:AU578" si="198">IF(AND(AS515="Yes",AT515="Yes"),"Yes","")</f>
        <v>Yes</v>
      </c>
      <c r="AV515" s="12">
        <f>IFERROR(VLOOKUP(D515,'Receivable Invoice Detail'!$S$1:$U$3014,3,FALSE),0)</f>
        <v>0</v>
      </c>
      <c r="AW515" s="12">
        <f t="shared" ref="AW515:AW578" si="199">IF(AU515="Yes",AI515-AV515,0)</f>
        <v>1965.2225376083354</v>
      </c>
    </row>
    <row r="516" spans="1:49" ht="30" x14ac:dyDescent="0.25">
      <c r="A516" s="2">
        <v>1</v>
      </c>
      <c r="B516" s="2" t="s">
        <v>1426</v>
      </c>
      <c r="C516" s="2" t="s">
        <v>1427</v>
      </c>
      <c r="D516" s="2" t="s">
        <v>2754</v>
      </c>
      <c r="E516" s="2" t="s">
        <v>129</v>
      </c>
      <c r="F516" s="3">
        <v>45790.569108796299</v>
      </c>
      <c r="G516" s="3">
        <v>45790.573055555556</v>
      </c>
      <c r="H516" s="4">
        <v>45842</v>
      </c>
      <c r="I516" s="2" t="s">
        <v>130</v>
      </c>
      <c r="J516" s="2" t="s">
        <v>51</v>
      </c>
      <c r="K516" s="2">
        <v>0.71404355329148439</v>
      </c>
      <c r="L516" s="2">
        <v>17040.97732401601</v>
      </c>
      <c r="M516" s="2">
        <v>0</v>
      </c>
      <c r="N516" s="2">
        <v>12168</v>
      </c>
      <c r="O516" s="2">
        <v>12168</v>
      </c>
      <c r="P516" s="2"/>
      <c r="Q516" s="2">
        <v>12168</v>
      </c>
      <c r="R516" s="2" t="s">
        <v>44</v>
      </c>
      <c r="S516" s="2"/>
      <c r="T516" s="2">
        <f t="shared" si="181"/>
        <v>1</v>
      </c>
      <c r="U516" s="18">
        <f t="shared" si="182"/>
        <v>5</v>
      </c>
      <c r="V516" s="18">
        <f t="shared" si="183"/>
        <v>2025</v>
      </c>
      <c r="W516" s="18" t="str">
        <f t="shared" si="184"/>
        <v/>
      </c>
      <c r="X516" s="18" t="str">
        <f t="shared" si="185"/>
        <v/>
      </c>
      <c r="Y516" s="2">
        <f t="shared" si="178"/>
        <v>0.71404355329148417</v>
      </c>
      <c r="Z516" t="str">
        <f t="shared" si="179"/>
        <v>SO17165</v>
      </c>
      <c r="AA516" s="11">
        <f t="shared" si="186"/>
        <v>45790.569108796299</v>
      </c>
      <c r="AB516" s="5" t="str">
        <f t="shared" si="187"/>
        <v>INV13347</v>
      </c>
      <c r="AC516" s="5" t="str">
        <f>IFERROR(VLOOKUP(D516,CAARStatus!$A$2:$AA$1600,22,FALSE),"Not invoiced")</f>
        <v>Approved</v>
      </c>
      <c r="AD516" s="11" t="str">
        <f>IF(AC516="Paid",IFERROR(VLOOKUP(D516,CAARStatus!$A$2:$AA$1600,6,FALSE),"Pending"),"Pending")</f>
        <v>Pending</v>
      </c>
      <c r="AE516" s="5" t="str">
        <f t="shared" si="188"/>
        <v>OC00167</v>
      </c>
      <c r="AF516" s="5" t="str">
        <f t="shared" si="189"/>
        <v>Dynapro Pumps México S de RL de CV</v>
      </c>
      <c r="AG516" s="5" t="str">
        <f t="shared" si="190"/>
        <v>USD</v>
      </c>
      <c r="AH516" s="5">
        <f t="shared" si="191"/>
        <v>17040.977324016007</v>
      </c>
      <c r="AI516" s="12">
        <f>IF(L516-N516=0,VLOOKUP(U516,rate!A$4:B$15,2,FALSE)*AH516,IF(AG516="USD",O516,AH516*Y516))</f>
        <v>12168</v>
      </c>
      <c r="AJ516" s="13">
        <f t="shared" si="192"/>
        <v>0.71404355329148439</v>
      </c>
      <c r="AK516" s="13">
        <f>-IF(AG516="CAD",IFERROR(VLOOKUP(D516,CAARStatus!$A$1:$Y$1600,16,FALSE),0),0)</f>
        <v>0</v>
      </c>
      <c r="AL516" s="13">
        <f>-IF(AG516="USD",IFERROR(VLOOKUP(D516,CAARStatus!$A$1:$Y$1600,11,FALSE),0),0)</f>
        <v>-12168</v>
      </c>
      <c r="AM516" s="22" t="str">
        <f t="shared" si="193"/>
        <v/>
      </c>
      <c r="AN516" s="12">
        <f t="shared" si="194"/>
        <v>0</v>
      </c>
      <c r="AO516" s="12" t="str">
        <f t="shared" si="195"/>
        <v>Pend</v>
      </c>
      <c r="AP516" t="str">
        <f t="shared" si="180"/>
        <v>Pend</v>
      </c>
      <c r="AQ516" t="str">
        <f>IFERROR(VLOOKUP(Z516,InvBal!$L$4:$P$600,4,FALSE),"Pend")</f>
        <v>Pend</v>
      </c>
      <c r="AR516" t="str">
        <f>IFERROR(VLOOKUP(D516,Manual!$C$1:$E$22,2,FALSE),"Pend")</f>
        <v>Pend</v>
      </c>
      <c r="AS516" t="str">
        <f t="shared" si="196"/>
        <v/>
      </c>
      <c r="AT516" t="str">
        <f t="shared" si="197"/>
        <v>Yes</v>
      </c>
      <c r="AU516" s="51" t="str">
        <f t="shared" si="198"/>
        <v/>
      </c>
      <c r="AV516" s="12">
        <f>IFERROR(VLOOKUP(D516,'Receivable Invoice Detail'!$S$1:$U$3014,3,FALSE),0)</f>
        <v>0</v>
      </c>
      <c r="AW516" s="12">
        <f t="shared" si="199"/>
        <v>0</v>
      </c>
    </row>
    <row r="517" spans="1:49" x14ac:dyDescent="0.25">
      <c r="A517" s="2">
        <v>2</v>
      </c>
      <c r="B517" s="2" t="s">
        <v>1327</v>
      </c>
      <c r="C517" s="2" t="s">
        <v>1328</v>
      </c>
      <c r="D517" s="2" t="s">
        <v>2808</v>
      </c>
      <c r="E517" s="2" t="s">
        <v>245</v>
      </c>
      <c r="F517" s="3">
        <v>45790.653009259258</v>
      </c>
      <c r="G517" s="3">
        <v>45805.542997685188</v>
      </c>
      <c r="H517" s="4">
        <v>45882</v>
      </c>
      <c r="I517" s="2" t="s">
        <v>21</v>
      </c>
      <c r="J517" s="2" t="s">
        <v>22</v>
      </c>
      <c r="K517" s="2">
        <v>1</v>
      </c>
      <c r="L517" s="2">
        <v>4559.7299999999996</v>
      </c>
      <c r="M517" s="2">
        <v>0</v>
      </c>
      <c r="N517" s="2">
        <v>3299.1313442367841</v>
      </c>
      <c r="O517" s="2">
        <v>4342.6000000000004</v>
      </c>
      <c r="P517" s="2">
        <v>217.13</v>
      </c>
      <c r="Q517" s="2">
        <v>4559.7299999999996</v>
      </c>
      <c r="R517" s="2" t="s">
        <v>44</v>
      </c>
      <c r="S517" s="2"/>
      <c r="T517" s="2">
        <f t="shared" si="181"/>
        <v>2</v>
      </c>
      <c r="U517" s="18">
        <f t="shared" si="182"/>
        <v>5</v>
      </c>
      <c r="V517" s="18">
        <f t="shared" si="183"/>
        <v>2025</v>
      </c>
      <c r="W517" s="18" t="str">
        <f t="shared" si="184"/>
        <v/>
      </c>
      <c r="X517" s="18" t="str">
        <f t="shared" si="185"/>
        <v/>
      </c>
      <c r="Y517" s="2">
        <f t="shared" si="178"/>
        <v>0.72353655682173823</v>
      </c>
      <c r="Z517" t="str">
        <f t="shared" si="179"/>
        <v>SO17169</v>
      </c>
      <c r="AA517" s="11">
        <f t="shared" si="186"/>
        <v>45790.653009259258</v>
      </c>
      <c r="AB517" s="5" t="str">
        <f t="shared" si="187"/>
        <v>INV13445</v>
      </c>
      <c r="AC517" s="5" t="str">
        <f>IFERROR(VLOOKUP(D517,CAARStatus!$A$2:$AA$1600,22,FALSE),"Not invoiced")</f>
        <v>Not invoiced</v>
      </c>
      <c r="AD517" s="11" t="str">
        <f>IF(AC517="Paid",IFERROR(VLOOKUP(D517,CAARStatus!$A$2:$AA$1600,6,FALSE),"Pending"),"Pending")</f>
        <v>Pending</v>
      </c>
      <c r="AE517" s="5" t="str">
        <f t="shared" si="188"/>
        <v>21599</v>
      </c>
      <c r="AF517" s="5" t="str">
        <f t="shared" si="189"/>
        <v>DRN Industriel</v>
      </c>
      <c r="AG517" s="5" t="str">
        <f t="shared" si="190"/>
        <v>CAD</v>
      </c>
      <c r="AH517" s="5">
        <f t="shared" si="191"/>
        <v>4342.6000000000004</v>
      </c>
      <c r="AI517" s="12">
        <f>IF(L517-N517=0,VLOOKUP(U517,rate!A$4:B$15,2,FALSE)*AH517,IF(AG517="USD",O517,AH517*Y517))</f>
        <v>3142.0298516540806</v>
      </c>
      <c r="AJ517" s="13">
        <f t="shared" si="192"/>
        <v>0.72353655682173823</v>
      </c>
      <c r="AK517" s="61">
        <f>IF(AC517="Paid",-IF(AG517="CAD",IFERROR(VLOOKUP(D517,CAARStatus!$A$1:$Y$1600,16,FALSE),0),0),0)</f>
        <v>0</v>
      </c>
      <c r="AL517" s="61">
        <f>IF(AC517="Paid",-IF(AG517="USD",IFERROR(VLOOKUP(D517,CAARStatus!$A$1:$Y$1600,11,FALSE),0),0),0)</f>
        <v>0</v>
      </c>
      <c r="AM517" s="22">
        <f t="shared" si="193"/>
        <v>4342.6000000000004</v>
      </c>
      <c r="AN517" s="12" t="str">
        <f t="shared" si="194"/>
        <v/>
      </c>
      <c r="AO517" s="12" t="str">
        <f t="shared" si="195"/>
        <v>Pend</v>
      </c>
      <c r="AP517" t="str">
        <f t="shared" si="180"/>
        <v>XX</v>
      </c>
      <c r="AQ517">
        <f>IFERROR(VLOOKUP(Z517,InvBal!$L$4:$P$600,4,FALSE),"Pend")</f>
        <v>0</v>
      </c>
      <c r="AR517" t="str">
        <f>IFERROR(VLOOKUP(D517,Manual!$C$1:$E$22,2,FALSE),"Pend")</f>
        <v>Pend</v>
      </c>
      <c r="AS517" t="str">
        <f t="shared" si="196"/>
        <v/>
      </c>
      <c r="AT517" t="str">
        <f t="shared" si="197"/>
        <v>Yes</v>
      </c>
      <c r="AU517" s="51" t="str">
        <f t="shared" si="198"/>
        <v/>
      </c>
      <c r="AV517" s="12">
        <f>IFERROR(VLOOKUP(D517,'Receivable Invoice Detail'!$S$1:$U$3014,3,FALSE),0)</f>
        <v>0</v>
      </c>
      <c r="AW517" s="12">
        <f t="shared" si="199"/>
        <v>0</v>
      </c>
    </row>
    <row r="518" spans="1:49" x14ac:dyDescent="0.25">
      <c r="A518" s="2"/>
      <c r="B518" s="2"/>
      <c r="C518" s="2"/>
      <c r="D518" s="2" t="s">
        <v>2807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>
        <f t="shared" si="181"/>
        <v>2</v>
      </c>
      <c r="U518" s="18">
        <f t="shared" si="182"/>
        <v>5</v>
      </c>
      <c r="V518" s="18">
        <f t="shared" si="183"/>
        <v>2025</v>
      </c>
      <c r="W518" s="18">
        <f t="shared" si="184"/>
        <v>9</v>
      </c>
      <c r="X518" s="18">
        <f t="shared" si="185"/>
        <v>2025</v>
      </c>
      <c r="Y518" s="2">
        <f t="shared" si="178"/>
        <v>0.72353655682173823</v>
      </c>
      <c r="Z518" t="str">
        <f t="shared" si="179"/>
        <v>SO17169</v>
      </c>
      <c r="AA518" s="11">
        <f t="shared" si="186"/>
        <v>45790.653009259258</v>
      </c>
      <c r="AB518" s="5" t="str">
        <f t="shared" si="187"/>
        <v>INV13213</v>
      </c>
      <c r="AC518" s="5" t="str">
        <f>IFERROR(VLOOKUP(D518,CAARStatus!$A$2:$AA$1600,22,FALSE),"Not invoiced")</f>
        <v>Paid</v>
      </c>
      <c r="AD518" s="11">
        <f>IF(AC518="Paid",IFERROR(VLOOKUP(D518,CAARStatus!$A$2:$AA$1600,6,FALSE),"Pending"),"Pending")</f>
        <v>45904</v>
      </c>
      <c r="AE518" s="5" t="str">
        <f t="shared" si="188"/>
        <v>21599</v>
      </c>
      <c r="AF518" s="5" t="str">
        <f t="shared" si="189"/>
        <v>DRN Industriel</v>
      </c>
      <c r="AG518" s="5" t="str">
        <f t="shared" si="190"/>
        <v>CAD</v>
      </c>
      <c r="AH518" s="5">
        <f t="shared" si="191"/>
        <v>0</v>
      </c>
      <c r="AI518" s="12">
        <f>IF(L518-N518=0,VLOOKUP(U518,rate!A$4:B$15,2,FALSE)*AH518,IF(AG518="USD",O518,AH518*Y518))</f>
        <v>0</v>
      </c>
      <c r="AJ518" s="13">
        <f t="shared" si="192"/>
        <v>0</v>
      </c>
      <c r="AK518" s="13">
        <f>-IF(AG518="CAD",IFERROR(VLOOKUP(D518,CAARStatus!$A$1:$Y$1600,16,FALSE),0),0)</f>
        <v>-2494.36</v>
      </c>
      <c r="AL518" s="13">
        <f>-IF(AG518="USD",IFERROR(VLOOKUP(D518,CAARStatus!$A$1:$Y$1600,11,FALSE),0),0)</f>
        <v>0</v>
      </c>
      <c r="AM518" s="22">
        <f t="shared" si="193"/>
        <v>-2494.36</v>
      </c>
      <c r="AN518" s="12" t="str">
        <f t="shared" si="194"/>
        <v/>
      </c>
      <c r="AO518" s="12" t="str">
        <f t="shared" si="195"/>
        <v>Yes</v>
      </c>
      <c r="AP518" t="str">
        <f t="shared" si="180"/>
        <v>XX</v>
      </c>
      <c r="AQ518">
        <f>IFERROR(VLOOKUP(Z518,InvBal!$L$4:$P$600,4,FALSE),"Pend")</f>
        <v>0</v>
      </c>
      <c r="AR518" t="str">
        <f>IFERROR(VLOOKUP(D518,Manual!$C$1:$E$22,2,FALSE),"Pend")</f>
        <v>Pend</v>
      </c>
      <c r="AS518" t="str">
        <f t="shared" si="196"/>
        <v/>
      </c>
      <c r="AT518" t="str">
        <f t="shared" si="197"/>
        <v/>
      </c>
      <c r="AU518" s="51" t="str">
        <f t="shared" si="198"/>
        <v/>
      </c>
      <c r="AV518" s="12">
        <f>IFERROR(VLOOKUP(D518,'Receivable Invoice Detail'!$S$1:$U$3014,3,FALSE),0)</f>
        <v>0</v>
      </c>
      <c r="AW518" s="12">
        <f t="shared" si="199"/>
        <v>0</v>
      </c>
    </row>
    <row r="519" spans="1:49" x14ac:dyDescent="0.25">
      <c r="A519" s="2">
        <v>1</v>
      </c>
      <c r="B519" s="2" t="s">
        <v>1424</v>
      </c>
      <c r="C519" s="2" t="s">
        <v>1425</v>
      </c>
      <c r="D519" s="2" t="s">
        <v>2755</v>
      </c>
      <c r="E519" s="2" t="s">
        <v>146</v>
      </c>
      <c r="F519" s="3">
        <v>45790.659282407411</v>
      </c>
      <c r="G519" s="3">
        <v>45790.661759259259</v>
      </c>
      <c r="H519" s="4">
        <v>45791</v>
      </c>
      <c r="I519" s="2" t="s">
        <v>21</v>
      </c>
      <c r="J519" s="2" t="s">
        <v>22</v>
      </c>
      <c r="K519" s="2">
        <v>1</v>
      </c>
      <c r="L519" s="2">
        <v>2219.0500000000002</v>
      </c>
      <c r="M519" s="2">
        <v>0</v>
      </c>
      <c r="N519" s="2">
        <v>1589.727809070853</v>
      </c>
      <c r="O519" s="2">
        <v>2113.38</v>
      </c>
      <c r="P519" s="2">
        <v>105.67</v>
      </c>
      <c r="Q519" s="2">
        <v>2219.0500000000002</v>
      </c>
      <c r="R519" s="2" t="s">
        <v>44</v>
      </c>
      <c r="S519" s="2"/>
      <c r="T519" s="2">
        <f t="shared" si="181"/>
        <v>1</v>
      </c>
      <c r="U519" s="18">
        <f t="shared" si="182"/>
        <v>5</v>
      </c>
      <c r="V519" s="18">
        <f t="shared" si="183"/>
        <v>2025</v>
      </c>
      <c r="W519" s="18">
        <f t="shared" si="184"/>
        <v>7</v>
      </c>
      <c r="X519" s="18">
        <f t="shared" si="185"/>
        <v>2025</v>
      </c>
      <c r="Y519" s="2">
        <f t="shared" si="178"/>
        <v>0.71640017533217049</v>
      </c>
      <c r="Z519" t="str">
        <f t="shared" si="179"/>
        <v>SO17170</v>
      </c>
      <c r="AA519" s="11">
        <f t="shared" si="186"/>
        <v>45790.659282407411</v>
      </c>
      <c r="AB519" s="5" t="str">
        <f t="shared" si="187"/>
        <v>INV12990</v>
      </c>
      <c r="AC519" s="5" t="str">
        <f>IFERROR(VLOOKUP(D519,CAARStatus!$A$2:$AA$1600,22,FALSE),"Not invoiced")</f>
        <v>Paid</v>
      </c>
      <c r="AD519" s="11">
        <f>IF(AC519="Paid",IFERROR(VLOOKUP(D519,CAARStatus!$A$2:$AA$1600,6,FALSE),"Pending"),"Pending")</f>
        <v>45860</v>
      </c>
      <c r="AE519" s="5" t="str">
        <f t="shared" si="188"/>
        <v>7133</v>
      </c>
      <c r="AF519" s="5" t="str">
        <f t="shared" si="189"/>
        <v>Hyperflo</v>
      </c>
      <c r="AG519" s="5" t="str">
        <f t="shared" si="190"/>
        <v>CAD</v>
      </c>
      <c r="AH519" s="5">
        <f t="shared" si="191"/>
        <v>2113.38</v>
      </c>
      <c r="AI519" s="12">
        <f>IF(L519-N519=0,VLOOKUP(U519,rate!A$4:B$15,2,FALSE)*AH519,IF(AG519="USD",O519,AH519*Y519))</f>
        <v>1514.0258025435026</v>
      </c>
      <c r="AJ519" s="13">
        <f t="shared" si="192"/>
        <v>0.71640017533217049</v>
      </c>
      <c r="AK519" s="13">
        <f>-IF(AG519="CAD",IFERROR(VLOOKUP(D519,CAARStatus!$A$1:$Y$1600,16,FALSE),0),0)</f>
        <v>-2113.38</v>
      </c>
      <c r="AL519" s="13">
        <f>-IF(AG519="USD",IFERROR(VLOOKUP(D519,CAARStatus!$A$1:$Y$1600,11,FALSE),0),0)</f>
        <v>0</v>
      </c>
      <c r="AM519" s="22">
        <f t="shared" si="193"/>
        <v>0</v>
      </c>
      <c r="AN519" s="12" t="str">
        <f t="shared" si="194"/>
        <v/>
      </c>
      <c r="AO519" s="12" t="str">
        <f t="shared" si="195"/>
        <v>Yes</v>
      </c>
      <c r="AP519" t="str">
        <f t="shared" si="180"/>
        <v>Yes</v>
      </c>
      <c r="AQ519" t="str">
        <f>IFERROR(VLOOKUP(Z519,InvBal!$L$4:$P$600,4,FALSE),"Pend")</f>
        <v>Pend</v>
      </c>
      <c r="AR519" t="str">
        <f>IFERROR(VLOOKUP(D519,Manual!$C$1:$E$22,2,FALSE),"Pend")</f>
        <v>Pend</v>
      </c>
      <c r="AS519" t="str">
        <f t="shared" si="196"/>
        <v>Yes</v>
      </c>
      <c r="AT519" t="str">
        <f t="shared" si="197"/>
        <v>Yes</v>
      </c>
      <c r="AU519" s="51" t="str">
        <f t="shared" si="198"/>
        <v>Yes</v>
      </c>
      <c r="AV519" s="12">
        <f>IFERROR(VLOOKUP(D519,'Receivable Invoice Detail'!$S$1:$U$3014,3,FALSE),0)</f>
        <v>0</v>
      </c>
      <c r="AW519" s="12">
        <f t="shared" si="199"/>
        <v>1514.0258025435026</v>
      </c>
    </row>
    <row r="520" spans="1:49" x14ac:dyDescent="0.25">
      <c r="A520" s="2">
        <v>2</v>
      </c>
      <c r="B520" s="2" t="s">
        <v>1421</v>
      </c>
      <c r="C520" s="2" t="s">
        <v>1422</v>
      </c>
      <c r="D520" s="2" t="s">
        <v>2757</v>
      </c>
      <c r="E520" s="2" t="s">
        <v>1423</v>
      </c>
      <c r="F520" s="3">
        <v>45790.745405092603</v>
      </c>
      <c r="G520" s="3">
        <v>45790.743969907409</v>
      </c>
      <c r="H520" s="4">
        <v>45807</v>
      </c>
      <c r="I520" s="2" t="s">
        <v>71</v>
      </c>
      <c r="J520" s="2" t="s">
        <v>51</v>
      </c>
      <c r="K520" s="2">
        <v>0.71404355329148439</v>
      </c>
      <c r="L520" s="2">
        <v>14073.231182717331</v>
      </c>
      <c r="M520" s="2">
        <v>0</v>
      </c>
      <c r="N520" s="2">
        <v>10048.9</v>
      </c>
      <c r="O520" s="2">
        <v>10048.9</v>
      </c>
      <c r="P520" s="2"/>
      <c r="Q520" s="2">
        <v>10048.9</v>
      </c>
      <c r="R520" s="2" t="s">
        <v>44</v>
      </c>
      <c r="S520" s="2"/>
      <c r="T520" s="2">
        <f t="shared" si="181"/>
        <v>2</v>
      </c>
      <c r="U520" s="18">
        <f t="shared" si="182"/>
        <v>5</v>
      </c>
      <c r="V520" s="18">
        <f t="shared" si="183"/>
        <v>2025</v>
      </c>
      <c r="W520" s="18">
        <f t="shared" si="184"/>
        <v>11</v>
      </c>
      <c r="X520" s="18">
        <f t="shared" si="185"/>
        <v>2025</v>
      </c>
      <c r="Y520" s="17">
        <f t="shared" si="178"/>
        <v>0.71404355329148417</v>
      </c>
      <c r="Z520" t="str">
        <f t="shared" si="179"/>
        <v>SO17172</v>
      </c>
      <c r="AA520" s="11">
        <f t="shared" si="186"/>
        <v>45790.745405092603</v>
      </c>
      <c r="AB520" s="5" t="str">
        <f t="shared" si="187"/>
        <v>INV13305</v>
      </c>
      <c r="AC520" s="5" t="str">
        <f>IFERROR(VLOOKUP(D520,CAARStatus!$A$2:$AA$1600,22,FALSE),"Not invoiced")</f>
        <v>Paid</v>
      </c>
      <c r="AD520" s="11">
        <f>IF(AC520="Paid",IFERROR(VLOOKUP(D520,CAARStatus!$A$2:$AA$1600,6,FALSE),"Pending"),"Pending")</f>
        <v>45974</v>
      </c>
      <c r="AE520" s="5" t="str">
        <f t="shared" si="188"/>
        <v>P359867</v>
      </c>
      <c r="AF520" s="5" t="str">
        <f t="shared" si="189"/>
        <v>Covia Corp - Camden</v>
      </c>
      <c r="AG520" s="5" t="str">
        <f t="shared" si="190"/>
        <v>USD</v>
      </c>
      <c r="AH520" s="5">
        <f t="shared" si="191"/>
        <v>14073.231182717327</v>
      </c>
      <c r="AI520" s="12">
        <f>IF(L520-N520=0,VLOOKUP(U520,rate!A$4:B$15,2,FALSE)*AH520,IF(AG520="USD",O520,AH520*Y520))</f>
        <v>10048.9</v>
      </c>
      <c r="AJ520" s="13">
        <f t="shared" si="192"/>
        <v>0.71404355329148439</v>
      </c>
      <c r="AK520" s="13">
        <f>-IF(AG520="CAD",IFERROR(VLOOKUP(D520,CAARStatus!$A$1:$Y$1600,16,FALSE),0),0)</f>
        <v>0</v>
      </c>
      <c r="AL520" s="13">
        <f>-IF(AG520="USD",IFERROR(VLOOKUP(D520,CAARStatus!$A$1:$Y$1600,11,FALSE),0),0)</f>
        <v>-6756.15</v>
      </c>
      <c r="AM520" s="22" t="str">
        <f t="shared" si="193"/>
        <v/>
      </c>
      <c r="AN520" s="12">
        <f t="shared" si="194"/>
        <v>3292.75</v>
      </c>
      <c r="AO520" s="12" t="str">
        <f t="shared" si="195"/>
        <v>Yes</v>
      </c>
      <c r="AP520" t="str">
        <f t="shared" si="180"/>
        <v>XX</v>
      </c>
      <c r="AQ520">
        <f>IFERROR(VLOOKUP(Z520,InvBal!$L$4:$P$600,4,FALSE),"Pend")</f>
        <v>0</v>
      </c>
      <c r="AR520" t="str">
        <f>IFERROR(VLOOKUP(D520,Manual!$C$1:$E$22,2,FALSE),"Pend")</f>
        <v>Yes</v>
      </c>
      <c r="AS520" t="str">
        <f t="shared" si="196"/>
        <v>Yes</v>
      </c>
      <c r="AT520" t="str">
        <f t="shared" si="197"/>
        <v>Yes</v>
      </c>
      <c r="AU520" s="51" t="str">
        <f t="shared" si="198"/>
        <v>Yes</v>
      </c>
      <c r="AV520" s="12">
        <f>IFERROR(VLOOKUP(D520,'Receivable Invoice Detail'!$S$1:$U$3014,3,FALSE),0)</f>
        <v>540.91999999999996</v>
      </c>
      <c r="AW520" s="12">
        <f t="shared" si="199"/>
        <v>9507.98</v>
      </c>
    </row>
    <row r="521" spans="1:49" x14ac:dyDescent="0.25">
      <c r="A521" s="2"/>
      <c r="B521" s="2"/>
      <c r="C521" s="2"/>
      <c r="D521" s="2" t="s">
        <v>2756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>
        <f t="shared" si="181"/>
        <v>2</v>
      </c>
      <c r="U521" s="18">
        <f t="shared" si="182"/>
        <v>5</v>
      </c>
      <c r="V521" s="18">
        <f t="shared" si="183"/>
        <v>2025</v>
      </c>
      <c r="W521" s="18">
        <f t="shared" si="184"/>
        <v>9</v>
      </c>
      <c r="X521" s="18">
        <f t="shared" si="185"/>
        <v>2025</v>
      </c>
      <c r="Y521" s="17">
        <f t="shared" si="178"/>
        <v>0.71404355329148417</v>
      </c>
      <c r="Z521" t="str">
        <f t="shared" si="179"/>
        <v>SO17172</v>
      </c>
      <c r="AA521" s="11">
        <f t="shared" si="186"/>
        <v>45790.745405092603</v>
      </c>
      <c r="AB521" s="5" t="str">
        <f t="shared" si="187"/>
        <v>INV13037</v>
      </c>
      <c r="AC521" s="5" t="str">
        <f>IFERROR(VLOOKUP(D521,CAARStatus!$A$2:$AA$1600,22,FALSE),"Not invoiced")</f>
        <v>Paid</v>
      </c>
      <c r="AD521" s="11">
        <f>IF(AC521="Paid",IFERROR(VLOOKUP(D521,CAARStatus!$A$2:$AA$1600,6,FALSE),"Pending"),"Pending")</f>
        <v>45913</v>
      </c>
      <c r="AE521" s="5" t="str">
        <f t="shared" si="188"/>
        <v>P359867</v>
      </c>
      <c r="AF521" s="5" t="str">
        <f t="shared" si="189"/>
        <v>Covia Corp - Camden</v>
      </c>
      <c r="AG521" s="5" t="str">
        <f t="shared" si="190"/>
        <v>USD</v>
      </c>
      <c r="AH521" s="5">
        <f t="shared" si="191"/>
        <v>0</v>
      </c>
      <c r="AI521" s="12">
        <f>IF(L521-N521=0,VLOOKUP(U521,rate!A$4:B$15,2,FALSE)*AH521,IF(AG521="USD",O521,AH521*Y521))</f>
        <v>0</v>
      </c>
      <c r="AJ521" s="13">
        <f t="shared" si="192"/>
        <v>0</v>
      </c>
      <c r="AK521" s="13">
        <f>-IF(AG521="CAD",IFERROR(VLOOKUP(D521,CAARStatus!$A$1:$Y$1600,16,FALSE),0),0)</f>
        <v>0</v>
      </c>
      <c r="AL521" s="13">
        <f>-IF(AG521="USD",IFERROR(VLOOKUP(D521,CAARStatus!$A$1:$Y$1600,11,FALSE),0),0)</f>
        <v>-4353.6099999999997</v>
      </c>
      <c r="AM521" s="22" t="str">
        <f t="shared" si="193"/>
        <v/>
      </c>
      <c r="AN521" s="12">
        <f t="shared" si="194"/>
        <v>-4353.6099999999997</v>
      </c>
      <c r="AO521" s="12" t="str">
        <f t="shared" si="195"/>
        <v>Yes</v>
      </c>
      <c r="AP521" t="str">
        <f t="shared" si="180"/>
        <v>XX</v>
      </c>
      <c r="AQ521">
        <f>IFERROR(VLOOKUP(Z521,InvBal!$L$4:$P$600,4,FALSE),"Pend")</f>
        <v>0</v>
      </c>
      <c r="AR521" t="str">
        <f>IFERROR(VLOOKUP(D521,Manual!$C$1:$E$22,2,FALSE),"Pend")</f>
        <v>Yes</v>
      </c>
      <c r="AS521" t="str">
        <f t="shared" si="196"/>
        <v>Yes</v>
      </c>
      <c r="AT521" t="str">
        <f t="shared" si="197"/>
        <v/>
      </c>
      <c r="AU521" s="51" t="str">
        <f t="shared" si="198"/>
        <v/>
      </c>
      <c r="AV521" s="12">
        <f>IFERROR(VLOOKUP(D521,'Receivable Invoice Detail'!$S$1:$U$3014,3,FALSE),0)</f>
        <v>519.94000000000005</v>
      </c>
      <c r="AW521" s="12">
        <f t="shared" si="199"/>
        <v>0</v>
      </c>
    </row>
    <row r="522" spans="1:49" ht="30" x14ac:dyDescent="0.25">
      <c r="A522" s="2">
        <v>1</v>
      </c>
      <c r="B522" s="2" t="s">
        <v>1401</v>
      </c>
      <c r="C522" s="2" t="s">
        <v>1402</v>
      </c>
      <c r="D522" s="2" t="s">
        <v>2766</v>
      </c>
      <c r="E522" s="2" t="s">
        <v>20</v>
      </c>
      <c r="F522" s="3">
        <v>45791.375856481478</v>
      </c>
      <c r="G522" s="3">
        <v>45792.679502314822</v>
      </c>
      <c r="H522" s="4">
        <v>45793</v>
      </c>
      <c r="I522" s="2" t="s">
        <v>21</v>
      </c>
      <c r="J522" s="2" t="s">
        <v>22</v>
      </c>
      <c r="K522" s="2">
        <v>1</v>
      </c>
      <c r="L522" s="2">
        <v>7861.24</v>
      </c>
      <c r="M522" s="2">
        <v>0</v>
      </c>
      <c r="N522" s="2">
        <v>5619.2185083449986</v>
      </c>
      <c r="O522" s="2">
        <v>7486.9</v>
      </c>
      <c r="P522" s="2">
        <v>374.34</v>
      </c>
      <c r="Q522" s="2">
        <v>7861.24</v>
      </c>
      <c r="R522" s="2" t="s">
        <v>44</v>
      </c>
      <c r="S522" s="2"/>
      <c r="T522" s="2">
        <f t="shared" si="181"/>
        <v>1</v>
      </c>
      <c r="U522" s="18">
        <f t="shared" si="182"/>
        <v>5</v>
      </c>
      <c r="V522" s="18">
        <f t="shared" si="183"/>
        <v>2025</v>
      </c>
      <c r="W522" s="18">
        <f t="shared" si="184"/>
        <v>7</v>
      </c>
      <c r="X522" s="18">
        <f t="shared" si="185"/>
        <v>2025</v>
      </c>
      <c r="Y522" s="17">
        <f t="shared" si="178"/>
        <v>0.71480052871366329</v>
      </c>
      <c r="Z522" t="str">
        <f t="shared" si="179"/>
        <v>SO17175</v>
      </c>
      <c r="AA522" s="11">
        <f t="shared" si="186"/>
        <v>45791.375856481478</v>
      </c>
      <c r="AB522" s="5" t="str">
        <f t="shared" si="187"/>
        <v>INV12998</v>
      </c>
      <c r="AC522" s="5" t="str">
        <f>IFERROR(VLOOKUP(D522,CAARStatus!$A$2:$AA$1600,22,FALSE),"Not invoiced")</f>
        <v>Paid</v>
      </c>
      <c r="AD522" s="11">
        <f>IF(AC522="Paid",IFERROR(VLOOKUP(D522,CAARStatus!$A$2:$AA$1600,6,FALSE),"Pending"),"Pending")</f>
        <v>45856</v>
      </c>
      <c r="AE522" s="5" t="str">
        <f t="shared" si="188"/>
        <v>4500596465</v>
      </c>
      <c r="AF522" s="5" t="str">
        <f t="shared" si="189"/>
        <v>Resolute Forest Products - Saint-Felicien</v>
      </c>
      <c r="AG522" s="5" t="str">
        <f t="shared" si="190"/>
        <v>CAD</v>
      </c>
      <c r="AH522" s="5">
        <f t="shared" si="191"/>
        <v>7486.9</v>
      </c>
      <c r="AI522" s="12">
        <f>IF(L522-N522=0,VLOOKUP(U522,rate!A$4:B$15,2,FALSE)*AH522,IF(AG522="USD",O522,AH522*Y522))</f>
        <v>5351.6400784263251</v>
      </c>
      <c r="AJ522" s="13">
        <f t="shared" si="192"/>
        <v>0.71480052871366329</v>
      </c>
      <c r="AK522" s="13">
        <f>-IF(AG522="CAD",IFERROR(VLOOKUP(D522,CAARStatus!$A$1:$Y$1600,16,FALSE),0),0)</f>
        <v>-7486.9</v>
      </c>
      <c r="AL522" s="13">
        <f>-IF(AG522="USD",IFERROR(VLOOKUP(D522,CAARStatus!$A$1:$Y$1600,11,FALSE),0),0)</f>
        <v>0</v>
      </c>
      <c r="AM522" s="22">
        <f t="shared" si="193"/>
        <v>0</v>
      </c>
      <c r="AN522" s="12" t="str">
        <f t="shared" si="194"/>
        <v/>
      </c>
      <c r="AO522" s="12" t="str">
        <f t="shared" si="195"/>
        <v>Yes</v>
      </c>
      <c r="AP522" t="str">
        <f t="shared" si="180"/>
        <v>Yes</v>
      </c>
      <c r="AQ522" t="str">
        <f>IFERROR(VLOOKUP(Z522,InvBal!$L$4:$P$600,4,FALSE),"Pend")</f>
        <v>Pend</v>
      </c>
      <c r="AR522" t="str">
        <f>IFERROR(VLOOKUP(D522,Manual!$C$1:$E$22,2,FALSE),"Pend")</f>
        <v>Pend</v>
      </c>
      <c r="AS522" t="str">
        <f t="shared" si="196"/>
        <v>Yes</v>
      </c>
      <c r="AT522" t="str">
        <f t="shared" si="197"/>
        <v>Yes</v>
      </c>
      <c r="AU522" s="51" t="str">
        <f t="shared" si="198"/>
        <v>Yes</v>
      </c>
      <c r="AV522" s="12">
        <f>IFERROR(VLOOKUP(D522,'Receivable Invoice Detail'!$S$1:$U$3014,3,FALSE),0)</f>
        <v>0</v>
      </c>
      <c r="AW522" s="12">
        <f t="shared" si="199"/>
        <v>5351.6400784263251</v>
      </c>
    </row>
    <row r="523" spans="1:49" x14ac:dyDescent="0.25">
      <c r="A523" s="2">
        <v>1</v>
      </c>
      <c r="B523" s="2" t="s">
        <v>1370</v>
      </c>
      <c r="C523" s="2" t="s">
        <v>1371</v>
      </c>
      <c r="D523" s="2" t="s">
        <v>2784</v>
      </c>
      <c r="E523" s="2" t="s">
        <v>242</v>
      </c>
      <c r="F523" s="3">
        <v>45791.388622685183</v>
      </c>
      <c r="G523" s="3">
        <v>45800.354895833327</v>
      </c>
      <c r="H523" s="4">
        <v>45803</v>
      </c>
      <c r="I523" s="2" t="s">
        <v>21</v>
      </c>
      <c r="J523" s="2" t="s">
        <v>22</v>
      </c>
      <c r="K523" s="2">
        <v>1</v>
      </c>
      <c r="L523" s="2">
        <v>338</v>
      </c>
      <c r="M523" s="2">
        <v>0</v>
      </c>
      <c r="N523" s="2">
        <v>245.65815936260461</v>
      </c>
      <c r="O523" s="2">
        <v>321.89999999999998</v>
      </c>
      <c r="P523" s="2">
        <v>16.100000000000001</v>
      </c>
      <c r="Q523" s="2">
        <v>338</v>
      </c>
      <c r="R523" s="2" t="s">
        <v>44</v>
      </c>
      <c r="S523" s="2"/>
      <c r="T523" s="2">
        <f t="shared" si="181"/>
        <v>1</v>
      </c>
      <c r="U523" s="18">
        <f t="shared" si="182"/>
        <v>5</v>
      </c>
      <c r="V523" s="18">
        <f t="shared" si="183"/>
        <v>2025</v>
      </c>
      <c r="W523" s="18">
        <f t="shared" si="184"/>
        <v>7</v>
      </c>
      <c r="X523" s="18">
        <f t="shared" si="185"/>
        <v>2025</v>
      </c>
      <c r="Y523" s="2">
        <f t="shared" si="178"/>
        <v>0.72679928805504324</v>
      </c>
      <c r="Z523" t="str">
        <f t="shared" si="179"/>
        <v>SO17176</v>
      </c>
      <c r="AA523" s="11">
        <f t="shared" si="186"/>
        <v>45791.388622685183</v>
      </c>
      <c r="AB523" s="5" t="str">
        <f t="shared" si="187"/>
        <v>INV13006</v>
      </c>
      <c r="AC523" s="5" t="str">
        <f>IFERROR(VLOOKUP(D523,CAARStatus!$A$2:$AA$1600,22,FALSE),"Not invoiced")</f>
        <v>Paid</v>
      </c>
      <c r="AD523" s="11">
        <f>IF(AC523="Paid",IFERROR(VLOOKUP(D523,CAARStatus!$A$2:$AA$1600,6,FALSE),"Pending"),"Pending")</f>
        <v>45840</v>
      </c>
      <c r="AE523" s="5" t="str">
        <f t="shared" si="188"/>
        <v>2100579622</v>
      </c>
      <c r="AF523" s="5" t="str">
        <f t="shared" si="189"/>
        <v>Wajax Limited - Noranda</v>
      </c>
      <c r="AG523" s="5" t="str">
        <f t="shared" si="190"/>
        <v>CAD</v>
      </c>
      <c r="AH523" s="5">
        <f t="shared" si="191"/>
        <v>321.89999999999998</v>
      </c>
      <c r="AI523" s="12">
        <f>IF(L523-N523=0,VLOOKUP(U523,rate!A$4:B$15,2,FALSE)*AH523,IF(AG523="USD",O523,AH523*Y523))</f>
        <v>233.95669082491841</v>
      </c>
      <c r="AJ523" s="13">
        <f t="shared" si="192"/>
        <v>0.72679928805504324</v>
      </c>
      <c r="AK523" s="13">
        <f>-IF(AG523="CAD",IFERROR(VLOOKUP(D523,CAARStatus!$A$1:$Y$1600,16,FALSE),0),0)</f>
        <v>-321.89999999999998</v>
      </c>
      <c r="AL523" s="13">
        <f>-IF(AG523="USD",IFERROR(VLOOKUP(D523,CAARStatus!$A$1:$Y$1600,11,FALSE),0),0)</f>
        <v>0</v>
      </c>
      <c r="AM523" s="22">
        <f t="shared" si="193"/>
        <v>0</v>
      </c>
      <c r="AN523" s="12" t="str">
        <f t="shared" si="194"/>
        <v/>
      </c>
      <c r="AO523" s="12" t="str">
        <f t="shared" si="195"/>
        <v>Yes</v>
      </c>
      <c r="AP523" t="str">
        <f t="shared" si="180"/>
        <v>Yes</v>
      </c>
      <c r="AQ523" t="str">
        <f>IFERROR(VLOOKUP(Z523,InvBal!$L$4:$P$600,4,FALSE),"Pend")</f>
        <v>Pend</v>
      </c>
      <c r="AR523" t="str">
        <f>IFERROR(VLOOKUP(D523,Manual!$C$1:$E$22,2,FALSE),"Pend")</f>
        <v>Pend</v>
      </c>
      <c r="AS523" t="str">
        <f t="shared" si="196"/>
        <v>Yes</v>
      </c>
      <c r="AT523" t="str">
        <f t="shared" si="197"/>
        <v>Yes</v>
      </c>
      <c r="AU523" s="51" t="str">
        <f t="shared" si="198"/>
        <v>Yes</v>
      </c>
      <c r="AV523" s="12">
        <f>IFERROR(VLOOKUP(D523,'Receivable Invoice Detail'!$S$1:$U$3014,3,FALSE),0)</f>
        <v>0</v>
      </c>
      <c r="AW523" s="12">
        <f t="shared" si="199"/>
        <v>233.95669082491841</v>
      </c>
    </row>
    <row r="524" spans="1:49" x14ac:dyDescent="0.25">
      <c r="A524" s="2">
        <v>1</v>
      </c>
      <c r="B524" s="2" t="s">
        <v>1403</v>
      </c>
      <c r="C524" s="2" t="s">
        <v>1404</v>
      </c>
      <c r="D524" s="2" t="s">
        <v>2765</v>
      </c>
      <c r="E524" s="2" t="s">
        <v>556</v>
      </c>
      <c r="F524" s="3">
        <v>45791.572106481479</v>
      </c>
      <c r="G524" s="3">
        <v>45792.632418981477</v>
      </c>
      <c r="H524" s="4">
        <v>45793</v>
      </c>
      <c r="I524" s="2" t="s">
        <v>21</v>
      </c>
      <c r="J524" s="2" t="s">
        <v>22</v>
      </c>
      <c r="K524" s="2">
        <v>1</v>
      </c>
      <c r="L524" s="2">
        <v>1039.53</v>
      </c>
      <c r="M524" s="2">
        <v>0</v>
      </c>
      <c r="N524" s="2">
        <v>743.05659361371454</v>
      </c>
      <c r="O524" s="2">
        <v>919.94</v>
      </c>
      <c r="P524" s="2">
        <v>119.59</v>
      </c>
      <c r="Q524" s="2">
        <v>1039.53</v>
      </c>
      <c r="R524" s="2" t="s">
        <v>44</v>
      </c>
      <c r="S524" s="2"/>
      <c r="T524" s="2">
        <f t="shared" si="181"/>
        <v>1</v>
      </c>
      <c r="U524" s="18">
        <f t="shared" si="182"/>
        <v>5</v>
      </c>
      <c r="V524" s="18">
        <f t="shared" si="183"/>
        <v>2025</v>
      </c>
      <c r="W524" s="18">
        <f t="shared" si="184"/>
        <v>6</v>
      </c>
      <c r="X524" s="18">
        <f t="shared" si="185"/>
        <v>2025</v>
      </c>
      <c r="Y524" s="17">
        <f t="shared" si="178"/>
        <v>0.7148005287136634</v>
      </c>
      <c r="Z524" t="str">
        <f t="shared" si="179"/>
        <v>SO17180</v>
      </c>
      <c r="AA524" s="11">
        <f t="shared" si="186"/>
        <v>45791.572106481479</v>
      </c>
      <c r="AB524" s="5" t="str">
        <f t="shared" si="187"/>
        <v>INV12992</v>
      </c>
      <c r="AC524" s="5" t="str">
        <f>IFERROR(VLOOKUP(D524,CAARStatus!$A$2:$AA$1600,22,FALSE),"Not invoiced")</f>
        <v>Paid</v>
      </c>
      <c r="AD524" s="11">
        <f>IF(AC524="Paid",IFERROR(VLOOKUP(D524,CAARStatus!$A$2:$AA$1600,6,FALSE),"Pending"),"Pending")</f>
        <v>45828</v>
      </c>
      <c r="AE524" s="5" t="str">
        <f t="shared" si="188"/>
        <v>186096</v>
      </c>
      <c r="AF524" s="5" t="str">
        <f t="shared" si="189"/>
        <v>Fabrene Inc.</v>
      </c>
      <c r="AG524" s="5" t="str">
        <f t="shared" si="190"/>
        <v>CAD</v>
      </c>
      <c r="AH524" s="5">
        <f t="shared" si="191"/>
        <v>919.94</v>
      </c>
      <c r="AI524" s="12">
        <f>IF(L524-N524=0,VLOOKUP(U524,rate!A$4:B$15,2,FALSE)*AH524,IF(AG524="USD",O524,AH524*Y524))</f>
        <v>657.57359838484751</v>
      </c>
      <c r="AJ524" s="13">
        <f t="shared" si="192"/>
        <v>0.7148005287136634</v>
      </c>
      <c r="AK524" s="13">
        <f>-IF(AG524="CAD",IFERROR(VLOOKUP(D524,CAARStatus!$A$1:$Y$1600,16,FALSE),0),0)</f>
        <v>-919.94</v>
      </c>
      <c r="AL524" s="13">
        <f>-IF(AG524="USD",IFERROR(VLOOKUP(D524,CAARStatus!$A$1:$Y$1600,11,FALSE),0),0)</f>
        <v>0</v>
      </c>
      <c r="AM524" s="22">
        <f t="shared" si="193"/>
        <v>0</v>
      </c>
      <c r="AN524" s="12" t="str">
        <f t="shared" si="194"/>
        <v/>
      </c>
      <c r="AO524" s="12" t="str">
        <f t="shared" si="195"/>
        <v>Yes</v>
      </c>
      <c r="AP524" t="str">
        <f t="shared" si="180"/>
        <v>Yes</v>
      </c>
      <c r="AQ524" t="str">
        <f>IFERROR(VLOOKUP(Z524,InvBal!$L$4:$P$600,4,FALSE),"Pend")</f>
        <v>Pend</v>
      </c>
      <c r="AR524" t="str">
        <f>IFERROR(VLOOKUP(D524,Manual!$C$1:$E$22,2,FALSE),"Pend")</f>
        <v>Pend</v>
      </c>
      <c r="AS524" t="str">
        <f t="shared" si="196"/>
        <v>Yes</v>
      </c>
      <c r="AT524" t="str">
        <f t="shared" si="197"/>
        <v>Yes</v>
      </c>
      <c r="AU524" s="51" t="str">
        <f t="shared" si="198"/>
        <v>Yes</v>
      </c>
      <c r="AV524" s="12">
        <f>IFERROR(VLOOKUP(D524,'Receivable Invoice Detail'!$S$1:$U$3014,3,FALSE),0)</f>
        <v>0</v>
      </c>
      <c r="AW524" s="12">
        <f t="shared" si="199"/>
        <v>657.57359838484751</v>
      </c>
    </row>
    <row r="525" spans="1:49" x14ac:dyDescent="0.25">
      <c r="A525" s="2">
        <v>1</v>
      </c>
      <c r="B525" s="2" t="s">
        <v>1416</v>
      </c>
      <c r="C525" s="2" t="s">
        <v>1417</v>
      </c>
      <c r="D525" s="2" t="s">
        <v>2759</v>
      </c>
      <c r="E525" s="2" t="s">
        <v>141</v>
      </c>
      <c r="F525" s="3">
        <v>45792.351527777777</v>
      </c>
      <c r="G525" s="3">
        <v>45792.352349537039</v>
      </c>
      <c r="H525" s="4">
        <v>45793</v>
      </c>
      <c r="I525" s="2" t="s">
        <v>21</v>
      </c>
      <c r="J525" s="2" t="s">
        <v>51</v>
      </c>
      <c r="K525" s="2">
        <v>0.71604059670124165</v>
      </c>
      <c r="L525" s="2">
        <v>507.5829522437603</v>
      </c>
      <c r="M525" s="2">
        <v>0</v>
      </c>
      <c r="N525" s="2">
        <v>363.45</v>
      </c>
      <c r="O525" s="2">
        <v>363.45</v>
      </c>
      <c r="P525" s="2"/>
      <c r="Q525" s="2">
        <v>363.45</v>
      </c>
      <c r="R525" s="2" t="s">
        <v>44</v>
      </c>
      <c r="S525" s="2"/>
      <c r="T525" s="2">
        <f t="shared" si="181"/>
        <v>1</v>
      </c>
      <c r="U525" s="18">
        <f t="shared" si="182"/>
        <v>5</v>
      </c>
      <c r="V525" s="18">
        <f t="shared" si="183"/>
        <v>2025</v>
      </c>
      <c r="W525" s="18">
        <f t="shared" si="184"/>
        <v>7</v>
      </c>
      <c r="X525" s="18">
        <f t="shared" si="185"/>
        <v>2025</v>
      </c>
      <c r="Y525" s="2">
        <f t="shared" si="178"/>
        <v>0.71604059670124165</v>
      </c>
      <c r="Z525" t="str">
        <f t="shared" si="179"/>
        <v>SO17190</v>
      </c>
      <c r="AA525" s="11">
        <f t="shared" si="186"/>
        <v>45792.351527777777</v>
      </c>
      <c r="AB525" s="5" t="str">
        <f t="shared" si="187"/>
        <v>INV13014</v>
      </c>
      <c r="AC525" s="5" t="str">
        <f>IFERROR(VLOOKUP(D525,CAARStatus!$A$2:$AA$1600,22,FALSE),"Not invoiced")</f>
        <v>Paid</v>
      </c>
      <c r="AD525" s="11">
        <f>IF(AC525="Paid",IFERROR(VLOOKUP(D525,CAARStatus!$A$2:$AA$1600,6,FALSE),"Pending"),"Pending")</f>
        <v>45859</v>
      </c>
      <c r="AE525" s="5" t="str">
        <f t="shared" si="188"/>
        <v>4511902588</v>
      </c>
      <c r="AF525" s="5" t="str">
        <f t="shared" si="189"/>
        <v>PT Vale Indonesia Tbk.</v>
      </c>
      <c r="AG525" s="5" t="str">
        <f t="shared" si="190"/>
        <v>USD</v>
      </c>
      <c r="AH525" s="5">
        <f t="shared" si="191"/>
        <v>507.5829522437603</v>
      </c>
      <c r="AI525" s="12">
        <f>IF(L525-N525=0,VLOOKUP(U525,rate!A$4:B$15,2,FALSE)*AH525,IF(AG525="USD",O525,AH525*Y525))</f>
        <v>363.45</v>
      </c>
      <c r="AJ525" s="13">
        <f t="shared" si="192"/>
        <v>0.71604059670124165</v>
      </c>
      <c r="AK525" s="13">
        <f>-IF(AG525="CAD",IFERROR(VLOOKUP(D525,CAARStatus!$A$1:$Y$1600,16,FALSE),0),0)</f>
        <v>0</v>
      </c>
      <c r="AL525" s="13">
        <f>-IF(AG525="USD",IFERROR(VLOOKUP(D525,CAARStatus!$A$1:$Y$1600,11,FALSE),0),0)</f>
        <v>-363.45</v>
      </c>
      <c r="AM525" s="22" t="str">
        <f t="shared" si="193"/>
        <v/>
      </c>
      <c r="AN525" s="12">
        <f t="shared" si="194"/>
        <v>0</v>
      </c>
      <c r="AO525" s="12" t="str">
        <f t="shared" si="195"/>
        <v>Yes</v>
      </c>
      <c r="AP525" t="str">
        <f t="shared" si="180"/>
        <v>Yes</v>
      </c>
      <c r="AQ525" t="str">
        <f>IFERROR(VLOOKUP(Z525,InvBal!$L$4:$P$600,4,FALSE),"Pend")</f>
        <v>Pend</v>
      </c>
      <c r="AR525" t="str">
        <f>IFERROR(VLOOKUP(D525,Manual!$C$1:$E$22,2,FALSE),"Pend")</f>
        <v>Pend</v>
      </c>
      <c r="AS525" t="str">
        <f t="shared" si="196"/>
        <v>Yes</v>
      </c>
      <c r="AT525" t="str">
        <f t="shared" si="197"/>
        <v>Yes</v>
      </c>
      <c r="AU525" s="51" t="str">
        <f t="shared" si="198"/>
        <v>Yes</v>
      </c>
      <c r="AV525" s="12">
        <f>IFERROR(VLOOKUP(D525,'Receivable Invoice Detail'!$S$1:$U$3014,3,FALSE),0)</f>
        <v>0</v>
      </c>
      <c r="AW525" s="12">
        <f t="shared" si="199"/>
        <v>363.45</v>
      </c>
    </row>
    <row r="526" spans="1:49" ht="30" x14ac:dyDescent="0.25">
      <c r="A526" s="2">
        <v>1</v>
      </c>
      <c r="B526" s="2" t="s">
        <v>1405</v>
      </c>
      <c r="C526" s="2" t="s">
        <v>1406</v>
      </c>
      <c r="D526" s="2" t="s">
        <v>2764</v>
      </c>
      <c r="E526" s="2" t="s">
        <v>518</v>
      </c>
      <c r="F526" s="3">
        <v>45792.620462962957</v>
      </c>
      <c r="G526" s="3">
        <v>45792.628761574073</v>
      </c>
      <c r="H526" s="4">
        <v>45793</v>
      </c>
      <c r="I526" s="2" t="s">
        <v>21</v>
      </c>
      <c r="J526" s="2" t="s">
        <v>22</v>
      </c>
      <c r="K526" s="2">
        <v>1</v>
      </c>
      <c r="L526" s="2">
        <v>1952.11</v>
      </c>
      <c r="M526" s="2">
        <v>0</v>
      </c>
      <c r="N526" s="2">
        <v>1395.3692601072289</v>
      </c>
      <c r="O526" s="2">
        <v>1859.15</v>
      </c>
      <c r="P526" s="2">
        <v>92.96</v>
      </c>
      <c r="Q526" s="2">
        <v>1952.11</v>
      </c>
      <c r="R526" s="2" t="s">
        <v>44</v>
      </c>
      <c r="S526" s="2"/>
      <c r="T526" s="2">
        <f t="shared" si="181"/>
        <v>1</v>
      </c>
      <c r="U526" s="18">
        <f t="shared" si="182"/>
        <v>5</v>
      </c>
      <c r="V526" s="18">
        <f t="shared" si="183"/>
        <v>2025</v>
      </c>
      <c r="W526" s="18">
        <f t="shared" si="184"/>
        <v>6</v>
      </c>
      <c r="X526" s="18">
        <f t="shared" si="185"/>
        <v>2025</v>
      </c>
      <c r="Y526" s="2">
        <f t="shared" si="178"/>
        <v>0.71480052871366317</v>
      </c>
      <c r="Z526" t="str">
        <f t="shared" si="179"/>
        <v>SO17191</v>
      </c>
      <c r="AA526" s="11">
        <f t="shared" si="186"/>
        <v>45792.620462962957</v>
      </c>
      <c r="AB526" s="5" t="str">
        <f t="shared" si="187"/>
        <v>INV12994</v>
      </c>
      <c r="AC526" s="5" t="str">
        <f>IFERROR(VLOOKUP(D526,CAARStatus!$A$2:$AA$1600,22,FALSE),"Not invoiced")</f>
        <v>Paid</v>
      </c>
      <c r="AD526" s="11">
        <f>IF(AC526="Paid",IFERROR(VLOOKUP(D526,CAARStatus!$A$2:$AA$1600,6,FALSE),"Pending"),"Pending")</f>
        <v>45828</v>
      </c>
      <c r="AE526" s="5" t="str">
        <f t="shared" si="188"/>
        <v>SUD1006011</v>
      </c>
      <c r="AF526" s="5" t="str">
        <f t="shared" si="189"/>
        <v>Process and Steam Specialties, Process and Steam Specialties</v>
      </c>
      <c r="AG526" s="5" t="str">
        <f t="shared" si="190"/>
        <v>CAD</v>
      </c>
      <c r="AH526" s="5">
        <f t="shared" si="191"/>
        <v>1859.15</v>
      </c>
      <c r="AI526" s="12">
        <f>IF(L526-N526=0,VLOOKUP(U526,rate!A$4:B$15,2,FALSE)*AH526,IF(AG526="USD",O526,AH526*Y526))</f>
        <v>1328.9214029580069</v>
      </c>
      <c r="AJ526" s="13">
        <f t="shared" si="192"/>
        <v>0.71480052871366317</v>
      </c>
      <c r="AK526" s="13">
        <f>-IF(AG526="CAD",IFERROR(VLOOKUP(D526,CAARStatus!$A$1:$Y$1600,16,FALSE),0),0)</f>
        <v>-1859.15</v>
      </c>
      <c r="AL526" s="13">
        <f>-IF(AG526="USD",IFERROR(VLOOKUP(D526,CAARStatus!$A$1:$Y$1600,11,FALSE),0),0)</f>
        <v>0</v>
      </c>
      <c r="AM526" s="22">
        <f t="shared" si="193"/>
        <v>0</v>
      </c>
      <c r="AN526" s="12" t="str">
        <f t="shared" si="194"/>
        <v/>
      </c>
      <c r="AO526" s="12" t="str">
        <f t="shared" si="195"/>
        <v>Yes</v>
      </c>
      <c r="AP526" t="str">
        <f t="shared" si="180"/>
        <v>Yes</v>
      </c>
      <c r="AQ526" t="str">
        <f>IFERROR(VLOOKUP(Z526,InvBal!$L$4:$P$600,4,FALSE),"Pend")</f>
        <v>Pend</v>
      </c>
      <c r="AR526" t="str">
        <f>IFERROR(VLOOKUP(D526,Manual!$C$1:$E$22,2,FALSE),"Pend")</f>
        <v>Pend</v>
      </c>
      <c r="AS526" t="str">
        <f t="shared" si="196"/>
        <v>Yes</v>
      </c>
      <c r="AT526" t="str">
        <f t="shared" si="197"/>
        <v>Yes</v>
      </c>
      <c r="AU526" s="51" t="str">
        <f t="shared" si="198"/>
        <v>Yes</v>
      </c>
      <c r="AV526" s="12">
        <f>IFERROR(VLOOKUP(D526,'Receivable Invoice Detail'!$S$1:$U$3014,3,FALSE),0)</f>
        <v>0</v>
      </c>
      <c r="AW526" s="12">
        <f t="shared" si="199"/>
        <v>1328.9214029580069</v>
      </c>
    </row>
    <row r="527" spans="1:49" ht="30" x14ac:dyDescent="0.25">
      <c r="A527" s="2">
        <v>1</v>
      </c>
      <c r="B527" s="2" t="s">
        <v>1399</v>
      </c>
      <c r="C527" s="2" t="s">
        <v>1400</v>
      </c>
      <c r="D527" s="2" t="s">
        <v>2767</v>
      </c>
      <c r="E527" s="2" t="s">
        <v>129</v>
      </c>
      <c r="F527" s="3">
        <v>45792.773773148147</v>
      </c>
      <c r="G527" s="3">
        <v>45792.773298611108</v>
      </c>
      <c r="H527" s="4">
        <v>45814</v>
      </c>
      <c r="I527" s="2" t="s">
        <v>130</v>
      </c>
      <c r="J527" s="2" t="s">
        <v>51</v>
      </c>
      <c r="K527" s="2">
        <v>0.71604059670124165</v>
      </c>
      <c r="L527" s="2">
        <v>670.35305290137558</v>
      </c>
      <c r="M527" s="2">
        <v>0</v>
      </c>
      <c r="N527" s="2">
        <v>480</v>
      </c>
      <c r="O527" s="2">
        <v>480</v>
      </c>
      <c r="P527" s="2"/>
      <c r="Q527" s="2">
        <v>480</v>
      </c>
      <c r="R527" s="2" t="s">
        <v>44</v>
      </c>
      <c r="S527" s="2"/>
      <c r="T527" s="2">
        <f t="shared" si="181"/>
        <v>1</v>
      </c>
      <c r="U527" s="18">
        <f t="shared" si="182"/>
        <v>5</v>
      </c>
      <c r="V527" s="18">
        <f t="shared" si="183"/>
        <v>2025</v>
      </c>
      <c r="W527" s="18" t="str">
        <f t="shared" si="184"/>
        <v/>
      </c>
      <c r="X527" s="18" t="str">
        <f t="shared" si="185"/>
        <v/>
      </c>
      <c r="Y527" s="2">
        <f t="shared" si="178"/>
        <v>0.71604059670124165</v>
      </c>
      <c r="Z527" t="str">
        <f t="shared" si="179"/>
        <v>SO17193</v>
      </c>
      <c r="AA527" s="11">
        <f t="shared" si="186"/>
        <v>45792.773773148147</v>
      </c>
      <c r="AB527" s="5" t="str">
        <f t="shared" si="187"/>
        <v>INV13205</v>
      </c>
      <c r="AC527" s="5" t="str">
        <f>IFERROR(VLOOKUP(D527,CAARStatus!$A$2:$AA$1600,22,FALSE),"Not invoiced")</f>
        <v>Approved</v>
      </c>
      <c r="AD527" s="11" t="str">
        <f>IF(AC527="Paid",IFERROR(VLOOKUP(D527,CAARStatus!$A$2:$AA$1600,6,FALSE),"Pending"),"Pending")</f>
        <v>Pending</v>
      </c>
      <c r="AE527" s="5" t="str">
        <f t="shared" si="188"/>
        <v>OC00168</v>
      </c>
      <c r="AF527" s="5" t="str">
        <f t="shared" si="189"/>
        <v>Dynapro Pumps México S de RL de CV</v>
      </c>
      <c r="AG527" s="5" t="str">
        <f t="shared" si="190"/>
        <v>USD</v>
      </c>
      <c r="AH527" s="5">
        <f t="shared" si="191"/>
        <v>670.35305290137558</v>
      </c>
      <c r="AI527" s="12">
        <f>IF(L527-N527=0,VLOOKUP(U527,rate!A$4:B$15,2,FALSE)*AH527,IF(AG527="USD",O527,AH527*Y527))</f>
        <v>480</v>
      </c>
      <c r="AJ527" s="13">
        <f t="shared" si="192"/>
        <v>0.71604059670124165</v>
      </c>
      <c r="AK527" s="13">
        <f>-IF(AG527="CAD",IFERROR(VLOOKUP(D527,CAARStatus!$A$1:$Y$1600,16,FALSE),0),0)</f>
        <v>0</v>
      </c>
      <c r="AL527" s="13">
        <f>-IF(AG527="USD",IFERROR(VLOOKUP(D527,CAARStatus!$A$1:$Y$1600,11,FALSE),0),0)</f>
        <v>-480</v>
      </c>
      <c r="AM527" s="22" t="str">
        <f t="shared" si="193"/>
        <v/>
      </c>
      <c r="AN527" s="12">
        <f t="shared" si="194"/>
        <v>0</v>
      </c>
      <c r="AO527" s="12" t="str">
        <f t="shared" si="195"/>
        <v>Pend</v>
      </c>
      <c r="AP527" t="str">
        <f t="shared" si="180"/>
        <v>Pend</v>
      </c>
      <c r="AQ527" t="str">
        <f>IFERROR(VLOOKUP(Z527,InvBal!$L$4:$P$600,4,FALSE),"Pend")</f>
        <v>Pend</v>
      </c>
      <c r="AR527" t="str">
        <f>IFERROR(VLOOKUP(D527,Manual!$C$1:$E$22,2,FALSE),"Pend")</f>
        <v>Pend</v>
      </c>
      <c r="AS527" t="str">
        <f t="shared" si="196"/>
        <v/>
      </c>
      <c r="AT527" t="str">
        <f t="shared" si="197"/>
        <v>Yes</v>
      </c>
      <c r="AU527" s="51" t="str">
        <f t="shared" si="198"/>
        <v/>
      </c>
      <c r="AV527" s="12">
        <f>IFERROR(VLOOKUP(D527,'Receivable Invoice Detail'!$S$1:$U$3014,3,FALSE),0)</f>
        <v>0</v>
      </c>
      <c r="AW527" s="12">
        <f t="shared" si="199"/>
        <v>0</v>
      </c>
    </row>
    <row r="528" spans="1:49" x14ac:dyDescent="0.25">
      <c r="A528" s="2">
        <v>1</v>
      </c>
      <c r="B528" s="2" t="s">
        <v>1385</v>
      </c>
      <c r="C528" s="2" t="s">
        <v>1386</v>
      </c>
      <c r="D528" s="2" t="s">
        <v>2775</v>
      </c>
      <c r="E528" s="2" t="s">
        <v>149</v>
      </c>
      <c r="F528" s="3">
        <v>45793.497314814813</v>
      </c>
      <c r="G528" s="3">
        <v>45798.692511574067</v>
      </c>
      <c r="H528" s="4">
        <v>45799</v>
      </c>
      <c r="I528" s="2" t="s">
        <v>21</v>
      </c>
      <c r="J528" s="2" t="s">
        <v>51</v>
      </c>
      <c r="K528" s="2">
        <v>0.7168814564314101</v>
      </c>
      <c r="L528" s="2">
        <v>3330.6761928057358</v>
      </c>
      <c r="M528" s="2">
        <v>0</v>
      </c>
      <c r="N528" s="2">
        <v>2387.6999999999998</v>
      </c>
      <c r="O528" s="2">
        <v>2387.6999999999998</v>
      </c>
      <c r="P528" s="2"/>
      <c r="Q528" s="2">
        <v>2387.6999999999998</v>
      </c>
      <c r="R528" s="2" t="s">
        <v>44</v>
      </c>
      <c r="S528" s="2"/>
      <c r="T528" s="2">
        <f t="shared" si="181"/>
        <v>1</v>
      </c>
      <c r="U528" s="18">
        <f t="shared" si="182"/>
        <v>5</v>
      </c>
      <c r="V528" s="18">
        <f t="shared" si="183"/>
        <v>2025</v>
      </c>
      <c r="W528" s="18">
        <f t="shared" si="184"/>
        <v>9</v>
      </c>
      <c r="X528" s="18">
        <f t="shared" si="185"/>
        <v>2025</v>
      </c>
      <c r="Y528" s="2">
        <f t="shared" si="178"/>
        <v>0.7168814564314101</v>
      </c>
      <c r="Z528" t="str">
        <f t="shared" si="179"/>
        <v>SO17194</v>
      </c>
      <c r="AA528" s="11">
        <f t="shared" si="186"/>
        <v>45793.497314814813</v>
      </c>
      <c r="AB528" s="5" t="str">
        <f t="shared" si="187"/>
        <v>INV13000</v>
      </c>
      <c r="AC528" s="5" t="str">
        <f>IFERROR(VLOOKUP(D528,CAARStatus!$A$2:$AA$1600,22,FALSE),"Not invoiced")</f>
        <v>Paid</v>
      </c>
      <c r="AD528" s="11">
        <f>IF(AC528="Paid",IFERROR(VLOOKUP(D528,CAARStatus!$A$2:$AA$1600,6,FALSE),"Pending"),"Pending")</f>
        <v>45913</v>
      </c>
      <c r="AE528" s="5" t="str">
        <f t="shared" si="188"/>
        <v>PO-0020292</v>
      </c>
      <c r="AF528" s="5" t="str">
        <f t="shared" si="189"/>
        <v>MAB Equipment Company Inc.</v>
      </c>
      <c r="AG528" s="5" t="str">
        <f t="shared" si="190"/>
        <v>USD</v>
      </c>
      <c r="AH528" s="5">
        <f t="shared" si="191"/>
        <v>3330.6761928057358</v>
      </c>
      <c r="AI528" s="12">
        <f>IF(L528-N528=0,VLOOKUP(U528,rate!A$4:B$15,2,FALSE)*AH528,IF(AG528="USD",O528,AH528*Y528))</f>
        <v>2387.6999999999998</v>
      </c>
      <c r="AJ528" s="13">
        <f t="shared" si="192"/>
        <v>0.7168814564314101</v>
      </c>
      <c r="AK528" s="13">
        <f>-IF(AG528="CAD",IFERROR(VLOOKUP(D528,CAARStatus!$A$1:$Y$1600,16,FALSE),0),0)</f>
        <v>0</v>
      </c>
      <c r="AL528" s="13">
        <f>-IF(AG528="USD",IFERROR(VLOOKUP(D528,CAARStatus!$A$1:$Y$1600,11,FALSE),0),0)</f>
        <v>-2387.6999999999998</v>
      </c>
      <c r="AM528" s="22" t="str">
        <f t="shared" si="193"/>
        <v/>
      </c>
      <c r="AN528" s="12">
        <f t="shared" si="194"/>
        <v>0</v>
      </c>
      <c r="AO528" s="12" t="str">
        <f t="shared" si="195"/>
        <v>Yes</v>
      </c>
      <c r="AP528" t="str">
        <f t="shared" si="180"/>
        <v>Yes</v>
      </c>
      <c r="AQ528" t="str">
        <f>IFERROR(VLOOKUP(Z528,InvBal!$L$4:$P$600,4,FALSE),"Pend")</f>
        <v>Pend</v>
      </c>
      <c r="AR528" t="str">
        <f>IFERROR(VLOOKUP(D528,Manual!$C$1:$E$22,2,FALSE),"Pend")</f>
        <v>Pend</v>
      </c>
      <c r="AS528" t="str">
        <f t="shared" si="196"/>
        <v>Yes</v>
      </c>
      <c r="AT528" t="str">
        <f t="shared" si="197"/>
        <v>Yes</v>
      </c>
      <c r="AU528" s="51" t="str">
        <f t="shared" si="198"/>
        <v>Yes</v>
      </c>
      <c r="AV528" s="12">
        <f>IFERROR(VLOOKUP(D528,'Receivable Invoice Detail'!$S$1:$U$3014,3,FALSE),0)</f>
        <v>644</v>
      </c>
      <c r="AW528" s="12">
        <f t="shared" si="199"/>
        <v>1743.6999999999998</v>
      </c>
    </row>
    <row r="529" spans="1:49" x14ac:dyDescent="0.25">
      <c r="A529" s="2">
        <v>1</v>
      </c>
      <c r="B529" s="2" t="s">
        <v>1338</v>
      </c>
      <c r="C529" s="2" t="s">
        <v>1339</v>
      </c>
      <c r="D529" s="2" t="s">
        <v>2801</v>
      </c>
      <c r="E529" s="2" t="s">
        <v>70</v>
      </c>
      <c r="F529" s="3">
        <v>45797.378067129634</v>
      </c>
      <c r="G529" s="3">
        <v>45804.55673611111</v>
      </c>
      <c r="H529" s="4">
        <v>45806</v>
      </c>
      <c r="I529" s="2" t="s">
        <v>71</v>
      </c>
      <c r="J529" s="2" t="s">
        <v>51</v>
      </c>
      <c r="K529" s="2">
        <v>0.72825076867173777</v>
      </c>
      <c r="L529" s="2">
        <v>14434.73931263144</v>
      </c>
      <c r="M529" s="2">
        <v>0</v>
      </c>
      <c r="N529" s="2">
        <v>10512.11</v>
      </c>
      <c r="O529" s="2">
        <v>10512.11</v>
      </c>
      <c r="P529" s="2"/>
      <c r="Q529" s="2">
        <v>10512.11</v>
      </c>
      <c r="R529" s="2" t="s">
        <v>44</v>
      </c>
      <c r="S529" s="2"/>
      <c r="T529" s="2">
        <f t="shared" si="181"/>
        <v>1</v>
      </c>
      <c r="U529" s="18">
        <f t="shared" si="182"/>
        <v>5</v>
      </c>
      <c r="V529" s="18">
        <f t="shared" si="183"/>
        <v>2025</v>
      </c>
      <c r="W529" s="18">
        <f t="shared" si="184"/>
        <v>9</v>
      </c>
      <c r="X529" s="18">
        <f t="shared" si="185"/>
        <v>2025</v>
      </c>
      <c r="Y529" s="2">
        <f t="shared" si="178"/>
        <v>0.72825076867173799</v>
      </c>
      <c r="Z529" t="str">
        <f t="shared" si="179"/>
        <v>SO17197</v>
      </c>
      <c r="AA529" s="11">
        <f t="shared" si="186"/>
        <v>45797.378067129634</v>
      </c>
      <c r="AB529" s="5" t="str">
        <f t="shared" si="187"/>
        <v>INV13033</v>
      </c>
      <c r="AC529" s="5" t="str">
        <f>IFERROR(VLOOKUP(D529,CAARStatus!$A$2:$AA$1600,22,FALSE),"Not invoiced")</f>
        <v>Paid</v>
      </c>
      <c r="AD529" s="11">
        <f>IF(AC529="Paid",IFERROR(VLOOKUP(D529,CAARStatus!$A$2:$AA$1600,6,FALSE),"Pending"),"Pending")</f>
        <v>45913</v>
      </c>
      <c r="AE529" s="5" t="str">
        <f t="shared" si="188"/>
        <v>P359876</v>
      </c>
      <c r="AF529" s="5" t="str">
        <f t="shared" si="189"/>
        <v>Covia Corp - Junction City</v>
      </c>
      <c r="AG529" s="5" t="str">
        <f t="shared" si="190"/>
        <v>USD</v>
      </c>
      <c r="AH529" s="5">
        <f t="shared" si="191"/>
        <v>14434.739312631444</v>
      </c>
      <c r="AI529" s="12">
        <f>IF(L529-N529=0,VLOOKUP(U529,rate!A$4:B$15,2,FALSE)*AH529,IF(AG529="USD",O529,AH529*Y529))</f>
        <v>10512.11</v>
      </c>
      <c r="AJ529" s="13">
        <f t="shared" si="192"/>
        <v>0.72825076867173777</v>
      </c>
      <c r="AK529" s="13">
        <f>-IF(AG529="CAD",IFERROR(VLOOKUP(D529,CAARStatus!$A$1:$Y$1600,16,FALSE),0),0)</f>
        <v>0</v>
      </c>
      <c r="AL529" s="13">
        <f>-IF(AG529="USD",IFERROR(VLOOKUP(D529,CAARStatus!$A$1:$Y$1600,11,FALSE),0),0)</f>
        <v>-10512.11</v>
      </c>
      <c r="AM529" s="22" t="str">
        <f t="shared" si="193"/>
        <v/>
      </c>
      <c r="AN529" s="12">
        <f t="shared" si="194"/>
        <v>0</v>
      </c>
      <c r="AO529" s="12" t="str">
        <f t="shared" si="195"/>
        <v>Yes</v>
      </c>
      <c r="AP529" t="str">
        <f t="shared" si="180"/>
        <v>Yes</v>
      </c>
      <c r="AQ529" t="str">
        <f>IFERROR(VLOOKUP(Z529,InvBal!$L$4:$P$600,4,FALSE),"Pend")</f>
        <v>Pend</v>
      </c>
      <c r="AR529" t="str">
        <f>IFERROR(VLOOKUP(D529,Manual!$C$1:$E$22,2,FALSE),"Pend")</f>
        <v>Pend</v>
      </c>
      <c r="AS529" t="str">
        <f t="shared" si="196"/>
        <v>Yes</v>
      </c>
      <c r="AT529" t="str">
        <f t="shared" si="197"/>
        <v>Yes</v>
      </c>
      <c r="AU529" s="51" t="str">
        <f t="shared" si="198"/>
        <v>Yes</v>
      </c>
      <c r="AV529" s="12">
        <f>IFERROR(VLOOKUP(D529,'Receivable Invoice Detail'!$S$1:$U$3014,3,FALSE),0)</f>
        <v>658.69</v>
      </c>
      <c r="AW529" s="12">
        <f t="shared" si="199"/>
        <v>9853.42</v>
      </c>
    </row>
    <row r="530" spans="1:49" ht="30" x14ac:dyDescent="0.25">
      <c r="A530" s="2">
        <v>1</v>
      </c>
      <c r="B530" s="2" t="s">
        <v>1312</v>
      </c>
      <c r="C530" s="2" t="s">
        <v>1313</v>
      </c>
      <c r="D530" s="2" t="s">
        <v>2816</v>
      </c>
      <c r="E530" s="2" t="s">
        <v>742</v>
      </c>
      <c r="F530" s="3">
        <v>45797.481840277767</v>
      </c>
      <c r="G530" s="3">
        <v>45807.481840277767</v>
      </c>
      <c r="H530" s="4">
        <v>45832</v>
      </c>
      <c r="I530" s="2" t="s">
        <v>21</v>
      </c>
      <c r="J530" s="2" t="s">
        <v>51</v>
      </c>
      <c r="K530" s="2">
        <v>0.72409668123959414</v>
      </c>
      <c r="L530" s="2">
        <v>2858.5271188601309</v>
      </c>
      <c r="M530" s="2">
        <v>0</v>
      </c>
      <c r="N530" s="2">
        <v>2069.85</v>
      </c>
      <c r="O530" s="2">
        <v>2069.85</v>
      </c>
      <c r="P530" s="2"/>
      <c r="Q530" s="2">
        <v>2069.85</v>
      </c>
      <c r="R530" s="2" t="s">
        <v>44</v>
      </c>
      <c r="S530" s="2"/>
      <c r="T530" s="2">
        <f t="shared" si="181"/>
        <v>1</v>
      </c>
      <c r="U530" s="18">
        <f t="shared" si="182"/>
        <v>5</v>
      </c>
      <c r="V530" s="18">
        <f t="shared" si="183"/>
        <v>2025</v>
      </c>
      <c r="W530" s="18">
        <f t="shared" si="184"/>
        <v>6</v>
      </c>
      <c r="X530" s="18">
        <f t="shared" si="185"/>
        <v>2025</v>
      </c>
      <c r="Y530" s="2">
        <f t="shared" si="178"/>
        <v>0.72409668123959425</v>
      </c>
      <c r="Z530" t="str">
        <f t="shared" si="179"/>
        <v>SO17199</v>
      </c>
      <c r="AA530" s="11">
        <f t="shared" si="186"/>
        <v>45797.481840277767</v>
      </c>
      <c r="AB530" s="5" t="str">
        <f t="shared" si="187"/>
        <v>INV13073</v>
      </c>
      <c r="AC530" s="5" t="str">
        <f>IFERROR(VLOOKUP(D530,CAARStatus!$A$2:$AA$1600,22,FALSE),"Not invoiced")</f>
        <v>Paid</v>
      </c>
      <c r="AD530" s="11">
        <f>IF(AC530="Paid",IFERROR(VLOOKUP(D530,CAARStatus!$A$2:$AA$1600,6,FALSE),"Pending"),"Pending")</f>
        <v>45818</v>
      </c>
      <c r="AE530" s="5" t="str">
        <f t="shared" si="188"/>
        <v>054561-00 - Paid in full on June 3rd</v>
      </c>
      <c r="AF530" s="5" t="str">
        <f t="shared" si="189"/>
        <v>F H Pumps, Inc., F H Pumps, Inc</v>
      </c>
      <c r="AG530" s="5" t="str">
        <f t="shared" si="190"/>
        <v>USD</v>
      </c>
      <c r="AH530" s="5">
        <f t="shared" si="191"/>
        <v>2858.5271188601314</v>
      </c>
      <c r="AI530" s="12">
        <f>IF(L530-N530=0,VLOOKUP(U530,rate!A$4:B$15,2,FALSE)*AH530,IF(AG530="USD",O530,AH530*Y530))</f>
        <v>2069.85</v>
      </c>
      <c r="AJ530" s="13">
        <f t="shared" si="192"/>
        <v>0.72409668123959414</v>
      </c>
      <c r="AK530" s="13">
        <f>-IF(AG530="CAD",IFERROR(VLOOKUP(D530,CAARStatus!$A$1:$Y$1600,16,FALSE),0),0)</f>
        <v>0</v>
      </c>
      <c r="AL530" s="13">
        <f>-IF(AG530="USD",IFERROR(VLOOKUP(D530,CAARStatus!$A$1:$Y$1600,11,FALSE),0),0)</f>
        <v>-2069.85</v>
      </c>
      <c r="AM530" s="22" t="str">
        <f t="shared" si="193"/>
        <v/>
      </c>
      <c r="AN530" s="12">
        <f t="shared" si="194"/>
        <v>0</v>
      </c>
      <c r="AO530" s="12" t="str">
        <f t="shared" si="195"/>
        <v>Yes</v>
      </c>
      <c r="AP530" t="str">
        <f t="shared" si="180"/>
        <v>Yes</v>
      </c>
      <c r="AQ530" t="str">
        <f>IFERROR(VLOOKUP(Z530,InvBal!$L$4:$P$600,4,FALSE),"Pend")</f>
        <v>Pend</v>
      </c>
      <c r="AR530" t="str">
        <f>IFERROR(VLOOKUP(D530,Manual!$C$1:$E$22,2,FALSE),"Pend")</f>
        <v>Pend</v>
      </c>
      <c r="AS530" t="str">
        <f t="shared" si="196"/>
        <v>Yes</v>
      </c>
      <c r="AT530" t="str">
        <f t="shared" si="197"/>
        <v>Yes</v>
      </c>
      <c r="AU530" s="51" t="str">
        <f t="shared" si="198"/>
        <v>Yes</v>
      </c>
      <c r="AV530" s="12">
        <f>IFERROR(VLOOKUP(D530,'Receivable Invoice Detail'!$S$1:$U$3014,3,FALSE),0)</f>
        <v>0</v>
      </c>
      <c r="AW530" s="12">
        <f t="shared" si="199"/>
        <v>2069.85</v>
      </c>
    </row>
    <row r="531" spans="1:49" x14ac:dyDescent="0.25">
      <c r="A531" s="2">
        <v>1</v>
      </c>
      <c r="B531" s="2" t="s">
        <v>1387</v>
      </c>
      <c r="C531" s="2" t="s">
        <v>1388</v>
      </c>
      <c r="D531" s="2" t="s">
        <v>2774</v>
      </c>
      <c r="E531" s="2" t="s">
        <v>176</v>
      </c>
      <c r="F531" s="3">
        <v>45797.525497685187</v>
      </c>
      <c r="G531" s="3">
        <v>45798.643680555557</v>
      </c>
      <c r="H531" s="4">
        <v>45875</v>
      </c>
      <c r="I531" s="2" t="s">
        <v>21</v>
      </c>
      <c r="J531" s="2" t="s">
        <v>22</v>
      </c>
      <c r="K531" s="2">
        <v>1</v>
      </c>
      <c r="L531" s="2">
        <v>8768.5499999999993</v>
      </c>
      <c r="M531" s="2">
        <v>0</v>
      </c>
      <c r="N531" s="2">
        <v>6342.789105492031</v>
      </c>
      <c r="O531" s="2">
        <v>7759.78</v>
      </c>
      <c r="P531" s="2">
        <v>1008.77</v>
      </c>
      <c r="Q531" s="2">
        <v>8768.5499999999993</v>
      </c>
      <c r="R531" s="2" t="s">
        <v>44</v>
      </c>
      <c r="S531" s="2"/>
      <c r="T531" s="2">
        <f t="shared" si="181"/>
        <v>1</v>
      </c>
      <c r="U531" s="18">
        <f t="shared" si="182"/>
        <v>5</v>
      </c>
      <c r="V531" s="18">
        <f t="shared" si="183"/>
        <v>2025</v>
      </c>
      <c r="W531" s="18">
        <f t="shared" si="184"/>
        <v>8</v>
      </c>
      <c r="X531" s="18">
        <f t="shared" si="185"/>
        <v>2025</v>
      </c>
      <c r="Y531" s="2">
        <f t="shared" si="178"/>
        <v>0.72335666735002158</v>
      </c>
      <c r="Z531" t="str">
        <f t="shared" si="179"/>
        <v>SO17200</v>
      </c>
      <c r="AA531" s="11">
        <f t="shared" si="186"/>
        <v>45797.525497685187</v>
      </c>
      <c r="AB531" s="5" t="str">
        <f t="shared" si="187"/>
        <v>INV13160</v>
      </c>
      <c r="AC531" s="5" t="str">
        <f>IFERROR(VLOOKUP(D531,CAARStatus!$A$2:$AA$1600,22,FALSE),"Not invoiced")</f>
        <v>Paid</v>
      </c>
      <c r="AD531" s="11">
        <f>IF(AC531="Paid",IFERROR(VLOOKUP(D531,CAARStatus!$A$2:$AA$1600,6,FALSE),"Pending"),"Pending")</f>
        <v>45894</v>
      </c>
      <c r="AE531" s="5" t="str">
        <f t="shared" si="188"/>
        <v>P-05252647</v>
      </c>
      <c r="AF531" s="5" t="str">
        <f t="shared" si="189"/>
        <v>Industrial Pump Repair Canada</v>
      </c>
      <c r="AG531" s="5" t="str">
        <f t="shared" si="190"/>
        <v>CAD</v>
      </c>
      <c r="AH531" s="5">
        <f t="shared" si="191"/>
        <v>7759.78</v>
      </c>
      <c r="AI531" s="12">
        <f>IF(L531-N531=0,VLOOKUP(U531,rate!A$4:B$15,2,FALSE)*AH531,IF(AG531="USD",O531,AH531*Y531))</f>
        <v>5613.0886001693507</v>
      </c>
      <c r="AJ531" s="13">
        <f t="shared" si="192"/>
        <v>0.72335666735002169</v>
      </c>
      <c r="AK531" s="13">
        <f>-IF(AG531="CAD",IFERROR(VLOOKUP(D531,CAARStatus!$A$1:$Y$1600,16,FALSE),0),0)</f>
        <v>-7759.78</v>
      </c>
      <c r="AL531" s="13">
        <f>-IF(AG531="USD",IFERROR(VLOOKUP(D531,CAARStatus!$A$1:$Y$1600,11,FALSE),0),0)</f>
        <v>0</v>
      </c>
      <c r="AM531" s="22">
        <f t="shared" si="193"/>
        <v>0</v>
      </c>
      <c r="AN531" s="12" t="str">
        <f t="shared" si="194"/>
        <v/>
      </c>
      <c r="AO531" s="12" t="str">
        <f t="shared" si="195"/>
        <v>Yes</v>
      </c>
      <c r="AP531" t="str">
        <f t="shared" si="180"/>
        <v>Yes</v>
      </c>
      <c r="AQ531" t="str">
        <f>IFERROR(VLOOKUP(Z531,InvBal!$L$4:$P$600,4,FALSE),"Pend")</f>
        <v>Pend</v>
      </c>
      <c r="AR531" t="str">
        <f>IFERROR(VLOOKUP(D531,Manual!$C$1:$E$22,2,FALSE),"Pend")</f>
        <v>Pend</v>
      </c>
      <c r="AS531" t="str">
        <f t="shared" si="196"/>
        <v>Yes</v>
      </c>
      <c r="AT531" t="str">
        <f t="shared" si="197"/>
        <v>Yes</v>
      </c>
      <c r="AU531" s="51" t="str">
        <f t="shared" si="198"/>
        <v>Yes</v>
      </c>
      <c r="AV531" s="12">
        <f>IFERROR(VLOOKUP(D531,'Receivable Invoice Detail'!$S$1:$U$3014,3,FALSE),0)</f>
        <v>0</v>
      </c>
      <c r="AW531" s="12">
        <f t="shared" si="199"/>
        <v>5613.0886001693507</v>
      </c>
    </row>
    <row r="532" spans="1:49" ht="30" x14ac:dyDescent="0.25">
      <c r="A532" s="2">
        <v>4</v>
      </c>
      <c r="B532" s="2" t="s">
        <v>1289</v>
      </c>
      <c r="C532" s="2" t="s">
        <v>1290</v>
      </c>
      <c r="D532" s="2" t="s">
        <v>5973</v>
      </c>
      <c r="E532" s="2" t="s">
        <v>159</v>
      </c>
      <c r="F532" s="3">
        <v>45797.575694444437</v>
      </c>
      <c r="G532" s="3">
        <v>45811.609537037039</v>
      </c>
      <c r="H532" s="4">
        <v>45971</v>
      </c>
      <c r="I532" s="2" t="s">
        <v>40</v>
      </c>
      <c r="J532" s="2" t="s">
        <v>51</v>
      </c>
      <c r="K532" s="2">
        <v>0.72982219017840411</v>
      </c>
      <c r="L532" s="2">
        <v>112468.2711825125</v>
      </c>
      <c r="M532" s="2">
        <v>0</v>
      </c>
      <c r="N532" s="2">
        <v>82081.84</v>
      </c>
      <c r="O532" s="2">
        <v>82081.84</v>
      </c>
      <c r="P532" s="2"/>
      <c r="Q532" s="2">
        <v>82081.84</v>
      </c>
      <c r="R532" s="2" t="s">
        <v>44</v>
      </c>
      <c r="S532" s="2"/>
      <c r="T532" s="2">
        <f t="shared" si="181"/>
        <v>4</v>
      </c>
      <c r="U532" s="18">
        <f t="shared" si="182"/>
        <v>5</v>
      </c>
      <c r="V532" s="18">
        <f t="shared" si="183"/>
        <v>2025</v>
      </c>
      <c r="W532" s="18" t="str">
        <f t="shared" si="184"/>
        <v/>
      </c>
      <c r="X532" s="18" t="str">
        <f t="shared" si="185"/>
        <v/>
      </c>
      <c r="Y532" s="2">
        <f t="shared" si="178"/>
        <v>0.72982219017840444</v>
      </c>
      <c r="Z532" t="str">
        <f t="shared" si="179"/>
        <v>SO17201</v>
      </c>
      <c r="AA532" s="11">
        <f t="shared" si="186"/>
        <v>45797.575694444437</v>
      </c>
      <c r="AB532" s="5" t="str">
        <f t="shared" si="187"/>
        <v>INV13742</v>
      </c>
      <c r="AC532" s="5" t="str">
        <f>IFERROR(VLOOKUP(D532,CAARStatus!$A$2:$AA$1600,22,FALSE),"Not invoiced")</f>
        <v>Approved</v>
      </c>
      <c r="AD532" s="11" t="str">
        <f>IF(AC532="Paid",IFERROR(VLOOKUP(D532,CAARStatus!$A$2:$AA$1600,6,FALSE),"Pending"),"Pending")</f>
        <v>Pending</v>
      </c>
      <c r="AE532" s="5" t="str">
        <f t="shared" si="188"/>
        <v>4501202872</v>
      </c>
      <c r="AF532" s="5" t="str">
        <f t="shared" si="189"/>
        <v>Barrick Gold - Pueblo Viejo Dominicana Corporation</v>
      </c>
      <c r="AG532" s="5" t="str">
        <f t="shared" si="190"/>
        <v>USD</v>
      </c>
      <c r="AH532" s="5">
        <f t="shared" si="191"/>
        <v>112468.27118251254</v>
      </c>
      <c r="AI532" s="12">
        <f>IF(L532-N532=0,VLOOKUP(U532,rate!A$4:B$15,2,FALSE)*AH532,IF(AG532="USD",O532,AH532*Y532))</f>
        <v>82081.84</v>
      </c>
      <c r="AJ532" s="13">
        <f t="shared" si="192"/>
        <v>0.72982219017840411</v>
      </c>
      <c r="AK532" s="61">
        <f>IF(AC532="Paid",-IF(AG532="CAD",IFERROR(VLOOKUP(D532,CAARStatus!$A$1:$Y$1600,16,FALSE),0),0),0)</f>
        <v>0</v>
      </c>
      <c r="AL532" s="61">
        <f>IF(AC532="Paid",-IF(AG532="USD",IFERROR(VLOOKUP(D532,CAARStatus!$A$1:$Y$1600,11,FALSE),0),0),0)</f>
        <v>0</v>
      </c>
      <c r="AM532" s="22" t="str">
        <f t="shared" si="193"/>
        <v/>
      </c>
      <c r="AN532" s="12">
        <f t="shared" si="194"/>
        <v>82081.84</v>
      </c>
      <c r="AO532" s="12" t="str">
        <f t="shared" si="195"/>
        <v>Pend</v>
      </c>
      <c r="AP532" t="str">
        <f t="shared" si="180"/>
        <v>XX</v>
      </c>
      <c r="AQ532">
        <f>IFERROR(VLOOKUP(Z532,InvBal!$L$4:$P$600,4,FALSE),"Pend")</f>
        <v>0</v>
      </c>
      <c r="AR532" t="str">
        <f>IFERROR(VLOOKUP(D532,Manual!$C$1:$E$22,2,FALSE),"Pend")</f>
        <v>Pend</v>
      </c>
      <c r="AS532" t="str">
        <f t="shared" si="196"/>
        <v/>
      </c>
      <c r="AT532" t="str">
        <f t="shared" si="197"/>
        <v>Yes</v>
      </c>
      <c r="AU532" s="51" t="str">
        <f t="shared" si="198"/>
        <v/>
      </c>
      <c r="AV532" s="12">
        <f>IFERROR(VLOOKUP(D532,'Receivable Invoice Detail'!$S$1:$U$3014,3,FALSE),0)</f>
        <v>0</v>
      </c>
      <c r="AW532" s="12">
        <f t="shared" si="199"/>
        <v>0</v>
      </c>
    </row>
    <row r="533" spans="1:49" x14ac:dyDescent="0.25">
      <c r="A533" s="2"/>
      <c r="B533" s="2"/>
      <c r="C533" s="2"/>
      <c r="D533" s="2" t="s">
        <v>2827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>
        <f t="shared" si="181"/>
        <v>4</v>
      </c>
      <c r="U533" s="18">
        <f t="shared" si="182"/>
        <v>5</v>
      </c>
      <c r="V533" s="18">
        <f t="shared" si="183"/>
        <v>2025</v>
      </c>
      <c r="W533" s="18">
        <f t="shared" si="184"/>
        <v>9</v>
      </c>
      <c r="X533" s="18">
        <f t="shared" si="185"/>
        <v>2025</v>
      </c>
      <c r="Y533" s="2">
        <f t="shared" si="178"/>
        <v>0.72982219017840444</v>
      </c>
      <c r="Z533" t="str">
        <f t="shared" si="179"/>
        <v>SO17201</v>
      </c>
      <c r="AA533" s="11">
        <f t="shared" si="186"/>
        <v>45797.575694444437</v>
      </c>
      <c r="AB533" s="5" t="str">
        <f t="shared" si="187"/>
        <v>INV13250</v>
      </c>
      <c r="AC533" s="5" t="str">
        <f>IFERROR(VLOOKUP(D533,CAARStatus!$A$2:$AA$1600,22,FALSE),"Not invoiced")</f>
        <v>Paid</v>
      </c>
      <c r="AD533" s="11">
        <f>IF(AC533="Paid",IFERROR(VLOOKUP(D533,CAARStatus!$A$2:$AA$1600,6,FALSE),"Pending"),"Pending")</f>
        <v>45926</v>
      </c>
      <c r="AE533" s="5" t="str">
        <f t="shared" si="188"/>
        <v>4501202872</v>
      </c>
      <c r="AF533" s="5" t="str">
        <f t="shared" si="189"/>
        <v>Barrick Gold - Pueblo Viejo Dominicana Corporation</v>
      </c>
      <c r="AG533" s="5" t="str">
        <f t="shared" si="190"/>
        <v>USD</v>
      </c>
      <c r="AH533" s="5">
        <f t="shared" si="191"/>
        <v>0</v>
      </c>
      <c r="AI533" s="12">
        <f>IF(L533-N533=0,VLOOKUP(U533,rate!A$4:B$15,2,FALSE)*AH533,IF(AG533="USD",O533,AH533*Y533))</f>
        <v>0</v>
      </c>
      <c r="AJ533" s="13">
        <f t="shared" si="192"/>
        <v>0</v>
      </c>
      <c r="AK533" s="13">
        <f>-IF(AG533="CAD",IFERROR(VLOOKUP(D533,CAARStatus!$A$1:$Y$1600,16,FALSE),0),0)</f>
        <v>0</v>
      </c>
      <c r="AL533" s="13">
        <f>-IF(AG533="USD",IFERROR(VLOOKUP(D533,CAARStatus!$A$1:$Y$1600,11,FALSE),0),0)</f>
        <v>-4378.96</v>
      </c>
      <c r="AM533" s="22" t="str">
        <f t="shared" si="193"/>
        <v/>
      </c>
      <c r="AN533" s="12">
        <f t="shared" si="194"/>
        <v>-4378.96</v>
      </c>
      <c r="AO533" s="12" t="str">
        <f t="shared" si="195"/>
        <v>Yes</v>
      </c>
      <c r="AP533" t="str">
        <f t="shared" si="180"/>
        <v>XX</v>
      </c>
      <c r="AQ533">
        <f>IFERROR(VLOOKUP(Z533,InvBal!$L$4:$P$600,4,FALSE),"Pend")</f>
        <v>0</v>
      </c>
      <c r="AR533" t="str">
        <f>IFERROR(VLOOKUP(D533,Manual!$C$1:$E$22,2,FALSE),"Pend")</f>
        <v>Pend</v>
      </c>
      <c r="AS533" t="str">
        <f t="shared" si="196"/>
        <v/>
      </c>
      <c r="AT533" t="str">
        <f t="shared" si="197"/>
        <v/>
      </c>
      <c r="AU533" s="51" t="str">
        <f t="shared" si="198"/>
        <v/>
      </c>
      <c r="AV533" s="12">
        <f>IFERROR(VLOOKUP(D533,'Receivable Invoice Detail'!$S$1:$U$3014,3,FALSE),0)</f>
        <v>0</v>
      </c>
      <c r="AW533" s="12">
        <f t="shared" si="199"/>
        <v>0</v>
      </c>
    </row>
    <row r="534" spans="1:49" x14ac:dyDescent="0.25">
      <c r="A534" s="2"/>
      <c r="B534" s="2"/>
      <c r="C534" s="2"/>
      <c r="D534" s="2" t="s">
        <v>2828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>
        <f t="shared" si="181"/>
        <v>4</v>
      </c>
      <c r="U534" s="18">
        <f t="shared" si="182"/>
        <v>5</v>
      </c>
      <c r="V534" s="18">
        <f t="shared" si="183"/>
        <v>2025</v>
      </c>
      <c r="W534" s="18">
        <f t="shared" si="184"/>
        <v>11</v>
      </c>
      <c r="X534" s="18">
        <f t="shared" si="185"/>
        <v>2025</v>
      </c>
      <c r="Y534" s="2">
        <f t="shared" si="178"/>
        <v>0.72982219017840444</v>
      </c>
      <c r="Z534" t="str">
        <f t="shared" si="179"/>
        <v>SO17201</v>
      </c>
      <c r="AA534" s="11">
        <f t="shared" si="186"/>
        <v>45797.575694444437</v>
      </c>
      <c r="AB534" s="5" t="str">
        <f t="shared" si="187"/>
        <v>INV13476</v>
      </c>
      <c r="AC534" s="5" t="str">
        <f>IFERROR(VLOOKUP(D534,CAARStatus!$A$2:$AA$1600,22,FALSE),"Not invoiced")</f>
        <v>Paid</v>
      </c>
      <c r="AD534" s="11">
        <f>IF(AC534="Paid",IFERROR(VLOOKUP(D534,CAARStatus!$A$2:$AA$1600,6,FALSE),"Pending"),"Pending")</f>
        <v>45975</v>
      </c>
      <c r="AE534" s="5" t="str">
        <f t="shared" si="188"/>
        <v>4501202872</v>
      </c>
      <c r="AF534" s="5" t="str">
        <f t="shared" si="189"/>
        <v>Barrick Gold - Pueblo Viejo Dominicana Corporation</v>
      </c>
      <c r="AG534" s="5" t="str">
        <f t="shared" si="190"/>
        <v>USD</v>
      </c>
      <c r="AH534" s="5">
        <f t="shared" si="191"/>
        <v>0</v>
      </c>
      <c r="AI534" s="12">
        <f>IF(L534-N534=0,VLOOKUP(U534,rate!A$4:B$15,2,FALSE)*AH534,IF(AG534="USD",O534,AH534*Y534))</f>
        <v>0</v>
      </c>
      <c r="AJ534" s="13">
        <f t="shared" si="192"/>
        <v>0</v>
      </c>
      <c r="AK534" s="13">
        <f>-IF(AG534="CAD",IFERROR(VLOOKUP(D534,CAARStatus!$A$1:$Y$1600,16,FALSE),0),0)</f>
        <v>0</v>
      </c>
      <c r="AL534" s="13">
        <f>-IF(AG534="USD",IFERROR(VLOOKUP(D534,CAARStatus!$A$1:$Y$1600,11,FALSE),0),0)</f>
        <v>-2474.6999999999998</v>
      </c>
      <c r="AM534" s="22" t="str">
        <f t="shared" si="193"/>
        <v/>
      </c>
      <c r="AN534" s="12">
        <f t="shared" si="194"/>
        <v>-2474.6999999999998</v>
      </c>
      <c r="AO534" s="12" t="str">
        <f t="shared" si="195"/>
        <v>Yes</v>
      </c>
      <c r="AP534" t="str">
        <f t="shared" si="180"/>
        <v>XX</v>
      </c>
      <c r="AQ534">
        <f>IFERROR(VLOOKUP(Z534,InvBal!$L$4:$P$600,4,FALSE),"Pend")</f>
        <v>0</v>
      </c>
      <c r="AR534" t="str">
        <f>IFERROR(VLOOKUP(D534,Manual!$C$1:$E$22,2,FALSE),"Pend")</f>
        <v>Pend</v>
      </c>
      <c r="AS534" t="str">
        <f t="shared" si="196"/>
        <v/>
      </c>
      <c r="AT534" t="str">
        <f t="shared" si="197"/>
        <v/>
      </c>
      <c r="AU534" s="51" t="str">
        <f t="shared" si="198"/>
        <v/>
      </c>
      <c r="AV534" s="12">
        <f>IFERROR(VLOOKUP(D534,'Receivable Invoice Detail'!$S$1:$U$3014,3,FALSE),0)</f>
        <v>0</v>
      </c>
      <c r="AW534" s="12">
        <f t="shared" si="199"/>
        <v>0</v>
      </c>
    </row>
    <row r="535" spans="1:49" x14ac:dyDescent="0.25">
      <c r="A535" s="2"/>
      <c r="B535" s="2"/>
      <c r="C535" s="2"/>
      <c r="D535" s="2" t="s">
        <v>2829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>
        <f t="shared" si="181"/>
        <v>4</v>
      </c>
      <c r="U535" s="18">
        <f t="shared" si="182"/>
        <v>5</v>
      </c>
      <c r="V535" s="18">
        <f t="shared" si="183"/>
        <v>2025</v>
      </c>
      <c r="W535" s="18">
        <f t="shared" si="184"/>
        <v>12</v>
      </c>
      <c r="X535" s="18">
        <f t="shared" si="185"/>
        <v>2025</v>
      </c>
      <c r="Y535" s="2">
        <f t="shared" si="178"/>
        <v>0.72982219017840444</v>
      </c>
      <c r="Z535" t="str">
        <f t="shared" si="179"/>
        <v>SO17201</v>
      </c>
      <c r="AA535" s="11">
        <f t="shared" si="186"/>
        <v>45797.575694444437</v>
      </c>
      <c r="AB535" s="5" t="str">
        <f t="shared" si="187"/>
        <v>INV13644</v>
      </c>
      <c r="AC535" s="5" t="str">
        <f>IFERROR(VLOOKUP(D535,CAARStatus!$A$2:$AA$1600,22,FALSE),"Not invoiced")</f>
        <v>Paid</v>
      </c>
      <c r="AD535" s="11">
        <f>IF(AC535="Paid",IFERROR(VLOOKUP(D535,CAARStatus!$A$2:$AA$1600,6,FALSE),"Pending"),"Pending")</f>
        <v>45995</v>
      </c>
      <c r="AE535" s="5" t="str">
        <f t="shared" si="188"/>
        <v>4501202872</v>
      </c>
      <c r="AF535" s="5" t="str">
        <f t="shared" si="189"/>
        <v>Barrick Gold - Pueblo Viejo Dominicana Corporation</v>
      </c>
      <c r="AG535" s="5" t="str">
        <f t="shared" si="190"/>
        <v>USD</v>
      </c>
      <c r="AH535" s="5">
        <f t="shared" si="191"/>
        <v>0</v>
      </c>
      <c r="AI535" s="12">
        <f>IF(L535-N535=0,VLOOKUP(U535,rate!A$4:B$15,2,FALSE)*AH535,IF(AG535="USD",O535,AH535*Y535))</f>
        <v>0</v>
      </c>
      <c r="AJ535" s="13">
        <f t="shared" si="192"/>
        <v>0</v>
      </c>
      <c r="AK535" s="13">
        <f>-IF(AG535="CAD",IFERROR(VLOOKUP(D535,CAARStatus!$A$1:$Y$1600,16,FALSE),0),0)</f>
        <v>0</v>
      </c>
      <c r="AL535" s="13">
        <f>-IF(AG535="USD",IFERROR(VLOOKUP(D535,CAARStatus!$A$1:$Y$1600,11,FALSE),0),0)</f>
        <v>-66770.66</v>
      </c>
      <c r="AM535" s="22" t="str">
        <f t="shared" si="193"/>
        <v/>
      </c>
      <c r="AN535" s="12">
        <f t="shared" si="194"/>
        <v>-66770.66</v>
      </c>
      <c r="AO535" s="12" t="str">
        <f t="shared" si="195"/>
        <v>Yes</v>
      </c>
      <c r="AP535" t="str">
        <f t="shared" si="180"/>
        <v>XX</v>
      </c>
      <c r="AQ535">
        <f>IFERROR(VLOOKUP(Z535,InvBal!$L$4:$P$600,4,FALSE),"Pend")</f>
        <v>0</v>
      </c>
      <c r="AR535" t="str">
        <f>IFERROR(VLOOKUP(D535,Manual!$C$1:$E$22,2,FALSE),"Pend")</f>
        <v>Pend</v>
      </c>
      <c r="AS535" t="str">
        <f t="shared" si="196"/>
        <v/>
      </c>
      <c r="AT535" t="str">
        <f t="shared" si="197"/>
        <v/>
      </c>
      <c r="AU535" s="51" t="str">
        <f t="shared" si="198"/>
        <v/>
      </c>
      <c r="AV535" s="12">
        <f>IFERROR(VLOOKUP(D535,'Receivable Invoice Detail'!$S$1:$U$3014,3,FALSE),0)</f>
        <v>0</v>
      </c>
      <c r="AW535" s="12">
        <f t="shared" si="199"/>
        <v>0</v>
      </c>
    </row>
    <row r="536" spans="1:49" x14ac:dyDescent="0.25">
      <c r="A536" s="2">
        <v>1</v>
      </c>
      <c r="B536" s="2" t="s">
        <v>1366</v>
      </c>
      <c r="C536" s="2" t="s">
        <v>1367</v>
      </c>
      <c r="D536" s="2" t="s">
        <v>2786</v>
      </c>
      <c r="E536" s="2" t="s">
        <v>472</v>
      </c>
      <c r="F536" s="3">
        <v>45797.581608796303</v>
      </c>
      <c r="G536" s="3">
        <v>45800.372847222221</v>
      </c>
      <c r="H536" s="4">
        <v>45798</v>
      </c>
      <c r="I536" s="2" t="s">
        <v>21</v>
      </c>
      <c r="J536" s="2" t="s">
        <v>22</v>
      </c>
      <c r="K536" s="2">
        <v>1</v>
      </c>
      <c r="L536" s="2">
        <v>2214.0300000000002</v>
      </c>
      <c r="M536" s="2">
        <v>0</v>
      </c>
      <c r="N536" s="2">
        <v>1609.155427732507</v>
      </c>
      <c r="O536" s="2">
        <v>2110.85</v>
      </c>
      <c r="P536" s="2">
        <v>103.18</v>
      </c>
      <c r="Q536" s="2">
        <v>2214.0300000000002</v>
      </c>
      <c r="R536" s="2" t="s">
        <v>44</v>
      </c>
      <c r="S536" s="2"/>
      <c r="T536" s="2">
        <f t="shared" si="181"/>
        <v>1</v>
      </c>
      <c r="U536" s="18">
        <f t="shared" si="182"/>
        <v>5</v>
      </c>
      <c r="V536" s="18">
        <f t="shared" si="183"/>
        <v>2025</v>
      </c>
      <c r="W536" s="18">
        <f t="shared" si="184"/>
        <v>6</v>
      </c>
      <c r="X536" s="18">
        <f t="shared" si="185"/>
        <v>2025</v>
      </c>
      <c r="Y536" s="2">
        <f t="shared" si="178"/>
        <v>0.72679928805504301</v>
      </c>
      <c r="Z536" t="str">
        <f t="shared" si="179"/>
        <v>SO17202</v>
      </c>
      <c r="AA536" s="11">
        <f t="shared" si="186"/>
        <v>45797.581608796303</v>
      </c>
      <c r="AB536" s="5" t="str">
        <f t="shared" si="187"/>
        <v>INV13002</v>
      </c>
      <c r="AC536" s="5" t="str">
        <f>IFERROR(VLOOKUP(D536,CAARStatus!$A$2:$AA$1600,22,FALSE),"Not invoiced")</f>
        <v>Paid</v>
      </c>
      <c r="AD536" s="11">
        <f>IF(AC536="Paid",IFERROR(VLOOKUP(D536,CAARStatus!$A$2:$AA$1600,6,FALSE),"Pending"),"Pending")</f>
        <v>45826</v>
      </c>
      <c r="AE536" s="5" t="str">
        <f t="shared" si="188"/>
        <v>11888</v>
      </c>
      <c r="AF536" s="5" t="str">
        <f t="shared" si="189"/>
        <v>Les Pompes Diaspec Inc.</v>
      </c>
      <c r="AG536" s="5" t="str">
        <f t="shared" si="190"/>
        <v>CAD</v>
      </c>
      <c r="AH536" s="5">
        <f t="shared" si="191"/>
        <v>2110.85</v>
      </c>
      <c r="AI536" s="12">
        <f>IF(L536-N536=0,VLOOKUP(U536,rate!A$4:B$15,2,FALSE)*AH536,IF(AG536="USD",O536,AH536*Y536))</f>
        <v>1534.1642771909874</v>
      </c>
      <c r="AJ536" s="13">
        <f t="shared" si="192"/>
        <v>0.72679928805504301</v>
      </c>
      <c r="AK536" s="13">
        <f>-IF(AG536="CAD",IFERROR(VLOOKUP(D536,CAARStatus!$A$1:$Y$1600,16,FALSE),0),0)</f>
        <v>-2108.6</v>
      </c>
      <c r="AL536" s="13">
        <f>-IF(AG536="USD",IFERROR(VLOOKUP(D536,CAARStatus!$A$1:$Y$1600,11,FALSE),0),0)</f>
        <v>0</v>
      </c>
      <c r="AM536" s="22">
        <f t="shared" si="193"/>
        <v>2.25</v>
      </c>
      <c r="AN536" s="12" t="str">
        <f t="shared" si="194"/>
        <v/>
      </c>
      <c r="AO536" s="12" t="str">
        <f t="shared" si="195"/>
        <v>Yes</v>
      </c>
      <c r="AP536" t="str">
        <f t="shared" si="180"/>
        <v>Yes</v>
      </c>
      <c r="AQ536" t="str">
        <f>IFERROR(VLOOKUP(Z536,InvBal!$L$4:$P$600,4,FALSE),"Pend")</f>
        <v>Pend</v>
      </c>
      <c r="AR536" t="str">
        <f>IFERROR(VLOOKUP(D536,Manual!$C$1:$E$22,2,FALSE),"Pend")</f>
        <v>Pend</v>
      </c>
      <c r="AS536" t="str">
        <f t="shared" si="196"/>
        <v>Yes</v>
      </c>
      <c r="AT536" t="str">
        <f t="shared" si="197"/>
        <v>Yes</v>
      </c>
      <c r="AU536" s="51" t="str">
        <f t="shared" si="198"/>
        <v>Yes</v>
      </c>
      <c r="AV536" s="12">
        <f>IFERROR(VLOOKUP(D536,'Receivable Invoice Detail'!$S$1:$U$3014,3,FALSE),0)</f>
        <v>45</v>
      </c>
      <c r="AW536" s="12">
        <f t="shared" si="199"/>
        <v>1489.1642771909874</v>
      </c>
    </row>
    <row r="537" spans="1:49" ht="45" x14ac:dyDescent="0.25">
      <c r="A537" s="2">
        <v>1</v>
      </c>
      <c r="B537" s="2" t="s">
        <v>1331</v>
      </c>
      <c r="C537" s="2" t="s">
        <v>1332</v>
      </c>
      <c r="D537" s="2" t="s">
        <v>2804</v>
      </c>
      <c r="E537" s="2" t="s">
        <v>1333</v>
      </c>
      <c r="F537" s="3">
        <v>45797.661377314813</v>
      </c>
      <c r="G537" s="3">
        <v>45805.434224537043</v>
      </c>
      <c r="H537" s="4">
        <v>45806</v>
      </c>
      <c r="I537" s="2" t="s">
        <v>21</v>
      </c>
      <c r="J537" s="2" t="s">
        <v>22</v>
      </c>
      <c r="K537" s="2">
        <v>1</v>
      </c>
      <c r="L537" s="2">
        <v>161.09</v>
      </c>
      <c r="M537" s="2">
        <v>0</v>
      </c>
      <c r="N537" s="2">
        <v>116.5545039384138</v>
      </c>
      <c r="O537" s="2">
        <v>153.41999999999999</v>
      </c>
      <c r="P537" s="2">
        <v>7.67</v>
      </c>
      <c r="Q537" s="2">
        <v>161.09</v>
      </c>
      <c r="R537" s="2" t="s">
        <v>44</v>
      </c>
      <c r="S537" s="2"/>
      <c r="T537" s="2">
        <f t="shared" si="181"/>
        <v>1</v>
      </c>
      <c r="U537" s="18">
        <f t="shared" si="182"/>
        <v>5</v>
      </c>
      <c r="V537" s="18">
        <f t="shared" si="183"/>
        <v>2025</v>
      </c>
      <c r="W537" s="18">
        <f t="shared" si="184"/>
        <v>7</v>
      </c>
      <c r="X537" s="18">
        <f t="shared" si="185"/>
        <v>2025</v>
      </c>
      <c r="Y537" s="17">
        <f t="shared" si="178"/>
        <v>0.72353655682173812</v>
      </c>
      <c r="Z537" t="str">
        <f t="shared" si="179"/>
        <v>SO17205</v>
      </c>
      <c r="AA537" s="11">
        <f t="shared" si="186"/>
        <v>45797.661377314813</v>
      </c>
      <c r="AB537" s="5" t="str">
        <f t="shared" si="187"/>
        <v>INV13047</v>
      </c>
      <c r="AC537" s="5" t="str">
        <f>IFERROR(VLOOKUP(D537,CAARStatus!$A$2:$AA$1600,22,FALSE),"Not invoiced")</f>
        <v>Paid</v>
      </c>
      <c r="AD537" s="11">
        <f>IF(AC537="Paid",IFERROR(VLOOKUP(D537,CAARStatus!$A$2:$AA$1600,6,FALSE),"Pending"),"Pending")</f>
        <v>45840</v>
      </c>
      <c r="AE537" s="5" t="str">
        <f t="shared" si="188"/>
        <v>QC10-00126625</v>
      </c>
      <c r="AF537" s="5" t="str">
        <f t="shared" si="189"/>
        <v>Motion Industries Inc. (Canada) - Chicoutimi, Motion Industries Inc. (Canada) - Chicoutimi</v>
      </c>
      <c r="AG537" s="5" t="str">
        <f t="shared" si="190"/>
        <v>CAD</v>
      </c>
      <c r="AH537" s="5">
        <f t="shared" si="191"/>
        <v>153.41999999999999</v>
      </c>
      <c r="AI537" s="12">
        <f>IF(L537-N537=0,VLOOKUP(U537,rate!A$4:B$15,2,FALSE)*AH537,IF(AG537="USD",O537,AH537*Y537))</f>
        <v>111.00497854759105</v>
      </c>
      <c r="AJ537" s="13">
        <f t="shared" si="192"/>
        <v>0.72353655682173812</v>
      </c>
      <c r="AK537" s="13">
        <f>-IF(AG537="CAD",IFERROR(VLOOKUP(D537,CAARStatus!$A$1:$Y$1600,16,FALSE),0),0)</f>
        <v>-153.41999999999999</v>
      </c>
      <c r="AL537" s="13">
        <f>-IF(AG537="USD",IFERROR(VLOOKUP(D537,CAARStatus!$A$1:$Y$1600,11,FALSE),0),0)</f>
        <v>0</v>
      </c>
      <c r="AM537" s="22">
        <f t="shared" si="193"/>
        <v>0</v>
      </c>
      <c r="AN537" s="12" t="str">
        <f t="shared" si="194"/>
        <v/>
      </c>
      <c r="AO537" s="12" t="str">
        <f t="shared" si="195"/>
        <v>Yes</v>
      </c>
      <c r="AP537" t="str">
        <f t="shared" si="180"/>
        <v>Yes</v>
      </c>
      <c r="AQ537" t="str">
        <f>IFERROR(VLOOKUP(Z537,InvBal!$L$4:$P$600,4,FALSE),"Pend")</f>
        <v>Pend</v>
      </c>
      <c r="AR537" t="str">
        <f>IFERROR(VLOOKUP(D537,Manual!$C$1:$E$22,2,FALSE),"Pend")</f>
        <v>Pend</v>
      </c>
      <c r="AS537" t="str">
        <f t="shared" si="196"/>
        <v>Yes</v>
      </c>
      <c r="AT537" t="str">
        <f t="shared" si="197"/>
        <v>Yes</v>
      </c>
      <c r="AU537" s="51" t="str">
        <f t="shared" si="198"/>
        <v>Yes</v>
      </c>
      <c r="AV537" s="12">
        <f>IFERROR(VLOOKUP(D537,'Receivable Invoice Detail'!$S$1:$U$3014,3,FALSE),0)</f>
        <v>0</v>
      </c>
      <c r="AW537" s="12">
        <f t="shared" si="199"/>
        <v>111.00497854759105</v>
      </c>
    </row>
    <row r="538" spans="1:49" ht="30" x14ac:dyDescent="0.25">
      <c r="A538" s="2">
        <v>1</v>
      </c>
      <c r="B538" s="2" t="s">
        <v>1393</v>
      </c>
      <c r="C538" s="2" t="s">
        <v>1394</v>
      </c>
      <c r="D538" s="2" t="s">
        <v>2771</v>
      </c>
      <c r="E538" s="2" t="s">
        <v>159</v>
      </c>
      <c r="F538" s="3">
        <v>45798.352951388893</v>
      </c>
      <c r="G538" s="3">
        <v>45798.372187499997</v>
      </c>
      <c r="H538" s="4">
        <v>45821</v>
      </c>
      <c r="I538" s="2" t="s">
        <v>40</v>
      </c>
      <c r="J538" s="2" t="s">
        <v>51</v>
      </c>
      <c r="K538" s="2">
        <v>0.7168814564314101</v>
      </c>
      <c r="L538" s="2">
        <v>1350.878853556532</v>
      </c>
      <c r="M538" s="2">
        <v>0</v>
      </c>
      <c r="N538" s="2">
        <v>968.42</v>
      </c>
      <c r="O538" s="2">
        <v>968.42</v>
      </c>
      <c r="P538" s="2"/>
      <c r="Q538" s="2">
        <v>968.42</v>
      </c>
      <c r="R538" s="2" t="s">
        <v>44</v>
      </c>
      <c r="S538" s="2"/>
      <c r="T538" s="2">
        <f t="shared" si="181"/>
        <v>1</v>
      </c>
      <c r="U538" s="18">
        <f t="shared" si="182"/>
        <v>5</v>
      </c>
      <c r="V538" s="18">
        <f t="shared" si="183"/>
        <v>2025</v>
      </c>
      <c r="W538" s="18">
        <f t="shared" si="184"/>
        <v>8</v>
      </c>
      <c r="X538" s="18">
        <f t="shared" si="185"/>
        <v>2025</v>
      </c>
      <c r="Y538" s="2">
        <f t="shared" si="178"/>
        <v>0.71688145643140988</v>
      </c>
      <c r="Z538" t="str">
        <f t="shared" si="179"/>
        <v>SO17207</v>
      </c>
      <c r="AA538" s="11">
        <f t="shared" si="186"/>
        <v>45798.352951388893</v>
      </c>
      <c r="AB538" s="5" t="str">
        <f t="shared" si="187"/>
        <v>INV13069</v>
      </c>
      <c r="AC538" s="5" t="str">
        <f>IFERROR(VLOOKUP(D538,CAARStatus!$A$2:$AA$1600,22,FALSE),"Not invoiced")</f>
        <v>Paid</v>
      </c>
      <c r="AD538" s="11">
        <f>IF(AC538="Paid",IFERROR(VLOOKUP(D538,CAARStatus!$A$2:$AA$1600,6,FALSE),"Pending"),"Pending")</f>
        <v>45870</v>
      </c>
      <c r="AE538" s="5" t="str">
        <f t="shared" si="188"/>
        <v>4501193354</v>
      </c>
      <c r="AF538" s="5" t="str">
        <f t="shared" si="189"/>
        <v>Barrick Gold - Pueblo Viejo Dominicana Corporation</v>
      </c>
      <c r="AG538" s="5" t="str">
        <f t="shared" si="190"/>
        <v>USD</v>
      </c>
      <c r="AH538" s="5">
        <f t="shared" si="191"/>
        <v>1350.8788535565316</v>
      </c>
      <c r="AI538" s="12">
        <f>IF(L538-N538=0,VLOOKUP(U538,rate!A$4:B$15,2,FALSE)*AH538,IF(AG538="USD",O538,AH538*Y538))</f>
        <v>968.42</v>
      </c>
      <c r="AJ538" s="13">
        <f t="shared" si="192"/>
        <v>0.7168814564314101</v>
      </c>
      <c r="AK538" s="13">
        <f>-IF(AG538="CAD",IFERROR(VLOOKUP(D538,CAARStatus!$A$1:$Y$1600,16,FALSE),0),0)</f>
        <v>0</v>
      </c>
      <c r="AL538" s="13">
        <f>-IF(AG538="USD",IFERROR(VLOOKUP(D538,CAARStatus!$A$1:$Y$1600,11,FALSE),0),0)</f>
        <v>-968.42</v>
      </c>
      <c r="AM538" s="22" t="str">
        <f t="shared" si="193"/>
        <v/>
      </c>
      <c r="AN538" s="12">
        <f t="shared" si="194"/>
        <v>0</v>
      </c>
      <c r="AO538" s="12" t="str">
        <f t="shared" si="195"/>
        <v>Yes</v>
      </c>
      <c r="AP538" t="str">
        <f t="shared" si="180"/>
        <v>Yes</v>
      </c>
      <c r="AQ538" t="str">
        <f>IFERROR(VLOOKUP(Z538,InvBal!$L$4:$P$600,4,FALSE),"Pend")</f>
        <v>Pend</v>
      </c>
      <c r="AR538" t="str">
        <f>IFERROR(VLOOKUP(D538,Manual!$C$1:$E$22,2,FALSE),"Pend")</f>
        <v>Pend</v>
      </c>
      <c r="AS538" t="str">
        <f t="shared" si="196"/>
        <v>Yes</v>
      </c>
      <c r="AT538" t="str">
        <f t="shared" si="197"/>
        <v>Yes</v>
      </c>
      <c r="AU538" s="51" t="str">
        <f t="shared" si="198"/>
        <v>Yes</v>
      </c>
      <c r="AV538" s="12">
        <f>IFERROR(VLOOKUP(D538,'Receivable Invoice Detail'!$S$1:$U$3014,3,FALSE),0)</f>
        <v>0</v>
      </c>
      <c r="AW538" s="12">
        <f t="shared" si="199"/>
        <v>968.42</v>
      </c>
    </row>
    <row r="539" spans="1:49" ht="30" x14ac:dyDescent="0.25">
      <c r="A539" s="2">
        <v>1</v>
      </c>
      <c r="B539" s="2" t="s">
        <v>1389</v>
      </c>
      <c r="C539" s="2" t="s">
        <v>1390</v>
      </c>
      <c r="D539" s="2" t="s">
        <v>2773</v>
      </c>
      <c r="E539" s="2" t="s">
        <v>129</v>
      </c>
      <c r="F539" s="3">
        <v>45798.633657407408</v>
      </c>
      <c r="G539" s="3">
        <v>45798.633657407408</v>
      </c>
      <c r="H539" s="4">
        <v>45534</v>
      </c>
      <c r="I539" s="2" t="s">
        <v>130</v>
      </c>
      <c r="J539" s="2" t="s">
        <v>51</v>
      </c>
      <c r="K539" s="2">
        <v>0.7168814564314101</v>
      </c>
      <c r="L539" s="2">
        <v>22413.747567115872</v>
      </c>
      <c r="M539" s="2">
        <v>0</v>
      </c>
      <c r="N539" s="2">
        <v>16068</v>
      </c>
      <c r="O539" s="2">
        <v>16068</v>
      </c>
      <c r="P539" s="2"/>
      <c r="Q539" s="2">
        <v>16068</v>
      </c>
      <c r="R539" s="2" t="s">
        <v>44</v>
      </c>
      <c r="S539" s="2"/>
      <c r="T539" s="2">
        <f t="shared" si="181"/>
        <v>1</v>
      </c>
      <c r="U539" s="18">
        <f t="shared" si="182"/>
        <v>5</v>
      </c>
      <c r="V539" s="18">
        <f t="shared" si="183"/>
        <v>2025</v>
      </c>
      <c r="W539" s="18" t="str">
        <f t="shared" si="184"/>
        <v/>
      </c>
      <c r="X539" s="18" t="str">
        <f t="shared" si="185"/>
        <v/>
      </c>
      <c r="Y539" s="17">
        <f t="shared" si="178"/>
        <v>0.7168814564314101</v>
      </c>
      <c r="Z539" t="str">
        <f t="shared" si="179"/>
        <v>SO17209</v>
      </c>
      <c r="AA539" s="11">
        <f t="shared" si="186"/>
        <v>45798.633657407408</v>
      </c>
      <c r="AB539" s="5" t="str">
        <f t="shared" si="187"/>
        <v>INV13322</v>
      </c>
      <c r="AC539" s="5" t="str">
        <f>IFERROR(VLOOKUP(D539,CAARStatus!$A$2:$AA$1600,22,FALSE),"Not invoiced")</f>
        <v>Approved</v>
      </c>
      <c r="AD539" s="11" t="str">
        <f>IF(AC539="Paid",IFERROR(VLOOKUP(D539,CAARStatus!$A$2:$AA$1600,6,FALSE),"Pending"),"Pending")</f>
        <v>Pending</v>
      </c>
      <c r="AE539" s="5" t="str">
        <f t="shared" si="188"/>
        <v>OC00169</v>
      </c>
      <c r="AF539" s="5" t="str">
        <f t="shared" si="189"/>
        <v>Dynapro Pumps México S de RL de CV</v>
      </c>
      <c r="AG539" s="5" t="str">
        <f t="shared" si="190"/>
        <v>USD</v>
      </c>
      <c r="AH539" s="5">
        <f t="shared" si="191"/>
        <v>22413.747567115872</v>
      </c>
      <c r="AI539" s="12">
        <f>IF(L539-N539=0,VLOOKUP(U539,rate!A$4:B$15,2,FALSE)*AH539,IF(AG539="USD",O539,AH539*Y539))</f>
        <v>16068</v>
      </c>
      <c r="AJ539" s="13">
        <f t="shared" si="192"/>
        <v>0.7168814564314101</v>
      </c>
      <c r="AK539" s="13">
        <f>-IF(AG539="CAD",IFERROR(VLOOKUP(D539,CAARStatus!$A$1:$Y$1600,16,FALSE),0),0)</f>
        <v>0</v>
      </c>
      <c r="AL539" s="13">
        <f>-IF(AG539="USD",IFERROR(VLOOKUP(D539,CAARStatus!$A$1:$Y$1600,11,FALSE),0),0)</f>
        <v>-16068</v>
      </c>
      <c r="AM539" s="22" t="str">
        <f t="shared" si="193"/>
        <v/>
      </c>
      <c r="AN539" s="12">
        <f t="shared" si="194"/>
        <v>0</v>
      </c>
      <c r="AO539" s="12" t="str">
        <f t="shared" si="195"/>
        <v>Pend</v>
      </c>
      <c r="AP539" t="str">
        <f t="shared" si="180"/>
        <v>Pend</v>
      </c>
      <c r="AQ539" t="str">
        <f>IFERROR(VLOOKUP(Z539,InvBal!$L$4:$P$600,4,FALSE),"Pend")</f>
        <v>Pend</v>
      </c>
      <c r="AR539" t="str">
        <f>IFERROR(VLOOKUP(D539,Manual!$C$1:$E$22,2,FALSE),"Pend")</f>
        <v>Pend</v>
      </c>
      <c r="AS539" t="str">
        <f t="shared" si="196"/>
        <v/>
      </c>
      <c r="AT539" t="str">
        <f t="shared" si="197"/>
        <v>Yes</v>
      </c>
      <c r="AU539" s="51" t="str">
        <f t="shared" si="198"/>
        <v/>
      </c>
      <c r="AV539" s="12">
        <f>IFERROR(VLOOKUP(D539,'Receivable Invoice Detail'!$S$1:$U$3014,3,FALSE),0)</f>
        <v>0</v>
      </c>
      <c r="AW539" s="12">
        <f t="shared" si="199"/>
        <v>0</v>
      </c>
    </row>
    <row r="540" spans="1:49" ht="30" x14ac:dyDescent="0.25">
      <c r="A540" s="2">
        <v>1</v>
      </c>
      <c r="B540" s="2" t="s">
        <v>1383</v>
      </c>
      <c r="C540" s="2" t="s">
        <v>1384</v>
      </c>
      <c r="D540" s="2" t="s">
        <v>2776</v>
      </c>
      <c r="E540" s="2" t="s">
        <v>6166</v>
      </c>
      <c r="F540" s="3">
        <v>45798.644849537042</v>
      </c>
      <c r="G540" s="3">
        <v>45799.469201388893</v>
      </c>
      <c r="H540" s="4">
        <v>45800</v>
      </c>
      <c r="I540" s="2" t="s">
        <v>1132</v>
      </c>
      <c r="J540" s="2" t="s">
        <v>22</v>
      </c>
      <c r="K540" s="2">
        <v>1</v>
      </c>
      <c r="L540" s="2">
        <v>200.08</v>
      </c>
      <c r="M540" s="2">
        <v>0</v>
      </c>
      <c r="N540" s="2">
        <v>144.37987630494791</v>
      </c>
      <c r="O540" s="2">
        <v>190.55</v>
      </c>
      <c r="P540" s="2">
        <v>9.5299999999999994</v>
      </c>
      <c r="Q540" s="2">
        <v>200.08</v>
      </c>
      <c r="R540" s="2" t="s">
        <v>44</v>
      </c>
      <c r="S540" s="2"/>
      <c r="T540" s="2">
        <f t="shared" si="181"/>
        <v>1</v>
      </c>
      <c r="U540" s="18">
        <f t="shared" si="182"/>
        <v>5</v>
      </c>
      <c r="V540" s="18">
        <f t="shared" si="183"/>
        <v>2025</v>
      </c>
      <c r="W540" s="18">
        <f t="shared" si="184"/>
        <v>6</v>
      </c>
      <c r="X540" s="18">
        <f t="shared" si="185"/>
        <v>2025</v>
      </c>
      <c r="Y540" s="2">
        <f t="shared" si="178"/>
        <v>0.72161073722984759</v>
      </c>
      <c r="Z540" t="str">
        <f t="shared" si="179"/>
        <v>SO17210</v>
      </c>
      <c r="AA540" s="11">
        <f t="shared" si="186"/>
        <v>45798.644849537042</v>
      </c>
      <c r="AB540" s="5" t="str">
        <f t="shared" si="187"/>
        <v>INV13005</v>
      </c>
      <c r="AC540" s="5" t="str">
        <f>IFERROR(VLOOKUP(D540,CAARStatus!$A$2:$AA$1600,22,FALSE),"Not invoiced")</f>
        <v>Paid</v>
      </c>
      <c r="AD540" s="11">
        <f>IF(AC540="Paid",IFERROR(VLOOKUP(D540,CAARStatus!$A$2:$AA$1600,6,FALSE),"Pending"),"Pending")</f>
        <v>45833</v>
      </c>
      <c r="AE540" s="5" t="str">
        <f t="shared" si="188"/>
        <v>L65270-DS</v>
      </c>
      <c r="AF540" s="5" t="str">
        <f t="shared" si="189"/>
        <v>Wild Rows Pump &amp; Compression LTD.</v>
      </c>
      <c r="AG540" s="5" t="str">
        <f t="shared" si="190"/>
        <v>CAD</v>
      </c>
      <c r="AH540" s="5">
        <f t="shared" si="191"/>
        <v>190.55</v>
      </c>
      <c r="AI540" s="12">
        <f>IF(L540-N540=0,VLOOKUP(U540,rate!A$4:B$15,2,FALSE)*AH540,IF(AG540="USD",O540,AH540*Y540))</f>
        <v>137.50292597914748</v>
      </c>
      <c r="AJ540" s="13">
        <f t="shared" si="192"/>
        <v>0.7216107372298477</v>
      </c>
      <c r="AK540" s="13">
        <f>-IF(AG540="CAD",IFERROR(VLOOKUP(D540,CAARStatus!$A$1:$Y$1600,16,FALSE),0),0)</f>
        <v>-190.55</v>
      </c>
      <c r="AL540" s="13">
        <f>-IF(AG540="USD",IFERROR(VLOOKUP(D540,CAARStatus!$A$1:$Y$1600,11,FALSE),0),0)</f>
        <v>0</v>
      </c>
      <c r="AM540" s="22">
        <f t="shared" si="193"/>
        <v>0</v>
      </c>
      <c r="AN540" s="12" t="str">
        <f t="shared" si="194"/>
        <v/>
      </c>
      <c r="AO540" s="12" t="str">
        <f t="shared" si="195"/>
        <v>Yes</v>
      </c>
      <c r="AP540" t="str">
        <f t="shared" si="180"/>
        <v>Yes</v>
      </c>
      <c r="AQ540" t="str">
        <f>IFERROR(VLOOKUP(Z540,InvBal!$L$4:$P$600,4,FALSE),"Pend")</f>
        <v>Pend</v>
      </c>
      <c r="AR540" t="str">
        <f>IFERROR(VLOOKUP(D540,Manual!$C$1:$E$22,2,FALSE),"Pend")</f>
        <v>Pend</v>
      </c>
      <c r="AS540" t="str">
        <f t="shared" si="196"/>
        <v>Yes</v>
      </c>
      <c r="AT540" t="str">
        <f t="shared" si="197"/>
        <v>Yes</v>
      </c>
      <c r="AU540" s="51" t="str">
        <f t="shared" si="198"/>
        <v>Yes</v>
      </c>
      <c r="AV540" s="12">
        <f>IFERROR(VLOOKUP(D540,'Receivable Invoice Detail'!$S$1:$U$3014,3,FALSE),0)</f>
        <v>0</v>
      </c>
      <c r="AW540" s="12">
        <f t="shared" si="199"/>
        <v>137.50292597914748</v>
      </c>
    </row>
    <row r="541" spans="1:49" ht="30" x14ac:dyDescent="0.25">
      <c r="A541" s="2">
        <v>0</v>
      </c>
      <c r="B541" s="2" t="s">
        <v>6168</v>
      </c>
      <c r="C541" s="2" t="s">
        <v>6169</v>
      </c>
      <c r="D541" s="2"/>
      <c r="E541" s="2" t="s">
        <v>1091</v>
      </c>
      <c r="F541" s="3">
        <v>45798.678078703713</v>
      </c>
      <c r="G541" s="3">
        <v>45999.780694444453</v>
      </c>
      <c r="H541" s="4">
        <v>46034</v>
      </c>
      <c r="I541" s="2" t="s">
        <v>21</v>
      </c>
      <c r="J541" s="2" t="s">
        <v>22</v>
      </c>
      <c r="K541" s="2">
        <v>1</v>
      </c>
      <c r="L541" s="2">
        <v>10137.280000000001</v>
      </c>
      <c r="M541" s="2">
        <v>10137.280000000001</v>
      </c>
      <c r="N541" s="2">
        <v>10137.280000000001</v>
      </c>
      <c r="O541" s="2">
        <v>8971.0400000000009</v>
      </c>
      <c r="P541" s="2">
        <v>1166.24</v>
      </c>
      <c r="Q541" s="2">
        <v>10137.280000000001</v>
      </c>
      <c r="R541" s="2" t="s">
        <v>29</v>
      </c>
      <c r="S541" s="2"/>
      <c r="T541" s="2">
        <f t="shared" si="181"/>
        <v>0</v>
      </c>
      <c r="U541" s="18">
        <f t="shared" si="182"/>
        <v>5</v>
      </c>
      <c r="V541" s="18">
        <f t="shared" si="183"/>
        <v>2025</v>
      </c>
      <c r="W541" s="18" t="str">
        <f t="shared" si="184"/>
        <v/>
      </c>
      <c r="X541" s="18" t="str">
        <f t="shared" si="185"/>
        <v/>
      </c>
      <c r="Y541" s="2">
        <f t="shared" si="178"/>
        <v>1</v>
      </c>
      <c r="Z541" t="str">
        <f t="shared" si="179"/>
        <v>SO17211</v>
      </c>
      <c r="AA541" s="11">
        <f t="shared" si="186"/>
        <v>45798.678078703713</v>
      </c>
      <c r="AB541" s="5" t="str">
        <f t="shared" si="187"/>
        <v>No Inv</v>
      </c>
      <c r="AC541" s="5" t="str">
        <f>IFERROR(VLOOKUP(D541,CAARStatus!$A$2:$AA$1600,22,FALSE),"Not invoiced")</f>
        <v>Not invoiced</v>
      </c>
      <c r="AD541" s="11" t="str">
        <f>IF(AC541="Paid",IFERROR(VLOOKUP(D541,CAARStatus!$A$2:$AA$1600,6,FALSE),"Pending"),"Pending")</f>
        <v>Pending</v>
      </c>
      <c r="AE541" s="5" t="str">
        <f t="shared" si="188"/>
        <v>4500141767</v>
      </c>
      <c r="AF541" s="5" t="str">
        <f t="shared" si="189"/>
        <v>Agnico Eagle Mines Ltd. - Cochrane</v>
      </c>
      <c r="AG541" s="5" t="str">
        <f t="shared" si="190"/>
        <v>CAD</v>
      </c>
      <c r="AH541" s="5">
        <f t="shared" si="191"/>
        <v>8971.0400000000009</v>
      </c>
      <c r="AI541" s="12">
        <f>IF(L541-N541=0,VLOOKUP(U541,rate!A$4:B$15,2,FALSE)*AH541,IF(AG541="USD",O541,AH541*Y541))</f>
        <v>6476.420064104821</v>
      </c>
      <c r="AJ541" s="13">
        <f t="shared" si="192"/>
        <v>0.72192522428891415</v>
      </c>
      <c r="AK541" s="13">
        <f>-IF(AG541="CAD",IFERROR(VLOOKUP(D541,CAARStatus!$A$1:$Y$1600,16,FALSE),0),0)</f>
        <v>0</v>
      </c>
      <c r="AL541" s="13">
        <f>-IF(AG541="USD",IFERROR(VLOOKUP(D541,CAARStatus!$A$1:$Y$1600,11,FALSE),0),0)</f>
        <v>0</v>
      </c>
      <c r="AM541" s="22">
        <f t="shared" si="193"/>
        <v>8971.0400000000009</v>
      </c>
      <c r="AN541" s="12" t="str">
        <f t="shared" si="194"/>
        <v/>
      </c>
      <c r="AO541" s="12" t="str">
        <f t="shared" si="195"/>
        <v>Pend</v>
      </c>
      <c r="AP541" t="str">
        <f t="shared" si="180"/>
        <v>Pend</v>
      </c>
      <c r="AQ541" t="str">
        <f>IFERROR(VLOOKUP(Z541,InvBal!$L$4:$P$600,4,FALSE),"Pend")</f>
        <v>Pend</v>
      </c>
      <c r="AR541" t="str">
        <f>IFERROR(VLOOKUP(D541,Manual!$C$1:$E$22,2,FALSE),"Pend")</f>
        <v>Pend</v>
      </c>
      <c r="AS541" t="str">
        <f t="shared" si="196"/>
        <v/>
      </c>
      <c r="AT541" t="str">
        <f t="shared" si="197"/>
        <v/>
      </c>
      <c r="AU541" s="51" t="str">
        <f t="shared" si="198"/>
        <v/>
      </c>
      <c r="AV541" s="12">
        <f>IFERROR(VLOOKUP(D541,'Receivable Invoice Detail'!$S$1:$U$3014,3,FALSE),0)</f>
        <v>0</v>
      </c>
      <c r="AW541" s="12">
        <f t="shared" si="199"/>
        <v>0</v>
      </c>
    </row>
    <row r="542" spans="1:49" ht="30" x14ac:dyDescent="0.25">
      <c r="A542" s="2">
        <v>1</v>
      </c>
      <c r="B542" s="2" t="s">
        <v>1364</v>
      </c>
      <c r="C542" s="2" t="s">
        <v>1365</v>
      </c>
      <c r="D542" s="2" t="s">
        <v>2787</v>
      </c>
      <c r="E542" s="2" t="s">
        <v>32</v>
      </c>
      <c r="F542" s="3">
        <v>45798.706562500003</v>
      </c>
      <c r="G542" s="3">
        <v>45800.374803240738</v>
      </c>
      <c r="H542" s="4">
        <v>45828</v>
      </c>
      <c r="I542" s="2" t="s">
        <v>21</v>
      </c>
      <c r="J542" s="2" t="s">
        <v>22</v>
      </c>
      <c r="K542" s="2">
        <v>1</v>
      </c>
      <c r="L542" s="2">
        <v>33432.959999999999</v>
      </c>
      <c r="M542" s="2">
        <v>0</v>
      </c>
      <c r="N542" s="2">
        <v>24299.05152557273</v>
      </c>
      <c r="O542" s="2">
        <v>29586.69</v>
      </c>
      <c r="P542" s="2">
        <v>3846.27</v>
      </c>
      <c r="Q542" s="2">
        <v>33432.959999999999</v>
      </c>
      <c r="R542" s="2" t="s">
        <v>44</v>
      </c>
      <c r="S542" s="2"/>
      <c r="T542" s="2">
        <f t="shared" si="181"/>
        <v>1</v>
      </c>
      <c r="U542" s="18">
        <f t="shared" si="182"/>
        <v>5</v>
      </c>
      <c r="V542" s="18">
        <f t="shared" si="183"/>
        <v>2025</v>
      </c>
      <c r="W542" s="18">
        <f t="shared" si="184"/>
        <v>7</v>
      </c>
      <c r="X542" s="18">
        <f t="shared" si="185"/>
        <v>2025</v>
      </c>
      <c r="Y542" s="2">
        <f t="shared" si="178"/>
        <v>0.72679928805504301</v>
      </c>
      <c r="Z542" t="str">
        <f t="shared" si="179"/>
        <v>SO17212</v>
      </c>
      <c r="AA542" s="11">
        <f t="shared" si="186"/>
        <v>45798.706562500003</v>
      </c>
      <c r="AB542" s="5" t="str">
        <f t="shared" si="187"/>
        <v>INV13055</v>
      </c>
      <c r="AC542" s="5" t="str">
        <f>IFERROR(VLOOKUP(D542,CAARStatus!$A$2:$AA$1600,22,FALSE),"Not invoiced")</f>
        <v>Paid</v>
      </c>
      <c r="AD542" s="11">
        <f>IF(AC542="Paid",IFERROR(VLOOKUP(D542,CAARStatus!$A$2:$AA$1600,6,FALSE),"Pending"),"Pending")</f>
        <v>45842</v>
      </c>
      <c r="AE542" s="5" t="str">
        <f t="shared" si="188"/>
        <v>4500891930</v>
      </c>
      <c r="AF542" s="5" t="str">
        <f t="shared" si="189"/>
        <v>Cameco Corporation - Blind River Refinery</v>
      </c>
      <c r="AG542" s="5" t="str">
        <f t="shared" si="190"/>
        <v>CAD</v>
      </c>
      <c r="AH542" s="5">
        <f t="shared" si="191"/>
        <v>29586.69</v>
      </c>
      <c r="AI542" s="12">
        <f>IF(L542-N542=0,VLOOKUP(U542,rate!A$4:B$15,2,FALSE)*AH542,IF(AG542="USD",O542,AH542*Y542))</f>
        <v>21503.58522790526</v>
      </c>
      <c r="AJ542" s="13">
        <f t="shared" si="192"/>
        <v>0.72679928805504301</v>
      </c>
      <c r="AK542" s="13">
        <f>-IF(AG542="CAD",IFERROR(VLOOKUP(D542,CAARStatus!$A$1:$Y$1600,16,FALSE),0),0)</f>
        <v>-29586.69</v>
      </c>
      <c r="AL542" s="13">
        <f>-IF(AG542="USD",IFERROR(VLOOKUP(D542,CAARStatus!$A$1:$Y$1600,11,FALSE),0),0)</f>
        <v>0</v>
      </c>
      <c r="AM542" s="22">
        <f t="shared" si="193"/>
        <v>0</v>
      </c>
      <c r="AN542" s="12" t="str">
        <f t="shared" si="194"/>
        <v/>
      </c>
      <c r="AO542" s="12" t="str">
        <f t="shared" si="195"/>
        <v>Yes</v>
      </c>
      <c r="AP542" t="str">
        <f t="shared" si="180"/>
        <v>Yes</v>
      </c>
      <c r="AQ542" t="str">
        <f>IFERROR(VLOOKUP(Z542,InvBal!$L$4:$P$600,4,FALSE),"Pend")</f>
        <v>Pend</v>
      </c>
      <c r="AR542" t="str">
        <f>IFERROR(VLOOKUP(D542,Manual!$C$1:$E$22,2,FALSE),"Pend")</f>
        <v>Pend</v>
      </c>
      <c r="AS542" t="str">
        <f t="shared" si="196"/>
        <v>Yes</v>
      </c>
      <c r="AT542" t="str">
        <f t="shared" si="197"/>
        <v>Yes</v>
      </c>
      <c r="AU542" s="51" t="str">
        <f t="shared" si="198"/>
        <v>Yes</v>
      </c>
      <c r="AV542" s="12">
        <f>IFERROR(VLOOKUP(D542,'Receivable Invoice Detail'!$S$1:$U$3014,3,FALSE),0)</f>
        <v>0</v>
      </c>
      <c r="AW542" s="12">
        <f t="shared" si="199"/>
        <v>21503.58522790526</v>
      </c>
    </row>
    <row r="543" spans="1:49" ht="30" x14ac:dyDescent="0.25">
      <c r="A543" s="2">
        <v>3</v>
      </c>
      <c r="B543" s="2" t="s">
        <v>1381</v>
      </c>
      <c r="C543" s="2" t="s">
        <v>1382</v>
      </c>
      <c r="D543" s="2" t="s">
        <v>2779</v>
      </c>
      <c r="E543" s="2" t="s">
        <v>98</v>
      </c>
      <c r="F543" s="3">
        <v>45798.716793981483</v>
      </c>
      <c r="G543" s="3">
        <v>45799.525960648149</v>
      </c>
      <c r="H543" s="4">
        <v>45897</v>
      </c>
      <c r="I543" s="2" t="s">
        <v>21</v>
      </c>
      <c r="J543" s="2" t="s">
        <v>22</v>
      </c>
      <c r="K543" s="2">
        <v>1</v>
      </c>
      <c r="L543" s="2">
        <v>7310.09</v>
      </c>
      <c r="M543" s="2">
        <v>0</v>
      </c>
      <c r="N543" s="2">
        <v>5275.0394341165338</v>
      </c>
      <c r="O543" s="2">
        <v>6469.1</v>
      </c>
      <c r="P543" s="2">
        <v>840.99</v>
      </c>
      <c r="Q543" s="2">
        <v>7310.09</v>
      </c>
      <c r="R543" s="2" t="s">
        <v>44</v>
      </c>
      <c r="S543" s="2"/>
      <c r="T543" s="2">
        <f t="shared" si="181"/>
        <v>3</v>
      </c>
      <c r="U543" s="18">
        <f t="shared" si="182"/>
        <v>5</v>
      </c>
      <c r="V543" s="18">
        <f t="shared" si="183"/>
        <v>2025</v>
      </c>
      <c r="W543" s="18">
        <f t="shared" si="184"/>
        <v>6</v>
      </c>
      <c r="X543" s="18">
        <f t="shared" si="185"/>
        <v>2025</v>
      </c>
      <c r="Y543" s="2">
        <f t="shared" si="178"/>
        <v>0.72161073722984714</v>
      </c>
      <c r="Z543" t="str">
        <f t="shared" si="179"/>
        <v>SO17214</v>
      </c>
      <c r="AA543" s="11">
        <f t="shared" si="186"/>
        <v>45798.716793981483</v>
      </c>
      <c r="AB543" s="5" t="str">
        <f t="shared" si="187"/>
        <v>INV13020</v>
      </c>
      <c r="AC543" s="5" t="str">
        <f>IFERROR(VLOOKUP(D543,CAARStatus!$A$2:$AA$1600,22,FALSE),"Not invoiced")</f>
        <v>Paid</v>
      </c>
      <c r="AD543" s="11">
        <f>IF(AC543="Paid",IFERROR(VLOOKUP(D543,CAARStatus!$A$2:$AA$1600,6,FALSE),"Pending"),"Pending")</f>
        <v>45833</v>
      </c>
      <c r="AE543" s="5" t="str">
        <f t="shared" si="188"/>
        <v>PO-007990</v>
      </c>
      <c r="AF543" s="5" t="str">
        <f t="shared" si="189"/>
        <v>Sling-Choker Manufacturing - Timmins</v>
      </c>
      <c r="AG543" s="5" t="str">
        <f t="shared" si="190"/>
        <v>CAD</v>
      </c>
      <c r="AH543" s="5">
        <f t="shared" si="191"/>
        <v>6469.1</v>
      </c>
      <c r="AI543" s="12">
        <f>IF(L543-N543=0,VLOOKUP(U543,rate!A$4:B$15,2,FALSE)*AH543,IF(AG543="USD",O543,AH543*Y543))</f>
        <v>4668.1720202136048</v>
      </c>
      <c r="AJ543" s="13">
        <f t="shared" si="192"/>
        <v>0.72161073722984725</v>
      </c>
      <c r="AK543" s="13">
        <f>-IF(AG543="CAD",IFERROR(VLOOKUP(D543,CAARStatus!$A$1:$Y$1600,16,FALSE),0),0)</f>
        <v>-2005.52</v>
      </c>
      <c r="AL543" s="13">
        <f>-IF(AG543="USD",IFERROR(VLOOKUP(D543,CAARStatus!$A$1:$Y$1600,11,FALSE),0),0)</f>
        <v>0</v>
      </c>
      <c r="AM543" s="22">
        <f t="shared" si="193"/>
        <v>4463.58</v>
      </c>
      <c r="AN543" s="12" t="str">
        <f t="shared" si="194"/>
        <v/>
      </c>
      <c r="AO543" s="12" t="str">
        <f t="shared" si="195"/>
        <v>Yes</v>
      </c>
      <c r="AP543" t="str">
        <f t="shared" si="180"/>
        <v>XX</v>
      </c>
      <c r="AQ543" t="str">
        <f>IFERROR(VLOOKUP(Z543,InvBal!$L$4:$P$600,4,FALSE),"Pend")</f>
        <v>Yes</v>
      </c>
      <c r="AR543" t="str">
        <f>IFERROR(VLOOKUP(D543,Manual!$C$1:$E$22,2,FALSE),"Pend")</f>
        <v>Pend</v>
      </c>
      <c r="AS543" t="str">
        <f t="shared" si="196"/>
        <v>Yes</v>
      </c>
      <c r="AT543" t="str">
        <f t="shared" si="197"/>
        <v>Yes</v>
      </c>
      <c r="AU543" s="51" t="str">
        <f t="shared" si="198"/>
        <v>Yes</v>
      </c>
      <c r="AV543" s="12">
        <f>IFERROR(VLOOKUP(D543,'Receivable Invoice Detail'!$S$1:$U$3014,3,FALSE),0)</f>
        <v>0</v>
      </c>
      <c r="AW543" s="12">
        <f t="shared" si="199"/>
        <v>4668.1720202136048</v>
      </c>
    </row>
    <row r="544" spans="1:49" x14ac:dyDescent="0.25">
      <c r="A544" s="2"/>
      <c r="B544" s="2"/>
      <c r="C544" s="2"/>
      <c r="D544" s="2" t="s">
        <v>2778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>
        <f t="shared" si="181"/>
        <v>3</v>
      </c>
      <c r="U544" s="18">
        <f t="shared" si="182"/>
        <v>5</v>
      </c>
      <c r="V544" s="18">
        <f t="shared" si="183"/>
        <v>2025</v>
      </c>
      <c r="W544" s="18">
        <f t="shared" si="184"/>
        <v>8</v>
      </c>
      <c r="X544" s="18">
        <f t="shared" si="185"/>
        <v>2025</v>
      </c>
      <c r="Y544" s="2">
        <f t="shared" si="178"/>
        <v>0.72161073722984714</v>
      </c>
      <c r="Z544" t="str">
        <f t="shared" si="179"/>
        <v>SO17214</v>
      </c>
      <c r="AA544" s="11">
        <f t="shared" si="186"/>
        <v>45798.716793981483</v>
      </c>
      <c r="AB544" s="5" t="str">
        <f t="shared" si="187"/>
        <v>INV13163</v>
      </c>
      <c r="AC544" s="5" t="str">
        <f>IFERROR(VLOOKUP(D544,CAARStatus!$A$2:$AA$1600,22,FALSE),"Not invoiced")</f>
        <v>Paid</v>
      </c>
      <c r="AD544" s="11">
        <f>IF(AC544="Paid",IFERROR(VLOOKUP(D544,CAARStatus!$A$2:$AA$1600,6,FALSE),"Pending"),"Pending")</f>
        <v>45875</v>
      </c>
      <c r="AE544" s="5" t="str">
        <f t="shared" si="188"/>
        <v>PO-007990</v>
      </c>
      <c r="AF544" s="5" t="str">
        <f t="shared" si="189"/>
        <v>Sling-Choker Manufacturing - Timmins</v>
      </c>
      <c r="AG544" s="5" t="str">
        <f t="shared" si="190"/>
        <v>CAD</v>
      </c>
      <c r="AH544" s="5">
        <f t="shared" si="191"/>
        <v>0</v>
      </c>
      <c r="AI544" s="12">
        <f>IF(L544-N544=0,VLOOKUP(U544,rate!A$4:B$15,2,FALSE)*AH544,IF(AG544="USD",O544,AH544*Y544))</f>
        <v>0</v>
      </c>
      <c r="AJ544" s="13">
        <f t="shared" si="192"/>
        <v>0</v>
      </c>
      <c r="AK544" s="13">
        <f>-IF(AG544="CAD",IFERROR(VLOOKUP(D544,CAARStatus!$A$1:$Y$1600,16,FALSE),0),0)</f>
        <v>-1214.6099999999999</v>
      </c>
      <c r="AL544" s="13">
        <f>-IF(AG544="USD",IFERROR(VLOOKUP(D544,CAARStatus!$A$1:$Y$1600,11,FALSE),0),0)</f>
        <v>0</v>
      </c>
      <c r="AM544" s="22">
        <f t="shared" si="193"/>
        <v>-1214.6099999999999</v>
      </c>
      <c r="AN544" s="12" t="str">
        <f t="shared" si="194"/>
        <v/>
      </c>
      <c r="AO544" s="12" t="str">
        <f t="shared" si="195"/>
        <v>Yes</v>
      </c>
      <c r="AP544" t="str">
        <f t="shared" si="180"/>
        <v>XX</v>
      </c>
      <c r="AQ544" t="str">
        <f>IFERROR(VLOOKUP(Z544,InvBal!$L$4:$P$600,4,FALSE),"Pend")</f>
        <v>Yes</v>
      </c>
      <c r="AR544" t="str">
        <f>IFERROR(VLOOKUP(D544,Manual!$C$1:$E$22,2,FALSE),"Pend")</f>
        <v>Pend</v>
      </c>
      <c r="AS544" t="str">
        <f t="shared" si="196"/>
        <v>Yes</v>
      </c>
      <c r="AT544" t="str">
        <f t="shared" si="197"/>
        <v/>
      </c>
      <c r="AU544" s="51" t="str">
        <f t="shared" si="198"/>
        <v/>
      </c>
      <c r="AV544" s="12">
        <f>IFERROR(VLOOKUP(D544,'Receivable Invoice Detail'!$S$1:$U$3014,3,FALSE),0)</f>
        <v>0</v>
      </c>
      <c r="AW544" s="12">
        <f t="shared" si="199"/>
        <v>0</v>
      </c>
    </row>
    <row r="545" spans="1:49" x14ac:dyDescent="0.25">
      <c r="A545" s="2"/>
      <c r="B545" s="2"/>
      <c r="C545" s="2"/>
      <c r="D545" s="2" t="s">
        <v>2777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>
        <f t="shared" si="181"/>
        <v>3</v>
      </c>
      <c r="U545" s="18">
        <f t="shared" si="182"/>
        <v>5</v>
      </c>
      <c r="V545" s="18">
        <f t="shared" si="183"/>
        <v>2025</v>
      </c>
      <c r="W545" s="18">
        <f t="shared" si="184"/>
        <v>10</v>
      </c>
      <c r="X545" s="18">
        <f t="shared" si="185"/>
        <v>2025</v>
      </c>
      <c r="Y545" s="2">
        <f t="shared" si="178"/>
        <v>0.72161073722984714</v>
      </c>
      <c r="Z545" t="str">
        <f t="shared" si="179"/>
        <v>SO17214</v>
      </c>
      <c r="AA545" s="11">
        <f t="shared" si="186"/>
        <v>45798.716793981483</v>
      </c>
      <c r="AB545" s="5" t="str">
        <f t="shared" si="187"/>
        <v>INV13388</v>
      </c>
      <c r="AC545" s="5" t="str">
        <f>IFERROR(VLOOKUP(D545,CAARStatus!$A$2:$AA$1600,22,FALSE),"Not invoiced")</f>
        <v>Paid</v>
      </c>
      <c r="AD545" s="11">
        <f>IF(AC545="Paid",IFERROR(VLOOKUP(D545,CAARStatus!$A$2:$AA$1600,6,FALSE),"Pending"),"Pending")</f>
        <v>45938</v>
      </c>
      <c r="AE545" s="5" t="str">
        <f t="shared" si="188"/>
        <v>PO-007990</v>
      </c>
      <c r="AF545" s="5" t="str">
        <f t="shared" si="189"/>
        <v>Sling-Choker Manufacturing - Timmins</v>
      </c>
      <c r="AG545" s="5" t="str">
        <f t="shared" si="190"/>
        <v>CAD</v>
      </c>
      <c r="AH545" s="5">
        <f t="shared" si="191"/>
        <v>0</v>
      </c>
      <c r="AI545" s="12">
        <f>IF(L545-N545=0,VLOOKUP(U545,rate!A$4:B$15,2,FALSE)*AH545,IF(AG545="USD",O545,AH545*Y545))</f>
        <v>0</v>
      </c>
      <c r="AJ545" s="13">
        <f t="shared" si="192"/>
        <v>0</v>
      </c>
      <c r="AK545" s="13">
        <f>-IF(AG545="CAD",IFERROR(VLOOKUP(D545,CAARStatus!$A$1:$Y$1600,16,FALSE),0),0)</f>
        <v>-3248.97</v>
      </c>
      <c r="AL545" s="13">
        <f>-IF(AG545="USD",IFERROR(VLOOKUP(D545,CAARStatus!$A$1:$Y$1600,11,FALSE),0),0)</f>
        <v>0</v>
      </c>
      <c r="AM545" s="22">
        <f t="shared" si="193"/>
        <v>-3248.97</v>
      </c>
      <c r="AN545" s="12" t="str">
        <f t="shared" si="194"/>
        <v/>
      </c>
      <c r="AO545" s="12" t="str">
        <f t="shared" si="195"/>
        <v>Yes</v>
      </c>
      <c r="AP545" t="str">
        <f t="shared" si="180"/>
        <v>XX</v>
      </c>
      <c r="AQ545" t="str">
        <f>IFERROR(VLOOKUP(Z545,InvBal!$L$4:$P$600,4,FALSE),"Pend")</f>
        <v>Yes</v>
      </c>
      <c r="AR545" t="str">
        <f>IFERROR(VLOOKUP(D545,Manual!$C$1:$E$22,2,FALSE),"Pend")</f>
        <v>Pend</v>
      </c>
      <c r="AS545" t="str">
        <f t="shared" si="196"/>
        <v>Yes</v>
      </c>
      <c r="AT545" t="str">
        <f t="shared" si="197"/>
        <v/>
      </c>
      <c r="AU545" s="51" t="str">
        <f t="shared" si="198"/>
        <v/>
      </c>
      <c r="AV545" s="12">
        <f>IFERROR(VLOOKUP(D545,'Receivable Invoice Detail'!$S$1:$U$3014,3,FALSE),0)</f>
        <v>0</v>
      </c>
      <c r="AW545" s="12">
        <f t="shared" si="199"/>
        <v>0</v>
      </c>
    </row>
    <row r="546" spans="1:49" ht="30" x14ac:dyDescent="0.25">
      <c r="A546" s="2">
        <v>1</v>
      </c>
      <c r="B546" s="2" t="s">
        <v>1323</v>
      </c>
      <c r="C546" s="2" t="s">
        <v>1324</v>
      </c>
      <c r="D546" s="2" t="s">
        <v>2810</v>
      </c>
      <c r="E546" s="2" t="s">
        <v>20</v>
      </c>
      <c r="F546" s="3">
        <v>45799.392743055563</v>
      </c>
      <c r="G546" s="3">
        <v>45805.650104166663</v>
      </c>
      <c r="H546" s="4">
        <v>45898</v>
      </c>
      <c r="I546" s="2" t="s">
        <v>21</v>
      </c>
      <c r="J546" s="2" t="s">
        <v>22</v>
      </c>
      <c r="K546" s="2">
        <v>1</v>
      </c>
      <c r="L546" s="2">
        <v>2313.13</v>
      </c>
      <c r="M546" s="2">
        <v>0</v>
      </c>
      <c r="N546" s="2">
        <v>1673.634115681067</v>
      </c>
      <c r="O546" s="2">
        <v>2202.98</v>
      </c>
      <c r="P546" s="2">
        <v>110.15</v>
      </c>
      <c r="Q546" s="2">
        <v>2313.13</v>
      </c>
      <c r="R546" s="2" t="s">
        <v>44</v>
      </c>
      <c r="S546" s="2"/>
      <c r="T546" s="2">
        <f t="shared" si="181"/>
        <v>1</v>
      </c>
      <c r="U546" s="18">
        <f t="shared" si="182"/>
        <v>5</v>
      </c>
      <c r="V546" s="18">
        <f t="shared" si="183"/>
        <v>2025</v>
      </c>
      <c r="W546" s="18">
        <f t="shared" si="184"/>
        <v>7</v>
      </c>
      <c r="X546" s="18">
        <f t="shared" si="185"/>
        <v>2025</v>
      </c>
      <c r="Y546" s="2">
        <f t="shared" si="178"/>
        <v>0.72353655682173801</v>
      </c>
      <c r="Z546" t="str">
        <f t="shared" si="179"/>
        <v>SO17216</v>
      </c>
      <c r="AA546" s="11">
        <f t="shared" si="186"/>
        <v>45799.392743055563</v>
      </c>
      <c r="AB546" s="5" t="str">
        <f t="shared" si="187"/>
        <v>INV13040</v>
      </c>
      <c r="AC546" s="5" t="str">
        <f>IFERROR(VLOOKUP(D546,CAARStatus!$A$2:$AA$1600,22,FALSE),"Not invoiced")</f>
        <v>Paid</v>
      </c>
      <c r="AD546" s="11">
        <f>IF(AC546="Paid",IFERROR(VLOOKUP(D546,CAARStatus!$A$2:$AA$1600,6,FALSE),"Pending"),"Pending")</f>
        <v>45867</v>
      </c>
      <c r="AE546" s="5" t="str">
        <f t="shared" si="188"/>
        <v>4500597713</v>
      </c>
      <c r="AF546" s="5" t="str">
        <f t="shared" si="189"/>
        <v>Resolute Forest Products - Saint-Felicien</v>
      </c>
      <c r="AG546" s="5" t="str">
        <f t="shared" si="190"/>
        <v>CAD</v>
      </c>
      <c r="AH546" s="5">
        <f t="shared" si="191"/>
        <v>2202.98</v>
      </c>
      <c r="AI546" s="12">
        <f>IF(L546-N546=0,VLOOKUP(U546,rate!A$4:B$15,2,FALSE)*AH546,IF(AG546="USD",O546,AH546*Y546))</f>
        <v>1593.9365639471523</v>
      </c>
      <c r="AJ546" s="13">
        <f t="shared" si="192"/>
        <v>0.72353655682173801</v>
      </c>
      <c r="AK546" s="13">
        <f>-IF(AG546="CAD",IFERROR(VLOOKUP(D546,CAARStatus!$A$1:$Y$1600,16,FALSE),0),0)</f>
        <v>-2202.98</v>
      </c>
      <c r="AL546" s="13">
        <f>-IF(AG546="USD",IFERROR(VLOOKUP(D546,CAARStatus!$A$1:$Y$1600,11,FALSE),0),0)</f>
        <v>0</v>
      </c>
      <c r="AM546" s="22">
        <f t="shared" si="193"/>
        <v>0</v>
      </c>
      <c r="AN546" s="12" t="str">
        <f t="shared" si="194"/>
        <v/>
      </c>
      <c r="AO546" s="12" t="str">
        <f t="shared" si="195"/>
        <v>Yes</v>
      </c>
      <c r="AP546" t="str">
        <f t="shared" si="180"/>
        <v>Yes</v>
      </c>
      <c r="AQ546" t="str">
        <f>IFERROR(VLOOKUP(Z546,InvBal!$L$4:$P$600,4,FALSE),"Pend")</f>
        <v>Pend</v>
      </c>
      <c r="AR546" t="str">
        <f>IFERROR(VLOOKUP(D546,Manual!$C$1:$E$22,2,FALSE),"Pend")</f>
        <v>Pend</v>
      </c>
      <c r="AS546" t="str">
        <f t="shared" si="196"/>
        <v>Yes</v>
      </c>
      <c r="AT546" t="str">
        <f t="shared" si="197"/>
        <v>Yes</v>
      </c>
      <c r="AU546" s="51" t="str">
        <f t="shared" si="198"/>
        <v>Yes</v>
      </c>
      <c r="AV546" s="12">
        <f>IFERROR(VLOOKUP(D546,'Receivable Invoice Detail'!$S$1:$U$3014,3,FALSE),0)</f>
        <v>0</v>
      </c>
      <c r="AW546" s="12">
        <f t="shared" si="199"/>
        <v>1593.9365639471523</v>
      </c>
    </row>
    <row r="547" spans="1:49" ht="30" x14ac:dyDescent="0.25">
      <c r="A547" s="2">
        <v>1</v>
      </c>
      <c r="B547" s="2" t="s">
        <v>1320</v>
      </c>
      <c r="C547" s="2" t="s">
        <v>1321</v>
      </c>
      <c r="D547" s="2" t="s">
        <v>2811</v>
      </c>
      <c r="E547" s="2" t="s">
        <v>1322</v>
      </c>
      <c r="F547" s="3">
        <v>45799.600266203714</v>
      </c>
      <c r="G547" s="3">
        <v>45805.69425925926</v>
      </c>
      <c r="H547" s="4">
        <v>45882</v>
      </c>
      <c r="I547" s="2" t="s">
        <v>21</v>
      </c>
      <c r="J547" s="2" t="s">
        <v>22</v>
      </c>
      <c r="K547" s="2">
        <v>1</v>
      </c>
      <c r="L547" s="2">
        <v>6231.59</v>
      </c>
      <c r="M547" s="2">
        <v>0</v>
      </c>
      <c r="N547" s="2">
        <v>4508.7831721247758</v>
      </c>
      <c r="O547" s="2">
        <v>5934.85</v>
      </c>
      <c r="P547" s="2">
        <v>296.74</v>
      </c>
      <c r="Q547" s="2">
        <v>6231.59</v>
      </c>
      <c r="R547" s="2" t="s">
        <v>44</v>
      </c>
      <c r="S547" s="2"/>
      <c r="T547" s="2">
        <f t="shared" si="181"/>
        <v>1</v>
      </c>
      <c r="U547" s="18">
        <f t="shared" si="182"/>
        <v>5</v>
      </c>
      <c r="V547" s="18">
        <f t="shared" si="183"/>
        <v>2025</v>
      </c>
      <c r="W547" s="18">
        <f t="shared" si="184"/>
        <v>7</v>
      </c>
      <c r="X547" s="18">
        <f t="shared" si="185"/>
        <v>2025</v>
      </c>
      <c r="Y547" s="2">
        <f t="shared" si="178"/>
        <v>0.72353655682173823</v>
      </c>
      <c r="Z547" t="str">
        <f t="shared" si="179"/>
        <v>SO17218</v>
      </c>
      <c r="AA547" s="11">
        <f t="shared" si="186"/>
        <v>45799.600266203714</v>
      </c>
      <c r="AB547" s="5" t="str">
        <f t="shared" si="187"/>
        <v>INV13118</v>
      </c>
      <c r="AC547" s="5" t="str">
        <f>IFERROR(VLOOKUP(D547,CAARStatus!$A$2:$AA$1600,22,FALSE),"Not invoiced")</f>
        <v>Paid</v>
      </c>
      <c r="AD547" s="11">
        <f>IF(AC547="Paid",IFERROR(VLOOKUP(D547,CAARStatus!$A$2:$AA$1600,6,FALSE),"Pending"),"Pending")</f>
        <v>45868</v>
      </c>
      <c r="AE547" s="5" t="str">
        <f t="shared" si="188"/>
        <v>PO-40-1015625</v>
      </c>
      <c r="AF547" s="5" t="str">
        <f t="shared" si="189"/>
        <v>Canadian Bearings Ltd., Canadian Bearings Ltd. - Quebec City</v>
      </c>
      <c r="AG547" s="5" t="str">
        <f t="shared" si="190"/>
        <v>CAD</v>
      </c>
      <c r="AH547" s="5">
        <f t="shared" si="191"/>
        <v>5934.85</v>
      </c>
      <c r="AI547" s="12">
        <f>IF(L547-N547=0,VLOOKUP(U547,rate!A$4:B$15,2,FALSE)*AH547,IF(AG547="USD",O547,AH547*Y547))</f>
        <v>4294.0809342534931</v>
      </c>
      <c r="AJ547" s="13">
        <f t="shared" si="192"/>
        <v>0.72353655682173812</v>
      </c>
      <c r="AK547" s="13">
        <f>-IF(AG547="CAD",IFERROR(VLOOKUP(D547,CAARStatus!$A$1:$Y$1600,16,FALSE),0),0)</f>
        <v>-5934.85</v>
      </c>
      <c r="AL547" s="13">
        <f>-IF(AG547="USD",IFERROR(VLOOKUP(D547,CAARStatus!$A$1:$Y$1600,11,FALSE),0),0)</f>
        <v>0</v>
      </c>
      <c r="AM547" s="22">
        <f t="shared" si="193"/>
        <v>0</v>
      </c>
      <c r="AN547" s="12" t="str">
        <f t="shared" si="194"/>
        <v/>
      </c>
      <c r="AO547" s="12" t="str">
        <f t="shared" si="195"/>
        <v>Yes</v>
      </c>
      <c r="AP547" t="str">
        <f t="shared" si="180"/>
        <v>Yes</v>
      </c>
      <c r="AQ547" t="str">
        <f>IFERROR(VLOOKUP(Z547,InvBal!$L$4:$P$600,4,FALSE),"Pend")</f>
        <v>Pend</v>
      </c>
      <c r="AR547" t="str">
        <f>IFERROR(VLOOKUP(D547,Manual!$C$1:$E$22,2,FALSE),"Pend")</f>
        <v>Pend</v>
      </c>
      <c r="AS547" t="str">
        <f t="shared" si="196"/>
        <v>Yes</v>
      </c>
      <c r="AT547" t="str">
        <f t="shared" si="197"/>
        <v>Yes</v>
      </c>
      <c r="AU547" s="51" t="str">
        <f t="shared" si="198"/>
        <v>Yes</v>
      </c>
      <c r="AV547" s="12">
        <f>IFERROR(VLOOKUP(D547,'Receivable Invoice Detail'!$S$1:$U$3014,3,FALSE),0)</f>
        <v>0</v>
      </c>
      <c r="AW547" s="12">
        <f t="shared" si="199"/>
        <v>4294.0809342534931</v>
      </c>
    </row>
    <row r="548" spans="1:49" x14ac:dyDescent="0.25">
      <c r="A548" s="2">
        <v>1</v>
      </c>
      <c r="B548" s="2" t="s">
        <v>1354</v>
      </c>
      <c r="C548" s="2" t="s">
        <v>1355</v>
      </c>
      <c r="D548" s="2" t="s">
        <v>2793</v>
      </c>
      <c r="E548" s="2" t="s">
        <v>171</v>
      </c>
      <c r="F548" s="3">
        <v>45799.608854166669</v>
      </c>
      <c r="G548" s="3">
        <v>45800.605057870373</v>
      </c>
      <c r="H548" s="4">
        <v>45803</v>
      </c>
      <c r="I548" s="2" t="s">
        <v>1132</v>
      </c>
      <c r="J548" s="2" t="s">
        <v>22</v>
      </c>
      <c r="K548" s="2">
        <v>1</v>
      </c>
      <c r="L548" s="2">
        <v>166.72</v>
      </c>
      <c r="M548" s="2">
        <v>0</v>
      </c>
      <c r="N548" s="2">
        <v>121.1719773045368</v>
      </c>
      <c r="O548" s="2">
        <v>158.78</v>
      </c>
      <c r="P548" s="2">
        <v>7.94</v>
      </c>
      <c r="Q548" s="2">
        <v>166.72</v>
      </c>
      <c r="R548" s="2" t="s">
        <v>44</v>
      </c>
      <c r="S548" s="2"/>
      <c r="T548" s="2">
        <f t="shared" si="181"/>
        <v>1</v>
      </c>
      <c r="U548" s="18">
        <f t="shared" si="182"/>
        <v>5</v>
      </c>
      <c r="V548" s="18">
        <f t="shared" si="183"/>
        <v>2025</v>
      </c>
      <c r="W548" s="18">
        <f t="shared" si="184"/>
        <v>6</v>
      </c>
      <c r="X548" s="18">
        <f t="shared" si="185"/>
        <v>2025</v>
      </c>
      <c r="Y548" s="2">
        <f t="shared" si="178"/>
        <v>0.72679928805504312</v>
      </c>
      <c r="Z548" t="str">
        <f t="shared" si="179"/>
        <v>SO17219</v>
      </c>
      <c r="AA548" s="11">
        <f t="shared" si="186"/>
        <v>45799.608854166669</v>
      </c>
      <c r="AB548" s="5" t="str">
        <f t="shared" si="187"/>
        <v>INV13024</v>
      </c>
      <c r="AC548" s="5" t="str">
        <f>IFERROR(VLOOKUP(D548,CAARStatus!$A$2:$AA$1600,22,FALSE),"Not invoiced")</f>
        <v>Paid</v>
      </c>
      <c r="AD548" s="11">
        <f>IF(AC548="Paid",IFERROR(VLOOKUP(D548,CAARStatus!$A$2:$AA$1600,6,FALSE),"Pending"),"Pending")</f>
        <v>45834</v>
      </c>
      <c r="AE548" s="5" t="str">
        <f t="shared" si="188"/>
        <v>2112</v>
      </c>
      <c r="AF548" s="5" t="str">
        <f t="shared" si="189"/>
        <v>FMI Products</v>
      </c>
      <c r="AG548" s="5" t="str">
        <f t="shared" si="190"/>
        <v>CAD</v>
      </c>
      <c r="AH548" s="5">
        <f t="shared" si="191"/>
        <v>158.78</v>
      </c>
      <c r="AI548" s="12">
        <f>IF(L548-N548=0,VLOOKUP(U548,rate!A$4:B$15,2,FALSE)*AH548,IF(AG548="USD",O548,AH548*Y548))</f>
        <v>115.40119095737975</v>
      </c>
      <c r="AJ548" s="13">
        <f t="shared" si="192"/>
        <v>0.72679928805504312</v>
      </c>
      <c r="AK548" s="13">
        <f>-IF(AG548="CAD",IFERROR(VLOOKUP(D548,CAARStatus!$A$1:$Y$1600,16,FALSE),0),0)</f>
        <v>-158.78</v>
      </c>
      <c r="AL548" s="13">
        <f>-IF(AG548="USD",IFERROR(VLOOKUP(D548,CAARStatus!$A$1:$Y$1600,11,FALSE),0),0)</f>
        <v>0</v>
      </c>
      <c r="AM548" s="22">
        <f t="shared" si="193"/>
        <v>0</v>
      </c>
      <c r="AN548" s="12" t="str">
        <f t="shared" si="194"/>
        <v/>
      </c>
      <c r="AO548" s="12" t="str">
        <f t="shared" si="195"/>
        <v>Yes</v>
      </c>
      <c r="AP548" t="str">
        <f t="shared" si="180"/>
        <v>Yes</v>
      </c>
      <c r="AQ548" t="str">
        <f>IFERROR(VLOOKUP(Z548,InvBal!$L$4:$P$600,4,FALSE),"Pend")</f>
        <v>Pend</v>
      </c>
      <c r="AR548" t="str">
        <f>IFERROR(VLOOKUP(D548,Manual!$C$1:$E$22,2,FALSE),"Pend")</f>
        <v>Pend</v>
      </c>
      <c r="AS548" t="str">
        <f t="shared" si="196"/>
        <v>Yes</v>
      </c>
      <c r="AT548" t="str">
        <f t="shared" si="197"/>
        <v>Yes</v>
      </c>
      <c r="AU548" s="51" t="str">
        <f t="shared" si="198"/>
        <v>Yes</v>
      </c>
      <c r="AV548" s="12">
        <f>IFERROR(VLOOKUP(D548,'Receivable Invoice Detail'!$S$1:$U$3014,3,FALSE),0)</f>
        <v>0</v>
      </c>
      <c r="AW548" s="12">
        <f t="shared" si="199"/>
        <v>115.40119095737975</v>
      </c>
    </row>
    <row r="549" spans="1:49" ht="30" x14ac:dyDescent="0.25">
      <c r="A549" s="2">
        <v>1</v>
      </c>
      <c r="B549" s="2" t="s">
        <v>1362</v>
      </c>
      <c r="C549" s="2" t="s">
        <v>1363</v>
      </c>
      <c r="D549" s="2" t="s">
        <v>2788</v>
      </c>
      <c r="E549" s="2" t="s">
        <v>159</v>
      </c>
      <c r="F549" s="3">
        <v>45799.647245370368</v>
      </c>
      <c r="G549" s="3">
        <v>45800.408078703702</v>
      </c>
      <c r="H549" s="4">
        <v>45821</v>
      </c>
      <c r="I549" s="2" t="s">
        <v>40</v>
      </c>
      <c r="J549" s="2" t="s">
        <v>51</v>
      </c>
      <c r="K549" s="2">
        <v>0.72335666735002158</v>
      </c>
      <c r="L549" s="2">
        <v>3563.166161780624</v>
      </c>
      <c r="M549" s="2">
        <v>0</v>
      </c>
      <c r="N549" s="2">
        <v>2577.44</v>
      </c>
      <c r="O549" s="2">
        <v>2577.44</v>
      </c>
      <c r="P549" s="2"/>
      <c r="Q549" s="2">
        <v>2577.44</v>
      </c>
      <c r="R549" s="2" t="s">
        <v>44</v>
      </c>
      <c r="S549" s="2"/>
      <c r="T549" s="2">
        <f t="shared" si="181"/>
        <v>1</v>
      </c>
      <c r="U549" s="18">
        <f t="shared" si="182"/>
        <v>5</v>
      </c>
      <c r="V549" s="18">
        <f t="shared" si="183"/>
        <v>2025</v>
      </c>
      <c r="W549" s="18">
        <f t="shared" si="184"/>
        <v>7</v>
      </c>
      <c r="X549" s="18">
        <f t="shared" si="185"/>
        <v>2025</v>
      </c>
      <c r="Y549" s="2">
        <f t="shared" si="178"/>
        <v>0.72335666735002158</v>
      </c>
      <c r="Z549" t="str">
        <f t="shared" si="179"/>
        <v>SO17220</v>
      </c>
      <c r="AA549" s="11">
        <f t="shared" si="186"/>
        <v>45799.647245370368</v>
      </c>
      <c r="AB549" s="5" t="str">
        <f t="shared" si="187"/>
        <v>INV13070</v>
      </c>
      <c r="AC549" s="5" t="str">
        <f>IFERROR(VLOOKUP(D549,CAARStatus!$A$2:$AA$1600,22,FALSE),"Not invoiced")</f>
        <v>Paid</v>
      </c>
      <c r="AD549" s="11">
        <f>IF(AC549="Paid",IFERROR(VLOOKUP(D549,CAARStatus!$A$2:$AA$1600,6,FALSE),"Pending"),"Pending")</f>
        <v>45849</v>
      </c>
      <c r="AE549" s="5" t="str">
        <f t="shared" si="188"/>
        <v>4501195681</v>
      </c>
      <c r="AF549" s="5" t="str">
        <f t="shared" si="189"/>
        <v>Barrick Gold - Pueblo Viejo Dominicana Corporation</v>
      </c>
      <c r="AG549" s="5" t="str">
        <f t="shared" si="190"/>
        <v>USD</v>
      </c>
      <c r="AH549" s="5">
        <f t="shared" si="191"/>
        <v>3563.166161780624</v>
      </c>
      <c r="AI549" s="12">
        <f>IF(L549-N549=0,VLOOKUP(U549,rate!A$4:B$15,2,FALSE)*AH549,IF(AG549="USD",O549,AH549*Y549))</f>
        <v>2577.44</v>
      </c>
      <c r="AJ549" s="13">
        <f t="shared" si="192"/>
        <v>0.72335666735002158</v>
      </c>
      <c r="AK549" s="13">
        <f>-IF(AG549="CAD",IFERROR(VLOOKUP(D549,CAARStatus!$A$1:$Y$1600,16,FALSE),0),0)</f>
        <v>0</v>
      </c>
      <c r="AL549" s="13">
        <f>-IF(AG549="USD",IFERROR(VLOOKUP(D549,CAARStatus!$A$1:$Y$1600,11,FALSE),0),0)</f>
        <v>-2577.44</v>
      </c>
      <c r="AM549" s="22" t="str">
        <f t="shared" si="193"/>
        <v/>
      </c>
      <c r="AN549" s="12">
        <f t="shared" si="194"/>
        <v>0</v>
      </c>
      <c r="AO549" s="12" t="str">
        <f t="shared" si="195"/>
        <v>Yes</v>
      </c>
      <c r="AP549" t="str">
        <f t="shared" si="180"/>
        <v>Yes</v>
      </c>
      <c r="AQ549" t="str">
        <f>IFERROR(VLOOKUP(Z549,InvBal!$L$4:$P$600,4,FALSE),"Pend")</f>
        <v>Pend</v>
      </c>
      <c r="AR549" t="str">
        <f>IFERROR(VLOOKUP(D549,Manual!$C$1:$E$22,2,FALSE),"Pend")</f>
        <v>Pend</v>
      </c>
      <c r="AS549" t="str">
        <f t="shared" si="196"/>
        <v>Yes</v>
      </c>
      <c r="AT549" t="str">
        <f t="shared" si="197"/>
        <v>Yes</v>
      </c>
      <c r="AU549" s="51" t="str">
        <f t="shared" si="198"/>
        <v>Yes</v>
      </c>
      <c r="AV549" s="12">
        <f>IFERROR(VLOOKUP(D549,'Receivable Invoice Detail'!$S$1:$U$3014,3,FALSE),0)</f>
        <v>0</v>
      </c>
      <c r="AW549" s="12">
        <f t="shared" si="199"/>
        <v>2577.44</v>
      </c>
    </row>
    <row r="550" spans="1:49" x14ac:dyDescent="0.25">
      <c r="A550" s="2">
        <v>1</v>
      </c>
      <c r="B550" s="2" t="s">
        <v>1376</v>
      </c>
      <c r="C550" s="2" t="s">
        <v>1377</v>
      </c>
      <c r="D550" s="2" t="s">
        <v>2781</v>
      </c>
      <c r="E550" s="2" t="s">
        <v>141</v>
      </c>
      <c r="F550" s="3">
        <v>45800.32984953704</v>
      </c>
      <c r="G550" s="3">
        <v>45800.331782407397</v>
      </c>
      <c r="H550" s="4">
        <v>45803</v>
      </c>
      <c r="I550" s="2" t="s">
        <v>21</v>
      </c>
      <c r="J550" s="2" t="s">
        <v>51</v>
      </c>
      <c r="K550" s="2">
        <v>0.72335666735002158</v>
      </c>
      <c r="L550" s="2">
        <v>3548.636676570371</v>
      </c>
      <c r="M550" s="2">
        <v>0</v>
      </c>
      <c r="N550" s="2">
        <v>2566.9299999999998</v>
      </c>
      <c r="O550" s="2">
        <v>2566.9299999999998</v>
      </c>
      <c r="P550" s="2"/>
      <c r="Q550" s="2">
        <v>2566.9299999999998</v>
      </c>
      <c r="R550" s="2" t="s">
        <v>44</v>
      </c>
      <c r="S550" s="2"/>
      <c r="T550" s="2">
        <f t="shared" si="181"/>
        <v>1</v>
      </c>
      <c r="U550" s="18">
        <f t="shared" si="182"/>
        <v>5</v>
      </c>
      <c r="V550" s="18">
        <f t="shared" si="183"/>
        <v>2025</v>
      </c>
      <c r="W550" s="18">
        <f t="shared" si="184"/>
        <v>7</v>
      </c>
      <c r="X550" s="18">
        <f t="shared" si="185"/>
        <v>2025</v>
      </c>
      <c r="Y550" s="2">
        <f t="shared" si="178"/>
        <v>0.72335666735002158</v>
      </c>
      <c r="Z550" t="str">
        <f t="shared" si="179"/>
        <v>SO17221</v>
      </c>
      <c r="AA550" s="11">
        <f t="shared" si="186"/>
        <v>45800.32984953704</v>
      </c>
      <c r="AB550" s="5" t="str">
        <f t="shared" si="187"/>
        <v>INV13013</v>
      </c>
      <c r="AC550" s="5" t="str">
        <f>IFERROR(VLOOKUP(D550,CAARStatus!$A$2:$AA$1600,22,FALSE),"Not invoiced")</f>
        <v>Paid</v>
      </c>
      <c r="AD550" s="11">
        <f>IF(AC550="Paid",IFERROR(VLOOKUP(D550,CAARStatus!$A$2:$AA$1600,6,FALSE),"Pending"),"Pending")</f>
        <v>45859</v>
      </c>
      <c r="AE550" s="5" t="str">
        <f t="shared" si="188"/>
        <v>4511929374</v>
      </c>
      <c r="AF550" s="5" t="str">
        <f t="shared" si="189"/>
        <v>PT Vale Indonesia Tbk.</v>
      </c>
      <c r="AG550" s="5" t="str">
        <f t="shared" si="190"/>
        <v>USD</v>
      </c>
      <c r="AH550" s="5">
        <f t="shared" si="191"/>
        <v>3548.636676570371</v>
      </c>
      <c r="AI550" s="12">
        <f>IF(L550-N550=0,VLOOKUP(U550,rate!A$4:B$15,2,FALSE)*AH550,IF(AG550="USD",O550,AH550*Y550))</f>
        <v>2566.9299999999998</v>
      </c>
      <c r="AJ550" s="13">
        <f t="shared" si="192"/>
        <v>0.72335666735002158</v>
      </c>
      <c r="AK550" s="13">
        <f>-IF(AG550="CAD",IFERROR(VLOOKUP(D550,CAARStatus!$A$1:$Y$1600,16,FALSE),0),0)</f>
        <v>0</v>
      </c>
      <c r="AL550" s="13">
        <f>-IF(AG550="USD",IFERROR(VLOOKUP(D550,CAARStatus!$A$1:$Y$1600,11,FALSE),0),0)</f>
        <v>-2566.9299999999998</v>
      </c>
      <c r="AM550" s="22" t="str">
        <f t="shared" si="193"/>
        <v/>
      </c>
      <c r="AN550" s="12">
        <f t="shared" si="194"/>
        <v>0</v>
      </c>
      <c r="AO550" s="12" t="str">
        <f t="shared" si="195"/>
        <v>Yes</v>
      </c>
      <c r="AP550" t="str">
        <f t="shared" si="180"/>
        <v>Yes</v>
      </c>
      <c r="AQ550" t="str">
        <f>IFERROR(VLOOKUP(Z550,InvBal!$L$4:$P$600,4,FALSE),"Pend")</f>
        <v>Pend</v>
      </c>
      <c r="AR550" t="str">
        <f>IFERROR(VLOOKUP(D550,Manual!$C$1:$E$22,2,FALSE),"Pend")</f>
        <v>Pend</v>
      </c>
      <c r="AS550" t="str">
        <f t="shared" si="196"/>
        <v>Yes</v>
      </c>
      <c r="AT550" t="str">
        <f t="shared" si="197"/>
        <v>Yes</v>
      </c>
      <c r="AU550" s="51" t="str">
        <f t="shared" si="198"/>
        <v>Yes</v>
      </c>
      <c r="AV550" s="12">
        <f>IFERROR(VLOOKUP(D550,'Receivable Invoice Detail'!$S$1:$U$3014,3,FALSE),0)</f>
        <v>0</v>
      </c>
      <c r="AW550" s="12">
        <f t="shared" si="199"/>
        <v>2566.9299999999998</v>
      </c>
    </row>
    <row r="551" spans="1:49" x14ac:dyDescent="0.25">
      <c r="A551" s="2">
        <v>1</v>
      </c>
      <c r="B551" s="2" t="s">
        <v>1374</v>
      </c>
      <c r="C551" s="2" t="s">
        <v>1375</v>
      </c>
      <c r="D551" s="2" t="s">
        <v>2782</v>
      </c>
      <c r="E551" s="2" t="s">
        <v>141</v>
      </c>
      <c r="F551" s="3">
        <v>45800.33803240741</v>
      </c>
      <c r="G551" s="3">
        <v>45800.341574074067</v>
      </c>
      <c r="H551" s="4">
        <v>45803</v>
      </c>
      <c r="I551" s="2" t="s">
        <v>21</v>
      </c>
      <c r="J551" s="2" t="s">
        <v>51</v>
      </c>
      <c r="K551" s="2">
        <v>0.72335666735002158</v>
      </c>
      <c r="L551" s="2">
        <v>2706.700702950176</v>
      </c>
      <c r="M551" s="2">
        <v>0</v>
      </c>
      <c r="N551" s="2">
        <v>1957.91</v>
      </c>
      <c r="O551" s="2">
        <v>1957.91</v>
      </c>
      <c r="P551" s="2"/>
      <c r="Q551" s="2">
        <v>1957.91</v>
      </c>
      <c r="R551" s="2" t="s">
        <v>44</v>
      </c>
      <c r="S551" s="2"/>
      <c r="T551" s="2">
        <f t="shared" si="181"/>
        <v>1</v>
      </c>
      <c r="U551" s="18">
        <f t="shared" si="182"/>
        <v>5</v>
      </c>
      <c r="V551" s="18">
        <f t="shared" si="183"/>
        <v>2025</v>
      </c>
      <c r="W551" s="18">
        <f t="shared" si="184"/>
        <v>7</v>
      </c>
      <c r="X551" s="18">
        <f t="shared" si="185"/>
        <v>2025</v>
      </c>
      <c r="Y551" s="2">
        <f t="shared" si="178"/>
        <v>0.72335666735002158</v>
      </c>
      <c r="Z551" t="str">
        <f t="shared" si="179"/>
        <v>SO17222</v>
      </c>
      <c r="AA551" s="11">
        <f t="shared" si="186"/>
        <v>45800.33803240741</v>
      </c>
      <c r="AB551" s="5" t="str">
        <f t="shared" si="187"/>
        <v>INV13012</v>
      </c>
      <c r="AC551" s="5" t="str">
        <f>IFERROR(VLOOKUP(D551,CAARStatus!$A$2:$AA$1600,22,FALSE),"Not invoiced")</f>
        <v>Paid</v>
      </c>
      <c r="AD551" s="11">
        <f>IF(AC551="Paid",IFERROR(VLOOKUP(D551,CAARStatus!$A$2:$AA$1600,6,FALSE),"Pending"),"Pending")</f>
        <v>45859</v>
      </c>
      <c r="AE551" s="5" t="str">
        <f t="shared" si="188"/>
        <v>4511929371</v>
      </c>
      <c r="AF551" s="5" t="str">
        <f t="shared" si="189"/>
        <v>PT Vale Indonesia Tbk.</v>
      </c>
      <c r="AG551" s="5" t="str">
        <f t="shared" si="190"/>
        <v>USD</v>
      </c>
      <c r="AH551" s="5">
        <f t="shared" si="191"/>
        <v>2706.700702950176</v>
      </c>
      <c r="AI551" s="12">
        <f>IF(L551-N551=0,VLOOKUP(U551,rate!A$4:B$15,2,FALSE)*AH551,IF(AG551="USD",O551,AH551*Y551))</f>
        <v>1957.91</v>
      </c>
      <c r="AJ551" s="13">
        <f t="shared" si="192"/>
        <v>0.72335666735002158</v>
      </c>
      <c r="AK551" s="13">
        <f>-IF(AG551="CAD",IFERROR(VLOOKUP(D551,CAARStatus!$A$1:$Y$1600,16,FALSE),0),0)</f>
        <v>0</v>
      </c>
      <c r="AL551" s="13">
        <f>-IF(AG551="USD",IFERROR(VLOOKUP(D551,CAARStatus!$A$1:$Y$1600,11,FALSE),0),0)</f>
        <v>-1957.91</v>
      </c>
      <c r="AM551" s="22" t="str">
        <f t="shared" si="193"/>
        <v/>
      </c>
      <c r="AN551" s="12">
        <f t="shared" si="194"/>
        <v>0</v>
      </c>
      <c r="AO551" s="12" t="str">
        <f t="shared" si="195"/>
        <v>Yes</v>
      </c>
      <c r="AP551" t="str">
        <f t="shared" si="180"/>
        <v>Yes</v>
      </c>
      <c r="AQ551" t="str">
        <f>IFERROR(VLOOKUP(Z551,InvBal!$L$4:$P$600,4,FALSE),"Pend")</f>
        <v>Pend</v>
      </c>
      <c r="AR551" t="str">
        <f>IFERROR(VLOOKUP(D551,Manual!$C$1:$E$22,2,FALSE),"Pend")</f>
        <v>Pend</v>
      </c>
      <c r="AS551" t="str">
        <f t="shared" si="196"/>
        <v>Yes</v>
      </c>
      <c r="AT551" t="str">
        <f t="shared" si="197"/>
        <v>Yes</v>
      </c>
      <c r="AU551" s="51" t="str">
        <f t="shared" si="198"/>
        <v>Yes</v>
      </c>
      <c r="AV551" s="12">
        <f>IFERROR(VLOOKUP(D551,'Receivable Invoice Detail'!$S$1:$U$3014,3,FALSE),0)</f>
        <v>0</v>
      </c>
      <c r="AW551" s="12">
        <f t="shared" si="199"/>
        <v>1957.91</v>
      </c>
    </row>
    <row r="552" spans="1:49" x14ac:dyDescent="0.25">
      <c r="A552" s="2">
        <v>1</v>
      </c>
      <c r="B552" s="2" t="s">
        <v>1372</v>
      </c>
      <c r="C552" s="2" t="s">
        <v>1373</v>
      </c>
      <c r="D552" s="2" t="s">
        <v>2783</v>
      </c>
      <c r="E552" s="2" t="s">
        <v>141</v>
      </c>
      <c r="F552" s="3">
        <v>45800.349918981483</v>
      </c>
      <c r="G552" s="3">
        <v>45800.351724537039</v>
      </c>
      <c r="H552" s="4">
        <v>45803</v>
      </c>
      <c r="I552" s="2" t="s">
        <v>21</v>
      </c>
      <c r="J552" s="2" t="s">
        <v>51</v>
      </c>
      <c r="K552" s="2">
        <v>0.72335666735002158</v>
      </c>
      <c r="L552" s="2">
        <v>3525.093657243006</v>
      </c>
      <c r="M552" s="2">
        <v>0</v>
      </c>
      <c r="N552" s="2">
        <v>2549.9</v>
      </c>
      <c r="O552" s="2">
        <v>2549.9</v>
      </c>
      <c r="P552" s="2"/>
      <c r="Q552" s="2">
        <v>2549.9</v>
      </c>
      <c r="R552" s="2" t="s">
        <v>44</v>
      </c>
      <c r="S552" s="2"/>
      <c r="T552" s="2">
        <f t="shared" si="181"/>
        <v>1</v>
      </c>
      <c r="U552" s="18">
        <f t="shared" si="182"/>
        <v>5</v>
      </c>
      <c r="V552" s="18">
        <f t="shared" si="183"/>
        <v>2025</v>
      </c>
      <c r="W552" s="18">
        <f t="shared" si="184"/>
        <v>7</v>
      </c>
      <c r="X552" s="18">
        <f t="shared" si="185"/>
        <v>2025</v>
      </c>
      <c r="Y552" s="2">
        <f t="shared" si="178"/>
        <v>0.72335666735002158</v>
      </c>
      <c r="Z552" t="str">
        <f t="shared" si="179"/>
        <v>SO17223</v>
      </c>
      <c r="AA552" s="11">
        <f t="shared" si="186"/>
        <v>45800.349918981483</v>
      </c>
      <c r="AB552" s="5" t="str">
        <f t="shared" si="187"/>
        <v>INV13011</v>
      </c>
      <c r="AC552" s="5" t="str">
        <f>IFERROR(VLOOKUP(D552,CAARStatus!$A$2:$AA$1600,22,FALSE),"Not invoiced")</f>
        <v>Paid</v>
      </c>
      <c r="AD552" s="11">
        <f>IF(AC552="Paid",IFERROR(VLOOKUP(D552,CAARStatus!$A$2:$AA$1600,6,FALSE),"Pending"),"Pending")</f>
        <v>45859</v>
      </c>
      <c r="AE552" s="5" t="str">
        <f t="shared" si="188"/>
        <v>4511929372</v>
      </c>
      <c r="AF552" s="5" t="str">
        <f t="shared" si="189"/>
        <v>PT Vale Indonesia Tbk.</v>
      </c>
      <c r="AG552" s="5" t="str">
        <f t="shared" si="190"/>
        <v>USD</v>
      </c>
      <c r="AH552" s="5">
        <f t="shared" si="191"/>
        <v>3525.093657243006</v>
      </c>
      <c r="AI552" s="12">
        <f>IF(L552-N552=0,VLOOKUP(U552,rate!A$4:B$15,2,FALSE)*AH552,IF(AG552="USD",O552,AH552*Y552))</f>
        <v>2549.9</v>
      </c>
      <c r="AJ552" s="13">
        <f t="shared" si="192"/>
        <v>0.72335666735002158</v>
      </c>
      <c r="AK552" s="13">
        <f>-IF(AG552="CAD",IFERROR(VLOOKUP(D552,CAARStatus!$A$1:$Y$1600,16,FALSE),0),0)</f>
        <v>0</v>
      </c>
      <c r="AL552" s="13">
        <f>-IF(AG552="USD",IFERROR(VLOOKUP(D552,CAARStatus!$A$1:$Y$1600,11,FALSE),0),0)</f>
        <v>-2549.9</v>
      </c>
      <c r="AM552" s="22" t="str">
        <f t="shared" si="193"/>
        <v/>
      </c>
      <c r="AN552" s="12">
        <f t="shared" si="194"/>
        <v>0</v>
      </c>
      <c r="AO552" s="12" t="str">
        <f t="shared" si="195"/>
        <v>Yes</v>
      </c>
      <c r="AP552" t="str">
        <f t="shared" si="180"/>
        <v>Yes</v>
      </c>
      <c r="AQ552" t="str">
        <f>IFERROR(VLOOKUP(Z552,InvBal!$L$4:$P$600,4,FALSE),"Pend")</f>
        <v>Pend</v>
      </c>
      <c r="AR552" t="str">
        <f>IFERROR(VLOOKUP(D552,Manual!$C$1:$E$22,2,FALSE),"Pend")</f>
        <v>Pend</v>
      </c>
      <c r="AS552" t="str">
        <f t="shared" si="196"/>
        <v>Yes</v>
      </c>
      <c r="AT552" t="str">
        <f t="shared" si="197"/>
        <v>Yes</v>
      </c>
      <c r="AU552" s="51" t="str">
        <f t="shared" si="198"/>
        <v>Yes</v>
      </c>
      <c r="AV552" s="12">
        <f>IFERROR(VLOOKUP(D552,'Receivable Invoice Detail'!$S$1:$U$3014,3,FALSE),0)</f>
        <v>0</v>
      </c>
      <c r="AW552" s="12">
        <f t="shared" si="199"/>
        <v>2549.9</v>
      </c>
    </row>
    <row r="553" spans="1:49" x14ac:dyDescent="0.25">
      <c r="A553" s="2">
        <v>1</v>
      </c>
      <c r="B553" s="2" t="s">
        <v>1368</v>
      </c>
      <c r="C553" s="2" t="s">
        <v>1369</v>
      </c>
      <c r="D553" s="2" t="s">
        <v>2785</v>
      </c>
      <c r="E553" s="2" t="s">
        <v>141</v>
      </c>
      <c r="F553" s="3">
        <v>45800.355740740742</v>
      </c>
      <c r="G553" s="3">
        <v>45800.370034722233</v>
      </c>
      <c r="H553" s="4">
        <v>45803</v>
      </c>
      <c r="I553" s="2" t="s">
        <v>21</v>
      </c>
      <c r="J553" s="2" t="s">
        <v>51</v>
      </c>
      <c r="K553" s="2">
        <v>0.72335666735002158</v>
      </c>
      <c r="L553" s="2">
        <v>2605.4781618374532</v>
      </c>
      <c r="M553" s="2">
        <v>0</v>
      </c>
      <c r="N553" s="2">
        <v>1884.69</v>
      </c>
      <c r="O553" s="2">
        <v>1884.69</v>
      </c>
      <c r="P553" s="2"/>
      <c r="Q553" s="2">
        <v>1884.69</v>
      </c>
      <c r="R553" s="2" t="s">
        <v>44</v>
      </c>
      <c r="S553" s="2"/>
      <c r="T553" s="2">
        <f t="shared" si="181"/>
        <v>1</v>
      </c>
      <c r="U553" s="18">
        <f t="shared" si="182"/>
        <v>5</v>
      </c>
      <c r="V553" s="18">
        <f t="shared" si="183"/>
        <v>2025</v>
      </c>
      <c r="W553" s="18">
        <f t="shared" si="184"/>
        <v>7</v>
      </c>
      <c r="X553" s="18">
        <f t="shared" si="185"/>
        <v>2025</v>
      </c>
      <c r="Y553" s="2">
        <f t="shared" si="178"/>
        <v>0.72335666735002146</v>
      </c>
      <c r="Z553" t="str">
        <f t="shared" si="179"/>
        <v>SO17224</v>
      </c>
      <c r="AA553" s="11">
        <f t="shared" si="186"/>
        <v>45800.355740740742</v>
      </c>
      <c r="AB553" s="5" t="str">
        <f t="shared" si="187"/>
        <v>INV13010</v>
      </c>
      <c r="AC553" s="5" t="str">
        <f>IFERROR(VLOOKUP(D553,CAARStatus!$A$2:$AA$1600,22,FALSE),"Not invoiced")</f>
        <v>Paid</v>
      </c>
      <c r="AD553" s="11">
        <f>IF(AC553="Paid",IFERROR(VLOOKUP(D553,CAARStatus!$A$2:$AA$1600,6,FALSE),"Pending"),"Pending")</f>
        <v>45859</v>
      </c>
      <c r="AE553" s="5" t="str">
        <f t="shared" si="188"/>
        <v>4511929370</v>
      </c>
      <c r="AF553" s="5" t="str">
        <f t="shared" si="189"/>
        <v>PT Vale Indonesia Tbk.</v>
      </c>
      <c r="AG553" s="5" t="str">
        <f t="shared" si="190"/>
        <v>USD</v>
      </c>
      <c r="AH553" s="5">
        <f t="shared" si="191"/>
        <v>2605.4781618374527</v>
      </c>
      <c r="AI553" s="12">
        <f>IF(L553-N553=0,VLOOKUP(U553,rate!A$4:B$15,2,FALSE)*AH553,IF(AG553="USD",O553,AH553*Y553))</f>
        <v>1884.69</v>
      </c>
      <c r="AJ553" s="13">
        <f t="shared" si="192"/>
        <v>0.72335666735002158</v>
      </c>
      <c r="AK553" s="13">
        <f>-IF(AG553="CAD",IFERROR(VLOOKUP(D553,CAARStatus!$A$1:$Y$1600,16,FALSE),0),0)</f>
        <v>0</v>
      </c>
      <c r="AL553" s="13">
        <f>-IF(AG553="USD",IFERROR(VLOOKUP(D553,CAARStatus!$A$1:$Y$1600,11,FALSE),0),0)</f>
        <v>-1884.69</v>
      </c>
      <c r="AM553" s="22" t="str">
        <f t="shared" si="193"/>
        <v/>
      </c>
      <c r="AN553" s="12">
        <f t="shared" si="194"/>
        <v>0</v>
      </c>
      <c r="AO553" s="12" t="str">
        <f t="shared" si="195"/>
        <v>Yes</v>
      </c>
      <c r="AP553" t="str">
        <f t="shared" si="180"/>
        <v>Yes</v>
      </c>
      <c r="AQ553" t="str">
        <f>IFERROR(VLOOKUP(Z553,InvBal!$L$4:$P$600,4,FALSE),"Pend")</f>
        <v>Pend</v>
      </c>
      <c r="AR553" t="str">
        <f>IFERROR(VLOOKUP(D553,Manual!$C$1:$E$22,2,FALSE),"Pend")</f>
        <v>Pend</v>
      </c>
      <c r="AS553" t="str">
        <f t="shared" si="196"/>
        <v>Yes</v>
      </c>
      <c r="AT553" t="str">
        <f t="shared" si="197"/>
        <v>Yes</v>
      </c>
      <c r="AU553" s="51" t="str">
        <f t="shared" si="198"/>
        <v>Yes</v>
      </c>
      <c r="AV553" s="12">
        <f>IFERROR(VLOOKUP(D553,'Receivable Invoice Detail'!$S$1:$U$3014,3,FALSE),0)</f>
        <v>0</v>
      </c>
      <c r="AW553" s="12">
        <f t="shared" si="199"/>
        <v>1884.69</v>
      </c>
    </row>
    <row r="554" spans="1:49" x14ac:dyDescent="0.25">
      <c r="A554" s="2">
        <v>1</v>
      </c>
      <c r="B554" s="2" t="s">
        <v>1356</v>
      </c>
      <c r="C554" s="2" t="s">
        <v>1357</v>
      </c>
      <c r="D554" s="2" t="s">
        <v>2792</v>
      </c>
      <c r="E554" s="2" t="s">
        <v>242</v>
      </c>
      <c r="F554" s="3">
        <v>45800.435358796298</v>
      </c>
      <c r="G554" s="3">
        <v>45800.578275462962</v>
      </c>
      <c r="H554" s="4">
        <v>45803</v>
      </c>
      <c r="I554" s="2" t="s">
        <v>21</v>
      </c>
      <c r="J554" s="2" t="s">
        <v>22</v>
      </c>
      <c r="K554" s="2">
        <v>1</v>
      </c>
      <c r="L554" s="2">
        <v>391.77</v>
      </c>
      <c r="M554" s="2">
        <v>0</v>
      </c>
      <c r="N554" s="2">
        <v>284.73815708132418</v>
      </c>
      <c r="O554" s="2">
        <v>373.11</v>
      </c>
      <c r="P554" s="2">
        <v>18.66</v>
      </c>
      <c r="Q554" s="2">
        <v>391.77</v>
      </c>
      <c r="R554" s="2" t="s">
        <v>44</v>
      </c>
      <c r="S554" s="2"/>
      <c r="T554" s="2">
        <f t="shared" si="181"/>
        <v>1</v>
      </c>
      <c r="U554" s="18">
        <f t="shared" si="182"/>
        <v>5</v>
      </c>
      <c r="V554" s="18">
        <f t="shared" si="183"/>
        <v>2025</v>
      </c>
      <c r="W554" s="18">
        <f t="shared" si="184"/>
        <v>7</v>
      </c>
      <c r="X554" s="18">
        <f t="shared" si="185"/>
        <v>2025</v>
      </c>
      <c r="Y554" s="2">
        <f t="shared" si="178"/>
        <v>0.72679928805504301</v>
      </c>
      <c r="Z554" t="str">
        <f t="shared" si="179"/>
        <v>SO17225</v>
      </c>
      <c r="AA554" s="11">
        <f t="shared" si="186"/>
        <v>45800.435358796298</v>
      </c>
      <c r="AB554" s="5" t="str">
        <f t="shared" si="187"/>
        <v>INV13025</v>
      </c>
      <c r="AC554" s="5" t="str">
        <f>IFERROR(VLOOKUP(D554,CAARStatus!$A$2:$AA$1600,22,FALSE),"Not invoiced")</f>
        <v>Paid</v>
      </c>
      <c r="AD554" s="11">
        <f>IF(AC554="Paid",IFERROR(VLOOKUP(D554,CAARStatus!$A$2:$AA$1600,6,FALSE),"Pending"),"Pending")</f>
        <v>45847</v>
      </c>
      <c r="AE554" s="5" t="str">
        <f t="shared" si="188"/>
        <v>2100580158</v>
      </c>
      <c r="AF554" s="5" t="str">
        <f t="shared" si="189"/>
        <v>Wajax Limited - Noranda</v>
      </c>
      <c r="AG554" s="5" t="str">
        <f t="shared" si="190"/>
        <v>CAD</v>
      </c>
      <c r="AH554" s="5">
        <f t="shared" si="191"/>
        <v>373.11</v>
      </c>
      <c r="AI554" s="12">
        <f>IF(L554-N554=0,VLOOKUP(U554,rate!A$4:B$15,2,FALSE)*AH554,IF(AG554="USD",O554,AH554*Y554))</f>
        <v>271.17608236621709</v>
      </c>
      <c r="AJ554" s="13">
        <f t="shared" si="192"/>
        <v>0.7267992880550429</v>
      </c>
      <c r="AK554" s="13">
        <f>-IF(AG554="CAD",IFERROR(VLOOKUP(D554,CAARStatus!$A$1:$Y$1600,16,FALSE),0),0)</f>
        <v>-373.11</v>
      </c>
      <c r="AL554" s="13">
        <f>-IF(AG554="USD",IFERROR(VLOOKUP(D554,CAARStatus!$A$1:$Y$1600,11,FALSE),0),0)</f>
        <v>0</v>
      </c>
      <c r="AM554" s="22">
        <f t="shared" si="193"/>
        <v>0</v>
      </c>
      <c r="AN554" s="12" t="str">
        <f t="shared" si="194"/>
        <v/>
      </c>
      <c r="AO554" s="12" t="str">
        <f t="shared" si="195"/>
        <v>Yes</v>
      </c>
      <c r="AP554" t="str">
        <f t="shared" si="180"/>
        <v>Yes</v>
      </c>
      <c r="AQ554" t="str">
        <f>IFERROR(VLOOKUP(Z554,InvBal!$L$4:$P$600,4,FALSE),"Pend")</f>
        <v>Pend</v>
      </c>
      <c r="AR554" t="str">
        <f>IFERROR(VLOOKUP(D554,Manual!$C$1:$E$22,2,FALSE),"Pend")</f>
        <v>Pend</v>
      </c>
      <c r="AS554" t="str">
        <f t="shared" si="196"/>
        <v>Yes</v>
      </c>
      <c r="AT554" t="str">
        <f t="shared" si="197"/>
        <v>Yes</v>
      </c>
      <c r="AU554" s="51" t="str">
        <f t="shared" si="198"/>
        <v>Yes</v>
      </c>
      <c r="AV554" s="12">
        <f>IFERROR(VLOOKUP(D554,'Receivable Invoice Detail'!$S$1:$U$3014,3,FALSE),0)</f>
        <v>0</v>
      </c>
      <c r="AW554" s="12">
        <f t="shared" si="199"/>
        <v>271.17608236621709</v>
      </c>
    </row>
    <row r="555" spans="1:49" ht="30" x14ac:dyDescent="0.25">
      <c r="A555" s="2">
        <v>1</v>
      </c>
      <c r="B555" s="2" t="s">
        <v>1431</v>
      </c>
      <c r="C555" s="2" t="s">
        <v>1432</v>
      </c>
      <c r="D555" s="2" t="s">
        <v>2752</v>
      </c>
      <c r="E555" s="2" t="s">
        <v>159</v>
      </c>
      <c r="F555" s="3">
        <v>45800.466550925928</v>
      </c>
      <c r="G555" s="3">
        <v>45790.466597222221</v>
      </c>
      <c r="H555" s="4">
        <v>45923</v>
      </c>
      <c r="I555" s="2" t="s">
        <v>426</v>
      </c>
      <c r="J555" s="2" t="s">
        <v>51</v>
      </c>
      <c r="K555" s="2">
        <v>0.71640017533217071</v>
      </c>
      <c r="L555" s="2">
        <v>48556.660366353062</v>
      </c>
      <c r="M555" s="2">
        <v>0</v>
      </c>
      <c r="N555" s="2">
        <v>34786</v>
      </c>
      <c r="O555" s="2">
        <v>34786</v>
      </c>
      <c r="P555" s="2"/>
      <c r="Q555" s="2">
        <v>34786</v>
      </c>
      <c r="R555" s="2" t="s">
        <v>44</v>
      </c>
      <c r="S555" s="2"/>
      <c r="T555" s="2">
        <f t="shared" si="181"/>
        <v>1</v>
      </c>
      <c r="U555" s="18">
        <f t="shared" si="182"/>
        <v>5</v>
      </c>
      <c r="V555" s="18">
        <f t="shared" si="183"/>
        <v>2025</v>
      </c>
      <c r="W555" s="18">
        <f t="shared" si="184"/>
        <v>8</v>
      </c>
      <c r="X555" s="18">
        <f t="shared" si="185"/>
        <v>2025</v>
      </c>
      <c r="Y555" s="2">
        <f t="shared" si="178"/>
        <v>0.71640017533217071</v>
      </c>
      <c r="Z555" t="str">
        <f t="shared" si="179"/>
        <v>SO17226</v>
      </c>
      <c r="AA555" s="11">
        <f t="shared" si="186"/>
        <v>45800.466550925928</v>
      </c>
      <c r="AB555" s="5" t="str">
        <f t="shared" si="187"/>
        <v>INV13186</v>
      </c>
      <c r="AC555" s="5" t="str">
        <f>IFERROR(VLOOKUP(D555,CAARStatus!$A$2:$AA$1600,22,FALSE),"Not invoiced")</f>
        <v>Paid</v>
      </c>
      <c r="AD555" s="11">
        <f>IF(AC555="Paid",IFERROR(VLOOKUP(D555,CAARStatus!$A$2:$AA$1600,6,FALSE),"Pending"),"Pending")</f>
        <v>45898</v>
      </c>
      <c r="AE555" s="5" t="str">
        <f t="shared" si="188"/>
        <v>4501185837</v>
      </c>
      <c r="AF555" s="5" t="str">
        <f t="shared" si="189"/>
        <v>Barrick Gold - Pueblo Viejo Dominicana Corporation</v>
      </c>
      <c r="AG555" s="5" t="str">
        <f t="shared" si="190"/>
        <v>USD</v>
      </c>
      <c r="AH555" s="5">
        <f t="shared" si="191"/>
        <v>48556.660366353062</v>
      </c>
      <c r="AI555" s="12">
        <f>IF(L555-N555=0,VLOOKUP(U555,rate!A$4:B$15,2,FALSE)*AH555,IF(AG555="USD",O555,AH555*Y555))</f>
        <v>34786</v>
      </c>
      <c r="AJ555" s="13">
        <f t="shared" si="192"/>
        <v>0.71640017533217071</v>
      </c>
      <c r="AK555" s="13">
        <f>-IF(AG555="CAD",IFERROR(VLOOKUP(D555,CAARStatus!$A$1:$Y$1600,16,FALSE),0),0)</f>
        <v>0</v>
      </c>
      <c r="AL555" s="13">
        <f>-IF(AG555="USD",IFERROR(VLOOKUP(D555,CAARStatus!$A$1:$Y$1600,11,FALSE),0),0)</f>
        <v>-34786</v>
      </c>
      <c r="AM555" s="22" t="str">
        <f t="shared" si="193"/>
        <v/>
      </c>
      <c r="AN555" s="12">
        <f t="shared" si="194"/>
        <v>0</v>
      </c>
      <c r="AO555" s="12" t="str">
        <f t="shared" si="195"/>
        <v>Yes</v>
      </c>
      <c r="AP555" t="str">
        <f t="shared" si="180"/>
        <v>Yes</v>
      </c>
      <c r="AQ555" t="str">
        <f>IFERROR(VLOOKUP(Z555,InvBal!$L$4:$P$600,4,FALSE),"Pend")</f>
        <v>Pend</v>
      </c>
      <c r="AR555" t="str">
        <f>IFERROR(VLOOKUP(D555,Manual!$C$1:$E$22,2,FALSE),"Pend")</f>
        <v>Pend</v>
      </c>
      <c r="AS555" t="str">
        <f t="shared" si="196"/>
        <v>Yes</v>
      </c>
      <c r="AT555" t="str">
        <f t="shared" si="197"/>
        <v>Yes</v>
      </c>
      <c r="AU555" s="51" t="str">
        <f t="shared" si="198"/>
        <v>Yes</v>
      </c>
      <c r="AV555" s="12">
        <f>IFERROR(VLOOKUP(D555,'Receivable Invoice Detail'!$S$1:$U$3014,3,FALSE),0)</f>
        <v>0</v>
      </c>
      <c r="AW555" s="12">
        <f t="shared" si="199"/>
        <v>34786</v>
      </c>
    </row>
    <row r="556" spans="1:49" x14ac:dyDescent="0.25">
      <c r="A556" s="2">
        <v>1</v>
      </c>
      <c r="B556" s="2" t="s">
        <v>1360</v>
      </c>
      <c r="C556" s="2" t="s">
        <v>1361</v>
      </c>
      <c r="D556" s="2" t="s">
        <v>2789</v>
      </c>
      <c r="E556" s="2" t="s">
        <v>141</v>
      </c>
      <c r="F556" s="3">
        <v>45800.553946759261</v>
      </c>
      <c r="G556" s="3">
        <v>45800.554606481477</v>
      </c>
      <c r="H556" s="4">
        <v>45803</v>
      </c>
      <c r="I556" s="2" t="s">
        <v>21</v>
      </c>
      <c r="J556" s="2" t="s">
        <v>51</v>
      </c>
      <c r="K556" s="2">
        <v>0.72335666735002158</v>
      </c>
      <c r="L556" s="2">
        <v>134.69150751997569</v>
      </c>
      <c r="M556" s="2">
        <v>0</v>
      </c>
      <c r="N556" s="2">
        <v>97.43</v>
      </c>
      <c r="O556" s="2">
        <v>97.43</v>
      </c>
      <c r="P556" s="2"/>
      <c r="Q556" s="2">
        <v>97.43</v>
      </c>
      <c r="R556" s="2" t="s">
        <v>44</v>
      </c>
      <c r="S556" s="2"/>
      <c r="T556" s="2">
        <f t="shared" si="181"/>
        <v>1</v>
      </c>
      <c r="U556" s="18">
        <f t="shared" si="182"/>
        <v>5</v>
      </c>
      <c r="V556" s="18">
        <f t="shared" si="183"/>
        <v>2025</v>
      </c>
      <c r="W556" s="18">
        <f t="shared" si="184"/>
        <v>7</v>
      </c>
      <c r="X556" s="18">
        <f t="shared" si="185"/>
        <v>2025</v>
      </c>
      <c r="Y556" s="2">
        <f t="shared" si="178"/>
        <v>0.7233566673500218</v>
      </c>
      <c r="Z556" t="str">
        <f t="shared" si="179"/>
        <v>SO17227</v>
      </c>
      <c r="AA556" s="11">
        <f t="shared" si="186"/>
        <v>45800.553946759261</v>
      </c>
      <c r="AB556" s="5" t="str">
        <f t="shared" si="187"/>
        <v>INV13009</v>
      </c>
      <c r="AC556" s="5" t="str">
        <f>IFERROR(VLOOKUP(D556,CAARStatus!$A$2:$AA$1600,22,FALSE),"Not invoiced")</f>
        <v>Paid</v>
      </c>
      <c r="AD556" s="11">
        <f>IF(AC556="Paid",IFERROR(VLOOKUP(D556,CAARStatus!$A$2:$AA$1600,6,FALSE),"Pending"),"Pending")</f>
        <v>45859</v>
      </c>
      <c r="AE556" s="5" t="str">
        <f t="shared" si="188"/>
        <v>4511929373</v>
      </c>
      <c r="AF556" s="5" t="str">
        <f t="shared" si="189"/>
        <v>PT Vale Indonesia Tbk.</v>
      </c>
      <c r="AG556" s="5" t="str">
        <f t="shared" si="190"/>
        <v>USD</v>
      </c>
      <c r="AH556" s="5">
        <f t="shared" si="191"/>
        <v>134.69150751997572</v>
      </c>
      <c r="AI556" s="12">
        <f>IF(L556-N556=0,VLOOKUP(U556,rate!A$4:B$15,2,FALSE)*AH556,IF(AG556="USD",O556,AH556*Y556))</f>
        <v>97.43</v>
      </c>
      <c r="AJ556" s="13">
        <f t="shared" si="192"/>
        <v>0.72335666735002158</v>
      </c>
      <c r="AK556" s="13">
        <f>-IF(AG556="CAD",IFERROR(VLOOKUP(D556,CAARStatus!$A$1:$Y$1600,16,FALSE),0),0)</f>
        <v>0</v>
      </c>
      <c r="AL556" s="13">
        <f>-IF(AG556="USD",IFERROR(VLOOKUP(D556,CAARStatus!$A$1:$Y$1600,11,FALSE),0),0)</f>
        <v>-97.43</v>
      </c>
      <c r="AM556" s="22" t="str">
        <f t="shared" si="193"/>
        <v/>
      </c>
      <c r="AN556" s="12">
        <f t="shared" si="194"/>
        <v>0</v>
      </c>
      <c r="AO556" s="12" t="str">
        <f t="shared" si="195"/>
        <v>Yes</v>
      </c>
      <c r="AP556" t="str">
        <f t="shared" si="180"/>
        <v>Yes</v>
      </c>
      <c r="AQ556" t="str">
        <f>IFERROR(VLOOKUP(Z556,InvBal!$L$4:$P$600,4,FALSE),"Pend")</f>
        <v>Pend</v>
      </c>
      <c r="AR556" t="str">
        <f>IFERROR(VLOOKUP(D556,Manual!$C$1:$E$22,2,FALSE),"Pend")</f>
        <v>Pend</v>
      </c>
      <c r="AS556" t="str">
        <f t="shared" si="196"/>
        <v>Yes</v>
      </c>
      <c r="AT556" t="str">
        <f t="shared" si="197"/>
        <v>Yes</v>
      </c>
      <c r="AU556" s="51" t="str">
        <f t="shared" si="198"/>
        <v>Yes</v>
      </c>
      <c r="AV556" s="12">
        <f>IFERROR(VLOOKUP(D556,'Receivable Invoice Detail'!$S$1:$U$3014,3,FALSE),0)</f>
        <v>0</v>
      </c>
      <c r="AW556" s="12">
        <f t="shared" si="199"/>
        <v>97.43</v>
      </c>
    </row>
    <row r="557" spans="1:49" x14ac:dyDescent="0.25">
      <c r="A557" s="2">
        <v>1</v>
      </c>
      <c r="B557" s="2" t="s">
        <v>1352</v>
      </c>
      <c r="C557" s="2" t="s">
        <v>1353</v>
      </c>
      <c r="D557" s="2" t="s">
        <v>2794</v>
      </c>
      <c r="E557" s="2" t="s">
        <v>1179</v>
      </c>
      <c r="F557" s="3">
        <v>45800.561562499999</v>
      </c>
      <c r="G557" s="3">
        <v>45800.666215277779</v>
      </c>
      <c r="H557" s="4">
        <v>45803</v>
      </c>
      <c r="I557" s="2" t="s">
        <v>21</v>
      </c>
      <c r="J557" s="2" t="s">
        <v>22</v>
      </c>
      <c r="K557" s="2">
        <v>1</v>
      </c>
      <c r="L557" s="2">
        <v>4547.72</v>
      </c>
      <c r="M557" s="2">
        <v>0</v>
      </c>
      <c r="N557" s="2">
        <v>3305.279658273681</v>
      </c>
      <c r="O557" s="2">
        <v>4331.1499999999996</v>
      </c>
      <c r="P557" s="2">
        <v>216.57</v>
      </c>
      <c r="Q557" s="2">
        <v>4547.72</v>
      </c>
      <c r="R557" s="2" t="s">
        <v>44</v>
      </c>
      <c r="S557" s="2"/>
      <c r="T557" s="2">
        <f t="shared" si="181"/>
        <v>1</v>
      </c>
      <c r="U557" s="18">
        <f t="shared" si="182"/>
        <v>5</v>
      </c>
      <c r="V557" s="18">
        <f t="shared" si="183"/>
        <v>2025</v>
      </c>
      <c r="W557" s="18">
        <f t="shared" si="184"/>
        <v>7</v>
      </c>
      <c r="X557" s="18">
        <f t="shared" si="185"/>
        <v>2025</v>
      </c>
      <c r="Y557" s="2">
        <f t="shared" si="178"/>
        <v>0.72679928805504312</v>
      </c>
      <c r="Z557" t="str">
        <f t="shared" si="179"/>
        <v>SO17229</v>
      </c>
      <c r="AA557" s="11">
        <f t="shared" si="186"/>
        <v>45800.561562499999</v>
      </c>
      <c r="AB557" s="5" t="str">
        <f t="shared" si="187"/>
        <v>INV13023</v>
      </c>
      <c r="AC557" s="5" t="str">
        <f>IFERROR(VLOOKUP(D557,CAARStatus!$A$2:$AA$1600,22,FALSE),"Not invoiced")</f>
        <v>Paid</v>
      </c>
      <c r="AD557" s="11">
        <f>IF(AC557="Paid",IFERROR(VLOOKUP(D557,CAARStatus!$A$2:$AA$1600,6,FALSE),"Pending"),"Pending")</f>
        <v>45845</v>
      </c>
      <c r="AE557" s="5" t="str">
        <f t="shared" si="188"/>
        <v>3006737</v>
      </c>
      <c r="AF557" s="5" t="str">
        <f t="shared" si="189"/>
        <v>SCG Process, SCG Process</v>
      </c>
      <c r="AG557" s="5" t="str">
        <f t="shared" si="190"/>
        <v>CAD</v>
      </c>
      <c r="AH557" s="5">
        <f t="shared" si="191"/>
        <v>4331.1499999999996</v>
      </c>
      <c r="AI557" s="12">
        <f>IF(L557-N557=0,VLOOKUP(U557,rate!A$4:B$15,2,FALSE)*AH557,IF(AG557="USD",O557,AH557*Y557))</f>
        <v>3147.8767364595997</v>
      </c>
      <c r="AJ557" s="13">
        <f t="shared" si="192"/>
        <v>0.72679928805504312</v>
      </c>
      <c r="AK557" s="13">
        <f>-IF(AG557="CAD",IFERROR(VLOOKUP(D557,CAARStatus!$A$1:$Y$1600,16,FALSE),0),0)</f>
        <v>-4331.1499999999996</v>
      </c>
      <c r="AL557" s="13">
        <f>-IF(AG557="USD",IFERROR(VLOOKUP(D557,CAARStatus!$A$1:$Y$1600,11,FALSE),0),0)</f>
        <v>0</v>
      </c>
      <c r="AM557" s="22">
        <f t="shared" si="193"/>
        <v>0</v>
      </c>
      <c r="AN557" s="12" t="str">
        <f t="shared" si="194"/>
        <v/>
      </c>
      <c r="AO557" s="12" t="str">
        <f t="shared" si="195"/>
        <v>Yes</v>
      </c>
      <c r="AP557" t="str">
        <f t="shared" si="180"/>
        <v>Yes</v>
      </c>
      <c r="AQ557" t="str">
        <f>IFERROR(VLOOKUP(Z557,InvBal!$L$4:$P$600,4,FALSE),"Pend")</f>
        <v>Pend</v>
      </c>
      <c r="AR557" t="str">
        <f>IFERROR(VLOOKUP(D557,Manual!$C$1:$E$22,2,FALSE),"Pend")</f>
        <v>Pend</v>
      </c>
      <c r="AS557" t="str">
        <f t="shared" si="196"/>
        <v>Yes</v>
      </c>
      <c r="AT557" t="str">
        <f t="shared" si="197"/>
        <v>Yes</v>
      </c>
      <c r="AU557" s="51" t="str">
        <f t="shared" si="198"/>
        <v>Yes</v>
      </c>
      <c r="AV557" s="12">
        <f>IFERROR(VLOOKUP(D557,'Receivable Invoice Detail'!$S$1:$U$3014,3,FALSE),0)</f>
        <v>0</v>
      </c>
      <c r="AW557" s="12">
        <f t="shared" si="199"/>
        <v>3147.8767364595997</v>
      </c>
    </row>
    <row r="558" spans="1:49" ht="30" x14ac:dyDescent="0.25">
      <c r="A558" s="2">
        <v>1</v>
      </c>
      <c r="B558" s="2" t="s">
        <v>1350</v>
      </c>
      <c r="C558" s="2" t="s">
        <v>1351</v>
      </c>
      <c r="D558" s="2" t="s">
        <v>2795</v>
      </c>
      <c r="E558" s="2" t="s">
        <v>20</v>
      </c>
      <c r="F558" s="3">
        <v>45800.70140046296</v>
      </c>
      <c r="G558" s="3">
        <v>45800.702997685177</v>
      </c>
      <c r="H558" s="4">
        <v>45803</v>
      </c>
      <c r="I558" s="2" t="s">
        <v>21</v>
      </c>
      <c r="J558" s="2" t="s">
        <v>22</v>
      </c>
      <c r="K558" s="2">
        <v>1</v>
      </c>
      <c r="L558" s="2">
        <v>551.48</v>
      </c>
      <c r="M558" s="2">
        <v>0</v>
      </c>
      <c r="N558" s="2">
        <v>400.81527137659521</v>
      </c>
      <c r="O558" s="2">
        <v>525.22</v>
      </c>
      <c r="P558" s="2">
        <v>26.26</v>
      </c>
      <c r="Q558" s="2">
        <v>551.48</v>
      </c>
      <c r="R558" s="2" t="s">
        <v>44</v>
      </c>
      <c r="S558" s="2"/>
      <c r="T558" s="2">
        <f t="shared" si="181"/>
        <v>1</v>
      </c>
      <c r="U558" s="18">
        <f t="shared" si="182"/>
        <v>5</v>
      </c>
      <c r="V558" s="18">
        <f t="shared" si="183"/>
        <v>2025</v>
      </c>
      <c r="W558" s="18">
        <f t="shared" si="184"/>
        <v>7</v>
      </c>
      <c r="X558" s="18">
        <f t="shared" si="185"/>
        <v>2025</v>
      </c>
      <c r="Y558" s="2">
        <f t="shared" si="178"/>
        <v>0.72679928805504312</v>
      </c>
      <c r="Z558" t="str">
        <f t="shared" si="179"/>
        <v>SO17230</v>
      </c>
      <c r="AA558" s="11">
        <f t="shared" si="186"/>
        <v>45800.70140046296</v>
      </c>
      <c r="AB558" s="5" t="str">
        <f t="shared" si="187"/>
        <v>INV13027</v>
      </c>
      <c r="AC558" s="5" t="str">
        <f>IFERROR(VLOOKUP(D558,CAARStatus!$A$2:$AA$1600,22,FALSE),"Not invoiced")</f>
        <v>Paid</v>
      </c>
      <c r="AD558" s="11">
        <f>IF(AC558="Paid",IFERROR(VLOOKUP(D558,CAARStatus!$A$2:$AA$1600,6,FALSE),"Pending"),"Pending")</f>
        <v>45862</v>
      </c>
      <c r="AE558" s="5" t="str">
        <f t="shared" si="188"/>
        <v>4500598086</v>
      </c>
      <c r="AF558" s="5" t="str">
        <f t="shared" si="189"/>
        <v>Resolute Forest Products - Saint-Felicien</v>
      </c>
      <c r="AG558" s="5" t="str">
        <f t="shared" si="190"/>
        <v>CAD</v>
      </c>
      <c r="AH558" s="5">
        <f t="shared" si="191"/>
        <v>525.22</v>
      </c>
      <c r="AI558" s="12">
        <f>IF(L558-N558=0,VLOOKUP(U558,rate!A$4:B$15,2,FALSE)*AH558,IF(AG558="USD",O558,AH558*Y558))</f>
        <v>381.72952207226979</v>
      </c>
      <c r="AJ558" s="13">
        <f t="shared" si="192"/>
        <v>0.72679928805504312</v>
      </c>
      <c r="AK558" s="13">
        <f>-IF(AG558="CAD",IFERROR(VLOOKUP(D558,CAARStatus!$A$1:$Y$1600,16,FALSE),0),0)</f>
        <v>-525.22</v>
      </c>
      <c r="AL558" s="13">
        <f>-IF(AG558="USD",IFERROR(VLOOKUP(D558,CAARStatus!$A$1:$Y$1600,11,FALSE),0),0)</f>
        <v>0</v>
      </c>
      <c r="AM558" s="22">
        <f t="shared" si="193"/>
        <v>0</v>
      </c>
      <c r="AN558" s="12" t="str">
        <f t="shared" si="194"/>
        <v/>
      </c>
      <c r="AO558" s="12" t="str">
        <f t="shared" si="195"/>
        <v>Yes</v>
      </c>
      <c r="AP558" t="str">
        <f t="shared" si="180"/>
        <v>Yes</v>
      </c>
      <c r="AQ558" t="str">
        <f>IFERROR(VLOOKUP(Z558,InvBal!$L$4:$P$600,4,FALSE),"Pend")</f>
        <v>Pend</v>
      </c>
      <c r="AR558" t="str">
        <f>IFERROR(VLOOKUP(D558,Manual!$C$1:$E$22,2,FALSE),"Pend")</f>
        <v>Pend</v>
      </c>
      <c r="AS558" t="str">
        <f t="shared" si="196"/>
        <v>Yes</v>
      </c>
      <c r="AT558" t="str">
        <f t="shared" si="197"/>
        <v>Yes</v>
      </c>
      <c r="AU558" s="51" t="str">
        <f t="shared" si="198"/>
        <v>Yes</v>
      </c>
      <c r="AV558" s="12">
        <f>IFERROR(VLOOKUP(D558,'Receivable Invoice Detail'!$S$1:$U$3014,3,FALSE),0)</f>
        <v>0</v>
      </c>
      <c r="AW558" s="12">
        <f t="shared" si="199"/>
        <v>381.72952207226979</v>
      </c>
    </row>
    <row r="559" spans="1:49" ht="30" x14ac:dyDescent="0.25">
      <c r="A559" s="2">
        <v>1</v>
      </c>
      <c r="B559" s="2" t="s">
        <v>1336</v>
      </c>
      <c r="C559" s="2" t="s">
        <v>1337</v>
      </c>
      <c r="D559" s="2" t="s">
        <v>2802</v>
      </c>
      <c r="E559" s="2" t="s">
        <v>86</v>
      </c>
      <c r="F559" s="3">
        <v>45803.427835648137</v>
      </c>
      <c r="G559" s="3">
        <v>45804.58016203704</v>
      </c>
      <c r="H559" s="4">
        <v>45805</v>
      </c>
      <c r="I559" s="2" t="s">
        <v>1132</v>
      </c>
      <c r="J559" s="2" t="s">
        <v>22</v>
      </c>
      <c r="K559" s="2">
        <v>1</v>
      </c>
      <c r="L559" s="2">
        <v>132.43</v>
      </c>
      <c r="M559" s="2">
        <v>0</v>
      </c>
      <c r="N559" s="2">
        <v>96.115339593466302</v>
      </c>
      <c r="O559" s="2">
        <v>126.12</v>
      </c>
      <c r="P559" s="2">
        <v>6.31</v>
      </c>
      <c r="Q559" s="2">
        <v>132.43</v>
      </c>
      <c r="R559" s="2" t="s">
        <v>44</v>
      </c>
      <c r="S559" s="2"/>
      <c r="T559" s="2">
        <f t="shared" si="181"/>
        <v>1</v>
      </c>
      <c r="U559" s="18">
        <f t="shared" si="182"/>
        <v>5</v>
      </c>
      <c r="V559" s="18">
        <f t="shared" si="183"/>
        <v>2025</v>
      </c>
      <c r="W559" s="18">
        <f t="shared" si="184"/>
        <v>6</v>
      </c>
      <c r="X559" s="18">
        <f t="shared" si="185"/>
        <v>2025</v>
      </c>
      <c r="Y559" s="2">
        <f t="shared" si="178"/>
        <v>0.72578222150167104</v>
      </c>
      <c r="Z559" t="str">
        <f t="shared" si="179"/>
        <v>SO17234</v>
      </c>
      <c r="AA559" s="11">
        <f t="shared" si="186"/>
        <v>45803.427835648137</v>
      </c>
      <c r="AB559" s="5" t="str">
        <f t="shared" si="187"/>
        <v>INV13031</v>
      </c>
      <c r="AC559" s="5" t="str">
        <f>IFERROR(VLOOKUP(D559,CAARStatus!$A$2:$AA$1600,22,FALSE),"Not invoiced")</f>
        <v>Paid</v>
      </c>
      <c r="AD559" s="11">
        <f>IF(AC559="Paid",IFERROR(VLOOKUP(D559,CAARStatus!$A$2:$AA$1600,6,FALSE),"Pending"),"Pending")</f>
        <v>45835</v>
      </c>
      <c r="AE559" s="5" t="str">
        <f t="shared" si="188"/>
        <v>MB21-00189855</v>
      </c>
      <c r="AF559" s="5" t="str">
        <f t="shared" si="189"/>
        <v>Motion Industries Inc. (Canada) - Winnipeg</v>
      </c>
      <c r="AG559" s="5" t="str">
        <f t="shared" si="190"/>
        <v>CAD</v>
      </c>
      <c r="AH559" s="5">
        <f t="shared" si="191"/>
        <v>126.12</v>
      </c>
      <c r="AI559" s="12">
        <f>IF(L559-N559=0,VLOOKUP(U559,rate!A$4:B$15,2,FALSE)*AH559,IF(AG559="USD",O559,AH559*Y559))</f>
        <v>91.535653775790749</v>
      </c>
      <c r="AJ559" s="13">
        <f t="shared" si="192"/>
        <v>0.72578222150167104</v>
      </c>
      <c r="AK559" s="13">
        <f>-IF(AG559="CAD",IFERROR(VLOOKUP(D559,CAARStatus!$A$1:$Y$1600,16,FALSE),0),0)</f>
        <v>-126.12</v>
      </c>
      <c r="AL559" s="13">
        <f>-IF(AG559="USD",IFERROR(VLOOKUP(D559,CAARStatus!$A$1:$Y$1600,11,FALSE),0),0)</f>
        <v>0</v>
      </c>
      <c r="AM559" s="22">
        <f t="shared" si="193"/>
        <v>0</v>
      </c>
      <c r="AN559" s="12" t="str">
        <f t="shared" si="194"/>
        <v/>
      </c>
      <c r="AO559" s="12" t="str">
        <f t="shared" si="195"/>
        <v>Yes</v>
      </c>
      <c r="AP559" t="str">
        <f t="shared" si="180"/>
        <v>Yes</v>
      </c>
      <c r="AQ559" t="str">
        <f>IFERROR(VLOOKUP(Z559,InvBal!$L$4:$P$600,4,FALSE),"Pend")</f>
        <v>Pend</v>
      </c>
      <c r="AR559" t="str">
        <f>IFERROR(VLOOKUP(D559,Manual!$C$1:$E$22,2,FALSE),"Pend")</f>
        <v>Pend</v>
      </c>
      <c r="AS559" t="str">
        <f t="shared" si="196"/>
        <v>Yes</v>
      </c>
      <c r="AT559" t="str">
        <f t="shared" si="197"/>
        <v>Yes</v>
      </c>
      <c r="AU559" s="51" t="str">
        <f t="shared" si="198"/>
        <v>Yes</v>
      </c>
      <c r="AV559" s="12">
        <f>IFERROR(VLOOKUP(D559,'Receivable Invoice Detail'!$S$1:$U$3014,3,FALSE),0)</f>
        <v>0</v>
      </c>
      <c r="AW559" s="12">
        <f t="shared" si="199"/>
        <v>91.535653775790749</v>
      </c>
    </row>
    <row r="560" spans="1:49" x14ac:dyDescent="0.25">
      <c r="A560" s="2">
        <v>1</v>
      </c>
      <c r="B560" s="2" t="s">
        <v>1346</v>
      </c>
      <c r="C560" s="2" t="s">
        <v>1347</v>
      </c>
      <c r="D560" s="2" t="s">
        <v>2797</v>
      </c>
      <c r="E560" s="2" t="s">
        <v>146</v>
      </c>
      <c r="F560" s="3">
        <v>45803.431006944447</v>
      </c>
      <c r="G560" s="3">
        <v>45803.553749999999</v>
      </c>
      <c r="H560" s="4">
        <v>45827</v>
      </c>
      <c r="I560" s="2" t="s">
        <v>21</v>
      </c>
      <c r="J560" s="2" t="s">
        <v>22</v>
      </c>
      <c r="K560" s="2">
        <v>1</v>
      </c>
      <c r="L560" s="2">
        <v>1112.75</v>
      </c>
      <c r="M560" s="2">
        <v>1112.75</v>
      </c>
      <c r="N560" s="2">
        <v>1112.75</v>
      </c>
      <c r="O560" s="2">
        <v>1059.76</v>
      </c>
      <c r="P560" s="2">
        <v>52.99</v>
      </c>
      <c r="Q560" s="2">
        <v>1112.75</v>
      </c>
      <c r="R560" s="2" t="s">
        <v>44</v>
      </c>
      <c r="S560" s="2"/>
      <c r="T560" s="2">
        <f t="shared" si="181"/>
        <v>1</v>
      </c>
      <c r="U560" s="18">
        <f t="shared" si="182"/>
        <v>5</v>
      </c>
      <c r="V560" s="18">
        <f t="shared" si="183"/>
        <v>2025</v>
      </c>
      <c r="W560" s="18">
        <f t="shared" si="184"/>
        <v>8</v>
      </c>
      <c r="X560" s="18">
        <f t="shared" si="185"/>
        <v>2025</v>
      </c>
      <c r="Y560" s="2">
        <f t="shared" si="178"/>
        <v>1</v>
      </c>
      <c r="Z560" t="str">
        <f t="shared" si="179"/>
        <v>SO17235</v>
      </c>
      <c r="AA560" s="11">
        <f t="shared" si="186"/>
        <v>45803.431006944447</v>
      </c>
      <c r="AB560" s="5" t="str">
        <f t="shared" si="187"/>
        <v>INV13079</v>
      </c>
      <c r="AC560" s="5" t="str">
        <f>IFERROR(VLOOKUP(D560,CAARStatus!$A$2:$AA$1600,22,FALSE),"Not invoiced")</f>
        <v>Paid</v>
      </c>
      <c r="AD560" s="11">
        <f>IF(AC560="Paid",IFERROR(VLOOKUP(D560,CAARStatus!$A$2:$AA$1600,6,FALSE),"Pending"),"Pending")</f>
        <v>45873</v>
      </c>
      <c r="AE560" s="5" t="str">
        <f t="shared" si="188"/>
        <v>7183</v>
      </c>
      <c r="AF560" s="5" t="str">
        <f t="shared" si="189"/>
        <v>Hyperflo</v>
      </c>
      <c r="AG560" s="5" t="str">
        <f t="shared" si="190"/>
        <v>CAD</v>
      </c>
      <c r="AH560" s="5">
        <f t="shared" si="191"/>
        <v>1059.76</v>
      </c>
      <c r="AI560" s="12">
        <f>IF(L560-N560=0,VLOOKUP(U560,rate!A$4:B$15,2,FALSE)*AH560,IF(AG560="USD",O560,AH560*Y560))</f>
        <v>765.06747569241963</v>
      </c>
      <c r="AJ560" s="13">
        <f t="shared" si="192"/>
        <v>0.72192522428891415</v>
      </c>
      <c r="AK560" s="13">
        <f>-IF(AG560="CAD",IFERROR(VLOOKUP(D560,CAARStatus!$A$1:$Y$1600,16,FALSE),0),0)</f>
        <v>-1059.76</v>
      </c>
      <c r="AL560" s="13">
        <f>-IF(AG560="USD",IFERROR(VLOOKUP(D560,CAARStatus!$A$1:$Y$1600,11,FALSE),0),0)</f>
        <v>0</v>
      </c>
      <c r="AM560" s="22">
        <f t="shared" si="193"/>
        <v>0</v>
      </c>
      <c r="AN560" s="12" t="str">
        <f t="shared" si="194"/>
        <v/>
      </c>
      <c r="AO560" s="12" t="str">
        <f t="shared" si="195"/>
        <v>Yes</v>
      </c>
      <c r="AP560" t="str">
        <f t="shared" si="180"/>
        <v>Yes</v>
      </c>
      <c r="AQ560" t="str">
        <f>IFERROR(VLOOKUP(Z560,InvBal!$L$4:$P$600,4,FALSE),"Pend")</f>
        <v>Pend</v>
      </c>
      <c r="AR560" t="str">
        <f>IFERROR(VLOOKUP(D560,Manual!$C$1:$E$22,2,FALSE),"Pend")</f>
        <v>Pend</v>
      </c>
      <c r="AS560" t="str">
        <f t="shared" si="196"/>
        <v>Yes</v>
      </c>
      <c r="AT560" t="str">
        <f t="shared" si="197"/>
        <v>Yes</v>
      </c>
      <c r="AU560" s="51" t="str">
        <f t="shared" si="198"/>
        <v>Yes</v>
      </c>
      <c r="AV560" s="12">
        <f>IFERROR(VLOOKUP(D560,'Receivable Invoice Detail'!$S$1:$U$3014,3,FALSE),0)</f>
        <v>0</v>
      </c>
      <c r="AW560" s="12">
        <f t="shared" si="199"/>
        <v>765.06747569241963</v>
      </c>
    </row>
    <row r="561" spans="1:49" x14ac:dyDescent="0.25">
      <c r="A561" s="2">
        <v>1</v>
      </c>
      <c r="B561" s="2" t="s">
        <v>1342</v>
      </c>
      <c r="C561" s="2" t="s">
        <v>1343</v>
      </c>
      <c r="D561" s="2" t="s">
        <v>2799</v>
      </c>
      <c r="E561" s="2" t="s">
        <v>146</v>
      </c>
      <c r="F561" s="3">
        <v>45803.625231481477</v>
      </c>
      <c r="G561" s="3">
        <v>45804.5312037037</v>
      </c>
      <c r="H561" s="4">
        <v>45805</v>
      </c>
      <c r="I561" s="2" t="s">
        <v>21</v>
      </c>
      <c r="J561" s="2" t="s">
        <v>22</v>
      </c>
      <c r="K561" s="2">
        <v>1</v>
      </c>
      <c r="L561" s="2">
        <v>1086.52</v>
      </c>
      <c r="M561" s="2">
        <v>0</v>
      </c>
      <c r="N561" s="2">
        <v>788.57689930599565</v>
      </c>
      <c r="O561" s="2">
        <v>1034.78</v>
      </c>
      <c r="P561" s="2">
        <v>51.74</v>
      </c>
      <c r="Q561" s="2">
        <v>1086.52</v>
      </c>
      <c r="R561" s="2" t="s">
        <v>44</v>
      </c>
      <c r="S561" s="2"/>
      <c r="T561" s="2">
        <f t="shared" si="181"/>
        <v>1</v>
      </c>
      <c r="U561" s="18">
        <f t="shared" si="182"/>
        <v>5</v>
      </c>
      <c r="V561" s="18">
        <f t="shared" si="183"/>
        <v>2025</v>
      </c>
      <c r="W561" s="18">
        <f t="shared" si="184"/>
        <v>8</v>
      </c>
      <c r="X561" s="18">
        <f t="shared" si="185"/>
        <v>2025</v>
      </c>
      <c r="Y561" s="2">
        <f t="shared" si="178"/>
        <v>0.72578222150167104</v>
      </c>
      <c r="Z561" t="str">
        <f t="shared" si="179"/>
        <v>SO17237</v>
      </c>
      <c r="AA561" s="11">
        <f t="shared" si="186"/>
        <v>45803.625231481477</v>
      </c>
      <c r="AB561" s="5" t="str">
        <f t="shared" si="187"/>
        <v>INV13029</v>
      </c>
      <c r="AC561" s="5" t="str">
        <f>IFERROR(VLOOKUP(D561,CAARStatus!$A$2:$AA$1600,22,FALSE),"Not invoiced")</f>
        <v>Paid</v>
      </c>
      <c r="AD561" s="11">
        <f>IF(AC561="Paid",IFERROR(VLOOKUP(D561,CAARStatus!$A$2:$AA$1600,6,FALSE),"Pending"),"Pending")</f>
        <v>45873</v>
      </c>
      <c r="AE561" s="5" t="str">
        <f t="shared" si="188"/>
        <v>7191</v>
      </c>
      <c r="AF561" s="5" t="str">
        <f t="shared" si="189"/>
        <v>Hyperflo</v>
      </c>
      <c r="AG561" s="5" t="str">
        <f t="shared" si="190"/>
        <v>CAD</v>
      </c>
      <c r="AH561" s="5">
        <f t="shared" si="191"/>
        <v>1034.78</v>
      </c>
      <c r="AI561" s="12">
        <f>IF(L561-N561=0,VLOOKUP(U561,rate!A$4:B$15,2,FALSE)*AH561,IF(AG561="USD",O561,AH561*Y561))</f>
        <v>751.02492716549909</v>
      </c>
      <c r="AJ561" s="13">
        <f t="shared" si="192"/>
        <v>0.72578222150167104</v>
      </c>
      <c r="AK561" s="13">
        <f>-IF(AG561="CAD",IFERROR(VLOOKUP(D561,CAARStatus!$A$1:$Y$1600,16,FALSE),0),0)</f>
        <v>-1034.78</v>
      </c>
      <c r="AL561" s="13">
        <f>-IF(AG561="USD",IFERROR(VLOOKUP(D561,CAARStatus!$A$1:$Y$1600,11,FALSE),0),0)</f>
        <v>0</v>
      </c>
      <c r="AM561" s="22">
        <f t="shared" si="193"/>
        <v>0</v>
      </c>
      <c r="AN561" s="12" t="str">
        <f t="shared" si="194"/>
        <v/>
      </c>
      <c r="AO561" s="12" t="str">
        <f t="shared" si="195"/>
        <v>Yes</v>
      </c>
      <c r="AP561" t="str">
        <f t="shared" si="180"/>
        <v>Yes</v>
      </c>
      <c r="AQ561" t="str">
        <f>IFERROR(VLOOKUP(Z561,InvBal!$L$4:$P$600,4,FALSE),"Pend")</f>
        <v>Pend</v>
      </c>
      <c r="AR561" t="str">
        <f>IFERROR(VLOOKUP(D561,Manual!$C$1:$E$22,2,FALSE),"Pend")</f>
        <v>Pend</v>
      </c>
      <c r="AS561" t="str">
        <f t="shared" si="196"/>
        <v>Yes</v>
      </c>
      <c r="AT561" t="str">
        <f t="shared" si="197"/>
        <v>Yes</v>
      </c>
      <c r="AU561" s="51" t="str">
        <f t="shared" si="198"/>
        <v>Yes</v>
      </c>
      <c r="AV561" s="12">
        <f>IFERROR(VLOOKUP(D561,'Receivable Invoice Detail'!$S$1:$U$3014,3,FALSE),0)</f>
        <v>0</v>
      </c>
      <c r="AW561" s="12">
        <f t="shared" si="199"/>
        <v>751.02492716549909</v>
      </c>
    </row>
    <row r="562" spans="1:49" ht="30" x14ac:dyDescent="0.25">
      <c r="A562" s="2">
        <v>1</v>
      </c>
      <c r="B562" s="2" t="s">
        <v>1344</v>
      </c>
      <c r="C562" s="2" t="s">
        <v>1345</v>
      </c>
      <c r="D562" s="2" t="s">
        <v>2798</v>
      </c>
      <c r="E562" s="2" t="s">
        <v>239</v>
      </c>
      <c r="F562" s="3">
        <v>45803.669548611113</v>
      </c>
      <c r="G562" s="3">
        <v>45803.670034722221</v>
      </c>
      <c r="H562" s="4">
        <v>45813</v>
      </c>
      <c r="I562" s="2" t="s">
        <v>180</v>
      </c>
      <c r="J562" s="2" t="s">
        <v>51</v>
      </c>
      <c r="K562" s="2">
        <v>0.72793141414156337</v>
      </c>
      <c r="L562" s="2">
        <v>5353.8560423250119</v>
      </c>
      <c r="M562" s="2">
        <v>0</v>
      </c>
      <c r="N562" s="2">
        <v>3897.24</v>
      </c>
      <c r="O562" s="2">
        <v>3897.24</v>
      </c>
      <c r="P562" s="2"/>
      <c r="Q562" s="2">
        <v>3897.24</v>
      </c>
      <c r="R562" s="2" t="s">
        <v>44</v>
      </c>
      <c r="S562" s="2"/>
      <c r="T562" s="2">
        <f t="shared" si="181"/>
        <v>1</v>
      </c>
      <c r="U562" s="18">
        <f t="shared" si="182"/>
        <v>5</v>
      </c>
      <c r="V562" s="18">
        <f t="shared" si="183"/>
        <v>2025</v>
      </c>
      <c r="W562" s="18">
        <f t="shared" si="184"/>
        <v>7</v>
      </c>
      <c r="X562" s="18">
        <f t="shared" si="185"/>
        <v>2025</v>
      </c>
      <c r="Y562" s="2">
        <f t="shared" si="178"/>
        <v>0.72793141414156337</v>
      </c>
      <c r="Z562" t="str">
        <f t="shared" si="179"/>
        <v>SO17238</v>
      </c>
      <c r="AA562" s="11">
        <f t="shared" si="186"/>
        <v>45803.669548611113</v>
      </c>
      <c r="AB562" s="5" t="str">
        <f t="shared" si="187"/>
        <v>INV13045</v>
      </c>
      <c r="AC562" s="5" t="str">
        <f>IFERROR(VLOOKUP(D562,CAARStatus!$A$2:$AA$1600,22,FALSE),"Not invoiced")</f>
        <v>Paid</v>
      </c>
      <c r="AD562" s="11">
        <f>IF(AC562="Paid",IFERROR(VLOOKUP(D562,CAARStatus!$A$2:$AA$1600,6,FALSE),"Pending"),"Pending")</f>
        <v>45855</v>
      </c>
      <c r="AE562" s="5" t="str">
        <f t="shared" si="188"/>
        <v>1048 / Ship to PO# 2250165</v>
      </c>
      <c r="AF562" s="5" t="str">
        <f t="shared" si="189"/>
        <v>Mill-Right Mine Services Inc.</v>
      </c>
      <c r="AG562" s="5" t="str">
        <f t="shared" si="190"/>
        <v>USD</v>
      </c>
      <c r="AH562" s="5">
        <f t="shared" si="191"/>
        <v>5353.8560423250119</v>
      </c>
      <c r="AI562" s="12">
        <f>IF(L562-N562=0,VLOOKUP(U562,rate!A$4:B$15,2,FALSE)*AH562,IF(AG562="USD",O562,AH562*Y562))</f>
        <v>3897.24</v>
      </c>
      <c r="AJ562" s="13">
        <f t="shared" si="192"/>
        <v>0.72793141414156337</v>
      </c>
      <c r="AK562" s="13">
        <f>-IF(AG562="CAD",IFERROR(VLOOKUP(D562,CAARStatus!$A$1:$Y$1600,16,FALSE),0),0)</f>
        <v>0</v>
      </c>
      <c r="AL562" s="13">
        <f>-IF(AG562="USD",IFERROR(VLOOKUP(D562,CAARStatus!$A$1:$Y$1600,11,FALSE),0),0)</f>
        <v>-3897.24</v>
      </c>
      <c r="AM562" s="22" t="str">
        <f t="shared" si="193"/>
        <v/>
      </c>
      <c r="AN562" s="12">
        <f t="shared" si="194"/>
        <v>0</v>
      </c>
      <c r="AO562" s="12" t="str">
        <f t="shared" si="195"/>
        <v>Yes</v>
      </c>
      <c r="AP562" t="str">
        <f t="shared" si="180"/>
        <v>Yes</v>
      </c>
      <c r="AQ562" t="str">
        <f>IFERROR(VLOOKUP(Z562,InvBal!$L$4:$P$600,4,FALSE),"Pend")</f>
        <v>Pend</v>
      </c>
      <c r="AR562" t="str">
        <f>IFERROR(VLOOKUP(D562,Manual!$C$1:$E$22,2,FALSE),"Pend")</f>
        <v>Pend</v>
      </c>
      <c r="AS562" t="str">
        <f t="shared" si="196"/>
        <v>Yes</v>
      </c>
      <c r="AT562" t="str">
        <f t="shared" si="197"/>
        <v>Yes</v>
      </c>
      <c r="AU562" s="51" t="str">
        <f t="shared" si="198"/>
        <v>Yes</v>
      </c>
      <c r="AV562" s="12">
        <f>IFERROR(VLOOKUP(D562,'Receivable Invoice Detail'!$S$1:$U$3014,3,FALSE),0)</f>
        <v>263.54000000000002</v>
      </c>
      <c r="AW562" s="12">
        <f t="shared" si="199"/>
        <v>3633.7</v>
      </c>
    </row>
    <row r="563" spans="1:49" x14ac:dyDescent="0.25">
      <c r="A563" s="2">
        <v>1</v>
      </c>
      <c r="B563" s="2" t="s">
        <v>1325</v>
      </c>
      <c r="C563" s="2" t="s">
        <v>1326</v>
      </c>
      <c r="D563" s="2" t="s">
        <v>2809</v>
      </c>
      <c r="E563" s="2" t="s">
        <v>242</v>
      </c>
      <c r="F563" s="3">
        <v>45804.575150462973</v>
      </c>
      <c r="G563" s="3">
        <v>45805.64539351852</v>
      </c>
      <c r="H563" s="4">
        <v>45806</v>
      </c>
      <c r="I563" s="2" t="s">
        <v>21</v>
      </c>
      <c r="J563" s="2" t="s">
        <v>22</v>
      </c>
      <c r="K563" s="2">
        <v>1</v>
      </c>
      <c r="L563" s="2">
        <v>300.67</v>
      </c>
      <c r="M563" s="2">
        <v>0</v>
      </c>
      <c r="N563" s="2">
        <v>217.54573653959201</v>
      </c>
      <c r="O563" s="2">
        <v>286.35000000000002</v>
      </c>
      <c r="P563" s="2">
        <v>14.32</v>
      </c>
      <c r="Q563" s="2">
        <v>300.67</v>
      </c>
      <c r="R563" s="2" t="s">
        <v>44</v>
      </c>
      <c r="S563" s="2"/>
      <c r="T563" s="2">
        <f t="shared" si="181"/>
        <v>1</v>
      </c>
      <c r="U563" s="18">
        <f t="shared" si="182"/>
        <v>5</v>
      </c>
      <c r="V563" s="18">
        <f t="shared" si="183"/>
        <v>2025</v>
      </c>
      <c r="W563" s="18">
        <f t="shared" si="184"/>
        <v>7</v>
      </c>
      <c r="X563" s="18">
        <f t="shared" si="185"/>
        <v>2025</v>
      </c>
      <c r="Y563" s="2">
        <f t="shared" si="178"/>
        <v>0.72353655682173812</v>
      </c>
      <c r="Z563" t="str">
        <f t="shared" si="179"/>
        <v>SO17241</v>
      </c>
      <c r="AA563" s="11">
        <f t="shared" si="186"/>
        <v>45804.575150462973</v>
      </c>
      <c r="AB563" s="5" t="str">
        <f t="shared" si="187"/>
        <v>INV13041</v>
      </c>
      <c r="AC563" s="5" t="str">
        <f>IFERROR(VLOOKUP(D563,CAARStatus!$A$2:$AA$1600,22,FALSE),"Not invoiced")</f>
        <v>Paid</v>
      </c>
      <c r="AD563" s="11">
        <f>IF(AC563="Paid",IFERROR(VLOOKUP(D563,CAARStatus!$A$2:$AA$1600,6,FALSE),"Pending"),"Pending")</f>
        <v>45847</v>
      </c>
      <c r="AE563" s="5" t="str">
        <f t="shared" si="188"/>
        <v>2100582744</v>
      </c>
      <c r="AF563" s="5" t="str">
        <f t="shared" si="189"/>
        <v>Wajax Limited - Noranda</v>
      </c>
      <c r="AG563" s="5" t="str">
        <f t="shared" si="190"/>
        <v>CAD</v>
      </c>
      <c r="AH563" s="5">
        <f t="shared" si="191"/>
        <v>286.35000000000002</v>
      </c>
      <c r="AI563" s="12">
        <f>IF(L563-N563=0,VLOOKUP(U563,rate!A$4:B$15,2,FALSE)*AH563,IF(AG563="USD",O563,AH563*Y563))</f>
        <v>207.18469304590474</v>
      </c>
      <c r="AJ563" s="13">
        <f t="shared" si="192"/>
        <v>0.72353655682173812</v>
      </c>
      <c r="AK563" s="13">
        <f>-IF(AG563="CAD",IFERROR(VLOOKUP(D563,CAARStatus!$A$1:$Y$1600,16,FALSE),0),0)</f>
        <v>-286.35000000000002</v>
      </c>
      <c r="AL563" s="13">
        <f>-IF(AG563="USD",IFERROR(VLOOKUP(D563,CAARStatus!$A$1:$Y$1600,11,FALSE),0),0)</f>
        <v>0</v>
      </c>
      <c r="AM563" s="22">
        <f t="shared" si="193"/>
        <v>0</v>
      </c>
      <c r="AN563" s="12" t="str">
        <f t="shared" si="194"/>
        <v/>
      </c>
      <c r="AO563" s="12" t="str">
        <f t="shared" si="195"/>
        <v>Yes</v>
      </c>
      <c r="AP563" t="str">
        <f t="shared" si="180"/>
        <v>Yes</v>
      </c>
      <c r="AQ563" t="str">
        <f>IFERROR(VLOOKUP(Z563,InvBal!$L$4:$P$600,4,FALSE),"Pend")</f>
        <v>Pend</v>
      </c>
      <c r="AR563" t="str">
        <f>IFERROR(VLOOKUP(D563,Manual!$C$1:$E$22,2,FALSE),"Pend")</f>
        <v>Pend</v>
      </c>
      <c r="AS563" t="str">
        <f t="shared" si="196"/>
        <v>Yes</v>
      </c>
      <c r="AT563" t="str">
        <f t="shared" si="197"/>
        <v>Yes</v>
      </c>
      <c r="AU563" s="51" t="str">
        <f t="shared" si="198"/>
        <v>Yes</v>
      </c>
      <c r="AV563" s="12">
        <f>IFERROR(VLOOKUP(D563,'Receivable Invoice Detail'!$S$1:$U$3014,3,FALSE),0)</f>
        <v>0</v>
      </c>
      <c r="AW563" s="12">
        <f t="shared" si="199"/>
        <v>207.18469304590474</v>
      </c>
    </row>
    <row r="564" spans="1:49" ht="30" x14ac:dyDescent="0.25">
      <c r="A564" s="2">
        <v>1</v>
      </c>
      <c r="B564" s="2" t="s">
        <v>1269</v>
      </c>
      <c r="C564" s="2" t="s">
        <v>1270</v>
      </c>
      <c r="D564" s="2" t="s">
        <v>2838</v>
      </c>
      <c r="E564" s="2" t="s">
        <v>239</v>
      </c>
      <c r="F564" s="3">
        <v>45804.604872685188</v>
      </c>
      <c r="G564" s="3">
        <v>45813.609479166669</v>
      </c>
      <c r="H564" s="4">
        <v>45895</v>
      </c>
      <c r="I564" s="2" t="s">
        <v>180</v>
      </c>
      <c r="J564" s="2" t="s">
        <v>51</v>
      </c>
      <c r="K564" s="2">
        <v>0.73142063106581767</v>
      </c>
      <c r="L564" s="2">
        <v>3636.7582305189821</v>
      </c>
      <c r="M564" s="2">
        <v>0</v>
      </c>
      <c r="N564" s="2">
        <v>2660</v>
      </c>
      <c r="O564" s="2">
        <v>2660</v>
      </c>
      <c r="P564" s="2"/>
      <c r="Q564" s="2">
        <v>2660</v>
      </c>
      <c r="R564" s="2" t="s">
        <v>44</v>
      </c>
      <c r="S564" s="2"/>
      <c r="T564" s="2">
        <f t="shared" si="181"/>
        <v>1</v>
      </c>
      <c r="U564" s="18">
        <f t="shared" si="182"/>
        <v>5</v>
      </c>
      <c r="V564" s="18">
        <f t="shared" si="183"/>
        <v>2025</v>
      </c>
      <c r="W564" s="18">
        <f t="shared" si="184"/>
        <v>10</v>
      </c>
      <c r="X564" s="18">
        <f t="shared" si="185"/>
        <v>2025</v>
      </c>
      <c r="Y564" s="2">
        <f t="shared" si="178"/>
        <v>0.73142063106581756</v>
      </c>
      <c r="Z564" t="str">
        <f t="shared" si="179"/>
        <v>SO17242</v>
      </c>
      <c r="AA564" s="11">
        <f t="shared" si="186"/>
        <v>45804.604872685188</v>
      </c>
      <c r="AB564" s="5" t="str">
        <f t="shared" si="187"/>
        <v>INV13482</v>
      </c>
      <c r="AC564" s="5" t="str">
        <f>IFERROR(VLOOKUP(D564,CAARStatus!$A$2:$AA$1600,22,FALSE),"Not invoiced")</f>
        <v>Paid</v>
      </c>
      <c r="AD564" s="11">
        <f>IF(AC564="Paid",IFERROR(VLOOKUP(D564,CAARStatus!$A$2:$AA$1600,6,FALSE),"Pending"),"Pending")</f>
        <v>45954</v>
      </c>
      <c r="AE564" s="5" t="str">
        <f t="shared" si="188"/>
        <v>1050 Ship to PO# 2250701</v>
      </c>
      <c r="AF564" s="5" t="str">
        <f t="shared" si="189"/>
        <v>Mill-Right Mine Services Inc.</v>
      </c>
      <c r="AG564" s="5" t="str">
        <f t="shared" si="190"/>
        <v>USD</v>
      </c>
      <c r="AH564" s="5">
        <f t="shared" si="191"/>
        <v>3636.7582305189817</v>
      </c>
      <c r="AI564" s="12">
        <f>IF(L564-N564=0,VLOOKUP(U564,rate!A$4:B$15,2,FALSE)*AH564,IF(AG564="USD",O564,AH564*Y564))</f>
        <v>2660</v>
      </c>
      <c r="AJ564" s="13">
        <f t="shared" si="192"/>
        <v>0.73142063106581767</v>
      </c>
      <c r="AK564" s="13">
        <f>-IF(AG564="CAD",IFERROR(VLOOKUP(D564,CAARStatus!$A$1:$Y$1600,16,FALSE),0),0)</f>
        <v>0</v>
      </c>
      <c r="AL564" s="13">
        <f>-IF(AG564="USD",IFERROR(VLOOKUP(D564,CAARStatus!$A$1:$Y$1600,11,FALSE),0),0)</f>
        <v>-2660</v>
      </c>
      <c r="AM564" s="22" t="str">
        <f t="shared" si="193"/>
        <v/>
      </c>
      <c r="AN564" s="12">
        <f t="shared" si="194"/>
        <v>0</v>
      </c>
      <c r="AO564" s="12" t="str">
        <f t="shared" si="195"/>
        <v>Yes</v>
      </c>
      <c r="AP564" t="str">
        <f t="shared" si="180"/>
        <v>Yes</v>
      </c>
      <c r="AQ564" t="str">
        <f>IFERROR(VLOOKUP(Z564,InvBal!$L$4:$P$600,4,FALSE),"Pend")</f>
        <v>Pend</v>
      </c>
      <c r="AR564" t="str">
        <f>IFERROR(VLOOKUP(D564,Manual!$C$1:$E$22,2,FALSE),"Pend")</f>
        <v>Pend</v>
      </c>
      <c r="AS564" t="str">
        <f t="shared" si="196"/>
        <v>Yes</v>
      </c>
      <c r="AT564" t="str">
        <f t="shared" si="197"/>
        <v>Yes</v>
      </c>
      <c r="AU564" s="51" t="str">
        <f t="shared" si="198"/>
        <v>Yes</v>
      </c>
      <c r="AV564" s="12">
        <f>IFERROR(VLOOKUP(D564,'Receivable Invoice Detail'!$S$1:$U$3014,3,FALSE),0)</f>
        <v>0</v>
      </c>
      <c r="AW564" s="12">
        <f t="shared" si="199"/>
        <v>2660</v>
      </c>
    </row>
    <row r="565" spans="1:49" x14ac:dyDescent="0.25">
      <c r="A565" s="2">
        <v>1</v>
      </c>
      <c r="B565" s="2" t="s">
        <v>1247</v>
      </c>
      <c r="C565" s="2" t="s">
        <v>1248</v>
      </c>
      <c r="D565" s="2" t="s">
        <v>2852</v>
      </c>
      <c r="E565" s="2" t="s">
        <v>54</v>
      </c>
      <c r="F565" s="3">
        <v>45804.648634259262</v>
      </c>
      <c r="G565" s="3">
        <v>45818.648634259262</v>
      </c>
      <c r="H565" s="4">
        <v>45895</v>
      </c>
      <c r="I565" s="2" t="s">
        <v>21</v>
      </c>
      <c r="J565" s="2" t="s">
        <v>22</v>
      </c>
      <c r="K565" s="2">
        <v>1</v>
      </c>
      <c r="L565" s="2">
        <v>18951.39</v>
      </c>
      <c r="M565" s="2">
        <v>0</v>
      </c>
      <c r="N565" s="2">
        <v>13848.461135392759</v>
      </c>
      <c r="O565" s="2">
        <v>18048.939999999999</v>
      </c>
      <c r="P565" s="2">
        <v>902.45</v>
      </c>
      <c r="Q565" s="2">
        <v>18951.39</v>
      </c>
      <c r="R565" s="2" t="s">
        <v>44</v>
      </c>
      <c r="S565" s="2"/>
      <c r="T565" s="2">
        <f t="shared" si="181"/>
        <v>1</v>
      </c>
      <c r="U565" s="18">
        <f t="shared" si="182"/>
        <v>5</v>
      </c>
      <c r="V565" s="18">
        <f t="shared" si="183"/>
        <v>2025</v>
      </c>
      <c r="W565" s="18">
        <f t="shared" si="184"/>
        <v>9</v>
      </c>
      <c r="X565" s="18">
        <f t="shared" si="185"/>
        <v>2025</v>
      </c>
      <c r="Y565" s="2">
        <f t="shared" si="178"/>
        <v>0.73073590567197233</v>
      </c>
      <c r="Z565" t="str">
        <f t="shared" si="179"/>
        <v>SO17243</v>
      </c>
      <c r="AA565" s="11">
        <f t="shared" si="186"/>
        <v>45804.648634259262</v>
      </c>
      <c r="AB565" s="5" t="str">
        <f t="shared" si="187"/>
        <v>INV13338</v>
      </c>
      <c r="AC565" s="5" t="str">
        <f>IFERROR(VLOOKUP(D565,CAARStatus!$A$2:$AA$1600,22,FALSE),"Not invoiced")</f>
        <v>Paid</v>
      </c>
      <c r="AD565" s="11">
        <f>IF(AC565="Paid",IFERROR(VLOOKUP(D565,CAARStatus!$A$2:$AA$1600,6,FALSE),"Pending"),"Pending")</f>
        <v>45925</v>
      </c>
      <c r="AE565" s="5" t="str">
        <f t="shared" si="188"/>
        <v>3203</v>
      </c>
      <c r="AF565" s="5" t="str">
        <f t="shared" si="189"/>
        <v>Les Pompes du St-Laurent Inc.</v>
      </c>
      <c r="AG565" s="5" t="str">
        <f t="shared" si="190"/>
        <v>CAD</v>
      </c>
      <c r="AH565" s="5">
        <f t="shared" si="191"/>
        <v>18048.939999999999</v>
      </c>
      <c r="AI565" s="12">
        <f>IF(L565-N565=0,VLOOKUP(U565,rate!A$4:B$15,2,FALSE)*AH565,IF(AG565="USD",O565,AH565*Y565))</f>
        <v>13189.008517319087</v>
      </c>
      <c r="AJ565" s="13">
        <f t="shared" si="192"/>
        <v>0.73073590567197233</v>
      </c>
      <c r="AK565" s="13">
        <f>-IF(AG565="CAD",IFERROR(VLOOKUP(D565,CAARStatus!$A$1:$Y$1600,16,FALSE),0),0)</f>
        <v>-18048.939999999999</v>
      </c>
      <c r="AL565" s="13">
        <f>-IF(AG565="USD",IFERROR(VLOOKUP(D565,CAARStatus!$A$1:$Y$1600,11,FALSE),0),0)</f>
        <v>0</v>
      </c>
      <c r="AM565" s="22">
        <f t="shared" si="193"/>
        <v>0</v>
      </c>
      <c r="AN565" s="12" t="str">
        <f t="shared" si="194"/>
        <v/>
      </c>
      <c r="AO565" s="12" t="str">
        <f t="shared" si="195"/>
        <v>Yes</v>
      </c>
      <c r="AP565" t="str">
        <f t="shared" si="180"/>
        <v>Yes</v>
      </c>
      <c r="AQ565" t="str">
        <f>IFERROR(VLOOKUP(Z565,InvBal!$L$4:$P$600,4,FALSE),"Pend")</f>
        <v>Pend</v>
      </c>
      <c r="AR565" t="str">
        <f>IFERROR(VLOOKUP(D565,Manual!$C$1:$E$22,2,FALSE),"Pend")</f>
        <v>Pend</v>
      </c>
      <c r="AS565" t="str">
        <f t="shared" si="196"/>
        <v>Yes</v>
      </c>
      <c r="AT565" t="str">
        <f t="shared" si="197"/>
        <v>Yes</v>
      </c>
      <c r="AU565" s="51" t="str">
        <f t="shared" si="198"/>
        <v>Yes</v>
      </c>
      <c r="AV565" s="12">
        <f>IFERROR(VLOOKUP(D565,'Receivable Invoice Detail'!$S$1:$U$3014,3,FALSE),0)</f>
        <v>0</v>
      </c>
      <c r="AW565" s="12">
        <f t="shared" si="199"/>
        <v>13189.008517319087</v>
      </c>
    </row>
    <row r="566" spans="1:49" ht="30" x14ac:dyDescent="0.25">
      <c r="A566" s="2">
        <v>1</v>
      </c>
      <c r="B566" s="2" t="s">
        <v>1334</v>
      </c>
      <c r="C566" s="2" t="s">
        <v>1335</v>
      </c>
      <c r="D566" s="2" t="s">
        <v>2803</v>
      </c>
      <c r="E566" s="2" t="s">
        <v>86</v>
      </c>
      <c r="F566" s="3">
        <v>45804.718553240738</v>
      </c>
      <c r="G566" s="3">
        <v>45804.718726851846</v>
      </c>
      <c r="H566" s="4">
        <v>45867</v>
      </c>
      <c r="I566" s="2" t="s">
        <v>21</v>
      </c>
      <c r="J566" s="2" t="s">
        <v>22</v>
      </c>
      <c r="K566" s="2">
        <v>1</v>
      </c>
      <c r="L566" s="2">
        <v>440.87</v>
      </c>
      <c r="M566" s="2">
        <v>0</v>
      </c>
      <c r="N566" s="2">
        <v>319.97560799344171</v>
      </c>
      <c r="O566" s="2">
        <v>419.88</v>
      </c>
      <c r="P566" s="2">
        <v>20.99</v>
      </c>
      <c r="Q566" s="2">
        <v>440.87</v>
      </c>
      <c r="R566" s="2" t="s">
        <v>44</v>
      </c>
      <c r="S566" s="2"/>
      <c r="T566" s="2">
        <f t="shared" si="181"/>
        <v>1</v>
      </c>
      <c r="U566" s="18">
        <f t="shared" si="182"/>
        <v>5</v>
      </c>
      <c r="V566" s="18">
        <f t="shared" si="183"/>
        <v>2025</v>
      </c>
      <c r="W566" s="18">
        <f t="shared" si="184"/>
        <v>9</v>
      </c>
      <c r="X566" s="18">
        <f t="shared" si="185"/>
        <v>2025</v>
      </c>
      <c r="Y566" s="17">
        <f t="shared" si="178"/>
        <v>0.72578222150167104</v>
      </c>
      <c r="Z566" t="str">
        <f t="shared" si="179"/>
        <v>SO17245</v>
      </c>
      <c r="AA566" s="11">
        <f t="shared" si="186"/>
        <v>45804.718553240738</v>
      </c>
      <c r="AB566" s="5" t="str">
        <f t="shared" si="187"/>
        <v>INV13269</v>
      </c>
      <c r="AC566" s="5" t="str">
        <f>IFERROR(VLOOKUP(D566,CAARStatus!$A$2:$AA$1600,22,FALSE),"Not invoiced")</f>
        <v>Paid</v>
      </c>
      <c r="AD566" s="11">
        <f>IF(AC566="Paid",IFERROR(VLOOKUP(D566,CAARStatus!$A$2:$AA$1600,6,FALSE),"Pending"),"Pending")</f>
        <v>45905</v>
      </c>
      <c r="AE566" s="5" t="str">
        <f t="shared" si="188"/>
        <v>MB21-00189885</v>
      </c>
      <c r="AF566" s="5" t="str">
        <f t="shared" si="189"/>
        <v>Motion Industries Inc. (Canada) - Winnipeg</v>
      </c>
      <c r="AG566" s="5" t="str">
        <f t="shared" si="190"/>
        <v>CAD</v>
      </c>
      <c r="AH566" s="5">
        <f t="shared" si="191"/>
        <v>419.88</v>
      </c>
      <c r="AI566" s="12">
        <f>IF(L566-N566=0,VLOOKUP(U566,rate!A$4:B$15,2,FALSE)*AH566,IF(AG566="USD",O566,AH566*Y566))</f>
        <v>304.74143916412163</v>
      </c>
      <c r="AJ566" s="13">
        <f t="shared" si="192"/>
        <v>0.72578222150167104</v>
      </c>
      <c r="AK566" s="61">
        <f>IF(AC566="Paid",-IF(AG566="CAD",IFERROR(VLOOKUP(D566,CAARStatus!$A$1:$Y$1600,16,FALSE),0),0),0)</f>
        <v>-419.88</v>
      </c>
      <c r="AL566" s="61">
        <f>IF(AC566="Paid",-IF(AG566="USD",IFERROR(VLOOKUP(D566,CAARStatus!$A$1:$Y$1600,11,FALSE),0),0),0)</f>
        <v>0</v>
      </c>
      <c r="AM566" s="22">
        <f t="shared" si="193"/>
        <v>0</v>
      </c>
      <c r="AN566" s="12" t="str">
        <f t="shared" si="194"/>
        <v/>
      </c>
      <c r="AO566" s="12" t="str">
        <f t="shared" si="195"/>
        <v>Yes</v>
      </c>
      <c r="AP566" t="str">
        <f t="shared" si="180"/>
        <v>Yes</v>
      </c>
      <c r="AQ566" t="str">
        <f>IFERROR(VLOOKUP(Z566,InvBal!$L$4:$P$600,4,FALSE),"Pend")</f>
        <v>Pend</v>
      </c>
      <c r="AR566" t="str">
        <f>IFERROR(VLOOKUP(D566,Manual!$C$1:$E$22,2,FALSE),"Pend")</f>
        <v>Pend</v>
      </c>
      <c r="AS566" t="str">
        <f t="shared" si="196"/>
        <v>Yes</v>
      </c>
      <c r="AT566" t="str">
        <f t="shared" si="197"/>
        <v>Yes</v>
      </c>
      <c r="AU566" s="51" t="str">
        <f t="shared" si="198"/>
        <v>Yes</v>
      </c>
      <c r="AV566" s="12">
        <f>IFERROR(VLOOKUP(D566,'Receivable Invoice Detail'!$S$1:$U$3014,3,FALSE),0)</f>
        <v>0</v>
      </c>
      <c r="AW566" s="12">
        <f t="shared" si="199"/>
        <v>304.74143916412163</v>
      </c>
    </row>
    <row r="567" spans="1:49" x14ac:dyDescent="0.25">
      <c r="A567" s="2">
        <v>1</v>
      </c>
      <c r="B567" s="2" t="s">
        <v>1316</v>
      </c>
      <c r="C567" s="2" t="s">
        <v>1317</v>
      </c>
      <c r="D567" s="2" t="s">
        <v>2814</v>
      </c>
      <c r="E567" s="2" t="s">
        <v>242</v>
      </c>
      <c r="F567" s="3">
        <v>45805.336030092592</v>
      </c>
      <c r="G567" s="3">
        <v>45806.476550925923</v>
      </c>
      <c r="H567" s="4">
        <v>45810</v>
      </c>
      <c r="I567" s="2" t="s">
        <v>21</v>
      </c>
      <c r="J567" s="2" t="s">
        <v>22</v>
      </c>
      <c r="K567" s="2">
        <v>1</v>
      </c>
      <c r="L567" s="2">
        <v>746.81</v>
      </c>
      <c r="M567" s="2">
        <v>0</v>
      </c>
      <c r="N567" s="2">
        <v>540.76264251654129</v>
      </c>
      <c r="O567" s="2">
        <v>711.25</v>
      </c>
      <c r="P567" s="2">
        <v>35.56</v>
      </c>
      <c r="Q567" s="2">
        <v>746.81</v>
      </c>
      <c r="R567" s="2" t="s">
        <v>44</v>
      </c>
      <c r="S567" s="2"/>
      <c r="T567" s="2">
        <f t="shared" si="181"/>
        <v>1</v>
      </c>
      <c r="U567" s="18">
        <f t="shared" si="182"/>
        <v>5</v>
      </c>
      <c r="V567" s="18">
        <f t="shared" si="183"/>
        <v>2025</v>
      </c>
      <c r="W567" s="18">
        <f t="shared" si="184"/>
        <v>7</v>
      </c>
      <c r="X567" s="18">
        <f t="shared" si="185"/>
        <v>2025</v>
      </c>
      <c r="Y567" s="17">
        <f t="shared" si="178"/>
        <v>0.72409668123959414</v>
      </c>
      <c r="Z567" t="str">
        <f t="shared" si="179"/>
        <v>SO17246</v>
      </c>
      <c r="AA567" s="11">
        <f t="shared" si="186"/>
        <v>45805.336030092592</v>
      </c>
      <c r="AB567" s="5" t="str">
        <f t="shared" si="187"/>
        <v>INV13042</v>
      </c>
      <c r="AC567" s="5" t="str">
        <f>IFERROR(VLOOKUP(D567,CAARStatus!$A$2:$AA$1600,22,FALSE),"Not invoiced")</f>
        <v>Paid</v>
      </c>
      <c r="AD567" s="11">
        <f>IF(AC567="Paid",IFERROR(VLOOKUP(D567,CAARStatus!$A$2:$AA$1600,6,FALSE),"Pending"),"Pending")</f>
        <v>45847</v>
      </c>
      <c r="AE567" s="5" t="str">
        <f t="shared" si="188"/>
        <v>2100583535</v>
      </c>
      <c r="AF567" s="5" t="str">
        <f t="shared" si="189"/>
        <v>Wajax Limited - Noranda</v>
      </c>
      <c r="AG567" s="5" t="str">
        <f t="shared" si="190"/>
        <v>CAD</v>
      </c>
      <c r="AH567" s="5">
        <f t="shared" si="191"/>
        <v>711.25</v>
      </c>
      <c r="AI567" s="12">
        <f>IF(L567-N567=0,VLOOKUP(U567,rate!A$4:B$15,2,FALSE)*AH567,IF(AG567="USD",O567,AH567*Y567))</f>
        <v>515.01376453166131</v>
      </c>
      <c r="AJ567" s="13">
        <f t="shared" si="192"/>
        <v>0.72409668123959414</v>
      </c>
      <c r="AK567" s="13">
        <f>-IF(AG567="CAD",IFERROR(VLOOKUP(D567,CAARStatus!$A$1:$Y$1600,16,FALSE),0),0)</f>
        <v>-711.25</v>
      </c>
      <c r="AL567" s="13">
        <f>-IF(AG567="USD",IFERROR(VLOOKUP(D567,CAARStatus!$A$1:$Y$1600,11,FALSE),0),0)</f>
        <v>0</v>
      </c>
      <c r="AM567" s="22">
        <f t="shared" si="193"/>
        <v>0</v>
      </c>
      <c r="AN567" s="12" t="str">
        <f t="shared" si="194"/>
        <v/>
      </c>
      <c r="AO567" s="12" t="str">
        <f t="shared" si="195"/>
        <v>Yes</v>
      </c>
      <c r="AP567" t="str">
        <f t="shared" si="180"/>
        <v>Yes</v>
      </c>
      <c r="AQ567" t="str">
        <f>IFERROR(VLOOKUP(Z567,InvBal!$L$4:$P$600,4,FALSE),"Pend")</f>
        <v>Pend</v>
      </c>
      <c r="AR567" t="str">
        <f>IFERROR(VLOOKUP(D567,Manual!$C$1:$E$22,2,FALSE),"Pend")</f>
        <v>Pend</v>
      </c>
      <c r="AS567" t="str">
        <f t="shared" si="196"/>
        <v>Yes</v>
      </c>
      <c r="AT567" t="str">
        <f t="shared" si="197"/>
        <v>Yes</v>
      </c>
      <c r="AU567" s="51" t="str">
        <f t="shared" si="198"/>
        <v>Yes</v>
      </c>
      <c r="AV567" s="12">
        <f>IFERROR(VLOOKUP(D567,'Receivable Invoice Detail'!$S$1:$U$3014,3,FALSE),0)</f>
        <v>0</v>
      </c>
      <c r="AW567" s="12">
        <f t="shared" si="199"/>
        <v>515.01376453166131</v>
      </c>
    </row>
    <row r="568" spans="1:49" ht="30" x14ac:dyDescent="0.25">
      <c r="A568" s="2">
        <v>2</v>
      </c>
      <c r="B568" s="2" t="s">
        <v>1329</v>
      </c>
      <c r="C568" s="2" t="s">
        <v>1330</v>
      </c>
      <c r="D568" s="2" t="s">
        <v>2806</v>
      </c>
      <c r="E568" s="2" t="s">
        <v>98</v>
      </c>
      <c r="F568" s="3">
        <v>45805.534143518518</v>
      </c>
      <c r="G568" s="3">
        <v>45805.53565972222</v>
      </c>
      <c r="H568" s="4">
        <v>45806</v>
      </c>
      <c r="I568" s="2" t="s">
        <v>21</v>
      </c>
      <c r="J568" s="2" t="s">
        <v>22</v>
      </c>
      <c r="K568" s="2">
        <v>1</v>
      </c>
      <c r="L568" s="2">
        <v>4908.1099999999997</v>
      </c>
      <c r="M568" s="2">
        <v>0</v>
      </c>
      <c r="N568" s="2">
        <v>3551.197009902342</v>
      </c>
      <c r="O568" s="2">
        <v>4343.46</v>
      </c>
      <c r="P568" s="2">
        <v>564.65</v>
      </c>
      <c r="Q568" s="2">
        <v>4908.1099999999997</v>
      </c>
      <c r="R568" s="2" t="s">
        <v>44</v>
      </c>
      <c r="S568" s="2"/>
      <c r="T568" s="2">
        <f t="shared" si="181"/>
        <v>2</v>
      </c>
      <c r="U568" s="18">
        <f t="shared" si="182"/>
        <v>5</v>
      </c>
      <c r="V568" s="18">
        <f t="shared" si="183"/>
        <v>2025</v>
      </c>
      <c r="W568" s="18" t="str">
        <f t="shared" si="184"/>
        <v/>
      </c>
      <c r="X568" s="18" t="str">
        <f t="shared" si="185"/>
        <v/>
      </c>
      <c r="Y568" s="17">
        <f t="shared" si="178"/>
        <v>0.72353655682173834</v>
      </c>
      <c r="Z568" t="str">
        <f t="shared" si="179"/>
        <v>SO17249</v>
      </c>
      <c r="AA568" s="11">
        <f t="shared" si="186"/>
        <v>45805.534143518518</v>
      </c>
      <c r="AB568" s="5" t="str">
        <f t="shared" si="187"/>
        <v>(* 77703)</v>
      </c>
      <c r="AC568" s="5" t="str">
        <f>IFERROR(VLOOKUP(D568,CAARStatus!$A$2:$AA$1600,22,FALSE),"Not invoiced")</f>
        <v>Not invoiced</v>
      </c>
      <c r="AD568" s="11" t="str">
        <f>IF(AC568="Paid",IFERROR(VLOOKUP(D568,CAARStatus!$A$2:$AA$1600,6,FALSE),"Pending"),"Pending")</f>
        <v>Pending</v>
      </c>
      <c r="AE568" s="5" t="str">
        <f t="shared" si="188"/>
        <v>PO-008006</v>
      </c>
      <c r="AF568" s="5" t="str">
        <f t="shared" si="189"/>
        <v>Sling-Choker Manufacturing - Timmins</v>
      </c>
      <c r="AG568" s="5" t="str">
        <f t="shared" si="190"/>
        <v>CAD</v>
      </c>
      <c r="AH568" s="5">
        <f t="shared" si="191"/>
        <v>4343.46</v>
      </c>
      <c r="AI568" s="12">
        <f>IF(L568-N568=0,VLOOKUP(U568,rate!A$4:B$15,2,FALSE)*AH568,IF(AG568="USD",O568,AH568*Y568))</f>
        <v>3142.6520930929478</v>
      </c>
      <c r="AJ568" s="13">
        <f t="shared" si="192"/>
        <v>0.72353655682173834</v>
      </c>
      <c r="AK568" s="13">
        <f>-IF(AG568="CAD",IFERROR(VLOOKUP(D568,CAARStatus!$A$1:$Y$1600,16,FALSE),0),0)</f>
        <v>0</v>
      </c>
      <c r="AL568" s="13">
        <f>-IF(AG568="USD",IFERROR(VLOOKUP(D568,CAARStatus!$A$1:$Y$1600,11,FALSE),0),0)</f>
        <v>0</v>
      </c>
      <c r="AM568" s="22">
        <f t="shared" si="193"/>
        <v>4343.46</v>
      </c>
      <c r="AN568" s="12" t="str">
        <f t="shared" si="194"/>
        <v/>
      </c>
      <c r="AO568" s="12" t="str">
        <f t="shared" si="195"/>
        <v>Pend</v>
      </c>
      <c r="AP568" t="str">
        <f t="shared" si="180"/>
        <v>XX</v>
      </c>
      <c r="AQ568" t="str">
        <f>IFERROR(VLOOKUP(Z568,InvBal!$L$4:$P$600,4,FALSE),"Pend")</f>
        <v>Yes</v>
      </c>
      <c r="AR568" t="str">
        <f>IFERROR(VLOOKUP(D568,Manual!$C$1:$E$22,2,FALSE),"Pend")</f>
        <v>Pend</v>
      </c>
      <c r="AS568" t="str">
        <f t="shared" si="196"/>
        <v>Yes</v>
      </c>
      <c r="AT568" t="str">
        <f t="shared" si="197"/>
        <v>Yes</v>
      </c>
      <c r="AU568" s="51" t="str">
        <f t="shared" si="198"/>
        <v>Yes</v>
      </c>
      <c r="AV568" s="12">
        <f>IFERROR(VLOOKUP(D568,'Receivable Invoice Detail'!$S$1:$U$3014,3,FALSE),0)</f>
        <v>0</v>
      </c>
      <c r="AW568" s="12">
        <f t="shared" si="199"/>
        <v>3142.6520930929478</v>
      </c>
    </row>
    <row r="569" spans="1:49" x14ac:dyDescent="0.25">
      <c r="A569" s="2"/>
      <c r="B569" s="2"/>
      <c r="C569" s="2"/>
      <c r="D569" s="2" t="s">
        <v>2805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>
        <f t="shared" si="181"/>
        <v>2</v>
      </c>
      <c r="U569" s="18">
        <f t="shared" si="182"/>
        <v>5</v>
      </c>
      <c r="V569" s="18">
        <f t="shared" si="183"/>
        <v>2025</v>
      </c>
      <c r="W569" s="18">
        <f t="shared" si="184"/>
        <v>7</v>
      </c>
      <c r="X569" s="18">
        <f t="shared" si="185"/>
        <v>2025</v>
      </c>
      <c r="Y569" s="2">
        <f t="shared" si="178"/>
        <v>0.72353655682173834</v>
      </c>
      <c r="Z569" t="str">
        <f t="shared" si="179"/>
        <v>SO17249</v>
      </c>
      <c r="AA569" s="11">
        <f t="shared" si="186"/>
        <v>45805.534143518518</v>
      </c>
      <c r="AB569" s="5" t="str">
        <f t="shared" si="187"/>
        <v>INV13112</v>
      </c>
      <c r="AC569" s="5" t="str">
        <f>IFERROR(VLOOKUP(D569,CAARStatus!$A$2:$AA$1600,22,FALSE),"Not invoiced")</f>
        <v>Paid</v>
      </c>
      <c r="AD569" s="11">
        <f>IF(AC569="Paid",IFERROR(VLOOKUP(D569,CAARStatus!$A$2:$AA$1600,6,FALSE),"Pending"),"Pending")</f>
        <v>45861</v>
      </c>
      <c r="AE569" s="5" t="str">
        <f t="shared" si="188"/>
        <v>PO-008006</v>
      </c>
      <c r="AF569" s="5" t="str">
        <f t="shared" si="189"/>
        <v>Sling-Choker Manufacturing - Timmins</v>
      </c>
      <c r="AG569" s="5" t="str">
        <f t="shared" si="190"/>
        <v>CAD</v>
      </c>
      <c r="AH569" s="5">
        <f t="shared" si="191"/>
        <v>0</v>
      </c>
      <c r="AI569" s="12">
        <f>IF(L569-N569=0,VLOOKUP(U569,rate!A$4:B$15,2,FALSE)*AH569,IF(AG569="USD",O569,AH569*Y569))</f>
        <v>0</v>
      </c>
      <c r="AJ569" s="13">
        <f t="shared" si="192"/>
        <v>0</v>
      </c>
      <c r="AK569" s="13">
        <f>-IF(AG569="CAD",IFERROR(VLOOKUP(D569,CAARStatus!$A$1:$Y$1600,16,FALSE),0),0)</f>
        <v>-4343.46</v>
      </c>
      <c r="AL569" s="13">
        <f>-IF(AG569="USD",IFERROR(VLOOKUP(D569,CAARStatus!$A$1:$Y$1600,11,FALSE),0),0)</f>
        <v>0</v>
      </c>
      <c r="AM569" s="22">
        <f t="shared" si="193"/>
        <v>-4343.46</v>
      </c>
      <c r="AN569" s="12" t="str">
        <f t="shared" si="194"/>
        <v/>
      </c>
      <c r="AO569" s="12" t="str">
        <f t="shared" si="195"/>
        <v>Yes</v>
      </c>
      <c r="AP569" t="str">
        <f t="shared" si="180"/>
        <v>XX</v>
      </c>
      <c r="AQ569" t="str">
        <f>IFERROR(VLOOKUP(Z569,InvBal!$L$4:$P$600,4,FALSE),"Pend")</f>
        <v>Yes</v>
      </c>
      <c r="AR569" t="str">
        <f>IFERROR(VLOOKUP(D569,Manual!$C$1:$E$22,2,FALSE),"Pend")</f>
        <v>Pend</v>
      </c>
      <c r="AS569" t="str">
        <f t="shared" si="196"/>
        <v>Yes</v>
      </c>
      <c r="AT569" t="str">
        <f t="shared" si="197"/>
        <v/>
      </c>
      <c r="AU569" s="51" t="str">
        <f t="shared" si="198"/>
        <v/>
      </c>
      <c r="AV569" s="12">
        <f>IFERROR(VLOOKUP(D569,'Receivable Invoice Detail'!$S$1:$U$3014,3,FALSE),0)</f>
        <v>0</v>
      </c>
      <c r="AW569" s="12">
        <f t="shared" si="199"/>
        <v>0</v>
      </c>
    </row>
    <row r="570" spans="1:49" ht="30" x14ac:dyDescent="0.25">
      <c r="A570" s="2">
        <v>1</v>
      </c>
      <c r="B570" s="2" t="s">
        <v>1308</v>
      </c>
      <c r="C570" s="2" t="s">
        <v>1309</v>
      </c>
      <c r="D570" s="2" t="s">
        <v>2818</v>
      </c>
      <c r="E570" s="2" t="s">
        <v>80</v>
      </c>
      <c r="F570" s="3">
        <v>45805.685601851852</v>
      </c>
      <c r="G570" s="3">
        <v>45807.660729166673</v>
      </c>
      <c r="H570" s="4">
        <v>45810</v>
      </c>
      <c r="I570" s="2" t="s">
        <v>180</v>
      </c>
      <c r="J570" s="2" t="s">
        <v>51</v>
      </c>
      <c r="K570" s="2">
        <v>0.72738688760819992</v>
      </c>
      <c r="L570" s="2">
        <v>349.59387408832549</v>
      </c>
      <c r="M570" s="2">
        <v>0</v>
      </c>
      <c r="N570" s="2">
        <v>254.29</v>
      </c>
      <c r="O570" s="2">
        <v>254.29</v>
      </c>
      <c r="P570" s="2"/>
      <c r="Q570" s="2">
        <v>254.29</v>
      </c>
      <c r="R570" s="2" t="s">
        <v>44</v>
      </c>
      <c r="S570" s="2"/>
      <c r="T570" s="2">
        <f t="shared" si="181"/>
        <v>1</v>
      </c>
      <c r="U570" s="18">
        <f t="shared" si="182"/>
        <v>5</v>
      </c>
      <c r="V570" s="18">
        <f t="shared" si="183"/>
        <v>2025</v>
      </c>
      <c r="W570" s="18">
        <f t="shared" si="184"/>
        <v>7</v>
      </c>
      <c r="X570" s="18">
        <f t="shared" si="185"/>
        <v>2025</v>
      </c>
      <c r="Y570" s="2">
        <f t="shared" si="178"/>
        <v>0.72738688760819992</v>
      </c>
      <c r="Z570" t="str">
        <f t="shared" si="179"/>
        <v>SO17250</v>
      </c>
      <c r="AA570" s="11">
        <f t="shared" si="186"/>
        <v>45805.685601851852</v>
      </c>
      <c r="AB570" s="5" t="str">
        <f t="shared" si="187"/>
        <v>INV13048</v>
      </c>
      <c r="AC570" s="5" t="str">
        <f>IFERROR(VLOOKUP(D570,CAARStatus!$A$2:$AA$1600,22,FALSE),"Not invoiced")</f>
        <v>Paid</v>
      </c>
      <c r="AD570" s="11">
        <f>IF(AC570="Paid",IFERROR(VLOOKUP(D570,CAARStatus!$A$2:$AA$1600,6,FALSE),"Pending"),"Pending")</f>
        <v>45869</v>
      </c>
      <c r="AE570" s="5" t="str">
        <f t="shared" si="188"/>
        <v>4500598918</v>
      </c>
      <c r="AF570" s="5" t="str">
        <f t="shared" si="189"/>
        <v>Resolute Forest Products - Dolbeau</v>
      </c>
      <c r="AG570" s="5" t="str">
        <f t="shared" si="190"/>
        <v>USD</v>
      </c>
      <c r="AH570" s="5">
        <f t="shared" si="191"/>
        <v>349.59387408832549</v>
      </c>
      <c r="AI570" s="12">
        <f>IF(L570-N570=0,VLOOKUP(U570,rate!A$4:B$15,2,FALSE)*AH570,IF(AG570="USD",O570,AH570*Y570))</f>
        <v>254.29</v>
      </c>
      <c r="AJ570" s="13">
        <f t="shared" si="192"/>
        <v>0.72738688760819992</v>
      </c>
      <c r="AK570" s="13">
        <f>-IF(AG570="CAD",IFERROR(VLOOKUP(D570,CAARStatus!$A$1:$Y$1600,16,FALSE),0),0)</f>
        <v>0</v>
      </c>
      <c r="AL570" s="13">
        <f>-IF(AG570="USD",IFERROR(VLOOKUP(D570,CAARStatus!$A$1:$Y$1600,11,FALSE),0),0)</f>
        <v>-254.29</v>
      </c>
      <c r="AM570" s="22" t="str">
        <f t="shared" si="193"/>
        <v/>
      </c>
      <c r="AN570" s="12">
        <f t="shared" si="194"/>
        <v>0</v>
      </c>
      <c r="AO570" s="12" t="str">
        <f t="shared" si="195"/>
        <v>Yes</v>
      </c>
      <c r="AP570" t="str">
        <f t="shared" si="180"/>
        <v>Yes</v>
      </c>
      <c r="AQ570" t="str">
        <f>IFERROR(VLOOKUP(Z570,InvBal!$L$4:$P$600,4,FALSE),"Pend")</f>
        <v>Pend</v>
      </c>
      <c r="AR570" t="str">
        <f>IFERROR(VLOOKUP(D570,Manual!$C$1:$E$22,2,FALSE),"Pend")</f>
        <v>Pend</v>
      </c>
      <c r="AS570" t="str">
        <f t="shared" si="196"/>
        <v>Yes</v>
      </c>
      <c r="AT570" t="str">
        <f t="shared" si="197"/>
        <v>Yes</v>
      </c>
      <c r="AU570" s="51" t="str">
        <f t="shared" si="198"/>
        <v>Yes</v>
      </c>
      <c r="AV570" s="12">
        <f>IFERROR(VLOOKUP(D570,'Receivable Invoice Detail'!$S$1:$U$3014,3,FALSE),0)</f>
        <v>0</v>
      </c>
      <c r="AW570" s="12">
        <f t="shared" si="199"/>
        <v>254.29</v>
      </c>
    </row>
    <row r="571" spans="1:49" ht="30" x14ac:dyDescent="0.25">
      <c r="A571" s="2">
        <v>2</v>
      </c>
      <c r="B571" s="2" t="s">
        <v>1318</v>
      </c>
      <c r="C571" s="2" t="s">
        <v>1319</v>
      </c>
      <c r="D571" s="2" t="s">
        <v>2813</v>
      </c>
      <c r="E571" s="2" t="s">
        <v>159</v>
      </c>
      <c r="F571" s="3">
        <v>45806.396678240737</v>
      </c>
      <c r="G571" s="3">
        <v>45806.400462962964</v>
      </c>
      <c r="H571" s="4">
        <v>45894</v>
      </c>
      <c r="I571" s="2" t="s">
        <v>40</v>
      </c>
      <c r="J571" s="2" t="s">
        <v>51</v>
      </c>
      <c r="K571" s="2">
        <v>0.72353655682173823</v>
      </c>
      <c r="L571" s="2">
        <v>206959.96434205471</v>
      </c>
      <c r="M571" s="2">
        <v>0</v>
      </c>
      <c r="N571" s="2">
        <v>149743.1</v>
      </c>
      <c r="O571" s="2">
        <v>149743.1</v>
      </c>
      <c r="P571" s="2"/>
      <c r="Q571" s="2">
        <v>149743.1</v>
      </c>
      <c r="R571" s="2" t="s">
        <v>44</v>
      </c>
      <c r="S571" s="2"/>
      <c r="T571" s="2">
        <f t="shared" si="181"/>
        <v>2</v>
      </c>
      <c r="U571" s="18">
        <f t="shared" si="182"/>
        <v>5</v>
      </c>
      <c r="V571" s="18">
        <f t="shared" si="183"/>
        <v>2025</v>
      </c>
      <c r="W571" s="18">
        <f t="shared" si="184"/>
        <v>7</v>
      </c>
      <c r="X571" s="18">
        <f t="shared" si="185"/>
        <v>2025</v>
      </c>
      <c r="Y571" s="2">
        <f t="shared" si="178"/>
        <v>0.72353655682173834</v>
      </c>
      <c r="Z571" t="str">
        <f t="shared" si="179"/>
        <v>SO17253</v>
      </c>
      <c r="AA571" s="11">
        <f t="shared" si="186"/>
        <v>45806.396678240737</v>
      </c>
      <c r="AB571" s="5" t="str">
        <f t="shared" si="187"/>
        <v>INV13071</v>
      </c>
      <c r="AC571" s="5" t="str">
        <f>IFERROR(VLOOKUP(D571,CAARStatus!$A$2:$AA$1600,22,FALSE),"Not invoiced")</f>
        <v>Paid</v>
      </c>
      <c r="AD571" s="11">
        <f>IF(AC571="Paid",IFERROR(VLOOKUP(D571,CAARStatus!$A$2:$AA$1600,6,FALSE),"Pending"),"Pending")</f>
        <v>45863</v>
      </c>
      <c r="AE571" s="5" t="str">
        <f t="shared" si="188"/>
        <v>4501197712</v>
      </c>
      <c r="AF571" s="5" t="str">
        <f t="shared" si="189"/>
        <v>Barrick Gold - Pueblo Viejo Dominicana Corporation</v>
      </c>
      <c r="AG571" s="5" t="str">
        <f t="shared" si="190"/>
        <v>USD</v>
      </c>
      <c r="AH571" s="5">
        <f t="shared" si="191"/>
        <v>206959.96434205474</v>
      </c>
      <c r="AI571" s="12">
        <f>IF(L571-N571=0,VLOOKUP(U571,rate!A$4:B$15,2,FALSE)*AH571,IF(AG571="USD",O571,AH571*Y571))</f>
        <v>149743.1</v>
      </c>
      <c r="AJ571" s="13">
        <f t="shared" si="192"/>
        <v>0.72353655682173823</v>
      </c>
      <c r="AK571" s="13">
        <f>-IF(AG571="CAD",IFERROR(VLOOKUP(D571,CAARStatus!$A$1:$Y$1600,16,FALSE),0),0)</f>
        <v>0</v>
      </c>
      <c r="AL571" s="13">
        <f>-IF(AG571="USD",IFERROR(VLOOKUP(D571,CAARStatus!$A$1:$Y$1600,11,FALSE),0),0)</f>
        <v>-144549.6</v>
      </c>
      <c r="AM571" s="22" t="str">
        <f t="shared" si="193"/>
        <v/>
      </c>
      <c r="AN571" s="12">
        <f t="shared" si="194"/>
        <v>5193.5</v>
      </c>
      <c r="AO571" s="12" t="str">
        <f t="shared" si="195"/>
        <v>Yes</v>
      </c>
      <c r="AP571" t="str">
        <f t="shared" si="180"/>
        <v>XX</v>
      </c>
      <c r="AQ571" t="str">
        <f>IFERROR(VLOOKUP(Z571,InvBal!$L$4:$P$600,4,FALSE),"Pend")</f>
        <v>Yes</v>
      </c>
      <c r="AR571" t="str">
        <f>IFERROR(VLOOKUP(D571,Manual!$C$1:$E$22,2,FALSE),"Pend")</f>
        <v>Pend</v>
      </c>
      <c r="AS571" t="str">
        <f t="shared" si="196"/>
        <v>Yes</v>
      </c>
      <c r="AT571" t="str">
        <f t="shared" si="197"/>
        <v>Yes</v>
      </c>
      <c r="AU571" s="51" t="str">
        <f t="shared" si="198"/>
        <v>Yes</v>
      </c>
      <c r="AV571" s="12">
        <f>IFERROR(VLOOKUP(D571,'Receivable Invoice Detail'!$S$1:$U$3014,3,FALSE),0)</f>
        <v>0</v>
      </c>
      <c r="AW571" s="12">
        <f t="shared" si="199"/>
        <v>149743.1</v>
      </c>
    </row>
    <row r="572" spans="1:49" x14ac:dyDescent="0.25">
      <c r="A572" s="2"/>
      <c r="B572" s="2"/>
      <c r="C572" s="2"/>
      <c r="D572" s="2" t="s">
        <v>2812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>
        <f t="shared" si="181"/>
        <v>2</v>
      </c>
      <c r="U572" s="18">
        <f t="shared" si="182"/>
        <v>5</v>
      </c>
      <c r="V572" s="18">
        <f t="shared" si="183"/>
        <v>2025</v>
      </c>
      <c r="W572" s="18">
        <f t="shared" si="184"/>
        <v>11</v>
      </c>
      <c r="X572" s="18">
        <f t="shared" si="185"/>
        <v>2025</v>
      </c>
      <c r="Y572" s="2">
        <f t="shared" si="178"/>
        <v>0.72353655682173834</v>
      </c>
      <c r="Z572" t="str">
        <f t="shared" si="179"/>
        <v>SO17253</v>
      </c>
      <c r="AA572" s="11">
        <f t="shared" si="186"/>
        <v>45806.396678240737</v>
      </c>
      <c r="AB572" s="5" t="str">
        <f t="shared" si="187"/>
        <v>INV13477</v>
      </c>
      <c r="AC572" s="5" t="str">
        <f>IFERROR(VLOOKUP(D572,CAARStatus!$A$2:$AA$1600,22,FALSE),"Not invoiced")</f>
        <v>Paid</v>
      </c>
      <c r="AD572" s="11">
        <f>IF(AC572="Paid",IFERROR(VLOOKUP(D572,CAARStatus!$A$2:$AA$1600,6,FALSE),"Pending"),"Pending")</f>
        <v>45981</v>
      </c>
      <c r="AE572" s="5" t="str">
        <f t="shared" si="188"/>
        <v>4501197712</v>
      </c>
      <c r="AF572" s="5" t="str">
        <f t="shared" si="189"/>
        <v>Barrick Gold - Pueblo Viejo Dominicana Corporation</v>
      </c>
      <c r="AG572" s="5" t="str">
        <f t="shared" si="190"/>
        <v>USD</v>
      </c>
      <c r="AH572" s="5">
        <f t="shared" si="191"/>
        <v>0</v>
      </c>
      <c r="AI572" s="12">
        <f>IF(L572-N572=0,VLOOKUP(U572,rate!A$4:B$15,2,FALSE)*AH572,IF(AG572="USD",O572,AH572*Y572))</f>
        <v>0</v>
      </c>
      <c r="AJ572" s="13">
        <f t="shared" si="192"/>
        <v>0</v>
      </c>
      <c r="AK572" s="13">
        <f>-IF(AG572="CAD",IFERROR(VLOOKUP(D572,CAARStatus!$A$1:$Y$1600,16,FALSE),0),0)</f>
        <v>0</v>
      </c>
      <c r="AL572" s="13">
        <f>-IF(AG572="USD",IFERROR(VLOOKUP(D572,CAARStatus!$A$1:$Y$1600,11,FALSE),0),0)</f>
        <v>-5193.5</v>
      </c>
      <c r="AM572" s="22" t="str">
        <f t="shared" si="193"/>
        <v/>
      </c>
      <c r="AN572" s="12">
        <f t="shared" si="194"/>
        <v>-5193.5</v>
      </c>
      <c r="AO572" s="12" t="str">
        <f t="shared" si="195"/>
        <v>Yes</v>
      </c>
      <c r="AP572" t="str">
        <f t="shared" si="180"/>
        <v>XX</v>
      </c>
      <c r="AQ572" t="str">
        <f>IFERROR(VLOOKUP(Z572,InvBal!$L$4:$P$600,4,FALSE),"Pend")</f>
        <v>Yes</v>
      </c>
      <c r="AR572" t="str">
        <f>IFERROR(VLOOKUP(D572,Manual!$C$1:$E$22,2,FALSE),"Pend")</f>
        <v>Pend</v>
      </c>
      <c r="AS572" t="str">
        <f t="shared" si="196"/>
        <v>Yes</v>
      </c>
      <c r="AT572" t="str">
        <f t="shared" si="197"/>
        <v/>
      </c>
      <c r="AU572" s="51" t="str">
        <f t="shared" si="198"/>
        <v/>
      </c>
      <c r="AV572" s="12">
        <f>IFERROR(VLOOKUP(D572,'Receivable Invoice Detail'!$S$1:$U$3014,3,FALSE),0)</f>
        <v>0</v>
      </c>
      <c r="AW572" s="12">
        <f t="shared" si="199"/>
        <v>0</v>
      </c>
    </row>
    <row r="573" spans="1:49" ht="30" x14ac:dyDescent="0.25">
      <c r="A573" s="2">
        <v>1</v>
      </c>
      <c r="B573" s="2" t="s">
        <v>1314</v>
      </c>
      <c r="C573" s="2" t="s">
        <v>1315</v>
      </c>
      <c r="D573" s="2" t="s">
        <v>2815</v>
      </c>
      <c r="E573" s="2" t="s">
        <v>39</v>
      </c>
      <c r="F573" s="3">
        <v>45807.451909722222</v>
      </c>
      <c r="G573" s="3">
        <v>45807.4528587963</v>
      </c>
      <c r="H573" s="4">
        <v>45810</v>
      </c>
      <c r="I573" s="2" t="s">
        <v>21</v>
      </c>
      <c r="J573" s="2" t="s">
        <v>22</v>
      </c>
      <c r="K573" s="2">
        <v>1</v>
      </c>
      <c r="L573" s="2">
        <v>3553.6</v>
      </c>
      <c r="M573" s="2">
        <v>0</v>
      </c>
      <c r="N573" s="2">
        <v>2584.8420438044991</v>
      </c>
      <c r="O573" s="2">
        <v>3384.38</v>
      </c>
      <c r="P573" s="2">
        <v>169.22</v>
      </c>
      <c r="Q573" s="2">
        <v>3553.6</v>
      </c>
      <c r="R573" s="2" t="s">
        <v>44</v>
      </c>
      <c r="S573" s="2"/>
      <c r="T573" s="2">
        <f t="shared" si="181"/>
        <v>1</v>
      </c>
      <c r="U573" s="18">
        <f t="shared" si="182"/>
        <v>5</v>
      </c>
      <c r="V573" s="18">
        <f t="shared" si="183"/>
        <v>2025</v>
      </c>
      <c r="W573" s="18">
        <f t="shared" si="184"/>
        <v>7</v>
      </c>
      <c r="X573" s="18">
        <f t="shared" si="185"/>
        <v>2025</v>
      </c>
      <c r="Y573" s="2">
        <f t="shared" si="178"/>
        <v>0.72738688760819992</v>
      </c>
      <c r="Z573" t="str">
        <f t="shared" si="179"/>
        <v>SO17254</v>
      </c>
      <c r="AA573" s="11">
        <f t="shared" si="186"/>
        <v>45807.451909722222</v>
      </c>
      <c r="AB573" s="5" t="str">
        <f t="shared" si="187"/>
        <v>INV13046</v>
      </c>
      <c r="AC573" s="5" t="str">
        <f>IFERROR(VLOOKUP(D573,CAARStatus!$A$2:$AA$1600,22,FALSE),"Not invoiced")</f>
        <v>Paid</v>
      </c>
      <c r="AD573" s="11">
        <f>IF(AC573="Paid",IFERROR(VLOOKUP(D573,CAARStatus!$A$2:$AA$1600,6,FALSE),"Pending"),"Pending")</f>
        <v>45840</v>
      </c>
      <c r="AE573" s="5" t="str">
        <f t="shared" si="188"/>
        <v>BC65-00080665</v>
      </c>
      <c r="AF573" s="5" t="str">
        <f t="shared" si="189"/>
        <v>Motion Industries Inc. (Canada) - Prince George</v>
      </c>
      <c r="AG573" s="5" t="str">
        <f t="shared" si="190"/>
        <v>CAD</v>
      </c>
      <c r="AH573" s="5">
        <f t="shared" si="191"/>
        <v>3384.38</v>
      </c>
      <c r="AI573" s="12">
        <f>IF(L573-N573=0,VLOOKUP(U573,rate!A$4:B$15,2,FALSE)*AH573,IF(AG573="USD",O573,AH573*Y573))</f>
        <v>2461.7536346834399</v>
      </c>
      <c r="AJ573" s="13">
        <f t="shared" si="192"/>
        <v>0.72738688760820003</v>
      </c>
      <c r="AK573" s="13">
        <f>-IF(AG573="CAD",IFERROR(VLOOKUP(D573,CAARStatus!$A$1:$Y$1600,16,FALSE),0),0)</f>
        <v>-3384.38</v>
      </c>
      <c r="AL573" s="13">
        <f>-IF(AG573="USD",IFERROR(VLOOKUP(D573,CAARStatus!$A$1:$Y$1600,11,FALSE),0),0)</f>
        <v>0</v>
      </c>
      <c r="AM573" s="22">
        <f t="shared" si="193"/>
        <v>0</v>
      </c>
      <c r="AN573" s="12" t="str">
        <f t="shared" si="194"/>
        <v/>
      </c>
      <c r="AO573" s="12" t="str">
        <f t="shared" si="195"/>
        <v>Yes</v>
      </c>
      <c r="AP573" t="str">
        <f t="shared" si="180"/>
        <v>Yes</v>
      </c>
      <c r="AQ573" t="str">
        <f>IFERROR(VLOOKUP(Z573,InvBal!$L$4:$P$600,4,FALSE),"Pend")</f>
        <v>Pend</v>
      </c>
      <c r="AR573" t="str">
        <f>IFERROR(VLOOKUP(D573,Manual!$C$1:$E$22,2,FALSE),"Pend")</f>
        <v>Pend</v>
      </c>
      <c r="AS573" t="str">
        <f t="shared" si="196"/>
        <v>Yes</v>
      </c>
      <c r="AT573" t="str">
        <f t="shared" si="197"/>
        <v>Yes</v>
      </c>
      <c r="AU573" s="51" t="str">
        <f t="shared" si="198"/>
        <v>Yes</v>
      </c>
      <c r="AV573" s="12">
        <f>IFERROR(VLOOKUP(D573,'Receivable Invoice Detail'!$S$1:$U$3014,3,FALSE),0)</f>
        <v>0</v>
      </c>
      <c r="AW573" s="12">
        <f t="shared" si="199"/>
        <v>2461.7536346834399</v>
      </c>
    </row>
    <row r="574" spans="1:49" ht="30" x14ac:dyDescent="0.25">
      <c r="A574" s="2">
        <v>1</v>
      </c>
      <c r="B574" s="2" t="s">
        <v>1293</v>
      </c>
      <c r="C574" s="2" t="s">
        <v>1294</v>
      </c>
      <c r="D574" s="2" t="s">
        <v>2825</v>
      </c>
      <c r="E574" s="2" t="s">
        <v>1236</v>
      </c>
      <c r="F574" s="3">
        <v>45807.506319444437</v>
      </c>
      <c r="G574" s="3">
        <v>45811.539629629631</v>
      </c>
      <c r="H574" s="4">
        <v>45813</v>
      </c>
      <c r="I574" s="2" t="s">
        <v>36</v>
      </c>
      <c r="J574" s="2" t="s">
        <v>22</v>
      </c>
      <c r="K574" s="2">
        <v>1</v>
      </c>
      <c r="L574" s="2">
        <v>596.54999999999995</v>
      </c>
      <c r="M574" s="2">
        <v>0</v>
      </c>
      <c r="N574" s="2">
        <v>434.70757805053648</v>
      </c>
      <c r="O574" s="2">
        <v>568.13</v>
      </c>
      <c r="P574" s="2">
        <v>28.42</v>
      </c>
      <c r="Q574" s="2">
        <v>596.54999999999995</v>
      </c>
      <c r="R574" s="2" t="s">
        <v>44</v>
      </c>
      <c r="S574" s="2"/>
      <c r="T574" s="2">
        <f t="shared" si="181"/>
        <v>1</v>
      </c>
      <c r="U574" s="18">
        <f t="shared" si="182"/>
        <v>5</v>
      </c>
      <c r="V574" s="18">
        <f t="shared" si="183"/>
        <v>2025</v>
      </c>
      <c r="W574" s="18">
        <f t="shared" si="184"/>
        <v>7</v>
      </c>
      <c r="X574" s="18">
        <f t="shared" si="185"/>
        <v>2025</v>
      </c>
      <c r="Y574" s="2">
        <f t="shared" si="178"/>
        <v>0.72870267043925319</v>
      </c>
      <c r="Z574" t="str">
        <f t="shared" si="179"/>
        <v>SO17256</v>
      </c>
      <c r="AA574" s="11">
        <f t="shared" si="186"/>
        <v>45807.506319444437</v>
      </c>
      <c r="AB574" s="5" t="str">
        <f t="shared" si="187"/>
        <v>INV13061</v>
      </c>
      <c r="AC574" s="5" t="str">
        <f>IFERROR(VLOOKUP(D574,CAARStatus!$A$2:$AA$1600,22,FALSE),"Not invoiced")</f>
        <v>Paid</v>
      </c>
      <c r="AD574" s="11">
        <f>IF(AC574="Paid",IFERROR(VLOOKUP(D574,CAARStatus!$A$2:$AA$1600,6,FALSE),"Pending"),"Pending")</f>
        <v>45842</v>
      </c>
      <c r="AE574" s="5" t="str">
        <f t="shared" si="188"/>
        <v>BC78-00053869</v>
      </c>
      <c r="AF574" s="5" t="str">
        <f t="shared" si="189"/>
        <v>Motion Industries Inc. (Canada) - Quesnel</v>
      </c>
      <c r="AG574" s="5" t="str">
        <f t="shared" si="190"/>
        <v>CAD</v>
      </c>
      <c r="AH574" s="5">
        <f t="shared" si="191"/>
        <v>568.13</v>
      </c>
      <c r="AI574" s="12">
        <f>IF(L574-N574=0,VLOOKUP(U574,rate!A$4:B$15,2,FALSE)*AH574,IF(AG574="USD",O574,AH574*Y574))</f>
        <v>413.99784815665294</v>
      </c>
      <c r="AJ574" s="13">
        <f t="shared" si="192"/>
        <v>0.72870267043925319</v>
      </c>
      <c r="AK574" s="13">
        <f>-IF(AG574="CAD",IFERROR(VLOOKUP(D574,CAARStatus!$A$1:$Y$1600,16,FALSE),0),0)</f>
        <v>-568.13</v>
      </c>
      <c r="AL574" s="13">
        <f>-IF(AG574="USD",IFERROR(VLOOKUP(D574,CAARStatus!$A$1:$Y$1600,11,FALSE),0),0)</f>
        <v>0</v>
      </c>
      <c r="AM574" s="22">
        <f t="shared" si="193"/>
        <v>0</v>
      </c>
      <c r="AN574" s="12" t="str">
        <f t="shared" si="194"/>
        <v/>
      </c>
      <c r="AO574" s="12" t="str">
        <f t="shared" si="195"/>
        <v>Yes</v>
      </c>
      <c r="AP574" t="str">
        <f t="shared" si="180"/>
        <v>Yes</v>
      </c>
      <c r="AQ574" t="str">
        <f>IFERROR(VLOOKUP(Z574,InvBal!$L$4:$P$600,4,FALSE),"Pend")</f>
        <v>Pend</v>
      </c>
      <c r="AR574" t="str">
        <f>IFERROR(VLOOKUP(D574,Manual!$C$1:$E$22,2,FALSE),"Pend")</f>
        <v>Pend</v>
      </c>
      <c r="AS574" t="str">
        <f t="shared" si="196"/>
        <v>Yes</v>
      </c>
      <c r="AT574" t="str">
        <f t="shared" si="197"/>
        <v>Yes</v>
      </c>
      <c r="AU574" s="51" t="str">
        <f t="shared" si="198"/>
        <v>Yes</v>
      </c>
      <c r="AV574" s="12">
        <f>IFERROR(VLOOKUP(D574,'Receivable Invoice Detail'!$S$1:$U$3014,3,FALSE),0)</f>
        <v>0</v>
      </c>
      <c r="AW574" s="12">
        <f t="shared" si="199"/>
        <v>413.99784815665294</v>
      </c>
    </row>
    <row r="575" spans="1:49" x14ac:dyDescent="0.25">
      <c r="A575" s="2">
        <v>1</v>
      </c>
      <c r="B575" s="2" t="s">
        <v>1310</v>
      </c>
      <c r="C575" s="2" t="s">
        <v>1311</v>
      </c>
      <c r="D575" s="2" t="s">
        <v>2817</v>
      </c>
      <c r="E575" s="2" t="s">
        <v>612</v>
      </c>
      <c r="F575" s="3">
        <v>45807.590185185189</v>
      </c>
      <c r="G575" s="3">
        <v>45807.616736111107</v>
      </c>
      <c r="H575" s="4">
        <v>45810</v>
      </c>
      <c r="I575" s="2" t="s">
        <v>21</v>
      </c>
      <c r="J575" s="2" t="s">
        <v>22</v>
      </c>
      <c r="K575" s="2">
        <v>1</v>
      </c>
      <c r="L575" s="2">
        <v>863.29</v>
      </c>
      <c r="M575" s="2">
        <v>0</v>
      </c>
      <c r="N575" s="2">
        <v>627.94582620328288</v>
      </c>
      <c r="O575" s="2">
        <v>763.98</v>
      </c>
      <c r="P575" s="2">
        <v>99.31</v>
      </c>
      <c r="Q575" s="2">
        <v>863.29</v>
      </c>
      <c r="R575" s="2" t="s">
        <v>44</v>
      </c>
      <c r="S575" s="2"/>
      <c r="T575" s="2">
        <f t="shared" si="181"/>
        <v>1</v>
      </c>
      <c r="U575" s="18">
        <f t="shared" si="182"/>
        <v>5</v>
      </c>
      <c r="V575" s="18">
        <f t="shared" si="183"/>
        <v>2025</v>
      </c>
      <c r="W575" s="18">
        <f t="shared" si="184"/>
        <v>6</v>
      </c>
      <c r="X575" s="18">
        <f t="shared" si="185"/>
        <v>2025</v>
      </c>
      <c r="Y575" s="2">
        <f t="shared" si="178"/>
        <v>0.72738688760819992</v>
      </c>
      <c r="Z575" t="str">
        <f t="shared" si="179"/>
        <v>SO17257</v>
      </c>
      <c r="AA575" s="11">
        <f t="shared" si="186"/>
        <v>45807.590185185189</v>
      </c>
      <c r="AB575" s="5" t="str">
        <f t="shared" si="187"/>
        <v>INV13077</v>
      </c>
      <c r="AC575" s="5" t="str">
        <f>IFERROR(VLOOKUP(D575,CAARStatus!$A$2:$AA$1600,22,FALSE),"Not invoiced")</f>
        <v>Paid</v>
      </c>
      <c r="AD575" s="11">
        <f>IF(AC575="Paid",IFERROR(VLOOKUP(D575,CAARStatus!$A$2:$AA$1600,6,FALSE),"Pending"),"Pending")</f>
        <v>45834</v>
      </c>
      <c r="AE575" s="5" t="str">
        <f t="shared" si="188"/>
        <v>PO 137523</v>
      </c>
      <c r="AF575" s="5" t="str">
        <f t="shared" si="189"/>
        <v>TC Industries of Canada Co.</v>
      </c>
      <c r="AG575" s="5" t="str">
        <f t="shared" si="190"/>
        <v>CAD</v>
      </c>
      <c r="AH575" s="5">
        <f t="shared" si="191"/>
        <v>763.98</v>
      </c>
      <c r="AI575" s="12">
        <f>IF(L575-N575=0,VLOOKUP(U575,rate!A$4:B$15,2,FALSE)*AH575,IF(AG575="USD",O575,AH575*Y575))</f>
        <v>555.70903439491258</v>
      </c>
      <c r="AJ575" s="13">
        <f t="shared" si="192"/>
        <v>0.72738688760819992</v>
      </c>
      <c r="AK575" s="13">
        <f>-IF(AG575="CAD",IFERROR(VLOOKUP(D575,CAARStatus!$A$1:$Y$1600,16,FALSE),0),0)</f>
        <v>-763.98</v>
      </c>
      <c r="AL575" s="13">
        <f>-IF(AG575="USD",IFERROR(VLOOKUP(D575,CAARStatus!$A$1:$Y$1600,11,FALSE),0),0)</f>
        <v>0</v>
      </c>
      <c r="AM575" s="22">
        <f t="shared" si="193"/>
        <v>0</v>
      </c>
      <c r="AN575" s="12" t="str">
        <f t="shared" si="194"/>
        <v/>
      </c>
      <c r="AO575" s="12" t="str">
        <f t="shared" si="195"/>
        <v>Yes</v>
      </c>
      <c r="AP575" t="str">
        <f t="shared" si="180"/>
        <v>Yes</v>
      </c>
      <c r="AQ575" t="str">
        <f>IFERROR(VLOOKUP(Z575,InvBal!$L$4:$P$600,4,FALSE),"Pend")</f>
        <v>Pend</v>
      </c>
      <c r="AR575" t="str">
        <f>IFERROR(VLOOKUP(D575,Manual!$C$1:$E$22,2,FALSE),"Pend")</f>
        <v>Pend</v>
      </c>
      <c r="AS575" t="str">
        <f t="shared" si="196"/>
        <v>Yes</v>
      </c>
      <c r="AT575" t="str">
        <f t="shared" si="197"/>
        <v>Yes</v>
      </c>
      <c r="AU575" s="51" t="str">
        <f t="shared" si="198"/>
        <v>Yes</v>
      </c>
      <c r="AV575" s="12">
        <f>IFERROR(VLOOKUP(D575,'Receivable Invoice Detail'!$S$1:$U$3014,3,FALSE),0)</f>
        <v>0</v>
      </c>
      <c r="AW575" s="12">
        <f t="shared" si="199"/>
        <v>555.70903439491258</v>
      </c>
    </row>
    <row r="576" spans="1:49" ht="30" x14ac:dyDescent="0.25">
      <c r="A576" s="2">
        <v>1</v>
      </c>
      <c r="B576" s="2" t="s">
        <v>1306</v>
      </c>
      <c r="C576" s="2" t="s">
        <v>1307</v>
      </c>
      <c r="D576" s="2" t="s">
        <v>2819</v>
      </c>
      <c r="E576" s="2" t="s">
        <v>26</v>
      </c>
      <c r="F576" s="3">
        <v>45807.678715277783</v>
      </c>
      <c r="G576" s="3">
        <v>45807.683240740742</v>
      </c>
      <c r="H576" s="4">
        <v>45810</v>
      </c>
      <c r="I576" s="2" t="s">
        <v>180</v>
      </c>
      <c r="J576" s="2" t="s">
        <v>22</v>
      </c>
      <c r="K576" s="2">
        <v>1</v>
      </c>
      <c r="L576" s="2">
        <v>26.73</v>
      </c>
      <c r="M576" s="2">
        <v>0</v>
      </c>
      <c r="N576" s="2">
        <v>19.44305150576718</v>
      </c>
      <c r="O576" s="2">
        <v>26.73</v>
      </c>
      <c r="P576" s="2"/>
      <c r="Q576" s="2">
        <v>26.73</v>
      </c>
      <c r="R576" s="2" t="s">
        <v>44</v>
      </c>
      <c r="S576" s="2"/>
      <c r="T576" s="2">
        <f t="shared" si="181"/>
        <v>1</v>
      </c>
      <c r="U576" s="18">
        <f t="shared" si="182"/>
        <v>5</v>
      </c>
      <c r="V576" s="18">
        <f t="shared" si="183"/>
        <v>2025</v>
      </c>
      <c r="W576" s="18">
        <f t="shared" si="184"/>
        <v>8</v>
      </c>
      <c r="X576" s="18">
        <f t="shared" si="185"/>
        <v>2025</v>
      </c>
      <c r="Y576" s="2">
        <f t="shared" si="178"/>
        <v>0.72738688760819981</v>
      </c>
      <c r="Z576" t="str">
        <f t="shared" si="179"/>
        <v>SO17259</v>
      </c>
      <c r="AA576" s="11">
        <f t="shared" si="186"/>
        <v>45807.678715277783</v>
      </c>
      <c r="AB576" s="5" t="str">
        <f t="shared" si="187"/>
        <v>INV13059</v>
      </c>
      <c r="AC576" s="5" t="str">
        <f>IFERROR(VLOOKUP(D576,CAARStatus!$A$2:$AA$1600,22,FALSE),"Not invoiced")</f>
        <v>Paid</v>
      </c>
      <c r="AD576" s="11">
        <f>IF(AC576="Paid",IFERROR(VLOOKUP(D576,CAARStatus!$A$2:$AA$1600,6,FALSE),"Pending"),"Pending")</f>
        <v>45870</v>
      </c>
      <c r="AE576" s="5" t="str">
        <f t="shared" si="188"/>
        <v>4500598769</v>
      </c>
      <c r="AF576" s="5" t="str">
        <f t="shared" si="189"/>
        <v>Resolute Forest Products - Clermont</v>
      </c>
      <c r="AG576" s="5" t="str">
        <f t="shared" si="190"/>
        <v>CAD</v>
      </c>
      <c r="AH576" s="5">
        <f t="shared" si="191"/>
        <v>26.73</v>
      </c>
      <c r="AI576" s="12">
        <f>IF(L576-N576=0,VLOOKUP(U576,rate!A$4:B$15,2,FALSE)*AH576,IF(AG576="USD",O576,AH576*Y576))</f>
        <v>19.44305150576718</v>
      </c>
      <c r="AJ576" s="13">
        <f t="shared" si="192"/>
        <v>0.72738688760819981</v>
      </c>
      <c r="AK576" s="13">
        <f>-IF(AG576="CAD",IFERROR(VLOOKUP(D576,CAARStatus!$A$1:$Y$1600,16,FALSE),0),0)</f>
        <v>-26.73</v>
      </c>
      <c r="AL576" s="13">
        <f>-IF(AG576="USD",IFERROR(VLOOKUP(D576,CAARStatus!$A$1:$Y$1600,11,FALSE),0),0)</f>
        <v>0</v>
      </c>
      <c r="AM576" s="22">
        <f t="shared" si="193"/>
        <v>0</v>
      </c>
      <c r="AN576" s="12" t="str">
        <f t="shared" si="194"/>
        <v/>
      </c>
      <c r="AO576" s="12" t="str">
        <f t="shared" si="195"/>
        <v>Yes</v>
      </c>
      <c r="AP576" t="str">
        <f t="shared" si="180"/>
        <v>Yes</v>
      </c>
      <c r="AQ576" t="str">
        <f>IFERROR(VLOOKUP(Z576,InvBal!$L$4:$P$600,4,FALSE),"Pend")</f>
        <v>Pend</v>
      </c>
      <c r="AR576" t="str">
        <f>IFERROR(VLOOKUP(D576,Manual!$C$1:$E$22,2,FALSE),"Pend")</f>
        <v>Pend</v>
      </c>
      <c r="AS576" t="str">
        <f t="shared" si="196"/>
        <v>Yes</v>
      </c>
      <c r="AT576" t="str">
        <f t="shared" si="197"/>
        <v>Yes</v>
      </c>
      <c r="AU576" s="51" t="str">
        <f t="shared" si="198"/>
        <v>Yes</v>
      </c>
      <c r="AV576" s="12">
        <f>IFERROR(VLOOKUP(D576,'Receivable Invoice Detail'!$S$1:$U$3014,3,FALSE),0)</f>
        <v>0</v>
      </c>
      <c r="AW576" s="12">
        <f t="shared" si="199"/>
        <v>19.44305150576718</v>
      </c>
    </row>
    <row r="577" spans="1:49" x14ac:dyDescent="0.25">
      <c r="A577" s="2">
        <v>1</v>
      </c>
      <c r="B577" s="2" t="s">
        <v>1280</v>
      </c>
      <c r="C577" s="2" t="s">
        <v>1281</v>
      </c>
      <c r="D577" s="2" t="s">
        <v>2833</v>
      </c>
      <c r="E577" s="2" t="s">
        <v>644</v>
      </c>
      <c r="F577" s="3">
        <v>45807.689386574071</v>
      </c>
      <c r="G577" s="3">
        <v>45812.474907407413</v>
      </c>
      <c r="H577" s="4">
        <v>45813</v>
      </c>
      <c r="I577" s="2" t="s">
        <v>21</v>
      </c>
      <c r="J577" s="2" t="s">
        <v>51</v>
      </c>
      <c r="K577" s="2">
        <v>0.7287026704392533</v>
      </c>
      <c r="L577" s="2">
        <v>3001.2515237273528</v>
      </c>
      <c r="M577" s="2">
        <v>0</v>
      </c>
      <c r="N577" s="2">
        <v>2187.02</v>
      </c>
      <c r="O577" s="2">
        <v>2187.02</v>
      </c>
      <c r="P577" s="2"/>
      <c r="Q577" s="2">
        <v>2187.02</v>
      </c>
      <c r="R577" s="2" t="s">
        <v>44</v>
      </c>
      <c r="S577" s="2"/>
      <c r="T577" s="2">
        <f t="shared" si="181"/>
        <v>1</v>
      </c>
      <c r="U577" s="18">
        <f t="shared" si="182"/>
        <v>5</v>
      </c>
      <c r="V577" s="18">
        <f t="shared" si="183"/>
        <v>2025</v>
      </c>
      <c r="W577" s="18">
        <f t="shared" si="184"/>
        <v>7</v>
      </c>
      <c r="X577" s="18">
        <f t="shared" si="185"/>
        <v>2025</v>
      </c>
      <c r="Y577" s="2">
        <f t="shared" si="178"/>
        <v>0.7287026704392533</v>
      </c>
      <c r="Z577" t="str">
        <f t="shared" si="179"/>
        <v>SO17260</v>
      </c>
      <c r="AA577" s="11">
        <f t="shared" si="186"/>
        <v>45807.689386574071</v>
      </c>
      <c r="AB577" s="5" t="str">
        <f t="shared" si="187"/>
        <v>INV13064</v>
      </c>
      <c r="AC577" s="5" t="str">
        <f>IFERROR(VLOOKUP(D577,CAARStatus!$A$2:$AA$1600,22,FALSE),"Not invoiced")</f>
        <v>Paid</v>
      </c>
      <c r="AD577" s="11">
        <f>IF(AC577="Paid",IFERROR(VLOOKUP(D577,CAARStatus!$A$2:$AA$1600,6,FALSE),"Pending"),"Pending")</f>
        <v>45843</v>
      </c>
      <c r="AE577" s="5" t="str">
        <f t="shared" si="188"/>
        <v>P-60225</v>
      </c>
      <c r="AF577" s="5" t="str">
        <f t="shared" si="189"/>
        <v>Cartledge &amp; Associates Inc.</v>
      </c>
      <c r="AG577" s="5" t="str">
        <f t="shared" si="190"/>
        <v>USD</v>
      </c>
      <c r="AH577" s="5">
        <f t="shared" si="191"/>
        <v>3001.2515237273528</v>
      </c>
      <c r="AI577" s="12">
        <f>IF(L577-N577=0,VLOOKUP(U577,rate!A$4:B$15,2,FALSE)*AH577,IF(AG577="USD",O577,AH577*Y577))</f>
        <v>2187.02</v>
      </c>
      <c r="AJ577" s="13">
        <f t="shared" si="192"/>
        <v>0.7287026704392533</v>
      </c>
      <c r="AK577" s="13">
        <f>-IF(AG577="CAD",IFERROR(VLOOKUP(D577,CAARStatus!$A$1:$Y$1600,16,FALSE),0),0)</f>
        <v>0</v>
      </c>
      <c r="AL577" s="13">
        <f>-IF(AG577="USD",IFERROR(VLOOKUP(D577,CAARStatus!$A$1:$Y$1600,11,FALSE),0),0)</f>
        <v>-2187.02</v>
      </c>
      <c r="AM577" s="22" t="str">
        <f t="shared" si="193"/>
        <v/>
      </c>
      <c r="AN577" s="12">
        <f t="shared" si="194"/>
        <v>0</v>
      </c>
      <c r="AO577" s="12" t="str">
        <f t="shared" si="195"/>
        <v>Yes</v>
      </c>
      <c r="AP577" t="str">
        <f t="shared" si="180"/>
        <v>Yes</v>
      </c>
      <c r="AQ577" t="str">
        <f>IFERROR(VLOOKUP(Z577,InvBal!$L$4:$P$600,4,FALSE),"Pend")</f>
        <v>Pend</v>
      </c>
      <c r="AR577" t="str">
        <f>IFERROR(VLOOKUP(D577,Manual!$C$1:$E$22,2,FALSE),"Pend")</f>
        <v>Pend</v>
      </c>
      <c r="AS577" t="str">
        <f t="shared" si="196"/>
        <v>Yes</v>
      </c>
      <c r="AT577" t="str">
        <f t="shared" si="197"/>
        <v>Yes</v>
      </c>
      <c r="AU577" s="51" t="str">
        <f t="shared" si="198"/>
        <v>Yes</v>
      </c>
      <c r="AV577" s="12">
        <f>IFERROR(VLOOKUP(D577,'Receivable Invoice Detail'!$S$1:$U$3014,3,FALSE),0)</f>
        <v>589</v>
      </c>
      <c r="AW577" s="12">
        <f t="shared" si="199"/>
        <v>1598.02</v>
      </c>
    </row>
    <row r="578" spans="1:49" ht="30" x14ac:dyDescent="0.25">
      <c r="A578" s="2">
        <v>1</v>
      </c>
      <c r="B578" s="2" t="s">
        <v>1304</v>
      </c>
      <c r="C578" s="2" t="s">
        <v>1305</v>
      </c>
      <c r="D578" s="2" t="s">
        <v>2820</v>
      </c>
      <c r="E578" s="2" t="s">
        <v>47</v>
      </c>
      <c r="F578" s="3">
        <v>45807.696736111109</v>
      </c>
      <c r="G578" s="3">
        <v>45807.699016203696</v>
      </c>
      <c r="H578" s="4">
        <v>45810</v>
      </c>
      <c r="I578" s="2" t="s">
        <v>21</v>
      </c>
      <c r="J578" s="2" t="s">
        <v>22</v>
      </c>
      <c r="K578" s="2">
        <v>1</v>
      </c>
      <c r="L578" s="2">
        <v>3169.03</v>
      </c>
      <c r="M578" s="2">
        <v>0</v>
      </c>
      <c r="N578" s="2">
        <v>2305.1108684370138</v>
      </c>
      <c r="O578" s="2">
        <v>2804.45</v>
      </c>
      <c r="P578" s="2">
        <v>364.58</v>
      </c>
      <c r="Q578" s="2">
        <v>3169.03</v>
      </c>
      <c r="R578" s="2" t="s">
        <v>44</v>
      </c>
      <c r="S578" s="2"/>
      <c r="T578" s="2">
        <f t="shared" si="181"/>
        <v>1</v>
      </c>
      <c r="U578" s="18">
        <f t="shared" si="182"/>
        <v>5</v>
      </c>
      <c r="V578" s="18">
        <f t="shared" si="183"/>
        <v>2025</v>
      </c>
      <c r="W578" s="18">
        <f t="shared" si="184"/>
        <v>7</v>
      </c>
      <c r="X578" s="18">
        <f t="shared" si="185"/>
        <v>2025</v>
      </c>
      <c r="Y578" s="2">
        <f t="shared" ref="Y578:Y641" si="200">IF(C578="",Y577,N578/L578)</f>
        <v>0.72738688760819992</v>
      </c>
      <c r="Z578" t="str">
        <f t="shared" ref="Z578:Z641" si="201">IF(B578="",Z577,B578)</f>
        <v>SO17261</v>
      </c>
      <c r="AA578" s="11">
        <f t="shared" si="186"/>
        <v>45807.696736111109</v>
      </c>
      <c r="AB578" s="5" t="str">
        <f t="shared" si="187"/>
        <v>INV13053</v>
      </c>
      <c r="AC578" s="5" t="str">
        <f>IFERROR(VLOOKUP(D578,CAARStatus!$A$2:$AA$1600,22,FALSE),"Not invoiced")</f>
        <v>Paid</v>
      </c>
      <c r="AD578" s="11">
        <f>IF(AC578="Paid",IFERROR(VLOOKUP(D578,CAARStatus!$A$2:$AA$1600,6,FALSE),"Pending"),"Pending")</f>
        <v>45863</v>
      </c>
      <c r="AE578" s="5" t="str">
        <f t="shared" si="188"/>
        <v>03R19899</v>
      </c>
      <c r="AF578" s="5" t="str">
        <f t="shared" si="189"/>
        <v>Moffatt Supply &amp; Specialties - Red Lake</v>
      </c>
      <c r="AG578" s="5" t="str">
        <f t="shared" si="190"/>
        <v>CAD</v>
      </c>
      <c r="AH578" s="5">
        <f t="shared" si="191"/>
        <v>2804.45</v>
      </c>
      <c r="AI578" s="12">
        <f>IF(L578-N578=0,VLOOKUP(U578,rate!A$4:B$15,2,FALSE)*AH578,IF(AG578="USD",O578,AH578*Y578))</f>
        <v>2039.9201569528161</v>
      </c>
      <c r="AJ578" s="13">
        <f t="shared" si="192"/>
        <v>0.72738688760819992</v>
      </c>
      <c r="AK578" s="13">
        <f>-IF(AG578="CAD",IFERROR(VLOOKUP(D578,CAARStatus!$A$1:$Y$1600,16,FALSE),0),0)</f>
        <v>-2804.45</v>
      </c>
      <c r="AL578" s="13">
        <f>-IF(AG578="USD",IFERROR(VLOOKUP(D578,CAARStatus!$A$1:$Y$1600,11,FALSE),0),0)</f>
        <v>0</v>
      </c>
      <c r="AM578" s="22">
        <f t="shared" si="193"/>
        <v>0</v>
      </c>
      <c r="AN578" s="12" t="str">
        <f t="shared" si="194"/>
        <v/>
      </c>
      <c r="AO578" s="12" t="str">
        <f t="shared" si="195"/>
        <v>Yes</v>
      </c>
      <c r="AP578" t="str">
        <f t="shared" ref="AP578:AP641" si="202">IF(AND(AO578="Pend",T578&lt;2),"Pend",IF(T578=1,"Yes","XX"))</f>
        <v>Yes</v>
      </c>
      <c r="AQ578" t="str">
        <f>IFERROR(VLOOKUP(Z578,InvBal!$L$4:$P$600,4,FALSE),"Pend")</f>
        <v>Pend</v>
      </c>
      <c r="AR578" t="str">
        <f>IFERROR(VLOOKUP(D578,Manual!$C$1:$E$22,2,FALSE),"Pend")</f>
        <v>Pend</v>
      </c>
      <c r="AS578" t="str">
        <f t="shared" si="196"/>
        <v>Yes</v>
      </c>
      <c r="AT578" t="str">
        <f t="shared" si="197"/>
        <v>Yes</v>
      </c>
      <c r="AU578" s="51" t="str">
        <f t="shared" si="198"/>
        <v>Yes</v>
      </c>
      <c r="AV578" s="12">
        <f>IFERROR(VLOOKUP(D578,'Receivable Invoice Detail'!$S$1:$U$3014,3,FALSE),0)</f>
        <v>0</v>
      </c>
      <c r="AW578" s="12">
        <f t="shared" si="199"/>
        <v>2039.9201569528161</v>
      </c>
    </row>
    <row r="579" spans="1:49" ht="30" x14ac:dyDescent="0.25">
      <c r="A579" s="2">
        <v>1</v>
      </c>
      <c r="B579" s="2" t="s">
        <v>1234</v>
      </c>
      <c r="C579" s="2" t="s">
        <v>1235</v>
      </c>
      <c r="D579" s="2" t="s">
        <v>2859</v>
      </c>
      <c r="E579" s="2" t="s">
        <v>1236</v>
      </c>
      <c r="F579" s="3">
        <v>45807.716111111113</v>
      </c>
      <c r="G579" s="3">
        <v>45818.728217592587</v>
      </c>
      <c r="H579" s="4">
        <v>45821</v>
      </c>
      <c r="I579" s="2" t="s">
        <v>21</v>
      </c>
      <c r="J579" s="2" t="s">
        <v>22</v>
      </c>
      <c r="K579" s="2">
        <v>1</v>
      </c>
      <c r="L579" s="2">
        <v>2179.6799999999998</v>
      </c>
      <c r="M579" s="2">
        <v>0</v>
      </c>
      <c r="N579" s="2">
        <v>1592.770438875084</v>
      </c>
      <c r="O579" s="2">
        <v>2075.88</v>
      </c>
      <c r="P579" s="2">
        <v>103.8</v>
      </c>
      <c r="Q579" s="2">
        <v>2179.6799999999998</v>
      </c>
      <c r="R579" s="2" t="s">
        <v>44</v>
      </c>
      <c r="S579" s="2"/>
      <c r="T579" s="2">
        <f t="shared" ref="T579:T642" si="203">IF(A579="",T578,A579)</f>
        <v>1</v>
      </c>
      <c r="U579" s="18">
        <f t="shared" ref="U579:U642" si="204">IF(F579="",U578,MONTH(F579))</f>
        <v>5</v>
      </c>
      <c r="V579" s="18">
        <f t="shared" ref="V579:V642" si="205">IF(F579="",V578,YEAR(F579))</f>
        <v>2025</v>
      </c>
      <c r="W579" s="18">
        <f t="shared" ref="W579:W642" si="206">IF(AC579="Paid",MONTH(AD579),"")</f>
        <v>7</v>
      </c>
      <c r="X579" s="18">
        <f t="shared" ref="X579:X642" si="207">IF(AC579="Paid",YEAR(AD579),"")</f>
        <v>2025</v>
      </c>
      <c r="Y579" s="2">
        <f t="shared" si="200"/>
        <v>0.73073590567197211</v>
      </c>
      <c r="Z579" t="str">
        <f t="shared" si="201"/>
        <v>SO17262</v>
      </c>
      <c r="AA579" s="11">
        <f t="shared" ref="AA579:AA642" si="208">IF(F579="",AA578,F579)</f>
        <v>45807.716111111113</v>
      </c>
      <c r="AB579" s="5" t="str">
        <f t="shared" ref="AB579:AB642" si="209">IF(D579="","No Inv",D579)</f>
        <v>INV13085</v>
      </c>
      <c r="AC579" s="5" t="str">
        <f>IFERROR(VLOOKUP(D579,CAARStatus!$A$2:$AA$1600,22,FALSE),"Not invoiced")</f>
        <v>Paid</v>
      </c>
      <c r="AD579" s="11">
        <f>IF(AC579="Paid",IFERROR(VLOOKUP(D579,CAARStatus!$A$2:$AA$1600,6,FALSE),"Pending"),"Pending")</f>
        <v>45852</v>
      </c>
      <c r="AE579" s="5" t="str">
        <f t="shared" ref="AE579:AE642" si="210">IF(C579="",AE578,C579)</f>
        <v>BC78-00053939</v>
      </c>
      <c r="AF579" s="5" t="str">
        <f t="shared" ref="AF579:AF642" si="211">IF(E579="",AF578,E579)</f>
        <v>Motion Industries Inc. (Canada) - Quesnel</v>
      </c>
      <c r="AG579" s="5" t="str">
        <f t="shared" ref="AG579:AG642" si="212">IF(J579="",AG578,J579)</f>
        <v>CAD</v>
      </c>
      <c r="AH579" s="5">
        <f t="shared" ref="AH579:AH642" si="213">IFERROR(IF(AG579="CAD",O579,O579/K579),0)</f>
        <v>2075.88</v>
      </c>
      <c r="AI579" s="12">
        <f>IF(L579-N579=0,VLOOKUP(U579,rate!A$4:B$15,2,FALSE)*AH579,IF(AG579="USD",O579,AH579*Y579))</f>
        <v>1516.9200518663336</v>
      </c>
      <c r="AJ579" s="13">
        <f t="shared" ref="AJ579:AJ642" si="214">IFERROR(AI579/AH579,0)</f>
        <v>0.73073590567197211</v>
      </c>
      <c r="AK579" s="13">
        <f>-IF(AG579="CAD",IFERROR(VLOOKUP(D579,CAARStatus!$A$1:$Y$1600,16,FALSE),0),0)</f>
        <v>-2075.88</v>
      </c>
      <c r="AL579" s="13">
        <f>-IF(AG579="USD",IFERROR(VLOOKUP(D579,CAARStatus!$A$1:$Y$1600,11,FALSE),0),0)</f>
        <v>0</v>
      </c>
      <c r="AM579" s="22">
        <f t="shared" ref="AM579:AM642" si="215">IF(AG579="CAD",AH579+AK579,"")</f>
        <v>0</v>
      </c>
      <c r="AN579" s="12" t="str">
        <f t="shared" ref="AN579:AN642" si="216">IF(AG579="USD",AI579+AL579,"")</f>
        <v/>
      </c>
      <c r="AO579" s="12" t="str">
        <f t="shared" ref="AO579:AO642" si="217">IF(AC579="Paid","Yes","Pend")</f>
        <v>Yes</v>
      </c>
      <c r="AP579" t="str">
        <f t="shared" si="202"/>
        <v>Yes</v>
      </c>
      <c r="AQ579" t="str">
        <f>IFERROR(VLOOKUP(Z579,InvBal!$L$4:$P$600,4,FALSE),"Pend")</f>
        <v>Pend</v>
      </c>
      <c r="AR579" t="str">
        <f>IFERROR(VLOOKUP(D579,Manual!$C$1:$E$22,2,FALSE),"Pend")</f>
        <v>Pend</v>
      </c>
      <c r="AS579" t="str">
        <f t="shared" ref="AS579:AS642" si="218">IF(OR(AP579="Yes",AQ579="Yes",AR579="Yes"),"Yes","")</f>
        <v>Yes</v>
      </c>
      <c r="AT579" t="str">
        <f t="shared" ref="AT579:AT642" si="219">IF(R579="Delivered","Yes","")</f>
        <v>Yes</v>
      </c>
      <c r="AU579" s="51" t="str">
        <f t="shared" ref="AU579:AU642" si="220">IF(AND(AS579="Yes",AT579="Yes"),"Yes","")</f>
        <v>Yes</v>
      </c>
      <c r="AV579" s="12">
        <f>IFERROR(VLOOKUP(D579,'Receivable Invoice Detail'!$S$1:$U$3014,3,FALSE),0)</f>
        <v>0</v>
      </c>
      <c r="AW579" s="12">
        <f t="shared" ref="AW579:AW642" si="221">IF(AU579="Yes",AI579-AV579,0)</f>
        <v>1516.9200518663336</v>
      </c>
    </row>
    <row r="580" spans="1:49" ht="30" x14ac:dyDescent="0.25">
      <c r="A580" s="2">
        <v>1</v>
      </c>
      <c r="B580" s="2" t="s">
        <v>1302</v>
      </c>
      <c r="C580" s="2" t="s">
        <v>1303</v>
      </c>
      <c r="D580" s="2" t="s">
        <v>2821</v>
      </c>
      <c r="E580" s="2" t="s">
        <v>129</v>
      </c>
      <c r="F580" s="3">
        <v>45807.784687500003</v>
      </c>
      <c r="G580" s="3">
        <v>45807.784490740742</v>
      </c>
      <c r="H580" s="4">
        <v>45898</v>
      </c>
      <c r="I580" s="2" t="s">
        <v>130</v>
      </c>
      <c r="J580" s="2" t="s">
        <v>51</v>
      </c>
      <c r="K580" s="2">
        <v>0.72409668123959414</v>
      </c>
      <c r="L580" s="2">
        <v>20508.3110926265</v>
      </c>
      <c r="M580" s="2">
        <v>0</v>
      </c>
      <c r="N580" s="2">
        <v>14850</v>
      </c>
      <c r="O580" s="2">
        <v>14850</v>
      </c>
      <c r="P580" s="2"/>
      <c r="Q580" s="2">
        <v>14850</v>
      </c>
      <c r="R580" s="2" t="s">
        <v>44</v>
      </c>
      <c r="S580" s="2"/>
      <c r="T580" s="2">
        <f t="shared" si="203"/>
        <v>1</v>
      </c>
      <c r="U580" s="18">
        <f t="shared" si="204"/>
        <v>5</v>
      </c>
      <c r="V580" s="18">
        <f t="shared" si="205"/>
        <v>2025</v>
      </c>
      <c r="W580" s="18" t="str">
        <f t="shared" si="206"/>
        <v/>
      </c>
      <c r="X580" s="18" t="str">
        <f t="shared" si="207"/>
        <v/>
      </c>
      <c r="Y580" s="2">
        <f t="shared" si="200"/>
        <v>0.72409668123959403</v>
      </c>
      <c r="Z580" t="str">
        <f t="shared" si="201"/>
        <v>SO17263</v>
      </c>
      <c r="AA580" s="11">
        <f t="shared" si="208"/>
        <v>45807.784687500003</v>
      </c>
      <c r="AB580" s="5" t="str">
        <f t="shared" si="209"/>
        <v>INV13315</v>
      </c>
      <c r="AC580" s="5" t="str">
        <f>IFERROR(VLOOKUP(D580,CAARStatus!$A$2:$AA$1600,22,FALSE),"Not invoiced")</f>
        <v>Approved</v>
      </c>
      <c r="AD580" s="11" t="str">
        <f>IF(AC580="Paid",IFERROR(VLOOKUP(D580,CAARStatus!$A$2:$AA$1600,6,FALSE),"Pending"),"Pending")</f>
        <v>Pending</v>
      </c>
      <c r="AE580" s="5" t="str">
        <f t="shared" si="210"/>
        <v>OC00171</v>
      </c>
      <c r="AF580" s="5" t="str">
        <f t="shared" si="211"/>
        <v>Dynapro Pumps México S de RL de CV</v>
      </c>
      <c r="AG580" s="5" t="str">
        <f t="shared" si="212"/>
        <v>USD</v>
      </c>
      <c r="AH580" s="5">
        <f t="shared" si="213"/>
        <v>20508.311092626496</v>
      </c>
      <c r="AI580" s="12">
        <f>IF(L580-N580=0,VLOOKUP(U580,rate!A$4:B$15,2,FALSE)*AH580,IF(AG580="USD",O580,AH580*Y580))</f>
        <v>14850</v>
      </c>
      <c r="AJ580" s="13">
        <f t="shared" si="214"/>
        <v>0.72409668123959414</v>
      </c>
      <c r="AK580" s="13">
        <f>-IF(AG580="CAD",IFERROR(VLOOKUP(D580,CAARStatus!$A$1:$Y$1600,16,FALSE),0),0)</f>
        <v>0</v>
      </c>
      <c r="AL580" s="13">
        <f>-IF(AG580="USD",IFERROR(VLOOKUP(D580,CAARStatus!$A$1:$Y$1600,11,FALSE),0),0)</f>
        <v>-14850</v>
      </c>
      <c r="AM580" s="22" t="str">
        <f t="shared" si="215"/>
        <v/>
      </c>
      <c r="AN580" s="12">
        <f t="shared" si="216"/>
        <v>0</v>
      </c>
      <c r="AO580" s="12" t="str">
        <f t="shared" si="217"/>
        <v>Pend</v>
      </c>
      <c r="AP580" t="str">
        <f t="shared" si="202"/>
        <v>Pend</v>
      </c>
      <c r="AQ580" t="str">
        <f>IFERROR(VLOOKUP(Z580,InvBal!$L$4:$P$600,4,FALSE),"Pend")</f>
        <v>Pend</v>
      </c>
      <c r="AR580" t="str">
        <f>IFERROR(VLOOKUP(D580,Manual!$C$1:$E$22,2,FALSE),"Pend")</f>
        <v>Pend</v>
      </c>
      <c r="AS580" t="str">
        <f t="shared" si="218"/>
        <v/>
      </c>
      <c r="AT580" t="str">
        <f t="shared" si="219"/>
        <v>Yes</v>
      </c>
      <c r="AU580" s="51" t="str">
        <f t="shared" si="220"/>
        <v/>
      </c>
      <c r="AV580" s="12">
        <f>IFERROR(VLOOKUP(D580,'Receivable Invoice Detail'!$S$1:$U$3014,3,FALSE),0)</f>
        <v>0</v>
      </c>
      <c r="AW580" s="12">
        <f t="shared" si="221"/>
        <v>0</v>
      </c>
    </row>
    <row r="581" spans="1:49" ht="30" x14ac:dyDescent="0.25">
      <c r="A581" s="2">
        <v>3</v>
      </c>
      <c r="B581" s="2" t="s">
        <v>1262</v>
      </c>
      <c r="C581" s="2" t="s">
        <v>1263</v>
      </c>
      <c r="D581" s="2" t="s">
        <v>2844</v>
      </c>
      <c r="E581" s="2" t="s">
        <v>39</v>
      </c>
      <c r="F581" s="3">
        <v>45810.332731481481</v>
      </c>
      <c r="G581" s="3">
        <v>45813.696226851847</v>
      </c>
      <c r="H581" s="4">
        <v>45890</v>
      </c>
      <c r="I581" s="2" t="s">
        <v>21</v>
      </c>
      <c r="J581" s="2" t="s">
        <v>22</v>
      </c>
      <c r="K581" s="2">
        <v>1</v>
      </c>
      <c r="L581" s="2">
        <v>4549.3900000000003</v>
      </c>
      <c r="M581" s="2">
        <v>0</v>
      </c>
      <c r="N581" s="2">
        <v>3328.7090648040021</v>
      </c>
      <c r="O581" s="2">
        <v>4332.75</v>
      </c>
      <c r="P581" s="2">
        <v>216.64</v>
      </c>
      <c r="Q581" s="2">
        <v>4549.3900000000003</v>
      </c>
      <c r="R581" s="2" t="s">
        <v>44</v>
      </c>
      <c r="S581" s="2"/>
      <c r="T581" s="2">
        <f t="shared" si="203"/>
        <v>3</v>
      </c>
      <c r="U581" s="18">
        <f t="shared" si="204"/>
        <v>6</v>
      </c>
      <c r="V581" s="18">
        <f t="shared" si="205"/>
        <v>2025</v>
      </c>
      <c r="W581" s="18">
        <f t="shared" si="206"/>
        <v>7</v>
      </c>
      <c r="X581" s="18">
        <f t="shared" si="207"/>
        <v>2025</v>
      </c>
      <c r="Y581" s="2">
        <f t="shared" si="200"/>
        <v>0.73168250354531084</v>
      </c>
      <c r="Z581" t="str">
        <f t="shared" si="201"/>
        <v>SO17264</v>
      </c>
      <c r="AA581" s="11">
        <f t="shared" si="208"/>
        <v>45810.332731481481</v>
      </c>
      <c r="AB581" s="5" t="str">
        <f t="shared" si="209"/>
        <v>INV13126</v>
      </c>
      <c r="AC581" s="5" t="str">
        <f>IFERROR(VLOOKUP(D581,CAARStatus!$A$2:$AA$1600,22,FALSE),"Not invoiced")</f>
        <v>Paid</v>
      </c>
      <c r="AD581" s="11">
        <f>IF(AC581="Paid",IFERROR(VLOOKUP(D581,CAARStatus!$A$2:$AA$1600,6,FALSE),"Pending"),"Pending")</f>
        <v>45862</v>
      </c>
      <c r="AE581" s="5" t="str">
        <f t="shared" si="210"/>
        <v>BC65-00080743</v>
      </c>
      <c r="AF581" s="5" t="str">
        <f t="shared" si="211"/>
        <v>Motion Industries Inc. (Canada) - Prince George</v>
      </c>
      <c r="AG581" s="5" t="str">
        <f t="shared" si="212"/>
        <v>CAD</v>
      </c>
      <c r="AH581" s="5">
        <f t="shared" si="213"/>
        <v>4332.75</v>
      </c>
      <c r="AI581" s="12">
        <f>IF(L581-N581=0,VLOOKUP(U581,rate!A$4:B$15,2,FALSE)*AH581,IF(AG581="USD",O581,AH581*Y581))</f>
        <v>3170.1973672359454</v>
      </c>
      <c r="AJ581" s="13">
        <f t="shared" si="214"/>
        <v>0.73168250354531084</v>
      </c>
      <c r="AK581" s="13">
        <f>-IF(AG581="CAD",IFERROR(VLOOKUP(D581,CAARStatus!$A$1:$Y$1600,16,FALSE),0),0)</f>
        <v>-142.29</v>
      </c>
      <c r="AL581" s="13">
        <f>-IF(AG581="USD",IFERROR(VLOOKUP(D581,CAARStatus!$A$1:$Y$1600,11,FALSE),0),0)</f>
        <v>0</v>
      </c>
      <c r="AM581" s="22">
        <f t="shared" si="215"/>
        <v>4190.46</v>
      </c>
      <c r="AN581" s="12" t="str">
        <f t="shared" si="216"/>
        <v/>
      </c>
      <c r="AO581" s="12" t="str">
        <f t="shared" si="217"/>
        <v>Yes</v>
      </c>
      <c r="AP581" t="str">
        <f t="shared" si="202"/>
        <v>XX</v>
      </c>
      <c r="AQ581" t="str">
        <f>IFERROR(VLOOKUP(Z581,InvBal!$L$4:$P$600,4,FALSE),"Pend")</f>
        <v>Yes</v>
      </c>
      <c r="AR581" t="str">
        <f>IFERROR(VLOOKUP(D581,Manual!$C$1:$E$22,2,FALSE),"Pend")</f>
        <v>Pend</v>
      </c>
      <c r="AS581" t="str">
        <f t="shared" si="218"/>
        <v>Yes</v>
      </c>
      <c r="AT581" t="str">
        <f t="shared" si="219"/>
        <v>Yes</v>
      </c>
      <c r="AU581" s="51" t="str">
        <f t="shared" si="220"/>
        <v>Yes</v>
      </c>
      <c r="AV581" s="12">
        <f>IFERROR(VLOOKUP(D581,'Receivable Invoice Detail'!$S$1:$U$3014,3,FALSE),0)</f>
        <v>0</v>
      </c>
      <c r="AW581" s="12">
        <f t="shared" si="221"/>
        <v>3170.1973672359454</v>
      </c>
    </row>
    <row r="582" spans="1:49" x14ac:dyDescent="0.25">
      <c r="A582" s="2"/>
      <c r="B582" s="2"/>
      <c r="C582" s="2"/>
      <c r="D582" s="2" t="s">
        <v>2843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>
        <f t="shared" si="203"/>
        <v>3</v>
      </c>
      <c r="U582" s="18">
        <f t="shared" si="204"/>
        <v>6</v>
      </c>
      <c r="V582" s="18">
        <f t="shared" si="205"/>
        <v>2025</v>
      </c>
      <c r="W582" s="18">
        <f t="shared" si="206"/>
        <v>7</v>
      </c>
      <c r="X582" s="18">
        <f t="shared" si="207"/>
        <v>2025</v>
      </c>
      <c r="Y582" s="2">
        <f t="shared" si="200"/>
        <v>0.73168250354531084</v>
      </c>
      <c r="Z582" t="str">
        <f t="shared" si="201"/>
        <v>SO17264</v>
      </c>
      <c r="AA582" s="11">
        <f t="shared" si="208"/>
        <v>45810.332731481481</v>
      </c>
      <c r="AB582" s="5" t="str">
        <f t="shared" si="209"/>
        <v>INV13094</v>
      </c>
      <c r="AC582" s="5" t="str">
        <f>IFERROR(VLOOKUP(D582,CAARStatus!$A$2:$AA$1600,22,FALSE),"Not invoiced")</f>
        <v>Paid</v>
      </c>
      <c r="AD582" s="11">
        <f>IF(AC582="Paid",IFERROR(VLOOKUP(D582,CAARStatus!$A$2:$AA$1600,6,FALSE),"Pending"),"Pending")</f>
        <v>45847</v>
      </c>
      <c r="AE582" s="5" t="str">
        <f t="shared" si="210"/>
        <v>BC65-00080743</v>
      </c>
      <c r="AF582" s="5" t="str">
        <f t="shared" si="211"/>
        <v>Motion Industries Inc. (Canada) - Prince George</v>
      </c>
      <c r="AG582" s="5" t="str">
        <f t="shared" si="212"/>
        <v>CAD</v>
      </c>
      <c r="AH582" s="5">
        <f t="shared" si="213"/>
        <v>0</v>
      </c>
      <c r="AI582" s="12">
        <f>IF(L582-N582=0,VLOOKUP(U582,rate!A$4:B$15,2,FALSE)*AH582,IF(AG582="USD",O582,AH582*Y582))</f>
        <v>0</v>
      </c>
      <c r="AJ582" s="13">
        <f t="shared" si="214"/>
        <v>0</v>
      </c>
      <c r="AK582" s="13">
        <f>-IF(AG582="CAD",IFERROR(VLOOKUP(D582,CAARStatus!$A$1:$Y$1600,16,FALSE),0),0)</f>
        <v>-3286.82</v>
      </c>
      <c r="AL582" s="13">
        <f>-IF(AG582="USD",IFERROR(VLOOKUP(D582,CAARStatus!$A$1:$Y$1600,11,FALSE),0),0)</f>
        <v>0</v>
      </c>
      <c r="AM582" s="22">
        <f t="shared" si="215"/>
        <v>-3286.82</v>
      </c>
      <c r="AN582" s="12" t="str">
        <f t="shared" si="216"/>
        <v/>
      </c>
      <c r="AO582" s="12" t="str">
        <f t="shared" si="217"/>
        <v>Yes</v>
      </c>
      <c r="AP582" t="str">
        <f t="shared" si="202"/>
        <v>XX</v>
      </c>
      <c r="AQ582" t="str">
        <f>IFERROR(VLOOKUP(Z582,InvBal!$L$4:$P$600,4,FALSE),"Pend")</f>
        <v>Yes</v>
      </c>
      <c r="AR582" t="str">
        <f>IFERROR(VLOOKUP(D582,Manual!$C$1:$E$22,2,FALSE),"Pend")</f>
        <v>Pend</v>
      </c>
      <c r="AS582" t="str">
        <f t="shared" si="218"/>
        <v>Yes</v>
      </c>
      <c r="AT582" t="str">
        <f t="shared" si="219"/>
        <v/>
      </c>
      <c r="AU582" s="51" t="str">
        <f t="shared" si="220"/>
        <v/>
      </c>
      <c r="AV582" s="12">
        <f>IFERROR(VLOOKUP(D582,'Receivable Invoice Detail'!$S$1:$U$3014,3,FALSE),0)</f>
        <v>0</v>
      </c>
      <c r="AW582" s="12">
        <f t="shared" si="221"/>
        <v>0</v>
      </c>
    </row>
    <row r="583" spans="1:49" x14ac:dyDescent="0.25">
      <c r="A583" s="2"/>
      <c r="B583" s="2"/>
      <c r="C583" s="2"/>
      <c r="D583" s="2" t="s">
        <v>2842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>
        <f t="shared" si="203"/>
        <v>3</v>
      </c>
      <c r="U583" s="18">
        <f t="shared" si="204"/>
        <v>6</v>
      </c>
      <c r="V583" s="18">
        <f t="shared" si="205"/>
        <v>2025</v>
      </c>
      <c r="W583" s="18">
        <f t="shared" si="206"/>
        <v>8</v>
      </c>
      <c r="X583" s="18">
        <f t="shared" si="207"/>
        <v>2025</v>
      </c>
      <c r="Y583" s="2">
        <f t="shared" si="200"/>
        <v>0.73168250354531084</v>
      </c>
      <c r="Z583" t="str">
        <f t="shared" si="201"/>
        <v>SO17264</v>
      </c>
      <c r="AA583" s="11">
        <f t="shared" si="208"/>
        <v>45810.332731481481</v>
      </c>
      <c r="AB583" s="5" t="str">
        <f t="shared" si="209"/>
        <v>INV13197</v>
      </c>
      <c r="AC583" s="5" t="str">
        <f>IFERROR(VLOOKUP(D583,CAARStatus!$A$2:$AA$1600,22,FALSE),"Not invoiced")</f>
        <v>Paid</v>
      </c>
      <c r="AD583" s="11">
        <f>IF(AC583="Paid",IFERROR(VLOOKUP(D583,CAARStatus!$A$2:$AA$1600,6,FALSE),"Pending"),"Pending")</f>
        <v>45884</v>
      </c>
      <c r="AE583" s="5" t="str">
        <f t="shared" si="210"/>
        <v>BC65-00080743</v>
      </c>
      <c r="AF583" s="5" t="str">
        <f t="shared" si="211"/>
        <v>Motion Industries Inc. (Canada) - Prince George</v>
      </c>
      <c r="AG583" s="5" t="str">
        <f t="shared" si="212"/>
        <v>CAD</v>
      </c>
      <c r="AH583" s="5">
        <f t="shared" si="213"/>
        <v>0</v>
      </c>
      <c r="AI583" s="12">
        <f>IF(L583-N583=0,VLOOKUP(U583,rate!A$4:B$15,2,FALSE)*AH583,IF(AG583="USD",O583,AH583*Y583))</f>
        <v>0</v>
      </c>
      <c r="AJ583" s="13">
        <f t="shared" si="214"/>
        <v>0</v>
      </c>
      <c r="AK583" s="13">
        <f>-IF(AG583="CAD",IFERROR(VLOOKUP(D583,CAARStatus!$A$1:$Y$1600,16,FALSE),0),0)</f>
        <v>-903.64</v>
      </c>
      <c r="AL583" s="13">
        <f>-IF(AG583="USD",IFERROR(VLOOKUP(D583,CAARStatus!$A$1:$Y$1600,11,FALSE),0),0)</f>
        <v>0</v>
      </c>
      <c r="AM583" s="22">
        <f t="shared" si="215"/>
        <v>-903.64</v>
      </c>
      <c r="AN583" s="12" t="str">
        <f t="shared" si="216"/>
        <v/>
      </c>
      <c r="AO583" s="12" t="str">
        <f t="shared" si="217"/>
        <v>Yes</v>
      </c>
      <c r="AP583" t="str">
        <f t="shared" si="202"/>
        <v>XX</v>
      </c>
      <c r="AQ583" t="str">
        <f>IFERROR(VLOOKUP(Z583,InvBal!$L$4:$P$600,4,FALSE),"Pend")</f>
        <v>Yes</v>
      </c>
      <c r="AR583" t="str">
        <f>IFERROR(VLOOKUP(D583,Manual!$C$1:$E$22,2,FALSE),"Pend")</f>
        <v>Pend</v>
      </c>
      <c r="AS583" t="str">
        <f t="shared" si="218"/>
        <v>Yes</v>
      </c>
      <c r="AT583" t="str">
        <f t="shared" si="219"/>
        <v/>
      </c>
      <c r="AU583" s="51" t="str">
        <f t="shared" si="220"/>
        <v/>
      </c>
      <c r="AV583" s="12">
        <f>IFERROR(VLOOKUP(D583,'Receivable Invoice Detail'!$S$1:$U$3014,3,FALSE),0)</f>
        <v>0</v>
      </c>
      <c r="AW583" s="12">
        <f t="shared" si="221"/>
        <v>0</v>
      </c>
    </row>
    <row r="584" spans="1:49" ht="30" x14ac:dyDescent="0.25">
      <c r="A584" s="2">
        <v>1</v>
      </c>
      <c r="B584" s="2" t="s">
        <v>1300</v>
      </c>
      <c r="C584" s="2" t="s">
        <v>1301</v>
      </c>
      <c r="D584" s="2" t="s">
        <v>2822</v>
      </c>
      <c r="E584" s="2" t="s">
        <v>239</v>
      </c>
      <c r="F584" s="3">
        <v>45810.339780092603</v>
      </c>
      <c r="G584" s="3">
        <v>45810.340532407397</v>
      </c>
      <c r="H584" s="4">
        <v>45814</v>
      </c>
      <c r="I584" s="2" t="s">
        <v>180</v>
      </c>
      <c r="J584" s="2" t="s">
        <v>51</v>
      </c>
      <c r="K584" s="2">
        <v>0.72782949041434608</v>
      </c>
      <c r="L584" s="2">
        <v>2677.3028925918761</v>
      </c>
      <c r="M584" s="2">
        <v>0</v>
      </c>
      <c r="N584" s="2">
        <v>1948.62</v>
      </c>
      <c r="O584" s="2">
        <v>1948.62</v>
      </c>
      <c r="P584" s="2"/>
      <c r="Q584" s="2">
        <v>1948.62</v>
      </c>
      <c r="R584" s="2" t="s">
        <v>44</v>
      </c>
      <c r="S584" s="2"/>
      <c r="T584" s="2">
        <f t="shared" si="203"/>
        <v>1</v>
      </c>
      <c r="U584" s="18">
        <f t="shared" si="204"/>
        <v>6</v>
      </c>
      <c r="V584" s="18">
        <f t="shared" si="205"/>
        <v>2025</v>
      </c>
      <c r="W584" s="18">
        <f t="shared" si="206"/>
        <v>7</v>
      </c>
      <c r="X584" s="18">
        <f t="shared" si="207"/>
        <v>2025</v>
      </c>
      <c r="Y584" s="2">
        <f t="shared" si="200"/>
        <v>0.72782949041434608</v>
      </c>
      <c r="Z584" t="str">
        <f t="shared" si="201"/>
        <v>SO17265</v>
      </c>
      <c r="AA584" s="11">
        <f t="shared" si="208"/>
        <v>45810.339780092603</v>
      </c>
      <c r="AB584" s="5" t="str">
        <f t="shared" si="209"/>
        <v>INV13043</v>
      </c>
      <c r="AC584" s="5" t="str">
        <f>IFERROR(VLOOKUP(D584,CAARStatus!$A$2:$AA$1600,22,FALSE),"Not invoiced")</f>
        <v>Paid</v>
      </c>
      <c r="AD584" s="11">
        <f>IF(AC584="Paid",IFERROR(VLOOKUP(D584,CAARStatus!$A$2:$AA$1600,6,FALSE),"Pending"),"Pending")</f>
        <v>45855</v>
      </c>
      <c r="AE584" s="5" t="str">
        <f t="shared" si="210"/>
        <v>1049 Ship to PO# 2250529</v>
      </c>
      <c r="AF584" s="5" t="str">
        <f t="shared" si="211"/>
        <v>Mill-Right Mine Services Inc.</v>
      </c>
      <c r="AG584" s="5" t="str">
        <f t="shared" si="212"/>
        <v>USD</v>
      </c>
      <c r="AH584" s="5">
        <f t="shared" si="213"/>
        <v>2677.3028925918761</v>
      </c>
      <c r="AI584" s="12">
        <f>IF(L584-N584=0,VLOOKUP(U584,rate!A$4:B$15,2,FALSE)*AH584,IF(AG584="USD",O584,AH584*Y584))</f>
        <v>1948.62</v>
      </c>
      <c r="AJ584" s="13">
        <f t="shared" si="214"/>
        <v>0.72782949041434608</v>
      </c>
      <c r="AK584" s="13">
        <f>-IF(AG584="CAD",IFERROR(VLOOKUP(D584,CAARStatus!$A$1:$Y$1600,16,FALSE),0),0)</f>
        <v>0</v>
      </c>
      <c r="AL584" s="13">
        <f>-IF(AG584="USD",IFERROR(VLOOKUP(D584,CAARStatus!$A$1:$Y$1600,11,FALSE),0),0)</f>
        <v>-1948.62</v>
      </c>
      <c r="AM584" s="22" t="str">
        <f t="shared" si="215"/>
        <v/>
      </c>
      <c r="AN584" s="12">
        <f t="shared" si="216"/>
        <v>0</v>
      </c>
      <c r="AO584" s="12" t="str">
        <f t="shared" si="217"/>
        <v>Yes</v>
      </c>
      <c r="AP584" t="str">
        <f t="shared" si="202"/>
        <v>Yes</v>
      </c>
      <c r="AQ584" t="str">
        <f>IFERROR(VLOOKUP(Z584,InvBal!$L$4:$P$600,4,FALSE),"Pend")</f>
        <v>Pend</v>
      </c>
      <c r="AR584" t="str">
        <f>IFERROR(VLOOKUP(D584,Manual!$C$1:$E$22,2,FALSE),"Pend")</f>
        <v>Pend</v>
      </c>
      <c r="AS584" t="str">
        <f t="shared" si="218"/>
        <v>Yes</v>
      </c>
      <c r="AT584" t="str">
        <f t="shared" si="219"/>
        <v>Yes</v>
      </c>
      <c r="AU584" s="51" t="str">
        <f t="shared" si="220"/>
        <v>Yes</v>
      </c>
      <c r="AV584" s="12">
        <f>IFERROR(VLOOKUP(D584,'Receivable Invoice Detail'!$S$1:$U$3014,3,FALSE),0)</f>
        <v>131.77000000000001</v>
      </c>
      <c r="AW584" s="12">
        <f t="shared" si="221"/>
        <v>1816.85</v>
      </c>
    </row>
    <row r="585" spans="1:49" x14ac:dyDescent="0.25">
      <c r="A585" s="2">
        <v>1</v>
      </c>
      <c r="B585" s="2" t="s">
        <v>1278</v>
      </c>
      <c r="C585" s="2" t="s">
        <v>1279</v>
      </c>
      <c r="D585" s="2" t="s">
        <v>2834</v>
      </c>
      <c r="E585" s="2" t="s">
        <v>135</v>
      </c>
      <c r="F585" s="3">
        <v>45810.417094907411</v>
      </c>
      <c r="G585" s="3">
        <v>45812.51766203704</v>
      </c>
      <c r="H585" s="4">
        <v>45896</v>
      </c>
      <c r="I585" s="2" t="s">
        <v>21</v>
      </c>
      <c r="J585" s="2" t="s">
        <v>22</v>
      </c>
      <c r="K585" s="2">
        <v>1</v>
      </c>
      <c r="L585" s="2">
        <v>13676.48</v>
      </c>
      <c r="M585" s="2">
        <v>0</v>
      </c>
      <c r="N585" s="2">
        <v>10003.25963235903</v>
      </c>
      <c r="O585" s="2">
        <v>12103.08</v>
      </c>
      <c r="P585" s="2">
        <v>1573.4</v>
      </c>
      <c r="Q585" s="2">
        <v>13676.48</v>
      </c>
      <c r="R585" s="2" t="s">
        <v>44</v>
      </c>
      <c r="S585" s="2"/>
      <c r="T585" s="2">
        <f t="shared" si="203"/>
        <v>1</v>
      </c>
      <c r="U585" s="18">
        <f t="shared" si="204"/>
        <v>6</v>
      </c>
      <c r="V585" s="18">
        <f t="shared" si="205"/>
        <v>2025</v>
      </c>
      <c r="W585" s="18">
        <f t="shared" si="206"/>
        <v>11</v>
      </c>
      <c r="X585" s="18">
        <f t="shared" si="207"/>
        <v>2025</v>
      </c>
      <c r="Y585" s="2">
        <f t="shared" si="200"/>
        <v>0.73142063106581734</v>
      </c>
      <c r="Z585" t="str">
        <f t="shared" si="201"/>
        <v>SO17267</v>
      </c>
      <c r="AA585" s="11">
        <f t="shared" si="208"/>
        <v>45810.417094907411</v>
      </c>
      <c r="AB585" s="5" t="str">
        <f t="shared" si="209"/>
        <v>INV13603</v>
      </c>
      <c r="AC585" s="5" t="str">
        <f>IFERROR(VLOOKUP(D585,CAARStatus!$A$2:$AA$1600,22,FALSE),"Not invoiced")</f>
        <v>Paid</v>
      </c>
      <c r="AD585" s="11">
        <f>IF(AC585="Paid",IFERROR(VLOOKUP(D585,CAARStatus!$A$2:$AA$1600,6,FALSE),"Pending"),"Pending")</f>
        <v>45967</v>
      </c>
      <c r="AE585" s="5" t="str">
        <f t="shared" si="210"/>
        <v>1024377</v>
      </c>
      <c r="AF585" s="5" t="str">
        <f t="shared" si="211"/>
        <v>Thunder Bay Pulp and Paper Inc</v>
      </c>
      <c r="AG585" s="5" t="str">
        <f t="shared" si="212"/>
        <v>CAD</v>
      </c>
      <c r="AH585" s="5">
        <f t="shared" si="213"/>
        <v>12103.08</v>
      </c>
      <c r="AI585" s="12">
        <f>IF(L585-N585=0,VLOOKUP(U585,rate!A$4:B$15,2,FALSE)*AH585,IF(AG585="USD",O585,AH585*Y585))</f>
        <v>8852.4424114400717</v>
      </c>
      <c r="AJ585" s="13">
        <f t="shared" si="214"/>
        <v>0.73142063106581723</v>
      </c>
      <c r="AK585" s="13">
        <f>-IF(AG585="CAD",IFERROR(VLOOKUP(D585,CAARStatus!$A$1:$Y$1600,16,FALSE),0),0)</f>
        <v>-12103.08</v>
      </c>
      <c r="AL585" s="13">
        <f>-IF(AG585="USD",IFERROR(VLOOKUP(D585,CAARStatus!$A$1:$Y$1600,11,FALSE),0),0)</f>
        <v>0</v>
      </c>
      <c r="AM585" s="22">
        <f t="shared" si="215"/>
        <v>0</v>
      </c>
      <c r="AN585" s="12" t="str">
        <f t="shared" si="216"/>
        <v/>
      </c>
      <c r="AO585" s="12" t="str">
        <f t="shared" si="217"/>
        <v>Yes</v>
      </c>
      <c r="AP585" t="str">
        <f t="shared" si="202"/>
        <v>Yes</v>
      </c>
      <c r="AQ585" t="str">
        <f>IFERROR(VLOOKUP(Z585,InvBal!$L$4:$P$600,4,FALSE),"Pend")</f>
        <v>Pend</v>
      </c>
      <c r="AR585" t="str">
        <f>IFERROR(VLOOKUP(D585,Manual!$C$1:$E$22,2,FALSE),"Pend")</f>
        <v>Pend</v>
      </c>
      <c r="AS585" t="str">
        <f t="shared" si="218"/>
        <v>Yes</v>
      </c>
      <c r="AT585" t="str">
        <f t="shared" si="219"/>
        <v>Yes</v>
      </c>
      <c r="AU585" s="51" t="str">
        <f t="shared" si="220"/>
        <v>Yes</v>
      </c>
      <c r="AV585" s="12">
        <f>IFERROR(VLOOKUP(D585,'Receivable Invoice Detail'!$S$1:$U$3014,3,FALSE),0)</f>
        <v>0</v>
      </c>
      <c r="AW585" s="12">
        <f t="shared" si="221"/>
        <v>8852.4424114400717</v>
      </c>
    </row>
    <row r="586" spans="1:49" x14ac:dyDescent="0.25">
      <c r="A586" s="2">
        <v>1</v>
      </c>
      <c r="B586" s="2" t="s">
        <v>1259</v>
      </c>
      <c r="C586" s="2" t="s">
        <v>1260</v>
      </c>
      <c r="D586" s="2" t="s">
        <v>2845</v>
      </c>
      <c r="E586" s="2" t="s">
        <v>1261</v>
      </c>
      <c r="F586" s="3">
        <v>45810.577384259261</v>
      </c>
      <c r="G586" s="3">
        <v>45814.493564814817</v>
      </c>
      <c r="H586" s="4">
        <v>45877</v>
      </c>
      <c r="I586" s="2" t="s">
        <v>21</v>
      </c>
      <c r="J586" s="2" t="s">
        <v>22</v>
      </c>
      <c r="K586" s="2">
        <v>1</v>
      </c>
      <c r="L586" s="2">
        <v>5995.8</v>
      </c>
      <c r="M586" s="2">
        <v>0</v>
      </c>
      <c r="N586" s="2">
        <v>4380.871989709558</v>
      </c>
      <c r="O586" s="2">
        <v>5710.29</v>
      </c>
      <c r="P586" s="2">
        <v>285.51</v>
      </c>
      <c r="Q586" s="2">
        <v>5995.8</v>
      </c>
      <c r="R586" s="2" t="s">
        <v>44</v>
      </c>
      <c r="S586" s="2"/>
      <c r="T586" s="2">
        <f t="shared" si="203"/>
        <v>1</v>
      </c>
      <c r="U586" s="18">
        <f t="shared" si="204"/>
        <v>6</v>
      </c>
      <c r="V586" s="18">
        <f t="shared" si="205"/>
        <v>2025</v>
      </c>
      <c r="W586" s="18">
        <f t="shared" si="206"/>
        <v>9</v>
      </c>
      <c r="X586" s="18">
        <f t="shared" si="207"/>
        <v>2025</v>
      </c>
      <c r="Y586" s="2">
        <f t="shared" si="200"/>
        <v>0.73065679137222017</v>
      </c>
      <c r="Z586" t="str">
        <f t="shared" si="201"/>
        <v>SO17269</v>
      </c>
      <c r="AA586" s="11">
        <f t="shared" si="208"/>
        <v>45810.577384259261</v>
      </c>
      <c r="AB586" s="5" t="str">
        <f t="shared" si="209"/>
        <v>INV13260</v>
      </c>
      <c r="AC586" s="5" t="str">
        <f>IFERROR(VLOOKUP(D586,CAARStatus!$A$2:$AA$1600,22,FALSE),"Not invoiced")</f>
        <v>Paid</v>
      </c>
      <c r="AD586" s="11">
        <f>IF(AC586="Paid",IFERROR(VLOOKUP(D586,CAARStatus!$A$2:$AA$1600,6,FALSE),"Pending"),"Pending")</f>
        <v>45912</v>
      </c>
      <c r="AE586" s="5" t="str">
        <f t="shared" si="210"/>
        <v>PSI15784</v>
      </c>
      <c r="AF586" s="5" t="str">
        <f t="shared" si="211"/>
        <v>Progressive Sealing Inc.</v>
      </c>
      <c r="AG586" s="5" t="str">
        <f t="shared" si="212"/>
        <v>CAD</v>
      </c>
      <c r="AH586" s="5">
        <f t="shared" si="213"/>
        <v>5710.29</v>
      </c>
      <c r="AI586" s="12">
        <f>IF(L586-N586=0,VLOOKUP(U586,rate!A$4:B$15,2,FALSE)*AH586,IF(AG586="USD",O586,AH586*Y586))</f>
        <v>4172.2621692048751</v>
      </c>
      <c r="AJ586" s="13">
        <f t="shared" si="214"/>
        <v>0.73065679137222017</v>
      </c>
      <c r="AK586" s="13">
        <f>-IF(AG586="CAD",IFERROR(VLOOKUP(D586,CAARStatus!$A$1:$Y$1600,16,FALSE),0),0)</f>
        <v>-5710.29</v>
      </c>
      <c r="AL586" s="13">
        <f>-IF(AG586="USD",IFERROR(VLOOKUP(D586,CAARStatus!$A$1:$Y$1600,11,FALSE),0),0)</f>
        <v>0</v>
      </c>
      <c r="AM586" s="22">
        <f t="shared" si="215"/>
        <v>0</v>
      </c>
      <c r="AN586" s="12" t="str">
        <f t="shared" si="216"/>
        <v/>
      </c>
      <c r="AO586" s="12" t="str">
        <f t="shared" si="217"/>
        <v>Yes</v>
      </c>
      <c r="AP586" t="str">
        <f t="shared" si="202"/>
        <v>Yes</v>
      </c>
      <c r="AQ586" t="str">
        <f>IFERROR(VLOOKUP(Z586,InvBal!$L$4:$P$600,4,FALSE),"Pend")</f>
        <v>Pend</v>
      </c>
      <c r="AR586" t="str">
        <f>IFERROR(VLOOKUP(D586,Manual!$C$1:$E$22,2,FALSE),"Pend")</f>
        <v>Pend</v>
      </c>
      <c r="AS586" t="str">
        <f t="shared" si="218"/>
        <v>Yes</v>
      </c>
      <c r="AT586" t="str">
        <f t="shared" si="219"/>
        <v>Yes</v>
      </c>
      <c r="AU586" s="51" t="str">
        <f t="shared" si="220"/>
        <v>Yes</v>
      </c>
      <c r="AV586" s="12">
        <f>IFERROR(VLOOKUP(D586,'Receivable Invoice Detail'!$S$1:$U$3014,3,FALSE),0)</f>
        <v>0</v>
      </c>
      <c r="AW586" s="12">
        <f t="shared" si="221"/>
        <v>4172.2621692048751</v>
      </c>
    </row>
    <row r="587" spans="1:49" ht="30" x14ac:dyDescent="0.25">
      <c r="A587" s="2">
        <v>1</v>
      </c>
      <c r="B587" s="2" t="s">
        <v>1291</v>
      </c>
      <c r="C587" s="2" t="s">
        <v>1292</v>
      </c>
      <c r="D587" s="2" t="s">
        <v>2826</v>
      </c>
      <c r="E587" s="2" t="s">
        <v>20</v>
      </c>
      <c r="F587" s="3">
        <v>45810.671458333331</v>
      </c>
      <c r="G587" s="3">
        <v>45811.57472222222</v>
      </c>
      <c r="H587" s="4">
        <v>45812</v>
      </c>
      <c r="I587" s="2" t="s">
        <v>21</v>
      </c>
      <c r="J587" s="2" t="s">
        <v>22</v>
      </c>
      <c r="K587" s="2">
        <v>1</v>
      </c>
      <c r="L587" s="2">
        <v>255.73</v>
      </c>
      <c r="M587" s="2">
        <v>0</v>
      </c>
      <c r="N587" s="2">
        <v>186.3511339114302</v>
      </c>
      <c r="O587" s="2">
        <v>243.55</v>
      </c>
      <c r="P587" s="2">
        <v>12.18</v>
      </c>
      <c r="Q587" s="2">
        <v>255.73</v>
      </c>
      <c r="R587" s="2" t="s">
        <v>44</v>
      </c>
      <c r="S587" s="2"/>
      <c r="T587" s="2">
        <f t="shared" si="203"/>
        <v>1</v>
      </c>
      <c r="U587" s="18">
        <f t="shared" si="204"/>
        <v>6</v>
      </c>
      <c r="V587" s="18">
        <f t="shared" si="205"/>
        <v>2025</v>
      </c>
      <c r="W587" s="18">
        <f t="shared" si="206"/>
        <v>8</v>
      </c>
      <c r="X587" s="18">
        <f t="shared" si="207"/>
        <v>2025</v>
      </c>
      <c r="Y587" s="2">
        <f t="shared" si="200"/>
        <v>0.72870267043925319</v>
      </c>
      <c r="Z587" t="str">
        <f t="shared" si="201"/>
        <v>SO17271</v>
      </c>
      <c r="AA587" s="11">
        <f t="shared" si="208"/>
        <v>45810.671458333331</v>
      </c>
      <c r="AB587" s="5" t="str">
        <f t="shared" si="209"/>
        <v>INV13060</v>
      </c>
      <c r="AC587" s="5" t="str">
        <f>IFERROR(VLOOKUP(D587,CAARStatus!$A$2:$AA$1600,22,FALSE),"Not invoiced")</f>
        <v>Paid</v>
      </c>
      <c r="AD587" s="11">
        <f>IF(AC587="Paid",IFERROR(VLOOKUP(D587,CAARStatus!$A$2:$AA$1600,6,FALSE),"Pending"),"Pending")</f>
        <v>45870</v>
      </c>
      <c r="AE587" s="5" t="str">
        <f t="shared" si="210"/>
        <v>4500599181</v>
      </c>
      <c r="AF587" s="5" t="str">
        <f t="shared" si="211"/>
        <v>Resolute Forest Products - Saint-Felicien</v>
      </c>
      <c r="AG587" s="5" t="str">
        <f t="shared" si="212"/>
        <v>CAD</v>
      </c>
      <c r="AH587" s="5">
        <f t="shared" si="213"/>
        <v>243.55</v>
      </c>
      <c r="AI587" s="12">
        <f>IF(L587-N587=0,VLOOKUP(U587,rate!A$4:B$15,2,FALSE)*AH587,IF(AG587="USD",O587,AH587*Y587))</f>
        <v>177.47553538548013</v>
      </c>
      <c r="AJ587" s="13">
        <f t="shared" si="214"/>
        <v>0.72870267043925319</v>
      </c>
      <c r="AK587" s="13">
        <f>-IF(AG587="CAD",IFERROR(VLOOKUP(D587,CAARStatus!$A$1:$Y$1600,16,FALSE),0),0)</f>
        <v>-243.55</v>
      </c>
      <c r="AL587" s="13">
        <f>-IF(AG587="USD",IFERROR(VLOOKUP(D587,CAARStatus!$A$1:$Y$1600,11,FALSE),0),0)</f>
        <v>0</v>
      </c>
      <c r="AM587" s="22">
        <f t="shared" si="215"/>
        <v>0</v>
      </c>
      <c r="AN587" s="12" t="str">
        <f t="shared" si="216"/>
        <v/>
      </c>
      <c r="AO587" s="12" t="str">
        <f t="shared" si="217"/>
        <v>Yes</v>
      </c>
      <c r="AP587" t="str">
        <f t="shared" si="202"/>
        <v>Yes</v>
      </c>
      <c r="AQ587" t="str">
        <f>IFERROR(VLOOKUP(Z587,InvBal!$L$4:$P$600,4,FALSE),"Pend")</f>
        <v>Pend</v>
      </c>
      <c r="AR587" t="str">
        <f>IFERROR(VLOOKUP(D587,Manual!$C$1:$E$22,2,FALSE),"Pend")</f>
        <v>Pend</v>
      </c>
      <c r="AS587" t="str">
        <f t="shared" si="218"/>
        <v>Yes</v>
      </c>
      <c r="AT587" t="str">
        <f t="shared" si="219"/>
        <v>Yes</v>
      </c>
      <c r="AU587" s="51" t="str">
        <f t="shared" si="220"/>
        <v>Yes</v>
      </c>
      <c r="AV587" s="12">
        <f>IFERROR(VLOOKUP(D587,'Receivable Invoice Detail'!$S$1:$U$3014,3,FALSE),0)</f>
        <v>0</v>
      </c>
      <c r="AW587" s="12">
        <f t="shared" si="221"/>
        <v>177.47553538548013</v>
      </c>
    </row>
    <row r="588" spans="1:49" x14ac:dyDescent="0.25">
      <c r="A588" s="2">
        <v>1</v>
      </c>
      <c r="B588" s="2" t="s">
        <v>1273</v>
      </c>
      <c r="C588" s="2" t="s">
        <v>1274</v>
      </c>
      <c r="D588" s="2" t="s">
        <v>2836</v>
      </c>
      <c r="E588" s="2" t="s">
        <v>1275</v>
      </c>
      <c r="F588" s="3">
        <v>45811.581064814818</v>
      </c>
      <c r="G588" s="3">
        <v>45812.582256944443</v>
      </c>
      <c r="H588" s="4">
        <v>45814</v>
      </c>
      <c r="I588" s="2" t="s">
        <v>21</v>
      </c>
      <c r="J588" s="2" t="s">
        <v>22</v>
      </c>
      <c r="K588" s="2">
        <v>1</v>
      </c>
      <c r="L588" s="2">
        <v>281.7</v>
      </c>
      <c r="M588" s="2">
        <v>0</v>
      </c>
      <c r="N588" s="2">
        <v>206.04119177124079</v>
      </c>
      <c r="O588" s="2">
        <v>268.29000000000002</v>
      </c>
      <c r="P588" s="2">
        <v>13.41</v>
      </c>
      <c r="Q588" s="2">
        <v>281.7</v>
      </c>
      <c r="R588" s="2" t="s">
        <v>44</v>
      </c>
      <c r="S588" s="2"/>
      <c r="T588" s="2">
        <f t="shared" si="203"/>
        <v>1</v>
      </c>
      <c r="U588" s="18">
        <f t="shared" si="204"/>
        <v>6</v>
      </c>
      <c r="V588" s="18">
        <f t="shared" si="205"/>
        <v>2025</v>
      </c>
      <c r="W588" s="18">
        <f t="shared" si="206"/>
        <v>8</v>
      </c>
      <c r="X588" s="18">
        <f t="shared" si="207"/>
        <v>2025</v>
      </c>
      <c r="Y588" s="2">
        <f t="shared" si="200"/>
        <v>0.73142063106581756</v>
      </c>
      <c r="Z588" t="str">
        <f t="shared" si="201"/>
        <v>SO17274</v>
      </c>
      <c r="AA588" s="11">
        <f t="shared" si="208"/>
        <v>45811.581064814818</v>
      </c>
      <c r="AB588" s="5" t="str">
        <f t="shared" si="209"/>
        <v>INV13065</v>
      </c>
      <c r="AC588" s="5" t="str">
        <f>IFERROR(VLOOKUP(D588,CAARStatus!$A$2:$AA$1600,22,FALSE),"Not invoiced")</f>
        <v>Paid</v>
      </c>
      <c r="AD588" s="11">
        <f>IF(AC588="Paid",IFERROR(VLOOKUP(D588,CAARStatus!$A$2:$AA$1600,6,FALSE),"Pending"),"Pending")</f>
        <v>45876</v>
      </c>
      <c r="AE588" s="5" t="str">
        <f t="shared" si="210"/>
        <v>4505731755-X46</v>
      </c>
      <c r="AF588" s="5" t="str">
        <f t="shared" si="211"/>
        <v>BDI Canada Inc - Saskatoon</v>
      </c>
      <c r="AG588" s="5" t="str">
        <f t="shared" si="212"/>
        <v>CAD</v>
      </c>
      <c r="AH588" s="5">
        <f t="shared" si="213"/>
        <v>268.29000000000002</v>
      </c>
      <c r="AI588" s="12">
        <f>IF(L588-N588=0,VLOOKUP(U588,rate!A$4:B$15,2,FALSE)*AH588,IF(AG588="USD",O588,AH588*Y588))</f>
        <v>196.23284110864822</v>
      </c>
      <c r="AJ588" s="13">
        <f t="shared" si="214"/>
        <v>0.73142063106581756</v>
      </c>
      <c r="AK588" s="13">
        <f>-IF(AG588="CAD",IFERROR(VLOOKUP(D588,CAARStatus!$A$1:$Y$1600,16,FALSE),0),0)</f>
        <v>-268.29000000000002</v>
      </c>
      <c r="AL588" s="13">
        <f>-IF(AG588="USD",IFERROR(VLOOKUP(D588,CAARStatus!$A$1:$Y$1600,11,FALSE),0),0)</f>
        <v>0</v>
      </c>
      <c r="AM588" s="22">
        <f t="shared" si="215"/>
        <v>0</v>
      </c>
      <c r="AN588" s="12" t="str">
        <f t="shared" si="216"/>
        <v/>
      </c>
      <c r="AO588" s="12" t="str">
        <f t="shared" si="217"/>
        <v>Yes</v>
      </c>
      <c r="AP588" t="str">
        <f t="shared" si="202"/>
        <v>Yes</v>
      </c>
      <c r="AQ588" t="str">
        <f>IFERROR(VLOOKUP(Z588,InvBal!$L$4:$P$600,4,FALSE),"Pend")</f>
        <v>Pend</v>
      </c>
      <c r="AR588" t="str">
        <f>IFERROR(VLOOKUP(D588,Manual!$C$1:$E$22,2,FALSE),"Pend")</f>
        <v>Pend</v>
      </c>
      <c r="AS588" t="str">
        <f t="shared" si="218"/>
        <v>Yes</v>
      </c>
      <c r="AT588" t="str">
        <f t="shared" si="219"/>
        <v>Yes</v>
      </c>
      <c r="AU588" s="51" t="str">
        <f t="shared" si="220"/>
        <v>Yes</v>
      </c>
      <c r="AV588" s="12">
        <f>IFERROR(VLOOKUP(D588,'Receivable Invoice Detail'!$S$1:$U$3014,3,FALSE),0)</f>
        <v>0</v>
      </c>
      <c r="AW588" s="12">
        <f t="shared" si="221"/>
        <v>196.23284110864822</v>
      </c>
    </row>
    <row r="589" spans="1:49" x14ac:dyDescent="0.25">
      <c r="A589" s="2">
        <v>1</v>
      </c>
      <c r="B589" s="2" t="s">
        <v>1241</v>
      </c>
      <c r="C589" s="2" t="s">
        <v>1242</v>
      </c>
      <c r="D589" s="2" t="s">
        <v>2856</v>
      </c>
      <c r="E589" s="2" t="s">
        <v>54</v>
      </c>
      <c r="F589" s="3">
        <v>45812.354513888888</v>
      </c>
      <c r="G589" s="3">
        <v>45818.677025462966</v>
      </c>
      <c r="H589" s="4">
        <v>45819</v>
      </c>
      <c r="I589" s="2" t="s">
        <v>21</v>
      </c>
      <c r="J589" s="2" t="s">
        <v>22</v>
      </c>
      <c r="K589" s="2">
        <v>1</v>
      </c>
      <c r="L589" s="2">
        <v>330.7</v>
      </c>
      <c r="M589" s="2">
        <v>0</v>
      </c>
      <c r="N589" s="2">
        <v>241.65436400572119</v>
      </c>
      <c r="O589" s="2">
        <v>314.95</v>
      </c>
      <c r="P589" s="2">
        <v>15.75</v>
      </c>
      <c r="Q589" s="2">
        <v>330.7</v>
      </c>
      <c r="R589" s="2" t="s">
        <v>44</v>
      </c>
      <c r="S589" s="2"/>
      <c r="T589" s="2">
        <f t="shared" si="203"/>
        <v>1</v>
      </c>
      <c r="U589" s="18">
        <f t="shared" si="204"/>
        <v>6</v>
      </c>
      <c r="V589" s="18">
        <f t="shared" si="205"/>
        <v>2025</v>
      </c>
      <c r="W589" s="18">
        <f t="shared" si="206"/>
        <v>7</v>
      </c>
      <c r="X589" s="18">
        <f t="shared" si="207"/>
        <v>2025</v>
      </c>
      <c r="Y589" s="2">
        <f t="shared" si="200"/>
        <v>0.73073590567197222</v>
      </c>
      <c r="Z589" t="str">
        <f t="shared" si="201"/>
        <v>SO17276</v>
      </c>
      <c r="AA589" s="11">
        <f t="shared" si="208"/>
        <v>45812.354513888888</v>
      </c>
      <c r="AB589" s="5" t="str">
        <f t="shared" si="209"/>
        <v>INV13081</v>
      </c>
      <c r="AC589" s="5" t="str">
        <f>IFERROR(VLOOKUP(D589,CAARStatus!$A$2:$AA$1600,22,FALSE),"Not invoiced")</f>
        <v>Paid</v>
      </c>
      <c r="AD589" s="11">
        <f>IF(AC589="Paid",IFERROR(VLOOKUP(D589,CAARStatus!$A$2:$AA$1600,6,FALSE),"Pending"),"Pending")</f>
        <v>45848</v>
      </c>
      <c r="AE589" s="5" t="str">
        <f t="shared" si="210"/>
        <v>3202</v>
      </c>
      <c r="AF589" s="5" t="str">
        <f t="shared" si="211"/>
        <v>Les Pompes du St-Laurent Inc.</v>
      </c>
      <c r="AG589" s="5" t="str">
        <f t="shared" si="212"/>
        <v>CAD</v>
      </c>
      <c r="AH589" s="5">
        <f t="shared" si="213"/>
        <v>314.95</v>
      </c>
      <c r="AI589" s="12">
        <f>IF(L589-N589=0,VLOOKUP(U589,rate!A$4:B$15,2,FALSE)*AH589,IF(AG589="USD",O589,AH589*Y589))</f>
        <v>230.14527349138766</v>
      </c>
      <c r="AJ589" s="13">
        <f t="shared" si="214"/>
        <v>0.73073590567197222</v>
      </c>
      <c r="AK589" s="13">
        <f>-IF(AG589="CAD",IFERROR(VLOOKUP(D589,CAARStatus!$A$1:$Y$1600,16,FALSE),0),0)</f>
        <v>-314.95</v>
      </c>
      <c r="AL589" s="13">
        <f>-IF(AG589="USD",IFERROR(VLOOKUP(D589,CAARStatus!$A$1:$Y$1600,11,FALSE),0),0)</f>
        <v>0</v>
      </c>
      <c r="AM589" s="22">
        <f t="shared" si="215"/>
        <v>0</v>
      </c>
      <c r="AN589" s="12" t="str">
        <f t="shared" si="216"/>
        <v/>
      </c>
      <c r="AO589" s="12" t="str">
        <f t="shared" si="217"/>
        <v>Yes</v>
      </c>
      <c r="AP589" t="str">
        <f t="shared" si="202"/>
        <v>Yes</v>
      </c>
      <c r="AQ589" t="str">
        <f>IFERROR(VLOOKUP(Z589,InvBal!$L$4:$P$600,4,FALSE),"Pend")</f>
        <v>Pend</v>
      </c>
      <c r="AR589" t="str">
        <f>IFERROR(VLOOKUP(D589,Manual!$C$1:$E$22,2,FALSE),"Pend")</f>
        <v>Pend</v>
      </c>
      <c r="AS589" t="str">
        <f t="shared" si="218"/>
        <v>Yes</v>
      </c>
      <c r="AT589" t="str">
        <f t="shared" si="219"/>
        <v>Yes</v>
      </c>
      <c r="AU589" s="51" t="str">
        <f t="shared" si="220"/>
        <v>Yes</v>
      </c>
      <c r="AV589" s="12">
        <f>IFERROR(VLOOKUP(D589,'Receivable Invoice Detail'!$S$1:$U$3014,3,FALSE),0)</f>
        <v>0</v>
      </c>
      <c r="AW589" s="12">
        <f t="shared" si="221"/>
        <v>230.14527349138766</v>
      </c>
    </row>
    <row r="590" spans="1:49" ht="30" x14ac:dyDescent="0.25">
      <c r="A590" s="2">
        <v>1</v>
      </c>
      <c r="B590" s="2" t="s">
        <v>1286</v>
      </c>
      <c r="C590" s="2" t="s">
        <v>1287</v>
      </c>
      <c r="D590" s="2" t="s">
        <v>2830</v>
      </c>
      <c r="E590" s="2" t="s">
        <v>1288</v>
      </c>
      <c r="F590" s="3">
        <v>45812.366087962961</v>
      </c>
      <c r="G590" s="3">
        <v>45812.367094907408</v>
      </c>
      <c r="H590" s="4">
        <v>45813</v>
      </c>
      <c r="I590" s="2" t="s">
        <v>21</v>
      </c>
      <c r="J590" s="2" t="s">
        <v>51</v>
      </c>
      <c r="K590" s="2">
        <v>0.7287026704392533</v>
      </c>
      <c r="L590" s="2">
        <v>227.91188606443421</v>
      </c>
      <c r="M590" s="2">
        <v>0</v>
      </c>
      <c r="N590" s="2">
        <v>166.08</v>
      </c>
      <c r="O590" s="2">
        <v>166.08</v>
      </c>
      <c r="P590" s="2"/>
      <c r="Q590" s="2">
        <v>166.08</v>
      </c>
      <c r="R590" s="2" t="s">
        <v>44</v>
      </c>
      <c r="S590" s="2"/>
      <c r="T590" s="2">
        <f t="shared" si="203"/>
        <v>1</v>
      </c>
      <c r="U590" s="18">
        <f t="shared" si="204"/>
        <v>6</v>
      </c>
      <c r="V590" s="18">
        <f t="shared" si="205"/>
        <v>2025</v>
      </c>
      <c r="W590" s="18">
        <f t="shared" si="206"/>
        <v>7</v>
      </c>
      <c r="X590" s="18">
        <f t="shared" si="207"/>
        <v>2025</v>
      </c>
      <c r="Y590" s="2">
        <f t="shared" si="200"/>
        <v>0.72870267043925308</v>
      </c>
      <c r="Z590" t="str">
        <f t="shared" si="201"/>
        <v>SO17277</v>
      </c>
      <c r="AA590" s="11">
        <f t="shared" si="208"/>
        <v>45812.366087962961</v>
      </c>
      <c r="AB590" s="5" t="str">
        <f t="shared" si="209"/>
        <v>INV13054</v>
      </c>
      <c r="AC590" s="5" t="str">
        <f>IFERROR(VLOOKUP(D590,CAARStatus!$A$2:$AA$1600,22,FALSE),"Not invoiced")</f>
        <v>Paid</v>
      </c>
      <c r="AD590" s="11">
        <f>IF(AC590="Paid",IFERROR(VLOOKUP(D590,CAARStatus!$A$2:$AA$1600,6,FALSE),"Pending"),"Pending")</f>
        <v>45845</v>
      </c>
      <c r="AE590" s="5" t="str">
        <f t="shared" si="210"/>
        <v>AZ52-00112386</v>
      </c>
      <c r="AF590" s="5" t="str">
        <f t="shared" si="211"/>
        <v>Motion Industries Inc. (U.S.) - Tucson</v>
      </c>
      <c r="AG590" s="5" t="str">
        <f t="shared" si="212"/>
        <v>USD</v>
      </c>
      <c r="AH590" s="5">
        <f t="shared" si="213"/>
        <v>227.91188606443416</v>
      </c>
      <c r="AI590" s="12">
        <f>IF(L590-N590=0,VLOOKUP(U590,rate!A$4:B$15,2,FALSE)*AH590,IF(AG590="USD",O590,AH590*Y590))</f>
        <v>166.08</v>
      </c>
      <c r="AJ590" s="13">
        <f t="shared" si="214"/>
        <v>0.7287026704392533</v>
      </c>
      <c r="AK590" s="13">
        <f>-IF(AG590="CAD",IFERROR(VLOOKUP(D590,CAARStatus!$A$1:$Y$1600,16,FALSE),0),0)</f>
        <v>0</v>
      </c>
      <c r="AL590" s="13">
        <f>-IF(AG590="USD",IFERROR(VLOOKUP(D590,CAARStatus!$A$1:$Y$1600,11,FALSE),0),0)</f>
        <v>-166.08</v>
      </c>
      <c r="AM590" s="22" t="str">
        <f t="shared" si="215"/>
        <v/>
      </c>
      <c r="AN590" s="12">
        <f t="shared" si="216"/>
        <v>0</v>
      </c>
      <c r="AO590" s="12" t="str">
        <f t="shared" si="217"/>
        <v>Yes</v>
      </c>
      <c r="AP590" t="str">
        <f t="shared" si="202"/>
        <v>Yes</v>
      </c>
      <c r="AQ590" t="str">
        <f>IFERROR(VLOOKUP(Z590,InvBal!$L$4:$P$600,4,FALSE),"Pend")</f>
        <v>Pend</v>
      </c>
      <c r="AR590" t="str">
        <f>IFERROR(VLOOKUP(D590,Manual!$C$1:$E$22,2,FALSE),"Pend")</f>
        <v>Pend</v>
      </c>
      <c r="AS590" t="str">
        <f t="shared" si="218"/>
        <v>Yes</v>
      </c>
      <c r="AT590" t="str">
        <f t="shared" si="219"/>
        <v>Yes</v>
      </c>
      <c r="AU590" s="51" t="str">
        <f t="shared" si="220"/>
        <v>Yes</v>
      </c>
      <c r="AV590" s="12">
        <f>IFERROR(VLOOKUP(D590,'Receivable Invoice Detail'!$S$1:$U$3014,3,FALSE),0)</f>
        <v>0</v>
      </c>
      <c r="AW590" s="12">
        <f t="shared" si="221"/>
        <v>166.08</v>
      </c>
    </row>
    <row r="591" spans="1:49" ht="30" x14ac:dyDescent="0.25">
      <c r="A591" s="2">
        <v>1</v>
      </c>
      <c r="B591" s="2" t="s">
        <v>1284</v>
      </c>
      <c r="C591" s="2" t="s">
        <v>1285</v>
      </c>
      <c r="D591" s="2" t="s">
        <v>2831</v>
      </c>
      <c r="E591" s="2" t="s">
        <v>26</v>
      </c>
      <c r="F591" s="3">
        <v>45812.366967592592</v>
      </c>
      <c r="G591" s="3">
        <v>45812.367708333331</v>
      </c>
      <c r="H591" s="4">
        <v>45751</v>
      </c>
      <c r="I591" s="2" t="s">
        <v>21</v>
      </c>
      <c r="J591" s="2" t="s">
        <v>22</v>
      </c>
      <c r="K591" s="2">
        <v>1</v>
      </c>
      <c r="L591" s="2">
        <v>0</v>
      </c>
      <c r="M591" s="2">
        <v>0</v>
      </c>
      <c r="N591" s="2">
        <v>0</v>
      </c>
      <c r="O591" s="2"/>
      <c r="P591" s="2"/>
      <c r="Q591" s="2"/>
      <c r="R591" s="2" t="s">
        <v>44</v>
      </c>
      <c r="S591" s="2"/>
      <c r="T591" s="2">
        <f t="shared" si="203"/>
        <v>1</v>
      </c>
      <c r="U591" s="18">
        <f t="shared" si="204"/>
        <v>6</v>
      </c>
      <c r="V591" s="18">
        <f t="shared" si="205"/>
        <v>2025</v>
      </c>
      <c r="W591" s="18" t="str">
        <f t="shared" si="206"/>
        <v/>
      </c>
      <c r="X591" s="18" t="str">
        <f t="shared" si="207"/>
        <v/>
      </c>
      <c r="Y591" s="2" t="e">
        <f t="shared" si="200"/>
        <v>#DIV/0!</v>
      </c>
      <c r="Z591" t="str">
        <f t="shared" si="201"/>
        <v>SO17278</v>
      </c>
      <c r="AA591" s="11">
        <f t="shared" si="208"/>
        <v>45812.366967592592</v>
      </c>
      <c r="AB591" s="5" t="str">
        <f t="shared" si="209"/>
        <v>INV13131</v>
      </c>
      <c r="AC591" s="5" t="str">
        <f>IFERROR(VLOOKUP(D591,CAARStatus!$A$2:$AA$1600,22,FALSE),"Not invoiced")</f>
        <v>Not invoiced</v>
      </c>
      <c r="AD591" s="11" t="str">
        <f>IF(AC591="Paid",IFERROR(VLOOKUP(D591,CAARStatus!$A$2:$AA$1600,6,FALSE),"Pending"),"Pending")</f>
        <v>Pending</v>
      </c>
      <c r="AE591" s="5" t="str">
        <f t="shared" si="210"/>
        <v>4500586136 Replacement</v>
      </c>
      <c r="AF591" s="5" t="str">
        <f t="shared" si="211"/>
        <v>Resolute Forest Products - Clermont</v>
      </c>
      <c r="AG591" s="5" t="str">
        <f t="shared" si="212"/>
        <v>CAD</v>
      </c>
      <c r="AH591" s="5">
        <f t="shared" si="213"/>
        <v>0</v>
      </c>
      <c r="AI591" s="12">
        <f>IF(L591-N591=0,VLOOKUP(U591,rate!A$4:B$15,2,FALSE)*AH591,IF(AG591="USD",O591,AH591*Y591))</f>
        <v>0</v>
      </c>
      <c r="AJ591" s="13">
        <f t="shared" si="214"/>
        <v>0</v>
      </c>
      <c r="AK591" s="13">
        <f>-IF(AG591="CAD",IFERROR(VLOOKUP(D591,CAARStatus!$A$1:$Y$1600,16,FALSE),0),0)</f>
        <v>0</v>
      </c>
      <c r="AL591" s="13">
        <f>-IF(AG591="USD",IFERROR(VLOOKUP(D591,CAARStatus!$A$1:$Y$1600,11,FALSE),0),0)</f>
        <v>0</v>
      </c>
      <c r="AM591" s="22">
        <f t="shared" si="215"/>
        <v>0</v>
      </c>
      <c r="AN591" s="12" t="str">
        <f t="shared" si="216"/>
        <v/>
      </c>
      <c r="AO591" s="12" t="str">
        <f t="shared" si="217"/>
        <v>Pend</v>
      </c>
      <c r="AP591" t="str">
        <f t="shared" si="202"/>
        <v>Pend</v>
      </c>
      <c r="AQ591" t="str">
        <f>IFERROR(VLOOKUP(Z591,InvBal!$L$4:$P$600,4,FALSE),"Pend")</f>
        <v>Pend</v>
      </c>
      <c r="AR591" t="str">
        <f>IFERROR(VLOOKUP(D591,Manual!$C$1:$E$22,2,FALSE),"Pend")</f>
        <v>Pend</v>
      </c>
      <c r="AS591" t="str">
        <f t="shared" si="218"/>
        <v/>
      </c>
      <c r="AT591" t="str">
        <f t="shared" si="219"/>
        <v>Yes</v>
      </c>
      <c r="AU591" s="51" t="str">
        <f t="shared" si="220"/>
        <v/>
      </c>
      <c r="AV591" s="12">
        <f>IFERROR(VLOOKUP(D591,'Receivable Invoice Detail'!$S$1:$U$3014,3,FALSE),0)</f>
        <v>0</v>
      </c>
      <c r="AW591" s="12">
        <f t="shared" si="221"/>
        <v>0</v>
      </c>
    </row>
    <row r="592" spans="1:49" ht="30" x14ac:dyDescent="0.25">
      <c r="A592" s="2">
        <v>1</v>
      </c>
      <c r="B592" s="2" t="s">
        <v>1282</v>
      </c>
      <c r="C592" s="2" t="s">
        <v>1283</v>
      </c>
      <c r="D592" s="2" t="s">
        <v>2832</v>
      </c>
      <c r="E592" s="2" t="s">
        <v>80</v>
      </c>
      <c r="F592" s="3">
        <v>45812.449918981481</v>
      </c>
      <c r="G592" s="3">
        <v>45812.451226851852</v>
      </c>
      <c r="H592" s="4">
        <v>45813</v>
      </c>
      <c r="I592" s="2" t="s">
        <v>21</v>
      </c>
      <c r="J592" s="2" t="s">
        <v>22</v>
      </c>
      <c r="K592" s="2">
        <v>1</v>
      </c>
      <c r="L592" s="2">
        <v>154.94</v>
      </c>
      <c r="M592" s="2">
        <v>0</v>
      </c>
      <c r="N592" s="2">
        <v>113.3263125773378</v>
      </c>
      <c r="O592" s="2">
        <v>147.56</v>
      </c>
      <c r="P592" s="2">
        <v>7.38</v>
      </c>
      <c r="Q592" s="2">
        <v>154.94</v>
      </c>
      <c r="R592" s="2" t="s">
        <v>44</v>
      </c>
      <c r="S592" s="2"/>
      <c r="T592" s="2">
        <f t="shared" si="203"/>
        <v>1</v>
      </c>
      <c r="U592" s="18">
        <f t="shared" si="204"/>
        <v>6</v>
      </c>
      <c r="V592" s="18">
        <f t="shared" si="205"/>
        <v>2025</v>
      </c>
      <c r="W592" s="18">
        <f t="shared" si="206"/>
        <v>8</v>
      </c>
      <c r="X592" s="18">
        <f t="shared" si="207"/>
        <v>2025</v>
      </c>
      <c r="Y592" s="2">
        <f t="shared" si="200"/>
        <v>0.73142063106581778</v>
      </c>
      <c r="Z592" t="str">
        <f t="shared" si="201"/>
        <v>SO17282</v>
      </c>
      <c r="AA592" s="11">
        <f t="shared" si="208"/>
        <v>45812.449918981481</v>
      </c>
      <c r="AB592" s="5" t="str">
        <f t="shared" si="209"/>
        <v>INV13087</v>
      </c>
      <c r="AC592" s="5" t="str">
        <f>IFERROR(VLOOKUP(D592,CAARStatus!$A$2:$AA$1600,22,FALSE),"Not invoiced")</f>
        <v>Paid</v>
      </c>
      <c r="AD592" s="11">
        <f>IF(AC592="Paid",IFERROR(VLOOKUP(D592,CAARStatus!$A$2:$AA$1600,6,FALSE),"Pending"),"Pending")</f>
        <v>45881</v>
      </c>
      <c r="AE592" s="5" t="str">
        <f t="shared" si="210"/>
        <v>4500599628</v>
      </c>
      <c r="AF592" s="5" t="str">
        <f t="shared" si="211"/>
        <v>Resolute Forest Products - Dolbeau</v>
      </c>
      <c r="AG592" s="5" t="str">
        <f t="shared" si="212"/>
        <v>CAD</v>
      </c>
      <c r="AH592" s="5">
        <f t="shared" si="213"/>
        <v>147.56</v>
      </c>
      <c r="AI592" s="12">
        <f>IF(L592-N592=0,VLOOKUP(U592,rate!A$4:B$15,2,FALSE)*AH592,IF(AG592="USD",O592,AH592*Y592))</f>
        <v>107.92842832007207</v>
      </c>
      <c r="AJ592" s="13">
        <f t="shared" si="214"/>
        <v>0.73142063106581778</v>
      </c>
      <c r="AK592" s="13">
        <f>-IF(AG592="CAD",IFERROR(VLOOKUP(D592,CAARStatus!$A$1:$Y$1600,16,FALSE),0),0)</f>
        <v>-147.56</v>
      </c>
      <c r="AL592" s="13">
        <f>-IF(AG592="USD",IFERROR(VLOOKUP(D592,CAARStatus!$A$1:$Y$1600,11,FALSE),0),0)</f>
        <v>0</v>
      </c>
      <c r="AM592" s="22">
        <f t="shared" si="215"/>
        <v>0</v>
      </c>
      <c r="AN592" s="12" t="str">
        <f t="shared" si="216"/>
        <v/>
      </c>
      <c r="AO592" s="12" t="str">
        <f t="shared" si="217"/>
        <v>Yes</v>
      </c>
      <c r="AP592" t="str">
        <f t="shared" si="202"/>
        <v>Yes</v>
      </c>
      <c r="AQ592" t="str">
        <f>IFERROR(VLOOKUP(Z592,InvBal!$L$4:$P$600,4,FALSE),"Pend")</f>
        <v>Pend</v>
      </c>
      <c r="AR592" t="str">
        <f>IFERROR(VLOOKUP(D592,Manual!$C$1:$E$22,2,FALSE),"Pend")</f>
        <v>Pend</v>
      </c>
      <c r="AS592" t="str">
        <f t="shared" si="218"/>
        <v>Yes</v>
      </c>
      <c r="AT592" t="str">
        <f t="shared" si="219"/>
        <v>Yes</v>
      </c>
      <c r="AU592" s="51" t="str">
        <f t="shared" si="220"/>
        <v>Yes</v>
      </c>
      <c r="AV592" s="12">
        <f>IFERROR(VLOOKUP(D592,'Receivable Invoice Detail'!$S$1:$U$3014,3,FALSE),0)</f>
        <v>0</v>
      </c>
      <c r="AW592" s="12">
        <f t="shared" si="221"/>
        <v>107.92842832007207</v>
      </c>
    </row>
    <row r="593" spans="1:49" ht="30" x14ac:dyDescent="0.25">
      <c r="A593" s="2">
        <v>1</v>
      </c>
      <c r="B593" s="2" t="s">
        <v>1264</v>
      </c>
      <c r="C593" s="2" t="s">
        <v>1265</v>
      </c>
      <c r="D593" s="2" t="s">
        <v>2841</v>
      </c>
      <c r="E593" s="2" t="s">
        <v>20</v>
      </c>
      <c r="F593" s="3">
        <v>45812.485914351862</v>
      </c>
      <c r="G593" s="3">
        <v>45813.625532407408</v>
      </c>
      <c r="H593" s="4">
        <v>45453</v>
      </c>
      <c r="I593" s="2" t="s">
        <v>21</v>
      </c>
      <c r="J593" s="2" t="s">
        <v>22</v>
      </c>
      <c r="K593" s="2">
        <v>1</v>
      </c>
      <c r="L593" s="2">
        <v>248.38</v>
      </c>
      <c r="M593" s="2">
        <v>0</v>
      </c>
      <c r="N593" s="2">
        <v>181.7353002305843</v>
      </c>
      <c r="O593" s="2">
        <v>236.55</v>
      </c>
      <c r="P593" s="2">
        <v>11.83</v>
      </c>
      <c r="Q593" s="2">
        <v>248.38</v>
      </c>
      <c r="R593" s="2" t="s">
        <v>44</v>
      </c>
      <c r="S593" s="2"/>
      <c r="T593" s="2">
        <f t="shared" si="203"/>
        <v>1</v>
      </c>
      <c r="U593" s="18">
        <f t="shared" si="204"/>
        <v>6</v>
      </c>
      <c r="V593" s="18">
        <f t="shared" si="205"/>
        <v>2025</v>
      </c>
      <c r="W593" s="18">
        <f t="shared" si="206"/>
        <v>8</v>
      </c>
      <c r="X593" s="18">
        <f t="shared" si="207"/>
        <v>2025</v>
      </c>
      <c r="Y593" s="2">
        <f t="shared" si="200"/>
        <v>0.73168250354531084</v>
      </c>
      <c r="Z593" t="str">
        <f t="shared" si="201"/>
        <v>SO17283</v>
      </c>
      <c r="AA593" s="11">
        <f t="shared" si="208"/>
        <v>45812.485914351862</v>
      </c>
      <c r="AB593" s="5" t="str">
        <f t="shared" si="209"/>
        <v>INV13076</v>
      </c>
      <c r="AC593" s="5" t="str">
        <f>IFERROR(VLOOKUP(D593,CAARStatus!$A$2:$AA$1600,22,FALSE),"Not invoiced")</f>
        <v>Paid</v>
      </c>
      <c r="AD593" s="11">
        <f>IF(AC593="Paid",IFERROR(VLOOKUP(D593,CAARStatus!$A$2:$AA$1600,6,FALSE),"Pending"),"Pending")</f>
        <v>45876</v>
      </c>
      <c r="AE593" s="5" t="str">
        <f t="shared" si="210"/>
        <v>4500599579</v>
      </c>
      <c r="AF593" s="5" t="str">
        <f t="shared" si="211"/>
        <v>Resolute Forest Products - Saint-Felicien</v>
      </c>
      <c r="AG593" s="5" t="str">
        <f t="shared" si="212"/>
        <v>CAD</v>
      </c>
      <c r="AH593" s="5">
        <f t="shared" si="213"/>
        <v>236.55</v>
      </c>
      <c r="AI593" s="12">
        <f>IF(L593-N593=0,VLOOKUP(U593,rate!A$4:B$15,2,FALSE)*AH593,IF(AG593="USD",O593,AH593*Y593))</f>
        <v>173.0794962136433</v>
      </c>
      <c r="AJ593" s="13">
        <f t="shared" si="214"/>
        <v>0.73168250354531084</v>
      </c>
      <c r="AK593" s="13">
        <f>-IF(AG593="CAD",IFERROR(VLOOKUP(D593,CAARStatus!$A$1:$Y$1600,16,FALSE),0),0)</f>
        <v>-236.55</v>
      </c>
      <c r="AL593" s="13">
        <f>-IF(AG593="USD",IFERROR(VLOOKUP(D593,CAARStatus!$A$1:$Y$1600,11,FALSE),0),0)</f>
        <v>0</v>
      </c>
      <c r="AM593" s="22">
        <f t="shared" si="215"/>
        <v>0</v>
      </c>
      <c r="AN593" s="12" t="str">
        <f t="shared" si="216"/>
        <v/>
      </c>
      <c r="AO593" s="12" t="str">
        <f t="shared" si="217"/>
        <v>Yes</v>
      </c>
      <c r="AP593" t="str">
        <f t="shared" si="202"/>
        <v>Yes</v>
      </c>
      <c r="AQ593" t="str">
        <f>IFERROR(VLOOKUP(Z593,InvBal!$L$4:$P$600,4,FALSE),"Pend")</f>
        <v>Pend</v>
      </c>
      <c r="AR593" t="str">
        <f>IFERROR(VLOOKUP(D593,Manual!$C$1:$E$22,2,FALSE),"Pend")</f>
        <v>Pend</v>
      </c>
      <c r="AS593" t="str">
        <f t="shared" si="218"/>
        <v>Yes</v>
      </c>
      <c r="AT593" t="str">
        <f t="shared" si="219"/>
        <v>Yes</v>
      </c>
      <c r="AU593" s="51" t="str">
        <f t="shared" si="220"/>
        <v>Yes</v>
      </c>
      <c r="AV593" s="12">
        <f>IFERROR(VLOOKUP(D593,'Receivable Invoice Detail'!$S$1:$U$3014,3,FALSE),0)</f>
        <v>0</v>
      </c>
      <c r="AW593" s="12">
        <f t="shared" si="221"/>
        <v>173.0794962136433</v>
      </c>
    </row>
    <row r="594" spans="1:49" ht="30" x14ac:dyDescent="0.25">
      <c r="A594" s="2">
        <v>1</v>
      </c>
      <c r="B594" s="2" t="s">
        <v>1276</v>
      </c>
      <c r="C594" s="2" t="s">
        <v>1277</v>
      </c>
      <c r="D594" s="2" t="s">
        <v>2835</v>
      </c>
      <c r="E594" s="2" t="s">
        <v>26</v>
      </c>
      <c r="F594" s="3">
        <v>45812.53696759259</v>
      </c>
      <c r="G594" s="3">
        <v>45812.537685185183</v>
      </c>
      <c r="H594" s="4">
        <v>45813</v>
      </c>
      <c r="I594" s="2" t="s">
        <v>21</v>
      </c>
      <c r="J594" s="2" t="s">
        <v>22</v>
      </c>
      <c r="K594" s="2">
        <v>1</v>
      </c>
      <c r="L594" s="2">
        <v>0</v>
      </c>
      <c r="M594" s="2">
        <v>0</v>
      </c>
      <c r="N594" s="2">
        <v>0</v>
      </c>
      <c r="O594" s="2"/>
      <c r="P594" s="2"/>
      <c r="Q594" s="2"/>
      <c r="R594" s="2" t="s">
        <v>44</v>
      </c>
      <c r="S594" s="2"/>
      <c r="T594" s="2">
        <f t="shared" si="203"/>
        <v>1</v>
      </c>
      <c r="U594" s="18">
        <f t="shared" si="204"/>
        <v>6</v>
      </c>
      <c r="V594" s="18">
        <f t="shared" si="205"/>
        <v>2025</v>
      </c>
      <c r="W594" s="18" t="str">
        <f t="shared" si="206"/>
        <v/>
      </c>
      <c r="X594" s="18" t="str">
        <f t="shared" si="207"/>
        <v/>
      </c>
      <c r="Y594" s="2" t="e">
        <f t="shared" si="200"/>
        <v>#DIV/0!</v>
      </c>
      <c r="Z594" t="str">
        <f t="shared" si="201"/>
        <v>SO17284</v>
      </c>
      <c r="AA594" s="11">
        <f t="shared" si="208"/>
        <v>45812.53696759259</v>
      </c>
      <c r="AB594" s="5" t="str">
        <f t="shared" si="209"/>
        <v>INV13132</v>
      </c>
      <c r="AC594" s="5" t="str">
        <f>IFERROR(VLOOKUP(D594,CAARStatus!$A$2:$AA$1600,22,FALSE),"Not invoiced")</f>
        <v>Not invoiced</v>
      </c>
      <c r="AD594" s="11" t="str">
        <f>IF(AC594="Paid",IFERROR(VLOOKUP(D594,CAARStatus!$A$2:$AA$1600,6,FALSE),"Pending"),"Pending")</f>
        <v>Pending</v>
      </c>
      <c r="AE594" s="5" t="str">
        <f t="shared" si="210"/>
        <v>4500586136-Replacment</v>
      </c>
      <c r="AF594" s="5" t="str">
        <f t="shared" si="211"/>
        <v>Resolute Forest Products - Clermont</v>
      </c>
      <c r="AG594" s="5" t="str">
        <f t="shared" si="212"/>
        <v>CAD</v>
      </c>
      <c r="AH594" s="5">
        <f t="shared" si="213"/>
        <v>0</v>
      </c>
      <c r="AI594" s="12">
        <f>IF(L594-N594=0,VLOOKUP(U594,rate!A$4:B$15,2,FALSE)*AH594,IF(AG594="USD",O594,AH594*Y594))</f>
        <v>0</v>
      </c>
      <c r="AJ594" s="13">
        <f t="shared" si="214"/>
        <v>0</v>
      </c>
      <c r="AK594" s="13">
        <f>-IF(AG594="CAD",IFERROR(VLOOKUP(D594,CAARStatus!$A$1:$Y$1600,16,FALSE),0),0)</f>
        <v>0</v>
      </c>
      <c r="AL594" s="13">
        <f>-IF(AG594="USD",IFERROR(VLOOKUP(D594,CAARStatus!$A$1:$Y$1600,11,FALSE),0),0)</f>
        <v>0</v>
      </c>
      <c r="AM594" s="22">
        <f t="shared" si="215"/>
        <v>0</v>
      </c>
      <c r="AN594" s="12" t="str">
        <f t="shared" si="216"/>
        <v/>
      </c>
      <c r="AO594" s="12" t="str">
        <f t="shared" si="217"/>
        <v>Pend</v>
      </c>
      <c r="AP594" t="str">
        <f t="shared" si="202"/>
        <v>Pend</v>
      </c>
      <c r="AQ594" t="str">
        <f>IFERROR(VLOOKUP(Z594,InvBal!$L$4:$P$600,4,FALSE),"Pend")</f>
        <v>Pend</v>
      </c>
      <c r="AR594" t="str">
        <f>IFERROR(VLOOKUP(D594,Manual!$C$1:$E$22,2,FALSE),"Pend")</f>
        <v>Pend</v>
      </c>
      <c r="AS594" t="str">
        <f t="shared" si="218"/>
        <v/>
      </c>
      <c r="AT594" t="str">
        <f t="shared" si="219"/>
        <v>Yes</v>
      </c>
      <c r="AU594" s="51" t="str">
        <f t="shared" si="220"/>
        <v/>
      </c>
      <c r="AV594" s="12">
        <f>IFERROR(VLOOKUP(D594,'Receivable Invoice Detail'!$S$1:$U$3014,3,FALSE),0)</f>
        <v>0</v>
      </c>
      <c r="AW594" s="12">
        <f t="shared" si="221"/>
        <v>0</v>
      </c>
    </row>
    <row r="595" spans="1:49" x14ac:dyDescent="0.25">
      <c r="A595" s="2">
        <v>1</v>
      </c>
      <c r="B595" s="2" t="s">
        <v>377</v>
      </c>
      <c r="C595" s="2" t="s">
        <v>378</v>
      </c>
      <c r="D595" s="2" t="s">
        <v>3298</v>
      </c>
      <c r="E595" s="2" t="s">
        <v>245</v>
      </c>
      <c r="F595" s="3">
        <v>45812.538773148153</v>
      </c>
      <c r="G595" s="3">
        <v>45950.333807870367</v>
      </c>
      <c r="H595" s="4">
        <v>45951</v>
      </c>
      <c r="I595" s="2" t="s">
        <v>21</v>
      </c>
      <c r="J595" s="2" t="s">
        <v>22</v>
      </c>
      <c r="K595" s="2">
        <v>1</v>
      </c>
      <c r="L595" s="2">
        <v>286.76</v>
      </c>
      <c r="M595" s="2">
        <v>0</v>
      </c>
      <c r="N595" s="2">
        <v>204.38087953342111</v>
      </c>
      <c r="O595" s="2">
        <v>273.10000000000002</v>
      </c>
      <c r="P595" s="2">
        <v>13.66</v>
      </c>
      <c r="Q595" s="2">
        <v>286.76</v>
      </c>
      <c r="R595" s="2" t="s">
        <v>44</v>
      </c>
      <c r="S595" s="2"/>
      <c r="T595" s="2">
        <f t="shared" si="203"/>
        <v>1</v>
      </c>
      <c r="U595" s="18">
        <f t="shared" si="204"/>
        <v>6</v>
      </c>
      <c r="V595" s="18">
        <f t="shared" si="205"/>
        <v>2025</v>
      </c>
      <c r="W595" s="18">
        <f t="shared" si="206"/>
        <v>11</v>
      </c>
      <c r="X595" s="18">
        <f t="shared" si="207"/>
        <v>2025</v>
      </c>
      <c r="Y595" s="2">
        <f t="shared" si="200"/>
        <v>0.71272450667255238</v>
      </c>
      <c r="Z595" t="str">
        <f t="shared" si="201"/>
        <v>SO17285</v>
      </c>
      <c r="AA595" s="11">
        <f t="shared" si="208"/>
        <v>45812.538773148153</v>
      </c>
      <c r="AB595" s="5" t="str">
        <f t="shared" si="209"/>
        <v>INV13544</v>
      </c>
      <c r="AC595" s="5" t="str">
        <f>IFERROR(VLOOKUP(D595,CAARStatus!$A$2:$AA$1600,22,FALSE),"Not invoiced")</f>
        <v>Paid</v>
      </c>
      <c r="AD595" s="11">
        <f>IF(AC595="Paid",IFERROR(VLOOKUP(D595,CAARStatus!$A$2:$AA$1600,6,FALSE),"Pending"),"Pending")</f>
        <v>45979</v>
      </c>
      <c r="AE595" s="5" t="str">
        <f t="shared" si="210"/>
        <v>21868</v>
      </c>
      <c r="AF595" s="5" t="str">
        <f t="shared" si="211"/>
        <v>DRN Industriel</v>
      </c>
      <c r="AG595" s="5" t="str">
        <f t="shared" si="212"/>
        <v>CAD</v>
      </c>
      <c r="AH595" s="5">
        <f t="shared" si="213"/>
        <v>273.10000000000002</v>
      </c>
      <c r="AI595" s="12">
        <f>IF(L595-N595=0,VLOOKUP(U595,rate!A$4:B$15,2,FALSE)*AH595,IF(AG595="USD",O595,AH595*Y595))</f>
        <v>194.64506277227406</v>
      </c>
      <c r="AJ595" s="13">
        <f t="shared" si="214"/>
        <v>0.71272450667255238</v>
      </c>
      <c r="AK595" s="13">
        <f>-IF(AG595="CAD",IFERROR(VLOOKUP(D595,CAARStatus!$A$1:$Y$1600,16,FALSE),0),0)</f>
        <v>-273.10000000000002</v>
      </c>
      <c r="AL595" s="13">
        <f>-IF(AG595="USD",IFERROR(VLOOKUP(D595,CAARStatus!$A$1:$Y$1600,11,FALSE),0),0)</f>
        <v>0</v>
      </c>
      <c r="AM595" s="22">
        <f t="shared" si="215"/>
        <v>0</v>
      </c>
      <c r="AN595" s="12" t="str">
        <f t="shared" si="216"/>
        <v/>
      </c>
      <c r="AO595" s="12" t="str">
        <f t="shared" si="217"/>
        <v>Yes</v>
      </c>
      <c r="AP595" t="str">
        <f t="shared" si="202"/>
        <v>Yes</v>
      </c>
      <c r="AQ595" t="str">
        <f>IFERROR(VLOOKUP(Z595,InvBal!$L$4:$P$600,4,FALSE),"Pend")</f>
        <v>Pend</v>
      </c>
      <c r="AR595" t="str">
        <f>IFERROR(VLOOKUP(D595,Manual!$C$1:$E$22,2,FALSE),"Pend")</f>
        <v>Pend</v>
      </c>
      <c r="AS595" t="str">
        <f t="shared" si="218"/>
        <v>Yes</v>
      </c>
      <c r="AT595" t="str">
        <f t="shared" si="219"/>
        <v>Yes</v>
      </c>
      <c r="AU595" s="51" t="str">
        <f t="shared" si="220"/>
        <v>Yes</v>
      </c>
      <c r="AV595" s="12">
        <f>IFERROR(VLOOKUP(D595,'Receivable Invoice Detail'!$S$1:$U$3014,3,FALSE),0)</f>
        <v>0</v>
      </c>
      <c r="AW595" s="12">
        <f t="shared" si="221"/>
        <v>194.64506277227406</v>
      </c>
    </row>
    <row r="596" spans="1:49" ht="30" x14ac:dyDescent="0.25">
      <c r="A596" s="2">
        <v>1</v>
      </c>
      <c r="B596" s="2" t="s">
        <v>1255</v>
      </c>
      <c r="C596" s="2" t="s">
        <v>1256</v>
      </c>
      <c r="D596" s="2" t="s">
        <v>2847</v>
      </c>
      <c r="E596" s="2" t="s">
        <v>864</v>
      </c>
      <c r="F596" s="3">
        <v>45812.544976851852</v>
      </c>
      <c r="G596" s="3">
        <v>45817.350104166668</v>
      </c>
      <c r="H596" s="4">
        <v>45818</v>
      </c>
      <c r="I596" s="2" t="s">
        <v>21</v>
      </c>
      <c r="J596" s="2" t="s">
        <v>22</v>
      </c>
      <c r="K596" s="2">
        <v>1</v>
      </c>
      <c r="L596" s="2">
        <v>889.12</v>
      </c>
      <c r="M596" s="2">
        <v>0</v>
      </c>
      <c r="N596" s="2">
        <v>650.09066551502087</v>
      </c>
      <c r="O596" s="2">
        <v>846.78</v>
      </c>
      <c r="P596" s="2">
        <v>42.34</v>
      </c>
      <c r="Q596" s="2">
        <v>889.12</v>
      </c>
      <c r="R596" s="2" t="s">
        <v>44</v>
      </c>
      <c r="S596" s="2"/>
      <c r="T596" s="2">
        <f t="shared" si="203"/>
        <v>1</v>
      </c>
      <c r="U596" s="18">
        <f t="shared" si="204"/>
        <v>6</v>
      </c>
      <c r="V596" s="18">
        <f t="shared" si="205"/>
        <v>2025</v>
      </c>
      <c r="W596" s="18">
        <f t="shared" si="206"/>
        <v>7</v>
      </c>
      <c r="X596" s="18">
        <f t="shared" si="207"/>
        <v>2025</v>
      </c>
      <c r="Y596" s="2">
        <f t="shared" si="200"/>
        <v>0.7311618966112795</v>
      </c>
      <c r="Z596" t="str">
        <f t="shared" si="201"/>
        <v>SO17286</v>
      </c>
      <c r="AA596" s="11">
        <f t="shared" si="208"/>
        <v>45812.544976851852</v>
      </c>
      <c r="AB596" s="5" t="str">
        <f t="shared" si="209"/>
        <v>INV13078</v>
      </c>
      <c r="AC596" s="5" t="str">
        <f>IFERROR(VLOOKUP(D596,CAARStatus!$A$2:$AA$1600,22,FALSE),"Not invoiced")</f>
        <v>Paid</v>
      </c>
      <c r="AD596" s="11">
        <f>IF(AC596="Paid",IFERROR(VLOOKUP(D596,CAARStatus!$A$2:$AA$1600,6,FALSE),"Pending"),"Pending")</f>
        <v>45854</v>
      </c>
      <c r="AE596" s="5" t="str">
        <f t="shared" si="210"/>
        <v>2100590458</v>
      </c>
      <c r="AF596" s="5" t="str">
        <f t="shared" si="211"/>
        <v>Wajax Limited - Pointe-aux-Trembles</v>
      </c>
      <c r="AG596" s="5" t="str">
        <f t="shared" si="212"/>
        <v>CAD</v>
      </c>
      <c r="AH596" s="5">
        <f t="shared" si="213"/>
        <v>846.78</v>
      </c>
      <c r="AI596" s="12">
        <f>IF(L596-N596=0,VLOOKUP(U596,rate!A$4:B$15,2,FALSE)*AH596,IF(AG596="USD",O596,AH596*Y596))</f>
        <v>619.13327081249929</v>
      </c>
      <c r="AJ596" s="13">
        <f t="shared" si="214"/>
        <v>0.73116189661127962</v>
      </c>
      <c r="AK596" s="13">
        <f>-IF(AG596="CAD",IFERROR(VLOOKUP(D596,CAARStatus!$A$1:$Y$1600,16,FALSE),0),0)</f>
        <v>-846.78</v>
      </c>
      <c r="AL596" s="13">
        <f>-IF(AG596="USD",IFERROR(VLOOKUP(D596,CAARStatus!$A$1:$Y$1600,11,FALSE),0),0)</f>
        <v>0</v>
      </c>
      <c r="AM596" s="22">
        <f t="shared" si="215"/>
        <v>0</v>
      </c>
      <c r="AN596" s="12" t="str">
        <f t="shared" si="216"/>
        <v/>
      </c>
      <c r="AO596" s="12" t="str">
        <f t="shared" si="217"/>
        <v>Yes</v>
      </c>
      <c r="AP596" t="str">
        <f t="shared" si="202"/>
        <v>Yes</v>
      </c>
      <c r="AQ596" t="str">
        <f>IFERROR(VLOOKUP(Z596,InvBal!$L$4:$P$600,4,FALSE),"Pend")</f>
        <v>Pend</v>
      </c>
      <c r="AR596" t="str">
        <f>IFERROR(VLOOKUP(D596,Manual!$C$1:$E$22,2,FALSE),"Pend")</f>
        <v>Pend</v>
      </c>
      <c r="AS596" t="str">
        <f t="shared" si="218"/>
        <v>Yes</v>
      </c>
      <c r="AT596" t="str">
        <f t="shared" si="219"/>
        <v>Yes</v>
      </c>
      <c r="AU596" s="51" t="str">
        <f t="shared" si="220"/>
        <v>Yes</v>
      </c>
      <c r="AV596" s="12">
        <f>IFERROR(VLOOKUP(D596,'Receivable Invoice Detail'!$S$1:$U$3014,3,FALSE),0)</f>
        <v>0</v>
      </c>
      <c r="AW596" s="12">
        <f t="shared" si="221"/>
        <v>619.13327081249929</v>
      </c>
    </row>
    <row r="597" spans="1:49" ht="30" x14ac:dyDescent="0.25">
      <c r="A597" s="2">
        <v>1</v>
      </c>
      <c r="B597" s="2" t="s">
        <v>1271</v>
      </c>
      <c r="C597" s="2" t="s">
        <v>1272</v>
      </c>
      <c r="D597" s="2" t="s">
        <v>2837</v>
      </c>
      <c r="E597" s="2" t="s">
        <v>129</v>
      </c>
      <c r="F597" s="3">
        <v>45813.421666666669</v>
      </c>
      <c r="G597" s="3">
        <v>45813.421493055554</v>
      </c>
      <c r="H597" s="4">
        <v>45891</v>
      </c>
      <c r="I597" s="2" t="s">
        <v>130</v>
      </c>
      <c r="J597" s="2" t="s">
        <v>51</v>
      </c>
      <c r="K597" s="2">
        <v>0.73142063106581767</v>
      </c>
      <c r="L597" s="2">
        <v>3459.0219260199342</v>
      </c>
      <c r="M597" s="2">
        <v>0</v>
      </c>
      <c r="N597" s="2">
        <v>2530</v>
      </c>
      <c r="O597" s="2">
        <v>2530</v>
      </c>
      <c r="P597" s="2"/>
      <c r="Q597" s="2">
        <v>2530</v>
      </c>
      <c r="R597" s="2" t="s">
        <v>44</v>
      </c>
      <c r="S597" s="2"/>
      <c r="T597" s="2">
        <f t="shared" si="203"/>
        <v>1</v>
      </c>
      <c r="U597" s="18">
        <f t="shared" si="204"/>
        <v>6</v>
      </c>
      <c r="V597" s="18">
        <f t="shared" si="205"/>
        <v>2025</v>
      </c>
      <c r="W597" s="18" t="str">
        <f t="shared" si="206"/>
        <v/>
      </c>
      <c r="X597" s="18" t="str">
        <f t="shared" si="207"/>
        <v/>
      </c>
      <c r="Y597" s="2">
        <f t="shared" si="200"/>
        <v>0.73142063106581756</v>
      </c>
      <c r="Z597" t="str">
        <f t="shared" si="201"/>
        <v>SO17289</v>
      </c>
      <c r="AA597" s="11">
        <f t="shared" si="208"/>
        <v>45813.421666666669</v>
      </c>
      <c r="AB597" s="5" t="str">
        <f t="shared" si="209"/>
        <v>INV13316</v>
      </c>
      <c r="AC597" s="5" t="str">
        <f>IFERROR(VLOOKUP(D597,CAARStatus!$A$2:$AA$1600,22,FALSE),"Not invoiced")</f>
        <v>Approved</v>
      </c>
      <c r="AD597" s="11" t="str">
        <f>IF(AC597="Paid",IFERROR(VLOOKUP(D597,CAARStatus!$A$2:$AA$1600,6,FALSE),"Pending"),"Pending")</f>
        <v>Pending</v>
      </c>
      <c r="AE597" s="5" t="str">
        <f t="shared" si="210"/>
        <v>OC00172</v>
      </c>
      <c r="AF597" s="5" t="str">
        <f t="shared" si="211"/>
        <v>Dynapro Pumps México S de RL de CV</v>
      </c>
      <c r="AG597" s="5" t="str">
        <f t="shared" si="212"/>
        <v>USD</v>
      </c>
      <c r="AH597" s="5">
        <f t="shared" si="213"/>
        <v>3459.0219260199337</v>
      </c>
      <c r="AI597" s="12">
        <f>IF(L597-N597=0,VLOOKUP(U597,rate!A$4:B$15,2,FALSE)*AH597,IF(AG597="USD",O597,AH597*Y597))</f>
        <v>2530</v>
      </c>
      <c r="AJ597" s="13">
        <f t="shared" si="214"/>
        <v>0.73142063106581767</v>
      </c>
      <c r="AK597" s="13">
        <f>-IF(AG597="CAD",IFERROR(VLOOKUP(D597,CAARStatus!$A$1:$Y$1600,16,FALSE),0),0)</f>
        <v>0</v>
      </c>
      <c r="AL597" s="13">
        <f>-IF(AG597="USD",IFERROR(VLOOKUP(D597,CAARStatus!$A$1:$Y$1600,11,FALSE),0),0)</f>
        <v>-2530</v>
      </c>
      <c r="AM597" s="22" t="str">
        <f t="shared" si="215"/>
        <v/>
      </c>
      <c r="AN597" s="12">
        <f t="shared" si="216"/>
        <v>0</v>
      </c>
      <c r="AO597" s="12" t="str">
        <f t="shared" si="217"/>
        <v>Pend</v>
      </c>
      <c r="AP597" t="str">
        <f t="shared" si="202"/>
        <v>Pend</v>
      </c>
      <c r="AQ597" t="str">
        <f>IFERROR(VLOOKUP(Z597,InvBal!$L$4:$P$600,4,FALSE),"Pend")</f>
        <v>Pend</v>
      </c>
      <c r="AR597" t="str">
        <f>IFERROR(VLOOKUP(D597,Manual!$C$1:$E$22,2,FALSE),"Pend")</f>
        <v>Pend</v>
      </c>
      <c r="AS597" t="str">
        <f t="shared" si="218"/>
        <v/>
      </c>
      <c r="AT597" t="str">
        <f t="shared" si="219"/>
        <v>Yes</v>
      </c>
      <c r="AU597" s="51" t="str">
        <f t="shared" si="220"/>
        <v/>
      </c>
      <c r="AV597" s="12">
        <f>IFERROR(VLOOKUP(D597,'Receivable Invoice Detail'!$S$1:$U$3014,3,FALSE),0)</f>
        <v>0</v>
      </c>
      <c r="AW597" s="12">
        <f t="shared" si="221"/>
        <v>0</v>
      </c>
    </row>
    <row r="598" spans="1:49" x14ac:dyDescent="0.25">
      <c r="A598" s="2">
        <v>2</v>
      </c>
      <c r="B598" s="2" t="s">
        <v>1266</v>
      </c>
      <c r="C598" s="2" t="s">
        <v>1267</v>
      </c>
      <c r="D598" s="2" t="s">
        <v>2840</v>
      </c>
      <c r="E598" s="2" t="s">
        <v>1268</v>
      </c>
      <c r="F598" s="3">
        <v>45813.605358796303</v>
      </c>
      <c r="G598" s="3">
        <v>45813.614884259259</v>
      </c>
      <c r="H598" s="4">
        <v>45925</v>
      </c>
      <c r="I598" s="2" t="s">
        <v>21</v>
      </c>
      <c r="J598" s="2" t="s">
        <v>22</v>
      </c>
      <c r="K598" s="2">
        <v>1</v>
      </c>
      <c r="L598" s="2">
        <v>8789.85</v>
      </c>
      <c r="M598" s="2">
        <v>0</v>
      </c>
      <c r="N598" s="2">
        <v>6431.3794537877511</v>
      </c>
      <c r="O598" s="2">
        <v>7778.63</v>
      </c>
      <c r="P598" s="2">
        <v>1011.22</v>
      </c>
      <c r="Q598" s="2">
        <v>8789.85</v>
      </c>
      <c r="R598" s="2" t="s">
        <v>44</v>
      </c>
      <c r="S598" s="2"/>
      <c r="T598" s="2">
        <f t="shared" si="203"/>
        <v>2</v>
      </c>
      <c r="U598" s="18">
        <f t="shared" si="204"/>
        <v>6</v>
      </c>
      <c r="V598" s="18">
        <f t="shared" si="205"/>
        <v>2025</v>
      </c>
      <c r="W598" s="18">
        <f t="shared" si="206"/>
        <v>8</v>
      </c>
      <c r="X598" s="18">
        <f t="shared" si="207"/>
        <v>2025</v>
      </c>
      <c r="Y598" s="2">
        <f t="shared" si="200"/>
        <v>0.73168250354531084</v>
      </c>
      <c r="Z598" t="str">
        <f t="shared" si="201"/>
        <v>SO17291</v>
      </c>
      <c r="AA598" s="11">
        <f t="shared" si="208"/>
        <v>45813.605358796303</v>
      </c>
      <c r="AB598" s="5" t="str">
        <f t="shared" si="209"/>
        <v>INV13138</v>
      </c>
      <c r="AC598" s="5" t="str">
        <f>IFERROR(VLOOKUP(D598,CAARStatus!$A$2:$AA$1600,22,FALSE),"Not invoiced")</f>
        <v>Paid</v>
      </c>
      <c r="AD598" s="11">
        <f>IF(AC598="Paid",IFERROR(VLOOKUP(D598,CAARStatus!$A$2:$AA$1600,6,FALSE),"Pending"),"Pending")</f>
        <v>45877</v>
      </c>
      <c r="AE598" s="5" t="str">
        <f t="shared" si="210"/>
        <v>PO-1813</v>
      </c>
      <c r="AF598" s="5" t="str">
        <f t="shared" si="211"/>
        <v>EcoVac Solutions Ltd.</v>
      </c>
      <c r="AG598" s="5" t="str">
        <f t="shared" si="212"/>
        <v>CAD</v>
      </c>
      <c r="AH598" s="5">
        <f t="shared" si="213"/>
        <v>7778.63</v>
      </c>
      <c r="AI598" s="12">
        <f>IF(L598-N598=0,VLOOKUP(U598,rate!A$4:B$15,2,FALSE)*AH598,IF(AG598="USD",O598,AH598*Y598))</f>
        <v>5691.4874725526615</v>
      </c>
      <c r="AJ598" s="13">
        <f t="shared" si="214"/>
        <v>0.73168250354531084</v>
      </c>
      <c r="AK598" s="13">
        <f>-IF(AG598="CAD",IFERROR(VLOOKUP(D598,CAARStatus!$A$1:$Y$1600,16,FALSE),0),0)</f>
        <v>-4798.24</v>
      </c>
      <c r="AL598" s="13">
        <f>-IF(AG598="USD",IFERROR(VLOOKUP(D598,CAARStatus!$A$1:$Y$1600,11,FALSE),0),0)</f>
        <v>0</v>
      </c>
      <c r="AM598" s="22">
        <f t="shared" si="215"/>
        <v>2980.3900000000003</v>
      </c>
      <c r="AN598" s="12" t="str">
        <f t="shared" si="216"/>
        <v/>
      </c>
      <c r="AO598" s="12" t="str">
        <f t="shared" si="217"/>
        <v>Yes</v>
      </c>
      <c r="AP598" t="str">
        <f t="shared" si="202"/>
        <v>XX</v>
      </c>
      <c r="AQ598" t="str">
        <f>IFERROR(VLOOKUP(Z598,InvBal!$L$4:$P$600,4,FALSE),"Pend")</f>
        <v>Yes</v>
      </c>
      <c r="AR598" t="str">
        <f>IFERROR(VLOOKUP(D598,Manual!$C$1:$E$22,2,FALSE),"Pend")</f>
        <v>Pend</v>
      </c>
      <c r="AS598" t="str">
        <f t="shared" si="218"/>
        <v>Yes</v>
      </c>
      <c r="AT598" t="str">
        <f t="shared" si="219"/>
        <v>Yes</v>
      </c>
      <c r="AU598" s="51" t="str">
        <f t="shared" si="220"/>
        <v>Yes</v>
      </c>
      <c r="AV598" s="12">
        <f>IFERROR(VLOOKUP(D598,'Receivable Invoice Detail'!$S$1:$U$3014,3,FALSE),0)</f>
        <v>0</v>
      </c>
      <c r="AW598" s="12">
        <f t="shared" si="221"/>
        <v>5691.4874725526615</v>
      </c>
    </row>
    <row r="599" spans="1:49" x14ac:dyDescent="0.25">
      <c r="A599" s="2"/>
      <c r="B599" s="2"/>
      <c r="C599" s="2"/>
      <c r="D599" s="2" t="s">
        <v>2839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>
        <f t="shared" si="203"/>
        <v>2</v>
      </c>
      <c r="U599" s="18">
        <f t="shared" si="204"/>
        <v>6</v>
      </c>
      <c r="V599" s="18">
        <f t="shared" si="205"/>
        <v>2025</v>
      </c>
      <c r="W599" s="18">
        <f t="shared" si="206"/>
        <v>9</v>
      </c>
      <c r="X599" s="18">
        <f t="shared" si="207"/>
        <v>2025</v>
      </c>
      <c r="Y599" s="2">
        <f t="shared" si="200"/>
        <v>0.73168250354531084</v>
      </c>
      <c r="Z599" t="str">
        <f t="shared" si="201"/>
        <v>SO17291</v>
      </c>
      <c r="AA599" s="11">
        <f t="shared" si="208"/>
        <v>45813.605358796303</v>
      </c>
      <c r="AB599" s="5" t="str">
        <f t="shared" si="209"/>
        <v>INV13311</v>
      </c>
      <c r="AC599" s="5" t="str">
        <f>IFERROR(VLOOKUP(D599,CAARStatus!$A$2:$AA$1600,22,FALSE),"Not invoiced")</f>
        <v>Paid</v>
      </c>
      <c r="AD599" s="11">
        <f>IF(AC599="Paid",IFERROR(VLOOKUP(D599,CAARStatus!$A$2:$AA$1600,6,FALSE),"Pending"),"Pending")</f>
        <v>45922</v>
      </c>
      <c r="AE599" s="5" t="str">
        <f t="shared" si="210"/>
        <v>PO-1813</v>
      </c>
      <c r="AF599" s="5" t="str">
        <f t="shared" si="211"/>
        <v>EcoVac Solutions Ltd.</v>
      </c>
      <c r="AG599" s="5" t="str">
        <f t="shared" si="212"/>
        <v>CAD</v>
      </c>
      <c r="AH599" s="5">
        <f t="shared" si="213"/>
        <v>0</v>
      </c>
      <c r="AI599" s="12">
        <f>IF(L599-N599=0,VLOOKUP(U599,rate!A$4:B$15,2,FALSE)*AH599,IF(AG599="USD",O599,AH599*Y599))</f>
        <v>0</v>
      </c>
      <c r="AJ599" s="13">
        <f t="shared" si="214"/>
        <v>0</v>
      </c>
      <c r="AK599" s="13">
        <f>-IF(AG599="CAD",IFERROR(VLOOKUP(D599,CAARStatus!$A$1:$Y$1600,16,FALSE),0),0)</f>
        <v>-2980.39</v>
      </c>
      <c r="AL599" s="13">
        <f>-IF(AG599="USD",IFERROR(VLOOKUP(D599,CAARStatus!$A$1:$Y$1600,11,FALSE),0),0)</f>
        <v>0</v>
      </c>
      <c r="AM599" s="22">
        <f t="shared" si="215"/>
        <v>-2980.39</v>
      </c>
      <c r="AN599" s="12" t="str">
        <f t="shared" si="216"/>
        <v/>
      </c>
      <c r="AO599" s="12" t="str">
        <f t="shared" si="217"/>
        <v>Yes</v>
      </c>
      <c r="AP599" t="str">
        <f t="shared" si="202"/>
        <v>XX</v>
      </c>
      <c r="AQ599" t="str">
        <f>IFERROR(VLOOKUP(Z599,InvBal!$L$4:$P$600,4,FALSE),"Pend")</f>
        <v>Yes</v>
      </c>
      <c r="AR599" t="str">
        <f>IFERROR(VLOOKUP(D599,Manual!$C$1:$E$22,2,FALSE),"Pend")</f>
        <v>Pend</v>
      </c>
      <c r="AS599" t="str">
        <f t="shared" si="218"/>
        <v>Yes</v>
      </c>
      <c r="AT599" t="str">
        <f t="shared" si="219"/>
        <v/>
      </c>
      <c r="AU599" s="51" t="str">
        <f t="shared" si="220"/>
        <v/>
      </c>
      <c r="AV599" s="12">
        <f>IFERROR(VLOOKUP(D599,'Receivable Invoice Detail'!$S$1:$U$3014,3,FALSE),0)</f>
        <v>0</v>
      </c>
      <c r="AW599" s="12">
        <f t="shared" si="221"/>
        <v>0</v>
      </c>
    </row>
    <row r="600" spans="1:49" ht="30" x14ac:dyDescent="0.25">
      <c r="A600" s="2">
        <v>2</v>
      </c>
      <c r="B600" s="2" t="s">
        <v>1165</v>
      </c>
      <c r="C600" s="2" t="s">
        <v>1166</v>
      </c>
      <c r="D600" s="2" t="s">
        <v>2898</v>
      </c>
      <c r="E600" s="2" t="s">
        <v>369</v>
      </c>
      <c r="F600" s="3">
        <v>45813.670486111107</v>
      </c>
      <c r="G600" s="3">
        <v>45829.670486111107</v>
      </c>
      <c r="H600" s="4">
        <v>45838</v>
      </c>
      <c r="I600" s="2" t="s">
        <v>21</v>
      </c>
      <c r="J600" s="2" t="s">
        <v>51</v>
      </c>
      <c r="K600" s="2">
        <v>0.72839293326389742</v>
      </c>
      <c r="L600" s="2">
        <v>13638.31188680806</v>
      </c>
      <c r="M600" s="2">
        <v>0</v>
      </c>
      <c r="N600" s="2">
        <v>9934.0499999999993</v>
      </c>
      <c r="O600" s="2">
        <v>9934.0499999999993</v>
      </c>
      <c r="P600" s="2"/>
      <c r="Q600" s="2">
        <v>9934.0499999999993</v>
      </c>
      <c r="R600" s="2" t="s">
        <v>44</v>
      </c>
      <c r="S600" s="2"/>
      <c r="T600" s="2">
        <f t="shared" si="203"/>
        <v>2</v>
      </c>
      <c r="U600" s="18">
        <f t="shared" si="204"/>
        <v>6</v>
      </c>
      <c r="V600" s="18">
        <f t="shared" si="205"/>
        <v>2025</v>
      </c>
      <c r="W600" s="18">
        <f t="shared" si="206"/>
        <v>7</v>
      </c>
      <c r="X600" s="18">
        <f t="shared" si="207"/>
        <v>2025</v>
      </c>
      <c r="Y600" s="2">
        <f t="shared" si="200"/>
        <v>0.7283929332638972</v>
      </c>
      <c r="Z600" t="str">
        <f t="shared" si="201"/>
        <v>SO17293</v>
      </c>
      <c r="AA600" s="11">
        <f t="shared" si="208"/>
        <v>45813.670486111107</v>
      </c>
      <c r="AB600" s="5" t="str">
        <f t="shared" si="209"/>
        <v>INV13147</v>
      </c>
      <c r="AC600" s="5" t="str">
        <f>IFERROR(VLOOKUP(D600,CAARStatus!$A$2:$AA$1600,22,FALSE),"Not invoiced")</f>
        <v>Paid</v>
      </c>
      <c r="AD600" s="11">
        <f>IF(AC600="Paid",IFERROR(VLOOKUP(D600,CAARStatus!$A$2:$AA$1600,6,FALSE),"Pending"),"Pending")</f>
        <v>45842</v>
      </c>
      <c r="AE600" s="5" t="str">
        <f t="shared" si="210"/>
        <v>RJEDD/IPO/2526/00076</v>
      </c>
      <c r="AF600" s="5" t="str">
        <f t="shared" si="211"/>
        <v>Jindal Drilling &amp; Industries Limited</v>
      </c>
      <c r="AG600" s="5" t="str">
        <f t="shared" si="212"/>
        <v>USD</v>
      </c>
      <c r="AH600" s="5">
        <f t="shared" si="213"/>
        <v>13638.311886808056</v>
      </c>
      <c r="AI600" s="12">
        <f>IF(L600-N600=0,VLOOKUP(U600,rate!A$4:B$15,2,FALSE)*AH600,IF(AG600="USD",O600,AH600*Y600))</f>
        <v>9934.0499999999993</v>
      </c>
      <c r="AJ600" s="13">
        <f t="shared" si="214"/>
        <v>0.72839293326389742</v>
      </c>
      <c r="AK600" s="13">
        <f>-IF(AG600="CAD",IFERROR(VLOOKUP(D600,CAARStatus!$A$1:$Y$1600,16,FALSE),0),0)</f>
        <v>0</v>
      </c>
      <c r="AL600" s="13">
        <f>-IF(AG600="USD",IFERROR(VLOOKUP(D600,CAARStatus!$A$1:$Y$1600,11,FALSE),0),0)</f>
        <v>-9714.65</v>
      </c>
      <c r="AM600" s="22" t="str">
        <f t="shared" si="215"/>
        <v/>
      </c>
      <c r="AN600" s="12">
        <f t="shared" si="216"/>
        <v>219.39999999999964</v>
      </c>
      <c r="AO600" s="12" t="str">
        <f t="shared" si="217"/>
        <v>Yes</v>
      </c>
      <c r="AP600" t="str">
        <f t="shared" si="202"/>
        <v>XX</v>
      </c>
      <c r="AQ600" t="str">
        <f>IFERROR(VLOOKUP(Z600,InvBal!$L$4:$P$600,4,FALSE),"Pend")</f>
        <v>Yes</v>
      </c>
      <c r="AR600" t="str">
        <f>IFERROR(VLOOKUP(D600,Manual!$C$1:$E$22,2,FALSE),"Pend")</f>
        <v>Pend</v>
      </c>
      <c r="AS600" t="str">
        <f t="shared" si="218"/>
        <v>Yes</v>
      </c>
      <c r="AT600" t="str">
        <f t="shared" si="219"/>
        <v>Yes</v>
      </c>
      <c r="AU600" s="51" t="str">
        <f t="shared" si="220"/>
        <v>Yes</v>
      </c>
      <c r="AV600" s="12">
        <f>IFERROR(VLOOKUP(D600,'Receivable Invoice Detail'!$S$1:$U$3014,3,FALSE),0)</f>
        <v>0</v>
      </c>
      <c r="AW600" s="12">
        <f t="shared" si="221"/>
        <v>9934.0499999999993</v>
      </c>
    </row>
    <row r="601" spans="1:49" x14ac:dyDescent="0.25">
      <c r="A601" s="2"/>
      <c r="B601" s="2"/>
      <c r="C601" s="2"/>
      <c r="D601" s="2" t="s">
        <v>2897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>
        <f t="shared" si="203"/>
        <v>2</v>
      </c>
      <c r="U601" s="18">
        <f t="shared" si="204"/>
        <v>6</v>
      </c>
      <c r="V601" s="18">
        <f t="shared" si="205"/>
        <v>2025</v>
      </c>
      <c r="W601" s="18">
        <f t="shared" si="206"/>
        <v>8</v>
      </c>
      <c r="X601" s="18">
        <f t="shared" si="207"/>
        <v>2025</v>
      </c>
      <c r="Y601" s="2">
        <f t="shared" si="200"/>
        <v>0.7283929332638972</v>
      </c>
      <c r="Z601" t="str">
        <f t="shared" si="201"/>
        <v>SO17293</v>
      </c>
      <c r="AA601" s="11">
        <f t="shared" si="208"/>
        <v>45813.670486111107</v>
      </c>
      <c r="AB601" s="5" t="str">
        <f t="shared" si="209"/>
        <v>INV13289</v>
      </c>
      <c r="AC601" s="5" t="str">
        <f>IFERROR(VLOOKUP(D601,CAARStatus!$A$2:$AA$1600,22,FALSE),"Not invoiced")</f>
        <v>Paid</v>
      </c>
      <c r="AD601" s="11">
        <f>IF(AC601="Paid",IFERROR(VLOOKUP(D601,CAARStatus!$A$2:$AA$1600,6,FALSE),"Pending"),"Pending")</f>
        <v>45881</v>
      </c>
      <c r="AE601" s="5" t="str">
        <f t="shared" si="210"/>
        <v>RJEDD/IPO/2526/00076</v>
      </c>
      <c r="AF601" s="5" t="str">
        <f t="shared" si="211"/>
        <v>Jindal Drilling &amp; Industries Limited</v>
      </c>
      <c r="AG601" s="5" t="str">
        <f t="shared" si="212"/>
        <v>USD</v>
      </c>
      <c r="AH601" s="5">
        <f t="shared" si="213"/>
        <v>0</v>
      </c>
      <c r="AI601" s="12">
        <f>IF(L601-N601=0,VLOOKUP(U601,rate!A$4:B$15,2,FALSE)*AH601,IF(AG601="USD",O601,AH601*Y601))</f>
        <v>0</v>
      </c>
      <c r="AJ601" s="13">
        <f t="shared" si="214"/>
        <v>0</v>
      </c>
      <c r="AK601" s="13">
        <f>-IF(AG601="CAD",IFERROR(VLOOKUP(D601,CAARStatus!$A$1:$Y$1600,16,FALSE),0),0)</f>
        <v>0</v>
      </c>
      <c r="AL601" s="13">
        <f>-IF(AG601="USD",IFERROR(VLOOKUP(D601,CAARStatus!$A$1:$Y$1600,11,FALSE),0),0)</f>
        <v>-219.4</v>
      </c>
      <c r="AM601" s="22" t="str">
        <f t="shared" si="215"/>
        <v/>
      </c>
      <c r="AN601" s="12">
        <f t="shared" si="216"/>
        <v>-219.4</v>
      </c>
      <c r="AO601" s="12" t="str">
        <f t="shared" si="217"/>
        <v>Yes</v>
      </c>
      <c r="AP601" t="str">
        <f t="shared" si="202"/>
        <v>XX</v>
      </c>
      <c r="AQ601" t="str">
        <f>IFERROR(VLOOKUP(Z601,InvBal!$L$4:$P$600,4,FALSE),"Pend")</f>
        <v>Yes</v>
      </c>
      <c r="AR601" t="str">
        <f>IFERROR(VLOOKUP(D601,Manual!$C$1:$E$22,2,FALSE),"Pend")</f>
        <v>Pend</v>
      </c>
      <c r="AS601" t="str">
        <f t="shared" si="218"/>
        <v>Yes</v>
      </c>
      <c r="AT601" t="str">
        <f t="shared" si="219"/>
        <v/>
      </c>
      <c r="AU601" s="51" t="str">
        <f t="shared" si="220"/>
        <v/>
      </c>
      <c r="AV601" s="12">
        <f>IFERROR(VLOOKUP(D601,'Receivable Invoice Detail'!$S$1:$U$3014,3,FALSE),0)</f>
        <v>0</v>
      </c>
      <c r="AW601" s="12">
        <f t="shared" si="221"/>
        <v>0</v>
      </c>
    </row>
    <row r="602" spans="1:49" ht="30" x14ac:dyDescent="0.25">
      <c r="A602" s="2">
        <v>2</v>
      </c>
      <c r="B602" s="2" t="s">
        <v>1243</v>
      </c>
      <c r="C602" s="2" t="s">
        <v>1244</v>
      </c>
      <c r="D602" s="2" t="s">
        <v>2855</v>
      </c>
      <c r="E602" s="2" t="s">
        <v>20</v>
      </c>
      <c r="F602" s="3">
        <v>45814.456701388888</v>
      </c>
      <c r="G602" s="3">
        <v>45818.670648148152</v>
      </c>
      <c r="H602" s="4">
        <v>45895</v>
      </c>
      <c r="I602" s="2" t="s">
        <v>21</v>
      </c>
      <c r="J602" s="2" t="s">
        <v>22</v>
      </c>
      <c r="K602" s="2">
        <v>1</v>
      </c>
      <c r="L602" s="2">
        <v>4881.34</v>
      </c>
      <c r="M602" s="2">
        <v>0</v>
      </c>
      <c r="N602" s="2">
        <v>3566.9704057928252</v>
      </c>
      <c r="O602" s="2">
        <v>4648.8900000000003</v>
      </c>
      <c r="P602" s="2">
        <v>232.45</v>
      </c>
      <c r="Q602" s="2">
        <v>4881.34</v>
      </c>
      <c r="R602" s="2" t="s">
        <v>44</v>
      </c>
      <c r="S602" s="2"/>
      <c r="T602" s="2">
        <f t="shared" si="203"/>
        <v>2</v>
      </c>
      <c r="U602" s="18">
        <f t="shared" si="204"/>
        <v>6</v>
      </c>
      <c r="V602" s="18">
        <f t="shared" si="205"/>
        <v>2025</v>
      </c>
      <c r="W602" s="18">
        <f t="shared" si="206"/>
        <v>8</v>
      </c>
      <c r="X602" s="18">
        <f t="shared" si="207"/>
        <v>2025</v>
      </c>
      <c r="Y602" s="2">
        <f t="shared" si="200"/>
        <v>0.73073590567197222</v>
      </c>
      <c r="Z602" t="str">
        <f t="shared" si="201"/>
        <v>SO17294</v>
      </c>
      <c r="AA602" s="11">
        <f t="shared" si="208"/>
        <v>45814.456701388888</v>
      </c>
      <c r="AB602" s="5" t="str">
        <f t="shared" si="209"/>
        <v>INV13082</v>
      </c>
      <c r="AC602" s="5" t="str">
        <f>IFERROR(VLOOKUP(D602,CAARStatus!$A$2:$AA$1600,22,FALSE),"Not invoiced")</f>
        <v>Paid</v>
      </c>
      <c r="AD602" s="11">
        <f>IF(AC602="Paid",IFERROR(VLOOKUP(D602,CAARStatus!$A$2:$AA$1600,6,FALSE),"Pending"),"Pending")</f>
        <v>45877</v>
      </c>
      <c r="AE602" s="5" t="str">
        <f t="shared" si="210"/>
        <v>4500600086</v>
      </c>
      <c r="AF602" s="5" t="str">
        <f t="shared" si="211"/>
        <v>Resolute Forest Products - Saint-Felicien</v>
      </c>
      <c r="AG602" s="5" t="str">
        <f t="shared" si="212"/>
        <v>CAD</v>
      </c>
      <c r="AH602" s="5">
        <f t="shared" si="213"/>
        <v>4648.8900000000003</v>
      </c>
      <c r="AI602" s="12">
        <f>IF(L602-N602=0,VLOOKUP(U602,rate!A$4:B$15,2,FALSE)*AH602,IF(AG602="USD",O602,AH602*Y602))</f>
        <v>3397.110844519375</v>
      </c>
      <c r="AJ602" s="13">
        <f t="shared" si="214"/>
        <v>0.73073590567197222</v>
      </c>
      <c r="AK602" s="13">
        <f>-IF(AG602="CAD",IFERROR(VLOOKUP(D602,CAARStatus!$A$1:$Y$1600,16,FALSE),0),0)</f>
        <v>-2397.5100000000002</v>
      </c>
      <c r="AL602" s="13">
        <f>-IF(AG602="USD",IFERROR(VLOOKUP(D602,CAARStatus!$A$1:$Y$1600,11,FALSE),0),0)</f>
        <v>0</v>
      </c>
      <c r="AM602" s="22">
        <f t="shared" si="215"/>
        <v>2251.38</v>
      </c>
      <c r="AN602" s="12" t="str">
        <f t="shared" si="216"/>
        <v/>
      </c>
      <c r="AO602" s="12" t="str">
        <f t="shared" si="217"/>
        <v>Yes</v>
      </c>
      <c r="AP602" t="str">
        <f t="shared" si="202"/>
        <v>XX</v>
      </c>
      <c r="AQ602" t="str">
        <f>IFERROR(VLOOKUP(Z602,InvBal!$L$4:$P$600,4,FALSE),"Pend")</f>
        <v>Yes</v>
      </c>
      <c r="AR602" t="str">
        <f>IFERROR(VLOOKUP(D602,Manual!$C$1:$E$22,2,FALSE),"Pend")</f>
        <v>Pend</v>
      </c>
      <c r="AS602" t="str">
        <f t="shared" si="218"/>
        <v>Yes</v>
      </c>
      <c r="AT602" t="str">
        <f t="shared" si="219"/>
        <v>Yes</v>
      </c>
      <c r="AU602" s="51" t="str">
        <f t="shared" si="220"/>
        <v>Yes</v>
      </c>
      <c r="AV602" s="12">
        <f>IFERROR(VLOOKUP(D602,'Receivable Invoice Detail'!$S$1:$U$3014,3,FALSE),0)</f>
        <v>0</v>
      </c>
      <c r="AW602" s="12">
        <f t="shared" si="221"/>
        <v>3397.110844519375</v>
      </c>
    </row>
    <row r="603" spans="1:49" x14ac:dyDescent="0.25">
      <c r="A603" s="2"/>
      <c r="B603" s="2"/>
      <c r="C603" s="2"/>
      <c r="D603" s="2" t="s">
        <v>2854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>
        <f t="shared" si="203"/>
        <v>2</v>
      </c>
      <c r="U603" s="18">
        <f t="shared" si="204"/>
        <v>6</v>
      </c>
      <c r="V603" s="18">
        <f t="shared" si="205"/>
        <v>2025</v>
      </c>
      <c r="W603" s="18">
        <f t="shared" si="206"/>
        <v>10</v>
      </c>
      <c r="X603" s="18">
        <f t="shared" si="207"/>
        <v>2025</v>
      </c>
      <c r="Y603" s="2">
        <f t="shared" si="200"/>
        <v>0.73073590567197222</v>
      </c>
      <c r="Z603" t="str">
        <f t="shared" si="201"/>
        <v>SO17294</v>
      </c>
      <c r="AA603" s="11">
        <f t="shared" si="208"/>
        <v>45814.456701388888</v>
      </c>
      <c r="AB603" s="5" t="str">
        <f t="shared" si="209"/>
        <v>INV13257</v>
      </c>
      <c r="AC603" s="5" t="str">
        <f>IFERROR(VLOOKUP(D603,CAARStatus!$A$2:$AA$1600,22,FALSE),"Not invoiced")</f>
        <v>Paid</v>
      </c>
      <c r="AD603" s="11">
        <f>IF(AC603="Paid",IFERROR(VLOOKUP(D603,CAARStatus!$A$2:$AA$1600,6,FALSE),"Pending"),"Pending")</f>
        <v>45933</v>
      </c>
      <c r="AE603" s="5" t="str">
        <f t="shared" si="210"/>
        <v>4500600086</v>
      </c>
      <c r="AF603" s="5" t="str">
        <f t="shared" si="211"/>
        <v>Resolute Forest Products - Saint-Felicien</v>
      </c>
      <c r="AG603" s="5" t="str">
        <f t="shared" si="212"/>
        <v>CAD</v>
      </c>
      <c r="AH603" s="5">
        <f t="shared" si="213"/>
        <v>0</v>
      </c>
      <c r="AI603" s="12">
        <f>IF(L603-N603=0,VLOOKUP(U603,rate!A$4:B$15,2,FALSE)*AH603,IF(AG603="USD",O603,AH603*Y603))</f>
        <v>0</v>
      </c>
      <c r="AJ603" s="13">
        <f t="shared" si="214"/>
        <v>0</v>
      </c>
      <c r="AK603" s="13">
        <f>-IF(AG603="CAD",IFERROR(VLOOKUP(D603,CAARStatus!$A$1:$Y$1600,16,FALSE),0),0)</f>
        <v>-2251.38</v>
      </c>
      <c r="AL603" s="13">
        <f>-IF(AG603="USD",IFERROR(VLOOKUP(D603,CAARStatus!$A$1:$Y$1600,11,FALSE),0),0)</f>
        <v>0</v>
      </c>
      <c r="AM603" s="22">
        <f t="shared" si="215"/>
        <v>-2251.38</v>
      </c>
      <c r="AN603" s="12" t="str">
        <f t="shared" si="216"/>
        <v/>
      </c>
      <c r="AO603" s="12" t="str">
        <f t="shared" si="217"/>
        <v>Yes</v>
      </c>
      <c r="AP603" t="str">
        <f t="shared" si="202"/>
        <v>XX</v>
      </c>
      <c r="AQ603" t="str">
        <f>IFERROR(VLOOKUP(Z603,InvBal!$L$4:$P$600,4,FALSE),"Pend")</f>
        <v>Yes</v>
      </c>
      <c r="AR603" t="str">
        <f>IFERROR(VLOOKUP(D603,Manual!$C$1:$E$22,2,FALSE),"Pend")</f>
        <v>Pend</v>
      </c>
      <c r="AS603" t="str">
        <f t="shared" si="218"/>
        <v>Yes</v>
      </c>
      <c r="AT603" t="str">
        <f t="shared" si="219"/>
        <v/>
      </c>
      <c r="AU603" s="51" t="str">
        <f t="shared" si="220"/>
        <v/>
      </c>
      <c r="AV603" s="12">
        <f>IFERROR(VLOOKUP(D603,'Receivable Invoice Detail'!$S$1:$U$3014,3,FALSE),0)</f>
        <v>0</v>
      </c>
      <c r="AW603" s="12">
        <f t="shared" si="221"/>
        <v>0</v>
      </c>
    </row>
    <row r="604" spans="1:49" x14ac:dyDescent="0.25">
      <c r="A604" s="2">
        <v>1</v>
      </c>
      <c r="B604" s="2" t="s">
        <v>1215</v>
      </c>
      <c r="C604" s="2" t="s">
        <v>1216</v>
      </c>
      <c r="D604" s="2" t="s">
        <v>2872</v>
      </c>
      <c r="E604" s="2" t="s">
        <v>229</v>
      </c>
      <c r="F604" s="3">
        <v>45814.473576388889</v>
      </c>
      <c r="G604" s="3">
        <v>45821.486296296287</v>
      </c>
      <c r="H604" s="4">
        <v>45824</v>
      </c>
      <c r="I604" s="2" t="s">
        <v>21</v>
      </c>
      <c r="J604" s="2" t="s">
        <v>22</v>
      </c>
      <c r="K604" s="2">
        <v>1</v>
      </c>
      <c r="L604" s="2">
        <v>3201.22</v>
      </c>
      <c r="M604" s="2">
        <v>0</v>
      </c>
      <c r="N604" s="2">
        <v>2358.005911200114</v>
      </c>
      <c r="O604" s="2">
        <v>3048.78</v>
      </c>
      <c r="P604" s="2">
        <v>152.44</v>
      </c>
      <c r="Q604" s="2">
        <v>3201.22</v>
      </c>
      <c r="R604" s="2" t="s">
        <v>44</v>
      </c>
      <c r="S604" s="2"/>
      <c r="T604" s="2">
        <f t="shared" si="203"/>
        <v>1</v>
      </c>
      <c r="U604" s="18">
        <f t="shared" si="204"/>
        <v>6</v>
      </c>
      <c r="V604" s="18">
        <f t="shared" si="205"/>
        <v>2025</v>
      </c>
      <c r="W604" s="18">
        <f t="shared" si="206"/>
        <v>7</v>
      </c>
      <c r="X604" s="18">
        <f t="shared" si="207"/>
        <v>2025</v>
      </c>
      <c r="Y604" s="2">
        <f t="shared" si="200"/>
        <v>0.7365960200174041</v>
      </c>
      <c r="Z604" t="str">
        <f t="shared" si="201"/>
        <v>SO17297</v>
      </c>
      <c r="AA604" s="11">
        <f t="shared" si="208"/>
        <v>45814.473576388889</v>
      </c>
      <c r="AB604" s="5" t="str">
        <f t="shared" si="209"/>
        <v>INV13097</v>
      </c>
      <c r="AC604" s="5" t="str">
        <f>IFERROR(VLOOKUP(D604,CAARStatus!$A$2:$AA$1600,22,FALSE),"Not invoiced")</f>
        <v>Paid</v>
      </c>
      <c r="AD604" s="11">
        <f>IF(AC604="Paid",IFERROR(VLOOKUP(D604,CAARStatus!$A$2:$AA$1600,6,FALSE),"Pending"),"Pending")</f>
        <v>45861</v>
      </c>
      <c r="AE604" s="5" t="str">
        <f t="shared" si="210"/>
        <v>2100594711</v>
      </c>
      <c r="AF604" s="5" t="str">
        <f t="shared" si="211"/>
        <v>Wajax Limited - Lachine</v>
      </c>
      <c r="AG604" s="5" t="str">
        <f t="shared" si="212"/>
        <v>CAD</v>
      </c>
      <c r="AH604" s="5">
        <f t="shared" si="213"/>
        <v>3048.78</v>
      </c>
      <c r="AI604" s="12">
        <f>IF(L604-N604=0,VLOOKUP(U604,rate!A$4:B$15,2,FALSE)*AH604,IF(AG604="USD",O604,AH604*Y604))</f>
        <v>2245.7192139086615</v>
      </c>
      <c r="AJ604" s="13">
        <f t="shared" si="214"/>
        <v>0.7365960200174041</v>
      </c>
      <c r="AK604" s="13">
        <f>-IF(AG604="CAD",IFERROR(VLOOKUP(D604,CAARStatus!$A$1:$Y$1600,16,FALSE),0),0)</f>
        <v>-3048.78</v>
      </c>
      <c r="AL604" s="13">
        <f>-IF(AG604="USD",IFERROR(VLOOKUP(D604,CAARStatus!$A$1:$Y$1600,11,FALSE),0),0)</f>
        <v>0</v>
      </c>
      <c r="AM604" s="22">
        <f t="shared" si="215"/>
        <v>0</v>
      </c>
      <c r="AN604" s="12" t="str">
        <f t="shared" si="216"/>
        <v/>
      </c>
      <c r="AO604" s="12" t="str">
        <f t="shared" si="217"/>
        <v>Yes</v>
      </c>
      <c r="AP604" t="str">
        <f t="shared" si="202"/>
        <v>Yes</v>
      </c>
      <c r="AQ604" t="str">
        <f>IFERROR(VLOOKUP(Z604,InvBal!$L$4:$P$600,4,FALSE),"Pend")</f>
        <v>Pend</v>
      </c>
      <c r="AR604" t="str">
        <f>IFERROR(VLOOKUP(D604,Manual!$C$1:$E$22,2,FALSE),"Pend")</f>
        <v>Pend</v>
      </c>
      <c r="AS604" t="str">
        <f t="shared" si="218"/>
        <v>Yes</v>
      </c>
      <c r="AT604" t="str">
        <f t="shared" si="219"/>
        <v>Yes</v>
      </c>
      <c r="AU604" s="51" t="str">
        <f t="shared" si="220"/>
        <v>Yes</v>
      </c>
      <c r="AV604" s="12">
        <f>IFERROR(VLOOKUP(D604,'Receivable Invoice Detail'!$S$1:$U$3014,3,FALSE),0)</f>
        <v>0</v>
      </c>
      <c r="AW604" s="12">
        <f t="shared" si="221"/>
        <v>2245.7192139086615</v>
      </c>
    </row>
    <row r="605" spans="1:49" ht="30" x14ac:dyDescent="0.25">
      <c r="A605" s="2">
        <v>1</v>
      </c>
      <c r="B605" s="2" t="s">
        <v>1159</v>
      </c>
      <c r="C605" s="2" t="s">
        <v>1160</v>
      </c>
      <c r="D605" s="2" t="s">
        <v>2902</v>
      </c>
      <c r="E605" s="2" t="s">
        <v>32</v>
      </c>
      <c r="F605" s="3">
        <v>45814.533530092587</v>
      </c>
      <c r="G605" s="3">
        <v>45831.411145833343</v>
      </c>
      <c r="H605" s="4">
        <v>45908</v>
      </c>
      <c r="I605" s="2" t="s">
        <v>21</v>
      </c>
      <c r="J605" s="2" t="s">
        <v>22</v>
      </c>
      <c r="K605" s="2">
        <v>1</v>
      </c>
      <c r="L605" s="2">
        <v>7149.54</v>
      </c>
      <c r="M605" s="2">
        <v>0</v>
      </c>
      <c r="N605" s="2">
        <v>5191.5114032325218</v>
      </c>
      <c r="O605" s="2">
        <v>6327.03</v>
      </c>
      <c r="P605" s="2">
        <v>822.51</v>
      </c>
      <c r="Q605" s="2">
        <v>7149.54</v>
      </c>
      <c r="R605" s="2" t="s">
        <v>44</v>
      </c>
      <c r="S605" s="2"/>
      <c r="T605" s="2">
        <f t="shared" si="203"/>
        <v>1</v>
      </c>
      <c r="U605" s="18">
        <f t="shared" si="204"/>
        <v>6</v>
      </c>
      <c r="V605" s="18">
        <f t="shared" si="205"/>
        <v>2025</v>
      </c>
      <c r="W605" s="18">
        <f t="shared" si="206"/>
        <v>12</v>
      </c>
      <c r="X605" s="18">
        <f t="shared" si="207"/>
        <v>2025</v>
      </c>
      <c r="Y605" s="2">
        <f t="shared" si="200"/>
        <v>0.72613222714084014</v>
      </c>
      <c r="Z605" t="str">
        <f t="shared" si="201"/>
        <v>SO17298</v>
      </c>
      <c r="AA605" s="11">
        <f t="shared" si="208"/>
        <v>45814.533530092587</v>
      </c>
      <c r="AB605" s="5" t="str">
        <f t="shared" si="209"/>
        <v>INV13622</v>
      </c>
      <c r="AC605" s="5" t="str">
        <f>IFERROR(VLOOKUP(D605,CAARStatus!$A$2:$AA$1600,22,FALSE),"Not invoiced")</f>
        <v>Paid</v>
      </c>
      <c r="AD605" s="11">
        <f>IF(AC605="Paid",IFERROR(VLOOKUP(D605,CAARStatus!$A$2:$AA$1600,6,FALSE),"Pending"),"Pending")</f>
        <v>46001</v>
      </c>
      <c r="AE605" s="5" t="str">
        <f t="shared" si="210"/>
        <v>4500896245</v>
      </c>
      <c r="AF605" s="5" t="str">
        <f t="shared" si="211"/>
        <v>Cameco Corporation - Blind River Refinery</v>
      </c>
      <c r="AG605" s="5" t="str">
        <f t="shared" si="212"/>
        <v>CAD</v>
      </c>
      <c r="AH605" s="5">
        <f t="shared" si="213"/>
        <v>6327.03</v>
      </c>
      <c r="AI605" s="12">
        <f>IF(L605-N605=0,VLOOKUP(U605,rate!A$4:B$15,2,FALSE)*AH605,IF(AG605="USD",O605,AH605*Y605))</f>
        <v>4594.26038508691</v>
      </c>
      <c r="AJ605" s="13">
        <f t="shared" si="214"/>
        <v>0.72613222714084025</v>
      </c>
      <c r="AK605" s="13">
        <f>-IF(AG605="CAD",IFERROR(VLOOKUP(D605,CAARStatus!$A$1:$Y$1600,16,FALSE),0),0)</f>
        <v>-6327.03</v>
      </c>
      <c r="AL605" s="13">
        <f>-IF(AG605="USD",IFERROR(VLOOKUP(D605,CAARStatus!$A$1:$Y$1600,11,FALSE),0),0)</f>
        <v>0</v>
      </c>
      <c r="AM605" s="22">
        <f t="shared" si="215"/>
        <v>0</v>
      </c>
      <c r="AN605" s="12" t="str">
        <f t="shared" si="216"/>
        <v/>
      </c>
      <c r="AO605" s="12" t="str">
        <f t="shared" si="217"/>
        <v>Yes</v>
      </c>
      <c r="AP605" t="str">
        <f t="shared" si="202"/>
        <v>Yes</v>
      </c>
      <c r="AQ605" t="str">
        <f>IFERROR(VLOOKUP(Z605,InvBal!$L$4:$P$600,4,FALSE),"Pend")</f>
        <v>Pend</v>
      </c>
      <c r="AR605" t="str">
        <f>IFERROR(VLOOKUP(D605,Manual!$C$1:$E$22,2,FALSE),"Pend")</f>
        <v>Pend</v>
      </c>
      <c r="AS605" t="str">
        <f t="shared" si="218"/>
        <v>Yes</v>
      </c>
      <c r="AT605" t="str">
        <f t="shared" si="219"/>
        <v>Yes</v>
      </c>
      <c r="AU605" s="51" t="str">
        <f t="shared" si="220"/>
        <v>Yes</v>
      </c>
      <c r="AV605" s="12">
        <f>IFERROR(VLOOKUP(D605,'Receivable Invoice Detail'!$S$1:$U$3014,3,FALSE),0)</f>
        <v>0</v>
      </c>
      <c r="AW605" s="12">
        <f t="shared" si="221"/>
        <v>4594.26038508691</v>
      </c>
    </row>
    <row r="606" spans="1:49" ht="45" x14ac:dyDescent="0.25">
      <c r="A606" s="2">
        <v>1</v>
      </c>
      <c r="B606" s="2" t="s">
        <v>1245</v>
      </c>
      <c r="C606" s="2" t="s">
        <v>1246</v>
      </c>
      <c r="D606" s="2" t="s">
        <v>2853</v>
      </c>
      <c r="E606" s="2" t="s">
        <v>407</v>
      </c>
      <c r="F606" s="3">
        <v>45814.548703703702</v>
      </c>
      <c r="G606" s="3">
        <v>45818.648726851847</v>
      </c>
      <c r="H606" s="4">
        <v>45819</v>
      </c>
      <c r="I606" s="2" t="s">
        <v>21</v>
      </c>
      <c r="J606" s="2" t="s">
        <v>22</v>
      </c>
      <c r="K606" s="2">
        <v>1</v>
      </c>
      <c r="L606" s="2">
        <v>1406.84</v>
      </c>
      <c r="M606" s="2">
        <v>0</v>
      </c>
      <c r="N606" s="2">
        <v>1028.0285015355571</v>
      </c>
      <c r="O606" s="2">
        <v>1339.85</v>
      </c>
      <c r="P606" s="2">
        <v>66.989999999999995</v>
      </c>
      <c r="Q606" s="2">
        <v>1406.84</v>
      </c>
      <c r="R606" s="2" t="s">
        <v>23</v>
      </c>
      <c r="S606" s="2"/>
      <c r="T606" s="2">
        <f t="shared" si="203"/>
        <v>1</v>
      </c>
      <c r="U606" s="18">
        <f t="shared" si="204"/>
        <v>6</v>
      </c>
      <c r="V606" s="18">
        <f t="shared" si="205"/>
        <v>2025</v>
      </c>
      <c r="W606" s="18">
        <f t="shared" si="206"/>
        <v>8</v>
      </c>
      <c r="X606" s="18">
        <f t="shared" si="207"/>
        <v>2025</v>
      </c>
      <c r="Y606" s="2">
        <f t="shared" si="200"/>
        <v>0.730735905671972</v>
      </c>
      <c r="Z606" t="str">
        <f t="shared" si="201"/>
        <v>SO17299</v>
      </c>
      <c r="AA606" s="11">
        <f t="shared" si="208"/>
        <v>45814.548703703702</v>
      </c>
      <c r="AB606" s="5" t="str">
        <f t="shared" si="209"/>
        <v>INV13080</v>
      </c>
      <c r="AC606" s="5" t="str">
        <f>IFERROR(VLOOKUP(D606,CAARStatus!$A$2:$AA$1600,22,FALSE),"Not invoiced")</f>
        <v>Paid</v>
      </c>
      <c r="AD606" s="11">
        <f>IF(AC606="Paid",IFERROR(VLOOKUP(D606,CAARStatus!$A$2:$AA$1600,6,FALSE),"Pending"),"Pending")</f>
        <v>45877</v>
      </c>
      <c r="AE606" s="5" t="str">
        <f t="shared" si="210"/>
        <v>PO 4500600220</v>
      </c>
      <c r="AF606" s="5" t="str">
        <f t="shared" si="211"/>
        <v>Resolute Forest Products - Fibrek, Resolute Forest Products - Fibrek</v>
      </c>
      <c r="AG606" s="5" t="str">
        <f t="shared" si="212"/>
        <v>CAD</v>
      </c>
      <c r="AH606" s="5">
        <f t="shared" si="213"/>
        <v>1339.85</v>
      </c>
      <c r="AI606" s="12">
        <f>IF(L606-N606=0,VLOOKUP(U606,rate!A$4:B$15,2,FALSE)*AH606,IF(AG606="USD",O606,AH606*Y606))</f>
        <v>979.07650321459164</v>
      </c>
      <c r="AJ606" s="13">
        <f t="shared" si="214"/>
        <v>0.730735905671972</v>
      </c>
      <c r="AK606" s="13">
        <f>-IF(AG606="CAD",IFERROR(VLOOKUP(D606,CAARStatus!$A$1:$Y$1600,16,FALSE),0),0)</f>
        <v>-1339.85</v>
      </c>
      <c r="AL606" s="13">
        <f>-IF(AG606="USD",IFERROR(VLOOKUP(D606,CAARStatus!$A$1:$Y$1600,11,FALSE),0),0)</f>
        <v>0</v>
      </c>
      <c r="AM606" s="22">
        <f t="shared" si="215"/>
        <v>0</v>
      </c>
      <c r="AN606" s="12" t="str">
        <f t="shared" si="216"/>
        <v/>
      </c>
      <c r="AO606" s="12" t="str">
        <f t="shared" si="217"/>
        <v>Yes</v>
      </c>
      <c r="AP606" t="str">
        <f t="shared" si="202"/>
        <v>Yes</v>
      </c>
      <c r="AQ606" t="str">
        <f>IFERROR(VLOOKUP(Z606,InvBal!$L$4:$P$600,4,FALSE),"Pend")</f>
        <v>Pend</v>
      </c>
      <c r="AR606" t="str">
        <f>IFERROR(VLOOKUP(D606,Manual!$C$1:$E$22,2,FALSE),"Pend")</f>
        <v>Pend</v>
      </c>
      <c r="AS606" t="str">
        <f t="shared" si="218"/>
        <v>Yes</v>
      </c>
      <c r="AT606" t="str">
        <f t="shared" si="219"/>
        <v/>
      </c>
      <c r="AU606" s="51" t="str">
        <f t="shared" si="220"/>
        <v/>
      </c>
      <c r="AV606" s="12">
        <f>IFERROR(VLOOKUP(D606,'Receivable Invoice Detail'!$S$1:$U$3014,3,FALSE),0)</f>
        <v>0</v>
      </c>
      <c r="AW606" s="12">
        <f t="shared" si="221"/>
        <v>0</v>
      </c>
    </row>
    <row r="607" spans="1:49" ht="30" x14ac:dyDescent="0.25">
      <c r="A607" s="2">
        <v>1</v>
      </c>
      <c r="B607" s="2" t="s">
        <v>1257</v>
      </c>
      <c r="C607" s="2" t="s">
        <v>1258</v>
      </c>
      <c r="D607" s="2" t="s">
        <v>2846</v>
      </c>
      <c r="E607" s="2" t="s">
        <v>159</v>
      </c>
      <c r="F607" s="3">
        <v>45814.596759259257</v>
      </c>
      <c r="G607" s="3">
        <v>45814.60564814815</v>
      </c>
      <c r="H607" s="4">
        <v>45826</v>
      </c>
      <c r="I607" s="2" t="s">
        <v>40</v>
      </c>
      <c r="J607" s="2" t="s">
        <v>51</v>
      </c>
      <c r="K607" s="2">
        <v>0.73168250354531084</v>
      </c>
      <c r="L607" s="2">
        <v>15638.95534546069</v>
      </c>
      <c r="M607" s="2">
        <v>0</v>
      </c>
      <c r="N607" s="2">
        <v>11442.75</v>
      </c>
      <c r="O607" s="2">
        <v>11442.75</v>
      </c>
      <c r="P607" s="2"/>
      <c r="Q607" s="2">
        <v>11442.75</v>
      </c>
      <c r="R607" s="2" t="s">
        <v>44</v>
      </c>
      <c r="S607" s="2"/>
      <c r="T607" s="2">
        <f t="shared" si="203"/>
        <v>1</v>
      </c>
      <c r="U607" s="18">
        <f t="shared" si="204"/>
        <v>6</v>
      </c>
      <c r="V607" s="18">
        <f t="shared" si="205"/>
        <v>2025</v>
      </c>
      <c r="W607" s="18">
        <f t="shared" si="206"/>
        <v>7</v>
      </c>
      <c r="X607" s="18">
        <f t="shared" si="207"/>
        <v>2025</v>
      </c>
      <c r="Y607" s="2">
        <f t="shared" si="200"/>
        <v>0.73168250354531084</v>
      </c>
      <c r="Z607" t="str">
        <f t="shared" si="201"/>
        <v>SO17300</v>
      </c>
      <c r="AA607" s="11">
        <f t="shared" si="208"/>
        <v>45814.596759259257</v>
      </c>
      <c r="AB607" s="5" t="str">
        <f t="shared" si="209"/>
        <v>INV13072</v>
      </c>
      <c r="AC607" s="5" t="str">
        <f>IFERROR(VLOOKUP(D607,CAARStatus!$A$2:$AA$1600,22,FALSE),"Not invoiced")</f>
        <v>Paid</v>
      </c>
      <c r="AD607" s="11">
        <f>IF(AC607="Paid",IFERROR(VLOOKUP(D607,CAARStatus!$A$2:$AA$1600,6,FALSE),"Pending"),"Pending")</f>
        <v>45863</v>
      </c>
      <c r="AE607" s="5" t="str">
        <f t="shared" si="210"/>
        <v>4501206829</v>
      </c>
      <c r="AF607" s="5" t="str">
        <f t="shared" si="211"/>
        <v>Barrick Gold - Pueblo Viejo Dominicana Corporation</v>
      </c>
      <c r="AG607" s="5" t="str">
        <f t="shared" si="212"/>
        <v>USD</v>
      </c>
      <c r="AH607" s="5">
        <f t="shared" si="213"/>
        <v>15638.95534546069</v>
      </c>
      <c r="AI607" s="12">
        <f>IF(L607-N607=0,VLOOKUP(U607,rate!A$4:B$15,2,FALSE)*AH607,IF(AG607="USD",O607,AH607*Y607))</f>
        <v>11442.75</v>
      </c>
      <c r="AJ607" s="13">
        <f t="shared" si="214"/>
        <v>0.73168250354531084</v>
      </c>
      <c r="AK607" s="13">
        <f>-IF(AG607="CAD",IFERROR(VLOOKUP(D607,CAARStatus!$A$1:$Y$1600,16,FALSE),0),0)</f>
        <v>0</v>
      </c>
      <c r="AL607" s="13">
        <f>-IF(AG607="USD",IFERROR(VLOOKUP(D607,CAARStatus!$A$1:$Y$1600,11,FALSE),0),0)</f>
        <v>-11442.75</v>
      </c>
      <c r="AM607" s="22" t="str">
        <f t="shared" si="215"/>
        <v/>
      </c>
      <c r="AN607" s="12">
        <f t="shared" si="216"/>
        <v>0</v>
      </c>
      <c r="AO607" s="12" t="str">
        <f t="shared" si="217"/>
        <v>Yes</v>
      </c>
      <c r="AP607" t="str">
        <f t="shared" si="202"/>
        <v>Yes</v>
      </c>
      <c r="AQ607" t="str">
        <f>IFERROR(VLOOKUP(Z607,InvBal!$L$4:$P$600,4,FALSE),"Pend")</f>
        <v>Pend</v>
      </c>
      <c r="AR607" t="str">
        <f>IFERROR(VLOOKUP(D607,Manual!$C$1:$E$22,2,FALSE),"Pend")</f>
        <v>Pend</v>
      </c>
      <c r="AS607" t="str">
        <f t="shared" si="218"/>
        <v>Yes</v>
      </c>
      <c r="AT607" t="str">
        <f t="shared" si="219"/>
        <v>Yes</v>
      </c>
      <c r="AU607" s="51" t="str">
        <f t="shared" si="220"/>
        <v>Yes</v>
      </c>
      <c r="AV607" s="12">
        <f>IFERROR(VLOOKUP(D607,'Receivable Invoice Detail'!$S$1:$U$3014,3,FALSE),0)</f>
        <v>0</v>
      </c>
      <c r="AW607" s="12">
        <f t="shared" si="221"/>
        <v>11442.75</v>
      </c>
    </row>
    <row r="608" spans="1:49" ht="30" x14ac:dyDescent="0.25">
      <c r="A608" s="2">
        <v>2</v>
      </c>
      <c r="B608" s="2" t="s">
        <v>1253</v>
      </c>
      <c r="C608" s="2" t="s">
        <v>1254</v>
      </c>
      <c r="D608" s="2" t="s">
        <v>2849</v>
      </c>
      <c r="E608" s="2" t="s">
        <v>98</v>
      </c>
      <c r="F608" s="3">
        <v>45817.469502314823</v>
      </c>
      <c r="G608" s="3">
        <v>45817.72011574074</v>
      </c>
      <c r="H608" s="4">
        <v>45894</v>
      </c>
      <c r="I608" s="2" t="s">
        <v>21</v>
      </c>
      <c r="J608" s="2" t="s">
        <v>22</v>
      </c>
      <c r="K608" s="2">
        <v>1</v>
      </c>
      <c r="L608" s="2">
        <v>9590.9599999999991</v>
      </c>
      <c r="M608" s="2">
        <v>0</v>
      </c>
      <c r="N608" s="2">
        <v>7012.5445039229162</v>
      </c>
      <c r="O608" s="2">
        <v>8487.59</v>
      </c>
      <c r="P608" s="2">
        <v>1103.3699999999999</v>
      </c>
      <c r="Q608" s="2">
        <v>9590.9599999999991</v>
      </c>
      <c r="R608" s="2" t="s">
        <v>44</v>
      </c>
      <c r="S608" s="2"/>
      <c r="T608" s="2">
        <f t="shared" si="203"/>
        <v>2</v>
      </c>
      <c r="U608" s="18">
        <f t="shared" si="204"/>
        <v>6</v>
      </c>
      <c r="V608" s="18">
        <f t="shared" si="205"/>
        <v>2025</v>
      </c>
      <c r="W608" s="18">
        <f t="shared" si="206"/>
        <v>10</v>
      </c>
      <c r="X608" s="18">
        <f t="shared" si="207"/>
        <v>2025</v>
      </c>
      <c r="Y608" s="2">
        <f t="shared" si="200"/>
        <v>0.7311618966112795</v>
      </c>
      <c r="Z608" t="str">
        <f t="shared" si="201"/>
        <v>SO17304</v>
      </c>
      <c r="AA608" s="11">
        <f t="shared" si="208"/>
        <v>45817.469502314823</v>
      </c>
      <c r="AB608" s="5" t="str">
        <f t="shared" si="209"/>
        <v>INV13330</v>
      </c>
      <c r="AC608" s="5" t="str">
        <f>IFERROR(VLOOKUP(D608,CAARStatus!$A$2:$AA$1600,22,FALSE),"Not invoiced")</f>
        <v>Paid</v>
      </c>
      <c r="AD608" s="11">
        <f>IF(AC608="Paid",IFERROR(VLOOKUP(D608,CAARStatus!$A$2:$AA$1600,6,FALSE),"Pending"),"Pending")</f>
        <v>45931</v>
      </c>
      <c r="AE608" s="5" t="str">
        <f t="shared" si="210"/>
        <v>PO-008029</v>
      </c>
      <c r="AF608" s="5" t="str">
        <f t="shared" si="211"/>
        <v>Sling-Choker Manufacturing - Timmins</v>
      </c>
      <c r="AG608" s="5" t="str">
        <f t="shared" si="212"/>
        <v>CAD</v>
      </c>
      <c r="AH608" s="5">
        <f t="shared" si="213"/>
        <v>8487.59</v>
      </c>
      <c r="AI608" s="12">
        <f>IF(L608-N608=0,VLOOKUP(U608,rate!A$4:B$15,2,FALSE)*AH608,IF(AG608="USD",O608,AH608*Y608))</f>
        <v>6205.8024020589301</v>
      </c>
      <c r="AJ608" s="13">
        <f t="shared" si="214"/>
        <v>0.7311618966112795</v>
      </c>
      <c r="AK608" s="13">
        <f>-IF(AG608="CAD",IFERROR(VLOOKUP(D608,CAARStatus!$A$1:$Y$1600,16,FALSE),0),0)</f>
        <v>-7656.94</v>
      </c>
      <c r="AL608" s="13">
        <f>-IF(AG608="USD",IFERROR(VLOOKUP(D608,CAARStatus!$A$1:$Y$1600,11,FALSE),0),0)</f>
        <v>0</v>
      </c>
      <c r="AM608" s="22">
        <f t="shared" si="215"/>
        <v>830.65000000000055</v>
      </c>
      <c r="AN608" s="12" t="str">
        <f t="shared" si="216"/>
        <v/>
      </c>
      <c r="AO608" s="12" t="str">
        <f t="shared" si="217"/>
        <v>Yes</v>
      </c>
      <c r="AP608" t="str">
        <f t="shared" si="202"/>
        <v>XX</v>
      </c>
      <c r="AQ608" t="str">
        <f>IFERROR(VLOOKUP(Z608,InvBal!$L$4:$P$600,4,FALSE),"Pend")</f>
        <v>Yes</v>
      </c>
      <c r="AR608" t="str">
        <f>IFERROR(VLOOKUP(D608,Manual!$C$1:$E$22,2,FALSE),"Pend")</f>
        <v>Pend</v>
      </c>
      <c r="AS608" t="str">
        <f t="shared" si="218"/>
        <v>Yes</v>
      </c>
      <c r="AT608" t="str">
        <f t="shared" si="219"/>
        <v>Yes</v>
      </c>
      <c r="AU608" s="51" t="str">
        <f t="shared" si="220"/>
        <v>Yes</v>
      </c>
      <c r="AV608" s="12">
        <f>IFERROR(VLOOKUP(D608,'Receivable Invoice Detail'!$S$1:$U$3014,3,FALSE),0)</f>
        <v>0</v>
      </c>
      <c r="AW608" s="12">
        <f t="shared" si="221"/>
        <v>6205.8024020589301</v>
      </c>
    </row>
    <row r="609" spans="1:49" x14ac:dyDescent="0.25">
      <c r="A609" s="2"/>
      <c r="B609" s="2"/>
      <c r="C609" s="2"/>
      <c r="D609" s="2" t="s">
        <v>2848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>
        <f t="shared" si="203"/>
        <v>2</v>
      </c>
      <c r="U609" s="18">
        <f t="shared" si="204"/>
        <v>6</v>
      </c>
      <c r="V609" s="18">
        <f t="shared" si="205"/>
        <v>2025</v>
      </c>
      <c r="W609" s="18">
        <f t="shared" si="206"/>
        <v>8</v>
      </c>
      <c r="X609" s="18">
        <f t="shared" si="207"/>
        <v>2025</v>
      </c>
      <c r="Y609" s="2">
        <f t="shared" si="200"/>
        <v>0.7311618966112795</v>
      </c>
      <c r="Z609" t="str">
        <f t="shared" si="201"/>
        <v>SO17304</v>
      </c>
      <c r="AA609" s="11">
        <f t="shared" si="208"/>
        <v>45817.469502314823</v>
      </c>
      <c r="AB609" s="5" t="str">
        <f t="shared" si="209"/>
        <v>INV13164</v>
      </c>
      <c r="AC609" s="5" t="str">
        <f>IFERROR(VLOOKUP(D609,CAARStatus!$A$2:$AA$1600,22,FALSE),"Not invoiced")</f>
        <v>Paid</v>
      </c>
      <c r="AD609" s="11">
        <f>IF(AC609="Paid",IFERROR(VLOOKUP(D609,CAARStatus!$A$2:$AA$1600,6,FALSE),"Pending"),"Pending")</f>
        <v>45875</v>
      </c>
      <c r="AE609" s="5" t="str">
        <f t="shared" si="210"/>
        <v>PO-008029</v>
      </c>
      <c r="AF609" s="5" t="str">
        <f t="shared" si="211"/>
        <v>Sling-Choker Manufacturing - Timmins</v>
      </c>
      <c r="AG609" s="5" t="str">
        <f t="shared" si="212"/>
        <v>CAD</v>
      </c>
      <c r="AH609" s="5">
        <f t="shared" si="213"/>
        <v>0</v>
      </c>
      <c r="AI609" s="12">
        <f>IF(L609-N609=0,VLOOKUP(U609,rate!A$4:B$15,2,FALSE)*AH609,IF(AG609="USD",O609,AH609*Y609))</f>
        <v>0</v>
      </c>
      <c r="AJ609" s="13">
        <f t="shared" si="214"/>
        <v>0</v>
      </c>
      <c r="AK609" s="13">
        <f>-IF(AG609="CAD",IFERROR(VLOOKUP(D609,CAARStatus!$A$1:$Y$1600,16,FALSE),0),0)</f>
        <v>-830.65</v>
      </c>
      <c r="AL609" s="13">
        <f>-IF(AG609="USD",IFERROR(VLOOKUP(D609,CAARStatus!$A$1:$Y$1600,11,FALSE),0),0)</f>
        <v>0</v>
      </c>
      <c r="AM609" s="22">
        <f t="shared" si="215"/>
        <v>-830.65</v>
      </c>
      <c r="AN609" s="12" t="str">
        <f t="shared" si="216"/>
        <v/>
      </c>
      <c r="AO609" s="12" t="str">
        <f t="shared" si="217"/>
        <v>Yes</v>
      </c>
      <c r="AP609" t="str">
        <f t="shared" si="202"/>
        <v>XX</v>
      </c>
      <c r="AQ609" t="str">
        <f>IFERROR(VLOOKUP(Z609,InvBal!$L$4:$P$600,4,FALSE),"Pend")</f>
        <v>Yes</v>
      </c>
      <c r="AR609" t="str">
        <f>IFERROR(VLOOKUP(D609,Manual!$C$1:$E$22,2,FALSE),"Pend")</f>
        <v>Pend</v>
      </c>
      <c r="AS609" t="str">
        <f t="shared" si="218"/>
        <v>Yes</v>
      </c>
      <c r="AT609" t="str">
        <f t="shared" si="219"/>
        <v/>
      </c>
      <c r="AU609" s="51" t="str">
        <f t="shared" si="220"/>
        <v/>
      </c>
      <c r="AV609" s="12">
        <f>IFERROR(VLOOKUP(D609,'Receivable Invoice Detail'!$S$1:$U$3014,3,FALSE),0)</f>
        <v>0</v>
      </c>
      <c r="AW609" s="12">
        <f t="shared" si="221"/>
        <v>0</v>
      </c>
    </row>
    <row r="610" spans="1:49" x14ac:dyDescent="0.25">
      <c r="A610" s="2">
        <v>1</v>
      </c>
      <c r="B610" s="2" t="s">
        <v>1199</v>
      </c>
      <c r="C610" s="2" t="s">
        <v>1200</v>
      </c>
      <c r="D610" s="2" t="s">
        <v>2881</v>
      </c>
      <c r="E610" s="2" t="s">
        <v>135</v>
      </c>
      <c r="F610" s="3">
        <v>45817.696400462963</v>
      </c>
      <c r="G610" s="3">
        <v>45824.427071759259</v>
      </c>
      <c r="H610" s="4">
        <v>45914</v>
      </c>
      <c r="I610" s="2" t="s">
        <v>21</v>
      </c>
      <c r="J610" s="2" t="s">
        <v>22</v>
      </c>
      <c r="K610" s="2">
        <v>1</v>
      </c>
      <c r="L610" s="2">
        <v>49415.4</v>
      </c>
      <c r="M610" s="2">
        <v>0</v>
      </c>
      <c r="N610" s="2">
        <v>36448.314609907138</v>
      </c>
      <c r="O610" s="2">
        <v>43730.44</v>
      </c>
      <c r="P610" s="2">
        <v>5684.96</v>
      </c>
      <c r="Q610" s="2">
        <v>49415.4</v>
      </c>
      <c r="R610" s="2" t="s">
        <v>44</v>
      </c>
      <c r="S610" s="2"/>
      <c r="T610" s="2">
        <f t="shared" si="203"/>
        <v>1</v>
      </c>
      <c r="U610" s="18">
        <f t="shared" si="204"/>
        <v>6</v>
      </c>
      <c r="V610" s="18">
        <f t="shared" si="205"/>
        <v>2025</v>
      </c>
      <c r="W610" s="18">
        <f t="shared" si="206"/>
        <v>12</v>
      </c>
      <c r="X610" s="18">
        <f t="shared" si="207"/>
        <v>2025</v>
      </c>
      <c r="Y610" s="2">
        <f t="shared" si="200"/>
        <v>0.73759019677888138</v>
      </c>
      <c r="Z610" t="str">
        <f t="shared" si="201"/>
        <v>SO17311</v>
      </c>
      <c r="AA610" s="11">
        <f t="shared" si="208"/>
        <v>45817.696400462963</v>
      </c>
      <c r="AB610" s="5" t="str">
        <f t="shared" si="209"/>
        <v>INV13585</v>
      </c>
      <c r="AC610" s="5" t="str">
        <f>IFERROR(VLOOKUP(D610,CAARStatus!$A$2:$AA$1600,22,FALSE),"Not invoiced")</f>
        <v>Paid</v>
      </c>
      <c r="AD610" s="11">
        <f>IF(AC610="Paid",IFERROR(VLOOKUP(D610,CAARStatus!$A$2:$AA$1600,6,FALSE),"Pending"),"Pending")</f>
        <v>46021</v>
      </c>
      <c r="AE610" s="5" t="str">
        <f t="shared" si="210"/>
        <v>1024866</v>
      </c>
      <c r="AF610" s="5" t="str">
        <f t="shared" si="211"/>
        <v>Thunder Bay Pulp and Paper Inc</v>
      </c>
      <c r="AG610" s="5" t="str">
        <f t="shared" si="212"/>
        <v>CAD</v>
      </c>
      <c r="AH610" s="5">
        <f t="shared" si="213"/>
        <v>43730.44</v>
      </c>
      <c r="AI610" s="12">
        <f>IF(L610-N610=0,VLOOKUP(U610,rate!A$4:B$15,2,FALSE)*AH610,IF(AG610="USD",O610,AH610*Y610))</f>
        <v>32255.143844827067</v>
      </c>
      <c r="AJ610" s="13">
        <f t="shared" si="214"/>
        <v>0.73759019677888138</v>
      </c>
      <c r="AK610" s="13">
        <f>-IF(AG610="CAD",IFERROR(VLOOKUP(D610,CAARStatus!$A$1:$Y$1600,16,FALSE),0),0)</f>
        <v>-43730.44</v>
      </c>
      <c r="AL610" s="13">
        <f>-IF(AG610="USD",IFERROR(VLOOKUP(D610,CAARStatus!$A$1:$Y$1600,11,FALSE),0),0)</f>
        <v>0</v>
      </c>
      <c r="AM610" s="22">
        <f t="shared" si="215"/>
        <v>0</v>
      </c>
      <c r="AN610" s="12" t="str">
        <f t="shared" si="216"/>
        <v/>
      </c>
      <c r="AO610" s="12" t="str">
        <f t="shared" si="217"/>
        <v>Yes</v>
      </c>
      <c r="AP610" t="str">
        <f t="shared" si="202"/>
        <v>Yes</v>
      </c>
      <c r="AQ610" t="str">
        <f>IFERROR(VLOOKUP(Z610,InvBal!$L$4:$P$600,4,FALSE),"Pend")</f>
        <v>Pend</v>
      </c>
      <c r="AR610" t="str">
        <f>IFERROR(VLOOKUP(D610,Manual!$C$1:$E$22,2,FALSE),"Pend")</f>
        <v>Pend</v>
      </c>
      <c r="AS610" t="str">
        <f t="shared" si="218"/>
        <v>Yes</v>
      </c>
      <c r="AT610" t="str">
        <f t="shared" si="219"/>
        <v>Yes</v>
      </c>
      <c r="AU610" s="51" t="str">
        <f t="shared" si="220"/>
        <v>Yes</v>
      </c>
      <c r="AV610" s="12">
        <f>IFERROR(VLOOKUP(D610,'Receivable Invoice Detail'!$S$1:$U$3014,3,FALSE),0)</f>
        <v>0</v>
      </c>
      <c r="AW610" s="12">
        <f t="shared" si="221"/>
        <v>32255.143844827067</v>
      </c>
    </row>
    <row r="611" spans="1:49" x14ac:dyDescent="0.25">
      <c r="A611" s="2">
        <v>1</v>
      </c>
      <c r="B611" s="2" t="s">
        <v>1229</v>
      </c>
      <c r="C611" s="2" t="s">
        <v>1230</v>
      </c>
      <c r="D611" s="2" t="s">
        <v>2861</v>
      </c>
      <c r="E611" s="2" t="s">
        <v>1231</v>
      </c>
      <c r="F611" s="3">
        <v>45817.713761574072</v>
      </c>
      <c r="G611" s="3">
        <v>45819.490624999999</v>
      </c>
      <c r="H611" s="4">
        <v>45924</v>
      </c>
      <c r="I611" s="2" t="s">
        <v>21</v>
      </c>
      <c r="J611" s="2" t="s">
        <v>22</v>
      </c>
      <c r="K611" s="2">
        <v>1</v>
      </c>
      <c r="L611" s="2">
        <v>10428.75</v>
      </c>
      <c r="M611" s="2">
        <v>0</v>
      </c>
      <c r="N611" s="2">
        <v>7632.4541295444478</v>
      </c>
      <c r="O611" s="2">
        <v>9932.14</v>
      </c>
      <c r="P611" s="2">
        <v>496.61</v>
      </c>
      <c r="Q611" s="2">
        <v>10428.75</v>
      </c>
      <c r="R611" s="2" t="s">
        <v>44</v>
      </c>
      <c r="S611" s="2"/>
      <c r="T611" s="2">
        <f t="shared" si="203"/>
        <v>1</v>
      </c>
      <c r="U611" s="18">
        <f t="shared" si="204"/>
        <v>6</v>
      </c>
      <c r="V611" s="18">
        <f t="shared" si="205"/>
        <v>2025</v>
      </c>
      <c r="W611" s="18">
        <f t="shared" si="206"/>
        <v>10</v>
      </c>
      <c r="X611" s="18">
        <f t="shared" si="207"/>
        <v>2025</v>
      </c>
      <c r="Y611" s="2">
        <f t="shared" si="200"/>
        <v>0.73186663114413975</v>
      </c>
      <c r="Z611" t="str">
        <f t="shared" si="201"/>
        <v>SO17312</v>
      </c>
      <c r="AA611" s="11">
        <f t="shared" si="208"/>
        <v>45817.713761574072</v>
      </c>
      <c r="AB611" s="5" t="str">
        <f t="shared" si="209"/>
        <v>INV13490</v>
      </c>
      <c r="AC611" s="5" t="str">
        <f>IFERROR(VLOOKUP(D611,CAARStatus!$A$2:$AA$1600,22,FALSE),"Not invoiced")</f>
        <v>Paid</v>
      </c>
      <c r="AD611" s="11">
        <f>IF(AC611="Paid",IFERROR(VLOOKUP(D611,CAARStatus!$A$2:$AA$1600,6,FALSE),"Pending"),"Pending")</f>
        <v>45936</v>
      </c>
      <c r="AE611" s="5" t="str">
        <f t="shared" si="210"/>
        <v>0005999</v>
      </c>
      <c r="AF611" s="5" t="str">
        <f t="shared" si="211"/>
        <v>QI Supply Limited</v>
      </c>
      <c r="AG611" s="5" t="str">
        <f t="shared" si="212"/>
        <v>CAD</v>
      </c>
      <c r="AH611" s="5">
        <f t="shared" si="213"/>
        <v>9932.14</v>
      </c>
      <c r="AI611" s="12">
        <f>IF(L611-N611=0,VLOOKUP(U611,rate!A$4:B$15,2,FALSE)*AH611,IF(AG611="USD",O611,AH611*Y611))</f>
        <v>7269.0018418519558</v>
      </c>
      <c r="AJ611" s="13">
        <f t="shared" si="214"/>
        <v>0.73186663114413975</v>
      </c>
      <c r="AK611" s="13">
        <f>-IF(AG611="CAD",IFERROR(VLOOKUP(D611,CAARStatus!$A$1:$Y$1600,16,FALSE),0),0)</f>
        <v>-9932.14</v>
      </c>
      <c r="AL611" s="13">
        <f>-IF(AG611="USD",IFERROR(VLOOKUP(D611,CAARStatus!$A$1:$Y$1600,11,FALSE),0),0)</f>
        <v>0</v>
      </c>
      <c r="AM611" s="22">
        <f t="shared" si="215"/>
        <v>0</v>
      </c>
      <c r="AN611" s="12" t="str">
        <f t="shared" si="216"/>
        <v/>
      </c>
      <c r="AO611" s="12" t="str">
        <f t="shared" si="217"/>
        <v>Yes</v>
      </c>
      <c r="AP611" t="str">
        <f t="shared" si="202"/>
        <v>Yes</v>
      </c>
      <c r="AQ611" t="str">
        <f>IFERROR(VLOOKUP(Z611,InvBal!$L$4:$P$600,4,FALSE),"Pend")</f>
        <v>Pend</v>
      </c>
      <c r="AR611" t="str">
        <f>IFERROR(VLOOKUP(D611,Manual!$C$1:$E$22,2,FALSE),"Pend")</f>
        <v>Pend</v>
      </c>
      <c r="AS611" t="str">
        <f t="shared" si="218"/>
        <v>Yes</v>
      </c>
      <c r="AT611" t="str">
        <f t="shared" si="219"/>
        <v>Yes</v>
      </c>
      <c r="AU611" s="51" t="str">
        <f t="shared" si="220"/>
        <v>Yes</v>
      </c>
      <c r="AV611" s="12">
        <f>IFERROR(VLOOKUP(D611,'Receivable Invoice Detail'!$S$1:$U$3014,3,FALSE),0)</f>
        <v>0</v>
      </c>
      <c r="AW611" s="12">
        <f t="shared" si="221"/>
        <v>7269.0018418519558</v>
      </c>
    </row>
    <row r="612" spans="1:49" ht="30" x14ac:dyDescent="0.25">
      <c r="A612" s="2">
        <v>1</v>
      </c>
      <c r="B612" s="2" t="s">
        <v>1251</v>
      </c>
      <c r="C612" s="2" t="s">
        <v>1252</v>
      </c>
      <c r="D612" s="2" t="s">
        <v>2850</v>
      </c>
      <c r="E612" s="2" t="s">
        <v>129</v>
      </c>
      <c r="F612" s="3">
        <v>45817.779270833344</v>
      </c>
      <c r="G612" s="3">
        <v>45817.778437499997</v>
      </c>
      <c r="H612" s="4">
        <v>45817</v>
      </c>
      <c r="I612" s="2" t="s">
        <v>130</v>
      </c>
      <c r="J612" s="2" t="s">
        <v>51</v>
      </c>
      <c r="K612" s="2">
        <v>0.73007596812830444</v>
      </c>
      <c r="L612" s="2">
        <v>3670.8508662060399</v>
      </c>
      <c r="M612" s="2">
        <v>0</v>
      </c>
      <c r="N612" s="2">
        <v>2680</v>
      </c>
      <c r="O612" s="2">
        <v>2680</v>
      </c>
      <c r="P612" s="2"/>
      <c r="Q612" s="2">
        <v>2680</v>
      </c>
      <c r="R612" s="2" t="s">
        <v>44</v>
      </c>
      <c r="S612" s="2"/>
      <c r="T612" s="2">
        <f t="shared" si="203"/>
        <v>1</v>
      </c>
      <c r="U612" s="18">
        <f t="shared" si="204"/>
        <v>6</v>
      </c>
      <c r="V612" s="18">
        <f t="shared" si="205"/>
        <v>2025</v>
      </c>
      <c r="W612" s="18" t="str">
        <f t="shared" si="206"/>
        <v/>
      </c>
      <c r="X612" s="18" t="str">
        <f t="shared" si="207"/>
        <v/>
      </c>
      <c r="Y612" s="2">
        <f t="shared" si="200"/>
        <v>0.73007596812830455</v>
      </c>
      <c r="Z612" t="str">
        <f t="shared" si="201"/>
        <v>SO17313</v>
      </c>
      <c r="AA612" s="11">
        <f t="shared" si="208"/>
        <v>45817.779270833344</v>
      </c>
      <c r="AB612" s="5" t="str">
        <f t="shared" si="209"/>
        <v>INV13346</v>
      </c>
      <c r="AC612" s="5" t="str">
        <f>IFERROR(VLOOKUP(D612,CAARStatus!$A$2:$AA$1600,22,FALSE),"Not invoiced")</f>
        <v>Approved</v>
      </c>
      <c r="AD612" s="11" t="str">
        <f>IF(AC612="Paid",IFERROR(VLOOKUP(D612,CAARStatus!$A$2:$AA$1600,6,FALSE),"Pending"),"Pending")</f>
        <v>Pending</v>
      </c>
      <c r="AE612" s="5" t="str">
        <f t="shared" si="210"/>
        <v>OC00174</v>
      </c>
      <c r="AF612" s="5" t="str">
        <f t="shared" si="211"/>
        <v>Dynapro Pumps México S de RL de CV</v>
      </c>
      <c r="AG612" s="5" t="str">
        <f t="shared" si="212"/>
        <v>USD</v>
      </c>
      <c r="AH612" s="5">
        <f t="shared" si="213"/>
        <v>3670.8508662060403</v>
      </c>
      <c r="AI612" s="12">
        <f>IF(L612-N612=0,VLOOKUP(U612,rate!A$4:B$15,2,FALSE)*AH612,IF(AG612="USD",O612,AH612*Y612))</f>
        <v>2680</v>
      </c>
      <c r="AJ612" s="13">
        <f t="shared" si="214"/>
        <v>0.73007596812830444</v>
      </c>
      <c r="AK612" s="13">
        <f>-IF(AG612="CAD",IFERROR(VLOOKUP(D612,CAARStatus!$A$1:$Y$1600,16,FALSE),0),0)</f>
        <v>0</v>
      </c>
      <c r="AL612" s="13">
        <f>-IF(AG612="USD",IFERROR(VLOOKUP(D612,CAARStatus!$A$1:$Y$1600,11,FALSE),0),0)</f>
        <v>-2680</v>
      </c>
      <c r="AM612" s="22" t="str">
        <f t="shared" si="215"/>
        <v/>
      </c>
      <c r="AN612" s="12">
        <f t="shared" si="216"/>
        <v>0</v>
      </c>
      <c r="AO612" s="12" t="str">
        <f t="shared" si="217"/>
        <v>Pend</v>
      </c>
      <c r="AP612" t="str">
        <f t="shared" si="202"/>
        <v>Pend</v>
      </c>
      <c r="AQ612" t="str">
        <f>IFERROR(VLOOKUP(Z612,InvBal!$L$4:$P$600,4,FALSE),"Pend")</f>
        <v>Pend</v>
      </c>
      <c r="AR612" t="str">
        <f>IFERROR(VLOOKUP(D612,Manual!$C$1:$E$22,2,FALSE),"Pend")</f>
        <v>Pend</v>
      </c>
      <c r="AS612" t="str">
        <f t="shared" si="218"/>
        <v/>
      </c>
      <c r="AT612" t="str">
        <f t="shared" si="219"/>
        <v>Yes</v>
      </c>
      <c r="AU612" s="51" t="str">
        <f t="shared" si="220"/>
        <v/>
      </c>
      <c r="AV612" s="12">
        <f>IFERROR(VLOOKUP(D612,'Receivable Invoice Detail'!$S$1:$U$3014,3,FALSE),0)</f>
        <v>0</v>
      </c>
      <c r="AW612" s="12">
        <f t="shared" si="221"/>
        <v>0</v>
      </c>
    </row>
    <row r="613" spans="1:49" ht="30" x14ac:dyDescent="0.25">
      <c r="A613" s="2">
        <v>1</v>
      </c>
      <c r="B613" s="2" t="s">
        <v>1173</v>
      </c>
      <c r="C613" s="2" t="s">
        <v>1174</v>
      </c>
      <c r="D613" s="2" t="s">
        <v>2893</v>
      </c>
      <c r="E613" s="2" t="s">
        <v>239</v>
      </c>
      <c r="F613" s="3">
        <v>45818.528379629628</v>
      </c>
      <c r="G613" s="3">
        <v>45828.326377314806</v>
      </c>
      <c r="H613" s="4">
        <v>45931</v>
      </c>
      <c r="I613" s="2" t="s">
        <v>180</v>
      </c>
      <c r="J613" s="2" t="s">
        <v>51</v>
      </c>
      <c r="K613" s="2">
        <v>0.73067487305017076</v>
      </c>
      <c r="L613" s="2">
        <v>9028.6394719735035</v>
      </c>
      <c r="M613" s="2">
        <v>0</v>
      </c>
      <c r="N613" s="2">
        <v>6597</v>
      </c>
      <c r="O613" s="2">
        <v>6597</v>
      </c>
      <c r="P613" s="2"/>
      <c r="Q613" s="2">
        <v>6597</v>
      </c>
      <c r="R613" s="2" t="s">
        <v>44</v>
      </c>
      <c r="S613" s="2"/>
      <c r="T613" s="2">
        <f t="shared" si="203"/>
        <v>1</v>
      </c>
      <c r="U613" s="18">
        <f t="shared" si="204"/>
        <v>6</v>
      </c>
      <c r="V613" s="18">
        <f t="shared" si="205"/>
        <v>2025</v>
      </c>
      <c r="W613" s="18" t="str">
        <f t="shared" si="206"/>
        <v/>
      </c>
      <c r="X613" s="18" t="str">
        <f t="shared" si="207"/>
        <v/>
      </c>
      <c r="Y613" s="2">
        <f t="shared" si="200"/>
        <v>0.73067487305017076</v>
      </c>
      <c r="Z613" t="str">
        <f t="shared" si="201"/>
        <v>SO17315</v>
      </c>
      <c r="AA613" s="11">
        <f t="shared" si="208"/>
        <v>45818.528379629628</v>
      </c>
      <c r="AB613" s="5" t="str">
        <f t="shared" si="209"/>
        <v>INV13535</v>
      </c>
      <c r="AC613" s="5" t="str">
        <f>IFERROR(VLOOKUP(D613,CAARStatus!$A$2:$AA$1600,22,FALSE),"Not invoiced")</f>
        <v>Approved</v>
      </c>
      <c r="AD613" s="11" t="str">
        <f>IF(AC613="Paid",IFERROR(VLOOKUP(D613,CAARStatus!$A$2:$AA$1600,6,FALSE),"Pending"),"Pending")</f>
        <v>Pending</v>
      </c>
      <c r="AE613" s="5" t="str">
        <f t="shared" si="210"/>
        <v>1052, ship to PO# 2251390</v>
      </c>
      <c r="AF613" s="5" t="str">
        <f t="shared" si="211"/>
        <v>Mill-Right Mine Services Inc.</v>
      </c>
      <c r="AG613" s="5" t="str">
        <f t="shared" si="212"/>
        <v>USD</v>
      </c>
      <c r="AH613" s="5">
        <f t="shared" si="213"/>
        <v>9028.6394719735035</v>
      </c>
      <c r="AI613" s="12">
        <f>IF(L613-N613=0,VLOOKUP(U613,rate!A$4:B$15,2,FALSE)*AH613,IF(AG613="USD",O613,AH613*Y613))</f>
        <v>6597</v>
      </c>
      <c r="AJ613" s="13">
        <f t="shared" si="214"/>
        <v>0.73067487305017076</v>
      </c>
      <c r="AK613" s="13">
        <f>-IF(AG613="CAD",IFERROR(VLOOKUP(D613,CAARStatus!$A$1:$Y$1600,16,FALSE),0),0)</f>
        <v>0</v>
      </c>
      <c r="AL613" s="13">
        <f>-IF(AG613="USD",IFERROR(VLOOKUP(D613,CAARStatus!$A$1:$Y$1600,11,FALSE),0),0)</f>
        <v>-6597</v>
      </c>
      <c r="AM613" s="22" t="str">
        <f t="shared" si="215"/>
        <v/>
      </c>
      <c r="AN613" s="12">
        <f t="shared" si="216"/>
        <v>0</v>
      </c>
      <c r="AO613" s="12" t="str">
        <f t="shared" si="217"/>
        <v>Pend</v>
      </c>
      <c r="AP613" t="str">
        <f t="shared" si="202"/>
        <v>Pend</v>
      </c>
      <c r="AQ613" t="str">
        <f>IFERROR(VLOOKUP(Z613,InvBal!$L$4:$P$600,4,FALSE),"Pend")</f>
        <v>Pend</v>
      </c>
      <c r="AR613" t="str">
        <f>IFERROR(VLOOKUP(D613,Manual!$C$1:$E$22,2,FALSE),"Pend")</f>
        <v>Pend</v>
      </c>
      <c r="AS613" t="str">
        <f t="shared" si="218"/>
        <v/>
      </c>
      <c r="AT613" t="str">
        <f t="shared" si="219"/>
        <v>Yes</v>
      </c>
      <c r="AU613" s="51" t="str">
        <f t="shared" si="220"/>
        <v/>
      </c>
      <c r="AV613" s="12">
        <f>IFERROR(VLOOKUP(D613,'Receivable Invoice Detail'!$S$1:$U$3014,3,FALSE),0)</f>
        <v>667</v>
      </c>
      <c r="AW613" s="12">
        <f t="shared" si="221"/>
        <v>0</v>
      </c>
    </row>
    <row r="614" spans="1:49" x14ac:dyDescent="0.25">
      <c r="A614" s="2">
        <v>1</v>
      </c>
      <c r="B614" s="2" t="s">
        <v>1221</v>
      </c>
      <c r="C614" s="2" t="s">
        <v>1222</v>
      </c>
      <c r="D614" s="2" t="s">
        <v>2869</v>
      </c>
      <c r="E614" s="2" t="s">
        <v>242</v>
      </c>
      <c r="F614" s="3">
        <v>45818.601134259261</v>
      </c>
      <c r="G614" s="3">
        <v>45820.718611111108</v>
      </c>
      <c r="H614" s="4">
        <v>45824</v>
      </c>
      <c r="I614" s="2" t="s">
        <v>21</v>
      </c>
      <c r="J614" s="2" t="s">
        <v>22</v>
      </c>
      <c r="K614" s="2">
        <v>1</v>
      </c>
      <c r="L614" s="2">
        <v>1493.63</v>
      </c>
      <c r="M614" s="2">
        <v>0</v>
      </c>
      <c r="N614" s="2">
        <v>1096.769802253523</v>
      </c>
      <c r="O614" s="2">
        <v>1422.5</v>
      </c>
      <c r="P614" s="2">
        <v>71.13</v>
      </c>
      <c r="Q614" s="2">
        <v>1493.63</v>
      </c>
      <c r="R614" s="2" t="s">
        <v>44</v>
      </c>
      <c r="S614" s="2"/>
      <c r="T614" s="2">
        <f t="shared" si="203"/>
        <v>1</v>
      </c>
      <c r="U614" s="18">
        <f t="shared" si="204"/>
        <v>6</v>
      </c>
      <c r="V614" s="18">
        <f t="shared" si="205"/>
        <v>2025</v>
      </c>
      <c r="W614" s="18">
        <f t="shared" si="206"/>
        <v>7</v>
      </c>
      <c r="X614" s="18">
        <f t="shared" si="207"/>
        <v>2025</v>
      </c>
      <c r="Y614" s="2">
        <f t="shared" si="200"/>
        <v>0.73429818780656719</v>
      </c>
      <c r="Z614" t="str">
        <f t="shared" si="201"/>
        <v>SO17316</v>
      </c>
      <c r="AA614" s="11">
        <f t="shared" si="208"/>
        <v>45818.601134259261</v>
      </c>
      <c r="AB614" s="5" t="str">
        <f t="shared" si="209"/>
        <v>INV13092</v>
      </c>
      <c r="AC614" s="5" t="str">
        <f>IFERROR(VLOOKUP(D614,CAARStatus!$A$2:$AA$1600,22,FALSE),"Not invoiced")</f>
        <v>Paid</v>
      </c>
      <c r="AD614" s="11">
        <f>IF(AC614="Paid",IFERROR(VLOOKUP(D614,CAARStatus!$A$2:$AA$1600,6,FALSE),"Pending"),"Pending")</f>
        <v>45854</v>
      </c>
      <c r="AE614" s="5" t="str">
        <f t="shared" si="210"/>
        <v>2100592601</v>
      </c>
      <c r="AF614" s="5" t="str">
        <f t="shared" si="211"/>
        <v>Wajax Limited - Noranda</v>
      </c>
      <c r="AG614" s="5" t="str">
        <f t="shared" si="212"/>
        <v>CAD</v>
      </c>
      <c r="AH614" s="5">
        <f t="shared" si="213"/>
        <v>1422.5</v>
      </c>
      <c r="AI614" s="12">
        <f>IF(L614-N614=0,VLOOKUP(U614,rate!A$4:B$15,2,FALSE)*AH614,IF(AG614="USD",O614,AH614*Y614))</f>
        <v>1044.5391721548419</v>
      </c>
      <c r="AJ614" s="13">
        <f t="shared" si="214"/>
        <v>0.7342981878065673</v>
      </c>
      <c r="AK614" s="13">
        <f>-IF(AG614="CAD",IFERROR(VLOOKUP(D614,CAARStatus!$A$1:$Y$1600,16,FALSE),0),0)</f>
        <v>-1422.5</v>
      </c>
      <c r="AL614" s="13">
        <f>-IF(AG614="USD",IFERROR(VLOOKUP(D614,CAARStatus!$A$1:$Y$1600,11,FALSE),0),0)</f>
        <v>0</v>
      </c>
      <c r="AM614" s="22">
        <f t="shared" si="215"/>
        <v>0</v>
      </c>
      <c r="AN614" s="12" t="str">
        <f t="shared" si="216"/>
        <v/>
      </c>
      <c r="AO614" s="12" t="str">
        <f t="shared" si="217"/>
        <v>Yes</v>
      </c>
      <c r="AP614" t="str">
        <f t="shared" si="202"/>
        <v>Yes</v>
      </c>
      <c r="AQ614" t="str">
        <f>IFERROR(VLOOKUP(Z614,InvBal!$L$4:$P$600,4,FALSE),"Pend")</f>
        <v>Pend</v>
      </c>
      <c r="AR614" t="str">
        <f>IFERROR(VLOOKUP(D614,Manual!$C$1:$E$22,2,FALSE),"Pend")</f>
        <v>Pend</v>
      </c>
      <c r="AS614" t="str">
        <f t="shared" si="218"/>
        <v>Yes</v>
      </c>
      <c r="AT614" t="str">
        <f t="shared" si="219"/>
        <v>Yes</v>
      </c>
      <c r="AU614" s="51" t="str">
        <f t="shared" si="220"/>
        <v>Yes</v>
      </c>
      <c r="AV614" s="12">
        <f>IFERROR(VLOOKUP(D614,'Receivable Invoice Detail'!$S$1:$U$3014,3,FALSE),0)</f>
        <v>0</v>
      </c>
      <c r="AW614" s="12">
        <f t="shared" si="221"/>
        <v>1044.5391721548419</v>
      </c>
    </row>
    <row r="615" spans="1:49" ht="30" x14ac:dyDescent="0.25">
      <c r="A615" s="2">
        <v>1</v>
      </c>
      <c r="B615" s="2" t="s">
        <v>1239</v>
      </c>
      <c r="C615" s="2" t="s">
        <v>1240</v>
      </c>
      <c r="D615" s="2" t="s">
        <v>2857</v>
      </c>
      <c r="E615" s="2" t="s">
        <v>290</v>
      </c>
      <c r="F615" s="3">
        <v>45818.686932870369</v>
      </c>
      <c r="G615" s="3">
        <v>45818.68787037037</v>
      </c>
      <c r="H615" s="4">
        <v>45819</v>
      </c>
      <c r="I615" s="2" t="s">
        <v>21</v>
      </c>
      <c r="J615" s="2" t="s">
        <v>22</v>
      </c>
      <c r="K615" s="2">
        <v>1</v>
      </c>
      <c r="L615" s="2">
        <v>1973.54</v>
      </c>
      <c r="M615" s="2">
        <v>0</v>
      </c>
      <c r="N615" s="2">
        <v>1442.1365392798641</v>
      </c>
      <c r="O615" s="2">
        <v>1879.56</v>
      </c>
      <c r="P615" s="2">
        <v>93.98</v>
      </c>
      <c r="Q615" s="2">
        <v>1973.54</v>
      </c>
      <c r="R615" s="2" t="s">
        <v>44</v>
      </c>
      <c r="S615" s="2"/>
      <c r="T615" s="2">
        <f t="shared" si="203"/>
        <v>1</v>
      </c>
      <c r="U615" s="18">
        <f t="shared" si="204"/>
        <v>6</v>
      </c>
      <c r="V615" s="18">
        <f t="shared" si="205"/>
        <v>2025</v>
      </c>
      <c r="W615" s="18">
        <f t="shared" si="206"/>
        <v>8</v>
      </c>
      <c r="X615" s="18">
        <f t="shared" si="207"/>
        <v>2025</v>
      </c>
      <c r="Y615" s="2">
        <f t="shared" si="200"/>
        <v>0.73073590567197222</v>
      </c>
      <c r="Z615" t="str">
        <f t="shared" si="201"/>
        <v>SO17317</v>
      </c>
      <c r="AA615" s="11">
        <f t="shared" si="208"/>
        <v>45818.686932870369</v>
      </c>
      <c r="AB615" s="5" t="str">
        <f t="shared" si="209"/>
        <v>INV13083</v>
      </c>
      <c r="AC615" s="5" t="str">
        <f>IFERROR(VLOOKUP(D615,CAARStatus!$A$2:$AA$1600,22,FALSE),"Not invoiced")</f>
        <v>Paid</v>
      </c>
      <c r="AD615" s="11">
        <f>IF(AC615="Paid",IFERROR(VLOOKUP(D615,CAARStatus!$A$2:$AA$1600,6,FALSE),"Pending"),"Pending")</f>
        <v>45877</v>
      </c>
      <c r="AE615" s="5" t="str">
        <f t="shared" si="210"/>
        <v>4500600624</v>
      </c>
      <c r="AF615" s="5" t="str">
        <f t="shared" si="211"/>
        <v>Resolute Forest Products - Kenogami</v>
      </c>
      <c r="AG615" s="5" t="str">
        <f t="shared" si="212"/>
        <v>CAD</v>
      </c>
      <c r="AH615" s="5">
        <f t="shared" si="213"/>
        <v>1879.56</v>
      </c>
      <c r="AI615" s="12">
        <f>IF(L615-N615=0,VLOOKUP(U615,rate!A$4:B$15,2,FALSE)*AH615,IF(AG615="USD",O615,AH615*Y615))</f>
        <v>1373.461978864812</v>
      </c>
      <c r="AJ615" s="13">
        <f t="shared" si="214"/>
        <v>0.73073590567197211</v>
      </c>
      <c r="AK615" s="13">
        <f>-IF(AG615="CAD",IFERROR(VLOOKUP(D615,CAARStatus!$A$1:$Y$1600,16,FALSE),0),0)</f>
        <v>-1879.56</v>
      </c>
      <c r="AL615" s="13">
        <f>-IF(AG615="USD",IFERROR(VLOOKUP(D615,CAARStatus!$A$1:$Y$1600,11,FALSE),0),0)</f>
        <v>0</v>
      </c>
      <c r="AM615" s="22">
        <f t="shared" si="215"/>
        <v>0</v>
      </c>
      <c r="AN615" s="12" t="str">
        <f t="shared" si="216"/>
        <v/>
      </c>
      <c r="AO615" s="12" t="str">
        <f t="shared" si="217"/>
        <v>Yes</v>
      </c>
      <c r="AP615" t="str">
        <f t="shared" si="202"/>
        <v>Yes</v>
      </c>
      <c r="AQ615" t="str">
        <f>IFERROR(VLOOKUP(Z615,InvBal!$L$4:$P$600,4,FALSE),"Pend")</f>
        <v>Pend</v>
      </c>
      <c r="AR615" t="str">
        <f>IFERROR(VLOOKUP(D615,Manual!$C$1:$E$22,2,FALSE),"Pend")</f>
        <v>Pend</v>
      </c>
      <c r="AS615" t="str">
        <f t="shared" si="218"/>
        <v>Yes</v>
      </c>
      <c r="AT615" t="str">
        <f t="shared" si="219"/>
        <v>Yes</v>
      </c>
      <c r="AU615" s="51" t="str">
        <f t="shared" si="220"/>
        <v>Yes</v>
      </c>
      <c r="AV615" s="12">
        <f>IFERROR(VLOOKUP(D615,'Receivable Invoice Detail'!$S$1:$U$3014,3,FALSE),0)</f>
        <v>0</v>
      </c>
      <c r="AW615" s="12">
        <f t="shared" si="221"/>
        <v>1373.461978864812</v>
      </c>
    </row>
    <row r="616" spans="1:49" ht="30" x14ac:dyDescent="0.25">
      <c r="A616" s="2">
        <v>1</v>
      </c>
      <c r="B616" s="2" t="s">
        <v>1219</v>
      </c>
      <c r="C616" s="2" t="s">
        <v>1220</v>
      </c>
      <c r="D616" s="2" t="s">
        <v>2870</v>
      </c>
      <c r="E616" s="2" t="s">
        <v>818</v>
      </c>
      <c r="F616" s="3">
        <v>45818.693865740737</v>
      </c>
      <c r="G616" s="3">
        <v>45820.742754629631</v>
      </c>
      <c r="H616" s="4">
        <v>45821</v>
      </c>
      <c r="I616" s="2" t="s">
        <v>71</v>
      </c>
      <c r="J616" s="2" t="s">
        <v>22</v>
      </c>
      <c r="K616" s="2">
        <v>1</v>
      </c>
      <c r="L616" s="2">
        <v>480.54</v>
      </c>
      <c r="M616" s="2">
        <v>0</v>
      </c>
      <c r="N616" s="2">
        <v>352.85965116856778</v>
      </c>
      <c r="O616" s="2">
        <v>457.66</v>
      </c>
      <c r="P616" s="2">
        <v>22.88</v>
      </c>
      <c r="Q616" s="2">
        <v>480.54</v>
      </c>
      <c r="R616" s="2" t="s">
        <v>44</v>
      </c>
      <c r="S616" s="2"/>
      <c r="T616" s="2">
        <f t="shared" si="203"/>
        <v>1</v>
      </c>
      <c r="U616" s="18">
        <f t="shared" si="204"/>
        <v>6</v>
      </c>
      <c r="V616" s="18">
        <f t="shared" si="205"/>
        <v>2025</v>
      </c>
      <c r="W616" s="18">
        <f t="shared" si="206"/>
        <v>7</v>
      </c>
      <c r="X616" s="18">
        <f t="shared" si="207"/>
        <v>2025</v>
      </c>
      <c r="Y616" s="2">
        <f t="shared" si="200"/>
        <v>0.73429818780656708</v>
      </c>
      <c r="Z616" t="str">
        <f t="shared" si="201"/>
        <v>SO17318</v>
      </c>
      <c r="AA616" s="11">
        <f t="shared" si="208"/>
        <v>45818.693865740737</v>
      </c>
      <c r="AB616" s="5" t="str">
        <f t="shared" si="209"/>
        <v>INV13093</v>
      </c>
      <c r="AC616" s="5" t="str">
        <f>IFERROR(VLOOKUP(D616,CAARStatus!$A$2:$AA$1600,22,FALSE),"Not invoiced")</f>
        <v>Paid</v>
      </c>
      <c r="AD616" s="11">
        <f>IF(AC616="Paid",IFERROR(VLOOKUP(D616,CAARStatus!$A$2:$AA$1600,6,FALSE),"Pending"),"Pending")</f>
        <v>45854</v>
      </c>
      <c r="AE616" s="5" t="str">
        <f t="shared" si="210"/>
        <v>2100594290</v>
      </c>
      <c r="AF616" s="5" t="str">
        <f t="shared" si="211"/>
        <v>Wajax Limited - Pointe-aux-Trembles, Wajax Limited</v>
      </c>
      <c r="AG616" s="5" t="str">
        <f t="shared" si="212"/>
        <v>CAD</v>
      </c>
      <c r="AH616" s="5">
        <f t="shared" si="213"/>
        <v>457.66</v>
      </c>
      <c r="AI616" s="12">
        <f>IF(L616-N616=0,VLOOKUP(U616,rate!A$4:B$15,2,FALSE)*AH616,IF(AG616="USD",O616,AH616*Y616))</f>
        <v>336.05890863155349</v>
      </c>
      <c r="AJ616" s="13">
        <f t="shared" si="214"/>
        <v>0.73429818780656708</v>
      </c>
      <c r="AK616" s="13">
        <f>-IF(AG616="CAD",IFERROR(VLOOKUP(D616,CAARStatus!$A$1:$Y$1600,16,FALSE),0),0)</f>
        <v>-457.66</v>
      </c>
      <c r="AL616" s="13">
        <f>-IF(AG616="USD",IFERROR(VLOOKUP(D616,CAARStatus!$A$1:$Y$1600,11,FALSE),0),0)</f>
        <v>0</v>
      </c>
      <c r="AM616" s="22">
        <f t="shared" si="215"/>
        <v>0</v>
      </c>
      <c r="AN616" s="12" t="str">
        <f t="shared" si="216"/>
        <v/>
      </c>
      <c r="AO616" s="12" t="str">
        <f t="shared" si="217"/>
        <v>Yes</v>
      </c>
      <c r="AP616" t="str">
        <f t="shared" si="202"/>
        <v>Yes</v>
      </c>
      <c r="AQ616" t="str">
        <f>IFERROR(VLOOKUP(Z616,InvBal!$L$4:$P$600,4,FALSE),"Pend")</f>
        <v>Pend</v>
      </c>
      <c r="AR616" t="str">
        <f>IFERROR(VLOOKUP(D616,Manual!$C$1:$E$22,2,FALSE),"Pend")</f>
        <v>Pend</v>
      </c>
      <c r="AS616" t="str">
        <f t="shared" si="218"/>
        <v>Yes</v>
      </c>
      <c r="AT616" t="str">
        <f t="shared" si="219"/>
        <v>Yes</v>
      </c>
      <c r="AU616" s="51" t="str">
        <f t="shared" si="220"/>
        <v>Yes</v>
      </c>
      <c r="AV616" s="12">
        <f>IFERROR(VLOOKUP(D616,'Receivable Invoice Detail'!$S$1:$U$3014,3,FALSE),0)</f>
        <v>0</v>
      </c>
      <c r="AW616" s="12">
        <f t="shared" si="221"/>
        <v>336.05890863155349</v>
      </c>
    </row>
    <row r="617" spans="1:49" ht="30" x14ac:dyDescent="0.25">
      <c r="A617" s="2">
        <v>1</v>
      </c>
      <c r="B617" s="2" t="s">
        <v>1237</v>
      </c>
      <c r="C617" s="2" t="s">
        <v>1238</v>
      </c>
      <c r="D617" s="2" t="s">
        <v>2858</v>
      </c>
      <c r="E617" s="2" t="s">
        <v>146</v>
      </c>
      <c r="F617" s="3">
        <v>45818.697604166657</v>
      </c>
      <c r="G617" s="3">
        <v>45818.697604166657</v>
      </c>
      <c r="H617" s="4">
        <v>45825</v>
      </c>
      <c r="I617" s="2" t="s">
        <v>21</v>
      </c>
      <c r="J617" s="2" t="s">
        <v>22</v>
      </c>
      <c r="K617" s="2">
        <v>1</v>
      </c>
      <c r="L617" s="2">
        <v>477.52</v>
      </c>
      <c r="M617" s="2">
        <v>0</v>
      </c>
      <c r="N617" s="2">
        <v>348.94100967648018</v>
      </c>
      <c r="O617" s="2">
        <v>454.78</v>
      </c>
      <c r="P617" s="2">
        <v>22.74</v>
      </c>
      <c r="Q617" s="2">
        <v>477.52</v>
      </c>
      <c r="R617" s="2" t="s">
        <v>44</v>
      </c>
      <c r="S617" s="2"/>
      <c r="T617" s="2">
        <f t="shared" si="203"/>
        <v>1</v>
      </c>
      <c r="U617" s="18">
        <f t="shared" si="204"/>
        <v>6</v>
      </c>
      <c r="V617" s="18">
        <f t="shared" si="205"/>
        <v>2025</v>
      </c>
      <c r="W617" s="18">
        <f t="shared" si="206"/>
        <v>8</v>
      </c>
      <c r="X617" s="18">
        <f t="shared" si="207"/>
        <v>2025</v>
      </c>
      <c r="Y617" s="2">
        <f t="shared" si="200"/>
        <v>0.73073590567197222</v>
      </c>
      <c r="Z617" t="str">
        <f t="shared" si="201"/>
        <v>SO17319</v>
      </c>
      <c r="AA617" s="11">
        <f t="shared" si="208"/>
        <v>45818.697604166657</v>
      </c>
      <c r="AB617" s="5" t="str">
        <f t="shared" si="209"/>
        <v>INV13102</v>
      </c>
      <c r="AC617" s="5" t="str">
        <f>IFERROR(VLOOKUP(D617,CAARStatus!$A$2:$AA$1600,22,FALSE),"Not invoiced")</f>
        <v>Paid</v>
      </c>
      <c r="AD617" s="11">
        <f>IF(AC617="Paid",IFERROR(VLOOKUP(D617,CAARStatus!$A$2:$AA$1600,6,FALSE),"Pending"),"Pending")</f>
        <v>45873</v>
      </c>
      <c r="AE617" s="5" t="str">
        <f t="shared" si="210"/>
        <v>Purchase Order no. 7269 | Steve</v>
      </c>
      <c r="AF617" s="5" t="str">
        <f t="shared" si="211"/>
        <v>Hyperflo</v>
      </c>
      <c r="AG617" s="5" t="str">
        <f t="shared" si="212"/>
        <v>CAD</v>
      </c>
      <c r="AH617" s="5">
        <f t="shared" si="213"/>
        <v>454.78</v>
      </c>
      <c r="AI617" s="12">
        <f>IF(L617-N617=0,VLOOKUP(U617,rate!A$4:B$15,2,FALSE)*AH617,IF(AG617="USD",O617,AH617*Y617))</f>
        <v>332.3240751814995</v>
      </c>
      <c r="AJ617" s="13">
        <f t="shared" si="214"/>
        <v>0.73073590567197222</v>
      </c>
      <c r="AK617" s="13">
        <f>-IF(AG617="CAD",IFERROR(VLOOKUP(D617,CAARStatus!$A$1:$Y$1600,16,FALSE),0),0)</f>
        <v>-454.78</v>
      </c>
      <c r="AL617" s="13">
        <f>-IF(AG617="USD",IFERROR(VLOOKUP(D617,CAARStatus!$A$1:$Y$1600,11,FALSE),0),0)</f>
        <v>0</v>
      </c>
      <c r="AM617" s="22">
        <f t="shared" si="215"/>
        <v>0</v>
      </c>
      <c r="AN617" s="12" t="str">
        <f t="shared" si="216"/>
        <v/>
      </c>
      <c r="AO617" s="12" t="str">
        <f t="shared" si="217"/>
        <v>Yes</v>
      </c>
      <c r="AP617" t="str">
        <f t="shared" si="202"/>
        <v>Yes</v>
      </c>
      <c r="AQ617" t="str">
        <f>IFERROR(VLOOKUP(Z617,InvBal!$L$4:$P$600,4,FALSE),"Pend")</f>
        <v>Pend</v>
      </c>
      <c r="AR617" t="str">
        <f>IFERROR(VLOOKUP(D617,Manual!$C$1:$E$22,2,FALSE),"Pend")</f>
        <v>Pend</v>
      </c>
      <c r="AS617" t="str">
        <f t="shared" si="218"/>
        <v>Yes</v>
      </c>
      <c r="AT617" t="str">
        <f t="shared" si="219"/>
        <v>Yes</v>
      </c>
      <c r="AU617" s="51" t="str">
        <f t="shared" si="220"/>
        <v>Yes</v>
      </c>
      <c r="AV617" s="12">
        <f>IFERROR(VLOOKUP(D617,'Receivable Invoice Detail'!$S$1:$U$3014,3,FALSE),0)</f>
        <v>0</v>
      </c>
      <c r="AW617" s="12">
        <f t="shared" si="221"/>
        <v>332.3240751814995</v>
      </c>
    </row>
    <row r="618" spans="1:49" x14ac:dyDescent="0.25">
      <c r="A618" s="2">
        <v>1</v>
      </c>
      <c r="B618" s="2" t="s">
        <v>1227</v>
      </c>
      <c r="C618" s="2" t="s">
        <v>1228</v>
      </c>
      <c r="D618" s="2" t="s">
        <v>2862</v>
      </c>
      <c r="E618" s="2" t="s">
        <v>146</v>
      </c>
      <c r="F618" s="3">
        <v>45818.701747685183</v>
      </c>
      <c r="G618" s="3">
        <v>45819.713263888887</v>
      </c>
      <c r="H618" s="4">
        <v>45896</v>
      </c>
      <c r="I618" s="2" t="s">
        <v>21</v>
      </c>
      <c r="J618" s="2" t="s">
        <v>22</v>
      </c>
      <c r="K618" s="2">
        <v>1</v>
      </c>
      <c r="L618" s="2">
        <v>5246.09</v>
      </c>
      <c r="M618" s="2">
        <v>0</v>
      </c>
      <c r="N618" s="2">
        <v>3839.4382149789599</v>
      </c>
      <c r="O618" s="2">
        <v>4996.2700000000004</v>
      </c>
      <c r="P618" s="2">
        <v>249.82</v>
      </c>
      <c r="Q618" s="2">
        <v>5246.09</v>
      </c>
      <c r="R618" s="2" t="s">
        <v>44</v>
      </c>
      <c r="S618" s="2"/>
      <c r="T618" s="2">
        <f t="shared" si="203"/>
        <v>1</v>
      </c>
      <c r="U618" s="18">
        <f t="shared" si="204"/>
        <v>6</v>
      </c>
      <c r="V618" s="18">
        <f t="shared" si="205"/>
        <v>2025</v>
      </c>
      <c r="W618" s="18">
        <f t="shared" si="206"/>
        <v>8</v>
      </c>
      <c r="X618" s="18">
        <f t="shared" si="207"/>
        <v>2025</v>
      </c>
      <c r="Y618" s="2">
        <f t="shared" si="200"/>
        <v>0.73186663114413963</v>
      </c>
      <c r="Z618" t="str">
        <f t="shared" si="201"/>
        <v>SO17320</v>
      </c>
      <c r="AA618" s="11">
        <f t="shared" si="208"/>
        <v>45818.701747685183</v>
      </c>
      <c r="AB618" s="5" t="str">
        <f t="shared" si="209"/>
        <v>INV13218</v>
      </c>
      <c r="AC618" s="5" t="str">
        <f>IFERROR(VLOOKUP(D618,CAARStatus!$A$2:$AA$1600,22,FALSE),"Not invoiced")</f>
        <v>Paid</v>
      </c>
      <c r="AD618" s="11">
        <f>IF(AC618="Paid",IFERROR(VLOOKUP(D618,CAARStatus!$A$2:$AA$1600,6,FALSE),"Pending"),"Pending")</f>
        <v>45898</v>
      </c>
      <c r="AE618" s="5" t="str">
        <f t="shared" si="210"/>
        <v>7247</v>
      </c>
      <c r="AF618" s="5" t="str">
        <f t="shared" si="211"/>
        <v>Hyperflo</v>
      </c>
      <c r="AG618" s="5" t="str">
        <f t="shared" si="212"/>
        <v>CAD</v>
      </c>
      <c r="AH618" s="5">
        <f t="shared" si="213"/>
        <v>4996.2700000000004</v>
      </c>
      <c r="AI618" s="12">
        <f>IF(L618-N618=0,VLOOKUP(U618,rate!A$4:B$15,2,FALSE)*AH618,IF(AG618="USD",O618,AH618*Y618))</f>
        <v>3656.6032931865307</v>
      </c>
      <c r="AJ618" s="13">
        <f t="shared" si="214"/>
        <v>0.73186663114413963</v>
      </c>
      <c r="AK618" s="13">
        <f>-IF(AG618="CAD",IFERROR(VLOOKUP(D618,CAARStatus!$A$1:$Y$1600,16,FALSE),0),0)</f>
        <v>-4996.2700000000004</v>
      </c>
      <c r="AL618" s="13">
        <f>-IF(AG618="USD",IFERROR(VLOOKUP(D618,CAARStatus!$A$1:$Y$1600,11,FALSE),0),0)</f>
        <v>0</v>
      </c>
      <c r="AM618" s="22">
        <f t="shared" si="215"/>
        <v>0</v>
      </c>
      <c r="AN618" s="12" t="str">
        <f t="shared" si="216"/>
        <v/>
      </c>
      <c r="AO618" s="12" t="str">
        <f t="shared" si="217"/>
        <v>Yes</v>
      </c>
      <c r="AP618" t="str">
        <f t="shared" si="202"/>
        <v>Yes</v>
      </c>
      <c r="AQ618" t="str">
        <f>IFERROR(VLOOKUP(Z618,InvBal!$L$4:$P$600,4,FALSE),"Pend")</f>
        <v>Pend</v>
      </c>
      <c r="AR618" t="str">
        <f>IFERROR(VLOOKUP(D618,Manual!$C$1:$E$22,2,FALSE),"Pend")</f>
        <v>Pend</v>
      </c>
      <c r="AS618" t="str">
        <f t="shared" si="218"/>
        <v>Yes</v>
      </c>
      <c r="AT618" t="str">
        <f t="shared" si="219"/>
        <v>Yes</v>
      </c>
      <c r="AU618" s="51" t="str">
        <f t="shared" si="220"/>
        <v>Yes</v>
      </c>
      <c r="AV618" s="12">
        <f>IFERROR(VLOOKUP(D618,'Receivable Invoice Detail'!$S$1:$U$3014,3,FALSE),0)</f>
        <v>0</v>
      </c>
      <c r="AW618" s="12">
        <f t="shared" si="221"/>
        <v>3656.6032931865307</v>
      </c>
    </row>
    <row r="619" spans="1:49" ht="30" x14ac:dyDescent="0.25">
      <c r="A619" s="2">
        <v>3</v>
      </c>
      <c r="B619" s="2" t="s">
        <v>1223</v>
      </c>
      <c r="C619" s="2" t="s">
        <v>1224</v>
      </c>
      <c r="D619" s="2" t="s">
        <v>2868</v>
      </c>
      <c r="E619" s="2" t="s">
        <v>450</v>
      </c>
      <c r="F619" s="3">
        <v>45819.410752314812</v>
      </c>
      <c r="G619" s="3">
        <v>45820.657442129632</v>
      </c>
      <c r="H619" s="4">
        <v>45904</v>
      </c>
      <c r="I619" s="2" t="s">
        <v>21</v>
      </c>
      <c r="J619" s="2" t="s">
        <v>22</v>
      </c>
      <c r="K619" s="2">
        <v>1</v>
      </c>
      <c r="L619" s="2">
        <v>7848.62</v>
      </c>
      <c r="M619" s="2">
        <v>0</v>
      </c>
      <c r="N619" s="2">
        <v>5763.2274427823804</v>
      </c>
      <c r="O619" s="2">
        <v>6945.69</v>
      </c>
      <c r="P619" s="2">
        <v>902.93</v>
      </c>
      <c r="Q619" s="2">
        <v>7848.62</v>
      </c>
      <c r="R619" s="2" t="s">
        <v>44</v>
      </c>
      <c r="S619" s="2"/>
      <c r="T619" s="2">
        <f t="shared" si="203"/>
        <v>3</v>
      </c>
      <c r="U619" s="18">
        <f t="shared" si="204"/>
        <v>6</v>
      </c>
      <c r="V619" s="18">
        <f t="shared" si="205"/>
        <v>2025</v>
      </c>
      <c r="W619" s="18">
        <f t="shared" si="206"/>
        <v>8</v>
      </c>
      <c r="X619" s="18">
        <f t="shared" si="207"/>
        <v>2025</v>
      </c>
      <c r="Y619" s="2">
        <f t="shared" si="200"/>
        <v>0.7342981878065673</v>
      </c>
      <c r="Z619" t="str">
        <f t="shared" si="201"/>
        <v>SO17321</v>
      </c>
      <c r="AA619" s="11">
        <f t="shared" si="208"/>
        <v>45819.410752314812</v>
      </c>
      <c r="AB619" s="5" t="str">
        <f t="shared" si="209"/>
        <v>INV13284</v>
      </c>
      <c r="AC619" s="5" t="str">
        <f>IFERROR(VLOOKUP(D619,CAARStatus!$A$2:$AA$1600,22,FALSE),"Not invoiced")</f>
        <v>Paid</v>
      </c>
      <c r="AD619" s="11">
        <f>IF(AC619="Paid",IFERROR(VLOOKUP(D619,CAARStatus!$A$2:$AA$1600,6,FALSE),"Pending"),"Pending")</f>
        <v>45877</v>
      </c>
      <c r="AE619" s="5" t="str">
        <f t="shared" si="210"/>
        <v>A20250612</v>
      </c>
      <c r="AF619" s="5" t="str">
        <f t="shared" si="211"/>
        <v>Alpha Industrial &amp; Mining Supplies Limited</v>
      </c>
      <c r="AG619" s="5" t="str">
        <f t="shared" si="212"/>
        <v>CAD</v>
      </c>
      <c r="AH619" s="5">
        <f t="shared" si="213"/>
        <v>6945.69</v>
      </c>
      <c r="AI619" s="12">
        <f>IF(L619-N619=0,VLOOKUP(U619,rate!A$4:B$15,2,FALSE)*AH619,IF(AG619="USD",O619,AH619*Y619))</f>
        <v>5100.207580066196</v>
      </c>
      <c r="AJ619" s="13">
        <f t="shared" si="214"/>
        <v>0.7342981878065673</v>
      </c>
      <c r="AK619" s="13">
        <f>-IF(AG619="CAD",IFERROR(VLOOKUP(D619,CAARStatus!$A$1:$Y$1600,16,FALSE),0),0)</f>
        <v>-2604.9299999999998</v>
      </c>
      <c r="AL619" s="13">
        <f>-IF(AG619="USD",IFERROR(VLOOKUP(D619,CAARStatus!$A$1:$Y$1600,11,FALSE),0),0)</f>
        <v>0</v>
      </c>
      <c r="AM619" s="22">
        <f t="shared" si="215"/>
        <v>4340.76</v>
      </c>
      <c r="AN619" s="12" t="str">
        <f t="shared" si="216"/>
        <v/>
      </c>
      <c r="AO619" s="12" t="str">
        <f t="shared" si="217"/>
        <v>Yes</v>
      </c>
      <c r="AP619" t="str">
        <f t="shared" si="202"/>
        <v>XX</v>
      </c>
      <c r="AQ619" t="str">
        <f>IFERROR(VLOOKUP(Z619,InvBal!$L$4:$P$600,4,FALSE),"Pend")</f>
        <v>Yes</v>
      </c>
      <c r="AR619" t="str">
        <f>IFERROR(VLOOKUP(D619,Manual!$C$1:$E$22,2,FALSE),"Pend")</f>
        <v>Pend</v>
      </c>
      <c r="AS619" t="str">
        <f t="shared" si="218"/>
        <v>Yes</v>
      </c>
      <c r="AT619" t="str">
        <f t="shared" si="219"/>
        <v>Yes</v>
      </c>
      <c r="AU619" s="51" t="str">
        <f t="shared" si="220"/>
        <v>Yes</v>
      </c>
      <c r="AV619" s="12">
        <f>IFERROR(VLOOKUP(D619,'Receivable Invoice Detail'!$S$1:$U$3014,3,FALSE),0)</f>
        <v>0</v>
      </c>
      <c r="AW619" s="12">
        <f t="shared" si="221"/>
        <v>5100.207580066196</v>
      </c>
    </row>
    <row r="620" spans="1:49" x14ac:dyDescent="0.25">
      <c r="A620" s="2"/>
      <c r="B620" s="2"/>
      <c r="C620" s="2"/>
      <c r="D620" s="2" t="s">
        <v>2866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>
        <f t="shared" si="203"/>
        <v>3</v>
      </c>
      <c r="U620" s="18">
        <f t="shared" si="204"/>
        <v>6</v>
      </c>
      <c r="V620" s="18">
        <f t="shared" si="205"/>
        <v>2025</v>
      </c>
      <c r="W620" s="18">
        <f t="shared" si="206"/>
        <v>7</v>
      </c>
      <c r="X620" s="18">
        <f t="shared" si="207"/>
        <v>2025</v>
      </c>
      <c r="Y620" s="2">
        <f t="shared" si="200"/>
        <v>0.7342981878065673</v>
      </c>
      <c r="Z620" t="str">
        <f t="shared" si="201"/>
        <v>SO17321</v>
      </c>
      <c r="AA620" s="11">
        <f t="shared" si="208"/>
        <v>45819.410752314812</v>
      </c>
      <c r="AB620" s="5" t="str">
        <f t="shared" si="209"/>
        <v>INV13142</v>
      </c>
      <c r="AC620" s="5" t="str">
        <f>IFERROR(VLOOKUP(D620,CAARStatus!$A$2:$AA$1600,22,FALSE),"Not invoiced")</f>
        <v>Paid</v>
      </c>
      <c r="AD620" s="11">
        <f>IF(AC620="Paid",IFERROR(VLOOKUP(D620,CAARStatus!$A$2:$AA$1600,6,FALSE),"Pending"),"Pending")</f>
        <v>45841</v>
      </c>
      <c r="AE620" s="5" t="str">
        <f t="shared" si="210"/>
        <v>A20250612</v>
      </c>
      <c r="AF620" s="5" t="str">
        <f t="shared" si="211"/>
        <v>Alpha Industrial &amp; Mining Supplies Limited</v>
      </c>
      <c r="AG620" s="5" t="str">
        <f t="shared" si="212"/>
        <v>CAD</v>
      </c>
      <c r="AH620" s="5">
        <f t="shared" si="213"/>
        <v>0</v>
      </c>
      <c r="AI620" s="12">
        <f>IF(L620-N620=0,VLOOKUP(U620,rate!A$4:B$15,2,FALSE)*AH620,IF(AG620="USD",O620,AH620*Y620))</f>
        <v>0</v>
      </c>
      <c r="AJ620" s="13">
        <f t="shared" si="214"/>
        <v>0</v>
      </c>
      <c r="AK620" s="13">
        <f>-IF(AG620="CAD",IFERROR(VLOOKUP(D620,CAARStatus!$A$1:$Y$1600,16,FALSE),0),0)</f>
        <v>-2775.92</v>
      </c>
      <c r="AL620" s="13">
        <f>-IF(AG620="USD",IFERROR(VLOOKUP(D620,CAARStatus!$A$1:$Y$1600,11,FALSE),0),0)</f>
        <v>0</v>
      </c>
      <c r="AM620" s="22">
        <f t="shared" si="215"/>
        <v>-2775.92</v>
      </c>
      <c r="AN620" s="12" t="str">
        <f t="shared" si="216"/>
        <v/>
      </c>
      <c r="AO620" s="12" t="str">
        <f t="shared" si="217"/>
        <v>Yes</v>
      </c>
      <c r="AP620" t="str">
        <f t="shared" si="202"/>
        <v>XX</v>
      </c>
      <c r="AQ620" t="str">
        <f>IFERROR(VLOOKUP(Z620,InvBal!$L$4:$P$600,4,FALSE),"Pend")</f>
        <v>Yes</v>
      </c>
      <c r="AR620" t="str">
        <f>IFERROR(VLOOKUP(D620,Manual!$C$1:$E$22,2,FALSE),"Pend")</f>
        <v>Pend</v>
      </c>
      <c r="AS620" t="str">
        <f t="shared" si="218"/>
        <v>Yes</v>
      </c>
      <c r="AT620" t="str">
        <f t="shared" si="219"/>
        <v/>
      </c>
      <c r="AU620" s="51" t="str">
        <f t="shared" si="220"/>
        <v/>
      </c>
      <c r="AV620" s="12">
        <f>IFERROR(VLOOKUP(D620,'Receivable Invoice Detail'!$S$1:$U$3014,3,FALSE),0)</f>
        <v>0</v>
      </c>
      <c r="AW620" s="12">
        <f t="shared" si="221"/>
        <v>0</v>
      </c>
    </row>
    <row r="621" spans="1:49" x14ac:dyDescent="0.25">
      <c r="A621" s="2"/>
      <c r="B621" s="2"/>
      <c r="C621" s="2"/>
      <c r="D621" s="2" t="s">
        <v>2867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>
        <f t="shared" si="203"/>
        <v>3</v>
      </c>
      <c r="U621" s="18">
        <f t="shared" si="204"/>
        <v>6</v>
      </c>
      <c r="V621" s="18">
        <f t="shared" si="205"/>
        <v>2025</v>
      </c>
      <c r="W621" s="18">
        <f t="shared" si="206"/>
        <v>7</v>
      </c>
      <c r="X621" s="18">
        <f t="shared" si="207"/>
        <v>2025</v>
      </c>
      <c r="Y621" s="2">
        <f t="shared" si="200"/>
        <v>0.7342981878065673</v>
      </c>
      <c r="Z621" t="str">
        <f t="shared" si="201"/>
        <v>SO17321</v>
      </c>
      <c r="AA621" s="11">
        <f t="shared" si="208"/>
        <v>45819.410752314812</v>
      </c>
      <c r="AB621" s="5" t="str">
        <f t="shared" si="209"/>
        <v>INV13170</v>
      </c>
      <c r="AC621" s="5" t="str">
        <f>IFERROR(VLOOKUP(D621,CAARStatus!$A$2:$AA$1600,22,FALSE),"Not invoiced")</f>
        <v>Paid</v>
      </c>
      <c r="AD621" s="11">
        <f>IF(AC621="Paid",IFERROR(VLOOKUP(D621,CAARStatus!$A$2:$AA$1600,6,FALSE),"Pending"),"Pending")</f>
        <v>45849</v>
      </c>
      <c r="AE621" s="5" t="str">
        <f t="shared" si="210"/>
        <v>A20250612</v>
      </c>
      <c r="AF621" s="5" t="str">
        <f t="shared" si="211"/>
        <v>Alpha Industrial &amp; Mining Supplies Limited</v>
      </c>
      <c r="AG621" s="5" t="str">
        <f t="shared" si="212"/>
        <v>CAD</v>
      </c>
      <c r="AH621" s="5">
        <f t="shared" si="213"/>
        <v>0</v>
      </c>
      <c r="AI621" s="12">
        <f>IF(L621-N621=0,VLOOKUP(U621,rate!A$4:B$15,2,FALSE)*AH621,IF(AG621="USD",O621,AH621*Y621))</f>
        <v>0</v>
      </c>
      <c r="AJ621" s="13">
        <f t="shared" si="214"/>
        <v>0</v>
      </c>
      <c r="AK621" s="13">
        <f>-IF(AG621="CAD",IFERROR(VLOOKUP(D621,CAARStatus!$A$1:$Y$1600,16,FALSE),0),0)</f>
        <v>-1564.84</v>
      </c>
      <c r="AL621" s="13">
        <f>-IF(AG621="USD",IFERROR(VLOOKUP(D621,CAARStatus!$A$1:$Y$1600,11,FALSE),0),0)</f>
        <v>0</v>
      </c>
      <c r="AM621" s="22">
        <f t="shared" si="215"/>
        <v>-1564.84</v>
      </c>
      <c r="AN621" s="12" t="str">
        <f t="shared" si="216"/>
        <v/>
      </c>
      <c r="AO621" s="12" t="str">
        <f t="shared" si="217"/>
        <v>Yes</v>
      </c>
      <c r="AP621" t="str">
        <f t="shared" si="202"/>
        <v>XX</v>
      </c>
      <c r="AQ621" t="str">
        <f>IFERROR(VLOOKUP(Z621,InvBal!$L$4:$P$600,4,FALSE),"Pend")</f>
        <v>Yes</v>
      </c>
      <c r="AR621" t="str">
        <f>IFERROR(VLOOKUP(D621,Manual!$C$1:$E$22,2,FALSE),"Pend")</f>
        <v>Pend</v>
      </c>
      <c r="AS621" t="str">
        <f t="shared" si="218"/>
        <v>Yes</v>
      </c>
      <c r="AT621" t="str">
        <f t="shared" si="219"/>
        <v/>
      </c>
      <c r="AU621" s="51" t="str">
        <f t="shared" si="220"/>
        <v/>
      </c>
      <c r="AV621" s="12">
        <f>IFERROR(VLOOKUP(D621,'Receivable Invoice Detail'!$S$1:$U$3014,3,FALSE),0)</f>
        <v>0</v>
      </c>
      <c r="AW621" s="12">
        <f t="shared" si="221"/>
        <v>0</v>
      </c>
    </row>
    <row r="622" spans="1:49" ht="30" x14ac:dyDescent="0.25">
      <c r="A622" s="2">
        <v>1</v>
      </c>
      <c r="B622" s="2" t="s">
        <v>1232</v>
      </c>
      <c r="C622" s="2" t="s">
        <v>1233</v>
      </c>
      <c r="D622" s="2" t="s">
        <v>2860</v>
      </c>
      <c r="E622" s="2" t="s">
        <v>159</v>
      </c>
      <c r="F622" s="3">
        <v>45819.426550925928</v>
      </c>
      <c r="G622" s="3">
        <v>45819.429039351853</v>
      </c>
      <c r="H622" s="2"/>
      <c r="I622" s="2" t="s">
        <v>40</v>
      </c>
      <c r="J622" s="2" t="s">
        <v>51</v>
      </c>
      <c r="K622" s="2">
        <v>0.73073590567197222</v>
      </c>
      <c r="L622" s="2">
        <v>25507.710590544379</v>
      </c>
      <c r="M622" s="2">
        <v>0</v>
      </c>
      <c r="N622" s="2">
        <v>18639.400000000001</v>
      </c>
      <c r="O622" s="2">
        <v>18639.400000000001</v>
      </c>
      <c r="P622" s="2"/>
      <c r="Q622" s="2">
        <v>18639.400000000001</v>
      </c>
      <c r="R622" s="2" t="s">
        <v>44</v>
      </c>
      <c r="S622" s="2"/>
      <c r="T622" s="2">
        <f t="shared" si="203"/>
        <v>1</v>
      </c>
      <c r="U622" s="18">
        <f t="shared" si="204"/>
        <v>6</v>
      </c>
      <c r="V622" s="18">
        <f t="shared" si="205"/>
        <v>2025</v>
      </c>
      <c r="W622" s="18">
        <f t="shared" si="206"/>
        <v>8</v>
      </c>
      <c r="X622" s="18">
        <f t="shared" si="207"/>
        <v>2025</v>
      </c>
      <c r="Y622" s="2">
        <f t="shared" si="200"/>
        <v>0.73073590567197211</v>
      </c>
      <c r="Z622" t="str">
        <f t="shared" si="201"/>
        <v>SO17322</v>
      </c>
      <c r="AA622" s="11">
        <f t="shared" si="208"/>
        <v>45819.426550925928</v>
      </c>
      <c r="AB622" s="5" t="str">
        <f t="shared" si="209"/>
        <v>INV13120</v>
      </c>
      <c r="AC622" s="5" t="str">
        <f>IFERROR(VLOOKUP(D622,CAARStatus!$A$2:$AA$1600,22,FALSE),"Not invoiced")</f>
        <v>Paid</v>
      </c>
      <c r="AD622" s="11">
        <f>IF(AC622="Paid",IFERROR(VLOOKUP(D622,CAARStatus!$A$2:$AA$1600,6,FALSE),"Pending"),"Pending")</f>
        <v>45876</v>
      </c>
      <c r="AE622" s="5" t="str">
        <f t="shared" si="210"/>
        <v>4501209961</v>
      </c>
      <c r="AF622" s="5" t="str">
        <f t="shared" si="211"/>
        <v>Barrick Gold - Pueblo Viejo Dominicana Corporation</v>
      </c>
      <c r="AG622" s="5" t="str">
        <f t="shared" si="212"/>
        <v>USD</v>
      </c>
      <c r="AH622" s="5">
        <f t="shared" si="213"/>
        <v>25507.710590544375</v>
      </c>
      <c r="AI622" s="12">
        <f>IF(L622-N622=0,VLOOKUP(U622,rate!A$4:B$15,2,FALSE)*AH622,IF(AG622="USD",O622,AH622*Y622))</f>
        <v>18639.400000000001</v>
      </c>
      <c r="AJ622" s="13">
        <f t="shared" si="214"/>
        <v>0.73073590567197222</v>
      </c>
      <c r="AK622" s="13">
        <f>-IF(AG622="CAD",IFERROR(VLOOKUP(D622,CAARStatus!$A$1:$Y$1600,16,FALSE),0),0)</f>
        <v>0</v>
      </c>
      <c r="AL622" s="13">
        <f>-IF(AG622="USD",IFERROR(VLOOKUP(D622,CAARStatus!$A$1:$Y$1600,11,FALSE),0),0)</f>
        <v>-18639.400000000001</v>
      </c>
      <c r="AM622" s="22" t="str">
        <f t="shared" si="215"/>
        <v/>
      </c>
      <c r="AN622" s="12">
        <f t="shared" si="216"/>
        <v>0</v>
      </c>
      <c r="AO622" s="12" t="str">
        <f t="shared" si="217"/>
        <v>Yes</v>
      </c>
      <c r="AP622" t="str">
        <f t="shared" si="202"/>
        <v>Yes</v>
      </c>
      <c r="AQ622" t="str">
        <f>IFERROR(VLOOKUP(Z622,InvBal!$L$4:$P$600,4,FALSE),"Pend")</f>
        <v>Pend</v>
      </c>
      <c r="AR622" t="str">
        <f>IFERROR(VLOOKUP(D622,Manual!$C$1:$E$22,2,FALSE),"Pend")</f>
        <v>Pend</v>
      </c>
      <c r="AS622" t="str">
        <f t="shared" si="218"/>
        <v>Yes</v>
      </c>
      <c r="AT622" t="str">
        <f t="shared" si="219"/>
        <v>Yes</v>
      </c>
      <c r="AU622" s="51" t="str">
        <f t="shared" si="220"/>
        <v>Yes</v>
      </c>
      <c r="AV622" s="12">
        <f>IFERROR(VLOOKUP(D622,'Receivable Invoice Detail'!$S$1:$U$3014,3,FALSE),0)</f>
        <v>0</v>
      </c>
      <c r="AW622" s="12">
        <f t="shared" si="221"/>
        <v>18639.400000000001</v>
      </c>
    </row>
    <row r="623" spans="1:49" ht="45" x14ac:dyDescent="0.25">
      <c r="A623" s="2">
        <v>1</v>
      </c>
      <c r="B623" s="2" t="s">
        <v>1213</v>
      </c>
      <c r="C623" s="2" t="s">
        <v>1214</v>
      </c>
      <c r="D623" s="2" t="s">
        <v>2873</v>
      </c>
      <c r="E623" s="2" t="s">
        <v>109</v>
      </c>
      <c r="F623" s="3">
        <v>45819.656921296293</v>
      </c>
      <c r="G623" s="3">
        <v>45821.493692129632</v>
      </c>
      <c r="H623" s="4">
        <v>45832</v>
      </c>
      <c r="I623" s="2" t="s">
        <v>21</v>
      </c>
      <c r="J623" s="2" t="s">
        <v>51</v>
      </c>
      <c r="K623" s="2">
        <v>0.73429818780656719</v>
      </c>
      <c r="L623" s="2">
        <v>17703.053358786648</v>
      </c>
      <c r="M623" s="2">
        <v>0</v>
      </c>
      <c r="N623" s="2">
        <v>12999.32</v>
      </c>
      <c r="O623" s="2">
        <v>12999.32</v>
      </c>
      <c r="P623" s="2"/>
      <c r="Q623" s="2">
        <v>12999.32</v>
      </c>
      <c r="R623" s="2" t="s">
        <v>44</v>
      </c>
      <c r="S623" s="2"/>
      <c r="T623" s="2">
        <f t="shared" si="203"/>
        <v>1</v>
      </c>
      <c r="U623" s="18">
        <f t="shared" si="204"/>
        <v>6</v>
      </c>
      <c r="V623" s="18">
        <f t="shared" si="205"/>
        <v>2025</v>
      </c>
      <c r="W623" s="18">
        <f t="shared" si="206"/>
        <v>7</v>
      </c>
      <c r="X623" s="18">
        <f t="shared" si="207"/>
        <v>2025</v>
      </c>
      <c r="Y623" s="2">
        <f t="shared" si="200"/>
        <v>0.7342981878065673</v>
      </c>
      <c r="Z623" t="str">
        <f t="shared" si="201"/>
        <v>SO17325</v>
      </c>
      <c r="AA623" s="11">
        <f t="shared" si="208"/>
        <v>45819.656921296293</v>
      </c>
      <c r="AB623" s="5" t="str">
        <f t="shared" si="209"/>
        <v>INV13139</v>
      </c>
      <c r="AC623" s="5" t="str">
        <f>IFERROR(VLOOKUP(D623,CAARStatus!$A$2:$AA$1600,22,FALSE),"Not invoiced")</f>
        <v>Paid</v>
      </c>
      <c r="AD623" s="11">
        <f>IF(AC623="Paid",IFERROR(VLOOKUP(D623,CAARStatus!$A$2:$AA$1600,6,FALSE),"Pending"),"Pending")</f>
        <v>45859</v>
      </c>
      <c r="AE623" s="5" t="str">
        <f t="shared" si="210"/>
        <v>3577 - Paid in Full on June 25th via wire transfer.</v>
      </c>
      <c r="AF623" s="5" t="str">
        <f t="shared" si="211"/>
        <v>Middle Georgia Fluid Sealing LLC</v>
      </c>
      <c r="AG623" s="5" t="str">
        <f t="shared" si="212"/>
        <v>USD</v>
      </c>
      <c r="AH623" s="5">
        <f t="shared" si="213"/>
        <v>17703.053358786648</v>
      </c>
      <c r="AI623" s="12">
        <f>IF(L623-N623=0,VLOOKUP(U623,rate!A$4:B$15,2,FALSE)*AH623,IF(AG623="USD",O623,AH623*Y623))</f>
        <v>12999.32</v>
      </c>
      <c r="AJ623" s="13">
        <f t="shared" si="214"/>
        <v>0.7342981878065673</v>
      </c>
      <c r="AK623" s="13">
        <f>-IF(AG623="CAD",IFERROR(VLOOKUP(D623,CAARStatus!$A$1:$Y$1600,16,FALSE),0),0)</f>
        <v>0</v>
      </c>
      <c r="AL623" s="13">
        <f>-IF(AG623="USD",IFERROR(VLOOKUP(D623,CAARStatus!$A$1:$Y$1600,11,FALSE),0),0)</f>
        <v>-12999.32</v>
      </c>
      <c r="AM623" s="22" t="str">
        <f t="shared" si="215"/>
        <v/>
      </c>
      <c r="AN623" s="12">
        <f t="shared" si="216"/>
        <v>0</v>
      </c>
      <c r="AO623" s="12" t="str">
        <f t="shared" si="217"/>
        <v>Yes</v>
      </c>
      <c r="AP623" t="str">
        <f t="shared" si="202"/>
        <v>Yes</v>
      </c>
      <c r="AQ623" t="str">
        <f>IFERROR(VLOOKUP(Z623,InvBal!$L$4:$P$600,4,FALSE),"Pend")</f>
        <v>Pend</v>
      </c>
      <c r="AR623" t="str">
        <f>IFERROR(VLOOKUP(D623,Manual!$C$1:$E$22,2,FALSE),"Pend")</f>
        <v>Pend</v>
      </c>
      <c r="AS623" t="str">
        <f t="shared" si="218"/>
        <v>Yes</v>
      </c>
      <c r="AT623" t="str">
        <f t="shared" si="219"/>
        <v>Yes</v>
      </c>
      <c r="AU623" s="51" t="str">
        <f t="shared" si="220"/>
        <v>Yes</v>
      </c>
      <c r="AV623" s="12">
        <f>IFERROR(VLOOKUP(D623,'Receivable Invoice Detail'!$S$1:$U$3014,3,FALSE),0)</f>
        <v>628</v>
      </c>
      <c r="AW623" s="12">
        <f t="shared" si="221"/>
        <v>12371.32</v>
      </c>
    </row>
    <row r="624" spans="1:49" ht="30" x14ac:dyDescent="0.25">
      <c r="A624" s="2">
        <v>1</v>
      </c>
      <c r="B624" s="2" t="s">
        <v>1211</v>
      </c>
      <c r="C624" s="2" t="s">
        <v>1212</v>
      </c>
      <c r="D624" s="2" t="s">
        <v>2874</v>
      </c>
      <c r="E624" s="2" t="s">
        <v>39</v>
      </c>
      <c r="F624" s="3">
        <v>45820.510243055563</v>
      </c>
      <c r="G624" s="3">
        <v>45821.497430555559</v>
      </c>
      <c r="H624" s="4">
        <v>45824</v>
      </c>
      <c r="I624" s="2" t="s">
        <v>21</v>
      </c>
      <c r="J624" s="2" t="s">
        <v>22</v>
      </c>
      <c r="K624" s="2">
        <v>1</v>
      </c>
      <c r="L624" s="2">
        <v>601.01</v>
      </c>
      <c r="M624" s="2">
        <v>0</v>
      </c>
      <c r="N624" s="2">
        <v>442.70157399065988</v>
      </c>
      <c r="O624" s="2">
        <v>572.4</v>
      </c>
      <c r="P624" s="2">
        <v>28.61</v>
      </c>
      <c r="Q624" s="2">
        <v>601.01</v>
      </c>
      <c r="R624" s="2" t="s">
        <v>44</v>
      </c>
      <c r="S624" s="2"/>
      <c r="T624" s="2">
        <f t="shared" si="203"/>
        <v>1</v>
      </c>
      <c r="U624" s="18">
        <f t="shared" si="204"/>
        <v>6</v>
      </c>
      <c r="V624" s="18">
        <f t="shared" si="205"/>
        <v>2025</v>
      </c>
      <c r="W624" s="18">
        <f t="shared" si="206"/>
        <v>7</v>
      </c>
      <c r="X624" s="18">
        <f t="shared" si="207"/>
        <v>2025</v>
      </c>
      <c r="Y624" s="2">
        <f t="shared" si="200"/>
        <v>0.73659602001740387</v>
      </c>
      <c r="Z624" t="str">
        <f t="shared" si="201"/>
        <v>SO17329</v>
      </c>
      <c r="AA624" s="11">
        <f t="shared" si="208"/>
        <v>45820.510243055563</v>
      </c>
      <c r="AB624" s="5" t="str">
        <f t="shared" si="209"/>
        <v>INV13096</v>
      </c>
      <c r="AC624" s="5" t="str">
        <f>IFERROR(VLOOKUP(D624,CAARStatus!$A$2:$AA$1600,22,FALSE),"Not invoiced")</f>
        <v>Paid</v>
      </c>
      <c r="AD624" s="11">
        <f>IF(AC624="Paid",IFERROR(VLOOKUP(D624,CAARStatus!$A$2:$AA$1600,6,FALSE),"Pending"),"Pending")</f>
        <v>45854</v>
      </c>
      <c r="AE624" s="5" t="str">
        <f t="shared" si="210"/>
        <v>BC65-00080832</v>
      </c>
      <c r="AF624" s="5" t="str">
        <f t="shared" si="211"/>
        <v>Motion Industries Inc. (Canada) - Prince George</v>
      </c>
      <c r="AG624" s="5" t="str">
        <f t="shared" si="212"/>
        <v>CAD</v>
      </c>
      <c r="AH624" s="5">
        <f t="shared" si="213"/>
        <v>572.4</v>
      </c>
      <c r="AI624" s="12">
        <f>IF(L624-N624=0,VLOOKUP(U624,rate!A$4:B$15,2,FALSE)*AH624,IF(AG624="USD",O624,AH624*Y624))</f>
        <v>421.62756185796195</v>
      </c>
      <c r="AJ624" s="13">
        <f t="shared" si="214"/>
        <v>0.73659602001740387</v>
      </c>
      <c r="AK624" s="13">
        <f>-IF(AG624="CAD",IFERROR(VLOOKUP(D624,CAARStatus!$A$1:$Y$1600,16,FALSE),0),0)</f>
        <v>-572.4</v>
      </c>
      <c r="AL624" s="13">
        <f>-IF(AG624="USD",IFERROR(VLOOKUP(D624,CAARStatus!$A$1:$Y$1600,11,FALSE),0),0)</f>
        <v>0</v>
      </c>
      <c r="AM624" s="22">
        <f t="shared" si="215"/>
        <v>0</v>
      </c>
      <c r="AN624" s="12" t="str">
        <f t="shared" si="216"/>
        <v/>
      </c>
      <c r="AO624" s="12" t="str">
        <f t="shared" si="217"/>
        <v>Yes</v>
      </c>
      <c r="AP624" t="str">
        <f t="shared" si="202"/>
        <v>Yes</v>
      </c>
      <c r="AQ624" t="str">
        <f>IFERROR(VLOOKUP(Z624,InvBal!$L$4:$P$600,4,FALSE),"Pend")</f>
        <v>Pend</v>
      </c>
      <c r="AR624" t="str">
        <f>IFERROR(VLOOKUP(D624,Manual!$C$1:$E$22,2,FALSE),"Pend")</f>
        <v>Pend</v>
      </c>
      <c r="AS624" t="str">
        <f t="shared" si="218"/>
        <v>Yes</v>
      </c>
      <c r="AT624" t="str">
        <f t="shared" si="219"/>
        <v>Yes</v>
      </c>
      <c r="AU624" s="51" t="str">
        <f t="shared" si="220"/>
        <v>Yes</v>
      </c>
      <c r="AV624" s="12">
        <f>IFERROR(VLOOKUP(D624,'Receivable Invoice Detail'!$S$1:$U$3014,3,FALSE),0)</f>
        <v>0</v>
      </c>
      <c r="AW624" s="12">
        <f t="shared" si="221"/>
        <v>421.62756185796195</v>
      </c>
    </row>
    <row r="625" spans="1:49" x14ac:dyDescent="0.25">
      <c r="A625" s="2">
        <v>2</v>
      </c>
      <c r="B625" s="2" t="s">
        <v>1205</v>
      </c>
      <c r="C625" s="2" t="s">
        <v>1206</v>
      </c>
      <c r="D625" s="2" t="s">
        <v>2878</v>
      </c>
      <c r="E625" s="2" t="s">
        <v>149</v>
      </c>
      <c r="F625" s="3">
        <v>45820.724618055552</v>
      </c>
      <c r="G625" s="3">
        <v>45821.648032407407</v>
      </c>
      <c r="H625" s="4">
        <v>45925</v>
      </c>
      <c r="I625" s="2" t="s">
        <v>21</v>
      </c>
      <c r="J625" s="2" t="s">
        <v>51</v>
      </c>
      <c r="K625" s="2">
        <v>0.73429818780656719</v>
      </c>
      <c r="L625" s="2">
        <v>3642.0081710789732</v>
      </c>
      <c r="M625" s="2">
        <v>0</v>
      </c>
      <c r="N625" s="2">
        <v>2674.32</v>
      </c>
      <c r="O625" s="2">
        <v>2674.32</v>
      </c>
      <c r="P625" s="2"/>
      <c r="Q625" s="2">
        <v>2674.32</v>
      </c>
      <c r="R625" s="2" t="s">
        <v>44</v>
      </c>
      <c r="S625" s="2"/>
      <c r="T625" s="2">
        <f t="shared" si="203"/>
        <v>2</v>
      </c>
      <c r="U625" s="18">
        <f t="shared" si="204"/>
        <v>6</v>
      </c>
      <c r="V625" s="18">
        <f t="shared" si="205"/>
        <v>2025</v>
      </c>
      <c r="W625" s="18">
        <f t="shared" si="206"/>
        <v>8</v>
      </c>
      <c r="X625" s="18">
        <f t="shared" si="207"/>
        <v>2025</v>
      </c>
      <c r="Y625" s="2">
        <f t="shared" si="200"/>
        <v>0.73429818780656719</v>
      </c>
      <c r="Z625" t="str">
        <f t="shared" si="201"/>
        <v>SO17332</v>
      </c>
      <c r="AA625" s="11">
        <f t="shared" si="208"/>
        <v>45820.724618055552</v>
      </c>
      <c r="AB625" s="5" t="str">
        <f t="shared" si="209"/>
        <v>INV13130</v>
      </c>
      <c r="AC625" s="5" t="str">
        <f>IFERROR(VLOOKUP(D625,CAARStatus!$A$2:$AA$1600,22,FALSE),"Not invoiced")</f>
        <v>Paid</v>
      </c>
      <c r="AD625" s="11">
        <f>IF(AC625="Paid",IFERROR(VLOOKUP(D625,CAARStatus!$A$2:$AA$1600,6,FALSE),"Pending"),"Pending")</f>
        <v>45894</v>
      </c>
      <c r="AE625" s="5" t="str">
        <f t="shared" si="210"/>
        <v>PO-0020398</v>
      </c>
      <c r="AF625" s="5" t="str">
        <f t="shared" si="211"/>
        <v>MAB Equipment Company Inc.</v>
      </c>
      <c r="AG625" s="5" t="str">
        <f t="shared" si="212"/>
        <v>USD</v>
      </c>
      <c r="AH625" s="5">
        <f t="shared" si="213"/>
        <v>3642.0081710789732</v>
      </c>
      <c r="AI625" s="12">
        <f>IF(L625-N625=0,VLOOKUP(U625,rate!A$4:B$15,2,FALSE)*AH625,IF(AG625="USD",O625,AH625*Y625))</f>
        <v>2674.32</v>
      </c>
      <c r="AJ625" s="13">
        <f t="shared" si="214"/>
        <v>0.73429818780656719</v>
      </c>
      <c r="AK625" s="13">
        <f>-IF(AG625="CAD",IFERROR(VLOOKUP(D625,CAARStatus!$A$1:$Y$1600,16,FALSE),0),0)</f>
        <v>0</v>
      </c>
      <c r="AL625" s="13">
        <f>-IF(AG625="USD",IFERROR(VLOOKUP(D625,CAARStatus!$A$1:$Y$1600,11,FALSE),0),0)</f>
        <v>-662.76</v>
      </c>
      <c r="AM625" s="22" t="str">
        <f t="shared" si="215"/>
        <v/>
      </c>
      <c r="AN625" s="12">
        <f t="shared" si="216"/>
        <v>2011.5600000000002</v>
      </c>
      <c r="AO625" s="12" t="str">
        <f t="shared" si="217"/>
        <v>Yes</v>
      </c>
      <c r="AP625" t="str">
        <f t="shared" si="202"/>
        <v>XX</v>
      </c>
      <c r="AQ625" t="str">
        <f>IFERROR(VLOOKUP(Z625,InvBal!$L$4:$P$600,4,FALSE),"Pend")</f>
        <v>Yes</v>
      </c>
      <c r="AR625" t="str">
        <f>IFERROR(VLOOKUP(D625,Manual!$C$1:$E$22,2,FALSE),"Pend")</f>
        <v>Pend</v>
      </c>
      <c r="AS625" t="str">
        <f t="shared" si="218"/>
        <v>Yes</v>
      </c>
      <c r="AT625" t="str">
        <f t="shared" si="219"/>
        <v>Yes</v>
      </c>
      <c r="AU625" s="51" t="str">
        <f t="shared" si="220"/>
        <v>Yes</v>
      </c>
      <c r="AV625" s="12">
        <f>IFERROR(VLOOKUP(D625,'Receivable Invoice Detail'!$S$1:$U$3014,3,FALSE),0)</f>
        <v>143</v>
      </c>
      <c r="AW625" s="12">
        <f t="shared" si="221"/>
        <v>2531.3200000000002</v>
      </c>
    </row>
    <row r="626" spans="1:49" x14ac:dyDescent="0.25">
      <c r="A626" s="2"/>
      <c r="B626" s="2"/>
      <c r="C626" s="2"/>
      <c r="D626" s="2" t="s">
        <v>2877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>
        <f t="shared" si="203"/>
        <v>2</v>
      </c>
      <c r="U626" s="18">
        <f t="shared" si="204"/>
        <v>6</v>
      </c>
      <c r="V626" s="18">
        <f t="shared" si="205"/>
        <v>2025</v>
      </c>
      <c r="W626" s="18">
        <f t="shared" si="206"/>
        <v>11</v>
      </c>
      <c r="X626" s="18">
        <f t="shared" si="207"/>
        <v>2025</v>
      </c>
      <c r="Y626" s="2">
        <f t="shared" si="200"/>
        <v>0.73429818780656719</v>
      </c>
      <c r="Z626" t="str">
        <f t="shared" si="201"/>
        <v>SO17332</v>
      </c>
      <c r="AA626" s="11">
        <f t="shared" si="208"/>
        <v>45820.724618055552</v>
      </c>
      <c r="AB626" s="5" t="str">
        <f t="shared" si="209"/>
        <v>INV13414</v>
      </c>
      <c r="AC626" s="5" t="str">
        <f>IFERROR(VLOOKUP(D626,CAARStatus!$A$2:$AA$1600,22,FALSE),"Not invoiced")</f>
        <v>Paid</v>
      </c>
      <c r="AD626" s="11">
        <f>IF(AC626="Paid",IFERROR(VLOOKUP(D626,CAARStatus!$A$2:$AA$1600,6,FALSE),"Pending"),"Pending")</f>
        <v>45965</v>
      </c>
      <c r="AE626" s="5" t="str">
        <f t="shared" si="210"/>
        <v>PO-0020398</v>
      </c>
      <c r="AF626" s="5" t="str">
        <f t="shared" si="211"/>
        <v>MAB Equipment Company Inc.</v>
      </c>
      <c r="AG626" s="5" t="str">
        <f t="shared" si="212"/>
        <v>USD</v>
      </c>
      <c r="AH626" s="5">
        <f t="shared" si="213"/>
        <v>0</v>
      </c>
      <c r="AI626" s="12">
        <f>IF(L626-N626=0,VLOOKUP(U626,rate!A$4:B$15,2,FALSE)*AH626,IF(AG626="USD",O626,AH626*Y626))</f>
        <v>0</v>
      </c>
      <c r="AJ626" s="13">
        <f t="shared" si="214"/>
        <v>0</v>
      </c>
      <c r="AK626" s="13">
        <f>-IF(AG626="CAD",IFERROR(VLOOKUP(D626,CAARStatus!$A$1:$Y$1600,16,FALSE),0),0)</f>
        <v>0</v>
      </c>
      <c r="AL626" s="13">
        <f>-IF(AG626="USD",IFERROR(VLOOKUP(D626,CAARStatus!$A$1:$Y$1600,11,FALSE),0),0)</f>
        <v>-2011.56</v>
      </c>
      <c r="AM626" s="22" t="str">
        <f t="shared" si="215"/>
        <v/>
      </c>
      <c r="AN626" s="12">
        <f t="shared" si="216"/>
        <v>-2011.56</v>
      </c>
      <c r="AO626" s="12" t="str">
        <f t="shared" si="217"/>
        <v>Yes</v>
      </c>
      <c r="AP626" t="str">
        <f t="shared" si="202"/>
        <v>XX</v>
      </c>
      <c r="AQ626" t="str">
        <f>IFERROR(VLOOKUP(Z626,InvBal!$L$4:$P$600,4,FALSE),"Pend")</f>
        <v>Yes</v>
      </c>
      <c r="AR626" t="str">
        <f>IFERROR(VLOOKUP(D626,Manual!$C$1:$E$22,2,FALSE),"Pend")</f>
        <v>Pend</v>
      </c>
      <c r="AS626" t="str">
        <f t="shared" si="218"/>
        <v>Yes</v>
      </c>
      <c r="AT626" t="str">
        <f t="shared" si="219"/>
        <v/>
      </c>
      <c r="AU626" s="51" t="str">
        <f t="shared" si="220"/>
        <v/>
      </c>
      <c r="AV626" s="12">
        <f>IFERROR(VLOOKUP(D626,'Receivable Invoice Detail'!$S$1:$U$3014,3,FALSE),0)</f>
        <v>648</v>
      </c>
      <c r="AW626" s="12">
        <f t="shared" si="221"/>
        <v>0</v>
      </c>
    </row>
    <row r="627" spans="1:49" ht="30" x14ac:dyDescent="0.25">
      <c r="A627" s="2">
        <v>1</v>
      </c>
      <c r="B627" s="2" t="s">
        <v>1217</v>
      </c>
      <c r="C627" s="2" t="s">
        <v>1218</v>
      </c>
      <c r="D627" s="2" t="s">
        <v>2871</v>
      </c>
      <c r="E627" s="2" t="s">
        <v>818</v>
      </c>
      <c r="F627" s="3">
        <v>45820.758379629631</v>
      </c>
      <c r="G627" s="3">
        <v>45820.750104166669</v>
      </c>
      <c r="H627" s="4">
        <v>45856</v>
      </c>
      <c r="I627" s="2" t="s">
        <v>71</v>
      </c>
      <c r="J627" s="2" t="s">
        <v>22</v>
      </c>
      <c r="K627" s="2">
        <v>1</v>
      </c>
      <c r="L627" s="2">
        <v>717.28</v>
      </c>
      <c r="M627" s="2">
        <v>0</v>
      </c>
      <c r="N627" s="2">
        <v>526.69740414989451</v>
      </c>
      <c r="O627" s="2">
        <v>683.13</v>
      </c>
      <c r="P627" s="2">
        <v>34.15</v>
      </c>
      <c r="Q627" s="2">
        <v>717.28</v>
      </c>
      <c r="R627" s="2" t="s">
        <v>44</v>
      </c>
      <c r="S627" s="2"/>
      <c r="T627" s="2">
        <f t="shared" si="203"/>
        <v>1</v>
      </c>
      <c r="U627" s="18">
        <f t="shared" si="204"/>
        <v>6</v>
      </c>
      <c r="V627" s="18">
        <f t="shared" si="205"/>
        <v>2025</v>
      </c>
      <c r="W627" s="18">
        <f t="shared" si="206"/>
        <v>8</v>
      </c>
      <c r="X627" s="18">
        <f t="shared" si="207"/>
        <v>2025</v>
      </c>
      <c r="Y627" s="2">
        <f t="shared" si="200"/>
        <v>0.73429818780656719</v>
      </c>
      <c r="Z627" t="str">
        <f t="shared" si="201"/>
        <v>SO17333</v>
      </c>
      <c r="AA627" s="11">
        <f t="shared" si="208"/>
        <v>45820.758379629631</v>
      </c>
      <c r="AB627" s="5" t="str">
        <f t="shared" si="209"/>
        <v>INV13157</v>
      </c>
      <c r="AC627" s="5" t="str">
        <f>IFERROR(VLOOKUP(D627,CAARStatus!$A$2:$AA$1600,22,FALSE),"Not invoiced")</f>
        <v>Paid</v>
      </c>
      <c r="AD627" s="11">
        <f>IF(AC627="Paid",IFERROR(VLOOKUP(D627,CAARStatus!$A$2:$AA$1600,6,FALSE),"Pending"),"Pending")</f>
        <v>45882</v>
      </c>
      <c r="AE627" s="5" t="str">
        <f t="shared" si="210"/>
        <v>2100594387</v>
      </c>
      <c r="AF627" s="5" t="str">
        <f t="shared" si="211"/>
        <v>Wajax Limited - Pointe-aux-Trembles, Wajax Limited</v>
      </c>
      <c r="AG627" s="5" t="str">
        <f t="shared" si="212"/>
        <v>CAD</v>
      </c>
      <c r="AH627" s="5">
        <f t="shared" si="213"/>
        <v>683.13</v>
      </c>
      <c r="AI627" s="12">
        <f>IF(L627-N627=0,VLOOKUP(U627,rate!A$4:B$15,2,FALSE)*AH627,IF(AG627="USD",O627,AH627*Y627))</f>
        <v>501.62112103630022</v>
      </c>
      <c r="AJ627" s="13">
        <f t="shared" si="214"/>
        <v>0.73429818780656719</v>
      </c>
      <c r="AK627" s="13">
        <f>-IF(AG627="CAD",IFERROR(VLOOKUP(D627,CAARStatus!$A$1:$Y$1600,16,FALSE),0),0)</f>
        <v>-683.13</v>
      </c>
      <c r="AL627" s="13">
        <f>-IF(AG627="USD",IFERROR(VLOOKUP(D627,CAARStatus!$A$1:$Y$1600,11,FALSE),0),0)</f>
        <v>0</v>
      </c>
      <c r="AM627" s="22">
        <f t="shared" si="215"/>
        <v>0</v>
      </c>
      <c r="AN627" s="12" t="str">
        <f t="shared" si="216"/>
        <v/>
      </c>
      <c r="AO627" s="12" t="str">
        <f t="shared" si="217"/>
        <v>Yes</v>
      </c>
      <c r="AP627" t="str">
        <f t="shared" si="202"/>
        <v>Yes</v>
      </c>
      <c r="AQ627" t="str">
        <f>IFERROR(VLOOKUP(Z627,InvBal!$L$4:$P$600,4,FALSE),"Pend")</f>
        <v>Pend</v>
      </c>
      <c r="AR627" t="str">
        <f>IFERROR(VLOOKUP(D627,Manual!$C$1:$E$22,2,FALSE),"Pend")</f>
        <v>Pend</v>
      </c>
      <c r="AS627" t="str">
        <f t="shared" si="218"/>
        <v>Yes</v>
      </c>
      <c r="AT627" t="str">
        <f t="shared" si="219"/>
        <v>Yes</v>
      </c>
      <c r="AU627" s="51" t="str">
        <f t="shared" si="220"/>
        <v>Yes</v>
      </c>
      <c r="AV627" s="12">
        <f>IFERROR(VLOOKUP(D627,'Receivable Invoice Detail'!$S$1:$U$3014,3,FALSE),0)</f>
        <v>0</v>
      </c>
      <c r="AW627" s="12">
        <f t="shared" si="221"/>
        <v>501.62112103630022</v>
      </c>
    </row>
    <row r="628" spans="1:49" ht="30" x14ac:dyDescent="0.25">
      <c r="A628" s="2">
        <v>1</v>
      </c>
      <c r="B628" s="2" t="s">
        <v>1035</v>
      </c>
      <c r="C628" s="2" t="s">
        <v>1036</v>
      </c>
      <c r="D628" s="2" t="s">
        <v>2976</v>
      </c>
      <c r="E628" s="2" t="s">
        <v>232</v>
      </c>
      <c r="F628" s="3">
        <v>45821.312048611107</v>
      </c>
      <c r="G628" s="3">
        <v>45853.364120370366</v>
      </c>
      <c r="H628" s="4">
        <v>45873</v>
      </c>
      <c r="I628" s="2" t="s">
        <v>180</v>
      </c>
      <c r="J628" s="2" t="s">
        <v>51</v>
      </c>
      <c r="K628" s="2">
        <v>0.73022664145869165</v>
      </c>
      <c r="L628" s="2">
        <v>14951.741528068629</v>
      </c>
      <c r="M628" s="2">
        <v>0</v>
      </c>
      <c r="N628" s="2">
        <v>10918.16</v>
      </c>
      <c r="O628" s="2">
        <v>10918.16</v>
      </c>
      <c r="P628" s="2"/>
      <c r="Q628" s="2">
        <v>10918.16</v>
      </c>
      <c r="R628" s="2" t="s">
        <v>44</v>
      </c>
      <c r="S628" s="2"/>
      <c r="T628" s="2">
        <f t="shared" si="203"/>
        <v>1</v>
      </c>
      <c r="U628" s="18">
        <f t="shared" si="204"/>
        <v>6</v>
      </c>
      <c r="V628" s="18">
        <f t="shared" si="205"/>
        <v>2025</v>
      </c>
      <c r="W628" s="18" t="str">
        <f t="shared" si="206"/>
        <v/>
      </c>
      <c r="X628" s="18" t="str">
        <f t="shared" si="207"/>
        <v/>
      </c>
      <c r="Y628" s="2">
        <f t="shared" si="200"/>
        <v>0.73022664145869154</v>
      </c>
      <c r="Z628" t="str">
        <f t="shared" si="201"/>
        <v>SO17334</v>
      </c>
      <c r="AA628" s="11">
        <f t="shared" si="208"/>
        <v>45821.312048611107</v>
      </c>
      <c r="AB628" s="5" t="str">
        <f t="shared" si="209"/>
        <v>INV13223</v>
      </c>
      <c r="AC628" s="5" t="str">
        <f>IFERROR(VLOOKUP(D628,CAARStatus!$A$2:$AA$1600,22,FALSE),"Not invoiced")</f>
        <v>Approved</v>
      </c>
      <c r="AD628" s="11" t="str">
        <f>IF(AC628="Paid",IFERROR(VLOOKUP(D628,CAARStatus!$A$2:$AA$1600,6,FALSE),"Pending"),"Pending")</f>
        <v>Pending</v>
      </c>
      <c r="AE628" s="5" t="str">
        <f t="shared" si="210"/>
        <v>2252777</v>
      </c>
      <c r="AF628" s="5" t="str">
        <f t="shared" si="211"/>
        <v>Zijin Mining - Rosebel Goldmines N.V.</v>
      </c>
      <c r="AG628" s="5" t="str">
        <f t="shared" si="212"/>
        <v>USD</v>
      </c>
      <c r="AH628" s="5">
        <f t="shared" si="213"/>
        <v>14951.741528068627</v>
      </c>
      <c r="AI628" s="12">
        <f>IF(L628-N628=0,VLOOKUP(U628,rate!A$4:B$15,2,FALSE)*AH628,IF(AG628="USD",O628,AH628*Y628))</f>
        <v>10918.16</v>
      </c>
      <c r="AJ628" s="13">
        <f t="shared" si="214"/>
        <v>0.73022664145869165</v>
      </c>
      <c r="AK628" s="13">
        <f>-IF(AG628="CAD",IFERROR(VLOOKUP(D628,CAARStatus!$A$1:$Y$1600,16,FALSE),0),0)</f>
        <v>0</v>
      </c>
      <c r="AL628" s="13">
        <f>-IF(AG628="USD",IFERROR(VLOOKUP(D628,CAARStatus!$A$1:$Y$1600,11,FALSE),0),0)</f>
        <v>-10918.16</v>
      </c>
      <c r="AM628" s="22" t="str">
        <f t="shared" si="215"/>
        <v/>
      </c>
      <c r="AN628" s="12">
        <f t="shared" si="216"/>
        <v>0</v>
      </c>
      <c r="AO628" s="12" t="str">
        <f t="shared" si="217"/>
        <v>Pend</v>
      </c>
      <c r="AP628" t="str">
        <f t="shared" si="202"/>
        <v>Pend</v>
      </c>
      <c r="AQ628" t="str">
        <f>IFERROR(VLOOKUP(Z628,InvBal!$L$4:$P$600,4,FALSE),"Pend")</f>
        <v>Pend</v>
      </c>
      <c r="AR628" t="str">
        <f>IFERROR(VLOOKUP(D628,Manual!$C$1:$E$22,2,FALSE),"Pend")</f>
        <v>Pend</v>
      </c>
      <c r="AS628" t="str">
        <f t="shared" si="218"/>
        <v/>
      </c>
      <c r="AT628" t="str">
        <f t="shared" si="219"/>
        <v>Yes</v>
      </c>
      <c r="AU628" s="51" t="str">
        <f t="shared" si="220"/>
        <v/>
      </c>
      <c r="AV628" s="12">
        <f>IFERROR(VLOOKUP(D628,'Receivable Invoice Detail'!$S$1:$U$3014,3,FALSE),0)</f>
        <v>0</v>
      </c>
      <c r="AW628" s="12">
        <f t="shared" si="221"/>
        <v>0</v>
      </c>
    </row>
    <row r="629" spans="1:49" ht="30" x14ac:dyDescent="0.25">
      <c r="A629" s="2">
        <v>1</v>
      </c>
      <c r="B629" s="2" t="s">
        <v>1130</v>
      </c>
      <c r="C629" s="2" t="s">
        <v>1131</v>
      </c>
      <c r="D629" s="2" t="s">
        <v>2919</v>
      </c>
      <c r="E629" s="2" t="s">
        <v>576</v>
      </c>
      <c r="F629" s="3">
        <v>45821.357662037037</v>
      </c>
      <c r="G629" s="3">
        <v>45838.513368055559</v>
      </c>
      <c r="H629" s="4">
        <v>45847</v>
      </c>
      <c r="I629" s="2" t="s">
        <v>1132</v>
      </c>
      <c r="J629" s="2" t="s">
        <v>22</v>
      </c>
      <c r="K629" s="2">
        <v>1</v>
      </c>
      <c r="L629" s="2">
        <v>2720.49</v>
      </c>
      <c r="M629" s="2">
        <v>0</v>
      </c>
      <c r="N629" s="2">
        <v>1997.43387246153</v>
      </c>
      <c r="O629" s="2">
        <v>2720.49</v>
      </c>
      <c r="P629" s="2"/>
      <c r="Q629" s="2">
        <v>2720.49</v>
      </c>
      <c r="R629" s="2" t="s">
        <v>44</v>
      </c>
      <c r="S629" s="2"/>
      <c r="T629" s="2">
        <f t="shared" si="203"/>
        <v>1</v>
      </c>
      <c r="U629" s="18">
        <f t="shared" si="204"/>
        <v>6</v>
      </c>
      <c r="V629" s="18">
        <f t="shared" si="205"/>
        <v>2025</v>
      </c>
      <c r="W629" s="18">
        <f t="shared" si="206"/>
        <v>10</v>
      </c>
      <c r="X629" s="18">
        <f t="shared" si="207"/>
        <v>2025</v>
      </c>
      <c r="Y629" s="2">
        <f t="shared" si="200"/>
        <v>0.73421842111587621</v>
      </c>
      <c r="Z629" t="str">
        <f t="shared" si="201"/>
        <v>SO17337</v>
      </c>
      <c r="AA629" s="11">
        <f t="shared" si="208"/>
        <v>45821.357662037037</v>
      </c>
      <c r="AB629" s="5" t="str">
        <f t="shared" si="209"/>
        <v>INV13235</v>
      </c>
      <c r="AC629" s="5" t="str">
        <f>IFERROR(VLOOKUP(D629,CAARStatus!$A$2:$AA$1600,22,FALSE),"Not invoiced")</f>
        <v>Paid</v>
      </c>
      <c r="AD629" s="11">
        <f>IF(AC629="Paid",IFERROR(VLOOKUP(D629,CAARStatus!$A$2:$AA$1600,6,FALSE),"Pending"),"Pending")</f>
        <v>45933</v>
      </c>
      <c r="AE629" s="5" t="str">
        <f t="shared" si="210"/>
        <v>10450</v>
      </c>
      <c r="AF629" s="5" t="str">
        <f t="shared" si="211"/>
        <v>Canadian Industrial Pumps Ltd, Canadian Industrial Pumps Ltd</v>
      </c>
      <c r="AG629" s="5" t="str">
        <f t="shared" si="212"/>
        <v>CAD</v>
      </c>
      <c r="AH629" s="5">
        <f t="shared" si="213"/>
        <v>2720.49</v>
      </c>
      <c r="AI629" s="12">
        <f>IF(L629-N629=0,VLOOKUP(U629,rate!A$4:B$15,2,FALSE)*AH629,IF(AG629="USD",O629,AH629*Y629))</f>
        <v>1997.43387246153</v>
      </c>
      <c r="AJ629" s="13">
        <f t="shared" si="214"/>
        <v>0.73421842111587621</v>
      </c>
      <c r="AK629" s="13">
        <f>-IF(AG629="CAD",IFERROR(VLOOKUP(D629,CAARStatus!$A$1:$Y$1600,16,FALSE),0),0)</f>
        <v>-2720.49</v>
      </c>
      <c r="AL629" s="13">
        <f>-IF(AG629="USD",IFERROR(VLOOKUP(D629,CAARStatus!$A$1:$Y$1600,11,FALSE),0),0)</f>
        <v>0</v>
      </c>
      <c r="AM629" s="22">
        <f t="shared" si="215"/>
        <v>0</v>
      </c>
      <c r="AN629" s="12" t="str">
        <f t="shared" si="216"/>
        <v/>
      </c>
      <c r="AO629" s="12" t="str">
        <f t="shared" si="217"/>
        <v>Yes</v>
      </c>
      <c r="AP629" t="str">
        <f t="shared" si="202"/>
        <v>Yes</v>
      </c>
      <c r="AQ629" t="str">
        <f>IFERROR(VLOOKUP(Z629,InvBal!$L$4:$P$600,4,FALSE),"Pend")</f>
        <v>Pend</v>
      </c>
      <c r="AR629" t="str">
        <f>IFERROR(VLOOKUP(D629,Manual!$C$1:$E$22,2,FALSE),"Pend")</f>
        <v>Pend</v>
      </c>
      <c r="AS629" t="str">
        <f t="shared" si="218"/>
        <v>Yes</v>
      </c>
      <c r="AT629" t="str">
        <f t="shared" si="219"/>
        <v>Yes</v>
      </c>
      <c r="AU629" s="51" t="str">
        <f t="shared" si="220"/>
        <v>Yes</v>
      </c>
      <c r="AV629" s="12">
        <f>IFERROR(VLOOKUP(D629,'Receivable Invoice Detail'!$S$1:$U$3014,3,FALSE),0)</f>
        <v>0</v>
      </c>
      <c r="AW629" s="12">
        <f t="shared" si="221"/>
        <v>1997.43387246153</v>
      </c>
    </row>
    <row r="630" spans="1:49" x14ac:dyDescent="0.25">
      <c r="A630" s="2">
        <v>1</v>
      </c>
      <c r="B630" s="2" t="s">
        <v>1203</v>
      </c>
      <c r="C630" s="2" t="s">
        <v>1204</v>
      </c>
      <c r="D630" s="2" t="s">
        <v>2879</v>
      </c>
      <c r="E630" s="2" t="s">
        <v>465</v>
      </c>
      <c r="F630" s="3">
        <v>45821.417673611111</v>
      </c>
      <c r="G630" s="3">
        <v>45824.34337962963</v>
      </c>
      <c r="H630" s="4">
        <v>45826</v>
      </c>
      <c r="I630" s="2" t="s">
        <v>21</v>
      </c>
      <c r="J630" s="2" t="s">
        <v>22</v>
      </c>
      <c r="K630" s="2">
        <v>1</v>
      </c>
      <c r="L630" s="2">
        <v>266.38</v>
      </c>
      <c r="M630" s="2">
        <v>0</v>
      </c>
      <c r="N630" s="2">
        <v>196.47927661795839</v>
      </c>
      <c r="O630" s="2">
        <v>235.74</v>
      </c>
      <c r="P630" s="2">
        <v>30.64</v>
      </c>
      <c r="Q630" s="2">
        <v>266.38</v>
      </c>
      <c r="R630" s="2" t="s">
        <v>44</v>
      </c>
      <c r="S630" s="2"/>
      <c r="T630" s="2">
        <f t="shared" si="203"/>
        <v>1</v>
      </c>
      <c r="U630" s="18">
        <f t="shared" si="204"/>
        <v>6</v>
      </c>
      <c r="V630" s="18">
        <f t="shared" si="205"/>
        <v>2025</v>
      </c>
      <c r="W630" s="18">
        <f t="shared" si="206"/>
        <v>7</v>
      </c>
      <c r="X630" s="18">
        <f t="shared" si="207"/>
        <v>2025</v>
      </c>
      <c r="Y630" s="2">
        <f t="shared" si="200"/>
        <v>0.73759019677888127</v>
      </c>
      <c r="Z630" t="str">
        <f t="shared" si="201"/>
        <v>SO17338</v>
      </c>
      <c r="AA630" s="11">
        <f t="shared" si="208"/>
        <v>45821.417673611111</v>
      </c>
      <c r="AB630" s="5" t="str">
        <f t="shared" si="209"/>
        <v>INV13101</v>
      </c>
      <c r="AC630" s="5" t="str">
        <f>IFERROR(VLOOKUP(D630,CAARStatus!$A$2:$AA$1600,22,FALSE),"Not invoiced")</f>
        <v>Paid</v>
      </c>
      <c r="AD630" s="11">
        <f>IF(AC630="Paid",IFERROR(VLOOKUP(D630,CAARStatus!$A$2:$AA$1600,6,FALSE),"Pending"),"Pending")</f>
        <v>45863</v>
      </c>
      <c r="AE630" s="5" t="str">
        <f t="shared" si="210"/>
        <v>M-083855</v>
      </c>
      <c r="AF630" s="5" t="str">
        <f t="shared" si="211"/>
        <v>Grant Aggregate</v>
      </c>
      <c r="AG630" s="5" t="str">
        <f t="shared" si="212"/>
        <v>CAD</v>
      </c>
      <c r="AH630" s="5">
        <f t="shared" si="213"/>
        <v>235.74</v>
      </c>
      <c r="AI630" s="12">
        <f>IF(L630-N630=0,VLOOKUP(U630,rate!A$4:B$15,2,FALSE)*AH630,IF(AG630="USD",O630,AH630*Y630))</f>
        <v>173.87951298865349</v>
      </c>
      <c r="AJ630" s="13">
        <f t="shared" si="214"/>
        <v>0.73759019677888127</v>
      </c>
      <c r="AK630" s="13">
        <f>-IF(AG630="CAD",IFERROR(VLOOKUP(D630,CAARStatus!$A$1:$Y$1600,16,FALSE),0),0)</f>
        <v>-235.74</v>
      </c>
      <c r="AL630" s="13">
        <f>-IF(AG630="USD",IFERROR(VLOOKUP(D630,CAARStatus!$A$1:$Y$1600,11,FALSE),0),0)</f>
        <v>0</v>
      </c>
      <c r="AM630" s="22">
        <f t="shared" si="215"/>
        <v>0</v>
      </c>
      <c r="AN630" s="12" t="str">
        <f t="shared" si="216"/>
        <v/>
      </c>
      <c r="AO630" s="12" t="str">
        <f t="shared" si="217"/>
        <v>Yes</v>
      </c>
      <c r="AP630" t="str">
        <f t="shared" si="202"/>
        <v>Yes</v>
      </c>
      <c r="AQ630" t="str">
        <f>IFERROR(VLOOKUP(Z630,InvBal!$L$4:$P$600,4,FALSE),"Pend")</f>
        <v>Pend</v>
      </c>
      <c r="AR630" t="str">
        <f>IFERROR(VLOOKUP(D630,Manual!$C$1:$E$22,2,FALSE),"Pend")</f>
        <v>Pend</v>
      </c>
      <c r="AS630" t="str">
        <f t="shared" si="218"/>
        <v>Yes</v>
      </c>
      <c r="AT630" t="str">
        <f t="shared" si="219"/>
        <v>Yes</v>
      </c>
      <c r="AU630" s="51" t="str">
        <f t="shared" si="220"/>
        <v>Yes</v>
      </c>
      <c r="AV630" s="12">
        <f>IFERROR(VLOOKUP(D630,'Receivable Invoice Detail'!$S$1:$U$3014,3,FALSE),0)</f>
        <v>0</v>
      </c>
      <c r="AW630" s="12">
        <f t="shared" si="221"/>
        <v>173.87951298865349</v>
      </c>
    </row>
    <row r="631" spans="1:49" ht="30" x14ac:dyDescent="0.25">
      <c r="A631" s="2">
        <v>1</v>
      </c>
      <c r="B631" s="2" t="s">
        <v>1209</v>
      </c>
      <c r="C631" s="2" t="s">
        <v>1210</v>
      </c>
      <c r="D631" s="2" t="s">
        <v>2875</v>
      </c>
      <c r="E631" s="2" t="s">
        <v>20</v>
      </c>
      <c r="F631" s="3">
        <v>45821.580335648148</v>
      </c>
      <c r="G631" s="3">
        <v>45821.585787037038</v>
      </c>
      <c r="H631" s="4">
        <v>45891</v>
      </c>
      <c r="I631" s="2" t="s">
        <v>21</v>
      </c>
      <c r="J631" s="2" t="s">
        <v>22</v>
      </c>
      <c r="K631" s="2">
        <v>1</v>
      </c>
      <c r="L631" s="2">
        <v>1668.56</v>
      </c>
      <c r="M631" s="2">
        <v>0</v>
      </c>
      <c r="N631" s="2">
        <v>1229.054655160239</v>
      </c>
      <c r="O631" s="2">
        <v>1589.1</v>
      </c>
      <c r="P631" s="2">
        <v>79.459999999999994</v>
      </c>
      <c r="Q631" s="2">
        <v>1668.56</v>
      </c>
      <c r="R631" s="2" t="s">
        <v>44</v>
      </c>
      <c r="S631" s="2"/>
      <c r="T631" s="2">
        <f t="shared" si="203"/>
        <v>1</v>
      </c>
      <c r="U631" s="18">
        <f t="shared" si="204"/>
        <v>6</v>
      </c>
      <c r="V631" s="18">
        <f t="shared" si="205"/>
        <v>2025</v>
      </c>
      <c r="W631" s="18">
        <f t="shared" si="206"/>
        <v>10</v>
      </c>
      <c r="X631" s="18">
        <f t="shared" si="207"/>
        <v>2025</v>
      </c>
      <c r="Y631" s="2">
        <f t="shared" si="200"/>
        <v>0.73659602001740365</v>
      </c>
      <c r="Z631" t="str">
        <f t="shared" si="201"/>
        <v>SO17345</v>
      </c>
      <c r="AA631" s="11">
        <f t="shared" si="208"/>
        <v>45821.580335648148</v>
      </c>
      <c r="AB631" s="5" t="str">
        <f t="shared" si="209"/>
        <v>INV13258</v>
      </c>
      <c r="AC631" s="5" t="str">
        <f>IFERROR(VLOOKUP(D631,CAARStatus!$A$2:$AA$1600,22,FALSE),"Not invoiced")</f>
        <v>Paid</v>
      </c>
      <c r="AD631" s="11">
        <f>IF(AC631="Paid",IFERROR(VLOOKUP(D631,CAARStatus!$A$2:$AA$1600,6,FALSE),"Pending"),"Pending")</f>
        <v>45933</v>
      </c>
      <c r="AE631" s="5" t="str">
        <f t="shared" si="210"/>
        <v>4500601157</v>
      </c>
      <c r="AF631" s="5" t="str">
        <f t="shared" si="211"/>
        <v>Resolute Forest Products - Saint-Felicien</v>
      </c>
      <c r="AG631" s="5" t="str">
        <f t="shared" si="212"/>
        <v>CAD</v>
      </c>
      <c r="AH631" s="5">
        <f t="shared" si="213"/>
        <v>1589.1</v>
      </c>
      <c r="AI631" s="12">
        <f>IF(L631-N631=0,VLOOKUP(U631,rate!A$4:B$15,2,FALSE)*AH631,IF(AG631="USD",O631,AH631*Y631))</f>
        <v>1170.5247354096562</v>
      </c>
      <c r="AJ631" s="13">
        <f t="shared" si="214"/>
        <v>0.73659602001740365</v>
      </c>
      <c r="AK631" s="13">
        <f>-IF(AG631="CAD",IFERROR(VLOOKUP(D631,CAARStatus!$A$1:$Y$1600,16,FALSE),0),0)</f>
        <v>-1589.1</v>
      </c>
      <c r="AL631" s="13">
        <f>-IF(AG631="USD",IFERROR(VLOOKUP(D631,CAARStatus!$A$1:$Y$1600,11,FALSE),0),0)</f>
        <v>0</v>
      </c>
      <c r="AM631" s="22">
        <f t="shared" si="215"/>
        <v>0</v>
      </c>
      <c r="AN631" s="12" t="str">
        <f t="shared" si="216"/>
        <v/>
      </c>
      <c r="AO631" s="12" t="str">
        <f t="shared" si="217"/>
        <v>Yes</v>
      </c>
      <c r="AP631" t="str">
        <f t="shared" si="202"/>
        <v>Yes</v>
      </c>
      <c r="AQ631" t="str">
        <f>IFERROR(VLOOKUP(Z631,InvBal!$L$4:$P$600,4,FALSE),"Pend")</f>
        <v>Pend</v>
      </c>
      <c r="AR631" t="str">
        <f>IFERROR(VLOOKUP(D631,Manual!$C$1:$E$22,2,FALSE),"Pend")</f>
        <v>Pend</v>
      </c>
      <c r="AS631" t="str">
        <f t="shared" si="218"/>
        <v>Yes</v>
      </c>
      <c r="AT631" t="str">
        <f t="shared" si="219"/>
        <v>Yes</v>
      </c>
      <c r="AU631" s="51" t="str">
        <f t="shared" si="220"/>
        <v>Yes</v>
      </c>
      <c r="AV631" s="12">
        <f>IFERROR(VLOOKUP(D631,'Receivable Invoice Detail'!$S$1:$U$3014,3,FALSE),0)</f>
        <v>0</v>
      </c>
      <c r="AW631" s="12">
        <f t="shared" si="221"/>
        <v>1170.5247354096562</v>
      </c>
    </row>
    <row r="632" spans="1:49" ht="30" x14ac:dyDescent="0.25">
      <c r="A632" s="2">
        <v>1</v>
      </c>
      <c r="B632" s="2" t="s">
        <v>1207</v>
      </c>
      <c r="C632" s="2" t="s">
        <v>1208</v>
      </c>
      <c r="D632" s="2" t="s">
        <v>2876</v>
      </c>
      <c r="E632" s="2" t="s">
        <v>98</v>
      </c>
      <c r="F632" s="3">
        <v>45821.638240740736</v>
      </c>
      <c r="G632" s="3">
        <v>45821.639768518522</v>
      </c>
      <c r="H632" s="4">
        <v>45821</v>
      </c>
      <c r="I632" s="2" t="s">
        <v>21</v>
      </c>
      <c r="J632" s="2" t="s">
        <v>22</v>
      </c>
      <c r="K632" s="2">
        <v>1</v>
      </c>
      <c r="L632" s="2">
        <v>4457.7</v>
      </c>
      <c r="M632" s="2">
        <v>0</v>
      </c>
      <c r="N632" s="2">
        <v>3283.524078431582</v>
      </c>
      <c r="O632" s="2">
        <v>3944.87</v>
      </c>
      <c r="P632" s="2">
        <v>512.83000000000004</v>
      </c>
      <c r="Q632" s="2">
        <v>4457.7</v>
      </c>
      <c r="R632" s="2" t="s">
        <v>44</v>
      </c>
      <c r="S632" s="2"/>
      <c r="T632" s="2">
        <f t="shared" si="203"/>
        <v>1</v>
      </c>
      <c r="U632" s="18">
        <f t="shared" si="204"/>
        <v>6</v>
      </c>
      <c r="V632" s="18">
        <f t="shared" si="205"/>
        <v>2025</v>
      </c>
      <c r="W632" s="18">
        <f t="shared" si="206"/>
        <v>7</v>
      </c>
      <c r="X632" s="18">
        <f t="shared" si="207"/>
        <v>2025</v>
      </c>
      <c r="Y632" s="2">
        <f t="shared" si="200"/>
        <v>0.7365960200174041</v>
      </c>
      <c r="Z632" t="str">
        <f t="shared" si="201"/>
        <v>SO17346</v>
      </c>
      <c r="AA632" s="11">
        <f t="shared" si="208"/>
        <v>45821.638240740736</v>
      </c>
      <c r="AB632" s="5" t="str">
        <f t="shared" si="209"/>
        <v>INV13113</v>
      </c>
      <c r="AC632" s="5" t="str">
        <f>IFERROR(VLOOKUP(D632,CAARStatus!$A$2:$AA$1600,22,FALSE),"Not invoiced")</f>
        <v>Paid</v>
      </c>
      <c r="AD632" s="11">
        <f>IF(AC632="Paid",IFERROR(VLOOKUP(D632,CAARStatus!$A$2:$AA$1600,6,FALSE),"Pending"),"Pending")</f>
        <v>45861</v>
      </c>
      <c r="AE632" s="5" t="str">
        <f t="shared" si="210"/>
        <v>PO-008046</v>
      </c>
      <c r="AF632" s="5" t="str">
        <f t="shared" si="211"/>
        <v>Sling-Choker Manufacturing - Timmins</v>
      </c>
      <c r="AG632" s="5" t="str">
        <f t="shared" si="212"/>
        <v>CAD</v>
      </c>
      <c r="AH632" s="5">
        <f t="shared" si="213"/>
        <v>3944.87</v>
      </c>
      <c r="AI632" s="12">
        <f>IF(L632-N632=0,VLOOKUP(U632,rate!A$4:B$15,2,FALSE)*AH632,IF(AG632="USD",O632,AH632*Y632))</f>
        <v>2905.7755414860567</v>
      </c>
      <c r="AJ632" s="13">
        <f t="shared" si="214"/>
        <v>0.7365960200174041</v>
      </c>
      <c r="AK632" s="13">
        <f>-IF(AG632="CAD",IFERROR(VLOOKUP(D632,CAARStatus!$A$1:$Y$1600,16,FALSE),0),0)</f>
        <v>-3944.87</v>
      </c>
      <c r="AL632" s="13">
        <f>-IF(AG632="USD",IFERROR(VLOOKUP(D632,CAARStatus!$A$1:$Y$1600,11,FALSE),0),0)</f>
        <v>0</v>
      </c>
      <c r="AM632" s="22">
        <f t="shared" si="215"/>
        <v>0</v>
      </c>
      <c r="AN632" s="12" t="str">
        <f t="shared" si="216"/>
        <v/>
      </c>
      <c r="AO632" s="12" t="str">
        <f t="shared" si="217"/>
        <v>Yes</v>
      </c>
      <c r="AP632" t="str">
        <f t="shared" si="202"/>
        <v>Yes</v>
      </c>
      <c r="AQ632" t="str">
        <f>IFERROR(VLOOKUP(Z632,InvBal!$L$4:$P$600,4,FALSE),"Pend")</f>
        <v>Pend</v>
      </c>
      <c r="AR632" t="str">
        <f>IFERROR(VLOOKUP(D632,Manual!$C$1:$E$22,2,FALSE),"Pend")</f>
        <v>Pend</v>
      </c>
      <c r="AS632" t="str">
        <f t="shared" si="218"/>
        <v>Yes</v>
      </c>
      <c r="AT632" t="str">
        <f t="shared" si="219"/>
        <v>Yes</v>
      </c>
      <c r="AU632" s="51" t="str">
        <f t="shared" si="220"/>
        <v>Yes</v>
      </c>
      <c r="AV632" s="12">
        <f>IFERROR(VLOOKUP(D632,'Receivable Invoice Detail'!$S$1:$U$3014,3,FALSE),0)</f>
        <v>0</v>
      </c>
      <c r="AW632" s="12">
        <f t="shared" si="221"/>
        <v>2905.7755414860567</v>
      </c>
    </row>
    <row r="633" spans="1:49" ht="30" x14ac:dyDescent="0.25">
      <c r="A633" s="2">
        <v>1</v>
      </c>
      <c r="B633" s="2" t="s">
        <v>1201</v>
      </c>
      <c r="C633" s="2" t="s">
        <v>1202</v>
      </c>
      <c r="D633" s="2" t="s">
        <v>2880</v>
      </c>
      <c r="E633" s="2" t="s">
        <v>509</v>
      </c>
      <c r="F633" s="3">
        <v>45824.357627314806</v>
      </c>
      <c r="G633" s="3">
        <v>45824.358761574083</v>
      </c>
      <c r="H633" s="4">
        <v>45827</v>
      </c>
      <c r="I633" s="2" t="s">
        <v>1132</v>
      </c>
      <c r="J633" s="2" t="s">
        <v>22</v>
      </c>
      <c r="K633" s="2">
        <v>1</v>
      </c>
      <c r="L633" s="2">
        <v>1003.33</v>
      </c>
      <c r="M633" s="2">
        <v>0</v>
      </c>
      <c r="N633" s="2">
        <v>740.04637213415515</v>
      </c>
      <c r="O633" s="2">
        <v>955.55</v>
      </c>
      <c r="P633" s="2">
        <v>47.78</v>
      </c>
      <c r="Q633" s="2">
        <v>1003.33</v>
      </c>
      <c r="R633" s="2" t="s">
        <v>44</v>
      </c>
      <c r="S633" s="2"/>
      <c r="T633" s="2">
        <f t="shared" si="203"/>
        <v>1</v>
      </c>
      <c r="U633" s="18">
        <f t="shared" si="204"/>
        <v>6</v>
      </c>
      <c r="V633" s="18">
        <f t="shared" si="205"/>
        <v>2025</v>
      </c>
      <c r="W633" s="18">
        <f t="shared" si="206"/>
        <v>7</v>
      </c>
      <c r="X633" s="18">
        <f t="shared" si="207"/>
        <v>2025</v>
      </c>
      <c r="Y633" s="2">
        <f t="shared" si="200"/>
        <v>0.73759019677888149</v>
      </c>
      <c r="Z633" t="str">
        <f t="shared" si="201"/>
        <v>SO17349</v>
      </c>
      <c r="AA633" s="11">
        <f t="shared" si="208"/>
        <v>45824.357627314806</v>
      </c>
      <c r="AB633" s="5" t="str">
        <f t="shared" si="209"/>
        <v>INV13107</v>
      </c>
      <c r="AC633" s="5" t="str">
        <f>IFERROR(VLOOKUP(D633,CAARStatus!$A$2:$AA$1600,22,FALSE),"Not invoiced")</f>
        <v>Paid</v>
      </c>
      <c r="AD633" s="11">
        <f>IF(AC633="Paid",IFERROR(VLOOKUP(D633,CAARStatus!$A$2:$AA$1600,6,FALSE),"Pending"),"Pending")</f>
        <v>45868</v>
      </c>
      <c r="AE633" s="5" t="str">
        <f t="shared" si="210"/>
        <v>PO09675</v>
      </c>
      <c r="AF633" s="5" t="str">
        <f t="shared" si="211"/>
        <v>Tantalum Mining Corporation of Canada</v>
      </c>
      <c r="AG633" s="5" t="str">
        <f t="shared" si="212"/>
        <v>CAD</v>
      </c>
      <c r="AH633" s="5">
        <f t="shared" si="213"/>
        <v>955.55</v>
      </c>
      <c r="AI633" s="12">
        <f>IF(L633-N633=0,VLOOKUP(U633,rate!A$4:B$15,2,FALSE)*AH633,IF(AG633="USD",O633,AH633*Y633))</f>
        <v>704.80431253206018</v>
      </c>
      <c r="AJ633" s="13">
        <f t="shared" si="214"/>
        <v>0.73759019677888149</v>
      </c>
      <c r="AK633" s="13">
        <f>-IF(AG633="CAD",IFERROR(VLOOKUP(D633,CAARStatus!$A$1:$Y$1600,16,FALSE),0),0)</f>
        <v>-955.55</v>
      </c>
      <c r="AL633" s="13">
        <f>-IF(AG633="USD",IFERROR(VLOOKUP(D633,CAARStatus!$A$1:$Y$1600,11,FALSE),0),0)</f>
        <v>0</v>
      </c>
      <c r="AM633" s="22">
        <f t="shared" si="215"/>
        <v>0</v>
      </c>
      <c r="AN633" s="12" t="str">
        <f t="shared" si="216"/>
        <v/>
      </c>
      <c r="AO633" s="12" t="str">
        <f t="shared" si="217"/>
        <v>Yes</v>
      </c>
      <c r="AP633" t="str">
        <f t="shared" si="202"/>
        <v>Yes</v>
      </c>
      <c r="AQ633" t="str">
        <f>IFERROR(VLOOKUP(Z633,InvBal!$L$4:$P$600,4,FALSE),"Pend")</f>
        <v>Pend</v>
      </c>
      <c r="AR633" t="str">
        <f>IFERROR(VLOOKUP(D633,Manual!$C$1:$E$22,2,FALSE),"Pend")</f>
        <v>Pend</v>
      </c>
      <c r="AS633" t="str">
        <f t="shared" si="218"/>
        <v>Yes</v>
      </c>
      <c r="AT633" t="str">
        <f t="shared" si="219"/>
        <v>Yes</v>
      </c>
      <c r="AU633" s="51" t="str">
        <f t="shared" si="220"/>
        <v>Yes</v>
      </c>
      <c r="AV633" s="12">
        <f>IFERROR(VLOOKUP(D633,'Receivable Invoice Detail'!$S$1:$U$3014,3,FALSE),0)</f>
        <v>0</v>
      </c>
      <c r="AW633" s="12">
        <f t="shared" si="221"/>
        <v>704.80431253206018</v>
      </c>
    </row>
    <row r="634" spans="1:49" x14ac:dyDescent="0.25">
      <c r="A634" s="2">
        <v>1</v>
      </c>
      <c r="B634" s="2" t="s">
        <v>1197</v>
      </c>
      <c r="C634" s="2" t="s">
        <v>1198</v>
      </c>
      <c r="D634" s="2" t="s">
        <v>2882</v>
      </c>
      <c r="E634" s="2" t="s">
        <v>242</v>
      </c>
      <c r="F634" s="3">
        <v>45824.569710648153</v>
      </c>
      <c r="G634" s="3">
        <v>45824.607893518521</v>
      </c>
      <c r="H634" s="4">
        <v>45828</v>
      </c>
      <c r="I634" s="2" t="s">
        <v>21</v>
      </c>
      <c r="J634" s="2" t="s">
        <v>22</v>
      </c>
      <c r="K634" s="2">
        <v>1</v>
      </c>
      <c r="L634" s="2">
        <v>2758.72</v>
      </c>
      <c r="M634" s="2">
        <v>0</v>
      </c>
      <c r="N634" s="2">
        <v>2034.8048276578361</v>
      </c>
      <c r="O634" s="2">
        <v>2627.35</v>
      </c>
      <c r="P634" s="2">
        <v>131.37</v>
      </c>
      <c r="Q634" s="2">
        <v>2758.72</v>
      </c>
      <c r="R634" s="2" t="s">
        <v>44</v>
      </c>
      <c r="S634" s="2"/>
      <c r="T634" s="2">
        <f t="shared" si="203"/>
        <v>1</v>
      </c>
      <c r="U634" s="18">
        <f t="shared" si="204"/>
        <v>6</v>
      </c>
      <c r="V634" s="18">
        <f t="shared" si="205"/>
        <v>2025</v>
      </c>
      <c r="W634" s="18">
        <f t="shared" si="206"/>
        <v>7</v>
      </c>
      <c r="X634" s="18">
        <f t="shared" si="207"/>
        <v>2025</v>
      </c>
      <c r="Y634" s="2">
        <f t="shared" si="200"/>
        <v>0.7375901967788816</v>
      </c>
      <c r="Z634" t="str">
        <f t="shared" si="201"/>
        <v>SO17353</v>
      </c>
      <c r="AA634" s="11">
        <f t="shared" si="208"/>
        <v>45824.569710648153</v>
      </c>
      <c r="AB634" s="5" t="str">
        <f t="shared" si="209"/>
        <v>INV13103</v>
      </c>
      <c r="AC634" s="5" t="str">
        <f>IFERROR(VLOOKUP(D634,CAARStatus!$A$2:$AA$1600,22,FALSE),"Not invoiced")</f>
        <v>Paid</v>
      </c>
      <c r="AD634" s="11">
        <f>IF(AC634="Paid",IFERROR(VLOOKUP(D634,CAARStatus!$A$2:$AA$1600,6,FALSE),"Pending"),"Pending")</f>
        <v>45861</v>
      </c>
      <c r="AE634" s="5" t="str">
        <f t="shared" si="210"/>
        <v>2100596118</v>
      </c>
      <c r="AF634" s="5" t="str">
        <f t="shared" si="211"/>
        <v>Wajax Limited - Noranda</v>
      </c>
      <c r="AG634" s="5" t="str">
        <f t="shared" si="212"/>
        <v>CAD</v>
      </c>
      <c r="AH634" s="5">
        <f t="shared" si="213"/>
        <v>2627.35</v>
      </c>
      <c r="AI634" s="12">
        <f>IF(L634-N634=0,VLOOKUP(U634,rate!A$4:B$15,2,FALSE)*AH634,IF(AG634="USD",O634,AH634*Y634))</f>
        <v>1937.9076035069945</v>
      </c>
      <c r="AJ634" s="13">
        <f t="shared" si="214"/>
        <v>0.7375901967788816</v>
      </c>
      <c r="AK634" s="13">
        <f>-IF(AG634="CAD",IFERROR(VLOOKUP(D634,CAARStatus!$A$1:$Y$1600,16,FALSE),0),0)</f>
        <v>-2627.35</v>
      </c>
      <c r="AL634" s="13">
        <f>-IF(AG634="USD",IFERROR(VLOOKUP(D634,CAARStatus!$A$1:$Y$1600,11,FALSE),0),0)</f>
        <v>0</v>
      </c>
      <c r="AM634" s="22">
        <f t="shared" si="215"/>
        <v>0</v>
      </c>
      <c r="AN634" s="12" t="str">
        <f t="shared" si="216"/>
        <v/>
      </c>
      <c r="AO634" s="12" t="str">
        <f t="shared" si="217"/>
        <v>Yes</v>
      </c>
      <c r="AP634" t="str">
        <f t="shared" si="202"/>
        <v>Yes</v>
      </c>
      <c r="AQ634" t="str">
        <f>IFERROR(VLOOKUP(Z634,InvBal!$L$4:$P$600,4,FALSE),"Pend")</f>
        <v>Pend</v>
      </c>
      <c r="AR634" t="str">
        <f>IFERROR(VLOOKUP(D634,Manual!$C$1:$E$22,2,FALSE),"Pend")</f>
        <v>Pend</v>
      </c>
      <c r="AS634" t="str">
        <f t="shared" si="218"/>
        <v>Yes</v>
      </c>
      <c r="AT634" t="str">
        <f t="shared" si="219"/>
        <v>Yes</v>
      </c>
      <c r="AU634" s="51" t="str">
        <f t="shared" si="220"/>
        <v>Yes</v>
      </c>
      <c r="AV634" s="12">
        <f>IFERROR(VLOOKUP(D634,'Receivable Invoice Detail'!$S$1:$U$3014,3,FALSE),0)</f>
        <v>0</v>
      </c>
      <c r="AW634" s="12">
        <f t="shared" si="221"/>
        <v>1937.9076035069945</v>
      </c>
    </row>
    <row r="635" spans="1:49" ht="45" x14ac:dyDescent="0.25">
      <c r="A635" s="2">
        <v>1</v>
      </c>
      <c r="B635" s="2" t="s">
        <v>1187</v>
      </c>
      <c r="C635" s="2" t="s">
        <v>1188</v>
      </c>
      <c r="D635" s="2" t="s">
        <v>2886</v>
      </c>
      <c r="E635" s="2" t="s">
        <v>1189</v>
      </c>
      <c r="F635" s="3">
        <v>45824.595567129632</v>
      </c>
      <c r="G635" s="3">
        <v>45826.531307870369</v>
      </c>
      <c r="H635" s="4">
        <v>45833</v>
      </c>
      <c r="I635" s="2" t="s">
        <v>21</v>
      </c>
      <c r="J635" s="2" t="s">
        <v>51</v>
      </c>
      <c r="K635" s="2">
        <v>0.73586843526375945</v>
      </c>
      <c r="L635" s="2">
        <v>466.65950534610732</v>
      </c>
      <c r="M635" s="2">
        <v>0</v>
      </c>
      <c r="N635" s="2">
        <v>343.4</v>
      </c>
      <c r="O635" s="2">
        <v>343.4</v>
      </c>
      <c r="P635" s="2"/>
      <c r="Q635" s="2">
        <v>343.4</v>
      </c>
      <c r="R635" s="2" t="s">
        <v>44</v>
      </c>
      <c r="S635" s="2"/>
      <c r="T635" s="2">
        <f t="shared" si="203"/>
        <v>1</v>
      </c>
      <c r="U635" s="18">
        <f t="shared" si="204"/>
        <v>6</v>
      </c>
      <c r="V635" s="18">
        <f t="shared" si="205"/>
        <v>2025</v>
      </c>
      <c r="W635" s="18">
        <f t="shared" si="206"/>
        <v>7</v>
      </c>
      <c r="X635" s="18">
        <f t="shared" si="207"/>
        <v>2025</v>
      </c>
      <c r="Y635" s="2">
        <f t="shared" si="200"/>
        <v>0.73586843526375945</v>
      </c>
      <c r="Z635" t="str">
        <f t="shared" si="201"/>
        <v>SO17355</v>
      </c>
      <c r="AA635" s="11">
        <f t="shared" si="208"/>
        <v>45824.595567129632</v>
      </c>
      <c r="AB635" s="5" t="str">
        <f t="shared" si="209"/>
        <v>INV13104</v>
      </c>
      <c r="AC635" s="5" t="str">
        <f>IFERROR(VLOOKUP(D635,CAARStatus!$A$2:$AA$1600,22,FALSE),"Not invoiced")</f>
        <v>Paid</v>
      </c>
      <c r="AD635" s="11">
        <f>IF(AC635="Paid",IFERROR(VLOOKUP(D635,CAARStatus!$A$2:$AA$1600,6,FALSE),"Pending"),"Pending")</f>
        <v>45859</v>
      </c>
      <c r="AE635" s="5" t="str">
        <f t="shared" si="210"/>
        <v>WV70-00220419</v>
      </c>
      <c r="AF635" s="5" t="str">
        <f t="shared" si="211"/>
        <v>Motion Industries Inc. (U.S.) - Huntington, Motion Industries, Inc.</v>
      </c>
      <c r="AG635" s="5" t="str">
        <f t="shared" si="212"/>
        <v>USD</v>
      </c>
      <c r="AH635" s="5">
        <f t="shared" si="213"/>
        <v>466.65950534610732</v>
      </c>
      <c r="AI635" s="12">
        <f>IF(L635-N635=0,VLOOKUP(U635,rate!A$4:B$15,2,FALSE)*AH635,IF(AG635="USD",O635,AH635*Y635))</f>
        <v>343.4</v>
      </c>
      <c r="AJ635" s="13">
        <f t="shared" si="214"/>
        <v>0.73586843526375945</v>
      </c>
      <c r="AK635" s="13">
        <f>-IF(AG635="CAD",IFERROR(VLOOKUP(D635,CAARStatus!$A$1:$Y$1600,16,FALSE),0),0)</f>
        <v>0</v>
      </c>
      <c r="AL635" s="13">
        <f>-IF(AG635="USD",IFERROR(VLOOKUP(D635,CAARStatus!$A$1:$Y$1600,11,FALSE),0),0)</f>
        <v>-343.4</v>
      </c>
      <c r="AM635" s="22" t="str">
        <f t="shared" si="215"/>
        <v/>
      </c>
      <c r="AN635" s="12">
        <f t="shared" si="216"/>
        <v>0</v>
      </c>
      <c r="AO635" s="12" t="str">
        <f t="shared" si="217"/>
        <v>Yes</v>
      </c>
      <c r="AP635" t="str">
        <f t="shared" si="202"/>
        <v>Yes</v>
      </c>
      <c r="AQ635" t="str">
        <f>IFERROR(VLOOKUP(Z635,InvBal!$L$4:$P$600,4,FALSE),"Pend")</f>
        <v>Pend</v>
      </c>
      <c r="AR635" t="str">
        <f>IFERROR(VLOOKUP(D635,Manual!$C$1:$E$22,2,FALSE),"Pend")</f>
        <v>Pend</v>
      </c>
      <c r="AS635" t="str">
        <f t="shared" si="218"/>
        <v>Yes</v>
      </c>
      <c r="AT635" t="str">
        <f t="shared" si="219"/>
        <v>Yes</v>
      </c>
      <c r="AU635" s="51" t="str">
        <f t="shared" si="220"/>
        <v>Yes</v>
      </c>
      <c r="AV635" s="12">
        <f>IFERROR(VLOOKUP(D635,'Receivable Invoice Detail'!$S$1:$U$3014,3,FALSE),0)</f>
        <v>0</v>
      </c>
      <c r="AW635" s="12">
        <f t="shared" si="221"/>
        <v>343.4</v>
      </c>
    </row>
    <row r="636" spans="1:49" x14ac:dyDescent="0.25">
      <c r="A636" s="2">
        <v>1</v>
      </c>
      <c r="B636" s="2" t="s">
        <v>1194</v>
      </c>
      <c r="C636" s="2" t="s">
        <v>1195</v>
      </c>
      <c r="D636" s="2" t="s">
        <v>2883</v>
      </c>
      <c r="E636" s="2" t="s">
        <v>1196</v>
      </c>
      <c r="F636" s="3">
        <v>45824.614108796297</v>
      </c>
      <c r="G636" s="3">
        <v>45824.614108796297</v>
      </c>
      <c r="H636" s="4">
        <v>45903</v>
      </c>
      <c r="I636" s="2" t="s">
        <v>21</v>
      </c>
      <c r="J636" s="2" t="s">
        <v>22</v>
      </c>
      <c r="K636" s="2">
        <v>1</v>
      </c>
      <c r="L636" s="2">
        <v>12164.25</v>
      </c>
      <c r="M636" s="2">
        <v>0</v>
      </c>
      <c r="N636" s="2">
        <v>8972.2315511675097</v>
      </c>
      <c r="O636" s="2">
        <v>10764.82</v>
      </c>
      <c r="P636" s="2">
        <v>1399.43</v>
      </c>
      <c r="Q636" s="2">
        <v>12164.25</v>
      </c>
      <c r="R636" s="2" t="s">
        <v>44</v>
      </c>
      <c r="S636" s="2"/>
      <c r="T636" s="2">
        <f t="shared" si="203"/>
        <v>1</v>
      </c>
      <c r="U636" s="18">
        <f t="shared" si="204"/>
        <v>6</v>
      </c>
      <c r="V636" s="18">
        <f t="shared" si="205"/>
        <v>2025</v>
      </c>
      <c r="W636" s="18">
        <f t="shared" si="206"/>
        <v>9</v>
      </c>
      <c r="X636" s="18">
        <f t="shared" si="207"/>
        <v>2025</v>
      </c>
      <c r="Y636" s="2">
        <f t="shared" si="200"/>
        <v>0.73759019677888149</v>
      </c>
      <c r="Z636" t="str">
        <f t="shared" si="201"/>
        <v>SO17356</v>
      </c>
      <c r="AA636" s="11">
        <f t="shared" si="208"/>
        <v>45824.614108796297</v>
      </c>
      <c r="AB636" s="5" t="str">
        <f t="shared" si="209"/>
        <v>INV13287</v>
      </c>
      <c r="AC636" s="5" t="str">
        <f>IFERROR(VLOOKUP(D636,CAARStatus!$A$2:$AA$1600,22,FALSE),"Not invoiced")</f>
        <v>Paid</v>
      </c>
      <c r="AD636" s="11">
        <f>IF(AC636="Paid",IFERROR(VLOOKUP(D636,CAARStatus!$A$2:$AA$1600,6,FALSE),"Pending"),"Pending")</f>
        <v>45903</v>
      </c>
      <c r="AE636" s="5" t="str">
        <f t="shared" si="210"/>
        <v>4009449</v>
      </c>
      <c r="AF636" s="5" t="str">
        <f t="shared" si="211"/>
        <v>John Brooks Company Limited</v>
      </c>
      <c r="AG636" s="5" t="str">
        <f t="shared" si="212"/>
        <v>CAD</v>
      </c>
      <c r="AH636" s="5">
        <f t="shared" si="213"/>
        <v>10764.82</v>
      </c>
      <c r="AI636" s="12">
        <f>IF(L636-N636=0,VLOOKUP(U636,rate!A$4:B$15,2,FALSE)*AH636,IF(AG636="USD",O636,AH636*Y636))</f>
        <v>7940.0257020892386</v>
      </c>
      <c r="AJ636" s="13">
        <f t="shared" si="214"/>
        <v>0.73759019677888149</v>
      </c>
      <c r="AK636" s="13">
        <f>-IF(AG636="CAD",IFERROR(VLOOKUP(D636,CAARStatus!$A$1:$Y$1600,16,FALSE),0),0)</f>
        <v>-10764.82</v>
      </c>
      <c r="AL636" s="13">
        <f>-IF(AG636="USD",IFERROR(VLOOKUP(D636,CAARStatus!$A$1:$Y$1600,11,FALSE),0),0)</f>
        <v>0</v>
      </c>
      <c r="AM636" s="22">
        <f t="shared" si="215"/>
        <v>0</v>
      </c>
      <c r="AN636" s="12" t="str">
        <f t="shared" si="216"/>
        <v/>
      </c>
      <c r="AO636" s="12" t="str">
        <f t="shared" si="217"/>
        <v>Yes</v>
      </c>
      <c r="AP636" t="str">
        <f t="shared" si="202"/>
        <v>Yes</v>
      </c>
      <c r="AQ636" t="str">
        <f>IFERROR(VLOOKUP(Z636,InvBal!$L$4:$P$600,4,FALSE),"Pend")</f>
        <v>Pend</v>
      </c>
      <c r="AR636" t="str">
        <f>IFERROR(VLOOKUP(D636,Manual!$C$1:$E$22,2,FALSE),"Pend")</f>
        <v>Pend</v>
      </c>
      <c r="AS636" t="str">
        <f t="shared" si="218"/>
        <v>Yes</v>
      </c>
      <c r="AT636" t="str">
        <f t="shared" si="219"/>
        <v>Yes</v>
      </c>
      <c r="AU636" s="51" t="str">
        <f t="shared" si="220"/>
        <v>Yes</v>
      </c>
      <c r="AV636" s="12">
        <f>IFERROR(VLOOKUP(D636,'Receivable Invoice Detail'!$S$1:$U$3014,3,FALSE),0)</f>
        <v>0</v>
      </c>
      <c r="AW636" s="12">
        <f t="shared" si="221"/>
        <v>7940.0257020892386</v>
      </c>
    </row>
    <row r="637" spans="1:49" x14ac:dyDescent="0.25">
      <c r="A637" s="2">
        <v>1</v>
      </c>
      <c r="B637" s="2" t="s">
        <v>1192</v>
      </c>
      <c r="C637" s="2" t="s">
        <v>1193</v>
      </c>
      <c r="D637" s="2" t="s">
        <v>2884</v>
      </c>
      <c r="E637" s="2" t="s">
        <v>556</v>
      </c>
      <c r="F637" s="3">
        <v>45824.62908564815</v>
      </c>
      <c r="G637" s="3">
        <v>45825.697962962957</v>
      </c>
      <c r="H637" s="4">
        <v>45831</v>
      </c>
      <c r="I637" s="2" t="s">
        <v>36</v>
      </c>
      <c r="J637" s="2" t="s">
        <v>22</v>
      </c>
      <c r="K637" s="2">
        <v>1</v>
      </c>
      <c r="L637" s="2">
        <v>320.69</v>
      </c>
      <c r="M637" s="2">
        <v>0</v>
      </c>
      <c r="N637" s="2">
        <v>235.985648504735</v>
      </c>
      <c r="O637" s="2">
        <v>283.8</v>
      </c>
      <c r="P637" s="2">
        <v>36.89</v>
      </c>
      <c r="Q637" s="2">
        <v>320.69</v>
      </c>
      <c r="R637" s="2" t="s">
        <v>44</v>
      </c>
      <c r="S637" s="2"/>
      <c r="T637" s="2">
        <f t="shared" si="203"/>
        <v>1</v>
      </c>
      <c r="U637" s="18">
        <f t="shared" si="204"/>
        <v>6</v>
      </c>
      <c r="V637" s="18">
        <f t="shared" si="205"/>
        <v>2025</v>
      </c>
      <c r="W637" s="18">
        <f t="shared" si="206"/>
        <v>7</v>
      </c>
      <c r="X637" s="18">
        <f t="shared" si="207"/>
        <v>2025</v>
      </c>
      <c r="Y637" s="2">
        <f t="shared" si="200"/>
        <v>0.73586843526375934</v>
      </c>
      <c r="Z637" t="str">
        <f t="shared" si="201"/>
        <v>SO17357</v>
      </c>
      <c r="AA637" s="11">
        <f t="shared" si="208"/>
        <v>45824.62908564815</v>
      </c>
      <c r="AB637" s="5" t="str">
        <f t="shared" si="209"/>
        <v>INV13106</v>
      </c>
      <c r="AC637" s="5" t="str">
        <f>IFERROR(VLOOKUP(D637,CAARStatus!$A$2:$AA$1600,22,FALSE),"Not invoiced")</f>
        <v>Paid</v>
      </c>
      <c r="AD637" s="11">
        <f>IF(AC637="Paid",IFERROR(VLOOKUP(D637,CAARStatus!$A$2:$AA$1600,6,FALSE),"Pending"),"Pending")</f>
        <v>45863</v>
      </c>
      <c r="AE637" s="5" t="str">
        <f t="shared" si="210"/>
        <v>186395</v>
      </c>
      <c r="AF637" s="5" t="str">
        <f t="shared" si="211"/>
        <v>Fabrene Inc.</v>
      </c>
      <c r="AG637" s="5" t="str">
        <f t="shared" si="212"/>
        <v>CAD</v>
      </c>
      <c r="AH637" s="5">
        <f t="shared" si="213"/>
        <v>283.8</v>
      </c>
      <c r="AI637" s="12">
        <f>IF(L637-N637=0,VLOOKUP(U637,rate!A$4:B$15,2,FALSE)*AH637,IF(AG637="USD",O637,AH637*Y637))</f>
        <v>208.8394619278549</v>
      </c>
      <c r="AJ637" s="13">
        <f t="shared" si="214"/>
        <v>0.73586843526375934</v>
      </c>
      <c r="AK637" s="13">
        <f>-IF(AG637="CAD",IFERROR(VLOOKUP(D637,CAARStatus!$A$1:$Y$1600,16,FALSE),0),0)</f>
        <v>-283.8</v>
      </c>
      <c r="AL637" s="13">
        <f>-IF(AG637="USD",IFERROR(VLOOKUP(D637,CAARStatus!$A$1:$Y$1600,11,FALSE),0),0)</f>
        <v>0</v>
      </c>
      <c r="AM637" s="22">
        <f t="shared" si="215"/>
        <v>0</v>
      </c>
      <c r="AN637" s="12" t="str">
        <f t="shared" si="216"/>
        <v/>
      </c>
      <c r="AO637" s="12" t="str">
        <f t="shared" si="217"/>
        <v>Yes</v>
      </c>
      <c r="AP637" t="str">
        <f t="shared" si="202"/>
        <v>Yes</v>
      </c>
      <c r="AQ637" t="str">
        <f>IFERROR(VLOOKUP(Z637,InvBal!$L$4:$P$600,4,FALSE),"Pend")</f>
        <v>Pend</v>
      </c>
      <c r="AR637" t="str">
        <f>IFERROR(VLOOKUP(D637,Manual!$C$1:$E$22,2,FALSE),"Pend")</f>
        <v>Pend</v>
      </c>
      <c r="AS637" t="str">
        <f t="shared" si="218"/>
        <v>Yes</v>
      </c>
      <c r="AT637" t="str">
        <f t="shared" si="219"/>
        <v>Yes</v>
      </c>
      <c r="AU637" s="51" t="str">
        <f t="shared" si="220"/>
        <v>Yes</v>
      </c>
      <c r="AV637" s="12">
        <f>IFERROR(VLOOKUP(D637,'Receivable Invoice Detail'!$S$1:$U$3014,3,FALSE),0)</f>
        <v>0</v>
      </c>
      <c r="AW637" s="12">
        <f t="shared" si="221"/>
        <v>208.8394619278549</v>
      </c>
    </row>
    <row r="638" spans="1:49" ht="30" x14ac:dyDescent="0.25">
      <c r="A638" s="2">
        <v>1</v>
      </c>
      <c r="B638" s="2" t="s">
        <v>751</v>
      </c>
      <c r="C638" s="2" t="s">
        <v>752</v>
      </c>
      <c r="D638" s="2" t="s">
        <v>3129</v>
      </c>
      <c r="E638" s="2" t="s">
        <v>232</v>
      </c>
      <c r="F638" s="3">
        <v>45824.631458333337</v>
      </c>
      <c r="G638" s="3">
        <v>45897.485289351847</v>
      </c>
      <c r="H638" s="4">
        <v>45902</v>
      </c>
      <c r="I638" s="2" t="s">
        <v>180</v>
      </c>
      <c r="J638" s="2" t="s">
        <v>51</v>
      </c>
      <c r="K638" s="2">
        <v>0.72328577573707276</v>
      </c>
      <c r="L638" s="2">
        <v>7496.7878283992541</v>
      </c>
      <c r="M638" s="2">
        <v>0</v>
      </c>
      <c r="N638" s="2">
        <v>5422.32</v>
      </c>
      <c r="O638" s="2">
        <v>5422.32</v>
      </c>
      <c r="P638" s="2"/>
      <c r="Q638" s="2">
        <v>5422.32</v>
      </c>
      <c r="R638" s="2" t="s">
        <v>44</v>
      </c>
      <c r="S638" s="2"/>
      <c r="T638" s="2">
        <f t="shared" si="203"/>
        <v>1</v>
      </c>
      <c r="U638" s="18">
        <f t="shared" si="204"/>
        <v>6</v>
      </c>
      <c r="V638" s="18">
        <f t="shared" si="205"/>
        <v>2025</v>
      </c>
      <c r="W638" s="18">
        <f t="shared" si="206"/>
        <v>11</v>
      </c>
      <c r="X638" s="18">
        <f t="shared" si="207"/>
        <v>2025</v>
      </c>
      <c r="Y638" s="2">
        <f t="shared" si="200"/>
        <v>0.72328577573707276</v>
      </c>
      <c r="Z638" t="str">
        <f t="shared" si="201"/>
        <v>SO17358</v>
      </c>
      <c r="AA638" s="11">
        <f t="shared" si="208"/>
        <v>45824.631458333337</v>
      </c>
      <c r="AB638" s="5" t="str">
        <f t="shared" si="209"/>
        <v>INV13380</v>
      </c>
      <c r="AC638" s="5" t="str">
        <f>IFERROR(VLOOKUP(D638,CAARStatus!$A$2:$AA$1600,22,FALSE),"Not invoiced")</f>
        <v>Paid</v>
      </c>
      <c r="AD638" s="11">
        <f>IF(AC638="Paid",IFERROR(VLOOKUP(D638,CAARStatus!$A$2:$AA$1600,6,FALSE),"Pending"),"Pending")</f>
        <v>45985</v>
      </c>
      <c r="AE638" s="5" t="str">
        <f t="shared" si="210"/>
        <v>2254977</v>
      </c>
      <c r="AF638" s="5" t="str">
        <f t="shared" si="211"/>
        <v>Zijin Mining - Rosebel Goldmines N.V.</v>
      </c>
      <c r="AG638" s="5" t="str">
        <f t="shared" si="212"/>
        <v>USD</v>
      </c>
      <c r="AH638" s="5">
        <f t="shared" si="213"/>
        <v>7496.7878283992541</v>
      </c>
      <c r="AI638" s="12">
        <f>IF(L638-N638=0,VLOOKUP(U638,rate!A$4:B$15,2,FALSE)*AH638,IF(AG638="USD",O638,AH638*Y638))</f>
        <v>5422.32</v>
      </c>
      <c r="AJ638" s="13">
        <f t="shared" si="214"/>
        <v>0.72328577573707276</v>
      </c>
      <c r="AK638" s="13">
        <f>-IF(AG638="CAD",IFERROR(VLOOKUP(D638,CAARStatus!$A$1:$Y$1600,16,FALSE),0),0)</f>
        <v>0</v>
      </c>
      <c r="AL638" s="13">
        <f>-IF(AG638="USD",IFERROR(VLOOKUP(D638,CAARStatus!$A$1:$Y$1600,11,FALSE),0),0)</f>
        <v>-5422.32</v>
      </c>
      <c r="AM638" s="22" t="str">
        <f t="shared" si="215"/>
        <v/>
      </c>
      <c r="AN638" s="12">
        <f t="shared" si="216"/>
        <v>0</v>
      </c>
      <c r="AO638" s="12" t="str">
        <f t="shared" si="217"/>
        <v>Yes</v>
      </c>
      <c r="AP638" t="str">
        <f t="shared" si="202"/>
        <v>Yes</v>
      </c>
      <c r="AQ638" t="str">
        <f>IFERROR(VLOOKUP(Z638,InvBal!$L$4:$P$600,4,FALSE),"Pend")</f>
        <v>Pend</v>
      </c>
      <c r="AR638" t="str">
        <f>IFERROR(VLOOKUP(D638,Manual!$C$1:$E$22,2,FALSE),"Pend")</f>
        <v>Pend</v>
      </c>
      <c r="AS638" t="str">
        <f t="shared" si="218"/>
        <v>Yes</v>
      </c>
      <c r="AT638" t="str">
        <f t="shared" si="219"/>
        <v>Yes</v>
      </c>
      <c r="AU638" s="51" t="str">
        <f t="shared" si="220"/>
        <v>Yes</v>
      </c>
      <c r="AV638" s="12">
        <f>IFERROR(VLOOKUP(D638,'Receivable Invoice Detail'!$S$1:$U$3014,3,FALSE),0)</f>
        <v>890</v>
      </c>
      <c r="AW638" s="12">
        <f t="shared" si="221"/>
        <v>4532.32</v>
      </c>
    </row>
    <row r="639" spans="1:49" ht="30" x14ac:dyDescent="0.25">
      <c r="A639" s="2">
        <v>1</v>
      </c>
      <c r="B639" s="2" t="s">
        <v>1180</v>
      </c>
      <c r="C639" s="2" t="s">
        <v>1181</v>
      </c>
      <c r="D639" s="2" t="s">
        <v>2890</v>
      </c>
      <c r="E639" s="2" t="s">
        <v>450</v>
      </c>
      <c r="F639" s="3">
        <v>45825.441678240742</v>
      </c>
      <c r="G639" s="3">
        <v>45827.441689814812</v>
      </c>
      <c r="H639" s="4">
        <v>45852</v>
      </c>
      <c r="I639" s="2" t="s">
        <v>40</v>
      </c>
      <c r="J639" s="2" t="s">
        <v>22</v>
      </c>
      <c r="K639" s="2">
        <v>1</v>
      </c>
      <c r="L639" s="2">
        <v>5855.32</v>
      </c>
      <c r="M639" s="2">
        <v>0</v>
      </c>
      <c r="N639" s="2">
        <v>4262.6341917826312</v>
      </c>
      <c r="O639" s="2">
        <v>5181.7</v>
      </c>
      <c r="P639" s="2">
        <v>673.62</v>
      </c>
      <c r="Q639" s="2">
        <v>5855.32</v>
      </c>
      <c r="R639" s="2" t="s">
        <v>44</v>
      </c>
      <c r="S639" s="2"/>
      <c r="T639" s="2">
        <f t="shared" si="203"/>
        <v>1</v>
      </c>
      <c r="U639" s="18">
        <f t="shared" si="204"/>
        <v>6</v>
      </c>
      <c r="V639" s="18">
        <f t="shared" si="205"/>
        <v>2025</v>
      </c>
      <c r="W639" s="18">
        <f t="shared" si="206"/>
        <v>8</v>
      </c>
      <c r="X639" s="18">
        <f t="shared" si="207"/>
        <v>2025</v>
      </c>
      <c r="Y639" s="2">
        <f t="shared" si="200"/>
        <v>0.72799337897546701</v>
      </c>
      <c r="Z639" t="str">
        <f t="shared" si="201"/>
        <v>SO17360</v>
      </c>
      <c r="AA639" s="11">
        <f t="shared" si="208"/>
        <v>45825.441678240742</v>
      </c>
      <c r="AB639" s="5" t="str">
        <f t="shared" si="209"/>
        <v>INV13228</v>
      </c>
      <c r="AC639" s="5" t="str">
        <f>IFERROR(VLOOKUP(D639,CAARStatus!$A$2:$AA$1600,22,FALSE),"Not invoiced")</f>
        <v>Paid</v>
      </c>
      <c r="AD639" s="11">
        <f>IF(AC639="Paid",IFERROR(VLOOKUP(D639,CAARStatus!$A$2:$AA$1600,6,FALSE),"Pending"),"Pending")</f>
        <v>45890</v>
      </c>
      <c r="AE639" s="5" t="str">
        <f t="shared" si="210"/>
        <v>A20250620</v>
      </c>
      <c r="AF639" s="5" t="str">
        <f t="shared" si="211"/>
        <v>Alpha Industrial &amp; Mining Supplies Limited</v>
      </c>
      <c r="AG639" s="5" t="str">
        <f t="shared" si="212"/>
        <v>CAD</v>
      </c>
      <c r="AH639" s="5">
        <f t="shared" si="213"/>
        <v>5181.7</v>
      </c>
      <c r="AI639" s="12">
        <f>IF(L639-N639=0,VLOOKUP(U639,rate!A$4:B$15,2,FALSE)*AH639,IF(AG639="USD",O639,AH639*Y639))</f>
        <v>3772.2432918371774</v>
      </c>
      <c r="AJ639" s="13">
        <f t="shared" si="214"/>
        <v>0.72799337897546701</v>
      </c>
      <c r="AK639" s="13">
        <f>-IF(AG639="CAD",IFERROR(VLOOKUP(D639,CAARStatus!$A$1:$Y$1600,16,FALSE),0),0)</f>
        <v>-5181.7</v>
      </c>
      <c r="AL639" s="13">
        <f>-IF(AG639="USD",IFERROR(VLOOKUP(D639,CAARStatus!$A$1:$Y$1600,11,FALSE),0),0)</f>
        <v>0</v>
      </c>
      <c r="AM639" s="22">
        <f t="shared" si="215"/>
        <v>0</v>
      </c>
      <c r="AN639" s="12" t="str">
        <f t="shared" si="216"/>
        <v/>
      </c>
      <c r="AO639" s="12" t="str">
        <f t="shared" si="217"/>
        <v>Yes</v>
      </c>
      <c r="AP639" t="str">
        <f t="shared" si="202"/>
        <v>Yes</v>
      </c>
      <c r="AQ639" t="str">
        <f>IFERROR(VLOOKUP(Z639,InvBal!$L$4:$P$600,4,FALSE),"Pend")</f>
        <v>Pend</v>
      </c>
      <c r="AR639" t="str">
        <f>IFERROR(VLOOKUP(D639,Manual!$C$1:$E$22,2,FALSE),"Pend")</f>
        <v>Pend</v>
      </c>
      <c r="AS639" t="str">
        <f t="shared" si="218"/>
        <v>Yes</v>
      </c>
      <c r="AT639" t="str">
        <f t="shared" si="219"/>
        <v>Yes</v>
      </c>
      <c r="AU639" s="51" t="str">
        <f t="shared" si="220"/>
        <v>Yes</v>
      </c>
      <c r="AV639" s="12">
        <f>IFERROR(VLOOKUP(D639,'Receivable Invoice Detail'!$S$1:$U$3014,3,FALSE),0)</f>
        <v>0</v>
      </c>
      <c r="AW639" s="12">
        <f t="shared" si="221"/>
        <v>3772.2432918371774</v>
      </c>
    </row>
    <row r="640" spans="1:49" ht="30" x14ac:dyDescent="0.25">
      <c r="A640" s="2">
        <v>2</v>
      </c>
      <c r="B640" s="2" t="s">
        <v>1190</v>
      </c>
      <c r="C640" s="2" t="s">
        <v>1191</v>
      </c>
      <c r="D640" s="2" t="s">
        <v>2885</v>
      </c>
      <c r="E640" s="2" t="s">
        <v>239</v>
      </c>
      <c r="F640" s="3">
        <v>45826.328472222223</v>
      </c>
      <c r="G640" s="3">
        <v>45826.328981481478</v>
      </c>
      <c r="H640" s="4">
        <v>45828</v>
      </c>
      <c r="I640" s="2" t="s">
        <v>180</v>
      </c>
      <c r="J640" s="2" t="s">
        <v>51</v>
      </c>
      <c r="K640" s="2">
        <v>0.73586843526375945</v>
      </c>
      <c r="L640" s="2">
        <v>2778.8255372946642</v>
      </c>
      <c r="M640" s="2">
        <v>0</v>
      </c>
      <c r="N640" s="2">
        <v>2044.85</v>
      </c>
      <c r="O640" s="2">
        <v>2044.85</v>
      </c>
      <c r="P640" s="2"/>
      <c r="Q640" s="2">
        <v>2044.85</v>
      </c>
      <c r="R640" s="2" t="s">
        <v>44</v>
      </c>
      <c r="S640" s="2"/>
      <c r="T640" s="2">
        <f t="shared" si="203"/>
        <v>2</v>
      </c>
      <c r="U640" s="18">
        <f t="shared" si="204"/>
        <v>6</v>
      </c>
      <c r="V640" s="18">
        <f t="shared" si="205"/>
        <v>2025</v>
      </c>
      <c r="W640" s="18">
        <f t="shared" si="206"/>
        <v>10</v>
      </c>
      <c r="X640" s="18">
        <f t="shared" si="207"/>
        <v>2025</v>
      </c>
      <c r="Y640" s="2">
        <f t="shared" si="200"/>
        <v>0.73586843526375934</v>
      </c>
      <c r="Z640" t="str">
        <f t="shared" si="201"/>
        <v>SO17366</v>
      </c>
      <c r="AA640" s="11">
        <f t="shared" si="208"/>
        <v>45826.328472222223</v>
      </c>
      <c r="AB640" s="5" t="str">
        <f t="shared" si="209"/>
        <v>INV13145</v>
      </c>
      <c r="AC640" s="5" t="str">
        <f>IFERROR(VLOOKUP(D640,CAARStatus!$A$2:$AA$1600,22,FALSE),"Not invoiced")</f>
        <v>Paid</v>
      </c>
      <c r="AD640" s="11">
        <f>IF(AC640="Paid",IFERROR(VLOOKUP(D640,CAARStatus!$A$2:$AA$1600,6,FALSE),"Pending"),"Pending")</f>
        <v>45954</v>
      </c>
      <c r="AE640" s="5" t="str">
        <f t="shared" si="210"/>
        <v>PO# 1051, Ship to PO# 2251356</v>
      </c>
      <c r="AF640" s="5" t="str">
        <f t="shared" si="211"/>
        <v>Mill-Right Mine Services Inc.</v>
      </c>
      <c r="AG640" s="5" t="str">
        <f t="shared" si="212"/>
        <v>USD</v>
      </c>
      <c r="AH640" s="5">
        <f t="shared" si="213"/>
        <v>2778.8255372946637</v>
      </c>
      <c r="AI640" s="12">
        <f>IF(L640-N640=0,VLOOKUP(U640,rate!A$4:B$15,2,FALSE)*AH640,IF(AG640="USD",O640,AH640*Y640))</f>
        <v>2044.85</v>
      </c>
      <c r="AJ640" s="13">
        <f t="shared" si="214"/>
        <v>0.73586843526375945</v>
      </c>
      <c r="AK640" s="13">
        <f>-IF(AG640="CAD",IFERROR(VLOOKUP(D640,CAARStatus!$A$1:$Y$1600,16,FALSE),0),0)</f>
        <v>0</v>
      </c>
      <c r="AL640" s="13">
        <f>-IF(AG640="USD",IFERROR(VLOOKUP(D640,CAARStatus!$A$1:$Y$1600,11,FALSE),0),0)</f>
        <v>-2044.85</v>
      </c>
      <c r="AM640" s="22" t="str">
        <f t="shared" si="215"/>
        <v/>
      </c>
      <c r="AN640" s="12">
        <f t="shared" si="216"/>
        <v>0</v>
      </c>
      <c r="AO640" s="12" t="str">
        <f t="shared" si="217"/>
        <v>Yes</v>
      </c>
      <c r="AP640" t="str">
        <f t="shared" si="202"/>
        <v>XX</v>
      </c>
      <c r="AQ640">
        <f>IFERROR(VLOOKUP(Z640,InvBal!$L$4:$P$600,4,FALSE),"Pend")</f>
        <v>0</v>
      </c>
      <c r="AR640" t="str">
        <f>IFERROR(VLOOKUP(D640,Manual!$C$1:$E$22,2,FALSE),"Pend")</f>
        <v>Pend</v>
      </c>
      <c r="AS640" t="str">
        <f t="shared" si="218"/>
        <v/>
      </c>
      <c r="AT640" t="str">
        <f t="shared" si="219"/>
        <v>Yes</v>
      </c>
      <c r="AU640" s="51" t="str">
        <f t="shared" si="220"/>
        <v/>
      </c>
      <c r="AV640" s="12">
        <f>IFERROR(VLOOKUP(D640,'Receivable Invoice Detail'!$S$1:$U$3014,3,FALSE),0)</f>
        <v>228</v>
      </c>
      <c r="AW640" s="12">
        <f t="shared" si="221"/>
        <v>0</v>
      </c>
    </row>
    <row r="641" spans="1:49" x14ac:dyDescent="0.25">
      <c r="A641" s="2"/>
      <c r="B641" s="2"/>
      <c r="C641" s="2"/>
      <c r="D641" s="2" t="s">
        <v>2885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>
        <f t="shared" si="203"/>
        <v>2</v>
      </c>
      <c r="U641" s="18">
        <f t="shared" si="204"/>
        <v>6</v>
      </c>
      <c r="V641" s="18">
        <f t="shared" si="205"/>
        <v>2025</v>
      </c>
      <c r="W641" s="18">
        <f t="shared" si="206"/>
        <v>10</v>
      </c>
      <c r="X641" s="18">
        <f t="shared" si="207"/>
        <v>2025</v>
      </c>
      <c r="Y641" s="2">
        <f t="shared" si="200"/>
        <v>0.73586843526375934</v>
      </c>
      <c r="Z641" t="str">
        <f t="shared" si="201"/>
        <v>SO17366</v>
      </c>
      <c r="AA641" s="11">
        <f t="shared" si="208"/>
        <v>45826.328472222223</v>
      </c>
      <c r="AB641" s="5" t="str">
        <f t="shared" si="209"/>
        <v>INV13145</v>
      </c>
      <c r="AC641" s="5" t="str">
        <f>IFERROR(VLOOKUP(D641,CAARStatus!$A$2:$AA$1600,22,FALSE),"Not invoiced")</f>
        <v>Paid</v>
      </c>
      <c r="AD641" s="11">
        <f>IF(AC641="Paid",IFERROR(VLOOKUP(D641,CAARStatus!$A$2:$AA$1600,6,FALSE),"Pending"),"Pending")</f>
        <v>45954</v>
      </c>
      <c r="AE641" s="5" t="str">
        <f t="shared" si="210"/>
        <v>PO# 1051, Ship to PO# 2251356</v>
      </c>
      <c r="AF641" s="5" t="str">
        <f t="shared" si="211"/>
        <v>Mill-Right Mine Services Inc.</v>
      </c>
      <c r="AG641" s="5" t="str">
        <f t="shared" si="212"/>
        <v>USD</v>
      </c>
      <c r="AH641" s="5">
        <f t="shared" si="213"/>
        <v>0</v>
      </c>
      <c r="AI641" s="12">
        <f>IF(L641-N641=0,VLOOKUP(U641,rate!A$4:B$15,2,FALSE)*AH641,IF(AG641="USD",O641,AH641*Y641))</f>
        <v>0</v>
      </c>
      <c r="AJ641" s="13">
        <f t="shared" si="214"/>
        <v>0</v>
      </c>
      <c r="AK641" s="13">
        <f>-IF(AG641="CAD",IFERROR(VLOOKUP(D641,CAARStatus!$A$1:$Y$1600,16,FALSE),0),0)</f>
        <v>0</v>
      </c>
      <c r="AL641" s="13">
        <f>-IF(AG641="USD",IFERROR(VLOOKUP(D641,CAARStatus!$A$1:$Y$1600,11,FALSE),0),0)</f>
        <v>-2044.85</v>
      </c>
      <c r="AM641" s="22" t="str">
        <f t="shared" si="215"/>
        <v/>
      </c>
      <c r="AN641" s="12">
        <f t="shared" si="216"/>
        <v>-2044.85</v>
      </c>
      <c r="AO641" s="12" t="str">
        <f t="shared" si="217"/>
        <v>Yes</v>
      </c>
      <c r="AP641" t="str">
        <f t="shared" si="202"/>
        <v>XX</v>
      </c>
      <c r="AQ641">
        <f>IFERROR(VLOOKUP(Z641,InvBal!$L$4:$P$600,4,FALSE),"Pend")</f>
        <v>0</v>
      </c>
      <c r="AR641" t="str">
        <f>IFERROR(VLOOKUP(D641,Manual!$C$1:$E$22,2,FALSE),"Pend")</f>
        <v>Pend</v>
      </c>
      <c r="AS641" t="str">
        <f t="shared" si="218"/>
        <v/>
      </c>
      <c r="AT641" t="str">
        <f t="shared" si="219"/>
        <v/>
      </c>
      <c r="AU641" s="51" t="str">
        <f t="shared" si="220"/>
        <v/>
      </c>
      <c r="AV641" s="12">
        <f>IFERROR(VLOOKUP(D641,'Receivable Invoice Detail'!$S$1:$U$3014,3,FALSE),0)</f>
        <v>228</v>
      </c>
      <c r="AW641" s="12">
        <f t="shared" si="221"/>
        <v>0</v>
      </c>
    </row>
    <row r="642" spans="1:49" x14ac:dyDescent="0.25">
      <c r="A642" s="2">
        <v>2</v>
      </c>
      <c r="B642" s="2" t="s">
        <v>1185</v>
      </c>
      <c r="C642" s="2" t="s">
        <v>1186</v>
      </c>
      <c r="D642" s="2" t="s">
        <v>2888</v>
      </c>
      <c r="E642" s="2" t="s">
        <v>77</v>
      </c>
      <c r="F642" s="3">
        <v>45826.526377314818</v>
      </c>
      <c r="G642" s="3">
        <v>45826.55195601852</v>
      </c>
      <c r="H642" s="4">
        <v>45828</v>
      </c>
      <c r="I642" s="2" t="s">
        <v>21</v>
      </c>
      <c r="J642" s="2" t="s">
        <v>22</v>
      </c>
      <c r="K642" s="2">
        <v>1</v>
      </c>
      <c r="L642" s="2">
        <v>614.73</v>
      </c>
      <c r="M642" s="2">
        <v>0</v>
      </c>
      <c r="N642" s="2">
        <v>449.16776471013151</v>
      </c>
      <c r="O642" s="2">
        <v>585.46</v>
      </c>
      <c r="P642" s="2">
        <v>29.27</v>
      </c>
      <c r="Q642" s="2">
        <v>614.73</v>
      </c>
      <c r="R642" s="2" t="s">
        <v>44</v>
      </c>
      <c r="S642" s="2"/>
      <c r="T642" s="2">
        <f t="shared" si="203"/>
        <v>2</v>
      </c>
      <c r="U642" s="18">
        <f t="shared" si="204"/>
        <v>6</v>
      </c>
      <c r="V642" s="18">
        <f t="shared" si="205"/>
        <v>2025</v>
      </c>
      <c r="W642" s="18">
        <f t="shared" si="206"/>
        <v>7</v>
      </c>
      <c r="X642" s="18">
        <f t="shared" si="207"/>
        <v>2025</v>
      </c>
      <c r="Y642" s="2">
        <f t="shared" ref="Y642:Y705" si="222">IF(C642="",Y641,N642/L642)</f>
        <v>0.73067487305017076</v>
      </c>
      <c r="Z642" t="str">
        <f t="shared" ref="Z642:Z705" si="223">IF(B642="",Z641,B642)</f>
        <v>SO17367</v>
      </c>
      <c r="AA642" s="11">
        <f t="shared" si="208"/>
        <v>45826.526377314818</v>
      </c>
      <c r="AB642" s="5" t="str">
        <f t="shared" si="209"/>
        <v>INV13117</v>
      </c>
      <c r="AC642" s="5" t="str">
        <f>IFERROR(VLOOKUP(D642,CAARStatus!$A$2:$AA$1600,22,FALSE),"Not invoiced")</f>
        <v>Paid</v>
      </c>
      <c r="AD642" s="11">
        <f>IF(AC642="Paid",IFERROR(VLOOKUP(D642,CAARStatus!$A$2:$AA$1600,6,FALSE),"Pending"),"Pending")</f>
        <v>45868</v>
      </c>
      <c r="AE642" s="5" t="str">
        <f t="shared" si="210"/>
        <v>40-1016149</v>
      </c>
      <c r="AF642" s="5" t="str">
        <f t="shared" si="211"/>
        <v>Canadian Bearings Ltd.</v>
      </c>
      <c r="AG642" s="5" t="str">
        <f t="shared" si="212"/>
        <v>CAD</v>
      </c>
      <c r="AH642" s="5">
        <f t="shared" si="213"/>
        <v>585.46</v>
      </c>
      <c r="AI642" s="12">
        <f>IF(L642-N642=0,VLOOKUP(U642,rate!A$4:B$15,2,FALSE)*AH642,IF(AG642="USD",O642,AH642*Y642))</f>
        <v>427.78091117595301</v>
      </c>
      <c r="AJ642" s="13">
        <f t="shared" si="214"/>
        <v>0.73067487305017076</v>
      </c>
      <c r="AK642" s="13">
        <f>-IF(AG642="CAD",IFERROR(VLOOKUP(D642,CAARStatus!$A$1:$Y$1600,16,FALSE),0),0)</f>
        <v>-519.5</v>
      </c>
      <c r="AL642" s="13">
        <f>-IF(AG642="USD",IFERROR(VLOOKUP(D642,CAARStatus!$A$1:$Y$1600,11,FALSE),0),0)</f>
        <v>0</v>
      </c>
      <c r="AM642" s="22">
        <f t="shared" si="215"/>
        <v>65.960000000000036</v>
      </c>
      <c r="AN642" s="12" t="str">
        <f t="shared" si="216"/>
        <v/>
      </c>
      <c r="AO642" s="12" t="str">
        <f t="shared" si="217"/>
        <v>Yes</v>
      </c>
      <c r="AP642" t="str">
        <f t="shared" ref="AP642:AP705" si="224">IF(AND(AO642="Pend",T642&lt;2),"Pend",IF(T642=1,"Yes","XX"))</f>
        <v>XX</v>
      </c>
      <c r="AQ642" t="str">
        <f>IFERROR(VLOOKUP(Z642,InvBal!$L$4:$P$600,4,FALSE),"Pend")</f>
        <v>Yes</v>
      </c>
      <c r="AR642" t="str">
        <f>IFERROR(VLOOKUP(D642,Manual!$C$1:$E$22,2,FALSE),"Pend")</f>
        <v>Pend</v>
      </c>
      <c r="AS642" t="str">
        <f t="shared" si="218"/>
        <v>Yes</v>
      </c>
      <c r="AT642" t="str">
        <f t="shared" si="219"/>
        <v>Yes</v>
      </c>
      <c r="AU642" s="51" t="str">
        <f t="shared" si="220"/>
        <v>Yes</v>
      </c>
      <c r="AV642" s="12">
        <f>IFERROR(VLOOKUP(D642,'Receivable Invoice Detail'!$S$1:$U$3014,3,FALSE),0)</f>
        <v>0</v>
      </c>
      <c r="AW642" s="12">
        <f t="shared" si="221"/>
        <v>427.78091117595301</v>
      </c>
    </row>
    <row r="643" spans="1:49" x14ac:dyDescent="0.25">
      <c r="A643" s="2"/>
      <c r="B643" s="2"/>
      <c r="C643" s="2"/>
      <c r="D643" s="2" t="s">
        <v>2887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f t="shared" ref="T643:T706" si="225">IF(A643="",T642,A643)</f>
        <v>2</v>
      </c>
      <c r="U643" s="18">
        <f t="shared" ref="U643:U706" si="226">IF(F643="",U642,MONTH(F643))</f>
        <v>6</v>
      </c>
      <c r="V643" s="18">
        <f t="shared" ref="V643:V706" si="227">IF(F643="",V642,YEAR(F643))</f>
        <v>2025</v>
      </c>
      <c r="W643" s="18">
        <f t="shared" ref="W643:W706" si="228">IF(AC643="Paid",MONTH(AD643),"")</f>
        <v>7</v>
      </c>
      <c r="X643" s="18">
        <f t="shared" ref="X643:X706" si="229">IF(AC643="Paid",YEAR(AD643),"")</f>
        <v>2025</v>
      </c>
      <c r="Y643" s="2">
        <f t="shared" si="222"/>
        <v>0.73067487305017076</v>
      </c>
      <c r="Z643" t="str">
        <f t="shared" si="223"/>
        <v>SO17367</v>
      </c>
      <c r="AA643" s="11">
        <f t="shared" ref="AA643:AA706" si="230">IF(F643="",AA642,F643)</f>
        <v>45826.526377314818</v>
      </c>
      <c r="AB643" s="5" t="str">
        <f t="shared" ref="AB643:AB706" si="231">IF(D643="","No Inv",D643)</f>
        <v>INV13159</v>
      </c>
      <c r="AC643" s="5" t="str">
        <f>IFERROR(VLOOKUP(D643,CAARStatus!$A$2:$AA$1600,22,FALSE),"Not invoiced")</f>
        <v>Paid</v>
      </c>
      <c r="AD643" s="11">
        <f>IF(AC643="Paid",IFERROR(VLOOKUP(D643,CAARStatus!$A$2:$AA$1600,6,FALSE),"Pending"),"Pending")</f>
        <v>45868</v>
      </c>
      <c r="AE643" s="5" t="str">
        <f t="shared" ref="AE643:AE706" si="232">IF(C643="",AE642,C643)</f>
        <v>40-1016149</v>
      </c>
      <c r="AF643" s="5" t="str">
        <f t="shared" ref="AF643:AF706" si="233">IF(E643="",AF642,E643)</f>
        <v>Canadian Bearings Ltd.</v>
      </c>
      <c r="AG643" s="5" t="str">
        <f t="shared" ref="AG643:AG706" si="234">IF(J643="",AG642,J643)</f>
        <v>CAD</v>
      </c>
      <c r="AH643" s="5">
        <f t="shared" ref="AH643:AH706" si="235">IFERROR(IF(AG643="CAD",O643,O643/K643),0)</f>
        <v>0</v>
      </c>
      <c r="AI643" s="12">
        <f>IF(L643-N643=0,VLOOKUP(U643,rate!A$4:B$15,2,FALSE)*AH643,IF(AG643="USD",O643,AH643*Y643))</f>
        <v>0</v>
      </c>
      <c r="AJ643" s="13">
        <f t="shared" ref="AJ643:AJ706" si="236">IFERROR(AI643/AH643,0)</f>
        <v>0</v>
      </c>
      <c r="AK643" s="13">
        <f>-IF(AG643="CAD",IFERROR(VLOOKUP(D643,CAARStatus!$A$1:$Y$1600,16,FALSE),0),0)</f>
        <v>-65.959999999999994</v>
      </c>
      <c r="AL643" s="13">
        <f>-IF(AG643="USD",IFERROR(VLOOKUP(D643,CAARStatus!$A$1:$Y$1600,11,FALSE),0),0)</f>
        <v>0</v>
      </c>
      <c r="AM643" s="22">
        <f t="shared" ref="AM643:AM706" si="237">IF(AG643="CAD",AH643+AK643,"")</f>
        <v>-65.959999999999994</v>
      </c>
      <c r="AN643" s="12" t="str">
        <f t="shared" ref="AN643:AN706" si="238">IF(AG643="USD",AI643+AL643,"")</f>
        <v/>
      </c>
      <c r="AO643" s="12" t="str">
        <f t="shared" ref="AO643:AO706" si="239">IF(AC643="Paid","Yes","Pend")</f>
        <v>Yes</v>
      </c>
      <c r="AP643" t="str">
        <f t="shared" si="224"/>
        <v>XX</v>
      </c>
      <c r="AQ643" t="str">
        <f>IFERROR(VLOOKUP(Z643,InvBal!$L$4:$P$600,4,FALSE),"Pend")</f>
        <v>Yes</v>
      </c>
      <c r="AR643" t="str">
        <f>IFERROR(VLOOKUP(D643,Manual!$C$1:$E$22,2,FALSE),"Pend")</f>
        <v>Pend</v>
      </c>
      <c r="AS643" t="str">
        <f t="shared" ref="AS643:AS706" si="240">IF(OR(AP643="Yes",AQ643="Yes",AR643="Yes"),"Yes","")</f>
        <v>Yes</v>
      </c>
      <c r="AT643" t="str">
        <f t="shared" ref="AT643:AT706" si="241">IF(R643="Delivered","Yes","")</f>
        <v/>
      </c>
      <c r="AU643" s="51" t="str">
        <f t="shared" ref="AU643:AU706" si="242">IF(AND(AS643="Yes",AT643="Yes"),"Yes","")</f>
        <v/>
      </c>
      <c r="AV643" s="12">
        <f>IFERROR(VLOOKUP(D643,'Receivable Invoice Detail'!$S$1:$U$3014,3,FALSE),0)</f>
        <v>0</v>
      </c>
      <c r="AW643" s="12">
        <f t="shared" ref="AW643:AW706" si="243">IF(AU643="Yes",AI643-AV643,0)</f>
        <v>0</v>
      </c>
    </row>
    <row r="644" spans="1:49" ht="30" x14ac:dyDescent="0.25">
      <c r="A644" s="2">
        <v>2</v>
      </c>
      <c r="B644" s="2" t="s">
        <v>1122</v>
      </c>
      <c r="C644" s="2" t="s">
        <v>1123</v>
      </c>
      <c r="D644" s="2" t="s">
        <v>2926</v>
      </c>
      <c r="E644" s="2" t="s">
        <v>159</v>
      </c>
      <c r="F644" s="3">
        <v>45826.685925925929</v>
      </c>
      <c r="G644" s="3">
        <v>45839.615868055553</v>
      </c>
      <c r="H644" s="4">
        <v>45877</v>
      </c>
      <c r="I644" s="2" t="s">
        <v>40</v>
      </c>
      <c r="J644" s="2" t="s">
        <v>51</v>
      </c>
      <c r="K644" s="2">
        <v>0.73078653074427524</v>
      </c>
      <c r="L644" s="2">
        <v>21669.460688981169</v>
      </c>
      <c r="M644" s="2">
        <v>0</v>
      </c>
      <c r="N644" s="2">
        <v>15835.75</v>
      </c>
      <c r="O644" s="2">
        <v>15835.75</v>
      </c>
      <c r="P644" s="2"/>
      <c r="Q644" s="2">
        <v>15835.75</v>
      </c>
      <c r="R644" s="2" t="s">
        <v>44</v>
      </c>
      <c r="S644" s="2"/>
      <c r="T644" s="2">
        <f t="shared" si="225"/>
        <v>2</v>
      </c>
      <c r="U644" s="18">
        <f t="shared" si="226"/>
        <v>6</v>
      </c>
      <c r="V644" s="18">
        <f t="shared" si="227"/>
        <v>2025</v>
      </c>
      <c r="W644" s="18">
        <f t="shared" si="228"/>
        <v>8</v>
      </c>
      <c r="X644" s="18">
        <f t="shared" si="229"/>
        <v>2025</v>
      </c>
      <c r="Y644" s="2">
        <f t="shared" si="222"/>
        <v>0.73078653074427524</v>
      </c>
      <c r="Z644" t="str">
        <f t="shared" si="223"/>
        <v>SO17368</v>
      </c>
      <c r="AA644" s="11">
        <f t="shared" si="230"/>
        <v>45826.685925925929</v>
      </c>
      <c r="AB644" s="5" t="str">
        <f t="shared" si="231"/>
        <v>INV13185</v>
      </c>
      <c r="AC644" s="5" t="str">
        <f>IFERROR(VLOOKUP(D644,CAARStatus!$A$2:$AA$1600,22,FALSE),"Not invoiced")</f>
        <v>Paid</v>
      </c>
      <c r="AD644" s="11">
        <f>IF(AC644="Paid",IFERROR(VLOOKUP(D644,CAARStatus!$A$2:$AA$1600,6,FALSE),"Pending"),"Pending")</f>
        <v>45898</v>
      </c>
      <c r="AE644" s="5" t="str">
        <f t="shared" si="232"/>
        <v>4501226064</v>
      </c>
      <c r="AF644" s="5" t="str">
        <f t="shared" si="233"/>
        <v>Barrick Gold - Pueblo Viejo Dominicana Corporation</v>
      </c>
      <c r="AG644" s="5" t="str">
        <f t="shared" si="234"/>
        <v>USD</v>
      </c>
      <c r="AH644" s="5">
        <f t="shared" si="235"/>
        <v>21669.460688981169</v>
      </c>
      <c r="AI644" s="12">
        <f>IF(L644-N644=0,VLOOKUP(U644,rate!A$4:B$15,2,FALSE)*AH644,IF(AG644="USD",O644,AH644*Y644))</f>
        <v>15835.75</v>
      </c>
      <c r="AJ644" s="13">
        <f t="shared" si="236"/>
        <v>0.73078653074427524</v>
      </c>
      <c r="AK644" s="13">
        <f>-IF(AG644="CAD",IFERROR(VLOOKUP(D644,CAARStatus!$A$1:$Y$1600,16,FALSE),0),0)</f>
        <v>0</v>
      </c>
      <c r="AL644" s="13">
        <f>-IF(AG644="USD",IFERROR(VLOOKUP(D644,CAARStatus!$A$1:$Y$1600,11,FALSE),0),0)</f>
        <v>-10241.64</v>
      </c>
      <c r="AM644" s="22" t="str">
        <f t="shared" si="237"/>
        <v/>
      </c>
      <c r="AN644" s="12">
        <f t="shared" si="238"/>
        <v>5594.1100000000006</v>
      </c>
      <c r="AO644" s="12" t="str">
        <f t="shared" si="239"/>
        <v>Yes</v>
      </c>
      <c r="AP644" t="str">
        <f t="shared" si="224"/>
        <v>XX</v>
      </c>
      <c r="AQ644" t="str">
        <f>IFERROR(VLOOKUP(Z644,InvBal!$L$4:$P$600,4,FALSE),"Pend")</f>
        <v>Yes</v>
      </c>
      <c r="AR644" t="str">
        <f>IFERROR(VLOOKUP(D644,Manual!$C$1:$E$22,2,FALSE),"Pend")</f>
        <v>Pend</v>
      </c>
      <c r="AS644" t="str">
        <f t="shared" si="240"/>
        <v>Yes</v>
      </c>
      <c r="AT644" t="str">
        <f t="shared" si="241"/>
        <v>Yes</v>
      </c>
      <c r="AU644" s="51" t="str">
        <f t="shared" si="242"/>
        <v>Yes</v>
      </c>
      <c r="AV644" s="12">
        <f>IFERROR(VLOOKUP(D644,'Receivable Invoice Detail'!$S$1:$U$3014,3,FALSE),0)</f>
        <v>0</v>
      </c>
      <c r="AW644" s="12">
        <f t="shared" si="243"/>
        <v>15835.75</v>
      </c>
    </row>
    <row r="645" spans="1:49" x14ac:dyDescent="0.25">
      <c r="A645" s="2"/>
      <c r="B645" s="2"/>
      <c r="C645" s="2"/>
      <c r="D645" s="2" t="s">
        <v>2925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>
        <f t="shared" si="225"/>
        <v>2</v>
      </c>
      <c r="U645" s="18">
        <f t="shared" si="226"/>
        <v>6</v>
      </c>
      <c r="V645" s="18">
        <f t="shared" si="227"/>
        <v>2025</v>
      </c>
      <c r="W645" s="18">
        <f t="shared" si="228"/>
        <v>10</v>
      </c>
      <c r="X645" s="18">
        <f t="shared" si="229"/>
        <v>2025</v>
      </c>
      <c r="Y645" s="2">
        <f t="shared" si="222"/>
        <v>0.73078653074427524</v>
      </c>
      <c r="Z645" t="str">
        <f t="shared" si="223"/>
        <v>SO17368</v>
      </c>
      <c r="AA645" s="11">
        <f t="shared" si="230"/>
        <v>45826.685925925929</v>
      </c>
      <c r="AB645" s="5" t="str">
        <f t="shared" si="231"/>
        <v>INV13248</v>
      </c>
      <c r="AC645" s="5" t="str">
        <f>IFERROR(VLOOKUP(D645,CAARStatus!$A$2:$AA$1600,22,FALSE),"Not invoiced")</f>
        <v>Paid</v>
      </c>
      <c r="AD645" s="11">
        <f>IF(AC645="Paid",IFERROR(VLOOKUP(D645,CAARStatus!$A$2:$AA$1600,6,FALSE),"Pending"),"Pending")</f>
        <v>45953</v>
      </c>
      <c r="AE645" s="5" t="str">
        <f t="shared" si="232"/>
        <v>4501226064</v>
      </c>
      <c r="AF645" s="5" t="str">
        <f t="shared" si="233"/>
        <v>Barrick Gold - Pueblo Viejo Dominicana Corporation</v>
      </c>
      <c r="AG645" s="5" t="str">
        <f t="shared" si="234"/>
        <v>USD</v>
      </c>
      <c r="AH645" s="5">
        <f t="shared" si="235"/>
        <v>0</v>
      </c>
      <c r="AI645" s="12">
        <f>IF(L645-N645=0,VLOOKUP(U645,rate!A$4:B$15,2,FALSE)*AH645,IF(AG645="USD",O645,AH645*Y645))</f>
        <v>0</v>
      </c>
      <c r="AJ645" s="13">
        <f t="shared" si="236"/>
        <v>0</v>
      </c>
      <c r="AK645" s="13">
        <f>-IF(AG645="CAD",IFERROR(VLOOKUP(D645,CAARStatus!$A$1:$Y$1600,16,FALSE),0),0)</f>
        <v>0</v>
      </c>
      <c r="AL645" s="13">
        <f>-IF(AG645="USD",IFERROR(VLOOKUP(D645,CAARStatus!$A$1:$Y$1600,11,FALSE),0),0)</f>
        <v>-5594.11</v>
      </c>
      <c r="AM645" s="22" t="str">
        <f t="shared" si="237"/>
        <v/>
      </c>
      <c r="AN645" s="12">
        <f t="shared" si="238"/>
        <v>-5594.11</v>
      </c>
      <c r="AO645" s="12" t="str">
        <f t="shared" si="239"/>
        <v>Yes</v>
      </c>
      <c r="AP645" t="str">
        <f t="shared" si="224"/>
        <v>XX</v>
      </c>
      <c r="AQ645" t="str">
        <f>IFERROR(VLOOKUP(Z645,InvBal!$L$4:$P$600,4,FALSE),"Pend")</f>
        <v>Yes</v>
      </c>
      <c r="AR645" t="str">
        <f>IFERROR(VLOOKUP(D645,Manual!$C$1:$E$22,2,FALSE),"Pend")</f>
        <v>Pend</v>
      </c>
      <c r="AS645" t="str">
        <f t="shared" si="240"/>
        <v>Yes</v>
      </c>
      <c r="AT645" t="str">
        <f t="shared" si="241"/>
        <v/>
      </c>
      <c r="AU645" s="51" t="str">
        <f t="shared" si="242"/>
        <v/>
      </c>
      <c r="AV645" s="12">
        <f>IFERROR(VLOOKUP(D645,'Receivable Invoice Detail'!$S$1:$U$3014,3,FALSE),0)</f>
        <v>0</v>
      </c>
      <c r="AW645" s="12">
        <f t="shared" si="243"/>
        <v>0</v>
      </c>
    </row>
    <row r="646" spans="1:49" ht="45" x14ac:dyDescent="0.25">
      <c r="A646" s="2">
        <v>1</v>
      </c>
      <c r="B646" s="2" t="s">
        <v>1175</v>
      </c>
      <c r="C646" s="2" t="s">
        <v>1176</v>
      </c>
      <c r="D646" s="2" t="s">
        <v>2892</v>
      </c>
      <c r="E646" s="2" t="s">
        <v>502</v>
      </c>
      <c r="F646" s="3">
        <v>45826.812488425923</v>
      </c>
      <c r="G646" s="3">
        <v>45827.481099537043</v>
      </c>
      <c r="H646" s="4">
        <v>45828</v>
      </c>
      <c r="I646" s="2" t="s">
        <v>21</v>
      </c>
      <c r="J646" s="2" t="s">
        <v>22</v>
      </c>
      <c r="K646" s="2">
        <v>1</v>
      </c>
      <c r="L646" s="2">
        <v>2622.07</v>
      </c>
      <c r="M646" s="2">
        <v>0</v>
      </c>
      <c r="N646" s="2">
        <v>1908.849599210203</v>
      </c>
      <c r="O646" s="2">
        <v>2497.21</v>
      </c>
      <c r="P646" s="2">
        <v>124.86</v>
      </c>
      <c r="Q646" s="2">
        <v>2622.07</v>
      </c>
      <c r="R646" s="2" t="s">
        <v>44</v>
      </c>
      <c r="S646" s="2"/>
      <c r="T646" s="2">
        <f t="shared" si="225"/>
        <v>1</v>
      </c>
      <c r="U646" s="18">
        <f t="shared" si="226"/>
        <v>6</v>
      </c>
      <c r="V646" s="18">
        <f t="shared" si="227"/>
        <v>2025</v>
      </c>
      <c r="W646" s="18">
        <f t="shared" si="228"/>
        <v>7</v>
      </c>
      <c r="X646" s="18">
        <f t="shared" si="229"/>
        <v>2025</v>
      </c>
      <c r="Y646" s="2">
        <f t="shared" si="222"/>
        <v>0.72799337897546701</v>
      </c>
      <c r="Z646" t="str">
        <f t="shared" si="223"/>
        <v>SO17369</v>
      </c>
      <c r="AA646" s="11">
        <f t="shared" si="230"/>
        <v>45826.812488425923</v>
      </c>
      <c r="AB646" s="5" t="str">
        <f t="shared" si="231"/>
        <v>INV13111</v>
      </c>
      <c r="AC646" s="5" t="str">
        <f>IFERROR(VLOOKUP(D646,CAARStatus!$A$2:$AA$1600,22,FALSE),"Not invoiced")</f>
        <v>Paid</v>
      </c>
      <c r="AD646" s="11">
        <f>IF(AC646="Paid",IFERROR(VLOOKUP(D646,CAARStatus!$A$2:$AA$1600,6,FALSE),"Pending"),"Pending")</f>
        <v>45869</v>
      </c>
      <c r="AE646" s="5" t="str">
        <f t="shared" si="232"/>
        <v>4500581058</v>
      </c>
      <c r="AF646" s="5" t="str">
        <f t="shared" si="233"/>
        <v>Glencore Canada Corporation - Rouyn-Noranda, Glencore Canada Corp.</v>
      </c>
      <c r="AG646" s="5" t="str">
        <f t="shared" si="234"/>
        <v>CAD</v>
      </c>
      <c r="AH646" s="5">
        <f t="shared" si="235"/>
        <v>2497.21</v>
      </c>
      <c r="AI646" s="12">
        <f>IF(L646-N646=0,VLOOKUP(U646,rate!A$4:B$15,2,FALSE)*AH646,IF(AG646="USD",O646,AH646*Y646))</f>
        <v>1817.9523459113259</v>
      </c>
      <c r="AJ646" s="13">
        <f t="shared" si="236"/>
        <v>0.72799337897546701</v>
      </c>
      <c r="AK646" s="13">
        <f>-IF(AG646="CAD",IFERROR(VLOOKUP(D646,CAARStatus!$A$1:$Y$1600,16,FALSE),0),0)</f>
        <v>-2497.21</v>
      </c>
      <c r="AL646" s="13">
        <f>-IF(AG646="USD",IFERROR(VLOOKUP(D646,CAARStatus!$A$1:$Y$1600,11,FALSE),0),0)</f>
        <v>0</v>
      </c>
      <c r="AM646" s="22">
        <f t="shared" si="237"/>
        <v>0</v>
      </c>
      <c r="AN646" s="12" t="str">
        <f t="shared" si="238"/>
        <v/>
      </c>
      <c r="AO646" s="12" t="str">
        <f t="shared" si="239"/>
        <v>Yes</v>
      </c>
      <c r="AP646" t="str">
        <f t="shared" si="224"/>
        <v>Yes</v>
      </c>
      <c r="AQ646" t="str">
        <f>IFERROR(VLOOKUP(Z646,InvBal!$L$4:$P$600,4,FALSE),"Pend")</f>
        <v>Pend</v>
      </c>
      <c r="AR646" t="str">
        <f>IFERROR(VLOOKUP(D646,Manual!$C$1:$E$22,2,FALSE),"Pend")</f>
        <v>Pend</v>
      </c>
      <c r="AS646" t="str">
        <f t="shared" si="240"/>
        <v>Yes</v>
      </c>
      <c r="AT646" t="str">
        <f t="shared" si="241"/>
        <v>Yes</v>
      </c>
      <c r="AU646" s="51" t="str">
        <f t="shared" si="242"/>
        <v>Yes</v>
      </c>
      <c r="AV646" s="12">
        <f>IFERROR(VLOOKUP(D646,'Receivable Invoice Detail'!$S$1:$U$3014,3,FALSE),0)</f>
        <v>0</v>
      </c>
      <c r="AW646" s="12">
        <f t="shared" si="243"/>
        <v>1817.9523459113259</v>
      </c>
    </row>
    <row r="647" spans="1:49" x14ac:dyDescent="0.25">
      <c r="A647" s="2">
        <v>1</v>
      </c>
      <c r="B647" s="2" t="s">
        <v>1177</v>
      </c>
      <c r="C647" s="2" t="s">
        <v>1178</v>
      </c>
      <c r="D647" s="2" t="s">
        <v>2891</v>
      </c>
      <c r="E647" s="2" t="s">
        <v>1179</v>
      </c>
      <c r="F647" s="3">
        <v>45827.43240740741</v>
      </c>
      <c r="G647" s="3">
        <v>45827.446111111109</v>
      </c>
      <c r="H647" s="4">
        <v>45828</v>
      </c>
      <c r="I647" s="2" t="s">
        <v>21</v>
      </c>
      <c r="J647" s="2" t="s">
        <v>22</v>
      </c>
      <c r="K647" s="2">
        <v>1</v>
      </c>
      <c r="L647" s="2">
        <v>4547.72</v>
      </c>
      <c r="M647" s="2">
        <v>0</v>
      </c>
      <c r="N647" s="2">
        <v>3310.7100494343108</v>
      </c>
      <c r="O647" s="2">
        <v>4331.1499999999996</v>
      </c>
      <c r="P647" s="2">
        <v>216.57</v>
      </c>
      <c r="Q647" s="2">
        <v>4547.72</v>
      </c>
      <c r="R647" s="2" t="s">
        <v>44</v>
      </c>
      <c r="S647" s="2"/>
      <c r="T647" s="2">
        <f t="shared" si="225"/>
        <v>1</v>
      </c>
      <c r="U647" s="18">
        <f t="shared" si="226"/>
        <v>6</v>
      </c>
      <c r="V647" s="18">
        <f t="shared" si="227"/>
        <v>2025</v>
      </c>
      <c r="W647" s="18">
        <f t="shared" si="228"/>
        <v>8</v>
      </c>
      <c r="X647" s="18">
        <f t="shared" si="229"/>
        <v>2025</v>
      </c>
      <c r="Y647" s="2">
        <f t="shared" si="222"/>
        <v>0.72799337897546701</v>
      </c>
      <c r="Z647" t="str">
        <f t="shared" si="223"/>
        <v>SO17370</v>
      </c>
      <c r="AA647" s="11">
        <f t="shared" si="230"/>
        <v>45827.43240740741</v>
      </c>
      <c r="AB647" s="5" t="str">
        <f t="shared" si="231"/>
        <v>INV13110</v>
      </c>
      <c r="AC647" s="5" t="str">
        <f>IFERROR(VLOOKUP(D647,CAARStatus!$A$2:$AA$1600,22,FALSE),"Not invoiced")</f>
        <v>Paid</v>
      </c>
      <c r="AD647" s="11">
        <f>IF(AC647="Paid",IFERROR(VLOOKUP(D647,CAARStatus!$A$2:$AA$1600,6,FALSE),"Pending"),"Pending")</f>
        <v>45874</v>
      </c>
      <c r="AE647" s="5" t="str">
        <f t="shared" si="232"/>
        <v>3007134</v>
      </c>
      <c r="AF647" s="5" t="str">
        <f t="shared" si="233"/>
        <v>SCG Process, SCG Process</v>
      </c>
      <c r="AG647" s="5" t="str">
        <f t="shared" si="234"/>
        <v>CAD</v>
      </c>
      <c r="AH647" s="5">
        <f t="shared" si="235"/>
        <v>4331.1499999999996</v>
      </c>
      <c r="AI647" s="12">
        <f>IF(L647-N647=0,VLOOKUP(U647,rate!A$4:B$15,2,FALSE)*AH647,IF(AG647="USD",O647,AH647*Y647))</f>
        <v>3153.0485233495938</v>
      </c>
      <c r="AJ647" s="13">
        <f t="shared" si="236"/>
        <v>0.72799337897546701</v>
      </c>
      <c r="AK647" s="13">
        <f>-IF(AG647="CAD",IFERROR(VLOOKUP(D647,CAARStatus!$A$1:$Y$1600,16,FALSE),0),0)</f>
        <v>-4331.1499999999996</v>
      </c>
      <c r="AL647" s="13">
        <f>-IF(AG647="USD",IFERROR(VLOOKUP(D647,CAARStatus!$A$1:$Y$1600,11,FALSE),0),0)</f>
        <v>0</v>
      </c>
      <c r="AM647" s="22">
        <f t="shared" si="237"/>
        <v>0</v>
      </c>
      <c r="AN647" s="12" t="str">
        <f t="shared" si="238"/>
        <v/>
      </c>
      <c r="AO647" s="12" t="str">
        <f t="shared" si="239"/>
        <v>Yes</v>
      </c>
      <c r="AP647" t="str">
        <f t="shared" si="224"/>
        <v>Yes</v>
      </c>
      <c r="AQ647" t="str">
        <f>IFERROR(VLOOKUP(Z647,InvBal!$L$4:$P$600,4,FALSE),"Pend")</f>
        <v>Pend</v>
      </c>
      <c r="AR647" t="str">
        <f>IFERROR(VLOOKUP(D647,Manual!$C$1:$E$22,2,FALSE),"Pend")</f>
        <v>Pend</v>
      </c>
      <c r="AS647" t="str">
        <f t="shared" si="240"/>
        <v>Yes</v>
      </c>
      <c r="AT647" t="str">
        <f t="shared" si="241"/>
        <v>Yes</v>
      </c>
      <c r="AU647" s="51" t="str">
        <f t="shared" si="242"/>
        <v>Yes</v>
      </c>
      <c r="AV647" s="12">
        <f>IFERROR(VLOOKUP(D647,'Receivable Invoice Detail'!$S$1:$U$3014,3,FALSE),0)</f>
        <v>0</v>
      </c>
      <c r="AW647" s="12">
        <f t="shared" si="243"/>
        <v>3153.0485233495938</v>
      </c>
    </row>
    <row r="648" spans="1:49" x14ac:dyDescent="0.25">
      <c r="A648" s="2">
        <v>1</v>
      </c>
      <c r="B648" s="2" t="s">
        <v>775</v>
      </c>
      <c r="C648" s="2" t="s">
        <v>776</v>
      </c>
      <c r="D648" s="2" t="s">
        <v>3118</v>
      </c>
      <c r="E648" s="2" t="s">
        <v>54</v>
      </c>
      <c r="F648" s="3">
        <v>45827.75675925926</v>
      </c>
      <c r="G648" s="3">
        <v>45895.520613425928</v>
      </c>
      <c r="H648" s="4">
        <v>45896</v>
      </c>
      <c r="I648" s="2" t="s">
        <v>21</v>
      </c>
      <c r="J648" s="2" t="s">
        <v>22</v>
      </c>
      <c r="K648" s="2">
        <v>1</v>
      </c>
      <c r="L648" s="2">
        <v>1111.57</v>
      </c>
      <c r="M648" s="2">
        <v>0</v>
      </c>
      <c r="N648" s="2">
        <v>803.98276973605789</v>
      </c>
      <c r="O648" s="2">
        <v>1058.6400000000001</v>
      </c>
      <c r="P648" s="2">
        <v>52.93</v>
      </c>
      <c r="Q648" s="2">
        <v>1111.57</v>
      </c>
      <c r="R648" s="2" t="s">
        <v>44</v>
      </c>
      <c r="S648" s="2"/>
      <c r="T648" s="2">
        <f t="shared" si="225"/>
        <v>1</v>
      </c>
      <c r="U648" s="18">
        <f t="shared" si="226"/>
        <v>6</v>
      </c>
      <c r="V648" s="18">
        <f t="shared" si="227"/>
        <v>2025</v>
      </c>
      <c r="W648" s="18">
        <f t="shared" si="228"/>
        <v>10</v>
      </c>
      <c r="X648" s="18">
        <f t="shared" si="229"/>
        <v>2025</v>
      </c>
      <c r="Y648" s="2">
        <f t="shared" si="222"/>
        <v>0.72328577573707276</v>
      </c>
      <c r="Z648" t="str">
        <f t="shared" si="223"/>
        <v>SO17372</v>
      </c>
      <c r="AA648" s="11">
        <f t="shared" si="230"/>
        <v>45827.75675925926</v>
      </c>
      <c r="AB648" s="5" t="str">
        <f t="shared" si="231"/>
        <v>INV13406</v>
      </c>
      <c r="AC648" s="5" t="str">
        <f>IFERROR(VLOOKUP(D648,CAARStatus!$A$2:$AA$1600,22,FALSE),"Not invoiced")</f>
        <v>Paid</v>
      </c>
      <c r="AD648" s="11">
        <f>IF(AC648="Paid",IFERROR(VLOOKUP(D648,CAARStatus!$A$2:$AA$1600,6,FALSE),"Pending"),"Pending")</f>
        <v>45954</v>
      </c>
      <c r="AE648" s="5" t="str">
        <f t="shared" si="232"/>
        <v>3283</v>
      </c>
      <c r="AF648" s="5" t="str">
        <f t="shared" si="233"/>
        <v>Les Pompes du St-Laurent Inc.</v>
      </c>
      <c r="AG648" s="5" t="str">
        <f t="shared" si="234"/>
        <v>CAD</v>
      </c>
      <c r="AH648" s="5">
        <f t="shared" si="235"/>
        <v>1058.6400000000001</v>
      </c>
      <c r="AI648" s="12">
        <f>IF(L648-N648=0,VLOOKUP(U648,rate!A$4:B$15,2,FALSE)*AH648,IF(AG648="USD",O648,AH648*Y648))</f>
        <v>765.69925362629476</v>
      </c>
      <c r="AJ648" s="13">
        <f t="shared" si="236"/>
        <v>0.72328577573707276</v>
      </c>
      <c r="AK648" s="13">
        <f>-IF(AG648="CAD",IFERROR(VLOOKUP(D648,CAARStatus!$A$1:$Y$1600,16,FALSE),0),0)</f>
        <v>-1058.6400000000001</v>
      </c>
      <c r="AL648" s="13">
        <f>-IF(AG648="USD",IFERROR(VLOOKUP(D648,CAARStatus!$A$1:$Y$1600,11,FALSE),0),0)</f>
        <v>0</v>
      </c>
      <c r="AM648" s="22">
        <f t="shared" si="237"/>
        <v>0</v>
      </c>
      <c r="AN648" s="12" t="str">
        <f t="shared" si="238"/>
        <v/>
      </c>
      <c r="AO648" s="12" t="str">
        <f t="shared" si="239"/>
        <v>Yes</v>
      </c>
      <c r="AP648" t="str">
        <f t="shared" si="224"/>
        <v>Yes</v>
      </c>
      <c r="AQ648" t="str">
        <f>IFERROR(VLOOKUP(Z648,InvBal!$L$4:$P$600,4,FALSE),"Pend")</f>
        <v>Pend</v>
      </c>
      <c r="AR648" t="str">
        <f>IFERROR(VLOOKUP(D648,Manual!$C$1:$E$22,2,FALSE),"Pend")</f>
        <v>Pend</v>
      </c>
      <c r="AS648" t="str">
        <f t="shared" si="240"/>
        <v>Yes</v>
      </c>
      <c r="AT648" t="str">
        <f t="shared" si="241"/>
        <v>Yes</v>
      </c>
      <c r="AU648" s="51" t="str">
        <f t="shared" si="242"/>
        <v>Yes</v>
      </c>
      <c r="AV648" s="12">
        <f>IFERROR(VLOOKUP(D648,'Receivable Invoice Detail'!$S$1:$U$3014,3,FALSE),0)</f>
        <v>0</v>
      </c>
      <c r="AW648" s="12">
        <f t="shared" si="243"/>
        <v>765.69925362629476</v>
      </c>
    </row>
    <row r="649" spans="1:49" x14ac:dyDescent="0.25">
      <c r="A649" s="2">
        <v>1</v>
      </c>
      <c r="B649" s="2" t="s">
        <v>1171</v>
      </c>
      <c r="C649" s="2" t="s">
        <v>1172</v>
      </c>
      <c r="D649" s="2" t="s">
        <v>2894</v>
      </c>
      <c r="E649" s="2" t="s">
        <v>556</v>
      </c>
      <c r="F649" s="3">
        <v>45828.420868055553</v>
      </c>
      <c r="G649" s="3">
        <v>45828.435358796298</v>
      </c>
      <c r="H649" s="4">
        <v>45831</v>
      </c>
      <c r="I649" s="2" t="s">
        <v>40</v>
      </c>
      <c r="J649" s="2" t="s">
        <v>22</v>
      </c>
      <c r="K649" s="2">
        <v>1</v>
      </c>
      <c r="L649" s="2">
        <v>480.49</v>
      </c>
      <c r="M649" s="2">
        <v>0</v>
      </c>
      <c r="N649" s="2">
        <v>349.758658202079</v>
      </c>
      <c r="O649" s="2">
        <v>425.21</v>
      </c>
      <c r="P649" s="2">
        <v>55.28</v>
      </c>
      <c r="Q649" s="2">
        <v>480.49</v>
      </c>
      <c r="R649" s="2" t="s">
        <v>44</v>
      </c>
      <c r="S649" s="2"/>
      <c r="T649" s="2">
        <f t="shared" si="225"/>
        <v>1</v>
      </c>
      <c r="U649" s="18">
        <f t="shared" si="226"/>
        <v>6</v>
      </c>
      <c r="V649" s="18">
        <f t="shared" si="227"/>
        <v>2025</v>
      </c>
      <c r="W649" s="18">
        <f t="shared" si="228"/>
        <v>8</v>
      </c>
      <c r="X649" s="18">
        <f t="shared" si="229"/>
        <v>2025</v>
      </c>
      <c r="Y649" s="2">
        <f t="shared" si="222"/>
        <v>0.72792078545251515</v>
      </c>
      <c r="Z649" t="str">
        <f t="shared" si="223"/>
        <v>SO17375</v>
      </c>
      <c r="AA649" s="11">
        <f t="shared" si="230"/>
        <v>45828.420868055553</v>
      </c>
      <c r="AB649" s="5" t="str">
        <f t="shared" si="231"/>
        <v>INV13124</v>
      </c>
      <c r="AC649" s="5" t="str">
        <f>IFERROR(VLOOKUP(D649,CAARStatus!$A$2:$AA$1600,22,FALSE),"Not invoiced")</f>
        <v>Paid</v>
      </c>
      <c r="AD649" s="11">
        <f>IF(AC649="Paid",IFERROR(VLOOKUP(D649,CAARStatus!$A$2:$AA$1600,6,FALSE),"Pending"),"Pending")</f>
        <v>45876</v>
      </c>
      <c r="AE649" s="5" t="str">
        <f t="shared" si="232"/>
        <v>186419</v>
      </c>
      <c r="AF649" s="5" t="str">
        <f t="shared" si="233"/>
        <v>Fabrene Inc.</v>
      </c>
      <c r="AG649" s="5" t="str">
        <f t="shared" si="234"/>
        <v>CAD</v>
      </c>
      <c r="AH649" s="5">
        <f t="shared" si="235"/>
        <v>425.21</v>
      </c>
      <c r="AI649" s="12">
        <f>IF(L649-N649=0,VLOOKUP(U649,rate!A$4:B$15,2,FALSE)*AH649,IF(AG649="USD",O649,AH649*Y649))</f>
        <v>309.51919718226395</v>
      </c>
      <c r="AJ649" s="13">
        <f t="shared" si="236"/>
        <v>0.72792078545251515</v>
      </c>
      <c r="AK649" s="13">
        <f>-IF(AG649="CAD",IFERROR(VLOOKUP(D649,CAARStatus!$A$1:$Y$1600,16,FALSE),0),0)</f>
        <v>-425.21</v>
      </c>
      <c r="AL649" s="13">
        <f>-IF(AG649="USD",IFERROR(VLOOKUP(D649,CAARStatus!$A$1:$Y$1600,11,FALSE),0),0)</f>
        <v>0</v>
      </c>
      <c r="AM649" s="22">
        <f t="shared" si="237"/>
        <v>0</v>
      </c>
      <c r="AN649" s="12" t="str">
        <f t="shared" si="238"/>
        <v/>
      </c>
      <c r="AO649" s="12" t="str">
        <f t="shared" si="239"/>
        <v>Yes</v>
      </c>
      <c r="AP649" t="str">
        <f t="shared" si="224"/>
        <v>Yes</v>
      </c>
      <c r="AQ649" t="str">
        <f>IFERROR(VLOOKUP(Z649,InvBal!$L$4:$P$600,4,FALSE),"Pend")</f>
        <v>Pend</v>
      </c>
      <c r="AR649" t="str">
        <f>IFERROR(VLOOKUP(D649,Manual!$C$1:$E$22,2,FALSE),"Pend")</f>
        <v>Pend</v>
      </c>
      <c r="AS649" t="str">
        <f t="shared" si="240"/>
        <v>Yes</v>
      </c>
      <c r="AT649" t="str">
        <f t="shared" si="241"/>
        <v>Yes</v>
      </c>
      <c r="AU649" s="51" t="str">
        <f t="shared" si="242"/>
        <v>Yes</v>
      </c>
      <c r="AV649" s="12">
        <f>IFERROR(VLOOKUP(D649,'Receivable Invoice Detail'!$S$1:$U$3014,3,FALSE),0)</f>
        <v>0</v>
      </c>
      <c r="AW649" s="12">
        <f t="shared" si="243"/>
        <v>309.51919718226395</v>
      </c>
    </row>
    <row r="650" spans="1:49" ht="30" x14ac:dyDescent="0.25">
      <c r="A650" s="2">
        <v>1</v>
      </c>
      <c r="B650" s="2" t="s">
        <v>1161</v>
      </c>
      <c r="C650" s="2" t="s">
        <v>1162</v>
      </c>
      <c r="D650" s="2" t="s">
        <v>2901</v>
      </c>
      <c r="E650" s="2" t="s">
        <v>20</v>
      </c>
      <c r="F650" s="3">
        <v>45831.290046296293</v>
      </c>
      <c r="G650" s="3">
        <v>45831.290046296293</v>
      </c>
      <c r="H650" s="4">
        <v>45919</v>
      </c>
      <c r="I650" s="2" t="s">
        <v>21</v>
      </c>
      <c r="J650" s="2" t="s">
        <v>22</v>
      </c>
      <c r="K650" s="2">
        <v>1</v>
      </c>
      <c r="L650" s="2">
        <v>6506.97</v>
      </c>
      <c r="M650" s="2">
        <v>0</v>
      </c>
      <c r="N650" s="2">
        <v>4724.9206180386327</v>
      </c>
      <c r="O650" s="2">
        <v>6197.11</v>
      </c>
      <c r="P650" s="2">
        <v>309.86</v>
      </c>
      <c r="Q650" s="2">
        <v>6506.97</v>
      </c>
      <c r="R650" s="2" t="s">
        <v>44</v>
      </c>
      <c r="S650" s="2"/>
      <c r="T650" s="2">
        <f t="shared" si="225"/>
        <v>1</v>
      </c>
      <c r="U650" s="18">
        <f t="shared" si="226"/>
        <v>6</v>
      </c>
      <c r="V650" s="18">
        <f t="shared" si="227"/>
        <v>2025</v>
      </c>
      <c r="W650" s="18">
        <f t="shared" si="228"/>
        <v>12</v>
      </c>
      <c r="X650" s="18">
        <f t="shared" si="229"/>
        <v>2025</v>
      </c>
      <c r="Y650" s="2">
        <f t="shared" si="222"/>
        <v>0.72613222714084014</v>
      </c>
      <c r="Z650" t="str">
        <f t="shared" si="223"/>
        <v>SO17379</v>
      </c>
      <c r="AA650" s="11">
        <f t="shared" si="230"/>
        <v>45831.290046296293</v>
      </c>
      <c r="AB650" s="5" t="str">
        <f t="shared" si="231"/>
        <v>INV13503</v>
      </c>
      <c r="AC650" s="5" t="str">
        <f>IFERROR(VLOOKUP(D650,CAARStatus!$A$2:$AA$1600,22,FALSE),"Not invoiced")</f>
        <v>Paid</v>
      </c>
      <c r="AD650" s="11">
        <f>IF(AC650="Paid",IFERROR(VLOOKUP(D650,CAARStatus!$A$2:$AA$1600,6,FALSE),"Pending"),"Pending")</f>
        <v>45996</v>
      </c>
      <c r="AE650" s="5" t="str">
        <f t="shared" si="232"/>
        <v>4500602254</v>
      </c>
      <c r="AF650" s="5" t="str">
        <f t="shared" si="233"/>
        <v>Resolute Forest Products - Saint-Felicien</v>
      </c>
      <c r="AG650" s="5" t="str">
        <f t="shared" si="234"/>
        <v>CAD</v>
      </c>
      <c r="AH650" s="5">
        <f t="shared" si="235"/>
        <v>6197.11</v>
      </c>
      <c r="AI650" s="12">
        <f>IF(L650-N650=0,VLOOKUP(U650,rate!A$4:B$15,2,FALSE)*AH650,IF(AG650="USD",O650,AH650*Y650))</f>
        <v>4499.9212861367714</v>
      </c>
      <c r="AJ650" s="13">
        <f t="shared" si="236"/>
        <v>0.72613222714084014</v>
      </c>
      <c r="AK650" s="13">
        <f>-IF(AG650="CAD",IFERROR(VLOOKUP(D650,CAARStatus!$A$1:$Y$1600,16,FALSE),0),0)</f>
        <v>-6197.11</v>
      </c>
      <c r="AL650" s="13">
        <f>-IF(AG650="USD",IFERROR(VLOOKUP(D650,CAARStatus!$A$1:$Y$1600,11,FALSE),0),0)</f>
        <v>0</v>
      </c>
      <c r="AM650" s="22">
        <f t="shared" si="237"/>
        <v>0</v>
      </c>
      <c r="AN650" s="12" t="str">
        <f t="shared" si="238"/>
        <v/>
      </c>
      <c r="AO650" s="12" t="str">
        <f t="shared" si="239"/>
        <v>Yes</v>
      </c>
      <c r="AP650" t="str">
        <f t="shared" si="224"/>
        <v>Yes</v>
      </c>
      <c r="AQ650" t="str">
        <f>IFERROR(VLOOKUP(Z650,InvBal!$L$4:$P$600,4,FALSE),"Pend")</f>
        <v>Pend</v>
      </c>
      <c r="AR650" t="str">
        <f>IFERROR(VLOOKUP(D650,Manual!$C$1:$E$22,2,FALSE),"Pend")</f>
        <v>Pend</v>
      </c>
      <c r="AS650" t="str">
        <f t="shared" si="240"/>
        <v>Yes</v>
      </c>
      <c r="AT650" t="str">
        <f t="shared" si="241"/>
        <v>Yes</v>
      </c>
      <c r="AU650" s="51" t="str">
        <f t="shared" si="242"/>
        <v>Yes</v>
      </c>
      <c r="AV650" s="12">
        <f>IFERROR(VLOOKUP(D650,'Receivable Invoice Detail'!$S$1:$U$3014,3,FALSE),0)</f>
        <v>0</v>
      </c>
      <c r="AW650" s="12">
        <f t="shared" si="243"/>
        <v>4499.9212861367714</v>
      </c>
    </row>
    <row r="651" spans="1:49" ht="30" x14ac:dyDescent="0.25">
      <c r="A651" s="2">
        <v>2</v>
      </c>
      <c r="B651" s="2" t="s">
        <v>1153</v>
      </c>
      <c r="C651" s="2" t="s">
        <v>1154</v>
      </c>
      <c r="D651" s="2" t="s">
        <v>2906</v>
      </c>
      <c r="E651" s="2" t="s">
        <v>450</v>
      </c>
      <c r="F651" s="3">
        <v>45831.544918981483</v>
      </c>
      <c r="G651" s="3">
        <v>45832.401574074072</v>
      </c>
      <c r="H651" s="4">
        <v>45854</v>
      </c>
      <c r="I651" s="2" t="s">
        <v>40</v>
      </c>
      <c r="J651" s="2" t="s">
        <v>22</v>
      </c>
      <c r="K651" s="2">
        <v>1</v>
      </c>
      <c r="L651" s="2">
        <v>544.12</v>
      </c>
      <c r="M651" s="2">
        <v>0</v>
      </c>
      <c r="N651" s="2">
        <v>396.8028235847375</v>
      </c>
      <c r="O651" s="2">
        <v>481.52</v>
      </c>
      <c r="P651" s="2">
        <v>62.6</v>
      </c>
      <c r="Q651" s="2">
        <v>544.12</v>
      </c>
      <c r="R651" s="2" t="s">
        <v>44</v>
      </c>
      <c r="S651" s="2"/>
      <c r="T651" s="2">
        <f t="shared" si="225"/>
        <v>2</v>
      </c>
      <c r="U651" s="18">
        <f t="shared" si="226"/>
        <v>6</v>
      </c>
      <c r="V651" s="18">
        <f t="shared" si="227"/>
        <v>2025</v>
      </c>
      <c r="W651" s="18">
        <f t="shared" si="228"/>
        <v>8</v>
      </c>
      <c r="X651" s="18">
        <f t="shared" si="229"/>
        <v>2025</v>
      </c>
      <c r="Y651" s="2">
        <f t="shared" si="222"/>
        <v>0.72925608980507517</v>
      </c>
      <c r="Z651" t="str">
        <f t="shared" si="223"/>
        <v>SO17382</v>
      </c>
      <c r="AA651" s="11">
        <f t="shared" si="230"/>
        <v>45831.544918981483</v>
      </c>
      <c r="AB651" s="5" t="str">
        <f t="shared" si="231"/>
        <v>INV13227</v>
      </c>
      <c r="AC651" s="5" t="str">
        <f>IFERROR(VLOOKUP(D651,CAARStatus!$A$2:$AA$1600,22,FALSE),"Not invoiced")</f>
        <v>Paid</v>
      </c>
      <c r="AD651" s="11">
        <f>IF(AC651="Paid",IFERROR(VLOOKUP(D651,CAARStatus!$A$2:$AA$1600,6,FALSE),"Pending"),"Pending")</f>
        <v>45890</v>
      </c>
      <c r="AE651" s="5" t="str">
        <f t="shared" si="232"/>
        <v>A20250624</v>
      </c>
      <c r="AF651" s="5" t="str">
        <f t="shared" si="233"/>
        <v>Alpha Industrial &amp; Mining Supplies Limited</v>
      </c>
      <c r="AG651" s="5" t="str">
        <f t="shared" si="234"/>
        <v>CAD</v>
      </c>
      <c r="AH651" s="5">
        <f t="shared" si="235"/>
        <v>481.52</v>
      </c>
      <c r="AI651" s="12">
        <f>IF(L651-N651=0,VLOOKUP(U651,rate!A$4:B$15,2,FALSE)*AH651,IF(AG651="USD",O651,AH651*Y651))</f>
        <v>351.15139236293976</v>
      </c>
      <c r="AJ651" s="13">
        <f t="shared" si="236"/>
        <v>0.72925608980507517</v>
      </c>
      <c r="AK651" s="13">
        <f>-IF(AG651="CAD",IFERROR(VLOOKUP(D651,CAARStatus!$A$1:$Y$1600,16,FALSE),0),0)</f>
        <v>-240.76</v>
      </c>
      <c r="AL651" s="13">
        <f>-IF(AG651="USD",IFERROR(VLOOKUP(D651,CAARStatus!$A$1:$Y$1600,11,FALSE),0),0)</f>
        <v>0</v>
      </c>
      <c r="AM651" s="22">
        <f t="shared" si="237"/>
        <v>240.76</v>
      </c>
      <c r="AN651" s="12" t="str">
        <f t="shared" si="238"/>
        <v/>
      </c>
      <c r="AO651" s="12" t="str">
        <f t="shared" si="239"/>
        <v>Yes</v>
      </c>
      <c r="AP651" t="str">
        <f t="shared" si="224"/>
        <v>XX</v>
      </c>
      <c r="AQ651" t="str">
        <f>IFERROR(VLOOKUP(Z651,InvBal!$L$4:$P$600,4,FALSE),"Pend")</f>
        <v>Yes</v>
      </c>
      <c r="AR651" t="str">
        <f>IFERROR(VLOOKUP(D651,Manual!$C$1:$E$22,2,FALSE),"Pend")</f>
        <v>Pend</v>
      </c>
      <c r="AS651" t="str">
        <f t="shared" si="240"/>
        <v>Yes</v>
      </c>
      <c r="AT651" t="str">
        <f t="shared" si="241"/>
        <v>Yes</v>
      </c>
      <c r="AU651" s="51" t="str">
        <f t="shared" si="242"/>
        <v>Yes</v>
      </c>
      <c r="AV651" s="12">
        <f>IFERROR(VLOOKUP(D651,'Receivable Invoice Detail'!$S$1:$U$3014,3,FALSE),0)</f>
        <v>0</v>
      </c>
      <c r="AW651" s="12">
        <f t="shared" si="243"/>
        <v>351.15139236293976</v>
      </c>
    </row>
    <row r="652" spans="1:49" x14ac:dyDescent="0.25">
      <c r="A652" s="2"/>
      <c r="B652" s="2"/>
      <c r="C652" s="2"/>
      <c r="D652" s="2" t="s">
        <v>2905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>
        <f t="shared" si="225"/>
        <v>2</v>
      </c>
      <c r="U652" s="18">
        <f t="shared" si="226"/>
        <v>6</v>
      </c>
      <c r="V652" s="18">
        <f t="shared" si="227"/>
        <v>2025</v>
      </c>
      <c r="W652" s="18">
        <f t="shared" si="228"/>
        <v>8</v>
      </c>
      <c r="X652" s="18">
        <f t="shared" si="229"/>
        <v>2025</v>
      </c>
      <c r="Y652" s="2">
        <f t="shared" si="222"/>
        <v>0.72925608980507517</v>
      </c>
      <c r="Z652" t="str">
        <f t="shared" si="223"/>
        <v>SO17382</v>
      </c>
      <c r="AA652" s="11">
        <f t="shared" si="230"/>
        <v>45831.544918981483</v>
      </c>
      <c r="AB652" s="5" t="str">
        <f t="shared" si="231"/>
        <v>INV13169</v>
      </c>
      <c r="AC652" s="5" t="str">
        <f>IFERROR(VLOOKUP(D652,CAARStatus!$A$2:$AA$1600,22,FALSE),"Not invoiced")</f>
        <v>Paid</v>
      </c>
      <c r="AD652" s="11">
        <f>IF(AC652="Paid",IFERROR(VLOOKUP(D652,CAARStatus!$A$2:$AA$1600,6,FALSE),"Pending"),"Pending")</f>
        <v>45887</v>
      </c>
      <c r="AE652" s="5" t="str">
        <f t="shared" si="232"/>
        <v>A20250624</v>
      </c>
      <c r="AF652" s="5" t="str">
        <f t="shared" si="233"/>
        <v>Alpha Industrial &amp; Mining Supplies Limited</v>
      </c>
      <c r="AG652" s="5" t="str">
        <f t="shared" si="234"/>
        <v>CAD</v>
      </c>
      <c r="AH652" s="5">
        <f t="shared" si="235"/>
        <v>0</v>
      </c>
      <c r="AI652" s="12">
        <f>IF(L652-N652=0,VLOOKUP(U652,rate!A$4:B$15,2,FALSE)*AH652,IF(AG652="USD",O652,AH652*Y652))</f>
        <v>0</v>
      </c>
      <c r="AJ652" s="13">
        <f t="shared" si="236"/>
        <v>0</v>
      </c>
      <c r="AK652" s="13">
        <f>-IF(AG652="CAD",IFERROR(VLOOKUP(D652,CAARStatus!$A$1:$Y$1600,16,FALSE),0),0)</f>
        <v>-240.76</v>
      </c>
      <c r="AL652" s="13">
        <f>-IF(AG652="USD",IFERROR(VLOOKUP(D652,CAARStatus!$A$1:$Y$1600,11,FALSE),0),0)</f>
        <v>0</v>
      </c>
      <c r="AM652" s="22">
        <f t="shared" si="237"/>
        <v>-240.76</v>
      </c>
      <c r="AN652" s="12" t="str">
        <f t="shared" si="238"/>
        <v/>
      </c>
      <c r="AO652" s="12" t="str">
        <f t="shared" si="239"/>
        <v>Yes</v>
      </c>
      <c r="AP652" t="str">
        <f t="shared" si="224"/>
        <v>XX</v>
      </c>
      <c r="AQ652" t="str">
        <f>IFERROR(VLOOKUP(Z652,InvBal!$L$4:$P$600,4,FALSE),"Pend")</f>
        <v>Yes</v>
      </c>
      <c r="AR652" t="str">
        <f>IFERROR(VLOOKUP(D652,Manual!$C$1:$E$22,2,FALSE),"Pend")</f>
        <v>Pend</v>
      </c>
      <c r="AS652" t="str">
        <f t="shared" si="240"/>
        <v>Yes</v>
      </c>
      <c r="AT652" t="str">
        <f t="shared" si="241"/>
        <v/>
      </c>
      <c r="AU652" s="51" t="str">
        <f t="shared" si="242"/>
        <v/>
      </c>
      <c r="AV652" s="12">
        <f>IFERROR(VLOOKUP(D652,'Receivable Invoice Detail'!$S$1:$U$3014,3,FALSE),0)</f>
        <v>0</v>
      </c>
      <c r="AW652" s="12">
        <f t="shared" si="243"/>
        <v>0</v>
      </c>
    </row>
    <row r="653" spans="1:49" ht="30" x14ac:dyDescent="0.25">
      <c r="A653" s="2">
        <v>1</v>
      </c>
      <c r="B653" s="2" t="s">
        <v>1167</v>
      </c>
      <c r="C653" s="2" t="s">
        <v>1168</v>
      </c>
      <c r="D653" s="2" t="s">
        <v>2896</v>
      </c>
      <c r="E653" s="2" t="s">
        <v>369</v>
      </c>
      <c r="F653" s="3">
        <v>45831.615277777782</v>
      </c>
      <c r="G653" s="3">
        <v>45829.610960648148</v>
      </c>
      <c r="H653" s="4">
        <v>45922</v>
      </c>
      <c r="I653" s="2" t="s">
        <v>36</v>
      </c>
      <c r="J653" s="2" t="s">
        <v>51</v>
      </c>
      <c r="K653" s="2">
        <v>0.72839293326389742</v>
      </c>
      <c r="L653" s="2">
        <v>5802.1430563067106</v>
      </c>
      <c r="M653" s="2">
        <v>0</v>
      </c>
      <c r="N653" s="2">
        <v>4226.24</v>
      </c>
      <c r="O653" s="2">
        <v>4226.24</v>
      </c>
      <c r="P653" s="2"/>
      <c r="Q653" s="2">
        <v>4226.24</v>
      </c>
      <c r="R653" s="2" t="s">
        <v>44</v>
      </c>
      <c r="S653" s="2"/>
      <c r="T653" s="2">
        <f t="shared" si="225"/>
        <v>1</v>
      </c>
      <c r="U653" s="18">
        <f t="shared" si="226"/>
        <v>6</v>
      </c>
      <c r="V653" s="18">
        <f t="shared" si="227"/>
        <v>2025</v>
      </c>
      <c r="W653" s="18">
        <f t="shared" si="228"/>
        <v>10</v>
      </c>
      <c r="X653" s="18">
        <f t="shared" si="229"/>
        <v>2025</v>
      </c>
      <c r="Y653" s="2">
        <f t="shared" si="222"/>
        <v>0.72839293326389742</v>
      </c>
      <c r="Z653" t="str">
        <f t="shared" si="223"/>
        <v>SO17383</v>
      </c>
      <c r="AA653" s="11">
        <f t="shared" si="230"/>
        <v>45831.615277777782</v>
      </c>
      <c r="AB653" s="5" t="str">
        <f t="shared" si="231"/>
        <v>INV13526</v>
      </c>
      <c r="AC653" s="5" t="str">
        <f>IFERROR(VLOOKUP(D653,CAARStatus!$A$2:$AA$1600,22,FALSE),"Not invoiced")</f>
        <v>Paid</v>
      </c>
      <c r="AD653" s="11">
        <f>IF(AC653="Paid",IFERROR(VLOOKUP(D653,CAARStatus!$A$2:$AA$1600,6,FALSE),"Pending"),"Pending")</f>
        <v>45945</v>
      </c>
      <c r="AE653" s="5" t="str">
        <f t="shared" si="232"/>
        <v>RJEDD/lPO/2526/00070</v>
      </c>
      <c r="AF653" s="5" t="str">
        <f t="shared" si="233"/>
        <v>Jindal Drilling &amp; Industries Limited</v>
      </c>
      <c r="AG653" s="5" t="str">
        <f t="shared" si="234"/>
        <v>USD</v>
      </c>
      <c r="AH653" s="5">
        <f t="shared" si="235"/>
        <v>5802.1430563067106</v>
      </c>
      <c r="AI653" s="12">
        <f>IF(L653-N653=0,VLOOKUP(U653,rate!A$4:B$15,2,FALSE)*AH653,IF(AG653="USD",O653,AH653*Y653))</f>
        <v>4226.24</v>
      </c>
      <c r="AJ653" s="13">
        <f t="shared" si="236"/>
        <v>0.72839293326389742</v>
      </c>
      <c r="AK653" s="13">
        <f>-IF(AG653="CAD",IFERROR(VLOOKUP(D653,CAARStatus!$A$1:$Y$1600,16,FALSE),0),0)</f>
        <v>0</v>
      </c>
      <c r="AL653" s="13">
        <f>-IF(AG653="USD",IFERROR(VLOOKUP(D653,CAARStatus!$A$1:$Y$1600,11,FALSE),0),0)</f>
        <v>-4226.24</v>
      </c>
      <c r="AM653" s="22" t="str">
        <f t="shared" si="237"/>
        <v/>
      </c>
      <c r="AN653" s="12">
        <f t="shared" si="238"/>
        <v>0</v>
      </c>
      <c r="AO653" s="12" t="str">
        <f t="shared" si="239"/>
        <v>Yes</v>
      </c>
      <c r="AP653" t="str">
        <f t="shared" si="224"/>
        <v>Yes</v>
      </c>
      <c r="AQ653" t="str">
        <f>IFERROR(VLOOKUP(Z653,InvBal!$L$4:$P$600,4,FALSE),"Pend")</f>
        <v>Pend</v>
      </c>
      <c r="AR653" t="str">
        <f>IFERROR(VLOOKUP(D653,Manual!$C$1:$E$22,2,FALSE),"Pend")</f>
        <v>Pend</v>
      </c>
      <c r="AS653" t="str">
        <f t="shared" si="240"/>
        <v>Yes</v>
      </c>
      <c r="AT653" t="str">
        <f t="shared" si="241"/>
        <v>Yes</v>
      </c>
      <c r="AU653" s="51" t="str">
        <f t="shared" si="242"/>
        <v>Yes</v>
      </c>
      <c r="AV653" s="12">
        <f>IFERROR(VLOOKUP(D653,'Receivable Invoice Detail'!$S$1:$U$3014,3,FALSE),0)</f>
        <v>0</v>
      </c>
      <c r="AW653" s="12">
        <f t="shared" si="243"/>
        <v>4226.24</v>
      </c>
    </row>
    <row r="654" spans="1:49" ht="30" x14ac:dyDescent="0.25">
      <c r="A654" s="2">
        <v>2</v>
      </c>
      <c r="B654" s="2" t="s">
        <v>1163</v>
      </c>
      <c r="C654" s="2" t="s">
        <v>1164</v>
      </c>
      <c r="D654" s="2" t="s">
        <v>2900</v>
      </c>
      <c r="E654" s="2" t="s">
        <v>369</v>
      </c>
      <c r="F654" s="3">
        <v>45831.720127314817</v>
      </c>
      <c r="G654" s="3">
        <v>45829.702789351853</v>
      </c>
      <c r="H654" s="4">
        <v>45838</v>
      </c>
      <c r="I654" s="2" t="s">
        <v>36</v>
      </c>
      <c r="J654" s="2" t="s">
        <v>51</v>
      </c>
      <c r="K654" s="2">
        <v>0.72839293326389742</v>
      </c>
      <c r="L654" s="2">
        <v>8492.4217651063773</v>
      </c>
      <c r="M654" s="2">
        <v>0</v>
      </c>
      <c r="N654" s="2">
        <v>6185.82</v>
      </c>
      <c r="O654" s="2">
        <v>6185.82</v>
      </c>
      <c r="P654" s="2"/>
      <c r="Q654" s="2">
        <v>6185.82</v>
      </c>
      <c r="R654" s="2" t="s">
        <v>44</v>
      </c>
      <c r="S654" s="2"/>
      <c r="T654" s="2">
        <f t="shared" si="225"/>
        <v>2</v>
      </c>
      <c r="U654" s="18">
        <f t="shared" si="226"/>
        <v>6</v>
      </c>
      <c r="V654" s="18">
        <f t="shared" si="227"/>
        <v>2025</v>
      </c>
      <c r="W654" s="18">
        <f t="shared" si="228"/>
        <v>7</v>
      </c>
      <c r="X654" s="18">
        <f t="shared" si="229"/>
        <v>2025</v>
      </c>
      <c r="Y654" s="2">
        <f t="shared" si="222"/>
        <v>0.72839293326389742</v>
      </c>
      <c r="Z654" t="str">
        <f t="shared" si="223"/>
        <v>SO17384</v>
      </c>
      <c r="AA654" s="11">
        <f t="shared" si="230"/>
        <v>45831.720127314817</v>
      </c>
      <c r="AB654" s="5" t="str">
        <f t="shared" si="231"/>
        <v>INV13148</v>
      </c>
      <c r="AC654" s="5" t="str">
        <f>IFERROR(VLOOKUP(D654,CAARStatus!$A$2:$AA$1600,22,FALSE),"Not invoiced")</f>
        <v>Paid</v>
      </c>
      <c r="AD654" s="11">
        <f>IF(AC654="Paid",IFERROR(VLOOKUP(D654,CAARStatus!$A$2:$AA$1600,6,FALSE),"Pending"),"Pending")</f>
        <v>45842</v>
      </c>
      <c r="AE654" s="5" t="str">
        <f t="shared" si="232"/>
        <v>RJEDD/lPO/2526/00062</v>
      </c>
      <c r="AF654" s="5" t="str">
        <f t="shared" si="233"/>
        <v>Jindal Drilling &amp; Industries Limited</v>
      </c>
      <c r="AG654" s="5" t="str">
        <f t="shared" si="234"/>
        <v>USD</v>
      </c>
      <c r="AH654" s="5">
        <f t="shared" si="235"/>
        <v>8492.4217651063773</v>
      </c>
      <c r="AI654" s="12">
        <f>IF(L654-N654=0,VLOOKUP(U654,rate!A$4:B$15,2,FALSE)*AH654,IF(AG654="USD",O654,AH654*Y654))</f>
        <v>6185.82</v>
      </c>
      <c r="AJ654" s="13">
        <f t="shared" si="236"/>
        <v>0.72839293326389742</v>
      </c>
      <c r="AK654" s="13">
        <f>-IF(AG654="CAD",IFERROR(VLOOKUP(D654,CAARStatus!$A$1:$Y$1600,16,FALSE),0),0)</f>
        <v>0</v>
      </c>
      <c r="AL654" s="13">
        <f>-IF(AG654="USD",IFERROR(VLOOKUP(D654,CAARStatus!$A$1:$Y$1600,11,FALSE),0),0)</f>
        <v>-6010.3</v>
      </c>
      <c r="AM654" s="22" t="str">
        <f t="shared" si="237"/>
        <v/>
      </c>
      <c r="AN654" s="12">
        <f t="shared" si="238"/>
        <v>175.51999999999953</v>
      </c>
      <c r="AO654" s="12" t="str">
        <f t="shared" si="239"/>
        <v>Yes</v>
      </c>
      <c r="AP654" t="str">
        <f t="shared" si="224"/>
        <v>XX</v>
      </c>
      <c r="AQ654" t="str">
        <f>IFERROR(VLOOKUP(Z654,InvBal!$L$4:$P$600,4,FALSE),"Pend")</f>
        <v>Yes</v>
      </c>
      <c r="AR654" t="str">
        <f>IFERROR(VLOOKUP(D654,Manual!$C$1:$E$22,2,FALSE),"Pend")</f>
        <v>Pend</v>
      </c>
      <c r="AS654" t="str">
        <f t="shared" si="240"/>
        <v>Yes</v>
      </c>
      <c r="AT654" t="str">
        <f t="shared" si="241"/>
        <v>Yes</v>
      </c>
      <c r="AU654" s="51" t="str">
        <f t="shared" si="242"/>
        <v>Yes</v>
      </c>
      <c r="AV654" s="12">
        <f>IFERROR(VLOOKUP(D654,'Receivable Invoice Detail'!$S$1:$U$3014,3,FALSE),0)</f>
        <v>0</v>
      </c>
      <c r="AW654" s="12">
        <f t="shared" si="243"/>
        <v>6185.82</v>
      </c>
    </row>
    <row r="655" spans="1:49" x14ac:dyDescent="0.25">
      <c r="A655" s="2"/>
      <c r="B655" s="2"/>
      <c r="C655" s="2"/>
      <c r="D655" s="2" t="s">
        <v>2899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>
        <f t="shared" si="225"/>
        <v>2</v>
      </c>
      <c r="U655" s="18">
        <f t="shared" si="226"/>
        <v>6</v>
      </c>
      <c r="V655" s="18">
        <f t="shared" si="227"/>
        <v>2025</v>
      </c>
      <c r="W655" s="18">
        <f t="shared" si="228"/>
        <v>8</v>
      </c>
      <c r="X655" s="18">
        <f t="shared" si="229"/>
        <v>2025</v>
      </c>
      <c r="Y655" s="2">
        <f t="shared" si="222"/>
        <v>0.72839293326389742</v>
      </c>
      <c r="Z655" t="str">
        <f t="shared" si="223"/>
        <v>SO17384</v>
      </c>
      <c r="AA655" s="11">
        <f t="shared" si="230"/>
        <v>45831.720127314817</v>
      </c>
      <c r="AB655" s="5" t="str">
        <f t="shared" si="231"/>
        <v>INV13290</v>
      </c>
      <c r="AC655" s="5" t="str">
        <f>IFERROR(VLOOKUP(D655,CAARStatus!$A$2:$AA$1600,22,FALSE),"Not invoiced")</f>
        <v>Paid</v>
      </c>
      <c r="AD655" s="11">
        <f>IF(AC655="Paid",IFERROR(VLOOKUP(D655,CAARStatus!$A$2:$AA$1600,6,FALSE),"Pending"),"Pending")</f>
        <v>45881</v>
      </c>
      <c r="AE655" s="5" t="str">
        <f t="shared" si="232"/>
        <v>RJEDD/lPO/2526/00062</v>
      </c>
      <c r="AF655" s="5" t="str">
        <f t="shared" si="233"/>
        <v>Jindal Drilling &amp; Industries Limited</v>
      </c>
      <c r="AG655" s="5" t="str">
        <f t="shared" si="234"/>
        <v>USD</v>
      </c>
      <c r="AH655" s="5">
        <f t="shared" si="235"/>
        <v>0</v>
      </c>
      <c r="AI655" s="12">
        <f>IF(L655-N655=0,VLOOKUP(U655,rate!A$4:B$15,2,FALSE)*AH655,IF(AG655="USD",O655,AH655*Y655))</f>
        <v>0</v>
      </c>
      <c r="AJ655" s="13">
        <f t="shared" si="236"/>
        <v>0</v>
      </c>
      <c r="AK655" s="13">
        <f>-IF(AG655="CAD",IFERROR(VLOOKUP(D655,CAARStatus!$A$1:$Y$1600,16,FALSE),0),0)</f>
        <v>0</v>
      </c>
      <c r="AL655" s="13">
        <f>-IF(AG655="USD",IFERROR(VLOOKUP(D655,CAARStatus!$A$1:$Y$1600,11,FALSE),0),0)</f>
        <v>-175.52</v>
      </c>
      <c r="AM655" s="22" t="str">
        <f t="shared" si="237"/>
        <v/>
      </c>
      <c r="AN655" s="12">
        <f t="shared" si="238"/>
        <v>-175.52</v>
      </c>
      <c r="AO655" s="12" t="str">
        <f t="shared" si="239"/>
        <v>Yes</v>
      </c>
      <c r="AP655" t="str">
        <f t="shared" si="224"/>
        <v>XX</v>
      </c>
      <c r="AQ655" t="str">
        <f>IFERROR(VLOOKUP(Z655,InvBal!$L$4:$P$600,4,FALSE),"Pend")</f>
        <v>Yes</v>
      </c>
      <c r="AR655" t="str">
        <f>IFERROR(VLOOKUP(D655,Manual!$C$1:$E$22,2,FALSE),"Pend")</f>
        <v>Pend</v>
      </c>
      <c r="AS655" t="str">
        <f t="shared" si="240"/>
        <v>Yes</v>
      </c>
      <c r="AT655" t="str">
        <f t="shared" si="241"/>
        <v/>
      </c>
      <c r="AU655" s="51" t="str">
        <f t="shared" si="242"/>
        <v/>
      </c>
      <c r="AV655" s="12">
        <f>IFERROR(VLOOKUP(D655,'Receivable Invoice Detail'!$S$1:$U$3014,3,FALSE),0)</f>
        <v>0</v>
      </c>
      <c r="AW655" s="12">
        <f t="shared" si="243"/>
        <v>0</v>
      </c>
    </row>
    <row r="656" spans="1:49" x14ac:dyDescent="0.25">
      <c r="A656" s="2">
        <v>1</v>
      </c>
      <c r="B656" s="2" t="s">
        <v>1157</v>
      </c>
      <c r="C656" s="2" t="s">
        <v>1158</v>
      </c>
      <c r="D656" s="2" t="s">
        <v>2903</v>
      </c>
      <c r="E656" s="2" t="s">
        <v>141</v>
      </c>
      <c r="F656" s="3">
        <v>45831.728518518517</v>
      </c>
      <c r="G656" s="3">
        <v>45831.729687500003</v>
      </c>
      <c r="H656" s="4">
        <v>45832</v>
      </c>
      <c r="I656" s="2" t="s">
        <v>21</v>
      </c>
      <c r="J656" s="2" t="s">
        <v>51</v>
      </c>
      <c r="K656" s="2">
        <v>0.72839293326389742</v>
      </c>
      <c r="L656" s="2">
        <v>116.6540696918257</v>
      </c>
      <c r="M656" s="2">
        <v>0</v>
      </c>
      <c r="N656" s="2">
        <v>84.97</v>
      </c>
      <c r="O656" s="2">
        <v>84.97</v>
      </c>
      <c r="P656" s="2"/>
      <c r="Q656" s="2">
        <v>84.97</v>
      </c>
      <c r="R656" s="2" t="s">
        <v>44</v>
      </c>
      <c r="S656" s="2"/>
      <c r="T656" s="2">
        <f t="shared" si="225"/>
        <v>1</v>
      </c>
      <c r="U656" s="18">
        <f t="shared" si="226"/>
        <v>6</v>
      </c>
      <c r="V656" s="18">
        <f t="shared" si="227"/>
        <v>2025</v>
      </c>
      <c r="W656" s="18">
        <f t="shared" si="228"/>
        <v>8</v>
      </c>
      <c r="X656" s="18">
        <f t="shared" si="229"/>
        <v>2025</v>
      </c>
      <c r="Y656" s="2">
        <f t="shared" si="222"/>
        <v>0.72839293326389709</v>
      </c>
      <c r="Z656" t="str">
        <f t="shared" si="223"/>
        <v>SO17385</v>
      </c>
      <c r="AA656" s="11">
        <f t="shared" si="230"/>
        <v>45831.728518518517</v>
      </c>
      <c r="AB656" s="5" t="str">
        <f t="shared" si="231"/>
        <v>INV13127</v>
      </c>
      <c r="AC656" s="5" t="str">
        <f>IFERROR(VLOOKUP(D656,CAARStatus!$A$2:$AA$1600,22,FALSE),"Not invoiced")</f>
        <v>Paid</v>
      </c>
      <c r="AD656" s="11">
        <f>IF(AC656="Paid",IFERROR(VLOOKUP(D656,CAARStatus!$A$2:$AA$1600,6,FALSE),"Pending"),"Pending")</f>
        <v>45888</v>
      </c>
      <c r="AE656" s="5" t="str">
        <f t="shared" si="232"/>
        <v>4512028739</v>
      </c>
      <c r="AF656" s="5" t="str">
        <f t="shared" si="233"/>
        <v>PT Vale Indonesia Tbk.</v>
      </c>
      <c r="AG656" s="5" t="str">
        <f t="shared" si="234"/>
        <v>USD</v>
      </c>
      <c r="AH656" s="5">
        <f t="shared" si="235"/>
        <v>116.65406969182565</v>
      </c>
      <c r="AI656" s="12">
        <f>IF(L656-N656=0,VLOOKUP(U656,rate!A$4:B$15,2,FALSE)*AH656,IF(AG656="USD",O656,AH656*Y656))</f>
        <v>84.97</v>
      </c>
      <c r="AJ656" s="13">
        <f t="shared" si="236"/>
        <v>0.72839293326389742</v>
      </c>
      <c r="AK656" s="13">
        <f>-IF(AG656="CAD",IFERROR(VLOOKUP(D656,CAARStatus!$A$1:$Y$1600,16,FALSE),0),0)</f>
        <v>0</v>
      </c>
      <c r="AL656" s="13">
        <f>-IF(AG656="USD",IFERROR(VLOOKUP(D656,CAARStatus!$A$1:$Y$1600,11,FALSE),0),0)</f>
        <v>-84.97</v>
      </c>
      <c r="AM656" s="22" t="str">
        <f t="shared" si="237"/>
        <v/>
      </c>
      <c r="AN656" s="12">
        <f t="shared" si="238"/>
        <v>0</v>
      </c>
      <c r="AO656" s="12" t="str">
        <f t="shared" si="239"/>
        <v>Yes</v>
      </c>
      <c r="AP656" t="str">
        <f t="shared" si="224"/>
        <v>Yes</v>
      </c>
      <c r="AQ656" t="str">
        <f>IFERROR(VLOOKUP(Z656,InvBal!$L$4:$P$600,4,FALSE),"Pend")</f>
        <v>Pend</v>
      </c>
      <c r="AR656" t="str">
        <f>IFERROR(VLOOKUP(D656,Manual!$C$1:$E$22,2,FALSE),"Pend")</f>
        <v>Pend</v>
      </c>
      <c r="AS656" t="str">
        <f t="shared" si="240"/>
        <v>Yes</v>
      </c>
      <c r="AT656" t="str">
        <f t="shared" si="241"/>
        <v>Yes</v>
      </c>
      <c r="AU656" s="51" t="str">
        <f t="shared" si="242"/>
        <v>Yes</v>
      </c>
      <c r="AV656" s="12">
        <f>IFERROR(VLOOKUP(D656,'Receivable Invoice Detail'!$S$1:$U$3014,3,FALSE),0)</f>
        <v>0</v>
      </c>
      <c r="AW656" s="12">
        <f t="shared" si="243"/>
        <v>84.97</v>
      </c>
    </row>
    <row r="657" spans="1:49" x14ac:dyDescent="0.25">
      <c r="A657" s="2">
        <v>1</v>
      </c>
      <c r="B657" s="2" t="s">
        <v>1155</v>
      </c>
      <c r="C657" s="2" t="s">
        <v>1156</v>
      </c>
      <c r="D657" s="2" t="s">
        <v>2904</v>
      </c>
      <c r="E657" s="2" t="s">
        <v>141</v>
      </c>
      <c r="F657" s="3">
        <v>45831.734212962961</v>
      </c>
      <c r="G657" s="3">
        <v>45831.735138888893</v>
      </c>
      <c r="H657" s="4">
        <v>45832</v>
      </c>
      <c r="I657" s="2" t="s">
        <v>21</v>
      </c>
      <c r="J657" s="2" t="s">
        <v>51</v>
      </c>
      <c r="K657" s="2">
        <v>0.72839293326389742</v>
      </c>
      <c r="L657" s="2">
        <v>270.84282533604062</v>
      </c>
      <c r="M657" s="2">
        <v>0</v>
      </c>
      <c r="N657" s="2">
        <v>197.28</v>
      </c>
      <c r="O657" s="2">
        <v>197.28</v>
      </c>
      <c r="P657" s="2"/>
      <c r="Q657" s="2">
        <v>197.28</v>
      </c>
      <c r="R657" s="2" t="s">
        <v>44</v>
      </c>
      <c r="S657" s="2"/>
      <c r="T657" s="2">
        <f t="shared" si="225"/>
        <v>1</v>
      </c>
      <c r="U657" s="18">
        <f t="shared" si="226"/>
        <v>6</v>
      </c>
      <c r="V657" s="18">
        <f t="shared" si="227"/>
        <v>2025</v>
      </c>
      <c r="W657" s="18">
        <f t="shared" si="228"/>
        <v>8</v>
      </c>
      <c r="X657" s="18">
        <f t="shared" si="229"/>
        <v>2025</v>
      </c>
      <c r="Y657" s="2">
        <f t="shared" si="222"/>
        <v>0.7283929332638972</v>
      </c>
      <c r="Z657" t="str">
        <f t="shared" si="223"/>
        <v>SO17386</v>
      </c>
      <c r="AA657" s="11">
        <f t="shared" si="230"/>
        <v>45831.734212962961</v>
      </c>
      <c r="AB657" s="5" t="str">
        <f t="shared" si="231"/>
        <v>INV13128</v>
      </c>
      <c r="AC657" s="5" t="str">
        <f>IFERROR(VLOOKUP(D657,CAARStatus!$A$2:$AA$1600,22,FALSE),"Not invoiced")</f>
        <v>Paid</v>
      </c>
      <c r="AD657" s="11">
        <f>IF(AC657="Paid",IFERROR(VLOOKUP(D657,CAARStatus!$A$2:$AA$1600,6,FALSE),"Pending"),"Pending")</f>
        <v>45888</v>
      </c>
      <c r="AE657" s="5" t="str">
        <f t="shared" si="232"/>
        <v>4512028738</v>
      </c>
      <c r="AF657" s="5" t="str">
        <f t="shared" si="233"/>
        <v>PT Vale Indonesia Tbk.</v>
      </c>
      <c r="AG657" s="5" t="str">
        <f t="shared" si="234"/>
        <v>USD</v>
      </c>
      <c r="AH657" s="5">
        <f t="shared" si="235"/>
        <v>270.84282533604056</v>
      </c>
      <c r="AI657" s="12">
        <f>IF(L657-N657=0,VLOOKUP(U657,rate!A$4:B$15,2,FALSE)*AH657,IF(AG657="USD",O657,AH657*Y657))</f>
        <v>197.28</v>
      </c>
      <c r="AJ657" s="13">
        <f t="shared" si="236"/>
        <v>0.72839293326389731</v>
      </c>
      <c r="AK657" s="13">
        <f>-IF(AG657="CAD",IFERROR(VLOOKUP(D657,CAARStatus!$A$1:$Y$1600,16,FALSE),0),0)</f>
        <v>0</v>
      </c>
      <c r="AL657" s="13">
        <f>-IF(AG657="USD",IFERROR(VLOOKUP(D657,CAARStatus!$A$1:$Y$1600,11,FALSE),0),0)</f>
        <v>-197.28</v>
      </c>
      <c r="AM657" s="22" t="str">
        <f t="shared" si="237"/>
        <v/>
      </c>
      <c r="AN657" s="12">
        <f t="shared" si="238"/>
        <v>0</v>
      </c>
      <c r="AO657" s="12" t="str">
        <f t="shared" si="239"/>
        <v>Yes</v>
      </c>
      <c r="AP657" t="str">
        <f t="shared" si="224"/>
        <v>Yes</v>
      </c>
      <c r="AQ657" t="str">
        <f>IFERROR(VLOOKUP(Z657,InvBal!$L$4:$P$600,4,FALSE),"Pend")</f>
        <v>Pend</v>
      </c>
      <c r="AR657" t="str">
        <f>IFERROR(VLOOKUP(D657,Manual!$C$1:$E$22,2,FALSE),"Pend")</f>
        <v>Pend</v>
      </c>
      <c r="AS657" t="str">
        <f t="shared" si="240"/>
        <v>Yes</v>
      </c>
      <c r="AT657" t="str">
        <f t="shared" si="241"/>
        <v>Yes</v>
      </c>
      <c r="AU657" s="51" t="str">
        <f t="shared" si="242"/>
        <v>Yes</v>
      </c>
      <c r="AV657" s="12">
        <f>IFERROR(VLOOKUP(D657,'Receivable Invoice Detail'!$S$1:$U$3014,3,FALSE),0)</f>
        <v>0</v>
      </c>
      <c r="AW657" s="12">
        <f t="shared" si="243"/>
        <v>197.28</v>
      </c>
    </row>
    <row r="658" spans="1:49" x14ac:dyDescent="0.25">
      <c r="A658" s="2">
        <v>1</v>
      </c>
      <c r="B658" s="2" t="s">
        <v>1106</v>
      </c>
      <c r="C658" s="2" t="s">
        <v>1107</v>
      </c>
      <c r="D658" s="2" t="s">
        <v>2936</v>
      </c>
      <c r="E658" s="2" t="s">
        <v>465</v>
      </c>
      <c r="F658" s="3">
        <v>45832.395648148151</v>
      </c>
      <c r="G658" s="3">
        <v>45846.330868055556</v>
      </c>
      <c r="H658" s="4">
        <v>45846</v>
      </c>
      <c r="I658" s="2" t="s">
        <v>21</v>
      </c>
      <c r="J658" s="2" t="s">
        <v>22</v>
      </c>
      <c r="K658" s="2">
        <v>1</v>
      </c>
      <c r="L658" s="2">
        <v>2569.87</v>
      </c>
      <c r="M658" s="2">
        <v>2569.87</v>
      </c>
      <c r="N658" s="2">
        <v>2569.87</v>
      </c>
      <c r="O658" s="2">
        <v>2274.2199999999998</v>
      </c>
      <c r="P658" s="2">
        <v>295.64999999999998</v>
      </c>
      <c r="Q658" s="2">
        <v>2569.87</v>
      </c>
      <c r="R658" s="2" t="s">
        <v>44</v>
      </c>
      <c r="S658" s="2"/>
      <c r="T658" s="2">
        <f t="shared" si="225"/>
        <v>1</v>
      </c>
      <c r="U658" s="18">
        <f t="shared" si="226"/>
        <v>6</v>
      </c>
      <c r="V658" s="18">
        <f t="shared" si="227"/>
        <v>2025</v>
      </c>
      <c r="W658" s="18">
        <f t="shared" si="228"/>
        <v>12</v>
      </c>
      <c r="X658" s="18">
        <f t="shared" si="229"/>
        <v>2025</v>
      </c>
      <c r="Y658" s="2">
        <f t="shared" si="222"/>
        <v>1</v>
      </c>
      <c r="Z658" t="str">
        <f t="shared" si="223"/>
        <v>SO17388</v>
      </c>
      <c r="AA658" s="11">
        <f t="shared" si="230"/>
        <v>45832.395648148151</v>
      </c>
      <c r="AB658" s="5" t="str">
        <f t="shared" si="231"/>
        <v>INV13497</v>
      </c>
      <c r="AC658" s="5" t="str">
        <f>IFERROR(VLOOKUP(D658,CAARStatus!$A$2:$AA$1600,22,FALSE),"Not invoiced")</f>
        <v>Paid</v>
      </c>
      <c r="AD658" s="11">
        <f>IF(AC658="Paid",IFERROR(VLOOKUP(D658,CAARStatus!$A$2:$AA$1600,6,FALSE),"Pending"),"Pending")</f>
        <v>45995</v>
      </c>
      <c r="AE658" s="5" t="str">
        <f t="shared" si="232"/>
        <v>PO#  M-083882</v>
      </c>
      <c r="AF658" s="5" t="str">
        <f t="shared" si="233"/>
        <v>Grant Aggregate</v>
      </c>
      <c r="AG658" s="5" t="str">
        <f t="shared" si="234"/>
        <v>CAD</v>
      </c>
      <c r="AH658" s="5">
        <f t="shared" si="235"/>
        <v>2274.2199999999998</v>
      </c>
      <c r="AI658" s="12">
        <f>IF(L658-N658=0,VLOOKUP(U658,rate!A$4:B$15,2,FALSE)*AH658,IF(AG658="USD",O658,AH658*Y658))</f>
        <v>1661.0422290258998</v>
      </c>
      <c r="AJ658" s="13">
        <f t="shared" si="236"/>
        <v>0.73037886793093898</v>
      </c>
      <c r="AK658" s="13">
        <f>-IF(AG658="CAD",IFERROR(VLOOKUP(D658,CAARStatus!$A$1:$Y$1600,16,FALSE),0),0)</f>
        <v>-2274.2199999999998</v>
      </c>
      <c r="AL658" s="13">
        <f>-IF(AG658="USD",IFERROR(VLOOKUP(D658,CAARStatus!$A$1:$Y$1600,11,FALSE),0),0)</f>
        <v>0</v>
      </c>
      <c r="AM658" s="22">
        <f t="shared" si="237"/>
        <v>0</v>
      </c>
      <c r="AN658" s="12" t="str">
        <f t="shared" si="238"/>
        <v/>
      </c>
      <c r="AO658" s="12" t="str">
        <f t="shared" si="239"/>
        <v>Yes</v>
      </c>
      <c r="AP658" t="str">
        <f t="shared" si="224"/>
        <v>Yes</v>
      </c>
      <c r="AQ658" t="str">
        <f>IFERROR(VLOOKUP(Z658,InvBal!$L$4:$P$600,4,FALSE),"Pend")</f>
        <v>Pend</v>
      </c>
      <c r="AR658" t="str">
        <f>IFERROR(VLOOKUP(D658,Manual!$C$1:$E$22,2,FALSE),"Pend")</f>
        <v>Pend</v>
      </c>
      <c r="AS658" t="str">
        <f t="shared" si="240"/>
        <v>Yes</v>
      </c>
      <c r="AT658" t="str">
        <f t="shared" si="241"/>
        <v>Yes</v>
      </c>
      <c r="AU658" s="51" t="str">
        <f t="shared" si="242"/>
        <v>Yes</v>
      </c>
      <c r="AV658" s="12">
        <f>IFERROR(VLOOKUP(D658,'Receivable Invoice Detail'!$S$1:$U$3014,3,FALSE),0)</f>
        <v>0</v>
      </c>
      <c r="AW658" s="12">
        <f t="shared" si="243"/>
        <v>1661.0422290258998</v>
      </c>
    </row>
    <row r="659" spans="1:49" ht="30" x14ac:dyDescent="0.25">
      <c r="A659" s="2">
        <v>1</v>
      </c>
      <c r="B659" s="2" t="s">
        <v>1098</v>
      </c>
      <c r="C659" s="2" t="s">
        <v>1099</v>
      </c>
      <c r="D659" s="2" t="s">
        <v>2940</v>
      </c>
      <c r="E659" s="2" t="s">
        <v>1100</v>
      </c>
      <c r="F659" s="3">
        <v>45832.421030092592</v>
      </c>
      <c r="G659" s="3">
        <v>45846.519120370373</v>
      </c>
      <c r="H659" s="4">
        <v>45847</v>
      </c>
      <c r="I659" s="2" t="s">
        <v>21</v>
      </c>
      <c r="J659" s="2" t="s">
        <v>51</v>
      </c>
      <c r="K659" s="2">
        <v>0.73511294228208912</v>
      </c>
      <c r="L659" s="2">
        <v>15199.17465378059</v>
      </c>
      <c r="M659" s="2">
        <v>0</v>
      </c>
      <c r="N659" s="2">
        <v>11173.11</v>
      </c>
      <c r="O659" s="2">
        <v>11173.11</v>
      </c>
      <c r="P659" s="2"/>
      <c r="Q659" s="2">
        <v>11173.11</v>
      </c>
      <c r="R659" s="2" t="s">
        <v>44</v>
      </c>
      <c r="S659" s="2"/>
      <c r="T659" s="2">
        <f t="shared" si="225"/>
        <v>1</v>
      </c>
      <c r="U659" s="18">
        <f t="shared" si="226"/>
        <v>6</v>
      </c>
      <c r="V659" s="18">
        <f t="shared" si="227"/>
        <v>2025</v>
      </c>
      <c r="W659" s="18">
        <f t="shared" si="228"/>
        <v>8</v>
      </c>
      <c r="X659" s="18">
        <f t="shared" si="229"/>
        <v>2025</v>
      </c>
      <c r="Y659" s="2">
        <f t="shared" si="222"/>
        <v>0.73511294228208901</v>
      </c>
      <c r="Z659" t="str">
        <f t="shared" si="223"/>
        <v>SO17389</v>
      </c>
      <c r="AA659" s="11">
        <f t="shared" si="230"/>
        <v>45832.421030092592</v>
      </c>
      <c r="AB659" s="5" t="str">
        <f t="shared" si="231"/>
        <v>INV13155</v>
      </c>
      <c r="AC659" s="5" t="str">
        <f>IFERROR(VLOOKUP(D659,CAARStatus!$A$2:$AA$1600,22,FALSE),"Not invoiced")</f>
        <v>Paid</v>
      </c>
      <c r="AD659" s="11">
        <f>IF(AC659="Paid",IFERROR(VLOOKUP(D659,CAARStatus!$A$2:$AA$1600,6,FALSE),"Pending"),"Pending")</f>
        <v>45877</v>
      </c>
      <c r="AE659" s="5" t="str">
        <f t="shared" si="232"/>
        <v>SC02-00230914</v>
      </c>
      <c r="AF659" s="5" t="str">
        <f t="shared" si="233"/>
        <v>Motion Industries Inc. (U.S.) - Greer</v>
      </c>
      <c r="AG659" s="5" t="str">
        <f t="shared" si="234"/>
        <v>USD</v>
      </c>
      <c r="AH659" s="5">
        <f t="shared" si="235"/>
        <v>15199.174653780587</v>
      </c>
      <c r="AI659" s="12">
        <f>IF(L659-N659=0,VLOOKUP(U659,rate!A$4:B$15,2,FALSE)*AH659,IF(AG659="USD",O659,AH659*Y659))</f>
        <v>11173.11</v>
      </c>
      <c r="AJ659" s="13">
        <f t="shared" si="236"/>
        <v>0.73511294228208912</v>
      </c>
      <c r="AK659" s="13">
        <f>-IF(AG659="CAD",IFERROR(VLOOKUP(D659,CAARStatus!$A$1:$Y$1600,16,FALSE),0),0)</f>
        <v>0</v>
      </c>
      <c r="AL659" s="13">
        <f>-IF(AG659="USD",IFERROR(VLOOKUP(D659,CAARStatus!$A$1:$Y$1600,11,FALSE),0),0)</f>
        <v>-11173.11</v>
      </c>
      <c r="AM659" s="22" t="str">
        <f t="shared" si="237"/>
        <v/>
      </c>
      <c r="AN659" s="12">
        <f t="shared" si="238"/>
        <v>0</v>
      </c>
      <c r="AO659" s="12" t="str">
        <f t="shared" si="239"/>
        <v>Yes</v>
      </c>
      <c r="AP659" t="str">
        <f t="shared" si="224"/>
        <v>Yes</v>
      </c>
      <c r="AQ659" t="str">
        <f>IFERROR(VLOOKUP(Z659,InvBal!$L$4:$P$600,4,FALSE),"Pend")</f>
        <v>Pend</v>
      </c>
      <c r="AR659" t="str">
        <f>IFERROR(VLOOKUP(D659,Manual!$C$1:$E$22,2,FALSE),"Pend")</f>
        <v>Pend</v>
      </c>
      <c r="AS659" t="str">
        <f t="shared" si="240"/>
        <v>Yes</v>
      </c>
      <c r="AT659" t="str">
        <f t="shared" si="241"/>
        <v>Yes</v>
      </c>
      <c r="AU659" s="51" t="str">
        <f t="shared" si="242"/>
        <v>Yes</v>
      </c>
      <c r="AV659" s="12">
        <f>IFERROR(VLOOKUP(D659,'Receivable Invoice Detail'!$S$1:$U$3014,3,FALSE),0)</f>
        <v>0</v>
      </c>
      <c r="AW659" s="12">
        <f t="shared" si="243"/>
        <v>11173.11</v>
      </c>
    </row>
    <row r="660" spans="1:49" x14ac:dyDescent="0.25">
      <c r="A660" s="2">
        <v>1</v>
      </c>
      <c r="B660" s="2" t="s">
        <v>1151</v>
      </c>
      <c r="C660" s="2" t="s">
        <v>1152</v>
      </c>
      <c r="D660" s="2" t="s">
        <v>2907</v>
      </c>
      <c r="E660" s="2" t="s">
        <v>141</v>
      </c>
      <c r="F660" s="3">
        <v>45832.425127314818</v>
      </c>
      <c r="G660" s="3">
        <v>45832.425127314818</v>
      </c>
      <c r="H660" s="2"/>
      <c r="I660" s="2" t="s">
        <v>40</v>
      </c>
      <c r="J660" s="2" t="s">
        <v>51</v>
      </c>
      <c r="K660" s="2">
        <v>0.72613222714084014</v>
      </c>
      <c r="L660" s="2">
        <v>2304.800609924439</v>
      </c>
      <c r="M660" s="2">
        <v>0</v>
      </c>
      <c r="N660" s="2">
        <v>1673.59</v>
      </c>
      <c r="O660" s="2">
        <v>1673.59</v>
      </c>
      <c r="P660" s="2"/>
      <c r="Q660" s="2">
        <v>1673.59</v>
      </c>
      <c r="R660" s="2" t="s">
        <v>44</v>
      </c>
      <c r="S660" s="2"/>
      <c r="T660" s="2">
        <f t="shared" si="225"/>
        <v>1</v>
      </c>
      <c r="U660" s="18">
        <f t="shared" si="226"/>
        <v>6</v>
      </c>
      <c r="V660" s="18">
        <f t="shared" si="227"/>
        <v>2025</v>
      </c>
      <c r="W660" s="18">
        <f t="shared" si="228"/>
        <v>9</v>
      </c>
      <c r="X660" s="18">
        <f t="shared" si="229"/>
        <v>2025</v>
      </c>
      <c r="Y660" s="2">
        <f t="shared" si="222"/>
        <v>0.72613222714084025</v>
      </c>
      <c r="Z660" t="str">
        <f t="shared" si="223"/>
        <v>SO17390</v>
      </c>
      <c r="AA660" s="11">
        <f t="shared" si="230"/>
        <v>45832.425127314818</v>
      </c>
      <c r="AB660" s="5" t="str">
        <f t="shared" si="231"/>
        <v>INV13177</v>
      </c>
      <c r="AC660" s="5" t="str">
        <f>IFERROR(VLOOKUP(D660,CAARStatus!$A$2:$AA$1600,22,FALSE),"Not invoiced")</f>
        <v>Paid</v>
      </c>
      <c r="AD660" s="11">
        <f>IF(AC660="Paid",IFERROR(VLOOKUP(D660,CAARStatus!$A$2:$AA$1600,6,FALSE),"Pending"),"Pending")</f>
        <v>45908</v>
      </c>
      <c r="AE660" s="5" t="str">
        <f t="shared" si="232"/>
        <v>4512036945</v>
      </c>
      <c r="AF660" s="5" t="str">
        <f t="shared" si="233"/>
        <v>PT Vale Indonesia Tbk.</v>
      </c>
      <c r="AG660" s="5" t="str">
        <f t="shared" si="234"/>
        <v>USD</v>
      </c>
      <c r="AH660" s="5">
        <f t="shared" si="235"/>
        <v>2304.8006099244394</v>
      </c>
      <c r="AI660" s="12">
        <f>IF(L660-N660=0,VLOOKUP(U660,rate!A$4:B$15,2,FALSE)*AH660,IF(AG660="USD",O660,AH660*Y660))</f>
        <v>1673.59</v>
      </c>
      <c r="AJ660" s="13">
        <f t="shared" si="236"/>
        <v>0.72613222714084014</v>
      </c>
      <c r="AK660" s="13">
        <f>-IF(AG660="CAD",IFERROR(VLOOKUP(D660,CAARStatus!$A$1:$Y$1600,16,FALSE),0),0)</f>
        <v>0</v>
      </c>
      <c r="AL660" s="13">
        <f>-IF(AG660="USD",IFERROR(VLOOKUP(D660,CAARStatus!$A$1:$Y$1600,11,FALSE),0),0)</f>
        <v>-1673.59</v>
      </c>
      <c r="AM660" s="22" t="str">
        <f t="shared" si="237"/>
        <v/>
      </c>
      <c r="AN660" s="12">
        <f t="shared" si="238"/>
        <v>0</v>
      </c>
      <c r="AO660" s="12" t="str">
        <f t="shared" si="239"/>
        <v>Yes</v>
      </c>
      <c r="AP660" t="str">
        <f t="shared" si="224"/>
        <v>Yes</v>
      </c>
      <c r="AQ660" t="str">
        <f>IFERROR(VLOOKUP(Z660,InvBal!$L$4:$P$600,4,FALSE),"Pend")</f>
        <v>Pend</v>
      </c>
      <c r="AR660" t="str">
        <f>IFERROR(VLOOKUP(D660,Manual!$C$1:$E$22,2,FALSE),"Pend")</f>
        <v>Pend</v>
      </c>
      <c r="AS660" t="str">
        <f t="shared" si="240"/>
        <v>Yes</v>
      </c>
      <c r="AT660" t="str">
        <f t="shared" si="241"/>
        <v>Yes</v>
      </c>
      <c r="AU660" s="51" t="str">
        <f t="shared" si="242"/>
        <v>Yes</v>
      </c>
      <c r="AV660" s="12">
        <f>IFERROR(VLOOKUP(D660,'Receivable Invoice Detail'!$S$1:$U$3014,3,FALSE),0)</f>
        <v>0</v>
      </c>
      <c r="AW660" s="12">
        <f t="shared" si="243"/>
        <v>1673.59</v>
      </c>
    </row>
    <row r="661" spans="1:49" x14ac:dyDescent="0.25">
      <c r="A661" s="2">
        <v>2</v>
      </c>
      <c r="B661" s="2" t="s">
        <v>1149</v>
      </c>
      <c r="C661" s="2" t="s">
        <v>1150</v>
      </c>
      <c r="D661" s="2" t="s">
        <v>2909</v>
      </c>
      <c r="E661" s="2" t="s">
        <v>141</v>
      </c>
      <c r="F661" s="3">
        <v>45832.450497685182</v>
      </c>
      <c r="G661" s="3">
        <v>45832.450497685182</v>
      </c>
      <c r="H661" s="2"/>
      <c r="I661" s="2" t="s">
        <v>40</v>
      </c>
      <c r="J661" s="2" t="s">
        <v>51</v>
      </c>
      <c r="K661" s="2">
        <v>0.72613222714084014</v>
      </c>
      <c r="L661" s="2">
        <v>1404.0831158458541</v>
      </c>
      <c r="M661" s="2">
        <v>0</v>
      </c>
      <c r="N661" s="2">
        <v>1019.55</v>
      </c>
      <c r="O661" s="2">
        <v>1019.55</v>
      </c>
      <c r="P661" s="2"/>
      <c r="Q661" s="2">
        <v>1019.55</v>
      </c>
      <c r="R661" s="2" t="s">
        <v>44</v>
      </c>
      <c r="S661" s="2"/>
      <c r="T661" s="2">
        <f t="shared" si="225"/>
        <v>2</v>
      </c>
      <c r="U661" s="18">
        <f t="shared" si="226"/>
        <v>6</v>
      </c>
      <c r="V661" s="18">
        <f t="shared" si="227"/>
        <v>2025</v>
      </c>
      <c r="W661" s="18">
        <f t="shared" si="228"/>
        <v>9</v>
      </c>
      <c r="X661" s="18">
        <f t="shared" si="229"/>
        <v>2025</v>
      </c>
      <c r="Y661" s="2">
        <f t="shared" si="222"/>
        <v>0.72613222714083991</v>
      </c>
      <c r="Z661" t="str">
        <f t="shared" si="223"/>
        <v>SO17391</v>
      </c>
      <c r="AA661" s="11">
        <f t="shared" si="230"/>
        <v>45832.450497685182</v>
      </c>
      <c r="AB661" s="5" t="str">
        <f t="shared" si="231"/>
        <v>INV13203</v>
      </c>
      <c r="AC661" s="5" t="str">
        <f>IFERROR(VLOOKUP(D661,CAARStatus!$A$2:$AA$1600,22,FALSE),"Not invoiced")</f>
        <v>Paid</v>
      </c>
      <c r="AD661" s="11">
        <f>IF(AC661="Paid",IFERROR(VLOOKUP(D661,CAARStatus!$A$2:$AA$1600,6,FALSE),"Pending"),"Pending")</f>
        <v>45908</v>
      </c>
      <c r="AE661" s="5" t="str">
        <f t="shared" si="232"/>
        <v>4512036946</v>
      </c>
      <c r="AF661" s="5" t="str">
        <f t="shared" si="233"/>
        <v>PT Vale Indonesia Tbk.</v>
      </c>
      <c r="AG661" s="5" t="str">
        <f t="shared" si="234"/>
        <v>USD</v>
      </c>
      <c r="AH661" s="5">
        <f t="shared" si="235"/>
        <v>1404.0831158458536</v>
      </c>
      <c r="AI661" s="12">
        <f>IF(L661-N661=0,VLOOKUP(U661,rate!A$4:B$15,2,FALSE)*AH661,IF(AG661="USD",O661,AH661*Y661))</f>
        <v>1019.55</v>
      </c>
      <c r="AJ661" s="13">
        <f t="shared" si="236"/>
        <v>0.72613222714084014</v>
      </c>
      <c r="AK661" s="13">
        <f>-IF(AG661="CAD",IFERROR(VLOOKUP(D661,CAARStatus!$A$1:$Y$1600,16,FALSE),0),0)</f>
        <v>0</v>
      </c>
      <c r="AL661" s="13">
        <f>-IF(AG661="USD",IFERROR(VLOOKUP(D661,CAARStatus!$A$1:$Y$1600,11,FALSE),0),0)</f>
        <v>-679.7</v>
      </c>
      <c r="AM661" s="22" t="str">
        <f t="shared" si="237"/>
        <v/>
      </c>
      <c r="AN661" s="12">
        <f t="shared" si="238"/>
        <v>339.84999999999991</v>
      </c>
      <c r="AO661" s="12" t="str">
        <f t="shared" si="239"/>
        <v>Yes</v>
      </c>
      <c r="AP661" t="str">
        <f t="shared" si="224"/>
        <v>XX</v>
      </c>
      <c r="AQ661" t="str">
        <f>IFERROR(VLOOKUP(Z661,InvBal!$L$4:$P$600,4,FALSE),"Pend")</f>
        <v>Yes</v>
      </c>
      <c r="AR661" t="str">
        <f>IFERROR(VLOOKUP(D661,Manual!$C$1:$E$22,2,FALSE),"Pend")</f>
        <v>Pend</v>
      </c>
      <c r="AS661" t="str">
        <f t="shared" si="240"/>
        <v>Yes</v>
      </c>
      <c r="AT661" t="str">
        <f t="shared" si="241"/>
        <v>Yes</v>
      </c>
      <c r="AU661" s="51" t="str">
        <f t="shared" si="242"/>
        <v>Yes</v>
      </c>
      <c r="AV661" s="12">
        <f>IFERROR(VLOOKUP(D661,'Receivable Invoice Detail'!$S$1:$U$3014,3,FALSE),0)</f>
        <v>0</v>
      </c>
      <c r="AW661" s="12">
        <f t="shared" si="243"/>
        <v>1019.55</v>
      </c>
    </row>
    <row r="662" spans="1:49" x14ac:dyDescent="0.25">
      <c r="A662" s="2"/>
      <c r="B662" s="2"/>
      <c r="C662" s="2"/>
      <c r="D662" s="2" t="s">
        <v>2908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f t="shared" si="225"/>
        <v>2</v>
      </c>
      <c r="U662" s="18">
        <f t="shared" si="226"/>
        <v>6</v>
      </c>
      <c r="V662" s="18">
        <f t="shared" si="227"/>
        <v>2025</v>
      </c>
      <c r="W662" s="18">
        <f t="shared" si="228"/>
        <v>9</v>
      </c>
      <c r="X662" s="18">
        <f t="shared" si="229"/>
        <v>2025</v>
      </c>
      <c r="Y662" s="2">
        <f t="shared" si="222"/>
        <v>0.72613222714083991</v>
      </c>
      <c r="Z662" t="str">
        <f t="shared" si="223"/>
        <v>SO17391</v>
      </c>
      <c r="AA662" s="11">
        <f t="shared" si="230"/>
        <v>45832.450497685182</v>
      </c>
      <c r="AB662" s="5" t="str">
        <f t="shared" si="231"/>
        <v>INV13136</v>
      </c>
      <c r="AC662" s="5" t="str">
        <f>IFERROR(VLOOKUP(D662,CAARStatus!$A$2:$AA$1600,22,FALSE),"Not invoiced")</f>
        <v>Paid</v>
      </c>
      <c r="AD662" s="11">
        <f>IF(AC662="Paid",IFERROR(VLOOKUP(D662,CAARStatus!$A$2:$AA$1600,6,FALSE),"Pending"),"Pending")</f>
        <v>45902</v>
      </c>
      <c r="AE662" s="5" t="str">
        <f t="shared" si="232"/>
        <v>4512036946</v>
      </c>
      <c r="AF662" s="5" t="str">
        <f t="shared" si="233"/>
        <v>PT Vale Indonesia Tbk.</v>
      </c>
      <c r="AG662" s="5" t="str">
        <f t="shared" si="234"/>
        <v>USD</v>
      </c>
      <c r="AH662" s="5">
        <f t="shared" si="235"/>
        <v>0</v>
      </c>
      <c r="AI662" s="12">
        <f>IF(L662-N662=0,VLOOKUP(U662,rate!A$4:B$15,2,FALSE)*AH662,IF(AG662="USD",O662,AH662*Y662))</f>
        <v>0</v>
      </c>
      <c r="AJ662" s="13">
        <f t="shared" si="236"/>
        <v>0</v>
      </c>
      <c r="AK662" s="13">
        <f>-IF(AG662="CAD",IFERROR(VLOOKUP(D662,CAARStatus!$A$1:$Y$1600,16,FALSE),0),0)</f>
        <v>0</v>
      </c>
      <c r="AL662" s="13">
        <f>-IF(AG662="USD",IFERROR(VLOOKUP(D662,CAARStatus!$A$1:$Y$1600,11,FALSE),0),0)</f>
        <v>-339.85</v>
      </c>
      <c r="AM662" s="22" t="str">
        <f t="shared" si="237"/>
        <v/>
      </c>
      <c r="AN662" s="12">
        <f t="shared" si="238"/>
        <v>-339.85</v>
      </c>
      <c r="AO662" s="12" t="str">
        <f t="shared" si="239"/>
        <v>Yes</v>
      </c>
      <c r="AP662" t="str">
        <f t="shared" si="224"/>
        <v>XX</v>
      </c>
      <c r="AQ662" t="str">
        <f>IFERROR(VLOOKUP(Z662,InvBal!$L$4:$P$600,4,FALSE),"Pend")</f>
        <v>Yes</v>
      </c>
      <c r="AR662" t="str">
        <f>IFERROR(VLOOKUP(D662,Manual!$C$1:$E$22,2,FALSE),"Pend")</f>
        <v>Pend</v>
      </c>
      <c r="AS662" t="str">
        <f t="shared" si="240"/>
        <v>Yes</v>
      </c>
      <c r="AT662" t="str">
        <f t="shared" si="241"/>
        <v/>
      </c>
      <c r="AU662" s="51" t="str">
        <f t="shared" si="242"/>
        <v/>
      </c>
      <c r="AV662" s="12">
        <f>IFERROR(VLOOKUP(D662,'Receivable Invoice Detail'!$S$1:$U$3014,3,FALSE),0)</f>
        <v>0</v>
      </c>
      <c r="AW662" s="12">
        <f t="shared" si="243"/>
        <v>0</v>
      </c>
    </row>
    <row r="663" spans="1:49" x14ac:dyDescent="0.25">
      <c r="A663" s="2">
        <v>1</v>
      </c>
      <c r="B663" s="2" t="s">
        <v>1069</v>
      </c>
      <c r="C663" s="2" t="s">
        <v>1070</v>
      </c>
      <c r="D663" s="2" t="s">
        <v>2958</v>
      </c>
      <c r="E663" s="2" t="s">
        <v>54</v>
      </c>
      <c r="F663" s="3">
        <v>45833.33048611111</v>
      </c>
      <c r="G663" s="3">
        <v>45848.693668981483</v>
      </c>
      <c r="H663" s="4">
        <v>45849</v>
      </c>
      <c r="I663" s="2" t="s">
        <v>21</v>
      </c>
      <c r="J663" s="2" t="s">
        <v>22</v>
      </c>
      <c r="K663" s="2">
        <v>1</v>
      </c>
      <c r="L663" s="2">
        <v>3155.25</v>
      </c>
      <c r="M663" s="2">
        <v>3155.25</v>
      </c>
      <c r="N663" s="2">
        <v>3155.25</v>
      </c>
      <c r="O663" s="2">
        <v>3005</v>
      </c>
      <c r="P663" s="2">
        <v>150.25</v>
      </c>
      <c r="Q663" s="2">
        <v>3155.25</v>
      </c>
      <c r="R663" s="2" t="s">
        <v>44</v>
      </c>
      <c r="S663" s="2"/>
      <c r="T663" s="2">
        <f t="shared" si="225"/>
        <v>1</v>
      </c>
      <c r="U663" s="18">
        <f t="shared" si="226"/>
        <v>6</v>
      </c>
      <c r="V663" s="18">
        <f t="shared" si="227"/>
        <v>2025</v>
      </c>
      <c r="W663" s="18">
        <f t="shared" si="228"/>
        <v>8</v>
      </c>
      <c r="X663" s="18">
        <f t="shared" si="229"/>
        <v>2025</v>
      </c>
      <c r="Y663" s="2">
        <f t="shared" si="222"/>
        <v>1</v>
      </c>
      <c r="Z663" t="str">
        <f t="shared" si="223"/>
        <v>SO17395</v>
      </c>
      <c r="AA663" s="11">
        <f t="shared" si="230"/>
        <v>45833.33048611111</v>
      </c>
      <c r="AB663" s="5" t="str">
        <f t="shared" si="231"/>
        <v>INV13172</v>
      </c>
      <c r="AC663" s="5" t="str">
        <f>IFERROR(VLOOKUP(D663,CAARStatus!$A$2:$AA$1600,22,FALSE),"Not invoiced")</f>
        <v>Paid</v>
      </c>
      <c r="AD663" s="11">
        <f>IF(AC663="Paid",IFERROR(VLOOKUP(D663,CAARStatus!$A$2:$AA$1600,6,FALSE),"Pending"),"Pending")</f>
        <v>45881</v>
      </c>
      <c r="AE663" s="5" t="str">
        <f t="shared" si="232"/>
        <v>3233</v>
      </c>
      <c r="AF663" s="5" t="str">
        <f t="shared" si="233"/>
        <v>Les Pompes du St-Laurent Inc.</v>
      </c>
      <c r="AG663" s="5" t="str">
        <f t="shared" si="234"/>
        <v>CAD</v>
      </c>
      <c r="AH663" s="5">
        <f t="shared" si="235"/>
        <v>3005</v>
      </c>
      <c r="AI663" s="12">
        <f>IF(L663-N663=0,VLOOKUP(U663,rate!A$4:B$15,2,FALSE)*AH663,IF(AG663="USD",O663,AH663*Y663))</f>
        <v>2194.7884981324714</v>
      </c>
      <c r="AJ663" s="13">
        <f t="shared" si="236"/>
        <v>0.73037886793093887</v>
      </c>
      <c r="AK663" s="13">
        <f>-IF(AG663="CAD",IFERROR(VLOOKUP(D663,CAARStatus!$A$1:$Y$1600,16,FALSE),0),0)</f>
        <v>-3005</v>
      </c>
      <c r="AL663" s="13">
        <f>-IF(AG663="USD",IFERROR(VLOOKUP(D663,CAARStatus!$A$1:$Y$1600,11,FALSE),0),0)</f>
        <v>0</v>
      </c>
      <c r="AM663" s="22">
        <f t="shared" si="237"/>
        <v>0</v>
      </c>
      <c r="AN663" s="12" t="str">
        <f t="shared" si="238"/>
        <v/>
      </c>
      <c r="AO663" s="12" t="str">
        <f t="shared" si="239"/>
        <v>Yes</v>
      </c>
      <c r="AP663" t="str">
        <f t="shared" si="224"/>
        <v>Yes</v>
      </c>
      <c r="AQ663" t="str">
        <f>IFERROR(VLOOKUP(Z663,InvBal!$L$4:$P$600,4,FALSE),"Pend")</f>
        <v>Pend</v>
      </c>
      <c r="AR663" t="str">
        <f>IFERROR(VLOOKUP(D663,Manual!$C$1:$E$22,2,FALSE),"Pend")</f>
        <v>Pend</v>
      </c>
      <c r="AS663" t="str">
        <f t="shared" si="240"/>
        <v>Yes</v>
      </c>
      <c r="AT663" t="str">
        <f t="shared" si="241"/>
        <v>Yes</v>
      </c>
      <c r="AU663" s="51" t="str">
        <f t="shared" si="242"/>
        <v>Yes</v>
      </c>
      <c r="AV663" s="12">
        <f>IFERROR(VLOOKUP(D663,'Receivable Invoice Detail'!$S$1:$U$3014,3,FALSE),0)</f>
        <v>0</v>
      </c>
      <c r="AW663" s="12">
        <f t="shared" si="243"/>
        <v>2194.7884981324714</v>
      </c>
    </row>
    <row r="664" spans="1:49" x14ac:dyDescent="0.25">
      <c r="A664" s="2">
        <v>1</v>
      </c>
      <c r="B664" s="2" t="s">
        <v>1147</v>
      </c>
      <c r="C664" s="2" t="s">
        <v>1148</v>
      </c>
      <c r="D664" s="2" t="s">
        <v>2910</v>
      </c>
      <c r="E664" s="2" t="s">
        <v>248</v>
      </c>
      <c r="F664" s="3">
        <v>45833.354189814818</v>
      </c>
      <c r="G664" s="3">
        <v>45833.354189814818</v>
      </c>
      <c r="H664" s="2"/>
      <c r="I664" s="2" t="s">
        <v>21</v>
      </c>
      <c r="J664" s="2" t="s">
        <v>22</v>
      </c>
      <c r="K664" s="2">
        <v>1</v>
      </c>
      <c r="L664" s="2">
        <v>1397.41</v>
      </c>
      <c r="M664" s="2">
        <v>1397.41</v>
      </c>
      <c r="N664" s="2">
        <v>1397.41</v>
      </c>
      <c r="O664" s="2">
        <v>1225.8</v>
      </c>
      <c r="P664" s="2">
        <v>171.61</v>
      </c>
      <c r="Q664" s="2">
        <v>1397.41</v>
      </c>
      <c r="R664" s="2" t="s">
        <v>44</v>
      </c>
      <c r="S664" s="2"/>
      <c r="T664" s="2">
        <f t="shared" si="225"/>
        <v>1</v>
      </c>
      <c r="U664" s="18">
        <f t="shared" si="226"/>
        <v>6</v>
      </c>
      <c r="V664" s="18">
        <f t="shared" si="227"/>
        <v>2025</v>
      </c>
      <c r="W664" s="18">
        <f t="shared" si="228"/>
        <v>8</v>
      </c>
      <c r="X664" s="18">
        <f t="shared" si="229"/>
        <v>2025</v>
      </c>
      <c r="Y664" s="2">
        <f t="shared" si="222"/>
        <v>1</v>
      </c>
      <c r="Z664" t="str">
        <f t="shared" si="223"/>
        <v>SO17396</v>
      </c>
      <c r="AA664" s="11">
        <f t="shared" si="230"/>
        <v>45833.354189814818</v>
      </c>
      <c r="AB664" s="5" t="str">
        <f t="shared" si="231"/>
        <v>INV13180</v>
      </c>
      <c r="AC664" s="5" t="str">
        <f>IFERROR(VLOOKUP(D664,CAARStatus!$A$2:$AA$1600,22,FALSE),"Not invoiced")</f>
        <v>Paid</v>
      </c>
      <c r="AD664" s="11">
        <f>IF(AC664="Paid",IFERROR(VLOOKUP(D664,CAARStatus!$A$2:$AA$1600,6,FALSE),"Pending"),"Pending")</f>
        <v>45887</v>
      </c>
      <c r="AE664" s="5" t="str">
        <f t="shared" si="232"/>
        <v>3030808</v>
      </c>
      <c r="AF664" s="5" t="str">
        <f t="shared" si="233"/>
        <v>Flowstar Industrial Inc</v>
      </c>
      <c r="AG664" s="5" t="str">
        <f t="shared" si="234"/>
        <v>CAD</v>
      </c>
      <c r="AH664" s="5">
        <f t="shared" si="235"/>
        <v>1225.8</v>
      </c>
      <c r="AI664" s="12">
        <f>IF(L664-N664=0,VLOOKUP(U664,rate!A$4:B$15,2,FALSE)*AH664,IF(AG664="USD",O664,AH664*Y664))</f>
        <v>895.29841630974499</v>
      </c>
      <c r="AJ664" s="13">
        <f t="shared" si="236"/>
        <v>0.73037886793093898</v>
      </c>
      <c r="AK664" s="61">
        <f>IF(AC664="Paid",-IF(AG664="CAD",IFERROR(VLOOKUP(D664,CAARStatus!$A$1:$Y$1600,16,FALSE),0),0),0)</f>
        <v>-1225.8</v>
      </c>
      <c r="AL664" s="61">
        <f>IF(AC664="Paid",-IF(AG664="USD",IFERROR(VLOOKUP(D664,CAARStatus!$A$1:$Y$1600,11,FALSE),0),0),0)</f>
        <v>0</v>
      </c>
      <c r="AM664" s="22">
        <f t="shared" si="237"/>
        <v>0</v>
      </c>
      <c r="AN664" s="12" t="str">
        <f t="shared" si="238"/>
        <v/>
      </c>
      <c r="AO664" s="12" t="str">
        <f t="shared" si="239"/>
        <v>Yes</v>
      </c>
      <c r="AP664" t="str">
        <f t="shared" si="224"/>
        <v>Yes</v>
      </c>
      <c r="AQ664" t="str">
        <f>IFERROR(VLOOKUP(Z664,InvBal!$L$4:$P$600,4,FALSE),"Pend")</f>
        <v>Pend</v>
      </c>
      <c r="AR664" t="str">
        <f>IFERROR(VLOOKUP(D664,Manual!$C$1:$E$22,2,FALSE),"Pend")</f>
        <v>Pend</v>
      </c>
      <c r="AS664" t="str">
        <f t="shared" si="240"/>
        <v>Yes</v>
      </c>
      <c r="AT664" t="str">
        <f t="shared" si="241"/>
        <v>Yes</v>
      </c>
      <c r="AU664" s="51" t="str">
        <f t="shared" si="242"/>
        <v>Yes</v>
      </c>
      <c r="AV664" s="12">
        <f>IFERROR(VLOOKUP(D664,'Receivable Invoice Detail'!$S$1:$U$3014,3,FALSE),0)</f>
        <v>0</v>
      </c>
      <c r="AW664" s="12">
        <f t="shared" si="243"/>
        <v>895.29841630974499</v>
      </c>
    </row>
    <row r="665" spans="1:49" ht="30" x14ac:dyDescent="0.25">
      <c r="A665" s="2">
        <v>3</v>
      </c>
      <c r="B665" s="2" t="s">
        <v>1140</v>
      </c>
      <c r="C665" s="2" t="s">
        <v>1141</v>
      </c>
      <c r="D665" s="2" t="s">
        <v>2915</v>
      </c>
      <c r="E665" s="2" t="s">
        <v>98</v>
      </c>
      <c r="F665" s="3">
        <v>45833.368472222217</v>
      </c>
      <c r="G665" s="3">
        <v>45834.556608796287</v>
      </c>
      <c r="H665" s="2"/>
      <c r="I665" s="2" t="s">
        <v>21</v>
      </c>
      <c r="J665" s="2" t="s">
        <v>22</v>
      </c>
      <c r="K665" s="2">
        <v>1</v>
      </c>
      <c r="L665" s="2">
        <v>876.41</v>
      </c>
      <c r="M665" s="2">
        <v>0</v>
      </c>
      <c r="N665" s="2">
        <v>642.94985614592417</v>
      </c>
      <c r="O665" s="2">
        <v>775.58</v>
      </c>
      <c r="P665" s="2">
        <v>100.83</v>
      </c>
      <c r="Q665" s="2">
        <v>876.41</v>
      </c>
      <c r="R665" s="2" t="s">
        <v>44</v>
      </c>
      <c r="S665" s="2"/>
      <c r="T665" s="2">
        <f t="shared" si="225"/>
        <v>3</v>
      </c>
      <c r="U665" s="18">
        <f t="shared" si="226"/>
        <v>6</v>
      </c>
      <c r="V665" s="18">
        <f t="shared" si="227"/>
        <v>2025</v>
      </c>
      <c r="W665" s="18">
        <f t="shared" si="228"/>
        <v>8</v>
      </c>
      <c r="X665" s="18">
        <f t="shared" si="229"/>
        <v>2025</v>
      </c>
      <c r="Y665" s="2">
        <f t="shared" si="222"/>
        <v>0.73361766313246557</v>
      </c>
      <c r="Z665" t="str">
        <f t="shared" si="223"/>
        <v>SO17397</v>
      </c>
      <c r="AA665" s="11">
        <f t="shared" si="230"/>
        <v>45833.368472222217</v>
      </c>
      <c r="AB665" s="5" t="str">
        <f t="shared" si="231"/>
        <v>INV13162</v>
      </c>
      <c r="AC665" s="5" t="str">
        <f>IFERROR(VLOOKUP(D665,CAARStatus!$A$2:$AA$1600,22,FALSE),"Not invoiced")</f>
        <v>Paid</v>
      </c>
      <c r="AD665" s="11">
        <f>IF(AC665="Paid",IFERROR(VLOOKUP(D665,CAARStatus!$A$2:$AA$1600,6,FALSE),"Pending"),"Pending")</f>
        <v>45875</v>
      </c>
      <c r="AE665" s="5" t="str">
        <f t="shared" si="232"/>
        <v>PO-008073</v>
      </c>
      <c r="AF665" s="5" t="str">
        <f t="shared" si="233"/>
        <v>Sling-Choker Manufacturing - Timmins</v>
      </c>
      <c r="AG665" s="5" t="str">
        <f t="shared" si="234"/>
        <v>CAD</v>
      </c>
      <c r="AH665" s="5">
        <f t="shared" si="235"/>
        <v>775.58</v>
      </c>
      <c r="AI665" s="12">
        <f>IF(L665-N665=0,VLOOKUP(U665,rate!A$4:B$15,2,FALSE)*AH665,IF(AG665="USD",O665,AH665*Y665))</f>
        <v>568.97918717227765</v>
      </c>
      <c r="AJ665" s="13">
        <f t="shared" si="236"/>
        <v>0.73361766313246557</v>
      </c>
      <c r="AK665" s="13">
        <f>-IF(AG665="CAD",IFERROR(VLOOKUP(D665,CAARStatus!$A$1:$Y$1600,16,FALSE),0),0)</f>
        <v>-224.77</v>
      </c>
      <c r="AL665" s="13">
        <f>-IF(AG665="USD",IFERROR(VLOOKUP(D665,CAARStatus!$A$1:$Y$1600,11,FALSE),0),0)</f>
        <v>0</v>
      </c>
      <c r="AM665" s="22">
        <f t="shared" si="237"/>
        <v>550.81000000000006</v>
      </c>
      <c r="AN665" s="12" t="str">
        <f t="shared" si="238"/>
        <v/>
      </c>
      <c r="AO665" s="12" t="str">
        <f t="shared" si="239"/>
        <v>Yes</v>
      </c>
      <c r="AP665" t="str">
        <f t="shared" si="224"/>
        <v>XX</v>
      </c>
      <c r="AQ665" t="str">
        <f>IFERROR(VLOOKUP(Z665,InvBal!$L$4:$P$600,4,FALSE),"Pend")</f>
        <v>Yes</v>
      </c>
      <c r="AR665" t="str">
        <f>IFERROR(VLOOKUP(D665,Manual!$C$1:$E$22,2,FALSE),"Pend")</f>
        <v>Pend</v>
      </c>
      <c r="AS665" t="str">
        <f t="shared" si="240"/>
        <v>Yes</v>
      </c>
      <c r="AT665" t="str">
        <f t="shared" si="241"/>
        <v>Yes</v>
      </c>
      <c r="AU665" s="51" t="str">
        <f t="shared" si="242"/>
        <v>Yes</v>
      </c>
      <c r="AV665" s="12">
        <f>IFERROR(VLOOKUP(D665,'Receivable Invoice Detail'!$S$1:$U$3014,3,FALSE),0)</f>
        <v>0</v>
      </c>
      <c r="AW665" s="12">
        <f t="shared" si="243"/>
        <v>568.97918717227765</v>
      </c>
    </row>
    <row r="666" spans="1:49" x14ac:dyDescent="0.25">
      <c r="A666" s="2"/>
      <c r="B666" s="2"/>
      <c r="C666" s="2"/>
      <c r="D666" s="2" t="s">
        <v>2914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>
        <f t="shared" si="225"/>
        <v>3</v>
      </c>
      <c r="U666" s="18">
        <f t="shared" si="226"/>
        <v>6</v>
      </c>
      <c r="V666" s="18">
        <f t="shared" si="227"/>
        <v>2025</v>
      </c>
      <c r="W666" s="18" t="str">
        <f t="shared" si="228"/>
        <v/>
      </c>
      <c r="X666" s="18" t="str">
        <f t="shared" si="229"/>
        <v/>
      </c>
      <c r="Y666" s="2">
        <f t="shared" si="222"/>
        <v>0.73361766313246557</v>
      </c>
      <c r="Z666" t="str">
        <f t="shared" si="223"/>
        <v>SO17397</v>
      </c>
      <c r="AA666" s="11">
        <f t="shared" si="230"/>
        <v>45833.368472222217</v>
      </c>
      <c r="AB666" s="5" t="str">
        <f t="shared" si="231"/>
        <v>(* 78441)</v>
      </c>
      <c r="AC666" s="5" t="str">
        <f>IFERROR(VLOOKUP(D666,CAARStatus!$A$2:$AA$1600,22,FALSE),"Not invoiced")</f>
        <v>Not invoiced</v>
      </c>
      <c r="AD666" s="11" t="str">
        <f>IF(AC666="Paid",IFERROR(VLOOKUP(D666,CAARStatus!$A$2:$AA$1600,6,FALSE),"Pending"),"Pending")</f>
        <v>Pending</v>
      </c>
      <c r="AE666" s="5" t="str">
        <f t="shared" si="232"/>
        <v>PO-008073</v>
      </c>
      <c r="AF666" s="5" t="str">
        <f t="shared" si="233"/>
        <v>Sling-Choker Manufacturing - Timmins</v>
      </c>
      <c r="AG666" s="5" t="str">
        <f t="shared" si="234"/>
        <v>CAD</v>
      </c>
      <c r="AH666" s="5">
        <f t="shared" si="235"/>
        <v>0</v>
      </c>
      <c r="AI666" s="12">
        <f>IF(L666-N666=0,VLOOKUP(U666,rate!A$4:B$15,2,FALSE)*AH666,IF(AG666="USD",O666,AH666*Y666))</f>
        <v>0</v>
      </c>
      <c r="AJ666" s="13">
        <f t="shared" si="236"/>
        <v>0</v>
      </c>
      <c r="AK666" s="13">
        <f>-IF(AG666="CAD",IFERROR(VLOOKUP(D666,CAARStatus!$A$1:$Y$1600,16,FALSE),0),0)</f>
        <v>0</v>
      </c>
      <c r="AL666" s="13">
        <f>-IF(AG666="USD",IFERROR(VLOOKUP(D666,CAARStatus!$A$1:$Y$1600,11,FALSE),0),0)</f>
        <v>0</v>
      </c>
      <c r="AM666" s="22">
        <f t="shared" si="237"/>
        <v>0</v>
      </c>
      <c r="AN666" s="12" t="str">
        <f t="shared" si="238"/>
        <v/>
      </c>
      <c r="AO666" s="12" t="str">
        <f t="shared" si="239"/>
        <v>Pend</v>
      </c>
      <c r="AP666" t="str">
        <f t="shared" si="224"/>
        <v>XX</v>
      </c>
      <c r="AQ666" t="str">
        <f>IFERROR(VLOOKUP(Z666,InvBal!$L$4:$P$600,4,FALSE),"Pend")</f>
        <v>Yes</v>
      </c>
      <c r="AR666" t="str">
        <f>IFERROR(VLOOKUP(D666,Manual!$C$1:$E$22,2,FALSE),"Pend")</f>
        <v>Pend</v>
      </c>
      <c r="AS666" t="str">
        <f t="shared" si="240"/>
        <v>Yes</v>
      </c>
      <c r="AT666" t="str">
        <f t="shared" si="241"/>
        <v/>
      </c>
      <c r="AU666" s="51" t="str">
        <f t="shared" si="242"/>
        <v/>
      </c>
      <c r="AV666" s="12">
        <f>IFERROR(VLOOKUP(D666,'Receivable Invoice Detail'!$S$1:$U$3014,3,FALSE),0)</f>
        <v>0</v>
      </c>
      <c r="AW666" s="12">
        <f t="shared" si="243"/>
        <v>0</v>
      </c>
    </row>
    <row r="667" spans="1:49" x14ac:dyDescent="0.25">
      <c r="A667" s="2"/>
      <c r="B667" s="2"/>
      <c r="C667" s="2"/>
      <c r="D667" s="2" t="s">
        <v>2913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f t="shared" si="225"/>
        <v>3</v>
      </c>
      <c r="U667" s="18">
        <f t="shared" si="226"/>
        <v>6</v>
      </c>
      <c r="V667" s="18">
        <f t="shared" si="227"/>
        <v>2025</v>
      </c>
      <c r="W667" s="18">
        <f t="shared" si="228"/>
        <v>8</v>
      </c>
      <c r="X667" s="18">
        <f t="shared" si="229"/>
        <v>2025</v>
      </c>
      <c r="Y667" s="2">
        <f t="shared" si="222"/>
        <v>0.73361766313246557</v>
      </c>
      <c r="Z667" t="str">
        <f t="shared" si="223"/>
        <v>SO17397</v>
      </c>
      <c r="AA667" s="11">
        <f t="shared" si="230"/>
        <v>45833.368472222217</v>
      </c>
      <c r="AB667" s="5" t="str">
        <f t="shared" si="231"/>
        <v>INV13231</v>
      </c>
      <c r="AC667" s="5" t="str">
        <f>IFERROR(VLOOKUP(D667,CAARStatus!$A$2:$AA$1600,22,FALSE),"Not invoiced")</f>
        <v>Paid</v>
      </c>
      <c r="AD667" s="11">
        <f>IF(AC667="Paid",IFERROR(VLOOKUP(D667,CAARStatus!$A$2:$AA$1600,6,FALSE),"Pending"),"Pending")</f>
        <v>45875</v>
      </c>
      <c r="AE667" s="5" t="str">
        <f t="shared" si="232"/>
        <v>PO-008073</v>
      </c>
      <c r="AF667" s="5" t="str">
        <f t="shared" si="233"/>
        <v>Sling-Choker Manufacturing - Timmins</v>
      </c>
      <c r="AG667" s="5" t="str">
        <f t="shared" si="234"/>
        <v>CAD</v>
      </c>
      <c r="AH667" s="5">
        <f t="shared" si="235"/>
        <v>0</v>
      </c>
      <c r="AI667" s="12">
        <f>IF(L667-N667=0,VLOOKUP(U667,rate!A$4:B$15,2,FALSE)*AH667,IF(AG667="USD",O667,AH667*Y667))</f>
        <v>0</v>
      </c>
      <c r="AJ667" s="13">
        <f t="shared" si="236"/>
        <v>0</v>
      </c>
      <c r="AK667" s="13">
        <f>-IF(AG667="CAD",IFERROR(VLOOKUP(D667,CAARStatus!$A$1:$Y$1600,16,FALSE),0),0)</f>
        <v>-550.80999999999995</v>
      </c>
      <c r="AL667" s="13">
        <f>-IF(AG667="USD",IFERROR(VLOOKUP(D667,CAARStatus!$A$1:$Y$1600,11,FALSE),0),0)</f>
        <v>0</v>
      </c>
      <c r="AM667" s="22">
        <f t="shared" si="237"/>
        <v>-550.80999999999995</v>
      </c>
      <c r="AN667" s="12" t="str">
        <f t="shared" si="238"/>
        <v/>
      </c>
      <c r="AO667" s="12" t="str">
        <f t="shared" si="239"/>
        <v>Yes</v>
      </c>
      <c r="AP667" t="str">
        <f t="shared" si="224"/>
        <v>XX</v>
      </c>
      <c r="AQ667" t="str">
        <f>IFERROR(VLOOKUP(Z667,InvBal!$L$4:$P$600,4,FALSE),"Pend")</f>
        <v>Yes</v>
      </c>
      <c r="AR667" t="str">
        <f>IFERROR(VLOOKUP(D667,Manual!$C$1:$E$22,2,FALSE),"Pend")</f>
        <v>Pend</v>
      </c>
      <c r="AS667" t="str">
        <f t="shared" si="240"/>
        <v>Yes</v>
      </c>
      <c r="AT667" t="str">
        <f t="shared" si="241"/>
        <v/>
      </c>
      <c r="AU667" s="51" t="str">
        <f t="shared" si="242"/>
        <v/>
      </c>
      <c r="AV667" s="12">
        <f>IFERROR(VLOOKUP(D667,'Receivable Invoice Detail'!$S$1:$U$3014,3,FALSE),0)</f>
        <v>0</v>
      </c>
      <c r="AW667" s="12">
        <f t="shared" si="243"/>
        <v>0</v>
      </c>
    </row>
    <row r="668" spans="1:49" ht="30" x14ac:dyDescent="0.25">
      <c r="A668" s="2">
        <v>1</v>
      </c>
      <c r="B668" s="2" t="s">
        <v>1142</v>
      </c>
      <c r="C668" s="2" t="s">
        <v>1143</v>
      </c>
      <c r="D668" s="2" t="s">
        <v>2912</v>
      </c>
      <c r="E668" s="2" t="s">
        <v>1144</v>
      </c>
      <c r="F668" s="3">
        <v>45833.504351851851</v>
      </c>
      <c r="G668" s="3">
        <v>45833.709733796299</v>
      </c>
      <c r="H668" s="4">
        <v>45840</v>
      </c>
      <c r="I668" s="2" t="s">
        <v>36</v>
      </c>
      <c r="J668" s="2" t="s">
        <v>22</v>
      </c>
      <c r="K668" s="2">
        <v>1</v>
      </c>
      <c r="L668" s="2">
        <v>132.43</v>
      </c>
      <c r="M668" s="2">
        <v>132.43</v>
      </c>
      <c r="N668" s="2">
        <v>132.43</v>
      </c>
      <c r="O668" s="2">
        <v>126.12</v>
      </c>
      <c r="P668" s="2">
        <v>6.31</v>
      </c>
      <c r="Q668" s="2">
        <v>132.43</v>
      </c>
      <c r="R668" s="2" t="s">
        <v>44</v>
      </c>
      <c r="S668" s="2"/>
      <c r="T668" s="2">
        <f t="shared" si="225"/>
        <v>1</v>
      </c>
      <c r="U668" s="18">
        <f t="shared" si="226"/>
        <v>6</v>
      </c>
      <c r="V668" s="18">
        <f t="shared" si="227"/>
        <v>2025</v>
      </c>
      <c r="W668" s="18">
        <f t="shared" si="228"/>
        <v>8</v>
      </c>
      <c r="X668" s="18">
        <f t="shared" si="229"/>
        <v>2025</v>
      </c>
      <c r="Y668" s="2">
        <f t="shared" si="222"/>
        <v>1</v>
      </c>
      <c r="Z668" t="str">
        <f t="shared" si="223"/>
        <v>SO17398</v>
      </c>
      <c r="AA668" s="11">
        <f t="shared" si="230"/>
        <v>45833.504351851851</v>
      </c>
      <c r="AB668" s="5" t="str">
        <f t="shared" si="231"/>
        <v>INV13134</v>
      </c>
      <c r="AC668" s="5" t="str">
        <f>IFERROR(VLOOKUP(D668,CAARStatus!$A$2:$AA$1600,22,FALSE),"Not invoiced")</f>
        <v>Paid</v>
      </c>
      <c r="AD668" s="11">
        <f>IF(AC668="Paid",IFERROR(VLOOKUP(D668,CAARStatus!$A$2:$AA$1600,6,FALSE),"Pending"),"Pending")</f>
        <v>45884</v>
      </c>
      <c r="AE668" s="5" t="str">
        <f t="shared" si="232"/>
        <v>AB05-00302890</v>
      </c>
      <c r="AF668" s="5" t="str">
        <f t="shared" si="233"/>
        <v>Motion Industries Inc. (Canada) - Edmonton</v>
      </c>
      <c r="AG668" s="5" t="str">
        <f t="shared" si="234"/>
        <v>CAD</v>
      </c>
      <c r="AH668" s="5">
        <f t="shared" si="235"/>
        <v>126.12</v>
      </c>
      <c r="AI668" s="12">
        <f>IF(L668-N668=0,VLOOKUP(U668,rate!A$4:B$15,2,FALSE)*AH668,IF(AG668="USD",O668,AH668*Y668))</f>
        <v>92.115382823450034</v>
      </c>
      <c r="AJ668" s="13">
        <f t="shared" si="236"/>
        <v>0.73037886793093898</v>
      </c>
      <c r="AK668" s="13">
        <f>-IF(AG668="CAD",IFERROR(VLOOKUP(D668,CAARStatus!$A$1:$Y$1600,16,FALSE),0),0)</f>
        <v>-126.12</v>
      </c>
      <c r="AL668" s="13">
        <f>-IF(AG668="USD",IFERROR(VLOOKUP(D668,CAARStatus!$A$1:$Y$1600,11,FALSE),0),0)</f>
        <v>0</v>
      </c>
      <c r="AM668" s="22">
        <f t="shared" si="237"/>
        <v>0</v>
      </c>
      <c r="AN668" s="12" t="str">
        <f t="shared" si="238"/>
        <v/>
      </c>
      <c r="AO668" s="12" t="str">
        <f t="shared" si="239"/>
        <v>Yes</v>
      </c>
      <c r="AP668" t="str">
        <f t="shared" si="224"/>
        <v>Yes</v>
      </c>
      <c r="AQ668" t="str">
        <f>IFERROR(VLOOKUP(Z668,InvBal!$L$4:$P$600,4,FALSE),"Pend")</f>
        <v>Pend</v>
      </c>
      <c r="AR668" t="str">
        <f>IFERROR(VLOOKUP(D668,Manual!$C$1:$E$22,2,FALSE),"Pend")</f>
        <v>Pend</v>
      </c>
      <c r="AS668" t="str">
        <f t="shared" si="240"/>
        <v>Yes</v>
      </c>
      <c r="AT668" t="str">
        <f t="shared" si="241"/>
        <v>Yes</v>
      </c>
      <c r="AU668" s="51" t="str">
        <f t="shared" si="242"/>
        <v>Yes</v>
      </c>
      <c r="AV668" s="12">
        <f>IFERROR(VLOOKUP(D668,'Receivable Invoice Detail'!$S$1:$U$3014,3,FALSE),0)</f>
        <v>0</v>
      </c>
      <c r="AW668" s="12">
        <f t="shared" si="243"/>
        <v>92.115382823450034</v>
      </c>
    </row>
    <row r="669" spans="1:49" ht="30" x14ac:dyDescent="0.25">
      <c r="A669" s="2">
        <v>1</v>
      </c>
      <c r="B669" s="2" t="s">
        <v>1133</v>
      </c>
      <c r="C669" s="2" t="s">
        <v>1134</v>
      </c>
      <c r="D669" s="2" t="s">
        <v>2918</v>
      </c>
      <c r="E669" s="2" t="s">
        <v>232</v>
      </c>
      <c r="F669" s="3">
        <v>45833.595671296287</v>
      </c>
      <c r="G669" s="3">
        <v>45836.381793981483</v>
      </c>
      <c r="H669" s="4">
        <v>45940</v>
      </c>
      <c r="I669" s="2" t="s">
        <v>180</v>
      </c>
      <c r="J669" s="2" t="s">
        <v>51</v>
      </c>
      <c r="K669" s="2">
        <v>0.73361766313246568</v>
      </c>
      <c r="L669" s="2">
        <v>16766.226630204579</v>
      </c>
      <c r="M669" s="2">
        <v>0</v>
      </c>
      <c r="N669" s="2">
        <v>12300</v>
      </c>
      <c r="O669" s="2">
        <v>12300</v>
      </c>
      <c r="P669" s="2"/>
      <c r="Q669" s="2">
        <v>12300</v>
      </c>
      <c r="R669" s="2" t="s">
        <v>44</v>
      </c>
      <c r="S669" s="2"/>
      <c r="T669" s="2">
        <f t="shared" si="225"/>
        <v>1</v>
      </c>
      <c r="U669" s="18">
        <f t="shared" si="226"/>
        <v>6</v>
      </c>
      <c r="V669" s="18">
        <f t="shared" si="227"/>
        <v>2025</v>
      </c>
      <c r="W669" s="18" t="str">
        <f t="shared" si="228"/>
        <v/>
      </c>
      <c r="X669" s="18" t="str">
        <f t="shared" si="229"/>
        <v/>
      </c>
      <c r="Y669" s="2">
        <f t="shared" si="222"/>
        <v>0.73361766313246579</v>
      </c>
      <c r="Z669" t="str">
        <f t="shared" si="223"/>
        <v>SO17400</v>
      </c>
      <c r="AA669" s="11">
        <f t="shared" si="230"/>
        <v>45833.595671296287</v>
      </c>
      <c r="AB669" s="5" t="str">
        <f t="shared" si="231"/>
        <v>INV13587</v>
      </c>
      <c r="AC669" s="5" t="str">
        <f>IFERROR(VLOOKUP(D669,CAARStatus!$A$2:$AA$1600,22,FALSE),"Not invoiced")</f>
        <v>Approved</v>
      </c>
      <c r="AD669" s="11" t="str">
        <f>IF(AC669="Paid",IFERROR(VLOOKUP(D669,CAARStatus!$A$2:$AA$1600,6,FALSE),"Pending"),"Pending")</f>
        <v>Pending</v>
      </c>
      <c r="AE669" s="5" t="str">
        <f t="shared" si="232"/>
        <v>U-2251977</v>
      </c>
      <c r="AF669" s="5" t="str">
        <f t="shared" si="233"/>
        <v>Zijin Mining - Rosebel Goldmines N.V.</v>
      </c>
      <c r="AG669" s="5" t="str">
        <f t="shared" si="234"/>
        <v>USD</v>
      </c>
      <c r="AH669" s="5">
        <f t="shared" si="235"/>
        <v>16766.226630204583</v>
      </c>
      <c r="AI669" s="12">
        <f>IF(L669-N669=0,VLOOKUP(U669,rate!A$4:B$15,2,FALSE)*AH669,IF(AG669="USD",O669,AH669*Y669))</f>
        <v>12300</v>
      </c>
      <c r="AJ669" s="13">
        <f t="shared" si="236"/>
        <v>0.73361766313246568</v>
      </c>
      <c r="AK669" s="13">
        <f>-IF(AG669="CAD",IFERROR(VLOOKUP(D669,CAARStatus!$A$1:$Y$1600,16,FALSE),0),0)</f>
        <v>0</v>
      </c>
      <c r="AL669" s="13">
        <f>-IF(AG669="USD",IFERROR(VLOOKUP(D669,CAARStatus!$A$1:$Y$1600,11,FALSE),0),0)</f>
        <v>-12300</v>
      </c>
      <c r="AM669" s="22" t="str">
        <f t="shared" si="237"/>
        <v/>
      </c>
      <c r="AN669" s="12">
        <f t="shared" si="238"/>
        <v>0</v>
      </c>
      <c r="AO669" s="12" t="str">
        <f t="shared" si="239"/>
        <v>Pend</v>
      </c>
      <c r="AP669" t="str">
        <f t="shared" si="224"/>
        <v>Pend</v>
      </c>
      <c r="AQ669" t="str">
        <f>IFERROR(VLOOKUP(Z669,InvBal!$L$4:$P$600,4,FALSE),"Pend")</f>
        <v>Pend</v>
      </c>
      <c r="AR669" t="str">
        <f>IFERROR(VLOOKUP(D669,Manual!$C$1:$E$22,2,FALSE),"Pend")</f>
        <v>Pend</v>
      </c>
      <c r="AS669" t="str">
        <f t="shared" si="240"/>
        <v/>
      </c>
      <c r="AT669" t="str">
        <f t="shared" si="241"/>
        <v>Yes</v>
      </c>
      <c r="AU669" s="51" t="str">
        <f t="shared" si="242"/>
        <v/>
      </c>
      <c r="AV669" s="12">
        <f>IFERROR(VLOOKUP(D669,'Receivable Invoice Detail'!$S$1:$U$3014,3,FALSE),0)</f>
        <v>0</v>
      </c>
      <c r="AW669" s="12">
        <f t="shared" si="243"/>
        <v>0</v>
      </c>
    </row>
    <row r="670" spans="1:49" x14ac:dyDescent="0.25">
      <c r="A670" s="2">
        <v>1</v>
      </c>
      <c r="B670" s="2" t="s">
        <v>1145</v>
      </c>
      <c r="C670" s="2" t="s">
        <v>1146</v>
      </c>
      <c r="D670" s="2" t="s">
        <v>2911</v>
      </c>
      <c r="E670" s="2" t="s">
        <v>556</v>
      </c>
      <c r="F670" s="3">
        <v>45833.697743055563</v>
      </c>
      <c r="G670" s="3">
        <v>45833.695104166669</v>
      </c>
      <c r="H670" s="4">
        <v>45840</v>
      </c>
      <c r="I670" s="2" t="s">
        <v>36</v>
      </c>
      <c r="J670" s="2" t="s">
        <v>22</v>
      </c>
      <c r="K670" s="2">
        <v>1</v>
      </c>
      <c r="L670" s="2">
        <v>118.65</v>
      </c>
      <c r="M670" s="2">
        <v>118.65</v>
      </c>
      <c r="N670" s="2">
        <v>118.65</v>
      </c>
      <c r="O670" s="2">
        <v>105</v>
      </c>
      <c r="P670" s="2">
        <v>13.65</v>
      </c>
      <c r="Q670" s="2">
        <v>118.65</v>
      </c>
      <c r="R670" s="2" t="s">
        <v>44</v>
      </c>
      <c r="S670" s="2"/>
      <c r="T670" s="2">
        <f t="shared" si="225"/>
        <v>1</v>
      </c>
      <c r="U670" s="18">
        <f t="shared" si="226"/>
        <v>6</v>
      </c>
      <c r="V670" s="18">
        <f t="shared" si="227"/>
        <v>2025</v>
      </c>
      <c r="W670" s="18">
        <f t="shared" si="228"/>
        <v>8</v>
      </c>
      <c r="X670" s="18">
        <f t="shared" si="229"/>
        <v>2025</v>
      </c>
      <c r="Y670" s="2">
        <f t="shared" si="222"/>
        <v>1</v>
      </c>
      <c r="Z670" t="str">
        <f t="shared" si="223"/>
        <v>SO17402</v>
      </c>
      <c r="AA670" s="11">
        <f t="shared" si="230"/>
        <v>45833.697743055563</v>
      </c>
      <c r="AB670" s="5" t="str">
        <f t="shared" si="231"/>
        <v>INV13175</v>
      </c>
      <c r="AC670" s="5" t="str">
        <f>IFERROR(VLOOKUP(D670,CAARStatus!$A$2:$AA$1600,22,FALSE),"Not invoiced")</f>
        <v>Paid</v>
      </c>
      <c r="AD670" s="11">
        <f>IF(AC670="Paid",IFERROR(VLOOKUP(D670,CAARStatus!$A$2:$AA$1600,6,FALSE),"Pending"),"Pending")</f>
        <v>45895</v>
      </c>
      <c r="AE670" s="5" t="str">
        <f t="shared" si="232"/>
        <v>186477</v>
      </c>
      <c r="AF670" s="5" t="str">
        <f t="shared" si="233"/>
        <v>Fabrene Inc.</v>
      </c>
      <c r="AG670" s="5" t="str">
        <f t="shared" si="234"/>
        <v>CAD</v>
      </c>
      <c r="AH670" s="5">
        <f t="shared" si="235"/>
        <v>105</v>
      </c>
      <c r="AI670" s="12">
        <f>IF(L670-N670=0,VLOOKUP(U670,rate!A$4:B$15,2,FALSE)*AH670,IF(AG670="USD",O670,AH670*Y670))</f>
        <v>76.689781132748593</v>
      </c>
      <c r="AJ670" s="13">
        <f t="shared" si="236"/>
        <v>0.73037886793093898</v>
      </c>
      <c r="AK670" s="13">
        <f>-IF(AG670="CAD",IFERROR(VLOOKUP(D670,CAARStatus!$A$1:$Y$1600,16,FALSE),0),0)</f>
        <v>-105</v>
      </c>
      <c r="AL670" s="13">
        <f>-IF(AG670="USD",IFERROR(VLOOKUP(D670,CAARStatus!$A$1:$Y$1600,11,FALSE),0),0)</f>
        <v>0</v>
      </c>
      <c r="AM670" s="22">
        <f t="shared" si="237"/>
        <v>0</v>
      </c>
      <c r="AN670" s="12" t="str">
        <f t="shared" si="238"/>
        <v/>
      </c>
      <c r="AO670" s="12" t="str">
        <f t="shared" si="239"/>
        <v>Yes</v>
      </c>
      <c r="AP670" t="str">
        <f t="shared" si="224"/>
        <v>Yes</v>
      </c>
      <c r="AQ670" t="str">
        <f>IFERROR(VLOOKUP(Z670,InvBal!$L$4:$P$600,4,FALSE),"Pend")</f>
        <v>Pend</v>
      </c>
      <c r="AR670" t="str">
        <f>IFERROR(VLOOKUP(D670,Manual!$C$1:$E$22,2,FALSE),"Pend")</f>
        <v>Pend</v>
      </c>
      <c r="AS670" t="str">
        <f t="shared" si="240"/>
        <v>Yes</v>
      </c>
      <c r="AT670" t="str">
        <f t="shared" si="241"/>
        <v>Yes</v>
      </c>
      <c r="AU670" s="51" t="str">
        <f t="shared" si="242"/>
        <v>Yes</v>
      </c>
      <c r="AV670" s="12">
        <f>IFERROR(VLOOKUP(D670,'Receivable Invoice Detail'!$S$1:$U$3014,3,FALSE),0)</f>
        <v>0</v>
      </c>
      <c r="AW670" s="12">
        <f t="shared" si="243"/>
        <v>76.689781132748593</v>
      </c>
    </row>
    <row r="671" spans="1:49" x14ac:dyDescent="0.25">
      <c r="A671" s="2">
        <v>1</v>
      </c>
      <c r="B671" s="2" t="s">
        <v>1092</v>
      </c>
      <c r="C671" s="2" t="s">
        <v>1093</v>
      </c>
      <c r="D671" s="2" t="s">
        <v>2943</v>
      </c>
      <c r="E671" s="2" t="s">
        <v>176</v>
      </c>
      <c r="F671" s="3">
        <v>45834.358842592592</v>
      </c>
      <c r="G671" s="3">
        <v>45847.478333333333</v>
      </c>
      <c r="H671" s="4">
        <v>45882</v>
      </c>
      <c r="I671" s="2" t="s">
        <v>40</v>
      </c>
      <c r="J671" s="2" t="s">
        <v>22</v>
      </c>
      <c r="K671" s="2">
        <v>1</v>
      </c>
      <c r="L671" s="2">
        <v>150.29</v>
      </c>
      <c r="M671" s="2">
        <v>0</v>
      </c>
      <c r="N671" s="2">
        <v>109.73294875244289</v>
      </c>
      <c r="O671" s="2">
        <v>133</v>
      </c>
      <c r="P671" s="2">
        <v>17.29</v>
      </c>
      <c r="Q671" s="2">
        <v>150.29</v>
      </c>
      <c r="R671" s="2" t="s">
        <v>44</v>
      </c>
      <c r="S671" s="2"/>
      <c r="T671" s="2">
        <f t="shared" si="225"/>
        <v>1</v>
      </c>
      <c r="U671" s="18">
        <f t="shared" si="226"/>
        <v>6</v>
      </c>
      <c r="V671" s="18">
        <f t="shared" si="227"/>
        <v>2025</v>
      </c>
      <c r="W671" s="18">
        <f t="shared" si="228"/>
        <v>8</v>
      </c>
      <c r="X671" s="18">
        <f t="shared" si="229"/>
        <v>2025</v>
      </c>
      <c r="Y671" s="2">
        <f t="shared" si="222"/>
        <v>0.73014138500527581</v>
      </c>
      <c r="Z671" t="str">
        <f t="shared" si="223"/>
        <v>SO17404</v>
      </c>
      <c r="AA671" s="11">
        <f t="shared" si="230"/>
        <v>45834.358842592592</v>
      </c>
      <c r="AB671" s="5" t="str">
        <f t="shared" si="231"/>
        <v>INV13268</v>
      </c>
      <c r="AC671" s="5" t="str">
        <f>IFERROR(VLOOKUP(D671,CAARStatus!$A$2:$AA$1600,22,FALSE),"Not invoiced")</f>
        <v>Paid</v>
      </c>
      <c r="AD671" s="11">
        <f>IF(AC671="Paid",IFERROR(VLOOKUP(D671,CAARStatus!$A$2:$AA$1600,6,FALSE),"Pending"),"Pending")</f>
        <v>45894</v>
      </c>
      <c r="AE671" s="5" t="str">
        <f t="shared" si="232"/>
        <v>P07252737</v>
      </c>
      <c r="AF671" s="5" t="str">
        <f t="shared" si="233"/>
        <v>Industrial Pump Repair Canada</v>
      </c>
      <c r="AG671" s="5" t="str">
        <f t="shared" si="234"/>
        <v>CAD</v>
      </c>
      <c r="AH671" s="5">
        <f t="shared" si="235"/>
        <v>133</v>
      </c>
      <c r="AI671" s="12">
        <f>IF(L671-N671=0,VLOOKUP(U671,rate!A$4:B$15,2,FALSE)*AH671,IF(AG671="USD",O671,AH671*Y671))</f>
        <v>97.108804205701688</v>
      </c>
      <c r="AJ671" s="13">
        <f t="shared" si="236"/>
        <v>0.73014138500527581</v>
      </c>
      <c r="AK671" s="13">
        <f>-IF(AG671="CAD",IFERROR(VLOOKUP(D671,CAARStatus!$A$1:$Y$1600,16,FALSE),0),0)</f>
        <v>-133</v>
      </c>
      <c r="AL671" s="13">
        <f>-IF(AG671="USD",IFERROR(VLOOKUP(D671,CAARStatus!$A$1:$Y$1600,11,FALSE),0),0)</f>
        <v>0</v>
      </c>
      <c r="AM671" s="22">
        <f t="shared" si="237"/>
        <v>0</v>
      </c>
      <c r="AN671" s="12" t="str">
        <f t="shared" si="238"/>
        <v/>
      </c>
      <c r="AO671" s="12" t="str">
        <f t="shared" si="239"/>
        <v>Yes</v>
      </c>
      <c r="AP671" t="str">
        <f t="shared" si="224"/>
        <v>Yes</v>
      </c>
      <c r="AQ671" t="str">
        <f>IFERROR(VLOOKUP(Z671,InvBal!$L$4:$P$600,4,FALSE),"Pend")</f>
        <v>Pend</v>
      </c>
      <c r="AR671" t="str">
        <f>IFERROR(VLOOKUP(D671,Manual!$C$1:$E$22,2,FALSE),"Pend")</f>
        <v>Pend</v>
      </c>
      <c r="AS671" t="str">
        <f t="shared" si="240"/>
        <v>Yes</v>
      </c>
      <c r="AT671" t="str">
        <f t="shared" si="241"/>
        <v>Yes</v>
      </c>
      <c r="AU671" s="51" t="str">
        <f t="shared" si="242"/>
        <v>Yes</v>
      </c>
      <c r="AV671" s="12">
        <f>IFERROR(VLOOKUP(D671,'Receivable Invoice Detail'!$S$1:$U$3014,3,FALSE),0)</f>
        <v>0</v>
      </c>
      <c r="AW671" s="12">
        <f t="shared" si="243"/>
        <v>97.108804205701688</v>
      </c>
    </row>
    <row r="672" spans="1:49" ht="30" x14ac:dyDescent="0.25">
      <c r="A672" s="2">
        <v>1</v>
      </c>
      <c r="B672" s="2" t="s">
        <v>1126</v>
      </c>
      <c r="C672" s="2" t="s">
        <v>1127</v>
      </c>
      <c r="D672" s="2" t="s">
        <v>2922</v>
      </c>
      <c r="E672" s="2" t="s">
        <v>86</v>
      </c>
      <c r="F672" s="3">
        <v>45834.700902777768</v>
      </c>
      <c r="G672" s="3">
        <v>45839.41101851852</v>
      </c>
      <c r="H672" s="4">
        <v>45840</v>
      </c>
      <c r="I672" s="2" t="s">
        <v>40</v>
      </c>
      <c r="J672" s="2" t="s">
        <v>22</v>
      </c>
      <c r="K672" s="2">
        <v>1</v>
      </c>
      <c r="L672" s="2">
        <v>278.16000000000003</v>
      </c>
      <c r="M672" s="2">
        <v>0</v>
      </c>
      <c r="N672" s="2">
        <v>203.62659142575569</v>
      </c>
      <c r="O672" s="2">
        <v>264.91000000000003</v>
      </c>
      <c r="P672" s="2">
        <v>13.25</v>
      </c>
      <c r="Q672" s="2">
        <v>278.16000000000003</v>
      </c>
      <c r="R672" s="2" t="s">
        <v>44</v>
      </c>
      <c r="S672" s="2"/>
      <c r="T672" s="2">
        <f t="shared" si="225"/>
        <v>1</v>
      </c>
      <c r="U672" s="18">
        <f t="shared" si="226"/>
        <v>6</v>
      </c>
      <c r="V672" s="18">
        <f t="shared" si="227"/>
        <v>2025</v>
      </c>
      <c r="W672" s="18">
        <f t="shared" si="228"/>
        <v>8</v>
      </c>
      <c r="X672" s="18">
        <f t="shared" si="229"/>
        <v>2025</v>
      </c>
      <c r="Y672" s="2">
        <f t="shared" si="222"/>
        <v>0.7320484304923629</v>
      </c>
      <c r="Z672" t="str">
        <f t="shared" si="223"/>
        <v>SO17407</v>
      </c>
      <c r="AA672" s="11">
        <f t="shared" si="230"/>
        <v>45834.700902777768</v>
      </c>
      <c r="AB672" s="5" t="str">
        <f t="shared" si="231"/>
        <v>INV13143</v>
      </c>
      <c r="AC672" s="5" t="str">
        <f>IFERROR(VLOOKUP(D672,CAARStatus!$A$2:$AA$1600,22,FALSE),"Not invoiced")</f>
        <v>Paid</v>
      </c>
      <c r="AD672" s="11">
        <f>IF(AC672="Paid",IFERROR(VLOOKUP(D672,CAARStatus!$A$2:$AA$1600,6,FALSE),"Pending"),"Pending")</f>
        <v>45884</v>
      </c>
      <c r="AE672" s="5" t="str">
        <f t="shared" si="232"/>
        <v>ON50-00002822</v>
      </c>
      <c r="AF672" s="5" t="str">
        <f t="shared" si="233"/>
        <v>Motion Industries Inc. (Canada) - Winnipeg</v>
      </c>
      <c r="AG672" s="5" t="str">
        <f t="shared" si="234"/>
        <v>CAD</v>
      </c>
      <c r="AH672" s="5">
        <f t="shared" si="235"/>
        <v>264.91000000000003</v>
      </c>
      <c r="AI672" s="12">
        <f>IF(L672-N672=0,VLOOKUP(U672,rate!A$4:B$15,2,FALSE)*AH672,IF(AG672="USD",O672,AH672*Y672))</f>
        <v>193.92694972173189</v>
      </c>
      <c r="AJ672" s="13">
        <f t="shared" si="236"/>
        <v>0.7320484304923629</v>
      </c>
      <c r="AK672" s="13">
        <f>-IF(AG672="CAD",IFERROR(VLOOKUP(D672,CAARStatus!$A$1:$Y$1600,16,FALSE),0),0)</f>
        <v>-264.91000000000003</v>
      </c>
      <c r="AL672" s="13">
        <f>-IF(AG672="USD",IFERROR(VLOOKUP(D672,CAARStatus!$A$1:$Y$1600,11,FALSE),0),0)</f>
        <v>0</v>
      </c>
      <c r="AM672" s="22">
        <f t="shared" si="237"/>
        <v>0</v>
      </c>
      <c r="AN672" s="12" t="str">
        <f t="shared" si="238"/>
        <v/>
      </c>
      <c r="AO672" s="12" t="str">
        <f t="shared" si="239"/>
        <v>Yes</v>
      </c>
      <c r="AP672" t="str">
        <f t="shared" si="224"/>
        <v>Yes</v>
      </c>
      <c r="AQ672" t="str">
        <f>IFERROR(VLOOKUP(Z672,InvBal!$L$4:$P$600,4,FALSE),"Pend")</f>
        <v>Pend</v>
      </c>
      <c r="AR672" t="str">
        <f>IFERROR(VLOOKUP(D672,Manual!$C$1:$E$22,2,FALSE),"Pend")</f>
        <v>Pend</v>
      </c>
      <c r="AS672" t="str">
        <f t="shared" si="240"/>
        <v>Yes</v>
      </c>
      <c r="AT672" t="str">
        <f t="shared" si="241"/>
        <v>Yes</v>
      </c>
      <c r="AU672" s="51" t="str">
        <f t="shared" si="242"/>
        <v>Yes</v>
      </c>
      <c r="AV672" s="12">
        <f>IFERROR(VLOOKUP(D672,'Receivable Invoice Detail'!$S$1:$U$3014,3,FALSE),0)</f>
        <v>0</v>
      </c>
      <c r="AW672" s="12">
        <f t="shared" si="243"/>
        <v>193.92694972173189</v>
      </c>
    </row>
    <row r="673" spans="1:49" ht="30" x14ac:dyDescent="0.25">
      <c r="A673" s="2">
        <v>1</v>
      </c>
      <c r="B673" s="2" t="s">
        <v>1138</v>
      </c>
      <c r="C673" s="2" t="s">
        <v>1139</v>
      </c>
      <c r="D673" s="2" t="s">
        <v>2916</v>
      </c>
      <c r="E673" s="2" t="s">
        <v>39</v>
      </c>
      <c r="F673" s="3">
        <v>45834.774456018517</v>
      </c>
      <c r="G673" s="3">
        <v>45834.775995370372</v>
      </c>
      <c r="H673" s="4">
        <v>45841</v>
      </c>
      <c r="I673" s="2" t="s">
        <v>21</v>
      </c>
      <c r="J673" s="2" t="s">
        <v>22</v>
      </c>
      <c r="K673" s="2">
        <v>1</v>
      </c>
      <c r="L673" s="2">
        <v>198.18</v>
      </c>
      <c r="M673" s="2">
        <v>0</v>
      </c>
      <c r="N673" s="2">
        <v>145.38834847959211</v>
      </c>
      <c r="O673" s="2">
        <v>198.18</v>
      </c>
      <c r="P673" s="2"/>
      <c r="Q673" s="2">
        <v>198.18</v>
      </c>
      <c r="R673" s="2" t="s">
        <v>44</v>
      </c>
      <c r="S673" s="2"/>
      <c r="T673" s="2">
        <f t="shared" si="225"/>
        <v>1</v>
      </c>
      <c r="U673" s="18">
        <f t="shared" si="226"/>
        <v>6</v>
      </c>
      <c r="V673" s="18">
        <f t="shared" si="227"/>
        <v>2025</v>
      </c>
      <c r="W673" s="18">
        <f t="shared" si="228"/>
        <v>8</v>
      </c>
      <c r="X673" s="18">
        <f t="shared" si="229"/>
        <v>2025</v>
      </c>
      <c r="Y673" s="2">
        <f t="shared" si="222"/>
        <v>0.73361766313246601</v>
      </c>
      <c r="Z673" t="str">
        <f t="shared" si="223"/>
        <v>SO17408</v>
      </c>
      <c r="AA673" s="11">
        <f t="shared" si="230"/>
        <v>45834.774456018517</v>
      </c>
      <c r="AB673" s="5" t="str">
        <f t="shared" si="231"/>
        <v>INV13140</v>
      </c>
      <c r="AC673" s="5" t="str">
        <f>IFERROR(VLOOKUP(D673,CAARStatus!$A$2:$AA$1600,22,FALSE),"Not invoiced")</f>
        <v>Paid</v>
      </c>
      <c r="AD673" s="11">
        <f>IF(AC673="Paid",IFERROR(VLOOKUP(D673,CAARStatus!$A$2:$AA$1600,6,FALSE),"Pending"),"Pending")</f>
        <v>45884</v>
      </c>
      <c r="AE673" s="5" t="str">
        <f t="shared" si="232"/>
        <v>BC65-00080989</v>
      </c>
      <c r="AF673" s="5" t="str">
        <f t="shared" si="233"/>
        <v>Motion Industries Inc. (Canada) - Prince George</v>
      </c>
      <c r="AG673" s="5" t="str">
        <f t="shared" si="234"/>
        <v>CAD</v>
      </c>
      <c r="AH673" s="5">
        <f t="shared" si="235"/>
        <v>198.18</v>
      </c>
      <c r="AI673" s="12">
        <f>IF(L673-N673=0,VLOOKUP(U673,rate!A$4:B$15,2,FALSE)*AH673,IF(AG673="USD",O673,AH673*Y673))</f>
        <v>145.38834847959211</v>
      </c>
      <c r="AJ673" s="13">
        <f t="shared" si="236"/>
        <v>0.73361766313246601</v>
      </c>
      <c r="AK673" s="13">
        <f>-IF(AG673="CAD",IFERROR(VLOOKUP(D673,CAARStatus!$A$1:$Y$1600,16,FALSE),0),0)</f>
        <v>-198.18</v>
      </c>
      <c r="AL673" s="13">
        <f>-IF(AG673="USD",IFERROR(VLOOKUP(D673,CAARStatus!$A$1:$Y$1600,11,FALSE),0),0)</f>
        <v>0</v>
      </c>
      <c r="AM673" s="22">
        <f t="shared" si="237"/>
        <v>0</v>
      </c>
      <c r="AN673" s="12" t="str">
        <f t="shared" si="238"/>
        <v/>
      </c>
      <c r="AO673" s="12" t="str">
        <f t="shared" si="239"/>
        <v>Yes</v>
      </c>
      <c r="AP673" t="str">
        <f t="shared" si="224"/>
        <v>Yes</v>
      </c>
      <c r="AQ673" t="str">
        <f>IFERROR(VLOOKUP(Z673,InvBal!$L$4:$P$600,4,FALSE),"Pend")</f>
        <v>Pend</v>
      </c>
      <c r="AR673" t="str">
        <f>IFERROR(VLOOKUP(D673,Manual!$C$1:$E$22,2,FALSE),"Pend")</f>
        <v>Pend</v>
      </c>
      <c r="AS673" t="str">
        <f t="shared" si="240"/>
        <v>Yes</v>
      </c>
      <c r="AT673" t="str">
        <f t="shared" si="241"/>
        <v>Yes</v>
      </c>
      <c r="AU673" s="51" t="str">
        <f t="shared" si="242"/>
        <v>Yes</v>
      </c>
      <c r="AV673" s="12">
        <f>IFERROR(VLOOKUP(D673,'Receivable Invoice Detail'!$S$1:$U$3014,3,FALSE),0)</f>
        <v>0</v>
      </c>
      <c r="AW673" s="12">
        <f t="shared" si="243"/>
        <v>145.38834847959211</v>
      </c>
    </row>
    <row r="674" spans="1:49" x14ac:dyDescent="0.25">
      <c r="A674" s="2">
        <v>2</v>
      </c>
      <c r="B674" s="2" t="s">
        <v>1108</v>
      </c>
      <c r="C674" s="2" t="s">
        <v>1109</v>
      </c>
      <c r="D674" s="2" t="s">
        <v>2935</v>
      </c>
      <c r="E674" s="2" t="s">
        <v>77</v>
      </c>
      <c r="F674" s="3">
        <v>45835.572233796287</v>
      </c>
      <c r="G674" s="3">
        <v>45845.722326388888</v>
      </c>
      <c r="H674" s="4">
        <v>45880</v>
      </c>
      <c r="I674" s="2" t="s">
        <v>21</v>
      </c>
      <c r="J674" s="2" t="s">
        <v>22</v>
      </c>
      <c r="K674" s="2">
        <v>1</v>
      </c>
      <c r="L674" s="2">
        <v>4406.62</v>
      </c>
      <c r="M674" s="2">
        <v>0</v>
      </c>
      <c r="N674" s="2">
        <v>3229.0351534718961</v>
      </c>
      <c r="O674" s="2">
        <v>4196.78</v>
      </c>
      <c r="P674" s="2">
        <v>209.84</v>
      </c>
      <c r="Q674" s="2">
        <v>4406.62</v>
      </c>
      <c r="R674" s="2" t="s">
        <v>44</v>
      </c>
      <c r="S674" s="2"/>
      <c r="T674" s="2">
        <f t="shared" si="225"/>
        <v>2</v>
      </c>
      <c r="U674" s="18">
        <f t="shared" si="226"/>
        <v>6</v>
      </c>
      <c r="V674" s="18">
        <f t="shared" si="227"/>
        <v>2025</v>
      </c>
      <c r="W674" s="18">
        <f t="shared" si="228"/>
        <v>7</v>
      </c>
      <c r="X674" s="18">
        <f t="shared" si="229"/>
        <v>2025</v>
      </c>
      <c r="Y674" s="2">
        <f t="shared" si="222"/>
        <v>0.73276914130828075</v>
      </c>
      <c r="Z674" t="str">
        <f t="shared" si="223"/>
        <v>SO17410</v>
      </c>
      <c r="AA674" s="11">
        <f t="shared" si="230"/>
        <v>45835.572233796287</v>
      </c>
      <c r="AB674" s="5" t="str">
        <f t="shared" si="231"/>
        <v>INV13153</v>
      </c>
      <c r="AC674" s="5" t="str">
        <f>IFERROR(VLOOKUP(D674,CAARStatus!$A$2:$AA$1600,22,FALSE),"Not invoiced")</f>
        <v>Paid</v>
      </c>
      <c r="AD674" s="11">
        <f>IF(AC674="Paid",IFERROR(VLOOKUP(D674,CAARStatus!$A$2:$AA$1600,6,FALSE),"Pending"),"Pending")</f>
        <v>45868</v>
      </c>
      <c r="AE674" s="5" t="str">
        <f t="shared" si="232"/>
        <v>PO-40-1016426</v>
      </c>
      <c r="AF674" s="5" t="str">
        <f t="shared" si="233"/>
        <v>Canadian Bearings Ltd.</v>
      </c>
      <c r="AG674" s="5" t="str">
        <f t="shared" si="234"/>
        <v>CAD</v>
      </c>
      <c r="AH674" s="5">
        <f t="shared" si="235"/>
        <v>4196.78</v>
      </c>
      <c r="AI674" s="12">
        <f>IF(L674-N674=0,VLOOKUP(U674,rate!A$4:B$15,2,FALSE)*AH674,IF(AG674="USD",O674,AH674*Y674))</f>
        <v>3075.2708768597663</v>
      </c>
      <c r="AJ674" s="13">
        <f t="shared" si="236"/>
        <v>0.73276914130828075</v>
      </c>
      <c r="AK674" s="13">
        <f>-IF(AG674="CAD",IFERROR(VLOOKUP(D674,CAARStatus!$A$1:$Y$1600,16,FALSE),0),0)</f>
        <v>-2041</v>
      </c>
      <c r="AL674" s="13">
        <f>-IF(AG674="USD",IFERROR(VLOOKUP(D674,CAARStatus!$A$1:$Y$1600,11,FALSE),0),0)</f>
        <v>0</v>
      </c>
      <c r="AM674" s="22">
        <f t="shared" si="237"/>
        <v>2155.7799999999997</v>
      </c>
      <c r="AN674" s="12" t="str">
        <f t="shared" si="238"/>
        <v/>
      </c>
      <c r="AO674" s="12" t="str">
        <f t="shared" si="239"/>
        <v>Yes</v>
      </c>
      <c r="AP674" t="str">
        <f t="shared" si="224"/>
        <v>XX</v>
      </c>
      <c r="AQ674" t="str">
        <f>IFERROR(VLOOKUP(Z674,InvBal!$L$4:$P$600,4,FALSE),"Pend")</f>
        <v>Yes</v>
      </c>
      <c r="AR674" t="str">
        <f>IFERROR(VLOOKUP(D674,Manual!$C$1:$E$22,2,FALSE),"Pend")</f>
        <v>Pend</v>
      </c>
      <c r="AS674" t="str">
        <f t="shared" si="240"/>
        <v>Yes</v>
      </c>
      <c r="AT674" t="str">
        <f t="shared" si="241"/>
        <v>Yes</v>
      </c>
      <c r="AU674" s="51" t="str">
        <f t="shared" si="242"/>
        <v>Yes</v>
      </c>
      <c r="AV674" s="12">
        <f>IFERROR(VLOOKUP(D674,'Receivable Invoice Detail'!$S$1:$U$3014,3,FALSE),0)</f>
        <v>0</v>
      </c>
      <c r="AW674" s="12">
        <f t="shared" si="243"/>
        <v>3075.2708768597663</v>
      </c>
    </row>
    <row r="675" spans="1:49" x14ac:dyDescent="0.25">
      <c r="A675" s="2"/>
      <c r="B675" s="2"/>
      <c r="C675" s="2"/>
      <c r="D675" s="2" t="s">
        <v>2934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>
        <f t="shared" si="225"/>
        <v>2</v>
      </c>
      <c r="U675" s="18">
        <f t="shared" si="226"/>
        <v>6</v>
      </c>
      <c r="V675" s="18">
        <f t="shared" si="227"/>
        <v>2025</v>
      </c>
      <c r="W675" s="18">
        <f t="shared" si="228"/>
        <v>10</v>
      </c>
      <c r="X675" s="18">
        <f t="shared" si="229"/>
        <v>2025</v>
      </c>
      <c r="Y675" s="2">
        <f t="shared" si="222"/>
        <v>0.73276914130828075</v>
      </c>
      <c r="Z675" t="str">
        <f t="shared" si="223"/>
        <v>SO17410</v>
      </c>
      <c r="AA675" s="11">
        <f t="shared" si="230"/>
        <v>45835.572233796287</v>
      </c>
      <c r="AB675" s="5" t="str">
        <f t="shared" si="231"/>
        <v>INV13259</v>
      </c>
      <c r="AC675" s="5" t="str">
        <f>IFERROR(VLOOKUP(D675,CAARStatus!$A$2:$AA$1600,22,FALSE),"Not invoiced")</f>
        <v>Paid</v>
      </c>
      <c r="AD675" s="11">
        <f>IF(AC675="Paid",IFERROR(VLOOKUP(D675,CAARStatus!$A$2:$AA$1600,6,FALSE),"Pending"),"Pending")</f>
        <v>45940</v>
      </c>
      <c r="AE675" s="5" t="str">
        <f t="shared" si="232"/>
        <v>PO-40-1016426</v>
      </c>
      <c r="AF675" s="5" t="str">
        <f t="shared" si="233"/>
        <v>Canadian Bearings Ltd.</v>
      </c>
      <c r="AG675" s="5" t="str">
        <f t="shared" si="234"/>
        <v>CAD</v>
      </c>
      <c r="AH675" s="5">
        <f t="shared" si="235"/>
        <v>0</v>
      </c>
      <c r="AI675" s="12">
        <f>IF(L675-N675=0,VLOOKUP(U675,rate!A$4:B$15,2,FALSE)*AH675,IF(AG675="USD",O675,AH675*Y675))</f>
        <v>0</v>
      </c>
      <c r="AJ675" s="13">
        <f t="shared" si="236"/>
        <v>0</v>
      </c>
      <c r="AK675" s="13">
        <f>-IF(AG675="CAD",IFERROR(VLOOKUP(D675,CAARStatus!$A$1:$Y$1600,16,FALSE),0),0)</f>
        <v>-2155.7800000000002</v>
      </c>
      <c r="AL675" s="13">
        <f>-IF(AG675="USD",IFERROR(VLOOKUP(D675,CAARStatus!$A$1:$Y$1600,11,FALSE),0),0)</f>
        <v>0</v>
      </c>
      <c r="AM675" s="22">
        <f t="shared" si="237"/>
        <v>-2155.7800000000002</v>
      </c>
      <c r="AN675" s="12" t="str">
        <f t="shared" si="238"/>
        <v/>
      </c>
      <c r="AO675" s="12" t="str">
        <f t="shared" si="239"/>
        <v>Yes</v>
      </c>
      <c r="AP675" t="str">
        <f t="shared" si="224"/>
        <v>XX</v>
      </c>
      <c r="AQ675" t="str">
        <f>IFERROR(VLOOKUP(Z675,InvBal!$L$4:$P$600,4,FALSE),"Pend")</f>
        <v>Yes</v>
      </c>
      <c r="AR675" t="str">
        <f>IFERROR(VLOOKUP(D675,Manual!$C$1:$E$22,2,FALSE),"Pend")</f>
        <v>Pend</v>
      </c>
      <c r="AS675" t="str">
        <f t="shared" si="240"/>
        <v>Yes</v>
      </c>
      <c r="AT675" t="str">
        <f t="shared" si="241"/>
        <v/>
      </c>
      <c r="AU675" s="51" t="str">
        <f t="shared" si="242"/>
        <v/>
      </c>
      <c r="AV675" s="12">
        <f>IFERROR(VLOOKUP(D675,'Receivable Invoice Detail'!$S$1:$U$3014,3,FALSE),0)</f>
        <v>0</v>
      </c>
      <c r="AW675" s="12">
        <f t="shared" si="243"/>
        <v>0</v>
      </c>
    </row>
    <row r="676" spans="1:49" x14ac:dyDescent="0.25">
      <c r="A676" s="2">
        <v>1</v>
      </c>
      <c r="B676" s="2" t="s">
        <v>1135</v>
      </c>
      <c r="C676" s="2" t="s">
        <v>1136</v>
      </c>
      <c r="D676" s="2" t="s">
        <v>2917</v>
      </c>
      <c r="E676" s="2" t="s">
        <v>1137</v>
      </c>
      <c r="F676" s="3">
        <v>45835.817395833343</v>
      </c>
      <c r="G676" s="3">
        <v>45835.816747685189</v>
      </c>
      <c r="H676" s="4">
        <v>45849</v>
      </c>
      <c r="I676" s="2" t="s">
        <v>36</v>
      </c>
      <c r="J676" s="2" t="s">
        <v>22</v>
      </c>
      <c r="K676" s="2">
        <v>1</v>
      </c>
      <c r="L676" s="2">
        <v>1976.69</v>
      </c>
      <c r="M676" s="2">
        <v>0</v>
      </c>
      <c r="N676" s="2">
        <v>1443.541613185688</v>
      </c>
      <c r="O676" s="2">
        <v>1749.28</v>
      </c>
      <c r="P676" s="2">
        <v>227.41</v>
      </c>
      <c r="Q676" s="2">
        <v>1976.69</v>
      </c>
      <c r="R676" s="2" t="s">
        <v>44</v>
      </c>
      <c r="S676" s="2"/>
      <c r="T676" s="2">
        <f t="shared" si="225"/>
        <v>1</v>
      </c>
      <c r="U676" s="18">
        <f t="shared" si="226"/>
        <v>6</v>
      </c>
      <c r="V676" s="18">
        <f t="shared" si="227"/>
        <v>2025</v>
      </c>
      <c r="W676" s="18">
        <f t="shared" si="228"/>
        <v>7</v>
      </c>
      <c r="X676" s="18">
        <f t="shared" si="229"/>
        <v>2025</v>
      </c>
      <c r="Y676" s="2">
        <f t="shared" si="222"/>
        <v>0.73028224617197834</v>
      </c>
      <c r="Z676" t="str">
        <f t="shared" si="223"/>
        <v>SO17413</v>
      </c>
      <c r="AA676" s="11">
        <f t="shared" si="230"/>
        <v>45835.817395833343</v>
      </c>
      <c r="AB676" s="5" t="str">
        <f t="shared" si="231"/>
        <v>INV13154</v>
      </c>
      <c r="AC676" s="5" t="str">
        <f>IFERROR(VLOOKUP(D676,CAARStatus!$A$2:$AA$1600,22,FALSE),"Not invoiced")</f>
        <v>Paid</v>
      </c>
      <c r="AD676" s="11">
        <f>IF(AC676="Paid",IFERROR(VLOOKUP(D676,CAARStatus!$A$2:$AA$1600,6,FALSE),"Pending"),"Pending")</f>
        <v>45846</v>
      </c>
      <c r="AE676" s="5" t="str">
        <f t="shared" si="232"/>
        <v>C-3016862763</v>
      </c>
      <c r="AF676" s="5" t="str">
        <f t="shared" si="233"/>
        <v>Vallen Canada Inc. - IS Div</v>
      </c>
      <c r="AG676" s="5" t="str">
        <f t="shared" si="234"/>
        <v>CAD</v>
      </c>
      <c r="AH676" s="5">
        <f t="shared" si="235"/>
        <v>1749.28</v>
      </c>
      <c r="AI676" s="12">
        <f>IF(L676-N676=0,VLOOKUP(U676,rate!A$4:B$15,2,FALSE)*AH676,IF(AG676="USD",O676,AH676*Y676))</f>
        <v>1277.4681275837183</v>
      </c>
      <c r="AJ676" s="13">
        <f t="shared" si="236"/>
        <v>0.73028224617197834</v>
      </c>
      <c r="AK676" s="13">
        <f>-IF(AG676="CAD",IFERROR(VLOOKUP(D676,CAARStatus!$A$1:$Y$1600,16,FALSE),0),0)</f>
        <v>-1749.28</v>
      </c>
      <c r="AL676" s="13">
        <f>-IF(AG676="USD",IFERROR(VLOOKUP(D676,CAARStatus!$A$1:$Y$1600,11,FALSE),0),0)</f>
        <v>0</v>
      </c>
      <c r="AM676" s="22">
        <f t="shared" si="237"/>
        <v>0</v>
      </c>
      <c r="AN676" s="12" t="str">
        <f t="shared" si="238"/>
        <v/>
      </c>
      <c r="AO676" s="12" t="str">
        <f t="shared" si="239"/>
        <v>Yes</v>
      </c>
      <c r="AP676" t="str">
        <f t="shared" si="224"/>
        <v>Yes</v>
      </c>
      <c r="AQ676" t="str">
        <f>IFERROR(VLOOKUP(Z676,InvBal!$L$4:$P$600,4,FALSE),"Pend")</f>
        <v>Pend</v>
      </c>
      <c r="AR676" t="str">
        <f>IFERROR(VLOOKUP(D676,Manual!$C$1:$E$22,2,FALSE),"Pend")</f>
        <v>Pend</v>
      </c>
      <c r="AS676" t="str">
        <f t="shared" si="240"/>
        <v>Yes</v>
      </c>
      <c r="AT676" t="str">
        <f t="shared" si="241"/>
        <v>Yes</v>
      </c>
      <c r="AU676" s="51" t="str">
        <f t="shared" si="242"/>
        <v>Yes</v>
      </c>
      <c r="AV676" s="12">
        <f>IFERROR(VLOOKUP(D676,'Receivable Invoice Detail'!$S$1:$U$3014,3,FALSE),0)</f>
        <v>0</v>
      </c>
      <c r="AW676" s="12">
        <f t="shared" si="243"/>
        <v>1277.4681275837183</v>
      </c>
    </row>
    <row r="677" spans="1:49" x14ac:dyDescent="0.25">
      <c r="A677" s="2">
        <v>2</v>
      </c>
      <c r="B677" s="2" t="s">
        <v>1124</v>
      </c>
      <c r="C677" s="2" t="s">
        <v>1125</v>
      </c>
      <c r="D677" s="2" t="s">
        <v>2924</v>
      </c>
      <c r="E677" s="2" t="s">
        <v>146</v>
      </c>
      <c r="F677" s="3">
        <v>45839.5158912037</v>
      </c>
      <c r="G677" s="3">
        <v>45839.514351851853</v>
      </c>
      <c r="H677" s="4">
        <v>45909</v>
      </c>
      <c r="I677" s="2" t="s">
        <v>21</v>
      </c>
      <c r="J677" s="2" t="s">
        <v>22</v>
      </c>
      <c r="K677" s="2">
        <v>1</v>
      </c>
      <c r="L677" s="2">
        <v>11638.66</v>
      </c>
      <c r="M677" s="2">
        <v>0</v>
      </c>
      <c r="N677" s="2">
        <v>8520.0627860342447</v>
      </c>
      <c r="O677" s="2">
        <v>11084.43</v>
      </c>
      <c r="P677" s="2">
        <v>554.23</v>
      </c>
      <c r="Q677" s="2">
        <v>11638.66</v>
      </c>
      <c r="R677" s="2" t="s">
        <v>44</v>
      </c>
      <c r="S677" s="2"/>
      <c r="T677" s="2">
        <f t="shared" si="225"/>
        <v>2</v>
      </c>
      <c r="U677" s="18">
        <f t="shared" si="226"/>
        <v>7</v>
      </c>
      <c r="V677" s="18">
        <f t="shared" si="227"/>
        <v>2025</v>
      </c>
      <c r="W677" s="18">
        <f t="shared" si="228"/>
        <v>8</v>
      </c>
      <c r="X677" s="18">
        <f t="shared" si="229"/>
        <v>2025</v>
      </c>
      <c r="Y677" s="2">
        <f t="shared" si="222"/>
        <v>0.7320484304923629</v>
      </c>
      <c r="Z677" t="str">
        <f t="shared" si="223"/>
        <v>SO17421</v>
      </c>
      <c r="AA677" s="11">
        <f t="shared" si="230"/>
        <v>45839.5158912037</v>
      </c>
      <c r="AB677" s="5" t="str">
        <f t="shared" si="231"/>
        <v>INV13149</v>
      </c>
      <c r="AC677" s="5" t="str">
        <f>IFERROR(VLOOKUP(D677,CAARStatus!$A$2:$AA$1600,22,FALSE),"Not invoiced")</f>
        <v>Paid</v>
      </c>
      <c r="AD677" s="11">
        <f>IF(AC677="Paid",IFERROR(VLOOKUP(D677,CAARStatus!$A$2:$AA$1600,6,FALSE),"Pending"),"Pending")</f>
        <v>45876</v>
      </c>
      <c r="AE677" s="5" t="str">
        <f t="shared" si="232"/>
        <v>7326</v>
      </c>
      <c r="AF677" s="5" t="str">
        <f t="shared" si="233"/>
        <v>Hyperflo</v>
      </c>
      <c r="AG677" s="5" t="str">
        <f t="shared" si="234"/>
        <v>CAD</v>
      </c>
      <c r="AH677" s="5">
        <f t="shared" si="235"/>
        <v>11084.43</v>
      </c>
      <c r="AI677" s="12">
        <f>IF(L677-N677=0,VLOOKUP(U677,rate!A$4:B$15,2,FALSE)*AH677,IF(AG677="USD",O677,AH677*Y677))</f>
        <v>8114.3395844024626</v>
      </c>
      <c r="AJ677" s="13">
        <f t="shared" si="236"/>
        <v>0.7320484304923629</v>
      </c>
      <c r="AK677" s="13">
        <f>-IF(AG677="CAD",IFERROR(VLOOKUP(D677,CAARStatus!$A$1:$Y$1600,16,FALSE),0),0)</f>
        <v>-7637.48</v>
      </c>
      <c r="AL677" s="13">
        <f>-IF(AG677="USD",IFERROR(VLOOKUP(D677,CAARStatus!$A$1:$Y$1600,11,FALSE),0),0)</f>
        <v>0</v>
      </c>
      <c r="AM677" s="22">
        <f t="shared" si="237"/>
        <v>3446.9500000000007</v>
      </c>
      <c r="AN677" s="12" t="str">
        <f t="shared" si="238"/>
        <v/>
      </c>
      <c r="AO677" s="12" t="str">
        <f t="shared" si="239"/>
        <v>Yes</v>
      </c>
      <c r="AP677" t="str">
        <f t="shared" si="224"/>
        <v>XX</v>
      </c>
      <c r="AQ677" t="str">
        <f>IFERROR(VLOOKUP(Z677,InvBal!$L$4:$P$600,4,FALSE),"Pend")</f>
        <v>Yes</v>
      </c>
      <c r="AR677" t="str">
        <f>IFERROR(VLOOKUP(D677,Manual!$C$1:$E$22,2,FALSE),"Pend")</f>
        <v>Pend</v>
      </c>
      <c r="AS677" t="str">
        <f t="shared" si="240"/>
        <v>Yes</v>
      </c>
      <c r="AT677" t="str">
        <f t="shared" si="241"/>
        <v>Yes</v>
      </c>
      <c r="AU677" s="51" t="str">
        <f t="shared" si="242"/>
        <v>Yes</v>
      </c>
      <c r="AV677" s="12">
        <f>IFERROR(VLOOKUP(D677,'Receivable Invoice Detail'!$S$1:$U$3014,3,FALSE),0)</f>
        <v>0</v>
      </c>
      <c r="AW677" s="12">
        <f t="shared" si="243"/>
        <v>8114.3395844024626</v>
      </c>
    </row>
    <row r="678" spans="1:49" x14ac:dyDescent="0.25">
      <c r="A678" s="2"/>
      <c r="B678" s="2"/>
      <c r="C678" s="2"/>
      <c r="D678" s="2" t="s">
        <v>2923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f t="shared" si="225"/>
        <v>2</v>
      </c>
      <c r="U678" s="18">
        <f t="shared" si="226"/>
        <v>7</v>
      </c>
      <c r="V678" s="18">
        <f t="shared" si="227"/>
        <v>2025</v>
      </c>
      <c r="W678" s="18">
        <f t="shared" si="228"/>
        <v>11</v>
      </c>
      <c r="X678" s="18">
        <f t="shared" si="229"/>
        <v>2025</v>
      </c>
      <c r="Y678" s="2">
        <f t="shared" si="222"/>
        <v>0.7320484304923629</v>
      </c>
      <c r="Z678" t="str">
        <f t="shared" si="223"/>
        <v>SO17421</v>
      </c>
      <c r="AA678" s="11">
        <f t="shared" si="230"/>
        <v>45839.5158912037</v>
      </c>
      <c r="AB678" s="5" t="str">
        <f t="shared" si="231"/>
        <v>INV13502</v>
      </c>
      <c r="AC678" s="5" t="str">
        <f>IFERROR(VLOOKUP(D678,CAARStatus!$A$2:$AA$1600,22,FALSE),"Not invoiced")</f>
        <v>Paid</v>
      </c>
      <c r="AD678" s="11">
        <f>IF(AC678="Paid",IFERROR(VLOOKUP(D678,CAARStatus!$A$2:$AA$1600,6,FALSE),"Pending"),"Pending")</f>
        <v>45989</v>
      </c>
      <c r="AE678" s="5" t="str">
        <f t="shared" si="232"/>
        <v>7326</v>
      </c>
      <c r="AF678" s="5" t="str">
        <f t="shared" si="233"/>
        <v>Hyperflo</v>
      </c>
      <c r="AG678" s="5" t="str">
        <f t="shared" si="234"/>
        <v>CAD</v>
      </c>
      <c r="AH678" s="5">
        <f t="shared" si="235"/>
        <v>0</v>
      </c>
      <c r="AI678" s="12">
        <f>IF(L678-N678=0,VLOOKUP(U678,rate!A$4:B$15,2,FALSE)*AH678,IF(AG678="USD",O678,AH678*Y678))</f>
        <v>0</v>
      </c>
      <c r="AJ678" s="13">
        <f t="shared" si="236"/>
        <v>0</v>
      </c>
      <c r="AK678" s="13">
        <f>-IF(AG678="CAD",IFERROR(VLOOKUP(D678,CAARStatus!$A$1:$Y$1600,16,FALSE),0),0)</f>
        <v>-3446.95</v>
      </c>
      <c r="AL678" s="13">
        <f>-IF(AG678="USD",IFERROR(VLOOKUP(D678,CAARStatus!$A$1:$Y$1600,11,FALSE),0),0)</f>
        <v>0</v>
      </c>
      <c r="AM678" s="22">
        <f t="shared" si="237"/>
        <v>-3446.95</v>
      </c>
      <c r="AN678" s="12" t="str">
        <f t="shared" si="238"/>
        <v/>
      </c>
      <c r="AO678" s="12" t="str">
        <f t="shared" si="239"/>
        <v>Yes</v>
      </c>
      <c r="AP678" t="str">
        <f t="shared" si="224"/>
        <v>XX</v>
      </c>
      <c r="AQ678" t="str">
        <f>IFERROR(VLOOKUP(Z678,InvBal!$L$4:$P$600,4,FALSE),"Pend")</f>
        <v>Yes</v>
      </c>
      <c r="AR678" t="str">
        <f>IFERROR(VLOOKUP(D678,Manual!$C$1:$E$22,2,FALSE),"Pend")</f>
        <v>Pend</v>
      </c>
      <c r="AS678" t="str">
        <f t="shared" si="240"/>
        <v>Yes</v>
      </c>
      <c r="AT678" t="str">
        <f t="shared" si="241"/>
        <v/>
      </c>
      <c r="AU678" s="51" t="str">
        <f t="shared" si="242"/>
        <v/>
      </c>
      <c r="AV678" s="12">
        <f>IFERROR(VLOOKUP(D678,'Receivable Invoice Detail'!$S$1:$U$3014,3,FALSE),0)</f>
        <v>0</v>
      </c>
      <c r="AW678" s="12">
        <f t="shared" si="243"/>
        <v>0</v>
      </c>
    </row>
    <row r="679" spans="1:49" x14ac:dyDescent="0.25">
      <c r="A679" s="2">
        <v>1</v>
      </c>
      <c r="B679" s="2" t="s">
        <v>953</v>
      </c>
      <c r="C679" s="2" t="s">
        <v>954</v>
      </c>
      <c r="D679" s="2" t="s">
        <v>3026</v>
      </c>
      <c r="E679" s="2" t="s">
        <v>61</v>
      </c>
      <c r="F679" s="3">
        <v>45839.723368055558</v>
      </c>
      <c r="G679" s="3">
        <v>45862.551388888889</v>
      </c>
      <c r="H679" s="4">
        <v>45926</v>
      </c>
      <c r="I679" s="2" t="s">
        <v>36</v>
      </c>
      <c r="J679" s="2" t="s">
        <v>51</v>
      </c>
      <c r="K679" s="2">
        <v>0.73474516251328958</v>
      </c>
      <c r="L679" s="2">
        <v>4840.9709671762084</v>
      </c>
      <c r="M679" s="2">
        <v>0</v>
      </c>
      <c r="N679" s="2">
        <v>3556.88</v>
      </c>
      <c r="O679" s="2">
        <v>3556.88</v>
      </c>
      <c r="P679" s="2"/>
      <c r="Q679" s="2">
        <v>3556.88</v>
      </c>
      <c r="R679" s="2" t="s">
        <v>44</v>
      </c>
      <c r="S679" s="2"/>
      <c r="T679" s="2">
        <f t="shared" si="225"/>
        <v>1</v>
      </c>
      <c r="U679" s="18">
        <f t="shared" si="226"/>
        <v>7</v>
      </c>
      <c r="V679" s="18">
        <f t="shared" si="227"/>
        <v>2025</v>
      </c>
      <c r="W679" s="18">
        <f t="shared" si="228"/>
        <v>11</v>
      </c>
      <c r="X679" s="18">
        <f t="shared" si="229"/>
        <v>2025</v>
      </c>
      <c r="Y679" s="2">
        <f t="shared" si="222"/>
        <v>0.73474516251328958</v>
      </c>
      <c r="Z679" t="str">
        <f t="shared" si="223"/>
        <v>SO17422</v>
      </c>
      <c r="AA679" s="11">
        <f t="shared" si="230"/>
        <v>45839.723368055558</v>
      </c>
      <c r="AB679" s="5" t="str">
        <f t="shared" si="231"/>
        <v>INV13455</v>
      </c>
      <c r="AC679" s="5" t="str">
        <f>IFERROR(VLOOKUP(D679,CAARStatus!$A$2:$AA$1600,22,FALSE),"Not invoiced")</f>
        <v>Paid</v>
      </c>
      <c r="AD679" s="11">
        <f>IF(AC679="Paid",IFERROR(VLOOKUP(D679,CAARStatus!$A$2:$AA$1600,6,FALSE),"Pending"),"Pending")</f>
        <v>45974</v>
      </c>
      <c r="AE679" s="5" t="str">
        <f t="shared" si="232"/>
        <v>PONV-25-1491</v>
      </c>
      <c r="AF679" s="5" t="str">
        <f t="shared" si="233"/>
        <v>Tech-Flow</v>
      </c>
      <c r="AG679" s="5" t="str">
        <f t="shared" si="234"/>
        <v>USD</v>
      </c>
      <c r="AH679" s="5">
        <f t="shared" si="235"/>
        <v>4840.9709671762084</v>
      </c>
      <c r="AI679" s="12">
        <f>IF(L679-N679=0,VLOOKUP(U679,rate!A$4:B$15,2,FALSE)*AH679,IF(AG679="USD",O679,AH679*Y679))</f>
        <v>3556.88</v>
      </c>
      <c r="AJ679" s="13">
        <f t="shared" si="236"/>
        <v>0.73474516251328958</v>
      </c>
      <c r="AK679" s="13">
        <f>-IF(AG679="CAD",IFERROR(VLOOKUP(D679,CAARStatus!$A$1:$Y$1600,16,FALSE),0),0)</f>
        <v>0</v>
      </c>
      <c r="AL679" s="13">
        <f>-IF(AG679="USD",IFERROR(VLOOKUP(D679,CAARStatus!$A$1:$Y$1600,11,FALSE),0),0)</f>
        <v>-3556.88</v>
      </c>
      <c r="AM679" s="22" t="str">
        <f t="shared" si="237"/>
        <v/>
      </c>
      <c r="AN679" s="12">
        <f t="shared" si="238"/>
        <v>0</v>
      </c>
      <c r="AO679" s="12" t="str">
        <f t="shared" si="239"/>
        <v>Yes</v>
      </c>
      <c r="AP679" t="str">
        <f t="shared" si="224"/>
        <v>Yes</v>
      </c>
      <c r="AQ679" t="str">
        <f>IFERROR(VLOOKUP(Z679,InvBal!$L$4:$P$600,4,FALSE),"Pend")</f>
        <v>Pend</v>
      </c>
      <c r="AR679" t="str">
        <f>IFERROR(VLOOKUP(D679,Manual!$C$1:$E$22,2,FALSE),"Pend")</f>
        <v>Pend</v>
      </c>
      <c r="AS679" t="str">
        <f t="shared" si="240"/>
        <v>Yes</v>
      </c>
      <c r="AT679" t="str">
        <f t="shared" si="241"/>
        <v>Yes</v>
      </c>
      <c r="AU679" s="51" t="str">
        <f t="shared" si="242"/>
        <v>Yes</v>
      </c>
      <c r="AV679" s="12">
        <f>IFERROR(VLOOKUP(D679,'Receivable Invoice Detail'!$S$1:$U$3014,3,FALSE),0)</f>
        <v>0</v>
      </c>
      <c r="AW679" s="12">
        <f t="shared" si="243"/>
        <v>3556.88</v>
      </c>
    </row>
    <row r="680" spans="1:49" x14ac:dyDescent="0.25">
      <c r="A680" s="2">
        <v>1</v>
      </c>
      <c r="B680" s="2" t="s">
        <v>1120</v>
      </c>
      <c r="C680" s="2" t="s">
        <v>1121</v>
      </c>
      <c r="D680" s="2" t="s">
        <v>2927</v>
      </c>
      <c r="E680" s="2" t="s">
        <v>61</v>
      </c>
      <c r="F680" s="3">
        <v>45839.736655092587</v>
      </c>
      <c r="G680" s="3">
        <v>45839.735763888893</v>
      </c>
      <c r="H680" s="4">
        <v>45926</v>
      </c>
      <c r="I680" s="2" t="s">
        <v>21</v>
      </c>
      <c r="J680" s="2" t="s">
        <v>51</v>
      </c>
      <c r="K680" s="2">
        <v>0.73078653074427524</v>
      </c>
      <c r="L680" s="2">
        <v>5852.0646181648326</v>
      </c>
      <c r="M680" s="2">
        <v>0</v>
      </c>
      <c r="N680" s="2">
        <v>4276.6099999999997</v>
      </c>
      <c r="O680" s="2">
        <v>4276.6099999999997</v>
      </c>
      <c r="P680" s="2"/>
      <c r="Q680" s="2">
        <v>4276.6099999999997</v>
      </c>
      <c r="R680" s="2" t="s">
        <v>44</v>
      </c>
      <c r="S680" s="2"/>
      <c r="T680" s="2">
        <f t="shared" si="225"/>
        <v>1</v>
      </c>
      <c r="U680" s="18">
        <f t="shared" si="226"/>
        <v>7</v>
      </c>
      <c r="V680" s="18">
        <f t="shared" si="227"/>
        <v>2025</v>
      </c>
      <c r="W680" s="18">
        <f t="shared" si="228"/>
        <v>11</v>
      </c>
      <c r="X680" s="18">
        <f t="shared" si="229"/>
        <v>2025</v>
      </c>
      <c r="Y680" s="2">
        <f t="shared" si="222"/>
        <v>0.73078653074427524</v>
      </c>
      <c r="Z680" t="str">
        <f t="shared" si="223"/>
        <v>SO17423</v>
      </c>
      <c r="AA680" s="11">
        <f t="shared" si="230"/>
        <v>45839.736655092587</v>
      </c>
      <c r="AB680" s="5" t="str">
        <f t="shared" si="231"/>
        <v>INV13456</v>
      </c>
      <c r="AC680" s="5" t="str">
        <f>IFERROR(VLOOKUP(D680,CAARStatus!$A$2:$AA$1600,22,FALSE),"Not invoiced")</f>
        <v>Paid</v>
      </c>
      <c r="AD680" s="11">
        <f>IF(AC680="Paid",IFERROR(VLOOKUP(D680,CAARStatus!$A$2:$AA$1600,6,FALSE),"Pending"),"Pending")</f>
        <v>45974</v>
      </c>
      <c r="AE680" s="5" t="str">
        <f t="shared" si="232"/>
        <v>PONV-25-1341</v>
      </c>
      <c r="AF680" s="5" t="str">
        <f t="shared" si="233"/>
        <v>Tech-Flow</v>
      </c>
      <c r="AG680" s="5" t="str">
        <f t="shared" si="234"/>
        <v>USD</v>
      </c>
      <c r="AH680" s="5">
        <f t="shared" si="235"/>
        <v>5852.0646181648326</v>
      </c>
      <c r="AI680" s="12">
        <f>IF(L680-N680=0,VLOOKUP(U680,rate!A$4:B$15,2,FALSE)*AH680,IF(AG680="USD",O680,AH680*Y680))</f>
        <v>4276.6099999999997</v>
      </c>
      <c r="AJ680" s="13">
        <f t="shared" si="236"/>
        <v>0.73078653074427524</v>
      </c>
      <c r="AK680" s="13">
        <f>-IF(AG680="CAD",IFERROR(VLOOKUP(D680,CAARStatus!$A$1:$Y$1600,16,FALSE),0),0)</f>
        <v>0</v>
      </c>
      <c r="AL680" s="13">
        <f>-IF(AG680="USD",IFERROR(VLOOKUP(D680,CAARStatus!$A$1:$Y$1600,11,FALSE),0),0)</f>
        <v>-4276.6099999999997</v>
      </c>
      <c r="AM680" s="22" t="str">
        <f t="shared" si="237"/>
        <v/>
      </c>
      <c r="AN680" s="12">
        <f t="shared" si="238"/>
        <v>0</v>
      </c>
      <c r="AO680" s="12" t="str">
        <f t="shared" si="239"/>
        <v>Yes</v>
      </c>
      <c r="AP680" t="str">
        <f t="shared" si="224"/>
        <v>Yes</v>
      </c>
      <c r="AQ680" t="str">
        <f>IFERROR(VLOOKUP(Z680,InvBal!$L$4:$P$600,4,FALSE),"Pend")</f>
        <v>Pend</v>
      </c>
      <c r="AR680" t="str">
        <f>IFERROR(VLOOKUP(D680,Manual!$C$1:$E$22,2,FALSE),"Pend")</f>
        <v>Pend</v>
      </c>
      <c r="AS680" t="str">
        <f t="shared" si="240"/>
        <v>Yes</v>
      </c>
      <c r="AT680" t="str">
        <f t="shared" si="241"/>
        <v>Yes</v>
      </c>
      <c r="AU680" s="51" t="str">
        <f t="shared" si="242"/>
        <v>Yes</v>
      </c>
      <c r="AV680" s="12">
        <f>IFERROR(VLOOKUP(D680,'Receivable Invoice Detail'!$S$1:$U$3014,3,FALSE),0)</f>
        <v>0</v>
      </c>
      <c r="AW680" s="12">
        <f t="shared" si="243"/>
        <v>4276.6099999999997</v>
      </c>
    </row>
    <row r="681" spans="1:49" ht="30" x14ac:dyDescent="0.25">
      <c r="A681" s="2">
        <v>2</v>
      </c>
      <c r="B681" s="2" t="s">
        <v>1128</v>
      </c>
      <c r="C681" s="2" t="s">
        <v>1129</v>
      </c>
      <c r="D681" s="2" t="s">
        <v>2921</v>
      </c>
      <c r="E681" s="2" t="s">
        <v>232</v>
      </c>
      <c r="F681" s="3">
        <v>45840.381377314807</v>
      </c>
      <c r="G681" s="3">
        <v>45839.381377314807</v>
      </c>
      <c r="H681" s="4">
        <v>45922</v>
      </c>
      <c r="I681" s="2" t="s">
        <v>180</v>
      </c>
      <c r="J681" s="2" t="s">
        <v>51</v>
      </c>
      <c r="K681" s="2">
        <v>0.73421842111587643</v>
      </c>
      <c r="L681" s="2">
        <v>35193.886801052977</v>
      </c>
      <c r="M681" s="2">
        <v>0</v>
      </c>
      <c r="N681" s="2">
        <v>25840</v>
      </c>
      <c r="O681" s="2">
        <v>25840</v>
      </c>
      <c r="P681" s="2"/>
      <c r="Q681" s="2">
        <v>25840</v>
      </c>
      <c r="R681" s="2" t="s">
        <v>44</v>
      </c>
      <c r="S681" s="2"/>
      <c r="T681" s="2">
        <f t="shared" si="225"/>
        <v>2</v>
      </c>
      <c r="U681" s="18">
        <f t="shared" si="226"/>
        <v>7</v>
      </c>
      <c r="V681" s="18">
        <f t="shared" si="227"/>
        <v>2025</v>
      </c>
      <c r="W681" s="18">
        <f t="shared" si="228"/>
        <v>11</v>
      </c>
      <c r="X681" s="18">
        <f t="shared" si="229"/>
        <v>2025</v>
      </c>
      <c r="Y681" s="2">
        <f t="shared" si="222"/>
        <v>0.73421842111587643</v>
      </c>
      <c r="Z681" t="str">
        <f t="shared" si="223"/>
        <v>SO17425</v>
      </c>
      <c r="AA681" s="11">
        <f t="shared" si="230"/>
        <v>45840.381377314807</v>
      </c>
      <c r="AB681" s="5" t="str">
        <f t="shared" si="231"/>
        <v>INV13379</v>
      </c>
      <c r="AC681" s="5" t="str">
        <f>IFERROR(VLOOKUP(D681,CAARStatus!$A$2:$AA$1600,22,FALSE),"Not invoiced")</f>
        <v>Paid</v>
      </c>
      <c r="AD681" s="11">
        <f>IF(AC681="Paid",IFERROR(VLOOKUP(D681,CAARStatus!$A$2:$AA$1600,6,FALSE),"Pending"),"Pending")</f>
        <v>45985</v>
      </c>
      <c r="AE681" s="5" t="str">
        <f t="shared" si="232"/>
        <v>2251978</v>
      </c>
      <c r="AF681" s="5" t="str">
        <f t="shared" si="233"/>
        <v>Zijin Mining - Rosebel Goldmines N.V.</v>
      </c>
      <c r="AG681" s="5" t="str">
        <f t="shared" si="234"/>
        <v>USD</v>
      </c>
      <c r="AH681" s="5">
        <f t="shared" si="235"/>
        <v>35193.886801052977</v>
      </c>
      <c r="AI681" s="12">
        <f>IF(L681-N681=0,VLOOKUP(U681,rate!A$4:B$15,2,FALSE)*AH681,IF(AG681="USD",O681,AH681*Y681))</f>
        <v>25840</v>
      </c>
      <c r="AJ681" s="13">
        <f t="shared" si="236"/>
        <v>0.73421842111587643</v>
      </c>
      <c r="AK681" s="13">
        <f>-IF(AG681="CAD",IFERROR(VLOOKUP(D681,CAARStatus!$A$1:$Y$1600,16,FALSE),0),0)</f>
        <v>0</v>
      </c>
      <c r="AL681" s="13">
        <f>-IF(AG681="USD",IFERROR(VLOOKUP(D681,CAARStatus!$A$1:$Y$1600,11,FALSE),0),0)</f>
        <v>-12300</v>
      </c>
      <c r="AM681" s="22" t="str">
        <f t="shared" si="237"/>
        <v/>
      </c>
      <c r="AN681" s="12">
        <f t="shared" si="238"/>
        <v>13540</v>
      </c>
      <c r="AO681" s="12" t="str">
        <f t="shared" si="239"/>
        <v>Yes</v>
      </c>
      <c r="AP681" t="str">
        <f t="shared" si="224"/>
        <v>XX</v>
      </c>
      <c r="AQ681" t="str">
        <f>IFERROR(VLOOKUP(Z681,InvBal!$L$4:$P$600,4,FALSE),"Pend")</f>
        <v>Yes</v>
      </c>
      <c r="AR681" t="str">
        <f>IFERROR(VLOOKUP(D681,Manual!$C$1:$E$22,2,FALSE),"Pend")</f>
        <v>Pend</v>
      </c>
      <c r="AS681" t="str">
        <f t="shared" si="240"/>
        <v>Yes</v>
      </c>
      <c r="AT681" t="str">
        <f t="shared" si="241"/>
        <v>Yes</v>
      </c>
      <c r="AU681" s="51" t="str">
        <f t="shared" si="242"/>
        <v>Yes</v>
      </c>
      <c r="AV681" s="12">
        <f>IFERROR(VLOOKUP(D681,'Receivable Invoice Detail'!$S$1:$U$3014,3,FALSE),0)</f>
        <v>0</v>
      </c>
      <c r="AW681" s="12">
        <f t="shared" si="243"/>
        <v>25840</v>
      </c>
    </row>
    <row r="682" spans="1:49" x14ac:dyDescent="0.25">
      <c r="A682" s="2"/>
      <c r="B682" s="2"/>
      <c r="C682" s="2"/>
      <c r="D682" s="2" t="s">
        <v>2920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>
        <f t="shared" si="225"/>
        <v>2</v>
      </c>
      <c r="U682" s="18">
        <f t="shared" si="226"/>
        <v>7</v>
      </c>
      <c r="V682" s="18">
        <f t="shared" si="227"/>
        <v>2025</v>
      </c>
      <c r="W682" s="18">
        <f t="shared" si="228"/>
        <v>8</v>
      </c>
      <c r="X682" s="18">
        <f t="shared" si="229"/>
        <v>2025</v>
      </c>
      <c r="Y682" s="17">
        <f t="shared" si="222"/>
        <v>0.73421842111587643</v>
      </c>
      <c r="Z682" t="str">
        <f t="shared" si="223"/>
        <v>SO17425</v>
      </c>
      <c r="AA682" s="11">
        <f t="shared" si="230"/>
        <v>45840.381377314807</v>
      </c>
      <c r="AB682" s="5" t="str">
        <f t="shared" si="231"/>
        <v>INV13193</v>
      </c>
      <c r="AC682" s="5" t="str">
        <f>IFERROR(VLOOKUP(D682,CAARStatus!$A$2:$AA$1600,22,FALSE),"Not invoiced")</f>
        <v>Paid</v>
      </c>
      <c r="AD682" s="11">
        <f>IF(AC682="Paid",IFERROR(VLOOKUP(D682,CAARStatus!$A$2:$AA$1600,6,FALSE),"Pending"),"Pending")</f>
        <v>45887</v>
      </c>
      <c r="AE682" s="5" t="str">
        <f t="shared" si="232"/>
        <v>2251978</v>
      </c>
      <c r="AF682" s="5" t="str">
        <f t="shared" si="233"/>
        <v>Zijin Mining - Rosebel Goldmines N.V.</v>
      </c>
      <c r="AG682" s="5" t="str">
        <f t="shared" si="234"/>
        <v>USD</v>
      </c>
      <c r="AH682" s="5">
        <f t="shared" si="235"/>
        <v>0</v>
      </c>
      <c r="AI682" s="12">
        <f>IF(L682-N682=0,VLOOKUP(U682,rate!A$4:B$15,2,FALSE)*AH682,IF(AG682="USD",O682,AH682*Y682))</f>
        <v>0</v>
      </c>
      <c r="AJ682" s="13">
        <f t="shared" si="236"/>
        <v>0</v>
      </c>
      <c r="AK682" s="13">
        <f>-IF(AG682="CAD",IFERROR(VLOOKUP(D682,CAARStatus!$A$1:$Y$1600,16,FALSE),0),0)</f>
        <v>0</v>
      </c>
      <c r="AL682" s="13">
        <f>-IF(AG682="USD",IFERROR(VLOOKUP(D682,CAARStatus!$A$1:$Y$1600,11,FALSE),0),0)</f>
        <v>-13540</v>
      </c>
      <c r="AM682" s="22" t="str">
        <f t="shared" si="237"/>
        <v/>
      </c>
      <c r="AN682" s="12">
        <f t="shared" si="238"/>
        <v>-13540</v>
      </c>
      <c r="AO682" s="12" t="str">
        <f t="shared" si="239"/>
        <v>Yes</v>
      </c>
      <c r="AP682" t="str">
        <f t="shared" si="224"/>
        <v>XX</v>
      </c>
      <c r="AQ682" t="str">
        <f>IFERROR(VLOOKUP(Z682,InvBal!$L$4:$P$600,4,FALSE),"Pend")</f>
        <v>Yes</v>
      </c>
      <c r="AR682" t="str">
        <f>IFERROR(VLOOKUP(D682,Manual!$C$1:$E$22,2,FALSE),"Pend")</f>
        <v>Pend</v>
      </c>
      <c r="AS682" t="str">
        <f t="shared" si="240"/>
        <v>Yes</v>
      </c>
      <c r="AT682" t="str">
        <f t="shared" si="241"/>
        <v/>
      </c>
      <c r="AU682" s="51" t="str">
        <f t="shared" si="242"/>
        <v/>
      </c>
      <c r="AV682" s="12">
        <f>IFERROR(VLOOKUP(D682,'Receivable Invoice Detail'!$S$1:$U$3014,3,FALSE),0)</f>
        <v>1240</v>
      </c>
      <c r="AW682" s="12">
        <f t="shared" si="243"/>
        <v>0</v>
      </c>
    </row>
    <row r="683" spans="1:49" ht="30" x14ac:dyDescent="0.25">
      <c r="A683" s="2">
        <v>2</v>
      </c>
      <c r="B683" s="2" t="s">
        <v>1116</v>
      </c>
      <c r="C683" s="2" t="s">
        <v>1117</v>
      </c>
      <c r="D683" s="2" t="s">
        <v>2930</v>
      </c>
      <c r="E683" s="2" t="s">
        <v>98</v>
      </c>
      <c r="F683" s="3">
        <v>45840.432303240741</v>
      </c>
      <c r="G683" s="3">
        <v>45841.632002314807</v>
      </c>
      <c r="H683" s="4">
        <v>45939</v>
      </c>
      <c r="I683" s="2" t="s">
        <v>21</v>
      </c>
      <c r="J683" s="2" t="s">
        <v>22</v>
      </c>
      <c r="K683" s="2">
        <v>1</v>
      </c>
      <c r="L683" s="2">
        <v>3828.5</v>
      </c>
      <c r="M683" s="2">
        <v>0</v>
      </c>
      <c r="N683" s="2">
        <v>2823.1158332931159</v>
      </c>
      <c r="O683" s="2">
        <v>3388.05</v>
      </c>
      <c r="P683" s="2">
        <v>440.45</v>
      </c>
      <c r="Q683" s="2">
        <v>3828.5</v>
      </c>
      <c r="R683" s="2" t="s">
        <v>44</v>
      </c>
      <c r="S683" s="2"/>
      <c r="T683" s="2">
        <f t="shared" si="225"/>
        <v>2</v>
      </c>
      <c r="U683" s="18">
        <f t="shared" si="226"/>
        <v>7</v>
      </c>
      <c r="V683" s="18">
        <f t="shared" si="227"/>
        <v>2025</v>
      </c>
      <c r="W683" s="18">
        <f t="shared" si="228"/>
        <v>11</v>
      </c>
      <c r="X683" s="18">
        <f t="shared" si="229"/>
        <v>2025</v>
      </c>
      <c r="Y683" s="17">
        <f t="shared" si="222"/>
        <v>0.73739475859817571</v>
      </c>
      <c r="Z683" t="str">
        <f t="shared" si="223"/>
        <v>SO17430</v>
      </c>
      <c r="AA683" s="11">
        <f t="shared" si="230"/>
        <v>45840.432303240741</v>
      </c>
      <c r="AB683" s="5" t="str">
        <f t="shared" si="231"/>
        <v>INV13523</v>
      </c>
      <c r="AC683" s="5" t="str">
        <f>IFERROR(VLOOKUP(D683,CAARStatus!$A$2:$AA$1600,22,FALSE),"Not invoiced")</f>
        <v>Paid</v>
      </c>
      <c r="AD683" s="11">
        <f>IF(AC683="Paid",IFERROR(VLOOKUP(D683,CAARStatus!$A$2:$AA$1600,6,FALSE),"Pending"),"Pending")</f>
        <v>45967</v>
      </c>
      <c r="AE683" s="5" t="str">
        <f t="shared" si="232"/>
        <v>PO# 008082</v>
      </c>
      <c r="AF683" s="5" t="str">
        <f t="shared" si="233"/>
        <v>Sling-Choker Manufacturing - Timmins</v>
      </c>
      <c r="AG683" s="5" t="str">
        <f t="shared" si="234"/>
        <v>CAD</v>
      </c>
      <c r="AH683" s="5">
        <f t="shared" si="235"/>
        <v>3388.05</v>
      </c>
      <c r="AI683" s="12">
        <f>IF(L683-N683=0,VLOOKUP(U683,rate!A$4:B$15,2,FALSE)*AH683,IF(AG683="USD",O683,AH683*Y683))</f>
        <v>2498.3303118685494</v>
      </c>
      <c r="AJ683" s="13">
        <f t="shared" si="236"/>
        <v>0.73739475859817571</v>
      </c>
      <c r="AK683" s="61">
        <f>IF(AC683="Paid",-IF(AG683="CAD",IFERROR(VLOOKUP(D683,CAARStatus!$A$1:$Y$1600,16,FALSE),0),0),0)</f>
        <v>-3308</v>
      </c>
      <c r="AL683" s="61">
        <f>IF(AC683="Paid",-IF(AG683="USD",IFERROR(VLOOKUP(D683,CAARStatus!$A$1:$Y$1600,11,FALSE),0),0),0)</f>
        <v>0</v>
      </c>
      <c r="AM683" s="22">
        <f t="shared" si="237"/>
        <v>80.050000000000182</v>
      </c>
      <c r="AN683" s="12" t="str">
        <f t="shared" si="238"/>
        <v/>
      </c>
      <c r="AO683" s="12" t="str">
        <f t="shared" si="239"/>
        <v>Yes</v>
      </c>
      <c r="AP683" t="str">
        <f t="shared" si="224"/>
        <v>XX</v>
      </c>
      <c r="AQ683" t="str">
        <f>IFERROR(VLOOKUP(Z683,InvBal!$L$4:$P$600,4,FALSE),"Pend")</f>
        <v>Yes</v>
      </c>
      <c r="AR683" t="str">
        <f>IFERROR(VLOOKUP(D683,Manual!$C$1:$E$22,2,FALSE),"Pend")</f>
        <v>Pend</v>
      </c>
      <c r="AS683" t="str">
        <f t="shared" si="240"/>
        <v>Yes</v>
      </c>
      <c r="AT683" t="str">
        <f t="shared" si="241"/>
        <v>Yes</v>
      </c>
      <c r="AU683" s="51" t="str">
        <f t="shared" si="242"/>
        <v>Yes</v>
      </c>
      <c r="AV683" s="12">
        <f>IFERROR(VLOOKUP(D683,'Receivable Invoice Detail'!$S$1:$U$3014,3,FALSE),0)</f>
        <v>0</v>
      </c>
      <c r="AW683" s="12">
        <f t="shared" si="243"/>
        <v>2498.3303118685494</v>
      </c>
    </row>
    <row r="684" spans="1:49" x14ac:dyDescent="0.25">
      <c r="A684" s="2"/>
      <c r="B684" s="2"/>
      <c r="C684" s="2"/>
      <c r="D684" s="2" t="s">
        <v>2929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f t="shared" si="225"/>
        <v>2</v>
      </c>
      <c r="U684" s="18">
        <f t="shared" si="226"/>
        <v>7</v>
      </c>
      <c r="V684" s="18">
        <f t="shared" si="227"/>
        <v>2025</v>
      </c>
      <c r="W684" s="18">
        <f t="shared" si="228"/>
        <v>9</v>
      </c>
      <c r="X684" s="18">
        <f t="shared" si="229"/>
        <v>2025</v>
      </c>
      <c r="Y684" s="2">
        <f t="shared" si="222"/>
        <v>0.73739475859817571</v>
      </c>
      <c r="Z684" t="str">
        <f t="shared" si="223"/>
        <v>SO17430</v>
      </c>
      <c r="AA684" s="11">
        <f t="shared" si="230"/>
        <v>45840.432303240741</v>
      </c>
      <c r="AB684" s="5" t="str">
        <f t="shared" si="231"/>
        <v>INV13326</v>
      </c>
      <c r="AC684" s="5" t="str">
        <f>IFERROR(VLOOKUP(D684,CAARStatus!$A$2:$AA$1600,22,FALSE),"Not invoiced")</f>
        <v>Paid</v>
      </c>
      <c r="AD684" s="11">
        <f>IF(AC684="Paid",IFERROR(VLOOKUP(D684,CAARStatus!$A$2:$AA$1600,6,FALSE),"Pending"),"Pending")</f>
        <v>45924</v>
      </c>
      <c r="AE684" s="5" t="str">
        <f t="shared" si="232"/>
        <v>PO# 008082</v>
      </c>
      <c r="AF684" s="5" t="str">
        <f t="shared" si="233"/>
        <v>Sling-Choker Manufacturing - Timmins</v>
      </c>
      <c r="AG684" s="5" t="str">
        <f t="shared" si="234"/>
        <v>CAD</v>
      </c>
      <c r="AH684" s="5">
        <f t="shared" si="235"/>
        <v>0</v>
      </c>
      <c r="AI684" s="12">
        <f>IF(L684-N684=0,VLOOKUP(U684,rate!A$4:B$15,2,FALSE)*AH684,IF(AG684="USD",O684,AH684*Y684))</f>
        <v>0</v>
      </c>
      <c r="AJ684" s="13">
        <f t="shared" si="236"/>
        <v>0</v>
      </c>
      <c r="AK684" s="13">
        <f>-IF(AG684="CAD",IFERROR(VLOOKUP(D684,CAARStatus!$A$1:$Y$1600,16,FALSE),0),0)</f>
        <v>-80.05</v>
      </c>
      <c r="AL684" s="13">
        <f>-IF(AG684="USD",IFERROR(VLOOKUP(D684,CAARStatus!$A$1:$Y$1600,11,FALSE),0),0)</f>
        <v>0</v>
      </c>
      <c r="AM684" s="22">
        <f t="shared" si="237"/>
        <v>-80.05</v>
      </c>
      <c r="AN684" s="12" t="str">
        <f t="shared" si="238"/>
        <v/>
      </c>
      <c r="AO684" s="12" t="str">
        <f t="shared" si="239"/>
        <v>Yes</v>
      </c>
      <c r="AP684" t="str">
        <f t="shared" si="224"/>
        <v>XX</v>
      </c>
      <c r="AQ684" t="str">
        <f>IFERROR(VLOOKUP(Z684,InvBal!$L$4:$P$600,4,FALSE),"Pend")</f>
        <v>Yes</v>
      </c>
      <c r="AR684" t="str">
        <f>IFERROR(VLOOKUP(D684,Manual!$C$1:$E$22,2,FALSE),"Pend")</f>
        <v>Pend</v>
      </c>
      <c r="AS684" t="str">
        <f t="shared" si="240"/>
        <v>Yes</v>
      </c>
      <c r="AT684" t="str">
        <f t="shared" si="241"/>
        <v/>
      </c>
      <c r="AU684" s="51" t="str">
        <f t="shared" si="242"/>
        <v/>
      </c>
      <c r="AV684" s="12">
        <f>IFERROR(VLOOKUP(D684,'Receivable Invoice Detail'!$S$1:$U$3014,3,FALSE),0)</f>
        <v>0</v>
      </c>
      <c r="AW684" s="12">
        <f t="shared" si="243"/>
        <v>0</v>
      </c>
    </row>
    <row r="685" spans="1:49" x14ac:dyDescent="0.25">
      <c r="A685" s="2">
        <v>2</v>
      </c>
      <c r="B685" s="2" t="s">
        <v>1103</v>
      </c>
      <c r="C685" s="2" t="s">
        <v>1104</v>
      </c>
      <c r="D685" s="2" t="s">
        <v>2938</v>
      </c>
      <c r="E685" s="2" t="s">
        <v>1105</v>
      </c>
      <c r="F685" s="3">
        <v>45840.481064814812</v>
      </c>
      <c r="G685" s="3">
        <v>45846.420185185183</v>
      </c>
      <c r="H685" s="2"/>
      <c r="I685" s="2" t="s">
        <v>21</v>
      </c>
      <c r="J685" s="2" t="s">
        <v>22</v>
      </c>
      <c r="K685" s="2">
        <v>1</v>
      </c>
      <c r="L685" s="2">
        <v>485.26</v>
      </c>
      <c r="M685" s="2">
        <v>485.26</v>
      </c>
      <c r="N685" s="2">
        <v>485.26</v>
      </c>
      <c r="O685" s="2">
        <v>429.43</v>
      </c>
      <c r="P685" s="2">
        <v>55.83</v>
      </c>
      <c r="Q685" s="2">
        <v>485.26</v>
      </c>
      <c r="R685" s="2" t="s">
        <v>44</v>
      </c>
      <c r="S685" s="2"/>
      <c r="T685" s="2">
        <f t="shared" si="225"/>
        <v>2</v>
      </c>
      <c r="U685" s="18">
        <f t="shared" si="226"/>
        <v>7</v>
      </c>
      <c r="V685" s="18">
        <f t="shared" si="227"/>
        <v>2025</v>
      </c>
      <c r="W685" s="18">
        <f t="shared" si="228"/>
        <v>12</v>
      </c>
      <c r="X685" s="18">
        <f t="shared" si="229"/>
        <v>2025</v>
      </c>
      <c r="Y685" s="2">
        <f t="shared" si="222"/>
        <v>1</v>
      </c>
      <c r="Z685" t="str">
        <f t="shared" si="223"/>
        <v>SO17431</v>
      </c>
      <c r="AA685" s="11">
        <f t="shared" si="230"/>
        <v>45840.481064814812</v>
      </c>
      <c r="AB685" s="5" t="str">
        <f t="shared" si="231"/>
        <v>INV13496</v>
      </c>
      <c r="AC685" s="5" t="str">
        <f>IFERROR(VLOOKUP(D685,CAARStatus!$A$2:$AA$1600,22,FALSE),"Not invoiced")</f>
        <v>Paid</v>
      </c>
      <c r="AD685" s="11">
        <f>IF(AC685="Paid",IFERROR(VLOOKUP(D685,CAARStatus!$A$2:$AA$1600,6,FALSE),"Pending"),"Pending")</f>
        <v>45995</v>
      </c>
      <c r="AE685" s="5" t="str">
        <f t="shared" si="232"/>
        <v>PO # 59484</v>
      </c>
      <c r="AF685" s="5" t="str">
        <f t="shared" si="233"/>
        <v>Lake Shore Gold Corp</v>
      </c>
      <c r="AG685" s="5" t="str">
        <f t="shared" si="234"/>
        <v>CAD</v>
      </c>
      <c r="AH685" s="5">
        <f t="shared" si="235"/>
        <v>429.43</v>
      </c>
      <c r="AI685" s="12">
        <f>IF(L685-N685=0,VLOOKUP(U685,rate!A$4:B$15,2,FALSE)*AH685,IF(AG685="USD",O685,AH685*Y685))</f>
        <v>313.29403374402921</v>
      </c>
      <c r="AJ685" s="13">
        <f t="shared" si="236"/>
        <v>0.72955786448089144</v>
      </c>
      <c r="AK685" s="13">
        <f>-IF(AG685="CAD",IFERROR(VLOOKUP(D685,CAARStatus!$A$1:$Y$1600,16,FALSE),0),0)</f>
        <v>-406</v>
      </c>
      <c r="AL685" s="13">
        <f>-IF(AG685="USD",IFERROR(VLOOKUP(D685,CAARStatus!$A$1:$Y$1600,11,FALSE),0),0)</f>
        <v>0</v>
      </c>
      <c r="AM685" s="22">
        <f t="shared" si="237"/>
        <v>23.430000000000007</v>
      </c>
      <c r="AN685" s="12" t="str">
        <f t="shared" si="238"/>
        <v/>
      </c>
      <c r="AO685" s="12" t="str">
        <f t="shared" si="239"/>
        <v>Yes</v>
      </c>
      <c r="AP685" t="str">
        <f t="shared" si="224"/>
        <v>XX</v>
      </c>
      <c r="AQ685" t="str">
        <f>IFERROR(VLOOKUP(Z685,InvBal!$L$4:$P$600,4,FALSE),"Pend")</f>
        <v>Yes</v>
      </c>
      <c r="AR685" t="str">
        <f>IFERROR(VLOOKUP(D685,Manual!$C$1:$E$22,2,FALSE),"Pend")</f>
        <v>Pend</v>
      </c>
      <c r="AS685" t="str">
        <f t="shared" si="240"/>
        <v>Yes</v>
      </c>
      <c r="AT685" t="str">
        <f t="shared" si="241"/>
        <v>Yes</v>
      </c>
      <c r="AU685" s="51" t="str">
        <f t="shared" si="242"/>
        <v>Yes</v>
      </c>
      <c r="AV685" s="12">
        <f>IFERROR(VLOOKUP(D685,'Receivable Invoice Detail'!$S$1:$U$3014,3,FALSE),0)</f>
        <v>0</v>
      </c>
      <c r="AW685" s="12">
        <f t="shared" si="243"/>
        <v>313.29403374402921</v>
      </c>
    </row>
    <row r="686" spans="1:49" x14ac:dyDescent="0.25">
      <c r="A686" s="2"/>
      <c r="B686" s="2"/>
      <c r="C686" s="2"/>
      <c r="D686" s="2" t="s">
        <v>2937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f t="shared" si="225"/>
        <v>2</v>
      </c>
      <c r="U686" s="18">
        <f t="shared" si="226"/>
        <v>7</v>
      </c>
      <c r="V686" s="18">
        <f t="shared" si="227"/>
        <v>2025</v>
      </c>
      <c r="W686" s="18">
        <f t="shared" si="228"/>
        <v>9</v>
      </c>
      <c r="X686" s="18">
        <f t="shared" si="229"/>
        <v>2025</v>
      </c>
      <c r="Y686" s="2">
        <f t="shared" si="222"/>
        <v>1</v>
      </c>
      <c r="Z686" t="str">
        <f t="shared" si="223"/>
        <v>SO17431</v>
      </c>
      <c r="AA686" s="11">
        <f t="shared" si="230"/>
        <v>45840.481064814812</v>
      </c>
      <c r="AB686" s="5" t="str">
        <f t="shared" si="231"/>
        <v>INV13156</v>
      </c>
      <c r="AC686" s="5" t="str">
        <f>IFERROR(VLOOKUP(D686,CAARStatus!$A$2:$AA$1600,22,FALSE),"Not invoiced")</f>
        <v>Paid</v>
      </c>
      <c r="AD686" s="11">
        <f>IF(AC686="Paid",IFERROR(VLOOKUP(D686,CAARStatus!$A$2:$AA$1600,6,FALSE),"Pending"),"Pending")</f>
        <v>45908</v>
      </c>
      <c r="AE686" s="5" t="str">
        <f t="shared" si="232"/>
        <v>PO # 59484</v>
      </c>
      <c r="AF686" s="5" t="str">
        <f t="shared" si="233"/>
        <v>Lake Shore Gold Corp</v>
      </c>
      <c r="AG686" s="5" t="str">
        <f t="shared" si="234"/>
        <v>CAD</v>
      </c>
      <c r="AH686" s="5">
        <f t="shared" si="235"/>
        <v>0</v>
      </c>
      <c r="AI686" s="12">
        <f>IF(L686-N686=0,VLOOKUP(U686,rate!A$4:B$15,2,FALSE)*AH686,IF(AG686="USD",O686,AH686*Y686))</f>
        <v>0</v>
      </c>
      <c r="AJ686" s="13">
        <f t="shared" si="236"/>
        <v>0</v>
      </c>
      <c r="AK686" s="13">
        <f>-IF(AG686="CAD",IFERROR(VLOOKUP(D686,CAARStatus!$A$1:$Y$1600,16,FALSE),0),0)</f>
        <v>-23.43</v>
      </c>
      <c r="AL686" s="13">
        <f>-IF(AG686="USD",IFERROR(VLOOKUP(D686,CAARStatus!$A$1:$Y$1600,11,FALSE),0),0)</f>
        <v>0</v>
      </c>
      <c r="AM686" s="22">
        <f t="shared" si="237"/>
        <v>-23.43</v>
      </c>
      <c r="AN686" s="12" t="str">
        <f t="shared" si="238"/>
        <v/>
      </c>
      <c r="AO686" s="12" t="str">
        <f t="shared" si="239"/>
        <v>Yes</v>
      </c>
      <c r="AP686" t="str">
        <f t="shared" si="224"/>
        <v>XX</v>
      </c>
      <c r="AQ686" t="str">
        <f>IFERROR(VLOOKUP(Z686,InvBal!$L$4:$P$600,4,FALSE),"Pend")</f>
        <v>Yes</v>
      </c>
      <c r="AR686" t="str">
        <f>IFERROR(VLOOKUP(D686,Manual!$C$1:$E$22,2,FALSE),"Pend")</f>
        <v>Pend</v>
      </c>
      <c r="AS686" t="str">
        <f t="shared" si="240"/>
        <v>Yes</v>
      </c>
      <c r="AT686" t="str">
        <f t="shared" si="241"/>
        <v/>
      </c>
      <c r="AU686" s="51" t="str">
        <f t="shared" si="242"/>
        <v/>
      </c>
      <c r="AV686" s="12">
        <f>IFERROR(VLOOKUP(D686,'Receivable Invoice Detail'!$S$1:$U$3014,3,FALSE),0)</f>
        <v>0</v>
      </c>
      <c r="AW686" s="12">
        <f t="shared" si="243"/>
        <v>0</v>
      </c>
    </row>
    <row r="687" spans="1:49" x14ac:dyDescent="0.25">
      <c r="A687" s="2">
        <v>1</v>
      </c>
      <c r="B687" s="2" t="s">
        <v>924</v>
      </c>
      <c r="C687" s="2" t="s">
        <v>925</v>
      </c>
      <c r="D687" s="2" t="s">
        <v>3043</v>
      </c>
      <c r="E687" s="2" t="s">
        <v>239</v>
      </c>
      <c r="F687" s="3">
        <v>45840.542638888888</v>
      </c>
      <c r="G687" s="3">
        <v>45868.383842592593</v>
      </c>
      <c r="H687" s="4">
        <v>45972</v>
      </c>
      <c r="I687" s="2" t="s">
        <v>180</v>
      </c>
      <c r="J687" s="2" t="s">
        <v>51</v>
      </c>
      <c r="K687" s="2">
        <v>0.72888272157316658</v>
      </c>
      <c r="L687" s="2">
        <v>861.18106716155762</v>
      </c>
      <c r="M687" s="2">
        <v>0</v>
      </c>
      <c r="N687" s="2">
        <v>627.70000000000005</v>
      </c>
      <c r="O687" s="2">
        <v>627.70000000000005</v>
      </c>
      <c r="P687" s="2"/>
      <c r="Q687" s="2">
        <v>627.70000000000005</v>
      </c>
      <c r="R687" s="2" t="s">
        <v>44</v>
      </c>
      <c r="S687" s="2"/>
      <c r="T687" s="2">
        <f t="shared" si="225"/>
        <v>1</v>
      </c>
      <c r="U687" s="18">
        <f t="shared" si="226"/>
        <v>7</v>
      </c>
      <c r="V687" s="18">
        <f t="shared" si="227"/>
        <v>2025</v>
      </c>
      <c r="W687" s="18" t="str">
        <f t="shared" si="228"/>
        <v/>
      </c>
      <c r="X687" s="18" t="str">
        <f t="shared" si="229"/>
        <v/>
      </c>
      <c r="Y687" s="2">
        <f t="shared" si="222"/>
        <v>0.72888272157316658</v>
      </c>
      <c r="Z687" t="str">
        <f t="shared" si="223"/>
        <v>SO17432</v>
      </c>
      <c r="AA687" s="11">
        <f t="shared" si="230"/>
        <v>45840.542638888888</v>
      </c>
      <c r="AB687" s="5" t="str">
        <f t="shared" si="231"/>
        <v>INV13534</v>
      </c>
      <c r="AC687" s="5" t="str">
        <f>IFERROR(VLOOKUP(D687,CAARStatus!$A$2:$AA$1600,22,FALSE),"Not invoiced")</f>
        <v>Approved</v>
      </c>
      <c r="AD687" s="11" t="str">
        <f>IF(AC687="Paid",IFERROR(VLOOKUP(D687,CAARStatus!$A$2:$AA$1600,6,FALSE),"Pending"),"Pending")</f>
        <v>Pending</v>
      </c>
      <c r="AE687" s="5" t="str">
        <f t="shared" si="232"/>
        <v>1056</v>
      </c>
      <c r="AF687" s="5" t="str">
        <f t="shared" si="233"/>
        <v>Mill-Right Mine Services Inc.</v>
      </c>
      <c r="AG687" s="5" t="str">
        <f t="shared" si="234"/>
        <v>USD</v>
      </c>
      <c r="AH687" s="5">
        <f t="shared" si="235"/>
        <v>861.18106716155762</v>
      </c>
      <c r="AI687" s="12">
        <f>IF(L687-N687=0,VLOOKUP(U687,rate!A$4:B$15,2,FALSE)*AH687,IF(AG687="USD",O687,AH687*Y687))</f>
        <v>627.70000000000005</v>
      </c>
      <c r="AJ687" s="13">
        <f t="shared" si="236"/>
        <v>0.72888272157316658</v>
      </c>
      <c r="AK687" s="13">
        <f>-IF(AG687="CAD",IFERROR(VLOOKUP(D687,CAARStatus!$A$1:$Y$1600,16,FALSE),0),0)</f>
        <v>0</v>
      </c>
      <c r="AL687" s="13">
        <f>-IF(AG687="USD",IFERROR(VLOOKUP(D687,CAARStatus!$A$1:$Y$1600,11,FALSE),0),0)</f>
        <v>-627.70000000000005</v>
      </c>
      <c r="AM687" s="22" t="str">
        <f t="shared" si="237"/>
        <v/>
      </c>
      <c r="AN687" s="12">
        <f t="shared" si="238"/>
        <v>0</v>
      </c>
      <c r="AO687" s="12" t="str">
        <f t="shared" si="239"/>
        <v>Pend</v>
      </c>
      <c r="AP687" t="str">
        <f t="shared" si="224"/>
        <v>Pend</v>
      </c>
      <c r="AQ687" t="str">
        <f>IFERROR(VLOOKUP(Z687,InvBal!$L$4:$P$600,4,FALSE),"Pend")</f>
        <v>Pend</v>
      </c>
      <c r="AR687" t="str">
        <f>IFERROR(VLOOKUP(D687,Manual!$C$1:$E$22,2,FALSE),"Pend")</f>
        <v>Pend</v>
      </c>
      <c r="AS687" t="str">
        <f t="shared" si="240"/>
        <v/>
      </c>
      <c r="AT687" t="str">
        <f t="shared" si="241"/>
        <v>Yes</v>
      </c>
      <c r="AU687" s="51" t="str">
        <f t="shared" si="242"/>
        <v/>
      </c>
      <c r="AV687" s="12">
        <f>IFERROR(VLOOKUP(D687,'Receivable Invoice Detail'!$S$1:$U$3014,3,FALSE),0)</f>
        <v>0</v>
      </c>
      <c r="AW687" s="12">
        <f t="shared" si="243"/>
        <v>0</v>
      </c>
    </row>
    <row r="688" spans="1:49" ht="30" x14ac:dyDescent="0.25">
      <c r="A688" s="2">
        <v>1</v>
      </c>
      <c r="B688" s="2" t="s">
        <v>1118</v>
      </c>
      <c r="C688" s="2" t="s">
        <v>1119</v>
      </c>
      <c r="D688" s="2" t="s">
        <v>2928</v>
      </c>
      <c r="E688" s="2" t="s">
        <v>129</v>
      </c>
      <c r="F688" s="3">
        <v>45840.779675925929</v>
      </c>
      <c r="G688" s="3">
        <v>45840.779710648138</v>
      </c>
      <c r="H688" s="4">
        <v>45976</v>
      </c>
      <c r="I688" s="2" t="s">
        <v>130</v>
      </c>
      <c r="J688" s="2" t="s">
        <v>51</v>
      </c>
      <c r="K688" s="2">
        <v>0.73421842111587643</v>
      </c>
      <c r="L688" s="2">
        <v>1195.8294354227751</v>
      </c>
      <c r="M688" s="2">
        <v>0</v>
      </c>
      <c r="N688" s="2">
        <v>878</v>
      </c>
      <c r="O688" s="2">
        <v>878</v>
      </c>
      <c r="P688" s="2"/>
      <c r="Q688" s="2">
        <v>878</v>
      </c>
      <c r="R688" s="2" t="s">
        <v>44</v>
      </c>
      <c r="S688" s="2"/>
      <c r="T688" s="2">
        <f t="shared" si="225"/>
        <v>1</v>
      </c>
      <c r="U688" s="18">
        <f t="shared" si="226"/>
        <v>7</v>
      </c>
      <c r="V688" s="18">
        <f t="shared" si="227"/>
        <v>2025</v>
      </c>
      <c r="W688" s="18" t="str">
        <f t="shared" si="228"/>
        <v/>
      </c>
      <c r="X688" s="18" t="str">
        <f t="shared" si="229"/>
        <v/>
      </c>
      <c r="Y688" s="2">
        <f t="shared" si="222"/>
        <v>0.73421842111587654</v>
      </c>
      <c r="Z688" t="str">
        <f t="shared" si="223"/>
        <v>SO17434</v>
      </c>
      <c r="AA688" s="11">
        <f t="shared" si="230"/>
        <v>45840.779675925929</v>
      </c>
      <c r="AB688" s="5" t="str">
        <f t="shared" si="231"/>
        <v>INV13358</v>
      </c>
      <c r="AC688" s="5" t="str">
        <f>IFERROR(VLOOKUP(D688,CAARStatus!$A$2:$AA$1600,22,FALSE),"Not invoiced")</f>
        <v>Approved</v>
      </c>
      <c r="AD688" s="11" t="str">
        <f>IF(AC688="Paid",IFERROR(VLOOKUP(D688,CAARStatus!$A$2:$AA$1600,6,FALSE),"Pending"),"Pending")</f>
        <v>Pending</v>
      </c>
      <c r="AE688" s="5" t="str">
        <f t="shared" si="232"/>
        <v>OC00177</v>
      </c>
      <c r="AF688" s="5" t="str">
        <f t="shared" si="233"/>
        <v>Dynapro Pumps México S de RL de CV</v>
      </c>
      <c r="AG688" s="5" t="str">
        <f t="shared" si="234"/>
        <v>USD</v>
      </c>
      <c r="AH688" s="5">
        <f t="shared" si="235"/>
        <v>1195.8294354227753</v>
      </c>
      <c r="AI688" s="12">
        <f>IF(L688-N688=0,VLOOKUP(U688,rate!A$4:B$15,2,FALSE)*AH688,IF(AG688="USD",O688,AH688*Y688))</f>
        <v>878</v>
      </c>
      <c r="AJ688" s="13">
        <f t="shared" si="236"/>
        <v>0.73421842111587643</v>
      </c>
      <c r="AK688" s="13">
        <f>-IF(AG688="CAD",IFERROR(VLOOKUP(D688,CAARStatus!$A$1:$Y$1600,16,FALSE),0),0)</f>
        <v>0</v>
      </c>
      <c r="AL688" s="13">
        <f>-IF(AG688="USD",IFERROR(VLOOKUP(D688,CAARStatus!$A$1:$Y$1600,11,FALSE),0),0)</f>
        <v>-878</v>
      </c>
      <c r="AM688" s="22" t="str">
        <f t="shared" si="237"/>
        <v/>
      </c>
      <c r="AN688" s="12">
        <f t="shared" si="238"/>
        <v>0</v>
      </c>
      <c r="AO688" s="12" t="str">
        <f t="shared" si="239"/>
        <v>Pend</v>
      </c>
      <c r="AP688" t="str">
        <f t="shared" si="224"/>
        <v>Pend</v>
      </c>
      <c r="AQ688" t="str">
        <f>IFERROR(VLOOKUP(Z688,InvBal!$L$4:$P$600,4,FALSE),"Pend")</f>
        <v>Pend</v>
      </c>
      <c r="AR688" t="str">
        <f>IFERROR(VLOOKUP(D688,Manual!$C$1:$E$22,2,FALSE),"Pend")</f>
        <v>Pend</v>
      </c>
      <c r="AS688" t="str">
        <f t="shared" si="240"/>
        <v/>
      </c>
      <c r="AT688" t="str">
        <f t="shared" si="241"/>
        <v>Yes</v>
      </c>
      <c r="AU688" s="51" t="str">
        <f t="shared" si="242"/>
        <v/>
      </c>
      <c r="AV688" s="12">
        <f>IFERROR(VLOOKUP(D688,'Receivable Invoice Detail'!$S$1:$U$3014,3,FALSE),0)</f>
        <v>0</v>
      </c>
      <c r="AW688" s="12">
        <f t="shared" si="243"/>
        <v>0</v>
      </c>
    </row>
    <row r="689" spans="1:49" x14ac:dyDescent="0.25">
      <c r="A689" s="2">
        <v>0</v>
      </c>
      <c r="B689" s="2" t="s">
        <v>565</v>
      </c>
      <c r="C689" s="2" t="s">
        <v>566</v>
      </c>
      <c r="D689" s="2"/>
      <c r="E689" s="2" t="s">
        <v>567</v>
      </c>
      <c r="F689" s="3">
        <v>45841.481504629628</v>
      </c>
      <c r="G689" s="3">
        <v>45925.329293981478</v>
      </c>
      <c r="H689" s="4">
        <v>46024</v>
      </c>
      <c r="I689" s="2" t="s">
        <v>40</v>
      </c>
      <c r="J689" s="2" t="s">
        <v>22</v>
      </c>
      <c r="K689" s="2">
        <v>1</v>
      </c>
      <c r="L689" s="2">
        <v>1970.72</v>
      </c>
      <c r="M689" s="2">
        <v>0</v>
      </c>
      <c r="N689" s="2">
        <v>1415.323336603095</v>
      </c>
      <c r="O689" s="2">
        <v>1744</v>
      </c>
      <c r="P689" s="2">
        <v>226.72</v>
      </c>
      <c r="Q689" s="2">
        <v>1970.72</v>
      </c>
      <c r="R689" s="2" t="s">
        <v>23</v>
      </c>
      <c r="S689" s="2"/>
      <c r="T689" s="2">
        <f t="shared" si="225"/>
        <v>0</v>
      </c>
      <c r="U689" s="18">
        <f t="shared" si="226"/>
        <v>7</v>
      </c>
      <c r="V689" s="18">
        <f t="shared" si="227"/>
        <v>2025</v>
      </c>
      <c r="W689" s="18" t="str">
        <f t="shared" si="228"/>
        <v/>
      </c>
      <c r="X689" s="18" t="str">
        <f t="shared" si="229"/>
        <v/>
      </c>
      <c r="Y689" s="2">
        <f t="shared" si="222"/>
        <v>0.71817576144916317</v>
      </c>
      <c r="Z689" t="str">
        <f t="shared" si="223"/>
        <v>SO17437</v>
      </c>
      <c r="AA689" s="11">
        <f t="shared" si="230"/>
        <v>45841.481504629628</v>
      </c>
      <c r="AB689" s="5" t="str">
        <f t="shared" si="231"/>
        <v>No Inv</v>
      </c>
      <c r="AC689" s="5" t="str">
        <f>IFERROR(VLOOKUP(D689,CAARStatus!$A$2:$AA$1600,22,FALSE),"Not invoiced")</f>
        <v>Not invoiced</v>
      </c>
      <c r="AD689" s="11" t="str">
        <f>IF(AC689="Paid",IFERROR(VLOOKUP(D689,CAARStatus!$A$2:$AA$1600,6,FALSE),"Pending"),"Pending")</f>
        <v>Pending</v>
      </c>
      <c r="AE689" s="5" t="str">
        <f t="shared" si="232"/>
        <v>231167</v>
      </c>
      <c r="AF689" s="5" t="str">
        <f t="shared" si="233"/>
        <v>Burlington Pump Inc.</v>
      </c>
      <c r="AG689" s="5" t="str">
        <f t="shared" si="234"/>
        <v>CAD</v>
      </c>
      <c r="AH689" s="5">
        <f t="shared" si="235"/>
        <v>1744</v>
      </c>
      <c r="AI689" s="12">
        <f>IF(L689-N689=0,VLOOKUP(U689,rate!A$4:B$15,2,FALSE)*AH689,IF(AG689="USD",O689,AH689*Y689))</f>
        <v>1252.4985279673406</v>
      </c>
      <c r="AJ689" s="13">
        <f t="shared" si="236"/>
        <v>0.71817576144916317</v>
      </c>
      <c r="AK689" s="13">
        <f>-IF(AG689="CAD",IFERROR(VLOOKUP(D689,CAARStatus!$A$1:$Y$1600,16,FALSE),0),0)</f>
        <v>0</v>
      </c>
      <c r="AL689" s="13">
        <f>-IF(AG689="USD",IFERROR(VLOOKUP(D689,CAARStatus!$A$1:$Y$1600,11,FALSE),0),0)</f>
        <v>0</v>
      </c>
      <c r="AM689" s="22">
        <f t="shared" si="237"/>
        <v>1744</v>
      </c>
      <c r="AN689" s="12" t="str">
        <f t="shared" si="238"/>
        <v/>
      </c>
      <c r="AO689" s="12" t="str">
        <f t="shared" si="239"/>
        <v>Pend</v>
      </c>
      <c r="AP689" t="str">
        <f t="shared" si="224"/>
        <v>Pend</v>
      </c>
      <c r="AQ689" t="str">
        <f>IFERROR(VLOOKUP(Z689,InvBal!$L$4:$P$600,4,FALSE),"Pend")</f>
        <v>Pend</v>
      </c>
      <c r="AR689" t="str">
        <f>IFERROR(VLOOKUP(D689,Manual!$C$1:$E$22,2,FALSE),"Pend")</f>
        <v>Pend</v>
      </c>
      <c r="AS689" t="str">
        <f t="shared" si="240"/>
        <v/>
      </c>
      <c r="AT689" t="str">
        <f t="shared" si="241"/>
        <v/>
      </c>
      <c r="AU689" s="51" t="str">
        <f t="shared" si="242"/>
        <v/>
      </c>
      <c r="AV689" s="12">
        <f>IFERROR(VLOOKUP(D689,'Receivable Invoice Detail'!$S$1:$U$3014,3,FALSE),0)</f>
        <v>0</v>
      </c>
      <c r="AW689" s="12">
        <f t="shared" si="243"/>
        <v>0</v>
      </c>
    </row>
    <row r="690" spans="1:49" ht="30" x14ac:dyDescent="0.25">
      <c r="A690" s="2">
        <v>1</v>
      </c>
      <c r="B690" s="2" t="s">
        <v>1114</v>
      </c>
      <c r="C690" s="2" t="s">
        <v>1115</v>
      </c>
      <c r="D690" s="2" t="s">
        <v>2931</v>
      </c>
      <c r="E690" s="2" t="s">
        <v>714</v>
      </c>
      <c r="F690" s="3">
        <v>45841.684687499997</v>
      </c>
      <c r="G690" s="3">
        <v>45841.685358796298</v>
      </c>
      <c r="H690" s="4">
        <v>45842</v>
      </c>
      <c r="I690" s="2" t="s">
        <v>21</v>
      </c>
      <c r="J690" s="2" t="s">
        <v>51</v>
      </c>
      <c r="K690" s="2">
        <v>0.7320484304923629</v>
      </c>
      <c r="L690" s="2">
        <v>0</v>
      </c>
      <c r="M690" s="2">
        <v>0</v>
      </c>
      <c r="N690" s="2">
        <v>0</v>
      </c>
      <c r="O690" s="2"/>
      <c r="P690" s="2"/>
      <c r="Q690" s="2"/>
      <c r="R690" s="2" t="s">
        <v>44</v>
      </c>
      <c r="S690" s="2"/>
      <c r="T690" s="2">
        <f t="shared" si="225"/>
        <v>1</v>
      </c>
      <c r="U690" s="18">
        <f t="shared" si="226"/>
        <v>7</v>
      </c>
      <c r="V690" s="18">
        <f t="shared" si="227"/>
        <v>2025</v>
      </c>
      <c r="W690" s="18">
        <f t="shared" si="228"/>
        <v>1</v>
      </c>
      <c r="X690" s="18">
        <f t="shared" si="229"/>
        <v>1900</v>
      </c>
      <c r="Y690" s="2" t="e">
        <f t="shared" si="222"/>
        <v>#DIV/0!</v>
      </c>
      <c r="Z690" t="str">
        <f t="shared" si="223"/>
        <v>SO17439</v>
      </c>
      <c r="AA690" s="11">
        <f t="shared" si="230"/>
        <v>45841.684687499997</v>
      </c>
      <c r="AB690" s="5" t="str">
        <f t="shared" si="231"/>
        <v>INV13146</v>
      </c>
      <c r="AC690" s="5" t="str">
        <f>IFERROR(VLOOKUP(D690,CAARStatus!$A$2:$AA$1600,22,FALSE),"Not invoiced")</f>
        <v>Paid</v>
      </c>
      <c r="AD690" s="11">
        <f>IF(AC690="Paid",IFERROR(VLOOKUP(D690,CAARStatus!$A$2:$AA$1600,6,FALSE),"Pending"),"Pending")</f>
        <v>0</v>
      </c>
      <c r="AE690" s="5" t="str">
        <f t="shared" si="232"/>
        <v>S303734 Replacement</v>
      </c>
      <c r="AF690" s="5" t="str">
        <f t="shared" si="233"/>
        <v>Kumtor Gold Company</v>
      </c>
      <c r="AG690" s="5" t="str">
        <f t="shared" si="234"/>
        <v>USD</v>
      </c>
      <c r="AH690" s="5">
        <f t="shared" si="235"/>
        <v>0</v>
      </c>
      <c r="AI690" s="12">
        <f>IF(L690-N690=0,VLOOKUP(U690,rate!A$4:B$15,2,FALSE)*AH690,IF(AG690="USD",O690,AH690*Y690))</f>
        <v>0</v>
      </c>
      <c r="AJ690" s="13">
        <f t="shared" si="236"/>
        <v>0</v>
      </c>
      <c r="AK690" s="13">
        <f>-IF(AG690="CAD",IFERROR(VLOOKUP(D690,CAARStatus!$A$1:$Y$1600,16,FALSE),0),0)</f>
        <v>0</v>
      </c>
      <c r="AL690" s="13">
        <f>-IF(AG690="USD",IFERROR(VLOOKUP(D690,CAARStatus!$A$1:$Y$1600,11,FALSE),0),0)</f>
        <v>0</v>
      </c>
      <c r="AM690" s="22" t="str">
        <f t="shared" si="237"/>
        <v/>
      </c>
      <c r="AN690" s="12">
        <f t="shared" si="238"/>
        <v>0</v>
      </c>
      <c r="AO690" s="12" t="str">
        <f t="shared" si="239"/>
        <v>Yes</v>
      </c>
      <c r="AP690" t="str">
        <f t="shared" si="224"/>
        <v>Yes</v>
      </c>
      <c r="AQ690" t="str">
        <f>IFERROR(VLOOKUP(Z690,InvBal!$L$4:$P$600,4,FALSE),"Pend")</f>
        <v>Pend</v>
      </c>
      <c r="AR690" t="str">
        <f>IFERROR(VLOOKUP(D690,Manual!$C$1:$E$22,2,FALSE),"Pend")</f>
        <v>Pend</v>
      </c>
      <c r="AS690" t="str">
        <f t="shared" si="240"/>
        <v>Yes</v>
      </c>
      <c r="AT690" t="str">
        <f t="shared" si="241"/>
        <v>Yes</v>
      </c>
      <c r="AU690" s="51" t="str">
        <f t="shared" si="242"/>
        <v>Yes</v>
      </c>
      <c r="AV690" s="12">
        <f>IFERROR(VLOOKUP(D690,'Receivable Invoice Detail'!$S$1:$U$3014,3,FALSE),0)</f>
        <v>0</v>
      </c>
      <c r="AW690" s="12">
        <f t="shared" si="243"/>
        <v>0</v>
      </c>
    </row>
    <row r="691" spans="1:49" ht="30" x14ac:dyDescent="0.25">
      <c r="A691" s="2">
        <v>1</v>
      </c>
      <c r="B691" s="2" t="s">
        <v>1112</v>
      </c>
      <c r="C691" s="2" t="s">
        <v>1113</v>
      </c>
      <c r="D691" s="2" t="s">
        <v>2932</v>
      </c>
      <c r="E691" s="2" t="s">
        <v>684</v>
      </c>
      <c r="F691" s="3">
        <v>45841.761874999997</v>
      </c>
      <c r="G691" s="3">
        <v>45841.76489583333</v>
      </c>
      <c r="H691" s="4">
        <v>45849</v>
      </c>
      <c r="I691" s="2" t="s">
        <v>36</v>
      </c>
      <c r="J691" s="2" t="s">
        <v>22</v>
      </c>
      <c r="K691" s="2">
        <v>1</v>
      </c>
      <c r="L691" s="2">
        <v>206.81</v>
      </c>
      <c r="M691" s="2">
        <v>0</v>
      </c>
      <c r="N691" s="2">
        <v>152.5006100256887</v>
      </c>
      <c r="O691" s="2">
        <v>196.96</v>
      </c>
      <c r="P691" s="2">
        <v>9.85</v>
      </c>
      <c r="Q691" s="2">
        <v>206.81</v>
      </c>
      <c r="R691" s="2" t="s">
        <v>44</v>
      </c>
      <c r="S691" s="2"/>
      <c r="T691" s="2">
        <f t="shared" si="225"/>
        <v>1</v>
      </c>
      <c r="U691" s="18">
        <f t="shared" si="226"/>
        <v>7</v>
      </c>
      <c r="V691" s="18">
        <f t="shared" si="227"/>
        <v>2025</v>
      </c>
      <c r="W691" s="18">
        <f t="shared" si="228"/>
        <v>9</v>
      </c>
      <c r="X691" s="18">
        <f t="shared" si="229"/>
        <v>2025</v>
      </c>
      <c r="Y691" s="2">
        <f t="shared" si="222"/>
        <v>0.7373947585981756</v>
      </c>
      <c r="Z691" t="str">
        <f t="shared" si="223"/>
        <v>SO17440</v>
      </c>
      <c r="AA691" s="11">
        <f t="shared" si="230"/>
        <v>45841.761874999997</v>
      </c>
      <c r="AB691" s="5" t="str">
        <f t="shared" si="231"/>
        <v>INV13150</v>
      </c>
      <c r="AC691" s="5" t="str">
        <f>IFERROR(VLOOKUP(D691,CAARStatus!$A$2:$AA$1600,22,FALSE),"Not invoiced")</f>
        <v>Paid</v>
      </c>
      <c r="AD691" s="11">
        <f>IF(AC691="Paid",IFERROR(VLOOKUP(D691,CAARStatus!$A$2:$AA$1600,6,FALSE),"Pending"),"Pending")</f>
        <v>45902</v>
      </c>
      <c r="AE691" s="5" t="str">
        <f t="shared" si="232"/>
        <v>4500603259</v>
      </c>
      <c r="AF691" s="5" t="str">
        <f t="shared" si="233"/>
        <v>Resolute Forest Products - Fibrek</v>
      </c>
      <c r="AG691" s="5" t="str">
        <f t="shared" si="234"/>
        <v>CAD</v>
      </c>
      <c r="AH691" s="5">
        <f t="shared" si="235"/>
        <v>196.96</v>
      </c>
      <c r="AI691" s="12">
        <f>IF(L691-N691=0,VLOOKUP(U691,rate!A$4:B$15,2,FALSE)*AH691,IF(AG691="USD",O691,AH691*Y691))</f>
        <v>145.23727165349666</v>
      </c>
      <c r="AJ691" s="13">
        <f t="shared" si="236"/>
        <v>0.7373947585981756</v>
      </c>
      <c r="AK691" s="13">
        <f>-IF(AG691="CAD",IFERROR(VLOOKUP(D691,CAARStatus!$A$1:$Y$1600,16,FALSE),0),0)</f>
        <v>-196.96</v>
      </c>
      <c r="AL691" s="13">
        <f>-IF(AG691="USD",IFERROR(VLOOKUP(D691,CAARStatus!$A$1:$Y$1600,11,FALSE),0),0)</f>
        <v>0</v>
      </c>
      <c r="AM691" s="22">
        <f t="shared" si="237"/>
        <v>0</v>
      </c>
      <c r="AN691" s="12" t="str">
        <f t="shared" si="238"/>
        <v/>
      </c>
      <c r="AO691" s="12" t="str">
        <f t="shared" si="239"/>
        <v>Yes</v>
      </c>
      <c r="AP691" t="str">
        <f t="shared" si="224"/>
        <v>Yes</v>
      </c>
      <c r="AQ691" t="str">
        <f>IFERROR(VLOOKUP(Z691,InvBal!$L$4:$P$600,4,FALSE),"Pend")</f>
        <v>Pend</v>
      </c>
      <c r="AR691" t="str">
        <f>IFERROR(VLOOKUP(D691,Manual!$C$1:$E$22,2,FALSE),"Pend")</f>
        <v>Pend</v>
      </c>
      <c r="AS691" t="str">
        <f t="shared" si="240"/>
        <v>Yes</v>
      </c>
      <c r="AT691" t="str">
        <f t="shared" si="241"/>
        <v>Yes</v>
      </c>
      <c r="AU691" s="51" t="str">
        <f t="shared" si="242"/>
        <v>Yes</v>
      </c>
      <c r="AV691" s="12">
        <f>IFERROR(VLOOKUP(D691,'Receivable Invoice Detail'!$S$1:$U$3014,3,FALSE),0)</f>
        <v>0</v>
      </c>
      <c r="AW691" s="12">
        <f t="shared" si="243"/>
        <v>145.23727165349666</v>
      </c>
    </row>
    <row r="692" spans="1:49" ht="30" x14ac:dyDescent="0.25">
      <c r="A692" s="2">
        <v>1</v>
      </c>
      <c r="B692" s="2" t="s">
        <v>1110</v>
      </c>
      <c r="C692" s="2" t="s">
        <v>1111</v>
      </c>
      <c r="D692" s="2" t="s">
        <v>2933</v>
      </c>
      <c r="E692" s="2" t="s">
        <v>232</v>
      </c>
      <c r="F692" s="3">
        <v>45842.322187500002</v>
      </c>
      <c r="G692" s="3">
        <v>45842.322500000002</v>
      </c>
      <c r="H692" s="4">
        <v>45924</v>
      </c>
      <c r="I692" s="2" t="s">
        <v>180</v>
      </c>
      <c r="J692" s="2" t="s">
        <v>51</v>
      </c>
      <c r="K692" s="2">
        <v>0.73739475859817571</v>
      </c>
      <c r="L692" s="2">
        <v>16680.34639055872</v>
      </c>
      <c r="M692" s="2">
        <v>0</v>
      </c>
      <c r="N692" s="2">
        <v>12300</v>
      </c>
      <c r="O692" s="2">
        <v>12300</v>
      </c>
      <c r="P692" s="2"/>
      <c r="Q692" s="2">
        <v>12300</v>
      </c>
      <c r="R692" s="2" t="s">
        <v>44</v>
      </c>
      <c r="S692" s="2"/>
      <c r="T692" s="2">
        <f t="shared" si="225"/>
        <v>1</v>
      </c>
      <c r="U692" s="18">
        <f t="shared" si="226"/>
        <v>7</v>
      </c>
      <c r="V692" s="18">
        <f t="shared" si="227"/>
        <v>2025</v>
      </c>
      <c r="W692" s="18" t="str">
        <f t="shared" si="228"/>
        <v/>
      </c>
      <c r="X692" s="18" t="str">
        <f t="shared" si="229"/>
        <v/>
      </c>
      <c r="Y692" s="2">
        <f t="shared" si="222"/>
        <v>0.73739475859817583</v>
      </c>
      <c r="Z692" t="str">
        <f t="shared" si="223"/>
        <v>SO17441</v>
      </c>
      <c r="AA692" s="11">
        <f t="shared" si="230"/>
        <v>45842.322187500002</v>
      </c>
      <c r="AB692" s="5" t="str">
        <f t="shared" si="231"/>
        <v>INV13586</v>
      </c>
      <c r="AC692" s="5" t="str">
        <f>IFERROR(VLOOKUP(D692,CAARStatus!$A$2:$AA$1600,22,FALSE),"Not invoiced")</f>
        <v>Approved</v>
      </c>
      <c r="AD692" s="11" t="str">
        <f>IF(AC692="Paid",IFERROR(VLOOKUP(D692,CAARStatus!$A$2:$AA$1600,6,FALSE),"Pending"),"Pending")</f>
        <v>Pending</v>
      </c>
      <c r="AE692" s="5" t="str">
        <f t="shared" si="232"/>
        <v>2252118</v>
      </c>
      <c r="AF692" s="5" t="str">
        <f t="shared" si="233"/>
        <v>Zijin Mining - Rosebel Goldmines N.V.</v>
      </c>
      <c r="AG692" s="5" t="str">
        <f t="shared" si="234"/>
        <v>USD</v>
      </c>
      <c r="AH692" s="5">
        <f t="shared" si="235"/>
        <v>16680.346390558723</v>
      </c>
      <c r="AI692" s="12">
        <f>IF(L692-N692=0,VLOOKUP(U692,rate!A$4:B$15,2,FALSE)*AH692,IF(AG692="USD",O692,AH692*Y692))</f>
        <v>12300</v>
      </c>
      <c r="AJ692" s="13">
        <f t="shared" si="236"/>
        <v>0.7373947585981756</v>
      </c>
      <c r="AK692" s="13">
        <f>-IF(AG692="CAD",IFERROR(VLOOKUP(D692,CAARStatus!$A$1:$Y$1600,16,FALSE),0),0)</f>
        <v>0</v>
      </c>
      <c r="AL692" s="13">
        <f>-IF(AG692="USD",IFERROR(VLOOKUP(D692,CAARStatus!$A$1:$Y$1600,11,FALSE),0),0)</f>
        <v>-12300</v>
      </c>
      <c r="AM692" s="22" t="str">
        <f t="shared" si="237"/>
        <v/>
      </c>
      <c r="AN692" s="12">
        <f t="shared" si="238"/>
        <v>0</v>
      </c>
      <c r="AO692" s="12" t="str">
        <f t="shared" si="239"/>
        <v>Pend</v>
      </c>
      <c r="AP692" t="str">
        <f t="shared" si="224"/>
        <v>Pend</v>
      </c>
      <c r="AQ692" t="str">
        <f>IFERROR(VLOOKUP(Z692,InvBal!$L$4:$P$600,4,FALSE),"Pend")</f>
        <v>Pend</v>
      </c>
      <c r="AR692" t="str">
        <f>IFERROR(VLOOKUP(D692,Manual!$C$1:$E$22,2,FALSE),"Pend")</f>
        <v>Pend</v>
      </c>
      <c r="AS692" t="str">
        <f t="shared" si="240"/>
        <v/>
      </c>
      <c r="AT692" t="str">
        <f t="shared" si="241"/>
        <v>Yes</v>
      </c>
      <c r="AU692" s="51" t="str">
        <f t="shared" si="242"/>
        <v/>
      </c>
      <c r="AV692" s="12">
        <f>IFERROR(VLOOKUP(D692,'Receivable Invoice Detail'!$S$1:$U$3014,3,FALSE),0)</f>
        <v>0</v>
      </c>
      <c r="AW692" s="12">
        <f t="shared" si="243"/>
        <v>0</v>
      </c>
    </row>
    <row r="693" spans="1:49" ht="30" x14ac:dyDescent="0.25">
      <c r="A693" s="2">
        <v>1</v>
      </c>
      <c r="B693" s="2" t="s">
        <v>1089</v>
      </c>
      <c r="C693" s="2" t="s">
        <v>1090</v>
      </c>
      <c r="D693" s="2" t="s">
        <v>2944</v>
      </c>
      <c r="E693" s="2" t="s">
        <v>1091</v>
      </c>
      <c r="F693" s="3">
        <v>45842.387777777767</v>
      </c>
      <c r="G693" s="3">
        <v>45847.550520833327</v>
      </c>
      <c r="H693" s="4">
        <v>45868</v>
      </c>
      <c r="I693" s="2" t="s">
        <v>40</v>
      </c>
      <c r="J693" s="2" t="s">
        <v>22</v>
      </c>
      <c r="K693" s="2">
        <v>1</v>
      </c>
      <c r="L693" s="2">
        <v>508.5</v>
      </c>
      <c r="M693" s="2">
        <v>0</v>
      </c>
      <c r="N693" s="2">
        <v>371.27689427518283</v>
      </c>
      <c r="O693" s="2">
        <v>450</v>
      </c>
      <c r="P693" s="2">
        <v>58.5</v>
      </c>
      <c r="Q693" s="2">
        <v>508.5</v>
      </c>
      <c r="R693" s="2" t="s">
        <v>44</v>
      </c>
      <c r="S693" s="2"/>
      <c r="T693" s="2">
        <f t="shared" si="225"/>
        <v>1</v>
      </c>
      <c r="U693" s="18">
        <f t="shared" si="226"/>
        <v>7</v>
      </c>
      <c r="V693" s="18">
        <f t="shared" si="227"/>
        <v>2025</v>
      </c>
      <c r="W693" s="18">
        <f t="shared" si="228"/>
        <v>9</v>
      </c>
      <c r="X693" s="18">
        <f t="shared" si="229"/>
        <v>2025</v>
      </c>
      <c r="Y693" s="2">
        <f t="shared" si="222"/>
        <v>0.73014138500527592</v>
      </c>
      <c r="Z693" t="str">
        <f t="shared" si="223"/>
        <v>SO17442</v>
      </c>
      <c r="AA693" s="11">
        <f t="shared" si="230"/>
        <v>45842.387777777767</v>
      </c>
      <c r="AB693" s="5" t="str">
        <f t="shared" si="231"/>
        <v>INV13278</v>
      </c>
      <c r="AC693" s="5" t="str">
        <f>IFERROR(VLOOKUP(D693,CAARStatus!$A$2:$AA$1600,22,FALSE),"Not invoiced")</f>
        <v>Paid</v>
      </c>
      <c r="AD693" s="11">
        <f>IF(AC693="Paid",IFERROR(VLOOKUP(D693,CAARStatus!$A$2:$AA$1600,6,FALSE),"Pending"),"Pending")</f>
        <v>45918</v>
      </c>
      <c r="AE693" s="5" t="str">
        <f t="shared" si="232"/>
        <v>4500125407</v>
      </c>
      <c r="AF693" s="5" t="str">
        <f t="shared" si="233"/>
        <v>Agnico Eagle Mines Ltd. - Cochrane</v>
      </c>
      <c r="AG693" s="5" t="str">
        <f t="shared" si="234"/>
        <v>CAD</v>
      </c>
      <c r="AH693" s="5">
        <f t="shared" si="235"/>
        <v>450</v>
      </c>
      <c r="AI693" s="12">
        <f>IF(L693-N693=0,VLOOKUP(U693,rate!A$4:B$15,2,FALSE)*AH693,IF(AG693="USD",O693,AH693*Y693))</f>
        <v>328.56362325237416</v>
      </c>
      <c r="AJ693" s="13">
        <f t="shared" si="236"/>
        <v>0.73014138500527592</v>
      </c>
      <c r="AK693" s="13">
        <f>-IF(AG693="CAD",IFERROR(VLOOKUP(D693,CAARStatus!$A$1:$Y$1600,16,FALSE),0),0)</f>
        <v>-450</v>
      </c>
      <c r="AL693" s="13">
        <f>-IF(AG693="USD",IFERROR(VLOOKUP(D693,CAARStatus!$A$1:$Y$1600,11,FALSE),0),0)</f>
        <v>0</v>
      </c>
      <c r="AM693" s="22">
        <f t="shared" si="237"/>
        <v>0</v>
      </c>
      <c r="AN693" s="12" t="str">
        <f t="shared" si="238"/>
        <v/>
      </c>
      <c r="AO693" s="12" t="str">
        <f t="shared" si="239"/>
        <v>Yes</v>
      </c>
      <c r="AP693" t="str">
        <f t="shared" si="224"/>
        <v>Yes</v>
      </c>
      <c r="AQ693" t="str">
        <f>IFERROR(VLOOKUP(Z693,InvBal!$L$4:$P$600,4,FALSE),"Pend")</f>
        <v>Pend</v>
      </c>
      <c r="AR693" t="str">
        <f>IFERROR(VLOOKUP(D693,Manual!$C$1:$E$22,2,FALSE),"Pend")</f>
        <v>Pend</v>
      </c>
      <c r="AS693" t="str">
        <f t="shared" si="240"/>
        <v>Yes</v>
      </c>
      <c r="AT693" t="str">
        <f t="shared" si="241"/>
        <v>Yes</v>
      </c>
      <c r="AU693" s="51" t="str">
        <f t="shared" si="242"/>
        <v>Yes</v>
      </c>
      <c r="AV693" s="12">
        <f>IFERROR(VLOOKUP(D693,'Receivable Invoice Detail'!$S$1:$U$3014,3,FALSE),0)</f>
        <v>0</v>
      </c>
      <c r="AW693" s="12">
        <f t="shared" si="243"/>
        <v>328.56362325237416</v>
      </c>
    </row>
    <row r="694" spans="1:49" x14ac:dyDescent="0.25">
      <c r="A694" s="2">
        <v>1</v>
      </c>
      <c r="B694" s="2" t="s">
        <v>1094</v>
      </c>
      <c r="C694" s="2" t="s">
        <v>1095</v>
      </c>
      <c r="D694" s="2" t="s">
        <v>2942</v>
      </c>
      <c r="E694" s="2" t="s">
        <v>644</v>
      </c>
      <c r="F694" s="3">
        <v>45842.554259259261</v>
      </c>
      <c r="G694" s="3">
        <v>45846.716145833343</v>
      </c>
      <c r="H694" s="4">
        <v>45852</v>
      </c>
      <c r="I694" s="2" t="s">
        <v>21</v>
      </c>
      <c r="J694" s="2" t="s">
        <v>51</v>
      </c>
      <c r="K694" s="2">
        <v>0.73511294228208912</v>
      </c>
      <c r="L694" s="2">
        <v>1297.7597660549909</v>
      </c>
      <c r="M694" s="2">
        <v>0</v>
      </c>
      <c r="N694" s="2">
        <v>954</v>
      </c>
      <c r="O694" s="2">
        <v>954</v>
      </c>
      <c r="P694" s="2"/>
      <c r="Q694" s="2">
        <v>954</v>
      </c>
      <c r="R694" s="2" t="s">
        <v>44</v>
      </c>
      <c r="S694" s="2"/>
      <c r="T694" s="2">
        <f t="shared" si="225"/>
        <v>1</v>
      </c>
      <c r="U694" s="18">
        <f t="shared" si="226"/>
        <v>7</v>
      </c>
      <c r="V694" s="18">
        <f t="shared" si="227"/>
        <v>2025</v>
      </c>
      <c r="W694" s="18">
        <f t="shared" si="228"/>
        <v>8</v>
      </c>
      <c r="X694" s="18">
        <f t="shared" si="229"/>
        <v>2025</v>
      </c>
      <c r="Y694" s="2">
        <f t="shared" si="222"/>
        <v>0.73511294228208912</v>
      </c>
      <c r="Z694" t="str">
        <f t="shared" si="223"/>
        <v>SO17443</v>
      </c>
      <c r="AA694" s="11">
        <f t="shared" si="230"/>
        <v>45842.554259259261</v>
      </c>
      <c r="AB694" s="5" t="str">
        <f t="shared" si="231"/>
        <v>INV13178</v>
      </c>
      <c r="AC694" s="5" t="str">
        <f>IFERROR(VLOOKUP(D694,CAARStatus!$A$2:$AA$1600,22,FALSE),"Not invoiced")</f>
        <v>Paid</v>
      </c>
      <c r="AD694" s="11">
        <f>IF(AC694="Paid",IFERROR(VLOOKUP(D694,CAARStatus!$A$2:$AA$1600,6,FALSE),"Pending"),"Pending")</f>
        <v>45887</v>
      </c>
      <c r="AE694" s="5" t="str">
        <f t="shared" si="232"/>
        <v>P-70825</v>
      </c>
      <c r="AF694" s="5" t="str">
        <f t="shared" si="233"/>
        <v>Cartledge &amp; Associates Inc.</v>
      </c>
      <c r="AG694" s="5" t="str">
        <f t="shared" si="234"/>
        <v>USD</v>
      </c>
      <c r="AH694" s="5">
        <f t="shared" si="235"/>
        <v>1297.7597660549909</v>
      </c>
      <c r="AI694" s="12">
        <f>IF(L694-N694=0,VLOOKUP(U694,rate!A$4:B$15,2,FALSE)*AH694,IF(AG694="USD",O694,AH694*Y694))</f>
        <v>954</v>
      </c>
      <c r="AJ694" s="13">
        <f t="shared" si="236"/>
        <v>0.73511294228208912</v>
      </c>
      <c r="AK694" s="13">
        <f>-IF(AG694="CAD",IFERROR(VLOOKUP(D694,CAARStatus!$A$1:$Y$1600,16,FALSE),0),0)</f>
        <v>0</v>
      </c>
      <c r="AL694" s="13">
        <f>-IF(AG694="USD",IFERROR(VLOOKUP(D694,CAARStatus!$A$1:$Y$1600,11,FALSE),0),0)</f>
        <v>-954</v>
      </c>
      <c r="AM694" s="22" t="str">
        <f t="shared" si="237"/>
        <v/>
      </c>
      <c r="AN694" s="12">
        <f t="shared" si="238"/>
        <v>0</v>
      </c>
      <c r="AO694" s="12" t="str">
        <f t="shared" si="239"/>
        <v>Yes</v>
      </c>
      <c r="AP694" t="str">
        <f t="shared" si="224"/>
        <v>Yes</v>
      </c>
      <c r="AQ694" t="str">
        <f>IFERROR(VLOOKUP(Z694,InvBal!$L$4:$P$600,4,FALSE),"Pend")</f>
        <v>Pend</v>
      </c>
      <c r="AR694" t="str">
        <f>IFERROR(VLOOKUP(D694,Manual!$C$1:$E$22,2,FALSE),"Pend")</f>
        <v>Pend</v>
      </c>
      <c r="AS694" t="str">
        <f t="shared" si="240"/>
        <v>Yes</v>
      </c>
      <c r="AT694" t="str">
        <f t="shared" si="241"/>
        <v>Yes</v>
      </c>
      <c r="AU694" s="51" t="str">
        <f t="shared" si="242"/>
        <v>Yes</v>
      </c>
      <c r="AV694" s="12">
        <f>IFERROR(VLOOKUP(D694,'Receivable Invoice Detail'!$S$1:$U$3014,3,FALSE),0)</f>
        <v>0</v>
      </c>
      <c r="AW694" s="12">
        <f t="shared" si="243"/>
        <v>954</v>
      </c>
    </row>
    <row r="695" spans="1:49" ht="45" x14ac:dyDescent="0.25">
      <c r="A695" s="2">
        <v>1</v>
      </c>
      <c r="B695" s="2" t="s">
        <v>1011</v>
      </c>
      <c r="C695" s="2" t="s">
        <v>1012</v>
      </c>
      <c r="D695" s="2" t="s">
        <v>2990</v>
      </c>
      <c r="E695" s="2" t="s">
        <v>767</v>
      </c>
      <c r="F695" s="3">
        <v>45845.337060185193</v>
      </c>
      <c r="G695" s="3">
        <v>45855.368449074071</v>
      </c>
      <c r="H695" s="4">
        <v>45932</v>
      </c>
      <c r="I695" s="2" t="s">
        <v>21</v>
      </c>
      <c r="J695" s="2" t="s">
        <v>51</v>
      </c>
      <c r="K695" s="2">
        <v>0.72920119964000452</v>
      </c>
      <c r="L695" s="2">
        <v>1935.2409193740741</v>
      </c>
      <c r="M695" s="2">
        <v>0</v>
      </c>
      <c r="N695" s="2">
        <v>1411.18</v>
      </c>
      <c r="O695" s="2">
        <v>1411.18</v>
      </c>
      <c r="P695" s="2"/>
      <c r="Q695" s="2">
        <v>1411.18</v>
      </c>
      <c r="R695" s="2" t="s">
        <v>44</v>
      </c>
      <c r="S695" s="2"/>
      <c r="T695" s="2">
        <f t="shared" si="225"/>
        <v>1</v>
      </c>
      <c r="U695" s="18">
        <f t="shared" si="226"/>
        <v>7</v>
      </c>
      <c r="V695" s="18">
        <f t="shared" si="227"/>
        <v>2025</v>
      </c>
      <c r="W695" s="18">
        <f t="shared" si="228"/>
        <v>10</v>
      </c>
      <c r="X695" s="18">
        <f t="shared" si="229"/>
        <v>2025</v>
      </c>
      <c r="Y695" s="2">
        <f t="shared" si="222"/>
        <v>0.72920119964000452</v>
      </c>
      <c r="Z695" t="str">
        <f t="shared" si="223"/>
        <v>SO17444</v>
      </c>
      <c r="AA695" s="11">
        <f t="shared" si="230"/>
        <v>45845.337060185193</v>
      </c>
      <c r="AB695" s="5" t="str">
        <f t="shared" si="231"/>
        <v>INV13451</v>
      </c>
      <c r="AC695" s="5" t="str">
        <f>IFERROR(VLOOKUP(D695,CAARStatus!$A$2:$AA$1600,22,FALSE),"Not invoiced")</f>
        <v>Paid</v>
      </c>
      <c r="AD695" s="11">
        <f>IF(AC695="Paid",IFERROR(VLOOKUP(D695,CAARStatus!$A$2:$AA$1600,6,FALSE),"Pending"),"Pending")</f>
        <v>45960</v>
      </c>
      <c r="AE695" s="5" t="str">
        <f t="shared" si="232"/>
        <v>5387042</v>
      </c>
      <c r="AF695" s="5" t="str">
        <f t="shared" si="233"/>
        <v>Corrosion Fluid Products Corp., Corrosion Fluid Products Corp. - Chicago</v>
      </c>
      <c r="AG695" s="5" t="str">
        <f t="shared" si="234"/>
        <v>USD</v>
      </c>
      <c r="AH695" s="5">
        <f t="shared" si="235"/>
        <v>1935.2409193740741</v>
      </c>
      <c r="AI695" s="12">
        <f>IF(L695-N695=0,VLOOKUP(U695,rate!A$4:B$15,2,FALSE)*AH695,IF(AG695="USD",O695,AH695*Y695))</f>
        <v>1411.18</v>
      </c>
      <c r="AJ695" s="13">
        <f t="shared" si="236"/>
        <v>0.72920119964000452</v>
      </c>
      <c r="AK695" s="13">
        <f>-IF(AG695="CAD",IFERROR(VLOOKUP(D695,CAARStatus!$A$1:$Y$1600,16,FALSE),0),0)</f>
        <v>0</v>
      </c>
      <c r="AL695" s="13">
        <f>-IF(AG695="USD",IFERROR(VLOOKUP(D695,CAARStatus!$A$1:$Y$1600,11,FALSE),0),0)</f>
        <v>-1411.18</v>
      </c>
      <c r="AM695" s="22" t="str">
        <f t="shared" si="237"/>
        <v/>
      </c>
      <c r="AN695" s="12">
        <f t="shared" si="238"/>
        <v>0</v>
      </c>
      <c r="AO695" s="12" t="str">
        <f t="shared" si="239"/>
        <v>Yes</v>
      </c>
      <c r="AP695" t="str">
        <f t="shared" si="224"/>
        <v>Yes</v>
      </c>
      <c r="AQ695" t="str">
        <f>IFERROR(VLOOKUP(Z695,InvBal!$L$4:$P$600,4,FALSE),"Pend")</f>
        <v>Pend</v>
      </c>
      <c r="AR695" t="str">
        <f>IFERROR(VLOOKUP(D695,Manual!$C$1:$E$22,2,FALSE),"Pend")</f>
        <v>Pend</v>
      </c>
      <c r="AS695" t="str">
        <f t="shared" si="240"/>
        <v>Yes</v>
      </c>
      <c r="AT695" t="str">
        <f t="shared" si="241"/>
        <v>Yes</v>
      </c>
      <c r="AU695" s="51" t="str">
        <f t="shared" si="242"/>
        <v>Yes</v>
      </c>
      <c r="AV695" s="12">
        <f>IFERROR(VLOOKUP(D695,'Receivable Invoice Detail'!$S$1:$U$3014,3,FALSE),0)</f>
        <v>0</v>
      </c>
      <c r="AW695" s="12">
        <f t="shared" si="243"/>
        <v>1411.18</v>
      </c>
    </row>
    <row r="696" spans="1:49" x14ac:dyDescent="0.25">
      <c r="A696" s="2">
        <v>1</v>
      </c>
      <c r="B696" s="2" t="s">
        <v>1046</v>
      </c>
      <c r="C696" s="2" t="s">
        <v>1047</v>
      </c>
      <c r="D696" s="2" t="s">
        <v>6001</v>
      </c>
      <c r="E696" s="2" t="s">
        <v>239</v>
      </c>
      <c r="F696" s="3">
        <v>45845.40152777778</v>
      </c>
      <c r="G696" s="3">
        <v>45852.398877314823</v>
      </c>
      <c r="H696" s="4">
        <v>45921</v>
      </c>
      <c r="I696" s="2" t="s">
        <v>180</v>
      </c>
      <c r="J696" s="2" t="s">
        <v>51</v>
      </c>
      <c r="K696" s="2">
        <v>0.73030448566452189</v>
      </c>
      <c r="L696" s="2">
        <v>870.13021619575488</v>
      </c>
      <c r="M696" s="2">
        <v>0</v>
      </c>
      <c r="N696" s="2">
        <v>635.46</v>
      </c>
      <c r="O696" s="2">
        <v>635.46</v>
      </c>
      <c r="P696" s="2"/>
      <c r="Q696" s="2">
        <v>635.46</v>
      </c>
      <c r="R696" s="2" t="s">
        <v>44</v>
      </c>
      <c r="S696" s="2"/>
      <c r="T696" s="2">
        <f t="shared" si="225"/>
        <v>1</v>
      </c>
      <c r="U696" s="18">
        <f t="shared" si="226"/>
        <v>7</v>
      </c>
      <c r="V696" s="18">
        <f t="shared" si="227"/>
        <v>2025</v>
      </c>
      <c r="W696" s="18" t="str">
        <f t="shared" si="228"/>
        <v/>
      </c>
      <c r="X696" s="18" t="str">
        <f t="shared" si="229"/>
        <v/>
      </c>
      <c r="Y696" s="2">
        <f t="shared" si="222"/>
        <v>0.73030448566452189</v>
      </c>
      <c r="Z696" t="str">
        <f t="shared" si="223"/>
        <v>SO17446</v>
      </c>
      <c r="AA696" s="11">
        <f t="shared" si="230"/>
        <v>45845.40152777778</v>
      </c>
      <c r="AB696" s="5" t="str">
        <f t="shared" si="231"/>
        <v>INV13756</v>
      </c>
      <c r="AC696" s="5" t="str">
        <f>IFERROR(VLOOKUP(D696,CAARStatus!$A$2:$AA$1600,22,FALSE),"Not invoiced")</f>
        <v>Approved</v>
      </c>
      <c r="AD696" s="11" t="str">
        <f>IF(AC696="Paid",IFERROR(VLOOKUP(D696,CAARStatus!$A$2:$AA$1600,6,FALSE),"Pending"),"Pending")</f>
        <v>Pending</v>
      </c>
      <c r="AE696" s="5" t="str">
        <f t="shared" si="232"/>
        <v>1054</v>
      </c>
      <c r="AF696" s="5" t="str">
        <f t="shared" si="233"/>
        <v>Mill-Right Mine Services Inc.</v>
      </c>
      <c r="AG696" s="5" t="str">
        <f t="shared" si="234"/>
        <v>USD</v>
      </c>
      <c r="AH696" s="5">
        <f t="shared" si="235"/>
        <v>870.13021619575488</v>
      </c>
      <c r="AI696" s="12">
        <f>IF(L696-N696=0,VLOOKUP(U696,rate!A$4:B$15,2,FALSE)*AH696,IF(AG696="USD",O696,AH696*Y696))</f>
        <v>635.46</v>
      </c>
      <c r="AJ696" s="13">
        <f t="shared" si="236"/>
        <v>0.73030448566452189</v>
      </c>
      <c r="AK696" s="13">
        <f>-IF(AG696="CAD",IFERROR(VLOOKUP(D696,CAARStatus!$A$1:$Y$1600,16,FALSE),0),0)</f>
        <v>0</v>
      </c>
      <c r="AL696" s="13">
        <f>-IF(AG696="USD",IFERROR(VLOOKUP(D696,CAARStatus!$A$1:$Y$1600,11,FALSE),0),0)</f>
        <v>-635.46</v>
      </c>
      <c r="AM696" s="22" t="str">
        <f t="shared" si="237"/>
        <v/>
      </c>
      <c r="AN696" s="12">
        <f t="shared" si="238"/>
        <v>0</v>
      </c>
      <c r="AO696" s="12" t="str">
        <f t="shared" si="239"/>
        <v>Pend</v>
      </c>
      <c r="AP696" t="str">
        <f t="shared" si="224"/>
        <v>Pend</v>
      </c>
      <c r="AQ696" t="str">
        <f>IFERROR(VLOOKUP(Z696,InvBal!$L$4:$P$600,4,FALSE),"Pend")</f>
        <v>Pend</v>
      </c>
      <c r="AR696" t="str">
        <f>IFERROR(VLOOKUP(D696,Manual!$C$1:$E$22,2,FALSE),"Pend")</f>
        <v>Pend</v>
      </c>
      <c r="AS696" t="str">
        <f t="shared" si="240"/>
        <v/>
      </c>
      <c r="AT696" t="str">
        <f t="shared" si="241"/>
        <v>Yes</v>
      </c>
      <c r="AU696" s="51" t="str">
        <f t="shared" si="242"/>
        <v/>
      </c>
      <c r="AV696" s="12">
        <f>IFERROR(VLOOKUP(D696,'Receivable Invoice Detail'!$S$1:$U$3014,3,FALSE),0)</f>
        <v>0</v>
      </c>
      <c r="AW696" s="12">
        <f t="shared" si="243"/>
        <v>0</v>
      </c>
    </row>
    <row r="697" spans="1:49" x14ac:dyDescent="0.25">
      <c r="A697" s="2">
        <v>1</v>
      </c>
      <c r="B697" s="2" t="s">
        <v>1040</v>
      </c>
      <c r="C697" s="2" t="s">
        <v>1041</v>
      </c>
      <c r="D697" s="2" t="s">
        <v>2974</v>
      </c>
      <c r="E697" s="2" t="s">
        <v>70</v>
      </c>
      <c r="F697" s="3">
        <v>45845.505532407413</v>
      </c>
      <c r="G697" s="3">
        <v>45852.48332175926</v>
      </c>
      <c r="H697" s="4">
        <v>45853</v>
      </c>
      <c r="I697" s="2" t="s">
        <v>71</v>
      </c>
      <c r="J697" s="2" t="s">
        <v>51</v>
      </c>
      <c r="K697" s="2">
        <v>0.73030448566452189</v>
      </c>
      <c r="L697" s="2">
        <v>625.39667900904408</v>
      </c>
      <c r="M697" s="2">
        <v>0</v>
      </c>
      <c r="N697" s="2">
        <v>456.73</v>
      </c>
      <c r="O697" s="2">
        <v>456.73</v>
      </c>
      <c r="P697" s="2"/>
      <c r="Q697" s="2">
        <v>456.73</v>
      </c>
      <c r="R697" s="2" t="s">
        <v>44</v>
      </c>
      <c r="S697" s="2"/>
      <c r="T697" s="2">
        <f t="shared" si="225"/>
        <v>1</v>
      </c>
      <c r="U697" s="18">
        <f t="shared" si="226"/>
        <v>7</v>
      </c>
      <c r="V697" s="18">
        <f t="shared" si="227"/>
        <v>2025</v>
      </c>
      <c r="W697" s="18">
        <f t="shared" si="228"/>
        <v>11</v>
      </c>
      <c r="X697" s="18">
        <f t="shared" si="229"/>
        <v>2025</v>
      </c>
      <c r="Y697" s="2">
        <f t="shared" si="222"/>
        <v>0.73030448566452189</v>
      </c>
      <c r="Z697" t="str">
        <f t="shared" si="223"/>
        <v>SO17450</v>
      </c>
      <c r="AA697" s="11">
        <f t="shared" si="230"/>
        <v>45845.505532407413</v>
      </c>
      <c r="AB697" s="5" t="str">
        <f t="shared" si="231"/>
        <v>INV13184</v>
      </c>
      <c r="AC697" s="5" t="str">
        <f>IFERROR(VLOOKUP(D697,CAARStatus!$A$2:$AA$1600,22,FALSE),"Not invoiced")</f>
        <v>Paid</v>
      </c>
      <c r="AD697" s="11">
        <f>IF(AC697="Paid",IFERROR(VLOOKUP(D697,CAARStatus!$A$2:$AA$1600,6,FALSE),"Pending"),"Pending")</f>
        <v>45965</v>
      </c>
      <c r="AE697" s="5" t="str">
        <f t="shared" si="232"/>
        <v>P362998</v>
      </c>
      <c r="AF697" s="5" t="str">
        <f t="shared" si="233"/>
        <v>Covia Corp - Junction City</v>
      </c>
      <c r="AG697" s="5" t="str">
        <f t="shared" si="234"/>
        <v>USD</v>
      </c>
      <c r="AH697" s="5">
        <f t="shared" si="235"/>
        <v>625.39667900904408</v>
      </c>
      <c r="AI697" s="12">
        <f>IF(L697-N697=0,VLOOKUP(U697,rate!A$4:B$15,2,FALSE)*AH697,IF(AG697="USD",O697,AH697*Y697))</f>
        <v>456.73</v>
      </c>
      <c r="AJ697" s="13">
        <f t="shared" si="236"/>
        <v>0.73030448566452189</v>
      </c>
      <c r="AK697" s="13">
        <f>-IF(AG697="CAD",IFERROR(VLOOKUP(D697,CAARStatus!$A$1:$Y$1600,16,FALSE),0),0)</f>
        <v>0</v>
      </c>
      <c r="AL697" s="13">
        <f>-IF(AG697="USD",IFERROR(VLOOKUP(D697,CAARStatus!$A$1:$Y$1600,11,FALSE),0),0)</f>
        <v>-456.73</v>
      </c>
      <c r="AM697" s="22" t="str">
        <f t="shared" si="237"/>
        <v/>
      </c>
      <c r="AN697" s="12">
        <f t="shared" si="238"/>
        <v>0</v>
      </c>
      <c r="AO697" s="12" t="str">
        <f t="shared" si="239"/>
        <v>Yes</v>
      </c>
      <c r="AP697" t="str">
        <f t="shared" si="224"/>
        <v>Yes</v>
      </c>
      <c r="AQ697" t="str">
        <f>IFERROR(VLOOKUP(Z697,InvBal!$L$4:$P$600,4,FALSE),"Pend")</f>
        <v>Pend</v>
      </c>
      <c r="AR697" t="str">
        <f>IFERROR(VLOOKUP(D697,Manual!$C$1:$E$22,2,FALSE),"Pend")</f>
        <v>Pend</v>
      </c>
      <c r="AS697" t="str">
        <f t="shared" si="240"/>
        <v>Yes</v>
      </c>
      <c r="AT697" t="str">
        <f t="shared" si="241"/>
        <v>Yes</v>
      </c>
      <c r="AU697" s="51" t="str">
        <f t="shared" si="242"/>
        <v>Yes</v>
      </c>
      <c r="AV697" s="12">
        <f>IFERROR(VLOOKUP(D697,'Receivable Invoice Detail'!$S$1:$U$3014,3,FALSE),0)</f>
        <v>173.61</v>
      </c>
      <c r="AW697" s="12">
        <f t="shared" si="243"/>
        <v>283.12</v>
      </c>
    </row>
    <row r="698" spans="1:49" ht="30" x14ac:dyDescent="0.25">
      <c r="A698" s="2">
        <v>1</v>
      </c>
      <c r="B698" s="2" t="s">
        <v>1085</v>
      </c>
      <c r="C698" s="2" t="s">
        <v>1086</v>
      </c>
      <c r="D698" s="2" t="s">
        <v>2947</v>
      </c>
      <c r="E698" s="2" t="s">
        <v>35</v>
      </c>
      <c r="F698" s="3">
        <v>45845.566134259258</v>
      </c>
      <c r="G698" s="3">
        <v>45847.677581018521</v>
      </c>
      <c r="H698" s="4">
        <v>45854</v>
      </c>
      <c r="I698" s="2" t="s">
        <v>21</v>
      </c>
      <c r="J698" s="2" t="s">
        <v>22</v>
      </c>
      <c r="K698" s="2">
        <v>1</v>
      </c>
      <c r="L698" s="2">
        <v>132.47</v>
      </c>
      <c r="M698" s="2">
        <v>0</v>
      </c>
      <c r="N698" s="2">
        <v>96.721829271648886</v>
      </c>
      <c r="O698" s="2">
        <v>126.16</v>
      </c>
      <c r="P698" s="2">
        <v>6.31</v>
      </c>
      <c r="Q698" s="2">
        <v>132.47</v>
      </c>
      <c r="R698" s="2" t="s">
        <v>44</v>
      </c>
      <c r="S698" s="2"/>
      <c r="T698" s="2">
        <f t="shared" si="225"/>
        <v>1</v>
      </c>
      <c r="U698" s="18">
        <f t="shared" si="226"/>
        <v>7</v>
      </c>
      <c r="V698" s="18">
        <f t="shared" si="227"/>
        <v>2025</v>
      </c>
      <c r="W698" s="18">
        <f t="shared" si="228"/>
        <v>8</v>
      </c>
      <c r="X698" s="18">
        <f t="shared" si="229"/>
        <v>2025</v>
      </c>
      <c r="Y698" s="2">
        <f t="shared" si="222"/>
        <v>0.73014138500527581</v>
      </c>
      <c r="Z698" t="str">
        <f t="shared" si="223"/>
        <v>SO17451</v>
      </c>
      <c r="AA698" s="11">
        <f t="shared" si="230"/>
        <v>45845.566134259258</v>
      </c>
      <c r="AB698" s="5" t="str">
        <f t="shared" si="231"/>
        <v>INV13183</v>
      </c>
      <c r="AC698" s="5" t="str">
        <f>IFERROR(VLOOKUP(D698,CAARStatus!$A$2:$AA$1600,22,FALSE),"Not invoiced")</f>
        <v>Paid</v>
      </c>
      <c r="AD698" s="11">
        <f>IF(AC698="Paid",IFERROR(VLOOKUP(D698,CAARStatus!$A$2:$AA$1600,6,FALSE),"Pending"),"Pending")</f>
        <v>45881</v>
      </c>
      <c r="AE698" s="5" t="str">
        <f t="shared" si="232"/>
        <v>PO13590</v>
      </c>
      <c r="AF698" s="5" t="str">
        <f t="shared" si="233"/>
        <v>Manufacture Sling-Choker (Val-d’Or) Ltée</v>
      </c>
      <c r="AG698" s="5" t="str">
        <f t="shared" si="234"/>
        <v>CAD</v>
      </c>
      <c r="AH698" s="5">
        <f t="shared" si="235"/>
        <v>126.16</v>
      </c>
      <c r="AI698" s="12">
        <f>IF(L698-N698=0,VLOOKUP(U698,rate!A$4:B$15,2,FALSE)*AH698,IF(AG698="USD",O698,AH698*Y698))</f>
        <v>92.114637132265599</v>
      </c>
      <c r="AJ698" s="13">
        <f t="shared" si="236"/>
        <v>0.73014138500527581</v>
      </c>
      <c r="AK698" s="13">
        <f>-IF(AG698="CAD",IFERROR(VLOOKUP(D698,CAARStatus!$A$1:$Y$1600,16,FALSE),0),0)</f>
        <v>-126.16</v>
      </c>
      <c r="AL698" s="13">
        <f>-IF(AG698="USD",IFERROR(VLOOKUP(D698,CAARStatus!$A$1:$Y$1600,11,FALSE),0),0)</f>
        <v>0</v>
      </c>
      <c r="AM698" s="22">
        <f t="shared" si="237"/>
        <v>0</v>
      </c>
      <c r="AN698" s="12" t="str">
        <f t="shared" si="238"/>
        <v/>
      </c>
      <c r="AO698" s="12" t="str">
        <f t="shared" si="239"/>
        <v>Yes</v>
      </c>
      <c r="AP698" t="str">
        <f t="shared" si="224"/>
        <v>Yes</v>
      </c>
      <c r="AQ698" t="str">
        <f>IFERROR(VLOOKUP(Z698,InvBal!$L$4:$P$600,4,FALSE),"Pend")</f>
        <v>Pend</v>
      </c>
      <c r="AR698" t="str">
        <f>IFERROR(VLOOKUP(D698,Manual!$C$1:$E$22,2,FALSE),"Pend")</f>
        <v>Pend</v>
      </c>
      <c r="AS698" t="str">
        <f t="shared" si="240"/>
        <v>Yes</v>
      </c>
      <c r="AT698" t="str">
        <f t="shared" si="241"/>
        <v>Yes</v>
      </c>
      <c r="AU698" s="51" t="str">
        <f t="shared" si="242"/>
        <v>Yes</v>
      </c>
      <c r="AV698" s="12">
        <f>IFERROR(VLOOKUP(D698,'Receivable Invoice Detail'!$S$1:$U$3014,3,FALSE),0)</f>
        <v>0</v>
      </c>
      <c r="AW698" s="12">
        <f t="shared" si="243"/>
        <v>92.114637132265599</v>
      </c>
    </row>
    <row r="699" spans="1:49" x14ac:dyDescent="0.25">
      <c r="A699" s="2">
        <v>1</v>
      </c>
      <c r="B699" s="2" t="s">
        <v>1058</v>
      </c>
      <c r="C699" s="2" t="s">
        <v>1059</v>
      </c>
      <c r="D699" s="2" t="s">
        <v>2964</v>
      </c>
      <c r="E699" s="2" t="s">
        <v>109</v>
      </c>
      <c r="F699" s="3">
        <v>45845.71597222222</v>
      </c>
      <c r="G699" s="3">
        <v>45849.656099537038</v>
      </c>
      <c r="H699" s="4">
        <v>45866</v>
      </c>
      <c r="I699" s="2" t="s">
        <v>21</v>
      </c>
      <c r="J699" s="2" t="s">
        <v>51</v>
      </c>
      <c r="K699" s="2">
        <v>0.73014138500527581</v>
      </c>
      <c r="L699" s="2">
        <v>31601.61918480114</v>
      </c>
      <c r="M699" s="2">
        <v>0</v>
      </c>
      <c r="N699" s="2">
        <v>23073.65</v>
      </c>
      <c r="O699" s="2">
        <v>23073.65</v>
      </c>
      <c r="P699" s="2"/>
      <c r="Q699" s="2">
        <v>23073.65</v>
      </c>
      <c r="R699" s="2" t="s">
        <v>44</v>
      </c>
      <c r="S699" s="2"/>
      <c r="T699" s="2">
        <f t="shared" si="225"/>
        <v>1</v>
      </c>
      <c r="U699" s="18">
        <f t="shared" si="226"/>
        <v>7</v>
      </c>
      <c r="V699" s="18">
        <f t="shared" si="227"/>
        <v>2025</v>
      </c>
      <c r="W699" s="18">
        <f t="shared" si="228"/>
        <v>9</v>
      </c>
      <c r="X699" s="18">
        <f t="shared" si="229"/>
        <v>2025</v>
      </c>
      <c r="Y699" s="2">
        <f t="shared" si="222"/>
        <v>0.73014138500527581</v>
      </c>
      <c r="Z699" t="str">
        <f t="shared" si="223"/>
        <v>SO17452</v>
      </c>
      <c r="AA699" s="11">
        <f t="shared" si="230"/>
        <v>45845.71597222222</v>
      </c>
      <c r="AB699" s="5" t="str">
        <f t="shared" si="231"/>
        <v>INV13239</v>
      </c>
      <c r="AC699" s="5" t="str">
        <f>IFERROR(VLOOKUP(D699,CAARStatus!$A$2:$AA$1600,22,FALSE),"Not invoiced")</f>
        <v>Paid</v>
      </c>
      <c r="AD699" s="11">
        <f>IF(AC699="Paid",IFERROR(VLOOKUP(D699,CAARStatus!$A$2:$AA$1600,6,FALSE),"Pending"),"Pending")</f>
        <v>45902</v>
      </c>
      <c r="AE699" s="5" t="str">
        <f t="shared" si="232"/>
        <v>3724</v>
      </c>
      <c r="AF699" s="5" t="str">
        <f t="shared" si="233"/>
        <v>Middle Georgia Fluid Sealing LLC</v>
      </c>
      <c r="AG699" s="5" t="str">
        <f t="shared" si="234"/>
        <v>USD</v>
      </c>
      <c r="AH699" s="5">
        <f t="shared" si="235"/>
        <v>31601.619184801144</v>
      </c>
      <c r="AI699" s="12">
        <f>IF(L699-N699=0,VLOOKUP(U699,rate!A$4:B$15,2,FALSE)*AH699,IF(AG699="USD",O699,AH699*Y699))</f>
        <v>23073.65</v>
      </c>
      <c r="AJ699" s="13">
        <f t="shared" si="236"/>
        <v>0.73014138500527581</v>
      </c>
      <c r="AK699" s="13">
        <f>-IF(AG699="CAD",IFERROR(VLOOKUP(D699,CAARStatus!$A$1:$Y$1600,16,FALSE),0),0)</f>
        <v>0</v>
      </c>
      <c r="AL699" s="13">
        <f>-IF(AG699="USD",IFERROR(VLOOKUP(D699,CAARStatus!$A$1:$Y$1600,11,FALSE),0),0)</f>
        <v>-23073.65</v>
      </c>
      <c r="AM699" s="22" t="str">
        <f t="shared" si="237"/>
        <v/>
      </c>
      <c r="AN699" s="12">
        <f t="shared" si="238"/>
        <v>0</v>
      </c>
      <c r="AO699" s="12" t="str">
        <f t="shared" si="239"/>
        <v>Yes</v>
      </c>
      <c r="AP699" t="str">
        <f t="shared" si="224"/>
        <v>Yes</v>
      </c>
      <c r="AQ699" t="str">
        <f>IFERROR(VLOOKUP(Z699,InvBal!$L$4:$P$600,4,FALSE),"Pend")</f>
        <v>Pend</v>
      </c>
      <c r="AR699" t="str">
        <f>IFERROR(VLOOKUP(D699,Manual!$C$1:$E$22,2,FALSE),"Pend")</f>
        <v>Pend</v>
      </c>
      <c r="AS699" t="str">
        <f t="shared" si="240"/>
        <v>Yes</v>
      </c>
      <c r="AT699" t="str">
        <f t="shared" si="241"/>
        <v>Yes</v>
      </c>
      <c r="AU699" s="51" t="str">
        <f t="shared" si="242"/>
        <v>Yes</v>
      </c>
      <c r="AV699" s="12">
        <f>IFERROR(VLOOKUP(D699,'Receivable Invoice Detail'!$S$1:$U$3014,3,FALSE),0)</f>
        <v>895</v>
      </c>
      <c r="AW699" s="12">
        <f t="shared" si="243"/>
        <v>22178.65</v>
      </c>
    </row>
    <row r="700" spans="1:49" ht="30" x14ac:dyDescent="0.25">
      <c r="A700" s="2">
        <v>2</v>
      </c>
      <c r="B700" s="2" t="s">
        <v>1083</v>
      </c>
      <c r="C700" s="2" t="s">
        <v>1084</v>
      </c>
      <c r="D700" s="2" t="s">
        <v>2949</v>
      </c>
      <c r="E700" s="2" t="s">
        <v>684</v>
      </c>
      <c r="F700" s="3">
        <v>45845.754884259259</v>
      </c>
      <c r="G700" s="3">
        <v>45847.706724537027</v>
      </c>
      <c r="H700" s="4">
        <v>45861</v>
      </c>
      <c r="I700" s="2" t="s">
        <v>36</v>
      </c>
      <c r="J700" s="2" t="s">
        <v>22</v>
      </c>
      <c r="K700" s="2">
        <v>1</v>
      </c>
      <c r="L700" s="2">
        <v>1315.82</v>
      </c>
      <c r="M700" s="2">
        <v>0</v>
      </c>
      <c r="N700" s="2">
        <v>960.73463721764199</v>
      </c>
      <c r="O700" s="2">
        <v>1315.82</v>
      </c>
      <c r="P700" s="2"/>
      <c r="Q700" s="2">
        <v>1315.82</v>
      </c>
      <c r="R700" s="2" t="s">
        <v>44</v>
      </c>
      <c r="S700" s="2"/>
      <c r="T700" s="2">
        <f t="shared" si="225"/>
        <v>2</v>
      </c>
      <c r="U700" s="18">
        <f t="shared" si="226"/>
        <v>7</v>
      </c>
      <c r="V700" s="18">
        <f t="shared" si="227"/>
        <v>2025</v>
      </c>
      <c r="W700" s="18">
        <f t="shared" si="228"/>
        <v>10</v>
      </c>
      <c r="X700" s="18">
        <f t="shared" si="229"/>
        <v>2025</v>
      </c>
      <c r="Y700" s="2">
        <f t="shared" si="222"/>
        <v>0.73014138500527581</v>
      </c>
      <c r="Z700" t="str">
        <f t="shared" si="223"/>
        <v>SO17453</v>
      </c>
      <c r="AA700" s="11">
        <f t="shared" si="230"/>
        <v>45845.754884259259</v>
      </c>
      <c r="AB700" s="5" t="str">
        <f t="shared" si="231"/>
        <v>INV13267</v>
      </c>
      <c r="AC700" s="5" t="str">
        <f>IFERROR(VLOOKUP(D700,CAARStatus!$A$2:$AA$1600,22,FALSE),"Not invoiced")</f>
        <v>Paid</v>
      </c>
      <c r="AD700" s="11">
        <f>IF(AC700="Paid",IFERROR(VLOOKUP(D700,CAARStatus!$A$2:$AA$1600,6,FALSE),"Pending"),"Pending")</f>
        <v>45933</v>
      </c>
      <c r="AE700" s="5" t="str">
        <f t="shared" si="232"/>
        <v>4500604129</v>
      </c>
      <c r="AF700" s="5" t="str">
        <f t="shared" si="233"/>
        <v>Resolute Forest Products - Fibrek</v>
      </c>
      <c r="AG700" s="5" t="str">
        <f t="shared" si="234"/>
        <v>CAD</v>
      </c>
      <c r="AH700" s="5">
        <f t="shared" si="235"/>
        <v>1315.82</v>
      </c>
      <c r="AI700" s="12">
        <f>IF(L700-N700=0,VLOOKUP(U700,rate!A$4:B$15,2,FALSE)*AH700,IF(AG700="USD",O700,AH700*Y700))</f>
        <v>960.73463721764199</v>
      </c>
      <c r="AJ700" s="13">
        <f t="shared" si="236"/>
        <v>0.73014138500527581</v>
      </c>
      <c r="AK700" s="13">
        <f>-IF(AG700="CAD",IFERROR(VLOOKUP(D700,CAARStatus!$A$1:$Y$1600,16,FALSE),0),0)</f>
        <v>-778</v>
      </c>
      <c r="AL700" s="13">
        <f>-IF(AG700="USD",IFERROR(VLOOKUP(D700,CAARStatus!$A$1:$Y$1600,11,FALSE),0),0)</f>
        <v>0</v>
      </c>
      <c r="AM700" s="22">
        <f t="shared" si="237"/>
        <v>537.81999999999994</v>
      </c>
      <c r="AN700" s="12" t="str">
        <f t="shared" si="238"/>
        <v/>
      </c>
      <c r="AO700" s="12" t="str">
        <f t="shared" si="239"/>
        <v>Yes</v>
      </c>
      <c r="AP700" t="str">
        <f t="shared" si="224"/>
        <v>XX</v>
      </c>
      <c r="AQ700" t="str">
        <f>IFERROR(VLOOKUP(Z700,InvBal!$L$4:$P$600,4,FALSE),"Pend")</f>
        <v>Yes</v>
      </c>
      <c r="AR700" t="str">
        <f>IFERROR(VLOOKUP(D700,Manual!$C$1:$E$22,2,FALSE),"Pend")</f>
        <v>Pend</v>
      </c>
      <c r="AS700" t="str">
        <f t="shared" si="240"/>
        <v>Yes</v>
      </c>
      <c r="AT700" t="str">
        <f t="shared" si="241"/>
        <v>Yes</v>
      </c>
      <c r="AU700" s="51" t="str">
        <f t="shared" si="242"/>
        <v>Yes</v>
      </c>
      <c r="AV700" s="12">
        <f>IFERROR(VLOOKUP(D700,'Receivable Invoice Detail'!$S$1:$U$3014,3,FALSE),0)</f>
        <v>0</v>
      </c>
      <c r="AW700" s="12">
        <f t="shared" si="243"/>
        <v>960.73463721764199</v>
      </c>
    </row>
    <row r="701" spans="1:49" x14ac:dyDescent="0.25">
      <c r="A701" s="2"/>
      <c r="B701" s="2"/>
      <c r="C701" s="2"/>
      <c r="D701" s="2" t="s">
        <v>2948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>
        <f t="shared" si="225"/>
        <v>2</v>
      </c>
      <c r="U701" s="18">
        <f t="shared" si="226"/>
        <v>7</v>
      </c>
      <c r="V701" s="18">
        <f t="shared" si="227"/>
        <v>2025</v>
      </c>
      <c r="W701" s="18">
        <f t="shared" si="228"/>
        <v>9</v>
      </c>
      <c r="X701" s="18">
        <f t="shared" si="229"/>
        <v>2025</v>
      </c>
      <c r="Y701" s="2">
        <f t="shared" si="222"/>
        <v>0.73014138500527581</v>
      </c>
      <c r="Z701" t="str">
        <f t="shared" si="223"/>
        <v>SO17453</v>
      </c>
      <c r="AA701" s="11">
        <f t="shared" si="230"/>
        <v>45845.754884259259</v>
      </c>
      <c r="AB701" s="5" t="str">
        <f t="shared" si="231"/>
        <v>INV13158</v>
      </c>
      <c r="AC701" s="5" t="str">
        <f>IFERROR(VLOOKUP(D701,CAARStatus!$A$2:$AA$1600,22,FALSE),"Not invoiced")</f>
        <v>Paid</v>
      </c>
      <c r="AD701" s="11">
        <f>IF(AC701="Paid",IFERROR(VLOOKUP(D701,CAARStatus!$A$2:$AA$1600,6,FALSE),"Pending"),"Pending")</f>
        <v>45905</v>
      </c>
      <c r="AE701" s="5" t="str">
        <f t="shared" si="232"/>
        <v>4500604129</v>
      </c>
      <c r="AF701" s="5" t="str">
        <f t="shared" si="233"/>
        <v>Resolute Forest Products - Fibrek</v>
      </c>
      <c r="AG701" s="5" t="str">
        <f t="shared" si="234"/>
        <v>CAD</v>
      </c>
      <c r="AH701" s="5">
        <f t="shared" si="235"/>
        <v>0</v>
      </c>
      <c r="AI701" s="12">
        <f>IF(L701-N701=0,VLOOKUP(U701,rate!A$4:B$15,2,FALSE)*AH701,IF(AG701="USD",O701,AH701*Y701))</f>
        <v>0</v>
      </c>
      <c r="AJ701" s="13">
        <f t="shared" si="236"/>
        <v>0</v>
      </c>
      <c r="AK701" s="13">
        <f>-IF(AG701="CAD",IFERROR(VLOOKUP(D701,CAARStatus!$A$1:$Y$1600,16,FALSE),0),0)</f>
        <v>-537.82000000000005</v>
      </c>
      <c r="AL701" s="13">
        <f>-IF(AG701="USD",IFERROR(VLOOKUP(D701,CAARStatus!$A$1:$Y$1600,11,FALSE),0),0)</f>
        <v>0</v>
      </c>
      <c r="AM701" s="22">
        <f t="shared" si="237"/>
        <v>-537.82000000000005</v>
      </c>
      <c r="AN701" s="12" t="str">
        <f t="shared" si="238"/>
        <v/>
      </c>
      <c r="AO701" s="12" t="str">
        <f t="shared" si="239"/>
        <v>Yes</v>
      </c>
      <c r="AP701" t="str">
        <f t="shared" si="224"/>
        <v>XX</v>
      </c>
      <c r="AQ701" t="str">
        <f>IFERROR(VLOOKUP(Z701,InvBal!$L$4:$P$600,4,FALSE),"Pend")</f>
        <v>Yes</v>
      </c>
      <c r="AR701" t="str">
        <f>IFERROR(VLOOKUP(D701,Manual!$C$1:$E$22,2,FALSE),"Pend")</f>
        <v>Pend</v>
      </c>
      <c r="AS701" t="str">
        <f t="shared" si="240"/>
        <v>Yes</v>
      </c>
      <c r="AT701" t="str">
        <f t="shared" si="241"/>
        <v/>
      </c>
      <c r="AU701" s="51" t="str">
        <f t="shared" si="242"/>
        <v/>
      </c>
      <c r="AV701" s="12">
        <f>IFERROR(VLOOKUP(D701,'Receivable Invoice Detail'!$S$1:$U$3014,3,FALSE),0)</f>
        <v>0</v>
      </c>
      <c r="AW701" s="12">
        <f t="shared" si="243"/>
        <v>0</v>
      </c>
    </row>
    <row r="702" spans="1:49" ht="30" x14ac:dyDescent="0.25">
      <c r="A702" s="2">
        <v>1</v>
      </c>
      <c r="B702" s="2" t="s">
        <v>1096</v>
      </c>
      <c r="C702" s="2" t="s">
        <v>1097</v>
      </c>
      <c r="D702" s="2" t="s">
        <v>2941</v>
      </c>
      <c r="E702" s="2" t="s">
        <v>26</v>
      </c>
      <c r="F702" s="3">
        <v>45845.810937499999</v>
      </c>
      <c r="G702" s="3">
        <v>45846.565983796303</v>
      </c>
      <c r="H702" s="4">
        <v>45896</v>
      </c>
      <c r="I702" s="2" t="s">
        <v>36</v>
      </c>
      <c r="J702" s="2" t="s">
        <v>22</v>
      </c>
      <c r="K702" s="2">
        <v>1</v>
      </c>
      <c r="L702" s="2">
        <v>803.27</v>
      </c>
      <c r="M702" s="2">
        <v>803.27</v>
      </c>
      <c r="N702" s="2">
        <v>803.27</v>
      </c>
      <c r="O702" s="2">
        <v>765.02</v>
      </c>
      <c r="P702" s="2">
        <v>38.25</v>
      </c>
      <c r="Q702" s="2">
        <v>803.27</v>
      </c>
      <c r="R702" s="2" t="s">
        <v>44</v>
      </c>
      <c r="S702" s="2"/>
      <c r="T702" s="2">
        <f t="shared" si="225"/>
        <v>1</v>
      </c>
      <c r="U702" s="18">
        <f t="shared" si="226"/>
        <v>7</v>
      </c>
      <c r="V702" s="18">
        <f t="shared" si="227"/>
        <v>2025</v>
      </c>
      <c r="W702" s="18">
        <f t="shared" si="228"/>
        <v>10</v>
      </c>
      <c r="X702" s="18">
        <f t="shared" si="229"/>
        <v>2025</v>
      </c>
      <c r="Y702" s="2">
        <f t="shared" si="222"/>
        <v>1</v>
      </c>
      <c r="Z702" t="str">
        <f t="shared" si="223"/>
        <v>SO17454</v>
      </c>
      <c r="AA702" s="11">
        <f t="shared" si="230"/>
        <v>45845.810937499999</v>
      </c>
      <c r="AB702" s="5" t="str">
        <f t="shared" si="231"/>
        <v>INV13266</v>
      </c>
      <c r="AC702" s="5" t="str">
        <f>IFERROR(VLOOKUP(D702,CAARStatus!$A$2:$AA$1600,22,FALSE),"Not invoiced")</f>
        <v>Paid</v>
      </c>
      <c r="AD702" s="11">
        <f>IF(AC702="Paid",IFERROR(VLOOKUP(D702,CAARStatus!$A$2:$AA$1600,6,FALSE),"Pending"),"Pending")</f>
        <v>45933</v>
      </c>
      <c r="AE702" s="5" t="str">
        <f t="shared" si="232"/>
        <v>4500603419</v>
      </c>
      <c r="AF702" s="5" t="str">
        <f t="shared" si="233"/>
        <v>Resolute Forest Products - Clermont</v>
      </c>
      <c r="AG702" s="5" t="str">
        <f t="shared" si="234"/>
        <v>CAD</v>
      </c>
      <c r="AH702" s="5">
        <f t="shared" si="235"/>
        <v>765.02</v>
      </c>
      <c r="AI702" s="12">
        <f>IF(L702-N702=0,VLOOKUP(U702,rate!A$4:B$15,2,FALSE)*AH702,IF(AG702="USD",O702,AH702*Y702))</f>
        <v>558.12635748517152</v>
      </c>
      <c r="AJ702" s="13">
        <f t="shared" si="236"/>
        <v>0.72955786448089144</v>
      </c>
      <c r="AK702" s="13">
        <f>-IF(AG702="CAD",IFERROR(VLOOKUP(D702,CAARStatus!$A$1:$Y$1600,16,FALSE),0),0)</f>
        <v>-765.02</v>
      </c>
      <c r="AL702" s="13">
        <f>-IF(AG702="USD",IFERROR(VLOOKUP(D702,CAARStatus!$A$1:$Y$1600,11,FALSE),0),0)</f>
        <v>0</v>
      </c>
      <c r="AM702" s="22">
        <f t="shared" si="237"/>
        <v>0</v>
      </c>
      <c r="AN702" s="12" t="str">
        <f t="shared" si="238"/>
        <v/>
      </c>
      <c r="AO702" s="12" t="str">
        <f t="shared" si="239"/>
        <v>Yes</v>
      </c>
      <c r="AP702" t="str">
        <f t="shared" si="224"/>
        <v>Yes</v>
      </c>
      <c r="AQ702" t="str">
        <f>IFERROR(VLOOKUP(Z702,InvBal!$L$4:$P$600,4,FALSE),"Pend")</f>
        <v>Pend</v>
      </c>
      <c r="AR702" t="str">
        <f>IFERROR(VLOOKUP(D702,Manual!$C$1:$E$22,2,FALSE),"Pend")</f>
        <v>Pend</v>
      </c>
      <c r="AS702" t="str">
        <f t="shared" si="240"/>
        <v>Yes</v>
      </c>
      <c r="AT702" t="str">
        <f t="shared" si="241"/>
        <v>Yes</v>
      </c>
      <c r="AU702" s="51" t="str">
        <f t="shared" si="242"/>
        <v>Yes</v>
      </c>
      <c r="AV702" s="12">
        <f>IFERROR(VLOOKUP(D702,'Receivable Invoice Detail'!$S$1:$U$3014,3,FALSE),0)</f>
        <v>0</v>
      </c>
      <c r="AW702" s="12">
        <f t="shared" si="243"/>
        <v>558.12635748517152</v>
      </c>
    </row>
    <row r="703" spans="1:49" ht="45" x14ac:dyDescent="0.25">
      <c r="A703" s="2">
        <v>1</v>
      </c>
      <c r="B703" s="2" t="s">
        <v>1101</v>
      </c>
      <c r="C703" s="2" t="s">
        <v>1102</v>
      </c>
      <c r="D703" s="2" t="s">
        <v>2939</v>
      </c>
      <c r="E703" s="2" t="s">
        <v>502</v>
      </c>
      <c r="F703" s="3">
        <v>45846.434328703697</v>
      </c>
      <c r="G703" s="3">
        <v>45846.438530092593</v>
      </c>
      <c r="H703" s="4">
        <v>45849</v>
      </c>
      <c r="I703" s="2" t="s">
        <v>21</v>
      </c>
      <c r="J703" s="2" t="s">
        <v>22</v>
      </c>
      <c r="K703" s="2">
        <v>1</v>
      </c>
      <c r="L703" s="2">
        <v>115.14</v>
      </c>
      <c r="M703" s="2">
        <v>115.14</v>
      </c>
      <c r="N703" s="2">
        <v>115.14</v>
      </c>
      <c r="O703" s="2">
        <v>109.66</v>
      </c>
      <c r="P703" s="2">
        <v>5.48</v>
      </c>
      <c r="Q703" s="2">
        <v>115.14</v>
      </c>
      <c r="R703" s="2" t="s">
        <v>44</v>
      </c>
      <c r="S703" s="2"/>
      <c r="T703" s="2">
        <f t="shared" si="225"/>
        <v>1</v>
      </c>
      <c r="U703" s="18">
        <f t="shared" si="226"/>
        <v>7</v>
      </c>
      <c r="V703" s="18">
        <f t="shared" si="227"/>
        <v>2025</v>
      </c>
      <c r="W703" s="18">
        <f t="shared" si="228"/>
        <v>10</v>
      </c>
      <c r="X703" s="18">
        <f t="shared" si="229"/>
        <v>2025</v>
      </c>
      <c r="Y703" s="2">
        <f t="shared" si="222"/>
        <v>1</v>
      </c>
      <c r="Z703" t="str">
        <f t="shared" si="223"/>
        <v>SO17455</v>
      </c>
      <c r="AA703" s="11">
        <f t="shared" si="230"/>
        <v>45846.434328703697</v>
      </c>
      <c r="AB703" s="5" t="str">
        <f t="shared" si="231"/>
        <v>INV13323</v>
      </c>
      <c r="AC703" s="5" t="str">
        <f>IFERROR(VLOOKUP(D703,CAARStatus!$A$2:$AA$1600,22,FALSE),"Not invoiced")</f>
        <v>Paid</v>
      </c>
      <c r="AD703" s="11">
        <f>IF(AC703="Paid",IFERROR(VLOOKUP(D703,CAARStatus!$A$2:$AA$1600,6,FALSE),"Pending"),"Pending")</f>
        <v>45940</v>
      </c>
      <c r="AE703" s="5" t="str">
        <f t="shared" si="232"/>
        <v>4500582108</v>
      </c>
      <c r="AF703" s="5" t="str">
        <f t="shared" si="233"/>
        <v>Glencore Canada Corporation - Rouyn-Noranda, Glencore Canada Corp.</v>
      </c>
      <c r="AG703" s="5" t="str">
        <f t="shared" si="234"/>
        <v>CAD</v>
      </c>
      <c r="AH703" s="5">
        <f t="shared" si="235"/>
        <v>109.66</v>
      </c>
      <c r="AI703" s="12">
        <f>IF(L703-N703=0,VLOOKUP(U703,rate!A$4:B$15,2,FALSE)*AH703,IF(AG703="USD",O703,AH703*Y703))</f>
        <v>80.003315418974552</v>
      </c>
      <c r="AJ703" s="13">
        <f t="shared" si="236"/>
        <v>0.72955786448089144</v>
      </c>
      <c r="AK703" s="13">
        <f>-IF(AG703="CAD",IFERROR(VLOOKUP(D703,CAARStatus!$A$1:$Y$1600,16,FALSE),0),0)</f>
        <v>-109.66</v>
      </c>
      <c r="AL703" s="13">
        <f>-IF(AG703="USD",IFERROR(VLOOKUP(D703,CAARStatus!$A$1:$Y$1600,11,FALSE),0),0)</f>
        <v>0</v>
      </c>
      <c r="AM703" s="22">
        <f t="shared" si="237"/>
        <v>0</v>
      </c>
      <c r="AN703" s="12" t="str">
        <f t="shared" si="238"/>
        <v/>
      </c>
      <c r="AO703" s="12" t="str">
        <f t="shared" si="239"/>
        <v>Yes</v>
      </c>
      <c r="AP703" t="str">
        <f t="shared" si="224"/>
        <v>Yes</v>
      </c>
      <c r="AQ703" t="str">
        <f>IFERROR(VLOOKUP(Z703,InvBal!$L$4:$P$600,4,FALSE),"Pend")</f>
        <v>Pend</v>
      </c>
      <c r="AR703" t="str">
        <f>IFERROR(VLOOKUP(D703,Manual!$C$1:$E$22,2,FALSE),"Pend")</f>
        <v>Pend</v>
      </c>
      <c r="AS703" t="str">
        <f t="shared" si="240"/>
        <v>Yes</v>
      </c>
      <c r="AT703" t="str">
        <f t="shared" si="241"/>
        <v>Yes</v>
      </c>
      <c r="AU703" s="51" t="str">
        <f t="shared" si="242"/>
        <v>Yes</v>
      </c>
      <c r="AV703" s="12">
        <f>IFERROR(VLOOKUP(D703,'Receivable Invoice Detail'!$S$1:$U$3014,3,FALSE),0)</f>
        <v>0</v>
      </c>
      <c r="AW703" s="12">
        <f t="shared" si="243"/>
        <v>80.003315418974552</v>
      </c>
    </row>
    <row r="704" spans="1:49" x14ac:dyDescent="0.25">
      <c r="A704" s="2">
        <v>2</v>
      </c>
      <c r="B704" s="2" t="s">
        <v>1087</v>
      </c>
      <c r="C704" s="2" t="s">
        <v>1088</v>
      </c>
      <c r="D704" s="2" t="s">
        <v>2946</v>
      </c>
      <c r="E704" s="2" t="s">
        <v>141</v>
      </c>
      <c r="F704" s="3">
        <v>45846.466562499998</v>
      </c>
      <c r="G704" s="3">
        <v>45847.59306712963</v>
      </c>
      <c r="H704" s="4">
        <v>45862</v>
      </c>
      <c r="I704" s="2" t="s">
        <v>40</v>
      </c>
      <c r="J704" s="2" t="s">
        <v>51</v>
      </c>
      <c r="K704" s="2">
        <v>0.73276914130828075</v>
      </c>
      <c r="L704" s="2">
        <v>504.7155770502157</v>
      </c>
      <c r="M704" s="2">
        <v>0</v>
      </c>
      <c r="N704" s="2">
        <v>369.84</v>
      </c>
      <c r="O704" s="2">
        <v>369.84</v>
      </c>
      <c r="P704" s="2"/>
      <c r="Q704" s="2">
        <v>369.84</v>
      </c>
      <c r="R704" s="2" t="s">
        <v>44</v>
      </c>
      <c r="S704" s="2"/>
      <c r="T704" s="2">
        <f t="shared" si="225"/>
        <v>2</v>
      </c>
      <c r="U704" s="18">
        <f t="shared" si="226"/>
        <v>7</v>
      </c>
      <c r="V704" s="18">
        <f t="shared" si="227"/>
        <v>2025</v>
      </c>
      <c r="W704" s="18">
        <f t="shared" si="228"/>
        <v>9</v>
      </c>
      <c r="X704" s="18">
        <f t="shared" si="229"/>
        <v>2025</v>
      </c>
      <c r="Y704" s="2">
        <f t="shared" si="222"/>
        <v>0.73276914130828075</v>
      </c>
      <c r="Z704" t="str">
        <f t="shared" si="223"/>
        <v>SO17456</v>
      </c>
      <c r="AA704" s="11">
        <f t="shared" si="230"/>
        <v>45846.466562499998</v>
      </c>
      <c r="AB704" s="5" t="str">
        <f t="shared" si="231"/>
        <v>INV13276</v>
      </c>
      <c r="AC704" s="5" t="str">
        <f>IFERROR(VLOOKUP(D704,CAARStatus!$A$2:$AA$1600,22,FALSE),"Not invoiced")</f>
        <v>Paid</v>
      </c>
      <c r="AD704" s="11">
        <f>IF(AC704="Paid",IFERROR(VLOOKUP(D704,CAARStatus!$A$2:$AA$1600,6,FALSE),"Pending"),"Pending")</f>
        <v>45929</v>
      </c>
      <c r="AE704" s="5" t="str">
        <f t="shared" si="232"/>
        <v>4512094907</v>
      </c>
      <c r="AF704" s="5" t="str">
        <f t="shared" si="233"/>
        <v>PT Vale Indonesia Tbk.</v>
      </c>
      <c r="AG704" s="5" t="str">
        <f t="shared" si="234"/>
        <v>USD</v>
      </c>
      <c r="AH704" s="5">
        <f t="shared" si="235"/>
        <v>504.7155770502157</v>
      </c>
      <c r="AI704" s="12">
        <f>IF(L704-N704=0,VLOOKUP(U704,rate!A$4:B$15,2,FALSE)*AH704,IF(AG704="USD",O704,AH704*Y704))</f>
        <v>369.84</v>
      </c>
      <c r="AJ704" s="13">
        <f t="shared" si="236"/>
        <v>0.73276914130828075</v>
      </c>
      <c r="AK704" s="13">
        <f>-IF(AG704="CAD",IFERROR(VLOOKUP(D704,CAARStatus!$A$1:$Y$1600,16,FALSE),0),0)</f>
        <v>0</v>
      </c>
      <c r="AL704" s="13">
        <f>-IF(AG704="USD",IFERROR(VLOOKUP(D704,CAARStatus!$A$1:$Y$1600,11,FALSE),0),0)</f>
        <v>-184.92</v>
      </c>
      <c r="AM704" s="22" t="str">
        <f t="shared" si="237"/>
        <v/>
      </c>
      <c r="AN704" s="12">
        <f t="shared" si="238"/>
        <v>184.92</v>
      </c>
      <c r="AO704" s="12" t="str">
        <f t="shared" si="239"/>
        <v>Yes</v>
      </c>
      <c r="AP704" t="str">
        <f t="shared" si="224"/>
        <v>XX</v>
      </c>
      <c r="AQ704" t="str">
        <f>IFERROR(VLOOKUP(Z704,InvBal!$L$4:$P$600,4,FALSE),"Pend")</f>
        <v>Yes</v>
      </c>
      <c r="AR704" t="str">
        <f>IFERROR(VLOOKUP(D704,Manual!$C$1:$E$22,2,FALSE),"Pend")</f>
        <v>Pend</v>
      </c>
      <c r="AS704" t="str">
        <f t="shared" si="240"/>
        <v>Yes</v>
      </c>
      <c r="AT704" t="str">
        <f t="shared" si="241"/>
        <v>Yes</v>
      </c>
      <c r="AU704" s="51" t="str">
        <f t="shared" si="242"/>
        <v>Yes</v>
      </c>
      <c r="AV704" s="12">
        <f>IFERROR(VLOOKUP(D704,'Receivable Invoice Detail'!$S$1:$U$3014,3,FALSE),0)</f>
        <v>0</v>
      </c>
      <c r="AW704" s="12">
        <f t="shared" si="243"/>
        <v>369.84</v>
      </c>
    </row>
    <row r="705" spans="1:49" x14ac:dyDescent="0.25">
      <c r="A705" s="2"/>
      <c r="B705" s="2"/>
      <c r="C705" s="2"/>
      <c r="D705" s="2" t="s">
        <v>2945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>
        <f t="shared" si="225"/>
        <v>2</v>
      </c>
      <c r="U705" s="18">
        <f t="shared" si="226"/>
        <v>7</v>
      </c>
      <c r="V705" s="18">
        <f t="shared" si="227"/>
        <v>2025</v>
      </c>
      <c r="W705" s="18">
        <f t="shared" si="228"/>
        <v>9</v>
      </c>
      <c r="X705" s="18">
        <f t="shared" si="229"/>
        <v>2025</v>
      </c>
      <c r="Y705" s="2">
        <f t="shared" si="222"/>
        <v>0.73276914130828075</v>
      </c>
      <c r="Z705" t="str">
        <f t="shared" si="223"/>
        <v>SO17456</v>
      </c>
      <c r="AA705" s="11">
        <f t="shared" si="230"/>
        <v>45846.466562499998</v>
      </c>
      <c r="AB705" s="5" t="str">
        <f t="shared" si="231"/>
        <v>INV13176</v>
      </c>
      <c r="AC705" s="5" t="str">
        <f>IFERROR(VLOOKUP(D705,CAARStatus!$A$2:$AA$1600,22,FALSE),"Not invoiced")</f>
        <v>Paid</v>
      </c>
      <c r="AD705" s="11">
        <f>IF(AC705="Paid",IFERROR(VLOOKUP(D705,CAARStatus!$A$2:$AA$1600,6,FALSE),"Pending"),"Pending")</f>
        <v>45908</v>
      </c>
      <c r="AE705" s="5" t="str">
        <f t="shared" si="232"/>
        <v>4512094907</v>
      </c>
      <c r="AF705" s="5" t="str">
        <f t="shared" si="233"/>
        <v>PT Vale Indonesia Tbk.</v>
      </c>
      <c r="AG705" s="5" t="str">
        <f t="shared" si="234"/>
        <v>USD</v>
      </c>
      <c r="AH705" s="5">
        <f t="shared" si="235"/>
        <v>0</v>
      </c>
      <c r="AI705" s="12">
        <f>IF(L705-N705=0,VLOOKUP(U705,rate!A$4:B$15,2,FALSE)*AH705,IF(AG705="USD",O705,AH705*Y705))</f>
        <v>0</v>
      </c>
      <c r="AJ705" s="13">
        <f t="shared" si="236"/>
        <v>0</v>
      </c>
      <c r="AK705" s="13">
        <f>-IF(AG705="CAD",IFERROR(VLOOKUP(D705,CAARStatus!$A$1:$Y$1600,16,FALSE),0),0)</f>
        <v>0</v>
      </c>
      <c r="AL705" s="13">
        <f>-IF(AG705="USD",IFERROR(VLOOKUP(D705,CAARStatus!$A$1:$Y$1600,11,FALSE),0),0)</f>
        <v>-184.92</v>
      </c>
      <c r="AM705" s="22" t="str">
        <f t="shared" si="237"/>
        <v/>
      </c>
      <c r="AN705" s="12">
        <f t="shared" si="238"/>
        <v>-184.92</v>
      </c>
      <c r="AO705" s="12" t="str">
        <f t="shared" si="239"/>
        <v>Yes</v>
      </c>
      <c r="AP705" t="str">
        <f t="shared" si="224"/>
        <v>XX</v>
      </c>
      <c r="AQ705" t="str">
        <f>IFERROR(VLOOKUP(Z705,InvBal!$L$4:$P$600,4,FALSE),"Pend")</f>
        <v>Yes</v>
      </c>
      <c r="AR705" t="str">
        <f>IFERROR(VLOOKUP(D705,Manual!$C$1:$E$22,2,FALSE),"Pend")</f>
        <v>Pend</v>
      </c>
      <c r="AS705" t="str">
        <f t="shared" si="240"/>
        <v>Yes</v>
      </c>
      <c r="AT705" t="str">
        <f t="shared" si="241"/>
        <v/>
      </c>
      <c r="AU705" s="51" t="str">
        <f t="shared" si="242"/>
        <v/>
      </c>
      <c r="AV705" s="12">
        <f>IFERROR(VLOOKUP(D705,'Receivable Invoice Detail'!$S$1:$U$3014,3,FALSE),0)</f>
        <v>0</v>
      </c>
      <c r="AW705" s="12">
        <f t="shared" si="243"/>
        <v>0</v>
      </c>
    </row>
    <row r="706" spans="1:49" ht="30" x14ac:dyDescent="0.25">
      <c r="A706" s="2">
        <v>1</v>
      </c>
      <c r="B706" s="2" t="s">
        <v>660</v>
      </c>
      <c r="C706" s="2" t="s">
        <v>661</v>
      </c>
      <c r="D706" s="2" t="s">
        <v>3175</v>
      </c>
      <c r="E706" s="2" t="s">
        <v>50</v>
      </c>
      <c r="F706" s="3">
        <v>45846.496666666673</v>
      </c>
      <c r="G706" s="3">
        <v>45911.347291666672</v>
      </c>
      <c r="H706" s="4">
        <v>45915</v>
      </c>
      <c r="I706" s="2" t="s">
        <v>40</v>
      </c>
      <c r="J706" s="2" t="s">
        <v>51</v>
      </c>
      <c r="K706" s="2">
        <v>0.72223660770473652</v>
      </c>
      <c r="L706" s="2">
        <v>627.21827607109424</v>
      </c>
      <c r="M706" s="2">
        <v>0</v>
      </c>
      <c r="N706" s="2">
        <v>453</v>
      </c>
      <c r="O706" s="2">
        <v>453</v>
      </c>
      <c r="P706" s="2"/>
      <c r="Q706" s="2">
        <v>453</v>
      </c>
      <c r="R706" s="2" t="s">
        <v>44</v>
      </c>
      <c r="S706" s="2"/>
      <c r="T706" s="2">
        <f t="shared" si="225"/>
        <v>1</v>
      </c>
      <c r="U706" s="18">
        <f t="shared" si="226"/>
        <v>7</v>
      </c>
      <c r="V706" s="18">
        <f t="shared" si="227"/>
        <v>2025</v>
      </c>
      <c r="W706" s="18">
        <f t="shared" si="228"/>
        <v>10</v>
      </c>
      <c r="X706" s="18">
        <f t="shared" si="229"/>
        <v>2025</v>
      </c>
      <c r="Y706" s="2">
        <f t="shared" ref="Y706:Y769" si="244">IF(C706="",Y705,N706/L706)</f>
        <v>0.72223660770473652</v>
      </c>
      <c r="Z706" t="str">
        <f t="shared" ref="Z706:Z769" si="245">IF(B706="",Z705,B706)</f>
        <v>SO17457</v>
      </c>
      <c r="AA706" s="11">
        <f t="shared" si="230"/>
        <v>45846.496666666673</v>
      </c>
      <c r="AB706" s="5" t="str">
        <f t="shared" si="231"/>
        <v>INV13393</v>
      </c>
      <c r="AC706" s="5" t="str">
        <f>IFERROR(VLOOKUP(D706,CAARStatus!$A$2:$AA$1600,22,FALSE),"Not invoiced")</f>
        <v>Paid</v>
      </c>
      <c r="AD706" s="11">
        <f>IF(AC706="Paid",IFERROR(VLOOKUP(D706,CAARStatus!$A$2:$AA$1600,6,FALSE),"Pending"),"Pending")</f>
        <v>45959</v>
      </c>
      <c r="AE706" s="5" t="str">
        <f t="shared" si="232"/>
        <v>PO003472</v>
      </c>
      <c r="AF706" s="5" t="str">
        <f t="shared" si="233"/>
        <v>Eleazar General &amp; Industrial Supplies Limited</v>
      </c>
      <c r="AG706" s="5" t="str">
        <f t="shared" si="234"/>
        <v>USD</v>
      </c>
      <c r="AH706" s="5">
        <f t="shared" si="235"/>
        <v>627.21827607109424</v>
      </c>
      <c r="AI706" s="12">
        <f>IF(L706-N706=0,VLOOKUP(U706,rate!A$4:B$15,2,FALSE)*AH706,IF(AG706="USD",O706,AH706*Y706))</f>
        <v>453</v>
      </c>
      <c r="AJ706" s="13">
        <f t="shared" si="236"/>
        <v>0.72223660770473652</v>
      </c>
      <c r="AK706" s="13">
        <f>-IF(AG706="CAD",IFERROR(VLOOKUP(D706,CAARStatus!$A$1:$Y$1600,16,FALSE),0),0)</f>
        <v>0</v>
      </c>
      <c r="AL706" s="13">
        <f>-IF(AG706="USD",IFERROR(VLOOKUP(D706,CAARStatus!$A$1:$Y$1600,11,FALSE),0),0)</f>
        <v>-453</v>
      </c>
      <c r="AM706" s="22" t="str">
        <f t="shared" si="237"/>
        <v/>
      </c>
      <c r="AN706" s="12">
        <f t="shared" si="238"/>
        <v>0</v>
      </c>
      <c r="AO706" s="12" t="str">
        <f t="shared" si="239"/>
        <v>Yes</v>
      </c>
      <c r="AP706" t="str">
        <f t="shared" ref="AP706:AP769" si="246">IF(AND(AO706="Pend",T706&lt;2),"Pend",IF(T706=1,"Yes","XX"))</f>
        <v>Yes</v>
      </c>
      <c r="AQ706" t="str">
        <f>IFERROR(VLOOKUP(Z706,InvBal!$L$4:$P$600,4,FALSE),"Pend")</f>
        <v>Pend</v>
      </c>
      <c r="AR706" t="str">
        <f>IFERROR(VLOOKUP(D706,Manual!$C$1:$E$22,2,FALSE),"Pend")</f>
        <v>Pend</v>
      </c>
      <c r="AS706" t="str">
        <f t="shared" si="240"/>
        <v>Yes</v>
      </c>
      <c r="AT706" t="str">
        <f t="shared" si="241"/>
        <v>Yes</v>
      </c>
      <c r="AU706" s="51" t="str">
        <f t="shared" si="242"/>
        <v>Yes</v>
      </c>
      <c r="AV706" s="12">
        <f>IFERROR(VLOOKUP(D706,'Receivable Invoice Detail'!$S$1:$U$3014,3,FALSE),0)</f>
        <v>0</v>
      </c>
      <c r="AW706" s="12">
        <f t="shared" si="243"/>
        <v>453</v>
      </c>
    </row>
    <row r="707" spans="1:49" x14ac:dyDescent="0.25">
      <c r="A707" s="2">
        <v>1</v>
      </c>
      <c r="B707" s="2" t="s">
        <v>1081</v>
      </c>
      <c r="C707" s="2" t="s">
        <v>1082</v>
      </c>
      <c r="D707" s="2" t="s">
        <v>2950</v>
      </c>
      <c r="E707" s="2" t="s">
        <v>242</v>
      </c>
      <c r="F707" s="3">
        <v>45846.651377314818</v>
      </c>
      <c r="G707" s="3">
        <v>45847.729525462957</v>
      </c>
      <c r="H707" s="4">
        <v>45848</v>
      </c>
      <c r="I707" s="2" t="s">
        <v>21</v>
      </c>
      <c r="J707" s="2" t="s">
        <v>22</v>
      </c>
      <c r="K707" s="2">
        <v>1</v>
      </c>
      <c r="L707" s="2">
        <v>3201.22</v>
      </c>
      <c r="M707" s="2">
        <v>0</v>
      </c>
      <c r="N707" s="2">
        <v>2337.3432045065888</v>
      </c>
      <c r="O707" s="2">
        <v>3048.78</v>
      </c>
      <c r="P707" s="2">
        <v>152.44</v>
      </c>
      <c r="Q707" s="2">
        <v>3201.22</v>
      </c>
      <c r="R707" s="2" t="s">
        <v>44</v>
      </c>
      <c r="S707" s="2"/>
      <c r="T707" s="2">
        <f t="shared" ref="T707:T770" si="247">IF(A707="",T706,A707)</f>
        <v>1</v>
      </c>
      <c r="U707" s="18">
        <f t="shared" ref="U707:U770" si="248">IF(F707="",U706,MONTH(F707))</f>
        <v>7</v>
      </c>
      <c r="V707" s="18">
        <f t="shared" ref="V707:V770" si="249">IF(F707="",V706,YEAR(F707))</f>
        <v>2025</v>
      </c>
      <c r="W707" s="18">
        <f t="shared" ref="W707:W770" si="250">IF(AC707="Paid",MONTH(AD707),"")</f>
        <v>8</v>
      </c>
      <c r="X707" s="18">
        <f t="shared" ref="X707:X770" si="251">IF(AC707="Paid",YEAR(AD707),"")</f>
        <v>2025</v>
      </c>
      <c r="Y707" s="2">
        <f t="shared" si="244"/>
        <v>0.73014138500527581</v>
      </c>
      <c r="Z707" t="str">
        <f t="shared" si="245"/>
        <v>SO17459</v>
      </c>
      <c r="AA707" s="11">
        <f t="shared" ref="AA707:AA770" si="252">IF(F707="",AA706,F707)</f>
        <v>45846.651377314818</v>
      </c>
      <c r="AB707" s="5" t="str">
        <f t="shared" ref="AB707:AB770" si="253">IF(D707="","No Inv",D707)</f>
        <v>INV13173</v>
      </c>
      <c r="AC707" s="5" t="str">
        <f>IFERROR(VLOOKUP(D707,CAARStatus!$A$2:$AA$1600,22,FALSE),"Not invoiced")</f>
        <v>Paid</v>
      </c>
      <c r="AD707" s="11">
        <f>IF(AC707="Paid",IFERROR(VLOOKUP(D707,CAARStatus!$A$2:$AA$1600,6,FALSE),"Pending"),"Pending")</f>
        <v>45889</v>
      </c>
      <c r="AE707" s="5" t="str">
        <f t="shared" ref="AE707:AE770" si="254">IF(C707="",AE706,C707)</f>
        <v>2100609815</v>
      </c>
      <c r="AF707" s="5" t="str">
        <f t="shared" ref="AF707:AF770" si="255">IF(E707="",AF706,E707)</f>
        <v>Wajax Limited - Noranda</v>
      </c>
      <c r="AG707" s="5" t="str">
        <f t="shared" ref="AG707:AG770" si="256">IF(J707="",AG706,J707)</f>
        <v>CAD</v>
      </c>
      <c r="AH707" s="5">
        <f t="shared" ref="AH707:AH770" si="257">IFERROR(IF(AG707="CAD",O707,O707/K707),0)</f>
        <v>3048.78</v>
      </c>
      <c r="AI707" s="12">
        <f>IF(L707-N707=0,VLOOKUP(U707,rate!A$4:B$15,2,FALSE)*AH707,IF(AG707="USD",O707,AH707*Y707))</f>
        <v>2226.040451776385</v>
      </c>
      <c r="AJ707" s="13">
        <f t="shared" ref="AJ707:AJ770" si="258">IFERROR(AI707/AH707,0)</f>
        <v>0.73014138500527581</v>
      </c>
      <c r="AK707" s="13">
        <f>-IF(AG707="CAD",IFERROR(VLOOKUP(D707,CAARStatus!$A$1:$Y$1600,16,FALSE),0),0)</f>
        <v>-3048.78</v>
      </c>
      <c r="AL707" s="13">
        <f>-IF(AG707="USD",IFERROR(VLOOKUP(D707,CAARStatus!$A$1:$Y$1600,11,FALSE),0),0)</f>
        <v>0</v>
      </c>
      <c r="AM707" s="22">
        <f t="shared" ref="AM707:AM770" si="259">IF(AG707="CAD",AH707+AK707,"")</f>
        <v>0</v>
      </c>
      <c r="AN707" s="12" t="str">
        <f t="shared" ref="AN707:AN770" si="260">IF(AG707="USD",AI707+AL707,"")</f>
        <v/>
      </c>
      <c r="AO707" s="12" t="str">
        <f t="shared" ref="AO707:AO770" si="261">IF(AC707="Paid","Yes","Pend")</f>
        <v>Yes</v>
      </c>
      <c r="AP707" t="str">
        <f t="shared" si="246"/>
        <v>Yes</v>
      </c>
      <c r="AQ707" t="str">
        <f>IFERROR(VLOOKUP(Z707,InvBal!$L$4:$P$600,4,FALSE),"Pend")</f>
        <v>Pend</v>
      </c>
      <c r="AR707" t="str">
        <f>IFERROR(VLOOKUP(D707,Manual!$C$1:$E$22,2,FALSE),"Pend")</f>
        <v>Pend</v>
      </c>
      <c r="AS707" t="str">
        <f t="shared" ref="AS707:AS770" si="262">IF(OR(AP707="Yes",AQ707="Yes",AR707="Yes"),"Yes","")</f>
        <v>Yes</v>
      </c>
      <c r="AT707" t="str">
        <f t="shared" ref="AT707:AT770" si="263">IF(R707="Delivered","Yes","")</f>
        <v>Yes</v>
      </c>
      <c r="AU707" s="51" t="str">
        <f t="shared" ref="AU707:AU770" si="264">IF(AND(AS707="Yes",AT707="Yes"),"Yes","")</f>
        <v>Yes</v>
      </c>
      <c r="AV707" s="12">
        <f>IFERROR(VLOOKUP(D707,'Receivable Invoice Detail'!$S$1:$U$3014,3,FALSE),0)</f>
        <v>0</v>
      </c>
      <c r="AW707" s="12">
        <f t="shared" ref="AW707:AW770" si="265">IF(AU707="Yes",AI707-AV707,0)</f>
        <v>2226.040451776385</v>
      </c>
    </row>
    <row r="708" spans="1:49" x14ac:dyDescent="0.25">
      <c r="A708" s="2">
        <v>2</v>
      </c>
      <c r="B708" s="2" t="s">
        <v>1077</v>
      </c>
      <c r="C708" s="2" t="s">
        <v>1078</v>
      </c>
      <c r="D708" s="2" t="s">
        <v>2953</v>
      </c>
      <c r="E708" s="2" t="s">
        <v>242</v>
      </c>
      <c r="F708" s="3">
        <v>45846.728576388887</v>
      </c>
      <c r="G708" s="3">
        <v>45847.782754629632</v>
      </c>
      <c r="H708" s="4">
        <v>45854</v>
      </c>
      <c r="I708" s="2" t="s">
        <v>21</v>
      </c>
      <c r="J708" s="2" t="s">
        <v>22</v>
      </c>
      <c r="K708" s="2">
        <v>1</v>
      </c>
      <c r="L708" s="2">
        <v>1033.58</v>
      </c>
      <c r="M708" s="2">
        <v>0</v>
      </c>
      <c r="N708" s="2">
        <v>754.65953271375292</v>
      </c>
      <c r="O708" s="2">
        <v>984.36</v>
      </c>
      <c r="P708" s="2">
        <v>49.22</v>
      </c>
      <c r="Q708" s="2">
        <v>1033.58</v>
      </c>
      <c r="R708" s="2" t="s">
        <v>44</v>
      </c>
      <c r="S708" s="2"/>
      <c r="T708" s="2">
        <f t="shared" si="247"/>
        <v>2</v>
      </c>
      <c r="U708" s="18">
        <f t="shared" si="248"/>
        <v>7</v>
      </c>
      <c r="V708" s="18">
        <f t="shared" si="249"/>
        <v>2025</v>
      </c>
      <c r="W708" s="18">
        <f t="shared" si="250"/>
        <v>8</v>
      </c>
      <c r="X708" s="18">
        <f t="shared" si="251"/>
        <v>2025</v>
      </c>
      <c r="Y708" s="2">
        <f t="shared" si="244"/>
        <v>0.73014138500527581</v>
      </c>
      <c r="Z708" t="str">
        <f t="shared" si="245"/>
        <v>SO17461</v>
      </c>
      <c r="AA708" s="11">
        <f t="shared" si="252"/>
        <v>45846.728576388887</v>
      </c>
      <c r="AB708" s="5" t="str">
        <f t="shared" si="253"/>
        <v>INV13201</v>
      </c>
      <c r="AC708" s="5" t="str">
        <f>IFERROR(VLOOKUP(D708,CAARStatus!$A$2:$AA$1600,22,FALSE),"Not invoiced")</f>
        <v>Paid</v>
      </c>
      <c r="AD708" s="11">
        <f>IF(AC708="Paid",IFERROR(VLOOKUP(D708,CAARStatus!$A$2:$AA$1600,6,FALSE),"Pending"),"Pending")</f>
        <v>45896</v>
      </c>
      <c r="AE708" s="5" t="str">
        <f t="shared" si="254"/>
        <v>2100610848</v>
      </c>
      <c r="AF708" s="5" t="str">
        <f t="shared" si="255"/>
        <v>Wajax Limited - Noranda</v>
      </c>
      <c r="AG708" s="5" t="str">
        <f t="shared" si="256"/>
        <v>CAD</v>
      </c>
      <c r="AH708" s="5">
        <f t="shared" si="257"/>
        <v>984.36</v>
      </c>
      <c r="AI708" s="12">
        <f>IF(L708-N708=0,VLOOKUP(U708,rate!A$4:B$15,2,FALSE)*AH708,IF(AG708="USD",O708,AH708*Y708))</f>
        <v>718.72197374379334</v>
      </c>
      <c r="AJ708" s="13">
        <f t="shared" si="258"/>
        <v>0.73014138500527581</v>
      </c>
      <c r="AK708" s="13">
        <f>-IF(AG708="CAD",IFERROR(VLOOKUP(D708,CAARStatus!$A$1:$Y$1600,16,FALSE),0),0)</f>
        <v>-60</v>
      </c>
      <c r="AL708" s="13">
        <f>-IF(AG708="USD",IFERROR(VLOOKUP(D708,CAARStatus!$A$1:$Y$1600,11,FALSE),0),0)</f>
        <v>0</v>
      </c>
      <c r="AM708" s="22">
        <f t="shared" si="259"/>
        <v>924.36</v>
      </c>
      <c r="AN708" s="12" t="str">
        <f t="shared" si="260"/>
        <v/>
      </c>
      <c r="AO708" s="12" t="str">
        <f t="shared" si="261"/>
        <v>Yes</v>
      </c>
      <c r="AP708" t="str">
        <f t="shared" si="246"/>
        <v>XX</v>
      </c>
      <c r="AQ708" t="str">
        <f>IFERROR(VLOOKUP(Z708,InvBal!$L$4:$P$600,4,FALSE),"Pend")</f>
        <v>Yes</v>
      </c>
      <c r="AR708" t="str">
        <f>IFERROR(VLOOKUP(D708,Manual!$C$1:$E$22,2,FALSE),"Pend")</f>
        <v>Pend</v>
      </c>
      <c r="AS708" t="str">
        <f t="shared" si="262"/>
        <v>Yes</v>
      </c>
      <c r="AT708" t="str">
        <f t="shared" si="263"/>
        <v>Yes</v>
      </c>
      <c r="AU708" s="51" t="str">
        <f t="shared" si="264"/>
        <v>Yes</v>
      </c>
      <c r="AV708" s="12">
        <f>IFERROR(VLOOKUP(D708,'Receivable Invoice Detail'!$S$1:$U$3014,3,FALSE),0)</f>
        <v>0</v>
      </c>
      <c r="AW708" s="12">
        <f t="shared" si="265"/>
        <v>718.72197374379334</v>
      </c>
    </row>
    <row r="709" spans="1:49" x14ac:dyDescent="0.25">
      <c r="A709" s="2"/>
      <c r="B709" s="2"/>
      <c r="C709" s="2"/>
      <c r="D709" s="2" t="s">
        <v>2952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>
        <f t="shared" si="247"/>
        <v>2</v>
      </c>
      <c r="U709" s="18">
        <f t="shared" si="248"/>
        <v>7</v>
      </c>
      <c r="V709" s="18">
        <f t="shared" si="249"/>
        <v>2025</v>
      </c>
      <c r="W709" s="18">
        <f t="shared" si="250"/>
        <v>8</v>
      </c>
      <c r="X709" s="18">
        <f t="shared" si="251"/>
        <v>2025</v>
      </c>
      <c r="Y709" s="2">
        <f t="shared" si="244"/>
        <v>0.73014138500527581</v>
      </c>
      <c r="Z709" t="str">
        <f t="shared" si="245"/>
        <v>SO17461</v>
      </c>
      <c r="AA709" s="11">
        <f t="shared" si="252"/>
        <v>45846.728576388887</v>
      </c>
      <c r="AB709" s="5" t="str">
        <f t="shared" si="253"/>
        <v>INV13174</v>
      </c>
      <c r="AC709" s="5" t="str">
        <f>IFERROR(VLOOKUP(D709,CAARStatus!$A$2:$AA$1600,22,FALSE),"Not invoiced")</f>
        <v>Paid</v>
      </c>
      <c r="AD709" s="11">
        <f>IF(AC709="Paid",IFERROR(VLOOKUP(D709,CAARStatus!$A$2:$AA$1600,6,FALSE),"Pending"),"Pending")</f>
        <v>45889</v>
      </c>
      <c r="AE709" s="5" t="str">
        <f t="shared" si="254"/>
        <v>2100610848</v>
      </c>
      <c r="AF709" s="5" t="str">
        <f t="shared" si="255"/>
        <v>Wajax Limited - Noranda</v>
      </c>
      <c r="AG709" s="5" t="str">
        <f t="shared" si="256"/>
        <v>CAD</v>
      </c>
      <c r="AH709" s="5">
        <f t="shared" si="257"/>
        <v>0</v>
      </c>
      <c r="AI709" s="12">
        <f>IF(L709-N709=0,VLOOKUP(U709,rate!A$4:B$15,2,FALSE)*AH709,IF(AG709="USD",O709,AH709*Y709))</f>
        <v>0</v>
      </c>
      <c r="AJ709" s="13">
        <f t="shared" si="258"/>
        <v>0</v>
      </c>
      <c r="AK709" s="13">
        <f>-IF(AG709="CAD",IFERROR(VLOOKUP(D709,CAARStatus!$A$1:$Y$1600,16,FALSE),0),0)</f>
        <v>-924.36</v>
      </c>
      <c r="AL709" s="13">
        <f>-IF(AG709="USD",IFERROR(VLOOKUP(D709,CAARStatus!$A$1:$Y$1600,11,FALSE),0),0)</f>
        <v>0</v>
      </c>
      <c r="AM709" s="22">
        <f t="shared" si="259"/>
        <v>-924.36</v>
      </c>
      <c r="AN709" s="12" t="str">
        <f t="shared" si="260"/>
        <v/>
      </c>
      <c r="AO709" s="12" t="str">
        <f t="shared" si="261"/>
        <v>Yes</v>
      </c>
      <c r="AP709" t="str">
        <f t="shared" si="246"/>
        <v>XX</v>
      </c>
      <c r="AQ709" t="str">
        <f>IFERROR(VLOOKUP(Z709,InvBal!$L$4:$P$600,4,FALSE),"Pend")</f>
        <v>Yes</v>
      </c>
      <c r="AR709" t="str">
        <f>IFERROR(VLOOKUP(D709,Manual!$C$1:$E$22,2,FALSE),"Pend")</f>
        <v>Pend</v>
      </c>
      <c r="AS709" t="str">
        <f t="shared" si="262"/>
        <v>Yes</v>
      </c>
      <c r="AT709" t="str">
        <f t="shared" si="263"/>
        <v/>
      </c>
      <c r="AU709" s="51" t="str">
        <f t="shared" si="264"/>
        <v/>
      </c>
      <c r="AV709" s="12">
        <f>IFERROR(VLOOKUP(D709,'Receivable Invoice Detail'!$S$1:$U$3014,3,FALSE),0)</f>
        <v>0</v>
      </c>
      <c r="AW709" s="12">
        <f t="shared" si="265"/>
        <v>0</v>
      </c>
    </row>
    <row r="710" spans="1:49" x14ac:dyDescent="0.25">
      <c r="A710" s="2">
        <v>1</v>
      </c>
      <c r="B710" s="2" t="s">
        <v>533</v>
      </c>
      <c r="C710" s="2" t="s">
        <v>534</v>
      </c>
      <c r="D710" s="2" t="s">
        <v>3236</v>
      </c>
      <c r="E710" s="2" t="s">
        <v>64</v>
      </c>
      <c r="F710" s="3">
        <v>45847.691307870373</v>
      </c>
      <c r="G710" s="3">
        <v>45926.648321759261</v>
      </c>
      <c r="H710" s="4">
        <v>45928</v>
      </c>
      <c r="I710" s="2" t="s">
        <v>21</v>
      </c>
      <c r="J710" s="2" t="s">
        <v>22</v>
      </c>
      <c r="K710" s="2">
        <v>1</v>
      </c>
      <c r="L710" s="2">
        <v>825.78</v>
      </c>
      <c r="M710" s="2">
        <v>0</v>
      </c>
      <c r="N710" s="2">
        <v>592.07402214435069</v>
      </c>
      <c r="O710" s="2">
        <v>730.78</v>
      </c>
      <c r="P710" s="2">
        <v>95</v>
      </c>
      <c r="Q710" s="2">
        <v>825.78</v>
      </c>
      <c r="R710" s="2" t="s">
        <v>44</v>
      </c>
      <c r="S710" s="2"/>
      <c r="T710" s="2">
        <f t="shared" si="247"/>
        <v>1</v>
      </c>
      <c r="U710" s="18">
        <f t="shared" si="248"/>
        <v>7</v>
      </c>
      <c r="V710" s="18">
        <f t="shared" si="249"/>
        <v>2025</v>
      </c>
      <c r="W710" s="18">
        <f t="shared" si="250"/>
        <v>11</v>
      </c>
      <c r="X710" s="18">
        <f t="shared" si="251"/>
        <v>2025</v>
      </c>
      <c r="Y710" s="2">
        <f t="shared" si="244"/>
        <v>0.71698760219955759</v>
      </c>
      <c r="Z710" t="str">
        <f t="shared" si="245"/>
        <v>SO17462</v>
      </c>
      <c r="AA710" s="11">
        <f t="shared" si="252"/>
        <v>45847.691307870373</v>
      </c>
      <c r="AB710" s="5" t="str">
        <f t="shared" si="253"/>
        <v>INV13466</v>
      </c>
      <c r="AC710" s="5" t="str">
        <f>IFERROR(VLOOKUP(D710,CAARStatus!$A$2:$AA$1600,22,FALSE),"Not invoiced")</f>
        <v>Paid</v>
      </c>
      <c r="AD710" s="11">
        <f>IF(AC710="Paid",IFERROR(VLOOKUP(D710,CAARStatus!$A$2:$AA$1600,6,FALSE),"Pending"),"Pending")</f>
        <v>45991</v>
      </c>
      <c r="AE710" s="5" t="str">
        <f t="shared" si="254"/>
        <v>607053</v>
      </c>
      <c r="AF710" s="5" t="str">
        <f t="shared" si="255"/>
        <v>Sealtrac Inc.</v>
      </c>
      <c r="AG710" s="5" t="str">
        <f t="shared" si="256"/>
        <v>CAD</v>
      </c>
      <c r="AH710" s="5">
        <f t="shared" si="257"/>
        <v>730.78</v>
      </c>
      <c r="AI710" s="12">
        <f>IF(L710-N710=0,VLOOKUP(U710,rate!A$4:B$15,2,FALSE)*AH710,IF(AG710="USD",O710,AH710*Y710))</f>
        <v>523.96019993539267</v>
      </c>
      <c r="AJ710" s="13">
        <f t="shared" si="258"/>
        <v>0.71698760219955759</v>
      </c>
      <c r="AK710" s="13">
        <f>-IF(AG710="CAD",IFERROR(VLOOKUP(D710,CAARStatus!$A$1:$Y$1600,16,FALSE),0),0)</f>
        <v>-730.78</v>
      </c>
      <c r="AL710" s="13">
        <f>-IF(AG710="USD",IFERROR(VLOOKUP(D710,CAARStatus!$A$1:$Y$1600,11,FALSE),0),0)</f>
        <v>0</v>
      </c>
      <c r="AM710" s="22">
        <f t="shared" si="259"/>
        <v>0</v>
      </c>
      <c r="AN710" s="12" t="str">
        <f t="shared" si="260"/>
        <v/>
      </c>
      <c r="AO710" s="12" t="str">
        <f t="shared" si="261"/>
        <v>Yes</v>
      </c>
      <c r="AP710" t="str">
        <f t="shared" si="246"/>
        <v>Yes</v>
      </c>
      <c r="AQ710" t="str">
        <f>IFERROR(VLOOKUP(Z710,InvBal!$L$4:$P$600,4,FALSE),"Pend")</f>
        <v>Pend</v>
      </c>
      <c r="AR710" t="str">
        <f>IFERROR(VLOOKUP(D710,Manual!$C$1:$E$22,2,FALSE),"Pend")</f>
        <v>Pend</v>
      </c>
      <c r="AS710" t="str">
        <f t="shared" si="262"/>
        <v>Yes</v>
      </c>
      <c r="AT710" t="str">
        <f t="shared" si="263"/>
        <v>Yes</v>
      </c>
      <c r="AU710" s="51" t="str">
        <f t="shared" si="264"/>
        <v>Yes</v>
      </c>
      <c r="AV710" s="12">
        <f>IFERROR(VLOOKUP(D710,'Receivable Invoice Detail'!$S$1:$U$3014,3,FALSE),0)</f>
        <v>0</v>
      </c>
      <c r="AW710" s="12">
        <f t="shared" si="265"/>
        <v>523.96019993539267</v>
      </c>
    </row>
    <row r="711" spans="1:49" x14ac:dyDescent="0.25">
      <c r="A711" s="2">
        <v>2</v>
      </c>
      <c r="B711" s="2" t="s">
        <v>1062</v>
      </c>
      <c r="C711" s="2" t="s">
        <v>1063</v>
      </c>
      <c r="D711" s="2" t="s">
        <v>2962</v>
      </c>
      <c r="E711" s="2" t="s">
        <v>77</v>
      </c>
      <c r="F711" s="3">
        <v>45847.698587962957</v>
      </c>
      <c r="G711" s="3">
        <v>45849.497754629629</v>
      </c>
      <c r="H711" s="4">
        <v>45863</v>
      </c>
      <c r="I711" s="2" t="s">
        <v>21</v>
      </c>
      <c r="J711" s="2" t="s">
        <v>22</v>
      </c>
      <c r="K711" s="2">
        <v>1</v>
      </c>
      <c r="L711" s="2">
        <v>3013.5</v>
      </c>
      <c r="M711" s="2">
        <v>0</v>
      </c>
      <c r="N711" s="2">
        <v>2202.6518076182278</v>
      </c>
      <c r="O711" s="2">
        <v>2870</v>
      </c>
      <c r="P711" s="2">
        <v>143.5</v>
      </c>
      <c r="Q711" s="2">
        <v>3013.5</v>
      </c>
      <c r="R711" s="2" t="s">
        <v>44</v>
      </c>
      <c r="S711" s="2"/>
      <c r="T711" s="2">
        <f t="shared" si="247"/>
        <v>2</v>
      </c>
      <c r="U711" s="18">
        <f t="shared" si="248"/>
        <v>7</v>
      </c>
      <c r="V711" s="18">
        <f t="shared" si="249"/>
        <v>2025</v>
      </c>
      <c r="W711" s="18">
        <f t="shared" si="250"/>
        <v>7</v>
      </c>
      <c r="X711" s="18">
        <f t="shared" si="251"/>
        <v>2025</v>
      </c>
      <c r="Y711" s="2">
        <f t="shared" si="244"/>
        <v>0.73092809278852755</v>
      </c>
      <c r="Z711" t="str">
        <f t="shared" si="245"/>
        <v>SO17464</v>
      </c>
      <c r="AA711" s="11">
        <f t="shared" si="252"/>
        <v>45847.698587962957</v>
      </c>
      <c r="AB711" s="5" t="str">
        <f t="shared" si="253"/>
        <v>INV13181</v>
      </c>
      <c r="AC711" s="5" t="str">
        <f>IFERROR(VLOOKUP(D711,CAARStatus!$A$2:$AA$1600,22,FALSE),"Not invoiced")</f>
        <v>Paid</v>
      </c>
      <c r="AD711" s="11">
        <f>IF(AC711="Paid",IFERROR(VLOOKUP(D711,CAARStatus!$A$2:$AA$1600,6,FALSE),"Pending"),"Pending")</f>
        <v>45868</v>
      </c>
      <c r="AE711" s="5" t="str">
        <f t="shared" si="254"/>
        <v>PO-40-1016572</v>
      </c>
      <c r="AF711" s="5" t="str">
        <f t="shared" si="255"/>
        <v>Canadian Bearings Ltd.</v>
      </c>
      <c r="AG711" s="5" t="str">
        <f t="shared" si="256"/>
        <v>CAD</v>
      </c>
      <c r="AH711" s="5">
        <f t="shared" si="257"/>
        <v>2870</v>
      </c>
      <c r="AI711" s="12">
        <f>IF(L711-N711=0,VLOOKUP(U711,rate!A$4:B$15,2,FALSE)*AH711,IF(AG711="USD",O711,AH711*Y711))</f>
        <v>2097.763626303074</v>
      </c>
      <c r="AJ711" s="13">
        <f t="shared" si="258"/>
        <v>0.73092809278852755</v>
      </c>
      <c r="AK711" s="13">
        <f>-IF(AG711="CAD",IFERROR(VLOOKUP(D711,CAARStatus!$A$1:$Y$1600,16,FALSE),0),0)</f>
        <v>-595.67999999999995</v>
      </c>
      <c r="AL711" s="13">
        <f>-IF(AG711="USD",IFERROR(VLOOKUP(D711,CAARStatus!$A$1:$Y$1600,11,FALSE),0),0)</f>
        <v>0</v>
      </c>
      <c r="AM711" s="22">
        <f t="shared" si="259"/>
        <v>2274.3200000000002</v>
      </c>
      <c r="AN711" s="12" t="str">
        <f t="shared" si="260"/>
        <v/>
      </c>
      <c r="AO711" s="12" t="str">
        <f t="shared" si="261"/>
        <v>Yes</v>
      </c>
      <c r="AP711" t="str">
        <f t="shared" si="246"/>
        <v>XX</v>
      </c>
      <c r="AQ711" t="str">
        <f>IFERROR(VLOOKUP(Z711,InvBal!$L$4:$P$600,4,FALSE),"Pend")</f>
        <v>Yes</v>
      </c>
      <c r="AR711" t="str">
        <f>IFERROR(VLOOKUP(D711,Manual!$C$1:$E$22,2,FALSE),"Pend")</f>
        <v>Pend</v>
      </c>
      <c r="AS711" t="str">
        <f t="shared" si="262"/>
        <v>Yes</v>
      </c>
      <c r="AT711" t="str">
        <f t="shared" si="263"/>
        <v>Yes</v>
      </c>
      <c r="AU711" s="51" t="str">
        <f t="shared" si="264"/>
        <v>Yes</v>
      </c>
      <c r="AV711" s="12">
        <f>IFERROR(VLOOKUP(D711,'Receivable Invoice Detail'!$S$1:$U$3014,3,FALSE),0)</f>
        <v>0</v>
      </c>
      <c r="AW711" s="12">
        <f t="shared" si="265"/>
        <v>2097.763626303074</v>
      </c>
    </row>
    <row r="712" spans="1:49" x14ac:dyDescent="0.25">
      <c r="A712" s="2"/>
      <c r="B712" s="2"/>
      <c r="C712" s="2"/>
      <c r="D712" s="2" t="s">
        <v>2961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>
        <f t="shared" si="247"/>
        <v>2</v>
      </c>
      <c r="U712" s="18">
        <f t="shared" si="248"/>
        <v>7</v>
      </c>
      <c r="V712" s="18">
        <f t="shared" si="249"/>
        <v>2025</v>
      </c>
      <c r="W712" s="18">
        <f t="shared" si="250"/>
        <v>10</v>
      </c>
      <c r="X712" s="18">
        <f t="shared" si="251"/>
        <v>2025</v>
      </c>
      <c r="Y712" s="2">
        <f t="shared" si="244"/>
        <v>0.73092809278852755</v>
      </c>
      <c r="Z712" t="str">
        <f t="shared" si="245"/>
        <v>SO17464</v>
      </c>
      <c r="AA712" s="11">
        <f t="shared" si="252"/>
        <v>45847.698587962957</v>
      </c>
      <c r="AB712" s="5" t="str">
        <f t="shared" si="253"/>
        <v>INV13271</v>
      </c>
      <c r="AC712" s="5" t="str">
        <f>IFERROR(VLOOKUP(D712,CAARStatus!$A$2:$AA$1600,22,FALSE),"Not invoiced")</f>
        <v>Paid</v>
      </c>
      <c r="AD712" s="11">
        <f>IF(AC712="Paid",IFERROR(VLOOKUP(D712,CAARStatus!$A$2:$AA$1600,6,FALSE),"Pending"),"Pending")</f>
        <v>45940</v>
      </c>
      <c r="AE712" s="5" t="str">
        <f t="shared" si="254"/>
        <v>PO-40-1016572</v>
      </c>
      <c r="AF712" s="5" t="str">
        <f t="shared" si="255"/>
        <v>Canadian Bearings Ltd.</v>
      </c>
      <c r="AG712" s="5" t="str">
        <f t="shared" si="256"/>
        <v>CAD</v>
      </c>
      <c r="AH712" s="5">
        <f t="shared" si="257"/>
        <v>0</v>
      </c>
      <c r="AI712" s="12">
        <f>IF(L712-N712=0,VLOOKUP(U712,rate!A$4:B$15,2,FALSE)*AH712,IF(AG712="USD",O712,AH712*Y712))</f>
        <v>0</v>
      </c>
      <c r="AJ712" s="13">
        <f t="shared" si="258"/>
        <v>0</v>
      </c>
      <c r="AK712" s="13">
        <f>-IF(AG712="CAD",IFERROR(VLOOKUP(D712,CAARStatus!$A$1:$Y$1600,16,FALSE),0),0)</f>
        <v>-2274.3200000000002</v>
      </c>
      <c r="AL712" s="13">
        <f>-IF(AG712="USD",IFERROR(VLOOKUP(D712,CAARStatus!$A$1:$Y$1600,11,FALSE),0),0)</f>
        <v>0</v>
      </c>
      <c r="AM712" s="22">
        <f t="shared" si="259"/>
        <v>-2274.3200000000002</v>
      </c>
      <c r="AN712" s="12" t="str">
        <f t="shared" si="260"/>
        <v/>
      </c>
      <c r="AO712" s="12" t="str">
        <f t="shared" si="261"/>
        <v>Yes</v>
      </c>
      <c r="AP712" t="str">
        <f t="shared" si="246"/>
        <v>XX</v>
      </c>
      <c r="AQ712" t="str">
        <f>IFERROR(VLOOKUP(Z712,InvBal!$L$4:$P$600,4,FALSE),"Pend")</f>
        <v>Yes</v>
      </c>
      <c r="AR712" t="str">
        <f>IFERROR(VLOOKUP(D712,Manual!$C$1:$E$22,2,FALSE),"Pend")</f>
        <v>Pend</v>
      </c>
      <c r="AS712" t="str">
        <f t="shared" si="262"/>
        <v>Yes</v>
      </c>
      <c r="AT712" t="str">
        <f t="shared" si="263"/>
        <v/>
      </c>
      <c r="AU712" s="51" t="str">
        <f t="shared" si="264"/>
        <v/>
      </c>
      <c r="AV712" s="12">
        <f>IFERROR(VLOOKUP(D712,'Receivable Invoice Detail'!$S$1:$U$3014,3,FALSE),0)</f>
        <v>0</v>
      </c>
      <c r="AW712" s="12">
        <f t="shared" si="265"/>
        <v>0</v>
      </c>
    </row>
    <row r="713" spans="1:49" ht="30" x14ac:dyDescent="0.25">
      <c r="A713" s="2">
        <v>1</v>
      </c>
      <c r="B713" s="2" t="s">
        <v>1079</v>
      </c>
      <c r="C713" s="2" t="s">
        <v>1080</v>
      </c>
      <c r="D713" s="2" t="s">
        <v>2951</v>
      </c>
      <c r="E713" s="2" t="s">
        <v>26</v>
      </c>
      <c r="F713" s="3">
        <v>45847.739293981482</v>
      </c>
      <c r="G713" s="3">
        <v>45847.755104166667</v>
      </c>
      <c r="H713" s="4">
        <v>45857</v>
      </c>
      <c r="I713" s="2" t="s">
        <v>36</v>
      </c>
      <c r="J713" s="2" t="s">
        <v>51</v>
      </c>
      <c r="K713" s="2">
        <v>0.73276914130828075</v>
      </c>
      <c r="L713" s="2">
        <v>1448.4097926190959</v>
      </c>
      <c r="M713" s="2">
        <v>0</v>
      </c>
      <c r="N713" s="2">
        <v>1061.3499999999999</v>
      </c>
      <c r="O713" s="2">
        <v>1010.81</v>
      </c>
      <c r="P713" s="2">
        <v>50.54</v>
      </c>
      <c r="Q713" s="2">
        <v>1061.3499999999999</v>
      </c>
      <c r="R713" s="2" t="s">
        <v>44</v>
      </c>
      <c r="S713" s="2"/>
      <c r="T713" s="2">
        <f t="shared" si="247"/>
        <v>1</v>
      </c>
      <c r="U713" s="18">
        <f t="shared" si="248"/>
        <v>7</v>
      </c>
      <c r="V713" s="18">
        <f t="shared" si="249"/>
        <v>2025</v>
      </c>
      <c r="W713" s="18">
        <f t="shared" si="250"/>
        <v>9</v>
      </c>
      <c r="X713" s="18">
        <f t="shared" si="251"/>
        <v>2025</v>
      </c>
      <c r="Y713" s="2">
        <f t="shared" si="244"/>
        <v>0.73276914130828075</v>
      </c>
      <c r="Z713" t="str">
        <f t="shared" si="245"/>
        <v>SO17466</v>
      </c>
      <c r="AA713" s="11">
        <f t="shared" si="252"/>
        <v>45847.739293981482</v>
      </c>
      <c r="AB713" s="5" t="str">
        <f t="shared" si="253"/>
        <v>INV13167</v>
      </c>
      <c r="AC713" s="5" t="str">
        <f>IFERROR(VLOOKUP(D713,CAARStatus!$A$2:$AA$1600,22,FALSE),"Not invoiced")</f>
        <v>Paid</v>
      </c>
      <c r="AD713" s="11">
        <f>IF(AC713="Paid",IFERROR(VLOOKUP(D713,CAARStatus!$A$2:$AA$1600,6,FALSE),"Pending"),"Pending")</f>
        <v>45909</v>
      </c>
      <c r="AE713" s="5" t="str">
        <f t="shared" si="254"/>
        <v>4500604516</v>
      </c>
      <c r="AF713" s="5" t="str">
        <f t="shared" si="255"/>
        <v>Resolute Forest Products - Clermont</v>
      </c>
      <c r="AG713" s="5" t="str">
        <f t="shared" si="256"/>
        <v>USD</v>
      </c>
      <c r="AH713" s="5">
        <f t="shared" si="257"/>
        <v>1379.4385475830861</v>
      </c>
      <c r="AI713" s="12">
        <f>IF(L713-N713=0,VLOOKUP(U713,rate!A$4:B$15,2,FALSE)*AH713,IF(AG713="USD",O713,AH713*Y713))</f>
        <v>1010.81</v>
      </c>
      <c r="AJ713" s="13">
        <f t="shared" si="258"/>
        <v>0.73276914130828075</v>
      </c>
      <c r="AK713" s="13">
        <f>-IF(AG713="CAD",IFERROR(VLOOKUP(D713,CAARStatus!$A$1:$Y$1600,16,FALSE),0),0)</f>
        <v>0</v>
      </c>
      <c r="AL713" s="13">
        <f>-IF(AG713="USD",IFERROR(VLOOKUP(D713,CAARStatus!$A$1:$Y$1600,11,FALSE),0),0)</f>
        <v>-1010.81</v>
      </c>
      <c r="AM713" s="22" t="str">
        <f t="shared" si="259"/>
        <v/>
      </c>
      <c r="AN713" s="12">
        <f t="shared" si="260"/>
        <v>0</v>
      </c>
      <c r="AO713" s="12" t="str">
        <f t="shared" si="261"/>
        <v>Yes</v>
      </c>
      <c r="AP713" t="str">
        <f t="shared" si="246"/>
        <v>Yes</v>
      </c>
      <c r="AQ713" t="str">
        <f>IFERROR(VLOOKUP(Z713,InvBal!$L$4:$P$600,4,FALSE),"Pend")</f>
        <v>Pend</v>
      </c>
      <c r="AR713" t="str">
        <f>IFERROR(VLOOKUP(D713,Manual!$C$1:$E$22,2,FALSE),"Pend")</f>
        <v>Pend</v>
      </c>
      <c r="AS713" t="str">
        <f t="shared" si="262"/>
        <v>Yes</v>
      </c>
      <c r="AT713" t="str">
        <f t="shared" si="263"/>
        <v>Yes</v>
      </c>
      <c r="AU713" s="51" t="str">
        <f t="shared" si="264"/>
        <v>Yes</v>
      </c>
      <c r="AV713" s="12">
        <f>IFERROR(VLOOKUP(D713,'Receivable Invoice Detail'!$S$1:$U$3014,3,FALSE),0)</f>
        <v>0</v>
      </c>
      <c r="AW713" s="12">
        <f t="shared" si="265"/>
        <v>1010.81</v>
      </c>
    </row>
    <row r="714" spans="1:49" x14ac:dyDescent="0.25">
      <c r="A714" s="2">
        <v>1</v>
      </c>
      <c r="B714" s="2" t="s">
        <v>1075</v>
      </c>
      <c r="C714" s="2" t="s">
        <v>1076</v>
      </c>
      <c r="D714" s="2" t="s">
        <v>2954</v>
      </c>
      <c r="E714" s="2" t="s">
        <v>146</v>
      </c>
      <c r="F714" s="3">
        <v>45847.795648148152</v>
      </c>
      <c r="G714" s="3">
        <v>45847.795798611107</v>
      </c>
      <c r="H714" s="4">
        <v>45854</v>
      </c>
      <c r="I714" s="2" t="s">
        <v>21</v>
      </c>
      <c r="J714" s="2" t="s">
        <v>22</v>
      </c>
      <c r="K714" s="2">
        <v>1</v>
      </c>
      <c r="L714" s="2">
        <v>213.9</v>
      </c>
      <c r="M714" s="2">
        <v>213.9</v>
      </c>
      <c r="N714" s="2">
        <v>213.9</v>
      </c>
      <c r="O714" s="2">
        <v>213.9</v>
      </c>
      <c r="P714" s="2"/>
      <c r="Q714" s="2">
        <v>213.9</v>
      </c>
      <c r="R714" s="2" t="s">
        <v>44</v>
      </c>
      <c r="S714" s="2"/>
      <c r="T714" s="2">
        <f t="shared" si="247"/>
        <v>1</v>
      </c>
      <c r="U714" s="18">
        <f t="shared" si="248"/>
        <v>7</v>
      </c>
      <c r="V714" s="18">
        <f t="shared" si="249"/>
        <v>2025</v>
      </c>
      <c r="W714" s="18">
        <f t="shared" si="250"/>
        <v>8</v>
      </c>
      <c r="X714" s="18">
        <f t="shared" si="251"/>
        <v>2025</v>
      </c>
      <c r="Y714" s="2">
        <f t="shared" si="244"/>
        <v>1</v>
      </c>
      <c r="Z714" t="str">
        <f t="shared" si="245"/>
        <v>SO17467</v>
      </c>
      <c r="AA714" s="11">
        <f t="shared" si="252"/>
        <v>45847.795648148152</v>
      </c>
      <c r="AB714" s="5" t="str">
        <f t="shared" si="253"/>
        <v>INV13166</v>
      </c>
      <c r="AC714" s="5" t="str">
        <f>IFERROR(VLOOKUP(D714,CAARStatus!$A$2:$AA$1600,22,FALSE),"Not invoiced")</f>
        <v>Paid</v>
      </c>
      <c r="AD714" s="11">
        <f>IF(AC714="Paid",IFERROR(VLOOKUP(D714,CAARStatus!$A$2:$AA$1600,6,FALSE),"Pending"),"Pending")</f>
        <v>45883</v>
      </c>
      <c r="AE714" s="5" t="str">
        <f t="shared" si="254"/>
        <v>7369</v>
      </c>
      <c r="AF714" s="5" t="str">
        <f t="shared" si="255"/>
        <v>Hyperflo</v>
      </c>
      <c r="AG714" s="5" t="str">
        <f t="shared" si="256"/>
        <v>CAD</v>
      </c>
      <c r="AH714" s="5">
        <f t="shared" si="257"/>
        <v>213.9</v>
      </c>
      <c r="AI714" s="12">
        <f>IF(L714-N714=0,VLOOKUP(U714,rate!A$4:B$15,2,FALSE)*AH714,IF(AG714="USD",O714,AH714*Y714))</f>
        <v>156.05242721246267</v>
      </c>
      <c r="AJ714" s="13">
        <f t="shared" si="258"/>
        <v>0.72955786448089144</v>
      </c>
      <c r="AK714" s="13">
        <f>-IF(AG714="CAD",IFERROR(VLOOKUP(D714,CAARStatus!$A$1:$Y$1600,16,FALSE),0),0)</f>
        <v>-213.9</v>
      </c>
      <c r="AL714" s="13">
        <f>-IF(AG714="USD",IFERROR(VLOOKUP(D714,CAARStatus!$A$1:$Y$1600,11,FALSE),0),0)</f>
        <v>0</v>
      </c>
      <c r="AM714" s="22">
        <f t="shared" si="259"/>
        <v>0</v>
      </c>
      <c r="AN714" s="12" t="str">
        <f t="shared" si="260"/>
        <v/>
      </c>
      <c r="AO714" s="12" t="str">
        <f t="shared" si="261"/>
        <v>Yes</v>
      </c>
      <c r="AP714" t="str">
        <f t="shared" si="246"/>
        <v>Yes</v>
      </c>
      <c r="AQ714" t="str">
        <f>IFERROR(VLOOKUP(Z714,InvBal!$L$4:$P$600,4,FALSE),"Pend")</f>
        <v>Pend</v>
      </c>
      <c r="AR714" t="str">
        <f>IFERROR(VLOOKUP(D714,Manual!$C$1:$E$22,2,FALSE),"Pend")</f>
        <v>Pend</v>
      </c>
      <c r="AS714" t="str">
        <f t="shared" si="262"/>
        <v>Yes</v>
      </c>
      <c r="AT714" t="str">
        <f t="shared" si="263"/>
        <v>Yes</v>
      </c>
      <c r="AU714" s="51" t="str">
        <f t="shared" si="264"/>
        <v>Yes</v>
      </c>
      <c r="AV714" s="12">
        <f>IFERROR(VLOOKUP(D714,'Receivable Invoice Detail'!$S$1:$U$3014,3,FALSE),0)</f>
        <v>0</v>
      </c>
      <c r="AW714" s="12">
        <f t="shared" si="265"/>
        <v>156.05242721246267</v>
      </c>
    </row>
    <row r="715" spans="1:49" ht="30" x14ac:dyDescent="0.25">
      <c r="A715" s="2">
        <v>1</v>
      </c>
      <c r="B715" s="2" t="s">
        <v>1054</v>
      </c>
      <c r="C715" s="2" t="s">
        <v>1055</v>
      </c>
      <c r="D715" s="2" t="s">
        <v>2967</v>
      </c>
      <c r="E715" s="2" t="s">
        <v>20</v>
      </c>
      <c r="F715" s="3">
        <v>45848.354930555557</v>
      </c>
      <c r="G715" s="3">
        <v>45849.722881944443</v>
      </c>
      <c r="H715" s="4">
        <v>45856</v>
      </c>
      <c r="I715" s="2" t="s">
        <v>21</v>
      </c>
      <c r="J715" s="2" t="s">
        <v>22</v>
      </c>
      <c r="K715" s="2">
        <v>1</v>
      </c>
      <c r="L715" s="2">
        <v>418.03</v>
      </c>
      <c r="M715" s="2">
        <v>0</v>
      </c>
      <c r="N715" s="2">
        <v>305.54987062838819</v>
      </c>
      <c r="O715" s="2">
        <v>398.12</v>
      </c>
      <c r="P715" s="2">
        <v>19.91</v>
      </c>
      <c r="Q715" s="2">
        <v>418.03</v>
      </c>
      <c r="R715" s="2" t="s">
        <v>44</v>
      </c>
      <c r="S715" s="2"/>
      <c r="T715" s="2">
        <f t="shared" si="247"/>
        <v>1</v>
      </c>
      <c r="U715" s="18">
        <f t="shared" si="248"/>
        <v>7</v>
      </c>
      <c r="V715" s="18">
        <f t="shared" si="249"/>
        <v>2025</v>
      </c>
      <c r="W715" s="18">
        <f t="shared" si="250"/>
        <v>9</v>
      </c>
      <c r="X715" s="18">
        <f t="shared" si="251"/>
        <v>2025</v>
      </c>
      <c r="Y715" s="2">
        <f t="shared" si="244"/>
        <v>0.73092809278852766</v>
      </c>
      <c r="Z715" t="str">
        <f t="shared" si="245"/>
        <v>SO17468</v>
      </c>
      <c r="AA715" s="11">
        <f t="shared" si="252"/>
        <v>45848.354930555557</v>
      </c>
      <c r="AB715" s="5" t="str">
        <f t="shared" si="253"/>
        <v>INV13182</v>
      </c>
      <c r="AC715" s="5" t="str">
        <f>IFERROR(VLOOKUP(D715,CAARStatus!$A$2:$AA$1600,22,FALSE),"Not invoiced")</f>
        <v>Paid</v>
      </c>
      <c r="AD715" s="11">
        <f>IF(AC715="Paid",IFERROR(VLOOKUP(D715,CAARStatus!$A$2:$AA$1600,6,FALSE),"Pending"),"Pending")</f>
        <v>45912</v>
      </c>
      <c r="AE715" s="5" t="str">
        <f t="shared" si="254"/>
        <v>4500604485</v>
      </c>
      <c r="AF715" s="5" t="str">
        <f t="shared" si="255"/>
        <v>Resolute Forest Products - Saint-Felicien</v>
      </c>
      <c r="AG715" s="5" t="str">
        <f t="shared" si="256"/>
        <v>CAD</v>
      </c>
      <c r="AH715" s="5">
        <f t="shared" si="257"/>
        <v>398.12</v>
      </c>
      <c r="AI715" s="12">
        <f>IF(L715-N715=0,VLOOKUP(U715,rate!A$4:B$15,2,FALSE)*AH715,IF(AG715="USD",O715,AH715*Y715))</f>
        <v>290.99709230096863</v>
      </c>
      <c r="AJ715" s="13">
        <f t="shared" si="258"/>
        <v>0.73092809278852766</v>
      </c>
      <c r="AK715" s="13">
        <f>-IF(AG715="CAD",IFERROR(VLOOKUP(D715,CAARStatus!$A$1:$Y$1600,16,FALSE),0),0)</f>
        <v>-398.12</v>
      </c>
      <c r="AL715" s="13">
        <f>-IF(AG715="USD",IFERROR(VLOOKUP(D715,CAARStatus!$A$1:$Y$1600,11,FALSE),0),0)</f>
        <v>0</v>
      </c>
      <c r="AM715" s="22">
        <f t="shared" si="259"/>
        <v>0</v>
      </c>
      <c r="AN715" s="12" t="str">
        <f t="shared" si="260"/>
        <v/>
      </c>
      <c r="AO715" s="12" t="str">
        <f t="shared" si="261"/>
        <v>Yes</v>
      </c>
      <c r="AP715" t="str">
        <f t="shared" si="246"/>
        <v>Yes</v>
      </c>
      <c r="AQ715" t="str">
        <f>IFERROR(VLOOKUP(Z715,InvBal!$L$4:$P$600,4,FALSE),"Pend")</f>
        <v>Pend</v>
      </c>
      <c r="AR715" t="str">
        <f>IFERROR(VLOOKUP(D715,Manual!$C$1:$E$22,2,FALSE),"Pend")</f>
        <v>Pend</v>
      </c>
      <c r="AS715" t="str">
        <f t="shared" si="262"/>
        <v>Yes</v>
      </c>
      <c r="AT715" t="str">
        <f t="shared" si="263"/>
        <v>Yes</v>
      </c>
      <c r="AU715" s="51" t="str">
        <f t="shared" si="264"/>
        <v>Yes</v>
      </c>
      <c r="AV715" s="12">
        <f>IFERROR(VLOOKUP(D715,'Receivable Invoice Detail'!$S$1:$U$3014,3,FALSE),0)</f>
        <v>0</v>
      </c>
      <c r="AW715" s="12">
        <f t="shared" si="265"/>
        <v>290.99709230096863</v>
      </c>
    </row>
    <row r="716" spans="1:49" x14ac:dyDescent="0.25">
      <c r="A716" s="2">
        <v>1</v>
      </c>
      <c r="B716" s="2" t="s">
        <v>1071</v>
      </c>
      <c r="C716" s="2" t="s">
        <v>1072</v>
      </c>
      <c r="D716" s="2" t="s">
        <v>2957</v>
      </c>
      <c r="E716" s="2" t="s">
        <v>64</v>
      </c>
      <c r="F716" s="3">
        <v>45848.424247685187</v>
      </c>
      <c r="G716" s="3">
        <v>45848.676111111112</v>
      </c>
      <c r="H716" s="4">
        <v>45883</v>
      </c>
      <c r="I716" s="2" t="s">
        <v>21</v>
      </c>
      <c r="J716" s="2" t="s">
        <v>22</v>
      </c>
      <c r="K716" s="2">
        <v>1</v>
      </c>
      <c r="L716" s="2">
        <v>1011.03</v>
      </c>
      <c r="M716" s="2">
        <v>1011.03</v>
      </c>
      <c r="N716" s="2">
        <v>1011.03</v>
      </c>
      <c r="O716" s="2">
        <v>894.72</v>
      </c>
      <c r="P716" s="2">
        <v>116.31</v>
      </c>
      <c r="Q716" s="2">
        <v>1011.03</v>
      </c>
      <c r="R716" s="2" t="s">
        <v>44</v>
      </c>
      <c r="S716" s="2"/>
      <c r="T716" s="2">
        <f t="shared" si="247"/>
        <v>1</v>
      </c>
      <c r="U716" s="18">
        <f t="shared" si="248"/>
        <v>7</v>
      </c>
      <c r="V716" s="18">
        <f t="shared" si="249"/>
        <v>2025</v>
      </c>
      <c r="W716" s="18">
        <f t="shared" si="250"/>
        <v>9</v>
      </c>
      <c r="X716" s="18">
        <f t="shared" si="251"/>
        <v>2025</v>
      </c>
      <c r="Y716" s="2">
        <f t="shared" si="244"/>
        <v>1</v>
      </c>
      <c r="Z716" t="str">
        <f t="shared" si="245"/>
        <v>SO17471</v>
      </c>
      <c r="AA716" s="11">
        <f t="shared" si="252"/>
        <v>45848.424247685187</v>
      </c>
      <c r="AB716" s="5" t="str">
        <f t="shared" si="253"/>
        <v>INV13304</v>
      </c>
      <c r="AC716" s="5" t="str">
        <f>IFERROR(VLOOKUP(D716,CAARStatus!$A$2:$AA$1600,22,FALSE),"Not invoiced")</f>
        <v>Paid</v>
      </c>
      <c r="AD716" s="11">
        <f>IF(AC716="Paid",IFERROR(VLOOKUP(D716,CAARStatus!$A$2:$AA$1600,6,FALSE),"Pending"),"Pending")</f>
        <v>45922</v>
      </c>
      <c r="AE716" s="5" t="str">
        <f t="shared" si="254"/>
        <v>607024</v>
      </c>
      <c r="AF716" s="5" t="str">
        <f t="shared" si="255"/>
        <v>Sealtrac Inc.</v>
      </c>
      <c r="AG716" s="5" t="str">
        <f t="shared" si="256"/>
        <v>CAD</v>
      </c>
      <c r="AH716" s="5">
        <f t="shared" si="257"/>
        <v>894.72</v>
      </c>
      <c r="AI716" s="12">
        <f>IF(L716-N716=0,VLOOKUP(U716,rate!A$4:B$15,2,FALSE)*AH716,IF(AG716="USD",O716,AH716*Y716))</f>
        <v>652.75001250834316</v>
      </c>
      <c r="AJ716" s="13">
        <f t="shared" si="258"/>
        <v>0.72955786448089144</v>
      </c>
      <c r="AK716" s="13">
        <f>-IF(AG716="CAD",IFERROR(VLOOKUP(D716,CAARStatus!$A$1:$Y$1600,16,FALSE),0),0)</f>
        <v>-894.72</v>
      </c>
      <c r="AL716" s="13">
        <f>-IF(AG716="USD",IFERROR(VLOOKUP(D716,CAARStatus!$A$1:$Y$1600,11,FALSE),0),0)</f>
        <v>0</v>
      </c>
      <c r="AM716" s="22">
        <f t="shared" si="259"/>
        <v>0</v>
      </c>
      <c r="AN716" s="12" t="str">
        <f t="shared" si="260"/>
        <v/>
      </c>
      <c r="AO716" s="12" t="str">
        <f t="shared" si="261"/>
        <v>Yes</v>
      </c>
      <c r="AP716" t="str">
        <f t="shared" si="246"/>
        <v>Yes</v>
      </c>
      <c r="AQ716" t="str">
        <f>IFERROR(VLOOKUP(Z716,InvBal!$L$4:$P$600,4,FALSE),"Pend")</f>
        <v>Pend</v>
      </c>
      <c r="AR716" t="str">
        <f>IFERROR(VLOOKUP(D716,Manual!$C$1:$E$22,2,FALSE),"Pend")</f>
        <v>Pend</v>
      </c>
      <c r="AS716" t="str">
        <f t="shared" si="262"/>
        <v>Yes</v>
      </c>
      <c r="AT716" t="str">
        <f t="shared" si="263"/>
        <v>Yes</v>
      </c>
      <c r="AU716" s="51" t="str">
        <f t="shared" si="264"/>
        <v>Yes</v>
      </c>
      <c r="AV716" s="12">
        <f>IFERROR(VLOOKUP(D716,'Receivable Invoice Detail'!$S$1:$U$3014,3,FALSE),0)</f>
        <v>0</v>
      </c>
      <c r="AW716" s="12">
        <f t="shared" si="265"/>
        <v>652.75001250834316</v>
      </c>
    </row>
    <row r="717" spans="1:49" ht="30" x14ac:dyDescent="0.25">
      <c r="A717" s="2">
        <v>1</v>
      </c>
      <c r="B717" s="2" t="s">
        <v>825</v>
      </c>
      <c r="C717" s="2" t="s">
        <v>826</v>
      </c>
      <c r="D717" s="2" t="s">
        <v>3092</v>
      </c>
      <c r="E717" s="2" t="s">
        <v>50</v>
      </c>
      <c r="F717" s="3">
        <v>45848.42597222222</v>
      </c>
      <c r="G717" s="3">
        <v>45887.56758101852</v>
      </c>
      <c r="H717" s="4">
        <v>45888</v>
      </c>
      <c r="I717" s="2" t="s">
        <v>21</v>
      </c>
      <c r="J717" s="2" t="s">
        <v>51</v>
      </c>
      <c r="K717" s="2">
        <v>0.7240742470894046</v>
      </c>
      <c r="L717" s="2">
        <v>4600.0945529951023</v>
      </c>
      <c r="M717" s="2">
        <v>0</v>
      </c>
      <c r="N717" s="2">
        <v>3330.81</v>
      </c>
      <c r="O717" s="2">
        <v>3330.81</v>
      </c>
      <c r="P717" s="2"/>
      <c r="Q717" s="2">
        <v>3330.81</v>
      </c>
      <c r="R717" s="2" t="s">
        <v>44</v>
      </c>
      <c r="S717" s="2"/>
      <c r="T717" s="2">
        <f t="shared" si="247"/>
        <v>1</v>
      </c>
      <c r="U717" s="18">
        <f t="shared" si="248"/>
        <v>7</v>
      </c>
      <c r="V717" s="18">
        <f t="shared" si="249"/>
        <v>2025</v>
      </c>
      <c r="W717" s="18">
        <f t="shared" si="250"/>
        <v>10</v>
      </c>
      <c r="X717" s="18">
        <f t="shared" si="251"/>
        <v>2025</v>
      </c>
      <c r="Y717" s="2">
        <f t="shared" si="244"/>
        <v>0.7240742470894046</v>
      </c>
      <c r="Z717" t="str">
        <f t="shared" si="245"/>
        <v>SO17472</v>
      </c>
      <c r="AA717" s="11">
        <f t="shared" si="252"/>
        <v>45848.42597222222</v>
      </c>
      <c r="AB717" s="5" t="str">
        <f t="shared" si="253"/>
        <v>INV13331</v>
      </c>
      <c r="AC717" s="5" t="str">
        <f>IFERROR(VLOOKUP(D717,CAARStatus!$A$2:$AA$1600,22,FALSE),"Not invoiced")</f>
        <v>Paid</v>
      </c>
      <c r="AD717" s="11">
        <f>IF(AC717="Paid",IFERROR(VLOOKUP(D717,CAARStatus!$A$2:$AA$1600,6,FALSE),"Pending"),"Pending")</f>
        <v>45959</v>
      </c>
      <c r="AE717" s="5" t="str">
        <f t="shared" si="254"/>
        <v>PO003448</v>
      </c>
      <c r="AF717" s="5" t="str">
        <f t="shared" si="255"/>
        <v>Eleazar General &amp; Industrial Supplies Limited</v>
      </c>
      <c r="AG717" s="5" t="str">
        <f t="shared" si="256"/>
        <v>USD</v>
      </c>
      <c r="AH717" s="5">
        <f t="shared" si="257"/>
        <v>4600.0945529951023</v>
      </c>
      <c r="AI717" s="12">
        <f>IF(L717-N717=0,VLOOKUP(U717,rate!A$4:B$15,2,FALSE)*AH717,IF(AG717="USD",O717,AH717*Y717))</f>
        <v>3330.81</v>
      </c>
      <c r="AJ717" s="13">
        <f t="shared" si="258"/>
        <v>0.7240742470894046</v>
      </c>
      <c r="AK717" s="13">
        <f>-IF(AG717="CAD",IFERROR(VLOOKUP(D717,CAARStatus!$A$1:$Y$1600,16,FALSE),0),0)</f>
        <v>0</v>
      </c>
      <c r="AL717" s="13">
        <f>-IF(AG717="USD",IFERROR(VLOOKUP(D717,CAARStatus!$A$1:$Y$1600,11,FALSE),0),0)</f>
        <v>-3330.81</v>
      </c>
      <c r="AM717" s="22" t="str">
        <f t="shared" si="259"/>
        <v/>
      </c>
      <c r="AN717" s="12">
        <f t="shared" si="260"/>
        <v>0</v>
      </c>
      <c r="AO717" s="12" t="str">
        <f t="shared" si="261"/>
        <v>Yes</v>
      </c>
      <c r="AP717" t="str">
        <f t="shared" si="246"/>
        <v>Yes</v>
      </c>
      <c r="AQ717" t="str">
        <f>IFERROR(VLOOKUP(Z717,InvBal!$L$4:$P$600,4,FALSE),"Pend")</f>
        <v>Pend</v>
      </c>
      <c r="AR717" t="str">
        <f>IFERROR(VLOOKUP(D717,Manual!$C$1:$E$22,2,FALSE),"Pend")</f>
        <v>Pend</v>
      </c>
      <c r="AS717" t="str">
        <f t="shared" si="262"/>
        <v>Yes</v>
      </c>
      <c r="AT717" t="str">
        <f t="shared" si="263"/>
        <v>Yes</v>
      </c>
      <c r="AU717" s="51" t="str">
        <f t="shared" si="264"/>
        <v>Yes</v>
      </c>
      <c r="AV717" s="12">
        <f>IFERROR(VLOOKUP(D717,'Receivable Invoice Detail'!$S$1:$U$3014,3,FALSE),0)</f>
        <v>0</v>
      </c>
      <c r="AW717" s="12">
        <f t="shared" si="265"/>
        <v>3330.81</v>
      </c>
    </row>
    <row r="718" spans="1:49" x14ac:dyDescent="0.25">
      <c r="A718" s="2">
        <v>1</v>
      </c>
      <c r="B718" s="2" t="s">
        <v>973</v>
      </c>
      <c r="C718" s="2" t="s">
        <v>974</v>
      </c>
      <c r="D718" s="2" t="s">
        <v>3014</v>
      </c>
      <c r="E718" s="2" t="s">
        <v>239</v>
      </c>
      <c r="F718" s="3">
        <v>45848.546956018523</v>
      </c>
      <c r="G718" s="3">
        <v>45860.646562499998</v>
      </c>
      <c r="H718" s="4">
        <v>45861</v>
      </c>
      <c r="I718" s="2" t="s">
        <v>180</v>
      </c>
      <c r="J718" s="2" t="s">
        <v>22</v>
      </c>
      <c r="K718" s="2">
        <v>1</v>
      </c>
      <c r="L718" s="2">
        <v>11078.21</v>
      </c>
      <c r="M718" s="2">
        <v>11078.21</v>
      </c>
      <c r="N718" s="2">
        <v>11078.21</v>
      </c>
      <c r="O718" s="2">
        <v>9803.7199999999993</v>
      </c>
      <c r="P718" s="2">
        <v>1274.49</v>
      </c>
      <c r="Q718" s="2">
        <v>11078.21</v>
      </c>
      <c r="R718" s="2" t="s">
        <v>44</v>
      </c>
      <c r="S718" s="2"/>
      <c r="T718" s="2">
        <f t="shared" si="247"/>
        <v>1</v>
      </c>
      <c r="U718" s="18">
        <f t="shared" si="248"/>
        <v>7</v>
      </c>
      <c r="V718" s="18">
        <f t="shared" si="249"/>
        <v>2025</v>
      </c>
      <c r="W718" s="18">
        <f t="shared" si="250"/>
        <v>9</v>
      </c>
      <c r="X718" s="18">
        <f t="shared" si="251"/>
        <v>2025</v>
      </c>
      <c r="Y718" s="2">
        <f t="shared" si="244"/>
        <v>1</v>
      </c>
      <c r="Z718" t="str">
        <f t="shared" si="245"/>
        <v>SO17475</v>
      </c>
      <c r="AA718" s="11">
        <f t="shared" si="252"/>
        <v>45848.546956018523</v>
      </c>
      <c r="AB718" s="5" t="str">
        <f t="shared" si="253"/>
        <v>INV13220</v>
      </c>
      <c r="AC718" s="5" t="str">
        <f>IFERROR(VLOOKUP(D718,CAARStatus!$A$2:$AA$1600,22,FALSE),"Not invoiced")</f>
        <v>Paid</v>
      </c>
      <c r="AD718" s="11">
        <f>IF(AC718="Paid",IFERROR(VLOOKUP(D718,CAARStatus!$A$2:$AA$1600,6,FALSE),"Pending"),"Pending")</f>
        <v>45903</v>
      </c>
      <c r="AE718" s="5" t="str">
        <f t="shared" si="254"/>
        <v>1055</v>
      </c>
      <c r="AF718" s="5" t="str">
        <f t="shared" si="255"/>
        <v>Mill-Right Mine Services Inc.</v>
      </c>
      <c r="AG718" s="5" t="str">
        <f t="shared" si="256"/>
        <v>CAD</v>
      </c>
      <c r="AH718" s="5">
        <f t="shared" si="257"/>
        <v>9803.7199999999993</v>
      </c>
      <c r="AI718" s="12">
        <f>IF(L718-N718=0,VLOOKUP(U718,rate!A$4:B$15,2,FALSE)*AH718,IF(AG718="USD",O718,AH718*Y718))</f>
        <v>7152.3810271686043</v>
      </c>
      <c r="AJ718" s="13">
        <f t="shared" si="258"/>
        <v>0.72955786448089144</v>
      </c>
      <c r="AK718" s="61">
        <f>IF(AC718="Paid",-IF(AG718="CAD",IFERROR(VLOOKUP(D718,CAARStatus!$A$1:$Y$1600,16,FALSE),0),0),0)</f>
        <v>-13337.378376613482</v>
      </c>
      <c r="AL718" s="61">
        <f>IF(AC718="Paid",-IF(AG718="USD",IFERROR(VLOOKUP(D718,CAARStatus!$A$1:$Y$1600,11,FALSE),0),0),0)</f>
        <v>0</v>
      </c>
      <c r="AM718" s="22">
        <f t="shared" si="259"/>
        <v>-3533.6583766134827</v>
      </c>
      <c r="AN718" s="12" t="str">
        <f t="shared" si="260"/>
        <v/>
      </c>
      <c r="AO718" s="12" t="str">
        <f t="shared" si="261"/>
        <v>Yes</v>
      </c>
      <c r="AP718" t="str">
        <f t="shared" si="246"/>
        <v>Yes</v>
      </c>
      <c r="AQ718" t="str">
        <f>IFERROR(VLOOKUP(Z718,InvBal!$L$4:$P$600,4,FALSE),"Pend")</f>
        <v>Pend</v>
      </c>
      <c r="AR718" t="str">
        <f>IFERROR(VLOOKUP(D718,Manual!$C$1:$E$22,2,FALSE),"Pend")</f>
        <v>Pend</v>
      </c>
      <c r="AS718" t="str">
        <f t="shared" si="262"/>
        <v>Yes</v>
      </c>
      <c r="AT718" t="str">
        <f t="shared" si="263"/>
        <v>Yes</v>
      </c>
      <c r="AU718" s="51" t="str">
        <f t="shared" si="264"/>
        <v>Yes</v>
      </c>
      <c r="AV718" s="12">
        <f>IFERROR(VLOOKUP(D718,'Receivable Invoice Detail'!$S$1:$U$3014,3,FALSE),0)</f>
        <v>276.14000000000004</v>
      </c>
      <c r="AW718" s="12">
        <f t="shared" si="265"/>
        <v>6876.241027168604</v>
      </c>
    </row>
    <row r="719" spans="1:49" ht="30" x14ac:dyDescent="0.25">
      <c r="A719" s="2">
        <v>2</v>
      </c>
      <c r="B719" s="2" t="s">
        <v>1005</v>
      </c>
      <c r="C719" s="2" t="s">
        <v>1006</v>
      </c>
      <c r="D719" s="2" t="s">
        <v>2996</v>
      </c>
      <c r="E719" s="2" t="s">
        <v>159</v>
      </c>
      <c r="F719" s="3">
        <v>45848.596030092587</v>
      </c>
      <c r="G719" s="3">
        <v>45855.669710648152</v>
      </c>
      <c r="H719" s="4">
        <v>45995</v>
      </c>
      <c r="I719" s="2" t="s">
        <v>40</v>
      </c>
      <c r="J719" s="2" t="s">
        <v>51</v>
      </c>
      <c r="K719" s="2">
        <v>0.72920119964000452</v>
      </c>
      <c r="L719" s="2">
        <v>92841.399648577761</v>
      </c>
      <c r="M719" s="2">
        <v>0</v>
      </c>
      <c r="N719" s="2">
        <v>67700.06</v>
      </c>
      <c r="O719" s="2">
        <v>67700.06</v>
      </c>
      <c r="P719" s="2"/>
      <c r="Q719" s="2">
        <v>67700.06</v>
      </c>
      <c r="R719" s="2" t="s">
        <v>44</v>
      </c>
      <c r="S719" s="2"/>
      <c r="T719" s="2">
        <f t="shared" si="247"/>
        <v>2</v>
      </c>
      <c r="U719" s="18">
        <f t="shared" si="248"/>
        <v>7</v>
      </c>
      <c r="V719" s="18">
        <f t="shared" si="249"/>
        <v>2025</v>
      </c>
      <c r="W719" s="18">
        <f t="shared" si="250"/>
        <v>9</v>
      </c>
      <c r="X719" s="18">
        <f t="shared" si="251"/>
        <v>2025</v>
      </c>
      <c r="Y719" s="2">
        <f t="shared" si="244"/>
        <v>0.72920119964000452</v>
      </c>
      <c r="Z719" t="str">
        <f t="shared" si="245"/>
        <v>SO17477</v>
      </c>
      <c r="AA719" s="11">
        <f t="shared" si="252"/>
        <v>45848.596030092587</v>
      </c>
      <c r="AB719" s="5" t="str">
        <f t="shared" si="253"/>
        <v>INV13252</v>
      </c>
      <c r="AC719" s="5" t="str">
        <f>IFERROR(VLOOKUP(D719,CAARStatus!$A$2:$AA$1600,22,FALSE),"Not invoiced")</f>
        <v>Paid</v>
      </c>
      <c r="AD719" s="11">
        <f>IF(AC719="Paid",IFERROR(VLOOKUP(D719,CAARStatus!$A$2:$AA$1600,6,FALSE),"Pending"),"Pending")</f>
        <v>45911</v>
      </c>
      <c r="AE719" s="5" t="str">
        <f t="shared" si="254"/>
        <v>4501234300</v>
      </c>
      <c r="AF719" s="5" t="str">
        <f t="shared" si="255"/>
        <v>Barrick Gold - Pueblo Viejo Dominicana Corporation</v>
      </c>
      <c r="AG719" s="5" t="str">
        <f t="shared" si="256"/>
        <v>USD</v>
      </c>
      <c r="AH719" s="5">
        <f t="shared" si="257"/>
        <v>92841.399648577761</v>
      </c>
      <c r="AI719" s="12">
        <f>IF(L719-N719=0,VLOOKUP(U719,rate!A$4:B$15,2,FALSE)*AH719,IF(AG719="USD",O719,AH719*Y719))</f>
        <v>67700.06</v>
      </c>
      <c r="AJ719" s="13">
        <f t="shared" si="258"/>
        <v>0.72920119964000452</v>
      </c>
      <c r="AK719" s="13">
        <f>-IF(AG719="CAD",IFERROR(VLOOKUP(D719,CAARStatus!$A$1:$Y$1600,16,FALSE),0),0)</f>
        <v>0</v>
      </c>
      <c r="AL719" s="13">
        <f>-IF(AG719="USD",IFERROR(VLOOKUP(D719,CAARStatus!$A$1:$Y$1600,11,FALSE),0),0)</f>
        <v>-34777.160000000003</v>
      </c>
      <c r="AM719" s="22" t="str">
        <f t="shared" si="259"/>
        <v/>
      </c>
      <c r="AN719" s="12">
        <f t="shared" si="260"/>
        <v>32922.899999999994</v>
      </c>
      <c r="AO719" s="12" t="str">
        <f t="shared" si="261"/>
        <v>Yes</v>
      </c>
      <c r="AP719" t="str">
        <f t="shared" si="246"/>
        <v>XX</v>
      </c>
      <c r="AQ719" t="str">
        <f>IFERROR(VLOOKUP(Z719,InvBal!$L$4:$P$600,4,FALSE),"Pend")</f>
        <v>Yes</v>
      </c>
      <c r="AR719" t="str">
        <f>IFERROR(VLOOKUP(D719,Manual!$C$1:$E$22,2,FALSE),"Pend")</f>
        <v>Pend</v>
      </c>
      <c r="AS719" t="str">
        <f t="shared" si="262"/>
        <v>Yes</v>
      </c>
      <c r="AT719" t="str">
        <f t="shared" si="263"/>
        <v>Yes</v>
      </c>
      <c r="AU719" s="51" t="str">
        <f t="shared" si="264"/>
        <v>Yes</v>
      </c>
      <c r="AV719" s="12">
        <f>IFERROR(VLOOKUP(D719,'Receivable Invoice Detail'!$S$1:$U$3014,3,FALSE),0)</f>
        <v>0</v>
      </c>
      <c r="AW719" s="12">
        <f t="shared" si="265"/>
        <v>67700.06</v>
      </c>
    </row>
    <row r="720" spans="1:49" x14ac:dyDescent="0.25">
      <c r="A720" s="2"/>
      <c r="B720" s="2"/>
      <c r="C720" s="2"/>
      <c r="D720" s="2" t="s">
        <v>2995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f t="shared" si="247"/>
        <v>2</v>
      </c>
      <c r="U720" s="18">
        <f t="shared" si="248"/>
        <v>7</v>
      </c>
      <c r="V720" s="18">
        <f t="shared" si="249"/>
        <v>2025</v>
      </c>
      <c r="W720" s="18">
        <f t="shared" si="250"/>
        <v>12</v>
      </c>
      <c r="X720" s="18">
        <f t="shared" si="251"/>
        <v>2025</v>
      </c>
      <c r="Y720" s="2">
        <f t="shared" si="244"/>
        <v>0.72920119964000452</v>
      </c>
      <c r="Z720" t="str">
        <f t="shared" si="245"/>
        <v>SO17477</v>
      </c>
      <c r="AA720" s="11">
        <f t="shared" si="252"/>
        <v>45848.596030092587</v>
      </c>
      <c r="AB720" s="5" t="str">
        <f t="shared" si="253"/>
        <v>INV13574</v>
      </c>
      <c r="AC720" s="5" t="str">
        <f>IFERROR(VLOOKUP(D720,CAARStatus!$A$2:$AA$1600,22,FALSE),"Not invoiced")</f>
        <v>Paid</v>
      </c>
      <c r="AD720" s="11">
        <f>IF(AC720="Paid",IFERROR(VLOOKUP(D720,CAARStatus!$A$2:$AA$1600,6,FALSE),"Pending"),"Pending")</f>
        <v>46003</v>
      </c>
      <c r="AE720" s="5" t="str">
        <f t="shared" si="254"/>
        <v>4501234300</v>
      </c>
      <c r="AF720" s="5" t="str">
        <f t="shared" si="255"/>
        <v>Barrick Gold - Pueblo Viejo Dominicana Corporation</v>
      </c>
      <c r="AG720" s="5" t="str">
        <f t="shared" si="256"/>
        <v>USD</v>
      </c>
      <c r="AH720" s="5">
        <f t="shared" si="257"/>
        <v>0</v>
      </c>
      <c r="AI720" s="12">
        <f>IF(L720-N720=0,VLOOKUP(U720,rate!A$4:B$15,2,FALSE)*AH720,IF(AG720="USD",O720,AH720*Y720))</f>
        <v>0</v>
      </c>
      <c r="AJ720" s="13">
        <f t="shared" si="258"/>
        <v>0</v>
      </c>
      <c r="AK720" s="13">
        <f>-IF(AG720="CAD",IFERROR(VLOOKUP(D720,CAARStatus!$A$1:$Y$1600,16,FALSE),0),0)</f>
        <v>0</v>
      </c>
      <c r="AL720" s="13">
        <f>-IF(AG720="USD",IFERROR(VLOOKUP(D720,CAARStatus!$A$1:$Y$1600,11,FALSE),0),0)</f>
        <v>-32922.9</v>
      </c>
      <c r="AM720" s="22" t="str">
        <f t="shared" si="259"/>
        <v/>
      </c>
      <c r="AN720" s="12">
        <f t="shared" si="260"/>
        <v>-32922.9</v>
      </c>
      <c r="AO720" s="12" t="str">
        <f t="shared" si="261"/>
        <v>Yes</v>
      </c>
      <c r="AP720" t="str">
        <f t="shared" si="246"/>
        <v>XX</v>
      </c>
      <c r="AQ720" t="str">
        <f>IFERROR(VLOOKUP(Z720,InvBal!$L$4:$P$600,4,FALSE),"Pend")</f>
        <v>Yes</v>
      </c>
      <c r="AR720" t="str">
        <f>IFERROR(VLOOKUP(D720,Manual!$C$1:$E$22,2,FALSE),"Pend")</f>
        <v>Pend</v>
      </c>
      <c r="AS720" t="str">
        <f t="shared" si="262"/>
        <v>Yes</v>
      </c>
      <c r="AT720" t="str">
        <f t="shared" si="263"/>
        <v/>
      </c>
      <c r="AU720" s="51" t="str">
        <f t="shared" si="264"/>
        <v/>
      </c>
      <c r="AV720" s="12">
        <f>IFERROR(VLOOKUP(D720,'Receivable Invoice Detail'!$S$1:$U$3014,3,FALSE),0)</f>
        <v>0</v>
      </c>
      <c r="AW720" s="12">
        <f t="shared" si="265"/>
        <v>0</v>
      </c>
    </row>
    <row r="721" spans="1:49" ht="45" x14ac:dyDescent="0.25">
      <c r="A721" s="2">
        <v>1</v>
      </c>
      <c r="B721" s="2" t="s">
        <v>1064</v>
      </c>
      <c r="C721" s="2" t="s">
        <v>1065</v>
      </c>
      <c r="D721" s="2" t="s">
        <v>2960</v>
      </c>
      <c r="E721" s="2" t="s">
        <v>1066</v>
      </c>
      <c r="F721" s="3">
        <v>45848.601342592592</v>
      </c>
      <c r="G721" s="3">
        <v>45849.425208333327</v>
      </c>
      <c r="H721" s="4">
        <v>45849</v>
      </c>
      <c r="I721" s="2" t="s">
        <v>21</v>
      </c>
      <c r="J721" s="2" t="s">
        <v>51</v>
      </c>
      <c r="K721" s="2">
        <v>0.73014138500527581</v>
      </c>
      <c r="L721" s="2">
        <v>1530.0598253198971</v>
      </c>
      <c r="M721" s="2">
        <v>0</v>
      </c>
      <c r="N721" s="2">
        <v>1117.1600000000001</v>
      </c>
      <c r="O721" s="2">
        <v>1117.1600000000001</v>
      </c>
      <c r="P721" s="2"/>
      <c r="Q721" s="2">
        <v>1117.1600000000001</v>
      </c>
      <c r="R721" s="2" t="s">
        <v>44</v>
      </c>
      <c r="S721" s="2"/>
      <c r="T721" s="2">
        <f t="shared" si="247"/>
        <v>1</v>
      </c>
      <c r="U721" s="18">
        <f t="shared" si="248"/>
        <v>7</v>
      </c>
      <c r="V721" s="18">
        <f t="shared" si="249"/>
        <v>2025</v>
      </c>
      <c r="W721" s="18">
        <f t="shared" si="250"/>
        <v>11</v>
      </c>
      <c r="X721" s="18">
        <f t="shared" si="251"/>
        <v>2025</v>
      </c>
      <c r="Y721" s="2">
        <f t="shared" si="244"/>
        <v>0.73014138500527581</v>
      </c>
      <c r="Z721" t="str">
        <f t="shared" si="245"/>
        <v>SO17478</v>
      </c>
      <c r="AA721" s="11">
        <f t="shared" si="252"/>
        <v>45848.601342592592</v>
      </c>
      <c r="AB721" s="5" t="str">
        <f t="shared" si="253"/>
        <v>INV13165</v>
      </c>
      <c r="AC721" s="5" t="str">
        <f>IFERROR(VLOOKUP(D721,CAARStatus!$A$2:$AA$1600,22,FALSE),"Not invoiced")</f>
        <v>Paid</v>
      </c>
      <c r="AD721" s="11">
        <f>IF(AC721="Paid",IFERROR(VLOOKUP(D721,CAARStatus!$A$2:$AA$1600,6,FALSE),"Pending"),"Pending")</f>
        <v>45964</v>
      </c>
      <c r="AE721" s="5" t="str">
        <f t="shared" si="254"/>
        <v>6961401 - Paid in full on July 11th 2025</v>
      </c>
      <c r="AF721" s="5" t="str">
        <f t="shared" si="255"/>
        <v>Stroudsburg Electric Motor Service/BDS</v>
      </c>
      <c r="AG721" s="5" t="str">
        <f t="shared" si="256"/>
        <v>USD</v>
      </c>
      <c r="AH721" s="5">
        <f t="shared" si="257"/>
        <v>1530.0598253198971</v>
      </c>
      <c r="AI721" s="12">
        <f>IF(L721-N721=0,VLOOKUP(U721,rate!A$4:B$15,2,FALSE)*AH721,IF(AG721="USD",O721,AH721*Y721))</f>
        <v>1117.1600000000001</v>
      </c>
      <c r="AJ721" s="13">
        <f t="shared" si="258"/>
        <v>0.73014138500527581</v>
      </c>
      <c r="AK721" s="13">
        <f>-IF(AG721="CAD",IFERROR(VLOOKUP(D721,CAARStatus!$A$1:$Y$1600,16,FALSE),0),0)</f>
        <v>0</v>
      </c>
      <c r="AL721" s="13">
        <f>-IF(AG721="USD",IFERROR(VLOOKUP(D721,CAARStatus!$A$1:$Y$1600,11,FALSE),0),0)</f>
        <v>-1117.1600000000001</v>
      </c>
      <c r="AM721" s="22" t="str">
        <f t="shared" si="259"/>
        <v/>
      </c>
      <c r="AN721" s="12">
        <f t="shared" si="260"/>
        <v>0</v>
      </c>
      <c r="AO721" s="12" t="str">
        <f t="shared" si="261"/>
        <v>Yes</v>
      </c>
      <c r="AP721" t="str">
        <f t="shared" si="246"/>
        <v>Yes</v>
      </c>
      <c r="AQ721" t="str">
        <f>IFERROR(VLOOKUP(Z721,InvBal!$L$4:$P$600,4,FALSE),"Pend")</f>
        <v>Pend</v>
      </c>
      <c r="AR721" t="str">
        <f>IFERROR(VLOOKUP(D721,Manual!$C$1:$E$22,2,FALSE),"Pend")</f>
        <v>Pend</v>
      </c>
      <c r="AS721" t="str">
        <f t="shared" si="262"/>
        <v>Yes</v>
      </c>
      <c r="AT721" t="str">
        <f t="shared" si="263"/>
        <v>Yes</v>
      </c>
      <c r="AU721" s="51" t="str">
        <f t="shared" si="264"/>
        <v>Yes</v>
      </c>
      <c r="AV721" s="12">
        <f>IFERROR(VLOOKUP(D721,'Receivable Invoice Detail'!$S$1:$U$3014,3,FALSE),0)</f>
        <v>377.6</v>
      </c>
      <c r="AW721" s="12">
        <f t="shared" si="265"/>
        <v>739.56000000000006</v>
      </c>
    </row>
    <row r="722" spans="1:49" x14ac:dyDescent="0.25">
      <c r="A722" s="2">
        <v>1</v>
      </c>
      <c r="B722" s="2" t="s">
        <v>1044</v>
      </c>
      <c r="C722" s="2" t="s">
        <v>1045</v>
      </c>
      <c r="D722" s="2" t="s">
        <v>2972</v>
      </c>
      <c r="E722" s="2" t="s">
        <v>192</v>
      </c>
      <c r="F722" s="3">
        <v>45848.633333333331</v>
      </c>
      <c r="G722" s="3">
        <v>45852.423958333333</v>
      </c>
      <c r="H722" s="4">
        <v>45873</v>
      </c>
      <c r="I722" s="2" t="s">
        <v>21</v>
      </c>
      <c r="J722" s="2" t="s">
        <v>51</v>
      </c>
      <c r="K722" s="2">
        <v>0.73030448566452189</v>
      </c>
      <c r="L722" s="2">
        <v>11693.90325218822</v>
      </c>
      <c r="M722" s="2">
        <v>0</v>
      </c>
      <c r="N722" s="2">
        <v>8540.11</v>
      </c>
      <c r="O722" s="2">
        <v>8540.11</v>
      </c>
      <c r="P722" s="2"/>
      <c r="Q722" s="2">
        <v>8540.11</v>
      </c>
      <c r="R722" s="2" t="s">
        <v>44</v>
      </c>
      <c r="S722" s="2"/>
      <c r="T722" s="2">
        <f t="shared" si="247"/>
        <v>1</v>
      </c>
      <c r="U722" s="18">
        <f t="shared" si="248"/>
        <v>7</v>
      </c>
      <c r="V722" s="18">
        <f t="shared" si="249"/>
        <v>2025</v>
      </c>
      <c r="W722" s="18">
        <f t="shared" si="250"/>
        <v>9</v>
      </c>
      <c r="X722" s="18">
        <f t="shared" si="251"/>
        <v>2025</v>
      </c>
      <c r="Y722" s="2">
        <f t="shared" si="244"/>
        <v>0.73030448566452211</v>
      </c>
      <c r="Z722" t="str">
        <f t="shared" si="245"/>
        <v>SO17481</v>
      </c>
      <c r="AA722" s="11">
        <f t="shared" si="252"/>
        <v>45848.633333333331</v>
      </c>
      <c r="AB722" s="5" t="str">
        <f t="shared" si="253"/>
        <v>INV13229</v>
      </c>
      <c r="AC722" s="5" t="str">
        <f>IFERROR(VLOOKUP(D722,CAARStatus!$A$2:$AA$1600,22,FALSE),"Not invoiced")</f>
        <v>Paid</v>
      </c>
      <c r="AD722" s="11">
        <f>IF(AC722="Paid",IFERROR(VLOOKUP(D722,CAARStatus!$A$2:$AA$1600,6,FALSE),"Pending"),"Pending")</f>
        <v>45913</v>
      </c>
      <c r="AE722" s="5" t="str">
        <f t="shared" si="254"/>
        <v>PO-041427</v>
      </c>
      <c r="AF722" s="5" t="str">
        <f t="shared" si="255"/>
        <v>Southeast Pump Specialist, Inc.</v>
      </c>
      <c r="AG722" s="5" t="str">
        <f t="shared" si="256"/>
        <v>USD</v>
      </c>
      <c r="AH722" s="5">
        <f t="shared" si="257"/>
        <v>11693.903252188224</v>
      </c>
      <c r="AI722" s="12">
        <f>IF(L722-N722=0,VLOOKUP(U722,rate!A$4:B$15,2,FALSE)*AH722,IF(AG722="USD",O722,AH722*Y722))</f>
        <v>8540.11</v>
      </c>
      <c r="AJ722" s="13">
        <f t="shared" si="258"/>
        <v>0.73030448566452189</v>
      </c>
      <c r="AK722" s="13">
        <f>-IF(AG722="CAD",IFERROR(VLOOKUP(D722,CAARStatus!$A$1:$Y$1600,16,FALSE),0),0)</f>
        <v>0</v>
      </c>
      <c r="AL722" s="13">
        <f>-IF(AG722="USD",IFERROR(VLOOKUP(D722,CAARStatus!$A$1:$Y$1600,11,FALSE),0),0)</f>
        <v>-8540.11</v>
      </c>
      <c r="AM722" s="22" t="str">
        <f t="shared" si="259"/>
        <v/>
      </c>
      <c r="AN722" s="12">
        <f t="shared" si="260"/>
        <v>0</v>
      </c>
      <c r="AO722" s="12" t="str">
        <f t="shared" si="261"/>
        <v>Yes</v>
      </c>
      <c r="AP722" t="str">
        <f t="shared" si="246"/>
        <v>Yes</v>
      </c>
      <c r="AQ722" t="str">
        <f>IFERROR(VLOOKUP(Z722,InvBal!$L$4:$P$600,4,FALSE),"Pend")</f>
        <v>Pend</v>
      </c>
      <c r="AR722" t="str">
        <f>IFERROR(VLOOKUP(D722,Manual!$C$1:$E$22,2,FALSE),"Pend")</f>
        <v>Pend</v>
      </c>
      <c r="AS722" t="str">
        <f t="shared" si="262"/>
        <v>Yes</v>
      </c>
      <c r="AT722" t="str">
        <f t="shared" si="263"/>
        <v>Yes</v>
      </c>
      <c r="AU722" s="51" t="str">
        <f t="shared" si="264"/>
        <v>Yes</v>
      </c>
      <c r="AV722" s="12">
        <f>IFERROR(VLOOKUP(D722,'Receivable Invoice Detail'!$S$1:$U$3014,3,FALSE),0)</f>
        <v>572</v>
      </c>
      <c r="AW722" s="12">
        <f t="shared" si="265"/>
        <v>7968.1100000000006</v>
      </c>
    </row>
    <row r="723" spans="1:49" x14ac:dyDescent="0.25">
      <c r="A723" s="2">
        <v>1</v>
      </c>
      <c r="B723" s="2" t="s">
        <v>1031</v>
      </c>
      <c r="C723" s="2" t="s">
        <v>1032</v>
      </c>
      <c r="D723" s="2" t="s">
        <v>2980</v>
      </c>
      <c r="E723" s="2" t="s">
        <v>192</v>
      </c>
      <c r="F723" s="3">
        <v>45848.642534722218</v>
      </c>
      <c r="G723" s="3">
        <v>45853.642534722218</v>
      </c>
      <c r="H723" s="4">
        <v>45972</v>
      </c>
      <c r="I723" s="2" t="s">
        <v>21</v>
      </c>
      <c r="J723" s="2" t="s">
        <v>51</v>
      </c>
      <c r="K723" s="2">
        <v>0.73022664145869165</v>
      </c>
      <c r="L723" s="2">
        <v>5167.2176633580812</v>
      </c>
      <c r="M723" s="2">
        <v>0</v>
      </c>
      <c r="N723" s="2">
        <v>3773.24</v>
      </c>
      <c r="O723" s="2">
        <v>3773.24</v>
      </c>
      <c r="P723" s="2"/>
      <c r="Q723" s="2">
        <v>3773.24</v>
      </c>
      <c r="R723" s="2" t="s">
        <v>44</v>
      </c>
      <c r="S723" s="2"/>
      <c r="T723" s="2">
        <f t="shared" si="247"/>
        <v>1</v>
      </c>
      <c r="U723" s="18">
        <f t="shared" si="248"/>
        <v>7</v>
      </c>
      <c r="V723" s="18">
        <f t="shared" si="249"/>
        <v>2025</v>
      </c>
      <c r="W723" s="18" t="str">
        <f t="shared" si="250"/>
        <v/>
      </c>
      <c r="X723" s="18" t="str">
        <f t="shared" si="251"/>
        <v/>
      </c>
      <c r="Y723" s="2">
        <f t="shared" si="244"/>
        <v>0.73022664145869165</v>
      </c>
      <c r="Z723" t="str">
        <f t="shared" si="245"/>
        <v>SO17482</v>
      </c>
      <c r="AA723" s="11">
        <f t="shared" si="252"/>
        <v>45848.642534722218</v>
      </c>
      <c r="AB723" s="5" t="str">
        <f t="shared" si="253"/>
        <v>INV13668</v>
      </c>
      <c r="AC723" s="5" t="str">
        <f>IFERROR(VLOOKUP(D723,CAARStatus!$A$2:$AA$1600,22,FALSE),"Not invoiced")</f>
        <v>Approved</v>
      </c>
      <c r="AD723" s="11" t="str">
        <f>IF(AC723="Paid",IFERROR(VLOOKUP(D723,CAARStatus!$A$2:$AA$1600,6,FALSE),"Pending"),"Pending")</f>
        <v>Pending</v>
      </c>
      <c r="AE723" s="5" t="str">
        <f t="shared" si="254"/>
        <v>PO-041381</v>
      </c>
      <c r="AF723" s="5" t="str">
        <f t="shared" si="255"/>
        <v>Southeast Pump Specialist, Inc.</v>
      </c>
      <c r="AG723" s="5" t="str">
        <f t="shared" si="256"/>
        <v>USD</v>
      </c>
      <c r="AH723" s="5">
        <f t="shared" si="257"/>
        <v>5167.2176633580812</v>
      </c>
      <c r="AI723" s="12">
        <f>IF(L723-N723=0,VLOOKUP(U723,rate!A$4:B$15,2,FALSE)*AH723,IF(AG723="USD",O723,AH723*Y723))</f>
        <v>3773.24</v>
      </c>
      <c r="AJ723" s="13">
        <f t="shared" si="258"/>
        <v>0.73022664145869165</v>
      </c>
      <c r="AK723" s="61">
        <f>IF(AC723="Paid",-IF(AG723="CAD",IFERROR(VLOOKUP(D723,CAARStatus!$A$1:$Y$1600,16,FALSE),0),0),0)</f>
        <v>0</v>
      </c>
      <c r="AL723" s="61">
        <f>IF(AC723="Paid",-IF(AG723="USD",IFERROR(VLOOKUP(D723,CAARStatus!$A$1:$Y$1600,11,FALSE),0),0),0)</f>
        <v>0</v>
      </c>
      <c r="AM723" s="22" t="str">
        <f t="shared" si="259"/>
        <v/>
      </c>
      <c r="AN723" s="12">
        <f t="shared" si="260"/>
        <v>3773.24</v>
      </c>
      <c r="AO723" s="12" t="str">
        <f t="shared" si="261"/>
        <v>Pend</v>
      </c>
      <c r="AP723" t="str">
        <f t="shared" si="246"/>
        <v>Pend</v>
      </c>
      <c r="AQ723" t="str">
        <f>IFERROR(VLOOKUP(Z723,InvBal!$L$4:$P$600,4,FALSE),"Pend")</f>
        <v>Pend</v>
      </c>
      <c r="AR723" t="str">
        <f>IFERROR(VLOOKUP(D723,Manual!$C$1:$E$22,2,FALSE),"Pend")</f>
        <v>Pend</v>
      </c>
      <c r="AS723" t="str">
        <f t="shared" si="262"/>
        <v/>
      </c>
      <c r="AT723" t="str">
        <f t="shared" si="263"/>
        <v>Yes</v>
      </c>
      <c r="AU723" s="51" t="str">
        <f t="shared" si="264"/>
        <v/>
      </c>
      <c r="AV723" s="12">
        <f>IFERROR(VLOOKUP(D723,'Receivable Invoice Detail'!$S$1:$U$3014,3,FALSE),0)</f>
        <v>658</v>
      </c>
      <c r="AW723" s="12">
        <f t="shared" si="265"/>
        <v>0</v>
      </c>
    </row>
    <row r="724" spans="1:49" ht="30" x14ac:dyDescent="0.25">
      <c r="A724" s="2">
        <v>2</v>
      </c>
      <c r="B724" s="2" t="s">
        <v>1007</v>
      </c>
      <c r="C724" s="2" t="s">
        <v>1008</v>
      </c>
      <c r="D724" s="2" t="s">
        <v>2994</v>
      </c>
      <c r="E724" s="2" t="s">
        <v>159</v>
      </c>
      <c r="F724" s="3">
        <v>45848.646319444437</v>
      </c>
      <c r="G724" s="3">
        <v>45855.628564814811</v>
      </c>
      <c r="H724" s="4">
        <v>45995</v>
      </c>
      <c r="I724" s="2" t="s">
        <v>40</v>
      </c>
      <c r="J724" s="2" t="s">
        <v>51</v>
      </c>
      <c r="K724" s="2">
        <v>0.72920119964000452</v>
      </c>
      <c r="L724" s="2">
        <v>35091.878637381451</v>
      </c>
      <c r="M724" s="2">
        <v>0</v>
      </c>
      <c r="N724" s="2">
        <v>25589.040000000001</v>
      </c>
      <c r="O724" s="2">
        <v>25589.040000000001</v>
      </c>
      <c r="P724" s="2"/>
      <c r="Q724" s="2">
        <v>25589.040000000001</v>
      </c>
      <c r="R724" s="2" t="s">
        <v>44</v>
      </c>
      <c r="S724" s="2"/>
      <c r="T724" s="2">
        <f t="shared" si="247"/>
        <v>2</v>
      </c>
      <c r="U724" s="18">
        <f t="shared" si="248"/>
        <v>7</v>
      </c>
      <c r="V724" s="18">
        <f t="shared" si="249"/>
        <v>2025</v>
      </c>
      <c r="W724" s="18">
        <f t="shared" si="250"/>
        <v>9</v>
      </c>
      <c r="X724" s="18">
        <f t="shared" si="251"/>
        <v>2025</v>
      </c>
      <c r="Y724" s="2">
        <f t="shared" si="244"/>
        <v>0.72920119964000452</v>
      </c>
      <c r="Z724" t="str">
        <f t="shared" si="245"/>
        <v>SO17483</v>
      </c>
      <c r="AA724" s="11">
        <f t="shared" si="252"/>
        <v>45848.646319444437</v>
      </c>
      <c r="AB724" s="5" t="str">
        <f t="shared" si="253"/>
        <v>INV13249</v>
      </c>
      <c r="AC724" s="5" t="str">
        <f>IFERROR(VLOOKUP(D724,CAARStatus!$A$2:$AA$1600,22,FALSE),"Not invoiced")</f>
        <v>Paid</v>
      </c>
      <c r="AD724" s="11">
        <f>IF(AC724="Paid",IFERROR(VLOOKUP(D724,CAARStatus!$A$2:$AA$1600,6,FALSE),"Pending"),"Pending")</f>
        <v>45919</v>
      </c>
      <c r="AE724" s="5" t="str">
        <f t="shared" si="254"/>
        <v>4501236472</v>
      </c>
      <c r="AF724" s="5" t="str">
        <f t="shared" si="255"/>
        <v>Barrick Gold - Pueblo Viejo Dominicana Corporation</v>
      </c>
      <c r="AG724" s="5" t="str">
        <f t="shared" si="256"/>
        <v>USD</v>
      </c>
      <c r="AH724" s="5">
        <f t="shared" si="257"/>
        <v>35091.878637381451</v>
      </c>
      <c r="AI724" s="12">
        <f>IF(L724-N724=0,VLOOKUP(U724,rate!A$4:B$15,2,FALSE)*AH724,IF(AG724="USD",O724,AH724*Y724))</f>
        <v>25589.040000000001</v>
      </c>
      <c r="AJ724" s="13">
        <f t="shared" si="258"/>
        <v>0.72920119964000452</v>
      </c>
      <c r="AK724" s="13">
        <f>-IF(AG724="CAD",IFERROR(VLOOKUP(D724,CAARStatus!$A$1:$Y$1600,16,FALSE),0),0)</f>
        <v>0</v>
      </c>
      <c r="AL724" s="13">
        <f>-IF(AG724="USD",IFERROR(VLOOKUP(D724,CAARStatus!$A$1:$Y$1600,11,FALSE),0),0)</f>
        <v>-23887.63</v>
      </c>
      <c r="AM724" s="22" t="str">
        <f t="shared" si="259"/>
        <v/>
      </c>
      <c r="AN724" s="12">
        <f t="shared" si="260"/>
        <v>1701.4099999999999</v>
      </c>
      <c r="AO724" s="12" t="str">
        <f t="shared" si="261"/>
        <v>Yes</v>
      </c>
      <c r="AP724" t="str">
        <f t="shared" si="246"/>
        <v>XX</v>
      </c>
      <c r="AQ724" t="str">
        <f>IFERROR(VLOOKUP(Z724,InvBal!$L$4:$P$600,4,FALSE),"Pend")</f>
        <v>Yes</v>
      </c>
      <c r="AR724" t="str">
        <f>IFERROR(VLOOKUP(D724,Manual!$C$1:$E$22,2,FALSE),"Pend")</f>
        <v>Pend</v>
      </c>
      <c r="AS724" t="str">
        <f t="shared" si="262"/>
        <v>Yes</v>
      </c>
      <c r="AT724" t="str">
        <f t="shared" si="263"/>
        <v>Yes</v>
      </c>
      <c r="AU724" s="51" t="str">
        <f t="shared" si="264"/>
        <v>Yes</v>
      </c>
      <c r="AV724" s="12">
        <f>IFERROR(VLOOKUP(D724,'Receivable Invoice Detail'!$S$1:$U$3014,3,FALSE),0)</f>
        <v>0</v>
      </c>
      <c r="AW724" s="12">
        <f t="shared" si="265"/>
        <v>25589.040000000001</v>
      </c>
    </row>
    <row r="725" spans="1:49" x14ac:dyDescent="0.25">
      <c r="A725" s="2"/>
      <c r="B725" s="2"/>
      <c r="C725" s="2"/>
      <c r="D725" s="2" t="s">
        <v>2993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f t="shared" si="247"/>
        <v>2</v>
      </c>
      <c r="U725" s="18">
        <f t="shared" si="248"/>
        <v>7</v>
      </c>
      <c r="V725" s="18">
        <f t="shared" si="249"/>
        <v>2025</v>
      </c>
      <c r="W725" s="18" t="str">
        <f t="shared" si="250"/>
        <v/>
      </c>
      <c r="X725" s="18" t="str">
        <f t="shared" si="251"/>
        <v/>
      </c>
      <c r="Y725" s="2">
        <f t="shared" si="244"/>
        <v>0.72920119964000452</v>
      </c>
      <c r="Z725" t="str">
        <f t="shared" si="245"/>
        <v>SO17483</v>
      </c>
      <c r="AA725" s="11">
        <f t="shared" si="252"/>
        <v>45848.646319444437</v>
      </c>
      <c r="AB725" s="5" t="str">
        <f t="shared" si="253"/>
        <v>INV13576</v>
      </c>
      <c r="AC725" s="5" t="str">
        <f>IFERROR(VLOOKUP(D725,CAARStatus!$A$2:$AA$1600,22,FALSE),"Not invoiced")</f>
        <v>Approved</v>
      </c>
      <c r="AD725" s="11" t="str">
        <f>IF(AC725="Paid",IFERROR(VLOOKUP(D725,CAARStatus!$A$2:$AA$1600,6,FALSE),"Pending"),"Pending")</f>
        <v>Pending</v>
      </c>
      <c r="AE725" s="5" t="str">
        <f t="shared" si="254"/>
        <v>4501236472</v>
      </c>
      <c r="AF725" s="5" t="str">
        <f t="shared" si="255"/>
        <v>Barrick Gold - Pueblo Viejo Dominicana Corporation</v>
      </c>
      <c r="AG725" s="5" t="str">
        <f t="shared" si="256"/>
        <v>USD</v>
      </c>
      <c r="AH725" s="5">
        <f t="shared" si="257"/>
        <v>0</v>
      </c>
      <c r="AI725" s="12">
        <f>IF(L725-N725=0,VLOOKUP(U725,rate!A$4:B$15,2,FALSE)*AH725,IF(AG725="USD",O725,AH725*Y725))</f>
        <v>0</v>
      </c>
      <c r="AJ725" s="13">
        <f t="shared" si="258"/>
        <v>0</v>
      </c>
      <c r="AK725" s="13">
        <f>-IF(AG725="CAD",IFERROR(VLOOKUP(D725,CAARStatus!$A$1:$Y$1600,16,FALSE),0),0)</f>
        <v>0</v>
      </c>
      <c r="AL725" s="13">
        <f>-IF(AG725="USD",IFERROR(VLOOKUP(D725,CAARStatus!$A$1:$Y$1600,11,FALSE),0),0)</f>
        <v>-1701.41</v>
      </c>
      <c r="AM725" s="22" t="str">
        <f t="shared" si="259"/>
        <v/>
      </c>
      <c r="AN725" s="12">
        <f t="shared" si="260"/>
        <v>-1701.41</v>
      </c>
      <c r="AO725" s="12" t="str">
        <f t="shared" si="261"/>
        <v>Pend</v>
      </c>
      <c r="AP725" t="str">
        <f t="shared" si="246"/>
        <v>XX</v>
      </c>
      <c r="AQ725" t="str">
        <f>IFERROR(VLOOKUP(Z725,InvBal!$L$4:$P$600,4,FALSE),"Pend")</f>
        <v>Yes</v>
      </c>
      <c r="AR725" t="str">
        <f>IFERROR(VLOOKUP(D725,Manual!$C$1:$E$22,2,FALSE),"Pend")</f>
        <v>Pend</v>
      </c>
      <c r="AS725" t="str">
        <f t="shared" si="262"/>
        <v>Yes</v>
      </c>
      <c r="AT725" t="str">
        <f t="shared" si="263"/>
        <v/>
      </c>
      <c r="AU725" s="51" t="str">
        <f t="shared" si="264"/>
        <v/>
      </c>
      <c r="AV725" s="12">
        <f>IFERROR(VLOOKUP(D725,'Receivable Invoice Detail'!$S$1:$U$3014,3,FALSE),0)</f>
        <v>0</v>
      </c>
      <c r="AW725" s="12">
        <f t="shared" si="265"/>
        <v>0</v>
      </c>
    </row>
    <row r="726" spans="1:49" x14ac:dyDescent="0.25">
      <c r="A726" s="2">
        <v>2</v>
      </c>
      <c r="B726" s="2" t="s">
        <v>1073</v>
      </c>
      <c r="C726" s="2" t="s">
        <v>1074</v>
      </c>
      <c r="D726" s="2" t="s">
        <v>2956</v>
      </c>
      <c r="E726" s="2" t="s">
        <v>64</v>
      </c>
      <c r="F726" s="3">
        <v>45848.657488425917</v>
      </c>
      <c r="G726" s="3">
        <v>45848.661608796298</v>
      </c>
      <c r="H726" s="4">
        <v>45849</v>
      </c>
      <c r="I726" s="2" t="s">
        <v>21</v>
      </c>
      <c r="J726" s="2" t="s">
        <v>22</v>
      </c>
      <c r="K726" s="2">
        <v>1</v>
      </c>
      <c r="L726" s="2">
        <v>1259.5</v>
      </c>
      <c r="M726" s="2">
        <v>1259.5</v>
      </c>
      <c r="N726" s="2">
        <v>1259.5</v>
      </c>
      <c r="O726" s="2">
        <v>1114.5999999999999</v>
      </c>
      <c r="P726" s="2">
        <v>144.9</v>
      </c>
      <c r="Q726" s="2">
        <v>1259.5</v>
      </c>
      <c r="R726" s="2" t="s">
        <v>44</v>
      </c>
      <c r="S726" s="2"/>
      <c r="T726" s="2">
        <f t="shared" si="247"/>
        <v>2</v>
      </c>
      <c r="U726" s="18">
        <f t="shared" si="248"/>
        <v>7</v>
      </c>
      <c r="V726" s="18">
        <f t="shared" si="249"/>
        <v>2025</v>
      </c>
      <c r="W726" s="18">
        <f t="shared" si="250"/>
        <v>9</v>
      </c>
      <c r="X726" s="18">
        <f t="shared" si="251"/>
        <v>2025</v>
      </c>
      <c r="Y726" s="2">
        <f t="shared" si="244"/>
        <v>1</v>
      </c>
      <c r="Z726" t="str">
        <f t="shared" si="245"/>
        <v>SO17484</v>
      </c>
      <c r="AA726" s="11">
        <f t="shared" si="252"/>
        <v>45848.657488425917</v>
      </c>
      <c r="AB726" s="5" t="str">
        <f t="shared" si="253"/>
        <v>INV13303</v>
      </c>
      <c r="AC726" s="5" t="str">
        <f>IFERROR(VLOOKUP(D726,CAARStatus!$A$2:$AA$1600,22,FALSE),"Not invoiced")</f>
        <v>Paid</v>
      </c>
      <c r="AD726" s="11">
        <f>IF(AC726="Paid",IFERROR(VLOOKUP(D726,CAARStatus!$A$2:$AA$1600,6,FALSE),"Pending"),"Pending")</f>
        <v>45922</v>
      </c>
      <c r="AE726" s="5" t="str">
        <f t="shared" si="254"/>
        <v>607025</v>
      </c>
      <c r="AF726" s="5" t="str">
        <f t="shared" si="255"/>
        <v>Sealtrac Inc.</v>
      </c>
      <c r="AG726" s="5" t="str">
        <f t="shared" si="256"/>
        <v>CAD</v>
      </c>
      <c r="AH726" s="5">
        <f t="shared" si="257"/>
        <v>1114.5999999999999</v>
      </c>
      <c r="AI726" s="12">
        <f>IF(L726-N726=0,VLOOKUP(U726,rate!A$4:B$15,2,FALSE)*AH726,IF(AG726="USD",O726,AH726*Y726))</f>
        <v>813.16519575040149</v>
      </c>
      <c r="AJ726" s="13">
        <f t="shared" si="258"/>
        <v>0.72955786448089144</v>
      </c>
      <c r="AK726" s="13">
        <f>-IF(AG726="CAD",IFERROR(VLOOKUP(D726,CAARStatus!$A$1:$Y$1600,16,FALSE),0),0)</f>
        <v>-278.64999999999998</v>
      </c>
      <c r="AL726" s="13">
        <f>-IF(AG726="USD",IFERROR(VLOOKUP(D726,CAARStatus!$A$1:$Y$1600,11,FALSE),0),0)</f>
        <v>0</v>
      </c>
      <c r="AM726" s="22">
        <f t="shared" si="259"/>
        <v>835.94999999999993</v>
      </c>
      <c r="AN726" s="12" t="str">
        <f t="shared" si="260"/>
        <v/>
      </c>
      <c r="AO726" s="12" t="str">
        <f t="shared" si="261"/>
        <v>Yes</v>
      </c>
      <c r="AP726" t="str">
        <f t="shared" si="246"/>
        <v>XX</v>
      </c>
      <c r="AQ726" t="str">
        <f>IFERROR(VLOOKUP(Z726,InvBal!$L$4:$P$600,4,FALSE),"Pend")</f>
        <v>Yes</v>
      </c>
      <c r="AR726" t="str">
        <f>IFERROR(VLOOKUP(D726,Manual!$C$1:$E$22,2,FALSE),"Pend")</f>
        <v>Pend</v>
      </c>
      <c r="AS726" t="str">
        <f t="shared" si="262"/>
        <v>Yes</v>
      </c>
      <c r="AT726" t="str">
        <f t="shared" si="263"/>
        <v>Yes</v>
      </c>
      <c r="AU726" s="51" t="str">
        <f t="shared" si="264"/>
        <v>Yes</v>
      </c>
      <c r="AV726" s="12">
        <f>IFERROR(VLOOKUP(D726,'Receivable Invoice Detail'!$S$1:$U$3014,3,FALSE),0)</f>
        <v>0</v>
      </c>
      <c r="AW726" s="12">
        <f t="shared" si="265"/>
        <v>813.16519575040149</v>
      </c>
    </row>
    <row r="727" spans="1:49" x14ac:dyDescent="0.25">
      <c r="A727" s="2"/>
      <c r="B727" s="2"/>
      <c r="C727" s="2"/>
      <c r="D727" s="2" t="s">
        <v>2955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f t="shared" si="247"/>
        <v>2</v>
      </c>
      <c r="U727" s="18">
        <f t="shared" si="248"/>
        <v>7</v>
      </c>
      <c r="V727" s="18">
        <f t="shared" si="249"/>
        <v>2025</v>
      </c>
      <c r="W727" s="18">
        <f t="shared" si="250"/>
        <v>9</v>
      </c>
      <c r="X727" s="18">
        <f t="shared" si="251"/>
        <v>2025</v>
      </c>
      <c r="Y727" s="2">
        <f t="shared" si="244"/>
        <v>1</v>
      </c>
      <c r="Z727" t="str">
        <f t="shared" si="245"/>
        <v>SO17484</v>
      </c>
      <c r="AA727" s="11">
        <f t="shared" si="252"/>
        <v>45848.657488425917</v>
      </c>
      <c r="AB727" s="5" t="str">
        <f t="shared" si="253"/>
        <v>INV13168</v>
      </c>
      <c r="AC727" s="5" t="str">
        <f>IFERROR(VLOOKUP(D727,CAARStatus!$A$2:$AA$1600,22,FALSE),"Not invoiced")</f>
        <v>Paid</v>
      </c>
      <c r="AD727" s="11">
        <f>IF(AC727="Paid",IFERROR(VLOOKUP(D727,CAARStatus!$A$2:$AA$1600,6,FALSE),"Pending"),"Pending")</f>
        <v>45909</v>
      </c>
      <c r="AE727" s="5" t="str">
        <f t="shared" si="254"/>
        <v>607025</v>
      </c>
      <c r="AF727" s="5" t="str">
        <f t="shared" si="255"/>
        <v>Sealtrac Inc.</v>
      </c>
      <c r="AG727" s="5" t="str">
        <f t="shared" si="256"/>
        <v>CAD</v>
      </c>
      <c r="AH727" s="5">
        <f t="shared" si="257"/>
        <v>0</v>
      </c>
      <c r="AI727" s="12">
        <f>IF(L727-N727=0,VLOOKUP(U727,rate!A$4:B$15,2,FALSE)*AH727,IF(AG727="USD",O727,AH727*Y727))</f>
        <v>0</v>
      </c>
      <c r="AJ727" s="13">
        <f t="shared" si="258"/>
        <v>0</v>
      </c>
      <c r="AK727" s="13">
        <f>-IF(AG727="CAD",IFERROR(VLOOKUP(D727,CAARStatus!$A$1:$Y$1600,16,FALSE),0),0)</f>
        <v>-835.95</v>
      </c>
      <c r="AL727" s="13">
        <f>-IF(AG727="USD",IFERROR(VLOOKUP(D727,CAARStatus!$A$1:$Y$1600,11,FALSE),0),0)</f>
        <v>0</v>
      </c>
      <c r="AM727" s="22">
        <f t="shared" si="259"/>
        <v>-835.95</v>
      </c>
      <c r="AN727" s="12" t="str">
        <f t="shared" si="260"/>
        <v/>
      </c>
      <c r="AO727" s="12" t="str">
        <f t="shared" si="261"/>
        <v>Yes</v>
      </c>
      <c r="AP727" t="str">
        <f t="shared" si="246"/>
        <v>XX</v>
      </c>
      <c r="AQ727" t="str">
        <f>IFERROR(VLOOKUP(Z727,InvBal!$L$4:$P$600,4,FALSE),"Pend")</f>
        <v>Yes</v>
      </c>
      <c r="AR727" t="str">
        <f>IFERROR(VLOOKUP(D727,Manual!$C$1:$E$22,2,FALSE),"Pend")</f>
        <v>Pend</v>
      </c>
      <c r="AS727" t="str">
        <f t="shared" si="262"/>
        <v>Yes</v>
      </c>
      <c r="AT727" t="str">
        <f t="shared" si="263"/>
        <v/>
      </c>
      <c r="AU727" s="51" t="str">
        <f t="shared" si="264"/>
        <v/>
      </c>
      <c r="AV727" s="12">
        <f>IFERROR(VLOOKUP(D727,'Receivable Invoice Detail'!$S$1:$U$3014,3,FALSE),0)</f>
        <v>0</v>
      </c>
      <c r="AW727" s="12">
        <f t="shared" si="265"/>
        <v>0</v>
      </c>
    </row>
    <row r="728" spans="1:49" x14ac:dyDescent="0.25">
      <c r="A728" s="2">
        <v>1</v>
      </c>
      <c r="B728" s="2" t="s">
        <v>1060</v>
      </c>
      <c r="C728" s="2" t="s">
        <v>1061</v>
      </c>
      <c r="D728" s="2" t="s">
        <v>2963</v>
      </c>
      <c r="E728" s="2" t="s">
        <v>54</v>
      </c>
      <c r="F728" s="3">
        <v>45848.694652777784</v>
      </c>
      <c r="G728" s="3">
        <v>45849.514837962961</v>
      </c>
      <c r="H728" s="4">
        <v>45852</v>
      </c>
      <c r="I728" s="2" t="s">
        <v>21</v>
      </c>
      <c r="J728" s="2" t="s">
        <v>22</v>
      </c>
      <c r="K728" s="2">
        <v>1</v>
      </c>
      <c r="L728" s="2">
        <v>825.91</v>
      </c>
      <c r="M728" s="2">
        <v>0</v>
      </c>
      <c r="N728" s="2">
        <v>603.6808211149729</v>
      </c>
      <c r="O728" s="2">
        <v>786.58</v>
      </c>
      <c r="P728" s="2">
        <v>39.33</v>
      </c>
      <c r="Q728" s="2">
        <v>825.91</v>
      </c>
      <c r="R728" s="2" t="s">
        <v>44</v>
      </c>
      <c r="S728" s="2"/>
      <c r="T728" s="2">
        <f t="shared" si="247"/>
        <v>1</v>
      </c>
      <c r="U728" s="18">
        <f t="shared" si="248"/>
        <v>7</v>
      </c>
      <c r="V728" s="18">
        <f t="shared" si="249"/>
        <v>2025</v>
      </c>
      <c r="W728" s="18">
        <f t="shared" si="250"/>
        <v>8</v>
      </c>
      <c r="X728" s="18">
        <f t="shared" si="251"/>
        <v>2025</v>
      </c>
      <c r="Y728" s="2">
        <f t="shared" si="244"/>
        <v>0.73092809278852766</v>
      </c>
      <c r="Z728" t="str">
        <f t="shared" si="245"/>
        <v>SO17485</v>
      </c>
      <c r="AA728" s="11">
        <f t="shared" si="252"/>
        <v>45848.694652777784</v>
      </c>
      <c r="AB728" s="5" t="str">
        <f t="shared" si="253"/>
        <v>INV13171</v>
      </c>
      <c r="AC728" s="5" t="str">
        <f>IFERROR(VLOOKUP(D728,CAARStatus!$A$2:$AA$1600,22,FALSE),"Not invoiced")</f>
        <v>Paid</v>
      </c>
      <c r="AD728" s="11">
        <f>IF(AC728="Paid",IFERROR(VLOOKUP(D728,CAARStatus!$A$2:$AA$1600,6,FALSE),"Pending"),"Pending")</f>
        <v>45881</v>
      </c>
      <c r="AE728" s="5" t="str">
        <f t="shared" si="254"/>
        <v>3255</v>
      </c>
      <c r="AF728" s="5" t="str">
        <f t="shared" si="255"/>
        <v>Les Pompes du St-Laurent Inc.</v>
      </c>
      <c r="AG728" s="5" t="str">
        <f t="shared" si="256"/>
        <v>CAD</v>
      </c>
      <c r="AH728" s="5">
        <f t="shared" si="257"/>
        <v>786.58</v>
      </c>
      <c r="AI728" s="12">
        <f>IF(L728-N728=0,VLOOKUP(U728,rate!A$4:B$15,2,FALSE)*AH728,IF(AG728="USD",O728,AH728*Y728))</f>
        <v>574.93341922560012</v>
      </c>
      <c r="AJ728" s="13">
        <f t="shared" si="258"/>
        <v>0.73092809278852766</v>
      </c>
      <c r="AK728" s="13">
        <f>-IF(AG728="CAD",IFERROR(VLOOKUP(D728,CAARStatus!$A$1:$Y$1600,16,FALSE),0),0)</f>
        <v>-786.58</v>
      </c>
      <c r="AL728" s="13">
        <f>-IF(AG728="USD",IFERROR(VLOOKUP(D728,CAARStatus!$A$1:$Y$1600,11,FALSE),0),0)</f>
        <v>0</v>
      </c>
      <c r="AM728" s="22">
        <f t="shared" si="259"/>
        <v>0</v>
      </c>
      <c r="AN728" s="12" t="str">
        <f t="shared" si="260"/>
        <v/>
      </c>
      <c r="AO728" s="12" t="str">
        <f t="shared" si="261"/>
        <v>Yes</v>
      </c>
      <c r="AP728" t="str">
        <f t="shared" si="246"/>
        <v>Yes</v>
      </c>
      <c r="AQ728" t="str">
        <f>IFERROR(VLOOKUP(Z728,InvBal!$L$4:$P$600,4,FALSE),"Pend")</f>
        <v>Pend</v>
      </c>
      <c r="AR728" t="str">
        <f>IFERROR(VLOOKUP(D728,Manual!$C$1:$E$22,2,FALSE),"Pend")</f>
        <v>Pend</v>
      </c>
      <c r="AS728" t="str">
        <f t="shared" si="262"/>
        <v>Yes</v>
      </c>
      <c r="AT728" t="str">
        <f t="shared" si="263"/>
        <v>Yes</v>
      </c>
      <c r="AU728" s="51" t="str">
        <f t="shared" si="264"/>
        <v>Yes</v>
      </c>
      <c r="AV728" s="12">
        <f>IFERROR(VLOOKUP(D728,'Receivable Invoice Detail'!$S$1:$U$3014,3,FALSE),0)</f>
        <v>0</v>
      </c>
      <c r="AW728" s="12">
        <f t="shared" si="265"/>
        <v>574.93341922560012</v>
      </c>
    </row>
    <row r="729" spans="1:49" ht="30" x14ac:dyDescent="0.25">
      <c r="A729" s="2">
        <v>1</v>
      </c>
      <c r="B729" s="2" t="s">
        <v>1067</v>
      </c>
      <c r="C729" s="2" t="s">
        <v>1068</v>
      </c>
      <c r="D729" s="2" t="s">
        <v>2959</v>
      </c>
      <c r="E729" s="2" t="s">
        <v>129</v>
      </c>
      <c r="F729" s="3">
        <v>45848.787060185183</v>
      </c>
      <c r="G729" s="3">
        <v>45848.786724537043</v>
      </c>
      <c r="H729" s="4">
        <v>45884</v>
      </c>
      <c r="I729" s="2" t="s">
        <v>130</v>
      </c>
      <c r="J729" s="2" t="s">
        <v>51</v>
      </c>
      <c r="K729" s="2">
        <v>0.73014138500527581</v>
      </c>
      <c r="L729" s="2">
        <v>3207.5979366421989</v>
      </c>
      <c r="M729" s="2">
        <v>0</v>
      </c>
      <c r="N729" s="2">
        <v>2342</v>
      </c>
      <c r="O729" s="2">
        <v>2342</v>
      </c>
      <c r="P729" s="2"/>
      <c r="Q729" s="2">
        <v>2342</v>
      </c>
      <c r="R729" s="2" t="s">
        <v>44</v>
      </c>
      <c r="S729" s="2"/>
      <c r="T729" s="2">
        <f t="shared" si="247"/>
        <v>1</v>
      </c>
      <c r="U729" s="18">
        <f t="shared" si="248"/>
        <v>7</v>
      </c>
      <c r="V729" s="18">
        <f t="shared" si="249"/>
        <v>2025</v>
      </c>
      <c r="W729" s="18" t="str">
        <f t="shared" si="250"/>
        <v/>
      </c>
      <c r="X729" s="18" t="str">
        <f t="shared" si="251"/>
        <v/>
      </c>
      <c r="Y729" s="2">
        <f t="shared" si="244"/>
        <v>0.73014138500527581</v>
      </c>
      <c r="Z729" t="str">
        <f t="shared" si="245"/>
        <v>SO17486</v>
      </c>
      <c r="AA729" s="11">
        <f t="shared" si="252"/>
        <v>45848.787060185183</v>
      </c>
      <c r="AB729" s="5" t="str">
        <f t="shared" si="253"/>
        <v>INV13355</v>
      </c>
      <c r="AC729" s="5" t="str">
        <f>IFERROR(VLOOKUP(D729,CAARStatus!$A$2:$AA$1600,22,FALSE),"Not invoiced")</f>
        <v>Approved</v>
      </c>
      <c r="AD729" s="11" t="str">
        <f>IF(AC729="Paid",IFERROR(VLOOKUP(D729,CAARStatus!$A$2:$AA$1600,6,FALSE),"Pending"),"Pending")</f>
        <v>Pending</v>
      </c>
      <c r="AE729" s="5" t="str">
        <f t="shared" si="254"/>
        <v>OC00180</v>
      </c>
      <c r="AF729" s="5" t="str">
        <f t="shared" si="255"/>
        <v>Dynapro Pumps México S de RL de CV</v>
      </c>
      <c r="AG729" s="5" t="str">
        <f t="shared" si="256"/>
        <v>USD</v>
      </c>
      <c r="AH729" s="5">
        <f t="shared" si="257"/>
        <v>3207.5979366421989</v>
      </c>
      <c r="AI729" s="12">
        <f>IF(L729-N729=0,VLOOKUP(U729,rate!A$4:B$15,2,FALSE)*AH729,IF(AG729="USD",O729,AH729*Y729))</f>
        <v>2342</v>
      </c>
      <c r="AJ729" s="13">
        <f t="shared" si="258"/>
        <v>0.73014138500527581</v>
      </c>
      <c r="AK729" s="13">
        <f>-IF(AG729="CAD",IFERROR(VLOOKUP(D729,CAARStatus!$A$1:$Y$1600,16,FALSE),0),0)</f>
        <v>0</v>
      </c>
      <c r="AL729" s="13">
        <f>-IF(AG729="USD",IFERROR(VLOOKUP(D729,CAARStatus!$A$1:$Y$1600,11,FALSE),0),0)</f>
        <v>-2342</v>
      </c>
      <c r="AM729" s="22" t="str">
        <f t="shared" si="259"/>
        <v/>
      </c>
      <c r="AN729" s="12">
        <f t="shared" si="260"/>
        <v>0</v>
      </c>
      <c r="AO729" s="12" t="str">
        <f t="shared" si="261"/>
        <v>Pend</v>
      </c>
      <c r="AP729" t="str">
        <f t="shared" si="246"/>
        <v>Pend</v>
      </c>
      <c r="AQ729" t="str">
        <f>IFERROR(VLOOKUP(Z729,InvBal!$L$4:$P$600,4,FALSE),"Pend")</f>
        <v>Pend</v>
      </c>
      <c r="AR729" t="str">
        <f>IFERROR(VLOOKUP(D729,Manual!$C$1:$E$22,2,FALSE),"Pend")</f>
        <v>Pend</v>
      </c>
      <c r="AS729" t="str">
        <f t="shared" si="262"/>
        <v/>
      </c>
      <c r="AT729" t="str">
        <f t="shared" si="263"/>
        <v>Yes</v>
      </c>
      <c r="AU729" s="51" t="str">
        <f t="shared" si="264"/>
        <v/>
      </c>
      <c r="AV729" s="12">
        <f>IFERROR(VLOOKUP(D729,'Receivable Invoice Detail'!$S$1:$U$3014,3,FALSE),0)</f>
        <v>0</v>
      </c>
      <c r="AW729" s="12">
        <f t="shared" si="265"/>
        <v>0</v>
      </c>
    </row>
    <row r="730" spans="1:49" x14ac:dyDescent="0.25">
      <c r="A730" s="2">
        <v>2</v>
      </c>
      <c r="B730" s="2" t="s">
        <v>1001</v>
      </c>
      <c r="C730" s="2" t="s">
        <v>1002</v>
      </c>
      <c r="D730" s="2" t="s">
        <v>2999</v>
      </c>
      <c r="E730" s="2" t="s">
        <v>77</v>
      </c>
      <c r="F730" s="3">
        <v>45849.583275462966</v>
      </c>
      <c r="G730" s="3">
        <v>45856.55400462963</v>
      </c>
      <c r="H730" s="4">
        <v>45954</v>
      </c>
      <c r="I730" s="2" t="s">
        <v>21</v>
      </c>
      <c r="J730" s="2" t="s">
        <v>22</v>
      </c>
      <c r="K730" s="2">
        <v>1</v>
      </c>
      <c r="L730" s="2">
        <v>4054.67</v>
      </c>
      <c r="M730" s="2">
        <v>0</v>
      </c>
      <c r="N730" s="2">
        <v>2956.6572436864758</v>
      </c>
      <c r="O730" s="2">
        <v>3861.59</v>
      </c>
      <c r="P730" s="2">
        <v>193.08</v>
      </c>
      <c r="Q730" s="2">
        <v>4054.67</v>
      </c>
      <c r="R730" s="2" t="s">
        <v>44</v>
      </c>
      <c r="S730" s="2"/>
      <c r="T730" s="2">
        <f t="shared" si="247"/>
        <v>2</v>
      </c>
      <c r="U730" s="18">
        <f t="shared" si="248"/>
        <v>7</v>
      </c>
      <c r="V730" s="18">
        <f t="shared" si="249"/>
        <v>2025</v>
      </c>
      <c r="W730" s="18">
        <f t="shared" si="250"/>
        <v>7</v>
      </c>
      <c r="X730" s="18">
        <f t="shared" si="251"/>
        <v>2025</v>
      </c>
      <c r="Y730" s="2">
        <f t="shared" si="244"/>
        <v>0.72919799729360857</v>
      </c>
      <c r="Z730" t="str">
        <f t="shared" si="245"/>
        <v>SO17488</v>
      </c>
      <c r="AA730" s="11">
        <f t="shared" si="252"/>
        <v>45849.583275462966</v>
      </c>
      <c r="AB730" s="5" t="str">
        <f t="shared" si="253"/>
        <v>INV13208</v>
      </c>
      <c r="AC730" s="5" t="str">
        <f>IFERROR(VLOOKUP(D730,CAARStatus!$A$2:$AA$1600,22,FALSE),"Not invoiced")</f>
        <v>Paid</v>
      </c>
      <c r="AD730" s="11">
        <f>IF(AC730="Paid",IFERROR(VLOOKUP(D730,CAARStatus!$A$2:$AA$1600,6,FALSE),"Pending"),"Pending")</f>
        <v>45868</v>
      </c>
      <c r="AE730" s="5" t="str">
        <f t="shared" si="254"/>
        <v>PO-40-1016737</v>
      </c>
      <c r="AF730" s="5" t="str">
        <f t="shared" si="255"/>
        <v>Canadian Bearings Ltd.</v>
      </c>
      <c r="AG730" s="5" t="str">
        <f t="shared" si="256"/>
        <v>CAD</v>
      </c>
      <c r="AH730" s="5">
        <f t="shared" si="257"/>
        <v>3861.59</v>
      </c>
      <c r="AI730" s="12">
        <f>IF(L730-N730=0,VLOOKUP(U730,rate!A$4:B$15,2,FALSE)*AH730,IF(AG730="USD",O730,AH730*Y730))</f>
        <v>2815.8636943690262</v>
      </c>
      <c r="AJ730" s="13">
        <f t="shared" si="258"/>
        <v>0.72919799729360868</v>
      </c>
      <c r="AK730" s="13">
        <f>-IF(AG730="CAD",IFERROR(VLOOKUP(D730,CAARStatus!$A$1:$Y$1600,16,FALSE),0),0)</f>
        <v>-180.64</v>
      </c>
      <c r="AL730" s="13">
        <f>-IF(AG730="USD",IFERROR(VLOOKUP(D730,CAARStatus!$A$1:$Y$1600,11,FALSE),0),0)</f>
        <v>0</v>
      </c>
      <c r="AM730" s="22">
        <f t="shared" si="259"/>
        <v>3680.9500000000003</v>
      </c>
      <c r="AN730" s="12" t="str">
        <f t="shared" si="260"/>
        <v/>
      </c>
      <c r="AO730" s="12" t="str">
        <f t="shared" si="261"/>
        <v>Yes</v>
      </c>
      <c r="AP730" t="str">
        <f t="shared" si="246"/>
        <v>XX</v>
      </c>
      <c r="AQ730" t="str">
        <f>IFERROR(VLOOKUP(Z730,InvBal!$L$4:$P$600,4,FALSE),"Pend")</f>
        <v>Yes</v>
      </c>
      <c r="AR730" t="str">
        <f>IFERROR(VLOOKUP(D730,Manual!$C$1:$E$22,2,FALSE),"Pend")</f>
        <v>Pend</v>
      </c>
      <c r="AS730" t="str">
        <f t="shared" si="262"/>
        <v>Yes</v>
      </c>
      <c r="AT730" t="str">
        <f t="shared" si="263"/>
        <v>Yes</v>
      </c>
      <c r="AU730" s="51" t="str">
        <f t="shared" si="264"/>
        <v>Yes</v>
      </c>
      <c r="AV730" s="12">
        <f>IFERROR(VLOOKUP(D730,'Receivable Invoice Detail'!$S$1:$U$3014,3,FALSE),0)</f>
        <v>0</v>
      </c>
      <c r="AW730" s="12">
        <f t="shared" si="265"/>
        <v>2815.8636943690262</v>
      </c>
    </row>
    <row r="731" spans="1:49" x14ac:dyDescent="0.25">
      <c r="A731" s="2"/>
      <c r="B731" s="2"/>
      <c r="C731" s="2"/>
      <c r="D731" s="2" t="s">
        <v>2998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f t="shared" si="247"/>
        <v>2</v>
      </c>
      <c r="U731" s="18">
        <f t="shared" si="248"/>
        <v>7</v>
      </c>
      <c r="V731" s="18">
        <f t="shared" si="249"/>
        <v>2025</v>
      </c>
      <c r="W731" s="18">
        <f t="shared" si="250"/>
        <v>10</v>
      </c>
      <c r="X731" s="18">
        <f t="shared" si="251"/>
        <v>2025</v>
      </c>
      <c r="Y731" s="2">
        <f t="shared" si="244"/>
        <v>0.72919799729360857</v>
      </c>
      <c r="Z731" t="str">
        <f t="shared" si="245"/>
        <v>SO17488</v>
      </c>
      <c r="AA731" s="11">
        <f t="shared" si="252"/>
        <v>45849.583275462966</v>
      </c>
      <c r="AB731" s="5" t="str">
        <f t="shared" si="253"/>
        <v>INV13310</v>
      </c>
      <c r="AC731" s="5" t="str">
        <f>IFERROR(VLOOKUP(D731,CAARStatus!$A$2:$AA$1600,22,FALSE),"Not invoiced")</f>
        <v>Paid</v>
      </c>
      <c r="AD731" s="11">
        <f>IF(AC731="Paid",IFERROR(VLOOKUP(D731,CAARStatus!$A$2:$AA$1600,6,FALSE),"Pending"),"Pending")</f>
        <v>45940</v>
      </c>
      <c r="AE731" s="5" t="str">
        <f t="shared" si="254"/>
        <v>PO-40-1016737</v>
      </c>
      <c r="AF731" s="5" t="str">
        <f t="shared" si="255"/>
        <v>Canadian Bearings Ltd.</v>
      </c>
      <c r="AG731" s="5" t="str">
        <f t="shared" si="256"/>
        <v>CAD</v>
      </c>
      <c r="AH731" s="5">
        <f t="shared" si="257"/>
        <v>0</v>
      </c>
      <c r="AI731" s="12">
        <f>IF(L731-N731=0,VLOOKUP(U731,rate!A$4:B$15,2,FALSE)*AH731,IF(AG731="USD",O731,AH731*Y731))</f>
        <v>0</v>
      </c>
      <c r="AJ731" s="13">
        <f t="shared" si="258"/>
        <v>0</v>
      </c>
      <c r="AK731" s="13">
        <f>-IF(AG731="CAD",IFERROR(VLOOKUP(D731,CAARStatus!$A$1:$Y$1600,16,FALSE),0),0)</f>
        <v>-3680.95</v>
      </c>
      <c r="AL731" s="13">
        <f>-IF(AG731="USD",IFERROR(VLOOKUP(D731,CAARStatus!$A$1:$Y$1600,11,FALSE),0),0)</f>
        <v>0</v>
      </c>
      <c r="AM731" s="22">
        <f t="shared" si="259"/>
        <v>-3680.95</v>
      </c>
      <c r="AN731" s="12" t="str">
        <f t="shared" si="260"/>
        <v/>
      </c>
      <c r="AO731" s="12" t="str">
        <f t="shared" si="261"/>
        <v>Yes</v>
      </c>
      <c r="AP731" t="str">
        <f t="shared" si="246"/>
        <v>XX</v>
      </c>
      <c r="AQ731" t="str">
        <f>IFERROR(VLOOKUP(Z731,InvBal!$L$4:$P$600,4,FALSE),"Pend")</f>
        <v>Yes</v>
      </c>
      <c r="AR731" t="str">
        <f>IFERROR(VLOOKUP(D731,Manual!$C$1:$E$22,2,FALSE),"Pend")</f>
        <v>Pend</v>
      </c>
      <c r="AS731" t="str">
        <f t="shared" si="262"/>
        <v>Yes</v>
      </c>
      <c r="AT731" t="str">
        <f t="shared" si="263"/>
        <v/>
      </c>
      <c r="AU731" s="51" t="str">
        <f t="shared" si="264"/>
        <v/>
      </c>
      <c r="AV731" s="12">
        <f>IFERROR(VLOOKUP(D731,'Receivable Invoice Detail'!$S$1:$U$3014,3,FALSE),0)</f>
        <v>0</v>
      </c>
      <c r="AW731" s="12">
        <f t="shared" si="265"/>
        <v>0</v>
      </c>
    </row>
    <row r="732" spans="1:49" x14ac:dyDescent="0.25">
      <c r="A732" s="2">
        <v>0</v>
      </c>
      <c r="B732" s="2" t="s">
        <v>687</v>
      </c>
      <c r="C732" s="2" t="s">
        <v>688</v>
      </c>
      <c r="D732" s="2"/>
      <c r="E732" s="2" t="s">
        <v>689</v>
      </c>
      <c r="F732" s="3">
        <v>45849.6175</v>
      </c>
      <c r="G732" s="3">
        <v>45905.528923611113</v>
      </c>
      <c r="H732" s="4">
        <v>45989</v>
      </c>
      <c r="I732" s="2" t="s">
        <v>36</v>
      </c>
      <c r="J732" s="2" t="s">
        <v>22</v>
      </c>
      <c r="K732" s="2">
        <v>1</v>
      </c>
      <c r="L732" s="2">
        <v>1690.5</v>
      </c>
      <c r="M732" s="2">
        <v>0</v>
      </c>
      <c r="N732" s="2">
        <v>1222.662773743981</v>
      </c>
      <c r="O732" s="2">
        <v>1610</v>
      </c>
      <c r="P732" s="2">
        <v>80.5</v>
      </c>
      <c r="Q732" s="2">
        <v>1690.5</v>
      </c>
      <c r="R732" s="2" t="s">
        <v>29</v>
      </c>
      <c r="S732" s="2"/>
      <c r="T732" s="2">
        <f t="shared" si="247"/>
        <v>0</v>
      </c>
      <c r="U732" s="18">
        <f t="shared" si="248"/>
        <v>7</v>
      </c>
      <c r="V732" s="18">
        <f t="shared" si="249"/>
        <v>2025</v>
      </c>
      <c r="W732" s="18" t="str">
        <f t="shared" si="250"/>
        <v/>
      </c>
      <c r="X732" s="18" t="str">
        <f t="shared" si="251"/>
        <v/>
      </c>
      <c r="Y732" s="2">
        <f t="shared" si="244"/>
        <v>0.72325511608635373</v>
      </c>
      <c r="Z732" t="str">
        <f t="shared" si="245"/>
        <v>SO17489</v>
      </c>
      <c r="AA732" s="11">
        <f t="shared" si="252"/>
        <v>45849.6175</v>
      </c>
      <c r="AB732" s="5" t="str">
        <f t="shared" si="253"/>
        <v>No Inv</v>
      </c>
      <c r="AC732" s="5" t="str">
        <f>IFERROR(VLOOKUP(D732,CAARStatus!$A$2:$AA$1600,22,FALSE),"Not invoiced")</f>
        <v>Not invoiced</v>
      </c>
      <c r="AD732" s="11" t="str">
        <f>IF(AC732="Paid",IFERROR(VLOOKUP(D732,CAARStatus!$A$2:$AA$1600,6,FALSE),"Pending"),"Pending")</f>
        <v>Pending</v>
      </c>
      <c r="AE732" s="5" t="str">
        <f t="shared" si="254"/>
        <v>2100611083</v>
      </c>
      <c r="AF732" s="5" t="str">
        <f t="shared" si="255"/>
        <v>Wajax Limited - Timmins</v>
      </c>
      <c r="AG732" s="5" t="str">
        <f t="shared" si="256"/>
        <v>CAD</v>
      </c>
      <c r="AH732" s="5">
        <f t="shared" si="257"/>
        <v>1610</v>
      </c>
      <c r="AI732" s="12">
        <f>IF(L732-N732=0,VLOOKUP(U732,rate!A$4:B$15,2,FALSE)*AH732,IF(AG732="USD",O732,AH732*Y732))</f>
        <v>1164.4407368990296</v>
      </c>
      <c r="AJ732" s="13">
        <f t="shared" si="258"/>
        <v>0.72325511608635384</v>
      </c>
      <c r="AK732" s="13">
        <f>-IF(AG732="CAD",IFERROR(VLOOKUP(D732,CAARStatus!$A$1:$Y$1600,16,FALSE),0),0)</f>
        <v>0</v>
      </c>
      <c r="AL732" s="13">
        <f>-IF(AG732="USD",IFERROR(VLOOKUP(D732,CAARStatus!$A$1:$Y$1600,11,FALSE),0),0)</f>
        <v>0</v>
      </c>
      <c r="AM732" s="22">
        <f t="shared" si="259"/>
        <v>1610</v>
      </c>
      <c r="AN732" s="12" t="str">
        <f t="shared" si="260"/>
        <v/>
      </c>
      <c r="AO732" s="12" t="str">
        <f t="shared" si="261"/>
        <v>Pend</v>
      </c>
      <c r="AP732" t="str">
        <f t="shared" si="246"/>
        <v>Pend</v>
      </c>
      <c r="AQ732" t="str">
        <f>IFERROR(VLOOKUP(Z732,InvBal!$L$4:$P$600,4,FALSE),"Pend")</f>
        <v>Pend</v>
      </c>
      <c r="AR732" t="str">
        <f>IFERROR(VLOOKUP(D732,Manual!$C$1:$E$22,2,FALSE),"Pend")</f>
        <v>Pend</v>
      </c>
      <c r="AS732" t="str">
        <f t="shared" si="262"/>
        <v/>
      </c>
      <c r="AT732" t="str">
        <f t="shared" si="263"/>
        <v/>
      </c>
      <c r="AU732" s="51" t="str">
        <f t="shared" si="264"/>
        <v/>
      </c>
      <c r="AV732" s="12">
        <f>IFERROR(VLOOKUP(D732,'Receivable Invoice Detail'!$S$1:$U$3014,3,FALSE),0)</f>
        <v>0</v>
      </c>
      <c r="AW732" s="12">
        <f t="shared" si="265"/>
        <v>0</v>
      </c>
    </row>
    <row r="733" spans="1:49" x14ac:dyDescent="0.25">
      <c r="A733" s="2">
        <v>1</v>
      </c>
      <c r="B733" s="2" t="s">
        <v>1037</v>
      </c>
      <c r="C733" s="2" t="s">
        <v>1038</v>
      </c>
      <c r="D733" s="2" t="s">
        <v>2975</v>
      </c>
      <c r="E733" s="2" t="s">
        <v>1039</v>
      </c>
      <c r="F733" s="3">
        <v>45849.689363425918</v>
      </c>
      <c r="G733" s="3">
        <v>45852.643587962957</v>
      </c>
      <c r="H733" s="4">
        <v>45894</v>
      </c>
      <c r="I733" s="2" t="s">
        <v>21</v>
      </c>
      <c r="J733" s="2" t="s">
        <v>22</v>
      </c>
      <c r="K733" s="2">
        <v>1</v>
      </c>
      <c r="L733" s="2">
        <v>2171.9299999999998</v>
      </c>
      <c r="M733" s="2">
        <v>0</v>
      </c>
      <c r="N733" s="2">
        <v>1585.945952699087</v>
      </c>
      <c r="O733" s="2">
        <v>2068.5</v>
      </c>
      <c r="P733" s="2">
        <v>103.43</v>
      </c>
      <c r="Q733" s="2">
        <v>2171.9299999999998</v>
      </c>
      <c r="R733" s="2" t="s">
        <v>44</v>
      </c>
      <c r="S733" s="2"/>
      <c r="T733" s="2">
        <f t="shared" si="247"/>
        <v>1</v>
      </c>
      <c r="U733" s="18">
        <f t="shared" si="248"/>
        <v>7</v>
      </c>
      <c r="V733" s="18">
        <f t="shared" si="249"/>
        <v>2025</v>
      </c>
      <c r="W733" s="18">
        <f t="shared" si="250"/>
        <v>11</v>
      </c>
      <c r="X733" s="18">
        <f t="shared" si="251"/>
        <v>2025</v>
      </c>
      <c r="Y733" s="2">
        <f t="shared" si="244"/>
        <v>0.7302012278015807</v>
      </c>
      <c r="Z733" t="str">
        <f t="shared" si="245"/>
        <v>SO17491</v>
      </c>
      <c r="AA733" s="11">
        <f t="shared" si="252"/>
        <v>45849.689363425918</v>
      </c>
      <c r="AB733" s="5" t="str">
        <f t="shared" si="253"/>
        <v>INV13401</v>
      </c>
      <c r="AC733" s="5" t="str">
        <f>IFERROR(VLOOKUP(D733,CAARStatus!$A$2:$AA$1600,22,FALSE),"Not invoiced")</f>
        <v>Paid</v>
      </c>
      <c r="AD733" s="11">
        <f>IF(AC733="Paid",IFERROR(VLOOKUP(D733,CAARStatus!$A$2:$AA$1600,6,FALSE),"Pending"),"Pending")</f>
        <v>45975</v>
      </c>
      <c r="AE733" s="5" t="str">
        <f t="shared" si="254"/>
        <v>4500605083</v>
      </c>
      <c r="AF733" s="5" t="str">
        <f t="shared" si="255"/>
        <v>Resolute Forest Products - Alma</v>
      </c>
      <c r="AG733" s="5" t="str">
        <f t="shared" si="256"/>
        <v>CAD</v>
      </c>
      <c r="AH733" s="5">
        <f t="shared" si="257"/>
        <v>2068.5</v>
      </c>
      <c r="AI733" s="12">
        <f>IF(L733-N733=0,VLOOKUP(U733,rate!A$4:B$15,2,FALSE)*AH733,IF(AG733="USD",O733,AH733*Y733))</f>
        <v>1510.4212397075696</v>
      </c>
      <c r="AJ733" s="13">
        <f t="shared" si="258"/>
        <v>0.7302012278015807</v>
      </c>
      <c r="AK733" s="13">
        <f>-IF(AG733="CAD",IFERROR(VLOOKUP(D733,CAARStatus!$A$1:$Y$1600,16,FALSE),0),0)</f>
        <v>-2068.5</v>
      </c>
      <c r="AL733" s="13">
        <f>-IF(AG733="USD",IFERROR(VLOOKUP(D733,CAARStatus!$A$1:$Y$1600,11,FALSE),0),0)</f>
        <v>0</v>
      </c>
      <c r="AM733" s="22">
        <f t="shared" si="259"/>
        <v>0</v>
      </c>
      <c r="AN733" s="12" t="str">
        <f t="shared" si="260"/>
        <v/>
      </c>
      <c r="AO733" s="12" t="str">
        <f t="shared" si="261"/>
        <v>Yes</v>
      </c>
      <c r="AP733" t="str">
        <f t="shared" si="246"/>
        <v>Yes</v>
      </c>
      <c r="AQ733" t="str">
        <f>IFERROR(VLOOKUP(Z733,InvBal!$L$4:$P$600,4,FALSE),"Pend")</f>
        <v>Pend</v>
      </c>
      <c r="AR733" t="str">
        <f>IFERROR(VLOOKUP(D733,Manual!$C$1:$E$22,2,FALSE),"Pend")</f>
        <v>Pend</v>
      </c>
      <c r="AS733" t="str">
        <f t="shared" si="262"/>
        <v>Yes</v>
      </c>
      <c r="AT733" t="str">
        <f t="shared" si="263"/>
        <v>Yes</v>
      </c>
      <c r="AU733" s="51" t="str">
        <f t="shared" si="264"/>
        <v>Yes</v>
      </c>
      <c r="AV733" s="12">
        <f>IFERROR(VLOOKUP(D733,'Receivable Invoice Detail'!$S$1:$U$3014,3,FALSE),0)</f>
        <v>0</v>
      </c>
      <c r="AW733" s="12">
        <f t="shared" si="265"/>
        <v>1510.4212397075696</v>
      </c>
    </row>
    <row r="734" spans="1:49" x14ac:dyDescent="0.25">
      <c r="A734" s="2">
        <v>2</v>
      </c>
      <c r="B734" s="2" t="s">
        <v>1056</v>
      </c>
      <c r="C734" s="2" t="s">
        <v>1057</v>
      </c>
      <c r="D734" s="2" t="s">
        <v>2966</v>
      </c>
      <c r="E734" s="2" t="s">
        <v>77</v>
      </c>
      <c r="F734" s="3">
        <v>45849.710625</v>
      </c>
      <c r="G734" s="3">
        <v>45849.709409722222</v>
      </c>
      <c r="H734" s="4">
        <v>45958</v>
      </c>
      <c r="I734" s="2" t="s">
        <v>36</v>
      </c>
      <c r="J734" s="2" t="s">
        <v>22</v>
      </c>
      <c r="K734" s="2">
        <v>1</v>
      </c>
      <c r="L734" s="2">
        <v>3317.66</v>
      </c>
      <c r="M734" s="2">
        <v>0</v>
      </c>
      <c r="N734" s="2">
        <v>2424.9708963207868</v>
      </c>
      <c r="O734" s="2">
        <v>3159.68</v>
      </c>
      <c r="P734" s="2">
        <v>157.97999999999999</v>
      </c>
      <c r="Q734" s="2">
        <v>3317.66</v>
      </c>
      <c r="R734" s="2" t="s">
        <v>44</v>
      </c>
      <c r="S734" s="2"/>
      <c r="T734" s="2">
        <f t="shared" si="247"/>
        <v>2</v>
      </c>
      <c r="U734" s="18">
        <f t="shared" si="248"/>
        <v>7</v>
      </c>
      <c r="V734" s="18">
        <f t="shared" si="249"/>
        <v>2025</v>
      </c>
      <c r="W734" s="18">
        <f t="shared" si="250"/>
        <v>9</v>
      </c>
      <c r="X734" s="18">
        <f t="shared" si="251"/>
        <v>2025</v>
      </c>
      <c r="Y734" s="2">
        <f t="shared" si="244"/>
        <v>0.73092809278852777</v>
      </c>
      <c r="Z734" t="str">
        <f t="shared" si="245"/>
        <v>SO17494</v>
      </c>
      <c r="AA734" s="11">
        <f t="shared" si="252"/>
        <v>45849.710625</v>
      </c>
      <c r="AB734" s="5" t="str">
        <f t="shared" si="253"/>
        <v>INV13245</v>
      </c>
      <c r="AC734" s="5" t="str">
        <f>IFERROR(VLOOKUP(D734,CAARStatus!$A$2:$AA$1600,22,FALSE),"Not invoiced")</f>
        <v>Paid</v>
      </c>
      <c r="AD734" s="11">
        <f>IF(AC734="Paid",IFERROR(VLOOKUP(D734,CAARStatus!$A$2:$AA$1600,6,FALSE),"Pending"),"Pending")</f>
        <v>45912</v>
      </c>
      <c r="AE734" s="5" t="str">
        <f t="shared" si="254"/>
        <v>PO-40-1016782</v>
      </c>
      <c r="AF734" s="5" t="str">
        <f t="shared" si="255"/>
        <v>Canadian Bearings Ltd.</v>
      </c>
      <c r="AG734" s="5" t="str">
        <f t="shared" si="256"/>
        <v>CAD</v>
      </c>
      <c r="AH734" s="5">
        <f t="shared" si="257"/>
        <v>3159.68</v>
      </c>
      <c r="AI734" s="12">
        <f>IF(L734-N734=0,VLOOKUP(U734,rate!A$4:B$15,2,FALSE)*AH734,IF(AG734="USD",O734,AH734*Y734))</f>
        <v>2309.4988762220555</v>
      </c>
      <c r="AJ734" s="13">
        <f t="shared" si="258"/>
        <v>0.73092809278852788</v>
      </c>
      <c r="AK734" s="61">
        <f>IF(AC734="Paid",-IF(AG734="CAD",IFERROR(VLOOKUP(D734,CAARStatus!$A$1:$Y$1600,16,FALSE),0),0),0)</f>
        <v>-110.83</v>
      </c>
      <c r="AL734" s="61">
        <f>IF(AC734="Paid",-IF(AG734="USD",IFERROR(VLOOKUP(D734,CAARStatus!$A$1:$Y$1600,11,FALSE),0),0),0)</f>
        <v>0</v>
      </c>
      <c r="AM734" s="22">
        <f t="shared" si="259"/>
        <v>3048.85</v>
      </c>
      <c r="AN734" s="12" t="str">
        <f t="shared" si="260"/>
        <v/>
      </c>
      <c r="AO734" s="12" t="str">
        <f t="shared" si="261"/>
        <v>Yes</v>
      </c>
      <c r="AP734" t="str">
        <f t="shared" si="246"/>
        <v>XX</v>
      </c>
      <c r="AQ734" t="str">
        <f>IFERROR(VLOOKUP(Z734,InvBal!$L$4:$P$600,4,FALSE),"Pend")</f>
        <v>Yes</v>
      </c>
      <c r="AR734" t="str">
        <f>IFERROR(VLOOKUP(D734,Manual!$C$1:$E$22,2,FALSE),"Pend")</f>
        <v>Pend</v>
      </c>
      <c r="AS734" t="str">
        <f t="shared" si="262"/>
        <v>Yes</v>
      </c>
      <c r="AT734" t="str">
        <f t="shared" si="263"/>
        <v>Yes</v>
      </c>
      <c r="AU734" s="51" t="str">
        <f t="shared" si="264"/>
        <v>Yes</v>
      </c>
      <c r="AV734" s="12">
        <f>IFERROR(VLOOKUP(D734,'Receivable Invoice Detail'!$S$1:$U$3014,3,FALSE),0)</f>
        <v>0</v>
      </c>
      <c r="AW734" s="12">
        <f t="shared" si="265"/>
        <v>2309.4988762220555</v>
      </c>
    </row>
    <row r="735" spans="1:49" x14ac:dyDescent="0.25">
      <c r="A735" s="2"/>
      <c r="B735" s="2"/>
      <c r="C735" s="2"/>
      <c r="D735" s="2" t="s">
        <v>2965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f t="shared" si="247"/>
        <v>2</v>
      </c>
      <c r="U735" s="18">
        <f t="shared" si="248"/>
        <v>7</v>
      </c>
      <c r="V735" s="18">
        <f t="shared" si="249"/>
        <v>2025</v>
      </c>
      <c r="W735" s="18">
        <f t="shared" si="250"/>
        <v>10</v>
      </c>
      <c r="X735" s="18">
        <f t="shared" si="251"/>
        <v>2025</v>
      </c>
      <c r="Y735" s="2">
        <f t="shared" si="244"/>
        <v>0.73092809278852777</v>
      </c>
      <c r="Z735" t="str">
        <f t="shared" si="245"/>
        <v>SO17494</v>
      </c>
      <c r="AA735" s="11">
        <f t="shared" si="252"/>
        <v>45849.710625</v>
      </c>
      <c r="AB735" s="5" t="str">
        <f t="shared" si="253"/>
        <v>INV13382</v>
      </c>
      <c r="AC735" s="5" t="str">
        <f>IFERROR(VLOOKUP(D735,CAARStatus!$A$2:$AA$1600,22,FALSE),"Not invoiced")</f>
        <v>Paid</v>
      </c>
      <c r="AD735" s="11">
        <f>IF(AC735="Paid",IFERROR(VLOOKUP(D735,CAARStatus!$A$2:$AA$1600,6,FALSE),"Pending"),"Pending")</f>
        <v>45940</v>
      </c>
      <c r="AE735" s="5" t="str">
        <f t="shared" si="254"/>
        <v>PO-40-1016782</v>
      </c>
      <c r="AF735" s="5" t="str">
        <f t="shared" si="255"/>
        <v>Canadian Bearings Ltd.</v>
      </c>
      <c r="AG735" s="5" t="str">
        <f t="shared" si="256"/>
        <v>CAD</v>
      </c>
      <c r="AH735" s="5">
        <f t="shared" si="257"/>
        <v>0</v>
      </c>
      <c r="AI735" s="12">
        <f>IF(L735-N735=0,VLOOKUP(U735,rate!A$4:B$15,2,FALSE)*AH735,IF(AG735="USD",O735,AH735*Y735))</f>
        <v>0</v>
      </c>
      <c r="AJ735" s="13">
        <f t="shared" si="258"/>
        <v>0</v>
      </c>
      <c r="AK735" s="61">
        <f>IF(AC735="Paid",-IF(AG735="CAD",IFERROR(VLOOKUP(D735,CAARStatus!$A$1:$Y$1600,16,FALSE),0),0),0)</f>
        <v>-3048.85</v>
      </c>
      <c r="AL735" s="61">
        <f>IF(AC735="Paid",-IF(AG735="USD",IFERROR(VLOOKUP(D735,CAARStatus!$A$1:$Y$1600,11,FALSE),0),0),0)</f>
        <v>0</v>
      </c>
      <c r="AM735" s="22">
        <f t="shared" si="259"/>
        <v>-3048.85</v>
      </c>
      <c r="AN735" s="12" t="str">
        <f t="shared" si="260"/>
        <v/>
      </c>
      <c r="AO735" s="12" t="str">
        <f t="shared" si="261"/>
        <v>Yes</v>
      </c>
      <c r="AP735" t="str">
        <f t="shared" si="246"/>
        <v>XX</v>
      </c>
      <c r="AQ735" t="str">
        <f>IFERROR(VLOOKUP(Z735,InvBal!$L$4:$P$600,4,FALSE),"Pend")</f>
        <v>Yes</v>
      </c>
      <c r="AR735" t="str">
        <f>IFERROR(VLOOKUP(D735,Manual!$C$1:$E$22,2,FALSE),"Pend")</f>
        <v>Pend</v>
      </c>
      <c r="AS735" t="str">
        <f t="shared" si="262"/>
        <v>Yes</v>
      </c>
      <c r="AT735" t="str">
        <f t="shared" si="263"/>
        <v/>
      </c>
      <c r="AU735" s="51" t="str">
        <f t="shared" si="264"/>
        <v/>
      </c>
      <c r="AV735" s="12">
        <f>IFERROR(VLOOKUP(D735,'Receivable Invoice Detail'!$S$1:$U$3014,3,FALSE),0)</f>
        <v>0</v>
      </c>
      <c r="AW735" s="12">
        <f t="shared" si="265"/>
        <v>0</v>
      </c>
    </row>
    <row r="736" spans="1:49" ht="30" x14ac:dyDescent="0.25">
      <c r="A736" s="2">
        <v>2</v>
      </c>
      <c r="B736" s="2" t="s">
        <v>1052</v>
      </c>
      <c r="C736" s="2" t="s">
        <v>1053</v>
      </c>
      <c r="D736" s="2" t="s">
        <v>2969</v>
      </c>
      <c r="E736" s="2" t="s">
        <v>129</v>
      </c>
      <c r="F736" s="3">
        <v>45849.780451388891</v>
      </c>
      <c r="G736" s="3">
        <v>45849.780335648153</v>
      </c>
      <c r="H736" s="4">
        <v>45912</v>
      </c>
      <c r="I736" s="2" t="s">
        <v>130</v>
      </c>
      <c r="J736" s="2" t="s">
        <v>51</v>
      </c>
      <c r="K736" s="2">
        <v>0.73014138500527581</v>
      </c>
      <c r="L736" s="2">
        <v>15706.54702707632</v>
      </c>
      <c r="M736" s="2">
        <v>0</v>
      </c>
      <c r="N736" s="2">
        <v>11468</v>
      </c>
      <c r="O736" s="2">
        <v>11468</v>
      </c>
      <c r="P736" s="2"/>
      <c r="Q736" s="2">
        <v>11468</v>
      </c>
      <c r="R736" s="2" t="s">
        <v>44</v>
      </c>
      <c r="S736" s="2"/>
      <c r="T736" s="2">
        <f t="shared" si="247"/>
        <v>2</v>
      </c>
      <c r="U736" s="18">
        <f t="shared" si="248"/>
        <v>7</v>
      </c>
      <c r="V736" s="18">
        <f t="shared" si="249"/>
        <v>2025</v>
      </c>
      <c r="W736" s="18" t="str">
        <f t="shared" si="250"/>
        <v/>
      </c>
      <c r="X736" s="18" t="str">
        <f t="shared" si="251"/>
        <v/>
      </c>
      <c r="Y736" s="2">
        <f t="shared" si="244"/>
        <v>0.7301413850052757</v>
      </c>
      <c r="Z736" t="str">
        <f t="shared" si="245"/>
        <v>SO17496</v>
      </c>
      <c r="AA736" s="11">
        <f t="shared" si="252"/>
        <v>45849.780451388891</v>
      </c>
      <c r="AB736" s="5" t="str">
        <f t="shared" si="253"/>
        <v>INV13682</v>
      </c>
      <c r="AC736" s="5" t="str">
        <f>IFERROR(VLOOKUP(D736,CAARStatus!$A$2:$AA$1600,22,FALSE),"Not invoiced")</f>
        <v>Approved</v>
      </c>
      <c r="AD736" s="11" t="str">
        <f>IF(AC736="Paid",IFERROR(VLOOKUP(D736,CAARStatus!$A$2:$AA$1600,6,FALSE),"Pending"),"Pending")</f>
        <v>Pending</v>
      </c>
      <c r="AE736" s="5" t="str">
        <f t="shared" si="254"/>
        <v>OC00181</v>
      </c>
      <c r="AF736" s="5" t="str">
        <f t="shared" si="255"/>
        <v>Dynapro Pumps México S de RL de CV</v>
      </c>
      <c r="AG736" s="5" t="str">
        <f t="shared" si="256"/>
        <v>USD</v>
      </c>
      <c r="AH736" s="5">
        <f t="shared" si="257"/>
        <v>15706.547027076318</v>
      </c>
      <c r="AI736" s="12">
        <f>IF(L736-N736=0,VLOOKUP(U736,rate!A$4:B$15,2,FALSE)*AH736,IF(AG736="USD",O736,AH736*Y736))</f>
        <v>11468</v>
      </c>
      <c r="AJ736" s="13">
        <f t="shared" si="258"/>
        <v>0.73014138500527581</v>
      </c>
      <c r="AK736" s="13">
        <f>-IF(AG736="CAD",IFERROR(VLOOKUP(D736,CAARStatus!$A$1:$Y$1600,16,FALSE),0),0)</f>
        <v>0</v>
      </c>
      <c r="AL736" s="13">
        <f>-IF(AG736="USD",IFERROR(VLOOKUP(D736,CAARStatus!$A$1:$Y$1600,11,FALSE),0),0)</f>
        <v>-11042</v>
      </c>
      <c r="AM736" s="22" t="str">
        <f t="shared" si="259"/>
        <v/>
      </c>
      <c r="AN736" s="12">
        <f t="shared" si="260"/>
        <v>426</v>
      </c>
      <c r="AO736" s="12" t="str">
        <f t="shared" si="261"/>
        <v>Pend</v>
      </c>
      <c r="AP736" t="str">
        <f t="shared" si="246"/>
        <v>XX</v>
      </c>
      <c r="AQ736" t="str">
        <f>IFERROR(VLOOKUP(Z736,InvBal!$L$4:$P$600,4,FALSE),"Pend")</f>
        <v>Yes</v>
      </c>
      <c r="AR736" t="str">
        <f>IFERROR(VLOOKUP(D736,Manual!$C$1:$E$22,2,FALSE),"Pend")</f>
        <v>Pend</v>
      </c>
      <c r="AS736" t="str">
        <f t="shared" si="262"/>
        <v>Yes</v>
      </c>
      <c r="AT736" t="str">
        <f t="shared" si="263"/>
        <v>Yes</v>
      </c>
      <c r="AU736" s="51" t="str">
        <f t="shared" si="264"/>
        <v>Yes</v>
      </c>
      <c r="AV736" s="12">
        <f>IFERROR(VLOOKUP(D736,'Receivable Invoice Detail'!$S$1:$U$3014,3,FALSE),0)</f>
        <v>0</v>
      </c>
      <c r="AW736" s="12">
        <f t="shared" si="265"/>
        <v>11468</v>
      </c>
    </row>
    <row r="737" spans="1:49" x14ac:dyDescent="0.25">
      <c r="A737" s="2"/>
      <c r="B737" s="2"/>
      <c r="C737" s="2"/>
      <c r="D737" s="2" t="s">
        <v>2968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f t="shared" si="247"/>
        <v>2</v>
      </c>
      <c r="U737" s="18">
        <f t="shared" si="248"/>
        <v>7</v>
      </c>
      <c r="V737" s="18">
        <f t="shared" si="249"/>
        <v>2025</v>
      </c>
      <c r="W737" s="18" t="str">
        <f t="shared" si="250"/>
        <v/>
      </c>
      <c r="X737" s="18" t="str">
        <f t="shared" si="251"/>
        <v/>
      </c>
      <c r="Y737" s="2">
        <f t="shared" si="244"/>
        <v>0.7301413850052757</v>
      </c>
      <c r="Z737" t="str">
        <f t="shared" si="245"/>
        <v>SO17496</v>
      </c>
      <c r="AA737" s="11">
        <f t="shared" si="252"/>
        <v>45849.780451388891</v>
      </c>
      <c r="AB737" s="5" t="str">
        <f t="shared" si="253"/>
        <v>INV13369</v>
      </c>
      <c r="AC737" s="5" t="str">
        <f>IFERROR(VLOOKUP(D737,CAARStatus!$A$2:$AA$1600,22,FALSE),"Not invoiced")</f>
        <v>Approved</v>
      </c>
      <c r="AD737" s="11" t="str">
        <f>IF(AC737="Paid",IFERROR(VLOOKUP(D737,CAARStatus!$A$2:$AA$1600,6,FALSE),"Pending"),"Pending")</f>
        <v>Pending</v>
      </c>
      <c r="AE737" s="5" t="str">
        <f t="shared" si="254"/>
        <v>OC00181</v>
      </c>
      <c r="AF737" s="5" t="str">
        <f t="shared" si="255"/>
        <v>Dynapro Pumps México S de RL de CV</v>
      </c>
      <c r="AG737" s="5" t="str">
        <f t="shared" si="256"/>
        <v>USD</v>
      </c>
      <c r="AH737" s="5">
        <f t="shared" si="257"/>
        <v>0</v>
      </c>
      <c r="AI737" s="12">
        <f>IF(L737-N737=0,VLOOKUP(U737,rate!A$4:B$15,2,FALSE)*AH737,IF(AG737="USD",O737,AH737*Y737))</f>
        <v>0</v>
      </c>
      <c r="AJ737" s="13">
        <f t="shared" si="258"/>
        <v>0</v>
      </c>
      <c r="AK737" s="13">
        <f>-IF(AG737="CAD",IFERROR(VLOOKUP(D737,CAARStatus!$A$1:$Y$1600,16,FALSE),0),0)</f>
        <v>0</v>
      </c>
      <c r="AL737" s="13">
        <f>-IF(AG737="USD",IFERROR(VLOOKUP(D737,CAARStatus!$A$1:$Y$1600,11,FALSE),0),0)</f>
        <v>-426</v>
      </c>
      <c r="AM737" s="22" t="str">
        <f t="shared" si="259"/>
        <v/>
      </c>
      <c r="AN737" s="12">
        <f t="shared" si="260"/>
        <v>-426</v>
      </c>
      <c r="AO737" s="12" t="str">
        <f t="shared" si="261"/>
        <v>Pend</v>
      </c>
      <c r="AP737" t="str">
        <f t="shared" si="246"/>
        <v>XX</v>
      </c>
      <c r="AQ737" t="str">
        <f>IFERROR(VLOOKUP(Z737,InvBal!$L$4:$P$600,4,FALSE),"Pend")</f>
        <v>Yes</v>
      </c>
      <c r="AR737" t="str">
        <f>IFERROR(VLOOKUP(D737,Manual!$C$1:$E$22,2,FALSE),"Pend")</f>
        <v>Pend</v>
      </c>
      <c r="AS737" t="str">
        <f t="shared" si="262"/>
        <v>Yes</v>
      </c>
      <c r="AT737" t="str">
        <f t="shared" si="263"/>
        <v/>
      </c>
      <c r="AU737" s="51" t="str">
        <f t="shared" si="264"/>
        <v/>
      </c>
      <c r="AV737" s="12">
        <f>IFERROR(VLOOKUP(D737,'Receivable Invoice Detail'!$S$1:$U$3014,3,FALSE),0)</f>
        <v>0</v>
      </c>
      <c r="AW737" s="12">
        <f t="shared" si="265"/>
        <v>0</v>
      </c>
    </row>
    <row r="738" spans="1:49" ht="30" x14ac:dyDescent="0.25">
      <c r="A738" s="2">
        <v>1</v>
      </c>
      <c r="B738" s="2" t="s">
        <v>1050</v>
      </c>
      <c r="C738" s="2" t="s">
        <v>1051</v>
      </c>
      <c r="D738" s="2" t="s">
        <v>2970</v>
      </c>
      <c r="E738" s="2" t="s">
        <v>714</v>
      </c>
      <c r="F738" s="3">
        <v>45852.359965277778</v>
      </c>
      <c r="G738" s="3">
        <v>45852.361273148148</v>
      </c>
      <c r="H738" s="4">
        <v>45945</v>
      </c>
      <c r="I738" s="2" t="s">
        <v>21</v>
      </c>
      <c r="J738" s="2" t="s">
        <v>51</v>
      </c>
      <c r="K738" s="2">
        <v>0.73030448566452189</v>
      </c>
      <c r="L738" s="2">
        <v>0</v>
      </c>
      <c r="M738" s="2">
        <v>0</v>
      </c>
      <c r="N738" s="2">
        <v>0</v>
      </c>
      <c r="O738" s="2"/>
      <c r="P738" s="2"/>
      <c r="Q738" s="2"/>
      <c r="R738" s="2" t="s">
        <v>44</v>
      </c>
      <c r="S738" s="2"/>
      <c r="T738" s="2">
        <f t="shared" si="247"/>
        <v>1</v>
      </c>
      <c r="U738" s="18">
        <f t="shared" si="248"/>
        <v>7</v>
      </c>
      <c r="V738" s="18">
        <f t="shared" si="249"/>
        <v>2025</v>
      </c>
      <c r="W738" s="18">
        <f t="shared" si="250"/>
        <v>1</v>
      </c>
      <c r="X738" s="18">
        <f t="shared" si="251"/>
        <v>1900</v>
      </c>
      <c r="Y738" s="2" t="e">
        <f t="shared" si="244"/>
        <v>#DIV/0!</v>
      </c>
      <c r="Z738" t="str">
        <f t="shared" si="245"/>
        <v>SO17497</v>
      </c>
      <c r="AA738" s="11">
        <f t="shared" si="252"/>
        <v>45852.359965277778</v>
      </c>
      <c r="AB738" s="5" t="str">
        <f t="shared" si="253"/>
        <v>INV13352</v>
      </c>
      <c r="AC738" s="5" t="str">
        <f>IFERROR(VLOOKUP(D738,CAARStatus!$A$2:$AA$1600,22,FALSE),"Not invoiced")</f>
        <v>Paid</v>
      </c>
      <c r="AD738" s="11">
        <f>IF(AC738="Paid",IFERROR(VLOOKUP(D738,CAARStatus!$A$2:$AA$1600,6,FALSE),"Pending"),"Pending")</f>
        <v>0</v>
      </c>
      <c r="AE738" s="5" t="str">
        <f t="shared" si="254"/>
        <v>S306876 Replacement</v>
      </c>
      <c r="AF738" s="5" t="str">
        <f t="shared" si="255"/>
        <v>Kumtor Gold Company</v>
      </c>
      <c r="AG738" s="5" t="str">
        <f t="shared" si="256"/>
        <v>USD</v>
      </c>
      <c r="AH738" s="5">
        <f t="shared" si="257"/>
        <v>0</v>
      </c>
      <c r="AI738" s="12">
        <f>IF(L738-N738=0,VLOOKUP(U738,rate!A$4:B$15,2,FALSE)*AH738,IF(AG738="USD",O738,AH738*Y738))</f>
        <v>0</v>
      </c>
      <c r="AJ738" s="13">
        <f t="shared" si="258"/>
        <v>0</v>
      </c>
      <c r="AK738" s="13">
        <f>-IF(AG738="CAD",IFERROR(VLOOKUP(D738,CAARStatus!$A$1:$Y$1600,16,FALSE),0),0)</f>
        <v>0</v>
      </c>
      <c r="AL738" s="13">
        <f>-IF(AG738="USD",IFERROR(VLOOKUP(D738,CAARStatus!$A$1:$Y$1600,11,FALSE),0),0)</f>
        <v>0</v>
      </c>
      <c r="AM738" s="22" t="str">
        <f t="shared" si="259"/>
        <v/>
      </c>
      <c r="AN738" s="12">
        <f t="shared" si="260"/>
        <v>0</v>
      </c>
      <c r="AO738" s="12" t="str">
        <f t="shared" si="261"/>
        <v>Yes</v>
      </c>
      <c r="AP738" t="str">
        <f t="shared" si="246"/>
        <v>Yes</v>
      </c>
      <c r="AQ738" t="str">
        <f>IFERROR(VLOOKUP(Z738,InvBal!$L$4:$P$600,4,FALSE),"Pend")</f>
        <v>Pend</v>
      </c>
      <c r="AR738" t="str">
        <f>IFERROR(VLOOKUP(D738,Manual!$C$1:$E$22,2,FALSE),"Pend")</f>
        <v>Pend</v>
      </c>
      <c r="AS738" t="str">
        <f t="shared" si="262"/>
        <v>Yes</v>
      </c>
      <c r="AT738" t="str">
        <f t="shared" si="263"/>
        <v>Yes</v>
      </c>
      <c r="AU738" s="51" t="str">
        <f t="shared" si="264"/>
        <v>Yes</v>
      </c>
      <c r="AV738" s="12">
        <f>IFERROR(VLOOKUP(D738,'Receivable Invoice Detail'!$S$1:$U$3014,3,FALSE),0)</f>
        <v>0</v>
      </c>
      <c r="AW738" s="12">
        <f t="shared" si="265"/>
        <v>0</v>
      </c>
    </row>
    <row r="739" spans="1:49" ht="30" x14ac:dyDescent="0.25">
      <c r="A739" s="2">
        <v>2</v>
      </c>
      <c r="B739" s="2" t="s">
        <v>999</v>
      </c>
      <c r="C739" s="2" t="s">
        <v>1000</v>
      </c>
      <c r="D739" s="2" t="s">
        <v>3001</v>
      </c>
      <c r="E739" s="2" t="s">
        <v>684</v>
      </c>
      <c r="F739" s="3">
        <v>45852.793414351851</v>
      </c>
      <c r="G739" s="3">
        <v>45856.597650462973</v>
      </c>
      <c r="H739" s="4">
        <v>45881</v>
      </c>
      <c r="I739" s="2" t="s">
        <v>36</v>
      </c>
      <c r="J739" s="2" t="s">
        <v>22</v>
      </c>
      <c r="K739" s="2">
        <v>1</v>
      </c>
      <c r="L739" s="2">
        <v>3957.98</v>
      </c>
      <c r="M739" s="2">
        <v>0</v>
      </c>
      <c r="N739" s="2">
        <v>2886.151089328157</v>
      </c>
      <c r="O739" s="2">
        <v>3769.5</v>
      </c>
      <c r="P739" s="2">
        <v>188.48</v>
      </c>
      <c r="Q739" s="2">
        <v>3957.98</v>
      </c>
      <c r="R739" s="2" t="s">
        <v>44</v>
      </c>
      <c r="S739" s="2"/>
      <c r="T739" s="2">
        <f t="shared" si="247"/>
        <v>2</v>
      </c>
      <c r="U739" s="18">
        <f t="shared" si="248"/>
        <v>7</v>
      </c>
      <c r="V739" s="18">
        <f t="shared" si="249"/>
        <v>2025</v>
      </c>
      <c r="W739" s="18">
        <f t="shared" si="250"/>
        <v>9</v>
      </c>
      <c r="X739" s="18">
        <f t="shared" si="251"/>
        <v>2025</v>
      </c>
      <c r="Y739" s="2">
        <f t="shared" si="244"/>
        <v>0.72919799729360857</v>
      </c>
      <c r="Z739" t="str">
        <f t="shared" si="245"/>
        <v>SO17506</v>
      </c>
      <c r="AA739" s="11">
        <f t="shared" si="252"/>
        <v>45852.793414351851</v>
      </c>
      <c r="AB739" s="5" t="str">
        <f t="shared" si="253"/>
        <v>INV13210</v>
      </c>
      <c r="AC739" s="5" t="str">
        <f>IFERROR(VLOOKUP(D739,CAARStatus!$A$2:$AA$1600,22,FALSE),"Not invoiced")</f>
        <v>Paid</v>
      </c>
      <c r="AD739" s="11">
        <f>IF(AC739="Paid",IFERROR(VLOOKUP(D739,CAARStatus!$A$2:$AA$1600,6,FALSE),"Pending"),"Pending")</f>
        <v>45919</v>
      </c>
      <c r="AE739" s="5" t="str">
        <f t="shared" si="254"/>
        <v>4500605118</v>
      </c>
      <c r="AF739" s="5" t="str">
        <f t="shared" si="255"/>
        <v>Resolute Forest Products - Fibrek</v>
      </c>
      <c r="AG739" s="5" t="str">
        <f t="shared" si="256"/>
        <v>CAD</v>
      </c>
      <c r="AH739" s="5">
        <f t="shared" si="257"/>
        <v>3769.5</v>
      </c>
      <c r="AI739" s="12">
        <f>IF(L739-N739=0,VLOOKUP(U739,rate!A$4:B$15,2,FALSE)*AH739,IF(AG739="USD",O739,AH739*Y739))</f>
        <v>2748.7118507982573</v>
      </c>
      <c r="AJ739" s="13">
        <f t="shared" si="258"/>
        <v>0.72919799729360846</v>
      </c>
      <c r="AK739" s="13">
        <f>-IF(AG739="CAD",IFERROR(VLOOKUP(D739,CAARStatus!$A$1:$Y$1600,16,FALSE),0),0)</f>
        <v>-1566.52</v>
      </c>
      <c r="AL739" s="13">
        <f>-IF(AG739="USD",IFERROR(VLOOKUP(D739,CAARStatus!$A$1:$Y$1600,11,FALSE),0),0)</f>
        <v>0</v>
      </c>
      <c r="AM739" s="22">
        <f t="shared" si="259"/>
        <v>2202.98</v>
      </c>
      <c r="AN739" s="12" t="str">
        <f t="shared" si="260"/>
        <v/>
      </c>
      <c r="AO739" s="12" t="str">
        <f t="shared" si="261"/>
        <v>Yes</v>
      </c>
      <c r="AP739" t="str">
        <f t="shared" si="246"/>
        <v>XX</v>
      </c>
      <c r="AQ739" t="str">
        <f>IFERROR(VLOOKUP(Z739,InvBal!$L$4:$P$600,4,FALSE),"Pend")</f>
        <v>Yes</v>
      </c>
      <c r="AR739" t="str">
        <f>IFERROR(VLOOKUP(D739,Manual!$C$1:$E$22,2,FALSE),"Pend")</f>
        <v>Pend</v>
      </c>
      <c r="AS739" t="str">
        <f t="shared" si="262"/>
        <v>Yes</v>
      </c>
      <c r="AT739" t="str">
        <f t="shared" si="263"/>
        <v>Yes</v>
      </c>
      <c r="AU739" s="51" t="str">
        <f t="shared" si="264"/>
        <v>Yes</v>
      </c>
      <c r="AV739" s="12">
        <f>IFERROR(VLOOKUP(D739,'Receivable Invoice Detail'!$S$1:$U$3014,3,FALSE),0)</f>
        <v>0</v>
      </c>
      <c r="AW739" s="12">
        <f t="shared" si="265"/>
        <v>2748.7118507982573</v>
      </c>
    </row>
    <row r="740" spans="1:49" x14ac:dyDescent="0.25">
      <c r="A740" s="2"/>
      <c r="B740" s="2"/>
      <c r="C740" s="2"/>
      <c r="D740" s="2" t="s">
        <v>3000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>
        <f t="shared" si="247"/>
        <v>2</v>
      </c>
      <c r="U740" s="18">
        <f t="shared" si="248"/>
        <v>7</v>
      </c>
      <c r="V740" s="18">
        <f t="shared" si="249"/>
        <v>2025</v>
      </c>
      <c r="W740" s="18">
        <f t="shared" si="250"/>
        <v>9</v>
      </c>
      <c r="X740" s="18">
        <f t="shared" si="251"/>
        <v>2025</v>
      </c>
      <c r="Y740" s="2">
        <f t="shared" si="244"/>
        <v>0.72919799729360857</v>
      </c>
      <c r="Z740" t="str">
        <f t="shared" si="245"/>
        <v>SO17506</v>
      </c>
      <c r="AA740" s="11">
        <f t="shared" si="252"/>
        <v>45852.793414351851</v>
      </c>
      <c r="AB740" s="5" t="str">
        <f t="shared" si="253"/>
        <v>INV13233</v>
      </c>
      <c r="AC740" s="5" t="str">
        <f>IFERROR(VLOOKUP(D740,CAARStatus!$A$2:$AA$1600,22,FALSE),"Not invoiced")</f>
        <v>Paid</v>
      </c>
      <c r="AD740" s="11">
        <f>IF(AC740="Paid",IFERROR(VLOOKUP(D740,CAARStatus!$A$2:$AA$1600,6,FALSE),"Pending"),"Pending")</f>
        <v>45925</v>
      </c>
      <c r="AE740" s="5" t="str">
        <f t="shared" si="254"/>
        <v>4500605118</v>
      </c>
      <c r="AF740" s="5" t="str">
        <f t="shared" si="255"/>
        <v>Resolute Forest Products - Fibrek</v>
      </c>
      <c r="AG740" s="5" t="str">
        <f t="shared" si="256"/>
        <v>CAD</v>
      </c>
      <c r="AH740" s="5">
        <f t="shared" si="257"/>
        <v>0</v>
      </c>
      <c r="AI740" s="12">
        <f>IF(L740-N740=0,VLOOKUP(U740,rate!A$4:B$15,2,FALSE)*AH740,IF(AG740="USD",O740,AH740*Y740))</f>
        <v>0</v>
      </c>
      <c r="AJ740" s="13">
        <f t="shared" si="258"/>
        <v>0</v>
      </c>
      <c r="AK740" s="61">
        <f>IF(AC740="Paid",-IF(AG740="CAD",IFERROR(VLOOKUP(D740,CAARStatus!$A$1:$Y$1600,16,FALSE),0),0),0)</f>
        <v>-2202.98</v>
      </c>
      <c r="AL740" s="61">
        <f>IF(AC740="Paid",-IF(AG740="USD",IFERROR(VLOOKUP(D740,CAARStatus!$A$1:$Y$1600,11,FALSE),0),0),0)</f>
        <v>0</v>
      </c>
      <c r="AM740" s="22">
        <f t="shared" si="259"/>
        <v>-2202.98</v>
      </c>
      <c r="AN740" s="12" t="str">
        <f t="shared" si="260"/>
        <v/>
      </c>
      <c r="AO740" s="12" t="str">
        <f t="shared" si="261"/>
        <v>Yes</v>
      </c>
      <c r="AP740" t="str">
        <f t="shared" si="246"/>
        <v>XX</v>
      </c>
      <c r="AQ740" t="str">
        <f>IFERROR(VLOOKUP(Z740,InvBal!$L$4:$P$600,4,FALSE),"Pend")</f>
        <v>Yes</v>
      </c>
      <c r="AR740" t="str">
        <f>IFERROR(VLOOKUP(D740,Manual!$C$1:$E$22,2,FALSE),"Pend")</f>
        <v>Pend</v>
      </c>
      <c r="AS740" t="str">
        <f t="shared" si="262"/>
        <v>Yes</v>
      </c>
      <c r="AT740" t="str">
        <f t="shared" si="263"/>
        <v/>
      </c>
      <c r="AU740" s="51" t="str">
        <f t="shared" si="264"/>
        <v/>
      </c>
      <c r="AV740" s="12">
        <f>IFERROR(VLOOKUP(D740,'Receivable Invoice Detail'!$S$1:$U$3014,3,FALSE),0)</f>
        <v>0</v>
      </c>
      <c r="AW740" s="12">
        <f t="shared" si="265"/>
        <v>0</v>
      </c>
    </row>
    <row r="741" spans="1:49" ht="30" x14ac:dyDescent="0.25">
      <c r="A741" s="2">
        <v>1</v>
      </c>
      <c r="B741" s="2" t="s">
        <v>1019</v>
      </c>
      <c r="C741" s="2" t="s">
        <v>1020</v>
      </c>
      <c r="D741" s="2" t="s">
        <v>2986</v>
      </c>
      <c r="E741" s="2" t="s">
        <v>98</v>
      </c>
      <c r="F741" s="3">
        <v>45853.377106481479</v>
      </c>
      <c r="G741" s="3">
        <v>45854.618645833332</v>
      </c>
      <c r="H741" s="4">
        <v>45874</v>
      </c>
      <c r="I741" s="2" t="s">
        <v>40</v>
      </c>
      <c r="J741" s="2" t="s">
        <v>22</v>
      </c>
      <c r="K741" s="2">
        <v>1</v>
      </c>
      <c r="L741" s="2">
        <v>2081.71</v>
      </c>
      <c r="M741" s="2">
        <v>2081.71</v>
      </c>
      <c r="N741" s="2">
        <v>2081.71</v>
      </c>
      <c r="O741" s="2">
        <v>1842.22</v>
      </c>
      <c r="P741" s="2">
        <v>239.49</v>
      </c>
      <c r="Q741" s="2">
        <v>2081.71</v>
      </c>
      <c r="R741" s="2" t="s">
        <v>44</v>
      </c>
      <c r="S741" s="2"/>
      <c r="T741" s="2">
        <f t="shared" si="247"/>
        <v>1</v>
      </c>
      <c r="U741" s="18">
        <f t="shared" si="248"/>
        <v>7</v>
      </c>
      <c r="V741" s="18">
        <f t="shared" si="249"/>
        <v>2025</v>
      </c>
      <c r="W741" s="18">
        <f t="shared" si="250"/>
        <v>10</v>
      </c>
      <c r="X741" s="18">
        <f t="shared" si="251"/>
        <v>2025</v>
      </c>
      <c r="Y741" s="2">
        <f t="shared" si="244"/>
        <v>1</v>
      </c>
      <c r="Z741" t="str">
        <f t="shared" si="245"/>
        <v>SO17507</v>
      </c>
      <c r="AA741" s="11">
        <f t="shared" si="252"/>
        <v>45853.377106481479</v>
      </c>
      <c r="AB741" s="5" t="str">
        <f t="shared" si="253"/>
        <v>INV13329</v>
      </c>
      <c r="AC741" s="5" t="str">
        <f>IFERROR(VLOOKUP(D741,CAARStatus!$A$2:$AA$1600,22,FALSE),"Not invoiced")</f>
        <v>Paid</v>
      </c>
      <c r="AD741" s="11">
        <f>IF(AC741="Paid",IFERROR(VLOOKUP(D741,CAARStatus!$A$2:$AA$1600,6,FALSE),"Pending"),"Pending")</f>
        <v>45931</v>
      </c>
      <c r="AE741" s="5" t="str">
        <f t="shared" si="254"/>
        <v>PO-008114</v>
      </c>
      <c r="AF741" s="5" t="str">
        <f t="shared" si="255"/>
        <v>Sling-Choker Manufacturing - Timmins</v>
      </c>
      <c r="AG741" s="5" t="str">
        <f t="shared" si="256"/>
        <v>CAD</v>
      </c>
      <c r="AH741" s="5">
        <f t="shared" si="257"/>
        <v>1842.22</v>
      </c>
      <c r="AI741" s="12">
        <f>IF(L741-N741=0,VLOOKUP(U741,rate!A$4:B$15,2,FALSE)*AH741,IF(AG741="USD",O741,AH741*Y741))</f>
        <v>1344.0060891039877</v>
      </c>
      <c r="AJ741" s="13">
        <f t="shared" si="258"/>
        <v>0.72955786448089133</v>
      </c>
      <c r="AK741" s="13">
        <f>-IF(AG741="CAD",IFERROR(VLOOKUP(D741,CAARStatus!$A$1:$Y$1600,16,FALSE),0),0)</f>
        <v>-1842.22</v>
      </c>
      <c r="AL741" s="13">
        <f>-IF(AG741="USD",IFERROR(VLOOKUP(D741,CAARStatus!$A$1:$Y$1600,11,FALSE),0),0)</f>
        <v>0</v>
      </c>
      <c r="AM741" s="22">
        <f t="shared" si="259"/>
        <v>0</v>
      </c>
      <c r="AN741" s="12" t="str">
        <f t="shared" si="260"/>
        <v/>
      </c>
      <c r="AO741" s="12" t="str">
        <f t="shared" si="261"/>
        <v>Yes</v>
      </c>
      <c r="AP741" t="str">
        <f t="shared" si="246"/>
        <v>Yes</v>
      </c>
      <c r="AQ741" t="str">
        <f>IFERROR(VLOOKUP(Z741,InvBal!$L$4:$P$600,4,FALSE),"Pend")</f>
        <v>Pend</v>
      </c>
      <c r="AR741" t="str">
        <f>IFERROR(VLOOKUP(D741,Manual!$C$1:$E$22,2,FALSE),"Pend")</f>
        <v>Pend</v>
      </c>
      <c r="AS741" t="str">
        <f t="shared" si="262"/>
        <v>Yes</v>
      </c>
      <c r="AT741" t="str">
        <f t="shared" si="263"/>
        <v>Yes</v>
      </c>
      <c r="AU741" s="51" t="str">
        <f t="shared" si="264"/>
        <v>Yes</v>
      </c>
      <c r="AV741" s="12">
        <f>IFERROR(VLOOKUP(D741,'Receivable Invoice Detail'!$S$1:$U$3014,3,FALSE),0)</f>
        <v>0</v>
      </c>
      <c r="AW741" s="12">
        <f t="shared" si="265"/>
        <v>1344.0060891039877</v>
      </c>
    </row>
    <row r="742" spans="1:49" x14ac:dyDescent="0.25">
      <c r="A742" s="2">
        <v>3</v>
      </c>
      <c r="B742" s="2" t="s">
        <v>1033</v>
      </c>
      <c r="C742" s="2" t="s">
        <v>1034</v>
      </c>
      <c r="D742" s="2" t="s">
        <v>2979</v>
      </c>
      <c r="E742" s="2" t="s">
        <v>109</v>
      </c>
      <c r="F742" s="3">
        <v>45853.504062499997</v>
      </c>
      <c r="G742" s="3">
        <v>45853.511053240742</v>
      </c>
      <c r="H742" s="4">
        <v>45979</v>
      </c>
      <c r="I742" s="2" t="s">
        <v>21</v>
      </c>
      <c r="J742" s="2" t="s">
        <v>51</v>
      </c>
      <c r="K742" s="2">
        <v>0.73022664145869165</v>
      </c>
      <c r="L742" s="2">
        <v>29253.178105538071</v>
      </c>
      <c r="M742" s="2">
        <v>0</v>
      </c>
      <c r="N742" s="2">
        <v>21361.45</v>
      </c>
      <c r="O742" s="2">
        <v>21361.45</v>
      </c>
      <c r="P742" s="2"/>
      <c r="Q742" s="2">
        <v>21361.45</v>
      </c>
      <c r="R742" s="2" t="s">
        <v>44</v>
      </c>
      <c r="S742" s="2"/>
      <c r="T742" s="2">
        <f t="shared" si="247"/>
        <v>3</v>
      </c>
      <c r="U742" s="18">
        <f t="shared" si="248"/>
        <v>7</v>
      </c>
      <c r="V742" s="18">
        <f t="shared" si="249"/>
        <v>2025</v>
      </c>
      <c r="W742" s="18">
        <f t="shared" si="250"/>
        <v>12</v>
      </c>
      <c r="X742" s="18">
        <f t="shared" si="251"/>
        <v>2025</v>
      </c>
      <c r="Y742" s="2">
        <f t="shared" si="244"/>
        <v>0.73022664145869176</v>
      </c>
      <c r="Z742" t="str">
        <f t="shared" si="245"/>
        <v>SO17509</v>
      </c>
      <c r="AA742" s="11">
        <f t="shared" si="252"/>
        <v>45853.504062499997</v>
      </c>
      <c r="AB742" s="5" t="str">
        <f t="shared" si="253"/>
        <v>INV13671</v>
      </c>
      <c r="AC742" s="5" t="str">
        <f>IFERROR(VLOOKUP(D742,CAARStatus!$A$2:$AA$1600,22,FALSE),"Not invoiced")</f>
        <v>Paid</v>
      </c>
      <c r="AD742" s="11">
        <f>IF(AC742="Paid",IFERROR(VLOOKUP(D742,CAARStatus!$A$2:$AA$1600,6,FALSE),"Pending"),"Pending")</f>
        <v>46003</v>
      </c>
      <c r="AE742" s="5" t="str">
        <f t="shared" si="254"/>
        <v>3732</v>
      </c>
      <c r="AF742" s="5" t="str">
        <f t="shared" si="255"/>
        <v>Middle Georgia Fluid Sealing LLC</v>
      </c>
      <c r="AG742" s="5" t="str">
        <f t="shared" si="256"/>
        <v>USD</v>
      </c>
      <c r="AH742" s="5">
        <f t="shared" si="257"/>
        <v>29253.178105538074</v>
      </c>
      <c r="AI742" s="12">
        <f>IF(L742-N742=0,VLOOKUP(U742,rate!A$4:B$15,2,FALSE)*AH742,IF(AG742="USD",O742,AH742*Y742))</f>
        <v>21361.45</v>
      </c>
      <c r="AJ742" s="13">
        <f t="shared" si="258"/>
        <v>0.73022664145869165</v>
      </c>
      <c r="AK742" s="61">
        <f>IF(AC742="Paid",-IF(AG742="CAD",IFERROR(VLOOKUP(D742,CAARStatus!$A$1:$Y$1600,16,FALSE),0),0),0)</f>
        <v>0</v>
      </c>
      <c r="AL742" s="61">
        <f>IF(AC742="Paid",-IF(AG742="USD",IFERROR(VLOOKUP(D742,CAARStatus!$A$1:$Y$1600,11,FALSE),0),0),0)</f>
        <v>-10028</v>
      </c>
      <c r="AM742" s="22" t="str">
        <f t="shared" si="259"/>
        <v/>
      </c>
      <c r="AN742" s="12">
        <f t="shared" si="260"/>
        <v>11333.45</v>
      </c>
      <c r="AO742" s="12" t="str">
        <f t="shared" si="261"/>
        <v>Yes</v>
      </c>
      <c r="AP742" t="str">
        <f t="shared" si="246"/>
        <v>XX</v>
      </c>
      <c r="AQ742" t="str">
        <f>IFERROR(VLOOKUP(Z742,InvBal!$L$4:$P$600,4,FALSE),"Pend")</f>
        <v>Yes</v>
      </c>
      <c r="AR742" t="str">
        <f>IFERROR(VLOOKUP(D742,Manual!$C$1:$E$22,2,FALSE),"Pend")</f>
        <v>Pend</v>
      </c>
      <c r="AS742" t="str">
        <f t="shared" si="262"/>
        <v>Yes</v>
      </c>
      <c r="AT742" t="str">
        <f t="shared" si="263"/>
        <v>Yes</v>
      </c>
      <c r="AU742" s="51" t="str">
        <f t="shared" si="264"/>
        <v>Yes</v>
      </c>
      <c r="AV742" s="12">
        <f>IFERROR(VLOOKUP(D742,'Receivable Invoice Detail'!$S$1:$U$3014,3,FALSE),0)</f>
        <v>782</v>
      </c>
      <c r="AW742" s="12">
        <f t="shared" si="265"/>
        <v>20579.45</v>
      </c>
    </row>
    <row r="743" spans="1:49" x14ac:dyDescent="0.25">
      <c r="A743" s="2"/>
      <c r="B743" s="2"/>
      <c r="C743" s="2"/>
      <c r="D743" s="2" t="s">
        <v>2977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>
        <f t="shared" si="247"/>
        <v>3</v>
      </c>
      <c r="U743" s="18">
        <f t="shared" si="248"/>
        <v>7</v>
      </c>
      <c r="V743" s="18">
        <f t="shared" si="249"/>
        <v>2025</v>
      </c>
      <c r="W743" s="18">
        <f t="shared" si="250"/>
        <v>9</v>
      </c>
      <c r="X743" s="18">
        <f t="shared" si="251"/>
        <v>2025</v>
      </c>
      <c r="Y743" s="2">
        <f t="shared" si="244"/>
        <v>0.73022664145869176</v>
      </c>
      <c r="Z743" t="str">
        <f t="shared" si="245"/>
        <v>SO17509</v>
      </c>
      <c r="AA743" s="11">
        <f t="shared" si="252"/>
        <v>45853.504062499997</v>
      </c>
      <c r="AB743" s="5" t="str">
        <f t="shared" si="253"/>
        <v>INV13238</v>
      </c>
      <c r="AC743" s="5" t="str">
        <f>IFERROR(VLOOKUP(D743,CAARStatus!$A$2:$AA$1600,22,FALSE),"Not invoiced")</f>
        <v>Paid</v>
      </c>
      <c r="AD743" s="11">
        <f>IF(AC743="Paid",IFERROR(VLOOKUP(D743,CAARStatus!$A$2:$AA$1600,6,FALSE),"Pending"),"Pending")</f>
        <v>45902</v>
      </c>
      <c r="AE743" s="5" t="str">
        <f t="shared" si="254"/>
        <v>3732</v>
      </c>
      <c r="AF743" s="5" t="str">
        <f t="shared" si="255"/>
        <v>Middle Georgia Fluid Sealing LLC</v>
      </c>
      <c r="AG743" s="5" t="str">
        <f t="shared" si="256"/>
        <v>USD</v>
      </c>
      <c r="AH743" s="5">
        <f t="shared" si="257"/>
        <v>0</v>
      </c>
      <c r="AI743" s="12">
        <f>IF(L743-N743=0,VLOOKUP(U743,rate!A$4:B$15,2,FALSE)*AH743,IF(AG743="USD",O743,AH743*Y743))</f>
        <v>0</v>
      </c>
      <c r="AJ743" s="13">
        <f t="shared" si="258"/>
        <v>0</v>
      </c>
      <c r="AK743" s="13">
        <f>-IF(AG743="CAD",IFERROR(VLOOKUP(D743,CAARStatus!$A$1:$Y$1600,16,FALSE),0),0)</f>
        <v>0</v>
      </c>
      <c r="AL743" s="13">
        <f>-IF(AG743="USD",IFERROR(VLOOKUP(D743,CAARStatus!$A$1:$Y$1600,11,FALSE),0),0)</f>
        <v>-9589.7199999999993</v>
      </c>
      <c r="AM743" s="22" t="str">
        <f t="shared" si="259"/>
        <v/>
      </c>
      <c r="AN743" s="12">
        <f t="shared" si="260"/>
        <v>-9589.7199999999993</v>
      </c>
      <c r="AO743" s="12" t="str">
        <f t="shared" si="261"/>
        <v>Yes</v>
      </c>
      <c r="AP743" t="str">
        <f t="shared" si="246"/>
        <v>XX</v>
      </c>
      <c r="AQ743" t="str">
        <f>IFERROR(VLOOKUP(Z743,InvBal!$L$4:$P$600,4,FALSE),"Pend")</f>
        <v>Yes</v>
      </c>
      <c r="AR743" t="str">
        <f>IFERROR(VLOOKUP(D743,Manual!$C$1:$E$22,2,FALSE),"Pend")</f>
        <v>Pend</v>
      </c>
      <c r="AS743" t="str">
        <f t="shared" si="262"/>
        <v>Yes</v>
      </c>
      <c r="AT743" t="str">
        <f t="shared" si="263"/>
        <v/>
      </c>
      <c r="AU743" s="51" t="str">
        <f t="shared" si="264"/>
        <v/>
      </c>
      <c r="AV743" s="12">
        <f>IFERROR(VLOOKUP(D743,'Receivable Invoice Detail'!$S$1:$U$3014,3,FALSE),0)</f>
        <v>0</v>
      </c>
      <c r="AW743" s="12">
        <f t="shared" si="265"/>
        <v>0</v>
      </c>
    </row>
    <row r="744" spans="1:49" x14ac:dyDescent="0.25">
      <c r="A744" s="2"/>
      <c r="B744" s="2"/>
      <c r="C744" s="2"/>
      <c r="D744" s="2" t="s">
        <v>2978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>
        <f t="shared" si="247"/>
        <v>3</v>
      </c>
      <c r="U744" s="18">
        <f t="shared" si="248"/>
        <v>7</v>
      </c>
      <c r="V744" s="18">
        <f t="shared" si="249"/>
        <v>2025</v>
      </c>
      <c r="W744" s="18">
        <f t="shared" si="250"/>
        <v>12</v>
      </c>
      <c r="X744" s="18">
        <f t="shared" si="251"/>
        <v>2025</v>
      </c>
      <c r="Y744" s="2">
        <f t="shared" si="244"/>
        <v>0.73022664145869176</v>
      </c>
      <c r="Z744" t="str">
        <f t="shared" si="245"/>
        <v>SO17509</v>
      </c>
      <c r="AA744" s="11">
        <f t="shared" si="252"/>
        <v>45853.504062499997</v>
      </c>
      <c r="AB744" s="5" t="str">
        <f t="shared" si="253"/>
        <v>INV13681</v>
      </c>
      <c r="AC744" s="5" t="str">
        <f>IFERROR(VLOOKUP(D744,CAARStatus!$A$2:$AA$1600,22,FALSE),"Not invoiced")</f>
        <v>Paid</v>
      </c>
      <c r="AD744" s="11">
        <f>IF(AC744="Paid",IFERROR(VLOOKUP(D744,CAARStatus!$A$2:$AA$1600,6,FALSE),"Pending"),"Pending")</f>
        <v>46003</v>
      </c>
      <c r="AE744" s="5" t="str">
        <f t="shared" si="254"/>
        <v>3732</v>
      </c>
      <c r="AF744" s="5" t="str">
        <f t="shared" si="255"/>
        <v>Middle Georgia Fluid Sealing LLC</v>
      </c>
      <c r="AG744" s="5" t="str">
        <f t="shared" si="256"/>
        <v>USD</v>
      </c>
      <c r="AH744" s="5">
        <f t="shared" si="257"/>
        <v>0</v>
      </c>
      <c r="AI744" s="12">
        <f>IF(L744-N744=0,VLOOKUP(U744,rate!A$4:B$15,2,FALSE)*AH744,IF(AG744="USD",O744,AH744*Y744))</f>
        <v>0</v>
      </c>
      <c r="AJ744" s="13">
        <f t="shared" si="258"/>
        <v>0</v>
      </c>
      <c r="AK744" s="13">
        <f>-IF(AG744="CAD",IFERROR(VLOOKUP(D744,CAARStatus!$A$1:$Y$1600,16,FALSE),0),0)</f>
        <v>0</v>
      </c>
      <c r="AL744" s="13">
        <f>-IF(AG744="USD",IFERROR(VLOOKUP(D744,CAARStatus!$A$1:$Y$1600,11,FALSE),0),0)</f>
        <v>-1743.73</v>
      </c>
      <c r="AM744" s="22" t="str">
        <f t="shared" si="259"/>
        <v/>
      </c>
      <c r="AN744" s="12">
        <f t="shared" si="260"/>
        <v>-1743.73</v>
      </c>
      <c r="AO744" s="12" t="str">
        <f t="shared" si="261"/>
        <v>Yes</v>
      </c>
      <c r="AP744" t="str">
        <f t="shared" si="246"/>
        <v>XX</v>
      </c>
      <c r="AQ744" t="str">
        <f>IFERROR(VLOOKUP(Z744,InvBal!$L$4:$P$600,4,FALSE),"Pend")</f>
        <v>Yes</v>
      </c>
      <c r="AR744" t="str">
        <f>IFERROR(VLOOKUP(D744,Manual!$C$1:$E$22,2,FALSE),"Pend")</f>
        <v>Pend</v>
      </c>
      <c r="AS744" t="str">
        <f t="shared" si="262"/>
        <v>Yes</v>
      </c>
      <c r="AT744" t="str">
        <f t="shared" si="263"/>
        <v/>
      </c>
      <c r="AU744" s="51" t="str">
        <f t="shared" si="264"/>
        <v/>
      </c>
      <c r="AV744" s="12">
        <f>IFERROR(VLOOKUP(D744,'Receivable Invoice Detail'!$S$1:$U$3014,3,FALSE),0)</f>
        <v>0</v>
      </c>
      <c r="AW744" s="12">
        <f t="shared" si="265"/>
        <v>0</v>
      </c>
    </row>
    <row r="745" spans="1:49" ht="30" x14ac:dyDescent="0.25">
      <c r="A745" s="2">
        <v>1</v>
      </c>
      <c r="B745" s="2" t="s">
        <v>1029</v>
      </c>
      <c r="C745" s="2" t="s">
        <v>1030</v>
      </c>
      <c r="D745" s="2" t="s">
        <v>2981</v>
      </c>
      <c r="E745" s="2" t="s">
        <v>129</v>
      </c>
      <c r="F745" s="3">
        <v>45853.734942129631</v>
      </c>
      <c r="G745" s="3">
        <v>45853.734166666669</v>
      </c>
      <c r="H745" s="4">
        <v>45873</v>
      </c>
      <c r="I745" s="2" t="s">
        <v>130</v>
      </c>
      <c r="J745" s="2" t="s">
        <v>51</v>
      </c>
      <c r="K745" s="2">
        <v>0.73022664145869165</v>
      </c>
      <c r="L745" s="2">
        <v>1684.408552313248</v>
      </c>
      <c r="M745" s="2">
        <v>0</v>
      </c>
      <c r="N745" s="2">
        <v>1230</v>
      </c>
      <c r="O745" s="2">
        <v>1230</v>
      </c>
      <c r="P745" s="2"/>
      <c r="Q745" s="2">
        <v>1230</v>
      </c>
      <c r="R745" s="2" t="s">
        <v>44</v>
      </c>
      <c r="S745" s="2"/>
      <c r="T745" s="2">
        <f t="shared" si="247"/>
        <v>1</v>
      </c>
      <c r="U745" s="18">
        <f t="shared" si="248"/>
        <v>7</v>
      </c>
      <c r="V745" s="18">
        <f t="shared" si="249"/>
        <v>2025</v>
      </c>
      <c r="W745" s="18" t="str">
        <f t="shared" si="250"/>
        <v/>
      </c>
      <c r="X745" s="18" t="str">
        <f t="shared" si="251"/>
        <v/>
      </c>
      <c r="Y745" s="2">
        <f t="shared" si="244"/>
        <v>0.73022664145869165</v>
      </c>
      <c r="Z745" t="str">
        <f t="shared" si="245"/>
        <v>SO17512</v>
      </c>
      <c r="AA745" s="11">
        <f t="shared" si="252"/>
        <v>45853.734942129631</v>
      </c>
      <c r="AB745" s="5" t="str">
        <f t="shared" si="253"/>
        <v>INV13317</v>
      </c>
      <c r="AC745" s="5" t="str">
        <f>IFERROR(VLOOKUP(D745,CAARStatus!$A$2:$AA$1600,22,FALSE),"Not invoiced")</f>
        <v>Approved</v>
      </c>
      <c r="AD745" s="11" t="str">
        <f>IF(AC745="Paid",IFERROR(VLOOKUP(D745,CAARStatus!$A$2:$AA$1600,6,FALSE),"Pending"),"Pending")</f>
        <v>Pending</v>
      </c>
      <c r="AE745" s="5" t="str">
        <f t="shared" si="254"/>
        <v>OC00183</v>
      </c>
      <c r="AF745" s="5" t="str">
        <f t="shared" si="255"/>
        <v>Dynapro Pumps México S de RL de CV</v>
      </c>
      <c r="AG745" s="5" t="str">
        <f t="shared" si="256"/>
        <v>USD</v>
      </c>
      <c r="AH745" s="5">
        <f t="shared" si="257"/>
        <v>1684.408552313248</v>
      </c>
      <c r="AI745" s="12">
        <f>IF(L745-N745=0,VLOOKUP(U745,rate!A$4:B$15,2,FALSE)*AH745,IF(AG745="USD",O745,AH745*Y745))</f>
        <v>1230</v>
      </c>
      <c r="AJ745" s="13">
        <f t="shared" si="258"/>
        <v>0.73022664145869165</v>
      </c>
      <c r="AK745" s="13">
        <f>-IF(AG745="CAD",IFERROR(VLOOKUP(D745,CAARStatus!$A$1:$Y$1600,16,FALSE),0),0)</f>
        <v>0</v>
      </c>
      <c r="AL745" s="13">
        <f>-IF(AG745="USD",IFERROR(VLOOKUP(D745,CAARStatus!$A$1:$Y$1600,11,FALSE),0),0)</f>
        <v>-1230</v>
      </c>
      <c r="AM745" s="22" t="str">
        <f t="shared" si="259"/>
        <v/>
      </c>
      <c r="AN745" s="12">
        <f t="shared" si="260"/>
        <v>0</v>
      </c>
      <c r="AO745" s="12" t="str">
        <f t="shared" si="261"/>
        <v>Pend</v>
      </c>
      <c r="AP745" t="str">
        <f t="shared" si="246"/>
        <v>Pend</v>
      </c>
      <c r="AQ745" t="str">
        <f>IFERROR(VLOOKUP(Z745,InvBal!$L$4:$P$600,4,FALSE),"Pend")</f>
        <v>Pend</v>
      </c>
      <c r="AR745" t="str">
        <f>IFERROR(VLOOKUP(D745,Manual!$C$1:$E$22,2,FALSE),"Pend")</f>
        <v>Pend</v>
      </c>
      <c r="AS745" t="str">
        <f t="shared" si="262"/>
        <v/>
      </c>
      <c r="AT745" t="str">
        <f t="shared" si="263"/>
        <v>Yes</v>
      </c>
      <c r="AU745" s="51" t="str">
        <f t="shared" si="264"/>
        <v/>
      </c>
      <c r="AV745" s="12">
        <f>IFERROR(VLOOKUP(D745,'Receivable Invoice Detail'!$S$1:$U$3014,3,FALSE),0)</f>
        <v>0</v>
      </c>
      <c r="AW745" s="12">
        <f t="shared" si="265"/>
        <v>0</v>
      </c>
    </row>
    <row r="746" spans="1:49" ht="30" x14ac:dyDescent="0.25">
      <c r="A746" s="2">
        <v>1</v>
      </c>
      <c r="B746" s="2" t="s">
        <v>1027</v>
      </c>
      <c r="C746" s="2" t="s">
        <v>1028</v>
      </c>
      <c r="D746" s="2" t="s">
        <v>2982</v>
      </c>
      <c r="E746" s="2" t="s">
        <v>129</v>
      </c>
      <c r="F746" s="3">
        <v>45853.802662037036</v>
      </c>
      <c r="G746" s="3">
        <v>45853.802233796298</v>
      </c>
      <c r="H746" s="4">
        <v>45877</v>
      </c>
      <c r="I746" s="2" t="s">
        <v>130</v>
      </c>
      <c r="J746" s="2" t="s">
        <v>51</v>
      </c>
      <c r="K746" s="2">
        <v>0.73022664145869165</v>
      </c>
      <c r="L746" s="2">
        <v>7029.3244707511394</v>
      </c>
      <c r="M746" s="2">
        <v>0</v>
      </c>
      <c r="N746" s="2">
        <v>5133</v>
      </c>
      <c r="O746" s="2">
        <v>5133</v>
      </c>
      <c r="P746" s="2"/>
      <c r="Q746" s="2">
        <v>5133</v>
      </c>
      <c r="R746" s="2" t="s">
        <v>44</v>
      </c>
      <c r="S746" s="2"/>
      <c r="T746" s="2">
        <f t="shared" si="247"/>
        <v>1</v>
      </c>
      <c r="U746" s="18">
        <f t="shared" si="248"/>
        <v>7</v>
      </c>
      <c r="V746" s="18">
        <f t="shared" si="249"/>
        <v>2025</v>
      </c>
      <c r="W746" s="18" t="str">
        <f t="shared" si="250"/>
        <v/>
      </c>
      <c r="X746" s="18" t="str">
        <f t="shared" si="251"/>
        <v/>
      </c>
      <c r="Y746" s="2">
        <f t="shared" si="244"/>
        <v>0.73022664145869165</v>
      </c>
      <c r="Z746" t="str">
        <f t="shared" si="245"/>
        <v>SO17513</v>
      </c>
      <c r="AA746" s="11">
        <f t="shared" si="252"/>
        <v>45853.802662037036</v>
      </c>
      <c r="AB746" s="5" t="str">
        <f t="shared" si="253"/>
        <v>INV13458</v>
      </c>
      <c r="AC746" s="5" t="str">
        <f>IFERROR(VLOOKUP(D746,CAARStatus!$A$2:$AA$1600,22,FALSE),"Not invoiced")</f>
        <v>Approved</v>
      </c>
      <c r="AD746" s="11" t="str">
        <f>IF(AC746="Paid",IFERROR(VLOOKUP(D746,CAARStatus!$A$2:$AA$1600,6,FALSE),"Pending"),"Pending")</f>
        <v>Pending</v>
      </c>
      <c r="AE746" s="5" t="str">
        <f t="shared" si="254"/>
        <v>OC00184</v>
      </c>
      <c r="AF746" s="5" t="str">
        <f t="shared" si="255"/>
        <v>Dynapro Pumps México S de RL de CV</v>
      </c>
      <c r="AG746" s="5" t="str">
        <f t="shared" si="256"/>
        <v>USD</v>
      </c>
      <c r="AH746" s="5">
        <f t="shared" si="257"/>
        <v>7029.3244707511394</v>
      </c>
      <c r="AI746" s="12">
        <f>IF(L746-N746=0,VLOOKUP(U746,rate!A$4:B$15,2,FALSE)*AH746,IF(AG746="USD",O746,AH746*Y746))</f>
        <v>5133</v>
      </c>
      <c r="AJ746" s="13">
        <f t="shared" si="258"/>
        <v>0.73022664145869165</v>
      </c>
      <c r="AK746" s="13">
        <f>-IF(AG746="CAD",IFERROR(VLOOKUP(D746,CAARStatus!$A$1:$Y$1600,16,FALSE),0),0)</f>
        <v>0</v>
      </c>
      <c r="AL746" s="13">
        <f>-IF(AG746="USD",IFERROR(VLOOKUP(D746,CAARStatus!$A$1:$Y$1600,11,FALSE),0),0)</f>
        <v>-5133</v>
      </c>
      <c r="AM746" s="22" t="str">
        <f t="shared" si="259"/>
        <v/>
      </c>
      <c r="AN746" s="12">
        <f t="shared" si="260"/>
        <v>0</v>
      </c>
      <c r="AO746" s="12" t="str">
        <f t="shared" si="261"/>
        <v>Pend</v>
      </c>
      <c r="AP746" t="str">
        <f t="shared" si="246"/>
        <v>Pend</v>
      </c>
      <c r="AQ746" t="str">
        <f>IFERROR(VLOOKUP(Z746,InvBal!$L$4:$P$600,4,FALSE),"Pend")</f>
        <v>Pend</v>
      </c>
      <c r="AR746" t="str">
        <f>IFERROR(VLOOKUP(D746,Manual!$C$1:$E$22,2,FALSE),"Pend")</f>
        <v>Pend</v>
      </c>
      <c r="AS746" t="str">
        <f t="shared" si="262"/>
        <v/>
      </c>
      <c r="AT746" t="str">
        <f t="shared" si="263"/>
        <v>Yes</v>
      </c>
      <c r="AU746" s="51" t="str">
        <f t="shared" si="264"/>
        <v/>
      </c>
      <c r="AV746" s="12">
        <f>IFERROR(VLOOKUP(D746,'Receivable Invoice Detail'!$S$1:$U$3014,3,FALSE),0)</f>
        <v>0</v>
      </c>
      <c r="AW746" s="12">
        <f t="shared" si="265"/>
        <v>0</v>
      </c>
    </row>
    <row r="747" spans="1:49" x14ac:dyDescent="0.25">
      <c r="A747" s="2">
        <v>1</v>
      </c>
      <c r="B747" s="2" t="s">
        <v>948</v>
      </c>
      <c r="C747" s="2" t="s">
        <v>949</v>
      </c>
      <c r="D747" s="2" t="s">
        <v>3029</v>
      </c>
      <c r="E747" s="2" t="s">
        <v>92</v>
      </c>
      <c r="F747" s="3">
        <v>45854.372673611113</v>
      </c>
      <c r="G747" s="3">
        <v>45863.374988425923</v>
      </c>
      <c r="H747" s="4">
        <v>45874</v>
      </c>
      <c r="I747" s="2" t="s">
        <v>21</v>
      </c>
      <c r="J747" s="2" t="s">
        <v>22</v>
      </c>
      <c r="K747" s="2">
        <v>1</v>
      </c>
      <c r="L747" s="2">
        <v>8966.09</v>
      </c>
      <c r="M747" s="2">
        <v>0</v>
      </c>
      <c r="N747" s="2">
        <v>6537.5144387032487</v>
      </c>
      <c r="O747" s="2">
        <v>7934.6</v>
      </c>
      <c r="P747" s="2">
        <v>1031.49</v>
      </c>
      <c r="Q747" s="2">
        <v>8966.09</v>
      </c>
      <c r="R747" s="2" t="s">
        <v>44</v>
      </c>
      <c r="S747" s="2"/>
      <c r="T747" s="2">
        <f t="shared" si="247"/>
        <v>1</v>
      </c>
      <c r="U747" s="18">
        <f t="shared" si="248"/>
        <v>7</v>
      </c>
      <c r="V747" s="18">
        <f t="shared" si="249"/>
        <v>2025</v>
      </c>
      <c r="W747" s="18">
        <f t="shared" si="250"/>
        <v>9</v>
      </c>
      <c r="X747" s="18">
        <f t="shared" si="251"/>
        <v>2025</v>
      </c>
      <c r="Y747" s="2">
        <f t="shared" si="244"/>
        <v>0.72913772209550076</v>
      </c>
      <c r="Z747" t="str">
        <f t="shared" si="245"/>
        <v>SO17515</v>
      </c>
      <c r="AA747" s="11">
        <f t="shared" si="252"/>
        <v>45854.372673611113</v>
      </c>
      <c r="AB747" s="5" t="str">
        <f t="shared" si="253"/>
        <v>INV13299</v>
      </c>
      <c r="AC747" s="5" t="str">
        <f>IFERROR(VLOOKUP(D747,CAARStatus!$A$2:$AA$1600,22,FALSE),"Not invoiced")</f>
        <v>Paid</v>
      </c>
      <c r="AD747" s="11">
        <f>IF(AC747="Paid",IFERROR(VLOOKUP(D747,CAARStatus!$A$2:$AA$1600,6,FALSE),"Pending"),"Pending")</f>
        <v>45908</v>
      </c>
      <c r="AE747" s="5" t="str">
        <f t="shared" si="254"/>
        <v>4500061809</v>
      </c>
      <c r="AF747" s="5" t="str">
        <f t="shared" si="255"/>
        <v>Alamos Gold Inc</v>
      </c>
      <c r="AG747" s="5" t="str">
        <f t="shared" si="256"/>
        <v>CAD</v>
      </c>
      <c r="AH747" s="5">
        <f t="shared" si="257"/>
        <v>7934.6</v>
      </c>
      <c r="AI747" s="12">
        <f>IF(L747-N747=0,VLOOKUP(U747,rate!A$4:B$15,2,FALSE)*AH747,IF(AG747="USD",O747,AH747*Y747))</f>
        <v>5785.4161697389609</v>
      </c>
      <c r="AJ747" s="13">
        <f t="shared" si="258"/>
        <v>0.72913772209550076</v>
      </c>
      <c r="AK747" s="13">
        <f>-IF(AG747="CAD",IFERROR(VLOOKUP(D747,CAARStatus!$A$1:$Y$1600,16,FALSE),0),0)</f>
        <v>-7934.6</v>
      </c>
      <c r="AL747" s="13">
        <f>-IF(AG747="USD",IFERROR(VLOOKUP(D747,CAARStatus!$A$1:$Y$1600,11,FALSE),0),0)</f>
        <v>0</v>
      </c>
      <c r="AM747" s="22">
        <f t="shared" si="259"/>
        <v>0</v>
      </c>
      <c r="AN747" s="12" t="str">
        <f t="shared" si="260"/>
        <v/>
      </c>
      <c r="AO747" s="12" t="str">
        <f t="shared" si="261"/>
        <v>Yes</v>
      </c>
      <c r="AP747" t="str">
        <f t="shared" si="246"/>
        <v>Yes</v>
      </c>
      <c r="AQ747" t="str">
        <f>IFERROR(VLOOKUP(Z747,InvBal!$L$4:$P$600,4,FALSE),"Pend")</f>
        <v>Pend</v>
      </c>
      <c r="AR747" t="str">
        <f>IFERROR(VLOOKUP(D747,Manual!$C$1:$E$22,2,FALSE),"Pend")</f>
        <v>Pend</v>
      </c>
      <c r="AS747" t="str">
        <f t="shared" si="262"/>
        <v>Yes</v>
      </c>
      <c r="AT747" t="str">
        <f t="shared" si="263"/>
        <v>Yes</v>
      </c>
      <c r="AU747" s="51" t="str">
        <f t="shared" si="264"/>
        <v>Yes</v>
      </c>
      <c r="AV747" s="12">
        <f>IFERROR(VLOOKUP(D747,'Receivable Invoice Detail'!$S$1:$U$3014,3,FALSE),0)</f>
        <v>0</v>
      </c>
      <c r="AW747" s="12">
        <f t="shared" si="265"/>
        <v>5785.4161697389609</v>
      </c>
    </row>
    <row r="748" spans="1:49" ht="30" x14ac:dyDescent="0.25">
      <c r="A748" s="2">
        <v>1</v>
      </c>
      <c r="B748" s="2" t="s">
        <v>845</v>
      </c>
      <c r="C748" s="2" t="s">
        <v>846</v>
      </c>
      <c r="D748" s="2" t="s">
        <v>3082</v>
      </c>
      <c r="E748" s="2" t="s">
        <v>818</v>
      </c>
      <c r="F748" s="3">
        <v>45854.436018518521</v>
      </c>
      <c r="G748" s="3">
        <v>45883.381412037037</v>
      </c>
      <c r="H748" s="2"/>
      <c r="I748" s="2" t="s">
        <v>40</v>
      </c>
      <c r="J748" s="2" t="s">
        <v>22</v>
      </c>
      <c r="K748" s="2">
        <v>1</v>
      </c>
      <c r="L748" s="2">
        <v>813.49</v>
      </c>
      <c r="M748" s="2">
        <v>0</v>
      </c>
      <c r="N748" s="2">
        <v>589.18543519829393</v>
      </c>
      <c r="O748" s="2">
        <v>774.75</v>
      </c>
      <c r="P748" s="2">
        <v>38.74</v>
      </c>
      <c r="Q748" s="2">
        <v>813.49</v>
      </c>
      <c r="R748" s="2" t="s">
        <v>44</v>
      </c>
      <c r="S748" s="2"/>
      <c r="T748" s="2">
        <f t="shared" si="247"/>
        <v>1</v>
      </c>
      <c r="U748" s="18">
        <f t="shared" si="248"/>
        <v>7</v>
      </c>
      <c r="V748" s="18">
        <f t="shared" si="249"/>
        <v>2025</v>
      </c>
      <c r="W748" s="18">
        <f t="shared" si="250"/>
        <v>10</v>
      </c>
      <c r="X748" s="18">
        <f t="shared" si="251"/>
        <v>2025</v>
      </c>
      <c r="Y748" s="2">
        <f t="shared" si="244"/>
        <v>0.72426881116952135</v>
      </c>
      <c r="Z748" t="str">
        <f t="shared" si="245"/>
        <v>SO17516</v>
      </c>
      <c r="AA748" s="11">
        <f t="shared" si="252"/>
        <v>45854.436018518521</v>
      </c>
      <c r="AB748" s="5" t="str">
        <f t="shared" si="253"/>
        <v>INV13300</v>
      </c>
      <c r="AC748" s="5" t="str">
        <f>IFERROR(VLOOKUP(D748,CAARStatus!$A$2:$AA$1600,22,FALSE),"Not invoiced")</f>
        <v>Paid</v>
      </c>
      <c r="AD748" s="11">
        <f>IF(AC748="Paid",IFERROR(VLOOKUP(D748,CAARStatus!$A$2:$AA$1600,6,FALSE),"Pending"),"Pending")</f>
        <v>45931</v>
      </c>
      <c r="AE748" s="5" t="str">
        <f t="shared" si="254"/>
        <v>2100615718</v>
      </c>
      <c r="AF748" s="5" t="str">
        <f t="shared" si="255"/>
        <v>Wajax Limited - Pointe-aux-Trembles, Wajax Limited</v>
      </c>
      <c r="AG748" s="5" t="str">
        <f t="shared" si="256"/>
        <v>CAD</v>
      </c>
      <c r="AH748" s="5">
        <f t="shared" si="257"/>
        <v>774.75</v>
      </c>
      <c r="AI748" s="12">
        <f>IF(L748-N748=0,VLOOKUP(U748,rate!A$4:B$15,2,FALSE)*AH748,IF(AG748="USD",O748,AH748*Y748))</f>
        <v>561.1272614535867</v>
      </c>
      <c r="AJ748" s="13">
        <f t="shared" si="258"/>
        <v>0.72426881116952135</v>
      </c>
      <c r="AK748" s="13">
        <f>-IF(AG748="CAD",IFERROR(VLOOKUP(D748,CAARStatus!$A$1:$Y$1600,16,FALSE),0),0)</f>
        <v>-774.75</v>
      </c>
      <c r="AL748" s="13">
        <f>-IF(AG748="USD",IFERROR(VLOOKUP(D748,CAARStatus!$A$1:$Y$1600,11,FALSE),0),0)</f>
        <v>0</v>
      </c>
      <c r="AM748" s="22">
        <f t="shared" si="259"/>
        <v>0</v>
      </c>
      <c r="AN748" s="12" t="str">
        <f t="shared" si="260"/>
        <v/>
      </c>
      <c r="AO748" s="12" t="str">
        <f t="shared" si="261"/>
        <v>Yes</v>
      </c>
      <c r="AP748" t="str">
        <f t="shared" si="246"/>
        <v>Yes</v>
      </c>
      <c r="AQ748" t="str">
        <f>IFERROR(VLOOKUP(Z748,InvBal!$L$4:$P$600,4,FALSE),"Pend")</f>
        <v>Pend</v>
      </c>
      <c r="AR748" t="str">
        <f>IFERROR(VLOOKUP(D748,Manual!$C$1:$E$22,2,FALSE),"Pend")</f>
        <v>Pend</v>
      </c>
      <c r="AS748" t="str">
        <f t="shared" si="262"/>
        <v>Yes</v>
      </c>
      <c r="AT748" t="str">
        <f t="shared" si="263"/>
        <v>Yes</v>
      </c>
      <c r="AU748" s="51" t="str">
        <f t="shared" si="264"/>
        <v>Yes</v>
      </c>
      <c r="AV748" s="12">
        <f>IFERROR(VLOOKUP(D748,'Receivable Invoice Detail'!$S$1:$U$3014,3,FALSE),0)</f>
        <v>0</v>
      </c>
      <c r="AW748" s="12">
        <f t="shared" si="265"/>
        <v>561.1272614535867</v>
      </c>
    </row>
    <row r="749" spans="1:49" ht="30" x14ac:dyDescent="0.25">
      <c r="A749" s="2">
        <v>1</v>
      </c>
      <c r="B749" s="2" t="s">
        <v>1025</v>
      </c>
      <c r="C749" s="2" t="s">
        <v>1026</v>
      </c>
      <c r="D749" s="2" t="s">
        <v>2983</v>
      </c>
      <c r="E749" s="2" t="s">
        <v>129</v>
      </c>
      <c r="F749" s="3">
        <v>45854.450173611112</v>
      </c>
      <c r="G749" s="3">
        <v>45854.450219907398</v>
      </c>
      <c r="H749" s="4">
        <v>45884</v>
      </c>
      <c r="I749" s="2" t="s">
        <v>130</v>
      </c>
      <c r="J749" s="2" t="s">
        <v>51</v>
      </c>
      <c r="K749" s="2">
        <v>0.73020122780158092</v>
      </c>
      <c r="L749" s="2">
        <v>3971.5079755905631</v>
      </c>
      <c r="M749" s="2">
        <v>0</v>
      </c>
      <c r="N749" s="2">
        <v>2900</v>
      </c>
      <c r="O749" s="2">
        <v>2900</v>
      </c>
      <c r="P749" s="2"/>
      <c r="Q749" s="2">
        <v>2900</v>
      </c>
      <c r="R749" s="2" t="s">
        <v>44</v>
      </c>
      <c r="S749" s="2"/>
      <c r="T749" s="2">
        <f t="shared" si="247"/>
        <v>1</v>
      </c>
      <c r="U749" s="18">
        <f t="shared" si="248"/>
        <v>7</v>
      </c>
      <c r="V749" s="18">
        <f t="shared" si="249"/>
        <v>2025</v>
      </c>
      <c r="W749" s="18" t="str">
        <f t="shared" si="250"/>
        <v/>
      </c>
      <c r="X749" s="18" t="str">
        <f t="shared" si="251"/>
        <v/>
      </c>
      <c r="Y749" s="2">
        <f t="shared" si="244"/>
        <v>0.73020122780158081</v>
      </c>
      <c r="Z749" t="str">
        <f t="shared" si="245"/>
        <v>SO17518</v>
      </c>
      <c r="AA749" s="11">
        <f t="shared" si="252"/>
        <v>45854.450173611112</v>
      </c>
      <c r="AB749" s="5" t="str">
        <f t="shared" si="253"/>
        <v>INV13469</v>
      </c>
      <c r="AC749" s="5" t="str">
        <f>IFERROR(VLOOKUP(D749,CAARStatus!$A$2:$AA$1600,22,FALSE),"Not invoiced")</f>
        <v>Approved</v>
      </c>
      <c r="AD749" s="11" t="str">
        <f>IF(AC749="Paid",IFERROR(VLOOKUP(D749,CAARStatus!$A$2:$AA$1600,6,FALSE),"Pending"),"Pending")</f>
        <v>Pending</v>
      </c>
      <c r="AE749" s="5" t="str">
        <f t="shared" si="254"/>
        <v>OC00185</v>
      </c>
      <c r="AF749" s="5" t="str">
        <f t="shared" si="255"/>
        <v>Dynapro Pumps México S de RL de CV</v>
      </c>
      <c r="AG749" s="5" t="str">
        <f t="shared" si="256"/>
        <v>USD</v>
      </c>
      <c r="AH749" s="5">
        <f t="shared" si="257"/>
        <v>3971.5079755905626</v>
      </c>
      <c r="AI749" s="12">
        <f>IF(L749-N749=0,VLOOKUP(U749,rate!A$4:B$15,2,FALSE)*AH749,IF(AG749="USD",O749,AH749*Y749))</f>
        <v>2900</v>
      </c>
      <c r="AJ749" s="13">
        <f t="shared" si="258"/>
        <v>0.73020122780158092</v>
      </c>
      <c r="AK749" s="13">
        <f>-IF(AG749="CAD",IFERROR(VLOOKUP(D749,CAARStatus!$A$1:$Y$1600,16,FALSE),0),0)</f>
        <v>0</v>
      </c>
      <c r="AL749" s="13">
        <f>-IF(AG749="USD",IFERROR(VLOOKUP(D749,CAARStatus!$A$1:$Y$1600,11,FALSE),0),0)</f>
        <v>-2900</v>
      </c>
      <c r="AM749" s="22" t="str">
        <f t="shared" si="259"/>
        <v/>
      </c>
      <c r="AN749" s="12">
        <f t="shared" si="260"/>
        <v>0</v>
      </c>
      <c r="AO749" s="12" t="str">
        <f t="shared" si="261"/>
        <v>Pend</v>
      </c>
      <c r="AP749" t="str">
        <f t="shared" si="246"/>
        <v>Pend</v>
      </c>
      <c r="AQ749" t="str">
        <f>IFERROR(VLOOKUP(Z749,InvBal!$L$4:$P$600,4,FALSE),"Pend")</f>
        <v>Pend</v>
      </c>
      <c r="AR749" t="str">
        <f>IFERROR(VLOOKUP(D749,Manual!$C$1:$E$22,2,FALSE),"Pend")</f>
        <v>Pend</v>
      </c>
      <c r="AS749" t="str">
        <f t="shared" si="262"/>
        <v/>
      </c>
      <c r="AT749" t="str">
        <f t="shared" si="263"/>
        <v>Yes</v>
      </c>
      <c r="AU749" s="51" t="str">
        <f t="shared" si="264"/>
        <v/>
      </c>
      <c r="AV749" s="12">
        <f>IFERROR(VLOOKUP(D749,'Receivable Invoice Detail'!$S$1:$U$3014,3,FALSE),0)</f>
        <v>0</v>
      </c>
      <c r="AW749" s="12">
        <f t="shared" si="265"/>
        <v>0</v>
      </c>
    </row>
    <row r="750" spans="1:49" x14ac:dyDescent="0.25">
      <c r="A750" s="2">
        <v>1</v>
      </c>
      <c r="B750" s="2" t="s">
        <v>1023</v>
      </c>
      <c r="C750" s="2" t="s">
        <v>1024</v>
      </c>
      <c r="D750" s="2" t="s">
        <v>2984</v>
      </c>
      <c r="E750" s="2" t="s">
        <v>556</v>
      </c>
      <c r="F750" s="3">
        <v>45854.519317129627</v>
      </c>
      <c r="G750" s="3">
        <v>45854.517511574071</v>
      </c>
      <c r="H750" s="4">
        <v>45862</v>
      </c>
      <c r="I750" s="2" t="s">
        <v>36</v>
      </c>
      <c r="J750" s="2" t="s">
        <v>22</v>
      </c>
      <c r="K750" s="2">
        <v>1</v>
      </c>
      <c r="L750" s="2">
        <v>129.44999999999999</v>
      </c>
      <c r="M750" s="2">
        <v>129.44999999999999</v>
      </c>
      <c r="N750" s="2">
        <v>129.44999999999999</v>
      </c>
      <c r="O750" s="2">
        <v>114.56</v>
      </c>
      <c r="P750" s="2">
        <v>14.89</v>
      </c>
      <c r="Q750" s="2">
        <v>129.44999999999999</v>
      </c>
      <c r="R750" s="2" t="s">
        <v>44</v>
      </c>
      <c r="S750" s="2"/>
      <c r="T750" s="2">
        <f t="shared" si="247"/>
        <v>1</v>
      </c>
      <c r="U750" s="18">
        <f t="shared" si="248"/>
        <v>7</v>
      </c>
      <c r="V750" s="18">
        <f t="shared" si="249"/>
        <v>2025</v>
      </c>
      <c r="W750" s="18">
        <f t="shared" si="250"/>
        <v>8</v>
      </c>
      <c r="X750" s="18">
        <f t="shared" si="251"/>
        <v>2025</v>
      </c>
      <c r="Y750" s="2">
        <f t="shared" si="244"/>
        <v>1</v>
      </c>
      <c r="Z750" t="str">
        <f t="shared" si="245"/>
        <v>SO17519</v>
      </c>
      <c r="AA750" s="11">
        <f t="shared" si="252"/>
        <v>45854.519317129627</v>
      </c>
      <c r="AB750" s="5" t="str">
        <f t="shared" si="253"/>
        <v>INV13198</v>
      </c>
      <c r="AC750" s="5" t="str">
        <f>IFERROR(VLOOKUP(D750,CAARStatus!$A$2:$AA$1600,22,FALSE),"Not invoiced")</f>
        <v>Paid</v>
      </c>
      <c r="AD750" s="11">
        <f>IF(AC750="Paid",IFERROR(VLOOKUP(D750,CAARStatus!$A$2:$AA$1600,6,FALSE),"Pending"),"Pending")</f>
        <v>45895</v>
      </c>
      <c r="AE750" s="5" t="str">
        <f t="shared" si="254"/>
        <v>186672</v>
      </c>
      <c r="AF750" s="5" t="str">
        <f t="shared" si="255"/>
        <v>Fabrene Inc.</v>
      </c>
      <c r="AG750" s="5" t="str">
        <f t="shared" si="256"/>
        <v>CAD</v>
      </c>
      <c r="AH750" s="5">
        <f t="shared" si="257"/>
        <v>114.56</v>
      </c>
      <c r="AI750" s="12">
        <f>IF(L750-N750=0,VLOOKUP(U750,rate!A$4:B$15,2,FALSE)*AH750,IF(AG750="USD",O750,AH750*Y750))</f>
        <v>83.578148954930924</v>
      </c>
      <c r="AJ750" s="13">
        <f t="shared" si="258"/>
        <v>0.72955786448089144</v>
      </c>
      <c r="AK750" s="13">
        <f>-IF(AG750="CAD",IFERROR(VLOOKUP(D750,CAARStatus!$A$1:$Y$1600,16,FALSE),0),0)</f>
        <v>-114.56</v>
      </c>
      <c r="AL750" s="13">
        <f>-IF(AG750="USD",IFERROR(VLOOKUP(D750,CAARStatus!$A$1:$Y$1600,11,FALSE),0),0)</f>
        <v>0</v>
      </c>
      <c r="AM750" s="22">
        <f t="shared" si="259"/>
        <v>0</v>
      </c>
      <c r="AN750" s="12" t="str">
        <f t="shared" si="260"/>
        <v/>
      </c>
      <c r="AO750" s="12" t="str">
        <f t="shared" si="261"/>
        <v>Yes</v>
      </c>
      <c r="AP750" t="str">
        <f t="shared" si="246"/>
        <v>Yes</v>
      </c>
      <c r="AQ750" t="str">
        <f>IFERROR(VLOOKUP(Z750,InvBal!$L$4:$P$600,4,FALSE),"Pend")</f>
        <v>Pend</v>
      </c>
      <c r="AR750" t="str">
        <f>IFERROR(VLOOKUP(D750,Manual!$C$1:$E$22,2,FALSE),"Pend")</f>
        <v>Pend</v>
      </c>
      <c r="AS750" t="str">
        <f t="shared" si="262"/>
        <v>Yes</v>
      </c>
      <c r="AT750" t="str">
        <f t="shared" si="263"/>
        <v>Yes</v>
      </c>
      <c r="AU750" s="51" t="str">
        <f t="shared" si="264"/>
        <v>Yes</v>
      </c>
      <c r="AV750" s="12">
        <f>IFERROR(VLOOKUP(D750,'Receivable Invoice Detail'!$S$1:$U$3014,3,FALSE),0)</f>
        <v>0</v>
      </c>
      <c r="AW750" s="12">
        <f t="shared" si="265"/>
        <v>83.578148954930924</v>
      </c>
    </row>
    <row r="751" spans="1:49" x14ac:dyDescent="0.25">
      <c r="A751" s="2">
        <v>1</v>
      </c>
      <c r="B751" s="2" t="s">
        <v>1003</v>
      </c>
      <c r="C751" s="2" t="s">
        <v>1004</v>
      </c>
      <c r="D751" s="2" t="s">
        <v>2997</v>
      </c>
      <c r="E751" s="2" t="s">
        <v>146</v>
      </c>
      <c r="F751" s="3">
        <v>45854.53733796296</v>
      </c>
      <c r="G751" s="3">
        <v>45855.740624999999</v>
      </c>
      <c r="H751" s="4">
        <v>45862</v>
      </c>
      <c r="I751" s="2" t="s">
        <v>21</v>
      </c>
      <c r="J751" s="2" t="s">
        <v>22</v>
      </c>
      <c r="K751" s="2">
        <v>1</v>
      </c>
      <c r="L751" s="2">
        <v>1271.0999999999999</v>
      </c>
      <c r="M751" s="2">
        <v>0</v>
      </c>
      <c r="N751" s="2">
        <v>924.4701059745945</v>
      </c>
      <c r="O751" s="2">
        <v>1210.56</v>
      </c>
      <c r="P751" s="2">
        <v>60.54</v>
      </c>
      <c r="Q751" s="2">
        <v>1271.0999999999999</v>
      </c>
      <c r="R751" s="2" t="s">
        <v>44</v>
      </c>
      <c r="S751" s="2"/>
      <c r="T751" s="2">
        <f t="shared" si="247"/>
        <v>1</v>
      </c>
      <c r="U751" s="18">
        <f t="shared" si="248"/>
        <v>7</v>
      </c>
      <c r="V751" s="18">
        <f t="shared" si="249"/>
        <v>2025</v>
      </c>
      <c r="W751" s="18">
        <f t="shared" si="250"/>
        <v>8</v>
      </c>
      <c r="X751" s="18">
        <f t="shared" si="251"/>
        <v>2025</v>
      </c>
      <c r="Y751" s="2">
        <f t="shared" si="244"/>
        <v>0.72729927305058184</v>
      </c>
      <c r="Z751" t="str">
        <f t="shared" si="245"/>
        <v>SO17520</v>
      </c>
      <c r="AA751" s="11">
        <f t="shared" si="252"/>
        <v>45854.53733796296</v>
      </c>
      <c r="AB751" s="5" t="str">
        <f t="shared" si="253"/>
        <v>INV13217</v>
      </c>
      <c r="AC751" s="5" t="str">
        <f>IFERROR(VLOOKUP(D751,CAARStatus!$A$2:$AA$1600,22,FALSE),"Not invoiced")</f>
        <v>Paid</v>
      </c>
      <c r="AD751" s="11">
        <f>IF(AC751="Paid",IFERROR(VLOOKUP(D751,CAARStatus!$A$2:$AA$1600,6,FALSE),"Pending"),"Pending")</f>
        <v>45898</v>
      </c>
      <c r="AE751" s="5" t="str">
        <f t="shared" si="254"/>
        <v>7411</v>
      </c>
      <c r="AF751" s="5" t="str">
        <f t="shared" si="255"/>
        <v>Hyperflo</v>
      </c>
      <c r="AG751" s="5" t="str">
        <f t="shared" si="256"/>
        <v>CAD</v>
      </c>
      <c r="AH751" s="5">
        <f t="shared" si="257"/>
        <v>1210.56</v>
      </c>
      <c r="AI751" s="12">
        <f>IF(L751-N751=0,VLOOKUP(U751,rate!A$4:B$15,2,FALSE)*AH751,IF(AG751="USD",O751,AH751*Y751))</f>
        <v>880.43940798411234</v>
      </c>
      <c r="AJ751" s="13">
        <f t="shared" si="258"/>
        <v>0.72729927305058184</v>
      </c>
      <c r="AK751" s="13">
        <f>-IF(AG751="CAD",IFERROR(VLOOKUP(D751,CAARStatus!$A$1:$Y$1600,16,FALSE),0),0)</f>
        <v>-1210.56</v>
      </c>
      <c r="AL751" s="13">
        <f>-IF(AG751="USD",IFERROR(VLOOKUP(D751,CAARStatus!$A$1:$Y$1600,11,FALSE),0),0)</f>
        <v>0</v>
      </c>
      <c r="AM751" s="22">
        <f t="shared" si="259"/>
        <v>0</v>
      </c>
      <c r="AN751" s="12" t="str">
        <f t="shared" si="260"/>
        <v/>
      </c>
      <c r="AO751" s="12" t="str">
        <f t="shared" si="261"/>
        <v>Yes</v>
      </c>
      <c r="AP751" t="str">
        <f t="shared" si="246"/>
        <v>Yes</v>
      </c>
      <c r="AQ751" t="str">
        <f>IFERROR(VLOOKUP(Z751,InvBal!$L$4:$P$600,4,FALSE),"Pend")</f>
        <v>Pend</v>
      </c>
      <c r="AR751" t="str">
        <f>IFERROR(VLOOKUP(D751,Manual!$C$1:$E$22,2,FALSE),"Pend")</f>
        <v>Pend</v>
      </c>
      <c r="AS751" t="str">
        <f t="shared" si="262"/>
        <v>Yes</v>
      </c>
      <c r="AT751" t="str">
        <f t="shared" si="263"/>
        <v>Yes</v>
      </c>
      <c r="AU751" s="51" t="str">
        <f t="shared" si="264"/>
        <v>Yes</v>
      </c>
      <c r="AV751" s="12">
        <f>IFERROR(VLOOKUP(D751,'Receivable Invoice Detail'!$S$1:$U$3014,3,FALSE),0)</f>
        <v>0</v>
      </c>
      <c r="AW751" s="12">
        <f t="shared" si="265"/>
        <v>880.43940798411234</v>
      </c>
    </row>
    <row r="752" spans="1:49" x14ac:dyDescent="0.25">
      <c r="A752" s="2">
        <v>1</v>
      </c>
      <c r="B752" s="2" t="s">
        <v>1015</v>
      </c>
      <c r="C752" s="2" t="s">
        <v>1016</v>
      </c>
      <c r="D752" s="2" t="s">
        <v>2988</v>
      </c>
      <c r="E752" s="2" t="s">
        <v>54</v>
      </c>
      <c r="F752" s="3">
        <v>45854.582175925927</v>
      </c>
      <c r="G752" s="3">
        <v>45854.651875000003</v>
      </c>
      <c r="H752" s="4">
        <v>45855</v>
      </c>
      <c r="I752" s="2" t="s">
        <v>21</v>
      </c>
      <c r="J752" s="2" t="s">
        <v>22</v>
      </c>
      <c r="K752" s="2">
        <v>1</v>
      </c>
      <c r="L752" s="2">
        <v>1364.75</v>
      </c>
      <c r="M752" s="2">
        <v>1364.75</v>
      </c>
      <c r="N752" s="2">
        <v>1364.75</v>
      </c>
      <c r="O752" s="2">
        <v>1299.76</v>
      </c>
      <c r="P752" s="2">
        <v>64.989999999999995</v>
      </c>
      <c r="Q752" s="2">
        <v>1364.75</v>
      </c>
      <c r="R752" s="2" t="s">
        <v>44</v>
      </c>
      <c r="S752" s="2"/>
      <c r="T752" s="2">
        <f t="shared" si="247"/>
        <v>1</v>
      </c>
      <c r="U752" s="18">
        <f t="shared" si="248"/>
        <v>7</v>
      </c>
      <c r="V752" s="18">
        <f t="shared" si="249"/>
        <v>2025</v>
      </c>
      <c r="W752" s="18">
        <f t="shared" si="250"/>
        <v>8</v>
      </c>
      <c r="X752" s="18">
        <f t="shared" si="251"/>
        <v>2025</v>
      </c>
      <c r="Y752" s="2">
        <f t="shared" si="244"/>
        <v>1</v>
      </c>
      <c r="Z752" t="str">
        <f t="shared" si="245"/>
        <v>SO17521</v>
      </c>
      <c r="AA752" s="11">
        <f t="shared" si="252"/>
        <v>45854.582175925927</v>
      </c>
      <c r="AB752" s="5" t="str">
        <f t="shared" si="253"/>
        <v>INV13200</v>
      </c>
      <c r="AC752" s="5" t="str">
        <f>IFERROR(VLOOKUP(D752,CAARStatus!$A$2:$AA$1600,22,FALSE),"Not invoiced")</f>
        <v>Paid</v>
      </c>
      <c r="AD752" s="11">
        <f>IF(AC752="Paid",IFERROR(VLOOKUP(D752,CAARStatus!$A$2:$AA$1600,6,FALSE),"Pending"),"Pending")</f>
        <v>45897</v>
      </c>
      <c r="AE752" s="5" t="str">
        <f t="shared" si="254"/>
        <v>3246</v>
      </c>
      <c r="AF752" s="5" t="str">
        <f t="shared" si="255"/>
        <v>Les Pompes du St-Laurent Inc.</v>
      </c>
      <c r="AG752" s="5" t="str">
        <f t="shared" si="256"/>
        <v>CAD</v>
      </c>
      <c r="AH752" s="5">
        <f t="shared" si="257"/>
        <v>1299.76</v>
      </c>
      <c r="AI752" s="12">
        <f>IF(L752-N752=0,VLOOKUP(U752,rate!A$4:B$15,2,FALSE)*AH752,IF(AG752="USD",O752,AH752*Y752))</f>
        <v>948.25012993768348</v>
      </c>
      <c r="AJ752" s="13">
        <f t="shared" si="258"/>
        <v>0.72955786448089144</v>
      </c>
      <c r="AK752" s="13">
        <f>-IF(AG752="CAD",IFERROR(VLOOKUP(D752,CAARStatus!$A$1:$Y$1600,16,FALSE),0),0)</f>
        <v>-1299.76</v>
      </c>
      <c r="AL752" s="13">
        <f>-IF(AG752="USD",IFERROR(VLOOKUP(D752,CAARStatus!$A$1:$Y$1600,11,FALSE),0),0)</f>
        <v>0</v>
      </c>
      <c r="AM752" s="22">
        <f t="shared" si="259"/>
        <v>0</v>
      </c>
      <c r="AN752" s="12" t="str">
        <f t="shared" si="260"/>
        <v/>
      </c>
      <c r="AO752" s="12" t="str">
        <f t="shared" si="261"/>
        <v>Yes</v>
      </c>
      <c r="AP752" t="str">
        <f t="shared" si="246"/>
        <v>Yes</v>
      </c>
      <c r="AQ752" t="str">
        <f>IFERROR(VLOOKUP(Z752,InvBal!$L$4:$P$600,4,FALSE),"Pend")</f>
        <v>Pend</v>
      </c>
      <c r="AR752" t="str">
        <f>IFERROR(VLOOKUP(D752,Manual!$C$1:$E$22,2,FALSE),"Pend")</f>
        <v>Pend</v>
      </c>
      <c r="AS752" t="str">
        <f t="shared" si="262"/>
        <v>Yes</v>
      </c>
      <c r="AT752" t="str">
        <f t="shared" si="263"/>
        <v>Yes</v>
      </c>
      <c r="AU752" s="51" t="str">
        <f t="shared" si="264"/>
        <v>Yes</v>
      </c>
      <c r="AV752" s="12">
        <f>IFERROR(VLOOKUP(D752,'Receivable Invoice Detail'!$S$1:$U$3014,3,FALSE),0)</f>
        <v>0</v>
      </c>
      <c r="AW752" s="12">
        <f t="shared" si="265"/>
        <v>948.25012993768348</v>
      </c>
    </row>
    <row r="753" spans="1:49" ht="30" x14ac:dyDescent="0.25">
      <c r="A753" s="2">
        <v>1</v>
      </c>
      <c r="B753" s="2" t="s">
        <v>1021</v>
      </c>
      <c r="C753" s="2" t="s">
        <v>1022</v>
      </c>
      <c r="D753" s="2" t="s">
        <v>2985</v>
      </c>
      <c r="E753" s="2" t="s">
        <v>80</v>
      </c>
      <c r="F753" s="3">
        <v>45854.617523148147</v>
      </c>
      <c r="G753" s="3">
        <v>45854.616967592592</v>
      </c>
      <c r="H753" s="4">
        <v>45854</v>
      </c>
      <c r="I753" s="2" t="s">
        <v>36</v>
      </c>
      <c r="J753" s="2" t="s">
        <v>22</v>
      </c>
      <c r="K753" s="2">
        <v>1</v>
      </c>
      <c r="L753" s="2">
        <v>1069.4000000000001</v>
      </c>
      <c r="M753" s="2">
        <v>1069.4000000000001</v>
      </c>
      <c r="N753" s="2">
        <v>1069.4000000000001</v>
      </c>
      <c r="O753" s="2">
        <v>1018.48</v>
      </c>
      <c r="P753" s="2">
        <v>50.92</v>
      </c>
      <c r="Q753" s="2">
        <v>1069.4000000000001</v>
      </c>
      <c r="R753" s="2" t="s">
        <v>44</v>
      </c>
      <c r="S753" s="2"/>
      <c r="T753" s="2">
        <f t="shared" si="247"/>
        <v>1</v>
      </c>
      <c r="U753" s="18">
        <f t="shared" si="248"/>
        <v>7</v>
      </c>
      <c r="V753" s="18">
        <f t="shared" si="249"/>
        <v>2025</v>
      </c>
      <c r="W753" s="18">
        <f t="shared" si="250"/>
        <v>9</v>
      </c>
      <c r="X753" s="18">
        <f t="shared" si="251"/>
        <v>2025</v>
      </c>
      <c r="Y753" s="17">
        <f t="shared" si="244"/>
        <v>1</v>
      </c>
      <c r="Z753" t="str">
        <f t="shared" si="245"/>
        <v>SO17522</v>
      </c>
      <c r="AA753" s="11">
        <f t="shared" si="252"/>
        <v>45854.617523148147</v>
      </c>
      <c r="AB753" s="5" t="str">
        <f t="shared" si="253"/>
        <v>INV13209</v>
      </c>
      <c r="AC753" s="5" t="str">
        <f>IFERROR(VLOOKUP(D753,CAARStatus!$A$2:$AA$1600,22,FALSE),"Not invoiced")</f>
        <v>Paid</v>
      </c>
      <c r="AD753" s="11">
        <f>IF(AC753="Paid",IFERROR(VLOOKUP(D753,CAARStatus!$A$2:$AA$1600,6,FALSE),"Pending"),"Pending")</f>
        <v>45919</v>
      </c>
      <c r="AE753" s="5" t="str">
        <f t="shared" si="254"/>
        <v>4500605498</v>
      </c>
      <c r="AF753" s="5" t="str">
        <f t="shared" si="255"/>
        <v>Resolute Forest Products - Dolbeau</v>
      </c>
      <c r="AG753" s="5" t="str">
        <f t="shared" si="256"/>
        <v>CAD</v>
      </c>
      <c r="AH753" s="5">
        <f t="shared" si="257"/>
        <v>1018.48</v>
      </c>
      <c r="AI753" s="12">
        <f>IF(L753-N753=0,VLOOKUP(U753,rate!A$4:B$15,2,FALSE)*AH753,IF(AG753="USD",O753,AH753*Y753))</f>
        <v>743.04009381649837</v>
      </c>
      <c r="AJ753" s="13">
        <f t="shared" si="258"/>
        <v>0.72955786448089144</v>
      </c>
      <c r="AK753" s="13">
        <f>-IF(AG753="CAD",IFERROR(VLOOKUP(D753,CAARStatus!$A$1:$Y$1600,16,FALSE),0),0)</f>
        <v>-1018.48</v>
      </c>
      <c r="AL753" s="13">
        <f>-IF(AG753="USD",IFERROR(VLOOKUP(D753,CAARStatus!$A$1:$Y$1600,11,FALSE),0),0)</f>
        <v>0</v>
      </c>
      <c r="AM753" s="22">
        <f t="shared" si="259"/>
        <v>0</v>
      </c>
      <c r="AN753" s="12" t="str">
        <f t="shared" si="260"/>
        <v/>
      </c>
      <c r="AO753" s="12" t="str">
        <f t="shared" si="261"/>
        <v>Yes</v>
      </c>
      <c r="AP753" t="str">
        <f t="shared" si="246"/>
        <v>Yes</v>
      </c>
      <c r="AQ753" t="str">
        <f>IFERROR(VLOOKUP(Z753,InvBal!$L$4:$P$600,4,FALSE),"Pend")</f>
        <v>Pend</v>
      </c>
      <c r="AR753" t="str">
        <f>IFERROR(VLOOKUP(D753,Manual!$C$1:$E$22,2,FALSE),"Pend")</f>
        <v>Pend</v>
      </c>
      <c r="AS753" t="str">
        <f t="shared" si="262"/>
        <v>Yes</v>
      </c>
      <c r="AT753" t="str">
        <f t="shared" si="263"/>
        <v>Yes</v>
      </c>
      <c r="AU753" s="51" t="str">
        <f t="shared" si="264"/>
        <v>Yes</v>
      </c>
      <c r="AV753" s="12">
        <f>IFERROR(VLOOKUP(D753,'Receivable Invoice Detail'!$S$1:$U$3014,3,FALSE),0)</f>
        <v>0</v>
      </c>
      <c r="AW753" s="12">
        <f t="shared" si="265"/>
        <v>743.04009381649837</v>
      </c>
    </row>
    <row r="754" spans="1:49" ht="30" x14ac:dyDescent="0.25">
      <c r="A754" s="2">
        <v>1</v>
      </c>
      <c r="B754" s="2" t="s">
        <v>1017</v>
      </c>
      <c r="C754" s="2" t="s">
        <v>1018</v>
      </c>
      <c r="D754" s="2" t="s">
        <v>2987</v>
      </c>
      <c r="E754" s="2" t="s">
        <v>159</v>
      </c>
      <c r="F754" s="3">
        <v>45854.637928240743</v>
      </c>
      <c r="G754" s="3">
        <v>45854.637928240743</v>
      </c>
      <c r="H754" s="4">
        <v>45865</v>
      </c>
      <c r="I754" s="2" t="s">
        <v>40</v>
      </c>
      <c r="J754" s="2" t="s">
        <v>51</v>
      </c>
      <c r="K754" s="2">
        <v>0.73020122780158092</v>
      </c>
      <c r="L754" s="2">
        <v>15081.43177621778</v>
      </c>
      <c r="M754" s="2">
        <v>0</v>
      </c>
      <c r="N754" s="2">
        <v>11012.48</v>
      </c>
      <c r="O754" s="2">
        <v>11012.48</v>
      </c>
      <c r="P754" s="2"/>
      <c r="Q754" s="2">
        <v>11012.48</v>
      </c>
      <c r="R754" s="2" t="s">
        <v>44</v>
      </c>
      <c r="S754" s="2"/>
      <c r="T754" s="2">
        <f t="shared" si="247"/>
        <v>1</v>
      </c>
      <c r="U754" s="18">
        <f t="shared" si="248"/>
        <v>7</v>
      </c>
      <c r="V754" s="18">
        <f t="shared" si="249"/>
        <v>2025</v>
      </c>
      <c r="W754" s="18">
        <f t="shared" si="250"/>
        <v>9</v>
      </c>
      <c r="X754" s="18">
        <f t="shared" si="251"/>
        <v>2025</v>
      </c>
      <c r="Y754" s="2">
        <f t="shared" si="244"/>
        <v>0.73020122780158092</v>
      </c>
      <c r="Z754" t="str">
        <f t="shared" si="245"/>
        <v>SO17523</v>
      </c>
      <c r="AA754" s="11">
        <f t="shared" si="252"/>
        <v>45854.637928240743</v>
      </c>
      <c r="AB754" s="5" t="str">
        <f t="shared" si="253"/>
        <v>INV13253</v>
      </c>
      <c r="AC754" s="5" t="str">
        <f>IFERROR(VLOOKUP(D754,CAARStatus!$A$2:$AA$1600,22,FALSE),"Not invoiced")</f>
        <v>Paid</v>
      </c>
      <c r="AD754" s="11">
        <f>IF(AC754="Paid",IFERROR(VLOOKUP(D754,CAARStatus!$A$2:$AA$1600,6,FALSE),"Pending"),"Pending")</f>
        <v>45919</v>
      </c>
      <c r="AE754" s="5" t="str">
        <f t="shared" si="254"/>
        <v>PO 	4501238214</v>
      </c>
      <c r="AF754" s="5" t="str">
        <f t="shared" si="255"/>
        <v>Barrick Gold - Pueblo Viejo Dominicana Corporation</v>
      </c>
      <c r="AG754" s="5" t="str">
        <f t="shared" si="256"/>
        <v>USD</v>
      </c>
      <c r="AH754" s="5">
        <f t="shared" si="257"/>
        <v>15081.43177621778</v>
      </c>
      <c r="AI754" s="12">
        <f>IF(L754-N754=0,VLOOKUP(U754,rate!A$4:B$15,2,FALSE)*AH754,IF(AG754="USD",O754,AH754*Y754))</f>
        <v>11012.48</v>
      </c>
      <c r="AJ754" s="13">
        <f t="shared" si="258"/>
        <v>0.73020122780158092</v>
      </c>
      <c r="AK754" s="13">
        <f>-IF(AG754="CAD",IFERROR(VLOOKUP(D754,CAARStatus!$A$1:$Y$1600,16,FALSE),0),0)</f>
        <v>0</v>
      </c>
      <c r="AL754" s="13">
        <f>-IF(AG754="USD",IFERROR(VLOOKUP(D754,CAARStatus!$A$1:$Y$1600,11,FALSE),0),0)</f>
        <v>-11012.48</v>
      </c>
      <c r="AM754" s="22" t="str">
        <f t="shared" si="259"/>
        <v/>
      </c>
      <c r="AN754" s="12">
        <f t="shared" si="260"/>
        <v>0</v>
      </c>
      <c r="AO754" s="12" t="str">
        <f t="shared" si="261"/>
        <v>Yes</v>
      </c>
      <c r="AP754" t="str">
        <f t="shared" si="246"/>
        <v>Yes</v>
      </c>
      <c r="AQ754" t="str">
        <f>IFERROR(VLOOKUP(Z754,InvBal!$L$4:$P$600,4,FALSE),"Pend")</f>
        <v>Pend</v>
      </c>
      <c r="AR754" t="str">
        <f>IFERROR(VLOOKUP(D754,Manual!$C$1:$E$22,2,FALSE),"Pend")</f>
        <v>Pend</v>
      </c>
      <c r="AS754" t="str">
        <f t="shared" si="262"/>
        <v>Yes</v>
      </c>
      <c r="AT754" t="str">
        <f t="shared" si="263"/>
        <v>Yes</v>
      </c>
      <c r="AU754" s="51" t="str">
        <f t="shared" si="264"/>
        <v>Yes</v>
      </c>
      <c r="AV754" s="12">
        <f>IFERROR(VLOOKUP(D754,'Receivable Invoice Detail'!$S$1:$U$3014,3,FALSE),0)</f>
        <v>0</v>
      </c>
      <c r="AW754" s="12">
        <f t="shared" si="265"/>
        <v>11012.48</v>
      </c>
    </row>
    <row r="755" spans="1:49" x14ac:dyDescent="0.25">
      <c r="A755" s="2">
        <v>1</v>
      </c>
      <c r="B755" s="2" t="s">
        <v>1013</v>
      </c>
      <c r="C755" s="2" t="s">
        <v>1014</v>
      </c>
      <c r="D755" s="2" t="s">
        <v>2989</v>
      </c>
      <c r="E755" s="2" t="s">
        <v>54</v>
      </c>
      <c r="F755" s="3">
        <v>45854.655416666668</v>
      </c>
      <c r="G755" s="3">
        <v>45854.666388888887</v>
      </c>
      <c r="H755" s="4">
        <v>45973</v>
      </c>
      <c r="I755" s="2" t="s">
        <v>21</v>
      </c>
      <c r="J755" s="2" t="s">
        <v>22</v>
      </c>
      <c r="K755" s="2">
        <v>1</v>
      </c>
      <c r="L755" s="2">
        <v>1364.75</v>
      </c>
      <c r="M755" s="2">
        <v>1364.75</v>
      </c>
      <c r="N755" s="2">
        <v>1364.75</v>
      </c>
      <c r="O755" s="2">
        <v>1299.76</v>
      </c>
      <c r="P755" s="2">
        <v>64.989999999999995</v>
      </c>
      <c r="Q755" s="2">
        <v>1364.75</v>
      </c>
      <c r="R755" s="2" t="s">
        <v>44</v>
      </c>
      <c r="S755" s="2"/>
      <c r="T755" s="2">
        <f t="shared" si="247"/>
        <v>1</v>
      </c>
      <c r="U755" s="18">
        <f t="shared" si="248"/>
        <v>7</v>
      </c>
      <c r="V755" s="18">
        <f t="shared" si="249"/>
        <v>2025</v>
      </c>
      <c r="W755" s="18">
        <f t="shared" si="250"/>
        <v>10</v>
      </c>
      <c r="X755" s="18">
        <f t="shared" si="251"/>
        <v>2025</v>
      </c>
      <c r="Y755" s="2">
        <f t="shared" si="244"/>
        <v>1</v>
      </c>
      <c r="Z755" t="str">
        <f t="shared" si="245"/>
        <v>SO17524</v>
      </c>
      <c r="AA755" s="11">
        <f t="shared" si="252"/>
        <v>45854.655416666668</v>
      </c>
      <c r="AB755" s="5" t="str">
        <f t="shared" si="253"/>
        <v>INV13404</v>
      </c>
      <c r="AC755" s="5" t="str">
        <f>IFERROR(VLOOKUP(D755,CAARStatus!$A$2:$AA$1600,22,FALSE),"Not invoiced")</f>
        <v>Paid</v>
      </c>
      <c r="AD755" s="11">
        <f>IF(AC755="Paid",IFERROR(VLOOKUP(D755,CAARStatus!$A$2:$AA$1600,6,FALSE),"Pending"),"Pending")</f>
        <v>45954</v>
      </c>
      <c r="AE755" s="5" t="str">
        <f t="shared" si="254"/>
        <v>3247</v>
      </c>
      <c r="AF755" s="5" t="str">
        <f t="shared" si="255"/>
        <v>Les Pompes du St-Laurent Inc.</v>
      </c>
      <c r="AG755" s="5" t="str">
        <f t="shared" si="256"/>
        <v>CAD</v>
      </c>
      <c r="AH755" s="5">
        <f t="shared" si="257"/>
        <v>1299.76</v>
      </c>
      <c r="AI755" s="12">
        <f>IF(L755-N755=0,VLOOKUP(U755,rate!A$4:B$15,2,FALSE)*AH755,IF(AG755="USD",O755,AH755*Y755))</f>
        <v>948.25012993768348</v>
      </c>
      <c r="AJ755" s="13">
        <f t="shared" si="258"/>
        <v>0.72955786448089144</v>
      </c>
      <c r="AK755" s="13">
        <f>-IF(AG755="CAD",IFERROR(VLOOKUP(D755,CAARStatus!$A$1:$Y$1600,16,FALSE),0),0)</f>
        <v>-1299.76</v>
      </c>
      <c r="AL755" s="13">
        <f>-IF(AG755="USD",IFERROR(VLOOKUP(D755,CAARStatus!$A$1:$Y$1600,11,FALSE),0),0)</f>
        <v>0</v>
      </c>
      <c r="AM755" s="22">
        <f t="shared" si="259"/>
        <v>0</v>
      </c>
      <c r="AN755" s="12" t="str">
        <f t="shared" si="260"/>
        <v/>
      </c>
      <c r="AO755" s="12" t="str">
        <f t="shared" si="261"/>
        <v>Yes</v>
      </c>
      <c r="AP755" t="str">
        <f t="shared" si="246"/>
        <v>Yes</v>
      </c>
      <c r="AQ755" t="str">
        <f>IFERROR(VLOOKUP(Z755,InvBal!$L$4:$P$600,4,FALSE),"Pend")</f>
        <v>Pend</v>
      </c>
      <c r="AR755" t="str">
        <f>IFERROR(VLOOKUP(D755,Manual!$C$1:$E$22,2,FALSE),"Pend")</f>
        <v>Pend</v>
      </c>
      <c r="AS755" t="str">
        <f t="shared" si="262"/>
        <v>Yes</v>
      </c>
      <c r="AT755" t="str">
        <f t="shared" si="263"/>
        <v>Yes</v>
      </c>
      <c r="AU755" s="51" t="str">
        <f t="shared" si="264"/>
        <v>Yes</v>
      </c>
      <c r="AV755" s="12">
        <f>IFERROR(VLOOKUP(D755,'Receivable Invoice Detail'!$S$1:$U$3014,3,FALSE),0)</f>
        <v>0</v>
      </c>
      <c r="AW755" s="12">
        <f t="shared" si="265"/>
        <v>948.25012993768348</v>
      </c>
    </row>
    <row r="756" spans="1:49" ht="45" x14ac:dyDescent="0.25">
      <c r="A756" s="2">
        <v>1</v>
      </c>
      <c r="B756" s="2" t="s">
        <v>904</v>
      </c>
      <c r="C756" s="2" t="s">
        <v>905</v>
      </c>
      <c r="D756" s="2" t="s">
        <v>3054</v>
      </c>
      <c r="E756" s="2" t="s">
        <v>201</v>
      </c>
      <c r="F756" s="3">
        <v>45854.731724537043</v>
      </c>
      <c r="G756" s="3">
        <v>45870.711134259262</v>
      </c>
      <c r="H756" s="4">
        <v>45877</v>
      </c>
      <c r="I756" s="2" t="s">
        <v>36</v>
      </c>
      <c r="J756" s="2" t="s">
        <v>22</v>
      </c>
      <c r="K756" s="2">
        <v>1</v>
      </c>
      <c r="L756" s="2">
        <v>312.77</v>
      </c>
      <c r="M756" s="2">
        <v>312.77</v>
      </c>
      <c r="N756" s="2">
        <v>312.77</v>
      </c>
      <c r="O756" s="2">
        <v>297.88</v>
      </c>
      <c r="P756" s="2">
        <v>14.89</v>
      </c>
      <c r="Q756" s="2">
        <v>312.77</v>
      </c>
      <c r="R756" s="2" t="s">
        <v>44</v>
      </c>
      <c r="S756" s="2"/>
      <c r="T756" s="2">
        <f t="shared" si="247"/>
        <v>1</v>
      </c>
      <c r="U756" s="18">
        <f t="shared" si="248"/>
        <v>7</v>
      </c>
      <c r="V756" s="18">
        <f t="shared" si="249"/>
        <v>2025</v>
      </c>
      <c r="W756" s="18">
        <f t="shared" si="250"/>
        <v>10</v>
      </c>
      <c r="X756" s="18">
        <f t="shared" si="251"/>
        <v>2025</v>
      </c>
      <c r="Y756" s="17">
        <f t="shared" si="244"/>
        <v>1</v>
      </c>
      <c r="Z756" t="str">
        <f t="shared" si="245"/>
        <v>SO17525</v>
      </c>
      <c r="AA756" s="11">
        <f t="shared" si="252"/>
        <v>45854.731724537043</v>
      </c>
      <c r="AB756" s="5" t="str">
        <f t="shared" si="253"/>
        <v>INV13256</v>
      </c>
      <c r="AC756" s="5" t="str">
        <f>IFERROR(VLOOKUP(D756,CAARStatus!$A$2:$AA$1600,22,FALSE),"Not invoiced")</f>
        <v>Paid</v>
      </c>
      <c r="AD756" s="11">
        <f>IF(AC756="Paid",IFERROR(VLOOKUP(D756,CAARStatus!$A$2:$AA$1600,6,FALSE),"Pending"),"Pending")</f>
        <v>45931</v>
      </c>
      <c r="AE756" s="5" t="str">
        <f t="shared" si="254"/>
        <v>2100625314</v>
      </c>
      <c r="AF756" s="5" t="str">
        <f t="shared" si="255"/>
        <v>Wajax Limited - Val D'Or, Composants Industriels Wajax SC -57</v>
      </c>
      <c r="AG756" s="5" t="str">
        <f t="shared" si="256"/>
        <v>CAD</v>
      </c>
      <c r="AH756" s="5">
        <f t="shared" si="257"/>
        <v>297.88</v>
      </c>
      <c r="AI756" s="12">
        <f>IF(L756-N756=0,VLOOKUP(U756,rate!A$4:B$15,2,FALSE)*AH756,IF(AG756="USD",O756,AH756*Y756))</f>
        <v>217.32069667156793</v>
      </c>
      <c r="AJ756" s="13">
        <f t="shared" si="258"/>
        <v>0.72955786448089144</v>
      </c>
      <c r="AK756" s="13">
        <f>-IF(AG756="CAD",IFERROR(VLOOKUP(D756,CAARStatus!$A$1:$Y$1600,16,FALSE),0),0)</f>
        <v>-297.88</v>
      </c>
      <c r="AL756" s="13">
        <f>-IF(AG756="USD",IFERROR(VLOOKUP(D756,CAARStatus!$A$1:$Y$1600,11,FALSE),0),0)</f>
        <v>0</v>
      </c>
      <c r="AM756" s="22">
        <f t="shared" si="259"/>
        <v>0</v>
      </c>
      <c r="AN756" s="12" t="str">
        <f t="shared" si="260"/>
        <v/>
      </c>
      <c r="AO756" s="12" t="str">
        <f t="shared" si="261"/>
        <v>Yes</v>
      </c>
      <c r="AP756" t="str">
        <f t="shared" si="246"/>
        <v>Yes</v>
      </c>
      <c r="AQ756" t="str">
        <f>IFERROR(VLOOKUP(Z756,InvBal!$L$4:$P$600,4,FALSE),"Pend")</f>
        <v>Pend</v>
      </c>
      <c r="AR756" t="str">
        <f>IFERROR(VLOOKUP(D756,Manual!$C$1:$E$22,2,FALSE),"Pend")</f>
        <v>Pend</v>
      </c>
      <c r="AS756" t="str">
        <f t="shared" si="262"/>
        <v>Yes</v>
      </c>
      <c r="AT756" t="str">
        <f t="shared" si="263"/>
        <v>Yes</v>
      </c>
      <c r="AU756" s="51" t="str">
        <f t="shared" si="264"/>
        <v>Yes</v>
      </c>
      <c r="AV756" s="12">
        <f>IFERROR(VLOOKUP(D756,'Receivable Invoice Detail'!$S$1:$U$3014,3,FALSE),0)</f>
        <v>0</v>
      </c>
      <c r="AW756" s="12">
        <f t="shared" si="265"/>
        <v>217.32069667156793</v>
      </c>
    </row>
    <row r="757" spans="1:49" x14ac:dyDescent="0.25">
      <c r="A757" s="2">
        <v>2</v>
      </c>
      <c r="B757" s="2" t="s">
        <v>965</v>
      </c>
      <c r="C757" s="2" t="s">
        <v>966</v>
      </c>
      <c r="D757" s="2" t="s">
        <v>3019</v>
      </c>
      <c r="E757" s="2" t="s">
        <v>146</v>
      </c>
      <c r="F757" s="3">
        <v>45855.406944444447</v>
      </c>
      <c r="G757" s="3">
        <v>45861.508449074077</v>
      </c>
      <c r="H757" s="4">
        <v>45868</v>
      </c>
      <c r="I757" s="2" t="s">
        <v>40</v>
      </c>
      <c r="J757" s="2" t="s">
        <v>22</v>
      </c>
      <c r="K757" s="2">
        <v>1</v>
      </c>
      <c r="L757" s="2">
        <v>381.48</v>
      </c>
      <c r="M757" s="2">
        <v>0</v>
      </c>
      <c r="N757" s="2">
        <v>280.29058459556973</v>
      </c>
      <c r="O757" s="2">
        <v>363.32</v>
      </c>
      <c r="P757" s="2">
        <v>18.16</v>
      </c>
      <c r="Q757" s="2">
        <v>381.48</v>
      </c>
      <c r="R757" s="2" t="s">
        <v>44</v>
      </c>
      <c r="S757" s="2"/>
      <c r="T757" s="2">
        <f t="shared" si="247"/>
        <v>2</v>
      </c>
      <c r="U757" s="18">
        <f t="shared" si="248"/>
        <v>7</v>
      </c>
      <c r="V757" s="18">
        <f t="shared" si="249"/>
        <v>2025</v>
      </c>
      <c r="W757" s="18">
        <f t="shared" si="250"/>
        <v>8</v>
      </c>
      <c r="X757" s="18">
        <f t="shared" si="251"/>
        <v>2025</v>
      </c>
      <c r="Y757" s="17">
        <f t="shared" si="244"/>
        <v>0.73474516251328958</v>
      </c>
      <c r="Z757" t="str">
        <f t="shared" si="245"/>
        <v>SO17529</v>
      </c>
      <c r="AA757" s="11">
        <f t="shared" si="252"/>
        <v>45855.406944444447</v>
      </c>
      <c r="AB757" s="5" t="str">
        <f t="shared" si="253"/>
        <v>INV13225</v>
      </c>
      <c r="AC757" s="5" t="str">
        <f>IFERROR(VLOOKUP(D757,CAARStatus!$A$2:$AA$1600,22,FALSE),"Not invoiced")</f>
        <v>Paid</v>
      </c>
      <c r="AD757" s="11">
        <f>IF(AC757="Paid",IFERROR(VLOOKUP(D757,CAARStatus!$A$2:$AA$1600,6,FALSE),"Pending"),"Pending")</f>
        <v>45898</v>
      </c>
      <c r="AE757" s="5" t="str">
        <f t="shared" si="254"/>
        <v>7445</v>
      </c>
      <c r="AF757" s="5" t="str">
        <f t="shared" si="255"/>
        <v>Hyperflo</v>
      </c>
      <c r="AG757" s="5" t="str">
        <f t="shared" si="256"/>
        <v>CAD</v>
      </c>
      <c r="AH757" s="5">
        <f t="shared" si="257"/>
        <v>363.32</v>
      </c>
      <c r="AI757" s="12">
        <f>IF(L757-N757=0,VLOOKUP(U757,rate!A$4:B$15,2,FALSE)*AH757,IF(AG757="USD",O757,AH757*Y757))</f>
        <v>266.94761244432834</v>
      </c>
      <c r="AJ757" s="13">
        <f t="shared" si="258"/>
        <v>0.73474516251328947</v>
      </c>
      <c r="AK757" s="13">
        <f>-IF(AG757="CAD",IFERROR(VLOOKUP(D757,CAARStatus!$A$1:$Y$1600,16,FALSE),0),0)</f>
        <v>-315.32</v>
      </c>
      <c r="AL757" s="13">
        <f>-IF(AG757="USD",IFERROR(VLOOKUP(D757,CAARStatus!$A$1:$Y$1600,11,FALSE),0),0)</f>
        <v>0</v>
      </c>
      <c r="AM757" s="22">
        <f t="shared" si="259"/>
        <v>48</v>
      </c>
      <c r="AN757" s="12" t="str">
        <f t="shared" si="260"/>
        <v/>
      </c>
      <c r="AO757" s="12" t="str">
        <f t="shared" si="261"/>
        <v>Yes</v>
      </c>
      <c r="AP757" t="str">
        <f t="shared" si="246"/>
        <v>XX</v>
      </c>
      <c r="AQ757" t="str">
        <f>IFERROR(VLOOKUP(Z757,InvBal!$L$4:$P$600,4,FALSE),"Pend")</f>
        <v>Yes</v>
      </c>
      <c r="AR757" t="str">
        <f>IFERROR(VLOOKUP(D757,Manual!$C$1:$E$22,2,FALSE),"Pend")</f>
        <v>Pend</v>
      </c>
      <c r="AS757" t="str">
        <f t="shared" si="262"/>
        <v>Yes</v>
      </c>
      <c r="AT757" t="str">
        <f t="shared" si="263"/>
        <v>Yes</v>
      </c>
      <c r="AU757" s="51" t="str">
        <f t="shared" si="264"/>
        <v>Yes</v>
      </c>
      <c r="AV757" s="12">
        <f>IFERROR(VLOOKUP(D757,'Receivable Invoice Detail'!$S$1:$U$3014,3,FALSE),0)</f>
        <v>0</v>
      </c>
      <c r="AW757" s="12">
        <f t="shared" si="265"/>
        <v>266.94761244432834</v>
      </c>
    </row>
    <row r="758" spans="1:49" x14ac:dyDescent="0.25">
      <c r="A758" s="2"/>
      <c r="B758" s="2"/>
      <c r="C758" s="2"/>
      <c r="D758" s="2" t="s">
        <v>3018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>
        <f t="shared" si="247"/>
        <v>2</v>
      </c>
      <c r="U758" s="18">
        <f t="shared" si="248"/>
        <v>7</v>
      </c>
      <c r="V758" s="18">
        <f t="shared" si="249"/>
        <v>2025</v>
      </c>
      <c r="W758" s="18">
        <f t="shared" si="250"/>
        <v>9</v>
      </c>
      <c r="X758" s="18">
        <f t="shared" si="251"/>
        <v>2025</v>
      </c>
      <c r="Y758" s="17">
        <f t="shared" si="244"/>
        <v>0.73474516251328958</v>
      </c>
      <c r="Z758" t="str">
        <f t="shared" si="245"/>
        <v>SO17529</v>
      </c>
      <c r="AA758" s="11">
        <f t="shared" si="252"/>
        <v>45855.406944444447</v>
      </c>
      <c r="AB758" s="5" t="str">
        <f t="shared" si="253"/>
        <v>INV13243</v>
      </c>
      <c r="AC758" s="5" t="str">
        <f>IFERROR(VLOOKUP(D758,CAARStatus!$A$2:$AA$1600,22,FALSE),"Not invoiced")</f>
        <v>Paid</v>
      </c>
      <c r="AD758" s="11">
        <f>IF(AC758="Paid",IFERROR(VLOOKUP(D758,CAARStatus!$A$2:$AA$1600,6,FALSE),"Pending"),"Pending")</f>
        <v>45912</v>
      </c>
      <c r="AE758" s="5" t="str">
        <f t="shared" si="254"/>
        <v>7445</v>
      </c>
      <c r="AF758" s="5" t="str">
        <f t="shared" si="255"/>
        <v>Hyperflo</v>
      </c>
      <c r="AG758" s="5" t="str">
        <f t="shared" si="256"/>
        <v>CAD</v>
      </c>
      <c r="AH758" s="5">
        <f t="shared" si="257"/>
        <v>0</v>
      </c>
      <c r="AI758" s="12">
        <f>IF(L758-N758=0,VLOOKUP(U758,rate!A$4:B$15,2,FALSE)*AH758,IF(AG758="USD",O758,AH758*Y758))</f>
        <v>0</v>
      </c>
      <c r="AJ758" s="13">
        <f t="shared" si="258"/>
        <v>0</v>
      </c>
      <c r="AK758" s="13">
        <f>-IF(AG758="CAD",IFERROR(VLOOKUP(D758,CAARStatus!$A$1:$Y$1600,16,FALSE),0),0)</f>
        <v>-48</v>
      </c>
      <c r="AL758" s="13">
        <f>-IF(AG758="USD",IFERROR(VLOOKUP(D758,CAARStatus!$A$1:$Y$1600,11,FALSE),0),0)</f>
        <v>0</v>
      </c>
      <c r="AM758" s="22">
        <f t="shared" si="259"/>
        <v>-48</v>
      </c>
      <c r="AN758" s="12" t="str">
        <f t="shared" si="260"/>
        <v/>
      </c>
      <c r="AO758" s="12" t="str">
        <f t="shared" si="261"/>
        <v>Yes</v>
      </c>
      <c r="AP758" t="str">
        <f t="shared" si="246"/>
        <v>XX</v>
      </c>
      <c r="AQ758" t="str">
        <f>IFERROR(VLOOKUP(Z758,InvBal!$L$4:$P$600,4,FALSE),"Pend")</f>
        <v>Yes</v>
      </c>
      <c r="AR758" t="str">
        <f>IFERROR(VLOOKUP(D758,Manual!$C$1:$E$22,2,FALSE),"Pend")</f>
        <v>Pend</v>
      </c>
      <c r="AS758" t="str">
        <f t="shared" si="262"/>
        <v>Yes</v>
      </c>
      <c r="AT758" t="str">
        <f t="shared" si="263"/>
        <v/>
      </c>
      <c r="AU758" s="51" t="str">
        <f t="shared" si="264"/>
        <v/>
      </c>
      <c r="AV758" s="12">
        <f>IFERROR(VLOOKUP(D758,'Receivable Invoice Detail'!$S$1:$U$3014,3,FALSE),0)</f>
        <v>0</v>
      </c>
      <c r="AW758" s="12">
        <f t="shared" si="265"/>
        <v>0</v>
      </c>
    </row>
    <row r="759" spans="1:49" ht="30" x14ac:dyDescent="0.25">
      <c r="A759" s="2">
        <v>1</v>
      </c>
      <c r="B759" s="2" t="s">
        <v>971</v>
      </c>
      <c r="C759" s="2" t="s">
        <v>972</v>
      </c>
      <c r="D759" s="2" t="s">
        <v>3015</v>
      </c>
      <c r="E759" s="2" t="s">
        <v>20</v>
      </c>
      <c r="F759" s="3">
        <v>45855.434606481482</v>
      </c>
      <c r="G759" s="3">
        <v>45860.676944444444</v>
      </c>
      <c r="H759" s="4">
        <v>45937</v>
      </c>
      <c r="I759" s="2" t="s">
        <v>21</v>
      </c>
      <c r="J759" s="2" t="s">
        <v>22</v>
      </c>
      <c r="K759" s="2">
        <v>1</v>
      </c>
      <c r="L759" s="2">
        <v>3358.67</v>
      </c>
      <c r="M759" s="2">
        <v>3358.67</v>
      </c>
      <c r="N759" s="2">
        <v>3358.67</v>
      </c>
      <c r="O759" s="2">
        <v>3198.73</v>
      </c>
      <c r="P759" s="2">
        <v>159.94</v>
      </c>
      <c r="Q759" s="2">
        <v>3358.67</v>
      </c>
      <c r="R759" s="2" t="s">
        <v>44</v>
      </c>
      <c r="S759" s="2"/>
      <c r="T759" s="2">
        <f t="shared" si="247"/>
        <v>1</v>
      </c>
      <c r="U759" s="18">
        <f t="shared" si="248"/>
        <v>7</v>
      </c>
      <c r="V759" s="18">
        <f t="shared" si="249"/>
        <v>2025</v>
      </c>
      <c r="W759" s="18">
        <f t="shared" si="250"/>
        <v>11</v>
      </c>
      <c r="X759" s="18">
        <f t="shared" si="251"/>
        <v>2025</v>
      </c>
      <c r="Y759" s="17">
        <f t="shared" si="244"/>
        <v>1</v>
      </c>
      <c r="Z759" t="str">
        <f t="shared" si="245"/>
        <v>SO17530</v>
      </c>
      <c r="AA759" s="11">
        <f t="shared" si="252"/>
        <v>45855.434606481482</v>
      </c>
      <c r="AB759" s="5" t="str">
        <f t="shared" si="253"/>
        <v>INV13461</v>
      </c>
      <c r="AC759" s="5" t="str">
        <f>IFERROR(VLOOKUP(D759,CAARStatus!$A$2:$AA$1600,22,FALSE),"Not invoiced")</f>
        <v>Paid</v>
      </c>
      <c r="AD759" s="11">
        <f>IF(AC759="Paid",IFERROR(VLOOKUP(D759,CAARStatus!$A$2:$AA$1600,6,FALSE),"Pending"),"Pending")</f>
        <v>45989</v>
      </c>
      <c r="AE759" s="5" t="str">
        <f t="shared" si="254"/>
        <v>4500606394</v>
      </c>
      <c r="AF759" s="5" t="str">
        <f t="shared" si="255"/>
        <v>Resolute Forest Products - Saint-Felicien</v>
      </c>
      <c r="AG759" s="5" t="str">
        <f t="shared" si="256"/>
        <v>CAD</v>
      </c>
      <c r="AH759" s="5">
        <f t="shared" si="257"/>
        <v>3198.73</v>
      </c>
      <c r="AI759" s="12">
        <f>IF(L759-N759=0,VLOOKUP(U759,rate!A$4:B$15,2,FALSE)*AH759,IF(AG759="USD",O759,AH759*Y759))</f>
        <v>2333.6586278509617</v>
      </c>
      <c r="AJ759" s="13">
        <f t="shared" si="258"/>
        <v>0.72955786448089133</v>
      </c>
      <c r="AK759" s="13">
        <f>-IF(AG759="CAD",IFERROR(VLOOKUP(D759,CAARStatus!$A$1:$Y$1600,16,FALSE),0),0)</f>
        <v>-3198.73</v>
      </c>
      <c r="AL759" s="13">
        <f>-IF(AG759="USD",IFERROR(VLOOKUP(D759,CAARStatus!$A$1:$Y$1600,11,FALSE),0),0)</f>
        <v>0</v>
      </c>
      <c r="AM759" s="22">
        <f t="shared" si="259"/>
        <v>0</v>
      </c>
      <c r="AN759" s="12" t="str">
        <f t="shared" si="260"/>
        <v/>
      </c>
      <c r="AO759" s="12" t="str">
        <f t="shared" si="261"/>
        <v>Yes</v>
      </c>
      <c r="AP759" t="str">
        <f t="shared" si="246"/>
        <v>Yes</v>
      </c>
      <c r="AQ759" t="str">
        <f>IFERROR(VLOOKUP(Z759,InvBal!$L$4:$P$600,4,FALSE),"Pend")</f>
        <v>Pend</v>
      </c>
      <c r="AR759" t="str">
        <f>IFERROR(VLOOKUP(D759,Manual!$C$1:$E$22,2,FALSE),"Pend")</f>
        <v>Pend</v>
      </c>
      <c r="AS759" t="str">
        <f t="shared" si="262"/>
        <v>Yes</v>
      </c>
      <c r="AT759" t="str">
        <f t="shared" si="263"/>
        <v>Yes</v>
      </c>
      <c r="AU759" s="51" t="str">
        <f t="shared" si="264"/>
        <v>Yes</v>
      </c>
      <c r="AV759" s="12">
        <f>IFERROR(VLOOKUP(D759,'Receivable Invoice Detail'!$S$1:$U$3014,3,FALSE),0)</f>
        <v>0</v>
      </c>
      <c r="AW759" s="12">
        <f t="shared" si="265"/>
        <v>2333.6586278509617</v>
      </c>
    </row>
    <row r="760" spans="1:49" x14ac:dyDescent="0.25">
      <c r="A760" s="2">
        <v>2</v>
      </c>
      <c r="B760" s="2" t="s">
        <v>1009</v>
      </c>
      <c r="C760" s="2" t="s">
        <v>1010</v>
      </c>
      <c r="D760" s="2" t="s">
        <v>2992</v>
      </c>
      <c r="E760" s="2" t="s">
        <v>77</v>
      </c>
      <c r="F760" s="3">
        <v>45855.498680555553</v>
      </c>
      <c r="G760" s="3">
        <v>45855.512326388889</v>
      </c>
      <c r="H760" s="4">
        <v>45868</v>
      </c>
      <c r="I760" s="2" t="s">
        <v>40</v>
      </c>
      <c r="J760" s="2" t="s">
        <v>22</v>
      </c>
      <c r="K760" s="2">
        <v>1</v>
      </c>
      <c r="L760" s="2">
        <v>1669.33</v>
      </c>
      <c r="M760" s="2">
        <v>0</v>
      </c>
      <c r="N760" s="2">
        <v>1214.102495481528</v>
      </c>
      <c r="O760" s="2">
        <v>1589.84</v>
      </c>
      <c r="P760" s="2">
        <v>79.489999999999995</v>
      </c>
      <c r="Q760" s="2">
        <v>1669.33</v>
      </c>
      <c r="R760" s="2" t="s">
        <v>44</v>
      </c>
      <c r="S760" s="2"/>
      <c r="T760" s="2">
        <f t="shared" si="247"/>
        <v>2</v>
      </c>
      <c r="U760" s="18">
        <f t="shared" si="248"/>
        <v>7</v>
      </c>
      <c r="V760" s="18">
        <f t="shared" si="249"/>
        <v>2025</v>
      </c>
      <c r="W760" s="18">
        <f t="shared" si="250"/>
        <v>7</v>
      </c>
      <c r="X760" s="18">
        <f t="shared" si="251"/>
        <v>2025</v>
      </c>
      <c r="Y760" s="17">
        <f t="shared" si="244"/>
        <v>0.72729927305058195</v>
      </c>
      <c r="Z760" t="str">
        <f t="shared" si="245"/>
        <v>SO17531</v>
      </c>
      <c r="AA760" s="11">
        <f t="shared" si="252"/>
        <v>45855.498680555553</v>
      </c>
      <c r="AB760" s="5" t="str">
        <f t="shared" si="253"/>
        <v>INV13196</v>
      </c>
      <c r="AC760" s="5" t="str">
        <f>IFERROR(VLOOKUP(D760,CAARStatus!$A$2:$AA$1600,22,FALSE),"Not invoiced")</f>
        <v>Paid</v>
      </c>
      <c r="AD760" s="11">
        <f>IF(AC760="Paid",IFERROR(VLOOKUP(D760,CAARStatus!$A$2:$AA$1600,6,FALSE),"Pending"),"Pending")</f>
        <v>45868</v>
      </c>
      <c r="AE760" s="5" t="str">
        <f t="shared" si="254"/>
        <v>PO-40-1016692</v>
      </c>
      <c r="AF760" s="5" t="str">
        <f t="shared" si="255"/>
        <v>Canadian Bearings Ltd.</v>
      </c>
      <c r="AG760" s="5" t="str">
        <f t="shared" si="256"/>
        <v>CAD</v>
      </c>
      <c r="AH760" s="5">
        <f t="shared" si="257"/>
        <v>1589.84</v>
      </c>
      <c r="AI760" s="12">
        <f>IF(L760-N760=0,VLOOKUP(U760,rate!A$4:B$15,2,FALSE)*AH760,IF(AG760="USD",O760,AH760*Y760))</f>
        <v>1156.2894762667372</v>
      </c>
      <c r="AJ760" s="13">
        <f t="shared" si="258"/>
        <v>0.72729927305058195</v>
      </c>
      <c r="AK760" s="61">
        <f>IF(AC760="Paid",-IF(AG760="CAD",IFERROR(VLOOKUP(D760,CAARStatus!$A$1:$Y$1600,16,FALSE),0),0),0)</f>
        <v>-452.68</v>
      </c>
      <c r="AL760" s="61">
        <f>IF(AC760="Paid",-IF(AG760="USD",IFERROR(VLOOKUP(D760,CAARStatus!$A$1:$Y$1600,11,FALSE),0),0),0)</f>
        <v>0</v>
      </c>
      <c r="AM760" s="22">
        <f t="shared" si="259"/>
        <v>1137.1599999999999</v>
      </c>
      <c r="AN760" s="12" t="str">
        <f t="shared" si="260"/>
        <v/>
      </c>
      <c r="AO760" s="12" t="str">
        <f t="shared" si="261"/>
        <v>Yes</v>
      </c>
      <c r="AP760" t="str">
        <f t="shared" si="246"/>
        <v>XX</v>
      </c>
      <c r="AQ760" t="str">
        <f>IFERROR(VLOOKUP(Z760,InvBal!$L$4:$P$600,4,FALSE),"Pend")</f>
        <v>Yes</v>
      </c>
      <c r="AR760" t="str">
        <f>IFERROR(VLOOKUP(D760,Manual!$C$1:$E$22,2,FALSE),"Pend")</f>
        <v>Pend</v>
      </c>
      <c r="AS760" t="str">
        <f t="shared" si="262"/>
        <v>Yes</v>
      </c>
      <c r="AT760" t="str">
        <f t="shared" si="263"/>
        <v>Yes</v>
      </c>
      <c r="AU760" s="51" t="str">
        <f t="shared" si="264"/>
        <v>Yes</v>
      </c>
      <c r="AV760" s="12">
        <f>IFERROR(VLOOKUP(D760,'Receivable Invoice Detail'!$S$1:$U$3014,3,FALSE),0)</f>
        <v>0</v>
      </c>
      <c r="AW760" s="12">
        <f t="shared" si="265"/>
        <v>1156.2894762667372</v>
      </c>
    </row>
    <row r="761" spans="1:49" x14ac:dyDescent="0.25">
      <c r="A761" s="2"/>
      <c r="B761" s="2"/>
      <c r="C761" s="2"/>
      <c r="D761" s="2" t="s">
        <v>2991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>
        <f t="shared" si="247"/>
        <v>2</v>
      </c>
      <c r="U761" s="18">
        <f t="shared" si="248"/>
        <v>7</v>
      </c>
      <c r="V761" s="18">
        <f t="shared" si="249"/>
        <v>2025</v>
      </c>
      <c r="W761" s="18">
        <f t="shared" si="250"/>
        <v>10</v>
      </c>
      <c r="X761" s="18">
        <f t="shared" si="251"/>
        <v>2025</v>
      </c>
      <c r="Y761" s="2">
        <f t="shared" si="244"/>
        <v>0.72729927305058195</v>
      </c>
      <c r="Z761" t="str">
        <f t="shared" si="245"/>
        <v>SO17531</v>
      </c>
      <c r="AA761" s="11">
        <f t="shared" si="252"/>
        <v>45855.498680555553</v>
      </c>
      <c r="AB761" s="5" t="str">
        <f t="shared" si="253"/>
        <v>INV13270</v>
      </c>
      <c r="AC761" s="5" t="str">
        <f>IFERROR(VLOOKUP(D761,CAARStatus!$A$2:$AA$1600,22,FALSE),"Not invoiced")</f>
        <v>Paid</v>
      </c>
      <c r="AD761" s="11">
        <f>IF(AC761="Paid",IFERROR(VLOOKUP(D761,CAARStatus!$A$2:$AA$1600,6,FALSE),"Pending"),"Pending")</f>
        <v>45940</v>
      </c>
      <c r="AE761" s="5" t="str">
        <f t="shared" si="254"/>
        <v>PO-40-1016692</v>
      </c>
      <c r="AF761" s="5" t="str">
        <f t="shared" si="255"/>
        <v>Canadian Bearings Ltd.</v>
      </c>
      <c r="AG761" s="5" t="str">
        <f t="shared" si="256"/>
        <v>CAD</v>
      </c>
      <c r="AH761" s="5">
        <f t="shared" si="257"/>
        <v>0</v>
      </c>
      <c r="AI761" s="12">
        <f>IF(L761-N761=0,VLOOKUP(U761,rate!A$4:B$15,2,FALSE)*AH761,IF(AG761="USD",O761,AH761*Y761))</f>
        <v>0</v>
      </c>
      <c r="AJ761" s="13">
        <f t="shared" si="258"/>
        <v>0</v>
      </c>
      <c r="AK761" s="61">
        <f>IF(AC761="Paid",-IF(AG761="CAD",IFERROR(VLOOKUP(D761,CAARStatus!$A$1:$Y$1600,16,FALSE),0),0),0)</f>
        <v>-1137.1600000000001</v>
      </c>
      <c r="AL761" s="61">
        <f>IF(AC761="Paid",-IF(AG761="USD",IFERROR(VLOOKUP(D761,CAARStatus!$A$1:$Y$1600,11,FALSE),0),0),0)</f>
        <v>0</v>
      </c>
      <c r="AM761" s="22">
        <f t="shared" si="259"/>
        <v>-1137.1600000000001</v>
      </c>
      <c r="AN761" s="12" t="str">
        <f t="shared" si="260"/>
        <v/>
      </c>
      <c r="AO761" s="12" t="str">
        <f t="shared" si="261"/>
        <v>Yes</v>
      </c>
      <c r="AP761" t="str">
        <f t="shared" si="246"/>
        <v>XX</v>
      </c>
      <c r="AQ761" t="str">
        <f>IFERROR(VLOOKUP(Z761,InvBal!$L$4:$P$600,4,FALSE),"Pend")</f>
        <v>Yes</v>
      </c>
      <c r="AR761" t="str">
        <f>IFERROR(VLOOKUP(D761,Manual!$C$1:$E$22,2,FALSE),"Pend")</f>
        <v>Pend</v>
      </c>
      <c r="AS761" t="str">
        <f t="shared" si="262"/>
        <v>Yes</v>
      </c>
      <c r="AT761" t="str">
        <f t="shared" si="263"/>
        <v/>
      </c>
      <c r="AU761" s="51" t="str">
        <f t="shared" si="264"/>
        <v/>
      </c>
      <c r="AV761" s="12">
        <f>IFERROR(VLOOKUP(D761,'Receivable Invoice Detail'!$S$1:$U$3014,3,FALSE),0)</f>
        <v>0</v>
      </c>
      <c r="AW761" s="12">
        <f t="shared" si="265"/>
        <v>0</v>
      </c>
    </row>
    <row r="762" spans="1:49" x14ac:dyDescent="0.25">
      <c r="A762" s="2">
        <v>2</v>
      </c>
      <c r="B762" s="2" t="s">
        <v>987</v>
      </c>
      <c r="C762" s="2" t="s">
        <v>988</v>
      </c>
      <c r="D762" s="2" t="s">
        <v>5887</v>
      </c>
      <c r="E762" s="2" t="s">
        <v>54</v>
      </c>
      <c r="F762" s="3">
        <v>45855.543726851851</v>
      </c>
      <c r="G762" s="3">
        <v>45859.483402777783</v>
      </c>
      <c r="H762" s="4">
        <v>45943</v>
      </c>
      <c r="I762" s="2" t="s">
        <v>21</v>
      </c>
      <c r="J762" s="2" t="s">
        <v>22</v>
      </c>
      <c r="K762" s="2">
        <v>1</v>
      </c>
      <c r="L762" s="2">
        <v>25775.86</v>
      </c>
      <c r="M762" s="2">
        <v>0</v>
      </c>
      <c r="N762" s="2">
        <v>18828.91720735679</v>
      </c>
      <c r="O762" s="2">
        <v>24548.44</v>
      </c>
      <c r="P762" s="2">
        <v>1227.42</v>
      </c>
      <c r="Q762" s="2">
        <v>25775.86</v>
      </c>
      <c r="R762" s="2" t="s">
        <v>44</v>
      </c>
      <c r="S762" s="2"/>
      <c r="T762" s="2">
        <f t="shared" si="247"/>
        <v>2</v>
      </c>
      <c r="U762" s="18">
        <f t="shared" si="248"/>
        <v>7</v>
      </c>
      <c r="V762" s="18">
        <f t="shared" si="249"/>
        <v>2025</v>
      </c>
      <c r="W762" s="18" t="str">
        <f t="shared" si="250"/>
        <v/>
      </c>
      <c r="X762" s="18" t="str">
        <f t="shared" si="251"/>
        <v/>
      </c>
      <c r="Y762" s="17">
        <f t="shared" si="244"/>
        <v>0.73048647871911121</v>
      </c>
      <c r="Z762" t="str">
        <f t="shared" si="245"/>
        <v>SO17532</v>
      </c>
      <c r="AA762" s="11">
        <f t="shared" si="252"/>
        <v>45855.543726851851</v>
      </c>
      <c r="AB762" s="5" t="str">
        <f t="shared" si="253"/>
        <v>INV13719</v>
      </c>
      <c r="AC762" s="5" t="str">
        <f>IFERROR(VLOOKUP(D762,CAARStatus!$A$2:$AA$1600,22,FALSE),"Not invoiced")</f>
        <v>Approved</v>
      </c>
      <c r="AD762" s="11" t="str">
        <f>IF(AC762="Paid",IFERROR(VLOOKUP(D762,CAARStatus!$A$2:$AA$1600,6,FALSE),"Pending"),"Pending")</f>
        <v>Pending</v>
      </c>
      <c r="AE762" s="5" t="str">
        <f t="shared" si="254"/>
        <v>3250</v>
      </c>
      <c r="AF762" s="5" t="str">
        <f t="shared" si="255"/>
        <v>Les Pompes du St-Laurent Inc.</v>
      </c>
      <c r="AG762" s="5" t="str">
        <f t="shared" si="256"/>
        <v>CAD</v>
      </c>
      <c r="AH762" s="5">
        <f t="shared" si="257"/>
        <v>24548.44</v>
      </c>
      <c r="AI762" s="12">
        <f>IF(L762-N762=0,VLOOKUP(U762,rate!A$4:B$15,2,FALSE)*AH762,IF(AG762="USD",O762,AH762*Y762))</f>
        <v>17932.303493647378</v>
      </c>
      <c r="AJ762" s="13">
        <f t="shared" si="258"/>
        <v>0.73048647871911121</v>
      </c>
      <c r="AK762" s="61">
        <f>IF(AC762="Paid",-IF(AG762="CAD",IFERROR(VLOOKUP(D762,CAARStatus!$A$1:$Y$1600,16,FALSE),0),0),0)</f>
        <v>0</v>
      </c>
      <c r="AL762" s="61">
        <f>IF(AC762="Paid",-IF(AG762="USD",IFERROR(VLOOKUP(D762,CAARStatus!$A$1:$Y$1600,11,FALSE),0),0),0)</f>
        <v>0</v>
      </c>
      <c r="AM762" s="22">
        <f t="shared" si="259"/>
        <v>24548.44</v>
      </c>
      <c r="AN762" s="12" t="str">
        <f t="shared" si="260"/>
        <v/>
      </c>
      <c r="AO762" s="12" t="str">
        <f t="shared" si="261"/>
        <v>Pend</v>
      </c>
      <c r="AP762" t="str">
        <f t="shared" si="246"/>
        <v>XX</v>
      </c>
      <c r="AQ762">
        <f>IFERROR(VLOOKUP(Z762,InvBal!$L$4:$P$600,4,FALSE),"Pend")</f>
        <v>0</v>
      </c>
      <c r="AR762" t="str">
        <f>IFERROR(VLOOKUP(D762,Manual!$C$1:$E$22,2,FALSE),"Pend")</f>
        <v>Pend</v>
      </c>
      <c r="AS762" t="str">
        <f t="shared" si="262"/>
        <v/>
      </c>
      <c r="AT762" t="str">
        <f t="shared" si="263"/>
        <v>Yes</v>
      </c>
      <c r="AU762" s="51" t="str">
        <f t="shared" si="264"/>
        <v/>
      </c>
      <c r="AV762" s="12">
        <f>IFERROR(VLOOKUP(D762,'Receivable Invoice Detail'!$S$1:$U$3014,3,FALSE),0)</f>
        <v>0</v>
      </c>
      <c r="AW762" s="12">
        <f t="shared" si="265"/>
        <v>0</v>
      </c>
    </row>
    <row r="763" spans="1:49" x14ac:dyDescent="0.25">
      <c r="A763" s="2"/>
      <c r="B763" s="2"/>
      <c r="C763" s="2"/>
      <c r="D763" s="2" t="s">
        <v>3008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>
        <f t="shared" si="247"/>
        <v>2</v>
      </c>
      <c r="U763" s="18">
        <f t="shared" si="248"/>
        <v>7</v>
      </c>
      <c r="V763" s="18">
        <f t="shared" si="249"/>
        <v>2025</v>
      </c>
      <c r="W763" s="18" t="str">
        <f t="shared" si="250"/>
        <v/>
      </c>
      <c r="X763" s="18" t="str">
        <f t="shared" si="251"/>
        <v/>
      </c>
      <c r="Y763" s="2">
        <f t="shared" si="244"/>
        <v>0.73048647871911121</v>
      </c>
      <c r="Z763" t="str">
        <f t="shared" si="245"/>
        <v>SO17532</v>
      </c>
      <c r="AA763" s="11">
        <f t="shared" si="252"/>
        <v>45855.543726851851</v>
      </c>
      <c r="AB763" s="5" t="str">
        <f t="shared" si="253"/>
        <v>INV13511</v>
      </c>
      <c r="AC763" s="5" t="str">
        <f>IFERROR(VLOOKUP(D763,CAARStatus!$A$2:$AA$1600,22,FALSE),"Not invoiced")</f>
        <v>Not invoiced</v>
      </c>
      <c r="AD763" s="11" t="str">
        <f>IF(AC763="Paid",IFERROR(VLOOKUP(D763,CAARStatus!$A$2:$AA$1600,6,FALSE),"Pending"),"Pending")</f>
        <v>Pending</v>
      </c>
      <c r="AE763" s="5" t="str">
        <f t="shared" si="254"/>
        <v>3250</v>
      </c>
      <c r="AF763" s="5" t="str">
        <f t="shared" si="255"/>
        <v>Les Pompes du St-Laurent Inc.</v>
      </c>
      <c r="AG763" s="5" t="str">
        <f t="shared" si="256"/>
        <v>CAD</v>
      </c>
      <c r="AH763" s="5">
        <f t="shared" si="257"/>
        <v>0</v>
      </c>
      <c r="AI763" s="12">
        <f>IF(L763-N763=0,VLOOKUP(U763,rate!A$4:B$15,2,FALSE)*AH763,IF(AG763="USD",O763,AH763*Y763))</f>
        <v>0</v>
      </c>
      <c r="AJ763" s="13">
        <f t="shared" si="258"/>
        <v>0</v>
      </c>
      <c r="AK763" s="13">
        <f>-IF(AG763="CAD",IFERROR(VLOOKUP(D763,CAARStatus!$A$1:$Y$1600,16,FALSE),0),0)</f>
        <v>0</v>
      </c>
      <c r="AL763" s="13">
        <f>-IF(AG763="USD",IFERROR(VLOOKUP(D763,CAARStatus!$A$1:$Y$1600,11,FALSE),0),0)</f>
        <v>0</v>
      </c>
      <c r="AM763" s="22">
        <f t="shared" si="259"/>
        <v>0</v>
      </c>
      <c r="AN763" s="12" t="str">
        <f t="shared" si="260"/>
        <v/>
      </c>
      <c r="AO763" s="12" t="str">
        <f t="shared" si="261"/>
        <v>Pend</v>
      </c>
      <c r="AP763" t="str">
        <f t="shared" si="246"/>
        <v>XX</v>
      </c>
      <c r="AQ763">
        <f>IFERROR(VLOOKUP(Z763,InvBal!$L$4:$P$600,4,FALSE),"Pend")</f>
        <v>0</v>
      </c>
      <c r="AR763" t="str">
        <f>IFERROR(VLOOKUP(D763,Manual!$C$1:$E$22,2,FALSE),"Pend")</f>
        <v>Pend</v>
      </c>
      <c r="AS763" t="str">
        <f t="shared" si="262"/>
        <v/>
      </c>
      <c r="AT763" t="str">
        <f t="shared" si="263"/>
        <v/>
      </c>
      <c r="AU763" s="51" t="str">
        <f t="shared" si="264"/>
        <v/>
      </c>
      <c r="AV763" s="12">
        <f>IFERROR(VLOOKUP(D763,'Receivable Invoice Detail'!$S$1:$U$3014,3,FALSE),0)</f>
        <v>0</v>
      </c>
      <c r="AW763" s="12">
        <f t="shared" si="265"/>
        <v>0</v>
      </c>
    </row>
    <row r="764" spans="1:49" x14ac:dyDescent="0.25">
      <c r="A764" s="2">
        <v>2</v>
      </c>
      <c r="B764" s="2" t="s">
        <v>867</v>
      </c>
      <c r="C764" s="2" t="s">
        <v>868</v>
      </c>
      <c r="D764" s="2" t="s">
        <v>3071</v>
      </c>
      <c r="E764" s="2" t="s">
        <v>869</v>
      </c>
      <c r="F764" s="3">
        <v>45855.661053240743</v>
      </c>
      <c r="G764" s="3">
        <v>45880.557106481479</v>
      </c>
      <c r="H764" s="4">
        <v>45985</v>
      </c>
      <c r="I764" s="2" t="s">
        <v>21</v>
      </c>
      <c r="J764" s="2" t="s">
        <v>51</v>
      </c>
      <c r="K764" s="2">
        <v>0.72687673995949531</v>
      </c>
      <c r="L764" s="2">
        <v>3595.2725631936241</v>
      </c>
      <c r="M764" s="2">
        <v>0</v>
      </c>
      <c r="N764" s="2">
        <v>2613.3200000000002</v>
      </c>
      <c r="O764" s="2">
        <v>2613.3200000000002</v>
      </c>
      <c r="P764" s="2"/>
      <c r="Q764" s="2">
        <v>2613.3200000000002</v>
      </c>
      <c r="R764" s="2" t="s">
        <v>44</v>
      </c>
      <c r="S764" s="2"/>
      <c r="T764" s="2">
        <f t="shared" si="247"/>
        <v>2</v>
      </c>
      <c r="U764" s="18">
        <f t="shared" si="248"/>
        <v>7</v>
      </c>
      <c r="V764" s="18">
        <f t="shared" si="249"/>
        <v>2025</v>
      </c>
      <c r="W764" s="18">
        <f t="shared" si="250"/>
        <v>12</v>
      </c>
      <c r="X764" s="18">
        <f t="shared" si="251"/>
        <v>2025</v>
      </c>
      <c r="Y764" s="2">
        <f t="shared" si="244"/>
        <v>0.72687673995949531</v>
      </c>
      <c r="Z764" t="str">
        <f t="shared" si="245"/>
        <v>SO17535</v>
      </c>
      <c r="AA764" s="11">
        <f t="shared" si="252"/>
        <v>45855.661053240743</v>
      </c>
      <c r="AB764" s="5" t="str">
        <f t="shared" si="253"/>
        <v>INV13555</v>
      </c>
      <c r="AC764" s="5" t="str">
        <f>IFERROR(VLOOKUP(D764,CAARStatus!$A$2:$AA$1600,22,FALSE),"Not invoiced")</f>
        <v>Paid</v>
      </c>
      <c r="AD764" s="11">
        <f>IF(AC764="Paid",IFERROR(VLOOKUP(D764,CAARStatus!$A$2:$AA$1600,6,FALSE),"Pending"),"Pending")</f>
        <v>45999</v>
      </c>
      <c r="AE764" s="5" t="str">
        <f t="shared" si="254"/>
        <v>1080562</v>
      </c>
      <c r="AF764" s="5" t="str">
        <f t="shared" si="255"/>
        <v>Hisco Pump Inc.</v>
      </c>
      <c r="AG764" s="5" t="str">
        <f t="shared" si="256"/>
        <v>USD</v>
      </c>
      <c r="AH764" s="5">
        <f t="shared" si="257"/>
        <v>3595.2725631936241</v>
      </c>
      <c r="AI764" s="12">
        <f>IF(L764-N764=0,VLOOKUP(U764,rate!A$4:B$15,2,FALSE)*AH764,IF(AG764="USD",O764,AH764*Y764))</f>
        <v>2613.3200000000002</v>
      </c>
      <c r="AJ764" s="13">
        <f t="shared" si="258"/>
        <v>0.72687673995949531</v>
      </c>
      <c r="AK764" s="13">
        <f>-IF(AG764="CAD",IFERROR(VLOOKUP(D764,CAARStatus!$A$1:$Y$1600,16,FALSE),0),0)</f>
        <v>0</v>
      </c>
      <c r="AL764" s="13">
        <f>-IF(AG764="USD",IFERROR(VLOOKUP(D764,CAARStatus!$A$1:$Y$1600,11,FALSE),0),0)</f>
        <v>-348.55</v>
      </c>
      <c r="AM764" s="22" t="str">
        <f t="shared" si="259"/>
        <v/>
      </c>
      <c r="AN764" s="12">
        <f t="shared" si="260"/>
        <v>2264.77</v>
      </c>
      <c r="AO764" s="12" t="str">
        <f t="shared" si="261"/>
        <v>Yes</v>
      </c>
      <c r="AP764" t="str">
        <f t="shared" si="246"/>
        <v>XX</v>
      </c>
      <c r="AQ764" t="str">
        <f>IFERROR(VLOOKUP(Z764,InvBal!$L$4:$P$600,4,FALSE),"Pend")</f>
        <v>Yes</v>
      </c>
      <c r="AR764" t="str">
        <f>IFERROR(VLOOKUP(D764,Manual!$C$1:$E$22,2,FALSE),"Pend")</f>
        <v>Pend</v>
      </c>
      <c r="AS764" t="str">
        <f t="shared" si="262"/>
        <v>Yes</v>
      </c>
      <c r="AT764" t="str">
        <f t="shared" si="263"/>
        <v>Yes</v>
      </c>
      <c r="AU764" s="51" t="str">
        <f t="shared" si="264"/>
        <v>Yes</v>
      </c>
      <c r="AV764" s="12">
        <f>IFERROR(VLOOKUP(D764,'Receivable Invoice Detail'!$S$1:$U$3014,3,FALSE),0)</f>
        <v>0</v>
      </c>
      <c r="AW764" s="12">
        <f t="shared" si="265"/>
        <v>2613.3200000000002</v>
      </c>
    </row>
    <row r="765" spans="1:49" x14ac:dyDescent="0.25">
      <c r="A765" s="2"/>
      <c r="B765" s="2"/>
      <c r="C765" s="2"/>
      <c r="D765" s="2" t="s">
        <v>3070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>
        <f t="shared" si="247"/>
        <v>2</v>
      </c>
      <c r="U765" s="18">
        <f t="shared" si="248"/>
        <v>7</v>
      </c>
      <c r="V765" s="18">
        <f t="shared" si="249"/>
        <v>2025</v>
      </c>
      <c r="W765" s="18">
        <f t="shared" si="250"/>
        <v>10</v>
      </c>
      <c r="X765" s="18">
        <f t="shared" si="251"/>
        <v>2025</v>
      </c>
      <c r="Y765" s="2">
        <f t="shared" si="244"/>
        <v>0.72687673995949531</v>
      </c>
      <c r="Z765" t="str">
        <f t="shared" si="245"/>
        <v>SO17535</v>
      </c>
      <c r="AA765" s="11">
        <f t="shared" si="252"/>
        <v>45855.661053240743</v>
      </c>
      <c r="AB765" s="5" t="str">
        <f t="shared" si="253"/>
        <v>INV13288</v>
      </c>
      <c r="AC765" s="5" t="str">
        <f>IFERROR(VLOOKUP(D765,CAARStatus!$A$2:$AA$1600,22,FALSE),"Not invoiced")</f>
        <v>Paid</v>
      </c>
      <c r="AD765" s="11">
        <f>IF(AC765="Paid",IFERROR(VLOOKUP(D765,CAARStatus!$A$2:$AA$1600,6,FALSE),"Pending"),"Pending")</f>
        <v>45937</v>
      </c>
      <c r="AE765" s="5" t="str">
        <f t="shared" si="254"/>
        <v>1080562</v>
      </c>
      <c r="AF765" s="5" t="str">
        <f t="shared" si="255"/>
        <v>Hisco Pump Inc.</v>
      </c>
      <c r="AG765" s="5" t="str">
        <f t="shared" si="256"/>
        <v>USD</v>
      </c>
      <c r="AH765" s="5">
        <f t="shared" si="257"/>
        <v>0</v>
      </c>
      <c r="AI765" s="12">
        <f>IF(L765-N765=0,VLOOKUP(U765,rate!A$4:B$15,2,FALSE)*AH765,IF(AG765="USD",O765,AH765*Y765))</f>
        <v>0</v>
      </c>
      <c r="AJ765" s="13">
        <f t="shared" si="258"/>
        <v>0</v>
      </c>
      <c r="AK765" s="13">
        <f>-IF(AG765="CAD",IFERROR(VLOOKUP(D765,CAARStatus!$A$1:$Y$1600,16,FALSE),0),0)</f>
        <v>0</v>
      </c>
      <c r="AL765" s="13">
        <f>-IF(AG765="USD",IFERROR(VLOOKUP(D765,CAARStatus!$A$1:$Y$1600,11,FALSE),0),0)</f>
        <v>-2264.77</v>
      </c>
      <c r="AM765" s="22" t="str">
        <f t="shared" si="259"/>
        <v/>
      </c>
      <c r="AN765" s="12">
        <f t="shared" si="260"/>
        <v>-2264.77</v>
      </c>
      <c r="AO765" s="12" t="str">
        <f t="shared" si="261"/>
        <v>Yes</v>
      </c>
      <c r="AP765" t="str">
        <f t="shared" si="246"/>
        <v>XX</v>
      </c>
      <c r="AQ765" t="str">
        <f>IFERROR(VLOOKUP(Z765,InvBal!$L$4:$P$600,4,FALSE),"Pend")</f>
        <v>Yes</v>
      </c>
      <c r="AR765" t="str">
        <f>IFERROR(VLOOKUP(D765,Manual!$C$1:$E$22,2,FALSE),"Pend")</f>
        <v>Pend</v>
      </c>
      <c r="AS765" t="str">
        <f t="shared" si="262"/>
        <v>Yes</v>
      </c>
      <c r="AT765" t="str">
        <f t="shared" si="263"/>
        <v/>
      </c>
      <c r="AU765" s="51" t="str">
        <f t="shared" si="264"/>
        <v/>
      </c>
      <c r="AV765" s="12">
        <f>IFERROR(VLOOKUP(D765,'Receivable Invoice Detail'!$S$1:$U$3014,3,FALSE),0)</f>
        <v>0</v>
      </c>
      <c r="AW765" s="12">
        <f t="shared" si="265"/>
        <v>0</v>
      </c>
    </row>
    <row r="766" spans="1:49" x14ac:dyDescent="0.25">
      <c r="A766" s="2">
        <v>2</v>
      </c>
      <c r="B766" s="2" t="s">
        <v>995</v>
      </c>
      <c r="C766" s="2" t="s">
        <v>996</v>
      </c>
      <c r="D766" s="2" t="s">
        <v>3004</v>
      </c>
      <c r="E766" s="2" t="s">
        <v>95</v>
      </c>
      <c r="F766" s="3">
        <v>45855.700381944444</v>
      </c>
      <c r="G766" s="3">
        <v>45856.693541666667</v>
      </c>
      <c r="H766" s="4">
        <v>45947</v>
      </c>
      <c r="I766" s="2" t="s">
        <v>21</v>
      </c>
      <c r="J766" s="2" t="s">
        <v>22</v>
      </c>
      <c r="K766" s="2">
        <v>1</v>
      </c>
      <c r="L766" s="2">
        <v>7733.66</v>
      </c>
      <c r="M766" s="2">
        <v>0</v>
      </c>
      <c r="N766" s="2">
        <v>5639.3693837496876</v>
      </c>
      <c r="O766" s="2">
        <v>7365.39</v>
      </c>
      <c r="P766" s="2">
        <v>368.27</v>
      </c>
      <c r="Q766" s="2">
        <v>7733.66</v>
      </c>
      <c r="R766" s="2" t="s">
        <v>44</v>
      </c>
      <c r="S766" s="2"/>
      <c r="T766" s="2">
        <f t="shared" si="247"/>
        <v>2</v>
      </c>
      <c r="U766" s="18">
        <f t="shared" si="248"/>
        <v>7</v>
      </c>
      <c r="V766" s="18">
        <f t="shared" si="249"/>
        <v>2025</v>
      </c>
      <c r="W766" s="18">
        <f t="shared" si="250"/>
        <v>9</v>
      </c>
      <c r="X766" s="18">
        <f t="shared" si="251"/>
        <v>2025</v>
      </c>
      <c r="Y766" s="2">
        <f t="shared" si="244"/>
        <v>0.72919799729360846</v>
      </c>
      <c r="Z766" t="str">
        <f t="shared" si="245"/>
        <v>SO17536</v>
      </c>
      <c r="AA766" s="11">
        <f t="shared" si="252"/>
        <v>45855.700381944444</v>
      </c>
      <c r="AB766" s="5" t="str">
        <f t="shared" si="253"/>
        <v>INV13325</v>
      </c>
      <c r="AC766" s="5" t="str">
        <f>IFERROR(VLOOKUP(D766,CAARStatus!$A$2:$AA$1600,22,FALSE),"Not invoiced")</f>
        <v>Paid</v>
      </c>
      <c r="AD766" s="11">
        <f>IF(AC766="Paid",IFERROR(VLOOKUP(D766,CAARStatus!$A$2:$AA$1600,6,FALSE),"Pending"),"Pending")</f>
        <v>45917</v>
      </c>
      <c r="AE766" s="5" t="str">
        <f t="shared" si="254"/>
        <v>322573</v>
      </c>
      <c r="AF766" s="5" t="str">
        <f t="shared" si="255"/>
        <v>Gibraltar Mine (Canada)</v>
      </c>
      <c r="AG766" s="5" t="str">
        <f t="shared" si="256"/>
        <v>CAD</v>
      </c>
      <c r="AH766" s="5">
        <f t="shared" si="257"/>
        <v>7365.39</v>
      </c>
      <c r="AI766" s="12">
        <f>IF(L766-N766=0,VLOOKUP(U766,rate!A$4:B$15,2,FALSE)*AH766,IF(AG766="USD",O766,AH766*Y766))</f>
        <v>5370.8276372863711</v>
      </c>
      <c r="AJ766" s="13">
        <f t="shared" si="258"/>
        <v>0.72919799729360846</v>
      </c>
      <c r="AK766" s="13">
        <f>-IF(AG766="CAD",IFERROR(VLOOKUP(D766,CAARStatus!$A$1:$Y$1600,16,FALSE),0),0)</f>
        <v>-5815.61</v>
      </c>
      <c r="AL766" s="13">
        <f>-IF(AG766="USD",IFERROR(VLOOKUP(D766,CAARStatus!$A$1:$Y$1600,11,FALSE),0),0)</f>
        <v>0</v>
      </c>
      <c r="AM766" s="22">
        <f t="shared" si="259"/>
        <v>1549.7800000000007</v>
      </c>
      <c r="AN766" s="12" t="str">
        <f t="shared" si="260"/>
        <v/>
      </c>
      <c r="AO766" s="12" t="str">
        <f t="shared" si="261"/>
        <v>Yes</v>
      </c>
      <c r="AP766" t="str">
        <f t="shared" si="246"/>
        <v>XX</v>
      </c>
      <c r="AQ766" t="str">
        <f>IFERROR(VLOOKUP(Z766,InvBal!$L$4:$P$600,4,FALSE),"Pend")</f>
        <v>Yes</v>
      </c>
      <c r="AR766" t="str">
        <f>IFERROR(VLOOKUP(D766,Manual!$C$1:$E$22,2,FALSE),"Pend")</f>
        <v>Pend</v>
      </c>
      <c r="AS766" t="str">
        <f t="shared" si="262"/>
        <v>Yes</v>
      </c>
      <c r="AT766" t="str">
        <f t="shared" si="263"/>
        <v>Yes</v>
      </c>
      <c r="AU766" s="51" t="str">
        <f t="shared" si="264"/>
        <v>Yes</v>
      </c>
      <c r="AV766" s="12">
        <f>IFERROR(VLOOKUP(D766,'Receivable Invoice Detail'!$S$1:$U$3014,3,FALSE),0)</f>
        <v>0</v>
      </c>
      <c r="AW766" s="12">
        <f t="shared" si="265"/>
        <v>5370.8276372863711</v>
      </c>
    </row>
    <row r="767" spans="1:49" x14ac:dyDescent="0.25">
      <c r="A767" s="2"/>
      <c r="B767" s="2"/>
      <c r="C767" s="2"/>
      <c r="D767" s="2" t="s">
        <v>3003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>
        <f t="shared" si="247"/>
        <v>2</v>
      </c>
      <c r="U767" s="18">
        <f t="shared" si="248"/>
        <v>7</v>
      </c>
      <c r="V767" s="18">
        <f t="shared" si="249"/>
        <v>2025</v>
      </c>
      <c r="W767" s="18">
        <f t="shared" si="250"/>
        <v>11</v>
      </c>
      <c r="X767" s="18">
        <f t="shared" si="251"/>
        <v>2025</v>
      </c>
      <c r="Y767" s="2">
        <f t="shared" si="244"/>
        <v>0.72919799729360846</v>
      </c>
      <c r="Z767" t="str">
        <f t="shared" si="245"/>
        <v>SO17536</v>
      </c>
      <c r="AA767" s="11">
        <f t="shared" si="252"/>
        <v>45855.700381944444</v>
      </c>
      <c r="AB767" s="5" t="str">
        <f t="shared" si="253"/>
        <v>INV13491</v>
      </c>
      <c r="AC767" s="5" t="str">
        <f>IFERROR(VLOOKUP(D767,CAARStatus!$A$2:$AA$1600,22,FALSE),"Not invoiced")</f>
        <v>Paid</v>
      </c>
      <c r="AD767" s="11">
        <f>IF(AC767="Paid",IFERROR(VLOOKUP(D767,CAARStatus!$A$2:$AA$1600,6,FALSE),"Pending"),"Pending")</f>
        <v>45967</v>
      </c>
      <c r="AE767" s="5" t="str">
        <f t="shared" si="254"/>
        <v>322573</v>
      </c>
      <c r="AF767" s="5" t="str">
        <f t="shared" si="255"/>
        <v>Gibraltar Mine (Canada)</v>
      </c>
      <c r="AG767" s="5" t="str">
        <f t="shared" si="256"/>
        <v>CAD</v>
      </c>
      <c r="AH767" s="5">
        <f t="shared" si="257"/>
        <v>0</v>
      </c>
      <c r="AI767" s="12">
        <f>IF(L767-N767=0,VLOOKUP(U767,rate!A$4:B$15,2,FALSE)*AH767,IF(AG767="USD",O767,AH767*Y767))</f>
        <v>0</v>
      </c>
      <c r="AJ767" s="13">
        <f t="shared" si="258"/>
        <v>0</v>
      </c>
      <c r="AK767" s="13">
        <f>-IF(AG767="CAD",IFERROR(VLOOKUP(D767,CAARStatus!$A$1:$Y$1600,16,FALSE),0),0)</f>
        <v>-1549.78</v>
      </c>
      <c r="AL767" s="13">
        <f>-IF(AG767="USD",IFERROR(VLOOKUP(D767,CAARStatus!$A$1:$Y$1600,11,FALSE),0),0)</f>
        <v>0</v>
      </c>
      <c r="AM767" s="22">
        <f t="shared" si="259"/>
        <v>-1549.78</v>
      </c>
      <c r="AN767" s="12" t="str">
        <f t="shared" si="260"/>
        <v/>
      </c>
      <c r="AO767" s="12" t="str">
        <f t="shared" si="261"/>
        <v>Yes</v>
      </c>
      <c r="AP767" t="str">
        <f t="shared" si="246"/>
        <v>XX</v>
      </c>
      <c r="AQ767" t="str">
        <f>IFERROR(VLOOKUP(Z767,InvBal!$L$4:$P$600,4,FALSE),"Pend")</f>
        <v>Yes</v>
      </c>
      <c r="AR767" t="str">
        <f>IFERROR(VLOOKUP(D767,Manual!$C$1:$E$22,2,FALSE),"Pend")</f>
        <v>Pend</v>
      </c>
      <c r="AS767" t="str">
        <f t="shared" si="262"/>
        <v>Yes</v>
      </c>
      <c r="AT767" t="str">
        <f t="shared" si="263"/>
        <v/>
      </c>
      <c r="AU767" s="51" t="str">
        <f t="shared" si="264"/>
        <v/>
      </c>
      <c r="AV767" s="12">
        <f>IFERROR(VLOOKUP(D767,'Receivable Invoice Detail'!$S$1:$U$3014,3,FALSE),0)</f>
        <v>0</v>
      </c>
      <c r="AW767" s="12">
        <f t="shared" si="265"/>
        <v>0</v>
      </c>
    </row>
    <row r="768" spans="1:49" ht="45" x14ac:dyDescent="0.25">
      <c r="A768" s="2">
        <v>1</v>
      </c>
      <c r="B768" s="2" t="s">
        <v>199</v>
      </c>
      <c r="C768" s="2" t="s">
        <v>200</v>
      </c>
      <c r="D768" s="2" t="s">
        <v>3365</v>
      </c>
      <c r="E768" s="2" t="s">
        <v>201</v>
      </c>
      <c r="F768" s="3">
        <v>45855.788530092592</v>
      </c>
      <c r="G768" s="3">
        <v>45974.463009259263</v>
      </c>
      <c r="H768" s="4">
        <v>45981</v>
      </c>
      <c r="I768" s="2" t="s">
        <v>36</v>
      </c>
      <c r="J768" s="2" t="s">
        <v>22</v>
      </c>
      <c r="K768" s="2">
        <v>1</v>
      </c>
      <c r="L768" s="2">
        <v>13321.62</v>
      </c>
      <c r="M768" s="2">
        <v>0</v>
      </c>
      <c r="N768" s="2">
        <v>9507.56199106844</v>
      </c>
      <c r="O768" s="2">
        <v>12687.26</v>
      </c>
      <c r="P768" s="2">
        <v>634.36</v>
      </c>
      <c r="Q768" s="2">
        <v>13321.62</v>
      </c>
      <c r="R768" s="2" t="s">
        <v>44</v>
      </c>
      <c r="S768" s="2"/>
      <c r="T768" s="2">
        <f t="shared" si="247"/>
        <v>1</v>
      </c>
      <c r="U768" s="18">
        <f t="shared" si="248"/>
        <v>7</v>
      </c>
      <c r="V768" s="18">
        <f t="shared" si="249"/>
        <v>2025</v>
      </c>
      <c r="W768" s="18">
        <f t="shared" si="250"/>
        <v>1</v>
      </c>
      <c r="X768" s="18">
        <f t="shared" si="251"/>
        <v>2026</v>
      </c>
      <c r="Y768" s="2">
        <f t="shared" si="244"/>
        <v>0.71369412962300671</v>
      </c>
      <c r="Z768" t="str">
        <f t="shared" si="245"/>
        <v>SO17539</v>
      </c>
      <c r="AA768" s="11">
        <f t="shared" si="252"/>
        <v>45855.788530092592</v>
      </c>
      <c r="AB768" s="5" t="str">
        <f t="shared" si="253"/>
        <v>INV13693</v>
      </c>
      <c r="AC768" s="5" t="str">
        <f>IFERROR(VLOOKUP(D768,CAARStatus!$A$2:$AA$1600,22,FALSE),"Not invoiced")</f>
        <v>Paid</v>
      </c>
      <c r="AD768" s="11">
        <f>IF(AC768="Paid",IFERROR(VLOOKUP(D768,CAARStatus!$A$2:$AA$1600,6,FALSE),"Pending"),"Pending")</f>
        <v>46024</v>
      </c>
      <c r="AE768" s="5" t="str">
        <f t="shared" si="254"/>
        <v>2200115440</v>
      </c>
      <c r="AF768" s="5" t="str">
        <f t="shared" si="255"/>
        <v>Wajax Limited - Val D'Or, Composants Industriels Wajax SC -57</v>
      </c>
      <c r="AG768" s="5" t="str">
        <f t="shared" si="256"/>
        <v>CAD</v>
      </c>
      <c r="AH768" s="5">
        <f t="shared" si="257"/>
        <v>12687.26</v>
      </c>
      <c r="AI768" s="12">
        <f>IF(L768-N768=0,VLOOKUP(U768,rate!A$4:B$15,2,FALSE)*AH768,IF(AG768="USD",O768,AH768*Y768))</f>
        <v>9054.8229830007876</v>
      </c>
      <c r="AJ768" s="13">
        <f t="shared" si="258"/>
        <v>0.71369412962300671</v>
      </c>
      <c r="AK768" s="13">
        <f>-IF(AG768="CAD",IFERROR(VLOOKUP(D768,CAARStatus!$A$1:$Y$1600,16,FALSE),0),0)</f>
        <v>-12687.26</v>
      </c>
      <c r="AL768" s="13">
        <f>-IF(AG768="USD",IFERROR(VLOOKUP(D768,CAARStatus!$A$1:$Y$1600,11,FALSE),0),0)</f>
        <v>0</v>
      </c>
      <c r="AM768" s="22">
        <f t="shared" si="259"/>
        <v>0</v>
      </c>
      <c r="AN768" s="12" t="str">
        <f t="shared" si="260"/>
        <v/>
      </c>
      <c r="AO768" s="12" t="str">
        <f t="shared" si="261"/>
        <v>Yes</v>
      </c>
      <c r="AP768" t="str">
        <f t="shared" si="246"/>
        <v>Yes</v>
      </c>
      <c r="AQ768" t="str">
        <f>IFERROR(VLOOKUP(Z768,InvBal!$L$4:$P$600,4,FALSE),"Pend")</f>
        <v>Pend</v>
      </c>
      <c r="AR768" t="str">
        <f>IFERROR(VLOOKUP(D768,Manual!$C$1:$E$22,2,FALSE),"Pend")</f>
        <v>Pend</v>
      </c>
      <c r="AS768" t="str">
        <f t="shared" si="262"/>
        <v>Yes</v>
      </c>
      <c r="AT768" t="str">
        <f t="shared" si="263"/>
        <v>Yes</v>
      </c>
      <c r="AU768" s="51" t="str">
        <f t="shared" si="264"/>
        <v>Yes</v>
      </c>
      <c r="AV768" s="12">
        <f>IFERROR(VLOOKUP(D768,'Receivable Invoice Detail'!$S$1:$U$3014,3,FALSE),0)</f>
        <v>0</v>
      </c>
      <c r="AW768" s="12">
        <f t="shared" si="265"/>
        <v>9054.8229830007876</v>
      </c>
    </row>
    <row r="769" spans="1:49" ht="30" x14ac:dyDescent="0.25">
      <c r="A769" s="2">
        <v>1</v>
      </c>
      <c r="B769" s="2" t="s">
        <v>5859</v>
      </c>
      <c r="C769" s="2" t="s">
        <v>5860</v>
      </c>
      <c r="D769" s="2" t="s">
        <v>4405</v>
      </c>
      <c r="E769" s="2" t="s">
        <v>129</v>
      </c>
      <c r="F769" s="3">
        <v>45856.534039351849</v>
      </c>
      <c r="G769" s="3">
        <v>45856.531759259262</v>
      </c>
      <c r="H769" s="4">
        <v>45968</v>
      </c>
      <c r="I769" s="2" t="s">
        <v>130</v>
      </c>
      <c r="J769" s="2" t="s">
        <v>51</v>
      </c>
      <c r="K769" s="2">
        <v>0.72729927305058184</v>
      </c>
      <c r="L769" s="2">
        <v>85549.377409693567</v>
      </c>
      <c r="M769" s="2">
        <v>0</v>
      </c>
      <c r="N769" s="2">
        <v>62220</v>
      </c>
      <c r="O769" s="2">
        <v>62220</v>
      </c>
      <c r="P769" s="2"/>
      <c r="Q769" s="2">
        <v>62220</v>
      </c>
      <c r="R769" s="2" t="s">
        <v>44</v>
      </c>
      <c r="S769" s="2"/>
      <c r="T769" s="2">
        <f t="shared" si="247"/>
        <v>1</v>
      </c>
      <c r="U769" s="18">
        <f t="shared" si="248"/>
        <v>7</v>
      </c>
      <c r="V769" s="18">
        <f t="shared" si="249"/>
        <v>2025</v>
      </c>
      <c r="W769" s="18" t="str">
        <f t="shared" si="250"/>
        <v/>
      </c>
      <c r="X769" s="18" t="str">
        <f t="shared" si="251"/>
        <v/>
      </c>
      <c r="Y769" s="2">
        <f t="shared" si="244"/>
        <v>0.72729927305058184</v>
      </c>
      <c r="Z769" t="str">
        <f t="shared" si="245"/>
        <v>SO17543</v>
      </c>
      <c r="AA769" s="11">
        <f t="shared" si="252"/>
        <v>45856.534039351849</v>
      </c>
      <c r="AB769" s="5" t="str">
        <f t="shared" si="253"/>
        <v>INV13709</v>
      </c>
      <c r="AC769" s="5" t="str">
        <f>IFERROR(VLOOKUP(D769,CAARStatus!$A$2:$AA$1600,22,FALSE),"Not invoiced")</f>
        <v>Approved</v>
      </c>
      <c r="AD769" s="11" t="str">
        <f>IF(AC769="Paid",IFERROR(VLOOKUP(D769,CAARStatus!$A$2:$AA$1600,6,FALSE),"Pending"),"Pending")</f>
        <v>Pending</v>
      </c>
      <c r="AE769" s="5" t="str">
        <f t="shared" si="254"/>
        <v>OC00186</v>
      </c>
      <c r="AF769" s="5" t="str">
        <f t="shared" si="255"/>
        <v>Dynapro Pumps México S de RL de CV</v>
      </c>
      <c r="AG769" s="5" t="str">
        <f t="shared" si="256"/>
        <v>USD</v>
      </c>
      <c r="AH769" s="5">
        <f t="shared" si="257"/>
        <v>85549.377409693567</v>
      </c>
      <c r="AI769" s="12">
        <f>IF(L769-N769=0,VLOOKUP(U769,rate!A$4:B$15,2,FALSE)*AH769,IF(AG769="USD",O769,AH769*Y769))</f>
        <v>62220</v>
      </c>
      <c r="AJ769" s="13">
        <f t="shared" si="258"/>
        <v>0.72729927305058184</v>
      </c>
      <c r="AK769" s="13">
        <f>-IF(AG769="CAD",IFERROR(VLOOKUP(D769,CAARStatus!$A$1:$Y$1600,16,FALSE),0),0)</f>
        <v>0</v>
      </c>
      <c r="AL769" s="13">
        <f>-IF(AG769="USD",IFERROR(VLOOKUP(D769,CAARStatus!$A$1:$Y$1600,11,FALSE),0),0)</f>
        <v>-62220</v>
      </c>
      <c r="AM769" s="22" t="str">
        <f t="shared" si="259"/>
        <v/>
      </c>
      <c r="AN769" s="12">
        <f t="shared" si="260"/>
        <v>0</v>
      </c>
      <c r="AO769" s="12" t="str">
        <f t="shared" si="261"/>
        <v>Pend</v>
      </c>
      <c r="AP769" t="str">
        <f t="shared" si="246"/>
        <v>Pend</v>
      </c>
      <c r="AQ769" t="str">
        <f>IFERROR(VLOOKUP(Z769,InvBal!$L$4:$P$600,4,FALSE),"Pend")</f>
        <v>Pend</v>
      </c>
      <c r="AR769" t="str">
        <f>IFERROR(VLOOKUP(D769,Manual!$C$1:$E$22,2,FALSE),"Pend")</f>
        <v>Pend</v>
      </c>
      <c r="AS769" t="str">
        <f t="shared" si="262"/>
        <v/>
      </c>
      <c r="AT769" t="str">
        <f t="shared" si="263"/>
        <v>Yes</v>
      </c>
      <c r="AU769" s="51" t="str">
        <f t="shared" si="264"/>
        <v/>
      </c>
      <c r="AV769" s="12">
        <f>IFERROR(VLOOKUP(D769,'Receivable Invoice Detail'!$S$1:$U$3014,3,FALSE),0)</f>
        <v>0</v>
      </c>
      <c r="AW769" s="12">
        <f t="shared" si="265"/>
        <v>0</v>
      </c>
    </row>
    <row r="770" spans="1:49" x14ac:dyDescent="0.25">
      <c r="A770" s="2">
        <v>1</v>
      </c>
      <c r="B770" s="2" t="s">
        <v>997</v>
      </c>
      <c r="C770" s="2" t="s">
        <v>998</v>
      </c>
      <c r="D770" s="2" t="s">
        <v>3002</v>
      </c>
      <c r="E770" s="2" t="s">
        <v>64</v>
      </c>
      <c r="F770" s="3">
        <v>45856.540254629632</v>
      </c>
      <c r="G770" s="3">
        <v>45856.632002314807</v>
      </c>
      <c r="H770" s="4">
        <v>45859</v>
      </c>
      <c r="I770" s="2" t="s">
        <v>21</v>
      </c>
      <c r="J770" s="2" t="s">
        <v>22</v>
      </c>
      <c r="K770" s="2">
        <v>1</v>
      </c>
      <c r="L770" s="2">
        <v>1777.65</v>
      </c>
      <c r="M770" s="2">
        <v>0</v>
      </c>
      <c r="N770" s="2">
        <v>1296.258819888983</v>
      </c>
      <c r="O770" s="2">
        <v>1573.14</v>
      </c>
      <c r="P770" s="2">
        <v>204.51</v>
      </c>
      <c r="Q770" s="2">
        <v>1777.65</v>
      </c>
      <c r="R770" s="2" t="s">
        <v>44</v>
      </c>
      <c r="S770" s="2"/>
      <c r="T770" s="2">
        <f t="shared" si="247"/>
        <v>1</v>
      </c>
      <c r="U770" s="18">
        <f t="shared" si="248"/>
        <v>7</v>
      </c>
      <c r="V770" s="18">
        <f t="shared" si="249"/>
        <v>2025</v>
      </c>
      <c r="W770" s="18">
        <f t="shared" si="250"/>
        <v>9</v>
      </c>
      <c r="X770" s="18">
        <f t="shared" si="251"/>
        <v>2025</v>
      </c>
      <c r="Y770" s="2">
        <f t="shared" ref="Y770:Y833" si="266">IF(C770="",Y769,N770/L770)</f>
        <v>0.72919799729360835</v>
      </c>
      <c r="Z770" t="str">
        <f t="shared" ref="Z770:Z833" si="267">IF(B770="",Z769,B770)</f>
        <v>SO17544</v>
      </c>
      <c r="AA770" s="11">
        <f t="shared" si="252"/>
        <v>45856.540254629632</v>
      </c>
      <c r="AB770" s="5" t="str">
        <f t="shared" si="253"/>
        <v>INV13199</v>
      </c>
      <c r="AC770" s="5" t="str">
        <f>IFERROR(VLOOKUP(D770,CAARStatus!$A$2:$AA$1600,22,FALSE),"Not invoiced")</f>
        <v>Paid</v>
      </c>
      <c r="AD770" s="11">
        <f>IF(AC770="Paid",IFERROR(VLOOKUP(D770,CAARStatus!$A$2:$AA$1600,6,FALSE),"Pending"),"Pending")</f>
        <v>45922</v>
      </c>
      <c r="AE770" s="5" t="str">
        <f t="shared" si="254"/>
        <v>607030</v>
      </c>
      <c r="AF770" s="5" t="str">
        <f t="shared" si="255"/>
        <v>Sealtrac Inc.</v>
      </c>
      <c r="AG770" s="5" t="str">
        <f t="shared" si="256"/>
        <v>CAD</v>
      </c>
      <c r="AH770" s="5">
        <f t="shared" si="257"/>
        <v>1573.14</v>
      </c>
      <c r="AI770" s="12">
        <f>IF(L770-N770=0,VLOOKUP(U770,rate!A$4:B$15,2,FALSE)*AH770,IF(AG770="USD",O770,AH770*Y770))</f>
        <v>1147.1305374624671</v>
      </c>
      <c r="AJ770" s="13">
        <f t="shared" si="258"/>
        <v>0.72919799729360835</v>
      </c>
      <c r="AK770" s="13">
        <f>-IF(AG770="CAD",IFERROR(VLOOKUP(D770,CAARStatus!$A$1:$Y$1600,16,FALSE),0),0)</f>
        <v>-1573.14</v>
      </c>
      <c r="AL770" s="13">
        <f>-IF(AG770="USD",IFERROR(VLOOKUP(D770,CAARStatus!$A$1:$Y$1600,11,FALSE),0),0)</f>
        <v>0</v>
      </c>
      <c r="AM770" s="22">
        <f t="shared" si="259"/>
        <v>0</v>
      </c>
      <c r="AN770" s="12" t="str">
        <f t="shared" si="260"/>
        <v/>
      </c>
      <c r="AO770" s="12" t="str">
        <f t="shared" si="261"/>
        <v>Yes</v>
      </c>
      <c r="AP770" t="str">
        <f t="shared" ref="AP770:AP833" si="268">IF(AND(AO770="Pend",T770&lt;2),"Pend",IF(T770=1,"Yes","XX"))</f>
        <v>Yes</v>
      </c>
      <c r="AQ770" t="str">
        <f>IFERROR(VLOOKUP(Z770,InvBal!$L$4:$P$600,4,FALSE),"Pend")</f>
        <v>Pend</v>
      </c>
      <c r="AR770" t="str">
        <f>IFERROR(VLOOKUP(D770,Manual!$C$1:$E$22,2,FALSE),"Pend")</f>
        <v>Pend</v>
      </c>
      <c r="AS770" t="str">
        <f t="shared" si="262"/>
        <v>Yes</v>
      </c>
      <c r="AT770" t="str">
        <f t="shared" si="263"/>
        <v>Yes</v>
      </c>
      <c r="AU770" s="51" t="str">
        <f t="shared" si="264"/>
        <v>Yes</v>
      </c>
      <c r="AV770" s="12">
        <f>IFERROR(VLOOKUP(D770,'Receivable Invoice Detail'!$S$1:$U$3014,3,FALSE),0)</f>
        <v>0</v>
      </c>
      <c r="AW770" s="12">
        <f t="shared" si="265"/>
        <v>1147.1305374624671</v>
      </c>
    </row>
    <row r="771" spans="1:49" x14ac:dyDescent="0.25">
      <c r="A771" s="2">
        <v>1</v>
      </c>
      <c r="B771" s="2" t="s">
        <v>977</v>
      </c>
      <c r="C771" s="2" t="s">
        <v>978</v>
      </c>
      <c r="D771" s="2" t="s">
        <v>3012</v>
      </c>
      <c r="E771" s="2" t="s">
        <v>109</v>
      </c>
      <c r="F771" s="3">
        <v>45856.686423611107</v>
      </c>
      <c r="G771" s="3">
        <v>45860.400937500002</v>
      </c>
      <c r="H771" s="4">
        <v>45861</v>
      </c>
      <c r="I771" s="2" t="s">
        <v>21</v>
      </c>
      <c r="J771" s="2" t="s">
        <v>51</v>
      </c>
      <c r="K771" s="2">
        <v>0.72860256766938125</v>
      </c>
      <c r="L771" s="2">
        <v>20421.256608515891</v>
      </c>
      <c r="M771" s="2">
        <v>0</v>
      </c>
      <c r="N771" s="2">
        <v>14878.98</v>
      </c>
      <c r="O771" s="2">
        <v>14878.98</v>
      </c>
      <c r="P771" s="2"/>
      <c r="Q771" s="2">
        <v>14878.98</v>
      </c>
      <c r="R771" s="2" t="s">
        <v>44</v>
      </c>
      <c r="S771" s="2"/>
      <c r="T771" s="2">
        <f t="shared" ref="T771:T834" si="269">IF(A771="",T770,A771)</f>
        <v>1</v>
      </c>
      <c r="U771" s="18">
        <f t="shared" ref="U771:U834" si="270">IF(F771="",U770,MONTH(F771))</f>
        <v>7</v>
      </c>
      <c r="V771" s="18">
        <f t="shared" ref="V771:V834" si="271">IF(F771="",V770,YEAR(F771))</f>
        <v>2025</v>
      </c>
      <c r="W771" s="18">
        <f t="shared" ref="W771:W834" si="272">IF(AC771="Paid",MONTH(AD771),"")</f>
        <v>9</v>
      </c>
      <c r="X771" s="18">
        <f t="shared" ref="X771:X834" si="273">IF(AC771="Paid",YEAR(AD771),"")</f>
        <v>2025</v>
      </c>
      <c r="Y771" s="17">
        <f t="shared" si="266"/>
        <v>0.72860256766938136</v>
      </c>
      <c r="Z771" t="str">
        <f t="shared" si="267"/>
        <v>SO17547</v>
      </c>
      <c r="AA771" s="11">
        <f t="shared" ref="AA771:AA834" si="274">IF(F771="",AA770,F771)</f>
        <v>45856.686423611107</v>
      </c>
      <c r="AB771" s="5" t="str">
        <f t="shared" ref="AB771:AB834" si="275">IF(D771="","No Inv",D771)</f>
        <v>INV13240</v>
      </c>
      <c r="AC771" s="5" t="str">
        <f>IFERROR(VLOOKUP(D771,CAARStatus!$A$2:$AA$1600,22,FALSE),"Not invoiced")</f>
        <v>Paid</v>
      </c>
      <c r="AD771" s="11">
        <f>IF(AC771="Paid",IFERROR(VLOOKUP(D771,CAARStatus!$A$2:$AA$1600,6,FALSE),"Pending"),"Pending")</f>
        <v>45902</v>
      </c>
      <c r="AE771" s="5" t="str">
        <f t="shared" ref="AE771:AE834" si="276">IF(C771="",AE770,C771)</f>
        <v>3767</v>
      </c>
      <c r="AF771" s="5" t="str">
        <f t="shared" ref="AF771:AF834" si="277">IF(E771="",AF770,E771)</f>
        <v>Middle Georgia Fluid Sealing LLC</v>
      </c>
      <c r="AG771" s="5" t="str">
        <f t="shared" ref="AG771:AG834" si="278">IF(J771="",AG770,J771)</f>
        <v>USD</v>
      </c>
      <c r="AH771" s="5">
        <f t="shared" ref="AH771:AH834" si="279">IFERROR(IF(AG771="CAD",O771,O771/K771),0)</f>
        <v>20421.256608515894</v>
      </c>
      <c r="AI771" s="12">
        <f>IF(L771-N771=0,VLOOKUP(U771,rate!A$4:B$15,2,FALSE)*AH771,IF(AG771="USD",O771,AH771*Y771))</f>
        <v>14878.98</v>
      </c>
      <c r="AJ771" s="13">
        <f t="shared" ref="AJ771:AJ834" si="280">IFERROR(AI771/AH771,0)</f>
        <v>0.72860256766938114</v>
      </c>
      <c r="AK771" s="13">
        <f>-IF(AG771="CAD",IFERROR(VLOOKUP(D771,CAARStatus!$A$1:$Y$1600,16,FALSE),0),0)</f>
        <v>0</v>
      </c>
      <c r="AL771" s="13">
        <f>-IF(AG771="USD",IFERROR(VLOOKUP(D771,CAARStatus!$A$1:$Y$1600,11,FALSE),0),0)</f>
        <v>-14878.98</v>
      </c>
      <c r="AM771" s="22" t="str">
        <f t="shared" ref="AM771:AM834" si="281">IF(AG771="CAD",AH771+AK771,"")</f>
        <v/>
      </c>
      <c r="AN771" s="12">
        <f t="shared" ref="AN771:AN834" si="282">IF(AG771="USD",AI771+AL771,"")</f>
        <v>0</v>
      </c>
      <c r="AO771" s="12" t="str">
        <f t="shared" ref="AO771:AO834" si="283">IF(AC771="Paid","Yes","Pend")</f>
        <v>Yes</v>
      </c>
      <c r="AP771" t="str">
        <f t="shared" si="268"/>
        <v>Yes</v>
      </c>
      <c r="AQ771" t="str">
        <f>IFERROR(VLOOKUP(Z771,InvBal!$L$4:$P$600,4,FALSE),"Pend")</f>
        <v>Pend</v>
      </c>
      <c r="AR771" t="str">
        <f>IFERROR(VLOOKUP(D771,Manual!$C$1:$E$22,2,FALSE),"Pend")</f>
        <v>Pend</v>
      </c>
      <c r="AS771" t="str">
        <f t="shared" ref="AS771:AS834" si="284">IF(OR(AP771="Yes",AQ771="Yes",AR771="Yes"),"Yes","")</f>
        <v>Yes</v>
      </c>
      <c r="AT771" t="str">
        <f t="shared" ref="AT771:AT834" si="285">IF(R771="Delivered","Yes","")</f>
        <v>Yes</v>
      </c>
      <c r="AU771" s="51" t="str">
        <f t="shared" ref="AU771:AU834" si="286">IF(AND(AS771="Yes",AT771="Yes"),"Yes","")</f>
        <v>Yes</v>
      </c>
      <c r="AV771" s="12">
        <f>IFERROR(VLOOKUP(D771,'Receivable Invoice Detail'!$S$1:$U$3014,3,FALSE),0)</f>
        <v>0</v>
      </c>
      <c r="AW771" s="12">
        <f t="shared" ref="AW771:AW834" si="287">IF(AU771="Yes",AI771-AV771,0)</f>
        <v>14878.98</v>
      </c>
    </row>
    <row r="772" spans="1:49" ht="30" x14ac:dyDescent="0.25">
      <c r="A772" s="2">
        <v>1</v>
      </c>
      <c r="B772" s="2" t="s">
        <v>993</v>
      </c>
      <c r="C772" s="2" t="s">
        <v>994</v>
      </c>
      <c r="D772" s="2" t="s">
        <v>3005</v>
      </c>
      <c r="E772" s="2" t="s">
        <v>129</v>
      </c>
      <c r="F772" s="3">
        <v>45856.741550925923</v>
      </c>
      <c r="G772" s="3">
        <v>45856.741157407407</v>
      </c>
      <c r="H772" s="4">
        <v>45889</v>
      </c>
      <c r="I772" s="2" t="s">
        <v>130</v>
      </c>
      <c r="J772" s="2" t="s">
        <v>51</v>
      </c>
      <c r="K772" s="2">
        <v>0.72729927305058184</v>
      </c>
      <c r="L772" s="2">
        <v>1223.7053342113029</v>
      </c>
      <c r="M772" s="2">
        <v>0</v>
      </c>
      <c r="N772" s="2">
        <v>890</v>
      </c>
      <c r="O772" s="2">
        <v>890</v>
      </c>
      <c r="P772" s="2"/>
      <c r="Q772" s="2">
        <v>890</v>
      </c>
      <c r="R772" s="2" t="s">
        <v>44</v>
      </c>
      <c r="S772" s="2"/>
      <c r="T772" s="2">
        <f t="shared" si="269"/>
        <v>1</v>
      </c>
      <c r="U772" s="18">
        <f t="shared" si="270"/>
        <v>7</v>
      </c>
      <c r="V772" s="18">
        <f t="shared" si="271"/>
        <v>2025</v>
      </c>
      <c r="W772" s="18" t="str">
        <f t="shared" si="272"/>
        <v/>
      </c>
      <c r="X772" s="18" t="str">
        <f t="shared" si="273"/>
        <v/>
      </c>
      <c r="Y772" s="2">
        <f t="shared" si="266"/>
        <v>0.72729927305058195</v>
      </c>
      <c r="Z772" t="str">
        <f t="shared" si="267"/>
        <v>SO17548</v>
      </c>
      <c r="AA772" s="11">
        <f t="shared" si="274"/>
        <v>45856.741550925923</v>
      </c>
      <c r="AB772" s="5" t="str">
        <f t="shared" si="275"/>
        <v>INV13356</v>
      </c>
      <c r="AC772" s="5" t="str">
        <f>IFERROR(VLOOKUP(D772,CAARStatus!$A$2:$AA$1600,22,FALSE),"Not invoiced")</f>
        <v>Approved</v>
      </c>
      <c r="AD772" s="11" t="str">
        <f>IF(AC772="Paid",IFERROR(VLOOKUP(D772,CAARStatus!$A$2:$AA$1600,6,FALSE),"Pending"),"Pending")</f>
        <v>Pending</v>
      </c>
      <c r="AE772" s="5" t="str">
        <f t="shared" si="276"/>
        <v>OC00187</v>
      </c>
      <c r="AF772" s="5" t="str">
        <f t="shared" si="277"/>
        <v>Dynapro Pumps México S de RL de CV</v>
      </c>
      <c r="AG772" s="5" t="str">
        <f t="shared" si="278"/>
        <v>USD</v>
      </c>
      <c r="AH772" s="5">
        <f t="shared" si="279"/>
        <v>1223.7053342113031</v>
      </c>
      <c r="AI772" s="12">
        <f>IF(L772-N772=0,VLOOKUP(U772,rate!A$4:B$15,2,FALSE)*AH772,IF(AG772="USD",O772,AH772*Y772))</f>
        <v>890</v>
      </c>
      <c r="AJ772" s="13">
        <f t="shared" si="280"/>
        <v>0.72729927305058184</v>
      </c>
      <c r="AK772" s="13">
        <f>-IF(AG772="CAD",IFERROR(VLOOKUP(D772,CAARStatus!$A$1:$Y$1600,16,FALSE),0),0)</f>
        <v>0</v>
      </c>
      <c r="AL772" s="13">
        <f>-IF(AG772="USD",IFERROR(VLOOKUP(D772,CAARStatus!$A$1:$Y$1600,11,FALSE),0),0)</f>
        <v>-890</v>
      </c>
      <c r="AM772" s="22" t="str">
        <f t="shared" si="281"/>
        <v/>
      </c>
      <c r="AN772" s="12">
        <f t="shared" si="282"/>
        <v>0</v>
      </c>
      <c r="AO772" s="12" t="str">
        <f t="shared" si="283"/>
        <v>Pend</v>
      </c>
      <c r="AP772" t="str">
        <f t="shared" si="268"/>
        <v>Pend</v>
      </c>
      <c r="AQ772" t="str">
        <f>IFERROR(VLOOKUP(Z772,InvBal!$L$4:$P$600,4,FALSE),"Pend")</f>
        <v>Pend</v>
      </c>
      <c r="AR772" t="str">
        <f>IFERROR(VLOOKUP(D772,Manual!$C$1:$E$22,2,FALSE),"Pend")</f>
        <v>Pend</v>
      </c>
      <c r="AS772" t="str">
        <f t="shared" si="284"/>
        <v/>
      </c>
      <c r="AT772" t="str">
        <f t="shared" si="285"/>
        <v>Yes</v>
      </c>
      <c r="AU772" s="51" t="str">
        <f t="shared" si="286"/>
        <v/>
      </c>
      <c r="AV772" s="12">
        <f>IFERROR(VLOOKUP(D772,'Receivable Invoice Detail'!$S$1:$U$3014,3,FALSE),0)</f>
        <v>0</v>
      </c>
      <c r="AW772" s="12">
        <f t="shared" si="287"/>
        <v>0</v>
      </c>
    </row>
    <row r="773" spans="1:49" ht="30" x14ac:dyDescent="0.25">
      <c r="A773" s="2">
        <v>1</v>
      </c>
      <c r="B773" s="2" t="s">
        <v>991</v>
      </c>
      <c r="C773" s="2" t="s">
        <v>992</v>
      </c>
      <c r="D773" s="2" t="s">
        <v>3006</v>
      </c>
      <c r="E773" s="2" t="s">
        <v>129</v>
      </c>
      <c r="F773" s="3">
        <v>45856.873738425929</v>
      </c>
      <c r="G773" s="3">
        <v>45856.873749999999</v>
      </c>
      <c r="H773" s="4">
        <v>45877</v>
      </c>
      <c r="I773" s="2" t="s">
        <v>130</v>
      </c>
      <c r="J773" s="2" t="s">
        <v>51</v>
      </c>
      <c r="K773" s="2">
        <v>0.72729927305058184</v>
      </c>
      <c r="L773" s="2">
        <v>206.24247205808479</v>
      </c>
      <c r="M773" s="2">
        <v>0</v>
      </c>
      <c r="N773" s="2">
        <v>150</v>
      </c>
      <c r="O773" s="2">
        <v>150</v>
      </c>
      <c r="P773" s="2"/>
      <c r="Q773" s="2">
        <v>150</v>
      </c>
      <c r="R773" s="2" t="s">
        <v>44</v>
      </c>
      <c r="S773" s="2"/>
      <c r="T773" s="2">
        <f t="shared" si="269"/>
        <v>1</v>
      </c>
      <c r="U773" s="18">
        <f t="shared" si="270"/>
        <v>7</v>
      </c>
      <c r="V773" s="18">
        <f t="shared" si="271"/>
        <v>2025</v>
      </c>
      <c r="W773" s="18" t="str">
        <f t="shared" si="272"/>
        <v/>
      </c>
      <c r="X773" s="18" t="str">
        <f t="shared" si="273"/>
        <v/>
      </c>
      <c r="Y773" s="2">
        <f t="shared" si="266"/>
        <v>0.72729927305058184</v>
      </c>
      <c r="Z773" t="str">
        <f t="shared" si="267"/>
        <v>SO17549</v>
      </c>
      <c r="AA773" s="11">
        <f t="shared" si="274"/>
        <v>45856.873738425929</v>
      </c>
      <c r="AB773" s="5" t="str">
        <f t="shared" si="275"/>
        <v>INV13371</v>
      </c>
      <c r="AC773" s="5" t="str">
        <f>IFERROR(VLOOKUP(D773,CAARStatus!$A$2:$AA$1600,22,FALSE),"Not invoiced")</f>
        <v>Approved</v>
      </c>
      <c r="AD773" s="11" t="str">
        <f>IF(AC773="Paid",IFERROR(VLOOKUP(D773,CAARStatus!$A$2:$AA$1600,6,FALSE),"Pending"),"Pending")</f>
        <v>Pending</v>
      </c>
      <c r="AE773" s="5" t="str">
        <f t="shared" si="276"/>
        <v>OC00189</v>
      </c>
      <c r="AF773" s="5" t="str">
        <f t="shared" si="277"/>
        <v>Dynapro Pumps México S de RL de CV</v>
      </c>
      <c r="AG773" s="5" t="str">
        <f t="shared" si="278"/>
        <v>USD</v>
      </c>
      <c r="AH773" s="5">
        <f t="shared" si="279"/>
        <v>206.24247205808479</v>
      </c>
      <c r="AI773" s="12">
        <f>IF(L773-N773=0,VLOOKUP(U773,rate!A$4:B$15,2,FALSE)*AH773,IF(AG773="USD",O773,AH773*Y773))</f>
        <v>150</v>
      </c>
      <c r="AJ773" s="13">
        <f t="shared" si="280"/>
        <v>0.72729927305058184</v>
      </c>
      <c r="AK773" s="13">
        <f>-IF(AG773="CAD",IFERROR(VLOOKUP(D773,CAARStatus!$A$1:$Y$1600,16,FALSE),0),0)</f>
        <v>0</v>
      </c>
      <c r="AL773" s="13">
        <f>-IF(AG773="USD",IFERROR(VLOOKUP(D773,CAARStatus!$A$1:$Y$1600,11,FALSE),0),0)</f>
        <v>-150</v>
      </c>
      <c r="AM773" s="22" t="str">
        <f t="shared" si="281"/>
        <v/>
      </c>
      <c r="AN773" s="12">
        <f t="shared" si="282"/>
        <v>0</v>
      </c>
      <c r="AO773" s="12" t="str">
        <f t="shared" si="283"/>
        <v>Pend</v>
      </c>
      <c r="AP773" t="str">
        <f t="shared" si="268"/>
        <v>Pend</v>
      </c>
      <c r="AQ773" t="str">
        <f>IFERROR(VLOOKUP(Z773,InvBal!$L$4:$P$600,4,FALSE),"Pend")</f>
        <v>Pend</v>
      </c>
      <c r="AR773" t="str">
        <f>IFERROR(VLOOKUP(D773,Manual!$C$1:$E$22,2,FALSE),"Pend")</f>
        <v>Pend</v>
      </c>
      <c r="AS773" t="str">
        <f t="shared" si="284"/>
        <v/>
      </c>
      <c r="AT773" t="str">
        <f t="shared" si="285"/>
        <v>Yes</v>
      </c>
      <c r="AU773" s="51" t="str">
        <f t="shared" si="286"/>
        <v/>
      </c>
      <c r="AV773" s="12">
        <f>IFERROR(VLOOKUP(D773,'Receivable Invoice Detail'!$S$1:$U$3014,3,FALSE),0)</f>
        <v>0</v>
      </c>
      <c r="AW773" s="12">
        <f t="shared" si="287"/>
        <v>0</v>
      </c>
    </row>
    <row r="774" spans="1:49" x14ac:dyDescent="0.25">
      <c r="A774" s="2">
        <v>1</v>
      </c>
      <c r="B774" s="2" t="s">
        <v>975</v>
      </c>
      <c r="C774" s="2" t="s">
        <v>976</v>
      </c>
      <c r="D774" s="2" t="s">
        <v>3013</v>
      </c>
      <c r="E774" s="2" t="s">
        <v>146</v>
      </c>
      <c r="F774" s="3">
        <v>45859.365405092591</v>
      </c>
      <c r="G774" s="3">
        <v>45860.609386574077</v>
      </c>
      <c r="H774" s="4">
        <v>45861</v>
      </c>
      <c r="I774" s="2" t="s">
        <v>40</v>
      </c>
      <c r="J774" s="2" t="s">
        <v>22</v>
      </c>
      <c r="K774" s="2">
        <v>1</v>
      </c>
      <c r="L774" s="2">
        <v>850.88</v>
      </c>
      <c r="M774" s="2">
        <v>850.88</v>
      </c>
      <c r="N774" s="2">
        <v>850.88</v>
      </c>
      <c r="O774" s="2">
        <v>810.36</v>
      </c>
      <c r="P774" s="2">
        <v>40.520000000000003</v>
      </c>
      <c r="Q774" s="2">
        <v>850.88</v>
      </c>
      <c r="R774" s="2" t="s">
        <v>44</v>
      </c>
      <c r="S774" s="2"/>
      <c r="T774" s="2">
        <f t="shared" si="269"/>
        <v>1</v>
      </c>
      <c r="U774" s="18">
        <f t="shared" si="270"/>
        <v>7</v>
      </c>
      <c r="V774" s="18">
        <f t="shared" si="271"/>
        <v>2025</v>
      </c>
      <c r="W774" s="18">
        <f t="shared" si="272"/>
        <v>8</v>
      </c>
      <c r="X774" s="18">
        <f t="shared" si="273"/>
        <v>2025</v>
      </c>
      <c r="Y774" s="2">
        <f t="shared" si="266"/>
        <v>1</v>
      </c>
      <c r="Z774" t="str">
        <f t="shared" si="267"/>
        <v>SO17550</v>
      </c>
      <c r="AA774" s="11">
        <f t="shared" si="274"/>
        <v>45859.365405092591</v>
      </c>
      <c r="AB774" s="5" t="str">
        <f t="shared" si="275"/>
        <v>INV13219</v>
      </c>
      <c r="AC774" s="5" t="str">
        <f>IFERROR(VLOOKUP(D774,CAARStatus!$A$2:$AA$1600,22,FALSE),"Not invoiced")</f>
        <v>Paid</v>
      </c>
      <c r="AD774" s="11">
        <f>IF(AC774="Paid",IFERROR(VLOOKUP(D774,CAARStatus!$A$2:$AA$1600,6,FALSE),"Pending"),"Pending")</f>
        <v>45898</v>
      </c>
      <c r="AE774" s="5" t="str">
        <f t="shared" si="276"/>
        <v>7433</v>
      </c>
      <c r="AF774" s="5" t="str">
        <f t="shared" si="277"/>
        <v>Hyperflo</v>
      </c>
      <c r="AG774" s="5" t="str">
        <f t="shared" si="278"/>
        <v>CAD</v>
      </c>
      <c r="AH774" s="5">
        <f t="shared" si="279"/>
        <v>810.36</v>
      </c>
      <c r="AI774" s="12">
        <f>IF(L774-N774=0,VLOOKUP(U774,rate!A$4:B$15,2,FALSE)*AH774,IF(AG774="USD",O774,AH774*Y774))</f>
        <v>591.20451106073517</v>
      </c>
      <c r="AJ774" s="13">
        <f t="shared" si="280"/>
        <v>0.72955786448089144</v>
      </c>
      <c r="AK774" s="13">
        <f>-IF(AG774="CAD",IFERROR(VLOOKUP(D774,CAARStatus!$A$1:$Y$1600,16,FALSE),0),0)</f>
        <v>-810.36</v>
      </c>
      <c r="AL774" s="13">
        <f>-IF(AG774="USD",IFERROR(VLOOKUP(D774,CAARStatus!$A$1:$Y$1600,11,FALSE),0),0)</f>
        <v>0</v>
      </c>
      <c r="AM774" s="22">
        <f t="shared" si="281"/>
        <v>0</v>
      </c>
      <c r="AN774" s="12" t="str">
        <f t="shared" si="282"/>
        <v/>
      </c>
      <c r="AO774" s="12" t="str">
        <f t="shared" si="283"/>
        <v>Yes</v>
      </c>
      <c r="AP774" t="str">
        <f t="shared" si="268"/>
        <v>Yes</v>
      </c>
      <c r="AQ774" t="str">
        <f>IFERROR(VLOOKUP(Z774,InvBal!$L$4:$P$600,4,FALSE),"Pend")</f>
        <v>Pend</v>
      </c>
      <c r="AR774" t="str">
        <f>IFERROR(VLOOKUP(D774,Manual!$C$1:$E$22,2,FALSE),"Pend")</f>
        <v>Pend</v>
      </c>
      <c r="AS774" t="str">
        <f t="shared" si="284"/>
        <v>Yes</v>
      </c>
      <c r="AT774" t="str">
        <f t="shared" si="285"/>
        <v>Yes</v>
      </c>
      <c r="AU774" s="51" t="str">
        <f t="shared" si="286"/>
        <v>Yes</v>
      </c>
      <c r="AV774" s="12">
        <f>IFERROR(VLOOKUP(D774,'Receivable Invoice Detail'!$S$1:$U$3014,3,FALSE),0)</f>
        <v>0</v>
      </c>
      <c r="AW774" s="12">
        <f t="shared" si="287"/>
        <v>591.20451106073517</v>
      </c>
    </row>
    <row r="775" spans="1:49" x14ac:dyDescent="0.25">
      <c r="A775" s="2">
        <v>1</v>
      </c>
      <c r="B775" s="2" t="s">
        <v>989</v>
      </c>
      <c r="C775" s="2" t="s">
        <v>990</v>
      </c>
      <c r="D775" s="2" t="s">
        <v>3007</v>
      </c>
      <c r="E775" s="2" t="s">
        <v>54</v>
      </c>
      <c r="F775" s="3">
        <v>45859.418796296297</v>
      </c>
      <c r="G775" s="3">
        <v>45859.458240740743</v>
      </c>
      <c r="H775" s="4">
        <v>45860</v>
      </c>
      <c r="I775" s="2" t="s">
        <v>21</v>
      </c>
      <c r="J775" s="2" t="s">
        <v>22</v>
      </c>
      <c r="K775" s="2">
        <v>1</v>
      </c>
      <c r="L775" s="2">
        <v>1635.52</v>
      </c>
      <c r="M775" s="2">
        <v>0</v>
      </c>
      <c r="N775" s="2">
        <v>1194.725245674681</v>
      </c>
      <c r="O775" s="2">
        <v>1557.64</v>
      </c>
      <c r="P775" s="2">
        <v>77.88</v>
      </c>
      <c r="Q775" s="2">
        <v>1635.52</v>
      </c>
      <c r="R775" s="2" t="s">
        <v>44</v>
      </c>
      <c r="S775" s="2"/>
      <c r="T775" s="2">
        <f t="shared" si="269"/>
        <v>1</v>
      </c>
      <c r="U775" s="18">
        <f t="shared" si="270"/>
        <v>7</v>
      </c>
      <c r="V775" s="18">
        <f t="shared" si="271"/>
        <v>2025</v>
      </c>
      <c r="W775" s="18">
        <f t="shared" si="272"/>
        <v>8</v>
      </c>
      <c r="X775" s="18">
        <f t="shared" si="273"/>
        <v>2025</v>
      </c>
      <c r="Y775" s="2">
        <f t="shared" si="266"/>
        <v>0.73048647871911132</v>
      </c>
      <c r="Z775" t="str">
        <f t="shared" si="267"/>
        <v>SO17551</v>
      </c>
      <c r="AA775" s="11">
        <f t="shared" si="274"/>
        <v>45859.418796296297</v>
      </c>
      <c r="AB775" s="5" t="str">
        <f t="shared" si="275"/>
        <v>INV13212</v>
      </c>
      <c r="AC775" s="5" t="str">
        <f>IFERROR(VLOOKUP(D775,CAARStatus!$A$2:$AA$1600,22,FALSE),"Not invoiced")</f>
        <v>Paid</v>
      </c>
      <c r="AD775" s="11">
        <f>IF(AC775="Paid",IFERROR(VLOOKUP(D775,CAARStatus!$A$2:$AA$1600,6,FALSE),"Pending"),"Pending")</f>
        <v>45897</v>
      </c>
      <c r="AE775" s="5" t="str">
        <f t="shared" si="276"/>
        <v>3252</v>
      </c>
      <c r="AF775" s="5" t="str">
        <f t="shared" si="277"/>
        <v>Les Pompes du St-Laurent Inc.</v>
      </c>
      <c r="AG775" s="5" t="str">
        <f t="shared" si="278"/>
        <v>CAD</v>
      </c>
      <c r="AH775" s="5">
        <f t="shared" si="279"/>
        <v>1557.64</v>
      </c>
      <c r="AI775" s="12">
        <f>IF(L775-N775=0,VLOOKUP(U775,rate!A$4:B$15,2,FALSE)*AH775,IF(AG775="USD",O775,AH775*Y775))</f>
        <v>1137.8349587120367</v>
      </c>
      <c r="AJ775" s="13">
        <f t="shared" si="280"/>
        <v>0.73048647871911143</v>
      </c>
      <c r="AK775" s="13">
        <f>-IF(AG775="CAD",IFERROR(VLOOKUP(D775,CAARStatus!$A$1:$Y$1600,16,FALSE),0),0)</f>
        <v>-1557.64</v>
      </c>
      <c r="AL775" s="13">
        <f>-IF(AG775="USD",IFERROR(VLOOKUP(D775,CAARStatus!$A$1:$Y$1600,11,FALSE),0),0)</f>
        <v>0</v>
      </c>
      <c r="AM775" s="22">
        <f t="shared" si="281"/>
        <v>0</v>
      </c>
      <c r="AN775" s="12" t="str">
        <f t="shared" si="282"/>
        <v/>
      </c>
      <c r="AO775" s="12" t="str">
        <f t="shared" si="283"/>
        <v>Yes</v>
      </c>
      <c r="AP775" t="str">
        <f t="shared" si="268"/>
        <v>Yes</v>
      </c>
      <c r="AQ775" t="str">
        <f>IFERROR(VLOOKUP(Z775,InvBal!$L$4:$P$600,4,FALSE),"Pend")</f>
        <v>Pend</v>
      </c>
      <c r="AR775" t="str">
        <f>IFERROR(VLOOKUP(D775,Manual!$C$1:$E$22,2,FALSE),"Pend")</f>
        <v>Pend</v>
      </c>
      <c r="AS775" t="str">
        <f t="shared" si="284"/>
        <v>Yes</v>
      </c>
      <c r="AT775" t="str">
        <f t="shared" si="285"/>
        <v>Yes</v>
      </c>
      <c r="AU775" s="51" t="str">
        <f t="shared" si="286"/>
        <v>Yes</v>
      </c>
      <c r="AV775" s="12">
        <f>IFERROR(VLOOKUP(D775,'Receivable Invoice Detail'!$S$1:$U$3014,3,FALSE),0)</f>
        <v>0</v>
      </c>
      <c r="AW775" s="12">
        <f t="shared" si="287"/>
        <v>1137.8349587120367</v>
      </c>
    </row>
    <row r="776" spans="1:49" ht="30" x14ac:dyDescent="0.25">
      <c r="A776" s="2">
        <v>1</v>
      </c>
      <c r="B776" s="2" t="s">
        <v>979</v>
      </c>
      <c r="C776" s="2" t="s">
        <v>980</v>
      </c>
      <c r="D776" s="2" t="s">
        <v>3011</v>
      </c>
      <c r="E776" s="2" t="s">
        <v>981</v>
      </c>
      <c r="F776" s="3">
        <v>45859.495115740741</v>
      </c>
      <c r="G776" s="3">
        <v>45859.664918981478</v>
      </c>
      <c r="H776" s="4">
        <v>45873</v>
      </c>
      <c r="I776" s="2" t="s">
        <v>21</v>
      </c>
      <c r="J776" s="2" t="s">
        <v>22</v>
      </c>
      <c r="K776" s="2">
        <v>1</v>
      </c>
      <c r="L776" s="2">
        <v>1540.6</v>
      </c>
      <c r="M776" s="2">
        <v>0</v>
      </c>
      <c r="N776" s="2">
        <v>1125.387469114663</v>
      </c>
      <c r="O776" s="2">
        <v>1363.36</v>
      </c>
      <c r="P776" s="2">
        <v>177.24</v>
      </c>
      <c r="Q776" s="2">
        <v>1540.6</v>
      </c>
      <c r="R776" s="2" t="s">
        <v>44</v>
      </c>
      <c r="S776" s="2"/>
      <c r="T776" s="2">
        <f t="shared" si="269"/>
        <v>1</v>
      </c>
      <c r="U776" s="18">
        <f t="shared" si="270"/>
        <v>7</v>
      </c>
      <c r="V776" s="18">
        <f t="shared" si="271"/>
        <v>2025</v>
      </c>
      <c r="W776" s="18">
        <f t="shared" si="272"/>
        <v>9</v>
      </c>
      <c r="X776" s="18">
        <f t="shared" si="273"/>
        <v>2025</v>
      </c>
      <c r="Y776" s="2">
        <f t="shared" si="266"/>
        <v>0.73048647871911143</v>
      </c>
      <c r="Z776" t="str">
        <f t="shared" si="267"/>
        <v>SO17552</v>
      </c>
      <c r="AA776" s="11">
        <f t="shared" si="274"/>
        <v>45859.495115740741</v>
      </c>
      <c r="AB776" s="5" t="str">
        <f t="shared" si="275"/>
        <v>INV13277</v>
      </c>
      <c r="AC776" s="5" t="str">
        <f>IFERROR(VLOOKUP(D776,CAARStatus!$A$2:$AA$1600,22,FALSE),"Not invoiced")</f>
        <v>Paid</v>
      </c>
      <c r="AD776" s="11">
        <f>IF(AC776="Paid",IFERROR(VLOOKUP(D776,CAARStatus!$A$2:$AA$1600,6,FALSE),"Pending"),"Pending")</f>
        <v>45903</v>
      </c>
      <c r="AE776" s="5" t="str">
        <f t="shared" si="276"/>
        <v>4560068337</v>
      </c>
      <c r="AF776" s="5" t="str">
        <f t="shared" si="277"/>
        <v>Alamos Gold Inc, Alamos Gold Inc Island Gold Division</v>
      </c>
      <c r="AG776" s="5" t="str">
        <f t="shared" si="278"/>
        <v>CAD</v>
      </c>
      <c r="AH776" s="5">
        <f t="shared" si="279"/>
        <v>1363.36</v>
      </c>
      <c r="AI776" s="12">
        <f>IF(L776-N776=0,VLOOKUP(U776,rate!A$4:B$15,2,FALSE)*AH776,IF(AG776="USD",O776,AH776*Y776))</f>
        <v>995.91604562648774</v>
      </c>
      <c r="AJ776" s="13">
        <f t="shared" si="280"/>
        <v>0.73048647871911143</v>
      </c>
      <c r="AK776" s="13">
        <f>-IF(AG776="CAD",IFERROR(VLOOKUP(D776,CAARStatus!$A$1:$Y$1600,16,FALSE),0),0)</f>
        <v>-1363.36</v>
      </c>
      <c r="AL776" s="13">
        <f>-IF(AG776="USD",IFERROR(VLOOKUP(D776,CAARStatus!$A$1:$Y$1600,11,FALSE),0),0)</f>
        <v>0</v>
      </c>
      <c r="AM776" s="22">
        <f t="shared" si="281"/>
        <v>0</v>
      </c>
      <c r="AN776" s="12" t="str">
        <f t="shared" si="282"/>
        <v/>
      </c>
      <c r="AO776" s="12" t="str">
        <f t="shared" si="283"/>
        <v>Yes</v>
      </c>
      <c r="AP776" t="str">
        <f t="shared" si="268"/>
        <v>Yes</v>
      </c>
      <c r="AQ776" t="str">
        <f>IFERROR(VLOOKUP(Z776,InvBal!$L$4:$P$600,4,FALSE),"Pend")</f>
        <v>Pend</v>
      </c>
      <c r="AR776" t="str">
        <f>IFERROR(VLOOKUP(D776,Manual!$C$1:$E$22,2,FALSE),"Pend")</f>
        <v>Pend</v>
      </c>
      <c r="AS776" t="str">
        <f t="shared" si="284"/>
        <v>Yes</v>
      </c>
      <c r="AT776" t="str">
        <f t="shared" si="285"/>
        <v>Yes</v>
      </c>
      <c r="AU776" s="51" t="str">
        <f t="shared" si="286"/>
        <v>Yes</v>
      </c>
      <c r="AV776" s="12">
        <f>IFERROR(VLOOKUP(D776,'Receivable Invoice Detail'!$S$1:$U$3014,3,FALSE),0)</f>
        <v>0</v>
      </c>
      <c r="AW776" s="12">
        <f t="shared" si="287"/>
        <v>995.91604562648774</v>
      </c>
    </row>
    <row r="777" spans="1:49" ht="30" x14ac:dyDescent="0.25">
      <c r="A777" s="2">
        <v>1</v>
      </c>
      <c r="B777" s="2" t="s">
        <v>946</v>
      </c>
      <c r="C777" s="2" t="s">
        <v>947</v>
      </c>
      <c r="D777" s="2" t="s">
        <v>3030</v>
      </c>
      <c r="E777" s="2" t="s">
        <v>35</v>
      </c>
      <c r="F777" s="3">
        <v>45859.526921296303</v>
      </c>
      <c r="G777" s="3">
        <v>45863.51289351852</v>
      </c>
      <c r="H777" s="4">
        <v>45870</v>
      </c>
      <c r="I777" s="2" t="s">
        <v>36</v>
      </c>
      <c r="J777" s="2" t="s">
        <v>22</v>
      </c>
      <c r="K777" s="2">
        <v>1</v>
      </c>
      <c r="L777" s="2">
        <v>1133.25</v>
      </c>
      <c r="M777" s="2">
        <v>0</v>
      </c>
      <c r="N777" s="2">
        <v>826.29532356472623</v>
      </c>
      <c r="O777" s="2">
        <v>1079.28</v>
      </c>
      <c r="P777" s="2">
        <v>53.97</v>
      </c>
      <c r="Q777" s="2">
        <v>1133.25</v>
      </c>
      <c r="R777" s="2" t="s">
        <v>44</v>
      </c>
      <c r="S777" s="2"/>
      <c r="T777" s="2">
        <f t="shared" si="269"/>
        <v>1</v>
      </c>
      <c r="U777" s="18">
        <f t="shared" si="270"/>
        <v>7</v>
      </c>
      <c r="V777" s="18">
        <f t="shared" si="271"/>
        <v>2025</v>
      </c>
      <c r="W777" s="18">
        <f t="shared" si="272"/>
        <v>9</v>
      </c>
      <c r="X777" s="18">
        <f t="shared" si="273"/>
        <v>2025</v>
      </c>
      <c r="Y777" s="2">
        <f t="shared" si="266"/>
        <v>0.72913772209550076</v>
      </c>
      <c r="Z777" t="str">
        <f t="shared" si="267"/>
        <v>SO17553</v>
      </c>
      <c r="AA777" s="11">
        <f t="shared" si="274"/>
        <v>45859.526921296303</v>
      </c>
      <c r="AB777" s="5" t="str">
        <f t="shared" si="275"/>
        <v>INV13237</v>
      </c>
      <c r="AC777" s="5" t="str">
        <f>IFERROR(VLOOKUP(D777,CAARStatus!$A$2:$AA$1600,22,FALSE),"Not invoiced")</f>
        <v>Paid</v>
      </c>
      <c r="AD777" s="11">
        <f>IF(AC777="Paid",IFERROR(VLOOKUP(D777,CAARStatus!$A$2:$AA$1600,6,FALSE),"Pending"),"Pending")</f>
        <v>45904</v>
      </c>
      <c r="AE777" s="5" t="str">
        <f t="shared" si="276"/>
        <v>PO13837</v>
      </c>
      <c r="AF777" s="5" t="str">
        <f t="shared" si="277"/>
        <v>Manufacture Sling-Choker (Val-d’Or) Ltée</v>
      </c>
      <c r="AG777" s="5" t="str">
        <f t="shared" si="278"/>
        <v>CAD</v>
      </c>
      <c r="AH777" s="5">
        <f t="shared" si="279"/>
        <v>1079.28</v>
      </c>
      <c r="AI777" s="12">
        <f>IF(L777-N777=0,VLOOKUP(U777,rate!A$4:B$15,2,FALSE)*AH777,IF(AG777="USD",O777,AH777*Y777))</f>
        <v>786.94376070323199</v>
      </c>
      <c r="AJ777" s="13">
        <f t="shared" si="280"/>
        <v>0.72913772209550076</v>
      </c>
      <c r="AK777" s="13">
        <f>-IF(AG777="CAD",IFERROR(VLOOKUP(D777,CAARStatus!$A$1:$Y$1600,16,FALSE),0),0)</f>
        <v>-1079.28</v>
      </c>
      <c r="AL777" s="13">
        <f>-IF(AG777="USD",IFERROR(VLOOKUP(D777,CAARStatus!$A$1:$Y$1600,11,FALSE),0),0)</f>
        <v>0</v>
      </c>
      <c r="AM777" s="22">
        <f t="shared" si="281"/>
        <v>0</v>
      </c>
      <c r="AN777" s="12" t="str">
        <f t="shared" si="282"/>
        <v/>
      </c>
      <c r="AO777" s="12" t="str">
        <f t="shared" si="283"/>
        <v>Yes</v>
      </c>
      <c r="AP777" t="str">
        <f t="shared" si="268"/>
        <v>Yes</v>
      </c>
      <c r="AQ777" t="str">
        <f>IFERROR(VLOOKUP(Z777,InvBal!$L$4:$P$600,4,FALSE),"Pend")</f>
        <v>Pend</v>
      </c>
      <c r="AR777" t="str">
        <f>IFERROR(VLOOKUP(D777,Manual!$C$1:$E$22,2,FALSE),"Pend")</f>
        <v>Pend</v>
      </c>
      <c r="AS777" t="str">
        <f t="shared" si="284"/>
        <v>Yes</v>
      </c>
      <c r="AT777" t="str">
        <f t="shared" si="285"/>
        <v>Yes</v>
      </c>
      <c r="AU777" s="51" t="str">
        <f t="shared" si="286"/>
        <v>Yes</v>
      </c>
      <c r="AV777" s="12">
        <f>IFERROR(VLOOKUP(D777,'Receivable Invoice Detail'!$S$1:$U$3014,3,FALSE),0)</f>
        <v>0</v>
      </c>
      <c r="AW777" s="12">
        <f t="shared" si="287"/>
        <v>786.94376070323199</v>
      </c>
    </row>
    <row r="778" spans="1:49" x14ac:dyDescent="0.25">
      <c r="A778" s="2">
        <v>1</v>
      </c>
      <c r="B778" s="2" t="s">
        <v>982</v>
      </c>
      <c r="C778" s="2" t="s">
        <v>983</v>
      </c>
      <c r="D778" s="2" t="s">
        <v>3010</v>
      </c>
      <c r="E778" s="2" t="s">
        <v>239</v>
      </c>
      <c r="F778" s="3">
        <v>45859.606435185182</v>
      </c>
      <c r="G778" s="3">
        <v>45859.609282407408</v>
      </c>
      <c r="H778" s="4">
        <v>45859</v>
      </c>
      <c r="I778" s="2" t="s">
        <v>180</v>
      </c>
      <c r="J778" s="2" t="s">
        <v>51</v>
      </c>
      <c r="K778" s="2">
        <v>0.72845881656938405</v>
      </c>
      <c r="L778" s="2">
        <v>2724.7250700423742</v>
      </c>
      <c r="M778" s="2">
        <v>0</v>
      </c>
      <c r="N778" s="2">
        <v>1984.85</v>
      </c>
      <c r="O778" s="2">
        <v>1984.85</v>
      </c>
      <c r="P778" s="2"/>
      <c r="Q778" s="2">
        <v>1984.85</v>
      </c>
      <c r="R778" s="2" t="s">
        <v>44</v>
      </c>
      <c r="S778" s="2"/>
      <c r="T778" s="2">
        <f t="shared" si="269"/>
        <v>1</v>
      </c>
      <c r="U778" s="18">
        <f t="shared" si="270"/>
        <v>7</v>
      </c>
      <c r="V778" s="18">
        <f t="shared" si="271"/>
        <v>2025</v>
      </c>
      <c r="W778" s="18">
        <f t="shared" si="272"/>
        <v>9</v>
      </c>
      <c r="X778" s="18">
        <f t="shared" si="273"/>
        <v>2025</v>
      </c>
      <c r="Y778" s="2">
        <f t="shared" si="266"/>
        <v>0.72845881656938405</v>
      </c>
      <c r="Z778" t="str">
        <f t="shared" si="267"/>
        <v>SO17554</v>
      </c>
      <c r="AA778" s="11">
        <f t="shared" si="274"/>
        <v>45859.606435185182</v>
      </c>
      <c r="AB778" s="5" t="str">
        <f t="shared" si="275"/>
        <v>INV13222</v>
      </c>
      <c r="AC778" s="5" t="str">
        <f>IFERROR(VLOOKUP(D778,CAARStatus!$A$2:$AA$1600,22,FALSE),"Not invoiced")</f>
        <v>Paid</v>
      </c>
      <c r="AD778" s="11">
        <f>IF(AC778="Paid",IFERROR(VLOOKUP(D778,CAARStatus!$A$2:$AA$1600,6,FALSE),"Pending"),"Pending")</f>
        <v>45903</v>
      </c>
      <c r="AE778" s="5" t="str">
        <f t="shared" si="276"/>
        <v>PO# 1053</v>
      </c>
      <c r="AF778" s="5" t="str">
        <f t="shared" si="277"/>
        <v>Mill-Right Mine Services Inc.</v>
      </c>
      <c r="AG778" s="5" t="str">
        <f t="shared" si="278"/>
        <v>USD</v>
      </c>
      <c r="AH778" s="5">
        <f t="shared" si="279"/>
        <v>2724.7250700423742</v>
      </c>
      <c r="AI778" s="12">
        <f>IF(L778-N778=0,VLOOKUP(U778,rate!A$4:B$15,2,FALSE)*AH778,IF(AG778="USD",O778,AH778*Y778))</f>
        <v>1984.85</v>
      </c>
      <c r="AJ778" s="13">
        <f t="shared" si="280"/>
        <v>0.72845881656938405</v>
      </c>
      <c r="AK778" s="13">
        <f>-IF(AG778="CAD",IFERROR(VLOOKUP(D778,CAARStatus!$A$1:$Y$1600,16,FALSE),0),0)</f>
        <v>0</v>
      </c>
      <c r="AL778" s="13">
        <f>-IF(AG778="USD",IFERROR(VLOOKUP(D778,CAARStatus!$A$1:$Y$1600,11,FALSE),0),0)</f>
        <v>-1984.85</v>
      </c>
      <c r="AM778" s="22" t="str">
        <f t="shared" si="281"/>
        <v/>
      </c>
      <c r="AN778" s="12">
        <f t="shared" si="282"/>
        <v>0</v>
      </c>
      <c r="AO778" s="12" t="str">
        <f t="shared" si="283"/>
        <v>Yes</v>
      </c>
      <c r="AP778" t="str">
        <f t="shared" si="268"/>
        <v>Yes</v>
      </c>
      <c r="AQ778" t="str">
        <f>IFERROR(VLOOKUP(Z778,InvBal!$L$4:$P$600,4,FALSE),"Pend")</f>
        <v>Pend</v>
      </c>
      <c r="AR778" t="str">
        <f>IFERROR(VLOOKUP(D778,Manual!$C$1:$E$22,2,FALSE),"Pend")</f>
        <v>Pend</v>
      </c>
      <c r="AS778" t="str">
        <f t="shared" si="284"/>
        <v>Yes</v>
      </c>
      <c r="AT778" t="str">
        <f t="shared" si="285"/>
        <v>Yes</v>
      </c>
      <c r="AU778" s="51" t="str">
        <f t="shared" si="286"/>
        <v>Yes</v>
      </c>
      <c r="AV778" s="12">
        <f>IFERROR(VLOOKUP(D778,'Receivable Invoice Detail'!$S$1:$U$3014,3,FALSE),0)</f>
        <v>168</v>
      </c>
      <c r="AW778" s="12">
        <f t="shared" si="287"/>
        <v>1816.85</v>
      </c>
    </row>
    <row r="779" spans="1:49" x14ac:dyDescent="0.25">
      <c r="A779" s="2">
        <v>1</v>
      </c>
      <c r="B779" s="2" t="s">
        <v>955</v>
      </c>
      <c r="C779" s="2" t="s">
        <v>956</v>
      </c>
      <c r="D779" s="2" t="s">
        <v>3025</v>
      </c>
      <c r="E779" s="2" t="s">
        <v>70</v>
      </c>
      <c r="F779" s="3">
        <v>45859.709062499998</v>
      </c>
      <c r="G779" s="3">
        <v>45862.490636574083</v>
      </c>
      <c r="H779" s="4">
        <v>45869</v>
      </c>
      <c r="I779" s="2" t="s">
        <v>71</v>
      </c>
      <c r="J779" s="2" t="s">
        <v>51</v>
      </c>
      <c r="K779" s="2">
        <v>0.73474516251328958</v>
      </c>
      <c r="L779" s="2">
        <v>8294.6309971653172</v>
      </c>
      <c r="M779" s="2">
        <v>0</v>
      </c>
      <c r="N779" s="2">
        <v>6094.44</v>
      </c>
      <c r="O779" s="2">
        <v>6094.44</v>
      </c>
      <c r="P779" s="2"/>
      <c r="Q779" s="2">
        <v>6094.44</v>
      </c>
      <c r="R779" s="2" t="s">
        <v>44</v>
      </c>
      <c r="S779" s="2"/>
      <c r="T779" s="2">
        <f t="shared" si="269"/>
        <v>1</v>
      </c>
      <c r="U779" s="18">
        <f t="shared" si="270"/>
        <v>7</v>
      </c>
      <c r="V779" s="18">
        <f t="shared" si="271"/>
        <v>2025</v>
      </c>
      <c r="W779" s="18">
        <f t="shared" si="272"/>
        <v>10</v>
      </c>
      <c r="X779" s="18">
        <f t="shared" si="273"/>
        <v>2025</v>
      </c>
      <c r="Y779" s="2">
        <f t="shared" si="266"/>
        <v>0.73474516251328947</v>
      </c>
      <c r="Z779" t="str">
        <f t="shared" si="267"/>
        <v>SO17555</v>
      </c>
      <c r="AA779" s="11">
        <f t="shared" si="274"/>
        <v>45859.709062499998</v>
      </c>
      <c r="AB779" s="5" t="str">
        <f t="shared" si="275"/>
        <v>INV13242</v>
      </c>
      <c r="AC779" s="5" t="str">
        <f>IFERROR(VLOOKUP(D779,CAARStatus!$A$2:$AA$1600,22,FALSE),"Not invoiced")</f>
        <v>Paid</v>
      </c>
      <c r="AD779" s="11">
        <f>IF(AC779="Paid",IFERROR(VLOOKUP(D779,CAARStatus!$A$2:$AA$1600,6,FALSE),"Pending"),"Pending")</f>
        <v>45951</v>
      </c>
      <c r="AE779" s="5" t="str">
        <f t="shared" si="276"/>
        <v>P363766</v>
      </c>
      <c r="AF779" s="5" t="str">
        <f t="shared" si="277"/>
        <v>Covia Corp - Junction City</v>
      </c>
      <c r="AG779" s="5" t="str">
        <f t="shared" si="278"/>
        <v>USD</v>
      </c>
      <c r="AH779" s="5">
        <f t="shared" si="279"/>
        <v>8294.6309971653172</v>
      </c>
      <c r="AI779" s="12">
        <f>IF(L779-N779=0,VLOOKUP(U779,rate!A$4:B$15,2,FALSE)*AH779,IF(AG779="USD",O779,AH779*Y779))</f>
        <v>6094.44</v>
      </c>
      <c r="AJ779" s="13">
        <f t="shared" si="280"/>
        <v>0.73474516251328947</v>
      </c>
      <c r="AK779" s="13">
        <f>-IF(AG779="CAD",IFERROR(VLOOKUP(D779,CAARStatus!$A$1:$Y$1600,16,FALSE),0),0)</f>
        <v>0</v>
      </c>
      <c r="AL779" s="13">
        <f>-IF(AG779="USD",IFERROR(VLOOKUP(D779,CAARStatus!$A$1:$Y$1600,11,FALSE),0),0)</f>
        <v>-6094.44</v>
      </c>
      <c r="AM779" s="22" t="str">
        <f t="shared" si="281"/>
        <v/>
      </c>
      <c r="AN779" s="12">
        <f t="shared" si="282"/>
        <v>0</v>
      </c>
      <c r="AO779" s="12" t="str">
        <f t="shared" si="283"/>
        <v>Yes</v>
      </c>
      <c r="AP779" t="str">
        <f t="shared" si="268"/>
        <v>Yes</v>
      </c>
      <c r="AQ779" t="str">
        <f>IFERROR(VLOOKUP(Z779,InvBal!$L$4:$P$600,4,FALSE),"Pend")</f>
        <v>Pend</v>
      </c>
      <c r="AR779" t="str">
        <f>IFERROR(VLOOKUP(D779,Manual!$C$1:$E$22,2,FALSE),"Pend")</f>
        <v>Pend</v>
      </c>
      <c r="AS779" t="str">
        <f t="shared" si="284"/>
        <v>Yes</v>
      </c>
      <c r="AT779" t="str">
        <f t="shared" si="285"/>
        <v>Yes</v>
      </c>
      <c r="AU779" s="51" t="str">
        <f t="shared" si="286"/>
        <v>Yes</v>
      </c>
      <c r="AV779" s="12">
        <f>IFERROR(VLOOKUP(D779,'Receivable Invoice Detail'!$S$1:$U$3014,3,FALSE),0)</f>
        <v>498.44</v>
      </c>
      <c r="AW779" s="12">
        <f t="shared" si="287"/>
        <v>5596</v>
      </c>
    </row>
    <row r="780" spans="1:49" ht="30" x14ac:dyDescent="0.25">
      <c r="A780" s="2">
        <v>1</v>
      </c>
      <c r="B780" s="2" t="s">
        <v>853</v>
      </c>
      <c r="C780" s="2" t="s">
        <v>854</v>
      </c>
      <c r="D780" s="2" t="s">
        <v>3077</v>
      </c>
      <c r="E780" s="2" t="s">
        <v>855</v>
      </c>
      <c r="F780" s="3">
        <v>45860.41847222222</v>
      </c>
      <c r="G780" s="3">
        <v>45882.330300925933</v>
      </c>
      <c r="H780" s="4">
        <v>45965</v>
      </c>
      <c r="I780" s="2" t="s">
        <v>180</v>
      </c>
      <c r="J780" s="2" t="s">
        <v>51</v>
      </c>
      <c r="K780" s="2">
        <v>0.72654677831979975</v>
      </c>
      <c r="L780" s="2">
        <v>49612.772467809147</v>
      </c>
      <c r="M780" s="2">
        <v>0</v>
      </c>
      <c r="N780" s="2">
        <v>36046</v>
      </c>
      <c r="O780" s="2">
        <v>36046</v>
      </c>
      <c r="P780" s="2"/>
      <c r="Q780" s="2">
        <v>36046</v>
      </c>
      <c r="R780" s="2" t="s">
        <v>44</v>
      </c>
      <c r="S780" s="2"/>
      <c r="T780" s="2">
        <f t="shared" si="269"/>
        <v>1</v>
      </c>
      <c r="U780" s="18">
        <f t="shared" si="270"/>
        <v>7</v>
      </c>
      <c r="V780" s="18">
        <f t="shared" si="271"/>
        <v>2025</v>
      </c>
      <c r="W780" s="18" t="str">
        <f t="shared" si="272"/>
        <v/>
      </c>
      <c r="X780" s="18" t="str">
        <f t="shared" si="273"/>
        <v/>
      </c>
      <c r="Y780" s="2">
        <f t="shared" si="266"/>
        <v>0.72654677831979986</v>
      </c>
      <c r="Z780" t="str">
        <f t="shared" si="267"/>
        <v>SO17558</v>
      </c>
      <c r="AA780" s="11">
        <f t="shared" si="274"/>
        <v>45860.41847222222</v>
      </c>
      <c r="AB780" s="5" t="str">
        <f t="shared" si="275"/>
        <v>INV13674</v>
      </c>
      <c r="AC780" s="5" t="str">
        <f>IFERROR(VLOOKUP(D780,CAARStatus!$A$2:$AA$1600,22,FALSE),"Not invoiced")</f>
        <v>Not invoiced</v>
      </c>
      <c r="AD780" s="11" t="str">
        <f>IF(AC780="Paid",IFERROR(VLOOKUP(D780,CAARStatus!$A$2:$AA$1600,6,FALSE),"Pending"),"Pending")</f>
        <v>Pending</v>
      </c>
      <c r="AE780" s="5" t="str">
        <f t="shared" si="276"/>
        <v>19097</v>
      </c>
      <c r="AF780" s="5" t="str">
        <f t="shared" si="277"/>
        <v>Adriatic Metals plc - Eastern Mining d.o.o.</v>
      </c>
      <c r="AG780" s="5" t="str">
        <f t="shared" si="278"/>
        <v>USD</v>
      </c>
      <c r="AH780" s="5">
        <f t="shared" si="279"/>
        <v>49612.772467809154</v>
      </c>
      <c r="AI780" s="12">
        <f>IF(L780-N780=0,VLOOKUP(U780,rate!A$4:B$15,2,FALSE)*AH780,IF(AG780="USD",O780,AH780*Y780))</f>
        <v>36046</v>
      </c>
      <c r="AJ780" s="13">
        <f t="shared" si="280"/>
        <v>0.72654677831979975</v>
      </c>
      <c r="AK780" s="13">
        <f>-IF(AG780="CAD",IFERROR(VLOOKUP(D780,CAARStatus!$A$1:$Y$1600,16,FALSE),0),0)</f>
        <v>0</v>
      </c>
      <c r="AL780" s="13">
        <f>-IF(AG780="USD",IFERROR(VLOOKUP(D780,CAARStatus!$A$1:$Y$1600,11,FALSE),0),0)</f>
        <v>0</v>
      </c>
      <c r="AM780" s="22" t="str">
        <f t="shared" si="281"/>
        <v/>
      </c>
      <c r="AN780" s="12">
        <f t="shared" si="282"/>
        <v>36046</v>
      </c>
      <c r="AO780" s="12" t="str">
        <f t="shared" si="283"/>
        <v>Pend</v>
      </c>
      <c r="AP780" t="str">
        <f t="shared" si="268"/>
        <v>Pend</v>
      </c>
      <c r="AQ780" t="str">
        <f>IFERROR(VLOOKUP(Z780,InvBal!$L$4:$P$600,4,FALSE),"Pend")</f>
        <v>Pend</v>
      </c>
      <c r="AR780" t="str">
        <f>IFERROR(VLOOKUP(D780,Manual!$C$1:$E$22,2,FALSE),"Pend")</f>
        <v>Pend</v>
      </c>
      <c r="AS780" t="str">
        <f t="shared" si="284"/>
        <v/>
      </c>
      <c r="AT780" t="str">
        <f t="shared" si="285"/>
        <v>Yes</v>
      </c>
      <c r="AU780" s="51" t="str">
        <f t="shared" si="286"/>
        <v/>
      </c>
      <c r="AV780" s="12">
        <f>IFERROR(VLOOKUP(D780,'Receivable Invoice Detail'!$S$1:$U$3014,3,FALSE),0)</f>
        <v>0</v>
      </c>
      <c r="AW780" s="12">
        <f t="shared" si="287"/>
        <v>0</v>
      </c>
    </row>
    <row r="781" spans="1:49" ht="30" x14ac:dyDescent="0.25">
      <c r="A781" s="2">
        <v>1</v>
      </c>
      <c r="B781" s="2" t="s">
        <v>856</v>
      </c>
      <c r="C781" s="2" t="s">
        <v>857</v>
      </c>
      <c r="D781" s="2" t="s">
        <v>3076</v>
      </c>
      <c r="E781" s="2" t="s">
        <v>104</v>
      </c>
      <c r="F781" s="3">
        <v>45860.560740740737</v>
      </c>
      <c r="G781" s="3">
        <v>45881.616377314807</v>
      </c>
      <c r="H781" s="4">
        <v>45888</v>
      </c>
      <c r="I781" s="2" t="s">
        <v>21</v>
      </c>
      <c r="J781" s="2" t="s">
        <v>22</v>
      </c>
      <c r="K781" s="2">
        <v>1</v>
      </c>
      <c r="L781" s="2">
        <v>2711.5</v>
      </c>
      <c r="M781" s="2">
        <v>0</v>
      </c>
      <c r="N781" s="2">
        <v>1970.031589414137</v>
      </c>
      <c r="O781" s="2">
        <v>2582.38</v>
      </c>
      <c r="P781" s="2">
        <v>129.12</v>
      </c>
      <c r="Q781" s="2">
        <v>2711.5</v>
      </c>
      <c r="R781" s="2" t="s">
        <v>44</v>
      </c>
      <c r="S781" s="2"/>
      <c r="T781" s="2">
        <f t="shared" si="269"/>
        <v>1</v>
      </c>
      <c r="U781" s="18">
        <f t="shared" si="270"/>
        <v>7</v>
      </c>
      <c r="V781" s="18">
        <f t="shared" si="271"/>
        <v>2025</v>
      </c>
      <c r="W781" s="18">
        <f t="shared" si="272"/>
        <v>10</v>
      </c>
      <c r="X781" s="18">
        <f t="shared" si="273"/>
        <v>2025</v>
      </c>
      <c r="Y781" s="2">
        <f t="shared" si="266"/>
        <v>0.72654677831979975</v>
      </c>
      <c r="Z781" t="str">
        <f t="shared" si="267"/>
        <v>SO17560</v>
      </c>
      <c r="AA781" s="11">
        <f t="shared" si="274"/>
        <v>45860.560740740737</v>
      </c>
      <c r="AB781" s="5" t="str">
        <f t="shared" si="275"/>
        <v>INV13296</v>
      </c>
      <c r="AC781" s="5" t="str">
        <f>IFERROR(VLOOKUP(D781,CAARStatus!$A$2:$AA$1600,22,FALSE),"Not invoiced")</f>
        <v>Paid</v>
      </c>
      <c r="AD781" s="11">
        <f>IF(AC781="Paid",IFERROR(VLOOKUP(D781,CAARStatus!$A$2:$AA$1600,6,FALSE),"Pending"),"Pending")</f>
        <v>45931</v>
      </c>
      <c r="AE781" s="5" t="str">
        <f t="shared" si="276"/>
        <v>2100631540</v>
      </c>
      <c r="AF781" s="5" t="str">
        <f t="shared" si="277"/>
        <v>Wajax Limited - Noranda, Wajax Limited - Noranda</v>
      </c>
      <c r="AG781" s="5" t="str">
        <f t="shared" si="278"/>
        <v>CAD</v>
      </c>
      <c r="AH781" s="5">
        <f t="shared" si="279"/>
        <v>2582.38</v>
      </c>
      <c r="AI781" s="12">
        <f>IF(L781-N781=0,VLOOKUP(U781,rate!A$4:B$15,2,FALSE)*AH781,IF(AG781="USD",O781,AH781*Y781))</f>
        <v>1876.2198693974844</v>
      </c>
      <c r="AJ781" s="13">
        <f t="shared" si="280"/>
        <v>0.72654677831979975</v>
      </c>
      <c r="AK781" s="13">
        <f>-IF(AG781="CAD",IFERROR(VLOOKUP(D781,CAARStatus!$A$1:$Y$1600,16,FALSE),0),0)</f>
        <v>-2582.38</v>
      </c>
      <c r="AL781" s="13">
        <f>-IF(AG781="USD",IFERROR(VLOOKUP(D781,CAARStatus!$A$1:$Y$1600,11,FALSE),0),0)</f>
        <v>0</v>
      </c>
      <c r="AM781" s="22">
        <f t="shared" si="281"/>
        <v>0</v>
      </c>
      <c r="AN781" s="12" t="str">
        <f t="shared" si="282"/>
        <v/>
      </c>
      <c r="AO781" s="12" t="str">
        <f t="shared" si="283"/>
        <v>Yes</v>
      </c>
      <c r="AP781" t="str">
        <f t="shared" si="268"/>
        <v>Yes</v>
      </c>
      <c r="AQ781" t="str">
        <f>IFERROR(VLOOKUP(Z781,InvBal!$L$4:$P$600,4,FALSE),"Pend")</f>
        <v>Pend</v>
      </c>
      <c r="AR781" t="str">
        <f>IFERROR(VLOOKUP(D781,Manual!$C$1:$E$22,2,FALSE),"Pend")</f>
        <v>Pend</v>
      </c>
      <c r="AS781" t="str">
        <f t="shared" si="284"/>
        <v>Yes</v>
      </c>
      <c r="AT781" t="str">
        <f t="shared" si="285"/>
        <v>Yes</v>
      </c>
      <c r="AU781" s="51" t="str">
        <f t="shared" si="286"/>
        <v>Yes</v>
      </c>
      <c r="AV781" s="12">
        <f>IFERROR(VLOOKUP(D781,'Receivable Invoice Detail'!$S$1:$U$3014,3,FALSE),0)</f>
        <v>0</v>
      </c>
      <c r="AW781" s="12">
        <f t="shared" si="287"/>
        <v>1876.2198693974844</v>
      </c>
    </row>
    <row r="782" spans="1:49" ht="30" x14ac:dyDescent="0.25">
      <c r="A782" s="2">
        <v>1</v>
      </c>
      <c r="B782" s="2" t="s">
        <v>940</v>
      </c>
      <c r="C782" s="2" t="s">
        <v>941</v>
      </c>
      <c r="D782" s="2" t="s">
        <v>3034</v>
      </c>
      <c r="E782" s="2" t="s">
        <v>739</v>
      </c>
      <c r="F782" s="3">
        <v>45860.718784722223</v>
      </c>
      <c r="G782" s="3">
        <v>45863.788784722223</v>
      </c>
      <c r="H782" s="4">
        <v>45884</v>
      </c>
      <c r="I782" s="2" t="s">
        <v>36</v>
      </c>
      <c r="J782" s="2" t="s">
        <v>51</v>
      </c>
      <c r="K782" s="2">
        <v>0.73474516251328958</v>
      </c>
      <c r="L782" s="2">
        <v>8131.744589596985</v>
      </c>
      <c r="M782" s="2">
        <v>0</v>
      </c>
      <c r="N782" s="2">
        <v>5974.76</v>
      </c>
      <c r="O782" s="2">
        <v>5974.76</v>
      </c>
      <c r="P782" s="2"/>
      <c r="Q782" s="2">
        <v>5974.76</v>
      </c>
      <c r="R782" s="2" t="s">
        <v>44</v>
      </c>
      <c r="S782" s="2"/>
      <c r="T782" s="2">
        <f t="shared" si="269"/>
        <v>1</v>
      </c>
      <c r="U782" s="18">
        <f t="shared" si="270"/>
        <v>7</v>
      </c>
      <c r="V782" s="18">
        <f t="shared" si="271"/>
        <v>2025</v>
      </c>
      <c r="W782" s="18" t="str">
        <f t="shared" si="272"/>
        <v/>
      </c>
      <c r="X782" s="18" t="str">
        <f t="shared" si="273"/>
        <v/>
      </c>
      <c r="Y782" s="2">
        <f t="shared" si="266"/>
        <v>0.73474516251328958</v>
      </c>
      <c r="Z782" t="str">
        <f t="shared" si="267"/>
        <v>SO17562</v>
      </c>
      <c r="AA782" s="11">
        <f t="shared" si="274"/>
        <v>45860.718784722223</v>
      </c>
      <c r="AB782" s="5" t="str">
        <f t="shared" si="275"/>
        <v>INV13274</v>
      </c>
      <c r="AC782" s="5" t="str">
        <f>IFERROR(VLOOKUP(D782,CAARStatus!$A$2:$AA$1600,22,FALSE),"Not invoiced")</f>
        <v>Approved</v>
      </c>
      <c r="AD782" s="11" t="str">
        <f>IF(AC782="Paid",IFERROR(VLOOKUP(D782,CAARStatus!$A$2:$AA$1600,6,FALSE),"Pending"),"Pending")</f>
        <v>Pending</v>
      </c>
      <c r="AE782" s="5" t="str">
        <f t="shared" si="276"/>
        <v>FL06-00051881</v>
      </c>
      <c r="AF782" s="5" t="str">
        <f t="shared" si="277"/>
        <v>Motion Industries Inc. (U.S.) - Clewiston</v>
      </c>
      <c r="AG782" s="5" t="str">
        <f t="shared" si="278"/>
        <v>USD</v>
      </c>
      <c r="AH782" s="5">
        <f t="shared" si="279"/>
        <v>8131.744589596985</v>
      </c>
      <c r="AI782" s="12">
        <f>IF(L782-N782=0,VLOOKUP(U782,rate!A$4:B$15,2,FALSE)*AH782,IF(AG782="USD",O782,AH782*Y782))</f>
        <v>5974.76</v>
      </c>
      <c r="AJ782" s="13">
        <f t="shared" si="280"/>
        <v>0.73474516251328958</v>
      </c>
      <c r="AK782" s="13">
        <f>-IF(AG782="CAD",IFERROR(VLOOKUP(D782,CAARStatus!$A$1:$Y$1600,16,FALSE),0),0)</f>
        <v>0</v>
      </c>
      <c r="AL782" s="13">
        <f>-IF(AG782="USD",IFERROR(VLOOKUP(D782,CAARStatus!$A$1:$Y$1600,11,FALSE),0),0)</f>
        <v>-5974.76</v>
      </c>
      <c r="AM782" s="22" t="str">
        <f t="shared" si="281"/>
        <v/>
      </c>
      <c r="AN782" s="12">
        <f t="shared" si="282"/>
        <v>0</v>
      </c>
      <c r="AO782" s="12" t="str">
        <f t="shared" si="283"/>
        <v>Pend</v>
      </c>
      <c r="AP782" t="str">
        <f t="shared" si="268"/>
        <v>Pend</v>
      </c>
      <c r="AQ782" t="str">
        <f>IFERROR(VLOOKUP(Z782,InvBal!$L$4:$P$600,4,FALSE),"Pend")</f>
        <v>Pend</v>
      </c>
      <c r="AR782" t="str">
        <f>IFERROR(VLOOKUP(D782,Manual!$C$1:$E$22,2,FALSE),"Pend")</f>
        <v>Pend</v>
      </c>
      <c r="AS782" t="str">
        <f t="shared" si="284"/>
        <v/>
      </c>
      <c r="AT782" t="str">
        <f t="shared" si="285"/>
        <v>Yes</v>
      </c>
      <c r="AU782" s="51" t="str">
        <f t="shared" si="286"/>
        <v/>
      </c>
      <c r="AV782" s="12">
        <f>IFERROR(VLOOKUP(D782,'Receivable Invoice Detail'!$S$1:$U$3014,3,FALSE),0)</f>
        <v>0</v>
      </c>
      <c r="AW782" s="12">
        <f t="shared" si="287"/>
        <v>0</v>
      </c>
    </row>
    <row r="783" spans="1:49" ht="30" x14ac:dyDescent="0.25">
      <c r="A783" s="2">
        <v>1</v>
      </c>
      <c r="B783" s="2" t="s">
        <v>914</v>
      </c>
      <c r="C783" s="2" t="s">
        <v>915</v>
      </c>
      <c r="D783" s="2" t="s">
        <v>3049</v>
      </c>
      <c r="E783" s="2" t="s">
        <v>39</v>
      </c>
      <c r="F783" s="3">
        <v>45860.732835648138</v>
      </c>
      <c r="G783" s="3">
        <v>45869.732743055552</v>
      </c>
      <c r="H783" s="4">
        <v>45870</v>
      </c>
      <c r="I783" s="2" t="s">
        <v>40</v>
      </c>
      <c r="J783" s="2" t="s">
        <v>22</v>
      </c>
      <c r="K783" s="2">
        <v>1</v>
      </c>
      <c r="L783" s="2">
        <v>2740.19</v>
      </c>
      <c r="M783" s="2">
        <v>0</v>
      </c>
      <c r="N783" s="2">
        <v>1979.1028539885431</v>
      </c>
      <c r="O783" s="2">
        <v>2609.71</v>
      </c>
      <c r="P783" s="2">
        <v>130.47999999999999</v>
      </c>
      <c r="Q783" s="2">
        <v>2740.19</v>
      </c>
      <c r="R783" s="2" t="s">
        <v>44</v>
      </c>
      <c r="S783" s="2"/>
      <c r="T783" s="2">
        <f t="shared" si="269"/>
        <v>1</v>
      </c>
      <c r="U783" s="18">
        <f t="shared" si="270"/>
        <v>7</v>
      </c>
      <c r="V783" s="18">
        <f t="shared" si="271"/>
        <v>2025</v>
      </c>
      <c r="W783" s="18">
        <f t="shared" si="272"/>
        <v>9</v>
      </c>
      <c r="X783" s="18">
        <f t="shared" si="273"/>
        <v>2025</v>
      </c>
      <c r="Y783" s="2">
        <f t="shared" si="266"/>
        <v>0.72225022862959976</v>
      </c>
      <c r="Z783" t="str">
        <f t="shared" si="267"/>
        <v>SO17563</v>
      </c>
      <c r="AA783" s="11">
        <f t="shared" si="274"/>
        <v>45860.732835648138</v>
      </c>
      <c r="AB783" s="5" t="str">
        <f t="shared" si="275"/>
        <v>INV13263</v>
      </c>
      <c r="AC783" s="5" t="str">
        <f>IFERROR(VLOOKUP(D783,CAARStatus!$A$2:$AA$1600,22,FALSE),"Not invoiced")</f>
        <v>Paid</v>
      </c>
      <c r="AD783" s="11">
        <f>IF(AC783="Paid",IFERROR(VLOOKUP(D783,CAARStatus!$A$2:$AA$1600,6,FALSE),"Pending"),"Pending")</f>
        <v>45904</v>
      </c>
      <c r="AE783" s="5" t="str">
        <f t="shared" si="276"/>
        <v>BC65-00081338</v>
      </c>
      <c r="AF783" s="5" t="str">
        <f t="shared" si="277"/>
        <v>Motion Industries Inc. (Canada) - Prince George</v>
      </c>
      <c r="AG783" s="5" t="str">
        <f t="shared" si="278"/>
        <v>CAD</v>
      </c>
      <c r="AH783" s="5">
        <f t="shared" si="279"/>
        <v>2609.71</v>
      </c>
      <c r="AI783" s="12">
        <f>IF(L783-N783=0,VLOOKUP(U783,rate!A$4:B$15,2,FALSE)*AH783,IF(AG783="USD",O783,AH783*Y783))</f>
        <v>1884.8636441569529</v>
      </c>
      <c r="AJ783" s="13">
        <f t="shared" si="280"/>
        <v>0.72225022862959976</v>
      </c>
      <c r="AK783" s="61">
        <f>IF(AC783="Paid",-IF(AG783="CAD",IFERROR(VLOOKUP(D783,CAARStatus!$A$1:$Y$1600,16,FALSE),0),0),0)</f>
        <v>-2609.71</v>
      </c>
      <c r="AL783" s="61">
        <f>IF(AC783="Paid",-IF(AG783="USD",IFERROR(VLOOKUP(D783,CAARStatus!$A$1:$Y$1600,11,FALSE),0),0),0)</f>
        <v>0</v>
      </c>
      <c r="AM783" s="22">
        <f t="shared" si="281"/>
        <v>0</v>
      </c>
      <c r="AN783" s="12" t="str">
        <f t="shared" si="282"/>
        <v/>
      </c>
      <c r="AO783" s="12" t="str">
        <f t="shared" si="283"/>
        <v>Yes</v>
      </c>
      <c r="AP783" t="str">
        <f t="shared" si="268"/>
        <v>Yes</v>
      </c>
      <c r="AQ783" t="str">
        <f>IFERROR(VLOOKUP(Z783,InvBal!$L$4:$P$600,4,FALSE),"Pend")</f>
        <v>Pend</v>
      </c>
      <c r="AR783" t="str">
        <f>IFERROR(VLOOKUP(D783,Manual!$C$1:$E$22,2,FALSE),"Pend")</f>
        <v>Pend</v>
      </c>
      <c r="AS783" t="str">
        <f t="shared" si="284"/>
        <v>Yes</v>
      </c>
      <c r="AT783" t="str">
        <f t="shared" si="285"/>
        <v>Yes</v>
      </c>
      <c r="AU783" s="51" t="str">
        <f t="shared" si="286"/>
        <v>Yes</v>
      </c>
      <c r="AV783" s="12">
        <f>IFERROR(VLOOKUP(D783,'Receivable Invoice Detail'!$S$1:$U$3014,3,FALSE),0)</f>
        <v>0</v>
      </c>
      <c r="AW783" s="12">
        <f t="shared" si="287"/>
        <v>1884.8636441569529</v>
      </c>
    </row>
    <row r="784" spans="1:49" ht="30" x14ac:dyDescent="0.25">
      <c r="A784" s="2">
        <v>2</v>
      </c>
      <c r="B784" s="2" t="s">
        <v>944</v>
      </c>
      <c r="C784" s="2" t="s">
        <v>945</v>
      </c>
      <c r="D784" s="2" t="s">
        <v>3032</v>
      </c>
      <c r="E784" s="2" t="s">
        <v>39</v>
      </c>
      <c r="F784" s="3">
        <v>45860.739351851851</v>
      </c>
      <c r="G784" s="3">
        <v>45863.745104166657</v>
      </c>
      <c r="H784" s="4">
        <v>45870</v>
      </c>
      <c r="I784" s="2" t="s">
        <v>36</v>
      </c>
      <c r="J784" s="2" t="s">
        <v>22</v>
      </c>
      <c r="K784" s="2">
        <v>1</v>
      </c>
      <c r="L784" s="2">
        <v>15897.52</v>
      </c>
      <c r="M784" s="2">
        <v>0</v>
      </c>
      <c r="N784" s="2">
        <v>11591.481519767671</v>
      </c>
      <c r="O784" s="2">
        <v>15140.5</v>
      </c>
      <c r="P784" s="2">
        <v>757.02</v>
      </c>
      <c r="Q784" s="2">
        <v>15897.52</v>
      </c>
      <c r="R784" s="2" t="s">
        <v>44</v>
      </c>
      <c r="S784" s="2"/>
      <c r="T784" s="2">
        <f t="shared" si="269"/>
        <v>2</v>
      </c>
      <c r="U784" s="18">
        <f t="shared" si="270"/>
        <v>7</v>
      </c>
      <c r="V784" s="18">
        <f t="shared" si="271"/>
        <v>2025</v>
      </c>
      <c r="W784" s="18">
        <f t="shared" si="272"/>
        <v>9</v>
      </c>
      <c r="X784" s="18">
        <f t="shared" si="273"/>
        <v>2025</v>
      </c>
      <c r="Y784" s="2">
        <f t="shared" si="266"/>
        <v>0.7291377220955011</v>
      </c>
      <c r="Z784" t="str">
        <f t="shared" si="267"/>
        <v>SO17564</v>
      </c>
      <c r="AA784" s="11">
        <f t="shared" si="274"/>
        <v>45860.739351851851</v>
      </c>
      <c r="AB784" s="5" t="str">
        <f t="shared" si="275"/>
        <v>INV13262</v>
      </c>
      <c r="AC784" s="5" t="str">
        <f>IFERROR(VLOOKUP(D784,CAARStatus!$A$2:$AA$1600,22,FALSE),"Not invoiced")</f>
        <v>Paid</v>
      </c>
      <c r="AD784" s="11">
        <f>IF(AC784="Paid",IFERROR(VLOOKUP(D784,CAARStatus!$A$2:$AA$1600,6,FALSE),"Pending"),"Pending")</f>
        <v>45904</v>
      </c>
      <c r="AE784" s="5" t="str">
        <f t="shared" si="276"/>
        <v>BC65-00081266</v>
      </c>
      <c r="AF784" s="5" t="str">
        <f t="shared" si="277"/>
        <v>Motion Industries Inc. (Canada) - Prince George</v>
      </c>
      <c r="AG784" s="5" t="str">
        <f t="shared" si="278"/>
        <v>CAD</v>
      </c>
      <c r="AH784" s="5">
        <f t="shared" si="279"/>
        <v>15140.5</v>
      </c>
      <c r="AI784" s="12">
        <f>IF(L784-N784=0,VLOOKUP(U784,rate!A$4:B$15,2,FALSE)*AH784,IF(AG784="USD",O784,AH784*Y784))</f>
        <v>11039.509681386935</v>
      </c>
      <c r="AJ784" s="13">
        <f t="shared" si="280"/>
        <v>0.7291377220955011</v>
      </c>
      <c r="AK784" s="13">
        <f>-IF(AG784="CAD",IFERROR(VLOOKUP(D784,CAARStatus!$A$1:$Y$1600,16,FALSE),0),0)</f>
        <v>-14898.28</v>
      </c>
      <c r="AL784" s="13">
        <f>-IF(AG784="USD",IFERROR(VLOOKUP(D784,CAARStatus!$A$1:$Y$1600,11,FALSE),0),0)</f>
        <v>0</v>
      </c>
      <c r="AM784" s="22">
        <f t="shared" si="281"/>
        <v>242.21999999999935</v>
      </c>
      <c r="AN784" s="12" t="str">
        <f t="shared" si="282"/>
        <v/>
      </c>
      <c r="AO784" s="12" t="str">
        <f t="shared" si="283"/>
        <v>Yes</v>
      </c>
      <c r="AP784" t="str">
        <f t="shared" si="268"/>
        <v>XX</v>
      </c>
      <c r="AQ784" t="str">
        <f>IFERROR(VLOOKUP(Z784,InvBal!$L$4:$P$600,4,FALSE),"Pend")</f>
        <v>Yes</v>
      </c>
      <c r="AR784" t="str">
        <f>IFERROR(VLOOKUP(D784,Manual!$C$1:$E$22,2,FALSE),"Pend")</f>
        <v>Pend</v>
      </c>
      <c r="AS784" t="str">
        <f t="shared" si="284"/>
        <v>Yes</v>
      </c>
      <c r="AT784" t="str">
        <f t="shared" si="285"/>
        <v>Yes</v>
      </c>
      <c r="AU784" s="51" t="str">
        <f t="shared" si="286"/>
        <v>Yes</v>
      </c>
      <c r="AV784" s="12">
        <f>IFERROR(VLOOKUP(D784,'Receivable Invoice Detail'!$S$1:$U$3014,3,FALSE),0)</f>
        <v>0</v>
      </c>
      <c r="AW784" s="12">
        <f t="shared" si="287"/>
        <v>11039.509681386935</v>
      </c>
    </row>
    <row r="785" spans="1:49" x14ac:dyDescent="0.25">
      <c r="A785" s="2"/>
      <c r="B785" s="2"/>
      <c r="C785" s="2"/>
      <c r="D785" s="2" t="s">
        <v>3031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>
        <f t="shared" si="269"/>
        <v>2</v>
      </c>
      <c r="U785" s="18">
        <f t="shared" si="270"/>
        <v>7</v>
      </c>
      <c r="V785" s="18">
        <f t="shared" si="271"/>
        <v>2025</v>
      </c>
      <c r="W785" s="18">
        <f t="shared" si="272"/>
        <v>10</v>
      </c>
      <c r="X785" s="18">
        <f t="shared" si="273"/>
        <v>2025</v>
      </c>
      <c r="Y785" s="2">
        <f t="shared" si="266"/>
        <v>0.7291377220955011</v>
      </c>
      <c r="Z785" t="str">
        <f t="shared" si="267"/>
        <v>SO17564</v>
      </c>
      <c r="AA785" s="11">
        <f t="shared" si="274"/>
        <v>45860.739351851851</v>
      </c>
      <c r="AB785" s="5" t="str">
        <f t="shared" si="275"/>
        <v>INV13495</v>
      </c>
      <c r="AC785" s="5" t="str">
        <f>IFERROR(VLOOKUP(D785,CAARStatus!$A$2:$AA$1600,22,FALSE),"Not invoiced")</f>
        <v>Paid</v>
      </c>
      <c r="AD785" s="11">
        <f>IF(AC785="Paid",IFERROR(VLOOKUP(D785,CAARStatus!$A$2:$AA$1600,6,FALSE),"Pending"),"Pending")</f>
        <v>45961</v>
      </c>
      <c r="AE785" s="5" t="str">
        <f t="shared" si="276"/>
        <v>BC65-00081266</v>
      </c>
      <c r="AF785" s="5" t="str">
        <f t="shared" si="277"/>
        <v>Motion Industries Inc. (Canada) - Prince George</v>
      </c>
      <c r="AG785" s="5" t="str">
        <f t="shared" si="278"/>
        <v>CAD</v>
      </c>
      <c r="AH785" s="5">
        <f t="shared" si="279"/>
        <v>0</v>
      </c>
      <c r="AI785" s="12">
        <f>IF(L785-N785=0,VLOOKUP(U785,rate!A$4:B$15,2,FALSE)*AH785,IF(AG785="USD",O785,AH785*Y785))</f>
        <v>0</v>
      </c>
      <c r="AJ785" s="13">
        <f t="shared" si="280"/>
        <v>0</v>
      </c>
      <c r="AK785" s="13">
        <f>-IF(AG785="CAD",IFERROR(VLOOKUP(D785,CAARStatus!$A$1:$Y$1600,16,FALSE),0),0)</f>
        <v>-242.22</v>
      </c>
      <c r="AL785" s="13">
        <f>-IF(AG785="USD",IFERROR(VLOOKUP(D785,CAARStatus!$A$1:$Y$1600,11,FALSE),0),0)</f>
        <v>0</v>
      </c>
      <c r="AM785" s="22">
        <f t="shared" si="281"/>
        <v>-242.22</v>
      </c>
      <c r="AN785" s="12" t="str">
        <f t="shared" si="282"/>
        <v/>
      </c>
      <c r="AO785" s="12" t="str">
        <f t="shared" si="283"/>
        <v>Yes</v>
      </c>
      <c r="AP785" t="str">
        <f t="shared" si="268"/>
        <v>XX</v>
      </c>
      <c r="AQ785" t="str">
        <f>IFERROR(VLOOKUP(Z785,InvBal!$L$4:$P$600,4,FALSE),"Pend")</f>
        <v>Yes</v>
      </c>
      <c r="AR785" t="str">
        <f>IFERROR(VLOOKUP(D785,Manual!$C$1:$E$22,2,FALSE),"Pend")</f>
        <v>Pend</v>
      </c>
      <c r="AS785" t="str">
        <f t="shared" si="284"/>
        <v>Yes</v>
      </c>
      <c r="AT785" t="str">
        <f t="shared" si="285"/>
        <v/>
      </c>
      <c r="AU785" s="51" t="str">
        <f t="shared" si="286"/>
        <v/>
      </c>
      <c r="AV785" s="12">
        <f>IFERROR(VLOOKUP(D785,'Receivable Invoice Detail'!$S$1:$U$3014,3,FALSE),0)</f>
        <v>0</v>
      </c>
      <c r="AW785" s="12">
        <f t="shared" si="287"/>
        <v>0</v>
      </c>
    </row>
    <row r="786" spans="1:49" x14ac:dyDescent="0.25">
      <c r="A786" s="2">
        <v>1</v>
      </c>
      <c r="B786" s="2" t="s">
        <v>969</v>
      </c>
      <c r="C786" s="2" t="s">
        <v>970</v>
      </c>
      <c r="D786" s="2" t="s">
        <v>3016</v>
      </c>
      <c r="E786" s="2" t="s">
        <v>146</v>
      </c>
      <c r="F786" s="3">
        <v>45860.765277777777</v>
      </c>
      <c r="G786" s="3">
        <v>45860.764548611107</v>
      </c>
      <c r="H786" s="4">
        <v>45868</v>
      </c>
      <c r="I786" s="2" t="s">
        <v>36</v>
      </c>
      <c r="J786" s="2" t="s">
        <v>22</v>
      </c>
      <c r="K786" s="2">
        <v>1</v>
      </c>
      <c r="L786" s="2">
        <v>87.8</v>
      </c>
      <c r="M786" s="2">
        <v>87.8</v>
      </c>
      <c r="N786" s="2">
        <v>87.8</v>
      </c>
      <c r="O786" s="2">
        <v>83.62</v>
      </c>
      <c r="P786" s="2">
        <v>4.18</v>
      </c>
      <c r="Q786" s="2">
        <v>87.8</v>
      </c>
      <c r="R786" s="2" t="s">
        <v>44</v>
      </c>
      <c r="S786" s="2"/>
      <c r="T786" s="2">
        <f t="shared" si="269"/>
        <v>1</v>
      </c>
      <c r="U786" s="18">
        <f t="shared" si="270"/>
        <v>7</v>
      </c>
      <c r="V786" s="18">
        <f t="shared" si="271"/>
        <v>2025</v>
      </c>
      <c r="W786" s="18">
        <f t="shared" si="272"/>
        <v>10</v>
      </c>
      <c r="X786" s="18">
        <f t="shared" si="273"/>
        <v>2025</v>
      </c>
      <c r="Y786" s="2">
        <f t="shared" si="266"/>
        <v>1</v>
      </c>
      <c r="Z786" t="str">
        <f t="shared" si="267"/>
        <v>SO17565</v>
      </c>
      <c r="AA786" s="11">
        <f t="shared" si="274"/>
        <v>45860.765277777777</v>
      </c>
      <c r="AB786" s="5" t="str">
        <f t="shared" si="275"/>
        <v>INV13226</v>
      </c>
      <c r="AC786" s="5" t="str">
        <f>IFERROR(VLOOKUP(D786,CAARStatus!$A$2:$AA$1600,22,FALSE),"Not invoiced")</f>
        <v>Paid</v>
      </c>
      <c r="AD786" s="11">
        <f>IF(AC786="Paid",IFERROR(VLOOKUP(D786,CAARStatus!$A$2:$AA$1600,6,FALSE),"Pending"),"Pending")</f>
        <v>45944</v>
      </c>
      <c r="AE786" s="5" t="str">
        <f t="shared" si="276"/>
        <v>7440</v>
      </c>
      <c r="AF786" s="5" t="str">
        <f t="shared" si="277"/>
        <v>Hyperflo</v>
      </c>
      <c r="AG786" s="5" t="str">
        <f t="shared" si="278"/>
        <v>CAD</v>
      </c>
      <c r="AH786" s="5">
        <f t="shared" si="279"/>
        <v>83.62</v>
      </c>
      <c r="AI786" s="12">
        <f>IF(L786-N786=0,VLOOKUP(U786,rate!A$4:B$15,2,FALSE)*AH786,IF(AG786="USD",O786,AH786*Y786))</f>
        <v>61.005628627892143</v>
      </c>
      <c r="AJ786" s="13">
        <f t="shared" si="280"/>
        <v>0.72955786448089144</v>
      </c>
      <c r="AK786" s="13">
        <f>-IF(AG786="CAD",IFERROR(VLOOKUP(D786,CAARStatus!$A$1:$Y$1600,16,FALSE),0),0)</f>
        <v>-83.62</v>
      </c>
      <c r="AL786" s="13">
        <f>-IF(AG786="USD",IFERROR(VLOOKUP(D786,CAARStatus!$A$1:$Y$1600,11,FALSE),0),0)</f>
        <v>0</v>
      </c>
      <c r="AM786" s="22">
        <f t="shared" si="281"/>
        <v>0</v>
      </c>
      <c r="AN786" s="12" t="str">
        <f t="shared" si="282"/>
        <v/>
      </c>
      <c r="AO786" s="12" t="str">
        <f t="shared" si="283"/>
        <v>Yes</v>
      </c>
      <c r="AP786" t="str">
        <f t="shared" si="268"/>
        <v>Yes</v>
      </c>
      <c r="AQ786" t="str">
        <f>IFERROR(VLOOKUP(Z786,InvBal!$L$4:$P$600,4,FALSE),"Pend")</f>
        <v>Pend</v>
      </c>
      <c r="AR786" t="str">
        <f>IFERROR(VLOOKUP(D786,Manual!$C$1:$E$22,2,FALSE),"Pend")</f>
        <v>Pend</v>
      </c>
      <c r="AS786" t="str">
        <f t="shared" si="284"/>
        <v>Yes</v>
      </c>
      <c r="AT786" t="str">
        <f t="shared" si="285"/>
        <v>Yes</v>
      </c>
      <c r="AU786" s="51" t="str">
        <f t="shared" si="286"/>
        <v>Yes</v>
      </c>
      <c r="AV786" s="12">
        <f>IFERROR(VLOOKUP(D786,'Receivable Invoice Detail'!$S$1:$U$3014,3,FALSE),0)</f>
        <v>0</v>
      </c>
      <c r="AW786" s="12">
        <f t="shared" si="287"/>
        <v>61.005628627892143</v>
      </c>
    </row>
    <row r="787" spans="1:49" x14ac:dyDescent="0.25">
      <c r="A787" s="2">
        <v>1</v>
      </c>
      <c r="B787" s="2" t="s">
        <v>967</v>
      </c>
      <c r="C787" s="2" t="s">
        <v>968</v>
      </c>
      <c r="D787" s="2" t="s">
        <v>3017</v>
      </c>
      <c r="E787" s="2" t="s">
        <v>146</v>
      </c>
      <c r="F787" s="3">
        <v>45861.389907407407</v>
      </c>
      <c r="G787" s="3">
        <v>45861.445347222223</v>
      </c>
      <c r="H787" s="4">
        <v>45862</v>
      </c>
      <c r="I787" s="2" t="s">
        <v>40</v>
      </c>
      <c r="J787" s="2" t="s">
        <v>22</v>
      </c>
      <c r="K787" s="2">
        <v>1</v>
      </c>
      <c r="L787" s="2">
        <v>107.95</v>
      </c>
      <c r="M787" s="2">
        <v>0</v>
      </c>
      <c r="N787" s="2">
        <v>79.315740293309617</v>
      </c>
      <c r="O787" s="2">
        <v>102.81</v>
      </c>
      <c r="P787" s="2">
        <v>5.14</v>
      </c>
      <c r="Q787" s="2">
        <v>107.95</v>
      </c>
      <c r="R787" s="2" t="s">
        <v>44</v>
      </c>
      <c r="S787" s="2"/>
      <c r="T787" s="2">
        <f t="shared" si="269"/>
        <v>1</v>
      </c>
      <c r="U787" s="18">
        <f t="shared" si="270"/>
        <v>7</v>
      </c>
      <c r="V787" s="18">
        <f t="shared" si="271"/>
        <v>2025</v>
      </c>
      <c r="W787" s="18">
        <f t="shared" si="272"/>
        <v>8</v>
      </c>
      <c r="X787" s="18">
        <f t="shared" si="273"/>
        <v>2025</v>
      </c>
      <c r="Y787" s="2">
        <f t="shared" si="266"/>
        <v>0.73474516251328958</v>
      </c>
      <c r="Z787" t="str">
        <f t="shared" si="267"/>
        <v>SO17566</v>
      </c>
      <c r="AA787" s="11">
        <f t="shared" si="274"/>
        <v>45861.389907407407</v>
      </c>
      <c r="AB787" s="5" t="str">
        <f t="shared" si="275"/>
        <v>INV13224</v>
      </c>
      <c r="AC787" s="5" t="str">
        <f>IFERROR(VLOOKUP(D787,CAARStatus!$A$2:$AA$1600,22,FALSE),"Not invoiced")</f>
        <v>Paid</v>
      </c>
      <c r="AD787" s="11">
        <f>IF(AC787="Paid",IFERROR(VLOOKUP(D787,CAARStatus!$A$2:$AA$1600,6,FALSE),"Pending"),"Pending")</f>
        <v>45898</v>
      </c>
      <c r="AE787" s="5" t="str">
        <f t="shared" si="276"/>
        <v>7442</v>
      </c>
      <c r="AF787" s="5" t="str">
        <f t="shared" si="277"/>
        <v>Hyperflo</v>
      </c>
      <c r="AG787" s="5" t="str">
        <f t="shared" si="278"/>
        <v>CAD</v>
      </c>
      <c r="AH787" s="5">
        <f t="shared" si="279"/>
        <v>102.81</v>
      </c>
      <c r="AI787" s="12">
        <f>IF(L787-N787=0,VLOOKUP(U787,rate!A$4:B$15,2,FALSE)*AH787,IF(AG787="USD",O787,AH787*Y787))</f>
        <v>75.539150157991301</v>
      </c>
      <c r="AJ787" s="13">
        <f t="shared" si="280"/>
        <v>0.73474516251328958</v>
      </c>
      <c r="AK787" s="13">
        <f>-IF(AG787="CAD",IFERROR(VLOOKUP(D787,CAARStatus!$A$1:$Y$1600,16,FALSE),0),0)</f>
        <v>-102.81</v>
      </c>
      <c r="AL787" s="13">
        <f>-IF(AG787="USD",IFERROR(VLOOKUP(D787,CAARStatus!$A$1:$Y$1600,11,FALSE),0),0)</f>
        <v>0</v>
      </c>
      <c r="AM787" s="22">
        <f t="shared" si="281"/>
        <v>0</v>
      </c>
      <c r="AN787" s="12" t="str">
        <f t="shared" si="282"/>
        <v/>
      </c>
      <c r="AO787" s="12" t="str">
        <f t="shared" si="283"/>
        <v>Yes</v>
      </c>
      <c r="AP787" t="str">
        <f t="shared" si="268"/>
        <v>Yes</v>
      </c>
      <c r="AQ787" t="str">
        <f>IFERROR(VLOOKUP(Z787,InvBal!$L$4:$P$600,4,FALSE),"Pend")</f>
        <v>Pend</v>
      </c>
      <c r="AR787" t="str">
        <f>IFERROR(VLOOKUP(D787,Manual!$C$1:$E$22,2,FALSE),"Pend")</f>
        <v>Pend</v>
      </c>
      <c r="AS787" t="str">
        <f t="shared" si="284"/>
        <v>Yes</v>
      </c>
      <c r="AT787" t="str">
        <f t="shared" si="285"/>
        <v>Yes</v>
      </c>
      <c r="AU787" s="51" t="str">
        <f t="shared" si="286"/>
        <v>Yes</v>
      </c>
      <c r="AV787" s="12">
        <f>IFERROR(VLOOKUP(D787,'Receivable Invoice Detail'!$S$1:$U$3014,3,FALSE),0)</f>
        <v>0</v>
      </c>
      <c r="AW787" s="12">
        <f t="shared" si="287"/>
        <v>75.539150157991301</v>
      </c>
    </row>
    <row r="788" spans="1:49" x14ac:dyDescent="0.25">
      <c r="A788" s="2">
        <v>1</v>
      </c>
      <c r="B788" s="2" t="s">
        <v>926</v>
      </c>
      <c r="C788" s="2" t="s">
        <v>927</v>
      </c>
      <c r="D788" s="2" t="s">
        <v>3042</v>
      </c>
      <c r="E788" s="2" t="s">
        <v>54</v>
      </c>
      <c r="F788" s="3">
        <v>45861.399062500001</v>
      </c>
      <c r="G788" s="3">
        <v>45867.477395833332</v>
      </c>
      <c r="H788" s="4">
        <v>45868</v>
      </c>
      <c r="I788" s="2" t="s">
        <v>21</v>
      </c>
      <c r="J788" s="2" t="s">
        <v>22</v>
      </c>
      <c r="K788" s="2">
        <v>1</v>
      </c>
      <c r="L788" s="2">
        <v>6052.79</v>
      </c>
      <c r="M788" s="2">
        <v>0</v>
      </c>
      <c r="N788" s="2">
        <v>4392.6777078652849</v>
      </c>
      <c r="O788" s="2">
        <v>5764.56</v>
      </c>
      <c r="P788" s="2">
        <v>288.23</v>
      </c>
      <c r="Q788" s="2">
        <v>6052.79</v>
      </c>
      <c r="R788" s="2" t="s">
        <v>44</v>
      </c>
      <c r="S788" s="2"/>
      <c r="T788" s="2">
        <f t="shared" si="269"/>
        <v>1</v>
      </c>
      <c r="U788" s="18">
        <f t="shared" si="270"/>
        <v>7</v>
      </c>
      <c r="V788" s="18">
        <f t="shared" si="271"/>
        <v>2025</v>
      </c>
      <c r="W788" s="18">
        <f t="shared" si="272"/>
        <v>9</v>
      </c>
      <c r="X788" s="18">
        <f t="shared" si="273"/>
        <v>2025</v>
      </c>
      <c r="Y788" s="2">
        <f t="shared" si="266"/>
        <v>0.72572775659906996</v>
      </c>
      <c r="Z788" t="str">
        <f t="shared" si="267"/>
        <v>SO17567</v>
      </c>
      <c r="AA788" s="11">
        <f t="shared" si="274"/>
        <v>45861.399062500001</v>
      </c>
      <c r="AB788" s="5" t="str">
        <f t="shared" si="275"/>
        <v>INV13244</v>
      </c>
      <c r="AC788" s="5" t="str">
        <f>IFERROR(VLOOKUP(D788,CAARStatus!$A$2:$AA$1600,22,FALSE),"Not invoiced")</f>
        <v>Paid</v>
      </c>
      <c r="AD788" s="11">
        <f>IF(AC788="Paid",IFERROR(VLOOKUP(D788,CAARStatus!$A$2:$AA$1600,6,FALSE),"Pending"),"Pending")</f>
        <v>45904</v>
      </c>
      <c r="AE788" s="5" t="str">
        <f t="shared" si="276"/>
        <v>3259</v>
      </c>
      <c r="AF788" s="5" t="str">
        <f t="shared" si="277"/>
        <v>Les Pompes du St-Laurent Inc.</v>
      </c>
      <c r="AG788" s="5" t="str">
        <f t="shared" si="278"/>
        <v>CAD</v>
      </c>
      <c r="AH788" s="5">
        <f t="shared" si="279"/>
        <v>5764.56</v>
      </c>
      <c r="AI788" s="12">
        <f>IF(L788-N788=0,VLOOKUP(U788,rate!A$4:B$15,2,FALSE)*AH788,IF(AG788="USD",O788,AH788*Y788))</f>
        <v>4183.5011965807353</v>
      </c>
      <c r="AJ788" s="13">
        <f t="shared" si="280"/>
        <v>0.72572775659906996</v>
      </c>
      <c r="AK788" s="13">
        <f>-IF(AG788="CAD",IFERROR(VLOOKUP(D788,CAARStatus!$A$1:$Y$1600,16,FALSE),0),0)</f>
        <v>-5764.56</v>
      </c>
      <c r="AL788" s="13">
        <f>-IF(AG788="USD",IFERROR(VLOOKUP(D788,CAARStatus!$A$1:$Y$1600,11,FALSE),0),0)</f>
        <v>0</v>
      </c>
      <c r="AM788" s="22">
        <f t="shared" si="281"/>
        <v>0</v>
      </c>
      <c r="AN788" s="12" t="str">
        <f t="shared" si="282"/>
        <v/>
      </c>
      <c r="AO788" s="12" t="str">
        <f t="shared" si="283"/>
        <v>Yes</v>
      </c>
      <c r="AP788" t="str">
        <f t="shared" si="268"/>
        <v>Yes</v>
      </c>
      <c r="AQ788" t="str">
        <f>IFERROR(VLOOKUP(Z788,InvBal!$L$4:$P$600,4,FALSE),"Pend")</f>
        <v>Pend</v>
      </c>
      <c r="AR788" t="str">
        <f>IFERROR(VLOOKUP(D788,Manual!$C$1:$E$22,2,FALSE),"Pend")</f>
        <v>Pend</v>
      </c>
      <c r="AS788" t="str">
        <f t="shared" si="284"/>
        <v>Yes</v>
      </c>
      <c r="AT788" t="str">
        <f t="shared" si="285"/>
        <v>Yes</v>
      </c>
      <c r="AU788" s="51" t="str">
        <f t="shared" si="286"/>
        <v>Yes</v>
      </c>
      <c r="AV788" s="12">
        <f>IFERROR(VLOOKUP(D788,'Receivable Invoice Detail'!$S$1:$U$3014,3,FALSE),0)</f>
        <v>0</v>
      </c>
      <c r="AW788" s="12">
        <f t="shared" si="287"/>
        <v>4183.5011965807353</v>
      </c>
    </row>
    <row r="789" spans="1:49" ht="30" x14ac:dyDescent="0.25">
      <c r="A789" s="2">
        <v>1</v>
      </c>
      <c r="B789" s="2" t="s">
        <v>936</v>
      </c>
      <c r="C789" s="2" t="s">
        <v>937</v>
      </c>
      <c r="D789" s="2" t="s">
        <v>3036</v>
      </c>
      <c r="E789" s="2" t="s">
        <v>576</v>
      </c>
      <c r="F789" s="3">
        <v>45861.472557870373</v>
      </c>
      <c r="G789" s="3">
        <v>45866.484305555547</v>
      </c>
      <c r="H789" s="4">
        <v>45867</v>
      </c>
      <c r="I789" s="2" t="s">
        <v>21</v>
      </c>
      <c r="J789" s="2" t="s">
        <v>22</v>
      </c>
      <c r="K789" s="2">
        <v>1</v>
      </c>
      <c r="L789" s="2">
        <v>1459.42</v>
      </c>
      <c r="M789" s="2">
        <v>0</v>
      </c>
      <c r="N789" s="2">
        <v>1063.746021518311</v>
      </c>
      <c r="O789" s="2">
        <v>1389.92</v>
      </c>
      <c r="P789" s="2">
        <v>69.5</v>
      </c>
      <c r="Q789" s="2">
        <v>1459.42</v>
      </c>
      <c r="R789" s="2" t="s">
        <v>44</v>
      </c>
      <c r="S789" s="2"/>
      <c r="T789" s="2">
        <f t="shared" si="269"/>
        <v>1</v>
      </c>
      <c r="U789" s="18">
        <f t="shared" si="270"/>
        <v>7</v>
      </c>
      <c r="V789" s="18">
        <f t="shared" si="271"/>
        <v>2025</v>
      </c>
      <c r="W789" s="18">
        <f t="shared" si="272"/>
        <v>9</v>
      </c>
      <c r="X789" s="18">
        <f t="shared" si="273"/>
        <v>2025</v>
      </c>
      <c r="Y789" s="2">
        <f t="shared" si="266"/>
        <v>0.72888272157316669</v>
      </c>
      <c r="Z789" t="str">
        <f t="shared" si="267"/>
        <v>SO17568</v>
      </c>
      <c r="AA789" s="11">
        <f t="shared" si="274"/>
        <v>45861.472557870373</v>
      </c>
      <c r="AB789" s="5" t="str">
        <f t="shared" si="275"/>
        <v>INV13236</v>
      </c>
      <c r="AC789" s="5" t="str">
        <f>IFERROR(VLOOKUP(D789,CAARStatus!$A$2:$AA$1600,22,FALSE),"Not invoiced")</f>
        <v>Paid</v>
      </c>
      <c r="AD789" s="11">
        <f>IF(AC789="Paid",IFERROR(VLOOKUP(D789,CAARStatus!$A$2:$AA$1600,6,FALSE),"Pending"),"Pending")</f>
        <v>45905</v>
      </c>
      <c r="AE789" s="5" t="str">
        <f t="shared" si="276"/>
        <v>10496</v>
      </c>
      <c r="AF789" s="5" t="str">
        <f t="shared" si="277"/>
        <v>Canadian Industrial Pumps Ltd, Canadian Industrial Pumps Ltd</v>
      </c>
      <c r="AG789" s="5" t="str">
        <f t="shared" si="278"/>
        <v>CAD</v>
      </c>
      <c r="AH789" s="5">
        <f t="shared" si="279"/>
        <v>1389.92</v>
      </c>
      <c r="AI789" s="12">
        <f>IF(L789-N789=0,VLOOKUP(U789,rate!A$4:B$15,2,FALSE)*AH789,IF(AG789="USD",O789,AH789*Y789))</f>
        <v>1013.0886723689759</v>
      </c>
      <c r="AJ789" s="13">
        <f t="shared" si="280"/>
        <v>0.72888272157316669</v>
      </c>
      <c r="AK789" s="13">
        <f>-IF(AG789="CAD",IFERROR(VLOOKUP(D789,CAARStatus!$A$1:$Y$1600,16,FALSE),0),0)</f>
        <v>-1389.92</v>
      </c>
      <c r="AL789" s="13">
        <f>-IF(AG789="USD",IFERROR(VLOOKUP(D789,CAARStatus!$A$1:$Y$1600,11,FALSE),0),0)</f>
        <v>0</v>
      </c>
      <c r="AM789" s="22">
        <f t="shared" si="281"/>
        <v>0</v>
      </c>
      <c r="AN789" s="12" t="str">
        <f t="shared" si="282"/>
        <v/>
      </c>
      <c r="AO789" s="12" t="str">
        <f t="shared" si="283"/>
        <v>Yes</v>
      </c>
      <c r="AP789" t="str">
        <f t="shared" si="268"/>
        <v>Yes</v>
      </c>
      <c r="AQ789" t="str">
        <f>IFERROR(VLOOKUP(Z789,InvBal!$L$4:$P$600,4,FALSE),"Pend")</f>
        <v>Pend</v>
      </c>
      <c r="AR789" t="str">
        <f>IFERROR(VLOOKUP(D789,Manual!$C$1:$E$22,2,FALSE),"Pend")</f>
        <v>Pend</v>
      </c>
      <c r="AS789" t="str">
        <f t="shared" si="284"/>
        <v>Yes</v>
      </c>
      <c r="AT789" t="str">
        <f t="shared" si="285"/>
        <v>Yes</v>
      </c>
      <c r="AU789" s="51" t="str">
        <f t="shared" si="286"/>
        <v>Yes</v>
      </c>
      <c r="AV789" s="12">
        <f>IFERROR(VLOOKUP(D789,'Receivable Invoice Detail'!$S$1:$U$3014,3,FALSE),0)</f>
        <v>0</v>
      </c>
      <c r="AW789" s="12">
        <f t="shared" si="287"/>
        <v>1013.0886723689759</v>
      </c>
    </row>
    <row r="790" spans="1:49" ht="30" x14ac:dyDescent="0.25">
      <c r="A790" s="2">
        <v>1</v>
      </c>
      <c r="B790" s="2" t="s">
        <v>963</v>
      </c>
      <c r="C790" s="2" t="s">
        <v>964</v>
      </c>
      <c r="D790" s="2" t="s">
        <v>3020</v>
      </c>
      <c r="E790" s="2" t="s">
        <v>684</v>
      </c>
      <c r="F790" s="3">
        <v>45861.604988425926</v>
      </c>
      <c r="G790" s="3">
        <v>45861.603715277779</v>
      </c>
      <c r="H790" s="4">
        <v>45945</v>
      </c>
      <c r="I790" s="2" t="s">
        <v>36</v>
      </c>
      <c r="J790" s="2" t="s">
        <v>22</v>
      </c>
      <c r="K790" s="2">
        <v>1</v>
      </c>
      <c r="L790" s="2">
        <v>9874.2000000000007</v>
      </c>
      <c r="M790" s="2">
        <v>0</v>
      </c>
      <c r="N790" s="2">
        <v>7255.0206836887246</v>
      </c>
      <c r="O790" s="2">
        <v>9404</v>
      </c>
      <c r="P790" s="2">
        <v>470.2</v>
      </c>
      <c r="Q790" s="2">
        <v>9874.2000000000007</v>
      </c>
      <c r="R790" s="2" t="s">
        <v>44</v>
      </c>
      <c r="S790" s="2"/>
      <c r="T790" s="2">
        <f t="shared" si="269"/>
        <v>1</v>
      </c>
      <c r="U790" s="18">
        <f t="shared" si="270"/>
        <v>7</v>
      </c>
      <c r="V790" s="18">
        <f t="shared" si="271"/>
        <v>2025</v>
      </c>
      <c r="W790" s="18">
        <f t="shared" si="272"/>
        <v>12</v>
      </c>
      <c r="X790" s="18">
        <f t="shared" si="273"/>
        <v>2025</v>
      </c>
      <c r="Y790" s="2">
        <f t="shared" si="266"/>
        <v>0.73474516251328958</v>
      </c>
      <c r="Z790" t="str">
        <f t="shared" si="267"/>
        <v>SO17570</v>
      </c>
      <c r="AA790" s="11">
        <f t="shared" si="274"/>
        <v>45861.604988425926</v>
      </c>
      <c r="AB790" s="5" t="str">
        <f t="shared" si="275"/>
        <v>INV13506</v>
      </c>
      <c r="AC790" s="5" t="str">
        <f>IFERROR(VLOOKUP(D790,CAARStatus!$A$2:$AA$1600,22,FALSE),"Not invoiced")</f>
        <v>Paid</v>
      </c>
      <c r="AD790" s="11">
        <f>IF(AC790="Paid",IFERROR(VLOOKUP(D790,CAARStatus!$A$2:$AA$1600,6,FALSE),"Pending"),"Pending")</f>
        <v>45996</v>
      </c>
      <c r="AE790" s="5" t="str">
        <f t="shared" si="276"/>
        <v>4500606536</v>
      </c>
      <c r="AF790" s="5" t="str">
        <f t="shared" si="277"/>
        <v>Resolute Forest Products - Fibrek</v>
      </c>
      <c r="AG790" s="5" t="str">
        <f t="shared" si="278"/>
        <v>CAD</v>
      </c>
      <c r="AH790" s="5">
        <f t="shared" si="279"/>
        <v>9404</v>
      </c>
      <c r="AI790" s="12">
        <f>IF(L790-N790=0,VLOOKUP(U790,rate!A$4:B$15,2,FALSE)*AH790,IF(AG790="USD",O790,AH790*Y790))</f>
        <v>6909.5435082749755</v>
      </c>
      <c r="AJ790" s="13">
        <f t="shared" si="280"/>
        <v>0.73474516251328958</v>
      </c>
      <c r="AK790" s="61">
        <f>IF(AC790="Paid",-IF(AG790="CAD",IFERROR(VLOOKUP(D790,CAARStatus!$A$1:$Y$1600,16,FALSE),0),0),0)</f>
        <v>-9404</v>
      </c>
      <c r="AL790" s="61">
        <f>IF(AC790="Paid",-IF(AG790="USD",IFERROR(VLOOKUP(D790,CAARStatus!$A$1:$Y$1600,11,FALSE),0),0),0)</f>
        <v>0</v>
      </c>
      <c r="AM790" s="22">
        <f t="shared" si="281"/>
        <v>0</v>
      </c>
      <c r="AN790" s="12" t="str">
        <f t="shared" si="282"/>
        <v/>
      </c>
      <c r="AO790" s="12" t="str">
        <f t="shared" si="283"/>
        <v>Yes</v>
      </c>
      <c r="AP790" t="str">
        <f t="shared" si="268"/>
        <v>Yes</v>
      </c>
      <c r="AQ790" t="str">
        <f>IFERROR(VLOOKUP(Z790,InvBal!$L$4:$P$600,4,FALSE),"Pend")</f>
        <v>Pend</v>
      </c>
      <c r="AR790" t="str">
        <f>IFERROR(VLOOKUP(D790,Manual!$C$1:$E$22,2,FALSE),"Pend")</f>
        <v>Pend</v>
      </c>
      <c r="AS790" t="str">
        <f t="shared" si="284"/>
        <v>Yes</v>
      </c>
      <c r="AT790" t="str">
        <f t="shared" si="285"/>
        <v>Yes</v>
      </c>
      <c r="AU790" s="51" t="str">
        <f t="shared" si="286"/>
        <v>Yes</v>
      </c>
      <c r="AV790" s="12">
        <f>IFERROR(VLOOKUP(D790,'Receivable Invoice Detail'!$S$1:$U$3014,3,FALSE),0)</f>
        <v>0</v>
      </c>
      <c r="AW790" s="12">
        <f t="shared" si="287"/>
        <v>6909.5435082749755</v>
      </c>
    </row>
    <row r="791" spans="1:49" x14ac:dyDescent="0.25">
      <c r="A791" s="2">
        <v>2</v>
      </c>
      <c r="B791" s="2" t="s">
        <v>957</v>
      </c>
      <c r="C791" s="2" t="s">
        <v>958</v>
      </c>
      <c r="D791" s="2" t="s">
        <v>3024</v>
      </c>
      <c r="E791" s="2" t="s">
        <v>465</v>
      </c>
      <c r="F791" s="3">
        <v>45861.607800925929</v>
      </c>
      <c r="G791" s="3">
        <v>45862.402083333327</v>
      </c>
      <c r="H791" s="4">
        <v>45863</v>
      </c>
      <c r="I791" s="2" t="s">
        <v>21</v>
      </c>
      <c r="J791" s="2" t="s">
        <v>22</v>
      </c>
      <c r="K791" s="2">
        <v>1</v>
      </c>
      <c r="L791" s="2">
        <v>2798.72</v>
      </c>
      <c r="M791" s="2">
        <v>0</v>
      </c>
      <c r="N791" s="2">
        <v>2051.2467249268811</v>
      </c>
      <c r="O791" s="2">
        <v>2476.7399999999998</v>
      </c>
      <c r="P791" s="2">
        <v>321.98</v>
      </c>
      <c r="Q791" s="2">
        <v>2798.72</v>
      </c>
      <c r="R791" s="2" t="s">
        <v>44</v>
      </c>
      <c r="S791" s="2"/>
      <c r="T791" s="2">
        <f t="shared" si="269"/>
        <v>2</v>
      </c>
      <c r="U791" s="18">
        <f t="shared" si="270"/>
        <v>7</v>
      </c>
      <c r="V791" s="18">
        <f t="shared" si="271"/>
        <v>2025</v>
      </c>
      <c r="W791" s="18">
        <f t="shared" si="272"/>
        <v>9</v>
      </c>
      <c r="X791" s="18">
        <f t="shared" si="273"/>
        <v>2025</v>
      </c>
      <c r="Y791" s="2">
        <f t="shared" si="266"/>
        <v>0.73292316663577683</v>
      </c>
      <c r="Z791" t="str">
        <f t="shared" si="267"/>
        <v>SO17571</v>
      </c>
      <c r="AA791" s="11">
        <f t="shared" si="274"/>
        <v>45861.607800925929</v>
      </c>
      <c r="AB791" s="5" t="str">
        <f t="shared" si="275"/>
        <v>INV13232</v>
      </c>
      <c r="AC791" s="5" t="str">
        <f>IFERROR(VLOOKUP(D791,CAARStatus!$A$2:$AA$1600,22,FALSE),"Not invoiced")</f>
        <v>Paid</v>
      </c>
      <c r="AD791" s="11">
        <f>IF(AC791="Paid",IFERROR(VLOOKUP(D791,CAARStatus!$A$2:$AA$1600,6,FALSE),"Pending"),"Pending")</f>
        <v>45903</v>
      </c>
      <c r="AE791" s="5" t="str">
        <f t="shared" si="276"/>
        <v>M-083951</v>
      </c>
      <c r="AF791" s="5" t="str">
        <f t="shared" si="277"/>
        <v>Grant Aggregate</v>
      </c>
      <c r="AG791" s="5" t="str">
        <f t="shared" si="278"/>
        <v>CAD</v>
      </c>
      <c r="AH791" s="5">
        <f t="shared" si="279"/>
        <v>2476.7399999999998</v>
      </c>
      <c r="AI791" s="12">
        <f>IF(L791-N791=0,VLOOKUP(U791,rate!A$4:B$15,2,FALSE)*AH791,IF(AG791="USD",O791,AH791*Y791))</f>
        <v>1815.2601237334939</v>
      </c>
      <c r="AJ791" s="13">
        <f t="shared" si="280"/>
        <v>0.73292316663577683</v>
      </c>
      <c r="AK791" s="13">
        <f>-IF(AG791="CAD",IFERROR(VLOOKUP(D791,CAARStatus!$A$1:$Y$1600,16,FALSE),0),0)</f>
        <v>-2476.7399999999998</v>
      </c>
      <c r="AL791" s="13">
        <f>-IF(AG791="USD",IFERROR(VLOOKUP(D791,CAARStatus!$A$1:$Y$1600,11,FALSE),0),0)</f>
        <v>0</v>
      </c>
      <c r="AM791" s="22">
        <f t="shared" si="281"/>
        <v>0</v>
      </c>
      <c r="AN791" s="12" t="str">
        <f t="shared" si="282"/>
        <v/>
      </c>
      <c r="AO791" s="12" t="str">
        <f t="shared" si="283"/>
        <v>Yes</v>
      </c>
      <c r="AP791" t="str">
        <f t="shared" si="268"/>
        <v>XX</v>
      </c>
      <c r="AQ791" t="str">
        <f>IFERROR(VLOOKUP(Z791,InvBal!$L$4:$P$600,4,FALSE),"Pend")</f>
        <v>Yes</v>
      </c>
      <c r="AR791" t="str">
        <f>IFERROR(VLOOKUP(D791,Manual!$C$1:$E$22,2,FALSE),"Pend")</f>
        <v>Pend</v>
      </c>
      <c r="AS791" t="str">
        <f t="shared" si="284"/>
        <v>Yes</v>
      </c>
      <c r="AT791" t="str">
        <f t="shared" si="285"/>
        <v>Yes</v>
      </c>
      <c r="AU791" s="51" t="str">
        <f t="shared" si="286"/>
        <v>Yes</v>
      </c>
      <c r="AV791" s="12">
        <f>IFERROR(VLOOKUP(D791,'Receivable Invoice Detail'!$S$1:$U$3014,3,FALSE),0)</f>
        <v>0</v>
      </c>
      <c r="AW791" s="12">
        <f t="shared" si="287"/>
        <v>1815.2601237334939</v>
      </c>
    </row>
    <row r="792" spans="1:49" x14ac:dyDescent="0.25">
      <c r="A792" s="2"/>
      <c r="B792" s="2"/>
      <c r="C792" s="2"/>
      <c r="D792" s="2" t="s">
        <v>3023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>
        <f t="shared" si="269"/>
        <v>2</v>
      </c>
      <c r="U792" s="18">
        <f t="shared" si="270"/>
        <v>7</v>
      </c>
      <c r="V792" s="18">
        <f t="shared" si="271"/>
        <v>2025</v>
      </c>
      <c r="W792" s="18" t="str">
        <f t="shared" si="272"/>
        <v/>
      </c>
      <c r="X792" s="18" t="str">
        <f t="shared" si="273"/>
        <v/>
      </c>
      <c r="Y792" s="2">
        <f t="shared" si="266"/>
        <v>0.73292316663577683</v>
      </c>
      <c r="Z792" t="str">
        <f t="shared" si="267"/>
        <v>SO17571</v>
      </c>
      <c r="AA792" s="11">
        <f t="shared" si="274"/>
        <v>45861.607800925929</v>
      </c>
      <c r="AB792" s="5" t="str">
        <f t="shared" si="275"/>
        <v>(* 78449)</v>
      </c>
      <c r="AC792" s="5" t="str">
        <f>IFERROR(VLOOKUP(D792,CAARStatus!$A$2:$AA$1600,22,FALSE),"Not invoiced")</f>
        <v>Not invoiced</v>
      </c>
      <c r="AD792" s="11" t="str">
        <f>IF(AC792="Paid",IFERROR(VLOOKUP(D792,CAARStatus!$A$2:$AA$1600,6,FALSE),"Pending"),"Pending")</f>
        <v>Pending</v>
      </c>
      <c r="AE792" s="5" t="str">
        <f t="shared" si="276"/>
        <v>M-083951</v>
      </c>
      <c r="AF792" s="5" t="str">
        <f t="shared" si="277"/>
        <v>Grant Aggregate</v>
      </c>
      <c r="AG792" s="5" t="str">
        <f t="shared" si="278"/>
        <v>CAD</v>
      </c>
      <c r="AH792" s="5">
        <f t="shared" si="279"/>
        <v>0</v>
      </c>
      <c r="AI792" s="12">
        <f>IF(L792-N792=0,VLOOKUP(U792,rate!A$4:B$15,2,FALSE)*AH792,IF(AG792="USD",O792,AH792*Y792))</f>
        <v>0</v>
      </c>
      <c r="AJ792" s="13">
        <f t="shared" si="280"/>
        <v>0</v>
      </c>
      <c r="AK792" s="13">
        <f>-IF(AG792="CAD",IFERROR(VLOOKUP(D792,CAARStatus!$A$1:$Y$1600,16,FALSE),0),0)</f>
        <v>0</v>
      </c>
      <c r="AL792" s="13">
        <f>-IF(AG792="USD",IFERROR(VLOOKUP(D792,CAARStatus!$A$1:$Y$1600,11,FALSE),0),0)</f>
        <v>0</v>
      </c>
      <c r="AM792" s="22">
        <f t="shared" si="281"/>
        <v>0</v>
      </c>
      <c r="AN792" s="12" t="str">
        <f t="shared" si="282"/>
        <v/>
      </c>
      <c r="AO792" s="12" t="str">
        <f t="shared" si="283"/>
        <v>Pend</v>
      </c>
      <c r="AP792" t="str">
        <f t="shared" si="268"/>
        <v>XX</v>
      </c>
      <c r="AQ792" t="str">
        <f>IFERROR(VLOOKUP(Z792,InvBal!$L$4:$P$600,4,FALSE),"Pend")</f>
        <v>Yes</v>
      </c>
      <c r="AR792" t="str">
        <f>IFERROR(VLOOKUP(D792,Manual!$C$1:$E$22,2,FALSE),"Pend")</f>
        <v>Pend</v>
      </c>
      <c r="AS792" t="str">
        <f t="shared" si="284"/>
        <v>Yes</v>
      </c>
      <c r="AT792" t="str">
        <f t="shared" si="285"/>
        <v/>
      </c>
      <c r="AU792" s="51" t="str">
        <f t="shared" si="286"/>
        <v/>
      </c>
      <c r="AV792" s="12">
        <f>IFERROR(VLOOKUP(D792,'Receivable Invoice Detail'!$S$1:$U$3014,3,FALSE),0)</f>
        <v>0</v>
      </c>
      <c r="AW792" s="12">
        <f t="shared" si="287"/>
        <v>0</v>
      </c>
    </row>
    <row r="793" spans="1:49" ht="30" x14ac:dyDescent="0.25">
      <c r="A793" s="2">
        <v>1</v>
      </c>
      <c r="B793" s="2" t="s">
        <v>961</v>
      </c>
      <c r="C793" s="2" t="s">
        <v>962</v>
      </c>
      <c r="D793" s="2" t="s">
        <v>3021</v>
      </c>
      <c r="E793" s="2" t="s">
        <v>20</v>
      </c>
      <c r="F793" s="3">
        <v>45861.618078703701</v>
      </c>
      <c r="G793" s="3">
        <v>45861.618078703701</v>
      </c>
      <c r="H793" s="4">
        <v>45945</v>
      </c>
      <c r="I793" s="2" t="s">
        <v>21</v>
      </c>
      <c r="J793" s="2" t="s">
        <v>22</v>
      </c>
      <c r="K793" s="2">
        <v>1</v>
      </c>
      <c r="L793" s="2">
        <v>1506.2</v>
      </c>
      <c r="M793" s="2">
        <v>0</v>
      </c>
      <c r="N793" s="2">
        <v>1106.6731637775169</v>
      </c>
      <c r="O793" s="2">
        <v>1434.48</v>
      </c>
      <c r="P793" s="2">
        <v>71.72</v>
      </c>
      <c r="Q793" s="2">
        <v>1506.2</v>
      </c>
      <c r="R793" s="2" t="s">
        <v>44</v>
      </c>
      <c r="S793" s="2"/>
      <c r="T793" s="2">
        <f t="shared" si="269"/>
        <v>1</v>
      </c>
      <c r="U793" s="18">
        <f t="shared" si="270"/>
        <v>7</v>
      </c>
      <c r="V793" s="18">
        <f t="shared" si="271"/>
        <v>2025</v>
      </c>
      <c r="W793" s="18">
        <f t="shared" si="272"/>
        <v>11</v>
      </c>
      <c r="X793" s="18">
        <f t="shared" si="273"/>
        <v>2025</v>
      </c>
      <c r="Y793" s="2">
        <f t="shared" si="266"/>
        <v>0.7347451625132897</v>
      </c>
      <c r="Z793" t="str">
        <f t="shared" si="267"/>
        <v>SO17573</v>
      </c>
      <c r="AA793" s="11">
        <f t="shared" si="274"/>
        <v>45861.618078703701</v>
      </c>
      <c r="AB793" s="5" t="str">
        <f t="shared" si="275"/>
        <v>INV13431</v>
      </c>
      <c r="AC793" s="5" t="str">
        <f>IFERROR(VLOOKUP(D793,CAARStatus!$A$2:$AA$1600,22,FALSE),"Not invoiced")</f>
        <v>Paid</v>
      </c>
      <c r="AD793" s="11">
        <f>IF(AC793="Paid",IFERROR(VLOOKUP(D793,CAARStatus!$A$2:$AA$1600,6,FALSE),"Pending"),"Pending")</f>
        <v>45982</v>
      </c>
      <c r="AE793" s="5" t="str">
        <f t="shared" si="276"/>
        <v>4500606522</v>
      </c>
      <c r="AF793" s="5" t="str">
        <f t="shared" si="277"/>
        <v>Resolute Forest Products - Saint-Felicien</v>
      </c>
      <c r="AG793" s="5" t="str">
        <f t="shared" si="278"/>
        <v>CAD</v>
      </c>
      <c r="AH793" s="5">
        <f t="shared" si="279"/>
        <v>1434.48</v>
      </c>
      <c r="AI793" s="12">
        <f>IF(L793-N793=0,VLOOKUP(U793,rate!A$4:B$15,2,FALSE)*AH793,IF(AG793="USD",O793,AH793*Y793))</f>
        <v>1053.9772407220639</v>
      </c>
      <c r="AJ793" s="13">
        <f t="shared" si="280"/>
        <v>0.73474516251328981</v>
      </c>
      <c r="AK793" s="13">
        <f>-IF(AG793="CAD",IFERROR(VLOOKUP(D793,CAARStatus!$A$1:$Y$1600,16,FALSE),0),0)</f>
        <v>-1434.48</v>
      </c>
      <c r="AL793" s="13">
        <f>-IF(AG793="USD",IFERROR(VLOOKUP(D793,CAARStatus!$A$1:$Y$1600,11,FALSE),0),0)</f>
        <v>0</v>
      </c>
      <c r="AM793" s="22">
        <f t="shared" si="281"/>
        <v>0</v>
      </c>
      <c r="AN793" s="12" t="str">
        <f t="shared" si="282"/>
        <v/>
      </c>
      <c r="AO793" s="12" t="str">
        <f t="shared" si="283"/>
        <v>Yes</v>
      </c>
      <c r="AP793" t="str">
        <f t="shared" si="268"/>
        <v>Yes</v>
      </c>
      <c r="AQ793" t="str">
        <f>IFERROR(VLOOKUP(Z793,InvBal!$L$4:$P$600,4,FALSE),"Pend")</f>
        <v>Pend</v>
      </c>
      <c r="AR793" t="str">
        <f>IFERROR(VLOOKUP(D793,Manual!$C$1:$E$22,2,FALSE),"Pend")</f>
        <v>Pend</v>
      </c>
      <c r="AS793" t="str">
        <f t="shared" si="284"/>
        <v>Yes</v>
      </c>
      <c r="AT793" t="str">
        <f t="shared" si="285"/>
        <v>Yes</v>
      </c>
      <c r="AU793" s="51" t="str">
        <f t="shared" si="286"/>
        <v>Yes</v>
      </c>
      <c r="AV793" s="12">
        <f>IFERROR(VLOOKUP(D793,'Receivable Invoice Detail'!$S$1:$U$3014,3,FALSE),0)</f>
        <v>0</v>
      </c>
      <c r="AW793" s="12">
        <f t="shared" si="287"/>
        <v>1053.9772407220639</v>
      </c>
    </row>
    <row r="794" spans="1:49" ht="60" x14ac:dyDescent="0.25">
      <c r="A794" s="2">
        <v>1</v>
      </c>
      <c r="B794" s="2" t="s">
        <v>755</v>
      </c>
      <c r="C794" s="2" t="s">
        <v>756</v>
      </c>
      <c r="D794" s="2" t="s">
        <v>3127</v>
      </c>
      <c r="E794" s="2" t="s">
        <v>757</v>
      </c>
      <c r="F794" s="3">
        <v>45861.625011574077</v>
      </c>
      <c r="G794" s="3">
        <v>45897.473067129627</v>
      </c>
      <c r="H794" s="4">
        <v>45988</v>
      </c>
      <c r="I794" s="2" t="s">
        <v>21</v>
      </c>
      <c r="J794" s="2" t="s">
        <v>51</v>
      </c>
      <c r="K794" s="2">
        <v>0.72328577573707276</v>
      </c>
      <c r="L794" s="2">
        <v>2377.8706255453958</v>
      </c>
      <c r="M794" s="2">
        <v>0</v>
      </c>
      <c r="N794" s="2">
        <v>1719.88</v>
      </c>
      <c r="O794" s="2">
        <v>1719.88</v>
      </c>
      <c r="P794" s="2"/>
      <c r="Q794" s="2">
        <v>1719.88</v>
      </c>
      <c r="R794" s="2" t="s">
        <v>44</v>
      </c>
      <c r="S794" s="2"/>
      <c r="T794" s="2">
        <f t="shared" si="269"/>
        <v>1</v>
      </c>
      <c r="U794" s="18">
        <f t="shared" si="270"/>
        <v>7</v>
      </c>
      <c r="V794" s="18">
        <f t="shared" si="271"/>
        <v>2025</v>
      </c>
      <c r="W794" s="18">
        <f t="shared" si="272"/>
        <v>9</v>
      </c>
      <c r="X794" s="18">
        <f t="shared" si="273"/>
        <v>2025</v>
      </c>
      <c r="Y794" s="2">
        <f t="shared" si="266"/>
        <v>0.72328577573707276</v>
      </c>
      <c r="Z794" t="str">
        <f t="shared" si="267"/>
        <v>SO17574</v>
      </c>
      <c r="AA794" s="11">
        <f t="shared" si="274"/>
        <v>45861.625011574077</v>
      </c>
      <c r="AB794" s="5" t="str">
        <f t="shared" si="275"/>
        <v>INV13551</v>
      </c>
      <c r="AC794" s="5" t="str">
        <f>IFERROR(VLOOKUP(D794,CAARStatus!$A$2:$AA$1600,22,FALSE),"Not invoiced")</f>
        <v>Paid</v>
      </c>
      <c r="AD794" s="11">
        <f>IF(AC794="Paid",IFERROR(VLOOKUP(D794,CAARStatus!$A$2:$AA$1600,6,FALSE),"Pending"),"Pending")</f>
        <v>45919</v>
      </c>
      <c r="AE794" s="5" t="str">
        <f t="shared" si="276"/>
        <v>80238 - Paid in full on Sept 23rd 2025, as per Margarita. $1,719.8 USD</v>
      </c>
      <c r="AF794" s="5" t="str">
        <f t="shared" si="277"/>
        <v>Irathane Systems Inc, Irathane Systems LLC</v>
      </c>
      <c r="AG794" s="5" t="str">
        <f t="shared" si="278"/>
        <v>USD</v>
      </c>
      <c r="AH794" s="5">
        <f t="shared" si="279"/>
        <v>2377.8706255453958</v>
      </c>
      <c r="AI794" s="12">
        <f>IF(L794-N794=0,VLOOKUP(U794,rate!A$4:B$15,2,FALSE)*AH794,IF(AG794="USD",O794,AH794*Y794))</f>
        <v>1719.88</v>
      </c>
      <c r="AJ794" s="13">
        <f t="shared" si="280"/>
        <v>0.72328577573707276</v>
      </c>
      <c r="AK794" s="13">
        <f>-IF(AG794="CAD",IFERROR(VLOOKUP(D794,CAARStatus!$A$1:$Y$1600,16,FALSE),0),0)</f>
        <v>0</v>
      </c>
      <c r="AL794" s="13">
        <f>-IF(AG794="USD",IFERROR(VLOOKUP(D794,CAARStatus!$A$1:$Y$1600,11,FALSE),0),0)</f>
        <v>-1719.88</v>
      </c>
      <c r="AM794" s="22" t="str">
        <f t="shared" si="281"/>
        <v/>
      </c>
      <c r="AN794" s="12">
        <f t="shared" si="282"/>
        <v>0</v>
      </c>
      <c r="AO794" s="12" t="str">
        <f t="shared" si="283"/>
        <v>Yes</v>
      </c>
      <c r="AP794" t="str">
        <f t="shared" si="268"/>
        <v>Yes</v>
      </c>
      <c r="AQ794" t="str">
        <f>IFERROR(VLOOKUP(Z794,InvBal!$L$4:$P$600,4,FALSE),"Pend")</f>
        <v>Pend</v>
      </c>
      <c r="AR794" t="str">
        <f>IFERROR(VLOOKUP(D794,Manual!$C$1:$E$22,2,FALSE),"Pend")</f>
        <v>Pend</v>
      </c>
      <c r="AS794" t="str">
        <f t="shared" si="284"/>
        <v>Yes</v>
      </c>
      <c r="AT794" t="str">
        <f t="shared" si="285"/>
        <v>Yes</v>
      </c>
      <c r="AU794" s="51" t="str">
        <f t="shared" si="286"/>
        <v>Yes</v>
      </c>
      <c r="AV794" s="12">
        <f>IFERROR(VLOOKUP(D794,'Receivable Invoice Detail'!$S$1:$U$3014,3,FALSE),0)</f>
        <v>0</v>
      </c>
      <c r="AW794" s="12">
        <f t="shared" si="287"/>
        <v>1719.88</v>
      </c>
    </row>
    <row r="795" spans="1:49" x14ac:dyDescent="0.25">
      <c r="A795" s="2">
        <v>1</v>
      </c>
      <c r="B795" s="2" t="s">
        <v>899</v>
      </c>
      <c r="C795" s="2" t="s">
        <v>900</v>
      </c>
      <c r="D795" s="2" t="s">
        <v>3056</v>
      </c>
      <c r="E795" s="2" t="s">
        <v>901</v>
      </c>
      <c r="F795" s="3">
        <v>45862.343368055554</v>
      </c>
      <c r="G795" s="3">
        <v>45874.697199074071</v>
      </c>
      <c r="H795" s="4">
        <v>45922</v>
      </c>
      <c r="I795" s="2" t="s">
        <v>180</v>
      </c>
      <c r="J795" s="2" t="s">
        <v>51</v>
      </c>
      <c r="K795" s="2">
        <v>0.72590381117935043</v>
      </c>
      <c r="L795" s="2">
        <v>76679.635983130938</v>
      </c>
      <c r="M795" s="2">
        <v>0</v>
      </c>
      <c r="N795" s="2">
        <v>55662.04</v>
      </c>
      <c r="O795" s="2">
        <v>55662.04</v>
      </c>
      <c r="P795" s="2"/>
      <c r="Q795" s="2">
        <v>55662.04</v>
      </c>
      <c r="R795" s="2" t="s">
        <v>44</v>
      </c>
      <c r="S795" s="2"/>
      <c r="T795" s="2">
        <f t="shared" si="269"/>
        <v>1</v>
      </c>
      <c r="U795" s="18">
        <f t="shared" si="270"/>
        <v>7</v>
      </c>
      <c r="V795" s="18">
        <f t="shared" si="271"/>
        <v>2025</v>
      </c>
      <c r="W795" s="18">
        <f t="shared" si="272"/>
        <v>11</v>
      </c>
      <c r="X795" s="18">
        <f t="shared" si="273"/>
        <v>2025</v>
      </c>
      <c r="Y795" s="2">
        <f t="shared" si="266"/>
        <v>0.72590381117935032</v>
      </c>
      <c r="Z795" t="str">
        <f t="shared" si="267"/>
        <v>SO17575</v>
      </c>
      <c r="AA795" s="11">
        <f t="shared" si="274"/>
        <v>45862.343368055554</v>
      </c>
      <c r="AB795" s="5" t="str">
        <f t="shared" si="275"/>
        <v>INV13433</v>
      </c>
      <c r="AC795" s="5" t="str">
        <f>IFERROR(VLOOKUP(D795,CAARStatus!$A$2:$AA$1600,22,FALSE),"Not invoiced")</f>
        <v>Paid</v>
      </c>
      <c r="AD795" s="11">
        <f>IF(AC795="Paid",IFERROR(VLOOKUP(D795,CAARStatus!$A$2:$AA$1600,6,FALSE),"Pending"),"Pending")</f>
        <v>45974</v>
      </c>
      <c r="AE795" s="5" t="str">
        <f t="shared" si="276"/>
        <v>4500836869</v>
      </c>
      <c r="AF795" s="5" t="str">
        <f t="shared" si="277"/>
        <v>AGM Inc.</v>
      </c>
      <c r="AG795" s="5" t="str">
        <f t="shared" si="278"/>
        <v>USD</v>
      </c>
      <c r="AH795" s="5">
        <f t="shared" si="279"/>
        <v>76679.635983130938</v>
      </c>
      <c r="AI795" s="12">
        <f>IF(L795-N795=0,VLOOKUP(U795,rate!A$4:B$15,2,FALSE)*AH795,IF(AG795="USD",O795,AH795*Y795))</f>
        <v>55662.04</v>
      </c>
      <c r="AJ795" s="13">
        <f t="shared" si="280"/>
        <v>0.72590381117935032</v>
      </c>
      <c r="AK795" s="13">
        <f>-IF(AG795="CAD",IFERROR(VLOOKUP(D795,CAARStatus!$A$1:$Y$1600,16,FALSE),0),0)</f>
        <v>0</v>
      </c>
      <c r="AL795" s="13">
        <f>-IF(AG795="USD",IFERROR(VLOOKUP(D795,CAARStatus!$A$1:$Y$1600,11,FALSE),0),0)</f>
        <v>-55662.04</v>
      </c>
      <c r="AM795" s="22" t="str">
        <f t="shared" si="281"/>
        <v/>
      </c>
      <c r="AN795" s="12">
        <f t="shared" si="282"/>
        <v>0</v>
      </c>
      <c r="AO795" s="12" t="str">
        <f t="shared" si="283"/>
        <v>Yes</v>
      </c>
      <c r="AP795" t="str">
        <f t="shared" si="268"/>
        <v>Yes</v>
      </c>
      <c r="AQ795" t="str">
        <f>IFERROR(VLOOKUP(Z795,InvBal!$L$4:$P$600,4,FALSE),"Pend")</f>
        <v>Pend</v>
      </c>
      <c r="AR795" t="str">
        <f>IFERROR(VLOOKUP(D795,Manual!$C$1:$E$22,2,FALSE),"Pend")</f>
        <v>Pend</v>
      </c>
      <c r="AS795" t="str">
        <f t="shared" si="284"/>
        <v>Yes</v>
      </c>
      <c r="AT795" t="str">
        <f t="shared" si="285"/>
        <v>Yes</v>
      </c>
      <c r="AU795" s="51" t="str">
        <f t="shared" si="286"/>
        <v>Yes</v>
      </c>
      <c r="AV795" s="12">
        <f>IFERROR(VLOOKUP(D795,'Receivable Invoice Detail'!$S$1:$U$3014,3,FALSE),0)</f>
        <v>0</v>
      </c>
      <c r="AW795" s="12">
        <f t="shared" si="287"/>
        <v>55662.04</v>
      </c>
    </row>
    <row r="796" spans="1:49" ht="30" x14ac:dyDescent="0.25">
      <c r="A796" s="2">
        <v>1</v>
      </c>
      <c r="B796" s="2" t="s">
        <v>959</v>
      </c>
      <c r="C796" s="2" t="s">
        <v>960</v>
      </c>
      <c r="D796" s="2" t="s">
        <v>3022</v>
      </c>
      <c r="E796" s="2" t="s">
        <v>98</v>
      </c>
      <c r="F796" s="3">
        <v>45862.399988425917</v>
      </c>
      <c r="G796" s="3">
        <v>45862.399988425917</v>
      </c>
      <c r="H796" s="4">
        <v>45867</v>
      </c>
      <c r="I796" s="2" t="s">
        <v>40</v>
      </c>
      <c r="J796" s="2" t="s">
        <v>22</v>
      </c>
      <c r="K796" s="2">
        <v>1</v>
      </c>
      <c r="L796" s="2">
        <v>422.48</v>
      </c>
      <c r="M796" s="2">
        <v>0</v>
      </c>
      <c r="N796" s="2">
        <v>309.64537944028302</v>
      </c>
      <c r="O796" s="2">
        <v>373.88</v>
      </c>
      <c r="P796" s="2">
        <v>48.6</v>
      </c>
      <c r="Q796" s="2">
        <v>422.48</v>
      </c>
      <c r="R796" s="2" t="s">
        <v>44</v>
      </c>
      <c r="S796" s="2"/>
      <c r="T796" s="2">
        <f t="shared" si="269"/>
        <v>1</v>
      </c>
      <c r="U796" s="18">
        <f t="shared" si="270"/>
        <v>7</v>
      </c>
      <c r="V796" s="18">
        <f t="shared" si="271"/>
        <v>2025</v>
      </c>
      <c r="W796" s="18">
        <f t="shared" si="272"/>
        <v>9</v>
      </c>
      <c r="X796" s="18">
        <f t="shared" si="273"/>
        <v>2025</v>
      </c>
      <c r="Y796" s="2">
        <f t="shared" si="266"/>
        <v>0.73292316663577683</v>
      </c>
      <c r="Z796" t="str">
        <f t="shared" si="267"/>
        <v>SO17576</v>
      </c>
      <c r="AA796" s="11">
        <f t="shared" si="274"/>
        <v>45862.399988425917</v>
      </c>
      <c r="AB796" s="5" t="str">
        <f t="shared" si="275"/>
        <v>INV13328</v>
      </c>
      <c r="AC796" s="5" t="str">
        <f>IFERROR(VLOOKUP(D796,CAARStatus!$A$2:$AA$1600,22,FALSE),"Not invoiced")</f>
        <v>Paid</v>
      </c>
      <c r="AD796" s="11">
        <f>IF(AC796="Paid",IFERROR(VLOOKUP(D796,CAARStatus!$A$2:$AA$1600,6,FALSE),"Pending"),"Pending")</f>
        <v>45924</v>
      </c>
      <c r="AE796" s="5" t="str">
        <f t="shared" si="276"/>
        <v>PO-008136</v>
      </c>
      <c r="AF796" s="5" t="str">
        <f t="shared" si="277"/>
        <v>Sling-Choker Manufacturing - Timmins</v>
      </c>
      <c r="AG796" s="5" t="str">
        <f t="shared" si="278"/>
        <v>CAD</v>
      </c>
      <c r="AH796" s="5">
        <f t="shared" si="279"/>
        <v>373.88</v>
      </c>
      <c r="AI796" s="12">
        <f>IF(L796-N796=0,VLOOKUP(U796,rate!A$4:B$15,2,FALSE)*AH796,IF(AG796="USD",O796,AH796*Y796))</f>
        <v>274.02531354178421</v>
      </c>
      <c r="AJ796" s="13">
        <f t="shared" si="280"/>
        <v>0.73292316663577672</v>
      </c>
      <c r="AK796" s="61">
        <f>IF(AC796="Paid",-IF(AG796="CAD",IFERROR(VLOOKUP(D796,CAARStatus!$A$1:$Y$1600,16,FALSE),0),0),0)</f>
        <v>-373.88</v>
      </c>
      <c r="AL796" s="61">
        <f>IF(AC796="Paid",-IF(AG796="USD",IFERROR(VLOOKUP(D796,CAARStatus!$A$1:$Y$1600,11,FALSE),0),0),0)</f>
        <v>0</v>
      </c>
      <c r="AM796" s="22">
        <f t="shared" si="281"/>
        <v>0</v>
      </c>
      <c r="AN796" s="12" t="str">
        <f t="shared" si="282"/>
        <v/>
      </c>
      <c r="AO796" s="12" t="str">
        <f t="shared" si="283"/>
        <v>Yes</v>
      </c>
      <c r="AP796" t="str">
        <f t="shared" si="268"/>
        <v>Yes</v>
      </c>
      <c r="AQ796" t="str">
        <f>IFERROR(VLOOKUP(Z796,InvBal!$L$4:$P$600,4,FALSE),"Pend")</f>
        <v>Pend</v>
      </c>
      <c r="AR796" t="str">
        <f>IFERROR(VLOOKUP(D796,Manual!$C$1:$E$22,2,FALSE),"Pend")</f>
        <v>Pend</v>
      </c>
      <c r="AS796" t="str">
        <f t="shared" si="284"/>
        <v>Yes</v>
      </c>
      <c r="AT796" t="str">
        <f t="shared" si="285"/>
        <v>Yes</v>
      </c>
      <c r="AU796" s="51" t="str">
        <f t="shared" si="286"/>
        <v>Yes</v>
      </c>
      <c r="AV796" s="12">
        <f>IFERROR(VLOOKUP(D796,'Receivable Invoice Detail'!$S$1:$U$3014,3,FALSE),0)</f>
        <v>0</v>
      </c>
      <c r="AW796" s="12">
        <f t="shared" si="287"/>
        <v>274.02531354178421</v>
      </c>
    </row>
    <row r="797" spans="1:49" ht="30" x14ac:dyDescent="0.25">
      <c r="A797" s="2">
        <v>2</v>
      </c>
      <c r="B797" s="2" t="s">
        <v>950</v>
      </c>
      <c r="C797" s="2" t="s">
        <v>951</v>
      </c>
      <c r="D797" s="2" t="s">
        <v>3028</v>
      </c>
      <c r="E797" s="2" t="s">
        <v>6166</v>
      </c>
      <c r="F797" s="3">
        <v>45862.476041666669</v>
      </c>
      <c r="G797" s="3">
        <v>45862.610173611109</v>
      </c>
      <c r="H797" s="4">
        <v>45974</v>
      </c>
      <c r="I797" s="2" t="s">
        <v>36</v>
      </c>
      <c r="J797" s="2" t="s">
        <v>22</v>
      </c>
      <c r="K797" s="2">
        <v>1</v>
      </c>
      <c r="L797" s="2">
        <v>1204.22</v>
      </c>
      <c r="M797" s="2">
        <v>0</v>
      </c>
      <c r="N797" s="2">
        <v>882.6007357261351</v>
      </c>
      <c r="O797" s="2">
        <v>1146.8699999999999</v>
      </c>
      <c r="P797" s="2">
        <v>57.35</v>
      </c>
      <c r="Q797" s="2">
        <v>1204.22</v>
      </c>
      <c r="R797" s="2" t="s">
        <v>44</v>
      </c>
      <c r="S797" s="2"/>
      <c r="T797" s="2">
        <f t="shared" si="269"/>
        <v>2</v>
      </c>
      <c r="U797" s="18">
        <f t="shared" si="270"/>
        <v>7</v>
      </c>
      <c r="V797" s="18">
        <f t="shared" si="271"/>
        <v>2025</v>
      </c>
      <c r="W797" s="18">
        <f t="shared" si="272"/>
        <v>9</v>
      </c>
      <c r="X797" s="18">
        <f t="shared" si="273"/>
        <v>2025</v>
      </c>
      <c r="Y797" s="2">
        <f t="shared" si="266"/>
        <v>0.73292316663577672</v>
      </c>
      <c r="Z797" t="str">
        <f t="shared" si="267"/>
        <v>SO17578</v>
      </c>
      <c r="AA797" s="11">
        <f t="shared" si="274"/>
        <v>45862.476041666669</v>
      </c>
      <c r="AB797" s="5" t="str">
        <f t="shared" si="275"/>
        <v>INV13314</v>
      </c>
      <c r="AC797" s="5" t="str">
        <f>IFERROR(VLOOKUP(D797,CAARStatus!$A$2:$AA$1600,22,FALSE),"Not invoiced")</f>
        <v>Paid</v>
      </c>
      <c r="AD797" s="11">
        <f>IF(AC797="Paid",IFERROR(VLOOKUP(D797,CAARStatus!$A$2:$AA$1600,6,FALSE),"Pending"),"Pending")</f>
        <v>45917</v>
      </c>
      <c r="AE797" s="5" t="str">
        <f t="shared" si="276"/>
        <v>L66299-DS</v>
      </c>
      <c r="AF797" s="5" t="str">
        <f t="shared" si="277"/>
        <v>Wild Rows Pump &amp; Compression LTD.</v>
      </c>
      <c r="AG797" s="5" t="str">
        <f t="shared" si="278"/>
        <v>CAD</v>
      </c>
      <c r="AH797" s="5">
        <f t="shared" si="279"/>
        <v>1146.8699999999999</v>
      </c>
      <c r="AI797" s="12">
        <f>IF(L797-N797=0,VLOOKUP(U797,rate!A$4:B$15,2,FALSE)*AH797,IF(AG797="USD",O797,AH797*Y797))</f>
        <v>840.56759211957319</v>
      </c>
      <c r="AJ797" s="13">
        <f t="shared" si="280"/>
        <v>0.73292316663577672</v>
      </c>
      <c r="AK797" s="13">
        <f>-IF(AG797="CAD",IFERROR(VLOOKUP(D797,CAARStatus!$A$1:$Y$1600,16,FALSE),0),0)</f>
        <v>-961.91</v>
      </c>
      <c r="AL797" s="13">
        <f>-IF(AG797="USD",IFERROR(VLOOKUP(D797,CAARStatus!$A$1:$Y$1600,11,FALSE),0),0)</f>
        <v>0</v>
      </c>
      <c r="AM797" s="22">
        <f t="shared" si="281"/>
        <v>184.95999999999992</v>
      </c>
      <c r="AN797" s="12" t="str">
        <f t="shared" si="282"/>
        <v/>
      </c>
      <c r="AO797" s="12" t="str">
        <f t="shared" si="283"/>
        <v>Yes</v>
      </c>
      <c r="AP797" t="str">
        <f t="shared" si="268"/>
        <v>XX</v>
      </c>
      <c r="AQ797">
        <f>IFERROR(VLOOKUP(Z797,InvBal!$L$4:$P$600,4,FALSE),"Pend")</f>
        <v>0</v>
      </c>
      <c r="AR797" t="str">
        <f>IFERROR(VLOOKUP(D797,Manual!$C$1:$E$22,2,FALSE),"Pend")</f>
        <v>Pend</v>
      </c>
      <c r="AS797" t="str">
        <f t="shared" si="284"/>
        <v/>
      </c>
      <c r="AT797" t="str">
        <f t="shared" si="285"/>
        <v>Yes</v>
      </c>
      <c r="AU797" s="51" t="str">
        <f t="shared" si="286"/>
        <v/>
      </c>
      <c r="AV797" s="12">
        <f>IFERROR(VLOOKUP(D797,'Receivable Invoice Detail'!$S$1:$U$3014,3,FALSE),0)</f>
        <v>0</v>
      </c>
      <c r="AW797" s="12">
        <f t="shared" si="287"/>
        <v>0</v>
      </c>
    </row>
    <row r="798" spans="1:49" x14ac:dyDescent="0.25">
      <c r="A798" s="2"/>
      <c r="B798" s="2"/>
      <c r="C798" s="2"/>
      <c r="D798" s="2" t="s">
        <v>3027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f t="shared" si="269"/>
        <v>2</v>
      </c>
      <c r="U798" s="18">
        <f t="shared" si="270"/>
        <v>7</v>
      </c>
      <c r="V798" s="18">
        <f t="shared" si="271"/>
        <v>2025</v>
      </c>
      <c r="W798" s="18" t="str">
        <f t="shared" si="272"/>
        <v/>
      </c>
      <c r="X798" s="18" t="str">
        <f t="shared" si="273"/>
        <v/>
      </c>
      <c r="Y798" s="2">
        <f t="shared" si="266"/>
        <v>0.73292316663577672</v>
      </c>
      <c r="Z798" t="str">
        <f t="shared" si="267"/>
        <v>SO17578</v>
      </c>
      <c r="AA798" s="11">
        <f t="shared" si="274"/>
        <v>45862.476041666669</v>
      </c>
      <c r="AB798" s="5" t="str">
        <f t="shared" si="275"/>
        <v>INV13265</v>
      </c>
      <c r="AC798" s="5" t="str">
        <f>IFERROR(VLOOKUP(D798,CAARStatus!$A$2:$AA$1600,22,FALSE),"Not invoiced")</f>
        <v>Not invoiced</v>
      </c>
      <c r="AD798" s="11" t="str">
        <f>IF(AC798="Paid",IFERROR(VLOOKUP(D798,CAARStatus!$A$2:$AA$1600,6,FALSE),"Pending"),"Pending")</f>
        <v>Pending</v>
      </c>
      <c r="AE798" s="5" t="str">
        <f t="shared" si="276"/>
        <v>L66299-DS</v>
      </c>
      <c r="AF798" s="5" t="str">
        <f t="shared" si="277"/>
        <v>Wild Rows Pump &amp; Compression LTD.</v>
      </c>
      <c r="AG798" s="5" t="str">
        <f t="shared" si="278"/>
        <v>CAD</v>
      </c>
      <c r="AH798" s="5">
        <f t="shared" si="279"/>
        <v>0</v>
      </c>
      <c r="AI798" s="12">
        <f>IF(L798-N798=0,VLOOKUP(U798,rate!A$4:B$15,2,FALSE)*AH798,IF(AG798="USD",O798,AH798*Y798))</f>
        <v>0</v>
      </c>
      <c r="AJ798" s="13">
        <f t="shared" si="280"/>
        <v>0</v>
      </c>
      <c r="AK798" s="13">
        <f>-IF(AG798="CAD",IFERROR(VLOOKUP(D798,CAARStatus!$A$1:$Y$1600,16,FALSE),0),0)</f>
        <v>0</v>
      </c>
      <c r="AL798" s="13">
        <f>-IF(AG798="USD",IFERROR(VLOOKUP(D798,CAARStatus!$A$1:$Y$1600,11,FALSE),0),0)</f>
        <v>0</v>
      </c>
      <c r="AM798" s="22">
        <f t="shared" si="281"/>
        <v>0</v>
      </c>
      <c r="AN798" s="12" t="str">
        <f t="shared" si="282"/>
        <v/>
      </c>
      <c r="AO798" s="12" t="str">
        <f t="shared" si="283"/>
        <v>Pend</v>
      </c>
      <c r="AP798" t="str">
        <f t="shared" si="268"/>
        <v>XX</v>
      </c>
      <c r="AQ798">
        <f>IFERROR(VLOOKUP(Z798,InvBal!$L$4:$P$600,4,FALSE),"Pend")</f>
        <v>0</v>
      </c>
      <c r="AR798" t="str">
        <f>IFERROR(VLOOKUP(D798,Manual!$C$1:$E$22,2,FALSE),"Pend")</f>
        <v>Pend</v>
      </c>
      <c r="AS798" t="str">
        <f t="shared" si="284"/>
        <v/>
      </c>
      <c r="AT798" t="str">
        <f t="shared" si="285"/>
        <v/>
      </c>
      <c r="AU798" s="51" t="str">
        <f t="shared" si="286"/>
        <v/>
      </c>
      <c r="AV798" s="12">
        <f>IFERROR(VLOOKUP(D798,'Receivable Invoice Detail'!$S$1:$U$3014,3,FALSE),0)</f>
        <v>0</v>
      </c>
      <c r="AW798" s="12">
        <f t="shared" si="287"/>
        <v>0</v>
      </c>
    </row>
    <row r="799" spans="1:49" x14ac:dyDescent="0.25">
      <c r="A799" s="2">
        <v>0</v>
      </c>
      <c r="B799" s="2" t="s">
        <v>6170</v>
      </c>
      <c r="C799" s="2" t="s">
        <v>6171</v>
      </c>
      <c r="D799" s="2"/>
      <c r="E799" s="2" t="s">
        <v>901</v>
      </c>
      <c r="F799" s="3">
        <v>45862.739560185182</v>
      </c>
      <c r="G799" s="3">
        <v>46002.676701388889</v>
      </c>
      <c r="H799" s="4">
        <v>46030</v>
      </c>
      <c r="I799" s="2" t="s">
        <v>180</v>
      </c>
      <c r="J799" s="2" t="s">
        <v>51</v>
      </c>
      <c r="K799" s="2">
        <v>0.72276866354558011</v>
      </c>
      <c r="L799" s="2">
        <v>33081.124301527161</v>
      </c>
      <c r="M799" s="2">
        <v>0</v>
      </c>
      <c r="N799" s="2">
        <v>23910</v>
      </c>
      <c r="O799" s="2">
        <v>23910</v>
      </c>
      <c r="P799" s="2"/>
      <c r="Q799" s="2">
        <v>23910</v>
      </c>
      <c r="R799" s="2" t="s">
        <v>23</v>
      </c>
      <c r="S799" s="2"/>
      <c r="T799" s="2">
        <f t="shared" si="269"/>
        <v>0</v>
      </c>
      <c r="U799" s="18">
        <f t="shared" si="270"/>
        <v>7</v>
      </c>
      <c r="V799" s="18">
        <f t="shared" si="271"/>
        <v>2025</v>
      </c>
      <c r="W799" s="18" t="str">
        <f t="shared" si="272"/>
        <v/>
      </c>
      <c r="X799" s="18" t="str">
        <f t="shared" si="273"/>
        <v/>
      </c>
      <c r="Y799" s="2">
        <f t="shared" si="266"/>
        <v>0.72276866354558011</v>
      </c>
      <c r="Z799" t="str">
        <f t="shared" si="267"/>
        <v>SO17581</v>
      </c>
      <c r="AA799" s="11">
        <f t="shared" si="274"/>
        <v>45862.739560185182</v>
      </c>
      <c r="AB799" s="5" t="str">
        <f t="shared" si="275"/>
        <v>No Inv</v>
      </c>
      <c r="AC799" s="5" t="str">
        <f>IFERROR(VLOOKUP(D799,CAARStatus!$A$2:$AA$1600,22,FALSE),"Not invoiced")</f>
        <v>Not invoiced</v>
      </c>
      <c r="AD799" s="11" t="str">
        <f>IF(AC799="Paid",IFERROR(VLOOKUP(D799,CAARStatus!$A$2:$AA$1600,6,FALSE),"Pending"),"Pending")</f>
        <v>Pending</v>
      </c>
      <c r="AE799" s="5" t="str">
        <f t="shared" si="276"/>
        <v>4500882717</v>
      </c>
      <c r="AF799" s="5" t="str">
        <f t="shared" si="277"/>
        <v>AGM Inc.</v>
      </c>
      <c r="AG799" s="5" t="str">
        <f t="shared" si="278"/>
        <v>USD</v>
      </c>
      <c r="AH799" s="5">
        <f t="shared" si="279"/>
        <v>33081.124301527161</v>
      </c>
      <c r="AI799" s="12">
        <f>IF(L799-N799=0,VLOOKUP(U799,rate!A$4:B$15,2,FALSE)*AH799,IF(AG799="USD",O799,AH799*Y799))</f>
        <v>23910</v>
      </c>
      <c r="AJ799" s="13">
        <f t="shared" si="280"/>
        <v>0.72276866354558011</v>
      </c>
      <c r="AK799" s="13">
        <f>-IF(AG799="CAD",IFERROR(VLOOKUP(D799,CAARStatus!$A$1:$Y$1600,16,FALSE),0),0)</f>
        <v>0</v>
      </c>
      <c r="AL799" s="13">
        <f>-IF(AG799="USD",IFERROR(VLOOKUP(D799,CAARStatus!$A$1:$Y$1600,11,FALSE),0),0)</f>
        <v>0</v>
      </c>
      <c r="AM799" s="22" t="str">
        <f t="shared" si="281"/>
        <v/>
      </c>
      <c r="AN799" s="12">
        <f t="shared" si="282"/>
        <v>23910</v>
      </c>
      <c r="AO799" s="12" t="str">
        <f t="shared" si="283"/>
        <v>Pend</v>
      </c>
      <c r="AP799" t="str">
        <f t="shared" si="268"/>
        <v>Pend</v>
      </c>
      <c r="AQ799" t="str">
        <f>IFERROR(VLOOKUP(Z799,InvBal!$L$4:$P$600,4,FALSE),"Pend")</f>
        <v>Pend</v>
      </c>
      <c r="AR799" t="str">
        <f>IFERROR(VLOOKUP(D799,Manual!$C$1:$E$22,2,FALSE),"Pend")</f>
        <v>Pend</v>
      </c>
      <c r="AS799" t="str">
        <f t="shared" si="284"/>
        <v/>
      </c>
      <c r="AT799" t="str">
        <f t="shared" si="285"/>
        <v/>
      </c>
      <c r="AU799" s="51" t="str">
        <f t="shared" si="286"/>
        <v/>
      </c>
      <c r="AV799" s="12">
        <f>IFERROR(VLOOKUP(D799,'Receivable Invoice Detail'!$S$1:$U$3014,3,FALSE),0)</f>
        <v>0</v>
      </c>
      <c r="AW799" s="12">
        <f t="shared" si="287"/>
        <v>0</v>
      </c>
    </row>
    <row r="800" spans="1:49" ht="30" x14ac:dyDescent="0.25">
      <c r="A800" s="2">
        <v>1</v>
      </c>
      <c r="B800" s="2" t="s">
        <v>932</v>
      </c>
      <c r="C800" s="2" t="s">
        <v>933</v>
      </c>
      <c r="D800" s="2" t="s">
        <v>3038</v>
      </c>
      <c r="E800" s="2" t="s">
        <v>80</v>
      </c>
      <c r="F800" s="3">
        <v>45863.646458333344</v>
      </c>
      <c r="G800" s="3">
        <v>45866.645231481481</v>
      </c>
      <c r="H800" s="4">
        <v>45993</v>
      </c>
      <c r="I800" s="2" t="s">
        <v>36</v>
      </c>
      <c r="J800" s="2" t="s">
        <v>22</v>
      </c>
      <c r="K800" s="2">
        <v>1</v>
      </c>
      <c r="L800" s="2">
        <v>8080.61</v>
      </c>
      <c r="M800" s="2">
        <v>0</v>
      </c>
      <c r="N800" s="2">
        <v>5889.8170087713452</v>
      </c>
      <c r="O800" s="2">
        <v>7695.82</v>
      </c>
      <c r="P800" s="2">
        <v>384.79</v>
      </c>
      <c r="Q800" s="2">
        <v>8080.61</v>
      </c>
      <c r="R800" s="2" t="s">
        <v>44</v>
      </c>
      <c r="S800" s="2"/>
      <c r="T800" s="2">
        <f t="shared" si="269"/>
        <v>1</v>
      </c>
      <c r="U800" s="18">
        <f t="shared" si="270"/>
        <v>7</v>
      </c>
      <c r="V800" s="18">
        <f t="shared" si="271"/>
        <v>2025</v>
      </c>
      <c r="W800" s="18">
        <f t="shared" si="272"/>
        <v>11</v>
      </c>
      <c r="X800" s="18">
        <f t="shared" si="273"/>
        <v>2025</v>
      </c>
      <c r="Y800" s="2">
        <f t="shared" si="266"/>
        <v>0.72888272157316658</v>
      </c>
      <c r="Z800" t="str">
        <f t="shared" si="267"/>
        <v>SO17588</v>
      </c>
      <c r="AA800" s="11">
        <f t="shared" si="274"/>
        <v>45863.646458333344</v>
      </c>
      <c r="AB800" s="5" t="str">
        <f t="shared" si="275"/>
        <v>INV13427</v>
      </c>
      <c r="AC800" s="5" t="str">
        <f>IFERROR(VLOOKUP(D800,CAARStatus!$A$2:$AA$1600,22,FALSE),"Not invoiced")</f>
        <v>Paid</v>
      </c>
      <c r="AD800" s="11">
        <f>IF(AC800="Paid",IFERROR(VLOOKUP(D800,CAARStatus!$A$2:$AA$1600,6,FALSE),"Pending"),"Pending")</f>
        <v>45982</v>
      </c>
      <c r="AE800" s="5" t="str">
        <f t="shared" si="276"/>
        <v>4500606894</v>
      </c>
      <c r="AF800" s="5" t="str">
        <f t="shared" si="277"/>
        <v>Resolute Forest Products - Dolbeau</v>
      </c>
      <c r="AG800" s="5" t="str">
        <f t="shared" si="278"/>
        <v>CAD</v>
      </c>
      <c r="AH800" s="5">
        <f t="shared" si="279"/>
        <v>7695.82</v>
      </c>
      <c r="AI800" s="12">
        <f>IF(L800-N800=0,VLOOKUP(U800,rate!A$4:B$15,2,FALSE)*AH800,IF(AG800="USD",O800,AH800*Y800))</f>
        <v>5609.3502263372065</v>
      </c>
      <c r="AJ800" s="13">
        <f t="shared" si="280"/>
        <v>0.72888272157316658</v>
      </c>
      <c r="AK800" s="13">
        <f>-IF(AG800="CAD",IFERROR(VLOOKUP(D800,CAARStatus!$A$1:$Y$1600,16,FALSE),0),0)</f>
        <v>-7695.82</v>
      </c>
      <c r="AL800" s="13">
        <f>-IF(AG800="USD",IFERROR(VLOOKUP(D800,CAARStatus!$A$1:$Y$1600,11,FALSE),0),0)</f>
        <v>0</v>
      </c>
      <c r="AM800" s="22">
        <f t="shared" si="281"/>
        <v>0</v>
      </c>
      <c r="AN800" s="12" t="str">
        <f t="shared" si="282"/>
        <v/>
      </c>
      <c r="AO800" s="12" t="str">
        <f t="shared" si="283"/>
        <v>Yes</v>
      </c>
      <c r="AP800" t="str">
        <f t="shared" si="268"/>
        <v>Yes</v>
      </c>
      <c r="AQ800" t="str">
        <f>IFERROR(VLOOKUP(Z800,InvBal!$L$4:$P$600,4,FALSE),"Pend")</f>
        <v>Pend</v>
      </c>
      <c r="AR800" t="str">
        <f>IFERROR(VLOOKUP(D800,Manual!$C$1:$E$22,2,FALSE),"Pend")</f>
        <v>Pend</v>
      </c>
      <c r="AS800" t="str">
        <f t="shared" si="284"/>
        <v>Yes</v>
      </c>
      <c r="AT800" t="str">
        <f t="shared" si="285"/>
        <v>Yes</v>
      </c>
      <c r="AU800" s="51" t="str">
        <f t="shared" si="286"/>
        <v>Yes</v>
      </c>
      <c r="AV800" s="12">
        <f>IFERROR(VLOOKUP(D800,'Receivable Invoice Detail'!$S$1:$U$3014,3,FALSE),0)</f>
        <v>0</v>
      </c>
      <c r="AW800" s="12">
        <f t="shared" si="287"/>
        <v>5609.3502263372065</v>
      </c>
    </row>
    <row r="801" spans="1:49" ht="30" x14ac:dyDescent="0.25">
      <c r="A801" s="2">
        <v>1</v>
      </c>
      <c r="B801" s="2" t="s">
        <v>942</v>
      </c>
      <c r="C801" s="2" t="s">
        <v>943</v>
      </c>
      <c r="D801" s="2" t="s">
        <v>3033</v>
      </c>
      <c r="E801" s="2" t="s">
        <v>129</v>
      </c>
      <c r="F801" s="3">
        <v>45863.746458333328</v>
      </c>
      <c r="G801" s="3">
        <v>45863.74590277778</v>
      </c>
      <c r="H801" s="4">
        <v>45912</v>
      </c>
      <c r="I801" s="2" t="s">
        <v>130</v>
      </c>
      <c r="J801" s="2" t="s">
        <v>51</v>
      </c>
      <c r="K801" s="2">
        <v>0.73474516251328958</v>
      </c>
      <c r="L801" s="2">
        <v>489.96579816677399</v>
      </c>
      <c r="M801" s="2">
        <v>0</v>
      </c>
      <c r="N801" s="2">
        <v>360</v>
      </c>
      <c r="O801" s="2">
        <v>360</v>
      </c>
      <c r="P801" s="2"/>
      <c r="Q801" s="2">
        <v>360</v>
      </c>
      <c r="R801" s="2" t="s">
        <v>44</v>
      </c>
      <c r="S801" s="2"/>
      <c r="T801" s="2">
        <f t="shared" si="269"/>
        <v>1</v>
      </c>
      <c r="U801" s="18">
        <f t="shared" si="270"/>
        <v>7</v>
      </c>
      <c r="V801" s="18">
        <f t="shared" si="271"/>
        <v>2025</v>
      </c>
      <c r="W801" s="18" t="str">
        <f t="shared" si="272"/>
        <v/>
      </c>
      <c r="X801" s="18" t="str">
        <f t="shared" si="273"/>
        <v/>
      </c>
      <c r="Y801" s="2">
        <f t="shared" si="266"/>
        <v>0.73474516251328958</v>
      </c>
      <c r="Z801" t="str">
        <f t="shared" si="267"/>
        <v>SO17589</v>
      </c>
      <c r="AA801" s="11">
        <f t="shared" si="274"/>
        <v>45863.746458333328</v>
      </c>
      <c r="AB801" s="5" t="str">
        <f t="shared" si="275"/>
        <v>INV13370</v>
      </c>
      <c r="AC801" s="5" t="str">
        <f>IFERROR(VLOOKUP(D801,CAARStatus!$A$2:$AA$1600,22,FALSE),"Not invoiced")</f>
        <v>Approved</v>
      </c>
      <c r="AD801" s="11" t="str">
        <f>IF(AC801="Paid",IFERROR(VLOOKUP(D801,CAARStatus!$A$2:$AA$1600,6,FALSE),"Pending"),"Pending")</f>
        <v>Pending</v>
      </c>
      <c r="AE801" s="5" t="str">
        <f t="shared" si="276"/>
        <v>OC00190</v>
      </c>
      <c r="AF801" s="5" t="str">
        <f t="shared" si="277"/>
        <v>Dynapro Pumps México S de RL de CV</v>
      </c>
      <c r="AG801" s="5" t="str">
        <f t="shared" si="278"/>
        <v>USD</v>
      </c>
      <c r="AH801" s="5">
        <f t="shared" si="279"/>
        <v>489.96579816677399</v>
      </c>
      <c r="AI801" s="12">
        <f>IF(L801-N801=0,VLOOKUP(U801,rate!A$4:B$15,2,FALSE)*AH801,IF(AG801="USD",O801,AH801*Y801))</f>
        <v>360</v>
      </c>
      <c r="AJ801" s="13">
        <f t="shared" si="280"/>
        <v>0.73474516251328958</v>
      </c>
      <c r="AK801" s="13">
        <f>-IF(AG801="CAD",IFERROR(VLOOKUP(D801,CAARStatus!$A$1:$Y$1600,16,FALSE),0),0)</f>
        <v>0</v>
      </c>
      <c r="AL801" s="13">
        <f>-IF(AG801="USD",IFERROR(VLOOKUP(D801,CAARStatus!$A$1:$Y$1600,11,FALSE),0),0)</f>
        <v>-360</v>
      </c>
      <c r="AM801" s="22" t="str">
        <f t="shared" si="281"/>
        <v/>
      </c>
      <c r="AN801" s="12">
        <f t="shared" si="282"/>
        <v>0</v>
      </c>
      <c r="AO801" s="12" t="str">
        <f t="shared" si="283"/>
        <v>Pend</v>
      </c>
      <c r="AP801" t="str">
        <f t="shared" si="268"/>
        <v>Pend</v>
      </c>
      <c r="AQ801" t="str">
        <f>IFERROR(VLOOKUP(Z801,InvBal!$L$4:$P$600,4,FALSE),"Pend")</f>
        <v>Pend</v>
      </c>
      <c r="AR801" t="str">
        <f>IFERROR(VLOOKUP(D801,Manual!$C$1:$E$22,2,FALSE),"Pend")</f>
        <v>Pend</v>
      </c>
      <c r="AS801" t="str">
        <f t="shared" si="284"/>
        <v/>
      </c>
      <c r="AT801" t="str">
        <f t="shared" si="285"/>
        <v>Yes</v>
      </c>
      <c r="AU801" s="51" t="str">
        <f t="shared" si="286"/>
        <v/>
      </c>
      <c r="AV801" s="12">
        <f>IFERROR(VLOOKUP(D801,'Receivable Invoice Detail'!$S$1:$U$3014,3,FALSE),0)</f>
        <v>0</v>
      </c>
      <c r="AW801" s="12">
        <f t="shared" si="287"/>
        <v>0</v>
      </c>
    </row>
    <row r="802" spans="1:49" ht="30" x14ac:dyDescent="0.25">
      <c r="A802" s="2">
        <v>1</v>
      </c>
      <c r="B802" s="2" t="s">
        <v>938</v>
      </c>
      <c r="C802" s="2" t="s">
        <v>939</v>
      </c>
      <c r="D802" s="2" t="s">
        <v>3035</v>
      </c>
      <c r="E802" s="2" t="s">
        <v>129</v>
      </c>
      <c r="F802" s="3">
        <v>45863.810706018521</v>
      </c>
      <c r="G802" s="3">
        <v>45863.814699074072</v>
      </c>
      <c r="H802" s="4">
        <v>45925</v>
      </c>
      <c r="I802" s="2" t="s">
        <v>130</v>
      </c>
      <c r="J802" s="2" t="s">
        <v>51</v>
      </c>
      <c r="K802" s="2">
        <v>0.73474516251328958</v>
      </c>
      <c r="L802" s="2">
        <v>13885.08631360397</v>
      </c>
      <c r="M802" s="2">
        <v>0</v>
      </c>
      <c r="N802" s="2">
        <v>10202</v>
      </c>
      <c r="O802" s="2">
        <v>10202</v>
      </c>
      <c r="P802" s="2"/>
      <c r="Q802" s="2">
        <v>10202</v>
      </c>
      <c r="R802" s="2" t="s">
        <v>44</v>
      </c>
      <c r="S802" s="2"/>
      <c r="T802" s="2">
        <f t="shared" si="269"/>
        <v>1</v>
      </c>
      <c r="U802" s="18">
        <f t="shared" si="270"/>
        <v>7</v>
      </c>
      <c r="V802" s="18">
        <f t="shared" si="271"/>
        <v>2025</v>
      </c>
      <c r="W802" s="18" t="str">
        <f t="shared" si="272"/>
        <v/>
      </c>
      <c r="X802" s="18" t="str">
        <f t="shared" si="273"/>
        <v/>
      </c>
      <c r="Y802" s="2">
        <f t="shared" si="266"/>
        <v>0.73474516251328947</v>
      </c>
      <c r="Z802" t="str">
        <f t="shared" si="267"/>
        <v>SO17590</v>
      </c>
      <c r="AA802" s="11">
        <f t="shared" si="274"/>
        <v>45863.810706018521</v>
      </c>
      <c r="AB802" s="5" t="str">
        <f t="shared" si="275"/>
        <v>INV13470</v>
      </c>
      <c r="AC802" s="5" t="str">
        <f>IFERROR(VLOOKUP(D802,CAARStatus!$A$2:$AA$1600,22,FALSE),"Not invoiced")</f>
        <v>Approved</v>
      </c>
      <c r="AD802" s="11" t="str">
        <f>IF(AC802="Paid",IFERROR(VLOOKUP(D802,CAARStatus!$A$2:$AA$1600,6,FALSE),"Pending"),"Pending")</f>
        <v>Pending</v>
      </c>
      <c r="AE802" s="5" t="str">
        <f t="shared" si="276"/>
        <v>OC00191</v>
      </c>
      <c r="AF802" s="5" t="str">
        <f t="shared" si="277"/>
        <v>Dynapro Pumps México S de RL de CV</v>
      </c>
      <c r="AG802" s="5" t="str">
        <f t="shared" si="278"/>
        <v>USD</v>
      </c>
      <c r="AH802" s="5">
        <f t="shared" si="279"/>
        <v>13885.086313603968</v>
      </c>
      <c r="AI802" s="12">
        <f>IF(L802-N802=0,VLOOKUP(U802,rate!A$4:B$15,2,FALSE)*AH802,IF(AG802="USD",O802,AH802*Y802))</f>
        <v>10202</v>
      </c>
      <c r="AJ802" s="13">
        <f t="shared" si="280"/>
        <v>0.73474516251328958</v>
      </c>
      <c r="AK802" s="13">
        <f>-IF(AG802="CAD",IFERROR(VLOOKUP(D802,CAARStatus!$A$1:$Y$1600,16,FALSE),0),0)</f>
        <v>0</v>
      </c>
      <c r="AL802" s="13">
        <f>-IF(AG802="USD",IFERROR(VLOOKUP(D802,CAARStatus!$A$1:$Y$1600,11,FALSE),0),0)</f>
        <v>-10202</v>
      </c>
      <c r="AM802" s="22" t="str">
        <f t="shared" si="281"/>
        <v/>
      </c>
      <c r="AN802" s="12">
        <f t="shared" si="282"/>
        <v>0</v>
      </c>
      <c r="AO802" s="12" t="str">
        <f t="shared" si="283"/>
        <v>Pend</v>
      </c>
      <c r="AP802" t="str">
        <f t="shared" si="268"/>
        <v>Pend</v>
      </c>
      <c r="AQ802" t="str">
        <f>IFERROR(VLOOKUP(Z802,InvBal!$L$4:$P$600,4,FALSE),"Pend")</f>
        <v>Pend</v>
      </c>
      <c r="AR802" t="str">
        <f>IFERROR(VLOOKUP(D802,Manual!$C$1:$E$22,2,FALSE),"Pend")</f>
        <v>Pend</v>
      </c>
      <c r="AS802" t="str">
        <f t="shared" si="284"/>
        <v/>
      </c>
      <c r="AT802" t="str">
        <f t="shared" si="285"/>
        <v>Yes</v>
      </c>
      <c r="AU802" s="51" t="str">
        <f t="shared" si="286"/>
        <v/>
      </c>
      <c r="AV802" s="12">
        <f>IFERROR(VLOOKUP(D802,'Receivable Invoice Detail'!$S$1:$U$3014,3,FALSE),0)</f>
        <v>0</v>
      </c>
      <c r="AW802" s="12">
        <f t="shared" si="287"/>
        <v>0</v>
      </c>
    </row>
    <row r="803" spans="1:49" x14ac:dyDescent="0.25">
      <c r="A803" s="2">
        <v>1</v>
      </c>
      <c r="B803" s="2" t="s">
        <v>597</v>
      </c>
      <c r="C803" s="2" t="s">
        <v>598</v>
      </c>
      <c r="D803" s="2" t="s">
        <v>3205</v>
      </c>
      <c r="E803" s="2" t="s">
        <v>599</v>
      </c>
      <c r="F803" s="3">
        <v>45866.39912037037</v>
      </c>
      <c r="G803" s="3">
        <v>45919.653217592589</v>
      </c>
      <c r="H803" s="4">
        <v>45961</v>
      </c>
      <c r="I803" s="2" t="s">
        <v>40</v>
      </c>
      <c r="J803" s="2" t="s">
        <v>51</v>
      </c>
      <c r="K803" s="2">
        <v>0.72474982902255658</v>
      </c>
      <c r="L803" s="2">
        <v>6099.4702212788197</v>
      </c>
      <c r="M803" s="2">
        <v>0</v>
      </c>
      <c r="N803" s="2">
        <v>4420.59</v>
      </c>
      <c r="O803" s="2">
        <v>4420.59</v>
      </c>
      <c r="P803" s="2"/>
      <c r="Q803" s="2">
        <v>4420.59</v>
      </c>
      <c r="R803" s="2" t="s">
        <v>44</v>
      </c>
      <c r="S803" s="2"/>
      <c r="T803" s="2">
        <f t="shared" si="269"/>
        <v>1</v>
      </c>
      <c r="U803" s="18">
        <f t="shared" si="270"/>
        <v>7</v>
      </c>
      <c r="V803" s="18">
        <f t="shared" si="271"/>
        <v>2025</v>
      </c>
      <c r="W803" s="18">
        <f t="shared" si="272"/>
        <v>9</v>
      </c>
      <c r="X803" s="18">
        <f t="shared" si="273"/>
        <v>2025</v>
      </c>
      <c r="Y803" s="2">
        <f t="shared" si="266"/>
        <v>0.72474982902255658</v>
      </c>
      <c r="Z803" t="str">
        <f t="shared" si="267"/>
        <v>SO17593</v>
      </c>
      <c r="AA803" s="11">
        <f t="shared" si="274"/>
        <v>45866.39912037037</v>
      </c>
      <c r="AB803" s="5" t="str">
        <f t="shared" si="275"/>
        <v>INV13588</v>
      </c>
      <c r="AC803" s="5" t="str">
        <f>IFERROR(VLOOKUP(D803,CAARStatus!$A$2:$AA$1600,22,FALSE),"Not invoiced")</f>
        <v>Paid</v>
      </c>
      <c r="AD803" s="11">
        <f>IF(AC803="Paid",IFERROR(VLOOKUP(D803,CAARStatus!$A$2:$AA$1600,6,FALSE),"Pending"),"Pending")</f>
        <v>45922</v>
      </c>
      <c r="AE803" s="5" t="str">
        <f t="shared" si="276"/>
        <v>PO2517723-250985</v>
      </c>
      <c r="AF803" s="5" t="str">
        <f t="shared" si="277"/>
        <v>CK Loosbrock USA LLC</v>
      </c>
      <c r="AG803" s="5" t="str">
        <f t="shared" si="278"/>
        <v>USD</v>
      </c>
      <c r="AH803" s="5">
        <f t="shared" si="279"/>
        <v>6099.4702212788197</v>
      </c>
      <c r="AI803" s="12">
        <f>IF(L803-N803=0,VLOOKUP(U803,rate!A$4:B$15,2,FALSE)*AH803,IF(AG803="USD",O803,AH803*Y803))</f>
        <v>4420.59</v>
      </c>
      <c r="AJ803" s="13">
        <f t="shared" si="280"/>
        <v>0.72474982902255658</v>
      </c>
      <c r="AK803" s="13">
        <f>-IF(AG803="CAD",IFERROR(VLOOKUP(D803,CAARStatus!$A$1:$Y$1600,16,FALSE),0),0)</f>
        <v>0</v>
      </c>
      <c r="AL803" s="13">
        <f>-IF(AG803="USD",IFERROR(VLOOKUP(D803,CAARStatus!$A$1:$Y$1600,11,FALSE),0),0)</f>
        <v>-4420.59</v>
      </c>
      <c r="AM803" s="22" t="str">
        <f t="shared" si="281"/>
        <v/>
      </c>
      <c r="AN803" s="12">
        <f t="shared" si="282"/>
        <v>0</v>
      </c>
      <c r="AO803" s="12" t="str">
        <f t="shared" si="283"/>
        <v>Yes</v>
      </c>
      <c r="AP803" t="str">
        <f t="shared" si="268"/>
        <v>Yes</v>
      </c>
      <c r="AQ803" t="str">
        <f>IFERROR(VLOOKUP(Z803,InvBal!$L$4:$P$600,4,FALSE),"Pend")</f>
        <v>Pend</v>
      </c>
      <c r="AR803" t="str">
        <f>IFERROR(VLOOKUP(D803,Manual!$C$1:$E$22,2,FALSE),"Pend")</f>
        <v>Pend</v>
      </c>
      <c r="AS803" t="str">
        <f t="shared" si="284"/>
        <v>Yes</v>
      </c>
      <c r="AT803" t="str">
        <f t="shared" si="285"/>
        <v>Yes</v>
      </c>
      <c r="AU803" s="51" t="str">
        <f t="shared" si="286"/>
        <v>Yes</v>
      </c>
      <c r="AV803" s="12">
        <f>IFERROR(VLOOKUP(D803,'Receivable Invoice Detail'!$S$1:$U$3014,3,FALSE),0)</f>
        <v>0</v>
      </c>
      <c r="AW803" s="12">
        <f t="shared" si="287"/>
        <v>4420.59</v>
      </c>
    </row>
    <row r="804" spans="1:49" x14ac:dyDescent="0.25">
      <c r="A804" s="2">
        <v>1</v>
      </c>
      <c r="B804" s="2" t="s">
        <v>934</v>
      </c>
      <c r="C804" s="2" t="s">
        <v>935</v>
      </c>
      <c r="D804" s="2" t="s">
        <v>3037</v>
      </c>
      <c r="E804" s="2" t="s">
        <v>70</v>
      </c>
      <c r="F804" s="3">
        <v>45866.559733796297</v>
      </c>
      <c r="G804" s="3">
        <v>45866.559861111113</v>
      </c>
      <c r="H804" s="4">
        <v>45873</v>
      </c>
      <c r="I804" s="2" t="s">
        <v>71</v>
      </c>
      <c r="J804" s="2" t="s">
        <v>51</v>
      </c>
      <c r="K804" s="2">
        <v>0.7300328435617468</v>
      </c>
      <c r="L804" s="2">
        <v>2679.8246370055672</v>
      </c>
      <c r="M804" s="2">
        <v>0</v>
      </c>
      <c r="N804" s="2">
        <v>1956.36</v>
      </c>
      <c r="O804" s="2">
        <v>1956.36</v>
      </c>
      <c r="P804" s="2"/>
      <c r="Q804" s="2">
        <v>1956.36</v>
      </c>
      <c r="R804" s="2" t="s">
        <v>44</v>
      </c>
      <c r="S804" s="2"/>
      <c r="T804" s="2">
        <f t="shared" si="269"/>
        <v>1</v>
      </c>
      <c r="U804" s="18">
        <f t="shared" si="270"/>
        <v>7</v>
      </c>
      <c r="V804" s="18">
        <f t="shared" si="271"/>
        <v>2025</v>
      </c>
      <c r="W804" s="18">
        <f t="shared" si="272"/>
        <v>10</v>
      </c>
      <c r="X804" s="18">
        <f t="shared" si="273"/>
        <v>2025</v>
      </c>
      <c r="Y804" s="2">
        <f t="shared" si="266"/>
        <v>0.73003284356174669</v>
      </c>
      <c r="Z804" t="str">
        <f t="shared" si="267"/>
        <v>SO17595</v>
      </c>
      <c r="AA804" s="11">
        <f t="shared" si="274"/>
        <v>45866.559733796297</v>
      </c>
      <c r="AB804" s="5" t="str">
        <f t="shared" si="275"/>
        <v>INV13241</v>
      </c>
      <c r="AC804" s="5" t="str">
        <f>IFERROR(VLOOKUP(D804,CAARStatus!$A$2:$AA$1600,22,FALSE),"Not invoiced")</f>
        <v>Paid</v>
      </c>
      <c r="AD804" s="11">
        <f>IF(AC804="Paid",IFERROR(VLOOKUP(D804,CAARStatus!$A$2:$AA$1600,6,FALSE),"Pending"),"Pending")</f>
        <v>45951</v>
      </c>
      <c r="AE804" s="5" t="str">
        <f t="shared" si="276"/>
        <v>P363948</v>
      </c>
      <c r="AF804" s="5" t="str">
        <f t="shared" si="277"/>
        <v>Covia Corp - Junction City</v>
      </c>
      <c r="AG804" s="5" t="str">
        <f t="shared" si="278"/>
        <v>USD</v>
      </c>
      <c r="AH804" s="5">
        <f t="shared" si="279"/>
        <v>2679.8246370055667</v>
      </c>
      <c r="AI804" s="12">
        <f>IF(L804-N804=0,VLOOKUP(U804,rate!A$4:B$15,2,FALSE)*AH804,IF(AG804="USD",O804,AH804*Y804))</f>
        <v>1956.36</v>
      </c>
      <c r="AJ804" s="13">
        <f t="shared" si="280"/>
        <v>0.7300328435617468</v>
      </c>
      <c r="AK804" s="13">
        <f>-IF(AG804="CAD",IFERROR(VLOOKUP(D804,CAARStatus!$A$1:$Y$1600,16,FALSE),0),0)</f>
        <v>0</v>
      </c>
      <c r="AL804" s="13">
        <f>-IF(AG804="USD",IFERROR(VLOOKUP(D804,CAARStatus!$A$1:$Y$1600,11,FALSE),0),0)</f>
        <v>-1795.04</v>
      </c>
      <c r="AM804" s="22" t="str">
        <f t="shared" si="281"/>
        <v/>
      </c>
      <c r="AN804" s="12">
        <f t="shared" si="282"/>
        <v>161.31999999999994</v>
      </c>
      <c r="AO804" s="12" t="str">
        <f t="shared" si="283"/>
        <v>Yes</v>
      </c>
      <c r="AP804" t="str">
        <f t="shared" si="268"/>
        <v>Yes</v>
      </c>
      <c r="AQ804" t="str">
        <f>IFERROR(VLOOKUP(Z804,InvBal!$L$4:$P$600,4,FALSE),"Pend")</f>
        <v>Pend</v>
      </c>
      <c r="AR804" t="str">
        <f>IFERROR(VLOOKUP(D804,Manual!$C$1:$E$22,2,FALSE),"Pend")</f>
        <v>Pend</v>
      </c>
      <c r="AS804" t="str">
        <f t="shared" si="284"/>
        <v>Yes</v>
      </c>
      <c r="AT804" t="str">
        <f t="shared" si="285"/>
        <v>Yes</v>
      </c>
      <c r="AU804" s="51" t="str">
        <f t="shared" si="286"/>
        <v>Yes</v>
      </c>
      <c r="AV804" s="12">
        <f>IFERROR(VLOOKUP(D804,'Receivable Invoice Detail'!$S$1:$U$3014,3,FALSE),0)</f>
        <v>0</v>
      </c>
      <c r="AW804" s="12">
        <f t="shared" si="287"/>
        <v>1956.36</v>
      </c>
    </row>
    <row r="805" spans="1:49" ht="30" x14ac:dyDescent="0.25">
      <c r="A805" s="2">
        <v>1</v>
      </c>
      <c r="B805" s="2" t="s">
        <v>930</v>
      </c>
      <c r="C805" s="2" t="s">
        <v>931</v>
      </c>
      <c r="D805" s="2" t="s">
        <v>3039</v>
      </c>
      <c r="E805" s="2" t="s">
        <v>104</v>
      </c>
      <c r="F805" s="3">
        <v>45866.615902777783</v>
      </c>
      <c r="G805" s="3">
        <v>45866.692754629628</v>
      </c>
      <c r="H805" s="4">
        <v>45873</v>
      </c>
      <c r="I805" s="2" t="s">
        <v>36</v>
      </c>
      <c r="J805" s="2" t="s">
        <v>22</v>
      </c>
      <c r="K805" s="2">
        <v>1</v>
      </c>
      <c r="L805" s="2">
        <v>275.89999999999998</v>
      </c>
      <c r="M805" s="2">
        <v>0</v>
      </c>
      <c r="N805" s="2">
        <v>201.09874288203659</v>
      </c>
      <c r="O805" s="2">
        <v>262.76</v>
      </c>
      <c r="P805" s="2">
        <v>13.14</v>
      </c>
      <c r="Q805" s="2">
        <v>275.89999999999998</v>
      </c>
      <c r="R805" s="2" t="s">
        <v>44</v>
      </c>
      <c r="S805" s="2"/>
      <c r="T805" s="2">
        <f t="shared" si="269"/>
        <v>1</v>
      </c>
      <c r="U805" s="18">
        <f t="shared" si="270"/>
        <v>7</v>
      </c>
      <c r="V805" s="18">
        <f t="shared" si="271"/>
        <v>2025</v>
      </c>
      <c r="W805" s="18">
        <f t="shared" si="272"/>
        <v>9</v>
      </c>
      <c r="X805" s="18">
        <f t="shared" si="273"/>
        <v>2025</v>
      </c>
      <c r="Y805" s="2">
        <f t="shared" si="266"/>
        <v>0.72888272157316636</v>
      </c>
      <c r="Z805" t="str">
        <f t="shared" si="267"/>
        <v>SO17596</v>
      </c>
      <c r="AA805" s="11">
        <f t="shared" si="274"/>
        <v>45866.615902777783</v>
      </c>
      <c r="AB805" s="5" t="str">
        <f t="shared" si="275"/>
        <v>INV13246</v>
      </c>
      <c r="AC805" s="5" t="str">
        <f>IFERROR(VLOOKUP(D805,CAARStatus!$A$2:$AA$1600,22,FALSE),"Not invoiced")</f>
        <v>Paid</v>
      </c>
      <c r="AD805" s="11">
        <f>IF(AC805="Paid",IFERROR(VLOOKUP(D805,CAARStatus!$A$2:$AA$1600,6,FALSE),"Pending"),"Pending")</f>
        <v>45903</v>
      </c>
      <c r="AE805" s="5" t="str">
        <f t="shared" si="276"/>
        <v>2100622308</v>
      </c>
      <c r="AF805" s="5" t="str">
        <f t="shared" si="277"/>
        <v>Wajax Limited - Noranda, Wajax Limited - Noranda</v>
      </c>
      <c r="AG805" s="5" t="str">
        <f t="shared" si="278"/>
        <v>CAD</v>
      </c>
      <c r="AH805" s="5">
        <f t="shared" si="279"/>
        <v>262.76</v>
      </c>
      <c r="AI805" s="12">
        <f>IF(L805-N805=0,VLOOKUP(U805,rate!A$4:B$15,2,FALSE)*AH805,IF(AG805="USD",O805,AH805*Y805))</f>
        <v>191.52122392056518</v>
      </c>
      <c r="AJ805" s="13">
        <f t="shared" si="280"/>
        <v>0.72888272157316636</v>
      </c>
      <c r="AK805" s="13">
        <f>-IF(AG805="CAD",IFERROR(VLOOKUP(D805,CAARStatus!$A$1:$Y$1600,16,FALSE),0),0)</f>
        <v>-262.76</v>
      </c>
      <c r="AL805" s="13">
        <f>-IF(AG805="USD",IFERROR(VLOOKUP(D805,CAARStatus!$A$1:$Y$1600,11,FALSE),0),0)</f>
        <v>0</v>
      </c>
      <c r="AM805" s="22">
        <f t="shared" si="281"/>
        <v>0</v>
      </c>
      <c r="AN805" s="12" t="str">
        <f t="shared" si="282"/>
        <v/>
      </c>
      <c r="AO805" s="12" t="str">
        <f t="shared" si="283"/>
        <v>Yes</v>
      </c>
      <c r="AP805" t="str">
        <f t="shared" si="268"/>
        <v>Yes</v>
      </c>
      <c r="AQ805" t="str">
        <f>IFERROR(VLOOKUP(Z805,InvBal!$L$4:$P$600,4,FALSE),"Pend")</f>
        <v>Pend</v>
      </c>
      <c r="AR805" t="str">
        <f>IFERROR(VLOOKUP(D805,Manual!$C$1:$E$22,2,FALSE),"Pend")</f>
        <v>Pend</v>
      </c>
      <c r="AS805" t="str">
        <f t="shared" si="284"/>
        <v>Yes</v>
      </c>
      <c r="AT805" t="str">
        <f t="shared" si="285"/>
        <v>Yes</v>
      </c>
      <c r="AU805" s="51" t="str">
        <f t="shared" si="286"/>
        <v>Yes</v>
      </c>
      <c r="AV805" s="12">
        <f>IFERROR(VLOOKUP(D805,'Receivable Invoice Detail'!$S$1:$U$3014,3,FALSE),0)</f>
        <v>0</v>
      </c>
      <c r="AW805" s="12">
        <f t="shared" si="287"/>
        <v>191.52122392056518</v>
      </c>
    </row>
    <row r="806" spans="1:49" ht="45" x14ac:dyDescent="0.25">
      <c r="A806" s="2">
        <v>2</v>
      </c>
      <c r="B806" s="2" t="s">
        <v>928</v>
      </c>
      <c r="C806" s="2" t="s">
        <v>929</v>
      </c>
      <c r="D806" s="2" t="s">
        <v>3041</v>
      </c>
      <c r="E806" s="2" t="s">
        <v>6167</v>
      </c>
      <c r="F806" s="3">
        <v>45866.726770833331</v>
      </c>
      <c r="G806" s="3">
        <v>45866.721006944441</v>
      </c>
      <c r="H806" s="4">
        <v>45868</v>
      </c>
      <c r="I806" s="2" t="s">
        <v>36</v>
      </c>
      <c r="J806" s="2" t="s">
        <v>22</v>
      </c>
      <c r="K806" s="2">
        <v>1</v>
      </c>
      <c r="L806" s="2">
        <v>2065.2800000000002</v>
      </c>
      <c r="M806" s="2">
        <v>0</v>
      </c>
      <c r="N806" s="2">
        <v>1505.34690721063</v>
      </c>
      <c r="O806" s="2">
        <v>1966.94</v>
      </c>
      <c r="P806" s="2">
        <v>98.34</v>
      </c>
      <c r="Q806" s="2">
        <v>2065.2800000000002</v>
      </c>
      <c r="R806" s="2" t="s">
        <v>44</v>
      </c>
      <c r="S806" s="2"/>
      <c r="T806" s="2">
        <f t="shared" si="269"/>
        <v>2</v>
      </c>
      <c r="U806" s="18">
        <f t="shared" si="270"/>
        <v>7</v>
      </c>
      <c r="V806" s="18">
        <f t="shared" si="271"/>
        <v>2025</v>
      </c>
      <c r="W806" s="18">
        <f t="shared" si="272"/>
        <v>9</v>
      </c>
      <c r="X806" s="18">
        <f t="shared" si="273"/>
        <v>2025</v>
      </c>
      <c r="Y806" s="2">
        <f t="shared" si="266"/>
        <v>0.7288827215731668</v>
      </c>
      <c r="Z806" t="str">
        <f t="shared" si="267"/>
        <v>SO17597</v>
      </c>
      <c r="AA806" s="11">
        <f t="shared" si="274"/>
        <v>45866.726770833331</v>
      </c>
      <c r="AB806" s="5" t="str">
        <f t="shared" si="275"/>
        <v>INV13313</v>
      </c>
      <c r="AC806" s="5" t="str">
        <f>IFERROR(VLOOKUP(D806,CAARStatus!$A$2:$AA$1600,22,FALSE),"Not invoiced")</f>
        <v>Paid</v>
      </c>
      <c r="AD806" s="11">
        <f>IF(AC806="Paid",IFERROR(VLOOKUP(D806,CAARStatus!$A$2:$AA$1600,6,FALSE),"Pending"),"Pending")</f>
        <v>45917</v>
      </c>
      <c r="AE806" s="5" t="str">
        <f t="shared" si="276"/>
        <v>L66377-T</v>
      </c>
      <c r="AF806" s="5" t="str">
        <f t="shared" si="277"/>
        <v>Wild Rows Pump &amp; Compression LTD., Wild Rows Pump &amp; Compression LTD.</v>
      </c>
      <c r="AG806" s="5" t="str">
        <f t="shared" si="278"/>
        <v>CAD</v>
      </c>
      <c r="AH806" s="5">
        <f t="shared" si="279"/>
        <v>1966.94</v>
      </c>
      <c r="AI806" s="12">
        <f>IF(L806-N806=0,VLOOKUP(U806,rate!A$4:B$15,2,FALSE)*AH806,IF(AG806="USD",O806,AH806*Y806))</f>
        <v>1433.6685803711248</v>
      </c>
      <c r="AJ806" s="13">
        <f t="shared" si="280"/>
        <v>0.7288827215731668</v>
      </c>
      <c r="AK806" s="61">
        <f>IF(AC806="Paid",-IF(AG806="CAD",IFERROR(VLOOKUP(D806,CAARStatus!$A$1:$Y$1600,16,FALSE),0),0),0)</f>
        <v>-961.91</v>
      </c>
      <c r="AL806" s="61">
        <f>IF(AC806="Paid",-IF(AG806="USD",IFERROR(VLOOKUP(D806,CAARStatus!$A$1:$Y$1600,11,FALSE),0),0),0)</f>
        <v>0</v>
      </c>
      <c r="AM806" s="22">
        <f t="shared" si="281"/>
        <v>1005.0300000000001</v>
      </c>
      <c r="AN806" s="12" t="str">
        <f t="shared" si="282"/>
        <v/>
      </c>
      <c r="AO806" s="12" t="str">
        <f t="shared" si="283"/>
        <v>Yes</v>
      </c>
      <c r="AP806" t="str">
        <f t="shared" si="268"/>
        <v>XX</v>
      </c>
      <c r="AQ806" t="str">
        <f>IFERROR(VLOOKUP(Z806,InvBal!$L$4:$P$600,4,FALSE),"Pend")</f>
        <v>Yes</v>
      </c>
      <c r="AR806" t="str">
        <f>IFERROR(VLOOKUP(D806,Manual!$C$1:$E$22,2,FALSE),"Pend")</f>
        <v>Pend</v>
      </c>
      <c r="AS806" t="str">
        <f t="shared" si="284"/>
        <v>Yes</v>
      </c>
      <c r="AT806" t="str">
        <f t="shared" si="285"/>
        <v>Yes</v>
      </c>
      <c r="AU806" s="51" t="str">
        <f t="shared" si="286"/>
        <v>Yes</v>
      </c>
      <c r="AV806" s="12">
        <f>IFERROR(VLOOKUP(D806,'Receivable Invoice Detail'!$S$1:$U$3014,3,FALSE),0)</f>
        <v>0</v>
      </c>
      <c r="AW806" s="12">
        <f t="shared" si="287"/>
        <v>1433.6685803711248</v>
      </c>
    </row>
    <row r="807" spans="1:49" x14ac:dyDescent="0.25">
      <c r="A807" s="2"/>
      <c r="B807" s="2"/>
      <c r="C807" s="2"/>
      <c r="D807" s="2" t="s">
        <v>3040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f t="shared" si="269"/>
        <v>2</v>
      </c>
      <c r="U807" s="18">
        <f t="shared" si="270"/>
        <v>7</v>
      </c>
      <c r="V807" s="18">
        <f t="shared" si="271"/>
        <v>2025</v>
      </c>
      <c r="W807" s="18">
        <f t="shared" si="272"/>
        <v>8</v>
      </c>
      <c r="X807" s="18">
        <f t="shared" si="273"/>
        <v>2025</v>
      </c>
      <c r="Y807" s="2">
        <f t="shared" si="266"/>
        <v>0.7288827215731668</v>
      </c>
      <c r="Z807" t="str">
        <f t="shared" si="267"/>
        <v>SO17597</v>
      </c>
      <c r="AA807" s="11">
        <f t="shared" si="274"/>
        <v>45866.726770833331</v>
      </c>
      <c r="AB807" s="5" t="str">
        <f t="shared" si="275"/>
        <v>INV13264</v>
      </c>
      <c r="AC807" s="5" t="str">
        <f>IFERROR(VLOOKUP(D807,CAARStatus!$A$2:$AA$1600,22,FALSE),"Not invoiced")</f>
        <v>Paid</v>
      </c>
      <c r="AD807" s="11">
        <f>IF(AC807="Paid",IFERROR(VLOOKUP(D807,CAARStatus!$A$2:$AA$1600,6,FALSE),"Pending"),"Pending")</f>
        <v>45896</v>
      </c>
      <c r="AE807" s="5" t="str">
        <f t="shared" si="276"/>
        <v>L66377-T</v>
      </c>
      <c r="AF807" s="5" t="str">
        <f t="shared" si="277"/>
        <v>Wild Rows Pump &amp; Compression LTD., Wild Rows Pump &amp; Compression LTD.</v>
      </c>
      <c r="AG807" s="5" t="str">
        <f t="shared" si="278"/>
        <v>CAD</v>
      </c>
      <c r="AH807" s="5">
        <f t="shared" si="279"/>
        <v>0</v>
      </c>
      <c r="AI807" s="12">
        <f>IF(L807-N807=0,VLOOKUP(U807,rate!A$4:B$15,2,FALSE)*AH807,IF(AG807="USD",O807,AH807*Y807))</f>
        <v>0</v>
      </c>
      <c r="AJ807" s="13">
        <f t="shared" si="280"/>
        <v>0</v>
      </c>
      <c r="AK807" s="13">
        <f>-IF(AG807="CAD",IFERROR(VLOOKUP(D807,CAARStatus!$A$1:$Y$1600,16,FALSE),0),0)</f>
        <v>-1005.03</v>
      </c>
      <c r="AL807" s="13">
        <f>-IF(AG807="USD",IFERROR(VLOOKUP(D807,CAARStatus!$A$1:$Y$1600,11,FALSE),0),0)</f>
        <v>0</v>
      </c>
      <c r="AM807" s="22">
        <f t="shared" si="281"/>
        <v>-1005.03</v>
      </c>
      <c r="AN807" s="12" t="str">
        <f t="shared" si="282"/>
        <v/>
      </c>
      <c r="AO807" s="12" t="str">
        <f t="shared" si="283"/>
        <v>Yes</v>
      </c>
      <c r="AP807" t="str">
        <f t="shared" si="268"/>
        <v>XX</v>
      </c>
      <c r="AQ807" t="str">
        <f>IFERROR(VLOOKUP(Z807,InvBal!$L$4:$P$600,4,FALSE),"Pend")</f>
        <v>Yes</v>
      </c>
      <c r="AR807" t="str">
        <f>IFERROR(VLOOKUP(D807,Manual!$C$1:$E$22,2,FALSE),"Pend")</f>
        <v>Pend</v>
      </c>
      <c r="AS807" t="str">
        <f t="shared" si="284"/>
        <v>Yes</v>
      </c>
      <c r="AT807" t="str">
        <f t="shared" si="285"/>
        <v/>
      </c>
      <c r="AU807" s="51" t="str">
        <f t="shared" si="286"/>
        <v/>
      </c>
      <c r="AV807" s="12">
        <f>IFERROR(VLOOKUP(D807,'Receivable Invoice Detail'!$S$1:$U$3014,3,FALSE),0)</f>
        <v>0</v>
      </c>
      <c r="AW807" s="12">
        <f t="shared" si="287"/>
        <v>0</v>
      </c>
    </row>
    <row r="808" spans="1:49" ht="30" x14ac:dyDescent="0.25">
      <c r="A808" s="2">
        <v>1</v>
      </c>
      <c r="B808" s="2" t="s">
        <v>910</v>
      </c>
      <c r="C808" s="2" t="s">
        <v>911</v>
      </c>
      <c r="D808" s="2" t="s">
        <v>3051</v>
      </c>
      <c r="E808" s="2" t="s">
        <v>98</v>
      </c>
      <c r="F808" s="3">
        <v>45867.356365740743</v>
      </c>
      <c r="G808" s="3">
        <v>45870.568009259259</v>
      </c>
      <c r="H808" s="4">
        <v>45901</v>
      </c>
      <c r="I808" s="2" t="s">
        <v>40</v>
      </c>
      <c r="J808" s="2" t="s">
        <v>22</v>
      </c>
      <c r="K808" s="2">
        <v>1</v>
      </c>
      <c r="L808" s="2">
        <v>5632.13</v>
      </c>
      <c r="M808" s="2">
        <v>5632.13</v>
      </c>
      <c r="N808" s="2">
        <v>5632.13</v>
      </c>
      <c r="O808" s="2">
        <v>4984.1899999999996</v>
      </c>
      <c r="P808" s="2">
        <v>647.94000000000005</v>
      </c>
      <c r="Q808" s="2">
        <v>5632.13</v>
      </c>
      <c r="R808" s="2" t="s">
        <v>44</v>
      </c>
      <c r="S808" s="2"/>
      <c r="T808" s="2">
        <f t="shared" si="269"/>
        <v>1</v>
      </c>
      <c r="U808" s="18">
        <f t="shared" si="270"/>
        <v>7</v>
      </c>
      <c r="V808" s="18">
        <f t="shared" si="271"/>
        <v>2025</v>
      </c>
      <c r="W808" s="18">
        <f t="shared" si="272"/>
        <v>9</v>
      </c>
      <c r="X808" s="18">
        <f t="shared" si="273"/>
        <v>2025</v>
      </c>
      <c r="Y808" s="2">
        <f t="shared" si="266"/>
        <v>1</v>
      </c>
      <c r="Z808" t="str">
        <f t="shared" si="267"/>
        <v>SO17598</v>
      </c>
      <c r="AA808" s="11">
        <f t="shared" si="274"/>
        <v>45867.356365740743</v>
      </c>
      <c r="AB808" s="5" t="str">
        <f t="shared" si="275"/>
        <v>INV13327</v>
      </c>
      <c r="AC808" s="5" t="str">
        <f>IFERROR(VLOOKUP(D808,CAARStatus!$A$2:$AA$1600,22,FALSE),"Not invoiced")</f>
        <v>Paid</v>
      </c>
      <c r="AD808" s="11">
        <f>IF(AC808="Paid",IFERROR(VLOOKUP(D808,CAARStatus!$A$2:$AA$1600,6,FALSE),"Pending"),"Pending")</f>
        <v>45924</v>
      </c>
      <c r="AE808" s="5" t="str">
        <f t="shared" si="276"/>
        <v>PO-008147</v>
      </c>
      <c r="AF808" s="5" t="str">
        <f t="shared" si="277"/>
        <v>Sling-Choker Manufacturing - Timmins</v>
      </c>
      <c r="AG808" s="5" t="str">
        <f t="shared" si="278"/>
        <v>CAD</v>
      </c>
      <c r="AH808" s="5">
        <f t="shared" si="279"/>
        <v>4984.1899999999996</v>
      </c>
      <c r="AI808" s="12">
        <f>IF(L808-N808=0,VLOOKUP(U808,rate!A$4:B$15,2,FALSE)*AH808,IF(AG808="USD",O808,AH808*Y808))</f>
        <v>3636.2550125670141</v>
      </c>
      <c r="AJ808" s="13">
        <f t="shared" si="280"/>
        <v>0.72955786448089144</v>
      </c>
      <c r="AK808" s="13">
        <f>-IF(AG808="CAD",IFERROR(VLOOKUP(D808,CAARStatus!$A$1:$Y$1600,16,FALSE),0),0)</f>
        <v>-4984.1899999999996</v>
      </c>
      <c r="AL808" s="13">
        <f>-IF(AG808="USD",IFERROR(VLOOKUP(D808,CAARStatus!$A$1:$Y$1600,11,FALSE),0),0)</f>
        <v>0</v>
      </c>
      <c r="AM808" s="22">
        <f t="shared" si="281"/>
        <v>0</v>
      </c>
      <c r="AN808" s="12" t="str">
        <f t="shared" si="282"/>
        <v/>
      </c>
      <c r="AO808" s="12" t="str">
        <f t="shared" si="283"/>
        <v>Yes</v>
      </c>
      <c r="AP808" t="str">
        <f t="shared" si="268"/>
        <v>Yes</v>
      </c>
      <c r="AQ808" t="str">
        <f>IFERROR(VLOOKUP(Z808,InvBal!$L$4:$P$600,4,FALSE),"Pend")</f>
        <v>Pend</v>
      </c>
      <c r="AR808" t="str">
        <f>IFERROR(VLOOKUP(D808,Manual!$C$1:$E$22,2,FALSE),"Pend")</f>
        <v>Pend</v>
      </c>
      <c r="AS808" t="str">
        <f t="shared" si="284"/>
        <v>Yes</v>
      </c>
      <c r="AT808" t="str">
        <f t="shared" si="285"/>
        <v>Yes</v>
      </c>
      <c r="AU808" s="51" t="str">
        <f t="shared" si="286"/>
        <v>Yes</v>
      </c>
      <c r="AV808" s="12">
        <f>IFERROR(VLOOKUP(D808,'Receivable Invoice Detail'!$S$1:$U$3014,3,FALSE),0)</f>
        <v>0</v>
      </c>
      <c r="AW808" s="12">
        <f t="shared" si="287"/>
        <v>3636.2550125670141</v>
      </c>
    </row>
    <row r="809" spans="1:49" x14ac:dyDescent="0.25">
      <c r="A809" s="2">
        <v>2</v>
      </c>
      <c r="B809" s="2" t="s">
        <v>922</v>
      </c>
      <c r="C809" s="2" t="s">
        <v>923</v>
      </c>
      <c r="D809" s="2" t="s">
        <v>3045</v>
      </c>
      <c r="E809" s="2" t="s">
        <v>109</v>
      </c>
      <c r="F809" s="3">
        <v>45868.375497685192</v>
      </c>
      <c r="G809" s="3">
        <v>45868.399131944447</v>
      </c>
      <c r="H809" s="4">
        <v>45980</v>
      </c>
      <c r="I809" s="2" t="s">
        <v>21</v>
      </c>
      <c r="J809" s="2" t="s">
        <v>51</v>
      </c>
      <c r="K809" s="2">
        <v>0.72888272157316658</v>
      </c>
      <c r="L809" s="2">
        <v>26661.257599929661</v>
      </c>
      <c r="M809" s="2">
        <v>0</v>
      </c>
      <c r="N809" s="2">
        <v>19432.93</v>
      </c>
      <c r="O809" s="2">
        <v>19432.93</v>
      </c>
      <c r="P809" s="2"/>
      <c r="Q809" s="2">
        <v>19432.93</v>
      </c>
      <c r="R809" s="2" t="s">
        <v>44</v>
      </c>
      <c r="S809" s="2"/>
      <c r="T809" s="2">
        <f t="shared" si="269"/>
        <v>2</v>
      </c>
      <c r="U809" s="18">
        <f t="shared" si="270"/>
        <v>7</v>
      </c>
      <c r="V809" s="18">
        <f t="shared" si="271"/>
        <v>2025</v>
      </c>
      <c r="W809" s="18">
        <f t="shared" si="272"/>
        <v>12</v>
      </c>
      <c r="X809" s="18">
        <f t="shared" si="273"/>
        <v>2025</v>
      </c>
      <c r="Y809" s="2">
        <f t="shared" si="266"/>
        <v>0.72888272157316647</v>
      </c>
      <c r="Z809" t="str">
        <f t="shared" si="267"/>
        <v>SO17603</v>
      </c>
      <c r="AA809" s="11">
        <f t="shared" si="274"/>
        <v>45868.375497685192</v>
      </c>
      <c r="AB809" s="5" t="str">
        <f t="shared" si="275"/>
        <v>INV13670</v>
      </c>
      <c r="AC809" s="5" t="str">
        <f>IFERROR(VLOOKUP(D809,CAARStatus!$A$2:$AA$1600,22,FALSE),"Not invoiced")</f>
        <v>Paid</v>
      </c>
      <c r="AD809" s="11">
        <f>IF(AC809="Paid",IFERROR(VLOOKUP(D809,CAARStatus!$A$2:$AA$1600,6,FALSE),"Pending"),"Pending")</f>
        <v>46003</v>
      </c>
      <c r="AE809" s="5" t="str">
        <f t="shared" si="276"/>
        <v>3821</v>
      </c>
      <c r="AF809" s="5" t="str">
        <f t="shared" si="277"/>
        <v>Middle Georgia Fluid Sealing LLC</v>
      </c>
      <c r="AG809" s="5" t="str">
        <f t="shared" si="278"/>
        <v>USD</v>
      </c>
      <c r="AH809" s="5">
        <f t="shared" si="279"/>
        <v>26661.257599929657</v>
      </c>
      <c r="AI809" s="12">
        <f>IF(L809-N809=0,VLOOKUP(U809,rate!A$4:B$15,2,FALSE)*AH809,IF(AG809="USD",O809,AH809*Y809))</f>
        <v>19432.93</v>
      </c>
      <c r="AJ809" s="13">
        <f t="shared" si="280"/>
        <v>0.72888272157316658</v>
      </c>
      <c r="AK809" s="13">
        <f>-IF(AG809="CAD",IFERROR(VLOOKUP(D809,CAARStatus!$A$1:$Y$1600,16,FALSE),0),0)</f>
        <v>0</v>
      </c>
      <c r="AL809" s="13">
        <f>-IF(AG809="USD",IFERROR(VLOOKUP(D809,CAARStatus!$A$1:$Y$1600,11,FALSE),0),0)</f>
        <v>-10472.58</v>
      </c>
      <c r="AM809" s="22" t="str">
        <f t="shared" si="281"/>
        <v/>
      </c>
      <c r="AN809" s="12">
        <f t="shared" si="282"/>
        <v>8960.35</v>
      </c>
      <c r="AO809" s="12" t="str">
        <f t="shared" si="283"/>
        <v>Yes</v>
      </c>
      <c r="AP809" t="str">
        <f t="shared" si="268"/>
        <v>XX</v>
      </c>
      <c r="AQ809" t="str">
        <f>IFERROR(VLOOKUP(Z809,InvBal!$L$4:$P$600,4,FALSE),"Pend")</f>
        <v>Yes</v>
      </c>
      <c r="AR809" t="str">
        <f>IFERROR(VLOOKUP(D809,Manual!$C$1:$E$22,2,FALSE),"Pend")</f>
        <v>Pend</v>
      </c>
      <c r="AS809" t="str">
        <f t="shared" si="284"/>
        <v>Yes</v>
      </c>
      <c r="AT809" t="str">
        <f t="shared" si="285"/>
        <v>Yes</v>
      </c>
      <c r="AU809" s="51" t="str">
        <f t="shared" si="286"/>
        <v>Yes</v>
      </c>
      <c r="AV809" s="12">
        <f>IFERROR(VLOOKUP(D809,'Receivable Invoice Detail'!$S$1:$U$3014,3,FALSE),0)</f>
        <v>0</v>
      </c>
      <c r="AW809" s="12">
        <f t="shared" si="287"/>
        <v>19432.93</v>
      </c>
    </row>
    <row r="810" spans="1:49" x14ac:dyDescent="0.25">
      <c r="A810" s="2"/>
      <c r="B810" s="2"/>
      <c r="C810" s="2"/>
      <c r="D810" s="2" t="s">
        <v>3044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>
        <f t="shared" si="269"/>
        <v>2</v>
      </c>
      <c r="U810" s="18">
        <f t="shared" si="270"/>
        <v>7</v>
      </c>
      <c r="V810" s="18">
        <f t="shared" si="271"/>
        <v>2025</v>
      </c>
      <c r="W810" s="18">
        <f t="shared" si="272"/>
        <v>9</v>
      </c>
      <c r="X810" s="18">
        <f t="shared" si="273"/>
        <v>2025</v>
      </c>
      <c r="Y810" s="2">
        <f t="shared" si="266"/>
        <v>0.72888272157316647</v>
      </c>
      <c r="Z810" t="str">
        <f t="shared" si="267"/>
        <v>SO17603</v>
      </c>
      <c r="AA810" s="11">
        <f t="shared" si="274"/>
        <v>45868.375497685192</v>
      </c>
      <c r="AB810" s="5" t="str">
        <f t="shared" si="275"/>
        <v>INV13254</v>
      </c>
      <c r="AC810" s="5" t="str">
        <f>IFERROR(VLOOKUP(D810,CAARStatus!$A$2:$AA$1600,22,FALSE),"Not invoiced")</f>
        <v>Paid</v>
      </c>
      <c r="AD810" s="11">
        <f>IF(AC810="Paid",IFERROR(VLOOKUP(D810,CAARStatus!$A$2:$AA$1600,6,FALSE),"Pending"),"Pending")</f>
        <v>45902</v>
      </c>
      <c r="AE810" s="5" t="str">
        <f t="shared" si="276"/>
        <v>3821</v>
      </c>
      <c r="AF810" s="5" t="str">
        <f t="shared" si="277"/>
        <v>Middle Georgia Fluid Sealing LLC</v>
      </c>
      <c r="AG810" s="5" t="str">
        <f t="shared" si="278"/>
        <v>USD</v>
      </c>
      <c r="AH810" s="5">
        <f t="shared" si="279"/>
        <v>0</v>
      </c>
      <c r="AI810" s="12">
        <f>IF(L810-N810=0,VLOOKUP(U810,rate!A$4:B$15,2,FALSE)*AH810,IF(AG810="USD",O810,AH810*Y810))</f>
        <v>0</v>
      </c>
      <c r="AJ810" s="13">
        <f t="shared" si="280"/>
        <v>0</v>
      </c>
      <c r="AK810" s="13">
        <f>-IF(AG810="CAD",IFERROR(VLOOKUP(D810,CAARStatus!$A$1:$Y$1600,16,FALSE),0),0)</f>
        <v>0</v>
      </c>
      <c r="AL810" s="13">
        <f>-IF(AG810="USD",IFERROR(VLOOKUP(D810,CAARStatus!$A$1:$Y$1600,11,FALSE),0),0)</f>
        <v>-8960.35</v>
      </c>
      <c r="AM810" s="22" t="str">
        <f t="shared" si="281"/>
        <v/>
      </c>
      <c r="AN810" s="12">
        <f t="shared" si="282"/>
        <v>-8960.35</v>
      </c>
      <c r="AO810" s="12" t="str">
        <f t="shared" si="283"/>
        <v>Yes</v>
      </c>
      <c r="AP810" t="str">
        <f t="shared" si="268"/>
        <v>XX</v>
      </c>
      <c r="AQ810" t="str">
        <f>IFERROR(VLOOKUP(Z810,InvBal!$L$4:$P$600,4,FALSE),"Pend")</f>
        <v>Yes</v>
      </c>
      <c r="AR810" t="str">
        <f>IFERROR(VLOOKUP(D810,Manual!$C$1:$E$22,2,FALSE),"Pend")</f>
        <v>Pend</v>
      </c>
      <c r="AS810" t="str">
        <f t="shared" si="284"/>
        <v>Yes</v>
      </c>
      <c r="AT810" t="str">
        <f t="shared" si="285"/>
        <v/>
      </c>
      <c r="AU810" s="51" t="str">
        <f t="shared" si="286"/>
        <v/>
      </c>
      <c r="AV810" s="12">
        <f>IFERROR(VLOOKUP(D810,'Receivable Invoice Detail'!$S$1:$U$3014,3,FALSE),0)</f>
        <v>594</v>
      </c>
      <c r="AW810" s="12">
        <f t="shared" si="287"/>
        <v>0</v>
      </c>
    </row>
    <row r="811" spans="1:49" x14ac:dyDescent="0.25">
      <c r="A811" s="2">
        <v>1</v>
      </c>
      <c r="B811" s="2" t="s">
        <v>920</v>
      </c>
      <c r="C811" s="2" t="s">
        <v>921</v>
      </c>
      <c r="D811" s="2" t="s">
        <v>3046</v>
      </c>
      <c r="E811" s="2" t="s">
        <v>242</v>
      </c>
      <c r="F811" s="3">
        <v>45868.393495370372</v>
      </c>
      <c r="G811" s="3">
        <v>45868.58865740741</v>
      </c>
      <c r="H811" s="4">
        <v>45945</v>
      </c>
      <c r="I811" s="2" t="s">
        <v>21</v>
      </c>
      <c r="J811" s="2" t="s">
        <v>22</v>
      </c>
      <c r="K811" s="2">
        <v>1</v>
      </c>
      <c r="L811" s="2">
        <v>1690.27</v>
      </c>
      <c r="M811" s="2">
        <v>0</v>
      </c>
      <c r="N811" s="2">
        <v>1223.4150113581929</v>
      </c>
      <c r="O811" s="2">
        <v>1609.78</v>
      </c>
      <c r="P811" s="2">
        <v>80.489999999999995</v>
      </c>
      <c r="Q811" s="2">
        <v>1690.27</v>
      </c>
      <c r="R811" s="2" t="s">
        <v>44</v>
      </c>
      <c r="S811" s="2"/>
      <c r="T811" s="2">
        <f t="shared" si="269"/>
        <v>1</v>
      </c>
      <c r="U811" s="18">
        <f t="shared" si="270"/>
        <v>7</v>
      </c>
      <c r="V811" s="18">
        <f t="shared" si="271"/>
        <v>2025</v>
      </c>
      <c r="W811" s="18" t="str">
        <f t="shared" si="272"/>
        <v/>
      </c>
      <c r="X811" s="18" t="str">
        <f t="shared" si="273"/>
        <v/>
      </c>
      <c r="Y811" s="2">
        <f t="shared" si="266"/>
        <v>0.72379857144609616</v>
      </c>
      <c r="Z811" t="str">
        <f t="shared" si="267"/>
        <v>SO17604</v>
      </c>
      <c r="AA811" s="11">
        <f t="shared" si="274"/>
        <v>45868.393495370372</v>
      </c>
      <c r="AB811" s="5" t="str">
        <f t="shared" si="275"/>
        <v>INV13437</v>
      </c>
      <c r="AC811" s="5" t="str">
        <f>IFERROR(VLOOKUP(D811,CAARStatus!$A$2:$AA$1600,22,FALSE),"Not invoiced")</f>
        <v>Not invoiced</v>
      </c>
      <c r="AD811" s="11" t="str">
        <f>IF(AC811="Paid",IFERROR(VLOOKUP(D811,CAARStatus!$A$2:$AA$1600,6,FALSE),"Pending"),"Pending")</f>
        <v>Pending</v>
      </c>
      <c r="AE811" s="5" t="str">
        <f t="shared" si="276"/>
        <v>2100623714</v>
      </c>
      <c r="AF811" s="5" t="str">
        <f t="shared" si="277"/>
        <v>Wajax Limited - Noranda</v>
      </c>
      <c r="AG811" s="5" t="str">
        <f t="shared" si="278"/>
        <v>CAD</v>
      </c>
      <c r="AH811" s="5">
        <f t="shared" si="279"/>
        <v>1609.78</v>
      </c>
      <c r="AI811" s="12">
        <f>IF(L811-N811=0,VLOOKUP(U811,rate!A$4:B$15,2,FALSE)*AH811,IF(AG811="USD",O811,AH811*Y811))</f>
        <v>1165.1564643424967</v>
      </c>
      <c r="AJ811" s="13">
        <f t="shared" si="280"/>
        <v>0.72379857144609616</v>
      </c>
      <c r="AK811" s="13">
        <f>-IF(AG811="CAD",IFERROR(VLOOKUP(D811,CAARStatus!$A$1:$Y$1600,16,FALSE),0),0)</f>
        <v>0</v>
      </c>
      <c r="AL811" s="13">
        <f>-IF(AG811="USD",IFERROR(VLOOKUP(D811,CAARStatus!$A$1:$Y$1600,11,FALSE),0),0)</f>
        <v>0</v>
      </c>
      <c r="AM811" s="22">
        <f t="shared" si="281"/>
        <v>1609.78</v>
      </c>
      <c r="AN811" s="12" t="str">
        <f t="shared" si="282"/>
        <v/>
      </c>
      <c r="AO811" s="12" t="str">
        <f t="shared" si="283"/>
        <v>Pend</v>
      </c>
      <c r="AP811" t="str">
        <f t="shared" si="268"/>
        <v>Pend</v>
      </c>
      <c r="AQ811" t="str">
        <f>IFERROR(VLOOKUP(Z811,InvBal!$L$4:$P$600,4,FALSE),"Pend")</f>
        <v>Pend</v>
      </c>
      <c r="AR811" t="str">
        <f>IFERROR(VLOOKUP(D811,Manual!$C$1:$E$22,2,FALSE),"Pend")</f>
        <v>Pend</v>
      </c>
      <c r="AS811" t="str">
        <f t="shared" si="284"/>
        <v/>
      </c>
      <c r="AT811" t="str">
        <f t="shared" si="285"/>
        <v>Yes</v>
      </c>
      <c r="AU811" s="51" t="str">
        <f t="shared" si="286"/>
        <v/>
      </c>
      <c r="AV811" s="12">
        <f>IFERROR(VLOOKUP(D811,'Receivable Invoice Detail'!$S$1:$U$3014,3,FALSE),0)</f>
        <v>0</v>
      </c>
      <c r="AW811" s="12">
        <f t="shared" si="287"/>
        <v>0</v>
      </c>
    </row>
    <row r="812" spans="1:49" x14ac:dyDescent="0.25">
      <c r="A812" s="2">
        <v>1</v>
      </c>
      <c r="B812" s="2" t="s">
        <v>918</v>
      </c>
      <c r="C812" s="2" t="s">
        <v>919</v>
      </c>
      <c r="D812" s="2" t="s">
        <v>3047</v>
      </c>
      <c r="E812" s="2" t="s">
        <v>146</v>
      </c>
      <c r="F812" s="3">
        <v>45868.628738425927</v>
      </c>
      <c r="G812" s="3">
        <v>45868.674363425933</v>
      </c>
      <c r="H812" s="4">
        <v>45869</v>
      </c>
      <c r="I812" s="2" t="s">
        <v>40</v>
      </c>
      <c r="J812" s="2" t="s">
        <v>22</v>
      </c>
      <c r="K812" s="2">
        <v>1</v>
      </c>
      <c r="L812" s="2">
        <v>131.04</v>
      </c>
      <c r="M812" s="2">
        <v>0</v>
      </c>
      <c r="N812" s="2">
        <v>94.84656480229647</v>
      </c>
      <c r="O812" s="2">
        <v>124.8</v>
      </c>
      <c r="P812" s="2">
        <v>6.24</v>
      </c>
      <c r="Q812" s="2">
        <v>131.04</v>
      </c>
      <c r="R812" s="2" t="s">
        <v>44</v>
      </c>
      <c r="S812" s="2"/>
      <c r="T812" s="2">
        <f t="shared" si="269"/>
        <v>1</v>
      </c>
      <c r="U812" s="18">
        <f t="shared" si="270"/>
        <v>7</v>
      </c>
      <c r="V812" s="18">
        <f t="shared" si="271"/>
        <v>2025</v>
      </c>
      <c r="W812" s="18">
        <f t="shared" si="272"/>
        <v>9</v>
      </c>
      <c r="X812" s="18">
        <f t="shared" si="273"/>
        <v>2025</v>
      </c>
      <c r="Y812" s="2">
        <f t="shared" si="266"/>
        <v>0.72379857144609638</v>
      </c>
      <c r="Z812" t="str">
        <f t="shared" si="267"/>
        <v>SO17608</v>
      </c>
      <c r="AA812" s="11">
        <f t="shared" si="274"/>
        <v>45868.628738425927</v>
      </c>
      <c r="AB812" s="5" t="str">
        <f t="shared" si="275"/>
        <v>INV13255</v>
      </c>
      <c r="AC812" s="5" t="str">
        <f>IFERROR(VLOOKUP(D812,CAARStatus!$A$2:$AA$1600,22,FALSE),"Not invoiced")</f>
        <v>Paid</v>
      </c>
      <c r="AD812" s="11">
        <f>IF(AC812="Paid",IFERROR(VLOOKUP(D812,CAARStatus!$A$2:$AA$1600,6,FALSE),"Pending"),"Pending")</f>
        <v>45912</v>
      </c>
      <c r="AE812" s="5" t="str">
        <f t="shared" si="276"/>
        <v>7473</v>
      </c>
      <c r="AF812" s="5" t="str">
        <f t="shared" si="277"/>
        <v>Hyperflo</v>
      </c>
      <c r="AG812" s="5" t="str">
        <f t="shared" si="278"/>
        <v>CAD</v>
      </c>
      <c r="AH812" s="5">
        <f t="shared" si="279"/>
        <v>124.8</v>
      </c>
      <c r="AI812" s="12">
        <f>IF(L812-N812=0,VLOOKUP(U812,rate!A$4:B$15,2,FALSE)*AH812,IF(AG812="USD",O812,AH812*Y812))</f>
        <v>90.330061716472827</v>
      </c>
      <c r="AJ812" s="13">
        <f t="shared" si="280"/>
        <v>0.72379857144609638</v>
      </c>
      <c r="AK812" s="13">
        <f>-IF(AG812="CAD",IFERROR(VLOOKUP(D812,CAARStatus!$A$1:$Y$1600,16,FALSE),0),0)</f>
        <v>-124.8</v>
      </c>
      <c r="AL812" s="13">
        <f>-IF(AG812="USD",IFERROR(VLOOKUP(D812,CAARStatus!$A$1:$Y$1600,11,FALSE),0),0)</f>
        <v>0</v>
      </c>
      <c r="AM812" s="22">
        <f t="shared" si="281"/>
        <v>0</v>
      </c>
      <c r="AN812" s="12" t="str">
        <f t="shared" si="282"/>
        <v/>
      </c>
      <c r="AO812" s="12" t="str">
        <f t="shared" si="283"/>
        <v>Yes</v>
      </c>
      <c r="AP812" t="str">
        <f t="shared" si="268"/>
        <v>Yes</v>
      </c>
      <c r="AQ812" t="str">
        <f>IFERROR(VLOOKUP(Z812,InvBal!$L$4:$P$600,4,FALSE),"Pend")</f>
        <v>Pend</v>
      </c>
      <c r="AR812" t="str">
        <f>IFERROR(VLOOKUP(D812,Manual!$C$1:$E$22,2,FALSE),"Pend")</f>
        <v>Pend</v>
      </c>
      <c r="AS812" t="str">
        <f t="shared" si="284"/>
        <v>Yes</v>
      </c>
      <c r="AT812" t="str">
        <f t="shared" si="285"/>
        <v>Yes</v>
      </c>
      <c r="AU812" s="51" t="str">
        <f t="shared" si="286"/>
        <v>Yes</v>
      </c>
      <c r="AV812" s="12">
        <f>IFERROR(VLOOKUP(D812,'Receivable Invoice Detail'!$S$1:$U$3014,3,FALSE),0)</f>
        <v>0</v>
      </c>
      <c r="AW812" s="12">
        <f t="shared" si="287"/>
        <v>90.330061716472827</v>
      </c>
    </row>
    <row r="813" spans="1:49" x14ac:dyDescent="0.25">
      <c r="A813" s="2">
        <v>1</v>
      </c>
      <c r="B813" s="2" t="s">
        <v>916</v>
      </c>
      <c r="C813" s="2" t="s">
        <v>917</v>
      </c>
      <c r="D813" s="2" t="s">
        <v>3048</v>
      </c>
      <c r="E813" s="2" t="s">
        <v>271</v>
      </c>
      <c r="F813" s="3">
        <v>45868.763402777768</v>
      </c>
      <c r="G813" s="3">
        <v>45868.762349537043</v>
      </c>
      <c r="H813" s="4">
        <v>45881</v>
      </c>
      <c r="I813" s="2" t="s">
        <v>21</v>
      </c>
      <c r="J813" s="2" t="s">
        <v>22</v>
      </c>
      <c r="K813" s="2">
        <v>1</v>
      </c>
      <c r="L813" s="2">
        <v>130.43</v>
      </c>
      <c r="M813" s="2">
        <v>0</v>
      </c>
      <c r="N813" s="2">
        <v>94.40504767371435</v>
      </c>
      <c r="O813" s="2">
        <v>124.22</v>
      </c>
      <c r="P813" s="2">
        <v>6.21</v>
      </c>
      <c r="Q813" s="2">
        <v>130.43</v>
      </c>
      <c r="R813" s="2" t="s">
        <v>44</v>
      </c>
      <c r="S813" s="2"/>
      <c r="T813" s="2">
        <f t="shared" si="269"/>
        <v>1</v>
      </c>
      <c r="U813" s="18">
        <f t="shared" si="270"/>
        <v>7</v>
      </c>
      <c r="V813" s="18">
        <f t="shared" si="271"/>
        <v>2025</v>
      </c>
      <c r="W813" s="18">
        <f t="shared" si="272"/>
        <v>9</v>
      </c>
      <c r="X813" s="18">
        <f t="shared" si="273"/>
        <v>2025</v>
      </c>
      <c r="Y813" s="2">
        <f t="shared" si="266"/>
        <v>0.72379857144609638</v>
      </c>
      <c r="Z813" t="str">
        <f t="shared" si="267"/>
        <v>SO17610</v>
      </c>
      <c r="AA813" s="11">
        <f t="shared" si="274"/>
        <v>45868.763402777768</v>
      </c>
      <c r="AB813" s="5" t="str">
        <f t="shared" si="275"/>
        <v>INV13281</v>
      </c>
      <c r="AC813" s="5" t="str">
        <f>IFERROR(VLOOKUP(D813,CAARStatus!$A$2:$AA$1600,22,FALSE),"Not invoiced")</f>
        <v>Paid</v>
      </c>
      <c r="AD813" s="11">
        <f>IF(AC813="Paid",IFERROR(VLOOKUP(D813,CAARStatus!$A$2:$AA$1600,6,FALSE),"Pending"),"Pending")</f>
        <v>45912</v>
      </c>
      <c r="AE813" s="5" t="str">
        <f t="shared" si="276"/>
        <v>7501</v>
      </c>
      <c r="AF813" s="5" t="str">
        <f t="shared" si="277"/>
        <v>Hyperflo, Hyperflo</v>
      </c>
      <c r="AG813" s="5" t="str">
        <f t="shared" si="278"/>
        <v>CAD</v>
      </c>
      <c r="AH813" s="5">
        <f t="shared" si="279"/>
        <v>124.22</v>
      </c>
      <c r="AI813" s="12">
        <f>IF(L813-N813=0,VLOOKUP(U813,rate!A$4:B$15,2,FALSE)*AH813,IF(AG813="USD",O813,AH813*Y813))</f>
        <v>89.910258545034097</v>
      </c>
      <c r="AJ813" s="13">
        <f t="shared" si="280"/>
        <v>0.72379857144609638</v>
      </c>
      <c r="AK813" s="13">
        <f>-IF(AG813="CAD",IFERROR(VLOOKUP(D813,CAARStatus!$A$1:$Y$1600,16,FALSE),0),0)</f>
        <v>-124.22</v>
      </c>
      <c r="AL813" s="13">
        <f>-IF(AG813="USD",IFERROR(VLOOKUP(D813,CAARStatus!$A$1:$Y$1600,11,FALSE),0),0)</f>
        <v>0</v>
      </c>
      <c r="AM813" s="22">
        <f t="shared" si="281"/>
        <v>0</v>
      </c>
      <c r="AN813" s="12" t="str">
        <f t="shared" si="282"/>
        <v/>
      </c>
      <c r="AO813" s="12" t="str">
        <f t="shared" si="283"/>
        <v>Yes</v>
      </c>
      <c r="AP813" t="str">
        <f t="shared" si="268"/>
        <v>Yes</v>
      </c>
      <c r="AQ813" t="str">
        <f>IFERROR(VLOOKUP(Z813,InvBal!$L$4:$P$600,4,FALSE),"Pend")</f>
        <v>Pend</v>
      </c>
      <c r="AR813" t="str">
        <f>IFERROR(VLOOKUP(D813,Manual!$C$1:$E$22,2,FALSE),"Pend")</f>
        <v>Pend</v>
      </c>
      <c r="AS813" t="str">
        <f t="shared" si="284"/>
        <v>Yes</v>
      </c>
      <c r="AT813" t="str">
        <f t="shared" si="285"/>
        <v>Yes</v>
      </c>
      <c r="AU813" s="51" t="str">
        <f t="shared" si="286"/>
        <v>Yes</v>
      </c>
      <c r="AV813" s="12">
        <f>IFERROR(VLOOKUP(D813,'Receivable Invoice Detail'!$S$1:$U$3014,3,FALSE),0)</f>
        <v>0</v>
      </c>
      <c r="AW813" s="12">
        <f t="shared" si="287"/>
        <v>89.910258545034097</v>
      </c>
    </row>
    <row r="814" spans="1:49" ht="30" x14ac:dyDescent="0.25">
      <c r="A814" s="2">
        <v>1</v>
      </c>
      <c r="B814" s="2" t="s">
        <v>908</v>
      </c>
      <c r="C814" s="2" t="s">
        <v>909</v>
      </c>
      <c r="D814" s="2" t="s">
        <v>3052</v>
      </c>
      <c r="E814" s="2" t="s">
        <v>129</v>
      </c>
      <c r="F814" s="3">
        <v>45869.510081018518</v>
      </c>
      <c r="G814" s="3">
        <v>45870.629826388889</v>
      </c>
      <c r="H814" s="4">
        <v>45901</v>
      </c>
      <c r="I814" s="2" t="s">
        <v>328</v>
      </c>
      <c r="J814" s="2" t="s">
        <v>51</v>
      </c>
      <c r="K814" s="2">
        <v>0.72379857144609638</v>
      </c>
      <c r="L814" s="2">
        <v>803.81479454650798</v>
      </c>
      <c r="M814" s="2">
        <v>0</v>
      </c>
      <c r="N814" s="2">
        <v>581.79999999999995</v>
      </c>
      <c r="O814" s="2">
        <v>581.79999999999995</v>
      </c>
      <c r="P814" s="2"/>
      <c r="Q814" s="2">
        <v>581.79999999999995</v>
      </c>
      <c r="R814" s="2" t="s">
        <v>44</v>
      </c>
      <c r="S814" s="2"/>
      <c r="T814" s="2">
        <f t="shared" si="269"/>
        <v>1</v>
      </c>
      <c r="U814" s="18">
        <f t="shared" si="270"/>
        <v>7</v>
      </c>
      <c r="V814" s="18">
        <f t="shared" si="271"/>
        <v>2025</v>
      </c>
      <c r="W814" s="18" t="str">
        <f t="shared" si="272"/>
        <v/>
      </c>
      <c r="X814" s="18" t="str">
        <f t="shared" si="273"/>
        <v/>
      </c>
      <c r="Y814" s="2">
        <f t="shared" si="266"/>
        <v>0.72379857144609638</v>
      </c>
      <c r="Z814" t="str">
        <f t="shared" si="267"/>
        <v>SO17612</v>
      </c>
      <c r="AA814" s="11">
        <f t="shared" si="274"/>
        <v>45869.510081018518</v>
      </c>
      <c r="AB814" s="5" t="str">
        <f t="shared" si="275"/>
        <v>INV13459</v>
      </c>
      <c r="AC814" s="5" t="str">
        <f>IFERROR(VLOOKUP(D814,CAARStatus!$A$2:$AA$1600,22,FALSE),"Not invoiced")</f>
        <v>Approved</v>
      </c>
      <c r="AD814" s="11" t="str">
        <f>IF(AC814="Paid",IFERROR(VLOOKUP(D814,CAARStatus!$A$2:$AA$1600,6,FALSE),"Pending"),"Pending")</f>
        <v>Pending</v>
      </c>
      <c r="AE814" s="5" t="str">
        <f t="shared" si="276"/>
        <v>OC00193</v>
      </c>
      <c r="AF814" s="5" t="str">
        <f t="shared" si="277"/>
        <v>Dynapro Pumps México S de RL de CV</v>
      </c>
      <c r="AG814" s="5" t="str">
        <f t="shared" si="278"/>
        <v>USD</v>
      </c>
      <c r="AH814" s="5">
        <f t="shared" si="279"/>
        <v>803.81479454650798</v>
      </c>
      <c r="AI814" s="12">
        <f>IF(L814-N814=0,VLOOKUP(U814,rate!A$4:B$15,2,FALSE)*AH814,IF(AG814="USD",O814,AH814*Y814))</f>
        <v>581.79999999999995</v>
      </c>
      <c r="AJ814" s="13">
        <f t="shared" si="280"/>
        <v>0.72379857144609638</v>
      </c>
      <c r="AK814" s="13">
        <f>-IF(AG814="CAD",IFERROR(VLOOKUP(D814,CAARStatus!$A$1:$Y$1600,16,FALSE),0),0)</f>
        <v>0</v>
      </c>
      <c r="AL814" s="13">
        <f>-IF(AG814="USD",IFERROR(VLOOKUP(D814,CAARStatus!$A$1:$Y$1600,11,FALSE),0),0)</f>
        <v>-581.79999999999995</v>
      </c>
      <c r="AM814" s="22" t="str">
        <f t="shared" si="281"/>
        <v/>
      </c>
      <c r="AN814" s="12">
        <f t="shared" si="282"/>
        <v>0</v>
      </c>
      <c r="AO814" s="12" t="str">
        <f t="shared" si="283"/>
        <v>Pend</v>
      </c>
      <c r="AP814" t="str">
        <f t="shared" si="268"/>
        <v>Pend</v>
      </c>
      <c r="AQ814" t="str">
        <f>IFERROR(VLOOKUP(Z814,InvBal!$L$4:$P$600,4,FALSE),"Pend")</f>
        <v>Pend</v>
      </c>
      <c r="AR814" t="str">
        <f>IFERROR(VLOOKUP(D814,Manual!$C$1:$E$22,2,FALSE),"Pend")</f>
        <v>Pend</v>
      </c>
      <c r="AS814" t="str">
        <f t="shared" si="284"/>
        <v/>
      </c>
      <c r="AT814" t="str">
        <f t="shared" si="285"/>
        <v>Yes</v>
      </c>
      <c r="AU814" s="51" t="str">
        <f t="shared" si="286"/>
        <v/>
      </c>
      <c r="AV814" s="12">
        <f>IFERROR(VLOOKUP(D814,'Receivable Invoice Detail'!$S$1:$U$3014,3,FALSE),0)</f>
        <v>0</v>
      </c>
      <c r="AW814" s="12">
        <f t="shared" si="287"/>
        <v>0</v>
      </c>
    </row>
    <row r="815" spans="1:49" ht="30" x14ac:dyDescent="0.25">
      <c r="A815" s="2">
        <v>1</v>
      </c>
      <c r="B815" s="2" t="s">
        <v>906</v>
      </c>
      <c r="C815" s="2" t="s">
        <v>907</v>
      </c>
      <c r="D815" s="2" t="s">
        <v>3053</v>
      </c>
      <c r="E815" s="2" t="s">
        <v>129</v>
      </c>
      <c r="F815" s="3">
        <v>45869.517905092587</v>
      </c>
      <c r="G815" s="3">
        <v>45870.637083333328</v>
      </c>
      <c r="H815" s="4">
        <v>45981</v>
      </c>
      <c r="I815" s="2" t="s">
        <v>328</v>
      </c>
      <c r="J815" s="2" t="s">
        <v>51</v>
      </c>
      <c r="K815" s="2">
        <v>0.72379857144609638</v>
      </c>
      <c r="L815" s="2">
        <v>1475.5486431345321</v>
      </c>
      <c r="M815" s="2">
        <v>0</v>
      </c>
      <c r="N815" s="2">
        <v>1068</v>
      </c>
      <c r="O815" s="2">
        <v>1068</v>
      </c>
      <c r="P815" s="2"/>
      <c r="Q815" s="2">
        <v>1068</v>
      </c>
      <c r="R815" s="2" t="s">
        <v>44</v>
      </c>
      <c r="S815" s="2"/>
      <c r="T815" s="2">
        <f t="shared" si="269"/>
        <v>1</v>
      </c>
      <c r="U815" s="18">
        <f t="shared" si="270"/>
        <v>7</v>
      </c>
      <c r="V815" s="18">
        <f t="shared" si="271"/>
        <v>2025</v>
      </c>
      <c r="W815" s="18" t="str">
        <f t="shared" si="272"/>
        <v/>
      </c>
      <c r="X815" s="18" t="str">
        <f t="shared" si="273"/>
        <v/>
      </c>
      <c r="Y815" s="2">
        <f t="shared" si="266"/>
        <v>0.72379857144609627</v>
      </c>
      <c r="Z815" t="str">
        <f t="shared" si="267"/>
        <v>SO17613</v>
      </c>
      <c r="AA815" s="11">
        <f t="shared" si="274"/>
        <v>45869.517905092587</v>
      </c>
      <c r="AB815" s="5" t="str">
        <f t="shared" si="275"/>
        <v>INV13357</v>
      </c>
      <c r="AC815" s="5" t="str">
        <f>IFERROR(VLOOKUP(D815,CAARStatus!$A$2:$AA$1600,22,FALSE),"Not invoiced")</f>
        <v>Approved</v>
      </c>
      <c r="AD815" s="11" t="str">
        <f>IF(AC815="Paid",IFERROR(VLOOKUP(D815,CAARStatus!$A$2:$AA$1600,6,FALSE),"Pending"),"Pending")</f>
        <v>Pending</v>
      </c>
      <c r="AE815" s="5" t="str">
        <f t="shared" si="276"/>
        <v>OC00194</v>
      </c>
      <c r="AF815" s="5" t="str">
        <f t="shared" si="277"/>
        <v>Dynapro Pumps México S de RL de CV</v>
      </c>
      <c r="AG815" s="5" t="str">
        <f t="shared" si="278"/>
        <v>USD</v>
      </c>
      <c r="AH815" s="5">
        <f t="shared" si="279"/>
        <v>1475.5486431345319</v>
      </c>
      <c r="AI815" s="12">
        <f>IF(L815-N815=0,VLOOKUP(U815,rate!A$4:B$15,2,FALSE)*AH815,IF(AG815="USD",O815,AH815*Y815))</f>
        <v>1068</v>
      </c>
      <c r="AJ815" s="13">
        <f t="shared" si="280"/>
        <v>0.72379857144609638</v>
      </c>
      <c r="AK815" s="61">
        <f>IF(AC815="Paid",-IF(AG815="CAD",IFERROR(VLOOKUP(D815,CAARStatus!$A$1:$Y$1600,16,FALSE),0),0),0)</f>
        <v>0</v>
      </c>
      <c r="AL815" s="61">
        <f>IF(AC815="Paid",-IF(AG815="USD",IFERROR(VLOOKUP(D815,CAARStatus!$A$1:$Y$1600,11,FALSE),0),0),0)</f>
        <v>0</v>
      </c>
      <c r="AM815" s="22" t="str">
        <f t="shared" si="281"/>
        <v/>
      </c>
      <c r="AN815" s="12">
        <f t="shared" si="282"/>
        <v>1068</v>
      </c>
      <c r="AO815" s="12" t="str">
        <f t="shared" si="283"/>
        <v>Pend</v>
      </c>
      <c r="AP815" t="str">
        <f t="shared" si="268"/>
        <v>Pend</v>
      </c>
      <c r="AQ815" t="str">
        <f>IFERROR(VLOOKUP(Z815,InvBal!$L$4:$P$600,4,FALSE),"Pend")</f>
        <v>Pend</v>
      </c>
      <c r="AR815" t="str">
        <f>IFERROR(VLOOKUP(D815,Manual!$C$1:$E$22,2,FALSE),"Pend")</f>
        <v>Pend</v>
      </c>
      <c r="AS815" t="str">
        <f t="shared" si="284"/>
        <v/>
      </c>
      <c r="AT815" t="str">
        <f t="shared" si="285"/>
        <v>Yes</v>
      </c>
      <c r="AU815" s="51" t="str">
        <f t="shared" si="286"/>
        <v/>
      </c>
      <c r="AV815" s="12">
        <f>IFERROR(VLOOKUP(D815,'Receivable Invoice Detail'!$S$1:$U$3014,3,FALSE),0)</f>
        <v>0</v>
      </c>
      <c r="AW815" s="12">
        <f t="shared" si="287"/>
        <v>0</v>
      </c>
    </row>
    <row r="816" spans="1:49" x14ac:dyDescent="0.25">
      <c r="A816" s="2">
        <v>1</v>
      </c>
      <c r="B816" s="2" t="s">
        <v>912</v>
      </c>
      <c r="C816" s="2" t="s">
        <v>913</v>
      </c>
      <c r="D816" s="2" t="s">
        <v>3050</v>
      </c>
      <c r="E816" s="2" t="s">
        <v>61</v>
      </c>
      <c r="F816" s="3">
        <v>45869.566678240742</v>
      </c>
      <c r="G816" s="3">
        <v>45870.422881944447</v>
      </c>
      <c r="H816" s="4">
        <v>45905</v>
      </c>
      <c r="I816" s="2" t="s">
        <v>40</v>
      </c>
      <c r="J816" s="2" t="s">
        <v>51</v>
      </c>
      <c r="K816" s="2">
        <v>0.72379857144609638</v>
      </c>
      <c r="L816" s="2">
        <v>6811.2872758925487</v>
      </c>
      <c r="M816" s="2">
        <v>0</v>
      </c>
      <c r="N816" s="2">
        <v>4930</v>
      </c>
      <c r="O816" s="2">
        <v>4930</v>
      </c>
      <c r="P816" s="2"/>
      <c r="Q816" s="2">
        <v>4930</v>
      </c>
      <c r="R816" s="2" t="s">
        <v>44</v>
      </c>
      <c r="S816" s="2"/>
      <c r="T816" s="2">
        <f t="shared" si="269"/>
        <v>1</v>
      </c>
      <c r="U816" s="18">
        <f t="shared" si="270"/>
        <v>7</v>
      </c>
      <c r="V816" s="18">
        <f t="shared" si="271"/>
        <v>2025</v>
      </c>
      <c r="W816" s="18">
        <f t="shared" si="272"/>
        <v>10</v>
      </c>
      <c r="X816" s="18">
        <f t="shared" si="273"/>
        <v>2025</v>
      </c>
      <c r="Y816" s="2">
        <f t="shared" si="266"/>
        <v>0.72379857144609638</v>
      </c>
      <c r="Z816" t="str">
        <f t="shared" si="267"/>
        <v>SO17615</v>
      </c>
      <c r="AA816" s="11">
        <f t="shared" si="274"/>
        <v>45869.566678240742</v>
      </c>
      <c r="AB816" s="5" t="str">
        <f t="shared" si="275"/>
        <v>INV13363</v>
      </c>
      <c r="AC816" s="5" t="str">
        <f>IFERROR(VLOOKUP(D816,CAARStatus!$A$2:$AA$1600,22,FALSE),"Not invoiced")</f>
        <v>Paid</v>
      </c>
      <c r="AD816" s="11">
        <f>IF(AC816="Paid",IFERROR(VLOOKUP(D816,CAARStatus!$A$2:$AA$1600,6,FALSE),"Pending"),"Pending")</f>
        <v>45951</v>
      </c>
      <c r="AE816" s="5" t="str">
        <f t="shared" si="276"/>
        <v>PONV-25-1555</v>
      </c>
      <c r="AF816" s="5" t="str">
        <f t="shared" si="277"/>
        <v>Tech-Flow</v>
      </c>
      <c r="AG816" s="5" t="str">
        <f t="shared" si="278"/>
        <v>USD</v>
      </c>
      <c r="AH816" s="5">
        <f t="shared" si="279"/>
        <v>6811.2872758925487</v>
      </c>
      <c r="AI816" s="12">
        <f>IF(L816-N816=0,VLOOKUP(U816,rate!A$4:B$15,2,FALSE)*AH816,IF(AG816="USD",O816,AH816*Y816))</f>
        <v>4930</v>
      </c>
      <c r="AJ816" s="13">
        <f t="shared" si="280"/>
        <v>0.72379857144609638</v>
      </c>
      <c r="AK816" s="61">
        <f>IF(AC816="Paid",-IF(AG816="CAD",IFERROR(VLOOKUP(D816,CAARStatus!$A$1:$Y$1600,16,FALSE),0),0),0)</f>
        <v>0</v>
      </c>
      <c r="AL816" s="61">
        <f>IF(AC816="Paid",-IF(AG816="USD",IFERROR(VLOOKUP(D816,CAARStatus!$A$1:$Y$1600,11,FALSE),0),0),0)</f>
        <v>-4930</v>
      </c>
      <c r="AM816" s="22" t="str">
        <f t="shared" si="281"/>
        <v/>
      </c>
      <c r="AN816" s="12">
        <f t="shared" si="282"/>
        <v>0</v>
      </c>
      <c r="AO816" s="12" t="str">
        <f t="shared" si="283"/>
        <v>Yes</v>
      </c>
      <c r="AP816" t="str">
        <f t="shared" si="268"/>
        <v>Yes</v>
      </c>
      <c r="AQ816" t="str">
        <f>IFERROR(VLOOKUP(Z816,InvBal!$L$4:$P$600,4,FALSE),"Pend")</f>
        <v>Pend</v>
      </c>
      <c r="AR816" t="str">
        <f>IFERROR(VLOOKUP(D816,Manual!$C$1:$E$22,2,FALSE),"Pend")</f>
        <v>Pend</v>
      </c>
      <c r="AS816" t="str">
        <f t="shared" si="284"/>
        <v>Yes</v>
      </c>
      <c r="AT816" t="str">
        <f t="shared" si="285"/>
        <v>Yes</v>
      </c>
      <c r="AU816" s="51" t="str">
        <f t="shared" si="286"/>
        <v>Yes</v>
      </c>
      <c r="AV816" s="12">
        <f>IFERROR(VLOOKUP(D816,'Receivable Invoice Detail'!$S$1:$U$3014,3,FALSE),0)</f>
        <v>0</v>
      </c>
      <c r="AW816" s="12">
        <f t="shared" si="287"/>
        <v>4930</v>
      </c>
    </row>
    <row r="817" spans="1:49" x14ac:dyDescent="0.25">
      <c r="A817" s="2">
        <v>2</v>
      </c>
      <c r="B817" s="2" t="s">
        <v>717</v>
      </c>
      <c r="C817" s="2" t="s">
        <v>718</v>
      </c>
      <c r="D817" s="2" t="s">
        <v>3145</v>
      </c>
      <c r="E817" s="2" t="s">
        <v>316</v>
      </c>
      <c r="F817" s="3">
        <v>45870.75540509259</v>
      </c>
      <c r="G817" s="3">
        <v>45903.537939814807</v>
      </c>
      <c r="H817" s="4">
        <v>45917</v>
      </c>
      <c r="I817" s="2" t="s">
        <v>36</v>
      </c>
      <c r="J817" s="2" t="s">
        <v>22</v>
      </c>
      <c r="K817" s="2">
        <v>1</v>
      </c>
      <c r="L817" s="2">
        <v>7603.02</v>
      </c>
      <c r="M817" s="2">
        <v>7603.02</v>
      </c>
      <c r="N817" s="2">
        <v>7603.02</v>
      </c>
      <c r="O817" s="2">
        <v>7603.02</v>
      </c>
      <c r="P817" s="2"/>
      <c r="Q817" s="2">
        <v>7603.02</v>
      </c>
      <c r="R817" s="2" t="s">
        <v>126</v>
      </c>
      <c r="S817" s="2"/>
      <c r="T817" s="2">
        <f t="shared" si="269"/>
        <v>2</v>
      </c>
      <c r="U817" s="18">
        <f t="shared" si="270"/>
        <v>8</v>
      </c>
      <c r="V817" s="18">
        <f t="shared" si="271"/>
        <v>2025</v>
      </c>
      <c r="W817" s="18">
        <f t="shared" si="272"/>
        <v>10</v>
      </c>
      <c r="X817" s="18">
        <f t="shared" si="273"/>
        <v>2025</v>
      </c>
      <c r="Y817" s="2">
        <f t="shared" si="266"/>
        <v>1</v>
      </c>
      <c r="Z817" t="str">
        <f t="shared" si="267"/>
        <v>SO17621</v>
      </c>
      <c r="AA817" s="11">
        <f t="shared" si="274"/>
        <v>45870.75540509259</v>
      </c>
      <c r="AB817" s="5" t="str">
        <f t="shared" si="275"/>
        <v>INV13392</v>
      </c>
      <c r="AC817" s="5" t="str">
        <f>IFERROR(VLOOKUP(D817,CAARStatus!$A$2:$AA$1600,22,FALSE),"Not invoiced")</f>
        <v>Paid</v>
      </c>
      <c r="AD817" s="11">
        <f>IF(AC817="Paid",IFERROR(VLOOKUP(D817,CAARStatus!$A$2:$AA$1600,6,FALSE),"Pending"),"Pending")</f>
        <v>45947</v>
      </c>
      <c r="AE817" s="5" t="str">
        <f t="shared" si="276"/>
        <v>10572</v>
      </c>
      <c r="AF817" s="5" t="str">
        <f t="shared" si="277"/>
        <v>Canadian Industrial Pumps Ltd</v>
      </c>
      <c r="AG817" s="5" t="str">
        <f t="shared" si="278"/>
        <v>CAD</v>
      </c>
      <c r="AH817" s="5">
        <f t="shared" si="279"/>
        <v>7603.02</v>
      </c>
      <c r="AI817" s="12">
        <f>IF(L817-N817=0,VLOOKUP(U817,rate!A$4:B$15,2,FALSE)*AH817,IF(AG817="USD",O817,AH817*Y817))</f>
        <v>5506.5517257967967</v>
      </c>
      <c r="AJ817" s="13">
        <f t="shared" si="280"/>
        <v>0.72425848226057499</v>
      </c>
      <c r="AK817" s="61">
        <f>IF(AC817="Paid",-IF(AG817="CAD",IFERROR(VLOOKUP(D817,CAARStatus!$A$1:$Y$1600,16,FALSE),0),0),0)</f>
        <v>-7603.02</v>
      </c>
      <c r="AL817" s="61">
        <f>IF(AC817="Paid",-IF(AG817="USD",IFERROR(VLOOKUP(D817,CAARStatus!$A$1:$Y$1600,11,FALSE),0),0),0)</f>
        <v>0</v>
      </c>
      <c r="AM817" s="22">
        <f t="shared" si="281"/>
        <v>0</v>
      </c>
      <c r="AN817" s="12" t="str">
        <f t="shared" si="282"/>
        <v/>
      </c>
      <c r="AO817" s="12" t="str">
        <f t="shared" si="283"/>
        <v>Yes</v>
      </c>
      <c r="AP817" t="str">
        <f t="shared" si="268"/>
        <v>XX</v>
      </c>
      <c r="AQ817" t="str">
        <f>IFERROR(VLOOKUP(Z817,InvBal!$L$4:$P$600,4,FALSE),"Pend")</f>
        <v>Yes</v>
      </c>
      <c r="AR817" t="str">
        <f>IFERROR(VLOOKUP(D817,Manual!$C$1:$E$22,2,FALSE),"Pend")</f>
        <v>Pend</v>
      </c>
      <c r="AS817" t="str">
        <f t="shared" si="284"/>
        <v>Yes</v>
      </c>
      <c r="AT817" t="str">
        <f t="shared" si="285"/>
        <v/>
      </c>
      <c r="AU817" s="51" t="str">
        <f t="shared" si="286"/>
        <v/>
      </c>
      <c r="AV817" s="12">
        <f>IFERROR(VLOOKUP(D817,'Receivable Invoice Detail'!$S$1:$U$3014,3,FALSE),0)</f>
        <v>0</v>
      </c>
      <c r="AW817" s="12">
        <f t="shared" si="287"/>
        <v>0</v>
      </c>
    </row>
    <row r="818" spans="1:49" ht="45" x14ac:dyDescent="0.25">
      <c r="A818" s="2"/>
      <c r="B818" s="2"/>
      <c r="C818" s="2"/>
      <c r="D818" s="2" t="s">
        <v>3144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>
        <f t="shared" si="269"/>
        <v>2</v>
      </c>
      <c r="U818" s="18">
        <f t="shared" si="270"/>
        <v>8</v>
      </c>
      <c r="V818" s="18">
        <f t="shared" si="271"/>
        <v>2025</v>
      </c>
      <c r="W818" s="18" t="str">
        <f t="shared" si="272"/>
        <v/>
      </c>
      <c r="X818" s="18" t="str">
        <f t="shared" si="273"/>
        <v/>
      </c>
      <c r="Y818" s="2">
        <f t="shared" si="266"/>
        <v>1</v>
      </c>
      <c r="Z818" t="str">
        <f t="shared" si="267"/>
        <v>SO17621</v>
      </c>
      <c r="AA818" s="11">
        <f t="shared" si="274"/>
        <v>45870.75540509259</v>
      </c>
      <c r="AB818" s="5" t="str">
        <f t="shared" si="275"/>
        <v>Borrador de nota de crédito RINV/2025/00003</v>
      </c>
      <c r="AC818" s="5" t="str">
        <f>IFERROR(VLOOKUP(D818,CAARStatus!$A$2:$AA$1600,22,FALSE),"Not invoiced")</f>
        <v>Not invoiced</v>
      </c>
      <c r="AD818" s="11" t="str">
        <f>IF(AC818="Paid",IFERROR(VLOOKUP(D818,CAARStatus!$A$2:$AA$1600,6,FALSE),"Pending"),"Pending")</f>
        <v>Pending</v>
      </c>
      <c r="AE818" s="5" t="str">
        <f t="shared" si="276"/>
        <v>10572</v>
      </c>
      <c r="AF818" s="5" t="str">
        <f t="shared" si="277"/>
        <v>Canadian Industrial Pumps Ltd</v>
      </c>
      <c r="AG818" s="5" t="str">
        <f t="shared" si="278"/>
        <v>CAD</v>
      </c>
      <c r="AH818" s="5">
        <f t="shared" si="279"/>
        <v>0</v>
      </c>
      <c r="AI818" s="12">
        <f>IF(L818-N818=0,VLOOKUP(U818,rate!A$4:B$15,2,FALSE)*AH818,IF(AG818="USD",O818,AH818*Y818))</f>
        <v>0</v>
      </c>
      <c r="AJ818" s="13">
        <f t="shared" si="280"/>
        <v>0</v>
      </c>
      <c r="AK818" s="61">
        <f>IF(AC818="Paid",-IF(AG818="CAD",IFERROR(VLOOKUP(D818,CAARStatus!$A$1:$Y$1600,16,FALSE),0),0),0)</f>
        <v>0</v>
      </c>
      <c r="AL818" s="61">
        <f>IF(AC818="Paid",-IF(AG818="USD",IFERROR(VLOOKUP(D818,CAARStatus!$A$1:$Y$1600,11,FALSE),0),0),0)</f>
        <v>0</v>
      </c>
      <c r="AM818" s="22">
        <f t="shared" si="281"/>
        <v>0</v>
      </c>
      <c r="AN818" s="12" t="str">
        <f t="shared" si="282"/>
        <v/>
      </c>
      <c r="AO818" s="12" t="str">
        <f t="shared" si="283"/>
        <v>Pend</v>
      </c>
      <c r="AP818" t="str">
        <f t="shared" si="268"/>
        <v>XX</v>
      </c>
      <c r="AQ818" t="str">
        <f>IFERROR(VLOOKUP(Z818,InvBal!$L$4:$P$600,4,FALSE),"Pend")</f>
        <v>Yes</v>
      </c>
      <c r="AR818" t="str">
        <f>IFERROR(VLOOKUP(D818,Manual!$C$1:$E$22,2,FALSE),"Pend")</f>
        <v>Pend</v>
      </c>
      <c r="AS818" t="str">
        <f t="shared" si="284"/>
        <v>Yes</v>
      </c>
      <c r="AT818" t="str">
        <f t="shared" si="285"/>
        <v/>
      </c>
      <c r="AU818" s="51" t="str">
        <f t="shared" si="286"/>
        <v/>
      </c>
      <c r="AV818" s="12">
        <f>IFERROR(VLOOKUP(D818,'Receivable Invoice Detail'!$S$1:$U$3014,3,FALSE),0)</f>
        <v>0</v>
      </c>
      <c r="AW818" s="12">
        <f t="shared" si="287"/>
        <v>0</v>
      </c>
    </row>
    <row r="819" spans="1:49" ht="30" x14ac:dyDescent="0.25">
      <c r="A819" s="2">
        <v>3</v>
      </c>
      <c r="B819" s="2" t="s">
        <v>795</v>
      </c>
      <c r="C819" s="2" t="s">
        <v>796</v>
      </c>
      <c r="D819" s="2" t="s">
        <v>3108</v>
      </c>
      <c r="E819" s="2" t="s">
        <v>159</v>
      </c>
      <c r="F819" s="3">
        <v>45873.643368055556</v>
      </c>
      <c r="G819" s="3">
        <v>45891.415150462963</v>
      </c>
      <c r="H819" s="4">
        <v>45995</v>
      </c>
      <c r="I819" s="2" t="s">
        <v>40</v>
      </c>
      <c r="J819" s="2" t="s">
        <v>51</v>
      </c>
      <c r="K819" s="2">
        <v>0.71937460738912617</v>
      </c>
      <c r="L819" s="2">
        <v>95905.386833706652</v>
      </c>
      <c r="M819" s="2">
        <v>0</v>
      </c>
      <c r="N819" s="2">
        <v>68991.899999999994</v>
      </c>
      <c r="O819" s="2">
        <v>68991.899999999994</v>
      </c>
      <c r="P819" s="2"/>
      <c r="Q819" s="2">
        <v>68991.899999999994</v>
      </c>
      <c r="R819" s="2" t="s">
        <v>44</v>
      </c>
      <c r="S819" s="2"/>
      <c r="T819" s="2">
        <f t="shared" si="269"/>
        <v>3</v>
      </c>
      <c r="U819" s="18">
        <f t="shared" si="270"/>
        <v>8</v>
      </c>
      <c r="V819" s="18">
        <f t="shared" si="271"/>
        <v>2025</v>
      </c>
      <c r="W819" s="18" t="str">
        <f t="shared" si="272"/>
        <v/>
      </c>
      <c r="X819" s="18" t="str">
        <f t="shared" si="273"/>
        <v/>
      </c>
      <c r="Y819" s="2">
        <f t="shared" si="266"/>
        <v>0.71937460738912617</v>
      </c>
      <c r="Z819" t="str">
        <f t="shared" si="267"/>
        <v>SO17625</v>
      </c>
      <c r="AA819" s="11">
        <f t="shared" si="274"/>
        <v>45873.643368055556</v>
      </c>
      <c r="AB819" s="5" t="str">
        <f t="shared" si="275"/>
        <v>INV13478</v>
      </c>
      <c r="AC819" s="5" t="str">
        <f>IFERROR(VLOOKUP(D819,CAARStatus!$A$2:$AA$1600,22,FALSE),"Not invoiced")</f>
        <v>Not invoiced</v>
      </c>
      <c r="AD819" s="11" t="str">
        <f>IF(AC819="Paid",IFERROR(VLOOKUP(D819,CAARStatus!$A$2:$AA$1600,6,FALSE),"Pending"),"Pending")</f>
        <v>Pending</v>
      </c>
      <c r="AE819" s="5" t="str">
        <f t="shared" si="276"/>
        <v>4501259937</v>
      </c>
      <c r="AF819" s="5" t="str">
        <f t="shared" si="277"/>
        <v>Barrick Gold - Pueblo Viejo Dominicana Corporation</v>
      </c>
      <c r="AG819" s="5" t="str">
        <f t="shared" si="278"/>
        <v>USD</v>
      </c>
      <c r="AH819" s="5">
        <f t="shared" si="279"/>
        <v>95905.386833706652</v>
      </c>
      <c r="AI819" s="12">
        <f>IF(L819-N819=0,VLOOKUP(U819,rate!A$4:B$15,2,FALSE)*AH819,IF(AG819="USD",O819,AH819*Y819))</f>
        <v>68991.899999999994</v>
      </c>
      <c r="AJ819" s="13">
        <f t="shared" si="280"/>
        <v>0.71937460738912617</v>
      </c>
      <c r="AK819" s="13">
        <f>-IF(AG819="CAD",IFERROR(VLOOKUP(D819,CAARStatus!$A$1:$Y$1600,16,FALSE),0),0)</f>
        <v>0</v>
      </c>
      <c r="AL819" s="13">
        <f>-IF(AG819="USD",IFERROR(VLOOKUP(D819,CAARStatus!$A$1:$Y$1600,11,FALSE),0),0)</f>
        <v>0</v>
      </c>
      <c r="AM819" s="22" t="str">
        <f t="shared" si="281"/>
        <v/>
      </c>
      <c r="AN819" s="12">
        <f t="shared" si="282"/>
        <v>68991.899999999994</v>
      </c>
      <c r="AO819" s="12" t="str">
        <f t="shared" si="283"/>
        <v>Pend</v>
      </c>
      <c r="AP819" t="str">
        <f t="shared" si="268"/>
        <v>XX</v>
      </c>
      <c r="AQ819" t="str">
        <f>IFERROR(VLOOKUP(Z819,InvBal!$L$4:$P$600,4,FALSE),"Pend")</f>
        <v>Yes</v>
      </c>
      <c r="AR819" t="str">
        <f>IFERROR(VLOOKUP(D819,Manual!$C$1:$E$22,2,FALSE),"Pend")</f>
        <v>Pend</v>
      </c>
      <c r="AS819" t="str">
        <f t="shared" si="284"/>
        <v>Yes</v>
      </c>
      <c r="AT819" t="str">
        <f t="shared" si="285"/>
        <v>Yes</v>
      </c>
      <c r="AU819" s="51" t="str">
        <f t="shared" si="286"/>
        <v>Yes</v>
      </c>
      <c r="AV819" s="12">
        <f>IFERROR(VLOOKUP(D819,'Receivable Invoice Detail'!$S$1:$U$3014,3,FALSE),0)</f>
        <v>0</v>
      </c>
      <c r="AW819" s="12">
        <f t="shared" si="287"/>
        <v>68991.899999999994</v>
      </c>
    </row>
    <row r="820" spans="1:49" x14ac:dyDescent="0.25">
      <c r="A820" s="2"/>
      <c r="B820" s="2"/>
      <c r="C820" s="2"/>
      <c r="D820" s="2" t="s">
        <v>3107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f t="shared" si="269"/>
        <v>3</v>
      </c>
      <c r="U820" s="18">
        <f t="shared" si="270"/>
        <v>8</v>
      </c>
      <c r="V820" s="18">
        <f t="shared" si="271"/>
        <v>2025</v>
      </c>
      <c r="W820" s="18">
        <f t="shared" si="272"/>
        <v>12</v>
      </c>
      <c r="X820" s="18">
        <f t="shared" si="273"/>
        <v>2025</v>
      </c>
      <c r="Y820" s="2">
        <f t="shared" si="266"/>
        <v>0.71937460738912617</v>
      </c>
      <c r="Z820" t="str">
        <f t="shared" si="267"/>
        <v>SO17625</v>
      </c>
      <c r="AA820" s="11">
        <f t="shared" si="274"/>
        <v>45873.643368055556</v>
      </c>
      <c r="AB820" s="5" t="str">
        <f t="shared" si="275"/>
        <v>INV13335</v>
      </c>
      <c r="AC820" s="5" t="str">
        <f>IFERROR(VLOOKUP(D820,CAARStatus!$A$2:$AA$1600,22,FALSE),"Not invoiced")</f>
        <v>Paid</v>
      </c>
      <c r="AD820" s="11">
        <f>IF(AC820="Paid",IFERROR(VLOOKUP(D820,CAARStatus!$A$2:$AA$1600,6,FALSE),"Pending"),"Pending")</f>
        <v>46003</v>
      </c>
      <c r="AE820" s="5" t="str">
        <f t="shared" si="276"/>
        <v>4501259937</v>
      </c>
      <c r="AF820" s="5" t="str">
        <f t="shared" si="277"/>
        <v>Barrick Gold - Pueblo Viejo Dominicana Corporation</v>
      </c>
      <c r="AG820" s="5" t="str">
        <f t="shared" si="278"/>
        <v>USD</v>
      </c>
      <c r="AH820" s="5">
        <f t="shared" si="279"/>
        <v>0</v>
      </c>
      <c r="AI820" s="12">
        <f>IF(L820-N820=0,VLOOKUP(U820,rate!A$4:B$15,2,FALSE)*AH820,IF(AG820="USD",O820,AH820*Y820))</f>
        <v>0</v>
      </c>
      <c r="AJ820" s="13">
        <f t="shared" si="280"/>
        <v>0</v>
      </c>
      <c r="AK820" s="13">
        <f>-IF(AG820="CAD",IFERROR(VLOOKUP(D820,CAARStatus!$A$1:$Y$1600,16,FALSE),0),0)</f>
        <v>0</v>
      </c>
      <c r="AL820" s="13">
        <f>-IF(AG820="USD",IFERROR(VLOOKUP(D820,CAARStatus!$A$1:$Y$1600,11,FALSE),0),0)</f>
        <v>-41311.9</v>
      </c>
      <c r="AM820" s="22" t="str">
        <f t="shared" si="281"/>
        <v/>
      </c>
      <c r="AN820" s="12">
        <f t="shared" si="282"/>
        <v>-41311.9</v>
      </c>
      <c r="AO820" s="12" t="str">
        <f t="shared" si="283"/>
        <v>Yes</v>
      </c>
      <c r="AP820" t="str">
        <f t="shared" si="268"/>
        <v>XX</v>
      </c>
      <c r="AQ820" t="str">
        <f>IFERROR(VLOOKUP(Z820,InvBal!$L$4:$P$600,4,FALSE),"Pend")</f>
        <v>Yes</v>
      </c>
      <c r="AR820" t="str">
        <f>IFERROR(VLOOKUP(D820,Manual!$C$1:$E$22,2,FALSE),"Pend")</f>
        <v>Pend</v>
      </c>
      <c r="AS820" t="str">
        <f t="shared" si="284"/>
        <v>Yes</v>
      </c>
      <c r="AT820" t="str">
        <f t="shared" si="285"/>
        <v/>
      </c>
      <c r="AU820" s="51" t="str">
        <f t="shared" si="286"/>
        <v/>
      </c>
      <c r="AV820" s="12">
        <f>IFERROR(VLOOKUP(D820,'Receivable Invoice Detail'!$S$1:$U$3014,3,FALSE),0)</f>
        <v>0</v>
      </c>
      <c r="AW820" s="12">
        <f t="shared" si="287"/>
        <v>0</v>
      </c>
    </row>
    <row r="821" spans="1:49" x14ac:dyDescent="0.25">
      <c r="A821" s="2"/>
      <c r="B821" s="2"/>
      <c r="C821" s="2"/>
      <c r="D821" s="2" t="s">
        <v>3106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f t="shared" si="269"/>
        <v>3</v>
      </c>
      <c r="U821" s="18">
        <f t="shared" si="270"/>
        <v>8</v>
      </c>
      <c r="V821" s="18">
        <f t="shared" si="271"/>
        <v>2025</v>
      </c>
      <c r="W821" s="18">
        <f t="shared" si="272"/>
        <v>12</v>
      </c>
      <c r="X821" s="18">
        <f t="shared" si="273"/>
        <v>2025</v>
      </c>
      <c r="Y821" s="2">
        <f t="shared" si="266"/>
        <v>0.71937460738912617</v>
      </c>
      <c r="Z821" t="str">
        <f t="shared" si="267"/>
        <v>SO17625</v>
      </c>
      <c r="AA821" s="11">
        <f t="shared" si="274"/>
        <v>45873.643368055556</v>
      </c>
      <c r="AB821" s="5" t="str">
        <f t="shared" si="275"/>
        <v>INV13573</v>
      </c>
      <c r="AC821" s="5" t="str">
        <f>IFERROR(VLOOKUP(D821,CAARStatus!$A$2:$AA$1600,22,FALSE),"Not invoiced")</f>
        <v>Paid</v>
      </c>
      <c r="AD821" s="11">
        <f>IF(AC821="Paid",IFERROR(VLOOKUP(D821,CAARStatus!$A$2:$AA$1600,6,FALSE),"Pending"),"Pending")</f>
        <v>46003</v>
      </c>
      <c r="AE821" s="5" t="str">
        <f t="shared" si="276"/>
        <v>4501259937</v>
      </c>
      <c r="AF821" s="5" t="str">
        <f t="shared" si="277"/>
        <v>Barrick Gold - Pueblo Viejo Dominicana Corporation</v>
      </c>
      <c r="AG821" s="5" t="str">
        <f t="shared" si="278"/>
        <v>USD</v>
      </c>
      <c r="AH821" s="5">
        <f t="shared" si="279"/>
        <v>0</v>
      </c>
      <c r="AI821" s="12">
        <f>IF(L821-N821=0,VLOOKUP(U821,rate!A$4:B$15,2,FALSE)*AH821,IF(AG821="USD",O821,AH821*Y821))</f>
        <v>0</v>
      </c>
      <c r="AJ821" s="13">
        <f t="shared" si="280"/>
        <v>0</v>
      </c>
      <c r="AK821" s="13">
        <f>-IF(AG821="CAD",IFERROR(VLOOKUP(D821,CAARStatus!$A$1:$Y$1600,16,FALSE),0),0)</f>
        <v>0</v>
      </c>
      <c r="AL821" s="13">
        <f>-IF(AG821="USD",IFERROR(VLOOKUP(D821,CAARStatus!$A$1:$Y$1600,11,FALSE),0),0)</f>
        <v>-27680</v>
      </c>
      <c r="AM821" s="22" t="str">
        <f t="shared" si="281"/>
        <v/>
      </c>
      <c r="AN821" s="12">
        <f t="shared" si="282"/>
        <v>-27680</v>
      </c>
      <c r="AO821" s="12" t="str">
        <f t="shared" si="283"/>
        <v>Yes</v>
      </c>
      <c r="AP821" t="str">
        <f t="shared" si="268"/>
        <v>XX</v>
      </c>
      <c r="AQ821" t="str">
        <f>IFERROR(VLOOKUP(Z821,InvBal!$L$4:$P$600,4,FALSE),"Pend")</f>
        <v>Yes</v>
      </c>
      <c r="AR821" t="str">
        <f>IFERROR(VLOOKUP(D821,Manual!$C$1:$E$22,2,FALSE),"Pend")</f>
        <v>Pend</v>
      </c>
      <c r="AS821" t="str">
        <f t="shared" si="284"/>
        <v>Yes</v>
      </c>
      <c r="AT821" t="str">
        <f t="shared" si="285"/>
        <v/>
      </c>
      <c r="AU821" s="51" t="str">
        <f t="shared" si="286"/>
        <v/>
      </c>
      <c r="AV821" s="12">
        <f>IFERROR(VLOOKUP(D821,'Receivable Invoice Detail'!$S$1:$U$3014,3,FALSE),0)</f>
        <v>0</v>
      </c>
      <c r="AW821" s="12">
        <f t="shared" si="287"/>
        <v>0</v>
      </c>
    </row>
    <row r="822" spans="1:49" x14ac:dyDescent="0.25">
      <c r="A822" s="2">
        <v>1</v>
      </c>
      <c r="B822" s="2" t="s">
        <v>890</v>
      </c>
      <c r="C822" s="2" t="s">
        <v>891</v>
      </c>
      <c r="D822" s="2" t="s">
        <v>3060</v>
      </c>
      <c r="E822" s="2" t="s">
        <v>146</v>
      </c>
      <c r="F822" s="3">
        <v>45874.370694444442</v>
      </c>
      <c r="G822" s="3">
        <v>45875.564641203702</v>
      </c>
      <c r="H822" s="4">
        <v>45876</v>
      </c>
      <c r="I822" s="2" t="s">
        <v>40</v>
      </c>
      <c r="J822" s="2" t="s">
        <v>22</v>
      </c>
      <c r="K822" s="2">
        <v>1</v>
      </c>
      <c r="L822" s="2">
        <v>380.77</v>
      </c>
      <c r="M822" s="2">
        <v>0</v>
      </c>
      <c r="N822" s="2">
        <v>277.09685558835798</v>
      </c>
      <c r="O822" s="2">
        <v>362.64</v>
      </c>
      <c r="P822" s="2">
        <v>18.13</v>
      </c>
      <c r="Q822" s="2">
        <v>380.77</v>
      </c>
      <c r="R822" s="2" t="s">
        <v>44</v>
      </c>
      <c r="S822" s="2"/>
      <c r="T822" s="2">
        <f t="shared" si="269"/>
        <v>1</v>
      </c>
      <c r="U822" s="18">
        <f t="shared" si="270"/>
        <v>8</v>
      </c>
      <c r="V822" s="18">
        <f t="shared" si="271"/>
        <v>2025</v>
      </c>
      <c r="W822" s="18">
        <f t="shared" si="272"/>
        <v>9</v>
      </c>
      <c r="X822" s="18">
        <f t="shared" si="273"/>
        <v>2025</v>
      </c>
      <c r="Y822" s="2">
        <f t="shared" si="266"/>
        <v>0.72772764552973712</v>
      </c>
      <c r="Z822" t="str">
        <f t="shared" si="267"/>
        <v>SO17626</v>
      </c>
      <c r="AA822" s="11">
        <f t="shared" si="274"/>
        <v>45874.370694444442</v>
      </c>
      <c r="AB822" s="5" t="str">
        <f t="shared" si="275"/>
        <v>INV13280</v>
      </c>
      <c r="AC822" s="5" t="str">
        <f>IFERROR(VLOOKUP(D822,CAARStatus!$A$2:$AA$1600,22,FALSE),"Not invoiced")</f>
        <v>Paid</v>
      </c>
      <c r="AD822" s="11">
        <f>IF(AC822="Paid",IFERROR(VLOOKUP(D822,CAARStatus!$A$2:$AA$1600,6,FALSE),"Pending"),"Pending")</f>
        <v>45912</v>
      </c>
      <c r="AE822" s="5" t="str">
        <f t="shared" si="276"/>
        <v>7514</v>
      </c>
      <c r="AF822" s="5" t="str">
        <f t="shared" si="277"/>
        <v>Hyperflo</v>
      </c>
      <c r="AG822" s="5" t="str">
        <f t="shared" si="278"/>
        <v>CAD</v>
      </c>
      <c r="AH822" s="5">
        <f t="shared" si="279"/>
        <v>362.64</v>
      </c>
      <c r="AI822" s="12">
        <f>IF(L822-N822=0,VLOOKUP(U822,rate!A$4:B$15,2,FALSE)*AH822,IF(AG822="USD",O822,AH822*Y822))</f>
        <v>263.90315337490387</v>
      </c>
      <c r="AJ822" s="13">
        <f t="shared" si="280"/>
        <v>0.72772764552973712</v>
      </c>
      <c r="AK822" s="13">
        <f>-IF(AG822="CAD",IFERROR(VLOOKUP(D822,CAARStatus!$A$1:$Y$1600,16,FALSE),0),0)</f>
        <v>-362.64</v>
      </c>
      <c r="AL822" s="13">
        <f>-IF(AG822="USD",IFERROR(VLOOKUP(D822,CAARStatus!$A$1:$Y$1600,11,FALSE),0),0)</f>
        <v>0</v>
      </c>
      <c r="AM822" s="22">
        <f t="shared" si="281"/>
        <v>0</v>
      </c>
      <c r="AN822" s="12" t="str">
        <f t="shared" si="282"/>
        <v/>
      </c>
      <c r="AO822" s="12" t="str">
        <f t="shared" si="283"/>
        <v>Yes</v>
      </c>
      <c r="AP822" t="str">
        <f t="shared" si="268"/>
        <v>Yes</v>
      </c>
      <c r="AQ822" t="str">
        <f>IFERROR(VLOOKUP(Z822,InvBal!$L$4:$P$600,4,FALSE),"Pend")</f>
        <v>Pend</v>
      </c>
      <c r="AR822" t="str">
        <f>IFERROR(VLOOKUP(D822,Manual!$C$1:$E$22,2,FALSE),"Pend")</f>
        <v>Pend</v>
      </c>
      <c r="AS822" t="str">
        <f t="shared" si="284"/>
        <v>Yes</v>
      </c>
      <c r="AT822" t="str">
        <f t="shared" si="285"/>
        <v>Yes</v>
      </c>
      <c r="AU822" s="51" t="str">
        <f t="shared" si="286"/>
        <v>Yes</v>
      </c>
      <c r="AV822" s="12">
        <f>IFERROR(VLOOKUP(D822,'Receivable Invoice Detail'!$S$1:$U$3014,3,FALSE),0)</f>
        <v>0</v>
      </c>
      <c r="AW822" s="12">
        <f t="shared" si="287"/>
        <v>263.90315337490387</v>
      </c>
    </row>
    <row r="823" spans="1:49" ht="30" x14ac:dyDescent="0.25">
      <c r="A823" s="2">
        <v>1</v>
      </c>
      <c r="B823" s="2" t="s">
        <v>902</v>
      </c>
      <c r="C823" s="2" t="s">
        <v>903</v>
      </c>
      <c r="D823" s="2" t="s">
        <v>3055</v>
      </c>
      <c r="E823" s="2" t="s">
        <v>159</v>
      </c>
      <c r="F823" s="3">
        <v>45874.401678240742</v>
      </c>
      <c r="G823" s="3">
        <v>45874.401678240742</v>
      </c>
      <c r="H823" s="4">
        <v>45891</v>
      </c>
      <c r="I823" s="2" t="s">
        <v>40</v>
      </c>
      <c r="J823" s="2" t="s">
        <v>51</v>
      </c>
      <c r="K823" s="2">
        <v>0.72590381117935043</v>
      </c>
      <c r="L823" s="2">
        <v>7978.9083771168953</v>
      </c>
      <c r="M823" s="2">
        <v>0</v>
      </c>
      <c r="N823" s="2">
        <v>5791.92</v>
      </c>
      <c r="O823" s="2">
        <v>5791.92</v>
      </c>
      <c r="P823" s="2"/>
      <c r="Q823" s="2">
        <v>5791.92</v>
      </c>
      <c r="R823" s="2" t="s">
        <v>44</v>
      </c>
      <c r="S823" s="2"/>
      <c r="T823" s="2">
        <f t="shared" si="269"/>
        <v>1</v>
      </c>
      <c r="U823" s="18">
        <f t="shared" si="270"/>
        <v>8</v>
      </c>
      <c r="V823" s="18">
        <f t="shared" si="271"/>
        <v>2025</v>
      </c>
      <c r="W823" s="18">
        <f t="shared" si="272"/>
        <v>10</v>
      </c>
      <c r="X823" s="18">
        <f t="shared" si="273"/>
        <v>2025</v>
      </c>
      <c r="Y823" s="2">
        <f t="shared" si="266"/>
        <v>0.72590381117935043</v>
      </c>
      <c r="Z823" t="str">
        <f t="shared" si="267"/>
        <v>SO17627</v>
      </c>
      <c r="AA823" s="11">
        <f t="shared" si="274"/>
        <v>45874.401678240742</v>
      </c>
      <c r="AB823" s="5" t="str">
        <f t="shared" si="275"/>
        <v>INV13333</v>
      </c>
      <c r="AC823" s="5" t="str">
        <f>IFERROR(VLOOKUP(D823,CAARStatus!$A$2:$AA$1600,22,FALSE),"Not invoiced")</f>
        <v>Paid</v>
      </c>
      <c r="AD823" s="11">
        <f>IF(AC823="Paid",IFERROR(VLOOKUP(D823,CAARStatus!$A$2:$AA$1600,6,FALSE),"Pending"),"Pending")</f>
        <v>45931</v>
      </c>
      <c r="AE823" s="5" t="str">
        <f t="shared" si="276"/>
        <v>4501263629</v>
      </c>
      <c r="AF823" s="5" t="str">
        <f t="shared" si="277"/>
        <v>Barrick Gold - Pueblo Viejo Dominicana Corporation</v>
      </c>
      <c r="AG823" s="5" t="str">
        <f t="shared" si="278"/>
        <v>USD</v>
      </c>
      <c r="AH823" s="5">
        <f t="shared" si="279"/>
        <v>7978.9083771168953</v>
      </c>
      <c r="AI823" s="12">
        <f>IF(L823-N823=0,VLOOKUP(U823,rate!A$4:B$15,2,FALSE)*AH823,IF(AG823="USD",O823,AH823*Y823))</f>
        <v>5791.92</v>
      </c>
      <c r="AJ823" s="13">
        <f t="shared" si="280"/>
        <v>0.72590381117935043</v>
      </c>
      <c r="AK823" s="13">
        <f>-IF(AG823="CAD",IFERROR(VLOOKUP(D823,CAARStatus!$A$1:$Y$1600,16,FALSE),0),0)</f>
        <v>0</v>
      </c>
      <c r="AL823" s="13">
        <f>-IF(AG823="USD",IFERROR(VLOOKUP(D823,CAARStatus!$A$1:$Y$1600,11,FALSE),0),0)</f>
        <v>-5791.92</v>
      </c>
      <c r="AM823" s="22" t="str">
        <f t="shared" si="281"/>
        <v/>
      </c>
      <c r="AN823" s="12">
        <f t="shared" si="282"/>
        <v>0</v>
      </c>
      <c r="AO823" s="12" t="str">
        <f t="shared" si="283"/>
        <v>Yes</v>
      </c>
      <c r="AP823" t="str">
        <f t="shared" si="268"/>
        <v>Yes</v>
      </c>
      <c r="AQ823" t="str">
        <f>IFERROR(VLOOKUP(Z823,InvBal!$L$4:$P$600,4,FALSE),"Pend")</f>
        <v>Pend</v>
      </c>
      <c r="AR823" t="str">
        <f>IFERROR(VLOOKUP(D823,Manual!$C$1:$E$22,2,FALSE),"Pend")</f>
        <v>Pend</v>
      </c>
      <c r="AS823" t="str">
        <f t="shared" si="284"/>
        <v>Yes</v>
      </c>
      <c r="AT823" t="str">
        <f t="shared" si="285"/>
        <v>Yes</v>
      </c>
      <c r="AU823" s="51" t="str">
        <f t="shared" si="286"/>
        <v>Yes</v>
      </c>
      <c r="AV823" s="12">
        <f>IFERROR(VLOOKUP(D823,'Receivable Invoice Detail'!$S$1:$U$3014,3,FALSE),0)</f>
        <v>0</v>
      </c>
      <c r="AW823" s="12">
        <f t="shared" si="287"/>
        <v>5791.92</v>
      </c>
    </row>
    <row r="824" spans="1:49" ht="30" x14ac:dyDescent="0.25">
      <c r="A824" s="2">
        <v>1</v>
      </c>
      <c r="B824" s="2" t="s">
        <v>821</v>
      </c>
      <c r="C824" s="2" t="s">
        <v>822</v>
      </c>
      <c r="D824" s="2" t="s">
        <v>3094</v>
      </c>
      <c r="E824" s="2" t="s">
        <v>159</v>
      </c>
      <c r="F824" s="3">
        <v>45874.41306712963</v>
      </c>
      <c r="G824" s="3">
        <v>45887.629930555559</v>
      </c>
      <c r="H824" s="4">
        <v>45891</v>
      </c>
      <c r="I824" s="2" t="s">
        <v>40</v>
      </c>
      <c r="J824" s="2" t="s">
        <v>51</v>
      </c>
      <c r="K824" s="2">
        <v>0.7240742470894046</v>
      </c>
      <c r="L824" s="2">
        <v>15526.36355344906</v>
      </c>
      <c r="M824" s="2">
        <v>0</v>
      </c>
      <c r="N824" s="2">
        <v>11242.24</v>
      </c>
      <c r="O824" s="2">
        <v>11242.24</v>
      </c>
      <c r="P824" s="2"/>
      <c r="Q824" s="2">
        <v>11242.24</v>
      </c>
      <c r="R824" s="2" t="s">
        <v>44</v>
      </c>
      <c r="S824" s="2"/>
      <c r="T824" s="2">
        <f t="shared" si="269"/>
        <v>1</v>
      </c>
      <c r="U824" s="18">
        <f t="shared" si="270"/>
        <v>8</v>
      </c>
      <c r="V824" s="18">
        <f t="shared" si="271"/>
        <v>2025</v>
      </c>
      <c r="W824" s="18">
        <f t="shared" si="272"/>
        <v>9</v>
      </c>
      <c r="X824" s="18">
        <f t="shared" si="273"/>
        <v>2025</v>
      </c>
      <c r="Y824" s="2">
        <f t="shared" si="266"/>
        <v>0.72407424708940449</v>
      </c>
      <c r="Z824" t="str">
        <f t="shared" si="267"/>
        <v>SO17628</v>
      </c>
      <c r="AA824" s="11">
        <f t="shared" si="274"/>
        <v>45874.41306712963</v>
      </c>
      <c r="AB824" s="5" t="str">
        <f t="shared" si="275"/>
        <v>INV13334</v>
      </c>
      <c r="AC824" s="5" t="str">
        <f>IFERROR(VLOOKUP(D824,CAARStatus!$A$2:$AA$1600,22,FALSE),"Not invoiced")</f>
        <v>Paid</v>
      </c>
      <c r="AD824" s="11">
        <f>IF(AC824="Paid",IFERROR(VLOOKUP(D824,CAARStatus!$A$2:$AA$1600,6,FALSE),"Pending"),"Pending")</f>
        <v>45919</v>
      </c>
      <c r="AE824" s="5" t="str">
        <f t="shared" si="276"/>
        <v>4501262572</v>
      </c>
      <c r="AF824" s="5" t="str">
        <f t="shared" si="277"/>
        <v>Barrick Gold - Pueblo Viejo Dominicana Corporation</v>
      </c>
      <c r="AG824" s="5" t="str">
        <f t="shared" si="278"/>
        <v>USD</v>
      </c>
      <c r="AH824" s="5">
        <f t="shared" si="279"/>
        <v>15526.363553449059</v>
      </c>
      <c r="AI824" s="12">
        <f>IF(L824-N824=0,VLOOKUP(U824,rate!A$4:B$15,2,FALSE)*AH824,IF(AG824="USD",O824,AH824*Y824))</f>
        <v>11242.24</v>
      </c>
      <c r="AJ824" s="13">
        <f t="shared" si="280"/>
        <v>0.7240742470894046</v>
      </c>
      <c r="AK824" s="13">
        <f>-IF(AG824="CAD",IFERROR(VLOOKUP(D824,CAARStatus!$A$1:$Y$1600,16,FALSE),0),0)</f>
        <v>0</v>
      </c>
      <c r="AL824" s="13">
        <f>-IF(AG824="USD",IFERROR(VLOOKUP(D824,CAARStatus!$A$1:$Y$1600,11,FALSE),0),0)</f>
        <v>-11242.24</v>
      </c>
      <c r="AM824" s="22" t="str">
        <f t="shared" si="281"/>
        <v/>
      </c>
      <c r="AN824" s="12">
        <f t="shared" si="282"/>
        <v>0</v>
      </c>
      <c r="AO824" s="12" t="str">
        <f t="shared" si="283"/>
        <v>Yes</v>
      </c>
      <c r="AP824" t="str">
        <f t="shared" si="268"/>
        <v>Yes</v>
      </c>
      <c r="AQ824" t="str">
        <f>IFERROR(VLOOKUP(Z824,InvBal!$L$4:$P$600,4,FALSE),"Pend")</f>
        <v>Pend</v>
      </c>
      <c r="AR824" t="str">
        <f>IFERROR(VLOOKUP(D824,Manual!$C$1:$E$22,2,FALSE),"Pend")</f>
        <v>Pend</v>
      </c>
      <c r="AS824" t="str">
        <f t="shared" si="284"/>
        <v>Yes</v>
      </c>
      <c r="AT824" t="str">
        <f t="shared" si="285"/>
        <v>Yes</v>
      </c>
      <c r="AU824" s="51" t="str">
        <f t="shared" si="286"/>
        <v>Yes</v>
      </c>
      <c r="AV824" s="12">
        <f>IFERROR(VLOOKUP(D824,'Receivable Invoice Detail'!$S$1:$U$3014,3,FALSE),0)</f>
        <v>0</v>
      </c>
      <c r="AW824" s="12">
        <f t="shared" si="287"/>
        <v>11242.24</v>
      </c>
    </row>
    <row r="825" spans="1:49" x14ac:dyDescent="0.25">
      <c r="A825" s="2">
        <v>1</v>
      </c>
      <c r="B825" s="2" t="s">
        <v>892</v>
      </c>
      <c r="C825" s="2" t="s">
        <v>893</v>
      </c>
      <c r="D825" s="2" t="s">
        <v>3059</v>
      </c>
      <c r="E825" s="2" t="s">
        <v>70</v>
      </c>
      <c r="F825" s="3">
        <v>45874.526770833327</v>
      </c>
      <c r="G825" s="3">
        <v>45875.538460648153</v>
      </c>
      <c r="H825" s="4">
        <v>45882</v>
      </c>
      <c r="I825" s="2" t="s">
        <v>71</v>
      </c>
      <c r="J825" s="2" t="s">
        <v>51</v>
      </c>
      <c r="K825" s="2">
        <v>0.72590381117935043</v>
      </c>
      <c r="L825" s="2">
        <v>283.89436289801142</v>
      </c>
      <c r="M825" s="2">
        <v>0</v>
      </c>
      <c r="N825" s="2">
        <v>206.08</v>
      </c>
      <c r="O825" s="2">
        <v>206.08</v>
      </c>
      <c r="P825" s="2"/>
      <c r="Q825" s="2">
        <v>206.08</v>
      </c>
      <c r="R825" s="2" t="s">
        <v>44</v>
      </c>
      <c r="S825" s="2"/>
      <c r="T825" s="2">
        <f t="shared" si="269"/>
        <v>1</v>
      </c>
      <c r="U825" s="18">
        <f t="shared" si="270"/>
        <v>8</v>
      </c>
      <c r="V825" s="18">
        <f t="shared" si="271"/>
        <v>2025</v>
      </c>
      <c r="W825" s="18">
        <f t="shared" si="272"/>
        <v>11</v>
      </c>
      <c r="X825" s="18">
        <f t="shared" si="273"/>
        <v>2025</v>
      </c>
      <c r="Y825" s="2">
        <f t="shared" si="266"/>
        <v>0.72590381117935021</v>
      </c>
      <c r="Z825" t="str">
        <f t="shared" si="267"/>
        <v>SO17630</v>
      </c>
      <c r="AA825" s="11">
        <f t="shared" si="274"/>
        <v>45874.526770833327</v>
      </c>
      <c r="AB825" s="5" t="str">
        <f t="shared" si="275"/>
        <v>INV13282</v>
      </c>
      <c r="AC825" s="5" t="str">
        <f>IFERROR(VLOOKUP(D825,CAARStatus!$A$2:$AA$1600,22,FALSE),"Not invoiced")</f>
        <v>Paid</v>
      </c>
      <c r="AD825" s="11">
        <f>IF(AC825="Paid",IFERROR(VLOOKUP(D825,CAARStatus!$A$2:$AA$1600,6,FALSE),"Pending"),"Pending")</f>
        <v>45965</v>
      </c>
      <c r="AE825" s="5" t="str">
        <f t="shared" si="276"/>
        <v>P364562</v>
      </c>
      <c r="AF825" s="5" t="str">
        <f t="shared" si="277"/>
        <v>Covia Corp - Junction City</v>
      </c>
      <c r="AG825" s="5" t="str">
        <f t="shared" si="278"/>
        <v>USD</v>
      </c>
      <c r="AH825" s="5">
        <f t="shared" si="279"/>
        <v>283.89436289801137</v>
      </c>
      <c r="AI825" s="12">
        <f>IF(L825-N825=0,VLOOKUP(U825,rate!A$4:B$15,2,FALSE)*AH825,IF(AG825="USD",O825,AH825*Y825))</f>
        <v>206.08</v>
      </c>
      <c r="AJ825" s="13">
        <f t="shared" si="280"/>
        <v>0.72590381117935032</v>
      </c>
      <c r="AK825" s="13">
        <f>-IF(AG825="CAD",IFERROR(VLOOKUP(D825,CAARStatus!$A$1:$Y$1600,16,FALSE),0),0)</f>
        <v>0</v>
      </c>
      <c r="AL825" s="13">
        <f>-IF(AG825="USD",IFERROR(VLOOKUP(D825,CAARStatus!$A$1:$Y$1600,11,FALSE),0),0)</f>
        <v>-392.59</v>
      </c>
      <c r="AM825" s="22" t="str">
        <f t="shared" si="281"/>
        <v/>
      </c>
      <c r="AN825" s="12">
        <f t="shared" si="282"/>
        <v>-186.50999999999996</v>
      </c>
      <c r="AO825" s="12" t="str">
        <f t="shared" si="283"/>
        <v>Yes</v>
      </c>
      <c r="AP825" t="str">
        <f t="shared" si="268"/>
        <v>Yes</v>
      </c>
      <c r="AQ825" t="str">
        <f>IFERROR(VLOOKUP(Z825,InvBal!$L$4:$P$600,4,FALSE),"Pend")</f>
        <v>Pend</v>
      </c>
      <c r="AR825" t="str">
        <f>IFERROR(VLOOKUP(D825,Manual!$C$1:$E$22,2,FALSE),"Pend")</f>
        <v>Pend</v>
      </c>
      <c r="AS825" t="str">
        <f t="shared" si="284"/>
        <v>Yes</v>
      </c>
      <c r="AT825" t="str">
        <f t="shared" si="285"/>
        <v>Yes</v>
      </c>
      <c r="AU825" s="51" t="str">
        <f t="shared" si="286"/>
        <v>Yes</v>
      </c>
      <c r="AV825" s="12">
        <f>IFERROR(VLOOKUP(D825,'Receivable Invoice Detail'!$S$1:$U$3014,3,FALSE),0)</f>
        <v>186.51</v>
      </c>
      <c r="AW825" s="12">
        <f t="shared" si="287"/>
        <v>19.570000000000022</v>
      </c>
    </row>
    <row r="826" spans="1:49" x14ac:dyDescent="0.25">
      <c r="A826" s="2">
        <v>1</v>
      </c>
      <c r="B826" s="2" t="s">
        <v>876</v>
      </c>
      <c r="C826" s="2" t="s">
        <v>877</v>
      </c>
      <c r="D826" s="2" t="s">
        <v>6315</v>
      </c>
      <c r="E826" s="2" t="s">
        <v>878</v>
      </c>
      <c r="F826" s="3">
        <v>45874.727430555547</v>
      </c>
      <c r="G826" s="3">
        <v>45877.692997685182</v>
      </c>
      <c r="H826" s="4">
        <v>45996</v>
      </c>
      <c r="I826" s="2" t="s">
        <v>21</v>
      </c>
      <c r="J826" s="2" t="s">
        <v>51</v>
      </c>
      <c r="K826" s="2">
        <v>0.72772764552973712</v>
      </c>
      <c r="L826" s="2">
        <v>3009.065291735601</v>
      </c>
      <c r="M826" s="2">
        <v>0</v>
      </c>
      <c r="N826" s="2">
        <v>2189.7800000000002</v>
      </c>
      <c r="O826" s="2">
        <v>2189.7800000000002</v>
      </c>
      <c r="P826" s="2"/>
      <c r="Q826" s="2">
        <v>2189.7800000000002</v>
      </c>
      <c r="R826" s="2" t="s">
        <v>44</v>
      </c>
      <c r="S826" s="2"/>
      <c r="T826" s="2">
        <f t="shared" si="269"/>
        <v>1</v>
      </c>
      <c r="U826" s="18">
        <f t="shared" si="270"/>
        <v>8</v>
      </c>
      <c r="V826" s="18">
        <f t="shared" si="271"/>
        <v>2025</v>
      </c>
      <c r="W826" s="18" t="str">
        <f t="shared" si="272"/>
        <v/>
      </c>
      <c r="X826" s="18" t="str">
        <f t="shared" si="273"/>
        <v/>
      </c>
      <c r="Y826" s="2">
        <f t="shared" si="266"/>
        <v>0.72772764552973701</v>
      </c>
      <c r="Z826" t="str">
        <f t="shared" si="267"/>
        <v>SO17636</v>
      </c>
      <c r="AA826" s="11">
        <f t="shared" si="274"/>
        <v>45874.727430555547</v>
      </c>
      <c r="AB826" s="5" t="str">
        <f t="shared" si="275"/>
        <v>INV13817</v>
      </c>
      <c r="AC826" s="5" t="str">
        <f>IFERROR(VLOOKUP(D826,CAARStatus!$A$2:$AA$1600,22,FALSE),"Not invoiced")</f>
        <v>Not invoiced</v>
      </c>
      <c r="AD826" s="11" t="str">
        <f>IF(AC826="Paid",IFERROR(VLOOKUP(D826,CAARStatus!$A$2:$AA$1600,6,FALSE),"Pending"),"Pending")</f>
        <v>Pending</v>
      </c>
      <c r="AE826" s="5" t="str">
        <f t="shared" si="276"/>
        <v>9886237</v>
      </c>
      <c r="AF826" s="5" t="str">
        <f t="shared" si="277"/>
        <v>DXP Enterprises, Inc. - Phoenix</v>
      </c>
      <c r="AG826" s="5" t="str">
        <f t="shared" si="278"/>
        <v>USD</v>
      </c>
      <c r="AH826" s="5">
        <f t="shared" si="279"/>
        <v>3009.0652917356006</v>
      </c>
      <c r="AI826" s="12">
        <f>IF(L826-N826=0,VLOOKUP(U826,rate!A$4:B$15,2,FALSE)*AH826,IF(AG826="USD",O826,AH826*Y826))</f>
        <v>2189.7800000000002</v>
      </c>
      <c r="AJ826" s="13">
        <f t="shared" si="280"/>
        <v>0.72772764552973712</v>
      </c>
      <c r="AK826" s="13">
        <f>-IF(AG826="CAD",IFERROR(VLOOKUP(D826,CAARStatus!$A$1:$Y$1600,16,FALSE),0),0)</f>
        <v>0</v>
      </c>
      <c r="AL826" s="13">
        <f>-IF(AG826="USD",IFERROR(VLOOKUP(D826,CAARStatus!$A$1:$Y$1600,11,FALSE),0),0)</f>
        <v>0</v>
      </c>
      <c r="AM826" s="22" t="str">
        <f t="shared" si="281"/>
        <v/>
      </c>
      <c r="AN826" s="12">
        <f t="shared" si="282"/>
        <v>2189.7800000000002</v>
      </c>
      <c r="AO826" s="12" t="str">
        <f t="shared" si="283"/>
        <v>Pend</v>
      </c>
      <c r="AP826" t="str">
        <f t="shared" si="268"/>
        <v>Pend</v>
      </c>
      <c r="AQ826" t="str">
        <f>IFERROR(VLOOKUP(Z826,InvBal!$L$4:$P$600,4,FALSE),"Pend")</f>
        <v>Pend</v>
      </c>
      <c r="AR826" t="str">
        <f>IFERROR(VLOOKUP(D826,Manual!$C$1:$E$22,2,FALSE),"Pend")</f>
        <v>Pend</v>
      </c>
      <c r="AS826" t="str">
        <f t="shared" si="284"/>
        <v/>
      </c>
      <c r="AT826" t="str">
        <f t="shared" si="285"/>
        <v>Yes</v>
      </c>
      <c r="AU826" s="51" t="str">
        <f t="shared" si="286"/>
        <v/>
      </c>
      <c r="AV826" s="12">
        <f>IFERROR(VLOOKUP(D826,'Receivable Invoice Detail'!$S$1:$U$3014,3,FALSE),0)</f>
        <v>0</v>
      </c>
      <c r="AW826" s="12">
        <f t="shared" si="287"/>
        <v>0</v>
      </c>
    </row>
    <row r="827" spans="1:49" x14ac:dyDescent="0.25">
      <c r="A827" s="2">
        <v>1</v>
      </c>
      <c r="B827" s="2" t="s">
        <v>894</v>
      </c>
      <c r="C827" s="2" t="s">
        <v>895</v>
      </c>
      <c r="D827" s="2" t="s">
        <v>3058</v>
      </c>
      <c r="E827" s="2" t="s">
        <v>146</v>
      </c>
      <c r="F827" s="3">
        <v>45875.350532407407</v>
      </c>
      <c r="G827" s="3">
        <v>45875.360682870371</v>
      </c>
      <c r="H827" s="4">
        <v>45876</v>
      </c>
      <c r="I827" s="2" t="s">
        <v>40</v>
      </c>
      <c r="J827" s="2" t="s">
        <v>22</v>
      </c>
      <c r="K827" s="2">
        <v>1</v>
      </c>
      <c r="L827" s="2">
        <v>904.58</v>
      </c>
      <c r="M827" s="2">
        <v>0</v>
      </c>
      <c r="N827" s="2">
        <v>658.28787359328965</v>
      </c>
      <c r="O827" s="2">
        <v>861.5</v>
      </c>
      <c r="P827" s="2">
        <v>43.08</v>
      </c>
      <c r="Q827" s="2">
        <v>904.58</v>
      </c>
      <c r="R827" s="2" t="s">
        <v>44</v>
      </c>
      <c r="S827" s="2"/>
      <c r="T827" s="2">
        <f t="shared" si="269"/>
        <v>1</v>
      </c>
      <c r="U827" s="18">
        <f t="shared" si="270"/>
        <v>8</v>
      </c>
      <c r="V827" s="18">
        <f t="shared" si="271"/>
        <v>2025</v>
      </c>
      <c r="W827" s="18">
        <f t="shared" si="272"/>
        <v>9</v>
      </c>
      <c r="X827" s="18">
        <f t="shared" si="273"/>
        <v>2025</v>
      </c>
      <c r="Y827" s="2">
        <f t="shared" si="266"/>
        <v>0.72772764552973712</v>
      </c>
      <c r="Z827" t="str">
        <f t="shared" si="267"/>
        <v>SO17637</v>
      </c>
      <c r="AA827" s="11">
        <f t="shared" si="274"/>
        <v>45875.350532407407</v>
      </c>
      <c r="AB827" s="5" t="str">
        <f t="shared" si="275"/>
        <v>INV13279</v>
      </c>
      <c r="AC827" s="5" t="str">
        <f>IFERROR(VLOOKUP(D827,CAARStatus!$A$2:$AA$1600,22,FALSE),"Not invoiced")</f>
        <v>Paid</v>
      </c>
      <c r="AD827" s="11">
        <f>IF(AC827="Paid",IFERROR(VLOOKUP(D827,CAARStatus!$A$2:$AA$1600,6,FALSE),"Pending"),"Pending")</f>
        <v>45912</v>
      </c>
      <c r="AE827" s="5" t="str">
        <f t="shared" si="276"/>
        <v>7504</v>
      </c>
      <c r="AF827" s="5" t="str">
        <f t="shared" si="277"/>
        <v>Hyperflo</v>
      </c>
      <c r="AG827" s="5" t="str">
        <f t="shared" si="278"/>
        <v>CAD</v>
      </c>
      <c r="AH827" s="5">
        <f t="shared" si="279"/>
        <v>861.5</v>
      </c>
      <c r="AI827" s="12">
        <f>IF(L827-N827=0,VLOOKUP(U827,rate!A$4:B$15,2,FALSE)*AH827,IF(AG827="USD",O827,AH827*Y827))</f>
        <v>626.93736662386857</v>
      </c>
      <c r="AJ827" s="13">
        <f t="shared" si="280"/>
        <v>0.72772764552973712</v>
      </c>
      <c r="AK827" s="61">
        <f>IF(AC827="Paid",-IF(AG827="CAD",IFERROR(VLOOKUP(D827,CAARStatus!$A$1:$Y$1600,16,FALSE),0),0),0)</f>
        <v>-861.5</v>
      </c>
      <c r="AL827" s="61">
        <f>IF(AC827="Paid",-IF(AG827="USD",IFERROR(VLOOKUP(D827,CAARStatus!$A$1:$Y$1600,11,FALSE),0),0),0)</f>
        <v>0</v>
      </c>
      <c r="AM827" s="22">
        <f t="shared" si="281"/>
        <v>0</v>
      </c>
      <c r="AN827" s="12" t="str">
        <f t="shared" si="282"/>
        <v/>
      </c>
      <c r="AO827" s="12" t="str">
        <f t="shared" si="283"/>
        <v>Yes</v>
      </c>
      <c r="AP827" t="str">
        <f t="shared" si="268"/>
        <v>Yes</v>
      </c>
      <c r="AQ827" t="str">
        <f>IFERROR(VLOOKUP(Z827,InvBal!$L$4:$P$600,4,FALSE),"Pend")</f>
        <v>Pend</v>
      </c>
      <c r="AR827" t="str">
        <f>IFERROR(VLOOKUP(D827,Manual!$C$1:$E$22,2,FALSE),"Pend")</f>
        <v>Pend</v>
      </c>
      <c r="AS827" t="str">
        <f t="shared" si="284"/>
        <v>Yes</v>
      </c>
      <c r="AT827" t="str">
        <f t="shared" si="285"/>
        <v>Yes</v>
      </c>
      <c r="AU827" s="51" t="str">
        <f t="shared" si="286"/>
        <v>Yes</v>
      </c>
      <c r="AV827" s="12">
        <f>IFERROR(VLOOKUP(D827,'Receivable Invoice Detail'!$S$1:$U$3014,3,FALSE),0)</f>
        <v>0</v>
      </c>
      <c r="AW827" s="12">
        <f t="shared" si="287"/>
        <v>626.93736662386857</v>
      </c>
    </row>
    <row r="828" spans="1:49" ht="30" x14ac:dyDescent="0.25">
      <c r="A828" s="2">
        <v>1</v>
      </c>
      <c r="B828" s="2" t="s">
        <v>879</v>
      </c>
      <c r="C828" s="2" t="s">
        <v>880</v>
      </c>
      <c r="D828" s="2" t="s">
        <v>3066</v>
      </c>
      <c r="E828" s="2" t="s">
        <v>35</v>
      </c>
      <c r="F828" s="3">
        <v>45875.586087962962</v>
      </c>
      <c r="G828" s="3">
        <v>45877.626458333332</v>
      </c>
      <c r="H828" s="4">
        <v>45884</v>
      </c>
      <c r="I828" s="2" t="s">
        <v>36</v>
      </c>
      <c r="J828" s="2" t="s">
        <v>22</v>
      </c>
      <c r="K828" s="2">
        <v>1</v>
      </c>
      <c r="L828" s="2">
        <v>132.47</v>
      </c>
      <c r="M828" s="2">
        <v>0</v>
      </c>
      <c r="N828" s="2">
        <v>96.316368556038285</v>
      </c>
      <c r="O828" s="2">
        <v>126.16</v>
      </c>
      <c r="P828" s="2">
        <v>6.31</v>
      </c>
      <c r="Q828" s="2">
        <v>132.47</v>
      </c>
      <c r="R828" s="2" t="s">
        <v>44</v>
      </c>
      <c r="S828" s="2"/>
      <c r="T828" s="2">
        <f t="shared" si="269"/>
        <v>1</v>
      </c>
      <c r="U828" s="18">
        <f t="shared" si="270"/>
        <v>8</v>
      </c>
      <c r="V828" s="18">
        <f t="shared" si="271"/>
        <v>2025</v>
      </c>
      <c r="W828" s="18">
        <f t="shared" si="272"/>
        <v>9</v>
      </c>
      <c r="X828" s="18">
        <f t="shared" si="273"/>
        <v>2025</v>
      </c>
      <c r="Y828" s="2">
        <f t="shared" si="266"/>
        <v>0.72708061112733668</v>
      </c>
      <c r="Z828" t="str">
        <f t="shared" si="267"/>
        <v>SO17640</v>
      </c>
      <c r="AA828" s="11">
        <f t="shared" si="274"/>
        <v>45875.586087962962</v>
      </c>
      <c r="AB828" s="5" t="str">
        <f t="shared" si="275"/>
        <v>INV13286</v>
      </c>
      <c r="AC828" s="5" t="str">
        <f>IFERROR(VLOOKUP(D828,CAARStatus!$A$2:$AA$1600,22,FALSE),"Not invoiced")</f>
        <v>Paid</v>
      </c>
      <c r="AD828" s="11">
        <f>IF(AC828="Paid",IFERROR(VLOOKUP(D828,CAARStatus!$A$2:$AA$1600,6,FALSE),"Pending"),"Pending")</f>
        <v>45910</v>
      </c>
      <c r="AE828" s="5" t="str">
        <f t="shared" si="276"/>
        <v>PO13881</v>
      </c>
      <c r="AF828" s="5" t="str">
        <f t="shared" si="277"/>
        <v>Manufacture Sling-Choker (Val-d’Or) Ltée</v>
      </c>
      <c r="AG828" s="5" t="str">
        <f t="shared" si="278"/>
        <v>CAD</v>
      </c>
      <c r="AH828" s="5">
        <f t="shared" si="279"/>
        <v>126.16</v>
      </c>
      <c r="AI828" s="12">
        <f>IF(L828-N828=0,VLOOKUP(U828,rate!A$4:B$15,2,FALSE)*AH828,IF(AG828="USD",O828,AH828*Y828))</f>
        <v>91.728489899824794</v>
      </c>
      <c r="AJ828" s="13">
        <f t="shared" si="280"/>
        <v>0.72708061112733668</v>
      </c>
      <c r="AK828" s="61">
        <f>IF(AC828="Paid",-IF(AG828="CAD",IFERROR(VLOOKUP(D828,CAARStatus!$A$1:$Y$1600,16,FALSE),0),0),0)</f>
        <v>-126.16</v>
      </c>
      <c r="AL828" s="61">
        <f>IF(AC828="Paid",-IF(AG828="USD",IFERROR(VLOOKUP(D828,CAARStatus!$A$1:$Y$1600,11,FALSE),0),0),0)</f>
        <v>0</v>
      </c>
      <c r="AM828" s="22">
        <f t="shared" si="281"/>
        <v>0</v>
      </c>
      <c r="AN828" s="12" t="str">
        <f t="shared" si="282"/>
        <v/>
      </c>
      <c r="AO828" s="12" t="str">
        <f t="shared" si="283"/>
        <v>Yes</v>
      </c>
      <c r="AP828" t="str">
        <f t="shared" si="268"/>
        <v>Yes</v>
      </c>
      <c r="AQ828" t="str">
        <f>IFERROR(VLOOKUP(Z828,InvBal!$L$4:$P$600,4,FALSE),"Pend")</f>
        <v>Pend</v>
      </c>
      <c r="AR828" t="str">
        <f>IFERROR(VLOOKUP(D828,Manual!$C$1:$E$22,2,FALSE),"Pend")</f>
        <v>Pend</v>
      </c>
      <c r="AS828" t="str">
        <f t="shared" si="284"/>
        <v>Yes</v>
      </c>
      <c r="AT828" t="str">
        <f t="shared" si="285"/>
        <v>Yes</v>
      </c>
      <c r="AU828" s="51" t="str">
        <f t="shared" si="286"/>
        <v>Yes</v>
      </c>
      <c r="AV828" s="12">
        <f>IFERROR(VLOOKUP(D828,'Receivable Invoice Detail'!$S$1:$U$3014,3,FALSE),0)</f>
        <v>0</v>
      </c>
      <c r="AW828" s="12">
        <f t="shared" si="287"/>
        <v>91.728489899824794</v>
      </c>
    </row>
    <row r="829" spans="1:49" x14ac:dyDescent="0.25">
      <c r="A829" s="2">
        <v>1</v>
      </c>
      <c r="B829" s="2" t="s">
        <v>886</v>
      </c>
      <c r="C829" s="2" t="s">
        <v>887</v>
      </c>
      <c r="D829" s="2" t="s">
        <v>3062</v>
      </c>
      <c r="E829" s="2" t="s">
        <v>54</v>
      </c>
      <c r="F829" s="3">
        <v>45875.698634259257</v>
      </c>
      <c r="G829" s="3">
        <v>45875.701909722222</v>
      </c>
      <c r="H829" s="4">
        <v>45959</v>
      </c>
      <c r="I829" s="2" t="s">
        <v>21</v>
      </c>
      <c r="J829" s="2" t="s">
        <v>22</v>
      </c>
      <c r="K829" s="2">
        <v>1</v>
      </c>
      <c r="L829" s="2">
        <v>9475.69</v>
      </c>
      <c r="M829" s="2">
        <v>0</v>
      </c>
      <c r="N829" s="2">
        <v>6895.7215734696747</v>
      </c>
      <c r="O829" s="2">
        <v>9024.4699999999993</v>
      </c>
      <c r="P829" s="2">
        <v>451.22</v>
      </c>
      <c r="Q829" s="2">
        <v>9475.69</v>
      </c>
      <c r="R829" s="2" t="s">
        <v>44</v>
      </c>
      <c r="S829" s="2"/>
      <c r="T829" s="2">
        <f t="shared" si="269"/>
        <v>1</v>
      </c>
      <c r="U829" s="18">
        <f t="shared" si="270"/>
        <v>8</v>
      </c>
      <c r="V829" s="18">
        <f t="shared" si="271"/>
        <v>2025</v>
      </c>
      <c r="W829" s="18">
        <f t="shared" si="272"/>
        <v>12</v>
      </c>
      <c r="X829" s="18">
        <f t="shared" si="273"/>
        <v>2025</v>
      </c>
      <c r="Y829" s="2">
        <f t="shared" si="266"/>
        <v>0.72772764552973712</v>
      </c>
      <c r="Z829" t="str">
        <f t="shared" si="267"/>
        <v>SO17643</v>
      </c>
      <c r="AA829" s="11">
        <f t="shared" si="274"/>
        <v>45875.698634259257</v>
      </c>
      <c r="AB829" s="5" t="str">
        <f t="shared" si="275"/>
        <v>INV13558</v>
      </c>
      <c r="AC829" s="5" t="str">
        <f>IFERROR(VLOOKUP(D829,CAARStatus!$A$2:$AA$1600,22,FALSE),"Not invoiced")</f>
        <v>Paid</v>
      </c>
      <c r="AD829" s="11">
        <f>IF(AC829="Paid",IFERROR(VLOOKUP(D829,CAARStatus!$A$2:$AA$1600,6,FALSE),"Pending"),"Pending")</f>
        <v>46002</v>
      </c>
      <c r="AE829" s="5" t="str">
        <f t="shared" si="276"/>
        <v>3267</v>
      </c>
      <c r="AF829" s="5" t="str">
        <f t="shared" si="277"/>
        <v>Les Pompes du St-Laurent Inc.</v>
      </c>
      <c r="AG829" s="5" t="str">
        <f t="shared" si="278"/>
        <v>CAD</v>
      </c>
      <c r="AH829" s="5">
        <f t="shared" si="279"/>
        <v>9024.4699999999993</v>
      </c>
      <c r="AI829" s="12">
        <f>IF(L829-N829=0,VLOOKUP(U829,rate!A$4:B$15,2,FALSE)*AH829,IF(AG829="USD",O829,AH829*Y829))</f>
        <v>6567.3563052537465</v>
      </c>
      <c r="AJ829" s="13">
        <f t="shared" si="280"/>
        <v>0.72772764552973712</v>
      </c>
      <c r="AK829" s="13">
        <f>-IF(AG829="CAD",IFERROR(VLOOKUP(D829,CAARStatus!$A$1:$Y$1600,16,FALSE),0),0)</f>
        <v>-9024.4699999999993</v>
      </c>
      <c r="AL829" s="13">
        <f>-IF(AG829="USD",IFERROR(VLOOKUP(D829,CAARStatus!$A$1:$Y$1600,11,FALSE),0),0)</f>
        <v>0</v>
      </c>
      <c r="AM829" s="22">
        <f t="shared" si="281"/>
        <v>0</v>
      </c>
      <c r="AN829" s="12" t="str">
        <f t="shared" si="282"/>
        <v/>
      </c>
      <c r="AO829" s="12" t="str">
        <f t="shared" si="283"/>
        <v>Yes</v>
      </c>
      <c r="AP829" t="str">
        <f t="shared" si="268"/>
        <v>Yes</v>
      </c>
      <c r="AQ829" t="str">
        <f>IFERROR(VLOOKUP(Z829,InvBal!$L$4:$P$600,4,FALSE),"Pend")</f>
        <v>Pend</v>
      </c>
      <c r="AR829" t="str">
        <f>IFERROR(VLOOKUP(D829,Manual!$C$1:$E$22,2,FALSE),"Pend")</f>
        <v>Pend</v>
      </c>
      <c r="AS829" t="str">
        <f t="shared" si="284"/>
        <v>Yes</v>
      </c>
      <c r="AT829" t="str">
        <f t="shared" si="285"/>
        <v>Yes</v>
      </c>
      <c r="AU829" s="51" t="str">
        <f t="shared" si="286"/>
        <v>Yes</v>
      </c>
      <c r="AV829" s="12">
        <f>IFERROR(VLOOKUP(D829,'Receivable Invoice Detail'!$S$1:$U$3014,3,FALSE),0)</f>
        <v>0</v>
      </c>
      <c r="AW829" s="12">
        <f t="shared" si="287"/>
        <v>6567.3563052537465</v>
      </c>
    </row>
    <row r="830" spans="1:49" x14ac:dyDescent="0.25">
      <c r="A830" s="2">
        <v>2</v>
      </c>
      <c r="B830" s="2" t="s">
        <v>851</v>
      </c>
      <c r="C830" s="2" t="s">
        <v>852</v>
      </c>
      <c r="D830" s="2" t="s">
        <v>3079</v>
      </c>
      <c r="E830" s="2" t="s">
        <v>135</v>
      </c>
      <c r="F830" s="3">
        <v>45875.718333333331</v>
      </c>
      <c r="G830" s="3">
        <v>45882.403622685182</v>
      </c>
      <c r="H830" s="4">
        <v>45994</v>
      </c>
      <c r="I830" s="2" t="s">
        <v>21</v>
      </c>
      <c r="J830" s="2" t="s">
        <v>22</v>
      </c>
      <c r="K830" s="2">
        <v>1</v>
      </c>
      <c r="L830" s="2">
        <v>12179.86</v>
      </c>
      <c r="M830" s="2">
        <v>0</v>
      </c>
      <c r="N830" s="2">
        <v>8848.266801237718</v>
      </c>
      <c r="O830" s="2">
        <v>10778.64</v>
      </c>
      <c r="P830" s="2">
        <v>1401.22</v>
      </c>
      <c r="Q830" s="2">
        <v>12179.86</v>
      </c>
      <c r="R830" s="2" t="s">
        <v>44</v>
      </c>
      <c r="S830" s="2"/>
      <c r="T830" s="2">
        <f t="shared" si="269"/>
        <v>2</v>
      </c>
      <c r="U830" s="18">
        <f t="shared" si="270"/>
        <v>8</v>
      </c>
      <c r="V830" s="18">
        <f t="shared" si="271"/>
        <v>2025</v>
      </c>
      <c r="W830" s="18">
        <f t="shared" si="272"/>
        <v>12</v>
      </c>
      <c r="X830" s="18">
        <f t="shared" si="273"/>
        <v>2025</v>
      </c>
      <c r="Y830" s="2">
        <f t="shared" si="266"/>
        <v>0.72646703666854284</v>
      </c>
      <c r="Z830" t="str">
        <f t="shared" si="267"/>
        <v>SO17644</v>
      </c>
      <c r="AA830" s="11">
        <f t="shared" si="274"/>
        <v>45875.718333333331</v>
      </c>
      <c r="AB830" s="5" t="str">
        <f t="shared" si="275"/>
        <v>INV13529</v>
      </c>
      <c r="AC830" s="5" t="str">
        <f>IFERROR(VLOOKUP(D830,CAARStatus!$A$2:$AA$1600,22,FALSE),"Not invoiced")</f>
        <v>Paid</v>
      </c>
      <c r="AD830" s="11">
        <f>IF(AC830="Paid",IFERROR(VLOOKUP(D830,CAARStatus!$A$2:$AA$1600,6,FALSE),"Pending"),"Pending")</f>
        <v>46006</v>
      </c>
      <c r="AE830" s="5" t="str">
        <f t="shared" si="276"/>
        <v>1028955</v>
      </c>
      <c r="AF830" s="5" t="str">
        <f t="shared" si="277"/>
        <v>Thunder Bay Pulp and Paper Inc</v>
      </c>
      <c r="AG830" s="5" t="str">
        <f t="shared" si="278"/>
        <v>CAD</v>
      </c>
      <c r="AH830" s="5">
        <f t="shared" si="279"/>
        <v>10778.64</v>
      </c>
      <c r="AI830" s="12">
        <f>IF(L830-N830=0,VLOOKUP(U830,rate!A$4:B$15,2,FALSE)*AH830,IF(AG830="USD",O830,AH830*Y830))</f>
        <v>7830.3266601170226</v>
      </c>
      <c r="AJ830" s="13">
        <f t="shared" si="280"/>
        <v>0.72646703666854284</v>
      </c>
      <c r="AK830" s="13">
        <f>-IF(AG830="CAD",IFERROR(VLOOKUP(D830,CAARStatus!$A$1:$Y$1600,16,FALSE),0),0)</f>
        <v>-4128.78</v>
      </c>
      <c r="AL830" s="13">
        <f>-IF(AG830="USD",IFERROR(VLOOKUP(D830,CAARStatus!$A$1:$Y$1600,11,FALSE),0),0)</f>
        <v>0</v>
      </c>
      <c r="AM830" s="22">
        <f t="shared" si="281"/>
        <v>6649.86</v>
      </c>
      <c r="AN830" s="12" t="str">
        <f t="shared" si="282"/>
        <v/>
      </c>
      <c r="AO830" s="12" t="str">
        <f t="shared" si="283"/>
        <v>Yes</v>
      </c>
      <c r="AP830" t="str">
        <f t="shared" si="268"/>
        <v>XX</v>
      </c>
      <c r="AQ830" t="str">
        <f>IFERROR(VLOOKUP(Z830,InvBal!$L$4:$P$600,4,FALSE),"Pend")</f>
        <v>Yes</v>
      </c>
      <c r="AR830" t="str">
        <f>IFERROR(VLOOKUP(D830,Manual!$C$1:$E$22,2,FALSE),"Pend")</f>
        <v>Pend</v>
      </c>
      <c r="AS830" t="str">
        <f t="shared" si="284"/>
        <v>Yes</v>
      </c>
      <c r="AT830" t="str">
        <f t="shared" si="285"/>
        <v>Yes</v>
      </c>
      <c r="AU830" s="51" t="str">
        <f t="shared" si="286"/>
        <v>Yes</v>
      </c>
      <c r="AV830" s="12">
        <f>IFERROR(VLOOKUP(D830,'Receivable Invoice Detail'!$S$1:$U$3014,3,FALSE),0)</f>
        <v>0</v>
      </c>
      <c r="AW830" s="12">
        <f t="shared" si="287"/>
        <v>7830.3266601170226</v>
      </c>
    </row>
    <row r="831" spans="1:49" x14ac:dyDescent="0.25">
      <c r="A831" s="2"/>
      <c r="B831" s="2"/>
      <c r="C831" s="2"/>
      <c r="D831" s="2" t="s">
        <v>3078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f t="shared" si="269"/>
        <v>2</v>
      </c>
      <c r="U831" s="18">
        <f t="shared" si="270"/>
        <v>8</v>
      </c>
      <c r="V831" s="18">
        <f t="shared" si="271"/>
        <v>2025</v>
      </c>
      <c r="W831" s="18">
        <f t="shared" si="272"/>
        <v>12</v>
      </c>
      <c r="X831" s="18">
        <f t="shared" si="273"/>
        <v>2025</v>
      </c>
      <c r="Y831" s="2">
        <f t="shared" si="266"/>
        <v>0.72646703666854284</v>
      </c>
      <c r="Z831" t="str">
        <f t="shared" si="267"/>
        <v>SO17644</v>
      </c>
      <c r="AA831" s="11">
        <f t="shared" si="274"/>
        <v>45875.718333333331</v>
      </c>
      <c r="AB831" s="5" t="str">
        <f t="shared" si="275"/>
        <v>INV13507</v>
      </c>
      <c r="AC831" s="5" t="str">
        <f>IFERROR(VLOOKUP(D831,CAARStatus!$A$2:$AA$1600,22,FALSE),"Not invoiced")</f>
        <v>Paid</v>
      </c>
      <c r="AD831" s="11">
        <f>IF(AC831="Paid",IFERROR(VLOOKUP(D831,CAARStatus!$A$2:$AA$1600,6,FALSE),"Pending"),"Pending")</f>
        <v>45996</v>
      </c>
      <c r="AE831" s="5" t="str">
        <f t="shared" si="276"/>
        <v>1028955</v>
      </c>
      <c r="AF831" s="5" t="str">
        <f t="shared" si="277"/>
        <v>Thunder Bay Pulp and Paper Inc</v>
      </c>
      <c r="AG831" s="5" t="str">
        <f t="shared" si="278"/>
        <v>CAD</v>
      </c>
      <c r="AH831" s="5">
        <f t="shared" si="279"/>
        <v>0</v>
      </c>
      <c r="AI831" s="12">
        <f>IF(L831-N831=0,VLOOKUP(U831,rate!A$4:B$15,2,FALSE)*AH831,IF(AG831="USD",O831,AH831*Y831))</f>
        <v>0</v>
      </c>
      <c r="AJ831" s="13">
        <f t="shared" si="280"/>
        <v>0</v>
      </c>
      <c r="AK831" s="13">
        <f>-IF(AG831="CAD",IFERROR(VLOOKUP(D831,CAARStatus!$A$1:$Y$1600,16,FALSE),0),0)</f>
        <v>-6649.86</v>
      </c>
      <c r="AL831" s="13">
        <f>-IF(AG831="USD",IFERROR(VLOOKUP(D831,CAARStatus!$A$1:$Y$1600,11,FALSE),0),0)</f>
        <v>0</v>
      </c>
      <c r="AM831" s="22">
        <f t="shared" si="281"/>
        <v>-6649.86</v>
      </c>
      <c r="AN831" s="12" t="str">
        <f t="shared" si="282"/>
        <v/>
      </c>
      <c r="AO831" s="12" t="str">
        <f t="shared" si="283"/>
        <v>Yes</v>
      </c>
      <c r="AP831" t="str">
        <f t="shared" si="268"/>
        <v>XX</v>
      </c>
      <c r="AQ831" t="str">
        <f>IFERROR(VLOOKUP(Z831,InvBal!$L$4:$P$600,4,FALSE),"Pend")</f>
        <v>Yes</v>
      </c>
      <c r="AR831" t="str">
        <f>IFERROR(VLOOKUP(D831,Manual!$C$1:$E$22,2,FALSE),"Pend")</f>
        <v>Pend</v>
      </c>
      <c r="AS831" t="str">
        <f t="shared" si="284"/>
        <v>Yes</v>
      </c>
      <c r="AT831" t="str">
        <f t="shared" si="285"/>
        <v/>
      </c>
      <c r="AU831" s="51" t="str">
        <f t="shared" si="286"/>
        <v/>
      </c>
      <c r="AV831" s="12">
        <f>IFERROR(VLOOKUP(D831,'Receivable Invoice Detail'!$S$1:$U$3014,3,FALSE),0)</f>
        <v>0</v>
      </c>
      <c r="AW831" s="12">
        <f t="shared" si="287"/>
        <v>0</v>
      </c>
    </row>
    <row r="832" spans="1:49" ht="30" x14ac:dyDescent="0.25">
      <c r="A832" s="2">
        <v>1</v>
      </c>
      <c r="B832" s="2" t="s">
        <v>884</v>
      </c>
      <c r="C832" s="2" t="s">
        <v>885</v>
      </c>
      <c r="D832" s="2" t="s">
        <v>3063</v>
      </c>
      <c r="E832" s="2" t="s">
        <v>684</v>
      </c>
      <c r="F832" s="3">
        <v>45875.721388888887</v>
      </c>
      <c r="G832" s="3">
        <v>45875.732523148137</v>
      </c>
      <c r="H832" s="4">
        <v>45889</v>
      </c>
      <c r="I832" s="2" t="s">
        <v>36</v>
      </c>
      <c r="J832" s="2" t="s">
        <v>22</v>
      </c>
      <c r="K832" s="2">
        <v>1</v>
      </c>
      <c r="L832" s="2">
        <v>214.54</v>
      </c>
      <c r="M832" s="2">
        <v>0</v>
      </c>
      <c r="N832" s="2">
        <v>156.12668907194981</v>
      </c>
      <c r="O832" s="2">
        <v>204.32</v>
      </c>
      <c r="P832" s="2">
        <v>10.220000000000001</v>
      </c>
      <c r="Q832" s="2">
        <v>214.54</v>
      </c>
      <c r="R832" s="2" t="s">
        <v>44</v>
      </c>
      <c r="S832" s="2"/>
      <c r="T832" s="2">
        <f t="shared" si="269"/>
        <v>1</v>
      </c>
      <c r="U832" s="18">
        <f t="shared" si="270"/>
        <v>8</v>
      </c>
      <c r="V832" s="18">
        <f t="shared" si="271"/>
        <v>2025</v>
      </c>
      <c r="W832" s="18">
        <f t="shared" si="272"/>
        <v>10</v>
      </c>
      <c r="X832" s="18">
        <f t="shared" si="273"/>
        <v>2025</v>
      </c>
      <c r="Y832" s="2">
        <f t="shared" si="266"/>
        <v>0.72772764552973723</v>
      </c>
      <c r="Z832" t="str">
        <f t="shared" si="267"/>
        <v>SO17645</v>
      </c>
      <c r="AA832" s="11">
        <f t="shared" si="274"/>
        <v>45875.721388888887</v>
      </c>
      <c r="AB832" s="5" t="str">
        <f t="shared" si="275"/>
        <v>INV13341</v>
      </c>
      <c r="AC832" s="5" t="str">
        <f>IFERROR(VLOOKUP(D832,CAARStatus!$A$2:$AA$1600,22,FALSE),"Not invoiced")</f>
        <v>Paid</v>
      </c>
      <c r="AD832" s="11">
        <f>IF(AC832="Paid",IFERROR(VLOOKUP(D832,CAARStatus!$A$2:$AA$1600,6,FALSE),"Pending"),"Pending")</f>
        <v>45953</v>
      </c>
      <c r="AE832" s="5" t="str">
        <f t="shared" si="276"/>
        <v>4500607957</v>
      </c>
      <c r="AF832" s="5" t="str">
        <f t="shared" si="277"/>
        <v>Resolute Forest Products - Fibrek</v>
      </c>
      <c r="AG832" s="5" t="str">
        <f t="shared" si="278"/>
        <v>CAD</v>
      </c>
      <c r="AH832" s="5">
        <f t="shared" si="279"/>
        <v>204.32</v>
      </c>
      <c r="AI832" s="12">
        <f>IF(L832-N832=0,VLOOKUP(U832,rate!A$4:B$15,2,FALSE)*AH832,IF(AG832="USD",O832,AH832*Y832))</f>
        <v>148.68931253463592</v>
      </c>
      <c r="AJ832" s="13">
        <f t="shared" si="280"/>
        <v>0.72772764552973723</v>
      </c>
      <c r="AK832" s="13">
        <f>-IF(AG832="CAD",IFERROR(VLOOKUP(D832,CAARStatus!$A$1:$Y$1600,16,FALSE),0),0)</f>
        <v>-204.32</v>
      </c>
      <c r="AL832" s="13">
        <f>-IF(AG832="USD",IFERROR(VLOOKUP(D832,CAARStatus!$A$1:$Y$1600,11,FALSE),0),0)</f>
        <v>0</v>
      </c>
      <c r="AM832" s="22">
        <f t="shared" si="281"/>
        <v>0</v>
      </c>
      <c r="AN832" s="12" t="str">
        <f t="shared" si="282"/>
        <v/>
      </c>
      <c r="AO832" s="12" t="str">
        <f t="shared" si="283"/>
        <v>Yes</v>
      </c>
      <c r="AP832" t="str">
        <f t="shared" si="268"/>
        <v>Yes</v>
      </c>
      <c r="AQ832" t="str">
        <f>IFERROR(VLOOKUP(Z832,InvBal!$L$4:$P$600,4,FALSE),"Pend")</f>
        <v>Pend</v>
      </c>
      <c r="AR832" t="str">
        <f>IFERROR(VLOOKUP(D832,Manual!$C$1:$E$22,2,FALSE),"Pend")</f>
        <v>Pend</v>
      </c>
      <c r="AS832" t="str">
        <f t="shared" si="284"/>
        <v>Yes</v>
      </c>
      <c r="AT832" t="str">
        <f t="shared" si="285"/>
        <v>Yes</v>
      </c>
      <c r="AU832" s="51" t="str">
        <f t="shared" si="286"/>
        <v>Yes</v>
      </c>
      <c r="AV832" s="12">
        <f>IFERROR(VLOOKUP(D832,'Receivable Invoice Detail'!$S$1:$U$3014,3,FALSE),0)</f>
        <v>0</v>
      </c>
      <c r="AW832" s="12">
        <f t="shared" si="287"/>
        <v>148.68931253463592</v>
      </c>
    </row>
    <row r="833" spans="1:49" x14ac:dyDescent="0.25">
      <c r="A833" s="2">
        <v>1</v>
      </c>
      <c r="B833" s="2" t="s">
        <v>874</v>
      </c>
      <c r="C833" s="2" t="s">
        <v>875</v>
      </c>
      <c r="D833" s="2" t="s">
        <v>3067</v>
      </c>
      <c r="E833" s="2" t="s">
        <v>630</v>
      </c>
      <c r="F833" s="3">
        <v>45876.620208333326</v>
      </c>
      <c r="G833" s="3">
        <v>45880.470532407409</v>
      </c>
      <c r="H833" s="4">
        <v>45929</v>
      </c>
      <c r="I833" s="2" t="s">
        <v>21</v>
      </c>
      <c r="J833" s="2" t="s">
        <v>22</v>
      </c>
      <c r="K833" s="2">
        <v>1</v>
      </c>
      <c r="L833" s="2">
        <v>10340.629999999999</v>
      </c>
      <c r="M833" s="2">
        <v>0</v>
      </c>
      <c r="N833" s="2">
        <v>7501.2551773007926</v>
      </c>
      <c r="O833" s="2">
        <v>9848.2199999999993</v>
      </c>
      <c r="P833" s="2">
        <v>492.41</v>
      </c>
      <c r="Q833" s="2">
        <v>10340.629999999999</v>
      </c>
      <c r="R833" s="2" t="s">
        <v>44</v>
      </c>
      <c r="S833" s="2"/>
      <c r="T833" s="2">
        <f t="shared" si="269"/>
        <v>1</v>
      </c>
      <c r="U833" s="18">
        <f t="shared" si="270"/>
        <v>8</v>
      </c>
      <c r="V833" s="18">
        <f t="shared" si="271"/>
        <v>2025</v>
      </c>
      <c r="W833" s="18" t="str">
        <f t="shared" si="272"/>
        <v/>
      </c>
      <c r="X833" s="18" t="str">
        <f t="shared" si="273"/>
        <v/>
      </c>
      <c r="Y833" s="2">
        <f t="shared" si="266"/>
        <v>0.72541568330950756</v>
      </c>
      <c r="Z833" t="str">
        <f t="shared" si="267"/>
        <v>SO17648</v>
      </c>
      <c r="AA833" s="11">
        <f t="shared" si="274"/>
        <v>45876.620208333326</v>
      </c>
      <c r="AB833" s="5" t="str">
        <f t="shared" si="275"/>
        <v>INV13444</v>
      </c>
      <c r="AC833" s="5" t="str">
        <f>IFERROR(VLOOKUP(D833,CAARStatus!$A$2:$AA$1600,22,FALSE),"Not invoiced")</f>
        <v>Not invoiced</v>
      </c>
      <c r="AD833" s="11" t="str">
        <f>IF(AC833="Paid",IFERROR(VLOOKUP(D833,CAARStatus!$A$2:$AA$1600,6,FALSE),"Pending"),"Pending")</f>
        <v>Pending</v>
      </c>
      <c r="AE833" s="5" t="str">
        <f t="shared" si="276"/>
        <v>68-01017</v>
      </c>
      <c r="AF833" s="5" t="str">
        <f t="shared" si="277"/>
        <v>Quality Concrete Inc.</v>
      </c>
      <c r="AG833" s="5" t="str">
        <f t="shared" si="278"/>
        <v>CAD</v>
      </c>
      <c r="AH833" s="5">
        <f t="shared" si="279"/>
        <v>9848.2199999999993</v>
      </c>
      <c r="AI833" s="12">
        <f>IF(L833-N833=0,VLOOKUP(U833,rate!A$4:B$15,2,FALSE)*AH833,IF(AG833="USD",O833,AH833*Y833))</f>
        <v>7144.0532406823577</v>
      </c>
      <c r="AJ833" s="13">
        <f t="shared" si="280"/>
        <v>0.72541568330950756</v>
      </c>
      <c r="AK833" s="13">
        <f>-IF(AG833="CAD",IFERROR(VLOOKUP(D833,CAARStatus!$A$1:$Y$1600,16,FALSE),0),0)</f>
        <v>0</v>
      </c>
      <c r="AL833" s="13">
        <f>-IF(AG833="USD",IFERROR(VLOOKUP(D833,CAARStatus!$A$1:$Y$1600,11,FALSE),0),0)</f>
        <v>0</v>
      </c>
      <c r="AM833" s="22">
        <f t="shared" si="281"/>
        <v>9848.2199999999993</v>
      </c>
      <c r="AN833" s="12" t="str">
        <f t="shared" si="282"/>
        <v/>
      </c>
      <c r="AO833" s="12" t="str">
        <f t="shared" si="283"/>
        <v>Pend</v>
      </c>
      <c r="AP833" t="str">
        <f t="shared" si="268"/>
        <v>Pend</v>
      </c>
      <c r="AQ833" t="str">
        <f>IFERROR(VLOOKUP(Z833,InvBal!$L$4:$P$600,4,FALSE),"Pend")</f>
        <v>Pend</v>
      </c>
      <c r="AR833" t="str">
        <f>IFERROR(VLOOKUP(D833,Manual!$C$1:$E$22,2,FALSE),"Pend")</f>
        <v>Pend</v>
      </c>
      <c r="AS833" t="str">
        <f t="shared" si="284"/>
        <v/>
      </c>
      <c r="AT833" t="str">
        <f t="shared" si="285"/>
        <v>Yes</v>
      </c>
      <c r="AU833" s="51" t="str">
        <f t="shared" si="286"/>
        <v/>
      </c>
      <c r="AV833" s="12">
        <f>IFERROR(VLOOKUP(D833,'Receivable Invoice Detail'!$S$1:$U$3014,3,FALSE),0)</f>
        <v>0</v>
      </c>
      <c r="AW833" s="12">
        <f t="shared" si="287"/>
        <v>0</v>
      </c>
    </row>
    <row r="834" spans="1:49" x14ac:dyDescent="0.25">
      <c r="A834" s="2">
        <v>1</v>
      </c>
      <c r="B834" s="2" t="s">
        <v>808</v>
      </c>
      <c r="C834" s="2" t="s">
        <v>809</v>
      </c>
      <c r="D834" s="2" t="s">
        <v>3100</v>
      </c>
      <c r="E834" s="2" t="s">
        <v>141</v>
      </c>
      <c r="F834" s="3">
        <v>45876.721261574072</v>
      </c>
      <c r="G834" s="3">
        <v>45889.358900462961</v>
      </c>
      <c r="H834" s="4">
        <v>45890</v>
      </c>
      <c r="I834" s="2" t="s">
        <v>21</v>
      </c>
      <c r="J834" s="2" t="s">
        <v>51</v>
      </c>
      <c r="K834" s="2">
        <v>0.72149778458582292</v>
      </c>
      <c r="L834" s="2">
        <v>12237.903135168541</v>
      </c>
      <c r="M834" s="2">
        <v>0</v>
      </c>
      <c r="N834" s="2">
        <v>8829.6200000000008</v>
      </c>
      <c r="O834" s="2">
        <v>8829.6200000000008</v>
      </c>
      <c r="P834" s="2"/>
      <c r="Q834" s="2">
        <v>8829.6200000000008</v>
      </c>
      <c r="R834" s="2" t="s">
        <v>44</v>
      </c>
      <c r="S834" s="2"/>
      <c r="T834" s="2">
        <f t="shared" si="269"/>
        <v>1</v>
      </c>
      <c r="U834" s="18">
        <f t="shared" si="270"/>
        <v>8</v>
      </c>
      <c r="V834" s="18">
        <f t="shared" si="271"/>
        <v>2025</v>
      </c>
      <c r="W834" s="18">
        <f t="shared" si="272"/>
        <v>10</v>
      </c>
      <c r="X834" s="18">
        <f t="shared" si="273"/>
        <v>2025</v>
      </c>
      <c r="Y834" s="2">
        <f t="shared" ref="Y834:Y897" si="288">IF(C834="",Y833,N834/L834)</f>
        <v>0.72149778458582303</v>
      </c>
      <c r="Z834" t="str">
        <f t="shared" ref="Z834:Z897" si="289">IF(B834="",Z833,B834)</f>
        <v>SO17651</v>
      </c>
      <c r="AA834" s="11">
        <f t="shared" si="274"/>
        <v>45876.721261574072</v>
      </c>
      <c r="AB834" s="5" t="str">
        <f t="shared" si="275"/>
        <v>INV13321</v>
      </c>
      <c r="AC834" s="5" t="str">
        <f>IFERROR(VLOOKUP(D834,CAARStatus!$A$2:$AA$1600,22,FALSE),"Not invoiced")</f>
        <v>Paid</v>
      </c>
      <c r="AD834" s="11">
        <f>IF(AC834="Paid",IFERROR(VLOOKUP(D834,CAARStatus!$A$2:$AA$1600,6,FALSE),"Pending"),"Pending")</f>
        <v>45950</v>
      </c>
      <c r="AE834" s="5" t="str">
        <f t="shared" si="276"/>
        <v>4512238268</v>
      </c>
      <c r="AF834" s="5" t="str">
        <f t="shared" si="277"/>
        <v>PT Vale Indonesia Tbk.</v>
      </c>
      <c r="AG834" s="5" t="str">
        <f t="shared" si="278"/>
        <v>USD</v>
      </c>
      <c r="AH834" s="5">
        <f t="shared" si="279"/>
        <v>12237.903135168544</v>
      </c>
      <c r="AI834" s="12">
        <f>IF(L834-N834=0,VLOOKUP(U834,rate!A$4:B$15,2,FALSE)*AH834,IF(AG834="USD",O834,AH834*Y834))</f>
        <v>8829.6200000000008</v>
      </c>
      <c r="AJ834" s="13">
        <f t="shared" si="280"/>
        <v>0.72149778458582292</v>
      </c>
      <c r="AK834" s="13">
        <f>-IF(AG834="CAD",IFERROR(VLOOKUP(D834,CAARStatus!$A$1:$Y$1600,16,FALSE),0),0)</f>
        <v>0</v>
      </c>
      <c r="AL834" s="13">
        <f>-IF(AG834="USD",IFERROR(VLOOKUP(D834,CAARStatus!$A$1:$Y$1600,11,FALSE),0),0)</f>
        <v>-8829.6200000000008</v>
      </c>
      <c r="AM834" s="22" t="str">
        <f t="shared" si="281"/>
        <v/>
      </c>
      <c r="AN834" s="12">
        <f t="shared" si="282"/>
        <v>0</v>
      </c>
      <c r="AO834" s="12" t="str">
        <f t="shared" si="283"/>
        <v>Yes</v>
      </c>
      <c r="AP834" t="str">
        <f t="shared" ref="AP834:AP897" si="290">IF(AND(AO834="Pend",T834&lt;2),"Pend",IF(T834=1,"Yes","XX"))</f>
        <v>Yes</v>
      </c>
      <c r="AQ834" t="str">
        <f>IFERROR(VLOOKUP(Z834,InvBal!$L$4:$P$600,4,FALSE),"Pend")</f>
        <v>Pend</v>
      </c>
      <c r="AR834" t="str">
        <f>IFERROR(VLOOKUP(D834,Manual!$C$1:$E$22,2,FALSE),"Pend")</f>
        <v>Pend</v>
      </c>
      <c r="AS834" t="str">
        <f t="shared" si="284"/>
        <v>Yes</v>
      </c>
      <c r="AT834" t="str">
        <f t="shared" si="285"/>
        <v>Yes</v>
      </c>
      <c r="AU834" s="51" t="str">
        <f t="shared" si="286"/>
        <v>Yes</v>
      </c>
      <c r="AV834" s="12">
        <f>IFERROR(VLOOKUP(D834,'Receivable Invoice Detail'!$S$1:$U$3014,3,FALSE),0)</f>
        <v>0</v>
      </c>
      <c r="AW834" s="12">
        <f t="shared" si="287"/>
        <v>8829.6200000000008</v>
      </c>
    </row>
    <row r="835" spans="1:49" ht="30" x14ac:dyDescent="0.25">
      <c r="A835" s="2">
        <v>1</v>
      </c>
      <c r="B835" s="2" t="s">
        <v>883</v>
      </c>
      <c r="C835" s="2"/>
      <c r="D835" s="2" t="s">
        <v>3064</v>
      </c>
      <c r="E835" s="2" t="s">
        <v>129</v>
      </c>
      <c r="F835" s="3">
        <v>45876.795023148137</v>
      </c>
      <c r="G835" s="3">
        <v>45876.795717592591</v>
      </c>
      <c r="H835" s="4">
        <v>45877</v>
      </c>
      <c r="I835" s="2" t="s">
        <v>130</v>
      </c>
      <c r="J835" s="2" t="s">
        <v>51</v>
      </c>
      <c r="K835" s="2">
        <v>0.72560216344070383</v>
      </c>
      <c r="L835" s="2">
        <v>110.2532545116062</v>
      </c>
      <c r="M835" s="2">
        <v>0</v>
      </c>
      <c r="N835" s="2">
        <v>80</v>
      </c>
      <c r="O835" s="2">
        <v>80</v>
      </c>
      <c r="P835" s="2"/>
      <c r="Q835" s="2">
        <v>80</v>
      </c>
      <c r="R835" s="2" t="s">
        <v>44</v>
      </c>
      <c r="S835" s="2"/>
      <c r="T835" s="2">
        <f t="shared" ref="T835:T898" si="291">IF(A835="",T834,A835)</f>
        <v>1</v>
      </c>
      <c r="U835" s="18">
        <f t="shared" ref="U835:U898" si="292">IF(F835="",U834,MONTH(F835))</f>
        <v>8</v>
      </c>
      <c r="V835" s="18">
        <f t="shared" ref="V835:V898" si="293">IF(F835="",V834,YEAR(F835))</f>
        <v>2025</v>
      </c>
      <c r="W835" s="18" t="str">
        <f t="shared" ref="W835:W898" si="294">IF(AC835="Paid",MONTH(AD835),"")</f>
        <v/>
      </c>
      <c r="X835" s="18" t="str">
        <f t="shared" ref="X835:X898" si="295">IF(AC835="Paid",YEAR(AD835),"")</f>
        <v/>
      </c>
      <c r="Y835" s="2">
        <f t="shared" si="288"/>
        <v>0.72149778458582303</v>
      </c>
      <c r="Z835" t="str">
        <f t="shared" si="289"/>
        <v>SO17652</v>
      </c>
      <c r="AA835" s="11">
        <f t="shared" ref="AA835:AA898" si="296">IF(F835="",AA834,F835)</f>
        <v>45876.795023148137</v>
      </c>
      <c r="AB835" s="5" t="str">
        <f t="shared" ref="AB835:AB898" si="297">IF(D835="","No Inv",D835)</f>
        <v>INV13285</v>
      </c>
      <c r="AC835" s="5" t="str">
        <f>IFERROR(VLOOKUP(D835,CAARStatus!$A$2:$AA$1600,22,FALSE),"Not invoiced")</f>
        <v>Approved</v>
      </c>
      <c r="AD835" s="11" t="str">
        <f>IF(AC835="Paid",IFERROR(VLOOKUP(D835,CAARStatus!$A$2:$AA$1600,6,FALSE),"Pending"),"Pending")</f>
        <v>Pending</v>
      </c>
      <c r="AE835" s="5" t="str">
        <f t="shared" ref="AE835:AE898" si="298">IF(C835="",AE834,C835)</f>
        <v>4512238268</v>
      </c>
      <c r="AF835" s="5" t="str">
        <f t="shared" ref="AF835:AF898" si="299">IF(E835="",AF834,E835)</f>
        <v>Dynapro Pumps México S de RL de CV</v>
      </c>
      <c r="AG835" s="5" t="str">
        <f t="shared" ref="AG835:AG898" si="300">IF(J835="",AG834,J835)</f>
        <v>USD</v>
      </c>
      <c r="AH835" s="5">
        <f t="shared" ref="AH835:AH898" si="301">IFERROR(IF(AG835="CAD",O835,O835/K835),0)</f>
        <v>110.2532545116062</v>
      </c>
      <c r="AI835" s="12">
        <f>IF(L835-N835=0,VLOOKUP(U835,rate!A$4:B$15,2,FALSE)*AH835,IF(AG835="USD",O835,AH835*Y835))</f>
        <v>80</v>
      </c>
      <c r="AJ835" s="13">
        <f t="shared" ref="AJ835:AJ898" si="302">IFERROR(AI835/AH835,0)</f>
        <v>0.72560216344070383</v>
      </c>
      <c r="AK835" s="13">
        <f>-IF(AG835="CAD",IFERROR(VLOOKUP(D835,CAARStatus!$A$1:$Y$1600,16,FALSE),0),0)</f>
        <v>0</v>
      </c>
      <c r="AL835" s="13">
        <f>-IF(AG835="USD",IFERROR(VLOOKUP(D835,CAARStatus!$A$1:$Y$1600,11,FALSE),0),0)</f>
        <v>-278</v>
      </c>
      <c r="AM835" s="22" t="str">
        <f t="shared" ref="AM835:AM898" si="303">IF(AG835="CAD",AH835+AK835,"")</f>
        <v/>
      </c>
      <c r="AN835" s="12">
        <f t="shared" ref="AN835:AN898" si="304">IF(AG835="USD",AI835+AL835,"")</f>
        <v>-198</v>
      </c>
      <c r="AO835" s="12" t="str">
        <f t="shared" ref="AO835:AO898" si="305">IF(AC835="Paid","Yes","Pend")</f>
        <v>Pend</v>
      </c>
      <c r="AP835" t="str">
        <f t="shared" si="290"/>
        <v>Pend</v>
      </c>
      <c r="AQ835" t="str">
        <f>IFERROR(VLOOKUP(Z835,InvBal!$L$4:$P$600,4,FALSE),"Pend")</f>
        <v>Pend</v>
      </c>
      <c r="AR835" t="str">
        <f>IFERROR(VLOOKUP(D835,Manual!$C$1:$E$22,2,FALSE),"Pend")</f>
        <v>Pend</v>
      </c>
      <c r="AS835" t="str">
        <f t="shared" ref="AS835:AS898" si="306">IF(OR(AP835="Yes",AQ835="Yes",AR835="Yes"),"Yes","")</f>
        <v/>
      </c>
      <c r="AT835" t="str">
        <f t="shared" ref="AT835:AT898" si="307">IF(R835="Delivered","Yes","")</f>
        <v>Yes</v>
      </c>
      <c r="AU835" s="51" t="str">
        <f t="shared" ref="AU835:AU898" si="308">IF(AND(AS835="Yes",AT835="Yes"),"Yes","")</f>
        <v/>
      </c>
      <c r="AV835" s="12">
        <f>IFERROR(VLOOKUP(D835,'Receivable Invoice Detail'!$S$1:$U$3014,3,FALSE),0)</f>
        <v>198</v>
      </c>
      <c r="AW835" s="12">
        <f t="shared" ref="AW835:AW898" si="309">IF(AU835="Yes",AI835-AV835,0)</f>
        <v>0</v>
      </c>
    </row>
    <row r="836" spans="1:49" x14ac:dyDescent="0.25">
      <c r="A836" s="2">
        <v>1</v>
      </c>
      <c r="B836" s="2" t="s">
        <v>870</v>
      </c>
      <c r="C836" s="2" t="s">
        <v>871</v>
      </c>
      <c r="D836" s="2" t="s">
        <v>3069</v>
      </c>
      <c r="E836" s="2" t="s">
        <v>644</v>
      </c>
      <c r="F836" s="3">
        <v>45877.399953703702</v>
      </c>
      <c r="G836" s="3">
        <v>45880.51972222222</v>
      </c>
      <c r="H836" s="4">
        <v>45882</v>
      </c>
      <c r="I836" s="2" t="s">
        <v>21</v>
      </c>
      <c r="J836" s="2" t="s">
        <v>51</v>
      </c>
      <c r="K836" s="2">
        <v>0.72687673995949531</v>
      </c>
      <c r="L836" s="2">
        <v>5760.6740865491647</v>
      </c>
      <c r="M836" s="2">
        <v>0</v>
      </c>
      <c r="N836" s="2">
        <v>4187.3</v>
      </c>
      <c r="O836" s="2">
        <v>4187.3</v>
      </c>
      <c r="P836" s="2"/>
      <c r="Q836" s="2">
        <v>4187.3</v>
      </c>
      <c r="R836" s="2" t="s">
        <v>44</v>
      </c>
      <c r="S836" s="2"/>
      <c r="T836" s="2">
        <f t="shared" si="291"/>
        <v>1</v>
      </c>
      <c r="U836" s="18">
        <f t="shared" si="292"/>
        <v>8</v>
      </c>
      <c r="V836" s="18">
        <f t="shared" si="293"/>
        <v>2025</v>
      </c>
      <c r="W836" s="18">
        <f t="shared" si="294"/>
        <v>10</v>
      </c>
      <c r="X836" s="18">
        <f t="shared" si="295"/>
        <v>2025</v>
      </c>
      <c r="Y836" s="2">
        <f t="shared" si="288"/>
        <v>0.72687673995949531</v>
      </c>
      <c r="Z836" t="str">
        <f t="shared" si="289"/>
        <v>SO17653</v>
      </c>
      <c r="AA836" s="11">
        <f t="shared" si="296"/>
        <v>45877.399953703702</v>
      </c>
      <c r="AB836" s="5" t="str">
        <f t="shared" si="297"/>
        <v>INV13291</v>
      </c>
      <c r="AC836" s="5" t="str">
        <f>IFERROR(VLOOKUP(D836,CAARStatus!$A$2:$AA$1600,22,FALSE),"Not invoiced")</f>
        <v>Paid</v>
      </c>
      <c r="AD836" s="11">
        <f>IF(AC836="Paid",IFERROR(VLOOKUP(D836,CAARStatus!$A$2:$AA$1600,6,FALSE),"Pending"),"Pending")</f>
        <v>45951</v>
      </c>
      <c r="AE836" s="5" t="str">
        <f t="shared" si="298"/>
        <v>P-81125</v>
      </c>
      <c r="AF836" s="5" t="str">
        <f t="shared" si="299"/>
        <v>Cartledge &amp; Associates Inc.</v>
      </c>
      <c r="AG836" s="5" t="str">
        <f t="shared" si="300"/>
        <v>USD</v>
      </c>
      <c r="AH836" s="5">
        <f t="shared" si="301"/>
        <v>5760.6740865491647</v>
      </c>
      <c r="AI836" s="12">
        <f>IF(L836-N836=0,VLOOKUP(U836,rate!A$4:B$15,2,FALSE)*AH836,IF(AG836="USD",O836,AH836*Y836))</f>
        <v>4187.3</v>
      </c>
      <c r="AJ836" s="13">
        <f t="shared" si="302"/>
        <v>0.72687673995949531</v>
      </c>
      <c r="AK836" s="13">
        <f>-IF(AG836="CAD",IFERROR(VLOOKUP(D836,CAARStatus!$A$1:$Y$1600,16,FALSE),0),0)</f>
        <v>0</v>
      </c>
      <c r="AL836" s="13">
        <f>-IF(AG836="USD",IFERROR(VLOOKUP(D836,CAARStatus!$A$1:$Y$1600,11,FALSE),0),0)</f>
        <v>-4187.3</v>
      </c>
      <c r="AM836" s="22" t="str">
        <f t="shared" si="303"/>
        <v/>
      </c>
      <c r="AN836" s="12">
        <f t="shared" si="304"/>
        <v>0</v>
      </c>
      <c r="AO836" s="12" t="str">
        <f t="shared" si="305"/>
        <v>Yes</v>
      </c>
      <c r="AP836" t="str">
        <f t="shared" si="290"/>
        <v>Yes</v>
      </c>
      <c r="AQ836" t="str">
        <f>IFERROR(VLOOKUP(Z836,InvBal!$L$4:$P$600,4,FALSE),"Pend")</f>
        <v>Pend</v>
      </c>
      <c r="AR836" t="str">
        <f>IFERROR(VLOOKUP(D836,Manual!$C$1:$E$22,2,FALSE),"Pend")</f>
        <v>Pend</v>
      </c>
      <c r="AS836" t="str">
        <f t="shared" si="306"/>
        <v>Yes</v>
      </c>
      <c r="AT836" t="str">
        <f t="shared" si="307"/>
        <v>Yes</v>
      </c>
      <c r="AU836" s="51" t="str">
        <f t="shared" si="308"/>
        <v>Yes</v>
      </c>
      <c r="AV836" s="12">
        <f>IFERROR(VLOOKUP(D836,'Receivable Invoice Detail'!$S$1:$U$3014,3,FALSE),0)</f>
        <v>591</v>
      </c>
      <c r="AW836" s="12">
        <f t="shared" si="309"/>
        <v>3596.3</v>
      </c>
    </row>
    <row r="837" spans="1:49" x14ac:dyDescent="0.25">
      <c r="A837" s="2">
        <v>1</v>
      </c>
      <c r="B837" s="2" t="s">
        <v>881</v>
      </c>
      <c r="C837" s="2" t="s">
        <v>882</v>
      </c>
      <c r="D837" s="2" t="s">
        <v>3065</v>
      </c>
      <c r="E837" s="2" t="s">
        <v>239</v>
      </c>
      <c r="F837" s="3">
        <v>45877.448958333327</v>
      </c>
      <c r="G837" s="3">
        <v>45877.449340277781</v>
      </c>
      <c r="H837" s="4">
        <v>45880</v>
      </c>
      <c r="I837" s="2" t="s">
        <v>180</v>
      </c>
      <c r="J837" s="2" t="s">
        <v>51</v>
      </c>
      <c r="K837" s="2">
        <v>0.72772764552973712</v>
      </c>
      <c r="L837" s="2">
        <v>2496.6070907989961</v>
      </c>
      <c r="M837" s="2">
        <v>0</v>
      </c>
      <c r="N837" s="2">
        <v>1816.85</v>
      </c>
      <c r="O837" s="2">
        <v>1816.85</v>
      </c>
      <c r="P837" s="2"/>
      <c r="Q837" s="2">
        <v>1816.85</v>
      </c>
      <c r="R837" s="2" t="s">
        <v>44</v>
      </c>
      <c r="S837" s="2"/>
      <c r="T837" s="2">
        <f t="shared" si="291"/>
        <v>1</v>
      </c>
      <c r="U837" s="18">
        <f t="shared" si="292"/>
        <v>8</v>
      </c>
      <c r="V837" s="18">
        <f t="shared" si="293"/>
        <v>2025</v>
      </c>
      <c r="W837" s="18" t="str">
        <f t="shared" si="294"/>
        <v/>
      </c>
      <c r="X837" s="18" t="str">
        <f t="shared" si="295"/>
        <v/>
      </c>
      <c r="Y837" s="2">
        <f t="shared" si="288"/>
        <v>0.72772764552973712</v>
      </c>
      <c r="Z837" t="str">
        <f t="shared" si="289"/>
        <v>SO17655</v>
      </c>
      <c r="AA837" s="11">
        <f t="shared" si="296"/>
        <v>45877.448958333327</v>
      </c>
      <c r="AB837" s="5" t="str">
        <f t="shared" si="297"/>
        <v>INV13434</v>
      </c>
      <c r="AC837" s="5" t="str">
        <f>IFERROR(VLOOKUP(D837,CAARStatus!$A$2:$AA$1600,22,FALSE),"Not invoiced")</f>
        <v>Not invoiced</v>
      </c>
      <c r="AD837" s="11" t="str">
        <f>IF(AC837="Paid",IFERROR(VLOOKUP(D837,CAARStatus!$A$2:$AA$1600,6,FALSE),"Pending"),"Pending")</f>
        <v>Pending</v>
      </c>
      <c r="AE837" s="5" t="str">
        <f t="shared" si="298"/>
        <v>PO# 1057</v>
      </c>
      <c r="AF837" s="5" t="str">
        <f t="shared" si="299"/>
        <v>Mill-Right Mine Services Inc.</v>
      </c>
      <c r="AG837" s="5" t="str">
        <f t="shared" si="300"/>
        <v>USD</v>
      </c>
      <c r="AH837" s="5">
        <f t="shared" si="301"/>
        <v>2496.6070907989961</v>
      </c>
      <c r="AI837" s="12">
        <f>IF(L837-N837=0,VLOOKUP(U837,rate!A$4:B$15,2,FALSE)*AH837,IF(AG837="USD",O837,AH837*Y837))</f>
        <v>1816.85</v>
      </c>
      <c r="AJ837" s="13">
        <f t="shared" si="302"/>
        <v>0.72772764552973712</v>
      </c>
      <c r="AK837" s="13">
        <f>-IF(AG837="CAD",IFERROR(VLOOKUP(D837,CAARStatus!$A$1:$Y$1600,16,FALSE),0),0)</f>
        <v>0</v>
      </c>
      <c r="AL837" s="13">
        <f>-IF(AG837="USD",IFERROR(VLOOKUP(D837,CAARStatus!$A$1:$Y$1600,11,FALSE),0),0)</f>
        <v>0</v>
      </c>
      <c r="AM837" s="22" t="str">
        <f t="shared" si="303"/>
        <v/>
      </c>
      <c r="AN837" s="12">
        <f t="shared" si="304"/>
        <v>1816.85</v>
      </c>
      <c r="AO837" s="12" t="str">
        <f t="shared" si="305"/>
        <v>Pend</v>
      </c>
      <c r="AP837" t="str">
        <f t="shared" si="290"/>
        <v>Pend</v>
      </c>
      <c r="AQ837" t="str">
        <f>IFERROR(VLOOKUP(Z837,InvBal!$L$4:$P$600,4,FALSE),"Pend")</f>
        <v>Pend</v>
      </c>
      <c r="AR837" t="str">
        <f>IFERROR(VLOOKUP(D837,Manual!$C$1:$E$22,2,FALSE),"Pend")</f>
        <v>Pend</v>
      </c>
      <c r="AS837" t="str">
        <f t="shared" si="306"/>
        <v/>
      </c>
      <c r="AT837" t="str">
        <f t="shared" si="307"/>
        <v>Yes</v>
      </c>
      <c r="AU837" s="51" t="str">
        <f t="shared" si="308"/>
        <v/>
      </c>
      <c r="AV837" s="12">
        <f>IFERROR(VLOOKUP(D837,'Receivable Invoice Detail'!$S$1:$U$3014,3,FALSE),0)</f>
        <v>0</v>
      </c>
      <c r="AW837" s="12">
        <f t="shared" si="309"/>
        <v>0</v>
      </c>
    </row>
    <row r="838" spans="1:49" ht="30" x14ac:dyDescent="0.25">
      <c r="A838" s="2">
        <v>1</v>
      </c>
      <c r="B838" s="2" t="s">
        <v>872</v>
      </c>
      <c r="C838" s="2" t="s">
        <v>873</v>
      </c>
      <c r="D838" s="2" t="s">
        <v>3068</v>
      </c>
      <c r="E838" s="2" t="s">
        <v>86</v>
      </c>
      <c r="F838" s="3">
        <v>45877.756053240737</v>
      </c>
      <c r="G838" s="3">
        <v>45880.479097222233</v>
      </c>
      <c r="H838" s="4">
        <v>45887</v>
      </c>
      <c r="I838" s="2" t="s">
        <v>21</v>
      </c>
      <c r="J838" s="2" t="s">
        <v>22</v>
      </c>
      <c r="K838" s="2">
        <v>1</v>
      </c>
      <c r="L838" s="2">
        <v>129.11000000000001</v>
      </c>
      <c r="M838" s="2">
        <v>0</v>
      </c>
      <c r="N838" s="2">
        <v>93.658418872090536</v>
      </c>
      <c r="O838" s="2">
        <v>122.96</v>
      </c>
      <c r="P838" s="2">
        <v>6.15</v>
      </c>
      <c r="Q838" s="2">
        <v>129.11000000000001</v>
      </c>
      <c r="R838" s="2" t="s">
        <v>44</v>
      </c>
      <c r="S838" s="2"/>
      <c r="T838" s="2">
        <f t="shared" si="291"/>
        <v>1</v>
      </c>
      <c r="U838" s="18">
        <f t="shared" si="292"/>
        <v>8</v>
      </c>
      <c r="V838" s="18">
        <f t="shared" si="293"/>
        <v>2025</v>
      </c>
      <c r="W838" s="18">
        <f t="shared" si="294"/>
        <v>9</v>
      </c>
      <c r="X838" s="18">
        <f t="shared" si="295"/>
        <v>2025</v>
      </c>
      <c r="Y838" s="2">
        <f t="shared" si="288"/>
        <v>0.72541568330950756</v>
      </c>
      <c r="Z838" t="str">
        <f t="shared" si="289"/>
        <v>SO17656</v>
      </c>
      <c r="AA838" s="11">
        <f t="shared" si="296"/>
        <v>45877.756053240737</v>
      </c>
      <c r="AB838" s="5" t="str">
        <f t="shared" si="297"/>
        <v>INV13293</v>
      </c>
      <c r="AC838" s="5" t="str">
        <f>IFERROR(VLOOKUP(D838,CAARStatus!$A$2:$AA$1600,22,FALSE),"Not invoiced")</f>
        <v>Paid</v>
      </c>
      <c r="AD838" s="11">
        <f>IF(AC838="Paid",IFERROR(VLOOKUP(D838,CAARStatus!$A$2:$AA$1600,6,FALSE),"Pending"),"Pending")</f>
        <v>45911</v>
      </c>
      <c r="AE838" s="5" t="str">
        <f t="shared" si="298"/>
        <v>MB21-00192067</v>
      </c>
      <c r="AF838" s="5" t="str">
        <f t="shared" si="299"/>
        <v>Motion Industries Inc. (Canada) - Winnipeg</v>
      </c>
      <c r="AG838" s="5" t="str">
        <f t="shared" si="300"/>
        <v>CAD</v>
      </c>
      <c r="AH838" s="5">
        <f t="shared" si="301"/>
        <v>122.96</v>
      </c>
      <c r="AI838" s="12">
        <f>IF(L838-N838=0,VLOOKUP(U838,rate!A$4:B$15,2,FALSE)*AH838,IF(AG838="USD",O838,AH838*Y838))</f>
        <v>89.197112419737039</v>
      </c>
      <c r="AJ838" s="13">
        <f t="shared" si="302"/>
        <v>0.72541568330950745</v>
      </c>
      <c r="AK838" s="13">
        <f>-IF(AG838="CAD",IFERROR(VLOOKUP(D838,CAARStatus!$A$1:$Y$1600,16,FALSE),0),0)</f>
        <v>-122.96</v>
      </c>
      <c r="AL838" s="13">
        <f>-IF(AG838="USD",IFERROR(VLOOKUP(D838,CAARStatus!$A$1:$Y$1600,11,FALSE),0),0)</f>
        <v>0</v>
      </c>
      <c r="AM838" s="22">
        <f t="shared" si="303"/>
        <v>0</v>
      </c>
      <c r="AN838" s="12" t="str">
        <f t="shared" si="304"/>
        <v/>
      </c>
      <c r="AO838" s="12" t="str">
        <f t="shared" si="305"/>
        <v>Yes</v>
      </c>
      <c r="AP838" t="str">
        <f t="shared" si="290"/>
        <v>Yes</v>
      </c>
      <c r="AQ838" t="str">
        <f>IFERROR(VLOOKUP(Z838,InvBal!$L$4:$P$600,4,FALSE),"Pend")</f>
        <v>Pend</v>
      </c>
      <c r="AR838" t="str">
        <f>IFERROR(VLOOKUP(D838,Manual!$C$1:$E$22,2,FALSE),"Pend")</f>
        <v>Pend</v>
      </c>
      <c r="AS838" t="str">
        <f t="shared" si="306"/>
        <v>Yes</v>
      </c>
      <c r="AT838" t="str">
        <f t="shared" si="307"/>
        <v>Yes</v>
      </c>
      <c r="AU838" s="51" t="str">
        <f t="shared" si="308"/>
        <v>Yes</v>
      </c>
      <c r="AV838" s="12">
        <f>IFERROR(VLOOKUP(D838,'Receivable Invoice Detail'!$S$1:$U$3014,3,FALSE),0)</f>
        <v>0</v>
      </c>
      <c r="AW838" s="12">
        <f t="shared" si="309"/>
        <v>89.197112419737039</v>
      </c>
    </row>
    <row r="839" spans="1:49" ht="30" x14ac:dyDescent="0.25">
      <c r="A839" s="2">
        <v>1</v>
      </c>
      <c r="B839" s="2" t="s">
        <v>862</v>
      </c>
      <c r="C839" s="2" t="s">
        <v>863</v>
      </c>
      <c r="D839" s="2" t="s">
        <v>3073</v>
      </c>
      <c r="E839" s="2" t="s">
        <v>864</v>
      </c>
      <c r="F839" s="3">
        <v>45880.461770833332</v>
      </c>
      <c r="G839" s="3">
        <v>45880.700439814813</v>
      </c>
      <c r="H839" s="4">
        <v>45881</v>
      </c>
      <c r="I839" s="2" t="s">
        <v>21</v>
      </c>
      <c r="J839" s="2" t="s">
        <v>22</v>
      </c>
      <c r="K839" s="2">
        <v>1</v>
      </c>
      <c r="L839" s="2">
        <v>2038.62</v>
      </c>
      <c r="M839" s="2">
        <v>0</v>
      </c>
      <c r="N839" s="2">
        <v>1478.846920308428</v>
      </c>
      <c r="O839" s="2">
        <v>1941.54</v>
      </c>
      <c r="P839" s="2">
        <v>97.08</v>
      </c>
      <c r="Q839" s="2">
        <v>2038.62</v>
      </c>
      <c r="R839" s="2" t="s">
        <v>44</v>
      </c>
      <c r="S839" s="2"/>
      <c r="T839" s="2">
        <f t="shared" si="291"/>
        <v>1</v>
      </c>
      <c r="U839" s="18">
        <f t="shared" si="292"/>
        <v>8</v>
      </c>
      <c r="V839" s="18">
        <f t="shared" si="293"/>
        <v>2025</v>
      </c>
      <c r="W839" s="18">
        <f t="shared" si="294"/>
        <v>10</v>
      </c>
      <c r="X839" s="18">
        <f t="shared" si="295"/>
        <v>2025</v>
      </c>
      <c r="Y839" s="2">
        <f t="shared" si="288"/>
        <v>0.72541568330950745</v>
      </c>
      <c r="Z839" t="str">
        <f t="shared" si="289"/>
        <v>SO17659</v>
      </c>
      <c r="AA839" s="11">
        <f t="shared" si="296"/>
        <v>45880.461770833332</v>
      </c>
      <c r="AB839" s="5" t="str">
        <f t="shared" si="297"/>
        <v>INV13294</v>
      </c>
      <c r="AC839" s="5" t="str">
        <f>IFERROR(VLOOKUP(D839,CAARStatus!$A$2:$AA$1600,22,FALSE),"Not invoiced")</f>
        <v>Paid</v>
      </c>
      <c r="AD839" s="11">
        <f>IF(AC839="Paid",IFERROR(VLOOKUP(D839,CAARStatus!$A$2:$AA$1600,6,FALSE),"Pending"),"Pending")</f>
        <v>45931</v>
      </c>
      <c r="AE839" s="5" t="str">
        <f t="shared" si="298"/>
        <v>2100630473</v>
      </c>
      <c r="AF839" s="5" t="str">
        <f t="shared" si="299"/>
        <v>Wajax Limited - Pointe-aux-Trembles</v>
      </c>
      <c r="AG839" s="5" t="str">
        <f t="shared" si="300"/>
        <v>CAD</v>
      </c>
      <c r="AH839" s="5">
        <f t="shared" si="301"/>
        <v>1941.54</v>
      </c>
      <c r="AI839" s="12">
        <f>IF(L839-N839=0,VLOOKUP(U839,rate!A$4:B$15,2,FALSE)*AH839,IF(AG839="USD",O839,AH839*Y839))</f>
        <v>1408.4235657727411</v>
      </c>
      <c r="AJ839" s="13">
        <f t="shared" si="302"/>
        <v>0.72541568330950745</v>
      </c>
      <c r="AK839" s="13">
        <f>-IF(AG839="CAD",IFERROR(VLOOKUP(D839,CAARStatus!$A$1:$Y$1600,16,FALSE),0),0)</f>
        <v>-1941.54</v>
      </c>
      <c r="AL839" s="13">
        <f>-IF(AG839="USD",IFERROR(VLOOKUP(D839,CAARStatus!$A$1:$Y$1600,11,FALSE),0),0)</f>
        <v>0</v>
      </c>
      <c r="AM839" s="22">
        <f t="shared" si="303"/>
        <v>0</v>
      </c>
      <c r="AN839" s="12" t="str">
        <f t="shared" si="304"/>
        <v/>
      </c>
      <c r="AO839" s="12" t="str">
        <f t="shared" si="305"/>
        <v>Yes</v>
      </c>
      <c r="AP839" t="str">
        <f t="shared" si="290"/>
        <v>Yes</v>
      </c>
      <c r="AQ839" t="str">
        <f>IFERROR(VLOOKUP(Z839,InvBal!$L$4:$P$600,4,FALSE),"Pend")</f>
        <v>Pend</v>
      </c>
      <c r="AR839" t="str">
        <f>IFERROR(VLOOKUP(D839,Manual!$C$1:$E$22,2,FALSE),"Pend")</f>
        <v>Pend</v>
      </c>
      <c r="AS839" t="str">
        <f t="shared" si="306"/>
        <v>Yes</v>
      </c>
      <c r="AT839" t="str">
        <f t="shared" si="307"/>
        <v>Yes</v>
      </c>
      <c r="AU839" s="51" t="str">
        <f t="shared" si="308"/>
        <v>Yes</v>
      </c>
      <c r="AV839" s="12">
        <f>IFERROR(VLOOKUP(D839,'Receivable Invoice Detail'!$S$1:$U$3014,3,FALSE),0)</f>
        <v>0</v>
      </c>
      <c r="AW839" s="12">
        <f t="shared" si="309"/>
        <v>1408.4235657727411</v>
      </c>
    </row>
    <row r="840" spans="1:49" x14ac:dyDescent="0.25">
      <c r="A840" s="2">
        <v>1</v>
      </c>
      <c r="B840" s="2" t="s">
        <v>858</v>
      </c>
      <c r="C840" s="2" t="s">
        <v>859</v>
      </c>
      <c r="D840" s="2" t="s">
        <v>3075</v>
      </c>
      <c r="E840" s="2" t="s">
        <v>54</v>
      </c>
      <c r="F840" s="3">
        <v>45880.525520833333</v>
      </c>
      <c r="G840" s="3">
        <v>45881.459641203714</v>
      </c>
      <c r="H840" s="4">
        <v>45882</v>
      </c>
      <c r="I840" s="2" t="s">
        <v>21</v>
      </c>
      <c r="J840" s="2" t="s">
        <v>22</v>
      </c>
      <c r="K840" s="2">
        <v>1</v>
      </c>
      <c r="L840" s="2">
        <v>1488.69</v>
      </c>
      <c r="M840" s="2">
        <v>0</v>
      </c>
      <c r="N840" s="2">
        <v>1081.602923416903</v>
      </c>
      <c r="O840" s="2">
        <v>1417.8</v>
      </c>
      <c r="P840" s="2">
        <v>70.89</v>
      </c>
      <c r="Q840" s="2">
        <v>1488.69</v>
      </c>
      <c r="R840" s="2" t="s">
        <v>44</v>
      </c>
      <c r="S840" s="2"/>
      <c r="T840" s="2">
        <f t="shared" si="291"/>
        <v>1</v>
      </c>
      <c r="U840" s="18">
        <f t="shared" si="292"/>
        <v>8</v>
      </c>
      <c r="V840" s="18">
        <f t="shared" si="293"/>
        <v>2025</v>
      </c>
      <c r="W840" s="18">
        <f t="shared" si="294"/>
        <v>9</v>
      </c>
      <c r="X840" s="18">
        <f t="shared" si="295"/>
        <v>2025</v>
      </c>
      <c r="Y840" s="2">
        <f t="shared" si="288"/>
        <v>0.72654677831979986</v>
      </c>
      <c r="Z840" t="str">
        <f t="shared" si="289"/>
        <v>SO17660</v>
      </c>
      <c r="AA840" s="11">
        <f t="shared" si="296"/>
        <v>45880.525520833333</v>
      </c>
      <c r="AB840" s="5" t="str">
        <f t="shared" si="297"/>
        <v>INV13297</v>
      </c>
      <c r="AC840" s="5" t="str">
        <f>IFERROR(VLOOKUP(D840,CAARStatus!$A$2:$AA$1600,22,FALSE),"Not invoiced")</f>
        <v>Paid</v>
      </c>
      <c r="AD840" s="11">
        <f>IF(AC840="Paid",IFERROR(VLOOKUP(D840,CAARStatus!$A$2:$AA$1600,6,FALSE),"Pending"),"Pending")</f>
        <v>45919</v>
      </c>
      <c r="AE840" s="5" t="str">
        <f t="shared" si="298"/>
        <v>3275</v>
      </c>
      <c r="AF840" s="5" t="str">
        <f t="shared" si="299"/>
        <v>Les Pompes du St-Laurent Inc.</v>
      </c>
      <c r="AG840" s="5" t="str">
        <f t="shared" si="300"/>
        <v>CAD</v>
      </c>
      <c r="AH840" s="5">
        <f t="shared" si="301"/>
        <v>1417.8</v>
      </c>
      <c r="AI840" s="12">
        <f>IF(L840-N840=0,VLOOKUP(U840,rate!A$4:B$15,2,FALSE)*AH840,IF(AG840="USD",O840,AH840*Y840))</f>
        <v>1030.0980223018123</v>
      </c>
      <c r="AJ840" s="13">
        <f t="shared" si="302"/>
        <v>0.72654677831979997</v>
      </c>
      <c r="AK840" s="13">
        <f>-IF(AG840="CAD",IFERROR(VLOOKUP(D840,CAARStatus!$A$1:$Y$1600,16,FALSE),0),0)</f>
        <v>-1417.8</v>
      </c>
      <c r="AL840" s="13">
        <f>-IF(AG840="USD",IFERROR(VLOOKUP(D840,CAARStatus!$A$1:$Y$1600,11,FALSE),0),0)</f>
        <v>0</v>
      </c>
      <c r="AM840" s="22">
        <f t="shared" si="303"/>
        <v>0</v>
      </c>
      <c r="AN840" s="12" t="str">
        <f t="shared" si="304"/>
        <v/>
      </c>
      <c r="AO840" s="12" t="str">
        <f t="shared" si="305"/>
        <v>Yes</v>
      </c>
      <c r="AP840" t="str">
        <f t="shared" si="290"/>
        <v>Yes</v>
      </c>
      <c r="AQ840" t="str">
        <f>IFERROR(VLOOKUP(Z840,InvBal!$L$4:$P$600,4,FALSE),"Pend")</f>
        <v>Pend</v>
      </c>
      <c r="AR840" t="str">
        <f>IFERROR(VLOOKUP(D840,Manual!$C$1:$E$22,2,FALSE),"Pend")</f>
        <v>Pend</v>
      </c>
      <c r="AS840" t="str">
        <f t="shared" si="306"/>
        <v>Yes</v>
      </c>
      <c r="AT840" t="str">
        <f t="shared" si="307"/>
        <v>Yes</v>
      </c>
      <c r="AU840" s="51" t="str">
        <f t="shared" si="308"/>
        <v>Yes</v>
      </c>
      <c r="AV840" s="12">
        <f>IFERROR(VLOOKUP(D840,'Receivable Invoice Detail'!$S$1:$U$3014,3,FALSE),0)</f>
        <v>0</v>
      </c>
      <c r="AW840" s="12">
        <f t="shared" si="309"/>
        <v>1030.0980223018123</v>
      </c>
    </row>
    <row r="841" spans="1:49" ht="30" x14ac:dyDescent="0.25">
      <c r="A841" s="2">
        <v>1</v>
      </c>
      <c r="B841" s="2" t="s">
        <v>860</v>
      </c>
      <c r="C841" s="2" t="s">
        <v>861</v>
      </c>
      <c r="D841" s="2" t="s">
        <v>3074</v>
      </c>
      <c r="E841" s="2" t="s">
        <v>35</v>
      </c>
      <c r="F841" s="3">
        <v>45880.563761574071</v>
      </c>
      <c r="G841" s="3">
        <v>45880.72755787037</v>
      </c>
      <c r="H841" s="4">
        <v>45887</v>
      </c>
      <c r="I841" s="2" t="s">
        <v>36</v>
      </c>
      <c r="J841" s="2" t="s">
        <v>22</v>
      </c>
      <c r="K841" s="2">
        <v>1</v>
      </c>
      <c r="L841" s="2">
        <v>2877.18</v>
      </c>
      <c r="M841" s="2">
        <v>0</v>
      </c>
      <c r="N841" s="2">
        <v>2087.1514957044492</v>
      </c>
      <c r="O841" s="2">
        <v>2740.17</v>
      </c>
      <c r="P841" s="2">
        <v>137.01</v>
      </c>
      <c r="Q841" s="2">
        <v>2877.18</v>
      </c>
      <c r="R841" s="2" t="s">
        <v>44</v>
      </c>
      <c r="S841" s="2"/>
      <c r="T841" s="2">
        <f t="shared" si="291"/>
        <v>1</v>
      </c>
      <c r="U841" s="18">
        <f t="shared" si="292"/>
        <v>8</v>
      </c>
      <c r="V841" s="18">
        <f t="shared" si="293"/>
        <v>2025</v>
      </c>
      <c r="W841" s="18">
        <f t="shared" si="294"/>
        <v>9</v>
      </c>
      <c r="X841" s="18">
        <f t="shared" si="295"/>
        <v>2025</v>
      </c>
      <c r="Y841" s="2">
        <f t="shared" si="288"/>
        <v>0.72541568330950768</v>
      </c>
      <c r="Z841" t="str">
        <f t="shared" si="289"/>
        <v>SO17661</v>
      </c>
      <c r="AA841" s="11">
        <f t="shared" si="296"/>
        <v>45880.563761574071</v>
      </c>
      <c r="AB841" s="5" t="str">
        <f t="shared" si="297"/>
        <v>INV13295</v>
      </c>
      <c r="AC841" s="5" t="str">
        <f>IFERROR(VLOOKUP(D841,CAARStatus!$A$2:$AA$1600,22,FALSE),"Not invoiced")</f>
        <v>Paid</v>
      </c>
      <c r="AD841" s="11">
        <f>IF(AC841="Paid",IFERROR(VLOOKUP(D841,CAARStatus!$A$2:$AA$1600,6,FALSE),"Pending"),"Pending")</f>
        <v>45910</v>
      </c>
      <c r="AE841" s="5" t="str">
        <f t="shared" si="298"/>
        <v>PO13889</v>
      </c>
      <c r="AF841" s="5" t="str">
        <f t="shared" si="299"/>
        <v>Manufacture Sling-Choker (Val-d’Or) Ltée</v>
      </c>
      <c r="AG841" s="5" t="str">
        <f t="shared" si="300"/>
        <v>CAD</v>
      </c>
      <c r="AH841" s="5">
        <f t="shared" si="301"/>
        <v>2740.17</v>
      </c>
      <c r="AI841" s="12">
        <f>IF(L841-N841=0,VLOOKUP(U841,rate!A$4:B$15,2,FALSE)*AH841,IF(AG841="USD",O841,AH841*Y841))</f>
        <v>1987.7622929342137</v>
      </c>
      <c r="AJ841" s="13">
        <f t="shared" si="302"/>
        <v>0.72541568330950768</v>
      </c>
      <c r="AK841" s="13">
        <f>-IF(AG841="CAD",IFERROR(VLOOKUP(D841,CAARStatus!$A$1:$Y$1600,16,FALSE),0),0)</f>
        <v>-2740.17</v>
      </c>
      <c r="AL841" s="13">
        <f>-IF(AG841="USD",IFERROR(VLOOKUP(D841,CAARStatus!$A$1:$Y$1600,11,FALSE),0),0)</f>
        <v>0</v>
      </c>
      <c r="AM841" s="22">
        <f t="shared" si="303"/>
        <v>0</v>
      </c>
      <c r="AN841" s="12" t="str">
        <f t="shared" si="304"/>
        <v/>
      </c>
      <c r="AO841" s="12" t="str">
        <f t="shared" si="305"/>
        <v>Yes</v>
      </c>
      <c r="AP841" t="str">
        <f t="shared" si="290"/>
        <v>Yes</v>
      </c>
      <c r="AQ841" t="str">
        <f>IFERROR(VLOOKUP(Z841,InvBal!$L$4:$P$600,4,FALSE),"Pend")</f>
        <v>Pend</v>
      </c>
      <c r="AR841" t="str">
        <f>IFERROR(VLOOKUP(D841,Manual!$C$1:$E$22,2,FALSE),"Pend")</f>
        <v>Pend</v>
      </c>
      <c r="AS841" t="str">
        <f t="shared" si="306"/>
        <v>Yes</v>
      </c>
      <c r="AT841" t="str">
        <f t="shared" si="307"/>
        <v>Yes</v>
      </c>
      <c r="AU841" s="51" t="str">
        <f t="shared" si="308"/>
        <v>Yes</v>
      </c>
      <c r="AV841" s="12">
        <f>IFERROR(VLOOKUP(D841,'Receivable Invoice Detail'!$S$1:$U$3014,3,FALSE),0)</f>
        <v>0</v>
      </c>
      <c r="AW841" s="12">
        <f t="shared" si="309"/>
        <v>1987.7622929342137</v>
      </c>
    </row>
    <row r="842" spans="1:49" ht="30" x14ac:dyDescent="0.25">
      <c r="A842" s="2">
        <v>1</v>
      </c>
      <c r="B842" s="2" t="s">
        <v>865</v>
      </c>
      <c r="C842" s="2" t="s">
        <v>866</v>
      </c>
      <c r="D842" s="2" t="s">
        <v>3072</v>
      </c>
      <c r="E842" s="2" t="s">
        <v>684</v>
      </c>
      <c r="F842" s="3">
        <v>45880.605833333328</v>
      </c>
      <c r="G842" s="3">
        <v>45880.610659722217</v>
      </c>
      <c r="H842" s="4">
        <v>45894</v>
      </c>
      <c r="I842" s="2" t="s">
        <v>36</v>
      </c>
      <c r="J842" s="2" t="s">
        <v>22</v>
      </c>
      <c r="K842" s="2">
        <v>1</v>
      </c>
      <c r="L842" s="2">
        <v>206.81</v>
      </c>
      <c r="M842" s="2">
        <v>0</v>
      </c>
      <c r="N842" s="2">
        <v>150.0232174652393</v>
      </c>
      <c r="O842" s="2">
        <v>196.96</v>
      </c>
      <c r="P842" s="2">
        <v>9.85</v>
      </c>
      <c r="Q842" s="2">
        <v>206.81</v>
      </c>
      <c r="R842" s="2" t="s">
        <v>44</v>
      </c>
      <c r="S842" s="2"/>
      <c r="T842" s="2">
        <f t="shared" si="291"/>
        <v>1</v>
      </c>
      <c r="U842" s="18">
        <f t="shared" si="292"/>
        <v>8</v>
      </c>
      <c r="V842" s="18">
        <f t="shared" si="293"/>
        <v>2025</v>
      </c>
      <c r="W842" s="18">
        <f t="shared" si="294"/>
        <v>10</v>
      </c>
      <c r="X842" s="18">
        <f t="shared" si="295"/>
        <v>2025</v>
      </c>
      <c r="Y842" s="2">
        <f t="shared" si="288"/>
        <v>0.72541568330950779</v>
      </c>
      <c r="Z842" t="str">
        <f t="shared" si="289"/>
        <v>SO17662</v>
      </c>
      <c r="AA842" s="11">
        <f t="shared" si="296"/>
        <v>45880.605833333328</v>
      </c>
      <c r="AB842" s="5" t="str">
        <f t="shared" si="297"/>
        <v>INV13292</v>
      </c>
      <c r="AC842" s="5" t="str">
        <f>IFERROR(VLOOKUP(D842,CAARStatus!$A$2:$AA$1600,22,FALSE),"Not invoiced")</f>
        <v>Paid</v>
      </c>
      <c r="AD842" s="11">
        <f>IF(AC842="Paid",IFERROR(VLOOKUP(D842,CAARStatus!$A$2:$AA$1600,6,FALSE),"Pending"),"Pending")</f>
        <v>45940</v>
      </c>
      <c r="AE842" s="5" t="str">
        <f t="shared" si="298"/>
        <v>4500608996</v>
      </c>
      <c r="AF842" s="5" t="str">
        <f t="shared" si="299"/>
        <v>Resolute Forest Products - Fibrek</v>
      </c>
      <c r="AG842" s="5" t="str">
        <f t="shared" si="300"/>
        <v>CAD</v>
      </c>
      <c r="AH842" s="5">
        <f t="shared" si="301"/>
        <v>196.96</v>
      </c>
      <c r="AI842" s="12">
        <f>IF(L842-N842=0,VLOOKUP(U842,rate!A$4:B$15,2,FALSE)*AH842,IF(AG842="USD",O842,AH842*Y842))</f>
        <v>142.87787298464065</v>
      </c>
      <c r="AJ842" s="13">
        <f t="shared" si="302"/>
        <v>0.72541568330950768</v>
      </c>
      <c r="AK842" s="13">
        <f>-IF(AG842="CAD",IFERROR(VLOOKUP(D842,CAARStatus!$A$1:$Y$1600,16,FALSE),0),0)</f>
        <v>-196.96</v>
      </c>
      <c r="AL842" s="13">
        <f>-IF(AG842="USD",IFERROR(VLOOKUP(D842,CAARStatus!$A$1:$Y$1600,11,FALSE),0),0)</f>
        <v>0</v>
      </c>
      <c r="AM842" s="22">
        <f t="shared" si="303"/>
        <v>0</v>
      </c>
      <c r="AN842" s="12" t="str">
        <f t="shared" si="304"/>
        <v/>
      </c>
      <c r="AO842" s="12" t="str">
        <f t="shared" si="305"/>
        <v>Yes</v>
      </c>
      <c r="AP842" t="str">
        <f t="shared" si="290"/>
        <v>Yes</v>
      </c>
      <c r="AQ842" t="str">
        <f>IFERROR(VLOOKUP(Z842,InvBal!$L$4:$P$600,4,FALSE),"Pend")</f>
        <v>Pend</v>
      </c>
      <c r="AR842" t="str">
        <f>IFERROR(VLOOKUP(D842,Manual!$C$1:$E$22,2,FALSE),"Pend")</f>
        <v>Pend</v>
      </c>
      <c r="AS842" t="str">
        <f t="shared" si="306"/>
        <v>Yes</v>
      </c>
      <c r="AT842" t="str">
        <f t="shared" si="307"/>
        <v>Yes</v>
      </c>
      <c r="AU842" s="51" t="str">
        <f t="shared" si="308"/>
        <v>Yes</v>
      </c>
      <c r="AV842" s="12">
        <f>IFERROR(VLOOKUP(D842,'Receivable Invoice Detail'!$S$1:$U$3014,3,FALSE),0)</f>
        <v>0</v>
      </c>
      <c r="AW842" s="12">
        <f t="shared" si="309"/>
        <v>142.87787298464065</v>
      </c>
    </row>
    <row r="843" spans="1:49" x14ac:dyDescent="0.25">
      <c r="A843" s="2">
        <v>1</v>
      </c>
      <c r="B843" s="2" t="s">
        <v>839</v>
      </c>
      <c r="C843" s="2" t="s">
        <v>840</v>
      </c>
      <c r="D843" s="2" t="s">
        <v>3085</v>
      </c>
      <c r="E843" s="2" t="s">
        <v>495</v>
      </c>
      <c r="F843" s="3">
        <v>45880.651064814818</v>
      </c>
      <c r="G843" s="3">
        <v>45883.505960648137</v>
      </c>
      <c r="H843" s="4">
        <v>45987</v>
      </c>
      <c r="I843" s="2" t="s">
        <v>180</v>
      </c>
      <c r="J843" s="2" t="s">
        <v>51</v>
      </c>
      <c r="K843" s="2">
        <v>0.72646703666854284</v>
      </c>
      <c r="L843" s="2">
        <v>18193.90190174658</v>
      </c>
      <c r="M843" s="2">
        <v>0</v>
      </c>
      <c r="N843" s="2">
        <v>13217.27</v>
      </c>
      <c r="O843" s="2">
        <v>13217.27</v>
      </c>
      <c r="P843" s="2"/>
      <c r="Q843" s="2">
        <v>13217.27</v>
      </c>
      <c r="R843" s="2" t="s">
        <v>44</v>
      </c>
      <c r="S843" s="2"/>
      <c r="T843" s="2">
        <f t="shared" si="291"/>
        <v>1</v>
      </c>
      <c r="U843" s="18">
        <f t="shared" si="292"/>
        <v>8</v>
      </c>
      <c r="V843" s="18">
        <f t="shared" si="293"/>
        <v>2025</v>
      </c>
      <c r="W843" s="18" t="str">
        <f t="shared" si="294"/>
        <v/>
      </c>
      <c r="X843" s="18" t="str">
        <f t="shared" si="295"/>
        <v/>
      </c>
      <c r="Y843" s="2">
        <f t="shared" si="288"/>
        <v>0.72646703666854262</v>
      </c>
      <c r="Z843" t="str">
        <f t="shared" si="289"/>
        <v>SO17664</v>
      </c>
      <c r="AA843" s="11">
        <f t="shared" si="296"/>
        <v>45880.651064814818</v>
      </c>
      <c r="AB843" s="5" t="str">
        <f t="shared" si="297"/>
        <v>INV13660</v>
      </c>
      <c r="AC843" s="5" t="str">
        <f>IFERROR(VLOOKUP(D843,CAARStatus!$A$2:$AA$1600,22,FALSE),"Not invoiced")</f>
        <v>Approved</v>
      </c>
      <c r="AD843" s="11" t="str">
        <f>IF(AC843="Paid",IFERROR(VLOOKUP(D843,CAARStatus!$A$2:$AA$1600,6,FALSE),"Pending"),"Pending")</f>
        <v>Pending</v>
      </c>
      <c r="AE843" s="5" t="str">
        <f t="shared" si="298"/>
        <v>P365091</v>
      </c>
      <c r="AF843" s="5" t="str">
        <f t="shared" si="299"/>
        <v>Covia Corp - Fort Smith</v>
      </c>
      <c r="AG843" s="5" t="str">
        <f t="shared" si="300"/>
        <v>USD</v>
      </c>
      <c r="AH843" s="5">
        <f t="shared" si="301"/>
        <v>18193.901901746576</v>
      </c>
      <c r="AI843" s="12">
        <f>IF(L843-N843=0,VLOOKUP(U843,rate!A$4:B$15,2,FALSE)*AH843,IF(AG843="USD",O843,AH843*Y843))</f>
        <v>13217.27</v>
      </c>
      <c r="AJ843" s="13">
        <f t="shared" si="302"/>
        <v>0.72646703666854284</v>
      </c>
      <c r="AK843" s="13">
        <f>-IF(AG843="CAD",IFERROR(VLOOKUP(D843,CAARStatus!$A$1:$Y$1600,16,FALSE),0),0)</f>
        <v>0</v>
      </c>
      <c r="AL843" s="13">
        <f>-IF(AG843="USD",IFERROR(VLOOKUP(D843,CAARStatus!$A$1:$Y$1600,11,FALSE),0),0)</f>
        <v>-13217.27</v>
      </c>
      <c r="AM843" s="22" t="str">
        <f t="shared" si="303"/>
        <v/>
      </c>
      <c r="AN843" s="12">
        <f t="shared" si="304"/>
        <v>0</v>
      </c>
      <c r="AO843" s="12" t="str">
        <f t="shared" si="305"/>
        <v>Pend</v>
      </c>
      <c r="AP843" t="str">
        <f t="shared" si="290"/>
        <v>Pend</v>
      </c>
      <c r="AQ843" t="str">
        <f>IFERROR(VLOOKUP(Z843,InvBal!$L$4:$P$600,4,FALSE),"Pend")</f>
        <v>Pend</v>
      </c>
      <c r="AR843" t="str">
        <f>IFERROR(VLOOKUP(D843,Manual!$C$1:$E$22,2,FALSE),"Pend")</f>
        <v>Pend</v>
      </c>
      <c r="AS843" t="str">
        <f t="shared" si="306"/>
        <v/>
      </c>
      <c r="AT843" t="str">
        <f t="shared" si="307"/>
        <v>Yes</v>
      </c>
      <c r="AU843" s="51" t="str">
        <f t="shared" si="308"/>
        <v/>
      </c>
      <c r="AV843" s="12">
        <f>IFERROR(VLOOKUP(D843,'Receivable Invoice Detail'!$S$1:$U$3014,3,FALSE),0)</f>
        <v>585</v>
      </c>
      <c r="AW843" s="12">
        <f t="shared" si="309"/>
        <v>0</v>
      </c>
    </row>
    <row r="844" spans="1:49" x14ac:dyDescent="0.25">
      <c r="A844" s="2">
        <v>1</v>
      </c>
      <c r="B844" s="2" t="s">
        <v>849</v>
      </c>
      <c r="C844" s="2" t="s">
        <v>850</v>
      </c>
      <c r="D844" s="2" t="s">
        <v>3080</v>
      </c>
      <c r="E844" s="2" t="s">
        <v>77</v>
      </c>
      <c r="F844" s="3">
        <v>45882.422222222223</v>
      </c>
      <c r="G844" s="3">
        <v>45882.485578703701</v>
      </c>
      <c r="H844" s="4">
        <v>45883</v>
      </c>
      <c r="I844" s="2" t="s">
        <v>40</v>
      </c>
      <c r="J844" s="2" t="s">
        <v>22</v>
      </c>
      <c r="K844" s="2">
        <v>1</v>
      </c>
      <c r="L844" s="2">
        <v>517.79999999999995</v>
      </c>
      <c r="M844" s="2">
        <v>0</v>
      </c>
      <c r="N844" s="2">
        <v>376.16463158697138</v>
      </c>
      <c r="O844" s="2">
        <v>493.15</v>
      </c>
      <c r="P844" s="2">
        <v>24.65</v>
      </c>
      <c r="Q844" s="2">
        <v>517.79999999999995</v>
      </c>
      <c r="R844" s="2" t="s">
        <v>44</v>
      </c>
      <c r="S844" s="2"/>
      <c r="T844" s="2">
        <f t="shared" si="291"/>
        <v>1</v>
      </c>
      <c r="U844" s="18">
        <f t="shared" si="292"/>
        <v>8</v>
      </c>
      <c r="V844" s="18">
        <f t="shared" si="293"/>
        <v>2025</v>
      </c>
      <c r="W844" s="18">
        <f t="shared" si="294"/>
        <v>9</v>
      </c>
      <c r="X844" s="18">
        <f t="shared" si="295"/>
        <v>2025</v>
      </c>
      <c r="Y844" s="2">
        <f t="shared" si="288"/>
        <v>0.72646703666854273</v>
      </c>
      <c r="Z844" t="str">
        <f t="shared" si="289"/>
        <v>SO17670</v>
      </c>
      <c r="AA844" s="11">
        <f t="shared" si="296"/>
        <v>45882.422222222223</v>
      </c>
      <c r="AB844" s="5" t="str">
        <f t="shared" si="297"/>
        <v>INV13298</v>
      </c>
      <c r="AC844" s="5" t="str">
        <f>IFERROR(VLOOKUP(D844,CAARStatus!$A$2:$AA$1600,22,FALSE),"Not invoiced")</f>
        <v>Paid</v>
      </c>
      <c r="AD844" s="11">
        <f>IF(AC844="Paid",IFERROR(VLOOKUP(D844,CAARStatus!$A$2:$AA$1600,6,FALSE),"Pending"),"Pending")</f>
        <v>45912</v>
      </c>
      <c r="AE844" s="5" t="str">
        <f t="shared" si="298"/>
        <v>PO-40-1017155</v>
      </c>
      <c r="AF844" s="5" t="str">
        <f t="shared" si="299"/>
        <v>Canadian Bearings Ltd.</v>
      </c>
      <c r="AG844" s="5" t="str">
        <f t="shared" si="300"/>
        <v>CAD</v>
      </c>
      <c r="AH844" s="5">
        <f t="shared" si="301"/>
        <v>493.15</v>
      </c>
      <c r="AI844" s="12">
        <f>IF(L844-N844=0,VLOOKUP(U844,rate!A$4:B$15,2,FALSE)*AH844,IF(AG844="USD",O844,AH844*Y844))</f>
        <v>358.25721913309184</v>
      </c>
      <c r="AJ844" s="13">
        <f t="shared" si="302"/>
        <v>0.72646703666854273</v>
      </c>
      <c r="AK844" s="13">
        <f>-IF(AG844="CAD",IFERROR(VLOOKUP(D844,CAARStatus!$A$1:$Y$1600,16,FALSE),0),0)</f>
        <v>-493.15</v>
      </c>
      <c r="AL844" s="13">
        <f>-IF(AG844="USD",IFERROR(VLOOKUP(D844,CAARStatus!$A$1:$Y$1600,11,FALSE),0),0)</f>
        <v>0</v>
      </c>
      <c r="AM844" s="22">
        <f t="shared" si="303"/>
        <v>0</v>
      </c>
      <c r="AN844" s="12" t="str">
        <f t="shared" si="304"/>
        <v/>
      </c>
      <c r="AO844" s="12" t="str">
        <f t="shared" si="305"/>
        <v>Yes</v>
      </c>
      <c r="AP844" t="str">
        <f t="shared" si="290"/>
        <v>Yes</v>
      </c>
      <c r="AQ844" t="str">
        <f>IFERROR(VLOOKUP(Z844,InvBal!$L$4:$P$600,4,FALSE),"Pend")</f>
        <v>Pend</v>
      </c>
      <c r="AR844" t="str">
        <f>IFERROR(VLOOKUP(D844,Manual!$C$1:$E$22,2,FALSE),"Pend")</f>
        <v>Pend</v>
      </c>
      <c r="AS844" t="str">
        <f t="shared" si="306"/>
        <v>Yes</v>
      </c>
      <c r="AT844" t="str">
        <f t="shared" si="307"/>
        <v>Yes</v>
      </c>
      <c r="AU844" s="51" t="str">
        <f t="shared" si="308"/>
        <v>Yes</v>
      </c>
      <c r="AV844" s="12">
        <f>IFERROR(VLOOKUP(D844,'Receivable Invoice Detail'!$S$1:$U$3014,3,FALSE),0)</f>
        <v>0</v>
      </c>
      <c r="AW844" s="12">
        <f t="shared" si="309"/>
        <v>358.25721913309184</v>
      </c>
    </row>
    <row r="845" spans="1:49" x14ac:dyDescent="0.25">
      <c r="A845" s="2">
        <v>1</v>
      </c>
      <c r="B845" s="2" t="s">
        <v>847</v>
      </c>
      <c r="C845" s="2" t="s">
        <v>848</v>
      </c>
      <c r="D845" s="2" t="s">
        <v>3081</v>
      </c>
      <c r="E845" s="2" t="s">
        <v>141</v>
      </c>
      <c r="F845" s="3">
        <v>45882.524699074071</v>
      </c>
      <c r="G845" s="3">
        <v>45882.66265046296</v>
      </c>
      <c r="H845" s="4">
        <v>45894</v>
      </c>
      <c r="I845" s="2" t="s">
        <v>21</v>
      </c>
      <c r="J845" s="2" t="s">
        <v>51</v>
      </c>
      <c r="K845" s="2">
        <v>0.72654677831979975</v>
      </c>
      <c r="L845" s="2">
        <v>38.841270572090501</v>
      </c>
      <c r="M845" s="2">
        <v>0</v>
      </c>
      <c r="N845" s="2">
        <v>28.22</v>
      </c>
      <c r="O845" s="2">
        <v>28.22</v>
      </c>
      <c r="P845" s="2"/>
      <c r="Q845" s="2">
        <v>28.22</v>
      </c>
      <c r="R845" s="2" t="s">
        <v>44</v>
      </c>
      <c r="S845" s="2"/>
      <c r="T845" s="2">
        <f t="shared" si="291"/>
        <v>1</v>
      </c>
      <c r="U845" s="18">
        <f t="shared" si="292"/>
        <v>8</v>
      </c>
      <c r="V845" s="18">
        <f t="shared" si="293"/>
        <v>2025</v>
      </c>
      <c r="W845" s="18">
        <f t="shared" si="294"/>
        <v>10</v>
      </c>
      <c r="X845" s="18">
        <f t="shared" si="295"/>
        <v>2025</v>
      </c>
      <c r="Y845" s="2">
        <f t="shared" si="288"/>
        <v>0.72654677831979975</v>
      </c>
      <c r="Z845" t="str">
        <f t="shared" si="289"/>
        <v>SO17673</v>
      </c>
      <c r="AA845" s="11">
        <f t="shared" si="296"/>
        <v>45882.524699074071</v>
      </c>
      <c r="AB845" s="5" t="str">
        <f t="shared" si="297"/>
        <v>INV13308</v>
      </c>
      <c r="AC845" s="5" t="str">
        <f>IFERROR(VLOOKUP(D845,CAARStatus!$A$2:$AA$1600,22,FALSE),"Not invoiced")</f>
        <v>Paid</v>
      </c>
      <c r="AD845" s="11">
        <f>IF(AC845="Paid",IFERROR(VLOOKUP(D845,CAARStatus!$A$2:$AA$1600,6,FALSE),"Pending"),"Pending")</f>
        <v>45957</v>
      </c>
      <c r="AE845" s="5" t="str">
        <f t="shared" si="298"/>
        <v>4512219234</v>
      </c>
      <c r="AF845" s="5" t="str">
        <f t="shared" si="299"/>
        <v>PT Vale Indonesia Tbk.</v>
      </c>
      <c r="AG845" s="5" t="str">
        <f t="shared" si="300"/>
        <v>USD</v>
      </c>
      <c r="AH845" s="5">
        <f t="shared" si="301"/>
        <v>38.841270572090501</v>
      </c>
      <c r="AI845" s="12">
        <f>IF(L845-N845=0,VLOOKUP(U845,rate!A$4:B$15,2,FALSE)*AH845,IF(AG845="USD",O845,AH845*Y845))</f>
        <v>28.22</v>
      </c>
      <c r="AJ845" s="13">
        <f t="shared" si="302"/>
        <v>0.72654677831979975</v>
      </c>
      <c r="AK845" s="13">
        <f>-IF(AG845="CAD",IFERROR(VLOOKUP(D845,CAARStatus!$A$1:$Y$1600,16,FALSE),0),0)</f>
        <v>0</v>
      </c>
      <c r="AL845" s="13">
        <f>-IF(AG845="USD",IFERROR(VLOOKUP(D845,CAARStatus!$A$1:$Y$1600,11,FALSE),0),0)</f>
        <v>-28.22</v>
      </c>
      <c r="AM845" s="22" t="str">
        <f t="shared" si="303"/>
        <v/>
      </c>
      <c r="AN845" s="12">
        <f t="shared" si="304"/>
        <v>0</v>
      </c>
      <c r="AO845" s="12" t="str">
        <f t="shared" si="305"/>
        <v>Yes</v>
      </c>
      <c r="AP845" t="str">
        <f t="shared" si="290"/>
        <v>Yes</v>
      </c>
      <c r="AQ845" t="str">
        <f>IFERROR(VLOOKUP(Z845,InvBal!$L$4:$P$600,4,FALSE),"Pend")</f>
        <v>Pend</v>
      </c>
      <c r="AR845" t="str">
        <f>IFERROR(VLOOKUP(D845,Manual!$C$1:$E$22,2,FALSE),"Pend")</f>
        <v>Pend</v>
      </c>
      <c r="AS845" t="str">
        <f t="shared" si="306"/>
        <v>Yes</v>
      </c>
      <c r="AT845" t="str">
        <f t="shared" si="307"/>
        <v>Yes</v>
      </c>
      <c r="AU845" s="51" t="str">
        <f t="shared" si="308"/>
        <v>Yes</v>
      </c>
      <c r="AV845" s="12">
        <f>IFERROR(VLOOKUP(D845,'Receivable Invoice Detail'!$S$1:$U$3014,3,FALSE),0)</f>
        <v>0</v>
      </c>
      <c r="AW845" s="12">
        <f t="shared" si="309"/>
        <v>28.22</v>
      </c>
    </row>
    <row r="846" spans="1:49" x14ac:dyDescent="0.25">
      <c r="A846" s="2">
        <v>1</v>
      </c>
      <c r="B846" s="2" t="s">
        <v>812</v>
      </c>
      <c r="C846" s="2" t="s">
        <v>813</v>
      </c>
      <c r="D846" s="2" t="s">
        <v>3098</v>
      </c>
      <c r="E846" s="2" t="s">
        <v>316</v>
      </c>
      <c r="F846" s="3">
        <v>45882.575902777768</v>
      </c>
      <c r="G846" s="3">
        <v>45888.737500000003</v>
      </c>
      <c r="H846" s="4">
        <v>45900</v>
      </c>
      <c r="I846" s="2" t="s">
        <v>36</v>
      </c>
      <c r="J846" s="2" t="s">
        <v>22</v>
      </c>
      <c r="K846" s="2">
        <v>1</v>
      </c>
      <c r="L846" s="2">
        <v>2440.75</v>
      </c>
      <c r="M846" s="2">
        <v>0</v>
      </c>
      <c r="N846" s="2">
        <v>1760.995717727847</v>
      </c>
      <c r="O846" s="2">
        <v>2440.75</v>
      </c>
      <c r="P846" s="2"/>
      <c r="Q846" s="2">
        <v>2440.75</v>
      </c>
      <c r="R846" s="2" t="s">
        <v>44</v>
      </c>
      <c r="S846" s="2"/>
      <c r="T846" s="2">
        <f t="shared" si="291"/>
        <v>1</v>
      </c>
      <c r="U846" s="18">
        <f t="shared" si="292"/>
        <v>8</v>
      </c>
      <c r="V846" s="18">
        <f t="shared" si="293"/>
        <v>2025</v>
      </c>
      <c r="W846" s="18">
        <f t="shared" si="294"/>
        <v>10</v>
      </c>
      <c r="X846" s="18">
        <f t="shared" si="295"/>
        <v>2025</v>
      </c>
      <c r="Y846" s="2">
        <f t="shared" si="288"/>
        <v>0.72149778458582281</v>
      </c>
      <c r="Z846" t="str">
        <f t="shared" si="289"/>
        <v>SO17674</v>
      </c>
      <c r="AA846" s="11">
        <f t="shared" si="296"/>
        <v>45882.575902777768</v>
      </c>
      <c r="AB846" s="5" t="str">
        <f t="shared" si="297"/>
        <v>INV13366</v>
      </c>
      <c r="AC846" s="5" t="str">
        <f>IFERROR(VLOOKUP(D846,CAARStatus!$A$2:$AA$1600,22,FALSE),"Not invoiced")</f>
        <v>Paid</v>
      </c>
      <c r="AD846" s="11">
        <f>IF(AC846="Paid",IFERROR(VLOOKUP(D846,CAARStatus!$A$2:$AA$1600,6,FALSE),"Pending"),"Pending")</f>
        <v>45933</v>
      </c>
      <c r="AE846" s="5" t="str">
        <f t="shared" si="298"/>
        <v>10545</v>
      </c>
      <c r="AF846" s="5" t="str">
        <f t="shared" si="299"/>
        <v>Canadian Industrial Pumps Ltd</v>
      </c>
      <c r="AG846" s="5" t="str">
        <f t="shared" si="300"/>
        <v>CAD</v>
      </c>
      <c r="AH846" s="5">
        <f t="shared" si="301"/>
        <v>2440.75</v>
      </c>
      <c r="AI846" s="12">
        <f>IF(L846-N846=0,VLOOKUP(U846,rate!A$4:B$15,2,FALSE)*AH846,IF(AG846="USD",O846,AH846*Y846))</f>
        <v>1760.995717727847</v>
      </c>
      <c r="AJ846" s="13">
        <f t="shared" si="302"/>
        <v>0.72149778458582281</v>
      </c>
      <c r="AK846" s="13">
        <f>-IF(AG846="CAD",IFERROR(VLOOKUP(D846,CAARStatus!$A$1:$Y$1600,16,FALSE),0),0)</f>
        <v>-2440.75</v>
      </c>
      <c r="AL846" s="13">
        <f>-IF(AG846="USD",IFERROR(VLOOKUP(D846,CAARStatus!$A$1:$Y$1600,11,FALSE),0),0)</f>
        <v>0</v>
      </c>
      <c r="AM846" s="22">
        <f t="shared" si="303"/>
        <v>0</v>
      </c>
      <c r="AN846" s="12" t="str">
        <f t="shared" si="304"/>
        <v/>
      </c>
      <c r="AO846" s="12" t="str">
        <f t="shared" si="305"/>
        <v>Yes</v>
      </c>
      <c r="AP846" t="str">
        <f t="shared" si="290"/>
        <v>Yes</v>
      </c>
      <c r="AQ846" t="str">
        <f>IFERROR(VLOOKUP(Z846,InvBal!$L$4:$P$600,4,FALSE),"Pend")</f>
        <v>Pend</v>
      </c>
      <c r="AR846" t="str">
        <f>IFERROR(VLOOKUP(D846,Manual!$C$1:$E$22,2,FALSE),"Pend")</f>
        <v>Pend</v>
      </c>
      <c r="AS846" t="str">
        <f t="shared" si="306"/>
        <v>Yes</v>
      </c>
      <c r="AT846" t="str">
        <f t="shared" si="307"/>
        <v>Yes</v>
      </c>
      <c r="AU846" s="51" t="str">
        <f t="shared" si="308"/>
        <v>Yes</v>
      </c>
      <c r="AV846" s="12">
        <f>IFERROR(VLOOKUP(D846,'Receivable Invoice Detail'!$S$1:$U$3014,3,FALSE),0)</f>
        <v>0</v>
      </c>
      <c r="AW846" s="12">
        <f t="shared" si="309"/>
        <v>1760.995717727847</v>
      </c>
    </row>
    <row r="847" spans="1:49" x14ac:dyDescent="0.25">
      <c r="A847" s="2">
        <v>1</v>
      </c>
      <c r="B847" s="2" t="s">
        <v>843</v>
      </c>
      <c r="C847" s="2" t="s">
        <v>844</v>
      </c>
      <c r="D847" s="2" t="s">
        <v>3083</v>
      </c>
      <c r="E847" s="2" t="s">
        <v>141</v>
      </c>
      <c r="F847" s="3">
        <v>45883.417384259257</v>
      </c>
      <c r="G847" s="3">
        <v>45883.423784722218</v>
      </c>
      <c r="H847" s="4">
        <v>45886</v>
      </c>
      <c r="I847" s="2" t="s">
        <v>40</v>
      </c>
      <c r="J847" s="2" t="s">
        <v>51</v>
      </c>
      <c r="K847" s="2">
        <v>0.72646703666854284</v>
      </c>
      <c r="L847" s="2">
        <v>2101.2515681375298</v>
      </c>
      <c r="M847" s="2">
        <v>0</v>
      </c>
      <c r="N847" s="2">
        <v>1526.49</v>
      </c>
      <c r="O847" s="2">
        <v>1526.49</v>
      </c>
      <c r="P847" s="2"/>
      <c r="Q847" s="2">
        <v>1526.49</v>
      </c>
      <c r="R847" s="2" t="s">
        <v>44</v>
      </c>
      <c r="S847" s="2"/>
      <c r="T847" s="2">
        <f t="shared" si="291"/>
        <v>1</v>
      </c>
      <c r="U847" s="18">
        <f t="shared" si="292"/>
        <v>8</v>
      </c>
      <c r="V847" s="18">
        <f t="shared" si="293"/>
        <v>2025</v>
      </c>
      <c r="W847" s="18">
        <f t="shared" si="294"/>
        <v>10</v>
      </c>
      <c r="X847" s="18">
        <f t="shared" si="295"/>
        <v>2025</v>
      </c>
      <c r="Y847" s="2">
        <f t="shared" si="288"/>
        <v>0.72646703666854284</v>
      </c>
      <c r="Z847" t="str">
        <f t="shared" si="289"/>
        <v>SO17676</v>
      </c>
      <c r="AA847" s="11">
        <f t="shared" si="296"/>
        <v>45883.417384259257</v>
      </c>
      <c r="AB847" s="5" t="str">
        <f t="shared" si="297"/>
        <v>INV13309</v>
      </c>
      <c r="AC847" s="5" t="str">
        <f>IFERROR(VLOOKUP(D847,CAARStatus!$A$2:$AA$1600,22,FALSE),"Not invoiced")</f>
        <v>Paid</v>
      </c>
      <c r="AD847" s="11">
        <f>IF(AC847="Paid",IFERROR(VLOOKUP(D847,CAARStatus!$A$2:$AA$1600,6,FALSE),"Pending"),"Pending")</f>
        <v>45950</v>
      </c>
      <c r="AE847" s="5" t="str">
        <f t="shared" si="298"/>
        <v>4512224031</v>
      </c>
      <c r="AF847" s="5" t="str">
        <f t="shared" si="299"/>
        <v>PT Vale Indonesia Tbk.</v>
      </c>
      <c r="AG847" s="5" t="str">
        <f t="shared" si="300"/>
        <v>USD</v>
      </c>
      <c r="AH847" s="5">
        <f t="shared" si="301"/>
        <v>2101.2515681375298</v>
      </c>
      <c r="AI847" s="12">
        <f>IF(L847-N847=0,VLOOKUP(U847,rate!A$4:B$15,2,FALSE)*AH847,IF(AG847="USD",O847,AH847*Y847))</f>
        <v>1526.49</v>
      </c>
      <c r="AJ847" s="13">
        <f t="shared" si="302"/>
        <v>0.72646703666854284</v>
      </c>
      <c r="AK847" s="13">
        <f>-IF(AG847="CAD",IFERROR(VLOOKUP(D847,CAARStatus!$A$1:$Y$1600,16,FALSE),0),0)</f>
        <v>0</v>
      </c>
      <c r="AL847" s="13">
        <f>-IF(AG847="USD",IFERROR(VLOOKUP(D847,CAARStatus!$A$1:$Y$1600,11,FALSE),0),0)</f>
        <v>-1526.49</v>
      </c>
      <c r="AM847" s="22" t="str">
        <f t="shared" si="303"/>
        <v/>
      </c>
      <c r="AN847" s="12">
        <f t="shared" si="304"/>
        <v>0</v>
      </c>
      <c r="AO847" s="12" t="str">
        <f t="shared" si="305"/>
        <v>Yes</v>
      </c>
      <c r="AP847" t="str">
        <f t="shared" si="290"/>
        <v>Yes</v>
      </c>
      <c r="AQ847" t="str">
        <f>IFERROR(VLOOKUP(Z847,InvBal!$L$4:$P$600,4,FALSE),"Pend")</f>
        <v>Pend</v>
      </c>
      <c r="AR847" t="str">
        <f>IFERROR(VLOOKUP(D847,Manual!$C$1:$E$22,2,FALSE),"Pend")</f>
        <v>Pend</v>
      </c>
      <c r="AS847" t="str">
        <f t="shared" si="306"/>
        <v>Yes</v>
      </c>
      <c r="AT847" t="str">
        <f t="shared" si="307"/>
        <v>Yes</v>
      </c>
      <c r="AU847" s="51" t="str">
        <f t="shared" si="308"/>
        <v>Yes</v>
      </c>
      <c r="AV847" s="12">
        <f>IFERROR(VLOOKUP(D847,'Receivable Invoice Detail'!$S$1:$U$3014,3,FALSE),0)</f>
        <v>0</v>
      </c>
      <c r="AW847" s="12">
        <f t="shared" si="309"/>
        <v>1526.49</v>
      </c>
    </row>
    <row r="848" spans="1:49" x14ac:dyDescent="0.25">
      <c r="A848" s="2">
        <v>1</v>
      </c>
      <c r="B848" s="2" t="s">
        <v>841</v>
      </c>
      <c r="C848" s="2" t="s">
        <v>842</v>
      </c>
      <c r="D848" s="2" t="s">
        <v>3084</v>
      </c>
      <c r="E848" s="2" t="s">
        <v>141</v>
      </c>
      <c r="F848" s="3">
        <v>45883.42392361111</v>
      </c>
      <c r="G848" s="3">
        <v>45883.429097222222</v>
      </c>
      <c r="H848" s="4">
        <v>45886</v>
      </c>
      <c r="I848" s="2" t="s">
        <v>40</v>
      </c>
      <c r="J848" s="2" t="s">
        <v>51</v>
      </c>
      <c r="K848" s="2">
        <v>0.72646703666854284</v>
      </c>
      <c r="L848" s="2">
        <v>649.00398256489234</v>
      </c>
      <c r="M848" s="2">
        <v>0</v>
      </c>
      <c r="N848" s="2">
        <v>471.48</v>
      </c>
      <c r="O848" s="2">
        <v>471.48</v>
      </c>
      <c r="P848" s="2"/>
      <c r="Q848" s="2">
        <v>471.48</v>
      </c>
      <c r="R848" s="2" t="s">
        <v>44</v>
      </c>
      <c r="S848" s="2"/>
      <c r="T848" s="2">
        <f t="shared" si="291"/>
        <v>1</v>
      </c>
      <c r="U848" s="18">
        <f t="shared" si="292"/>
        <v>8</v>
      </c>
      <c r="V848" s="18">
        <f t="shared" si="293"/>
        <v>2025</v>
      </c>
      <c r="W848" s="18">
        <f t="shared" si="294"/>
        <v>10</v>
      </c>
      <c r="X848" s="18">
        <f t="shared" si="295"/>
        <v>2025</v>
      </c>
      <c r="Y848" s="2">
        <f t="shared" si="288"/>
        <v>0.72646703666854284</v>
      </c>
      <c r="Z848" t="str">
        <f t="shared" si="289"/>
        <v>SO17677</v>
      </c>
      <c r="AA848" s="11">
        <f t="shared" si="296"/>
        <v>45883.42392361111</v>
      </c>
      <c r="AB848" s="5" t="str">
        <f t="shared" si="297"/>
        <v>INV13307</v>
      </c>
      <c r="AC848" s="5" t="str">
        <f>IFERROR(VLOOKUP(D848,CAARStatus!$A$2:$AA$1600,22,FALSE),"Not invoiced")</f>
        <v>Paid</v>
      </c>
      <c r="AD848" s="11">
        <f>IF(AC848="Paid",IFERROR(VLOOKUP(D848,CAARStatus!$A$2:$AA$1600,6,FALSE),"Pending"),"Pending")</f>
        <v>45957</v>
      </c>
      <c r="AE848" s="5" t="str">
        <f t="shared" si="298"/>
        <v>4512224278</v>
      </c>
      <c r="AF848" s="5" t="str">
        <f t="shared" si="299"/>
        <v>PT Vale Indonesia Tbk.</v>
      </c>
      <c r="AG848" s="5" t="str">
        <f t="shared" si="300"/>
        <v>USD</v>
      </c>
      <c r="AH848" s="5">
        <f t="shared" si="301"/>
        <v>649.00398256489234</v>
      </c>
      <c r="AI848" s="12">
        <f>IF(L848-N848=0,VLOOKUP(U848,rate!A$4:B$15,2,FALSE)*AH848,IF(AG848="USD",O848,AH848*Y848))</f>
        <v>471.48</v>
      </c>
      <c r="AJ848" s="13">
        <f t="shared" si="302"/>
        <v>0.72646703666854284</v>
      </c>
      <c r="AK848" s="13">
        <f>-IF(AG848="CAD",IFERROR(VLOOKUP(D848,CAARStatus!$A$1:$Y$1600,16,FALSE),0),0)</f>
        <v>0</v>
      </c>
      <c r="AL848" s="13">
        <f>-IF(AG848="USD",IFERROR(VLOOKUP(D848,CAARStatus!$A$1:$Y$1600,11,FALSE),0),0)</f>
        <v>-471.48</v>
      </c>
      <c r="AM848" s="22" t="str">
        <f t="shared" si="303"/>
        <v/>
      </c>
      <c r="AN848" s="12">
        <f t="shared" si="304"/>
        <v>0</v>
      </c>
      <c r="AO848" s="12" t="str">
        <f t="shared" si="305"/>
        <v>Yes</v>
      </c>
      <c r="AP848" t="str">
        <f t="shared" si="290"/>
        <v>Yes</v>
      </c>
      <c r="AQ848" t="str">
        <f>IFERROR(VLOOKUP(Z848,InvBal!$L$4:$P$600,4,FALSE),"Pend")</f>
        <v>Pend</v>
      </c>
      <c r="AR848" t="str">
        <f>IFERROR(VLOOKUP(D848,Manual!$C$1:$E$22,2,FALSE),"Pend")</f>
        <v>Pend</v>
      </c>
      <c r="AS848" t="str">
        <f t="shared" si="306"/>
        <v>Yes</v>
      </c>
      <c r="AT848" t="str">
        <f t="shared" si="307"/>
        <v>Yes</v>
      </c>
      <c r="AU848" s="51" t="str">
        <f t="shared" si="308"/>
        <v>Yes</v>
      </c>
      <c r="AV848" s="12">
        <f>IFERROR(VLOOKUP(D848,'Receivable Invoice Detail'!$S$1:$U$3014,3,FALSE),0)</f>
        <v>0</v>
      </c>
      <c r="AW848" s="12">
        <f t="shared" si="309"/>
        <v>471.48</v>
      </c>
    </row>
    <row r="849" spans="1:49" ht="30" x14ac:dyDescent="0.25">
      <c r="A849" s="2">
        <v>1</v>
      </c>
      <c r="B849" s="2" t="s">
        <v>6172</v>
      </c>
      <c r="C849" s="2" t="s">
        <v>5977</v>
      </c>
      <c r="D849" s="2" t="s">
        <v>5976</v>
      </c>
      <c r="E849" s="2" t="s">
        <v>3537</v>
      </c>
      <c r="F849" s="3">
        <v>45883.533900462957</v>
      </c>
      <c r="G849" s="3">
        <v>45996.4609837963</v>
      </c>
      <c r="H849" s="4">
        <v>45996</v>
      </c>
      <c r="I849" s="2" t="s">
        <v>21</v>
      </c>
      <c r="J849" s="2" t="s">
        <v>22</v>
      </c>
      <c r="K849" s="2">
        <v>1</v>
      </c>
      <c r="L849" s="2">
        <v>78.58</v>
      </c>
      <c r="M849" s="2">
        <v>0</v>
      </c>
      <c r="N849" s="2">
        <v>56.696283233458729</v>
      </c>
      <c r="O849" s="2">
        <v>74.84</v>
      </c>
      <c r="P849" s="2">
        <v>3.74</v>
      </c>
      <c r="Q849" s="2">
        <v>78.58</v>
      </c>
      <c r="R849" s="2" t="s">
        <v>44</v>
      </c>
      <c r="S849" s="2"/>
      <c r="T849" s="2">
        <f t="shared" si="291"/>
        <v>1</v>
      </c>
      <c r="U849" s="18">
        <f t="shared" si="292"/>
        <v>8</v>
      </c>
      <c r="V849" s="18">
        <f t="shared" si="293"/>
        <v>2025</v>
      </c>
      <c r="W849" s="18" t="str">
        <f t="shared" si="294"/>
        <v/>
      </c>
      <c r="X849" s="18" t="str">
        <f t="shared" si="295"/>
        <v/>
      </c>
      <c r="Y849" s="2">
        <f t="shared" si="288"/>
        <v>0.72151034911502587</v>
      </c>
      <c r="Z849" t="str">
        <f t="shared" si="289"/>
        <v>SO17678</v>
      </c>
      <c r="AA849" s="11">
        <f t="shared" si="296"/>
        <v>45883.533900462957</v>
      </c>
      <c r="AB849" s="5" t="str">
        <f t="shared" si="297"/>
        <v>INV13744</v>
      </c>
      <c r="AC849" s="5" t="str">
        <f>IFERROR(VLOOKUP(D849,CAARStatus!$A$2:$AA$1600,22,FALSE),"Not invoiced")</f>
        <v>Approved</v>
      </c>
      <c r="AD849" s="11" t="str">
        <f>IF(AC849="Paid",IFERROR(VLOOKUP(D849,CAARStatus!$A$2:$AA$1600,6,FALSE),"Pending"),"Pending")</f>
        <v>Pending</v>
      </c>
      <c r="AE849" s="5" t="str">
        <f t="shared" si="298"/>
        <v>QC10-00127942</v>
      </c>
      <c r="AF849" s="5" t="str">
        <f t="shared" si="299"/>
        <v>Motion Industries Inc. (Canada) - Chicoutimi</v>
      </c>
      <c r="AG849" s="5" t="str">
        <f t="shared" si="300"/>
        <v>CAD</v>
      </c>
      <c r="AH849" s="5">
        <f t="shared" si="301"/>
        <v>74.84</v>
      </c>
      <c r="AI849" s="12">
        <f>IF(L849-N849=0,VLOOKUP(U849,rate!A$4:B$15,2,FALSE)*AH849,IF(AG849="USD",O849,AH849*Y849))</f>
        <v>53.997834527768539</v>
      </c>
      <c r="AJ849" s="13">
        <f t="shared" si="302"/>
        <v>0.72151034911502587</v>
      </c>
      <c r="AK849" s="13">
        <f>-IF(AG849="CAD",IFERROR(VLOOKUP(D849,CAARStatus!$A$1:$Y$1600,16,FALSE),0),0)</f>
        <v>-74.84</v>
      </c>
      <c r="AL849" s="13">
        <f>-IF(AG849="USD",IFERROR(VLOOKUP(D849,CAARStatus!$A$1:$Y$1600,11,FALSE),0),0)</f>
        <v>0</v>
      </c>
      <c r="AM849" s="22">
        <f t="shared" si="303"/>
        <v>0</v>
      </c>
      <c r="AN849" s="12" t="str">
        <f t="shared" si="304"/>
        <v/>
      </c>
      <c r="AO849" s="12" t="str">
        <f t="shared" si="305"/>
        <v>Pend</v>
      </c>
      <c r="AP849" t="str">
        <f t="shared" si="290"/>
        <v>Pend</v>
      </c>
      <c r="AQ849" t="str">
        <f>IFERROR(VLOOKUP(Z849,InvBal!$L$4:$P$600,4,FALSE),"Pend")</f>
        <v>Pend</v>
      </c>
      <c r="AR849" t="str">
        <f>IFERROR(VLOOKUP(D849,Manual!$C$1:$E$22,2,FALSE),"Pend")</f>
        <v>Pend</v>
      </c>
      <c r="AS849" t="str">
        <f t="shared" si="306"/>
        <v/>
      </c>
      <c r="AT849" t="str">
        <f t="shared" si="307"/>
        <v>Yes</v>
      </c>
      <c r="AU849" s="51" t="str">
        <f t="shared" si="308"/>
        <v/>
      </c>
      <c r="AV849" s="12">
        <f>IFERROR(VLOOKUP(D849,'Receivable Invoice Detail'!$S$1:$U$3014,3,FALSE),0)</f>
        <v>0</v>
      </c>
      <c r="AW849" s="12">
        <f t="shared" si="309"/>
        <v>0</v>
      </c>
    </row>
    <row r="850" spans="1:49" x14ac:dyDescent="0.25">
      <c r="A850" s="2">
        <v>1</v>
      </c>
      <c r="B850" s="2" t="s">
        <v>695</v>
      </c>
      <c r="C850" s="2" t="s">
        <v>696</v>
      </c>
      <c r="D850" s="2" t="s">
        <v>3158</v>
      </c>
      <c r="E850" s="2" t="s">
        <v>644</v>
      </c>
      <c r="F850" s="3">
        <v>45883.578564814823</v>
      </c>
      <c r="G850" s="3">
        <v>45904.747696759259</v>
      </c>
      <c r="H850" s="4">
        <v>45925</v>
      </c>
      <c r="I850" s="2" t="s">
        <v>21</v>
      </c>
      <c r="J850" s="2" t="s">
        <v>51</v>
      </c>
      <c r="K850" s="2">
        <v>0.72541822568831038</v>
      </c>
      <c r="L850" s="2">
        <v>2149.8632716599132</v>
      </c>
      <c r="M850" s="2">
        <v>0</v>
      </c>
      <c r="N850" s="2">
        <v>1559.55</v>
      </c>
      <c r="O850" s="2">
        <v>1559.55</v>
      </c>
      <c r="P850" s="2"/>
      <c r="Q850" s="2">
        <v>1559.55</v>
      </c>
      <c r="R850" s="2" t="s">
        <v>44</v>
      </c>
      <c r="S850" s="2"/>
      <c r="T850" s="2">
        <f t="shared" si="291"/>
        <v>1</v>
      </c>
      <c r="U850" s="18">
        <f t="shared" si="292"/>
        <v>8</v>
      </c>
      <c r="V850" s="18">
        <f t="shared" si="293"/>
        <v>2025</v>
      </c>
      <c r="W850" s="18">
        <f t="shared" si="294"/>
        <v>12</v>
      </c>
      <c r="X850" s="18">
        <f t="shared" si="295"/>
        <v>2025</v>
      </c>
      <c r="Y850" s="2">
        <f t="shared" si="288"/>
        <v>0.72541822568831027</v>
      </c>
      <c r="Z850" t="str">
        <f t="shared" si="289"/>
        <v>SO17679</v>
      </c>
      <c r="AA850" s="11">
        <f t="shared" si="296"/>
        <v>45883.578564814823</v>
      </c>
      <c r="AB850" s="5" t="str">
        <f t="shared" si="297"/>
        <v>INV13628</v>
      </c>
      <c r="AC850" s="5" t="str">
        <f>IFERROR(VLOOKUP(D850,CAARStatus!$A$2:$AA$1600,22,FALSE),"Not invoiced")</f>
        <v>Paid</v>
      </c>
      <c r="AD850" s="11">
        <f>IF(AC850="Paid",IFERROR(VLOOKUP(D850,CAARStatus!$A$2:$AA$1600,6,FALSE),"Pending"),"Pending")</f>
        <v>45999</v>
      </c>
      <c r="AE850" s="5" t="str">
        <f t="shared" si="298"/>
        <v>P-90425</v>
      </c>
      <c r="AF850" s="5" t="str">
        <f t="shared" si="299"/>
        <v>Cartledge &amp; Associates Inc.</v>
      </c>
      <c r="AG850" s="5" t="str">
        <f t="shared" si="300"/>
        <v>USD</v>
      </c>
      <c r="AH850" s="5">
        <f t="shared" si="301"/>
        <v>2149.8632716599127</v>
      </c>
      <c r="AI850" s="12">
        <f>IF(L850-N850=0,VLOOKUP(U850,rate!A$4:B$15,2,FALSE)*AH850,IF(AG850="USD",O850,AH850*Y850))</f>
        <v>1559.55</v>
      </c>
      <c r="AJ850" s="13">
        <f t="shared" si="302"/>
        <v>0.72541822568831038</v>
      </c>
      <c r="AK850" s="13">
        <f>-IF(AG850="CAD",IFERROR(VLOOKUP(D850,CAARStatus!$A$1:$Y$1600,16,FALSE),0),0)</f>
        <v>0</v>
      </c>
      <c r="AL850" s="13">
        <f>-IF(AG850="USD",IFERROR(VLOOKUP(D850,CAARStatus!$A$1:$Y$1600,11,FALSE),0),0)</f>
        <v>-1559.55</v>
      </c>
      <c r="AM850" s="22" t="str">
        <f t="shared" si="303"/>
        <v/>
      </c>
      <c r="AN850" s="12">
        <f t="shared" si="304"/>
        <v>0</v>
      </c>
      <c r="AO850" s="12" t="str">
        <f t="shared" si="305"/>
        <v>Yes</v>
      </c>
      <c r="AP850" t="str">
        <f t="shared" si="290"/>
        <v>Yes</v>
      </c>
      <c r="AQ850" t="str">
        <f>IFERROR(VLOOKUP(Z850,InvBal!$L$4:$P$600,4,FALSE),"Pend")</f>
        <v>Pend</v>
      </c>
      <c r="AR850" t="str">
        <f>IFERROR(VLOOKUP(D850,Manual!$C$1:$E$22,2,FALSE),"Pend")</f>
        <v>Pend</v>
      </c>
      <c r="AS850" t="str">
        <f t="shared" si="306"/>
        <v>Yes</v>
      </c>
      <c r="AT850" t="str">
        <f t="shared" si="307"/>
        <v>Yes</v>
      </c>
      <c r="AU850" s="51" t="str">
        <f t="shared" si="308"/>
        <v>Yes</v>
      </c>
      <c r="AV850" s="12">
        <f>IFERROR(VLOOKUP(D850,'Receivable Invoice Detail'!$S$1:$U$3014,3,FALSE),0)</f>
        <v>0</v>
      </c>
      <c r="AW850" s="12">
        <f t="shared" si="309"/>
        <v>1559.55</v>
      </c>
    </row>
    <row r="851" spans="1:49" x14ac:dyDescent="0.25">
      <c r="A851" s="2">
        <v>2</v>
      </c>
      <c r="B851" s="2" t="s">
        <v>715</v>
      </c>
      <c r="C851" s="2" t="s">
        <v>716</v>
      </c>
      <c r="D851" s="2" t="s">
        <v>3146</v>
      </c>
      <c r="E851" s="2" t="s">
        <v>714</v>
      </c>
      <c r="F851" s="3">
        <v>45883.713449074072</v>
      </c>
      <c r="G851" s="3">
        <v>45903.581006944441</v>
      </c>
      <c r="H851" s="4">
        <v>46022</v>
      </c>
      <c r="I851" s="2" t="s">
        <v>21</v>
      </c>
      <c r="J851" s="2" t="s">
        <v>51</v>
      </c>
      <c r="K851" s="2">
        <v>0.72690712781787181</v>
      </c>
      <c r="L851" s="2">
        <v>129950.47975876729</v>
      </c>
      <c r="M851" s="2">
        <v>0</v>
      </c>
      <c r="N851" s="2">
        <v>94461.93</v>
      </c>
      <c r="O851" s="2">
        <v>94461.93</v>
      </c>
      <c r="P851" s="2"/>
      <c r="Q851" s="2">
        <v>94461.93</v>
      </c>
      <c r="R851" s="2" t="s">
        <v>126</v>
      </c>
      <c r="S851" s="2"/>
      <c r="T851" s="2">
        <f t="shared" si="291"/>
        <v>2</v>
      </c>
      <c r="U851" s="18">
        <f t="shared" si="292"/>
        <v>8</v>
      </c>
      <c r="V851" s="18">
        <f t="shared" si="293"/>
        <v>2025</v>
      </c>
      <c r="W851" s="18">
        <f t="shared" si="294"/>
        <v>9</v>
      </c>
      <c r="X851" s="18">
        <f t="shared" si="295"/>
        <v>2025</v>
      </c>
      <c r="Y851" s="2">
        <f t="shared" si="288"/>
        <v>0.72690712781787159</v>
      </c>
      <c r="Z851" t="str">
        <f t="shared" si="289"/>
        <v>SO17681</v>
      </c>
      <c r="AA851" s="11">
        <f t="shared" si="296"/>
        <v>45883.713449074072</v>
      </c>
      <c r="AB851" s="5" t="str">
        <f t="shared" si="297"/>
        <v>INV13422</v>
      </c>
      <c r="AC851" s="5" t="str">
        <f>IFERROR(VLOOKUP(D851,CAARStatus!$A$2:$AA$1600,22,FALSE),"Not invoiced")</f>
        <v>Paid</v>
      </c>
      <c r="AD851" s="11">
        <f>IF(AC851="Paid",IFERROR(VLOOKUP(D851,CAARStatus!$A$2:$AA$1600,6,FALSE),"Pending"),"Pending")</f>
        <v>45926</v>
      </c>
      <c r="AE851" s="5" t="str">
        <f t="shared" si="298"/>
        <v>S309770</v>
      </c>
      <c r="AF851" s="5" t="str">
        <f t="shared" si="299"/>
        <v>Kumtor Gold Company</v>
      </c>
      <c r="AG851" s="5" t="str">
        <f t="shared" si="300"/>
        <v>USD</v>
      </c>
      <c r="AH851" s="5">
        <f t="shared" si="301"/>
        <v>129950.47975876725</v>
      </c>
      <c r="AI851" s="12">
        <f>IF(L851-N851=0,VLOOKUP(U851,rate!A$4:B$15,2,FALSE)*AH851,IF(AG851="USD",O851,AH851*Y851))</f>
        <v>94461.93</v>
      </c>
      <c r="AJ851" s="13">
        <f t="shared" si="302"/>
        <v>0.72690712781787181</v>
      </c>
      <c r="AK851" s="13">
        <f>-IF(AG851="CAD",IFERROR(VLOOKUP(D851,CAARStatus!$A$1:$Y$1600,16,FALSE),0),0)</f>
        <v>0</v>
      </c>
      <c r="AL851" s="13">
        <f>-IF(AG851="USD",IFERROR(VLOOKUP(D851,CAARStatus!$A$1:$Y$1600,11,FALSE),0),0)</f>
        <v>-86619.66</v>
      </c>
      <c r="AM851" s="22" t="str">
        <f t="shared" si="303"/>
        <v/>
      </c>
      <c r="AN851" s="12">
        <f t="shared" si="304"/>
        <v>7842.2699999999895</v>
      </c>
      <c r="AO851" s="12" t="str">
        <f t="shared" si="305"/>
        <v>Yes</v>
      </c>
      <c r="AP851" t="str">
        <f t="shared" si="290"/>
        <v>XX</v>
      </c>
      <c r="AQ851">
        <f>IFERROR(VLOOKUP(Z851,InvBal!$L$4:$P$600,4,FALSE),"Pend")</f>
        <v>0</v>
      </c>
      <c r="AR851" t="str">
        <f>IFERROR(VLOOKUP(D851,Manual!$C$1:$E$22,2,FALSE),"Pend")</f>
        <v>Pend</v>
      </c>
      <c r="AS851" t="str">
        <f t="shared" si="306"/>
        <v/>
      </c>
      <c r="AT851" t="str">
        <f t="shared" si="307"/>
        <v/>
      </c>
      <c r="AU851" s="51" t="str">
        <f t="shared" si="308"/>
        <v/>
      </c>
      <c r="AV851" s="12">
        <f>IFERROR(VLOOKUP(D851,'Receivable Invoice Detail'!$S$1:$U$3014,3,FALSE),0)</f>
        <v>0</v>
      </c>
      <c r="AW851" s="12">
        <f t="shared" si="309"/>
        <v>0</v>
      </c>
    </row>
    <row r="852" spans="1:49" x14ac:dyDescent="0.25">
      <c r="A852" s="2"/>
      <c r="B852" s="2"/>
      <c r="C852" s="2"/>
      <c r="D852" s="2" t="s">
        <v>5992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f t="shared" si="291"/>
        <v>2</v>
      </c>
      <c r="U852" s="18">
        <f t="shared" si="292"/>
        <v>8</v>
      </c>
      <c r="V852" s="18">
        <f t="shared" si="293"/>
        <v>2025</v>
      </c>
      <c r="W852" s="18">
        <f t="shared" si="294"/>
        <v>12</v>
      </c>
      <c r="X852" s="18">
        <f t="shared" si="295"/>
        <v>2025</v>
      </c>
      <c r="Y852" s="2">
        <f t="shared" si="288"/>
        <v>0.72690712781787159</v>
      </c>
      <c r="Z852" t="str">
        <f t="shared" si="289"/>
        <v>SO17681</v>
      </c>
      <c r="AA852" s="11">
        <f t="shared" si="296"/>
        <v>45883.713449074072</v>
      </c>
      <c r="AB852" s="5" t="str">
        <f t="shared" si="297"/>
        <v>INV13751</v>
      </c>
      <c r="AC852" s="5" t="str">
        <f>IFERROR(VLOOKUP(D852,CAARStatus!$A$2:$AA$1600,22,FALSE),"Not invoiced")</f>
        <v>Paid</v>
      </c>
      <c r="AD852" s="11">
        <f>IF(AC852="Paid",IFERROR(VLOOKUP(D852,CAARStatus!$A$2:$AA$1600,6,FALSE),"Pending"),"Pending")</f>
        <v>46021</v>
      </c>
      <c r="AE852" s="5" t="str">
        <f t="shared" si="298"/>
        <v>S309770</v>
      </c>
      <c r="AF852" s="5" t="str">
        <f t="shared" si="299"/>
        <v>Kumtor Gold Company</v>
      </c>
      <c r="AG852" s="5" t="str">
        <f t="shared" si="300"/>
        <v>USD</v>
      </c>
      <c r="AH852" s="5">
        <f t="shared" si="301"/>
        <v>0</v>
      </c>
      <c r="AI852" s="12">
        <f>IF(L852-N852=0,VLOOKUP(U852,rate!A$4:B$15,2,FALSE)*AH852,IF(AG852="USD",O852,AH852*Y852))</f>
        <v>0</v>
      </c>
      <c r="AJ852" s="13">
        <f t="shared" si="302"/>
        <v>0</v>
      </c>
      <c r="AK852" s="13">
        <f>-IF(AG852="CAD",IFERROR(VLOOKUP(D852,CAARStatus!$A$1:$Y$1600,16,FALSE),0),0)</f>
        <v>0</v>
      </c>
      <c r="AL852" s="13">
        <f>-IF(AG852="USD",IFERROR(VLOOKUP(D852,CAARStatus!$A$1:$Y$1600,11,FALSE),0),0)</f>
        <v>-787.11</v>
      </c>
      <c r="AM852" s="22" t="str">
        <f t="shared" si="303"/>
        <v/>
      </c>
      <c r="AN852" s="12">
        <f t="shared" si="304"/>
        <v>-787.11</v>
      </c>
      <c r="AO852" s="12" t="str">
        <f t="shared" si="305"/>
        <v>Yes</v>
      </c>
      <c r="AP852" t="str">
        <f t="shared" si="290"/>
        <v>XX</v>
      </c>
      <c r="AQ852">
        <f>IFERROR(VLOOKUP(Z852,InvBal!$L$4:$P$600,4,FALSE),"Pend")</f>
        <v>0</v>
      </c>
      <c r="AR852" t="str">
        <f>IFERROR(VLOOKUP(D852,Manual!$C$1:$E$22,2,FALSE),"Pend")</f>
        <v>Pend</v>
      </c>
      <c r="AS852" t="str">
        <f t="shared" si="306"/>
        <v/>
      </c>
      <c r="AT852" t="str">
        <f t="shared" si="307"/>
        <v/>
      </c>
      <c r="AU852" s="51" t="str">
        <f t="shared" si="308"/>
        <v/>
      </c>
      <c r="AV852" s="12">
        <f>IFERROR(VLOOKUP(D852,'Receivable Invoice Detail'!$S$1:$U$3014,3,FALSE),0)</f>
        <v>0</v>
      </c>
      <c r="AW852" s="12">
        <f t="shared" si="309"/>
        <v>0</v>
      </c>
    </row>
    <row r="853" spans="1:49" x14ac:dyDescent="0.25">
      <c r="A853" s="2">
        <v>2</v>
      </c>
      <c r="B853" s="2" t="s">
        <v>837</v>
      </c>
      <c r="C853" s="2" t="s">
        <v>838</v>
      </c>
      <c r="D853" s="2" t="s">
        <v>3086</v>
      </c>
      <c r="E853" s="2" t="s">
        <v>239</v>
      </c>
      <c r="F853" s="3">
        <v>45883.715243055558</v>
      </c>
      <c r="G853" s="3">
        <v>45883.716504629629</v>
      </c>
      <c r="H853" s="4">
        <v>45884</v>
      </c>
      <c r="I853" s="2" t="s">
        <v>180</v>
      </c>
      <c r="J853" s="2" t="s">
        <v>51</v>
      </c>
      <c r="K853" s="2">
        <v>0.72646703666854284</v>
      </c>
      <c r="L853" s="2">
        <v>2732.1955433823841</v>
      </c>
      <c r="M853" s="2">
        <v>0</v>
      </c>
      <c r="N853" s="2">
        <v>1984.85</v>
      </c>
      <c r="O853" s="2">
        <v>1984.85</v>
      </c>
      <c r="P853" s="2"/>
      <c r="Q853" s="2">
        <v>1984.85</v>
      </c>
      <c r="R853" s="2" t="s">
        <v>44</v>
      </c>
      <c r="S853" s="2"/>
      <c r="T853" s="2">
        <f t="shared" si="291"/>
        <v>2</v>
      </c>
      <c r="U853" s="18">
        <f t="shared" si="292"/>
        <v>8</v>
      </c>
      <c r="V853" s="18">
        <f t="shared" si="293"/>
        <v>2025</v>
      </c>
      <c r="W853" s="18">
        <f t="shared" si="294"/>
        <v>10</v>
      </c>
      <c r="X853" s="18">
        <f t="shared" si="295"/>
        <v>2025</v>
      </c>
      <c r="Y853" s="2">
        <f t="shared" si="288"/>
        <v>0.72646703666854284</v>
      </c>
      <c r="Z853" t="str">
        <f t="shared" si="289"/>
        <v>SO17682</v>
      </c>
      <c r="AA853" s="11">
        <f t="shared" si="296"/>
        <v>45883.715243055558</v>
      </c>
      <c r="AB853" s="5" t="str">
        <f t="shared" si="297"/>
        <v>INV13306</v>
      </c>
      <c r="AC853" s="5" t="str">
        <f>IFERROR(VLOOKUP(D853,CAARStatus!$A$2:$AA$1600,22,FALSE),"Not invoiced")</f>
        <v>Paid</v>
      </c>
      <c r="AD853" s="11">
        <f>IF(AC853="Paid",IFERROR(VLOOKUP(D853,CAARStatus!$A$2:$AA$1600,6,FALSE),"Pending"),"Pending")</f>
        <v>45954</v>
      </c>
      <c r="AE853" s="5" t="str">
        <f t="shared" si="298"/>
        <v>PO# 1058</v>
      </c>
      <c r="AF853" s="5" t="str">
        <f t="shared" si="299"/>
        <v>Mill-Right Mine Services Inc.</v>
      </c>
      <c r="AG853" s="5" t="str">
        <f t="shared" si="300"/>
        <v>USD</v>
      </c>
      <c r="AH853" s="5">
        <f t="shared" si="301"/>
        <v>2732.1955433823841</v>
      </c>
      <c r="AI853" s="12">
        <f>IF(L853-N853=0,VLOOKUP(U853,rate!A$4:B$15,2,FALSE)*AH853,IF(AG853="USD",O853,AH853*Y853))</f>
        <v>1984.85</v>
      </c>
      <c r="AJ853" s="13">
        <f t="shared" si="302"/>
        <v>0.72646703666854284</v>
      </c>
      <c r="AK853" s="13">
        <f>-IF(AG853="CAD",IFERROR(VLOOKUP(D853,CAARStatus!$A$1:$Y$1600,16,FALSE),0),0)</f>
        <v>0</v>
      </c>
      <c r="AL853" s="13">
        <f>-IF(AG853="USD",IFERROR(VLOOKUP(D853,CAARStatus!$A$1:$Y$1600,11,FALSE),0),0)</f>
        <v>-1816.85</v>
      </c>
      <c r="AM853" s="22" t="str">
        <f t="shared" si="303"/>
        <v/>
      </c>
      <c r="AN853" s="12">
        <f t="shared" si="304"/>
        <v>168</v>
      </c>
      <c r="AO853" s="12" t="str">
        <f t="shared" si="305"/>
        <v>Yes</v>
      </c>
      <c r="AP853" t="str">
        <f t="shared" si="290"/>
        <v>XX</v>
      </c>
      <c r="AQ853">
        <f>IFERROR(VLOOKUP(Z853,InvBal!$L$4:$P$600,4,FALSE),"Pend")</f>
        <v>0</v>
      </c>
      <c r="AR853" t="str">
        <f>IFERROR(VLOOKUP(D853,Manual!$C$1:$E$22,2,FALSE),"Pend")</f>
        <v>Pend</v>
      </c>
      <c r="AS853" t="str">
        <f t="shared" si="306"/>
        <v/>
      </c>
      <c r="AT853" t="str">
        <f t="shared" si="307"/>
        <v>Yes</v>
      </c>
      <c r="AU853" s="51" t="str">
        <f t="shared" si="308"/>
        <v/>
      </c>
      <c r="AV853" s="12">
        <f>IFERROR(VLOOKUP(D853,'Receivable Invoice Detail'!$S$1:$U$3014,3,FALSE),0)</f>
        <v>0</v>
      </c>
      <c r="AW853" s="12">
        <f t="shared" si="309"/>
        <v>0</v>
      </c>
    </row>
    <row r="854" spans="1:49" x14ac:dyDescent="0.25">
      <c r="A854" s="2"/>
      <c r="B854" s="2"/>
      <c r="C854" s="2"/>
      <c r="D854" s="2" t="s">
        <v>3086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f t="shared" si="291"/>
        <v>2</v>
      </c>
      <c r="U854" s="18">
        <f t="shared" si="292"/>
        <v>8</v>
      </c>
      <c r="V854" s="18">
        <f t="shared" si="293"/>
        <v>2025</v>
      </c>
      <c r="W854" s="18">
        <f t="shared" si="294"/>
        <v>10</v>
      </c>
      <c r="X854" s="18">
        <f t="shared" si="295"/>
        <v>2025</v>
      </c>
      <c r="Y854" s="2">
        <f t="shared" si="288"/>
        <v>0.72646703666854284</v>
      </c>
      <c r="Z854" t="str">
        <f t="shared" si="289"/>
        <v>SO17682</v>
      </c>
      <c r="AA854" s="11">
        <f t="shared" si="296"/>
        <v>45883.715243055558</v>
      </c>
      <c r="AB854" s="5" t="str">
        <f t="shared" si="297"/>
        <v>INV13306</v>
      </c>
      <c r="AC854" s="5" t="str">
        <f>IFERROR(VLOOKUP(D854,CAARStatus!$A$2:$AA$1600,22,FALSE),"Not invoiced")</f>
        <v>Paid</v>
      </c>
      <c r="AD854" s="11">
        <f>IF(AC854="Paid",IFERROR(VLOOKUP(D854,CAARStatus!$A$2:$AA$1600,6,FALSE),"Pending"),"Pending")</f>
        <v>45954</v>
      </c>
      <c r="AE854" s="5" t="str">
        <f t="shared" si="298"/>
        <v>PO# 1058</v>
      </c>
      <c r="AF854" s="5" t="str">
        <f t="shared" si="299"/>
        <v>Mill-Right Mine Services Inc.</v>
      </c>
      <c r="AG854" s="5" t="str">
        <f t="shared" si="300"/>
        <v>USD</v>
      </c>
      <c r="AH854" s="5">
        <f t="shared" si="301"/>
        <v>0</v>
      </c>
      <c r="AI854" s="12">
        <f>IF(L854-N854=0,VLOOKUP(U854,rate!A$4:B$15,2,FALSE)*AH854,IF(AG854="USD",O854,AH854*Y854))</f>
        <v>0</v>
      </c>
      <c r="AJ854" s="13">
        <f t="shared" si="302"/>
        <v>0</v>
      </c>
      <c r="AK854" s="13">
        <f>-IF(AG854="CAD",IFERROR(VLOOKUP(D854,CAARStatus!$A$1:$Y$1600,16,FALSE),0),0)</f>
        <v>0</v>
      </c>
      <c r="AL854" s="13">
        <f>-IF(AG854="USD",IFERROR(VLOOKUP(D854,CAARStatus!$A$1:$Y$1600,11,FALSE),0),0)</f>
        <v>-1816.85</v>
      </c>
      <c r="AM854" s="22" t="str">
        <f t="shared" si="303"/>
        <v/>
      </c>
      <c r="AN854" s="12">
        <f t="shared" si="304"/>
        <v>-1816.85</v>
      </c>
      <c r="AO854" s="12" t="str">
        <f t="shared" si="305"/>
        <v>Yes</v>
      </c>
      <c r="AP854" t="str">
        <f t="shared" si="290"/>
        <v>XX</v>
      </c>
      <c r="AQ854">
        <f>IFERROR(VLOOKUP(Z854,InvBal!$L$4:$P$600,4,FALSE),"Pend")</f>
        <v>0</v>
      </c>
      <c r="AR854" t="str">
        <f>IFERROR(VLOOKUP(D854,Manual!$C$1:$E$22,2,FALSE),"Pend")</f>
        <v>Pend</v>
      </c>
      <c r="AS854" t="str">
        <f t="shared" si="306"/>
        <v/>
      </c>
      <c r="AT854" t="str">
        <f t="shared" si="307"/>
        <v/>
      </c>
      <c r="AU854" s="51" t="str">
        <f t="shared" si="308"/>
        <v/>
      </c>
      <c r="AV854" s="12">
        <f>IFERROR(VLOOKUP(D854,'Receivable Invoice Detail'!$S$1:$U$3014,3,FALSE),0)</f>
        <v>0</v>
      </c>
      <c r="AW854" s="12">
        <f t="shared" si="309"/>
        <v>0</v>
      </c>
    </row>
    <row r="855" spans="1:49" x14ac:dyDescent="0.25">
      <c r="A855" s="2">
        <v>1</v>
      </c>
      <c r="B855" s="2" t="s">
        <v>827</v>
      </c>
      <c r="C855" s="2" t="s">
        <v>828</v>
      </c>
      <c r="D855" s="2" t="s">
        <v>3091</v>
      </c>
      <c r="E855" s="2" t="s">
        <v>149</v>
      </c>
      <c r="F855" s="3">
        <v>45883.752523148149</v>
      </c>
      <c r="G855" s="3">
        <v>45887.510844907411</v>
      </c>
      <c r="H855" s="4">
        <v>45992</v>
      </c>
      <c r="I855" s="2" t="s">
        <v>36</v>
      </c>
      <c r="J855" s="2" t="s">
        <v>51</v>
      </c>
      <c r="K855" s="2">
        <v>0.7240742470894046</v>
      </c>
      <c r="L855" s="2">
        <v>7447.2197038851255</v>
      </c>
      <c r="M855" s="2">
        <v>0</v>
      </c>
      <c r="N855" s="2">
        <v>5392.34</v>
      </c>
      <c r="O855" s="2">
        <v>5392.34</v>
      </c>
      <c r="P855" s="2"/>
      <c r="Q855" s="2">
        <v>5392.34</v>
      </c>
      <c r="R855" s="2" t="s">
        <v>23</v>
      </c>
      <c r="S855" s="2"/>
      <c r="T855" s="2">
        <f t="shared" si="291"/>
        <v>1</v>
      </c>
      <c r="U855" s="18">
        <f t="shared" si="292"/>
        <v>8</v>
      </c>
      <c r="V855" s="18">
        <f t="shared" si="293"/>
        <v>2025</v>
      </c>
      <c r="W855" s="18">
        <f t="shared" si="294"/>
        <v>11</v>
      </c>
      <c r="X855" s="18">
        <f t="shared" si="295"/>
        <v>2025</v>
      </c>
      <c r="Y855" s="2">
        <f t="shared" si="288"/>
        <v>0.72407424708940449</v>
      </c>
      <c r="Z855" t="str">
        <f t="shared" si="289"/>
        <v>SO17683</v>
      </c>
      <c r="AA855" s="11">
        <f t="shared" si="296"/>
        <v>45883.752523148149</v>
      </c>
      <c r="AB855" s="5" t="str">
        <f t="shared" si="297"/>
        <v>INV13332</v>
      </c>
      <c r="AC855" s="5" t="str">
        <f>IFERROR(VLOOKUP(D855,CAARStatus!$A$2:$AA$1600,22,FALSE),"Not invoiced")</f>
        <v>Paid</v>
      </c>
      <c r="AD855" s="11">
        <f>IF(AC855="Paid",IFERROR(VLOOKUP(D855,CAARStatus!$A$2:$AA$1600,6,FALSE),"Pending"),"Pending")</f>
        <v>45965</v>
      </c>
      <c r="AE855" s="5" t="str">
        <f t="shared" si="298"/>
        <v>PO-0020723</v>
      </c>
      <c r="AF855" s="5" t="str">
        <f t="shared" si="299"/>
        <v>MAB Equipment Company Inc.</v>
      </c>
      <c r="AG855" s="5" t="str">
        <f t="shared" si="300"/>
        <v>USD</v>
      </c>
      <c r="AH855" s="5">
        <f t="shared" si="301"/>
        <v>7447.2197038851245</v>
      </c>
      <c r="AI855" s="12">
        <f>IF(L855-N855=0,VLOOKUP(U855,rate!A$4:B$15,2,FALSE)*AH855,IF(AG855="USD",O855,AH855*Y855))</f>
        <v>5392.34</v>
      </c>
      <c r="AJ855" s="13">
        <f t="shared" si="302"/>
        <v>0.7240742470894046</v>
      </c>
      <c r="AK855" s="13">
        <f>-IF(AG855="CAD",IFERROR(VLOOKUP(D855,CAARStatus!$A$1:$Y$1600,16,FALSE),0),0)</f>
        <v>0</v>
      </c>
      <c r="AL855" s="13">
        <f>-IF(AG855="USD",IFERROR(VLOOKUP(D855,CAARStatus!$A$1:$Y$1600,11,FALSE),0),0)</f>
        <v>-4792.34</v>
      </c>
      <c r="AM855" s="22" t="str">
        <f t="shared" si="303"/>
        <v/>
      </c>
      <c r="AN855" s="12">
        <f t="shared" si="304"/>
        <v>600</v>
      </c>
      <c r="AO855" s="12" t="str">
        <f t="shared" si="305"/>
        <v>Yes</v>
      </c>
      <c r="AP855" t="str">
        <f t="shared" si="290"/>
        <v>Yes</v>
      </c>
      <c r="AQ855" t="str">
        <f>IFERROR(VLOOKUP(Z855,InvBal!$L$4:$P$600,4,FALSE),"Pend")</f>
        <v>Pend</v>
      </c>
      <c r="AR855" t="str">
        <f>IFERROR(VLOOKUP(D855,Manual!$C$1:$E$22,2,FALSE),"Pend")</f>
        <v>Pend</v>
      </c>
      <c r="AS855" t="str">
        <f t="shared" si="306"/>
        <v>Yes</v>
      </c>
      <c r="AT855" t="str">
        <f t="shared" si="307"/>
        <v/>
      </c>
      <c r="AU855" s="51" t="str">
        <f t="shared" si="308"/>
        <v/>
      </c>
      <c r="AV855" s="12">
        <f>IFERROR(VLOOKUP(D855,'Receivable Invoice Detail'!$S$1:$U$3014,3,FALSE),0)</f>
        <v>608</v>
      </c>
      <c r="AW855" s="12">
        <f t="shared" si="309"/>
        <v>0</v>
      </c>
    </row>
    <row r="856" spans="1:49" ht="30" x14ac:dyDescent="0.25">
      <c r="A856" s="2">
        <v>1</v>
      </c>
      <c r="B856" s="2" t="s">
        <v>806</v>
      </c>
      <c r="C856" s="2" t="s">
        <v>807</v>
      </c>
      <c r="D856" s="2" t="s">
        <v>3101</v>
      </c>
      <c r="E856" s="2" t="s">
        <v>26</v>
      </c>
      <c r="F856" s="3">
        <v>45883.79283564815</v>
      </c>
      <c r="G856" s="3">
        <v>45889.470416666663</v>
      </c>
      <c r="H856" s="4">
        <v>45951</v>
      </c>
      <c r="I856" s="2" t="s">
        <v>36</v>
      </c>
      <c r="J856" s="2" t="s">
        <v>22</v>
      </c>
      <c r="K856" s="2">
        <v>1</v>
      </c>
      <c r="L856" s="2">
        <v>1140.95</v>
      </c>
      <c r="M856" s="2">
        <v>0</v>
      </c>
      <c r="N856" s="2">
        <v>822.26908466071973</v>
      </c>
      <c r="O856" s="2">
        <v>1086.6199999999999</v>
      </c>
      <c r="P856" s="2">
        <v>54.33</v>
      </c>
      <c r="Q856" s="2">
        <v>1140.95</v>
      </c>
      <c r="R856" s="2" t="s">
        <v>44</v>
      </c>
      <c r="S856" s="2"/>
      <c r="T856" s="2">
        <f t="shared" si="291"/>
        <v>1</v>
      </c>
      <c r="U856" s="18">
        <f t="shared" si="292"/>
        <v>8</v>
      </c>
      <c r="V856" s="18">
        <f t="shared" si="293"/>
        <v>2025</v>
      </c>
      <c r="W856" s="18">
        <f t="shared" si="294"/>
        <v>11</v>
      </c>
      <c r="X856" s="18">
        <f t="shared" si="295"/>
        <v>2025</v>
      </c>
      <c r="Y856" s="2">
        <f t="shared" si="288"/>
        <v>0.72068809734056682</v>
      </c>
      <c r="Z856" t="str">
        <f t="shared" si="289"/>
        <v>SO17684</v>
      </c>
      <c r="AA856" s="11">
        <f t="shared" si="296"/>
        <v>45883.79283564815</v>
      </c>
      <c r="AB856" s="5" t="str">
        <f t="shared" si="297"/>
        <v>INV13432</v>
      </c>
      <c r="AC856" s="5" t="str">
        <f>IFERROR(VLOOKUP(D856,CAARStatus!$A$2:$AA$1600,22,FALSE),"Not invoiced")</f>
        <v>Paid</v>
      </c>
      <c r="AD856" s="11">
        <f>IF(AC856="Paid",IFERROR(VLOOKUP(D856,CAARStatus!$A$2:$AA$1600,6,FALSE),"Pending"),"Pending")</f>
        <v>45982</v>
      </c>
      <c r="AE856" s="5" t="str">
        <f t="shared" si="298"/>
        <v>4500609591</v>
      </c>
      <c r="AF856" s="5" t="str">
        <f t="shared" si="299"/>
        <v>Resolute Forest Products - Clermont</v>
      </c>
      <c r="AG856" s="5" t="str">
        <f t="shared" si="300"/>
        <v>CAD</v>
      </c>
      <c r="AH856" s="5">
        <f t="shared" si="301"/>
        <v>1086.6199999999999</v>
      </c>
      <c r="AI856" s="12">
        <f>IF(L856-N856=0,VLOOKUP(U856,rate!A$4:B$15,2,FALSE)*AH856,IF(AG856="USD",O856,AH856*Y856))</f>
        <v>783.11410033220659</v>
      </c>
      <c r="AJ856" s="13">
        <f t="shared" si="302"/>
        <v>0.72068809734056682</v>
      </c>
      <c r="AK856" s="13">
        <f>-IF(AG856="CAD",IFERROR(VLOOKUP(D856,CAARStatus!$A$1:$Y$1600,16,FALSE),0),0)</f>
        <v>-1086.6199999999999</v>
      </c>
      <c r="AL856" s="13">
        <f>-IF(AG856="USD",IFERROR(VLOOKUP(D856,CAARStatus!$A$1:$Y$1600,11,FALSE),0),0)</f>
        <v>0</v>
      </c>
      <c r="AM856" s="22">
        <f t="shared" si="303"/>
        <v>0</v>
      </c>
      <c r="AN856" s="12" t="str">
        <f t="shared" si="304"/>
        <v/>
      </c>
      <c r="AO856" s="12" t="str">
        <f t="shared" si="305"/>
        <v>Yes</v>
      </c>
      <c r="AP856" t="str">
        <f t="shared" si="290"/>
        <v>Yes</v>
      </c>
      <c r="AQ856" t="str">
        <f>IFERROR(VLOOKUP(Z856,InvBal!$L$4:$P$600,4,FALSE),"Pend")</f>
        <v>Pend</v>
      </c>
      <c r="AR856" t="str">
        <f>IFERROR(VLOOKUP(D856,Manual!$C$1:$E$22,2,FALSE),"Pend")</f>
        <v>Pend</v>
      </c>
      <c r="AS856" t="str">
        <f t="shared" si="306"/>
        <v>Yes</v>
      </c>
      <c r="AT856" t="str">
        <f t="shared" si="307"/>
        <v>Yes</v>
      </c>
      <c r="AU856" s="51" t="str">
        <f t="shared" si="308"/>
        <v>Yes</v>
      </c>
      <c r="AV856" s="12">
        <f>IFERROR(VLOOKUP(D856,'Receivable Invoice Detail'!$S$1:$U$3014,3,FALSE),0)</f>
        <v>0</v>
      </c>
      <c r="AW856" s="12">
        <f t="shared" si="309"/>
        <v>783.11410033220659</v>
      </c>
    </row>
    <row r="857" spans="1:49" ht="30" x14ac:dyDescent="0.25">
      <c r="A857" s="2">
        <v>1</v>
      </c>
      <c r="B857" s="2" t="s">
        <v>816</v>
      </c>
      <c r="C857" s="2" t="s">
        <v>817</v>
      </c>
      <c r="D857" s="2" t="s">
        <v>3096</v>
      </c>
      <c r="E857" s="2" t="s">
        <v>818</v>
      </c>
      <c r="F857" s="3">
        <v>45883.809027777781</v>
      </c>
      <c r="G857" s="3">
        <v>45888.719328703701</v>
      </c>
      <c r="H857" s="4">
        <v>45895</v>
      </c>
      <c r="I857" s="2" t="s">
        <v>36</v>
      </c>
      <c r="J857" s="2" t="s">
        <v>22</v>
      </c>
      <c r="K857" s="2">
        <v>1</v>
      </c>
      <c r="L857" s="2">
        <v>248.52</v>
      </c>
      <c r="M857" s="2">
        <v>0</v>
      </c>
      <c r="N857" s="2">
        <v>179.30662942526871</v>
      </c>
      <c r="O857" s="2">
        <v>236.69</v>
      </c>
      <c r="P857" s="2">
        <v>11.83</v>
      </c>
      <c r="Q857" s="2">
        <v>248.52</v>
      </c>
      <c r="R857" s="2" t="s">
        <v>44</v>
      </c>
      <c r="S857" s="2"/>
      <c r="T857" s="2">
        <f t="shared" si="291"/>
        <v>1</v>
      </c>
      <c r="U857" s="18">
        <f t="shared" si="292"/>
        <v>8</v>
      </c>
      <c r="V857" s="18">
        <f t="shared" si="293"/>
        <v>2025</v>
      </c>
      <c r="W857" s="18">
        <f t="shared" si="294"/>
        <v>10</v>
      </c>
      <c r="X857" s="18">
        <f t="shared" si="295"/>
        <v>2025</v>
      </c>
      <c r="Y857" s="17">
        <f t="shared" si="288"/>
        <v>0.72149778458582292</v>
      </c>
      <c r="Z857" t="str">
        <f t="shared" si="289"/>
        <v>SO17685</v>
      </c>
      <c r="AA857" s="11">
        <f t="shared" si="296"/>
        <v>45883.809027777781</v>
      </c>
      <c r="AB857" s="5" t="str">
        <f t="shared" si="297"/>
        <v>INV13336</v>
      </c>
      <c r="AC857" s="5" t="str">
        <f>IFERROR(VLOOKUP(D857,CAARStatus!$A$2:$AA$1600,22,FALSE),"Not invoiced")</f>
        <v>Paid</v>
      </c>
      <c r="AD857" s="11">
        <f>IF(AC857="Paid",IFERROR(VLOOKUP(D857,CAARStatus!$A$2:$AA$1600,6,FALSE),"Pending"),"Pending")</f>
        <v>45931</v>
      </c>
      <c r="AE857" s="5" t="str">
        <f t="shared" si="298"/>
        <v>2100635190</v>
      </c>
      <c r="AF857" s="5" t="str">
        <f t="shared" si="299"/>
        <v>Wajax Limited - Pointe-aux-Trembles, Wajax Limited</v>
      </c>
      <c r="AG857" s="5" t="str">
        <f t="shared" si="300"/>
        <v>CAD</v>
      </c>
      <c r="AH857" s="5">
        <f t="shared" si="301"/>
        <v>236.69</v>
      </c>
      <c r="AI857" s="12">
        <f>IF(L857-N857=0,VLOOKUP(U857,rate!A$4:B$15,2,FALSE)*AH857,IF(AG857="USD",O857,AH857*Y857))</f>
        <v>170.77131063361841</v>
      </c>
      <c r="AJ857" s="13">
        <f t="shared" si="302"/>
        <v>0.72149778458582292</v>
      </c>
      <c r="AK857" s="13">
        <f>-IF(AG857="CAD",IFERROR(VLOOKUP(D857,CAARStatus!$A$1:$Y$1600,16,FALSE),0),0)</f>
        <v>-236.69</v>
      </c>
      <c r="AL857" s="13">
        <f>-IF(AG857="USD",IFERROR(VLOOKUP(D857,CAARStatus!$A$1:$Y$1600,11,FALSE),0),0)</f>
        <v>0</v>
      </c>
      <c r="AM857" s="22">
        <f t="shared" si="303"/>
        <v>0</v>
      </c>
      <c r="AN857" s="12" t="str">
        <f t="shared" si="304"/>
        <v/>
      </c>
      <c r="AO857" s="12" t="str">
        <f t="shared" si="305"/>
        <v>Yes</v>
      </c>
      <c r="AP857" t="str">
        <f t="shared" si="290"/>
        <v>Yes</v>
      </c>
      <c r="AQ857" t="str">
        <f>IFERROR(VLOOKUP(Z857,InvBal!$L$4:$P$600,4,FALSE),"Pend")</f>
        <v>Pend</v>
      </c>
      <c r="AR857" t="str">
        <f>IFERROR(VLOOKUP(D857,Manual!$C$1:$E$22,2,FALSE),"Pend")</f>
        <v>Pend</v>
      </c>
      <c r="AS857" t="str">
        <f t="shared" si="306"/>
        <v>Yes</v>
      </c>
      <c r="AT857" t="str">
        <f t="shared" si="307"/>
        <v>Yes</v>
      </c>
      <c r="AU857" s="51" t="str">
        <f t="shared" si="308"/>
        <v>Yes</v>
      </c>
      <c r="AV857" s="12">
        <f>IFERROR(VLOOKUP(D857,'Receivable Invoice Detail'!$S$1:$U$3014,3,FALSE),0)</f>
        <v>0</v>
      </c>
      <c r="AW857" s="12">
        <f t="shared" si="309"/>
        <v>170.77131063361841</v>
      </c>
    </row>
    <row r="858" spans="1:49" x14ac:dyDescent="0.25">
      <c r="A858" s="2">
        <v>1</v>
      </c>
      <c r="B858" s="2" t="s">
        <v>831</v>
      </c>
      <c r="C858" s="2" t="s">
        <v>832</v>
      </c>
      <c r="D858" s="2" t="s">
        <v>3089</v>
      </c>
      <c r="E858" s="2" t="s">
        <v>171</v>
      </c>
      <c r="F858" s="3">
        <v>45884.397986111107</v>
      </c>
      <c r="G858" s="3">
        <v>45887.427256944437</v>
      </c>
      <c r="H858" s="4">
        <v>45888</v>
      </c>
      <c r="I858" s="2" t="s">
        <v>40</v>
      </c>
      <c r="J858" s="2" t="s">
        <v>22</v>
      </c>
      <c r="K858" s="2">
        <v>1</v>
      </c>
      <c r="L858" s="2">
        <v>1745.25</v>
      </c>
      <c r="M858" s="2">
        <v>0</v>
      </c>
      <c r="N858" s="2">
        <v>1263.1742452168569</v>
      </c>
      <c r="O858" s="2">
        <v>1662.14</v>
      </c>
      <c r="P858" s="2">
        <v>83.11</v>
      </c>
      <c r="Q858" s="2">
        <v>1745.25</v>
      </c>
      <c r="R858" s="2" t="s">
        <v>44</v>
      </c>
      <c r="S858" s="2"/>
      <c r="T858" s="2">
        <f t="shared" si="291"/>
        <v>1</v>
      </c>
      <c r="U858" s="18">
        <f t="shared" si="292"/>
        <v>8</v>
      </c>
      <c r="V858" s="18">
        <f t="shared" si="293"/>
        <v>2025</v>
      </c>
      <c r="W858" s="18">
        <f t="shared" si="294"/>
        <v>9</v>
      </c>
      <c r="X858" s="18">
        <f t="shared" si="295"/>
        <v>2025</v>
      </c>
      <c r="Y858" s="17">
        <f t="shared" si="288"/>
        <v>0.72377839576957848</v>
      </c>
      <c r="Z858" t="str">
        <f t="shared" si="289"/>
        <v>SO17686</v>
      </c>
      <c r="AA858" s="11">
        <f t="shared" si="296"/>
        <v>45884.397986111107</v>
      </c>
      <c r="AB858" s="5" t="str">
        <f t="shared" si="297"/>
        <v>INV13319</v>
      </c>
      <c r="AC858" s="5" t="str">
        <f>IFERROR(VLOOKUP(D858,CAARStatus!$A$2:$AA$1600,22,FALSE),"Not invoiced")</f>
        <v>Paid</v>
      </c>
      <c r="AD858" s="11">
        <f>IF(AC858="Paid",IFERROR(VLOOKUP(D858,CAARStatus!$A$2:$AA$1600,6,FALSE),"Pending"),"Pending")</f>
        <v>45918</v>
      </c>
      <c r="AE858" s="5" t="str">
        <f t="shared" si="298"/>
        <v>2201</v>
      </c>
      <c r="AF858" s="5" t="str">
        <f t="shared" si="299"/>
        <v>FMI Products</v>
      </c>
      <c r="AG858" s="5" t="str">
        <f t="shared" si="300"/>
        <v>CAD</v>
      </c>
      <c r="AH858" s="5">
        <f t="shared" si="301"/>
        <v>1662.14</v>
      </c>
      <c r="AI858" s="12">
        <f>IF(L858-N858=0,VLOOKUP(U858,rate!A$4:B$15,2,FALSE)*AH858,IF(AG858="USD",O858,AH858*Y858))</f>
        <v>1203.0210227444472</v>
      </c>
      <c r="AJ858" s="13">
        <f t="shared" si="302"/>
        <v>0.72377839576957848</v>
      </c>
      <c r="AK858" s="13">
        <f>-IF(AG858="CAD",IFERROR(VLOOKUP(D858,CAARStatus!$A$1:$Y$1600,16,FALSE),0),0)</f>
        <v>-1662.14</v>
      </c>
      <c r="AL858" s="13">
        <f>-IF(AG858="USD",IFERROR(VLOOKUP(D858,CAARStatus!$A$1:$Y$1600,11,FALSE),0),0)</f>
        <v>0</v>
      </c>
      <c r="AM858" s="22">
        <f t="shared" si="303"/>
        <v>0</v>
      </c>
      <c r="AN858" s="12" t="str">
        <f t="shared" si="304"/>
        <v/>
      </c>
      <c r="AO858" s="12" t="str">
        <f t="shared" si="305"/>
        <v>Yes</v>
      </c>
      <c r="AP858" t="str">
        <f t="shared" si="290"/>
        <v>Yes</v>
      </c>
      <c r="AQ858" t="str">
        <f>IFERROR(VLOOKUP(Z858,InvBal!$L$4:$P$600,4,FALSE),"Pend")</f>
        <v>Pend</v>
      </c>
      <c r="AR858" t="str">
        <f>IFERROR(VLOOKUP(D858,Manual!$C$1:$E$22,2,FALSE),"Pend")</f>
        <v>Pend</v>
      </c>
      <c r="AS858" t="str">
        <f t="shared" si="306"/>
        <v>Yes</v>
      </c>
      <c r="AT858" t="str">
        <f t="shared" si="307"/>
        <v>Yes</v>
      </c>
      <c r="AU858" s="51" t="str">
        <f t="shared" si="308"/>
        <v>Yes</v>
      </c>
      <c r="AV858" s="12">
        <f>IFERROR(VLOOKUP(D858,'Receivable Invoice Detail'!$S$1:$U$3014,3,FALSE),0)</f>
        <v>0</v>
      </c>
      <c r="AW858" s="12">
        <f t="shared" si="309"/>
        <v>1203.0210227444472</v>
      </c>
    </row>
    <row r="859" spans="1:49" ht="30" x14ac:dyDescent="0.25">
      <c r="A859" s="2">
        <v>1</v>
      </c>
      <c r="B859" s="2" t="s">
        <v>835</v>
      </c>
      <c r="C859" s="2" t="s">
        <v>836</v>
      </c>
      <c r="D859" s="2" t="s">
        <v>3087</v>
      </c>
      <c r="E859" s="2" t="s">
        <v>86</v>
      </c>
      <c r="F859" s="3">
        <v>45884.535428240742</v>
      </c>
      <c r="G859" s="3">
        <v>45884.629537037043</v>
      </c>
      <c r="H859" s="4">
        <v>45891</v>
      </c>
      <c r="I859" s="2" t="s">
        <v>21</v>
      </c>
      <c r="J859" s="2" t="s">
        <v>22</v>
      </c>
      <c r="K859" s="2">
        <v>1</v>
      </c>
      <c r="L859" s="2">
        <v>127.69</v>
      </c>
      <c r="M859" s="2">
        <v>0</v>
      </c>
      <c r="N859" s="2">
        <v>92.465391035630944</v>
      </c>
      <c r="O859" s="2">
        <v>121.61</v>
      </c>
      <c r="P859" s="2">
        <v>6.08</v>
      </c>
      <c r="Q859" s="2">
        <v>127.69</v>
      </c>
      <c r="R859" s="2" t="s">
        <v>44</v>
      </c>
      <c r="S859" s="2"/>
      <c r="T859" s="2">
        <f t="shared" si="291"/>
        <v>1</v>
      </c>
      <c r="U859" s="18">
        <f t="shared" si="292"/>
        <v>8</v>
      </c>
      <c r="V859" s="18">
        <f t="shared" si="293"/>
        <v>2025</v>
      </c>
      <c r="W859" s="18">
        <f t="shared" si="294"/>
        <v>9</v>
      </c>
      <c r="X859" s="18">
        <f t="shared" si="295"/>
        <v>2025</v>
      </c>
      <c r="Y859" s="17">
        <f t="shared" si="288"/>
        <v>0.72413964316415491</v>
      </c>
      <c r="Z859" t="str">
        <f t="shared" si="289"/>
        <v>SO17689</v>
      </c>
      <c r="AA859" s="11">
        <f t="shared" si="296"/>
        <v>45884.535428240742</v>
      </c>
      <c r="AB859" s="5" t="str">
        <f t="shared" si="297"/>
        <v>INV13312</v>
      </c>
      <c r="AC859" s="5" t="str">
        <f>IFERROR(VLOOKUP(D859,CAARStatus!$A$2:$AA$1600,22,FALSE),"Not invoiced")</f>
        <v>Paid</v>
      </c>
      <c r="AD859" s="11">
        <f>IF(AC859="Paid",IFERROR(VLOOKUP(D859,CAARStatus!$A$2:$AA$1600,6,FALSE),"Pending"),"Pending")</f>
        <v>45917</v>
      </c>
      <c r="AE859" s="5" t="str">
        <f t="shared" si="298"/>
        <v>MB21-00192256</v>
      </c>
      <c r="AF859" s="5" t="str">
        <f t="shared" si="299"/>
        <v>Motion Industries Inc. (Canada) - Winnipeg</v>
      </c>
      <c r="AG859" s="5" t="str">
        <f t="shared" si="300"/>
        <v>CAD</v>
      </c>
      <c r="AH859" s="5">
        <f t="shared" si="301"/>
        <v>121.61</v>
      </c>
      <c r="AI859" s="12">
        <f>IF(L859-N859=0,VLOOKUP(U859,rate!A$4:B$15,2,FALSE)*AH859,IF(AG859="USD",O859,AH859*Y859))</f>
        <v>88.062622005192878</v>
      </c>
      <c r="AJ859" s="13">
        <f t="shared" si="302"/>
        <v>0.72413964316415491</v>
      </c>
      <c r="AK859" s="13">
        <f>-IF(AG859="CAD",IFERROR(VLOOKUP(D859,CAARStatus!$A$1:$Y$1600,16,FALSE),0),0)</f>
        <v>-121.61</v>
      </c>
      <c r="AL859" s="13">
        <f>-IF(AG859="USD",IFERROR(VLOOKUP(D859,CAARStatus!$A$1:$Y$1600,11,FALSE),0),0)</f>
        <v>0</v>
      </c>
      <c r="AM859" s="22">
        <f t="shared" si="303"/>
        <v>0</v>
      </c>
      <c r="AN859" s="12" t="str">
        <f t="shared" si="304"/>
        <v/>
      </c>
      <c r="AO859" s="12" t="str">
        <f t="shared" si="305"/>
        <v>Yes</v>
      </c>
      <c r="AP859" t="str">
        <f t="shared" si="290"/>
        <v>Yes</v>
      </c>
      <c r="AQ859" t="str">
        <f>IFERROR(VLOOKUP(Z859,InvBal!$L$4:$P$600,4,FALSE),"Pend")</f>
        <v>Pend</v>
      </c>
      <c r="AR859" t="str">
        <f>IFERROR(VLOOKUP(D859,Manual!$C$1:$E$22,2,FALSE),"Pend")</f>
        <v>Pend</v>
      </c>
      <c r="AS859" t="str">
        <f t="shared" si="306"/>
        <v>Yes</v>
      </c>
      <c r="AT859" t="str">
        <f t="shared" si="307"/>
        <v>Yes</v>
      </c>
      <c r="AU859" s="51" t="str">
        <f t="shared" si="308"/>
        <v>Yes</v>
      </c>
      <c r="AV859" s="12">
        <f>IFERROR(VLOOKUP(D859,'Receivable Invoice Detail'!$S$1:$U$3014,3,FALSE),0)</f>
        <v>0</v>
      </c>
      <c r="AW859" s="12">
        <f t="shared" si="309"/>
        <v>88.062622005192878</v>
      </c>
    </row>
    <row r="860" spans="1:49" ht="30" x14ac:dyDescent="0.25">
      <c r="A860" s="2">
        <v>1</v>
      </c>
      <c r="B860" s="2" t="s">
        <v>823</v>
      </c>
      <c r="C860" s="2" t="s">
        <v>824</v>
      </c>
      <c r="D860" s="2" t="s">
        <v>3093</v>
      </c>
      <c r="E860" s="2" t="s">
        <v>450</v>
      </c>
      <c r="F860" s="3">
        <v>45884.584953703707</v>
      </c>
      <c r="G860" s="3">
        <v>45887.57984953704</v>
      </c>
      <c r="H860" s="4">
        <v>45894</v>
      </c>
      <c r="I860" s="2" t="s">
        <v>36</v>
      </c>
      <c r="J860" s="2" t="s">
        <v>22</v>
      </c>
      <c r="K860" s="2">
        <v>1</v>
      </c>
      <c r="L860" s="2">
        <v>2100.84</v>
      </c>
      <c r="M860" s="2">
        <v>0</v>
      </c>
      <c r="N860" s="2">
        <v>1520.542604968562</v>
      </c>
      <c r="O860" s="2">
        <v>1859.15</v>
      </c>
      <c r="P860" s="2">
        <v>241.69</v>
      </c>
      <c r="Q860" s="2">
        <v>2100.84</v>
      </c>
      <c r="R860" s="2" t="s">
        <v>44</v>
      </c>
      <c r="S860" s="2"/>
      <c r="T860" s="2">
        <f t="shared" si="291"/>
        <v>1</v>
      </c>
      <c r="U860" s="18">
        <f t="shared" si="292"/>
        <v>8</v>
      </c>
      <c r="V860" s="18">
        <f t="shared" si="293"/>
        <v>2025</v>
      </c>
      <c r="W860" s="18">
        <f t="shared" si="294"/>
        <v>8</v>
      </c>
      <c r="X860" s="18">
        <f t="shared" si="295"/>
        <v>2025</v>
      </c>
      <c r="Y860" s="2">
        <f t="shared" si="288"/>
        <v>0.72377839576957881</v>
      </c>
      <c r="Z860" t="str">
        <f t="shared" si="289"/>
        <v>SO17690</v>
      </c>
      <c r="AA860" s="11">
        <f t="shared" si="296"/>
        <v>45884.584953703707</v>
      </c>
      <c r="AB860" s="5" t="str">
        <f t="shared" si="297"/>
        <v>INV13318</v>
      </c>
      <c r="AC860" s="5" t="str">
        <f>IFERROR(VLOOKUP(D860,CAARStatus!$A$2:$AA$1600,22,FALSE),"Not invoiced")</f>
        <v>Paid</v>
      </c>
      <c r="AD860" s="11">
        <f>IF(AC860="Paid",IFERROR(VLOOKUP(D860,CAARStatus!$A$2:$AA$1600,6,FALSE),"Pending"),"Pending")</f>
        <v>45888</v>
      </c>
      <c r="AE860" s="5" t="str">
        <f t="shared" si="298"/>
        <v>A20250809</v>
      </c>
      <c r="AF860" s="5" t="str">
        <f t="shared" si="299"/>
        <v>Alpha Industrial &amp; Mining Supplies Limited</v>
      </c>
      <c r="AG860" s="5" t="str">
        <f t="shared" si="300"/>
        <v>CAD</v>
      </c>
      <c r="AH860" s="5">
        <f t="shared" si="301"/>
        <v>1859.15</v>
      </c>
      <c r="AI860" s="12">
        <f>IF(L860-N860=0,VLOOKUP(U860,rate!A$4:B$15,2,FALSE)*AH860,IF(AG860="USD",O860,AH860*Y860))</f>
        <v>1345.6126044950124</v>
      </c>
      <c r="AJ860" s="13">
        <f t="shared" si="302"/>
        <v>0.72377839576957881</v>
      </c>
      <c r="AK860" s="61">
        <f>IF(AC860="Paid",-IF(AG860="CAD",IFERROR(VLOOKUP(D860,CAARStatus!$A$1:$Y$1600,16,FALSE),0),0),0)</f>
        <v>-1859.15</v>
      </c>
      <c r="AL860" s="61">
        <f>IF(AC860="Paid",-IF(AG860="USD",IFERROR(VLOOKUP(D860,CAARStatus!$A$1:$Y$1600,11,FALSE),0),0),0)</f>
        <v>0</v>
      </c>
      <c r="AM860" s="22">
        <f t="shared" si="303"/>
        <v>0</v>
      </c>
      <c r="AN860" s="12" t="str">
        <f t="shared" si="304"/>
        <v/>
      </c>
      <c r="AO860" s="12" t="str">
        <f t="shared" si="305"/>
        <v>Yes</v>
      </c>
      <c r="AP860" t="str">
        <f t="shared" si="290"/>
        <v>Yes</v>
      </c>
      <c r="AQ860" t="str">
        <f>IFERROR(VLOOKUP(Z860,InvBal!$L$4:$P$600,4,FALSE),"Pend")</f>
        <v>Pend</v>
      </c>
      <c r="AR860" t="str">
        <f>IFERROR(VLOOKUP(D860,Manual!$C$1:$E$22,2,FALSE),"Pend")</f>
        <v>Pend</v>
      </c>
      <c r="AS860" t="str">
        <f t="shared" si="306"/>
        <v>Yes</v>
      </c>
      <c r="AT860" t="str">
        <f t="shared" si="307"/>
        <v>Yes</v>
      </c>
      <c r="AU860" s="51" t="str">
        <f t="shared" si="308"/>
        <v>Yes</v>
      </c>
      <c r="AV860" s="12">
        <f>IFERROR(VLOOKUP(D860,'Receivable Invoice Detail'!$S$1:$U$3014,3,FALSE),0)</f>
        <v>0</v>
      </c>
      <c r="AW860" s="12">
        <f t="shared" si="309"/>
        <v>1345.6126044950124</v>
      </c>
    </row>
    <row r="861" spans="1:49" x14ac:dyDescent="0.25">
      <c r="A861" s="2">
        <v>1</v>
      </c>
      <c r="B861" s="2" t="s">
        <v>829</v>
      </c>
      <c r="C861" s="2" t="s">
        <v>830</v>
      </c>
      <c r="D861" s="2" t="s">
        <v>3090</v>
      </c>
      <c r="E861" s="2" t="s">
        <v>171</v>
      </c>
      <c r="F861" s="3">
        <v>45884.600057870368</v>
      </c>
      <c r="G861" s="3">
        <v>45887.483715277784</v>
      </c>
      <c r="H861" s="4">
        <v>45894</v>
      </c>
      <c r="I861" s="2" t="s">
        <v>36</v>
      </c>
      <c r="J861" s="2" t="s">
        <v>22</v>
      </c>
      <c r="K861" s="2">
        <v>1</v>
      </c>
      <c r="L861" s="2">
        <v>118.69</v>
      </c>
      <c r="M861" s="2">
        <v>0</v>
      </c>
      <c r="N861" s="2">
        <v>85.90525779389128</v>
      </c>
      <c r="O861" s="2">
        <v>113.04</v>
      </c>
      <c r="P861" s="2">
        <v>5.65</v>
      </c>
      <c r="Q861" s="2">
        <v>118.69</v>
      </c>
      <c r="R861" s="2" t="s">
        <v>44</v>
      </c>
      <c r="S861" s="2"/>
      <c r="T861" s="2">
        <f t="shared" si="291"/>
        <v>1</v>
      </c>
      <c r="U861" s="18">
        <f t="shared" si="292"/>
        <v>8</v>
      </c>
      <c r="V861" s="18">
        <f t="shared" si="293"/>
        <v>2025</v>
      </c>
      <c r="W861" s="18">
        <f t="shared" si="294"/>
        <v>9</v>
      </c>
      <c r="X861" s="18">
        <f t="shared" si="295"/>
        <v>2025</v>
      </c>
      <c r="Y861" s="2">
        <f t="shared" si="288"/>
        <v>0.72377839576957859</v>
      </c>
      <c r="Z861" t="str">
        <f t="shared" si="289"/>
        <v>SO17691</v>
      </c>
      <c r="AA861" s="11">
        <f t="shared" si="296"/>
        <v>45884.600057870368</v>
      </c>
      <c r="AB861" s="5" t="str">
        <f t="shared" si="297"/>
        <v>INV13320</v>
      </c>
      <c r="AC861" s="5" t="str">
        <f>IFERROR(VLOOKUP(D861,CAARStatus!$A$2:$AA$1600,22,FALSE),"Not invoiced")</f>
        <v>Paid</v>
      </c>
      <c r="AD861" s="11">
        <f>IF(AC861="Paid",IFERROR(VLOOKUP(D861,CAARStatus!$A$2:$AA$1600,6,FALSE),"Pending"),"Pending")</f>
        <v>45918</v>
      </c>
      <c r="AE861" s="5" t="str">
        <f t="shared" si="298"/>
        <v>2202</v>
      </c>
      <c r="AF861" s="5" t="str">
        <f t="shared" si="299"/>
        <v>FMI Products</v>
      </c>
      <c r="AG861" s="5" t="str">
        <f t="shared" si="300"/>
        <v>CAD</v>
      </c>
      <c r="AH861" s="5">
        <f t="shared" si="301"/>
        <v>113.04</v>
      </c>
      <c r="AI861" s="12">
        <f>IF(L861-N861=0,VLOOKUP(U861,rate!A$4:B$15,2,FALSE)*AH861,IF(AG861="USD",O861,AH861*Y861))</f>
        <v>81.815909857793173</v>
      </c>
      <c r="AJ861" s="13">
        <f t="shared" si="302"/>
        <v>0.72377839576957859</v>
      </c>
      <c r="AK861" s="13">
        <f>-IF(AG861="CAD",IFERROR(VLOOKUP(D861,CAARStatus!$A$1:$Y$1600,16,FALSE),0),0)</f>
        <v>-113.04</v>
      </c>
      <c r="AL861" s="13">
        <f>-IF(AG861="USD",IFERROR(VLOOKUP(D861,CAARStatus!$A$1:$Y$1600,11,FALSE),0),0)</f>
        <v>0</v>
      </c>
      <c r="AM861" s="22">
        <f t="shared" si="303"/>
        <v>0</v>
      </c>
      <c r="AN861" s="12" t="str">
        <f t="shared" si="304"/>
        <v/>
      </c>
      <c r="AO861" s="12" t="str">
        <f t="shared" si="305"/>
        <v>Yes</v>
      </c>
      <c r="AP861" t="str">
        <f t="shared" si="290"/>
        <v>Yes</v>
      </c>
      <c r="AQ861" t="str">
        <f>IFERROR(VLOOKUP(Z861,InvBal!$L$4:$P$600,4,FALSE),"Pend")</f>
        <v>Pend</v>
      </c>
      <c r="AR861" t="str">
        <f>IFERROR(VLOOKUP(D861,Manual!$C$1:$E$22,2,FALSE),"Pend")</f>
        <v>Pend</v>
      </c>
      <c r="AS861" t="str">
        <f t="shared" si="306"/>
        <v>Yes</v>
      </c>
      <c r="AT861" t="str">
        <f t="shared" si="307"/>
        <v>Yes</v>
      </c>
      <c r="AU861" s="51" t="str">
        <f t="shared" si="308"/>
        <v>Yes</v>
      </c>
      <c r="AV861" s="12">
        <f>IFERROR(VLOOKUP(D861,'Receivable Invoice Detail'!$S$1:$U$3014,3,FALSE),0)</f>
        <v>0</v>
      </c>
      <c r="AW861" s="12">
        <f t="shared" si="309"/>
        <v>81.815909857793173</v>
      </c>
    </row>
    <row r="862" spans="1:49" x14ac:dyDescent="0.25">
      <c r="A862" s="2">
        <v>1</v>
      </c>
      <c r="B862" s="2" t="s">
        <v>577</v>
      </c>
      <c r="C862" s="2" t="s">
        <v>578</v>
      </c>
      <c r="D862" s="2" t="s">
        <v>3213</v>
      </c>
      <c r="E862" s="2" t="s">
        <v>54</v>
      </c>
      <c r="F862" s="3">
        <v>45884.629618055558</v>
      </c>
      <c r="G862" s="3">
        <v>45923.697824074072</v>
      </c>
      <c r="H862" s="4">
        <v>45924</v>
      </c>
      <c r="I862" s="2" t="s">
        <v>21</v>
      </c>
      <c r="J862" s="2" t="s">
        <v>22</v>
      </c>
      <c r="K862" s="2">
        <v>1</v>
      </c>
      <c r="L862" s="2">
        <v>6484.17</v>
      </c>
      <c r="M862" s="2">
        <v>0</v>
      </c>
      <c r="N862" s="2">
        <v>4686.8896894315476</v>
      </c>
      <c r="O862" s="2">
        <v>6175.4</v>
      </c>
      <c r="P862" s="2">
        <v>308.77</v>
      </c>
      <c r="Q862" s="2">
        <v>6484.17</v>
      </c>
      <c r="R862" s="2" t="s">
        <v>44</v>
      </c>
      <c r="S862" s="2"/>
      <c r="T862" s="2">
        <f t="shared" si="291"/>
        <v>1</v>
      </c>
      <c r="U862" s="18">
        <f t="shared" si="292"/>
        <v>8</v>
      </c>
      <c r="V862" s="18">
        <f t="shared" si="293"/>
        <v>2025</v>
      </c>
      <c r="W862" s="18" t="str">
        <f t="shared" si="294"/>
        <v/>
      </c>
      <c r="X862" s="18" t="str">
        <f t="shared" si="295"/>
        <v/>
      </c>
      <c r="Y862" s="2">
        <f t="shared" si="288"/>
        <v>0.72282029765282951</v>
      </c>
      <c r="Z862" t="str">
        <f t="shared" si="289"/>
        <v>SO17692</v>
      </c>
      <c r="AA862" s="11">
        <f t="shared" si="296"/>
        <v>45884.629618055558</v>
      </c>
      <c r="AB862" s="5" t="str">
        <f t="shared" si="297"/>
        <v>INV13439</v>
      </c>
      <c r="AC862" s="5" t="str">
        <f>IFERROR(VLOOKUP(D862,CAARStatus!$A$2:$AA$1600,22,FALSE),"Not invoiced")</f>
        <v>Not invoiced</v>
      </c>
      <c r="AD862" s="11" t="str">
        <f>IF(AC862="Paid",IFERROR(VLOOKUP(D862,CAARStatus!$A$2:$AA$1600,6,FALSE),"Pending"),"Pending")</f>
        <v>Pending</v>
      </c>
      <c r="AE862" s="5" t="str">
        <f t="shared" si="298"/>
        <v>3313</v>
      </c>
      <c r="AF862" s="5" t="str">
        <f t="shared" si="299"/>
        <v>Les Pompes du St-Laurent Inc.</v>
      </c>
      <c r="AG862" s="5" t="str">
        <f t="shared" si="300"/>
        <v>CAD</v>
      </c>
      <c r="AH862" s="5">
        <f t="shared" si="301"/>
        <v>6175.4</v>
      </c>
      <c r="AI862" s="12">
        <f>IF(L862-N862=0,VLOOKUP(U862,rate!A$4:B$15,2,FALSE)*AH862,IF(AG862="USD",O862,AH862*Y862))</f>
        <v>4463.704466125283</v>
      </c>
      <c r="AJ862" s="13">
        <f t="shared" si="302"/>
        <v>0.72282029765282951</v>
      </c>
      <c r="AK862" s="13">
        <f>-IF(AG862="CAD",IFERROR(VLOOKUP(D862,CAARStatus!$A$1:$Y$1600,16,FALSE),0),0)</f>
        <v>0</v>
      </c>
      <c r="AL862" s="13">
        <f>-IF(AG862="USD",IFERROR(VLOOKUP(D862,CAARStatus!$A$1:$Y$1600,11,FALSE),0),0)</f>
        <v>0</v>
      </c>
      <c r="AM862" s="22">
        <f t="shared" si="303"/>
        <v>6175.4</v>
      </c>
      <c r="AN862" s="12" t="str">
        <f t="shared" si="304"/>
        <v/>
      </c>
      <c r="AO862" s="12" t="str">
        <f t="shared" si="305"/>
        <v>Pend</v>
      </c>
      <c r="AP862" t="str">
        <f t="shared" si="290"/>
        <v>Pend</v>
      </c>
      <c r="AQ862" t="str">
        <f>IFERROR(VLOOKUP(Z862,InvBal!$L$4:$P$600,4,FALSE),"Pend")</f>
        <v>Pend</v>
      </c>
      <c r="AR862" t="str">
        <f>IFERROR(VLOOKUP(D862,Manual!$C$1:$E$22,2,FALSE),"Pend")</f>
        <v>Pend</v>
      </c>
      <c r="AS862" t="str">
        <f t="shared" si="306"/>
        <v/>
      </c>
      <c r="AT862" t="str">
        <f t="shared" si="307"/>
        <v>Yes</v>
      </c>
      <c r="AU862" s="51" t="str">
        <f t="shared" si="308"/>
        <v/>
      </c>
      <c r="AV862" s="12">
        <f>IFERROR(VLOOKUP(D862,'Receivable Invoice Detail'!$S$1:$U$3014,3,FALSE),0)</f>
        <v>0</v>
      </c>
      <c r="AW862" s="12">
        <f t="shared" si="309"/>
        <v>0</v>
      </c>
    </row>
    <row r="863" spans="1:49" x14ac:dyDescent="0.25">
      <c r="A863" s="2">
        <v>1</v>
      </c>
      <c r="B863" s="2" t="s">
        <v>833</v>
      </c>
      <c r="C863" s="2" t="s">
        <v>834</v>
      </c>
      <c r="D863" s="2" t="s">
        <v>3088</v>
      </c>
      <c r="E863" s="2" t="s">
        <v>135</v>
      </c>
      <c r="F863" s="3">
        <v>45884.639490740738</v>
      </c>
      <c r="G863" s="3">
        <v>45884.642418981479</v>
      </c>
      <c r="H863" s="4">
        <v>45996</v>
      </c>
      <c r="I863" s="2" t="s">
        <v>21</v>
      </c>
      <c r="J863" s="2" t="s">
        <v>22</v>
      </c>
      <c r="K863" s="2">
        <v>1</v>
      </c>
      <c r="L863" s="2">
        <v>4665.5200000000004</v>
      </c>
      <c r="M863" s="2">
        <v>0</v>
      </c>
      <c r="N863" s="2">
        <v>3378.487987975228</v>
      </c>
      <c r="O863" s="2">
        <v>4128.78</v>
      </c>
      <c r="P863" s="2">
        <v>536.74</v>
      </c>
      <c r="Q863" s="2">
        <v>4665.5200000000004</v>
      </c>
      <c r="R863" s="2" t="s">
        <v>44</v>
      </c>
      <c r="S863" s="2"/>
      <c r="T863" s="2">
        <f t="shared" si="291"/>
        <v>1</v>
      </c>
      <c r="U863" s="18">
        <f t="shared" si="292"/>
        <v>8</v>
      </c>
      <c r="V863" s="18">
        <f t="shared" si="293"/>
        <v>2025</v>
      </c>
      <c r="W863" s="18">
        <f t="shared" si="294"/>
        <v>12</v>
      </c>
      <c r="X863" s="18">
        <f t="shared" si="295"/>
        <v>2025</v>
      </c>
      <c r="Y863" s="2">
        <f t="shared" si="288"/>
        <v>0.7241396431641548</v>
      </c>
      <c r="Z863" t="str">
        <f t="shared" si="289"/>
        <v>SO17693</v>
      </c>
      <c r="AA863" s="11">
        <f t="shared" si="296"/>
        <v>45884.639490740738</v>
      </c>
      <c r="AB863" s="5" t="str">
        <f t="shared" si="297"/>
        <v>INV13528</v>
      </c>
      <c r="AC863" s="5" t="str">
        <f>IFERROR(VLOOKUP(D863,CAARStatus!$A$2:$AA$1600,22,FALSE),"Not invoiced")</f>
        <v>Paid</v>
      </c>
      <c r="AD863" s="11">
        <f>IF(AC863="Paid",IFERROR(VLOOKUP(D863,CAARStatus!$A$2:$AA$1600,6,FALSE),"Pending"),"Pending")</f>
        <v>46006</v>
      </c>
      <c r="AE863" s="5" t="str">
        <f t="shared" si="298"/>
        <v>1029134</v>
      </c>
      <c r="AF863" s="5" t="str">
        <f t="shared" si="299"/>
        <v>Thunder Bay Pulp and Paper Inc</v>
      </c>
      <c r="AG863" s="5" t="str">
        <f t="shared" si="300"/>
        <v>CAD</v>
      </c>
      <c r="AH863" s="5">
        <f t="shared" si="301"/>
        <v>4128.78</v>
      </c>
      <c r="AI863" s="12">
        <f>IF(L863-N863=0,VLOOKUP(U863,rate!A$4:B$15,2,FALSE)*AH863,IF(AG863="USD",O863,AH863*Y863))</f>
        <v>2989.8132759032987</v>
      </c>
      <c r="AJ863" s="13">
        <f t="shared" si="302"/>
        <v>0.7241396431641548</v>
      </c>
      <c r="AK863" s="13">
        <f>-IF(AG863="CAD",IFERROR(VLOOKUP(D863,CAARStatus!$A$1:$Y$1600,16,FALSE),0),0)</f>
        <v>-4128.78</v>
      </c>
      <c r="AL863" s="13">
        <f>-IF(AG863="USD",IFERROR(VLOOKUP(D863,CAARStatus!$A$1:$Y$1600,11,FALSE),0),0)</f>
        <v>0</v>
      </c>
      <c r="AM863" s="22">
        <f t="shared" si="303"/>
        <v>0</v>
      </c>
      <c r="AN863" s="12" t="str">
        <f t="shared" si="304"/>
        <v/>
      </c>
      <c r="AO863" s="12" t="str">
        <f t="shared" si="305"/>
        <v>Yes</v>
      </c>
      <c r="AP863" t="str">
        <f t="shared" si="290"/>
        <v>Yes</v>
      </c>
      <c r="AQ863" t="str">
        <f>IFERROR(VLOOKUP(Z863,InvBal!$L$4:$P$600,4,FALSE),"Pend")</f>
        <v>Pend</v>
      </c>
      <c r="AR863" t="str">
        <f>IFERROR(VLOOKUP(D863,Manual!$C$1:$E$22,2,FALSE),"Pend")</f>
        <v>Pend</v>
      </c>
      <c r="AS863" t="str">
        <f t="shared" si="306"/>
        <v>Yes</v>
      </c>
      <c r="AT863" t="str">
        <f t="shared" si="307"/>
        <v>Yes</v>
      </c>
      <c r="AU863" s="51" t="str">
        <f t="shared" si="308"/>
        <v>Yes</v>
      </c>
      <c r="AV863" s="12">
        <f>IFERROR(VLOOKUP(D863,'Receivable Invoice Detail'!$S$1:$U$3014,3,FALSE),0)</f>
        <v>0</v>
      </c>
      <c r="AW863" s="12">
        <f t="shared" si="309"/>
        <v>2989.8132759032987</v>
      </c>
    </row>
    <row r="864" spans="1:49" x14ac:dyDescent="0.25">
      <c r="A864" s="2">
        <v>1</v>
      </c>
      <c r="B864" s="2" t="s">
        <v>814</v>
      </c>
      <c r="C864" s="2" t="s">
        <v>815</v>
      </c>
      <c r="D864" s="2" t="s">
        <v>3097</v>
      </c>
      <c r="E864" s="2" t="s">
        <v>248</v>
      </c>
      <c r="F864" s="3">
        <v>45887.462430555563</v>
      </c>
      <c r="G864" s="3">
        <v>45888.723900462966</v>
      </c>
      <c r="H864" s="4">
        <v>45895</v>
      </c>
      <c r="I864" s="2" t="s">
        <v>71</v>
      </c>
      <c r="J864" s="2" t="s">
        <v>22</v>
      </c>
      <c r="K864" s="2">
        <v>1</v>
      </c>
      <c r="L864" s="2">
        <v>184</v>
      </c>
      <c r="M864" s="2">
        <v>0</v>
      </c>
      <c r="N864" s="2">
        <v>132.75559236379141</v>
      </c>
      <c r="O864" s="2">
        <v>160</v>
      </c>
      <c r="P864" s="2">
        <v>24</v>
      </c>
      <c r="Q864" s="2">
        <v>184</v>
      </c>
      <c r="R864" s="2" t="s">
        <v>44</v>
      </c>
      <c r="S864" s="2"/>
      <c r="T864" s="2">
        <f t="shared" si="291"/>
        <v>1</v>
      </c>
      <c r="U864" s="18">
        <f t="shared" si="292"/>
        <v>8</v>
      </c>
      <c r="V864" s="18">
        <f t="shared" si="293"/>
        <v>2025</v>
      </c>
      <c r="W864" s="18">
        <f t="shared" si="294"/>
        <v>10</v>
      </c>
      <c r="X864" s="18">
        <f t="shared" si="295"/>
        <v>2025</v>
      </c>
      <c r="Y864" s="2">
        <f t="shared" si="288"/>
        <v>0.72149778458582292</v>
      </c>
      <c r="Z864" t="str">
        <f t="shared" si="289"/>
        <v>SO17695</v>
      </c>
      <c r="AA864" s="11">
        <f t="shared" si="296"/>
        <v>45887.462430555563</v>
      </c>
      <c r="AB864" s="5" t="str">
        <f t="shared" si="297"/>
        <v>INV13344</v>
      </c>
      <c r="AC864" s="5" t="str">
        <f>IFERROR(VLOOKUP(D864,CAARStatus!$A$2:$AA$1600,22,FALSE),"Not invoiced")</f>
        <v>Paid</v>
      </c>
      <c r="AD864" s="11">
        <f>IF(AC864="Paid",IFERROR(VLOOKUP(D864,CAARStatus!$A$2:$AA$1600,6,FALSE),"Pending"),"Pending")</f>
        <v>45936</v>
      </c>
      <c r="AE864" s="5" t="str">
        <f t="shared" si="298"/>
        <v>3031307</v>
      </c>
      <c r="AF864" s="5" t="str">
        <f t="shared" si="299"/>
        <v>Flowstar Industrial Inc</v>
      </c>
      <c r="AG864" s="5" t="str">
        <f t="shared" si="300"/>
        <v>CAD</v>
      </c>
      <c r="AH864" s="5">
        <f t="shared" si="301"/>
        <v>160</v>
      </c>
      <c r="AI864" s="12">
        <f>IF(L864-N864=0,VLOOKUP(U864,rate!A$4:B$15,2,FALSE)*AH864,IF(AG864="USD",O864,AH864*Y864))</f>
        <v>115.43964553373166</v>
      </c>
      <c r="AJ864" s="13">
        <f t="shared" si="302"/>
        <v>0.72149778458582292</v>
      </c>
      <c r="AK864" s="13">
        <f>-IF(AG864="CAD",IFERROR(VLOOKUP(D864,CAARStatus!$A$1:$Y$1600,16,FALSE),0),0)</f>
        <v>-160</v>
      </c>
      <c r="AL864" s="13">
        <f>-IF(AG864="USD",IFERROR(VLOOKUP(D864,CAARStatus!$A$1:$Y$1600,11,FALSE),0),0)</f>
        <v>0</v>
      </c>
      <c r="AM864" s="22">
        <f t="shared" si="303"/>
        <v>0</v>
      </c>
      <c r="AN864" s="12" t="str">
        <f t="shared" si="304"/>
        <v/>
      </c>
      <c r="AO864" s="12" t="str">
        <f t="shared" si="305"/>
        <v>Yes</v>
      </c>
      <c r="AP864" t="str">
        <f t="shared" si="290"/>
        <v>Yes</v>
      </c>
      <c r="AQ864" t="str">
        <f>IFERROR(VLOOKUP(Z864,InvBal!$L$4:$P$600,4,FALSE),"Pend")</f>
        <v>Pend</v>
      </c>
      <c r="AR864" t="str">
        <f>IFERROR(VLOOKUP(D864,Manual!$C$1:$E$22,2,FALSE),"Pend")</f>
        <v>Pend</v>
      </c>
      <c r="AS864" t="str">
        <f t="shared" si="306"/>
        <v>Yes</v>
      </c>
      <c r="AT864" t="str">
        <f t="shared" si="307"/>
        <v>Yes</v>
      </c>
      <c r="AU864" s="51" t="str">
        <f t="shared" si="308"/>
        <v>Yes</v>
      </c>
      <c r="AV864" s="12">
        <f>IFERROR(VLOOKUP(D864,'Receivable Invoice Detail'!$S$1:$U$3014,3,FALSE),0)</f>
        <v>0</v>
      </c>
      <c r="AW864" s="12">
        <f t="shared" si="309"/>
        <v>115.43964553373166</v>
      </c>
    </row>
    <row r="865" spans="1:49" x14ac:dyDescent="0.25">
      <c r="A865" s="2">
        <v>4</v>
      </c>
      <c r="B865" s="2" t="s">
        <v>712</v>
      </c>
      <c r="C865" s="2" t="s">
        <v>713</v>
      </c>
      <c r="D865" s="2" t="s">
        <v>5993</v>
      </c>
      <c r="E865" s="2" t="s">
        <v>714</v>
      </c>
      <c r="F865" s="3">
        <v>45887.695196759261</v>
      </c>
      <c r="G865" s="3">
        <v>45903.614178240743</v>
      </c>
      <c r="H865" s="4">
        <v>46022</v>
      </c>
      <c r="I865" s="2" t="s">
        <v>21</v>
      </c>
      <c r="J865" s="2" t="s">
        <v>51</v>
      </c>
      <c r="K865" s="2">
        <v>0.72690712781787181</v>
      </c>
      <c r="L865" s="2">
        <v>70310.288679416393</v>
      </c>
      <c r="M865" s="2">
        <v>0</v>
      </c>
      <c r="N865" s="2">
        <v>51109.05</v>
      </c>
      <c r="O865" s="2">
        <v>51109.05</v>
      </c>
      <c r="P865" s="2"/>
      <c r="Q865" s="2">
        <v>51109.05</v>
      </c>
      <c r="R865" s="2" t="s">
        <v>126</v>
      </c>
      <c r="S865" s="2"/>
      <c r="T865" s="2">
        <f t="shared" si="291"/>
        <v>4</v>
      </c>
      <c r="U865" s="18">
        <f t="shared" si="292"/>
        <v>8</v>
      </c>
      <c r="V865" s="18">
        <f t="shared" si="293"/>
        <v>2025</v>
      </c>
      <c r="W865" s="18" t="str">
        <f t="shared" si="294"/>
        <v/>
      </c>
      <c r="X865" s="18" t="str">
        <f t="shared" si="295"/>
        <v/>
      </c>
      <c r="Y865" s="2">
        <f t="shared" si="288"/>
        <v>0.72690712781787192</v>
      </c>
      <c r="Z865" t="str">
        <f t="shared" si="289"/>
        <v>SO17696</v>
      </c>
      <c r="AA865" s="11">
        <f t="shared" si="296"/>
        <v>45887.695196759261</v>
      </c>
      <c r="AB865" s="5" t="str">
        <f t="shared" si="297"/>
        <v>INV13752</v>
      </c>
      <c r="AC865" s="5" t="str">
        <f>IFERROR(VLOOKUP(D865,CAARStatus!$A$2:$AA$1600,22,FALSE),"Not invoiced")</f>
        <v>Approved</v>
      </c>
      <c r="AD865" s="11" t="str">
        <f>IF(AC865="Paid",IFERROR(VLOOKUP(D865,CAARStatus!$A$2:$AA$1600,6,FALSE),"Pending"),"Pending")</f>
        <v>Pending</v>
      </c>
      <c r="AE865" s="5" t="str">
        <f t="shared" si="298"/>
        <v>S309683</v>
      </c>
      <c r="AF865" s="5" t="str">
        <f t="shared" si="299"/>
        <v>Kumtor Gold Company</v>
      </c>
      <c r="AG865" s="5" t="str">
        <f t="shared" si="300"/>
        <v>USD</v>
      </c>
      <c r="AH865" s="5">
        <f t="shared" si="301"/>
        <v>70310.288679416393</v>
      </c>
      <c r="AI865" s="12">
        <f>IF(L865-N865=0,VLOOKUP(U865,rate!A$4:B$15,2,FALSE)*AH865,IF(AG865="USD",O865,AH865*Y865))</f>
        <v>51109.05</v>
      </c>
      <c r="AJ865" s="13">
        <f t="shared" si="302"/>
        <v>0.72690712781787192</v>
      </c>
      <c r="AK865" s="13">
        <f>-IF(AG865="CAD",IFERROR(VLOOKUP(D865,CAARStatus!$A$1:$Y$1600,16,FALSE),0),0)</f>
        <v>0</v>
      </c>
      <c r="AL865" s="13">
        <f>-IF(AG865="USD",IFERROR(VLOOKUP(D865,CAARStatus!$A$1:$Y$1600,11,FALSE),0),0)</f>
        <v>-23157.72</v>
      </c>
      <c r="AM865" s="22" t="str">
        <f t="shared" si="303"/>
        <v/>
      </c>
      <c r="AN865" s="12">
        <f t="shared" si="304"/>
        <v>27951.33</v>
      </c>
      <c r="AO865" s="12" t="str">
        <f t="shared" si="305"/>
        <v>Pend</v>
      </c>
      <c r="AP865" t="str">
        <f t="shared" si="290"/>
        <v>XX</v>
      </c>
      <c r="AQ865">
        <f>IFERROR(VLOOKUP(Z865,InvBal!$L$4:$P$600,4,FALSE),"Pend")</f>
        <v>0</v>
      </c>
      <c r="AR865" t="str">
        <f>IFERROR(VLOOKUP(D865,Manual!$C$1:$E$22,2,FALSE),"Pend")</f>
        <v>Pend</v>
      </c>
      <c r="AS865" t="str">
        <f t="shared" si="306"/>
        <v/>
      </c>
      <c r="AT865" t="str">
        <f t="shared" si="307"/>
        <v/>
      </c>
      <c r="AU865" s="51" t="str">
        <f t="shared" si="308"/>
        <v/>
      </c>
      <c r="AV865" s="12">
        <f>IFERROR(VLOOKUP(D865,'Receivable Invoice Detail'!$S$1:$U$3014,3,FALSE),0)</f>
        <v>0</v>
      </c>
      <c r="AW865" s="12">
        <f t="shared" si="309"/>
        <v>0</v>
      </c>
    </row>
    <row r="866" spans="1:49" x14ac:dyDescent="0.25">
      <c r="A866" s="2"/>
      <c r="B866" s="2"/>
      <c r="C866" s="2"/>
      <c r="D866" s="2" t="s">
        <v>3149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>
        <f t="shared" si="291"/>
        <v>4</v>
      </c>
      <c r="U866" s="18">
        <f t="shared" si="292"/>
        <v>8</v>
      </c>
      <c r="V866" s="18">
        <f t="shared" si="293"/>
        <v>2025</v>
      </c>
      <c r="W866" s="18" t="str">
        <f t="shared" si="294"/>
        <v/>
      </c>
      <c r="X866" s="18" t="str">
        <f t="shared" si="295"/>
        <v/>
      </c>
      <c r="Y866" s="2">
        <f t="shared" si="288"/>
        <v>0.72690712781787192</v>
      </c>
      <c r="Z866" t="str">
        <f t="shared" si="289"/>
        <v>SO17696</v>
      </c>
      <c r="AA866" s="11">
        <f t="shared" si="296"/>
        <v>45887.695196759261</v>
      </c>
      <c r="AB866" s="5" t="str">
        <f t="shared" si="297"/>
        <v>(* 80548)</v>
      </c>
      <c r="AC866" s="5" t="str">
        <f>IFERROR(VLOOKUP(D866,CAARStatus!$A$2:$AA$1600,22,FALSE),"Not invoiced")</f>
        <v>Not invoiced</v>
      </c>
      <c r="AD866" s="11" t="str">
        <f>IF(AC866="Paid",IFERROR(VLOOKUP(D866,CAARStatus!$A$2:$AA$1600,6,FALSE),"Pending"),"Pending")</f>
        <v>Pending</v>
      </c>
      <c r="AE866" s="5" t="str">
        <f t="shared" si="298"/>
        <v>S309683</v>
      </c>
      <c r="AF866" s="5" t="str">
        <f t="shared" si="299"/>
        <v>Kumtor Gold Company</v>
      </c>
      <c r="AG866" s="5" t="str">
        <f t="shared" si="300"/>
        <v>USD</v>
      </c>
      <c r="AH866" s="5">
        <f t="shared" si="301"/>
        <v>0</v>
      </c>
      <c r="AI866" s="12">
        <f>IF(L866-N866=0,VLOOKUP(U866,rate!A$4:B$15,2,FALSE)*AH866,IF(AG866="USD",O866,AH866*Y866))</f>
        <v>0</v>
      </c>
      <c r="AJ866" s="13">
        <f t="shared" si="302"/>
        <v>0</v>
      </c>
      <c r="AK866" s="13">
        <f>-IF(AG866="CAD",IFERROR(VLOOKUP(D866,CAARStatus!$A$1:$Y$1600,16,FALSE),0),0)</f>
        <v>0</v>
      </c>
      <c r="AL866" s="13">
        <f>-IF(AG866="USD",IFERROR(VLOOKUP(D866,CAARStatus!$A$1:$Y$1600,11,FALSE),0),0)</f>
        <v>0</v>
      </c>
      <c r="AM866" s="22" t="str">
        <f t="shared" si="303"/>
        <v/>
      </c>
      <c r="AN866" s="12">
        <f t="shared" si="304"/>
        <v>0</v>
      </c>
      <c r="AO866" s="12" t="str">
        <f t="shared" si="305"/>
        <v>Pend</v>
      </c>
      <c r="AP866" t="str">
        <f t="shared" si="290"/>
        <v>XX</v>
      </c>
      <c r="AQ866">
        <f>IFERROR(VLOOKUP(Z866,InvBal!$L$4:$P$600,4,FALSE),"Pend")</f>
        <v>0</v>
      </c>
      <c r="AR866" t="str">
        <f>IFERROR(VLOOKUP(D866,Manual!$C$1:$E$22,2,FALSE),"Pend")</f>
        <v>Pend</v>
      </c>
      <c r="AS866" t="str">
        <f t="shared" si="306"/>
        <v/>
      </c>
      <c r="AT866" t="str">
        <f t="shared" si="307"/>
        <v/>
      </c>
      <c r="AU866" s="51" t="str">
        <f t="shared" si="308"/>
        <v/>
      </c>
      <c r="AV866" s="12">
        <f>IFERROR(VLOOKUP(D866,'Receivable Invoice Detail'!$S$1:$U$3014,3,FALSE),0)</f>
        <v>0</v>
      </c>
      <c r="AW866" s="12">
        <f t="shared" si="309"/>
        <v>0</v>
      </c>
    </row>
    <row r="867" spans="1:49" x14ac:dyDescent="0.25">
      <c r="A867" s="2"/>
      <c r="B867" s="2"/>
      <c r="C867" s="2"/>
      <c r="D867" s="2" t="s">
        <v>3147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>
        <f t="shared" si="291"/>
        <v>4</v>
      </c>
      <c r="U867" s="18">
        <f t="shared" si="292"/>
        <v>8</v>
      </c>
      <c r="V867" s="18">
        <f t="shared" si="293"/>
        <v>2025</v>
      </c>
      <c r="W867" s="18">
        <f t="shared" si="294"/>
        <v>9</v>
      </c>
      <c r="X867" s="18">
        <f t="shared" si="295"/>
        <v>2025</v>
      </c>
      <c r="Y867" s="2">
        <f t="shared" si="288"/>
        <v>0.72690712781787192</v>
      </c>
      <c r="Z867" t="str">
        <f t="shared" si="289"/>
        <v>SO17696</v>
      </c>
      <c r="AA867" s="11">
        <f t="shared" si="296"/>
        <v>45887.695196759261</v>
      </c>
      <c r="AB867" s="5" t="str">
        <f t="shared" si="297"/>
        <v>INV13423</v>
      </c>
      <c r="AC867" s="5" t="str">
        <f>IFERROR(VLOOKUP(D867,CAARStatus!$A$2:$AA$1600,22,FALSE),"Not invoiced")</f>
        <v>Paid</v>
      </c>
      <c r="AD867" s="11">
        <f>IF(AC867="Paid",IFERROR(VLOOKUP(D867,CAARStatus!$A$2:$AA$1600,6,FALSE),"Pending"),"Pending")</f>
        <v>45926</v>
      </c>
      <c r="AE867" s="5" t="str">
        <f t="shared" si="298"/>
        <v>S309683</v>
      </c>
      <c r="AF867" s="5" t="str">
        <f t="shared" si="299"/>
        <v>Kumtor Gold Company</v>
      </c>
      <c r="AG867" s="5" t="str">
        <f t="shared" si="300"/>
        <v>USD</v>
      </c>
      <c r="AH867" s="5">
        <f t="shared" si="301"/>
        <v>0</v>
      </c>
      <c r="AI867" s="12">
        <f>IF(L867-N867=0,VLOOKUP(U867,rate!A$4:B$15,2,FALSE)*AH867,IF(AG867="USD",O867,AH867*Y867))</f>
        <v>0</v>
      </c>
      <c r="AJ867" s="13">
        <f t="shared" si="302"/>
        <v>0</v>
      </c>
      <c r="AK867" s="13">
        <f>-IF(AG867="CAD",IFERROR(VLOOKUP(D867,CAARStatus!$A$1:$Y$1600,16,FALSE),0),0)</f>
        <v>0</v>
      </c>
      <c r="AL867" s="13">
        <f>-IF(AG867="USD",IFERROR(VLOOKUP(D867,CAARStatus!$A$1:$Y$1600,11,FALSE),0),0)</f>
        <v>-25317.19</v>
      </c>
      <c r="AM867" s="22" t="str">
        <f t="shared" si="303"/>
        <v/>
      </c>
      <c r="AN867" s="12">
        <f t="shared" si="304"/>
        <v>-25317.19</v>
      </c>
      <c r="AO867" s="12" t="str">
        <f t="shared" si="305"/>
        <v>Yes</v>
      </c>
      <c r="AP867" t="str">
        <f t="shared" si="290"/>
        <v>XX</v>
      </c>
      <c r="AQ867">
        <f>IFERROR(VLOOKUP(Z867,InvBal!$L$4:$P$600,4,FALSE),"Pend")</f>
        <v>0</v>
      </c>
      <c r="AR867" t="str">
        <f>IFERROR(VLOOKUP(D867,Manual!$C$1:$E$22,2,FALSE),"Pend")</f>
        <v>Pend</v>
      </c>
      <c r="AS867" t="str">
        <f t="shared" si="306"/>
        <v/>
      </c>
      <c r="AT867" t="str">
        <f t="shared" si="307"/>
        <v/>
      </c>
      <c r="AU867" s="51" t="str">
        <f t="shared" si="308"/>
        <v/>
      </c>
      <c r="AV867" s="12">
        <f>IFERROR(VLOOKUP(D867,'Receivable Invoice Detail'!$S$1:$U$3014,3,FALSE),0)</f>
        <v>0</v>
      </c>
      <c r="AW867" s="12">
        <f t="shared" si="309"/>
        <v>0</v>
      </c>
    </row>
    <row r="868" spans="1:49" x14ac:dyDescent="0.25">
      <c r="A868" s="2"/>
      <c r="B868" s="2"/>
      <c r="C868" s="2"/>
      <c r="D868" s="2" t="s">
        <v>3148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>
        <f t="shared" si="291"/>
        <v>4</v>
      </c>
      <c r="U868" s="18">
        <f t="shared" si="292"/>
        <v>8</v>
      </c>
      <c r="V868" s="18">
        <f t="shared" si="293"/>
        <v>2025</v>
      </c>
      <c r="W868" s="18">
        <f t="shared" si="294"/>
        <v>10</v>
      </c>
      <c r="X868" s="18">
        <f t="shared" si="295"/>
        <v>2025</v>
      </c>
      <c r="Y868" s="2">
        <f t="shared" si="288"/>
        <v>0.72690712781787192</v>
      </c>
      <c r="Z868" t="str">
        <f t="shared" si="289"/>
        <v>SO17696</v>
      </c>
      <c r="AA868" s="11">
        <f t="shared" si="296"/>
        <v>45887.695196759261</v>
      </c>
      <c r="AB868" s="5" t="str">
        <f t="shared" si="297"/>
        <v>INV13499</v>
      </c>
      <c r="AC868" s="5" t="str">
        <f>IFERROR(VLOOKUP(D868,CAARStatus!$A$2:$AA$1600,22,FALSE),"Not invoiced")</f>
        <v>Paid</v>
      </c>
      <c r="AD868" s="11">
        <f>IF(AC868="Paid",IFERROR(VLOOKUP(D868,CAARStatus!$A$2:$AA$1600,6,FALSE),"Pending"),"Pending")</f>
        <v>45945</v>
      </c>
      <c r="AE868" s="5" t="str">
        <f t="shared" si="298"/>
        <v>S309683</v>
      </c>
      <c r="AF868" s="5" t="str">
        <f t="shared" si="299"/>
        <v>Kumtor Gold Company</v>
      </c>
      <c r="AG868" s="5" t="str">
        <f t="shared" si="300"/>
        <v>USD</v>
      </c>
      <c r="AH868" s="5">
        <f t="shared" si="301"/>
        <v>0</v>
      </c>
      <c r="AI868" s="12">
        <f>IF(L868-N868=0,VLOOKUP(U868,rate!A$4:B$15,2,FALSE)*AH868,IF(AG868="USD",O868,AH868*Y868))</f>
        <v>0</v>
      </c>
      <c r="AJ868" s="13">
        <f t="shared" si="302"/>
        <v>0</v>
      </c>
      <c r="AK868" s="13">
        <f>-IF(AG868="CAD",IFERROR(VLOOKUP(D868,CAARStatus!$A$1:$Y$1600,16,FALSE),0),0)</f>
        <v>0</v>
      </c>
      <c r="AL868" s="13">
        <f>-IF(AG868="USD",IFERROR(VLOOKUP(D868,CAARStatus!$A$1:$Y$1600,11,FALSE),0),0)</f>
        <v>-241.39</v>
      </c>
      <c r="AM868" s="22" t="str">
        <f t="shared" si="303"/>
        <v/>
      </c>
      <c r="AN868" s="12">
        <f t="shared" si="304"/>
        <v>-241.39</v>
      </c>
      <c r="AO868" s="12" t="str">
        <f t="shared" si="305"/>
        <v>Yes</v>
      </c>
      <c r="AP868" t="str">
        <f t="shared" si="290"/>
        <v>XX</v>
      </c>
      <c r="AQ868">
        <f>IFERROR(VLOOKUP(Z868,InvBal!$L$4:$P$600,4,FALSE),"Pend")</f>
        <v>0</v>
      </c>
      <c r="AR868" t="str">
        <f>IFERROR(VLOOKUP(D868,Manual!$C$1:$E$22,2,FALSE),"Pend")</f>
        <v>Pend</v>
      </c>
      <c r="AS868" t="str">
        <f t="shared" si="306"/>
        <v/>
      </c>
      <c r="AT868" t="str">
        <f t="shared" si="307"/>
        <v/>
      </c>
      <c r="AU868" s="51" t="str">
        <f t="shared" si="308"/>
        <v/>
      </c>
      <c r="AV868" s="12">
        <f>IFERROR(VLOOKUP(D868,'Receivable Invoice Detail'!$S$1:$U$3014,3,FALSE),0)</f>
        <v>0</v>
      </c>
      <c r="AW868" s="12">
        <f t="shared" si="309"/>
        <v>0</v>
      </c>
    </row>
    <row r="869" spans="1:49" x14ac:dyDescent="0.25">
      <c r="A869" s="2">
        <v>0</v>
      </c>
      <c r="B869" s="2" t="s">
        <v>783</v>
      </c>
      <c r="C869" s="2" t="s">
        <v>784</v>
      </c>
      <c r="D869" s="2"/>
      <c r="E869" s="2" t="s">
        <v>245</v>
      </c>
      <c r="F869" s="3">
        <v>45888.381932870368</v>
      </c>
      <c r="G869" s="3">
        <v>45894.593032407407</v>
      </c>
      <c r="H869" s="4">
        <v>45978</v>
      </c>
      <c r="I869" s="2" t="s">
        <v>40</v>
      </c>
      <c r="J869" s="2" t="s">
        <v>22</v>
      </c>
      <c r="K869" s="2">
        <v>1</v>
      </c>
      <c r="L869" s="2">
        <v>5018.46</v>
      </c>
      <c r="M869" s="2">
        <v>0</v>
      </c>
      <c r="N869" s="2">
        <v>3628.2446579174521</v>
      </c>
      <c r="O869" s="2">
        <v>4779.4799999999996</v>
      </c>
      <c r="P869" s="2">
        <v>238.98</v>
      </c>
      <c r="Q869" s="2">
        <v>5018.46</v>
      </c>
      <c r="R869" s="2" t="s">
        <v>29</v>
      </c>
      <c r="S869" s="2"/>
      <c r="T869" s="2">
        <f t="shared" si="291"/>
        <v>0</v>
      </c>
      <c r="U869" s="18">
        <f t="shared" si="292"/>
        <v>8</v>
      </c>
      <c r="V869" s="18">
        <f t="shared" si="293"/>
        <v>2025</v>
      </c>
      <c r="W869" s="18" t="str">
        <f t="shared" si="294"/>
        <v/>
      </c>
      <c r="X869" s="18" t="str">
        <f t="shared" si="295"/>
        <v/>
      </c>
      <c r="Y869" s="2">
        <f t="shared" si="288"/>
        <v>0.72297969056592104</v>
      </c>
      <c r="Z869" t="str">
        <f t="shared" si="289"/>
        <v>SO17698</v>
      </c>
      <c r="AA869" s="11">
        <f t="shared" si="296"/>
        <v>45888.381932870368</v>
      </c>
      <c r="AB869" s="5" t="str">
        <f t="shared" si="297"/>
        <v>No Inv</v>
      </c>
      <c r="AC869" s="5" t="str">
        <f>IFERROR(VLOOKUP(D869,CAARStatus!$A$2:$AA$1600,22,FALSE),"Not invoiced")</f>
        <v>Not invoiced</v>
      </c>
      <c r="AD869" s="11" t="str">
        <f>IF(AC869="Paid",IFERROR(VLOOKUP(D869,CAARStatus!$A$2:$AA$1600,6,FALSE),"Pending"),"Pending")</f>
        <v>Pending</v>
      </c>
      <c r="AE869" s="5" t="str">
        <f t="shared" si="298"/>
        <v>21776 R1</v>
      </c>
      <c r="AF869" s="5" t="str">
        <f t="shared" si="299"/>
        <v>DRN Industriel</v>
      </c>
      <c r="AG869" s="5" t="str">
        <f t="shared" si="300"/>
        <v>CAD</v>
      </c>
      <c r="AH869" s="5">
        <f t="shared" si="301"/>
        <v>4779.4799999999996</v>
      </c>
      <c r="AI869" s="12">
        <f>IF(L869-N869=0,VLOOKUP(U869,rate!A$4:B$15,2,FALSE)*AH869,IF(AG869="USD",O869,AH869*Y869))</f>
        <v>3455.4669714660081</v>
      </c>
      <c r="AJ869" s="13">
        <f t="shared" si="302"/>
        <v>0.72297969056592104</v>
      </c>
      <c r="AK869" s="13">
        <f>-IF(AG869="CAD",IFERROR(VLOOKUP(D869,CAARStatus!$A$1:$Y$1600,16,FALSE),0),0)</f>
        <v>0</v>
      </c>
      <c r="AL869" s="13">
        <f>-IF(AG869="USD",IFERROR(VLOOKUP(D869,CAARStatus!$A$1:$Y$1600,11,FALSE),0),0)</f>
        <v>0</v>
      </c>
      <c r="AM869" s="22">
        <f t="shared" si="303"/>
        <v>4779.4799999999996</v>
      </c>
      <c r="AN869" s="12" t="str">
        <f t="shared" si="304"/>
        <v/>
      </c>
      <c r="AO869" s="12" t="str">
        <f t="shared" si="305"/>
        <v>Pend</v>
      </c>
      <c r="AP869" t="str">
        <f t="shared" si="290"/>
        <v>Pend</v>
      </c>
      <c r="AQ869" t="str">
        <f>IFERROR(VLOOKUP(Z869,InvBal!$L$4:$P$600,4,FALSE),"Pend")</f>
        <v>Pend</v>
      </c>
      <c r="AR869" t="str">
        <f>IFERROR(VLOOKUP(D869,Manual!$C$1:$E$22,2,FALSE),"Pend")</f>
        <v>Pend</v>
      </c>
      <c r="AS869" t="str">
        <f t="shared" si="306"/>
        <v/>
      </c>
      <c r="AT869" t="str">
        <f t="shared" si="307"/>
        <v/>
      </c>
      <c r="AU869" s="51" t="str">
        <f t="shared" si="308"/>
        <v/>
      </c>
      <c r="AV869" s="12">
        <f>IFERROR(VLOOKUP(D869,'Receivable Invoice Detail'!$S$1:$U$3014,3,FALSE),0)</f>
        <v>0</v>
      </c>
      <c r="AW869" s="12">
        <f t="shared" si="309"/>
        <v>0</v>
      </c>
    </row>
    <row r="870" spans="1:49" x14ac:dyDescent="0.25">
      <c r="A870" s="2">
        <v>0</v>
      </c>
      <c r="B870" s="2" t="s">
        <v>438</v>
      </c>
      <c r="C870" s="2" t="s">
        <v>439</v>
      </c>
      <c r="D870" s="2"/>
      <c r="E870" s="2" t="s">
        <v>239</v>
      </c>
      <c r="F870" s="3">
        <v>45888.452222222222</v>
      </c>
      <c r="G870" s="3">
        <v>45939.654861111107</v>
      </c>
      <c r="H870" s="4">
        <v>46035</v>
      </c>
      <c r="I870" s="2" t="s">
        <v>180</v>
      </c>
      <c r="J870" s="2" t="s">
        <v>22</v>
      </c>
      <c r="K870" s="2">
        <v>1</v>
      </c>
      <c r="L870" s="2">
        <v>2724.71</v>
      </c>
      <c r="M870" s="2">
        <v>0</v>
      </c>
      <c r="N870" s="2">
        <v>1944.6699197195419</v>
      </c>
      <c r="O870" s="2">
        <v>2411.25</v>
      </c>
      <c r="P870" s="2">
        <v>313.45999999999998</v>
      </c>
      <c r="Q870" s="2">
        <v>2724.71</v>
      </c>
      <c r="R870" s="2" t="s">
        <v>23</v>
      </c>
      <c r="S870" s="2"/>
      <c r="T870" s="2">
        <f t="shared" si="291"/>
        <v>0</v>
      </c>
      <c r="U870" s="18">
        <f t="shared" si="292"/>
        <v>8</v>
      </c>
      <c r="V870" s="18">
        <f t="shared" si="293"/>
        <v>2025</v>
      </c>
      <c r="W870" s="18" t="str">
        <f t="shared" si="294"/>
        <v/>
      </c>
      <c r="X870" s="18" t="str">
        <f t="shared" si="295"/>
        <v/>
      </c>
      <c r="Y870" s="2">
        <f t="shared" si="288"/>
        <v>0.71371629264014957</v>
      </c>
      <c r="Z870" t="str">
        <f t="shared" si="289"/>
        <v>SO17700</v>
      </c>
      <c r="AA870" s="11">
        <f t="shared" si="296"/>
        <v>45888.452222222222</v>
      </c>
      <c r="AB870" s="5" t="str">
        <f t="shared" si="297"/>
        <v>No Inv</v>
      </c>
      <c r="AC870" s="5" t="str">
        <f>IFERROR(VLOOKUP(D870,CAARStatus!$A$2:$AA$1600,22,FALSE),"Not invoiced")</f>
        <v>Not invoiced</v>
      </c>
      <c r="AD870" s="11" t="str">
        <f>IF(AC870="Paid",IFERROR(VLOOKUP(D870,CAARStatus!$A$2:$AA$1600,6,FALSE),"Pending"),"Pending")</f>
        <v>Pending</v>
      </c>
      <c r="AE870" s="5" t="str">
        <f t="shared" si="298"/>
        <v>1061</v>
      </c>
      <c r="AF870" s="5" t="str">
        <f t="shared" si="299"/>
        <v>Mill-Right Mine Services Inc.</v>
      </c>
      <c r="AG870" s="5" t="str">
        <f t="shared" si="300"/>
        <v>CAD</v>
      </c>
      <c r="AH870" s="5">
        <f t="shared" si="301"/>
        <v>2411.25</v>
      </c>
      <c r="AI870" s="12">
        <f>IF(L870-N870=0,VLOOKUP(U870,rate!A$4:B$15,2,FALSE)*AH870,IF(AG870="USD",O870,AH870*Y870))</f>
        <v>1720.9484106285606</v>
      </c>
      <c r="AJ870" s="13">
        <f t="shared" si="302"/>
        <v>0.71371629264014957</v>
      </c>
      <c r="AK870" s="13">
        <f>-IF(AG870="CAD",IFERROR(VLOOKUP(D870,CAARStatus!$A$1:$Y$1600,16,FALSE),0),0)</f>
        <v>0</v>
      </c>
      <c r="AL870" s="13">
        <f>-IF(AG870="USD",IFERROR(VLOOKUP(D870,CAARStatus!$A$1:$Y$1600,11,FALSE),0),0)</f>
        <v>0</v>
      </c>
      <c r="AM870" s="22">
        <f t="shared" si="303"/>
        <v>2411.25</v>
      </c>
      <c r="AN870" s="12" t="str">
        <f t="shared" si="304"/>
        <v/>
      </c>
      <c r="AO870" s="12" t="str">
        <f t="shared" si="305"/>
        <v>Pend</v>
      </c>
      <c r="AP870" t="str">
        <f t="shared" si="290"/>
        <v>Pend</v>
      </c>
      <c r="AQ870" t="str">
        <f>IFERROR(VLOOKUP(Z870,InvBal!$L$4:$P$600,4,FALSE),"Pend")</f>
        <v>Pend</v>
      </c>
      <c r="AR870" t="str">
        <f>IFERROR(VLOOKUP(D870,Manual!$C$1:$E$22,2,FALSE),"Pend")</f>
        <v>Pend</v>
      </c>
      <c r="AS870" t="str">
        <f t="shared" si="306"/>
        <v/>
      </c>
      <c r="AT870" t="str">
        <f t="shared" si="307"/>
        <v/>
      </c>
      <c r="AU870" s="51" t="str">
        <f t="shared" si="308"/>
        <v/>
      </c>
      <c r="AV870" s="12">
        <f>IFERROR(VLOOKUP(D870,'Receivable Invoice Detail'!$S$1:$U$3014,3,FALSE),0)</f>
        <v>0</v>
      </c>
      <c r="AW870" s="12">
        <f t="shared" si="309"/>
        <v>0</v>
      </c>
    </row>
    <row r="871" spans="1:49" ht="30" x14ac:dyDescent="0.25">
      <c r="A871" s="2">
        <v>1</v>
      </c>
      <c r="B871" s="2" t="s">
        <v>762</v>
      </c>
      <c r="C871" s="2" t="s">
        <v>763</v>
      </c>
      <c r="D871" s="2" t="s">
        <v>3124</v>
      </c>
      <c r="E871" s="2" t="s">
        <v>159</v>
      </c>
      <c r="F871" s="3">
        <v>45888.583414351851</v>
      </c>
      <c r="G871" s="3">
        <v>45896.60601851852</v>
      </c>
      <c r="H871" s="4">
        <v>45904</v>
      </c>
      <c r="I871" s="2" t="s">
        <v>40</v>
      </c>
      <c r="J871" s="2" t="s">
        <v>51</v>
      </c>
      <c r="K871" s="2">
        <v>0.72297969056592093</v>
      </c>
      <c r="L871" s="2">
        <v>23323.117122143449</v>
      </c>
      <c r="M871" s="2">
        <v>0</v>
      </c>
      <c r="N871" s="2">
        <v>16862.14</v>
      </c>
      <c r="O871" s="2">
        <v>16862.14</v>
      </c>
      <c r="P871" s="2"/>
      <c r="Q871" s="2">
        <v>16862.14</v>
      </c>
      <c r="R871" s="2" t="s">
        <v>44</v>
      </c>
      <c r="S871" s="2"/>
      <c r="T871" s="2">
        <f t="shared" si="291"/>
        <v>1</v>
      </c>
      <c r="U871" s="18">
        <f t="shared" si="292"/>
        <v>8</v>
      </c>
      <c r="V871" s="18">
        <f t="shared" si="293"/>
        <v>2025</v>
      </c>
      <c r="W871" s="18">
        <f t="shared" si="294"/>
        <v>10</v>
      </c>
      <c r="X871" s="18">
        <f t="shared" si="295"/>
        <v>2025</v>
      </c>
      <c r="Y871" s="2">
        <f t="shared" si="288"/>
        <v>0.72297969056592082</v>
      </c>
      <c r="Z871" t="str">
        <f t="shared" si="289"/>
        <v>SO17701</v>
      </c>
      <c r="AA871" s="11">
        <f t="shared" si="296"/>
        <v>45888.583414351851</v>
      </c>
      <c r="AB871" s="5" t="str">
        <f t="shared" si="297"/>
        <v>INV13376</v>
      </c>
      <c r="AC871" s="5" t="str">
        <f>IFERROR(VLOOKUP(D871,CAARStatus!$A$2:$AA$1600,22,FALSE),"Not invoiced")</f>
        <v>Paid</v>
      </c>
      <c r="AD871" s="11">
        <f>IF(AC871="Paid",IFERROR(VLOOKUP(D871,CAARStatus!$A$2:$AA$1600,6,FALSE),"Pending"),"Pending")</f>
        <v>45953</v>
      </c>
      <c r="AE871" s="5" t="str">
        <f t="shared" si="298"/>
        <v>4501270327</v>
      </c>
      <c r="AF871" s="5" t="str">
        <f t="shared" si="299"/>
        <v>Barrick Gold - Pueblo Viejo Dominicana Corporation</v>
      </c>
      <c r="AG871" s="5" t="str">
        <f t="shared" si="300"/>
        <v>USD</v>
      </c>
      <c r="AH871" s="5">
        <f t="shared" si="301"/>
        <v>23323.117122143445</v>
      </c>
      <c r="AI871" s="12">
        <f>IF(L871-N871=0,VLOOKUP(U871,rate!A$4:B$15,2,FALSE)*AH871,IF(AG871="USD",O871,AH871*Y871))</f>
        <v>16862.14</v>
      </c>
      <c r="AJ871" s="13">
        <f t="shared" si="302"/>
        <v>0.72297969056592093</v>
      </c>
      <c r="AK871" s="13">
        <f>-IF(AG871="CAD",IFERROR(VLOOKUP(D871,CAARStatus!$A$1:$Y$1600,16,FALSE),0),0)</f>
        <v>0</v>
      </c>
      <c r="AL871" s="13">
        <f>-IF(AG871="USD",IFERROR(VLOOKUP(D871,CAARStatus!$A$1:$Y$1600,11,FALSE),0),0)</f>
        <v>-16862.14</v>
      </c>
      <c r="AM871" s="22" t="str">
        <f t="shared" si="303"/>
        <v/>
      </c>
      <c r="AN871" s="12">
        <f t="shared" si="304"/>
        <v>0</v>
      </c>
      <c r="AO871" s="12" t="str">
        <f t="shared" si="305"/>
        <v>Yes</v>
      </c>
      <c r="AP871" t="str">
        <f t="shared" si="290"/>
        <v>Yes</v>
      </c>
      <c r="AQ871" t="str">
        <f>IFERROR(VLOOKUP(Z871,InvBal!$L$4:$P$600,4,FALSE),"Pend")</f>
        <v>Pend</v>
      </c>
      <c r="AR871" t="str">
        <f>IFERROR(VLOOKUP(D871,Manual!$C$1:$E$22,2,FALSE),"Pend")</f>
        <v>Pend</v>
      </c>
      <c r="AS871" t="str">
        <f t="shared" si="306"/>
        <v>Yes</v>
      </c>
      <c r="AT871" t="str">
        <f t="shared" si="307"/>
        <v>Yes</v>
      </c>
      <c r="AU871" s="51" t="str">
        <f t="shared" si="308"/>
        <v>Yes</v>
      </c>
      <c r="AV871" s="12">
        <f>IFERROR(VLOOKUP(D871,'Receivable Invoice Detail'!$S$1:$U$3014,3,FALSE),0)</f>
        <v>0</v>
      </c>
      <c r="AW871" s="12">
        <f t="shared" si="309"/>
        <v>16862.14</v>
      </c>
    </row>
    <row r="872" spans="1:49" ht="30" x14ac:dyDescent="0.25">
      <c r="A872" s="2">
        <v>1</v>
      </c>
      <c r="B872" s="2" t="s">
        <v>819</v>
      </c>
      <c r="C872" s="2" t="s">
        <v>820</v>
      </c>
      <c r="D872" s="2" t="s">
        <v>3095</v>
      </c>
      <c r="E872" s="2" t="s">
        <v>20</v>
      </c>
      <c r="F872" s="3">
        <v>45888.616388888891</v>
      </c>
      <c r="G872" s="3">
        <v>45888.617002314822</v>
      </c>
      <c r="H872" s="4">
        <v>45895</v>
      </c>
      <c r="I872" s="2" t="s">
        <v>36</v>
      </c>
      <c r="J872" s="2" t="s">
        <v>22</v>
      </c>
      <c r="K872" s="2">
        <v>1</v>
      </c>
      <c r="L872" s="2">
        <v>311.39</v>
      </c>
      <c r="M872" s="2">
        <v>0</v>
      </c>
      <c r="N872" s="2">
        <v>224.66719514217939</v>
      </c>
      <c r="O872" s="2">
        <v>296.56</v>
      </c>
      <c r="P872" s="2">
        <v>14.83</v>
      </c>
      <c r="Q872" s="2">
        <v>311.39</v>
      </c>
      <c r="R872" s="2" t="s">
        <v>44</v>
      </c>
      <c r="S872" s="2"/>
      <c r="T872" s="2">
        <f t="shared" si="291"/>
        <v>1</v>
      </c>
      <c r="U872" s="18">
        <f t="shared" si="292"/>
        <v>8</v>
      </c>
      <c r="V872" s="18">
        <f t="shared" si="293"/>
        <v>2025</v>
      </c>
      <c r="W872" s="18">
        <f t="shared" si="294"/>
        <v>10</v>
      </c>
      <c r="X872" s="18">
        <f t="shared" si="295"/>
        <v>2025</v>
      </c>
      <c r="Y872" s="2">
        <f t="shared" si="288"/>
        <v>0.72149778458582292</v>
      </c>
      <c r="Z872" t="str">
        <f t="shared" si="289"/>
        <v>SO17703</v>
      </c>
      <c r="AA872" s="11">
        <f t="shared" si="296"/>
        <v>45888.616388888891</v>
      </c>
      <c r="AB872" s="5" t="str">
        <f t="shared" si="297"/>
        <v>INV13324</v>
      </c>
      <c r="AC872" s="5" t="str">
        <f>IFERROR(VLOOKUP(D872,CAARStatus!$A$2:$AA$1600,22,FALSE),"Not invoiced")</f>
        <v>Paid</v>
      </c>
      <c r="AD872" s="11">
        <f>IF(AC872="Paid",IFERROR(VLOOKUP(D872,CAARStatus!$A$2:$AA$1600,6,FALSE),"Pending"),"Pending")</f>
        <v>45947</v>
      </c>
      <c r="AE872" s="5" t="str">
        <f t="shared" si="298"/>
        <v>4500609934</v>
      </c>
      <c r="AF872" s="5" t="str">
        <f t="shared" si="299"/>
        <v>Resolute Forest Products - Saint-Felicien</v>
      </c>
      <c r="AG872" s="5" t="str">
        <f t="shared" si="300"/>
        <v>CAD</v>
      </c>
      <c r="AH872" s="5">
        <f t="shared" si="301"/>
        <v>296.56</v>
      </c>
      <c r="AI872" s="12">
        <f>IF(L872-N872=0,VLOOKUP(U872,rate!A$4:B$15,2,FALSE)*AH872,IF(AG872="USD",O872,AH872*Y872))</f>
        <v>213.96738299677165</v>
      </c>
      <c r="AJ872" s="13">
        <f t="shared" si="302"/>
        <v>0.72149778458582292</v>
      </c>
      <c r="AK872" s="13">
        <f>-IF(AG872="CAD",IFERROR(VLOOKUP(D872,CAARStatus!$A$1:$Y$1600,16,FALSE),0),0)</f>
        <v>-296.56</v>
      </c>
      <c r="AL872" s="13">
        <f>-IF(AG872="USD",IFERROR(VLOOKUP(D872,CAARStatus!$A$1:$Y$1600,11,FALSE),0),0)</f>
        <v>0</v>
      </c>
      <c r="AM872" s="22">
        <f t="shared" si="303"/>
        <v>0</v>
      </c>
      <c r="AN872" s="12" t="str">
        <f t="shared" si="304"/>
        <v/>
      </c>
      <c r="AO872" s="12" t="str">
        <f t="shared" si="305"/>
        <v>Yes</v>
      </c>
      <c r="AP872" t="str">
        <f t="shared" si="290"/>
        <v>Yes</v>
      </c>
      <c r="AQ872" t="str">
        <f>IFERROR(VLOOKUP(Z872,InvBal!$L$4:$P$600,4,FALSE),"Pend")</f>
        <v>Pend</v>
      </c>
      <c r="AR872" t="str">
        <f>IFERROR(VLOOKUP(D872,Manual!$C$1:$E$22,2,FALSE),"Pend")</f>
        <v>Pend</v>
      </c>
      <c r="AS872" t="str">
        <f t="shared" si="306"/>
        <v>Yes</v>
      </c>
      <c r="AT872" t="str">
        <f t="shared" si="307"/>
        <v>Yes</v>
      </c>
      <c r="AU872" s="51" t="str">
        <f t="shared" si="308"/>
        <v>Yes</v>
      </c>
      <c r="AV872" s="12">
        <f>IFERROR(VLOOKUP(D872,'Receivable Invoice Detail'!$S$1:$U$3014,3,FALSE),0)</f>
        <v>0</v>
      </c>
      <c r="AW872" s="12">
        <f t="shared" si="309"/>
        <v>213.96738299677165</v>
      </c>
    </row>
    <row r="873" spans="1:49" ht="30" x14ac:dyDescent="0.25">
      <c r="A873" s="2">
        <v>1</v>
      </c>
      <c r="B873" s="2" t="s">
        <v>810</v>
      </c>
      <c r="C873" s="2" t="s">
        <v>811</v>
      </c>
      <c r="D873" s="2" t="s">
        <v>3099</v>
      </c>
      <c r="E873" s="2" t="s">
        <v>20</v>
      </c>
      <c r="F873" s="3">
        <v>45888.623842592591</v>
      </c>
      <c r="G873" s="3">
        <v>45888.78733796296</v>
      </c>
      <c r="H873" s="4">
        <v>45895</v>
      </c>
      <c r="I873" s="2" t="s">
        <v>36</v>
      </c>
      <c r="J873" s="2" t="s">
        <v>22</v>
      </c>
      <c r="K873" s="2">
        <v>1</v>
      </c>
      <c r="L873" s="2">
        <v>277.49</v>
      </c>
      <c r="M873" s="2">
        <v>0</v>
      </c>
      <c r="N873" s="2">
        <v>200.20842024472</v>
      </c>
      <c r="O873" s="2">
        <v>264.27999999999997</v>
      </c>
      <c r="P873" s="2">
        <v>13.21</v>
      </c>
      <c r="Q873" s="2">
        <v>277.49</v>
      </c>
      <c r="R873" s="2" t="s">
        <v>44</v>
      </c>
      <c r="S873" s="2"/>
      <c r="T873" s="2">
        <f t="shared" si="291"/>
        <v>1</v>
      </c>
      <c r="U873" s="18">
        <f t="shared" si="292"/>
        <v>8</v>
      </c>
      <c r="V873" s="18">
        <f t="shared" si="293"/>
        <v>2025</v>
      </c>
      <c r="W873" s="18">
        <f t="shared" si="294"/>
        <v>10</v>
      </c>
      <c r="X873" s="18">
        <f t="shared" si="295"/>
        <v>2025</v>
      </c>
      <c r="Y873" s="2">
        <f t="shared" si="288"/>
        <v>0.72149778458582292</v>
      </c>
      <c r="Z873" t="str">
        <f t="shared" si="289"/>
        <v>SO17704</v>
      </c>
      <c r="AA873" s="11">
        <f t="shared" si="296"/>
        <v>45888.623842592591</v>
      </c>
      <c r="AB873" s="5" t="str">
        <f t="shared" si="297"/>
        <v>INV13337</v>
      </c>
      <c r="AC873" s="5" t="str">
        <f>IFERROR(VLOOKUP(D873,CAARStatus!$A$2:$AA$1600,22,FALSE),"Not invoiced")</f>
        <v>Paid</v>
      </c>
      <c r="AD873" s="11">
        <f>IF(AC873="Paid",IFERROR(VLOOKUP(D873,CAARStatus!$A$2:$AA$1600,6,FALSE),"Pending"),"Pending")</f>
        <v>45951</v>
      </c>
      <c r="AE873" s="5" t="str">
        <f t="shared" si="298"/>
        <v>4500609960</v>
      </c>
      <c r="AF873" s="5" t="str">
        <f t="shared" si="299"/>
        <v>Resolute Forest Products - Saint-Felicien</v>
      </c>
      <c r="AG873" s="5" t="str">
        <f t="shared" si="300"/>
        <v>CAD</v>
      </c>
      <c r="AH873" s="5">
        <f t="shared" si="301"/>
        <v>264.27999999999997</v>
      </c>
      <c r="AI873" s="12">
        <f>IF(L873-N873=0,VLOOKUP(U873,rate!A$4:B$15,2,FALSE)*AH873,IF(AG873="USD",O873,AH873*Y873))</f>
        <v>190.67743451034127</v>
      </c>
      <c r="AJ873" s="13">
        <f t="shared" si="302"/>
        <v>0.72149778458582292</v>
      </c>
      <c r="AK873" s="13">
        <f>-IF(AG873="CAD",IFERROR(VLOOKUP(D873,CAARStatus!$A$1:$Y$1600,16,FALSE),0),0)</f>
        <v>-264.27999999999997</v>
      </c>
      <c r="AL873" s="13">
        <f>-IF(AG873="USD",IFERROR(VLOOKUP(D873,CAARStatus!$A$1:$Y$1600,11,FALSE),0),0)</f>
        <v>0</v>
      </c>
      <c r="AM873" s="22">
        <f t="shared" si="303"/>
        <v>0</v>
      </c>
      <c r="AN873" s="12" t="str">
        <f t="shared" si="304"/>
        <v/>
      </c>
      <c r="AO873" s="12" t="str">
        <f t="shared" si="305"/>
        <v>Yes</v>
      </c>
      <c r="AP873" t="str">
        <f t="shared" si="290"/>
        <v>Yes</v>
      </c>
      <c r="AQ873" t="str">
        <f>IFERROR(VLOOKUP(Z873,InvBal!$L$4:$P$600,4,FALSE),"Pend")</f>
        <v>Pend</v>
      </c>
      <c r="AR873" t="str">
        <f>IFERROR(VLOOKUP(D873,Manual!$C$1:$E$22,2,FALSE),"Pend")</f>
        <v>Pend</v>
      </c>
      <c r="AS873" t="str">
        <f t="shared" si="306"/>
        <v>Yes</v>
      </c>
      <c r="AT873" t="str">
        <f t="shared" si="307"/>
        <v>Yes</v>
      </c>
      <c r="AU873" s="51" t="str">
        <f t="shared" si="308"/>
        <v>Yes</v>
      </c>
      <c r="AV873" s="12">
        <f>IFERROR(VLOOKUP(D873,'Receivable Invoice Detail'!$S$1:$U$3014,3,FALSE),0)</f>
        <v>0</v>
      </c>
      <c r="AW873" s="12">
        <f t="shared" si="309"/>
        <v>190.67743451034127</v>
      </c>
    </row>
    <row r="874" spans="1:49" ht="30" x14ac:dyDescent="0.25">
      <c r="A874" s="2">
        <v>1</v>
      </c>
      <c r="B874" s="2" t="s">
        <v>804</v>
      </c>
      <c r="C874" s="2" t="s">
        <v>805</v>
      </c>
      <c r="D874" s="2" t="s">
        <v>3102</v>
      </c>
      <c r="E874" s="2" t="s">
        <v>35</v>
      </c>
      <c r="F874" s="3">
        <v>45888.777268518519</v>
      </c>
      <c r="G874" s="3">
        <v>45889.565983796303</v>
      </c>
      <c r="H874" s="4">
        <v>45896</v>
      </c>
      <c r="I874" s="2" t="s">
        <v>36</v>
      </c>
      <c r="J874" s="2" t="s">
        <v>22</v>
      </c>
      <c r="K874" s="2">
        <v>1</v>
      </c>
      <c r="L874" s="2">
        <v>1457.4</v>
      </c>
      <c r="M874" s="2">
        <v>0</v>
      </c>
      <c r="N874" s="2">
        <v>1050.3308330641421</v>
      </c>
      <c r="O874" s="2">
        <v>1388</v>
      </c>
      <c r="P874" s="2">
        <v>69.400000000000006</v>
      </c>
      <c r="Q874" s="2">
        <v>1457.4</v>
      </c>
      <c r="R874" s="2" t="s">
        <v>44</v>
      </c>
      <c r="S874" s="2"/>
      <c r="T874" s="2">
        <f t="shared" si="291"/>
        <v>1</v>
      </c>
      <c r="U874" s="18">
        <f t="shared" si="292"/>
        <v>8</v>
      </c>
      <c r="V874" s="18">
        <f t="shared" si="293"/>
        <v>2025</v>
      </c>
      <c r="W874" s="18">
        <f t="shared" si="294"/>
        <v>9</v>
      </c>
      <c r="X874" s="18">
        <f t="shared" si="295"/>
        <v>2025</v>
      </c>
      <c r="Y874" s="2">
        <f t="shared" si="288"/>
        <v>0.72068809734056682</v>
      </c>
      <c r="Z874" t="str">
        <f t="shared" si="289"/>
        <v>SO17707</v>
      </c>
      <c r="AA874" s="11">
        <f t="shared" si="296"/>
        <v>45888.777268518519</v>
      </c>
      <c r="AB874" s="5" t="str">
        <f t="shared" si="297"/>
        <v>INV13343</v>
      </c>
      <c r="AC874" s="5" t="str">
        <f>IFERROR(VLOOKUP(D874,CAARStatus!$A$2:$AA$1600,22,FALSE),"Not invoiced")</f>
        <v>Paid</v>
      </c>
      <c r="AD874" s="11">
        <f>IF(AC874="Paid",IFERROR(VLOOKUP(D874,CAARStatus!$A$2:$AA$1600,6,FALSE),"Pending"),"Pending")</f>
        <v>45924</v>
      </c>
      <c r="AE874" s="5" t="str">
        <f t="shared" si="298"/>
        <v>PO13911</v>
      </c>
      <c r="AF874" s="5" t="str">
        <f t="shared" si="299"/>
        <v>Manufacture Sling-Choker (Val-d’Or) Ltée</v>
      </c>
      <c r="AG874" s="5" t="str">
        <f t="shared" si="300"/>
        <v>CAD</v>
      </c>
      <c r="AH874" s="5">
        <f t="shared" si="301"/>
        <v>1388</v>
      </c>
      <c r="AI874" s="12">
        <f>IF(L874-N874=0,VLOOKUP(U874,rate!A$4:B$15,2,FALSE)*AH874,IF(AG874="USD",O874,AH874*Y874))</f>
        <v>1000.3150791087068</v>
      </c>
      <c r="AJ874" s="13">
        <f t="shared" si="302"/>
        <v>0.72068809734056682</v>
      </c>
      <c r="AK874" s="13">
        <f>-IF(AG874="CAD",IFERROR(VLOOKUP(D874,CAARStatus!$A$1:$Y$1600,16,FALSE),0),0)</f>
        <v>-1388</v>
      </c>
      <c r="AL874" s="13">
        <f>-IF(AG874="USD",IFERROR(VLOOKUP(D874,CAARStatus!$A$1:$Y$1600,11,FALSE),0),0)</f>
        <v>0</v>
      </c>
      <c r="AM874" s="22">
        <f t="shared" si="303"/>
        <v>0</v>
      </c>
      <c r="AN874" s="12" t="str">
        <f t="shared" si="304"/>
        <v/>
      </c>
      <c r="AO874" s="12" t="str">
        <f t="shared" si="305"/>
        <v>Yes</v>
      </c>
      <c r="AP874" t="str">
        <f t="shared" si="290"/>
        <v>Yes</v>
      </c>
      <c r="AQ874" t="str">
        <f>IFERROR(VLOOKUP(Z874,InvBal!$L$4:$P$600,4,FALSE),"Pend")</f>
        <v>Pend</v>
      </c>
      <c r="AR874" t="str">
        <f>IFERROR(VLOOKUP(D874,Manual!$C$1:$E$22,2,FALSE),"Pend")</f>
        <v>Pend</v>
      </c>
      <c r="AS874" t="str">
        <f t="shared" si="306"/>
        <v>Yes</v>
      </c>
      <c r="AT874" t="str">
        <f t="shared" si="307"/>
        <v>Yes</v>
      </c>
      <c r="AU874" s="51" t="str">
        <f t="shared" si="308"/>
        <v>Yes</v>
      </c>
      <c r="AV874" s="12">
        <f>IFERROR(VLOOKUP(D874,'Receivable Invoice Detail'!$S$1:$U$3014,3,FALSE),0)</f>
        <v>0</v>
      </c>
      <c r="AW874" s="12">
        <f t="shared" si="309"/>
        <v>1000.3150791087068</v>
      </c>
    </row>
    <row r="875" spans="1:49" x14ac:dyDescent="0.25">
      <c r="A875" s="2">
        <v>1</v>
      </c>
      <c r="B875" s="2" t="s">
        <v>729</v>
      </c>
      <c r="C875" s="2" t="s">
        <v>730</v>
      </c>
      <c r="D875" s="2" t="s">
        <v>3138</v>
      </c>
      <c r="E875" s="2" t="s">
        <v>146</v>
      </c>
      <c r="F875" s="3">
        <v>45889.427222222221</v>
      </c>
      <c r="G875" s="3">
        <v>45902.556006944447</v>
      </c>
      <c r="H875" s="4">
        <v>45903</v>
      </c>
      <c r="I875" s="2" t="s">
        <v>40</v>
      </c>
      <c r="J875" s="2" t="s">
        <v>22</v>
      </c>
      <c r="K875" s="2">
        <v>1</v>
      </c>
      <c r="L875" s="2">
        <v>3039.52</v>
      </c>
      <c r="M875" s="2">
        <v>0</v>
      </c>
      <c r="N875" s="2">
        <v>2204.9232053441328</v>
      </c>
      <c r="O875" s="2">
        <v>2894.78</v>
      </c>
      <c r="P875" s="2">
        <v>144.74</v>
      </c>
      <c r="Q875" s="2">
        <v>3039.52</v>
      </c>
      <c r="R875" s="2" t="s">
        <v>44</v>
      </c>
      <c r="S875" s="2"/>
      <c r="T875" s="2">
        <f t="shared" si="291"/>
        <v>1</v>
      </c>
      <c r="U875" s="18">
        <f t="shared" si="292"/>
        <v>8</v>
      </c>
      <c r="V875" s="18">
        <f t="shared" si="293"/>
        <v>2025</v>
      </c>
      <c r="W875" s="18">
        <f t="shared" si="294"/>
        <v>10</v>
      </c>
      <c r="X875" s="18">
        <f t="shared" si="295"/>
        <v>2025</v>
      </c>
      <c r="Y875" s="2">
        <f t="shared" si="288"/>
        <v>0.72541822568831027</v>
      </c>
      <c r="Z875" t="str">
        <f t="shared" si="289"/>
        <v>SO17709</v>
      </c>
      <c r="AA875" s="11">
        <f t="shared" si="296"/>
        <v>45889.427222222221</v>
      </c>
      <c r="AB875" s="5" t="str">
        <f t="shared" si="297"/>
        <v>INV13365</v>
      </c>
      <c r="AC875" s="5" t="str">
        <f>IFERROR(VLOOKUP(D875,CAARStatus!$A$2:$AA$1600,22,FALSE),"Not invoiced")</f>
        <v>Paid</v>
      </c>
      <c r="AD875" s="11">
        <f>IF(AC875="Paid",IFERROR(VLOOKUP(D875,CAARStatus!$A$2:$AA$1600,6,FALSE),"Pending"),"Pending")</f>
        <v>45944</v>
      </c>
      <c r="AE875" s="5" t="str">
        <f t="shared" si="298"/>
        <v>7623</v>
      </c>
      <c r="AF875" s="5" t="str">
        <f t="shared" si="299"/>
        <v>Hyperflo</v>
      </c>
      <c r="AG875" s="5" t="str">
        <f t="shared" si="300"/>
        <v>CAD</v>
      </c>
      <c r="AH875" s="5">
        <f t="shared" si="301"/>
        <v>2894.78</v>
      </c>
      <c r="AI875" s="12">
        <f>IF(L875-N875=0,VLOOKUP(U875,rate!A$4:B$15,2,FALSE)*AH875,IF(AG875="USD",O875,AH875*Y875))</f>
        <v>2099.9261713580067</v>
      </c>
      <c r="AJ875" s="13">
        <f t="shared" si="302"/>
        <v>0.72541822568831016</v>
      </c>
      <c r="AK875" s="13">
        <f>-IF(AG875="CAD",IFERROR(VLOOKUP(D875,CAARStatus!$A$1:$Y$1600,16,FALSE),0),0)</f>
        <v>-2894.78</v>
      </c>
      <c r="AL875" s="13">
        <f>-IF(AG875="USD",IFERROR(VLOOKUP(D875,CAARStatus!$A$1:$Y$1600,11,FALSE),0),0)</f>
        <v>0</v>
      </c>
      <c r="AM875" s="22">
        <f t="shared" si="303"/>
        <v>0</v>
      </c>
      <c r="AN875" s="12" t="str">
        <f t="shared" si="304"/>
        <v/>
      </c>
      <c r="AO875" s="12" t="str">
        <f t="shared" si="305"/>
        <v>Yes</v>
      </c>
      <c r="AP875" t="str">
        <f t="shared" si="290"/>
        <v>Yes</v>
      </c>
      <c r="AQ875" t="str">
        <f>IFERROR(VLOOKUP(Z875,InvBal!$L$4:$P$600,4,FALSE),"Pend")</f>
        <v>Pend</v>
      </c>
      <c r="AR875" t="str">
        <f>IFERROR(VLOOKUP(D875,Manual!$C$1:$E$22,2,FALSE),"Pend")</f>
        <v>Pend</v>
      </c>
      <c r="AS875" t="str">
        <f t="shared" si="306"/>
        <v>Yes</v>
      </c>
      <c r="AT875" t="str">
        <f t="shared" si="307"/>
        <v>Yes</v>
      </c>
      <c r="AU875" s="51" t="str">
        <f t="shared" si="308"/>
        <v>Yes</v>
      </c>
      <c r="AV875" s="12">
        <f>IFERROR(VLOOKUP(D875,'Receivable Invoice Detail'!$S$1:$U$3014,3,FALSE),0)</f>
        <v>0</v>
      </c>
      <c r="AW875" s="12">
        <f t="shared" si="309"/>
        <v>2099.9261713580067</v>
      </c>
    </row>
    <row r="876" spans="1:49" x14ac:dyDescent="0.25">
      <c r="A876" s="2">
        <v>1</v>
      </c>
      <c r="B876" s="2" t="s">
        <v>800</v>
      </c>
      <c r="C876" s="2" t="s">
        <v>801</v>
      </c>
      <c r="D876" s="2" t="s">
        <v>3104</v>
      </c>
      <c r="E876" s="2" t="s">
        <v>149</v>
      </c>
      <c r="F876" s="3">
        <v>45889.463703703703</v>
      </c>
      <c r="G876" s="3">
        <v>45890.700127314813</v>
      </c>
      <c r="H876" s="4">
        <v>45891</v>
      </c>
      <c r="I876" s="2" t="s">
        <v>21</v>
      </c>
      <c r="J876" s="2" t="s">
        <v>51</v>
      </c>
      <c r="K876" s="2">
        <v>0.72068809734056682</v>
      </c>
      <c r="L876" s="2">
        <v>3660.529443645501</v>
      </c>
      <c r="M876" s="2">
        <v>0</v>
      </c>
      <c r="N876" s="2">
        <v>2638.1</v>
      </c>
      <c r="O876" s="2">
        <v>2638.1</v>
      </c>
      <c r="P876" s="2"/>
      <c r="Q876" s="2">
        <v>2638.1</v>
      </c>
      <c r="R876" s="2" t="s">
        <v>44</v>
      </c>
      <c r="S876" s="2"/>
      <c r="T876" s="2">
        <f t="shared" si="291"/>
        <v>1</v>
      </c>
      <c r="U876" s="18">
        <f t="shared" si="292"/>
        <v>8</v>
      </c>
      <c r="V876" s="18">
        <f t="shared" si="293"/>
        <v>2025</v>
      </c>
      <c r="W876" s="18">
        <f t="shared" si="294"/>
        <v>11</v>
      </c>
      <c r="X876" s="18">
        <f t="shared" si="295"/>
        <v>2025</v>
      </c>
      <c r="Y876" s="2">
        <f t="shared" si="288"/>
        <v>0.72068809734056682</v>
      </c>
      <c r="Z876" t="str">
        <f t="shared" si="289"/>
        <v>SO17710</v>
      </c>
      <c r="AA876" s="11">
        <f t="shared" si="296"/>
        <v>45889.463703703703</v>
      </c>
      <c r="AB876" s="5" t="str">
        <f t="shared" si="297"/>
        <v>INV13413</v>
      </c>
      <c r="AC876" s="5" t="str">
        <f>IFERROR(VLOOKUP(D876,CAARStatus!$A$2:$AA$1600,22,FALSE),"Not invoiced")</f>
        <v>Paid</v>
      </c>
      <c r="AD876" s="11">
        <f>IF(AC876="Paid",IFERROR(VLOOKUP(D876,CAARStatus!$A$2:$AA$1600,6,FALSE),"Pending"),"Pending")</f>
        <v>45965</v>
      </c>
      <c r="AE876" s="5" t="str">
        <f t="shared" si="298"/>
        <v>PO-0020757</v>
      </c>
      <c r="AF876" s="5" t="str">
        <f t="shared" si="299"/>
        <v>MAB Equipment Company Inc.</v>
      </c>
      <c r="AG876" s="5" t="str">
        <f t="shared" si="300"/>
        <v>USD</v>
      </c>
      <c r="AH876" s="5">
        <f t="shared" si="301"/>
        <v>3660.529443645501</v>
      </c>
      <c r="AI876" s="12">
        <f>IF(L876-N876=0,VLOOKUP(U876,rate!A$4:B$15,2,FALSE)*AH876,IF(AG876="USD",O876,AH876*Y876))</f>
        <v>2638.1</v>
      </c>
      <c r="AJ876" s="13">
        <f t="shared" si="302"/>
        <v>0.72068809734056682</v>
      </c>
      <c r="AK876" s="13">
        <f>-IF(AG876="CAD",IFERROR(VLOOKUP(D876,CAARStatus!$A$1:$Y$1600,16,FALSE),0),0)</f>
        <v>0</v>
      </c>
      <c r="AL876" s="13">
        <f>-IF(AG876="USD",IFERROR(VLOOKUP(D876,CAARStatus!$A$1:$Y$1600,11,FALSE),0),0)</f>
        <v>-2638.1</v>
      </c>
      <c r="AM876" s="22" t="str">
        <f t="shared" si="303"/>
        <v/>
      </c>
      <c r="AN876" s="12">
        <f t="shared" si="304"/>
        <v>0</v>
      </c>
      <c r="AO876" s="12" t="str">
        <f t="shared" si="305"/>
        <v>Yes</v>
      </c>
      <c r="AP876" t="str">
        <f t="shared" si="290"/>
        <v>Yes</v>
      </c>
      <c r="AQ876" t="str">
        <f>IFERROR(VLOOKUP(Z876,InvBal!$L$4:$P$600,4,FALSE),"Pend")</f>
        <v>Pend</v>
      </c>
      <c r="AR876" t="str">
        <f>IFERROR(VLOOKUP(D876,Manual!$C$1:$E$22,2,FALSE),"Pend")</f>
        <v>Pend</v>
      </c>
      <c r="AS876" t="str">
        <f t="shared" si="306"/>
        <v>Yes</v>
      </c>
      <c r="AT876" t="str">
        <f t="shared" si="307"/>
        <v>Yes</v>
      </c>
      <c r="AU876" s="51" t="str">
        <f t="shared" si="308"/>
        <v>Yes</v>
      </c>
      <c r="AV876" s="12">
        <f>IFERROR(VLOOKUP(D876,'Receivable Invoice Detail'!$S$1:$U$3014,3,FALSE),0)</f>
        <v>644</v>
      </c>
      <c r="AW876" s="12">
        <f t="shared" si="309"/>
        <v>1994.1</v>
      </c>
    </row>
    <row r="877" spans="1:49" ht="45" x14ac:dyDescent="0.25">
      <c r="A877" s="2">
        <v>0</v>
      </c>
      <c r="B877" s="2" t="s">
        <v>765</v>
      </c>
      <c r="C877" s="2" t="s">
        <v>766</v>
      </c>
      <c r="D877" s="2"/>
      <c r="E877" s="2" t="s">
        <v>767</v>
      </c>
      <c r="F877" s="3">
        <v>45889.589143518519</v>
      </c>
      <c r="G877" s="3">
        <v>45896.438831018517</v>
      </c>
      <c r="H877" s="4">
        <v>46015</v>
      </c>
      <c r="I877" s="2" t="s">
        <v>657</v>
      </c>
      <c r="J877" s="2" t="s">
        <v>51</v>
      </c>
      <c r="K877" s="2">
        <v>0.72297969056592093</v>
      </c>
      <c r="L877" s="2">
        <v>61475.032535436767</v>
      </c>
      <c r="M877" s="2">
        <v>0</v>
      </c>
      <c r="N877" s="2">
        <v>44445.2</v>
      </c>
      <c r="O877" s="2">
        <v>44445.2</v>
      </c>
      <c r="P877" s="2"/>
      <c r="Q877" s="2">
        <v>44445.2</v>
      </c>
      <c r="R877" s="2" t="s">
        <v>23</v>
      </c>
      <c r="S877" s="2"/>
      <c r="T877" s="2">
        <f t="shared" si="291"/>
        <v>0</v>
      </c>
      <c r="U877" s="18">
        <f t="shared" si="292"/>
        <v>8</v>
      </c>
      <c r="V877" s="18">
        <f t="shared" si="293"/>
        <v>2025</v>
      </c>
      <c r="W877" s="18" t="str">
        <f t="shared" si="294"/>
        <v/>
      </c>
      <c r="X877" s="18" t="str">
        <f t="shared" si="295"/>
        <v/>
      </c>
      <c r="Y877" s="2">
        <f t="shared" si="288"/>
        <v>0.72297969056592093</v>
      </c>
      <c r="Z877" t="str">
        <f t="shared" si="289"/>
        <v>SO17712</v>
      </c>
      <c r="AA877" s="11">
        <f t="shared" si="296"/>
        <v>45889.589143518519</v>
      </c>
      <c r="AB877" s="5" t="str">
        <f t="shared" si="297"/>
        <v>No Inv</v>
      </c>
      <c r="AC877" s="5" t="str">
        <f>IFERROR(VLOOKUP(D877,CAARStatus!$A$2:$AA$1600,22,FALSE),"Not invoiced")</f>
        <v>Not invoiced</v>
      </c>
      <c r="AD877" s="11" t="str">
        <f>IF(AC877="Paid",IFERROR(VLOOKUP(D877,CAARStatus!$A$2:$AA$1600,6,FALSE),"Pending"),"Pending")</f>
        <v>Pending</v>
      </c>
      <c r="AE877" s="5" t="str">
        <f t="shared" si="298"/>
        <v>5397796</v>
      </c>
      <c r="AF877" s="5" t="str">
        <f t="shared" si="299"/>
        <v>Corrosion Fluid Products Corp., Corrosion Fluid Products Corp. - Chicago</v>
      </c>
      <c r="AG877" s="5" t="str">
        <f t="shared" si="300"/>
        <v>USD</v>
      </c>
      <c r="AH877" s="5">
        <f t="shared" si="301"/>
        <v>61475.032535436767</v>
      </c>
      <c r="AI877" s="12">
        <f>IF(L877-N877=0,VLOOKUP(U877,rate!A$4:B$15,2,FALSE)*AH877,IF(AG877="USD",O877,AH877*Y877))</f>
        <v>44445.2</v>
      </c>
      <c r="AJ877" s="13">
        <f t="shared" si="302"/>
        <v>0.72297969056592093</v>
      </c>
      <c r="AK877" s="13">
        <f>-IF(AG877="CAD",IFERROR(VLOOKUP(D877,CAARStatus!$A$1:$Y$1600,16,FALSE),0),0)</f>
        <v>0</v>
      </c>
      <c r="AL877" s="13">
        <f>-IF(AG877="USD",IFERROR(VLOOKUP(D877,CAARStatus!$A$1:$Y$1600,11,FALSE),0),0)</f>
        <v>0</v>
      </c>
      <c r="AM877" s="22" t="str">
        <f t="shared" si="303"/>
        <v/>
      </c>
      <c r="AN877" s="12">
        <f t="shared" si="304"/>
        <v>44445.2</v>
      </c>
      <c r="AO877" s="12" t="str">
        <f t="shared" si="305"/>
        <v>Pend</v>
      </c>
      <c r="AP877" t="str">
        <f t="shared" si="290"/>
        <v>Pend</v>
      </c>
      <c r="AQ877" t="str">
        <f>IFERROR(VLOOKUP(Z877,InvBal!$L$4:$P$600,4,FALSE),"Pend")</f>
        <v>Pend</v>
      </c>
      <c r="AR877" t="str">
        <f>IFERROR(VLOOKUP(D877,Manual!$C$1:$E$22,2,FALSE),"Pend")</f>
        <v>Pend</v>
      </c>
      <c r="AS877" t="str">
        <f t="shared" si="306"/>
        <v/>
      </c>
      <c r="AT877" t="str">
        <f t="shared" si="307"/>
        <v/>
      </c>
      <c r="AU877" s="51" t="str">
        <f t="shared" si="308"/>
        <v/>
      </c>
      <c r="AV877" s="12">
        <f>IFERROR(VLOOKUP(D877,'Receivable Invoice Detail'!$S$1:$U$3014,3,FALSE),0)</f>
        <v>0</v>
      </c>
      <c r="AW877" s="12">
        <f t="shared" si="309"/>
        <v>0</v>
      </c>
    </row>
    <row r="878" spans="1:49" ht="30" x14ac:dyDescent="0.25">
      <c r="A878" s="2">
        <v>1</v>
      </c>
      <c r="B878" s="2" t="s">
        <v>802</v>
      </c>
      <c r="C878" s="2" t="s">
        <v>803</v>
      </c>
      <c r="D878" s="2" t="s">
        <v>3103</v>
      </c>
      <c r="E878" s="2" t="s">
        <v>98</v>
      </c>
      <c r="F878" s="3">
        <v>45889.597013888888</v>
      </c>
      <c r="G878" s="3">
        <v>45889.600914351853</v>
      </c>
      <c r="H878" s="4">
        <v>45910</v>
      </c>
      <c r="I878" s="2" t="s">
        <v>36</v>
      </c>
      <c r="J878" s="2" t="s">
        <v>22</v>
      </c>
      <c r="K878" s="2">
        <v>1</v>
      </c>
      <c r="L878" s="2">
        <v>2081.71</v>
      </c>
      <c r="M878" s="2">
        <v>0</v>
      </c>
      <c r="N878" s="2">
        <v>1500.263619114831</v>
      </c>
      <c r="O878" s="2">
        <v>1842.22</v>
      </c>
      <c r="P878" s="2">
        <v>239.49</v>
      </c>
      <c r="Q878" s="2">
        <v>2081.71</v>
      </c>
      <c r="R878" s="2" t="s">
        <v>44</v>
      </c>
      <c r="S878" s="2"/>
      <c r="T878" s="2">
        <f t="shared" si="291"/>
        <v>1</v>
      </c>
      <c r="U878" s="18">
        <f t="shared" si="292"/>
        <v>8</v>
      </c>
      <c r="V878" s="18">
        <f t="shared" si="293"/>
        <v>2025</v>
      </c>
      <c r="W878" s="18">
        <f t="shared" si="294"/>
        <v>10</v>
      </c>
      <c r="X878" s="18">
        <f t="shared" si="295"/>
        <v>2025</v>
      </c>
      <c r="Y878" s="2">
        <f t="shared" si="288"/>
        <v>0.72068809734056671</v>
      </c>
      <c r="Z878" t="str">
        <f t="shared" si="289"/>
        <v>SO17714</v>
      </c>
      <c r="AA878" s="11">
        <f t="shared" si="296"/>
        <v>45889.597013888888</v>
      </c>
      <c r="AB878" s="5" t="str">
        <f t="shared" si="297"/>
        <v>INV13387</v>
      </c>
      <c r="AC878" s="5" t="str">
        <f>IFERROR(VLOOKUP(D878,CAARStatus!$A$2:$AA$1600,22,FALSE),"Not invoiced")</f>
        <v>Paid</v>
      </c>
      <c r="AD878" s="11">
        <f>IF(AC878="Paid",IFERROR(VLOOKUP(D878,CAARStatus!$A$2:$AA$1600,6,FALSE),"Pending"),"Pending")</f>
        <v>45938</v>
      </c>
      <c r="AE878" s="5" t="str">
        <f t="shared" si="298"/>
        <v>PO-008196</v>
      </c>
      <c r="AF878" s="5" t="str">
        <f t="shared" si="299"/>
        <v>Sling-Choker Manufacturing - Timmins</v>
      </c>
      <c r="AG878" s="5" t="str">
        <f t="shared" si="300"/>
        <v>CAD</v>
      </c>
      <c r="AH878" s="5">
        <f t="shared" si="301"/>
        <v>1842.22</v>
      </c>
      <c r="AI878" s="12">
        <f>IF(L878-N878=0,VLOOKUP(U878,rate!A$4:B$15,2,FALSE)*AH878,IF(AG878="USD",O878,AH878*Y878))</f>
        <v>1327.6660266827389</v>
      </c>
      <c r="AJ878" s="13">
        <f t="shared" si="302"/>
        <v>0.72068809734056671</v>
      </c>
      <c r="AK878" s="13">
        <f>-IF(AG878="CAD",IFERROR(VLOOKUP(D878,CAARStatus!$A$1:$Y$1600,16,FALSE),0),0)</f>
        <v>-1842.22</v>
      </c>
      <c r="AL878" s="13">
        <f>-IF(AG878="USD",IFERROR(VLOOKUP(D878,CAARStatus!$A$1:$Y$1600,11,FALSE),0),0)</f>
        <v>0</v>
      </c>
      <c r="AM878" s="22">
        <f t="shared" si="303"/>
        <v>0</v>
      </c>
      <c r="AN878" s="12" t="str">
        <f t="shared" si="304"/>
        <v/>
      </c>
      <c r="AO878" s="12" t="str">
        <f t="shared" si="305"/>
        <v>Yes</v>
      </c>
      <c r="AP878" t="str">
        <f t="shared" si="290"/>
        <v>Yes</v>
      </c>
      <c r="AQ878" t="str">
        <f>IFERROR(VLOOKUP(Z878,InvBal!$L$4:$P$600,4,FALSE),"Pend")</f>
        <v>Pend</v>
      </c>
      <c r="AR878" t="str">
        <f>IFERROR(VLOOKUP(D878,Manual!$C$1:$E$22,2,FALSE),"Pend")</f>
        <v>Pend</v>
      </c>
      <c r="AS878" t="str">
        <f t="shared" si="306"/>
        <v>Yes</v>
      </c>
      <c r="AT878" t="str">
        <f t="shared" si="307"/>
        <v>Yes</v>
      </c>
      <c r="AU878" s="51" t="str">
        <f t="shared" si="308"/>
        <v>Yes</v>
      </c>
      <c r="AV878" s="12">
        <f>IFERROR(VLOOKUP(D878,'Receivable Invoice Detail'!$S$1:$U$3014,3,FALSE),0)</f>
        <v>0</v>
      </c>
      <c r="AW878" s="12">
        <f t="shared" si="309"/>
        <v>1327.6660266827389</v>
      </c>
    </row>
    <row r="879" spans="1:49" x14ac:dyDescent="0.25">
      <c r="A879" s="2">
        <v>1</v>
      </c>
      <c r="B879" s="2" t="s">
        <v>797</v>
      </c>
      <c r="C879" s="2" t="s">
        <v>798</v>
      </c>
      <c r="D879" s="2" t="s">
        <v>3105</v>
      </c>
      <c r="E879" s="2" t="s">
        <v>799</v>
      </c>
      <c r="F879" s="3">
        <v>45889.624583333331</v>
      </c>
      <c r="G879" s="3">
        <v>45890.785937499997</v>
      </c>
      <c r="H879" s="4">
        <v>45924</v>
      </c>
      <c r="I879" s="2" t="s">
        <v>36</v>
      </c>
      <c r="J879" s="2" t="s">
        <v>22</v>
      </c>
      <c r="K879" s="2">
        <v>1</v>
      </c>
      <c r="L879" s="2">
        <v>440.01</v>
      </c>
      <c r="M879" s="2">
        <v>0</v>
      </c>
      <c r="N879" s="2">
        <v>316.53202099728941</v>
      </c>
      <c r="O879" s="2">
        <v>389.39</v>
      </c>
      <c r="P879" s="2">
        <v>50.62</v>
      </c>
      <c r="Q879" s="2">
        <v>440.01</v>
      </c>
      <c r="R879" s="2" t="s">
        <v>44</v>
      </c>
      <c r="S879" s="2"/>
      <c r="T879" s="2">
        <f t="shared" si="291"/>
        <v>1</v>
      </c>
      <c r="U879" s="18">
        <f t="shared" si="292"/>
        <v>8</v>
      </c>
      <c r="V879" s="18">
        <f t="shared" si="293"/>
        <v>2025</v>
      </c>
      <c r="W879" s="18">
        <f t="shared" si="294"/>
        <v>10</v>
      </c>
      <c r="X879" s="18">
        <f t="shared" si="295"/>
        <v>2025</v>
      </c>
      <c r="Y879" s="2">
        <f t="shared" si="288"/>
        <v>0.71937460738912617</v>
      </c>
      <c r="Z879" t="str">
        <f t="shared" si="289"/>
        <v>SO17715</v>
      </c>
      <c r="AA879" s="11">
        <f t="shared" si="296"/>
        <v>45889.624583333331</v>
      </c>
      <c r="AB879" s="5" t="str">
        <f t="shared" si="297"/>
        <v>INV13385</v>
      </c>
      <c r="AC879" s="5" t="str">
        <f>IFERROR(VLOOKUP(D879,CAARStatus!$A$2:$AA$1600,22,FALSE),"Not invoiced")</f>
        <v>Paid</v>
      </c>
      <c r="AD879" s="11">
        <f>IF(AC879="Paid",IFERROR(VLOOKUP(D879,CAARStatus!$A$2:$AA$1600,6,FALSE),"Pending"),"Pending")</f>
        <v>45940</v>
      </c>
      <c r="AE879" s="5" t="str">
        <f t="shared" si="298"/>
        <v>4850011463</v>
      </c>
      <c r="AF879" s="5" t="str">
        <f t="shared" si="299"/>
        <v>Dome Mine Ltd</v>
      </c>
      <c r="AG879" s="5" t="str">
        <f t="shared" si="300"/>
        <v>CAD</v>
      </c>
      <c r="AH879" s="5">
        <f t="shared" si="301"/>
        <v>389.39</v>
      </c>
      <c r="AI879" s="12">
        <f>IF(L879-N879=0,VLOOKUP(U879,rate!A$4:B$15,2,FALSE)*AH879,IF(AG879="USD",O879,AH879*Y879))</f>
        <v>280.11727837125181</v>
      </c>
      <c r="AJ879" s="13">
        <f t="shared" si="302"/>
        <v>0.71937460738912617</v>
      </c>
      <c r="AK879" s="13">
        <f>-IF(AG879="CAD",IFERROR(VLOOKUP(D879,CAARStatus!$A$1:$Y$1600,16,FALSE),0),0)</f>
        <v>-389.39</v>
      </c>
      <c r="AL879" s="13">
        <f>-IF(AG879="USD",IFERROR(VLOOKUP(D879,CAARStatus!$A$1:$Y$1600,11,FALSE),0),0)</f>
        <v>0</v>
      </c>
      <c r="AM879" s="22">
        <f t="shared" si="303"/>
        <v>0</v>
      </c>
      <c r="AN879" s="12" t="str">
        <f t="shared" si="304"/>
        <v/>
      </c>
      <c r="AO879" s="12" t="str">
        <f t="shared" si="305"/>
        <v>Yes</v>
      </c>
      <c r="AP879" t="str">
        <f t="shared" si="290"/>
        <v>Yes</v>
      </c>
      <c r="AQ879" t="str">
        <f>IFERROR(VLOOKUP(Z879,InvBal!$L$4:$P$600,4,FALSE),"Pend")</f>
        <v>Pend</v>
      </c>
      <c r="AR879" t="str">
        <f>IFERROR(VLOOKUP(D879,Manual!$C$1:$E$22,2,FALSE),"Pend")</f>
        <v>Pend</v>
      </c>
      <c r="AS879" t="str">
        <f t="shared" si="306"/>
        <v>Yes</v>
      </c>
      <c r="AT879" t="str">
        <f t="shared" si="307"/>
        <v>Yes</v>
      </c>
      <c r="AU879" s="51" t="str">
        <f t="shared" si="308"/>
        <v>Yes</v>
      </c>
      <c r="AV879" s="12">
        <f>IFERROR(VLOOKUP(D879,'Receivable Invoice Detail'!$S$1:$U$3014,3,FALSE),0)</f>
        <v>0</v>
      </c>
      <c r="AW879" s="12">
        <f t="shared" si="309"/>
        <v>280.11727837125181</v>
      </c>
    </row>
    <row r="880" spans="1:49" ht="30" x14ac:dyDescent="0.25">
      <c r="A880" s="2">
        <v>1</v>
      </c>
      <c r="B880" s="2" t="s">
        <v>747</v>
      </c>
      <c r="C880" s="2" t="s">
        <v>748</v>
      </c>
      <c r="D880" s="2" t="s">
        <v>5970</v>
      </c>
      <c r="E880" s="2" t="s">
        <v>159</v>
      </c>
      <c r="F880" s="3">
        <v>45889.662812499999</v>
      </c>
      <c r="G880" s="3">
        <v>45897.594641203701</v>
      </c>
      <c r="H880" s="4">
        <v>45994</v>
      </c>
      <c r="I880" s="2" t="s">
        <v>180</v>
      </c>
      <c r="J880" s="2" t="s">
        <v>51</v>
      </c>
      <c r="K880" s="2">
        <v>0.72328577573707276</v>
      </c>
      <c r="L880" s="2">
        <v>48094.406342432107</v>
      </c>
      <c r="M880" s="2">
        <v>0</v>
      </c>
      <c r="N880" s="2">
        <v>34786</v>
      </c>
      <c r="O880" s="2">
        <v>34786</v>
      </c>
      <c r="P880" s="2"/>
      <c r="Q880" s="2">
        <v>34786</v>
      </c>
      <c r="R880" s="2" t="s">
        <v>44</v>
      </c>
      <c r="S880" s="2"/>
      <c r="T880" s="2">
        <f t="shared" si="291"/>
        <v>1</v>
      </c>
      <c r="U880" s="18">
        <f t="shared" si="292"/>
        <v>8</v>
      </c>
      <c r="V880" s="18">
        <f t="shared" si="293"/>
        <v>2025</v>
      </c>
      <c r="W880" s="18" t="str">
        <f t="shared" si="294"/>
        <v/>
      </c>
      <c r="X880" s="18" t="str">
        <f t="shared" si="295"/>
        <v/>
      </c>
      <c r="Y880" s="2">
        <f t="shared" si="288"/>
        <v>0.72328577573707276</v>
      </c>
      <c r="Z880" t="str">
        <f t="shared" si="289"/>
        <v>SO17718</v>
      </c>
      <c r="AA880" s="11">
        <f t="shared" si="296"/>
        <v>45889.662812499999</v>
      </c>
      <c r="AB880" s="5" t="str">
        <f t="shared" si="297"/>
        <v>INV13739</v>
      </c>
      <c r="AC880" s="5" t="str">
        <f>IFERROR(VLOOKUP(D880,CAARStatus!$A$2:$AA$1600,22,FALSE),"Not invoiced")</f>
        <v>Approved</v>
      </c>
      <c r="AD880" s="11" t="str">
        <f>IF(AC880="Paid",IFERROR(VLOOKUP(D880,CAARStatus!$A$2:$AA$1600,6,FALSE),"Pending"),"Pending")</f>
        <v>Pending</v>
      </c>
      <c r="AE880" s="5" t="str">
        <f t="shared" si="298"/>
        <v>4501270309</v>
      </c>
      <c r="AF880" s="5" t="str">
        <f t="shared" si="299"/>
        <v>Barrick Gold - Pueblo Viejo Dominicana Corporation</v>
      </c>
      <c r="AG880" s="5" t="str">
        <f t="shared" si="300"/>
        <v>USD</v>
      </c>
      <c r="AH880" s="5">
        <f t="shared" si="301"/>
        <v>48094.406342432107</v>
      </c>
      <c r="AI880" s="12">
        <f>IF(L880-N880=0,VLOOKUP(U880,rate!A$4:B$15,2,FALSE)*AH880,IF(AG880="USD",O880,AH880*Y880))</f>
        <v>34786</v>
      </c>
      <c r="AJ880" s="13">
        <f t="shared" si="302"/>
        <v>0.72328577573707276</v>
      </c>
      <c r="AK880" s="13">
        <f>-IF(AG880="CAD",IFERROR(VLOOKUP(D880,CAARStatus!$A$1:$Y$1600,16,FALSE),0),0)</f>
        <v>0</v>
      </c>
      <c r="AL880" s="13">
        <f>-IF(AG880="USD",IFERROR(VLOOKUP(D880,CAARStatus!$A$1:$Y$1600,11,FALSE),0),0)</f>
        <v>-34786</v>
      </c>
      <c r="AM880" s="22" t="str">
        <f t="shared" si="303"/>
        <v/>
      </c>
      <c r="AN880" s="12">
        <f t="shared" si="304"/>
        <v>0</v>
      </c>
      <c r="AO880" s="12" t="str">
        <f t="shared" si="305"/>
        <v>Pend</v>
      </c>
      <c r="AP880" t="str">
        <f t="shared" si="290"/>
        <v>Pend</v>
      </c>
      <c r="AQ880" t="str">
        <f>IFERROR(VLOOKUP(Z880,InvBal!$L$4:$P$600,4,FALSE),"Pend")</f>
        <v>Pend</v>
      </c>
      <c r="AR880" t="str">
        <f>IFERROR(VLOOKUP(D880,Manual!$C$1:$E$22,2,FALSE),"Pend")</f>
        <v>Pend</v>
      </c>
      <c r="AS880" t="str">
        <f t="shared" si="306"/>
        <v/>
      </c>
      <c r="AT880" t="str">
        <f t="shared" si="307"/>
        <v>Yes</v>
      </c>
      <c r="AU880" s="51" t="str">
        <f t="shared" si="308"/>
        <v/>
      </c>
      <c r="AV880" s="12">
        <f>IFERROR(VLOOKUP(D880,'Receivable Invoice Detail'!$S$1:$U$3014,3,FALSE),0)</f>
        <v>0</v>
      </c>
      <c r="AW880" s="12">
        <f t="shared" si="309"/>
        <v>0</v>
      </c>
    </row>
    <row r="881" spans="1:49" ht="30" x14ac:dyDescent="0.25">
      <c r="A881" s="2">
        <v>1</v>
      </c>
      <c r="B881" s="2" t="s">
        <v>789</v>
      </c>
      <c r="C881" s="2" t="s">
        <v>790</v>
      </c>
      <c r="D881" s="2" t="s">
        <v>3112</v>
      </c>
      <c r="E881" s="2" t="s">
        <v>26</v>
      </c>
      <c r="F881" s="3">
        <v>45890.41615740741</v>
      </c>
      <c r="G881" s="3">
        <v>45891.70585648148</v>
      </c>
      <c r="H881" s="4">
        <v>45898</v>
      </c>
      <c r="I881" s="2" t="s">
        <v>21</v>
      </c>
      <c r="J881" s="2" t="s">
        <v>22</v>
      </c>
      <c r="K881" s="2">
        <v>1</v>
      </c>
      <c r="L881" s="2">
        <v>598.37</v>
      </c>
      <c r="M881" s="2">
        <v>0</v>
      </c>
      <c r="N881" s="2">
        <v>432.20949094626451</v>
      </c>
      <c r="O881" s="2">
        <v>569.88</v>
      </c>
      <c r="P881" s="2">
        <v>28.49</v>
      </c>
      <c r="Q881" s="2">
        <v>598.37</v>
      </c>
      <c r="R881" s="2" t="s">
        <v>44</v>
      </c>
      <c r="S881" s="2"/>
      <c r="T881" s="2">
        <f t="shared" si="291"/>
        <v>1</v>
      </c>
      <c r="U881" s="18">
        <f t="shared" si="292"/>
        <v>8</v>
      </c>
      <c r="V881" s="18">
        <f t="shared" si="293"/>
        <v>2025</v>
      </c>
      <c r="W881" s="18">
        <f t="shared" si="294"/>
        <v>10</v>
      </c>
      <c r="X881" s="18">
        <f t="shared" si="295"/>
        <v>2025</v>
      </c>
      <c r="Y881" s="2">
        <f t="shared" si="288"/>
        <v>0.72231143096456119</v>
      </c>
      <c r="Z881" t="str">
        <f t="shared" si="289"/>
        <v>SO17719</v>
      </c>
      <c r="AA881" s="11">
        <f t="shared" si="296"/>
        <v>45890.41615740741</v>
      </c>
      <c r="AB881" s="5" t="str">
        <f t="shared" si="297"/>
        <v>INV13342</v>
      </c>
      <c r="AC881" s="5" t="str">
        <f>IFERROR(VLOOKUP(D881,CAARStatus!$A$2:$AA$1600,22,FALSE),"Not invoiced")</f>
        <v>Paid</v>
      </c>
      <c r="AD881" s="11">
        <f>IF(AC881="Paid",IFERROR(VLOOKUP(D881,CAARStatus!$A$2:$AA$1600,6,FALSE),"Pending"),"Pending")</f>
        <v>45953</v>
      </c>
      <c r="AE881" s="5" t="str">
        <f t="shared" si="298"/>
        <v>4500610655</v>
      </c>
      <c r="AF881" s="5" t="str">
        <f t="shared" si="299"/>
        <v>Resolute Forest Products - Clermont</v>
      </c>
      <c r="AG881" s="5" t="str">
        <f t="shared" si="300"/>
        <v>CAD</v>
      </c>
      <c r="AH881" s="5">
        <f t="shared" si="301"/>
        <v>569.88</v>
      </c>
      <c r="AI881" s="12">
        <f>IF(L881-N881=0,VLOOKUP(U881,rate!A$4:B$15,2,FALSE)*AH881,IF(AG881="USD",O881,AH881*Y881))</f>
        <v>411.63083827808413</v>
      </c>
      <c r="AJ881" s="13">
        <f t="shared" si="302"/>
        <v>0.72231143096456119</v>
      </c>
      <c r="AK881" s="13">
        <f>-IF(AG881="CAD",IFERROR(VLOOKUP(D881,CAARStatus!$A$1:$Y$1600,16,FALSE),0),0)</f>
        <v>-569.88</v>
      </c>
      <c r="AL881" s="13">
        <f>-IF(AG881="USD",IFERROR(VLOOKUP(D881,CAARStatus!$A$1:$Y$1600,11,FALSE),0),0)</f>
        <v>0</v>
      </c>
      <c r="AM881" s="22">
        <f t="shared" si="303"/>
        <v>0</v>
      </c>
      <c r="AN881" s="12" t="str">
        <f t="shared" si="304"/>
        <v/>
      </c>
      <c r="AO881" s="12" t="str">
        <f t="shared" si="305"/>
        <v>Yes</v>
      </c>
      <c r="AP881" t="str">
        <f t="shared" si="290"/>
        <v>Yes</v>
      </c>
      <c r="AQ881" t="str">
        <f>IFERROR(VLOOKUP(Z881,InvBal!$L$4:$P$600,4,FALSE),"Pend")</f>
        <v>Pend</v>
      </c>
      <c r="AR881" t="str">
        <f>IFERROR(VLOOKUP(D881,Manual!$C$1:$E$22,2,FALSE),"Pend")</f>
        <v>Pend</v>
      </c>
      <c r="AS881" t="str">
        <f t="shared" si="306"/>
        <v>Yes</v>
      </c>
      <c r="AT881" t="str">
        <f t="shared" si="307"/>
        <v>Yes</v>
      </c>
      <c r="AU881" s="51" t="str">
        <f t="shared" si="308"/>
        <v>Yes</v>
      </c>
      <c r="AV881" s="12">
        <f>IFERROR(VLOOKUP(D881,'Receivable Invoice Detail'!$S$1:$U$3014,3,FALSE),0)</f>
        <v>0</v>
      </c>
      <c r="AW881" s="12">
        <f t="shared" si="309"/>
        <v>411.63083827808413</v>
      </c>
    </row>
    <row r="882" spans="1:49" x14ac:dyDescent="0.25">
      <c r="A882" s="2">
        <v>1</v>
      </c>
      <c r="B882" s="2" t="s">
        <v>470</v>
      </c>
      <c r="C882" s="2" t="s">
        <v>471</v>
      </c>
      <c r="D882" s="2" t="s">
        <v>3264</v>
      </c>
      <c r="E882" s="2" t="s">
        <v>472</v>
      </c>
      <c r="F882" s="3">
        <v>45890.512349537043</v>
      </c>
      <c r="G882" s="3">
        <v>45937.511030092603</v>
      </c>
      <c r="H882" s="4">
        <v>45954</v>
      </c>
      <c r="I882" s="2" t="s">
        <v>36</v>
      </c>
      <c r="J882" s="2" t="s">
        <v>22</v>
      </c>
      <c r="K882" s="2">
        <v>1</v>
      </c>
      <c r="L882" s="2">
        <v>267.23</v>
      </c>
      <c r="M882" s="2">
        <v>267.23</v>
      </c>
      <c r="N882" s="2">
        <v>267.23</v>
      </c>
      <c r="O882" s="2">
        <v>256.17</v>
      </c>
      <c r="P882" s="2">
        <v>11.06</v>
      </c>
      <c r="Q882" s="2">
        <v>267.23</v>
      </c>
      <c r="R882" s="2" t="s">
        <v>44</v>
      </c>
      <c r="S882" s="2"/>
      <c r="T882" s="2">
        <f t="shared" si="291"/>
        <v>1</v>
      </c>
      <c r="U882" s="18">
        <f t="shared" si="292"/>
        <v>8</v>
      </c>
      <c r="V882" s="18">
        <f t="shared" si="293"/>
        <v>2025</v>
      </c>
      <c r="W882" s="18">
        <f t="shared" si="294"/>
        <v>12</v>
      </c>
      <c r="X882" s="18">
        <f t="shared" si="295"/>
        <v>2025</v>
      </c>
      <c r="Y882" s="2">
        <f t="shared" si="288"/>
        <v>1</v>
      </c>
      <c r="Z882" t="str">
        <f t="shared" si="289"/>
        <v>SO17721</v>
      </c>
      <c r="AA882" s="11">
        <f t="shared" si="296"/>
        <v>45890.512349537043</v>
      </c>
      <c r="AB882" s="5" t="str">
        <f t="shared" si="297"/>
        <v>INV13606</v>
      </c>
      <c r="AC882" s="5" t="str">
        <f>IFERROR(VLOOKUP(D882,CAARStatus!$A$2:$AA$1600,22,FALSE),"Not invoiced")</f>
        <v>Paid</v>
      </c>
      <c r="AD882" s="11">
        <f>IF(AC882="Paid",IFERROR(VLOOKUP(D882,CAARStatus!$A$2:$AA$1600,6,FALSE),"Pending"),"Pending")</f>
        <v>46001</v>
      </c>
      <c r="AE882" s="5" t="str">
        <f t="shared" si="298"/>
        <v>12160</v>
      </c>
      <c r="AF882" s="5" t="str">
        <f t="shared" si="299"/>
        <v>Les Pompes Diaspec Inc.</v>
      </c>
      <c r="AG882" s="5" t="str">
        <f t="shared" si="300"/>
        <v>CAD</v>
      </c>
      <c r="AH882" s="5">
        <f t="shared" si="301"/>
        <v>256.17</v>
      </c>
      <c r="AI882" s="12">
        <f>IF(L882-N882=0,VLOOKUP(U882,rate!A$4:B$15,2,FALSE)*AH882,IF(AG882="USD",O882,AH882*Y882))</f>
        <v>185.53329540069151</v>
      </c>
      <c r="AJ882" s="13">
        <f t="shared" si="302"/>
        <v>0.72425848226057499</v>
      </c>
      <c r="AK882" s="13">
        <f>-IF(AG882="CAD",IFERROR(VLOOKUP(D882,CAARStatus!$A$1:$Y$1600,16,FALSE),0),0)</f>
        <v>-256.17</v>
      </c>
      <c r="AL882" s="13">
        <f>-IF(AG882="USD",IFERROR(VLOOKUP(D882,CAARStatus!$A$1:$Y$1600,11,FALSE),0),0)</f>
        <v>0</v>
      </c>
      <c r="AM882" s="22">
        <f t="shared" si="303"/>
        <v>0</v>
      </c>
      <c r="AN882" s="12" t="str">
        <f t="shared" si="304"/>
        <v/>
      </c>
      <c r="AO882" s="12" t="str">
        <f t="shared" si="305"/>
        <v>Yes</v>
      </c>
      <c r="AP882" t="str">
        <f t="shared" si="290"/>
        <v>Yes</v>
      </c>
      <c r="AQ882" t="str">
        <f>IFERROR(VLOOKUP(Z882,InvBal!$L$4:$P$600,4,FALSE),"Pend")</f>
        <v>Pend</v>
      </c>
      <c r="AR882" t="str">
        <f>IFERROR(VLOOKUP(D882,Manual!$C$1:$E$22,2,FALSE),"Pend")</f>
        <v>Pend</v>
      </c>
      <c r="AS882" t="str">
        <f t="shared" si="306"/>
        <v>Yes</v>
      </c>
      <c r="AT882" t="str">
        <f t="shared" si="307"/>
        <v>Yes</v>
      </c>
      <c r="AU882" s="51" t="str">
        <f t="shared" si="308"/>
        <v>Yes</v>
      </c>
      <c r="AV882" s="12">
        <f>IFERROR(VLOOKUP(D882,'Receivable Invoice Detail'!$S$1:$U$3014,3,FALSE),0)</f>
        <v>35</v>
      </c>
      <c r="AW882" s="12">
        <f t="shared" si="309"/>
        <v>150.53329540069151</v>
      </c>
    </row>
    <row r="883" spans="1:49" x14ac:dyDescent="0.25">
      <c r="A883" s="2">
        <v>1</v>
      </c>
      <c r="B883" s="2" t="s">
        <v>785</v>
      </c>
      <c r="C883" s="2" t="s">
        <v>786</v>
      </c>
      <c r="D883" s="2" t="s">
        <v>3114</v>
      </c>
      <c r="E883" s="2" t="s">
        <v>146</v>
      </c>
      <c r="F883" s="3">
        <v>45890.565150462957</v>
      </c>
      <c r="G883" s="3">
        <v>45894.479375000003</v>
      </c>
      <c r="H883" s="4">
        <v>45901</v>
      </c>
      <c r="I883" s="2" t="s">
        <v>21</v>
      </c>
      <c r="J883" s="2" t="s">
        <v>22</v>
      </c>
      <c r="K883" s="2">
        <v>1</v>
      </c>
      <c r="L883" s="2">
        <v>112.94</v>
      </c>
      <c r="M883" s="2">
        <v>0</v>
      </c>
      <c r="N883" s="2">
        <v>81.653326252515114</v>
      </c>
      <c r="O883" s="2">
        <v>107.56</v>
      </c>
      <c r="P883" s="2">
        <v>5.38</v>
      </c>
      <c r="Q883" s="2">
        <v>112.94</v>
      </c>
      <c r="R883" s="2" t="s">
        <v>44</v>
      </c>
      <c r="S883" s="2"/>
      <c r="T883" s="2">
        <f t="shared" si="291"/>
        <v>1</v>
      </c>
      <c r="U883" s="18">
        <f t="shared" si="292"/>
        <v>8</v>
      </c>
      <c r="V883" s="18">
        <f t="shared" si="293"/>
        <v>2025</v>
      </c>
      <c r="W883" s="18">
        <f t="shared" si="294"/>
        <v>10</v>
      </c>
      <c r="X883" s="18">
        <f t="shared" si="295"/>
        <v>2025</v>
      </c>
      <c r="Y883" s="2">
        <f t="shared" si="288"/>
        <v>0.72297969056592104</v>
      </c>
      <c r="Z883" t="str">
        <f t="shared" si="289"/>
        <v>SO17723</v>
      </c>
      <c r="AA883" s="11">
        <f t="shared" si="296"/>
        <v>45890.565150462957</v>
      </c>
      <c r="AB883" s="5" t="str">
        <f t="shared" si="297"/>
        <v>INV13350</v>
      </c>
      <c r="AC883" s="5" t="str">
        <f>IFERROR(VLOOKUP(D883,CAARStatus!$A$2:$AA$1600,22,FALSE),"Not invoiced")</f>
        <v>Paid</v>
      </c>
      <c r="AD883" s="11">
        <f>IF(AC883="Paid",IFERROR(VLOOKUP(D883,CAARStatus!$A$2:$AA$1600,6,FALSE),"Pending"),"Pending")</f>
        <v>45944</v>
      </c>
      <c r="AE883" s="5" t="str">
        <f t="shared" si="298"/>
        <v>7578</v>
      </c>
      <c r="AF883" s="5" t="str">
        <f t="shared" si="299"/>
        <v>Hyperflo</v>
      </c>
      <c r="AG883" s="5" t="str">
        <f t="shared" si="300"/>
        <v>CAD</v>
      </c>
      <c r="AH883" s="5">
        <f t="shared" si="301"/>
        <v>107.56</v>
      </c>
      <c r="AI883" s="12">
        <f>IF(L883-N883=0,VLOOKUP(U883,rate!A$4:B$15,2,FALSE)*AH883,IF(AG883="USD",O883,AH883*Y883))</f>
        <v>77.763695517270463</v>
      </c>
      <c r="AJ883" s="13">
        <f t="shared" si="302"/>
        <v>0.72297969056592104</v>
      </c>
      <c r="AK883" s="13">
        <f>-IF(AG883="CAD",IFERROR(VLOOKUP(D883,CAARStatus!$A$1:$Y$1600,16,FALSE),0),0)</f>
        <v>-107.56</v>
      </c>
      <c r="AL883" s="13">
        <f>-IF(AG883="USD",IFERROR(VLOOKUP(D883,CAARStatus!$A$1:$Y$1600,11,FALSE),0),0)</f>
        <v>0</v>
      </c>
      <c r="AM883" s="22">
        <f t="shared" si="303"/>
        <v>0</v>
      </c>
      <c r="AN883" s="12" t="str">
        <f t="shared" si="304"/>
        <v/>
      </c>
      <c r="AO883" s="12" t="str">
        <f t="shared" si="305"/>
        <v>Yes</v>
      </c>
      <c r="AP883" t="str">
        <f t="shared" si="290"/>
        <v>Yes</v>
      </c>
      <c r="AQ883" t="str">
        <f>IFERROR(VLOOKUP(Z883,InvBal!$L$4:$P$600,4,FALSE),"Pend")</f>
        <v>Pend</v>
      </c>
      <c r="AR883" t="str">
        <f>IFERROR(VLOOKUP(D883,Manual!$C$1:$E$22,2,FALSE),"Pend")</f>
        <v>Pend</v>
      </c>
      <c r="AS883" t="str">
        <f t="shared" si="306"/>
        <v>Yes</v>
      </c>
      <c r="AT883" t="str">
        <f t="shared" si="307"/>
        <v>Yes</v>
      </c>
      <c r="AU883" s="51" t="str">
        <f t="shared" si="308"/>
        <v>Yes</v>
      </c>
      <c r="AV883" s="12">
        <f>IFERROR(VLOOKUP(D883,'Receivable Invoice Detail'!$S$1:$U$3014,3,FALSE),0)</f>
        <v>0</v>
      </c>
      <c r="AW883" s="12">
        <f t="shared" si="309"/>
        <v>77.763695517270463</v>
      </c>
    </row>
    <row r="884" spans="1:49" x14ac:dyDescent="0.25">
      <c r="A884" s="2">
        <v>1</v>
      </c>
      <c r="B884" s="2" t="s">
        <v>793</v>
      </c>
      <c r="C884" s="2" t="s">
        <v>794</v>
      </c>
      <c r="D884" s="2" t="s">
        <v>3109</v>
      </c>
      <c r="E884" s="2" t="s">
        <v>245</v>
      </c>
      <c r="F884" s="3">
        <v>45890.604872685188</v>
      </c>
      <c r="G884" s="3">
        <v>45891.449907407397</v>
      </c>
      <c r="H884" s="4">
        <v>45989</v>
      </c>
      <c r="I884" s="2" t="s">
        <v>36</v>
      </c>
      <c r="J884" s="2" t="s">
        <v>22</v>
      </c>
      <c r="K884" s="2">
        <v>1</v>
      </c>
      <c r="L884" s="2">
        <v>3972.86</v>
      </c>
      <c r="M884" s="2">
        <v>0</v>
      </c>
      <c r="N884" s="2">
        <v>2869.642191621866</v>
      </c>
      <c r="O884" s="2">
        <v>3783.68</v>
      </c>
      <c r="P884" s="2">
        <v>189.18</v>
      </c>
      <c r="Q884" s="2">
        <v>3972.86</v>
      </c>
      <c r="R884" s="2" t="s">
        <v>44</v>
      </c>
      <c r="S884" s="2"/>
      <c r="T884" s="2">
        <f t="shared" si="291"/>
        <v>1</v>
      </c>
      <c r="U884" s="18">
        <f t="shared" si="292"/>
        <v>8</v>
      </c>
      <c r="V884" s="18">
        <f t="shared" si="293"/>
        <v>2025</v>
      </c>
      <c r="W884" s="18">
        <f t="shared" si="294"/>
        <v>12</v>
      </c>
      <c r="X884" s="18">
        <f t="shared" si="295"/>
        <v>2025</v>
      </c>
      <c r="Y884" s="2">
        <f t="shared" si="288"/>
        <v>0.72231143096456107</v>
      </c>
      <c r="Z884" t="str">
        <f t="shared" si="289"/>
        <v>SO17727</v>
      </c>
      <c r="AA884" s="11">
        <f t="shared" si="296"/>
        <v>45890.604872685188</v>
      </c>
      <c r="AB884" s="5" t="str">
        <f t="shared" si="297"/>
        <v>INV13635</v>
      </c>
      <c r="AC884" s="5" t="str">
        <f>IFERROR(VLOOKUP(D884,CAARStatus!$A$2:$AA$1600,22,FALSE),"Not invoiced")</f>
        <v>Paid</v>
      </c>
      <c r="AD884" s="11">
        <f>IF(AC884="Paid",IFERROR(VLOOKUP(D884,CAARStatus!$A$2:$AA$1600,6,FALSE),"Pending"),"Pending")</f>
        <v>46007</v>
      </c>
      <c r="AE884" s="5" t="str">
        <f t="shared" si="298"/>
        <v>21768 R1</v>
      </c>
      <c r="AF884" s="5" t="str">
        <f t="shared" si="299"/>
        <v>DRN Industriel</v>
      </c>
      <c r="AG884" s="5" t="str">
        <f t="shared" si="300"/>
        <v>CAD</v>
      </c>
      <c r="AH884" s="5">
        <f t="shared" si="301"/>
        <v>3783.68</v>
      </c>
      <c r="AI884" s="12">
        <f>IF(L884-N884=0,VLOOKUP(U884,rate!A$4:B$15,2,FALSE)*AH884,IF(AG884="USD",O884,AH884*Y884))</f>
        <v>2732.9953151119903</v>
      </c>
      <c r="AJ884" s="13">
        <f t="shared" si="302"/>
        <v>0.72231143096456107</v>
      </c>
      <c r="AK884" s="61">
        <f>IF(AC884="Paid",-IF(AG884="CAD",IFERROR(VLOOKUP(D884,CAARStatus!$A$1:$Y$1600,16,FALSE),0),0),0)</f>
        <v>-3783.68</v>
      </c>
      <c r="AL884" s="61">
        <f>IF(AC884="Paid",-IF(AG884="USD",IFERROR(VLOOKUP(D884,CAARStatus!$A$1:$Y$1600,11,FALSE),0),0),0)</f>
        <v>0</v>
      </c>
      <c r="AM884" s="22">
        <f t="shared" si="303"/>
        <v>0</v>
      </c>
      <c r="AN884" s="12" t="str">
        <f t="shared" si="304"/>
        <v/>
      </c>
      <c r="AO884" s="12" t="str">
        <f t="shared" si="305"/>
        <v>Yes</v>
      </c>
      <c r="AP884" t="str">
        <f t="shared" si="290"/>
        <v>Yes</v>
      </c>
      <c r="AQ884" t="str">
        <f>IFERROR(VLOOKUP(Z884,InvBal!$L$4:$P$600,4,FALSE),"Pend")</f>
        <v>Pend</v>
      </c>
      <c r="AR884" t="str">
        <f>IFERROR(VLOOKUP(D884,Manual!$C$1:$E$22,2,FALSE),"Pend")</f>
        <v>Pend</v>
      </c>
      <c r="AS884" t="str">
        <f t="shared" si="306"/>
        <v>Yes</v>
      </c>
      <c r="AT884" t="str">
        <f t="shared" si="307"/>
        <v>Yes</v>
      </c>
      <c r="AU884" s="51" t="str">
        <f t="shared" si="308"/>
        <v>Yes</v>
      </c>
      <c r="AV884" s="12">
        <f>IFERROR(VLOOKUP(D884,'Receivable Invoice Detail'!$S$1:$U$3014,3,FALSE),0)</f>
        <v>0</v>
      </c>
      <c r="AW884" s="12">
        <f t="shared" si="309"/>
        <v>2732.9953151119903</v>
      </c>
    </row>
    <row r="885" spans="1:49" x14ac:dyDescent="0.25">
      <c r="A885" s="2">
        <v>1</v>
      </c>
      <c r="B885" s="2" t="s">
        <v>692</v>
      </c>
      <c r="C885" s="2" t="s">
        <v>693</v>
      </c>
      <c r="D885" s="2" t="s">
        <v>3159</v>
      </c>
      <c r="E885" s="2" t="s">
        <v>694</v>
      </c>
      <c r="F885" s="3">
        <v>45890.804247685177</v>
      </c>
      <c r="G885" s="3">
        <v>45904.788807870369</v>
      </c>
      <c r="H885" s="2"/>
      <c r="I885" s="2" t="s">
        <v>71</v>
      </c>
      <c r="J885" s="2" t="s">
        <v>51</v>
      </c>
      <c r="K885" s="2">
        <v>0.72541822568831038</v>
      </c>
      <c r="L885" s="2">
        <v>2275.9284803376081</v>
      </c>
      <c r="M885" s="2">
        <v>0</v>
      </c>
      <c r="N885" s="2">
        <v>1651</v>
      </c>
      <c r="O885" s="2">
        <v>1651</v>
      </c>
      <c r="P885" s="2"/>
      <c r="Q885" s="2">
        <v>1651</v>
      </c>
      <c r="R885" s="2" t="s">
        <v>44</v>
      </c>
      <c r="S885" s="2"/>
      <c r="T885" s="2">
        <f t="shared" si="291"/>
        <v>1</v>
      </c>
      <c r="U885" s="18">
        <f t="shared" si="292"/>
        <v>8</v>
      </c>
      <c r="V885" s="18">
        <f t="shared" si="293"/>
        <v>2025</v>
      </c>
      <c r="W885" s="18">
        <f t="shared" si="294"/>
        <v>11</v>
      </c>
      <c r="X885" s="18">
        <f t="shared" si="295"/>
        <v>2025</v>
      </c>
      <c r="Y885" s="2">
        <f t="shared" si="288"/>
        <v>0.72541822568831027</v>
      </c>
      <c r="Z885" t="str">
        <f t="shared" si="289"/>
        <v>SO17729</v>
      </c>
      <c r="AA885" s="11">
        <f t="shared" si="296"/>
        <v>45890.804247685177</v>
      </c>
      <c r="AB885" s="5" t="str">
        <f t="shared" si="297"/>
        <v>INV13403</v>
      </c>
      <c r="AC885" s="5" t="str">
        <f>IFERROR(VLOOKUP(D885,CAARStatus!$A$2:$AA$1600,22,FALSE),"Not invoiced")</f>
        <v>Paid</v>
      </c>
      <c r="AD885" s="11">
        <f>IF(AC885="Paid",IFERROR(VLOOKUP(D885,CAARStatus!$A$2:$AA$1600,6,FALSE),"Pending"),"Pending")</f>
        <v>45965</v>
      </c>
      <c r="AE885" s="5" t="str">
        <f t="shared" si="298"/>
        <v>0207927 - JRF</v>
      </c>
      <c r="AF885" s="5" t="str">
        <f t="shared" si="299"/>
        <v>Electric Pump</v>
      </c>
      <c r="AG885" s="5" t="str">
        <f t="shared" si="300"/>
        <v>USD</v>
      </c>
      <c r="AH885" s="5">
        <f t="shared" si="301"/>
        <v>2275.9284803376077</v>
      </c>
      <c r="AI885" s="12">
        <f>IF(L885-N885=0,VLOOKUP(U885,rate!A$4:B$15,2,FALSE)*AH885,IF(AG885="USD",O885,AH885*Y885))</f>
        <v>1651</v>
      </c>
      <c r="AJ885" s="13">
        <f t="shared" si="302"/>
        <v>0.72541822568831038</v>
      </c>
      <c r="AK885" s="61">
        <f>IF(AC885="Paid",-IF(AG885="CAD",IFERROR(VLOOKUP(D885,CAARStatus!$A$1:$Y$1600,16,FALSE),0),0),0)</f>
        <v>0</v>
      </c>
      <c r="AL885" s="61">
        <f>IF(AC885="Paid",-IF(AG885="USD",IFERROR(VLOOKUP(D885,CAARStatus!$A$1:$Y$1600,11,FALSE),0),0),0)</f>
        <v>-1651</v>
      </c>
      <c r="AM885" s="22" t="str">
        <f t="shared" si="303"/>
        <v/>
      </c>
      <c r="AN885" s="12">
        <f t="shared" si="304"/>
        <v>0</v>
      </c>
      <c r="AO885" s="12" t="str">
        <f t="shared" si="305"/>
        <v>Yes</v>
      </c>
      <c r="AP885" t="str">
        <f t="shared" si="290"/>
        <v>Yes</v>
      </c>
      <c r="AQ885" t="str">
        <f>IFERROR(VLOOKUP(Z885,InvBal!$L$4:$P$600,4,FALSE),"Pend")</f>
        <v>Pend</v>
      </c>
      <c r="AR885" t="str">
        <f>IFERROR(VLOOKUP(D885,Manual!$C$1:$E$22,2,FALSE),"Pend")</f>
        <v>Pend</v>
      </c>
      <c r="AS885" t="str">
        <f t="shared" si="306"/>
        <v>Yes</v>
      </c>
      <c r="AT885" t="str">
        <f t="shared" si="307"/>
        <v>Yes</v>
      </c>
      <c r="AU885" s="51" t="str">
        <f t="shared" si="308"/>
        <v>Yes</v>
      </c>
      <c r="AV885" s="12">
        <f>IFERROR(VLOOKUP(D885,'Receivable Invoice Detail'!$S$1:$U$3014,3,FALSE),0)</f>
        <v>591</v>
      </c>
      <c r="AW885" s="12">
        <f t="shared" si="309"/>
        <v>1060</v>
      </c>
    </row>
    <row r="886" spans="1:49" ht="30" x14ac:dyDescent="0.25">
      <c r="A886" s="2">
        <v>1</v>
      </c>
      <c r="B886" s="2" t="s">
        <v>779</v>
      </c>
      <c r="C886" s="2" t="s">
        <v>780</v>
      </c>
      <c r="D886" s="2" t="s">
        <v>3116</v>
      </c>
      <c r="E886" s="2" t="s">
        <v>353</v>
      </c>
      <c r="F886" s="3">
        <v>45891.442847222221</v>
      </c>
      <c r="G886" s="3">
        <v>45894.657361111109</v>
      </c>
      <c r="H886" s="4">
        <v>45895</v>
      </c>
      <c r="I886" s="2" t="s">
        <v>40</v>
      </c>
      <c r="J886" s="2" t="s">
        <v>22</v>
      </c>
      <c r="K886" s="2">
        <v>1</v>
      </c>
      <c r="L886" s="2">
        <v>119.66</v>
      </c>
      <c r="M886" s="2">
        <v>0</v>
      </c>
      <c r="N886" s="2">
        <v>86.511749773118098</v>
      </c>
      <c r="O886" s="2">
        <v>113.96</v>
      </c>
      <c r="P886" s="2">
        <v>5.7</v>
      </c>
      <c r="Q886" s="2">
        <v>119.66</v>
      </c>
      <c r="R886" s="2" t="s">
        <v>44</v>
      </c>
      <c r="S886" s="2"/>
      <c r="T886" s="2">
        <f t="shared" si="291"/>
        <v>1</v>
      </c>
      <c r="U886" s="18">
        <f t="shared" si="292"/>
        <v>8</v>
      </c>
      <c r="V886" s="18">
        <f t="shared" si="293"/>
        <v>2025</v>
      </c>
      <c r="W886" s="18">
        <f t="shared" si="294"/>
        <v>10</v>
      </c>
      <c r="X886" s="18">
        <f t="shared" si="295"/>
        <v>2025</v>
      </c>
      <c r="Y886" s="2">
        <f t="shared" si="288"/>
        <v>0.72297969056592093</v>
      </c>
      <c r="Z886" t="str">
        <f t="shared" si="289"/>
        <v>SO17731</v>
      </c>
      <c r="AA886" s="11">
        <f t="shared" si="296"/>
        <v>45891.442847222221</v>
      </c>
      <c r="AB886" s="5" t="str">
        <f t="shared" si="297"/>
        <v>INV13348</v>
      </c>
      <c r="AC886" s="5" t="str">
        <f>IFERROR(VLOOKUP(D886,CAARStatus!$A$2:$AA$1600,22,FALSE),"Not invoiced")</f>
        <v>Paid</v>
      </c>
      <c r="AD886" s="11">
        <f>IF(AC886="Paid",IFERROR(VLOOKUP(D886,CAARStatus!$A$2:$AA$1600,6,FALSE),"Pending"),"Pending")</f>
        <v>45931</v>
      </c>
      <c r="AE886" s="5" t="str">
        <f t="shared" si="298"/>
        <v>PO6529</v>
      </c>
      <c r="AF886" s="5" t="str">
        <f t="shared" si="299"/>
        <v>ProPart Pompes du Canada 9425-4380 Quebec Inc</v>
      </c>
      <c r="AG886" s="5" t="str">
        <f t="shared" si="300"/>
        <v>CAD</v>
      </c>
      <c r="AH886" s="5">
        <f t="shared" si="301"/>
        <v>113.96</v>
      </c>
      <c r="AI886" s="12">
        <f>IF(L886-N886=0,VLOOKUP(U886,rate!A$4:B$15,2,FALSE)*AH886,IF(AG886="USD",O886,AH886*Y886))</f>
        <v>82.390765536892346</v>
      </c>
      <c r="AJ886" s="13">
        <f t="shared" si="302"/>
        <v>0.72297969056592093</v>
      </c>
      <c r="AK886" s="13">
        <f>-IF(AG886="CAD",IFERROR(VLOOKUP(D886,CAARStatus!$A$1:$Y$1600,16,FALSE),0),0)</f>
        <v>-113.96</v>
      </c>
      <c r="AL886" s="13">
        <f>-IF(AG886="USD",IFERROR(VLOOKUP(D886,CAARStatus!$A$1:$Y$1600,11,FALSE),0),0)</f>
        <v>0</v>
      </c>
      <c r="AM886" s="22">
        <f t="shared" si="303"/>
        <v>0</v>
      </c>
      <c r="AN886" s="12" t="str">
        <f t="shared" si="304"/>
        <v/>
      </c>
      <c r="AO886" s="12" t="str">
        <f t="shared" si="305"/>
        <v>Yes</v>
      </c>
      <c r="AP886" t="str">
        <f t="shared" si="290"/>
        <v>Yes</v>
      </c>
      <c r="AQ886" t="str">
        <f>IFERROR(VLOOKUP(Z886,InvBal!$L$4:$P$600,4,FALSE),"Pend")</f>
        <v>Pend</v>
      </c>
      <c r="AR886" t="str">
        <f>IFERROR(VLOOKUP(D886,Manual!$C$1:$E$22,2,FALSE),"Pend")</f>
        <v>Pend</v>
      </c>
      <c r="AS886" t="str">
        <f t="shared" si="306"/>
        <v>Yes</v>
      </c>
      <c r="AT886" t="str">
        <f t="shared" si="307"/>
        <v>Yes</v>
      </c>
      <c r="AU886" s="51" t="str">
        <f t="shared" si="308"/>
        <v>Yes</v>
      </c>
      <c r="AV886" s="12">
        <f>IFERROR(VLOOKUP(D886,'Receivable Invoice Detail'!$S$1:$U$3014,3,FALSE),0)</f>
        <v>0</v>
      </c>
      <c r="AW886" s="12">
        <f t="shared" si="309"/>
        <v>82.390765536892346</v>
      </c>
    </row>
    <row r="887" spans="1:49" x14ac:dyDescent="0.25">
      <c r="A887" s="2">
        <v>1</v>
      </c>
      <c r="B887" s="2" t="s">
        <v>787</v>
      </c>
      <c r="C887" s="2" t="s">
        <v>788</v>
      </c>
      <c r="D887" s="2" t="s">
        <v>3113</v>
      </c>
      <c r="E887" s="2" t="s">
        <v>644</v>
      </c>
      <c r="F887" s="3">
        <v>45891.55296296296</v>
      </c>
      <c r="G887" s="3">
        <v>45891.719988425917</v>
      </c>
      <c r="H887" s="4">
        <v>45898</v>
      </c>
      <c r="I887" s="2" t="s">
        <v>21</v>
      </c>
      <c r="J887" s="2" t="s">
        <v>51</v>
      </c>
      <c r="K887" s="2">
        <v>0.71937460738912617</v>
      </c>
      <c r="L887" s="2">
        <v>4528.6280145801593</v>
      </c>
      <c r="M887" s="2">
        <v>0</v>
      </c>
      <c r="N887" s="2">
        <v>3257.78</v>
      </c>
      <c r="O887" s="2">
        <v>3257.78</v>
      </c>
      <c r="P887" s="2"/>
      <c r="Q887" s="2">
        <v>3257.78</v>
      </c>
      <c r="R887" s="2" t="s">
        <v>44</v>
      </c>
      <c r="S887" s="2"/>
      <c r="T887" s="2">
        <f t="shared" si="291"/>
        <v>1</v>
      </c>
      <c r="U887" s="18">
        <f t="shared" si="292"/>
        <v>8</v>
      </c>
      <c r="V887" s="18">
        <f t="shared" si="293"/>
        <v>2025</v>
      </c>
      <c r="W887" s="18">
        <f t="shared" si="294"/>
        <v>10</v>
      </c>
      <c r="X887" s="18">
        <f t="shared" si="295"/>
        <v>2025</v>
      </c>
      <c r="Y887" s="2">
        <f t="shared" si="288"/>
        <v>0.71937460738912617</v>
      </c>
      <c r="Z887" t="str">
        <f t="shared" si="289"/>
        <v>SO17737</v>
      </c>
      <c r="AA887" s="11">
        <f t="shared" si="296"/>
        <v>45891.55296296296</v>
      </c>
      <c r="AB887" s="5" t="str">
        <f t="shared" si="297"/>
        <v>INV13339</v>
      </c>
      <c r="AC887" s="5" t="str">
        <f>IFERROR(VLOOKUP(D887,CAARStatus!$A$2:$AA$1600,22,FALSE),"Not invoiced")</f>
        <v>Paid</v>
      </c>
      <c r="AD887" s="11">
        <f>IF(AC887="Paid",IFERROR(VLOOKUP(D887,CAARStatus!$A$2:$AA$1600,6,FALSE),"Pending"),"Pending")</f>
        <v>45951</v>
      </c>
      <c r="AE887" s="5" t="str">
        <f t="shared" si="298"/>
        <v>P-82225</v>
      </c>
      <c r="AF887" s="5" t="str">
        <f t="shared" si="299"/>
        <v>Cartledge &amp; Associates Inc.</v>
      </c>
      <c r="AG887" s="5" t="str">
        <f t="shared" si="300"/>
        <v>USD</v>
      </c>
      <c r="AH887" s="5">
        <f t="shared" si="301"/>
        <v>4528.6280145801593</v>
      </c>
      <c r="AI887" s="12">
        <f>IF(L887-N887=0,VLOOKUP(U887,rate!A$4:B$15,2,FALSE)*AH887,IF(AG887="USD",O887,AH887*Y887))</f>
        <v>3257.78</v>
      </c>
      <c r="AJ887" s="13">
        <f t="shared" si="302"/>
        <v>0.71937460738912617</v>
      </c>
      <c r="AK887" s="13">
        <f>-IF(AG887="CAD",IFERROR(VLOOKUP(D887,CAARStatus!$A$1:$Y$1600,16,FALSE),0),0)</f>
        <v>0</v>
      </c>
      <c r="AL887" s="13">
        <f>-IF(AG887="USD",IFERROR(VLOOKUP(D887,CAARStatus!$A$1:$Y$1600,11,FALSE),0),0)</f>
        <v>-3257.78</v>
      </c>
      <c r="AM887" s="22" t="str">
        <f t="shared" si="303"/>
        <v/>
      </c>
      <c r="AN887" s="12">
        <f t="shared" si="304"/>
        <v>0</v>
      </c>
      <c r="AO887" s="12" t="str">
        <f t="shared" si="305"/>
        <v>Yes</v>
      </c>
      <c r="AP887" t="str">
        <f t="shared" si="290"/>
        <v>Yes</v>
      </c>
      <c r="AQ887" t="str">
        <f>IFERROR(VLOOKUP(Z887,InvBal!$L$4:$P$600,4,FALSE),"Pend")</f>
        <v>Pend</v>
      </c>
      <c r="AR887" t="str">
        <f>IFERROR(VLOOKUP(D887,Manual!$C$1:$E$22,2,FALSE),"Pend")</f>
        <v>Pend</v>
      </c>
      <c r="AS887" t="str">
        <f t="shared" si="306"/>
        <v>Yes</v>
      </c>
      <c r="AT887" t="str">
        <f t="shared" si="307"/>
        <v>Yes</v>
      </c>
      <c r="AU887" s="51" t="str">
        <f t="shared" si="308"/>
        <v>Yes</v>
      </c>
      <c r="AV887" s="12">
        <f>IFERROR(VLOOKUP(D887,'Receivable Invoice Detail'!$S$1:$U$3014,3,FALSE),0)</f>
        <v>590</v>
      </c>
      <c r="AW887" s="12">
        <f t="shared" si="309"/>
        <v>2667.78</v>
      </c>
    </row>
    <row r="888" spans="1:49" x14ac:dyDescent="0.25">
      <c r="A888" s="2">
        <v>1</v>
      </c>
      <c r="B888" s="2" t="s">
        <v>753</v>
      </c>
      <c r="C888" s="2" t="s">
        <v>754</v>
      </c>
      <c r="D888" s="2" t="s">
        <v>3128</v>
      </c>
      <c r="E888" s="2" t="s">
        <v>146</v>
      </c>
      <c r="F888" s="3">
        <v>45891.623553240737</v>
      </c>
      <c r="G888" s="3">
        <v>45897.478217592587</v>
      </c>
      <c r="H888" s="4">
        <v>45904</v>
      </c>
      <c r="I888" s="2" t="s">
        <v>36</v>
      </c>
      <c r="J888" s="2" t="s">
        <v>22</v>
      </c>
      <c r="K888" s="2">
        <v>1</v>
      </c>
      <c r="L888" s="2">
        <v>1924.84</v>
      </c>
      <c r="M888" s="2">
        <v>0</v>
      </c>
      <c r="N888" s="2">
        <v>1399.711079033081</v>
      </c>
      <c r="O888" s="2">
        <v>1833.18</v>
      </c>
      <c r="P888" s="2">
        <v>91.66</v>
      </c>
      <c r="Q888" s="2">
        <v>1924.84</v>
      </c>
      <c r="R888" s="2" t="s">
        <v>44</v>
      </c>
      <c r="S888" s="2"/>
      <c r="T888" s="2">
        <f t="shared" si="291"/>
        <v>1</v>
      </c>
      <c r="U888" s="18">
        <f t="shared" si="292"/>
        <v>8</v>
      </c>
      <c r="V888" s="18">
        <f t="shared" si="293"/>
        <v>2025</v>
      </c>
      <c r="W888" s="18">
        <f t="shared" si="294"/>
        <v>10</v>
      </c>
      <c r="X888" s="18">
        <f t="shared" si="295"/>
        <v>2025</v>
      </c>
      <c r="Y888" s="2">
        <f t="shared" si="288"/>
        <v>0.72718307964977924</v>
      </c>
      <c r="Z888" t="str">
        <f t="shared" si="289"/>
        <v>SO17739</v>
      </c>
      <c r="AA888" s="11">
        <f t="shared" si="296"/>
        <v>45891.623553240737</v>
      </c>
      <c r="AB888" s="5" t="str">
        <f t="shared" si="297"/>
        <v>INV13359</v>
      </c>
      <c r="AC888" s="5" t="str">
        <f>IFERROR(VLOOKUP(D888,CAARStatus!$A$2:$AA$1600,22,FALSE),"Not invoiced")</f>
        <v>Paid</v>
      </c>
      <c r="AD888" s="11">
        <f>IF(AC888="Paid",IFERROR(VLOOKUP(D888,CAARStatus!$A$2:$AA$1600,6,FALSE),"Pending"),"Pending")</f>
        <v>45944</v>
      </c>
      <c r="AE888" s="5" t="str">
        <f t="shared" si="298"/>
        <v>7603</v>
      </c>
      <c r="AF888" s="5" t="str">
        <f t="shared" si="299"/>
        <v>Hyperflo</v>
      </c>
      <c r="AG888" s="5" t="str">
        <f t="shared" si="300"/>
        <v>CAD</v>
      </c>
      <c r="AH888" s="5">
        <f t="shared" si="301"/>
        <v>1833.18</v>
      </c>
      <c r="AI888" s="12">
        <f>IF(L888-N888=0,VLOOKUP(U888,rate!A$4:B$15,2,FALSE)*AH888,IF(AG888="USD",O888,AH888*Y888))</f>
        <v>1333.0574779523824</v>
      </c>
      <c r="AJ888" s="13">
        <f t="shared" si="302"/>
        <v>0.72718307964977924</v>
      </c>
      <c r="AK888" s="13">
        <f>-IF(AG888="CAD",IFERROR(VLOOKUP(D888,CAARStatus!$A$1:$Y$1600,16,FALSE),0),0)</f>
        <v>-1833.18</v>
      </c>
      <c r="AL888" s="13">
        <f>-IF(AG888="USD",IFERROR(VLOOKUP(D888,CAARStatus!$A$1:$Y$1600,11,FALSE),0),0)</f>
        <v>0</v>
      </c>
      <c r="AM888" s="22">
        <f t="shared" si="303"/>
        <v>0</v>
      </c>
      <c r="AN888" s="12" t="str">
        <f t="shared" si="304"/>
        <v/>
      </c>
      <c r="AO888" s="12" t="str">
        <f t="shared" si="305"/>
        <v>Yes</v>
      </c>
      <c r="AP888" t="str">
        <f t="shared" si="290"/>
        <v>Yes</v>
      </c>
      <c r="AQ888" t="str">
        <f>IFERROR(VLOOKUP(Z888,InvBal!$L$4:$P$600,4,FALSE),"Pend")</f>
        <v>Pend</v>
      </c>
      <c r="AR888" t="str">
        <f>IFERROR(VLOOKUP(D888,Manual!$C$1:$E$22,2,FALSE),"Pend")</f>
        <v>Pend</v>
      </c>
      <c r="AS888" t="str">
        <f t="shared" si="306"/>
        <v>Yes</v>
      </c>
      <c r="AT888" t="str">
        <f t="shared" si="307"/>
        <v>Yes</v>
      </c>
      <c r="AU888" s="51" t="str">
        <f t="shared" si="308"/>
        <v>Yes</v>
      </c>
      <c r="AV888" s="12">
        <f>IFERROR(VLOOKUP(D888,'Receivable Invoice Detail'!$S$1:$U$3014,3,FALSE),0)</f>
        <v>0</v>
      </c>
      <c r="AW888" s="12">
        <f t="shared" si="309"/>
        <v>1333.0574779523824</v>
      </c>
    </row>
    <row r="889" spans="1:49" ht="30" x14ac:dyDescent="0.25">
      <c r="A889" s="2">
        <v>1</v>
      </c>
      <c r="B889" s="2" t="s">
        <v>772</v>
      </c>
      <c r="C889" s="2" t="s">
        <v>773</v>
      </c>
      <c r="D889" s="2" t="s">
        <v>5994</v>
      </c>
      <c r="E889" s="2" t="s">
        <v>774</v>
      </c>
      <c r="F889" s="3">
        <v>45891.676469907397</v>
      </c>
      <c r="G889" s="3">
        <v>45895.578599537039</v>
      </c>
      <c r="H889" s="4">
        <v>46007</v>
      </c>
      <c r="I889" s="2" t="s">
        <v>21</v>
      </c>
      <c r="J889" s="2" t="s">
        <v>51</v>
      </c>
      <c r="K889" s="2">
        <v>0.72297969056592093</v>
      </c>
      <c r="L889" s="2">
        <v>6210.3404266936441</v>
      </c>
      <c r="M889" s="2">
        <v>0</v>
      </c>
      <c r="N889" s="2">
        <v>4489.95</v>
      </c>
      <c r="O889" s="2">
        <v>4489.95</v>
      </c>
      <c r="P889" s="2"/>
      <c r="Q889" s="2">
        <v>4489.95</v>
      </c>
      <c r="R889" s="2" t="s">
        <v>44</v>
      </c>
      <c r="S889" s="2"/>
      <c r="T889" s="2">
        <f t="shared" si="291"/>
        <v>1</v>
      </c>
      <c r="U889" s="18">
        <f t="shared" si="292"/>
        <v>8</v>
      </c>
      <c r="V889" s="18">
        <f t="shared" si="293"/>
        <v>2025</v>
      </c>
      <c r="W889" s="18" t="str">
        <f t="shared" si="294"/>
        <v/>
      </c>
      <c r="X889" s="18" t="str">
        <f t="shared" si="295"/>
        <v/>
      </c>
      <c r="Y889" s="2">
        <f t="shared" si="288"/>
        <v>0.72297969056592093</v>
      </c>
      <c r="Z889" t="str">
        <f t="shared" si="289"/>
        <v>SO17740</v>
      </c>
      <c r="AA889" s="11">
        <f t="shared" si="296"/>
        <v>45891.676469907397</v>
      </c>
      <c r="AB889" s="5" t="str">
        <f t="shared" si="297"/>
        <v>INV13753</v>
      </c>
      <c r="AC889" s="5" t="str">
        <f>IFERROR(VLOOKUP(D889,CAARStatus!$A$2:$AA$1600,22,FALSE),"Not invoiced")</f>
        <v>Approved</v>
      </c>
      <c r="AD889" s="11" t="str">
        <f>IF(AC889="Paid",IFERROR(VLOOKUP(D889,CAARStatus!$A$2:$AA$1600,6,FALSE),"Pending"),"Pending")</f>
        <v>Pending</v>
      </c>
      <c r="AE889" s="5" t="str">
        <f t="shared" si="298"/>
        <v>CO81-00108962</v>
      </c>
      <c r="AF889" s="5" t="str">
        <f t="shared" si="299"/>
        <v>Motion Industries Inc. (U.S.) - Pueblo</v>
      </c>
      <c r="AG889" s="5" t="str">
        <f t="shared" si="300"/>
        <v>USD</v>
      </c>
      <c r="AH889" s="5">
        <f t="shared" si="301"/>
        <v>6210.3404266936441</v>
      </c>
      <c r="AI889" s="12">
        <f>IF(L889-N889=0,VLOOKUP(U889,rate!A$4:B$15,2,FALSE)*AH889,IF(AG889="USD",O889,AH889*Y889))</f>
        <v>4489.95</v>
      </c>
      <c r="AJ889" s="13">
        <f t="shared" si="302"/>
        <v>0.72297969056592093</v>
      </c>
      <c r="AK889" s="13">
        <f>-IF(AG889="CAD",IFERROR(VLOOKUP(D889,CAARStatus!$A$1:$Y$1600,16,FALSE),0),0)</f>
        <v>0</v>
      </c>
      <c r="AL889" s="13">
        <f>-IF(AG889="USD",IFERROR(VLOOKUP(D889,CAARStatus!$A$1:$Y$1600,11,FALSE),0),0)</f>
        <v>-4489.95</v>
      </c>
      <c r="AM889" s="22" t="str">
        <f t="shared" si="303"/>
        <v/>
      </c>
      <c r="AN889" s="12">
        <f t="shared" si="304"/>
        <v>0</v>
      </c>
      <c r="AO889" s="12" t="str">
        <f t="shared" si="305"/>
        <v>Pend</v>
      </c>
      <c r="AP889" t="str">
        <f t="shared" si="290"/>
        <v>Pend</v>
      </c>
      <c r="AQ889" t="str">
        <f>IFERROR(VLOOKUP(Z889,InvBal!$L$4:$P$600,4,FALSE),"Pend")</f>
        <v>Pend</v>
      </c>
      <c r="AR889" t="str">
        <f>IFERROR(VLOOKUP(D889,Manual!$C$1:$E$22,2,FALSE),"Pend")</f>
        <v>Pend</v>
      </c>
      <c r="AS889" t="str">
        <f t="shared" si="306"/>
        <v/>
      </c>
      <c r="AT889" t="str">
        <f t="shared" si="307"/>
        <v>Yes</v>
      </c>
      <c r="AU889" s="51" t="str">
        <f t="shared" si="308"/>
        <v/>
      </c>
      <c r="AV889" s="12">
        <f>IFERROR(VLOOKUP(D889,'Receivable Invoice Detail'!$S$1:$U$3014,3,FALSE),0)</f>
        <v>0</v>
      </c>
      <c r="AW889" s="12">
        <f t="shared" si="309"/>
        <v>0</v>
      </c>
    </row>
    <row r="890" spans="1:49" x14ac:dyDescent="0.25">
      <c r="A890" s="2">
        <v>2</v>
      </c>
      <c r="B890" s="2" t="s">
        <v>791</v>
      </c>
      <c r="C890" s="2" t="s">
        <v>792</v>
      </c>
      <c r="D890" s="2" t="s">
        <v>3111</v>
      </c>
      <c r="E890" s="2" t="s">
        <v>141</v>
      </c>
      <c r="F890" s="3">
        <v>45891.688321759262</v>
      </c>
      <c r="G890" s="3">
        <v>45891.691493055558</v>
      </c>
      <c r="H890" s="4">
        <v>45975</v>
      </c>
      <c r="I890" s="2" t="s">
        <v>21</v>
      </c>
      <c r="J890" s="2" t="s">
        <v>51</v>
      </c>
      <c r="K890" s="2">
        <v>0.71937460738912617</v>
      </c>
      <c r="L890" s="2">
        <v>19807.607682616381</v>
      </c>
      <c r="M890" s="2">
        <v>0</v>
      </c>
      <c r="N890" s="2">
        <v>14249.09</v>
      </c>
      <c r="O890" s="2">
        <v>14249.09</v>
      </c>
      <c r="P890" s="2"/>
      <c r="Q890" s="2">
        <v>14249.09</v>
      </c>
      <c r="R890" s="2" t="s">
        <v>44</v>
      </c>
      <c r="S890" s="2"/>
      <c r="T890" s="2">
        <f t="shared" si="291"/>
        <v>2</v>
      </c>
      <c r="U890" s="18">
        <f t="shared" si="292"/>
        <v>8</v>
      </c>
      <c r="V890" s="18">
        <f t="shared" si="293"/>
        <v>2025</v>
      </c>
      <c r="W890" s="18" t="str">
        <f t="shared" si="294"/>
        <v/>
      </c>
      <c r="X890" s="18" t="str">
        <f t="shared" si="295"/>
        <v/>
      </c>
      <c r="Y890" s="2">
        <f t="shared" si="288"/>
        <v>0.71937460738912629</v>
      </c>
      <c r="Z890" t="str">
        <f t="shared" si="289"/>
        <v>SO17741</v>
      </c>
      <c r="AA890" s="11">
        <f t="shared" si="296"/>
        <v>45891.688321759262</v>
      </c>
      <c r="AB890" s="5" t="str">
        <f t="shared" si="297"/>
        <v>INV13452</v>
      </c>
      <c r="AC890" s="5" t="str">
        <f>IFERROR(VLOOKUP(D890,CAARStatus!$A$2:$AA$1600,22,FALSE),"Not invoiced")</f>
        <v>Approved</v>
      </c>
      <c r="AD890" s="11" t="str">
        <f>IF(AC890="Paid",IFERROR(VLOOKUP(D890,CAARStatus!$A$2:$AA$1600,6,FALSE),"Pending"),"Pending")</f>
        <v>Pending</v>
      </c>
      <c r="AE890" s="5" t="str">
        <f t="shared" si="298"/>
        <v>4512247470</v>
      </c>
      <c r="AF890" s="5" t="str">
        <f t="shared" si="299"/>
        <v>PT Vale Indonesia Tbk.</v>
      </c>
      <c r="AG890" s="5" t="str">
        <f t="shared" si="300"/>
        <v>USD</v>
      </c>
      <c r="AH890" s="5">
        <f t="shared" si="301"/>
        <v>19807.607682616384</v>
      </c>
      <c r="AI890" s="12">
        <f>IF(L890-N890=0,VLOOKUP(U890,rate!A$4:B$15,2,FALSE)*AH890,IF(AG890="USD",O890,AH890*Y890))</f>
        <v>14249.09</v>
      </c>
      <c r="AJ890" s="13">
        <f t="shared" si="302"/>
        <v>0.71937460738912617</v>
      </c>
      <c r="AK890" s="13">
        <f>-IF(AG890="CAD",IFERROR(VLOOKUP(D890,CAARStatus!$A$1:$Y$1600,16,FALSE),0),0)</f>
        <v>0</v>
      </c>
      <c r="AL890" s="13">
        <f>-IF(AG890="USD",IFERROR(VLOOKUP(D890,CAARStatus!$A$1:$Y$1600,11,FALSE),0),0)</f>
        <v>-2465.04</v>
      </c>
      <c r="AM890" s="22" t="str">
        <f t="shared" si="303"/>
        <v/>
      </c>
      <c r="AN890" s="12">
        <f t="shared" si="304"/>
        <v>11784.05</v>
      </c>
      <c r="AO890" s="12" t="str">
        <f t="shared" si="305"/>
        <v>Pend</v>
      </c>
      <c r="AP890" t="str">
        <f t="shared" si="290"/>
        <v>XX</v>
      </c>
      <c r="AQ890" t="str">
        <f>IFERROR(VLOOKUP(Z890,InvBal!$L$4:$P$600,4,FALSE),"Pend")</f>
        <v>Yes</v>
      </c>
      <c r="AR890" t="str">
        <f>IFERROR(VLOOKUP(D890,Manual!$C$1:$E$22,2,FALSE),"Pend")</f>
        <v>Pend</v>
      </c>
      <c r="AS890" t="str">
        <f t="shared" si="306"/>
        <v>Yes</v>
      </c>
      <c r="AT890" t="str">
        <f t="shared" si="307"/>
        <v>Yes</v>
      </c>
      <c r="AU890" s="51" t="str">
        <f t="shared" si="308"/>
        <v>Yes</v>
      </c>
      <c r="AV890" s="12">
        <f>IFERROR(VLOOKUP(D890,'Receivable Invoice Detail'!$S$1:$U$3014,3,FALSE),0)</f>
        <v>0</v>
      </c>
      <c r="AW890" s="12">
        <f t="shared" si="309"/>
        <v>14249.09</v>
      </c>
    </row>
    <row r="891" spans="1:49" x14ac:dyDescent="0.25">
      <c r="A891" s="2"/>
      <c r="B891" s="2"/>
      <c r="C891" s="2"/>
      <c r="D891" s="2" t="s">
        <v>3110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>
        <f t="shared" si="291"/>
        <v>2</v>
      </c>
      <c r="U891" s="18">
        <f t="shared" si="292"/>
        <v>8</v>
      </c>
      <c r="V891" s="18">
        <f t="shared" si="293"/>
        <v>2025</v>
      </c>
      <c r="W891" s="18" t="str">
        <f t="shared" si="294"/>
        <v/>
      </c>
      <c r="X891" s="18" t="str">
        <f t="shared" si="295"/>
        <v/>
      </c>
      <c r="Y891" s="2">
        <f t="shared" si="288"/>
        <v>0.71937460738912629</v>
      </c>
      <c r="Z891" t="str">
        <f t="shared" si="289"/>
        <v>SO17741</v>
      </c>
      <c r="AA891" s="11">
        <f t="shared" si="296"/>
        <v>45891.688321759262</v>
      </c>
      <c r="AB891" s="5" t="str">
        <f t="shared" si="297"/>
        <v>INV13690</v>
      </c>
      <c r="AC891" s="5" t="str">
        <f>IFERROR(VLOOKUP(D891,CAARStatus!$A$2:$AA$1600,22,FALSE),"Not invoiced")</f>
        <v>Approved</v>
      </c>
      <c r="AD891" s="11" t="str">
        <f>IF(AC891="Paid",IFERROR(VLOOKUP(D891,CAARStatus!$A$2:$AA$1600,6,FALSE),"Pending"),"Pending")</f>
        <v>Pending</v>
      </c>
      <c r="AE891" s="5" t="str">
        <f t="shared" si="298"/>
        <v>4512247470</v>
      </c>
      <c r="AF891" s="5" t="str">
        <f t="shared" si="299"/>
        <v>PT Vale Indonesia Tbk.</v>
      </c>
      <c r="AG891" s="5" t="str">
        <f t="shared" si="300"/>
        <v>USD</v>
      </c>
      <c r="AH891" s="5">
        <f t="shared" si="301"/>
        <v>0</v>
      </c>
      <c r="AI891" s="12">
        <f>IF(L891-N891=0,VLOOKUP(U891,rate!A$4:B$15,2,FALSE)*AH891,IF(AG891="USD",O891,AH891*Y891))</f>
        <v>0</v>
      </c>
      <c r="AJ891" s="13">
        <f t="shared" si="302"/>
        <v>0</v>
      </c>
      <c r="AK891" s="13">
        <f>-IF(AG891="CAD",IFERROR(VLOOKUP(D891,CAARStatus!$A$1:$Y$1600,16,FALSE),0),0)</f>
        <v>0</v>
      </c>
      <c r="AL891" s="13">
        <f>-IF(AG891="USD",IFERROR(VLOOKUP(D891,CAARStatus!$A$1:$Y$1600,11,FALSE),0),0)</f>
        <v>-11784.05</v>
      </c>
      <c r="AM891" s="22" t="str">
        <f t="shared" si="303"/>
        <v/>
      </c>
      <c r="AN891" s="12">
        <f t="shared" si="304"/>
        <v>-11784.05</v>
      </c>
      <c r="AO891" s="12" t="str">
        <f t="shared" si="305"/>
        <v>Pend</v>
      </c>
      <c r="AP891" t="str">
        <f t="shared" si="290"/>
        <v>XX</v>
      </c>
      <c r="AQ891" t="str">
        <f>IFERROR(VLOOKUP(Z891,InvBal!$L$4:$P$600,4,FALSE),"Pend")</f>
        <v>Yes</v>
      </c>
      <c r="AR891" t="str">
        <f>IFERROR(VLOOKUP(D891,Manual!$C$1:$E$22,2,FALSE),"Pend")</f>
        <v>Pend</v>
      </c>
      <c r="AS891" t="str">
        <f t="shared" si="306"/>
        <v>Yes</v>
      </c>
      <c r="AT891" t="str">
        <f t="shared" si="307"/>
        <v/>
      </c>
      <c r="AU891" s="51" t="str">
        <f t="shared" si="308"/>
        <v/>
      </c>
      <c r="AV891" s="12">
        <f>IFERROR(VLOOKUP(D891,'Receivable Invoice Detail'!$S$1:$U$3014,3,FALSE),0)</f>
        <v>0</v>
      </c>
      <c r="AW891" s="12">
        <f t="shared" si="309"/>
        <v>0</v>
      </c>
    </row>
    <row r="892" spans="1:49" ht="30" x14ac:dyDescent="0.25">
      <c r="A892" s="2">
        <v>1</v>
      </c>
      <c r="B892" s="2" t="s">
        <v>745</v>
      </c>
      <c r="C892" s="2" t="s">
        <v>746</v>
      </c>
      <c r="D892" s="2" t="s">
        <v>3132</v>
      </c>
      <c r="E892" s="2" t="s">
        <v>39</v>
      </c>
      <c r="F892" s="3">
        <v>45891.795358796298</v>
      </c>
      <c r="G892" s="3">
        <v>45897.717986111107</v>
      </c>
      <c r="H892" s="4">
        <v>45904</v>
      </c>
      <c r="I892" s="2" t="s">
        <v>36</v>
      </c>
      <c r="J892" s="2" t="s">
        <v>22</v>
      </c>
      <c r="K892" s="2">
        <v>1</v>
      </c>
      <c r="L892" s="2">
        <v>3619.25</v>
      </c>
      <c r="M892" s="2">
        <v>0</v>
      </c>
      <c r="N892" s="2">
        <v>2631.857361022463</v>
      </c>
      <c r="O892" s="2">
        <v>3446.9</v>
      </c>
      <c r="P892" s="2">
        <v>172.35</v>
      </c>
      <c r="Q892" s="2">
        <v>3619.25</v>
      </c>
      <c r="R892" s="2" t="s">
        <v>44</v>
      </c>
      <c r="S892" s="2"/>
      <c r="T892" s="2">
        <f t="shared" si="291"/>
        <v>1</v>
      </c>
      <c r="U892" s="18">
        <f t="shared" si="292"/>
        <v>8</v>
      </c>
      <c r="V892" s="18">
        <f t="shared" si="293"/>
        <v>2025</v>
      </c>
      <c r="W892" s="18">
        <f t="shared" si="294"/>
        <v>10</v>
      </c>
      <c r="X892" s="18">
        <f t="shared" si="295"/>
        <v>2025</v>
      </c>
      <c r="Y892" s="2">
        <f t="shared" si="288"/>
        <v>0.72718307964977913</v>
      </c>
      <c r="Z892" t="str">
        <f t="shared" si="289"/>
        <v>SO17742</v>
      </c>
      <c r="AA892" s="11">
        <f t="shared" si="296"/>
        <v>45891.795358796298</v>
      </c>
      <c r="AB892" s="5" t="str">
        <f t="shared" si="297"/>
        <v>INV13364</v>
      </c>
      <c r="AC892" s="5" t="str">
        <f>IFERROR(VLOOKUP(D892,CAARStatus!$A$2:$AA$1600,22,FALSE),"Not invoiced")</f>
        <v>Paid</v>
      </c>
      <c r="AD892" s="11">
        <f>IF(AC892="Paid",IFERROR(VLOOKUP(D892,CAARStatus!$A$2:$AA$1600,6,FALSE),"Pending"),"Pending")</f>
        <v>45933</v>
      </c>
      <c r="AE892" s="5" t="str">
        <f t="shared" si="298"/>
        <v>BC65-00081630</v>
      </c>
      <c r="AF892" s="5" t="str">
        <f t="shared" si="299"/>
        <v>Motion Industries Inc. (Canada) - Prince George</v>
      </c>
      <c r="AG892" s="5" t="str">
        <f t="shared" si="300"/>
        <v>CAD</v>
      </c>
      <c r="AH892" s="5">
        <f t="shared" si="301"/>
        <v>3446.9</v>
      </c>
      <c r="AI892" s="12">
        <f>IF(L892-N892=0,VLOOKUP(U892,rate!A$4:B$15,2,FALSE)*AH892,IF(AG892="USD",O892,AH892*Y892))</f>
        <v>2506.5273572448236</v>
      </c>
      <c r="AJ892" s="13">
        <f t="shared" si="302"/>
        <v>0.72718307964977913</v>
      </c>
      <c r="AK892" s="61">
        <f>IF(AC892="Paid",-IF(AG892="CAD",IFERROR(VLOOKUP(D892,CAARStatus!$A$1:$Y$1600,16,FALSE),0),0),0)</f>
        <v>-3446.9</v>
      </c>
      <c r="AL892" s="61">
        <f>IF(AC892="Paid",-IF(AG892="USD",IFERROR(VLOOKUP(D892,CAARStatus!$A$1:$Y$1600,11,FALSE),0),0),0)</f>
        <v>0</v>
      </c>
      <c r="AM892" s="22">
        <f t="shared" si="303"/>
        <v>0</v>
      </c>
      <c r="AN892" s="12" t="str">
        <f t="shared" si="304"/>
        <v/>
      </c>
      <c r="AO892" s="12" t="str">
        <f t="shared" si="305"/>
        <v>Yes</v>
      </c>
      <c r="AP892" t="str">
        <f t="shared" si="290"/>
        <v>Yes</v>
      </c>
      <c r="AQ892" t="str">
        <f>IFERROR(VLOOKUP(Z892,InvBal!$L$4:$P$600,4,FALSE),"Pend")</f>
        <v>Pend</v>
      </c>
      <c r="AR892" t="str">
        <f>IFERROR(VLOOKUP(D892,Manual!$C$1:$E$22,2,FALSE),"Pend")</f>
        <v>Pend</v>
      </c>
      <c r="AS892" t="str">
        <f t="shared" si="306"/>
        <v>Yes</v>
      </c>
      <c r="AT892" t="str">
        <f t="shared" si="307"/>
        <v>Yes</v>
      </c>
      <c r="AU892" s="51" t="str">
        <f t="shared" si="308"/>
        <v>Yes</v>
      </c>
      <c r="AV892" s="12">
        <f>IFERROR(VLOOKUP(D892,'Receivable Invoice Detail'!$S$1:$U$3014,3,FALSE),0)</f>
        <v>0</v>
      </c>
      <c r="AW892" s="12">
        <f t="shared" si="309"/>
        <v>2506.5273572448236</v>
      </c>
    </row>
    <row r="893" spans="1:49" ht="30" x14ac:dyDescent="0.25">
      <c r="A893" s="2">
        <v>0</v>
      </c>
      <c r="B893" s="2" t="s">
        <v>626</v>
      </c>
      <c r="C893" s="2" t="s">
        <v>627</v>
      </c>
      <c r="D893" s="2"/>
      <c r="E893" s="2" t="s">
        <v>239</v>
      </c>
      <c r="F893" s="3">
        <v>45894.32885416667</v>
      </c>
      <c r="G893" s="3">
        <v>45916.630983796298</v>
      </c>
      <c r="H893" s="4">
        <v>45999</v>
      </c>
      <c r="I893" s="2" t="s">
        <v>180</v>
      </c>
      <c r="J893" s="2" t="s">
        <v>51</v>
      </c>
      <c r="K893" s="2">
        <v>0.72471536141095205</v>
      </c>
      <c r="L893" s="2">
        <v>86351.143265630075</v>
      </c>
      <c r="M893" s="2">
        <v>0</v>
      </c>
      <c r="N893" s="2">
        <v>62580</v>
      </c>
      <c r="O893" s="2">
        <v>62580</v>
      </c>
      <c r="P893" s="2"/>
      <c r="Q893" s="2">
        <v>62580</v>
      </c>
      <c r="R893" s="2" t="s">
        <v>29</v>
      </c>
      <c r="S893" s="2"/>
      <c r="T893" s="2">
        <f t="shared" si="291"/>
        <v>0</v>
      </c>
      <c r="U893" s="18">
        <f t="shared" si="292"/>
        <v>8</v>
      </c>
      <c r="V893" s="18">
        <f t="shared" si="293"/>
        <v>2025</v>
      </c>
      <c r="W893" s="18" t="str">
        <f t="shared" si="294"/>
        <v/>
      </c>
      <c r="X893" s="18" t="str">
        <f t="shared" si="295"/>
        <v/>
      </c>
      <c r="Y893" s="2">
        <f t="shared" si="288"/>
        <v>0.72471536141095205</v>
      </c>
      <c r="Z893" t="str">
        <f t="shared" si="289"/>
        <v>SO17744</v>
      </c>
      <c r="AA893" s="11">
        <f t="shared" si="296"/>
        <v>45894.32885416667</v>
      </c>
      <c r="AB893" s="5" t="str">
        <f t="shared" si="297"/>
        <v>No Inv</v>
      </c>
      <c r="AC893" s="5" t="str">
        <f>IFERROR(VLOOKUP(D893,CAARStatus!$A$2:$AA$1600,22,FALSE),"Not invoiced")</f>
        <v>Not invoiced</v>
      </c>
      <c r="AD893" s="11" t="str">
        <f>IF(AC893="Paid",IFERROR(VLOOKUP(D893,CAARStatus!$A$2:$AA$1600,6,FALSE),"Pending"),"Pending")</f>
        <v>Pending</v>
      </c>
      <c r="AE893" s="5" t="str">
        <f t="shared" si="298"/>
        <v>PO# 1059 Ship to PO# 2255391</v>
      </c>
      <c r="AF893" s="5" t="str">
        <f t="shared" si="299"/>
        <v>Mill-Right Mine Services Inc.</v>
      </c>
      <c r="AG893" s="5" t="str">
        <f t="shared" si="300"/>
        <v>USD</v>
      </c>
      <c r="AH893" s="5">
        <f t="shared" si="301"/>
        <v>86351.143265630075</v>
      </c>
      <c r="AI893" s="12">
        <f>IF(L893-N893=0,VLOOKUP(U893,rate!A$4:B$15,2,FALSE)*AH893,IF(AG893="USD",O893,AH893*Y893))</f>
        <v>62580</v>
      </c>
      <c r="AJ893" s="13">
        <f t="shared" si="302"/>
        <v>0.72471536141095205</v>
      </c>
      <c r="AK893" s="13">
        <f>-IF(AG893="CAD",IFERROR(VLOOKUP(D893,CAARStatus!$A$1:$Y$1600,16,FALSE),0),0)</f>
        <v>0</v>
      </c>
      <c r="AL893" s="13">
        <f>-IF(AG893="USD",IFERROR(VLOOKUP(D893,CAARStatus!$A$1:$Y$1600,11,FALSE),0),0)</f>
        <v>0</v>
      </c>
      <c r="AM893" s="22" t="str">
        <f t="shared" si="303"/>
        <v/>
      </c>
      <c r="AN893" s="12">
        <f t="shared" si="304"/>
        <v>62580</v>
      </c>
      <c r="AO893" s="12" t="str">
        <f t="shared" si="305"/>
        <v>Pend</v>
      </c>
      <c r="AP893" t="str">
        <f t="shared" si="290"/>
        <v>Pend</v>
      </c>
      <c r="AQ893" t="str">
        <f>IFERROR(VLOOKUP(Z893,InvBal!$L$4:$P$600,4,FALSE),"Pend")</f>
        <v>Pend</v>
      </c>
      <c r="AR893" t="str">
        <f>IFERROR(VLOOKUP(D893,Manual!$C$1:$E$22,2,FALSE),"Pend")</f>
        <v>Pend</v>
      </c>
      <c r="AS893" t="str">
        <f t="shared" si="306"/>
        <v/>
      </c>
      <c r="AT893" t="str">
        <f t="shared" si="307"/>
        <v/>
      </c>
      <c r="AU893" s="51" t="str">
        <f t="shared" si="308"/>
        <v/>
      </c>
      <c r="AV893" s="12">
        <f>IFERROR(VLOOKUP(D893,'Receivable Invoice Detail'!$S$1:$U$3014,3,FALSE),0)</f>
        <v>0</v>
      </c>
      <c r="AW893" s="12">
        <f t="shared" si="309"/>
        <v>0</v>
      </c>
    </row>
    <row r="894" spans="1:49" ht="30" x14ac:dyDescent="0.25">
      <c r="A894" s="2">
        <v>1</v>
      </c>
      <c r="B894" s="2" t="s">
        <v>781</v>
      </c>
      <c r="C894" s="2" t="s">
        <v>782</v>
      </c>
      <c r="D894" s="2" t="s">
        <v>3115</v>
      </c>
      <c r="E894" s="2" t="s">
        <v>20</v>
      </c>
      <c r="F894" s="3">
        <v>45894.64334490741</v>
      </c>
      <c r="G894" s="3">
        <v>45894.642592592587</v>
      </c>
      <c r="H894" s="4">
        <v>45901</v>
      </c>
      <c r="I894" s="2" t="s">
        <v>36</v>
      </c>
      <c r="J894" s="2" t="s">
        <v>22</v>
      </c>
      <c r="K894" s="2">
        <v>1</v>
      </c>
      <c r="L894" s="2">
        <v>8104.05</v>
      </c>
      <c r="M894" s="2">
        <v>0</v>
      </c>
      <c r="N894" s="2">
        <v>5859.0635613307513</v>
      </c>
      <c r="O894" s="2">
        <v>7718.14</v>
      </c>
      <c r="P894" s="2">
        <v>385.91</v>
      </c>
      <c r="Q894" s="2">
        <v>8104.05</v>
      </c>
      <c r="R894" s="2" t="s">
        <v>44</v>
      </c>
      <c r="S894" s="2"/>
      <c r="T894" s="2">
        <f t="shared" si="291"/>
        <v>1</v>
      </c>
      <c r="U894" s="18">
        <f t="shared" si="292"/>
        <v>8</v>
      </c>
      <c r="V894" s="18">
        <f t="shared" si="293"/>
        <v>2025</v>
      </c>
      <c r="W894" s="18">
        <f t="shared" si="294"/>
        <v>10</v>
      </c>
      <c r="X894" s="18">
        <f t="shared" si="295"/>
        <v>2025</v>
      </c>
      <c r="Y894" s="2">
        <f t="shared" si="288"/>
        <v>0.72297969056592093</v>
      </c>
      <c r="Z894" t="str">
        <f t="shared" si="289"/>
        <v>SO17747</v>
      </c>
      <c r="AA894" s="11">
        <f t="shared" si="296"/>
        <v>45894.64334490741</v>
      </c>
      <c r="AB894" s="5" t="str">
        <f t="shared" si="297"/>
        <v>INV13354</v>
      </c>
      <c r="AC894" s="5" t="str">
        <f>IFERROR(VLOOKUP(D894,CAARStatus!$A$2:$AA$1600,22,FALSE),"Not invoiced")</f>
        <v>Paid</v>
      </c>
      <c r="AD894" s="11">
        <f>IF(AC894="Paid",IFERROR(VLOOKUP(D894,CAARStatus!$A$2:$AA$1600,6,FALSE),"Pending"),"Pending")</f>
        <v>45958</v>
      </c>
      <c r="AE894" s="5" t="str">
        <f t="shared" si="298"/>
        <v>4500610533</v>
      </c>
      <c r="AF894" s="5" t="str">
        <f t="shared" si="299"/>
        <v>Resolute Forest Products - Saint-Felicien</v>
      </c>
      <c r="AG894" s="5" t="str">
        <f t="shared" si="300"/>
        <v>CAD</v>
      </c>
      <c r="AH894" s="5">
        <f t="shared" si="301"/>
        <v>7718.14</v>
      </c>
      <c r="AI894" s="12">
        <f>IF(L894-N894=0,VLOOKUP(U894,rate!A$4:B$15,2,FALSE)*AH894,IF(AG894="USD",O894,AH894*Y894))</f>
        <v>5580.0584689444568</v>
      </c>
      <c r="AJ894" s="13">
        <f t="shared" si="302"/>
        <v>0.72297969056592082</v>
      </c>
      <c r="AK894" s="13">
        <f>-IF(AG894="CAD",IFERROR(VLOOKUP(D894,CAARStatus!$A$1:$Y$1600,16,FALSE),0),0)</f>
        <v>-7718.14</v>
      </c>
      <c r="AL894" s="13">
        <f>-IF(AG894="USD",IFERROR(VLOOKUP(D894,CAARStatus!$A$1:$Y$1600,11,FALSE),0),0)</f>
        <v>0</v>
      </c>
      <c r="AM894" s="22">
        <f t="shared" si="303"/>
        <v>0</v>
      </c>
      <c r="AN894" s="12" t="str">
        <f t="shared" si="304"/>
        <v/>
      </c>
      <c r="AO894" s="12" t="str">
        <f t="shared" si="305"/>
        <v>Yes</v>
      </c>
      <c r="AP894" t="str">
        <f t="shared" si="290"/>
        <v>Yes</v>
      </c>
      <c r="AQ894" t="str">
        <f>IFERROR(VLOOKUP(Z894,InvBal!$L$4:$P$600,4,FALSE),"Pend")</f>
        <v>Pend</v>
      </c>
      <c r="AR894" t="str">
        <f>IFERROR(VLOOKUP(D894,Manual!$C$1:$E$22,2,FALSE),"Pend")</f>
        <v>Pend</v>
      </c>
      <c r="AS894" t="str">
        <f t="shared" si="306"/>
        <v>Yes</v>
      </c>
      <c r="AT894" t="str">
        <f t="shared" si="307"/>
        <v>Yes</v>
      </c>
      <c r="AU894" s="51" t="str">
        <f t="shared" si="308"/>
        <v>Yes</v>
      </c>
      <c r="AV894" s="12">
        <f>IFERROR(VLOOKUP(D894,'Receivable Invoice Detail'!$S$1:$U$3014,3,FALSE),0)</f>
        <v>0</v>
      </c>
      <c r="AW894" s="12">
        <f t="shared" si="309"/>
        <v>5580.0584689444568</v>
      </c>
    </row>
    <row r="895" spans="1:49" ht="30" x14ac:dyDescent="0.25">
      <c r="A895" s="2">
        <v>1</v>
      </c>
      <c r="B895" s="2" t="s">
        <v>777</v>
      </c>
      <c r="C895" s="2" t="s">
        <v>778</v>
      </c>
      <c r="D895" s="2" t="s">
        <v>3117</v>
      </c>
      <c r="E895" s="2" t="s">
        <v>20</v>
      </c>
      <c r="F895" s="3">
        <v>45894.69458333333</v>
      </c>
      <c r="G895" s="3">
        <v>45894.696574074071</v>
      </c>
      <c r="H895" s="4">
        <v>45901</v>
      </c>
      <c r="I895" s="2" t="s">
        <v>36</v>
      </c>
      <c r="J895" s="2" t="s">
        <v>22</v>
      </c>
      <c r="K895" s="2">
        <v>1</v>
      </c>
      <c r="L895" s="2">
        <v>662.17</v>
      </c>
      <c r="M895" s="2">
        <v>0</v>
      </c>
      <c r="N895" s="2">
        <v>478.73546170203582</v>
      </c>
      <c r="O895" s="2">
        <v>630.64</v>
      </c>
      <c r="P895" s="2">
        <v>31.53</v>
      </c>
      <c r="Q895" s="2">
        <v>662.17</v>
      </c>
      <c r="R895" s="2" t="s">
        <v>44</v>
      </c>
      <c r="S895" s="2"/>
      <c r="T895" s="2">
        <f t="shared" si="291"/>
        <v>1</v>
      </c>
      <c r="U895" s="18">
        <f t="shared" si="292"/>
        <v>8</v>
      </c>
      <c r="V895" s="18">
        <f t="shared" si="293"/>
        <v>2025</v>
      </c>
      <c r="W895" s="18" t="str">
        <f t="shared" si="294"/>
        <v/>
      </c>
      <c r="X895" s="18" t="str">
        <f t="shared" si="295"/>
        <v/>
      </c>
      <c r="Y895" s="2">
        <f t="shared" si="288"/>
        <v>0.72297969056592093</v>
      </c>
      <c r="Z895" t="str">
        <f t="shared" si="289"/>
        <v>SO17749</v>
      </c>
      <c r="AA895" s="11">
        <f t="shared" si="296"/>
        <v>45894.69458333333</v>
      </c>
      <c r="AB895" s="5" t="str">
        <f t="shared" si="297"/>
        <v>INV13349</v>
      </c>
      <c r="AC895" s="5" t="str">
        <f>IFERROR(VLOOKUP(D895,CAARStatus!$A$2:$AA$1600,22,FALSE),"Not invoiced")</f>
        <v>Approved</v>
      </c>
      <c r="AD895" s="11" t="str">
        <f>IF(AC895="Paid",IFERROR(VLOOKUP(D895,CAARStatus!$A$2:$AA$1600,6,FALSE),"Pending"),"Pending")</f>
        <v>Pending</v>
      </c>
      <c r="AE895" s="5" t="str">
        <f t="shared" si="298"/>
        <v>4500617962</v>
      </c>
      <c r="AF895" s="5" t="str">
        <f t="shared" si="299"/>
        <v>Resolute Forest Products - Saint-Felicien</v>
      </c>
      <c r="AG895" s="5" t="str">
        <f t="shared" si="300"/>
        <v>CAD</v>
      </c>
      <c r="AH895" s="5">
        <f t="shared" si="301"/>
        <v>630.64</v>
      </c>
      <c r="AI895" s="12">
        <f>IF(L895-N895=0,VLOOKUP(U895,rate!A$4:B$15,2,FALSE)*AH895,IF(AG895="USD",O895,AH895*Y895))</f>
        <v>455.93991205849238</v>
      </c>
      <c r="AJ895" s="13">
        <f t="shared" si="302"/>
        <v>0.72297969056592093</v>
      </c>
      <c r="AK895" s="61">
        <f>IF(AC895="Paid",-IF(AG895="CAD",IFERROR(VLOOKUP(D895,CAARStatus!$A$1:$Y$1600,16,FALSE),0),0),0)</f>
        <v>0</v>
      </c>
      <c r="AL895" s="61">
        <f>IF(AC895="Paid",-IF(AG895="USD",IFERROR(VLOOKUP(D895,CAARStatus!$A$1:$Y$1600,11,FALSE),0),0),0)</f>
        <v>0</v>
      </c>
      <c r="AM895" s="22">
        <f t="shared" si="303"/>
        <v>630.64</v>
      </c>
      <c r="AN895" s="12" t="str">
        <f t="shared" si="304"/>
        <v/>
      </c>
      <c r="AO895" s="12" t="str">
        <f t="shared" si="305"/>
        <v>Pend</v>
      </c>
      <c r="AP895" t="str">
        <f t="shared" si="290"/>
        <v>Pend</v>
      </c>
      <c r="AQ895" t="str">
        <f>IFERROR(VLOOKUP(Z895,InvBal!$L$4:$P$600,4,FALSE),"Pend")</f>
        <v>Pend</v>
      </c>
      <c r="AR895" t="str">
        <f>IFERROR(VLOOKUP(D895,Manual!$C$1:$E$22,2,FALSE),"Pend")</f>
        <v>Pend</v>
      </c>
      <c r="AS895" t="str">
        <f t="shared" si="306"/>
        <v/>
      </c>
      <c r="AT895" t="str">
        <f t="shared" si="307"/>
        <v>Yes</v>
      </c>
      <c r="AU895" s="51" t="str">
        <f t="shared" si="308"/>
        <v/>
      </c>
      <c r="AV895" s="12">
        <f>IFERROR(VLOOKUP(D895,'Receivable Invoice Detail'!$S$1:$U$3014,3,FALSE),0)</f>
        <v>0</v>
      </c>
      <c r="AW895" s="12">
        <f t="shared" si="309"/>
        <v>0</v>
      </c>
    </row>
    <row r="896" spans="1:49" ht="30" x14ac:dyDescent="0.25">
      <c r="A896" s="2">
        <v>1</v>
      </c>
      <c r="B896" s="2" t="s">
        <v>770</v>
      </c>
      <c r="C896" s="2" t="s">
        <v>771</v>
      </c>
      <c r="D896" s="2" t="s">
        <v>3119</v>
      </c>
      <c r="E896" s="2" t="s">
        <v>450</v>
      </c>
      <c r="F896" s="3">
        <v>45895.552754629629</v>
      </c>
      <c r="G896" s="3">
        <v>45895.712141203701</v>
      </c>
      <c r="H896" s="4">
        <v>45916</v>
      </c>
      <c r="I896" s="2" t="s">
        <v>36</v>
      </c>
      <c r="J896" s="2" t="s">
        <v>22</v>
      </c>
      <c r="K896" s="2">
        <v>1</v>
      </c>
      <c r="L896" s="2">
        <v>338.15</v>
      </c>
      <c r="M896" s="2">
        <v>0</v>
      </c>
      <c r="N896" s="2">
        <v>244.57908506549111</v>
      </c>
      <c r="O896" s="2">
        <v>299.25</v>
      </c>
      <c r="P896" s="2">
        <v>38.9</v>
      </c>
      <c r="Q896" s="2">
        <v>338.15</v>
      </c>
      <c r="R896" s="2" t="s">
        <v>44</v>
      </c>
      <c r="S896" s="2"/>
      <c r="T896" s="2">
        <f t="shared" si="291"/>
        <v>1</v>
      </c>
      <c r="U896" s="18">
        <f t="shared" si="292"/>
        <v>8</v>
      </c>
      <c r="V896" s="18">
        <f t="shared" si="293"/>
        <v>2025</v>
      </c>
      <c r="W896" s="18">
        <f t="shared" si="294"/>
        <v>9</v>
      </c>
      <c r="X896" s="18">
        <f t="shared" si="295"/>
        <v>2025</v>
      </c>
      <c r="Y896" s="2">
        <f t="shared" si="288"/>
        <v>0.72328577573707264</v>
      </c>
      <c r="Z896" t="str">
        <f t="shared" si="289"/>
        <v>SO17753</v>
      </c>
      <c r="AA896" s="11">
        <f t="shared" si="296"/>
        <v>45895.552754629629</v>
      </c>
      <c r="AB896" s="5" t="str">
        <f t="shared" si="297"/>
        <v>INV13367</v>
      </c>
      <c r="AC896" s="5" t="str">
        <f>IFERROR(VLOOKUP(D896,CAARStatus!$A$2:$AA$1600,22,FALSE),"Not invoiced")</f>
        <v>Paid</v>
      </c>
      <c r="AD896" s="11">
        <f>IF(AC896="Paid",IFERROR(VLOOKUP(D896,CAARStatus!$A$2:$AA$1600,6,FALSE),"Pending"),"Pending")</f>
        <v>45905</v>
      </c>
      <c r="AE896" s="5" t="str">
        <f t="shared" si="298"/>
        <v>A20250826</v>
      </c>
      <c r="AF896" s="5" t="str">
        <f t="shared" si="299"/>
        <v>Alpha Industrial &amp; Mining Supplies Limited</v>
      </c>
      <c r="AG896" s="5" t="str">
        <f t="shared" si="300"/>
        <v>CAD</v>
      </c>
      <c r="AH896" s="5">
        <f t="shared" si="301"/>
        <v>299.25</v>
      </c>
      <c r="AI896" s="12">
        <f>IF(L896-N896=0,VLOOKUP(U896,rate!A$4:B$15,2,FALSE)*AH896,IF(AG896="USD",O896,AH896*Y896))</f>
        <v>216.443268389319</v>
      </c>
      <c r="AJ896" s="13">
        <f t="shared" si="302"/>
        <v>0.72328577573707264</v>
      </c>
      <c r="AK896" s="61">
        <f>IF(AC896="Paid",-IF(AG896="CAD",IFERROR(VLOOKUP(D896,CAARStatus!$A$1:$Y$1600,16,FALSE),0),0),0)</f>
        <v>-299.25</v>
      </c>
      <c r="AL896" s="61">
        <f>IF(AC896="Paid",-IF(AG896="USD",IFERROR(VLOOKUP(D896,CAARStatus!$A$1:$Y$1600,11,FALSE),0),0),0)</f>
        <v>0</v>
      </c>
      <c r="AM896" s="22">
        <f t="shared" si="303"/>
        <v>0</v>
      </c>
      <c r="AN896" s="12" t="str">
        <f t="shared" si="304"/>
        <v/>
      </c>
      <c r="AO896" s="12" t="str">
        <f t="shared" si="305"/>
        <v>Yes</v>
      </c>
      <c r="AP896" t="str">
        <f t="shared" si="290"/>
        <v>Yes</v>
      </c>
      <c r="AQ896" t="str">
        <f>IFERROR(VLOOKUP(Z896,InvBal!$L$4:$P$600,4,FALSE),"Pend")</f>
        <v>Pend</v>
      </c>
      <c r="AR896" t="str">
        <f>IFERROR(VLOOKUP(D896,Manual!$C$1:$E$22,2,FALSE),"Pend")</f>
        <v>Pend</v>
      </c>
      <c r="AS896" t="str">
        <f t="shared" si="306"/>
        <v>Yes</v>
      </c>
      <c r="AT896" t="str">
        <f t="shared" si="307"/>
        <v>Yes</v>
      </c>
      <c r="AU896" s="51" t="str">
        <f t="shared" si="308"/>
        <v>Yes</v>
      </c>
      <c r="AV896" s="12">
        <f>IFERROR(VLOOKUP(D896,'Receivable Invoice Detail'!$S$1:$U$3014,3,FALSE),0)</f>
        <v>0</v>
      </c>
      <c r="AW896" s="12">
        <f t="shared" si="309"/>
        <v>216.443268389319</v>
      </c>
    </row>
    <row r="897" spans="1:49" x14ac:dyDescent="0.25">
      <c r="A897" s="2">
        <v>2</v>
      </c>
      <c r="B897" s="2" t="s">
        <v>768</v>
      </c>
      <c r="C897" s="2" t="s">
        <v>769</v>
      </c>
      <c r="D897" s="2" t="s">
        <v>3121</v>
      </c>
      <c r="E897" s="2" t="s">
        <v>192</v>
      </c>
      <c r="F897" s="3">
        <v>45895.751608796287</v>
      </c>
      <c r="G897" s="3">
        <v>45895.751932870371</v>
      </c>
      <c r="H897" s="4">
        <v>45902</v>
      </c>
      <c r="I897" s="2" t="s">
        <v>36</v>
      </c>
      <c r="J897" s="2" t="s">
        <v>51</v>
      </c>
      <c r="K897" s="2">
        <v>0.72297969056592093</v>
      </c>
      <c r="L897" s="2">
        <v>4155.7875542093761</v>
      </c>
      <c r="M897" s="2">
        <v>0</v>
      </c>
      <c r="N897" s="2">
        <v>3004.55</v>
      </c>
      <c r="O897" s="2">
        <v>3004.55</v>
      </c>
      <c r="P897" s="2"/>
      <c r="Q897" s="2">
        <v>3004.55</v>
      </c>
      <c r="R897" s="2" t="s">
        <v>44</v>
      </c>
      <c r="S897" s="2"/>
      <c r="T897" s="2">
        <f t="shared" si="291"/>
        <v>2</v>
      </c>
      <c r="U897" s="18">
        <f t="shared" si="292"/>
        <v>8</v>
      </c>
      <c r="V897" s="18">
        <f t="shared" si="293"/>
        <v>2025</v>
      </c>
      <c r="W897" s="18">
        <f t="shared" si="294"/>
        <v>11</v>
      </c>
      <c r="X897" s="18">
        <f t="shared" si="295"/>
        <v>2025</v>
      </c>
      <c r="Y897" s="2">
        <f t="shared" si="288"/>
        <v>0.72297969056592093</v>
      </c>
      <c r="Z897" t="str">
        <f t="shared" si="289"/>
        <v>SO17756</v>
      </c>
      <c r="AA897" s="11">
        <f t="shared" si="296"/>
        <v>45895.751608796287</v>
      </c>
      <c r="AB897" s="5" t="str">
        <f t="shared" si="297"/>
        <v>INV13353</v>
      </c>
      <c r="AC897" s="5" t="str">
        <f>IFERROR(VLOOKUP(D897,CAARStatus!$A$2:$AA$1600,22,FALSE),"Not invoiced")</f>
        <v>Paid</v>
      </c>
      <c r="AD897" s="11">
        <f>IF(AC897="Paid",IFERROR(VLOOKUP(D897,CAARStatus!$A$2:$AA$1600,6,FALSE),"Pending"),"Pending")</f>
        <v>45965</v>
      </c>
      <c r="AE897" s="5" t="str">
        <f t="shared" si="298"/>
        <v>PO-042213</v>
      </c>
      <c r="AF897" s="5" t="str">
        <f t="shared" si="299"/>
        <v>Southeast Pump Specialist, Inc.</v>
      </c>
      <c r="AG897" s="5" t="str">
        <f t="shared" si="300"/>
        <v>USD</v>
      </c>
      <c r="AH897" s="5">
        <f t="shared" si="301"/>
        <v>4155.7875542093761</v>
      </c>
      <c r="AI897" s="12">
        <f>IF(L897-N897=0,VLOOKUP(U897,rate!A$4:B$15,2,FALSE)*AH897,IF(AG897="USD",O897,AH897*Y897))</f>
        <v>3004.55</v>
      </c>
      <c r="AJ897" s="13">
        <f t="shared" si="302"/>
        <v>0.72297969056592093</v>
      </c>
      <c r="AK897" s="61">
        <f>IF(AC897="Paid",-IF(AG897="CAD",IFERROR(VLOOKUP(D897,CAARStatus!$A$1:$Y$1600,16,FALSE),0),0),0)</f>
        <v>0</v>
      </c>
      <c r="AL897" s="61">
        <f>IF(AC897="Paid",-IF(AG897="USD",IFERROR(VLOOKUP(D897,CAARStatus!$A$1:$Y$1600,11,FALSE),0),0),0)</f>
        <v>-3004.55</v>
      </c>
      <c r="AM897" s="22" t="str">
        <f t="shared" si="303"/>
        <v/>
      </c>
      <c r="AN897" s="12">
        <f t="shared" si="304"/>
        <v>0</v>
      </c>
      <c r="AO897" s="12" t="str">
        <f t="shared" si="305"/>
        <v>Yes</v>
      </c>
      <c r="AP897" t="str">
        <f t="shared" si="290"/>
        <v>XX</v>
      </c>
      <c r="AQ897" t="str">
        <f>IFERROR(VLOOKUP(Z897,InvBal!$L$4:$P$600,4,FALSE),"Pend")</f>
        <v>Yes</v>
      </c>
      <c r="AR897" t="str">
        <f>IFERROR(VLOOKUP(D897,Manual!$C$1:$E$22,2,FALSE),"Pend")</f>
        <v>Pend</v>
      </c>
      <c r="AS897" t="str">
        <f t="shared" si="306"/>
        <v>Yes</v>
      </c>
      <c r="AT897" t="str">
        <f t="shared" si="307"/>
        <v>Yes</v>
      </c>
      <c r="AU897" s="51" t="str">
        <f t="shared" si="308"/>
        <v>Yes</v>
      </c>
      <c r="AV897" s="12">
        <f>IFERROR(VLOOKUP(D897,'Receivable Invoice Detail'!$S$1:$U$3014,3,FALSE),0)</f>
        <v>590</v>
      </c>
      <c r="AW897" s="12">
        <f t="shared" si="309"/>
        <v>2414.5500000000002</v>
      </c>
    </row>
    <row r="898" spans="1:49" x14ac:dyDescent="0.25">
      <c r="A898" s="2"/>
      <c r="B898" s="2"/>
      <c r="C898" s="2"/>
      <c r="D898" s="2" t="s">
        <v>3120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>
        <f t="shared" si="291"/>
        <v>2</v>
      </c>
      <c r="U898" s="18">
        <f t="shared" si="292"/>
        <v>8</v>
      </c>
      <c r="V898" s="18">
        <f t="shared" si="293"/>
        <v>2025</v>
      </c>
      <c r="W898" s="18" t="str">
        <f t="shared" si="294"/>
        <v/>
      </c>
      <c r="X898" s="18" t="str">
        <f t="shared" si="295"/>
        <v/>
      </c>
      <c r="Y898" s="2">
        <f t="shared" ref="Y898:Y961" si="310">IF(C898="",Y897,N898/L898)</f>
        <v>0.72297969056592093</v>
      </c>
      <c r="Z898" t="str">
        <f t="shared" ref="Z898:Z961" si="311">IF(B898="",Z897,B898)</f>
        <v>SO17756</v>
      </c>
      <c r="AA898" s="11">
        <f t="shared" si="296"/>
        <v>45895.751608796287</v>
      </c>
      <c r="AB898" s="5" t="str">
        <f t="shared" si="297"/>
        <v>(* 79207)</v>
      </c>
      <c r="AC898" s="5" t="str">
        <f>IFERROR(VLOOKUP(D898,CAARStatus!$A$2:$AA$1600,22,FALSE),"Not invoiced")</f>
        <v>Not invoiced</v>
      </c>
      <c r="AD898" s="11" t="str">
        <f>IF(AC898="Paid",IFERROR(VLOOKUP(D898,CAARStatus!$A$2:$AA$1600,6,FALSE),"Pending"),"Pending")</f>
        <v>Pending</v>
      </c>
      <c r="AE898" s="5" t="str">
        <f t="shared" si="298"/>
        <v>PO-042213</v>
      </c>
      <c r="AF898" s="5" t="str">
        <f t="shared" si="299"/>
        <v>Southeast Pump Specialist, Inc.</v>
      </c>
      <c r="AG898" s="5" t="str">
        <f t="shared" si="300"/>
        <v>USD</v>
      </c>
      <c r="AH898" s="5">
        <f t="shared" si="301"/>
        <v>0</v>
      </c>
      <c r="AI898" s="12">
        <f>IF(L898-N898=0,VLOOKUP(U898,rate!A$4:B$15,2,FALSE)*AH898,IF(AG898="USD",O898,AH898*Y898))</f>
        <v>0</v>
      </c>
      <c r="AJ898" s="13">
        <f t="shared" si="302"/>
        <v>0</v>
      </c>
      <c r="AK898" s="13">
        <f>-IF(AG898="CAD",IFERROR(VLOOKUP(D898,CAARStatus!$A$1:$Y$1600,16,FALSE),0),0)</f>
        <v>0</v>
      </c>
      <c r="AL898" s="13">
        <f>-IF(AG898="USD",IFERROR(VLOOKUP(D898,CAARStatus!$A$1:$Y$1600,11,FALSE),0),0)</f>
        <v>0</v>
      </c>
      <c r="AM898" s="22" t="str">
        <f t="shared" si="303"/>
        <v/>
      </c>
      <c r="AN898" s="12">
        <f t="shared" si="304"/>
        <v>0</v>
      </c>
      <c r="AO898" s="12" t="str">
        <f t="shared" si="305"/>
        <v>Pend</v>
      </c>
      <c r="AP898" t="str">
        <f t="shared" ref="AP898:AP961" si="312">IF(AND(AO898="Pend",T898&lt;2),"Pend",IF(T898=1,"Yes","XX"))</f>
        <v>XX</v>
      </c>
      <c r="AQ898" t="str">
        <f>IFERROR(VLOOKUP(Z898,InvBal!$L$4:$P$600,4,FALSE),"Pend")</f>
        <v>Yes</v>
      </c>
      <c r="AR898" t="str">
        <f>IFERROR(VLOOKUP(D898,Manual!$C$1:$E$22,2,FALSE),"Pend")</f>
        <v>Pend</v>
      </c>
      <c r="AS898" t="str">
        <f t="shared" si="306"/>
        <v>Yes</v>
      </c>
      <c r="AT898" t="str">
        <f t="shared" si="307"/>
        <v/>
      </c>
      <c r="AU898" s="51" t="str">
        <f t="shared" si="308"/>
        <v/>
      </c>
      <c r="AV898" s="12">
        <f>IFERROR(VLOOKUP(D898,'Receivable Invoice Detail'!$S$1:$U$3014,3,FALSE),0)</f>
        <v>0</v>
      </c>
      <c r="AW898" s="12">
        <f t="shared" si="309"/>
        <v>0</v>
      </c>
    </row>
    <row r="899" spans="1:49" x14ac:dyDescent="0.25">
      <c r="A899" s="2">
        <v>1</v>
      </c>
      <c r="B899" s="2" t="s">
        <v>680</v>
      </c>
      <c r="C899" s="2" t="s">
        <v>681</v>
      </c>
      <c r="D899" s="2" t="s">
        <v>3163</v>
      </c>
      <c r="E899" s="2" t="s">
        <v>77</v>
      </c>
      <c r="F899" s="3">
        <v>45896.40215277778</v>
      </c>
      <c r="G899" s="3">
        <v>45908.661365740743</v>
      </c>
      <c r="H899" s="4">
        <v>45909</v>
      </c>
      <c r="I899" s="2" t="s">
        <v>40</v>
      </c>
      <c r="J899" s="2" t="s">
        <v>22</v>
      </c>
      <c r="K899" s="2">
        <v>1</v>
      </c>
      <c r="L899" s="2">
        <v>283.87</v>
      </c>
      <c r="M899" s="2">
        <v>0</v>
      </c>
      <c r="N899" s="2">
        <v>205.38609347975159</v>
      </c>
      <c r="O899" s="2">
        <v>270.35000000000002</v>
      </c>
      <c r="P899" s="2">
        <v>13.52</v>
      </c>
      <c r="Q899" s="2">
        <v>283.87</v>
      </c>
      <c r="R899" s="2" t="s">
        <v>44</v>
      </c>
      <c r="S899" s="2"/>
      <c r="T899" s="2">
        <f t="shared" ref="T899:T962" si="313">IF(A899="",T898,A899)</f>
        <v>1</v>
      </c>
      <c r="U899" s="18">
        <f t="shared" ref="U899:U962" si="314">IF(F899="",U898,MONTH(F899))</f>
        <v>8</v>
      </c>
      <c r="V899" s="18">
        <f t="shared" ref="V899:V962" si="315">IF(F899="",V898,YEAR(F899))</f>
        <v>2025</v>
      </c>
      <c r="W899" s="18">
        <f t="shared" ref="W899:W962" si="316">IF(AC899="Paid",MONTH(AD899),"")</f>
        <v>10</v>
      </c>
      <c r="X899" s="18">
        <f t="shared" ref="X899:X962" si="317">IF(AC899="Paid",YEAR(AD899),"")</f>
        <v>2025</v>
      </c>
      <c r="Y899" s="2">
        <f t="shared" si="310"/>
        <v>0.72352165949114589</v>
      </c>
      <c r="Z899" t="str">
        <f t="shared" si="311"/>
        <v>SO17758</v>
      </c>
      <c r="AA899" s="11">
        <f t="shared" ref="AA899:AA962" si="318">IF(F899="",AA898,F899)</f>
        <v>45896.40215277778</v>
      </c>
      <c r="AB899" s="5" t="str">
        <f t="shared" ref="AB899:AB962" si="319">IF(D899="","No Inv",D899)</f>
        <v>INV13391</v>
      </c>
      <c r="AC899" s="5" t="str">
        <f>IFERROR(VLOOKUP(D899,CAARStatus!$A$2:$AA$1600,22,FALSE),"Not invoiced")</f>
        <v>Paid</v>
      </c>
      <c r="AD899" s="11">
        <f>IF(AC899="Paid",IFERROR(VLOOKUP(D899,CAARStatus!$A$2:$AA$1600,6,FALSE),"Pending"),"Pending")</f>
        <v>45940</v>
      </c>
      <c r="AE899" s="5" t="str">
        <f t="shared" ref="AE899:AE962" si="320">IF(C899="",AE898,C899)</f>
        <v>PO-40-1017598</v>
      </c>
      <c r="AF899" s="5" t="str">
        <f t="shared" ref="AF899:AF962" si="321">IF(E899="",AF898,E899)</f>
        <v>Canadian Bearings Ltd.</v>
      </c>
      <c r="AG899" s="5" t="str">
        <f t="shared" ref="AG899:AG962" si="322">IF(J899="",AG898,J899)</f>
        <v>CAD</v>
      </c>
      <c r="AH899" s="5">
        <f t="shared" ref="AH899:AH962" si="323">IFERROR(IF(AG899="CAD",O899,O899/K899),0)</f>
        <v>270.35000000000002</v>
      </c>
      <c r="AI899" s="12">
        <f>IF(L899-N899=0,VLOOKUP(U899,rate!A$4:B$15,2,FALSE)*AH899,IF(AG899="USD",O899,AH899*Y899))</f>
        <v>195.6040806434313</v>
      </c>
      <c r="AJ899" s="13">
        <f t="shared" ref="AJ899:AJ962" si="324">IFERROR(AI899/AH899,0)</f>
        <v>0.72352165949114589</v>
      </c>
      <c r="AK899" s="13">
        <f>-IF(AG899="CAD",IFERROR(VLOOKUP(D899,CAARStatus!$A$1:$Y$1600,16,FALSE),0),0)</f>
        <v>-270.35000000000002</v>
      </c>
      <c r="AL899" s="13">
        <f>-IF(AG899="USD",IFERROR(VLOOKUP(D899,CAARStatus!$A$1:$Y$1600,11,FALSE),0),0)</f>
        <v>0</v>
      </c>
      <c r="AM899" s="22">
        <f t="shared" ref="AM899:AM962" si="325">IF(AG899="CAD",AH899+AK899,"")</f>
        <v>0</v>
      </c>
      <c r="AN899" s="12" t="str">
        <f t="shared" ref="AN899:AN962" si="326">IF(AG899="USD",AI899+AL899,"")</f>
        <v/>
      </c>
      <c r="AO899" s="12" t="str">
        <f t="shared" ref="AO899:AO962" si="327">IF(AC899="Paid","Yes","Pend")</f>
        <v>Yes</v>
      </c>
      <c r="AP899" t="str">
        <f t="shared" si="312"/>
        <v>Yes</v>
      </c>
      <c r="AQ899" t="str">
        <f>IFERROR(VLOOKUP(Z899,InvBal!$L$4:$P$600,4,FALSE),"Pend")</f>
        <v>Pend</v>
      </c>
      <c r="AR899" t="str">
        <f>IFERROR(VLOOKUP(D899,Manual!$C$1:$E$22,2,FALSE),"Pend")</f>
        <v>Pend</v>
      </c>
      <c r="AS899" t="str">
        <f t="shared" ref="AS899:AS962" si="328">IF(OR(AP899="Yes",AQ899="Yes",AR899="Yes"),"Yes","")</f>
        <v>Yes</v>
      </c>
      <c r="AT899" t="str">
        <f t="shared" ref="AT899:AT962" si="329">IF(R899="Delivered","Yes","")</f>
        <v>Yes</v>
      </c>
      <c r="AU899" s="51" t="str">
        <f t="shared" ref="AU899:AU962" si="330">IF(AND(AS899="Yes",AT899="Yes"),"Yes","")</f>
        <v>Yes</v>
      </c>
      <c r="AV899" s="12">
        <f>IFERROR(VLOOKUP(D899,'Receivable Invoice Detail'!$S$1:$U$3014,3,FALSE),0)</f>
        <v>0</v>
      </c>
      <c r="AW899" s="12">
        <f t="shared" ref="AW899:AW962" si="331">IF(AU899="Yes",AI899-AV899,0)</f>
        <v>195.6040806434313</v>
      </c>
    </row>
    <row r="900" spans="1:49" ht="30" x14ac:dyDescent="0.25">
      <c r="A900" s="2">
        <v>2</v>
      </c>
      <c r="B900" s="2" t="s">
        <v>697</v>
      </c>
      <c r="C900" s="2" t="s">
        <v>698</v>
      </c>
      <c r="D900" s="2" t="s">
        <v>3157</v>
      </c>
      <c r="E900" s="2" t="s">
        <v>39</v>
      </c>
      <c r="F900" s="3">
        <v>45896.532789351862</v>
      </c>
      <c r="G900" s="3">
        <v>45904.645405092589</v>
      </c>
      <c r="H900" s="4">
        <v>46048</v>
      </c>
      <c r="I900" s="2" t="s">
        <v>36</v>
      </c>
      <c r="J900" s="2" t="s">
        <v>22</v>
      </c>
      <c r="K900" s="2">
        <v>1</v>
      </c>
      <c r="L900" s="2">
        <v>8475.15</v>
      </c>
      <c r="M900" s="2">
        <v>0</v>
      </c>
      <c r="N900" s="2">
        <v>6128.3686907329557</v>
      </c>
      <c r="O900" s="2">
        <v>8071.57</v>
      </c>
      <c r="P900" s="2">
        <v>403.58</v>
      </c>
      <c r="Q900" s="2">
        <v>8475.15</v>
      </c>
      <c r="R900" s="2" t="s">
        <v>44</v>
      </c>
      <c r="S900" s="2"/>
      <c r="T900" s="2">
        <f t="shared" si="313"/>
        <v>2</v>
      </c>
      <c r="U900" s="18">
        <f t="shared" si="314"/>
        <v>8</v>
      </c>
      <c r="V900" s="18">
        <f t="shared" si="315"/>
        <v>2025</v>
      </c>
      <c r="W900" s="18">
        <f t="shared" si="316"/>
        <v>12</v>
      </c>
      <c r="X900" s="18">
        <f t="shared" si="317"/>
        <v>2025</v>
      </c>
      <c r="Y900" s="2">
        <f t="shared" si="310"/>
        <v>0.72309855173453641</v>
      </c>
      <c r="Z900" t="str">
        <f t="shared" si="311"/>
        <v>SO17759</v>
      </c>
      <c r="AA900" s="11">
        <f t="shared" si="318"/>
        <v>45896.532789351862</v>
      </c>
      <c r="AB900" s="5" t="str">
        <f t="shared" si="319"/>
        <v>INV13584</v>
      </c>
      <c r="AC900" s="5" t="str">
        <f>IFERROR(VLOOKUP(D900,CAARStatus!$A$2:$AA$1600,22,FALSE),"Not invoiced")</f>
        <v>Paid</v>
      </c>
      <c r="AD900" s="11">
        <f>IF(AC900="Paid",IFERROR(VLOOKUP(D900,CAARStatus!$A$2:$AA$1600,6,FALSE),"Pending"),"Pending")</f>
        <v>45992</v>
      </c>
      <c r="AE900" s="5" t="str">
        <f t="shared" si="320"/>
        <v>BC65-00081681</v>
      </c>
      <c r="AF900" s="5" t="str">
        <f t="shared" si="321"/>
        <v>Motion Industries Inc. (Canada) - Prince George</v>
      </c>
      <c r="AG900" s="5" t="str">
        <f t="shared" si="322"/>
        <v>CAD</v>
      </c>
      <c r="AH900" s="5">
        <f t="shared" si="323"/>
        <v>8071.57</v>
      </c>
      <c r="AI900" s="12">
        <f>IF(L900-N900=0,VLOOKUP(U900,rate!A$4:B$15,2,FALSE)*AH900,IF(AG900="USD",O900,AH900*Y900))</f>
        <v>5836.5405772239319</v>
      </c>
      <c r="AJ900" s="13">
        <f t="shared" si="324"/>
        <v>0.72309855173453641</v>
      </c>
      <c r="AK900" s="13">
        <f>-IF(AG900="CAD",IFERROR(VLOOKUP(D900,CAARStatus!$A$1:$Y$1600,16,FALSE),0),0)</f>
        <v>-214.2</v>
      </c>
      <c r="AL900" s="13">
        <f>-IF(AG900="USD",IFERROR(VLOOKUP(D900,CAARStatus!$A$1:$Y$1600,11,FALSE),0),0)</f>
        <v>0</v>
      </c>
      <c r="AM900" s="22">
        <f t="shared" si="325"/>
        <v>7857.37</v>
      </c>
      <c r="AN900" s="12" t="str">
        <f t="shared" si="326"/>
        <v/>
      </c>
      <c r="AO900" s="12" t="str">
        <f t="shared" si="327"/>
        <v>Yes</v>
      </c>
      <c r="AP900" t="str">
        <f t="shared" si="312"/>
        <v>XX</v>
      </c>
      <c r="AQ900" t="str">
        <f>IFERROR(VLOOKUP(Z900,InvBal!$L$4:$P$600,4,FALSE),"Pend")</f>
        <v>Yes</v>
      </c>
      <c r="AR900" t="str">
        <f>IFERROR(VLOOKUP(D900,Manual!$C$1:$E$22,2,FALSE),"Pend")</f>
        <v>Pend</v>
      </c>
      <c r="AS900" t="str">
        <f t="shared" si="328"/>
        <v>Yes</v>
      </c>
      <c r="AT900" t="str">
        <f t="shared" si="329"/>
        <v>Yes</v>
      </c>
      <c r="AU900" s="51" t="str">
        <f t="shared" si="330"/>
        <v>Yes</v>
      </c>
      <c r="AV900" s="12">
        <f>IFERROR(VLOOKUP(D900,'Receivable Invoice Detail'!$S$1:$U$3014,3,FALSE),0)</f>
        <v>0</v>
      </c>
      <c r="AW900" s="12">
        <f t="shared" si="331"/>
        <v>5836.5405772239319</v>
      </c>
    </row>
    <row r="901" spans="1:49" x14ac:dyDescent="0.25">
      <c r="A901" s="2"/>
      <c r="B901" s="2"/>
      <c r="C901" s="2"/>
      <c r="D901" s="2" t="s">
        <v>3156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>
        <f t="shared" si="313"/>
        <v>2</v>
      </c>
      <c r="U901" s="18">
        <f t="shared" si="314"/>
        <v>8</v>
      </c>
      <c r="V901" s="18">
        <f t="shared" si="315"/>
        <v>2025</v>
      </c>
      <c r="W901" s="18">
        <f t="shared" si="316"/>
        <v>12</v>
      </c>
      <c r="X901" s="18">
        <f t="shared" si="317"/>
        <v>2025</v>
      </c>
      <c r="Y901" s="2">
        <f t="shared" si="310"/>
        <v>0.72309855173453641</v>
      </c>
      <c r="Z901" t="str">
        <f t="shared" si="311"/>
        <v>SO17759</v>
      </c>
      <c r="AA901" s="11">
        <f t="shared" si="318"/>
        <v>45896.532789351862</v>
      </c>
      <c r="AB901" s="5" t="str">
        <f t="shared" si="319"/>
        <v>INV13636</v>
      </c>
      <c r="AC901" s="5" t="str">
        <f>IFERROR(VLOOKUP(D901,CAARStatus!$A$2:$AA$1600,22,FALSE),"Not invoiced")</f>
        <v>Paid</v>
      </c>
      <c r="AD901" s="11">
        <f>IF(AC901="Paid",IFERROR(VLOOKUP(D901,CAARStatus!$A$2:$AA$1600,6,FALSE),"Pending"),"Pending")</f>
        <v>46002</v>
      </c>
      <c r="AE901" s="5" t="str">
        <f t="shared" si="320"/>
        <v>BC65-00081681</v>
      </c>
      <c r="AF901" s="5" t="str">
        <f t="shared" si="321"/>
        <v>Motion Industries Inc. (Canada) - Prince George</v>
      </c>
      <c r="AG901" s="5" t="str">
        <f t="shared" si="322"/>
        <v>CAD</v>
      </c>
      <c r="AH901" s="5">
        <f t="shared" si="323"/>
        <v>0</v>
      </c>
      <c r="AI901" s="12">
        <f>IF(L901-N901=0,VLOOKUP(U901,rate!A$4:B$15,2,FALSE)*AH901,IF(AG901="USD",O901,AH901*Y901))</f>
        <v>0</v>
      </c>
      <c r="AJ901" s="13">
        <f t="shared" si="324"/>
        <v>0</v>
      </c>
      <c r="AK901" s="13">
        <f>-IF(AG901="CAD",IFERROR(VLOOKUP(D901,CAARStatus!$A$1:$Y$1600,16,FALSE),0),0)</f>
        <v>-7857.37</v>
      </c>
      <c r="AL901" s="13">
        <f>-IF(AG901="USD",IFERROR(VLOOKUP(D901,CAARStatus!$A$1:$Y$1600,11,FALSE),0),0)</f>
        <v>0</v>
      </c>
      <c r="AM901" s="22">
        <f t="shared" si="325"/>
        <v>-7857.37</v>
      </c>
      <c r="AN901" s="12" t="str">
        <f t="shared" si="326"/>
        <v/>
      </c>
      <c r="AO901" s="12" t="str">
        <f t="shared" si="327"/>
        <v>Yes</v>
      </c>
      <c r="AP901" t="str">
        <f t="shared" si="312"/>
        <v>XX</v>
      </c>
      <c r="AQ901" t="str">
        <f>IFERROR(VLOOKUP(Z901,InvBal!$L$4:$P$600,4,FALSE),"Pend")</f>
        <v>Yes</v>
      </c>
      <c r="AR901" t="str">
        <f>IFERROR(VLOOKUP(D901,Manual!$C$1:$E$22,2,FALSE),"Pend")</f>
        <v>Pend</v>
      </c>
      <c r="AS901" t="str">
        <f t="shared" si="328"/>
        <v>Yes</v>
      </c>
      <c r="AT901" t="str">
        <f t="shared" si="329"/>
        <v/>
      </c>
      <c r="AU901" s="51" t="str">
        <f t="shared" si="330"/>
        <v/>
      </c>
      <c r="AV901" s="12">
        <f>IFERROR(VLOOKUP(D901,'Receivable Invoice Detail'!$S$1:$U$3014,3,FALSE),0)</f>
        <v>0</v>
      </c>
      <c r="AW901" s="12">
        <f t="shared" si="331"/>
        <v>0</v>
      </c>
    </row>
    <row r="902" spans="1:49" ht="30" x14ac:dyDescent="0.25">
      <c r="A902" s="2">
        <v>2</v>
      </c>
      <c r="B902" s="2" t="s">
        <v>764</v>
      </c>
      <c r="C902" s="2"/>
      <c r="D902" s="2" t="s">
        <v>3123</v>
      </c>
      <c r="E902" s="2" t="s">
        <v>129</v>
      </c>
      <c r="F902" s="3">
        <v>45896.537141203713</v>
      </c>
      <c r="G902" s="3">
        <v>45896.531192129631</v>
      </c>
      <c r="H902" s="4">
        <v>45943</v>
      </c>
      <c r="I902" s="2" t="s">
        <v>328</v>
      </c>
      <c r="J902" s="2" t="s">
        <v>51</v>
      </c>
      <c r="K902" s="2">
        <v>0.72297969056592093</v>
      </c>
      <c r="L902" s="2">
        <v>2697.171200581879</v>
      </c>
      <c r="M902" s="2">
        <v>0</v>
      </c>
      <c r="N902" s="2">
        <v>1950</v>
      </c>
      <c r="O902" s="2">
        <v>1950</v>
      </c>
      <c r="P902" s="2"/>
      <c r="Q902" s="2">
        <v>1950</v>
      </c>
      <c r="R902" s="2" t="s">
        <v>44</v>
      </c>
      <c r="S902" s="2"/>
      <c r="T902" s="2">
        <f t="shared" si="313"/>
        <v>2</v>
      </c>
      <c r="U902" s="18">
        <f t="shared" si="314"/>
        <v>8</v>
      </c>
      <c r="V902" s="18">
        <f t="shared" si="315"/>
        <v>2025</v>
      </c>
      <c r="W902" s="18" t="str">
        <f t="shared" si="316"/>
        <v/>
      </c>
      <c r="X902" s="18" t="str">
        <f t="shared" si="317"/>
        <v/>
      </c>
      <c r="Y902" s="2">
        <f t="shared" si="310"/>
        <v>0.72309855173453641</v>
      </c>
      <c r="Z902" t="str">
        <f t="shared" si="311"/>
        <v>SO17760</v>
      </c>
      <c r="AA902" s="11">
        <f t="shared" si="318"/>
        <v>45896.537141203713</v>
      </c>
      <c r="AB902" s="5" t="str">
        <f t="shared" si="319"/>
        <v>INV13686</v>
      </c>
      <c r="AC902" s="5" t="str">
        <f>IFERROR(VLOOKUP(D902,CAARStatus!$A$2:$AA$1600,22,FALSE),"Not invoiced")</f>
        <v>Approved</v>
      </c>
      <c r="AD902" s="11" t="str">
        <f>IF(AC902="Paid",IFERROR(VLOOKUP(D902,CAARStatus!$A$2:$AA$1600,6,FALSE),"Pending"),"Pending")</f>
        <v>Pending</v>
      </c>
      <c r="AE902" s="5" t="str">
        <f t="shared" si="320"/>
        <v>BC65-00081681</v>
      </c>
      <c r="AF902" s="5" t="str">
        <f t="shared" si="321"/>
        <v>Dynapro Pumps México S de RL de CV</v>
      </c>
      <c r="AG902" s="5" t="str">
        <f t="shared" si="322"/>
        <v>USD</v>
      </c>
      <c r="AH902" s="5">
        <f t="shared" si="323"/>
        <v>2697.1712005818786</v>
      </c>
      <c r="AI902" s="12">
        <f>IF(L902-N902=0,VLOOKUP(U902,rate!A$4:B$15,2,FALSE)*AH902,IF(AG902="USD",O902,AH902*Y902))</f>
        <v>1950</v>
      </c>
      <c r="AJ902" s="13">
        <f t="shared" si="324"/>
        <v>0.72297969056592093</v>
      </c>
      <c r="AK902" s="13">
        <f>-IF(AG902="CAD",IFERROR(VLOOKUP(D902,CAARStatus!$A$1:$Y$1600,16,FALSE),0),0)</f>
        <v>0</v>
      </c>
      <c r="AL902" s="13">
        <f>-IF(AG902="USD",IFERROR(VLOOKUP(D902,CAARStatus!$A$1:$Y$1600,11,FALSE),0),0)</f>
        <v>-420</v>
      </c>
      <c r="AM902" s="22" t="str">
        <f t="shared" si="325"/>
        <v/>
      </c>
      <c r="AN902" s="12">
        <f t="shared" si="326"/>
        <v>1530</v>
      </c>
      <c r="AO902" s="12" t="str">
        <f t="shared" si="327"/>
        <v>Pend</v>
      </c>
      <c r="AP902" t="str">
        <f t="shared" si="312"/>
        <v>XX</v>
      </c>
      <c r="AQ902">
        <f>IFERROR(VLOOKUP(Z902,InvBal!$L$4:$P$600,4,FALSE),"Pend")</f>
        <v>0</v>
      </c>
      <c r="AR902" t="str">
        <f>IFERROR(VLOOKUP(D902,Manual!$C$1:$E$22,2,FALSE),"Pend")</f>
        <v>Pend</v>
      </c>
      <c r="AS902" t="str">
        <f t="shared" si="328"/>
        <v/>
      </c>
      <c r="AT902" t="str">
        <f t="shared" si="329"/>
        <v>Yes</v>
      </c>
      <c r="AU902" s="51" t="str">
        <f t="shared" si="330"/>
        <v/>
      </c>
      <c r="AV902" s="12">
        <f>IFERROR(VLOOKUP(D902,'Receivable Invoice Detail'!$S$1:$U$3014,3,FALSE),0)</f>
        <v>0</v>
      </c>
      <c r="AW902" s="12">
        <f t="shared" si="331"/>
        <v>0</v>
      </c>
    </row>
    <row r="903" spans="1:49" x14ac:dyDescent="0.25">
      <c r="A903" s="2"/>
      <c r="B903" s="2"/>
      <c r="C903" s="2"/>
      <c r="D903" s="2" t="s">
        <v>3122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>
        <f t="shared" si="313"/>
        <v>2</v>
      </c>
      <c r="U903" s="18">
        <f t="shared" si="314"/>
        <v>8</v>
      </c>
      <c r="V903" s="18">
        <f t="shared" si="315"/>
        <v>2025</v>
      </c>
      <c r="W903" s="18" t="str">
        <f t="shared" si="316"/>
        <v/>
      </c>
      <c r="X903" s="18" t="str">
        <f t="shared" si="317"/>
        <v/>
      </c>
      <c r="Y903" s="2">
        <f t="shared" si="310"/>
        <v>0.72309855173453641</v>
      </c>
      <c r="Z903" t="str">
        <f t="shared" si="311"/>
        <v>SO17760</v>
      </c>
      <c r="AA903" s="11">
        <f t="shared" si="318"/>
        <v>45896.537141203713</v>
      </c>
      <c r="AB903" s="5" t="str">
        <f t="shared" si="319"/>
        <v>INV13673</v>
      </c>
      <c r="AC903" s="5" t="str">
        <f>IFERROR(VLOOKUP(D903,CAARStatus!$A$2:$AA$1600,22,FALSE),"Not invoiced")</f>
        <v>Approved</v>
      </c>
      <c r="AD903" s="11" t="str">
        <f>IF(AC903="Paid",IFERROR(VLOOKUP(D903,CAARStatus!$A$2:$AA$1600,6,FALSE),"Pending"),"Pending")</f>
        <v>Pending</v>
      </c>
      <c r="AE903" s="5" t="str">
        <f t="shared" si="320"/>
        <v>BC65-00081681</v>
      </c>
      <c r="AF903" s="5" t="str">
        <f t="shared" si="321"/>
        <v>Dynapro Pumps México S de RL de CV</v>
      </c>
      <c r="AG903" s="5" t="str">
        <f t="shared" si="322"/>
        <v>USD</v>
      </c>
      <c r="AH903" s="5">
        <f t="shared" si="323"/>
        <v>0</v>
      </c>
      <c r="AI903" s="12">
        <f>IF(L903-N903=0,VLOOKUP(U903,rate!A$4:B$15,2,FALSE)*AH903,IF(AG903="USD",O903,AH903*Y903))</f>
        <v>0</v>
      </c>
      <c r="AJ903" s="13">
        <f t="shared" si="324"/>
        <v>0</v>
      </c>
      <c r="AK903" s="61">
        <f>IF(AC903="Paid",-IF(AG903="CAD",IFERROR(VLOOKUP(D903,CAARStatus!$A$1:$Y$1600,16,FALSE),0),0),0)</f>
        <v>0</v>
      </c>
      <c r="AL903" s="61">
        <f>IF(AC903="Paid",-IF(AG903="USD",IFERROR(VLOOKUP(D903,CAARStatus!$A$1:$Y$1600,11,FALSE),0),0),0)</f>
        <v>0</v>
      </c>
      <c r="AM903" s="22" t="str">
        <f t="shared" si="325"/>
        <v/>
      </c>
      <c r="AN903" s="12">
        <f t="shared" si="326"/>
        <v>0</v>
      </c>
      <c r="AO903" s="12" t="str">
        <f t="shared" si="327"/>
        <v>Pend</v>
      </c>
      <c r="AP903" t="str">
        <f t="shared" si="312"/>
        <v>XX</v>
      </c>
      <c r="AQ903">
        <f>IFERROR(VLOOKUP(Z903,InvBal!$L$4:$P$600,4,FALSE),"Pend")</f>
        <v>0</v>
      </c>
      <c r="AR903" t="str">
        <f>IFERROR(VLOOKUP(D903,Manual!$C$1:$E$22,2,FALSE),"Pend")</f>
        <v>Pend</v>
      </c>
      <c r="AS903" t="str">
        <f t="shared" si="328"/>
        <v/>
      </c>
      <c r="AT903" t="str">
        <f t="shared" si="329"/>
        <v/>
      </c>
      <c r="AU903" s="51" t="str">
        <f t="shared" si="330"/>
        <v/>
      </c>
      <c r="AV903" s="12">
        <f>IFERROR(VLOOKUP(D903,'Receivable Invoice Detail'!$S$1:$U$3014,3,FALSE),0)</f>
        <v>0</v>
      </c>
      <c r="AW903" s="12">
        <f t="shared" si="331"/>
        <v>0</v>
      </c>
    </row>
    <row r="904" spans="1:49" ht="30" x14ac:dyDescent="0.25">
      <c r="A904" s="2">
        <v>1</v>
      </c>
      <c r="B904" s="2" t="s">
        <v>760</v>
      </c>
      <c r="C904" s="2" t="s">
        <v>761</v>
      </c>
      <c r="D904" s="2" t="s">
        <v>3125</v>
      </c>
      <c r="E904" s="2" t="s">
        <v>159</v>
      </c>
      <c r="F904" s="3">
        <v>45896.580810185187</v>
      </c>
      <c r="G904" s="3">
        <v>45896.613969907397</v>
      </c>
      <c r="H904" s="4">
        <v>45901</v>
      </c>
      <c r="I904" s="2" t="s">
        <v>40</v>
      </c>
      <c r="J904" s="2" t="s">
        <v>51</v>
      </c>
      <c r="K904" s="2">
        <v>0.72297969056592093</v>
      </c>
      <c r="L904" s="2">
        <v>9778.1999857648989</v>
      </c>
      <c r="M904" s="2">
        <v>0</v>
      </c>
      <c r="N904" s="2">
        <v>7069.44</v>
      </c>
      <c r="O904" s="2">
        <v>7069.44</v>
      </c>
      <c r="P904" s="2"/>
      <c r="Q904" s="2">
        <v>7069.44</v>
      </c>
      <c r="R904" s="2" t="s">
        <v>44</v>
      </c>
      <c r="S904" s="2"/>
      <c r="T904" s="2">
        <f t="shared" si="313"/>
        <v>1</v>
      </c>
      <c r="U904" s="18">
        <f t="shared" si="314"/>
        <v>8</v>
      </c>
      <c r="V904" s="18">
        <f t="shared" si="315"/>
        <v>2025</v>
      </c>
      <c r="W904" s="18">
        <f t="shared" si="316"/>
        <v>10</v>
      </c>
      <c r="X904" s="18">
        <f t="shared" si="317"/>
        <v>2025</v>
      </c>
      <c r="Y904" s="2">
        <f t="shared" si="310"/>
        <v>0.72297969056592104</v>
      </c>
      <c r="Z904" t="str">
        <f t="shared" si="311"/>
        <v>SO17761</v>
      </c>
      <c r="AA904" s="11">
        <f t="shared" si="318"/>
        <v>45896.580810185187</v>
      </c>
      <c r="AB904" s="5" t="str">
        <f t="shared" si="319"/>
        <v>INV13378</v>
      </c>
      <c r="AC904" s="5" t="str">
        <f>IFERROR(VLOOKUP(D904,CAARStatus!$A$2:$AA$1600,22,FALSE),"Not invoiced")</f>
        <v>Paid</v>
      </c>
      <c r="AD904" s="11">
        <f>IF(AC904="Paid",IFERROR(VLOOKUP(D904,CAARStatus!$A$2:$AA$1600,6,FALSE),"Pending"),"Pending")</f>
        <v>45953</v>
      </c>
      <c r="AE904" s="5" t="str">
        <f t="shared" si="320"/>
        <v>4501270341</v>
      </c>
      <c r="AF904" s="5" t="str">
        <f t="shared" si="321"/>
        <v>Barrick Gold - Pueblo Viejo Dominicana Corporation</v>
      </c>
      <c r="AG904" s="5" t="str">
        <f t="shared" si="322"/>
        <v>USD</v>
      </c>
      <c r="AH904" s="5">
        <f t="shared" si="323"/>
        <v>9778.1999857648989</v>
      </c>
      <c r="AI904" s="12">
        <f>IF(L904-N904=0,VLOOKUP(U904,rate!A$4:B$15,2,FALSE)*AH904,IF(AG904="USD",O904,AH904*Y904))</f>
        <v>7069.44</v>
      </c>
      <c r="AJ904" s="13">
        <f t="shared" si="324"/>
        <v>0.72297969056592104</v>
      </c>
      <c r="AK904" s="13">
        <f>-IF(AG904="CAD",IFERROR(VLOOKUP(D904,CAARStatus!$A$1:$Y$1600,16,FALSE),0),0)</f>
        <v>0</v>
      </c>
      <c r="AL904" s="13">
        <f>-IF(AG904="USD",IFERROR(VLOOKUP(D904,CAARStatus!$A$1:$Y$1600,11,FALSE),0),0)</f>
        <v>-7069.44</v>
      </c>
      <c r="AM904" s="22" t="str">
        <f t="shared" si="325"/>
        <v/>
      </c>
      <c r="AN904" s="12">
        <f t="shared" si="326"/>
        <v>0</v>
      </c>
      <c r="AO904" s="12" t="str">
        <f t="shared" si="327"/>
        <v>Yes</v>
      </c>
      <c r="AP904" t="str">
        <f t="shared" si="312"/>
        <v>Yes</v>
      </c>
      <c r="AQ904" t="str">
        <f>IFERROR(VLOOKUP(Z904,InvBal!$L$4:$P$600,4,FALSE),"Pend")</f>
        <v>Pend</v>
      </c>
      <c r="AR904" t="str">
        <f>IFERROR(VLOOKUP(D904,Manual!$C$1:$E$22,2,FALSE),"Pend")</f>
        <v>Pend</v>
      </c>
      <c r="AS904" t="str">
        <f t="shared" si="328"/>
        <v>Yes</v>
      </c>
      <c r="AT904" t="str">
        <f t="shared" si="329"/>
        <v>Yes</v>
      </c>
      <c r="AU904" s="51" t="str">
        <f t="shared" si="330"/>
        <v>Yes</v>
      </c>
      <c r="AV904" s="12">
        <f>IFERROR(VLOOKUP(D904,'Receivable Invoice Detail'!$S$1:$U$3014,3,FALSE),0)</f>
        <v>0</v>
      </c>
      <c r="AW904" s="12">
        <f t="shared" si="331"/>
        <v>7069.44</v>
      </c>
    </row>
    <row r="905" spans="1:49" ht="45" x14ac:dyDescent="0.25">
      <c r="A905" s="2">
        <v>1</v>
      </c>
      <c r="B905" s="2" t="s">
        <v>726</v>
      </c>
      <c r="C905" s="2" t="s">
        <v>727</v>
      </c>
      <c r="D905" s="2" t="s">
        <v>3139</v>
      </c>
      <c r="E905" s="2" t="s">
        <v>728</v>
      </c>
      <c r="F905" s="3">
        <v>45896.6174537037</v>
      </c>
      <c r="G905" s="3">
        <v>45902.616203703707</v>
      </c>
      <c r="H905" s="4">
        <v>45961</v>
      </c>
      <c r="I905" s="2" t="s">
        <v>36</v>
      </c>
      <c r="J905" s="2" t="s">
        <v>22</v>
      </c>
      <c r="K905" s="2">
        <v>1</v>
      </c>
      <c r="L905" s="2">
        <v>2911.69</v>
      </c>
      <c r="M905" s="2">
        <v>0</v>
      </c>
      <c r="N905" s="2">
        <v>2112.1929935543972</v>
      </c>
      <c r="O905" s="2">
        <v>2576.7199999999998</v>
      </c>
      <c r="P905" s="2">
        <v>334.97</v>
      </c>
      <c r="Q905" s="2">
        <v>2911.69</v>
      </c>
      <c r="R905" s="2" t="s">
        <v>44</v>
      </c>
      <c r="S905" s="2"/>
      <c r="T905" s="2">
        <f t="shared" si="313"/>
        <v>1</v>
      </c>
      <c r="U905" s="18">
        <f t="shared" si="314"/>
        <v>8</v>
      </c>
      <c r="V905" s="18">
        <f t="shared" si="315"/>
        <v>2025</v>
      </c>
      <c r="W905" s="18">
        <f t="shared" si="316"/>
        <v>10</v>
      </c>
      <c r="X905" s="18">
        <f t="shared" si="317"/>
        <v>2025</v>
      </c>
      <c r="Y905" s="2">
        <f t="shared" si="310"/>
        <v>0.7254182256883106</v>
      </c>
      <c r="Z905" t="str">
        <f t="shared" si="311"/>
        <v>SO17763</v>
      </c>
      <c r="AA905" s="11">
        <f t="shared" si="318"/>
        <v>45896.6174537037</v>
      </c>
      <c r="AB905" s="5" t="str">
        <f t="shared" si="319"/>
        <v>INV13417</v>
      </c>
      <c r="AC905" s="5" t="str">
        <f>IFERROR(VLOOKUP(D905,CAARStatus!$A$2:$AA$1600,22,FALSE),"Not invoiced")</f>
        <v>Paid</v>
      </c>
      <c r="AD905" s="11">
        <f>IF(AC905="Paid",IFERROR(VLOOKUP(D905,CAARStatus!$A$2:$AA$1600,6,FALSE),"Pending"),"Pending")</f>
        <v>45947</v>
      </c>
      <c r="AE905" s="5" t="str">
        <f t="shared" si="320"/>
        <v>ON08-00285245</v>
      </c>
      <c r="AF905" s="5" t="str">
        <f t="shared" si="321"/>
        <v>Motion Industries Inc. (Canada) - North Bay, Motion Industries Canada</v>
      </c>
      <c r="AG905" s="5" t="str">
        <f t="shared" si="322"/>
        <v>CAD</v>
      </c>
      <c r="AH905" s="5">
        <f t="shared" si="323"/>
        <v>2576.7199999999998</v>
      </c>
      <c r="AI905" s="12">
        <f>IF(L905-N905=0,VLOOKUP(U905,rate!A$4:B$15,2,FALSE)*AH905,IF(AG905="USD",O905,AH905*Y905))</f>
        <v>1869.1996504955835</v>
      </c>
      <c r="AJ905" s="13">
        <f t="shared" si="324"/>
        <v>0.7254182256883106</v>
      </c>
      <c r="AK905" s="13">
        <f>-IF(AG905="CAD",IFERROR(VLOOKUP(D905,CAARStatus!$A$1:$Y$1600,16,FALSE),0),0)</f>
        <v>-2576.7199999999998</v>
      </c>
      <c r="AL905" s="13">
        <f>-IF(AG905="USD",IFERROR(VLOOKUP(D905,CAARStatus!$A$1:$Y$1600,11,FALSE),0),0)</f>
        <v>0</v>
      </c>
      <c r="AM905" s="22">
        <f t="shared" si="325"/>
        <v>0</v>
      </c>
      <c r="AN905" s="12" t="str">
        <f t="shared" si="326"/>
        <v/>
      </c>
      <c r="AO905" s="12" t="str">
        <f t="shared" si="327"/>
        <v>Yes</v>
      </c>
      <c r="AP905" t="str">
        <f t="shared" si="312"/>
        <v>Yes</v>
      </c>
      <c r="AQ905" t="str">
        <f>IFERROR(VLOOKUP(Z905,InvBal!$L$4:$P$600,4,FALSE),"Pend")</f>
        <v>Pend</v>
      </c>
      <c r="AR905" t="str">
        <f>IFERROR(VLOOKUP(D905,Manual!$C$1:$E$22,2,FALSE),"Pend")</f>
        <v>Pend</v>
      </c>
      <c r="AS905" t="str">
        <f t="shared" si="328"/>
        <v>Yes</v>
      </c>
      <c r="AT905" t="str">
        <f t="shared" si="329"/>
        <v>Yes</v>
      </c>
      <c r="AU905" s="51" t="str">
        <f t="shared" si="330"/>
        <v>Yes</v>
      </c>
      <c r="AV905" s="12">
        <f>IFERROR(VLOOKUP(D905,'Receivable Invoice Detail'!$S$1:$U$3014,3,FALSE),0)</f>
        <v>0</v>
      </c>
      <c r="AW905" s="12">
        <f t="shared" si="331"/>
        <v>1869.1996504955835</v>
      </c>
    </row>
    <row r="906" spans="1:49" x14ac:dyDescent="0.25">
      <c r="A906" s="2">
        <v>1</v>
      </c>
      <c r="B906" s="2" t="s">
        <v>758</v>
      </c>
      <c r="C906" s="2" t="s">
        <v>759</v>
      </c>
      <c r="D906" s="2" t="s">
        <v>3126</v>
      </c>
      <c r="E906" s="2" t="s">
        <v>109</v>
      </c>
      <c r="F906" s="3">
        <v>45896.702326388891</v>
      </c>
      <c r="G906" s="3">
        <v>45897.407060185193</v>
      </c>
      <c r="H906" s="4">
        <v>45898</v>
      </c>
      <c r="I906" s="2" t="s">
        <v>21</v>
      </c>
      <c r="J906" s="2" t="s">
        <v>51</v>
      </c>
      <c r="K906" s="2">
        <v>0.72328577573707276</v>
      </c>
      <c r="L906" s="2">
        <v>18960.735106430871</v>
      </c>
      <c r="M906" s="2">
        <v>0</v>
      </c>
      <c r="N906" s="2">
        <v>13714.03</v>
      </c>
      <c r="O906" s="2">
        <v>13714.03</v>
      </c>
      <c r="P906" s="2"/>
      <c r="Q906" s="2">
        <v>13714.03</v>
      </c>
      <c r="R906" s="2" t="s">
        <v>44</v>
      </c>
      <c r="S906" s="2"/>
      <c r="T906" s="2">
        <f t="shared" si="313"/>
        <v>1</v>
      </c>
      <c r="U906" s="18">
        <f t="shared" si="314"/>
        <v>8</v>
      </c>
      <c r="V906" s="18">
        <f t="shared" si="315"/>
        <v>2025</v>
      </c>
      <c r="W906" s="18">
        <f t="shared" si="316"/>
        <v>10</v>
      </c>
      <c r="X906" s="18">
        <f t="shared" si="317"/>
        <v>2025</v>
      </c>
      <c r="Y906" s="2">
        <f t="shared" si="310"/>
        <v>0.72328577573707276</v>
      </c>
      <c r="Z906" t="str">
        <f t="shared" si="311"/>
        <v>SO17765</v>
      </c>
      <c r="AA906" s="11">
        <f t="shared" si="318"/>
        <v>45896.702326388891</v>
      </c>
      <c r="AB906" s="5" t="str">
        <f t="shared" si="319"/>
        <v>INV13384</v>
      </c>
      <c r="AC906" s="5" t="str">
        <f>IFERROR(VLOOKUP(D906,CAARStatus!$A$2:$AA$1600,22,FALSE),"Not invoiced")</f>
        <v>Paid</v>
      </c>
      <c r="AD906" s="11">
        <f>IF(AC906="Paid",IFERROR(VLOOKUP(D906,CAARStatus!$A$2:$AA$1600,6,FALSE),"Pending"),"Pending")</f>
        <v>45940</v>
      </c>
      <c r="AE906" s="5" t="str">
        <f t="shared" si="320"/>
        <v>3970</v>
      </c>
      <c r="AF906" s="5" t="str">
        <f t="shared" si="321"/>
        <v>Middle Georgia Fluid Sealing LLC</v>
      </c>
      <c r="AG906" s="5" t="str">
        <f t="shared" si="322"/>
        <v>USD</v>
      </c>
      <c r="AH906" s="5">
        <f t="shared" si="323"/>
        <v>18960.735106430871</v>
      </c>
      <c r="AI906" s="12">
        <f>IF(L906-N906=0,VLOOKUP(U906,rate!A$4:B$15,2,FALSE)*AH906,IF(AG906="USD",O906,AH906*Y906))</f>
        <v>13714.03</v>
      </c>
      <c r="AJ906" s="13">
        <f t="shared" si="324"/>
        <v>0.72328577573707276</v>
      </c>
      <c r="AK906" s="13">
        <f>-IF(AG906="CAD",IFERROR(VLOOKUP(D906,CAARStatus!$A$1:$Y$1600,16,FALSE),0),0)</f>
        <v>0</v>
      </c>
      <c r="AL906" s="13">
        <f>-IF(AG906="USD",IFERROR(VLOOKUP(D906,CAARStatus!$A$1:$Y$1600,11,FALSE),0),0)</f>
        <v>-13714.03</v>
      </c>
      <c r="AM906" s="22" t="str">
        <f t="shared" si="325"/>
        <v/>
      </c>
      <c r="AN906" s="12">
        <f t="shared" si="326"/>
        <v>0</v>
      </c>
      <c r="AO906" s="12" t="str">
        <f t="shared" si="327"/>
        <v>Yes</v>
      </c>
      <c r="AP906" t="str">
        <f t="shared" si="312"/>
        <v>Yes</v>
      </c>
      <c r="AQ906" t="str">
        <f>IFERROR(VLOOKUP(Z906,InvBal!$L$4:$P$600,4,FALSE),"Pend")</f>
        <v>Pend</v>
      </c>
      <c r="AR906" t="str">
        <f>IFERROR(VLOOKUP(D906,Manual!$C$1:$E$22,2,FALSE),"Pend")</f>
        <v>Pend</v>
      </c>
      <c r="AS906" t="str">
        <f t="shared" si="328"/>
        <v>Yes</v>
      </c>
      <c r="AT906" t="str">
        <f t="shared" si="329"/>
        <v>Yes</v>
      </c>
      <c r="AU906" s="51" t="str">
        <f t="shared" si="330"/>
        <v>Yes</v>
      </c>
      <c r="AV906" s="12">
        <f>IFERROR(VLOOKUP(D906,'Receivable Invoice Detail'!$S$1:$U$3014,3,FALSE),0)</f>
        <v>622</v>
      </c>
      <c r="AW906" s="12">
        <f t="shared" si="331"/>
        <v>13092.03</v>
      </c>
    </row>
    <row r="907" spans="1:49" ht="30" x14ac:dyDescent="0.25">
      <c r="A907" s="2">
        <v>2</v>
      </c>
      <c r="B907" s="2" t="s">
        <v>724</v>
      </c>
      <c r="C907" s="2" t="s">
        <v>725</v>
      </c>
      <c r="D907" s="2" t="s">
        <v>3141</v>
      </c>
      <c r="E907" s="2" t="s">
        <v>83</v>
      </c>
      <c r="F907" s="3">
        <v>45897.539988425917</v>
      </c>
      <c r="G907" s="3">
        <v>45902.720601851863</v>
      </c>
      <c r="H907" s="4">
        <v>45910</v>
      </c>
      <c r="I907" s="2" t="s">
        <v>21</v>
      </c>
      <c r="J907" s="2" t="s">
        <v>22</v>
      </c>
      <c r="K907" s="2">
        <v>1</v>
      </c>
      <c r="L907" s="2">
        <v>27525.7</v>
      </c>
      <c r="M907" s="2">
        <v>0</v>
      </c>
      <c r="N907" s="2">
        <v>19967.644454828729</v>
      </c>
      <c r="O907" s="2">
        <v>27525.7</v>
      </c>
      <c r="P907" s="2"/>
      <c r="Q907" s="2">
        <v>27525.7</v>
      </c>
      <c r="R907" s="2" t="s">
        <v>44</v>
      </c>
      <c r="S907" s="2"/>
      <c r="T907" s="2">
        <f t="shared" si="313"/>
        <v>2</v>
      </c>
      <c r="U907" s="18">
        <f t="shared" si="314"/>
        <v>8</v>
      </c>
      <c r="V907" s="18">
        <f t="shared" si="315"/>
        <v>2025</v>
      </c>
      <c r="W907" s="18">
        <f t="shared" si="316"/>
        <v>10</v>
      </c>
      <c r="X907" s="18">
        <f t="shared" si="317"/>
        <v>2025</v>
      </c>
      <c r="Y907" s="2">
        <f t="shared" si="310"/>
        <v>0.72541822568831049</v>
      </c>
      <c r="Z907" t="str">
        <f t="shared" si="311"/>
        <v>SO17768</v>
      </c>
      <c r="AA907" s="11">
        <f t="shared" si="318"/>
        <v>45897.539988425917</v>
      </c>
      <c r="AB907" s="5" t="str">
        <f t="shared" si="319"/>
        <v>INV13383</v>
      </c>
      <c r="AC907" s="5" t="str">
        <f>IFERROR(VLOOKUP(D907,CAARStatus!$A$2:$AA$1600,22,FALSE),"Not invoiced")</f>
        <v>Paid</v>
      </c>
      <c r="AD907" s="11">
        <f>IF(AC907="Paid",IFERROR(VLOOKUP(D907,CAARStatus!$A$2:$AA$1600,6,FALSE),"Pending"),"Pending")</f>
        <v>45940</v>
      </c>
      <c r="AE907" s="5" t="str">
        <f t="shared" si="320"/>
        <v>6500021909</v>
      </c>
      <c r="AF907" s="5" t="str">
        <f t="shared" si="321"/>
        <v>Wesdome Gold Mines Ltd - Eagle River Mine</v>
      </c>
      <c r="AG907" s="5" t="str">
        <f t="shared" si="322"/>
        <v>CAD</v>
      </c>
      <c r="AH907" s="5">
        <f t="shared" si="323"/>
        <v>27525.7</v>
      </c>
      <c r="AI907" s="12">
        <f>IF(L907-N907=0,VLOOKUP(U907,rate!A$4:B$15,2,FALSE)*AH907,IF(AG907="USD",O907,AH907*Y907))</f>
        <v>19967.644454828729</v>
      </c>
      <c r="AJ907" s="13">
        <f t="shared" si="324"/>
        <v>0.72541822568831049</v>
      </c>
      <c r="AK907" s="13">
        <f>-IF(AG907="CAD",IFERROR(VLOOKUP(D907,CAARStatus!$A$1:$Y$1600,16,FALSE),0),0)</f>
        <v>-27525.7</v>
      </c>
      <c r="AL907" s="13">
        <f>-IF(AG907="USD",IFERROR(VLOOKUP(D907,CAARStatus!$A$1:$Y$1600,11,FALSE),0),0)</f>
        <v>0</v>
      </c>
      <c r="AM907" s="22">
        <f t="shared" si="325"/>
        <v>0</v>
      </c>
      <c r="AN907" s="12" t="str">
        <f t="shared" si="326"/>
        <v/>
      </c>
      <c r="AO907" s="12" t="str">
        <f t="shared" si="327"/>
        <v>Yes</v>
      </c>
      <c r="AP907" t="str">
        <f t="shared" si="312"/>
        <v>XX</v>
      </c>
      <c r="AQ907" t="str">
        <f>IFERROR(VLOOKUP(Z907,InvBal!$L$4:$P$600,4,FALSE),"Pend")</f>
        <v>Yes</v>
      </c>
      <c r="AR907" t="str">
        <f>IFERROR(VLOOKUP(D907,Manual!$C$1:$E$22,2,FALSE),"Pend")</f>
        <v>Pend</v>
      </c>
      <c r="AS907" t="str">
        <f t="shared" si="328"/>
        <v>Yes</v>
      </c>
      <c r="AT907" t="str">
        <f t="shared" si="329"/>
        <v>Yes</v>
      </c>
      <c r="AU907" s="51" t="str">
        <f t="shared" si="330"/>
        <v>Yes</v>
      </c>
      <c r="AV907" s="12">
        <f>IFERROR(VLOOKUP(D907,'Receivable Invoice Detail'!$S$1:$U$3014,3,FALSE),0)</f>
        <v>0</v>
      </c>
      <c r="AW907" s="12">
        <f t="shared" si="331"/>
        <v>19967.644454828729</v>
      </c>
    </row>
    <row r="908" spans="1:49" x14ac:dyDescent="0.25">
      <c r="A908" s="2"/>
      <c r="B908" s="2"/>
      <c r="C908" s="2"/>
      <c r="D908" s="2" t="s">
        <v>3140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>
        <f t="shared" si="313"/>
        <v>2</v>
      </c>
      <c r="U908" s="18">
        <f t="shared" si="314"/>
        <v>8</v>
      </c>
      <c r="V908" s="18">
        <f t="shared" si="315"/>
        <v>2025</v>
      </c>
      <c r="W908" s="18">
        <f t="shared" si="316"/>
        <v>1</v>
      </c>
      <c r="X908" s="18">
        <f t="shared" si="317"/>
        <v>1900</v>
      </c>
      <c r="Y908" s="2">
        <f t="shared" si="310"/>
        <v>0.72541822568831049</v>
      </c>
      <c r="Z908" t="str">
        <f t="shared" si="311"/>
        <v>SO17768</v>
      </c>
      <c r="AA908" s="11">
        <f t="shared" si="318"/>
        <v>45897.539988425917</v>
      </c>
      <c r="AB908" s="5" t="str">
        <f t="shared" si="319"/>
        <v>INV13426</v>
      </c>
      <c r="AC908" s="5" t="str">
        <f>IFERROR(VLOOKUP(D908,CAARStatus!$A$2:$AA$1600,22,FALSE),"Not invoiced")</f>
        <v>Paid</v>
      </c>
      <c r="AD908" s="11">
        <f>IF(AC908="Paid",IFERROR(VLOOKUP(D908,CAARStatus!$A$2:$AA$1600,6,FALSE),"Pending"),"Pending")</f>
        <v>0</v>
      </c>
      <c r="AE908" s="5" t="str">
        <f t="shared" si="320"/>
        <v>6500021909</v>
      </c>
      <c r="AF908" s="5" t="str">
        <f t="shared" si="321"/>
        <v>Wesdome Gold Mines Ltd - Eagle River Mine</v>
      </c>
      <c r="AG908" s="5" t="str">
        <f t="shared" si="322"/>
        <v>CAD</v>
      </c>
      <c r="AH908" s="5">
        <f t="shared" si="323"/>
        <v>0</v>
      </c>
      <c r="AI908" s="12">
        <f>IF(L908-N908=0,VLOOKUP(U908,rate!A$4:B$15,2,FALSE)*AH908,IF(AG908="USD",O908,AH908*Y908))</f>
        <v>0</v>
      </c>
      <c r="AJ908" s="13">
        <f t="shared" si="324"/>
        <v>0</v>
      </c>
      <c r="AK908" s="13">
        <f>-IF(AG908="CAD",IFERROR(VLOOKUP(D908,CAARStatus!$A$1:$Y$1600,16,FALSE),0),0)</f>
        <v>0</v>
      </c>
      <c r="AL908" s="13">
        <f>-IF(AG908="USD",IFERROR(VLOOKUP(D908,CAARStatus!$A$1:$Y$1600,11,FALSE),0),0)</f>
        <v>0</v>
      </c>
      <c r="AM908" s="22">
        <f t="shared" si="325"/>
        <v>0</v>
      </c>
      <c r="AN908" s="12" t="str">
        <f t="shared" si="326"/>
        <v/>
      </c>
      <c r="AO908" s="12" t="str">
        <f t="shared" si="327"/>
        <v>Yes</v>
      </c>
      <c r="AP908" t="str">
        <f t="shared" si="312"/>
        <v>XX</v>
      </c>
      <c r="AQ908" t="str">
        <f>IFERROR(VLOOKUP(Z908,InvBal!$L$4:$P$600,4,FALSE),"Pend")</f>
        <v>Yes</v>
      </c>
      <c r="AR908" t="str">
        <f>IFERROR(VLOOKUP(D908,Manual!$C$1:$E$22,2,FALSE),"Pend")</f>
        <v>Pend</v>
      </c>
      <c r="AS908" t="str">
        <f t="shared" si="328"/>
        <v>Yes</v>
      </c>
      <c r="AT908" t="str">
        <f t="shared" si="329"/>
        <v/>
      </c>
      <c r="AU908" s="51" t="str">
        <f t="shared" si="330"/>
        <v/>
      </c>
      <c r="AV908" s="12">
        <f>IFERROR(VLOOKUP(D908,'Receivable Invoice Detail'!$S$1:$U$3014,3,FALSE),0)</f>
        <v>0</v>
      </c>
      <c r="AW908" s="12">
        <f t="shared" si="331"/>
        <v>0</v>
      </c>
    </row>
    <row r="909" spans="1:49" ht="30" x14ac:dyDescent="0.25">
      <c r="A909" s="2">
        <v>2</v>
      </c>
      <c r="B909" s="2" t="s">
        <v>749</v>
      </c>
      <c r="C909" s="2" t="s">
        <v>750</v>
      </c>
      <c r="D909" s="2" t="s">
        <v>3131</v>
      </c>
      <c r="E909" s="2" t="s">
        <v>159</v>
      </c>
      <c r="F909" s="3">
        <v>45897.564039351862</v>
      </c>
      <c r="G909" s="3">
        <v>45897.568194444437</v>
      </c>
      <c r="H909" s="4">
        <v>45902</v>
      </c>
      <c r="I909" s="2" t="s">
        <v>40</v>
      </c>
      <c r="J909" s="2" t="s">
        <v>51</v>
      </c>
      <c r="K909" s="2">
        <v>0.72328577573707276</v>
      </c>
      <c r="L909" s="2">
        <v>31086.578437253149</v>
      </c>
      <c r="M909" s="2">
        <v>0</v>
      </c>
      <c r="N909" s="2">
        <v>22484.48</v>
      </c>
      <c r="O909" s="2">
        <v>22484.48</v>
      </c>
      <c r="P909" s="2"/>
      <c r="Q909" s="2">
        <v>22484.48</v>
      </c>
      <c r="R909" s="2" t="s">
        <v>44</v>
      </c>
      <c r="S909" s="2"/>
      <c r="T909" s="2">
        <f t="shared" si="313"/>
        <v>2</v>
      </c>
      <c r="U909" s="18">
        <f t="shared" si="314"/>
        <v>8</v>
      </c>
      <c r="V909" s="18">
        <f t="shared" si="315"/>
        <v>2025</v>
      </c>
      <c r="W909" s="18">
        <f t="shared" si="316"/>
        <v>1</v>
      </c>
      <c r="X909" s="18">
        <f t="shared" si="317"/>
        <v>2026</v>
      </c>
      <c r="Y909" s="2">
        <f t="shared" si="310"/>
        <v>0.72328577573707264</v>
      </c>
      <c r="Z909" t="str">
        <f t="shared" si="311"/>
        <v>SO17769</v>
      </c>
      <c r="AA909" s="11">
        <f t="shared" si="318"/>
        <v>45897.564039351862</v>
      </c>
      <c r="AB909" s="5" t="str">
        <f t="shared" si="319"/>
        <v>INV13643</v>
      </c>
      <c r="AC909" s="5" t="str">
        <f>IFERROR(VLOOKUP(D909,CAARStatus!$A$2:$AA$1600,22,FALSE),"Not invoiced")</f>
        <v>Paid</v>
      </c>
      <c r="AD909" s="11">
        <f>IF(AC909="Paid",IFERROR(VLOOKUP(D909,CAARStatus!$A$2:$AA$1600,6,FALSE),"Pending"),"Pending")</f>
        <v>46024</v>
      </c>
      <c r="AE909" s="5" t="str">
        <f t="shared" si="320"/>
        <v>4501270800</v>
      </c>
      <c r="AF909" s="5" t="str">
        <f t="shared" si="321"/>
        <v>Barrick Gold - Pueblo Viejo Dominicana Corporation</v>
      </c>
      <c r="AG909" s="5" t="str">
        <f t="shared" si="322"/>
        <v>USD</v>
      </c>
      <c r="AH909" s="5">
        <f t="shared" si="323"/>
        <v>31086.578437253145</v>
      </c>
      <c r="AI909" s="12">
        <f>IF(L909-N909=0,VLOOKUP(U909,rate!A$4:B$15,2,FALSE)*AH909,IF(AG909="USD",O909,AH909*Y909))</f>
        <v>22484.48</v>
      </c>
      <c r="AJ909" s="13">
        <f t="shared" si="324"/>
        <v>0.72328577573707276</v>
      </c>
      <c r="AK909" s="13">
        <f>-IF(AG909="CAD",IFERROR(VLOOKUP(D909,CAARStatus!$A$1:$Y$1600,16,FALSE),0),0)</f>
        <v>0</v>
      </c>
      <c r="AL909" s="13">
        <f>-IF(AG909="USD",IFERROR(VLOOKUP(D909,CAARStatus!$A$1:$Y$1600,11,FALSE),0),0)</f>
        <v>-1405.28</v>
      </c>
      <c r="AM909" s="22" t="str">
        <f t="shared" si="325"/>
        <v/>
      </c>
      <c r="AN909" s="12">
        <f t="shared" si="326"/>
        <v>21079.200000000001</v>
      </c>
      <c r="AO909" s="12" t="str">
        <f t="shared" si="327"/>
        <v>Yes</v>
      </c>
      <c r="AP909" t="str">
        <f t="shared" si="312"/>
        <v>XX</v>
      </c>
      <c r="AQ909" t="str">
        <f>IFERROR(VLOOKUP(Z909,InvBal!$L$4:$P$600,4,FALSE),"Pend")</f>
        <v>Yes</v>
      </c>
      <c r="AR909" t="str">
        <f>IFERROR(VLOOKUP(D909,Manual!$C$1:$E$22,2,FALSE),"Pend")</f>
        <v>Pend</v>
      </c>
      <c r="AS909" t="str">
        <f t="shared" si="328"/>
        <v>Yes</v>
      </c>
      <c r="AT909" t="str">
        <f t="shared" si="329"/>
        <v>Yes</v>
      </c>
      <c r="AU909" s="51" t="str">
        <f t="shared" si="330"/>
        <v>Yes</v>
      </c>
      <c r="AV909" s="12">
        <f>IFERROR(VLOOKUP(D909,'Receivable Invoice Detail'!$S$1:$U$3014,3,FALSE),0)</f>
        <v>0</v>
      </c>
      <c r="AW909" s="12">
        <f t="shared" si="331"/>
        <v>22484.48</v>
      </c>
    </row>
    <row r="910" spans="1:49" x14ac:dyDescent="0.25">
      <c r="A910" s="2"/>
      <c r="B910" s="2"/>
      <c r="C910" s="2"/>
      <c r="D910" s="2" t="s">
        <v>3130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>
        <f t="shared" si="313"/>
        <v>2</v>
      </c>
      <c r="U910" s="18">
        <f t="shared" si="314"/>
        <v>8</v>
      </c>
      <c r="V910" s="18">
        <f t="shared" si="315"/>
        <v>2025</v>
      </c>
      <c r="W910" s="18">
        <f t="shared" si="316"/>
        <v>10</v>
      </c>
      <c r="X910" s="18">
        <f t="shared" si="317"/>
        <v>2025</v>
      </c>
      <c r="Y910" s="2">
        <f t="shared" si="310"/>
        <v>0.72328577573707264</v>
      </c>
      <c r="Z910" t="str">
        <f t="shared" si="311"/>
        <v>SO17769</v>
      </c>
      <c r="AA910" s="11">
        <f t="shared" si="318"/>
        <v>45897.564039351862</v>
      </c>
      <c r="AB910" s="5" t="str">
        <f t="shared" si="319"/>
        <v>INV13377</v>
      </c>
      <c r="AC910" s="5" t="str">
        <f>IFERROR(VLOOKUP(D910,CAARStatus!$A$2:$AA$1600,22,FALSE),"Not invoiced")</f>
        <v>Paid</v>
      </c>
      <c r="AD910" s="11">
        <f>IF(AC910="Paid",IFERROR(VLOOKUP(D910,CAARStatus!$A$2:$AA$1600,6,FALSE),"Pending"),"Pending")</f>
        <v>45953</v>
      </c>
      <c r="AE910" s="5" t="str">
        <f t="shared" si="320"/>
        <v>4501270800</v>
      </c>
      <c r="AF910" s="5" t="str">
        <f t="shared" si="321"/>
        <v>Barrick Gold - Pueblo Viejo Dominicana Corporation</v>
      </c>
      <c r="AG910" s="5" t="str">
        <f t="shared" si="322"/>
        <v>USD</v>
      </c>
      <c r="AH910" s="5">
        <f t="shared" si="323"/>
        <v>0</v>
      </c>
      <c r="AI910" s="12">
        <f>IF(L910-N910=0,VLOOKUP(U910,rate!A$4:B$15,2,FALSE)*AH910,IF(AG910="USD",O910,AH910*Y910))</f>
        <v>0</v>
      </c>
      <c r="AJ910" s="13">
        <f t="shared" si="324"/>
        <v>0</v>
      </c>
      <c r="AK910" s="61">
        <f>IF(AC910="Paid",-IF(AG910="CAD",IFERROR(VLOOKUP(D910,CAARStatus!$A$1:$Y$1600,16,FALSE),0),0),0)</f>
        <v>0</v>
      </c>
      <c r="AL910" s="61">
        <f>IF(AC910="Paid",-IF(AG910="USD",IFERROR(VLOOKUP(D910,CAARStatus!$A$1:$Y$1600,11,FALSE),0),0),0)</f>
        <v>-21079.200000000001</v>
      </c>
      <c r="AM910" s="22" t="str">
        <f t="shared" si="325"/>
        <v/>
      </c>
      <c r="AN910" s="12">
        <f t="shared" si="326"/>
        <v>-21079.200000000001</v>
      </c>
      <c r="AO910" s="12" t="str">
        <f t="shared" si="327"/>
        <v>Yes</v>
      </c>
      <c r="AP910" t="str">
        <f t="shared" si="312"/>
        <v>XX</v>
      </c>
      <c r="AQ910" t="str">
        <f>IFERROR(VLOOKUP(Z910,InvBal!$L$4:$P$600,4,FALSE),"Pend")</f>
        <v>Yes</v>
      </c>
      <c r="AR910" t="str">
        <f>IFERROR(VLOOKUP(D910,Manual!$C$1:$E$22,2,FALSE),"Pend")</f>
        <v>Pend</v>
      </c>
      <c r="AS910" t="str">
        <f t="shared" si="328"/>
        <v>Yes</v>
      </c>
      <c r="AT910" t="str">
        <f t="shared" si="329"/>
        <v/>
      </c>
      <c r="AU910" s="51" t="str">
        <f t="shared" si="330"/>
        <v/>
      </c>
      <c r="AV910" s="12">
        <f>IFERROR(VLOOKUP(D910,'Receivable Invoice Detail'!$S$1:$U$3014,3,FALSE),0)</f>
        <v>0</v>
      </c>
      <c r="AW910" s="12">
        <f t="shared" si="331"/>
        <v>0</v>
      </c>
    </row>
    <row r="911" spans="1:49" ht="30" x14ac:dyDescent="0.25">
      <c r="A911" s="2">
        <v>1</v>
      </c>
      <c r="B911" s="2" t="s">
        <v>737</v>
      </c>
      <c r="C911" s="2" t="s">
        <v>738</v>
      </c>
      <c r="D911" s="2" t="s">
        <v>3134</v>
      </c>
      <c r="E911" s="2" t="s">
        <v>739</v>
      </c>
      <c r="F911" s="3">
        <v>45898.39162037037</v>
      </c>
      <c r="G911" s="3">
        <v>45898.622141203698</v>
      </c>
      <c r="H911" s="4">
        <v>45901</v>
      </c>
      <c r="I911" s="2" t="s">
        <v>40</v>
      </c>
      <c r="J911" s="2" t="s">
        <v>51</v>
      </c>
      <c r="K911" s="2">
        <v>0.72327371605913215</v>
      </c>
      <c r="L911" s="2">
        <v>371.64353415826872</v>
      </c>
      <c r="M911" s="2">
        <v>0</v>
      </c>
      <c r="N911" s="2">
        <v>268.8</v>
      </c>
      <c r="O911" s="2">
        <v>268.8</v>
      </c>
      <c r="P911" s="2"/>
      <c r="Q911" s="2">
        <v>268.8</v>
      </c>
      <c r="R911" s="2" t="s">
        <v>44</v>
      </c>
      <c r="S911" s="2"/>
      <c r="T911" s="2">
        <f t="shared" si="313"/>
        <v>1</v>
      </c>
      <c r="U911" s="18">
        <f t="shared" si="314"/>
        <v>8</v>
      </c>
      <c r="V911" s="18">
        <f t="shared" si="315"/>
        <v>2025</v>
      </c>
      <c r="W911" s="18">
        <f t="shared" si="316"/>
        <v>11</v>
      </c>
      <c r="X911" s="18">
        <f t="shared" si="317"/>
        <v>2025</v>
      </c>
      <c r="Y911" s="2">
        <f t="shared" si="310"/>
        <v>0.72327371605913204</v>
      </c>
      <c r="Z911" t="str">
        <f t="shared" si="311"/>
        <v>SO17774</v>
      </c>
      <c r="AA911" s="11">
        <f t="shared" si="318"/>
        <v>45898.39162037037</v>
      </c>
      <c r="AB911" s="5" t="str">
        <f t="shared" si="319"/>
        <v>INV13362</v>
      </c>
      <c r="AC911" s="5" t="str">
        <f>IFERROR(VLOOKUP(D911,CAARStatus!$A$2:$AA$1600,22,FALSE),"Not invoiced")</f>
        <v>Paid</v>
      </c>
      <c r="AD911" s="11">
        <f>IF(AC911="Paid",IFERROR(VLOOKUP(D911,CAARStatus!$A$2:$AA$1600,6,FALSE),"Pending"),"Pending")</f>
        <v>45965</v>
      </c>
      <c r="AE911" s="5" t="str">
        <f t="shared" si="320"/>
        <v>FL06-00052065</v>
      </c>
      <c r="AF911" s="5" t="str">
        <f t="shared" si="321"/>
        <v>Motion Industries Inc. (U.S.) - Clewiston</v>
      </c>
      <c r="AG911" s="5" t="str">
        <f t="shared" si="322"/>
        <v>USD</v>
      </c>
      <c r="AH911" s="5">
        <f t="shared" si="323"/>
        <v>371.64353415826866</v>
      </c>
      <c r="AI911" s="12">
        <f>IF(L911-N911=0,VLOOKUP(U911,rate!A$4:B$15,2,FALSE)*AH911,IF(AG911="USD",O911,AH911*Y911))</f>
        <v>268.8</v>
      </c>
      <c r="AJ911" s="13">
        <f t="shared" si="324"/>
        <v>0.72327371605913215</v>
      </c>
      <c r="AK911" s="13">
        <f>-IF(AG911="CAD",IFERROR(VLOOKUP(D911,CAARStatus!$A$1:$Y$1600,16,FALSE),0),0)</f>
        <v>0</v>
      </c>
      <c r="AL911" s="13">
        <f>-IF(AG911="USD",IFERROR(VLOOKUP(D911,CAARStatus!$A$1:$Y$1600,11,FALSE),0),0)</f>
        <v>-268.8</v>
      </c>
      <c r="AM911" s="22" t="str">
        <f t="shared" si="325"/>
        <v/>
      </c>
      <c r="AN911" s="12">
        <f t="shared" si="326"/>
        <v>0</v>
      </c>
      <c r="AO911" s="12" t="str">
        <f t="shared" si="327"/>
        <v>Yes</v>
      </c>
      <c r="AP911" t="str">
        <f t="shared" si="312"/>
        <v>Yes</v>
      </c>
      <c r="AQ911" t="str">
        <f>IFERROR(VLOOKUP(Z911,InvBal!$L$4:$P$600,4,FALSE),"Pend")</f>
        <v>Pend</v>
      </c>
      <c r="AR911" t="str">
        <f>IFERROR(VLOOKUP(D911,Manual!$C$1:$E$22,2,FALSE),"Pend")</f>
        <v>Pend</v>
      </c>
      <c r="AS911" t="str">
        <f t="shared" si="328"/>
        <v>Yes</v>
      </c>
      <c r="AT911" t="str">
        <f t="shared" si="329"/>
        <v>Yes</v>
      </c>
      <c r="AU911" s="51" t="str">
        <f t="shared" si="330"/>
        <v>Yes</v>
      </c>
      <c r="AV911" s="12">
        <f>IFERROR(VLOOKUP(D911,'Receivable Invoice Detail'!$S$1:$U$3014,3,FALSE),0)</f>
        <v>0</v>
      </c>
      <c r="AW911" s="12">
        <f t="shared" si="331"/>
        <v>268.8</v>
      </c>
    </row>
    <row r="912" spans="1:49" x14ac:dyDescent="0.25">
      <c r="A912" s="2">
        <v>1</v>
      </c>
      <c r="B912" s="2" t="s">
        <v>743</v>
      </c>
      <c r="C912" s="2" t="s">
        <v>744</v>
      </c>
      <c r="D912" s="2" t="s">
        <v>6047</v>
      </c>
      <c r="E912" s="2" t="s">
        <v>141</v>
      </c>
      <c r="F912" s="3">
        <v>45898.405891203707</v>
      </c>
      <c r="G912" s="3">
        <v>45898.493287037039</v>
      </c>
      <c r="H912" s="4">
        <v>45961</v>
      </c>
      <c r="I912" s="2" t="s">
        <v>40</v>
      </c>
      <c r="J912" s="2" t="s">
        <v>51</v>
      </c>
      <c r="K912" s="2">
        <v>0.72327371605913215</v>
      </c>
      <c r="L912" s="2">
        <v>1484.0578002038781</v>
      </c>
      <c r="M912" s="2">
        <v>0</v>
      </c>
      <c r="N912" s="2">
        <v>1073.3800000000001</v>
      </c>
      <c r="O912" s="2">
        <v>1073.3800000000001</v>
      </c>
      <c r="P912" s="2"/>
      <c r="Q912" s="2">
        <v>1073.3800000000001</v>
      </c>
      <c r="R912" s="2" t="s">
        <v>44</v>
      </c>
      <c r="S912" s="2"/>
      <c r="T912" s="2">
        <f t="shared" si="313"/>
        <v>1</v>
      </c>
      <c r="U912" s="18">
        <f t="shared" si="314"/>
        <v>8</v>
      </c>
      <c r="V912" s="18">
        <f t="shared" si="315"/>
        <v>2025</v>
      </c>
      <c r="W912" s="18" t="str">
        <f t="shared" si="316"/>
        <v/>
      </c>
      <c r="X912" s="18" t="str">
        <f t="shared" si="317"/>
        <v/>
      </c>
      <c r="Y912" s="2">
        <f t="shared" si="310"/>
        <v>0.72327371605913227</v>
      </c>
      <c r="Z912" t="str">
        <f t="shared" si="311"/>
        <v>SO17775</v>
      </c>
      <c r="AA912" s="11">
        <f t="shared" si="318"/>
        <v>45898.405891203707</v>
      </c>
      <c r="AB912" s="5" t="str">
        <f t="shared" si="319"/>
        <v>INV13791</v>
      </c>
      <c r="AC912" s="5" t="str">
        <f>IFERROR(VLOOKUP(D912,CAARStatus!$A$2:$AA$1600,22,FALSE),"Not invoiced")</f>
        <v>Approved</v>
      </c>
      <c r="AD912" s="11" t="str">
        <f>IF(AC912="Paid",IFERROR(VLOOKUP(D912,CAARStatus!$A$2:$AA$1600,6,FALSE),"Pending"),"Pending")</f>
        <v>Pending</v>
      </c>
      <c r="AE912" s="5" t="str">
        <f t="shared" si="320"/>
        <v>4512273854</v>
      </c>
      <c r="AF912" s="5" t="str">
        <f t="shared" si="321"/>
        <v>PT Vale Indonesia Tbk.</v>
      </c>
      <c r="AG912" s="5" t="str">
        <f t="shared" si="322"/>
        <v>USD</v>
      </c>
      <c r="AH912" s="5">
        <f t="shared" si="323"/>
        <v>1484.0578002038783</v>
      </c>
      <c r="AI912" s="12">
        <f>IF(L912-N912=0,VLOOKUP(U912,rate!A$4:B$15,2,FALSE)*AH912,IF(AG912="USD",O912,AH912*Y912))</f>
        <v>1073.3800000000001</v>
      </c>
      <c r="AJ912" s="13">
        <f t="shared" si="324"/>
        <v>0.72327371605913215</v>
      </c>
      <c r="AK912" s="13">
        <f>-IF(AG912="CAD",IFERROR(VLOOKUP(D912,CAARStatus!$A$1:$Y$1600,16,FALSE),0),0)</f>
        <v>0</v>
      </c>
      <c r="AL912" s="13">
        <f>-IF(AG912="USD",IFERROR(VLOOKUP(D912,CAARStatus!$A$1:$Y$1600,11,FALSE),0),0)</f>
        <v>-1073.3800000000001</v>
      </c>
      <c r="AM912" s="22" t="str">
        <f t="shared" si="325"/>
        <v/>
      </c>
      <c r="AN912" s="12">
        <f t="shared" si="326"/>
        <v>0</v>
      </c>
      <c r="AO912" s="12" t="str">
        <f t="shared" si="327"/>
        <v>Pend</v>
      </c>
      <c r="AP912" t="str">
        <f t="shared" si="312"/>
        <v>Pend</v>
      </c>
      <c r="AQ912" t="str">
        <f>IFERROR(VLOOKUP(Z912,InvBal!$L$4:$P$600,4,FALSE),"Pend")</f>
        <v>Pend</v>
      </c>
      <c r="AR912" t="str">
        <f>IFERROR(VLOOKUP(D912,Manual!$C$1:$E$22,2,FALSE),"Pend")</f>
        <v>Pend</v>
      </c>
      <c r="AS912" t="str">
        <f t="shared" si="328"/>
        <v/>
      </c>
      <c r="AT912" t="str">
        <f t="shared" si="329"/>
        <v>Yes</v>
      </c>
      <c r="AU912" s="51" t="str">
        <f t="shared" si="330"/>
        <v/>
      </c>
      <c r="AV912" s="12">
        <f>IFERROR(VLOOKUP(D912,'Receivable Invoice Detail'!$S$1:$U$3014,3,FALSE),0)</f>
        <v>0</v>
      </c>
      <c r="AW912" s="12">
        <f t="shared" si="331"/>
        <v>0</v>
      </c>
    </row>
    <row r="913" spans="1:49" x14ac:dyDescent="0.25">
      <c r="A913" s="2">
        <v>1</v>
      </c>
      <c r="B913" s="2" t="s">
        <v>721</v>
      </c>
      <c r="C913" s="2" t="s">
        <v>722</v>
      </c>
      <c r="D913" s="2" t="s">
        <v>3142</v>
      </c>
      <c r="E913" s="2" t="s">
        <v>723</v>
      </c>
      <c r="F913" s="3">
        <v>45898.520289351851</v>
      </c>
      <c r="G913" s="3">
        <v>45902.731944444437</v>
      </c>
      <c r="H913" s="4">
        <v>45909</v>
      </c>
      <c r="I913" s="2" t="s">
        <v>71</v>
      </c>
      <c r="J913" s="2" t="s">
        <v>51</v>
      </c>
      <c r="K913" s="2">
        <v>0.72576773408832196</v>
      </c>
      <c r="L913" s="2">
        <v>8216.692090191882</v>
      </c>
      <c r="M913" s="2">
        <v>0</v>
      </c>
      <c r="N913" s="2">
        <v>5963.41</v>
      </c>
      <c r="O913" s="2">
        <v>5963.41</v>
      </c>
      <c r="P913" s="2"/>
      <c r="Q913" s="2">
        <v>5963.41</v>
      </c>
      <c r="R913" s="2" t="s">
        <v>44</v>
      </c>
      <c r="S913" s="2"/>
      <c r="T913" s="2">
        <f t="shared" si="313"/>
        <v>1</v>
      </c>
      <c r="U913" s="18">
        <f t="shared" si="314"/>
        <v>8</v>
      </c>
      <c r="V913" s="18">
        <f t="shared" si="315"/>
        <v>2025</v>
      </c>
      <c r="W913" s="18">
        <f t="shared" si="316"/>
        <v>12</v>
      </c>
      <c r="X913" s="18">
        <f t="shared" si="317"/>
        <v>2025</v>
      </c>
      <c r="Y913" s="2">
        <f t="shared" si="310"/>
        <v>0.72576773408832196</v>
      </c>
      <c r="Z913" t="str">
        <f t="shared" si="311"/>
        <v>SO17776</v>
      </c>
      <c r="AA913" s="11">
        <f t="shared" si="318"/>
        <v>45898.520289351851</v>
      </c>
      <c r="AB913" s="5" t="str">
        <f t="shared" si="319"/>
        <v>INV13368</v>
      </c>
      <c r="AC913" s="5" t="str">
        <f>IFERROR(VLOOKUP(D913,CAARStatus!$A$2:$AA$1600,22,FALSE),"Not invoiced")</f>
        <v>Paid</v>
      </c>
      <c r="AD913" s="11">
        <f>IF(AC913="Paid",IFERROR(VLOOKUP(D913,CAARStatus!$A$2:$AA$1600,6,FALSE),"Pending"),"Pending")</f>
        <v>45999</v>
      </c>
      <c r="AE913" s="5" t="str">
        <f t="shared" si="320"/>
        <v>P366236</v>
      </c>
      <c r="AF913" s="5" t="str">
        <f t="shared" si="321"/>
        <v>Covia Corp - Blue Mountain</v>
      </c>
      <c r="AG913" s="5" t="str">
        <f t="shared" si="322"/>
        <v>USD</v>
      </c>
      <c r="AH913" s="5">
        <f t="shared" si="323"/>
        <v>8216.692090191882</v>
      </c>
      <c r="AI913" s="12">
        <f>IF(L913-N913=0,VLOOKUP(U913,rate!A$4:B$15,2,FALSE)*AH913,IF(AG913="USD",O913,AH913*Y913))</f>
        <v>5963.41</v>
      </c>
      <c r="AJ913" s="13">
        <f t="shared" si="324"/>
        <v>0.72576773408832196</v>
      </c>
      <c r="AK913" s="13">
        <f>-IF(AG913="CAD",IFERROR(VLOOKUP(D913,CAARStatus!$A$1:$Y$1600,16,FALSE),0),0)</f>
        <v>0</v>
      </c>
      <c r="AL913" s="13">
        <f>-IF(AG913="USD",IFERROR(VLOOKUP(D913,CAARStatus!$A$1:$Y$1600,11,FALSE),0),0)</f>
        <v>-5963.41</v>
      </c>
      <c r="AM913" s="22" t="str">
        <f t="shared" si="325"/>
        <v/>
      </c>
      <c r="AN913" s="12">
        <f t="shared" si="326"/>
        <v>0</v>
      </c>
      <c r="AO913" s="12" t="str">
        <f t="shared" si="327"/>
        <v>Yes</v>
      </c>
      <c r="AP913" t="str">
        <f t="shared" si="312"/>
        <v>Yes</v>
      </c>
      <c r="AQ913" t="str">
        <f>IFERROR(VLOOKUP(Z913,InvBal!$L$4:$P$600,4,FALSE),"Pend")</f>
        <v>Pend</v>
      </c>
      <c r="AR913" t="str">
        <f>IFERROR(VLOOKUP(D913,Manual!$C$1:$E$22,2,FALSE),"Pend")</f>
        <v>Pend</v>
      </c>
      <c r="AS913" t="str">
        <f t="shared" si="328"/>
        <v>Yes</v>
      </c>
      <c r="AT913" t="str">
        <f t="shared" si="329"/>
        <v>Yes</v>
      </c>
      <c r="AU913" s="51" t="str">
        <f t="shared" si="330"/>
        <v>Yes</v>
      </c>
      <c r="AV913" s="12">
        <f>IFERROR(VLOOKUP(D913,'Receivable Invoice Detail'!$S$1:$U$3014,3,FALSE),0)</f>
        <v>288.35000000000002</v>
      </c>
      <c r="AW913" s="12">
        <f t="shared" si="331"/>
        <v>5675.0599999999995</v>
      </c>
    </row>
    <row r="914" spans="1:49" x14ac:dyDescent="0.25">
      <c r="A914" s="2">
        <v>1</v>
      </c>
      <c r="B914" s="2" t="s">
        <v>740</v>
      </c>
      <c r="C914" s="2" t="s">
        <v>741</v>
      </c>
      <c r="D914" s="2" t="s">
        <v>3133</v>
      </c>
      <c r="E914" s="2" t="s">
        <v>742</v>
      </c>
      <c r="F914" s="3">
        <v>45898.577349537038</v>
      </c>
      <c r="G914" s="3">
        <v>45898.578425925924</v>
      </c>
      <c r="H914" s="4">
        <v>45926</v>
      </c>
      <c r="I914" s="2" t="s">
        <v>36</v>
      </c>
      <c r="J914" s="2" t="s">
        <v>51</v>
      </c>
      <c r="K914" s="2">
        <v>0.72327371605913215</v>
      </c>
      <c r="L914" s="2">
        <v>2861.7796472376949</v>
      </c>
      <c r="M914" s="2">
        <v>0</v>
      </c>
      <c r="N914" s="2">
        <v>2069.85</v>
      </c>
      <c r="O914" s="2">
        <v>2069.85</v>
      </c>
      <c r="P914" s="2"/>
      <c r="Q914" s="2">
        <v>2069.85</v>
      </c>
      <c r="R914" s="2" t="s">
        <v>44</v>
      </c>
      <c r="S914" s="2"/>
      <c r="T914" s="2">
        <f t="shared" si="313"/>
        <v>1</v>
      </c>
      <c r="U914" s="18">
        <f t="shared" si="314"/>
        <v>8</v>
      </c>
      <c r="V914" s="18">
        <f t="shared" si="315"/>
        <v>2025</v>
      </c>
      <c r="W914" s="18">
        <f t="shared" si="316"/>
        <v>9</v>
      </c>
      <c r="X914" s="18">
        <f t="shared" si="317"/>
        <v>2025</v>
      </c>
      <c r="Y914" s="2">
        <f t="shared" si="310"/>
        <v>0.72327371605913215</v>
      </c>
      <c r="Z914" t="str">
        <f t="shared" si="311"/>
        <v>SO17777</v>
      </c>
      <c r="AA914" s="11">
        <f t="shared" si="318"/>
        <v>45898.577349537038</v>
      </c>
      <c r="AB914" s="5" t="str">
        <f t="shared" si="319"/>
        <v>INV13409</v>
      </c>
      <c r="AC914" s="5" t="str">
        <f>IFERROR(VLOOKUP(D914,CAARStatus!$A$2:$AA$1600,22,FALSE),"Not invoiced")</f>
        <v>Paid</v>
      </c>
      <c r="AD914" s="11">
        <f>IF(AC914="Paid",IFERROR(VLOOKUP(D914,CAARStatus!$A$2:$AA$1600,6,FALSE),"Pending"),"Pending")</f>
        <v>45919</v>
      </c>
      <c r="AE914" s="5" t="str">
        <f t="shared" si="320"/>
        <v>054868-00</v>
      </c>
      <c r="AF914" s="5" t="str">
        <f t="shared" si="321"/>
        <v>F H Pumps, Inc., F H Pumps, Inc</v>
      </c>
      <c r="AG914" s="5" t="str">
        <f t="shared" si="322"/>
        <v>USD</v>
      </c>
      <c r="AH914" s="5">
        <f t="shared" si="323"/>
        <v>2861.7796472376949</v>
      </c>
      <c r="AI914" s="12">
        <f>IF(L914-N914=0,VLOOKUP(U914,rate!A$4:B$15,2,FALSE)*AH914,IF(AG914="USD",O914,AH914*Y914))</f>
        <v>2069.85</v>
      </c>
      <c r="AJ914" s="13">
        <f t="shared" si="324"/>
        <v>0.72327371605913215</v>
      </c>
      <c r="AK914" s="13">
        <f>-IF(AG914="CAD",IFERROR(VLOOKUP(D914,CAARStatus!$A$1:$Y$1600,16,FALSE),0),0)</f>
        <v>0</v>
      </c>
      <c r="AL914" s="13">
        <f>-IF(AG914="USD",IFERROR(VLOOKUP(D914,CAARStatus!$A$1:$Y$1600,11,FALSE),0),0)</f>
        <v>-2069.85</v>
      </c>
      <c r="AM914" s="22" t="str">
        <f t="shared" si="325"/>
        <v/>
      </c>
      <c r="AN914" s="12">
        <f t="shared" si="326"/>
        <v>0</v>
      </c>
      <c r="AO914" s="12" t="str">
        <f t="shared" si="327"/>
        <v>Yes</v>
      </c>
      <c r="AP914" t="str">
        <f t="shared" si="312"/>
        <v>Yes</v>
      </c>
      <c r="AQ914" t="str">
        <f>IFERROR(VLOOKUP(Z914,InvBal!$L$4:$P$600,4,FALSE),"Pend")</f>
        <v>Pend</v>
      </c>
      <c r="AR914" t="str">
        <f>IFERROR(VLOOKUP(D914,Manual!$C$1:$E$22,2,FALSE),"Pend")</f>
        <v>Pend</v>
      </c>
      <c r="AS914" t="str">
        <f t="shared" si="328"/>
        <v>Yes</v>
      </c>
      <c r="AT914" t="str">
        <f t="shared" si="329"/>
        <v>Yes</v>
      </c>
      <c r="AU914" s="51" t="str">
        <f t="shared" si="330"/>
        <v>Yes</v>
      </c>
      <c r="AV914" s="12">
        <f>IFERROR(VLOOKUP(D914,'Receivable Invoice Detail'!$S$1:$U$3014,3,FALSE),0)</f>
        <v>0</v>
      </c>
      <c r="AW914" s="12">
        <f t="shared" si="331"/>
        <v>2069.85</v>
      </c>
    </row>
    <row r="915" spans="1:49" x14ac:dyDescent="0.25">
      <c r="A915" s="2">
        <v>2</v>
      </c>
      <c r="B915" s="2" t="s">
        <v>635</v>
      </c>
      <c r="C915" s="2" t="s">
        <v>636</v>
      </c>
      <c r="D915" s="2" t="s">
        <v>3188</v>
      </c>
      <c r="E915" s="2" t="s">
        <v>316</v>
      </c>
      <c r="F915" s="3">
        <v>45898.613229166673</v>
      </c>
      <c r="G915" s="3">
        <v>45915.775902777779</v>
      </c>
      <c r="H915" s="4">
        <v>45943</v>
      </c>
      <c r="I915" s="2" t="s">
        <v>36</v>
      </c>
      <c r="J915" s="2" t="s">
        <v>22</v>
      </c>
      <c r="K915" s="2">
        <v>1</v>
      </c>
      <c r="L915" s="2">
        <v>7445.23</v>
      </c>
      <c r="M915" s="2">
        <v>0</v>
      </c>
      <c r="N915" s="2">
        <v>5395.6725502376621</v>
      </c>
      <c r="O915" s="2">
        <v>7090.68</v>
      </c>
      <c r="P915" s="2">
        <v>354.55</v>
      </c>
      <c r="Q915" s="2">
        <v>7445.23</v>
      </c>
      <c r="R915" s="2" t="s">
        <v>44</v>
      </c>
      <c r="S915" s="2"/>
      <c r="T915" s="2">
        <f t="shared" si="313"/>
        <v>2</v>
      </c>
      <c r="U915" s="18">
        <f t="shared" si="314"/>
        <v>8</v>
      </c>
      <c r="V915" s="18">
        <f t="shared" si="315"/>
        <v>2025</v>
      </c>
      <c r="W915" s="18">
        <f t="shared" si="316"/>
        <v>11</v>
      </c>
      <c r="X915" s="18">
        <f t="shared" si="317"/>
        <v>2025</v>
      </c>
      <c r="Y915" s="2">
        <f t="shared" si="310"/>
        <v>0.72471536141095205</v>
      </c>
      <c r="Z915" t="str">
        <f t="shared" si="311"/>
        <v>SO17778</v>
      </c>
      <c r="AA915" s="11">
        <f t="shared" si="318"/>
        <v>45898.613229166673</v>
      </c>
      <c r="AB915" s="5" t="str">
        <f t="shared" si="319"/>
        <v>INV13513</v>
      </c>
      <c r="AC915" s="5" t="str">
        <f>IFERROR(VLOOKUP(D915,CAARStatus!$A$2:$AA$1600,22,FALSE),"Not invoiced")</f>
        <v>Paid</v>
      </c>
      <c r="AD915" s="11">
        <f>IF(AC915="Paid",IFERROR(VLOOKUP(D915,CAARStatus!$A$2:$AA$1600,6,FALSE),"Pending"),"Pending")</f>
        <v>45982</v>
      </c>
      <c r="AE915" s="5" t="str">
        <f t="shared" si="320"/>
        <v>10588</v>
      </c>
      <c r="AF915" s="5" t="str">
        <f t="shared" si="321"/>
        <v>Canadian Industrial Pumps Ltd</v>
      </c>
      <c r="AG915" s="5" t="str">
        <f t="shared" si="322"/>
        <v>CAD</v>
      </c>
      <c r="AH915" s="5">
        <f t="shared" si="323"/>
        <v>7090.68</v>
      </c>
      <c r="AI915" s="12">
        <f>IF(L915-N915=0,VLOOKUP(U915,rate!A$4:B$15,2,FALSE)*AH915,IF(AG915="USD",O915,AH915*Y915))</f>
        <v>5138.7247188494093</v>
      </c>
      <c r="AJ915" s="13">
        <f t="shared" si="324"/>
        <v>0.72471536141095205</v>
      </c>
      <c r="AK915" s="13">
        <f>-IF(AG915="CAD",IFERROR(VLOOKUP(D915,CAARStatus!$A$1:$Y$1600,16,FALSE),0),0)</f>
        <v>-5689.33</v>
      </c>
      <c r="AL915" s="13">
        <f>-IF(AG915="USD",IFERROR(VLOOKUP(D915,CAARStatus!$A$1:$Y$1600,11,FALSE),0),0)</f>
        <v>0</v>
      </c>
      <c r="AM915" s="22">
        <f t="shared" si="325"/>
        <v>1401.3500000000004</v>
      </c>
      <c r="AN915" s="12" t="str">
        <f t="shared" si="326"/>
        <v/>
      </c>
      <c r="AO915" s="12" t="str">
        <f t="shared" si="327"/>
        <v>Yes</v>
      </c>
      <c r="AP915" t="str">
        <f t="shared" si="312"/>
        <v>XX</v>
      </c>
      <c r="AQ915" t="str">
        <f>IFERROR(VLOOKUP(Z915,InvBal!$L$4:$P$600,4,FALSE),"Pend")</f>
        <v>Yes</v>
      </c>
      <c r="AR915" t="str">
        <f>IFERROR(VLOOKUP(D915,Manual!$C$1:$E$22,2,FALSE),"Pend")</f>
        <v>Pend</v>
      </c>
      <c r="AS915" t="str">
        <f t="shared" si="328"/>
        <v>Yes</v>
      </c>
      <c r="AT915" t="str">
        <f t="shared" si="329"/>
        <v>Yes</v>
      </c>
      <c r="AU915" s="51" t="str">
        <f t="shared" si="330"/>
        <v>Yes</v>
      </c>
      <c r="AV915" s="12">
        <f>IFERROR(VLOOKUP(D915,'Receivable Invoice Detail'!$S$1:$U$3014,3,FALSE),0)</f>
        <v>0</v>
      </c>
      <c r="AW915" s="12">
        <f t="shared" si="331"/>
        <v>5138.7247188494093</v>
      </c>
    </row>
    <row r="916" spans="1:49" x14ac:dyDescent="0.25">
      <c r="A916" s="2"/>
      <c r="B916" s="2"/>
      <c r="C916" s="2"/>
      <c r="D916" s="2" t="s">
        <v>3187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>
        <f t="shared" si="313"/>
        <v>2</v>
      </c>
      <c r="U916" s="18">
        <f t="shared" si="314"/>
        <v>8</v>
      </c>
      <c r="V916" s="18">
        <f t="shared" si="315"/>
        <v>2025</v>
      </c>
      <c r="W916" s="18">
        <f t="shared" si="316"/>
        <v>12</v>
      </c>
      <c r="X916" s="18">
        <f t="shared" si="317"/>
        <v>2025</v>
      </c>
      <c r="Y916" s="2">
        <f t="shared" si="310"/>
        <v>0.72471536141095205</v>
      </c>
      <c r="Z916" t="str">
        <f t="shared" si="311"/>
        <v>SO17778</v>
      </c>
      <c r="AA916" s="11">
        <f t="shared" si="318"/>
        <v>45898.613229166673</v>
      </c>
      <c r="AB916" s="5" t="str">
        <f t="shared" si="319"/>
        <v>INV13541</v>
      </c>
      <c r="AC916" s="5" t="str">
        <f>IFERROR(VLOOKUP(D916,CAARStatus!$A$2:$AA$1600,22,FALSE),"Not invoiced")</f>
        <v>Paid</v>
      </c>
      <c r="AD916" s="11">
        <f>IF(AC916="Paid",IFERROR(VLOOKUP(D916,CAARStatus!$A$2:$AA$1600,6,FALSE),"Pending"),"Pending")</f>
        <v>46003</v>
      </c>
      <c r="AE916" s="5" t="str">
        <f t="shared" si="320"/>
        <v>10588</v>
      </c>
      <c r="AF916" s="5" t="str">
        <f t="shared" si="321"/>
        <v>Canadian Industrial Pumps Ltd</v>
      </c>
      <c r="AG916" s="5" t="str">
        <f t="shared" si="322"/>
        <v>CAD</v>
      </c>
      <c r="AH916" s="5">
        <f t="shared" si="323"/>
        <v>0</v>
      </c>
      <c r="AI916" s="12">
        <f>IF(L916-N916=0,VLOOKUP(U916,rate!A$4:B$15,2,FALSE)*AH916,IF(AG916="USD",O916,AH916*Y916))</f>
        <v>0</v>
      </c>
      <c r="AJ916" s="13">
        <f t="shared" si="324"/>
        <v>0</v>
      </c>
      <c r="AK916" s="13">
        <f>-IF(AG916="CAD",IFERROR(VLOOKUP(D916,CAARStatus!$A$1:$Y$1600,16,FALSE),0),0)</f>
        <v>-1401.35</v>
      </c>
      <c r="AL916" s="13">
        <f>-IF(AG916="USD",IFERROR(VLOOKUP(D916,CAARStatus!$A$1:$Y$1600,11,FALSE),0),0)</f>
        <v>0</v>
      </c>
      <c r="AM916" s="22">
        <f t="shared" si="325"/>
        <v>-1401.35</v>
      </c>
      <c r="AN916" s="12" t="str">
        <f t="shared" si="326"/>
        <v/>
      </c>
      <c r="AO916" s="12" t="str">
        <f t="shared" si="327"/>
        <v>Yes</v>
      </c>
      <c r="AP916" t="str">
        <f t="shared" si="312"/>
        <v>XX</v>
      </c>
      <c r="AQ916" t="str">
        <f>IFERROR(VLOOKUP(Z916,InvBal!$L$4:$P$600,4,FALSE),"Pend")</f>
        <v>Yes</v>
      </c>
      <c r="AR916" t="str">
        <f>IFERROR(VLOOKUP(D916,Manual!$C$1:$E$22,2,FALSE),"Pend")</f>
        <v>Pend</v>
      </c>
      <c r="AS916" t="str">
        <f t="shared" si="328"/>
        <v>Yes</v>
      </c>
      <c r="AT916" t="str">
        <f t="shared" si="329"/>
        <v/>
      </c>
      <c r="AU916" s="51" t="str">
        <f t="shared" si="330"/>
        <v/>
      </c>
      <c r="AV916" s="12">
        <f>IFERROR(VLOOKUP(D916,'Receivable Invoice Detail'!$S$1:$U$3014,3,FALSE),0)</f>
        <v>0</v>
      </c>
      <c r="AW916" s="12">
        <f t="shared" si="331"/>
        <v>0</v>
      </c>
    </row>
    <row r="917" spans="1:49" ht="30" x14ac:dyDescent="0.25">
      <c r="A917" s="2">
        <v>1</v>
      </c>
      <c r="B917" s="2" t="s">
        <v>735</v>
      </c>
      <c r="C917" s="2" t="s">
        <v>736</v>
      </c>
      <c r="D917" s="2" t="s">
        <v>3135</v>
      </c>
      <c r="E917" s="2" t="s">
        <v>20</v>
      </c>
      <c r="F917" s="3">
        <v>45898.711180555547</v>
      </c>
      <c r="G917" s="3">
        <v>45898.710081018522</v>
      </c>
      <c r="H917" s="4">
        <v>46022</v>
      </c>
      <c r="I917" s="2" t="s">
        <v>36</v>
      </c>
      <c r="J917" s="2" t="s">
        <v>22</v>
      </c>
      <c r="K917" s="2">
        <v>1</v>
      </c>
      <c r="L917" s="2">
        <v>248.38</v>
      </c>
      <c r="M917" s="2">
        <v>0</v>
      </c>
      <c r="N917" s="2">
        <v>180.91508146445111</v>
      </c>
      <c r="O917" s="2">
        <v>236.55</v>
      </c>
      <c r="P917" s="2">
        <v>11.83</v>
      </c>
      <c r="Q917" s="2">
        <v>248.38</v>
      </c>
      <c r="R917" s="2" t="s">
        <v>44</v>
      </c>
      <c r="S917" s="2"/>
      <c r="T917" s="2">
        <f t="shared" si="313"/>
        <v>1</v>
      </c>
      <c r="U917" s="18">
        <f t="shared" si="314"/>
        <v>8</v>
      </c>
      <c r="V917" s="18">
        <f t="shared" si="315"/>
        <v>2025</v>
      </c>
      <c r="W917" s="18">
        <f t="shared" si="316"/>
        <v>11</v>
      </c>
      <c r="X917" s="18">
        <f t="shared" si="317"/>
        <v>2025</v>
      </c>
      <c r="Y917" s="2">
        <f t="shared" si="310"/>
        <v>0.72838022974656214</v>
      </c>
      <c r="Z917" t="str">
        <f t="shared" si="311"/>
        <v>SO17779</v>
      </c>
      <c r="AA917" s="11">
        <f t="shared" si="318"/>
        <v>45898.711180555547</v>
      </c>
      <c r="AB917" s="5" t="str">
        <f t="shared" si="319"/>
        <v>INV13430</v>
      </c>
      <c r="AC917" s="5" t="str">
        <f>IFERROR(VLOOKUP(D917,CAARStatus!$A$2:$AA$1600,22,FALSE),"Not invoiced")</f>
        <v>Paid</v>
      </c>
      <c r="AD917" s="11">
        <f>IF(AC917="Paid",IFERROR(VLOOKUP(D917,CAARStatus!$A$2:$AA$1600,6,FALSE),"Pending"),"Pending")</f>
        <v>45982</v>
      </c>
      <c r="AE917" s="5" t="str">
        <f t="shared" si="320"/>
        <v>4500611308</v>
      </c>
      <c r="AF917" s="5" t="str">
        <f t="shared" si="321"/>
        <v>Resolute Forest Products - Saint-Felicien</v>
      </c>
      <c r="AG917" s="5" t="str">
        <f t="shared" si="322"/>
        <v>CAD</v>
      </c>
      <c r="AH917" s="5">
        <f t="shared" si="323"/>
        <v>236.55</v>
      </c>
      <c r="AI917" s="12">
        <f>IF(L917-N917=0,VLOOKUP(U917,rate!A$4:B$15,2,FALSE)*AH917,IF(AG917="USD",O917,AH917*Y917))</f>
        <v>172.29834334654927</v>
      </c>
      <c r="AJ917" s="13">
        <f t="shared" si="324"/>
        <v>0.72838022974656214</v>
      </c>
      <c r="AK917" s="13">
        <f>-IF(AG917="CAD",IFERROR(VLOOKUP(D917,CAARStatus!$A$1:$Y$1600,16,FALSE),0),0)</f>
        <v>-236.55</v>
      </c>
      <c r="AL917" s="13">
        <f>-IF(AG917="USD",IFERROR(VLOOKUP(D917,CAARStatus!$A$1:$Y$1600,11,FALSE),0),0)</f>
        <v>0</v>
      </c>
      <c r="AM917" s="22">
        <f t="shared" si="325"/>
        <v>0</v>
      </c>
      <c r="AN917" s="12" t="str">
        <f t="shared" si="326"/>
        <v/>
      </c>
      <c r="AO917" s="12" t="str">
        <f t="shared" si="327"/>
        <v>Yes</v>
      </c>
      <c r="AP917" t="str">
        <f t="shared" si="312"/>
        <v>Yes</v>
      </c>
      <c r="AQ917" t="str">
        <f>IFERROR(VLOOKUP(Z917,InvBal!$L$4:$P$600,4,FALSE),"Pend")</f>
        <v>Pend</v>
      </c>
      <c r="AR917" t="str">
        <f>IFERROR(VLOOKUP(D917,Manual!$C$1:$E$22,2,FALSE),"Pend")</f>
        <v>Pend</v>
      </c>
      <c r="AS917" t="str">
        <f t="shared" si="328"/>
        <v>Yes</v>
      </c>
      <c r="AT917" t="str">
        <f t="shared" si="329"/>
        <v>Yes</v>
      </c>
      <c r="AU917" s="51" t="str">
        <f t="shared" si="330"/>
        <v>Yes</v>
      </c>
      <c r="AV917" s="12">
        <f>IFERROR(VLOOKUP(D917,'Receivable Invoice Detail'!$S$1:$U$3014,3,FALSE),0)</f>
        <v>0</v>
      </c>
      <c r="AW917" s="12">
        <f t="shared" si="331"/>
        <v>172.29834334654927</v>
      </c>
    </row>
    <row r="918" spans="1:49" ht="30" x14ac:dyDescent="0.25">
      <c r="A918" s="2">
        <v>0</v>
      </c>
      <c r="B918" s="2" t="s">
        <v>608</v>
      </c>
      <c r="C918" s="2" t="s">
        <v>609</v>
      </c>
      <c r="D918" s="2"/>
      <c r="E918" s="2" t="s">
        <v>39</v>
      </c>
      <c r="F918" s="3">
        <v>45901.352905092594</v>
      </c>
      <c r="G918" s="3">
        <v>45918.668865740743</v>
      </c>
      <c r="H918" s="4">
        <v>46051</v>
      </c>
      <c r="I918" s="2" t="s">
        <v>40</v>
      </c>
      <c r="J918" s="2" t="s">
        <v>22</v>
      </c>
      <c r="K918" s="2">
        <v>1</v>
      </c>
      <c r="L918" s="2">
        <v>4072.96</v>
      </c>
      <c r="M918" s="2">
        <v>0</v>
      </c>
      <c r="N918" s="2">
        <v>2951.8770636157119</v>
      </c>
      <c r="O918" s="2">
        <v>3879.01</v>
      </c>
      <c r="P918" s="2">
        <v>193.95</v>
      </c>
      <c r="Q918" s="2">
        <v>4072.96</v>
      </c>
      <c r="R918" s="2" t="s">
        <v>23</v>
      </c>
      <c r="S918" s="2"/>
      <c r="T918" s="2">
        <f t="shared" si="313"/>
        <v>0</v>
      </c>
      <c r="U918" s="18">
        <f t="shared" si="314"/>
        <v>9</v>
      </c>
      <c r="V918" s="18">
        <f t="shared" si="315"/>
        <v>2025</v>
      </c>
      <c r="W918" s="18" t="str">
        <f t="shared" si="316"/>
        <v/>
      </c>
      <c r="X918" s="18" t="str">
        <f t="shared" si="317"/>
        <v/>
      </c>
      <c r="Y918" s="2">
        <f t="shared" si="310"/>
        <v>0.72474982902255658</v>
      </c>
      <c r="Z918" t="str">
        <f t="shared" si="311"/>
        <v>SO17781</v>
      </c>
      <c r="AA918" s="11">
        <f t="shared" si="318"/>
        <v>45901.352905092594</v>
      </c>
      <c r="AB918" s="5" t="str">
        <f t="shared" si="319"/>
        <v>No Inv</v>
      </c>
      <c r="AC918" s="5" t="str">
        <f>IFERROR(VLOOKUP(D918,CAARStatus!$A$2:$AA$1600,22,FALSE),"Not invoiced")</f>
        <v>Not invoiced</v>
      </c>
      <c r="AD918" s="11" t="str">
        <f>IF(AC918="Paid",IFERROR(VLOOKUP(D918,CAARStatus!$A$2:$AA$1600,6,FALSE),"Pending"),"Pending")</f>
        <v>Pending</v>
      </c>
      <c r="AE918" s="5" t="str">
        <f t="shared" si="320"/>
        <v>BC65-00081824</v>
      </c>
      <c r="AF918" s="5" t="str">
        <f t="shared" si="321"/>
        <v>Motion Industries Inc. (Canada) - Prince George</v>
      </c>
      <c r="AG918" s="5" t="str">
        <f t="shared" si="322"/>
        <v>CAD</v>
      </c>
      <c r="AH918" s="5">
        <f t="shared" si="323"/>
        <v>3879.01</v>
      </c>
      <c r="AI918" s="12">
        <f>IF(L918-N918=0,VLOOKUP(U918,rate!A$4:B$15,2,FALSE)*AH918,IF(AG918="USD",O918,AH918*Y918))</f>
        <v>2811.3118342767875</v>
      </c>
      <c r="AJ918" s="13">
        <f t="shared" si="324"/>
        <v>0.72474982902255658</v>
      </c>
      <c r="AK918" s="13">
        <f>-IF(AG918="CAD",IFERROR(VLOOKUP(D918,CAARStatus!$A$1:$Y$1600,16,FALSE),0),0)</f>
        <v>0</v>
      </c>
      <c r="AL918" s="13">
        <f>-IF(AG918="USD",IFERROR(VLOOKUP(D918,CAARStatus!$A$1:$Y$1600,11,FALSE),0),0)</f>
        <v>0</v>
      </c>
      <c r="AM918" s="22">
        <f t="shared" si="325"/>
        <v>3879.01</v>
      </c>
      <c r="AN918" s="12" t="str">
        <f t="shared" si="326"/>
        <v/>
      </c>
      <c r="AO918" s="12" t="str">
        <f t="shared" si="327"/>
        <v>Pend</v>
      </c>
      <c r="AP918" t="str">
        <f t="shared" si="312"/>
        <v>Pend</v>
      </c>
      <c r="AQ918" t="str">
        <f>IFERROR(VLOOKUP(Z918,InvBal!$L$4:$P$600,4,FALSE),"Pend")</f>
        <v>Pend</v>
      </c>
      <c r="AR918" t="str">
        <f>IFERROR(VLOOKUP(D918,Manual!$C$1:$E$22,2,FALSE),"Pend")</f>
        <v>Pend</v>
      </c>
      <c r="AS918" t="str">
        <f t="shared" si="328"/>
        <v/>
      </c>
      <c r="AT918" t="str">
        <f t="shared" si="329"/>
        <v/>
      </c>
      <c r="AU918" s="51" t="str">
        <f t="shared" si="330"/>
        <v/>
      </c>
      <c r="AV918" s="12">
        <f>IFERROR(VLOOKUP(D918,'Receivable Invoice Detail'!$S$1:$U$3014,3,FALSE),0)</f>
        <v>0</v>
      </c>
      <c r="AW918" s="12">
        <f t="shared" si="331"/>
        <v>0</v>
      </c>
    </row>
    <row r="919" spans="1:49" ht="30" x14ac:dyDescent="0.25">
      <c r="A919" s="2">
        <v>1</v>
      </c>
      <c r="B919" s="2" t="s">
        <v>733</v>
      </c>
      <c r="C919" s="2" t="s">
        <v>734</v>
      </c>
      <c r="D919" s="2" t="s">
        <v>3136</v>
      </c>
      <c r="E919" s="2" t="s">
        <v>129</v>
      </c>
      <c r="F919" s="3">
        <v>45901.778749999998</v>
      </c>
      <c r="G919" s="3">
        <v>45901.77920138889</v>
      </c>
      <c r="H919" s="4">
        <v>45569</v>
      </c>
      <c r="I919" s="2" t="s">
        <v>130</v>
      </c>
      <c r="J919" s="2" t="s">
        <v>51</v>
      </c>
      <c r="K919" s="2">
        <v>0.72752560688441315</v>
      </c>
      <c r="L919" s="2">
        <v>11042.910275564251</v>
      </c>
      <c r="M919" s="2">
        <v>0</v>
      </c>
      <c r="N919" s="2">
        <v>8034</v>
      </c>
      <c r="O919" s="2">
        <v>8034</v>
      </c>
      <c r="P919" s="2"/>
      <c r="Q919" s="2">
        <v>8034</v>
      </c>
      <c r="R919" s="2" t="s">
        <v>44</v>
      </c>
      <c r="S919" s="2"/>
      <c r="T919" s="2">
        <f t="shared" si="313"/>
        <v>1</v>
      </c>
      <c r="U919" s="18">
        <f t="shared" si="314"/>
        <v>9</v>
      </c>
      <c r="V919" s="18">
        <f t="shared" si="315"/>
        <v>2025</v>
      </c>
      <c r="W919" s="18" t="str">
        <f t="shared" si="316"/>
        <v/>
      </c>
      <c r="X919" s="18" t="str">
        <f t="shared" si="317"/>
        <v/>
      </c>
      <c r="Y919" s="2">
        <f t="shared" si="310"/>
        <v>0.72752560688441281</v>
      </c>
      <c r="Z919" t="str">
        <f t="shared" si="311"/>
        <v>SO17782</v>
      </c>
      <c r="AA919" s="11">
        <f t="shared" si="318"/>
        <v>45901.778749999998</v>
      </c>
      <c r="AB919" s="5" t="str">
        <f t="shared" si="319"/>
        <v>INV13687</v>
      </c>
      <c r="AC919" s="5" t="str">
        <f>IFERROR(VLOOKUP(D919,CAARStatus!$A$2:$AA$1600,22,FALSE),"Not invoiced")</f>
        <v>Approved</v>
      </c>
      <c r="AD919" s="11" t="str">
        <f>IF(AC919="Paid",IFERROR(VLOOKUP(D919,CAARStatus!$A$2:$AA$1600,6,FALSE),"Pending"),"Pending")</f>
        <v>Pending</v>
      </c>
      <c r="AE919" s="5" t="str">
        <f t="shared" si="320"/>
        <v>OC00204</v>
      </c>
      <c r="AF919" s="5" t="str">
        <f t="shared" si="321"/>
        <v>Dynapro Pumps México S de RL de CV</v>
      </c>
      <c r="AG919" s="5" t="str">
        <f t="shared" si="322"/>
        <v>USD</v>
      </c>
      <c r="AH919" s="5">
        <f t="shared" si="323"/>
        <v>11042.910275564245</v>
      </c>
      <c r="AI919" s="12">
        <f>IF(L919-N919=0,VLOOKUP(U919,rate!A$4:B$15,2,FALSE)*AH919,IF(AG919="USD",O919,AH919*Y919))</f>
        <v>8034</v>
      </c>
      <c r="AJ919" s="13">
        <f t="shared" si="324"/>
        <v>0.72752560688441315</v>
      </c>
      <c r="AK919" s="13">
        <f>-IF(AG919="CAD",IFERROR(VLOOKUP(D919,CAARStatus!$A$1:$Y$1600,16,FALSE),0),0)</f>
        <v>0</v>
      </c>
      <c r="AL919" s="13">
        <f>-IF(AG919="USD",IFERROR(VLOOKUP(D919,CAARStatus!$A$1:$Y$1600,11,FALSE),0),0)</f>
        <v>-8034</v>
      </c>
      <c r="AM919" s="22" t="str">
        <f t="shared" si="325"/>
        <v/>
      </c>
      <c r="AN919" s="12">
        <f t="shared" si="326"/>
        <v>0</v>
      </c>
      <c r="AO919" s="12" t="str">
        <f t="shared" si="327"/>
        <v>Pend</v>
      </c>
      <c r="AP919" t="str">
        <f t="shared" si="312"/>
        <v>Pend</v>
      </c>
      <c r="AQ919" t="str">
        <f>IFERROR(VLOOKUP(Z919,InvBal!$L$4:$P$600,4,FALSE),"Pend")</f>
        <v>Pend</v>
      </c>
      <c r="AR919" t="str">
        <f>IFERROR(VLOOKUP(D919,Manual!$C$1:$E$22,2,FALSE),"Pend")</f>
        <v>Pend</v>
      </c>
      <c r="AS919" t="str">
        <f t="shared" si="328"/>
        <v/>
      </c>
      <c r="AT919" t="str">
        <f t="shared" si="329"/>
        <v>Yes</v>
      </c>
      <c r="AU919" s="51" t="str">
        <f t="shared" si="330"/>
        <v/>
      </c>
      <c r="AV919" s="12">
        <f>IFERROR(VLOOKUP(D919,'Receivable Invoice Detail'!$S$1:$U$3014,3,FALSE),0)</f>
        <v>0</v>
      </c>
      <c r="AW919" s="12">
        <f t="shared" si="331"/>
        <v>0</v>
      </c>
    </row>
    <row r="920" spans="1:49" ht="30" x14ac:dyDescent="0.25">
      <c r="A920" s="2">
        <v>1</v>
      </c>
      <c r="B920" s="2" t="s">
        <v>633</v>
      </c>
      <c r="C920" s="2" t="s">
        <v>634</v>
      </c>
      <c r="D920" s="2" t="s">
        <v>3189</v>
      </c>
      <c r="E920" s="2" t="s">
        <v>159</v>
      </c>
      <c r="F920" s="3">
        <v>45902.353310185194</v>
      </c>
      <c r="G920" s="3">
        <v>45916.406342592592</v>
      </c>
      <c r="H920" s="4">
        <v>45919</v>
      </c>
      <c r="I920" s="2" t="s">
        <v>40</v>
      </c>
      <c r="J920" s="2" t="s">
        <v>51</v>
      </c>
      <c r="K920" s="2">
        <v>0.72471536141095205</v>
      </c>
      <c r="L920" s="2">
        <v>7436.1884499148664</v>
      </c>
      <c r="M920" s="2">
        <v>0</v>
      </c>
      <c r="N920" s="2">
        <v>5389.12</v>
      </c>
      <c r="O920" s="2">
        <v>5389.12</v>
      </c>
      <c r="P920" s="2"/>
      <c r="Q920" s="2">
        <v>5389.12</v>
      </c>
      <c r="R920" s="2" t="s">
        <v>44</v>
      </c>
      <c r="S920" s="2"/>
      <c r="T920" s="2">
        <f t="shared" si="313"/>
        <v>1</v>
      </c>
      <c r="U920" s="18">
        <f t="shared" si="314"/>
        <v>9</v>
      </c>
      <c r="V920" s="18">
        <f t="shared" si="315"/>
        <v>2025</v>
      </c>
      <c r="W920" s="18">
        <f t="shared" si="316"/>
        <v>11</v>
      </c>
      <c r="X920" s="18">
        <f t="shared" si="317"/>
        <v>2025</v>
      </c>
      <c r="Y920" s="2">
        <f t="shared" si="310"/>
        <v>0.72471536141095205</v>
      </c>
      <c r="Z920" t="str">
        <f t="shared" si="311"/>
        <v>SO17783</v>
      </c>
      <c r="AA920" s="11">
        <f t="shared" si="318"/>
        <v>45902.353310185194</v>
      </c>
      <c r="AB920" s="5" t="str">
        <f t="shared" si="319"/>
        <v>INV13479</v>
      </c>
      <c r="AC920" s="5" t="str">
        <f>IFERROR(VLOOKUP(D920,CAARStatus!$A$2:$AA$1600,22,FALSE),"Not invoiced")</f>
        <v>Paid</v>
      </c>
      <c r="AD920" s="11">
        <f>IF(AC920="Paid",IFERROR(VLOOKUP(D920,CAARStatus!$A$2:$AA$1600,6,FALSE),"Pending"),"Pending")</f>
        <v>45981</v>
      </c>
      <c r="AE920" s="5" t="str">
        <f t="shared" si="320"/>
        <v>4501285694</v>
      </c>
      <c r="AF920" s="5" t="str">
        <f t="shared" si="321"/>
        <v>Barrick Gold - Pueblo Viejo Dominicana Corporation</v>
      </c>
      <c r="AG920" s="5" t="str">
        <f t="shared" si="322"/>
        <v>USD</v>
      </c>
      <c r="AH920" s="5">
        <f t="shared" si="323"/>
        <v>7436.1884499148664</v>
      </c>
      <c r="AI920" s="12">
        <f>IF(L920-N920=0,VLOOKUP(U920,rate!A$4:B$15,2,FALSE)*AH920,IF(AG920="USD",O920,AH920*Y920))</f>
        <v>5389.12</v>
      </c>
      <c r="AJ920" s="13">
        <f t="shared" si="324"/>
        <v>0.72471536141095205</v>
      </c>
      <c r="AK920" s="13">
        <f>-IF(AG920="CAD",IFERROR(VLOOKUP(D920,CAARStatus!$A$1:$Y$1600,16,FALSE),0),0)</f>
        <v>0</v>
      </c>
      <c r="AL920" s="13">
        <f>-IF(AG920="USD",IFERROR(VLOOKUP(D920,CAARStatus!$A$1:$Y$1600,11,FALSE),0),0)</f>
        <v>-5389.12</v>
      </c>
      <c r="AM920" s="22" t="str">
        <f t="shared" si="325"/>
        <v/>
      </c>
      <c r="AN920" s="12">
        <f t="shared" si="326"/>
        <v>0</v>
      </c>
      <c r="AO920" s="12" t="str">
        <f t="shared" si="327"/>
        <v>Yes</v>
      </c>
      <c r="AP920" t="str">
        <f t="shared" si="312"/>
        <v>Yes</v>
      </c>
      <c r="AQ920" t="str">
        <f>IFERROR(VLOOKUP(Z920,InvBal!$L$4:$P$600,4,FALSE),"Pend")</f>
        <v>Pend</v>
      </c>
      <c r="AR920" t="str">
        <f>IFERROR(VLOOKUP(D920,Manual!$C$1:$E$22,2,FALSE),"Pend")</f>
        <v>Pend</v>
      </c>
      <c r="AS920" t="str">
        <f t="shared" si="328"/>
        <v>Yes</v>
      </c>
      <c r="AT920" t="str">
        <f t="shared" si="329"/>
        <v>Yes</v>
      </c>
      <c r="AU920" s="51" t="str">
        <f t="shared" si="330"/>
        <v>Yes</v>
      </c>
      <c r="AV920" s="12">
        <f>IFERROR(VLOOKUP(D920,'Receivable Invoice Detail'!$S$1:$U$3014,3,FALSE),0)</f>
        <v>0</v>
      </c>
      <c r="AW920" s="12">
        <f t="shared" si="331"/>
        <v>5389.12</v>
      </c>
    </row>
    <row r="921" spans="1:49" ht="45" x14ac:dyDescent="0.25">
      <c r="A921" s="2">
        <v>1</v>
      </c>
      <c r="B921" s="2" t="s">
        <v>705</v>
      </c>
      <c r="C921" s="2" t="s">
        <v>706</v>
      </c>
      <c r="D921" s="2" t="s">
        <v>3151</v>
      </c>
      <c r="E921" s="2" t="s">
        <v>201</v>
      </c>
      <c r="F921" s="3">
        <v>45902.388437499998</v>
      </c>
      <c r="G921" s="3">
        <v>45903.658055555563</v>
      </c>
      <c r="H921" s="4">
        <v>45904</v>
      </c>
      <c r="I921" s="2" t="s">
        <v>40</v>
      </c>
      <c r="J921" s="2" t="s">
        <v>22</v>
      </c>
      <c r="K921" s="2">
        <v>1</v>
      </c>
      <c r="L921" s="2">
        <v>3087.15</v>
      </c>
      <c r="M921" s="2">
        <v>3087.15</v>
      </c>
      <c r="N921" s="2">
        <v>3087.15</v>
      </c>
      <c r="O921" s="2">
        <v>2940.13</v>
      </c>
      <c r="P921" s="2">
        <v>147.02000000000001</v>
      </c>
      <c r="Q921" s="2">
        <v>3087.15</v>
      </c>
      <c r="R921" s="2" t="s">
        <v>44</v>
      </c>
      <c r="S921" s="2"/>
      <c r="T921" s="2">
        <f t="shared" si="313"/>
        <v>1</v>
      </c>
      <c r="U921" s="18">
        <f t="shared" si="314"/>
        <v>9</v>
      </c>
      <c r="V921" s="18">
        <f t="shared" si="315"/>
        <v>2025</v>
      </c>
      <c r="W921" s="18">
        <f t="shared" si="316"/>
        <v>1</v>
      </c>
      <c r="X921" s="18">
        <f t="shared" si="317"/>
        <v>2026</v>
      </c>
      <c r="Y921" s="2">
        <f t="shared" si="310"/>
        <v>1</v>
      </c>
      <c r="Z921" t="str">
        <f t="shared" si="311"/>
        <v>SO17784</v>
      </c>
      <c r="AA921" s="11">
        <f t="shared" si="318"/>
        <v>45902.388437499998</v>
      </c>
      <c r="AB921" s="5" t="str">
        <f t="shared" si="319"/>
        <v>INV13361</v>
      </c>
      <c r="AC921" s="5" t="str">
        <f>IFERROR(VLOOKUP(D921,CAARStatus!$A$2:$AA$1600,22,FALSE),"Not invoiced")</f>
        <v>Paid</v>
      </c>
      <c r="AD921" s="11">
        <f>IF(AC921="Paid",IFERROR(VLOOKUP(D921,CAARStatus!$A$2:$AA$1600,6,FALSE),"Pending"),"Pending")</f>
        <v>46024</v>
      </c>
      <c r="AE921" s="5" t="str">
        <f t="shared" si="320"/>
        <v>2100645192</v>
      </c>
      <c r="AF921" s="5" t="str">
        <f t="shared" si="321"/>
        <v>Wajax Limited - Val D'Or, Composants Industriels Wajax SC -57</v>
      </c>
      <c r="AG921" s="5" t="str">
        <f t="shared" si="322"/>
        <v>CAD</v>
      </c>
      <c r="AH921" s="5">
        <f t="shared" si="323"/>
        <v>2940.13</v>
      </c>
      <c r="AI921" s="12">
        <f>IF(L921-N921=0,VLOOKUP(U921,rate!A$4:B$15,2,FALSE)*AH921,IF(AG921="USD",O921,AH921*Y921))</f>
        <v>2123.0211762593731</v>
      </c>
      <c r="AJ921" s="13">
        <f t="shared" si="324"/>
        <v>0.72208411745717804</v>
      </c>
      <c r="AK921" s="61">
        <f>IF(AC921="Paid",-IF(AG921="CAD",IFERROR(VLOOKUP(D921,CAARStatus!$A$1:$Y$1600,16,FALSE),0),0),0)</f>
        <v>-2940.13</v>
      </c>
      <c r="AL921" s="61">
        <f>IF(AC921="Paid",-IF(AG921="USD",IFERROR(VLOOKUP(D921,CAARStatus!$A$1:$Y$1600,11,FALSE),0),0),0)</f>
        <v>0</v>
      </c>
      <c r="AM921" s="22">
        <f t="shared" si="325"/>
        <v>0</v>
      </c>
      <c r="AN921" s="12" t="str">
        <f t="shared" si="326"/>
        <v/>
      </c>
      <c r="AO921" s="12" t="str">
        <f t="shared" si="327"/>
        <v>Yes</v>
      </c>
      <c r="AP921" t="str">
        <f t="shared" si="312"/>
        <v>Yes</v>
      </c>
      <c r="AQ921" t="str">
        <f>IFERROR(VLOOKUP(Z921,InvBal!$L$4:$P$600,4,FALSE),"Pend")</f>
        <v>Pend</v>
      </c>
      <c r="AR921" t="str">
        <f>IFERROR(VLOOKUP(D921,Manual!$C$1:$E$22,2,FALSE),"Pend")</f>
        <v>Pend</v>
      </c>
      <c r="AS921" t="str">
        <f t="shared" si="328"/>
        <v>Yes</v>
      </c>
      <c r="AT921" t="str">
        <f t="shared" si="329"/>
        <v>Yes</v>
      </c>
      <c r="AU921" s="51" t="str">
        <f t="shared" si="330"/>
        <v>Yes</v>
      </c>
      <c r="AV921" s="12">
        <f>IFERROR(VLOOKUP(D921,'Receivable Invoice Detail'!$S$1:$U$3014,3,FALSE),0)</f>
        <v>0</v>
      </c>
      <c r="AW921" s="12">
        <f t="shared" si="331"/>
        <v>2123.0211762593731</v>
      </c>
    </row>
    <row r="922" spans="1:49" x14ac:dyDescent="0.25">
      <c r="A922" s="2">
        <v>1</v>
      </c>
      <c r="B922" s="2" t="s">
        <v>707</v>
      </c>
      <c r="C922" s="2" t="s">
        <v>708</v>
      </c>
      <c r="D922" s="2" t="s">
        <v>3150</v>
      </c>
      <c r="E922" s="2" t="s">
        <v>61</v>
      </c>
      <c r="F922" s="3">
        <v>45902.43246527778</v>
      </c>
      <c r="G922" s="3">
        <v>45903.638344907413</v>
      </c>
      <c r="H922" s="4">
        <v>45973</v>
      </c>
      <c r="I922" s="2" t="s">
        <v>40</v>
      </c>
      <c r="J922" s="2" t="s">
        <v>51</v>
      </c>
      <c r="K922" s="2">
        <v>0.72690712781787181</v>
      </c>
      <c r="L922" s="2">
        <v>1682.4707767983609</v>
      </c>
      <c r="M922" s="2">
        <v>0</v>
      </c>
      <c r="N922" s="2">
        <v>1223</v>
      </c>
      <c r="O922" s="2">
        <v>1223</v>
      </c>
      <c r="P922" s="2"/>
      <c r="Q922" s="2">
        <v>1223</v>
      </c>
      <c r="R922" s="2" t="s">
        <v>44</v>
      </c>
      <c r="S922" s="2"/>
      <c r="T922" s="2">
        <f t="shared" si="313"/>
        <v>1</v>
      </c>
      <c r="U922" s="18">
        <f t="shared" si="314"/>
        <v>9</v>
      </c>
      <c r="V922" s="18">
        <f t="shared" si="315"/>
        <v>2025</v>
      </c>
      <c r="W922" s="18" t="str">
        <f t="shared" si="316"/>
        <v/>
      </c>
      <c r="X922" s="18" t="str">
        <f t="shared" si="317"/>
        <v/>
      </c>
      <c r="Y922" s="2">
        <f t="shared" si="310"/>
        <v>0.7269071278178717</v>
      </c>
      <c r="Z922" t="str">
        <f t="shared" si="311"/>
        <v>SO17785</v>
      </c>
      <c r="AA922" s="11">
        <f t="shared" si="318"/>
        <v>45902.43246527778</v>
      </c>
      <c r="AB922" s="5" t="str">
        <f t="shared" si="319"/>
        <v>INV13665</v>
      </c>
      <c r="AC922" s="5" t="str">
        <f>IFERROR(VLOOKUP(D922,CAARStatus!$A$2:$AA$1600,22,FALSE),"Not invoiced")</f>
        <v>Approved</v>
      </c>
      <c r="AD922" s="11" t="str">
        <f>IF(AC922="Paid",IFERROR(VLOOKUP(D922,CAARStatus!$A$2:$AA$1600,6,FALSE),"Pending"),"Pending")</f>
        <v>Pending</v>
      </c>
      <c r="AE922" s="5" t="str">
        <f t="shared" si="320"/>
        <v>PONV-25-1788</v>
      </c>
      <c r="AF922" s="5" t="str">
        <f t="shared" si="321"/>
        <v>Tech-Flow</v>
      </c>
      <c r="AG922" s="5" t="str">
        <f t="shared" si="322"/>
        <v>USD</v>
      </c>
      <c r="AH922" s="5">
        <f t="shared" si="323"/>
        <v>1682.4707767983607</v>
      </c>
      <c r="AI922" s="12">
        <f>IF(L922-N922=0,VLOOKUP(U922,rate!A$4:B$15,2,FALSE)*AH922,IF(AG922="USD",O922,AH922*Y922))</f>
        <v>1223</v>
      </c>
      <c r="AJ922" s="13">
        <f t="shared" si="324"/>
        <v>0.72690712781787181</v>
      </c>
      <c r="AK922" s="13">
        <f>-IF(AG922="CAD",IFERROR(VLOOKUP(D922,CAARStatus!$A$1:$Y$1600,16,FALSE),0),0)</f>
        <v>0</v>
      </c>
      <c r="AL922" s="13">
        <f>-IF(AG922="USD",IFERROR(VLOOKUP(D922,CAARStatus!$A$1:$Y$1600,11,FALSE),0),0)</f>
        <v>-1223</v>
      </c>
      <c r="AM922" s="22" t="str">
        <f t="shared" si="325"/>
        <v/>
      </c>
      <c r="AN922" s="12">
        <f t="shared" si="326"/>
        <v>0</v>
      </c>
      <c r="AO922" s="12" t="str">
        <f t="shared" si="327"/>
        <v>Pend</v>
      </c>
      <c r="AP922" t="str">
        <f t="shared" si="312"/>
        <v>Pend</v>
      </c>
      <c r="AQ922" t="str">
        <f>IFERROR(VLOOKUP(Z922,InvBal!$L$4:$P$600,4,FALSE),"Pend")</f>
        <v>Pend</v>
      </c>
      <c r="AR922" t="str">
        <f>IFERROR(VLOOKUP(D922,Manual!$C$1:$E$22,2,FALSE),"Pend")</f>
        <v>Pend</v>
      </c>
      <c r="AS922" t="str">
        <f t="shared" si="328"/>
        <v/>
      </c>
      <c r="AT922" t="str">
        <f t="shared" si="329"/>
        <v>Yes</v>
      </c>
      <c r="AU922" s="51" t="str">
        <f t="shared" si="330"/>
        <v/>
      </c>
      <c r="AV922" s="12">
        <f>IFERROR(VLOOKUP(D922,'Receivable Invoice Detail'!$S$1:$U$3014,3,FALSE),0)</f>
        <v>0</v>
      </c>
      <c r="AW922" s="12">
        <f t="shared" si="331"/>
        <v>0</v>
      </c>
    </row>
    <row r="923" spans="1:49" ht="30" x14ac:dyDescent="0.25">
      <c r="A923" s="2">
        <v>1</v>
      </c>
      <c r="B923" s="2" t="s">
        <v>731</v>
      </c>
      <c r="C923" s="2" t="s">
        <v>732</v>
      </c>
      <c r="D923" s="2" t="s">
        <v>3137</v>
      </c>
      <c r="E923" s="2" t="s">
        <v>129</v>
      </c>
      <c r="F923" s="3">
        <v>45902.495034722233</v>
      </c>
      <c r="G923" s="3">
        <v>45902.496365740742</v>
      </c>
      <c r="H923" s="4">
        <v>45904</v>
      </c>
      <c r="I923" s="2" t="s">
        <v>130</v>
      </c>
      <c r="J923" s="2" t="s">
        <v>51</v>
      </c>
      <c r="K923" s="2">
        <v>0.72576773408832196</v>
      </c>
      <c r="L923" s="2">
        <v>3692.6414252439872</v>
      </c>
      <c r="M923" s="2">
        <v>0</v>
      </c>
      <c r="N923" s="2">
        <v>2680</v>
      </c>
      <c r="O923" s="2">
        <v>2680</v>
      </c>
      <c r="P923" s="2"/>
      <c r="Q923" s="2">
        <v>2680</v>
      </c>
      <c r="R923" s="2" t="s">
        <v>44</v>
      </c>
      <c r="S923" s="2"/>
      <c r="T923" s="2">
        <f t="shared" si="313"/>
        <v>1</v>
      </c>
      <c r="U923" s="18">
        <f t="shared" si="314"/>
        <v>9</v>
      </c>
      <c r="V923" s="18">
        <f t="shared" si="315"/>
        <v>2025</v>
      </c>
      <c r="W923" s="18" t="str">
        <f t="shared" si="316"/>
        <v/>
      </c>
      <c r="X923" s="18" t="str">
        <f t="shared" si="317"/>
        <v/>
      </c>
      <c r="Y923" s="17">
        <f t="shared" si="310"/>
        <v>0.72576773408832185</v>
      </c>
      <c r="Z923" t="str">
        <f t="shared" si="311"/>
        <v>SO17786</v>
      </c>
      <c r="AA923" s="11">
        <f t="shared" si="318"/>
        <v>45902.495034722233</v>
      </c>
      <c r="AB923" s="5" t="str">
        <f t="shared" si="319"/>
        <v>INV13375</v>
      </c>
      <c r="AC923" s="5" t="str">
        <f>IFERROR(VLOOKUP(D923,CAARStatus!$A$2:$AA$1600,22,FALSE),"Not invoiced")</f>
        <v>Approved</v>
      </c>
      <c r="AD923" s="11" t="str">
        <f>IF(AC923="Paid",IFERROR(VLOOKUP(D923,CAARStatus!$A$2:$AA$1600,6,FALSE),"Pending"),"Pending")</f>
        <v>Pending</v>
      </c>
      <c r="AE923" s="5" t="str">
        <f t="shared" si="320"/>
        <v>OC00201</v>
      </c>
      <c r="AF923" s="5" t="str">
        <f t="shared" si="321"/>
        <v>Dynapro Pumps México S de RL de CV</v>
      </c>
      <c r="AG923" s="5" t="str">
        <f t="shared" si="322"/>
        <v>USD</v>
      </c>
      <c r="AH923" s="5">
        <f t="shared" si="323"/>
        <v>3692.6414252439868</v>
      </c>
      <c r="AI923" s="12">
        <f>IF(L923-N923=0,VLOOKUP(U923,rate!A$4:B$15,2,FALSE)*AH923,IF(AG923="USD",O923,AH923*Y923))</f>
        <v>2680</v>
      </c>
      <c r="AJ923" s="13">
        <f t="shared" si="324"/>
        <v>0.72576773408832196</v>
      </c>
      <c r="AK923" s="13">
        <f>-IF(AG923="CAD",IFERROR(VLOOKUP(D923,CAARStatus!$A$1:$Y$1600,16,FALSE),0),0)</f>
        <v>0</v>
      </c>
      <c r="AL923" s="13">
        <f>-IF(AG923="USD",IFERROR(VLOOKUP(D923,CAARStatus!$A$1:$Y$1600,11,FALSE),0),0)</f>
        <v>-2680</v>
      </c>
      <c r="AM923" s="22" t="str">
        <f t="shared" si="325"/>
        <v/>
      </c>
      <c r="AN923" s="12">
        <f t="shared" si="326"/>
        <v>0</v>
      </c>
      <c r="AO923" s="12" t="str">
        <f t="shared" si="327"/>
        <v>Pend</v>
      </c>
      <c r="AP923" t="str">
        <f t="shared" si="312"/>
        <v>Pend</v>
      </c>
      <c r="AQ923" t="str">
        <f>IFERROR(VLOOKUP(Z923,InvBal!$L$4:$P$600,4,FALSE),"Pend")</f>
        <v>Pend</v>
      </c>
      <c r="AR923" t="str">
        <f>IFERROR(VLOOKUP(D923,Manual!$C$1:$E$22,2,FALSE),"Pend")</f>
        <v>Pend</v>
      </c>
      <c r="AS923" t="str">
        <f t="shared" si="328"/>
        <v/>
      </c>
      <c r="AT923" t="str">
        <f t="shared" si="329"/>
        <v>Yes</v>
      </c>
      <c r="AU923" s="51" t="str">
        <f t="shared" si="330"/>
        <v/>
      </c>
      <c r="AV923" s="12">
        <f>IFERROR(VLOOKUP(D923,'Receivable Invoice Detail'!$S$1:$U$3014,3,FALSE),0)</f>
        <v>0</v>
      </c>
      <c r="AW923" s="12">
        <f t="shared" si="331"/>
        <v>0</v>
      </c>
    </row>
    <row r="924" spans="1:49" ht="30" x14ac:dyDescent="0.25">
      <c r="A924" s="2">
        <v>1</v>
      </c>
      <c r="B924" s="2" t="s">
        <v>685</v>
      </c>
      <c r="C924" s="2" t="s">
        <v>686</v>
      </c>
      <c r="D924" s="2" t="s">
        <v>3161</v>
      </c>
      <c r="E924" s="2" t="s">
        <v>86</v>
      </c>
      <c r="F924" s="3">
        <v>45902.513842592591</v>
      </c>
      <c r="G924" s="3">
        <v>45905.554432870369</v>
      </c>
      <c r="H924" s="4">
        <v>45919</v>
      </c>
      <c r="I924" s="2" t="s">
        <v>21</v>
      </c>
      <c r="J924" s="2" t="s">
        <v>22</v>
      </c>
      <c r="K924" s="2">
        <v>1</v>
      </c>
      <c r="L924" s="2">
        <v>112.54</v>
      </c>
      <c r="M924" s="2">
        <v>0</v>
      </c>
      <c r="N924" s="2">
        <v>81.395130764358285</v>
      </c>
      <c r="O924" s="2">
        <v>112.54</v>
      </c>
      <c r="P924" s="2"/>
      <c r="Q924" s="2">
        <v>112.54</v>
      </c>
      <c r="R924" s="2" t="s">
        <v>44</v>
      </c>
      <c r="S924" s="2"/>
      <c r="T924" s="2">
        <f t="shared" si="313"/>
        <v>1</v>
      </c>
      <c r="U924" s="18">
        <f t="shared" si="314"/>
        <v>9</v>
      </c>
      <c r="V924" s="18">
        <f t="shared" si="315"/>
        <v>2025</v>
      </c>
      <c r="W924" s="18">
        <f t="shared" si="316"/>
        <v>10</v>
      </c>
      <c r="X924" s="18">
        <f t="shared" si="317"/>
        <v>2025</v>
      </c>
      <c r="Y924" s="17">
        <f t="shared" si="310"/>
        <v>0.72325511608635407</v>
      </c>
      <c r="Z924" t="str">
        <f t="shared" si="311"/>
        <v>SO17787</v>
      </c>
      <c r="AA924" s="11">
        <f t="shared" si="318"/>
        <v>45902.513842592591</v>
      </c>
      <c r="AB924" s="5" t="str">
        <f t="shared" si="319"/>
        <v>INV13397</v>
      </c>
      <c r="AC924" s="5" t="str">
        <f>IFERROR(VLOOKUP(D924,CAARStatus!$A$2:$AA$1600,22,FALSE),"Not invoiced")</f>
        <v>Paid</v>
      </c>
      <c r="AD924" s="11">
        <f>IF(AC924="Paid",IFERROR(VLOOKUP(D924,CAARStatus!$A$2:$AA$1600,6,FALSE),"Pending"),"Pending")</f>
        <v>45945</v>
      </c>
      <c r="AE924" s="5" t="str">
        <f t="shared" si="320"/>
        <v>MB21-00192787</v>
      </c>
      <c r="AF924" s="5" t="str">
        <f t="shared" si="321"/>
        <v>Motion Industries Inc. (Canada) - Winnipeg</v>
      </c>
      <c r="AG924" s="5" t="str">
        <f t="shared" si="322"/>
        <v>CAD</v>
      </c>
      <c r="AH924" s="5">
        <f t="shared" si="323"/>
        <v>112.54</v>
      </c>
      <c r="AI924" s="12">
        <f>IF(L924-N924=0,VLOOKUP(U924,rate!A$4:B$15,2,FALSE)*AH924,IF(AG924="USD",O924,AH924*Y924))</f>
        <v>81.395130764358285</v>
      </c>
      <c r="AJ924" s="13">
        <f t="shared" si="324"/>
        <v>0.72325511608635407</v>
      </c>
      <c r="AK924" s="13">
        <f>-IF(AG924="CAD",IFERROR(VLOOKUP(D924,CAARStatus!$A$1:$Y$1600,16,FALSE),0),0)</f>
        <v>-112.54</v>
      </c>
      <c r="AL924" s="13">
        <f>-IF(AG924="USD",IFERROR(VLOOKUP(D924,CAARStatus!$A$1:$Y$1600,11,FALSE),0),0)</f>
        <v>0</v>
      </c>
      <c r="AM924" s="22">
        <f t="shared" si="325"/>
        <v>0</v>
      </c>
      <c r="AN924" s="12" t="str">
        <f t="shared" si="326"/>
        <v/>
      </c>
      <c r="AO924" s="12" t="str">
        <f t="shared" si="327"/>
        <v>Yes</v>
      </c>
      <c r="AP924" t="str">
        <f t="shared" si="312"/>
        <v>Yes</v>
      </c>
      <c r="AQ924" t="str">
        <f>IFERROR(VLOOKUP(Z924,InvBal!$L$4:$P$600,4,FALSE),"Pend")</f>
        <v>Pend</v>
      </c>
      <c r="AR924" t="str">
        <f>IFERROR(VLOOKUP(D924,Manual!$C$1:$E$22,2,FALSE),"Pend")</f>
        <v>Pend</v>
      </c>
      <c r="AS924" t="str">
        <f t="shared" si="328"/>
        <v>Yes</v>
      </c>
      <c r="AT924" t="str">
        <f t="shared" si="329"/>
        <v>Yes</v>
      </c>
      <c r="AU924" s="51" t="str">
        <f t="shared" si="330"/>
        <v>Yes</v>
      </c>
      <c r="AV924" s="12">
        <f>IFERROR(VLOOKUP(D924,'Receivable Invoice Detail'!$S$1:$U$3014,3,FALSE),0)</f>
        <v>0</v>
      </c>
      <c r="AW924" s="12">
        <f t="shared" si="331"/>
        <v>81.395130764358285</v>
      </c>
    </row>
    <row r="925" spans="1:49" x14ac:dyDescent="0.25">
      <c r="A925" s="2">
        <v>1</v>
      </c>
      <c r="B925" s="2" t="s">
        <v>719</v>
      </c>
      <c r="C925" s="2" t="s">
        <v>720</v>
      </c>
      <c r="D925" s="2" t="s">
        <v>3143</v>
      </c>
      <c r="E925" s="2" t="s">
        <v>64</v>
      </c>
      <c r="F925" s="3">
        <v>45902.573321759257</v>
      </c>
      <c r="G925" s="3">
        <v>45903.478275462963</v>
      </c>
      <c r="H925" s="4">
        <v>45910</v>
      </c>
      <c r="I925" s="2" t="s">
        <v>36</v>
      </c>
      <c r="J925" s="2" t="s">
        <v>22</v>
      </c>
      <c r="K925" s="2">
        <v>1</v>
      </c>
      <c r="L925" s="2">
        <v>1032.47</v>
      </c>
      <c r="M925" s="2">
        <v>1032.47</v>
      </c>
      <c r="N925" s="2">
        <v>1032.47</v>
      </c>
      <c r="O925" s="2">
        <v>913.69</v>
      </c>
      <c r="P925" s="2">
        <v>118.78</v>
      </c>
      <c r="Q925" s="2">
        <v>1032.47</v>
      </c>
      <c r="R925" s="2" t="s">
        <v>44</v>
      </c>
      <c r="S925" s="2"/>
      <c r="T925" s="2">
        <f t="shared" si="313"/>
        <v>1</v>
      </c>
      <c r="U925" s="18">
        <f t="shared" si="314"/>
        <v>9</v>
      </c>
      <c r="V925" s="18">
        <f t="shared" si="315"/>
        <v>2025</v>
      </c>
      <c r="W925" s="18">
        <f t="shared" si="316"/>
        <v>10</v>
      </c>
      <c r="X925" s="18">
        <f t="shared" si="317"/>
        <v>2025</v>
      </c>
      <c r="Y925" s="2">
        <f t="shared" si="310"/>
        <v>1</v>
      </c>
      <c r="Z925" t="str">
        <f t="shared" si="311"/>
        <v>SO17788</v>
      </c>
      <c r="AA925" s="11">
        <f t="shared" si="318"/>
        <v>45902.573321759257</v>
      </c>
      <c r="AB925" s="5" t="str">
        <f t="shared" si="319"/>
        <v>INV13360</v>
      </c>
      <c r="AC925" s="5" t="str">
        <f>IFERROR(VLOOKUP(D925,CAARStatus!$A$2:$AA$1600,22,FALSE),"Not invoiced")</f>
        <v>Paid</v>
      </c>
      <c r="AD925" s="11">
        <f>IF(AC925="Paid",IFERROR(VLOOKUP(D925,CAARStatus!$A$2:$AA$1600,6,FALSE),"Pending"),"Pending")</f>
        <v>45945</v>
      </c>
      <c r="AE925" s="5" t="str">
        <f t="shared" si="320"/>
        <v>607922</v>
      </c>
      <c r="AF925" s="5" t="str">
        <f t="shared" si="321"/>
        <v>Sealtrac Inc.</v>
      </c>
      <c r="AG925" s="5" t="str">
        <f t="shared" si="322"/>
        <v>CAD</v>
      </c>
      <c r="AH925" s="5">
        <f t="shared" si="323"/>
        <v>913.69</v>
      </c>
      <c r="AI925" s="12">
        <f>IF(L925-N925=0,VLOOKUP(U925,rate!A$4:B$15,2,FALSE)*AH925,IF(AG925="USD",O925,AH925*Y925))</f>
        <v>659.76103727944917</v>
      </c>
      <c r="AJ925" s="13">
        <f t="shared" si="324"/>
        <v>0.72208411745717815</v>
      </c>
      <c r="AK925" s="13">
        <f>-IF(AG925="CAD",IFERROR(VLOOKUP(D925,CAARStatus!$A$1:$Y$1600,16,FALSE),0),0)</f>
        <v>-913.69</v>
      </c>
      <c r="AL925" s="13">
        <f>-IF(AG925="USD",IFERROR(VLOOKUP(D925,CAARStatus!$A$1:$Y$1600,11,FALSE),0),0)</f>
        <v>0</v>
      </c>
      <c r="AM925" s="22">
        <f t="shared" si="325"/>
        <v>0</v>
      </c>
      <c r="AN925" s="12" t="str">
        <f t="shared" si="326"/>
        <v/>
      </c>
      <c r="AO925" s="12" t="str">
        <f t="shared" si="327"/>
        <v>Yes</v>
      </c>
      <c r="AP925" t="str">
        <f t="shared" si="312"/>
        <v>Yes</v>
      </c>
      <c r="AQ925" t="str">
        <f>IFERROR(VLOOKUP(Z925,InvBal!$L$4:$P$600,4,FALSE),"Pend")</f>
        <v>Pend</v>
      </c>
      <c r="AR925" t="str">
        <f>IFERROR(VLOOKUP(D925,Manual!$C$1:$E$22,2,FALSE),"Pend")</f>
        <v>Pend</v>
      </c>
      <c r="AS925" t="str">
        <f t="shared" si="328"/>
        <v>Yes</v>
      </c>
      <c r="AT925" t="str">
        <f t="shared" si="329"/>
        <v>Yes</v>
      </c>
      <c r="AU925" s="51" t="str">
        <f t="shared" si="330"/>
        <v>Yes</v>
      </c>
      <c r="AV925" s="12">
        <f>IFERROR(VLOOKUP(D925,'Receivable Invoice Detail'!$S$1:$U$3014,3,FALSE),0)</f>
        <v>0</v>
      </c>
      <c r="AW925" s="12">
        <f t="shared" si="331"/>
        <v>659.76103727944917</v>
      </c>
    </row>
    <row r="926" spans="1:49" x14ac:dyDescent="0.25">
      <c r="A926" s="2">
        <v>1</v>
      </c>
      <c r="B926" s="2" t="s">
        <v>561</v>
      </c>
      <c r="C926" s="2" t="s">
        <v>562</v>
      </c>
      <c r="D926" s="2" t="s">
        <v>3220</v>
      </c>
      <c r="E926" s="2" t="s">
        <v>171</v>
      </c>
      <c r="F926" s="3">
        <v>45903.471944444442</v>
      </c>
      <c r="G926" s="3">
        <v>45925.477187500001</v>
      </c>
      <c r="H926" s="4">
        <v>45932</v>
      </c>
      <c r="I926" s="2" t="s">
        <v>36</v>
      </c>
      <c r="J926" s="2" t="s">
        <v>22</v>
      </c>
      <c r="K926" s="2">
        <v>1</v>
      </c>
      <c r="L926" s="2">
        <v>2324.62</v>
      </c>
      <c r="M926" s="2">
        <v>0</v>
      </c>
      <c r="N926" s="2">
        <v>1669.4857385799539</v>
      </c>
      <c r="O926" s="2">
        <v>2213.92</v>
      </c>
      <c r="P926" s="2">
        <v>110.7</v>
      </c>
      <c r="Q926" s="2">
        <v>2324.62</v>
      </c>
      <c r="R926" s="2" t="s">
        <v>23</v>
      </c>
      <c r="S926" s="2"/>
      <c r="T926" s="2">
        <f t="shared" si="313"/>
        <v>1</v>
      </c>
      <c r="U926" s="18">
        <f t="shared" si="314"/>
        <v>9</v>
      </c>
      <c r="V926" s="18">
        <f t="shared" si="315"/>
        <v>2025</v>
      </c>
      <c r="W926" s="18">
        <f t="shared" si="316"/>
        <v>12</v>
      </c>
      <c r="X926" s="18">
        <f t="shared" si="317"/>
        <v>2025</v>
      </c>
      <c r="Y926" s="2">
        <f t="shared" si="310"/>
        <v>0.71817576144916329</v>
      </c>
      <c r="Z926" t="str">
        <f t="shared" si="311"/>
        <v>SO17794</v>
      </c>
      <c r="AA926" s="11">
        <f t="shared" si="318"/>
        <v>45903.471944444442</v>
      </c>
      <c r="AB926" s="5" t="str">
        <f t="shared" si="319"/>
        <v>INV13545</v>
      </c>
      <c r="AC926" s="5" t="str">
        <f>IFERROR(VLOOKUP(D926,CAARStatus!$A$2:$AA$1600,22,FALSE),"Not invoiced")</f>
        <v>Paid</v>
      </c>
      <c r="AD926" s="11">
        <f>IF(AC926="Paid",IFERROR(VLOOKUP(D926,CAARStatus!$A$2:$AA$1600,6,FALSE),"Pending"),"Pending")</f>
        <v>45992</v>
      </c>
      <c r="AE926" s="5" t="str">
        <f t="shared" si="320"/>
        <v>2223</v>
      </c>
      <c r="AF926" s="5" t="str">
        <f t="shared" si="321"/>
        <v>FMI Products</v>
      </c>
      <c r="AG926" s="5" t="str">
        <f t="shared" si="322"/>
        <v>CAD</v>
      </c>
      <c r="AH926" s="5">
        <f t="shared" si="323"/>
        <v>2213.92</v>
      </c>
      <c r="AI926" s="12">
        <f>IF(L926-N926=0,VLOOKUP(U926,rate!A$4:B$15,2,FALSE)*AH926,IF(AG926="USD",O926,AH926*Y926))</f>
        <v>1589.9836817875316</v>
      </c>
      <c r="AJ926" s="13">
        <f t="shared" si="324"/>
        <v>0.71817576144916329</v>
      </c>
      <c r="AK926" s="13">
        <f>-IF(AG926="CAD",IFERROR(VLOOKUP(D926,CAARStatus!$A$1:$Y$1600,16,FALSE),0),0)</f>
        <v>-2213.92</v>
      </c>
      <c r="AL926" s="13">
        <f>-IF(AG926="USD",IFERROR(VLOOKUP(D926,CAARStatus!$A$1:$Y$1600,11,FALSE),0),0)</f>
        <v>0</v>
      </c>
      <c r="AM926" s="22">
        <f t="shared" si="325"/>
        <v>0</v>
      </c>
      <c r="AN926" s="12" t="str">
        <f t="shared" si="326"/>
        <v/>
      </c>
      <c r="AO926" s="12" t="str">
        <f t="shared" si="327"/>
        <v>Yes</v>
      </c>
      <c r="AP926" t="str">
        <f t="shared" si="312"/>
        <v>Yes</v>
      </c>
      <c r="AQ926" t="str">
        <f>IFERROR(VLOOKUP(Z926,InvBal!$L$4:$P$600,4,FALSE),"Pend")</f>
        <v>Pend</v>
      </c>
      <c r="AR926" t="str">
        <f>IFERROR(VLOOKUP(D926,Manual!$C$1:$E$22,2,FALSE),"Pend")</f>
        <v>Pend</v>
      </c>
      <c r="AS926" t="str">
        <f t="shared" si="328"/>
        <v>Yes</v>
      </c>
      <c r="AT926" t="str">
        <f t="shared" si="329"/>
        <v/>
      </c>
      <c r="AU926" s="51" t="str">
        <f t="shared" si="330"/>
        <v/>
      </c>
      <c r="AV926" s="12">
        <f>IFERROR(VLOOKUP(D926,'Receivable Invoice Detail'!$S$1:$U$3014,3,FALSE),0)</f>
        <v>0</v>
      </c>
      <c r="AW926" s="12">
        <f t="shared" si="331"/>
        <v>0</v>
      </c>
    </row>
    <row r="927" spans="1:49" x14ac:dyDescent="0.25">
      <c r="A927" s="2">
        <v>2</v>
      </c>
      <c r="B927" s="2" t="s">
        <v>703</v>
      </c>
      <c r="C927" s="2" t="s">
        <v>704</v>
      </c>
      <c r="D927" s="2" t="s">
        <v>3153</v>
      </c>
      <c r="E927" s="2" t="s">
        <v>64</v>
      </c>
      <c r="F927" s="3">
        <v>45903.615567129629</v>
      </c>
      <c r="G927" s="3">
        <v>45904.463796296302</v>
      </c>
      <c r="H927" s="4">
        <v>45924</v>
      </c>
      <c r="I927" s="2" t="s">
        <v>36</v>
      </c>
      <c r="J927" s="2" t="s">
        <v>22</v>
      </c>
      <c r="K927" s="2">
        <v>1</v>
      </c>
      <c r="L927" s="2">
        <v>951.53</v>
      </c>
      <c r="M927" s="2">
        <v>0</v>
      </c>
      <c r="N927" s="2">
        <v>688.04996493196336</v>
      </c>
      <c r="O927" s="2">
        <v>842.06</v>
      </c>
      <c r="P927" s="2">
        <v>109.47</v>
      </c>
      <c r="Q927" s="2">
        <v>951.53</v>
      </c>
      <c r="R927" s="2" t="s">
        <v>44</v>
      </c>
      <c r="S927" s="2"/>
      <c r="T927" s="2">
        <f t="shared" si="313"/>
        <v>2</v>
      </c>
      <c r="U927" s="18">
        <f t="shared" si="314"/>
        <v>9</v>
      </c>
      <c r="V927" s="18">
        <f t="shared" si="315"/>
        <v>2025</v>
      </c>
      <c r="W927" s="18">
        <f t="shared" si="316"/>
        <v>12</v>
      </c>
      <c r="X927" s="18">
        <f t="shared" si="317"/>
        <v>2025</v>
      </c>
      <c r="Y927" s="2">
        <f t="shared" si="310"/>
        <v>0.72309855173453641</v>
      </c>
      <c r="Z927" t="str">
        <f t="shared" si="311"/>
        <v>SO17796</v>
      </c>
      <c r="AA927" s="11">
        <f t="shared" si="318"/>
        <v>45903.615567129629</v>
      </c>
      <c r="AB927" s="5" t="str">
        <f t="shared" si="319"/>
        <v>INV13579</v>
      </c>
      <c r="AC927" s="5" t="str">
        <f>IFERROR(VLOOKUP(D927,CAARStatus!$A$2:$AA$1600,22,FALSE),"Not invoiced")</f>
        <v>Paid</v>
      </c>
      <c r="AD927" s="11">
        <f>IF(AC927="Paid",IFERROR(VLOOKUP(D927,CAARStatus!$A$2:$AA$1600,6,FALSE),"Pending"),"Pending")</f>
        <v>46008</v>
      </c>
      <c r="AE927" s="5" t="str">
        <f t="shared" si="320"/>
        <v>607926</v>
      </c>
      <c r="AF927" s="5" t="str">
        <f t="shared" si="321"/>
        <v>Sealtrac Inc.</v>
      </c>
      <c r="AG927" s="5" t="str">
        <f t="shared" si="322"/>
        <v>CAD</v>
      </c>
      <c r="AH927" s="5">
        <f t="shared" si="323"/>
        <v>842.06</v>
      </c>
      <c r="AI927" s="12">
        <f>IF(L927-N927=0,VLOOKUP(U927,rate!A$4:B$15,2,FALSE)*AH927,IF(AG927="USD",O927,AH927*Y927))</f>
        <v>608.89236647358371</v>
      </c>
      <c r="AJ927" s="13">
        <f t="shared" si="324"/>
        <v>0.72309855173453641</v>
      </c>
      <c r="AK927" s="13">
        <f>-IF(AG927="CAD",IFERROR(VLOOKUP(D927,CAARStatus!$A$1:$Y$1600,16,FALSE),0),0)</f>
        <v>-586.71</v>
      </c>
      <c r="AL927" s="13">
        <f>-IF(AG927="USD",IFERROR(VLOOKUP(D927,CAARStatus!$A$1:$Y$1600,11,FALSE),0),0)</f>
        <v>0</v>
      </c>
      <c r="AM927" s="22">
        <f t="shared" si="325"/>
        <v>255.34999999999991</v>
      </c>
      <c r="AN927" s="12" t="str">
        <f t="shared" si="326"/>
        <v/>
      </c>
      <c r="AO927" s="12" t="str">
        <f t="shared" si="327"/>
        <v>Yes</v>
      </c>
      <c r="AP927" t="str">
        <f t="shared" si="312"/>
        <v>XX</v>
      </c>
      <c r="AQ927" t="str">
        <f>IFERROR(VLOOKUP(Z927,InvBal!$L$4:$P$600,4,FALSE),"Pend")</f>
        <v>Yes</v>
      </c>
      <c r="AR927" t="str">
        <f>IFERROR(VLOOKUP(D927,Manual!$C$1:$E$22,2,FALSE),"Pend")</f>
        <v>Pend</v>
      </c>
      <c r="AS927" t="str">
        <f t="shared" si="328"/>
        <v>Yes</v>
      </c>
      <c r="AT927" t="str">
        <f t="shared" si="329"/>
        <v>Yes</v>
      </c>
      <c r="AU927" s="51" t="str">
        <f t="shared" si="330"/>
        <v>Yes</v>
      </c>
      <c r="AV927" s="12">
        <f>IFERROR(VLOOKUP(D927,'Receivable Invoice Detail'!$S$1:$U$3014,3,FALSE),0)</f>
        <v>0</v>
      </c>
      <c r="AW927" s="12">
        <f t="shared" si="331"/>
        <v>608.89236647358371</v>
      </c>
    </row>
    <row r="928" spans="1:49" x14ac:dyDescent="0.25">
      <c r="A928" s="2"/>
      <c r="B928" s="2"/>
      <c r="C928" s="2"/>
      <c r="D928" s="2" t="s">
        <v>3152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>
        <f t="shared" si="313"/>
        <v>2</v>
      </c>
      <c r="U928" s="18">
        <f t="shared" si="314"/>
        <v>9</v>
      </c>
      <c r="V928" s="18">
        <f t="shared" si="315"/>
        <v>2025</v>
      </c>
      <c r="W928" s="18">
        <f t="shared" si="316"/>
        <v>11</v>
      </c>
      <c r="X928" s="18">
        <f t="shared" si="317"/>
        <v>2025</v>
      </c>
      <c r="Y928" s="2">
        <f t="shared" si="310"/>
        <v>0.72309855173453641</v>
      </c>
      <c r="Z928" t="str">
        <f t="shared" si="311"/>
        <v>SO17796</v>
      </c>
      <c r="AA928" s="11">
        <f t="shared" si="318"/>
        <v>45903.615567129629</v>
      </c>
      <c r="AB928" s="5" t="str">
        <f t="shared" si="319"/>
        <v>INV13416</v>
      </c>
      <c r="AC928" s="5" t="str">
        <f>IFERROR(VLOOKUP(D928,CAARStatus!$A$2:$AA$1600,22,FALSE),"Not invoiced")</f>
        <v>Paid</v>
      </c>
      <c r="AD928" s="11">
        <f>IF(AC928="Paid",IFERROR(VLOOKUP(D928,CAARStatus!$A$2:$AA$1600,6,FALSE),"Pending"),"Pending")</f>
        <v>45973</v>
      </c>
      <c r="AE928" s="5" t="str">
        <f t="shared" si="320"/>
        <v>607926</v>
      </c>
      <c r="AF928" s="5" t="str">
        <f t="shared" si="321"/>
        <v>Sealtrac Inc.</v>
      </c>
      <c r="AG928" s="5" t="str">
        <f t="shared" si="322"/>
        <v>CAD</v>
      </c>
      <c r="AH928" s="5">
        <f t="shared" si="323"/>
        <v>0</v>
      </c>
      <c r="AI928" s="12">
        <f>IF(L928-N928=0,VLOOKUP(U928,rate!A$4:B$15,2,FALSE)*AH928,IF(AG928="USD",O928,AH928*Y928))</f>
        <v>0</v>
      </c>
      <c r="AJ928" s="13">
        <f t="shared" si="324"/>
        <v>0</v>
      </c>
      <c r="AK928" s="13">
        <f>-IF(AG928="CAD",IFERROR(VLOOKUP(D928,CAARStatus!$A$1:$Y$1600,16,FALSE),0),0)</f>
        <v>-255.35</v>
      </c>
      <c r="AL928" s="13">
        <f>-IF(AG928="USD",IFERROR(VLOOKUP(D928,CAARStatus!$A$1:$Y$1600,11,FALSE),0),0)</f>
        <v>0</v>
      </c>
      <c r="AM928" s="22">
        <f t="shared" si="325"/>
        <v>-255.35</v>
      </c>
      <c r="AN928" s="12" t="str">
        <f t="shared" si="326"/>
        <v/>
      </c>
      <c r="AO928" s="12" t="str">
        <f t="shared" si="327"/>
        <v>Yes</v>
      </c>
      <c r="AP928" t="str">
        <f t="shared" si="312"/>
        <v>XX</v>
      </c>
      <c r="AQ928" t="str">
        <f>IFERROR(VLOOKUP(Z928,InvBal!$L$4:$P$600,4,FALSE),"Pend")</f>
        <v>Yes</v>
      </c>
      <c r="AR928" t="str">
        <f>IFERROR(VLOOKUP(D928,Manual!$C$1:$E$22,2,FALSE),"Pend")</f>
        <v>Pend</v>
      </c>
      <c r="AS928" t="str">
        <f t="shared" si="328"/>
        <v>Yes</v>
      </c>
      <c r="AT928" t="str">
        <f t="shared" si="329"/>
        <v/>
      </c>
      <c r="AU928" s="51" t="str">
        <f t="shared" si="330"/>
        <v/>
      </c>
      <c r="AV928" s="12">
        <f>IFERROR(VLOOKUP(D928,'Receivable Invoice Detail'!$S$1:$U$3014,3,FALSE),0)</f>
        <v>0</v>
      </c>
      <c r="AW928" s="12">
        <f t="shared" si="331"/>
        <v>0</v>
      </c>
    </row>
    <row r="929" spans="1:49" x14ac:dyDescent="0.25">
      <c r="A929" s="2">
        <v>0</v>
      </c>
      <c r="B929" s="2" t="s">
        <v>709</v>
      </c>
      <c r="C929" s="2" t="s">
        <v>710</v>
      </c>
      <c r="D929" s="2"/>
      <c r="E929" s="2" t="s">
        <v>711</v>
      </c>
      <c r="F929" s="3">
        <v>45903.623159722221</v>
      </c>
      <c r="G929" s="3">
        <v>45903.623194444437</v>
      </c>
      <c r="H929" s="4">
        <v>45978</v>
      </c>
      <c r="I929" s="2" t="s">
        <v>180</v>
      </c>
      <c r="J929" s="2" t="s">
        <v>51</v>
      </c>
      <c r="K929" s="2">
        <v>0.72690712781787181</v>
      </c>
      <c r="L929" s="2">
        <v>0</v>
      </c>
      <c r="M929" s="2">
        <v>0</v>
      </c>
      <c r="N929" s="2">
        <v>0</v>
      </c>
      <c r="O929" s="2"/>
      <c r="P929" s="2"/>
      <c r="Q929" s="2"/>
      <c r="R929" s="2" t="s">
        <v>23</v>
      </c>
      <c r="S929" s="2"/>
      <c r="T929" s="2">
        <f t="shared" si="313"/>
        <v>0</v>
      </c>
      <c r="U929" s="18">
        <f t="shared" si="314"/>
        <v>9</v>
      </c>
      <c r="V929" s="18">
        <f t="shared" si="315"/>
        <v>2025</v>
      </c>
      <c r="W929" s="18" t="str">
        <f t="shared" si="316"/>
        <v/>
      </c>
      <c r="X929" s="18" t="str">
        <f t="shared" si="317"/>
        <v/>
      </c>
      <c r="Y929" s="2" t="e">
        <f t="shared" si="310"/>
        <v>#DIV/0!</v>
      </c>
      <c r="Z929" t="str">
        <f t="shared" si="311"/>
        <v>SO17797</v>
      </c>
      <c r="AA929" s="11">
        <f t="shared" si="318"/>
        <v>45903.623159722221</v>
      </c>
      <c r="AB929" s="5" t="str">
        <f t="shared" si="319"/>
        <v>No Inv</v>
      </c>
      <c r="AC929" s="5" t="str">
        <f>IFERROR(VLOOKUP(D929,CAARStatus!$A$2:$AA$1600,22,FALSE),"Not invoiced")</f>
        <v>Not invoiced</v>
      </c>
      <c r="AD929" s="11" t="str">
        <f>IF(AC929="Paid",IFERROR(VLOOKUP(D929,CAARStatus!$A$2:$AA$1600,6,FALSE),"Pending"),"Pending")</f>
        <v>Pending</v>
      </c>
      <c r="AE929" s="5" t="str">
        <f t="shared" si="320"/>
        <v>Sample</v>
      </c>
      <c r="AF929" s="5" t="str">
        <f t="shared" si="321"/>
        <v>Super Cast Limited</v>
      </c>
      <c r="AG929" s="5" t="str">
        <f t="shared" si="322"/>
        <v>USD</v>
      </c>
      <c r="AH929" s="5">
        <f t="shared" si="323"/>
        <v>0</v>
      </c>
      <c r="AI929" s="12">
        <f>IF(L929-N929=0,VLOOKUP(U929,rate!A$4:B$15,2,FALSE)*AH929,IF(AG929="USD",O929,AH929*Y929))</f>
        <v>0</v>
      </c>
      <c r="AJ929" s="13">
        <f t="shared" si="324"/>
        <v>0</v>
      </c>
      <c r="AK929" s="61">
        <f>IF(AC929="Paid",-IF(AG929="CAD",IFERROR(VLOOKUP(D929,CAARStatus!$A$1:$Y$1600,16,FALSE),0),0),0)</f>
        <v>0</v>
      </c>
      <c r="AL929" s="61">
        <f>IF(AC929="Paid",-IF(AG929="USD",IFERROR(VLOOKUP(D929,CAARStatus!$A$1:$Y$1600,11,FALSE),0),0),0)</f>
        <v>0</v>
      </c>
      <c r="AM929" s="22" t="str">
        <f t="shared" si="325"/>
        <v/>
      </c>
      <c r="AN929" s="12">
        <f t="shared" si="326"/>
        <v>0</v>
      </c>
      <c r="AO929" s="12" t="str">
        <f t="shared" si="327"/>
        <v>Pend</v>
      </c>
      <c r="AP929" t="str">
        <f t="shared" si="312"/>
        <v>Pend</v>
      </c>
      <c r="AQ929" t="str">
        <f>IFERROR(VLOOKUP(Z929,InvBal!$L$4:$P$600,4,FALSE),"Pend")</f>
        <v>Pend</v>
      </c>
      <c r="AR929" t="str">
        <f>IFERROR(VLOOKUP(D929,Manual!$C$1:$E$22,2,FALSE),"Pend")</f>
        <v>Pend</v>
      </c>
      <c r="AS929" t="str">
        <f t="shared" si="328"/>
        <v/>
      </c>
      <c r="AT929" t="str">
        <f t="shared" si="329"/>
        <v/>
      </c>
      <c r="AU929" s="51" t="str">
        <f t="shared" si="330"/>
        <v/>
      </c>
      <c r="AV929" s="12">
        <f>IFERROR(VLOOKUP(D929,'Receivable Invoice Detail'!$S$1:$U$3014,3,FALSE),0)</f>
        <v>0</v>
      </c>
      <c r="AW929" s="12">
        <f t="shared" si="331"/>
        <v>0</v>
      </c>
    </row>
    <row r="930" spans="1:49" x14ac:dyDescent="0.25">
      <c r="A930" s="2">
        <v>1</v>
      </c>
      <c r="B930" s="2" t="s">
        <v>701</v>
      </c>
      <c r="C930" s="2" t="s">
        <v>702</v>
      </c>
      <c r="D930" s="2" t="s">
        <v>3154</v>
      </c>
      <c r="E930" s="2" t="s">
        <v>61</v>
      </c>
      <c r="F930" s="3">
        <v>45904.504305555558</v>
      </c>
      <c r="G930" s="3">
        <v>45904.506180555552</v>
      </c>
      <c r="H930" s="4">
        <v>45973</v>
      </c>
      <c r="I930" s="2" t="s">
        <v>40</v>
      </c>
      <c r="J930" s="2" t="s">
        <v>51</v>
      </c>
      <c r="K930" s="2">
        <v>0.72541822568831038</v>
      </c>
      <c r="L930" s="2">
        <v>1685.9240045141701</v>
      </c>
      <c r="M930" s="2">
        <v>0</v>
      </c>
      <c r="N930" s="2">
        <v>1223</v>
      </c>
      <c r="O930" s="2">
        <v>1223</v>
      </c>
      <c r="P930" s="2"/>
      <c r="Q930" s="2">
        <v>1223</v>
      </c>
      <c r="R930" s="2" t="s">
        <v>44</v>
      </c>
      <c r="S930" s="2"/>
      <c r="T930" s="2">
        <f t="shared" si="313"/>
        <v>1</v>
      </c>
      <c r="U930" s="18">
        <f t="shared" si="314"/>
        <v>9</v>
      </c>
      <c r="V930" s="18">
        <f t="shared" si="315"/>
        <v>2025</v>
      </c>
      <c r="W930" s="18" t="str">
        <f t="shared" si="316"/>
        <v/>
      </c>
      <c r="X930" s="18" t="str">
        <f t="shared" si="317"/>
        <v/>
      </c>
      <c r="Y930" s="2">
        <f t="shared" si="310"/>
        <v>0.72541822568831027</v>
      </c>
      <c r="Z930" t="str">
        <f t="shared" si="311"/>
        <v>SO17799</v>
      </c>
      <c r="AA930" s="11">
        <f t="shared" si="318"/>
        <v>45904.504305555558</v>
      </c>
      <c r="AB930" s="5" t="str">
        <f t="shared" si="319"/>
        <v>INV13664</v>
      </c>
      <c r="AC930" s="5" t="str">
        <f>IFERROR(VLOOKUP(D930,CAARStatus!$A$2:$AA$1600,22,FALSE),"Not invoiced")</f>
        <v>Approved</v>
      </c>
      <c r="AD930" s="11" t="str">
        <f>IF(AC930="Paid",IFERROR(VLOOKUP(D930,CAARStatus!$A$2:$AA$1600,6,FALSE),"Pending"),"Pending")</f>
        <v>Pending</v>
      </c>
      <c r="AE930" s="5" t="str">
        <f t="shared" si="320"/>
        <v>PONV-25-1796</v>
      </c>
      <c r="AF930" s="5" t="str">
        <f t="shared" si="321"/>
        <v>Tech-Flow</v>
      </c>
      <c r="AG930" s="5" t="str">
        <f t="shared" si="322"/>
        <v>USD</v>
      </c>
      <c r="AH930" s="5">
        <f t="shared" si="323"/>
        <v>1685.9240045141698</v>
      </c>
      <c r="AI930" s="12">
        <f>IF(L930-N930=0,VLOOKUP(U930,rate!A$4:B$15,2,FALSE)*AH930,IF(AG930="USD",O930,AH930*Y930))</f>
        <v>1223</v>
      </c>
      <c r="AJ930" s="13">
        <f t="shared" si="324"/>
        <v>0.72541822568831038</v>
      </c>
      <c r="AK930" s="61">
        <f>IF(AC930="Paid",-IF(AG930="CAD",IFERROR(VLOOKUP(D930,CAARStatus!$A$1:$Y$1600,16,FALSE),0),0),0)</f>
        <v>0</v>
      </c>
      <c r="AL930" s="61">
        <f>IF(AC930="Paid",-IF(AG930="USD",IFERROR(VLOOKUP(D930,CAARStatus!$A$1:$Y$1600,11,FALSE),0),0),0)</f>
        <v>0</v>
      </c>
      <c r="AM930" s="22" t="str">
        <f t="shared" si="325"/>
        <v/>
      </c>
      <c r="AN930" s="12">
        <f t="shared" si="326"/>
        <v>1223</v>
      </c>
      <c r="AO930" s="12" t="str">
        <f t="shared" si="327"/>
        <v>Pend</v>
      </c>
      <c r="AP930" t="str">
        <f t="shared" si="312"/>
        <v>Pend</v>
      </c>
      <c r="AQ930" t="str">
        <f>IFERROR(VLOOKUP(Z930,InvBal!$L$4:$P$600,4,FALSE),"Pend")</f>
        <v>Pend</v>
      </c>
      <c r="AR930" t="str">
        <f>IFERROR(VLOOKUP(D930,Manual!$C$1:$E$22,2,FALSE),"Pend")</f>
        <v>Pend</v>
      </c>
      <c r="AS930" t="str">
        <f t="shared" si="328"/>
        <v/>
      </c>
      <c r="AT930" t="str">
        <f t="shared" si="329"/>
        <v>Yes</v>
      </c>
      <c r="AU930" s="51" t="str">
        <f t="shared" si="330"/>
        <v/>
      </c>
      <c r="AV930" s="12">
        <f>IFERROR(VLOOKUP(D930,'Receivable Invoice Detail'!$S$1:$U$3014,3,FALSE),0)</f>
        <v>0</v>
      </c>
      <c r="AW930" s="12">
        <f t="shared" si="331"/>
        <v>0</v>
      </c>
    </row>
    <row r="931" spans="1:49" x14ac:dyDescent="0.25">
      <c r="A931" s="2">
        <v>1</v>
      </c>
      <c r="B931" s="2" t="s">
        <v>699</v>
      </c>
      <c r="C931" s="2" t="s">
        <v>700</v>
      </c>
      <c r="D931" s="2" t="s">
        <v>3155</v>
      </c>
      <c r="E931" s="2" t="s">
        <v>146</v>
      </c>
      <c r="F931" s="3">
        <v>45904.574432870373</v>
      </c>
      <c r="G931" s="3">
        <v>45904.634247685193</v>
      </c>
      <c r="H931" s="4">
        <v>45911</v>
      </c>
      <c r="I931" s="2" t="s">
        <v>21</v>
      </c>
      <c r="J931" s="2" t="s">
        <v>22</v>
      </c>
      <c r="K931" s="2">
        <v>1</v>
      </c>
      <c r="L931" s="2">
        <v>955.04</v>
      </c>
      <c r="M931" s="2">
        <v>0</v>
      </c>
      <c r="N931" s="2">
        <v>690.5880408485516</v>
      </c>
      <c r="O931" s="2">
        <v>909.56</v>
      </c>
      <c r="P931" s="2">
        <v>45.48</v>
      </c>
      <c r="Q931" s="2">
        <v>955.04</v>
      </c>
      <c r="R931" s="2" t="s">
        <v>44</v>
      </c>
      <c r="S931" s="2"/>
      <c r="T931" s="2">
        <f t="shared" si="313"/>
        <v>1</v>
      </c>
      <c r="U931" s="18">
        <f t="shared" si="314"/>
        <v>9</v>
      </c>
      <c r="V931" s="18">
        <f t="shared" si="315"/>
        <v>2025</v>
      </c>
      <c r="W931" s="18">
        <f t="shared" si="316"/>
        <v>10</v>
      </c>
      <c r="X931" s="18">
        <f t="shared" si="317"/>
        <v>2025</v>
      </c>
      <c r="Y931" s="2">
        <f t="shared" si="310"/>
        <v>0.72309855173453641</v>
      </c>
      <c r="Z931" t="str">
        <f t="shared" si="311"/>
        <v>SO17800</v>
      </c>
      <c r="AA931" s="11">
        <f t="shared" si="318"/>
        <v>45904.574432870373</v>
      </c>
      <c r="AB931" s="5" t="str">
        <f t="shared" si="319"/>
        <v>INV13373</v>
      </c>
      <c r="AC931" s="5" t="str">
        <f>IFERROR(VLOOKUP(D931,CAARStatus!$A$2:$AA$1600,22,FALSE),"Not invoiced")</f>
        <v>Paid</v>
      </c>
      <c r="AD931" s="11">
        <f>IF(AC931="Paid",IFERROR(VLOOKUP(D931,CAARStatus!$A$2:$AA$1600,6,FALSE),"Pending"),"Pending")</f>
        <v>45944</v>
      </c>
      <c r="AE931" s="5" t="str">
        <f t="shared" si="320"/>
        <v>7640</v>
      </c>
      <c r="AF931" s="5" t="str">
        <f t="shared" si="321"/>
        <v>Hyperflo</v>
      </c>
      <c r="AG931" s="5" t="str">
        <f t="shared" si="322"/>
        <v>CAD</v>
      </c>
      <c r="AH931" s="5">
        <f t="shared" si="323"/>
        <v>909.56</v>
      </c>
      <c r="AI931" s="12">
        <f>IF(L931-N931=0,VLOOKUP(U931,rate!A$4:B$15,2,FALSE)*AH931,IF(AG931="USD",O931,AH931*Y931))</f>
        <v>657.70151871566486</v>
      </c>
      <c r="AJ931" s="13">
        <f t="shared" si="324"/>
        <v>0.72309855173453641</v>
      </c>
      <c r="AK931" s="61">
        <f>IF(AC931="Paid",-IF(AG931="CAD",IFERROR(VLOOKUP(D931,CAARStatus!$A$1:$Y$1600,16,FALSE),0),0),0)</f>
        <v>-909.56</v>
      </c>
      <c r="AL931" s="61">
        <f>IF(AC931="Paid",-IF(AG931="USD",IFERROR(VLOOKUP(D931,CAARStatus!$A$1:$Y$1600,11,FALSE),0),0),0)</f>
        <v>0</v>
      </c>
      <c r="AM931" s="22">
        <f t="shared" si="325"/>
        <v>0</v>
      </c>
      <c r="AN931" s="12" t="str">
        <f t="shared" si="326"/>
        <v/>
      </c>
      <c r="AO931" s="12" t="str">
        <f t="shared" si="327"/>
        <v>Yes</v>
      </c>
      <c r="AP931" t="str">
        <f t="shared" si="312"/>
        <v>Yes</v>
      </c>
      <c r="AQ931" t="str">
        <f>IFERROR(VLOOKUP(Z931,InvBal!$L$4:$P$600,4,FALSE),"Pend")</f>
        <v>Pend</v>
      </c>
      <c r="AR931" t="str">
        <f>IFERROR(VLOOKUP(D931,Manual!$C$1:$E$22,2,FALSE),"Pend")</f>
        <v>Pend</v>
      </c>
      <c r="AS931" t="str">
        <f t="shared" si="328"/>
        <v>Yes</v>
      </c>
      <c r="AT931" t="str">
        <f t="shared" si="329"/>
        <v>Yes</v>
      </c>
      <c r="AU931" s="51" t="str">
        <f t="shared" si="330"/>
        <v>Yes</v>
      </c>
      <c r="AV931" s="12">
        <f>IFERROR(VLOOKUP(D931,'Receivable Invoice Detail'!$S$1:$U$3014,3,FALSE),0)</f>
        <v>0</v>
      </c>
      <c r="AW931" s="12">
        <f t="shared" si="331"/>
        <v>657.70151871566486</v>
      </c>
    </row>
    <row r="932" spans="1:49" ht="30" x14ac:dyDescent="0.25">
      <c r="A932" s="2">
        <v>1</v>
      </c>
      <c r="B932" s="2" t="s">
        <v>682</v>
      </c>
      <c r="C932" s="2" t="s">
        <v>683</v>
      </c>
      <c r="D932" s="2" t="s">
        <v>3162</v>
      </c>
      <c r="E932" s="2" t="s">
        <v>684</v>
      </c>
      <c r="F932" s="3">
        <v>45904.770868055559</v>
      </c>
      <c r="G932" s="3">
        <v>45908.649201388893</v>
      </c>
      <c r="H932" s="4">
        <v>45915</v>
      </c>
      <c r="I932" s="2" t="s">
        <v>36</v>
      </c>
      <c r="J932" s="2" t="s">
        <v>22</v>
      </c>
      <c r="K932" s="2">
        <v>1</v>
      </c>
      <c r="L932" s="2">
        <v>9474.0499999999993</v>
      </c>
      <c r="M932" s="2">
        <v>0</v>
      </c>
      <c r="N932" s="2">
        <v>6854.680378102089</v>
      </c>
      <c r="O932" s="2">
        <v>9022.9</v>
      </c>
      <c r="P932" s="2">
        <v>451.15</v>
      </c>
      <c r="Q932" s="2">
        <v>9474.0499999999993</v>
      </c>
      <c r="R932" s="2" t="s">
        <v>44</v>
      </c>
      <c r="S932" s="2"/>
      <c r="T932" s="2">
        <f t="shared" si="313"/>
        <v>1</v>
      </c>
      <c r="U932" s="18">
        <f t="shared" si="314"/>
        <v>9</v>
      </c>
      <c r="V932" s="18">
        <f t="shared" si="315"/>
        <v>2025</v>
      </c>
      <c r="W932" s="18">
        <f t="shared" si="316"/>
        <v>11</v>
      </c>
      <c r="X932" s="18">
        <f t="shared" si="317"/>
        <v>2025</v>
      </c>
      <c r="Y932" s="2">
        <f t="shared" si="310"/>
        <v>0.72352165949114577</v>
      </c>
      <c r="Z932" t="str">
        <f t="shared" si="311"/>
        <v>SO17801</v>
      </c>
      <c r="AA932" s="11">
        <f t="shared" si="318"/>
        <v>45904.770868055559</v>
      </c>
      <c r="AB932" s="5" t="str">
        <f t="shared" si="319"/>
        <v>INV13396</v>
      </c>
      <c r="AC932" s="5" t="str">
        <f>IFERROR(VLOOKUP(D932,CAARStatus!$A$2:$AA$1600,22,FALSE),"Not invoiced")</f>
        <v>Paid</v>
      </c>
      <c r="AD932" s="11">
        <f>IF(AC932="Paid",IFERROR(VLOOKUP(D932,CAARStatus!$A$2:$AA$1600,6,FALSE),"Pending"),"Pending")</f>
        <v>45974</v>
      </c>
      <c r="AE932" s="5" t="str">
        <f t="shared" si="320"/>
        <v>4500612015</v>
      </c>
      <c r="AF932" s="5" t="str">
        <f t="shared" si="321"/>
        <v>Resolute Forest Products - Fibrek</v>
      </c>
      <c r="AG932" s="5" t="str">
        <f t="shared" si="322"/>
        <v>CAD</v>
      </c>
      <c r="AH932" s="5">
        <f t="shared" si="323"/>
        <v>9022.9</v>
      </c>
      <c r="AI932" s="12">
        <f>IF(L932-N932=0,VLOOKUP(U932,rate!A$4:B$15,2,FALSE)*AH932,IF(AG932="USD",O932,AH932*Y932))</f>
        <v>6528.2635814226587</v>
      </c>
      <c r="AJ932" s="13">
        <f t="shared" si="324"/>
        <v>0.72352165949114577</v>
      </c>
      <c r="AK932" s="13">
        <f>-IF(AG932="CAD",IFERROR(VLOOKUP(D932,CAARStatus!$A$1:$Y$1600,16,FALSE),0),0)</f>
        <v>-9022.9</v>
      </c>
      <c r="AL932" s="13">
        <f>-IF(AG932="USD",IFERROR(VLOOKUP(D932,CAARStatus!$A$1:$Y$1600,11,FALSE),0),0)</f>
        <v>0</v>
      </c>
      <c r="AM932" s="22">
        <f t="shared" si="325"/>
        <v>0</v>
      </c>
      <c r="AN932" s="12" t="str">
        <f t="shared" si="326"/>
        <v/>
      </c>
      <c r="AO932" s="12" t="str">
        <f t="shared" si="327"/>
        <v>Yes</v>
      </c>
      <c r="AP932" t="str">
        <f t="shared" si="312"/>
        <v>Yes</v>
      </c>
      <c r="AQ932" t="str">
        <f>IFERROR(VLOOKUP(Z932,InvBal!$L$4:$P$600,4,FALSE),"Pend")</f>
        <v>Pend</v>
      </c>
      <c r="AR932" t="str">
        <f>IFERROR(VLOOKUP(D932,Manual!$C$1:$E$22,2,FALSE),"Pend")</f>
        <v>Pend</v>
      </c>
      <c r="AS932" t="str">
        <f t="shared" si="328"/>
        <v>Yes</v>
      </c>
      <c r="AT932" t="str">
        <f t="shared" si="329"/>
        <v>Yes</v>
      </c>
      <c r="AU932" s="51" t="str">
        <f t="shared" si="330"/>
        <v>Yes</v>
      </c>
      <c r="AV932" s="12">
        <f>IFERROR(VLOOKUP(D932,'Receivable Invoice Detail'!$S$1:$U$3014,3,FALSE),0)</f>
        <v>0</v>
      </c>
      <c r="AW932" s="12">
        <f t="shared" si="331"/>
        <v>6528.2635814226587</v>
      </c>
    </row>
    <row r="933" spans="1:49" x14ac:dyDescent="0.25">
      <c r="A933" s="2">
        <v>1</v>
      </c>
      <c r="B933" s="2" t="s">
        <v>645</v>
      </c>
      <c r="C933" s="2" t="s">
        <v>646</v>
      </c>
      <c r="D933" s="2" t="s">
        <v>3182</v>
      </c>
      <c r="E933" s="2" t="s">
        <v>146</v>
      </c>
      <c r="F933" s="3">
        <v>45905.481342592589</v>
      </c>
      <c r="G933" s="3">
        <v>45915.603263888886</v>
      </c>
      <c r="H933" s="4">
        <v>45922</v>
      </c>
      <c r="I933" s="2" t="s">
        <v>21</v>
      </c>
      <c r="J933" s="2" t="s">
        <v>22</v>
      </c>
      <c r="K933" s="2">
        <v>1</v>
      </c>
      <c r="L933" s="2">
        <v>105.61</v>
      </c>
      <c r="M933" s="2">
        <v>0</v>
      </c>
      <c r="N933" s="2">
        <v>76.537189318610643</v>
      </c>
      <c r="O933" s="2">
        <v>100.58</v>
      </c>
      <c r="P933" s="2">
        <v>5.03</v>
      </c>
      <c r="Q933" s="2">
        <v>105.61</v>
      </c>
      <c r="R933" s="2" t="s">
        <v>44</v>
      </c>
      <c r="S933" s="2"/>
      <c r="T933" s="2">
        <f t="shared" si="313"/>
        <v>1</v>
      </c>
      <c r="U933" s="18">
        <f t="shared" si="314"/>
        <v>9</v>
      </c>
      <c r="V933" s="18">
        <f t="shared" si="315"/>
        <v>2025</v>
      </c>
      <c r="W933" s="18">
        <f t="shared" si="316"/>
        <v>10</v>
      </c>
      <c r="X933" s="18">
        <f t="shared" si="317"/>
        <v>2025</v>
      </c>
      <c r="Y933" s="2">
        <f t="shared" si="310"/>
        <v>0.72471536141095205</v>
      </c>
      <c r="Z933" t="str">
        <f t="shared" si="311"/>
        <v>SO17803</v>
      </c>
      <c r="AA933" s="11">
        <f t="shared" si="318"/>
        <v>45905.481342592589</v>
      </c>
      <c r="AB933" s="5" t="str">
        <f t="shared" si="319"/>
        <v>INV13410</v>
      </c>
      <c r="AC933" s="5" t="str">
        <f>IFERROR(VLOOKUP(D933,CAARStatus!$A$2:$AA$1600,22,FALSE),"Not invoiced")</f>
        <v>Paid</v>
      </c>
      <c r="AD933" s="11">
        <f>IF(AC933="Paid",IFERROR(VLOOKUP(D933,CAARStatus!$A$2:$AA$1600,6,FALSE),"Pending"),"Pending")</f>
        <v>45953</v>
      </c>
      <c r="AE933" s="5" t="str">
        <f t="shared" si="320"/>
        <v>7667</v>
      </c>
      <c r="AF933" s="5" t="str">
        <f t="shared" si="321"/>
        <v>Hyperflo</v>
      </c>
      <c r="AG933" s="5" t="str">
        <f t="shared" si="322"/>
        <v>CAD</v>
      </c>
      <c r="AH933" s="5">
        <f t="shared" si="323"/>
        <v>100.58</v>
      </c>
      <c r="AI933" s="12">
        <f>IF(L933-N933=0,VLOOKUP(U933,rate!A$4:B$15,2,FALSE)*AH933,IF(AG933="USD",O933,AH933*Y933))</f>
        <v>72.891871050713561</v>
      </c>
      <c r="AJ933" s="13">
        <f t="shared" si="324"/>
        <v>0.72471536141095205</v>
      </c>
      <c r="AK933" s="13">
        <f>-IF(AG933="CAD",IFERROR(VLOOKUP(D933,CAARStatus!$A$1:$Y$1600,16,FALSE),0),0)</f>
        <v>-100.58</v>
      </c>
      <c r="AL933" s="13">
        <f>-IF(AG933="USD",IFERROR(VLOOKUP(D933,CAARStatus!$A$1:$Y$1600,11,FALSE),0),0)</f>
        <v>0</v>
      </c>
      <c r="AM933" s="22">
        <f t="shared" si="325"/>
        <v>0</v>
      </c>
      <c r="AN933" s="12" t="str">
        <f t="shared" si="326"/>
        <v/>
      </c>
      <c r="AO933" s="12" t="str">
        <f t="shared" si="327"/>
        <v>Yes</v>
      </c>
      <c r="AP933" t="str">
        <f t="shared" si="312"/>
        <v>Yes</v>
      </c>
      <c r="AQ933" t="str">
        <f>IFERROR(VLOOKUP(Z933,InvBal!$L$4:$P$600,4,FALSE),"Pend")</f>
        <v>Pend</v>
      </c>
      <c r="AR933" t="str">
        <f>IFERROR(VLOOKUP(D933,Manual!$C$1:$E$22,2,FALSE),"Pend")</f>
        <v>Pend</v>
      </c>
      <c r="AS933" t="str">
        <f t="shared" si="328"/>
        <v>Yes</v>
      </c>
      <c r="AT933" t="str">
        <f t="shared" si="329"/>
        <v>Yes</v>
      </c>
      <c r="AU933" s="51" t="str">
        <f t="shared" si="330"/>
        <v>Yes</v>
      </c>
      <c r="AV933" s="12">
        <f>IFERROR(VLOOKUP(D933,'Receivable Invoice Detail'!$S$1:$U$3014,3,FALSE),0)</f>
        <v>0</v>
      </c>
      <c r="AW933" s="12">
        <f t="shared" si="331"/>
        <v>72.891871050713561</v>
      </c>
    </row>
    <row r="934" spans="1:49" x14ac:dyDescent="0.25">
      <c r="A934" s="2">
        <v>1</v>
      </c>
      <c r="B934" s="2" t="s">
        <v>690</v>
      </c>
      <c r="C934" s="2" t="s">
        <v>691</v>
      </c>
      <c r="D934" s="2" t="s">
        <v>3160</v>
      </c>
      <c r="E934" s="2" t="s">
        <v>229</v>
      </c>
      <c r="F934" s="3">
        <v>45905.516192129631</v>
      </c>
      <c r="G934" s="3">
        <v>45905.516296296293</v>
      </c>
      <c r="H934" s="4">
        <v>45912</v>
      </c>
      <c r="I934" s="2" t="s">
        <v>36</v>
      </c>
      <c r="J934" s="2" t="s">
        <v>22</v>
      </c>
      <c r="K934" s="2">
        <v>1</v>
      </c>
      <c r="L934" s="2">
        <v>523.91</v>
      </c>
      <c r="M934" s="2">
        <v>0</v>
      </c>
      <c r="N934" s="2">
        <v>378.92058786880182</v>
      </c>
      <c r="O934" s="2">
        <v>498.96</v>
      </c>
      <c r="P934" s="2">
        <v>24.95</v>
      </c>
      <c r="Q934" s="2">
        <v>523.91</v>
      </c>
      <c r="R934" s="2" t="s">
        <v>44</v>
      </c>
      <c r="S934" s="2"/>
      <c r="T934" s="2">
        <f t="shared" si="313"/>
        <v>1</v>
      </c>
      <c r="U934" s="18">
        <f t="shared" si="314"/>
        <v>9</v>
      </c>
      <c r="V934" s="18">
        <f t="shared" si="315"/>
        <v>2025</v>
      </c>
      <c r="W934" s="18">
        <f t="shared" si="316"/>
        <v>10</v>
      </c>
      <c r="X934" s="18">
        <f t="shared" si="317"/>
        <v>2025</v>
      </c>
      <c r="Y934" s="2">
        <f t="shared" si="310"/>
        <v>0.72325511608635418</v>
      </c>
      <c r="Z934" t="str">
        <f t="shared" si="311"/>
        <v>SO17804</v>
      </c>
      <c r="AA934" s="11">
        <f t="shared" si="318"/>
        <v>45905.516192129631</v>
      </c>
      <c r="AB934" s="5" t="str">
        <f t="shared" si="319"/>
        <v>INV13381</v>
      </c>
      <c r="AC934" s="5" t="str">
        <f>IFERROR(VLOOKUP(D934,CAARStatus!$A$2:$AA$1600,22,FALSE),"Not invoiced")</f>
        <v>Paid</v>
      </c>
      <c r="AD934" s="11">
        <f>IF(AC934="Paid",IFERROR(VLOOKUP(D934,CAARStatus!$A$2:$AA$1600,6,FALSE),"Pending"),"Pending")</f>
        <v>45945</v>
      </c>
      <c r="AE934" s="5" t="str">
        <f t="shared" si="320"/>
        <v>2100646837</v>
      </c>
      <c r="AF934" s="5" t="str">
        <f t="shared" si="321"/>
        <v>Wajax Limited - Lachine</v>
      </c>
      <c r="AG934" s="5" t="str">
        <f t="shared" si="322"/>
        <v>CAD</v>
      </c>
      <c r="AH934" s="5">
        <f t="shared" si="323"/>
        <v>498.96</v>
      </c>
      <c r="AI934" s="12">
        <f>IF(L934-N934=0,VLOOKUP(U934,rate!A$4:B$15,2,FALSE)*AH934,IF(AG934="USD",O934,AH934*Y934))</f>
        <v>360.87537272244725</v>
      </c>
      <c r="AJ934" s="13">
        <f t="shared" si="324"/>
        <v>0.72325511608635418</v>
      </c>
      <c r="AK934" s="13">
        <f>-IF(AG934="CAD",IFERROR(VLOOKUP(D934,CAARStatus!$A$1:$Y$1600,16,FALSE),0),0)</f>
        <v>-498.96</v>
      </c>
      <c r="AL934" s="13">
        <f>-IF(AG934="USD",IFERROR(VLOOKUP(D934,CAARStatus!$A$1:$Y$1600,11,FALSE),0),0)</f>
        <v>0</v>
      </c>
      <c r="AM934" s="22">
        <f t="shared" si="325"/>
        <v>0</v>
      </c>
      <c r="AN934" s="12" t="str">
        <f t="shared" si="326"/>
        <v/>
      </c>
      <c r="AO934" s="12" t="str">
        <f t="shared" si="327"/>
        <v>Yes</v>
      </c>
      <c r="AP934" t="str">
        <f t="shared" si="312"/>
        <v>Yes</v>
      </c>
      <c r="AQ934" t="str">
        <f>IFERROR(VLOOKUP(Z934,InvBal!$L$4:$P$600,4,FALSE),"Pend")</f>
        <v>Pend</v>
      </c>
      <c r="AR934" t="str">
        <f>IFERROR(VLOOKUP(D934,Manual!$C$1:$E$22,2,FALSE),"Pend")</f>
        <v>Pend</v>
      </c>
      <c r="AS934" t="str">
        <f t="shared" si="328"/>
        <v>Yes</v>
      </c>
      <c r="AT934" t="str">
        <f t="shared" si="329"/>
        <v>Yes</v>
      </c>
      <c r="AU934" s="51" t="str">
        <f t="shared" si="330"/>
        <v>Yes</v>
      </c>
      <c r="AV934" s="12">
        <f>IFERROR(VLOOKUP(D934,'Receivable Invoice Detail'!$S$1:$U$3014,3,FALSE),0)</f>
        <v>0</v>
      </c>
      <c r="AW934" s="12">
        <f t="shared" si="331"/>
        <v>360.87537272244725</v>
      </c>
    </row>
    <row r="935" spans="1:49" x14ac:dyDescent="0.25">
      <c r="A935" s="2">
        <v>3</v>
      </c>
      <c r="B935" s="2" t="s">
        <v>674</v>
      </c>
      <c r="C935" s="2" t="s">
        <v>675</v>
      </c>
      <c r="D935" s="2" t="s">
        <v>3168</v>
      </c>
      <c r="E935" s="2" t="s">
        <v>70</v>
      </c>
      <c r="F935" s="3">
        <v>45905.603113425917</v>
      </c>
      <c r="G935" s="3">
        <v>45909.587812500002</v>
      </c>
      <c r="H935" s="4">
        <v>46027</v>
      </c>
      <c r="I935" s="2" t="s">
        <v>71</v>
      </c>
      <c r="J935" s="2" t="s">
        <v>51</v>
      </c>
      <c r="K935" s="2">
        <v>0.72308531577554036</v>
      </c>
      <c r="L935" s="2">
        <v>13645.070346114961</v>
      </c>
      <c r="M935" s="2">
        <v>0</v>
      </c>
      <c r="N935" s="2">
        <v>9866.5499999999993</v>
      </c>
      <c r="O935" s="2">
        <v>9866.5499999999993</v>
      </c>
      <c r="P935" s="2"/>
      <c r="Q935" s="2">
        <v>9866.5499999999993</v>
      </c>
      <c r="R935" s="2" t="s">
        <v>44</v>
      </c>
      <c r="S935" s="2"/>
      <c r="T935" s="2">
        <f t="shared" si="313"/>
        <v>3</v>
      </c>
      <c r="U935" s="18">
        <f t="shared" si="314"/>
        <v>9</v>
      </c>
      <c r="V935" s="18">
        <f t="shared" si="315"/>
        <v>2025</v>
      </c>
      <c r="W935" s="18" t="str">
        <f t="shared" si="316"/>
        <v/>
      </c>
      <c r="X935" s="18" t="str">
        <f t="shared" si="317"/>
        <v/>
      </c>
      <c r="Y935" s="2">
        <f t="shared" si="310"/>
        <v>0.72308531577554047</v>
      </c>
      <c r="Z935" t="str">
        <f t="shared" si="311"/>
        <v>SO17806</v>
      </c>
      <c r="AA935" s="11">
        <f t="shared" si="318"/>
        <v>45905.603113425917</v>
      </c>
      <c r="AB935" s="5" t="str">
        <f t="shared" si="319"/>
        <v>INV13552</v>
      </c>
      <c r="AC935" s="5" t="str">
        <f>IFERROR(VLOOKUP(D935,CAARStatus!$A$2:$AA$1600,22,FALSE),"Not invoiced")</f>
        <v>Approved</v>
      </c>
      <c r="AD935" s="11" t="str">
        <f>IF(AC935="Paid",IFERROR(VLOOKUP(D935,CAARStatus!$A$2:$AA$1600,6,FALSE),"Pending"),"Pending")</f>
        <v>Pending</v>
      </c>
      <c r="AE935" s="5" t="str">
        <f t="shared" si="320"/>
        <v>P366673</v>
      </c>
      <c r="AF935" s="5" t="str">
        <f t="shared" si="321"/>
        <v>Covia Corp - Junction City</v>
      </c>
      <c r="AG935" s="5" t="str">
        <f t="shared" si="322"/>
        <v>USD</v>
      </c>
      <c r="AH935" s="5">
        <f t="shared" si="323"/>
        <v>13645.070346114962</v>
      </c>
      <c r="AI935" s="12">
        <f>IF(L935-N935=0,VLOOKUP(U935,rate!A$4:B$15,2,FALSE)*AH935,IF(AG935="USD",O935,AH935*Y935))</f>
        <v>9866.5499999999993</v>
      </c>
      <c r="AJ935" s="13">
        <f t="shared" si="324"/>
        <v>0.72308531577554036</v>
      </c>
      <c r="AK935" s="13">
        <f>-IF(AG935="CAD",IFERROR(VLOOKUP(D935,CAARStatus!$A$1:$Y$1600,16,FALSE),0),0)</f>
        <v>0</v>
      </c>
      <c r="AL935" s="13">
        <f>-IF(AG935="USD",IFERROR(VLOOKUP(D935,CAARStatus!$A$1:$Y$1600,11,FALSE),0),0)</f>
        <v>-323.24</v>
      </c>
      <c r="AM935" s="22" t="str">
        <f t="shared" si="325"/>
        <v/>
      </c>
      <c r="AN935" s="12">
        <f t="shared" si="326"/>
        <v>9543.31</v>
      </c>
      <c r="AO935" s="12" t="str">
        <f t="shared" si="327"/>
        <v>Pend</v>
      </c>
      <c r="AP935" t="str">
        <f t="shared" si="312"/>
        <v>XX</v>
      </c>
      <c r="AQ935" t="str">
        <f>IFERROR(VLOOKUP(Z935,InvBal!$L$4:$P$600,4,FALSE),"Pend")</f>
        <v>Yes</v>
      </c>
      <c r="AR935" t="str">
        <f>IFERROR(VLOOKUP(D935,Manual!$C$1:$E$22,2,FALSE),"Pend")</f>
        <v>Pend</v>
      </c>
      <c r="AS935" t="str">
        <f t="shared" si="328"/>
        <v>Yes</v>
      </c>
      <c r="AT935" t="str">
        <f t="shared" si="329"/>
        <v>Yes</v>
      </c>
      <c r="AU935" s="51" t="str">
        <f t="shared" si="330"/>
        <v>Yes</v>
      </c>
      <c r="AV935" s="12">
        <f>IFERROR(VLOOKUP(D935,'Receivable Invoice Detail'!$S$1:$U$3014,3,FALSE),0)</f>
        <v>69.97</v>
      </c>
      <c r="AW935" s="12">
        <f t="shared" si="331"/>
        <v>9796.58</v>
      </c>
    </row>
    <row r="936" spans="1:49" x14ac:dyDescent="0.25">
      <c r="A936" s="2"/>
      <c r="B936" s="2"/>
      <c r="C936" s="2"/>
      <c r="D936" s="2" t="s">
        <v>3167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>
        <f t="shared" si="313"/>
        <v>3</v>
      </c>
      <c r="U936" s="18">
        <f t="shared" si="314"/>
        <v>9</v>
      </c>
      <c r="V936" s="18">
        <f t="shared" si="315"/>
        <v>2025</v>
      </c>
      <c r="W936" s="18" t="str">
        <f t="shared" si="316"/>
        <v/>
      </c>
      <c r="X936" s="18" t="str">
        <f t="shared" si="317"/>
        <v/>
      </c>
      <c r="Y936" s="2">
        <f t="shared" si="310"/>
        <v>0.72308531577554047</v>
      </c>
      <c r="Z936" t="str">
        <f t="shared" si="311"/>
        <v>SO17806</v>
      </c>
      <c r="AA936" s="11">
        <f t="shared" si="318"/>
        <v>45905.603113425917</v>
      </c>
      <c r="AB936" s="5" t="str">
        <f t="shared" si="319"/>
        <v>INV13533</v>
      </c>
      <c r="AC936" s="5" t="str">
        <f>IFERROR(VLOOKUP(D936,CAARStatus!$A$2:$AA$1600,22,FALSE),"Not invoiced")</f>
        <v>Approved</v>
      </c>
      <c r="AD936" s="11" t="str">
        <f>IF(AC936="Paid",IFERROR(VLOOKUP(D936,CAARStatus!$A$2:$AA$1600,6,FALSE),"Pending"),"Pending")</f>
        <v>Pending</v>
      </c>
      <c r="AE936" s="5" t="str">
        <f t="shared" si="320"/>
        <v>P366673</v>
      </c>
      <c r="AF936" s="5" t="str">
        <f t="shared" si="321"/>
        <v>Covia Corp - Junction City</v>
      </c>
      <c r="AG936" s="5" t="str">
        <f t="shared" si="322"/>
        <v>USD</v>
      </c>
      <c r="AH936" s="5">
        <f t="shared" si="323"/>
        <v>0</v>
      </c>
      <c r="AI936" s="12">
        <f>IF(L936-N936=0,VLOOKUP(U936,rate!A$4:B$15,2,FALSE)*AH936,IF(AG936="USD",O936,AH936*Y936))</f>
        <v>0</v>
      </c>
      <c r="AJ936" s="13">
        <f t="shared" si="324"/>
        <v>0</v>
      </c>
      <c r="AK936" s="13">
        <f>-IF(AG936="CAD",IFERROR(VLOOKUP(D936,CAARStatus!$A$1:$Y$1600,16,FALSE),0),0)</f>
        <v>0</v>
      </c>
      <c r="AL936" s="13">
        <f>-IF(AG936="USD",IFERROR(VLOOKUP(D936,CAARStatus!$A$1:$Y$1600,11,FALSE),0),0)</f>
        <v>-3727.67</v>
      </c>
      <c r="AM936" s="22" t="str">
        <f t="shared" si="325"/>
        <v/>
      </c>
      <c r="AN936" s="12">
        <f t="shared" si="326"/>
        <v>-3727.67</v>
      </c>
      <c r="AO936" s="12" t="str">
        <f t="shared" si="327"/>
        <v>Pend</v>
      </c>
      <c r="AP936" t="str">
        <f t="shared" si="312"/>
        <v>XX</v>
      </c>
      <c r="AQ936" t="str">
        <f>IFERROR(VLOOKUP(Z936,InvBal!$L$4:$P$600,4,FALSE),"Pend")</f>
        <v>Yes</v>
      </c>
      <c r="AR936" t="str">
        <f>IFERROR(VLOOKUP(D936,Manual!$C$1:$E$22,2,FALSE),"Pend")</f>
        <v>Pend</v>
      </c>
      <c r="AS936" t="str">
        <f t="shared" si="328"/>
        <v>Yes</v>
      </c>
      <c r="AT936" t="str">
        <f t="shared" si="329"/>
        <v/>
      </c>
      <c r="AU936" s="51" t="str">
        <f t="shared" si="330"/>
        <v/>
      </c>
      <c r="AV936" s="12">
        <f>IFERROR(VLOOKUP(D936,'Receivable Invoice Detail'!$S$1:$U$3014,3,FALSE),0)</f>
        <v>478.15</v>
      </c>
      <c r="AW936" s="12">
        <f t="shared" si="331"/>
        <v>0</v>
      </c>
    </row>
    <row r="937" spans="1:49" x14ac:dyDescent="0.25">
      <c r="A937" s="2"/>
      <c r="B937" s="2"/>
      <c r="C937" s="2"/>
      <c r="D937" s="2" t="s">
        <v>3166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>
        <f t="shared" si="313"/>
        <v>3</v>
      </c>
      <c r="U937" s="18">
        <f t="shared" si="314"/>
        <v>9</v>
      </c>
      <c r="V937" s="18">
        <f t="shared" si="315"/>
        <v>2025</v>
      </c>
      <c r="W937" s="18" t="str">
        <f t="shared" si="316"/>
        <v/>
      </c>
      <c r="X937" s="18" t="str">
        <f t="shared" si="317"/>
        <v/>
      </c>
      <c r="Y937" s="2">
        <f t="shared" si="310"/>
        <v>0.72308531577554047</v>
      </c>
      <c r="Z937" t="str">
        <f t="shared" si="311"/>
        <v>SO17806</v>
      </c>
      <c r="AA937" s="11">
        <f t="shared" si="318"/>
        <v>45905.603113425917</v>
      </c>
      <c r="AB937" s="5" t="str">
        <f t="shared" si="319"/>
        <v>INV13678</v>
      </c>
      <c r="AC937" s="5" t="str">
        <f>IFERROR(VLOOKUP(D937,CAARStatus!$A$2:$AA$1600,22,FALSE),"Not invoiced")</f>
        <v>Approved</v>
      </c>
      <c r="AD937" s="11" t="str">
        <f>IF(AC937="Paid",IFERROR(VLOOKUP(D937,CAARStatus!$A$2:$AA$1600,6,FALSE),"Pending"),"Pending")</f>
        <v>Pending</v>
      </c>
      <c r="AE937" s="5" t="str">
        <f t="shared" si="320"/>
        <v>P366673</v>
      </c>
      <c r="AF937" s="5" t="str">
        <f t="shared" si="321"/>
        <v>Covia Corp - Junction City</v>
      </c>
      <c r="AG937" s="5" t="str">
        <f t="shared" si="322"/>
        <v>USD</v>
      </c>
      <c r="AH937" s="5">
        <f t="shared" si="323"/>
        <v>0</v>
      </c>
      <c r="AI937" s="12">
        <f>IF(L937-N937=0,VLOOKUP(U937,rate!A$4:B$15,2,FALSE)*AH937,IF(AG937="USD",O937,AH937*Y937))</f>
        <v>0</v>
      </c>
      <c r="AJ937" s="13">
        <f t="shared" si="324"/>
        <v>0</v>
      </c>
      <c r="AK937" s="13">
        <f>-IF(AG937="CAD",IFERROR(VLOOKUP(D937,CAARStatus!$A$1:$Y$1600,16,FALSE),0),0)</f>
        <v>0</v>
      </c>
      <c r="AL937" s="13">
        <f>-IF(AG937="USD",IFERROR(VLOOKUP(D937,CAARStatus!$A$1:$Y$1600,11,FALSE),0),0)</f>
        <v>-5815.64</v>
      </c>
      <c r="AM937" s="22" t="str">
        <f t="shared" si="325"/>
        <v/>
      </c>
      <c r="AN937" s="12">
        <f t="shared" si="326"/>
        <v>-5815.64</v>
      </c>
      <c r="AO937" s="12" t="str">
        <f t="shared" si="327"/>
        <v>Pend</v>
      </c>
      <c r="AP937" t="str">
        <f t="shared" si="312"/>
        <v>XX</v>
      </c>
      <c r="AQ937" t="str">
        <f>IFERROR(VLOOKUP(Z937,InvBal!$L$4:$P$600,4,FALSE),"Pend")</f>
        <v>Yes</v>
      </c>
      <c r="AR937" t="str">
        <f>IFERROR(VLOOKUP(D937,Manual!$C$1:$E$22,2,FALSE),"Pend")</f>
        <v>Pend</v>
      </c>
      <c r="AS937" t="str">
        <f t="shared" si="328"/>
        <v>Yes</v>
      </c>
      <c r="AT937" t="str">
        <f t="shared" si="329"/>
        <v/>
      </c>
      <c r="AU937" s="51" t="str">
        <f t="shared" si="330"/>
        <v/>
      </c>
      <c r="AV937" s="12">
        <f>IFERROR(VLOOKUP(D937,'Receivable Invoice Detail'!$S$1:$U$3014,3,FALSE),0)</f>
        <v>513.36</v>
      </c>
      <c r="AW937" s="12">
        <f t="shared" si="331"/>
        <v>0</v>
      </c>
    </row>
    <row r="938" spans="1:49" ht="30" x14ac:dyDescent="0.25">
      <c r="A938" s="2">
        <v>1</v>
      </c>
      <c r="B938" s="2" t="s">
        <v>668</v>
      </c>
      <c r="C938" s="2" t="s">
        <v>669</v>
      </c>
      <c r="D938" s="2" t="s">
        <v>3171</v>
      </c>
      <c r="E938" s="2" t="s">
        <v>20</v>
      </c>
      <c r="F938" s="3">
        <v>45908.517500000002</v>
      </c>
      <c r="G938" s="3">
        <v>45910.683587962973</v>
      </c>
      <c r="H938" s="4">
        <v>46029</v>
      </c>
      <c r="I938" s="2" t="s">
        <v>21</v>
      </c>
      <c r="J938" s="2" t="s">
        <v>22</v>
      </c>
      <c r="K938" s="2">
        <v>1</v>
      </c>
      <c r="L938" s="2">
        <v>4172.29</v>
      </c>
      <c r="M938" s="2">
        <v>0</v>
      </c>
      <c r="N938" s="2">
        <v>3013.3805759603952</v>
      </c>
      <c r="O938" s="2">
        <v>3973.6</v>
      </c>
      <c r="P938" s="2">
        <v>198.69</v>
      </c>
      <c r="Q938" s="2">
        <v>4172.29</v>
      </c>
      <c r="R938" s="2" t="s">
        <v>44</v>
      </c>
      <c r="S938" s="2"/>
      <c r="T938" s="2">
        <f t="shared" si="313"/>
        <v>1</v>
      </c>
      <c r="U938" s="18">
        <f t="shared" si="314"/>
        <v>9</v>
      </c>
      <c r="V938" s="18">
        <f t="shared" si="315"/>
        <v>2025</v>
      </c>
      <c r="W938" s="18" t="str">
        <f t="shared" si="316"/>
        <v/>
      </c>
      <c r="X938" s="18" t="str">
        <f t="shared" si="317"/>
        <v/>
      </c>
      <c r="Y938" s="2">
        <f t="shared" si="310"/>
        <v>0.72223660770473652</v>
      </c>
      <c r="Z938" t="str">
        <f t="shared" si="311"/>
        <v>SO17809</v>
      </c>
      <c r="AA938" s="11">
        <f t="shared" si="318"/>
        <v>45908.517500000002</v>
      </c>
      <c r="AB938" s="5" t="str">
        <f t="shared" si="319"/>
        <v>INV13442</v>
      </c>
      <c r="AC938" s="5" t="str">
        <f>IFERROR(VLOOKUP(D938,CAARStatus!$A$2:$AA$1600,22,FALSE),"Not invoiced")</f>
        <v>Not invoiced</v>
      </c>
      <c r="AD938" s="11" t="str">
        <f>IF(AC938="Paid",IFERROR(VLOOKUP(D938,CAARStatus!$A$2:$AA$1600,6,FALSE),"Pending"),"Pending")</f>
        <v>Pending</v>
      </c>
      <c r="AE938" s="5" t="str">
        <f t="shared" si="320"/>
        <v>4500612757</v>
      </c>
      <c r="AF938" s="5" t="str">
        <f t="shared" si="321"/>
        <v>Resolute Forest Products - Saint-Felicien</v>
      </c>
      <c r="AG938" s="5" t="str">
        <f t="shared" si="322"/>
        <v>CAD</v>
      </c>
      <c r="AH938" s="5">
        <f t="shared" si="323"/>
        <v>3973.6</v>
      </c>
      <c r="AI938" s="12">
        <f>IF(L938-N938=0,VLOOKUP(U938,rate!A$4:B$15,2,FALSE)*AH938,IF(AG938="USD",O938,AH938*Y938))</f>
        <v>2869.8793843755411</v>
      </c>
      <c r="AJ938" s="13">
        <f t="shared" si="324"/>
        <v>0.72223660770473652</v>
      </c>
      <c r="AK938" s="13">
        <f>-IF(AG938="CAD",IFERROR(VLOOKUP(D938,CAARStatus!$A$1:$Y$1600,16,FALSE),0),0)</f>
        <v>0</v>
      </c>
      <c r="AL938" s="13">
        <f>-IF(AG938="USD",IFERROR(VLOOKUP(D938,CAARStatus!$A$1:$Y$1600,11,FALSE),0),0)</f>
        <v>0</v>
      </c>
      <c r="AM938" s="22">
        <f t="shared" si="325"/>
        <v>3973.6</v>
      </c>
      <c r="AN938" s="12" t="str">
        <f t="shared" si="326"/>
        <v/>
      </c>
      <c r="AO938" s="12" t="str">
        <f t="shared" si="327"/>
        <v>Pend</v>
      </c>
      <c r="AP938" t="str">
        <f t="shared" si="312"/>
        <v>Pend</v>
      </c>
      <c r="AQ938" t="str">
        <f>IFERROR(VLOOKUP(Z938,InvBal!$L$4:$P$600,4,FALSE),"Pend")</f>
        <v>Pend</v>
      </c>
      <c r="AR938" t="str">
        <f>IFERROR(VLOOKUP(D938,Manual!$C$1:$E$22,2,FALSE),"Pend")</f>
        <v>Pend</v>
      </c>
      <c r="AS938" t="str">
        <f t="shared" si="328"/>
        <v/>
      </c>
      <c r="AT938" t="str">
        <f t="shared" si="329"/>
        <v>Yes</v>
      </c>
      <c r="AU938" s="51" t="str">
        <f t="shared" si="330"/>
        <v/>
      </c>
      <c r="AV938" s="12">
        <f>IFERROR(VLOOKUP(D938,'Receivable Invoice Detail'!$S$1:$U$3014,3,FALSE),0)</f>
        <v>0</v>
      </c>
      <c r="AW938" s="12">
        <f t="shared" si="331"/>
        <v>0</v>
      </c>
    </row>
    <row r="939" spans="1:49" ht="30" x14ac:dyDescent="0.25">
      <c r="A939" s="2">
        <v>1</v>
      </c>
      <c r="B939" s="2" t="s">
        <v>672</v>
      </c>
      <c r="C939" s="2" t="s">
        <v>673</v>
      </c>
      <c r="D939" s="2" t="s">
        <v>3169</v>
      </c>
      <c r="E939" s="2" t="s">
        <v>20</v>
      </c>
      <c r="F939" s="3">
        <v>45908.616712962961</v>
      </c>
      <c r="G939" s="3">
        <v>45909.709224537037</v>
      </c>
      <c r="H939" s="4">
        <v>45910</v>
      </c>
      <c r="I939" s="2" t="s">
        <v>21</v>
      </c>
      <c r="J939" s="2" t="s">
        <v>22</v>
      </c>
      <c r="K939" s="2">
        <v>1</v>
      </c>
      <c r="L939" s="2">
        <v>4785.87</v>
      </c>
      <c r="M939" s="2">
        <v>4785.87</v>
      </c>
      <c r="N939" s="2">
        <v>4785.87</v>
      </c>
      <c r="O939" s="2">
        <v>4557.97</v>
      </c>
      <c r="P939" s="2">
        <v>227.9</v>
      </c>
      <c r="Q939" s="2">
        <v>4785.87</v>
      </c>
      <c r="R939" s="2" t="s">
        <v>44</v>
      </c>
      <c r="S939" s="2"/>
      <c r="T939" s="2">
        <f t="shared" si="313"/>
        <v>1</v>
      </c>
      <c r="U939" s="18">
        <f t="shared" si="314"/>
        <v>9</v>
      </c>
      <c r="V939" s="18">
        <f t="shared" si="315"/>
        <v>2025</v>
      </c>
      <c r="W939" s="18">
        <f t="shared" si="316"/>
        <v>11</v>
      </c>
      <c r="X939" s="18">
        <f t="shared" si="317"/>
        <v>2025</v>
      </c>
      <c r="Y939" s="2">
        <f t="shared" si="310"/>
        <v>1</v>
      </c>
      <c r="Z939" t="str">
        <f t="shared" si="311"/>
        <v>SO17812</v>
      </c>
      <c r="AA939" s="11">
        <f t="shared" si="318"/>
        <v>45908.616712962961</v>
      </c>
      <c r="AB939" s="5" t="str">
        <f t="shared" si="319"/>
        <v>INV13390</v>
      </c>
      <c r="AC939" s="5" t="str">
        <f>IFERROR(VLOOKUP(D939,CAARStatus!$A$2:$AA$1600,22,FALSE),"Not invoiced")</f>
        <v>Paid</v>
      </c>
      <c r="AD939" s="11">
        <f>IF(AC939="Paid",IFERROR(VLOOKUP(D939,CAARStatus!$A$2:$AA$1600,6,FALSE),"Pending"),"Pending")</f>
        <v>45971</v>
      </c>
      <c r="AE939" s="5" t="str">
        <f t="shared" si="320"/>
        <v>4500612693</v>
      </c>
      <c r="AF939" s="5" t="str">
        <f t="shared" si="321"/>
        <v>Resolute Forest Products - Saint-Felicien</v>
      </c>
      <c r="AG939" s="5" t="str">
        <f t="shared" si="322"/>
        <v>CAD</v>
      </c>
      <c r="AH939" s="5">
        <f t="shared" si="323"/>
        <v>4557.97</v>
      </c>
      <c r="AI939" s="12">
        <f>IF(L939-N939=0,VLOOKUP(U939,rate!A$4:B$15,2,FALSE)*AH939,IF(AG939="USD",O939,AH939*Y939))</f>
        <v>3291.2377448462944</v>
      </c>
      <c r="AJ939" s="13">
        <f t="shared" si="324"/>
        <v>0.72208411745717815</v>
      </c>
      <c r="AK939" s="13">
        <f>-IF(AG939="CAD",IFERROR(VLOOKUP(D939,CAARStatus!$A$1:$Y$1600,16,FALSE),0),0)</f>
        <v>-4557.97</v>
      </c>
      <c r="AL939" s="13">
        <f>-IF(AG939="USD",IFERROR(VLOOKUP(D939,CAARStatus!$A$1:$Y$1600,11,FALSE),0),0)</f>
        <v>0</v>
      </c>
      <c r="AM939" s="22">
        <f t="shared" si="325"/>
        <v>0</v>
      </c>
      <c r="AN939" s="12" t="str">
        <f t="shared" si="326"/>
        <v/>
      </c>
      <c r="AO939" s="12" t="str">
        <f t="shared" si="327"/>
        <v>Yes</v>
      </c>
      <c r="AP939" t="str">
        <f t="shared" si="312"/>
        <v>Yes</v>
      </c>
      <c r="AQ939" t="str">
        <f>IFERROR(VLOOKUP(Z939,InvBal!$L$4:$P$600,4,FALSE),"Pend")</f>
        <v>Pend</v>
      </c>
      <c r="AR939" t="str">
        <f>IFERROR(VLOOKUP(D939,Manual!$C$1:$E$22,2,FALSE),"Pend")</f>
        <v>Pend</v>
      </c>
      <c r="AS939" t="str">
        <f t="shared" si="328"/>
        <v>Yes</v>
      </c>
      <c r="AT939" t="str">
        <f t="shared" si="329"/>
        <v>Yes</v>
      </c>
      <c r="AU939" s="51" t="str">
        <f t="shared" si="330"/>
        <v>Yes</v>
      </c>
      <c r="AV939" s="12">
        <f>IFERROR(VLOOKUP(D939,'Receivable Invoice Detail'!$S$1:$U$3014,3,FALSE),0)</f>
        <v>0</v>
      </c>
      <c r="AW939" s="12">
        <f t="shared" si="331"/>
        <v>3291.2377448462944</v>
      </c>
    </row>
    <row r="940" spans="1:49" x14ac:dyDescent="0.25">
      <c r="A940" s="2">
        <v>1</v>
      </c>
      <c r="B940" s="2" t="s">
        <v>658</v>
      </c>
      <c r="C940" s="2" t="s">
        <v>659</v>
      </c>
      <c r="D940" s="2" t="s">
        <v>3176</v>
      </c>
      <c r="E940" s="2" t="s">
        <v>146</v>
      </c>
      <c r="F940" s="3">
        <v>45908.63863425926</v>
      </c>
      <c r="G940" s="3">
        <v>45911.704282407409</v>
      </c>
      <c r="H940" s="4">
        <v>45918</v>
      </c>
      <c r="I940" s="2" t="s">
        <v>36</v>
      </c>
      <c r="J940" s="2" t="s">
        <v>22</v>
      </c>
      <c r="K940" s="2">
        <v>1</v>
      </c>
      <c r="L940" s="2">
        <v>107.95</v>
      </c>
      <c r="M940" s="2">
        <v>0</v>
      </c>
      <c r="N940" s="2">
        <v>78.047116684021475</v>
      </c>
      <c r="O940" s="2">
        <v>102.81</v>
      </c>
      <c r="P940" s="2">
        <v>5.14</v>
      </c>
      <c r="Q940" s="2">
        <v>107.95</v>
      </c>
      <c r="R940" s="2" t="s">
        <v>44</v>
      </c>
      <c r="S940" s="2"/>
      <c r="T940" s="2">
        <f t="shared" si="313"/>
        <v>1</v>
      </c>
      <c r="U940" s="18">
        <f t="shared" si="314"/>
        <v>9</v>
      </c>
      <c r="V940" s="18">
        <f t="shared" si="315"/>
        <v>2025</v>
      </c>
      <c r="W940" s="18">
        <f t="shared" si="316"/>
        <v>10</v>
      </c>
      <c r="X940" s="18">
        <f t="shared" si="317"/>
        <v>2025</v>
      </c>
      <c r="Y940" s="2">
        <f t="shared" si="310"/>
        <v>0.72299320689227853</v>
      </c>
      <c r="Z940" t="str">
        <f t="shared" si="311"/>
        <v>SO17813</v>
      </c>
      <c r="AA940" s="11">
        <f t="shared" si="318"/>
        <v>45908.63863425926</v>
      </c>
      <c r="AB940" s="5" t="str">
        <f t="shared" si="319"/>
        <v>INV13399</v>
      </c>
      <c r="AC940" s="5" t="str">
        <f>IFERROR(VLOOKUP(D940,CAARStatus!$A$2:$AA$1600,22,FALSE),"Not invoiced")</f>
        <v>Paid</v>
      </c>
      <c r="AD940" s="11">
        <f>IF(AC940="Paid",IFERROR(VLOOKUP(D940,CAARStatus!$A$2:$AA$1600,6,FALSE),"Pending"),"Pending")</f>
        <v>45946</v>
      </c>
      <c r="AE940" s="5" t="str">
        <f t="shared" si="320"/>
        <v>7658</v>
      </c>
      <c r="AF940" s="5" t="str">
        <f t="shared" si="321"/>
        <v>Hyperflo</v>
      </c>
      <c r="AG940" s="5" t="str">
        <f t="shared" si="322"/>
        <v>CAD</v>
      </c>
      <c r="AH940" s="5">
        <f t="shared" si="323"/>
        <v>102.81</v>
      </c>
      <c r="AI940" s="12">
        <f>IF(L940-N940=0,VLOOKUP(U940,rate!A$4:B$15,2,FALSE)*AH940,IF(AG940="USD",O940,AH940*Y940))</f>
        <v>74.33093160059515</v>
      </c>
      <c r="AJ940" s="13">
        <f t="shared" si="324"/>
        <v>0.72299320689227842</v>
      </c>
      <c r="AK940" s="13">
        <f>-IF(AG940="CAD",IFERROR(VLOOKUP(D940,CAARStatus!$A$1:$Y$1600,16,FALSE),0),0)</f>
        <v>-102.81</v>
      </c>
      <c r="AL940" s="13">
        <f>-IF(AG940="USD",IFERROR(VLOOKUP(D940,CAARStatus!$A$1:$Y$1600,11,FALSE),0),0)</f>
        <v>0</v>
      </c>
      <c r="AM940" s="22">
        <f t="shared" si="325"/>
        <v>0</v>
      </c>
      <c r="AN940" s="12" t="str">
        <f t="shared" si="326"/>
        <v/>
      </c>
      <c r="AO940" s="12" t="str">
        <f t="shared" si="327"/>
        <v>Yes</v>
      </c>
      <c r="AP940" t="str">
        <f t="shared" si="312"/>
        <v>Yes</v>
      </c>
      <c r="AQ940" t="str">
        <f>IFERROR(VLOOKUP(Z940,InvBal!$L$4:$P$600,4,FALSE),"Pend")</f>
        <v>Pend</v>
      </c>
      <c r="AR940" t="str">
        <f>IFERROR(VLOOKUP(D940,Manual!$C$1:$E$22,2,FALSE),"Pend")</f>
        <v>Pend</v>
      </c>
      <c r="AS940" t="str">
        <f t="shared" si="328"/>
        <v>Yes</v>
      </c>
      <c r="AT940" t="str">
        <f t="shared" si="329"/>
        <v>Yes</v>
      </c>
      <c r="AU940" s="51" t="str">
        <f t="shared" si="330"/>
        <v>Yes</v>
      </c>
      <c r="AV940" s="12">
        <f>IFERROR(VLOOKUP(D940,'Receivable Invoice Detail'!$S$1:$U$3014,3,FALSE),0)</f>
        <v>0</v>
      </c>
      <c r="AW940" s="12">
        <f t="shared" si="331"/>
        <v>74.33093160059515</v>
      </c>
    </row>
    <row r="941" spans="1:49" ht="30" x14ac:dyDescent="0.25">
      <c r="A941" s="2">
        <v>1</v>
      </c>
      <c r="B941" s="2" t="s">
        <v>678</v>
      </c>
      <c r="C941" s="2" t="s">
        <v>679</v>
      </c>
      <c r="D941" s="2" t="s">
        <v>3164</v>
      </c>
      <c r="E941" s="2" t="s">
        <v>98</v>
      </c>
      <c r="F941" s="3">
        <v>45909.399097222216</v>
      </c>
      <c r="G941" s="3">
        <v>45909.40148148148</v>
      </c>
      <c r="H941" s="4">
        <v>45910</v>
      </c>
      <c r="I941" s="2" t="s">
        <v>40</v>
      </c>
      <c r="J941" s="2" t="s">
        <v>22</v>
      </c>
      <c r="K941" s="2">
        <v>1</v>
      </c>
      <c r="L941" s="2">
        <v>1354.99</v>
      </c>
      <c r="M941" s="2">
        <v>1354.99</v>
      </c>
      <c r="N941" s="2">
        <v>1354.99</v>
      </c>
      <c r="O941" s="2">
        <v>1199.1099999999999</v>
      </c>
      <c r="P941" s="2">
        <v>155.88</v>
      </c>
      <c r="Q941" s="2">
        <v>1354.99</v>
      </c>
      <c r="R941" s="2" t="s">
        <v>44</v>
      </c>
      <c r="S941" s="2"/>
      <c r="T941" s="2">
        <f t="shared" si="313"/>
        <v>1</v>
      </c>
      <c r="U941" s="18">
        <f t="shared" si="314"/>
        <v>9</v>
      </c>
      <c r="V941" s="18">
        <f t="shared" si="315"/>
        <v>2025</v>
      </c>
      <c r="W941" s="18">
        <f t="shared" si="316"/>
        <v>10</v>
      </c>
      <c r="X941" s="18">
        <f t="shared" si="317"/>
        <v>2025</v>
      </c>
      <c r="Y941" s="2">
        <f t="shared" si="310"/>
        <v>1</v>
      </c>
      <c r="Z941" t="str">
        <f t="shared" si="311"/>
        <v>SO17814</v>
      </c>
      <c r="AA941" s="11">
        <f t="shared" si="318"/>
        <v>45909.399097222216</v>
      </c>
      <c r="AB941" s="5" t="str">
        <f t="shared" si="319"/>
        <v>INV13389</v>
      </c>
      <c r="AC941" s="5" t="str">
        <f>IFERROR(VLOOKUP(D941,CAARStatus!$A$2:$AA$1600,22,FALSE),"Not invoiced")</f>
        <v>Paid</v>
      </c>
      <c r="AD941" s="11">
        <f>IF(AC941="Paid",IFERROR(VLOOKUP(D941,CAARStatus!$A$2:$AA$1600,6,FALSE),"Pending"),"Pending")</f>
        <v>45938</v>
      </c>
      <c r="AE941" s="5" t="str">
        <f t="shared" si="320"/>
        <v>PO-008239</v>
      </c>
      <c r="AF941" s="5" t="str">
        <f t="shared" si="321"/>
        <v>Sling-Choker Manufacturing - Timmins</v>
      </c>
      <c r="AG941" s="5" t="str">
        <f t="shared" si="322"/>
        <v>CAD</v>
      </c>
      <c r="AH941" s="5">
        <f t="shared" si="323"/>
        <v>1199.1099999999999</v>
      </c>
      <c r="AI941" s="12">
        <f>IF(L941-N941=0,VLOOKUP(U941,rate!A$4:B$15,2,FALSE)*AH941,IF(AG941="USD",O941,AH941*Y941))</f>
        <v>865.85828608407678</v>
      </c>
      <c r="AJ941" s="13">
        <f t="shared" si="324"/>
        <v>0.72208411745717815</v>
      </c>
      <c r="AK941" s="13">
        <f>-IF(AG941="CAD",IFERROR(VLOOKUP(D941,CAARStatus!$A$1:$Y$1600,16,FALSE),0),0)</f>
        <v>-1199.1099999999999</v>
      </c>
      <c r="AL941" s="13">
        <f>-IF(AG941="USD",IFERROR(VLOOKUP(D941,CAARStatus!$A$1:$Y$1600,11,FALSE),0),0)</f>
        <v>0</v>
      </c>
      <c r="AM941" s="22">
        <f t="shared" si="325"/>
        <v>0</v>
      </c>
      <c r="AN941" s="12" t="str">
        <f t="shared" si="326"/>
        <v/>
      </c>
      <c r="AO941" s="12" t="str">
        <f t="shared" si="327"/>
        <v>Yes</v>
      </c>
      <c r="AP941" t="str">
        <f t="shared" si="312"/>
        <v>Yes</v>
      </c>
      <c r="AQ941" t="str">
        <f>IFERROR(VLOOKUP(Z941,InvBal!$L$4:$P$600,4,FALSE),"Pend")</f>
        <v>Pend</v>
      </c>
      <c r="AR941" t="str">
        <f>IFERROR(VLOOKUP(D941,Manual!$C$1:$E$22,2,FALSE),"Pend")</f>
        <v>Pend</v>
      </c>
      <c r="AS941" t="str">
        <f t="shared" si="328"/>
        <v>Yes</v>
      </c>
      <c r="AT941" t="str">
        <f t="shared" si="329"/>
        <v>Yes</v>
      </c>
      <c r="AU941" s="51" t="str">
        <f t="shared" si="330"/>
        <v>Yes</v>
      </c>
      <c r="AV941" s="12">
        <f>IFERROR(VLOOKUP(D941,'Receivable Invoice Detail'!$S$1:$U$3014,3,FALSE),0)</f>
        <v>0</v>
      </c>
      <c r="AW941" s="12">
        <f t="shared" si="331"/>
        <v>865.85828608407678</v>
      </c>
    </row>
    <row r="942" spans="1:49" x14ac:dyDescent="0.25">
      <c r="A942" s="2">
        <v>1</v>
      </c>
      <c r="B942" s="2" t="s">
        <v>676</v>
      </c>
      <c r="C942" s="2" t="s">
        <v>677</v>
      </c>
      <c r="D942" s="2" t="s">
        <v>3165</v>
      </c>
      <c r="E942" s="2" t="s">
        <v>171</v>
      </c>
      <c r="F942" s="3">
        <v>45909.534201388888</v>
      </c>
      <c r="G942" s="3">
        <v>45909.584178240737</v>
      </c>
      <c r="H942" s="4">
        <v>45916</v>
      </c>
      <c r="I942" s="2" t="s">
        <v>36</v>
      </c>
      <c r="J942" s="2" t="s">
        <v>22</v>
      </c>
      <c r="K942" s="2">
        <v>1</v>
      </c>
      <c r="L942" s="2">
        <v>1186.27</v>
      </c>
      <c r="M942" s="2">
        <v>1186.27</v>
      </c>
      <c r="N942" s="2">
        <v>1186.27</v>
      </c>
      <c r="O942" s="2">
        <v>1129.78</v>
      </c>
      <c r="P942" s="2">
        <v>56.49</v>
      </c>
      <c r="Q942" s="2">
        <v>1186.27</v>
      </c>
      <c r="R942" s="2" t="s">
        <v>44</v>
      </c>
      <c r="S942" s="2"/>
      <c r="T942" s="2">
        <f t="shared" si="313"/>
        <v>1</v>
      </c>
      <c r="U942" s="18">
        <f t="shared" si="314"/>
        <v>9</v>
      </c>
      <c r="V942" s="18">
        <f t="shared" si="315"/>
        <v>2025</v>
      </c>
      <c r="W942" s="18">
        <f t="shared" si="316"/>
        <v>10</v>
      </c>
      <c r="X942" s="18">
        <f t="shared" si="317"/>
        <v>2025</v>
      </c>
      <c r="Y942" s="2">
        <f t="shared" si="310"/>
        <v>1</v>
      </c>
      <c r="Z942" t="str">
        <f t="shared" si="311"/>
        <v>SO17817</v>
      </c>
      <c r="AA942" s="11">
        <f t="shared" si="318"/>
        <v>45909.534201388888</v>
      </c>
      <c r="AB942" s="5" t="str">
        <f t="shared" si="319"/>
        <v>INV13447</v>
      </c>
      <c r="AC942" s="5" t="str">
        <f>IFERROR(VLOOKUP(D942,CAARStatus!$A$2:$AA$1600,22,FALSE),"Not invoiced")</f>
        <v>Paid</v>
      </c>
      <c r="AD942" s="11">
        <f>IF(AC942="Paid",IFERROR(VLOOKUP(D942,CAARStatus!$A$2:$AA$1600,6,FALSE),"Pending"),"Pending")</f>
        <v>45953</v>
      </c>
      <c r="AE942" s="5" t="str">
        <f t="shared" si="320"/>
        <v>2227</v>
      </c>
      <c r="AF942" s="5" t="str">
        <f t="shared" si="321"/>
        <v>FMI Products</v>
      </c>
      <c r="AG942" s="5" t="str">
        <f t="shared" si="322"/>
        <v>CAD</v>
      </c>
      <c r="AH942" s="5">
        <f t="shared" si="323"/>
        <v>1129.78</v>
      </c>
      <c r="AI942" s="12">
        <f>IF(L942-N942=0,VLOOKUP(U942,rate!A$4:B$15,2,FALSE)*AH942,IF(AG942="USD",O942,AH942*Y942))</f>
        <v>815.79619422077076</v>
      </c>
      <c r="AJ942" s="13">
        <f t="shared" si="324"/>
        <v>0.72208411745717815</v>
      </c>
      <c r="AK942" s="13">
        <f>-IF(AG942="CAD",IFERROR(VLOOKUP(D942,CAARStatus!$A$1:$Y$1600,16,FALSE),0),0)</f>
        <v>-1129.78</v>
      </c>
      <c r="AL942" s="13">
        <f>-IF(AG942="USD",IFERROR(VLOOKUP(D942,CAARStatus!$A$1:$Y$1600,11,FALSE),0),0)</f>
        <v>0</v>
      </c>
      <c r="AM942" s="22">
        <f t="shared" si="325"/>
        <v>0</v>
      </c>
      <c r="AN942" s="12" t="str">
        <f t="shared" si="326"/>
        <v/>
      </c>
      <c r="AO942" s="12" t="str">
        <f t="shared" si="327"/>
        <v>Yes</v>
      </c>
      <c r="AP942" t="str">
        <f t="shared" si="312"/>
        <v>Yes</v>
      </c>
      <c r="AQ942" t="str">
        <f>IFERROR(VLOOKUP(Z942,InvBal!$L$4:$P$600,4,FALSE),"Pend")</f>
        <v>Pend</v>
      </c>
      <c r="AR942" t="str">
        <f>IFERROR(VLOOKUP(D942,Manual!$C$1:$E$22,2,FALSE),"Pend")</f>
        <v>Pend</v>
      </c>
      <c r="AS942" t="str">
        <f t="shared" si="328"/>
        <v>Yes</v>
      </c>
      <c r="AT942" t="str">
        <f t="shared" si="329"/>
        <v>Yes</v>
      </c>
      <c r="AU942" s="51" t="str">
        <f t="shared" si="330"/>
        <v>Yes</v>
      </c>
      <c r="AV942" s="12">
        <f>IFERROR(VLOOKUP(D942,'Receivable Invoice Detail'!$S$1:$U$3014,3,FALSE),0)</f>
        <v>0</v>
      </c>
      <c r="AW942" s="12">
        <f t="shared" si="331"/>
        <v>815.79619422077076</v>
      </c>
    </row>
    <row r="943" spans="1:49" ht="30" x14ac:dyDescent="0.25">
      <c r="A943" s="2">
        <v>1</v>
      </c>
      <c r="B943" s="2" t="s">
        <v>670</v>
      </c>
      <c r="C943" s="2" t="s">
        <v>671</v>
      </c>
      <c r="D943" s="2" t="s">
        <v>3170</v>
      </c>
      <c r="E943" s="2" t="s">
        <v>98</v>
      </c>
      <c r="F943" s="3">
        <v>45909.537060185183</v>
      </c>
      <c r="G943" s="3">
        <v>45910.442164351851</v>
      </c>
      <c r="H943" s="4">
        <v>45912</v>
      </c>
      <c r="I943" s="2" t="s">
        <v>40</v>
      </c>
      <c r="J943" s="2" t="s">
        <v>22</v>
      </c>
      <c r="K943" s="2">
        <v>1</v>
      </c>
      <c r="L943" s="2">
        <v>2585.3000000000002</v>
      </c>
      <c r="M943" s="2">
        <v>0</v>
      </c>
      <c r="N943" s="2">
        <v>1867.198301899055</v>
      </c>
      <c r="O943" s="2">
        <v>2585.3000000000002</v>
      </c>
      <c r="P943" s="2"/>
      <c r="Q943" s="2">
        <v>2585.3000000000002</v>
      </c>
      <c r="R943" s="2" t="s">
        <v>44</v>
      </c>
      <c r="S943" s="2"/>
      <c r="T943" s="2">
        <f t="shared" si="313"/>
        <v>1</v>
      </c>
      <c r="U943" s="18">
        <f t="shared" si="314"/>
        <v>9</v>
      </c>
      <c r="V943" s="18">
        <f t="shared" si="315"/>
        <v>2025</v>
      </c>
      <c r="W943" s="18">
        <f t="shared" si="316"/>
        <v>10</v>
      </c>
      <c r="X943" s="18">
        <f t="shared" si="317"/>
        <v>2025</v>
      </c>
      <c r="Y943" s="2">
        <f t="shared" si="310"/>
        <v>0.7222366077047363</v>
      </c>
      <c r="Z943" t="str">
        <f t="shared" si="311"/>
        <v>SO17818</v>
      </c>
      <c r="AA943" s="11">
        <f t="shared" si="318"/>
        <v>45909.537060185183</v>
      </c>
      <c r="AB943" s="5" t="str">
        <f t="shared" si="319"/>
        <v>INV13400</v>
      </c>
      <c r="AC943" s="5" t="str">
        <f>IFERROR(VLOOKUP(D943,CAARStatus!$A$2:$AA$1600,22,FALSE),"Not invoiced")</f>
        <v>Paid</v>
      </c>
      <c r="AD943" s="11">
        <f>IF(AC943="Paid",IFERROR(VLOOKUP(D943,CAARStatus!$A$2:$AA$1600,6,FALSE),"Pending"),"Pending")</f>
        <v>45959</v>
      </c>
      <c r="AE943" s="5" t="str">
        <f t="shared" si="320"/>
        <v>PO-008243</v>
      </c>
      <c r="AF943" s="5" t="str">
        <f t="shared" si="321"/>
        <v>Sling-Choker Manufacturing - Timmins</v>
      </c>
      <c r="AG943" s="5" t="str">
        <f t="shared" si="322"/>
        <v>CAD</v>
      </c>
      <c r="AH943" s="5">
        <f t="shared" si="323"/>
        <v>2585.3000000000002</v>
      </c>
      <c r="AI943" s="12">
        <f>IF(L943-N943=0,VLOOKUP(U943,rate!A$4:B$15,2,FALSE)*AH943,IF(AG943="USD",O943,AH943*Y943))</f>
        <v>1867.198301899055</v>
      </c>
      <c r="AJ943" s="13">
        <f t="shared" si="324"/>
        <v>0.7222366077047363</v>
      </c>
      <c r="AK943" s="13">
        <f>-IF(AG943="CAD",IFERROR(VLOOKUP(D943,CAARStatus!$A$1:$Y$1600,16,FALSE),0),0)</f>
        <v>-2585.3000000000002</v>
      </c>
      <c r="AL943" s="13">
        <f>-IF(AG943="USD",IFERROR(VLOOKUP(D943,CAARStatus!$A$1:$Y$1600,11,FALSE),0),0)</f>
        <v>0</v>
      </c>
      <c r="AM943" s="22">
        <f t="shared" si="325"/>
        <v>0</v>
      </c>
      <c r="AN943" s="12" t="str">
        <f t="shared" si="326"/>
        <v/>
      </c>
      <c r="AO943" s="12" t="str">
        <f t="shared" si="327"/>
        <v>Yes</v>
      </c>
      <c r="AP943" t="str">
        <f t="shared" si="312"/>
        <v>Yes</v>
      </c>
      <c r="AQ943" t="str">
        <f>IFERROR(VLOOKUP(Z943,InvBal!$L$4:$P$600,4,FALSE),"Pend")</f>
        <v>Pend</v>
      </c>
      <c r="AR943" t="str">
        <f>IFERROR(VLOOKUP(D943,Manual!$C$1:$E$22,2,FALSE),"Pend")</f>
        <v>Pend</v>
      </c>
      <c r="AS943" t="str">
        <f t="shared" si="328"/>
        <v>Yes</v>
      </c>
      <c r="AT943" t="str">
        <f t="shared" si="329"/>
        <v>Yes</v>
      </c>
      <c r="AU943" s="51" t="str">
        <f t="shared" si="330"/>
        <v>Yes</v>
      </c>
      <c r="AV943" s="12">
        <f>IFERROR(VLOOKUP(D943,'Receivable Invoice Detail'!$S$1:$U$3014,3,FALSE),0)</f>
        <v>0</v>
      </c>
      <c r="AW943" s="12">
        <f t="shared" si="331"/>
        <v>1867.198301899055</v>
      </c>
    </row>
    <row r="944" spans="1:49" x14ac:dyDescent="0.25">
      <c r="A944" s="2">
        <v>1</v>
      </c>
      <c r="B944" s="2" t="s">
        <v>664</v>
      </c>
      <c r="C944" s="2" t="s">
        <v>665</v>
      </c>
      <c r="D944" s="2" t="s">
        <v>3173</v>
      </c>
      <c r="E944" s="2" t="s">
        <v>192</v>
      </c>
      <c r="F944" s="3">
        <v>45910.519432870373</v>
      </c>
      <c r="G944" s="3">
        <v>45910.724108796298</v>
      </c>
      <c r="H944" s="4">
        <v>45917</v>
      </c>
      <c r="I944" s="2" t="s">
        <v>36</v>
      </c>
      <c r="J944" s="2" t="s">
        <v>51</v>
      </c>
      <c r="K944" s="2">
        <v>0.72352165949114577</v>
      </c>
      <c r="L944" s="2">
        <v>1424.615264075054</v>
      </c>
      <c r="M944" s="2">
        <v>0</v>
      </c>
      <c r="N944" s="2">
        <v>1030.74</v>
      </c>
      <c r="O944" s="2">
        <v>1030.74</v>
      </c>
      <c r="P944" s="2"/>
      <c r="Q944" s="2">
        <v>1030.74</v>
      </c>
      <c r="R944" s="2" t="s">
        <v>44</v>
      </c>
      <c r="S944" s="2"/>
      <c r="T944" s="2">
        <f t="shared" si="313"/>
        <v>1</v>
      </c>
      <c r="U944" s="18">
        <f t="shared" si="314"/>
        <v>9</v>
      </c>
      <c r="V944" s="18">
        <f t="shared" si="315"/>
        <v>2025</v>
      </c>
      <c r="W944" s="18">
        <f t="shared" si="316"/>
        <v>11</v>
      </c>
      <c r="X944" s="18">
        <f t="shared" si="317"/>
        <v>2025</v>
      </c>
      <c r="Y944" s="2">
        <f t="shared" si="310"/>
        <v>0.72352165949114577</v>
      </c>
      <c r="Z944" t="str">
        <f t="shared" si="311"/>
        <v>SO17824</v>
      </c>
      <c r="AA944" s="11">
        <f t="shared" si="318"/>
        <v>45910.519432870373</v>
      </c>
      <c r="AB944" s="5" t="str">
        <f t="shared" si="319"/>
        <v>INV13395</v>
      </c>
      <c r="AC944" s="5" t="str">
        <f>IFERROR(VLOOKUP(D944,CAARStatus!$A$2:$AA$1600,22,FALSE),"Not invoiced")</f>
        <v>Paid</v>
      </c>
      <c r="AD944" s="11">
        <f>IF(AC944="Paid",IFERROR(VLOOKUP(D944,CAARStatus!$A$2:$AA$1600,6,FALSE),"Pending"),"Pending")</f>
        <v>45965</v>
      </c>
      <c r="AE944" s="5" t="str">
        <f t="shared" si="320"/>
        <v>PO-042473</v>
      </c>
      <c r="AF944" s="5" t="str">
        <f t="shared" si="321"/>
        <v>Southeast Pump Specialist, Inc.</v>
      </c>
      <c r="AG944" s="5" t="str">
        <f t="shared" si="322"/>
        <v>USD</v>
      </c>
      <c r="AH944" s="5">
        <f t="shared" si="323"/>
        <v>1424.615264075054</v>
      </c>
      <c r="AI944" s="12">
        <f>IF(L944-N944=0,VLOOKUP(U944,rate!A$4:B$15,2,FALSE)*AH944,IF(AG944="USD",O944,AH944*Y944))</f>
        <v>1030.74</v>
      </c>
      <c r="AJ944" s="13">
        <f t="shared" si="324"/>
        <v>0.72352165949114577</v>
      </c>
      <c r="AK944" s="13">
        <f>-IF(AG944="CAD",IFERROR(VLOOKUP(D944,CAARStatus!$A$1:$Y$1600,16,FALSE),0),0)</f>
        <v>0</v>
      </c>
      <c r="AL944" s="13">
        <f>-IF(AG944="USD",IFERROR(VLOOKUP(D944,CAARStatus!$A$1:$Y$1600,11,FALSE),0),0)</f>
        <v>-1601.74</v>
      </c>
      <c r="AM944" s="22" t="str">
        <f t="shared" si="325"/>
        <v/>
      </c>
      <c r="AN944" s="12">
        <f t="shared" si="326"/>
        <v>-571</v>
      </c>
      <c r="AO944" s="12" t="str">
        <f t="shared" si="327"/>
        <v>Yes</v>
      </c>
      <c r="AP944" t="str">
        <f t="shared" si="312"/>
        <v>Yes</v>
      </c>
      <c r="AQ944" t="str">
        <f>IFERROR(VLOOKUP(Z944,InvBal!$L$4:$P$600,4,FALSE),"Pend")</f>
        <v>Pend</v>
      </c>
      <c r="AR944" t="str">
        <f>IFERROR(VLOOKUP(D944,Manual!$C$1:$E$22,2,FALSE),"Pend")</f>
        <v>Pend</v>
      </c>
      <c r="AS944" t="str">
        <f t="shared" si="328"/>
        <v>Yes</v>
      </c>
      <c r="AT944" t="str">
        <f t="shared" si="329"/>
        <v>Yes</v>
      </c>
      <c r="AU944" s="51" t="str">
        <f t="shared" si="330"/>
        <v>Yes</v>
      </c>
      <c r="AV944" s="12">
        <f>IFERROR(VLOOKUP(D944,'Receivable Invoice Detail'!$S$1:$U$3014,3,FALSE),0)</f>
        <v>571</v>
      </c>
      <c r="AW944" s="12">
        <f t="shared" si="331"/>
        <v>459.74</v>
      </c>
    </row>
    <row r="945" spans="1:49" x14ac:dyDescent="0.25">
      <c r="A945" s="2">
        <v>1</v>
      </c>
      <c r="B945" s="2" t="s">
        <v>666</v>
      </c>
      <c r="C945" s="2" t="s">
        <v>667</v>
      </c>
      <c r="D945" s="2" t="s">
        <v>3172</v>
      </c>
      <c r="E945" s="2" t="s">
        <v>54</v>
      </c>
      <c r="F945" s="3">
        <v>45910.692303240743</v>
      </c>
      <c r="G945" s="3">
        <v>45910.690810185188</v>
      </c>
      <c r="H945" s="4">
        <v>45916</v>
      </c>
      <c r="I945" s="2" t="s">
        <v>21</v>
      </c>
      <c r="J945" s="2" t="s">
        <v>22</v>
      </c>
      <c r="K945" s="2">
        <v>1</v>
      </c>
      <c r="L945" s="2">
        <v>2141.87</v>
      </c>
      <c r="M945" s="2">
        <v>0</v>
      </c>
      <c r="N945" s="2">
        <v>1546.936922944544</v>
      </c>
      <c r="O945" s="2">
        <v>2039.88</v>
      </c>
      <c r="P945" s="2">
        <v>101.99</v>
      </c>
      <c r="Q945" s="2">
        <v>2141.87</v>
      </c>
      <c r="R945" s="2" t="s">
        <v>44</v>
      </c>
      <c r="S945" s="2"/>
      <c r="T945" s="2">
        <f t="shared" si="313"/>
        <v>1</v>
      </c>
      <c r="U945" s="18">
        <f t="shared" si="314"/>
        <v>9</v>
      </c>
      <c r="V945" s="18">
        <f t="shared" si="315"/>
        <v>2025</v>
      </c>
      <c r="W945" s="18">
        <f t="shared" si="316"/>
        <v>10</v>
      </c>
      <c r="X945" s="18">
        <f t="shared" si="317"/>
        <v>2025</v>
      </c>
      <c r="Y945" s="2">
        <f t="shared" si="310"/>
        <v>0.72223660770473652</v>
      </c>
      <c r="Z945" t="str">
        <f t="shared" si="311"/>
        <v>SO17826</v>
      </c>
      <c r="AA945" s="11">
        <f t="shared" si="318"/>
        <v>45910.692303240743</v>
      </c>
      <c r="AB945" s="5" t="str">
        <f t="shared" si="319"/>
        <v>INV13405</v>
      </c>
      <c r="AC945" s="5" t="str">
        <f>IFERROR(VLOOKUP(D945,CAARStatus!$A$2:$AA$1600,22,FALSE),"Not invoiced")</f>
        <v>Paid</v>
      </c>
      <c r="AD945" s="11">
        <f>IF(AC945="Paid",IFERROR(VLOOKUP(D945,CAARStatus!$A$2:$AA$1600,6,FALSE),"Pending"),"Pending")</f>
        <v>45954</v>
      </c>
      <c r="AE945" s="5" t="str">
        <f t="shared" si="320"/>
        <v>3301</v>
      </c>
      <c r="AF945" s="5" t="str">
        <f t="shared" si="321"/>
        <v>Les Pompes du St-Laurent Inc.</v>
      </c>
      <c r="AG945" s="5" t="str">
        <f t="shared" si="322"/>
        <v>CAD</v>
      </c>
      <c r="AH945" s="5">
        <f t="shared" si="323"/>
        <v>2039.88</v>
      </c>
      <c r="AI945" s="12">
        <f>IF(L945-N945=0,VLOOKUP(U945,rate!A$4:B$15,2,FALSE)*AH945,IF(AG945="USD",O945,AH945*Y945))</f>
        <v>1473.276011324738</v>
      </c>
      <c r="AJ945" s="13">
        <f t="shared" si="324"/>
        <v>0.72223660770473652</v>
      </c>
      <c r="AK945" s="13">
        <f>-IF(AG945="CAD",IFERROR(VLOOKUP(D945,CAARStatus!$A$1:$Y$1600,16,FALSE),0),0)</f>
        <v>-2039.88</v>
      </c>
      <c r="AL945" s="13">
        <f>-IF(AG945="USD",IFERROR(VLOOKUP(D945,CAARStatus!$A$1:$Y$1600,11,FALSE),0),0)</f>
        <v>0</v>
      </c>
      <c r="AM945" s="22">
        <f t="shared" si="325"/>
        <v>0</v>
      </c>
      <c r="AN945" s="12" t="str">
        <f t="shared" si="326"/>
        <v/>
      </c>
      <c r="AO945" s="12" t="str">
        <f t="shared" si="327"/>
        <v>Yes</v>
      </c>
      <c r="AP945" t="str">
        <f t="shared" si="312"/>
        <v>Yes</v>
      </c>
      <c r="AQ945" t="str">
        <f>IFERROR(VLOOKUP(Z945,InvBal!$L$4:$P$600,4,FALSE),"Pend")</f>
        <v>Pend</v>
      </c>
      <c r="AR945" t="str">
        <f>IFERROR(VLOOKUP(D945,Manual!$C$1:$E$22,2,FALSE),"Pend")</f>
        <v>Pend</v>
      </c>
      <c r="AS945" t="str">
        <f t="shared" si="328"/>
        <v>Yes</v>
      </c>
      <c r="AT945" t="str">
        <f t="shared" si="329"/>
        <v>Yes</v>
      </c>
      <c r="AU945" s="51" t="str">
        <f t="shared" si="330"/>
        <v>Yes</v>
      </c>
      <c r="AV945" s="12">
        <f>IFERROR(VLOOKUP(D945,'Receivable Invoice Detail'!$S$1:$U$3014,3,FALSE),0)</f>
        <v>0</v>
      </c>
      <c r="AW945" s="12">
        <f t="shared" si="331"/>
        <v>1473.276011324738</v>
      </c>
    </row>
    <row r="946" spans="1:49" ht="30" x14ac:dyDescent="0.25">
      <c r="A946" s="2">
        <v>1</v>
      </c>
      <c r="B946" s="2" t="s">
        <v>662</v>
      </c>
      <c r="C946" s="2" t="s">
        <v>663</v>
      </c>
      <c r="D946" s="2" t="s">
        <v>3174</v>
      </c>
      <c r="E946" s="2" t="s">
        <v>121</v>
      </c>
      <c r="F946" s="3">
        <v>45910.785671296297</v>
      </c>
      <c r="G946" s="3">
        <v>45910.785787037043</v>
      </c>
      <c r="H946" s="4">
        <v>45961</v>
      </c>
      <c r="I946" s="2" t="s">
        <v>36</v>
      </c>
      <c r="J946" s="2" t="s">
        <v>22</v>
      </c>
      <c r="K946" s="2">
        <v>1</v>
      </c>
      <c r="L946" s="2">
        <v>44.65</v>
      </c>
      <c r="M946" s="2">
        <v>0</v>
      </c>
      <c r="N946" s="2">
        <v>32.247864534016493</v>
      </c>
      <c r="O946" s="2">
        <v>42.52</v>
      </c>
      <c r="P946" s="2">
        <v>2.13</v>
      </c>
      <c r="Q946" s="2">
        <v>44.65</v>
      </c>
      <c r="R946" s="2" t="s">
        <v>44</v>
      </c>
      <c r="S946" s="2"/>
      <c r="T946" s="2">
        <f t="shared" si="313"/>
        <v>1</v>
      </c>
      <c r="U946" s="18">
        <f t="shared" si="314"/>
        <v>9</v>
      </c>
      <c r="V946" s="18">
        <f t="shared" si="315"/>
        <v>2025</v>
      </c>
      <c r="W946" s="18">
        <f t="shared" si="316"/>
        <v>10</v>
      </c>
      <c r="X946" s="18">
        <f t="shared" si="317"/>
        <v>2025</v>
      </c>
      <c r="Y946" s="2">
        <f t="shared" si="310"/>
        <v>0.72223660770473674</v>
      </c>
      <c r="Z946" t="str">
        <f t="shared" si="311"/>
        <v>SO17827</v>
      </c>
      <c r="AA946" s="11">
        <f t="shared" si="318"/>
        <v>45910.785671296297</v>
      </c>
      <c r="AB946" s="5" t="str">
        <f t="shared" si="319"/>
        <v>INV13428</v>
      </c>
      <c r="AC946" s="5" t="str">
        <f>IFERROR(VLOOKUP(D946,CAARStatus!$A$2:$AA$1600,22,FALSE),"Not invoiced")</f>
        <v>Paid</v>
      </c>
      <c r="AD946" s="11">
        <f>IF(AC946="Paid",IFERROR(VLOOKUP(D946,CAARStatus!$A$2:$AA$1600,6,FALSE),"Pending"),"Pending")</f>
        <v>45958</v>
      </c>
      <c r="AE946" s="5" t="str">
        <f t="shared" si="320"/>
        <v>4500586497</v>
      </c>
      <c r="AF946" s="5" t="str">
        <f t="shared" si="321"/>
        <v>Glencore Canada Corporation - Rouyn-Noranda</v>
      </c>
      <c r="AG946" s="5" t="str">
        <f t="shared" si="322"/>
        <v>CAD</v>
      </c>
      <c r="AH946" s="5">
        <f t="shared" si="323"/>
        <v>42.52</v>
      </c>
      <c r="AI946" s="12">
        <f>IF(L946-N946=0,VLOOKUP(U946,rate!A$4:B$15,2,FALSE)*AH946,IF(AG946="USD",O946,AH946*Y946))</f>
        <v>30.709500559605409</v>
      </c>
      <c r="AJ946" s="13">
        <f t="shared" si="324"/>
        <v>0.72223660770473674</v>
      </c>
      <c r="AK946" s="13">
        <f>-IF(AG946="CAD",IFERROR(VLOOKUP(D946,CAARStatus!$A$1:$Y$1600,16,FALSE),0),0)</f>
        <v>-42.52</v>
      </c>
      <c r="AL946" s="13">
        <f>-IF(AG946="USD",IFERROR(VLOOKUP(D946,CAARStatus!$A$1:$Y$1600,11,FALSE),0),0)</f>
        <v>0</v>
      </c>
      <c r="AM946" s="22">
        <f t="shared" si="325"/>
        <v>0</v>
      </c>
      <c r="AN946" s="12" t="str">
        <f t="shared" si="326"/>
        <v/>
      </c>
      <c r="AO946" s="12" t="str">
        <f t="shared" si="327"/>
        <v>Yes</v>
      </c>
      <c r="AP946" t="str">
        <f t="shared" si="312"/>
        <v>Yes</v>
      </c>
      <c r="AQ946" t="str">
        <f>IFERROR(VLOOKUP(Z946,InvBal!$L$4:$P$600,4,FALSE),"Pend")</f>
        <v>Pend</v>
      </c>
      <c r="AR946" t="str">
        <f>IFERROR(VLOOKUP(D946,Manual!$C$1:$E$22,2,FALSE),"Pend")</f>
        <v>Pend</v>
      </c>
      <c r="AS946" t="str">
        <f t="shared" si="328"/>
        <v>Yes</v>
      </c>
      <c r="AT946" t="str">
        <f t="shared" si="329"/>
        <v>Yes</v>
      </c>
      <c r="AU946" s="51" t="str">
        <f t="shared" si="330"/>
        <v>Yes</v>
      </c>
      <c r="AV946" s="12">
        <f>IFERROR(VLOOKUP(D946,'Receivable Invoice Detail'!$S$1:$U$3014,3,FALSE),0)</f>
        <v>0</v>
      </c>
      <c r="AW946" s="12">
        <f t="shared" si="331"/>
        <v>30.709500559605409</v>
      </c>
    </row>
    <row r="947" spans="1:49" x14ac:dyDescent="0.25">
      <c r="A947" s="2">
        <v>1</v>
      </c>
      <c r="B947" s="2" t="s">
        <v>647</v>
      </c>
      <c r="C947" s="2" t="s">
        <v>648</v>
      </c>
      <c r="D947" s="2" t="s">
        <v>3181</v>
      </c>
      <c r="E947" s="2" t="s">
        <v>242</v>
      </c>
      <c r="F947" s="3">
        <v>45911.381157407413</v>
      </c>
      <c r="G947" s="3">
        <v>45912.411423611113</v>
      </c>
      <c r="H947" s="4">
        <v>45919</v>
      </c>
      <c r="I947" s="2" t="s">
        <v>40</v>
      </c>
      <c r="J947" s="2" t="s">
        <v>22</v>
      </c>
      <c r="K947" s="2">
        <v>1</v>
      </c>
      <c r="L947" s="2">
        <v>155.12</v>
      </c>
      <c r="M947" s="2">
        <v>0</v>
      </c>
      <c r="N947" s="2">
        <v>111.9254124085889</v>
      </c>
      <c r="O947" s="2">
        <v>147.72999999999999</v>
      </c>
      <c r="P947" s="2">
        <v>7.39</v>
      </c>
      <c r="Q947" s="2">
        <v>155.12</v>
      </c>
      <c r="R947" s="2" t="s">
        <v>44</v>
      </c>
      <c r="S947" s="2"/>
      <c r="T947" s="2">
        <f t="shared" si="313"/>
        <v>1</v>
      </c>
      <c r="U947" s="18">
        <f t="shared" si="314"/>
        <v>9</v>
      </c>
      <c r="V947" s="18">
        <f t="shared" si="315"/>
        <v>2025</v>
      </c>
      <c r="W947" s="18">
        <f t="shared" si="316"/>
        <v>10</v>
      </c>
      <c r="X947" s="18">
        <f t="shared" si="317"/>
        <v>2025</v>
      </c>
      <c r="Y947" s="2">
        <f t="shared" si="310"/>
        <v>0.72154082264433272</v>
      </c>
      <c r="Z947" t="str">
        <f t="shared" si="311"/>
        <v>SO17828</v>
      </c>
      <c r="AA947" s="11">
        <f t="shared" si="318"/>
        <v>45911.381157407413</v>
      </c>
      <c r="AB947" s="5" t="str">
        <f t="shared" si="319"/>
        <v>INV13408</v>
      </c>
      <c r="AC947" s="5" t="str">
        <f>IFERROR(VLOOKUP(D947,CAARStatus!$A$2:$AA$1600,22,FALSE),"Not invoiced")</f>
        <v>Paid</v>
      </c>
      <c r="AD947" s="11">
        <f>IF(AC947="Paid",IFERROR(VLOOKUP(D947,CAARStatus!$A$2:$AA$1600,6,FALSE),"Pending"),"Pending")</f>
        <v>45952</v>
      </c>
      <c r="AE947" s="5" t="str">
        <f t="shared" si="320"/>
        <v>2100651726</v>
      </c>
      <c r="AF947" s="5" t="str">
        <f t="shared" si="321"/>
        <v>Wajax Limited - Noranda</v>
      </c>
      <c r="AG947" s="5" t="str">
        <f t="shared" si="322"/>
        <v>CAD</v>
      </c>
      <c r="AH947" s="5">
        <f t="shared" si="323"/>
        <v>147.72999999999999</v>
      </c>
      <c r="AI947" s="12">
        <f>IF(L947-N947=0,VLOOKUP(U947,rate!A$4:B$15,2,FALSE)*AH947,IF(AG947="USD",O947,AH947*Y947))</f>
        <v>106.59322572924727</v>
      </c>
      <c r="AJ947" s="13">
        <f t="shared" si="324"/>
        <v>0.72154082264433272</v>
      </c>
      <c r="AK947" s="13">
        <f>-IF(AG947="CAD",IFERROR(VLOOKUP(D947,CAARStatus!$A$1:$Y$1600,16,FALSE),0),0)</f>
        <v>-147.72999999999999</v>
      </c>
      <c r="AL947" s="13">
        <f>-IF(AG947="USD",IFERROR(VLOOKUP(D947,CAARStatus!$A$1:$Y$1600,11,FALSE),0),0)</f>
        <v>0</v>
      </c>
      <c r="AM947" s="22">
        <f t="shared" si="325"/>
        <v>0</v>
      </c>
      <c r="AN947" s="12" t="str">
        <f t="shared" si="326"/>
        <v/>
      </c>
      <c r="AO947" s="12" t="str">
        <f t="shared" si="327"/>
        <v>Yes</v>
      </c>
      <c r="AP947" t="str">
        <f t="shared" si="312"/>
        <v>Yes</v>
      </c>
      <c r="AQ947" t="str">
        <f>IFERROR(VLOOKUP(Z947,InvBal!$L$4:$P$600,4,FALSE),"Pend")</f>
        <v>Pend</v>
      </c>
      <c r="AR947" t="str">
        <f>IFERROR(VLOOKUP(D947,Manual!$C$1:$E$22,2,FALSE),"Pend")</f>
        <v>Pend</v>
      </c>
      <c r="AS947" t="str">
        <f t="shared" si="328"/>
        <v>Yes</v>
      </c>
      <c r="AT947" t="str">
        <f t="shared" si="329"/>
        <v>Yes</v>
      </c>
      <c r="AU947" s="51" t="str">
        <f t="shared" si="330"/>
        <v>Yes</v>
      </c>
      <c r="AV947" s="12">
        <f>IFERROR(VLOOKUP(D947,'Receivable Invoice Detail'!$S$1:$U$3014,3,FALSE),0)</f>
        <v>0</v>
      </c>
      <c r="AW947" s="12">
        <f t="shared" si="331"/>
        <v>106.59322572924727</v>
      </c>
    </row>
    <row r="948" spans="1:49" ht="30" x14ac:dyDescent="0.25">
      <c r="A948" s="2">
        <v>1</v>
      </c>
      <c r="B948" s="2" t="s">
        <v>655</v>
      </c>
      <c r="C948" s="2" t="s">
        <v>656</v>
      </c>
      <c r="D948" s="2" t="s">
        <v>3177</v>
      </c>
      <c r="E948" s="2" t="s">
        <v>39</v>
      </c>
      <c r="F948" s="3">
        <v>45911.702164351853</v>
      </c>
      <c r="G948" s="3">
        <v>45911.711608796293</v>
      </c>
      <c r="H948" s="4">
        <v>45925</v>
      </c>
      <c r="I948" s="2" t="s">
        <v>657</v>
      </c>
      <c r="J948" s="2" t="s">
        <v>22</v>
      </c>
      <c r="K948" s="2">
        <v>1</v>
      </c>
      <c r="L948" s="2">
        <v>5610.53</v>
      </c>
      <c r="M948" s="2">
        <v>0</v>
      </c>
      <c r="N948" s="2">
        <v>4056.3750770653351</v>
      </c>
      <c r="O948" s="2">
        <v>5343.36</v>
      </c>
      <c r="P948" s="2">
        <v>267.17</v>
      </c>
      <c r="Q948" s="2">
        <v>5610.53</v>
      </c>
      <c r="R948" s="2" t="s">
        <v>44</v>
      </c>
      <c r="S948" s="2"/>
      <c r="T948" s="2">
        <f t="shared" si="313"/>
        <v>1</v>
      </c>
      <c r="U948" s="18">
        <f t="shared" si="314"/>
        <v>9</v>
      </c>
      <c r="V948" s="18">
        <f t="shared" si="315"/>
        <v>2025</v>
      </c>
      <c r="W948" s="18">
        <f t="shared" si="316"/>
        <v>10</v>
      </c>
      <c r="X948" s="18">
        <f t="shared" si="317"/>
        <v>2025</v>
      </c>
      <c r="Y948" s="17">
        <f t="shared" si="310"/>
        <v>0.72299320689227853</v>
      </c>
      <c r="Z948" t="str">
        <f t="shared" si="311"/>
        <v>SO17833</v>
      </c>
      <c r="AA948" s="11">
        <f t="shared" si="318"/>
        <v>45911.702164351853</v>
      </c>
      <c r="AB948" s="5" t="str">
        <f t="shared" si="319"/>
        <v>INV13448</v>
      </c>
      <c r="AC948" s="5" t="str">
        <f>IFERROR(VLOOKUP(D948,CAARStatus!$A$2:$AA$1600,22,FALSE),"Not invoiced")</f>
        <v>Paid</v>
      </c>
      <c r="AD948" s="11">
        <f>IF(AC948="Paid",IFERROR(VLOOKUP(D948,CAARStatus!$A$2:$AA$1600,6,FALSE),"Pending"),"Pending")</f>
        <v>45954</v>
      </c>
      <c r="AE948" s="5" t="str">
        <f t="shared" si="320"/>
        <v>BC65-00081753</v>
      </c>
      <c r="AF948" s="5" t="str">
        <f t="shared" si="321"/>
        <v>Motion Industries Inc. (Canada) - Prince George</v>
      </c>
      <c r="AG948" s="5" t="str">
        <f t="shared" si="322"/>
        <v>CAD</v>
      </c>
      <c r="AH948" s="5">
        <f t="shared" si="323"/>
        <v>5343.36</v>
      </c>
      <c r="AI948" s="12">
        <f>IF(L948-N948=0,VLOOKUP(U948,rate!A$4:B$15,2,FALSE)*AH948,IF(AG948="USD",O948,AH948*Y948))</f>
        <v>3863.2129819799252</v>
      </c>
      <c r="AJ948" s="13">
        <f t="shared" si="324"/>
        <v>0.72299320689227853</v>
      </c>
      <c r="AK948" s="13">
        <f>-IF(AG948="CAD",IFERROR(VLOOKUP(D948,CAARStatus!$A$1:$Y$1600,16,FALSE),0),0)</f>
        <v>-5343.36</v>
      </c>
      <c r="AL948" s="13">
        <f>-IF(AG948="USD",IFERROR(VLOOKUP(D948,CAARStatus!$A$1:$Y$1600,11,FALSE),0),0)</f>
        <v>0</v>
      </c>
      <c r="AM948" s="22">
        <f t="shared" si="325"/>
        <v>0</v>
      </c>
      <c r="AN948" s="12" t="str">
        <f t="shared" si="326"/>
        <v/>
      </c>
      <c r="AO948" s="12" t="str">
        <f t="shared" si="327"/>
        <v>Yes</v>
      </c>
      <c r="AP948" t="str">
        <f t="shared" si="312"/>
        <v>Yes</v>
      </c>
      <c r="AQ948" t="str">
        <f>IFERROR(VLOOKUP(Z948,InvBal!$L$4:$P$600,4,FALSE),"Pend")</f>
        <v>Pend</v>
      </c>
      <c r="AR948" t="str">
        <f>IFERROR(VLOOKUP(D948,Manual!$C$1:$E$22,2,FALSE),"Pend")</f>
        <v>Pend</v>
      </c>
      <c r="AS948" t="str">
        <f t="shared" si="328"/>
        <v>Yes</v>
      </c>
      <c r="AT948" t="str">
        <f t="shared" si="329"/>
        <v>Yes</v>
      </c>
      <c r="AU948" s="51" t="str">
        <f t="shared" si="330"/>
        <v>Yes</v>
      </c>
      <c r="AV948" s="12">
        <f>IFERROR(VLOOKUP(D948,'Receivable Invoice Detail'!$S$1:$U$3014,3,FALSE),0)</f>
        <v>0</v>
      </c>
      <c r="AW948" s="12">
        <f t="shared" si="331"/>
        <v>3863.2129819799252</v>
      </c>
    </row>
    <row r="949" spans="1:49" ht="30" x14ac:dyDescent="0.25">
      <c r="A949" s="2">
        <v>1</v>
      </c>
      <c r="B949" s="2" t="s">
        <v>653</v>
      </c>
      <c r="C949" s="2" t="s">
        <v>654</v>
      </c>
      <c r="D949" s="2" t="s">
        <v>3178</v>
      </c>
      <c r="E949" s="2" t="s">
        <v>121</v>
      </c>
      <c r="F949" s="3">
        <v>45911.809918981482</v>
      </c>
      <c r="G949" s="3">
        <v>45911.810196759259</v>
      </c>
      <c r="H949" s="4">
        <v>45941</v>
      </c>
      <c r="I949" s="2" t="s">
        <v>36</v>
      </c>
      <c r="J949" s="2" t="s">
        <v>22</v>
      </c>
      <c r="K949" s="2">
        <v>1</v>
      </c>
      <c r="L949" s="2">
        <v>48.05</v>
      </c>
      <c r="M949" s="2">
        <v>0</v>
      </c>
      <c r="N949" s="2">
        <v>34.67003652806018</v>
      </c>
      <c r="O949" s="2">
        <v>42.52</v>
      </c>
      <c r="P949" s="2">
        <v>5.53</v>
      </c>
      <c r="Q949" s="2">
        <v>48.05</v>
      </c>
      <c r="R949" s="2" t="s">
        <v>44</v>
      </c>
      <c r="S949" s="2"/>
      <c r="T949" s="2">
        <f t="shared" si="313"/>
        <v>1</v>
      </c>
      <c r="U949" s="18">
        <f t="shared" si="314"/>
        <v>9</v>
      </c>
      <c r="V949" s="18">
        <f t="shared" si="315"/>
        <v>2025</v>
      </c>
      <c r="W949" s="18">
        <f t="shared" si="316"/>
        <v>10</v>
      </c>
      <c r="X949" s="18">
        <f t="shared" si="317"/>
        <v>2025</v>
      </c>
      <c r="Y949" s="17">
        <f t="shared" si="310"/>
        <v>0.72154082264433261</v>
      </c>
      <c r="Z949" t="str">
        <f t="shared" si="311"/>
        <v>SO17834</v>
      </c>
      <c r="AA949" s="11">
        <f t="shared" si="318"/>
        <v>45911.809918981482</v>
      </c>
      <c r="AB949" s="5" t="str">
        <f t="shared" si="319"/>
        <v>INV13429</v>
      </c>
      <c r="AC949" s="5" t="str">
        <f>IFERROR(VLOOKUP(D949,CAARStatus!$A$2:$AA$1600,22,FALSE),"Not invoiced")</f>
        <v>Paid</v>
      </c>
      <c r="AD949" s="11">
        <f>IF(AC949="Paid",IFERROR(VLOOKUP(D949,CAARStatus!$A$2:$AA$1600,6,FALSE),"Pending"),"Pending")</f>
        <v>45958</v>
      </c>
      <c r="AE949" s="5" t="str">
        <f t="shared" si="320"/>
        <v>4500586645</v>
      </c>
      <c r="AF949" s="5" t="str">
        <f t="shared" si="321"/>
        <v>Glencore Canada Corporation - Rouyn-Noranda</v>
      </c>
      <c r="AG949" s="5" t="str">
        <f t="shared" si="322"/>
        <v>CAD</v>
      </c>
      <c r="AH949" s="5">
        <f t="shared" si="323"/>
        <v>42.52</v>
      </c>
      <c r="AI949" s="12">
        <f>IF(L949-N949=0,VLOOKUP(U949,rate!A$4:B$15,2,FALSE)*AH949,IF(AG949="USD",O949,AH949*Y949))</f>
        <v>30.679915778837024</v>
      </c>
      <c r="AJ949" s="13">
        <f t="shared" si="324"/>
        <v>0.72154082264433261</v>
      </c>
      <c r="AK949" s="13">
        <f>-IF(AG949="CAD",IFERROR(VLOOKUP(D949,CAARStatus!$A$1:$Y$1600,16,FALSE),0),0)</f>
        <v>-42.52</v>
      </c>
      <c r="AL949" s="13">
        <f>-IF(AG949="USD",IFERROR(VLOOKUP(D949,CAARStatus!$A$1:$Y$1600,11,FALSE),0),0)</f>
        <v>0</v>
      </c>
      <c r="AM949" s="22">
        <f t="shared" si="325"/>
        <v>0</v>
      </c>
      <c r="AN949" s="12" t="str">
        <f t="shared" si="326"/>
        <v/>
      </c>
      <c r="AO949" s="12" t="str">
        <f t="shared" si="327"/>
        <v>Yes</v>
      </c>
      <c r="AP949" t="str">
        <f t="shared" si="312"/>
        <v>Yes</v>
      </c>
      <c r="AQ949" t="str">
        <f>IFERROR(VLOOKUP(Z949,InvBal!$L$4:$P$600,4,FALSE),"Pend")</f>
        <v>Pend</v>
      </c>
      <c r="AR949" t="str">
        <f>IFERROR(VLOOKUP(D949,Manual!$C$1:$E$22,2,FALSE),"Pend")</f>
        <v>Pend</v>
      </c>
      <c r="AS949" t="str">
        <f t="shared" si="328"/>
        <v>Yes</v>
      </c>
      <c r="AT949" t="str">
        <f t="shared" si="329"/>
        <v>Yes</v>
      </c>
      <c r="AU949" s="51" t="str">
        <f t="shared" si="330"/>
        <v>Yes</v>
      </c>
      <c r="AV949" s="12">
        <f>IFERROR(VLOOKUP(D949,'Receivable Invoice Detail'!$S$1:$U$3014,3,FALSE),0)</f>
        <v>0</v>
      </c>
      <c r="AW949" s="12">
        <f t="shared" si="331"/>
        <v>30.679915778837024</v>
      </c>
    </row>
    <row r="950" spans="1:49" ht="30" x14ac:dyDescent="0.25">
      <c r="A950" s="2">
        <v>1</v>
      </c>
      <c r="B950" s="2" t="s">
        <v>651</v>
      </c>
      <c r="C950" s="2" t="s">
        <v>652</v>
      </c>
      <c r="D950" s="2" t="s">
        <v>3179</v>
      </c>
      <c r="E950" s="2" t="s">
        <v>129</v>
      </c>
      <c r="F950" s="3">
        <v>45912.043310185189</v>
      </c>
      <c r="G950" s="3">
        <v>45912.043310185189</v>
      </c>
      <c r="H950" s="4">
        <v>45576</v>
      </c>
      <c r="I950" s="2" t="s">
        <v>130</v>
      </c>
      <c r="J950" s="2" t="s">
        <v>51</v>
      </c>
      <c r="K950" s="2">
        <v>0.72299320689227853</v>
      </c>
      <c r="L950" s="2">
        <v>11112.13760158747</v>
      </c>
      <c r="M950" s="2">
        <v>0</v>
      </c>
      <c r="N950" s="2">
        <v>8034</v>
      </c>
      <c r="O950" s="2">
        <v>8034</v>
      </c>
      <c r="P950" s="2"/>
      <c r="Q950" s="2">
        <v>8034</v>
      </c>
      <c r="R950" s="2" t="s">
        <v>44</v>
      </c>
      <c r="S950" s="2"/>
      <c r="T950" s="2">
        <f t="shared" si="313"/>
        <v>1</v>
      </c>
      <c r="U950" s="18">
        <f t="shared" si="314"/>
        <v>9</v>
      </c>
      <c r="V950" s="18">
        <f t="shared" si="315"/>
        <v>2025</v>
      </c>
      <c r="W950" s="18" t="str">
        <f t="shared" si="316"/>
        <v/>
      </c>
      <c r="X950" s="18" t="str">
        <f t="shared" si="317"/>
        <v/>
      </c>
      <c r="Y950" s="2">
        <f t="shared" si="310"/>
        <v>0.72299320689227875</v>
      </c>
      <c r="Z950" t="str">
        <f t="shared" si="311"/>
        <v>SO17835</v>
      </c>
      <c r="AA950" s="11">
        <f t="shared" si="318"/>
        <v>45912.043310185189</v>
      </c>
      <c r="AB950" s="5" t="str">
        <f t="shared" si="319"/>
        <v>INV13688</v>
      </c>
      <c r="AC950" s="5" t="str">
        <f>IFERROR(VLOOKUP(D950,CAARStatus!$A$2:$AA$1600,22,FALSE),"Not invoiced")</f>
        <v>Approved</v>
      </c>
      <c r="AD950" s="11" t="str">
        <f>IF(AC950="Paid",IFERROR(VLOOKUP(D950,CAARStatus!$A$2:$AA$1600,6,FALSE),"Pending"),"Pending")</f>
        <v>Pending</v>
      </c>
      <c r="AE950" s="5" t="str">
        <f t="shared" si="320"/>
        <v>OC00206</v>
      </c>
      <c r="AF950" s="5" t="str">
        <f t="shared" si="321"/>
        <v>Dynapro Pumps México S de RL de CV</v>
      </c>
      <c r="AG950" s="5" t="str">
        <f t="shared" si="322"/>
        <v>USD</v>
      </c>
      <c r="AH950" s="5">
        <f t="shared" si="323"/>
        <v>11112.137601587474</v>
      </c>
      <c r="AI950" s="12">
        <f>IF(L950-N950=0,VLOOKUP(U950,rate!A$4:B$15,2,FALSE)*AH950,IF(AG950="USD",O950,AH950*Y950))</f>
        <v>8034</v>
      </c>
      <c r="AJ950" s="13">
        <f t="shared" si="324"/>
        <v>0.72299320689227853</v>
      </c>
      <c r="AK950" s="13">
        <f>-IF(AG950="CAD",IFERROR(VLOOKUP(D950,CAARStatus!$A$1:$Y$1600,16,FALSE),0),0)</f>
        <v>0</v>
      </c>
      <c r="AL950" s="13">
        <f>-IF(AG950="USD",IFERROR(VLOOKUP(D950,CAARStatus!$A$1:$Y$1600,11,FALSE),0),0)</f>
        <v>-8034</v>
      </c>
      <c r="AM950" s="22" t="str">
        <f t="shared" si="325"/>
        <v/>
      </c>
      <c r="AN950" s="12">
        <f t="shared" si="326"/>
        <v>0</v>
      </c>
      <c r="AO950" s="12" t="str">
        <f t="shared" si="327"/>
        <v>Pend</v>
      </c>
      <c r="AP950" t="str">
        <f t="shared" si="312"/>
        <v>Pend</v>
      </c>
      <c r="AQ950" t="str">
        <f>IFERROR(VLOOKUP(Z950,InvBal!$L$4:$P$600,4,FALSE),"Pend")</f>
        <v>Pend</v>
      </c>
      <c r="AR950" t="str">
        <f>IFERROR(VLOOKUP(D950,Manual!$C$1:$E$22,2,FALSE),"Pend")</f>
        <v>Pend</v>
      </c>
      <c r="AS950" t="str">
        <f t="shared" si="328"/>
        <v/>
      </c>
      <c r="AT950" t="str">
        <f t="shared" si="329"/>
        <v>Yes</v>
      </c>
      <c r="AU950" s="51" t="str">
        <f t="shared" si="330"/>
        <v/>
      </c>
      <c r="AV950" s="12">
        <f>IFERROR(VLOOKUP(D950,'Receivable Invoice Detail'!$S$1:$U$3014,3,FALSE),0)</f>
        <v>0</v>
      </c>
      <c r="AW950" s="12">
        <f t="shared" si="331"/>
        <v>0</v>
      </c>
    </row>
    <row r="951" spans="1:49" x14ac:dyDescent="0.25">
      <c r="A951" s="2">
        <v>1</v>
      </c>
      <c r="B951" s="2" t="s">
        <v>649</v>
      </c>
      <c r="C951" s="2" t="s">
        <v>650</v>
      </c>
      <c r="D951" s="2" t="s">
        <v>3180</v>
      </c>
      <c r="E951" s="2" t="s">
        <v>146</v>
      </c>
      <c r="F951" s="3">
        <v>45912.333923611113</v>
      </c>
      <c r="G951" s="3">
        <v>45912.339687500003</v>
      </c>
      <c r="H951" s="4">
        <v>45915</v>
      </c>
      <c r="I951" s="2" t="s">
        <v>40</v>
      </c>
      <c r="J951" s="2" t="s">
        <v>22</v>
      </c>
      <c r="K951" s="2">
        <v>1</v>
      </c>
      <c r="L951" s="2">
        <v>50.4</v>
      </c>
      <c r="M951" s="2">
        <v>0</v>
      </c>
      <c r="N951" s="2">
        <v>36.36565746127436</v>
      </c>
      <c r="O951" s="2">
        <v>48</v>
      </c>
      <c r="P951" s="2">
        <v>2.4</v>
      </c>
      <c r="Q951" s="2">
        <v>50.4</v>
      </c>
      <c r="R951" s="2" t="s">
        <v>44</v>
      </c>
      <c r="S951" s="2"/>
      <c r="T951" s="2">
        <f t="shared" si="313"/>
        <v>1</v>
      </c>
      <c r="U951" s="18">
        <f t="shared" si="314"/>
        <v>9</v>
      </c>
      <c r="V951" s="18">
        <f t="shared" si="315"/>
        <v>2025</v>
      </c>
      <c r="W951" s="18">
        <f t="shared" si="316"/>
        <v>10</v>
      </c>
      <c r="X951" s="18">
        <f t="shared" si="317"/>
        <v>2025</v>
      </c>
      <c r="Y951" s="2">
        <f t="shared" si="310"/>
        <v>0.7215408226443325</v>
      </c>
      <c r="Z951" t="str">
        <f t="shared" si="311"/>
        <v>SO17836</v>
      </c>
      <c r="AA951" s="11">
        <f t="shared" si="318"/>
        <v>45912.333923611113</v>
      </c>
      <c r="AB951" s="5" t="str">
        <f t="shared" si="319"/>
        <v>INV13398</v>
      </c>
      <c r="AC951" s="5" t="str">
        <f>IFERROR(VLOOKUP(D951,CAARStatus!$A$2:$AA$1600,22,FALSE),"Not invoiced")</f>
        <v>Paid</v>
      </c>
      <c r="AD951" s="11">
        <f>IF(AC951="Paid",IFERROR(VLOOKUP(D951,CAARStatus!$A$2:$AA$1600,6,FALSE),"Pending"),"Pending")</f>
        <v>45946</v>
      </c>
      <c r="AE951" s="5" t="str">
        <f t="shared" si="320"/>
        <v>7660</v>
      </c>
      <c r="AF951" s="5" t="str">
        <f t="shared" si="321"/>
        <v>Hyperflo</v>
      </c>
      <c r="AG951" s="5" t="str">
        <f t="shared" si="322"/>
        <v>CAD</v>
      </c>
      <c r="AH951" s="5">
        <f t="shared" si="323"/>
        <v>48</v>
      </c>
      <c r="AI951" s="12">
        <f>IF(L951-N951=0,VLOOKUP(U951,rate!A$4:B$15,2,FALSE)*AH951,IF(AG951="USD",O951,AH951*Y951))</f>
        <v>34.633959486927964</v>
      </c>
      <c r="AJ951" s="13">
        <f t="shared" si="324"/>
        <v>0.72154082264433261</v>
      </c>
      <c r="AK951" s="13">
        <f>-IF(AG951="CAD",IFERROR(VLOOKUP(D951,CAARStatus!$A$1:$Y$1600,16,FALSE),0),0)</f>
        <v>-48</v>
      </c>
      <c r="AL951" s="13">
        <f>-IF(AG951="USD",IFERROR(VLOOKUP(D951,CAARStatus!$A$1:$Y$1600,11,FALSE),0),0)</f>
        <v>0</v>
      </c>
      <c r="AM951" s="22">
        <f t="shared" si="325"/>
        <v>0</v>
      </c>
      <c r="AN951" s="12" t="str">
        <f t="shared" si="326"/>
        <v/>
      </c>
      <c r="AO951" s="12" t="str">
        <f t="shared" si="327"/>
        <v>Yes</v>
      </c>
      <c r="AP951" t="str">
        <f t="shared" si="312"/>
        <v>Yes</v>
      </c>
      <c r="AQ951" t="str">
        <f>IFERROR(VLOOKUP(Z951,InvBal!$L$4:$P$600,4,FALSE),"Pend")</f>
        <v>Pend</v>
      </c>
      <c r="AR951" t="str">
        <f>IFERROR(VLOOKUP(D951,Manual!$C$1:$E$22,2,FALSE),"Pend")</f>
        <v>Pend</v>
      </c>
      <c r="AS951" t="str">
        <f t="shared" si="328"/>
        <v>Yes</v>
      </c>
      <c r="AT951" t="str">
        <f t="shared" si="329"/>
        <v>Yes</v>
      </c>
      <c r="AU951" s="51" t="str">
        <f t="shared" si="330"/>
        <v>Yes</v>
      </c>
      <c r="AV951" s="12">
        <f>IFERROR(VLOOKUP(D951,'Receivable Invoice Detail'!$S$1:$U$3014,3,FALSE),0)</f>
        <v>0</v>
      </c>
      <c r="AW951" s="12">
        <f t="shared" si="331"/>
        <v>34.633959486927964</v>
      </c>
    </row>
    <row r="952" spans="1:49" ht="30" x14ac:dyDescent="0.25">
      <c r="A952" s="2">
        <v>1</v>
      </c>
      <c r="B952" s="2" t="s">
        <v>639</v>
      </c>
      <c r="C952" s="2" t="s">
        <v>640</v>
      </c>
      <c r="D952" s="2" t="s">
        <v>3185</v>
      </c>
      <c r="E952" s="2" t="s">
        <v>20</v>
      </c>
      <c r="F952" s="3">
        <v>45912.514166666668</v>
      </c>
      <c r="G952" s="3">
        <v>45915.735277777778</v>
      </c>
      <c r="H952" s="4">
        <v>45922</v>
      </c>
      <c r="I952" s="2" t="s">
        <v>36</v>
      </c>
      <c r="J952" s="2" t="s">
        <v>22</v>
      </c>
      <c r="K952" s="2">
        <v>1</v>
      </c>
      <c r="L952" s="2">
        <v>752.49</v>
      </c>
      <c r="M952" s="2">
        <v>0</v>
      </c>
      <c r="N952" s="2">
        <v>545.34106230812733</v>
      </c>
      <c r="O952" s="2">
        <v>716.65</v>
      </c>
      <c r="P952" s="2">
        <v>35.840000000000003</v>
      </c>
      <c r="Q952" s="2">
        <v>752.49</v>
      </c>
      <c r="R952" s="2" t="s">
        <v>44</v>
      </c>
      <c r="S952" s="2"/>
      <c r="T952" s="2">
        <f t="shared" si="313"/>
        <v>1</v>
      </c>
      <c r="U952" s="18">
        <f t="shared" si="314"/>
        <v>9</v>
      </c>
      <c r="V952" s="18">
        <f t="shared" si="315"/>
        <v>2025</v>
      </c>
      <c r="W952" s="18">
        <f t="shared" si="316"/>
        <v>11</v>
      </c>
      <c r="X952" s="18">
        <f t="shared" si="317"/>
        <v>2025</v>
      </c>
      <c r="Y952" s="17">
        <f t="shared" si="310"/>
        <v>0.72471536141095205</v>
      </c>
      <c r="Z952" t="str">
        <f t="shared" si="311"/>
        <v>SO17837</v>
      </c>
      <c r="AA952" s="11">
        <f t="shared" si="318"/>
        <v>45912.514166666668</v>
      </c>
      <c r="AB952" s="5" t="str">
        <f t="shared" si="319"/>
        <v>INV13419</v>
      </c>
      <c r="AC952" s="5" t="str">
        <f>IFERROR(VLOOKUP(D952,CAARStatus!$A$2:$AA$1600,22,FALSE),"Not invoiced")</f>
        <v>Paid</v>
      </c>
      <c r="AD952" s="11">
        <f>IF(AC952="Paid",IFERROR(VLOOKUP(D952,CAARStatus!$A$2:$AA$1600,6,FALSE),"Pending"),"Pending")</f>
        <v>45979</v>
      </c>
      <c r="AE952" s="5" t="str">
        <f t="shared" si="320"/>
        <v>4500613133</v>
      </c>
      <c r="AF952" s="5" t="str">
        <f t="shared" si="321"/>
        <v>Resolute Forest Products - Saint-Felicien</v>
      </c>
      <c r="AG952" s="5" t="str">
        <f t="shared" si="322"/>
        <v>CAD</v>
      </c>
      <c r="AH952" s="5">
        <f t="shared" si="323"/>
        <v>716.65</v>
      </c>
      <c r="AI952" s="12">
        <f>IF(L952-N952=0,VLOOKUP(U952,rate!A$4:B$15,2,FALSE)*AH952,IF(AG952="USD",O952,AH952*Y952))</f>
        <v>519.36726375515877</v>
      </c>
      <c r="AJ952" s="13">
        <f t="shared" si="324"/>
        <v>0.72471536141095205</v>
      </c>
      <c r="AK952" s="13">
        <f>-IF(AG952="CAD",IFERROR(VLOOKUP(D952,CAARStatus!$A$1:$Y$1600,16,FALSE),0),0)</f>
        <v>-716.65</v>
      </c>
      <c r="AL952" s="13">
        <f>-IF(AG952="USD",IFERROR(VLOOKUP(D952,CAARStatus!$A$1:$Y$1600,11,FALSE),0),0)</f>
        <v>0</v>
      </c>
      <c r="AM952" s="22">
        <f t="shared" si="325"/>
        <v>0</v>
      </c>
      <c r="AN952" s="12" t="str">
        <f t="shared" si="326"/>
        <v/>
      </c>
      <c r="AO952" s="12" t="str">
        <f t="shared" si="327"/>
        <v>Yes</v>
      </c>
      <c r="AP952" t="str">
        <f t="shared" si="312"/>
        <v>Yes</v>
      </c>
      <c r="AQ952" t="str">
        <f>IFERROR(VLOOKUP(Z952,InvBal!$L$4:$P$600,4,FALSE),"Pend")</f>
        <v>Pend</v>
      </c>
      <c r="AR952" t="str">
        <f>IFERROR(VLOOKUP(D952,Manual!$C$1:$E$22,2,FALSE),"Pend")</f>
        <v>Pend</v>
      </c>
      <c r="AS952" t="str">
        <f t="shared" si="328"/>
        <v>Yes</v>
      </c>
      <c r="AT952" t="str">
        <f t="shared" si="329"/>
        <v>Yes</v>
      </c>
      <c r="AU952" s="51" t="str">
        <f t="shared" si="330"/>
        <v>Yes</v>
      </c>
      <c r="AV952" s="12">
        <f>IFERROR(VLOOKUP(D952,'Receivable Invoice Detail'!$S$1:$U$3014,3,FALSE),0)</f>
        <v>0</v>
      </c>
      <c r="AW952" s="12">
        <f t="shared" si="331"/>
        <v>519.36726375515877</v>
      </c>
    </row>
    <row r="953" spans="1:49" x14ac:dyDescent="0.25">
      <c r="A953" s="2">
        <v>1</v>
      </c>
      <c r="B953" s="2" t="s">
        <v>631</v>
      </c>
      <c r="C953" s="2" t="s">
        <v>632</v>
      </c>
      <c r="D953" s="2" t="s">
        <v>3190</v>
      </c>
      <c r="E953" s="2" t="s">
        <v>64</v>
      </c>
      <c r="F953" s="3">
        <v>45912.515405092592</v>
      </c>
      <c r="G953" s="3">
        <v>45916.412534722222</v>
      </c>
      <c r="H953" s="4">
        <v>45923</v>
      </c>
      <c r="I953" s="2" t="s">
        <v>74</v>
      </c>
      <c r="J953" s="2" t="s">
        <v>22</v>
      </c>
      <c r="K953" s="2">
        <v>1</v>
      </c>
      <c r="L953" s="2">
        <v>400.09</v>
      </c>
      <c r="M953" s="2">
        <v>0</v>
      </c>
      <c r="N953" s="2">
        <v>291.03410941130858</v>
      </c>
      <c r="O953" s="2">
        <v>354.06</v>
      </c>
      <c r="P953" s="2">
        <v>46.03</v>
      </c>
      <c r="Q953" s="2">
        <v>400.09</v>
      </c>
      <c r="R953" s="2" t="s">
        <v>44</v>
      </c>
      <c r="S953" s="2"/>
      <c r="T953" s="2">
        <f t="shared" si="313"/>
        <v>1</v>
      </c>
      <c r="U953" s="18">
        <f t="shared" si="314"/>
        <v>9</v>
      </c>
      <c r="V953" s="18">
        <f t="shared" si="315"/>
        <v>2025</v>
      </c>
      <c r="W953" s="18">
        <f t="shared" si="316"/>
        <v>11</v>
      </c>
      <c r="X953" s="18">
        <f t="shared" si="317"/>
        <v>2025</v>
      </c>
      <c r="Y953" s="2">
        <f t="shared" si="310"/>
        <v>0.72742160366744635</v>
      </c>
      <c r="Z953" t="str">
        <f t="shared" si="311"/>
        <v>SO17838</v>
      </c>
      <c r="AA953" s="11">
        <f t="shared" si="318"/>
        <v>45912.515405092592</v>
      </c>
      <c r="AB953" s="5" t="str">
        <f t="shared" si="319"/>
        <v>INV13415</v>
      </c>
      <c r="AC953" s="5" t="str">
        <f>IFERROR(VLOOKUP(D953,CAARStatus!$A$2:$AA$1600,22,FALSE),"Not invoiced")</f>
        <v>Paid</v>
      </c>
      <c r="AD953" s="11">
        <f>IF(AC953="Paid",IFERROR(VLOOKUP(D953,CAARStatus!$A$2:$AA$1600,6,FALSE),"Pending"),"Pending")</f>
        <v>45973</v>
      </c>
      <c r="AE953" s="5" t="str">
        <f t="shared" si="320"/>
        <v>PO 607046</v>
      </c>
      <c r="AF953" s="5" t="str">
        <f t="shared" si="321"/>
        <v>Sealtrac Inc.</v>
      </c>
      <c r="AG953" s="5" t="str">
        <f t="shared" si="322"/>
        <v>CAD</v>
      </c>
      <c r="AH953" s="5">
        <f t="shared" si="323"/>
        <v>354.06</v>
      </c>
      <c r="AI953" s="12">
        <f>IF(L953-N953=0,VLOOKUP(U953,rate!A$4:B$15,2,FALSE)*AH953,IF(AG953="USD",O953,AH953*Y953))</f>
        <v>257.55089299449605</v>
      </c>
      <c r="AJ953" s="13">
        <f t="shared" si="324"/>
        <v>0.72742160366744635</v>
      </c>
      <c r="AK953" s="13">
        <f>-IF(AG953="CAD",IFERROR(VLOOKUP(D953,CAARStatus!$A$1:$Y$1600,16,FALSE),0),0)</f>
        <v>-354.06</v>
      </c>
      <c r="AL953" s="13">
        <f>-IF(AG953="USD",IFERROR(VLOOKUP(D953,CAARStatus!$A$1:$Y$1600,11,FALSE),0),0)</f>
        <v>0</v>
      </c>
      <c r="AM953" s="22">
        <f t="shared" si="325"/>
        <v>0</v>
      </c>
      <c r="AN953" s="12" t="str">
        <f t="shared" si="326"/>
        <v/>
      </c>
      <c r="AO953" s="12" t="str">
        <f t="shared" si="327"/>
        <v>Yes</v>
      </c>
      <c r="AP953" t="str">
        <f t="shared" si="312"/>
        <v>Yes</v>
      </c>
      <c r="AQ953" t="str">
        <f>IFERROR(VLOOKUP(Z953,InvBal!$L$4:$P$600,4,FALSE),"Pend")</f>
        <v>Pend</v>
      </c>
      <c r="AR953" t="str">
        <f>IFERROR(VLOOKUP(D953,Manual!$C$1:$E$22,2,FALSE),"Pend")</f>
        <v>Pend</v>
      </c>
      <c r="AS953" t="str">
        <f t="shared" si="328"/>
        <v>Yes</v>
      </c>
      <c r="AT953" t="str">
        <f t="shared" si="329"/>
        <v>Yes</v>
      </c>
      <c r="AU953" s="51" t="str">
        <f t="shared" si="330"/>
        <v>Yes</v>
      </c>
      <c r="AV953" s="12">
        <f>IFERROR(VLOOKUP(D953,'Receivable Invoice Detail'!$S$1:$U$3014,3,FALSE),0)</f>
        <v>0</v>
      </c>
      <c r="AW953" s="12">
        <f t="shared" si="331"/>
        <v>257.55089299449605</v>
      </c>
    </row>
    <row r="954" spans="1:49" x14ac:dyDescent="0.25">
      <c r="A954" s="2">
        <v>0</v>
      </c>
      <c r="B954" s="2" t="s">
        <v>6173</v>
      </c>
      <c r="C954" s="2" t="s">
        <v>6174</v>
      </c>
      <c r="D954" s="2"/>
      <c r="E954" s="2" t="s">
        <v>901</v>
      </c>
      <c r="F954" s="3">
        <v>45912.704872685194</v>
      </c>
      <c r="G954" s="3">
        <v>46002.683796296304</v>
      </c>
      <c r="H954" s="4">
        <v>46042</v>
      </c>
      <c r="I954" s="2" t="s">
        <v>180</v>
      </c>
      <c r="J954" s="2" t="s">
        <v>51</v>
      </c>
      <c r="K954" s="2">
        <v>0.72276866354558011</v>
      </c>
      <c r="L954" s="2">
        <v>43048.324546015479</v>
      </c>
      <c r="M954" s="2">
        <v>0</v>
      </c>
      <c r="N954" s="2">
        <v>31113.98</v>
      </c>
      <c r="O954" s="2">
        <v>31113.98</v>
      </c>
      <c r="P954" s="2"/>
      <c r="Q954" s="2">
        <v>31113.98</v>
      </c>
      <c r="R954" s="2" t="s">
        <v>23</v>
      </c>
      <c r="S954" s="2"/>
      <c r="T954" s="2">
        <f t="shared" si="313"/>
        <v>0</v>
      </c>
      <c r="U954" s="18">
        <f t="shared" si="314"/>
        <v>9</v>
      </c>
      <c r="V954" s="18">
        <f t="shared" si="315"/>
        <v>2025</v>
      </c>
      <c r="W954" s="18" t="str">
        <f t="shared" si="316"/>
        <v/>
      </c>
      <c r="X954" s="18" t="str">
        <f t="shared" si="317"/>
        <v/>
      </c>
      <c r="Y954" s="2">
        <f t="shared" si="310"/>
        <v>0.72276866354558011</v>
      </c>
      <c r="Z954" t="str">
        <f t="shared" si="311"/>
        <v>SO17839</v>
      </c>
      <c r="AA954" s="11">
        <f t="shared" si="318"/>
        <v>45912.704872685194</v>
      </c>
      <c r="AB954" s="5" t="str">
        <f t="shared" si="319"/>
        <v>No Inv</v>
      </c>
      <c r="AC954" s="5" t="str">
        <f>IFERROR(VLOOKUP(D954,CAARStatus!$A$2:$AA$1600,22,FALSE),"Not invoiced")</f>
        <v>Not invoiced</v>
      </c>
      <c r="AD954" s="11" t="str">
        <f>IF(AC954="Paid",IFERROR(VLOOKUP(D954,CAARStatus!$A$2:$AA$1600,6,FALSE),"Pending"),"Pending")</f>
        <v>Pending</v>
      </c>
      <c r="AE954" s="5" t="str">
        <f t="shared" si="320"/>
        <v>4500882138</v>
      </c>
      <c r="AF954" s="5" t="str">
        <f t="shared" si="321"/>
        <v>AGM Inc.</v>
      </c>
      <c r="AG954" s="5" t="str">
        <f t="shared" si="322"/>
        <v>USD</v>
      </c>
      <c r="AH954" s="5">
        <f t="shared" si="323"/>
        <v>43048.324546015479</v>
      </c>
      <c r="AI954" s="12">
        <f>IF(L954-N954=0,VLOOKUP(U954,rate!A$4:B$15,2,FALSE)*AH954,IF(AG954="USD",O954,AH954*Y954))</f>
        <v>31113.98</v>
      </c>
      <c r="AJ954" s="13">
        <f t="shared" si="324"/>
        <v>0.72276866354558011</v>
      </c>
      <c r="AK954" s="13">
        <f>-IF(AG954="CAD",IFERROR(VLOOKUP(D954,CAARStatus!$A$1:$Y$1600,16,FALSE),0),0)</f>
        <v>0</v>
      </c>
      <c r="AL954" s="13">
        <f>-IF(AG954="USD",IFERROR(VLOOKUP(D954,CAARStatus!$A$1:$Y$1600,11,FALSE),0),0)</f>
        <v>0</v>
      </c>
      <c r="AM954" s="22" t="str">
        <f t="shared" si="325"/>
        <v/>
      </c>
      <c r="AN954" s="12">
        <f t="shared" si="326"/>
        <v>31113.98</v>
      </c>
      <c r="AO954" s="12" t="str">
        <f t="shared" si="327"/>
        <v>Pend</v>
      </c>
      <c r="AP954" t="str">
        <f t="shared" si="312"/>
        <v>Pend</v>
      </c>
      <c r="AQ954" t="str">
        <f>IFERROR(VLOOKUP(Z954,InvBal!$L$4:$P$600,4,FALSE),"Pend")</f>
        <v>Pend</v>
      </c>
      <c r="AR954" t="str">
        <f>IFERROR(VLOOKUP(D954,Manual!$C$1:$E$22,2,FALSE),"Pend")</f>
        <v>Pend</v>
      </c>
      <c r="AS954" t="str">
        <f t="shared" si="328"/>
        <v/>
      </c>
      <c r="AT954" t="str">
        <f t="shared" si="329"/>
        <v/>
      </c>
      <c r="AU954" s="51" t="str">
        <f t="shared" si="330"/>
        <v/>
      </c>
      <c r="AV954" s="12">
        <f>IFERROR(VLOOKUP(D954,'Receivable Invoice Detail'!$S$1:$U$3014,3,FALSE),0)</f>
        <v>0</v>
      </c>
      <c r="AW954" s="12">
        <f t="shared" si="331"/>
        <v>0</v>
      </c>
    </row>
    <row r="955" spans="1:49" x14ac:dyDescent="0.25">
      <c r="A955" s="2">
        <v>1</v>
      </c>
      <c r="B955" s="2" t="s">
        <v>619</v>
      </c>
      <c r="C955" s="2" t="s">
        <v>620</v>
      </c>
      <c r="D955" s="2" t="s">
        <v>3195</v>
      </c>
      <c r="E955" s="2" t="s">
        <v>77</v>
      </c>
      <c r="F955" s="3">
        <v>45915.511388888888</v>
      </c>
      <c r="G955" s="3">
        <v>45917.468229166669</v>
      </c>
      <c r="H955" s="4">
        <v>45924</v>
      </c>
      <c r="I955" s="2" t="s">
        <v>36</v>
      </c>
      <c r="J955" s="2" t="s">
        <v>22</v>
      </c>
      <c r="K955" s="2">
        <v>1</v>
      </c>
      <c r="L955" s="2">
        <v>293.48</v>
      </c>
      <c r="M955" s="2">
        <v>0</v>
      </c>
      <c r="N955" s="2">
        <v>213.25725181381711</v>
      </c>
      <c r="O955" s="2">
        <v>279.5</v>
      </c>
      <c r="P955" s="2">
        <v>13.98</v>
      </c>
      <c r="Q955" s="2">
        <v>293.48</v>
      </c>
      <c r="R955" s="2" t="s">
        <v>44</v>
      </c>
      <c r="S955" s="2"/>
      <c r="T955" s="2">
        <f t="shared" si="313"/>
        <v>1</v>
      </c>
      <c r="U955" s="18">
        <f t="shared" si="314"/>
        <v>9</v>
      </c>
      <c r="V955" s="18">
        <f t="shared" si="315"/>
        <v>2025</v>
      </c>
      <c r="W955" s="18">
        <f t="shared" si="316"/>
        <v>10</v>
      </c>
      <c r="X955" s="18">
        <f t="shared" si="317"/>
        <v>2025</v>
      </c>
      <c r="Y955" s="2">
        <f t="shared" si="310"/>
        <v>0.72665003343947487</v>
      </c>
      <c r="Z955" t="str">
        <f t="shared" si="311"/>
        <v>SO17844</v>
      </c>
      <c r="AA955" s="11">
        <f t="shared" si="318"/>
        <v>45915.511388888888</v>
      </c>
      <c r="AB955" s="5" t="str">
        <f t="shared" si="319"/>
        <v>INV13421</v>
      </c>
      <c r="AC955" s="5" t="str">
        <f>IFERROR(VLOOKUP(D955,CAARStatus!$A$2:$AA$1600,22,FALSE),"Not invoiced")</f>
        <v>Paid</v>
      </c>
      <c r="AD955" s="11">
        <f>IF(AC955="Paid",IFERROR(VLOOKUP(D955,CAARStatus!$A$2:$AA$1600,6,FALSE),"Pending"),"Pending")</f>
        <v>45940</v>
      </c>
      <c r="AE955" s="5" t="str">
        <f t="shared" si="320"/>
        <v>PO-40-1017858</v>
      </c>
      <c r="AF955" s="5" t="str">
        <f t="shared" si="321"/>
        <v>Canadian Bearings Ltd.</v>
      </c>
      <c r="AG955" s="5" t="str">
        <f t="shared" si="322"/>
        <v>CAD</v>
      </c>
      <c r="AH955" s="5">
        <f t="shared" si="323"/>
        <v>279.5</v>
      </c>
      <c r="AI955" s="12">
        <f>IF(L955-N955=0,VLOOKUP(U955,rate!A$4:B$15,2,FALSE)*AH955,IF(AG955="USD",O955,AH955*Y955))</f>
        <v>203.09868434633321</v>
      </c>
      <c r="AJ955" s="13">
        <f t="shared" si="324"/>
        <v>0.72665003343947487</v>
      </c>
      <c r="AK955" s="13">
        <f>-IF(AG955="CAD",IFERROR(VLOOKUP(D955,CAARStatus!$A$1:$Y$1600,16,FALSE),0),0)</f>
        <v>-279.5</v>
      </c>
      <c r="AL955" s="13">
        <f>-IF(AG955="USD",IFERROR(VLOOKUP(D955,CAARStatus!$A$1:$Y$1600,11,FALSE),0),0)</f>
        <v>0</v>
      </c>
      <c r="AM955" s="22">
        <f t="shared" si="325"/>
        <v>0</v>
      </c>
      <c r="AN955" s="12" t="str">
        <f t="shared" si="326"/>
        <v/>
      </c>
      <c r="AO955" s="12" t="str">
        <f t="shared" si="327"/>
        <v>Yes</v>
      </c>
      <c r="AP955" t="str">
        <f t="shared" si="312"/>
        <v>Yes</v>
      </c>
      <c r="AQ955" t="str">
        <f>IFERROR(VLOOKUP(Z955,InvBal!$L$4:$P$600,4,FALSE),"Pend")</f>
        <v>Pend</v>
      </c>
      <c r="AR955" t="str">
        <f>IFERROR(VLOOKUP(D955,Manual!$C$1:$E$22,2,FALSE),"Pend")</f>
        <v>Pend</v>
      </c>
      <c r="AS955" t="str">
        <f t="shared" si="328"/>
        <v>Yes</v>
      </c>
      <c r="AT955" t="str">
        <f t="shared" si="329"/>
        <v>Yes</v>
      </c>
      <c r="AU955" s="51" t="str">
        <f t="shared" si="330"/>
        <v>Yes</v>
      </c>
      <c r="AV955" s="12">
        <f>IFERROR(VLOOKUP(D955,'Receivable Invoice Detail'!$S$1:$U$3014,3,FALSE),0)</f>
        <v>0</v>
      </c>
      <c r="AW955" s="12">
        <f t="shared" si="331"/>
        <v>203.09868434633321</v>
      </c>
    </row>
    <row r="956" spans="1:49" x14ac:dyDescent="0.25">
      <c r="A956" s="2">
        <v>1</v>
      </c>
      <c r="B956" s="2" t="s">
        <v>593</v>
      </c>
      <c r="C956" s="2" t="s">
        <v>594</v>
      </c>
      <c r="D956" s="2" t="s">
        <v>3207</v>
      </c>
      <c r="E956" s="2" t="s">
        <v>442</v>
      </c>
      <c r="F956" s="3">
        <v>45915.604675925933</v>
      </c>
      <c r="G956" s="3">
        <v>45922.661585648151</v>
      </c>
      <c r="H956" s="4">
        <v>45930</v>
      </c>
      <c r="I956" s="2" t="s">
        <v>71</v>
      </c>
      <c r="J956" s="2" t="s">
        <v>51</v>
      </c>
      <c r="K956" s="2">
        <v>0.72585002533058685</v>
      </c>
      <c r="L956" s="2">
        <v>7133.539738655717</v>
      </c>
      <c r="M956" s="2">
        <v>0</v>
      </c>
      <c r="N956" s="2">
        <v>5177.88</v>
      </c>
      <c r="O956" s="2">
        <v>5177.88</v>
      </c>
      <c r="P956" s="2"/>
      <c r="Q956" s="2">
        <v>5177.88</v>
      </c>
      <c r="R956" s="2" t="s">
        <v>44</v>
      </c>
      <c r="S956" s="2"/>
      <c r="T956" s="2">
        <f t="shared" si="313"/>
        <v>1</v>
      </c>
      <c r="U956" s="18">
        <f t="shared" si="314"/>
        <v>9</v>
      </c>
      <c r="V956" s="18">
        <f t="shared" si="315"/>
        <v>2025</v>
      </c>
      <c r="W956" s="18">
        <f t="shared" si="316"/>
        <v>12</v>
      </c>
      <c r="X956" s="18">
        <f t="shared" si="317"/>
        <v>2025</v>
      </c>
      <c r="Y956" s="2">
        <f t="shared" si="310"/>
        <v>0.72585002533058685</v>
      </c>
      <c r="Z956" t="str">
        <f t="shared" si="311"/>
        <v>SO17845</v>
      </c>
      <c r="AA956" s="11">
        <f t="shared" si="318"/>
        <v>45915.604675925933</v>
      </c>
      <c r="AB956" s="5" t="str">
        <f t="shared" si="319"/>
        <v>INV13454</v>
      </c>
      <c r="AC956" s="5" t="str">
        <f>IFERROR(VLOOKUP(D956,CAARStatus!$A$2:$AA$1600,22,FALSE),"Not invoiced")</f>
        <v>Paid</v>
      </c>
      <c r="AD956" s="11">
        <f>IF(AC956="Paid",IFERROR(VLOOKUP(D956,CAARStatus!$A$2:$AA$1600,6,FALSE),"Pending"),"Pending")</f>
        <v>46022</v>
      </c>
      <c r="AE956" s="5" t="str">
        <f t="shared" si="320"/>
        <v>P367532</v>
      </c>
      <c r="AF956" s="5" t="str">
        <f t="shared" si="321"/>
        <v>Covia Corp - Guion</v>
      </c>
      <c r="AG956" s="5" t="str">
        <f t="shared" si="322"/>
        <v>USD</v>
      </c>
      <c r="AH956" s="5">
        <f t="shared" si="323"/>
        <v>7133.539738655717</v>
      </c>
      <c r="AI956" s="12">
        <f>IF(L956-N956=0,VLOOKUP(U956,rate!A$4:B$15,2,FALSE)*AH956,IF(AG956="USD",O956,AH956*Y956))</f>
        <v>5177.88</v>
      </c>
      <c r="AJ956" s="13">
        <f t="shared" si="324"/>
        <v>0.72585002533058685</v>
      </c>
      <c r="AK956" s="13">
        <f>-IF(AG956="CAD",IFERROR(VLOOKUP(D956,CAARStatus!$A$1:$Y$1600,16,FALSE),0),0)</f>
        <v>0</v>
      </c>
      <c r="AL956" s="13">
        <f>-IF(AG956="USD",IFERROR(VLOOKUP(D956,CAARStatus!$A$1:$Y$1600,11,FALSE),0),0)</f>
        <v>-5177.88</v>
      </c>
      <c r="AM956" s="22" t="str">
        <f t="shared" si="325"/>
        <v/>
      </c>
      <c r="AN956" s="12">
        <f t="shared" si="326"/>
        <v>0</v>
      </c>
      <c r="AO956" s="12" t="str">
        <f t="shared" si="327"/>
        <v>Yes</v>
      </c>
      <c r="AP956" t="str">
        <f t="shared" si="312"/>
        <v>Yes</v>
      </c>
      <c r="AQ956" t="str">
        <f>IFERROR(VLOOKUP(Z956,InvBal!$L$4:$P$600,4,FALSE),"Pend")</f>
        <v>Pend</v>
      </c>
      <c r="AR956" t="str">
        <f>IFERROR(VLOOKUP(D956,Manual!$C$1:$E$22,2,FALSE),"Pend")</f>
        <v>Pend</v>
      </c>
      <c r="AS956" t="str">
        <f t="shared" si="328"/>
        <v>Yes</v>
      </c>
      <c r="AT956" t="str">
        <f t="shared" si="329"/>
        <v>Yes</v>
      </c>
      <c r="AU956" s="51" t="str">
        <f t="shared" si="330"/>
        <v>Yes</v>
      </c>
      <c r="AV956" s="12">
        <f>IFERROR(VLOOKUP(D956,'Receivable Invoice Detail'!$S$1:$U$3014,3,FALSE),0)</f>
        <v>550.76</v>
      </c>
      <c r="AW956" s="12">
        <f t="shared" si="331"/>
        <v>4627.12</v>
      </c>
    </row>
    <row r="957" spans="1:49" x14ac:dyDescent="0.25">
      <c r="A957" s="2">
        <v>1</v>
      </c>
      <c r="B957" s="2" t="s">
        <v>642</v>
      </c>
      <c r="C957" s="2" t="s">
        <v>643</v>
      </c>
      <c r="D957" s="2" t="s">
        <v>3183</v>
      </c>
      <c r="E957" s="2" t="s">
        <v>644</v>
      </c>
      <c r="F957" s="3">
        <v>45915.621886574067</v>
      </c>
      <c r="G957" s="3">
        <v>45915.623564814807</v>
      </c>
      <c r="H957" s="4">
        <v>45929</v>
      </c>
      <c r="I957" s="2" t="s">
        <v>21</v>
      </c>
      <c r="J957" s="2" t="s">
        <v>51</v>
      </c>
      <c r="K957" s="2">
        <v>0.72197885363302017</v>
      </c>
      <c r="L957" s="2">
        <v>18487.272768219409</v>
      </c>
      <c r="M957" s="2">
        <v>0</v>
      </c>
      <c r="N957" s="2">
        <v>13347.42</v>
      </c>
      <c r="O957" s="2">
        <v>13347.42</v>
      </c>
      <c r="P957" s="2"/>
      <c r="Q957" s="2">
        <v>13347.42</v>
      </c>
      <c r="R957" s="2" t="s">
        <v>44</v>
      </c>
      <c r="S957" s="2"/>
      <c r="T957" s="2">
        <f t="shared" si="313"/>
        <v>1</v>
      </c>
      <c r="U957" s="18">
        <f t="shared" si="314"/>
        <v>9</v>
      </c>
      <c r="V957" s="18">
        <f t="shared" si="315"/>
        <v>2025</v>
      </c>
      <c r="W957" s="18">
        <f t="shared" si="316"/>
        <v>11</v>
      </c>
      <c r="X957" s="18">
        <f t="shared" si="317"/>
        <v>2025</v>
      </c>
      <c r="Y957" s="2">
        <f t="shared" si="310"/>
        <v>0.72197885363302017</v>
      </c>
      <c r="Z957" t="str">
        <f t="shared" si="311"/>
        <v>SO17846</v>
      </c>
      <c r="AA957" s="11">
        <f t="shared" si="318"/>
        <v>45915.621886574067</v>
      </c>
      <c r="AB957" s="5" t="str">
        <f t="shared" si="319"/>
        <v>INV13446</v>
      </c>
      <c r="AC957" s="5" t="str">
        <f>IFERROR(VLOOKUP(D957,CAARStatus!$A$2:$AA$1600,22,FALSE),"Not invoiced")</f>
        <v>Paid</v>
      </c>
      <c r="AD957" s="11">
        <f>IF(AC957="Paid",IFERROR(VLOOKUP(D957,CAARStatus!$A$2:$AA$1600,6,FALSE),"Pending"),"Pending")</f>
        <v>45965</v>
      </c>
      <c r="AE957" s="5" t="str">
        <f t="shared" si="320"/>
        <v>P-91625</v>
      </c>
      <c r="AF957" s="5" t="str">
        <f t="shared" si="321"/>
        <v>Cartledge &amp; Associates Inc.</v>
      </c>
      <c r="AG957" s="5" t="str">
        <f t="shared" si="322"/>
        <v>USD</v>
      </c>
      <c r="AH957" s="5">
        <f t="shared" si="323"/>
        <v>18487.272768219409</v>
      </c>
      <c r="AI957" s="12">
        <f>IF(L957-N957=0,VLOOKUP(U957,rate!A$4:B$15,2,FALSE)*AH957,IF(AG957="USD",O957,AH957*Y957))</f>
        <v>13347.42</v>
      </c>
      <c r="AJ957" s="13">
        <f t="shared" si="324"/>
        <v>0.72197885363302017</v>
      </c>
      <c r="AK957" s="13">
        <f>-IF(AG957="CAD",IFERROR(VLOOKUP(D957,CAARStatus!$A$1:$Y$1600,16,FALSE),0),0)</f>
        <v>0</v>
      </c>
      <c r="AL957" s="13">
        <f>-IF(AG957="USD",IFERROR(VLOOKUP(D957,CAARStatus!$A$1:$Y$1600,11,FALSE),0),0)</f>
        <v>-13347.42</v>
      </c>
      <c r="AM957" s="22" t="str">
        <f t="shared" si="325"/>
        <v/>
      </c>
      <c r="AN957" s="12">
        <f t="shared" si="326"/>
        <v>0</v>
      </c>
      <c r="AO957" s="12" t="str">
        <f t="shared" si="327"/>
        <v>Yes</v>
      </c>
      <c r="AP957" t="str">
        <f t="shared" si="312"/>
        <v>Yes</v>
      </c>
      <c r="AQ957" t="str">
        <f>IFERROR(VLOOKUP(Z957,InvBal!$L$4:$P$600,4,FALSE),"Pend")</f>
        <v>Pend</v>
      </c>
      <c r="AR957" t="str">
        <f>IFERROR(VLOOKUP(D957,Manual!$C$1:$E$22,2,FALSE),"Pend")</f>
        <v>Pend</v>
      </c>
      <c r="AS957" t="str">
        <f t="shared" si="328"/>
        <v>Yes</v>
      </c>
      <c r="AT957" t="str">
        <f t="shared" si="329"/>
        <v>Yes</v>
      </c>
      <c r="AU957" s="51" t="str">
        <f t="shared" si="330"/>
        <v>Yes</v>
      </c>
      <c r="AV957" s="12">
        <f>IFERROR(VLOOKUP(D957,'Receivable Invoice Detail'!$S$1:$U$3014,3,FALSE),0)</f>
        <v>794</v>
      </c>
      <c r="AW957" s="12">
        <f t="shared" si="331"/>
        <v>12553.42</v>
      </c>
    </row>
    <row r="958" spans="1:49" x14ac:dyDescent="0.25">
      <c r="A958" s="2">
        <v>1</v>
      </c>
      <c r="B958" s="2" t="s">
        <v>628</v>
      </c>
      <c r="C958" s="2" t="s">
        <v>629</v>
      </c>
      <c r="D958" s="2" t="s">
        <v>3191</v>
      </c>
      <c r="E958" s="2" t="s">
        <v>630</v>
      </c>
      <c r="F958" s="3">
        <v>45915.639560185176</v>
      </c>
      <c r="G958" s="3">
        <v>45916.423993055563</v>
      </c>
      <c r="H958" s="4">
        <v>45916</v>
      </c>
      <c r="I958" s="2" t="s">
        <v>21</v>
      </c>
      <c r="J958" s="2" t="s">
        <v>22</v>
      </c>
      <c r="K958" s="2">
        <v>1</v>
      </c>
      <c r="L958" s="2">
        <v>10279.969999999999</v>
      </c>
      <c r="M958" s="2">
        <v>0</v>
      </c>
      <c r="N958" s="2">
        <v>7477.8722630532384</v>
      </c>
      <c r="O958" s="2">
        <v>9790.4500000000007</v>
      </c>
      <c r="P958" s="2">
        <v>489.52</v>
      </c>
      <c r="Q958" s="2">
        <v>10279.969999999999</v>
      </c>
      <c r="R958" s="2" t="s">
        <v>44</v>
      </c>
      <c r="S958" s="2"/>
      <c r="T958" s="2">
        <f t="shared" si="313"/>
        <v>1</v>
      </c>
      <c r="U958" s="18">
        <f t="shared" si="314"/>
        <v>9</v>
      </c>
      <c r="V958" s="18">
        <f t="shared" si="315"/>
        <v>2025</v>
      </c>
      <c r="W958" s="18">
        <f t="shared" si="316"/>
        <v>11</v>
      </c>
      <c r="X958" s="18">
        <f t="shared" si="317"/>
        <v>2025</v>
      </c>
      <c r="Y958" s="2">
        <f t="shared" si="310"/>
        <v>0.72742160366744635</v>
      </c>
      <c r="Z958" t="str">
        <f t="shared" si="311"/>
        <v>SO17847</v>
      </c>
      <c r="AA958" s="11">
        <f t="shared" si="318"/>
        <v>45915.639560185176</v>
      </c>
      <c r="AB958" s="5" t="str">
        <f t="shared" si="319"/>
        <v>INV13402</v>
      </c>
      <c r="AC958" s="5" t="str">
        <f>IFERROR(VLOOKUP(D958,CAARStatus!$A$2:$AA$1600,22,FALSE),"Not invoiced")</f>
        <v>Paid</v>
      </c>
      <c r="AD958" s="11">
        <f>IF(AC958="Paid",IFERROR(VLOOKUP(D958,CAARStatus!$A$2:$AA$1600,6,FALSE),"Pending"),"Pending")</f>
        <v>45975</v>
      </c>
      <c r="AE958" s="5" t="str">
        <f t="shared" si="320"/>
        <v>63-02846</v>
      </c>
      <c r="AF958" s="5" t="str">
        <f t="shared" si="321"/>
        <v>Quality Concrete Inc.</v>
      </c>
      <c r="AG958" s="5" t="str">
        <f t="shared" si="322"/>
        <v>CAD</v>
      </c>
      <c r="AH958" s="5">
        <f t="shared" si="323"/>
        <v>9790.4500000000007</v>
      </c>
      <c r="AI958" s="12">
        <f>IF(L958-N958=0,VLOOKUP(U958,rate!A$4:B$15,2,FALSE)*AH958,IF(AG958="USD",O958,AH958*Y958))</f>
        <v>7121.7848396259506</v>
      </c>
      <c r="AJ958" s="13">
        <f t="shared" si="324"/>
        <v>0.72742160366744635</v>
      </c>
      <c r="AK958" s="13">
        <f>-IF(AG958="CAD",IFERROR(VLOOKUP(D958,CAARStatus!$A$1:$Y$1600,16,FALSE),0),0)</f>
        <v>-9790.4500000000007</v>
      </c>
      <c r="AL958" s="13">
        <f>-IF(AG958="USD",IFERROR(VLOOKUP(D958,CAARStatus!$A$1:$Y$1600,11,FALSE),0),0)</f>
        <v>0</v>
      </c>
      <c r="AM958" s="22">
        <f t="shared" si="325"/>
        <v>0</v>
      </c>
      <c r="AN958" s="12" t="str">
        <f t="shared" si="326"/>
        <v/>
      </c>
      <c r="AO958" s="12" t="str">
        <f t="shared" si="327"/>
        <v>Yes</v>
      </c>
      <c r="AP958" t="str">
        <f t="shared" si="312"/>
        <v>Yes</v>
      </c>
      <c r="AQ958" t="str">
        <f>IFERROR(VLOOKUP(Z958,InvBal!$L$4:$P$600,4,FALSE),"Pend")</f>
        <v>Pend</v>
      </c>
      <c r="AR958" t="str">
        <f>IFERROR(VLOOKUP(D958,Manual!$C$1:$E$22,2,FALSE),"Pend")</f>
        <v>Pend</v>
      </c>
      <c r="AS958" t="str">
        <f t="shared" si="328"/>
        <v>Yes</v>
      </c>
      <c r="AT958" t="str">
        <f t="shared" si="329"/>
        <v>Yes</v>
      </c>
      <c r="AU958" s="51" t="str">
        <f t="shared" si="330"/>
        <v>Yes</v>
      </c>
      <c r="AV958" s="12">
        <f>IFERROR(VLOOKUP(D958,'Receivable Invoice Detail'!$S$1:$U$3014,3,FALSE),0)</f>
        <v>0</v>
      </c>
      <c r="AW958" s="12">
        <f t="shared" si="331"/>
        <v>7121.7848396259506</v>
      </c>
    </row>
    <row r="959" spans="1:49" ht="30" x14ac:dyDescent="0.25">
      <c r="A959" s="2">
        <v>1</v>
      </c>
      <c r="B959" s="2" t="s">
        <v>603</v>
      </c>
      <c r="C959" s="2" t="s">
        <v>604</v>
      </c>
      <c r="D959" s="2" t="s">
        <v>3203</v>
      </c>
      <c r="E959" s="2" t="s">
        <v>35</v>
      </c>
      <c r="F959" s="3">
        <v>45915.665092592593</v>
      </c>
      <c r="G959" s="3">
        <v>45919.606666666667</v>
      </c>
      <c r="H959" s="4">
        <v>45922</v>
      </c>
      <c r="I959" s="2" t="s">
        <v>40</v>
      </c>
      <c r="J959" s="2" t="s">
        <v>22</v>
      </c>
      <c r="K959" s="2">
        <v>1</v>
      </c>
      <c r="L959" s="2">
        <v>1471.51</v>
      </c>
      <c r="M959" s="2">
        <v>0</v>
      </c>
      <c r="N959" s="2">
        <v>1068.50590842515</v>
      </c>
      <c r="O959" s="2">
        <v>1401.44</v>
      </c>
      <c r="P959" s="2">
        <v>70.069999999999993</v>
      </c>
      <c r="Q959" s="2">
        <v>1471.51</v>
      </c>
      <c r="R959" s="2" t="s">
        <v>44</v>
      </c>
      <c r="S959" s="2"/>
      <c r="T959" s="2">
        <f t="shared" si="313"/>
        <v>1</v>
      </c>
      <c r="U959" s="18">
        <f t="shared" si="314"/>
        <v>9</v>
      </c>
      <c r="V959" s="18">
        <f t="shared" si="315"/>
        <v>2025</v>
      </c>
      <c r="W959" s="18" t="str">
        <f t="shared" si="316"/>
        <v/>
      </c>
      <c r="X959" s="18" t="str">
        <f t="shared" si="317"/>
        <v/>
      </c>
      <c r="Y959" s="2">
        <f t="shared" si="310"/>
        <v>0.72612888014702581</v>
      </c>
      <c r="Z959" t="str">
        <f t="shared" si="311"/>
        <v>SO17848</v>
      </c>
      <c r="AA959" s="11">
        <f t="shared" si="318"/>
        <v>45915.665092592593</v>
      </c>
      <c r="AB959" s="5" t="str">
        <f t="shared" si="319"/>
        <v>INV13435</v>
      </c>
      <c r="AC959" s="5" t="str">
        <f>IFERROR(VLOOKUP(D959,CAARStatus!$A$2:$AA$1600,22,FALSE),"Not invoiced")</f>
        <v>Not invoiced</v>
      </c>
      <c r="AD959" s="11" t="str">
        <f>IF(AC959="Paid",IFERROR(VLOOKUP(D959,CAARStatus!$A$2:$AA$1600,6,FALSE),"Pending"),"Pending")</f>
        <v>Pending</v>
      </c>
      <c r="AE959" s="5" t="str">
        <f t="shared" si="320"/>
        <v>PO14009</v>
      </c>
      <c r="AF959" s="5" t="str">
        <f t="shared" si="321"/>
        <v>Manufacture Sling-Choker (Val-d’Or) Ltée</v>
      </c>
      <c r="AG959" s="5" t="str">
        <f t="shared" si="322"/>
        <v>CAD</v>
      </c>
      <c r="AH959" s="5">
        <f t="shared" si="323"/>
        <v>1401.44</v>
      </c>
      <c r="AI959" s="12">
        <f>IF(L959-N959=0,VLOOKUP(U959,rate!A$4:B$15,2,FALSE)*AH959,IF(AG959="USD",O959,AH959*Y959))</f>
        <v>1017.6260577932479</v>
      </c>
      <c r="AJ959" s="13">
        <f t="shared" si="324"/>
        <v>0.72612888014702581</v>
      </c>
      <c r="AK959" s="13">
        <f>-IF(AG959="CAD",IFERROR(VLOOKUP(D959,CAARStatus!$A$1:$Y$1600,16,FALSE),0),0)</f>
        <v>0</v>
      </c>
      <c r="AL959" s="13">
        <f>-IF(AG959="USD",IFERROR(VLOOKUP(D959,CAARStatus!$A$1:$Y$1600,11,FALSE),0),0)</f>
        <v>0</v>
      </c>
      <c r="AM959" s="22">
        <f t="shared" si="325"/>
        <v>1401.44</v>
      </c>
      <c r="AN959" s="12" t="str">
        <f t="shared" si="326"/>
        <v/>
      </c>
      <c r="AO959" s="12" t="str">
        <f t="shared" si="327"/>
        <v>Pend</v>
      </c>
      <c r="AP959" t="str">
        <f t="shared" si="312"/>
        <v>Pend</v>
      </c>
      <c r="AQ959" t="str">
        <f>IFERROR(VLOOKUP(Z959,InvBal!$L$4:$P$600,4,FALSE),"Pend")</f>
        <v>Pend</v>
      </c>
      <c r="AR959" t="str">
        <f>IFERROR(VLOOKUP(D959,Manual!$C$1:$E$22,2,FALSE),"Pend")</f>
        <v>Pend</v>
      </c>
      <c r="AS959" t="str">
        <f t="shared" si="328"/>
        <v/>
      </c>
      <c r="AT959" t="str">
        <f t="shared" si="329"/>
        <v>Yes</v>
      </c>
      <c r="AU959" s="51" t="str">
        <f t="shared" si="330"/>
        <v/>
      </c>
      <c r="AV959" s="12">
        <f>IFERROR(VLOOKUP(D959,'Receivable Invoice Detail'!$S$1:$U$3014,3,FALSE),0)</f>
        <v>0</v>
      </c>
      <c r="AW959" s="12">
        <f t="shared" si="331"/>
        <v>0</v>
      </c>
    </row>
    <row r="960" spans="1:49" ht="30" x14ac:dyDescent="0.25">
      <c r="A960" s="2">
        <v>1</v>
      </c>
      <c r="B960" s="2" t="s">
        <v>641</v>
      </c>
      <c r="C960" s="2"/>
      <c r="D960" s="2" t="s">
        <v>3184</v>
      </c>
      <c r="E960" s="2" t="s">
        <v>129</v>
      </c>
      <c r="F960" s="3">
        <v>45915.67869212963</v>
      </c>
      <c r="G960" s="3">
        <v>45915.67728009259</v>
      </c>
      <c r="H960" s="4">
        <v>45971</v>
      </c>
      <c r="I960" s="2" t="s">
        <v>328</v>
      </c>
      <c r="J960" s="2" t="s">
        <v>51</v>
      </c>
      <c r="K960" s="2">
        <v>0.72197885363302017</v>
      </c>
      <c r="L960" s="2">
        <v>2659.3576672481472</v>
      </c>
      <c r="M960" s="2">
        <v>0</v>
      </c>
      <c r="N960" s="2">
        <v>1920</v>
      </c>
      <c r="O960" s="2">
        <v>1920</v>
      </c>
      <c r="P960" s="2"/>
      <c r="Q960" s="2">
        <v>1920</v>
      </c>
      <c r="R960" s="2" t="s">
        <v>44</v>
      </c>
      <c r="S960" s="2"/>
      <c r="T960" s="2">
        <f t="shared" si="313"/>
        <v>1</v>
      </c>
      <c r="U960" s="18">
        <f t="shared" si="314"/>
        <v>9</v>
      </c>
      <c r="V960" s="18">
        <f t="shared" si="315"/>
        <v>2025</v>
      </c>
      <c r="W960" s="18" t="str">
        <f t="shared" si="316"/>
        <v/>
      </c>
      <c r="X960" s="18" t="str">
        <f t="shared" si="317"/>
        <v/>
      </c>
      <c r="Y960" s="2">
        <f t="shared" si="310"/>
        <v>0.72612888014702581</v>
      </c>
      <c r="Z960" t="str">
        <f t="shared" si="311"/>
        <v>SO17849</v>
      </c>
      <c r="AA960" s="11">
        <f t="shared" si="318"/>
        <v>45915.67869212963</v>
      </c>
      <c r="AB960" s="5" t="str">
        <f t="shared" si="319"/>
        <v>INV13685</v>
      </c>
      <c r="AC960" s="5" t="str">
        <f>IFERROR(VLOOKUP(D960,CAARStatus!$A$2:$AA$1600,22,FALSE),"Not invoiced")</f>
        <v>Approved</v>
      </c>
      <c r="AD960" s="11" t="str">
        <f>IF(AC960="Paid",IFERROR(VLOOKUP(D960,CAARStatus!$A$2:$AA$1600,6,FALSE),"Pending"),"Pending")</f>
        <v>Pending</v>
      </c>
      <c r="AE960" s="5" t="str">
        <f t="shared" si="320"/>
        <v>PO14009</v>
      </c>
      <c r="AF960" s="5" t="str">
        <f t="shared" si="321"/>
        <v>Dynapro Pumps México S de RL de CV</v>
      </c>
      <c r="AG960" s="5" t="str">
        <f t="shared" si="322"/>
        <v>USD</v>
      </c>
      <c r="AH960" s="5">
        <f t="shared" si="323"/>
        <v>2659.3576672481472</v>
      </c>
      <c r="AI960" s="12">
        <f>IF(L960-N960=0,VLOOKUP(U960,rate!A$4:B$15,2,FALSE)*AH960,IF(AG960="USD",O960,AH960*Y960))</f>
        <v>1920</v>
      </c>
      <c r="AJ960" s="13">
        <f t="shared" si="324"/>
        <v>0.72197885363302017</v>
      </c>
      <c r="AK960" s="13">
        <f>-IF(AG960="CAD",IFERROR(VLOOKUP(D960,CAARStatus!$A$1:$Y$1600,16,FALSE),0),0)</f>
        <v>0</v>
      </c>
      <c r="AL960" s="13">
        <f>-IF(AG960="USD",IFERROR(VLOOKUP(D960,CAARStatus!$A$1:$Y$1600,11,FALSE),0),0)</f>
        <v>-1920</v>
      </c>
      <c r="AM960" s="22" t="str">
        <f t="shared" si="325"/>
        <v/>
      </c>
      <c r="AN960" s="12">
        <f t="shared" si="326"/>
        <v>0</v>
      </c>
      <c r="AO960" s="12" t="str">
        <f t="shared" si="327"/>
        <v>Pend</v>
      </c>
      <c r="AP960" t="str">
        <f t="shared" si="312"/>
        <v>Pend</v>
      </c>
      <c r="AQ960" t="str">
        <f>IFERROR(VLOOKUP(Z960,InvBal!$L$4:$P$600,4,FALSE),"Pend")</f>
        <v>Pend</v>
      </c>
      <c r="AR960" t="str">
        <f>IFERROR(VLOOKUP(D960,Manual!$C$1:$E$22,2,FALSE),"Pend")</f>
        <v>Pend</v>
      </c>
      <c r="AS960" t="str">
        <f t="shared" si="328"/>
        <v/>
      </c>
      <c r="AT960" t="str">
        <f t="shared" si="329"/>
        <v>Yes</v>
      </c>
      <c r="AU960" s="51" t="str">
        <f t="shared" si="330"/>
        <v/>
      </c>
      <c r="AV960" s="12">
        <f>IFERROR(VLOOKUP(D960,'Receivable Invoice Detail'!$S$1:$U$3014,3,FALSE),0)</f>
        <v>0</v>
      </c>
      <c r="AW960" s="12">
        <f t="shared" si="331"/>
        <v>0</v>
      </c>
    </row>
    <row r="961" spans="1:49" ht="30" x14ac:dyDescent="0.25">
      <c r="A961" s="2">
        <v>1</v>
      </c>
      <c r="B961" s="2" t="s">
        <v>637</v>
      </c>
      <c r="C961" s="2" t="s">
        <v>638</v>
      </c>
      <c r="D961" s="2" t="s">
        <v>3186</v>
      </c>
      <c r="E961" s="2" t="s">
        <v>20</v>
      </c>
      <c r="F961" s="3">
        <v>45915.765023148153</v>
      </c>
      <c r="G961" s="3">
        <v>45915.765185185177</v>
      </c>
      <c r="H961" s="4">
        <v>45922</v>
      </c>
      <c r="I961" s="2" t="s">
        <v>36</v>
      </c>
      <c r="J961" s="2" t="s">
        <v>22</v>
      </c>
      <c r="K961" s="2">
        <v>1</v>
      </c>
      <c r="L961" s="2">
        <v>109.1</v>
      </c>
      <c r="M961" s="2">
        <v>0</v>
      </c>
      <c r="N961" s="2">
        <v>79.066445929934858</v>
      </c>
      <c r="O961" s="2">
        <v>103.9</v>
      </c>
      <c r="P961" s="2">
        <v>5.2</v>
      </c>
      <c r="Q961" s="2">
        <v>109.1</v>
      </c>
      <c r="R961" s="2" t="s">
        <v>44</v>
      </c>
      <c r="S961" s="2"/>
      <c r="T961" s="2">
        <f t="shared" si="313"/>
        <v>1</v>
      </c>
      <c r="U961" s="18">
        <f t="shared" si="314"/>
        <v>9</v>
      </c>
      <c r="V961" s="18">
        <f t="shared" si="315"/>
        <v>2025</v>
      </c>
      <c r="W961" s="18">
        <f t="shared" si="316"/>
        <v>11</v>
      </c>
      <c r="X961" s="18">
        <f t="shared" si="317"/>
        <v>2025</v>
      </c>
      <c r="Y961" s="2">
        <f t="shared" si="310"/>
        <v>0.72471536141095194</v>
      </c>
      <c r="Z961" t="str">
        <f t="shared" si="311"/>
        <v>SO17850</v>
      </c>
      <c r="AA961" s="11">
        <f t="shared" si="318"/>
        <v>45915.765023148153</v>
      </c>
      <c r="AB961" s="5" t="str">
        <f t="shared" si="319"/>
        <v>INV13418</v>
      </c>
      <c r="AC961" s="5" t="str">
        <f>IFERROR(VLOOKUP(D961,CAARStatus!$A$2:$AA$1600,22,FALSE),"Not invoiced")</f>
        <v>Paid</v>
      </c>
      <c r="AD961" s="11">
        <f>IF(AC961="Paid",IFERROR(VLOOKUP(D961,CAARStatus!$A$2:$AA$1600,6,FALSE),"Pending"),"Pending")</f>
        <v>45979</v>
      </c>
      <c r="AE961" s="5" t="str">
        <f t="shared" si="320"/>
        <v>4500613310</v>
      </c>
      <c r="AF961" s="5" t="str">
        <f t="shared" si="321"/>
        <v>Resolute Forest Products - Saint-Felicien</v>
      </c>
      <c r="AG961" s="5" t="str">
        <f t="shared" si="322"/>
        <v>CAD</v>
      </c>
      <c r="AH961" s="5">
        <f t="shared" si="323"/>
        <v>103.9</v>
      </c>
      <c r="AI961" s="12">
        <f>IF(L961-N961=0,VLOOKUP(U961,rate!A$4:B$15,2,FALSE)*AH961,IF(AG961="USD",O961,AH961*Y961))</f>
        <v>75.297926050597908</v>
      </c>
      <c r="AJ961" s="13">
        <f t="shared" si="324"/>
        <v>0.72471536141095194</v>
      </c>
      <c r="AK961" s="13">
        <f>-IF(AG961="CAD",IFERROR(VLOOKUP(D961,CAARStatus!$A$1:$Y$1600,16,FALSE),0),0)</f>
        <v>-103.9</v>
      </c>
      <c r="AL961" s="13">
        <f>-IF(AG961="USD",IFERROR(VLOOKUP(D961,CAARStatus!$A$1:$Y$1600,11,FALSE),0),0)</f>
        <v>0</v>
      </c>
      <c r="AM961" s="22">
        <f t="shared" si="325"/>
        <v>0</v>
      </c>
      <c r="AN961" s="12" t="str">
        <f t="shared" si="326"/>
        <v/>
      </c>
      <c r="AO961" s="12" t="str">
        <f t="shared" si="327"/>
        <v>Yes</v>
      </c>
      <c r="AP961" t="str">
        <f t="shared" si="312"/>
        <v>Yes</v>
      </c>
      <c r="AQ961" t="str">
        <f>IFERROR(VLOOKUP(Z961,InvBal!$L$4:$P$600,4,FALSE),"Pend")</f>
        <v>Pend</v>
      </c>
      <c r="AR961" t="str">
        <f>IFERROR(VLOOKUP(D961,Manual!$C$1:$E$22,2,FALSE),"Pend")</f>
        <v>Pend</v>
      </c>
      <c r="AS961" t="str">
        <f t="shared" si="328"/>
        <v>Yes</v>
      </c>
      <c r="AT961" t="str">
        <f t="shared" si="329"/>
        <v>Yes</v>
      </c>
      <c r="AU961" s="51" t="str">
        <f t="shared" si="330"/>
        <v>Yes</v>
      </c>
      <c r="AV961" s="12">
        <f>IFERROR(VLOOKUP(D961,'Receivable Invoice Detail'!$S$1:$U$3014,3,FALSE),0)</f>
        <v>0</v>
      </c>
      <c r="AW961" s="12">
        <f t="shared" si="331"/>
        <v>75.297926050597908</v>
      </c>
    </row>
    <row r="962" spans="1:49" ht="30" x14ac:dyDescent="0.25">
      <c r="A962" s="2">
        <v>0</v>
      </c>
      <c r="B962" s="2" t="s">
        <v>6175</v>
      </c>
      <c r="C962" s="2" t="s">
        <v>6176</v>
      </c>
      <c r="D962" s="2"/>
      <c r="E962" s="2" t="s">
        <v>232</v>
      </c>
      <c r="F962" s="3">
        <v>45915.895682870367</v>
      </c>
      <c r="G962" s="3">
        <v>46028.502557870372</v>
      </c>
      <c r="H962" s="4">
        <v>46084</v>
      </c>
      <c r="I962" s="2" t="s">
        <v>180</v>
      </c>
      <c r="J962" s="2" t="s">
        <v>51</v>
      </c>
      <c r="K962" s="2">
        <v>0.7282990074408402</v>
      </c>
      <c r="L962" s="2">
        <v>72398.505917616654</v>
      </c>
      <c r="M962" s="2">
        <v>0</v>
      </c>
      <c r="N962" s="2">
        <v>52727.76</v>
      </c>
      <c r="O962" s="2">
        <v>52727.76</v>
      </c>
      <c r="P962" s="2"/>
      <c r="Q962" s="2">
        <v>52727.76</v>
      </c>
      <c r="R962" s="2" t="s">
        <v>29</v>
      </c>
      <c r="S962" s="2"/>
      <c r="T962" s="2">
        <f t="shared" si="313"/>
        <v>0</v>
      </c>
      <c r="U962" s="18">
        <f t="shared" si="314"/>
        <v>9</v>
      </c>
      <c r="V962" s="18">
        <f t="shared" si="315"/>
        <v>2025</v>
      </c>
      <c r="W962" s="18" t="str">
        <f t="shared" si="316"/>
        <v/>
      </c>
      <c r="X962" s="18" t="str">
        <f t="shared" si="317"/>
        <v/>
      </c>
      <c r="Y962" s="2">
        <f t="shared" ref="Y962:Y1025" si="332">IF(C962="",Y961,N962/L962)</f>
        <v>0.7282990074408402</v>
      </c>
      <c r="Z962" t="str">
        <f t="shared" ref="Z962:Z1025" si="333">IF(B962="",Z961,B962)</f>
        <v>SO17851</v>
      </c>
      <c r="AA962" s="11">
        <f t="shared" si="318"/>
        <v>45915.895682870367</v>
      </c>
      <c r="AB962" s="5" t="str">
        <f t="shared" si="319"/>
        <v>No Inv</v>
      </c>
      <c r="AC962" s="5" t="str">
        <f>IFERROR(VLOOKUP(D962,CAARStatus!$A$2:$AA$1600,22,FALSE),"Not invoiced")</f>
        <v>Not invoiced</v>
      </c>
      <c r="AD962" s="11" t="str">
        <f>IF(AC962="Paid",IFERROR(VLOOKUP(D962,CAARStatus!$A$2:$AA$1600,6,FALSE),"Pending"),"Pending")</f>
        <v>Pending</v>
      </c>
      <c r="AE962" s="5" t="str">
        <f t="shared" si="320"/>
        <v>2258361</v>
      </c>
      <c r="AF962" s="5" t="str">
        <f t="shared" si="321"/>
        <v>Zijin Mining - Rosebel Goldmines N.V.</v>
      </c>
      <c r="AG962" s="5" t="str">
        <f t="shared" si="322"/>
        <v>USD</v>
      </c>
      <c r="AH962" s="5">
        <f t="shared" si="323"/>
        <v>72398.505917616654</v>
      </c>
      <c r="AI962" s="12">
        <f>IF(L962-N962=0,VLOOKUP(U962,rate!A$4:B$15,2,FALSE)*AH962,IF(AG962="USD",O962,AH962*Y962))</f>
        <v>52727.76</v>
      </c>
      <c r="AJ962" s="13">
        <f t="shared" si="324"/>
        <v>0.7282990074408402</v>
      </c>
      <c r="AK962" s="13">
        <f>-IF(AG962="CAD",IFERROR(VLOOKUP(D962,CAARStatus!$A$1:$Y$1600,16,FALSE),0),0)</f>
        <v>0</v>
      </c>
      <c r="AL962" s="13">
        <f>-IF(AG962="USD",IFERROR(VLOOKUP(D962,CAARStatus!$A$1:$Y$1600,11,FALSE),0),0)</f>
        <v>0</v>
      </c>
      <c r="AM962" s="22" t="str">
        <f t="shared" si="325"/>
        <v/>
      </c>
      <c r="AN962" s="12">
        <f t="shared" si="326"/>
        <v>52727.76</v>
      </c>
      <c r="AO962" s="12" t="str">
        <f t="shared" si="327"/>
        <v>Pend</v>
      </c>
      <c r="AP962" t="str">
        <f t="shared" ref="AP962:AP1025" si="334">IF(AND(AO962="Pend",T962&lt;2),"Pend",IF(T962=1,"Yes","XX"))</f>
        <v>Pend</v>
      </c>
      <c r="AQ962" t="str">
        <f>IFERROR(VLOOKUP(Z962,InvBal!$L$4:$P$600,4,FALSE),"Pend")</f>
        <v>Pend</v>
      </c>
      <c r="AR962" t="str">
        <f>IFERROR(VLOOKUP(D962,Manual!$C$1:$E$22,2,FALSE),"Pend")</f>
        <v>Pend</v>
      </c>
      <c r="AS962" t="str">
        <f t="shared" si="328"/>
        <v/>
      </c>
      <c r="AT962" t="str">
        <f t="shared" si="329"/>
        <v/>
      </c>
      <c r="AU962" s="51" t="str">
        <f t="shared" si="330"/>
        <v/>
      </c>
      <c r="AV962" s="12">
        <f>IFERROR(VLOOKUP(D962,'Receivable Invoice Detail'!$S$1:$U$3014,3,FALSE),0)</f>
        <v>0</v>
      </c>
      <c r="AW962" s="12">
        <f t="shared" si="331"/>
        <v>0</v>
      </c>
    </row>
    <row r="963" spans="1:49" ht="30" x14ac:dyDescent="0.25">
      <c r="A963" s="2">
        <v>1</v>
      </c>
      <c r="B963" s="2" t="s">
        <v>574</v>
      </c>
      <c r="C963" s="2" t="s">
        <v>575</v>
      </c>
      <c r="D963" s="2" t="s">
        <v>3214</v>
      </c>
      <c r="E963" s="2" t="s">
        <v>576</v>
      </c>
      <c r="F963" s="3">
        <v>45916.514791666668</v>
      </c>
      <c r="G963" s="3">
        <v>45924.40221064815</v>
      </c>
      <c r="H963" s="4">
        <v>45931</v>
      </c>
      <c r="I963" s="2" t="s">
        <v>40</v>
      </c>
      <c r="J963" s="2" t="s">
        <v>22</v>
      </c>
      <c r="K963" s="2">
        <v>1</v>
      </c>
      <c r="L963" s="2">
        <v>2918.83</v>
      </c>
      <c r="M963" s="2">
        <v>0</v>
      </c>
      <c r="N963" s="2">
        <v>2100.5678939757681</v>
      </c>
      <c r="O963" s="2">
        <v>2779.84</v>
      </c>
      <c r="P963" s="2">
        <v>138.99</v>
      </c>
      <c r="Q963" s="2">
        <v>2918.83</v>
      </c>
      <c r="R963" s="2" t="s">
        <v>44</v>
      </c>
      <c r="S963" s="2"/>
      <c r="T963" s="2">
        <f t="shared" ref="T963:T1026" si="335">IF(A963="",T962,A963)</f>
        <v>1</v>
      </c>
      <c r="U963" s="18">
        <f t="shared" ref="U963:U1026" si="336">IF(F963="",U962,MONTH(F963))</f>
        <v>9</v>
      </c>
      <c r="V963" s="18">
        <f t="shared" ref="V963:V1026" si="337">IF(F963="",V962,YEAR(F963))</f>
        <v>2025</v>
      </c>
      <c r="W963" s="18">
        <f t="shared" ref="W963:W1026" si="338">IF(AC963="Paid",MONTH(AD963),"")</f>
        <v>11</v>
      </c>
      <c r="X963" s="18">
        <f t="shared" ref="X963:X1026" si="339">IF(AC963="Paid",YEAR(AD963),"")</f>
        <v>2025</v>
      </c>
      <c r="Y963" s="2">
        <f t="shared" si="332"/>
        <v>0.71966092371798573</v>
      </c>
      <c r="Z963" t="str">
        <f t="shared" si="333"/>
        <v>SO17854</v>
      </c>
      <c r="AA963" s="11">
        <f t="shared" ref="AA963:AA1026" si="340">IF(F963="",AA962,F963)</f>
        <v>45916.514791666668</v>
      </c>
      <c r="AB963" s="5" t="str">
        <f t="shared" ref="AB963:AB1026" si="341">IF(D963="","No Inv",D963)</f>
        <v>INV13472</v>
      </c>
      <c r="AC963" s="5" t="str">
        <f>IFERROR(VLOOKUP(D963,CAARStatus!$A$2:$AA$1600,22,FALSE),"Not invoiced")</f>
        <v>Paid</v>
      </c>
      <c r="AD963" s="11">
        <f>IF(AC963="Paid",IFERROR(VLOOKUP(D963,CAARStatus!$A$2:$AA$1600,6,FALSE),"Pending"),"Pending")</f>
        <v>45982</v>
      </c>
      <c r="AE963" s="5" t="str">
        <f t="shared" ref="AE963:AE1026" si="342">IF(C963="",AE962,C963)</f>
        <v>10603</v>
      </c>
      <c r="AF963" s="5" t="str">
        <f t="shared" ref="AF963:AF1026" si="343">IF(E963="",AF962,E963)</f>
        <v>Canadian Industrial Pumps Ltd, Canadian Industrial Pumps Ltd</v>
      </c>
      <c r="AG963" s="5" t="str">
        <f t="shared" ref="AG963:AG1026" si="344">IF(J963="",AG962,J963)</f>
        <v>CAD</v>
      </c>
      <c r="AH963" s="5">
        <f t="shared" ref="AH963:AH1026" si="345">IFERROR(IF(AG963="CAD",O963,O963/K963),0)</f>
        <v>2779.84</v>
      </c>
      <c r="AI963" s="12">
        <f>IF(L963-N963=0,VLOOKUP(U963,rate!A$4:B$15,2,FALSE)*AH963,IF(AG963="USD",O963,AH963*Y963))</f>
        <v>2000.5422221882056</v>
      </c>
      <c r="AJ963" s="13">
        <f t="shared" ref="AJ963:AJ1026" si="346">IFERROR(AI963/AH963,0)</f>
        <v>0.71966092371798573</v>
      </c>
      <c r="AK963" s="13">
        <f>-IF(AG963="CAD",IFERROR(VLOOKUP(D963,CAARStatus!$A$1:$Y$1600,16,FALSE),0),0)</f>
        <v>-2779.84</v>
      </c>
      <c r="AL963" s="13">
        <f>-IF(AG963="USD",IFERROR(VLOOKUP(D963,CAARStatus!$A$1:$Y$1600,11,FALSE),0),0)</f>
        <v>0</v>
      </c>
      <c r="AM963" s="22">
        <f t="shared" ref="AM963:AM1026" si="347">IF(AG963="CAD",AH963+AK963,"")</f>
        <v>0</v>
      </c>
      <c r="AN963" s="12" t="str">
        <f t="shared" ref="AN963:AN1026" si="348">IF(AG963="USD",AI963+AL963,"")</f>
        <v/>
      </c>
      <c r="AO963" s="12" t="str">
        <f t="shared" ref="AO963:AO1026" si="349">IF(AC963="Paid","Yes","Pend")</f>
        <v>Yes</v>
      </c>
      <c r="AP963" t="str">
        <f t="shared" si="334"/>
        <v>Yes</v>
      </c>
      <c r="AQ963" t="str">
        <f>IFERROR(VLOOKUP(Z963,InvBal!$L$4:$P$600,4,FALSE),"Pend")</f>
        <v>Pend</v>
      </c>
      <c r="AR963" t="str">
        <f>IFERROR(VLOOKUP(D963,Manual!$C$1:$E$22,2,FALSE),"Pend")</f>
        <v>Pend</v>
      </c>
      <c r="AS963" t="str">
        <f t="shared" ref="AS963:AS1026" si="350">IF(OR(AP963="Yes",AQ963="Yes",AR963="Yes"),"Yes","")</f>
        <v>Yes</v>
      </c>
      <c r="AT963" t="str">
        <f t="shared" ref="AT963:AT1026" si="351">IF(R963="Delivered","Yes","")</f>
        <v>Yes</v>
      </c>
      <c r="AU963" s="51" t="str">
        <f t="shared" ref="AU963:AU1026" si="352">IF(AND(AS963="Yes",AT963="Yes"),"Yes","")</f>
        <v>Yes</v>
      </c>
      <c r="AV963" s="12">
        <f>IFERROR(VLOOKUP(D963,'Receivable Invoice Detail'!$S$1:$U$3014,3,FALSE),0)</f>
        <v>0</v>
      </c>
      <c r="AW963" s="12">
        <f t="shared" ref="AW963:AW1026" si="353">IF(AU963="Yes",AI963-AV963,0)</f>
        <v>2000.5422221882056</v>
      </c>
    </row>
    <row r="964" spans="1:49" ht="30" x14ac:dyDescent="0.25">
      <c r="A964" s="2">
        <v>0</v>
      </c>
      <c r="B964" s="2" t="s">
        <v>527</v>
      </c>
      <c r="C964" s="2" t="s">
        <v>528</v>
      </c>
      <c r="D964" s="2"/>
      <c r="E964" s="2" t="s">
        <v>83</v>
      </c>
      <c r="F964" s="3">
        <v>45916.55877314815</v>
      </c>
      <c r="G964" s="3">
        <v>45929.682997685188</v>
      </c>
      <c r="H964" s="4">
        <v>46013</v>
      </c>
      <c r="I964" s="2" t="s">
        <v>21</v>
      </c>
      <c r="J964" s="2" t="s">
        <v>22</v>
      </c>
      <c r="K964" s="2">
        <v>1</v>
      </c>
      <c r="L964" s="2">
        <v>10962.81</v>
      </c>
      <c r="M964" s="2">
        <v>0</v>
      </c>
      <c r="N964" s="2">
        <v>7884.1320713281584</v>
      </c>
      <c r="O964" s="2">
        <v>9701.6</v>
      </c>
      <c r="P964" s="2">
        <v>1261.21</v>
      </c>
      <c r="Q964" s="2">
        <v>10962.81</v>
      </c>
      <c r="R964" s="2" t="s">
        <v>29</v>
      </c>
      <c r="S964" s="2"/>
      <c r="T964" s="2">
        <f t="shared" si="335"/>
        <v>0</v>
      </c>
      <c r="U964" s="18">
        <f t="shared" si="336"/>
        <v>9</v>
      </c>
      <c r="V964" s="18">
        <f t="shared" si="337"/>
        <v>2025</v>
      </c>
      <c r="W964" s="18" t="str">
        <f t="shared" si="338"/>
        <v/>
      </c>
      <c r="X964" s="18" t="str">
        <f t="shared" si="339"/>
        <v/>
      </c>
      <c r="Y964" s="2">
        <f t="shared" si="332"/>
        <v>0.71917073007086307</v>
      </c>
      <c r="Z964" t="str">
        <f t="shared" si="333"/>
        <v>SO17856</v>
      </c>
      <c r="AA964" s="11">
        <f t="shared" si="340"/>
        <v>45916.55877314815</v>
      </c>
      <c r="AB964" s="5" t="str">
        <f t="shared" si="341"/>
        <v>No Inv</v>
      </c>
      <c r="AC964" s="5" t="str">
        <f>IFERROR(VLOOKUP(D964,CAARStatus!$A$2:$AA$1600,22,FALSE),"Not invoiced")</f>
        <v>Not invoiced</v>
      </c>
      <c r="AD964" s="11" t="str">
        <f>IF(AC964="Paid",IFERROR(VLOOKUP(D964,CAARStatus!$A$2:$AA$1600,6,FALSE),"Pending"),"Pending")</f>
        <v>Pending</v>
      </c>
      <c r="AE964" s="5" t="str">
        <f t="shared" si="342"/>
        <v>6500022682</v>
      </c>
      <c r="AF964" s="5" t="str">
        <f t="shared" si="343"/>
        <v>Wesdome Gold Mines Ltd - Eagle River Mine</v>
      </c>
      <c r="AG964" s="5" t="str">
        <f t="shared" si="344"/>
        <v>CAD</v>
      </c>
      <c r="AH964" s="5">
        <f t="shared" si="345"/>
        <v>9701.6</v>
      </c>
      <c r="AI964" s="12">
        <f>IF(L964-N964=0,VLOOKUP(U964,rate!A$4:B$15,2,FALSE)*AH964,IF(AG964="USD",O964,AH964*Y964))</f>
        <v>6977.1067548554856</v>
      </c>
      <c r="AJ964" s="13">
        <f t="shared" si="346"/>
        <v>0.71917073007086307</v>
      </c>
      <c r="AK964" s="13">
        <f>-IF(AG964="CAD",IFERROR(VLOOKUP(D964,CAARStatus!$A$1:$Y$1600,16,FALSE),0),0)</f>
        <v>0</v>
      </c>
      <c r="AL964" s="13">
        <f>-IF(AG964="USD",IFERROR(VLOOKUP(D964,CAARStatus!$A$1:$Y$1600,11,FALSE),0),0)</f>
        <v>0</v>
      </c>
      <c r="AM964" s="22">
        <f t="shared" si="347"/>
        <v>9701.6</v>
      </c>
      <c r="AN964" s="12" t="str">
        <f t="shared" si="348"/>
        <v/>
      </c>
      <c r="AO964" s="12" t="str">
        <f t="shared" si="349"/>
        <v>Pend</v>
      </c>
      <c r="AP964" t="str">
        <f t="shared" si="334"/>
        <v>Pend</v>
      </c>
      <c r="AQ964" t="str">
        <f>IFERROR(VLOOKUP(Z964,InvBal!$L$4:$P$600,4,FALSE),"Pend")</f>
        <v>Pend</v>
      </c>
      <c r="AR964" t="str">
        <f>IFERROR(VLOOKUP(D964,Manual!$C$1:$E$22,2,FALSE),"Pend")</f>
        <v>Pend</v>
      </c>
      <c r="AS964" t="str">
        <f t="shared" si="350"/>
        <v/>
      </c>
      <c r="AT964" t="str">
        <f t="shared" si="351"/>
        <v/>
      </c>
      <c r="AU964" s="51" t="str">
        <f t="shared" si="352"/>
        <v/>
      </c>
      <c r="AV964" s="12">
        <f>IFERROR(VLOOKUP(D964,'Receivable Invoice Detail'!$S$1:$U$3014,3,FALSE),0)</f>
        <v>0</v>
      </c>
      <c r="AW964" s="12">
        <f t="shared" si="353"/>
        <v>0</v>
      </c>
    </row>
    <row r="965" spans="1:49" x14ac:dyDescent="0.25">
      <c r="A965" s="2">
        <v>1</v>
      </c>
      <c r="B965" s="2" t="s">
        <v>617</v>
      </c>
      <c r="C965" s="2" t="s">
        <v>618</v>
      </c>
      <c r="D965" s="2" t="s">
        <v>3196</v>
      </c>
      <c r="E965" s="2" t="s">
        <v>242</v>
      </c>
      <c r="F965" s="3">
        <v>45916.6327662037</v>
      </c>
      <c r="G965" s="3">
        <v>45917.550763888888</v>
      </c>
      <c r="H965" s="4">
        <v>45919</v>
      </c>
      <c r="I965" s="2" t="s">
        <v>40</v>
      </c>
      <c r="J965" s="2" t="s">
        <v>22</v>
      </c>
      <c r="K965" s="2">
        <v>1</v>
      </c>
      <c r="L965" s="2">
        <v>122.83</v>
      </c>
      <c r="M965" s="2">
        <v>0</v>
      </c>
      <c r="N965" s="2">
        <v>89.254423607370711</v>
      </c>
      <c r="O965" s="2">
        <v>116.98</v>
      </c>
      <c r="P965" s="2">
        <v>5.85</v>
      </c>
      <c r="Q965" s="2">
        <v>122.83</v>
      </c>
      <c r="R965" s="2" t="s">
        <v>44</v>
      </c>
      <c r="S965" s="2"/>
      <c r="T965" s="2">
        <f t="shared" si="335"/>
        <v>1</v>
      </c>
      <c r="U965" s="18">
        <f t="shared" si="336"/>
        <v>9</v>
      </c>
      <c r="V965" s="18">
        <f t="shared" si="337"/>
        <v>2025</v>
      </c>
      <c r="W965" s="18">
        <f t="shared" si="338"/>
        <v>10</v>
      </c>
      <c r="X965" s="18">
        <f t="shared" si="339"/>
        <v>2025</v>
      </c>
      <c r="Y965" s="2">
        <f t="shared" si="332"/>
        <v>0.72665003343947498</v>
      </c>
      <c r="Z965" t="str">
        <f t="shared" si="333"/>
        <v>SO17858</v>
      </c>
      <c r="AA965" s="11">
        <f t="shared" si="340"/>
        <v>45916.6327662037</v>
      </c>
      <c r="AB965" s="5" t="str">
        <f t="shared" si="341"/>
        <v>INV13420</v>
      </c>
      <c r="AC965" s="5" t="str">
        <f>IFERROR(VLOOKUP(D965,CAARStatus!$A$2:$AA$1600,22,FALSE),"Not invoiced")</f>
        <v>Paid</v>
      </c>
      <c r="AD965" s="11">
        <f>IF(AC965="Paid",IFERROR(VLOOKUP(D965,CAARStatus!$A$2:$AA$1600,6,FALSE),"Pending"),"Pending")</f>
        <v>45952</v>
      </c>
      <c r="AE965" s="5" t="str">
        <f t="shared" si="342"/>
        <v>2100654949</v>
      </c>
      <c r="AF965" s="5" t="str">
        <f t="shared" si="343"/>
        <v>Wajax Limited - Noranda</v>
      </c>
      <c r="AG965" s="5" t="str">
        <f t="shared" si="344"/>
        <v>CAD</v>
      </c>
      <c r="AH965" s="5">
        <f t="shared" si="345"/>
        <v>116.98</v>
      </c>
      <c r="AI965" s="12">
        <f>IF(L965-N965=0,VLOOKUP(U965,rate!A$4:B$15,2,FALSE)*AH965,IF(AG965="USD",O965,AH965*Y965))</f>
        <v>85.003520911749789</v>
      </c>
      <c r="AJ965" s="13">
        <f t="shared" si="346"/>
        <v>0.72665003343947498</v>
      </c>
      <c r="AK965" s="13">
        <f>-IF(AG965="CAD",IFERROR(VLOOKUP(D965,CAARStatus!$A$1:$Y$1600,16,FALSE),0),0)</f>
        <v>-116.98</v>
      </c>
      <c r="AL965" s="13">
        <f>-IF(AG965="USD",IFERROR(VLOOKUP(D965,CAARStatus!$A$1:$Y$1600,11,FALSE),0),0)</f>
        <v>0</v>
      </c>
      <c r="AM965" s="22">
        <f t="shared" si="347"/>
        <v>0</v>
      </c>
      <c r="AN965" s="12" t="str">
        <f t="shared" si="348"/>
        <v/>
      </c>
      <c r="AO965" s="12" t="str">
        <f t="shared" si="349"/>
        <v>Yes</v>
      </c>
      <c r="AP965" t="str">
        <f t="shared" si="334"/>
        <v>Yes</v>
      </c>
      <c r="AQ965" t="str">
        <f>IFERROR(VLOOKUP(Z965,InvBal!$L$4:$P$600,4,FALSE),"Pend")</f>
        <v>Pend</v>
      </c>
      <c r="AR965" t="str">
        <f>IFERROR(VLOOKUP(D965,Manual!$C$1:$E$22,2,FALSE),"Pend")</f>
        <v>Pend</v>
      </c>
      <c r="AS965" t="str">
        <f t="shared" si="350"/>
        <v>Yes</v>
      </c>
      <c r="AT965" t="str">
        <f t="shared" si="351"/>
        <v>Yes</v>
      </c>
      <c r="AU965" s="51" t="str">
        <f t="shared" si="352"/>
        <v>Yes</v>
      </c>
      <c r="AV965" s="12">
        <f>IFERROR(VLOOKUP(D965,'Receivable Invoice Detail'!$S$1:$U$3014,3,FALSE),0)</f>
        <v>0</v>
      </c>
      <c r="AW965" s="12">
        <f t="shared" si="353"/>
        <v>85.003520911749789</v>
      </c>
    </row>
    <row r="966" spans="1:49" x14ac:dyDescent="0.25">
      <c r="A966" s="2">
        <v>1</v>
      </c>
      <c r="B966" s="2" t="s">
        <v>624</v>
      </c>
      <c r="C966" s="2" t="s">
        <v>625</v>
      </c>
      <c r="D966" s="2" t="s">
        <v>3192</v>
      </c>
      <c r="E966" s="2" t="s">
        <v>54</v>
      </c>
      <c r="F966" s="3">
        <v>45916.675833333327</v>
      </c>
      <c r="G966" s="3">
        <v>45916.676736111112</v>
      </c>
      <c r="H966" s="4">
        <v>45917</v>
      </c>
      <c r="I966" s="2" t="s">
        <v>21</v>
      </c>
      <c r="J966" s="2" t="s">
        <v>22</v>
      </c>
      <c r="K966" s="2">
        <v>1</v>
      </c>
      <c r="L966" s="2">
        <v>3039.52</v>
      </c>
      <c r="M966" s="2">
        <v>0</v>
      </c>
      <c r="N966" s="2">
        <v>2211.0125127792771</v>
      </c>
      <c r="O966" s="2">
        <v>2894.78</v>
      </c>
      <c r="P966" s="2">
        <v>144.74</v>
      </c>
      <c r="Q966" s="2">
        <v>3039.52</v>
      </c>
      <c r="R966" s="2" t="s">
        <v>44</v>
      </c>
      <c r="S966" s="2"/>
      <c r="T966" s="2">
        <f t="shared" si="335"/>
        <v>1</v>
      </c>
      <c r="U966" s="18">
        <f t="shared" si="336"/>
        <v>9</v>
      </c>
      <c r="V966" s="18">
        <f t="shared" si="337"/>
        <v>2025</v>
      </c>
      <c r="W966" s="18">
        <f t="shared" si="338"/>
        <v>10</v>
      </c>
      <c r="X966" s="18">
        <f t="shared" si="339"/>
        <v>2025</v>
      </c>
      <c r="Y966" s="2">
        <f t="shared" si="332"/>
        <v>0.72742160366744657</v>
      </c>
      <c r="Z966" t="str">
        <f t="shared" si="333"/>
        <v>SO17860</v>
      </c>
      <c r="AA966" s="11">
        <f t="shared" si="340"/>
        <v>45916.675833333327</v>
      </c>
      <c r="AB966" s="5" t="str">
        <f t="shared" si="341"/>
        <v>INV13412</v>
      </c>
      <c r="AC966" s="5" t="str">
        <f>IFERROR(VLOOKUP(D966,CAARStatus!$A$2:$AA$1600,22,FALSE),"Not invoiced")</f>
        <v>Paid</v>
      </c>
      <c r="AD966" s="11">
        <f>IF(AC966="Paid",IFERROR(VLOOKUP(D966,CAARStatus!$A$2:$AA$1600,6,FALSE),"Pending"),"Pending")</f>
        <v>45954</v>
      </c>
      <c r="AE966" s="5" t="str">
        <f t="shared" si="342"/>
        <v>3304</v>
      </c>
      <c r="AF966" s="5" t="str">
        <f t="shared" si="343"/>
        <v>Les Pompes du St-Laurent Inc.</v>
      </c>
      <c r="AG966" s="5" t="str">
        <f t="shared" si="344"/>
        <v>CAD</v>
      </c>
      <c r="AH966" s="5">
        <f t="shared" si="345"/>
        <v>2894.78</v>
      </c>
      <c r="AI966" s="12">
        <f>IF(L966-N966=0,VLOOKUP(U966,rate!A$4:B$15,2,FALSE)*AH966,IF(AG966="USD",O966,AH966*Y966))</f>
        <v>2105.7255098644509</v>
      </c>
      <c r="AJ966" s="13">
        <f t="shared" si="346"/>
        <v>0.72742160366744646</v>
      </c>
      <c r="AK966" s="13">
        <f>-IF(AG966="CAD",IFERROR(VLOOKUP(D966,CAARStatus!$A$1:$Y$1600,16,FALSE),0),0)</f>
        <v>-2894.78</v>
      </c>
      <c r="AL966" s="13">
        <f>-IF(AG966="USD",IFERROR(VLOOKUP(D966,CAARStatus!$A$1:$Y$1600,11,FALSE),0),0)</f>
        <v>0</v>
      </c>
      <c r="AM966" s="22">
        <f t="shared" si="347"/>
        <v>0</v>
      </c>
      <c r="AN966" s="12" t="str">
        <f t="shared" si="348"/>
        <v/>
      </c>
      <c r="AO966" s="12" t="str">
        <f t="shared" si="349"/>
        <v>Yes</v>
      </c>
      <c r="AP966" t="str">
        <f t="shared" si="334"/>
        <v>Yes</v>
      </c>
      <c r="AQ966" t="str">
        <f>IFERROR(VLOOKUP(Z966,InvBal!$L$4:$P$600,4,FALSE),"Pend")</f>
        <v>Pend</v>
      </c>
      <c r="AR966" t="str">
        <f>IFERROR(VLOOKUP(D966,Manual!$C$1:$E$22,2,FALSE),"Pend")</f>
        <v>Pend</v>
      </c>
      <c r="AS966" t="str">
        <f t="shared" si="350"/>
        <v>Yes</v>
      </c>
      <c r="AT966" t="str">
        <f t="shared" si="351"/>
        <v>Yes</v>
      </c>
      <c r="AU966" s="51" t="str">
        <f t="shared" si="352"/>
        <v>Yes</v>
      </c>
      <c r="AV966" s="12">
        <f>IFERROR(VLOOKUP(D966,'Receivable Invoice Detail'!$S$1:$U$3014,3,FALSE),0)</f>
        <v>0</v>
      </c>
      <c r="AW966" s="12">
        <f t="shared" si="353"/>
        <v>2105.7255098644509</v>
      </c>
    </row>
    <row r="967" spans="1:49" ht="30" x14ac:dyDescent="0.25">
      <c r="A967" s="2">
        <v>1</v>
      </c>
      <c r="B967" s="2" t="s">
        <v>507</v>
      </c>
      <c r="C967" s="2" t="s">
        <v>508</v>
      </c>
      <c r="D967" s="2" t="s">
        <v>3248</v>
      </c>
      <c r="E967" s="2" t="s">
        <v>509</v>
      </c>
      <c r="F967" s="3">
        <v>45917.362754629627</v>
      </c>
      <c r="G967" s="3">
        <v>45931.694050925929</v>
      </c>
      <c r="H967" s="4">
        <v>45994</v>
      </c>
      <c r="I967" s="2" t="s">
        <v>67</v>
      </c>
      <c r="J967" s="2" t="s">
        <v>22</v>
      </c>
      <c r="K967" s="2">
        <v>1</v>
      </c>
      <c r="L967" s="2">
        <v>7990.04</v>
      </c>
      <c r="M967" s="2">
        <v>0</v>
      </c>
      <c r="N967" s="2">
        <v>5727.7078668064596</v>
      </c>
      <c r="O967" s="2">
        <v>7609.56</v>
      </c>
      <c r="P967" s="2">
        <v>380.48</v>
      </c>
      <c r="Q967" s="2">
        <v>7990.04</v>
      </c>
      <c r="R967" s="2" t="s">
        <v>44</v>
      </c>
      <c r="S967" s="2"/>
      <c r="T967" s="2">
        <f t="shared" si="335"/>
        <v>1</v>
      </c>
      <c r="U967" s="18">
        <f t="shared" si="336"/>
        <v>9</v>
      </c>
      <c r="V967" s="18">
        <f t="shared" si="337"/>
        <v>2025</v>
      </c>
      <c r="W967" s="18">
        <f t="shared" si="338"/>
        <v>11</v>
      </c>
      <c r="X967" s="18">
        <f t="shared" si="339"/>
        <v>2025</v>
      </c>
      <c r="Y967" s="2">
        <f t="shared" si="332"/>
        <v>0.71685596903225257</v>
      </c>
      <c r="Z967" t="str">
        <f t="shared" si="333"/>
        <v>SO17862</v>
      </c>
      <c r="AA967" s="11">
        <f t="shared" si="340"/>
        <v>45917.362754629627</v>
      </c>
      <c r="AB967" s="5" t="str">
        <f t="shared" si="341"/>
        <v>INV13538</v>
      </c>
      <c r="AC967" s="5" t="str">
        <f>IFERROR(VLOOKUP(D967,CAARStatus!$A$2:$AA$1600,22,FALSE),"Not invoiced")</f>
        <v>Paid</v>
      </c>
      <c r="AD967" s="11">
        <f>IF(AC967="Paid",IFERROR(VLOOKUP(D967,CAARStatus!$A$2:$AA$1600,6,FALSE),"Pending"),"Pending")</f>
        <v>45981</v>
      </c>
      <c r="AE967" s="5" t="str">
        <f t="shared" si="342"/>
        <v>PO10007</v>
      </c>
      <c r="AF967" s="5" t="str">
        <f t="shared" si="343"/>
        <v>Tantalum Mining Corporation of Canada</v>
      </c>
      <c r="AG967" s="5" t="str">
        <f t="shared" si="344"/>
        <v>CAD</v>
      </c>
      <c r="AH967" s="5">
        <f t="shared" si="345"/>
        <v>7609.56</v>
      </c>
      <c r="AI967" s="12">
        <f>IF(L967-N967=0,VLOOKUP(U967,rate!A$4:B$15,2,FALSE)*AH967,IF(AG967="USD",O967,AH967*Y967))</f>
        <v>5454.9585077090678</v>
      </c>
      <c r="AJ967" s="13">
        <f t="shared" si="346"/>
        <v>0.71685596903225257</v>
      </c>
      <c r="AK967" s="13">
        <f>-IF(AG967="CAD",IFERROR(VLOOKUP(D967,CAARStatus!$A$1:$Y$1600,16,FALSE),0),0)</f>
        <v>-7609.56</v>
      </c>
      <c r="AL967" s="13">
        <f>-IF(AG967="USD",IFERROR(VLOOKUP(D967,CAARStatus!$A$1:$Y$1600,11,FALSE),0),0)</f>
        <v>0</v>
      </c>
      <c r="AM967" s="22">
        <f t="shared" si="347"/>
        <v>0</v>
      </c>
      <c r="AN967" s="12" t="str">
        <f t="shared" si="348"/>
        <v/>
      </c>
      <c r="AO967" s="12" t="str">
        <f t="shared" si="349"/>
        <v>Yes</v>
      </c>
      <c r="AP967" t="str">
        <f t="shared" si="334"/>
        <v>Yes</v>
      </c>
      <c r="AQ967" t="str">
        <f>IFERROR(VLOOKUP(Z967,InvBal!$L$4:$P$600,4,FALSE),"Pend")</f>
        <v>Pend</v>
      </c>
      <c r="AR967" t="str">
        <f>IFERROR(VLOOKUP(D967,Manual!$C$1:$E$22,2,FALSE),"Pend")</f>
        <v>Pend</v>
      </c>
      <c r="AS967" t="str">
        <f t="shared" si="350"/>
        <v>Yes</v>
      </c>
      <c r="AT967" t="str">
        <f t="shared" si="351"/>
        <v>Yes</v>
      </c>
      <c r="AU967" s="51" t="str">
        <f t="shared" si="352"/>
        <v>Yes</v>
      </c>
      <c r="AV967" s="12">
        <f>IFERROR(VLOOKUP(D967,'Receivable Invoice Detail'!$S$1:$U$3014,3,FALSE),0)</f>
        <v>0</v>
      </c>
      <c r="AW967" s="12">
        <f t="shared" si="353"/>
        <v>5454.9585077090678</v>
      </c>
    </row>
    <row r="968" spans="1:49" ht="30" x14ac:dyDescent="0.25">
      <c r="A968" s="2">
        <v>1</v>
      </c>
      <c r="B968" s="2" t="s">
        <v>623</v>
      </c>
      <c r="C968" s="2"/>
      <c r="D968" s="2" t="s">
        <v>3193</v>
      </c>
      <c r="E968" s="2" t="s">
        <v>129</v>
      </c>
      <c r="F968" s="3">
        <v>45917.400081018517</v>
      </c>
      <c r="G968" s="3">
        <v>45917.402974537043</v>
      </c>
      <c r="H968" s="4">
        <v>45931</v>
      </c>
      <c r="I968" s="2" t="s">
        <v>328</v>
      </c>
      <c r="J968" s="2" t="s">
        <v>51</v>
      </c>
      <c r="K968" s="2">
        <v>0.72742160366744635</v>
      </c>
      <c r="L968" s="2">
        <v>584.25539997337808</v>
      </c>
      <c r="M968" s="2">
        <v>0</v>
      </c>
      <c r="N968" s="2">
        <v>425</v>
      </c>
      <c r="O968" s="2">
        <v>425</v>
      </c>
      <c r="P968" s="2"/>
      <c r="Q968" s="2">
        <v>425</v>
      </c>
      <c r="R968" s="2" t="s">
        <v>44</v>
      </c>
      <c r="S968" s="2"/>
      <c r="T968" s="2">
        <f t="shared" si="335"/>
        <v>1</v>
      </c>
      <c r="U968" s="18">
        <f t="shared" si="336"/>
        <v>9</v>
      </c>
      <c r="V968" s="18">
        <f t="shared" si="337"/>
        <v>2025</v>
      </c>
      <c r="W968" s="18" t="str">
        <f t="shared" si="338"/>
        <v/>
      </c>
      <c r="X968" s="18" t="str">
        <f t="shared" si="339"/>
        <v/>
      </c>
      <c r="Y968" s="2">
        <f t="shared" si="332"/>
        <v>0.71685596903225257</v>
      </c>
      <c r="Z968" t="str">
        <f t="shared" si="333"/>
        <v>SO17863</v>
      </c>
      <c r="AA968" s="11">
        <f t="shared" si="340"/>
        <v>45917.400081018517</v>
      </c>
      <c r="AB968" s="5" t="str">
        <f t="shared" si="341"/>
        <v>INV13684</v>
      </c>
      <c r="AC968" s="5" t="str">
        <f>IFERROR(VLOOKUP(D968,CAARStatus!$A$2:$AA$1600,22,FALSE),"Not invoiced")</f>
        <v>Approved</v>
      </c>
      <c r="AD968" s="11" t="str">
        <f>IF(AC968="Paid",IFERROR(VLOOKUP(D968,CAARStatus!$A$2:$AA$1600,6,FALSE),"Pending"),"Pending")</f>
        <v>Pending</v>
      </c>
      <c r="AE968" s="5" t="str">
        <f t="shared" si="342"/>
        <v>PO10007</v>
      </c>
      <c r="AF968" s="5" t="str">
        <f t="shared" si="343"/>
        <v>Dynapro Pumps México S de RL de CV</v>
      </c>
      <c r="AG968" s="5" t="str">
        <f t="shared" si="344"/>
        <v>USD</v>
      </c>
      <c r="AH968" s="5">
        <f t="shared" si="345"/>
        <v>584.25539997337808</v>
      </c>
      <c r="AI968" s="12">
        <f>IF(L968-N968=0,VLOOKUP(U968,rate!A$4:B$15,2,FALSE)*AH968,IF(AG968="USD",O968,AH968*Y968))</f>
        <v>425</v>
      </c>
      <c r="AJ968" s="13">
        <f t="shared" si="346"/>
        <v>0.72742160366744635</v>
      </c>
      <c r="AK968" s="13">
        <f>-IF(AG968="CAD",IFERROR(VLOOKUP(D968,CAARStatus!$A$1:$Y$1600,16,FALSE),0),0)</f>
        <v>0</v>
      </c>
      <c r="AL968" s="13">
        <f>-IF(AG968="USD",IFERROR(VLOOKUP(D968,CAARStatus!$A$1:$Y$1600,11,FALSE),0),0)</f>
        <v>-425</v>
      </c>
      <c r="AM968" s="22" t="str">
        <f t="shared" si="347"/>
        <v/>
      </c>
      <c r="AN968" s="12">
        <f t="shared" si="348"/>
        <v>0</v>
      </c>
      <c r="AO968" s="12" t="str">
        <f t="shared" si="349"/>
        <v>Pend</v>
      </c>
      <c r="AP968" t="str">
        <f t="shared" si="334"/>
        <v>Pend</v>
      </c>
      <c r="AQ968" t="str">
        <f>IFERROR(VLOOKUP(Z968,InvBal!$L$4:$P$600,4,FALSE),"Pend")</f>
        <v>Pend</v>
      </c>
      <c r="AR968" t="str">
        <f>IFERROR(VLOOKUP(D968,Manual!$C$1:$E$22,2,FALSE),"Pend")</f>
        <v>Pend</v>
      </c>
      <c r="AS968" t="str">
        <f t="shared" si="350"/>
        <v/>
      </c>
      <c r="AT968" t="str">
        <f t="shared" si="351"/>
        <v>Yes</v>
      </c>
      <c r="AU968" s="51" t="str">
        <f t="shared" si="352"/>
        <v/>
      </c>
      <c r="AV968" s="12">
        <f>IFERROR(VLOOKUP(D968,'Receivable Invoice Detail'!$S$1:$U$3014,3,FALSE),0)</f>
        <v>0</v>
      </c>
      <c r="AW968" s="12">
        <f t="shared" si="353"/>
        <v>0</v>
      </c>
    </row>
    <row r="969" spans="1:49" x14ac:dyDescent="0.25">
      <c r="A969" s="2">
        <v>1</v>
      </c>
      <c r="B969" s="2" t="s">
        <v>621</v>
      </c>
      <c r="C969" s="2" t="s">
        <v>622</v>
      </c>
      <c r="D969" s="2" t="s">
        <v>3194</v>
      </c>
      <c r="E969" s="2" t="s">
        <v>146</v>
      </c>
      <c r="F969" s="3">
        <v>45917.429629629631</v>
      </c>
      <c r="G969" s="3">
        <v>45917.441006944442</v>
      </c>
      <c r="H969" s="4">
        <v>45919</v>
      </c>
      <c r="I969" s="2" t="s">
        <v>40</v>
      </c>
      <c r="J969" s="2" t="s">
        <v>22</v>
      </c>
      <c r="K969" s="2">
        <v>1</v>
      </c>
      <c r="L969" s="2">
        <v>1086.52</v>
      </c>
      <c r="M969" s="2">
        <v>0</v>
      </c>
      <c r="N969" s="2">
        <v>789.51979433265831</v>
      </c>
      <c r="O969" s="2">
        <v>1034.78</v>
      </c>
      <c r="P969" s="2">
        <v>51.74</v>
      </c>
      <c r="Q969" s="2">
        <v>1086.52</v>
      </c>
      <c r="R969" s="2" t="s">
        <v>44</v>
      </c>
      <c r="S969" s="2"/>
      <c r="T969" s="2">
        <f t="shared" si="335"/>
        <v>1</v>
      </c>
      <c r="U969" s="18">
        <f t="shared" si="336"/>
        <v>9</v>
      </c>
      <c r="V969" s="18">
        <f t="shared" si="337"/>
        <v>2025</v>
      </c>
      <c r="W969" s="18">
        <f t="shared" si="338"/>
        <v>10</v>
      </c>
      <c r="X969" s="18">
        <f t="shared" si="339"/>
        <v>2025</v>
      </c>
      <c r="Y969" s="2">
        <f t="shared" si="332"/>
        <v>0.72665003343947498</v>
      </c>
      <c r="Z969" t="str">
        <f t="shared" si="333"/>
        <v>SO17864</v>
      </c>
      <c r="AA969" s="11">
        <f t="shared" si="340"/>
        <v>45917.429629629631</v>
      </c>
      <c r="AB969" s="5" t="str">
        <f t="shared" si="341"/>
        <v>INV13411</v>
      </c>
      <c r="AC969" s="5" t="str">
        <f>IFERROR(VLOOKUP(D969,CAARStatus!$A$2:$AA$1600,22,FALSE),"Not invoiced")</f>
        <v>Paid</v>
      </c>
      <c r="AD969" s="11">
        <f>IF(AC969="Paid",IFERROR(VLOOKUP(D969,CAARStatus!$A$2:$AA$1600,6,FALSE),"Pending"),"Pending")</f>
        <v>45953</v>
      </c>
      <c r="AE969" s="5" t="str">
        <f t="shared" si="342"/>
        <v>7687</v>
      </c>
      <c r="AF969" s="5" t="str">
        <f t="shared" si="343"/>
        <v>Hyperflo</v>
      </c>
      <c r="AG969" s="5" t="str">
        <f t="shared" si="344"/>
        <v>CAD</v>
      </c>
      <c r="AH969" s="5">
        <f t="shared" si="345"/>
        <v>1034.78</v>
      </c>
      <c r="AI969" s="12">
        <f>IF(L969-N969=0,VLOOKUP(U969,rate!A$4:B$15,2,FALSE)*AH969,IF(AG969="USD",O969,AH969*Y969))</f>
        <v>751.92292160249985</v>
      </c>
      <c r="AJ969" s="13">
        <f t="shared" si="346"/>
        <v>0.72665003343947498</v>
      </c>
      <c r="AK969" s="13">
        <f>-IF(AG969="CAD",IFERROR(VLOOKUP(D969,CAARStatus!$A$1:$Y$1600,16,FALSE),0),0)</f>
        <v>-1034.78</v>
      </c>
      <c r="AL969" s="13">
        <f>-IF(AG969="USD",IFERROR(VLOOKUP(D969,CAARStatus!$A$1:$Y$1600,11,FALSE),0),0)</f>
        <v>0</v>
      </c>
      <c r="AM969" s="22">
        <f t="shared" si="347"/>
        <v>0</v>
      </c>
      <c r="AN969" s="12" t="str">
        <f t="shared" si="348"/>
        <v/>
      </c>
      <c r="AO969" s="12" t="str">
        <f t="shared" si="349"/>
        <v>Yes</v>
      </c>
      <c r="AP969" t="str">
        <f t="shared" si="334"/>
        <v>Yes</v>
      </c>
      <c r="AQ969" t="str">
        <f>IFERROR(VLOOKUP(Z969,InvBal!$L$4:$P$600,4,FALSE),"Pend")</f>
        <v>Pend</v>
      </c>
      <c r="AR969" t="str">
        <f>IFERROR(VLOOKUP(D969,Manual!$C$1:$E$22,2,FALSE),"Pend")</f>
        <v>Pend</v>
      </c>
      <c r="AS969" t="str">
        <f t="shared" si="350"/>
        <v>Yes</v>
      </c>
      <c r="AT969" t="str">
        <f t="shared" si="351"/>
        <v>Yes</v>
      </c>
      <c r="AU969" s="51" t="str">
        <f t="shared" si="352"/>
        <v>Yes</v>
      </c>
      <c r="AV969" s="12">
        <f>IFERROR(VLOOKUP(D969,'Receivable Invoice Detail'!$S$1:$U$3014,3,FALSE),0)</f>
        <v>0</v>
      </c>
      <c r="AW969" s="12">
        <f t="shared" si="353"/>
        <v>751.92292160249985</v>
      </c>
    </row>
    <row r="970" spans="1:49" x14ac:dyDescent="0.25">
      <c r="A970" s="2">
        <v>3</v>
      </c>
      <c r="B970" s="2" t="s">
        <v>610</v>
      </c>
      <c r="C970" s="2" t="s">
        <v>611</v>
      </c>
      <c r="D970" s="2" t="s">
        <v>3201</v>
      </c>
      <c r="E970" s="2" t="s">
        <v>612</v>
      </c>
      <c r="F970" s="3">
        <v>45917.514722222222</v>
      </c>
      <c r="G970" s="3">
        <v>45918.623414351852</v>
      </c>
      <c r="H970" s="4">
        <v>46002</v>
      </c>
      <c r="I970" s="2" t="s">
        <v>21</v>
      </c>
      <c r="J970" s="2" t="s">
        <v>22</v>
      </c>
      <c r="K970" s="2">
        <v>1</v>
      </c>
      <c r="L970" s="2">
        <v>12351.12</v>
      </c>
      <c r="M970" s="2">
        <v>0</v>
      </c>
      <c r="N970" s="2">
        <v>8951.4721082370797</v>
      </c>
      <c r="O970" s="2">
        <v>10930.21</v>
      </c>
      <c r="P970" s="2">
        <v>1420.91</v>
      </c>
      <c r="Q970" s="2">
        <v>12351.12</v>
      </c>
      <c r="R970" s="2" t="s">
        <v>29</v>
      </c>
      <c r="S970" s="2"/>
      <c r="T970" s="2">
        <f t="shared" si="335"/>
        <v>3</v>
      </c>
      <c r="U970" s="18">
        <f t="shared" si="336"/>
        <v>9</v>
      </c>
      <c r="V970" s="18">
        <f t="shared" si="337"/>
        <v>2025</v>
      </c>
      <c r="W970" s="18">
        <f t="shared" si="338"/>
        <v>11</v>
      </c>
      <c r="X970" s="18">
        <f t="shared" si="339"/>
        <v>2025</v>
      </c>
      <c r="Y970" s="2">
        <f t="shared" si="332"/>
        <v>0.72474982902255658</v>
      </c>
      <c r="Z970" t="str">
        <f t="shared" si="333"/>
        <v>SO17868</v>
      </c>
      <c r="AA970" s="11">
        <f t="shared" si="340"/>
        <v>45917.514722222222</v>
      </c>
      <c r="AB970" s="5" t="str">
        <f t="shared" si="341"/>
        <v>INV13540</v>
      </c>
      <c r="AC970" s="5" t="str">
        <f>IFERROR(VLOOKUP(D970,CAARStatus!$A$2:$AA$1600,22,FALSE),"Not invoiced")</f>
        <v>Paid</v>
      </c>
      <c r="AD970" s="11">
        <f>IF(AC970="Paid",IFERROR(VLOOKUP(D970,CAARStatus!$A$2:$AA$1600,6,FALSE),"Pending"),"Pending")</f>
        <v>45967</v>
      </c>
      <c r="AE970" s="5" t="str">
        <f t="shared" si="342"/>
        <v>5296</v>
      </c>
      <c r="AF970" s="5" t="str">
        <f t="shared" si="343"/>
        <v>TC Industries of Canada Co.</v>
      </c>
      <c r="AG970" s="5" t="str">
        <f t="shared" si="344"/>
        <v>CAD</v>
      </c>
      <c r="AH970" s="5">
        <f t="shared" si="345"/>
        <v>10930.21</v>
      </c>
      <c r="AI970" s="12">
        <f>IF(L970-N970=0,VLOOKUP(U970,rate!A$4:B$15,2,FALSE)*AH970,IF(AG970="USD",O970,AH970*Y970))</f>
        <v>7921.6678286806373</v>
      </c>
      <c r="AJ970" s="13">
        <f t="shared" si="346"/>
        <v>0.72474982902255658</v>
      </c>
      <c r="AK970" s="13">
        <f>-IF(AG970="CAD",IFERROR(VLOOKUP(D970,CAARStatus!$A$1:$Y$1600,16,FALSE),0),0)</f>
        <v>-3958.75</v>
      </c>
      <c r="AL970" s="13">
        <f>-IF(AG970="USD",IFERROR(VLOOKUP(D970,CAARStatus!$A$1:$Y$1600,11,FALSE),0),0)</f>
        <v>0</v>
      </c>
      <c r="AM970" s="22">
        <f t="shared" si="347"/>
        <v>6971.4599999999991</v>
      </c>
      <c r="AN970" s="12" t="str">
        <f t="shared" si="348"/>
        <v/>
      </c>
      <c r="AO970" s="12" t="str">
        <f t="shared" si="349"/>
        <v>Yes</v>
      </c>
      <c r="AP970" t="str">
        <f t="shared" si="334"/>
        <v>XX</v>
      </c>
      <c r="AQ970">
        <f>IFERROR(VLOOKUP(Z970,InvBal!$L$4:$P$600,4,FALSE),"Pend")</f>
        <v>0</v>
      </c>
      <c r="AR970" t="str">
        <f>IFERROR(VLOOKUP(D970,Manual!$C$1:$E$22,2,FALSE),"Pend")</f>
        <v>Pend</v>
      </c>
      <c r="AS970" t="str">
        <f t="shared" si="350"/>
        <v/>
      </c>
      <c r="AT970" t="str">
        <f t="shared" si="351"/>
        <v/>
      </c>
      <c r="AU970" s="51" t="str">
        <f t="shared" si="352"/>
        <v/>
      </c>
      <c r="AV970" s="12">
        <f>IFERROR(VLOOKUP(D970,'Receivable Invoice Detail'!$S$1:$U$3014,3,FALSE),0)</f>
        <v>0</v>
      </c>
      <c r="AW970" s="12">
        <f t="shared" si="353"/>
        <v>0</v>
      </c>
    </row>
    <row r="971" spans="1:49" x14ac:dyDescent="0.25">
      <c r="A971" s="2"/>
      <c r="B971" s="2"/>
      <c r="C971" s="2"/>
      <c r="D971" s="2" t="s">
        <v>3200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>
        <f t="shared" si="335"/>
        <v>3</v>
      </c>
      <c r="U971" s="18">
        <f t="shared" si="336"/>
        <v>9</v>
      </c>
      <c r="V971" s="18">
        <f t="shared" si="337"/>
        <v>2025</v>
      </c>
      <c r="W971" s="18">
        <f t="shared" si="338"/>
        <v>10</v>
      </c>
      <c r="X971" s="18">
        <f t="shared" si="339"/>
        <v>2025</v>
      </c>
      <c r="Y971" s="2">
        <f t="shared" si="332"/>
        <v>0.72474982902255658</v>
      </c>
      <c r="Z971" t="str">
        <f t="shared" si="333"/>
        <v>SO17868</v>
      </c>
      <c r="AA971" s="11">
        <f t="shared" si="340"/>
        <v>45917.514722222222</v>
      </c>
      <c r="AB971" s="5" t="str">
        <f t="shared" si="341"/>
        <v>INV13563</v>
      </c>
      <c r="AC971" s="5" t="str">
        <f>IFERROR(VLOOKUP(D971,CAARStatus!$A$2:$AA$1600,22,FALSE),"Not invoiced")</f>
        <v>Paid</v>
      </c>
      <c r="AD971" s="11">
        <f>IF(AC971="Paid",IFERROR(VLOOKUP(D971,CAARStatus!$A$2:$AA$1600,6,FALSE),"Pending"),"Pending")</f>
        <v>45958</v>
      </c>
      <c r="AE971" s="5" t="str">
        <f t="shared" si="342"/>
        <v>5296</v>
      </c>
      <c r="AF971" s="5" t="str">
        <f t="shared" si="343"/>
        <v>TC Industries of Canada Co.</v>
      </c>
      <c r="AG971" s="5" t="str">
        <f t="shared" si="344"/>
        <v>CAD</v>
      </c>
      <c r="AH971" s="5">
        <f t="shared" si="345"/>
        <v>0</v>
      </c>
      <c r="AI971" s="12">
        <f>IF(L971-N971=0,VLOOKUP(U971,rate!A$4:B$15,2,FALSE)*AH971,IF(AG971="USD",O971,AH971*Y971))</f>
        <v>0</v>
      </c>
      <c r="AJ971" s="13">
        <f t="shared" si="346"/>
        <v>0</v>
      </c>
      <c r="AK971" s="13">
        <f>-IF(AG971="CAD",IFERROR(VLOOKUP(D971,CAARStatus!$A$1:$Y$1600,16,FALSE),0),0)</f>
        <v>-3396.62</v>
      </c>
      <c r="AL971" s="13">
        <f>-IF(AG971="USD",IFERROR(VLOOKUP(D971,CAARStatus!$A$1:$Y$1600,11,FALSE),0),0)</f>
        <v>0</v>
      </c>
      <c r="AM971" s="22">
        <f t="shared" si="347"/>
        <v>-3396.62</v>
      </c>
      <c r="AN971" s="12" t="str">
        <f t="shared" si="348"/>
        <v/>
      </c>
      <c r="AO971" s="12" t="str">
        <f t="shared" si="349"/>
        <v>Yes</v>
      </c>
      <c r="AP971" t="str">
        <f t="shared" si="334"/>
        <v>XX</v>
      </c>
      <c r="AQ971">
        <f>IFERROR(VLOOKUP(Z971,InvBal!$L$4:$P$600,4,FALSE),"Pend")</f>
        <v>0</v>
      </c>
      <c r="AR971" t="str">
        <f>IFERROR(VLOOKUP(D971,Manual!$C$1:$E$22,2,FALSE),"Pend")</f>
        <v>Pend</v>
      </c>
      <c r="AS971" t="str">
        <f t="shared" si="350"/>
        <v/>
      </c>
      <c r="AT971" t="str">
        <f t="shared" si="351"/>
        <v/>
      </c>
      <c r="AU971" s="51" t="str">
        <f t="shared" si="352"/>
        <v/>
      </c>
      <c r="AV971" s="12">
        <f>IFERROR(VLOOKUP(D971,'Receivable Invoice Detail'!$S$1:$U$3014,3,FALSE),0)</f>
        <v>0</v>
      </c>
      <c r="AW971" s="12">
        <f t="shared" si="353"/>
        <v>0</v>
      </c>
    </row>
    <row r="972" spans="1:49" x14ac:dyDescent="0.25">
      <c r="A972" s="2"/>
      <c r="B972" s="2"/>
      <c r="C972" s="2"/>
      <c r="D972" s="2" t="s">
        <v>3199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>
        <f t="shared" si="335"/>
        <v>3</v>
      </c>
      <c r="U972" s="18">
        <f t="shared" si="336"/>
        <v>9</v>
      </c>
      <c r="V972" s="18">
        <f t="shared" si="337"/>
        <v>2025</v>
      </c>
      <c r="W972" s="18">
        <f t="shared" si="338"/>
        <v>10</v>
      </c>
      <c r="X972" s="18">
        <f t="shared" si="339"/>
        <v>2025</v>
      </c>
      <c r="Y972" s="2">
        <f t="shared" si="332"/>
        <v>0.72474982902255658</v>
      </c>
      <c r="Z972" t="str">
        <f t="shared" si="333"/>
        <v>SO17868</v>
      </c>
      <c r="AA972" s="11">
        <f t="shared" si="340"/>
        <v>45917.514722222222</v>
      </c>
      <c r="AB972" s="5" t="str">
        <f t="shared" si="341"/>
        <v>INV13580</v>
      </c>
      <c r="AC972" s="5" t="str">
        <f>IFERROR(VLOOKUP(D972,CAARStatus!$A$2:$AA$1600,22,FALSE),"Not invoiced")</f>
        <v>Paid</v>
      </c>
      <c r="AD972" s="11">
        <f>IF(AC972="Paid",IFERROR(VLOOKUP(D972,CAARStatus!$A$2:$AA$1600,6,FALSE),"Pending"),"Pending")</f>
        <v>45960</v>
      </c>
      <c r="AE972" s="5" t="str">
        <f t="shared" si="342"/>
        <v>5296</v>
      </c>
      <c r="AF972" s="5" t="str">
        <f t="shared" si="343"/>
        <v>TC Industries of Canada Co.</v>
      </c>
      <c r="AG972" s="5" t="str">
        <f t="shared" si="344"/>
        <v>CAD</v>
      </c>
      <c r="AH972" s="5">
        <f t="shared" si="345"/>
        <v>0</v>
      </c>
      <c r="AI972" s="12">
        <f>IF(L972-N972=0,VLOOKUP(U972,rate!A$4:B$15,2,FALSE)*AH972,IF(AG972="USD",O972,AH972*Y972))</f>
        <v>0</v>
      </c>
      <c r="AJ972" s="13">
        <f t="shared" si="346"/>
        <v>0</v>
      </c>
      <c r="AK972" s="13">
        <f>-IF(AG972="CAD",IFERROR(VLOOKUP(D972,CAARStatus!$A$1:$Y$1600,16,FALSE),0),0)</f>
        <v>-178.22</v>
      </c>
      <c r="AL972" s="13">
        <f>-IF(AG972="USD",IFERROR(VLOOKUP(D972,CAARStatus!$A$1:$Y$1600,11,FALSE),0),0)</f>
        <v>0</v>
      </c>
      <c r="AM972" s="22">
        <f t="shared" si="347"/>
        <v>-178.22</v>
      </c>
      <c r="AN972" s="12" t="str">
        <f t="shared" si="348"/>
        <v/>
      </c>
      <c r="AO972" s="12" t="str">
        <f t="shared" si="349"/>
        <v>Yes</v>
      </c>
      <c r="AP972" t="str">
        <f t="shared" si="334"/>
        <v>XX</v>
      </c>
      <c r="AQ972">
        <f>IFERROR(VLOOKUP(Z972,InvBal!$L$4:$P$600,4,FALSE),"Pend")</f>
        <v>0</v>
      </c>
      <c r="AR972" t="str">
        <f>IFERROR(VLOOKUP(D972,Manual!$C$1:$E$22,2,FALSE),"Pend")</f>
        <v>Pend</v>
      </c>
      <c r="AS972" t="str">
        <f t="shared" si="350"/>
        <v/>
      </c>
      <c r="AT972" t="str">
        <f t="shared" si="351"/>
        <v/>
      </c>
      <c r="AU972" s="51" t="str">
        <f t="shared" si="352"/>
        <v/>
      </c>
      <c r="AV972" s="12">
        <f>IFERROR(VLOOKUP(D972,'Receivable Invoice Detail'!$S$1:$U$3014,3,FALSE),0)</f>
        <v>0</v>
      </c>
      <c r="AW972" s="12">
        <f t="shared" si="353"/>
        <v>0</v>
      </c>
    </row>
    <row r="973" spans="1:49" x14ac:dyDescent="0.25">
      <c r="A973" s="2">
        <v>1</v>
      </c>
      <c r="B973" s="2" t="s">
        <v>559</v>
      </c>
      <c r="C973" s="2" t="s">
        <v>560</v>
      </c>
      <c r="D973" s="2" t="s">
        <v>3221</v>
      </c>
      <c r="E973" s="2" t="s">
        <v>54</v>
      </c>
      <c r="F973" s="3">
        <v>45917.676203703697</v>
      </c>
      <c r="G973" s="3">
        <v>45925.535324074073</v>
      </c>
      <c r="H973" s="4">
        <v>45953</v>
      </c>
      <c r="I973" s="2" t="s">
        <v>21</v>
      </c>
      <c r="J973" s="2" t="s">
        <v>22</v>
      </c>
      <c r="K973" s="2">
        <v>1</v>
      </c>
      <c r="L973" s="2">
        <v>21904.25</v>
      </c>
      <c r="M973" s="2">
        <v>0</v>
      </c>
      <c r="N973" s="2">
        <v>15731.10142272283</v>
      </c>
      <c r="O973" s="2">
        <v>20861.189999999999</v>
      </c>
      <c r="P973" s="2">
        <v>1043.06</v>
      </c>
      <c r="Q973" s="2">
        <v>21904.25</v>
      </c>
      <c r="R973" s="2" t="s">
        <v>44</v>
      </c>
      <c r="S973" s="2"/>
      <c r="T973" s="2">
        <f t="shared" si="335"/>
        <v>1</v>
      </c>
      <c r="U973" s="18">
        <f t="shared" si="336"/>
        <v>9</v>
      </c>
      <c r="V973" s="18">
        <f t="shared" si="337"/>
        <v>2025</v>
      </c>
      <c r="W973" s="18">
        <f t="shared" si="338"/>
        <v>12</v>
      </c>
      <c r="X973" s="18">
        <f t="shared" si="339"/>
        <v>2025</v>
      </c>
      <c r="Y973" s="2">
        <f t="shared" si="332"/>
        <v>0.71817576144916306</v>
      </c>
      <c r="Z973" t="str">
        <f t="shared" si="333"/>
        <v>SO17870</v>
      </c>
      <c r="AA973" s="11">
        <f t="shared" si="340"/>
        <v>45917.676203703697</v>
      </c>
      <c r="AB973" s="5" t="str">
        <f t="shared" si="341"/>
        <v>INV13567</v>
      </c>
      <c r="AC973" s="5" t="str">
        <f>IFERROR(VLOOKUP(D973,CAARStatus!$A$2:$AA$1600,22,FALSE),"Not invoiced")</f>
        <v>Paid</v>
      </c>
      <c r="AD973" s="11">
        <f>IF(AC973="Paid",IFERROR(VLOOKUP(D973,CAARStatus!$A$2:$AA$1600,6,FALSE),"Pending"),"Pending")</f>
        <v>46002</v>
      </c>
      <c r="AE973" s="5" t="str">
        <f t="shared" si="342"/>
        <v>3316</v>
      </c>
      <c r="AF973" s="5" t="str">
        <f t="shared" si="343"/>
        <v>Les Pompes du St-Laurent Inc.</v>
      </c>
      <c r="AG973" s="5" t="str">
        <f t="shared" si="344"/>
        <v>CAD</v>
      </c>
      <c r="AH973" s="5">
        <f t="shared" si="345"/>
        <v>20861.189999999999</v>
      </c>
      <c r="AI973" s="12">
        <f>IF(L973-N973=0,VLOOKUP(U973,rate!A$4:B$15,2,FALSE)*AH973,IF(AG973="USD",O973,AH973*Y973))</f>
        <v>14982.001012985666</v>
      </c>
      <c r="AJ973" s="13">
        <f t="shared" si="346"/>
        <v>0.71817576144916306</v>
      </c>
      <c r="AK973" s="13">
        <f>-IF(AG973="CAD",IFERROR(VLOOKUP(D973,CAARStatus!$A$1:$Y$1600,16,FALSE),0),0)</f>
        <v>-20861.189999999999</v>
      </c>
      <c r="AL973" s="13">
        <f>-IF(AG973="USD",IFERROR(VLOOKUP(D973,CAARStatus!$A$1:$Y$1600,11,FALSE),0),0)</f>
        <v>0</v>
      </c>
      <c r="AM973" s="22">
        <f t="shared" si="347"/>
        <v>0</v>
      </c>
      <c r="AN973" s="12" t="str">
        <f t="shared" si="348"/>
        <v/>
      </c>
      <c r="AO973" s="12" t="str">
        <f t="shared" si="349"/>
        <v>Yes</v>
      </c>
      <c r="AP973" t="str">
        <f t="shared" si="334"/>
        <v>Yes</v>
      </c>
      <c r="AQ973" t="str">
        <f>IFERROR(VLOOKUP(Z973,InvBal!$L$4:$P$600,4,FALSE),"Pend")</f>
        <v>Pend</v>
      </c>
      <c r="AR973" t="str">
        <f>IFERROR(VLOOKUP(D973,Manual!$C$1:$E$22,2,FALSE),"Pend")</f>
        <v>Pend</v>
      </c>
      <c r="AS973" t="str">
        <f t="shared" si="350"/>
        <v>Yes</v>
      </c>
      <c r="AT973" t="str">
        <f t="shared" si="351"/>
        <v>Yes</v>
      </c>
      <c r="AU973" s="51" t="str">
        <f t="shared" si="352"/>
        <v>Yes</v>
      </c>
      <c r="AV973" s="12">
        <f>IFERROR(VLOOKUP(D973,'Receivable Invoice Detail'!$S$1:$U$3014,3,FALSE),0)</f>
        <v>0</v>
      </c>
      <c r="AW973" s="12">
        <f t="shared" si="353"/>
        <v>14982.001012985666</v>
      </c>
    </row>
    <row r="974" spans="1:49" x14ac:dyDescent="0.25">
      <c r="A974" s="2">
        <v>1</v>
      </c>
      <c r="B974" s="2" t="s">
        <v>615</v>
      </c>
      <c r="C974" s="2" t="s">
        <v>616</v>
      </c>
      <c r="D974" s="2" t="s">
        <v>3197</v>
      </c>
      <c r="E974" s="2" t="s">
        <v>141</v>
      </c>
      <c r="F974" s="3">
        <v>45917.781805555547</v>
      </c>
      <c r="G974" s="3">
        <v>45917.780405092592</v>
      </c>
      <c r="H974" s="4">
        <v>45922</v>
      </c>
      <c r="I974" s="2" t="s">
        <v>40</v>
      </c>
      <c r="J974" s="2" t="s">
        <v>51</v>
      </c>
      <c r="K974" s="2">
        <v>0.72742160366744635</v>
      </c>
      <c r="L974" s="2">
        <v>648.15231995164311</v>
      </c>
      <c r="M974" s="2">
        <v>0</v>
      </c>
      <c r="N974" s="2">
        <v>471.48</v>
      </c>
      <c r="O974" s="2">
        <v>471.48</v>
      </c>
      <c r="P974" s="2"/>
      <c r="Q974" s="2">
        <v>471.48</v>
      </c>
      <c r="R974" s="2" t="s">
        <v>44</v>
      </c>
      <c r="S974" s="2"/>
      <c r="T974" s="2">
        <f t="shared" si="335"/>
        <v>1</v>
      </c>
      <c r="U974" s="18">
        <f t="shared" si="336"/>
        <v>9</v>
      </c>
      <c r="V974" s="18">
        <f t="shared" si="337"/>
        <v>2025</v>
      </c>
      <c r="W974" s="18" t="str">
        <f t="shared" si="338"/>
        <v/>
      </c>
      <c r="X974" s="18" t="str">
        <f t="shared" si="339"/>
        <v/>
      </c>
      <c r="Y974" s="2">
        <f t="shared" si="332"/>
        <v>0.72742160366744635</v>
      </c>
      <c r="Z974" t="str">
        <f t="shared" si="333"/>
        <v>SO17873</v>
      </c>
      <c r="AA974" s="11">
        <f t="shared" si="340"/>
        <v>45917.781805555547</v>
      </c>
      <c r="AB974" s="5" t="str">
        <f t="shared" si="341"/>
        <v>INV13453</v>
      </c>
      <c r="AC974" s="5" t="str">
        <f>IFERROR(VLOOKUP(D974,CAARStatus!$A$2:$AA$1600,22,FALSE),"Not invoiced")</f>
        <v>Approved</v>
      </c>
      <c r="AD974" s="11" t="str">
        <f>IF(AC974="Paid",IFERROR(VLOOKUP(D974,CAARStatus!$A$2:$AA$1600,6,FALSE),"Pending"),"Pending")</f>
        <v>Pending</v>
      </c>
      <c r="AE974" s="5" t="str">
        <f t="shared" si="342"/>
        <v>4512339725</v>
      </c>
      <c r="AF974" s="5" t="str">
        <f t="shared" si="343"/>
        <v>PT Vale Indonesia Tbk.</v>
      </c>
      <c r="AG974" s="5" t="str">
        <f t="shared" si="344"/>
        <v>USD</v>
      </c>
      <c r="AH974" s="5">
        <f t="shared" si="345"/>
        <v>648.15231995164311</v>
      </c>
      <c r="AI974" s="12">
        <f>IF(L974-N974=0,VLOOKUP(U974,rate!A$4:B$15,2,FALSE)*AH974,IF(AG974="USD",O974,AH974*Y974))</f>
        <v>471.48</v>
      </c>
      <c r="AJ974" s="13">
        <f t="shared" si="346"/>
        <v>0.72742160366744635</v>
      </c>
      <c r="AK974" s="61">
        <f>IF(AC974="Paid",-IF(AG974="CAD",IFERROR(VLOOKUP(D974,CAARStatus!$A$1:$Y$1600,16,FALSE),0),0),0)</f>
        <v>0</v>
      </c>
      <c r="AL974" s="61">
        <f>IF(AC974="Paid",-IF(AG974="USD",IFERROR(VLOOKUP(D974,CAARStatus!$A$1:$Y$1600,11,FALSE),0),0),0)</f>
        <v>0</v>
      </c>
      <c r="AM974" s="22" t="str">
        <f t="shared" si="347"/>
        <v/>
      </c>
      <c r="AN974" s="12">
        <f t="shared" si="348"/>
        <v>471.48</v>
      </c>
      <c r="AO974" s="12" t="str">
        <f t="shared" si="349"/>
        <v>Pend</v>
      </c>
      <c r="AP974" t="str">
        <f t="shared" si="334"/>
        <v>Pend</v>
      </c>
      <c r="AQ974" t="str">
        <f>IFERROR(VLOOKUP(Z974,InvBal!$L$4:$P$600,4,FALSE),"Pend")</f>
        <v>Pend</v>
      </c>
      <c r="AR974" t="str">
        <f>IFERROR(VLOOKUP(D974,Manual!$C$1:$E$22,2,FALSE),"Pend")</f>
        <v>Pend</v>
      </c>
      <c r="AS974" t="str">
        <f t="shared" si="350"/>
        <v/>
      </c>
      <c r="AT974" t="str">
        <f t="shared" si="351"/>
        <v>Yes</v>
      </c>
      <c r="AU974" s="51" t="str">
        <f t="shared" si="352"/>
        <v/>
      </c>
      <c r="AV974" s="12">
        <f>IFERROR(VLOOKUP(D974,'Receivable Invoice Detail'!$S$1:$U$3014,3,FALSE),0)</f>
        <v>0</v>
      </c>
      <c r="AW974" s="12">
        <f t="shared" si="353"/>
        <v>0</v>
      </c>
    </row>
    <row r="975" spans="1:49" x14ac:dyDescent="0.25">
      <c r="A975" s="2">
        <v>1</v>
      </c>
      <c r="B975" s="2" t="s">
        <v>613</v>
      </c>
      <c r="C975" s="2" t="s">
        <v>614</v>
      </c>
      <c r="D975" s="2" t="s">
        <v>3198</v>
      </c>
      <c r="E975" s="2" t="s">
        <v>95</v>
      </c>
      <c r="F975" s="3">
        <v>45918.334699074083</v>
      </c>
      <c r="G975" s="3">
        <v>45918.464629629627</v>
      </c>
      <c r="H975" s="4">
        <v>45974</v>
      </c>
      <c r="I975" s="2" t="s">
        <v>21</v>
      </c>
      <c r="J975" s="2" t="s">
        <v>22</v>
      </c>
      <c r="K975" s="2">
        <v>1</v>
      </c>
      <c r="L975" s="2">
        <v>6106.39</v>
      </c>
      <c r="M975" s="2">
        <v>0</v>
      </c>
      <c r="N975" s="2">
        <v>4425.6051084450492</v>
      </c>
      <c r="O975" s="2">
        <v>5815.61</v>
      </c>
      <c r="P975" s="2">
        <v>290.77999999999997</v>
      </c>
      <c r="Q975" s="2">
        <v>6106.39</v>
      </c>
      <c r="R975" s="2" t="s">
        <v>44</v>
      </c>
      <c r="S975" s="2"/>
      <c r="T975" s="2">
        <f t="shared" si="335"/>
        <v>1</v>
      </c>
      <c r="U975" s="18">
        <f t="shared" si="336"/>
        <v>9</v>
      </c>
      <c r="V975" s="18">
        <f t="shared" si="337"/>
        <v>2025</v>
      </c>
      <c r="W975" s="18">
        <f t="shared" si="338"/>
        <v>10</v>
      </c>
      <c r="X975" s="18">
        <f t="shared" si="339"/>
        <v>2025</v>
      </c>
      <c r="Y975" s="2">
        <f t="shared" si="332"/>
        <v>0.72474982902255647</v>
      </c>
      <c r="Z975" t="str">
        <f t="shared" si="333"/>
        <v>SO17874</v>
      </c>
      <c r="AA975" s="11">
        <f t="shared" si="340"/>
        <v>45918.334699074083</v>
      </c>
      <c r="AB975" s="5" t="str">
        <f t="shared" si="341"/>
        <v>INV13494</v>
      </c>
      <c r="AC975" s="5" t="str">
        <f>IFERROR(VLOOKUP(D975,CAARStatus!$A$2:$AA$1600,22,FALSE),"Not invoiced")</f>
        <v>Paid</v>
      </c>
      <c r="AD975" s="11">
        <f>IF(AC975="Paid",IFERROR(VLOOKUP(D975,CAARStatus!$A$2:$AA$1600,6,FALSE),"Pending"),"Pending")</f>
        <v>45959</v>
      </c>
      <c r="AE975" s="5" t="str">
        <f t="shared" si="342"/>
        <v>324501</v>
      </c>
      <c r="AF975" s="5" t="str">
        <f t="shared" si="343"/>
        <v>Gibraltar Mine (Canada)</v>
      </c>
      <c r="AG975" s="5" t="str">
        <f t="shared" si="344"/>
        <v>CAD</v>
      </c>
      <c r="AH975" s="5">
        <f t="shared" si="345"/>
        <v>5815.61</v>
      </c>
      <c r="AI975" s="12">
        <f>IF(L975-N975=0,VLOOKUP(U975,rate!A$4:B$15,2,FALSE)*AH975,IF(AG975="USD",O975,AH975*Y975))</f>
        <v>4214.8623531618696</v>
      </c>
      <c r="AJ975" s="13">
        <f t="shared" si="346"/>
        <v>0.72474982902255647</v>
      </c>
      <c r="AK975" s="61">
        <f>IF(AC975="Paid",-IF(AG975="CAD",IFERROR(VLOOKUP(D975,CAARStatus!$A$1:$Y$1600,16,FALSE),0),0),0)</f>
        <v>-5815.61</v>
      </c>
      <c r="AL975" s="61">
        <f>IF(AC975="Paid",-IF(AG975="USD",IFERROR(VLOOKUP(D975,CAARStatus!$A$1:$Y$1600,11,FALSE),0),0),0)</f>
        <v>0</v>
      </c>
      <c r="AM975" s="22">
        <f t="shared" si="347"/>
        <v>0</v>
      </c>
      <c r="AN975" s="12" t="str">
        <f t="shared" si="348"/>
        <v/>
      </c>
      <c r="AO975" s="12" t="str">
        <f t="shared" si="349"/>
        <v>Yes</v>
      </c>
      <c r="AP975" t="str">
        <f t="shared" si="334"/>
        <v>Yes</v>
      </c>
      <c r="AQ975" t="str">
        <f>IFERROR(VLOOKUP(Z975,InvBal!$L$4:$P$600,4,FALSE),"Pend")</f>
        <v>Pend</v>
      </c>
      <c r="AR975" t="str">
        <f>IFERROR(VLOOKUP(D975,Manual!$C$1:$E$22,2,FALSE),"Pend")</f>
        <v>Pend</v>
      </c>
      <c r="AS975" t="str">
        <f t="shared" si="350"/>
        <v>Yes</v>
      </c>
      <c r="AT975" t="str">
        <f t="shared" si="351"/>
        <v>Yes</v>
      </c>
      <c r="AU975" s="51" t="str">
        <f t="shared" si="352"/>
        <v>Yes</v>
      </c>
      <c r="AV975" s="12">
        <f>IFERROR(VLOOKUP(D975,'Receivable Invoice Detail'!$S$1:$U$3014,3,FALSE),0)</f>
        <v>0</v>
      </c>
      <c r="AW975" s="12">
        <f t="shared" si="353"/>
        <v>4214.8623531618696</v>
      </c>
    </row>
    <row r="976" spans="1:49" x14ac:dyDescent="0.25">
      <c r="A976" s="2">
        <v>1</v>
      </c>
      <c r="B976" s="2" t="s">
        <v>591</v>
      </c>
      <c r="C976" s="2" t="s">
        <v>592</v>
      </c>
      <c r="D976" s="2" t="s">
        <v>3208</v>
      </c>
      <c r="E976" s="2" t="s">
        <v>271</v>
      </c>
      <c r="F976" s="3">
        <v>45918.407106481478</v>
      </c>
      <c r="G976" s="3">
        <v>45922.68613425926</v>
      </c>
      <c r="H976" s="4">
        <v>45929</v>
      </c>
      <c r="I976" s="2" t="s">
        <v>74</v>
      </c>
      <c r="J976" s="2" t="s">
        <v>22</v>
      </c>
      <c r="K976" s="2">
        <v>1</v>
      </c>
      <c r="L976" s="2">
        <v>588.59</v>
      </c>
      <c r="M976" s="2">
        <v>0</v>
      </c>
      <c r="N976" s="2">
        <v>426.02547517035902</v>
      </c>
      <c r="O976" s="2">
        <v>560.55999999999995</v>
      </c>
      <c r="P976" s="2">
        <v>28.03</v>
      </c>
      <c r="Q976" s="2">
        <v>588.59</v>
      </c>
      <c r="R976" s="2" t="s">
        <v>44</v>
      </c>
      <c r="S976" s="2"/>
      <c r="T976" s="2">
        <f t="shared" si="335"/>
        <v>1</v>
      </c>
      <c r="U976" s="18">
        <f t="shared" si="336"/>
        <v>9</v>
      </c>
      <c r="V976" s="18">
        <f t="shared" si="337"/>
        <v>2025</v>
      </c>
      <c r="W976" s="18">
        <f t="shared" si="338"/>
        <v>10</v>
      </c>
      <c r="X976" s="18">
        <f t="shared" si="339"/>
        <v>2025</v>
      </c>
      <c r="Y976" s="2">
        <f t="shared" si="332"/>
        <v>0.72380685225769892</v>
      </c>
      <c r="Z976" t="str">
        <f t="shared" si="333"/>
        <v>SO17876</v>
      </c>
      <c r="AA976" s="11">
        <f t="shared" si="340"/>
        <v>45918.407106481478</v>
      </c>
      <c r="AB976" s="5" t="str">
        <f t="shared" si="341"/>
        <v>INV13425</v>
      </c>
      <c r="AC976" s="5" t="str">
        <f>IFERROR(VLOOKUP(D976,CAARStatus!$A$2:$AA$1600,22,FALSE),"Not invoiced")</f>
        <v>Paid</v>
      </c>
      <c r="AD976" s="11">
        <f>IF(AC976="Paid",IFERROR(VLOOKUP(D976,CAARStatus!$A$2:$AA$1600,6,FALSE),"Pending"),"Pending")</f>
        <v>45960</v>
      </c>
      <c r="AE976" s="5" t="str">
        <f t="shared" si="342"/>
        <v>7698</v>
      </c>
      <c r="AF976" s="5" t="str">
        <f t="shared" si="343"/>
        <v>Hyperflo, Hyperflo</v>
      </c>
      <c r="AG976" s="5" t="str">
        <f t="shared" si="344"/>
        <v>CAD</v>
      </c>
      <c r="AH976" s="5">
        <f t="shared" si="345"/>
        <v>560.55999999999995</v>
      </c>
      <c r="AI976" s="12">
        <f>IF(L976-N976=0,VLOOKUP(U976,rate!A$4:B$15,2,FALSE)*AH976,IF(AG976="USD",O976,AH976*Y976))</f>
        <v>405.73716910157566</v>
      </c>
      <c r="AJ976" s="13">
        <f t="shared" si="346"/>
        <v>0.72380685225769892</v>
      </c>
      <c r="AK976" s="13">
        <f>-IF(AG976="CAD",IFERROR(VLOOKUP(D976,CAARStatus!$A$1:$Y$1600,16,FALSE),0),0)</f>
        <v>-560.55999999999995</v>
      </c>
      <c r="AL976" s="13">
        <f>-IF(AG976="USD",IFERROR(VLOOKUP(D976,CAARStatus!$A$1:$Y$1600,11,FALSE),0),0)</f>
        <v>0</v>
      </c>
      <c r="AM976" s="22">
        <f t="shared" si="347"/>
        <v>0</v>
      </c>
      <c r="AN976" s="12" t="str">
        <f t="shared" si="348"/>
        <v/>
      </c>
      <c r="AO976" s="12" t="str">
        <f t="shared" si="349"/>
        <v>Yes</v>
      </c>
      <c r="AP976" t="str">
        <f t="shared" si="334"/>
        <v>Yes</v>
      </c>
      <c r="AQ976" t="str">
        <f>IFERROR(VLOOKUP(Z976,InvBal!$L$4:$P$600,4,FALSE),"Pend")</f>
        <v>Pend</v>
      </c>
      <c r="AR976" t="str">
        <f>IFERROR(VLOOKUP(D976,Manual!$C$1:$E$22,2,FALSE),"Pend")</f>
        <v>Pend</v>
      </c>
      <c r="AS976" t="str">
        <f t="shared" si="350"/>
        <v>Yes</v>
      </c>
      <c r="AT976" t="str">
        <f t="shared" si="351"/>
        <v>Yes</v>
      </c>
      <c r="AU976" s="51" t="str">
        <f t="shared" si="352"/>
        <v>Yes</v>
      </c>
      <c r="AV976" s="12">
        <f>IFERROR(VLOOKUP(D976,'Receivable Invoice Detail'!$S$1:$U$3014,3,FALSE),0)</f>
        <v>0</v>
      </c>
      <c r="AW976" s="12">
        <f t="shared" si="353"/>
        <v>405.73716910157566</v>
      </c>
    </row>
    <row r="977" spans="1:49" ht="30" x14ac:dyDescent="0.25">
      <c r="A977" s="2">
        <v>1</v>
      </c>
      <c r="B977" s="2" t="s">
        <v>600</v>
      </c>
      <c r="C977" s="2" t="s">
        <v>601</v>
      </c>
      <c r="D977" s="2" t="s">
        <v>3204</v>
      </c>
      <c r="E977" s="2" t="s">
        <v>602</v>
      </c>
      <c r="F977" s="3">
        <v>45918.53633101852</v>
      </c>
      <c r="G977" s="3">
        <v>45919.606828703712</v>
      </c>
      <c r="H977" s="4">
        <v>45922</v>
      </c>
      <c r="I977" s="2" t="s">
        <v>67</v>
      </c>
      <c r="J977" s="2" t="s">
        <v>22</v>
      </c>
      <c r="K977" s="2">
        <v>1</v>
      </c>
      <c r="L977" s="2">
        <v>6766.44</v>
      </c>
      <c r="M977" s="2">
        <v>0</v>
      </c>
      <c r="N977" s="2">
        <v>4913.3074997820386</v>
      </c>
      <c r="O977" s="2">
        <v>5988</v>
      </c>
      <c r="P977" s="2">
        <v>778.44</v>
      </c>
      <c r="Q977" s="2">
        <v>6766.44</v>
      </c>
      <c r="R977" s="2" t="s">
        <v>44</v>
      </c>
      <c r="S977" s="2"/>
      <c r="T977" s="2">
        <f t="shared" si="335"/>
        <v>1</v>
      </c>
      <c r="U977" s="18">
        <f t="shared" si="336"/>
        <v>9</v>
      </c>
      <c r="V977" s="18">
        <f t="shared" si="337"/>
        <v>2025</v>
      </c>
      <c r="W977" s="18" t="str">
        <f t="shared" si="338"/>
        <v/>
      </c>
      <c r="X977" s="18" t="str">
        <f t="shared" si="339"/>
        <v/>
      </c>
      <c r="Y977" s="2">
        <f t="shared" si="332"/>
        <v>0.72612888014702548</v>
      </c>
      <c r="Z977" t="str">
        <f t="shared" si="333"/>
        <v>SO17877</v>
      </c>
      <c r="AA977" s="11">
        <f t="shared" si="340"/>
        <v>45918.53633101852</v>
      </c>
      <c r="AB977" s="5" t="str">
        <f t="shared" si="341"/>
        <v>INV13493</v>
      </c>
      <c r="AC977" s="5" t="str">
        <f>IFERROR(VLOOKUP(D977,CAARStatus!$A$2:$AA$1600,22,FALSE),"Not invoiced")</f>
        <v>Approved</v>
      </c>
      <c r="AD977" s="11" t="str">
        <f>IF(AC977="Paid",IFERROR(VLOOKUP(D977,CAARStatus!$A$2:$AA$1600,6,FALSE),"Pending"),"Pending")</f>
        <v>Pending</v>
      </c>
      <c r="AE977" s="5" t="str">
        <f t="shared" si="342"/>
        <v>ON50-00003207</v>
      </c>
      <c r="AF977" s="5" t="str">
        <f t="shared" si="343"/>
        <v>Motion Industries Inc. (Canada) - Thunder Bay</v>
      </c>
      <c r="AG977" s="5" t="str">
        <f t="shared" si="344"/>
        <v>CAD</v>
      </c>
      <c r="AH977" s="5">
        <f t="shared" si="345"/>
        <v>5988</v>
      </c>
      <c r="AI977" s="12">
        <f>IF(L977-N977=0,VLOOKUP(U977,rate!A$4:B$15,2,FALSE)*AH977,IF(AG977="USD",O977,AH977*Y977))</f>
        <v>4348.059734320389</v>
      </c>
      <c r="AJ977" s="13">
        <f t="shared" si="346"/>
        <v>0.72612888014702559</v>
      </c>
      <c r="AK977" s="13">
        <f>-IF(AG977="CAD",IFERROR(VLOOKUP(D977,CAARStatus!$A$1:$Y$1600,16,FALSE),0),0)</f>
        <v>-5988</v>
      </c>
      <c r="AL977" s="13">
        <f>-IF(AG977="USD",IFERROR(VLOOKUP(D977,CAARStatus!$A$1:$Y$1600,11,FALSE),0),0)</f>
        <v>0</v>
      </c>
      <c r="AM977" s="22">
        <f t="shared" si="347"/>
        <v>0</v>
      </c>
      <c r="AN977" s="12" t="str">
        <f t="shared" si="348"/>
        <v/>
      </c>
      <c r="AO977" s="12" t="str">
        <f t="shared" si="349"/>
        <v>Pend</v>
      </c>
      <c r="AP977" t="str">
        <f t="shared" si="334"/>
        <v>Pend</v>
      </c>
      <c r="AQ977" t="str">
        <f>IFERROR(VLOOKUP(Z977,InvBal!$L$4:$P$600,4,FALSE),"Pend")</f>
        <v>Pend</v>
      </c>
      <c r="AR977" t="str">
        <f>IFERROR(VLOOKUP(D977,Manual!$C$1:$E$22,2,FALSE),"Pend")</f>
        <v>Pend</v>
      </c>
      <c r="AS977" t="str">
        <f t="shared" si="350"/>
        <v/>
      </c>
      <c r="AT977" t="str">
        <f t="shared" si="351"/>
        <v>Yes</v>
      </c>
      <c r="AU977" s="51" t="str">
        <f t="shared" si="352"/>
        <v/>
      </c>
      <c r="AV977" s="12">
        <f>IFERROR(VLOOKUP(D977,'Receivable Invoice Detail'!$S$1:$U$3014,3,FALSE),0)</f>
        <v>0</v>
      </c>
      <c r="AW977" s="12">
        <f t="shared" si="353"/>
        <v>0</v>
      </c>
    </row>
    <row r="978" spans="1:49" x14ac:dyDescent="0.25">
      <c r="A978" s="2">
        <v>1</v>
      </c>
      <c r="B978" s="2" t="s">
        <v>605</v>
      </c>
      <c r="C978" s="2" t="s">
        <v>606</v>
      </c>
      <c r="D978" s="2" t="s">
        <v>3202</v>
      </c>
      <c r="E978" s="2" t="s">
        <v>607</v>
      </c>
      <c r="F978" s="3">
        <v>45918.552951388891</v>
      </c>
      <c r="G978" s="3">
        <v>45918.718946759262</v>
      </c>
      <c r="H978" s="4">
        <v>45919</v>
      </c>
      <c r="I978" s="2" t="s">
        <v>21</v>
      </c>
      <c r="J978" s="2" t="s">
        <v>22</v>
      </c>
      <c r="K978" s="2">
        <v>1</v>
      </c>
      <c r="L978" s="2">
        <v>1363.01</v>
      </c>
      <c r="M978" s="2">
        <v>0</v>
      </c>
      <c r="N978" s="2">
        <v>987.84126445603488</v>
      </c>
      <c r="O978" s="2">
        <v>1298.0999999999999</v>
      </c>
      <c r="P978" s="2">
        <v>64.91</v>
      </c>
      <c r="Q978" s="2">
        <v>1363.01</v>
      </c>
      <c r="R978" s="2" t="s">
        <v>44</v>
      </c>
      <c r="S978" s="2"/>
      <c r="T978" s="2">
        <f t="shared" si="335"/>
        <v>1</v>
      </c>
      <c r="U978" s="18">
        <f t="shared" si="336"/>
        <v>9</v>
      </c>
      <c r="V978" s="18">
        <f t="shared" si="337"/>
        <v>2025</v>
      </c>
      <c r="W978" s="18" t="str">
        <f t="shared" si="338"/>
        <v/>
      </c>
      <c r="X978" s="18" t="str">
        <f t="shared" si="339"/>
        <v/>
      </c>
      <c r="Y978" s="2">
        <f t="shared" si="332"/>
        <v>0.72474982902255658</v>
      </c>
      <c r="Z978" t="str">
        <f t="shared" si="333"/>
        <v>SO17878</v>
      </c>
      <c r="AA978" s="11">
        <f t="shared" si="340"/>
        <v>45918.552951388891</v>
      </c>
      <c r="AB978" s="5" t="str">
        <f t="shared" si="341"/>
        <v>INV13441</v>
      </c>
      <c r="AC978" s="5" t="str">
        <f>IFERROR(VLOOKUP(D978,CAARStatus!$A$2:$AA$1600,22,FALSE),"Not invoiced")</f>
        <v>Not invoiced</v>
      </c>
      <c r="AD978" s="11" t="str">
        <f>IF(AC978="Paid",IFERROR(VLOOKUP(D978,CAARStatus!$A$2:$AA$1600,6,FALSE),"Pending"),"Pending")</f>
        <v>Pending</v>
      </c>
      <c r="AE978" s="5" t="str">
        <f t="shared" si="342"/>
        <v>3102228</v>
      </c>
      <c r="AF978" s="5" t="str">
        <f t="shared" si="343"/>
        <v>Lantic Inc.</v>
      </c>
      <c r="AG978" s="5" t="str">
        <f t="shared" si="344"/>
        <v>CAD</v>
      </c>
      <c r="AH978" s="5">
        <f t="shared" si="345"/>
        <v>1298.0999999999999</v>
      </c>
      <c r="AI978" s="12">
        <f>IF(L978-N978=0,VLOOKUP(U978,rate!A$4:B$15,2,FALSE)*AH978,IF(AG978="USD",O978,AH978*Y978))</f>
        <v>940.79775305418059</v>
      </c>
      <c r="AJ978" s="13">
        <f t="shared" si="346"/>
        <v>0.72474982902255658</v>
      </c>
      <c r="AK978" s="13">
        <f>-IF(AG978="CAD",IFERROR(VLOOKUP(D978,CAARStatus!$A$1:$Y$1600,16,FALSE),0),0)</f>
        <v>0</v>
      </c>
      <c r="AL978" s="13">
        <f>-IF(AG978="USD",IFERROR(VLOOKUP(D978,CAARStatus!$A$1:$Y$1600,11,FALSE),0),0)</f>
        <v>0</v>
      </c>
      <c r="AM978" s="22">
        <f t="shared" si="347"/>
        <v>1298.0999999999999</v>
      </c>
      <c r="AN978" s="12" t="str">
        <f t="shared" si="348"/>
        <v/>
      </c>
      <c r="AO978" s="12" t="str">
        <f t="shared" si="349"/>
        <v>Pend</v>
      </c>
      <c r="AP978" t="str">
        <f t="shared" si="334"/>
        <v>Pend</v>
      </c>
      <c r="AQ978" t="str">
        <f>IFERROR(VLOOKUP(Z978,InvBal!$L$4:$P$600,4,FALSE),"Pend")</f>
        <v>Pend</v>
      </c>
      <c r="AR978" t="str">
        <f>IFERROR(VLOOKUP(D978,Manual!$C$1:$E$22,2,FALSE),"Pend")</f>
        <v>Pend</v>
      </c>
      <c r="AS978" t="str">
        <f t="shared" si="350"/>
        <v/>
      </c>
      <c r="AT978" t="str">
        <f t="shared" si="351"/>
        <v>Yes</v>
      </c>
      <c r="AU978" s="51" t="str">
        <f t="shared" si="352"/>
        <v/>
      </c>
      <c r="AV978" s="12">
        <f>IFERROR(VLOOKUP(D978,'Receivable Invoice Detail'!$S$1:$U$3014,3,FALSE),0)</f>
        <v>0</v>
      </c>
      <c r="AW978" s="12">
        <f t="shared" si="353"/>
        <v>0</v>
      </c>
    </row>
    <row r="979" spans="1:49" ht="30" x14ac:dyDescent="0.25">
      <c r="A979" s="2">
        <v>1</v>
      </c>
      <c r="B979" s="2" t="s">
        <v>588</v>
      </c>
      <c r="C979" s="2" t="s">
        <v>5967</v>
      </c>
      <c r="D979" s="2" t="s">
        <v>5966</v>
      </c>
      <c r="E979" s="2" t="s">
        <v>32</v>
      </c>
      <c r="F979" s="3">
        <v>45918.558541666673</v>
      </c>
      <c r="G979" s="3">
        <v>45923.405092592591</v>
      </c>
      <c r="H979" s="4">
        <v>46007</v>
      </c>
      <c r="I979" s="2" t="s">
        <v>21</v>
      </c>
      <c r="J979" s="2" t="s">
        <v>22</v>
      </c>
      <c r="K979" s="2">
        <v>1</v>
      </c>
      <c r="L979" s="2">
        <v>9939.7999999999993</v>
      </c>
      <c r="M979" s="2">
        <v>0</v>
      </c>
      <c r="N979" s="2">
        <v>7184.6891946095939</v>
      </c>
      <c r="O979" s="2">
        <v>8796.2800000000007</v>
      </c>
      <c r="P979" s="2">
        <v>1143.52</v>
      </c>
      <c r="Q979" s="2">
        <v>9939.7999999999993</v>
      </c>
      <c r="R979" s="2" t="s">
        <v>44</v>
      </c>
      <c r="S979" s="2"/>
      <c r="T979" s="2">
        <f t="shared" si="335"/>
        <v>1</v>
      </c>
      <c r="U979" s="18">
        <f t="shared" si="336"/>
        <v>9</v>
      </c>
      <c r="V979" s="18">
        <f t="shared" si="337"/>
        <v>2025</v>
      </c>
      <c r="W979" s="18" t="str">
        <f t="shared" si="338"/>
        <v/>
      </c>
      <c r="X979" s="18" t="str">
        <f t="shared" si="339"/>
        <v/>
      </c>
      <c r="Y979" s="2">
        <f t="shared" si="332"/>
        <v>0.72282029765282951</v>
      </c>
      <c r="Z979" t="str">
        <f t="shared" si="333"/>
        <v>SO17879</v>
      </c>
      <c r="AA979" s="11">
        <f t="shared" si="340"/>
        <v>45918.558541666673</v>
      </c>
      <c r="AB979" s="5" t="str">
        <f t="shared" si="341"/>
        <v>INV13736</v>
      </c>
      <c r="AC979" s="5" t="str">
        <f>IFERROR(VLOOKUP(D979,CAARStatus!$A$2:$AA$1600,22,FALSE),"Not invoiced")</f>
        <v>Approved</v>
      </c>
      <c r="AD979" s="11" t="str">
        <f>IF(AC979="Paid",IFERROR(VLOOKUP(D979,CAARStatus!$A$2:$AA$1600,6,FALSE),"Pending"),"Pending")</f>
        <v>Pending</v>
      </c>
      <c r="AE979" s="5" t="str">
        <f t="shared" si="342"/>
        <v>4500909582</v>
      </c>
      <c r="AF979" s="5" t="str">
        <f t="shared" si="343"/>
        <v>Cameco Corporation - Blind River Refinery</v>
      </c>
      <c r="AG979" s="5" t="str">
        <f t="shared" si="344"/>
        <v>CAD</v>
      </c>
      <c r="AH979" s="5">
        <f t="shared" si="345"/>
        <v>8796.2800000000007</v>
      </c>
      <c r="AI979" s="12">
        <f>IF(L979-N979=0,VLOOKUP(U979,rate!A$4:B$15,2,FALSE)*AH979,IF(AG979="USD",O979,AH979*Y979))</f>
        <v>6358.1297278376314</v>
      </c>
      <c r="AJ979" s="13">
        <f t="shared" si="346"/>
        <v>0.72282029765282951</v>
      </c>
      <c r="AK979" s="13">
        <f>-IF(AG979="CAD",IFERROR(VLOOKUP(D979,CAARStatus!$A$1:$Y$1600,16,FALSE),0),0)</f>
        <v>-8796.2800000000007</v>
      </c>
      <c r="AL979" s="13">
        <f>-IF(AG979="USD",IFERROR(VLOOKUP(D979,CAARStatus!$A$1:$Y$1600,11,FALSE),0),0)</f>
        <v>0</v>
      </c>
      <c r="AM979" s="22">
        <f t="shared" si="347"/>
        <v>0</v>
      </c>
      <c r="AN979" s="12" t="str">
        <f t="shared" si="348"/>
        <v/>
      </c>
      <c r="AO979" s="12" t="str">
        <f t="shared" si="349"/>
        <v>Pend</v>
      </c>
      <c r="AP979" t="str">
        <f t="shared" si="334"/>
        <v>Pend</v>
      </c>
      <c r="AQ979" t="str">
        <f>IFERROR(VLOOKUP(Z979,InvBal!$L$4:$P$600,4,FALSE),"Pend")</f>
        <v>Pend</v>
      </c>
      <c r="AR979" t="str">
        <f>IFERROR(VLOOKUP(D979,Manual!$C$1:$E$22,2,FALSE),"Pend")</f>
        <v>Pend</v>
      </c>
      <c r="AS979" t="str">
        <f t="shared" si="350"/>
        <v/>
      </c>
      <c r="AT979" t="str">
        <f t="shared" si="351"/>
        <v>Yes</v>
      </c>
      <c r="AU979" s="51" t="str">
        <f t="shared" si="352"/>
        <v/>
      </c>
      <c r="AV979" s="12">
        <f>IFERROR(VLOOKUP(D979,'Receivable Invoice Detail'!$S$1:$U$3014,3,FALSE),0)</f>
        <v>0</v>
      </c>
      <c r="AW979" s="12">
        <f t="shared" si="353"/>
        <v>0</v>
      </c>
    </row>
    <row r="980" spans="1:49" ht="30" x14ac:dyDescent="0.25">
      <c r="A980" s="2">
        <v>1</v>
      </c>
      <c r="B980" s="2" t="s">
        <v>512</v>
      </c>
      <c r="C980" s="2" t="s">
        <v>513</v>
      </c>
      <c r="D980" s="2" t="s">
        <v>3246</v>
      </c>
      <c r="E980" s="2" t="s">
        <v>20</v>
      </c>
      <c r="F980" s="3">
        <v>45918.718726851846</v>
      </c>
      <c r="G980" s="3">
        <v>45930.786643518521</v>
      </c>
      <c r="H980" s="4">
        <v>45937</v>
      </c>
      <c r="I980" s="2" t="s">
        <v>36</v>
      </c>
      <c r="J980" s="2" t="s">
        <v>22</v>
      </c>
      <c r="K980" s="2">
        <v>1</v>
      </c>
      <c r="L980" s="2">
        <v>1421.05</v>
      </c>
      <c r="M980" s="2">
        <v>0</v>
      </c>
      <c r="N980" s="2">
        <v>1020.153613009237</v>
      </c>
      <c r="O980" s="2">
        <v>1353.38</v>
      </c>
      <c r="P980" s="2">
        <v>67.67</v>
      </c>
      <c r="Q980" s="2">
        <v>1421.05</v>
      </c>
      <c r="R980" s="2" t="s">
        <v>44</v>
      </c>
      <c r="S980" s="2"/>
      <c r="T980" s="2">
        <f t="shared" si="335"/>
        <v>1</v>
      </c>
      <c r="U980" s="18">
        <f t="shared" si="336"/>
        <v>9</v>
      </c>
      <c r="V980" s="18">
        <f t="shared" si="337"/>
        <v>2025</v>
      </c>
      <c r="W980" s="18">
        <f t="shared" si="338"/>
        <v>11</v>
      </c>
      <c r="X980" s="18">
        <f t="shared" si="339"/>
        <v>2025</v>
      </c>
      <c r="Y980" s="2">
        <f t="shared" si="332"/>
        <v>0.7178872052420654</v>
      </c>
      <c r="Z980" t="str">
        <f t="shared" si="333"/>
        <v>SO17880</v>
      </c>
      <c r="AA980" s="11">
        <f t="shared" si="340"/>
        <v>45918.718726851846</v>
      </c>
      <c r="AB980" s="5" t="str">
        <f t="shared" si="341"/>
        <v>INV13473</v>
      </c>
      <c r="AC980" s="5" t="str">
        <f>IFERROR(VLOOKUP(D980,CAARStatus!$A$2:$AA$1600,22,FALSE),"Not invoiced")</f>
        <v>Paid</v>
      </c>
      <c r="AD980" s="11">
        <f>IF(AC980="Paid",IFERROR(VLOOKUP(D980,CAARStatus!$A$2:$AA$1600,6,FALSE),"Pending"),"Pending")</f>
        <v>45989</v>
      </c>
      <c r="AE980" s="5" t="str">
        <f t="shared" si="342"/>
        <v>4500613640</v>
      </c>
      <c r="AF980" s="5" t="str">
        <f t="shared" si="343"/>
        <v>Resolute Forest Products - Saint-Felicien</v>
      </c>
      <c r="AG980" s="5" t="str">
        <f t="shared" si="344"/>
        <v>CAD</v>
      </c>
      <c r="AH980" s="5">
        <f t="shared" si="345"/>
        <v>1353.38</v>
      </c>
      <c r="AI980" s="12">
        <f>IF(L980-N980=0,VLOOKUP(U980,rate!A$4:B$15,2,FALSE)*AH980,IF(AG980="USD",O980,AH980*Y980))</f>
        <v>971.57418583050651</v>
      </c>
      <c r="AJ980" s="13">
        <f t="shared" si="346"/>
        <v>0.7178872052420654</v>
      </c>
      <c r="AK980" s="13">
        <f>-IF(AG980="CAD",IFERROR(VLOOKUP(D980,CAARStatus!$A$1:$Y$1600,16,FALSE),0),0)</f>
        <v>-1353.38</v>
      </c>
      <c r="AL980" s="13">
        <f>-IF(AG980="USD",IFERROR(VLOOKUP(D980,CAARStatus!$A$1:$Y$1600,11,FALSE),0),0)</f>
        <v>0</v>
      </c>
      <c r="AM980" s="22">
        <f t="shared" si="347"/>
        <v>0</v>
      </c>
      <c r="AN980" s="12" t="str">
        <f t="shared" si="348"/>
        <v/>
      </c>
      <c r="AO980" s="12" t="str">
        <f t="shared" si="349"/>
        <v>Yes</v>
      </c>
      <c r="AP980" t="str">
        <f t="shared" si="334"/>
        <v>Yes</v>
      </c>
      <c r="AQ980" t="str">
        <f>IFERROR(VLOOKUP(Z980,InvBal!$L$4:$P$600,4,FALSE),"Pend")</f>
        <v>Pend</v>
      </c>
      <c r="AR980" t="str">
        <f>IFERROR(VLOOKUP(D980,Manual!$C$1:$E$22,2,FALSE),"Pend")</f>
        <v>Pend</v>
      </c>
      <c r="AS980" t="str">
        <f t="shared" si="350"/>
        <v>Yes</v>
      </c>
      <c r="AT980" t="str">
        <f t="shared" si="351"/>
        <v>Yes</v>
      </c>
      <c r="AU980" s="51" t="str">
        <f t="shared" si="352"/>
        <v>Yes</v>
      </c>
      <c r="AV980" s="12">
        <f>IFERROR(VLOOKUP(D980,'Receivable Invoice Detail'!$S$1:$U$3014,3,FALSE),0)</f>
        <v>0</v>
      </c>
      <c r="AW980" s="12">
        <f t="shared" si="353"/>
        <v>971.57418583050651</v>
      </c>
    </row>
    <row r="981" spans="1:49" x14ac:dyDescent="0.25">
      <c r="A981" s="2">
        <v>1</v>
      </c>
      <c r="B981" s="2" t="s">
        <v>595</v>
      </c>
      <c r="C981" s="2" t="s">
        <v>596</v>
      </c>
      <c r="D981" s="2" t="s">
        <v>3206</v>
      </c>
      <c r="E981" s="2" t="s">
        <v>146</v>
      </c>
      <c r="F981" s="3">
        <v>45922.506006944437</v>
      </c>
      <c r="G981" s="3">
        <v>45922.511979166673</v>
      </c>
      <c r="H981" s="4">
        <v>45929</v>
      </c>
      <c r="I981" s="2" t="s">
        <v>21</v>
      </c>
      <c r="J981" s="2" t="s">
        <v>22</v>
      </c>
      <c r="K981" s="2">
        <v>1</v>
      </c>
      <c r="L981" s="2">
        <v>316.83</v>
      </c>
      <c r="M981" s="2">
        <v>0</v>
      </c>
      <c r="N981" s="2">
        <v>229.32372500080669</v>
      </c>
      <c r="O981" s="2">
        <v>301.74</v>
      </c>
      <c r="P981" s="2">
        <v>15.09</v>
      </c>
      <c r="Q981" s="2">
        <v>316.83</v>
      </c>
      <c r="R981" s="2" t="s">
        <v>44</v>
      </c>
      <c r="S981" s="2"/>
      <c r="T981" s="2">
        <f t="shared" si="335"/>
        <v>1</v>
      </c>
      <c r="U981" s="18">
        <f t="shared" si="336"/>
        <v>9</v>
      </c>
      <c r="V981" s="18">
        <f t="shared" si="337"/>
        <v>2025</v>
      </c>
      <c r="W981" s="18">
        <f t="shared" si="338"/>
        <v>10</v>
      </c>
      <c r="X981" s="18">
        <f t="shared" si="339"/>
        <v>2025</v>
      </c>
      <c r="Y981" s="2">
        <f t="shared" si="332"/>
        <v>0.72380685225769881</v>
      </c>
      <c r="Z981" t="str">
        <f t="shared" si="333"/>
        <v>SO17889</v>
      </c>
      <c r="AA981" s="11">
        <f t="shared" si="340"/>
        <v>45922.506006944437</v>
      </c>
      <c r="AB981" s="5" t="str">
        <f t="shared" si="341"/>
        <v>INV13424</v>
      </c>
      <c r="AC981" s="5" t="str">
        <f>IFERROR(VLOOKUP(D981,CAARStatus!$A$2:$AA$1600,22,FALSE),"Not invoiced")</f>
        <v>Paid</v>
      </c>
      <c r="AD981" s="11">
        <f>IF(AC981="Paid",IFERROR(VLOOKUP(D981,CAARStatus!$A$2:$AA$1600,6,FALSE),"Pending"),"Pending")</f>
        <v>45960</v>
      </c>
      <c r="AE981" s="5" t="str">
        <f t="shared" si="342"/>
        <v>7696</v>
      </c>
      <c r="AF981" s="5" t="str">
        <f t="shared" si="343"/>
        <v>Hyperflo</v>
      </c>
      <c r="AG981" s="5" t="str">
        <f t="shared" si="344"/>
        <v>CAD</v>
      </c>
      <c r="AH981" s="5">
        <f t="shared" si="345"/>
        <v>301.74</v>
      </c>
      <c r="AI981" s="12">
        <f>IF(L981-N981=0,VLOOKUP(U981,rate!A$4:B$15,2,FALSE)*AH981,IF(AG981="USD",O981,AH981*Y981))</f>
        <v>218.40147960023805</v>
      </c>
      <c r="AJ981" s="13">
        <f t="shared" si="346"/>
        <v>0.72380685225769881</v>
      </c>
      <c r="AK981" s="61">
        <f>IF(AC981="Paid",-IF(AG981="CAD",IFERROR(VLOOKUP(D981,CAARStatus!$A$1:$Y$1600,16,FALSE),0),0),0)</f>
        <v>-301.74</v>
      </c>
      <c r="AL981" s="61">
        <f>IF(AC981="Paid",-IF(AG981="USD",IFERROR(VLOOKUP(D981,CAARStatus!$A$1:$Y$1600,11,FALSE),0),0),0)</f>
        <v>0</v>
      </c>
      <c r="AM981" s="22">
        <f t="shared" si="347"/>
        <v>0</v>
      </c>
      <c r="AN981" s="12" t="str">
        <f t="shared" si="348"/>
        <v/>
      </c>
      <c r="AO981" s="12" t="str">
        <f t="shared" si="349"/>
        <v>Yes</v>
      </c>
      <c r="AP981" t="str">
        <f t="shared" si="334"/>
        <v>Yes</v>
      </c>
      <c r="AQ981" t="str">
        <f>IFERROR(VLOOKUP(Z981,InvBal!$L$4:$P$600,4,FALSE),"Pend")</f>
        <v>Pend</v>
      </c>
      <c r="AR981" t="str">
        <f>IFERROR(VLOOKUP(D981,Manual!$C$1:$E$22,2,FALSE),"Pend")</f>
        <v>Pend</v>
      </c>
      <c r="AS981" t="str">
        <f t="shared" si="350"/>
        <v>Yes</v>
      </c>
      <c r="AT981" t="str">
        <f t="shared" si="351"/>
        <v>Yes</v>
      </c>
      <c r="AU981" s="51" t="str">
        <f t="shared" si="352"/>
        <v>Yes</v>
      </c>
      <c r="AV981" s="12">
        <f>IFERROR(VLOOKUP(D981,'Receivable Invoice Detail'!$S$1:$U$3014,3,FALSE),0)</f>
        <v>0</v>
      </c>
      <c r="AW981" s="12">
        <f t="shared" si="353"/>
        <v>218.40147960023805</v>
      </c>
    </row>
    <row r="982" spans="1:49" x14ac:dyDescent="0.25">
      <c r="A982" s="2">
        <v>2</v>
      </c>
      <c r="B982" s="2" t="s">
        <v>317</v>
      </c>
      <c r="C982" s="2" t="s">
        <v>318</v>
      </c>
      <c r="D982" s="2" t="s">
        <v>3322</v>
      </c>
      <c r="E982" s="2" t="s">
        <v>316</v>
      </c>
      <c r="F982" s="3">
        <v>45922.700243055559</v>
      </c>
      <c r="G982" s="3">
        <v>45959.547453703701</v>
      </c>
      <c r="H982" s="4">
        <v>45973</v>
      </c>
      <c r="I982" s="2" t="s">
        <v>36</v>
      </c>
      <c r="J982" s="2" t="s">
        <v>22</v>
      </c>
      <c r="K982" s="2">
        <v>1</v>
      </c>
      <c r="L982" s="2">
        <v>3635.55</v>
      </c>
      <c r="M982" s="2">
        <v>0</v>
      </c>
      <c r="N982" s="2">
        <v>2616.3551289474171</v>
      </c>
      <c r="O982" s="2">
        <v>3462.42</v>
      </c>
      <c r="P982" s="2">
        <v>173.13</v>
      </c>
      <c r="Q982" s="2">
        <v>3635.55</v>
      </c>
      <c r="R982" s="2" t="s">
        <v>44</v>
      </c>
      <c r="S982" s="2"/>
      <c r="T982" s="2">
        <f t="shared" si="335"/>
        <v>2</v>
      </c>
      <c r="U982" s="18">
        <f t="shared" si="336"/>
        <v>9</v>
      </c>
      <c r="V982" s="18">
        <f t="shared" si="337"/>
        <v>2025</v>
      </c>
      <c r="W982" s="18">
        <f t="shared" si="338"/>
        <v>12</v>
      </c>
      <c r="X982" s="18">
        <f t="shared" si="339"/>
        <v>2025</v>
      </c>
      <c r="Y982" s="2">
        <f t="shared" si="332"/>
        <v>0.71965868409110512</v>
      </c>
      <c r="Z982" t="str">
        <f t="shared" si="333"/>
        <v>SO17892</v>
      </c>
      <c r="AA982" s="11">
        <f t="shared" si="340"/>
        <v>45922.700243055559</v>
      </c>
      <c r="AB982" s="5" t="str">
        <f t="shared" si="341"/>
        <v>INV13577</v>
      </c>
      <c r="AC982" s="5" t="str">
        <f>IFERROR(VLOOKUP(D982,CAARStatus!$A$2:$AA$1600,22,FALSE),"Not invoiced")</f>
        <v>Paid</v>
      </c>
      <c r="AD982" s="11">
        <f>IF(AC982="Paid",IFERROR(VLOOKUP(D982,CAARStatus!$A$2:$AA$1600,6,FALSE),"Pending"),"Pending")</f>
        <v>46003</v>
      </c>
      <c r="AE982" s="5" t="str">
        <f t="shared" si="342"/>
        <v>10676</v>
      </c>
      <c r="AF982" s="5" t="str">
        <f t="shared" si="343"/>
        <v>Canadian Industrial Pumps Ltd</v>
      </c>
      <c r="AG982" s="5" t="str">
        <f t="shared" si="344"/>
        <v>CAD</v>
      </c>
      <c r="AH982" s="5">
        <f t="shared" si="345"/>
        <v>3462.42</v>
      </c>
      <c r="AI982" s="12">
        <f>IF(L982-N982=0,VLOOKUP(U982,rate!A$4:B$15,2,FALSE)*AH982,IF(AG982="USD",O982,AH982*Y982))</f>
        <v>2491.7606209707242</v>
      </c>
      <c r="AJ982" s="13">
        <f t="shared" si="346"/>
        <v>0.71965868409110512</v>
      </c>
      <c r="AK982" s="61">
        <f>IF(AC982="Paid",-IF(AG982="CAD",IFERROR(VLOOKUP(D982,CAARStatus!$A$1:$Y$1600,16,FALSE),0),0),0)</f>
        <v>-3441.47</v>
      </c>
      <c r="AL982" s="61">
        <f>IF(AC982="Paid",-IF(AG982="USD",IFERROR(VLOOKUP(D982,CAARStatus!$A$1:$Y$1600,11,FALSE),0),0),0)</f>
        <v>0</v>
      </c>
      <c r="AM982" s="22">
        <f t="shared" si="347"/>
        <v>20.950000000000273</v>
      </c>
      <c r="AN982" s="12" t="str">
        <f t="shared" si="348"/>
        <v/>
      </c>
      <c r="AO982" s="12" t="str">
        <f t="shared" si="349"/>
        <v>Yes</v>
      </c>
      <c r="AP982" t="str">
        <f t="shared" si="334"/>
        <v>XX</v>
      </c>
      <c r="AQ982" t="str">
        <f>IFERROR(VLOOKUP(Z982,InvBal!$L$4:$P$600,4,FALSE),"Pend")</f>
        <v>Yes</v>
      </c>
      <c r="AR982" t="str">
        <f>IFERROR(VLOOKUP(D982,Manual!$C$1:$E$22,2,FALSE),"Pend")</f>
        <v>Pend</v>
      </c>
      <c r="AS982" t="str">
        <f t="shared" si="350"/>
        <v>Yes</v>
      </c>
      <c r="AT982" t="str">
        <f t="shared" si="351"/>
        <v>Yes</v>
      </c>
      <c r="AU982" s="51" t="str">
        <f t="shared" si="352"/>
        <v>Yes</v>
      </c>
      <c r="AV982" s="12">
        <f>IFERROR(VLOOKUP(D982,'Receivable Invoice Detail'!$S$1:$U$3014,3,FALSE),0)</f>
        <v>0</v>
      </c>
      <c r="AW982" s="12">
        <f t="shared" si="353"/>
        <v>2491.7606209707242</v>
      </c>
    </row>
    <row r="983" spans="1:49" x14ac:dyDescent="0.25">
      <c r="A983" s="2"/>
      <c r="B983" s="2"/>
      <c r="C983" s="2"/>
      <c r="D983" s="2" t="s">
        <v>3321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>
        <f t="shared" si="335"/>
        <v>2</v>
      </c>
      <c r="U983" s="18">
        <f t="shared" si="336"/>
        <v>9</v>
      </c>
      <c r="V983" s="18">
        <f t="shared" si="337"/>
        <v>2025</v>
      </c>
      <c r="W983" s="18">
        <f t="shared" si="338"/>
        <v>12</v>
      </c>
      <c r="X983" s="18">
        <f t="shared" si="339"/>
        <v>2025</v>
      </c>
      <c r="Y983" s="2">
        <f t="shared" si="332"/>
        <v>0.71965868409110512</v>
      </c>
      <c r="Z983" t="str">
        <f t="shared" si="333"/>
        <v>SO17892</v>
      </c>
      <c r="AA983" s="11">
        <f t="shared" si="340"/>
        <v>45922.700243055559</v>
      </c>
      <c r="AB983" s="5" t="str">
        <f t="shared" si="341"/>
        <v>INV13598</v>
      </c>
      <c r="AC983" s="5" t="str">
        <f>IFERROR(VLOOKUP(D983,CAARStatus!$A$2:$AA$1600,22,FALSE),"Not invoiced")</f>
        <v>Paid</v>
      </c>
      <c r="AD983" s="11">
        <f>IF(AC983="Paid",IFERROR(VLOOKUP(D983,CAARStatus!$A$2:$AA$1600,6,FALSE),"Pending"),"Pending")</f>
        <v>46003</v>
      </c>
      <c r="AE983" s="5" t="str">
        <f t="shared" si="342"/>
        <v>10676</v>
      </c>
      <c r="AF983" s="5" t="str">
        <f t="shared" si="343"/>
        <v>Canadian Industrial Pumps Ltd</v>
      </c>
      <c r="AG983" s="5" t="str">
        <f t="shared" si="344"/>
        <v>CAD</v>
      </c>
      <c r="AH983" s="5">
        <f t="shared" si="345"/>
        <v>0</v>
      </c>
      <c r="AI983" s="12">
        <f>IF(L983-N983=0,VLOOKUP(U983,rate!A$4:B$15,2,FALSE)*AH983,IF(AG983="USD",O983,AH983*Y983))</f>
        <v>0</v>
      </c>
      <c r="AJ983" s="13">
        <f t="shared" si="346"/>
        <v>0</v>
      </c>
      <c r="AK983" s="13">
        <f>-IF(AG983="CAD",IFERROR(VLOOKUP(D983,CAARStatus!$A$1:$Y$1600,16,FALSE),0),0)</f>
        <v>-20.95</v>
      </c>
      <c r="AL983" s="13">
        <f>-IF(AG983="USD",IFERROR(VLOOKUP(D983,CAARStatus!$A$1:$Y$1600,11,FALSE),0),0)</f>
        <v>0</v>
      </c>
      <c r="AM983" s="22">
        <f t="shared" si="347"/>
        <v>-20.95</v>
      </c>
      <c r="AN983" s="12" t="str">
        <f t="shared" si="348"/>
        <v/>
      </c>
      <c r="AO983" s="12" t="str">
        <f t="shared" si="349"/>
        <v>Yes</v>
      </c>
      <c r="AP983" t="str">
        <f t="shared" si="334"/>
        <v>XX</v>
      </c>
      <c r="AQ983" t="str">
        <f>IFERROR(VLOOKUP(Z983,InvBal!$L$4:$P$600,4,FALSE),"Pend")</f>
        <v>Yes</v>
      </c>
      <c r="AR983" t="str">
        <f>IFERROR(VLOOKUP(D983,Manual!$C$1:$E$22,2,FALSE),"Pend")</f>
        <v>Pend</v>
      </c>
      <c r="AS983" t="str">
        <f t="shared" si="350"/>
        <v>Yes</v>
      </c>
      <c r="AT983" t="str">
        <f t="shared" si="351"/>
        <v/>
      </c>
      <c r="AU983" s="51" t="str">
        <f t="shared" si="352"/>
        <v/>
      </c>
      <c r="AV983" s="12">
        <f>IFERROR(VLOOKUP(D983,'Receivable Invoice Detail'!$S$1:$U$3014,3,FALSE),0)</f>
        <v>0</v>
      </c>
      <c r="AW983" s="12">
        <f t="shared" si="353"/>
        <v>0</v>
      </c>
    </row>
    <row r="984" spans="1:49" ht="30" x14ac:dyDescent="0.25">
      <c r="A984" s="2">
        <v>1</v>
      </c>
      <c r="B984" s="2" t="s">
        <v>552</v>
      </c>
      <c r="C984" s="2" t="s">
        <v>553</v>
      </c>
      <c r="D984" s="2" t="s">
        <v>3224</v>
      </c>
      <c r="E984" s="2" t="s">
        <v>39</v>
      </c>
      <c r="F984" s="3">
        <v>45922.779004629629</v>
      </c>
      <c r="G984" s="3">
        <v>45925.64371527778</v>
      </c>
      <c r="H984" s="4">
        <v>45932</v>
      </c>
      <c r="I984" s="2" t="s">
        <v>21</v>
      </c>
      <c r="J984" s="2" t="s">
        <v>22</v>
      </c>
      <c r="K984" s="2">
        <v>1</v>
      </c>
      <c r="L984" s="2">
        <v>1957.12</v>
      </c>
      <c r="M984" s="2">
        <v>0</v>
      </c>
      <c r="N984" s="2">
        <v>1405.5561462473861</v>
      </c>
      <c r="O984" s="2">
        <v>1863.92</v>
      </c>
      <c r="P984" s="2">
        <v>93.2</v>
      </c>
      <c r="Q984" s="2">
        <v>1957.12</v>
      </c>
      <c r="R984" s="2" t="s">
        <v>44</v>
      </c>
      <c r="S984" s="2"/>
      <c r="T984" s="2">
        <f t="shared" si="335"/>
        <v>1</v>
      </c>
      <c r="U984" s="18">
        <f t="shared" si="336"/>
        <v>9</v>
      </c>
      <c r="V984" s="18">
        <f t="shared" si="337"/>
        <v>2025</v>
      </c>
      <c r="W984" s="18">
        <f t="shared" si="338"/>
        <v>10</v>
      </c>
      <c r="X984" s="18">
        <f t="shared" si="339"/>
        <v>2025</v>
      </c>
      <c r="Y984" s="2">
        <f t="shared" si="332"/>
        <v>0.71817576144916317</v>
      </c>
      <c r="Z984" t="str">
        <f t="shared" si="333"/>
        <v>SO17893</v>
      </c>
      <c r="AA984" s="11">
        <f t="shared" si="340"/>
        <v>45922.779004629629</v>
      </c>
      <c r="AB984" s="5" t="str">
        <f t="shared" si="341"/>
        <v>INV13498</v>
      </c>
      <c r="AC984" s="5" t="str">
        <f>IFERROR(VLOOKUP(D984,CAARStatus!$A$2:$AA$1600,22,FALSE),"Not invoiced")</f>
        <v>Paid</v>
      </c>
      <c r="AD984" s="11">
        <f>IF(AC984="Paid",IFERROR(VLOOKUP(D984,CAARStatus!$A$2:$AA$1600,6,FALSE),"Pending"),"Pending")</f>
        <v>45961</v>
      </c>
      <c r="AE984" s="5" t="str">
        <f t="shared" si="342"/>
        <v>BC65-00081890</v>
      </c>
      <c r="AF984" s="5" t="str">
        <f t="shared" si="343"/>
        <v>Motion Industries Inc. (Canada) - Prince George</v>
      </c>
      <c r="AG984" s="5" t="str">
        <f t="shared" si="344"/>
        <v>CAD</v>
      </c>
      <c r="AH984" s="5">
        <f t="shared" si="345"/>
        <v>1863.92</v>
      </c>
      <c r="AI984" s="12">
        <f>IF(L984-N984=0,VLOOKUP(U984,rate!A$4:B$15,2,FALSE)*AH984,IF(AG984="USD",O984,AH984*Y984))</f>
        <v>1338.6221652803242</v>
      </c>
      <c r="AJ984" s="13">
        <f t="shared" si="346"/>
        <v>0.71817576144916317</v>
      </c>
      <c r="AK984" s="61">
        <f>IF(AC984="Paid",-IF(AG984="CAD",IFERROR(VLOOKUP(D984,CAARStatus!$A$1:$Y$1600,16,FALSE),0),0),0)</f>
        <v>-1863.92</v>
      </c>
      <c r="AL984" s="61">
        <f>IF(AC984="Paid",-IF(AG984="USD",IFERROR(VLOOKUP(D984,CAARStatus!$A$1:$Y$1600,11,FALSE),0),0),0)</f>
        <v>0</v>
      </c>
      <c r="AM984" s="22">
        <f t="shared" si="347"/>
        <v>0</v>
      </c>
      <c r="AN984" s="12" t="str">
        <f t="shared" si="348"/>
        <v/>
      </c>
      <c r="AO984" s="12" t="str">
        <f t="shared" si="349"/>
        <v>Yes</v>
      </c>
      <c r="AP984" t="str">
        <f t="shared" si="334"/>
        <v>Yes</v>
      </c>
      <c r="AQ984" t="str">
        <f>IFERROR(VLOOKUP(Z984,InvBal!$L$4:$P$600,4,FALSE),"Pend")</f>
        <v>Pend</v>
      </c>
      <c r="AR984" t="str">
        <f>IFERROR(VLOOKUP(D984,Manual!$C$1:$E$22,2,FALSE),"Pend")</f>
        <v>Pend</v>
      </c>
      <c r="AS984" t="str">
        <f t="shared" si="350"/>
        <v>Yes</v>
      </c>
      <c r="AT984" t="str">
        <f t="shared" si="351"/>
        <v>Yes</v>
      </c>
      <c r="AU984" s="51" t="str">
        <f t="shared" si="352"/>
        <v>Yes</v>
      </c>
      <c r="AV984" s="12">
        <f>IFERROR(VLOOKUP(D984,'Receivable Invoice Detail'!$S$1:$U$3014,3,FALSE),0)</f>
        <v>0</v>
      </c>
      <c r="AW984" s="12">
        <f t="shared" si="353"/>
        <v>1338.6221652803242</v>
      </c>
    </row>
    <row r="985" spans="1:49" ht="30" x14ac:dyDescent="0.25">
      <c r="A985" s="2">
        <v>0</v>
      </c>
      <c r="B985" s="2" t="s">
        <v>589</v>
      </c>
      <c r="C985" s="2" t="s">
        <v>590</v>
      </c>
      <c r="D985" s="2"/>
      <c r="E985" s="2" t="s">
        <v>239</v>
      </c>
      <c r="F985" s="3">
        <v>45923.341180555559</v>
      </c>
      <c r="G985" s="3">
        <v>45923.341747685183</v>
      </c>
      <c r="H985" s="4">
        <v>46000</v>
      </c>
      <c r="I985" s="2" t="s">
        <v>180</v>
      </c>
      <c r="J985" s="2" t="s">
        <v>51</v>
      </c>
      <c r="K985" s="2">
        <v>0.72380685225769881</v>
      </c>
      <c r="L985" s="2">
        <v>3675.0135643271769</v>
      </c>
      <c r="M985" s="2">
        <v>0</v>
      </c>
      <c r="N985" s="2">
        <v>2660</v>
      </c>
      <c r="O985" s="2">
        <v>2660</v>
      </c>
      <c r="P985" s="2"/>
      <c r="Q985" s="2">
        <v>2660</v>
      </c>
      <c r="R985" s="2" t="s">
        <v>29</v>
      </c>
      <c r="S985" s="2"/>
      <c r="T985" s="2">
        <f t="shared" si="335"/>
        <v>0</v>
      </c>
      <c r="U985" s="18">
        <f t="shared" si="336"/>
        <v>9</v>
      </c>
      <c r="V985" s="18">
        <f t="shared" si="337"/>
        <v>2025</v>
      </c>
      <c r="W985" s="18" t="str">
        <f t="shared" si="338"/>
        <v/>
      </c>
      <c r="X985" s="18" t="str">
        <f t="shared" si="339"/>
        <v/>
      </c>
      <c r="Y985" s="2">
        <f t="shared" si="332"/>
        <v>0.72380685225769881</v>
      </c>
      <c r="Z985" t="str">
        <f t="shared" si="333"/>
        <v>SO17895</v>
      </c>
      <c r="AA985" s="11">
        <f t="shared" si="340"/>
        <v>45923.341180555559</v>
      </c>
      <c r="AB985" s="5" t="str">
        <f t="shared" si="341"/>
        <v>No Inv</v>
      </c>
      <c r="AC985" s="5" t="str">
        <f>IFERROR(VLOOKUP(D985,CAARStatus!$A$2:$AA$1600,22,FALSE),"Not invoiced")</f>
        <v>Not invoiced</v>
      </c>
      <c r="AD985" s="11" t="str">
        <f>IF(AC985="Paid",IFERROR(VLOOKUP(D985,CAARStatus!$A$2:$AA$1600,6,FALSE),"Pending"),"Pending")</f>
        <v>Pending</v>
      </c>
      <c r="AE985" s="5" t="str">
        <f t="shared" si="342"/>
        <v>1060 Ship to PO# 2256099</v>
      </c>
      <c r="AF985" s="5" t="str">
        <f t="shared" si="343"/>
        <v>Mill-Right Mine Services Inc.</v>
      </c>
      <c r="AG985" s="5" t="str">
        <f t="shared" si="344"/>
        <v>USD</v>
      </c>
      <c r="AH985" s="5">
        <f t="shared" si="345"/>
        <v>3675.0135643271769</v>
      </c>
      <c r="AI985" s="12">
        <f>IF(L985-N985=0,VLOOKUP(U985,rate!A$4:B$15,2,FALSE)*AH985,IF(AG985="USD",O985,AH985*Y985))</f>
        <v>2660</v>
      </c>
      <c r="AJ985" s="13">
        <f t="shared" si="346"/>
        <v>0.72380685225769881</v>
      </c>
      <c r="AK985" s="13">
        <f>-IF(AG985="CAD",IFERROR(VLOOKUP(D985,CAARStatus!$A$1:$Y$1600,16,FALSE),0),0)</f>
        <v>0</v>
      </c>
      <c r="AL985" s="13">
        <f>-IF(AG985="USD",IFERROR(VLOOKUP(D985,CAARStatus!$A$1:$Y$1600,11,FALSE),0),0)</f>
        <v>0</v>
      </c>
      <c r="AM985" s="22" t="str">
        <f t="shared" si="347"/>
        <v/>
      </c>
      <c r="AN985" s="12">
        <f t="shared" si="348"/>
        <v>2660</v>
      </c>
      <c r="AO985" s="12" t="str">
        <f t="shared" si="349"/>
        <v>Pend</v>
      </c>
      <c r="AP985" t="str">
        <f t="shared" si="334"/>
        <v>Pend</v>
      </c>
      <c r="AQ985" t="str">
        <f>IFERROR(VLOOKUP(Z985,InvBal!$L$4:$P$600,4,FALSE),"Pend")</f>
        <v>Pend</v>
      </c>
      <c r="AR985" t="str">
        <f>IFERROR(VLOOKUP(D985,Manual!$C$1:$E$22,2,FALSE),"Pend")</f>
        <v>Pend</v>
      </c>
      <c r="AS985" t="str">
        <f t="shared" si="350"/>
        <v/>
      </c>
      <c r="AT985" t="str">
        <f t="shared" si="351"/>
        <v/>
      </c>
      <c r="AU985" s="51" t="str">
        <f t="shared" si="352"/>
        <v/>
      </c>
      <c r="AV985" s="12">
        <f>IFERROR(VLOOKUP(D985,'Receivable Invoice Detail'!$S$1:$U$3014,3,FALSE),0)</f>
        <v>0</v>
      </c>
      <c r="AW985" s="12">
        <f t="shared" si="353"/>
        <v>0</v>
      </c>
    </row>
    <row r="986" spans="1:49" x14ac:dyDescent="0.25">
      <c r="A986" s="2">
        <v>1</v>
      </c>
      <c r="B986" s="2" t="s">
        <v>546</v>
      </c>
      <c r="C986" s="2" t="s">
        <v>547</v>
      </c>
      <c r="D986" s="2" t="s">
        <v>3228</v>
      </c>
      <c r="E986" s="2" t="s">
        <v>242</v>
      </c>
      <c r="F986" s="3">
        <v>45923.344652777778</v>
      </c>
      <c r="G986" s="3">
        <v>45926.442650462966</v>
      </c>
      <c r="H986" s="4">
        <v>45929</v>
      </c>
      <c r="I986" s="2" t="s">
        <v>40</v>
      </c>
      <c r="J986" s="2" t="s">
        <v>22</v>
      </c>
      <c r="K986" s="2">
        <v>1</v>
      </c>
      <c r="L986" s="2">
        <v>797.17</v>
      </c>
      <c r="M986" s="2">
        <v>0</v>
      </c>
      <c r="N986" s="2">
        <v>571.56100684542128</v>
      </c>
      <c r="O986" s="2">
        <v>759.21</v>
      </c>
      <c r="P986" s="2">
        <v>37.96</v>
      </c>
      <c r="Q986" s="2">
        <v>797.17</v>
      </c>
      <c r="R986" s="2" t="s">
        <v>44</v>
      </c>
      <c r="S986" s="2"/>
      <c r="T986" s="2">
        <f t="shared" si="335"/>
        <v>1</v>
      </c>
      <c r="U986" s="18">
        <f t="shared" si="336"/>
        <v>9</v>
      </c>
      <c r="V986" s="18">
        <f t="shared" si="337"/>
        <v>2025</v>
      </c>
      <c r="W986" s="18">
        <f t="shared" si="338"/>
        <v>11</v>
      </c>
      <c r="X986" s="18">
        <f t="shared" si="339"/>
        <v>2025</v>
      </c>
      <c r="Y986" s="2">
        <f t="shared" si="332"/>
        <v>0.71698760219955759</v>
      </c>
      <c r="Z986" t="str">
        <f t="shared" si="333"/>
        <v>SO17896</v>
      </c>
      <c r="AA986" s="11">
        <f t="shared" si="340"/>
        <v>45923.344652777778</v>
      </c>
      <c r="AB986" s="5" t="str">
        <f t="shared" si="341"/>
        <v>INV13485</v>
      </c>
      <c r="AC986" s="5" t="str">
        <f>IFERROR(VLOOKUP(D986,CAARStatus!$A$2:$AA$1600,22,FALSE),"Not invoiced")</f>
        <v>Paid</v>
      </c>
      <c r="AD986" s="11">
        <f>IF(AC986="Paid",IFERROR(VLOOKUP(D986,CAARStatus!$A$2:$AA$1600,6,FALSE),"Pending"),"Pending")</f>
        <v>45973</v>
      </c>
      <c r="AE986" s="5" t="str">
        <f t="shared" si="342"/>
        <v>2100661342</v>
      </c>
      <c r="AF986" s="5" t="str">
        <f t="shared" si="343"/>
        <v>Wajax Limited - Noranda</v>
      </c>
      <c r="AG986" s="5" t="str">
        <f t="shared" si="344"/>
        <v>CAD</v>
      </c>
      <c r="AH986" s="5">
        <f t="shared" si="345"/>
        <v>759.21</v>
      </c>
      <c r="AI986" s="12">
        <f>IF(L986-N986=0,VLOOKUP(U986,rate!A$4:B$15,2,FALSE)*AH986,IF(AG986="USD",O986,AH986*Y986))</f>
        <v>544.34415746592617</v>
      </c>
      <c r="AJ986" s="13">
        <f t="shared" si="346"/>
        <v>0.71698760219955759</v>
      </c>
      <c r="AK986" s="13">
        <f>-IF(AG986="CAD",IFERROR(VLOOKUP(D986,CAARStatus!$A$1:$Y$1600,16,FALSE),0),0)</f>
        <v>-759.21</v>
      </c>
      <c r="AL986" s="13">
        <f>-IF(AG986="USD",IFERROR(VLOOKUP(D986,CAARStatus!$A$1:$Y$1600,11,FALSE),0),0)</f>
        <v>0</v>
      </c>
      <c r="AM986" s="22">
        <f t="shared" si="347"/>
        <v>0</v>
      </c>
      <c r="AN986" s="12" t="str">
        <f t="shared" si="348"/>
        <v/>
      </c>
      <c r="AO986" s="12" t="str">
        <f t="shared" si="349"/>
        <v>Yes</v>
      </c>
      <c r="AP986" t="str">
        <f t="shared" si="334"/>
        <v>Yes</v>
      </c>
      <c r="AQ986" t="str">
        <f>IFERROR(VLOOKUP(Z986,InvBal!$L$4:$P$600,4,FALSE),"Pend")</f>
        <v>Pend</v>
      </c>
      <c r="AR986" t="str">
        <f>IFERROR(VLOOKUP(D986,Manual!$C$1:$E$22,2,FALSE),"Pend")</f>
        <v>Pend</v>
      </c>
      <c r="AS986" t="str">
        <f t="shared" si="350"/>
        <v>Yes</v>
      </c>
      <c r="AT986" t="str">
        <f t="shared" si="351"/>
        <v>Yes</v>
      </c>
      <c r="AU986" s="51" t="str">
        <f t="shared" si="352"/>
        <v>Yes</v>
      </c>
      <c r="AV986" s="12">
        <f>IFERROR(VLOOKUP(D986,'Receivable Invoice Detail'!$S$1:$U$3014,3,FALSE),0)</f>
        <v>0</v>
      </c>
      <c r="AW986" s="12">
        <f t="shared" si="353"/>
        <v>544.34415746592617</v>
      </c>
    </row>
    <row r="987" spans="1:49" ht="30" x14ac:dyDescent="0.25">
      <c r="A987" s="2">
        <v>1</v>
      </c>
      <c r="B987" s="2" t="s">
        <v>586</v>
      </c>
      <c r="C987" s="2" t="s">
        <v>587</v>
      </c>
      <c r="D987" s="2" t="s">
        <v>3209</v>
      </c>
      <c r="E987" s="2" t="s">
        <v>129</v>
      </c>
      <c r="F987" s="3">
        <v>45923.453067129631</v>
      </c>
      <c r="G987" s="3">
        <v>45923.452673611107</v>
      </c>
      <c r="H987" s="4">
        <v>45923</v>
      </c>
      <c r="I987" s="2" t="s">
        <v>130</v>
      </c>
      <c r="J987" s="2" t="s">
        <v>51</v>
      </c>
      <c r="K987" s="2">
        <v>0.72380685225769881</v>
      </c>
      <c r="L987" s="2">
        <v>690.79202336977005</v>
      </c>
      <c r="M987" s="2">
        <v>0</v>
      </c>
      <c r="N987" s="2">
        <v>500</v>
      </c>
      <c r="O987" s="2">
        <v>500</v>
      </c>
      <c r="P987" s="2"/>
      <c r="Q987" s="2">
        <v>500</v>
      </c>
      <c r="R987" s="2" t="s">
        <v>44</v>
      </c>
      <c r="S987" s="2"/>
      <c r="T987" s="2">
        <f t="shared" si="335"/>
        <v>1</v>
      </c>
      <c r="U987" s="18">
        <f t="shared" si="336"/>
        <v>9</v>
      </c>
      <c r="V987" s="18">
        <f t="shared" si="337"/>
        <v>2025</v>
      </c>
      <c r="W987" s="18" t="str">
        <f t="shared" si="338"/>
        <v/>
      </c>
      <c r="X987" s="18" t="str">
        <f t="shared" si="339"/>
        <v/>
      </c>
      <c r="Y987" s="2">
        <f t="shared" si="332"/>
        <v>0.72380685225769881</v>
      </c>
      <c r="Z987" t="str">
        <f t="shared" si="333"/>
        <v>SO17897</v>
      </c>
      <c r="AA987" s="11">
        <f t="shared" si="340"/>
        <v>45923.453067129631</v>
      </c>
      <c r="AB987" s="5" t="str">
        <f t="shared" si="341"/>
        <v>INV13520</v>
      </c>
      <c r="AC987" s="5" t="str">
        <f>IFERROR(VLOOKUP(D987,CAARStatus!$A$2:$AA$1600,22,FALSE),"Not invoiced")</f>
        <v>Approved</v>
      </c>
      <c r="AD987" s="11" t="str">
        <f>IF(AC987="Paid",IFERROR(VLOOKUP(D987,CAARStatus!$A$2:$AA$1600,6,FALSE),"Pending"),"Pending")</f>
        <v>Pending</v>
      </c>
      <c r="AE987" s="5" t="str">
        <f t="shared" si="342"/>
        <v>OC00209</v>
      </c>
      <c r="AF987" s="5" t="str">
        <f t="shared" si="343"/>
        <v>Dynapro Pumps México S de RL de CV</v>
      </c>
      <c r="AG987" s="5" t="str">
        <f t="shared" si="344"/>
        <v>USD</v>
      </c>
      <c r="AH987" s="5">
        <f t="shared" si="345"/>
        <v>690.79202336977005</v>
      </c>
      <c r="AI987" s="12">
        <f>IF(L987-N987=0,VLOOKUP(U987,rate!A$4:B$15,2,FALSE)*AH987,IF(AG987="USD",O987,AH987*Y987))</f>
        <v>500</v>
      </c>
      <c r="AJ987" s="13">
        <f t="shared" si="346"/>
        <v>0.72380685225769881</v>
      </c>
      <c r="AK987" s="13">
        <f>-IF(AG987="CAD",IFERROR(VLOOKUP(D987,CAARStatus!$A$1:$Y$1600,16,FALSE),0),0)</f>
        <v>0</v>
      </c>
      <c r="AL987" s="13">
        <f>-IF(AG987="USD",IFERROR(VLOOKUP(D987,CAARStatus!$A$1:$Y$1600,11,FALSE),0),0)</f>
        <v>-500</v>
      </c>
      <c r="AM987" s="22" t="str">
        <f t="shared" si="347"/>
        <v/>
      </c>
      <c r="AN987" s="12">
        <f t="shared" si="348"/>
        <v>0</v>
      </c>
      <c r="AO987" s="12" t="str">
        <f t="shared" si="349"/>
        <v>Pend</v>
      </c>
      <c r="AP987" t="str">
        <f t="shared" si="334"/>
        <v>Pend</v>
      </c>
      <c r="AQ987" t="str">
        <f>IFERROR(VLOOKUP(Z987,InvBal!$L$4:$P$600,4,FALSE),"Pend")</f>
        <v>Pend</v>
      </c>
      <c r="AR987" t="str">
        <f>IFERROR(VLOOKUP(D987,Manual!$C$1:$E$22,2,FALSE),"Pend")</f>
        <v>Pend</v>
      </c>
      <c r="AS987" t="str">
        <f t="shared" si="350"/>
        <v/>
      </c>
      <c r="AT987" t="str">
        <f t="shared" si="351"/>
        <v>Yes</v>
      </c>
      <c r="AU987" s="51" t="str">
        <f t="shared" si="352"/>
        <v/>
      </c>
      <c r="AV987" s="12">
        <f>IFERROR(VLOOKUP(D987,'Receivable Invoice Detail'!$S$1:$U$3014,3,FALSE),0)</f>
        <v>0</v>
      </c>
      <c r="AW987" s="12">
        <f t="shared" si="353"/>
        <v>0</v>
      </c>
    </row>
    <row r="988" spans="1:49" x14ac:dyDescent="0.25">
      <c r="A988" s="2">
        <v>1</v>
      </c>
      <c r="B988" s="2" t="s">
        <v>582</v>
      </c>
      <c r="C988" s="2" t="s">
        <v>583</v>
      </c>
      <c r="D988" s="2" t="s">
        <v>3212</v>
      </c>
      <c r="E988" s="2" t="s">
        <v>95</v>
      </c>
      <c r="F988" s="3">
        <v>45923.463020833333</v>
      </c>
      <c r="G988" s="3">
        <v>45923.624085648153</v>
      </c>
      <c r="H988" s="4">
        <v>45981</v>
      </c>
      <c r="I988" s="2" t="s">
        <v>74</v>
      </c>
      <c r="J988" s="2" t="s">
        <v>22</v>
      </c>
      <c r="K988" s="2">
        <v>1</v>
      </c>
      <c r="L988" s="2">
        <v>21694.41</v>
      </c>
      <c r="M988" s="2">
        <v>0</v>
      </c>
      <c r="N988" s="2">
        <v>15681.15989360252</v>
      </c>
      <c r="O988" s="2">
        <v>20812.96</v>
      </c>
      <c r="P988" s="2">
        <v>881.45</v>
      </c>
      <c r="Q988" s="2">
        <v>21694.41</v>
      </c>
      <c r="R988" s="2" t="s">
        <v>44</v>
      </c>
      <c r="S988" s="2"/>
      <c r="T988" s="2">
        <f t="shared" si="335"/>
        <v>1</v>
      </c>
      <c r="U988" s="18">
        <f t="shared" si="336"/>
        <v>9</v>
      </c>
      <c r="V988" s="18">
        <f t="shared" si="337"/>
        <v>2025</v>
      </c>
      <c r="W988" s="18" t="str">
        <f t="shared" si="338"/>
        <v/>
      </c>
      <c r="X988" s="18" t="str">
        <f t="shared" si="339"/>
        <v/>
      </c>
      <c r="Y988" s="2">
        <f t="shared" si="332"/>
        <v>0.72282029765282951</v>
      </c>
      <c r="Z988" t="str">
        <f t="shared" si="333"/>
        <v>SO17898</v>
      </c>
      <c r="AA988" s="11">
        <f t="shared" si="340"/>
        <v>45923.463020833333</v>
      </c>
      <c r="AB988" s="5" t="str">
        <f t="shared" si="341"/>
        <v>INV13659</v>
      </c>
      <c r="AC988" s="5" t="str">
        <f>IFERROR(VLOOKUP(D988,CAARStatus!$A$2:$AA$1600,22,FALSE),"Not invoiced")</f>
        <v>Not invoiced</v>
      </c>
      <c r="AD988" s="11" t="str">
        <f>IF(AC988="Paid",IFERROR(VLOOKUP(D988,CAARStatus!$A$2:$AA$1600,6,FALSE),"Pending"),"Pending")</f>
        <v>Pending</v>
      </c>
      <c r="AE988" s="5" t="str">
        <f t="shared" si="342"/>
        <v>PO324623</v>
      </c>
      <c r="AF988" s="5" t="str">
        <f t="shared" si="343"/>
        <v>Gibraltar Mine (Canada)</v>
      </c>
      <c r="AG988" s="5" t="str">
        <f t="shared" si="344"/>
        <v>CAD</v>
      </c>
      <c r="AH988" s="5">
        <f t="shared" si="345"/>
        <v>20812.96</v>
      </c>
      <c r="AI988" s="12">
        <f>IF(L988-N988=0,VLOOKUP(U988,rate!A$4:B$15,2,FALSE)*AH988,IF(AG988="USD",O988,AH988*Y988))</f>
        <v>15044.029942236433</v>
      </c>
      <c r="AJ988" s="13">
        <f t="shared" si="346"/>
        <v>0.72282029765282951</v>
      </c>
      <c r="AK988" s="13">
        <f>-IF(AG988="CAD",IFERROR(VLOOKUP(D988,CAARStatus!$A$1:$Y$1600,16,FALSE),0),0)</f>
        <v>0</v>
      </c>
      <c r="AL988" s="13">
        <f>-IF(AG988="USD",IFERROR(VLOOKUP(D988,CAARStatus!$A$1:$Y$1600,11,FALSE),0),0)</f>
        <v>0</v>
      </c>
      <c r="AM988" s="22">
        <f t="shared" si="347"/>
        <v>20812.96</v>
      </c>
      <c r="AN988" s="12" t="str">
        <f t="shared" si="348"/>
        <v/>
      </c>
      <c r="AO988" s="12" t="str">
        <f t="shared" si="349"/>
        <v>Pend</v>
      </c>
      <c r="AP988" t="str">
        <f t="shared" si="334"/>
        <v>Pend</v>
      </c>
      <c r="AQ988" t="str">
        <f>IFERROR(VLOOKUP(Z988,InvBal!$L$4:$P$600,4,FALSE),"Pend")</f>
        <v>Pend</v>
      </c>
      <c r="AR988" t="str">
        <f>IFERROR(VLOOKUP(D988,Manual!$C$1:$E$22,2,FALSE),"Pend")</f>
        <v>Pend</v>
      </c>
      <c r="AS988" t="str">
        <f t="shared" si="350"/>
        <v/>
      </c>
      <c r="AT988" t="str">
        <f t="shared" si="351"/>
        <v>Yes</v>
      </c>
      <c r="AU988" s="51" t="str">
        <f t="shared" si="352"/>
        <v/>
      </c>
      <c r="AV988" s="12">
        <f>IFERROR(VLOOKUP(D988,'Receivable Invoice Detail'!$S$1:$U$3014,3,FALSE),0)</f>
        <v>0</v>
      </c>
      <c r="AW988" s="12">
        <f t="shared" si="353"/>
        <v>0</v>
      </c>
    </row>
    <row r="989" spans="1:49" x14ac:dyDescent="0.25">
      <c r="A989" s="2">
        <v>2</v>
      </c>
      <c r="B989" s="2" t="s">
        <v>544</v>
      </c>
      <c r="C989" s="2" t="s">
        <v>545</v>
      </c>
      <c r="D989" s="2" t="s">
        <v>3230</v>
      </c>
      <c r="E989" s="2" t="s">
        <v>70</v>
      </c>
      <c r="F989" s="3">
        <v>45923.563807870371</v>
      </c>
      <c r="G989" s="3">
        <v>45926.480682870373</v>
      </c>
      <c r="H989" s="4">
        <v>45954</v>
      </c>
      <c r="I989" s="2" t="s">
        <v>36</v>
      </c>
      <c r="J989" s="2" t="s">
        <v>51</v>
      </c>
      <c r="K989" s="2">
        <v>0.71817576144916317</v>
      </c>
      <c r="L989" s="2">
        <v>5107.189906547178</v>
      </c>
      <c r="M989" s="2">
        <v>0</v>
      </c>
      <c r="N989" s="2">
        <v>3667.86</v>
      </c>
      <c r="O989" s="2">
        <v>3667.86</v>
      </c>
      <c r="P989" s="2"/>
      <c r="Q989" s="2">
        <v>3667.86</v>
      </c>
      <c r="R989" s="2" t="s">
        <v>44</v>
      </c>
      <c r="S989" s="2"/>
      <c r="T989" s="2">
        <f t="shared" si="335"/>
        <v>2</v>
      </c>
      <c r="U989" s="18">
        <f t="shared" si="336"/>
        <v>9</v>
      </c>
      <c r="V989" s="18">
        <f t="shared" si="337"/>
        <v>2025</v>
      </c>
      <c r="W989" s="18" t="str">
        <f t="shared" si="338"/>
        <v/>
      </c>
      <c r="X989" s="18" t="str">
        <f t="shared" si="339"/>
        <v/>
      </c>
      <c r="Y989" s="2">
        <f t="shared" si="332"/>
        <v>0.71817576144916317</v>
      </c>
      <c r="Z989" t="str">
        <f t="shared" si="333"/>
        <v>SO17899</v>
      </c>
      <c r="AA989" s="11">
        <f t="shared" si="340"/>
        <v>45923.563807870371</v>
      </c>
      <c r="AB989" s="5" t="str">
        <f t="shared" si="341"/>
        <v>INV13532</v>
      </c>
      <c r="AC989" s="5" t="str">
        <f>IFERROR(VLOOKUP(D989,CAARStatus!$A$2:$AA$1600,22,FALSE),"Not invoiced")</f>
        <v>Approved</v>
      </c>
      <c r="AD989" s="11" t="str">
        <f>IF(AC989="Paid",IFERROR(VLOOKUP(D989,CAARStatus!$A$2:$AA$1600,6,FALSE),"Pending"),"Pending")</f>
        <v>Pending</v>
      </c>
      <c r="AE989" s="5" t="str">
        <f t="shared" si="342"/>
        <v>P367830</v>
      </c>
      <c r="AF989" s="5" t="str">
        <f t="shared" si="343"/>
        <v>Covia Corp - Junction City</v>
      </c>
      <c r="AG989" s="5" t="str">
        <f t="shared" si="344"/>
        <v>USD</v>
      </c>
      <c r="AH989" s="5">
        <f t="shared" si="345"/>
        <v>5107.189906547178</v>
      </c>
      <c r="AI989" s="12">
        <f>IF(L989-N989=0,VLOOKUP(U989,rate!A$4:B$15,2,FALSE)*AH989,IF(AG989="USD",O989,AH989*Y989))</f>
        <v>3667.86</v>
      </c>
      <c r="AJ989" s="13">
        <f t="shared" si="346"/>
        <v>0.71817576144916317</v>
      </c>
      <c r="AK989" s="13">
        <f>-IF(AG989="CAD",IFERROR(VLOOKUP(D989,CAARStatus!$A$1:$Y$1600,16,FALSE),0),0)</f>
        <v>0</v>
      </c>
      <c r="AL989" s="13">
        <f>-IF(AG989="USD",IFERROR(VLOOKUP(D989,CAARStatus!$A$1:$Y$1600,11,FALSE),0),0)</f>
        <v>-2623.78</v>
      </c>
      <c r="AM989" s="22" t="str">
        <f t="shared" si="347"/>
        <v/>
      </c>
      <c r="AN989" s="12">
        <f t="shared" si="348"/>
        <v>1044.08</v>
      </c>
      <c r="AO989" s="12" t="str">
        <f t="shared" si="349"/>
        <v>Pend</v>
      </c>
      <c r="AP989" t="str">
        <f t="shared" si="334"/>
        <v>XX</v>
      </c>
      <c r="AQ989" t="str">
        <f>IFERROR(VLOOKUP(Z989,InvBal!$L$4:$P$600,4,FALSE),"Pend")</f>
        <v>Yes</v>
      </c>
      <c r="AR989" t="str">
        <f>IFERROR(VLOOKUP(D989,Manual!$C$1:$E$22,2,FALSE),"Pend")</f>
        <v>Pend</v>
      </c>
      <c r="AS989" t="str">
        <f t="shared" si="350"/>
        <v>Yes</v>
      </c>
      <c r="AT989" t="str">
        <f t="shared" si="351"/>
        <v>Yes</v>
      </c>
      <c r="AU989" s="51" t="str">
        <f t="shared" si="352"/>
        <v>Yes</v>
      </c>
      <c r="AV989" s="12">
        <f>IFERROR(VLOOKUP(D989,'Receivable Invoice Detail'!$S$1:$U$3014,3,FALSE),0)</f>
        <v>189.32</v>
      </c>
      <c r="AW989" s="12">
        <f t="shared" si="353"/>
        <v>3478.54</v>
      </c>
    </row>
    <row r="990" spans="1:49" x14ac:dyDescent="0.25">
      <c r="A990" s="2"/>
      <c r="B990" s="2"/>
      <c r="C990" s="2"/>
      <c r="D990" s="2" t="s">
        <v>3229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>
        <f t="shared" si="335"/>
        <v>2</v>
      </c>
      <c r="U990" s="18">
        <f t="shared" si="336"/>
        <v>9</v>
      </c>
      <c r="V990" s="18">
        <f t="shared" si="337"/>
        <v>2025</v>
      </c>
      <c r="W990" s="18" t="str">
        <f t="shared" si="338"/>
        <v/>
      </c>
      <c r="X990" s="18" t="str">
        <f t="shared" si="339"/>
        <v/>
      </c>
      <c r="Y990" s="2">
        <f t="shared" si="332"/>
        <v>0.71817576144916317</v>
      </c>
      <c r="Z990" t="str">
        <f t="shared" si="333"/>
        <v>SO17899</v>
      </c>
      <c r="AA990" s="11">
        <f t="shared" si="340"/>
        <v>45923.563807870371</v>
      </c>
      <c r="AB990" s="5" t="str">
        <f t="shared" si="341"/>
        <v>INV13553</v>
      </c>
      <c r="AC990" s="5" t="str">
        <f>IFERROR(VLOOKUP(D990,CAARStatus!$A$2:$AA$1600,22,FALSE),"Not invoiced")</f>
        <v>Approved</v>
      </c>
      <c r="AD990" s="11" t="str">
        <f>IF(AC990="Paid",IFERROR(VLOOKUP(D990,CAARStatus!$A$2:$AA$1600,6,FALSE),"Pending"),"Pending")</f>
        <v>Pending</v>
      </c>
      <c r="AE990" s="5" t="str">
        <f t="shared" si="342"/>
        <v>P367830</v>
      </c>
      <c r="AF990" s="5" t="str">
        <f t="shared" si="343"/>
        <v>Covia Corp - Junction City</v>
      </c>
      <c r="AG990" s="5" t="str">
        <f t="shared" si="344"/>
        <v>USD</v>
      </c>
      <c r="AH990" s="5">
        <f t="shared" si="345"/>
        <v>0</v>
      </c>
      <c r="AI990" s="12">
        <f>IF(L990-N990=0,VLOOKUP(U990,rate!A$4:B$15,2,FALSE)*AH990,IF(AG990="USD",O990,AH990*Y990))</f>
        <v>0</v>
      </c>
      <c r="AJ990" s="13">
        <f t="shared" si="346"/>
        <v>0</v>
      </c>
      <c r="AK990" s="13">
        <f>-IF(AG990="CAD",IFERROR(VLOOKUP(D990,CAARStatus!$A$1:$Y$1600,16,FALSE),0),0)</f>
        <v>0</v>
      </c>
      <c r="AL990" s="13">
        <f>-IF(AG990="USD",IFERROR(VLOOKUP(D990,CAARStatus!$A$1:$Y$1600,11,FALSE),0),0)</f>
        <v>-1044.08</v>
      </c>
      <c r="AM990" s="22" t="str">
        <f t="shared" si="347"/>
        <v/>
      </c>
      <c r="AN990" s="12">
        <f t="shared" si="348"/>
        <v>-1044.08</v>
      </c>
      <c r="AO990" s="12" t="str">
        <f t="shared" si="349"/>
        <v>Pend</v>
      </c>
      <c r="AP990" t="str">
        <f t="shared" si="334"/>
        <v>XX</v>
      </c>
      <c r="AQ990" t="str">
        <f>IFERROR(VLOOKUP(Z990,InvBal!$L$4:$P$600,4,FALSE),"Pend")</f>
        <v>Yes</v>
      </c>
      <c r="AR990" t="str">
        <f>IFERROR(VLOOKUP(D990,Manual!$C$1:$E$22,2,FALSE),"Pend")</f>
        <v>Pend</v>
      </c>
      <c r="AS990" t="str">
        <f t="shared" si="350"/>
        <v>Yes</v>
      </c>
      <c r="AT990" t="str">
        <f t="shared" si="351"/>
        <v/>
      </c>
      <c r="AU990" s="51" t="str">
        <f t="shared" si="352"/>
        <v/>
      </c>
      <c r="AV990" s="12">
        <f>IFERROR(VLOOKUP(D990,'Receivable Invoice Detail'!$S$1:$U$3014,3,FALSE),0)</f>
        <v>131.16</v>
      </c>
      <c r="AW990" s="12">
        <f t="shared" si="353"/>
        <v>0</v>
      </c>
    </row>
    <row r="991" spans="1:49" x14ac:dyDescent="0.25">
      <c r="A991" s="2">
        <v>2</v>
      </c>
      <c r="B991" s="2" t="s">
        <v>584</v>
      </c>
      <c r="C991" s="2" t="s">
        <v>585</v>
      </c>
      <c r="D991" s="2" t="s">
        <v>3211</v>
      </c>
      <c r="E991" s="2" t="s">
        <v>229</v>
      </c>
      <c r="F991" s="3">
        <v>45923.570277777777</v>
      </c>
      <c r="G991" s="3">
        <v>45923.583622685182</v>
      </c>
      <c r="H991" s="4">
        <v>45930</v>
      </c>
      <c r="I991" s="2" t="s">
        <v>74</v>
      </c>
      <c r="J991" s="2" t="s">
        <v>22</v>
      </c>
      <c r="K991" s="2">
        <v>1</v>
      </c>
      <c r="L991" s="2">
        <v>942.98</v>
      </c>
      <c r="M991" s="2">
        <v>0</v>
      </c>
      <c r="N991" s="2">
        <v>681.60508428066521</v>
      </c>
      <c r="O991" s="2">
        <v>898.07</v>
      </c>
      <c r="P991" s="2">
        <v>44.91</v>
      </c>
      <c r="Q991" s="2">
        <v>942.98</v>
      </c>
      <c r="R991" s="2" t="s">
        <v>44</v>
      </c>
      <c r="S991" s="2"/>
      <c r="T991" s="2">
        <f t="shared" si="335"/>
        <v>2</v>
      </c>
      <c r="U991" s="18">
        <f t="shared" si="336"/>
        <v>9</v>
      </c>
      <c r="V991" s="18">
        <f t="shared" si="337"/>
        <v>2025</v>
      </c>
      <c r="W991" s="18">
        <f t="shared" si="338"/>
        <v>11</v>
      </c>
      <c r="X991" s="18">
        <f t="shared" si="339"/>
        <v>2025</v>
      </c>
      <c r="Y991" s="2">
        <f t="shared" si="332"/>
        <v>0.72282029765282951</v>
      </c>
      <c r="Z991" t="str">
        <f t="shared" si="333"/>
        <v>SO17900</v>
      </c>
      <c r="AA991" s="11">
        <f t="shared" si="340"/>
        <v>45923.570277777777</v>
      </c>
      <c r="AB991" s="5" t="str">
        <f t="shared" si="341"/>
        <v>INV13517</v>
      </c>
      <c r="AC991" s="5" t="str">
        <f>IFERROR(VLOOKUP(D991,CAARStatus!$A$2:$AA$1600,22,FALSE),"Not invoiced")</f>
        <v>Paid</v>
      </c>
      <c r="AD991" s="11">
        <f>IF(AC991="Paid",IFERROR(VLOOKUP(D991,CAARStatus!$A$2:$AA$1600,6,FALSE),"Pending"),"Pending")</f>
        <v>45988</v>
      </c>
      <c r="AE991" s="5" t="str">
        <f t="shared" si="342"/>
        <v>PO2100658530</v>
      </c>
      <c r="AF991" s="5" t="str">
        <f t="shared" si="343"/>
        <v>Wajax Limited - Lachine</v>
      </c>
      <c r="AG991" s="5" t="str">
        <f t="shared" si="344"/>
        <v>CAD</v>
      </c>
      <c r="AH991" s="5">
        <f t="shared" si="345"/>
        <v>898.07</v>
      </c>
      <c r="AI991" s="12">
        <f>IF(L991-N991=0,VLOOKUP(U991,rate!A$4:B$15,2,FALSE)*AH991,IF(AG991="USD",O991,AH991*Y991))</f>
        <v>649.14322471307662</v>
      </c>
      <c r="AJ991" s="13">
        <f t="shared" si="346"/>
        <v>0.72282029765282951</v>
      </c>
      <c r="AK991" s="13">
        <f>-IF(AG991="CAD",IFERROR(VLOOKUP(D991,CAARStatus!$A$1:$Y$1600,16,FALSE),0),0)</f>
        <v>-848.91</v>
      </c>
      <c r="AL991" s="13">
        <f>-IF(AG991="USD",IFERROR(VLOOKUP(D991,CAARStatus!$A$1:$Y$1600,11,FALSE),0),0)</f>
        <v>0</v>
      </c>
      <c r="AM991" s="22">
        <f t="shared" si="347"/>
        <v>49.160000000000082</v>
      </c>
      <c r="AN991" s="12" t="str">
        <f t="shared" si="348"/>
        <v/>
      </c>
      <c r="AO991" s="12" t="str">
        <f t="shared" si="349"/>
        <v>Yes</v>
      </c>
      <c r="AP991" t="str">
        <f t="shared" si="334"/>
        <v>XX</v>
      </c>
      <c r="AQ991">
        <f>IFERROR(VLOOKUP(Z991,InvBal!$L$4:$P$600,4,FALSE),"Pend")</f>
        <v>0</v>
      </c>
      <c r="AR991" t="str">
        <f>IFERROR(VLOOKUP(D991,Manual!$C$1:$E$22,2,FALSE),"Pend")</f>
        <v>Pend</v>
      </c>
      <c r="AS991" t="str">
        <f t="shared" si="350"/>
        <v/>
      </c>
      <c r="AT991" t="str">
        <f t="shared" si="351"/>
        <v>Yes</v>
      </c>
      <c r="AU991" s="51" t="str">
        <f t="shared" si="352"/>
        <v/>
      </c>
      <c r="AV991" s="12">
        <f>IFERROR(VLOOKUP(D991,'Receivable Invoice Detail'!$S$1:$U$3014,3,FALSE),0)</f>
        <v>0</v>
      </c>
      <c r="AW991" s="12">
        <f t="shared" si="353"/>
        <v>0</v>
      </c>
    </row>
    <row r="992" spans="1:49" x14ac:dyDescent="0.25">
      <c r="A992" s="2"/>
      <c r="B992" s="2"/>
      <c r="C992" s="2"/>
      <c r="D992" s="2" t="s">
        <v>3210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>
        <f t="shared" si="335"/>
        <v>2</v>
      </c>
      <c r="U992" s="18">
        <f t="shared" si="336"/>
        <v>9</v>
      </c>
      <c r="V992" s="18">
        <f t="shared" si="337"/>
        <v>2025</v>
      </c>
      <c r="W992" s="18" t="str">
        <f t="shared" si="338"/>
        <v/>
      </c>
      <c r="X992" s="18" t="str">
        <f t="shared" si="339"/>
        <v/>
      </c>
      <c r="Y992" s="2">
        <f t="shared" si="332"/>
        <v>0.72282029765282951</v>
      </c>
      <c r="Z992" t="str">
        <f t="shared" si="333"/>
        <v>SO17900</v>
      </c>
      <c r="AA992" s="11">
        <f t="shared" si="340"/>
        <v>45923.570277777777</v>
      </c>
      <c r="AB992" s="5" t="str">
        <f t="shared" si="341"/>
        <v>INV13633</v>
      </c>
      <c r="AC992" s="5" t="str">
        <f>IFERROR(VLOOKUP(D992,CAARStatus!$A$2:$AA$1600,22,FALSE),"Not invoiced")</f>
        <v>Approved</v>
      </c>
      <c r="AD992" s="11" t="str">
        <f>IF(AC992="Paid",IFERROR(VLOOKUP(D992,CAARStatus!$A$2:$AA$1600,6,FALSE),"Pending"),"Pending")</f>
        <v>Pending</v>
      </c>
      <c r="AE992" s="5" t="str">
        <f t="shared" si="342"/>
        <v>PO2100658530</v>
      </c>
      <c r="AF992" s="5" t="str">
        <f t="shared" si="343"/>
        <v>Wajax Limited - Lachine</v>
      </c>
      <c r="AG992" s="5" t="str">
        <f t="shared" si="344"/>
        <v>CAD</v>
      </c>
      <c r="AH992" s="5">
        <f t="shared" si="345"/>
        <v>0</v>
      </c>
      <c r="AI992" s="12">
        <f>IF(L992-N992=0,VLOOKUP(U992,rate!A$4:B$15,2,FALSE)*AH992,IF(AG992="USD",O992,AH992*Y992))</f>
        <v>0</v>
      </c>
      <c r="AJ992" s="13">
        <f t="shared" si="346"/>
        <v>0</v>
      </c>
      <c r="AK992" s="61">
        <f>IF(AC992="Paid",-IF(AG992="CAD",IFERROR(VLOOKUP(D992,CAARStatus!$A$1:$Y$1600,16,FALSE),0),0),0)</f>
        <v>0</v>
      </c>
      <c r="AL992" s="61">
        <f>IF(AC992="Paid",-IF(AG992="USD",IFERROR(VLOOKUP(D992,CAARStatus!$A$1:$Y$1600,11,FALSE),0),0),0)</f>
        <v>0</v>
      </c>
      <c r="AM992" s="22">
        <f t="shared" si="347"/>
        <v>0</v>
      </c>
      <c r="AN992" s="12" t="str">
        <f t="shared" si="348"/>
        <v/>
      </c>
      <c r="AO992" s="12" t="str">
        <f t="shared" si="349"/>
        <v>Pend</v>
      </c>
      <c r="AP992" t="str">
        <f t="shared" si="334"/>
        <v>XX</v>
      </c>
      <c r="AQ992">
        <f>IFERROR(VLOOKUP(Z992,InvBal!$L$4:$P$600,4,FALSE),"Pend")</f>
        <v>0</v>
      </c>
      <c r="AR992" t="str">
        <f>IFERROR(VLOOKUP(D992,Manual!$C$1:$E$22,2,FALSE),"Pend")</f>
        <v>Pend</v>
      </c>
      <c r="AS992" t="str">
        <f t="shared" si="350"/>
        <v/>
      </c>
      <c r="AT992" t="str">
        <f t="shared" si="351"/>
        <v/>
      </c>
      <c r="AU992" s="51" t="str">
        <f t="shared" si="352"/>
        <v/>
      </c>
      <c r="AV992" s="12">
        <f>IFERROR(VLOOKUP(D992,'Receivable Invoice Detail'!$S$1:$U$3014,3,FALSE),0)</f>
        <v>0</v>
      </c>
      <c r="AW992" s="12">
        <f t="shared" si="353"/>
        <v>0</v>
      </c>
    </row>
    <row r="993" spans="1:49" x14ac:dyDescent="0.25">
      <c r="A993" s="2">
        <v>0</v>
      </c>
      <c r="B993" s="2" t="s">
        <v>579</v>
      </c>
      <c r="C993" s="2" t="s">
        <v>580</v>
      </c>
      <c r="D993" s="2"/>
      <c r="E993" s="2" t="s">
        <v>581</v>
      </c>
      <c r="F993" s="3">
        <v>45923.681793981479</v>
      </c>
      <c r="G993" s="3">
        <v>45923.681793981479</v>
      </c>
      <c r="H993" s="4">
        <v>45987</v>
      </c>
      <c r="I993" s="2" t="s">
        <v>21</v>
      </c>
      <c r="J993" s="2" t="s">
        <v>51</v>
      </c>
      <c r="K993" s="2">
        <v>0.72380685225769881</v>
      </c>
      <c r="L993" s="2">
        <v>1737.9636515960051</v>
      </c>
      <c r="M993" s="2">
        <v>0</v>
      </c>
      <c r="N993" s="2">
        <v>1257.95</v>
      </c>
      <c r="O993" s="2">
        <v>1257.95</v>
      </c>
      <c r="P993" s="2"/>
      <c r="Q993" s="2">
        <v>1257.95</v>
      </c>
      <c r="R993" s="2" t="s">
        <v>23</v>
      </c>
      <c r="S993" s="2"/>
      <c r="T993" s="2">
        <f t="shared" si="335"/>
        <v>0</v>
      </c>
      <c r="U993" s="18">
        <f t="shared" si="336"/>
        <v>9</v>
      </c>
      <c r="V993" s="18">
        <f t="shared" si="337"/>
        <v>2025</v>
      </c>
      <c r="W993" s="18" t="str">
        <f t="shared" si="338"/>
        <v/>
      </c>
      <c r="X993" s="18" t="str">
        <f t="shared" si="339"/>
        <v/>
      </c>
      <c r="Y993" s="2">
        <f t="shared" si="332"/>
        <v>0.72380685225769859</v>
      </c>
      <c r="Z993" t="str">
        <f t="shared" si="333"/>
        <v>SO17901</v>
      </c>
      <c r="AA993" s="11">
        <f t="shared" si="340"/>
        <v>45923.681793981479</v>
      </c>
      <c r="AB993" s="5" t="str">
        <f t="shared" si="341"/>
        <v>No Inv</v>
      </c>
      <c r="AC993" s="5" t="str">
        <f>IFERROR(VLOOKUP(D993,CAARStatus!$A$2:$AA$1600,22,FALSE),"Not invoiced")</f>
        <v>Not invoiced</v>
      </c>
      <c r="AD993" s="11" t="str">
        <f>IF(AC993="Paid",IFERROR(VLOOKUP(D993,CAARStatus!$A$2:$AA$1600,6,FALSE),"Pending"),"Pending")</f>
        <v>Pending</v>
      </c>
      <c r="AE993" s="5" t="str">
        <f t="shared" si="342"/>
        <v>54074193</v>
      </c>
      <c r="AF993" s="5" t="str">
        <f t="shared" si="343"/>
        <v>Corrosion Fluid Products Corp.</v>
      </c>
      <c r="AG993" s="5" t="str">
        <f t="shared" si="344"/>
        <v>USD</v>
      </c>
      <c r="AH993" s="5">
        <f t="shared" si="345"/>
        <v>1737.9636515960046</v>
      </c>
      <c r="AI993" s="12">
        <f>IF(L993-N993=0,VLOOKUP(U993,rate!A$4:B$15,2,FALSE)*AH993,IF(AG993="USD",O993,AH993*Y993))</f>
        <v>1257.95</v>
      </c>
      <c r="AJ993" s="13">
        <f t="shared" si="346"/>
        <v>0.72380685225769881</v>
      </c>
      <c r="AK993" s="13">
        <f>-IF(AG993="CAD",IFERROR(VLOOKUP(D993,CAARStatus!$A$1:$Y$1600,16,FALSE),0),0)</f>
        <v>0</v>
      </c>
      <c r="AL993" s="13">
        <f>-IF(AG993="USD",IFERROR(VLOOKUP(D993,CAARStatus!$A$1:$Y$1600,11,FALSE),0),0)</f>
        <v>0</v>
      </c>
      <c r="AM993" s="22" t="str">
        <f t="shared" si="347"/>
        <v/>
      </c>
      <c r="AN993" s="12">
        <f t="shared" si="348"/>
        <v>1257.95</v>
      </c>
      <c r="AO993" s="12" t="str">
        <f t="shared" si="349"/>
        <v>Pend</v>
      </c>
      <c r="AP993" t="str">
        <f t="shared" si="334"/>
        <v>Pend</v>
      </c>
      <c r="AQ993" t="str">
        <f>IFERROR(VLOOKUP(Z993,InvBal!$L$4:$P$600,4,FALSE),"Pend")</f>
        <v>Pend</v>
      </c>
      <c r="AR993" t="str">
        <f>IFERROR(VLOOKUP(D993,Manual!$C$1:$E$22,2,FALSE),"Pend")</f>
        <v>Pend</v>
      </c>
      <c r="AS993" t="str">
        <f t="shared" si="350"/>
        <v/>
      </c>
      <c r="AT993" t="str">
        <f t="shared" si="351"/>
        <v/>
      </c>
      <c r="AU993" s="51" t="str">
        <f t="shared" si="352"/>
        <v/>
      </c>
      <c r="AV993" s="12">
        <f>IFERROR(VLOOKUP(D993,'Receivable Invoice Detail'!$S$1:$U$3014,3,FALSE),0)</f>
        <v>0</v>
      </c>
      <c r="AW993" s="12">
        <f t="shared" si="353"/>
        <v>0</v>
      </c>
    </row>
    <row r="994" spans="1:49" ht="30" x14ac:dyDescent="0.25">
      <c r="A994" s="2">
        <v>1</v>
      </c>
      <c r="B994" s="2" t="s">
        <v>48</v>
      </c>
      <c r="C994" s="2" t="s">
        <v>49</v>
      </c>
      <c r="D994" s="2" t="s">
        <v>4409</v>
      </c>
      <c r="E994" s="2" t="s">
        <v>50</v>
      </c>
      <c r="F994" s="3">
        <v>45923.693622685183</v>
      </c>
      <c r="G994" s="3">
        <v>45988.582731481481</v>
      </c>
      <c r="H994" s="4">
        <v>45995</v>
      </c>
      <c r="I994" s="2" t="s">
        <v>36</v>
      </c>
      <c r="J994" s="2" t="s">
        <v>51</v>
      </c>
      <c r="K994" s="2">
        <v>0.70832754622107197</v>
      </c>
      <c r="L994" s="2">
        <v>2752.9636682961882</v>
      </c>
      <c r="M994" s="2">
        <v>0</v>
      </c>
      <c r="N994" s="2">
        <v>1950</v>
      </c>
      <c r="O994" s="2">
        <v>1950</v>
      </c>
      <c r="P994" s="2"/>
      <c r="Q994" s="2">
        <v>1950</v>
      </c>
      <c r="R994" s="2" t="s">
        <v>44</v>
      </c>
      <c r="S994" s="2"/>
      <c r="T994" s="2">
        <f t="shared" si="335"/>
        <v>1</v>
      </c>
      <c r="U994" s="18">
        <f t="shared" si="336"/>
        <v>9</v>
      </c>
      <c r="V994" s="18">
        <f t="shared" si="337"/>
        <v>2025</v>
      </c>
      <c r="W994" s="18" t="str">
        <f t="shared" si="338"/>
        <v/>
      </c>
      <c r="X994" s="18" t="str">
        <f t="shared" si="339"/>
        <v/>
      </c>
      <c r="Y994" s="2">
        <f t="shared" si="332"/>
        <v>0.70832754622107197</v>
      </c>
      <c r="Z994" t="str">
        <f t="shared" si="333"/>
        <v>SO17902</v>
      </c>
      <c r="AA994" s="11">
        <f t="shared" si="340"/>
        <v>45923.693622685183</v>
      </c>
      <c r="AB994" s="5" t="str">
        <f t="shared" si="341"/>
        <v>INV13711</v>
      </c>
      <c r="AC994" s="5" t="str">
        <f>IFERROR(VLOOKUP(D994,CAARStatus!$A$2:$AA$1600,22,FALSE),"Not invoiced")</f>
        <v>Approved</v>
      </c>
      <c r="AD994" s="11" t="str">
        <f>IF(AC994="Paid",IFERROR(VLOOKUP(D994,CAARStatus!$A$2:$AA$1600,6,FALSE),"Pending"),"Pending")</f>
        <v>Pending</v>
      </c>
      <c r="AE994" s="5" t="str">
        <f t="shared" si="342"/>
        <v>PO003525</v>
      </c>
      <c r="AF994" s="5" t="str">
        <f t="shared" si="343"/>
        <v>Eleazar General &amp; Industrial Supplies Limited</v>
      </c>
      <c r="AG994" s="5" t="str">
        <f t="shared" si="344"/>
        <v>USD</v>
      </c>
      <c r="AH994" s="5">
        <f t="shared" si="345"/>
        <v>2752.9636682961882</v>
      </c>
      <c r="AI994" s="12">
        <f>IF(L994-N994=0,VLOOKUP(U994,rate!A$4:B$15,2,FALSE)*AH994,IF(AG994="USD",O994,AH994*Y994))</f>
        <v>1950</v>
      </c>
      <c r="AJ994" s="13">
        <f t="shared" si="346"/>
        <v>0.70832754622107197</v>
      </c>
      <c r="AK994" s="13">
        <f>-IF(AG994="CAD",IFERROR(VLOOKUP(D994,CAARStatus!$A$1:$Y$1600,16,FALSE),0),0)</f>
        <v>0</v>
      </c>
      <c r="AL994" s="13">
        <f>-IF(AG994="USD",IFERROR(VLOOKUP(D994,CAARStatus!$A$1:$Y$1600,11,FALSE),0),0)</f>
        <v>-1950</v>
      </c>
      <c r="AM994" s="22" t="str">
        <f t="shared" si="347"/>
        <v/>
      </c>
      <c r="AN994" s="12">
        <f t="shared" si="348"/>
        <v>0</v>
      </c>
      <c r="AO994" s="12" t="str">
        <f t="shared" si="349"/>
        <v>Pend</v>
      </c>
      <c r="AP994" t="str">
        <f t="shared" si="334"/>
        <v>Pend</v>
      </c>
      <c r="AQ994" t="str">
        <f>IFERROR(VLOOKUP(Z994,InvBal!$L$4:$P$600,4,FALSE),"Pend")</f>
        <v>Pend</v>
      </c>
      <c r="AR994" t="str">
        <f>IFERROR(VLOOKUP(D994,Manual!$C$1:$E$22,2,FALSE),"Pend")</f>
        <v>Pend</v>
      </c>
      <c r="AS994" t="str">
        <f t="shared" si="350"/>
        <v/>
      </c>
      <c r="AT994" t="str">
        <f t="shared" si="351"/>
        <v>Yes</v>
      </c>
      <c r="AU994" s="51" t="str">
        <f t="shared" si="352"/>
        <v/>
      </c>
      <c r="AV994" s="12">
        <f>IFERROR(VLOOKUP(D994,'Receivable Invoice Detail'!$S$1:$U$3014,3,FALSE),0)</f>
        <v>0</v>
      </c>
      <c r="AW994" s="12">
        <f t="shared" si="353"/>
        <v>0</v>
      </c>
    </row>
    <row r="995" spans="1:49" x14ac:dyDescent="0.25">
      <c r="A995" s="2">
        <v>2</v>
      </c>
      <c r="B995" s="2" t="s">
        <v>251</v>
      </c>
      <c r="C995" s="2" t="s">
        <v>252</v>
      </c>
      <c r="D995" s="2" t="s">
        <v>3348</v>
      </c>
      <c r="E995" s="2" t="s">
        <v>54</v>
      </c>
      <c r="F995" s="3">
        <v>45923.694791666669</v>
      </c>
      <c r="G995" s="3">
        <v>45967.700624999998</v>
      </c>
      <c r="H995" s="4">
        <v>45995</v>
      </c>
      <c r="I995" s="2" t="s">
        <v>21</v>
      </c>
      <c r="J995" s="2" t="s">
        <v>22</v>
      </c>
      <c r="K995" s="2">
        <v>1</v>
      </c>
      <c r="L995" s="2">
        <v>4113.49</v>
      </c>
      <c r="M995" s="2">
        <v>4113.49</v>
      </c>
      <c r="N995" s="2">
        <v>4113.49</v>
      </c>
      <c r="O995" s="2">
        <v>3853</v>
      </c>
      <c r="P995" s="2">
        <v>260.49</v>
      </c>
      <c r="Q995" s="2">
        <v>4113.49</v>
      </c>
      <c r="R995" s="2" t="s">
        <v>44</v>
      </c>
      <c r="S995" s="2"/>
      <c r="T995" s="2">
        <f t="shared" si="335"/>
        <v>2</v>
      </c>
      <c r="U995" s="18">
        <f t="shared" si="336"/>
        <v>9</v>
      </c>
      <c r="V995" s="18">
        <f t="shared" si="337"/>
        <v>2025</v>
      </c>
      <c r="W995" s="18" t="str">
        <f t="shared" si="338"/>
        <v/>
      </c>
      <c r="X995" s="18" t="str">
        <f t="shared" si="339"/>
        <v/>
      </c>
      <c r="Y995" s="2">
        <f t="shared" si="332"/>
        <v>1</v>
      </c>
      <c r="Z995" t="str">
        <f t="shared" si="333"/>
        <v>SO17903</v>
      </c>
      <c r="AA995" s="11">
        <f t="shared" si="340"/>
        <v>45923.694791666669</v>
      </c>
      <c r="AB995" s="5" t="str">
        <f t="shared" si="341"/>
        <v>INV13625</v>
      </c>
      <c r="AC995" s="5" t="str">
        <f>IFERROR(VLOOKUP(D995,CAARStatus!$A$2:$AA$1600,22,FALSE),"Not invoiced")</f>
        <v>Approved</v>
      </c>
      <c r="AD995" s="11" t="str">
        <f>IF(AC995="Paid",IFERROR(VLOOKUP(D995,CAARStatus!$A$2:$AA$1600,6,FALSE),"Pending"),"Pending")</f>
        <v>Pending</v>
      </c>
      <c r="AE995" s="5" t="str">
        <f t="shared" si="342"/>
        <v>3384</v>
      </c>
      <c r="AF995" s="5" t="str">
        <f t="shared" si="343"/>
        <v>Les Pompes du St-Laurent Inc.</v>
      </c>
      <c r="AG995" s="5" t="str">
        <f t="shared" si="344"/>
        <v>CAD</v>
      </c>
      <c r="AH995" s="5">
        <f t="shared" si="345"/>
        <v>3853</v>
      </c>
      <c r="AI995" s="12">
        <f>IF(L995-N995=0,VLOOKUP(U995,rate!A$4:B$15,2,FALSE)*AH995,IF(AG995="USD",O995,AH995*Y995))</f>
        <v>2782.1901045625073</v>
      </c>
      <c r="AJ995" s="13">
        <f t="shared" si="346"/>
        <v>0.72208411745717815</v>
      </c>
      <c r="AK995" s="13">
        <f>-IF(AG995="CAD",IFERROR(VLOOKUP(D995,CAARStatus!$A$1:$Y$1600,16,FALSE),0),0)</f>
        <v>-3683.4</v>
      </c>
      <c r="AL995" s="13">
        <f>-IF(AG995="USD",IFERROR(VLOOKUP(D995,CAARStatus!$A$1:$Y$1600,11,FALSE),0),0)</f>
        <v>0</v>
      </c>
      <c r="AM995" s="22">
        <f t="shared" si="347"/>
        <v>169.59999999999991</v>
      </c>
      <c r="AN995" s="12" t="str">
        <f t="shared" si="348"/>
        <v/>
      </c>
      <c r="AO995" s="12" t="str">
        <f t="shared" si="349"/>
        <v>Pend</v>
      </c>
      <c r="AP995" t="str">
        <f t="shared" si="334"/>
        <v>XX</v>
      </c>
      <c r="AQ995">
        <f>IFERROR(VLOOKUP(Z995,InvBal!$L$4:$P$600,4,FALSE),"Pend")</f>
        <v>0</v>
      </c>
      <c r="AR995" t="str">
        <f>IFERROR(VLOOKUP(D995,Manual!$C$1:$E$22,2,FALSE),"Pend")</f>
        <v>Pend</v>
      </c>
      <c r="AS995" t="str">
        <f t="shared" si="350"/>
        <v/>
      </c>
      <c r="AT995" t="str">
        <f t="shared" si="351"/>
        <v>Yes</v>
      </c>
      <c r="AU995" s="51" t="str">
        <f t="shared" si="352"/>
        <v/>
      </c>
      <c r="AV995" s="12">
        <f>IFERROR(VLOOKUP(D995,'Receivable Invoice Detail'!$S$1:$U$3014,3,FALSE),0)</f>
        <v>0</v>
      </c>
      <c r="AW995" s="12">
        <f t="shared" si="353"/>
        <v>0</v>
      </c>
    </row>
    <row r="996" spans="1:49" x14ac:dyDescent="0.25">
      <c r="A996" s="2"/>
      <c r="B996" s="2"/>
      <c r="C996" s="2"/>
      <c r="D996" s="2" t="s">
        <v>6316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>
        <f t="shared" si="335"/>
        <v>2</v>
      </c>
      <c r="U996" s="18">
        <f t="shared" si="336"/>
        <v>9</v>
      </c>
      <c r="V996" s="18">
        <f t="shared" si="337"/>
        <v>2025</v>
      </c>
      <c r="W996" s="18" t="str">
        <f t="shared" si="338"/>
        <v/>
      </c>
      <c r="X996" s="18" t="str">
        <f t="shared" si="339"/>
        <v/>
      </c>
      <c r="Y996" s="2">
        <f t="shared" si="332"/>
        <v>1</v>
      </c>
      <c r="Z996" t="str">
        <f t="shared" si="333"/>
        <v>SO17903</v>
      </c>
      <c r="AA996" s="11">
        <f t="shared" si="340"/>
        <v>45923.694791666669</v>
      </c>
      <c r="AB996" s="5" t="str">
        <f t="shared" si="341"/>
        <v>INV13763</v>
      </c>
      <c r="AC996" s="5" t="str">
        <f>IFERROR(VLOOKUP(D996,CAARStatus!$A$2:$AA$1600,22,FALSE),"Not invoiced")</f>
        <v>Not invoiced</v>
      </c>
      <c r="AD996" s="11" t="str">
        <f>IF(AC996="Paid",IFERROR(VLOOKUP(D996,CAARStatus!$A$2:$AA$1600,6,FALSE),"Pending"),"Pending")</f>
        <v>Pending</v>
      </c>
      <c r="AE996" s="5" t="str">
        <f t="shared" si="342"/>
        <v>3384</v>
      </c>
      <c r="AF996" s="5" t="str">
        <f t="shared" si="343"/>
        <v>Les Pompes du St-Laurent Inc.</v>
      </c>
      <c r="AG996" s="5" t="str">
        <f t="shared" si="344"/>
        <v>CAD</v>
      </c>
      <c r="AH996" s="5">
        <f t="shared" si="345"/>
        <v>0</v>
      </c>
      <c r="AI996" s="12">
        <f>IF(L996-N996=0,VLOOKUP(U996,rate!A$4:B$15,2,FALSE)*AH996,IF(AG996="USD",O996,AH996*Y996))</f>
        <v>0</v>
      </c>
      <c r="AJ996" s="13">
        <f t="shared" si="346"/>
        <v>0</v>
      </c>
      <c r="AK996" s="13">
        <f>-IF(AG996="CAD",IFERROR(VLOOKUP(D996,CAARStatus!$A$1:$Y$1600,16,FALSE),0),0)</f>
        <v>0</v>
      </c>
      <c r="AL996" s="13">
        <f>-IF(AG996="USD",IFERROR(VLOOKUP(D996,CAARStatus!$A$1:$Y$1600,11,FALSE),0),0)</f>
        <v>0</v>
      </c>
      <c r="AM996" s="22">
        <f t="shared" si="347"/>
        <v>0</v>
      </c>
      <c r="AN996" s="12" t="str">
        <f t="shared" si="348"/>
        <v/>
      </c>
      <c r="AO996" s="12" t="str">
        <f t="shared" si="349"/>
        <v>Pend</v>
      </c>
      <c r="AP996" t="str">
        <f t="shared" si="334"/>
        <v>XX</v>
      </c>
      <c r="AQ996">
        <f>IFERROR(VLOOKUP(Z996,InvBal!$L$4:$P$600,4,FALSE),"Pend")</f>
        <v>0</v>
      </c>
      <c r="AR996" t="str">
        <f>IFERROR(VLOOKUP(D996,Manual!$C$1:$E$22,2,FALSE),"Pend")</f>
        <v>Pend</v>
      </c>
      <c r="AS996" t="str">
        <f t="shared" si="350"/>
        <v/>
      </c>
      <c r="AT996" t="str">
        <f t="shared" si="351"/>
        <v/>
      </c>
      <c r="AU996" s="51" t="str">
        <f t="shared" si="352"/>
        <v/>
      </c>
      <c r="AV996" s="12">
        <f>IFERROR(VLOOKUP(D996,'Receivable Invoice Detail'!$S$1:$U$3014,3,FALSE),0)</f>
        <v>0</v>
      </c>
      <c r="AW996" s="12">
        <f t="shared" si="353"/>
        <v>0</v>
      </c>
    </row>
    <row r="997" spans="1:49" x14ac:dyDescent="0.25">
      <c r="A997" s="2">
        <v>1</v>
      </c>
      <c r="B997" s="2" t="s">
        <v>572</v>
      </c>
      <c r="C997" s="2" t="s">
        <v>573</v>
      </c>
      <c r="D997" s="2" t="s">
        <v>3215</v>
      </c>
      <c r="E997" s="2" t="s">
        <v>271</v>
      </c>
      <c r="F997" s="3">
        <v>45924.407719907409</v>
      </c>
      <c r="G997" s="3">
        <v>45924.407881944448</v>
      </c>
      <c r="H997" s="4">
        <v>45931</v>
      </c>
      <c r="I997" s="2" t="s">
        <v>21</v>
      </c>
      <c r="J997" s="2" t="s">
        <v>22</v>
      </c>
      <c r="K997" s="2">
        <v>1</v>
      </c>
      <c r="L997" s="2">
        <v>1006.02</v>
      </c>
      <c r="M997" s="2">
        <v>0</v>
      </c>
      <c r="N997" s="2">
        <v>723.99328247876781</v>
      </c>
      <c r="O997" s="2">
        <v>958.11</v>
      </c>
      <c r="P997" s="2">
        <v>47.91</v>
      </c>
      <c r="Q997" s="2">
        <v>1006.02</v>
      </c>
      <c r="R997" s="2" t="s">
        <v>44</v>
      </c>
      <c r="S997" s="2"/>
      <c r="T997" s="2">
        <f t="shared" si="335"/>
        <v>1</v>
      </c>
      <c r="U997" s="18">
        <f t="shared" si="336"/>
        <v>9</v>
      </c>
      <c r="V997" s="18">
        <f t="shared" si="337"/>
        <v>2025</v>
      </c>
      <c r="W997" s="18">
        <f t="shared" si="338"/>
        <v>11</v>
      </c>
      <c r="X997" s="18">
        <f t="shared" si="339"/>
        <v>2025</v>
      </c>
      <c r="Y997" s="2">
        <f t="shared" si="332"/>
        <v>0.71966092371798551</v>
      </c>
      <c r="Z997" t="str">
        <f t="shared" si="333"/>
        <v>SO17904</v>
      </c>
      <c r="AA997" s="11">
        <f t="shared" si="340"/>
        <v>45924.407719907409</v>
      </c>
      <c r="AB997" s="5" t="str">
        <f t="shared" si="341"/>
        <v>INV13464</v>
      </c>
      <c r="AC997" s="5" t="str">
        <f>IFERROR(VLOOKUP(D997,CAARStatus!$A$2:$AA$1600,22,FALSE),"Not invoiced")</f>
        <v>Paid</v>
      </c>
      <c r="AD997" s="11">
        <f>IF(AC997="Paid",IFERROR(VLOOKUP(D997,CAARStatus!$A$2:$AA$1600,6,FALSE),"Pending"),"Pending")</f>
        <v>45989</v>
      </c>
      <c r="AE997" s="5" t="str">
        <f t="shared" si="342"/>
        <v>7704</v>
      </c>
      <c r="AF997" s="5" t="str">
        <f t="shared" si="343"/>
        <v>Hyperflo, Hyperflo</v>
      </c>
      <c r="AG997" s="5" t="str">
        <f t="shared" si="344"/>
        <v>CAD</v>
      </c>
      <c r="AH997" s="5">
        <f t="shared" si="345"/>
        <v>958.11</v>
      </c>
      <c r="AI997" s="12">
        <f>IF(L997-N997=0,VLOOKUP(U997,rate!A$4:B$15,2,FALSE)*AH997,IF(AG997="USD",O997,AH997*Y997))</f>
        <v>689.51432762343916</v>
      </c>
      <c r="AJ997" s="13">
        <f t="shared" si="346"/>
        <v>0.71966092371798551</v>
      </c>
      <c r="AK997" s="13">
        <f>-IF(AG997="CAD",IFERROR(VLOOKUP(D997,CAARStatus!$A$1:$Y$1600,16,FALSE),0),0)</f>
        <v>-958.11</v>
      </c>
      <c r="AL997" s="13">
        <f>-IF(AG997="USD",IFERROR(VLOOKUP(D997,CAARStatus!$A$1:$Y$1600,11,FALSE),0),0)</f>
        <v>0</v>
      </c>
      <c r="AM997" s="22">
        <f t="shared" si="347"/>
        <v>0</v>
      </c>
      <c r="AN997" s="12" t="str">
        <f t="shared" si="348"/>
        <v/>
      </c>
      <c r="AO997" s="12" t="str">
        <f t="shared" si="349"/>
        <v>Yes</v>
      </c>
      <c r="AP997" t="str">
        <f t="shared" si="334"/>
        <v>Yes</v>
      </c>
      <c r="AQ997" t="str">
        <f>IFERROR(VLOOKUP(Z997,InvBal!$L$4:$P$600,4,FALSE),"Pend")</f>
        <v>Pend</v>
      </c>
      <c r="AR997" t="str">
        <f>IFERROR(VLOOKUP(D997,Manual!$C$1:$E$22,2,FALSE),"Pend")</f>
        <v>Pend</v>
      </c>
      <c r="AS997" t="str">
        <f t="shared" si="350"/>
        <v>Yes</v>
      </c>
      <c r="AT997" t="str">
        <f t="shared" si="351"/>
        <v>Yes</v>
      </c>
      <c r="AU997" s="51" t="str">
        <f t="shared" si="352"/>
        <v>Yes</v>
      </c>
      <c r="AV997" s="12">
        <f>IFERROR(VLOOKUP(D997,'Receivable Invoice Detail'!$S$1:$U$3014,3,FALSE),0)</f>
        <v>0</v>
      </c>
      <c r="AW997" s="12">
        <f t="shared" si="353"/>
        <v>689.51432762343916</v>
      </c>
    </row>
    <row r="998" spans="1:49" x14ac:dyDescent="0.25">
      <c r="A998" s="2">
        <v>1</v>
      </c>
      <c r="B998" s="2" t="s">
        <v>570</v>
      </c>
      <c r="C998" s="2" t="s">
        <v>571</v>
      </c>
      <c r="D998" s="2" t="s">
        <v>3216</v>
      </c>
      <c r="E998" s="2" t="s">
        <v>77</v>
      </c>
      <c r="F998" s="3">
        <v>45924.419016203698</v>
      </c>
      <c r="G998" s="3">
        <v>45924.419085648151</v>
      </c>
      <c r="H998" s="4">
        <v>45931</v>
      </c>
      <c r="I998" s="2" t="s">
        <v>74</v>
      </c>
      <c r="J998" s="2" t="s">
        <v>22</v>
      </c>
      <c r="K998" s="2">
        <v>1</v>
      </c>
      <c r="L998" s="2">
        <v>270.35000000000002</v>
      </c>
      <c r="M998" s="2">
        <v>0</v>
      </c>
      <c r="N998" s="2">
        <v>194.56033072715741</v>
      </c>
      <c r="O998" s="2">
        <v>270.35000000000002</v>
      </c>
      <c r="P998" s="2"/>
      <c r="Q998" s="2">
        <v>270.35000000000002</v>
      </c>
      <c r="R998" s="2" t="s">
        <v>44</v>
      </c>
      <c r="S998" s="2"/>
      <c r="T998" s="2">
        <f t="shared" si="335"/>
        <v>1</v>
      </c>
      <c r="U998" s="18">
        <f t="shared" si="336"/>
        <v>9</v>
      </c>
      <c r="V998" s="18">
        <f t="shared" si="337"/>
        <v>2025</v>
      </c>
      <c r="W998" s="18" t="str">
        <f t="shared" si="338"/>
        <v/>
      </c>
      <c r="X998" s="18" t="str">
        <f t="shared" si="339"/>
        <v/>
      </c>
      <c r="Y998" s="2">
        <f t="shared" si="332"/>
        <v>0.71966092371798551</v>
      </c>
      <c r="Z998" t="str">
        <f t="shared" si="333"/>
        <v>SO17905</v>
      </c>
      <c r="AA998" s="11">
        <f t="shared" si="340"/>
        <v>45924.419016203698</v>
      </c>
      <c r="AB998" s="5" t="str">
        <f t="shared" si="341"/>
        <v>INV13443</v>
      </c>
      <c r="AC998" s="5" t="str">
        <f>IFERROR(VLOOKUP(D998,CAARStatus!$A$2:$AA$1600,22,FALSE),"Not invoiced")</f>
        <v>Not invoiced</v>
      </c>
      <c r="AD998" s="11" t="str">
        <f>IF(AC998="Paid",IFERROR(VLOOKUP(D998,CAARStatus!$A$2:$AA$1600,6,FALSE),"Pending"),"Pending")</f>
        <v>Pending</v>
      </c>
      <c r="AE998" s="5" t="str">
        <f t="shared" si="342"/>
        <v>PO-40-1018016</v>
      </c>
      <c r="AF998" s="5" t="str">
        <f t="shared" si="343"/>
        <v>Canadian Bearings Ltd.</v>
      </c>
      <c r="AG998" s="5" t="str">
        <f t="shared" si="344"/>
        <v>CAD</v>
      </c>
      <c r="AH998" s="5">
        <f t="shared" si="345"/>
        <v>270.35000000000002</v>
      </c>
      <c r="AI998" s="12">
        <f>IF(L998-N998=0,VLOOKUP(U998,rate!A$4:B$15,2,FALSE)*AH998,IF(AG998="USD",O998,AH998*Y998))</f>
        <v>194.56033072715741</v>
      </c>
      <c r="AJ998" s="13">
        <f t="shared" si="346"/>
        <v>0.71966092371798551</v>
      </c>
      <c r="AK998" s="13">
        <f>-IF(AG998="CAD",IFERROR(VLOOKUP(D998,CAARStatus!$A$1:$Y$1600,16,FALSE),0),0)</f>
        <v>0</v>
      </c>
      <c r="AL998" s="13">
        <f>-IF(AG998="USD",IFERROR(VLOOKUP(D998,CAARStatus!$A$1:$Y$1600,11,FALSE),0),0)</f>
        <v>0</v>
      </c>
      <c r="AM998" s="22">
        <f t="shared" si="347"/>
        <v>270.35000000000002</v>
      </c>
      <c r="AN998" s="12" t="str">
        <f t="shared" si="348"/>
        <v/>
      </c>
      <c r="AO998" s="12" t="str">
        <f t="shared" si="349"/>
        <v>Pend</v>
      </c>
      <c r="AP998" t="str">
        <f t="shared" si="334"/>
        <v>Pend</v>
      </c>
      <c r="AQ998" t="str">
        <f>IFERROR(VLOOKUP(Z998,InvBal!$L$4:$P$600,4,FALSE),"Pend")</f>
        <v>Pend</v>
      </c>
      <c r="AR998" t="str">
        <f>IFERROR(VLOOKUP(D998,Manual!$C$1:$E$22,2,FALSE),"Pend")</f>
        <v>Pend</v>
      </c>
      <c r="AS998" t="str">
        <f t="shared" si="350"/>
        <v/>
      </c>
      <c r="AT998" t="str">
        <f t="shared" si="351"/>
        <v>Yes</v>
      </c>
      <c r="AU998" s="51" t="str">
        <f t="shared" si="352"/>
        <v/>
      </c>
      <c r="AV998" s="12">
        <f>IFERROR(VLOOKUP(D998,'Receivable Invoice Detail'!$S$1:$U$3014,3,FALSE),0)</f>
        <v>0</v>
      </c>
      <c r="AW998" s="12">
        <f t="shared" si="353"/>
        <v>0</v>
      </c>
    </row>
    <row r="999" spans="1:49" ht="30" x14ac:dyDescent="0.25">
      <c r="A999" s="2">
        <v>1</v>
      </c>
      <c r="B999" s="2" t="s">
        <v>568</v>
      </c>
      <c r="C999" s="2" t="s">
        <v>569</v>
      </c>
      <c r="D999" s="2" t="s">
        <v>3217</v>
      </c>
      <c r="E999" s="2" t="s">
        <v>121</v>
      </c>
      <c r="F999" s="3">
        <v>45924.453379629631</v>
      </c>
      <c r="G999" s="3">
        <v>45924.460798611108</v>
      </c>
      <c r="H999" s="4">
        <v>45926</v>
      </c>
      <c r="I999" s="2" t="s">
        <v>21</v>
      </c>
      <c r="J999" s="2" t="s">
        <v>22</v>
      </c>
      <c r="K999" s="2">
        <v>1</v>
      </c>
      <c r="L999" s="2">
        <v>12298.19</v>
      </c>
      <c r="M999" s="2">
        <v>0</v>
      </c>
      <c r="N999" s="2">
        <v>8850.5267754592933</v>
      </c>
      <c r="O999" s="2">
        <v>11712.55</v>
      </c>
      <c r="P999" s="2">
        <v>585.64</v>
      </c>
      <c r="Q999" s="2">
        <v>12298.19</v>
      </c>
      <c r="R999" s="2" t="s">
        <v>44</v>
      </c>
      <c r="S999" s="2"/>
      <c r="T999" s="2">
        <f t="shared" si="335"/>
        <v>1</v>
      </c>
      <c r="U999" s="18">
        <f t="shared" si="336"/>
        <v>9</v>
      </c>
      <c r="V999" s="18">
        <f t="shared" si="337"/>
        <v>2025</v>
      </c>
      <c r="W999" s="18">
        <f t="shared" si="338"/>
        <v>11</v>
      </c>
      <c r="X999" s="18">
        <f t="shared" si="339"/>
        <v>2025</v>
      </c>
      <c r="Y999" s="2">
        <f t="shared" si="332"/>
        <v>0.71966092371798551</v>
      </c>
      <c r="Z999" t="str">
        <f t="shared" si="333"/>
        <v>SO17906</v>
      </c>
      <c r="AA999" s="11">
        <f t="shared" si="340"/>
        <v>45924.453379629631</v>
      </c>
      <c r="AB999" s="5" t="str">
        <f t="shared" si="341"/>
        <v>INV13449</v>
      </c>
      <c r="AC999" s="5" t="str">
        <f>IFERROR(VLOOKUP(D999,CAARStatus!$A$2:$AA$1600,22,FALSE),"Not invoiced")</f>
        <v>Paid</v>
      </c>
      <c r="AD999" s="11">
        <f>IF(AC999="Paid",IFERROR(VLOOKUP(D999,CAARStatus!$A$2:$AA$1600,6,FALSE),"Pending"),"Pending")</f>
        <v>45967</v>
      </c>
      <c r="AE999" s="5" t="str">
        <f t="shared" si="342"/>
        <v>4500587501</v>
      </c>
      <c r="AF999" s="5" t="str">
        <f t="shared" si="343"/>
        <v>Glencore Canada Corporation - Rouyn-Noranda</v>
      </c>
      <c r="AG999" s="5" t="str">
        <f t="shared" si="344"/>
        <v>CAD</v>
      </c>
      <c r="AH999" s="5">
        <f t="shared" si="345"/>
        <v>11712.55</v>
      </c>
      <c r="AI999" s="12">
        <f>IF(L999-N999=0,VLOOKUP(U999,rate!A$4:B$15,2,FALSE)*AH999,IF(AG999="USD",O999,AH999*Y999))</f>
        <v>8429.0645520930902</v>
      </c>
      <c r="AJ999" s="13">
        <f t="shared" si="346"/>
        <v>0.71966092371798551</v>
      </c>
      <c r="AK999" s="13">
        <f>-IF(AG999="CAD",IFERROR(VLOOKUP(D999,CAARStatus!$A$1:$Y$1600,16,FALSE),0),0)</f>
        <v>-11712.55</v>
      </c>
      <c r="AL999" s="13">
        <f>-IF(AG999="USD",IFERROR(VLOOKUP(D999,CAARStatus!$A$1:$Y$1600,11,FALSE),0),0)</f>
        <v>0</v>
      </c>
      <c r="AM999" s="22">
        <f t="shared" si="347"/>
        <v>0</v>
      </c>
      <c r="AN999" s="12" t="str">
        <f t="shared" si="348"/>
        <v/>
      </c>
      <c r="AO999" s="12" t="str">
        <f t="shared" si="349"/>
        <v>Yes</v>
      </c>
      <c r="AP999" t="str">
        <f t="shared" si="334"/>
        <v>Yes</v>
      </c>
      <c r="AQ999" t="str">
        <f>IFERROR(VLOOKUP(Z999,InvBal!$L$4:$P$600,4,FALSE),"Pend")</f>
        <v>Pend</v>
      </c>
      <c r="AR999" t="str">
        <f>IFERROR(VLOOKUP(D999,Manual!$C$1:$E$22,2,FALSE),"Pend")</f>
        <v>Pend</v>
      </c>
      <c r="AS999" t="str">
        <f t="shared" si="350"/>
        <v>Yes</v>
      </c>
      <c r="AT999" t="str">
        <f t="shared" si="351"/>
        <v>Yes</v>
      </c>
      <c r="AU999" s="51" t="str">
        <f t="shared" si="352"/>
        <v>Yes</v>
      </c>
      <c r="AV999" s="12">
        <f>IFERROR(VLOOKUP(D999,'Receivable Invoice Detail'!$S$1:$U$3014,3,FALSE),0)</f>
        <v>0</v>
      </c>
      <c r="AW999" s="12">
        <f t="shared" si="353"/>
        <v>8429.0645520930902</v>
      </c>
    </row>
    <row r="1000" spans="1:49" ht="30" x14ac:dyDescent="0.25">
      <c r="A1000" s="2">
        <v>1</v>
      </c>
      <c r="B1000" s="2" t="s">
        <v>434</v>
      </c>
      <c r="C1000" s="2" t="s">
        <v>435</v>
      </c>
      <c r="D1000" s="2" t="s">
        <v>6317</v>
      </c>
      <c r="E1000" s="2" t="s">
        <v>20</v>
      </c>
      <c r="F1000" s="3">
        <v>45924.664398148147</v>
      </c>
      <c r="G1000" s="3">
        <v>45940.497361111113</v>
      </c>
      <c r="H1000" s="4">
        <v>46024</v>
      </c>
      <c r="I1000" s="2" t="s">
        <v>21</v>
      </c>
      <c r="J1000" s="2" t="s">
        <v>22</v>
      </c>
      <c r="K1000" s="2">
        <v>1</v>
      </c>
      <c r="L1000" s="2">
        <v>10170.530000000001</v>
      </c>
      <c r="M1000" s="2">
        <v>0</v>
      </c>
      <c r="N1000" s="2">
        <v>7265.0211063684737</v>
      </c>
      <c r="O1000" s="2">
        <v>9686.2199999999993</v>
      </c>
      <c r="P1000" s="2">
        <v>484.31</v>
      </c>
      <c r="Q1000" s="2">
        <v>10170.530000000001</v>
      </c>
      <c r="R1000" s="2" t="s">
        <v>44</v>
      </c>
      <c r="S1000" s="2"/>
      <c r="T1000" s="2">
        <f t="shared" si="335"/>
        <v>1</v>
      </c>
      <c r="U1000" s="18">
        <f t="shared" si="336"/>
        <v>9</v>
      </c>
      <c r="V1000" s="18">
        <f t="shared" si="337"/>
        <v>2025</v>
      </c>
      <c r="W1000" s="18" t="str">
        <f t="shared" si="338"/>
        <v/>
      </c>
      <c r="X1000" s="18" t="str">
        <f t="shared" si="339"/>
        <v/>
      </c>
      <c r="Y1000" s="2">
        <f t="shared" si="332"/>
        <v>0.71432079806740389</v>
      </c>
      <c r="Z1000" t="str">
        <f t="shared" si="333"/>
        <v>SO17910</v>
      </c>
      <c r="AA1000" s="11">
        <f t="shared" si="340"/>
        <v>45924.664398148147</v>
      </c>
      <c r="AB1000" s="5" t="str">
        <f t="shared" si="341"/>
        <v>INV13836</v>
      </c>
      <c r="AC1000" s="5" t="str">
        <f>IFERROR(VLOOKUP(D1000,CAARStatus!$A$2:$AA$1600,22,FALSE),"Not invoiced")</f>
        <v>Not invoiced</v>
      </c>
      <c r="AD1000" s="11" t="str">
        <f>IF(AC1000="Paid",IFERROR(VLOOKUP(D1000,CAARStatus!$A$2:$AA$1600,6,FALSE),"Pending"),"Pending")</f>
        <v>Pending</v>
      </c>
      <c r="AE1000" s="5" t="str">
        <f t="shared" si="342"/>
        <v>4500617120</v>
      </c>
      <c r="AF1000" s="5" t="str">
        <f t="shared" si="343"/>
        <v>Resolute Forest Products - Saint-Felicien</v>
      </c>
      <c r="AG1000" s="5" t="str">
        <f t="shared" si="344"/>
        <v>CAD</v>
      </c>
      <c r="AH1000" s="5">
        <f t="shared" si="345"/>
        <v>9686.2199999999993</v>
      </c>
      <c r="AI1000" s="12">
        <f>IF(L1000-N1000=0,VLOOKUP(U1000,rate!A$4:B$15,2,FALSE)*AH1000,IF(AG1000="USD",O1000,AH1000*Y1000))</f>
        <v>6919.0684006564488</v>
      </c>
      <c r="AJ1000" s="13">
        <f t="shared" si="346"/>
        <v>0.71432079806740389</v>
      </c>
      <c r="AK1000" s="13">
        <f>-IF(AG1000="CAD",IFERROR(VLOOKUP(D1000,CAARStatus!$A$1:$Y$1600,16,FALSE),0),0)</f>
        <v>0</v>
      </c>
      <c r="AL1000" s="13">
        <f>-IF(AG1000="USD",IFERROR(VLOOKUP(D1000,CAARStatus!$A$1:$Y$1600,11,FALSE),0),0)</f>
        <v>0</v>
      </c>
      <c r="AM1000" s="22">
        <f t="shared" si="347"/>
        <v>9686.2199999999993</v>
      </c>
      <c r="AN1000" s="12" t="str">
        <f t="shared" si="348"/>
        <v/>
      </c>
      <c r="AO1000" s="12" t="str">
        <f t="shared" si="349"/>
        <v>Pend</v>
      </c>
      <c r="AP1000" t="str">
        <f t="shared" si="334"/>
        <v>Pend</v>
      </c>
      <c r="AQ1000" t="str">
        <f>IFERROR(VLOOKUP(Z1000,InvBal!$L$4:$P$600,4,FALSE),"Pend")</f>
        <v>Pend</v>
      </c>
      <c r="AR1000" t="str">
        <f>IFERROR(VLOOKUP(D1000,Manual!$C$1:$E$22,2,FALSE),"Pend")</f>
        <v>Pend</v>
      </c>
      <c r="AS1000" t="str">
        <f t="shared" si="350"/>
        <v/>
      </c>
      <c r="AT1000" t="str">
        <f t="shared" si="351"/>
        <v>Yes</v>
      </c>
      <c r="AU1000" s="51" t="str">
        <f t="shared" si="352"/>
        <v/>
      </c>
      <c r="AV1000" s="12">
        <f>IFERROR(VLOOKUP(D1000,'Receivable Invoice Detail'!$S$1:$U$3014,3,FALSE),0)</f>
        <v>0</v>
      </c>
      <c r="AW1000" s="12">
        <f t="shared" si="353"/>
        <v>0</v>
      </c>
    </row>
    <row r="1001" spans="1:49" x14ac:dyDescent="0.25">
      <c r="A1001" s="2">
        <v>1</v>
      </c>
      <c r="B1001" s="2" t="s">
        <v>6177</v>
      </c>
      <c r="C1001" s="2" t="s">
        <v>6000</v>
      </c>
      <c r="D1001" s="2" t="s">
        <v>5999</v>
      </c>
      <c r="E1001" s="2" t="s">
        <v>109</v>
      </c>
      <c r="F1001" s="3">
        <v>45924.696099537039</v>
      </c>
      <c r="G1001" s="3">
        <v>46001.644884259258</v>
      </c>
      <c r="H1001" s="4">
        <v>46003</v>
      </c>
      <c r="I1001" s="2" t="s">
        <v>657</v>
      </c>
      <c r="J1001" s="2" t="s">
        <v>51</v>
      </c>
      <c r="K1001" s="2">
        <v>0.72282535844006246</v>
      </c>
      <c r="L1001" s="2">
        <v>12990.689784686951</v>
      </c>
      <c r="M1001" s="2">
        <v>0</v>
      </c>
      <c r="N1001" s="2">
        <v>9390</v>
      </c>
      <c r="O1001" s="2">
        <v>9390</v>
      </c>
      <c r="P1001" s="2"/>
      <c r="Q1001" s="2">
        <v>9390</v>
      </c>
      <c r="R1001" s="2" t="s">
        <v>44</v>
      </c>
      <c r="S1001" s="2"/>
      <c r="T1001" s="2">
        <f t="shared" si="335"/>
        <v>1</v>
      </c>
      <c r="U1001" s="18">
        <f t="shared" si="336"/>
        <v>9</v>
      </c>
      <c r="V1001" s="18">
        <f t="shared" si="337"/>
        <v>2025</v>
      </c>
      <c r="W1001" s="18">
        <f t="shared" si="338"/>
        <v>12</v>
      </c>
      <c r="X1001" s="18">
        <f t="shared" si="339"/>
        <v>2025</v>
      </c>
      <c r="Y1001" s="2">
        <f t="shared" si="332"/>
        <v>0.72282535844006224</v>
      </c>
      <c r="Z1001" t="str">
        <f t="shared" si="333"/>
        <v>SO17911</v>
      </c>
      <c r="AA1001" s="11">
        <f t="shared" si="340"/>
        <v>45924.696099537039</v>
      </c>
      <c r="AB1001" s="5" t="str">
        <f t="shared" si="341"/>
        <v>INV13755</v>
      </c>
      <c r="AC1001" s="5" t="str">
        <f>IFERROR(VLOOKUP(D1001,CAARStatus!$A$2:$AA$1600,22,FALSE),"Not invoiced")</f>
        <v>Paid</v>
      </c>
      <c r="AD1001" s="11">
        <f>IF(AC1001="Paid",IFERROR(VLOOKUP(D1001,CAARStatus!$A$2:$AA$1600,6,FALSE),"Pending"),"Pending")</f>
        <v>46013</v>
      </c>
      <c r="AE1001" s="5" t="str">
        <f t="shared" si="342"/>
        <v>4487</v>
      </c>
      <c r="AF1001" s="5" t="str">
        <f t="shared" si="343"/>
        <v>Middle Georgia Fluid Sealing LLC</v>
      </c>
      <c r="AG1001" s="5" t="str">
        <f t="shared" si="344"/>
        <v>USD</v>
      </c>
      <c r="AH1001" s="5">
        <f t="shared" si="345"/>
        <v>12990.689784686947</v>
      </c>
      <c r="AI1001" s="12">
        <f>IF(L1001-N1001=0,VLOOKUP(U1001,rate!A$4:B$15,2,FALSE)*AH1001,IF(AG1001="USD",O1001,AH1001*Y1001))</f>
        <v>9390</v>
      </c>
      <c r="AJ1001" s="13">
        <f t="shared" si="346"/>
        <v>0.72282535844006246</v>
      </c>
      <c r="AK1001" s="13">
        <f>-IF(AG1001="CAD",IFERROR(VLOOKUP(D1001,CAARStatus!$A$1:$Y$1600,16,FALSE),0),0)</f>
        <v>0</v>
      </c>
      <c r="AL1001" s="13">
        <f>-IF(AG1001="USD",IFERROR(VLOOKUP(D1001,CAARStatus!$A$1:$Y$1600,11,FALSE),0),0)</f>
        <v>-9390</v>
      </c>
      <c r="AM1001" s="22" t="str">
        <f t="shared" si="347"/>
        <v/>
      </c>
      <c r="AN1001" s="12">
        <f t="shared" si="348"/>
        <v>0</v>
      </c>
      <c r="AO1001" s="12" t="str">
        <f t="shared" si="349"/>
        <v>Yes</v>
      </c>
      <c r="AP1001" t="str">
        <f t="shared" si="334"/>
        <v>Yes</v>
      </c>
      <c r="AQ1001" t="str">
        <f>IFERROR(VLOOKUP(Z1001,InvBal!$L$4:$P$600,4,FALSE),"Pend")</f>
        <v>Pend</v>
      </c>
      <c r="AR1001" t="str">
        <f>IFERROR(VLOOKUP(D1001,Manual!$C$1:$E$22,2,FALSE),"Pend")</f>
        <v>Pend</v>
      </c>
      <c r="AS1001" t="str">
        <f t="shared" si="350"/>
        <v>Yes</v>
      </c>
      <c r="AT1001" t="str">
        <f t="shared" si="351"/>
        <v>Yes</v>
      </c>
      <c r="AU1001" s="51" t="str">
        <f t="shared" si="352"/>
        <v>Yes</v>
      </c>
      <c r="AV1001" s="12">
        <f>IFERROR(VLOOKUP(D1001,'Receivable Invoice Detail'!$S$1:$U$3014,3,FALSE),0)</f>
        <v>692</v>
      </c>
      <c r="AW1001" s="12">
        <f t="shared" si="353"/>
        <v>8698</v>
      </c>
    </row>
    <row r="1002" spans="1:49" x14ac:dyDescent="0.25">
      <c r="A1002" s="2">
        <v>2</v>
      </c>
      <c r="B1002" s="2" t="s">
        <v>563</v>
      </c>
      <c r="C1002" s="2" t="s">
        <v>564</v>
      </c>
      <c r="D1002" s="2" t="s">
        <v>3219</v>
      </c>
      <c r="E1002" s="2" t="s">
        <v>242</v>
      </c>
      <c r="F1002" s="3">
        <v>45925.376793981479</v>
      </c>
      <c r="G1002" s="3">
        <v>45925.427256944437</v>
      </c>
      <c r="H1002" s="4">
        <v>45939</v>
      </c>
      <c r="I1002" s="2" t="s">
        <v>40</v>
      </c>
      <c r="J1002" s="2" t="s">
        <v>22</v>
      </c>
      <c r="K1002" s="2">
        <v>1</v>
      </c>
      <c r="L1002" s="2">
        <v>105</v>
      </c>
      <c r="M1002" s="2">
        <v>0</v>
      </c>
      <c r="N1002" s="2">
        <v>75.408454952162131</v>
      </c>
      <c r="O1002" s="2">
        <v>100</v>
      </c>
      <c r="P1002" s="2">
        <v>5</v>
      </c>
      <c r="Q1002" s="2">
        <v>105</v>
      </c>
      <c r="R1002" s="2" t="s">
        <v>44</v>
      </c>
      <c r="S1002" s="2"/>
      <c r="T1002" s="2">
        <f t="shared" si="335"/>
        <v>2</v>
      </c>
      <c r="U1002" s="18">
        <f t="shared" si="336"/>
        <v>9</v>
      </c>
      <c r="V1002" s="18">
        <f t="shared" si="337"/>
        <v>2025</v>
      </c>
      <c r="W1002" s="18">
        <f t="shared" si="338"/>
        <v>1</v>
      </c>
      <c r="X1002" s="18">
        <f t="shared" si="339"/>
        <v>2026</v>
      </c>
      <c r="Y1002" s="2">
        <f t="shared" si="332"/>
        <v>0.71817576144916317</v>
      </c>
      <c r="Z1002" t="str">
        <f t="shared" si="333"/>
        <v>SO17914</v>
      </c>
      <c r="AA1002" s="11">
        <f t="shared" si="340"/>
        <v>45925.376793981479</v>
      </c>
      <c r="AB1002" s="5" t="str">
        <f t="shared" si="341"/>
        <v>INV13631</v>
      </c>
      <c r="AC1002" s="5" t="str">
        <f>IFERROR(VLOOKUP(D1002,CAARStatus!$A$2:$AA$1600,22,FALSE),"Not invoiced")</f>
        <v>Paid</v>
      </c>
      <c r="AD1002" s="11">
        <f>IF(AC1002="Paid",IFERROR(VLOOKUP(D1002,CAARStatus!$A$2:$AA$1600,6,FALSE),"Pending"),"Pending")</f>
        <v>46024</v>
      </c>
      <c r="AE1002" s="5" t="str">
        <f t="shared" si="342"/>
        <v>2100660152</v>
      </c>
      <c r="AF1002" s="5" t="str">
        <f t="shared" si="343"/>
        <v>Wajax Limited - Noranda</v>
      </c>
      <c r="AG1002" s="5" t="str">
        <f t="shared" si="344"/>
        <v>CAD</v>
      </c>
      <c r="AH1002" s="5">
        <f t="shared" si="345"/>
        <v>100</v>
      </c>
      <c r="AI1002" s="12">
        <f>IF(L1002-N1002=0,VLOOKUP(U1002,rate!A$4:B$15,2,FALSE)*AH1002,IF(AG1002="USD",O1002,AH1002*Y1002))</f>
        <v>71.817576144916316</v>
      </c>
      <c r="AJ1002" s="13">
        <f t="shared" si="346"/>
        <v>0.71817576144916317</v>
      </c>
      <c r="AK1002" s="61">
        <f>IF(AC1002="Paid",-IF(AG1002="CAD",IFERROR(VLOOKUP(D1002,CAARStatus!$A$1:$Y$1600,16,FALSE),0),0),0)</f>
        <v>-50</v>
      </c>
      <c r="AL1002" s="61">
        <f>IF(AC1002="Paid",-IF(AG1002="USD",IFERROR(VLOOKUP(D1002,CAARStatus!$A$1:$Y$1600,11,FALSE),0),0),0)</f>
        <v>0</v>
      </c>
      <c r="AM1002" s="22">
        <f t="shared" si="347"/>
        <v>50</v>
      </c>
      <c r="AN1002" s="12" t="str">
        <f t="shared" si="348"/>
        <v/>
      </c>
      <c r="AO1002" s="12" t="str">
        <f t="shared" si="349"/>
        <v>Yes</v>
      </c>
      <c r="AP1002" t="str">
        <f t="shared" si="334"/>
        <v>XX</v>
      </c>
      <c r="AQ1002" t="str">
        <f>IFERROR(VLOOKUP(Z1002,InvBal!$L$4:$P$600,4,FALSE),"Pend")</f>
        <v>Yes</v>
      </c>
      <c r="AR1002" t="str">
        <f>IFERROR(VLOOKUP(D1002,Manual!$C$1:$E$22,2,FALSE),"Pend")</f>
        <v>Pend</v>
      </c>
      <c r="AS1002" t="str">
        <f t="shared" si="350"/>
        <v>Yes</v>
      </c>
      <c r="AT1002" t="str">
        <f t="shared" si="351"/>
        <v>Yes</v>
      </c>
      <c r="AU1002" s="51" t="str">
        <f t="shared" si="352"/>
        <v>Yes</v>
      </c>
      <c r="AV1002" s="12">
        <f>IFERROR(VLOOKUP(D1002,'Receivable Invoice Detail'!$S$1:$U$3014,3,FALSE),0)</f>
        <v>0</v>
      </c>
      <c r="AW1002" s="12">
        <f t="shared" si="353"/>
        <v>71.817576144916316</v>
      </c>
    </row>
    <row r="1003" spans="1:49" x14ac:dyDescent="0.25">
      <c r="A1003" s="2"/>
      <c r="B1003" s="2"/>
      <c r="C1003" s="2"/>
      <c r="D1003" s="2" t="s">
        <v>3218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>
        <f t="shared" si="335"/>
        <v>2</v>
      </c>
      <c r="U1003" s="18">
        <f t="shared" si="336"/>
        <v>9</v>
      </c>
      <c r="V1003" s="18">
        <f t="shared" si="337"/>
        <v>2025</v>
      </c>
      <c r="W1003" s="18">
        <f t="shared" si="338"/>
        <v>11</v>
      </c>
      <c r="X1003" s="18">
        <f t="shared" si="339"/>
        <v>2025</v>
      </c>
      <c r="Y1003" s="2">
        <f t="shared" si="332"/>
        <v>0.71817576144916317</v>
      </c>
      <c r="Z1003" t="str">
        <f t="shared" si="333"/>
        <v>SO17914</v>
      </c>
      <c r="AA1003" s="11">
        <f t="shared" si="340"/>
        <v>45925.376793981479</v>
      </c>
      <c r="AB1003" s="5" t="str">
        <f t="shared" si="341"/>
        <v>INV13486</v>
      </c>
      <c r="AC1003" s="5" t="str">
        <f>IFERROR(VLOOKUP(D1003,CAARStatus!$A$2:$AA$1600,22,FALSE),"Not invoiced")</f>
        <v>Paid</v>
      </c>
      <c r="AD1003" s="11">
        <f>IF(AC1003="Paid",IFERROR(VLOOKUP(D1003,CAARStatus!$A$2:$AA$1600,6,FALSE),"Pending"),"Pending")</f>
        <v>45973</v>
      </c>
      <c r="AE1003" s="5" t="str">
        <f t="shared" si="342"/>
        <v>2100660152</v>
      </c>
      <c r="AF1003" s="5" t="str">
        <f t="shared" si="343"/>
        <v>Wajax Limited - Noranda</v>
      </c>
      <c r="AG1003" s="5" t="str">
        <f t="shared" si="344"/>
        <v>CAD</v>
      </c>
      <c r="AH1003" s="5">
        <f t="shared" si="345"/>
        <v>0</v>
      </c>
      <c r="AI1003" s="12">
        <f>IF(L1003-N1003=0,VLOOKUP(U1003,rate!A$4:B$15,2,FALSE)*AH1003,IF(AG1003="USD",O1003,AH1003*Y1003))</f>
        <v>0</v>
      </c>
      <c r="AJ1003" s="13">
        <f t="shared" si="346"/>
        <v>0</v>
      </c>
      <c r="AK1003" s="13">
        <f>-IF(AG1003="CAD",IFERROR(VLOOKUP(D1003,CAARStatus!$A$1:$Y$1600,16,FALSE),0),0)</f>
        <v>-50</v>
      </c>
      <c r="AL1003" s="13">
        <f>-IF(AG1003="USD",IFERROR(VLOOKUP(D1003,CAARStatus!$A$1:$Y$1600,11,FALSE),0),0)</f>
        <v>0</v>
      </c>
      <c r="AM1003" s="22">
        <f t="shared" si="347"/>
        <v>-50</v>
      </c>
      <c r="AN1003" s="12" t="str">
        <f t="shared" si="348"/>
        <v/>
      </c>
      <c r="AO1003" s="12" t="str">
        <f t="shared" si="349"/>
        <v>Yes</v>
      </c>
      <c r="AP1003" t="str">
        <f t="shared" si="334"/>
        <v>XX</v>
      </c>
      <c r="AQ1003" t="str">
        <f>IFERROR(VLOOKUP(Z1003,InvBal!$L$4:$P$600,4,FALSE),"Pend")</f>
        <v>Yes</v>
      </c>
      <c r="AR1003" t="str">
        <f>IFERROR(VLOOKUP(D1003,Manual!$C$1:$E$22,2,FALSE),"Pend")</f>
        <v>Pend</v>
      </c>
      <c r="AS1003" t="str">
        <f t="shared" si="350"/>
        <v>Yes</v>
      </c>
      <c r="AT1003" t="str">
        <f t="shared" si="351"/>
        <v/>
      </c>
      <c r="AU1003" s="51" t="str">
        <f t="shared" si="352"/>
        <v/>
      </c>
      <c r="AV1003" s="12">
        <f>IFERROR(VLOOKUP(D1003,'Receivable Invoice Detail'!$S$1:$U$3014,3,FALSE),0)</f>
        <v>0</v>
      </c>
      <c r="AW1003" s="12">
        <f t="shared" si="353"/>
        <v>0</v>
      </c>
    </row>
    <row r="1004" spans="1:49" ht="30" x14ac:dyDescent="0.25">
      <c r="A1004" s="2">
        <v>1</v>
      </c>
      <c r="B1004" s="2" t="s">
        <v>516</v>
      </c>
      <c r="C1004" s="2" t="s">
        <v>517</v>
      </c>
      <c r="D1004" s="2" t="s">
        <v>3244</v>
      </c>
      <c r="E1004" s="2" t="s">
        <v>518</v>
      </c>
      <c r="F1004" s="3">
        <v>45925.412222222221</v>
      </c>
      <c r="G1004" s="3">
        <v>45930.648402777777</v>
      </c>
      <c r="H1004" s="4">
        <v>45968</v>
      </c>
      <c r="I1004" s="2" t="s">
        <v>74</v>
      </c>
      <c r="J1004" s="2" t="s">
        <v>22</v>
      </c>
      <c r="K1004" s="2">
        <v>1</v>
      </c>
      <c r="L1004" s="2">
        <v>851.88</v>
      </c>
      <c r="M1004" s="2">
        <v>0</v>
      </c>
      <c r="N1004" s="2">
        <v>611.55375240161072</v>
      </c>
      <c r="O1004" s="2">
        <v>753.88</v>
      </c>
      <c r="P1004" s="2">
        <v>98</v>
      </c>
      <c r="Q1004" s="2">
        <v>851.88</v>
      </c>
      <c r="R1004" s="2" t="s">
        <v>44</v>
      </c>
      <c r="S1004" s="2"/>
      <c r="T1004" s="2">
        <f t="shared" si="335"/>
        <v>1</v>
      </c>
      <c r="U1004" s="18">
        <f t="shared" si="336"/>
        <v>9</v>
      </c>
      <c r="V1004" s="18">
        <f t="shared" si="337"/>
        <v>2025</v>
      </c>
      <c r="W1004" s="18">
        <f t="shared" si="338"/>
        <v>11</v>
      </c>
      <c r="X1004" s="18">
        <f t="shared" si="339"/>
        <v>2025</v>
      </c>
      <c r="Y1004" s="2">
        <f t="shared" si="332"/>
        <v>0.71788720524206551</v>
      </c>
      <c r="Z1004" t="str">
        <f t="shared" si="333"/>
        <v>SO17916</v>
      </c>
      <c r="AA1004" s="11">
        <f t="shared" si="340"/>
        <v>45925.412222222221</v>
      </c>
      <c r="AB1004" s="5" t="str">
        <f t="shared" si="341"/>
        <v>INV13647</v>
      </c>
      <c r="AC1004" s="5" t="str">
        <f>IFERROR(VLOOKUP(D1004,CAARStatus!$A$2:$AA$1600,22,FALSE),"Not invoiced")</f>
        <v>Paid</v>
      </c>
      <c r="AD1004" s="11">
        <f>IF(AC1004="Paid",IFERROR(VLOOKUP(D1004,CAARStatus!$A$2:$AA$1600,6,FALSE),"Pending"),"Pending")</f>
        <v>45985</v>
      </c>
      <c r="AE1004" s="5" t="str">
        <f t="shared" si="342"/>
        <v>SUD1006055</v>
      </c>
      <c r="AF1004" s="5" t="str">
        <f t="shared" si="343"/>
        <v>Process and Steam Specialties, Process and Steam Specialties</v>
      </c>
      <c r="AG1004" s="5" t="str">
        <f t="shared" si="344"/>
        <v>CAD</v>
      </c>
      <c r="AH1004" s="5">
        <f t="shared" si="345"/>
        <v>753.88</v>
      </c>
      <c r="AI1004" s="12">
        <f>IF(L1004-N1004=0,VLOOKUP(U1004,rate!A$4:B$15,2,FALSE)*AH1004,IF(AG1004="USD",O1004,AH1004*Y1004))</f>
        <v>541.20080628788833</v>
      </c>
      <c r="AJ1004" s="13">
        <f t="shared" si="346"/>
        <v>0.71788720524206551</v>
      </c>
      <c r="AK1004" s="61">
        <f>IF(AC1004="Paid",-IF(AG1004="CAD",IFERROR(VLOOKUP(D1004,CAARStatus!$A$1:$Y$1600,16,FALSE),0),0),0)</f>
        <v>-753.88</v>
      </c>
      <c r="AL1004" s="61">
        <f>IF(AC1004="Paid",-IF(AG1004="USD",IFERROR(VLOOKUP(D1004,CAARStatus!$A$1:$Y$1600,11,FALSE),0),0),0)</f>
        <v>0</v>
      </c>
      <c r="AM1004" s="22">
        <f t="shared" si="347"/>
        <v>0</v>
      </c>
      <c r="AN1004" s="12" t="str">
        <f t="shared" si="348"/>
        <v/>
      </c>
      <c r="AO1004" s="12" t="str">
        <f t="shared" si="349"/>
        <v>Yes</v>
      </c>
      <c r="AP1004" t="str">
        <f t="shared" si="334"/>
        <v>Yes</v>
      </c>
      <c r="AQ1004" t="str">
        <f>IFERROR(VLOOKUP(Z1004,InvBal!$L$4:$P$600,4,FALSE),"Pend")</f>
        <v>Pend</v>
      </c>
      <c r="AR1004" t="str">
        <f>IFERROR(VLOOKUP(D1004,Manual!$C$1:$E$22,2,FALSE),"Pend")</f>
        <v>Pend</v>
      </c>
      <c r="AS1004" t="str">
        <f t="shared" si="350"/>
        <v>Yes</v>
      </c>
      <c r="AT1004" t="str">
        <f t="shared" si="351"/>
        <v>Yes</v>
      </c>
      <c r="AU1004" s="51" t="str">
        <f t="shared" si="352"/>
        <v>Yes</v>
      </c>
      <c r="AV1004" s="12">
        <f>IFERROR(VLOOKUP(D1004,'Receivable Invoice Detail'!$S$1:$U$3014,3,FALSE),0)</f>
        <v>0</v>
      </c>
      <c r="AW1004" s="12">
        <f t="shared" si="353"/>
        <v>541.20080628788833</v>
      </c>
    </row>
    <row r="1005" spans="1:49" ht="30" x14ac:dyDescent="0.25">
      <c r="A1005" s="2">
        <v>1</v>
      </c>
      <c r="B1005" s="2" t="s">
        <v>557</v>
      </c>
      <c r="C1005" s="2" t="s">
        <v>558</v>
      </c>
      <c r="D1005" s="2" t="s">
        <v>3222</v>
      </c>
      <c r="E1005" s="2" t="s">
        <v>121</v>
      </c>
      <c r="F1005" s="3">
        <v>45925.58662037037</v>
      </c>
      <c r="G1005" s="3">
        <v>45925.586759259262</v>
      </c>
      <c r="H1005" s="4">
        <v>45932</v>
      </c>
      <c r="I1005" s="2" t="s">
        <v>21</v>
      </c>
      <c r="J1005" s="2" t="s">
        <v>22</v>
      </c>
      <c r="K1005" s="2">
        <v>1</v>
      </c>
      <c r="L1005" s="2">
        <v>1028.3900000000001</v>
      </c>
      <c r="M1005" s="2">
        <v>0</v>
      </c>
      <c r="N1005" s="2">
        <v>738.56477131670499</v>
      </c>
      <c r="O1005" s="2">
        <v>979.42</v>
      </c>
      <c r="P1005" s="2">
        <v>48.97</v>
      </c>
      <c r="Q1005" s="2">
        <v>1028.3900000000001</v>
      </c>
      <c r="R1005" s="2" t="s">
        <v>44</v>
      </c>
      <c r="S1005" s="2"/>
      <c r="T1005" s="2">
        <f t="shared" si="335"/>
        <v>1</v>
      </c>
      <c r="U1005" s="18">
        <f t="shared" si="336"/>
        <v>9</v>
      </c>
      <c r="V1005" s="18">
        <f t="shared" si="337"/>
        <v>2025</v>
      </c>
      <c r="W1005" s="18">
        <f t="shared" si="338"/>
        <v>11</v>
      </c>
      <c r="X1005" s="18">
        <f t="shared" si="339"/>
        <v>2025</v>
      </c>
      <c r="Y1005" s="2">
        <f t="shared" si="332"/>
        <v>0.71817576144916317</v>
      </c>
      <c r="Z1005" t="str">
        <f t="shared" si="333"/>
        <v>SO17917</v>
      </c>
      <c r="AA1005" s="11">
        <f t="shared" si="340"/>
        <v>45925.58662037037</v>
      </c>
      <c r="AB1005" s="5" t="str">
        <f t="shared" si="341"/>
        <v>INV13463</v>
      </c>
      <c r="AC1005" s="5" t="str">
        <f>IFERROR(VLOOKUP(D1005,CAARStatus!$A$2:$AA$1600,22,FALSE),"Not invoiced")</f>
        <v>Paid</v>
      </c>
      <c r="AD1005" s="11">
        <f>IF(AC1005="Paid",IFERROR(VLOOKUP(D1005,CAARStatus!$A$2:$AA$1600,6,FALSE),"Pending"),"Pending")</f>
        <v>45967</v>
      </c>
      <c r="AE1005" s="5" t="str">
        <f t="shared" si="342"/>
        <v>4500587687</v>
      </c>
      <c r="AF1005" s="5" t="str">
        <f t="shared" si="343"/>
        <v>Glencore Canada Corporation - Rouyn-Noranda</v>
      </c>
      <c r="AG1005" s="5" t="str">
        <f t="shared" si="344"/>
        <v>CAD</v>
      </c>
      <c r="AH1005" s="5">
        <f t="shared" si="345"/>
        <v>979.42</v>
      </c>
      <c r="AI1005" s="12">
        <f>IF(L1005-N1005=0,VLOOKUP(U1005,rate!A$4:B$15,2,FALSE)*AH1005,IF(AG1005="USD",O1005,AH1005*Y1005))</f>
        <v>703.39570427853937</v>
      </c>
      <c r="AJ1005" s="13">
        <f t="shared" si="346"/>
        <v>0.71817576144916317</v>
      </c>
      <c r="AK1005" s="61">
        <f>IF(AC1005="Paid",-IF(AG1005="CAD",IFERROR(VLOOKUP(D1005,CAARStatus!$A$1:$Y$1600,16,FALSE),0),0),0)</f>
        <v>-979.42</v>
      </c>
      <c r="AL1005" s="61">
        <f>IF(AC1005="Paid",-IF(AG1005="USD",IFERROR(VLOOKUP(D1005,CAARStatus!$A$1:$Y$1600,11,FALSE),0),0),0)</f>
        <v>0</v>
      </c>
      <c r="AM1005" s="22">
        <f t="shared" si="347"/>
        <v>0</v>
      </c>
      <c r="AN1005" s="12" t="str">
        <f t="shared" si="348"/>
        <v/>
      </c>
      <c r="AO1005" s="12" t="str">
        <f t="shared" si="349"/>
        <v>Yes</v>
      </c>
      <c r="AP1005" t="str">
        <f t="shared" si="334"/>
        <v>Yes</v>
      </c>
      <c r="AQ1005" t="str">
        <f>IFERROR(VLOOKUP(Z1005,InvBal!$L$4:$P$600,4,FALSE),"Pend")</f>
        <v>Pend</v>
      </c>
      <c r="AR1005" t="str">
        <f>IFERROR(VLOOKUP(D1005,Manual!$C$1:$E$22,2,FALSE),"Pend")</f>
        <v>Pend</v>
      </c>
      <c r="AS1005" t="str">
        <f t="shared" si="350"/>
        <v>Yes</v>
      </c>
      <c r="AT1005" t="str">
        <f t="shared" si="351"/>
        <v>Yes</v>
      </c>
      <c r="AU1005" s="51" t="str">
        <f t="shared" si="352"/>
        <v>Yes</v>
      </c>
      <c r="AV1005" s="12">
        <f>IFERROR(VLOOKUP(D1005,'Receivable Invoice Detail'!$S$1:$U$3014,3,FALSE),0)</f>
        <v>0</v>
      </c>
      <c r="AW1005" s="12">
        <f t="shared" si="353"/>
        <v>703.39570427853937</v>
      </c>
    </row>
    <row r="1006" spans="1:49" x14ac:dyDescent="0.25">
      <c r="A1006" s="2">
        <v>1</v>
      </c>
      <c r="B1006" s="2" t="s">
        <v>554</v>
      </c>
      <c r="C1006" s="2" t="s">
        <v>555</v>
      </c>
      <c r="D1006" s="2" t="s">
        <v>3223</v>
      </c>
      <c r="E1006" s="2" t="s">
        <v>556</v>
      </c>
      <c r="F1006" s="3">
        <v>45925.636458333327</v>
      </c>
      <c r="G1006" s="3">
        <v>45925.635358796288</v>
      </c>
      <c r="H1006" s="4">
        <v>45933</v>
      </c>
      <c r="I1006" s="2" t="s">
        <v>36</v>
      </c>
      <c r="J1006" s="2" t="s">
        <v>22</v>
      </c>
      <c r="K1006" s="2">
        <v>1</v>
      </c>
      <c r="L1006" s="2">
        <v>107.52</v>
      </c>
      <c r="M1006" s="2">
        <v>0</v>
      </c>
      <c r="N1006" s="2">
        <v>77.218257871014018</v>
      </c>
      <c r="O1006" s="2">
        <v>102.4</v>
      </c>
      <c r="P1006" s="2">
        <v>5.12</v>
      </c>
      <c r="Q1006" s="2">
        <v>107.52</v>
      </c>
      <c r="R1006" s="2" t="s">
        <v>44</v>
      </c>
      <c r="S1006" s="2"/>
      <c r="T1006" s="2">
        <f t="shared" si="335"/>
        <v>1</v>
      </c>
      <c r="U1006" s="18">
        <f t="shared" si="336"/>
        <v>9</v>
      </c>
      <c r="V1006" s="18">
        <f t="shared" si="337"/>
        <v>2025</v>
      </c>
      <c r="W1006" s="18">
        <f t="shared" si="338"/>
        <v>11</v>
      </c>
      <c r="X1006" s="18">
        <f t="shared" si="339"/>
        <v>2025</v>
      </c>
      <c r="Y1006" s="2">
        <f t="shared" si="332"/>
        <v>0.71817576144916317</v>
      </c>
      <c r="Z1006" t="str">
        <f t="shared" si="333"/>
        <v>SO17920</v>
      </c>
      <c r="AA1006" s="11">
        <f t="shared" si="340"/>
        <v>45925.636458333327</v>
      </c>
      <c r="AB1006" s="5" t="str">
        <f t="shared" si="341"/>
        <v>INV13462</v>
      </c>
      <c r="AC1006" s="5" t="str">
        <f>IFERROR(VLOOKUP(D1006,CAARStatus!$A$2:$AA$1600,22,FALSE),"Not invoiced")</f>
        <v>Paid</v>
      </c>
      <c r="AD1006" s="11">
        <f>IF(AC1006="Paid",IFERROR(VLOOKUP(D1006,CAARStatus!$A$2:$AA$1600,6,FALSE),"Pending"),"Pending")</f>
        <v>45974</v>
      </c>
      <c r="AE1006" s="5" t="str">
        <f t="shared" si="342"/>
        <v>187213</v>
      </c>
      <c r="AF1006" s="5" t="str">
        <f t="shared" si="343"/>
        <v>Fabrene Inc.</v>
      </c>
      <c r="AG1006" s="5" t="str">
        <f t="shared" si="344"/>
        <v>CAD</v>
      </c>
      <c r="AH1006" s="5">
        <f t="shared" si="345"/>
        <v>102.4</v>
      </c>
      <c r="AI1006" s="12">
        <f>IF(L1006-N1006=0,VLOOKUP(U1006,rate!A$4:B$15,2,FALSE)*AH1006,IF(AG1006="USD",O1006,AH1006*Y1006))</f>
        <v>73.541197972394315</v>
      </c>
      <c r="AJ1006" s="13">
        <f t="shared" si="346"/>
        <v>0.71817576144916317</v>
      </c>
      <c r="AK1006" s="13">
        <f>-IF(AG1006="CAD",IFERROR(VLOOKUP(D1006,CAARStatus!$A$1:$Y$1600,16,FALSE),0),0)</f>
        <v>-102.4</v>
      </c>
      <c r="AL1006" s="13">
        <f>-IF(AG1006="USD",IFERROR(VLOOKUP(D1006,CAARStatus!$A$1:$Y$1600,11,FALSE),0),0)</f>
        <v>0</v>
      </c>
      <c r="AM1006" s="22">
        <f t="shared" si="347"/>
        <v>0</v>
      </c>
      <c r="AN1006" s="12" t="str">
        <f t="shared" si="348"/>
        <v/>
      </c>
      <c r="AO1006" s="12" t="str">
        <f t="shared" si="349"/>
        <v>Yes</v>
      </c>
      <c r="AP1006" t="str">
        <f t="shared" si="334"/>
        <v>Yes</v>
      </c>
      <c r="AQ1006" t="str">
        <f>IFERROR(VLOOKUP(Z1006,InvBal!$L$4:$P$600,4,FALSE),"Pend")</f>
        <v>Pend</v>
      </c>
      <c r="AR1006" t="str">
        <f>IFERROR(VLOOKUP(D1006,Manual!$C$1:$E$22,2,FALSE),"Pend")</f>
        <v>Pend</v>
      </c>
      <c r="AS1006" t="str">
        <f t="shared" si="350"/>
        <v>Yes</v>
      </c>
      <c r="AT1006" t="str">
        <f t="shared" si="351"/>
        <v>Yes</v>
      </c>
      <c r="AU1006" s="51" t="str">
        <f t="shared" si="352"/>
        <v>Yes</v>
      </c>
      <c r="AV1006" s="12">
        <f>IFERROR(VLOOKUP(D1006,'Receivable Invoice Detail'!$S$1:$U$3014,3,FALSE),0)</f>
        <v>0</v>
      </c>
      <c r="AW1006" s="12">
        <f t="shared" si="353"/>
        <v>73.541197972394315</v>
      </c>
    </row>
    <row r="1007" spans="1:49" x14ac:dyDescent="0.25">
      <c r="A1007" s="2">
        <v>1</v>
      </c>
      <c r="B1007" s="2" t="s">
        <v>493</v>
      </c>
      <c r="C1007" s="2" t="s">
        <v>494</v>
      </c>
      <c r="D1007" s="2" t="s">
        <v>3253</v>
      </c>
      <c r="E1007" s="2" t="s">
        <v>495</v>
      </c>
      <c r="F1007" s="3">
        <v>45925.644652777781</v>
      </c>
      <c r="G1007" s="3">
        <v>45932.610775462963</v>
      </c>
      <c r="H1007" s="4">
        <v>45967</v>
      </c>
      <c r="I1007" s="2" t="s">
        <v>67</v>
      </c>
      <c r="J1007" s="2" t="s">
        <v>51</v>
      </c>
      <c r="K1007" s="2">
        <v>0.71685596903225257</v>
      </c>
      <c r="L1007" s="2">
        <v>33876.233231040307</v>
      </c>
      <c r="M1007" s="2">
        <v>0</v>
      </c>
      <c r="N1007" s="2">
        <v>24284.38</v>
      </c>
      <c r="O1007" s="2">
        <v>24284.38</v>
      </c>
      <c r="P1007" s="2"/>
      <c r="Q1007" s="2">
        <v>24284.38</v>
      </c>
      <c r="R1007" s="2" t="s">
        <v>44</v>
      </c>
      <c r="S1007" s="2"/>
      <c r="T1007" s="2">
        <f t="shared" si="335"/>
        <v>1</v>
      </c>
      <c r="U1007" s="18">
        <f t="shared" si="336"/>
        <v>9</v>
      </c>
      <c r="V1007" s="18">
        <f t="shared" si="337"/>
        <v>2025</v>
      </c>
      <c r="W1007" s="18" t="str">
        <f t="shared" si="338"/>
        <v/>
      </c>
      <c r="X1007" s="18" t="str">
        <f t="shared" si="339"/>
        <v/>
      </c>
      <c r="Y1007" s="2">
        <f t="shared" si="332"/>
        <v>0.71685596903225268</v>
      </c>
      <c r="Z1007" t="str">
        <f t="shared" si="333"/>
        <v>SO17921</v>
      </c>
      <c r="AA1007" s="11">
        <f t="shared" si="340"/>
        <v>45925.644652777781</v>
      </c>
      <c r="AB1007" s="5" t="str">
        <f t="shared" si="341"/>
        <v>INV13661</v>
      </c>
      <c r="AC1007" s="5" t="str">
        <f>IFERROR(VLOOKUP(D1007,CAARStatus!$A$2:$AA$1600,22,FALSE),"Not invoiced")</f>
        <v>Approved</v>
      </c>
      <c r="AD1007" s="11" t="str">
        <f>IF(AC1007="Paid",IFERROR(VLOOKUP(D1007,CAARStatus!$A$2:$AA$1600,6,FALSE),"Pending"),"Pending")</f>
        <v>Pending</v>
      </c>
      <c r="AE1007" s="5" t="str">
        <f t="shared" si="342"/>
        <v>P368033</v>
      </c>
      <c r="AF1007" s="5" t="str">
        <f t="shared" si="343"/>
        <v>Covia Corp - Fort Smith</v>
      </c>
      <c r="AG1007" s="5" t="str">
        <f t="shared" si="344"/>
        <v>USD</v>
      </c>
      <c r="AH1007" s="5">
        <f t="shared" si="345"/>
        <v>33876.233231040314</v>
      </c>
      <c r="AI1007" s="12">
        <f>IF(L1007-N1007=0,VLOOKUP(U1007,rate!A$4:B$15,2,FALSE)*AH1007,IF(AG1007="USD",O1007,AH1007*Y1007))</f>
        <v>24284.38</v>
      </c>
      <c r="AJ1007" s="13">
        <f t="shared" si="346"/>
        <v>0.71685596903225257</v>
      </c>
      <c r="AK1007" s="13">
        <f>-IF(AG1007="CAD",IFERROR(VLOOKUP(D1007,CAARStatus!$A$1:$Y$1600,16,FALSE),0),0)</f>
        <v>0</v>
      </c>
      <c r="AL1007" s="13">
        <f>-IF(AG1007="USD",IFERROR(VLOOKUP(D1007,CAARStatus!$A$1:$Y$1600,11,FALSE),0),0)</f>
        <v>-24284.38</v>
      </c>
      <c r="AM1007" s="22" t="str">
        <f t="shared" si="347"/>
        <v/>
      </c>
      <c r="AN1007" s="12">
        <f t="shared" si="348"/>
        <v>0</v>
      </c>
      <c r="AO1007" s="12" t="str">
        <f t="shared" si="349"/>
        <v>Pend</v>
      </c>
      <c r="AP1007" t="str">
        <f t="shared" si="334"/>
        <v>Pend</v>
      </c>
      <c r="AQ1007" t="str">
        <f>IFERROR(VLOOKUP(Z1007,InvBal!$L$4:$P$600,4,FALSE),"Pend")</f>
        <v>Pend</v>
      </c>
      <c r="AR1007" t="str">
        <f>IFERROR(VLOOKUP(D1007,Manual!$C$1:$E$22,2,FALSE),"Pend")</f>
        <v>Pend</v>
      </c>
      <c r="AS1007" t="str">
        <f t="shared" si="350"/>
        <v/>
      </c>
      <c r="AT1007" t="str">
        <f t="shared" si="351"/>
        <v>Yes</v>
      </c>
      <c r="AU1007" s="51" t="str">
        <f t="shared" si="352"/>
        <v/>
      </c>
      <c r="AV1007" s="12">
        <f>IFERROR(VLOOKUP(D1007,'Receivable Invoice Detail'!$S$1:$U$3014,3,FALSE),0)</f>
        <v>585</v>
      </c>
      <c r="AW1007" s="12">
        <f t="shared" si="353"/>
        <v>0</v>
      </c>
    </row>
    <row r="1008" spans="1:49" x14ac:dyDescent="0.25">
      <c r="A1008" s="2">
        <v>1</v>
      </c>
      <c r="B1008" s="2" t="s">
        <v>537</v>
      </c>
      <c r="C1008" s="2" t="s">
        <v>538</v>
      </c>
      <c r="D1008" s="2" t="s">
        <v>3234</v>
      </c>
      <c r="E1008" s="2" t="s">
        <v>54</v>
      </c>
      <c r="F1008" s="3">
        <v>45925.721250000002</v>
      </c>
      <c r="G1008" s="3">
        <v>45926.526967592603</v>
      </c>
      <c r="H1008" s="4">
        <v>45975</v>
      </c>
      <c r="I1008" s="2" t="s">
        <v>21</v>
      </c>
      <c r="J1008" s="2" t="s">
        <v>22</v>
      </c>
      <c r="K1008" s="2">
        <v>1</v>
      </c>
      <c r="L1008" s="2">
        <v>2047.12</v>
      </c>
      <c r="M1008" s="2">
        <v>0</v>
      </c>
      <c r="N1008" s="2">
        <v>1467.759660214758</v>
      </c>
      <c r="O1008" s="2">
        <v>1949.64</v>
      </c>
      <c r="P1008" s="2">
        <v>97.48</v>
      </c>
      <c r="Q1008" s="2">
        <v>2047.12</v>
      </c>
      <c r="R1008" s="2" t="s">
        <v>44</v>
      </c>
      <c r="S1008" s="2"/>
      <c r="T1008" s="2">
        <f t="shared" si="335"/>
        <v>1</v>
      </c>
      <c r="U1008" s="18">
        <f t="shared" si="336"/>
        <v>9</v>
      </c>
      <c r="V1008" s="18">
        <f t="shared" si="337"/>
        <v>2025</v>
      </c>
      <c r="W1008" s="18">
        <f t="shared" si="338"/>
        <v>12</v>
      </c>
      <c r="X1008" s="18">
        <f t="shared" si="339"/>
        <v>2025</v>
      </c>
      <c r="Y1008" s="2">
        <f t="shared" si="332"/>
        <v>0.71698760219955748</v>
      </c>
      <c r="Z1008" t="str">
        <f t="shared" si="333"/>
        <v>SO17922</v>
      </c>
      <c r="AA1008" s="11">
        <f t="shared" si="340"/>
        <v>45925.721250000002</v>
      </c>
      <c r="AB1008" s="5" t="str">
        <f t="shared" si="341"/>
        <v>INV13626</v>
      </c>
      <c r="AC1008" s="5" t="str">
        <f>IFERROR(VLOOKUP(D1008,CAARStatus!$A$2:$AA$1600,22,FALSE),"Not invoiced")</f>
        <v>Paid</v>
      </c>
      <c r="AD1008" s="11">
        <f>IF(AC1008="Paid",IFERROR(VLOOKUP(D1008,CAARStatus!$A$2:$AA$1600,6,FALSE),"Pending"),"Pending")</f>
        <v>46014</v>
      </c>
      <c r="AE1008" s="5" t="str">
        <f t="shared" si="342"/>
        <v>3317</v>
      </c>
      <c r="AF1008" s="5" t="str">
        <f t="shared" si="343"/>
        <v>Les Pompes du St-Laurent Inc.</v>
      </c>
      <c r="AG1008" s="5" t="str">
        <f t="shared" si="344"/>
        <v>CAD</v>
      </c>
      <c r="AH1008" s="5">
        <f t="shared" si="345"/>
        <v>1949.64</v>
      </c>
      <c r="AI1008" s="12">
        <f>IF(L1008-N1008=0,VLOOKUP(U1008,rate!A$4:B$15,2,FALSE)*AH1008,IF(AG1008="USD",O1008,AH1008*Y1008))</f>
        <v>1397.8677087523454</v>
      </c>
      <c r="AJ1008" s="13">
        <f t="shared" si="346"/>
        <v>0.71698760219955748</v>
      </c>
      <c r="AK1008" s="13">
        <f>-IF(AG1008="CAD",IFERROR(VLOOKUP(D1008,CAARStatus!$A$1:$Y$1600,16,FALSE),0),0)</f>
        <v>-1949.64</v>
      </c>
      <c r="AL1008" s="13">
        <f>-IF(AG1008="USD",IFERROR(VLOOKUP(D1008,CAARStatus!$A$1:$Y$1600,11,FALSE),0),0)</f>
        <v>0</v>
      </c>
      <c r="AM1008" s="22">
        <f t="shared" si="347"/>
        <v>0</v>
      </c>
      <c r="AN1008" s="12" t="str">
        <f t="shared" si="348"/>
        <v/>
      </c>
      <c r="AO1008" s="12" t="str">
        <f t="shared" si="349"/>
        <v>Yes</v>
      </c>
      <c r="AP1008" t="str">
        <f t="shared" si="334"/>
        <v>Yes</v>
      </c>
      <c r="AQ1008" t="str">
        <f>IFERROR(VLOOKUP(Z1008,InvBal!$L$4:$P$600,4,FALSE),"Pend")</f>
        <v>Pend</v>
      </c>
      <c r="AR1008" t="str">
        <f>IFERROR(VLOOKUP(D1008,Manual!$C$1:$E$22,2,FALSE),"Pend")</f>
        <v>Pend</v>
      </c>
      <c r="AS1008" t="str">
        <f t="shared" si="350"/>
        <v>Yes</v>
      </c>
      <c r="AT1008" t="str">
        <f t="shared" si="351"/>
        <v>Yes</v>
      </c>
      <c r="AU1008" s="51" t="str">
        <f t="shared" si="352"/>
        <v>Yes</v>
      </c>
      <c r="AV1008" s="12">
        <f>IFERROR(VLOOKUP(D1008,'Receivable Invoice Detail'!$S$1:$U$3014,3,FALSE),0)</f>
        <v>0</v>
      </c>
      <c r="AW1008" s="12">
        <f t="shared" si="353"/>
        <v>1397.8677087523454</v>
      </c>
    </row>
    <row r="1009" spans="1:49" x14ac:dyDescent="0.25">
      <c r="A1009" s="2">
        <v>1</v>
      </c>
      <c r="B1009" s="2" t="s">
        <v>390</v>
      </c>
      <c r="C1009" s="2" t="s">
        <v>391</v>
      </c>
      <c r="D1009" s="2" t="s">
        <v>3292</v>
      </c>
      <c r="E1009" s="2" t="s">
        <v>171</v>
      </c>
      <c r="F1009" s="3">
        <v>45925.743958333333</v>
      </c>
      <c r="G1009" s="3">
        <v>45946.406828703701</v>
      </c>
      <c r="H1009" s="4">
        <v>45953</v>
      </c>
      <c r="I1009" s="2" t="s">
        <v>74</v>
      </c>
      <c r="J1009" s="2" t="s">
        <v>22</v>
      </c>
      <c r="K1009" s="2">
        <v>1</v>
      </c>
      <c r="L1009" s="2">
        <v>5230.8500000000004</v>
      </c>
      <c r="M1009" s="2">
        <v>0</v>
      </c>
      <c r="N1009" s="2">
        <v>3723.749236324129</v>
      </c>
      <c r="O1009" s="2">
        <v>4981.76</v>
      </c>
      <c r="P1009" s="2">
        <v>249.09</v>
      </c>
      <c r="Q1009" s="2">
        <v>5230.8500000000004</v>
      </c>
      <c r="R1009" s="2" t="s">
        <v>29</v>
      </c>
      <c r="S1009" s="2"/>
      <c r="T1009" s="2">
        <f t="shared" si="335"/>
        <v>1</v>
      </c>
      <c r="U1009" s="18">
        <f t="shared" si="336"/>
        <v>9</v>
      </c>
      <c r="V1009" s="18">
        <f t="shared" si="337"/>
        <v>2025</v>
      </c>
      <c r="W1009" s="18">
        <f t="shared" si="338"/>
        <v>11</v>
      </c>
      <c r="X1009" s="18">
        <f t="shared" si="339"/>
        <v>2025</v>
      </c>
      <c r="Y1009" s="2">
        <f t="shared" si="332"/>
        <v>0.71188224405672673</v>
      </c>
      <c r="Z1009" t="str">
        <f t="shared" si="333"/>
        <v>SO17923</v>
      </c>
      <c r="AA1009" s="11">
        <f t="shared" si="340"/>
        <v>45925.743958333333</v>
      </c>
      <c r="AB1009" s="5" t="str">
        <f t="shared" si="341"/>
        <v>INV13539</v>
      </c>
      <c r="AC1009" s="5" t="str">
        <f>IFERROR(VLOOKUP(D1009,CAARStatus!$A$2:$AA$1600,22,FALSE),"Not invoiced")</f>
        <v>Paid</v>
      </c>
      <c r="AD1009" s="11">
        <f>IF(AC1009="Paid",IFERROR(VLOOKUP(D1009,CAARStatus!$A$2:$AA$1600,6,FALSE),"Pending"),"Pending")</f>
        <v>45981</v>
      </c>
      <c r="AE1009" s="5" t="str">
        <f t="shared" si="342"/>
        <v>PO2265</v>
      </c>
      <c r="AF1009" s="5" t="str">
        <f t="shared" si="343"/>
        <v>FMI Products</v>
      </c>
      <c r="AG1009" s="5" t="str">
        <f t="shared" si="344"/>
        <v>CAD</v>
      </c>
      <c r="AH1009" s="5">
        <f t="shared" si="345"/>
        <v>4981.76</v>
      </c>
      <c r="AI1009" s="12">
        <f>IF(L1009-N1009=0,VLOOKUP(U1009,rate!A$4:B$15,2,FALSE)*AH1009,IF(AG1009="USD",O1009,AH1009*Y1009))</f>
        <v>3546.4264881520389</v>
      </c>
      <c r="AJ1009" s="13">
        <f t="shared" si="346"/>
        <v>0.71188224405672673</v>
      </c>
      <c r="AK1009" s="13">
        <f>-IF(AG1009="CAD",IFERROR(VLOOKUP(D1009,CAARStatus!$A$1:$Y$1600,16,FALSE),0),0)</f>
        <v>-2490.88</v>
      </c>
      <c r="AL1009" s="13">
        <f>-IF(AG1009="USD",IFERROR(VLOOKUP(D1009,CAARStatus!$A$1:$Y$1600,11,FALSE),0),0)</f>
        <v>0</v>
      </c>
      <c r="AM1009" s="22">
        <f t="shared" si="347"/>
        <v>2490.88</v>
      </c>
      <c r="AN1009" s="12" t="str">
        <f t="shared" si="348"/>
        <v/>
      </c>
      <c r="AO1009" s="12" t="str">
        <f t="shared" si="349"/>
        <v>Yes</v>
      </c>
      <c r="AP1009" t="str">
        <f t="shared" si="334"/>
        <v>Yes</v>
      </c>
      <c r="AQ1009" t="str">
        <f>IFERROR(VLOOKUP(Z1009,InvBal!$L$4:$P$600,4,FALSE),"Pend")</f>
        <v>Pend</v>
      </c>
      <c r="AR1009" t="str">
        <f>IFERROR(VLOOKUP(D1009,Manual!$C$1:$E$22,2,FALSE),"Pend")</f>
        <v>Pend</v>
      </c>
      <c r="AS1009" t="str">
        <f t="shared" si="350"/>
        <v>Yes</v>
      </c>
      <c r="AT1009" t="str">
        <f t="shared" si="351"/>
        <v/>
      </c>
      <c r="AU1009" s="51" t="str">
        <f t="shared" si="352"/>
        <v/>
      </c>
      <c r="AV1009" s="12">
        <f>IFERROR(VLOOKUP(D1009,'Receivable Invoice Detail'!$S$1:$U$3014,3,FALSE),0)</f>
        <v>0</v>
      </c>
      <c r="AW1009" s="12">
        <f t="shared" si="353"/>
        <v>0</v>
      </c>
    </row>
    <row r="1010" spans="1:49" x14ac:dyDescent="0.25">
      <c r="A1010" s="2">
        <v>1</v>
      </c>
      <c r="B1010" s="2" t="s">
        <v>548</v>
      </c>
      <c r="C1010" s="2" t="s">
        <v>549</v>
      </c>
      <c r="D1010" s="2" t="s">
        <v>3227</v>
      </c>
      <c r="E1010" s="2" t="s">
        <v>146</v>
      </c>
      <c r="F1010" s="3">
        <v>45926.326944444438</v>
      </c>
      <c r="G1010" s="3">
        <v>45926.385509259257</v>
      </c>
      <c r="H1010" s="4">
        <v>45929</v>
      </c>
      <c r="I1010" s="2" t="s">
        <v>40</v>
      </c>
      <c r="J1010" s="2" t="s">
        <v>22</v>
      </c>
      <c r="K1010" s="2">
        <v>1</v>
      </c>
      <c r="L1010" s="2">
        <v>293.48</v>
      </c>
      <c r="M1010" s="2">
        <v>0</v>
      </c>
      <c r="N1010" s="2">
        <v>210.4215214935262</v>
      </c>
      <c r="O1010" s="2">
        <v>279.5</v>
      </c>
      <c r="P1010" s="2">
        <v>13.98</v>
      </c>
      <c r="Q1010" s="2">
        <v>293.48</v>
      </c>
      <c r="R1010" s="2" t="s">
        <v>44</v>
      </c>
      <c r="S1010" s="2"/>
      <c r="T1010" s="2">
        <f t="shared" si="335"/>
        <v>1</v>
      </c>
      <c r="U1010" s="18">
        <f t="shared" si="336"/>
        <v>9</v>
      </c>
      <c r="V1010" s="18">
        <f t="shared" si="337"/>
        <v>2025</v>
      </c>
      <c r="W1010" s="18">
        <f t="shared" si="338"/>
        <v>11</v>
      </c>
      <c r="X1010" s="18">
        <f t="shared" si="339"/>
        <v>2025</v>
      </c>
      <c r="Y1010" s="2">
        <f t="shared" si="332"/>
        <v>0.71698760219955771</v>
      </c>
      <c r="Z1010" t="str">
        <f t="shared" si="333"/>
        <v>SO17925</v>
      </c>
      <c r="AA1010" s="11">
        <f t="shared" si="340"/>
        <v>45926.326944444438</v>
      </c>
      <c r="AB1010" s="5" t="str">
        <f t="shared" si="341"/>
        <v>INV13465</v>
      </c>
      <c r="AC1010" s="5" t="str">
        <f>IFERROR(VLOOKUP(D1010,CAARStatus!$A$2:$AA$1600,22,FALSE),"Not invoiced")</f>
        <v>Paid</v>
      </c>
      <c r="AD1010" s="11">
        <f>IF(AC1010="Paid",IFERROR(VLOOKUP(D1010,CAARStatus!$A$2:$AA$1600,6,FALSE),"Pending"),"Pending")</f>
        <v>45989</v>
      </c>
      <c r="AE1010" s="5" t="str">
        <f t="shared" si="342"/>
        <v>7728</v>
      </c>
      <c r="AF1010" s="5" t="str">
        <f t="shared" si="343"/>
        <v>Hyperflo</v>
      </c>
      <c r="AG1010" s="5" t="str">
        <f t="shared" si="344"/>
        <v>CAD</v>
      </c>
      <c r="AH1010" s="5">
        <f t="shared" si="345"/>
        <v>279.5</v>
      </c>
      <c r="AI1010" s="12">
        <f>IF(L1010-N1010=0,VLOOKUP(U1010,rate!A$4:B$15,2,FALSE)*AH1010,IF(AG1010="USD",O1010,AH1010*Y1010))</f>
        <v>200.39803481477637</v>
      </c>
      <c r="AJ1010" s="13">
        <f t="shared" si="346"/>
        <v>0.71698760219955771</v>
      </c>
      <c r="AK1010" s="13">
        <f>-IF(AG1010="CAD",IFERROR(VLOOKUP(D1010,CAARStatus!$A$1:$Y$1600,16,FALSE),0),0)</f>
        <v>-279.5</v>
      </c>
      <c r="AL1010" s="13">
        <f>-IF(AG1010="USD",IFERROR(VLOOKUP(D1010,CAARStatus!$A$1:$Y$1600,11,FALSE),0),0)</f>
        <v>0</v>
      </c>
      <c r="AM1010" s="22">
        <f t="shared" si="347"/>
        <v>0</v>
      </c>
      <c r="AN1010" s="12" t="str">
        <f t="shared" si="348"/>
        <v/>
      </c>
      <c r="AO1010" s="12" t="str">
        <f t="shared" si="349"/>
        <v>Yes</v>
      </c>
      <c r="AP1010" t="str">
        <f t="shared" si="334"/>
        <v>Yes</v>
      </c>
      <c r="AQ1010" t="str">
        <f>IFERROR(VLOOKUP(Z1010,InvBal!$L$4:$P$600,4,FALSE),"Pend")</f>
        <v>Pend</v>
      </c>
      <c r="AR1010" t="str">
        <f>IFERROR(VLOOKUP(D1010,Manual!$C$1:$E$22,2,FALSE),"Pend")</f>
        <v>Pend</v>
      </c>
      <c r="AS1010" t="str">
        <f t="shared" si="350"/>
        <v>Yes</v>
      </c>
      <c r="AT1010" t="str">
        <f t="shared" si="351"/>
        <v>Yes</v>
      </c>
      <c r="AU1010" s="51" t="str">
        <f t="shared" si="352"/>
        <v>Yes</v>
      </c>
      <c r="AV1010" s="12">
        <f>IFERROR(VLOOKUP(D1010,'Receivable Invoice Detail'!$S$1:$U$3014,3,FALSE),0)</f>
        <v>0</v>
      </c>
      <c r="AW1010" s="12">
        <f t="shared" si="353"/>
        <v>200.39803481477637</v>
      </c>
    </row>
    <row r="1011" spans="1:49" ht="30" x14ac:dyDescent="0.25">
      <c r="A1011" s="2">
        <v>2</v>
      </c>
      <c r="B1011" s="2" t="s">
        <v>550</v>
      </c>
      <c r="C1011" s="2" t="s">
        <v>551</v>
      </c>
      <c r="D1011" s="2" t="s">
        <v>3226</v>
      </c>
      <c r="E1011" s="2" t="s">
        <v>121</v>
      </c>
      <c r="F1011" s="3">
        <v>45926.362245370372</v>
      </c>
      <c r="G1011" s="3">
        <v>45926.364398148151</v>
      </c>
      <c r="H1011" s="4">
        <v>46017</v>
      </c>
      <c r="I1011" s="2" t="s">
        <v>21</v>
      </c>
      <c r="J1011" s="2" t="s">
        <v>22</v>
      </c>
      <c r="K1011" s="2">
        <v>1</v>
      </c>
      <c r="L1011" s="2">
        <v>15035.84</v>
      </c>
      <c r="M1011" s="2">
        <v>0</v>
      </c>
      <c r="N1011" s="2">
        <v>10780.5108686562</v>
      </c>
      <c r="O1011" s="2">
        <v>14319.84</v>
      </c>
      <c r="P1011" s="2">
        <v>716</v>
      </c>
      <c r="Q1011" s="2">
        <v>15035.84</v>
      </c>
      <c r="R1011" s="2" t="s">
        <v>29</v>
      </c>
      <c r="S1011" s="2"/>
      <c r="T1011" s="2">
        <f t="shared" si="335"/>
        <v>2</v>
      </c>
      <c r="U1011" s="18">
        <f t="shared" si="336"/>
        <v>9</v>
      </c>
      <c r="V1011" s="18">
        <f t="shared" si="337"/>
        <v>2025</v>
      </c>
      <c r="W1011" s="18">
        <f t="shared" si="338"/>
        <v>11</v>
      </c>
      <c r="X1011" s="18">
        <f t="shared" si="339"/>
        <v>2025</v>
      </c>
      <c r="Y1011" s="2">
        <f t="shared" si="332"/>
        <v>0.71698760219955782</v>
      </c>
      <c r="Z1011" t="str">
        <f t="shared" si="333"/>
        <v>SO17926</v>
      </c>
      <c r="AA1011" s="11">
        <f t="shared" si="340"/>
        <v>45926.362245370372</v>
      </c>
      <c r="AB1011" s="5" t="str">
        <f t="shared" si="341"/>
        <v>INV13450</v>
      </c>
      <c r="AC1011" s="5" t="str">
        <f>IFERROR(VLOOKUP(D1011,CAARStatus!$A$2:$AA$1600,22,FALSE),"Not invoiced")</f>
        <v>Paid</v>
      </c>
      <c r="AD1011" s="11">
        <f>IF(AC1011="Paid",IFERROR(VLOOKUP(D1011,CAARStatus!$A$2:$AA$1600,6,FALSE),"Pending"),"Pending")</f>
        <v>45967</v>
      </c>
      <c r="AE1011" s="5" t="str">
        <f t="shared" si="342"/>
        <v>4500587758</v>
      </c>
      <c r="AF1011" s="5" t="str">
        <f t="shared" si="343"/>
        <v>Glencore Canada Corporation - Rouyn-Noranda</v>
      </c>
      <c r="AG1011" s="5" t="str">
        <f t="shared" si="344"/>
        <v>CAD</v>
      </c>
      <c r="AH1011" s="5">
        <f t="shared" si="345"/>
        <v>14319.84</v>
      </c>
      <c r="AI1011" s="12">
        <f>IF(L1011-N1011=0,VLOOKUP(U1011,rate!A$4:B$15,2,FALSE)*AH1011,IF(AG1011="USD",O1011,AH1011*Y1011))</f>
        <v>10267.147745481316</v>
      </c>
      <c r="AJ1011" s="13">
        <f t="shared" si="346"/>
        <v>0.71698760219955782</v>
      </c>
      <c r="AK1011" s="13">
        <f>-IF(AG1011="CAD",IFERROR(VLOOKUP(D1011,CAARStatus!$A$1:$Y$1600,16,FALSE),0),0)</f>
        <v>-7335.38</v>
      </c>
      <c r="AL1011" s="13">
        <f>-IF(AG1011="USD",IFERROR(VLOOKUP(D1011,CAARStatus!$A$1:$Y$1600,11,FALSE),0),0)</f>
        <v>0</v>
      </c>
      <c r="AM1011" s="22">
        <f t="shared" si="347"/>
        <v>6984.46</v>
      </c>
      <c r="AN1011" s="12" t="str">
        <f t="shared" si="348"/>
        <v/>
      </c>
      <c r="AO1011" s="12" t="str">
        <f t="shared" si="349"/>
        <v>Yes</v>
      </c>
      <c r="AP1011" t="str">
        <f t="shared" si="334"/>
        <v>XX</v>
      </c>
      <c r="AQ1011">
        <f>IFERROR(VLOOKUP(Z1011,InvBal!$L$4:$P$600,4,FALSE),"Pend")</f>
        <v>0</v>
      </c>
      <c r="AR1011" t="str">
        <f>IFERROR(VLOOKUP(D1011,Manual!$C$1:$E$22,2,FALSE),"Pend")</f>
        <v>Pend</v>
      </c>
      <c r="AS1011" t="str">
        <f t="shared" si="350"/>
        <v/>
      </c>
      <c r="AT1011" t="str">
        <f t="shared" si="351"/>
        <v/>
      </c>
      <c r="AU1011" s="51" t="str">
        <f t="shared" si="352"/>
        <v/>
      </c>
      <c r="AV1011" s="12">
        <f>IFERROR(VLOOKUP(D1011,'Receivable Invoice Detail'!$S$1:$U$3014,3,FALSE),0)</f>
        <v>0</v>
      </c>
      <c r="AW1011" s="12">
        <f t="shared" si="353"/>
        <v>0</v>
      </c>
    </row>
    <row r="1012" spans="1:49" x14ac:dyDescent="0.25">
      <c r="A1012" s="2"/>
      <c r="B1012" s="2"/>
      <c r="C1012" s="2"/>
      <c r="D1012" s="2" t="s">
        <v>3225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>
        <f t="shared" si="335"/>
        <v>2</v>
      </c>
      <c r="U1012" s="18">
        <f t="shared" si="336"/>
        <v>9</v>
      </c>
      <c r="V1012" s="18">
        <f t="shared" si="337"/>
        <v>2025</v>
      </c>
      <c r="W1012" s="18" t="str">
        <f t="shared" si="338"/>
        <v/>
      </c>
      <c r="X1012" s="18" t="str">
        <f t="shared" si="339"/>
        <v/>
      </c>
      <c r="Y1012" s="2">
        <f t="shared" si="332"/>
        <v>0.71698760219955782</v>
      </c>
      <c r="Z1012" t="str">
        <f t="shared" si="333"/>
        <v>SO17926</v>
      </c>
      <c r="AA1012" s="11">
        <f t="shared" si="340"/>
        <v>45926.362245370372</v>
      </c>
      <c r="AB1012" s="5" t="str">
        <f t="shared" si="341"/>
        <v>INV13550</v>
      </c>
      <c r="AC1012" s="5" t="str">
        <f>IFERROR(VLOOKUP(D1012,CAARStatus!$A$2:$AA$1600,22,FALSE),"Not invoiced")</f>
        <v>Approved</v>
      </c>
      <c r="AD1012" s="11" t="str">
        <f>IF(AC1012="Paid",IFERROR(VLOOKUP(D1012,CAARStatus!$A$2:$AA$1600,6,FALSE),"Pending"),"Pending")</f>
        <v>Pending</v>
      </c>
      <c r="AE1012" s="5" t="str">
        <f t="shared" si="342"/>
        <v>4500587758</v>
      </c>
      <c r="AF1012" s="5" t="str">
        <f t="shared" si="343"/>
        <v>Glencore Canada Corporation - Rouyn-Noranda</v>
      </c>
      <c r="AG1012" s="5" t="str">
        <f t="shared" si="344"/>
        <v>CAD</v>
      </c>
      <c r="AH1012" s="5">
        <f t="shared" si="345"/>
        <v>0</v>
      </c>
      <c r="AI1012" s="12">
        <f>IF(L1012-N1012=0,VLOOKUP(U1012,rate!A$4:B$15,2,FALSE)*AH1012,IF(AG1012="USD",O1012,AH1012*Y1012))</f>
        <v>0</v>
      </c>
      <c r="AJ1012" s="13">
        <f t="shared" si="346"/>
        <v>0</v>
      </c>
      <c r="AK1012" s="13">
        <f>-IF(AG1012="CAD",IFERROR(VLOOKUP(D1012,CAARStatus!$A$1:$Y$1600,16,FALSE),0),0)</f>
        <v>-1180.7</v>
      </c>
      <c r="AL1012" s="13">
        <f>-IF(AG1012="USD",IFERROR(VLOOKUP(D1012,CAARStatus!$A$1:$Y$1600,11,FALSE),0),0)</f>
        <v>0</v>
      </c>
      <c r="AM1012" s="22">
        <f t="shared" si="347"/>
        <v>-1180.7</v>
      </c>
      <c r="AN1012" s="12" t="str">
        <f t="shared" si="348"/>
        <v/>
      </c>
      <c r="AO1012" s="12" t="str">
        <f t="shared" si="349"/>
        <v>Pend</v>
      </c>
      <c r="AP1012" t="str">
        <f t="shared" si="334"/>
        <v>XX</v>
      </c>
      <c r="AQ1012">
        <f>IFERROR(VLOOKUP(Z1012,InvBal!$L$4:$P$600,4,FALSE),"Pend")</f>
        <v>0</v>
      </c>
      <c r="AR1012" t="str">
        <f>IFERROR(VLOOKUP(D1012,Manual!$C$1:$E$22,2,FALSE),"Pend")</f>
        <v>Pend</v>
      </c>
      <c r="AS1012" t="str">
        <f t="shared" si="350"/>
        <v/>
      </c>
      <c r="AT1012" t="str">
        <f t="shared" si="351"/>
        <v/>
      </c>
      <c r="AU1012" s="51" t="str">
        <f t="shared" si="352"/>
        <v/>
      </c>
      <c r="AV1012" s="12">
        <f>IFERROR(VLOOKUP(D1012,'Receivable Invoice Detail'!$S$1:$U$3014,3,FALSE),0)</f>
        <v>0</v>
      </c>
      <c r="AW1012" s="12">
        <f t="shared" si="353"/>
        <v>0</v>
      </c>
    </row>
    <row r="1013" spans="1:49" x14ac:dyDescent="0.25">
      <c r="A1013" s="2">
        <v>1</v>
      </c>
      <c r="B1013" s="2" t="s">
        <v>531</v>
      </c>
      <c r="C1013" s="2" t="s">
        <v>532</v>
      </c>
      <c r="D1013" s="2" t="s">
        <v>3237</v>
      </c>
      <c r="E1013" s="2" t="s">
        <v>109</v>
      </c>
      <c r="F1013" s="3">
        <v>45926.433946759258</v>
      </c>
      <c r="G1013" s="3">
        <v>45926.660405092603</v>
      </c>
      <c r="H1013" s="4">
        <v>45929</v>
      </c>
      <c r="I1013" s="2" t="s">
        <v>21</v>
      </c>
      <c r="J1013" s="2" t="s">
        <v>51</v>
      </c>
      <c r="K1013" s="2">
        <v>0.71817576144916317</v>
      </c>
      <c r="L1013" s="2">
        <v>10938.227689763189</v>
      </c>
      <c r="M1013" s="2">
        <v>0</v>
      </c>
      <c r="N1013" s="2">
        <v>7855.57</v>
      </c>
      <c r="O1013" s="2">
        <v>7855.57</v>
      </c>
      <c r="P1013" s="2"/>
      <c r="Q1013" s="2">
        <v>7855.57</v>
      </c>
      <c r="R1013" s="2" t="s">
        <v>44</v>
      </c>
      <c r="S1013" s="2"/>
      <c r="T1013" s="2">
        <f t="shared" si="335"/>
        <v>1</v>
      </c>
      <c r="U1013" s="18">
        <f t="shared" si="336"/>
        <v>9</v>
      </c>
      <c r="V1013" s="18">
        <f t="shared" si="337"/>
        <v>2025</v>
      </c>
      <c r="W1013" s="18">
        <f t="shared" si="338"/>
        <v>11</v>
      </c>
      <c r="X1013" s="18">
        <f t="shared" si="339"/>
        <v>2025</v>
      </c>
      <c r="Y1013" s="2">
        <f t="shared" si="332"/>
        <v>0.71817576144916317</v>
      </c>
      <c r="Z1013" t="str">
        <f t="shared" si="333"/>
        <v>SO17928</v>
      </c>
      <c r="AA1013" s="11">
        <f t="shared" si="340"/>
        <v>45926.433946759258</v>
      </c>
      <c r="AB1013" s="5" t="str">
        <f t="shared" si="341"/>
        <v>INV13460</v>
      </c>
      <c r="AC1013" s="5" t="str">
        <f>IFERROR(VLOOKUP(D1013,CAARStatus!$A$2:$AA$1600,22,FALSE),"Not invoiced")</f>
        <v>Paid</v>
      </c>
      <c r="AD1013" s="11">
        <f>IF(AC1013="Paid",IFERROR(VLOOKUP(D1013,CAARStatus!$A$2:$AA$1600,6,FALSE),"Pending"),"Pending")</f>
        <v>45965</v>
      </c>
      <c r="AE1013" s="5" t="str">
        <f t="shared" si="342"/>
        <v>4107</v>
      </c>
      <c r="AF1013" s="5" t="str">
        <f t="shared" si="343"/>
        <v>Middle Georgia Fluid Sealing LLC</v>
      </c>
      <c r="AG1013" s="5" t="str">
        <f t="shared" si="344"/>
        <v>USD</v>
      </c>
      <c r="AH1013" s="5">
        <f t="shared" si="345"/>
        <v>10938.227689763189</v>
      </c>
      <c r="AI1013" s="12">
        <f>IF(L1013-N1013=0,VLOOKUP(U1013,rate!A$4:B$15,2,FALSE)*AH1013,IF(AG1013="USD",O1013,AH1013*Y1013))</f>
        <v>7855.57</v>
      </c>
      <c r="AJ1013" s="13">
        <f t="shared" si="346"/>
        <v>0.71817576144916317</v>
      </c>
      <c r="AK1013" s="13">
        <f>-IF(AG1013="CAD",IFERROR(VLOOKUP(D1013,CAARStatus!$A$1:$Y$1600,16,FALSE),0),0)</f>
        <v>0</v>
      </c>
      <c r="AL1013" s="13">
        <f>-IF(AG1013="USD",IFERROR(VLOOKUP(D1013,CAARStatus!$A$1:$Y$1600,11,FALSE),0),0)</f>
        <v>-7855.57</v>
      </c>
      <c r="AM1013" s="22" t="str">
        <f t="shared" si="347"/>
        <v/>
      </c>
      <c r="AN1013" s="12">
        <f t="shared" si="348"/>
        <v>0</v>
      </c>
      <c r="AO1013" s="12" t="str">
        <f t="shared" si="349"/>
        <v>Yes</v>
      </c>
      <c r="AP1013" t="str">
        <f t="shared" si="334"/>
        <v>Yes</v>
      </c>
      <c r="AQ1013" t="str">
        <f>IFERROR(VLOOKUP(Z1013,InvBal!$L$4:$P$600,4,FALSE),"Pend")</f>
        <v>Pend</v>
      </c>
      <c r="AR1013" t="str">
        <f>IFERROR(VLOOKUP(D1013,Manual!$C$1:$E$22,2,FALSE),"Pend")</f>
        <v>Pend</v>
      </c>
      <c r="AS1013" t="str">
        <f t="shared" si="350"/>
        <v>Yes</v>
      </c>
      <c r="AT1013" t="str">
        <f t="shared" si="351"/>
        <v>Yes</v>
      </c>
      <c r="AU1013" s="51" t="str">
        <f t="shared" si="352"/>
        <v>Yes</v>
      </c>
      <c r="AV1013" s="12">
        <f>IFERROR(VLOOKUP(D1013,'Receivable Invoice Detail'!$S$1:$U$3014,3,FALSE),0)</f>
        <v>690</v>
      </c>
      <c r="AW1013" s="12">
        <f t="shared" si="353"/>
        <v>7165.57</v>
      </c>
    </row>
    <row r="1014" spans="1:49" ht="30" x14ac:dyDescent="0.25">
      <c r="A1014" s="2">
        <v>2</v>
      </c>
      <c r="B1014" s="2" t="s">
        <v>542</v>
      </c>
      <c r="C1014" s="2" t="s">
        <v>543</v>
      </c>
      <c r="D1014" s="2" t="s">
        <v>3231</v>
      </c>
      <c r="E1014" s="2" t="s">
        <v>129</v>
      </c>
      <c r="F1014" s="3">
        <v>45926.499212962961</v>
      </c>
      <c r="G1014" s="3">
        <v>45926.49796296296</v>
      </c>
      <c r="H1014" s="4">
        <v>45982</v>
      </c>
      <c r="I1014" s="2" t="s">
        <v>328</v>
      </c>
      <c r="J1014" s="2" t="s">
        <v>51</v>
      </c>
      <c r="K1014" s="2">
        <v>0.71817576144916317</v>
      </c>
      <c r="L1014" s="2">
        <v>2575.971091348164</v>
      </c>
      <c r="M1014" s="2">
        <v>0</v>
      </c>
      <c r="N1014" s="2">
        <v>1850</v>
      </c>
      <c r="O1014" s="2">
        <v>1850</v>
      </c>
      <c r="P1014" s="2"/>
      <c r="Q1014" s="2">
        <v>1850</v>
      </c>
      <c r="R1014" s="2" t="s">
        <v>44</v>
      </c>
      <c r="S1014" s="2"/>
      <c r="T1014" s="2">
        <f t="shared" si="335"/>
        <v>2</v>
      </c>
      <c r="U1014" s="18">
        <f t="shared" si="336"/>
        <v>9</v>
      </c>
      <c r="V1014" s="18">
        <f t="shared" si="337"/>
        <v>2025</v>
      </c>
      <c r="W1014" s="18" t="str">
        <f t="shared" si="338"/>
        <v/>
      </c>
      <c r="X1014" s="18" t="str">
        <f t="shared" si="339"/>
        <v/>
      </c>
      <c r="Y1014" s="2">
        <f t="shared" si="332"/>
        <v>0.7181757614491634</v>
      </c>
      <c r="Z1014" t="str">
        <f t="shared" si="333"/>
        <v>SO17930</v>
      </c>
      <c r="AA1014" s="11">
        <f t="shared" si="340"/>
        <v>45926.499212962961</v>
      </c>
      <c r="AB1014" s="5" t="str">
        <f t="shared" si="341"/>
        <v>INV13683</v>
      </c>
      <c r="AC1014" s="5" t="str">
        <f>IFERROR(VLOOKUP(D1014,CAARStatus!$A$2:$AA$1600,22,FALSE),"Not invoiced")</f>
        <v>Approved</v>
      </c>
      <c r="AD1014" s="11" t="str">
        <f>IF(AC1014="Paid",IFERROR(VLOOKUP(D1014,CAARStatus!$A$2:$AA$1600,6,FALSE),"Pending"),"Pending")</f>
        <v>Pending</v>
      </c>
      <c r="AE1014" s="5" t="str">
        <f t="shared" si="342"/>
        <v>OC00210</v>
      </c>
      <c r="AF1014" s="5" t="str">
        <f t="shared" si="343"/>
        <v>Dynapro Pumps México S de RL de CV</v>
      </c>
      <c r="AG1014" s="5" t="str">
        <f t="shared" si="344"/>
        <v>USD</v>
      </c>
      <c r="AH1014" s="5">
        <f t="shared" si="345"/>
        <v>2575.9710913481645</v>
      </c>
      <c r="AI1014" s="12">
        <f>IF(L1014-N1014=0,VLOOKUP(U1014,rate!A$4:B$15,2,FALSE)*AH1014,IF(AG1014="USD",O1014,AH1014*Y1014))</f>
        <v>1850</v>
      </c>
      <c r="AJ1014" s="13">
        <f t="shared" si="346"/>
        <v>0.71817576144916317</v>
      </c>
      <c r="AK1014" s="13">
        <f>-IF(AG1014="CAD",IFERROR(VLOOKUP(D1014,CAARStatus!$A$1:$Y$1600,16,FALSE),0),0)</f>
        <v>0</v>
      </c>
      <c r="AL1014" s="13">
        <f>-IF(AG1014="USD",IFERROR(VLOOKUP(D1014,CAARStatus!$A$1:$Y$1600,11,FALSE),0),0)</f>
        <v>-350</v>
      </c>
      <c r="AM1014" s="22" t="str">
        <f t="shared" si="347"/>
        <v/>
      </c>
      <c r="AN1014" s="12">
        <f t="shared" si="348"/>
        <v>1500</v>
      </c>
      <c r="AO1014" s="12" t="str">
        <f t="shared" si="349"/>
        <v>Pend</v>
      </c>
      <c r="AP1014" t="str">
        <f t="shared" si="334"/>
        <v>XX</v>
      </c>
      <c r="AQ1014" t="str">
        <f>IFERROR(VLOOKUP(Z1014,InvBal!$L$4:$P$600,4,FALSE),"Pend")</f>
        <v>Yes</v>
      </c>
      <c r="AR1014" t="str">
        <f>IFERROR(VLOOKUP(D1014,Manual!$C$1:$E$22,2,FALSE),"Pend")</f>
        <v>Pend</v>
      </c>
      <c r="AS1014" t="str">
        <f t="shared" si="350"/>
        <v>Yes</v>
      </c>
      <c r="AT1014" t="str">
        <f t="shared" si="351"/>
        <v>Yes</v>
      </c>
      <c r="AU1014" s="51" t="str">
        <f t="shared" si="352"/>
        <v>Yes</v>
      </c>
      <c r="AV1014" s="12">
        <f>IFERROR(VLOOKUP(D1014,'Receivable Invoice Detail'!$S$1:$U$3014,3,FALSE),0)</f>
        <v>0</v>
      </c>
      <c r="AW1014" s="12">
        <f t="shared" si="353"/>
        <v>1850</v>
      </c>
    </row>
    <row r="1015" spans="1:49" x14ac:dyDescent="0.25">
      <c r="A1015" s="2"/>
      <c r="B1015" s="2"/>
      <c r="C1015" s="2"/>
      <c r="D1015" s="2" t="s">
        <v>4411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>
        <f t="shared" si="335"/>
        <v>2</v>
      </c>
      <c r="U1015" s="18">
        <f t="shared" si="336"/>
        <v>9</v>
      </c>
      <c r="V1015" s="18">
        <f t="shared" si="337"/>
        <v>2025</v>
      </c>
      <c r="W1015" s="18" t="str">
        <f t="shared" si="338"/>
        <v/>
      </c>
      <c r="X1015" s="18" t="str">
        <f t="shared" si="339"/>
        <v/>
      </c>
      <c r="Y1015" s="2">
        <f t="shared" si="332"/>
        <v>0.7181757614491634</v>
      </c>
      <c r="Z1015" t="str">
        <f t="shared" si="333"/>
        <v>SO17930</v>
      </c>
      <c r="AA1015" s="11">
        <f t="shared" si="340"/>
        <v>45926.499212962961</v>
      </c>
      <c r="AB1015" s="5" t="str">
        <f t="shared" si="341"/>
        <v>INV13710</v>
      </c>
      <c r="AC1015" s="5" t="str">
        <f>IFERROR(VLOOKUP(D1015,CAARStatus!$A$2:$AA$1600,22,FALSE),"Not invoiced")</f>
        <v>Approved</v>
      </c>
      <c r="AD1015" s="11" t="str">
        <f>IF(AC1015="Paid",IFERROR(VLOOKUP(D1015,CAARStatus!$A$2:$AA$1600,6,FALSE),"Pending"),"Pending")</f>
        <v>Pending</v>
      </c>
      <c r="AE1015" s="5" t="str">
        <f t="shared" si="342"/>
        <v>OC00210</v>
      </c>
      <c r="AF1015" s="5" t="str">
        <f t="shared" si="343"/>
        <v>Dynapro Pumps México S de RL de CV</v>
      </c>
      <c r="AG1015" s="5" t="str">
        <f t="shared" si="344"/>
        <v>USD</v>
      </c>
      <c r="AH1015" s="5">
        <f t="shared" si="345"/>
        <v>0</v>
      </c>
      <c r="AI1015" s="12">
        <f>IF(L1015-N1015=0,VLOOKUP(U1015,rate!A$4:B$15,2,FALSE)*AH1015,IF(AG1015="USD",O1015,AH1015*Y1015))</f>
        <v>0</v>
      </c>
      <c r="AJ1015" s="13">
        <f t="shared" si="346"/>
        <v>0</v>
      </c>
      <c r="AK1015" s="13">
        <f>-IF(AG1015="CAD",IFERROR(VLOOKUP(D1015,CAARStatus!$A$1:$Y$1600,16,FALSE),0),0)</f>
        <v>0</v>
      </c>
      <c r="AL1015" s="13">
        <f>-IF(AG1015="USD",IFERROR(VLOOKUP(D1015,CAARStatus!$A$1:$Y$1600,11,FALSE),0),0)</f>
        <v>-1500</v>
      </c>
      <c r="AM1015" s="22" t="str">
        <f t="shared" si="347"/>
        <v/>
      </c>
      <c r="AN1015" s="12">
        <f t="shared" si="348"/>
        <v>-1500</v>
      </c>
      <c r="AO1015" s="12" t="str">
        <f t="shared" si="349"/>
        <v>Pend</v>
      </c>
      <c r="AP1015" t="str">
        <f t="shared" si="334"/>
        <v>XX</v>
      </c>
      <c r="AQ1015" t="str">
        <f>IFERROR(VLOOKUP(Z1015,InvBal!$L$4:$P$600,4,FALSE),"Pend")</f>
        <v>Yes</v>
      </c>
      <c r="AR1015" t="str">
        <f>IFERROR(VLOOKUP(D1015,Manual!$C$1:$E$22,2,FALSE),"Pend")</f>
        <v>Pend</v>
      </c>
      <c r="AS1015" t="str">
        <f t="shared" si="350"/>
        <v>Yes</v>
      </c>
      <c r="AT1015" t="str">
        <f t="shared" si="351"/>
        <v/>
      </c>
      <c r="AU1015" s="51" t="str">
        <f t="shared" si="352"/>
        <v/>
      </c>
      <c r="AV1015" s="12">
        <f>IFERROR(VLOOKUP(D1015,'Receivable Invoice Detail'!$S$1:$U$3014,3,FALSE),0)</f>
        <v>0</v>
      </c>
      <c r="AW1015" s="12">
        <f t="shared" si="353"/>
        <v>0</v>
      </c>
    </row>
    <row r="1016" spans="1:49" x14ac:dyDescent="0.25">
      <c r="A1016" s="2">
        <v>1</v>
      </c>
      <c r="B1016" s="2" t="s">
        <v>540</v>
      </c>
      <c r="C1016" s="2" t="s">
        <v>541</v>
      </c>
      <c r="D1016" s="2" t="s">
        <v>3232</v>
      </c>
      <c r="E1016" s="2" t="s">
        <v>54</v>
      </c>
      <c r="F1016" s="3">
        <v>45926.503379629627</v>
      </c>
      <c r="G1016" s="3">
        <v>45926.503668981481</v>
      </c>
      <c r="H1016" s="4">
        <v>45929</v>
      </c>
      <c r="I1016" s="2" t="s">
        <v>21</v>
      </c>
      <c r="J1016" s="2" t="s">
        <v>22</v>
      </c>
      <c r="K1016" s="2">
        <v>1</v>
      </c>
      <c r="L1016" s="2">
        <v>1849.22</v>
      </c>
      <c r="M1016" s="2">
        <v>0</v>
      </c>
      <c r="N1016" s="2">
        <v>1325.8678137394661</v>
      </c>
      <c r="O1016" s="2">
        <v>1761.16</v>
      </c>
      <c r="P1016" s="2">
        <v>88.06</v>
      </c>
      <c r="Q1016" s="2">
        <v>1849.22</v>
      </c>
      <c r="R1016" s="2" t="s">
        <v>44</v>
      </c>
      <c r="S1016" s="2"/>
      <c r="T1016" s="2">
        <f t="shared" si="335"/>
        <v>1</v>
      </c>
      <c r="U1016" s="18">
        <f t="shared" si="336"/>
        <v>9</v>
      </c>
      <c r="V1016" s="18">
        <f t="shared" si="337"/>
        <v>2025</v>
      </c>
      <c r="W1016" s="18">
        <f t="shared" si="338"/>
        <v>11</v>
      </c>
      <c r="X1016" s="18">
        <f t="shared" si="339"/>
        <v>2025</v>
      </c>
      <c r="Y1016" s="2">
        <f t="shared" si="332"/>
        <v>0.71698760219955771</v>
      </c>
      <c r="Z1016" t="str">
        <f t="shared" si="333"/>
        <v>SO17931</v>
      </c>
      <c r="AA1016" s="11">
        <f t="shared" si="340"/>
        <v>45926.503379629627</v>
      </c>
      <c r="AB1016" s="5" t="str">
        <f t="shared" si="341"/>
        <v>INV13468</v>
      </c>
      <c r="AC1016" s="5" t="str">
        <f>IFERROR(VLOOKUP(D1016,CAARStatus!$A$2:$AA$1600,22,FALSE),"Not invoiced")</f>
        <v>Paid</v>
      </c>
      <c r="AD1016" s="11">
        <f>IF(AC1016="Paid",IFERROR(VLOOKUP(D1016,CAARStatus!$A$2:$AA$1600,6,FALSE),"Pending"),"Pending")</f>
        <v>45968</v>
      </c>
      <c r="AE1016" s="5" t="str">
        <f t="shared" si="342"/>
        <v>3318</v>
      </c>
      <c r="AF1016" s="5" t="str">
        <f t="shared" si="343"/>
        <v>Les Pompes du St-Laurent Inc.</v>
      </c>
      <c r="AG1016" s="5" t="str">
        <f t="shared" si="344"/>
        <v>CAD</v>
      </c>
      <c r="AH1016" s="5">
        <f t="shared" si="345"/>
        <v>1761.16</v>
      </c>
      <c r="AI1016" s="12">
        <f>IF(L1016-N1016=0,VLOOKUP(U1016,rate!A$4:B$15,2,FALSE)*AH1016,IF(AG1016="USD",O1016,AH1016*Y1016))</f>
        <v>1262.7298854897731</v>
      </c>
      <c r="AJ1016" s="13">
        <f t="shared" si="346"/>
        <v>0.71698760219955771</v>
      </c>
      <c r="AK1016" s="61">
        <f>IF(AC1016="Paid",-IF(AG1016="CAD",IFERROR(VLOOKUP(D1016,CAARStatus!$A$1:$Y$1600,16,FALSE),0),0),0)</f>
        <v>-1761.16</v>
      </c>
      <c r="AL1016" s="61">
        <f>IF(AC1016="Paid",-IF(AG1016="USD",IFERROR(VLOOKUP(D1016,CAARStatus!$A$1:$Y$1600,11,FALSE),0),0),0)</f>
        <v>0</v>
      </c>
      <c r="AM1016" s="22">
        <f t="shared" si="347"/>
        <v>0</v>
      </c>
      <c r="AN1016" s="12" t="str">
        <f t="shared" si="348"/>
        <v/>
      </c>
      <c r="AO1016" s="12" t="str">
        <f t="shared" si="349"/>
        <v>Yes</v>
      </c>
      <c r="AP1016" t="str">
        <f t="shared" si="334"/>
        <v>Yes</v>
      </c>
      <c r="AQ1016" t="str">
        <f>IFERROR(VLOOKUP(Z1016,InvBal!$L$4:$P$600,4,FALSE),"Pend")</f>
        <v>Pend</v>
      </c>
      <c r="AR1016" t="str">
        <f>IFERROR(VLOOKUP(D1016,Manual!$C$1:$E$22,2,FALSE),"Pend")</f>
        <v>Pend</v>
      </c>
      <c r="AS1016" t="str">
        <f t="shared" si="350"/>
        <v>Yes</v>
      </c>
      <c r="AT1016" t="str">
        <f t="shared" si="351"/>
        <v>Yes</v>
      </c>
      <c r="AU1016" s="51" t="str">
        <f t="shared" si="352"/>
        <v>Yes</v>
      </c>
      <c r="AV1016" s="12">
        <f>IFERROR(VLOOKUP(D1016,'Receivable Invoice Detail'!$S$1:$U$3014,3,FALSE),0)</f>
        <v>0</v>
      </c>
      <c r="AW1016" s="12">
        <f t="shared" si="353"/>
        <v>1262.7298854897731</v>
      </c>
    </row>
    <row r="1017" spans="1:49" ht="30" x14ac:dyDescent="0.25">
      <c r="A1017" s="2">
        <v>1</v>
      </c>
      <c r="B1017" s="2" t="s">
        <v>539</v>
      </c>
      <c r="C1017" s="2"/>
      <c r="D1017" s="2" t="s">
        <v>3233</v>
      </c>
      <c r="E1017" s="2" t="s">
        <v>129</v>
      </c>
      <c r="F1017" s="3">
        <v>45926.511655092603</v>
      </c>
      <c r="G1017" s="3">
        <v>45926.510023148148</v>
      </c>
      <c r="H1017" s="4">
        <v>45982</v>
      </c>
      <c r="I1017" s="2" t="s">
        <v>328</v>
      </c>
      <c r="J1017" s="2" t="s">
        <v>51</v>
      </c>
      <c r="K1017" s="2">
        <v>0.71817576144916317</v>
      </c>
      <c r="L1017" s="2">
        <v>4163.3262503410879</v>
      </c>
      <c r="M1017" s="2">
        <v>0</v>
      </c>
      <c r="N1017" s="2">
        <v>2990</v>
      </c>
      <c r="O1017" s="2">
        <v>2990</v>
      </c>
      <c r="P1017" s="2"/>
      <c r="Q1017" s="2">
        <v>2990</v>
      </c>
      <c r="R1017" s="2" t="s">
        <v>44</v>
      </c>
      <c r="S1017" s="2"/>
      <c r="T1017" s="2">
        <f t="shared" si="335"/>
        <v>1</v>
      </c>
      <c r="U1017" s="18">
        <f t="shared" si="336"/>
        <v>9</v>
      </c>
      <c r="V1017" s="18">
        <f t="shared" si="337"/>
        <v>2025</v>
      </c>
      <c r="W1017" s="18" t="str">
        <f t="shared" si="338"/>
        <v/>
      </c>
      <c r="X1017" s="18" t="str">
        <f t="shared" si="339"/>
        <v/>
      </c>
      <c r="Y1017" s="2">
        <f t="shared" si="332"/>
        <v>0.71698760219955771</v>
      </c>
      <c r="Z1017" t="str">
        <f t="shared" si="333"/>
        <v>SO17932</v>
      </c>
      <c r="AA1017" s="11">
        <f t="shared" si="340"/>
        <v>45926.511655092603</v>
      </c>
      <c r="AB1017" s="5" t="str">
        <f t="shared" si="341"/>
        <v>INV13672</v>
      </c>
      <c r="AC1017" s="5" t="str">
        <f>IFERROR(VLOOKUP(D1017,CAARStatus!$A$2:$AA$1600,22,FALSE),"Not invoiced")</f>
        <v>Approved</v>
      </c>
      <c r="AD1017" s="11" t="str">
        <f>IF(AC1017="Paid",IFERROR(VLOOKUP(D1017,CAARStatus!$A$2:$AA$1600,6,FALSE),"Pending"),"Pending")</f>
        <v>Pending</v>
      </c>
      <c r="AE1017" s="5" t="str">
        <f t="shared" si="342"/>
        <v>3318</v>
      </c>
      <c r="AF1017" s="5" t="str">
        <f t="shared" si="343"/>
        <v>Dynapro Pumps México S de RL de CV</v>
      </c>
      <c r="AG1017" s="5" t="str">
        <f t="shared" si="344"/>
        <v>USD</v>
      </c>
      <c r="AH1017" s="5">
        <f t="shared" si="345"/>
        <v>4163.3262503410879</v>
      </c>
      <c r="AI1017" s="12">
        <f>IF(L1017-N1017=0,VLOOKUP(U1017,rate!A$4:B$15,2,FALSE)*AH1017,IF(AG1017="USD",O1017,AH1017*Y1017))</f>
        <v>2990</v>
      </c>
      <c r="AJ1017" s="13">
        <f t="shared" si="346"/>
        <v>0.71817576144916317</v>
      </c>
      <c r="AK1017" s="61">
        <f>IF(AC1017="Paid",-IF(AG1017="CAD",IFERROR(VLOOKUP(D1017,CAARStatus!$A$1:$Y$1600,16,FALSE),0),0),0)</f>
        <v>0</v>
      </c>
      <c r="AL1017" s="61">
        <f>IF(AC1017="Paid",-IF(AG1017="USD",IFERROR(VLOOKUP(D1017,CAARStatus!$A$1:$Y$1600,11,FALSE),0),0),0)</f>
        <v>0</v>
      </c>
      <c r="AM1017" s="22" t="str">
        <f t="shared" si="347"/>
        <v/>
      </c>
      <c r="AN1017" s="12">
        <f t="shared" si="348"/>
        <v>2990</v>
      </c>
      <c r="AO1017" s="12" t="str">
        <f t="shared" si="349"/>
        <v>Pend</v>
      </c>
      <c r="AP1017" t="str">
        <f t="shared" si="334"/>
        <v>Pend</v>
      </c>
      <c r="AQ1017" t="str">
        <f>IFERROR(VLOOKUP(Z1017,InvBal!$L$4:$P$600,4,FALSE),"Pend")</f>
        <v>Pend</v>
      </c>
      <c r="AR1017" t="str">
        <f>IFERROR(VLOOKUP(D1017,Manual!$C$1:$E$22,2,FALSE),"Pend")</f>
        <v>Pend</v>
      </c>
      <c r="AS1017" t="str">
        <f t="shared" si="350"/>
        <v/>
      </c>
      <c r="AT1017" t="str">
        <f t="shared" si="351"/>
        <v>Yes</v>
      </c>
      <c r="AU1017" s="51" t="str">
        <f t="shared" si="352"/>
        <v/>
      </c>
      <c r="AV1017" s="12">
        <f>IFERROR(VLOOKUP(D1017,'Receivable Invoice Detail'!$S$1:$U$3014,3,FALSE),0)</f>
        <v>0</v>
      </c>
      <c r="AW1017" s="12">
        <f t="shared" si="353"/>
        <v>0</v>
      </c>
    </row>
    <row r="1018" spans="1:49" ht="30" x14ac:dyDescent="0.25">
      <c r="A1018" s="2">
        <v>1</v>
      </c>
      <c r="B1018" s="2" t="s">
        <v>529</v>
      </c>
      <c r="C1018" s="2" t="s">
        <v>530</v>
      </c>
      <c r="D1018" s="2" t="s">
        <v>3238</v>
      </c>
      <c r="E1018" s="2" t="s">
        <v>129</v>
      </c>
      <c r="F1018" s="3">
        <v>45926.813831018517</v>
      </c>
      <c r="G1018" s="3">
        <v>45926.813275462962</v>
      </c>
      <c r="H1018" s="4">
        <v>45978</v>
      </c>
      <c r="I1018" s="2" t="s">
        <v>130</v>
      </c>
      <c r="J1018" s="2" t="s">
        <v>51</v>
      </c>
      <c r="K1018" s="2">
        <v>0.71817576144916317</v>
      </c>
      <c r="L1018" s="2">
        <v>1378.492638072802</v>
      </c>
      <c r="M1018" s="2">
        <v>0</v>
      </c>
      <c r="N1018" s="2">
        <v>990</v>
      </c>
      <c r="O1018" s="2">
        <v>990</v>
      </c>
      <c r="P1018" s="2"/>
      <c r="Q1018" s="2">
        <v>990</v>
      </c>
      <c r="R1018" s="2" t="s">
        <v>44</v>
      </c>
      <c r="S1018" s="2"/>
      <c r="T1018" s="2">
        <f t="shared" si="335"/>
        <v>1</v>
      </c>
      <c r="U1018" s="18">
        <f t="shared" si="336"/>
        <v>9</v>
      </c>
      <c r="V1018" s="18">
        <f t="shared" si="337"/>
        <v>2025</v>
      </c>
      <c r="W1018" s="18" t="str">
        <f t="shared" si="338"/>
        <v/>
      </c>
      <c r="X1018" s="18" t="str">
        <f t="shared" si="339"/>
        <v/>
      </c>
      <c r="Y1018" s="2">
        <f t="shared" si="332"/>
        <v>0.71817576144916295</v>
      </c>
      <c r="Z1018" t="str">
        <f t="shared" si="333"/>
        <v>SO17937</v>
      </c>
      <c r="AA1018" s="11">
        <f t="shared" si="340"/>
        <v>45926.813831018517</v>
      </c>
      <c r="AB1018" s="5" t="str">
        <f t="shared" si="341"/>
        <v>INV13613</v>
      </c>
      <c r="AC1018" s="5" t="str">
        <f>IFERROR(VLOOKUP(D1018,CAARStatus!$A$2:$AA$1600,22,FALSE),"Not invoiced")</f>
        <v>Approved</v>
      </c>
      <c r="AD1018" s="11" t="str">
        <f>IF(AC1018="Paid",IFERROR(VLOOKUP(D1018,CAARStatus!$A$2:$AA$1600,6,FALSE),"Pending"),"Pending")</f>
        <v>Pending</v>
      </c>
      <c r="AE1018" s="5" t="str">
        <f t="shared" si="342"/>
        <v>OC00213</v>
      </c>
      <c r="AF1018" s="5" t="str">
        <f t="shared" si="343"/>
        <v>Dynapro Pumps México S de RL de CV</v>
      </c>
      <c r="AG1018" s="5" t="str">
        <f t="shared" si="344"/>
        <v>USD</v>
      </c>
      <c r="AH1018" s="5">
        <f t="shared" si="345"/>
        <v>1378.4926380728016</v>
      </c>
      <c r="AI1018" s="12">
        <f>IF(L1018-N1018=0,VLOOKUP(U1018,rate!A$4:B$15,2,FALSE)*AH1018,IF(AG1018="USD",O1018,AH1018*Y1018))</f>
        <v>990</v>
      </c>
      <c r="AJ1018" s="13">
        <f t="shared" si="346"/>
        <v>0.71817576144916317</v>
      </c>
      <c r="AK1018" s="13">
        <f>-IF(AG1018="CAD",IFERROR(VLOOKUP(D1018,CAARStatus!$A$1:$Y$1600,16,FALSE),0),0)</f>
        <v>0</v>
      </c>
      <c r="AL1018" s="13">
        <f>-IF(AG1018="USD",IFERROR(VLOOKUP(D1018,CAARStatus!$A$1:$Y$1600,11,FALSE),0),0)</f>
        <v>-990</v>
      </c>
      <c r="AM1018" s="22" t="str">
        <f t="shared" si="347"/>
        <v/>
      </c>
      <c r="AN1018" s="12">
        <f t="shared" si="348"/>
        <v>0</v>
      </c>
      <c r="AO1018" s="12" t="str">
        <f t="shared" si="349"/>
        <v>Pend</v>
      </c>
      <c r="AP1018" t="str">
        <f t="shared" si="334"/>
        <v>Pend</v>
      </c>
      <c r="AQ1018" t="str">
        <f>IFERROR(VLOOKUP(Z1018,InvBal!$L$4:$P$600,4,FALSE),"Pend")</f>
        <v>Pend</v>
      </c>
      <c r="AR1018" t="str">
        <f>IFERROR(VLOOKUP(D1018,Manual!$C$1:$E$22,2,FALSE),"Pend")</f>
        <v>Pend</v>
      </c>
      <c r="AS1018" t="str">
        <f t="shared" si="350"/>
        <v/>
      </c>
      <c r="AT1018" t="str">
        <f t="shared" si="351"/>
        <v>Yes</v>
      </c>
      <c r="AU1018" s="51" t="str">
        <f t="shared" si="352"/>
        <v/>
      </c>
      <c r="AV1018" s="12">
        <f>IFERROR(VLOOKUP(D1018,'Receivable Invoice Detail'!$S$1:$U$3014,3,FALSE),0)</f>
        <v>0</v>
      </c>
      <c r="AW1018" s="12">
        <f t="shared" si="353"/>
        <v>0</v>
      </c>
    </row>
    <row r="1019" spans="1:49" x14ac:dyDescent="0.25">
      <c r="A1019" s="2">
        <v>1</v>
      </c>
      <c r="B1019" s="2" t="s">
        <v>514</v>
      </c>
      <c r="C1019" s="2" t="s">
        <v>515</v>
      </c>
      <c r="D1019" s="2" t="s">
        <v>3245</v>
      </c>
      <c r="E1019" s="2" t="s">
        <v>54</v>
      </c>
      <c r="F1019" s="3">
        <v>45929.458703703713</v>
      </c>
      <c r="G1019" s="3">
        <v>45930.702719907407</v>
      </c>
      <c r="H1019" s="4">
        <v>45931</v>
      </c>
      <c r="I1019" s="2" t="s">
        <v>21</v>
      </c>
      <c r="J1019" s="2" t="s">
        <v>22</v>
      </c>
      <c r="K1019" s="2">
        <v>1</v>
      </c>
      <c r="L1019" s="2">
        <v>486.21</v>
      </c>
      <c r="M1019" s="2">
        <v>0</v>
      </c>
      <c r="N1019" s="2">
        <v>349.04393806074461</v>
      </c>
      <c r="O1019" s="2">
        <v>463.06</v>
      </c>
      <c r="P1019" s="2">
        <v>23.15</v>
      </c>
      <c r="Q1019" s="2">
        <v>486.21</v>
      </c>
      <c r="R1019" s="2" t="s">
        <v>44</v>
      </c>
      <c r="S1019" s="2"/>
      <c r="T1019" s="2">
        <f t="shared" si="335"/>
        <v>1</v>
      </c>
      <c r="U1019" s="18">
        <f t="shared" si="336"/>
        <v>9</v>
      </c>
      <c r="V1019" s="18">
        <f t="shared" si="337"/>
        <v>2025</v>
      </c>
      <c r="W1019" s="18">
        <f t="shared" si="338"/>
        <v>11</v>
      </c>
      <c r="X1019" s="18">
        <f t="shared" si="339"/>
        <v>2025</v>
      </c>
      <c r="Y1019" s="2">
        <f t="shared" si="332"/>
        <v>0.7178872052420654</v>
      </c>
      <c r="Z1019" t="str">
        <f t="shared" si="333"/>
        <v>SO17938</v>
      </c>
      <c r="AA1019" s="11">
        <f t="shared" si="340"/>
        <v>45929.458703703713</v>
      </c>
      <c r="AB1019" s="5" t="str">
        <f t="shared" si="341"/>
        <v>INV13467</v>
      </c>
      <c r="AC1019" s="5" t="str">
        <f>IFERROR(VLOOKUP(D1019,CAARStatus!$A$2:$AA$1600,22,FALSE),"Not invoiced")</f>
        <v>Paid</v>
      </c>
      <c r="AD1019" s="11">
        <f>IF(AC1019="Paid",IFERROR(VLOOKUP(D1019,CAARStatus!$A$2:$AA$1600,6,FALSE),"Pending"),"Pending")</f>
        <v>45967</v>
      </c>
      <c r="AE1019" s="5" t="str">
        <f t="shared" si="342"/>
        <v>3326</v>
      </c>
      <c r="AF1019" s="5" t="str">
        <f t="shared" si="343"/>
        <v>Les Pompes du St-Laurent Inc.</v>
      </c>
      <c r="AG1019" s="5" t="str">
        <f t="shared" si="344"/>
        <v>CAD</v>
      </c>
      <c r="AH1019" s="5">
        <f t="shared" si="345"/>
        <v>463.06</v>
      </c>
      <c r="AI1019" s="12">
        <f>IF(L1019-N1019=0,VLOOKUP(U1019,rate!A$4:B$15,2,FALSE)*AH1019,IF(AG1019="USD",O1019,AH1019*Y1019))</f>
        <v>332.42484925939078</v>
      </c>
      <c r="AJ1019" s="13">
        <f t="shared" si="346"/>
        <v>0.7178872052420654</v>
      </c>
      <c r="AK1019" s="13">
        <f>-IF(AG1019="CAD",IFERROR(VLOOKUP(D1019,CAARStatus!$A$1:$Y$1600,16,FALSE),0),0)</f>
        <v>-463.06</v>
      </c>
      <c r="AL1019" s="13">
        <f>-IF(AG1019="USD",IFERROR(VLOOKUP(D1019,CAARStatus!$A$1:$Y$1600,11,FALSE),0),0)</f>
        <v>0</v>
      </c>
      <c r="AM1019" s="22">
        <f t="shared" si="347"/>
        <v>0</v>
      </c>
      <c r="AN1019" s="12" t="str">
        <f t="shared" si="348"/>
        <v/>
      </c>
      <c r="AO1019" s="12" t="str">
        <f t="shared" si="349"/>
        <v>Yes</v>
      </c>
      <c r="AP1019" t="str">
        <f t="shared" si="334"/>
        <v>Yes</v>
      </c>
      <c r="AQ1019" t="str">
        <f>IFERROR(VLOOKUP(Z1019,InvBal!$L$4:$P$600,4,FALSE),"Pend")</f>
        <v>Pend</v>
      </c>
      <c r="AR1019" t="str">
        <f>IFERROR(VLOOKUP(D1019,Manual!$C$1:$E$22,2,FALSE),"Pend")</f>
        <v>Pend</v>
      </c>
      <c r="AS1019" t="str">
        <f t="shared" si="350"/>
        <v>Yes</v>
      </c>
      <c r="AT1019" t="str">
        <f t="shared" si="351"/>
        <v>Yes</v>
      </c>
      <c r="AU1019" s="51" t="str">
        <f t="shared" si="352"/>
        <v>Yes</v>
      </c>
      <c r="AV1019" s="12">
        <f>IFERROR(VLOOKUP(D1019,'Receivable Invoice Detail'!$S$1:$U$3014,3,FALSE),0)</f>
        <v>0</v>
      </c>
      <c r="AW1019" s="12">
        <f t="shared" si="353"/>
        <v>332.42484925939078</v>
      </c>
    </row>
    <row r="1020" spans="1:49" ht="30" x14ac:dyDescent="0.25">
      <c r="A1020" s="2">
        <v>2</v>
      </c>
      <c r="B1020" s="2" t="s">
        <v>362</v>
      </c>
      <c r="C1020" s="2" t="s">
        <v>363</v>
      </c>
      <c r="D1020" s="2" t="s">
        <v>5971</v>
      </c>
      <c r="E1020" s="2" t="s">
        <v>159</v>
      </c>
      <c r="F1020" s="3">
        <v>45929.461099537039</v>
      </c>
      <c r="G1020" s="3">
        <v>45952.662893518522</v>
      </c>
      <c r="H1020" s="2"/>
      <c r="I1020" s="2" t="s">
        <v>40</v>
      </c>
      <c r="J1020" s="2" t="s">
        <v>51</v>
      </c>
      <c r="K1020" s="2">
        <v>0.71272450667255238</v>
      </c>
      <c r="L1020" s="2">
        <v>8962.1725367928775</v>
      </c>
      <c r="M1020" s="2">
        <v>0</v>
      </c>
      <c r="N1020" s="2">
        <v>6387.56</v>
      </c>
      <c r="O1020" s="2">
        <v>6387.56</v>
      </c>
      <c r="P1020" s="2"/>
      <c r="Q1020" s="2">
        <v>6387.56</v>
      </c>
      <c r="R1020" s="2" t="s">
        <v>44</v>
      </c>
      <c r="S1020" s="2"/>
      <c r="T1020" s="2">
        <f t="shared" si="335"/>
        <v>2</v>
      </c>
      <c r="U1020" s="18">
        <f t="shared" si="336"/>
        <v>9</v>
      </c>
      <c r="V1020" s="18">
        <f t="shared" si="337"/>
        <v>2025</v>
      </c>
      <c r="W1020" s="18" t="str">
        <f t="shared" si="338"/>
        <v/>
      </c>
      <c r="X1020" s="18" t="str">
        <f t="shared" si="339"/>
        <v/>
      </c>
      <c r="Y1020" s="2">
        <f t="shared" si="332"/>
        <v>0.71272450667255227</v>
      </c>
      <c r="Z1020" t="str">
        <f t="shared" si="333"/>
        <v>SO17939</v>
      </c>
      <c r="AA1020" s="11">
        <f t="shared" si="340"/>
        <v>45929.461099537039</v>
      </c>
      <c r="AB1020" s="5" t="str">
        <f t="shared" si="341"/>
        <v>INV13740</v>
      </c>
      <c r="AC1020" s="5" t="str">
        <f>IFERROR(VLOOKUP(D1020,CAARStatus!$A$2:$AA$1600,22,FALSE),"Not invoiced")</f>
        <v>Approved</v>
      </c>
      <c r="AD1020" s="11" t="str">
        <f>IF(AC1020="Paid",IFERROR(VLOOKUP(D1020,CAARStatus!$A$2:$AA$1600,6,FALSE),"Pending"),"Pending")</f>
        <v>Pending</v>
      </c>
      <c r="AE1020" s="5" t="str">
        <f t="shared" si="342"/>
        <v>4501315104</v>
      </c>
      <c r="AF1020" s="5" t="str">
        <f t="shared" si="343"/>
        <v>Barrick Gold - Pueblo Viejo Dominicana Corporation</v>
      </c>
      <c r="AG1020" s="5" t="str">
        <f t="shared" si="344"/>
        <v>USD</v>
      </c>
      <c r="AH1020" s="5">
        <f t="shared" si="345"/>
        <v>8962.1725367928775</v>
      </c>
      <c r="AI1020" s="12">
        <f>IF(L1020-N1020=0,VLOOKUP(U1020,rate!A$4:B$15,2,FALSE)*AH1020,IF(AG1020="USD",O1020,AH1020*Y1020))</f>
        <v>6387.56</v>
      </c>
      <c r="AJ1020" s="13">
        <f t="shared" si="346"/>
        <v>0.71272450667255227</v>
      </c>
      <c r="AK1020" s="13">
        <f>-IF(AG1020="CAD",IFERROR(VLOOKUP(D1020,CAARStatus!$A$1:$Y$1600,16,FALSE),0),0)</f>
        <v>0</v>
      </c>
      <c r="AL1020" s="13">
        <f>-IF(AG1020="USD",IFERROR(VLOOKUP(D1020,CAARStatus!$A$1:$Y$1600,11,FALSE),0),0)</f>
        <v>-998.44</v>
      </c>
      <c r="AM1020" s="22" t="str">
        <f t="shared" si="347"/>
        <v/>
      </c>
      <c r="AN1020" s="12">
        <f t="shared" si="348"/>
        <v>5389.1200000000008</v>
      </c>
      <c r="AO1020" s="12" t="str">
        <f t="shared" si="349"/>
        <v>Pend</v>
      </c>
      <c r="AP1020" t="str">
        <f t="shared" si="334"/>
        <v>XX</v>
      </c>
      <c r="AQ1020" t="str">
        <f>IFERROR(VLOOKUP(Z1020,InvBal!$L$4:$P$600,4,FALSE),"Pend")</f>
        <v>Yes</v>
      </c>
      <c r="AR1020" t="str">
        <f>IFERROR(VLOOKUP(D1020,Manual!$C$1:$E$22,2,FALSE),"Pend")</f>
        <v>Pend</v>
      </c>
      <c r="AS1020" t="str">
        <f t="shared" si="350"/>
        <v>Yes</v>
      </c>
      <c r="AT1020" t="str">
        <f t="shared" si="351"/>
        <v>Yes</v>
      </c>
      <c r="AU1020" s="51" t="str">
        <f t="shared" si="352"/>
        <v>Yes</v>
      </c>
      <c r="AV1020" s="12">
        <f>IFERROR(VLOOKUP(D1020,'Receivable Invoice Detail'!$S$1:$U$3014,3,FALSE),0)</f>
        <v>0</v>
      </c>
      <c r="AW1020" s="12">
        <f t="shared" si="353"/>
        <v>6387.56</v>
      </c>
    </row>
    <row r="1021" spans="1:49" x14ac:dyDescent="0.25">
      <c r="A1021" s="2"/>
      <c r="B1021" s="2"/>
      <c r="C1021" s="2"/>
      <c r="D1021" s="2" t="s">
        <v>3302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>
        <f t="shared" si="335"/>
        <v>2</v>
      </c>
      <c r="U1021" s="18">
        <f t="shared" si="336"/>
        <v>9</v>
      </c>
      <c r="V1021" s="18">
        <f t="shared" si="337"/>
        <v>2025</v>
      </c>
      <c r="W1021" s="18" t="str">
        <f t="shared" si="338"/>
        <v/>
      </c>
      <c r="X1021" s="18" t="str">
        <f t="shared" si="339"/>
        <v/>
      </c>
      <c r="Y1021" s="2">
        <f t="shared" si="332"/>
        <v>0.71272450667255227</v>
      </c>
      <c r="Z1021" t="str">
        <f t="shared" si="333"/>
        <v>SO17939</v>
      </c>
      <c r="AA1021" s="11">
        <f t="shared" si="340"/>
        <v>45929.461099537039</v>
      </c>
      <c r="AB1021" s="5" t="str">
        <f t="shared" si="341"/>
        <v>INV13575</v>
      </c>
      <c r="AC1021" s="5" t="str">
        <f>IFERROR(VLOOKUP(D1021,CAARStatus!$A$2:$AA$1600,22,FALSE),"Not invoiced")</f>
        <v>Approved</v>
      </c>
      <c r="AD1021" s="11" t="str">
        <f>IF(AC1021="Paid",IFERROR(VLOOKUP(D1021,CAARStatus!$A$2:$AA$1600,6,FALSE),"Pending"),"Pending")</f>
        <v>Pending</v>
      </c>
      <c r="AE1021" s="5" t="str">
        <f t="shared" si="342"/>
        <v>4501315104</v>
      </c>
      <c r="AF1021" s="5" t="str">
        <f t="shared" si="343"/>
        <v>Barrick Gold - Pueblo Viejo Dominicana Corporation</v>
      </c>
      <c r="AG1021" s="5" t="str">
        <f t="shared" si="344"/>
        <v>USD</v>
      </c>
      <c r="AH1021" s="5">
        <f t="shared" si="345"/>
        <v>0</v>
      </c>
      <c r="AI1021" s="12">
        <f>IF(L1021-N1021=0,VLOOKUP(U1021,rate!A$4:B$15,2,FALSE)*AH1021,IF(AG1021="USD",O1021,AH1021*Y1021))</f>
        <v>0</v>
      </c>
      <c r="AJ1021" s="13">
        <f t="shared" si="346"/>
        <v>0</v>
      </c>
      <c r="AK1021" s="13">
        <f>-IF(AG1021="CAD",IFERROR(VLOOKUP(D1021,CAARStatus!$A$1:$Y$1600,16,FALSE),0),0)</f>
        <v>0</v>
      </c>
      <c r="AL1021" s="13">
        <f>-IF(AG1021="USD",IFERROR(VLOOKUP(D1021,CAARStatus!$A$1:$Y$1600,11,FALSE),0),0)</f>
        <v>-5389.12</v>
      </c>
      <c r="AM1021" s="22" t="str">
        <f t="shared" si="347"/>
        <v/>
      </c>
      <c r="AN1021" s="12">
        <f t="shared" si="348"/>
        <v>-5389.12</v>
      </c>
      <c r="AO1021" s="12" t="str">
        <f t="shared" si="349"/>
        <v>Pend</v>
      </c>
      <c r="AP1021" t="str">
        <f t="shared" si="334"/>
        <v>XX</v>
      </c>
      <c r="AQ1021" t="str">
        <f>IFERROR(VLOOKUP(Z1021,InvBal!$L$4:$P$600,4,FALSE),"Pend")</f>
        <v>Yes</v>
      </c>
      <c r="AR1021" t="str">
        <f>IFERROR(VLOOKUP(D1021,Manual!$C$1:$E$22,2,FALSE),"Pend")</f>
        <v>Pend</v>
      </c>
      <c r="AS1021" t="str">
        <f t="shared" si="350"/>
        <v>Yes</v>
      </c>
      <c r="AT1021" t="str">
        <f t="shared" si="351"/>
        <v/>
      </c>
      <c r="AU1021" s="51" t="str">
        <f t="shared" si="352"/>
        <v/>
      </c>
      <c r="AV1021" s="12">
        <f>IFERROR(VLOOKUP(D1021,'Receivable Invoice Detail'!$S$1:$U$3014,3,FALSE),0)</f>
        <v>0</v>
      </c>
      <c r="AW1021" s="12">
        <f t="shared" si="353"/>
        <v>0</v>
      </c>
    </row>
    <row r="1022" spans="1:49" x14ac:dyDescent="0.25">
      <c r="A1022" s="2">
        <v>1</v>
      </c>
      <c r="B1022" s="2" t="s">
        <v>525</v>
      </c>
      <c r="C1022" s="2" t="s">
        <v>526</v>
      </c>
      <c r="D1022" s="2" t="s">
        <v>3239</v>
      </c>
      <c r="E1022" s="2" t="s">
        <v>242</v>
      </c>
      <c r="F1022" s="3">
        <v>45929.522847222222</v>
      </c>
      <c r="G1022" s="3">
        <v>45929.72384259259</v>
      </c>
      <c r="H1022" s="4">
        <v>45936</v>
      </c>
      <c r="I1022" s="2" t="s">
        <v>36</v>
      </c>
      <c r="J1022" s="2" t="s">
        <v>22</v>
      </c>
      <c r="K1022" s="2">
        <v>1</v>
      </c>
      <c r="L1022" s="2">
        <v>2758.72</v>
      </c>
      <c r="M1022" s="2">
        <v>0</v>
      </c>
      <c r="N1022" s="2">
        <v>1983.990676461091</v>
      </c>
      <c r="O1022" s="2">
        <v>2627.35</v>
      </c>
      <c r="P1022" s="2">
        <v>131.37</v>
      </c>
      <c r="Q1022" s="2">
        <v>2758.72</v>
      </c>
      <c r="R1022" s="2" t="s">
        <v>44</v>
      </c>
      <c r="S1022" s="2"/>
      <c r="T1022" s="2">
        <f t="shared" si="335"/>
        <v>1</v>
      </c>
      <c r="U1022" s="18">
        <f t="shared" si="336"/>
        <v>9</v>
      </c>
      <c r="V1022" s="18">
        <f t="shared" si="337"/>
        <v>2025</v>
      </c>
      <c r="W1022" s="18">
        <f t="shared" si="338"/>
        <v>11</v>
      </c>
      <c r="X1022" s="18">
        <f t="shared" si="339"/>
        <v>2025</v>
      </c>
      <c r="Y1022" s="2">
        <f t="shared" si="332"/>
        <v>0.71917073007086296</v>
      </c>
      <c r="Z1022" t="str">
        <f t="shared" si="333"/>
        <v>SO17941</v>
      </c>
      <c r="AA1022" s="11">
        <f t="shared" si="340"/>
        <v>45929.522847222222</v>
      </c>
      <c r="AB1022" s="5" t="str">
        <f t="shared" si="341"/>
        <v>INV13484</v>
      </c>
      <c r="AC1022" s="5" t="str">
        <f>IFERROR(VLOOKUP(D1022,CAARStatus!$A$2:$AA$1600,22,FALSE),"Not invoiced")</f>
        <v>Paid</v>
      </c>
      <c r="AD1022" s="11">
        <f>IF(AC1022="Paid",IFERROR(VLOOKUP(D1022,CAARStatus!$A$2:$AA$1600,6,FALSE),"Pending"),"Pending")</f>
        <v>45973</v>
      </c>
      <c r="AE1022" s="5" t="str">
        <f t="shared" si="342"/>
        <v>2100662768</v>
      </c>
      <c r="AF1022" s="5" t="str">
        <f t="shared" si="343"/>
        <v>Wajax Limited - Noranda</v>
      </c>
      <c r="AG1022" s="5" t="str">
        <f t="shared" si="344"/>
        <v>CAD</v>
      </c>
      <c r="AH1022" s="5">
        <f t="shared" si="345"/>
        <v>2627.35</v>
      </c>
      <c r="AI1022" s="12">
        <f>IF(L1022-N1022=0,VLOOKUP(U1022,rate!A$4:B$15,2,FALSE)*AH1022,IF(AG1022="USD",O1022,AH1022*Y1022))</f>
        <v>1889.5132176516818</v>
      </c>
      <c r="AJ1022" s="13">
        <f t="shared" si="346"/>
        <v>0.71917073007086296</v>
      </c>
      <c r="AK1022" s="13">
        <f>-IF(AG1022="CAD",IFERROR(VLOOKUP(D1022,CAARStatus!$A$1:$Y$1600,16,FALSE),0),0)</f>
        <v>-2627.35</v>
      </c>
      <c r="AL1022" s="13">
        <f>-IF(AG1022="USD",IFERROR(VLOOKUP(D1022,CAARStatus!$A$1:$Y$1600,11,FALSE),0),0)</f>
        <v>0</v>
      </c>
      <c r="AM1022" s="22">
        <f t="shared" si="347"/>
        <v>0</v>
      </c>
      <c r="AN1022" s="12" t="str">
        <f t="shared" si="348"/>
        <v/>
      </c>
      <c r="AO1022" s="12" t="str">
        <f t="shared" si="349"/>
        <v>Yes</v>
      </c>
      <c r="AP1022" t="str">
        <f t="shared" si="334"/>
        <v>Yes</v>
      </c>
      <c r="AQ1022" t="str">
        <f>IFERROR(VLOOKUP(Z1022,InvBal!$L$4:$P$600,4,FALSE),"Pend")</f>
        <v>Pend</v>
      </c>
      <c r="AR1022" t="str">
        <f>IFERROR(VLOOKUP(D1022,Manual!$C$1:$E$22,2,FALSE),"Pend")</f>
        <v>Pend</v>
      </c>
      <c r="AS1022" t="str">
        <f t="shared" si="350"/>
        <v>Yes</v>
      </c>
      <c r="AT1022" t="str">
        <f t="shared" si="351"/>
        <v>Yes</v>
      </c>
      <c r="AU1022" s="51" t="str">
        <f t="shared" si="352"/>
        <v>Yes</v>
      </c>
      <c r="AV1022" s="12">
        <f>IFERROR(VLOOKUP(D1022,'Receivable Invoice Detail'!$S$1:$U$3014,3,FALSE),0)</f>
        <v>0</v>
      </c>
      <c r="AW1022" s="12">
        <f t="shared" si="353"/>
        <v>1889.5132176516818</v>
      </c>
    </row>
    <row r="1023" spans="1:49" x14ac:dyDescent="0.25">
      <c r="A1023" s="2">
        <v>1</v>
      </c>
      <c r="B1023" s="2" t="s">
        <v>510</v>
      </c>
      <c r="C1023" s="2" t="s">
        <v>511</v>
      </c>
      <c r="D1023" s="2" t="s">
        <v>3247</v>
      </c>
      <c r="E1023" s="2" t="s">
        <v>242</v>
      </c>
      <c r="F1023" s="3">
        <v>45929.547326388893</v>
      </c>
      <c r="G1023" s="3">
        <v>45931.599930555552</v>
      </c>
      <c r="H1023" s="4">
        <v>45940</v>
      </c>
      <c r="I1023" s="2" t="s">
        <v>74</v>
      </c>
      <c r="J1023" s="2" t="s">
        <v>22</v>
      </c>
      <c r="K1023" s="2">
        <v>1</v>
      </c>
      <c r="L1023" s="2">
        <v>177.02</v>
      </c>
      <c r="M1023" s="2">
        <v>0</v>
      </c>
      <c r="N1023" s="2">
        <v>126.8978436380894</v>
      </c>
      <c r="O1023" s="2">
        <v>168.59</v>
      </c>
      <c r="P1023" s="2">
        <v>8.43</v>
      </c>
      <c r="Q1023" s="2">
        <v>177.02</v>
      </c>
      <c r="R1023" s="2" t="s">
        <v>44</v>
      </c>
      <c r="S1023" s="2"/>
      <c r="T1023" s="2">
        <f t="shared" si="335"/>
        <v>1</v>
      </c>
      <c r="U1023" s="18">
        <f t="shared" si="336"/>
        <v>9</v>
      </c>
      <c r="V1023" s="18">
        <f t="shared" si="337"/>
        <v>2025</v>
      </c>
      <c r="W1023" s="18">
        <f t="shared" si="338"/>
        <v>11</v>
      </c>
      <c r="X1023" s="18">
        <f t="shared" si="339"/>
        <v>2025</v>
      </c>
      <c r="Y1023" s="2">
        <f t="shared" si="332"/>
        <v>0.71685596903225279</v>
      </c>
      <c r="Z1023" t="str">
        <f t="shared" si="333"/>
        <v>SO17942</v>
      </c>
      <c r="AA1023" s="11">
        <f t="shared" si="340"/>
        <v>45929.547326388893</v>
      </c>
      <c r="AB1023" s="5" t="str">
        <f t="shared" si="341"/>
        <v>INV13487</v>
      </c>
      <c r="AC1023" s="5" t="str">
        <f>IFERROR(VLOOKUP(D1023,CAARStatus!$A$2:$AA$1600,22,FALSE),"Not invoiced")</f>
        <v>Paid</v>
      </c>
      <c r="AD1023" s="11">
        <f>IF(AC1023="Paid",IFERROR(VLOOKUP(D1023,CAARStatus!$A$2:$AA$1600,6,FALSE),"Pending"),"Pending")</f>
        <v>45973</v>
      </c>
      <c r="AE1023" s="5" t="str">
        <f t="shared" si="342"/>
        <v>2100664302</v>
      </c>
      <c r="AF1023" s="5" t="str">
        <f t="shared" si="343"/>
        <v>Wajax Limited - Noranda</v>
      </c>
      <c r="AG1023" s="5" t="str">
        <f t="shared" si="344"/>
        <v>CAD</v>
      </c>
      <c r="AH1023" s="5">
        <f t="shared" si="345"/>
        <v>168.59</v>
      </c>
      <c r="AI1023" s="12">
        <f>IF(L1023-N1023=0,VLOOKUP(U1023,rate!A$4:B$15,2,FALSE)*AH1023,IF(AG1023="USD",O1023,AH1023*Y1023))</f>
        <v>120.85474781914751</v>
      </c>
      <c r="AJ1023" s="13">
        <f t="shared" si="346"/>
        <v>0.71685596903225279</v>
      </c>
      <c r="AK1023" s="13">
        <f>-IF(AG1023="CAD",IFERROR(VLOOKUP(D1023,CAARStatus!$A$1:$Y$1600,16,FALSE),0),0)</f>
        <v>-168.59</v>
      </c>
      <c r="AL1023" s="13">
        <f>-IF(AG1023="USD",IFERROR(VLOOKUP(D1023,CAARStatus!$A$1:$Y$1600,11,FALSE),0),0)</f>
        <v>0</v>
      </c>
      <c r="AM1023" s="22">
        <f t="shared" si="347"/>
        <v>0</v>
      </c>
      <c r="AN1023" s="12" t="str">
        <f t="shared" si="348"/>
        <v/>
      </c>
      <c r="AO1023" s="12" t="str">
        <f t="shared" si="349"/>
        <v>Yes</v>
      </c>
      <c r="AP1023" t="str">
        <f t="shared" si="334"/>
        <v>Yes</v>
      </c>
      <c r="AQ1023" t="str">
        <f>IFERROR(VLOOKUP(Z1023,InvBal!$L$4:$P$600,4,FALSE),"Pend")</f>
        <v>Pend</v>
      </c>
      <c r="AR1023" t="str">
        <f>IFERROR(VLOOKUP(D1023,Manual!$C$1:$E$22,2,FALSE),"Pend")</f>
        <v>Pend</v>
      </c>
      <c r="AS1023" t="str">
        <f t="shared" si="350"/>
        <v>Yes</v>
      </c>
      <c r="AT1023" t="str">
        <f t="shared" si="351"/>
        <v>Yes</v>
      </c>
      <c r="AU1023" s="51" t="str">
        <f t="shared" si="352"/>
        <v>Yes</v>
      </c>
      <c r="AV1023" s="12">
        <f>IFERROR(VLOOKUP(D1023,'Receivable Invoice Detail'!$S$1:$U$3014,3,FALSE),0)</f>
        <v>0</v>
      </c>
      <c r="AW1023" s="12">
        <f t="shared" si="353"/>
        <v>120.85474781914751</v>
      </c>
    </row>
    <row r="1024" spans="1:49" ht="30" x14ac:dyDescent="0.25">
      <c r="A1024" s="2">
        <v>1</v>
      </c>
      <c r="B1024" s="2" t="s">
        <v>489</v>
      </c>
      <c r="C1024" s="2" t="s">
        <v>490</v>
      </c>
      <c r="D1024" s="2" t="s">
        <v>3255</v>
      </c>
      <c r="E1024" s="2" t="s">
        <v>39</v>
      </c>
      <c r="F1024" s="3">
        <v>45929.639178240737</v>
      </c>
      <c r="G1024" s="3">
        <v>45932.768784722219</v>
      </c>
      <c r="H1024" s="4">
        <v>45939</v>
      </c>
      <c r="I1024" s="2" t="s">
        <v>36</v>
      </c>
      <c r="J1024" s="2" t="s">
        <v>22</v>
      </c>
      <c r="K1024" s="2">
        <v>1</v>
      </c>
      <c r="L1024" s="2">
        <v>5540.37</v>
      </c>
      <c r="M1024" s="2">
        <v>0</v>
      </c>
      <c r="N1024" s="2">
        <v>3963.9720676556408</v>
      </c>
      <c r="O1024" s="2">
        <v>5276.54</v>
      </c>
      <c r="P1024" s="2">
        <v>263.83</v>
      </c>
      <c r="Q1024" s="2">
        <v>5540.37</v>
      </c>
      <c r="R1024" s="2" t="s">
        <v>44</v>
      </c>
      <c r="S1024" s="2"/>
      <c r="T1024" s="2">
        <f t="shared" si="335"/>
        <v>1</v>
      </c>
      <c r="U1024" s="18">
        <f t="shared" si="336"/>
        <v>9</v>
      </c>
      <c r="V1024" s="18">
        <f t="shared" si="337"/>
        <v>2025</v>
      </c>
      <c r="W1024" s="18">
        <f t="shared" si="338"/>
        <v>11</v>
      </c>
      <c r="X1024" s="18">
        <f t="shared" si="339"/>
        <v>2025</v>
      </c>
      <c r="Y1024" s="2">
        <f t="shared" si="332"/>
        <v>0.71547063962436463</v>
      </c>
      <c r="Z1024" t="str">
        <f t="shared" si="333"/>
        <v>SO17944</v>
      </c>
      <c r="AA1024" s="11">
        <f t="shared" si="340"/>
        <v>45929.639178240737</v>
      </c>
      <c r="AB1024" s="5" t="str">
        <f t="shared" si="341"/>
        <v>INV13492</v>
      </c>
      <c r="AC1024" s="5" t="str">
        <f>IFERROR(VLOOKUP(D1024,CAARStatus!$A$2:$AA$1600,22,FALSE),"Not invoiced")</f>
        <v>Paid</v>
      </c>
      <c r="AD1024" s="11">
        <f>IF(AC1024="Paid",IFERROR(VLOOKUP(D1024,CAARStatus!$A$2:$AA$1600,6,FALSE),"Pending"),"Pending")</f>
        <v>45967</v>
      </c>
      <c r="AE1024" s="5" t="str">
        <f t="shared" si="342"/>
        <v>BC65-00081961</v>
      </c>
      <c r="AF1024" s="5" t="str">
        <f t="shared" si="343"/>
        <v>Motion Industries Inc. (Canada) - Prince George</v>
      </c>
      <c r="AG1024" s="5" t="str">
        <f t="shared" si="344"/>
        <v>CAD</v>
      </c>
      <c r="AH1024" s="5">
        <f t="shared" si="345"/>
        <v>5276.54</v>
      </c>
      <c r="AI1024" s="12">
        <f>IF(L1024-N1024=0,VLOOKUP(U1024,rate!A$4:B$15,2,FALSE)*AH1024,IF(AG1024="USD",O1024,AH1024*Y1024))</f>
        <v>3775.209448803545</v>
      </c>
      <c r="AJ1024" s="13">
        <f t="shared" si="346"/>
        <v>0.71547063962436463</v>
      </c>
      <c r="AK1024" s="13">
        <f>-IF(AG1024="CAD",IFERROR(VLOOKUP(D1024,CAARStatus!$A$1:$Y$1600,16,FALSE),0),0)</f>
        <v>-5276.54</v>
      </c>
      <c r="AL1024" s="13">
        <f>-IF(AG1024="USD",IFERROR(VLOOKUP(D1024,CAARStatus!$A$1:$Y$1600,11,FALSE),0),0)</f>
        <v>0</v>
      </c>
      <c r="AM1024" s="22">
        <f t="shared" si="347"/>
        <v>0</v>
      </c>
      <c r="AN1024" s="12" t="str">
        <f t="shared" si="348"/>
        <v/>
      </c>
      <c r="AO1024" s="12" t="str">
        <f t="shared" si="349"/>
        <v>Yes</v>
      </c>
      <c r="AP1024" t="str">
        <f t="shared" si="334"/>
        <v>Yes</v>
      </c>
      <c r="AQ1024" t="str">
        <f>IFERROR(VLOOKUP(Z1024,InvBal!$L$4:$P$600,4,FALSE),"Pend")</f>
        <v>Pend</v>
      </c>
      <c r="AR1024" t="str">
        <f>IFERROR(VLOOKUP(D1024,Manual!$C$1:$E$22,2,FALSE),"Pend")</f>
        <v>Pend</v>
      </c>
      <c r="AS1024" t="str">
        <f t="shared" si="350"/>
        <v>Yes</v>
      </c>
      <c r="AT1024" t="str">
        <f t="shared" si="351"/>
        <v>Yes</v>
      </c>
      <c r="AU1024" s="51" t="str">
        <f t="shared" si="352"/>
        <v>Yes</v>
      </c>
      <c r="AV1024" s="12">
        <f>IFERROR(VLOOKUP(D1024,'Receivable Invoice Detail'!$S$1:$U$3014,3,FALSE),0)</f>
        <v>0</v>
      </c>
      <c r="AW1024" s="12">
        <f t="shared" si="353"/>
        <v>3775.209448803545</v>
      </c>
    </row>
    <row r="1025" spans="1:49" ht="30" x14ac:dyDescent="0.25">
      <c r="A1025" s="2">
        <v>1</v>
      </c>
      <c r="B1025" s="2" t="s">
        <v>523</v>
      </c>
      <c r="C1025" s="2" t="s">
        <v>524</v>
      </c>
      <c r="D1025" s="2" t="s">
        <v>3240</v>
      </c>
      <c r="E1025" s="2" t="s">
        <v>20</v>
      </c>
      <c r="F1025" s="3">
        <v>45929.763703703713</v>
      </c>
      <c r="G1025" s="3">
        <v>45929.7653587963</v>
      </c>
      <c r="H1025" s="4">
        <v>45936</v>
      </c>
      <c r="I1025" s="2" t="s">
        <v>36</v>
      </c>
      <c r="J1025" s="2" t="s">
        <v>22</v>
      </c>
      <c r="K1025" s="2">
        <v>1</v>
      </c>
      <c r="L1025" s="2">
        <v>1004.5</v>
      </c>
      <c r="M1025" s="2">
        <v>0</v>
      </c>
      <c r="N1025" s="2">
        <v>722.40699835618193</v>
      </c>
      <c r="O1025" s="2">
        <v>956.66</v>
      </c>
      <c r="P1025" s="2">
        <v>47.84</v>
      </c>
      <c r="Q1025" s="2">
        <v>1004.5</v>
      </c>
      <c r="R1025" s="2" t="s">
        <v>44</v>
      </c>
      <c r="S1025" s="2"/>
      <c r="T1025" s="2">
        <f t="shared" si="335"/>
        <v>1</v>
      </c>
      <c r="U1025" s="18">
        <f t="shared" si="336"/>
        <v>9</v>
      </c>
      <c r="V1025" s="18">
        <f t="shared" si="337"/>
        <v>2025</v>
      </c>
      <c r="W1025" s="18">
        <f t="shared" si="338"/>
        <v>11</v>
      </c>
      <c r="X1025" s="18">
        <f t="shared" si="339"/>
        <v>2025</v>
      </c>
      <c r="Y1025" s="2">
        <f t="shared" si="332"/>
        <v>0.71917073007086307</v>
      </c>
      <c r="Z1025" t="str">
        <f t="shared" si="333"/>
        <v>SO17945</v>
      </c>
      <c r="AA1025" s="11">
        <f t="shared" si="340"/>
        <v>45929.763703703713</v>
      </c>
      <c r="AB1025" s="5" t="str">
        <f t="shared" si="341"/>
        <v>INV13474</v>
      </c>
      <c r="AC1025" s="5" t="str">
        <f>IFERROR(VLOOKUP(D1025,CAARStatus!$A$2:$AA$1600,22,FALSE),"Not invoiced")</f>
        <v>Paid</v>
      </c>
      <c r="AD1025" s="11">
        <f>IF(AC1025="Paid",IFERROR(VLOOKUP(D1025,CAARStatus!$A$2:$AA$1600,6,FALSE),"Pending"),"Pending")</f>
        <v>45989</v>
      </c>
      <c r="AE1025" s="5" t="str">
        <f t="shared" si="342"/>
        <v>4500615207</v>
      </c>
      <c r="AF1025" s="5" t="str">
        <f t="shared" si="343"/>
        <v>Resolute Forest Products - Saint-Felicien</v>
      </c>
      <c r="AG1025" s="5" t="str">
        <f t="shared" si="344"/>
        <v>CAD</v>
      </c>
      <c r="AH1025" s="5">
        <f t="shared" si="345"/>
        <v>956.66</v>
      </c>
      <c r="AI1025" s="12">
        <f>IF(L1025-N1025=0,VLOOKUP(U1025,rate!A$4:B$15,2,FALSE)*AH1025,IF(AG1025="USD",O1025,AH1025*Y1025))</f>
        <v>688.00187062959185</v>
      </c>
      <c r="AJ1025" s="13">
        <f t="shared" si="346"/>
        <v>0.71917073007086307</v>
      </c>
      <c r="AK1025" s="13">
        <f>-IF(AG1025="CAD",IFERROR(VLOOKUP(D1025,CAARStatus!$A$1:$Y$1600,16,FALSE),0),0)</f>
        <v>-956.66</v>
      </c>
      <c r="AL1025" s="13">
        <f>-IF(AG1025="USD",IFERROR(VLOOKUP(D1025,CAARStatus!$A$1:$Y$1600,11,FALSE),0),0)</f>
        <v>0</v>
      </c>
      <c r="AM1025" s="22">
        <f t="shared" si="347"/>
        <v>0</v>
      </c>
      <c r="AN1025" s="12" t="str">
        <f t="shared" si="348"/>
        <v/>
      </c>
      <c r="AO1025" s="12" t="str">
        <f t="shared" si="349"/>
        <v>Yes</v>
      </c>
      <c r="AP1025" t="str">
        <f t="shared" si="334"/>
        <v>Yes</v>
      </c>
      <c r="AQ1025" t="str">
        <f>IFERROR(VLOOKUP(Z1025,InvBal!$L$4:$P$600,4,FALSE),"Pend")</f>
        <v>Pend</v>
      </c>
      <c r="AR1025" t="str">
        <f>IFERROR(VLOOKUP(D1025,Manual!$C$1:$E$22,2,FALSE),"Pend")</f>
        <v>Pend</v>
      </c>
      <c r="AS1025" t="str">
        <f t="shared" si="350"/>
        <v>Yes</v>
      </c>
      <c r="AT1025" t="str">
        <f t="shared" si="351"/>
        <v>Yes</v>
      </c>
      <c r="AU1025" s="51" t="str">
        <f t="shared" si="352"/>
        <v>Yes</v>
      </c>
      <c r="AV1025" s="12">
        <f>IFERROR(VLOOKUP(D1025,'Receivable Invoice Detail'!$S$1:$U$3014,3,FALSE),0)</f>
        <v>0</v>
      </c>
      <c r="AW1025" s="12">
        <f t="shared" si="353"/>
        <v>688.00187062959185</v>
      </c>
    </row>
    <row r="1026" spans="1:49" ht="30" x14ac:dyDescent="0.25">
      <c r="A1026" s="2">
        <v>1</v>
      </c>
      <c r="B1026" s="2" t="s">
        <v>521</v>
      </c>
      <c r="C1026" s="2" t="s">
        <v>522</v>
      </c>
      <c r="D1026" s="2" t="s">
        <v>3241</v>
      </c>
      <c r="E1026" s="2" t="s">
        <v>129</v>
      </c>
      <c r="F1026" s="3">
        <v>45929.766643518517</v>
      </c>
      <c r="G1026" s="3">
        <v>45929.76666666667</v>
      </c>
      <c r="H1026" s="4">
        <v>45930</v>
      </c>
      <c r="I1026" s="2" t="s">
        <v>130</v>
      </c>
      <c r="J1026" s="2" t="s">
        <v>51</v>
      </c>
      <c r="K1026" s="2">
        <v>0.71776007247498441</v>
      </c>
      <c r="L1026" s="2">
        <v>1345.8536313799591</v>
      </c>
      <c r="M1026" s="2">
        <v>0</v>
      </c>
      <c r="N1026" s="2">
        <v>966</v>
      </c>
      <c r="O1026" s="2">
        <v>966</v>
      </c>
      <c r="P1026" s="2"/>
      <c r="Q1026" s="2">
        <v>966</v>
      </c>
      <c r="R1026" s="2" t="s">
        <v>44</v>
      </c>
      <c r="S1026" s="2"/>
      <c r="T1026" s="2">
        <f t="shared" si="335"/>
        <v>1</v>
      </c>
      <c r="U1026" s="18">
        <f t="shared" si="336"/>
        <v>9</v>
      </c>
      <c r="V1026" s="18">
        <f t="shared" si="337"/>
        <v>2025</v>
      </c>
      <c r="W1026" s="18" t="str">
        <f t="shared" si="338"/>
        <v/>
      </c>
      <c r="X1026" s="18" t="str">
        <f t="shared" si="339"/>
        <v/>
      </c>
      <c r="Y1026" s="2">
        <f t="shared" ref="Y1026:Y1089" si="354">IF(C1026="",Y1025,N1026/L1026)</f>
        <v>0.71776007247498408</v>
      </c>
      <c r="Z1026" t="str">
        <f t="shared" ref="Z1026:Z1089" si="355">IF(B1026="",Z1025,B1026)</f>
        <v>SO17946</v>
      </c>
      <c r="AA1026" s="11">
        <f t="shared" si="340"/>
        <v>45929.766643518517</v>
      </c>
      <c r="AB1026" s="5" t="str">
        <f t="shared" si="341"/>
        <v>INV13471</v>
      </c>
      <c r="AC1026" s="5" t="str">
        <f>IFERROR(VLOOKUP(D1026,CAARStatus!$A$2:$AA$1600,22,FALSE),"Not invoiced")</f>
        <v>Approved</v>
      </c>
      <c r="AD1026" s="11" t="str">
        <f>IF(AC1026="Paid",IFERROR(VLOOKUP(D1026,CAARStatus!$A$2:$AA$1600,6,FALSE),"Pending"),"Pending")</f>
        <v>Pending</v>
      </c>
      <c r="AE1026" s="5" t="str">
        <f t="shared" si="342"/>
        <v>OC00214</v>
      </c>
      <c r="AF1026" s="5" t="str">
        <f t="shared" si="343"/>
        <v>Dynapro Pumps México S de RL de CV</v>
      </c>
      <c r="AG1026" s="5" t="str">
        <f t="shared" si="344"/>
        <v>USD</v>
      </c>
      <c r="AH1026" s="5">
        <f t="shared" si="345"/>
        <v>1345.8536313799586</v>
      </c>
      <c r="AI1026" s="12">
        <f>IF(L1026-N1026=0,VLOOKUP(U1026,rate!A$4:B$15,2,FALSE)*AH1026,IF(AG1026="USD",O1026,AH1026*Y1026))</f>
        <v>966</v>
      </c>
      <c r="AJ1026" s="13">
        <f t="shared" si="346"/>
        <v>0.71776007247498441</v>
      </c>
      <c r="AK1026" s="13">
        <f>-IF(AG1026="CAD",IFERROR(VLOOKUP(D1026,CAARStatus!$A$1:$Y$1600,16,FALSE),0),0)</f>
        <v>0</v>
      </c>
      <c r="AL1026" s="13">
        <f>-IF(AG1026="USD",IFERROR(VLOOKUP(D1026,CAARStatus!$A$1:$Y$1600,11,FALSE),0),0)</f>
        <v>-966</v>
      </c>
      <c r="AM1026" s="22" t="str">
        <f t="shared" si="347"/>
        <v/>
      </c>
      <c r="AN1026" s="12">
        <f t="shared" si="348"/>
        <v>0</v>
      </c>
      <c r="AO1026" s="12" t="str">
        <f t="shared" si="349"/>
        <v>Pend</v>
      </c>
      <c r="AP1026" t="str">
        <f t="shared" ref="AP1026:AP1089" si="356">IF(AND(AO1026="Pend",T1026&lt;2),"Pend",IF(T1026=1,"Yes","XX"))</f>
        <v>Pend</v>
      </c>
      <c r="AQ1026" t="str">
        <f>IFERROR(VLOOKUP(Z1026,InvBal!$L$4:$P$600,4,FALSE),"Pend")</f>
        <v>Pend</v>
      </c>
      <c r="AR1026" t="str">
        <f>IFERROR(VLOOKUP(D1026,Manual!$C$1:$E$22,2,FALSE),"Pend")</f>
        <v>Pend</v>
      </c>
      <c r="AS1026" t="str">
        <f t="shared" si="350"/>
        <v/>
      </c>
      <c r="AT1026" t="str">
        <f t="shared" si="351"/>
        <v>Yes</v>
      </c>
      <c r="AU1026" s="51" t="str">
        <f t="shared" si="352"/>
        <v/>
      </c>
      <c r="AV1026" s="12">
        <f>IFERROR(VLOOKUP(D1026,'Receivable Invoice Detail'!$S$1:$U$3014,3,FALSE),0)</f>
        <v>0</v>
      </c>
      <c r="AW1026" s="12">
        <f t="shared" si="353"/>
        <v>0</v>
      </c>
    </row>
    <row r="1027" spans="1:49" ht="30" x14ac:dyDescent="0.25">
      <c r="A1027" s="2">
        <v>3</v>
      </c>
      <c r="B1027" s="2" t="s">
        <v>519</v>
      </c>
      <c r="C1027" s="2" t="s">
        <v>520</v>
      </c>
      <c r="D1027" s="2" t="s">
        <v>3243</v>
      </c>
      <c r="E1027" s="2" t="s">
        <v>159</v>
      </c>
      <c r="F1027" s="3">
        <v>45930.307685185187</v>
      </c>
      <c r="G1027" s="3">
        <v>45930.423263888893</v>
      </c>
      <c r="H1027" s="4">
        <v>46056</v>
      </c>
      <c r="I1027" s="2" t="s">
        <v>40</v>
      </c>
      <c r="J1027" s="2" t="s">
        <v>51</v>
      </c>
      <c r="K1027" s="2">
        <v>0.71917073007086307</v>
      </c>
      <c r="L1027" s="2">
        <v>343554.47137796431</v>
      </c>
      <c r="M1027" s="2">
        <v>0</v>
      </c>
      <c r="N1027" s="2">
        <v>247074.32</v>
      </c>
      <c r="O1027" s="2">
        <v>247074.32</v>
      </c>
      <c r="P1027" s="2"/>
      <c r="Q1027" s="2">
        <v>247074.32</v>
      </c>
      <c r="R1027" s="2" t="s">
        <v>29</v>
      </c>
      <c r="S1027" s="2"/>
      <c r="T1027" s="2">
        <f t="shared" ref="T1027:T1090" si="357">IF(A1027="",T1026,A1027)</f>
        <v>3</v>
      </c>
      <c r="U1027" s="18">
        <f t="shared" ref="U1027:U1090" si="358">IF(F1027="",U1026,MONTH(F1027))</f>
        <v>9</v>
      </c>
      <c r="V1027" s="18">
        <f t="shared" ref="V1027:V1090" si="359">IF(F1027="",V1026,YEAR(F1027))</f>
        <v>2025</v>
      </c>
      <c r="W1027" s="18" t="str">
        <f t="shared" ref="W1027:W1090" si="360">IF(AC1027="Paid",MONTH(AD1027),"")</f>
        <v/>
      </c>
      <c r="X1027" s="18" t="str">
        <f t="shared" ref="X1027:X1090" si="361">IF(AC1027="Paid",YEAR(AD1027),"")</f>
        <v/>
      </c>
      <c r="Y1027" s="17">
        <f t="shared" si="354"/>
        <v>0.71917073007086307</v>
      </c>
      <c r="Z1027" t="str">
        <f t="shared" si="355"/>
        <v>SO17947</v>
      </c>
      <c r="AA1027" s="11">
        <f t="shared" ref="AA1027:AA1090" si="362">IF(F1027="",AA1026,F1027)</f>
        <v>45930.307685185187</v>
      </c>
      <c r="AB1027" s="5" t="str">
        <f t="shared" ref="AB1027:AB1090" si="363">IF(D1027="","No Inv",D1027)</f>
        <v>INV13480</v>
      </c>
      <c r="AC1027" s="5" t="str">
        <f>IFERROR(VLOOKUP(D1027,CAARStatus!$A$2:$AA$1600,22,FALSE),"Not invoiced")</f>
        <v>Approved</v>
      </c>
      <c r="AD1027" s="11" t="str">
        <f>IF(AC1027="Paid",IFERROR(VLOOKUP(D1027,CAARStatus!$A$2:$AA$1600,6,FALSE),"Pending"),"Pending")</f>
        <v>Pending</v>
      </c>
      <c r="AE1027" s="5" t="str">
        <f t="shared" ref="AE1027:AE1090" si="364">IF(C1027="",AE1026,C1027)</f>
        <v>4501270322</v>
      </c>
      <c r="AF1027" s="5" t="str">
        <f t="shared" ref="AF1027:AF1090" si="365">IF(E1027="",AF1026,E1027)</f>
        <v>Barrick Gold - Pueblo Viejo Dominicana Corporation</v>
      </c>
      <c r="AG1027" s="5" t="str">
        <f t="shared" ref="AG1027:AG1090" si="366">IF(J1027="",AG1026,J1027)</f>
        <v>USD</v>
      </c>
      <c r="AH1027" s="5">
        <f t="shared" ref="AH1027:AH1090" si="367">IFERROR(IF(AG1027="CAD",O1027,O1027/K1027),0)</f>
        <v>343554.47137796431</v>
      </c>
      <c r="AI1027" s="12">
        <f>IF(L1027-N1027=0,VLOOKUP(U1027,rate!A$4:B$15,2,FALSE)*AH1027,IF(AG1027="USD",O1027,AH1027*Y1027))</f>
        <v>247074.32</v>
      </c>
      <c r="AJ1027" s="13">
        <f t="shared" ref="AJ1027:AJ1090" si="368">IFERROR(AI1027/AH1027,0)</f>
        <v>0.71917073007086307</v>
      </c>
      <c r="AK1027" s="13">
        <f>-IF(AG1027="CAD",IFERROR(VLOOKUP(D1027,CAARStatus!$A$1:$Y$1600,16,FALSE),0),0)</f>
        <v>0</v>
      </c>
      <c r="AL1027" s="13">
        <f>-IF(AG1027="USD",IFERROR(VLOOKUP(D1027,CAARStatus!$A$1:$Y$1600,11,FALSE),0),0)</f>
        <v>-178684.57</v>
      </c>
      <c r="AM1027" s="22" t="str">
        <f t="shared" ref="AM1027:AM1090" si="369">IF(AG1027="CAD",AH1027+AK1027,"")</f>
        <v/>
      </c>
      <c r="AN1027" s="12">
        <f t="shared" ref="AN1027:AN1090" si="370">IF(AG1027="USD",AI1027+AL1027,"")</f>
        <v>68389.75</v>
      </c>
      <c r="AO1027" s="12" t="str">
        <f t="shared" ref="AO1027:AO1090" si="371">IF(AC1027="Paid","Yes","Pend")</f>
        <v>Pend</v>
      </c>
      <c r="AP1027" t="str">
        <f t="shared" si="356"/>
        <v>XX</v>
      </c>
      <c r="AQ1027">
        <f>IFERROR(VLOOKUP(Z1027,InvBal!$L$4:$P$600,4,FALSE),"Pend")</f>
        <v>0</v>
      </c>
      <c r="AR1027" t="str">
        <f>IFERROR(VLOOKUP(D1027,Manual!$C$1:$E$22,2,FALSE),"Pend")</f>
        <v>Pend</v>
      </c>
      <c r="AS1027" t="str">
        <f t="shared" ref="AS1027:AS1090" si="372">IF(OR(AP1027="Yes",AQ1027="Yes",AR1027="Yes"),"Yes","")</f>
        <v/>
      </c>
      <c r="AT1027" t="str">
        <f t="shared" ref="AT1027:AT1090" si="373">IF(R1027="Delivered","Yes","")</f>
        <v/>
      </c>
      <c r="AU1027" s="51" t="str">
        <f t="shared" ref="AU1027:AU1090" si="374">IF(AND(AS1027="Yes",AT1027="Yes"),"Yes","")</f>
        <v/>
      </c>
      <c r="AV1027" s="12">
        <f>IFERROR(VLOOKUP(D1027,'Receivable Invoice Detail'!$S$1:$U$3014,3,FALSE),0)</f>
        <v>0</v>
      </c>
      <c r="AW1027" s="12">
        <f t="shared" ref="AW1027:AW1090" si="375">IF(AU1027="Yes",AI1027-AV1027,0)</f>
        <v>0</v>
      </c>
    </row>
    <row r="1028" spans="1:49" x14ac:dyDescent="0.25">
      <c r="A1028" s="2"/>
      <c r="B1028" s="2"/>
      <c r="C1028" s="2"/>
      <c r="D1028" s="2" t="s">
        <v>3242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f t="shared" si="357"/>
        <v>3</v>
      </c>
      <c r="U1028" s="18">
        <f t="shared" si="358"/>
        <v>9</v>
      </c>
      <c r="V1028" s="18">
        <f t="shared" si="359"/>
        <v>2025</v>
      </c>
      <c r="W1028" s="18">
        <f t="shared" si="360"/>
        <v>12</v>
      </c>
      <c r="X1028" s="18">
        <f t="shared" si="361"/>
        <v>2025</v>
      </c>
      <c r="Y1028" s="17">
        <f t="shared" si="354"/>
        <v>0.71917073007086307</v>
      </c>
      <c r="Z1028" t="str">
        <f t="shared" si="355"/>
        <v>SO17947</v>
      </c>
      <c r="AA1028" s="11">
        <f t="shared" si="362"/>
        <v>45930.307685185187</v>
      </c>
      <c r="AB1028" s="5" t="str">
        <f t="shared" si="363"/>
        <v>INV13572</v>
      </c>
      <c r="AC1028" s="5" t="str">
        <f>IFERROR(VLOOKUP(D1028,CAARStatus!$A$2:$AA$1600,22,FALSE),"Not invoiced")</f>
        <v>Paid</v>
      </c>
      <c r="AD1028" s="11">
        <f>IF(AC1028="Paid",IFERROR(VLOOKUP(D1028,CAARStatus!$A$2:$AA$1600,6,FALSE),"Pending"),"Pending")</f>
        <v>46003</v>
      </c>
      <c r="AE1028" s="5" t="str">
        <f t="shared" si="364"/>
        <v>4501270322</v>
      </c>
      <c r="AF1028" s="5" t="str">
        <f t="shared" si="365"/>
        <v>Barrick Gold - Pueblo Viejo Dominicana Corporation</v>
      </c>
      <c r="AG1028" s="5" t="str">
        <f t="shared" si="366"/>
        <v>USD</v>
      </c>
      <c r="AH1028" s="5">
        <f t="shared" si="367"/>
        <v>0</v>
      </c>
      <c r="AI1028" s="12">
        <f>IF(L1028-N1028=0,VLOOKUP(U1028,rate!A$4:B$15,2,FALSE)*AH1028,IF(AG1028="USD",O1028,AH1028*Y1028))</f>
        <v>0</v>
      </c>
      <c r="AJ1028" s="13">
        <f t="shared" si="368"/>
        <v>0</v>
      </c>
      <c r="AK1028" s="13">
        <f>-IF(AG1028="CAD",IFERROR(VLOOKUP(D1028,CAARStatus!$A$1:$Y$1600,16,FALSE),0),0)</f>
        <v>0</v>
      </c>
      <c r="AL1028" s="13">
        <f>-IF(AG1028="USD",IFERROR(VLOOKUP(D1028,CAARStatus!$A$1:$Y$1600,11,FALSE),0),0)</f>
        <v>-5214.24</v>
      </c>
      <c r="AM1028" s="22" t="str">
        <f t="shared" si="369"/>
        <v/>
      </c>
      <c r="AN1028" s="12">
        <f t="shared" si="370"/>
        <v>-5214.24</v>
      </c>
      <c r="AO1028" s="12" t="str">
        <f t="shared" si="371"/>
        <v>Yes</v>
      </c>
      <c r="AP1028" t="str">
        <f t="shared" si="356"/>
        <v>XX</v>
      </c>
      <c r="AQ1028">
        <f>IFERROR(VLOOKUP(Z1028,InvBal!$L$4:$P$600,4,FALSE),"Pend")</f>
        <v>0</v>
      </c>
      <c r="AR1028" t="str">
        <f>IFERROR(VLOOKUP(D1028,Manual!$C$1:$E$22,2,FALSE),"Pend")</f>
        <v>Pend</v>
      </c>
      <c r="AS1028" t="str">
        <f t="shared" si="372"/>
        <v/>
      </c>
      <c r="AT1028" t="str">
        <f t="shared" si="373"/>
        <v/>
      </c>
      <c r="AU1028" s="51" t="str">
        <f t="shared" si="374"/>
        <v/>
      </c>
      <c r="AV1028" s="12">
        <f>IFERROR(VLOOKUP(D1028,'Receivable Invoice Detail'!$S$1:$U$3014,3,FALSE),0)</f>
        <v>0</v>
      </c>
      <c r="AW1028" s="12">
        <f t="shared" si="375"/>
        <v>0</v>
      </c>
    </row>
    <row r="1029" spans="1:49" x14ac:dyDescent="0.25">
      <c r="A1029" s="2"/>
      <c r="B1029" s="2"/>
      <c r="C1029" s="2"/>
      <c r="D1029" s="2" t="s">
        <v>5972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f t="shared" si="357"/>
        <v>3</v>
      </c>
      <c r="U1029" s="18">
        <f t="shared" si="358"/>
        <v>9</v>
      </c>
      <c r="V1029" s="18">
        <f t="shared" si="359"/>
        <v>2025</v>
      </c>
      <c r="W1029" s="18" t="str">
        <f t="shared" si="360"/>
        <v/>
      </c>
      <c r="X1029" s="18" t="str">
        <f t="shared" si="361"/>
        <v/>
      </c>
      <c r="Y1029" s="17">
        <f t="shared" si="354"/>
        <v>0.71917073007086307</v>
      </c>
      <c r="Z1029" t="str">
        <f t="shared" si="355"/>
        <v>SO17947</v>
      </c>
      <c r="AA1029" s="11">
        <f t="shared" si="362"/>
        <v>45930.307685185187</v>
      </c>
      <c r="AB1029" s="5" t="str">
        <f t="shared" si="363"/>
        <v>INV13741</v>
      </c>
      <c r="AC1029" s="5" t="str">
        <f>IFERROR(VLOOKUP(D1029,CAARStatus!$A$2:$AA$1600,22,FALSE),"Not invoiced")</f>
        <v>Approved</v>
      </c>
      <c r="AD1029" s="11" t="str">
        <f>IF(AC1029="Paid",IFERROR(VLOOKUP(D1029,CAARStatus!$A$2:$AA$1600,6,FALSE),"Pending"),"Pending")</f>
        <v>Pending</v>
      </c>
      <c r="AE1029" s="5" t="str">
        <f t="shared" si="364"/>
        <v>4501270322</v>
      </c>
      <c r="AF1029" s="5" t="str">
        <f t="shared" si="365"/>
        <v>Barrick Gold - Pueblo Viejo Dominicana Corporation</v>
      </c>
      <c r="AG1029" s="5" t="str">
        <f t="shared" si="366"/>
        <v>USD</v>
      </c>
      <c r="AH1029" s="5">
        <f t="shared" si="367"/>
        <v>0</v>
      </c>
      <c r="AI1029" s="12">
        <f>IF(L1029-N1029=0,VLOOKUP(U1029,rate!A$4:B$15,2,FALSE)*AH1029,IF(AG1029="USD",O1029,AH1029*Y1029))</f>
        <v>0</v>
      </c>
      <c r="AJ1029" s="13">
        <f t="shared" si="368"/>
        <v>0</v>
      </c>
      <c r="AK1029" s="13">
        <f>-IF(AG1029="CAD",IFERROR(VLOOKUP(D1029,CAARStatus!$A$1:$Y$1600,16,FALSE),0),0)</f>
        <v>0</v>
      </c>
      <c r="AL1029" s="13">
        <f>-IF(AG1029="USD",IFERROR(VLOOKUP(D1029,CAARStatus!$A$1:$Y$1600,11,FALSE),0),0)</f>
        <v>-3175.32</v>
      </c>
      <c r="AM1029" s="22" t="str">
        <f t="shared" si="369"/>
        <v/>
      </c>
      <c r="AN1029" s="12">
        <f t="shared" si="370"/>
        <v>-3175.32</v>
      </c>
      <c r="AO1029" s="12" t="str">
        <f t="shared" si="371"/>
        <v>Pend</v>
      </c>
      <c r="AP1029" t="str">
        <f t="shared" si="356"/>
        <v>XX</v>
      </c>
      <c r="AQ1029">
        <f>IFERROR(VLOOKUP(Z1029,InvBal!$L$4:$P$600,4,FALSE),"Pend")</f>
        <v>0</v>
      </c>
      <c r="AR1029" t="str">
        <f>IFERROR(VLOOKUP(D1029,Manual!$C$1:$E$22,2,FALSE),"Pend")</f>
        <v>Pend</v>
      </c>
      <c r="AS1029" t="str">
        <f t="shared" si="372"/>
        <v/>
      </c>
      <c r="AT1029" t="str">
        <f t="shared" si="373"/>
        <v/>
      </c>
      <c r="AU1029" s="51" t="str">
        <f t="shared" si="374"/>
        <v/>
      </c>
      <c r="AV1029" s="12">
        <f>IFERROR(VLOOKUP(D1029,'Receivable Invoice Detail'!$S$1:$U$3014,3,FALSE),0)</f>
        <v>0</v>
      </c>
      <c r="AW1029" s="12">
        <f t="shared" si="375"/>
        <v>0</v>
      </c>
    </row>
    <row r="1030" spans="1:49" ht="30" x14ac:dyDescent="0.25">
      <c r="A1030" s="2">
        <v>1</v>
      </c>
      <c r="B1030" s="2" t="s">
        <v>345</v>
      </c>
      <c r="C1030" s="2" t="s">
        <v>346</v>
      </c>
      <c r="D1030" s="2" t="s">
        <v>4400</v>
      </c>
      <c r="E1030" s="2" t="s">
        <v>50</v>
      </c>
      <c r="F1030" s="3">
        <v>45931.573622685188</v>
      </c>
      <c r="G1030" s="3">
        <v>45954.572615740741</v>
      </c>
      <c r="H1030" s="4">
        <v>45989</v>
      </c>
      <c r="I1030" s="2" t="s">
        <v>36</v>
      </c>
      <c r="J1030" s="2" t="s">
        <v>51</v>
      </c>
      <c r="K1030" s="2">
        <v>0.71357793270228831</v>
      </c>
      <c r="L1030" s="2">
        <v>3091.4633131184069</v>
      </c>
      <c r="M1030" s="2">
        <v>0</v>
      </c>
      <c r="N1030" s="2">
        <v>2206</v>
      </c>
      <c r="O1030" s="2">
        <v>2206</v>
      </c>
      <c r="P1030" s="2"/>
      <c r="Q1030" s="2">
        <v>2206</v>
      </c>
      <c r="R1030" s="2" t="s">
        <v>44</v>
      </c>
      <c r="S1030" s="2"/>
      <c r="T1030" s="2">
        <f t="shared" si="357"/>
        <v>1</v>
      </c>
      <c r="U1030" s="18">
        <f t="shared" si="358"/>
        <v>10</v>
      </c>
      <c r="V1030" s="18">
        <f t="shared" si="359"/>
        <v>2025</v>
      </c>
      <c r="W1030" s="18" t="str">
        <f t="shared" si="360"/>
        <v/>
      </c>
      <c r="X1030" s="18" t="str">
        <f t="shared" si="361"/>
        <v/>
      </c>
      <c r="Y1030" s="17">
        <f t="shared" si="354"/>
        <v>0.71357793270228842</v>
      </c>
      <c r="Z1030" t="str">
        <f t="shared" si="355"/>
        <v>SO17953</v>
      </c>
      <c r="AA1030" s="11">
        <f t="shared" si="362"/>
        <v>45931.573622685188</v>
      </c>
      <c r="AB1030" s="5" t="str">
        <f t="shared" si="363"/>
        <v>INV13715</v>
      </c>
      <c r="AC1030" s="5" t="str">
        <f>IFERROR(VLOOKUP(D1030,CAARStatus!$A$2:$AA$1600,22,FALSE),"Not invoiced")</f>
        <v>Approved</v>
      </c>
      <c r="AD1030" s="11" t="str">
        <f>IF(AC1030="Paid",IFERROR(VLOOKUP(D1030,CAARStatus!$A$2:$AA$1600,6,FALSE),"Pending"),"Pending")</f>
        <v>Pending</v>
      </c>
      <c r="AE1030" s="5" t="str">
        <f t="shared" si="364"/>
        <v>PO003505</v>
      </c>
      <c r="AF1030" s="5" t="str">
        <f t="shared" si="365"/>
        <v>Eleazar General &amp; Industrial Supplies Limited</v>
      </c>
      <c r="AG1030" s="5" t="str">
        <f t="shared" si="366"/>
        <v>USD</v>
      </c>
      <c r="AH1030" s="5">
        <f t="shared" si="367"/>
        <v>3091.4633131184073</v>
      </c>
      <c r="AI1030" s="12">
        <f>IF(L1030-N1030=0,VLOOKUP(U1030,rate!A$4:B$15,2,FALSE)*AH1030,IF(AG1030="USD",O1030,AH1030*Y1030))</f>
        <v>2206</v>
      </c>
      <c r="AJ1030" s="13">
        <f t="shared" si="368"/>
        <v>0.71357793270228831</v>
      </c>
      <c r="AK1030" s="13">
        <f>-IF(AG1030="CAD",IFERROR(VLOOKUP(D1030,CAARStatus!$A$1:$Y$1600,16,FALSE),0),0)</f>
        <v>0</v>
      </c>
      <c r="AL1030" s="13">
        <f>-IF(AG1030="USD",IFERROR(VLOOKUP(D1030,CAARStatus!$A$1:$Y$1600,11,FALSE),0),0)</f>
        <v>-2206</v>
      </c>
      <c r="AM1030" s="22" t="str">
        <f t="shared" si="369"/>
        <v/>
      </c>
      <c r="AN1030" s="12">
        <f t="shared" si="370"/>
        <v>0</v>
      </c>
      <c r="AO1030" s="12" t="str">
        <f t="shared" si="371"/>
        <v>Pend</v>
      </c>
      <c r="AP1030" t="str">
        <f t="shared" si="356"/>
        <v>Pend</v>
      </c>
      <c r="AQ1030" t="str">
        <f>IFERROR(VLOOKUP(Z1030,InvBal!$L$4:$P$600,4,FALSE),"Pend")</f>
        <v>Pend</v>
      </c>
      <c r="AR1030" t="str">
        <f>IFERROR(VLOOKUP(D1030,Manual!$C$1:$E$22,2,FALSE),"Pend")</f>
        <v>Pend</v>
      </c>
      <c r="AS1030" t="str">
        <f t="shared" si="372"/>
        <v/>
      </c>
      <c r="AT1030" t="str">
        <f t="shared" si="373"/>
        <v>Yes</v>
      </c>
      <c r="AU1030" s="51" t="str">
        <f t="shared" si="374"/>
        <v/>
      </c>
      <c r="AV1030" s="12">
        <f>IFERROR(VLOOKUP(D1030,'Receivable Invoice Detail'!$S$1:$U$3014,3,FALSE),0)</f>
        <v>0</v>
      </c>
      <c r="AW1030" s="12">
        <f t="shared" si="375"/>
        <v>0</v>
      </c>
    </row>
    <row r="1031" spans="1:49" x14ac:dyDescent="0.25">
      <c r="A1031" s="2">
        <v>1</v>
      </c>
      <c r="B1031" s="2" t="s">
        <v>505</v>
      </c>
      <c r="C1031" s="2" t="s">
        <v>506</v>
      </c>
      <c r="D1031" s="2" t="s">
        <v>6318</v>
      </c>
      <c r="E1031" s="2" t="s">
        <v>229</v>
      </c>
      <c r="F1031" s="3">
        <v>45931.76290509259</v>
      </c>
      <c r="G1031" s="3">
        <v>45931.761886574073</v>
      </c>
      <c r="H1031" s="4">
        <v>46048</v>
      </c>
      <c r="I1031" s="2" t="s">
        <v>36</v>
      </c>
      <c r="J1031" s="2" t="s">
        <v>22</v>
      </c>
      <c r="K1031" s="2">
        <v>1</v>
      </c>
      <c r="L1031" s="2">
        <v>1506.75</v>
      </c>
      <c r="M1031" s="2">
        <v>0</v>
      </c>
      <c r="N1031" s="2">
        <v>1080.122731339347</v>
      </c>
      <c r="O1031" s="2">
        <v>1435</v>
      </c>
      <c r="P1031" s="2">
        <v>71.75</v>
      </c>
      <c r="Q1031" s="2">
        <v>1506.75</v>
      </c>
      <c r="R1031" s="2" t="s">
        <v>44</v>
      </c>
      <c r="S1031" s="2"/>
      <c r="T1031" s="2">
        <f t="shared" si="357"/>
        <v>1</v>
      </c>
      <c r="U1031" s="18">
        <f t="shared" si="358"/>
        <v>10</v>
      </c>
      <c r="V1031" s="18">
        <f t="shared" si="359"/>
        <v>2025</v>
      </c>
      <c r="W1031" s="18" t="str">
        <f t="shared" si="360"/>
        <v/>
      </c>
      <c r="X1031" s="18" t="str">
        <f t="shared" si="361"/>
        <v/>
      </c>
      <c r="Y1031" s="2">
        <f t="shared" si="354"/>
        <v>0.71685596903225279</v>
      </c>
      <c r="Z1031" t="str">
        <f t="shared" si="355"/>
        <v>SO17954</v>
      </c>
      <c r="AA1031" s="11">
        <f t="shared" si="362"/>
        <v>45931.76290509259</v>
      </c>
      <c r="AB1031" s="5" t="str">
        <f t="shared" si="363"/>
        <v>INV13833</v>
      </c>
      <c r="AC1031" s="5" t="str">
        <f>IFERROR(VLOOKUP(D1031,CAARStatus!$A$2:$AA$1600,22,FALSE),"Not invoiced")</f>
        <v>Not invoiced</v>
      </c>
      <c r="AD1031" s="11" t="str">
        <f>IF(AC1031="Paid",IFERROR(VLOOKUP(D1031,CAARStatus!$A$2:$AA$1600,6,FALSE),"Pending"),"Pending")</f>
        <v>Pending</v>
      </c>
      <c r="AE1031" s="5" t="str">
        <f t="shared" si="364"/>
        <v>2100667015</v>
      </c>
      <c r="AF1031" s="5" t="str">
        <f t="shared" si="365"/>
        <v>Wajax Limited - Lachine</v>
      </c>
      <c r="AG1031" s="5" t="str">
        <f t="shared" si="366"/>
        <v>CAD</v>
      </c>
      <c r="AH1031" s="5">
        <f t="shared" si="367"/>
        <v>1435</v>
      </c>
      <c r="AI1031" s="12">
        <f>IF(L1031-N1031=0,VLOOKUP(U1031,rate!A$4:B$15,2,FALSE)*AH1031,IF(AG1031="USD",O1031,AH1031*Y1031))</f>
        <v>1028.6883155612827</v>
      </c>
      <c r="AJ1031" s="13">
        <f t="shared" si="368"/>
        <v>0.71685596903225279</v>
      </c>
      <c r="AK1031" s="13">
        <f>-IF(AG1031="CAD",IFERROR(VLOOKUP(D1031,CAARStatus!$A$1:$Y$1600,16,FALSE),0),0)</f>
        <v>0</v>
      </c>
      <c r="AL1031" s="13">
        <f>-IF(AG1031="USD",IFERROR(VLOOKUP(D1031,CAARStatus!$A$1:$Y$1600,11,FALSE),0),0)</f>
        <v>0</v>
      </c>
      <c r="AM1031" s="22">
        <f t="shared" si="369"/>
        <v>1435</v>
      </c>
      <c r="AN1031" s="12" t="str">
        <f t="shared" si="370"/>
        <v/>
      </c>
      <c r="AO1031" s="12" t="str">
        <f t="shared" si="371"/>
        <v>Pend</v>
      </c>
      <c r="AP1031" t="str">
        <f t="shared" si="356"/>
        <v>Pend</v>
      </c>
      <c r="AQ1031" t="str">
        <f>IFERROR(VLOOKUP(Z1031,InvBal!$L$4:$P$600,4,FALSE),"Pend")</f>
        <v>Pend</v>
      </c>
      <c r="AR1031" t="str">
        <f>IFERROR(VLOOKUP(D1031,Manual!$C$1:$E$22,2,FALSE),"Pend")</f>
        <v>Pend</v>
      </c>
      <c r="AS1031" t="str">
        <f t="shared" si="372"/>
        <v/>
      </c>
      <c r="AT1031" t="str">
        <f t="shared" si="373"/>
        <v>Yes</v>
      </c>
      <c r="AU1031" s="51" t="str">
        <f t="shared" si="374"/>
        <v/>
      </c>
      <c r="AV1031" s="12">
        <f>IFERROR(VLOOKUP(D1031,'Receivable Invoice Detail'!$S$1:$U$3014,3,FALSE),0)</f>
        <v>0</v>
      </c>
      <c r="AW1031" s="12">
        <f t="shared" si="375"/>
        <v>0</v>
      </c>
    </row>
    <row r="1032" spans="1:49" x14ac:dyDescent="0.25">
      <c r="A1032" s="2">
        <v>1</v>
      </c>
      <c r="B1032" s="2" t="s">
        <v>496</v>
      </c>
      <c r="C1032" s="2" t="s">
        <v>497</v>
      </c>
      <c r="D1032" s="2" t="s">
        <v>3252</v>
      </c>
      <c r="E1032" s="2" t="s">
        <v>465</v>
      </c>
      <c r="F1032" s="3">
        <v>45932.348275462973</v>
      </c>
      <c r="G1032" s="3">
        <v>45932.592523148152</v>
      </c>
      <c r="H1032" s="4">
        <v>45950</v>
      </c>
      <c r="I1032" s="2" t="s">
        <v>21</v>
      </c>
      <c r="J1032" s="2" t="s">
        <v>22</v>
      </c>
      <c r="K1032" s="2">
        <v>1</v>
      </c>
      <c r="L1032" s="2">
        <v>1988.36</v>
      </c>
      <c r="M1032" s="2">
        <v>0</v>
      </c>
      <c r="N1032" s="2">
        <v>1422.6132010035019</v>
      </c>
      <c r="O1032" s="2">
        <v>1759.61</v>
      </c>
      <c r="P1032" s="2">
        <v>228.75</v>
      </c>
      <c r="Q1032" s="2">
        <v>1988.36</v>
      </c>
      <c r="R1032" s="2" t="s">
        <v>44</v>
      </c>
      <c r="S1032" s="2"/>
      <c r="T1032" s="2">
        <f t="shared" si="357"/>
        <v>1</v>
      </c>
      <c r="U1032" s="18">
        <f t="shared" si="358"/>
        <v>10</v>
      </c>
      <c r="V1032" s="18">
        <f t="shared" si="359"/>
        <v>2025</v>
      </c>
      <c r="W1032" s="18">
        <f t="shared" si="360"/>
        <v>12</v>
      </c>
      <c r="X1032" s="18">
        <f t="shared" si="361"/>
        <v>2025</v>
      </c>
      <c r="Y1032" s="17">
        <f t="shared" si="354"/>
        <v>0.71547063962436475</v>
      </c>
      <c r="Z1032" t="str">
        <f t="shared" si="355"/>
        <v>SO17956</v>
      </c>
      <c r="AA1032" s="11">
        <f t="shared" si="362"/>
        <v>45932.348275462973</v>
      </c>
      <c r="AB1032" s="5" t="str">
        <f t="shared" si="363"/>
        <v>INV13570</v>
      </c>
      <c r="AC1032" s="5" t="str">
        <f>IFERROR(VLOOKUP(D1032,CAARStatus!$A$2:$AA$1600,22,FALSE),"Not invoiced")</f>
        <v>Paid</v>
      </c>
      <c r="AD1032" s="11">
        <f>IF(AC1032="Paid",IFERROR(VLOOKUP(D1032,CAARStatus!$A$2:$AA$1600,6,FALSE),"Pending"),"Pending")</f>
        <v>45995</v>
      </c>
      <c r="AE1032" s="5" t="str">
        <f t="shared" si="364"/>
        <v>M-084122</v>
      </c>
      <c r="AF1032" s="5" t="str">
        <f t="shared" si="365"/>
        <v>Grant Aggregate</v>
      </c>
      <c r="AG1032" s="5" t="str">
        <f t="shared" si="366"/>
        <v>CAD</v>
      </c>
      <c r="AH1032" s="5">
        <f t="shared" si="367"/>
        <v>1759.61</v>
      </c>
      <c r="AI1032" s="12">
        <f>IF(L1032-N1032=0,VLOOKUP(U1032,rate!A$4:B$15,2,FALSE)*AH1032,IF(AG1032="USD",O1032,AH1032*Y1032))</f>
        <v>1258.9492921894284</v>
      </c>
      <c r="AJ1032" s="13">
        <f t="shared" si="368"/>
        <v>0.71547063962436475</v>
      </c>
      <c r="AK1032" s="13">
        <f>-IF(AG1032="CAD",IFERROR(VLOOKUP(D1032,CAARStatus!$A$1:$Y$1600,16,FALSE),0),0)</f>
        <v>-1759.61</v>
      </c>
      <c r="AL1032" s="13">
        <f>-IF(AG1032="USD",IFERROR(VLOOKUP(D1032,CAARStatus!$A$1:$Y$1600,11,FALSE),0),0)</f>
        <v>0</v>
      </c>
      <c r="AM1032" s="22">
        <f t="shared" si="369"/>
        <v>0</v>
      </c>
      <c r="AN1032" s="12" t="str">
        <f t="shared" si="370"/>
        <v/>
      </c>
      <c r="AO1032" s="12" t="str">
        <f t="shared" si="371"/>
        <v>Yes</v>
      </c>
      <c r="AP1032" t="str">
        <f t="shared" si="356"/>
        <v>Yes</v>
      </c>
      <c r="AQ1032" t="str">
        <f>IFERROR(VLOOKUP(Z1032,InvBal!$L$4:$P$600,4,FALSE),"Pend")</f>
        <v>Pend</v>
      </c>
      <c r="AR1032" t="str">
        <f>IFERROR(VLOOKUP(D1032,Manual!$C$1:$E$22,2,FALSE),"Pend")</f>
        <v>Pend</v>
      </c>
      <c r="AS1032" t="str">
        <f t="shared" si="372"/>
        <v>Yes</v>
      </c>
      <c r="AT1032" t="str">
        <f t="shared" si="373"/>
        <v>Yes</v>
      </c>
      <c r="AU1032" s="51" t="str">
        <f t="shared" si="374"/>
        <v>Yes</v>
      </c>
      <c r="AV1032" s="12">
        <f>IFERROR(VLOOKUP(D1032,'Receivable Invoice Detail'!$S$1:$U$3014,3,FALSE),0)</f>
        <v>0</v>
      </c>
      <c r="AW1032" s="12">
        <f t="shared" si="375"/>
        <v>1258.9492921894284</v>
      </c>
    </row>
    <row r="1033" spans="1:49" ht="30" x14ac:dyDescent="0.25">
      <c r="A1033" s="2">
        <v>1</v>
      </c>
      <c r="B1033" s="2" t="s">
        <v>503</v>
      </c>
      <c r="C1033" s="2" t="s">
        <v>504</v>
      </c>
      <c r="D1033" s="2" t="s">
        <v>3249</v>
      </c>
      <c r="E1033" s="2" t="s">
        <v>121</v>
      </c>
      <c r="F1033" s="3">
        <v>45932.420173611114</v>
      </c>
      <c r="G1033" s="3">
        <v>45932.434895833343</v>
      </c>
      <c r="H1033" s="4">
        <v>45936</v>
      </c>
      <c r="I1033" s="2" t="s">
        <v>40</v>
      </c>
      <c r="J1033" s="2" t="s">
        <v>22</v>
      </c>
      <c r="K1033" s="2">
        <v>1</v>
      </c>
      <c r="L1033" s="2">
        <v>3360.7</v>
      </c>
      <c r="M1033" s="2">
        <v>0</v>
      </c>
      <c r="N1033" s="2">
        <v>2404.482178585602</v>
      </c>
      <c r="O1033" s="2">
        <v>3200.66</v>
      </c>
      <c r="P1033" s="2">
        <v>160.04</v>
      </c>
      <c r="Q1033" s="2">
        <v>3360.7</v>
      </c>
      <c r="R1033" s="2" t="s">
        <v>44</v>
      </c>
      <c r="S1033" s="2"/>
      <c r="T1033" s="2">
        <f t="shared" si="357"/>
        <v>1</v>
      </c>
      <c r="U1033" s="18">
        <f t="shared" si="358"/>
        <v>10</v>
      </c>
      <c r="V1033" s="18">
        <f t="shared" si="359"/>
        <v>2025</v>
      </c>
      <c r="W1033" s="18" t="str">
        <f t="shared" si="360"/>
        <v/>
      </c>
      <c r="X1033" s="18" t="str">
        <f t="shared" si="361"/>
        <v/>
      </c>
      <c r="Y1033" s="2">
        <f t="shared" si="354"/>
        <v>0.71547063962436463</v>
      </c>
      <c r="Z1033" t="str">
        <f t="shared" si="355"/>
        <v>SO17957</v>
      </c>
      <c r="AA1033" s="11">
        <f t="shared" si="362"/>
        <v>45932.420173611114</v>
      </c>
      <c r="AB1033" s="5" t="str">
        <f t="shared" si="363"/>
        <v>INV13489</v>
      </c>
      <c r="AC1033" s="5" t="str">
        <f>IFERROR(VLOOKUP(D1033,CAARStatus!$A$2:$AA$1600,22,FALSE),"Not invoiced")</f>
        <v>Approved</v>
      </c>
      <c r="AD1033" s="11" t="str">
        <f>IF(AC1033="Paid",IFERROR(VLOOKUP(D1033,CAARStatus!$A$2:$AA$1600,6,FALSE),"Pending"),"Pending")</f>
        <v>Pending</v>
      </c>
      <c r="AE1033" s="5" t="str">
        <f t="shared" si="364"/>
        <v>4500588251</v>
      </c>
      <c r="AF1033" s="5" t="str">
        <f t="shared" si="365"/>
        <v>Glencore Canada Corporation - Rouyn-Noranda</v>
      </c>
      <c r="AG1033" s="5" t="str">
        <f t="shared" si="366"/>
        <v>CAD</v>
      </c>
      <c r="AH1033" s="5">
        <f t="shared" si="367"/>
        <v>3200.66</v>
      </c>
      <c r="AI1033" s="12">
        <f>IF(L1033-N1033=0,VLOOKUP(U1033,rate!A$4:B$15,2,FALSE)*AH1033,IF(AG1033="USD",O1033,AH1033*Y1033))</f>
        <v>2289.978257420119</v>
      </c>
      <c r="AJ1033" s="13">
        <f t="shared" si="368"/>
        <v>0.71547063962436475</v>
      </c>
      <c r="AK1033" s="13">
        <f>-IF(AG1033="CAD",IFERROR(VLOOKUP(D1033,CAARStatus!$A$1:$Y$1600,16,FALSE),0),0)</f>
        <v>-3200.66</v>
      </c>
      <c r="AL1033" s="13">
        <f>-IF(AG1033="USD",IFERROR(VLOOKUP(D1033,CAARStatus!$A$1:$Y$1600,11,FALSE),0),0)</f>
        <v>0</v>
      </c>
      <c r="AM1033" s="22">
        <f t="shared" si="369"/>
        <v>0</v>
      </c>
      <c r="AN1033" s="12" t="str">
        <f t="shared" si="370"/>
        <v/>
      </c>
      <c r="AO1033" s="12" t="str">
        <f t="shared" si="371"/>
        <v>Pend</v>
      </c>
      <c r="AP1033" t="str">
        <f t="shared" si="356"/>
        <v>Pend</v>
      </c>
      <c r="AQ1033" t="str">
        <f>IFERROR(VLOOKUP(Z1033,InvBal!$L$4:$P$600,4,FALSE),"Pend")</f>
        <v>Pend</v>
      </c>
      <c r="AR1033" t="str">
        <f>IFERROR(VLOOKUP(D1033,Manual!$C$1:$E$22,2,FALSE),"Pend")</f>
        <v>Pend</v>
      </c>
      <c r="AS1033" t="str">
        <f t="shared" si="372"/>
        <v/>
      </c>
      <c r="AT1033" t="str">
        <f t="shared" si="373"/>
        <v>Yes</v>
      </c>
      <c r="AU1033" s="51" t="str">
        <f t="shared" si="374"/>
        <v/>
      </c>
      <c r="AV1033" s="12">
        <f>IFERROR(VLOOKUP(D1033,'Receivable Invoice Detail'!$S$1:$U$3014,3,FALSE),0)</f>
        <v>0</v>
      </c>
      <c r="AW1033" s="12">
        <f t="shared" si="375"/>
        <v>0</v>
      </c>
    </row>
    <row r="1034" spans="1:49" ht="45" x14ac:dyDescent="0.25">
      <c r="A1034" s="2">
        <v>1</v>
      </c>
      <c r="B1034" s="2" t="s">
        <v>500</v>
      </c>
      <c r="C1034" s="2" t="s">
        <v>501</v>
      </c>
      <c r="D1034" s="2" t="s">
        <v>3250</v>
      </c>
      <c r="E1034" s="2" t="s">
        <v>502</v>
      </c>
      <c r="F1034" s="3">
        <v>45932.435925925929</v>
      </c>
      <c r="G1034" s="3">
        <v>45932.436655092592</v>
      </c>
      <c r="H1034" s="4">
        <v>45939</v>
      </c>
      <c r="I1034" s="2" t="s">
        <v>21</v>
      </c>
      <c r="J1034" s="2" t="s">
        <v>22</v>
      </c>
      <c r="K1034" s="2">
        <v>1</v>
      </c>
      <c r="L1034" s="2">
        <v>1570.3</v>
      </c>
      <c r="M1034" s="2">
        <v>0</v>
      </c>
      <c r="N1034" s="2">
        <v>1123.5035454021399</v>
      </c>
      <c r="O1034" s="2">
        <v>1495.52</v>
      </c>
      <c r="P1034" s="2">
        <v>74.78</v>
      </c>
      <c r="Q1034" s="2">
        <v>1570.3</v>
      </c>
      <c r="R1034" s="2" t="s">
        <v>44</v>
      </c>
      <c r="S1034" s="2"/>
      <c r="T1034" s="2">
        <f t="shared" si="357"/>
        <v>1</v>
      </c>
      <c r="U1034" s="18">
        <f t="shared" si="358"/>
        <v>10</v>
      </c>
      <c r="V1034" s="18">
        <f t="shared" si="359"/>
        <v>2025</v>
      </c>
      <c r="W1034" s="18" t="str">
        <f t="shared" si="360"/>
        <v/>
      </c>
      <c r="X1034" s="18" t="str">
        <f t="shared" si="361"/>
        <v/>
      </c>
      <c r="Y1034" s="17">
        <f t="shared" si="354"/>
        <v>0.71547063962436475</v>
      </c>
      <c r="Z1034" t="str">
        <f t="shared" si="355"/>
        <v>SO17958</v>
      </c>
      <c r="AA1034" s="11">
        <f t="shared" si="362"/>
        <v>45932.435925925929</v>
      </c>
      <c r="AB1034" s="5" t="str">
        <f t="shared" si="363"/>
        <v>INV13488</v>
      </c>
      <c r="AC1034" s="5" t="str">
        <f>IFERROR(VLOOKUP(D1034,CAARStatus!$A$2:$AA$1600,22,FALSE),"Not invoiced")</f>
        <v>Approved</v>
      </c>
      <c r="AD1034" s="11" t="str">
        <f>IF(AC1034="Paid",IFERROR(VLOOKUP(D1034,CAARStatus!$A$2:$AA$1600,6,FALSE),"Pending"),"Pending")</f>
        <v>Pending</v>
      </c>
      <c r="AE1034" s="5" t="str">
        <f t="shared" si="364"/>
        <v>4500588194</v>
      </c>
      <c r="AF1034" s="5" t="str">
        <f t="shared" si="365"/>
        <v>Glencore Canada Corporation - Rouyn-Noranda, Glencore Canada Corp.</v>
      </c>
      <c r="AG1034" s="5" t="str">
        <f t="shared" si="366"/>
        <v>CAD</v>
      </c>
      <c r="AH1034" s="5">
        <f t="shared" si="367"/>
        <v>1495.52</v>
      </c>
      <c r="AI1034" s="12">
        <f>IF(L1034-N1034=0,VLOOKUP(U1034,rate!A$4:B$15,2,FALSE)*AH1034,IF(AG1034="USD",O1034,AH1034*Y1034))</f>
        <v>1070.0006509710299</v>
      </c>
      <c r="AJ1034" s="13">
        <f t="shared" si="368"/>
        <v>0.71547063962436475</v>
      </c>
      <c r="AK1034" s="13">
        <f>-IF(AG1034="CAD",IFERROR(VLOOKUP(D1034,CAARStatus!$A$1:$Y$1600,16,FALSE),0),0)</f>
        <v>-1495.52</v>
      </c>
      <c r="AL1034" s="13">
        <f>-IF(AG1034="USD",IFERROR(VLOOKUP(D1034,CAARStatus!$A$1:$Y$1600,11,FALSE),0),0)</f>
        <v>0</v>
      </c>
      <c r="AM1034" s="22">
        <f t="shared" si="369"/>
        <v>0</v>
      </c>
      <c r="AN1034" s="12" t="str">
        <f t="shared" si="370"/>
        <v/>
      </c>
      <c r="AO1034" s="12" t="str">
        <f t="shared" si="371"/>
        <v>Pend</v>
      </c>
      <c r="AP1034" t="str">
        <f t="shared" si="356"/>
        <v>Pend</v>
      </c>
      <c r="AQ1034" t="str">
        <f>IFERROR(VLOOKUP(Z1034,InvBal!$L$4:$P$600,4,FALSE),"Pend")</f>
        <v>Pend</v>
      </c>
      <c r="AR1034" t="str">
        <f>IFERROR(VLOOKUP(D1034,Manual!$C$1:$E$22,2,FALSE),"Pend")</f>
        <v>Pend</v>
      </c>
      <c r="AS1034" t="str">
        <f t="shared" si="372"/>
        <v/>
      </c>
      <c r="AT1034" t="str">
        <f t="shared" si="373"/>
        <v>Yes</v>
      </c>
      <c r="AU1034" s="51" t="str">
        <f t="shared" si="374"/>
        <v/>
      </c>
      <c r="AV1034" s="12">
        <f>IFERROR(VLOOKUP(D1034,'Receivable Invoice Detail'!$S$1:$U$3014,3,FALSE),0)</f>
        <v>0</v>
      </c>
      <c r="AW1034" s="12">
        <f t="shared" si="375"/>
        <v>0</v>
      </c>
    </row>
    <row r="1035" spans="1:49" x14ac:dyDescent="0.25">
      <c r="A1035" s="2">
        <v>1</v>
      </c>
      <c r="B1035" s="2" t="s">
        <v>498</v>
      </c>
      <c r="C1035" s="2" t="s">
        <v>499</v>
      </c>
      <c r="D1035" s="2" t="s">
        <v>3251</v>
      </c>
      <c r="E1035" s="2" t="s">
        <v>89</v>
      </c>
      <c r="F1035" s="3">
        <v>45932.501527777778</v>
      </c>
      <c r="G1035" s="3">
        <v>45932.4999537037</v>
      </c>
      <c r="H1035" s="4">
        <v>45953</v>
      </c>
      <c r="I1035" s="2" t="s">
        <v>36</v>
      </c>
      <c r="J1035" s="2" t="s">
        <v>22</v>
      </c>
      <c r="K1035" s="2">
        <v>1</v>
      </c>
      <c r="L1035" s="2">
        <v>663</v>
      </c>
      <c r="M1035" s="2">
        <v>0</v>
      </c>
      <c r="N1035" s="2">
        <v>474.35703407095377</v>
      </c>
      <c r="O1035" s="2">
        <v>663</v>
      </c>
      <c r="P1035" s="2"/>
      <c r="Q1035" s="2">
        <v>663</v>
      </c>
      <c r="R1035" s="2" t="s">
        <v>44</v>
      </c>
      <c r="S1035" s="2"/>
      <c r="T1035" s="2">
        <f t="shared" si="357"/>
        <v>1</v>
      </c>
      <c r="U1035" s="18">
        <f t="shared" si="358"/>
        <v>10</v>
      </c>
      <c r="V1035" s="18">
        <f t="shared" si="359"/>
        <v>2025</v>
      </c>
      <c r="W1035" s="18">
        <f t="shared" si="360"/>
        <v>11</v>
      </c>
      <c r="X1035" s="18">
        <f t="shared" si="361"/>
        <v>2025</v>
      </c>
      <c r="Y1035" s="2">
        <f t="shared" si="354"/>
        <v>0.71547063962436463</v>
      </c>
      <c r="Z1035" t="str">
        <f t="shared" si="355"/>
        <v>SO17959</v>
      </c>
      <c r="AA1035" s="11">
        <f t="shared" si="362"/>
        <v>45932.501527777778</v>
      </c>
      <c r="AB1035" s="5" t="str">
        <f t="shared" si="363"/>
        <v>INV13508</v>
      </c>
      <c r="AC1035" s="5" t="str">
        <f>IFERROR(VLOOKUP(D1035,CAARStatus!$A$2:$AA$1600,22,FALSE),"Not invoiced")</f>
        <v>Paid</v>
      </c>
      <c r="AD1035" s="11">
        <f>IF(AC1035="Paid",IFERROR(VLOOKUP(D1035,CAARStatus!$A$2:$AA$1600,6,FALSE),"Pending"),"Pending")</f>
        <v>45985</v>
      </c>
      <c r="AE1035" s="5" t="str">
        <f t="shared" si="364"/>
        <v>SUD1006057</v>
      </c>
      <c r="AF1035" s="5" t="str">
        <f t="shared" si="365"/>
        <v>Process and Steam Specialties</v>
      </c>
      <c r="AG1035" s="5" t="str">
        <f t="shared" si="366"/>
        <v>CAD</v>
      </c>
      <c r="AH1035" s="5">
        <f t="shared" si="367"/>
        <v>663</v>
      </c>
      <c r="AI1035" s="12">
        <f>IF(L1035-N1035=0,VLOOKUP(U1035,rate!A$4:B$15,2,FALSE)*AH1035,IF(AG1035="USD",O1035,AH1035*Y1035))</f>
        <v>474.35703407095377</v>
      </c>
      <c r="AJ1035" s="13">
        <f t="shared" si="368"/>
        <v>0.71547063962436463</v>
      </c>
      <c r="AK1035" s="13">
        <f>-IF(AG1035="CAD",IFERROR(VLOOKUP(D1035,CAARStatus!$A$1:$Y$1600,16,FALSE),0),0)</f>
        <v>-663</v>
      </c>
      <c r="AL1035" s="13">
        <f>-IF(AG1035="USD",IFERROR(VLOOKUP(D1035,CAARStatus!$A$1:$Y$1600,11,FALSE),0),0)</f>
        <v>0</v>
      </c>
      <c r="AM1035" s="22">
        <f t="shared" si="369"/>
        <v>0</v>
      </c>
      <c r="AN1035" s="12" t="str">
        <f t="shared" si="370"/>
        <v/>
      </c>
      <c r="AO1035" s="12" t="str">
        <f t="shared" si="371"/>
        <v>Yes</v>
      </c>
      <c r="AP1035" t="str">
        <f t="shared" si="356"/>
        <v>Yes</v>
      </c>
      <c r="AQ1035" t="str">
        <f>IFERROR(VLOOKUP(Z1035,InvBal!$L$4:$P$600,4,FALSE),"Pend")</f>
        <v>Pend</v>
      </c>
      <c r="AR1035" t="str">
        <f>IFERROR(VLOOKUP(D1035,Manual!$C$1:$E$22,2,FALSE),"Pend")</f>
        <v>Pend</v>
      </c>
      <c r="AS1035" t="str">
        <f t="shared" si="372"/>
        <v>Yes</v>
      </c>
      <c r="AT1035" t="str">
        <f t="shared" si="373"/>
        <v>Yes</v>
      </c>
      <c r="AU1035" s="51" t="str">
        <f t="shared" si="374"/>
        <v>Yes</v>
      </c>
      <c r="AV1035" s="12">
        <f>IFERROR(VLOOKUP(D1035,'Receivable Invoice Detail'!$S$1:$U$3014,3,FALSE),0)</f>
        <v>0</v>
      </c>
      <c r="AW1035" s="12">
        <f t="shared" si="375"/>
        <v>474.35703407095377</v>
      </c>
    </row>
    <row r="1036" spans="1:49" x14ac:dyDescent="0.25">
      <c r="A1036" s="2">
        <v>1</v>
      </c>
      <c r="B1036" s="2" t="s">
        <v>491</v>
      </c>
      <c r="C1036" s="2" t="s">
        <v>492</v>
      </c>
      <c r="D1036" s="2" t="s">
        <v>3254</v>
      </c>
      <c r="E1036" s="2" t="s">
        <v>316</v>
      </c>
      <c r="F1036" s="3">
        <v>45932.542534722219</v>
      </c>
      <c r="G1036" s="3">
        <v>45932.757662037038</v>
      </c>
      <c r="H1036" s="4">
        <v>45939</v>
      </c>
      <c r="I1036" s="2" t="s">
        <v>21</v>
      </c>
      <c r="J1036" s="2" t="s">
        <v>22</v>
      </c>
      <c r="K1036" s="2">
        <v>1</v>
      </c>
      <c r="L1036" s="2">
        <v>391.77</v>
      </c>
      <c r="M1036" s="2">
        <v>0</v>
      </c>
      <c r="N1036" s="2">
        <v>280.29993248563733</v>
      </c>
      <c r="O1036" s="2">
        <v>373.11</v>
      </c>
      <c r="P1036" s="2">
        <v>18.66</v>
      </c>
      <c r="Q1036" s="2">
        <v>391.77</v>
      </c>
      <c r="R1036" s="2" t="s">
        <v>44</v>
      </c>
      <c r="S1036" s="2"/>
      <c r="T1036" s="2">
        <f t="shared" si="357"/>
        <v>1</v>
      </c>
      <c r="U1036" s="18">
        <f t="shared" si="358"/>
        <v>10</v>
      </c>
      <c r="V1036" s="18">
        <f t="shared" si="359"/>
        <v>2025</v>
      </c>
      <c r="W1036" s="18">
        <f t="shared" si="360"/>
        <v>11</v>
      </c>
      <c r="X1036" s="18">
        <f t="shared" si="361"/>
        <v>2025</v>
      </c>
      <c r="Y1036" s="17">
        <f t="shared" si="354"/>
        <v>0.71547063962436463</v>
      </c>
      <c r="Z1036" t="str">
        <f t="shared" si="355"/>
        <v>SO17962</v>
      </c>
      <c r="AA1036" s="11">
        <f t="shared" si="362"/>
        <v>45932.542534722219</v>
      </c>
      <c r="AB1036" s="5" t="str">
        <f t="shared" si="363"/>
        <v>INV13481</v>
      </c>
      <c r="AC1036" s="5" t="str">
        <f>IFERROR(VLOOKUP(D1036,CAARStatus!$A$2:$AA$1600,22,FALSE),"Not invoiced")</f>
        <v>Paid</v>
      </c>
      <c r="AD1036" s="11">
        <f>IF(AC1036="Paid",IFERROR(VLOOKUP(D1036,CAARStatus!$A$2:$AA$1600,6,FALSE),"Pending"),"Pending")</f>
        <v>45982</v>
      </c>
      <c r="AE1036" s="5" t="str">
        <f t="shared" si="364"/>
        <v>10619</v>
      </c>
      <c r="AF1036" s="5" t="str">
        <f t="shared" si="365"/>
        <v>Canadian Industrial Pumps Ltd</v>
      </c>
      <c r="AG1036" s="5" t="str">
        <f t="shared" si="366"/>
        <v>CAD</v>
      </c>
      <c r="AH1036" s="5">
        <f t="shared" si="367"/>
        <v>373.11</v>
      </c>
      <c r="AI1036" s="12">
        <f>IF(L1036-N1036=0,VLOOKUP(U1036,rate!A$4:B$15,2,FALSE)*AH1036,IF(AG1036="USD",O1036,AH1036*Y1036))</f>
        <v>266.9492503502467</v>
      </c>
      <c r="AJ1036" s="13">
        <f t="shared" si="368"/>
        <v>0.71547063962436463</v>
      </c>
      <c r="AK1036" s="13">
        <f>-IF(AG1036="CAD",IFERROR(VLOOKUP(D1036,CAARStatus!$A$1:$Y$1600,16,FALSE),0),0)</f>
        <v>-373.11</v>
      </c>
      <c r="AL1036" s="13">
        <f>-IF(AG1036="USD",IFERROR(VLOOKUP(D1036,CAARStatus!$A$1:$Y$1600,11,FALSE),0),0)</f>
        <v>0</v>
      </c>
      <c r="AM1036" s="22">
        <f t="shared" si="369"/>
        <v>0</v>
      </c>
      <c r="AN1036" s="12" t="str">
        <f t="shared" si="370"/>
        <v/>
      </c>
      <c r="AO1036" s="12" t="str">
        <f t="shared" si="371"/>
        <v>Yes</v>
      </c>
      <c r="AP1036" t="str">
        <f t="shared" si="356"/>
        <v>Yes</v>
      </c>
      <c r="AQ1036" t="str">
        <f>IFERROR(VLOOKUP(Z1036,InvBal!$L$4:$P$600,4,FALSE),"Pend")</f>
        <v>Pend</v>
      </c>
      <c r="AR1036" t="str">
        <f>IFERROR(VLOOKUP(D1036,Manual!$C$1:$E$22,2,FALSE),"Pend")</f>
        <v>Pend</v>
      </c>
      <c r="AS1036" t="str">
        <f t="shared" si="372"/>
        <v>Yes</v>
      </c>
      <c r="AT1036" t="str">
        <f t="shared" si="373"/>
        <v>Yes</v>
      </c>
      <c r="AU1036" s="51" t="str">
        <f t="shared" si="374"/>
        <v>Yes</v>
      </c>
      <c r="AV1036" s="12">
        <f>IFERROR(VLOOKUP(D1036,'Receivable Invoice Detail'!$S$1:$U$3014,3,FALSE),0)</f>
        <v>0</v>
      </c>
      <c r="AW1036" s="12">
        <f t="shared" si="375"/>
        <v>266.9492503502467</v>
      </c>
    </row>
    <row r="1037" spans="1:49" x14ac:dyDescent="0.25">
      <c r="A1037" s="2">
        <v>1</v>
      </c>
      <c r="B1037" s="2" t="s">
        <v>487</v>
      </c>
      <c r="C1037" s="2" t="s">
        <v>488</v>
      </c>
      <c r="D1037" s="2" t="s">
        <v>3256</v>
      </c>
      <c r="E1037" s="2" t="s">
        <v>465</v>
      </c>
      <c r="F1037" s="3">
        <v>45933.353888888887</v>
      </c>
      <c r="G1037" s="3">
        <v>45933.385046296287</v>
      </c>
      <c r="H1037" s="4">
        <v>45936</v>
      </c>
      <c r="I1037" s="2" t="s">
        <v>40</v>
      </c>
      <c r="J1037" s="2" t="s">
        <v>22</v>
      </c>
      <c r="K1037" s="2">
        <v>1</v>
      </c>
      <c r="L1037" s="2">
        <v>344.29</v>
      </c>
      <c r="M1037" s="2">
        <v>0</v>
      </c>
      <c r="N1037" s="2">
        <v>246.85032511247331</v>
      </c>
      <c r="O1037" s="2">
        <v>304.68</v>
      </c>
      <c r="P1037" s="2">
        <v>39.61</v>
      </c>
      <c r="Q1037" s="2">
        <v>344.29</v>
      </c>
      <c r="R1037" s="2" t="s">
        <v>44</v>
      </c>
      <c r="S1037" s="2"/>
      <c r="T1037" s="2">
        <f t="shared" si="357"/>
        <v>1</v>
      </c>
      <c r="U1037" s="18">
        <f t="shared" si="358"/>
        <v>10</v>
      </c>
      <c r="V1037" s="18">
        <f t="shared" si="359"/>
        <v>2025</v>
      </c>
      <c r="W1037" s="18">
        <f t="shared" si="360"/>
        <v>12</v>
      </c>
      <c r="X1037" s="18">
        <f t="shared" si="361"/>
        <v>2025</v>
      </c>
      <c r="Y1037" s="2">
        <f t="shared" si="354"/>
        <v>0.71698372044634839</v>
      </c>
      <c r="Z1037" t="str">
        <f t="shared" si="355"/>
        <v>SO17964</v>
      </c>
      <c r="AA1037" s="11">
        <f t="shared" si="362"/>
        <v>45933.353888888887</v>
      </c>
      <c r="AB1037" s="5" t="str">
        <f t="shared" si="363"/>
        <v>INV13501</v>
      </c>
      <c r="AC1037" s="5" t="str">
        <f>IFERROR(VLOOKUP(D1037,CAARStatus!$A$2:$AA$1600,22,FALSE),"Not invoiced")</f>
        <v>Paid</v>
      </c>
      <c r="AD1037" s="11">
        <f>IF(AC1037="Paid",IFERROR(VLOOKUP(D1037,CAARStatus!$A$2:$AA$1600,6,FALSE),"Pending"),"Pending")</f>
        <v>45995</v>
      </c>
      <c r="AE1037" s="5" t="str">
        <f t="shared" si="364"/>
        <v>M-084123</v>
      </c>
      <c r="AF1037" s="5" t="str">
        <f t="shared" si="365"/>
        <v>Grant Aggregate</v>
      </c>
      <c r="AG1037" s="5" t="str">
        <f t="shared" si="366"/>
        <v>CAD</v>
      </c>
      <c r="AH1037" s="5">
        <f t="shared" si="367"/>
        <v>304.68</v>
      </c>
      <c r="AI1037" s="12">
        <f>IF(L1037-N1037=0,VLOOKUP(U1037,rate!A$4:B$15,2,FALSE)*AH1037,IF(AG1037="USD",O1037,AH1037*Y1037))</f>
        <v>218.45059994559344</v>
      </c>
      <c r="AJ1037" s="13">
        <f t="shared" si="368"/>
        <v>0.71698372044634839</v>
      </c>
      <c r="AK1037" s="13">
        <f>-IF(AG1037="CAD",IFERROR(VLOOKUP(D1037,CAARStatus!$A$1:$Y$1600,16,FALSE),0),0)</f>
        <v>-304.68</v>
      </c>
      <c r="AL1037" s="13">
        <f>-IF(AG1037="USD",IFERROR(VLOOKUP(D1037,CAARStatus!$A$1:$Y$1600,11,FALSE),0),0)</f>
        <v>0</v>
      </c>
      <c r="AM1037" s="22">
        <f t="shared" si="369"/>
        <v>0</v>
      </c>
      <c r="AN1037" s="12" t="str">
        <f t="shared" si="370"/>
        <v/>
      </c>
      <c r="AO1037" s="12" t="str">
        <f t="shared" si="371"/>
        <v>Yes</v>
      </c>
      <c r="AP1037" t="str">
        <f t="shared" si="356"/>
        <v>Yes</v>
      </c>
      <c r="AQ1037" t="str">
        <f>IFERROR(VLOOKUP(Z1037,InvBal!$L$4:$P$600,4,FALSE),"Pend")</f>
        <v>Pend</v>
      </c>
      <c r="AR1037" t="str">
        <f>IFERROR(VLOOKUP(D1037,Manual!$C$1:$E$22,2,FALSE),"Pend")</f>
        <v>Pend</v>
      </c>
      <c r="AS1037" t="str">
        <f t="shared" si="372"/>
        <v>Yes</v>
      </c>
      <c r="AT1037" t="str">
        <f t="shared" si="373"/>
        <v>Yes</v>
      </c>
      <c r="AU1037" s="51" t="str">
        <f t="shared" si="374"/>
        <v>Yes</v>
      </c>
      <c r="AV1037" s="12">
        <f>IFERROR(VLOOKUP(D1037,'Receivable Invoice Detail'!$S$1:$U$3014,3,FALSE),0)</f>
        <v>0</v>
      </c>
      <c r="AW1037" s="12">
        <f t="shared" si="375"/>
        <v>218.45059994559344</v>
      </c>
    </row>
    <row r="1038" spans="1:49" x14ac:dyDescent="0.25">
      <c r="A1038" s="2">
        <v>0</v>
      </c>
      <c r="B1038" s="2" t="s">
        <v>6178</v>
      </c>
      <c r="C1038" s="2" t="s">
        <v>6179</v>
      </c>
      <c r="D1038" s="2"/>
      <c r="E1038" s="2" t="s">
        <v>141</v>
      </c>
      <c r="F1038" s="3">
        <v>45933.489664351851</v>
      </c>
      <c r="G1038" s="3">
        <v>46008.38453703704</v>
      </c>
      <c r="H1038" s="4">
        <v>46036</v>
      </c>
      <c r="I1038" s="2" t="s">
        <v>21</v>
      </c>
      <c r="J1038" s="2" t="s">
        <v>51</v>
      </c>
      <c r="K1038" s="2">
        <v>0.72641002219915185</v>
      </c>
      <c r="L1038" s="2">
        <v>3860.078900771633</v>
      </c>
      <c r="M1038" s="2">
        <v>0</v>
      </c>
      <c r="N1038" s="2">
        <v>2804</v>
      </c>
      <c r="O1038" s="2">
        <v>2804</v>
      </c>
      <c r="P1038" s="2"/>
      <c r="Q1038" s="2">
        <v>2804</v>
      </c>
      <c r="R1038" s="2" t="s">
        <v>29</v>
      </c>
      <c r="S1038" s="2"/>
      <c r="T1038" s="2">
        <f t="shared" si="357"/>
        <v>0</v>
      </c>
      <c r="U1038" s="18">
        <f t="shared" si="358"/>
        <v>10</v>
      </c>
      <c r="V1038" s="18">
        <f t="shared" si="359"/>
        <v>2025</v>
      </c>
      <c r="W1038" s="18" t="str">
        <f t="shared" si="360"/>
        <v/>
      </c>
      <c r="X1038" s="18" t="str">
        <f t="shared" si="361"/>
        <v/>
      </c>
      <c r="Y1038" s="2">
        <f t="shared" si="354"/>
        <v>0.72641002219915196</v>
      </c>
      <c r="Z1038" t="str">
        <f t="shared" si="355"/>
        <v>SO17965</v>
      </c>
      <c r="AA1038" s="11">
        <f t="shared" si="362"/>
        <v>45933.489664351851</v>
      </c>
      <c r="AB1038" s="5" t="str">
        <f t="shared" si="363"/>
        <v>No Inv</v>
      </c>
      <c r="AC1038" s="5" t="str">
        <f>IFERROR(VLOOKUP(D1038,CAARStatus!$A$2:$AA$1600,22,FALSE),"Not invoiced")</f>
        <v>Not invoiced</v>
      </c>
      <c r="AD1038" s="11" t="str">
        <f>IF(AC1038="Paid",IFERROR(VLOOKUP(D1038,CAARStatus!$A$2:$AA$1600,6,FALSE),"Pending"),"Pending")</f>
        <v>Pending</v>
      </c>
      <c r="AE1038" s="5" t="str">
        <f t="shared" si="364"/>
        <v>4512433925</v>
      </c>
      <c r="AF1038" s="5" t="str">
        <f t="shared" si="365"/>
        <v>PT Vale Indonesia Tbk.</v>
      </c>
      <c r="AG1038" s="5" t="str">
        <f t="shared" si="366"/>
        <v>USD</v>
      </c>
      <c r="AH1038" s="5">
        <f t="shared" si="367"/>
        <v>3860.0789007716335</v>
      </c>
      <c r="AI1038" s="12">
        <f>IF(L1038-N1038=0,VLOOKUP(U1038,rate!A$4:B$15,2,FALSE)*AH1038,IF(AG1038="USD",O1038,AH1038*Y1038))</f>
        <v>2804</v>
      </c>
      <c r="AJ1038" s="13">
        <f t="shared" si="368"/>
        <v>0.72641002219915185</v>
      </c>
      <c r="AK1038" s="13">
        <f>-IF(AG1038="CAD",IFERROR(VLOOKUP(D1038,CAARStatus!$A$1:$Y$1600,16,FALSE),0),0)</f>
        <v>0</v>
      </c>
      <c r="AL1038" s="13">
        <f>-IF(AG1038="USD",IFERROR(VLOOKUP(D1038,CAARStatus!$A$1:$Y$1600,11,FALSE),0),0)</f>
        <v>0</v>
      </c>
      <c r="AM1038" s="22" t="str">
        <f t="shared" si="369"/>
        <v/>
      </c>
      <c r="AN1038" s="12">
        <f t="shared" si="370"/>
        <v>2804</v>
      </c>
      <c r="AO1038" s="12" t="str">
        <f t="shared" si="371"/>
        <v>Pend</v>
      </c>
      <c r="AP1038" t="str">
        <f t="shared" si="356"/>
        <v>Pend</v>
      </c>
      <c r="AQ1038" t="str">
        <f>IFERROR(VLOOKUP(Z1038,InvBal!$L$4:$P$600,4,FALSE),"Pend")</f>
        <v>Pend</v>
      </c>
      <c r="AR1038" t="str">
        <f>IFERROR(VLOOKUP(D1038,Manual!$C$1:$E$22,2,FALSE),"Pend")</f>
        <v>Pend</v>
      </c>
      <c r="AS1038" t="str">
        <f t="shared" si="372"/>
        <v/>
      </c>
      <c r="AT1038" t="str">
        <f t="shared" si="373"/>
        <v/>
      </c>
      <c r="AU1038" s="51" t="str">
        <f t="shared" si="374"/>
        <v/>
      </c>
      <c r="AV1038" s="12">
        <f>IFERROR(VLOOKUP(D1038,'Receivable Invoice Detail'!$S$1:$U$3014,3,FALSE),0)</f>
        <v>0</v>
      </c>
      <c r="AW1038" s="12">
        <f t="shared" si="375"/>
        <v>0</v>
      </c>
    </row>
    <row r="1039" spans="1:49" x14ac:dyDescent="0.25">
      <c r="A1039" s="2">
        <v>1</v>
      </c>
      <c r="B1039" s="2" t="s">
        <v>443</v>
      </c>
      <c r="C1039" s="2" t="s">
        <v>444</v>
      </c>
      <c r="D1039" s="2" t="s">
        <v>3276</v>
      </c>
      <c r="E1039" s="2" t="s">
        <v>445</v>
      </c>
      <c r="F1039" s="3">
        <v>45933.574467592603</v>
      </c>
      <c r="G1039" s="3">
        <v>45939.60460648148</v>
      </c>
      <c r="H1039" s="4">
        <v>45947</v>
      </c>
      <c r="I1039" s="2" t="s">
        <v>74</v>
      </c>
      <c r="J1039" s="2" t="s">
        <v>51</v>
      </c>
      <c r="K1039" s="2">
        <v>0.71662274115503888</v>
      </c>
      <c r="L1039" s="2">
        <v>21115.71281649607</v>
      </c>
      <c r="M1039" s="2">
        <v>0</v>
      </c>
      <c r="N1039" s="2">
        <v>15132</v>
      </c>
      <c r="O1039" s="2">
        <v>15132</v>
      </c>
      <c r="P1039" s="2"/>
      <c r="Q1039" s="2">
        <v>15132</v>
      </c>
      <c r="R1039" s="2" t="s">
        <v>44</v>
      </c>
      <c r="S1039" s="2"/>
      <c r="T1039" s="2">
        <f t="shared" si="357"/>
        <v>1</v>
      </c>
      <c r="U1039" s="18">
        <f t="shared" si="358"/>
        <v>10</v>
      </c>
      <c r="V1039" s="18">
        <f t="shared" si="359"/>
        <v>2025</v>
      </c>
      <c r="W1039" s="18">
        <f t="shared" si="360"/>
        <v>11</v>
      </c>
      <c r="X1039" s="18">
        <f t="shared" si="361"/>
        <v>2025</v>
      </c>
      <c r="Y1039" s="2">
        <f t="shared" si="354"/>
        <v>0.71662274115503888</v>
      </c>
      <c r="Z1039" t="str">
        <f t="shared" si="355"/>
        <v>SO17966</v>
      </c>
      <c r="AA1039" s="11">
        <f t="shared" si="362"/>
        <v>45933.574467592603</v>
      </c>
      <c r="AB1039" s="5" t="str">
        <f t="shared" si="363"/>
        <v>INV13521</v>
      </c>
      <c r="AC1039" s="5" t="str">
        <f>IFERROR(VLOOKUP(D1039,CAARStatus!$A$2:$AA$1600,22,FALSE),"Not invoiced")</f>
        <v>Paid</v>
      </c>
      <c r="AD1039" s="11">
        <f>IF(AC1039="Paid",IFERROR(VLOOKUP(D1039,CAARStatus!$A$2:$AA$1600,6,FALSE),"Pending"),"Pending")</f>
        <v>45974</v>
      </c>
      <c r="AE1039" s="5" t="str">
        <f t="shared" si="364"/>
        <v>25-3035</v>
      </c>
      <c r="AF1039" s="5" t="str">
        <f t="shared" si="365"/>
        <v>Rueck Company Inc.</v>
      </c>
      <c r="AG1039" s="5" t="str">
        <f t="shared" si="366"/>
        <v>USD</v>
      </c>
      <c r="AH1039" s="5">
        <f t="shared" si="367"/>
        <v>21115.71281649607</v>
      </c>
      <c r="AI1039" s="12">
        <f>IF(L1039-N1039=0,VLOOKUP(U1039,rate!A$4:B$15,2,FALSE)*AH1039,IF(AG1039="USD",O1039,AH1039*Y1039))</f>
        <v>15132</v>
      </c>
      <c r="AJ1039" s="13">
        <f t="shared" si="368"/>
        <v>0.71662274115503888</v>
      </c>
      <c r="AK1039" s="13">
        <f>-IF(AG1039="CAD",IFERROR(VLOOKUP(D1039,CAARStatus!$A$1:$Y$1600,16,FALSE),0),0)</f>
        <v>0</v>
      </c>
      <c r="AL1039" s="13">
        <f>-IF(AG1039="USD",IFERROR(VLOOKUP(D1039,CAARStatus!$A$1:$Y$1600,11,FALSE),0),0)</f>
        <v>-15132</v>
      </c>
      <c r="AM1039" s="22" t="str">
        <f t="shared" si="369"/>
        <v/>
      </c>
      <c r="AN1039" s="12">
        <f t="shared" si="370"/>
        <v>0</v>
      </c>
      <c r="AO1039" s="12" t="str">
        <f t="shared" si="371"/>
        <v>Yes</v>
      </c>
      <c r="AP1039" t="str">
        <f t="shared" si="356"/>
        <v>Yes</v>
      </c>
      <c r="AQ1039" t="str">
        <f>IFERROR(VLOOKUP(Z1039,InvBal!$L$4:$P$600,4,FALSE),"Pend")</f>
        <v>Pend</v>
      </c>
      <c r="AR1039" t="str">
        <f>IFERROR(VLOOKUP(D1039,Manual!$C$1:$E$22,2,FALSE),"Pend")</f>
        <v>Pend</v>
      </c>
      <c r="AS1039" t="str">
        <f t="shared" si="372"/>
        <v>Yes</v>
      </c>
      <c r="AT1039" t="str">
        <f t="shared" si="373"/>
        <v>Yes</v>
      </c>
      <c r="AU1039" s="51" t="str">
        <f t="shared" si="374"/>
        <v>Yes</v>
      </c>
      <c r="AV1039" s="12">
        <f>IFERROR(VLOOKUP(D1039,'Receivable Invoice Detail'!$S$1:$U$3014,3,FALSE),0)</f>
        <v>120</v>
      </c>
      <c r="AW1039" s="12">
        <f t="shared" si="375"/>
        <v>15012</v>
      </c>
    </row>
    <row r="1040" spans="1:49" x14ac:dyDescent="0.25">
      <c r="A1040" s="2">
        <v>1</v>
      </c>
      <c r="B1040" s="2" t="s">
        <v>485</v>
      </c>
      <c r="C1040" s="2" t="s">
        <v>486</v>
      </c>
      <c r="D1040" s="2" t="s">
        <v>3257</v>
      </c>
      <c r="E1040" s="2" t="s">
        <v>64</v>
      </c>
      <c r="F1040" s="3">
        <v>45933.616828703707</v>
      </c>
      <c r="G1040" s="3">
        <v>45933.624988425923</v>
      </c>
      <c r="H1040" s="4">
        <v>45936</v>
      </c>
      <c r="I1040" s="2" t="s">
        <v>21</v>
      </c>
      <c r="J1040" s="2" t="s">
        <v>22</v>
      </c>
      <c r="K1040" s="2">
        <v>1</v>
      </c>
      <c r="L1040" s="2">
        <v>1418.24</v>
      </c>
      <c r="M1040" s="2">
        <v>0</v>
      </c>
      <c r="N1040" s="2">
        <v>1016.854991685829</v>
      </c>
      <c r="O1040" s="2">
        <v>1255.08</v>
      </c>
      <c r="P1040" s="2">
        <v>163.16</v>
      </c>
      <c r="Q1040" s="2">
        <v>1418.24</v>
      </c>
      <c r="R1040" s="2" t="s">
        <v>44</v>
      </c>
      <c r="S1040" s="2"/>
      <c r="T1040" s="2">
        <f t="shared" si="357"/>
        <v>1</v>
      </c>
      <c r="U1040" s="18">
        <f t="shared" si="358"/>
        <v>10</v>
      </c>
      <c r="V1040" s="18">
        <f t="shared" si="359"/>
        <v>2025</v>
      </c>
      <c r="W1040" s="18">
        <f t="shared" si="360"/>
        <v>11</v>
      </c>
      <c r="X1040" s="18">
        <f t="shared" si="361"/>
        <v>2025</v>
      </c>
      <c r="Y1040" s="2">
        <f t="shared" si="354"/>
        <v>0.71698372044634828</v>
      </c>
      <c r="Z1040" t="str">
        <f t="shared" si="355"/>
        <v>SO17968</v>
      </c>
      <c r="AA1040" s="11">
        <f t="shared" si="362"/>
        <v>45933.616828703707</v>
      </c>
      <c r="AB1040" s="5" t="str">
        <f t="shared" si="363"/>
        <v>INV13500</v>
      </c>
      <c r="AC1040" s="5" t="str">
        <f>IFERROR(VLOOKUP(D1040,CAARStatus!$A$2:$AA$1600,22,FALSE),"Not invoiced")</f>
        <v>Paid</v>
      </c>
      <c r="AD1040" s="11">
        <f>IF(AC1040="Paid",IFERROR(VLOOKUP(D1040,CAARStatus!$A$2:$AA$1600,6,FALSE),"Pending"),"Pending")</f>
        <v>45974</v>
      </c>
      <c r="AE1040" s="5" t="str">
        <f t="shared" si="364"/>
        <v>607051</v>
      </c>
      <c r="AF1040" s="5" t="str">
        <f t="shared" si="365"/>
        <v>Sealtrac Inc.</v>
      </c>
      <c r="AG1040" s="5" t="str">
        <f t="shared" si="366"/>
        <v>CAD</v>
      </c>
      <c r="AH1040" s="5">
        <f t="shared" si="367"/>
        <v>1255.08</v>
      </c>
      <c r="AI1040" s="12">
        <f>IF(L1040-N1040=0,VLOOKUP(U1040,rate!A$4:B$15,2,FALSE)*AH1040,IF(AG1040="USD",O1040,AH1040*Y1040))</f>
        <v>899.8719278578028</v>
      </c>
      <c r="AJ1040" s="13">
        <f t="shared" si="368"/>
        <v>0.71698372044634828</v>
      </c>
      <c r="AK1040" s="13">
        <f>-IF(AG1040="CAD",IFERROR(VLOOKUP(D1040,CAARStatus!$A$1:$Y$1600,16,FALSE),0),0)</f>
        <v>-1255.08</v>
      </c>
      <c r="AL1040" s="13">
        <f>-IF(AG1040="USD",IFERROR(VLOOKUP(D1040,CAARStatus!$A$1:$Y$1600,11,FALSE),0),0)</f>
        <v>0</v>
      </c>
      <c r="AM1040" s="22">
        <f t="shared" si="369"/>
        <v>0</v>
      </c>
      <c r="AN1040" s="12" t="str">
        <f t="shared" si="370"/>
        <v/>
      </c>
      <c r="AO1040" s="12" t="str">
        <f t="shared" si="371"/>
        <v>Yes</v>
      </c>
      <c r="AP1040" t="str">
        <f t="shared" si="356"/>
        <v>Yes</v>
      </c>
      <c r="AQ1040" t="str">
        <f>IFERROR(VLOOKUP(Z1040,InvBal!$L$4:$P$600,4,FALSE),"Pend")</f>
        <v>Pend</v>
      </c>
      <c r="AR1040" t="str">
        <f>IFERROR(VLOOKUP(D1040,Manual!$C$1:$E$22,2,FALSE),"Pend")</f>
        <v>Pend</v>
      </c>
      <c r="AS1040" t="str">
        <f t="shared" si="372"/>
        <v>Yes</v>
      </c>
      <c r="AT1040" t="str">
        <f t="shared" si="373"/>
        <v>Yes</v>
      </c>
      <c r="AU1040" s="51" t="str">
        <f t="shared" si="374"/>
        <v>Yes</v>
      </c>
      <c r="AV1040" s="12">
        <f>IFERROR(VLOOKUP(D1040,'Receivable Invoice Detail'!$S$1:$U$3014,3,FALSE),0)</f>
        <v>0</v>
      </c>
      <c r="AW1040" s="12">
        <f t="shared" si="375"/>
        <v>899.8719278578028</v>
      </c>
    </row>
    <row r="1041" spans="1:49" ht="30" x14ac:dyDescent="0.25">
      <c r="A1041" s="2">
        <v>1</v>
      </c>
      <c r="B1041" s="2" t="s">
        <v>483</v>
      </c>
      <c r="C1041" s="2" t="s">
        <v>484</v>
      </c>
      <c r="D1041" s="2" t="s">
        <v>3258</v>
      </c>
      <c r="E1041" s="2" t="s">
        <v>26</v>
      </c>
      <c r="F1041" s="3">
        <v>45933.726770833331</v>
      </c>
      <c r="G1041" s="3">
        <v>45933.724976851852</v>
      </c>
      <c r="H1041" s="4">
        <v>45950</v>
      </c>
      <c r="I1041" s="2" t="s">
        <v>36</v>
      </c>
      <c r="J1041" s="2" t="s">
        <v>22</v>
      </c>
      <c r="K1041" s="2">
        <v>1</v>
      </c>
      <c r="L1041" s="2">
        <v>803.27</v>
      </c>
      <c r="M1041" s="2">
        <v>0</v>
      </c>
      <c r="N1041" s="2">
        <v>575.93151312293833</v>
      </c>
      <c r="O1041" s="2">
        <v>765.02</v>
      </c>
      <c r="P1041" s="2">
        <v>38.25</v>
      </c>
      <c r="Q1041" s="2">
        <v>803.27</v>
      </c>
      <c r="R1041" s="2" t="s">
        <v>44</v>
      </c>
      <c r="S1041" s="2"/>
      <c r="T1041" s="2">
        <f t="shared" si="357"/>
        <v>1</v>
      </c>
      <c r="U1041" s="18">
        <f t="shared" si="358"/>
        <v>10</v>
      </c>
      <c r="V1041" s="18">
        <f t="shared" si="359"/>
        <v>2025</v>
      </c>
      <c r="W1041" s="18">
        <f t="shared" si="360"/>
        <v>12</v>
      </c>
      <c r="X1041" s="18">
        <f t="shared" si="361"/>
        <v>2025</v>
      </c>
      <c r="Y1041" s="2">
        <f t="shared" si="354"/>
        <v>0.7169837204463485</v>
      </c>
      <c r="Z1041" t="str">
        <f t="shared" si="355"/>
        <v>SO17969</v>
      </c>
      <c r="AA1041" s="11">
        <f t="shared" si="362"/>
        <v>45933.726770833331</v>
      </c>
      <c r="AB1041" s="5" t="str">
        <f t="shared" si="363"/>
        <v>INV13578</v>
      </c>
      <c r="AC1041" s="5" t="str">
        <f>IFERROR(VLOOKUP(D1041,CAARStatus!$A$2:$AA$1600,22,FALSE),"Not invoiced")</f>
        <v>Paid</v>
      </c>
      <c r="AD1041" s="11">
        <f>IF(AC1041="Paid",IFERROR(VLOOKUP(D1041,CAARStatus!$A$2:$AA$1600,6,FALSE),"Pending"),"Pending")</f>
        <v>46020</v>
      </c>
      <c r="AE1041" s="5" t="str">
        <f t="shared" si="364"/>
        <v>4500616255</v>
      </c>
      <c r="AF1041" s="5" t="str">
        <f t="shared" si="365"/>
        <v>Resolute Forest Products - Clermont</v>
      </c>
      <c r="AG1041" s="5" t="str">
        <f t="shared" si="366"/>
        <v>CAD</v>
      </c>
      <c r="AH1041" s="5">
        <f t="shared" si="367"/>
        <v>765.02</v>
      </c>
      <c r="AI1041" s="12">
        <f>IF(L1041-N1041=0,VLOOKUP(U1041,rate!A$4:B$15,2,FALSE)*AH1041,IF(AG1041="USD",O1041,AH1041*Y1041))</f>
        <v>548.50688581586553</v>
      </c>
      <c r="AJ1041" s="13">
        <f t="shared" si="368"/>
        <v>0.7169837204463485</v>
      </c>
      <c r="AK1041" s="13">
        <f>-IF(AG1041="CAD",IFERROR(VLOOKUP(D1041,CAARStatus!$A$1:$Y$1600,16,FALSE),0),0)</f>
        <v>-765.02</v>
      </c>
      <c r="AL1041" s="13">
        <f>-IF(AG1041="USD",IFERROR(VLOOKUP(D1041,CAARStatus!$A$1:$Y$1600,11,FALSE),0),0)</f>
        <v>0</v>
      </c>
      <c r="AM1041" s="22">
        <f t="shared" si="369"/>
        <v>0</v>
      </c>
      <c r="AN1041" s="12" t="str">
        <f t="shared" si="370"/>
        <v/>
      </c>
      <c r="AO1041" s="12" t="str">
        <f t="shared" si="371"/>
        <v>Yes</v>
      </c>
      <c r="AP1041" t="str">
        <f t="shared" si="356"/>
        <v>Yes</v>
      </c>
      <c r="AQ1041" t="str">
        <f>IFERROR(VLOOKUP(Z1041,InvBal!$L$4:$P$600,4,FALSE),"Pend")</f>
        <v>Pend</v>
      </c>
      <c r="AR1041" t="str">
        <f>IFERROR(VLOOKUP(D1041,Manual!$C$1:$E$22,2,FALSE),"Pend")</f>
        <v>Pend</v>
      </c>
      <c r="AS1041" t="str">
        <f t="shared" si="372"/>
        <v>Yes</v>
      </c>
      <c r="AT1041" t="str">
        <f t="shared" si="373"/>
        <v>Yes</v>
      </c>
      <c r="AU1041" s="51" t="str">
        <f t="shared" si="374"/>
        <v>Yes</v>
      </c>
      <c r="AV1041" s="12">
        <f>IFERROR(VLOOKUP(D1041,'Receivable Invoice Detail'!$S$1:$U$3014,3,FALSE),0)</f>
        <v>0</v>
      </c>
      <c r="AW1041" s="12">
        <f t="shared" si="375"/>
        <v>548.50688581586553</v>
      </c>
    </row>
    <row r="1042" spans="1:49" x14ac:dyDescent="0.25">
      <c r="A1042" s="2">
        <v>1</v>
      </c>
      <c r="B1042" s="2" t="s">
        <v>461</v>
      </c>
      <c r="C1042" s="2" t="s">
        <v>462</v>
      </c>
      <c r="D1042" s="2" t="s">
        <v>3268</v>
      </c>
      <c r="E1042" s="2" t="s">
        <v>64</v>
      </c>
      <c r="F1042" s="3">
        <v>45936.363923611112</v>
      </c>
      <c r="G1042" s="3">
        <v>45938.576435185183</v>
      </c>
      <c r="H1042" s="4">
        <v>45940</v>
      </c>
      <c r="I1042" s="2" t="s">
        <v>40</v>
      </c>
      <c r="J1042" s="2" t="s">
        <v>22</v>
      </c>
      <c r="K1042" s="2">
        <v>1</v>
      </c>
      <c r="L1042" s="2">
        <v>237.3</v>
      </c>
      <c r="M1042" s="2">
        <v>0</v>
      </c>
      <c r="N1042" s="2">
        <v>170.05457647609069</v>
      </c>
      <c r="O1042" s="2">
        <v>210</v>
      </c>
      <c r="P1042" s="2">
        <v>27.3</v>
      </c>
      <c r="Q1042" s="2">
        <v>237.3</v>
      </c>
      <c r="R1042" s="2" t="s">
        <v>44</v>
      </c>
      <c r="S1042" s="2"/>
      <c r="T1042" s="2">
        <f t="shared" si="357"/>
        <v>1</v>
      </c>
      <c r="U1042" s="18">
        <f t="shared" si="358"/>
        <v>10</v>
      </c>
      <c r="V1042" s="18">
        <f t="shared" si="359"/>
        <v>2025</v>
      </c>
      <c r="W1042" s="18">
        <f t="shared" si="360"/>
        <v>11</v>
      </c>
      <c r="X1042" s="18">
        <f t="shared" si="361"/>
        <v>2025</v>
      </c>
      <c r="Y1042" s="17">
        <f t="shared" si="354"/>
        <v>0.71662274115503866</v>
      </c>
      <c r="Z1042" t="str">
        <f t="shared" si="355"/>
        <v>SO17978</v>
      </c>
      <c r="AA1042" s="11">
        <f t="shared" si="362"/>
        <v>45936.363923611112</v>
      </c>
      <c r="AB1042" s="5" t="str">
        <f t="shared" si="363"/>
        <v>INV13514</v>
      </c>
      <c r="AC1042" s="5" t="str">
        <f>IFERROR(VLOOKUP(D1042,CAARStatus!$A$2:$AA$1600,22,FALSE),"Not invoiced")</f>
        <v>Paid</v>
      </c>
      <c r="AD1042" s="11">
        <f>IF(AC1042="Paid",IFERROR(VLOOKUP(D1042,CAARStatus!$A$2:$AA$1600,6,FALSE),"Pending"),"Pending")</f>
        <v>45973</v>
      </c>
      <c r="AE1042" s="5" t="str">
        <f t="shared" si="364"/>
        <v>607059</v>
      </c>
      <c r="AF1042" s="5" t="str">
        <f t="shared" si="365"/>
        <v>Sealtrac Inc.</v>
      </c>
      <c r="AG1042" s="5" t="str">
        <f t="shared" si="366"/>
        <v>CAD</v>
      </c>
      <c r="AH1042" s="5">
        <f t="shared" si="367"/>
        <v>210</v>
      </c>
      <c r="AI1042" s="12">
        <f>IF(L1042-N1042=0,VLOOKUP(U1042,rate!A$4:B$15,2,FALSE)*AH1042,IF(AG1042="USD",O1042,AH1042*Y1042))</f>
        <v>150.49077564255811</v>
      </c>
      <c r="AJ1042" s="13">
        <f t="shared" si="368"/>
        <v>0.71662274115503855</v>
      </c>
      <c r="AK1042" s="13">
        <f>-IF(AG1042="CAD",IFERROR(VLOOKUP(D1042,CAARStatus!$A$1:$Y$1600,16,FALSE),0),0)</f>
        <v>-210</v>
      </c>
      <c r="AL1042" s="13">
        <f>-IF(AG1042="USD",IFERROR(VLOOKUP(D1042,CAARStatus!$A$1:$Y$1600,11,FALSE),0),0)</f>
        <v>0</v>
      </c>
      <c r="AM1042" s="22">
        <f t="shared" si="369"/>
        <v>0</v>
      </c>
      <c r="AN1042" s="12" t="str">
        <f t="shared" si="370"/>
        <v/>
      </c>
      <c r="AO1042" s="12" t="str">
        <f t="shared" si="371"/>
        <v>Yes</v>
      </c>
      <c r="AP1042" t="str">
        <f t="shared" si="356"/>
        <v>Yes</v>
      </c>
      <c r="AQ1042" t="str">
        <f>IFERROR(VLOOKUP(Z1042,InvBal!$L$4:$P$600,4,FALSE),"Pend")</f>
        <v>Pend</v>
      </c>
      <c r="AR1042" t="str">
        <f>IFERROR(VLOOKUP(D1042,Manual!$C$1:$E$22,2,FALSE),"Pend")</f>
        <v>Pend</v>
      </c>
      <c r="AS1042" t="str">
        <f t="shared" si="372"/>
        <v>Yes</v>
      </c>
      <c r="AT1042" t="str">
        <f t="shared" si="373"/>
        <v>Yes</v>
      </c>
      <c r="AU1042" s="51" t="str">
        <f t="shared" si="374"/>
        <v>Yes</v>
      </c>
      <c r="AV1042" s="12">
        <f>IFERROR(VLOOKUP(D1042,'Receivable Invoice Detail'!$S$1:$U$3014,3,FALSE),0)</f>
        <v>0</v>
      </c>
      <c r="AW1042" s="12">
        <f t="shared" si="375"/>
        <v>150.49077564255811</v>
      </c>
    </row>
    <row r="1043" spans="1:49" ht="30" x14ac:dyDescent="0.25">
      <c r="A1043" s="2">
        <v>1</v>
      </c>
      <c r="B1043" s="2" t="s">
        <v>481</v>
      </c>
      <c r="C1043" s="2" t="s">
        <v>482</v>
      </c>
      <c r="D1043" s="2" t="s">
        <v>3259</v>
      </c>
      <c r="E1043" s="2" t="s">
        <v>121</v>
      </c>
      <c r="F1043" s="3">
        <v>45936.426354166673</v>
      </c>
      <c r="G1043" s="3">
        <v>45936.433055555557</v>
      </c>
      <c r="H1043" s="4">
        <v>45938</v>
      </c>
      <c r="I1043" s="2" t="s">
        <v>40</v>
      </c>
      <c r="J1043" s="2" t="s">
        <v>22</v>
      </c>
      <c r="K1043" s="2">
        <v>1</v>
      </c>
      <c r="L1043" s="2">
        <v>1857.58</v>
      </c>
      <c r="M1043" s="2">
        <v>0</v>
      </c>
      <c r="N1043" s="2">
        <v>1331.8192166341139</v>
      </c>
      <c r="O1043" s="2">
        <v>1769.12</v>
      </c>
      <c r="P1043" s="2">
        <v>88.46</v>
      </c>
      <c r="Q1043" s="2">
        <v>1857.58</v>
      </c>
      <c r="R1043" s="2" t="s">
        <v>44</v>
      </c>
      <c r="S1043" s="2"/>
      <c r="T1043" s="2">
        <f t="shared" si="357"/>
        <v>1</v>
      </c>
      <c r="U1043" s="18">
        <f t="shared" si="358"/>
        <v>10</v>
      </c>
      <c r="V1043" s="18">
        <f t="shared" si="359"/>
        <v>2025</v>
      </c>
      <c r="W1043" s="18" t="str">
        <f t="shared" si="360"/>
        <v/>
      </c>
      <c r="X1043" s="18" t="str">
        <f t="shared" si="361"/>
        <v/>
      </c>
      <c r="Y1043" s="2">
        <f t="shared" si="354"/>
        <v>0.71696466189026253</v>
      </c>
      <c r="Z1043" t="str">
        <f t="shared" si="355"/>
        <v>SO17980</v>
      </c>
      <c r="AA1043" s="11">
        <f t="shared" si="362"/>
        <v>45936.426354166673</v>
      </c>
      <c r="AB1043" s="5" t="str">
        <f t="shared" si="363"/>
        <v>INV13504</v>
      </c>
      <c r="AC1043" s="5" t="str">
        <f>IFERROR(VLOOKUP(D1043,CAARStatus!$A$2:$AA$1600,22,FALSE),"Not invoiced")</f>
        <v>Approved</v>
      </c>
      <c r="AD1043" s="11" t="str">
        <f>IF(AC1043="Paid",IFERROR(VLOOKUP(D1043,CAARStatus!$A$2:$AA$1600,6,FALSE),"Pending"),"Pending")</f>
        <v>Pending</v>
      </c>
      <c r="AE1043" s="5" t="str">
        <f t="shared" si="364"/>
        <v>4500588431</v>
      </c>
      <c r="AF1043" s="5" t="str">
        <f t="shared" si="365"/>
        <v>Glencore Canada Corporation - Rouyn-Noranda</v>
      </c>
      <c r="AG1043" s="5" t="str">
        <f t="shared" si="366"/>
        <v>CAD</v>
      </c>
      <c r="AH1043" s="5">
        <f t="shared" si="367"/>
        <v>1769.12</v>
      </c>
      <c r="AI1043" s="12">
        <f>IF(L1043-N1043=0,VLOOKUP(U1043,rate!A$4:B$15,2,FALSE)*AH1043,IF(AG1043="USD",O1043,AH1043*Y1043))</f>
        <v>1268.3965226433011</v>
      </c>
      <c r="AJ1043" s="13">
        <f t="shared" si="368"/>
        <v>0.71696466189026242</v>
      </c>
      <c r="AK1043" s="13">
        <f>-IF(AG1043="CAD",IFERROR(VLOOKUP(D1043,CAARStatus!$A$1:$Y$1600,16,FALSE),0),0)</f>
        <v>-1769.12</v>
      </c>
      <c r="AL1043" s="13">
        <f>-IF(AG1043="USD",IFERROR(VLOOKUP(D1043,CAARStatus!$A$1:$Y$1600,11,FALSE),0),0)</f>
        <v>0</v>
      </c>
      <c r="AM1043" s="22">
        <f t="shared" si="369"/>
        <v>0</v>
      </c>
      <c r="AN1043" s="12" t="str">
        <f t="shared" si="370"/>
        <v/>
      </c>
      <c r="AO1043" s="12" t="str">
        <f t="shared" si="371"/>
        <v>Pend</v>
      </c>
      <c r="AP1043" t="str">
        <f t="shared" si="356"/>
        <v>Pend</v>
      </c>
      <c r="AQ1043" t="str">
        <f>IFERROR(VLOOKUP(Z1043,InvBal!$L$4:$P$600,4,FALSE),"Pend")</f>
        <v>Pend</v>
      </c>
      <c r="AR1043" t="str">
        <f>IFERROR(VLOOKUP(D1043,Manual!$C$1:$E$22,2,FALSE),"Pend")</f>
        <v>Pend</v>
      </c>
      <c r="AS1043" t="str">
        <f t="shared" si="372"/>
        <v/>
      </c>
      <c r="AT1043" t="str">
        <f t="shared" si="373"/>
        <v>Yes</v>
      </c>
      <c r="AU1043" s="51" t="str">
        <f t="shared" si="374"/>
        <v/>
      </c>
      <c r="AV1043" s="12">
        <f>IFERROR(VLOOKUP(D1043,'Receivable Invoice Detail'!$S$1:$U$3014,3,FALSE),0)</f>
        <v>0</v>
      </c>
      <c r="AW1043" s="12">
        <f t="shared" si="375"/>
        <v>0</v>
      </c>
    </row>
    <row r="1044" spans="1:49" x14ac:dyDescent="0.25">
      <c r="A1044" s="2">
        <v>1</v>
      </c>
      <c r="B1044" s="2" t="s">
        <v>479</v>
      </c>
      <c r="C1044" s="2" t="s">
        <v>480</v>
      </c>
      <c r="D1044" s="2" t="s">
        <v>3260</v>
      </c>
      <c r="E1044" s="2" t="s">
        <v>141</v>
      </c>
      <c r="F1044" s="3">
        <v>45936.474953703713</v>
      </c>
      <c r="G1044" s="3">
        <v>45936.478831018518</v>
      </c>
      <c r="H1044" s="4">
        <v>45937</v>
      </c>
      <c r="I1044" s="2" t="s">
        <v>21</v>
      </c>
      <c r="J1044" s="2" t="s">
        <v>51</v>
      </c>
      <c r="K1044" s="2">
        <v>0.71619571643310909</v>
      </c>
      <c r="L1044" s="2">
        <v>1367.363665447815</v>
      </c>
      <c r="M1044" s="2">
        <v>0</v>
      </c>
      <c r="N1044" s="2">
        <v>979.3</v>
      </c>
      <c r="O1044" s="2">
        <v>979.3</v>
      </c>
      <c r="P1044" s="2"/>
      <c r="Q1044" s="2">
        <v>979.3</v>
      </c>
      <c r="R1044" s="2" t="s">
        <v>44</v>
      </c>
      <c r="S1044" s="2"/>
      <c r="T1044" s="2">
        <f t="shared" si="357"/>
        <v>1</v>
      </c>
      <c r="U1044" s="18">
        <f t="shared" si="358"/>
        <v>10</v>
      </c>
      <c r="V1044" s="18">
        <f t="shared" si="359"/>
        <v>2025</v>
      </c>
      <c r="W1044" s="18" t="str">
        <f t="shared" si="360"/>
        <v/>
      </c>
      <c r="X1044" s="18" t="str">
        <f t="shared" si="361"/>
        <v/>
      </c>
      <c r="Y1044" s="2">
        <f t="shared" si="354"/>
        <v>0.71619571643310909</v>
      </c>
      <c r="Z1044" t="str">
        <f t="shared" si="355"/>
        <v>SO17981</v>
      </c>
      <c r="AA1044" s="11">
        <f t="shared" si="362"/>
        <v>45936.474953703713</v>
      </c>
      <c r="AB1044" s="5" t="str">
        <f t="shared" si="363"/>
        <v>INV13483</v>
      </c>
      <c r="AC1044" s="5" t="str">
        <f>IFERROR(VLOOKUP(D1044,CAARStatus!$A$2:$AA$1600,22,FALSE),"Not invoiced")</f>
        <v>Approved</v>
      </c>
      <c r="AD1044" s="11" t="str">
        <f>IF(AC1044="Paid",IFERROR(VLOOKUP(D1044,CAARStatus!$A$2:$AA$1600,6,FALSE),"Pending"),"Pending")</f>
        <v>Pending</v>
      </c>
      <c r="AE1044" s="5" t="str">
        <f t="shared" si="364"/>
        <v>4512404066</v>
      </c>
      <c r="AF1044" s="5" t="str">
        <f t="shared" si="365"/>
        <v>PT Vale Indonesia Tbk.</v>
      </c>
      <c r="AG1044" s="5" t="str">
        <f t="shared" si="366"/>
        <v>USD</v>
      </c>
      <c r="AH1044" s="5">
        <f t="shared" si="367"/>
        <v>1367.363665447815</v>
      </c>
      <c r="AI1044" s="12">
        <f>IF(L1044-N1044=0,VLOOKUP(U1044,rate!A$4:B$15,2,FALSE)*AH1044,IF(AG1044="USD",O1044,AH1044*Y1044))</f>
        <v>979.3</v>
      </c>
      <c r="AJ1044" s="13">
        <f t="shared" si="368"/>
        <v>0.71619571643310909</v>
      </c>
      <c r="AK1044" s="13">
        <f>-IF(AG1044="CAD",IFERROR(VLOOKUP(D1044,CAARStatus!$A$1:$Y$1600,16,FALSE),0),0)</f>
        <v>0</v>
      </c>
      <c r="AL1044" s="13">
        <f>-IF(AG1044="USD",IFERROR(VLOOKUP(D1044,CAARStatus!$A$1:$Y$1600,11,FALSE),0),0)</f>
        <v>-979.3</v>
      </c>
      <c r="AM1044" s="22" t="str">
        <f t="shared" si="369"/>
        <v/>
      </c>
      <c r="AN1044" s="12">
        <f t="shared" si="370"/>
        <v>0</v>
      </c>
      <c r="AO1044" s="12" t="str">
        <f t="shared" si="371"/>
        <v>Pend</v>
      </c>
      <c r="AP1044" t="str">
        <f t="shared" si="356"/>
        <v>Pend</v>
      </c>
      <c r="AQ1044" t="str">
        <f>IFERROR(VLOOKUP(Z1044,InvBal!$L$4:$P$600,4,FALSE),"Pend")</f>
        <v>Pend</v>
      </c>
      <c r="AR1044" t="str">
        <f>IFERROR(VLOOKUP(D1044,Manual!$C$1:$E$22,2,FALSE),"Pend")</f>
        <v>Pend</v>
      </c>
      <c r="AS1044" t="str">
        <f t="shared" si="372"/>
        <v/>
      </c>
      <c r="AT1044" t="str">
        <f t="shared" si="373"/>
        <v>Yes</v>
      </c>
      <c r="AU1044" s="51" t="str">
        <f t="shared" si="374"/>
        <v/>
      </c>
      <c r="AV1044" s="12">
        <f>IFERROR(VLOOKUP(D1044,'Receivable Invoice Detail'!$S$1:$U$3014,3,FALSE),0)</f>
        <v>0</v>
      </c>
      <c r="AW1044" s="12">
        <f t="shared" si="375"/>
        <v>0</v>
      </c>
    </row>
    <row r="1045" spans="1:49" ht="30" x14ac:dyDescent="0.25">
      <c r="A1045" s="2">
        <v>1</v>
      </c>
      <c r="B1045" s="2" t="s">
        <v>475</v>
      </c>
      <c r="C1045" s="2" t="s">
        <v>476</v>
      </c>
      <c r="D1045" s="2" t="s">
        <v>3262</v>
      </c>
      <c r="E1045" s="2" t="s">
        <v>98</v>
      </c>
      <c r="F1045" s="3">
        <v>45936.4843287037</v>
      </c>
      <c r="G1045" s="3">
        <v>45937.364502314813</v>
      </c>
      <c r="H1045" s="4">
        <v>45944</v>
      </c>
      <c r="I1045" s="2" t="s">
        <v>74</v>
      </c>
      <c r="J1045" s="2" t="s">
        <v>22</v>
      </c>
      <c r="K1045" s="2">
        <v>1</v>
      </c>
      <c r="L1045" s="2">
        <v>2714.99</v>
      </c>
      <c r="M1045" s="2">
        <v>2714.99</v>
      </c>
      <c r="N1045" s="2">
        <v>2714.99</v>
      </c>
      <c r="O1045" s="2">
        <v>2402.65</v>
      </c>
      <c r="P1045" s="2">
        <v>312.33999999999997</v>
      </c>
      <c r="Q1045" s="2">
        <v>2714.99</v>
      </c>
      <c r="R1045" s="2" t="s">
        <v>44</v>
      </c>
      <c r="S1045" s="2"/>
      <c r="T1045" s="2">
        <f t="shared" si="357"/>
        <v>1</v>
      </c>
      <c r="U1045" s="18">
        <f t="shared" si="358"/>
        <v>10</v>
      </c>
      <c r="V1045" s="18">
        <f t="shared" si="359"/>
        <v>2025</v>
      </c>
      <c r="W1045" s="18">
        <f t="shared" si="360"/>
        <v>11</v>
      </c>
      <c r="X1045" s="18">
        <f t="shared" si="361"/>
        <v>2025</v>
      </c>
      <c r="Y1045" s="2">
        <f t="shared" si="354"/>
        <v>1</v>
      </c>
      <c r="Z1045" t="str">
        <f t="shared" si="355"/>
        <v>SO17982</v>
      </c>
      <c r="AA1045" s="11">
        <f t="shared" si="362"/>
        <v>45936.4843287037</v>
      </c>
      <c r="AB1045" s="5" t="str">
        <f t="shared" si="363"/>
        <v>INV13522</v>
      </c>
      <c r="AC1045" s="5" t="str">
        <f>IFERROR(VLOOKUP(D1045,CAARStatus!$A$2:$AA$1600,22,FALSE),"Not invoiced")</f>
        <v>Paid</v>
      </c>
      <c r="AD1045" s="11">
        <f>IF(AC1045="Paid",IFERROR(VLOOKUP(D1045,CAARStatus!$A$2:$AA$1600,6,FALSE),"Pending"),"Pending")</f>
        <v>45967</v>
      </c>
      <c r="AE1045" s="5" t="str">
        <f t="shared" si="364"/>
        <v>PO-008330</v>
      </c>
      <c r="AF1045" s="5" t="str">
        <f t="shared" si="365"/>
        <v>Sling-Choker Manufacturing - Timmins</v>
      </c>
      <c r="AG1045" s="5" t="str">
        <f t="shared" si="366"/>
        <v>CAD</v>
      </c>
      <c r="AH1045" s="5">
        <f t="shared" si="367"/>
        <v>2402.65</v>
      </c>
      <c r="AI1045" s="12">
        <f>IF(L1045-N1045=0,VLOOKUP(U1045,rate!A$4:B$15,2,FALSE)*AH1045,IF(AG1045="USD",O1045,AH1045*Y1045))</f>
        <v>1718.41979557274</v>
      </c>
      <c r="AJ1045" s="13">
        <f t="shared" si="368"/>
        <v>0.71521852769764216</v>
      </c>
      <c r="AK1045" s="13">
        <f>-IF(AG1045="CAD",IFERROR(VLOOKUP(D1045,CAARStatus!$A$1:$Y$1600,16,FALSE),0),0)</f>
        <v>-2402.65</v>
      </c>
      <c r="AL1045" s="13">
        <f>-IF(AG1045="USD",IFERROR(VLOOKUP(D1045,CAARStatus!$A$1:$Y$1600,11,FALSE),0),0)</f>
        <v>0</v>
      </c>
      <c r="AM1045" s="22">
        <f t="shared" si="369"/>
        <v>0</v>
      </c>
      <c r="AN1045" s="12" t="str">
        <f t="shared" si="370"/>
        <v/>
      </c>
      <c r="AO1045" s="12" t="str">
        <f t="shared" si="371"/>
        <v>Yes</v>
      </c>
      <c r="AP1045" t="str">
        <f t="shared" si="356"/>
        <v>Yes</v>
      </c>
      <c r="AQ1045" t="str">
        <f>IFERROR(VLOOKUP(Z1045,InvBal!$L$4:$P$600,4,FALSE),"Pend")</f>
        <v>Pend</v>
      </c>
      <c r="AR1045" t="str">
        <f>IFERROR(VLOOKUP(D1045,Manual!$C$1:$E$22,2,FALSE),"Pend")</f>
        <v>Pend</v>
      </c>
      <c r="AS1045" t="str">
        <f t="shared" si="372"/>
        <v>Yes</v>
      </c>
      <c r="AT1045" t="str">
        <f t="shared" si="373"/>
        <v>Yes</v>
      </c>
      <c r="AU1045" s="51" t="str">
        <f t="shared" si="374"/>
        <v>Yes</v>
      </c>
      <c r="AV1045" s="12">
        <f>IFERROR(VLOOKUP(D1045,'Receivable Invoice Detail'!$S$1:$U$3014,3,FALSE),0)</f>
        <v>0</v>
      </c>
      <c r="AW1045" s="12">
        <f t="shared" si="375"/>
        <v>1718.41979557274</v>
      </c>
    </row>
    <row r="1046" spans="1:49" x14ac:dyDescent="0.25">
      <c r="A1046" s="2">
        <v>1</v>
      </c>
      <c r="B1046" s="2" t="s">
        <v>477</v>
      </c>
      <c r="C1046" s="2" t="s">
        <v>478</v>
      </c>
      <c r="D1046" s="2" t="s">
        <v>3261</v>
      </c>
      <c r="E1046" s="2" t="s">
        <v>141</v>
      </c>
      <c r="F1046" s="3">
        <v>45936.497615740736</v>
      </c>
      <c r="G1046" s="3">
        <v>45936.498194444437</v>
      </c>
      <c r="H1046" s="4">
        <v>46006</v>
      </c>
      <c r="I1046" s="2" t="s">
        <v>21</v>
      </c>
      <c r="J1046" s="2" t="s">
        <v>51</v>
      </c>
      <c r="K1046" s="2">
        <v>0.71619571643310909</v>
      </c>
      <c r="L1046" s="2">
        <v>1020.572984770521</v>
      </c>
      <c r="M1046" s="2">
        <v>0</v>
      </c>
      <c r="N1046" s="2">
        <v>730.93</v>
      </c>
      <c r="O1046" s="2">
        <v>730.93</v>
      </c>
      <c r="P1046" s="2"/>
      <c r="Q1046" s="2">
        <v>730.93</v>
      </c>
      <c r="R1046" s="2" t="s">
        <v>44</v>
      </c>
      <c r="S1046" s="2"/>
      <c r="T1046" s="2">
        <f t="shared" si="357"/>
        <v>1</v>
      </c>
      <c r="U1046" s="18">
        <f t="shared" si="358"/>
        <v>10</v>
      </c>
      <c r="V1046" s="18">
        <f t="shared" si="359"/>
        <v>2025</v>
      </c>
      <c r="W1046" s="18" t="str">
        <f t="shared" si="360"/>
        <v/>
      </c>
      <c r="X1046" s="18" t="str">
        <f t="shared" si="361"/>
        <v/>
      </c>
      <c r="Y1046" s="2">
        <f t="shared" si="354"/>
        <v>0.7161957164331092</v>
      </c>
      <c r="Z1046" t="str">
        <f t="shared" si="355"/>
        <v>SO17983</v>
      </c>
      <c r="AA1046" s="11">
        <f t="shared" si="362"/>
        <v>45936.497615740736</v>
      </c>
      <c r="AB1046" s="5" t="str">
        <f t="shared" si="363"/>
        <v>INV13596</v>
      </c>
      <c r="AC1046" s="5" t="str">
        <f>IFERROR(VLOOKUP(D1046,CAARStatus!$A$2:$AA$1600,22,FALSE),"Not invoiced")</f>
        <v>Approved</v>
      </c>
      <c r="AD1046" s="11" t="str">
        <f>IF(AC1046="Paid",IFERROR(VLOOKUP(D1046,CAARStatus!$A$2:$AA$1600,6,FALSE),"Pending"),"Pending")</f>
        <v>Pending</v>
      </c>
      <c r="AE1046" s="5" t="str">
        <f t="shared" si="364"/>
        <v>4512404006</v>
      </c>
      <c r="AF1046" s="5" t="str">
        <f t="shared" si="365"/>
        <v>PT Vale Indonesia Tbk.</v>
      </c>
      <c r="AG1046" s="5" t="str">
        <f t="shared" si="366"/>
        <v>USD</v>
      </c>
      <c r="AH1046" s="5">
        <f t="shared" si="367"/>
        <v>1020.5729847705212</v>
      </c>
      <c r="AI1046" s="12">
        <f>IF(L1046-N1046=0,VLOOKUP(U1046,rate!A$4:B$15,2,FALSE)*AH1046,IF(AG1046="USD",O1046,AH1046*Y1046))</f>
        <v>730.93</v>
      </c>
      <c r="AJ1046" s="13">
        <f t="shared" si="368"/>
        <v>0.71619571643310909</v>
      </c>
      <c r="AK1046" s="13">
        <f>-IF(AG1046="CAD",IFERROR(VLOOKUP(D1046,CAARStatus!$A$1:$Y$1600,16,FALSE),0),0)</f>
        <v>0</v>
      </c>
      <c r="AL1046" s="13">
        <f>-IF(AG1046="USD",IFERROR(VLOOKUP(D1046,CAARStatus!$A$1:$Y$1600,11,FALSE),0),0)</f>
        <v>-730.93</v>
      </c>
      <c r="AM1046" s="22" t="str">
        <f t="shared" si="369"/>
        <v/>
      </c>
      <c r="AN1046" s="12">
        <f t="shared" si="370"/>
        <v>0</v>
      </c>
      <c r="AO1046" s="12" t="str">
        <f t="shared" si="371"/>
        <v>Pend</v>
      </c>
      <c r="AP1046" t="str">
        <f t="shared" si="356"/>
        <v>Pend</v>
      </c>
      <c r="AQ1046" t="str">
        <f>IFERROR(VLOOKUP(Z1046,InvBal!$L$4:$P$600,4,FALSE),"Pend")</f>
        <v>Pend</v>
      </c>
      <c r="AR1046" t="str">
        <f>IFERROR(VLOOKUP(D1046,Manual!$C$1:$E$22,2,FALSE),"Pend")</f>
        <v>Pend</v>
      </c>
      <c r="AS1046" t="str">
        <f t="shared" si="372"/>
        <v/>
      </c>
      <c r="AT1046" t="str">
        <f t="shared" si="373"/>
        <v>Yes</v>
      </c>
      <c r="AU1046" s="51" t="str">
        <f t="shared" si="374"/>
        <v/>
      </c>
      <c r="AV1046" s="12">
        <f>IFERROR(VLOOKUP(D1046,'Receivable Invoice Detail'!$S$1:$U$3014,3,FALSE),0)</f>
        <v>0</v>
      </c>
      <c r="AW1046" s="12">
        <f t="shared" si="375"/>
        <v>0</v>
      </c>
    </row>
    <row r="1047" spans="1:49" x14ac:dyDescent="0.25">
      <c r="A1047" s="2">
        <v>1</v>
      </c>
      <c r="B1047" s="2" t="s">
        <v>388</v>
      </c>
      <c r="C1047" s="2" t="s">
        <v>389</v>
      </c>
      <c r="D1047" s="2" t="s">
        <v>3293</v>
      </c>
      <c r="E1047" s="2" t="s">
        <v>242</v>
      </c>
      <c r="F1047" s="3">
        <v>45936.652407407397</v>
      </c>
      <c r="G1047" s="3">
        <v>45946.538275462961</v>
      </c>
      <c r="H1047" s="4">
        <v>45947</v>
      </c>
      <c r="I1047" s="2" t="s">
        <v>40</v>
      </c>
      <c r="J1047" s="2" t="s">
        <v>22</v>
      </c>
      <c r="K1047" s="2">
        <v>1</v>
      </c>
      <c r="L1047" s="2">
        <v>173.13</v>
      </c>
      <c r="M1047" s="2">
        <v>0</v>
      </c>
      <c r="N1047" s="2">
        <v>123.2481729135411</v>
      </c>
      <c r="O1047" s="2">
        <v>164.89</v>
      </c>
      <c r="P1047" s="2">
        <v>8.24</v>
      </c>
      <c r="Q1047" s="2">
        <v>173.13</v>
      </c>
      <c r="R1047" s="2" t="s">
        <v>44</v>
      </c>
      <c r="S1047" s="2"/>
      <c r="T1047" s="2">
        <f t="shared" si="357"/>
        <v>1</v>
      </c>
      <c r="U1047" s="18">
        <f t="shared" si="358"/>
        <v>10</v>
      </c>
      <c r="V1047" s="18">
        <f t="shared" si="359"/>
        <v>2025</v>
      </c>
      <c r="W1047" s="18">
        <f t="shared" si="360"/>
        <v>12</v>
      </c>
      <c r="X1047" s="18">
        <f t="shared" si="361"/>
        <v>2025</v>
      </c>
      <c r="Y1047" s="2">
        <f t="shared" si="354"/>
        <v>0.71188224405672673</v>
      </c>
      <c r="Z1047" t="str">
        <f t="shared" si="355"/>
        <v>SO17985</v>
      </c>
      <c r="AA1047" s="11">
        <f t="shared" si="362"/>
        <v>45936.652407407397</v>
      </c>
      <c r="AB1047" s="5" t="str">
        <f t="shared" si="363"/>
        <v>INV13582</v>
      </c>
      <c r="AC1047" s="5" t="str">
        <f>IFERROR(VLOOKUP(D1047,CAARStatus!$A$2:$AA$1600,22,FALSE),"Not invoiced")</f>
        <v>Paid</v>
      </c>
      <c r="AD1047" s="11">
        <f>IF(AC1047="Paid",IFERROR(VLOOKUP(D1047,CAARStatus!$A$2:$AA$1600,6,FALSE),"Pending"),"Pending")</f>
        <v>45995</v>
      </c>
      <c r="AE1047" s="5" t="str">
        <f t="shared" si="364"/>
        <v>2100673685</v>
      </c>
      <c r="AF1047" s="5" t="str">
        <f t="shared" si="365"/>
        <v>Wajax Limited - Noranda</v>
      </c>
      <c r="AG1047" s="5" t="str">
        <f t="shared" si="366"/>
        <v>CAD</v>
      </c>
      <c r="AH1047" s="5">
        <f t="shared" si="367"/>
        <v>164.89</v>
      </c>
      <c r="AI1047" s="12">
        <f>IF(L1047-N1047=0,VLOOKUP(U1047,rate!A$4:B$15,2,FALSE)*AH1047,IF(AG1047="USD",O1047,AH1047*Y1047))</f>
        <v>117.38226322251366</v>
      </c>
      <c r="AJ1047" s="13">
        <f t="shared" si="368"/>
        <v>0.71188224405672673</v>
      </c>
      <c r="AK1047" s="13">
        <f>-IF(AG1047="CAD",IFERROR(VLOOKUP(D1047,CAARStatus!$A$1:$Y$1600,16,FALSE),0),0)</f>
        <v>-164.89</v>
      </c>
      <c r="AL1047" s="13">
        <f>-IF(AG1047="USD",IFERROR(VLOOKUP(D1047,CAARStatus!$A$1:$Y$1600,11,FALSE),0),0)</f>
        <v>0</v>
      </c>
      <c r="AM1047" s="22">
        <f t="shared" si="369"/>
        <v>0</v>
      </c>
      <c r="AN1047" s="12" t="str">
        <f t="shared" si="370"/>
        <v/>
      </c>
      <c r="AO1047" s="12" t="str">
        <f t="shared" si="371"/>
        <v>Yes</v>
      </c>
      <c r="AP1047" t="str">
        <f t="shared" si="356"/>
        <v>Yes</v>
      </c>
      <c r="AQ1047" t="str">
        <f>IFERROR(VLOOKUP(Z1047,InvBal!$L$4:$P$600,4,FALSE),"Pend")</f>
        <v>Pend</v>
      </c>
      <c r="AR1047" t="str">
        <f>IFERROR(VLOOKUP(D1047,Manual!$C$1:$E$22,2,FALSE),"Pend")</f>
        <v>Pend</v>
      </c>
      <c r="AS1047" t="str">
        <f t="shared" si="372"/>
        <v>Yes</v>
      </c>
      <c r="AT1047" t="str">
        <f t="shared" si="373"/>
        <v>Yes</v>
      </c>
      <c r="AU1047" s="51" t="str">
        <f t="shared" si="374"/>
        <v>Yes</v>
      </c>
      <c r="AV1047" s="12">
        <f>IFERROR(VLOOKUP(D1047,'Receivable Invoice Detail'!$S$1:$U$3014,3,FALSE),0)</f>
        <v>0</v>
      </c>
      <c r="AW1047" s="12">
        <f t="shared" si="375"/>
        <v>117.38226322251366</v>
      </c>
    </row>
    <row r="1048" spans="1:49" x14ac:dyDescent="0.25">
      <c r="A1048" s="2">
        <v>1</v>
      </c>
      <c r="B1048" s="2" t="s">
        <v>463</v>
      </c>
      <c r="C1048" s="2" t="s">
        <v>464</v>
      </c>
      <c r="D1048" s="2" t="s">
        <v>3267</v>
      </c>
      <c r="E1048" s="2" t="s">
        <v>465</v>
      </c>
      <c r="F1048" s="3">
        <v>45936.726087962961</v>
      </c>
      <c r="G1048" s="3">
        <v>45938.460682870369</v>
      </c>
      <c r="H1048" s="4">
        <v>45945</v>
      </c>
      <c r="I1048" s="2" t="s">
        <v>21</v>
      </c>
      <c r="J1048" s="2" t="s">
        <v>22</v>
      </c>
      <c r="K1048" s="2">
        <v>1</v>
      </c>
      <c r="L1048" s="2">
        <v>1995.92</v>
      </c>
      <c r="M1048" s="2">
        <v>0</v>
      </c>
      <c r="N1048" s="2">
        <v>1430.3216615261649</v>
      </c>
      <c r="O1048" s="2">
        <v>1766.3</v>
      </c>
      <c r="P1048" s="2">
        <v>229.62</v>
      </c>
      <c r="Q1048" s="2">
        <v>1995.92</v>
      </c>
      <c r="R1048" s="2" t="s">
        <v>44</v>
      </c>
      <c r="S1048" s="2"/>
      <c r="T1048" s="2">
        <f t="shared" si="357"/>
        <v>1</v>
      </c>
      <c r="U1048" s="18">
        <f t="shared" si="358"/>
        <v>10</v>
      </c>
      <c r="V1048" s="18">
        <f t="shared" si="359"/>
        <v>2025</v>
      </c>
      <c r="W1048" s="18">
        <f t="shared" si="360"/>
        <v>12</v>
      </c>
      <c r="X1048" s="18">
        <f t="shared" si="361"/>
        <v>2025</v>
      </c>
      <c r="Y1048" s="2">
        <f t="shared" si="354"/>
        <v>0.71662274115503866</v>
      </c>
      <c r="Z1048" t="str">
        <f t="shared" si="355"/>
        <v>SO17987</v>
      </c>
      <c r="AA1048" s="11">
        <f t="shared" si="362"/>
        <v>45936.726087962961</v>
      </c>
      <c r="AB1048" s="5" t="str">
        <f t="shared" si="363"/>
        <v>INV13510</v>
      </c>
      <c r="AC1048" s="5" t="str">
        <f>IFERROR(VLOOKUP(D1048,CAARStatus!$A$2:$AA$1600,22,FALSE),"Not invoiced")</f>
        <v>Paid</v>
      </c>
      <c r="AD1048" s="11">
        <f>IF(AC1048="Paid",IFERROR(VLOOKUP(D1048,CAARStatus!$A$2:$AA$1600,6,FALSE),"Pending"),"Pending")</f>
        <v>45995</v>
      </c>
      <c r="AE1048" s="5" t="str">
        <f t="shared" si="364"/>
        <v>M-084131</v>
      </c>
      <c r="AF1048" s="5" t="str">
        <f t="shared" si="365"/>
        <v>Grant Aggregate</v>
      </c>
      <c r="AG1048" s="5" t="str">
        <f t="shared" si="366"/>
        <v>CAD</v>
      </c>
      <c r="AH1048" s="5">
        <f t="shared" si="367"/>
        <v>1766.3</v>
      </c>
      <c r="AI1048" s="12">
        <f>IF(L1048-N1048=0,VLOOKUP(U1048,rate!A$4:B$15,2,FALSE)*AH1048,IF(AG1048="USD",O1048,AH1048*Y1048))</f>
        <v>1265.7707477021447</v>
      </c>
      <c r="AJ1048" s="13">
        <f t="shared" si="368"/>
        <v>0.71662274115503866</v>
      </c>
      <c r="AK1048" s="13">
        <f>-IF(AG1048="CAD",IFERROR(VLOOKUP(D1048,CAARStatus!$A$1:$Y$1600,16,FALSE),0),0)</f>
        <v>-1766.3</v>
      </c>
      <c r="AL1048" s="13">
        <f>-IF(AG1048="USD",IFERROR(VLOOKUP(D1048,CAARStatus!$A$1:$Y$1600,11,FALSE),0),0)</f>
        <v>0</v>
      </c>
      <c r="AM1048" s="22">
        <f t="shared" si="369"/>
        <v>0</v>
      </c>
      <c r="AN1048" s="12" t="str">
        <f t="shared" si="370"/>
        <v/>
      </c>
      <c r="AO1048" s="12" t="str">
        <f t="shared" si="371"/>
        <v>Yes</v>
      </c>
      <c r="AP1048" t="str">
        <f t="shared" si="356"/>
        <v>Yes</v>
      </c>
      <c r="AQ1048" t="str">
        <f>IFERROR(VLOOKUP(Z1048,InvBal!$L$4:$P$600,4,FALSE),"Pend")</f>
        <v>Pend</v>
      </c>
      <c r="AR1048" t="str">
        <f>IFERROR(VLOOKUP(D1048,Manual!$C$1:$E$22,2,FALSE),"Pend")</f>
        <v>Pend</v>
      </c>
      <c r="AS1048" t="str">
        <f t="shared" si="372"/>
        <v>Yes</v>
      </c>
      <c r="AT1048" t="str">
        <f t="shared" si="373"/>
        <v>Yes</v>
      </c>
      <c r="AU1048" s="51" t="str">
        <f t="shared" si="374"/>
        <v>Yes</v>
      </c>
      <c r="AV1048" s="12">
        <f>IFERROR(VLOOKUP(D1048,'Receivable Invoice Detail'!$S$1:$U$3014,3,FALSE),0)</f>
        <v>0</v>
      </c>
      <c r="AW1048" s="12">
        <f t="shared" si="375"/>
        <v>1265.7707477021447</v>
      </c>
    </row>
    <row r="1049" spans="1:49" ht="30" x14ac:dyDescent="0.25">
      <c r="A1049" s="2">
        <v>1</v>
      </c>
      <c r="B1049" s="2" t="s">
        <v>436</v>
      </c>
      <c r="C1049" s="2" t="s">
        <v>437</v>
      </c>
      <c r="D1049" s="2" t="s">
        <v>3278</v>
      </c>
      <c r="E1049" s="2" t="s">
        <v>39</v>
      </c>
      <c r="F1049" s="3">
        <v>45936.793946759259</v>
      </c>
      <c r="G1049" s="3">
        <v>45939.696018518523</v>
      </c>
      <c r="H1049" s="4">
        <v>45946</v>
      </c>
      <c r="I1049" s="2" t="s">
        <v>36</v>
      </c>
      <c r="J1049" s="2" t="s">
        <v>22</v>
      </c>
      <c r="K1049" s="2">
        <v>1</v>
      </c>
      <c r="L1049" s="2">
        <v>655.41</v>
      </c>
      <c r="M1049" s="2">
        <v>0</v>
      </c>
      <c r="N1049" s="2">
        <v>467.77679535928041</v>
      </c>
      <c r="O1049" s="2">
        <v>624.20000000000005</v>
      </c>
      <c r="P1049" s="2">
        <v>31.21</v>
      </c>
      <c r="Q1049" s="2">
        <v>655.41</v>
      </c>
      <c r="R1049" s="2" t="s">
        <v>44</v>
      </c>
      <c r="S1049" s="2"/>
      <c r="T1049" s="2">
        <f t="shared" si="357"/>
        <v>1</v>
      </c>
      <c r="U1049" s="18">
        <f t="shared" si="358"/>
        <v>10</v>
      </c>
      <c r="V1049" s="18">
        <f t="shared" si="359"/>
        <v>2025</v>
      </c>
      <c r="W1049" s="18">
        <f t="shared" si="360"/>
        <v>11</v>
      </c>
      <c r="X1049" s="18">
        <f t="shared" si="361"/>
        <v>2025</v>
      </c>
      <c r="Y1049" s="2">
        <f t="shared" si="354"/>
        <v>0.71371629264014957</v>
      </c>
      <c r="Z1049" t="str">
        <f t="shared" si="355"/>
        <v>SO17988</v>
      </c>
      <c r="AA1049" s="11">
        <f t="shared" si="362"/>
        <v>45936.793946759259</v>
      </c>
      <c r="AB1049" s="5" t="str">
        <f t="shared" si="363"/>
        <v>INV13519</v>
      </c>
      <c r="AC1049" s="5" t="str">
        <f>IFERROR(VLOOKUP(D1049,CAARStatus!$A$2:$AA$1600,22,FALSE),"Not invoiced")</f>
        <v>Paid</v>
      </c>
      <c r="AD1049" s="11">
        <f>IF(AC1049="Paid",IFERROR(VLOOKUP(D1049,CAARStatus!$A$2:$AA$1600,6,FALSE),"Pending"),"Pending")</f>
        <v>45967</v>
      </c>
      <c r="AE1049" s="5" t="str">
        <f t="shared" si="364"/>
        <v>BC65-00082047</v>
      </c>
      <c r="AF1049" s="5" t="str">
        <f t="shared" si="365"/>
        <v>Motion Industries Inc. (Canada) - Prince George</v>
      </c>
      <c r="AG1049" s="5" t="str">
        <f t="shared" si="366"/>
        <v>CAD</v>
      </c>
      <c r="AH1049" s="5">
        <f t="shared" si="367"/>
        <v>624.20000000000005</v>
      </c>
      <c r="AI1049" s="12">
        <f>IF(L1049-N1049=0,VLOOKUP(U1049,rate!A$4:B$15,2,FALSE)*AH1049,IF(AG1049="USD",O1049,AH1049*Y1049))</f>
        <v>445.50170986598141</v>
      </c>
      <c r="AJ1049" s="13">
        <f t="shared" si="368"/>
        <v>0.71371629264014957</v>
      </c>
      <c r="AK1049" s="13">
        <f>-IF(AG1049="CAD",IFERROR(VLOOKUP(D1049,CAARStatus!$A$1:$Y$1600,16,FALSE),0),0)</f>
        <v>-624.20000000000005</v>
      </c>
      <c r="AL1049" s="13">
        <f>-IF(AG1049="USD",IFERROR(VLOOKUP(D1049,CAARStatus!$A$1:$Y$1600,11,FALSE),0),0)</f>
        <v>0</v>
      </c>
      <c r="AM1049" s="22">
        <f t="shared" si="369"/>
        <v>0</v>
      </c>
      <c r="AN1049" s="12" t="str">
        <f t="shared" si="370"/>
        <v/>
      </c>
      <c r="AO1049" s="12" t="str">
        <f t="shared" si="371"/>
        <v>Yes</v>
      </c>
      <c r="AP1049" t="str">
        <f t="shared" si="356"/>
        <v>Yes</v>
      </c>
      <c r="AQ1049" t="str">
        <f>IFERROR(VLOOKUP(Z1049,InvBal!$L$4:$P$600,4,FALSE),"Pend")</f>
        <v>Pend</v>
      </c>
      <c r="AR1049" t="str">
        <f>IFERROR(VLOOKUP(D1049,Manual!$C$1:$E$22,2,FALSE),"Pend")</f>
        <v>Pend</v>
      </c>
      <c r="AS1049" t="str">
        <f t="shared" si="372"/>
        <v>Yes</v>
      </c>
      <c r="AT1049" t="str">
        <f t="shared" si="373"/>
        <v>Yes</v>
      </c>
      <c r="AU1049" s="51" t="str">
        <f t="shared" si="374"/>
        <v>Yes</v>
      </c>
      <c r="AV1049" s="12">
        <f>IFERROR(VLOOKUP(D1049,'Receivable Invoice Detail'!$S$1:$U$3014,3,FALSE),0)</f>
        <v>0</v>
      </c>
      <c r="AW1049" s="12">
        <f t="shared" si="375"/>
        <v>445.50170986598141</v>
      </c>
    </row>
    <row r="1050" spans="1:49" ht="30" x14ac:dyDescent="0.25">
      <c r="A1050" s="2">
        <v>1</v>
      </c>
      <c r="B1050" s="2" t="s">
        <v>468</v>
      </c>
      <c r="C1050" s="2" t="s">
        <v>469</v>
      </c>
      <c r="D1050" s="2" t="s">
        <v>3265</v>
      </c>
      <c r="E1050" s="2" t="s">
        <v>450</v>
      </c>
      <c r="F1050" s="3">
        <v>45937.360717592594</v>
      </c>
      <c r="G1050" s="3">
        <v>45937.538368055553</v>
      </c>
      <c r="H1050" s="4">
        <v>45939</v>
      </c>
      <c r="I1050" s="2" t="s">
        <v>40</v>
      </c>
      <c r="J1050" s="2" t="s">
        <v>22</v>
      </c>
      <c r="K1050" s="2">
        <v>1</v>
      </c>
      <c r="L1050" s="2">
        <v>4201.68</v>
      </c>
      <c r="M1050" s="2">
        <v>4201.68</v>
      </c>
      <c r="N1050" s="2">
        <v>4201.68</v>
      </c>
      <c r="O1050" s="2">
        <v>3718.3</v>
      </c>
      <c r="P1050" s="2">
        <v>483.38</v>
      </c>
      <c r="Q1050" s="2">
        <v>4201.68</v>
      </c>
      <c r="R1050" s="2" t="s">
        <v>44</v>
      </c>
      <c r="S1050" s="2"/>
      <c r="T1050" s="2">
        <f t="shared" si="357"/>
        <v>1</v>
      </c>
      <c r="U1050" s="18">
        <f t="shared" si="358"/>
        <v>10</v>
      </c>
      <c r="V1050" s="18">
        <f t="shared" si="359"/>
        <v>2025</v>
      </c>
      <c r="W1050" s="18">
        <f t="shared" si="360"/>
        <v>11</v>
      </c>
      <c r="X1050" s="18">
        <f t="shared" si="361"/>
        <v>2025</v>
      </c>
      <c r="Y1050" s="2">
        <f t="shared" si="354"/>
        <v>1</v>
      </c>
      <c r="Z1050" t="str">
        <f t="shared" si="355"/>
        <v>SO17990</v>
      </c>
      <c r="AA1050" s="11">
        <f t="shared" si="362"/>
        <v>45937.360717592594</v>
      </c>
      <c r="AB1050" s="5" t="str">
        <f t="shared" si="363"/>
        <v>INV13509</v>
      </c>
      <c r="AC1050" s="5" t="str">
        <f>IFERROR(VLOOKUP(D1050,CAARStatus!$A$2:$AA$1600,22,FALSE),"Not invoiced")</f>
        <v>Paid</v>
      </c>
      <c r="AD1050" s="11">
        <f>IF(AC1050="Paid",IFERROR(VLOOKUP(D1050,CAARStatus!$A$2:$AA$1600,6,FALSE),"Pending"),"Pending")</f>
        <v>45964</v>
      </c>
      <c r="AE1050" s="5" t="str">
        <f t="shared" si="364"/>
        <v>A20251008</v>
      </c>
      <c r="AF1050" s="5" t="str">
        <f t="shared" si="365"/>
        <v>Alpha Industrial &amp; Mining Supplies Limited</v>
      </c>
      <c r="AG1050" s="5" t="str">
        <f t="shared" si="366"/>
        <v>CAD</v>
      </c>
      <c r="AH1050" s="5">
        <f t="shared" si="367"/>
        <v>3718.3</v>
      </c>
      <c r="AI1050" s="12">
        <f>IF(L1050-N1050=0,VLOOKUP(U1050,rate!A$4:B$15,2,FALSE)*AH1050,IF(AG1050="USD",O1050,AH1050*Y1050))</f>
        <v>2659.3970515381429</v>
      </c>
      <c r="AJ1050" s="13">
        <f t="shared" si="368"/>
        <v>0.71521852769764216</v>
      </c>
      <c r="AK1050" s="61">
        <f>IF(AC1050="Paid",-IF(AG1050="CAD",IFERROR(VLOOKUP(D1050,CAARStatus!$A$1:$Y$1600,16,FALSE),0),0),0)</f>
        <v>-3718.3</v>
      </c>
      <c r="AL1050" s="61">
        <f>IF(AC1050="Paid",-IF(AG1050="USD",IFERROR(VLOOKUP(D1050,CAARStatus!$A$1:$Y$1600,11,FALSE),0),0),0)</f>
        <v>0</v>
      </c>
      <c r="AM1050" s="22">
        <f t="shared" si="369"/>
        <v>0</v>
      </c>
      <c r="AN1050" s="12" t="str">
        <f t="shared" si="370"/>
        <v/>
      </c>
      <c r="AO1050" s="12" t="str">
        <f t="shared" si="371"/>
        <v>Yes</v>
      </c>
      <c r="AP1050" t="str">
        <f t="shared" si="356"/>
        <v>Yes</v>
      </c>
      <c r="AQ1050" t="str">
        <f>IFERROR(VLOOKUP(Z1050,InvBal!$L$4:$P$600,4,FALSE),"Pend")</f>
        <v>Pend</v>
      </c>
      <c r="AR1050" t="str">
        <f>IFERROR(VLOOKUP(D1050,Manual!$C$1:$E$22,2,FALSE),"Pend")</f>
        <v>Pend</v>
      </c>
      <c r="AS1050" t="str">
        <f t="shared" si="372"/>
        <v>Yes</v>
      </c>
      <c r="AT1050" t="str">
        <f t="shared" si="373"/>
        <v>Yes</v>
      </c>
      <c r="AU1050" s="51" t="str">
        <f t="shared" si="374"/>
        <v>Yes</v>
      </c>
      <c r="AV1050" s="12">
        <f>IFERROR(VLOOKUP(D1050,'Receivable Invoice Detail'!$S$1:$U$3014,3,FALSE),0)</f>
        <v>0</v>
      </c>
      <c r="AW1050" s="12">
        <f t="shared" si="375"/>
        <v>2659.3970515381429</v>
      </c>
    </row>
    <row r="1051" spans="1:49" x14ac:dyDescent="0.25">
      <c r="A1051" s="2">
        <v>1</v>
      </c>
      <c r="B1051" s="2" t="s">
        <v>466</v>
      </c>
      <c r="C1051" s="2" t="s">
        <v>467</v>
      </c>
      <c r="D1051" s="2" t="s">
        <v>3266</v>
      </c>
      <c r="E1051" s="2" t="s">
        <v>171</v>
      </c>
      <c r="F1051" s="3">
        <v>45937.451967592591</v>
      </c>
      <c r="G1051" s="3">
        <v>45937.618437500001</v>
      </c>
      <c r="H1051" s="4">
        <v>45951</v>
      </c>
      <c r="I1051" s="2" t="s">
        <v>36</v>
      </c>
      <c r="J1051" s="2" t="s">
        <v>22</v>
      </c>
      <c r="K1051" s="2">
        <v>1</v>
      </c>
      <c r="L1051" s="2">
        <v>1900.5</v>
      </c>
      <c r="M1051" s="2">
        <v>1900.5</v>
      </c>
      <c r="N1051" s="2">
        <v>1900.5</v>
      </c>
      <c r="O1051" s="2">
        <v>1810</v>
      </c>
      <c r="P1051" s="2">
        <v>90.5</v>
      </c>
      <c r="Q1051" s="2">
        <v>1900.5</v>
      </c>
      <c r="R1051" s="2" t="s">
        <v>44</v>
      </c>
      <c r="S1051" s="2"/>
      <c r="T1051" s="2">
        <f t="shared" si="357"/>
        <v>1</v>
      </c>
      <c r="U1051" s="18">
        <f t="shared" si="358"/>
        <v>10</v>
      </c>
      <c r="V1051" s="18">
        <f t="shared" si="359"/>
        <v>2025</v>
      </c>
      <c r="W1051" s="18">
        <f t="shared" si="360"/>
        <v>11</v>
      </c>
      <c r="X1051" s="18">
        <f t="shared" si="361"/>
        <v>2025</v>
      </c>
      <c r="Y1051" s="2">
        <f t="shared" si="354"/>
        <v>1</v>
      </c>
      <c r="Z1051" t="str">
        <f t="shared" si="355"/>
        <v>SO17991</v>
      </c>
      <c r="AA1051" s="11">
        <f t="shared" si="362"/>
        <v>45937.451967592591</v>
      </c>
      <c r="AB1051" s="5" t="str">
        <f t="shared" si="363"/>
        <v>INV13527</v>
      </c>
      <c r="AC1051" s="5" t="str">
        <f>IFERROR(VLOOKUP(D1051,CAARStatus!$A$2:$AA$1600,22,FALSE),"Not invoiced")</f>
        <v>Paid</v>
      </c>
      <c r="AD1051" s="11">
        <f>IF(AC1051="Paid",IFERROR(VLOOKUP(D1051,CAARStatus!$A$2:$AA$1600,6,FALSE),"Pending"),"Pending")</f>
        <v>45975</v>
      </c>
      <c r="AE1051" s="5" t="str">
        <f t="shared" si="364"/>
        <v>2241</v>
      </c>
      <c r="AF1051" s="5" t="str">
        <f t="shared" si="365"/>
        <v>FMI Products</v>
      </c>
      <c r="AG1051" s="5" t="str">
        <f t="shared" si="366"/>
        <v>CAD</v>
      </c>
      <c r="AH1051" s="5">
        <f t="shared" si="367"/>
        <v>1810</v>
      </c>
      <c r="AI1051" s="12">
        <f>IF(L1051-N1051=0,VLOOKUP(U1051,rate!A$4:B$15,2,FALSE)*AH1051,IF(AG1051="USD",O1051,AH1051*Y1051))</f>
        <v>1294.5455351327323</v>
      </c>
      <c r="AJ1051" s="13">
        <f t="shared" si="368"/>
        <v>0.71521852769764216</v>
      </c>
      <c r="AK1051" s="13">
        <f>-IF(AG1051="CAD",IFERROR(VLOOKUP(D1051,CAARStatus!$A$1:$Y$1600,16,FALSE),0),0)</f>
        <v>-1810</v>
      </c>
      <c r="AL1051" s="13">
        <f>-IF(AG1051="USD",IFERROR(VLOOKUP(D1051,CAARStatus!$A$1:$Y$1600,11,FALSE),0),0)</f>
        <v>0</v>
      </c>
      <c r="AM1051" s="22">
        <f t="shared" si="369"/>
        <v>0</v>
      </c>
      <c r="AN1051" s="12" t="str">
        <f t="shared" si="370"/>
        <v/>
      </c>
      <c r="AO1051" s="12" t="str">
        <f t="shared" si="371"/>
        <v>Yes</v>
      </c>
      <c r="AP1051" t="str">
        <f t="shared" si="356"/>
        <v>Yes</v>
      </c>
      <c r="AQ1051" t="str">
        <f>IFERROR(VLOOKUP(Z1051,InvBal!$L$4:$P$600,4,FALSE),"Pend")</f>
        <v>Pend</v>
      </c>
      <c r="AR1051" t="str">
        <f>IFERROR(VLOOKUP(D1051,Manual!$C$1:$E$22,2,FALSE),"Pend")</f>
        <v>Pend</v>
      </c>
      <c r="AS1051" t="str">
        <f t="shared" si="372"/>
        <v>Yes</v>
      </c>
      <c r="AT1051" t="str">
        <f t="shared" si="373"/>
        <v>Yes</v>
      </c>
      <c r="AU1051" s="51" t="str">
        <f t="shared" si="374"/>
        <v>Yes</v>
      </c>
      <c r="AV1051" s="12">
        <f>IFERROR(VLOOKUP(D1051,'Receivable Invoice Detail'!$S$1:$U$3014,3,FALSE),0)</f>
        <v>0</v>
      </c>
      <c r="AW1051" s="12">
        <f t="shared" si="375"/>
        <v>1294.5455351327323</v>
      </c>
    </row>
    <row r="1052" spans="1:49" ht="30" x14ac:dyDescent="0.25">
      <c r="A1052" s="2">
        <v>1</v>
      </c>
      <c r="B1052" s="2" t="s">
        <v>473</v>
      </c>
      <c r="C1052" s="2" t="s">
        <v>474</v>
      </c>
      <c r="D1052" s="2" t="s">
        <v>3263</v>
      </c>
      <c r="E1052" s="2" t="s">
        <v>20</v>
      </c>
      <c r="F1052" s="3">
        <v>45937.470706018517</v>
      </c>
      <c r="G1052" s="3">
        <v>45937.471168981479</v>
      </c>
      <c r="H1052" s="4">
        <v>45986</v>
      </c>
      <c r="I1052" s="2" t="s">
        <v>21</v>
      </c>
      <c r="J1052" s="2" t="s">
        <v>22</v>
      </c>
      <c r="K1052" s="2">
        <v>1</v>
      </c>
      <c r="L1052" s="2">
        <v>1428.32</v>
      </c>
      <c r="M1052" s="2">
        <v>1428.32</v>
      </c>
      <c r="N1052" s="2">
        <v>1428.32</v>
      </c>
      <c r="O1052" s="2">
        <v>1264</v>
      </c>
      <c r="P1052" s="2">
        <v>164.32</v>
      </c>
      <c r="Q1052" s="2">
        <v>1428.32</v>
      </c>
      <c r="R1052" s="2" t="s">
        <v>44</v>
      </c>
      <c r="S1052" s="2"/>
      <c r="T1052" s="2">
        <f t="shared" si="357"/>
        <v>1</v>
      </c>
      <c r="U1052" s="18">
        <f t="shared" si="358"/>
        <v>10</v>
      </c>
      <c r="V1052" s="18">
        <f t="shared" si="359"/>
        <v>2025</v>
      </c>
      <c r="W1052" s="18">
        <f t="shared" si="360"/>
        <v>1</v>
      </c>
      <c r="X1052" s="18">
        <f t="shared" si="361"/>
        <v>2026</v>
      </c>
      <c r="Y1052" s="2">
        <f t="shared" si="354"/>
        <v>1</v>
      </c>
      <c r="Z1052" t="str">
        <f t="shared" si="355"/>
        <v>SO17993</v>
      </c>
      <c r="AA1052" s="11">
        <f t="shared" si="362"/>
        <v>45937.470706018517</v>
      </c>
      <c r="AB1052" s="5" t="str">
        <f t="shared" si="363"/>
        <v>INV13612</v>
      </c>
      <c r="AC1052" s="5" t="str">
        <f>IFERROR(VLOOKUP(D1052,CAARStatus!$A$2:$AA$1600,22,FALSE),"Not invoiced")</f>
        <v>Paid</v>
      </c>
      <c r="AD1052" s="11">
        <f>IF(AC1052="Paid",IFERROR(VLOOKUP(D1052,CAARStatus!$A$2:$AA$1600,6,FALSE),"Pending"),"Pending")</f>
        <v>46024</v>
      </c>
      <c r="AE1052" s="5" t="str">
        <f t="shared" si="364"/>
        <v>4500616451</v>
      </c>
      <c r="AF1052" s="5" t="str">
        <f t="shared" si="365"/>
        <v>Resolute Forest Products - Saint-Felicien</v>
      </c>
      <c r="AG1052" s="5" t="str">
        <f t="shared" si="366"/>
        <v>CAD</v>
      </c>
      <c r="AH1052" s="5">
        <f t="shared" si="367"/>
        <v>1264</v>
      </c>
      <c r="AI1052" s="12">
        <f>IF(L1052-N1052=0,VLOOKUP(U1052,rate!A$4:B$15,2,FALSE)*AH1052,IF(AG1052="USD",O1052,AH1052*Y1052))</f>
        <v>904.03621900981966</v>
      </c>
      <c r="AJ1052" s="13">
        <f t="shared" si="368"/>
        <v>0.71521852769764216</v>
      </c>
      <c r="AK1052" s="13">
        <f>-IF(AG1052="CAD",IFERROR(VLOOKUP(D1052,CAARStatus!$A$1:$Y$1600,16,FALSE),0),0)</f>
        <v>-1264</v>
      </c>
      <c r="AL1052" s="13">
        <f>-IF(AG1052="USD",IFERROR(VLOOKUP(D1052,CAARStatus!$A$1:$Y$1600,11,FALSE),0),0)</f>
        <v>0</v>
      </c>
      <c r="AM1052" s="22">
        <f t="shared" si="369"/>
        <v>0</v>
      </c>
      <c r="AN1052" s="12" t="str">
        <f t="shared" si="370"/>
        <v/>
      </c>
      <c r="AO1052" s="12" t="str">
        <f t="shared" si="371"/>
        <v>Yes</v>
      </c>
      <c r="AP1052" t="str">
        <f t="shared" si="356"/>
        <v>Yes</v>
      </c>
      <c r="AQ1052" t="str">
        <f>IFERROR(VLOOKUP(Z1052,InvBal!$L$4:$P$600,4,FALSE),"Pend")</f>
        <v>Pend</v>
      </c>
      <c r="AR1052" t="str">
        <f>IFERROR(VLOOKUP(D1052,Manual!$C$1:$E$22,2,FALSE),"Pend")</f>
        <v>Pend</v>
      </c>
      <c r="AS1052" t="str">
        <f t="shared" si="372"/>
        <v>Yes</v>
      </c>
      <c r="AT1052" t="str">
        <f t="shared" si="373"/>
        <v>Yes</v>
      </c>
      <c r="AU1052" s="51" t="str">
        <f t="shared" si="374"/>
        <v>Yes</v>
      </c>
      <c r="AV1052" s="12">
        <f>IFERROR(VLOOKUP(D1052,'Receivable Invoice Detail'!$S$1:$U$3014,3,FALSE),0)</f>
        <v>0</v>
      </c>
      <c r="AW1052" s="12">
        <f t="shared" si="375"/>
        <v>904.03621900981966</v>
      </c>
    </row>
    <row r="1053" spans="1:49" x14ac:dyDescent="0.25">
      <c r="A1053" s="2">
        <v>1</v>
      </c>
      <c r="B1053" s="2" t="s">
        <v>432</v>
      </c>
      <c r="C1053" s="2" t="s">
        <v>433</v>
      </c>
      <c r="D1053" s="2" t="s">
        <v>3279</v>
      </c>
      <c r="E1053" s="2" t="s">
        <v>70</v>
      </c>
      <c r="F1053" s="3">
        <v>45937.512002314812</v>
      </c>
      <c r="G1053" s="3">
        <v>45940.655821759261</v>
      </c>
      <c r="H1053" s="4">
        <v>45947</v>
      </c>
      <c r="I1053" s="2" t="s">
        <v>74</v>
      </c>
      <c r="J1053" s="2" t="s">
        <v>51</v>
      </c>
      <c r="K1053" s="2">
        <v>0.71662274115503888</v>
      </c>
      <c r="L1053" s="2">
        <v>354.39846576827301</v>
      </c>
      <c r="M1053" s="2">
        <v>0</v>
      </c>
      <c r="N1053" s="2">
        <v>253.97</v>
      </c>
      <c r="O1053" s="2">
        <v>253.97</v>
      </c>
      <c r="P1053" s="2"/>
      <c r="Q1053" s="2">
        <v>253.97</v>
      </c>
      <c r="R1053" s="2" t="s">
        <v>44</v>
      </c>
      <c r="S1053" s="2"/>
      <c r="T1053" s="2">
        <f t="shared" si="357"/>
        <v>1</v>
      </c>
      <c r="U1053" s="18">
        <f t="shared" si="358"/>
        <v>10</v>
      </c>
      <c r="V1053" s="18">
        <f t="shared" si="359"/>
        <v>2025</v>
      </c>
      <c r="W1053" s="18" t="str">
        <f t="shared" si="360"/>
        <v/>
      </c>
      <c r="X1053" s="18" t="str">
        <f t="shared" si="361"/>
        <v/>
      </c>
      <c r="Y1053" s="2">
        <f t="shared" si="354"/>
        <v>0.71662274115503888</v>
      </c>
      <c r="Z1053" t="str">
        <f t="shared" si="355"/>
        <v>SO17996</v>
      </c>
      <c r="AA1053" s="11">
        <f t="shared" si="362"/>
        <v>45937.512002314812</v>
      </c>
      <c r="AB1053" s="5" t="str">
        <f t="shared" si="363"/>
        <v>INV13531</v>
      </c>
      <c r="AC1053" s="5" t="str">
        <f>IFERROR(VLOOKUP(D1053,CAARStatus!$A$2:$AA$1600,22,FALSE),"Not invoiced")</f>
        <v>Approved</v>
      </c>
      <c r="AD1053" s="11" t="str">
        <f>IF(AC1053="Paid",IFERROR(VLOOKUP(D1053,CAARStatus!$A$2:$AA$1600,6,FALSE),"Pending"),"Pending")</f>
        <v>Pending</v>
      </c>
      <c r="AE1053" s="5" t="str">
        <f t="shared" si="364"/>
        <v>P368732</v>
      </c>
      <c r="AF1053" s="5" t="str">
        <f t="shared" si="365"/>
        <v>Covia Corp - Junction City</v>
      </c>
      <c r="AG1053" s="5" t="str">
        <f t="shared" si="366"/>
        <v>USD</v>
      </c>
      <c r="AH1053" s="5">
        <f t="shared" si="367"/>
        <v>354.39846576827301</v>
      </c>
      <c r="AI1053" s="12">
        <f>IF(L1053-N1053=0,VLOOKUP(U1053,rate!A$4:B$15,2,FALSE)*AH1053,IF(AG1053="USD",O1053,AH1053*Y1053))</f>
        <v>253.97</v>
      </c>
      <c r="AJ1053" s="13">
        <f t="shared" si="368"/>
        <v>0.71662274115503888</v>
      </c>
      <c r="AK1053" s="13">
        <f>-IF(AG1053="CAD",IFERROR(VLOOKUP(D1053,CAARStatus!$A$1:$Y$1600,16,FALSE),0),0)</f>
        <v>0</v>
      </c>
      <c r="AL1053" s="13">
        <f>-IF(AG1053="USD",IFERROR(VLOOKUP(D1053,CAARStatus!$A$1:$Y$1600,11,FALSE),0),0)</f>
        <v>-253.97</v>
      </c>
      <c r="AM1053" s="22" t="str">
        <f t="shared" si="369"/>
        <v/>
      </c>
      <c r="AN1053" s="12">
        <f t="shared" si="370"/>
        <v>0</v>
      </c>
      <c r="AO1053" s="12" t="str">
        <f t="shared" si="371"/>
        <v>Pend</v>
      </c>
      <c r="AP1053" t="str">
        <f t="shared" si="356"/>
        <v>Pend</v>
      </c>
      <c r="AQ1053" t="str">
        <f>IFERROR(VLOOKUP(Z1053,InvBal!$L$4:$P$600,4,FALSE),"Pend")</f>
        <v>Pend</v>
      </c>
      <c r="AR1053" t="str">
        <f>IFERROR(VLOOKUP(D1053,Manual!$C$1:$E$22,2,FALSE),"Pend")</f>
        <v>Pend</v>
      </c>
      <c r="AS1053" t="str">
        <f t="shared" si="372"/>
        <v/>
      </c>
      <c r="AT1053" t="str">
        <f t="shared" si="373"/>
        <v>Yes</v>
      </c>
      <c r="AU1053" s="51" t="str">
        <f t="shared" si="374"/>
        <v/>
      </c>
      <c r="AV1053" s="12">
        <f>IFERROR(VLOOKUP(D1053,'Receivable Invoice Detail'!$S$1:$U$3014,3,FALSE),0)</f>
        <v>32.479999999999997</v>
      </c>
      <c r="AW1053" s="12">
        <f t="shared" si="375"/>
        <v>0</v>
      </c>
    </row>
    <row r="1054" spans="1:49" x14ac:dyDescent="0.25">
      <c r="A1054" s="2">
        <v>1</v>
      </c>
      <c r="B1054" s="2" t="s">
        <v>440</v>
      </c>
      <c r="C1054" s="2" t="s">
        <v>441</v>
      </c>
      <c r="D1054" s="2" t="s">
        <v>3277</v>
      </c>
      <c r="E1054" s="2" t="s">
        <v>442</v>
      </c>
      <c r="F1054" s="3">
        <v>45937.536446759259</v>
      </c>
      <c r="G1054" s="3">
        <v>45939.637037037042</v>
      </c>
      <c r="H1054" s="4">
        <v>45947</v>
      </c>
      <c r="I1054" s="2" t="s">
        <v>74</v>
      </c>
      <c r="J1054" s="2" t="s">
        <v>51</v>
      </c>
      <c r="K1054" s="2">
        <v>0.71662274115503888</v>
      </c>
      <c r="L1054" s="2">
        <v>5514.2821641841701</v>
      </c>
      <c r="M1054" s="2">
        <v>0</v>
      </c>
      <c r="N1054" s="2">
        <v>3951.66</v>
      </c>
      <c r="O1054" s="2">
        <v>3951.66</v>
      </c>
      <c r="P1054" s="2"/>
      <c r="Q1054" s="2">
        <v>3951.66</v>
      </c>
      <c r="R1054" s="2" t="s">
        <v>44</v>
      </c>
      <c r="S1054" s="2"/>
      <c r="T1054" s="2">
        <f t="shared" si="357"/>
        <v>1</v>
      </c>
      <c r="U1054" s="18">
        <f t="shared" si="358"/>
        <v>10</v>
      </c>
      <c r="V1054" s="18">
        <f t="shared" si="359"/>
        <v>2025</v>
      </c>
      <c r="W1054" s="18" t="str">
        <f t="shared" si="360"/>
        <v/>
      </c>
      <c r="X1054" s="18" t="str">
        <f t="shared" si="361"/>
        <v/>
      </c>
      <c r="Y1054" s="2">
        <f t="shared" si="354"/>
        <v>0.71662274115503888</v>
      </c>
      <c r="Z1054" t="str">
        <f t="shared" si="355"/>
        <v>SO17997</v>
      </c>
      <c r="AA1054" s="11">
        <f t="shared" si="362"/>
        <v>45937.536446759259</v>
      </c>
      <c r="AB1054" s="5" t="str">
        <f t="shared" si="363"/>
        <v>INV13525</v>
      </c>
      <c r="AC1054" s="5" t="str">
        <f>IFERROR(VLOOKUP(D1054,CAARStatus!$A$2:$AA$1600,22,FALSE),"Not invoiced")</f>
        <v>Approved</v>
      </c>
      <c r="AD1054" s="11" t="str">
        <f>IF(AC1054="Paid",IFERROR(VLOOKUP(D1054,CAARStatus!$A$2:$AA$1600,6,FALSE),"Pending"),"Pending")</f>
        <v>Pending</v>
      </c>
      <c r="AE1054" s="5" t="str">
        <f t="shared" si="364"/>
        <v>P368642</v>
      </c>
      <c r="AF1054" s="5" t="str">
        <f t="shared" si="365"/>
        <v>Covia Corp - Guion</v>
      </c>
      <c r="AG1054" s="5" t="str">
        <f t="shared" si="366"/>
        <v>USD</v>
      </c>
      <c r="AH1054" s="5">
        <f t="shared" si="367"/>
        <v>5514.2821641841701</v>
      </c>
      <c r="AI1054" s="12">
        <f>IF(L1054-N1054=0,VLOOKUP(U1054,rate!A$4:B$15,2,FALSE)*AH1054,IF(AG1054="USD",O1054,AH1054*Y1054))</f>
        <v>3951.66</v>
      </c>
      <c r="AJ1054" s="13">
        <f t="shared" si="368"/>
        <v>0.71662274115503888</v>
      </c>
      <c r="AK1054" s="13">
        <f>-IF(AG1054="CAD",IFERROR(VLOOKUP(D1054,CAARStatus!$A$1:$Y$1600,16,FALSE),0),0)</f>
        <v>0</v>
      </c>
      <c r="AL1054" s="13">
        <f>-IF(AG1054="USD",IFERROR(VLOOKUP(D1054,CAARStatus!$A$1:$Y$1600,11,FALSE),0),0)</f>
        <v>-3951.66</v>
      </c>
      <c r="AM1054" s="22" t="str">
        <f t="shared" si="369"/>
        <v/>
      </c>
      <c r="AN1054" s="12">
        <f t="shared" si="370"/>
        <v>0</v>
      </c>
      <c r="AO1054" s="12" t="str">
        <f t="shared" si="371"/>
        <v>Pend</v>
      </c>
      <c r="AP1054" t="str">
        <f t="shared" si="356"/>
        <v>Pend</v>
      </c>
      <c r="AQ1054" t="str">
        <f>IFERROR(VLOOKUP(Z1054,InvBal!$L$4:$P$600,4,FALSE),"Pend")</f>
        <v>Pend</v>
      </c>
      <c r="AR1054" t="str">
        <f>IFERROR(VLOOKUP(D1054,Manual!$C$1:$E$22,2,FALSE),"Pend")</f>
        <v>Pend</v>
      </c>
      <c r="AS1054" t="str">
        <f t="shared" si="372"/>
        <v/>
      </c>
      <c r="AT1054" t="str">
        <f t="shared" si="373"/>
        <v>Yes</v>
      </c>
      <c r="AU1054" s="51" t="str">
        <f t="shared" si="374"/>
        <v/>
      </c>
      <c r="AV1054" s="12">
        <f>IFERROR(VLOOKUP(D1054,'Receivable Invoice Detail'!$S$1:$U$3014,3,FALSE),0)</f>
        <v>542.64</v>
      </c>
      <c r="AW1054" s="12">
        <f t="shared" si="375"/>
        <v>0</v>
      </c>
    </row>
    <row r="1055" spans="1:49" ht="30" x14ac:dyDescent="0.25">
      <c r="A1055" s="2">
        <v>2</v>
      </c>
      <c r="B1055" s="2" t="s">
        <v>367</v>
      </c>
      <c r="C1055" s="2" t="s">
        <v>368</v>
      </c>
      <c r="D1055" s="2" t="s">
        <v>6007</v>
      </c>
      <c r="E1055" s="2" t="s">
        <v>369</v>
      </c>
      <c r="F1055" s="3">
        <v>45937.685567129629</v>
      </c>
      <c r="G1055" s="3">
        <v>45951.431493055563</v>
      </c>
      <c r="H1055" s="4">
        <v>45999</v>
      </c>
      <c r="I1055" s="2" t="s">
        <v>180</v>
      </c>
      <c r="J1055" s="2" t="s">
        <v>51</v>
      </c>
      <c r="K1055" s="2">
        <v>0.71263674064888716</v>
      </c>
      <c r="L1055" s="2">
        <v>17525.2120577282</v>
      </c>
      <c r="M1055" s="2">
        <v>0</v>
      </c>
      <c r="N1055" s="2">
        <v>12489.11</v>
      </c>
      <c r="O1055" s="2">
        <v>12489.11</v>
      </c>
      <c r="P1055" s="2"/>
      <c r="Q1055" s="2">
        <v>12489.11</v>
      </c>
      <c r="R1055" s="2" t="s">
        <v>44</v>
      </c>
      <c r="S1055" s="2"/>
      <c r="T1055" s="2">
        <f t="shared" si="357"/>
        <v>2</v>
      </c>
      <c r="U1055" s="18">
        <f t="shared" si="358"/>
        <v>10</v>
      </c>
      <c r="V1055" s="18">
        <f t="shared" si="359"/>
        <v>2025</v>
      </c>
      <c r="W1055" s="18" t="str">
        <f t="shared" si="360"/>
        <v/>
      </c>
      <c r="X1055" s="18" t="str">
        <f t="shared" si="361"/>
        <v/>
      </c>
      <c r="Y1055" s="2">
        <f t="shared" si="354"/>
        <v>0.71263674064888716</v>
      </c>
      <c r="Z1055" t="str">
        <f t="shared" si="355"/>
        <v>SO17999</v>
      </c>
      <c r="AA1055" s="11">
        <f t="shared" si="362"/>
        <v>45937.685567129629</v>
      </c>
      <c r="AB1055" s="5" t="str">
        <f t="shared" si="363"/>
        <v>INV13765</v>
      </c>
      <c r="AC1055" s="5" t="str">
        <f>IFERROR(VLOOKUP(D1055,CAARStatus!$A$2:$AA$1600,22,FALSE),"Not invoiced")</f>
        <v>Approved</v>
      </c>
      <c r="AD1055" s="11" t="str">
        <f>IF(AC1055="Paid",IFERROR(VLOOKUP(D1055,CAARStatus!$A$2:$AA$1600,6,FALSE),"Pending"),"Pending")</f>
        <v>Pending</v>
      </c>
      <c r="AE1055" s="5" t="str">
        <f t="shared" si="364"/>
        <v>RJSUP/IPO/2526/00090</v>
      </c>
      <c r="AF1055" s="5" t="str">
        <f t="shared" si="365"/>
        <v>Jindal Drilling &amp; Industries Limited</v>
      </c>
      <c r="AG1055" s="5" t="str">
        <f t="shared" si="366"/>
        <v>USD</v>
      </c>
      <c r="AH1055" s="5">
        <f t="shared" si="367"/>
        <v>17525.2120577282</v>
      </c>
      <c r="AI1055" s="12">
        <f>IF(L1055-N1055=0,VLOOKUP(U1055,rate!A$4:B$15,2,FALSE)*AH1055,IF(AG1055="USD",O1055,AH1055*Y1055))</f>
        <v>12489.11</v>
      </c>
      <c r="AJ1055" s="13">
        <f t="shared" si="368"/>
        <v>0.71263674064888716</v>
      </c>
      <c r="AK1055" s="13">
        <f>-IF(AG1055="CAD",IFERROR(VLOOKUP(D1055,CAARStatus!$A$1:$Y$1600,16,FALSE),0),0)</f>
        <v>0</v>
      </c>
      <c r="AL1055" s="13">
        <f>-IF(AG1055="USD",IFERROR(VLOOKUP(D1055,CAARStatus!$A$1:$Y$1600,11,FALSE),0),0)</f>
        <v>-12489.11</v>
      </c>
      <c r="AM1055" s="22" t="str">
        <f t="shared" si="369"/>
        <v/>
      </c>
      <c r="AN1055" s="12">
        <f t="shared" si="370"/>
        <v>0</v>
      </c>
      <c r="AO1055" s="12" t="str">
        <f t="shared" si="371"/>
        <v>Pend</v>
      </c>
      <c r="AP1055" t="str">
        <f t="shared" si="356"/>
        <v>XX</v>
      </c>
      <c r="AQ1055">
        <f>IFERROR(VLOOKUP(Z1055,InvBal!$L$4:$P$600,4,FALSE),"Pend")</f>
        <v>0</v>
      </c>
      <c r="AR1055" t="str">
        <f>IFERROR(VLOOKUP(D1055,Manual!$C$1:$E$22,2,FALSE),"Pend")</f>
        <v>Pend</v>
      </c>
      <c r="AS1055" t="str">
        <f t="shared" si="372"/>
        <v/>
      </c>
      <c r="AT1055" t="str">
        <f t="shared" si="373"/>
        <v>Yes</v>
      </c>
      <c r="AU1055" s="51" t="str">
        <f t="shared" si="374"/>
        <v/>
      </c>
      <c r="AV1055" s="12">
        <f>IFERROR(VLOOKUP(D1055,'Receivable Invoice Detail'!$S$1:$U$3014,3,FALSE),0)</f>
        <v>0</v>
      </c>
      <c r="AW1055" s="12">
        <f t="shared" si="375"/>
        <v>0</v>
      </c>
    </row>
    <row r="1056" spans="1:49" x14ac:dyDescent="0.25">
      <c r="A1056" s="2"/>
      <c r="B1056" s="2"/>
      <c r="C1056" s="2"/>
      <c r="D1056" s="2" t="s">
        <v>3301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>
        <f t="shared" si="357"/>
        <v>2</v>
      </c>
      <c r="U1056" s="18">
        <f t="shared" si="358"/>
        <v>10</v>
      </c>
      <c r="V1056" s="18">
        <f t="shared" si="359"/>
        <v>2025</v>
      </c>
      <c r="W1056" s="18">
        <f t="shared" si="360"/>
        <v>10</v>
      </c>
      <c r="X1056" s="18">
        <f t="shared" si="361"/>
        <v>2025</v>
      </c>
      <c r="Y1056" s="2">
        <f t="shared" si="354"/>
        <v>0.71263674064888716</v>
      </c>
      <c r="Z1056" t="str">
        <f t="shared" si="355"/>
        <v>SO17999</v>
      </c>
      <c r="AA1056" s="11">
        <f t="shared" si="362"/>
        <v>45937.685567129629</v>
      </c>
      <c r="AB1056" s="5" t="str">
        <f t="shared" si="363"/>
        <v>INV13536</v>
      </c>
      <c r="AC1056" s="5" t="str">
        <f>IFERROR(VLOOKUP(D1056,CAARStatus!$A$2:$AA$1600,22,FALSE),"Not invoiced")</f>
        <v>Paid</v>
      </c>
      <c r="AD1056" s="11">
        <f>IF(AC1056="Paid",IFERROR(VLOOKUP(D1056,CAARStatus!$A$2:$AA$1600,6,FALSE),"Pending"),"Pending")</f>
        <v>45959</v>
      </c>
      <c r="AE1056" s="5" t="str">
        <f t="shared" si="364"/>
        <v>RJSUP/IPO/2526/00090</v>
      </c>
      <c r="AF1056" s="5" t="str">
        <f t="shared" si="365"/>
        <v>Jindal Drilling &amp; Industries Limited</v>
      </c>
      <c r="AG1056" s="5" t="str">
        <f t="shared" si="366"/>
        <v>USD</v>
      </c>
      <c r="AH1056" s="5">
        <f t="shared" si="367"/>
        <v>0</v>
      </c>
      <c r="AI1056" s="12">
        <f>IF(L1056-N1056=0,VLOOKUP(U1056,rate!A$4:B$15,2,FALSE)*AH1056,IF(AG1056="USD",O1056,AH1056*Y1056))</f>
        <v>0</v>
      </c>
      <c r="AJ1056" s="13">
        <f t="shared" si="368"/>
        <v>0</v>
      </c>
      <c r="AK1056" s="13">
        <f>-IF(AG1056="CAD",IFERROR(VLOOKUP(D1056,CAARStatus!$A$1:$Y$1600,16,FALSE),0),0)</f>
        <v>0</v>
      </c>
      <c r="AL1056" s="13">
        <f>-IF(AG1056="USD",IFERROR(VLOOKUP(D1056,CAARStatus!$A$1:$Y$1600,11,FALSE),0),0)</f>
        <v>-12489.11</v>
      </c>
      <c r="AM1056" s="22" t="str">
        <f t="shared" si="369"/>
        <v/>
      </c>
      <c r="AN1056" s="12">
        <f t="shared" si="370"/>
        <v>-12489.11</v>
      </c>
      <c r="AO1056" s="12" t="str">
        <f t="shared" si="371"/>
        <v>Yes</v>
      </c>
      <c r="AP1056" t="str">
        <f t="shared" si="356"/>
        <v>XX</v>
      </c>
      <c r="AQ1056">
        <f>IFERROR(VLOOKUP(Z1056,InvBal!$L$4:$P$600,4,FALSE),"Pend")</f>
        <v>0</v>
      </c>
      <c r="AR1056" t="str">
        <f>IFERROR(VLOOKUP(D1056,Manual!$C$1:$E$22,2,FALSE),"Pend")</f>
        <v>Pend</v>
      </c>
      <c r="AS1056" t="str">
        <f t="shared" si="372"/>
        <v/>
      </c>
      <c r="AT1056" t="str">
        <f t="shared" si="373"/>
        <v/>
      </c>
      <c r="AU1056" s="51" t="str">
        <f t="shared" si="374"/>
        <v/>
      </c>
      <c r="AV1056" s="12">
        <f>IFERROR(VLOOKUP(D1056,'Receivable Invoice Detail'!$S$1:$U$3014,3,FALSE),0)</f>
        <v>0</v>
      </c>
      <c r="AW1056" s="12">
        <f t="shared" si="375"/>
        <v>0</v>
      </c>
    </row>
    <row r="1057" spans="1:49" ht="30" x14ac:dyDescent="0.25">
      <c r="A1057" s="2">
        <v>1</v>
      </c>
      <c r="B1057" s="2" t="s">
        <v>448</v>
      </c>
      <c r="C1057" s="2" t="s">
        <v>449</v>
      </c>
      <c r="D1057" s="2" t="s">
        <v>3274</v>
      </c>
      <c r="E1057" s="2" t="s">
        <v>450</v>
      </c>
      <c r="F1057" s="3">
        <v>45938.390636574077</v>
      </c>
      <c r="G1057" s="3">
        <v>45939.551724537043</v>
      </c>
      <c r="H1057" s="2"/>
      <c r="I1057" s="2" t="s">
        <v>40</v>
      </c>
      <c r="J1057" s="2" t="s">
        <v>22</v>
      </c>
      <c r="K1057" s="2">
        <v>1</v>
      </c>
      <c r="L1057" s="2">
        <v>5855.32</v>
      </c>
      <c r="M1057" s="2">
        <v>0</v>
      </c>
      <c r="N1057" s="2">
        <v>4179.0372826217208</v>
      </c>
      <c r="O1057" s="2">
        <v>5181.7</v>
      </c>
      <c r="P1057" s="2">
        <v>673.62</v>
      </c>
      <c r="Q1057" s="2">
        <v>5855.32</v>
      </c>
      <c r="R1057" s="2" t="s">
        <v>44</v>
      </c>
      <c r="S1057" s="2"/>
      <c r="T1057" s="2">
        <f t="shared" si="357"/>
        <v>1</v>
      </c>
      <c r="U1057" s="18">
        <f t="shared" si="358"/>
        <v>10</v>
      </c>
      <c r="V1057" s="18">
        <f t="shared" si="359"/>
        <v>2025</v>
      </c>
      <c r="W1057" s="18" t="str">
        <f t="shared" si="360"/>
        <v/>
      </c>
      <c r="X1057" s="18" t="str">
        <f t="shared" si="361"/>
        <v/>
      </c>
      <c r="Y1057" s="2">
        <f t="shared" si="354"/>
        <v>0.71371629264014969</v>
      </c>
      <c r="Z1057" t="str">
        <f t="shared" si="355"/>
        <v>SO18001</v>
      </c>
      <c r="AA1057" s="11">
        <f t="shared" si="362"/>
        <v>45938.390636574077</v>
      </c>
      <c r="AB1057" s="5" t="str">
        <f t="shared" si="363"/>
        <v>INV13597</v>
      </c>
      <c r="AC1057" s="5" t="str">
        <f>IFERROR(VLOOKUP(D1057,CAARStatus!$A$2:$AA$1600,22,FALSE),"Not invoiced")</f>
        <v>Approved</v>
      </c>
      <c r="AD1057" s="11" t="str">
        <f>IF(AC1057="Paid",IFERROR(VLOOKUP(D1057,CAARStatus!$A$2:$AA$1600,6,FALSE),"Pending"),"Pending")</f>
        <v>Pending</v>
      </c>
      <c r="AE1057" s="5" t="str">
        <f t="shared" si="364"/>
        <v>A20251012</v>
      </c>
      <c r="AF1057" s="5" t="str">
        <f t="shared" si="365"/>
        <v>Alpha Industrial &amp; Mining Supplies Limited</v>
      </c>
      <c r="AG1057" s="5" t="str">
        <f t="shared" si="366"/>
        <v>CAD</v>
      </c>
      <c r="AH1057" s="5">
        <f t="shared" si="367"/>
        <v>5181.7</v>
      </c>
      <c r="AI1057" s="12">
        <f>IF(L1057-N1057=0,VLOOKUP(U1057,rate!A$4:B$15,2,FALSE)*AH1057,IF(AG1057="USD",O1057,AH1057*Y1057))</f>
        <v>3698.2637135734635</v>
      </c>
      <c r="AJ1057" s="13">
        <f t="shared" si="368"/>
        <v>0.71371629264014969</v>
      </c>
      <c r="AK1057" s="13">
        <f>-IF(AG1057="CAD",IFERROR(VLOOKUP(D1057,CAARStatus!$A$1:$Y$1600,16,FALSE),0),0)</f>
        <v>-5181.7</v>
      </c>
      <c r="AL1057" s="13">
        <f>-IF(AG1057="USD",IFERROR(VLOOKUP(D1057,CAARStatus!$A$1:$Y$1600,11,FALSE),0),0)</f>
        <v>0</v>
      </c>
      <c r="AM1057" s="22">
        <f t="shared" si="369"/>
        <v>0</v>
      </c>
      <c r="AN1057" s="12" t="str">
        <f t="shared" si="370"/>
        <v/>
      </c>
      <c r="AO1057" s="12" t="str">
        <f t="shared" si="371"/>
        <v>Pend</v>
      </c>
      <c r="AP1057" t="str">
        <f t="shared" si="356"/>
        <v>Pend</v>
      </c>
      <c r="AQ1057" t="str">
        <f>IFERROR(VLOOKUP(Z1057,InvBal!$L$4:$P$600,4,FALSE),"Pend")</f>
        <v>Pend</v>
      </c>
      <c r="AR1057" t="str">
        <f>IFERROR(VLOOKUP(D1057,Manual!$C$1:$E$22,2,FALSE),"Pend")</f>
        <v>Pend</v>
      </c>
      <c r="AS1057" t="str">
        <f t="shared" si="372"/>
        <v/>
      </c>
      <c r="AT1057" t="str">
        <f t="shared" si="373"/>
        <v>Yes</v>
      </c>
      <c r="AU1057" s="51" t="str">
        <f t="shared" si="374"/>
        <v/>
      </c>
      <c r="AV1057" s="12">
        <f>IFERROR(VLOOKUP(D1057,'Receivable Invoice Detail'!$S$1:$U$3014,3,FALSE),0)</f>
        <v>0</v>
      </c>
      <c r="AW1057" s="12">
        <f t="shared" si="375"/>
        <v>0</v>
      </c>
    </row>
    <row r="1058" spans="1:49" ht="30" x14ac:dyDescent="0.25">
      <c r="A1058" s="2">
        <v>1</v>
      </c>
      <c r="B1058" s="2" t="s">
        <v>457</v>
      </c>
      <c r="C1058" s="2" t="s">
        <v>458</v>
      </c>
      <c r="D1058" s="2" t="s">
        <v>3270</v>
      </c>
      <c r="E1058" s="2" t="s">
        <v>26</v>
      </c>
      <c r="F1058" s="3">
        <v>45938.526608796303</v>
      </c>
      <c r="G1058" s="3">
        <v>45938.767430555563</v>
      </c>
      <c r="H1058" s="4">
        <v>45945</v>
      </c>
      <c r="I1058" s="2" t="s">
        <v>36</v>
      </c>
      <c r="J1058" s="2" t="s">
        <v>22</v>
      </c>
      <c r="K1058" s="2">
        <v>1</v>
      </c>
      <c r="L1058" s="2">
        <v>1183.46</v>
      </c>
      <c r="M1058" s="2">
        <v>0</v>
      </c>
      <c r="N1058" s="2">
        <v>848.09434924734239</v>
      </c>
      <c r="O1058" s="2">
        <v>1127.0999999999999</v>
      </c>
      <c r="P1058" s="2">
        <v>56.36</v>
      </c>
      <c r="Q1058" s="2">
        <v>1183.46</v>
      </c>
      <c r="R1058" s="2" t="s">
        <v>44</v>
      </c>
      <c r="S1058" s="2"/>
      <c r="T1058" s="2">
        <f t="shared" si="357"/>
        <v>1</v>
      </c>
      <c r="U1058" s="18">
        <f t="shared" si="358"/>
        <v>10</v>
      </c>
      <c r="V1058" s="18">
        <f t="shared" si="359"/>
        <v>2025</v>
      </c>
      <c r="W1058" s="18">
        <f t="shared" si="360"/>
        <v>12</v>
      </c>
      <c r="X1058" s="18">
        <f t="shared" si="361"/>
        <v>2025</v>
      </c>
      <c r="Y1058" s="2">
        <f t="shared" si="354"/>
        <v>0.71662274115503888</v>
      </c>
      <c r="Z1058" t="str">
        <f t="shared" si="355"/>
        <v>SO18002</v>
      </c>
      <c r="AA1058" s="11">
        <f t="shared" si="362"/>
        <v>45938.526608796303</v>
      </c>
      <c r="AB1058" s="5" t="str">
        <f t="shared" si="363"/>
        <v>INV13524</v>
      </c>
      <c r="AC1058" s="5" t="str">
        <f>IFERROR(VLOOKUP(D1058,CAARStatus!$A$2:$AA$1600,22,FALSE),"Not invoiced")</f>
        <v>Paid</v>
      </c>
      <c r="AD1058" s="11">
        <f>IF(AC1058="Paid",IFERROR(VLOOKUP(D1058,CAARStatus!$A$2:$AA$1600,6,FALSE),"Pending"),"Pending")</f>
        <v>46003</v>
      </c>
      <c r="AE1058" s="5" t="str">
        <f t="shared" si="364"/>
        <v>4500616629</v>
      </c>
      <c r="AF1058" s="5" t="str">
        <f t="shared" si="365"/>
        <v>Resolute Forest Products - Clermont</v>
      </c>
      <c r="AG1058" s="5" t="str">
        <f t="shared" si="366"/>
        <v>CAD</v>
      </c>
      <c r="AH1058" s="5">
        <f t="shared" si="367"/>
        <v>1127.0999999999999</v>
      </c>
      <c r="AI1058" s="12">
        <f>IF(L1058-N1058=0,VLOOKUP(U1058,rate!A$4:B$15,2,FALSE)*AH1058,IF(AG1058="USD",O1058,AH1058*Y1058))</f>
        <v>807.70549155584422</v>
      </c>
      <c r="AJ1058" s="13">
        <f t="shared" si="368"/>
        <v>0.71662274115503888</v>
      </c>
      <c r="AK1058" s="13">
        <f>-IF(AG1058="CAD",IFERROR(VLOOKUP(D1058,CAARStatus!$A$1:$Y$1600,16,FALSE),0),0)</f>
        <v>-1127.0999999999999</v>
      </c>
      <c r="AL1058" s="13">
        <f>-IF(AG1058="USD",IFERROR(VLOOKUP(D1058,CAARStatus!$A$1:$Y$1600,11,FALSE),0),0)</f>
        <v>0</v>
      </c>
      <c r="AM1058" s="22">
        <f t="shared" si="369"/>
        <v>0</v>
      </c>
      <c r="AN1058" s="12" t="str">
        <f t="shared" si="370"/>
        <v/>
      </c>
      <c r="AO1058" s="12" t="str">
        <f t="shared" si="371"/>
        <v>Yes</v>
      </c>
      <c r="AP1058" t="str">
        <f t="shared" si="356"/>
        <v>Yes</v>
      </c>
      <c r="AQ1058" t="str">
        <f>IFERROR(VLOOKUP(Z1058,InvBal!$L$4:$P$600,4,FALSE),"Pend")</f>
        <v>Pend</v>
      </c>
      <c r="AR1058" t="str">
        <f>IFERROR(VLOOKUP(D1058,Manual!$C$1:$E$22,2,FALSE),"Pend")</f>
        <v>Pend</v>
      </c>
      <c r="AS1058" t="str">
        <f t="shared" si="372"/>
        <v>Yes</v>
      </c>
      <c r="AT1058" t="str">
        <f t="shared" si="373"/>
        <v>Yes</v>
      </c>
      <c r="AU1058" s="51" t="str">
        <f t="shared" si="374"/>
        <v>Yes</v>
      </c>
      <c r="AV1058" s="12">
        <f>IFERROR(VLOOKUP(D1058,'Receivable Invoice Detail'!$S$1:$U$3014,3,FALSE),0)</f>
        <v>0</v>
      </c>
      <c r="AW1058" s="12">
        <f t="shared" si="375"/>
        <v>807.70549155584422</v>
      </c>
    </row>
    <row r="1059" spans="1:49" x14ac:dyDescent="0.25">
      <c r="A1059" s="2">
        <v>1</v>
      </c>
      <c r="B1059" s="2" t="s">
        <v>459</v>
      </c>
      <c r="C1059" s="2" t="s">
        <v>460</v>
      </c>
      <c r="D1059" s="2" t="s">
        <v>3269</v>
      </c>
      <c r="E1059" s="2" t="s">
        <v>229</v>
      </c>
      <c r="F1059" s="3">
        <v>45938.58116898148</v>
      </c>
      <c r="G1059" s="3">
        <v>45938.581250000003</v>
      </c>
      <c r="H1059" s="4">
        <v>45945</v>
      </c>
      <c r="I1059" s="2" t="s">
        <v>36</v>
      </c>
      <c r="J1059" s="2" t="s">
        <v>22</v>
      </c>
      <c r="K1059" s="2">
        <v>1</v>
      </c>
      <c r="L1059" s="2">
        <v>2.63</v>
      </c>
      <c r="M1059" s="2">
        <v>0</v>
      </c>
      <c r="N1059" s="2">
        <v>1.8847178092377519</v>
      </c>
      <c r="O1059" s="2">
        <v>2.5</v>
      </c>
      <c r="P1059" s="2">
        <v>0.13</v>
      </c>
      <c r="Q1059" s="2">
        <v>2.63</v>
      </c>
      <c r="R1059" s="2" t="s">
        <v>44</v>
      </c>
      <c r="S1059" s="2"/>
      <c r="T1059" s="2">
        <f t="shared" si="357"/>
        <v>1</v>
      </c>
      <c r="U1059" s="18">
        <f t="shared" si="358"/>
        <v>10</v>
      </c>
      <c r="V1059" s="18">
        <f t="shared" si="359"/>
        <v>2025</v>
      </c>
      <c r="W1059" s="18">
        <f t="shared" si="360"/>
        <v>11</v>
      </c>
      <c r="X1059" s="18">
        <f t="shared" si="361"/>
        <v>2025</v>
      </c>
      <c r="Y1059" s="2">
        <f t="shared" si="354"/>
        <v>0.71662274115503877</v>
      </c>
      <c r="Z1059" t="str">
        <f t="shared" si="355"/>
        <v>SO18004</v>
      </c>
      <c r="AA1059" s="11">
        <f t="shared" si="362"/>
        <v>45938.58116898148</v>
      </c>
      <c r="AB1059" s="5" t="str">
        <f t="shared" si="363"/>
        <v>INV13516</v>
      </c>
      <c r="AC1059" s="5" t="str">
        <f>IFERROR(VLOOKUP(D1059,CAARStatus!$A$2:$AA$1600,22,FALSE),"Not invoiced")</f>
        <v>Paid</v>
      </c>
      <c r="AD1059" s="11">
        <f>IF(AC1059="Paid",IFERROR(VLOOKUP(D1059,CAARStatus!$A$2:$AA$1600,6,FALSE),"Pending"),"Pending")</f>
        <v>45973</v>
      </c>
      <c r="AE1059" s="5" t="str">
        <f t="shared" si="364"/>
        <v>2100669071</v>
      </c>
      <c r="AF1059" s="5" t="str">
        <f t="shared" si="365"/>
        <v>Wajax Limited - Lachine</v>
      </c>
      <c r="AG1059" s="5" t="str">
        <f t="shared" si="366"/>
        <v>CAD</v>
      </c>
      <c r="AH1059" s="5">
        <f t="shared" si="367"/>
        <v>2.5</v>
      </c>
      <c r="AI1059" s="12">
        <f>IF(L1059-N1059=0,VLOOKUP(U1059,rate!A$4:B$15,2,FALSE)*AH1059,IF(AG1059="USD",O1059,AH1059*Y1059))</f>
        <v>1.7915568528875969</v>
      </c>
      <c r="AJ1059" s="13">
        <f t="shared" si="368"/>
        <v>0.71662274115503877</v>
      </c>
      <c r="AK1059" s="13">
        <f>-IF(AG1059="CAD",IFERROR(VLOOKUP(D1059,CAARStatus!$A$1:$Y$1600,16,FALSE),0),0)</f>
        <v>-2.5</v>
      </c>
      <c r="AL1059" s="13">
        <f>-IF(AG1059="USD",IFERROR(VLOOKUP(D1059,CAARStatus!$A$1:$Y$1600,11,FALSE),0),0)</f>
        <v>0</v>
      </c>
      <c r="AM1059" s="22">
        <f t="shared" si="369"/>
        <v>0</v>
      </c>
      <c r="AN1059" s="12" t="str">
        <f t="shared" si="370"/>
        <v/>
      </c>
      <c r="AO1059" s="12" t="str">
        <f t="shared" si="371"/>
        <v>Yes</v>
      </c>
      <c r="AP1059" t="str">
        <f t="shared" si="356"/>
        <v>Yes</v>
      </c>
      <c r="AQ1059" t="str">
        <f>IFERROR(VLOOKUP(Z1059,InvBal!$L$4:$P$600,4,FALSE),"Pend")</f>
        <v>Pend</v>
      </c>
      <c r="AR1059" t="str">
        <f>IFERROR(VLOOKUP(D1059,Manual!$C$1:$E$22,2,FALSE),"Pend")</f>
        <v>Pend</v>
      </c>
      <c r="AS1059" t="str">
        <f t="shared" si="372"/>
        <v>Yes</v>
      </c>
      <c r="AT1059" t="str">
        <f t="shared" si="373"/>
        <v>Yes</v>
      </c>
      <c r="AU1059" s="51" t="str">
        <f t="shared" si="374"/>
        <v>Yes</v>
      </c>
      <c r="AV1059" s="12">
        <f>IFERROR(VLOOKUP(D1059,'Receivable Invoice Detail'!$S$1:$U$3014,3,FALSE),0)</f>
        <v>0</v>
      </c>
      <c r="AW1059" s="12">
        <f t="shared" si="375"/>
        <v>1.7915568528875969</v>
      </c>
    </row>
    <row r="1060" spans="1:49" ht="30" x14ac:dyDescent="0.25">
      <c r="A1060" s="2">
        <v>1</v>
      </c>
      <c r="B1060" s="2" t="s">
        <v>455</v>
      </c>
      <c r="C1060" s="2" t="s">
        <v>456</v>
      </c>
      <c r="D1060" s="2" t="s">
        <v>3271</v>
      </c>
      <c r="E1060" s="2" t="s">
        <v>121</v>
      </c>
      <c r="F1060" s="3">
        <v>45938.801053240742</v>
      </c>
      <c r="G1060" s="3">
        <v>45938.801168981481</v>
      </c>
      <c r="H1060" s="4">
        <v>45945</v>
      </c>
      <c r="I1060" s="2" t="s">
        <v>21</v>
      </c>
      <c r="J1060" s="2" t="s">
        <v>22</v>
      </c>
      <c r="K1060" s="2">
        <v>1</v>
      </c>
      <c r="L1060" s="2">
        <v>402.31</v>
      </c>
      <c r="M1060" s="2">
        <v>0</v>
      </c>
      <c r="N1060" s="2">
        <v>287.13520169205862</v>
      </c>
      <c r="O1060" s="2">
        <v>383.15</v>
      </c>
      <c r="P1060" s="2">
        <v>19.16</v>
      </c>
      <c r="Q1060" s="2">
        <v>402.31</v>
      </c>
      <c r="R1060" s="2" t="s">
        <v>44</v>
      </c>
      <c r="S1060" s="2"/>
      <c r="T1060" s="2">
        <f t="shared" si="357"/>
        <v>1</v>
      </c>
      <c r="U1060" s="18">
        <f t="shared" si="358"/>
        <v>10</v>
      </c>
      <c r="V1060" s="18">
        <f t="shared" si="359"/>
        <v>2025</v>
      </c>
      <c r="W1060" s="18" t="str">
        <f t="shared" si="360"/>
        <v/>
      </c>
      <c r="X1060" s="18" t="str">
        <f t="shared" si="361"/>
        <v/>
      </c>
      <c r="Y1060" s="2">
        <f t="shared" si="354"/>
        <v>0.71371629264014969</v>
      </c>
      <c r="Z1060" t="str">
        <f t="shared" si="355"/>
        <v>SO18008</v>
      </c>
      <c r="AA1060" s="11">
        <f t="shared" si="362"/>
        <v>45938.801053240742</v>
      </c>
      <c r="AB1060" s="5" t="str">
        <f t="shared" si="363"/>
        <v>INV13512</v>
      </c>
      <c r="AC1060" s="5" t="str">
        <f>IFERROR(VLOOKUP(D1060,CAARStatus!$A$2:$AA$1600,22,FALSE),"Not invoiced")</f>
        <v>Approved</v>
      </c>
      <c r="AD1060" s="11" t="str">
        <f>IF(AC1060="Paid",IFERROR(VLOOKUP(D1060,CAARStatus!$A$2:$AA$1600,6,FALSE),"Pending"),"Pending")</f>
        <v>Pending</v>
      </c>
      <c r="AE1060" s="5" t="str">
        <f t="shared" si="364"/>
        <v>4500588834</v>
      </c>
      <c r="AF1060" s="5" t="str">
        <f t="shared" si="365"/>
        <v>Glencore Canada Corporation - Rouyn-Noranda</v>
      </c>
      <c r="AG1060" s="5" t="str">
        <f t="shared" si="366"/>
        <v>CAD</v>
      </c>
      <c r="AH1060" s="5">
        <f t="shared" si="367"/>
        <v>383.15</v>
      </c>
      <c r="AI1060" s="12">
        <f>IF(L1060-N1060=0,VLOOKUP(U1060,rate!A$4:B$15,2,FALSE)*AH1060,IF(AG1060="USD",O1060,AH1060*Y1060))</f>
        <v>273.46039752507335</v>
      </c>
      <c r="AJ1060" s="13">
        <f t="shared" si="368"/>
        <v>0.71371629264014969</v>
      </c>
      <c r="AK1060" s="13">
        <f>-IF(AG1060="CAD",IFERROR(VLOOKUP(D1060,CAARStatus!$A$1:$Y$1600,16,FALSE),0),0)</f>
        <v>-383.15</v>
      </c>
      <c r="AL1060" s="13">
        <f>-IF(AG1060="USD",IFERROR(VLOOKUP(D1060,CAARStatus!$A$1:$Y$1600,11,FALSE),0),0)</f>
        <v>0</v>
      </c>
      <c r="AM1060" s="22">
        <f t="shared" si="369"/>
        <v>0</v>
      </c>
      <c r="AN1060" s="12" t="str">
        <f t="shared" si="370"/>
        <v/>
      </c>
      <c r="AO1060" s="12" t="str">
        <f t="shared" si="371"/>
        <v>Pend</v>
      </c>
      <c r="AP1060" t="str">
        <f t="shared" si="356"/>
        <v>Pend</v>
      </c>
      <c r="AQ1060" t="str">
        <f>IFERROR(VLOOKUP(Z1060,InvBal!$L$4:$P$600,4,FALSE),"Pend")</f>
        <v>Pend</v>
      </c>
      <c r="AR1060" t="str">
        <f>IFERROR(VLOOKUP(D1060,Manual!$C$1:$E$22,2,FALSE),"Pend")</f>
        <v>Pend</v>
      </c>
      <c r="AS1060" t="str">
        <f t="shared" si="372"/>
        <v/>
      </c>
      <c r="AT1060" t="str">
        <f t="shared" si="373"/>
        <v>Yes</v>
      </c>
      <c r="AU1060" s="51" t="str">
        <f t="shared" si="374"/>
        <v/>
      </c>
      <c r="AV1060" s="12">
        <f>IFERROR(VLOOKUP(D1060,'Receivable Invoice Detail'!$S$1:$U$3014,3,FALSE),0)</f>
        <v>0</v>
      </c>
      <c r="AW1060" s="12">
        <f t="shared" si="375"/>
        <v>0</v>
      </c>
    </row>
    <row r="1061" spans="1:49" ht="30" x14ac:dyDescent="0.25">
      <c r="A1061" s="2">
        <v>1</v>
      </c>
      <c r="B1061" s="2" t="s">
        <v>451</v>
      </c>
      <c r="C1061" s="2" t="s">
        <v>452</v>
      </c>
      <c r="D1061" s="2" t="s">
        <v>3273</v>
      </c>
      <c r="E1061" s="2" t="s">
        <v>290</v>
      </c>
      <c r="F1061" s="3">
        <v>45938.81150462963</v>
      </c>
      <c r="G1061" s="3">
        <v>45939.490451388891</v>
      </c>
      <c r="H1061" s="4">
        <v>45946</v>
      </c>
      <c r="I1061" s="2" t="s">
        <v>36</v>
      </c>
      <c r="J1061" s="2" t="s">
        <v>22</v>
      </c>
      <c r="K1061" s="2">
        <v>1</v>
      </c>
      <c r="L1061" s="2">
        <v>1183.46</v>
      </c>
      <c r="M1061" s="2">
        <v>0</v>
      </c>
      <c r="N1061" s="2">
        <v>844.65468368791142</v>
      </c>
      <c r="O1061" s="2">
        <v>1127.0999999999999</v>
      </c>
      <c r="P1061" s="2">
        <v>56.36</v>
      </c>
      <c r="Q1061" s="2">
        <v>1183.46</v>
      </c>
      <c r="R1061" s="2" t="s">
        <v>44</v>
      </c>
      <c r="S1061" s="2"/>
      <c r="T1061" s="2">
        <f t="shared" si="357"/>
        <v>1</v>
      </c>
      <c r="U1061" s="18">
        <f t="shared" si="358"/>
        <v>10</v>
      </c>
      <c r="V1061" s="18">
        <f t="shared" si="359"/>
        <v>2025</v>
      </c>
      <c r="W1061" s="18">
        <f t="shared" si="360"/>
        <v>12</v>
      </c>
      <c r="X1061" s="18">
        <f t="shared" si="361"/>
        <v>2025</v>
      </c>
      <c r="Y1061" s="2">
        <f t="shared" si="354"/>
        <v>0.71371629264014957</v>
      </c>
      <c r="Z1061" t="str">
        <f t="shared" si="355"/>
        <v>SO18009</v>
      </c>
      <c r="AA1061" s="11">
        <f t="shared" si="362"/>
        <v>45938.81150462963</v>
      </c>
      <c r="AB1061" s="5" t="str">
        <f t="shared" si="363"/>
        <v>INV13518</v>
      </c>
      <c r="AC1061" s="5" t="str">
        <f>IFERROR(VLOOKUP(D1061,CAARStatus!$A$2:$AA$1600,22,FALSE),"Not invoiced")</f>
        <v>Paid</v>
      </c>
      <c r="AD1061" s="11">
        <f>IF(AC1061="Paid",IFERROR(VLOOKUP(D1061,CAARStatus!$A$2:$AA$1600,6,FALSE),"Pending"),"Pending")</f>
        <v>46000</v>
      </c>
      <c r="AE1061" s="5" t="str">
        <f t="shared" si="364"/>
        <v>4500616836</v>
      </c>
      <c r="AF1061" s="5" t="str">
        <f t="shared" si="365"/>
        <v>Resolute Forest Products - Kenogami</v>
      </c>
      <c r="AG1061" s="5" t="str">
        <f t="shared" si="366"/>
        <v>CAD</v>
      </c>
      <c r="AH1061" s="5">
        <f t="shared" si="367"/>
        <v>1127.0999999999999</v>
      </c>
      <c r="AI1061" s="12">
        <f>IF(L1061-N1061=0,VLOOKUP(U1061,rate!A$4:B$15,2,FALSE)*AH1061,IF(AG1061="USD",O1061,AH1061*Y1061))</f>
        <v>804.42963343471251</v>
      </c>
      <c r="AJ1061" s="13">
        <f t="shared" si="368"/>
        <v>0.71371629264014957</v>
      </c>
      <c r="AK1061" s="13">
        <f>-IF(AG1061="CAD",IFERROR(VLOOKUP(D1061,CAARStatus!$A$1:$Y$1600,16,FALSE),0),0)</f>
        <v>-1127.0999999999999</v>
      </c>
      <c r="AL1061" s="13">
        <f>-IF(AG1061="USD",IFERROR(VLOOKUP(D1061,CAARStatus!$A$1:$Y$1600,11,FALSE),0),0)</f>
        <v>0</v>
      </c>
      <c r="AM1061" s="22">
        <f t="shared" si="369"/>
        <v>0</v>
      </c>
      <c r="AN1061" s="12" t="str">
        <f t="shared" si="370"/>
        <v/>
      </c>
      <c r="AO1061" s="12" t="str">
        <f t="shared" si="371"/>
        <v>Yes</v>
      </c>
      <c r="AP1061" t="str">
        <f t="shared" si="356"/>
        <v>Yes</v>
      </c>
      <c r="AQ1061" t="str">
        <f>IFERROR(VLOOKUP(Z1061,InvBal!$L$4:$P$600,4,FALSE),"Pend")</f>
        <v>Pend</v>
      </c>
      <c r="AR1061" t="str">
        <f>IFERROR(VLOOKUP(D1061,Manual!$C$1:$E$22,2,FALSE),"Pend")</f>
        <v>Pend</v>
      </c>
      <c r="AS1061" t="str">
        <f t="shared" si="372"/>
        <v>Yes</v>
      </c>
      <c r="AT1061" t="str">
        <f t="shared" si="373"/>
        <v>Yes</v>
      </c>
      <c r="AU1061" s="51" t="str">
        <f t="shared" si="374"/>
        <v>Yes</v>
      </c>
      <c r="AV1061" s="12">
        <f>IFERROR(VLOOKUP(D1061,'Receivable Invoice Detail'!$S$1:$U$3014,3,FALSE),0)</f>
        <v>0</v>
      </c>
      <c r="AW1061" s="12">
        <f t="shared" si="375"/>
        <v>804.42963343471251</v>
      </c>
    </row>
    <row r="1062" spans="1:49" ht="30" x14ac:dyDescent="0.25">
      <c r="A1062" s="2">
        <v>1</v>
      </c>
      <c r="B1062" s="2" t="s">
        <v>416</v>
      </c>
      <c r="C1062" s="2" t="s">
        <v>417</v>
      </c>
      <c r="D1062" s="2" t="s">
        <v>6038</v>
      </c>
      <c r="E1062" s="2" t="s">
        <v>26</v>
      </c>
      <c r="F1062" s="3">
        <v>45938.853564814817</v>
      </c>
      <c r="G1062" s="3">
        <v>45945.546203703707</v>
      </c>
      <c r="H1062" s="4">
        <v>46036</v>
      </c>
      <c r="I1062" s="2" t="s">
        <v>21</v>
      </c>
      <c r="J1062" s="2" t="s">
        <v>22</v>
      </c>
      <c r="K1062" s="2">
        <v>1</v>
      </c>
      <c r="L1062" s="2">
        <v>7318.61</v>
      </c>
      <c r="M1062" s="2">
        <v>7318.61</v>
      </c>
      <c r="N1062" s="2">
        <v>7318.61</v>
      </c>
      <c r="O1062" s="2">
        <v>6970.1</v>
      </c>
      <c r="P1062" s="2">
        <v>348.51</v>
      </c>
      <c r="Q1062" s="2">
        <v>7318.61</v>
      </c>
      <c r="R1062" s="2" t="s">
        <v>44</v>
      </c>
      <c r="S1062" s="2"/>
      <c r="T1062" s="2">
        <f t="shared" si="357"/>
        <v>1</v>
      </c>
      <c r="U1062" s="18">
        <f t="shared" si="358"/>
        <v>10</v>
      </c>
      <c r="V1062" s="18">
        <f t="shared" si="359"/>
        <v>2025</v>
      </c>
      <c r="W1062" s="18" t="str">
        <f t="shared" si="360"/>
        <v/>
      </c>
      <c r="X1062" s="18" t="str">
        <f t="shared" si="361"/>
        <v/>
      </c>
      <c r="Y1062" s="2">
        <f t="shared" si="354"/>
        <v>1</v>
      </c>
      <c r="Z1062" t="str">
        <f t="shared" si="355"/>
        <v>SO18010</v>
      </c>
      <c r="AA1062" s="11">
        <f t="shared" si="362"/>
        <v>45938.853564814817</v>
      </c>
      <c r="AB1062" s="5" t="str">
        <f t="shared" si="363"/>
        <v>INV13788</v>
      </c>
      <c r="AC1062" s="5" t="str">
        <f>IFERROR(VLOOKUP(D1062,CAARStatus!$A$2:$AA$1600,22,FALSE),"Not invoiced")</f>
        <v>Approved</v>
      </c>
      <c r="AD1062" s="11" t="str">
        <f>IF(AC1062="Paid",IFERROR(VLOOKUP(D1062,CAARStatus!$A$2:$AA$1600,6,FALSE),"Pending"),"Pending")</f>
        <v>Pending</v>
      </c>
      <c r="AE1062" s="5" t="str">
        <f t="shared" si="364"/>
        <v>4500617746</v>
      </c>
      <c r="AF1062" s="5" t="str">
        <f t="shared" si="365"/>
        <v>Resolute Forest Products - Clermont</v>
      </c>
      <c r="AG1062" s="5" t="str">
        <f t="shared" si="366"/>
        <v>CAD</v>
      </c>
      <c r="AH1062" s="5">
        <f t="shared" si="367"/>
        <v>6970.1</v>
      </c>
      <c r="AI1062" s="12">
        <f>IF(L1062-N1062=0,VLOOKUP(U1062,rate!A$4:B$15,2,FALSE)*AH1062,IF(AG1062="USD",O1062,AH1062*Y1062))</f>
        <v>4985.1446599053361</v>
      </c>
      <c r="AJ1062" s="13">
        <f t="shared" si="368"/>
        <v>0.71521852769764216</v>
      </c>
      <c r="AK1062" s="13">
        <f>-IF(AG1062="CAD",IFERROR(VLOOKUP(D1062,CAARStatus!$A$1:$Y$1600,16,FALSE),0),0)</f>
        <v>-6970.1</v>
      </c>
      <c r="AL1062" s="13">
        <f>-IF(AG1062="USD",IFERROR(VLOOKUP(D1062,CAARStatus!$A$1:$Y$1600,11,FALSE),0),0)</f>
        <v>0</v>
      </c>
      <c r="AM1062" s="22">
        <f t="shared" si="369"/>
        <v>0</v>
      </c>
      <c r="AN1062" s="12" t="str">
        <f t="shared" si="370"/>
        <v/>
      </c>
      <c r="AO1062" s="12" t="str">
        <f t="shared" si="371"/>
        <v>Pend</v>
      </c>
      <c r="AP1062" t="str">
        <f t="shared" si="356"/>
        <v>Pend</v>
      </c>
      <c r="AQ1062" t="str">
        <f>IFERROR(VLOOKUP(Z1062,InvBal!$L$4:$P$600,4,FALSE),"Pend")</f>
        <v>Pend</v>
      </c>
      <c r="AR1062" t="str">
        <f>IFERROR(VLOOKUP(D1062,Manual!$C$1:$E$22,2,FALSE),"Pend")</f>
        <v>Pend</v>
      </c>
      <c r="AS1062" t="str">
        <f t="shared" si="372"/>
        <v/>
      </c>
      <c r="AT1062" t="str">
        <f t="shared" si="373"/>
        <v>Yes</v>
      </c>
      <c r="AU1062" s="51" t="str">
        <f t="shared" si="374"/>
        <v/>
      </c>
      <c r="AV1062" s="12">
        <f>IFERROR(VLOOKUP(D1062,'Receivable Invoice Detail'!$S$1:$U$3014,3,FALSE),0)</f>
        <v>0</v>
      </c>
      <c r="AW1062" s="12">
        <f t="shared" si="375"/>
        <v>0</v>
      </c>
    </row>
    <row r="1063" spans="1:49" x14ac:dyDescent="0.25">
      <c r="A1063" s="2">
        <v>1</v>
      </c>
      <c r="B1063" s="2" t="s">
        <v>453</v>
      </c>
      <c r="C1063" s="2" t="s">
        <v>454</v>
      </c>
      <c r="D1063" s="2" t="s">
        <v>3272</v>
      </c>
      <c r="E1063" s="2" t="s">
        <v>141</v>
      </c>
      <c r="F1063" s="3">
        <v>45938.899201388893</v>
      </c>
      <c r="G1063" s="3">
        <v>45938.899699074071</v>
      </c>
      <c r="H1063" s="4">
        <v>45939</v>
      </c>
      <c r="I1063" s="2" t="s">
        <v>21</v>
      </c>
      <c r="J1063" s="2" t="s">
        <v>51</v>
      </c>
      <c r="K1063" s="2">
        <v>0.71696466189026287</v>
      </c>
      <c r="L1063" s="2">
        <v>39.360377854047279</v>
      </c>
      <c r="M1063" s="2">
        <v>0</v>
      </c>
      <c r="N1063" s="2">
        <v>28.22</v>
      </c>
      <c r="O1063" s="2">
        <v>28.22</v>
      </c>
      <c r="P1063" s="2"/>
      <c r="Q1063" s="2">
        <v>28.22</v>
      </c>
      <c r="R1063" s="2" t="s">
        <v>44</v>
      </c>
      <c r="S1063" s="2"/>
      <c r="T1063" s="2">
        <f t="shared" si="357"/>
        <v>1</v>
      </c>
      <c r="U1063" s="18">
        <f t="shared" si="358"/>
        <v>10</v>
      </c>
      <c r="V1063" s="18">
        <f t="shared" si="359"/>
        <v>2025</v>
      </c>
      <c r="W1063" s="18" t="str">
        <f t="shared" si="360"/>
        <v/>
      </c>
      <c r="X1063" s="18" t="str">
        <f t="shared" si="361"/>
        <v/>
      </c>
      <c r="Y1063" s="2">
        <f t="shared" si="354"/>
        <v>0.71696466189026287</v>
      </c>
      <c r="Z1063" t="str">
        <f t="shared" si="355"/>
        <v>SO18012</v>
      </c>
      <c r="AA1063" s="11">
        <f t="shared" si="362"/>
        <v>45938.899201388893</v>
      </c>
      <c r="AB1063" s="5" t="str">
        <f t="shared" si="363"/>
        <v>INV13594</v>
      </c>
      <c r="AC1063" s="5" t="str">
        <f>IFERROR(VLOOKUP(D1063,CAARStatus!$A$2:$AA$1600,22,FALSE),"Not invoiced")</f>
        <v>Approved</v>
      </c>
      <c r="AD1063" s="11" t="str">
        <f>IF(AC1063="Paid",IFERROR(VLOOKUP(D1063,CAARStatus!$A$2:$AA$1600,6,FALSE),"Pending"),"Pending")</f>
        <v>Pending</v>
      </c>
      <c r="AE1063" s="5" t="str">
        <f t="shared" si="364"/>
        <v>4512412211</v>
      </c>
      <c r="AF1063" s="5" t="str">
        <f t="shared" si="365"/>
        <v>PT Vale Indonesia Tbk.</v>
      </c>
      <c r="AG1063" s="5" t="str">
        <f t="shared" si="366"/>
        <v>USD</v>
      </c>
      <c r="AH1063" s="5">
        <f t="shared" si="367"/>
        <v>39.360377854047279</v>
      </c>
      <c r="AI1063" s="12">
        <f>IF(L1063-N1063=0,VLOOKUP(U1063,rate!A$4:B$15,2,FALSE)*AH1063,IF(AG1063="USD",O1063,AH1063*Y1063))</f>
        <v>28.22</v>
      </c>
      <c r="AJ1063" s="13">
        <f t="shared" si="368"/>
        <v>0.71696466189026287</v>
      </c>
      <c r="AK1063" s="13">
        <f>-IF(AG1063="CAD",IFERROR(VLOOKUP(D1063,CAARStatus!$A$1:$Y$1600,16,FALSE),0),0)</f>
        <v>0</v>
      </c>
      <c r="AL1063" s="13">
        <f>-IF(AG1063="USD",IFERROR(VLOOKUP(D1063,CAARStatus!$A$1:$Y$1600,11,FALSE),0),0)</f>
        <v>-28.22</v>
      </c>
      <c r="AM1063" s="22" t="str">
        <f t="shared" si="369"/>
        <v/>
      </c>
      <c r="AN1063" s="12">
        <f t="shared" si="370"/>
        <v>0</v>
      </c>
      <c r="AO1063" s="12" t="str">
        <f t="shared" si="371"/>
        <v>Pend</v>
      </c>
      <c r="AP1063" t="str">
        <f t="shared" si="356"/>
        <v>Pend</v>
      </c>
      <c r="AQ1063" t="str">
        <f>IFERROR(VLOOKUP(Z1063,InvBal!$L$4:$P$600,4,FALSE),"Pend")</f>
        <v>Pend</v>
      </c>
      <c r="AR1063" t="str">
        <f>IFERROR(VLOOKUP(D1063,Manual!$C$1:$E$22,2,FALSE),"Pend")</f>
        <v>Pend</v>
      </c>
      <c r="AS1063" t="str">
        <f t="shared" si="372"/>
        <v/>
      </c>
      <c r="AT1063" t="str">
        <f t="shared" si="373"/>
        <v>Yes</v>
      </c>
      <c r="AU1063" s="51" t="str">
        <f t="shared" si="374"/>
        <v/>
      </c>
      <c r="AV1063" s="12">
        <f>IFERROR(VLOOKUP(D1063,'Receivable Invoice Detail'!$S$1:$U$3014,3,FALSE),0)</f>
        <v>0</v>
      </c>
      <c r="AW1063" s="12">
        <f t="shared" si="375"/>
        <v>0</v>
      </c>
    </row>
    <row r="1064" spans="1:49" ht="30" x14ac:dyDescent="0.25">
      <c r="A1064" s="2">
        <v>2</v>
      </c>
      <c r="B1064" s="2" t="s">
        <v>427</v>
      </c>
      <c r="C1064" s="2" t="s">
        <v>428</v>
      </c>
      <c r="D1064" s="2" t="s">
        <v>3282</v>
      </c>
      <c r="E1064" s="2" t="s">
        <v>429</v>
      </c>
      <c r="F1064" s="3">
        <v>45939.372152777767</v>
      </c>
      <c r="G1064" s="3">
        <v>45944.414571759262</v>
      </c>
      <c r="H1064" s="4">
        <v>45953</v>
      </c>
      <c r="I1064" s="2" t="s">
        <v>74</v>
      </c>
      <c r="J1064" s="2" t="s">
        <v>22</v>
      </c>
      <c r="K1064" s="2">
        <v>1</v>
      </c>
      <c r="L1064" s="2">
        <v>792.08</v>
      </c>
      <c r="M1064" s="2">
        <v>0</v>
      </c>
      <c r="N1064" s="2">
        <v>563.9567810393653</v>
      </c>
      <c r="O1064" s="2">
        <v>754.36</v>
      </c>
      <c r="P1064" s="2">
        <v>37.72</v>
      </c>
      <c r="Q1064" s="2">
        <v>792.08</v>
      </c>
      <c r="R1064" s="2" t="s">
        <v>44</v>
      </c>
      <c r="S1064" s="2"/>
      <c r="T1064" s="2">
        <f t="shared" si="357"/>
        <v>2</v>
      </c>
      <c r="U1064" s="18">
        <f t="shared" si="358"/>
        <v>10</v>
      </c>
      <c r="V1064" s="18">
        <f t="shared" si="359"/>
        <v>2025</v>
      </c>
      <c r="W1064" s="18" t="str">
        <f t="shared" si="360"/>
        <v/>
      </c>
      <c r="X1064" s="18" t="str">
        <f t="shared" si="361"/>
        <v/>
      </c>
      <c r="Y1064" s="2">
        <f t="shared" si="354"/>
        <v>0.71199472406747455</v>
      </c>
      <c r="Z1064" t="str">
        <f t="shared" si="355"/>
        <v>SO18013</v>
      </c>
      <c r="AA1064" s="11">
        <f t="shared" si="362"/>
        <v>45939.372152777767</v>
      </c>
      <c r="AB1064" s="5" t="str">
        <f t="shared" si="363"/>
        <v>Borrador de factura (* 80533)</v>
      </c>
      <c r="AC1064" s="5" t="str">
        <f>IFERROR(VLOOKUP(D1064,CAARStatus!$A$2:$AA$1600,22,FALSE),"Not invoiced")</f>
        <v>Not invoiced</v>
      </c>
      <c r="AD1064" s="11" t="str">
        <f>IF(AC1064="Paid",IFERROR(VLOOKUP(D1064,CAARStatus!$A$2:$AA$1600,6,FALSE),"Pending"),"Pending")</f>
        <v>Pending</v>
      </c>
      <c r="AE1064" s="5" t="str">
        <f t="shared" si="364"/>
        <v>66071</v>
      </c>
      <c r="AF1064" s="5" t="str">
        <f t="shared" si="365"/>
        <v>Harvey Bearings</v>
      </c>
      <c r="AG1064" s="5" t="str">
        <f t="shared" si="366"/>
        <v>CAD</v>
      </c>
      <c r="AH1064" s="5">
        <f t="shared" si="367"/>
        <v>754.36</v>
      </c>
      <c r="AI1064" s="12">
        <f>IF(L1064-N1064=0,VLOOKUP(U1064,rate!A$4:B$15,2,FALSE)*AH1064,IF(AG1064="USD",O1064,AH1064*Y1064))</f>
        <v>537.10034004754016</v>
      </c>
      <c r="AJ1064" s="13">
        <f t="shared" si="368"/>
        <v>0.71199472406747466</v>
      </c>
      <c r="AK1064" s="13">
        <f>-IF(AG1064="CAD",IFERROR(VLOOKUP(D1064,CAARStatus!$A$1:$Y$1600,16,FALSE),0),0)</f>
        <v>0</v>
      </c>
      <c r="AL1064" s="13">
        <f>-IF(AG1064="USD",IFERROR(VLOOKUP(D1064,CAARStatus!$A$1:$Y$1600,11,FALSE),0),0)</f>
        <v>0</v>
      </c>
      <c r="AM1064" s="22">
        <f t="shared" si="369"/>
        <v>754.36</v>
      </c>
      <c r="AN1064" s="12" t="str">
        <f t="shared" si="370"/>
        <v/>
      </c>
      <c r="AO1064" s="12" t="str">
        <f t="shared" si="371"/>
        <v>Pend</v>
      </c>
      <c r="AP1064" t="str">
        <f t="shared" si="356"/>
        <v>XX</v>
      </c>
      <c r="AQ1064" t="str">
        <f>IFERROR(VLOOKUP(Z1064,InvBal!$L$4:$P$600,4,FALSE),"Pend")</f>
        <v>Yes</v>
      </c>
      <c r="AR1064" t="str">
        <f>IFERROR(VLOOKUP(D1064,Manual!$C$1:$E$22,2,FALSE),"Pend")</f>
        <v>Pend</v>
      </c>
      <c r="AS1064" t="str">
        <f t="shared" si="372"/>
        <v>Yes</v>
      </c>
      <c r="AT1064" t="str">
        <f t="shared" si="373"/>
        <v>Yes</v>
      </c>
      <c r="AU1064" s="51" t="str">
        <f t="shared" si="374"/>
        <v>Yes</v>
      </c>
      <c r="AV1064" s="12">
        <f>IFERROR(VLOOKUP(D1064,'Receivable Invoice Detail'!$S$1:$U$3014,3,FALSE),0)</f>
        <v>0</v>
      </c>
      <c r="AW1064" s="12">
        <f t="shared" si="375"/>
        <v>537.10034004754016</v>
      </c>
    </row>
    <row r="1065" spans="1:49" x14ac:dyDescent="0.25">
      <c r="A1065" s="2"/>
      <c r="B1065" s="2"/>
      <c r="C1065" s="2"/>
      <c r="D1065" s="2" t="s">
        <v>3281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>
        <f t="shared" si="357"/>
        <v>2</v>
      </c>
      <c r="U1065" s="18">
        <f t="shared" si="358"/>
        <v>10</v>
      </c>
      <c r="V1065" s="18">
        <f t="shared" si="359"/>
        <v>2025</v>
      </c>
      <c r="W1065" s="18">
        <f t="shared" si="360"/>
        <v>10</v>
      </c>
      <c r="X1065" s="18">
        <f t="shared" si="361"/>
        <v>2025</v>
      </c>
      <c r="Y1065" s="2">
        <f t="shared" si="354"/>
        <v>0.71199472406747455</v>
      </c>
      <c r="Z1065" t="str">
        <f t="shared" si="355"/>
        <v>SO18013</v>
      </c>
      <c r="AA1065" s="11">
        <f t="shared" si="362"/>
        <v>45939.372152777767</v>
      </c>
      <c r="AB1065" s="5" t="str">
        <f t="shared" si="363"/>
        <v>INV13530</v>
      </c>
      <c r="AC1065" s="5" t="str">
        <f>IFERROR(VLOOKUP(D1065,CAARStatus!$A$2:$AA$1600,22,FALSE),"Not invoiced")</f>
        <v>Paid</v>
      </c>
      <c r="AD1065" s="11">
        <f>IF(AC1065="Paid",IFERROR(VLOOKUP(D1065,CAARStatus!$A$2:$AA$1600,6,FALSE),"Pending"),"Pending")</f>
        <v>45947</v>
      </c>
      <c r="AE1065" s="5" t="str">
        <f t="shared" si="364"/>
        <v>66071</v>
      </c>
      <c r="AF1065" s="5" t="str">
        <f t="shared" si="365"/>
        <v>Harvey Bearings</v>
      </c>
      <c r="AG1065" s="5" t="str">
        <f t="shared" si="366"/>
        <v>CAD</v>
      </c>
      <c r="AH1065" s="5">
        <f t="shared" si="367"/>
        <v>0</v>
      </c>
      <c r="AI1065" s="12">
        <f>IF(L1065-N1065=0,VLOOKUP(U1065,rate!A$4:B$15,2,FALSE)*AH1065,IF(AG1065="USD",O1065,AH1065*Y1065))</f>
        <v>0</v>
      </c>
      <c r="AJ1065" s="13">
        <f t="shared" si="368"/>
        <v>0</v>
      </c>
      <c r="AK1065" s="13">
        <f>-IF(AG1065="CAD",IFERROR(VLOOKUP(D1065,CAARStatus!$A$1:$Y$1600,16,FALSE),0),0)</f>
        <v>-754.36</v>
      </c>
      <c r="AL1065" s="13">
        <f>-IF(AG1065="USD",IFERROR(VLOOKUP(D1065,CAARStatus!$A$1:$Y$1600,11,FALSE),0),0)</f>
        <v>0</v>
      </c>
      <c r="AM1065" s="22">
        <f t="shared" si="369"/>
        <v>-754.36</v>
      </c>
      <c r="AN1065" s="12" t="str">
        <f t="shared" si="370"/>
        <v/>
      </c>
      <c r="AO1065" s="12" t="str">
        <f t="shared" si="371"/>
        <v>Yes</v>
      </c>
      <c r="AP1065" t="str">
        <f t="shared" si="356"/>
        <v>XX</v>
      </c>
      <c r="AQ1065" t="str">
        <f>IFERROR(VLOOKUP(Z1065,InvBal!$L$4:$P$600,4,FALSE),"Pend")</f>
        <v>Yes</v>
      </c>
      <c r="AR1065" t="str">
        <f>IFERROR(VLOOKUP(D1065,Manual!$C$1:$E$22,2,FALSE),"Pend")</f>
        <v>Pend</v>
      </c>
      <c r="AS1065" t="str">
        <f t="shared" si="372"/>
        <v>Yes</v>
      </c>
      <c r="AT1065" t="str">
        <f t="shared" si="373"/>
        <v/>
      </c>
      <c r="AU1065" s="51" t="str">
        <f t="shared" si="374"/>
        <v/>
      </c>
      <c r="AV1065" s="12">
        <f>IFERROR(VLOOKUP(D1065,'Receivable Invoice Detail'!$S$1:$U$3014,3,FALSE),0)</f>
        <v>0</v>
      </c>
      <c r="AW1065" s="12">
        <f t="shared" si="375"/>
        <v>0</v>
      </c>
    </row>
    <row r="1066" spans="1:49" x14ac:dyDescent="0.25">
      <c r="A1066" s="2">
        <v>1</v>
      </c>
      <c r="B1066" s="2" t="s">
        <v>340</v>
      </c>
      <c r="C1066" s="2" t="s">
        <v>341</v>
      </c>
      <c r="D1066" s="2" t="s">
        <v>3310</v>
      </c>
      <c r="E1066" s="2" t="s">
        <v>146</v>
      </c>
      <c r="F1066" s="3">
        <v>45939.396990740737</v>
      </c>
      <c r="G1066" s="3">
        <v>45957.607662037037</v>
      </c>
      <c r="H1066" s="4">
        <v>45964</v>
      </c>
      <c r="I1066" s="2" t="s">
        <v>74</v>
      </c>
      <c r="J1066" s="2" t="s">
        <v>22</v>
      </c>
      <c r="K1066" s="2">
        <v>1</v>
      </c>
      <c r="L1066" s="2">
        <v>8607.9</v>
      </c>
      <c r="M1066" s="2">
        <v>8607.9</v>
      </c>
      <c r="N1066" s="2">
        <v>8607.9</v>
      </c>
      <c r="O1066" s="2">
        <v>8198</v>
      </c>
      <c r="P1066" s="2">
        <v>409.9</v>
      </c>
      <c r="Q1066" s="2">
        <v>8607.9</v>
      </c>
      <c r="R1066" s="2" t="s">
        <v>44</v>
      </c>
      <c r="S1066" s="2"/>
      <c r="T1066" s="2">
        <f t="shared" si="357"/>
        <v>1</v>
      </c>
      <c r="U1066" s="18">
        <f t="shared" si="358"/>
        <v>10</v>
      </c>
      <c r="V1066" s="18">
        <f t="shared" si="359"/>
        <v>2025</v>
      </c>
      <c r="W1066" s="18">
        <f t="shared" si="360"/>
        <v>12</v>
      </c>
      <c r="X1066" s="18">
        <f t="shared" si="361"/>
        <v>2025</v>
      </c>
      <c r="Y1066" s="2">
        <f t="shared" si="354"/>
        <v>1</v>
      </c>
      <c r="Z1066" t="str">
        <f t="shared" si="355"/>
        <v>SO18014</v>
      </c>
      <c r="AA1066" s="11">
        <f t="shared" si="362"/>
        <v>45939.396990740737</v>
      </c>
      <c r="AB1066" s="5" t="str">
        <f t="shared" si="363"/>
        <v>INV13561</v>
      </c>
      <c r="AC1066" s="5" t="str">
        <f>IFERROR(VLOOKUP(D1066,CAARStatus!$A$2:$AA$1600,22,FALSE),"Not invoiced")</f>
        <v>Paid</v>
      </c>
      <c r="AD1066" s="11">
        <f>IF(AC1066="Paid",IFERROR(VLOOKUP(D1066,CAARStatus!$A$2:$AA$1600,6,FALSE),"Pending"),"Pending")</f>
        <v>45995</v>
      </c>
      <c r="AE1066" s="5" t="str">
        <f t="shared" si="364"/>
        <v>7885</v>
      </c>
      <c r="AF1066" s="5" t="str">
        <f t="shared" si="365"/>
        <v>Hyperflo</v>
      </c>
      <c r="AG1066" s="5" t="str">
        <f t="shared" si="366"/>
        <v>CAD</v>
      </c>
      <c r="AH1066" s="5">
        <f t="shared" si="367"/>
        <v>8198</v>
      </c>
      <c r="AI1066" s="12">
        <f>IF(L1066-N1066=0,VLOOKUP(U1066,rate!A$4:B$15,2,FALSE)*AH1066,IF(AG1066="USD",O1066,AH1066*Y1066))</f>
        <v>5863.3614900652701</v>
      </c>
      <c r="AJ1066" s="13">
        <f t="shared" si="368"/>
        <v>0.71521852769764216</v>
      </c>
      <c r="AK1066" s="13">
        <f>-IF(AG1066="CAD",IFERROR(VLOOKUP(D1066,CAARStatus!$A$1:$Y$1600,16,FALSE),0),0)</f>
        <v>-8198</v>
      </c>
      <c r="AL1066" s="13">
        <f>-IF(AG1066="USD",IFERROR(VLOOKUP(D1066,CAARStatus!$A$1:$Y$1600,11,FALSE),0),0)</f>
        <v>0</v>
      </c>
      <c r="AM1066" s="22">
        <f t="shared" si="369"/>
        <v>0</v>
      </c>
      <c r="AN1066" s="12" t="str">
        <f t="shared" si="370"/>
        <v/>
      </c>
      <c r="AO1066" s="12" t="str">
        <f t="shared" si="371"/>
        <v>Yes</v>
      </c>
      <c r="AP1066" t="str">
        <f t="shared" si="356"/>
        <v>Yes</v>
      </c>
      <c r="AQ1066" t="str">
        <f>IFERROR(VLOOKUP(Z1066,InvBal!$L$4:$P$600,4,FALSE),"Pend")</f>
        <v>Pend</v>
      </c>
      <c r="AR1066" t="str">
        <f>IFERROR(VLOOKUP(D1066,Manual!$C$1:$E$22,2,FALSE),"Pend")</f>
        <v>Pend</v>
      </c>
      <c r="AS1066" t="str">
        <f t="shared" si="372"/>
        <v>Yes</v>
      </c>
      <c r="AT1066" t="str">
        <f t="shared" si="373"/>
        <v>Yes</v>
      </c>
      <c r="AU1066" s="51" t="str">
        <f t="shared" si="374"/>
        <v>Yes</v>
      </c>
      <c r="AV1066" s="12">
        <f>IFERROR(VLOOKUP(D1066,'Receivable Invoice Detail'!$S$1:$U$3014,3,FALSE),0)</f>
        <v>0</v>
      </c>
      <c r="AW1066" s="12">
        <f t="shared" si="375"/>
        <v>5863.3614900652701</v>
      </c>
    </row>
    <row r="1067" spans="1:49" ht="30" x14ac:dyDescent="0.25">
      <c r="A1067" s="2">
        <v>1</v>
      </c>
      <c r="B1067" s="2" t="s">
        <v>446</v>
      </c>
      <c r="C1067" s="2" t="s">
        <v>447</v>
      </c>
      <c r="D1067" s="2" t="s">
        <v>3275</v>
      </c>
      <c r="E1067" s="2" t="s">
        <v>20</v>
      </c>
      <c r="F1067" s="3">
        <v>45939.58053240741</v>
      </c>
      <c r="G1067" s="3">
        <v>45939.582199074073</v>
      </c>
      <c r="H1067" s="4">
        <v>45946</v>
      </c>
      <c r="I1067" s="2" t="s">
        <v>36</v>
      </c>
      <c r="J1067" s="2" t="s">
        <v>22</v>
      </c>
      <c r="K1067" s="2">
        <v>1</v>
      </c>
      <c r="L1067" s="2">
        <v>993.26</v>
      </c>
      <c r="M1067" s="2">
        <v>0</v>
      </c>
      <c r="N1067" s="2">
        <v>708.905844827755</v>
      </c>
      <c r="O1067" s="2">
        <v>945.96</v>
      </c>
      <c r="P1067" s="2">
        <v>47.3</v>
      </c>
      <c r="Q1067" s="2">
        <v>993.26</v>
      </c>
      <c r="R1067" s="2" t="s">
        <v>44</v>
      </c>
      <c r="S1067" s="2"/>
      <c r="T1067" s="2">
        <f t="shared" si="357"/>
        <v>1</v>
      </c>
      <c r="U1067" s="18">
        <f t="shared" si="358"/>
        <v>10</v>
      </c>
      <c r="V1067" s="18">
        <f t="shared" si="359"/>
        <v>2025</v>
      </c>
      <c r="W1067" s="18">
        <f t="shared" si="360"/>
        <v>12</v>
      </c>
      <c r="X1067" s="18">
        <f t="shared" si="361"/>
        <v>2025</v>
      </c>
      <c r="Y1067" s="2">
        <f t="shared" si="354"/>
        <v>0.71371629264014957</v>
      </c>
      <c r="Z1067" t="str">
        <f t="shared" si="355"/>
        <v>SO18016</v>
      </c>
      <c r="AA1067" s="11">
        <f t="shared" si="362"/>
        <v>45939.58053240741</v>
      </c>
      <c r="AB1067" s="5" t="str">
        <f t="shared" si="363"/>
        <v>INV13515</v>
      </c>
      <c r="AC1067" s="5" t="str">
        <f>IFERROR(VLOOKUP(D1067,CAARStatus!$A$2:$AA$1600,22,FALSE),"Not invoiced")</f>
        <v>Paid</v>
      </c>
      <c r="AD1067" s="11">
        <f>IF(AC1067="Paid",IFERROR(VLOOKUP(D1067,CAARStatus!$A$2:$AA$1600,6,FALSE),"Pending"),"Pending")</f>
        <v>46000</v>
      </c>
      <c r="AE1067" s="5" t="str">
        <f t="shared" si="364"/>
        <v>4500617055</v>
      </c>
      <c r="AF1067" s="5" t="str">
        <f t="shared" si="365"/>
        <v>Resolute Forest Products - Saint-Felicien</v>
      </c>
      <c r="AG1067" s="5" t="str">
        <f t="shared" si="366"/>
        <v>CAD</v>
      </c>
      <c r="AH1067" s="5">
        <f t="shared" si="367"/>
        <v>945.96</v>
      </c>
      <c r="AI1067" s="12">
        <f>IF(L1067-N1067=0,VLOOKUP(U1067,rate!A$4:B$15,2,FALSE)*AH1067,IF(AG1067="USD",O1067,AH1067*Y1067))</f>
        <v>675.14706418587593</v>
      </c>
      <c r="AJ1067" s="13">
        <f t="shared" si="368"/>
        <v>0.71371629264014957</v>
      </c>
      <c r="AK1067" s="13">
        <f>-IF(AG1067="CAD",IFERROR(VLOOKUP(D1067,CAARStatus!$A$1:$Y$1600,16,FALSE),0),0)</f>
        <v>-945.96</v>
      </c>
      <c r="AL1067" s="13">
        <f>-IF(AG1067="USD",IFERROR(VLOOKUP(D1067,CAARStatus!$A$1:$Y$1600,11,FALSE),0),0)</f>
        <v>0</v>
      </c>
      <c r="AM1067" s="22">
        <f t="shared" si="369"/>
        <v>0</v>
      </c>
      <c r="AN1067" s="12" t="str">
        <f t="shared" si="370"/>
        <v/>
      </c>
      <c r="AO1067" s="12" t="str">
        <f t="shared" si="371"/>
        <v>Yes</v>
      </c>
      <c r="AP1067" t="str">
        <f t="shared" si="356"/>
        <v>Yes</v>
      </c>
      <c r="AQ1067" t="str">
        <f>IFERROR(VLOOKUP(Z1067,InvBal!$L$4:$P$600,4,FALSE),"Pend")</f>
        <v>Pend</v>
      </c>
      <c r="AR1067" t="str">
        <f>IFERROR(VLOOKUP(D1067,Manual!$C$1:$E$22,2,FALSE),"Pend")</f>
        <v>Pend</v>
      </c>
      <c r="AS1067" t="str">
        <f t="shared" si="372"/>
        <v>Yes</v>
      </c>
      <c r="AT1067" t="str">
        <f t="shared" si="373"/>
        <v>Yes</v>
      </c>
      <c r="AU1067" s="51" t="str">
        <f t="shared" si="374"/>
        <v>Yes</v>
      </c>
      <c r="AV1067" s="12">
        <f>IFERROR(VLOOKUP(D1067,'Receivable Invoice Detail'!$S$1:$U$3014,3,FALSE),0)</f>
        <v>0</v>
      </c>
      <c r="AW1067" s="12">
        <f t="shared" si="375"/>
        <v>675.14706418587593</v>
      </c>
    </row>
    <row r="1068" spans="1:49" ht="45" x14ac:dyDescent="0.25">
      <c r="A1068" s="2">
        <v>1</v>
      </c>
      <c r="B1068" s="2" t="s">
        <v>422</v>
      </c>
      <c r="C1068" s="2" t="s">
        <v>423</v>
      </c>
      <c r="D1068" s="2" t="s">
        <v>6319</v>
      </c>
      <c r="E1068" s="2" t="s">
        <v>6167</v>
      </c>
      <c r="F1068" s="3">
        <v>45939.594849537039</v>
      </c>
      <c r="G1068" s="3">
        <v>45944.536504629628</v>
      </c>
      <c r="H1068" s="4">
        <v>46042</v>
      </c>
      <c r="I1068" s="2" t="s">
        <v>40</v>
      </c>
      <c r="J1068" s="2" t="s">
        <v>22</v>
      </c>
      <c r="K1068" s="2">
        <v>1</v>
      </c>
      <c r="L1068" s="2">
        <v>1062.5</v>
      </c>
      <c r="M1068" s="2">
        <v>0</v>
      </c>
      <c r="N1068" s="2">
        <v>756.49439432169174</v>
      </c>
      <c r="O1068" s="2">
        <v>1011.91</v>
      </c>
      <c r="P1068" s="2">
        <v>50.59</v>
      </c>
      <c r="Q1068" s="2">
        <v>1062.5</v>
      </c>
      <c r="R1068" s="2" t="s">
        <v>44</v>
      </c>
      <c r="S1068" s="2"/>
      <c r="T1068" s="2">
        <f t="shared" si="357"/>
        <v>1</v>
      </c>
      <c r="U1068" s="18">
        <f t="shared" si="358"/>
        <v>10</v>
      </c>
      <c r="V1068" s="18">
        <f t="shared" si="359"/>
        <v>2025</v>
      </c>
      <c r="W1068" s="18" t="str">
        <f t="shared" si="360"/>
        <v/>
      </c>
      <c r="X1068" s="18" t="str">
        <f t="shared" si="361"/>
        <v/>
      </c>
      <c r="Y1068" s="2">
        <f t="shared" si="354"/>
        <v>0.71199472406747455</v>
      </c>
      <c r="Z1068" t="str">
        <f t="shared" si="355"/>
        <v>SO18017</v>
      </c>
      <c r="AA1068" s="11">
        <f t="shared" si="362"/>
        <v>45939.594849537039</v>
      </c>
      <c r="AB1068" s="5" t="str">
        <f t="shared" si="363"/>
        <v>INV13831</v>
      </c>
      <c r="AC1068" s="5" t="str">
        <f>IFERROR(VLOOKUP(D1068,CAARStatus!$A$2:$AA$1600,22,FALSE),"Not invoiced")</f>
        <v>Not invoiced</v>
      </c>
      <c r="AD1068" s="11" t="str">
        <f>IF(AC1068="Paid",IFERROR(VLOOKUP(D1068,CAARStatus!$A$2:$AA$1600,6,FALSE),"Pending"),"Pending")</f>
        <v>Pending</v>
      </c>
      <c r="AE1068" s="5" t="str">
        <f t="shared" si="364"/>
        <v>L67665-DS</v>
      </c>
      <c r="AF1068" s="5" t="str">
        <f t="shared" si="365"/>
        <v>Wild Rows Pump &amp; Compression LTD., Wild Rows Pump &amp; Compression LTD.</v>
      </c>
      <c r="AG1068" s="5" t="str">
        <f t="shared" si="366"/>
        <v>CAD</v>
      </c>
      <c r="AH1068" s="5">
        <f t="shared" si="367"/>
        <v>1011.91</v>
      </c>
      <c r="AI1068" s="12">
        <f>IF(L1068-N1068=0,VLOOKUP(U1068,rate!A$4:B$15,2,FALSE)*AH1068,IF(AG1068="USD",O1068,AH1068*Y1068))</f>
        <v>720.47458123111812</v>
      </c>
      <c r="AJ1068" s="13">
        <f t="shared" si="368"/>
        <v>0.71199472406747455</v>
      </c>
      <c r="AK1068" s="13">
        <f>-IF(AG1068="CAD",IFERROR(VLOOKUP(D1068,CAARStatus!$A$1:$Y$1600,16,FALSE),0),0)</f>
        <v>0</v>
      </c>
      <c r="AL1068" s="13">
        <f>-IF(AG1068="USD",IFERROR(VLOOKUP(D1068,CAARStatus!$A$1:$Y$1600,11,FALSE),0),0)</f>
        <v>0</v>
      </c>
      <c r="AM1068" s="22">
        <f t="shared" si="369"/>
        <v>1011.91</v>
      </c>
      <c r="AN1068" s="12" t="str">
        <f t="shared" si="370"/>
        <v/>
      </c>
      <c r="AO1068" s="12" t="str">
        <f t="shared" si="371"/>
        <v>Pend</v>
      </c>
      <c r="AP1068" t="str">
        <f t="shared" si="356"/>
        <v>Pend</v>
      </c>
      <c r="AQ1068" t="str">
        <f>IFERROR(VLOOKUP(Z1068,InvBal!$L$4:$P$600,4,FALSE),"Pend")</f>
        <v>Pend</v>
      </c>
      <c r="AR1068" t="str">
        <f>IFERROR(VLOOKUP(D1068,Manual!$C$1:$E$22,2,FALSE),"Pend")</f>
        <v>Pend</v>
      </c>
      <c r="AS1068" t="str">
        <f t="shared" si="372"/>
        <v/>
      </c>
      <c r="AT1068" t="str">
        <f t="shared" si="373"/>
        <v>Yes</v>
      </c>
      <c r="AU1068" s="51" t="str">
        <f t="shared" si="374"/>
        <v/>
      </c>
      <c r="AV1068" s="12">
        <f>IFERROR(VLOOKUP(D1068,'Receivable Invoice Detail'!$S$1:$U$3014,3,FALSE),0)</f>
        <v>0</v>
      </c>
      <c r="AW1068" s="12">
        <f t="shared" si="375"/>
        <v>0</v>
      </c>
    </row>
    <row r="1069" spans="1:49" ht="30" x14ac:dyDescent="0.25">
      <c r="A1069" s="2">
        <v>1</v>
      </c>
      <c r="B1069" s="2" t="s">
        <v>385</v>
      </c>
      <c r="C1069" s="2" t="s">
        <v>386</v>
      </c>
      <c r="D1069" s="2" t="s">
        <v>3294</v>
      </c>
      <c r="E1069" s="2" t="s">
        <v>387</v>
      </c>
      <c r="F1069" s="3">
        <v>45940.505497685182</v>
      </c>
      <c r="G1069" s="3">
        <v>45947.445509259262</v>
      </c>
      <c r="H1069" s="4">
        <v>45950</v>
      </c>
      <c r="I1069" s="2" t="s">
        <v>36</v>
      </c>
      <c r="J1069" s="2" t="s">
        <v>22</v>
      </c>
      <c r="K1069" s="2">
        <v>1</v>
      </c>
      <c r="L1069" s="2">
        <v>221.48</v>
      </c>
      <c r="M1069" s="2">
        <v>0</v>
      </c>
      <c r="N1069" s="2">
        <v>157.66750583524691</v>
      </c>
      <c r="O1069" s="2">
        <v>196</v>
      </c>
      <c r="P1069" s="2">
        <v>25.48</v>
      </c>
      <c r="Q1069" s="2">
        <v>221.48</v>
      </c>
      <c r="R1069" s="2" t="s">
        <v>44</v>
      </c>
      <c r="S1069" s="2"/>
      <c r="T1069" s="2">
        <f t="shared" si="357"/>
        <v>1</v>
      </c>
      <c r="U1069" s="18">
        <f t="shared" si="358"/>
        <v>10</v>
      </c>
      <c r="V1069" s="18">
        <f t="shared" si="359"/>
        <v>2025</v>
      </c>
      <c r="W1069" s="18">
        <f t="shared" si="360"/>
        <v>11</v>
      </c>
      <c r="X1069" s="18">
        <f t="shared" si="361"/>
        <v>2025</v>
      </c>
      <c r="Y1069" s="2">
        <f t="shared" si="354"/>
        <v>0.71188146033613386</v>
      </c>
      <c r="Z1069" t="str">
        <f t="shared" si="355"/>
        <v>SO18024</v>
      </c>
      <c r="AA1069" s="11">
        <f t="shared" si="362"/>
        <v>45940.505497685182</v>
      </c>
      <c r="AB1069" s="5" t="str">
        <f t="shared" si="363"/>
        <v>INV13543</v>
      </c>
      <c r="AC1069" s="5" t="str">
        <f>IFERROR(VLOOKUP(D1069,CAARStatus!$A$2:$AA$1600,22,FALSE),"Not invoiced")</f>
        <v>Paid</v>
      </c>
      <c r="AD1069" s="11">
        <f>IF(AC1069="Paid",IFERROR(VLOOKUP(D1069,CAARStatus!$A$2:$AA$1600,6,FALSE),"Pending"),"Pending")</f>
        <v>45988</v>
      </c>
      <c r="AE1069" s="5" t="str">
        <f t="shared" si="364"/>
        <v>2100674278</v>
      </c>
      <c r="AF1069" s="5" t="str">
        <f t="shared" si="365"/>
        <v>Wajax Limited - Thunder Bay, Wajax Limited - Thunder Bay</v>
      </c>
      <c r="AG1069" s="5" t="str">
        <f t="shared" si="366"/>
        <v>CAD</v>
      </c>
      <c r="AH1069" s="5">
        <f t="shared" si="367"/>
        <v>196</v>
      </c>
      <c r="AI1069" s="12">
        <f>IF(L1069-N1069=0,VLOOKUP(U1069,rate!A$4:B$15,2,FALSE)*AH1069,IF(AG1069="USD",O1069,AH1069*Y1069))</f>
        <v>139.52876622588224</v>
      </c>
      <c r="AJ1069" s="13">
        <f t="shared" si="368"/>
        <v>0.71188146033613386</v>
      </c>
      <c r="AK1069" s="13">
        <f>-IF(AG1069="CAD",IFERROR(VLOOKUP(D1069,CAARStatus!$A$1:$Y$1600,16,FALSE),0),0)</f>
        <v>-196</v>
      </c>
      <c r="AL1069" s="13">
        <f>-IF(AG1069="USD",IFERROR(VLOOKUP(D1069,CAARStatus!$A$1:$Y$1600,11,FALSE),0),0)</f>
        <v>0</v>
      </c>
      <c r="AM1069" s="22">
        <f t="shared" si="369"/>
        <v>0</v>
      </c>
      <c r="AN1069" s="12" t="str">
        <f t="shared" si="370"/>
        <v/>
      </c>
      <c r="AO1069" s="12" t="str">
        <f t="shared" si="371"/>
        <v>Yes</v>
      </c>
      <c r="AP1069" t="str">
        <f t="shared" si="356"/>
        <v>Yes</v>
      </c>
      <c r="AQ1069" t="str">
        <f>IFERROR(VLOOKUP(Z1069,InvBal!$L$4:$P$600,4,FALSE),"Pend")</f>
        <v>Pend</v>
      </c>
      <c r="AR1069" t="str">
        <f>IFERROR(VLOOKUP(D1069,Manual!$C$1:$E$22,2,FALSE),"Pend")</f>
        <v>Pend</v>
      </c>
      <c r="AS1069" t="str">
        <f t="shared" si="372"/>
        <v>Yes</v>
      </c>
      <c r="AT1069" t="str">
        <f t="shared" si="373"/>
        <v>Yes</v>
      </c>
      <c r="AU1069" s="51" t="str">
        <f t="shared" si="374"/>
        <v>Yes</v>
      </c>
      <c r="AV1069" s="12">
        <f>IFERROR(VLOOKUP(D1069,'Receivable Invoice Detail'!$S$1:$U$3014,3,FALSE),0)</f>
        <v>0</v>
      </c>
      <c r="AW1069" s="12">
        <f t="shared" si="375"/>
        <v>139.52876622588224</v>
      </c>
    </row>
    <row r="1070" spans="1:49" ht="30" x14ac:dyDescent="0.25">
      <c r="A1070" s="2">
        <v>1</v>
      </c>
      <c r="B1070" s="2" t="s">
        <v>193</v>
      </c>
      <c r="C1070" s="2" t="s">
        <v>194</v>
      </c>
      <c r="D1070" s="2" t="s">
        <v>6154</v>
      </c>
      <c r="E1070" s="2" t="s">
        <v>195</v>
      </c>
      <c r="F1070" s="3">
        <v>45940.724814814806</v>
      </c>
      <c r="G1070" s="3">
        <v>45974.561863425923</v>
      </c>
      <c r="H1070" s="4">
        <v>45989</v>
      </c>
      <c r="I1070" s="2" t="s">
        <v>21</v>
      </c>
      <c r="J1070" s="2" t="s">
        <v>22</v>
      </c>
      <c r="K1070" s="2">
        <v>1</v>
      </c>
      <c r="L1070" s="2">
        <v>2561.06</v>
      </c>
      <c r="M1070" s="2">
        <v>0</v>
      </c>
      <c r="N1070" s="2">
        <v>1827.8134876122981</v>
      </c>
      <c r="O1070" s="2">
        <v>2439.1</v>
      </c>
      <c r="P1070" s="2">
        <v>121.96</v>
      </c>
      <c r="Q1070" s="2">
        <v>2561.06</v>
      </c>
      <c r="R1070" s="2" t="s">
        <v>44</v>
      </c>
      <c r="S1070" s="2"/>
      <c r="T1070" s="2">
        <f t="shared" si="357"/>
        <v>1</v>
      </c>
      <c r="U1070" s="18">
        <f t="shared" si="358"/>
        <v>10</v>
      </c>
      <c r="V1070" s="18">
        <f t="shared" si="359"/>
        <v>2025</v>
      </c>
      <c r="W1070" s="18" t="str">
        <f t="shared" si="360"/>
        <v/>
      </c>
      <c r="X1070" s="18" t="str">
        <f t="shared" si="361"/>
        <v/>
      </c>
      <c r="Y1070" s="2">
        <f t="shared" si="354"/>
        <v>0.71369412962300693</v>
      </c>
      <c r="Z1070" t="str">
        <f t="shared" si="355"/>
        <v>SO18027</v>
      </c>
      <c r="AA1070" s="11">
        <f t="shared" si="362"/>
        <v>45940.724814814806</v>
      </c>
      <c r="AB1070" s="5" t="str">
        <f t="shared" si="363"/>
        <v>INV13825</v>
      </c>
      <c r="AC1070" s="5" t="str">
        <f>IFERROR(VLOOKUP(D1070,CAARStatus!$A$2:$AA$1600,22,FALSE),"Not invoiced")</f>
        <v>Not invoiced</v>
      </c>
      <c r="AD1070" s="11" t="str">
        <f>IF(AC1070="Paid",IFERROR(VLOOKUP(D1070,CAARStatus!$A$2:$AA$1600,6,FALSE),"Pending"),"Pending")</f>
        <v>Pending</v>
      </c>
      <c r="AE1070" s="5" t="str">
        <f t="shared" si="364"/>
        <v>4500622088</v>
      </c>
      <c r="AF1070" s="5" t="str">
        <f t="shared" si="365"/>
        <v>Resolute Forest Products - Gatineau</v>
      </c>
      <c r="AG1070" s="5" t="str">
        <f t="shared" si="366"/>
        <v>CAD</v>
      </c>
      <c r="AH1070" s="5">
        <f t="shared" si="367"/>
        <v>2439.1</v>
      </c>
      <c r="AI1070" s="12">
        <f>IF(L1070-N1070=0,VLOOKUP(U1070,rate!A$4:B$15,2,FALSE)*AH1070,IF(AG1070="USD",O1070,AH1070*Y1070))</f>
        <v>1740.7713515634762</v>
      </c>
      <c r="AJ1070" s="13">
        <f t="shared" si="368"/>
        <v>0.71369412962300693</v>
      </c>
      <c r="AK1070" s="13">
        <f>-IF(AG1070="CAD",IFERROR(VLOOKUP(D1070,CAARStatus!$A$1:$Y$1600,16,FALSE),0),0)</f>
        <v>0</v>
      </c>
      <c r="AL1070" s="13">
        <f>-IF(AG1070="USD",IFERROR(VLOOKUP(D1070,CAARStatus!$A$1:$Y$1600,11,FALSE),0),0)</f>
        <v>0</v>
      </c>
      <c r="AM1070" s="22">
        <f t="shared" si="369"/>
        <v>2439.1</v>
      </c>
      <c r="AN1070" s="12" t="str">
        <f t="shared" si="370"/>
        <v/>
      </c>
      <c r="AO1070" s="12" t="str">
        <f t="shared" si="371"/>
        <v>Pend</v>
      </c>
      <c r="AP1070" t="str">
        <f t="shared" si="356"/>
        <v>Pend</v>
      </c>
      <c r="AQ1070" t="str">
        <f>IFERROR(VLOOKUP(Z1070,InvBal!$L$4:$P$600,4,FALSE),"Pend")</f>
        <v>Pend</v>
      </c>
      <c r="AR1070" t="str">
        <f>IFERROR(VLOOKUP(D1070,Manual!$C$1:$E$22,2,FALSE),"Pend")</f>
        <v>Pend</v>
      </c>
      <c r="AS1070" t="str">
        <f t="shared" si="372"/>
        <v/>
      </c>
      <c r="AT1070" t="str">
        <f t="shared" si="373"/>
        <v>Yes</v>
      </c>
      <c r="AU1070" s="51" t="str">
        <f t="shared" si="374"/>
        <v/>
      </c>
      <c r="AV1070" s="12">
        <f>IFERROR(VLOOKUP(D1070,'Receivable Invoice Detail'!$S$1:$U$3014,3,FALSE),0)</f>
        <v>0</v>
      </c>
      <c r="AW1070" s="12">
        <f t="shared" si="375"/>
        <v>0</v>
      </c>
    </row>
    <row r="1071" spans="1:49" x14ac:dyDescent="0.25">
      <c r="A1071" s="2">
        <v>1</v>
      </c>
      <c r="B1071" s="2" t="s">
        <v>375</v>
      </c>
      <c r="C1071" s="2" t="s">
        <v>376</v>
      </c>
      <c r="D1071" s="2" t="s">
        <v>3299</v>
      </c>
      <c r="E1071" s="2" t="s">
        <v>77</v>
      </c>
      <c r="F1071" s="3">
        <v>45940.759641203702</v>
      </c>
      <c r="G1071" s="3">
        <v>45950.378518518519</v>
      </c>
      <c r="H1071" s="4">
        <v>45951</v>
      </c>
      <c r="I1071" s="2" t="s">
        <v>21</v>
      </c>
      <c r="J1071" s="2" t="s">
        <v>22</v>
      </c>
      <c r="K1071" s="2">
        <v>1</v>
      </c>
      <c r="L1071" s="2">
        <v>138.52000000000001</v>
      </c>
      <c r="M1071" s="2">
        <v>0</v>
      </c>
      <c r="N1071" s="2">
        <v>98.726598664281966</v>
      </c>
      <c r="O1071" s="2">
        <v>131.91999999999999</v>
      </c>
      <c r="P1071" s="2">
        <v>6.6</v>
      </c>
      <c r="Q1071" s="2">
        <v>138.52000000000001</v>
      </c>
      <c r="R1071" s="2" t="s">
        <v>44</v>
      </c>
      <c r="S1071" s="2"/>
      <c r="T1071" s="2">
        <f t="shared" si="357"/>
        <v>1</v>
      </c>
      <c r="U1071" s="18">
        <f t="shared" si="358"/>
        <v>10</v>
      </c>
      <c r="V1071" s="18">
        <f t="shared" si="359"/>
        <v>2025</v>
      </c>
      <c r="W1071" s="18">
        <f t="shared" si="360"/>
        <v>12</v>
      </c>
      <c r="X1071" s="18">
        <f t="shared" si="361"/>
        <v>2025</v>
      </c>
      <c r="Y1071" s="2">
        <f t="shared" si="354"/>
        <v>0.71272450667255238</v>
      </c>
      <c r="Z1071" t="str">
        <f t="shared" si="355"/>
        <v>SO18028</v>
      </c>
      <c r="AA1071" s="11">
        <f t="shared" si="362"/>
        <v>45940.759641203702</v>
      </c>
      <c r="AB1071" s="5" t="str">
        <f t="shared" si="363"/>
        <v>INV13547</v>
      </c>
      <c r="AC1071" s="5" t="str">
        <f>IFERROR(VLOOKUP(D1071,CAARStatus!$A$2:$AA$1600,22,FALSE),"Not invoiced")</f>
        <v>Paid</v>
      </c>
      <c r="AD1071" s="11">
        <f>IF(AC1071="Paid",IFERROR(VLOOKUP(D1071,CAARStatus!$A$2:$AA$1600,6,FALSE),"Pending"),"Pending")</f>
        <v>46008</v>
      </c>
      <c r="AE1071" s="5" t="str">
        <f t="shared" si="364"/>
        <v>PO-10-1080033</v>
      </c>
      <c r="AF1071" s="5" t="str">
        <f t="shared" si="365"/>
        <v>Canadian Bearings Ltd.</v>
      </c>
      <c r="AG1071" s="5" t="str">
        <f t="shared" si="366"/>
        <v>CAD</v>
      </c>
      <c r="AH1071" s="5">
        <f t="shared" si="367"/>
        <v>131.91999999999999</v>
      </c>
      <c r="AI1071" s="12">
        <f>IF(L1071-N1071=0,VLOOKUP(U1071,rate!A$4:B$15,2,FALSE)*AH1071,IF(AG1071="USD",O1071,AH1071*Y1071))</f>
        <v>94.022616920243095</v>
      </c>
      <c r="AJ1071" s="13">
        <f t="shared" si="368"/>
        <v>0.71272450667255238</v>
      </c>
      <c r="AK1071" s="13">
        <f>-IF(AG1071="CAD",IFERROR(VLOOKUP(D1071,CAARStatus!$A$1:$Y$1600,16,FALSE),0),0)</f>
        <v>-131.91999999999999</v>
      </c>
      <c r="AL1071" s="13">
        <f>-IF(AG1071="USD",IFERROR(VLOOKUP(D1071,CAARStatus!$A$1:$Y$1600,11,FALSE),0),0)</f>
        <v>0</v>
      </c>
      <c r="AM1071" s="22">
        <f t="shared" si="369"/>
        <v>0</v>
      </c>
      <c r="AN1071" s="12" t="str">
        <f t="shared" si="370"/>
        <v/>
      </c>
      <c r="AO1071" s="12" t="str">
        <f t="shared" si="371"/>
        <v>Yes</v>
      </c>
      <c r="AP1071" t="str">
        <f t="shared" si="356"/>
        <v>Yes</v>
      </c>
      <c r="AQ1071" t="str">
        <f>IFERROR(VLOOKUP(Z1071,InvBal!$L$4:$P$600,4,FALSE),"Pend")</f>
        <v>Pend</v>
      </c>
      <c r="AR1071" t="str">
        <f>IFERROR(VLOOKUP(D1071,Manual!$C$1:$E$22,2,FALSE),"Pend")</f>
        <v>Pend</v>
      </c>
      <c r="AS1071" t="str">
        <f t="shared" si="372"/>
        <v>Yes</v>
      </c>
      <c r="AT1071" t="str">
        <f t="shared" si="373"/>
        <v>Yes</v>
      </c>
      <c r="AU1071" s="51" t="str">
        <f t="shared" si="374"/>
        <v>Yes</v>
      </c>
      <c r="AV1071" s="12">
        <f>IFERROR(VLOOKUP(D1071,'Receivable Invoice Detail'!$S$1:$U$3014,3,FALSE),0)</f>
        <v>0</v>
      </c>
      <c r="AW1071" s="12">
        <f t="shared" si="375"/>
        <v>94.022616920243095</v>
      </c>
    </row>
    <row r="1072" spans="1:49" ht="30" x14ac:dyDescent="0.25">
      <c r="A1072" s="2">
        <v>1</v>
      </c>
      <c r="B1072" s="2" t="s">
        <v>430</v>
      </c>
      <c r="C1072" s="2" t="s">
        <v>431</v>
      </c>
      <c r="D1072" s="2" t="s">
        <v>3280</v>
      </c>
      <c r="E1072" s="2" t="s">
        <v>80</v>
      </c>
      <c r="F1072" s="3">
        <v>45940.774351851847</v>
      </c>
      <c r="G1072" s="3">
        <v>45940.775289351863</v>
      </c>
      <c r="H1072" s="4">
        <v>45996</v>
      </c>
      <c r="I1072" s="2" t="s">
        <v>36</v>
      </c>
      <c r="J1072" s="2" t="s">
        <v>22</v>
      </c>
      <c r="K1072" s="2">
        <v>1</v>
      </c>
      <c r="L1072" s="2">
        <v>1231.9100000000001</v>
      </c>
      <c r="M1072" s="2">
        <v>0</v>
      </c>
      <c r="N1072" s="2">
        <v>879.97893434721561</v>
      </c>
      <c r="O1072" s="2">
        <v>1173.25</v>
      </c>
      <c r="P1072" s="2">
        <v>58.66</v>
      </c>
      <c r="Q1072" s="2">
        <v>1231.9100000000001</v>
      </c>
      <c r="R1072" s="2" t="s">
        <v>44</v>
      </c>
      <c r="S1072" s="2"/>
      <c r="T1072" s="2">
        <f t="shared" si="357"/>
        <v>1</v>
      </c>
      <c r="U1072" s="18">
        <f t="shared" si="358"/>
        <v>10</v>
      </c>
      <c r="V1072" s="18">
        <f t="shared" si="359"/>
        <v>2025</v>
      </c>
      <c r="W1072" s="18">
        <f t="shared" si="360"/>
        <v>12</v>
      </c>
      <c r="X1072" s="18">
        <f t="shared" si="361"/>
        <v>2025</v>
      </c>
      <c r="Y1072" s="2">
        <f t="shared" si="354"/>
        <v>0.71432079806740389</v>
      </c>
      <c r="Z1072" t="str">
        <f t="shared" si="355"/>
        <v>SO18030</v>
      </c>
      <c r="AA1072" s="11">
        <f t="shared" si="362"/>
        <v>45940.774351851847</v>
      </c>
      <c r="AB1072" s="5" t="str">
        <f t="shared" si="363"/>
        <v>INV13581</v>
      </c>
      <c r="AC1072" s="5" t="str">
        <f>IFERROR(VLOOKUP(D1072,CAARStatus!$A$2:$AA$1600,22,FALSE),"Not invoiced")</f>
        <v>Paid</v>
      </c>
      <c r="AD1072" s="11">
        <f>IF(AC1072="Paid",IFERROR(VLOOKUP(D1072,CAARStatus!$A$2:$AA$1600,6,FALSE),"Pending"),"Pending")</f>
        <v>46020</v>
      </c>
      <c r="AE1072" s="5" t="str">
        <f t="shared" si="364"/>
        <v>4500616757</v>
      </c>
      <c r="AF1072" s="5" t="str">
        <f t="shared" si="365"/>
        <v>Resolute Forest Products - Dolbeau</v>
      </c>
      <c r="AG1072" s="5" t="str">
        <f t="shared" si="366"/>
        <v>CAD</v>
      </c>
      <c r="AH1072" s="5">
        <f t="shared" si="367"/>
        <v>1173.25</v>
      </c>
      <c r="AI1072" s="12">
        <f>IF(L1072-N1072=0,VLOOKUP(U1072,rate!A$4:B$15,2,FALSE)*AH1072,IF(AG1072="USD",O1072,AH1072*Y1072))</f>
        <v>838.07687633258161</v>
      </c>
      <c r="AJ1072" s="13">
        <f t="shared" si="368"/>
        <v>0.71432079806740389</v>
      </c>
      <c r="AK1072" s="61">
        <f>IF(AC1072="Paid",-IF(AG1072="CAD",IFERROR(VLOOKUP(D1072,CAARStatus!$A$1:$Y$1600,16,FALSE),0),0),0)</f>
        <v>-1173.25</v>
      </c>
      <c r="AL1072" s="61">
        <f>IF(AC1072="Paid",-IF(AG1072="USD",IFERROR(VLOOKUP(D1072,CAARStatus!$A$1:$Y$1600,11,FALSE),0),0),0)</f>
        <v>0</v>
      </c>
      <c r="AM1072" s="22">
        <f t="shared" si="369"/>
        <v>0</v>
      </c>
      <c r="AN1072" s="12" t="str">
        <f t="shared" si="370"/>
        <v/>
      </c>
      <c r="AO1072" s="12" t="str">
        <f t="shared" si="371"/>
        <v>Yes</v>
      </c>
      <c r="AP1072" t="str">
        <f t="shared" si="356"/>
        <v>Yes</v>
      </c>
      <c r="AQ1072" t="str">
        <f>IFERROR(VLOOKUP(Z1072,InvBal!$L$4:$P$600,4,FALSE),"Pend")</f>
        <v>Pend</v>
      </c>
      <c r="AR1072" t="str">
        <f>IFERROR(VLOOKUP(D1072,Manual!$C$1:$E$22,2,FALSE),"Pend")</f>
        <v>Pend</v>
      </c>
      <c r="AS1072" t="str">
        <f t="shared" si="372"/>
        <v>Yes</v>
      </c>
      <c r="AT1072" t="str">
        <f t="shared" si="373"/>
        <v>Yes</v>
      </c>
      <c r="AU1072" s="51" t="str">
        <f t="shared" si="374"/>
        <v>Yes</v>
      </c>
      <c r="AV1072" s="12">
        <f>IFERROR(VLOOKUP(D1072,'Receivable Invoice Detail'!$S$1:$U$3014,3,FALSE),0)</f>
        <v>0</v>
      </c>
      <c r="AW1072" s="12">
        <f t="shared" si="375"/>
        <v>838.07687633258161</v>
      </c>
    </row>
    <row r="1073" spans="1:49" ht="30" x14ac:dyDescent="0.25">
      <c r="A1073" s="2">
        <v>0</v>
      </c>
      <c r="B1073" s="2" t="s">
        <v>424</v>
      </c>
      <c r="C1073" s="2" t="s">
        <v>425</v>
      </c>
      <c r="D1073" s="2"/>
      <c r="E1073" s="2" t="s">
        <v>159</v>
      </c>
      <c r="F1073" s="3">
        <v>45944.441284722219</v>
      </c>
      <c r="G1073" s="3">
        <v>45944.440578703703</v>
      </c>
      <c r="H1073" s="4">
        <v>45985</v>
      </c>
      <c r="I1073" s="2" t="s">
        <v>426</v>
      </c>
      <c r="J1073" s="2" t="s">
        <v>51</v>
      </c>
      <c r="K1073" s="2">
        <v>0.71199472406747455</v>
      </c>
      <c r="L1073" s="2">
        <v>561.8019157710678</v>
      </c>
      <c r="M1073" s="2">
        <v>0</v>
      </c>
      <c r="N1073" s="2">
        <v>400</v>
      </c>
      <c r="O1073" s="2">
        <v>400</v>
      </c>
      <c r="P1073" s="2"/>
      <c r="Q1073" s="2">
        <v>400</v>
      </c>
      <c r="R1073" s="2" t="s">
        <v>44</v>
      </c>
      <c r="S1073" s="2"/>
      <c r="T1073" s="2">
        <f t="shared" si="357"/>
        <v>0</v>
      </c>
      <c r="U1073" s="18">
        <f t="shared" si="358"/>
        <v>10</v>
      </c>
      <c r="V1073" s="18">
        <f t="shared" si="359"/>
        <v>2025</v>
      </c>
      <c r="W1073" s="18" t="str">
        <f t="shared" si="360"/>
        <v/>
      </c>
      <c r="X1073" s="18" t="str">
        <f t="shared" si="361"/>
        <v/>
      </c>
      <c r="Y1073" s="2">
        <f t="shared" si="354"/>
        <v>0.71199472406747455</v>
      </c>
      <c r="Z1073" t="str">
        <f t="shared" si="355"/>
        <v>SO18036</v>
      </c>
      <c r="AA1073" s="11">
        <f t="shared" si="362"/>
        <v>45944.441284722219</v>
      </c>
      <c r="AB1073" s="5" t="str">
        <f t="shared" si="363"/>
        <v>No Inv</v>
      </c>
      <c r="AC1073" s="5" t="str">
        <f>IFERROR(VLOOKUP(D1073,CAARStatus!$A$2:$AA$1600,22,FALSE),"Not invoiced")</f>
        <v>Not invoiced</v>
      </c>
      <c r="AD1073" s="11" t="str">
        <f>IF(AC1073="Paid",IFERROR(VLOOKUP(D1073,CAARStatus!$A$2:$AA$1600,6,FALSE),"Pending"),"Pending")</f>
        <v>Pending</v>
      </c>
      <c r="AE1073" s="5" t="str">
        <f t="shared" si="364"/>
        <v>4501309832</v>
      </c>
      <c r="AF1073" s="5" t="str">
        <f t="shared" si="365"/>
        <v>Barrick Gold - Pueblo Viejo Dominicana Corporation</v>
      </c>
      <c r="AG1073" s="5" t="str">
        <f t="shared" si="366"/>
        <v>USD</v>
      </c>
      <c r="AH1073" s="5">
        <f t="shared" si="367"/>
        <v>561.8019157710678</v>
      </c>
      <c r="AI1073" s="12">
        <f>IF(L1073-N1073=0,VLOOKUP(U1073,rate!A$4:B$15,2,FALSE)*AH1073,IF(AG1073="USD",O1073,AH1073*Y1073))</f>
        <v>400</v>
      </c>
      <c r="AJ1073" s="13">
        <f t="shared" si="368"/>
        <v>0.71199472406747455</v>
      </c>
      <c r="AK1073" s="61">
        <f>IF(AC1073="Paid",-IF(AG1073="CAD",IFERROR(VLOOKUP(D1073,CAARStatus!$A$1:$Y$1600,16,FALSE),0),0),0)</f>
        <v>0</v>
      </c>
      <c r="AL1073" s="61">
        <f>IF(AC1073="Paid",-IF(AG1073="USD",IFERROR(VLOOKUP(D1073,CAARStatus!$A$1:$Y$1600,11,FALSE),0),0),0)</f>
        <v>0</v>
      </c>
      <c r="AM1073" s="22" t="str">
        <f t="shared" si="369"/>
        <v/>
      </c>
      <c r="AN1073" s="12">
        <f t="shared" si="370"/>
        <v>400</v>
      </c>
      <c r="AO1073" s="12" t="str">
        <f t="shared" si="371"/>
        <v>Pend</v>
      </c>
      <c r="AP1073" t="str">
        <f t="shared" si="356"/>
        <v>Pend</v>
      </c>
      <c r="AQ1073" t="str">
        <f>IFERROR(VLOOKUP(Z1073,InvBal!$L$4:$P$600,4,FALSE),"Pend")</f>
        <v>Pend</v>
      </c>
      <c r="AR1073" t="str">
        <f>IFERROR(VLOOKUP(D1073,Manual!$C$1:$E$22,2,FALSE),"Pend")</f>
        <v>Pend</v>
      </c>
      <c r="AS1073" t="str">
        <f t="shared" si="372"/>
        <v/>
      </c>
      <c r="AT1073" t="str">
        <f t="shared" si="373"/>
        <v>Yes</v>
      </c>
      <c r="AU1073" s="51" t="str">
        <f t="shared" si="374"/>
        <v/>
      </c>
      <c r="AV1073" s="12">
        <f>IFERROR(VLOOKUP(D1073,'Receivable Invoice Detail'!$S$1:$U$3014,3,FALSE),0)</f>
        <v>0</v>
      </c>
      <c r="AW1073" s="12">
        <f t="shared" si="375"/>
        <v>0</v>
      </c>
    </row>
    <row r="1074" spans="1:49" x14ac:dyDescent="0.25">
      <c r="A1074" s="2">
        <v>0</v>
      </c>
      <c r="B1074" s="2" t="s">
        <v>420</v>
      </c>
      <c r="C1074" s="2" t="s">
        <v>421</v>
      </c>
      <c r="D1074" s="2"/>
      <c r="E1074" s="2" t="s">
        <v>95</v>
      </c>
      <c r="F1074" s="3">
        <v>45944.708460648151</v>
      </c>
      <c r="G1074" s="3">
        <v>45944.748344907413</v>
      </c>
      <c r="H1074" s="4">
        <v>46059</v>
      </c>
      <c r="I1074" s="2" t="s">
        <v>74</v>
      </c>
      <c r="J1074" s="2" t="s">
        <v>22</v>
      </c>
      <c r="K1074" s="2">
        <v>1</v>
      </c>
      <c r="L1074" s="2">
        <v>30700.95</v>
      </c>
      <c r="M1074" s="2">
        <v>0</v>
      </c>
      <c r="N1074" s="2">
        <v>21858.914423859329</v>
      </c>
      <c r="O1074" s="2">
        <v>29239</v>
      </c>
      <c r="P1074" s="2">
        <v>1461.95</v>
      </c>
      <c r="Q1074" s="2">
        <v>30700.95</v>
      </c>
      <c r="R1074" s="2" t="s">
        <v>29</v>
      </c>
      <c r="S1074" s="2"/>
      <c r="T1074" s="2">
        <f t="shared" si="357"/>
        <v>0</v>
      </c>
      <c r="U1074" s="18">
        <f t="shared" si="358"/>
        <v>10</v>
      </c>
      <c r="V1074" s="18">
        <f t="shared" si="359"/>
        <v>2025</v>
      </c>
      <c r="W1074" s="18" t="str">
        <f t="shared" si="360"/>
        <v/>
      </c>
      <c r="X1074" s="18" t="str">
        <f t="shared" si="361"/>
        <v/>
      </c>
      <c r="Y1074" s="2">
        <f t="shared" si="354"/>
        <v>0.71199472406747444</v>
      </c>
      <c r="Z1074" t="str">
        <f t="shared" si="355"/>
        <v>SO18040</v>
      </c>
      <c r="AA1074" s="11">
        <f t="shared" si="362"/>
        <v>45944.708460648151</v>
      </c>
      <c r="AB1074" s="5" t="str">
        <f t="shared" si="363"/>
        <v>No Inv</v>
      </c>
      <c r="AC1074" s="5" t="str">
        <f>IFERROR(VLOOKUP(D1074,CAARStatus!$A$2:$AA$1600,22,FALSE),"Not invoiced")</f>
        <v>Not invoiced</v>
      </c>
      <c r="AD1074" s="11" t="str">
        <f>IF(AC1074="Paid",IFERROR(VLOOKUP(D1074,CAARStatus!$A$2:$AA$1600,6,FALSE),"Pending"),"Pending")</f>
        <v>Pending</v>
      </c>
      <c r="AE1074" s="5" t="str">
        <f t="shared" si="364"/>
        <v>325176</v>
      </c>
      <c r="AF1074" s="5" t="str">
        <f t="shared" si="365"/>
        <v>Gibraltar Mine (Canada)</v>
      </c>
      <c r="AG1074" s="5" t="str">
        <f t="shared" si="366"/>
        <v>CAD</v>
      </c>
      <c r="AH1074" s="5">
        <f t="shared" si="367"/>
        <v>29239</v>
      </c>
      <c r="AI1074" s="12">
        <f>IF(L1074-N1074=0,VLOOKUP(U1074,rate!A$4:B$15,2,FALSE)*AH1074,IF(AG1074="USD",O1074,AH1074*Y1074))</f>
        <v>20818.013737008885</v>
      </c>
      <c r="AJ1074" s="13">
        <f t="shared" si="368"/>
        <v>0.71199472406747444</v>
      </c>
      <c r="AK1074" s="13">
        <f>-IF(AG1074="CAD",IFERROR(VLOOKUP(D1074,CAARStatus!$A$1:$Y$1600,16,FALSE),0),0)</f>
        <v>0</v>
      </c>
      <c r="AL1074" s="13">
        <f>-IF(AG1074="USD",IFERROR(VLOOKUP(D1074,CAARStatus!$A$1:$Y$1600,11,FALSE),0),0)</f>
        <v>0</v>
      </c>
      <c r="AM1074" s="22">
        <f t="shared" si="369"/>
        <v>29239</v>
      </c>
      <c r="AN1074" s="12" t="str">
        <f t="shared" si="370"/>
        <v/>
      </c>
      <c r="AO1074" s="12" t="str">
        <f t="shared" si="371"/>
        <v>Pend</v>
      </c>
      <c r="AP1074" t="str">
        <f t="shared" si="356"/>
        <v>Pend</v>
      </c>
      <c r="AQ1074" t="str">
        <f>IFERROR(VLOOKUP(Z1074,InvBal!$L$4:$P$600,4,FALSE),"Pend")</f>
        <v>Pend</v>
      </c>
      <c r="AR1074" t="str">
        <f>IFERROR(VLOOKUP(D1074,Manual!$C$1:$E$22,2,FALSE),"Pend")</f>
        <v>Pend</v>
      </c>
      <c r="AS1074" t="str">
        <f t="shared" si="372"/>
        <v/>
      </c>
      <c r="AT1074" t="str">
        <f t="shared" si="373"/>
        <v/>
      </c>
      <c r="AU1074" s="51" t="str">
        <f t="shared" si="374"/>
        <v/>
      </c>
      <c r="AV1074" s="12">
        <f>IFERROR(VLOOKUP(D1074,'Receivable Invoice Detail'!$S$1:$U$3014,3,FALSE),0)</f>
        <v>0</v>
      </c>
      <c r="AW1074" s="12">
        <f t="shared" si="375"/>
        <v>0</v>
      </c>
    </row>
    <row r="1075" spans="1:49" ht="30" x14ac:dyDescent="0.25">
      <c r="A1075" s="2">
        <v>1</v>
      </c>
      <c r="B1075" s="2" t="s">
        <v>418</v>
      </c>
      <c r="C1075" s="2" t="s">
        <v>419</v>
      </c>
      <c r="D1075" s="2" t="s">
        <v>6320</v>
      </c>
      <c r="E1075" s="2" t="s">
        <v>20</v>
      </c>
      <c r="F1075" s="3">
        <v>45944.769432870373</v>
      </c>
      <c r="G1075" s="3">
        <v>45944.768229166657</v>
      </c>
      <c r="H1075" s="4">
        <v>46071</v>
      </c>
      <c r="I1075" s="2" t="s">
        <v>36</v>
      </c>
      <c r="J1075" s="2" t="s">
        <v>22</v>
      </c>
      <c r="K1075" s="2">
        <v>1</v>
      </c>
      <c r="L1075" s="2">
        <v>5045.0600000000004</v>
      </c>
      <c r="M1075" s="2">
        <v>0</v>
      </c>
      <c r="N1075" s="2">
        <v>3592.056102603854</v>
      </c>
      <c r="O1075" s="2">
        <v>4804.82</v>
      </c>
      <c r="P1075" s="2">
        <v>240.24</v>
      </c>
      <c r="Q1075" s="2">
        <v>5045.0600000000004</v>
      </c>
      <c r="R1075" s="2" t="s">
        <v>44</v>
      </c>
      <c r="S1075" s="2"/>
      <c r="T1075" s="2">
        <f t="shared" si="357"/>
        <v>1</v>
      </c>
      <c r="U1075" s="18">
        <f t="shared" si="358"/>
        <v>10</v>
      </c>
      <c r="V1075" s="18">
        <f t="shared" si="359"/>
        <v>2025</v>
      </c>
      <c r="W1075" s="18" t="str">
        <f t="shared" si="360"/>
        <v/>
      </c>
      <c r="X1075" s="18" t="str">
        <f t="shared" si="361"/>
        <v/>
      </c>
      <c r="Y1075" s="2">
        <f t="shared" si="354"/>
        <v>0.71199472406747466</v>
      </c>
      <c r="Z1075" t="str">
        <f t="shared" si="355"/>
        <v>SO18042</v>
      </c>
      <c r="AA1075" s="11">
        <f t="shared" si="362"/>
        <v>45944.769432870373</v>
      </c>
      <c r="AB1075" s="5" t="str">
        <f t="shared" si="363"/>
        <v>INV13835</v>
      </c>
      <c r="AC1075" s="5" t="str">
        <f>IFERROR(VLOOKUP(D1075,CAARStatus!$A$2:$AA$1600,22,FALSE),"Not invoiced")</f>
        <v>Not invoiced</v>
      </c>
      <c r="AD1075" s="11" t="str">
        <f>IF(AC1075="Paid",IFERROR(VLOOKUP(D1075,CAARStatus!$A$2:$AA$1600,6,FALSE),"Pending"),"Pending")</f>
        <v>Pending</v>
      </c>
      <c r="AE1075" s="5" t="str">
        <f t="shared" si="364"/>
        <v>4500617289</v>
      </c>
      <c r="AF1075" s="5" t="str">
        <f t="shared" si="365"/>
        <v>Resolute Forest Products - Saint-Felicien</v>
      </c>
      <c r="AG1075" s="5" t="str">
        <f t="shared" si="366"/>
        <v>CAD</v>
      </c>
      <c r="AH1075" s="5">
        <f t="shared" si="367"/>
        <v>4804.82</v>
      </c>
      <c r="AI1075" s="12">
        <f>IF(L1075-N1075=0,VLOOKUP(U1075,rate!A$4:B$15,2,FALSE)*AH1075,IF(AG1075="USD",O1075,AH1075*Y1075))</f>
        <v>3421.0064900938833</v>
      </c>
      <c r="AJ1075" s="13">
        <f t="shared" si="368"/>
        <v>0.71199472406747466</v>
      </c>
      <c r="AK1075" s="13">
        <f>-IF(AG1075="CAD",IFERROR(VLOOKUP(D1075,CAARStatus!$A$1:$Y$1600,16,FALSE),0),0)</f>
        <v>0</v>
      </c>
      <c r="AL1075" s="13">
        <f>-IF(AG1075="USD",IFERROR(VLOOKUP(D1075,CAARStatus!$A$1:$Y$1600,11,FALSE),0),0)</f>
        <v>0</v>
      </c>
      <c r="AM1075" s="22">
        <f t="shared" si="369"/>
        <v>4804.82</v>
      </c>
      <c r="AN1075" s="12" t="str">
        <f t="shared" si="370"/>
        <v/>
      </c>
      <c r="AO1075" s="12" t="str">
        <f t="shared" si="371"/>
        <v>Pend</v>
      </c>
      <c r="AP1075" t="str">
        <f t="shared" si="356"/>
        <v>Pend</v>
      </c>
      <c r="AQ1075" t="str">
        <f>IFERROR(VLOOKUP(Z1075,InvBal!$L$4:$P$600,4,FALSE),"Pend")</f>
        <v>Pend</v>
      </c>
      <c r="AR1075" t="str">
        <f>IFERROR(VLOOKUP(D1075,Manual!$C$1:$E$22,2,FALSE),"Pend")</f>
        <v>Pend</v>
      </c>
      <c r="AS1075" t="str">
        <f t="shared" si="372"/>
        <v/>
      </c>
      <c r="AT1075" t="str">
        <f t="shared" si="373"/>
        <v>Yes</v>
      </c>
      <c r="AU1075" s="51" t="str">
        <f t="shared" si="374"/>
        <v/>
      </c>
      <c r="AV1075" s="12">
        <f>IFERROR(VLOOKUP(D1075,'Receivable Invoice Detail'!$S$1:$U$3014,3,FALSE),0)</f>
        <v>0</v>
      </c>
      <c r="AW1075" s="12">
        <f t="shared" si="375"/>
        <v>0</v>
      </c>
    </row>
    <row r="1076" spans="1:49" x14ac:dyDescent="0.25">
      <c r="A1076" s="2">
        <v>1</v>
      </c>
      <c r="B1076" s="2" t="s">
        <v>224</v>
      </c>
      <c r="C1076" s="2" t="s">
        <v>225</v>
      </c>
      <c r="D1076" s="2" t="s">
        <v>5998</v>
      </c>
      <c r="E1076" s="2" t="s">
        <v>226</v>
      </c>
      <c r="F1076" s="3">
        <v>45945.489236111112</v>
      </c>
      <c r="G1076" s="3">
        <v>45972.445324074077</v>
      </c>
      <c r="H1076" s="4">
        <v>45989</v>
      </c>
      <c r="I1076" s="2" t="s">
        <v>180</v>
      </c>
      <c r="J1076" s="2" t="s">
        <v>22</v>
      </c>
      <c r="K1076" s="2">
        <v>1</v>
      </c>
      <c r="L1076" s="2">
        <v>9604.41</v>
      </c>
      <c r="M1076" s="2">
        <v>0</v>
      </c>
      <c r="N1076" s="2">
        <v>6855.6421722181158</v>
      </c>
      <c r="O1076" s="2">
        <v>9147.06</v>
      </c>
      <c r="P1076" s="2">
        <v>457.35</v>
      </c>
      <c r="Q1076" s="2">
        <v>9604.41</v>
      </c>
      <c r="R1076" s="2" t="s">
        <v>44</v>
      </c>
      <c r="S1076" s="2"/>
      <c r="T1076" s="2">
        <f t="shared" si="357"/>
        <v>1</v>
      </c>
      <c r="U1076" s="18">
        <f t="shared" si="358"/>
        <v>10</v>
      </c>
      <c r="V1076" s="18">
        <f t="shared" si="359"/>
        <v>2025</v>
      </c>
      <c r="W1076" s="18" t="str">
        <f t="shared" si="360"/>
        <v/>
      </c>
      <c r="X1076" s="18" t="str">
        <f t="shared" si="361"/>
        <v/>
      </c>
      <c r="Y1076" s="2">
        <f t="shared" si="354"/>
        <v>0.71380149037974383</v>
      </c>
      <c r="Z1076" t="str">
        <f t="shared" si="355"/>
        <v>SO18045</v>
      </c>
      <c r="AA1076" s="11">
        <f t="shared" si="362"/>
        <v>45945.489236111112</v>
      </c>
      <c r="AB1076" s="5" t="str">
        <f t="shared" si="363"/>
        <v>INV13764</v>
      </c>
      <c r="AC1076" s="5" t="str">
        <f>IFERROR(VLOOKUP(D1076,CAARStatus!$A$2:$AA$1600,22,FALSE),"Not invoiced")</f>
        <v>Approved</v>
      </c>
      <c r="AD1076" s="11" t="str">
        <f>IF(AC1076="Paid",IFERROR(VLOOKUP(D1076,CAARStatus!$A$2:$AA$1600,6,FALSE),"Pending"),"Pending")</f>
        <v>Pending</v>
      </c>
      <c r="AE1076" s="5" t="str">
        <f t="shared" si="364"/>
        <v>253135</v>
      </c>
      <c r="AF1076" s="5" t="str">
        <f t="shared" si="365"/>
        <v>Nord-Flo Inc.</v>
      </c>
      <c r="AG1076" s="5" t="str">
        <f t="shared" si="366"/>
        <v>CAD</v>
      </c>
      <c r="AH1076" s="5">
        <f t="shared" si="367"/>
        <v>9147.06</v>
      </c>
      <c r="AI1076" s="12">
        <f>IF(L1076-N1076=0,VLOOKUP(U1076,rate!A$4:B$15,2,FALSE)*AH1076,IF(AG1076="USD",O1076,AH1076*Y1076))</f>
        <v>6529.1850605929394</v>
      </c>
      <c r="AJ1076" s="13">
        <f t="shared" si="368"/>
        <v>0.71380149037974383</v>
      </c>
      <c r="AK1076" s="13">
        <f>-IF(AG1076="CAD",IFERROR(VLOOKUP(D1076,CAARStatus!$A$1:$Y$1600,16,FALSE),0),0)</f>
        <v>-9147.06</v>
      </c>
      <c r="AL1076" s="13">
        <f>-IF(AG1076="USD",IFERROR(VLOOKUP(D1076,CAARStatus!$A$1:$Y$1600,11,FALSE),0),0)</f>
        <v>0</v>
      </c>
      <c r="AM1076" s="22">
        <f t="shared" si="369"/>
        <v>0</v>
      </c>
      <c r="AN1076" s="12" t="str">
        <f t="shared" si="370"/>
        <v/>
      </c>
      <c r="AO1076" s="12" t="str">
        <f t="shared" si="371"/>
        <v>Pend</v>
      </c>
      <c r="AP1076" t="str">
        <f t="shared" si="356"/>
        <v>Pend</v>
      </c>
      <c r="AQ1076" t="str">
        <f>IFERROR(VLOOKUP(Z1076,InvBal!$L$4:$P$600,4,FALSE),"Pend")</f>
        <v>Pend</v>
      </c>
      <c r="AR1076" t="str">
        <f>IFERROR(VLOOKUP(D1076,Manual!$C$1:$E$22,2,FALSE),"Pend")</f>
        <v>Pend</v>
      </c>
      <c r="AS1076" t="str">
        <f t="shared" si="372"/>
        <v/>
      </c>
      <c r="AT1076" t="str">
        <f t="shared" si="373"/>
        <v>Yes</v>
      </c>
      <c r="AU1076" s="51" t="str">
        <f t="shared" si="374"/>
        <v/>
      </c>
      <c r="AV1076" s="12">
        <f>IFERROR(VLOOKUP(D1076,'Receivable Invoice Detail'!$S$1:$U$3014,3,FALSE),0)</f>
        <v>0</v>
      </c>
      <c r="AW1076" s="12">
        <f t="shared" si="375"/>
        <v>0</v>
      </c>
    </row>
    <row r="1077" spans="1:49" x14ac:dyDescent="0.25">
      <c r="A1077" s="2">
        <v>1</v>
      </c>
      <c r="B1077" s="2" t="s">
        <v>410</v>
      </c>
      <c r="C1077" s="2" t="s">
        <v>411</v>
      </c>
      <c r="D1077" s="2" t="s">
        <v>3284</v>
      </c>
      <c r="E1077" s="2" t="s">
        <v>146</v>
      </c>
      <c r="F1077" s="3">
        <v>45945.615162037036</v>
      </c>
      <c r="G1077" s="3">
        <v>45945.679675925923</v>
      </c>
      <c r="H1077" s="4">
        <v>45952</v>
      </c>
      <c r="I1077" s="2" t="s">
        <v>74</v>
      </c>
      <c r="J1077" s="2" t="s">
        <v>22</v>
      </c>
      <c r="K1077" s="2">
        <v>1</v>
      </c>
      <c r="L1077" s="2">
        <v>157.5</v>
      </c>
      <c r="M1077" s="2">
        <v>157.5</v>
      </c>
      <c r="N1077" s="2">
        <v>157.5</v>
      </c>
      <c r="O1077" s="2">
        <v>150</v>
      </c>
      <c r="P1077" s="2">
        <v>7.5</v>
      </c>
      <c r="Q1077" s="2">
        <v>157.5</v>
      </c>
      <c r="R1077" s="2" t="s">
        <v>44</v>
      </c>
      <c r="S1077" s="2"/>
      <c r="T1077" s="2">
        <f t="shared" si="357"/>
        <v>1</v>
      </c>
      <c r="U1077" s="18">
        <f t="shared" si="358"/>
        <v>10</v>
      </c>
      <c r="V1077" s="18">
        <f t="shared" si="359"/>
        <v>2025</v>
      </c>
      <c r="W1077" s="18">
        <f t="shared" si="360"/>
        <v>11</v>
      </c>
      <c r="X1077" s="18">
        <f t="shared" si="361"/>
        <v>2025</v>
      </c>
      <c r="Y1077" s="2">
        <f t="shared" si="354"/>
        <v>1</v>
      </c>
      <c r="Z1077" t="str">
        <f t="shared" si="355"/>
        <v>SO18047</v>
      </c>
      <c r="AA1077" s="11">
        <f t="shared" si="362"/>
        <v>45945.615162037036</v>
      </c>
      <c r="AB1077" s="5" t="str">
        <f t="shared" si="363"/>
        <v>INV13537</v>
      </c>
      <c r="AC1077" s="5" t="str">
        <f>IFERROR(VLOOKUP(D1077,CAARStatus!$A$2:$AA$1600,22,FALSE),"Not invoiced")</f>
        <v>Paid</v>
      </c>
      <c r="AD1077" s="11">
        <f>IF(AC1077="Paid",IFERROR(VLOOKUP(D1077,CAARStatus!$A$2:$AA$1600,6,FALSE),"Pending"),"Pending")</f>
        <v>45989</v>
      </c>
      <c r="AE1077" s="5" t="str">
        <f t="shared" si="364"/>
        <v>7844</v>
      </c>
      <c r="AF1077" s="5" t="str">
        <f t="shared" si="365"/>
        <v>Hyperflo</v>
      </c>
      <c r="AG1077" s="5" t="str">
        <f t="shared" si="366"/>
        <v>CAD</v>
      </c>
      <c r="AH1077" s="5">
        <f t="shared" si="367"/>
        <v>150</v>
      </c>
      <c r="AI1077" s="12">
        <f>IF(L1077-N1077=0,VLOOKUP(U1077,rate!A$4:B$15,2,FALSE)*AH1077,IF(AG1077="USD",O1077,AH1077*Y1077))</f>
        <v>107.28277915464632</v>
      </c>
      <c r="AJ1077" s="13">
        <f t="shared" si="368"/>
        <v>0.71521852769764216</v>
      </c>
      <c r="AK1077" s="13">
        <f>-IF(AG1077="CAD",IFERROR(VLOOKUP(D1077,CAARStatus!$A$1:$Y$1600,16,FALSE),0),0)</f>
        <v>-150</v>
      </c>
      <c r="AL1077" s="13">
        <f>-IF(AG1077="USD",IFERROR(VLOOKUP(D1077,CAARStatus!$A$1:$Y$1600,11,FALSE),0),0)</f>
        <v>0</v>
      </c>
      <c r="AM1077" s="22">
        <f t="shared" si="369"/>
        <v>0</v>
      </c>
      <c r="AN1077" s="12" t="str">
        <f t="shared" si="370"/>
        <v/>
      </c>
      <c r="AO1077" s="12" t="str">
        <f t="shared" si="371"/>
        <v>Yes</v>
      </c>
      <c r="AP1077" t="str">
        <f t="shared" si="356"/>
        <v>Yes</v>
      </c>
      <c r="AQ1077" t="str">
        <f>IFERROR(VLOOKUP(Z1077,InvBal!$L$4:$P$600,4,FALSE),"Pend")</f>
        <v>Pend</v>
      </c>
      <c r="AR1077" t="str">
        <f>IFERROR(VLOOKUP(D1077,Manual!$C$1:$E$22,2,FALSE),"Pend")</f>
        <v>Pend</v>
      </c>
      <c r="AS1077" t="str">
        <f t="shared" si="372"/>
        <v>Yes</v>
      </c>
      <c r="AT1077" t="str">
        <f t="shared" si="373"/>
        <v>Yes</v>
      </c>
      <c r="AU1077" s="51" t="str">
        <f t="shared" si="374"/>
        <v>Yes</v>
      </c>
      <c r="AV1077" s="12">
        <f>IFERROR(VLOOKUP(D1077,'Receivable Invoice Detail'!$S$1:$U$3014,3,FALSE),0)</f>
        <v>0</v>
      </c>
      <c r="AW1077" s="12">
        <f t="shared" si="375"/>
        <v>107.28277915464632</v>
      </c>
    </row>
    <row r="1078" spans="1:49" x14ac:dyDescent="0.25">
      <c r="A1078" s="2">
        <v>1</v>
      </c>
      <c r="B1078" s="2" t="s">
        <v>414</v>
      </c>
      <c r="C1078" s="2" t="s">
        <v>415</v>
      </c>
      <c r="D1078" s="2" t="s">
        <v>3283</v>
      </c>
      <c r="E1078" s="2" t="s">
        <v>242</v>
      </c>
      <c r="F1078" s="3">
        <v>45945.631111111114</v>
      </c>
      <c r="G1078" s="3">
        <v>45945.636840277781</v>
      </c>
      <c r="H1078" s="4">
        <v>45952</v>
      </c>
      <c r="I1078" s="2" t="s">
        <v>74</v>
      </c>
      <c r="J1078" s="2" t="s">
        <v>22</v>
      </c>
      <c r="K1078" s="2">
        <v>1</v>
      </c>
      <c r="L1078" s="2">
        <v>177.02</v>
      </c>
      <c r="M1078" s="2">
        <v>177.02</v>
      </c>
      <c r="N1078" s="2">
        <v>177.02</v>
      </c>
      <c r="O1078" s="2">
        <v>168.59</v>
      </c>
      <c r="P1078" s="2">
        <v>8.43</v>
      </c>
      <c r="Q1078" s="2">
        <v>177.02</v>
      </c>
      <c r="R1078" s="2" t="s">
        <v>44</v>
      </c>
      <c r="S1078" s="2"/>
      <c r="T1078" s="2">
        <f t="shared" si="357"/>
        <v>1</v>
      </c>
      <c r="U1078" s="18">
        <f t="shared" si="358"/>
        <v>10</v>
      </c>
      <c r="V1078" s="18">
        <f t="shared" si="359"/>
        <v>2025</v>
      </c>
      <c r="W1078" s="18">
        <f t="shared" si="360"/>
        <v>1</v>
      </c>
      <c r="X1078" s="18">
        <f t="shared" si="361"/>
        <v>2026</v>
      </c>
      <c r="Y1078" s="2">
        <f t="shared" si="354"/>
        <v>1</v>
      </c>
      <c r="Z1078" t="str">
        <f t="shared" si="355"/>
        <v>SO18048</v>
      </c>
      <c r="AA1078" s="11">
        <f t="shared" si="362"/>
        <v>45945.631111111114</v>
      </c>
      <c r="AB1078" s="5" t="str">
        <f t="shared" si="363"/>
        <v>INV13583</v>
      </c>
      <c r="AC1078" s="5" t="str">
        <f>IFERROR(VLOOKUP(D1078,CAARStatus!$A$2:$AA$1600,22,FALSE),"Not invoiced")</f>
        <v>Paid</v>
      </c>
      <c r="AD1078" s="11">
        <f>IF(AC1078="Paid",IFERROR(VLOOKUP(D1078,CAARStatus!$A$2:$AA$1600,6,FALSE),"Pending"),"Pending")</f>
        <v>46024</v>
      </c>
      <c r="AE1078" s="5" t="str">
        <f t="shared" si="364"/>
        <v>2100672932</v>
      </c>
      <c r="AF1078" s="5" t="str">
        <f t="shared" si="365"/>
        <v>Wajax Limited - Noranda</v>
      </c>
      <c r="AG1078" s="5" t="str">
        <f t="shared" si="366"/>
        <v>CAD</v>
      </c>
      <c r="AH1078" s="5">
        <f t="shared" si="367"/>
        <v>168.59</v>
      </c>
      <c r="AI1078" s="12">
        <f>IF(L1078-N1078=0,VLOOKUP(U1078,rate!A$4:B$15,2,FALSE)*AH1078,IF(AG1078="USD",O1078,AH1078*Y1078))</f>
        <v>120.5786915845455</v>
      </c>
      <c r="AJ1078" s="13">
        <f t="shared" si="368"/>
        <v>0.71521852769764216</v>
      </c>
      <c r="AK1078" s="13">
        <f>-IF(AG1078="CAD",IFERROR(VLOOKUP(D1078,CAARStatus!$A$1:$Y$1600,16,FALSE),0),0)</f>
        <v>-168.59</v>
      </c>
      <c r="AL1078" s="13">
        <f>-IF(AG1078="USD",IFERROR(VLOOKUP(D1078,CAARStatus!$A$1:$Y$1600,11,FALSE),0),0)</f>
        <v>0</v>
      </c>
      <c r="AM1078" s="22">
        <f t="shared" si="369"/>
        <v>0</v>
      </c>
      <c r="AN1078" s="12" t="str">
        <f t="shared" si="370"/>
        <v/>
      </c>
      <c r="AO1078" s="12" t="str">
        <f t="shared" si="371"/>
        <v>Yes</v>
      </c>
      <c r="AP1078" t="str">
        <f t="shared" si="356"/>
        <v>Yes</v>
      </c>
      <c r="AQ1078" t="str">
        <f>IFERROR(VLOOKUP(Z1078,InvBal!$L$4:$P$600,4,FALSE),"Pend")</f>
        <v>Pend</v>
      </c>
      <c r="AR1078" t="str">
        <f>IFERROR(VLOOKUP(D1078,Manual!$C$1:$E$22,2,FALSE),"Pend")</f>
        <v>Pend</v>
      </c>
      <c r="AS1078" t="str">
        <f t="shared" si="372"/>
        <v>Yes</v>
      </c>
      <c r="AT1078" t="str">
        <f t="shared" si="373"/>
        <v>Yes</v>
      </c>
      <c r="AU1078" s="51" t="str">
        <f t="shared" si="374"/>
        <v>Yes</v>
      </c>
      <c r="AV1078" s="12">
        <f>IFERROR(VLOOKUP(D1078,'Receivable Invoice Detail'!$S$1:$U$3014,3,FALSE),0)</f>
        <v>0</v>
      </c>
      <c r="AW1078" s="12">
        <f t="shared" si="375"/>
        <v>120.5786915845455</v>
      </c>
    </row>
    <row r="1079" spans="1:49" ht="30" x14ac:dyDescent="0.25">
      <c r="A1079" s="2">
        <v>1</v>
      </c>
      <c r="B1079" s="2" t="s">
        <v>412</v>
      </c>
      <c r="C1079" s="2" t="s">
        <v>413</v>
      </c>
      <c r="D1079" s="2" t="s">
        <v>6052</v>
      </c>
      <c r="E1079" s="2" t="s">
        <v>20</v>
      </c>
      <c r="F1079" s="3">
        <v>45945.671527777777</v>
      </c>
      <c r="G1079" s="3">
        <v>45945.677916666667</v>
      </c>
      <c r="H1079" s="4">
        <v>46043</v>
      </c>
      <c r="I1079" s="2" t="s">
        <v>21</v>
      </c>
      <c r="J1079" s="2" t="s">
        <v>22</v>
      </c>
      <c r="K1079" s="2">
        <v>1</v>
      </c>
      <c r="L1079" s="2">
        <v>2045.52</v>
      </c>
      <c r="M1079" s="2">
        <v>2045.52</v>
      </c>
      <c r="N1079" s="2">
        <v>2045.52</v>
      </c>
      <c r="O1079" s="2">
        <v>1948.11</v>
      </c>
      <c r="P1079" s="2">
        <v>97.41</v>
      </c>
      <c r="Q1079" s="2">
        <v>2045.52</v>
      </c>
      <c r="R1079" s="2" t="s">
        <v>44</v>
      </c>
      <c r="S1079" s="2"/>
      <c r="T1079" s="2">
        <f t="shared" si="357"/>
        <v>1</v>
      </c>
      <c r="U1079" s="18">
        <f t="shared" si="358"/>
        <v>10</v>
      </c>
      <c r="V1079" s="18">
        <f t="shared" si="359"/>
        <v>2025</v>
      </c>
      <c r="W1079" s="18" t="str">
        <f t="shared" si="360"/>
        <v/>
      </c>
      <c r="X1079" s="18" t="str">
        <f t="shared" si="361"/>
        <v/>
      </c>
      <c r="Y1079" s="2">
        <f t="shared" si="354"/>
        <v>1</v>
      </c>
      <c r="Z1079" t="str">
        <f t="shared" si="355"/>
        <v>SO18049</v>
      </c>
      <c r="AA1079" s="11">
        <f t="shared" si="362"/>
        <v>45945.671527777777</v>
      </c>
      <c r="AB1079" s="5" t="str">
        <f t="shared" si="363"/>
        <v>INV13796</v>
      </c>
      <c r="AC1079" s="5" t="str">
        <f>IFERROR(VLOOKUP(D1079,CAARStatus!$A$2:$AA$1600,22,FALSE),"Not invoiced")</f>
        <v>Approved</v>
      </c>
      <c r="AD1079" s="11" t="str">
        <f>IF(AC1079="Paid",IFERROR(VLOOKUP(D1079,CAARStatus!$A$2:$AA$1600,6,FALSE),"Pending"),"Pending")</f>
        <v>Pending</v>
      </c>
      <c r="AE1079" s="5" t="str">
        <f t="shared" si="364"/>
        <v>4500617755</v>
      </c>
      <c r="AF1079" s="5" t="str">
        <f t="shared" si="365"/>
        <v>Resolute Forest Products - Saint-Felicien</v>
      </c>
      <c r="AG1079" s="5" t="str">
        <f t="shared" si="366"/>
        <v>CAD</v>
      </c>
      <c r="AH1079" s="5">
        <f t="shared" si="367"/>
        <v>1948.11</v>
      </c>
      <c r="AI1079" s="12">
        <f>IF(L1079-N1079=0,VLOOKUP(U1079,rate!A$4:B$15,2,FALSE)*AH1079,IF(AG1079="USD",O1079,AH1079*Y1079))</f>
        <v>1393.3243659930536</v>
      </c>
      <c r="AJ1079" s="13">
        <f t="shared" si="368"/>
        <v>0.71521852769764216</v>
      </c>
      <c r="AK1079" s="13">
        <f>-IF(AG1079="CAD",IFERROR(VLOOKUP(D1079,CAARStatus!$A$1:$Y$1600,16,FALSE),0),0)</f>
        <v>-1948.11</v>
      </c>
      <c r="AL1079" s="13">
        <f>-IF(AG1079="USD",IFERROR(VLOOKUP(D1079,CAARStatus!$A$1:$Y$1600,11,FALSE),0),0)</f>
        <v>0</v>
      </c>
      <c r="AM1079" s="22">
        <f t="shared" si="369"/>
        <v>0</v>
      </c>
      <c r="AN1079" s="12" t="str">
        <f t="shared" si="370"/>
        <v/>
      </c>
      <c r="AO1079" s="12" t="str">
        <f t="shared" si="371"/>
        <v>Pend</v>
      </c>
      <c r="AP1079" t="str">
        <f t="shared" si="356"/>
        <v>Pend</v>
      </c>
      <c r="AQ1079" t="str">
        <f>IFERROR(VLOOKUP(Z1079,InvBal!$L$4:$P$600,4,FALSE),"Pend")</f>
        <v>Pend</v>
      </c>
      <c r="AR1079" t="str">
        <f>IFERROR(VLOOKUP(D1079,Manual!$C$1:$E$22,2,FALSE),"Pend")</f>
        <v>Pend</v>
      </c>
      <c r="AS1079" t="str">
        <f t="shared" si="372"/>
        <v/>
      </c>
      <c r="AT1079" t="str">
        <f t="shared" si="373"/>
        <v>Yes</v>
      </c>
      <c r="AU1079" s="51" t="str">
        <f t="shared" si="374"/>
        <v/>
      </c>
      <c r="AV1079" s="12">
        <f>IFERROR(VLOOKUP(D1079,'Receivable Invoice Detail'!$S$1:$U$3014,3,FALSE),0)</f>
        <v>0</v>
      </c>
      <c r="AW1079" s="12">
        <f t="shared" si="375"/>
        <v>0</v>
      </c>
    </row>
    <row r="1080" spans="1:49" ht="30" x14ac:dyDescent="0.25">
      <c r="A1080" s="2">
        <v>1</v>
      </c>
      <c r="B1080" s="2" t="s">
        <v>408</v>
      </c>
      <c r="C1080" s="2" t="s">
        <v>409</v>
      </c>
      <c r="D1080" s="2" t="s">
        <v>3285</v>
      </c>
      <c r="E1080" s="2" t="s">
        <v>80</v>
      </c>
      <c r="F1080" s="3">
        <v>45945.699247685188</v>
      </c>
      <c r="G1080" s="3">
        <v>45945.69976851852</v>
      </c>
      <c r="H1080" s="4">
        <v>45978</v>
      </c>
      <c r="I1080" s="2" t="s">
        <v>21</v>
      </c>
      <c r="J1080" s="2" t="s">
        <v>22</v>
      </c>
      <c r="K1080" s="2">
        <v>1</v>
      </c>
      <c r="L1080" s="2">
        <v>9653.9</v>
      </c>
      <c r="M1080" s="2">
        <v>9653.9</v>
      </c>
      <c r="N1080" s="2">
        <v>9653.9</v>
      </c>
      <c r="O1080" s="2">
        <v>9194.19</v>
      </c>
      <c r="P1080" s="2">
        <v>459.71</v>
      </c>
      <c r="Q1080" s="2">
        <v>9653.9</v>
      </c>
      <c r="R1080" s="2" t="s">
        <v>44</v>
      </c>
      <c r="S1080" s="2"/>
      <c r="T1080" s="2">
        <f t="shared" si="357"/>
        <v>1</v>
      </c>
      <c r="U1080" s="18">
        <f t="shared" si="358"/>
        <v>10</v>
      </c>
      <c r="V1080" s="18">
        <f t="shared" si="359"/>
        <v>2025</v>
      </c>
      <c r="W1080" s="18" t="str">
        <f t="shared" si="360"/>
        <v/>
      </c>
      <c r="X1080" s="18" t="str">
        <f t="shared" si="361"/>
        <v/>
      </c>
      <c r="Y1080" s="2">
        <f t="shared" si="354"/>
        <v>1</v>
      </c>
      <c r="Z1080" t="str">
        <f t="shared" si="355"/>
        <v>SO18051</v>
      </c>
      <c r="AA1080" s="11">
        <f t="shared" si="362"/>
        <v>45945.699247685188</v>
      </c>
      <c r="AB1080" s="5" t="str">
        <f t="shared" si="363"/>
        <v>INV13616</v>
      </c>
      <c r="AC1080" s="5" t="str">
        <f>IFERROR(VLOOKUP(D1080,CAARStatus!$A$2:$AA$1600,22,FALSE),"Not invoiced")</f>
        <v>Approved</v>
      </c>
      <c r="AD1080" s="11" t="str">
        <f>IF(AC1080="Paid",IFERROR(VLOOKUP(D1080,CAARStatus!$A$2:$AA$1600,6,FALSE),"Pending"),"Pending")</f>
        <v>Pending</v>
      </c>
      <c r="AE1080" s="5" t="str">
        <f t="shared" si="364"/>
        <v>4500617764</v>
      </c>
      <c r="AF1080" s="5" t="str">
        <f t="shared" si="365"/>
        <v>Resolute Forest Products - Dolbeau</v>
      </c>
      <c r="AG1080" s="5" t="str">
        <f t="shared" si="366"/>
        <v>CAD</v>
      </c>
      <c r="AH1080" s="5">
        <f t="shared" si="367"/>
        <v>9194.19</v>
      </c>
      <c r="AI1080" s="12">
        <f>IF(L1080-N1080=0,VLOOKUP(U1080,rate!A$4:B$15,2,FALSE)*AH1080,IF(AG1080="USD",O1080,AH1080*Y1080))</f>
        <v>6575.8550351723852</v>
      </c>
      <c r="AJ1080" s="13">
        <f t="shared" si="368"/>
        <v>0.71521852769764216</v>
      </c>
      <c r="AK1080" s="13">
        <f>-IF(AG1080="CAD",IFERROR(VLOOKUP(D1080,CAARStatus!$A$1:$Y$1600,16,FALSE),0),0)</f>
        <v>-9194.19</v>
      </c>
      <c r="AL1080" s="13">
        <f>-IF(AG1080="USD",IFERROR(VLOOKUP(D1080,CAARStatus!$A$1:$Y$1600,11,FALSE),0),0)</f>
        <v>0</v>
      </c>
      <c r="AM1080" s="22">
        <f t="shared" si="369"/>
        <v>0</v>
      </c>
      <c r="AN1080" s="12" t="str">
        <f t="shared" si="370"/>
        <v/>
      </c>
      <c r="AO1080" s="12" t="str">
        <f t="shared" si="371"/>
        <v>Pend</v>
      </c>
      <c r="AP1080" t="str">
        <f t="shared" si="356"/>
        <v>Pend</v>
      </c>
      <c r="AQ1080" t="str">
        <f>IFERROR(VLOOKUP(Z1080,InvBal!$L$4:$P$600,4,FALSE),"Pend")</f>
        <v>Pend</v>
      </c>
      <c r="AR1080" t="str">
        <f>IFERROR(VLOOKUP(D1080,Manual!$C$1:$E$22,2,FALSE),"Pend")</f>
        <v>Pend</v>
      </c>
      <c r="AS1080" t="str">
        <f t="shared" si="372"/>
        <v/>
      </c>
      <c r="AT1080" t="str">
        <f t="shared" si="373"/>
        <v>Yes</v>
      </c>
      <c r="AU1080" s="51" t="str">
        <f t="shared" si="374"/>
        <v/>
      </c>
      <c r="AV1080" s="12">
        <f>IFERROR(VLOOKUP(D1080,'Receivable Invoice Detail'!$S$1:$U$3014,3,FALSE),0)</f>
        <v>0</v>
      </c>
      <c r="AW1080" s="12">
        <f t="shared" si="375"/>
        <v>0</v>
      </c>
    </row>
    <row r="1081" spans="1:49" ht="45" x14ac:dyDescent="0.25">
      <c r="A1081" s="2">
        <v>0</v>
      </c>
      <c r="B1081" s="2" t="s">
        <v>405</v>
      </c>
      <c r="C1081" s="2" t="s">
        <v>406</v>
      </c>
      <c r="D1081" s="2"/>
      <c r="E1081" s="2" t="s">
        <v>407</v>
      </c>
      <c r="F1081" s="3">
        <v>45945.714155092603</v>
      </c>
      <c r="G1081" s="3">
        <v>45945.715891203698</v>
      </c>
      <c r="H1081" s="4">
        <v>45959</v>
      </c>
      <c r="I1081" s="2" t="s">
        <v>21</v>
      </c>
      <c r="J1081" s="2" t="s">
        <v>22</v>
      </c>
      <c r="K1081" s="2">
        <v>1</v>
      </c>
      <c r="L1081" s="2">
        <v>0.01</v>
      </c>
      <c r="M1081" s="2">
        <v>0.01</v>
      </c>
      <c r="N1081" s="2">
        <v>0.01</v>
      </c>
      <c r="O1081" s="2">
        <v>0.01</v>
      </c>
      <c r="P1081" s="2"/>
      <c r="Q1081" s="2">
        <v>0.01</v>
      </c>
      <c r="R1081" s="2" t="s">
        <v>23</v>
      </c>
      <c r="S1081" s="2"/>
      <c r="T1081" s="2">
        <f t="shared" si="357"/>
        <v>0</v>
      </c>
      <c r="U1081" s="18">
        <f t="shared" si="358"/>
        <v>10</v>
      </c>
      <c r="V1081" s="18">
        <f t="shared" si="359"/>
        <v>2025</v>
      </c>
      <c r="W1081" s="18" t="str">
        <f t="shared" si="360"/>
        <v/>
      </c>
      <c r="X1081" s="18" t="str">
        <f t="shared" si="361"/>
        <v/>
      </c>
      <c r="Y1081" s="2">
        <f t="shared" si="354"/>
        <v>1</v>
      </c>
      <c r="Z1081" t="str">
        <f t="shared" si="355"/>
        <v>SO18052</v>
      </c>
      <c r="AA1081" s="11">
        <f t="shared" si="362"/>
        <v>45945.714155092603</v>
      </c>
      <c r="AB1081" s="5" t="str">
        <f t="shared" si="363"/>
        <v>No Inv</v>
      </c>
      <c r="AC1081" s="5" t="str">
        <f>IFERROR(VLOOKUP(D1081,CAARStatus!$A$2:$AA$1600,22,FALSE),"Not invoiced")</f>
        <v>Not invoiced</v>
      </c>
      <c r="AD1081" s="11" t="str">
        <f>IF(AC1081="Paid",IFERROR(VLOOKUP(D1081,CAARStatus!$A$2:$AA$1600,6,FALSE),"Pending"),"Pending")</f>
        <v>Pending</v>
      </c>
      <c r="AE1081" s="5" t="str">
        <f t="shared" si="364"/>
        <v>PO 4500617769</v>
      </c>
      <c r="AF1081" s="5" t="str">
        <f t="shared" si="365"/>
        <v>Resolute Forest Products - Fibrek, Resolute Forest Products - Fibrek</v>
      </c>
      <c r="AG1081" s="5" t="str">
        <f t="shared" si="366"/>
        <v>CAD</v>
      </c>
      <c r="AH1081" s="5">
        <f t="shared" si="367"/>
        <v>0.01</v>
      </c>
      <c r="AI1081" s="12">
        <f>IF(L1081-N1081=0,VLOOKUP(U1081,rate!A$4:B$15,2,FALSE)*AH1081,IF(AG1081="USD",O1081,AH1081*Y1081))</f>
        <v>7.152185276976422E-3</v>
      </c>
      <c r="AJ1081" s="13">
        <f t="shared" si="368"/>
        <v>0.71521852769764216</v>
      </c>
      <c r="AK1081" s="13">
        <f>-IF(AG1081="CAD",IFERROR(VLOOKUP(D1081,CAARStatus!$A$1:$Y$1600,16,FALSE),0),0)</f>
        <v>0</v>
      </c>
      <c r="AL1081" s="13">
        <f>-IF(AG1081="USD",IFERROR(VLOOKUP(D1081,CAARStatus!$A$1:$Y$1600,11,FALSE),0),0)</f>
        <v>0</v>
      </c>
      <c r="AM1081" s="22">
        <f t="shared" si="369"/>
        <v>0.01</v>
      </c>
      <c r="AN1081" s="12" t="str">
        <f t="shared" si="370"/>
        <v/>
      </c>
      <c r="AO1081" s="12" t="str">
        <f t="shared" si="371"/>
        <v>Pend</v>
      </c>
      <c r="AP1081" t="str">
        <f t="shared" si="356"/>
        <v>Pend</v>
      </c>
      <c r="AQ1081" t="str">
        <f>IFERROR(VLOOKUP(Z1081,InvBal!$L$4:$P$600,4,FALSE),"Pend")</f>
        <v>Pend</v>
      </c>
      <c r="AR1081" t="str">
        <f>IFERROR(VLOOKUP(D1081,Manual!$C$1:$E$22,2,FALSE),"Pend")</f>
        <v>Pend</v>
      </c>
      <c r="AS1081" t="str">
        <f t="shared" si="372"/>
        <v/>
      </c>
      <c r="AT1081" t="str">
        <f t="shared" si="373"/>
        <v/>
      </c>
      <c r="AU1081" s="51" t="str">
        <f t="shared" si="374"/>
        <v/>
      </c>
      <c r="AV1081" s="12">
        <f>IFERROR(VLOOKUP(D1081,'Receivable Invoice Detail'!$S$1:$U$3014,3,FALSE),0)</f>
        <v>0</v>
      </c>
      <c r="AW1081" s="12">
        <f t="shared" si="375"/>
        <v>0</v>
      </c>
    </row>
    <row r="1082" spans="1:49" ht="30" x14ac:dyDescent="0.25">
      <c r="A1082" s="2">
        <v>1</v>
      </c>
      <c r="B1082" s="2" t="s">
        <v>400</v>
      </c>
      <c r="C1082" s="2" t="s">
        <v>401</v>
      </c>
      <c r="D1082" s="2" t="s">
        <v>3287</v>
      </c>
      <c r="E1082" s="2" t="s">
        <v>80</v>
      </c>
      <c r="F1082" s="3">
        <v>45945.73238425926</v>
      </c>
      <c r="G1082" s="3">
        <v>45945.733553240738</v>
      </c>
      <c r="H1082" s="4">
        <v>45998</v>
      </c>
      <c r="I1082" s="2" t="s">
        <v>21</v>
      </c>
      <c r="J1082" s="2" t="s">
        <v>22</v>
      </c>
      <c r="K1082" s="2">
        <v>1</v>
      </c>
      <c r="L1082" s="2">
        <v>7610.52</v>
      </c>
      <c r="M1082" s="2">
        <v>7610.52</v>
      </c>
      <c r="N1082" s="2">
        <v>7610.52</v>
      </c>
      <c r="O1082" s="2">
        <v>7248.11</v>
      </c>
      <c r="P1082" s="2">
        <v>362.41</v>
      </c>
      <c r="Q1082" s="2">
        <v>7610.52</v>
      </c>
      <c r="R1082" s="2" t="s">
        <v>44</v>
      </c>
      <c r="S1082" s="2"/>
      <c r="T1082" s="2">
        <f t="shared" si="357"/>
        <v>1</v>
      </c>
      <c r="U1082" s="18">
        <f t="shared" si="358"/>
        <v>10</v>
      </c>
      <c r="V1082" s="18">
        <f t="shared" si="359"/>
        <v>2025</v>
      </c>
      <c r="W1082" s="18">
        <f t="shared" si="360"/>
        <v>12</v>
      </c>
      <c r="X1082" s="18">
        <f t="shared" si="361"/>
        <v>2025</v>
      </c>
      <c r="Y1082" s="2">
        <f t="shared" si="354"/>
        <v>1</v>
      </c>
      <c r="Z1082" t="str">
        <f t="shared" si="355"/>
        <v>SO18053</v>
      </c>
      <c r="AA1082" s="11">
        <f t="shared" si="362"/>
        <v>45945.73238425926</v>
      </c>
      <c r="AB1082" s="5" t="str">
        <f t="shared" si="363"/>
        <v>INV13542</v>
      </c>
      <c r="AC1082" s="5" t="str">
        <f>IFERROR(VLOOKUP(D1082,CAARStatus!$A$2:$AA$1600,22,FALSE),"Not invoiced")</f>
        <v>Paid</v>
      </c>
      <c r="AD1082" s="11">
        <f>IF(AC1082="Paid",IFERROR(VLOOKUP(D1082,CAARStatus!$A$2:$AA$1600,6,FALSE),"Pending"),"Pending")</f>
        <v>46010</v>
      </c>
      <c r="AE1082" s="5" t="str">
        <f t="shared" si="364"/>
        <v>4500617791</v>
      </c>
      <c r="AF1082" s="5" t="str">
        <f t="shared" si="365"/>
        <v>Resolute Forest Products - Dolbeau</v>
      </c>
      <c r="AG1082" s="5" t="str">
        <f t="shared" si="366"/>
        <v>CAD</v>
      </c>
      <c r="AH1082" s="5">
        <f t="shared" si="367"/>
        <v>7248.11</v>
      </c>
      <c r="AI1082" s="12">
        <f>IF(L1082-N1082=0,VLOOKUP(U1082,rate!A$4:B$15,2,FALSE)*AH1082,IF(AG1082="USD",O1082,AH1082*Y1082))</f>
        <v>5183.9825627905566</v>
      </c>
      <c r="AJ1082" s="13">
        <f t="shared" si="368"/>
        <v>0.71521852769764216</v>
      </c>
      <c r="AK1082" s="13">
        <f>-IF(AG1082="CAD",IFERROR(VLOOKUP(D1082,CAARStatus!$A$1:$Y$1600,16,FALSE),0),0)</f>
        <v>-7248.11</v>
      </c>
      <c r="AL1082" s="13">
        <f>-IF(AG1082="USD",IFERROR(VLOOKUP(D1082,CAARStatus!$A$1:$Y$1600,11,FALSE),0),0)</f>
        <v>0</v>
      </c>
      <c r="AM1082" s="22">
        <f t="shared" si="369"/>
        <v>0</v>
      </c>
      <c r="AN1082" s="12" t="str">
        <f t="shared" si="370"/>
        <v/>
      </c>
      <c r="AO1082" s="12" t="str">
        <f t="shared" si="371"/>
        <v>Yes</v>
      </c>
      <c r="AP1082" t="str">
        <f t="shared" si="356"/>
        <v>Yes</v>
      </c>
      <c r="AQ1082" t="str">
        <f>IFERROR(VLOOKUP(Z1082,InvBal!$L$4:$P$600,4,FALSE),"Pend")</f>
        <v>Pend</v>
      </c>
      <c r="AR1082" t="str">
        <f>IFERROR(VLOOKUP(D1082,Manual!$C$1:$E$22,2,FALSE),"Pend")</f>
        <v>Pend</v>
      </c>
      <c r="AS1082" t="str">
        <f t="shared" si="372"/>
        <v>Yes</v>
      </c>
      <c r="AT1082" t="str">
        <f t="shared" si="373"/>
        <v>Yes</v>
      </c>
      <c r="AU1082" s="51" t="str">
        <f t="shared" si="374"/>
        <v>Yes</v>
      </c>
      <c r="AV1082" s="12">
        <f>IFERROR(VLOOKUP(D1082,'Receivable Invoice Detail'!$S$1:$U$3014,3,FALSE),0)</f>
        <v>0</v>
      </c>
      <c r="AW1082" s="12">
        <f t="shared" si="375"/>
        <v>5183.9825627905566</v>
      </c>
    </row>
    <row r="1083" spans="1:49" x14ac:dyDescent="0.25">
      <c r="A1083" s="2">
        <v>1</v>
      </c>
      <c r="B1083" s="2" t="s">
        <v>402</v>
      </c>
      <c r="C1083" s="2" t="s">
        <v>403</v>
      </c>
      <c r="D1083" s="2" t="s">
        <v>3286</v>
      </c>
      <c r="E1083" s="2" t="s">
        <v>404</v>
      </c>
      <c r="F1083" s="3">
        <v>45945.734074074076</v>
      </c>
      <c r="G1083" s="3">
        <v>45945.731145833342</v>
      </c>
      <c r="H1083" s="4">
        <v>45968</v>
      </c>
      <c r="I1083" s="2" t="s">
        <v>74</v>
      </c>
      <c r="J1083" s="2" t="s">
        <v>22</v>
      </c>
      <c r="K1083" s="2">
        <v>1</v>
      </c>
      <c r="L1083" s="2">
        <v>273</v>
      </c>
      <c r="M1083" s="2">
        <v>273</v>
      </c>
      <c r="N1083" s="2">
        <v>273</v>
      </c>
      <c r="O1083" s="2">
        <v>260</v>
      </c>
      <c r="P1083" s="2">
        <v>13</v>
      </c>
      <c r="Q1083" s="2">
        <v>273</v>
      </c>
      <c r="R1083" s="2" t="s">
        <v>44</v>
      </c>
      <c r="S1083" s="2"/>
      <c r="T1083" s="2">
        <f t="shared" si="357"/>
        <v>1</v>
      </c>
      <c r="U1083" s="18">
        <f t="shared" si="358"/>
        <v>10</v>
      </c>
      <c r="V1083" s="18">
        <f t="shared" si="359"/>
        <v>2025</v>
      </c>
      <c r="W1083" s="18" t="str">
        <f t="shared" si="360"/>
        <v/>
      </c>
      <c r="X1083" s="18" t="str">
        <f t="shared" si="361"/>
        <v/>
      </c>
      <c r="Y1083" s="2">
        <f t="shared" si="354"/>
        <v>1</v>
      </c>
      <c r="Z1083" t="str">
        <f t="shared" si="355"/>
        <v>SO18054</v>
      </c>
      <c r="AA1083" s="11">
        <f t="shared" si="362"/>
        <v>45945.734074074076</v>
      </c>
      <c r="AB1083" s="5" t="str">
        <f t="shared" si="363"/>
        <v>INV13611</v>
      </c>
      <c r="AC1083" s="5" t="str">
        <f>IFERROR(VLOOKUP(D1083,CAARStatus!$A$2:$AA$1600,22,FALSE),"Not invoiced")</f>
        <v>Approved</v>
      </c>
      <c r="AD1083" s="11" t="str">
        <f>IF(AC1083="Paid",IFERROR(VLOOKUP(D1083,CAARStatus!$A$2:$AA$1600,6,FALSE),"Pending"),"Pending")</f>
        <v>Pending</v>
      </c>
      <c r="AE1083" s="5" t="str">
        <f t="shared" si="364"/>
        <v>MTL34770</v>
      </c>
      <c r="AF1083" s="5" t="str">
        <f t="shared" si="365"/>
        <v>Conval Quebec</v>
      </c>
      <c r="AG1083" s="5" t="str">
        <f t="shared" si="366"/>
        <v>CAD</v>
      </c>
      <c r="AH1083" s="5">
        <f t="shared" si="367"/>
        <v>260</v>
      </c>
      <c r="AI1083" s="12">
        <f>IF(L1083-N1083=0,VLOOKUP(U1083,rate!A$4:B$15,2,FALSE)*AH1083,IF(AG1083="USD",O1083,AH1083*Y1083))</f>
        <v>185.95681720138697</v>
      </c>
      <c r="AJ1083" s="13">
        <f t="shared" si="368"/>
        <v>0.71521852769764216</v>
      </c>
      <c r="AK1083" s="13">
        <f>-IF(AG1083="CAD",IFERROR(VLOOKUP(D1083,CAARStatus!$A$1:$Y$1600,16,FALSE),0),0)</f>
        <v>-260</v>
      </c>
      <c r="AL1083" s="13">
        <f>-IF(AG1083="USD",IFERROR(VLOOKUP(D1083,CAARStatus!$A$1:$Y$1600,11,FALSE),0),0)</f>
        <v>0</v>
      </c>
      <c r="AM1083" s="22">
        <f t="shared" si="369"/>
        <v>0</v>
      </c>
      <c r="AN1083" s="12" t="str">
        <f t="shared" si="370"/>
        <v/>
      </c>
      <c r="AO1083" s="12" t="str">
        <f t="shared" si="371"/>
        <v>Pend</v>
      </c>
      <c r="AP1083" t="str">
        <f t="shared" si="356"/>
        <v>Pend</v>
      </c>
      <c r="AQ1083" t="str">
        <f>IFERROR(VLOOKUP(Z1083,InvBal!$L$4:$P$600,4,FALSE),"Pend")</f>
        <v>Pend</v>
      </c>
      <c r="AR1083" t="str">
        <f>IFERROR(VLOOKUP(D1083,Manual!$C$1:$E$22,2,FALSE),"Pend")</f>
        <v>Pend</v>
      </c>
      <c r="AS1083" t="str">
        <f t="shared" si="372"/>
        <v/>
      </c>
      <c r="AT1083" t="str">
        <f t="shared" si="373"/>
        <v>Yes</v>
      </c>
      <c r="AU1083" s="51" t="str">
        <f t="shared" si="374"/>
        <v/>
      </c>
      <c r="AV1083" s="12">
        <f>IFERROR(VLOOKUP(D1083,'Receivable Invoice Detail'!$S$1:$U$3014,3,FALSE),0)</f>
        <v>0</v>
      </c>
      <c r="AW1083" s="12">
        <f t="shared" si="375"/>
        <v>0</v>
      </c>
    </row>
    <row r="1084" spans="1:49" ht="30" x14ac:dyDescent="0.25">
      <c r="A1084" s="2">
        <v>0</v>
      </c>
      <c r="B1084" s="2" t="s">
        <v>398</v>
      </c>
      <c r="C1084" s="2" t="s">
        <v>399</v>
      </c>
      <c r="D1084" s="2"/>
      <c r="E1084" s="2" t="s">
        <v>20</v>
      </c>
      <c r="F1084" s="3">
        <v>45945.737326388888</v>
      </c>
      <c r="G1084" s="3">
        <v>45945.739768518521</v>
      </c>
      <c r="H1084" s="4">
        <v>45960</v>
      </c>
      <c r="I1084" s="2" t="s">
        <v>21</v>
      </c>
      <c r="J1084" s="2" t="s">
        <v>22</v>
      </c>
      <c r="K1084" s="2">
        <v>1</v>
      </c>
      <c r="L1084" s="2">
        <v>6000.59</v>
      </c>
      <c r="M1084" s="2">
        <v>6000.59</v>
      </c>
      <c r="N1084" s="2">
        <v>6000.59</v>
      </c>
      <c r="O1084" s="2">
        <v>5714.85</v>
      </c>
      <c r="P1084" s="2">
        <v>285.74</v>
      </c>
      <c r="Q1084" s="2">
        <v>6000.59</v>
      </c>
      <c r="R1084" s="2" t="s">
        <v>29</v>
      </c>
      <c r="S1084" s="2"/>
      <c r="T1084" s="2">
        <f t="shared" si="357"/>
        <v>0</v>
      </c>
      <c r="U1084" s="18">
        <f t="shared" si="358"/>
        <v>10</v>
      </c>
      <c r="V1084" s="18">
        <f t="shared" si="359"/>
        <v>2025</v>
      </c>
      <c r="W1084" s="18" t="str">
        <f t="shared" si="360"/>
        <v/>
      </c>
      <c r="X1084" s="18" t="str">
        <f t="shared" si="361"/>
        <v/>
      </c>
      <c r="Y1084" s="2">
        <f t="shared" si="354"/>
        <v>1</v>
      </c>
      <c r="Z1084" t="str">
        <f t="shared" si="355"/>
        <v>SO18055</v>
      </c>
      <c r="AA1084" s="11">
        <f t="shared" si="362"/>
        <v>45945.737326388888</v>
      </c>
      <c r="AB1084" s="5" t="str">
        <f t="shared" si="363"/>
        <v>No Inv</v>
      </c>
      <c r="AC1084" s="5" t="str">
        <f>IFERROR(VLOOKUP(D1084,CAARStatus!$A$2:$AA$1600,22,FALSE),"Not invoiced")</f>
        <v>Not invoiced</v>
      </c>
      <c r="AD1084" s="11" t="str">
        <f>IF(AC1084="Paid",IFERROR(VLOOKUP(D1084,CAARStatus!$A$2:$AA$1600,6,FALSE),"Pending"),"Pending")</f>
        <v>Pending</v>
      </c>
      <c r="AE1084" s="5" t="str">
        <f t="shared" si="364"/>
        <v>4500617789</v>
      </c>
      <c r="AF1084" s="5" t="str">
        <f t="shared" si="365"/>
        <v>Resolute Forest Products - Saint-Felicien</v>
      </c>
      <c r="AG1084" s="5" t="str">
        <f t="shared" si="366"/>
        <v>CAD</v>
      </c>
      <c r="AH1084" s="5">
        <f t="shared" si="367"/>
        <v>5714.85</v>
      </c>
      <c r="AI1084" s="12">
        <f>IF(L1084-N1084=0,VLOOKUP(U1084,rate!A$4:B$15,2,FALSE)*AH1084,IF(AG1084="USD",O1084,AH1084*Y1084))</f>
        <v>4087.3666030128707</v>
      </c>
      <c r="AJ1084" s="13">
        <f t="shared" si="368"/>
        <v>0.71521852769764216</v>
      </c>
      <c r="AK1084" s="13">
        <f>-IF(AG1084="CAD",IFERROR(VLOOKUP(D1084,CAARStatus!$A$1:$Y$1600,16,FALSE),0),0)</f>
        <v>0</v>
      </c>
      <c r="AL1084" s="13">
        <f>-IF(AG1084="USD",IFERROR(VLOOKUP(D1084,CAARStatus!$A$1:$Y$1600,11,FALSE),0),0)</f>
        <v>0</v>
      </c>
      <c r="AM1084" s="22">
        <f t="shared" si="369"/>
        <v>5714.85</v>
      </c>
      <c r="AN1084" s="12" t="str">
        <f t="shared" si="370"/>
        <v/>
      </c>
      <c r="AO1084" s="12" t="str">
        <f t="shared" si="371"/>
        <v>Pend</v>
      </c>
      <c r="AP1084" t="str">
        <f t="shared" si="356"/>
        <v>Pend</v>
      </c>
      <c r="AQ1084" t="str">
        <f>IFERROR(VLOOKUP(Z1084,InvBal!$L$4:$P$600,4,FALSE),"Pend")</f>
        <v>Pend</v>
      </c>
      <c r="AR1084" t="str">
        <f>IFERROR(VLOOKUP(D1084,Manual!$C$1:$E$22,2,FALSE),"Pend")</f>
        <v>Pend</v>
      </c>
      <c r="AS1084" t="str">
        <f t="shared" si="372"/>
        <v/>
      </c>
      <c r="AT1084" t="str">
        <f t="shared" si="373"/>
        <v/>
      </c>
      <c r="AU1084" s="51" t="str">
        <f t="shared" si="374"/>
        <v/>
      </c>
      <c r="AV1084" s="12">
        <f>IFERROR(VLOOKUP(D1084,'Receivable Invoice Detail'!$S$1:$U$3014,3,FALSE),0)</f>
        <v>0</v>
      </c>
      <c r="AW1084" s="12">
        <f t="shared" si="375"/>
        <v>0</v>
      </c>
    </row>
    <row r="1085" spans="1:49" ht="30" x14ac:dyDescent="0.25">
      <c r="A1085" s="2">
        <v>1</v>
      </c>
      <c r="B1085" s="2" t="s">
        <v>396</v>
      </c>
      <c r="C1085" s="2" t="s">
        <v>397</v>
      </c>
      <c r="D1085" s="2" t="s">
        <v>3288</v>
      </c>
      <c r="E1085" s="2" t="s">
        <v>80</v>
      </c>
      <c r="F1085" s="3">
        <v>45945.75277777778</v>
      </c>
      <c r="G1085" s="3">
        <v>45945.753437500003</v>
      </c>
      <c r="H1085" s="4">
        <v>46035</v>
      </c>
      <c r="I1085" s="2" t="s">
        <v>36</v>
      </c>
      <c r="J1085" s="2" t="s">
        <v>22</v>
      </c>
      <c r="K1085" s="2">
        <v>1</v>
      </c>
      <c r="L1085" s="2">
        <v>8079.75</v>
      </c>
      <c r="M1085" s="2">
        <v>8079.75</v>
      </c>
      <c r="N1085" s="2">
        <v>8079.75</v>
      </c>
      <c r="O1085" s="2">
        <v>7695</v>
      </c>
      <c r="P1085" s="2">
        <v>384.75</v>
      </c>
      <c r="Q1085" s="2">
        <v>8079.75</v>
      </c>
      <c r="R1085" s="2" t="s">
        <v>44</v>
      </c>
      <c r="S1085" s="2"/>
      <c r="T1085" s="2">
        <f t="shared" si="357"/>
        <v>1</v>
      </c>
      <c r="U1085" s="18">
        <f t="shared" si="358"/>
        <v>10</v>
      </c>
      <c r="V1085" s="18">
        <f t="shared" si="359"/>
        <v>2025</v>
      </c>
      <c r="W1085" s="18" t="str">
        <f t="shared" si="360"/>
        <v/>
      </c>
      <c r="X1085" s="18" t="str">
        <f t="shared" si="361"/>
        <v/>
      </c>
      <c r="Y1085" s="2">
        <f t="shared" si="354"/>
        <v>1</v>
      </c>
      <c r="Z1085" t="str">
        <f t="shared" si="355"/>
        <v>SO18056</v>
      </c>
      <c r="AA1085" s="11">
        <f t="shared" si="362"/>
        <v>45945.75277777778</v>
      </c>
      <c r="AB1085" s="5" t="str">
        <f t="shared" si="363"/>
        <v>INV13701</v>
      </c>
      <c r="AC1085" s="5" t="str">
        <f>IFERROR(VLOOKUP(D1085,CAARStatus!$A$2:$AA$1600,22,FALSE),"Not invoiced")</f>
        <v>Approved</v>
      </c>
      <c r="AD1085" s="11" t="str">
        <f>IF(AC1085="Paid",IFERROR(VLOOKUP(D1085,CAARStatus!$A$2:$AA$1600,6,FALSE),"Pending"),"Pending")</f>
        <v>Pending</v>
      </c>
      <c r="AE1085" s="5" t="str">
        <f t="shared" si="364"/>
        <v>4500617812</v>
      </c>
      <c r="AF1085" s="5" t="str">
        <f t="shared" si="365"/>
        <v>Resolute Forest Products - Dolbeau</v>
      </c>
      <c r="AG1085" s="5" t="str">
        <f t="shared" si="366"/>
        <v>CAD</v>
      </c>
      <c r="AH1085" s="5">
        <f t="shared" si="367"/>
        <v>7695</v>
      </c>
      <c r="AI1085" s="12">
        <f>IF(L1085-N1085=0,VLOOKUP(U1085,rate!A$4:B$15,2,FALSE)*AH1085,IF(AG1085="USD",O1085,AH1085*Y1085))</f>
        <v>5503.6065706333566</v>
      </c>
      <c r="AJ1085" s="13">
        <f t="shared" si="368"/>
        <v>0.71521852769764216</v>
      </c>
      <c r="AK1085" s="13">
        <f>-IF(AG1085="CAD",IFERROR(VLOOKUP(D1085,CAARStatus!$A$1:$Y$1600,16,FALSE),0),0)</f>
        <v>-7695</v>
      </c>
      <c r="AL1085" s="13">
        <f>-IF(AG1085="USD",IFERROR(VLOOKUP(D1085,CAARStatus!$A$1:$Y$1600,11,FALSE),0),0)</f>
        <v>0</v>
      </c>
      <c r="AM1085" s="22">
        <f t="shared" si="369"/>
        <v>0</v>
      </c>
      <c r="AN1085" s="12" t="str">
        <f t="shared" si="370"/>
        <v/>
      </c>
      <c r="AO1085" s="12" t="str">
        <f t="shared" si="371"/>
        <v>Pend</v>
      </c>
      <c r="AP1085" t="str">
        <f t="shared" si="356"/>
        <v>Pend</v>
      </c>
      <c r="AQ1085" t="str">
        <f>IFERROR(VLOOKUP(Z1085,InvBal!$L$4:$P$600,4,FALSE),"Pend")</f>
        <v>Pend</v>
      </c>
      <c r="AR1085" t="str">
        <f>IFERROR(VLOOKUP(D1085,Manual!$C$1:$E$22,2,FALSE),"Pend")</f>
        <v>Pend</v>
      </c>
      <c r="AS1085" t="str">
        <f t="shared" si="372"/>
        <v/>
      </c>
      <c r="AT1085" t="str">
        <f t="shared" si="373"/>
        <v>Yes</v>
      </c>
      <c r="AU1085" s="51" t="str">
        <f t="shared" si="374"/>
        <v/>
      </c>
      <c r="AV1085" s="12">
        <f>IFERROR(VLOOKUP(D1085,'Receivable Invoice Detail'!$S$1:$U$3014,3,FALSE),0)</f>
        <v>0</v>
      </c>
      <c r="AW1085" s="12">
        <f t="shared" si="375"/>
        <v>0</v>
      </c>
    </row>
    <row r="1086" spans="1:49" ht="30" x14ac:dyDescent="0.25">
      <c r="A1086" s="2">
        <v>2</v>
      </c>
      <c r="B1086" s="2" t="s">
        <v>394</v>
      </c>
      <c r="C1086" s="2" t="s">
        <v>395</v>
      </c>
      <c r="D1086" s="2" t="s">
        <v>3290</v>
      </c>
      <c r="E1086" s="2" t="s">
        <v>20</v>
      </c>
      <c r="F1086" s="3">
        <v>45945.761967592603</v>
      </c>
      <c r="G1086" s="3">
        <v>45945.762754629628</v>
      </c>
      <c r="H1086" s="4">
        <v>46029</v>
      </c>
      <c r="I1086" s="2" t="s">
        <v>21</v>
      </c>
      <c r="J1086" s="2" t="s">
        <v>22</v>
      </c>
      <c r="K1086" s="2">
        <v>1</v>
      </c>
      <c r="L1086" s="2">
        <v>7424.63</v>
      </c>
      <c r="M1086" s="2">
        <v>7424.63</v>
      </c>
      <c r="N1086" s="2">
        <v>7424.63</v>
      </c>
      <c r="O1086" s="2">
        <v>7071.07</v>
      </c>
      <c r="P1086" s="2">
        <v>353.56</v>
      </c>
      <c r="Q1086" s="2">
        <v>7424.63</v>
      </c>
      <c r="R1086" s="2" t="s">
        <v>44</v>
      </c>
      <c r="S1086" s="2"/>
      <c r="T1086" s="2">
        <f t="shared" si="357"/>
        <v>2</v>
      </c>
      <c r="U1086" s="18">
        <f t="shared" si="358"/>
        <v>10</v>
      </c>
      <c r="V1086" s="18">
        <f t="shared" si="359"/>
        <v>2025</v>
      </c>
      <c r="W1086" s="18">
        <f t="shared" si="360"/>
        <v>12</v>
      </c>
      <c r="X1086" s="18">
        <f t="shared" si="361"/>
        <v>2025</v>
      </c>
      <c r="Y1086" s="2">
        <f t="shared" si="354"/>
        <v>1</v>
      </c>
      <c r="Z1086" t="str">
        <f t="shared" si="355"/>
        <v>SO18057</v>
      </c>
      <c r="AA1086" s="11">
        <f t="shared" si="362"/>
        <v>45945.761967592603</v>
      </c>
      <c r="AB1086" s="5" t="str">
        <f t="shared" si="363"/>
        <v>INV13549</v>
      </c>
      <c r="AC1086" s="5" t="str">
        <f>IFERROR(VLOOKUP(D1086,CAARStatus!$A$2:$AA$1600,22,FALSE),"Not invoiced")</f>
        <v>Paid</v>
      </c>
      <c r="AD1086" s="11">
        <f>IF(AC1086="Paid",IFERROR(VLOOKUP(D1086,CAARStatus!$A$2:$AA$1600,6,FALSE),"Pending"),"Pending")</f>
        <v>46010</v>
      </c>
      <c r="AE1086" s="5" t="str">
        <f t="shared" si="364"/>
        <v>4500617811</v>
      </c>
      <c r="AF1086" s="5" t="str">
        <f t="shared" si="365"/>
        <v>Resolute Forest Products - Saint-Felicien</v>
      </c>
      <c r="AG1086" s="5" t="str">
        <f t="shared" si="366"/>
        <v>CAD</v>
      </c>
      <c r="AH1086" s="5">
        <f t="shared" si="367"/>
        <v>7071.07</v>
      </c>
      <c r="AI1086" s="12">
        <f>IF(L1086-N1086=0,VLOOKUP(U1086,rate!A$4:B$15,2,FALSE)*AH1086,IF(AG1086="USD",O1086,AH1086*Y1086))</f>
        <v>5057.360274646966</v>
      </c>
      <c r="AJ1086" s="13">
        <f t="shared" si="368"/>
        <v>0.71521852769764216</v>
      </c>
      <c r="AK1086" s="13">
        <f>-IF(AG1086="CAD",IFERROR(VLOOKUP(D1086,CAARStatus!$A$1:$Y$1600,16,FALSE),0),0)</f>
        <v>-5073.1099999999997</v>
      </c>
      <c r="AL1086" s="13">
        <f>-IF(AG1086="USD",IFERROR(VLOOKUP(D1086,CAARStatus!$A$1:$Y$1600,11,FALSE),0),0)</f>
        <v>0</v>
      </c>
      <c r="AM1086" s="22">
        <f t="shared" si="369"/>
        <v>1997.96</v>
      </c>
      <c r="AN1086" s="12" t="str">
        <f t="shared" si="370"/>
        <v/>
      </c>
      <c r="AO1086" s="12" t="str">
        <f t="shared" si="371"/>
        <v>Yes</v>
      </c>
      <c r="AP1086" t="str">
        <f t="shared" si="356"/>
        <v>XX</v>
      </c>
      <c r="AQ1086" t="str">
        <f>IFERROR(VLOOKUP(Z1086,InvBal!$L$4:$P$600,4,FALSE),"Pend")</f>
        <v>Yes</v>
      </c>
      <c r="AR1086" t="str">
        <f>IFERROR(VLOOKUP(D1086,Manual!$C$1:$E$22,2,FALSE),"Pend")</f>
        <v>Pend</v>
      </c>
      <c r="AS1086" t="str">
        <f t="shared" si="372"/>
        <v>Yes</v>
      </c>
      <c r="AT1086" t="str">
        <f t="shared" si="373"/>
        <v>Yes</v>
      </c>
      <c r="AU1086" s="51" t="str">
        <f t="shared" si="374"/>
        <v>Yes</v>
      </c>
      <c r="AV1086" s="12">
        <f>IFERROR(VLOOKUP(D1086,'Receivable Invoice Detail'!$S$1:$U$3014,3,FALSE),0)</f>
        <v>0</v>
      </c>
      <c r="AW1086" s="12">
        <f t="shared" si="375"/>
        <v>5057.360274646966</v>
      </c>
    </row>
    <row r="1087" spans="1:49" x14ac:dyDescent="0.25">
      <c r="A1087" s="2"/>
      <c r="B1087" s="2"/>
      <c r="C1087" s="2"/>
      <c r="D1087" s="2" t="s">
        <v>3289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>
        <f t="shared" si="357"/>
        <v>2</v>
      </c>
      <c r="U1087" s="18">
        <f t="shared" si="358"/>
        <v>10</v>
      </c>
      <c r="V1087" s="18">
        <f t="shared" si="359"/>
        <v>2025</v>
      </c>
      <c r="W1087" s="18" t="str">
        <f t="shared" si="360"/>
        <v/>
      </c>
      <c r="X1087" s="18" t="str">
        <f t="shared" si="361"/>
        <v/>
      </c>
      <c r="Y1087" s="2">
        <f t="shared" si="354"/>
        <v>1</v>
      </c>
      <c r="Z1087" t="str">
        <f t="shared" si="355"/>
        <v>SO18057</v>
      </c>
      <c r="AA1087" s="11">
        <f t="shared" si="362"/>
        <v>45945.761967592603</v>
      </c>
      <c r="AB1087" s="5" t="str">
        <f t="shared" si="363"/>
        <v>INV13655</v>
      </c>
      <c r="AC1087" s="5" t="str">
        <f>IFERROR(VLOOKUP(D1087,CAARStatus!$A$2:$AA$1600,22,FALSE),"Not invoiced")</f>
        <v>Approved</v>
      </c>
      <c r="AD1087" s="11" t="str">
        <f>IF(AC1087="Paid",IFERROR(VLOOKUP(D1087,CAARStatus!$A$2:$AA$1600,6,FALSE),"Pending"),"Pending")</f>
        <v>Pending</v>
      </c>
      <c r="AE1087" s="5" t="str">
        <f t="shared" si="364"/>
        <v>4500617811</v>
      </c>
      <c r="AF1087" s="5" t="str">
        <f t="shared" si="365"/>
        <v>Resolute Forest Products - Saint-Felicien</v>
      </c>
      <c r="AG1087" s="5" t="str">
        <f t="shared" si="366"/>
        <v>CAD</v>
      </c>
      <c r="AH1087" s="5">
        <f t="shared" si="367"/>
        <v>0</v>
      </c>
      <c r="AI1087" s="12">
        <f>IF(L1087-N1087=0,VLOOKUP(U1087,rate!A$4:B$15,2,FALSE)*AH1087,IF(AG1087="USD",O1087,AH1087*Y1087))</f>
        <v>0</v>
      </c>
      <c r="AJ1087" s="13">
        <f t="shared" si="368"/>
        <v>0</v>
      </c>
      <c r="AK1087" s="13">
        <f>-IF(AG1087="CAD",IFERROR(VLOOKUP(D1087,CAARStatus!$A$1:$Y$1600,16,FALSE),0),0)</f>
        <v>-1997.96</v>
      </c>
      <c r="AL1087" s="13">
        <f>-IF(AG1087="USD",IFERROR(VLOOKUP(D1087,CAARStatus!$A$1:$Y$1600,11,FALSE),0),0)</f>
        <v>0</v>
      </c>
      <c r="AM1087" s="22">
        <f t="shared" si="369"/>
        <v>-1997.96</v>
      </c>
      <c r="AN1087" s="12" t="str">
        <f t="shared" si="370"/>
        <v/>
      </c>
      <c r="AO1087" s="12" t="str">
        <f t="shared" si="371"/>
        <v>Pend</v>
      </c>
      <c r="AP1087" t="str">
        <f t="shared" si="356"/>
        <v>XX</v>
      </c>
      <c r="AQ1087" t="str">
        <f>IFERROR(VLOOKUP(Z1087,InvBal!$L$4:$P$600,4,FALSE),"Pend")</f>
        <v>Yes</v>
      </c>
      <c r="AR1087" t="str">
        <f>IFERROR(VLOOKUP(D1087,Manual!$C$1:$E$22,2,FALSE),"Pend")</f>
        <v>Pend</v>
      </c>
      <c r="AS1087" t="str">
        <f t="shared" si="372"/>
        <v>Yes</v>
      </c>
      <c r="AT1087" t="str">
        <f t="shared" si="373"/>
        <v/>
      </c>
      <c r="AU1087" s="51" t="str">
        <f t="shared" si="374"/>
        <v/>
      </c>
      <c r="AV1087" s="12">
        <f>IFERROR(VLOOKUP(D1087,'Receivable Invoice Detail'!$S$1:$U$3014,3,FALSE),0)</f>
        <v>0</v>
      </c>
      <c r="AW1087" s="12">
        <f t="shared" si="375"/>
        <v>0</v>
      </c>
    </row>
    <row r="1088" spans="1:49" ht="30" x14ac:dyDescent="0.25">
      <c r="A1088" s="2">
        <v>1</v>
      </c>
      <c r="B1088" s="2" t="s">
        <v>392</v>
      </c>
      <c r="C1088" s="2" t="s">
        <v>393</v>
      </c>
      <c r="D1088" s="2" t="s">
        <v>3291</v>
      </c>
      <c r="E1088" s="2" t="s">
        <v>20</v>
      </c>
      <c r="F1088" s="3">
        <v>45945.767905092587</v>
      </c>
      <c r="G1088" s="3">
        <v>45945.76939814815</v>
      </c>
      <c r="H1088" s="4">
        <v>45947</v>
      </c>
      <c r="I1088" s="2" t="s">
        <v>180</v>
      </c>
      <c r="J1088" s="2" t="s">
        <v>22</v>
      </c>
      <c r="K1088" s="2">
        <v>1</v>
      </c>
      <c r="L1088" s="2">
        <v>4557.97</v>
      </c>
      <c r="M1088" s="2">
        <v>4557.97</v>
      </c>
      <c r="N1088" s="2">
        <v>4557.97</v>
      </c>
      <c r="O1088" s="2">
        <v>4557.97</v>
      </c>
      <c r="P1088" s="2"/>
      <c r="Q1088" s="2">
        <v>4557.97</v>
      </c>
      <c r="R1088" s="2" t="s">
        <v>44</v>
      </c>
      <c r="S1088" s="2"/>
      <c r="T1088" s="2">
        <f t="shared" si="357"/>
        <v>1</v>
      </c>
      <c r="U1088" s="18">
        <f t="shared" si="358"/>
        <v>10</v>
      </c>
      <c r="V1088" s="18">
        <f t="shared" si="359"/>
        <v>2025</v>
      </c>
      <c r="W1088" s="18">
        <f t="shared" si="360"/>
        <v>12</v>
      </c>
      <c r="X1088" s="18">
        <f t="shared" si="361"/>
        <v>2025</v>
      </c>
      <c r="Y1088" s="2">
        <f t="shared" si="354"/>
        <v>1</v>
      </c>
      <c r="Z1088" t="str">
        <f t="shared" si="355"/>
        <v>SO18058</v>
      </c>
      <c r="AA1088" s="11">
        <f t="shared" si="362"/>
        <v>45945.767905092587</v>
      </c>
      <c r="AB1088" s="5" t="str">
        <f t="shared" si="363"/>
        <v>INV13546</v>
      </c>
      <c r="AC1088" s="5" t="str">
        <f>IFERROR(VLOOKUP(D1088,CAARStatus!$A$2:$AA$1600,22,FALSE),"Not invoiced")</f>
        <v>Paid</v>
      </c>
      <c r="AD1088" s="11">
        <f>IF(AC1088="Paid",IFERROR(VLOOKUP(D1088,CAARStatus!$A$2:$AA$1600,6,FALSE),"Pending"),"Pending")</f>
        <v>46010</v>
      </c>
      <c r="AE1088" s="5" t="str">
        <f t="shared" si="364"/>
        <v>4500617676</v>
      </c>
      <c r="AF1088" s="5" t="str">
        <f t="shared" si="365"/>
        <v>Resolute Forest Products - Saint-Felicien</v>
      </c>
      <c r="AG1088" s="5" t="str">
        <f t="shared" si="366"/>
        <v>CAD</v>
      </c>
      <c r="AH1088" s="5">
        <f t="shared" si="367"/>
        <v>4557.97</v>
      </c>
      <c r="AI1088" s="12">
        <f>IF(L1088-N1088=0,VLOOKUP(U1088,rate!A$4:B$15,2,FALSE)*AH1088,IF(AG1088="USD",O1088,AH1088*Y1088))</f>
        <v>3259.9445926900221</v>
      </c>
      <c r="AJ1088" s="13">
        <f t="shared" si="368"/>
        <v>0.71521852769764216</v>
      </c>
      <c r="AK1088" s="13">
        <f>-IF(AG1088="CAD",IFERROR(VLOOKUP(D1088,CAARStatus!$A$1:$Y$1600,16,FALSE),0),0)</f>
        <v>-4557.97</v>
      </c>
      <c r="AL1088" s="13">
        <f>-IF(AG1088="USD",IFERROR(VLOOKUP(D1088,CAARStatus!$A$1:$Y$1600,11,FALSE),0),0)</f>
        <v>0</v>
      </c>
      <c r="AM1088" s="22">
        <f t="shared" si="369"/>
        <v>0</v>
      </c>
      <c r="AN1088" s="12" t="str">
        <f t="shared" si="370"/>
        <v/>
      </c>
      <c r="AO1088" s="12" t="str">
        <f t="shared" si="371"/>
        <v>Yes</v>
      </c>
      <c r="AP1088" t="str">
        <f t="shared" si="356"/>
        <v>Yes</v>
      </c>
      <c r="AQ1088" t="str">
        <f>IFERROR(VLOOKUP(Z1088,InvBal!$L$4:$P$600,4,FALSE),"Pend")</f>
        <v>Pend</v>
      </c>
      <c r="AR1088" t="str">
        <f>IFERROR(VLOOKUP(D1088,Manual!$C$1:$E$22,2,FALSE),"Pend")</f>
        <v>Pend</v>
      </c>
      <c r="AS1088" t="str">
        <f t="shared" si="372"/>
        <v>Yes</v>
      </c>
      <c r="AT1088" t="str">
        <f t="shared" si="373"/>
        <v>Yes</v>
      </c>
      <c r="AU1088" s="51" t="str">
        <f t="shared" si="374"/>
        <v>Yes</v>
      </c>
      <c r="AV1088" s="12">
        <f>IFERROR(VLOOKUP(D1088,'Receivable Invoice Detail'!$S$1:$U$3014,3,FALSE),0)</f>
        <v>0</v>
      </c>
      <c r="AW1088" s="12">
        <f t="shared" si="375"/>
        <v>3259.9445926900221</v>
      </c>
    </row>
    <row r="1089" spans="1:49" ht="30" x14ac:dyDescent="0.25">
      <c r="A1089" s="2">
        <v>1</v>
      </c>
      <c r="B1089" s="2" t="s">
        <v>6180</v>
      </c>
      <c r="C1089" s="2" t="s">
        <v>6181</v>
      </c>
      <c r="D1089" s="2" t="s">
        <v>6321</v>
      </c>
      <c r="E1089" s="2" t="s">
        <v>129</v>
      </c>
      <c r="F1089" s="3">
        <v>45945.779467592591</v>
      </c>
      <c r="G1089" s="3">
        <v>45945.778935185182</v>
      </c>
      <c r="H1089" s="4">
        <v>45978</v>
      </c>
      <c r="I1089" s="2" t="s">
        <v>130</v>
      </c>
      <c r="J1089" s="2" t="s">
        <v>51</v>
      </c>
      <c r="K1089" s="2">
        <v>0.71286476201025195</v>
      </c>
      <c r="L1089" s="2">
        <v>154.30696797216359</v>
      </c>
      <c r="M1089" s="2">
        <v>0</v>
      </c>
      <c r="N1089" s="2">
        <v>110</v>
      </c>
      <c r="O1089" s="2">
        <v>110</v>
      </c>
      <c r="P1089" s="2"/>
      <c r="Q1089" s="2">
        <v>110</v>
      </c>
      <c r="R1089" s="2" t="s">
        <v>44</v>
      </c>
      <c r="S1089" s="2"/>
      <c r="T1089" s="2">
        <f t="shared" si="357"/>
        <v>1</v>
      </c>
      <c r="U1089" s="18">
        <f t="shared" si="358"/>
        <v>10</v>
      </c>
      <c r="V1089" s="18">
        <f t="shared" si="359"/>
        <v>2025</v>
      </c>
      <c r="W1089" s="18" t="str">
        <f t="shared" si="360"/>
        <v/>
      </c>
      <c r="X1089" s="18" t="str">
        <f t="shared" si="361"/>
        <v/>
      </c>
      <c r="Y1089" s="2">
        <f t="shared" si="354"/>
        <v>0.71286476201025217</v>
      </c>
      <c r="Z1089" t="str">
        <f t="shared" si="355"/>
        <v>SO18059</v>
      </c>
      <c r="AA1089" s="11">
        <f t="shared" si="362"/>
        <v>45945.779467592591</v>
      </c>
      <c r="AB1089" s="5" t="str">
        <f t="shared" si="363"/>
        <v>INV13821</v>
      </c>
      <c r="AC1089" s="5" t="str">
        <f>IFERROR(VLOOKUP(D1089,CAARStatus!$A$2:$AA$1600,22,FALSE),"Not invoiced")</f>
        <v>Not invoiced</v>
      </c>
      <c r="AD1089" s="11" t="str">
        <f>IF(AC1089="Paid",IFERROR(VLOOKUP(D1089,CAARStatus!$A$2:$AA$1600,6,FALSE),"Pending"),"Pending")</f>
        <v>Pending</v>
      </c>
      <c r="AE1089" s="5" t="str">
        <f t="shared" si="364"/>
        <v>OC00216</v>
      </c>
      <c r="AF1089" s="5" t="str">
        <f t="shared" si="365"/>
        <v>Dynapro Pumps México S de RL de CV</v>
      </c>
      <c r="AG1089" s="5" t="str">
        <f t="shared" si="366"/>
        <v>USD</v>
      </c>
      <c r="AH1089" s="5">
        <f t="shared" si="367"/>
        <v>154.30696797216365</v>
      </c>
      <c r="AI1089" s="12">
        <f>IF(L1089-N1089=0,VLOOKUP(U1089,rate!A$4:B$15,2,FALSE)*AH1089,IF(AG1089="USD",O1089,AH1089*Y1089))</f>
        <v>110</v>
      </c>
      <c r="AJ1089" s="13">
        <f t="shared" si="368"/>
        <v>0.71286476201025184</v>
      </c>
      <c r="AK1089" s="13">
        <f>-IF(AG1089="CAD",IFERROR(VLOOKUP(D1089,CAARStatus!$A$1:$Y$1600,16,FALSE),0),0)</f>
        <v>0</v>
      </c>
      <c r="AL1089" s="13">
        <f>-IF(AG1089="USD",IFERROR(VLOOKUP(D1089,CAARStatus!$A$1:$Y$1600,11,FALSE),0),0)</f>
        <v>0</v>
      </c>
      <c r="AM1089" s="22" t="str">
        <f t="shared" si="369"/>
        <v/>
      </c>
      <c r="AN1089" s="12">
        <f t="shared" si="370"/>
        <v>110</v>
      </c>
      <c r="AO1089" s="12" t="str">
        <f t="shared" si="371"/>
        <v>Pend</v>
      </c>
      <c r="AP1089" t="str">
        <f t="shared" si="356"/>
        <v>Pend</v>
      </c>
      <c r="AQ1089" t="str">
        <f>IFERROR(VLOOKUP(Z1089,InvBal!$L$4:$P$600,4,FALSE),"Pend")</f>
        <v>Pend</v>
      </c>
      <c r="AR1089" t="str">
        <f>IFERROR(VLOOKUP(D1089,Manual!$C$1:$E$22,2,FALSE),"Pend")</f>
        <v>Pend</v>
      </c>
      <c r="AS1089" t="str">
        <f t="shared" si="372"/>
        <v/>
      </c>
      <c r="AT1089" t="str">
        <f t="shared" si="373"/>
        <v>Yes</v>
      </c>
      <c r="AU1089" s="51" t="str">
        <f t="shared" si="374"/>
        <v/>
      </c>
      <c r="AV1089" s="12">
        <f>IFERROR(VLOOKUP(D1089,'Receivable Invoice Detail'!$S$1:$U$3014,3,FALSE),0)</f>
        <v>0</v>
      </c>
      <c r="AW1089" s="12">
        <f t="shared" si="375"/>
        <v>0</v>
      </c>
    </row>
    <row r="1090" spans="1:49" x14ac:dyDescent="0.25">
      <c r="A1090" s="2">
        <v>0</v>
      </c>
      <c r="B1090" s="2" t="s">
        <v>370</v>
      </c>
      <c r="C1090" s="2" t="s">
        <v>371</v>
      </c>
      <c r="D1090" s="2"/>
      <c r="E1090" s="2" t="s">
        <v>372</v>
      </c>
      <c r="F1090" s="3">
        <v>45946.345000000001</v>
      </c>
      <c r="G1090" s="3">
        <v>45951.405162037037</v>
      </c>
      <c r="H1090" s="4">
        <v>46098</v>
      </c>
      <c r="I1090" s="2" t="s">
        <v>21</v>
      </c>
      <c r="J1090" s="2" t="s">
        <v>22</v>
      </c>
      <c r="K1090" s="2">
        <v>1</v>
      </c>
      <c r="L1090" s="2">
        <v>4167.47</v>
      </c>
      <c r="M1090" s="2">
        <v>0</v>
      </c>
      <c r="N1090" s="2">
        <v>2974.085532896846</v>
      </c>
      <c r="O1090" s="2">
        <v>3969.02</v>
      </c>
      <c r="P1090" s="2">
        <v>198.45</v>
      </c>
      <c r="Q1090" s="2">
        <v>4167.47</v>
      </c>
      <c r="R1090" s="2" t="s">
        <v>29</v>
      </c>
      <c r="S1090" s="2"/>
      <c r="T1090" s="2">
        <f t="shared" si="357"/>
        <v>0</v>
      </c>
      <c r="U1090" s="18">
        <f t="shared" si="358"/>
        <v>10</v>
      </c>
      <c r="V1090" s="18">
        <f t="shared" si="359"/>
        <v>2025</v>
      </c>
      <c r="W1090" s="18" t="str">
        <f t="shared" si="360"/>
        <v/>
      </c>
      <c r="X1090" s="18" t="str">
        <f t="shared" si="361"/>
        <v/>
      </c>
      <c r="Y1090" s="2">
        <f t="shared" ref="Y1090:Y1153" si="376">IF(C1090="",Y1089,N1090/L1090)</f>
        <v>0.7136429375368859</v>
      </c>
      <c r="Z1090" t="str">
        <f t="shared" ref="Z1090:Z1153" si="377">IF(B1090="",Z1089,B1090)</f>
        <v>SO18062</v>
      </c>
      <c r="AA1090" s="11">
        <f t="shared" si="362"/>
        <v>45946.345000000001</v>
      </c>
      <c r="AB1090" s="5" t="str">
        <f t="shared" si="363"/>
        <v>No Inv</v>
      </c>
      <c r="AC1090" s="5" t="str">
        <f>IFERROR(VLOOKUP(D1090,CAARStatus!$A$2:$AA$1600,22,FALSE),"Not invoiced")</f>
        <v>Not invoiced</v>
      </c>
      <c r="AD1090" s="11" t="str">
        <f>IF(AC1090="Paid",IFERROR(VLOOKUP(D1090,CAARStatus!$A$2:$AA$1600,6,FALSE),"Pending"),"Pending")</f>
        <v>Pending</v>
      </c>
      <c r="AE1090" s="5" t="str">
        <f t="shared" si="364"/>
        <v>133169</v>
      </c>
      <c r="AF1090" s="5" t="str">
        <f t="shared" si="365"/>
        <v>Cypress Sales Partnership</v>
      </c>
      <c r="AG1090" s="5" t="str">
        <f t="shared" si="366"/>
        <v>CAD</v>
      </c>
      <c r="AH1090" s="5">
        <f t="shared" si="367"/>
        <v>3969.02</v>
      </c>
      <c r="AI1090" s="12">
        <f>IF(L1090-N1090=0,VLOOKUP(U1090,rate!A$4:B$15,2,FALSE)*AH1090,IF(AG1090="USD",O1090,AH1090*Y1090))</f>
        <v>2832.4630919426509</v>
      </c>
      <c r="AJ1090" s="13">
        <f t="shared" si="368"/>
        <v>0.7136429375368859</v>
      </c>
      <c r="AK1090" s="13">
        <f>-IF(AG1090="CAD",IFERROR(VLOOKUP(D1090,CAARStatus!$A$1:$Y$1600,16,FALSE),0),0)</f>
        <v>0</v>
      </c>
      <c r="AL1090" s="13">
        <f>-IF(AG1090="USD",IFERROR(VLOOKUP(D1090,CAARStatus!$A$1:$Y$1600,11,FALSE),0),0)</f>
        <v>0</v>
      </c>
      <c r="AM1090" s="22">
        <f t="shared" si="369"/>
        <v>3969.02</v>
      </c>
      <c r="AN1090" s="12" t="str">
        <f t="shared" si="370"/>
        <v/>
      </c>
      <c r="AO1090" s="12" t="str">
        <f t="shared" si="371"/>
        <v>Pend</v>
      </c>
      <c r="AP1090" t="str">
        <f t="shared" ref="AP1090:AP1153" si="378">IF(AND(AO1090="Pend",T1090&lt;2),"Pend",IF(T1090=1,"Yes","XX"))</f>
        <v>Pend</v>
      </c>
      <c r="AQ1090" t="str">
        <f>IFERROR(VLOOKUP(Z1090,InvBal!$L$4:$P$600,4,FALSE),"Pend")</f>
        <v>Pend</v>
      </c>
      <c r="AR1090" t="str">
        <f>IFERROR(VLOOKUP(D1090,Manual!$C$1:$E$22,2,FALSE),"Pend")</f>
        <v>Pend</v>
      </c>
      <c r="AS1090" t="str">
        <f t="shared" si="372"/>
        <v/>
      </c>
      <c r="AT1090" t="str">
        <f t="shared" si="373"/>
        <v/>
      </c>
      <c r="AU1090" s="51" t="str">
        <f t="shared" si="374"/>
        <v/>
      </c>
      <c r="AV1090" s="12">
        <f>IFERROR(VLOOKUP(D1090,'Receivable Invoice Detail'!$S$1:$U$3014,3,FALSE),0)</f>
        <v>0</v>
      </c>
      <c r="AW1090" s="12">
        <f t="shared" si="375"/>
        <v>0</v>
      </c>
    </row>
    <row r="1091" spans="1:49" ht="30" x14ac:dyDescent="0.25">
      <c r="A1091" s="2">
        <v>1</v>
      </c>
      <c r="B1091" s="2" t="s">
        <v>6182</v>
      </c>
      <c r="C1091" s="2" t="s">
        <v>6183</v>
      </c>
      <c r="D1091" s="2" t="s">
        <v>6322</v>
      </c>
      <c r="E1091" s="2" t="s">
        <v>129</v>
      </c>
      <c r="F1091" s="3">
        <v>45946.553252314807</v>
      </c>
      <c r="G1091" s="3">
        <v>45946.552673611113</v>
      </c>
      <c r="H1091" s="4">
        <v>45958</v>
      </c>
      <c r="I1091" s="2" t="s">
        <v>130</v>
      </c>
      <c r="J1091" s="2" t="s">
        <v>51</v>
      </c>
      <c r="K1091" s="2">
        <v>0.71199472406747455</v>
      </c>
      <c r="L1091" s="2">
        <v>386.23881709260911</v>
      </c>
      <c r="M1091" s="2">
        <v>0</v>
      </c>
      <c r="N1091" s="2">
        <v>275</v>
      </c>
      <c r="O1091" s="2">
        <v>275</v>
      </c>
      <c r="P1091" s="2"/>
      <c r="Q1091" s="2">
        <v>275</v>
      </c>
      <c r="R1091" s="2" t="s">
        <v>44</v>
      </c>
      <c r="S1091" s="2"/>
      <c r="T1091" s="2">
        <f t="shared" ref="T1091:T1154" si="379">IF(A1091="",T1090,A1091)</f>
        <v>1</v>
      </c>
      <c r="U1091" s="18">
        <f t="shared" ref="U1091:U1154" si="380">IF(F1091="",U1090,MONTH(F1091))</f>
        <v>10</v>
      </c>
      <c r="V1091" s="18">
        <f t="shared" ref="V1091:V1154" si="381">IF(F1091="",V1090,YEAR(F1091))</f>
        <v>2025</v>
      </c>
      <c r="W1091" s="18" t="str">
        <f t="shared" ref="W1091:W1154" si="382">IF(AC1091="Paid",MONTH(AD1091),"")</f>
        <v/>
      </c>
      <c r="X1091" s="18" t="str">
        <f t="shared" ref="X1091:X1154" si="383">IF(AC1091="Paid",YEAR(AD1091),"")</f>
        <v/>
      </c>
      <c r="Y1091" s="2">
        <f t="shared" si="376"/>
        <v>0.71199472406747455</v>
      </c>
      <c r="Z1091" t="str">
        <f t="shared" si="377"/>
        <v>SO18065</v>
      </c>
      <c r="AA1091" s="11">
        <f t="shared" ref="AA1091:AA1154" si="384">IF(F1091="",AA1090,F1091)</f>
        <v>45946.553252314807</v>
      </c>
      <c r="AB1091" s="5" t="str">
        <f t="shared" ref="AB1091:AB1154" si="385">IF(D1091="","No Inv",D1091)</f>
        <v>INV13822</v>
      </c>
      <c r="AC1091" s="5" t="str">
        <f>IFERROR(VLOOKUP(D1091,CAARStatus!$A$2:$AA$1600,22,FALSE),"Not invoiced")</f>
        <v>Not invoiced</v>
      </c>
      <c r="AD1091" s="11" t="str">
        <f>IF(AC1091="Paid",IFERROR(VLOOKUP(D1091,CAARStatus!$A$2:$AA$1600,6,FALSE),"Pending"),"Pending")</f>
        <v>Pending</v>
      </c>
      <c r="AE1091" s="5" t="str">
        <f t="shared" ref="AE1091:AE1154" si="386">IF(C1091="",AE1090,C1091)</f>
        <v>OC00217</v>
      </c>
      <c r="AF1091" s="5" t="str">
        <f t="shared" ref="AF1091:AF1154" si="387">IF(E1091="",AF1090,E1091)</f>
        <v>Dynapro Pumps México S de RL de CV</v>
      </c>
      <c r="AG1091" s="5" t="str">
        <f t="shared" ref="AG1091:AG1154" si="388">IF(J1091="",AG1090,J1091)</f>
        <v>USD</v>
      </c>
      <c r="AH1091" s="5">
        <f t="shared" ref="AH1091:AH1154" si="389">IFERROR(IF(AG1091="CAD",O1091,O1091/K1091),0)</f>
        <v>386.23881709260911</v>
      </c>
      <c r="AI1091" s="12">
        <f>IF(L1091-N1091=0,VLOOKUP(U1091,rate!A$4:B$15,2,FALSE)*AH1091,IF(AG1091="USD",O1091,AH1091*Y1091))</f>
        <v>275</v>
      </c>
      <c r="AJ1091" s="13">
        <f t="shared" ref="AJ1091:AJ1154" si="390">IFERROR(AI1091/AH1091,0)</f>
        <v>0.71199472406747455</v>
      </c>
      <c r="AK1091" s="13">
        <f>-IF(AG1091="CAD",IFERROR(VLOOKUP(D1091,CAARStatus!$A$1:$Y$1600,16,FALSE),0),0)</f>
        <v>0</v>
      </c>
      <c r="AL1091" s="13">
        <f>-IF(AG1091="USD",IFERROR(VLOOKUP(D1091,CAARStatus!$A$1:$Y$1600,11,FALSE),0),0)</f>
        <v>0</v>
      </c>
      <c r="AM1091" s="22" t="str">
        <f t="shared" ref="AM1091:AM1154" si="391">IF(AG1091="CAD",AH1091+AK1091,"")</f>
        <v/>
      </c>
      <c r="AN1091" s="12">
        <f t="shared" ref="AN1091:AN1154" si="392">IF(AG1091="USD",AI1091+AL1091,"")</f>
        <v>275</v>
      </c>
      <c r="AO1091" s="12" t="str">
        <f t="shared" ref="AO1091:AO1154" si="393">IF(AC1091="Paid","Yes","Pend")</f>
        <v>Pend</v>
      </c>
      <c r="AP1091" t="str">
        <f t="shared" si="378"/>
        <v>Pend</v>
      </c>
      <c r="AQ1091" t="str">
        <f>IFERROR(VLOOKUP(Z1091,InvBal!$L$4:$P$600,4,FALSE),"Pend")</f>
        <v>Pend</v>
      </c>
      <c r="AR1091" t="str">
        <f>IFERROR(VLOOKUP(D1091,Manual!$C$1:$E$22,2,FALSE),"Pend")</f>
        <v>Pend</v>
      </c>
      <c r="AS1091" t="str">
        <f t="shared" ref="AS1091:AS1154" si="394">IF(OR(AP1091="Yes",AQ1091="Yes",AR1091="Yes"),"Yes","")</f>
        <v/>
      </c>
      <c r="AT1091" t="str">
        <f t="shared" ref="AT1091:AT1154" si="395">IF(R1091="Delivered","Yes","")</f>
        <v>Yes</v>
      </c>
      <c r="AU1091" s="51" t="str">
        <f t="shared" ref="AU1091:AU1154" si="396">IF(AND(AS1091="Yes",AT1091="Yes"),"Yes","")</f>
        <v/>
      </c>
      <c r="AV1091" s="12">
        <f>IFERROR(VLOOKUP(D1091,'Receivable Invoice Detail'!$S$1:$U$3014,3,FALSE),0)</f>
        <v>0</v>
      </c>
      <c r="AW1091" s="12">
        <f t="shared" ref="AW1091:AW1154" si="397">IF(AU1091="Yes",AI1091-AV1091,0)</f>
        <v>0</v>
      </c>
    </row>
    <row r="1092" spans="1:49" ht="30" x14ac:dyDescent="0.25">
      <c r="A1092" s="2">
        <v>1</v>
      </c>
      <c r="B1092" s="2" t="s">
        <v>164</v>
      </c>
      <c r="C1092" s="2" t="s">
        <v>165</v>
      </c>
      <c r="D1092" s="2" t="s">
        <v>5989</v>
      </c>
      <c r="E1092" s="2" t="s">
        <v>166</v>
      </c>
      <c r="F1092" s="3">
        <v>45946.580462962957</v>
      </c>
      <c r="G1092" s="3">
        <v>45979.538703703707</v>
      </c>
      <c r="H1092" s="4">
        <v>46007</v>
      </c>
      <c r="I1092" s="2" t="s">
        <v>36</v>
      </c>
      <c r="J1092" s="2" t="s">
        <v>22</v>
      </c>
      <c r="K1092" s="2">
        <v>1</v>
      </c>
      <c r="L1092" s="2">
        <v>4655.6000000000004</v>
      </c>
      <c r="M1092" s="2">
        <v>0</v>
      </c>
      <c r="N1092" s="2">
        <v>3326.2712357904888</v>
      </c>
      <c r="O1092" s="2">
        <v>4120</v>
      </c>
      <c r="P1092" s="2">
        <v>535.6</v>
      </c>
      <c r="Q1092" s="2">
        <v>4655.6000000000004</v>
      </c>
      <c r="R1092" s="2" t="s">
        <v>44</v>
      </c>
      <c r="S1092" s="2"/>
      <c r="T1092" s="2">
        <f t="shared" si="379"/>
        <v>1</v>
      </c>
      <c r="U1092" s="18">
        <f t="shared" si="380"/>
        <v>10</v>
      </c>
      <c r="V1092" s="18">
        <f t="shared" si="381"/>
        <v>2025</v>
      </c>
      <c r="W1092" s="18">
        <f t="shared" si="382"/>
        <v>12</v>
      </c>
      <c r="X1092" s="18">
        <f t="shared" si="383"/>
        <v>2025</v>
      </c>
      <c r="Y1092" s="2">
        <f t="shared" si="376"/>
        <v>0.71446671444937038</v>
      </c>
      <c r="Z1092" t="str">
        <f t="shared" si="377"/>
        <v>SO18066</v>
      </c>
      <c r="AA1092" s="11">
        <f t="shared" si="384"/>
        <v>45946.580462962957</v>
      </c>
      <c r="AB1092" s="5" t="str">
        <f t="shared" si="385"/>
        <v>INV13760</v>
      </c>
      <c r="AC1092" s="5" t="str">
        <f>IFERROR(VLOOKUP(D1092,CAARStatus!$A$2:$AA$1600,22,FALSE),"Not invoiced")</f>
        <v>Paid</v>
      </c>
      <c r="AD1092" s="11">
        <f>IF(AC1092="Paid",IFERROR(VLOOKUP(D1092,CAARStatus!$A$2:$AA$1600,6,FALSE),"Pending"),"Pending")</f>
        <v>46000</v>
      </c>
      <c r="AE1092" s="5" t="str">
        <f t="shared" si="386"/>
        <v>1229</v>
      </c>
      <c r="AF1092" s="5" t="str">
        <f t="shared" si="387"/>
        <v>Beaudoin Protective Coating &amp; Fabrication</v>
      </c>
      <c r="AG1092" s="5" t="str">
        <f t="shared" si="388"/>
        <v>CAD</v>
      </c>
      <c r="AH1092" s="5">
        <f t="shared" si="389"/>
        <v>4120</v>
      </c>
      <c r="AI1092" s="12">
        <f>IF(L1092-N1092=0,VLOOKUP(U1092,rate!A$4:B$15,2,FALSE)*AH1092,IF(AG1092="USD",O1092,AH1092*Y1092))</f>
        <v>2943.602863531406</v>
      </c>
      <c r="AJ1092" s="13">
        <f t="shared" si="390"/>
        <v>0.71446671444937038</v>
      </c>
      <c r="AK1092" s="13">
        <f>-IF(AG1092="CAD",IFERROR(VLOOKUP(D1092,CAARStatus!$A$1:$Y$1600,16,FALSE),0),0)</f>
        <v>-4120</v>
      </c>
      <c r="AL1092" s="13">
        <f>-IF(AG1092="USD",IFERROR(VLOOKUP(D1092,CAARStatus!$A$1:$Y$1600,11,FALSE),0),0)</f>
        <v>0</v>
      </c>
      <c r="AM1092" s="22">
        <f t="shared" si="391"/>
        <v>0</v>
      </c>
      <c r="AN1092" s="12" t="str">
        <f t="shared" si="392"/>
        <v/>
      </c>
      <c r="AO1092" s="12" t="str">
        <f t="shared" si="393"/>
        <v>Yes</v>
      </c>
      <c r="AP1092" t="str">
        <f t="shared" si="378"/>
        <v>Yes</v>
      </c>
      <c r="AQ1092" t="str">
        <f>IFERROR(VLOOKUP(Z1092,InvBal!$L$4:$P$600,4,FALSE),"Pend")</f>
        <v>Pend</v>
      </c>
      <c r="AR1092" t="str">
        <f>IFERROR(VLOOKUP(D1092,Manual!$C$1:$E$22,2,FALSE),"Pend")</f>
        <v>Pend</v>
      </c>
      <c r="AS1092" t="str">
        <f t="shared" si="394"/>
        <v>Yes</v>
      </c>
      <c r="AT1092" t="str">
        <f t="shared" si="395"/>
        <v>Yes</v>
      </c>
      <c r="AU1092" s="51" t="str">
        <f t="shared" si="396"/>
        <v>Yes</v>
      </c>
      <c r="AV1092" s="12">
        <f>IFERROR(VLOOKUP(D1092,'Receivable Invoice Detail'!$S$1:$U$3014,3,FALSE),0)</f>
        <v>0</v>
      </c>
      <c r="AW1092" s="12">
        <f t="shared" si="397"/>
        <v>2943.602863531406</v>
      </c>
    </row>
    <row r="1093" spans="1:49" x14ac:dyDescent="0.25">
      <c r="A1093" s="2">
        <v>1</v>
      </c>
      <c r="B1093" s="2" t="s">
        <v>360</v>
      </c>
      <c r="C1093" s="2" t="s">
        <v>361</v>
      </c>
      <c r="D1093" s="2" t="s">
        <v>3303</v>
      </c>
      <c r="E1093" s="2" t="s">
        <v>316</v>
      </c>
      <c r="F1093" s="3">
        <v>45946.664340277777</v>
      </c>
      <c r="G1093" s="3">
        <v>45952.715648148151</v>
      </c>
      <c r="H1093" s="4">
        <v>45959</v>
      </c>
      <c r="I1093" s="2" t="s">
        <v>74</v>
      </c>
      <c r="J1093" s="2" t="s">
        <v>22</v>
      </c>
      <c r="K1093" s="2">
        <v>1</v>
      </c>
      <c r="L1093" s="2">
        <v>2350.9499999999998</v>
      </c>
      <c r="M1093" s="2">
        <v>2350.9499999999998</v>
      </c>
      <c r="N1093" s="2">
        <v>2350.9499999999998</v>
      </c>
      <c r="O1093" s="2">
        <v>2239</v>
      </c>
      <c r="P1093" s="2">
        <v>111.95</v>
      </c>
      <c r="Q1093" s="2">
        <v>2350.9499999999998</v>
      </c>
      <c r="R1093" s="2" t="s">
        <v>44</v>
      </c>
      <c r="S1093" s="2"/>
      <c r="T1093" s="2">
        <f t="shared" si="379"/>
        <v>1</v>
      </c>
      <c r="U1093" s="18">
        <f t="shared" si="380"/>
        <v>10</v>
      </c>
      <c r="V1093" s="18">
        <f t="shared" si="381"/>
        <v>2025</v>
      </c>
      <c r="W1093" s="18">
        <f t="shared" si="382"/>
        <v>12</v>
      </c>
      <c r="X1093" s="18">
        <f t="shared" si="383"/>
        <v>2025</v>
      </c>
      <c r="Y1093" s="2">
        <f t="shared" si="376"/>
        <v>1</v>
      </c>
      <c r="Z1093" t="str">
        <f t="shared" si="377"/>
        <v>SO18068</v>
      </c>
      <c r="AA1093" s="11">
        <f t="shared" si="384"/>
        <v>45946.664340277777</v>
      </c>
      <c r="AB1093" s="5" t="str">
        <f t="shared" si="385"/>
        <v>INV13562</v>
      </c>
      <c r="AC1093" s="5" t="str">
        <f>IFERROR(VLOOKUP(D1093,CAARStatus!$A$2:$AA$1600,22,FALSE),"Not invoiced")</f>
        <v>Paid</v>
      </c>
      <c r="AD1093" s="11">
        <f>IF(AC1093="Paid",IFERROR(VLOOKUP(D1093,CAARStatus!$A$2:$AA$1600,6,FALSE),"Pending"),"Pending")</f>
        <v>46003</v>
      </c>
      <c r="AE1093" s="5" t="str">
        <f t="shared" si="386"/>
        <v>10662</v>
      </c>
      <c r="AF1093" s="5" t="str">
        <f t="shared" si="387"/>
        <v>Canadian Industrial Pumps Ltd</v>
      </c>
      <c r="AG1093" s="5" t="str">
        <f t="shared" si="388"/>
        <v>CAD</v>
      </c>
      <c r="AH1093" s="5">
        <f t="shared" si="389"/>
        <v>2239</v>
      </c>
      <c r="AI1093" s="12">
        <f>IF(L1093-N1093=0,VLOOKUP(U1093,rate!A$4:B$15,2,FALSE)*AH1093,IF(AG1093="USD",O1093,AH1093*Y1093))</f>
        <v>1601.3742835150208</v>
      </c>
      <c r="AJ1093" s="13">
        <f t="shared" si="390"/>
        <v>0.71521852769764216</v>
      </c>
      <c r="AK1093" s="13">
        <f>-IF(AG1093="CAD",IFERROR(VLOOKUP(D1093,CAARStatus!$A$1:$Y$1600,16,FALSE),0),0)</f>
        <v>-2239</v>
      </c>
      <c r="AL1093" s="13">
        <f>-IF(AG1093="USD",IFERROR(VLOOKUP(D1093,CAARStatus!$A$1:$Y$1600,11,FALSE),0),0)</f>
        <v>0</v>
      </c>
      <c r="AM1093" s="22">
        <f t="shared" si="391"/>
        <v>0</v>
      </c>
      <c r="AN1093" s="12" t="str">
        <f t="shared" si="392"/>
        <v/>
      </c>
      <c r="AO1093" s="12" t="str">
        <f t="shared" si="393"/>
        <v>Yes</v>
      </c>
      <c r="AP1093" t="str">
        <f t="shared" si="378"/>
        <v>Yes</v>
      </c>
      <c r="AQ1093" t="str">
        <f>IFERROR(VLOOKUP(Z1093,InvBal!$L$4:$P$600,4,FALSE),"Pend")</f>
        <v>Pend</v>
      </c>
      <c r="AR1093" t="str">
        <f>IFERROR(VLOOKUP(D1093,Manual!$C$1:$E$22,2,FALSE),"Pend")</f>
        <v>Pend</v>
      </c>
      <c r="AS1093" t="str">
        <f t="shared" si="394"/>
        <v>Yes</v>
      </c>
      <c r="AT1093" t="str">
        <f t="shared" si="395"/>
        <v>Yes</v>
      </c>
      <c r="AU1093" s="51" t="str">
        <f t="shared" si="396"/>
        <v>Yes</v>
      </c>
      <c r="AV1093" s="12">
        <f>IFERROR(VLOOKUP(D1093,'Receivable Invoice Detail'!$S$1:$U$3014,3,FALSE),0)</f>
        <v>0</v>
      </c>
      <c r="AW1093" s="12">
        <f t="shared" si="397"/>
        <v>1601.3742835150208</v>
      </c>
    </row>
    <row r="1094" spans="1:49" x14ac:dyDescent="0.25">
      <c r="A1094" s="2">
        <v>1</v>
      </c>
      <c r="B1094" s="2" t="s">
        <v>383</v>
      </c>
      <c r="C1094" s="2" t="s">
        <v>384</v>
      </c>
      <c r="D1094" s="2" t="s">
        <v>3295</v>
      </c>
      <c r="E1094" s="2" t="s">
        <v>229</v>
      </c>
      <c r="F1094" s="3">
        <v>45946.681481481479</v>
      </c>
      <c r="G1094" s="3">
        <v>45947.615868055553</v>
      </c>
      <c r="H1094" s="4">
        <v>46020</v>
      </c>
      <c r="I1094" s="2" t="s">
        <v>40</v>
      </c>
      <c r="J1094" s="2" t="s">
        <v>22</v>
      </c>
      <c r="K1094" s="2">
        <v>1</v>
      </c>
      <c r="L1094" s="2">
        <v>111.47</v>
      </c>
      <c r="M1094" s="2">
        <v>0</v>
      </c>
      <c r="N1094" s="2">
        <v>79.353426383668804</v>
      </c>
      <c r="O1094" s="2">
        <v>106.16</v>
      </c>
      <c r="P1094" s="2">
        <v>5.31</v>
      </c>
      <c r="Q1094" s="2">
        <v>111.47</v>
      </c>
      <c r="R1094" s="2" t="s">
        <v>126</v>
      </c>
      <c r="S1094" s="2"/>
      <c r="T1094" s="2">
        <f t="shared" si="379"/>
        <v>1</v>
      </c>
      <c r="U1094" s="18">
        <f t="shared" si="380"/>
        <v>10</v>
      </c>
      <c r="V1094" s="18">
        <f t="shared" si="381"/>
        <v>2025</v>
      </c>
      <c r="W1094" s="18">
        <f t="shared" si="382"/>
        <v>1</v>
      </c>
      <c r="X1094" s="18">
        <f t="shared" si="383"/>
        <v>2026</v>
      </c>
      <c r="Y1094" s="2">
        <f t="shared" si="376"/>
        <v>0.71188146033613353</v>
      </c>
      <c r="Z1094" t="str">
        <f t="shared" si="377"/>
        <v>SO18069</v>
      </c>
      <c r="AA1094" s="11">
        <f t="shared" si="384"/>
        <v>45946.681481481479</v>
      </c>
      <c r="AB1094" s="5" t="str">
        <f t="shared" si="385"/>
        <v>INV13634</v>
      </c>
      <c r="AC1094" s="5" t="str">
        <f>IFERROR(VLOOKUP(D1094,CAARStatus!$A$2:$AA$1600,22,FALSE),"Not invoiced")</f>
        <v>Paid</v>
      </c>
      <c r="AD1094" s="11">
        <f>IF(AC1094="Paid",IFERROR(VLOOKUP(D1094,CAARStatus!$A$2:$AA$1600,6,FALSE),"Pending"),"Pending")</f>
        <v>46024</v>
      </c>
      <c r="AE1094" s="5" t="str">
        <f t="shared" si="386"/>
        <v>2200111610</v>
      </c>
      <c r="AF1094" s="5" t="str">
        <f t="shared" si="387"/>
        <v>Wajax Limited - Lachine</v>
      </c>
      <c r="AG1094" s="5" t="str">
        <f t="shared" si="388"/>
        <v>CAD</v>
      </c>
      <c r="AH1094" s="5">
        <f t="shared" si="389"/>
        <v>106.16</v>
      </c>
      <c r="AI1094" s="12">
        <f>IF(L1094-N1094=0,VLOOKUP(U1094,rate!A$4:B$15,2,FALSE)*AH1094,IF(AG1094="USD",O1094,AH1094*Y1094))</f>
        <v>75.573335829283934</v>
      </c>
      <c r="AJ1094" s="13">
        <f t="shared" si="390"/>
        <v>0.71188146033613353</v>
      </c>
      <c r="AK1094" s="13">
        <f>-IF(AG1094="CAD",IFERROR(VLOOKUP(D1094,CAARStatus!$A$1:$Y$1600,16,FALSE),0),0)</f>
        <v>-32</v>
      </c>
      <c r="AL1094" s="13">
        <f>-IF(AG1094="USD",IFERROR(VLOOKUP(D1094,CAARStatus!$A$1:$Y$1600,11,FALSE),0),0)</f>
        <v>0</v>
      </c>
      <c r="AM1094" s="22">
        <f t="shared" si="391"/>
        <v>74.16</v>
      </c>
      <c r="AN1094" s="12" t="str">
        <f t="shared" si="392"/>
        <v/>
      </c>
      <c r="AO1094" s="12" t="str">
        <f t="shared" si="393"/>
        <v>Yes</v>
      </c>
      <c r="AP1094" t="str">
        <f t="shared" si="378"/>
        <v>Yes</v>
      </c>
      <c r="AQ1094" t="str">
        <f>IFERROR(VLOOKUP(Z1094,InvBal!$L$4:$P$600,4,FALSE),"Pend")</f>
        <v>Pend</v>
      </c>
      <c r="AR1094" t="str">
        <f>IFERROR(VLOOKUP(D1094,Manual!$C$1:$E$22,2,FALSE),"Pend")</f>
        <v>Pend</v>
      </c>
      <c r="AS1094" t="str">
        <f t="shared" si="394"/>
        <v>Yes</v>
      </c>
      <c r="AT1094" t="str">
        <f t="shared" si="395"/>
        <v/>
      </c>
      <c r="AU1094" s="51" t="str">
        <f t="shared" si="396"/>
        <v/>
      </c>
      <c r="AV1094" s="12">
        <f>IFERROR(VLOOKUP(D1094,'Receivable Invoice Detail'!$S$1:$U$3014,3,FALSE),0)</f>
        <v>0</v>
      </c>
      <c r="AW1094" s="12">
        <f t="shared" si="397"/>
        <v>0</v>
      </c>
    </row>
    <row r="1095" spans="1:49" ht="30" x14ac:dyDescent="0.25">
      <c r="A1095" s="2">
        <v>1</v>
      </c>
      <c r="B1095" s="2" t="s">
        <v>364</v>
      </c>
      <c r="C1095" s="2" t="s">
        <v>365</v>
      </c>
      <c r="D1095" s="2" t="s">
        <v>6029</v>
      </c>
      <c r="E1095" s="2" t="s">
        <v>366</v>
      </c>
      <c r="F1095" s="3">
        <v>45947.450972222221</v>
      </c>
      <c r="G1095" s="3">
        <v>45952.586400462962</v>
      </c>
      <c r="H1095" s="4">
        <v>45981</v>
      </c>
      <c r="I1095" s="2" t="s">
        <v>67</v>
      </c>
      <c r="J1095" s="2" t="s">
        <v>22</v>
      </c>
      <c r="K1095" s="2">
        <v>1</v>
      </c>
      <c r="L1095" s="2">
        <v>20340.650000000001</v>
      </c>
      <c r="M1095" s="2">
        <v>20340.650000000001</v>
      </c>
      <c r="N1095" s="2">
        <v>20340.650000000001</v>
      </c>
      <c r="O1095" s="2">
        <v>18033.48</v>
      </c>
      <c r="P1095" s="2">
        <v>2307.17</v>
      </c>
      <c r="Q1095" s="2">
        <v>20340.650000000001</v>
      </c>
      <c r="R1095" s="2" t="s">
        <v>44</v>
      </c>
      <c r="S1095" s="2"/>
      <c r="T1095" s="2">
        <f t="shared" si="379"/>
        <v>1</v>
      </c>
      <c r="U1095" s="18">
        <f t="shared" si="380"/>
        <v>10</v>
      </c>
      <c r="V1095" s="18">
        <f t="shared" si="381"/>
        <v>2025</v>
      </c>
      <c r="W1095" s="18" t="str">
        <f t="shared" si="382"/>
        <v/>
      </c>
      <c r="X1095" s="18" t="str">
        <f t="shared" si="383"/>
        <v/>
      </c>
      <c r="Y1095" s="2">
        <f t="shared" si="376"/>
        <v>1</v>
      </c>
      <c r="Z1095" t="str">
        <f t="shared" si="377"/>
        <v>SO18072</v>
      </c>
      <c r="AA1095" s="11">
        <f t="shared" si="384"/>
        <v>45947.450972222221</v>
      </c>
      <c r="AB1095" s="5" t="str">
        <f t="shared" si="385"/>
        <v>INV13780</v>
      </c>
      <c r="AC1095" s="5" t="str">
        <f>IFERROR(VLOOKUP(D1095,CAARStatus!$A$2:$AA$1600,22,FALSE),"Not invoiced")</f>
        <v>Approved</v>
      </c>
      <c r="AD1095" s="11" t="str">
        <f>IF(AC1095="Paid",IFERROR(VLOOKUP(D1095,CAARStatus!$A$2:$AA$1600,6,FALSE),"Pending"),"Pending")</f>
        <v>Pending</v>
      </c>
      <c r="AE1095" s="5" t="str">
        <f t="shared" si="386"/>
        <v>PO#5314</v>
      </c>
      <c r="AF1095" s="5" t="str">
        <f t="shared" si="387"/>
        <v>TC Industries of Canada Co., TC Industries of Canada Co.</v>
      </c>
      <c r="AG1095" s="5" t="str">
        <f t="shared" si="388"/>
        <v>CAD</v>
      </c>
      <c r="AH1095" s="5">
        <f t="shared" si="389"/>
        <v>18033.48</v>
      </c>
      <c r="AI1095" s="12">
        <f>IF(L1095-N1095=0,VLOOKUP(U1095,rate!A$4:B$15,2,FALSE)*AH1095,IF(AG1095="USD",O1095,AH1095*Y1095))</f>
        <v>12897.879014864875</v>
      </c>
      <c r="AJ1095" s="13">
        <f t="shared" si="390"/>
        <v>0.71521852769764216</v>
      </c>
      <c r="AK1095" s="13">
        <f>-IF(AG1095="CAD",IFERROR(VLOOKUP(D1095,CAARStatus!$A$1:$Y$1600,16,FALSE),0),0)</f>
        <v>-18033.48</v>
      </c>
      <c r="AL1095" s="13">
        <f>-IF(AG1095="USD",IFERROR(VLOOKUP(D1095,CAARStatus!$A$1:$Y$1600,11,FALSE),0),0)</f>
        <v>0</v>
      </c>
      <c r="AM1095" s="22">
        <f t="shared" si="391"/>
        <v>0</v>
      </c>
      <c r="AN1095" s="12" t="str">
        <f t="shared" si="392"/>
        <v/>
      </c>
      <c r="AO1095" s="12" t="str">
        <f t="shared" si="393"/>
        <v>Pend</v>
      </c>
      <c r="AP1095" t="str">
        <f t="shared" si="378"/>
        <v>Pend</v>
      </c>
      <c r="AQ1095" t="str">
        <f>IFERROR(VLOOKUP(Z1095,InvBal!$L$4:$P$600,4,FALSE),"Pend")</f>
        <v>Pend</v>
      </c>
      <c r="AR1095" t="str">
        <f>IFERROR(VLOOKUP(D1095,Manual!$C$1:$E$22,2,FALSE),"Pend")</f>
        <v>Pend</v>
      </c>
      <c r="AS1095" t="str">
        <f t="shared" si="394"/>
        <v/>
      </c>
      <c r="AT1095" t="str">
        <f t="shared" si="395"/>
        <v>Yes</v>
      </c>
      <c r="AU1095" s="51" t="str">
        <f t="shared" si="396"/>
        <v/>
      </c>
      <c r="AV1095" s="12">
        <f>IFERROR(VLOOKUP(D1095,'Receivable Invoice Detail'!$S$1:$U$3014,3,FALSE),0)</f>
        <v>286</v>
      </c>
      <c r="AW1095" s="12">
        <f t="shared" si="397"/>
        <v>0</v>
      </c>
    </row>
    <row r="1096" spans="1:49" x14ac:dyDescent="0.25">
      <c r="A1096" s="2">
        <v>1</v>
      </c>
      <c r="B1096" s="2" t="s">
        <v>342</v>
      </c>
      <c r="C1096" s="2" t="s">
        <v>343</v>
      </c>
      <c r="D1096" s="2" t="s">
        <v>3309</v>
      </c>
      <c r="E1096" s="2" t="s">
        <v>242</v>
      </c>
      <c r="F1096" s="3">
        <v>45947.457442129627</v>
      </c>
      <c r="G1096" s="3">
        <v>45957.605810185189</v>
      </c>
      <c r="H1096" s="4">
        <v>45959</v>
      </c>
      <c r="I1096" s="2" t="s">
        <v>40</v>
      </c>
      <c r="J1096" s="2" t="s">
        <v>22</v>
      </c>
      <c r="K1096" s="2">
        <v>1</v>
      </c>
      <c r="L1096" s="2">
        <v>155.12</v>
      </c>
      <c r="M1096" s="2">
        <v>155.12</v>
      </c>
      <c r="N1096" s="2">
        <v>155.12</v>
      </c>
      <c r="O1096" s="2">
        <v>147.72999999999999</v>
      </c>
      <c r="P1096" s="2">
        <v>7.39</v>
      </c>
      <c r="Q1096" s="2">
        <v>155.12</v>
      </c>
      <c r="R1096" s="2" t="s">
        <v>44</v>
      </c>
      <c r="S1096" s="2"/>
      <c r="T1096" s="2">
        <f t="shared" si="379"/>
        <v>1</v>
      </c>
      <c r="U1096" s="18">
        <f t="shared" si="380"/>
        <v>10</v>
      </c>
      <c r="V1096" s="18">
        <f t="shared" si="381"/>
        <v>2025</v>
      </c>
      <c r="W1096" s="18">
        <f t="shared" si="382"/>
        <v>12</v>
      </c>
      <c r="X1096" s="18">
        <f t="shared" si="383"/>
        <v>2025</v>
      </c>
      <c r="Y1096" s="2">
        <f t="shared" si="376"/>
        <v>1</v>
      </c>
      <c r="Z1096" t="str">
        <f t="shared" si="377"/>
        <v>SO18073</v>
      </c>
      <c r="AA1096" s="11">
        <f t="shared" si="384"/>
        <v>45947.457442129627</v>
      </c>
      <c r="AB1096" s="5" t="str">
        <f t="shared" si="385"/>
        <v>INV13565</v>
      </c>
      <c r="AC1096" s="5" t="str">
        <f>IFERROR(VLOOKUP(D1096,CAARStatus!$A$2:$AA$1600,22,FALSE),"Not invoiced")</f>
        <v>Paid</v>
      </c>
      <c r="AD1096" s="11">
        <f>IF(AC1096="Paid",IFERROR(VLOOKUP(D1096,CAARStatus!$A$2:$AA$1600,6,FALSE),"Pending"),"Pending")</f>
        <v>45995</v>
      </c>
      <c r="AE1096" s="5" t="str">
        <f t="shared" si="386"/>
        <v>2100680197</v>
      </c>
      <c r="AF1096" s="5" t="str">
        <f t="shared" si="387"/>
        <v>Wajax Limited - Noranda</v>
      </c>
      <c r="AG1096" s="5" t="str">
        <f t="shared" si="388"/>
        <v>CAD</v>
      </c>
      <c r="AH1096" s="5">
        <f t="shared" si="389"/>
        <v>147.72999999999999</v>
      </c>
      <c r="AI1096" s="12">
        <f>IF(L1096-N1096=0,VLOOKUP(U1096,rate!A$4:B$15,2,FALSE)*AH1096,IF(AG1096="USD",O1096,AH1096*Y1096))</f>
        <v>105.65923309677267</v>
      </c>
      <c r="AJ1096" s="13">
        <f t="shared" si="390"/>
        <v>0.71521852769764216</v>
      </c>
      <c r="AK1096" s="61">
        <f>IF(AC1096="Paid",-IF(AG1096="CAD",IFERROR(VLOOKUP(D1096,CAARStatus!$A$1:$Y$1600,16,FALSE),0),0),0)</f>
        <v>-147.72999999999999</v>
      </c>
      <c r="AL1096" s="61">
        <f>IF(AC1096="Paid",-IF(AG1096="USD",IFERROR(VLOOKUP(D1096,CAARStatus!$A$1:$Y$1600,11,FALSE),0),0),0)</f>
        <v>0</v>
      </c>
      <c r="AM1096" s="22">
        <f t="shared" si="391"/>
        <v>0</v>
      </c>
      <c r="AN1096" s="12" t="str">
        <f t="shared" si="392"/>
        <v/>
      </c>
      <c r="AO1096" s="12" t="str">
        <f t="shared" si="393"/>
        <v>Yes</v>
      </c>
      <c r="AP1096" t="str">
        <f t="shared" si="378"/>
        <v>Yes</v>
      </c>
      <c r="AQ1096" t="str">
        <f>IFERROR(VLOOKUP(Z1096,InvBal!$L$4:$P$600,4,FALSE),"Pend")</f>
        <v>Pend</v>
      </c>
      <c r="AR1096" t="str">
        <f>IFERROR(VLOOKUP(D1096,Manual!$C$1:$E$22,2,FALSE),"Pend")</f>
        <v>Pend</v>
      </c>
      <c r="AS1096" t="str">
        <f t="shared" si="394"/>
        <v>Yes</v>
      </c>
      <c r="AT1096" t="str">
        <f t="shared" si="395"/>
        <v>Yes</v>
      </c>
      <c r="AU1096" s="51" t="str">
        <f t="shared" si="396"/>
        <v>Yes</v>
      </c>
      <c r="AV1096" s="12">
        <f>IFERROR(VLOOKUP(D1096,'Receivable Invoice Detail'!$S$1:$U$3014,3,FALSE),0)</f>
        <v>0</v>
      </c>
      <c r="AW1096" s="12">
        <f t="shared" si="397"/>
        <v>105.65923309677267</v>
      </c>
    </row>
    <row r="1097" spans="1:49" x14ac:dyDescent="0.25">
      <c r="A1097" s="2">
        <v>1</v>
      </c>
      <c r="B1097" s="2" t="s">
        <v>381</v>
      </c>
      <c r="C1097" s="2" t="s">
        <v>382</v>
      </c>
      <c r="D1097" s="2" t="s">
        <v>3296</v>
      </c>
      <c r="E1097" s="2" t="s">
        <v>64</v>
      </c>
      <c r="F1097" s="3">
        <v>45947.62232638889</v>
      </c>
      <c r="G1097" s="3">
        <v>45947.62263888889</v>
      </c>
      <c r="H1097" s="4">
        <v>45950</v>
      </c>
      <c r="I1097" s="2" t="s">
        <v>21</v>
      </c>
      <c r="J1097" s="2" t="s">
        <v>22</v>
      </c>
      <c r="K1097" s="2">
        <v>1</v>
      </c>
      <c r="L1097" s="2">
        <v>271.67</v>
      </c>
      <c r="M1097" s="2">
        <v>0</v>
      </c>
      <c r="N1097" s="2">
        <v>193.39683632951741</v>
      </c>
      <c r="O1097" s="2">
        <v>240.42</v>
      </c>
      <c r="P1097" s="2">
        <v>31.25</v>
      </c>
      <c r="Q1097" s="2">
        <v>271.67</v>
      </c>
      <c r="R1097" s="2" t="s">
        <v>44</v>
      </c>
      <c r="S1097" s="2"/>
      <c r="T1097" s="2">
        <f t="shared" si="379"/>
        <v>1</v>
      </c>
      <c r="U1097" s="18">
        <f t="shared" si="380"/>
        <v>10</v>
      </c>
      <c r="V1097" s="18">
        <f t="shared" si="381"/>
        <v>2025</v>
      </c>
      <c r="W1097" s="18">
        <f t="shared" si="382"/>
        <v>11</v>
      </c>
      <c r="X1097" s="18">
        <f t="shared" si="383"/>
        <v>2025</v>
      </c>
      <c r="Y1097" s="2">
        <f t="shared" si="376"/>
        <v>0.71188146033613353</v>
      </c>
      <c r="Z1097" t="str">
        <f t="shared" si="377"/>
        <v>SO18076</v>
      </c>
      <c r="AA1097" s="11">
        <f t="shared" si="384"/>
        <v>45947.62232638889</v>
      </c>
      <c r="AB1097" s="5" t="str">
        <f t="shared" si="385"/>
        <v>INV13548</v>
      </c>
      <c r="AC1097" s="5" t="str">
        <f>IFERROR(VLOOKUP(D1097,CAARStatus!$A$2:$AA$1600,22,FALSE),"Not invoiced")</f>
        <v>Paid</v>
      </c>
      <c r="AD1097" s="11">
        <f>IF(AC1097="Paid",IFERROR(VLOOKUP(D1097,CAARStatus!$A$2:$AA$1600,6,FALSE),"Pending"),"Pending")</f>
        <v>45973</v>
      </c>
      <c r="AE1097" s="5" t="str">
        <f t="shared" si="386"/>
        <v>607062</v>
      </c>
      <c r="AF1097" s="5" t="str">
        <f t="shared" si="387"/>
        <v>Sealtrac Inc.</v>
      </c>
      <c r="AG1097" s="5" t="str">
        <f t="shared" si="388"/>
        <v>CAD</v>
      </c>
      <c r="AH1097" s="5">
        <f t="shared" si="389"/>
        <v>240.42</v>
      </c>
      <c r="AI1097" s="12">
        <f>IF(L1097-N1097=0,VLOOKUP(U1097,rate!A$4:B$15,2,FALSE)*AH1097,IF(AG1097="USD",O1097,AH1097*Y1097))</f>
        <v>171.15054069401322</v>
      </c>
      <c r="AJ1097" s="13">
        <f t="shared" si="390"/>
        <v>0.71188146033613353</v>
      </c>
      <c r="AK1097" s="61">
        <f>IF(AC1097="Paid",-IF(AG1097="CAD",IFERROR(VLOOKUP(D1097,CAARStatus!$A$1:$Y$1600,16,FALSE),0),0),0)</f>
        <v>-240.42</v>
      </c>
      <c r="AL1097" s="61">
        <f>IF(AC1097="Paid",-IF(AG1097="USD",IFERROR(VLOOKUP(D1097,CAARStatus!$A$1:$Y$1600,11,FALSE),0),0),0)</f>
        <v>0</v>
      </c>
      <c r="AM1097" s="22">
        <f t="shared" si="391"/>
        <v>0</v>
      </c>
      <c r="AN1097" s="12" t="str">
        <f t="shared" si="392"/>
        <v/>
      </c>
      <c r="AO1097" s="12" t="str">
        <f t="shared" si="393"/>
        <v>Yes</v>
      </c>
      <c r="AP1097" t="str">
        <f t="shared" si="378"/>
        <v>Yes</v>
      </c>
      <c r="AQ1097" t="str">
        <f>IFERROR(VLOOKUP(Z1097,InvBal!$L$4:$P$600,4,FALSE),"Pend")</f>
        <v>Pend</v>
      </c>
      <c r="AR1097" t="str">
        <f>IFERROR(VLOOKUP(D1097,Manual!$C$1:$E$22,2,FALSE),"Pend")</f>
        <v>Pend</v>
      </c>
      <c r="AS1097" t="str">
        <f t="shared" si="394"/>
        <v>Yes</v>
      </c>
      <c r="AT1097" t="str">
        <f t="shared" si="395"/>
        <v>Yes</v>
      </c>
      <c r="AU1097" s="51" t="str">
        <f t="shared" si="396"/>
        <v>Yes</v>
      </c>
      <c r="AV1097" s="12">
        <f>IFERROR(VLOOKUP(D1097,'Receivable Invoice Detail'!$S$1:$U$3014,3,FALSE),0)</f>
        <v>0</v>
      </c>
      <c r="AW1097" s="12">
        <f t="shared" si="397"/>
        <v>171.15054069401322</v>
      </c>
    </row>
    <row r="1098" spans="1:49" ht="30" x14ac:dyDescent="0.25">
      <c r="A1098" s="2">
        <v>1</v>
      </c>
      <c r="B1098" s="2" t="s">
        <v>379</v>
      </c>
      <c r="C1098" s="2" t="s">
        <v>380</v>
      </c>
      <c r="D1098" s="2" t="s">
        <v>3297</v>
      </c>
      <c r="E1098" s="2" t="s">
        <v>121</v>
      </c>
      <c r="F1098" s="3">
        <v>45947.737800925926</v>
      </c>
      <c r="G1098" s="3">
        <v>45947.743981481479</v>
      </c>
      <c r="H1098" s="4">
        <v>45961</v>
      </c>
      <c r="I1098" s="2" t="s">
        <v>21</v>
      </c>
      <c r="J1098" s="2" t="s">
        <v>22</v>
      </c>
      <c r="K1098" s="2">
        <v>1</v>
      </c>
      <c r="L1098" s="2">
        <v>5178.8900000000003</v>
      </c>
      <c r="M1098" s="2">
        <v>0</v>
      </c>
      <c r="N1098" s="2">
        <v>3686.7557761201988</v>
      </c>
      <c r="O1098" s="2">
        <v>4932.2700000000004</v>
      </c>
      <c r="P1098" s="2">
        <v>246.62</v>
      </c>
      <c r="Q1098" s="2">
        <v>5178.8900000000003</v>
      </c>
      <c r="R1098" s="2" t="s">
        <v>44</v>
      </c>
      <c r="S1098" s="2"/>
      <c r="T1098" s="2">
        <f t="shared" si="379"/>
        <v>1</v>
      </c>
      <c r="U1098" s="18">
        <f t="shared" si="380"/>
        <v>10</v>
      </c>
      <c r="V1098" s="18">
        <f t="shared" si="381"/>
        <v>2025</v>
      </c>
      <c r="W1098" s="18" t="str">
        <f t="shared" si="382"/>
        <v/>
      </c>
      <c r="X1098" s="18" t="str">
        <f t="shared" si="383"/>
        <v/>
      </c>
      <c r="Y1098" s="2">
        <f t="shared" si="376"/>
        <v>0.71188146033613353</v>
      </c>
      <c r="Z1098" t="str">
        <f t="shared" si="377"/>
        <v>SO18078</v>
      </c>
      <c r="AA1098" s="11">
        <f t="shared" si="384"/>
        <v>45947.737800925926</v>
      </c>
      <c r="AB1098" s="5" t="str">
        <f t="shared" si="385"/>
        <v>INV13560</v>
      </c>
      <c r="AC1098" s="5" t="str">
        <f>IFERROR(VLOOKUP(D1098,CAARStatus!$A$2:$AA$1600,22,FALSE),"Not invoiced")</f>
        <v>Approved</v>
      </c>
      <c r="AD1098" s="11" t="str">
        <f>IF(AC1098="Paid",IFERROR(VLOOKUP(D1098,CAARStatus!$A$2:$AA$1600,6,FALSE),"Pending"),"Pending")</f>
        <v>Pending</v>
      </c>
      <c r="AE1098" s="5" t="str">
        <f t="shared" si="386"/>
        <v>4500589465</v>
      </c>
      <c r="AF1098" s="5" t="str">
        <f t="shared" si="387"/>
        <v>Glencore Canada Corporation - Rouyn-Noranda</v>
      </c>
      <c r="AG1098" s="5" t="str">
        <f t="shared" si="388"/>
        <v>CAD</v>
      </c>
      <c r="AH1098" s="5">
        <f t="shared" si="389"/>
        <v>4932.2700000000004</v>
      </c>
      <c r="AI1098" s="12">
        <f>IF(L1098-N1098=0,VLOOKUP(U1098,rate!A$4:B$15,2,FALSE)*AH1098,IF(AG1098="USD",O1098,AH1098*Y1098))</f>
        <v>3511.1915703721015</v>
      </c>
      <c r="AJ1098" s="13">
        <f t="shared" si="390"/>
        <v>0.71188146033613353</v>
      </c>
      <c r="AK1098" s="61">
        <f>IF(AC1098="Paid",-IF(AG1098="CAD",IFERROR(VLOOKUP(D1098,CAARStatus!$A$1:$Y$1600,16,FALSE),0),0),0)</f>
        <v>0</v>
      </c>
      <c r="AL1098" s="61">
        <f>IF(AC1098="Paid",-IF(AG1098="USD",IFERROR(VLOOKUP(D1098,CAARStatus!$A$1:$Y$1600,11,FALSE),0),0),0)</f>
        <v>0</v>
      </c>
      <c r="AM1098" s="22">
        <f t="shared" si="391"/>
        <v>4932.2700000000004</v>
      </c>
      <c r="AN1098" s="12" t="str">
        <f t="shared" si="392"/>
        <v/>
      </c>
      <c r="AO1098" s="12" t="str">
        <f t="shared" si="393"/>
        <v>Pend</v>
      </c>
      <c r="AP1098" t="str">
        <f t="shared" si="378"/>
        <v>Pend</v>
      </c>
      <c r="AQ1098" t="str">
        <f>IFERROR(VLOOKUP(Z1098,InvBal!$L$4:$P$600,4,FALSE),"Pend")</f>
        <v>Pend</v>
      </c>
      <c r="AR1098" t="str">
        <f>IFERROR(VLOOKUP(D1098,Manual!$C$1:$E$22,2,FALSE),"Pend")</f>
        <v>Pend</v>
      </c>
      <c r="AS1098" t="str">
        <f t="shared" si="394"/>
        <v/>
      </c>
      <c r="AT1098" t="str">
        <f t="shared" si="395"/>
        <v>Yes</v>
      </c>
      <c r="AU1098" s="51" t="str">
        <f t="shared" si="396"/>
        <v/>
      </c>
      <c r="AV1098" s="12">
        <f>IFERROR(VLOOKUP(D1098,'Receivable Invoice Detail'!$S$1:$U$3014,3,FALSE),0)</f>
        <v>0</v>
      </c>
      <c r="AW1098" s="12">
        <f t="shared" si="397"/>
        <v>0</v>
      </c>
    </row>
    <row r="1099" spans="1:49" ht="30" x14ac:dyDescent="0.25">
      <c r="A1099" s="2">
        <v>1</v>
      </c>
      <c r="B1099" s="2" t="s">
        <v>373</v>
      </c>
      <c r="C1099" s="2" t="s">
        <v>374</v>
      </c>
      <c r="D1099" s="2" t="s">
        <v>3300</v>
      </c>
      <c r="E1099" s="2" t="s">
        <v>98</v>
      </c>
      <c r="F1099" s="3">
        <v>45950.345532407409</v>
      </c>
      <c r="G1099" s="3">
        <v>45950.45244212963</v>
      </c>
      <c r="H1099" s="4">
        <v>45952</v>
      </c>
      <c r="I1099" s="2" t="s">
        <v>40</v>
      </c>
      <c r="J1099" s="2" t="s">
        <v>22</v>
      </c>
      <c r="K1099" s="2">
        <v>1</v>
      </c>
      <c r="L1099" s="2">
        <v>3117.08</v>
      </c>
      <c r="M1099" s="2">
        <v>0</v>
      </c>
      <c r="N1099" s="2">
        <v>2221.6193052588801</v>
      </c>
      <c r="O1099" s="2">
        <v>2758.48</v>
      </c>
      <c r="P1099" s="2">
        <v>358.6</v>
      </c>
      <c r="Q1099" s="2">
        <v>3117.08</v>
      </c>
      <c r="R1099" s="2" t="s">
        <v>44</v>
      </c>
      <c r="S1099" s="2"/>
      <c r="T1099" s="2">
        <f t="shared" si="379"/>
        <v>1</v>
      </c>
      <c r="U1099" s="18">
        <f t="shared" si="380"/>
        <v>10</v>
      </c>
      <c r="V1099" s="18">
        <f t="shared" si="381"/>
        <v>2025</v>
      </c>
      <c r="W1099" s="18">
        <f t="shared" si="382"/>
        <v>11</v>
      </c>
      <c r="X1099" s="18">
        <f t="shared" si="383"/>
        <v>2025</v>
      </c>
      <c r="Y1099" s="2">
        <f t="shared" si="376"/>
        <v>0.7127245066725526</v>
      </c>
      <c r="Z1099" t="str">
        <f t="shared" si="377"/>
        <v>SO18079</v>
      </c>
      <c r="AA1099" s="11">
        <f t="shared" si="384"/>
        <v>45950.345532407409</v>
      </c>
      <c r="AB1099" s="5" t="str">
        <f t="shared" si="385"/>
        <v>INV13557</v>
      </c>
      <c r="AC1099" s="5" t="str">
        <f>IFERROR(VLOOKUP(D1099,CAARStatus!$A$2:$AA$1600,22,FALSE),"Not invoiced")</f>
        <v>Paid</v>
      </c>
      <c r="AD1099" s="11">
        <f>IF(AC1099="Paid",IFERROR(VLOOKUP(D1099,CAARStatus!$A$2:$AA$1600,6,FALSE),"Pending"),"Pending")</f>
        <v>45988</v>
      </c>
      <c r="AE1099" s="5" t="str">
        <f t="shared" si="386"/>
        <v>PO-008367</v>
      </c>
      <c r="AF1099" s="5" t="str">
        <f t="shared" si="387"/>
        <v>Sling-Choker Manufacturing - Timmins</v>
      </c>
      <c r="AG1099" s="5" t="str">
        <f t="shared" si="388"/>
        <v>CAD</v>
      </c>
      <c r="AH1099" s="5">
        <f t="shared" si="389"/>
        <v>2758.48</v>
      </c>
      <c r="AI1099" s="12">
        <f>IF(L1099-N1099=0,VLOOKUP(U1099,rate!A$4:B$15,2,FALSE)*AH1099,IF(AG1099="USD",O1099,AH1099*Y1099))</f>
        <v>1966.0362971661029</v>
      </c>
      <c r="AJ1099" s="13">
        <f t="shared" si="390"/>
        <v>0.7127245066725526</v>
      </c>
      <c r="AK1099" s="61">
        <f>IF(AC1099="Paid",-IF(AG1099="CAD",IFERROR(VLOOKUP(D1099,CAARStatus!$A$1:$Y$1600,16,FALSE),0),0),0)</f>
        <v>-2758.48</v>
      </c>
      <c r="AL1099" s="61">
        <f>IF(AC1099="Paid",-IF(AG1099="USD",IFERROR(VLOOKUP(D1099,CAARStatus!$A$1:$Y$1600,11,FALSE),0),0),0)</f>
        <v>0</v>
      </c>
      <c r="AM1099" s="22">
        <f t="shared" si="391"/>
        <v>0</v>
      </c>
      <c r="AN1099" s="12" t="str">
        <f t="shared" si="392"/>
        <v/>
      </c>
      <c r="AO1099" s="12" t="str">
        <f t="shared" si="393"/>
        <v>Yes</v>
      </c>
      <c r="AP1099" t="str">
        <f t="shared" si="378"/>
        <v>Yes</v>
      </c>
      <c r="AQ1099" t="str">
        <f>IFERROR(VLOOKUP(Z1099,InvBal!$L$4:$P$600,4,FALSE),"Pend")</f>
        <v>Pend</v>
      </c>
      <c r="AR1099" t="str">
        <f>IFERROR(VLOOKUP(D1099,Manual!$C$1:$E$22,2,FALSE),"Pend")</f>
        <v>Pend</v>
      </c>
      <c r="AS1099" t="str">
        <f t="shared" si="394"/>
        <v>Yes</v>
      </c>
      <c r="AT1099" t="str">
        <f t="shared" si="395"/>
        <v>Yes</v>
      </c>
      <c r="AU1099" s="51" t="str">
        <f t="shared" si="396"/>
        <v>Yes</v>
      </c>
      <c r="AV1099" s="12">
        <f>IFERROR(VLOOKUP(D1099,'Receivable Invoice Detail'!$S$1:$U$3014,3,FALSE),0)</f>
        <v>0</v>
      </c>
      <c r="AW1099" s="12">
        <f t="shared" si="397"/>
        <v>1966.0362971661029</v>
      </c>
    </row>
    <row r="1100" spans="1:49" ht="30" x14ac:dyDescent="0.25">
      <c r="A1100" s="2">
        <v>1</v>
      </c>
      <c r="B1100" s="2" t="s">
        <v>157</v>
      </c>
      <c r="C1100" s="2" t="s">
        <v>158</v>
      </c>
      <c r="D1100" s="2" t="s">
        <v>5969</v>
      </c>
      <c r="E1100" s="2" t="s">
        <v>159</v>
      </c>
      <c r="F1100" s="3">
        <v>45950.482233796298</v>
      </c>
      <c r="G1100" s="3">
        <v>45979.595578703702</v>
      </c>
      <c r="H1100" s="4">
        <v>46035</v>
      </c>
      <c r="I1100" s="2" t="s">
        <v>40</v>
      </c>
      <c r="J1100" s="2" t="s">
        <v>51</v>
      </c>
      <c r="K1100" s="2">
        <v>0.7129261885474989</v>
      </c>
      <c r="L1100" s="2">
        <v>1400.481587068924</v>
      </c>
      <c r="M1100" s="2">
        <v>0</v>
      </c>
      <c r="N1100" s="2">
        <v>998.44</v>
      </c>
      <c r="O1100" s="2">
        <v>998.44</v>
      </c>
      <c r="P1100" s="2"/>
      <c r="Q1100" s="2">
        <v>998.44</v>
      </c>
      <c r="R1100" s="2" t="s">
        <v>44</v>
      </c>
      <c r="S1100" s="2"/>
      <c r="T1100" s="2">
        <f t="shared" si="379"/>
        <v>1</v>
      </c>
      <c r="U1100" s="18">
        <f t="shared" si="380"/>
        <v>10</v>
      </c>
      <c r="V1100" s="18">
        <f t="shared" si="381"/>
        <v>2025</v>
      </c>
      <c r="W1100" s="18" t="str">
        <f t="shared" si="382"/>
        <v/>
      </c>
      <c r="X1100" s="18" t="str">
        <f t="shared" si="383"/>
        <v/>
      </c>
      <c r="Y1100" s="2">
        <f t="shared" si="376"/>
        <v>0.71292618854749878</v>
      </c>
      <c r="Z1100" t="str">
        <f t="shared" si="377"/>
        <v>SO18080</v>
      </c>
      <c r="AA1100" s="11">
        <f t="shared" si="384"/>
        <v>45950.482233796298</v>
      </c>
      <c r="AB1100" s="5" t="str">
        <f t="shared" si="385"/>
        <v>INV13738</v>
      </c>
      <c r="AC1100" s="5" t="str">
        <f>IFERROR(VLOOKUP(D1100,CAARStatus!$A$2:$AA$1600,22,FALSE),"Not invoiced")</f>
        <v>Approved</v>
      </c>
      <c r="AD1100" s="11" t="str">
        <f>IF(AC1100="Paid",IFERROR(VLOOKUP(D1100,CAARStatus!$A$2:$AA$1600,6,FALSE),"Pending"),"Pending")</f>
        <v>Pending</v>
      </c>
      <c r="AE1100" s="5" t="str">
        <f t="shared" si="386"/>
        <v>4501336391</v>
      </c>
      <c r="AF1100" s="5" t="str">
        <f t="shared" si="387"/>
        <v>Barrick Gold - Pueblo Viejo Dominicana Corporation</v>
      </c>
      <c r="AG1100" s="5" t="str">
        <f t="shared" si="388"/>
        <v>USD</v>
      </c>
      <c r="AH1100" s="5">
        <f t="shared" si="389"/>
        <v>1400.4815870689238</v>
      </c>
      <c r="AI1100" s="12">
        <f>IF(L1100-N1100=0,VLOOKUP(U1100,rate!A$4:B$15,2,FALSE)*AH1100,IF(AG1100="USD",O1100,AH1100*Y1100))</f>
        <v>998.44</v>
      </c>
      <c r="AJ1100" s="13">
        <f t="shared" si="390"/>
        <v>0.7129261885474989</v>
      </c>
      <c r="AK1100" s="13">
        <f>-IF(AG1100="CAD",IFERROR(VLOOKUP(D1100,CAARStatus!$A$1:$Y$1600,16,FALSE),0),0)</f>
        <v>0</v>
      </c>
      <c r="AL1100" s="13">
        <f>-IF(AG1100="USD",IFERROR(VLOOKUP(D1100,CAARStatus!$A$1:$Y$1600,11,FALSE),0),0)</f>
        <v>-998.44</v>
      </c>
      <c r="AM1100" s="22" t="str">
        <f t="shared" si="391"/>
        <v/>
      </c>
      <c r="AN1100" s="12">
        <f t="shared" si="392"/>
        <v>0</v>
      </c>
      <c r="AO1100" s="12" t="str">
        <f t="shared" si="393"/>
        <v>Pend</v>
      </c>
      <c r="AP1100" t="str">
        <f t="shared" si="378"/>
        <v>Pend</v>
      </c>
      <c r="AQ1100" t="str">
        <f>IFERROR(VLOOKUP(Z1100,InvBal!$L$4:$P$600,4,FALSE),"Pend")</f>
        <v>Pend</v>
      </c>
      <c r="AR1100" t="str">
        <f>IFERROR(VLOOKUP(D1100,Manual!$C$1:$E$22,2,FALSE),"Pend")</f>
        <v>Pend</v>
      </c>
      <c r="AS1100" t="str">
        <f t="shared" si="394"/>
        <v/>
      </c>
      <c r="AT1100" t="str">
        <f t="shared" si="395"/>
        <v>Yes</v>
      </c>
      <c r="AU1100" s="51" t="str">
        <f t="shared" si="396"/>
        <v/>
      </c>
      <c r="AV1100" s="12">
        <f>IFERROR(VLOOKUP(D1100,'Receivable Invoice Detail'!$S$1:$U$3014,3,FALSE),0)</f>
        <v>0</v>
      </c>
      <c r="AW1100" s="12">
        <f t="shared" si="397"/>
        <v>0</v>
      </c>
    </row>
    <row r="1101" spans="1:49" x14ac:dyDescent="0.25">
      <c r="A1101" s="2">
        <v>1</v>
      </c>
      <c r="B1101" s="2" t="s">
        <v>349</v>
      </c>
      <c r="C1101" s="2" t="s">
        <v>350</v>
      </c>
      <c r="D1101" s="2" t="s">
        <v>3307</v>
      </c>
      <c r="E1101" s="2" t="s">
        <v>64</v>
      </c>
      <c r="F1101" s="3">
        <v>45950.498206018521</v>
      </c>
      <c r="G1101" s="3">
        <v>45953.660405092603</v>
      </c>
      <c r="H1101" s="4">
        <v>45954</v>
      </c>
      <c r="I1101" s="2" t="s">
        <v>21</v>
      </c>
      <c r="J1101" s="2" t="s">
        <v>22</v>
      </c>
      <c r="K1101" s="2">
        <v>1</v>
      </c>
      <c r="L1101" s="2">
        <v>1606.31</v>
      </c>
      <c r="M1101" s="2">
        <v>0</v>
      </c>
      <c r="N1101" s="2">
        <v>1147.998143695695</v>
      </c>
      <c r="O1101" s="2">
        <v>1421.52</v>
      </c>
      <c r="P1101" s="2">
        <v>184.79</v>
      </c>
      <c r="Q1101" s="2">
        <v>1606.31</v>
      </c>
      <c r="R1101" s="2" t="s">
        <v>44</v>
      </c>
      <c r="S1101" s="2"/>
      <c r="T1101" s="2">
        <f t="shared" si="379"/>
        <v>1</v>
      </c>
      <c r="U1101" s="18">
        <f t="shared" si="380"/>
        <v>10</v>
      </c>
      <c r="V1101" s="18">
        <f t="shared" si="381"/>
        <v>2025</v>
      </c>
      <c r="W1101" s="18">
        <f t="shared" si="382"/>
        <v>12</v>
      </c>
      <c r="X1101" s="18">
        <f t="shared" si="383"/>
        <v>2025</v>
      </c>
      <c r="Y1101" s="2">
        <f t="shared" si="376"/>
        <v>0.71468031930056786</v>
      </c>
      <c r="Z1101" t="str">
        <f t="shared" si="377"/>
        <v>SO18081</v>
      </c>
      <c r="AA1101" s="11">
        <f t="shared" si="384"/>
        <v>45950.498206018521</v>
      </c>
      <c r="AB1101" s="5" t="str">
        <f t="shared" si="385"/>
        <v>INV13568</v>
      </c>
      <c r="AC1101" s="5" t="str">
        <f>IFERROR(VLOOKUP(D1101,CAARStatus!$A$2:$AA$1600,22,FALSE),"Not invoiced")</f>
        <v>Paid</v>
      </c>
      <c r="AD1101" s="11">
        <f>IF(AC1101="Paid",IFERROR(VLOOKUP(D1101,CAARStatus!$A$2:$AA$1600,6,FALSE),"Pending"),"Pending")</f>
        <v>46008</v>
      </c>
      <c r="AE1101" s="5" t="str">
        <f t="shared" si="386"/>
        <v>607065</v>
      </c>
      <c r="AF1101" s="5" t="str">
        <f t="shared" si="387"/>
        <v>Sealtrac Inc.</v>
      </c>
      <c r="AG1101" s="5" t="str">
        <f t="shared" si="388"/>
        <v>CAD</v>
      </c>
      <c r="AH1101" s="5">
        <f t="shared" si="389"/>
        <v>1421.52</v>
      </c>
      <c r="AI1101" s="12">
        <f>IF(L1101-N1101=0,VLOOKUP(U1101,rate!A$4:B$15,2,FALSE)*AH1101,IF(AG1101="USD",O1101,AH1101*Y1101))</f>
        <v>1015.9323674921432</v>
      </c>
      <c r="AJ1101" s="13">
        <f t="shared" si="390"/>
        <v>0.71468031930056786</v>
      </c>
      <c r="AK1101" s="13">
        <f>-IF(AG1101="CAD",IFERROR(VLOOKUP(D1101,CAARStatus!$A$1:$Y$1600,16,FALSE),0),0)</f>
        <v>-1421.52</v>
      </c>
      <c r="AL1101" s="13">
        <f>-IF(AG1101="USD",IFERROR(VLOOKUP(D1101,CAARStatus!$A$1:$Y$1600,11,FALSE),0),0)</f>
        <v>0</v>
      </c>
      <c r="AM1101" s="22">
        <f t="shared" si="391"/>
        <v>0</v>
      </c>
      <c r="AN1101" s="12" t="str">
        <f t="shared" si="392"/>
        <v/>
      </c>
      <c r="AO1101" s="12" t="str">
        <f t="shared" si="393"/>
        <v>Yes</v>
      </c>
      <c r="AP1101" t="str">
        <f t="shared" si="378"/>
        <v>Yes</v>
      </c>
      <c r="AQ1101" t="str">
        <f>IFERROR(VLOOKUP(Z1101,InvBal!$L$4:$P$600,4,FALSE),"Pend")</f>
        <v>Pend</v>
      </c>
      <c r="AR1101" t="str">
        <f>IFERROR(VLOOKUP(D1101,Manual!$C$1:$E$22,2,FALSE),"Pend")</f>
        <v>Pend</v>
      </c>
      <c r="AS1101" t="str">
        <f t="shared" si="394"/>
        <v>Yes</v>
      </c>
      <c r="AT1101" t="str">
        <f t="shared" si="395"/>
        <v>Yes</v>
      </c>
      <c r="AU1101" s="51" t="str">
        <f t="shared" si="396"/>
        <v>Yes</v>
      </c>
      <c r="AV1101" s="12">
        <f>IFERROR(VLOOKUP(D1101,'Receivable Invoice Detail'!$S$1:$U$3014,3,FALSE),0)</f>
        <v>0</v>
      </c>
      <c r="AW1101" s="12">
        <f t="shared" si="397"/>
        <v>1015.9323674921432</v>
      </c>
    </row>
    <row r="1102" spans="1:49" x14ac:dyDescent="0.25">
      <c r="A1102" s="2">
        <v>1</v>
      </c>
      <c r="B1102" s="2" t="s">
        <v>243</v>
      </c>
      <c r="C1102" s="2" t="s">
        <v>244</v>
      </c>
      <c r="D1102" s="2" t="s">
        <v>3350</v>
      </c>
      <c r="E1102" s="2" t="s">
        <v>245</v>
      </c>
      <c r="F1102" s="3">
        <v>45951.307569444441</v>
      </c>
      <c r="G1102" s="3">
        <v>45968.588518518518</v>
      </c>
      <c r="H1102" s="2"/>
      <c r="I1102" s="2" t="s">
        <v>40</v>
      </c>
      <c r="J1102" s="2" t="s">
        <v>22</v>
      </c>
      <c r="K1102" s="2">
        <v>1</v>
      </c>
      <c r="L1102" s="2">
        <v>664.02</v>
      </c>
      <c r="M1102" s="2">
        <v>0</v>
      </c>
      <c r="N1102" s="2">
        <v>471.75056713712871</v>
      </c>
      <c r="O1102" s="2">
        <v>632.4</v>
      </c>
      <c r="P1102" s="2">
        <v>31.62</v>
      </c>
      <c r="Q1102" s="2">
        <v>664.02</v>
      </c>
      <c r="R1102" s="2" t="s">
        <v>44</v>
      </c>
      <c r="S1102" s="2"/>
      <c r="T1102" s="2">
        <f t="shared" si="379"/>
        <v>1</v>
      </c>
      <c r="U1102" s="18">
        <f t="shared" si="380"/>
        <v>10</v>
      </c>
      <c r="V1102" s="18">
        <f t="shared" si="381"/>
        <v>2025</v>
      </c>
      <c r="W1102" s="18">
        <f t="shared" si="382"/>
        <v>12</v>
      </c>
      <c r="X1102" s="18">
        <f t="shared" si="383"/>
        <v>2025</v>
      </c>
      <c r="Y1102" s="2">
        <f t="shared" si="376"/>
        <v>0.71044632260644069</v>
      </c>
      <c r="Z1102" t="str">
        <f t="shared" si="377"/>
        <v>SO18084</v>
      </c>
      <c r="AA1102" s="11">
        <f t="shared" si="384"/>
        <v>45951.307569444441</v>
      </c>
      <c r="AB1102" s="5" t="str">
        <f t="shared" si="385"/>
        <v>INV13621</v>
      </c>
      <c r="AC1102" s="5" t="str">
        <f>IFERROR(VLOOKUP(D1102,CAARStatus!$A$2:$AA$1600,22,FALSE),"Not invoiced")</f>
        <v>Paid</v>
      </c>
      <c r="AD1102" s="11">
        <f>IF(AC1102="Paid",IFERROR(VLOOKUP(D1102,CAARStatus!$A$2:$AA$1600,6,FALSE),"Pending"),"Pending")</f>
        <v>46007</v>
      </c>
      <c r="AE1102" s="5" t="str">
        <f t="shared" si="386"/>
        <v>21914</v>
      </c>
      <c r="AF1102" s="5" t="str">
        <f t="shared" si="387"/>
        <v>DRN Industriel</v>
      </c>
      <c r="AG1102" s="5" t="str">
        <f t="shared" si="388"/>
        <v>CAD</v>
      </c>
      <c r="AH1102" s="5">
        <f t="shared" si="389"/>
        <v>632.4</v>
      </c>
      <c r="AI1102" s="12">
        <f>IF(L1102-N1102=0,VLOOKUP(U1102,rate!A$4:B$15,2,FALSE)*AH1102,IF(AG1102="USD",O1102,AH1102*Y1102))</f>
        <v>449.28625441631306</v>
      </c>
      <c r="AJ1102" s="13">
        <f t="shared" si="390"/>
        <v>0.71044632260644069</v>
      </c>
      <c r="AK1102" s="13">
        <f>-IF(AG1102="CAD",IFERROR(VLOOKUP(D1102,CAARStatus!$A$1:$Y$1600,16,FALSE),0),0)</f>
        <v>-632.4</v>
      </c>
      <c r="AL1102" s="13">
        <f>-IF(AG1102="USD",IFERROR(VLOOKUP(D1102,CAARStatus!$A$1:$Y$1600,11,FALSE),0),0)</f>
        <v>0</v>
      </c>
      <c r="AM1102" s="22">
        <f t="shared" si="391"/>
        <v>0</v>
      </c>
      <c r="AN1102" s="12" t="str">
        <f t="shared" si="392"/>
        <v/>
      </c>
      <c r="AO1102" s="12" t="str">
        <f t="shared" si="393"/>
        <v>Yes</v>
      </c>
      <c r="AP1102" t="str">
        <f t="shared" si="378"/>
        <v>Yes</v>
      </c>
      <c r="AQ1102" t="str">
        <f>IFERROR(VLOOKUP(Z1102,InvBal!$L$4:$P$600,4,FALSE),"Pend")</f>
        <v>Pend</v>
      </c>
      <c r="AR1102" t="str">
        <f>IFERROR(VLOOKUP(D1102,Manual!$C$1:$E$22,2,FALSE),"Pend")</f>
        <v>Pend</v>
      </c>
      <c r="AS1102" t="str">
        <f t="shared" si="394"/>
        <v>Yes</v>
      </c>
      <c r="AT1102" t="str">
        <f t="shared" si="395"/>
        <v>Yes</v>
      </c>
      <c r="AU1102" s="51" t="str">
        <f t="shared" si="396"/>
        <v>Yes</v>
      </c>
      <c r="AV1102" s="12">
        <f>IFERROR(VLOOKUP(D1102,'Receivable Invoice Detail'!$S$1:$U$3014,3,FALSE),0)</f>
        <v>0</v>
      </c>
      <c r="AW1102" s="12">
        <f t="shared" si="397"/>
        <v>449.28625441631306</v>
      </c>
    </row>
    <row r="1103" spans="1:49" x14ac:dyDescent="0.25">
      <c r="A1103" s="2">
        <v>2</v>
      </c>
      <c r="B1103" s="2" t="s">
        <v>354</v>
      </c>
      <c r="C1103" s="2" t="s">
        <v>355</v>
      </c>
      <c r="D1103" s="2" t="s">
        <v>3305</v>
      </c>
      <c r="E1103" s="2" t="s">
        <v>70</v>
      </c>
      <c r="F1103" s="3">
        <v>45951.55332175926</v>
      </c>
      <c r="G1103" s="3">
        <v>45953.454282407409</v>
      </c>
      <c r="H1103" s="4">
        <v>45960</v>
      </c>
      <c r="I1103" s="2" t="s">
        <v>74</v>
      </c>
      <c r="J1103" s="2" t="s">
        <v>51</v>
      </c>
      <c r="K1103" s="2">
        <v>0.7136429375368859</v>
      </c>
      <c r="L1103" s="2">
        <v>16129.718931612129</v>
      </c>
      <c r="M1103" s="2">
        <v>0</v>
      </c>
      <c r="N1103" s="2">
        <v>11510.86</v>
      </c>
      <c r="O1103" s="2">
        <v>11510.86</v>
      </c>
      <c r="P1103" s="2"/>
      <c r="Q1103" s="2">
        <v>11510.86</v>
      </c>
      <c r="R1103" s="2" t="s">
        <v>44</v>
      </c>
      <c r="S1103" s="2"/>
      <c r="T1103" s="2">
        <f t="shared" si="379"/>
        <v>2</v>
      </c>
      <c r="U1103" s="18">
        <f t="shared" si="380"/>
        <v>10</v>
      </c>
      <c r="V1103" s="18">
        <f t="shared" si="381"/>
        <v>2025</v>
      </c>
      <c r="W1103" s="18" t="str">
        <f t="shared" si="382"/>
        <v/>
      </c>
      <c r="X1103" s="18" t="str">
        <f t="shared" si="383"/>
        <v/>
      </c>
      <c r="Y1103" s="2">
        <f t="shared" si="376"/>
        <v>0.7136429375368859</v>
      </c>
      <c r="Z1103" t="str">
        <f t="shared" si="377"/>
        <v>SO18089</v>
      </c>
      <c r="AA1103" s="11">
        <f t="shared" si="384"/>
        <v>45951.55332175926</v>
      </c>
      <c r="AB1103" s="5" t="str">
        <f t="shared" si="385"/>
        <v>INV13554</v>
      </c>
      <c r="AC1103" s="5" t="str">
        <f>IFERROR(VLOOKUP(D1103,CAARStatus!$A$2:$AA$1600,22,FALSE),"Not invoiced")</f>
        <v>Approved</v>
      </c>
      <c r="AD1103" s="11" t="str">
        <f>IF(AC1103="Paid",IFERROR(VLOOKUP(D1103,CAARStatus!$A$2:$AA$1600,6,FALSE),"Pending"),"Pending")</f>
        <v>Pending</v>
      </c>
      <c r="AE1103" s="5" t="str">
        <f t="shared" si="386"/>
        <v>P369494</v>
      </c>
      <c r="AF1103" s="5" t="str">
        <f t="shared" si="387"/>
        <v>Covia Corp - Junction City</v>
      </c>
      <c r="AG1103" s="5" t="str">
        <f t="shared" si="388"/>
        <v>USD</v>
      </c>
      <c r="AH1103" s="5">
        <f t="shared" si="389"/>
        <v>16129.718931612129</v>
      </c>
      <c r="AI1103" s="12">
        <f>IF(L1103-N1103=0,VLOOKUP(U1103,rate!A$4:B$15,2,FALSE)*AH1103,IF(AG1103="USD",O1103,AH1103*Y1103))</f>
        <v>11510.86</v>
      </c>
      <c r="AJ1103" s="13">
        <f t="shared" si="390"/>
        <v>0.7136429375368859</v>
      </c>
      <c r="AK1103" s="13">
        <f>-IF(AG1103="CAD",IFERROR(VLOOKUP(D1103,CAARStatus!$A$1:$Y$1600,16,FALSE),0),0)</f>
        <v>0</v>
      </c>
      <c r="AL1103" s="13">
        <f>-IF(AG1103="USD",IFERROR(VLOOKUP(D1103,CAARStatus!$A$1:$Y$1600,11,FALSE),0),0)</f>
        <v>-6834.6</v>
      </c>
      <c r="AM1103" s="22" t="str">
        <f t="shared" si="391"/>
        <v/>
      </c>
      <c r="AN1103" s="12">
        <f t="shared" si="392"/>
        <v>4676.26</v>
      </c>
      <c r="AO1103" s="12" t="str">
        <f t="shared" si="393"/>
        <v>Pend</v>
      </c>
      <c r="AP1103" t="str">
        <f t="shared" si="378"/>
        <v>XX</v>
      </c>
      <c r="AQ1103">
        <f>IFERROR(VLOOKUP(Z1103,InvBal!$L$4:$P$600,4,FALSE),"Pend")</f>
        <v>0</v>
      </c>
      <c r="AR1103" t="str">
        <f>IFERROR(VLOOKUP(D1103,Manual!$C$1:$E$22,2,FALSE),"Pend")</f>
        <v>Pend</v>
      </c>
      <c r="AS1103" t="str">
        <f t="shared" si="394"/>
        <v/>
      </c>
      <c r="AT1103" t="str">
        <f t="shared" si="395"/>
        <v>Yes</v>
      </c>
      <c r="AU1103" s="51" t="str">
        <f t="shared" si="396"/>
        <v/>
      </c>
      <c r="AV1103" s="12">
        <f>IFERROR(VLOOKUP(D1103,'Receivable Invoice Detail'!$S$1:$U$3014,3,FALSE),0)</f>
        <v>397.25</v>
      </c>
      <c r="AW1103" s="12">
        <f t="shared" si="397"/>
        <v>0</v>
      </c>
    </row>
    <row r="1104" spans="1:49" x14ac:dyDescent="0.25">
      <c r="A1104" s="2"/>
      <c r="B1104" s="2"/>
      <c r="C1104" s="2"/>
      <c r="D1104" s="2" t="s">
        <v>6323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>
        <f t="shared" si="379"/>
        <v>2</v>
      </c>
      <c r="U1104" s="18">
        <f t="shared" si="380"/>
        <v>10</v>
      </c>
      <c r="V1104" s="18">
        <f t="shared" si="381"/>
        <v>2025</v>
      </c>
      <c r="W1104" s="18" t="str">
        <f t="shared" si="382"/>
        <v/>
      </c>
      <c r="X1104" s="18" t="str">
        <f t="shared" si="383"/>
        <v/>
      </c>
      <c r="Y1104" s="2">
        <f t="shared" si="376"/>
        <v>0.7136429375368859</v>
      </c>
      <c r="Z1104" t="str">
        <f t="shared" si="377"/>
        <v>SO18089</v>
      </c>
      <c r="AA1104" s="11">
        <f t="shared" si="384"/>
        <v>45951.55332175926</v>
      </c>
      <c r="AB1104" s="5" t="str">
        <f t="shared" si="385"/>
        <v>INV13838</v>
      </c>
      <c r="AC1104" s="5" t="str">
        <f>IFERROR(VLOOKUP(D1104,CAARStatus!$A$2:$AA$1600,22,FALSE),"Not invoiced")</f>
        <v>Not invoiced</v>
      </c>
      <c r="AD1104" s="11" t="str">
        <f>IF(AC1104="Paid",IFERROR(VLOOKUP(D1104,CAARStatus!$A$2:$AA$1600,6,FALSE),"Pending"),"Pending")</f>
        <v>Pending</v>
      </c>
      <c r="AE1104" s="5" t="str">
        <f t="shared" si="386"/>
        <v>P369494</v>
      </c>
      <c r="AF1104" s="5" t="str">
        <f t="shared" si="387"/>
        <v>Covia Corp - Junction City</v>
      </c>
      <c r="AG1104" s="5" t="str">
        <f t="shared" si="388"/>
        <v>USD</v>
      </c>
      <c r="AH1104" s="5">
        <f t="shared" si="389"/>
        <v>0</v>
      </c>
      <c r="AI1104" s="12">
        <f>IF(L1104-N1104=0,VLOOKUP(U1104,rate!A$4:B$15,2,FALSE)*AH1104,IF(AG1104="USD",O1104,AH1104*Y1104))</f>
        <v>0</v>
      </c>
      <c r="AJ1104" s="13">
        <f t="shared" si="390"/>
        <v>0</v>
      </c>
      <c r="AK1104" s="13">
        <f>-IF(AG1104="CAD",IFERROR(VLOOKUP(D1104,CAARStatus!$A$1:$Y$1600,16,FALSE),0),0)</f>
        <v>0</v>
      </c>
      <c r="AL1104" s="13">
        <f>-IF(AG1104="USD",IFERROR(VLOOKUP(D1104,CAARStatus!$A$1:$Y$1600,11,FALSE),0),0)</f>
        <v>0</v>
      </c>
      <c r="AM1104" s="22" t="str">
        <f t="shared" si="391"/>
        <v/>
      </c>
      <c r="AN1104" s="12">
        <f t="shared" si="392"/>
        <v>0</v>
      </c>
      <c r="AO1104" s="12" t="str">
        <f t="shared" si="393"/>
        <v>Pend</v>
      </c>
      <c r="AP1104" t="str">
        <f t="shared" si="378"/>
        <v>XX</v>
      </c>
      <c r="AQ1104">
        <f>IFERROR(VLOOKUP(Z1104,InvBal!$L$4:$P$600,4,FALSE),"Pend")</f>
        <v>0</v>
      </c>
      <c r="AR1104" t="str">
        <f>IFERROR(VLOOKUP(D1104,Manual!$C$1:$E$22,2,FALSE),"Pend")</f>
        <v>Pend</v>
      </c>
      <c r="AS1104" t="str">
        <f t="shared" si="394"/>
        <v/>
      </c>
      <c r="AT1104" t="str">
        <f t="shared" si="395"/>
        <v/>
      </c>
      <c r="AU1104" s="51" t="str">
        <f t="shared" si="396"/>
        <v/>
      </c>
      <c r="AV1104" s="12">
        <f>IFERROR(VLOOKUP(D1104,'Receivable Invoice Detail'!$S$1:$U$3014,3,FALSE),0)</f>
        <v>0</v>
      </c>
      <c r="AW1104" s="12">
        <f t="shared" si="397"/>
        <v>0</v>
      </c>
    </row>
    <row r="1105" spans="1:49" x14ac:dyDescent="0.25">
      <c r="A1105" s="2">
        <v>1</v>
      </c>
      <c r="B1105" s="2" t="s">
        <v>319</v>
      </c>
      <c r="C1105" s="2" t="s">
        <v>320</v>
      </c>
      <c r="D1105" s="2" t="s">
        <v>3320</v>
      </c>
      <c r="E1105" s="2" t="s">
        <v>77</v>
      </c>
      <c r="F1105" s="3">
        <v>45951.708194444444</v>
      </c>
      <c r="G1105" s="3">
        <v>45959.498425925929</v>
      </c>
      <c r="H1105" s="4">
        <v>45973</v>
      </c>
      <c r="I1105" s="2" t="s">
        <v>36</v>
      </c>
      <c r="J1105" s="2" t="s">
        <v>22</v>
      </c>
      <c r="K1105" s="2">
        <v>1</v>
      </c>
      <c r="L1105" s="2">
        <v>409.85</v>
      </c>
      <c r="M1105" s="2">
        <v>0</v>
      </c>
      <c r="N1105" s="2">
        <v>294.95211167473951</v>
      </c>
      <c r="O1105" s="2">
        <v>390.33</v>
      </c>
      <c r="P1105" s="2">
        <v>19.52</v>
      </c>
      <c r="Q1105" s="2">
        <v>409.85</v>
      </c>
      <c r="R1105" s="2" t="s">
        <v>44</v>
      </c>
      <c r="S1105" s="2"/>
      <c r="T1105" s="2">
        <f t="shared" si="379"/>
        <v>1</v>
      </c>
      <c r="U1105" s="18">
        <f t="shared" si="380"/>
        <v>10</v>
      </c>
      <c r="V1105" s="18">
        <f t="shared" si="381"/>
        <v>2025</v>
      </c>
      <c r="W1105" s="18">
        <f t="shared" si="382"/>
        <v>12</v>
      </c>
      <c r="X1105" s="18">
        <f t="shared" si="383"/>
        <v>2025</v>
      </c>
      <c r="Y1105" s="2">
        <f t="shared" si="376"/>
        <v>0.71965868409110523</v>
      </c>
      <c r="Z1105" t="str">
        <f t="shared" si="377"/>
        <v>SO18095</v>
      </c>
      <c r="AA1105" s="11">
        <f t="shared" si="384"/>
        <v>45951.708194444444</v>
      </c>
      <c r="AB1105" s="5" t="str">
        <f t="shared" si="385"/>
        <v>INV13571</v>
      </c>
      <c r="AC1105" s="5" t="str">
        <f>IFERROR(VLOOKUP(D1105,CAARStatus!$A$2:$AA$1600,22,FALSE),"Not invoiced")</f>
        <v>Paid</v>
      </c>
      <c r="AD1105" s="11">
        <f>IF(AC1105="Paid",IFERROR(VLOOKUP(D1105,CAARStatus!$A$2:$AA$1600,6,FALSE),"Pending"),"Pending")</f>
        <v>46008</v>
      </c>
      <c r="AE1105" s="5" t="str">
        <f t="shared" si="386"/>
        <v>PO-40-1018838</v>
      </c>
      <c r="AF1105" s="5" t="str">
        <f t="shared" si="387"/>
        <v>Canadian Bearings Ltd.</v>
      </c>
      <c r="AG1105" s="5" t="str">
        <f t="shared" si="388"/>
        <v>CAD</v>
      </c>
      <c r="AH1105" s="5">
        <f t="shared" si="389"/>
        <v>390.33</v>
      </c>
      <c r="AI1105" s="12">
        <f>IF(L1105-N1105=0,VLOOKUP(U1105,rate!A$4:B$15,2,FALSE)*AH1105,IF(AG1105="USD",O1105,AH1105*Y1105))</f>
        <v>280.90437416128111</v>
      </c>
      <c r="AJ1105" s="13">
        <f t="shared" si="390"/>
        <v>0.71965868409110523</v>
      </c>
      <c r="AK1105" s="13">
        <f>-IF(AG1105="CAD",IFERROR(VLOOKUP(D1105,CAARStatus!$A$1:$Y$1600,16,FALSE),0),0)</f>
        <v>-390.33</v>
      </c>
      <c r="AL1105" s="13">
        <f>-IF(AG1105="USD",IFERROR(VLOOKUP(D1105,CAARStatus!$A$1:$Y$1600,11,FALSE),0),0)</f>
        <v>0</v>
      </c>
      <c r="AM1105" s="22">
        <f t="shared" si="391"/>
        <v>0</v>
      </c>
      <c r="AN1105" s="12" t="str">
        <f t="shared" si="392"/>
        <v/>
      </c>
      <c r="AO1105" s="12" t="str">
        <f t="shared" si="393"/>
        <v>Yes</v>
      </c>
      <c r="AP1105" t="str">
        <f t="shared" si="378"/>
        <v>Yes</v>
      </c>
      <c r="AQ1105" t="str">
        <f>IFERROR(VLOOKUP(Z1105,InvBal!$L$4:$P$600,4,FALSE),"Pend")</f>
        <v>Pend</v>
      </c>
      <c r="AR1105" t="str">
        <f>IFERROR(VLOOKUP(D1105,Manual!$C$1:$E$22,2,FALSE),"Pend")</f>
        <v>Pend</v>
      </c>
      <c r="AS1105" t="str">
        <f t="shared" si="394"/>
        <v>Yes</v>
      </c>
      <c r="AT1105" t="str">
        <f t="shared" si="395"/>
        <v>Yes</v>
      </c>
      <c r="AU1105" s="51" t="str">
        <f t="shared" si="396"/>
        <v>Yes</v>
      </c>
      <c r="AV1105" s="12">
        <f>IFERROR(VLOOKUP(D1105,'Receivable Invoice Detail'!$S$1:$U$3014,3,FALSE),0)</f>
        <v>0</v>
      </c>
      <c r="AW1105" s="12">
        <f t="shared" si="397"/>
        <v>280.90437416128111</v>
      </c>
    </row>
    <row r="1106" spans="1:49" ht="30" x14ac:dyDescent="0.25">
      <c r="A1106" s="2">
        <v>1</v>
      </c>
      <c r="B1106" s="2" t="s">
        <v>358</v>
      </c>
      <c r="C1106" s="2" t="s">
        <v>359</v>
      </c>
      <c r="D1106" s="2" t="s">
        <v>3304</v>
      </c>
      <c r="E1106" s="2" t="s">
        <v>20</v>
      </c>
      <c r="F1106" s="3">
        <v>45952.382256944453</v>
      </c>
      <c r="G1106" s="3">
        <v>45952.728263888886</v>
      </c>
      <c r="H1106" s="4">
        <v>45953</v>
      </c>
      <c r="I1106" s="2" t="s">
        <v>21</v>
      </c>
      <c r="J1106" s="2" t="s">
        <v>22</v>
      </c>
      <c r="K1106" s="2">
        <v>1</v>
      </c>
      <c r="L1106" s="2">
        <v>4434.6099999999997</v>
      </c>
      <c r="M1106" s="2">
        <v>4434.6099999999997</v>
      </c>
      <c r="N1106" s="2">
        <v>4434.6099999999997</v>
      </c>
      <c r="O1106" s="2">
        <v>4223.4399999999996</v>
      </c>
      <c r="P1106" s="2">
        <v>211.17</v>
      </c>
      <c r="Q1106" s="2">
        <v>4434.6099999999997</v>
      </c>
      <c r="R1106" s="2" t="s">
        <v>44</v>
      </c>
      <c r="S1106" s="2"/>
      <c r="T1106" s="2">
        <f t="shared" si="379"/>
        <v>1</v>
      </c>
      <c r="U1106" s="18">
        <f t="shared" si="380"/>
        <v>10</v>
      </c>
      <c r="V1106" s="18">
        <f t="shared" si="381"/>
        <v>2025</v>
      </c>
      <c r="W1106" s="18">
        <f t="shared" si="382"/>
        <v>12</v>
      </c>
      <c r="X1106" s="18">
        <f t="shared" si="383"/>
        <v>2025</v>
      </c>
      <c r="Y1106" s="2">
        <f t="shared" si="376"/>
        <v>1</v>
      </c>
      <c r="Z1106" t="str">
        <f t="shared" si="377"/>
        <v>SO18096</v>
      </c>
      <c r="AA1106" s="11">
        <f t="shared" si="384"/>
        <v>45952.382256944453</v>
      </c>
      <c r="AB1106" s="5" t="str">
        <f t="shared" si="385"/>
        <v>INV13559</v>
      </c>
      <c r="AC1106" s="5" t="str">
        <f>IFERROR(VLOOKUP(D1106,CAARStatus!$A$2:$AA$1600,22,FALSE),"Not invoiced")</f>
        <v>Paid</v>
      </c>
      <c r="AD1106" s="11">
        <f>IF(AC1106="Paid",IFERROR(VLOOKUP(D1106,CAARStatus!$A$2:$AA$1600,6,FALSE),"Pending"),"Pending")</f>
        <v>46015</v>
      </c>
      <c r="AE1106" s="5" t="str">
        <f t="shared" si="386"/>
        <v>4500618504</v>
      </c>
      <c r="AF1106" s="5" t="str">
        <f t="shared" si="387"/>
        <v>Resolute Forest Products - Saint-Felicien</v>
      </c>
      <c r="AG1106" s="5" t="str">
        <f t="shared" si="388"/>
        <v>CAD</v>
      </c>
      <c r="AH1106" s="5">
        <f t="shared" si="389"/>
        <v>4223.4399999999996</v>
      </c>
      <c r="AI1106" s="12">
        <f>IF(L1106-N1106=0,VLOOKUP(U1106,rate!A$4:B$15,2,FALSE)*AH1106,IF(AG1106="USD",O1106,AH1106*Y1106))</f>
        <v>3020.6825386193295</v>
      </c>
      <c r="AJ1106" s="13">
        <f t="shared" si="390"/>
        <v>0.71521852769764216</v>
      </c>
      <c r="AK1106" s="13">
        <f>-IF(AG1106="CAD",IFERROR(VLOOKUP(D1106,CAARStatus!$A$1:$Y$1600,16,FALSE),0),0)</f>
        <v>-4223.4399999999996</v>
      </c>
      <c r="AL1106" s="13">
        <f>-IF(AG1106="USD",IFERROR(VLOOKUP(D1106,CAARStatus!$A$1:$Y$1600,11,FALSE),0),0)</f>
        <v>0</v>
      </c>
      <c r="AM1106" s="22">
        <f t="shared" si="391"/>
        <v>0</v>
      </c>
      <c r="AN1106" s="12" t="str">
        <f t="shared" si="392"/>
        <v/>
      </c>
      <c r="AO1106" s="12" t="str">
        <f t="shared" si="393"/>
        <v>Yes</v>
      </c>
      <c r="AP1106" t="str">
        <f t="shared" si="378"/>
        <v>Yes</v>
      </c>
      <c r="AQ1106" t="str">
        <f>IFERROR(VLOOKUP(Z1106,InvBal!$L$4:$P$600,4,FALSE),"Pend")</f>
        <v>Pend</v>
      </c>
      <c r="AR1106" t="str">
        <f>IFERROR(VLOOKUP(D1106,Manual!$C$1:$E$22,2,FALSE),"Pend")</f>
        <v>Pend</v>
      </c>
      <c r="AS1106" t="str">
        <f t="shared" si="394"/>
        <v>Yes</v>
      </c>
      <c r="AT1106" t="str">
        <f t="shared" si="395"/>
        <v>Yes</v>
      </c>
      <c r="AU1106" s="51" t="str">
        <f t="shared" si="396"/>
        <v>Yes</v>
      </c>
      <c r="AV1106" s="12">
        <f>IFERROR(VLOOKUP(D1106,'Receivable Invoice Detail'!$S$1:$U$3014,3,FALSE),0)</f>
        <v>0</v>
      </c>
      <c r="AW1106" s="12">
        <f t="shared" si="397"/>
        <v>3020.6825386193295</v>
      </c>
    </row>
    <row r="1107" spans="1:49" x14ac:dyDescent="0.25">
      <c r="A1107" s="2">
        <v>0</v>
      </c>
      <c r="B1107" s="2" t="s">
        <v>6184</v>
      </c>
      <c r="C1107" s="2" t="s">
        <v>6185</v>
      </c>
      <c r="D1107" s="2"/>
      <c r="E1107" s="2" t="s">
        <v>901</v>
      </c>
      <c r="F1107" s="3">
        <v>45952.725289351853</v>
      </c>
      <c r="G1107" s="3">
        <v>45995.741249999999</v>
      </c>
      <c r="H1107" s="4">
        <v>46050</v>
      </c>
      <c r="I1107" s="2" t="s">
        <v>180</v>
      </c>
      <c r="J1107" s="2" t="s">
        <v>51</v>
      </c>
      <c r="K1107" s="2">
        <v>0.71478261126370946</v>
      </c>
      <c r="L1107" s="2">
        <v>26137.457327018419</v>
      </c>
      <c r="M1107" s="2">
        <v>0</v>
      </c>
      <c r="N1107" s="2">
        <v>18682.599999999999</v>
      </c>
      <c r="O1107" s="2">
        <v>18682.599999999999</v>
      </c>
      <c r="P1107" s="2"/>
      <c r="Q1107" s="2">
        <v>18682.599999999999</v>
      </c>
      <c r="R1107" s="2" t="s">
        <v>23</v>
      </c>
      <c r="S1107" s="2"/>
      <c r="T1107" s="2">
        <f t="shared" si="379"/>
        <v>0</v>
      </c>
      <c r="U1107" s="18">
        <f t="shared" si="380"/>
        <v>10</v>
      </c>
      <c r="V1107" s="18">
        <f t="shared" si="381"/>
        <v>2025</v>
      </c>
      <c r="W1107" s="18" t="str">
        <f t="shared" si="382"/>
        <v/>
      </c>
      <c r="X1107" s="18" t="str">
        <f t="shared" si="383"/>
        <v/>
      </c>
      <c r="Y1107" s="2">
        <f t="shared" si="376"/>
        <v>0.71478261126370934</v>
      </c>
      <c r="Z1107" t="str">
        <f t="shared" si="377"/>
        <v>SO18103</v>
      </c>
      <c r="AA1107" s="11">
        <f t="shared" si="384"/>
        <v>45952.725289351853</v>
      </c>
      <c r="AB1107" s="5" t="str">
        <f t="shared" si="385"/>
        <v>No Inv</v>
      </c>
      <c r="AC1107" s="5" t="str">
        <f>IFERROR(VLOOKUP(D1107,CAARStatus!$A$2:$AA$1600,22,FALSE),"Not invoiced")</f>
        <v>Not invoiced</v>
      </c>
      <c r="AD1107" s="11" t="str">
        <f>IF(AC1107="Paid",IFERROR(VLOOKUP(D1107,CAARStatus!$A$2:$AA$1600,6,FALSE),"Pending"),"Pending")</f>
        <v>Pending</v>
      </c>
      <c r="AE1107" s="5" t="str">
        <f t="shared" si="386"/>
        <v>4500879146</v>
      </c>
      <c r="AF1107" s="5" t="str">
        <f t="shared" si="387"/>
        <v>AGM Inc.</v>
      </c>
      <c r="AG1107" s="5" t="str">
        <f t="shared" si="388"/>
        <v>USD</v>
      </c>
      <c r="AH1107" s="5">
        <f t="shared" si="389"/>
        <v>26137.457327018416</v>
      </c>
      <c r="AI1107" s="12">
        <f>IF(L1107-N1107=0,VLOOKUP(U1107,rate!A$4:B$15,2,FALSE)*AH1107,IF(AG1107="USD",O1107,AH1107*Y1107))</f>
        <v>18682.599999999999</v>
      </c>
      <c r="AJ1107" s="13">
        <f t="shared" si="390"/>
        <v>0.71478261126370946</v>
      </c>
      <c r="AK1107" s="13">
        <f>-IF(AG1107="CAD",IFERROR(VLOOKUP(D1107,CAARStatus!$A$1:$Y$1600,16,FALSE),0),0)</f>
        <v>0</v>
      </c>
      <c r="AL1107" s="13">
        <f>-IF(AG1107="USD",IFERROR(VLOOKUP(D1107,CAARStatus!$A$1:$Y$1600,11,FALSE),0),0)</f>
        <v>0</v>
      </c>
      <c r="AM1107" s="22" t="str">
        <f t="shared" si="391"/>
        <v/>
      </c>
      <c r="AN1107" s="12">
        <f t="shared" si="392"/>
        <v>18682.599999999999</v>
      </c>
      <c r="AO1107" s="12" t="str">
        <f t="shared" si="393"/>
        <v>Pend</v>
      </c>
      <c r="AP1107" t="str">
        <f t="shared" si="378"/>
        <v>Pend</v>
      </c>
      <c r="AQ1107" t="str">
        <f>IFERROR(VLOOKUP(Z1107,InvBal!$L$4:$P$600,4,FALSE),"Pend")</f>
        <v>Pend</v>
      </c>
      <c r="AR1107" t="str">
        <f>IFERROR(VLOOKUP(D1107,Manual!$C$1:$E$22,2,FALSE),"Pend")</f>
        <v>Pend</v>
      </c>
      <c r="AS1107" t="str">
        <f t="shared" si="394"/>
        <v/>
      </c>
      <c r="AT1107" t="str">
        <f t="shared" si="395"/>
        <v/>
      </c>
      <c r="AU1107" s="51" t="str">
        <f t="shared" si="396"/>
        <v/>
      </c>
      <c r="AV1107" s="12">
        <f>IFERROR(VLOOKUP(D1107,'Receivable Invoice Detail'!$S$1:$U$3014,3,FALSE),0)</f>
        <v>0</v>
      </c>
      <c r="AW1107" s="12">
        <f t="shared" si="397"/>
        <v>0</v>
      </c>
    </row>
    <row r="1108" spans="1:49" ht="30" x14ac:dyDescent="0.25">
      <c r="A1108" s="2">
        <v>1</v>
      </c>
      <c r="B1108" s="2" t="s">
        <v>356</v>
      </c>
      <c r="C1108" s="2" t="s">
        <v>357</v>
      </c>
      <c r="D1108" s="2" t="s">
        <v>6056</v>
      </c>
      <c r="E1108" s="2" t="s">
        <v>195</v>
      </c>
      <c r="F1108" s="3">
        <v>45952.77070601852</v>
      </c>
      <c r="G1108" s="3">
        <v>45952.77076388889</v>
      </c>
      <c r="H1108" s="4">
        <v>46015</v>
      </c>
      <c r="I1108" s="2" t="s">
        <v>21</v>
      </c>
      <c r="J1108" s="2" t="s">
        <v>22</v>
      </c>
      <c r="K1108" s="2">
        <v>1</v>
      </c>
      <c r="L1108" s="2">
        <v>1043.81</v>
      </c>
      <c r="M1108" s="2">
        <v>1043.81</v>
      </c>
      <c r="N1108" s="2">
        <v>1043.81</v>
      </c>
      <c r="O1108" s="2">
        <v>994.1</v>
      </c>
      <c r="P1108" s="2">
        <v>49.71</v>
      </c>
      <c r="Q1108" s="2">
        <v>1043.81</v>
      </c>
      <c r="R1108" s="2" t="s">
        <v>44</v>
      </c>
      <c r="S1108" s="2"/>
      <c r="T1108" s="2">
        <f t="shared" si="379"/>
        <v>1</v>
      </c>
      <c r="U1108" s="18">
        <f t="shared" si="380"/>
        <v>10</v>
      </c>
      <c r="V1108" s="18">
        <f t="shared" si="381"/>
        <v>2025</v>
      </c>
      <c r="W1108" s="18" t="str">
        <f t="shared" si="382"/>
        <v/>
      </c>
      <c r="X1108" s="18" t="str">
        <f t="shared" si="383"/>
        <v/>
      </c>
      <c r="Y1108" s="2">
        <f t="shared" si="376"/>
        <v>1</v>
      </c>
      <c r="Z1108" t="str">
        <f t="shared" si="377"/>
        <v>SO18104</v>
      </c>
      <c r="AA1108" s="11">
        <f t="shared" si="384"/>
        <v>45952.77070601852</v>
      </c>
      <c r="AB1108" s="5" t="str">
        <f t="shared" si="385"/>
        <v>INV13799</v>
      </c>
      <c r="AC1108" s="5" t="str">
        <f>IFERROR(VLOOKUP(D1108,CAARStatus!$A$2:$AA$1600,22,FALSE),"Not invoiced")</f>
        <v>Approved</v>
      </c>
      <c r="AD1108" s="11" t="str">
        <f>IF(AC1108="Paid",IFERROR(VLOOKUP(D1108,CAARStatus!$A$2:$AA$1600,6,FALSE),"Pending"),"Pending")</f>
        <v>Pending</v>
      </c>
      <c r="AE1108" s="5" t="str">
        <f t="shared" si="386"/>
        <v>4500618721</v>
      </c>
      <c r="AF1108" s="5" t="str">
        <f t="shared" si="387"/>
        <v>Resolute Forest Products - Gatineau</v>
      </c>
      <c r="AG1108" s="5" t="str">
        <f t="shared" si="388"/>
        <v>CAD</v>
      </c>
      <c r="AH1108" s="5">
        <f t="shared" si="389"/>
        <v>994.1</v>
      </c>
      <c r="AI1108" s="12">
        <f>IF(L1108-N1108=0,VLOOKUP(U1108,rate!A$4:B$15,2,FALSE)*AH1108,IF(AG1108="USD",O1108,AH1108*Y1108))</f>
        <v>710.99873838422604</v>
      </c>
      <c r="AJ1108" s="13">
        <f t="shared" si="390"/>
        <v>0.71521852769764216</v>
      </c>
      <c r="AK1108" s="13">
        <f>-IF(AG1108="CAD",IFERROR(VLOOKUP(D1108,CAARStatus!$A$1:$Y$1600,16,FALSE),0),0)</f>
        <v>-994.1</v>
      </c>
      <c r="AL1108" s="13">
        <f>-IF(AG1108="USD",IFERROR(VLOOKUP(D1108,CAARStatus!$A$1:$Y$1600,11,FALSE),0),0)</f>
        <v>0</v>
      </c>
      <c r="AM1108" s="22">
        <f t="shared" si="391"/>
        <v>0</v>
      </c>
      <c r="AN1108" s="12" t="str">
        <f t="shared" si="392"/>
        <v/>
      </c>
      <c r="AO1108" s="12" t="str">
        <f t="shared" si="393"/>
        <v>Pend</v>
      </c>
      <c r="AP1108" t="str">
        <f t="shared" si="378"/>
        <v>Pend</v>
      </c>
      <c r="AQ1108" t="str">
        <f>IFERROR(VLOOKUP(Z1108,InvBal!$L$4:$P$600,4,FALSE),"Pend")</f>
        <v>Pend</v>
      </c>
      <c r="AR1108" t="str">
        <f>IFERROR(VLOOKUP(D1108,Manual!$C$1:$E$22,2,FALSE),"Pend")</f>
        <v>Pend</v>
      </c>
      <c r="AS1108" t="str">
        <f t="shared" si="394"/>
        <v/>
      </c>
      <c r="AT1108" t="str">
        <f t="shared" si="395"/>
        <v>Yes</v>
      </c>
      <c r="AU1108" s="51" t="str">
        <f t="shared" si="396"/>
        <v/>
      </c>
      <c r="AV1108" s="12">
        <f>IFERROR(VLOOKUP(D1108,'Receivable Invoice Detail'!$S$1:$U$3014,3,FALSE),0)</f>
        <v>0</v>
      </c>
      <c r="AW1108" s="12">
        <f t="shared" si="397"/>
        <v>0</v>
      </c>
    </row>
    <row r="1109" spans="1:49" ht="30" x14ac:dyDescent="0.25">
      <c r="A1109" s="2">
        <v>1</v>
      </c>
      <c r="B1109" s="2" t="s">
        <v>351</v>
      </c>
      <c r="C1109" s="2" t="s">
        <v>352</v>
      </c>
      <c r="D1109" s="2" t="s">
        <v>3306</v>
      </c>
      <c r="E1109" s="2" t="s">
        <v>353</v>
      </c>
      <c r="F1109" s="3">
        <v>45953.502384259264</v>
      </c>
      <c r="G1109" s="3">
        <v>45953.502384259264</v>
      </c>
      <c r="H1109" s="4">
        <v>45957</v>
      </c>
      <c r="I1109" s="2" t="s">
        <v>40</v>
      </c>
      <c r="J1109" s="2" t="s">
        <v>22</v>
      </c>
      <c r="K1109" s="2">
        <v>1</v>
      </c>
      <c r="L1109" s="2">
        <v>593.25</v>
      </c>
      <c r="M1109" s="2">
        <v>0</v>
      </c>
      <c r="N1109" s="2">
        <v>423.98409942506169</v>
      </c>
      <c r="O1109" s="2">
        <v>565</v>
      </c>
      <c r="P1109" s="2">
        <v>28.25</v>
      </c>
      <c r="Q1109" s="2">
        <v>593.25</v>
      </c>
      <c r="R1109" s="2" t="s">
        <v>44</v>
      </c>
      <c r="S1109" s="2"/>
      <c r="T1109" s="2">
        <f t="shared" si="379"/>
        <v>1</v>
      </c>
      <c r="U1109" s="18">
        <f t="shared" si="380"/>
        <v>10</v>
      </c>
      <c r="V1109" s="18">
        <f t="shared" si="381"/>
        <v>2025</v>
      </c>
      <c r="W1109" s="18">
        <f t="shared" si="382"/>
        <v>12</v>
      </c>
      <c r="X1109" s="18">
        <f t="shared" si="383"/>
        <v>2025</v>
      </c>
      <c r="Y1109" s="2">
        <f t="shared" si="376"/>
        <v>0.71468031930056752</v>
      </c>
      <c r="Z1109" t="str">
        <f t="shared" si="377"/>
        <v>SO18106</v>
      </c>
      <c r="AA1109" s="11">
        <f t="shared" si="384"/>
        <v>45953.502384259264</v>
      </c>
      <c r="AB1109" s="5" t="str">
        <f t="shared" si="385"/>
        <v>INV13564</v>
      </c>
      <c r="AC1109" s="5" t="str">
        <f>IFERROR(VLOOKUP(D1109,CAARStatus!$A$2:$AA$1600,22,FALSE),"Not invoiced")</f>
        <v>Paid</v>
      </c>
      <c r="AD1109" s="11">
        <f>IF(AC1109="Paid",IFERROR(VLOOKUP(D1109,CAARStatus!$A$2:$AA$1600,6,FALSE),"Pending"),"Pending")</f>
        <v>45999</v>
      </c>
      <c r="AE1109" s="5" t="str">
        <f t="shared" si="386"/>
        <v>PO6601</v>
      </c>
      <c r="AF1109" s="5" t="str">
        <f t="shared" si="387"/>
        <v>ProPart Pompes du Canada 9425-4380 Quebec Inc</v>
      </c>
      <c r="AG1109" s="5" t="str">
        <f t="shared" si="388"/>
        <v>CAD</v>
      </c>
      <c r="AH1109" s="5">
        <f t="shared" si="389"/>
        <v>565</v>
      </c>
      <c r="AI1109" s="12">
        <f>IF(L1109-N1109=0,VLOOKUP(U1109,rate!A$4:B$15,2,FALSE)*AH1109,IF(AG1109="USD",O1109,AH1109*Y1109))</f>
        <v>403.79438040482063</v>
      </c>
      <c r="AJ1109" s="13">
        <f t="shared" si="390"/>
        <v>0.71468031930056752</v>
      </c>
      <c r="AK1109" s="13">
        <f>-IF(AG1109="CAD",IFERROR(VLOOKUP(D1109,CAARStatus!$A$1:$Y$1600,16,FALSE),0),0)</f>
        <v>-565</v>
      </c>
      <c r="AL1109" s="13">
        <f>-IF(AG1109="USD",IFERROR(VLOOKUP(D1109,CAARStatus!$A$1:$Y$1600,11,FALSE),0),0)</f>
        <v>0</v>
      </c>
      <c r="AM1109" s="22">
        <f t="shared" si="391"/>
        <v>0</v>
      </c>
      <c r="AN1109" s="12" t="str">
        <f t="shared" si="392"/>
        <v/>
      </c>
      <c r="AO1109" s="12" t="str">
        <f t="shared" si="393"/>
        <v>Yes</v>
      </c>
      <c r="AP1109" t="str">
        <f t="shared" si="378"/>
        <v>Yes</v>
      </c>
      <c r="AQ1109" t="str">
        <f>IFERROR(VLOOKUP(Z1109,InvBal!$L$4:$P$600,4,FALSE),"Pend")</f>
        <v>Pend</v>
      </c>
      <c r="AR1109" t="str">
        <f>IFERROR(VLOOKUP(D1109,Manual!$C$1:$E$22,2,FALSE),"Pend")</f>
        <v>Pend</v>
      </c>
      <c r="AS1109" t="str">
        <f t="shared" si="394"/>
        <v>Yes</v>
      </c>
      <c r="AT1109" t="str">
        <f t="shared" si="395"/>
        <v>Yes</v>
      </c>
      <c r="AU1109" s="51" t="str">
        <f t="shared" si="396"/>
        <v>Yes</v>
      </c>
      <c r="AV1109" s="12">
        <f>IFERROR(VLOOKUP(D1109,'Receivable Invoice Detail'!$S$1:$U$3014,3,FALSE),0)</f>
        <v>0</v>
      </c>
      <c r="AW1109" s="12">
        <f t="shared" si="397"/>
        <v>403.79438040482063</v>
      </c>
    </row>
    <row r="1110" spans="1:49" x14ac:dyDescent="0.25">
      <c r="A1110" s="2">
        <v>1</v>
      </c>
      <c r="B1110" s="2" t="s">
        <v>299</v>
      </c>
      <c r="C1110" s="2" t="s">
        <v>300</v>
      </c>
      <c r="D1110" s="2" t="s">
        <v>3330</v>
      </c>
      <c r="E1110" s="2" t="s">
        <v>171</v>
      </c>
      <c r="F1110" s="3">
        <v>45953.614884259259</v>
      </c>
      <c r="G1110" s="3">
        <v>45961.388738425929</v>
      </c>
      <c r="H1110" s="4">
        <v>45967</v>
      </c>
      <c r="I1110" s="2" t="s">
        <v>74</v>
      </c>
      <c r="J1110" s="2" t="s">
        <v>22</v>
      </c>
      <c r="K1110" s="2">
        <v>1</v>
      </c>
      <c r="L1110" s="2">
        <v>593.34</v>
      </c>
      <c r="M1110" s="2">
        <v>0</v>
      </c>
      <c r="N1110" s="2">
        <v>423.45543151654141</v>
      </c>
      <c r="O1110" s="2">
        <v>565.09</v>
      </c>
      <c r="P1110" s="2">
        <v>28.25</v>
      </c>
      <c r="Q1110" s="2">
        <v>593.34</v>
      </c>
      <c r="R1110" s="2" t="s">
        <v>44</v>
      </c>
      <c r="S1110" s="2"/>
      <c r="T1110" s="2">
        <f t="shared" si="379"/>
        <v>1</v>
      </c>
      <c r="U1110" s="18">
        <f t="shared" si="380"/>
        <v>10</v>
      </c>
      <c r="V1110" s="18">
        <f t="shared" si="381"/>
        <v>2025</v>
      </c>
      <c r="W1110" s="18">
        <f t="shared" si="382"/>
        <v>11</v>
      </c>
      <c r="X1110" s="18">
        <f t="shared" si="383"/>
        <v>2025</v>
      </c>
      <c r="Y1110" s="2">
        <f t="shared" si="376"/>
        <v>0.71368091063562444</v>
      </c>
      <c r="Z1110" t="str">
        <f t="shared" si="377"/>
        <v>SO18107</v>
      </c>
      <c r="AA1110" s="11">
        <f t="shared" si="384"/>
        <v>45953.614884259259</v>
      </c>
      <c r="AB1110" s="5" t="str">
        <f t="shared" si="385"/>
        <v>INV13602</v>
      </c>
      <c r="AC1110" s="5" t="str">
        <f>IFERROR(VLOOKUP(D1110,CAARStatus!$A$2:$AA$1600,22,FALSE),"Not invoiced")</f>
        <v>Paid</v>
      </c>
      <c r="AD1110" s="11">
        <f>IF(AC1110="Paid",IFERROR(VLOOKUP(D1110,CAARStatus!$A$2:$AA$1600,6,FALSE),"Pending"),"Pending")</f>
        <v>45988</v>
      </c>
      <c r="AE1110" s="5" t="str">
        <f t="shared" si="386"/>
        <v>2378</v>
      </c>
      <c r="AF1110" s="5" t="str">
        <f t="shared" si="387"/>
        <v>FMI Products</v>
      </c>
      <c r="AG1110" s="5" t="str">
        <f t="shared" si="388"/>
        <v>CAD</v>
      </c>
      <c r="AH1110" s="5">
        <f t="shared" si="389"/>
        <v>565.09</v>
      </c>
      <c r="AI1110" s="12">
        <f>IF(L1110-N1110=0,VLOOKUP(U1110,rate!A$4:B$15,2,FALSE)*AH1110,IF(AG1110="USD",O1110,AH1110*Y1110))</f>
        <v>403.29394579108504</v>
      </c>
      <c r="AJ1110" s="13">
        <f t="shared" si="390"/>
        <v>0.71368091063562444</v>
      </c>
      <c r="AK1110" s="13">
        <f>-IF(AG1110="CAD",IFERROR(VLOOKUP(D1110,CAARStatus!$A$1:$Y$1600,16,FALSE),0),0)</f>
        <v>-565.09</v>
      </c>
      <c r="AL1110" s="13">
        <f>-IF(AG1110="USD",IFERROR(VLOOKUP(D1110,CAARStatus!$A$1:$Y$1600,11,FALSE),0),0)</f>
        <v>0</v>
      </c>
      <c r="AM1110" s="22">
        <f t="shared" si="391"/>
        <v>0</v>
      </c>
      <c r="AN1110" s="12" t="str">
        <f t="shared" si="392"/>
        <v/>
      </c>
      <c r="AO1110" s="12" t="str">
        <f t="shared" si="393"/>
        <v>Yes</v>
      </c>
      <c r="AP1110" t="str">
        <f t="shared" si="378"/>
        <v>Yes</v>
      </c>
      <c r="AQ1110" t="str">
        <f>IFERROR(VLOOKUP(Z1110,InvBal!$L$4:$P$600,4,FALSE),"Pend")</f>
        <v>Pend</v>
      </c>
      <c r="AR1110" t="str">
        <f>IFERROR(VLOOKUP(D1110,Manual!$C$1:$E$22,2,FALSE),"Pend")</f>
        <v>Pend</v>
      </c>
      <c r="AS1110" t="str">
        <f t="shared" si="394"/>
        <v>Yes</v>
      </c>
      <c r="AT1110" t="str">
        <f t="shared" si="395"/>
        <v>Yes</v>
      </c>
      <c r="AU1110" s="51" t="str">
        <f t="shared" si="396"/>
        <v>Yes</v>
      </c>
      <c r="AV1110" s="12">
        <f>IFERROR(VLOOKUP(D1110,'Receivable Invoice Detail'!$S$1:$U$3014,3,FALSE),0)</f>
        <v>0</v>
      </c>
      <c r="AW1110" s="12">
        <f t="shared" si="397"/>
        <v>403.29394579108504</v>
      </c>
    </row>
    <row r="1111" spans="1:49" x14ac:dyDescent="0.25">
      <c r="A1111" s="2">
        <v>1</v>
      </c>
      <c r="B1111" s="2" t="s">
        <v>347</v>
      </c>
      <c r="C1111" s="2" t="s">
        <v>348</v>
      </c>
      <c r="D1111" s="2" t="s">
        <v>3308</v>
      </c>
      <c r="E1111" s="2" t="s">
        <v>242</v>
      </c>
      <c r="F1111" s="3">
        <v>45953.78224537037</v>
      </c>
      <c r="G1111" s="3">
        <v>45953.784085648149</v>
      </c>
      <c r="H1111" s="4">
        <v>45960</v>
      </c>
      <c r="I1111" s="2" t="s">
        <v>36</v>
      </c>
      <c r="J1111" s="2" t="s">
        <v>22</v>
      </c>
      <c r="K1111" s="2">
        <v>1</v>
      </c>
      <c r="L1111" s="2">
        <v>2758.72</v>
      </c>
      <c r="M1111" s="2">
        <v>0</v>
      </c>
      <c r="N1111" s="2">
        <v>1971.602890460862</v>
      </c>
      <c r="O1111" s="2">
        <v>2627.35</v>
      </c>
      <c r="P1111" s="2">
        <v>131.37</v>
      </c>
      <c r="Q1111" s="2">
        <v>2758.72</v>
      </c>
      <c r="R1111" s="2" t="s">
        <v>44</v>
      </c>
      <c r="S1111" s="2"/>
      <c r="T1111" s="2">
        <f t="shared" si="379"/>
        <v>1</v>
      </c>
      <c r="U1111" s="18">
        <f t="shared" si="380"/>
        <v>10</v>
      </c>
      <c r="V1111" s="18">
        <f t="shared" si="381"/>
        <v>2025</v>
      </c>
      <c r="W1111" s="18">
        <f t="shared" si="382"/>
        <v>12</v>
      </c>
      <c r="X1111" s="18">
        <f t="shared" si="383"/>
        <v>2025</v>
      </c>
      <c r="Y1111" s="2">
        <f t="shared" si="376"/>
        <v>0.71468031930056775</v>
      </c>
      <c r="Z1111" t="str">
        <f t="shared" si="377"/>
        <v>SO18108</v>
      </c>
      <c r="AA1111" s="11">
        <f t="shared" si="384"/>
        <v>45953.78224537037</v>
      </c>
      <c r="AB1111" s="5" t="str">
        <f t="shared" si="385"/>
        <v>INV13566</v>
      </c>
      <c r="AC1111" s="5" t="str">
        <f>IFERROR(VLOOKUP(D1111,CAARStatus!$A$2:$AA$1600,22,FALSE),"Not invoiced")</f>
        <v>Paid</v>
      </c>
      <c r="AD1111" s="11">
        <f>IF(AC1111="Paid",IFERROR(VLOOKUP(D1111,CAARStatus!$A$2:$AA$1600,6,FALSE),"Pending"),"Pending")</f>
        <v>45995</v>
      </c>
      <c r="AE1111" s="5" t="str">
        <f t="shared" si="386"/>
        <v>2100678961</v>
      </c>
      <c r="AF1111" s="5" t="str">
        <f t="shared" si="387"/>
        <v>Wajax Limited - Noranda</v>
      </c>
      <c r="AG1111" s="5" t="str">
        <f t="shared" si="388"/>
        <v>CAD</v>
      </c>
      <c r="AH1111" s="5">
        <f t="shared" si="389"/>
        <v>2627.35</v>
      </c>
      <c r="AI1111" s="12">
        <f>IF(L1111-N1111=0,VLOOKUP(U1111,rate!A$4:B$15,2,FALSE)*AH1111,IF(AG1111="USD",O1111,AH1111*Y1111))</f>
        <v>1877.7153369143466</v>
      </c>
      <c r="AJ1111" s="13">
        <f t="shared" si="390"/>
        <v>0.71468031930056775</v>
      </c>
      <c r="AK1111" s="13">
        <f>-IF(AG1111="CAD",IFERROR(VLOOKUP(D1111,CAARStatus!$A$1:$Y$1600,16,FALSE),0),0)</f>
        <v>-2627.35</v>
      </c>
      <c r="AL1111" s="13">
        <f>-IF(AG1111="USD",IFERROR(VLOOKUP(D1111,CAARStatus!$A$1:$Y$1600,11,FALSE),0),0)</f>
        <v>0</v>
      </c>
      <c r="AM1111" s="22">
        <f t="shared" si="391"/>
        <v>0</v>
      </c>
      <c r="AN1111" s="12" t="str">
        <f t="shared" si="392"/>
        <v/>
      </c>
      <c r="AO1111" s="12" t="str">
        <f t="shared" si="393"/>
        <v>Yes</v>
      </c>
      <c r="AP1111" t="str">
        <f t="shared" si="378"/>
        <v>Yes</v>
      </c>
      <c r="AQ1111" t="str">
        <f>IFERROR(VLOOKUP(Z1111,InvBal!$L$4:$P$600,4,FALSE),"Pend")</f>
        <v>Pend</v>
      </c>
      <c r="AR1111" t="str">
        <f>IFERROR(VLOOKUP(D1111,Manual!$C$1:$E$22,2,FALSE),"Pend")</f>
        <v>Pend</v>
      </c>
      <c r="AS1111" t="str">
        <f t="shared" si="394"/>
        <v>Yes</v>
      </c>
      <c r="AT1111" t="str">
        <f t="shared" si="395"/>
        <v>Yes</v>
      </c>
      <c r="AU1111" s="51" t="str">
        <f t="shared" si="396"/>
        <v>Yes</v>
      </c>
      <c r="AV1111" s="12">
        <f>IFERROR(VLOOKUP(D1111,'Receivable Invoice Detail'!$S$1:$U$3014,3,FALSE),0)</f>
        <v>0</v>
      </c>
      <c r="AW1111" s="12">
        <f t="shared" si="397"/>
        <v>1877.7153369143466</v>
      </c>
    </row>
    <row r="1112" spans="1:49" x14ac:dyDescent="0.25">
      <c r="A1112" s="2">
        <v>1</v>
      </c>
      <c r="B1112" s="2" t="s">
        <v>255</v>
      </c>
      <c r="C1112" s="2" t="s">
        <v>256</v>
      </c>
      <c r="D1112" s="2" t="s">
        <v>3346</v>
      </c>
      <c r="E1112" s="2" t="s">
        <v>248</v>
      </c>
      <c r="F1112" s="3">
        <v>45954.389756944453</v>
      </c>
      <c r="G1112" s="3">
        <v>45967.624826388892</v>
      </c>
      <c r="H1112" s="4">
        <v>45971</v>
      </c>
      <c r="I1112" s="2" t="s">
        <v>40</v>
      </c>
      <c r="J1112" s="2" t="s">
        <v>22</v>
      </c>
      <c r="K1112" s="2">
        <v>1</v>
      </c>
      <c r="L1112" s="2">
        <v>1612.6</v>
      </c>
      <c r="M1112" s="2">
        <v>1612.6</v>
      </c>
      <c r="N1112" s="2">
        <v>1612.6</v>
      </c>
      <c r="O1112" s="2">
        <v>1414.55</v>
      </c>
      <c r="P1112" s="2">
        <v>198.05</v>
      </c>
      <c r="Q1112" s="2">
        <v>1612.6</v>
      </c>
      <c r="R1112" s="2" t="s">
        <v>44</v>
      </c>
      <c r="S1112" s="2"/>
      <c r="T1112" s="2">
        <f t="shared" si="379"/>
        <v>1</v>
      </c>
      <c r="U1112" s="18">
        <f t="shared" si="380"/>
        <v>10</v>
      </c>
      <c r="V1112" s="18">
        <f t="shared" si="381"/>
        <v>2025</v>
      </c>
      <c r="W1112" s="18">
        <f t="shared" si="382"/>
        <v>12</v>
      </c>
      <c r="X1112" s="18">
        <f t="shared" si="383"/>
        <v>2025</v>
      </c>
      <c r="Y1112" s="17">
        <f t="shared" si="376"/>
        <v>1</v>
      </c>
      <c r="Z1112" t="str">
        <f t="shared" si="377"/>
        <v>SO18109</v>
      </c>
      <c r="AA1112" s="11">
        <f t="shared" si="384"/>
        <v>45954.389756944453</v>
      </c>
      <c r="AB1112" s="5" t="str">
        <f t="shared" si="385"/>
        <v>INV13624</v>
      </c>
      <c r="AC1112" s="5" t="str">
        <f>IFERROR(VLOOKUP(D1112,CAARStatus!$A$2:$AA$1600,22,FALSE),"Not invoiced")</f>
        <v>Paid</v>
      </c>
      <c r="AD1112" s="11">
        <f>IF(AC1112="Paid",IFERROR(VLOOKUP(D1112,CAARStatus!$A$2:$AA$1600,6,FALSE),"Pending"),"Pending")</f>
        <v>46006</v>
      </c>
      <c r="AE1112" s="5" t="str">
        <f t="shared" si="386"/>
        <v>3032076</v>
      </c>
      <c r="AF1112" s="5" t="str">
        <f t="shared" si="387"/>
        <v>Flowstar Industrial Inc</v>
      </c>
      <c r="AG1112" s="5" t="str">
        <f t="shared" si="388"/>
        <v>CAD</v>
      </c>
      <c r="AH1112" s="5">
        <f t="shared" si="389"/>
        <v>1414.55</v>
      </c>
      <c r="AI1112" s="12">
        <f>IF(L1112-N1112=0,VLOOKUP(U1112,rate!A$4:B$15,2,FALSE)*AH1112,IF(AG1112="USD",O1112,AH1112*Y1112))</f>
        <v>1011.7123683546997</v>
      </c>
      <c r="AJ1112" s="13">
        <f t="shared" si="390"/>
        <v>0.71521852769764216</v>
      </c>
      <c r="AK1112" s="13">
        <f>-IF(AG1112="CAD",IFERROR(VLOOKUP(D1112,CAARStatus!$A$1:$Y$1600,16,FALSE),0),0)</f>
        <v>-1414.55</v>
      </c>
      <c r="AL1112" s="13">
        <f>-IF(AG1112="USD",IFERROR(VLOOKUP(D1112,CAARStatus!$A$1:$Y$1600,11,FALSE),0),0)</f>
        <v>0</v>
      </c>
      <c r="AM1112" s="22">
        <f t="shared" si="391"/>
        <v>0</v>
      </c>
      <c r="AN1112" s="12" t="str">
        <f t="shared" si="392"/>
        <v/>
      </c>
      <c r="AO1112" s="12" t="str">
        <f t="shared" si="393"/>
        <v>Yes</v>
      </c>
      <c r="AP1112" t="str">
        <f t="shared" si="378"/>
        <v>Yes</v>
      </c>
      <c r="AQ1112" t="str">
        <f>IFERROR(VLOOKUP(Z1112,InvBal!$L$4:$P$600,4,FALSE),"Pend")</f>
        <v>Pend</v>
      </c>
      <c r="AR1112" t="str">
        <f>IFERROR(VLOOKUP(D1112,Manual!$C$1:$E$22,2,FALSE),"Pend")</f>
        <v>Pend</v>
      </c>
      <c r="AS1112" t="str">
        <f t="shared" si="394"/>
        <v>Yes</v>
      </c>
      <c r="AT1112" t="str">
        <f t="shared" si="395"/>
        <v>Yes</v>
      </c>
      <c r="AU1112" s="51" t="str">
        <f t="shared" si="396"/>
        <v>Yes</v>
      </c>
      <c r="AV1112" s="12">
        <f>IFERROR(VLOOKUP(D1112,'Receivable Invoice Detail'!$S$1:$U$3014,3,FALSE),0)</f>
        <v>0</v>
      </c>
      <c r="AW1112" s="12">
        <f t="shared" si="397"/>
        <v>1011.7123683546997</v>
      </c>
    </row>
    <row r="1113" spans="1:49" ht="30" x14ac:dyDescent="0.25">
      <c r="A1113" s="2">
        <v>1</v>
      </c>
      <c r="B1113" s="2" t="s">
        <v>344</v>
      </c>
      <c r="C1113" s="2"/>
      <c r="D1113" s="2" t="s">
        <v>6324</v>
      </c>
      <c r="E1113" s="2" t="s">
        <v>129</v>
      </c>
      <c r="F1113" s="3">
        <v>45954.4221875</v>
      </c>
      <c r="G1113" s="3">
        <v>45954.583877314813</v>
      </c>
      <c r="H1113" s="4">
        <v>46013</v>
      </c>
      <c r="I1113" s="2" t="s">
        <v>328</v>
      </c>
      <c r="J1113" s="2" t="s">
        <v>51</v>
      </c>
      <c r="K1113" s="2">
        <v>0.71468031930056763</v>
      </c>
      <c r="L1113" s="2">
        <v>69961.350060588258</v>
      </c>
      <c r="M1113" s="2">
        <v>0</v>
      </c>
      <c r="N1113" s="2">
        <v>50000</v>
      </c>
      <c r="O1113" s="2">
        <v>50000</v>
      </c>
      <c r="P1113" s="2"/>
      <c r="Q1113" s="2">
        <v>50000</v>
      </c>
      <c r="R1113" s="2" t="s">
        <v>29</v>
      </c>
      <c r="S1113" s="2"/>
      <c r="T1113" s="2">
        <f t="shared" si="379"/>
        <v>1</v>
      </c>
      <c r="U1113" s="18">
        <f t="shared" si="380"/>
        <v>10</v>
      </c>
      <c r="V1113" s="18">
        <f t="shared" si="381"/>
        <v>2025</v>
      </c>
      <c r="W1113" s="18" t="str">
        <f t="shared" si="382"/>
        <v/>
      </c>
      <c r="X1113" s="18" t="str">
        <f t="shared" si="383"/>
        <v/>
      </c>
      <c r="Y1113" s="17">
        <f t="shared" si="376"/>
        <v>1</v>
      </c>
      <c r="Z1113" t="str">
        <f t="shared" si="377"/>
        <v>SO18110</v>
      </c>
      <c r="AA1113" s="11">
        <f t="shared" si="384"/>
        <v>45954.4221875</v>
      </c>
      <c r="AB1113" s="5" t="str">
        <f t="shared" si="385"/>
        <v>INV13818</v>
      </c>
      <c r="AC1113" s="5" t="str">
        <f>IFERROR(VLOOKUP(D1113,CAARStatus!$A$2:$AA$1600,22,FALSE),"Not invoiced")</f>
        <v>Not invoiced</v>
      </c>
      <c r="AD1113" s="11" t="str">
        <f>IF(AC1113="Paid",IFERROR(VLOOKUP(D1113,CAARStatus!$A$2:$AA$1600,6,FALSE),"Pending"),"Pending")</f>
        <v>Pending</v>
      </c>
      <c r="AE1113" s="5" t="str">
        <f t="shared" si="386"/>
        <v>3032076</v>
      </c>
      <c r="AF1113" s="5" t="str">
        <f t="shared" si="387"/>
        <v>Dynapro Pumps México S de RL de CV</v>
      </c>
      <c r="AG1113" s="5" t="str">
        <f t="shared" si="388"/>
        <v>USD</v>
      </c>
      <c r="AH1113" s="5">
        <f t="shared" si="389"/>
        <v>69961.350060588258</v>
      </c>
      <c r="AI1113" s="12">
        <f>IF(L1113-N1113=0,VLOOKUP(U1113,rate!A$4:B$15,2,FALSE)*AH1113,IF(AG1113="USD",O1113,AH1113*Y1113))</f>
        <v>50000</v>
      </c>
      <c r="AJ1113" s="13">
        <f t="shared" si="390"/>
        <v>0.71468031930056763</v>
      </c>
      <c r="AK1113" s="13">
        <f>-IF(AG1113="CAD",IFERROR(VLOOKUP(D1113,CAARStatus!$A$1:$Y$1600,16,FALSE),0),0)</f>
        <v>0</v>
      </c>
      <c r="AL1113" s="13">
        <f>-IF(AG1113="USD",IFERROR(VLOOKUP(D1113,CAARStatus!$A$1:$Y$1600,11,FALSE),0),0)</f>
        <v>0</v>
      </c>
      <c r="AM1113" s="22" t="str">
        <f t="shared" si="391"/>
        <v/>
      </c>
      <c r="AN1113" s="12">
        <f t="shared" si="392"/>
        <v>50000</v>
      </c>
      <c r="AO1113" s="12" t="str">
        <f t="shared" si="393"/>
        <v>Pend</v>
      </c>
      <c r="AP1113" t="str">
        <f t="shared" si="378"/>
        <v>Pend</v>
      </c>
      <c r="AQ1113" t="str">
        <f>IFERROR(VLOOKUP(Z1113,InvBal!$L$4:$P$600,4,FALSE),"Pend")</f>
        <v>Pend</v>
      </c>
      <c r="AR1113" t="str">
        <f>IFERROR(VLOOKUP(D1113,Manual!$C$1:$E$22,2,FALSE),"Pend")</f>
        <v>Pend</v>
      </c>
      <c r="AS1113" t="str">
        <f t="shared" si="394"/>
        <v/>
      </c>
      <c r="AT1113" t="str">
        <f t="shared" si="395"/>
        <v/>
      </c>
      <c r="AU1113" s="51" t="str">
        <f t="shared" si="396"/>
        <v/>
      </c>
      <c r="AV1113" s="12">
        <f>IFERROR(VLOOKUP(D1113,'Receivable Invoice Detail'!$S$1:$U$3014,3,FALSE),0)</f>
        <v>0</v>
      </c>
      <c r="AW1113" s="12">
        <f t="shared" si="397"/>
        <v>0</v>
      </c>
    </row>
    <row r="1114" spans="1:49" ht="30" x14ac:dyDescent="0.25">
      <c r="A1114" s="2">
        <v>2</v>
      </c>
      <c r="B1114" s="2" t="s">
        <v>338</v>
      </c>
      <c r="C1114" s="2" t="s">
        <v>339</v>
      </c>
      <c r="D1114" s="2" t="s">
        <v>3312</v>
      </c>
      <c r="E1114" s="2" t="s">
        <v>20</v>
      </c>
      <c r="F1114" s="3">
        <v>45954.561307870368</v>
      </c>
      <c r="G1114" s="3">
        <v>45957.763101851851</v>
      </c>
      <c r="H1114" s="4">
        <v>45999</v>
      </c>
      <c r="I1114" s="2" t="s">
        <v>21</v>
      </c>
      <c r="J1114" s="2" t="s">
        <v>22</v>
      </c>
      <c r="K1114" s="2">
        <v>1</v>
      </c>
      <c r="L1114" s="2">
        <v>3718.02</v>
      </c>
      <c r="M1114" s="2">
        <v>3718.02</v>
      </c>
      <c r="N1114" s="2">
        <v>3718.02</v>
      </c>
      <c r="O1114" s="2">
        <v>3540.97</v>
      </c>
      <c r="P1114" s="2">
        <v>177.05</v>
      </c>
      <c r="Q1114" s="2">
        <v>3718.02</v>
      </c>
      <c r="R1114" s="2" t="s">
        <v>44</v>
      </c>
      <c r="S1114" s="2"/>
      <c r="T1114" s="2">
        <f t="shared" si="379"/>
        <v>2</v>
      </c>
      <c r="U1114" s="18">
        <f t="shared" si="380"/>
        <v>10</v>
      </c>
      <c r="V1114" s="18">
        <f t="shared" si="381"/>
        <v>2025</v>
      </c>
      <c r="W1114" s="18" t="str">
        <f t="shared" si="382"/>
        <v/>
      </c>
      <c r="X1114" s="18" t="str">
        <f t="shared" si="383"/>
        <v/>
      </c>
      <c r="Y1114" s="2">
        <f t="shared" si="376"/>
        <v>1</v>
      </c>
      <c r="Z1114" t="str">
        <f t="shared" si="377"/>
        <v>SO18112</v>
      </c>
      <c r="AA1114" s="11">
        <f t="shared" si="384"/>
        <v>45954.561307870368</v>
      </c>
      <c r="AB1114" s="5" t="str">
        <f t="shared" si="385"/>
        <v>INV13632</v>
      </c>
      <c r="AC1114" s="5" t="str">
        <f>IFERROR(VLOOKUP(D1114,CAARStatus!$A$2:$AA$1600,22,FALSE),"Not invoiced")</f>
        <v>Approved</v>
      </c>
      <c r="AD1114" s="11" t="str">
        <f>IF(AC1114="Paid",IFERROR(VLOOKUP(D1114,CAARStatus!$A$2:$AA$1600,6,FALSE),"Pending"),"Pending")</f>
        <v>Pending</v>
      </c>
      <c r="AE1114" s="5" t="str">
        <f t="shared" si="386"/>
        <v>4500618974</v>
      </c>
      <c r="AF1114" s="5" t="str">
        <f t="shared" si="387"/>
        <v>Resolute Forest Products - Saint-Felicien</v>
      </c>
      <c r="AG1114" s="5" t="str">
        <f t="shared" si="388"/>
        <v>CAD</v>
      </c>
      <c r="AH1114" s="5">
        <f t="shared" si="389"/>
        <v>3540.97</v>
      </c>
      <c r="AI1114" s="12">
        <f>IF(L1114-N1114=0,VLOOKUP(U1114,rate!A$4:B$15,2,FALSE)*AH1114,IF(AG1114="USD",O1114,AH1114*Y1114))</f>
        <v>2532.5673500215198</v>
      </c>
      <c r="AJ1114" s="13">
        <f t="shared" si="390"/>
        <v>0.71521852769764216</v>
      </c>
      <c r="AK1114" s="13">
        <f>-IF(AG1114="CAD",IFERROR(VLOOKUP(D1114,CAARStatus!$A$1:$Y$1600,16,FALSE),0),0)</f>
        <v>-2234.11</v>
      </c>
      <c r="AL1114" s="13">
        <f>-IF(AG1114="USD",IFERROR(VLOOKUP(D1114,CAARStatus!$A$1:$Y$1600,11,FALSE),0),0)</f>
        <v>0</v>
      </c>
      <c r="AM1114" s="22">
        <f t="shared" si="391"/>
        <v>1306.8599999999997</v>
      </c>
      <c r="AN1114" s="12" t="str">
        <f t="shared" si="392"/>
        <v/>
      </c>
      <c r="AO1114" s="12" t="str">
        <f t="shared" si="393"/>
        <v>Pend</v>
      </c>
      <c r="AP1114" t="str">
        <f t="shared" si="378"/>
        <v>XX</v>
      </c>
      <c r="AQ1114" t="str">
        <f>IFERROR(VLOOKUP(Z1114,InvBal!$L$4:$P$600,4,FALSE),"Pend")</f>
        <v>Yes</v>
      </c>
      <c r="AR1114" t="str">
        <f>IFERROR(VLOOKUP(D1114,Manual!$C$1:$E$22,2,FALSE),"Pend")</f>
        <v>Pend</v>
      </c>
      <c r="AS1114" t="str">
        <f t="shared" si="394"/>
        <v>Yes</v>
      </c>
      <c r="AT1114" t="str">
        <f t="shared" si="395"/>
        <v>Yes</v>
      </c>
      <c r="AU1114" s="51" t="str">
        <f t="shared" si="396"/>
        <v>Yes</v>
      </c>
      <c r="AV1114" s="12">
        <f>IFERROR(VLOOKUP(D1114,'Receivable Invoice Detail'!$S$1:$U$3014,3,FALSE),0)</f>
        <v>0</v>
      </c>
      <c r="AW1114" s="12">
        <f t="shared" si="397"/>
        <v>2532.5673500215198</v>
      </c>
    </row>
    <row r="1115" spans="1:49" x14ac:dyDescent="0.25">
      <c r="A1115" s="2"/>
      <c r="B1115" s="2"/>
      <c r="C1115" s="2"/>
      <c r="D1115" s="2" t="s">
        <v>3311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>
        <f t="shared" si="379"/>
        <v>2</v>
      </c>
      <c r="U1115" s="18">
        <f t="shared" si="380"/>
        <v>10</v>
      </c>
      <c r="V1115" s="18">
        <f t="shared" si="381"/>
        <v>2025</v>
      </c>
      <c r="W1115" s="18">
        <f t="shared" si="382"/>
        <v>12</v>
      </c>
      <c r="X1115" s="18">
        <f t="shared" si="383"/>
        <v>2025</v>
      </c>
      <c r="Y1115" s="2">
        <f t="shared" si="376"/>
        <v>1</v>
      </c>
      <c r="Z1115" t="str">
        <f t="shared" si="377"/>
        <v>SO18112</v>
      </c>
      <c r="AA1115" s="11">
        <f t="shared" si="384"/>
        <v>45954.561307870368</v>
      </c>
      <c r="AB1115" s="5" t="str">
        <f t="shared" si="385"/>
        <v>INV13569</v>
      </c>
      <c r="AC1115" s="5" t="str">
        <f>IFERROR(VLOOKUP(D1115,CAARStatus!$A$2:$AA$1600,22,FALSE),"Not invoiced")</f>
        <v>Paid</v>
      </c>
      <c r="AD1115" s="11">
        <f>IF(AC1115="Paid",IFERROR(VLOOKUP(D1115,CAARStatus!$A$2:$AA$1600,6,FALSE),"Pending"),"Pending")</f>
        <v>46015</v>
      </c>
      <c r="AE1115" s="5" t="str">
        <f t="shared" si="386"/>
        <v>4500618974</v>
      </c>
      <c r="AF1115" s="5" t="str">
        <f t="shared" si="387"/>
        <v>Resolute Forest Products - Saint-Felicien</v>
      </c>
      <c r="AG1115" s="5" t="str">
        <f t="shared" si="388"/>
        <v>CAD</v>
      </c>
      <c r="AH1115" s="5">
        <f t="shared" si="389"/>
        <v>0</v>
      </c>
      <c r="AI1115" s="12">
        <f>IF(L1115-N1115=0,VLOOKUP(U1115,rate!A$4:B$15,2,FALSE)*AH1115,IF(AG1115="USD",O1115,AH1115*Y1115))</f>
        <v>0</v>
      </c>
      <c r="AJ1115" s="13">
        <f t="shared" si="390"/>
        <v>0</v>
      </c>
      <c r="AK1115" s="13">
        <f>-IF(AG1115="CAD",IFERROR(VLOOKUP(D1115,CAARStatus!$A$1:$Y$1600,16,FALSE),0),0)</f>
        <v>-1306.8599999999999</v>
      </c>
      <c r="AL1115" s="13">
        <f>-IF(AG1115="USD",IFERROR(VLOOKUP(D1115,CAARStatus!$A$1:$Y$1600,11,FALSE),0),0)</f>
        <v>0</v>
      </c>
      <c r="AM1115" s="22">
        <f t="shared" si="391"/>
        <v>-1306.8599999999999</v>
      </c>
      <c r="AN1115" s="12" t="str">
        <f t="shared" si="392"/>
        <v/>
      </c>
      <c r="AO1115" s="12" t="str">
        <f t="shared" si="393"/>
        <v>Yes</v>
      </c>
      <c r="AP1115" t="str">
        <f t="shared" si="378"/>
        <v>XX</v>
      </c>
      <c r="AQ1115" t="str">
        <f>IFERROR(VLOOKUP(Z1115,InvBal!$L$4:$P$600,4,FALSE),"Pend")</f>
        <v>Yes</v>
      </c>
      <c r="AR1115" t="str">
        <f>IFERROR(VLOOKUP(D1115,Manual!$C$1:$E$22,2,FALSE),"Pend")</f>
        <v>Pend</v>
      </c>
      <c r="AS1115" t="str">
        <f t="shared" si="394"/>
        <v>Yes</v>
      </c>
      <c r="AT1115" t="str">
        <f t="shared" si="395"/>
        <v/>
      </c>
      <c r="AU1115" s="51" t="str">
        <f t="shared" si="396"/>
        <v/>
      </c>
      <c r="AV1115" s="12">
        <f>IFERROR(VLOOKUP(D1115,'Receivable Invoice Detail'!$S$1:$U$3014,3,FALSE),0)</f>
        <v>0</v>
      </c>
      <c r="AW1115" s="12">
        <f t="shared" si="397"/>
        <v>0</v>
      </c>
    </row>
    <row r="1116" spans="1:49" x14ac:dyDescent="0.25">
      <c r="A1116" s="2">
        <v>2</v>
      </c>
      <c r="B1116" s="2" t="s">
        <v>311</v>
      </c>
      <c r="C1116" s="2" t="s">
        <v>312</v>
      </c>
      <c r="D1116" s="2" t="s">
        <v>3324</v>
      </c>
      <c r="E1116" s="2" t="s">
        <v>313</v>
      </c>
      <c r="F1116" s="3">
        <v>45957.505995370368</v>
      </c>
      <c r="G1116" s="3">
        <v>45959.695347222223</v>
      </c>
      <c r="H1116" s="4">
        <v>45968</v>
      </c>
      <c r="I1116" s="2" t="s">
        <v>74</v>
      </c>
      <c r="J1116" s="2" t="s">
        <v>51</v>
      </c>
      <c r="K1116" s="2">
        <v>0.71746735350995994</v>
      </c>
      <c r="L1116" s="2">
        <v>4624.6006647798486</v>
      </c>
      <c r="M1116" s="2">
        <v>0</v>
      </c>
      <c r="N1116" s="2">
        <v>3318</v>
      </c>
      <c r="O1116" s="2">
        <v>3318</v>
      </c>
      <c r="P1116" s="2"/>
      <c r="Q1116" s="2">
        <v>3318</v>
      </c>
      <c r="R1116" s="2" t="s">
        <v>44</v>
      </c>
      <c r="S1116" s="2"/>
      <c r="T1116" s="2">
        <f t="shared" si="379"/>
        <v>2</v>
      </c>
      <c r="U1116" s="18">
        <f t="shared" si="380"/>
        <v>10</v>
      </c>
      <c r="V1116" s="18">
        <f t="shared" si="381"/>
        <v>2025</v>
      </c>
      <c r="W1116" s="18" t="str">
        <f t="shared" si="382"/>
        <v/>
      </c>
      <c r="X1116" s="18" t="str">
        <f t="shared" si="383"/>
        <v/>
      </c>
      <c r="Y1116" s="2">
        <f t="shared" si="376"/>
        <v>0.71746735350996005</v>
      </c>
      <c r="Z1116" t="str">
        <f t="shared" si="377"/>
        <v>SO18115</v>
      </c>
      <c r="AA1116" s="11">
        <f t="shared" si="384"/>
        <v>45957.505995370368</v>
      </c>
      <c r="AB1116" s="5" t="str">
        <f t="shared" si="385"/>
        <v>INV13666</v>
      </c>
      <c r="AC1116" s="5" t="str">
        <f>IFERROR(VLOOKUP(D1116,CAARStatus!$A$2:$AA$1600,22,FALSE),"Not invoiced")</f>
        <v>Approved</v>
      </c>
      <c r="AD1116" s="11" t="str">
        <f>IF(AC1116="Paid",IFERROR(VLOOKUP(D1116,CAARStatus!$A$2:$AA$1600,6,FALSE),"Pending"),"Pending")</f>
        <v>Pending</v>
      </c>
      <c r="AE1116" s="5" t="str">
        <f t="shared" si="386"/>
        <v>5414497</v>
      </c>
      <c r="AF1116" s="5" t="str">
        <f t="shared" si="387"/>
        <v>Pierce Pump Company</v>
      </c>
      <c r="AG1116" s="5" t="str">
        <f t="shared" si="388"/>
        <v>USD</v>
      </c>
      <c r="AH1116" s="5">
        <f t="shared" si="389"/>
        <v>4624.6006647798495</v>
      </c>
      <c r="AI1116" s="12">
        <f>IF(L1116-N1116=0,VLOOKUP(U1116,rate!A$4:B$15,2,FALSE)*AH1116,IF(AG1116="USD",O1116,AH1116*Y1116))</f>
        <v>3318</v>
      </c>
      <c r="AJ1116" s="13">
        <f t="shared" si="390"/>
        <v>0.71746735350995994</v>
      </c>
      <c r="AK1116" s="13">
        <f>-IF(AG1116="CAD",IFERROR(VLOOKUP(D1116,CAARStatus!$A$1:$Y$1600,16,FALSE),0),0)</f>
        <v>0</v>
      </c>
      <c r="AL1116" s="13">
        <f>-IF(AG1116="USD",IFERROR(VLOOKUP(D1116,CAARStatus!$A$1:$Y$1600,11,FALSE),0),0)</f>
        <v>-1135</v>
      </c>
      <c r="AM1116" s="22" t="str">
        <f t="shared" si="391"/>
        <v/>
      </c>
      <c r="AN1116" s="12">
        <f t="shared" si="392"/>
        <v>2183</v>
      </c>
      <c r="AO1116" s="12" t="str">
        <f t="shared" si="393"/>
        <v>Pend</v>
      </c>
      <c r="AP1116" t="str">
        <f t="shared" si="378"/>
        <v>XX</v>
      </c>
      <c r="AQ1116" t="str">
        <f>IFERROR(VLOOKUP(Z1116,InvBal!$L$4:$P$600,4,FALSE),"Pend")</f>
        <v>Yes</v>
      </c>
      <c r="AR1116" t="str">
        <f>IFERROR(VLOOKUP(D1116,Manual!$C$1:$E$22,2,FALSE),"Pend")</f>
        <v>Pend</v>
      </c>
      <c r="AS1116" t="str">
        <f t="shared" si="394"/>
        <v>Yes</v>
      </c>
      <c r="AT1116" t="str">
        <f t="shared" si="395"/>
        <v>Yes</v>
      </c>
      <c r="AU1116" s="51" t="str">
        <f t="shared" si="396"/>
        <v>Yes</v>
      </c>
      <c r="AV1116" s="12">
        <f>IFERROR(VLOOKUP(D1116,'Receivable Invoice Detail'!$S$1:$U$3014,3,FALSE),0)</f>
        <v>0</v>
      </c>
      <c r="AW1116" s="12">
        <f t="shared" si="397"/>
        <v>3318</v>
      </c>
    </row>
    <row r="1117" spans="1:49" x14ac:dyDescent="0.25">
      <c r="A1117" s="2"/>
      <c r="B1117" s="2"/>
      <c r="C1117" s="2"/>
      <c r="D1117" s="2" t="s">
        <v>3323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>
        <f t="shared" si="379"/>
        <v>2</v>
      </c>
      <c r="U1117" s="18">
        <f t="shared" si="380"/>
        <v>10</v>
      </c>
      <c r="V1117" s="18">
        <f t="shared" si="381"/>
        <v>2025</v>
      </c>
      <c r="W1117" s="18" t="str">
        <f t="shared" si="382"/>
        <v/>
      </c>
      <c r="X1117" s="18" t="str">
        <f t="shared" si="383"/>
        <v/>
      </c>
      <c r="Y1117" s="17">
        <f t="shared" si="376"/>
        <v>0.71746735350996005</v>
      </c>
      <c r="Z1117" t="str">
        <f t="shared" si="377"/>
        <v>SO18115</v>
      </c>
      <c r="AA1117" s="11">
        <f t="shared" si="384"/>
        <v>45957.505995370368</v>
      </c>
      <c r="AB1117" s="5" t="str">
        <f t="shared" si="385"/>
        <v>INV13615</v>
      </c>
      <c r="AC1117" s="5" t="str">
        <f>IFERROR(VLOOKUP(D1117,CAARStatus!$A$2:$AA$1600,22,FALSE),"Not invoiced")</f>
        <v>Approved</v>
      </c>
      <c r="AD1117" s="11" t="str">
        <f>IF(AC1117="Paid",IFERROR(VLOOKUP(D1117,CAARStatus!$A$2:$AA$1600,6,FALSE),"Pending"),"Pending")</f>
        <v>Pending</v>
      </c>
      <c r="AE1117" s="5" t="str">
        <f t="shared" si="386"/>
        <v>5414497</v>
      </c>
      <c r="AF1117" s="5" t="str">
        <f t="shared" si="387"/>
        <v>Pierce Pump Company</v>
      </c>
      <c r="AG1117" s="5" t="str">
        <f t="shared" si="388"/>
        <v>USD</v>
      </c>
      <c r="AH1117" s="5">
        <f t="shared" si="389"/>
        <v>0</v>
      </c>
      <c r="AI1117" s="12">
        <f>IF(L1117-N1117=0,VLOOKUP(U1117,rate!A$4:B$15,2,FALSE)*AH1117,IF(AG1117="USD",O1117,AH1117*Y1117))</f>
        <v>0</v>
      </c>
      <c r="AJ1117" s="13">
        <f t="shared" si="390"/>
        <v>0</v>
      </c>
      <c r="AK1117" s="13">
        <f>-IF(AG1117="CAD",IFERROR(VLOOKUP(D1117,CAARStatus!$A$1:$Y$1600,16,FALSE),0),0)</f>
        <v>0</v>
      </c>
      <c r="AL1117" s="13">
        <f>-IF(AG1117="USD",IFERROR(VLOOKUP(D1117,CAARStatus!$A$1:$Y$1600,11,FALSE),0),0)</f>
        <v>-2183</v>
      </c>
      <c r="AM1117" s="22" t="str">
        <f t="shared" si="391"/>
        <v/>
      </c>
      <c r="AN1117" s="12">
        <f t="shared" si="392"/>
        <v>-2183</v>
      </c>
      <c r="AO1117" s="12" t="str">
        <f t="shared" si="393"/>
        <v>Pend</v>
      </c>
      <c r="AP1117" t="str">
        <f t="shared" si="378"/>
        <v>XX</v>
      </c>
      <c r="AQ1117" t="str">
        <f>IFERROR(VLOOKUP(Z1117,InvBal!$L$4:$P$600,4,FALSE),"Pend")</f>
        <v>Yes</v>
      </c>
      <c r="AR1117" t="str">
        <f>IFERROR(VLOOKUP(D1117,Manual!$C$1:$E$22,2,FALSE),"Pend")</f>
        <v>Pend</v>
      </c>
      <c r="AS1117" t="str">
        <f t="shared" si="394"/>
        <v>Yes</v>
      </c>
      <c r="AT1117" t="str">
        <f t="shared" si="395"/>
        <v/>
      </c>
      <c r="AU1117" s="51" t="str">
        <f t="shared" si="396"/>
        <v/>
      </c>
      <c r="AV1117" s="12">
        <f>IFERROR(VLOOKUP(D1117,'Receivable Invoice Detail'!$S$1:$U$3014,3,FALSE),0)</f>
        <v>0</v>
      </c>
      <c r="AW1117" s="12">
        <f t="shared" si="397"/>
        <v>0</v>
      </c>
    </row>
    <row r="1118" spans="1:49" ht="30" x14ac:dyDescent="0.25">
      <c r="A1118" s="2">
        <v>1</v>
      </c>
      <c r="B1118" s="2" t="s">
        <v>305</v>
      </c>
      <c r="C1118" s="2" t="s">
        <v>306</v>
      </c>
      <c r="D1118" s="2" t="s">
        <v>3327</v>
      </c>
      <c r="E1118" s="2" t="s">
        <v>307</v>
      </c>
      <c r="F1118" s="3">
        <v>45957.596932870372</v>
      </c>
      <c r="G1118" s="3">
        <v>45960.583877314813</v>
      </c>
      <c r="H1118" s="4">
        <v>45230</v>
      </c>
      <c r="I1118" s="2" t="s">
        <v>180</v>
      </c>
      <c r="J1118" s="2" t="s">
        <v>51</v>
      </c>
      <c r="K1118" s="2">
        <v>0.71746735350995994</v>
      </c>
      <c r="L1118" s="2">
        <v>4205.3202633395013</v>
      </c>
      <c r="M1118" s="2">
        <v>0</v>
      </c>
      <c r="N1118" s="2">
        <v>3017.18</v>
      </c>
      <c r="O1118" s="2">
        <v>3017.18</v>
      </c>
      <c r="P1118" s="2"/>
      <c r="Q1118" s="2">
        <v>3017.18</v>
      </c>
      <c r="R1118" s="2" t="s">
        <v>44</v>
      </c>
      <c r="S1118" s="2"/>
      <c r="T1118" s="2">
        <f t="shared" si="379"/>
        <v>1</v>
      </c>
      <c r="U1118" s="18">
        <f t="shared" si="380"/>
        <v>10</v>
      </c>
      <c r="V1118" s="18">
        <f t="shared" si="381"/>
        <v>2025</v>
      </c>
      <c r="W1118" s="18">
        <f t="shared" si="382"/>
        <v>12</v>
      </c>
      <c r="X1118" s="18">
        <f t="shared" si="383"/>
        <v>2025</v>
      </c>
      <c r="Y1118" s="2">
        <f t="shared" si="376"/>
        <v>0.71746735350995994</v>
      </c>
      <c r="Z1118" t="str">
        <f t="shared" si="377"/>
        <v>SO18116</v>
      </c>
      <c r="AA1118" s="11">
        <f t="shared" si="384"/>
        <v>45957.596932870372</v>
      </c>
      <c r="AB1118" s="5" t="str">
        <f t="shared" si="385"/>
        <v>INV13605</v>
      </c>
      <c r="AC1118" s="5" t="str">
        <f>IFERROR(VLOOKUP(D1118,CAARStatus!$A$2:$AA$1600,22,FALSE),"Not invoiced")</f>
        <v>Paid</v>
      </c>
      <c r="AD1118" s="11">
        <f>IF(AC1118="Paid",IFERROR(VLOOKUP(D1118,CAARStatus!$A$2:$AA$1600,6,FALSE),"Pending"),"Pending")</f>
        <v>46022</v>
      </c>
      <c r="AE1118" s="5" t="str">
        <f t="shared" si="386"/>
        <v>10017456</v>
      </c>
      <c r="AF1118" s="5" t="str">
        <f t="shared" si="387"/>
        <v>DXP Enterprises, Inc. - Grand Prairie</v>
      </c>
      <c r="AG1118" s="5" t="str">
        <f t="shared" si="388"/>
        <v>USD</v>
      </c>
      <c r="AH1118" s="5">
        <f t="shared" si="389"/>
        <v>4205.3202633395013</v>
      </c>
      <c r="AI1118" s="12">
        <f>IF(L1118-N1118=0,VLOOKUP(U1118,rate!A$4:B$15,2,FALSE)*AH1118,IF(AG1118="USD",O1118,AH1118*Y1118))</f>
        <v>3017.18</v>
      </c>
      <c r="AJ1118" s="13">
        <f t="shared" si="390"/>
        <v>0.71746735350995994</v>
      </c>
      <c r="AK1118" s="13">
        <f>-IF(AG1118="CAD",IFERROR(VLOOKUP(D1118,CAARStatus!$A$1:$Y$1600,16,FALSE),0),0)</f>
        <v>0</v>
      </c>
      <c r="AL1118" s="13">
        <f>-IF(AG1118="USD",IFERROR(VLOOKUP(D1118,CAARStatus!$A$1:$Y$1600,11,FALSE),0),0)</f>
        <v>-3017.18</v>
      </c>
      <c r="AM1118" s="22" t="str">
        <f t="shared" si="391"/>
        <v/>
      </c>
      <c r="AN1118" s="12">
        <f t="shared" si="392"/>
        <v>0</v>
      </c>
      <c r="AO1118" s="12" t="str">
        <f t="shared" si="393"/>
        <v>Yes</v>
      </c>
      <c r="AP1118" t="str">
        <f t="shared" si="378"/>
        <v>Yes</v>
      </c>
      <c r="AQ1118" t="str">
        <f>IFERROR(VLOOKUP(Z1118,InvBal!$L$4:$P$600,4,FALSE),"Pend")</f>
        <v>Pend</v>
      </c>
      <c r="AR1118" t="str">
        <f>IFERROR(VLOOKUP(D1118,Manual!$C$1:$E$22,2,FALSE),"Pend")</f>
        <v>Pend</v>
      </c>
      <c r="AS1118" t="str">
        <f t="shared" si="394"/>
        <v>Yes</v>
      </c>
      <c r="AT1118" t="str">
        <f t="shared" si="395"/>
        <v>Yes</v>
      </c>
      <c r="AU1118" s="51" t="str">
        <f t="shared" si="396"/>
        <v>Yes</v>
      </c>
      <c r="AV1118" s="12">
        <f>IFERROR(VLOOKUP(D1118,'Receivable Invoice Detail'!$S$1:$U$3014,3,FALSE),0)</f>
        <v>713</v>
      </c>
      <c r="AW1118" s="12">
        <f t="shared" si="397"/>
        <v>2304.1799999999998</v>
      </c>
    </row>
    <row r="1119" spans="1:49" x14ac:dyDescent="0.25">
      <c r="A1119" s="2">
        <v>1</v>
      </c>
      <c r="B1119" s="2" t="s">
        <v>5861</v>
      </c>
      <c r="C1119" s="2" t="s">
        <v>5862</v>
      </c>
      <c r="D1119" s="2" t="s">
        <v>6012</v>
      </c>
      <c r="E1119" s="2" t="s">
        <v>54</v>
      </c>
      <c r="F1119" s="3">
        <v>45957.801574074067</v>
      </c>
      <c r="G1119" s="3">
        <v>45994.421435185177</v>
      </c>
      <c r="H1119" s="4">
        <v>46071</v>
      </c>
      <c r="I1119" s="2" t="s">
        <v>21</v>
      </c>
      <c r="J1119" s="2" t="s">
        <v>22</v>
      </c>
      <c r="K1119" s="2">
        <v>1</v>
      </c>
      <c r="L1119" s="2">
        <v>14649.57</v>
      </c>
      <c r="M1119" s="2">
        <v>0</v>
      </c>
      <c r="N1119" s="2">
        <v>10499.290339573499</v>
      </c>
      <c r="O1119" s="2">
        <v>13927.52</v>
      </c>
      <c r="P1119" s="2">
        <v>722.05</v>
      </c>
      <c r="Q1119" s="2">
        <v>14649.57</v>
      </c>
      <c r="R1119" s="2" t="s">
        <v>29</v>
      </c>
      <c r="S1119" s="2"/>
      <c r="T1119" s="2">
        <f t="shared" si="379"/>
        <v>1</v>
      </c>
      <c r="U1119" s="18">
        <f t="shared" si="380"/>
        <v>10</v>
      </c>
      <c r="V1119" s="18">
        <f t="shared" si="381"/>
        <v>2025</v>
      </c>
      <c r="W1119" s="18" t="str">
        <f t="shared" si="382"/>
        <v/>
      </c>
      <c r="X1119" s="18" t="str">
        <f t="shared" si="383"/>
        <v/>
      </c>
      <c r="Y1119" s="2">
        <f t="shared" si="376"/>
        <v>0.71669614463588349</v>
      </c>
      <c r="Z1119" t="str">
        <f t="shared" si="377"/>
        <v>SO18120</v>
      </c>
      <c r="AA1119" s="11">
        <f t="shared" si="384"/>
        <v>45957.801574074067</v>
      </c>
      <c r="AB1119" s="5" t="str">
        <f t="shared" si="385"/>
        <v>INV13770</v>
      </c>
      <c r="AC1119" s="5" t="str">
        <f>IFERROR(VLOOKUP(D1119,CAARStatus!$A$2:$AA$1600,22,FALSE),"Not invoiced")</f>
        <v>Approved</v>
      </c>
      <c r="AD1119" s="11" t="str">
        <f>IF(AC1119="Paid",IFERROR(VLOOKUP(D1119,CAARStatus!$A$2:$AA$1600,6,FALSE),"Pending"),"Pending")</f>
        <v>Pending</v>
      </c>
      <c r="AE1119" s="5" t="str">
        <f t="shared" si="386"/>
        <v>3421</v>
      </c>
      <c r="AF1119" s="5" t="str">
        <f t="shared" si="387"/>
        <v>Les Pompes du St-Laurent Inc.</v>
      </c>
      <c r="AG1119" s="5" t="str">
        <f t="shared" si="388"/>
        <v>CAD</v>
      </c>
      <c r="AH1119" s="5">
        <f t="shared" si="389"/>
        <v>13927.52</v>
      </c>
      <c r="AI1119" s="12">
        <f>IF(L1119-N1119=0,VLOOKUP(U1119,rate!A$4:B$15,2,FALSE)*AH1119,IF(AG1119="USD",O1119,AH1119*Y1119))</f>
        <v>9981.799888339161</v>
      </c>
      <c r="AJ1119" s="13">
        <f t="shared" si="390"/>
        <v>0.71669614463588349</v>
      </c>
      <c r="AK1119" s="13">
        <f>-IF(AG1119="CAD",IFERROR(VLOOKUP(D1119,CAARStatus!$A$1:$Y$1600,16,FALSE),0),0)</f>
        <v>-3373.54</v>
      </c>
      <c r="AL1119" s="13">
        <f>-IF(AG1119="USD",IFERROR(VLOOKUP(D1119,CAARStatus!$A$1:$Y$1600,11,FALSE),0),0)</f>
        <v>0</v>
      </c>
      <c r="AM1119" s="22">
        <f t="shared" si="391"/>
        <v>10553.98</v>
      </c>
      <c r="AN1119" s="12" t="str">
        <f t="shared" si="392"/>
        <v/>
      </c>
      <c r="AO1119" s="12" t="str">
        <f t="shared" si="393"/>
        <v>Pend</v>
      </c>
      <c r="AP1119" t="str">
        <f t="shared" si="378"/>
        <v>Pend</v>
      </c>
      <c r="AQ1119" t="str">
        <f>IFERROR(VLOOKUP(Z1119,InvBal!$L$4:$P$600,4,FALSE),"Pend")</f>
        <v>Pend</v>
      </c>
      <c r="AR1119" t="str">
        <f>IFERROR(VLOOKUP(D1119,Manual!$C$1:$E$22,2,FALSE),"Pend")</f>
        <v>Pend</v>
      </c>
      <c r="AS1119" t="str">
        <f t="shared" si="394"/>
        <v/>
      </c>
      <c r="AT1119" t="str">
        <f t="shared" si="395"/>
        <v/>
      </c>
      <c r="AU1119" s="51" t="str">
        <f t="shared" si="396"/>
        <v/>
      </c>
      <c r="AV1119" s="12">
        <f>IFERROR(VLOOKUP(D1119,'Receivable Invoice Detail'!$S$1:$U$3014,3,FALSE),0)</f>
        <v>0</v>
      </c>
      <c r="AW1119" s="12">
        <f t="shared" si="397"/>
        <v>0</v>
      </c>
    </row>
    <row r="1120" spans="1:49" x14ac:dyDescent="0.25">
      <c r="A1120" s="2">
        <v>1</v>
      </c>
      <c r="B1120" s="2" t="s">
        <v>329</v>
      </c>
      <c r="C1120" s="2" t="s">
        <v>330</v>
      </c>
      <c r="D1120" s="2" t="s">
        <v>3316</v>
      </c>
      <c r="E1120" s="2" t="s">
        <v>64</v>
      </c>
      <c r="F1120" s="3">
        <v>45958.430462962962</v>
      </c>
      <c r="G1120" s="3">
        <v>45958.665937500002</v>
      </c>
      <c r="H1120" s="4">
        <v>45986</v>
      </c>
      <c r="I1120" s="2" t="s">
        <v>74</v>
      </c>
      <c r="J1120" s="2" t="s">
        <v>22</v>
      </c>
      <c r="K1120" s="2">
        <v>1</v>
      </c>
      <c r="L1120" s="2">
        <v>3315.42</v>
      </c>
      <c r="M1120" s="2">
        <v>0</v>
      </c>
      <c r="N1120" s="2">
        <v>2378.705613173991</v>
      </c>
      <c r="O1120" s="2">
        <v>2934</v>
      </c>
      <c r="P1120" s="2">
        <v>381.42</v>
      </c>
      <c r="Q1120" s="2">
        <v>3315.42</v>
      </c>
      <c r="R1120" s="2" t="s">
        <v>44</v>
      </c>
      <c r="S1120" s="2"/>
      <c r="T1120" s="2">
        <f t="shared" si="379"/>
        <v>1</v>
      </c>
      <c r="U1120" s="18">
        <f t="shared" si="380"/>
        <v>10</v>
      </c>
      <c r="V1120" s="18">
        <f t="shared" si="381"/>
        <v>2025</v>
      </c>
      <c r="W1120" s="18" t="str">
        <f t="shared" si="382"/>
        <v/>
      </c>
      <c r="X1120" s="18" t="str">
        <f t="shared" si="383"/>
        <v/>
      </c>
      <c r="Y1120" s="17">
        <f t="shared" si="376"/>
        <v>0.71746735350995983</v>
      </c>
      <c r="Z1120" t="str">
        <f t="shared" si="377"/>
        <v>SO18122</v>
      </c>
      <c r="AA1120" s="11">
        <f t="shared" si="384"/>
        <v>45958.430462962962</v>
      </c>
      <c r="AB1120" s="5" t="str">
        <f t="shared" si="385"/>
        <v>INV13608</v>
      </c>
      <c r="AC1120" s="5" t="str">
        <f>IFERROR(VLOOKUP(D1120,CAARStatus!$A$2:$AA$1600,22,FALSE),"Not invoiced")</f>
        <v>Approved</v>
      </c>
      <c r="AD1120" s="11" t="str">
        <f>IF(AC1120="Paid",IFERROR(VLOOKUP(D1120,CAARStatus!$A$2:$AA$1600,6,FALSE),"Pending"),"Pending")</f>
        <v>Pending</v>
      </c>
      <c r="AE1120" s="5" t="str">
        <f t="shared" si="386"/>
        <v>607048</v>
      </c>
      <c r="AF1120" s="5" t="str">
        <f t="shared" si="387"/>
        <v>Sealtrac Inc.</v>
      </c>
      <c r="AG1120" s="5" t="str">
        <f t="shared" si="388"/>
        <v>CAD</v>
      </c>
      <c r="AH1120" s="5">
        <f t="shared" si="389"/>
        <v>2934</v>
      </c>
      <c r="AI1120" s="12">
        <f>IF(L1120-N1120=0,VLOOKUP(U1120,rate!A$4:B$15,2,FALSE)*AH1120,IF(AG1120="USD",O1120,AH1120*Y1120))</f>
        <v>2105.0492151982221</v>
      </c>
      <c r="AJ1120" s="13">
        <f t="shared" si="390"/>
        <v>0.71746735350995983</v>
      </c>
      <c r="AK1120" s="13">
        <f>-IF(AG1120="CAD",IFERROR(VLOOKUP(D1120,CAARStatus!$A$1:$Y$1600,16,FALSE),0),0)</f>
        <v>-2934</v>
      </c>
      <c r="AL1120" s="13">
        <f>-IF(AG1120="USD",IFERROR(VLOOKUP(D1120,CAARStatus!$A$1:$Y$1600,11,FALSE),0),0)</f>
        <v>0</v>
      </c>
      <c r="AM1120" s="22">
        <f t="shared" si="391"/>
        <v>0</v>
      </c>
      <c r="AN1120" s="12" t="str">
        <f t="shared" si="392"/>
        <v/>
      </c>
      <c r="AO1120" s="12" t="str">
        <f t="shared" si="393"/>
        <v>Pend</v>
      </c>
      <c r="AP1120" t="str">
        <f t="shared" si="378"/>
        <v>Pend</v>
      </c>
      <c r="AQ1120" t="str">
        <f>IFERROR(VLOOKUP(Z1120,InvBal!$L$4:$P$600,4,FALSE),"Pend")</f>
        <v>Pend</v>
      </c>
      <c r="AR1120" t="str">
        <f>IFERROR(VLOOKUP(D1120,Manual!$C$1:$E$22,2,FALSE),"Pend")</f>
        <v>Pend</v>
      </c>
      <c r="AS1120" t="str">
        <f t="shared" si="394"/>
        <v/>
      </c>
      <c r="AT1120" t="str">
        <f t="shared" si="395"/>
        <v>Yes</v>
      </c>
      <c r="AU1120" s="51" t="str">
        <f t="shared" si="396"/>
        <v/>
      </c>
      <c r="AV1120" s="12">
        <f>IFERROR(VLOOKUP(D1120,'Receivable Invoice Detail'!$S$1:$U$3014,3,FALSE),0)</f>
        <v>0</v>
      </c>
      <c r="AW1120" s="12">
        <f t="shared" si="397"/>
        <v>0</v>
      </c>
    </row>
    <row r="1121" spans="1:49" x14ac:dyDescent="0.25">
      <c r="A1121" s="2">
        <v>1</v>
      </c>
      <c r="B1121" s="2" t="s">
        <v>297</v>
      </c>
      <c r="C1121" s="2" t="s">
        <v>298</v>
      </c>
      <c r="D1121" s="2" t="s">
        <v>6325</v>
      </c>
      <c r="E1121" s="2" t="s">
        <v>54</v>
      </c>
      <c r="F1121" s="3">
        <v>45958.448298611111</v>
      </c>
      <c r="G1121" s="3">
        <v>45961.472905092603</v>
      </c>
      <c r="H1121" s="4">
        <v>45986</v>
      </c>
      <c r="I1121" s="2" t="s">
        <v>21</v>
      </c>
      <c r="J1121" s="2" t="s">
        <v>22</v>
      </c>
      <c r="K1121" s="2">
        <v>1</v>
      </c>
      <c r="L1121" s="2">
        <v>2097.44</v>
      </c>
      <c r="M1121" s="2">
        <v>0</v>
      </c>
      <c r="N1121" s="2">
        <v>1496.902889203584</v>
      </c>
      <c r="O1121" s="2">
        <v>1997.56</v>
      </c>
      <c r="P1121" s="2">
        <v>99.88</v>
      </c>
      <c r="Q1121" s="2">
        <v>2097.44</v>
      </c>
      <c r="R1121" s="2" t="s">
        <v>44</v>
      </c>
      <c r="S1121" s="2"/>
      <c r="T1121" s="2">
        <f t="shared" si="379"/>
        <v>1</v>
      </c>
      <c r="U1121" s="18">
        <f t="shared" si="380"/>
        <v>10</v>
      </c>
      <c r="V1121" s="18">
        <f t="shared" si="381"/>
        <v>2025</v>
      </c>
      <c r="W1121" s="18" t="str">
        <f t="shared" si="382"/>
        <v/>
      </c>
      <c r="X1121" s="18" t="str">
        <f t="shared" si="383"/>
        <v/>
      </c>
      <c r="Y1121" s="2">
        <f t="shared" si="376"/>
        <v>0.71368091063562433</v>
      </c>
      <c r="Z1121" t="str">
        <f t="shared" si="377"/>
        <v>SO18123</v>
      </c>
      <c r="AA1121" s="11">
        <f t="shared" si="384"/>
        <v>45958.448298611111</v>
      </c>
      <c r="AB1121" s="5" t="str">
        <f t="shared" si="385"/>
        <v>INV13762</v>
      </c>
      <c r="AC1121" s="5" t="str">
        <f>IFERROR(VLOOKUP(D1121,CAARStatus!$A$2:$AA$1600,22,FALSE),"Not invoiced")</f>
        <v>Not invoiced</v>
      </c>
      <c r="AD1121" s="11" t="str">
        <f>IF(AC1121="Paid",IFERROR(VLOOKUP(D1121,CAARStatus!$A$2:$AA$1600,6,FALSE),"Pending"),"Pending")</f>
        <v>Pending</v>
      </c>
      <c r="AE1121" s="5" t="str">
        <f t="shared" si="386"/>
        <v>3364</v>
      </c>
      <c r="AF1121" s="5" t="str">
        <f t="shared" si="387"/>
        <v>Les Pompes du St-Laurent Inc.</v>
      </c>
      <c r="AG1121" s="5" t="str">
        <f t="shared" si="388"/>
        <v>CAD</v>
      </c>
      <c r="AH1121" s="5">
        <f t="shared" si="389"/>
        <v>1997.56</v>
      </c>
      <c r="AI1121" s="12">
        <f>IF(L1121-N1121=0,VLOOKUP(U1121,rate!A$4:B$15,2,FALSE)*AH1121,IF(AG1121="USD",O1121,AH1121*Y1121))</f>
        <v>1425.6204398492978</v>
      </c>
      <c r="AJ1121" s="13">
        <f t="shared" si="390"/>
        <v>0.71368091063562433</v>
      </c>
      <c r="AK1121" s="13">
        <f>-IF(AG1121="CAD",IFERROR(VLOOKUP(D1121,CAARStatus!$A$1:$Y$1600,16,FALSE),0),0)</f>
        <v>0</v>
      </c>
      <c r="AL1121" s="13">
        <f>-IF(AG1121="USD",IFERROR(VLOOKUP(D1121,CAARStatus!$A$1:$Y$1600,11,FALSE),0),0)</f>
        <v>0</v>
      </c>
      <c r="AM1121" s="22">
        <f t="shared" si="391"/>
        <v>1997.56</v>
      </c>
      <c r="AN1121" s="12" t="str">
        <f t="shared" si="392"/>
        <v/>
      </c>
      <c r="AO1121" s="12" t="str">
        <f t="shared" si="393"/>
        <v>Pend</v>
      </c>
      <c r="AP1121" t="str">
        <f t="shared" si="378"/>
        <v>Pend</v>
      </c>
      <c r="AQ1121" t="str">
        <f>IFERROR(VLOOKUP(Z1121,InvBal!$L$4:$P$600,4,FALSE),"Pend")</f>
        <v>Pend</v>
      </c>
      <c r="AR1121" t="str">
        <f>IFERROR(VLOOKUP(D1121,Manual!$C$1:$E$22,2,FALSE),"Pend")</f>
        <v>Pend</v>
      </c>
      <c r="AS1121" t="str">
        <f t="shared" si="394"/>
        <v/>
      </c>
      <c r="AT1121" t="str">
        <f t="shared" si="395"/>
        <v>Yes</v>
      </c>
      <c r="AU1121" s="51" t="str">
        <f t="shared" si="396"/>
        <v/>
      </c>
      <c r="AV1121" s="12">
        <f>IFERROR(VLOOKUP(D1121,'Receivable Invoice Detail'!$S$1:$U$3014,3,FALSE),0)</f>
        <v>0</v>
      </c>
      <c r="AW1121" s="12">
        <f t="shared" si="397"/>
        <v>0</v>
      </c>
    </row>
    <row r="1122" spans="1:49" x14ac:dyDescent="0.25">
      <c r="A1122" s="2">
        <v>2</v>
      </c>
      <c r="B1122" s="2" t="s">
        <v>336</v>
      </c>
      <c r="C1122" s="2" t="s">
        <v>337</v>
      </c>
      <c r="D1122" s="2" t="s">
        <v>6084</v>
      </c>
      <c r="E1122" s="2" t="s">
        <v>141</v>
      </c>
      <c r="F1122" s="3">
        <v>45958.456087962957</v>
      </c>
      <c r="G1122" s="3">
        <v>45958.45616898148</v>
      </c>
      <c r="H1122" s="4">
        <v>46063</v>
      </c>
      <c r="I1122" s="2" t="s">
        <v>21</v>
      </c>
      <c r="J1122" s="2" t="s">
        <v>51</v>
      </c>
      <c r="K1122" s="2">
        <v>0.71446482127323563</v>
      </c>
      <c r="L1122" s="2">
        <v>1902.682902675931</v>
      </c>
      <c r="M1122" s="2">
        <v>0</v>
      </c>
      <c r="N1122" s="2">
        <v>1359.4</v>
      </c>
      <c r="O1122" s="2">
        <v>1359.4</v>
      </c>
      <c r="P1122" s="2"/>
      <c r="Q1122" s="2">
        <v>1359.4</v>
      </c>
      <c r="R1122" s="2" t="s">
        <v>44</v>
      </c>
      <c r="S1122" s="2"/>
      <c r="T1122" s="2">
        <f t="shared" si="379"/>
        <v>2</v>
      </c>
      <c r="U1122" s="18">
        <f t="shared" si="380"/>
        <v>10</v>
      </c>
      <c r="V1122" s="18">
        <f t="shared" si="381"/>
        <v>2025</v>
      </c>
      <c r="W1122" s="18" t="str">
        <f t="shared" si="382"/>
        <v/>
      </c>
      <c r="X1122" s="18" t="str">
        <f t="shared" si="383"/>
        <v/>
      </c>
      <c r="Y1122" s="2">
        <f t="shared" si="376"/>
        <v>0.71446482127323552</v>
      </c>
      <c r="Z1122" t="str">
        <f t="shared" si="377"/>
        <v>SO18124</v>
      </c>
      <c r="AA1122" s="11">
        <f t="shared" si="384"/>
        <v>45958.456087962957</v>
      </c>
      <c r="AB1122" s="5" t="str">
        <f t="shared" si="385"/>
        <v>INV13815</v>
      </c>
      <c r="AC1122" s="5" t="str">
        <f>IFERROR(VLOOKUP(D1122,CAARStatus!$A$2:$AA$1600,22,FALSE),"Not invoiced")</f>
        <v>Approved</v>
      </c>
      <c r="AD1122" s="11" t="str">
        <f>IF(AC1122="Paid",IFERROR(VLOOKUP(D1122,CAARStatus!$A$2:$AA$1600,6,FALSE),"Pending"),"Pending")</f>
        <v>Pending</v>
      </c>
      <c r="AE1122" s="5" t="str">
        <f t="shared" si="386"/>
        <v>4512474161</v>
      </c>
      <c r="AF1122" s="5" t="str">
        <f t="shared" si="387"/>
        <v>PT Vale Indonesia Tbk.</v>
      </c>
      <c r="AG1122" s="5" t="str">
        <f t="shared" si="388"/>
        <v>USD</v>
      </c>
      <c r="AH1122" s="5">
        <f t="shared" si="389"/>
        <v>1902.6829026759308</v>
      </c>
      <c r="AI1122" s="12">
        <f>IF(L1122-N1122=0,VLOOKUP(U1122,rate!A$4:B$15,2,FALSE)*AH1122,IF(AG1122="USD",O1122,AH1122*Y1122))</f>
        <v>1359.4</v>
      </c>
      <c r="AJ1122" s="13">
        <f t="shared" si="390"/>
        <v>0.71446482127323563</v>
      </c>
      <c r="AK1122" s="13">
        <f>-IF(AG1122="CAD",IFERROR(VLOOKUP(D1122,CAARStatus!$A$1:$Y$1600,16,FALSE),0),0)</f>
        <v>0</v>
      </c>
      <c r="AL1122" s="13">
        <f>-IF(AG1122="USD",IFERROR(VLOOKUP(D1122,CAARStatus!$A$1:$Y$1600,11,FALSE),0),0)</f>
        <v>-339.85</v>
      </c>
      <c r="AM1122" s="22" t="str">
        <f t="shared" si="391"/>
        <v/>
      </c>
      <c r="AN1122" s="12">
        <f t="shared" si="392"/>
        <v>1019.5500000000001</v>
      </c>
      <c r="AO1122" s="12" t="str">
        <f t="shared" si="393"/>
        <v>Pend</v>
      </c>
      <c r="AP1122" t="str">
        <f t="shared" si="378"/>
        <v>XX</v>
      </c>
      <c r="AQ1122" t="str">
        <f>IFERROR(VLOOKUP(Z1122,InvBal!$L$4:$P$600,4,FALSE),"Pend")</f>
        <v>Yes</v>
      </c>
      <c r="AR1122" t="str">
        <f>IFERROR(VLOOKUP(D1122,Manual!$C$1:$E$22,2,FALSE),"Pend")</f>
        <v>Pend</v>
      </c>
      <c r="AS1122" t="str">
        <f t="shared" si="394"/>
        <v>Yes</v>
      </c>
      <c r="AT1122" t="str">
        <f t="shared" si="395"/>
        <v>Yes</v>
      </c>
      <c r="AU1122" s="51" t="str">
        <f t="shared" si="396"/>
        <v>Yes</v>
      </c>
      <c r="AV1122" s="12">
        <f>IFERROR(VLOOKUP(D1122,'Receivable Invoice Detail'!$S$1:$U$3014,3,FALSE),0)</f>
        <v>0</v>
      </c>
      <c r="AW1122" s="12">
        <f t="shared" si="397"/>
        <v>1359.4</v>
      </c>
    </row>
    <row r="1123" spans="1:49" x14ac:dyDescent="0.25">
      <c r="A1123" s="2"/>
      <c r="B1123" s="2"/>
      <c r="C1123" s="2"/>
      <c r="D1123" s="2" t="s">
        <v>3313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>
        <f t="shared" si="379"/>
        <v>2</v>
      </c>
      <c r="U1123" s="18">
        <f t="shared" si="380"/>
        <v>10</v>
      </c>
      <c r="V1123" s="18">
        <f t="shared" si="381"/>
        <v>2025</v>
      </c>
      <c r="W1123" s="18" t="str">
        <f t="shared" si="382"/>
        <v/>
      </c>
      <c r="X1123" s="18" t="str">
        <f t="shared" si="383"/>
        <v/>
      </c>
      <c r="Y1123" s="2">
        <f t="shared" si="376"/>
        <v>0.71446482127323552</v>
      </c>
      <c r="Z1123" t="str">
        <f t="shared" si="377"/>
        <v>SO18124</v>
      </c>
      <c r="AA1123" s="11">
        <f t="shared" si="384"/>
        <v>45958.456087962957</v>
      </c>
      <c r="AB1123" s="5" t="str">
        <f t="shared" si="385"/>
        <v>INV13592</v>
      </c>
      <c r="AC1123" s="5" t="str">
        <f>IFERROR(VLOOKUP(D1123,CAARStatus!$A$2:$AA$1600,22,FALSE),"Not invoiced")</f>
        <v>Approved</v>
      </c>
      <c r="AD1123" s="11" t="str">
        <f>IF(AC1123="Paid",IFERROR(VLOOKUP(D1123,CAARStatus!$A$2:$AA$1600,6,FALSE),"Pending"),"Pending")</f>
        <v>Pending</v>
      </c>
      <c r="AE1123" s="5" t="str">
        <f t="shared" si="386"/>
        <v>4512474161</v>
      </c>
      <c r="AF1123" s="5" t="str">
        <f t="shared" si="387"/>
        <v>PT Vale Indonesia Tbk.</v>
      </c>
      <c r="AG1123" s="5" t="str">
        <f t="shared" si="388"/>
        <v>USD</v>
      </c>
      <c r="AH1123" s="5">
        <f t="shared" si="389"/>
        <v>0</v>
      </c>
      <c r="AI1123" s="12">
        <f>IF(L1123-N1123=0,VLOOKUP(U1123,rate!A$4:B$15,2,FALSE)*AH1123,IF(AG1123="USD",O1123,AH1123*Y1123))</f>
        <v>0</v>
      </c>
      <c r="AJ1123" s="13">
        <f t="shared" si="390"/>
        <v>0</v>
      </c>
      <c r="AK1123" s="13">
        <f>-IF(AG1123="CAD",IFERROR(VLOOKUP(D1123,CAARStatus!$A$1:$Y$1600,16,FALSE),0),0)</f>
        <v>0</v>
      </c>
      <c r="AL1123" s="13">
        <f>-IF(AG1123="USD",IFERROR(VLOOKUP(D1123,CAARStatus!$A$1:$Y$1600,11,FALSE),0),0)</f>
        <v>-1019.55</v>
      </c>
      <c r="AM1123" s="22" t="str">
        <f t="shared" si="391"/>
        <v/>
      </c>
      <c r="AN1123" s="12">
        <f t="shared" si="392"/>
        <v>-1019.55</v>
      </c>
      <c r="AO1123" s="12" t="str">
        <f t="shared" si="393"/>
        <v>Pend</v>
      </c>
      <c r="AP1123" t="str">
        <f t="shared" si="378"/>
        <v>XX</v>
      </c>
      <c r="AQ1123" t="str">
        <f>IFERROR(VLOOKUP(Z1123,InvBal!$L$4:$P$600,4,FALSE),"Pend")</f>
        <v>Yes</v>
      </c>
      <c r="AR1123" t="str">
        <f>IFERROR(VLOOKUP(D1123,Manual!$C$1:$E$22,2,FALSE),"Pend")</f>
        <v>Pend</v>
      </c>
      <c r="AS1123" t="str">
        <f t="shared" si="394"/>
        <v>Yes</v>
      </c>
      <c r="AT1123" t="str">
        <f t="shared" si="395"/>
        <v/>
      </c>
      <c r="AU1123" s="51" t="str">
        <f t="shared" si="396"/>
        <v/>
      </c>
      <c r="AV1123" s="12">
        <f>IFERROR(VLOOKUP(D1123,'Receivable Invoice Detail'!$S$1:$U$3014,3,FALSE),0)</f>
        <v>0</v>
      </c>
      <c r="AW1123" s="12">
        <f t="shared" si="397"/>
        <v>0</v>
      </c>
    </row>
    <row r="1124" spans="1:49" x14ac:dyDescent="0.25">
      <c r="A1124" s="2">
        <v>2</v>
      </c>
      <c r="B1124" s="2" t="s">
        <v>334</v>
      </c>
      <c r="C1124" s="2" t="s">
        <v>335</v>
      </c>
      <c r="D1124" s="2" t="s">
        <v>6021</v>
      </c>
      <c r="E1124" s="2" t="s">
        <v>141</v>
      </c>
      <c r="F1124" s="3">
        <v>45958.463425925933</v>
      </c>
      <c r="G1124" s="3">
        <v>45958.463460648149</v>
      </c>
      <c r="H1124" s="4">
        <v>45982</v>
      </c>
      <c r="I1124" s="2" t="s">
        <v>21</v>
      </c>
      <c r="J1124" s="2" t="s">
        <v>51</v>
      </c>
      <c r="K1124" s="2">
        <v>0.71446482127323563</v>
      </c>
      <c r="L1124" s="2">
        <v>517.64620032784035</v>
      </c>
      <c r="M1124" s="2">
        <v>0</v>
      </c>
      <c r="N1124" s="2">
        <v>369.84</v>
      </c>
      <c r="O1124" s="2">
        <v>369.84</v>
      </c>
      <c r="P1124" s="2"/>
      <c r="Q1124" s="2">
        <v>369.84</v>
      </c>
      <c r="R1124" s="2" t="s">
        <v>44</v>
      </c>
      <c r="S1124" s="2"/>
      <c r="T1124" s="2">
        <f t="shared" si="379"/>
        <v>2</v>
      </c>
      <c r="U1124" s="18">
        <f t="shared" si="380"/>
        <v>10</v>
      </c>
      <c r="V1124" s="18">
        <f t="shared" si="381"/>
        <v>2025</v>
      </c>
      <c r="W1124" s="18" t="str">
        <f t="shared" si="382"/>
        <v/>
      </c>
      <c r="X1124" s="18" t="str">
        <f t="shared" si="383"/>
        <v/>
      </c>
      <c r="Y1124" s="2">
        <f t="shared" si="376"/>
        <v>0.71446482127323563</v>
      </c>
      <c r="Z1124" t="str">
        <f t="shared" si="377"/>
        <v>SO18125</v>
      </c>
      <c r="AA1124" s="11">
        <f t="shared" si="384"/>
        <v>45958.463425925933</v>
      </c>
      <c r="AB1124" s="5" t="str">
        <f t="shared" si="385"/>
        <v>INV13778</v>
      </c>
      <c r="AC1124" s="5" t="str">
        <f>IFERROR(VLOOKUP(D1124,CAARStatus!$A$2:$AA$1600,22,FALSE),"Not invoiced")</f>
        <v>Approved</v>
      </c>
      <c r="AD1124" s="11" t="str">
        <f>IF(AC1124="Paid",IFERROR(VLOOKUP(D1124,CAARStatus!$A$2:$AA$1600,6,FALSE),"Pending"),"Pending")</f>
        <v>Pending</v>
      </c>
      <c r="AE1124" s="5" t="str">
        <f t="shared" si="386"/>
        <v>4512474160</v>
      </c>
      <c r="AF1124" s="5" t="str">
        <f t="shared" si="387"/>
        <v>PT Vale Indonesia Tbk.</v>
      </c>
      <c r="AG1124" s="5" t="str">
        <f t="shared" si="388"/>
        <v>USD</v>
      </c>
      <c r="AH1124" s="5">
        <f t="shared" si="389"/>
        <v>517.64620032784035</v>
      </c>
      <c r="AI1124" s="12">
        <f>IF(L1124-N1124=0,VLOOKUP(U1124,rate!A$4:B$15,2,FALSE)*AH1124,IF(AG1124="USD",O1124,AH1124*Y1124))</f>
        <v>369.84</v>
      </c>
      <c r="AJ1124" s="13">
        <f t="shared" si="390"/>
        <v>0.71446482127323563</v>
      </c>
      <c r="AK1124" s="13">
        <f>-IF(AG1124="CAD",IFERROR(VLOOKUP(D1124,CAARStatus!$A$1:$Y$1600,16,FALSE),0),0)</f>
        <v>0</v>
      </c>
      <c r="AL1124" s="13">
        <f>-IF(AG1124="USD",IFERROR(VLOOKUP(D1124,CAARStatus!$A$1:$Y$1600,11,FALSE),0),0)</f>
        <v>-184.92</v>
      </c>
      <c r="AM1124" s="22" t="str">
        <f t="shared" si="391"/>
        <v/>
      </c>
      <c r="AN1124" s="12">
        <f t="shared" si="392"/>
        <v>184.92</v>
      </c>
      <c r="AO1124" s="12" t="str">
        <f t="shared" si="393"/>
        <v>Pend</v>
      </c>
      <c r="AP1124" t="str">
        <f t="shared" si="378"/>
        <v>XX</v>
      </c>
      <c r="AQ1124" t="str">
        <f>IFERROR(VLOOKUP(Z1124,InvBal!$L$4:$P$600,4,FALSE),"Pend")</f>
        <v>Yes</v>
      </c>
      <c r="AR1124" t="str">
        <f>IFERROR(VLOOKUP(D1124,Manual!$C$1:$E$22,2,FALSE),"Pend")</f>
        <v>Pend</v>
      </c>
      <c r="AS1124" t="str">
        <f t="shared" si="394"/>
        <v>Yes</v>
      </c>
      <c r="AT1124" t="str">
        <f t="shared" si="395"/>
        <v>Yes</v>
      </c>
      <c r="AU1124" s="51" t="str">
        <f t="shared" si="396"/>
        <v>Yes</v>
      </c>
      <c r="AV1124" s="12">
        <f>IFERROR(VLOOKUP(D1124,'Receivable Invoice Detail'!$S$1:$U$3014,3,FALSE),0)</f>
        <v>0</v>
      </c>
      <c r="AW1124" s="12">
        <f t="shared" si="397"/>
        <v>369.84</v>
      </c>
    </row>
    <row r="1125" spans="1:49" x14ac:dyDescent="0.25">
      <c r="A1125" s="2"/>
      <c r="B1125" s="2"/>
      <c r="C1125" s="2"/>
      <c r="D1125" s="2" t="s">
        <v>3314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>
        <f t="shared" si="379"/>
        <v>2</v>
      </c>
      <c r="U1125" s="18">
        <f t="shared" si="380"/>
        <v>10</v>
      </c>
      <c r="V1125" s="18">
        <f t="shared" si="381"/>
        <v>2025</v>
      </c>
      <c r="W1125" s="18" t="str">
        <f t="shared" si="382"/>
        <v/>
      </c>
      <c r="X1125" s="18" t="str">
        <f t="shared" si="383"/>
        <v/>
      </c>
      <c r="Y1125" s="2">
        <f t="shared" si="376"/>
        <v>0.71446482127323563</v>
      </c>
      <c r="Z1125" t="str">
        <f t="shared" si="377"/>
        <v>SO18125</v>
      </c>
      <c r="AA1125" s="11">
        <f t="shared" si="384"/>
        <v>45958.463425925933</v>
      </c>
      <c r="AB1125" s="5" t="str">
        <f t="shared" si="385"/>
        <v>INV13593</v>
      </c>
      <c r="AC1125" s="5" t="str">
        <f>IFERROR(VLOOKUP(D1125,CAARStatus!$A$2:$AA$1600,22,FALSE),"Not invoiced")</f>
        <v>Approved</v>
      </c>
      <c r="AD1125" s="11" t="str">
        <f>IF(AC1125="Paid",IFERROR(VLOOKUP(D1125,CAARStatus!$A$2:$AA$1600,6,FALSE),"Pending"),"Pending")</f>
        <v>Pending</v>
      </c>
      <c r="AE1125" s="5" t="str">
        <f t="shared" si="386"/>
        <v>4512474160</v>
      </c>
      <c r="AF1125" s="5" t="str">
        <f t="shared" si="387"/>
        <v>PT Vale Indonesia Tbk.</v>
      </c>
      <c r="AG1125" s="5" t="str">
        <f t="shared" si="388"/>
        <v>USD</v>
      </c>
      <c r="AH1125" s="5">
        <f t="shared" si="389"/>
        <v>0</v>
      </c>
      <c r="AI1125" s="12">
        <f>IF(L1125-N1125=0,VLOOKUP(U1125,rate!A$4:B$15,2,FALSE)*AH1125,IF(AG1125="USD",O1125,AH1125*Y1125))</f>
        <v>0</v>
      </c>
      <c r="AJ1125" s="13">
        <f t="shared" si="390"/>
        <v>0</v>
      </c>
      <c r="AK1125" s="13">
        <f>-IF(AG1125="CAD",IFERROR(VLOOKUP(D1125,CAARStatus!$A$1:$Y$1600,16,FALSE),0),0)</f>
        <v>0</v>
      </c>
      <c r="AL1125" s="13">
        <f>-IF(AG1125="USD",IFERROR(VLOOKUP(D1125,CAARStatus!$A$1:$Y$1600,11,FALSE),0),0)</f>
        <v>-184.92</v>
      </c>
      <c r="AM1125" s="22" t="str">
        <f t="shared" si="391"/>
        <v/>
      </c>
      <c r="AN1125" s="12">
        <f t="shared" si="392"/>
        <v>-184.92</v>
      </c>
      <c r="AO1125" s="12" t="str">
        <f t="shared" si="393"/>
        <v>Pend</v>
      </c>
      <c r="AP1125" t="str">
        <f t="shared" si="378"/>
        <v>XX</v>
      </c>
      <c r="AQ1125" t="str">
        <f>IFERROR(VLOOKUP(Z1125,InvBal!$L$4:$P$600,4,FALSE),"Pend")</f>
        <v>Yes</v>
      </c>
      <c r="AR1125" t="str">
        <f>IFERROR(VLOOKUP(D1125,Manual!$C$1:$E$22,2,FALSE),"Pend")</f>
        <v>Pend</v>
      </c>
      <c r="AS1125" t="str">
        <f t="shared" si="394"/>
        <v>Yes</v>
      </c>
      <c r="AT1125" t="str">
        <f t="shared" si="395"/>
        <v/>
      </c>
      <c r="AU1125" s="51" t="str">
        <f t="shared" si="396"/>
        <v/>
      </c>
      <c r="AV1125" s="12">
        <f>IFERROR(VLOOKUP(D1125,'Receivable Invoice Detail'!$S$1:$U$3014,3,FALSE),0)</f>
        <v>0</v>
      </c>
      <c r="AW1125" s="12">
        <f t="shared" si="397"/>
        <v>0</v>
      </c>
    </row>
    <row r="1126" spans="1:49" ht="30" x14ac:dyDescent="0.25">
      <c r="A1126" s="2">
        <v>2</v>
      </c>
      <c r="B1126" s="2" t="s">
        <v>332</v>
      </c>
      <c r="C1126" s="2" t="s">
        <v>333</v>
      </c>
      <c r="D1126" s="2" t="s">
        <v>3315</v>
      </c>
      <c r="E1126" s="2" t="s">
        <v>98</v>
      </c>
      <c r="F1126" s="3">
        <v>45958.48909722222</v>
      </c>
      <c r="G1126" s="3">
        <v>45958.546331018522</v>
      </c>
      <c r="H1126" s="4">
        <v>45979</v>
      </c>
      <c r="I1126" s="2" t="s">
        <v>21</v>
      </c>
      <c r="J1126" s="2" t="s">
        <v>22</v>
      </c>
      <c r="K1126" s="2">
        <v>1</v>
      </c>
      <c r="L1126" s="2">
        <v>1946.7</v>
      </c>
      <c r="M1126" s="2">
        <v>0</v>
      </c>
      <c r="N1126" s="2">
        <v>1396.693697077839</v>
      </c>
      <c r="O1126" s="2">
        <v>1722.75</v>
      </c>
      <c r="P1126" s="2">
        <v>223.95</v>
      </c>
      <c r="Q1126" s="2">
        <v>1946.7</v>
      </c>
      <c r="R1126" s="2" t="s">
        <v>44</v>
      </c>
      <c r="S1126" s="2"/>
      <c r="T1126" s="2">
        <f t="shared" si="379"/>
        <v>2</v>
      </c>
      <c r="U1126" s="18">
        <f t="shared" si="380"/>
        <v>10</v>
      </c>
      <c r="V1126" s="18">
        <f t="shared" si="381"/>
        <v>2025</v>
      </c>
      <c r="W1126" s="18">
        <f t="shared" si="382"/>
        <v>12</v>
      </c>
      <c r="X1126" s="18">
        <f t="shared" si="383"/>
        <v>2025</v>
      </c>
      <c r="Y1126" s="2">
        <f t="shared" si="376"/>
        <v>0.71746735350995994</v>
      </c>
      <c r="Z1126" t="str">
        <f t="shared" si="377"/>
        <v>SO18126</v>
      </c>
      <c r="AA1126" s="11">
        <f t="shared" si="384"/>
        <v>45958.48909722222</v>
      </c>
      <c r="AB1126" s="5" t="str">
        <f t="shared" si="385"/>
        <v>INV13704</v>
      </c>
      <c r="AC1126" s="5" t="str">
        <f>IFERROR(VLOOKUP(D1126,CAARStatus!$A$2:$AA$1600,22,FALSE),"Not invoiced")</f>
        <v>Paid</v>
      </c>
      <c r="AD1126" s="11">
        <f>IF(AC1126="Paid",IFERROR(VLOOKUP(D1126,CAARStatus!$A$2:$AA$1600,6,FALSE),"Pending"),"Pending")</f>
        <v>46022</v>
      </c>
      <c r="AE1126" s="5" t="str">
        <f t="shared" si="386"/>
        <v>PO-008387</v>
      </c>
      <c r="AF1126" s="5" t="str">
        <f t="shared" si="387"/>
        <v>Sling-Choker Manufacturing - Timmins</v>
      </c>
      <c r="AG1126" s="5" t="str">
        <f t="shared" si="388"/>
        <v>CAD</v>
      </c>
      <c r="AH1126" s="5">
        <f t="shared" si="389"/>
        <v>1722.75</v>
      </c>
      <c r="AI1126" s="12">
        <f>IF(L1126-N1126=0,VLOOKUP(U1126,rate!A$4:B$15,2,FALSE)*AH1126,IF(AG1126="USD",O1126,AH1126*Y1126))</f>
        <v>1236.0168832592835</v>
      </c>
      <c r="AJ1126" s="13">
        <f t="shared" si="390"/>
        <v>0.71746735350995994</v>
      </c>
      <c r="AK1126" s="13">
        <f>-IF(AG1126="CAD",IFERROR(VLOOKUP(D1126,CAARStatus!$A$1:$Y$1600,16,FALSE),0),0)</f>
        <v>-644.64</v>
      </c>
      <c r="AL1126" s="13">
        <f>-IF(AG1126="USD",IFERROR(VLOOKUP(D1126,CAARStatus!$A$1:$Y$1600,11,FALSE),0),0)</f>
        <v>0</v>
      </c>
      <c r="AM1126" s="22">
        <f t="shared" si="391"/>
        <v>1078.1100000000001</v>
      </c>
      <c r="AN1126" s="12" t="str">
        <f t="shared" si="392"/>
        <v/>
      </c>
      <c r="AO1126" s="12" t="str">
        <f t="shared" si="393"/>
        <v>Yes</v>
      </c>
      <c r="AP1126" t="str">
        <f t="shared" si="378"/>
        <v>XX</v>
      </c>
      <c r="AQ1126" t="str">
        <f>IFERROR(VLOOKUP(Z1126,InvBal!$L$4:$P$600,4,FALSE),"Pend")</f>
        <v>Yes</v>
      </c>
      <c r="AR1126" t="str">
        <f>IFERROR(VLOOKUP(D1126,Manual!$C$1:$E$22,2,FALSE),"Pend")</f>
        <v>Pend</v>
      </c>
      <c r="AS1126" t="str">
        <f t="shared" si="394"/>
        <v>Yes</v>
      </c>
      <c r="AT1126" t="str">
        <f t="shared" si="395"/>
        <v>Yes</v>
      </c>
      <c r="AU1126" s="51" t="str">
        <f t="shared" si="396"/>
        <v>Yes</v>
      </c>
      <c r="AV1126" s="12">
        <f>IFERROR(VLOOKUP(D1126,'Receivable Invoice Detail'!$S$1:$U$3014,3,FALSE),0)</f>
        <v>0</v>
      </c>
      <c r="AW1126" s="12">
        <f t="shared" si="397"/>
        <v>1236.0168832592835</v>
      </c>
    </row>
    <row r="1127" spans="1:49" x14ac:dyDescent="0.25">
      <c r="A1127" s="2"/>
      <c r="B1127" s="2"/>
      <c r="C1127" s="2"/>
      <c r="D1127" s="2" t="s">
        <v>6068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>
        <f t="shared" si="379"/>
        <v>2</v>
      </c>
      <c r="U1127" s="18">
        <f t="shared" si="380"/>
        <v>10</v>
      </c>
      <c r="V1127" s="18">
        <f t="shared" si="381"/>
        <v>2025</v>
      </c>
      <c r="W1127" s="18" t="str">
        <f t="shared" si="382"/>
        <v/>
      </c>
      <c r="X1127" s="18" t="str">
        <f t="shared" si="383"/>
        <v/>
      </c>
      <c r="Y1127" s="2">
        <f t="shared" si="376"/>
        <v>0.71746735350995994</v>
      </c>
      <c r="Z1127" t="str">
        <f t="shared" si="377"/>
        <v>SO18126</v>
      </c>
      <c r="AA1127" s="11">
        <f t="shared" si="384"/>
        <v>45958.48909722222</v>
      </c>
      <c r="AB1127" s="5" t="str">
        <f t="shared" si="385"/>
        <v>INV13806</v>
      </c>
      <c r="AC1127" s="5" t="str">
        <f>IFERROR(VLOOKUP(D1127,CAARStatus!$A$2:$AA$1600,22,FALSE),"Not invoiced")</f>
        <v>Approved</v>
      </c>
      <c r="AD1127" s="11" t="str">
        <f>IF(AC1127="Paid",IFERROR(VLOOKUP(D1127,CAARStatus!$A$2:$AA$1600,6,FALSE),"Pending"),"Pending")</f>
        <v>Pending</v>
      </c>
      <c r="AE1127" s="5" t="str">
        <f t="shared" si="386"/>
        <v>PO-008387</v>
      </c>
      <c r="AF1127" s="5" t="str">
        <f t="shared" si="387"/>
        <v>Sling-Choker Manufacturing - Timmins</v>
      </c>
      <c r="AG1127" s="5" t="str">
        <f t="shared" si="388"/>
        <v>CAD</v>
      </c>
      <c r="AH1127" s="5">
        <f t="shared" si="389"/>
        <v>0</v>
      </c>
      <c r="AI1127" s="12">
        <f>IF(L1127-N1127=0,VLOOKUP(U1127,rate!A$4:B$15,2,FALSE)*AH1127,IF(AG1127="USD",O1127,AH1127*Y1127))</f>
        <v>0</v>
      </c>
      <c r="AJ1127" s="13">
        <f t="shared" si="390"/>
        <v>0</v>
      </c>
      <c r="AK1127" s="13">
        <f>-IF(AG1127="CAD",IFERROR(VLOOKUP(D1127,CAARStatus!$A$1:$Y$1600,16,FALSE),0),0)</f>
        <v>-1078.1099999999999</v>
      </c>
      <c r="AL1127" s="13">
        <f>-IF(AG1127="USD",IFERROR(VLOOKUP(D1127,CAARStatus!$A$1:$Y$1600,11,FALSE),0),0)</f>
        <v>0</v>
      </c>
      <c r="AM1127" s="22">
        <f t="shared" si="391"/>
        <v>-1078.1099999999999</v>
      </c>
      <c r="AN1127" s="12" t="str">
        <f t="shared" si="392"/>
        <v/>
      </c>
      <c r="AO1127" s="12" t="str">
        <f t="shared" si="393"/>
        <v>Pend</v>
      </c>
      <c r="AP1127" t="str">
        <f t="shared" si="378"/>
        <v>XX</v>
      </c>
      <c r="AQ1127" t="str">
        <f>IFERROR(VLOOKUP(Z1127,InvBal!$L$4:$P$600,4,FALSE),"Pend")</f>
        <v>Yes</v>
      </c>
      <c r="AR1127" t="str">
        <f>IFERROR(VLOOKUP(D1127,Manual!$C$1:$E$22,2,FALSE),"Pend")</f>
        <v>Pend</v>
      </c>
      <c r="AS1127" t="str">
        <f t="shared" si="394"/>
        <v>Yes</v>
      </c>
      <c r="AT1127" t="str">
        <f t="shared" si="395"/>
        <v/>
      </c>
      <c r="AU1127" s="51" t="str">
        <f t="shared" si="396"/>
        <v/>
      </c>
      <c r="AV1127" s="12">
        <f>IFERROR(VLOOKUP(D1127,'Receivable Invoice Detail'!$S$1:$U$3014,3,FALSE),0)</f>
        <v>0</v>
      </c>
      <c r="AW1127" s="12">
        <f t="shared" si="397"/>
        <v>0</v>
      </c>
    </row>
    <row r="1128" spans="1:49" ht="30" x14ac:dyDescent="0.25">
      <c r="A1128" s="2">
        <v>0</v>
      </c>
      <c r="B1128" s="2" t="s">
        <v>331</v>
      </c>
      <c r="C1128" s="2"/>
      <c r="D1128" s="2"/>
      <c r="E1128" s="2" t="s">
        <v>129</v>
      </c>
      <c r="F1128" s="3">
        <v>45958.646574074082</v>
      </c>
      <c r="G1128" s="3">
        <v>45958.647511574083</v>
      </c>
      <c r="H1128" s="4">
        <v>46014</v>
      </c>
      <c r="I1128" s="2" t="s">
        <v>328</v>
      </c>
      <c r="J1128" s="2" t="s">
        <v>51</v>
      </c>
      <c r="K1128" s="2">
        <v>0.71446482127323563</v>
      </c>
      <c r="L1128" s="2">
        <v>5626.5891339982654</v>
      </c>
      <c r="M1128" s="2">
        <v>0</v>
      </c>
      <c r="N1128" s="2">
        <v>4020</v>
      </c>
      <c r="O1128" s="2">
        <v>4020</v>
      </c>
      <c r="P1128" s="2"/>
      <c r="Q1128" s="2">
        <v>4020</v>
      </c>
      <c r="R1128" s="2" t="s">
        <v>29</v>
      </c>
      <c r="S1128" s="2"/>
      <c r="T1128" s="2">
        <f t="shared" si="379"/>
        <v>0</v>
      </c>
      <c r="U1128" s="18">
        <f t="shared" si="380"/>
        <v>10</v>
      </c>
      <c r="V1128" s="18">
        <f t="shared" si="381"/>
        <v>2025</v>
      </c>
      <c r="W1128" s="18" t="str">
        <f t="shared" si="382"/>
        <v/>
      </c>
      <c r="X1128" s="18" t="str">
        <f t="shared" si="383"/>
        <v/>
      </c>
      <c r="Y1128" s="2">
        <f t="shared" si="376"/>
        <v>0.71746735350995994</v>
      </c>
      <c r="Z1128" t="str">
        <f t="shared" si="377"/>
        <v>SO18127</v>
      </c>
      <c r="AA1128" s="11">
        <f t="shared" si="384"/>
        <v>45958.646574074082</v>
      </c>
      <c r="AB1128" s="5" t="str">
        <f t="shared" si="385"/>
        <v>No Inv</v>
      </c>
      <c r="AC1128" s="5" t="str">
        <f>IFERROR(VLOOKUP(D1128,CAARStatus!$A$2:$AA$1600,22,FALSE),"Not invoiced")</f>
        <v>Not invoiced</v>
      </c>
      <c r="AD1128" s="11" t="str">
        <f>IF(AC1128="Paid",IFERROR(VLOOKUP(D1128,CAARStatus!$A$2:$AA$1600,6,FALSE),"Pending"),"Pending")</f>
        <v>Pending</v>
      </c>
      <c r="AE1128" s="5" t="str">
        <f t="shared" si="386"/>
        <v>PO-008387</v>
      </c>
      <c r="AF1128" s="5" t="str">
        <f t="shared" si="387"/>
        <v>Dynapro Pumps México S de RL de CV</v>
      </c>
      <c r="AG1128" s="5" t="str">
        <f t="shared" si="388"/>
        <v>USD</v>
      </c>
      <c r="AH1128" s="5">
        <f t="shared" si="389"/>
        <v>5626.5891339982645</v>
      </c>
      <c r="AI1128" s="12">
        <f>IF(L1128-N1128=0,VLOOKUP(U1128,rate!A$4:B$15,2,FALSE)*AH1128,IF(AG1128="USD",O1128,AH1128*Y1128))</f>
        <v>4020</v>
      </c>
      <c r="AJ1128" s="13">
        <f t="shared" si="390"/>
        <v>0.71446482127323563</v>
      </c>
      <c r="AK1128" s="13">
        <f>-IF(AG1128="CAD",IFERROR(VLOOKUP(D1128,CAARStatus!$A$1:$Y$1600,16,FALSE),0),0)</f>
        <v>0</v>
      </c>
      <c r="AL1128" s="13">
        <f>-IF(AG1128="USD",IFERROR(VLOOKUP(D1128,CAARStatus!$A$1:$Y$1600,11,FALSE),0),0)</f>
        <v>0</v>
      </c>
      <c r="AM1128" s="22" t="str">
        <f t="shared" si="391"/>
        <v/>
      </c>
      <c r="AN1128" s="12">
        <f t="shared" si="392"/>
        <v>4020</v>
      </c>
      <c r="AO1128" s="12" t="str">
        <f t="shared" si="393"/>
        <v>Pend</v>
      </c>
      <c r="AP1128" t="str">
        <f t="shared" si="378"/>
        <v>Pend</v>
      </c>
      <c r="AQ1128" t="str">
        <f>IFERROR(VLOOKUP(Z1128,InvBal!$L$4:$P$600,4,FALSE),"Pend")</f>
        <v>Pend</v>
      </c>
      <c r="AR1128" t="str">
        <f>IFERROR(VLOOKUP(D1128,Manual!$C$1:$E$22,2,FALSE),"Pend")</f>
        <v>Pend</v>
      </c>
      <c r="AS1128" t="str">
        <f t="shared" si="394"/>
        <v/>
      </c>
      <c r="AT1128" t="str">
        <f t="shared" si="395"/>
        <v/>
      </c>
      <c r="AU1128" s="51" t="str">
        <f t="shared" si="396"/>
        <v/>
      </c>
      <c r="AV1128" s="12">
        <f>IFERROR(VLOOKUP(D1128,'Receivable Invoice Detail'!$S$1:$U$3014,3,FALSE),0)</f>
        <v>0</v>
      </c>
      <c r="AW1128" s="12">
        <f t="shared" si="397"/>
        <v>0</v>
      </c>
    </row>
    <row r="1129" spans="1:49" ht="30" x14ac:dyDescent="0.25">
      <c r="A1129" s="2">
        <v>1</v>
      </c>
      <c r="B1129" s="2" t="s">
        <v>327</v>
      </c>
      <c r="C1129" s="2" t="s">
        <v>6186</v>
      </c>
      <c r="D1129" s="2" t="s">
        <v>6326</v>
      </c>
      <c r="E1129" s="2" t="s">
        <v>129</v>
      </c>
      <c r="F1129" s="3">
        <v>45958.67082175926</v>
      </c>
      <c r="G1129" s="3">
        <v>45958.672129629631</v>
      </c>
      <c r="H1129" s="4">
        <v>45972</v>
      </c>
      <c r="I1129" s="2" t="s">
        <v>328</v>
      </c>
      <c r="J1129" s="2" t="s">
        <v>51</v>
      </c>
      <c r="K1129" s="2">
        <v>0.71446482127323563</v>
      </c>
      <c r="L1129" s="2">
        <v>1791.5507690342729</v>
      </c>
      <c r="M1129" s="2">
        <v>0</v>
      </c>
      <c r="N1129" s="2">
        <v>1280</v>
      </c>
      <c r="O1129" s="2">
        <v>1280</v>
      </c>
      <c r="P1129" s="2"/>
      <c r="Q1129" s="2">
        <v>1280</v>
      </c>
      <c r="R1129" s="2" t="s">
        <v>44</v>
      </c>
      <c r="S1129" s="2"/>
      <c r="T1129" s="2">
        <f t="shared" si="379"/>
        <v>1</v>
      </c>
      <c r="U1129" s="18">
        <f t="shared" si="380"/>
        <v>10</v>
      </c>
      <c r="V1129" s="18">
        <f t="shared" si="381"/>
        <v>2025</v>
      </c>
      <c r="W1129" s="18" t="str">
        <f t="shared" si="382"/>
        <v/>
      </c>
      <c r="X1129" s="18" t="str">
        <f t="shared" si="383"/>
        <v/>
      </c>
      <c r="Y1129" s="2">
        <f t="shared" si="376"/>
        <v>0.71446482127323585</v>
      </c>
      <c r="Z1129" t="str">
        <f t="shared" si="377"/>
        <v>SO18128</v>
      </c>
      <c r="AA1129" s="11">
        <f t="shared" si="384"/>
        <v>45958.67082175926</v>
      </c>
      <c r="AB1129" s="5" t="str">
        <f t="shared" si="385"/>
        <v>INV13823</v>
      </c>
      <c r="AC1129" s="5" t="str">
        <f>IFERROR(VLOOKUP(D1129,CAARStatus!$A$2:$AA$1600,22,FALSE),"Not invoiced")</f>
        <v>Not invoiced</v>
      </c>
      <c r="AD1129" s="11" t="str">
        <f>IF(AC1129="Paid",IFERROR(VLOOKUP(D1129,CAARStatus!$A$2:$AA$1600,6,FALSE),"Pending"),"Pending")</f>
        <v>Pending</v>
      </c>
      <c r="AE1129" s="5" t="str">
        <f t="shared" si="386"/>
        <v>OC00223</v>
      </c>
      <c r="AF1129" s="5" t="str">
        <f t="shared" si="387"/>
        <v>Dynapro Pumps México S de RL de CV</v>
      </c>
      <c r="AG1129" s="5" t="str">
        <f t="shared" si="388"/>
        <v>USD</v>
      </c>
      <c r="AH1129" s="5">
        <f t="shared" si="389"/>
        <v>1791.5507690342733</v>
      </c>
      <c r="AI1129" s="12">
        <f>IF(L1129-N1129=0,VLOOKUP(U1129,rate!A$4:B$15,2,FALSE)*AH1129,IF(AG1129="USD",O1129,AH1129*Y1129))</f>
        <v>1280</v>
      </c>
      <c r="AJ1129" s="13">
        <f t="shared" si="390"/>
        <v>0.71446482127323563</v>
      </c>
      <c r="AK1129" s="13">
        <f>-IF(AG1129="CAD",IFERROR(VLOOKUP(D1129,CAARStatus!$A$1:$Y$1600,16,FALSE),0),0)</f>
        <v>0</v>
      </c>
      <c r="AL1129" s="13">
        <f>-IF(AG1129="USD",IFERROR(VLOOKUP(D1129,CAARStatus!$A$1:$Y$1600,11,FALSE),0),0)</f>
        <v>0</v>
      </c>
      <c r="AM1129" s="22" t="str">
        <f t="shared" si="391"/>
        <v/>
      </c>
      <c r="AN1129" s="12">
        <f t="shared" si="392"/>
        <v>1280</v>
      </c>
      <c r="AO1129" s="12" t="str">
        <f t="shared" si="393"/>
        <v>Pend</v>
      </c>
      <c r="AP1129" t="str">
        <f t="shared" si="378"/>
        <v>Pend</v>
      </c>
      <c r="AQ1129" t="str">
        <f>IFERROR(VLOOKUP(Z1129,InvBal!$L$4:$P$600,4,FALSE),"Pend")</f>
        <v>Pend</v>
      </c>
      <c r="AR1129" t="str">
        <f>IFERROR(VLOOKUP(D1129,Manual!$C$1:$E$22,2,FALSE),"Pend")</f>
        <v>Pend</v>
      </c>
      <c r="AS1129" t="str">
        <f t="shared" si="394"/>
        <v/>
      </c>
      <c r="AT1129" t="str">
        <f t="shared" si="395"/>
        <v>Yes</v>
      </c>
      <c r="AU1129" s="51" t="str">
        <f t="shared" si="396"/>
        <v/>
      </c>
      <c r="AV1129" s="12">
        <f>IFERROR(VLOOKUP(D1129,'Receivable Invoice Detail'!$S$1:$U$3014,3,FALSE),0)</f>
        <v>0</v>
      </c>
      <c r="AW1129" s="12">
        <f t="shared" si="397"/>
        <v>0</v>
      </c>
    </row>
    <row r="1130" spans="1:49" ht="30" x14ac:dyDescent="0.25">
      <c r="A1130" s="2">
        <v>1</v>
      </c>
      <c r="B1130" s="2" t="s">
        <v>257</v>
      </c>
      <c r="C1130" s="2" t="s">
        <v>258</v>
      </c>
      <c r="D1130" s="2" t="s">
        <v>3345</v>
      </c>
      <c r="E1130" s="2" t="s">
        <v>159</v>
      </c>
      <c r="F1130" s="3">
        <v>45959.378576388888</v>
      </c>
      <c r="G1130" s="3">
        <v>45967.551076388889</v>
      </c>
      <c r="H1130" s="4">
        <v>46079</v>
      </c>
      <c r="I1130" s="2" t="s">
        <v>40</v>
      </c>
      <c r="J1130" s="2" t="s">
        <v>51</v>
      </c>
      <c r="K1130" s="2">
        <v>0.71011069986137554</v>
      </c>
      <c r="L1130" s="2">
        <v>18750.372304767781</v>
      </c>
      <c r="M1130" s="2">
        <v>0</v>
      </c>
      <c r="N1130" s="2">
        <v>13314.84</v>
      </c>
      <c r="O1130" s="2">
        <v>13314.84</v>
      </c>
      <c r="P1130" s="2"/>
      <c r="Q1130" s="2">
        <v>13314.84</v>
      </c>
      <c r="R1130" s="2" t="s">
        <v>29</v>
      </c>
      <c r="S1130" s="2"/>
      <c r="T1130" s="2">
        <f t="shared" si="379"/>
        <v>1</v>
      </c>
      <c r="U1130" s="18">
        <f t="shared" si="380"/>
        <v>10</v>
      </c>
      <c r="V1130" s="18">
        <f t="shared" si="381"/>
        <v>2025</v>
      </c>
      <c r="W1130" s="18">
        <f t="shared" si="382"/>
        <v>12</v>
      </c>
      <c r="X1130" s="18">
        <f t="shared" si="383"/>
        <v>2025</v>
      </c>
      <c r="Y1130" s="2">
        <f t="shared" si="376"/>
        <v>0.71011069986137543</v>
      </c>
      <c r="Z1130" t="str">
        <f t="shared" si="377"/>
        <v>SO18131</v>
      </c>
      <c r="AA1130" s="11">
        <f t="shared" si="384"/>
        <v>45959.378576388888</v>
      </c>
      <c r="AB1130" s="5" t="str">
        <f t="shared" si="385"/>
        <v>INV13646</v>
      </c>
      <c r="AC1130" s="5" t="str">
        <f>IFERROR(VLOOKUP(D1130,CAARStatus!$A$2:$AA$1600,22,FALSE),"Not invoiced")</f>
        <v>Paid</v>
      </c>
      <c r="AD1130" s="11">
        <f>IF(AC1130="Paid",IFERROR(VLOOKUP(D1130,CAARStatus!$A$2:$AA$1600,6,FALSE),"Pending"),"Pending")</f>
        <v>46010</v>
      </c>
      <c r="AE1130" s="5" t="str">
        <f t="shared" si="386"/>
        <v>4501327275</v>
      </c>
      <c r="AF1130" s="5" t="str">
        <f t="shared" si="387"/>
        <v>Barrick Gold - Pueblo Viejo Dominicana Corporation</v>
      </c>
      <c r="AG1130" s="5" t="str">
        <f t="shared" si="388"/>
        <v>USD</v>
      </c>
      <c r="AH1130" s="5">
        <f t="shared" si="389"/>
        <v>18750.372304767778</v>
      </c>
      <c r="AI1130" s="12">
        <f>IF(L1130-N1130=0,VLOOKUP(U1130,rate!A$4:B$15,2,FALSE)*AH1130,IF(AG1130="USD",O1130,AH1130*Y1130))</f>
        <v>13314.84</v>
      </c>
      <c r="AJ1130" s="13">
        <f t="shared" si="390"/>
        <v>0.71011069986137554</v>
      </c>
      <c r="AK1130" s="13">
        <f>-IF(AG1130="CAD",IFERROR(VLOOKUP(D1130,CAARStatus!$A$1:$Y$1600,16,FALSE),0),0)</f>
        <v>0</v>
      </c>
      <c r="AL1130" s="13">
        <f>-IF(AG1130="USD",IFERROR(VLOOKUP(D1130,CAARStatus!$A$1:$Y$1600,11,FALSE),0),0)</f>
        <v>-5361.72</v>
      </c>
      <c r="AM1130" s="22" t="str">
        <f t="shared" si="391"/>
        <v/>
      </c>
      <c r="AN1130" s="12">
        <f t="shared" si="392"/>
        <v>7953.12</v>
      </c>
      <c r="AO1130" s="12" t="str">
        <f t="shared" si="393"/>
        <v>Yes</v>
      </c>
      <c r="AP1130" t="str">
        <f t="shared" si="378"/>
        <v>Yes</v>
      </c>
      <c r="AQ1130" t="str">
        <f>IFERROR(VLOOKUP(Z1130,InvBal!$L$4:$P$600,4,FALSE),"Pend")</f>
        <v>Pend</v>
      </c>
      <c r="AR1130" t="str">
        <f>IFERROR(VLOOKUP(D1130,Manual!$C$1:$E$22,2,FALSE),"Pend")</f>
        <v>Pend</v>
      </c>
      <c r="AS1130" t="str">
        <f t="shared" si="394"/>
        <v>Yes</v>
      </c>
      <c r="AT1130" t="str">
        <f t="shared" si="395"/>
        <v/>
      </c>
      <c r="AU1130" s="51" t="str">
        <f t="shared" si="396"/>
        <v/>
      </c>
      <c r="AV1130" s="12">
        <f>IFERROR(VLOOKUP(D1130,'Receivable Invoice Detail'!$S$1:$U$3014,3,FALSE),0)</f>
        <v>0</v>
      </c>
      <c r="AW1130" s="12">
        <f t="shared" si="397"/>
        <v>0</v>
      </c>
    </row>
    <row r="1131" spans="1:49" x14ac:dyDescent="0.25">
      <c r="A1131" s="2">
        <v>1</v>
      </c>
      <c r="B1131" s="2" t="s">
        <v>325</v>
      </c>
      <c r="C1131" s="2" t="s">
        <v>326</v>
      </c>
      <c r="D1131" s="2" t="s">
        <v>3317</v>
      </c>
      <c r="E1131" s="2" t="s">
        <v>141</v>
      </c>
      <c r="F1131" s="3">
        <v>45959.455763888887</v>
      </c>
      <c r="G1131" s="3">
        <v>45959.461678240739</v>
      </c>
      <c r="H1131" s="4">
        <v>45961</v>
      </c>
      <c r="I1131" s="2" t="s">
        <v>21</v>
      </c>
      <c r="J1131" s="2" t="s">
        <v>51</v>
      </c>
      <c r="K1131" s="2">
        <v>0.71746735350995994</v>
      </c>
      <c r="L1131" s="2">
        <v>1788.973384950235</v>
      </c>
      <c r="M1131" s="2">
        <v>0</v>
      </c>
      <c r="N1131" s="2">
        <v>1283.53</v>
      </c>
      <c r="O1131" s="2">
        <v>1283.53</v>
      </c>
      <c r="P1131" s="2"/>
      <c r="Q1131" s="2">
        <v>1283.53</v>
      </c>
      <c r="R1131" s="2" t="s">
        <v>44</v>
      </c>
      <c r="S1131" s="2"/>
      <c r="T1131" s="2">
        <f t="shared" si="379"/>
        <v>1</v>
      </c>
      <c r="U1131" s="18">
        <f t="shared" si="380"/>
        <v>10</v>
      </c>
      <c r="V1131" s="18">
        <f t="shared" si="381"/>
        <v>2025</v>
      </c>
      <c r="W1131" s="18" t="str">
        <f t="shared" si="382"/>
        <v/>
      </c>
      <c r="X1131" s="18" t="str">
        <f t="shared" si="383"/>
        <v/>
      </c>
      <c r="Y1131" s="2">
        <f t="shared" si="376"/>
        <v>0.71746735350996005</v>
      </c>
      <c r="Z1131" t="str">
        <f t="shared" si="377"/>
        <v>SO18133</v>
      </c>
      <c r="AA1131" s="11">
        <f t="shared" si="384"/>
        <v>45959.455763888887</v>
      </c>
      <c r="AB1131" s="5" t="str">
        <f t="shared" si="385"/>
        <v>INV13590</v>
      </c>
      <c r="AC1131" s="5" t="str">
        <f>IFERROR(VLOOKUP(D1131,CAARStatus!$A$2:$AA$1600,22,FALSE),"Not invoiced")</f>
        <v>Approved</v>
      </c>
      <c r="AD1131" s="11" t="str">
        <f>IF(AC1131="Paid",IFERROR(VLOOKUP(D1131,CAARStatus!$A$2:$AA$1600,6,FALSE),"Pending"),"Pending")</f>
        <v>Pending</v>
      </c>
      <c r="AE1131" s="5" t="str">
        <f t="shared" si="386"/>
        <v>4512484819</v>
      </c>
      <c r="AF1131" s="5" t="str">
        <f t="shared" si="387"/>
        <v>PT Vale Indonesia Tbk.</v>
      </c>
      <c r="AG1131" s="5" t="str">
        <f t="shared" si="388"/>
        <v>USD</v>
      </c>
      <c r="AH1131" s="5">
        <f t="shared" si="389"/>
        <v>1788.9733849502352</v>
      </c>
      <c r="AI1131" s="12">
        <f>IF(L1131-N1131=0,VLOOKUP(U1131,rate!A$4:B$15,2,FALSE)*AH1131,IF(AG1131="USD",O1131,AH1131*Y1131))</f>
        <v>1283.53</v>
      </c>
      <c r="AJ1131" s="13">
        <f t="shared" si="390"/>
        <v>0.71746735350995994</v>
      </c>
      <c r="AK1131" s="13">
        <f>-IF(AG1131="CAD",IFERROR(VLOOKUP(D1131,CAARStatus!$A$1:$Y$1600,16,FALSE),0),0)</f>
        <v>0</v>
      </c>
      <c r="AL1131" s="13">
        <f>-IF(AG1131="USD",IFERROR(VLOOKUP(D1131,CAARStatus!$A$1:$Y$1600,11,FALSE),0),0)</f>
        <v>-1283.53</v>
      </c>
      <c r="AM1131" s="22" t="str">
        <f t="shared" si="391"/>
        <v/>
      </c>
      <c r="AN1131" s="12">
        <f t="shared" si="392"/>
        <v>0</v>
      </c>
      <c r="AO1131" s="12" t="str">
        <f t="shared" si="393"/>
        <v>Pend</v>
      </c>
      <c r="AP1131" t="str">
        <f t="shared" si="378"/>
        <v>Pend</v>
      </c>
      <c r="AQ1131" t="str">
        <f>IFERROR(VLOOKUP(Z1131,InvBal!$L$4:$P$600,4,FALSE),"Pend")</f>
        <v>Pend</v>
      </c>
      <c r="AR1131" t="str">
        <f>IFERROR(VLOOKUP(D1131,Manual!$C$1:$E$22,2,FALSE),"Pend")</f>
        <v>Pend</v>
      </c>
      <c r="AS1131" t="str">
        <f t="shared" si="394"/>
        <v/>
      </c>
      <c r="AT1131" t="str">
        <f t="shared" si="395"/>
        <v>Yes</v>
      </c>
      <c r="AU1131" s="51" t="str">
        <f t="shared" si="396"/>
        <v/>
      </c>
      <c r="AV1131" s="12">
        <f>IFERROR(VLOOKUP(D1131,'Receivable Invoice Detail'!$S$1:$U$3014,3,FALSE),0)</f>
        <v>0</v>
      </c>
      <c r="AW1131" s="12">
        <f t="shared" si="397"/>
        <v>0</v>
      </c>
    </row>
    <row r="1132" spans="1:49" x14ac:dyDescent="0.25">
      <c r="A1132" s="2">
        <v>1</v>
      </c>
      <c r="B1132" s="2" t="s">
        <v>323</v>
      </c>
      <c r="C1132" s="2" t="s">
        <v>324</v>
      </c>
      <c r="D1132" s="2" t="s">
        <v>3318</v>
      </c>
      <c r="E1132" s="2" t="s">
        <v>141</v>
      </c>
      <c r="F1132" s="3">
        <v>45959.468518518523</v>
      </c>
      <c r="G1132" s="3">
        <v>45959.468657407408</v>
      </c>
      <c r="H1132" s="4">
        <v>45961</v>
      </c>
      <c r="I1132" s="2" t="s">
        <v>21</v>
      </c>
      <c r="J1132" s="2" t="s">
        <v>51</v>
      </c>
      <c r="K1132" s="2">
        <v>0.71746735350995994</v>
      </c>
      <c r="L1132" s="2">
        <v>4122.6962948620603</v>
      </c>
      <c r="M1132" s="2">
        <v>0</v>
      </c>
      <c r="N1132" s="2">
        <v>2957.9</v>
      </c>
      <c r="O1132" s="2">
        <v>2957.9</v>
      </c>
      <c r="P1132" s="2"/>
      <c r="Q1132" s="2">
        <v>2957.9</v>
      </c>
      <c r="R1132" s="2" t="s">
        <v>44</v>
      </c>
      <c r="S1132" s="2"/>
      <c r="T1132" s="2">
        <f t="shared" si="379"/>
        <v>1</v>
      </c>
      <c r="U1132" s="18">
        <f t="shared" si="380"/>
        <v>10</v>
      </c>
      <c r="V1132" s="18">
        <f t="shared" si="381"/>
        <v>2025</v>
      </c>
      <c r="W1132" s="18" t="str">
        <f t="shared" si="382"/>
        <v/>
      </c>
      <c r="X1132" s="18" t="str">
        <f t="shared" si="383"/>
        <v/>
      </c>
      <c r="Y1132" s="2">
        <f t="shared" si="376"/>
        <v>0.71746735350996005</v>
      </c>
      <c r="Z1132" t="str">
        <f t="shared" si="377"/>
        <v>SO18134</v>
      </c>
      <c r="AA1132" s="11">
        <f t="shared" si="384"/>
        <v>45959.468518518523</v>
      </c>
      <c r="AB1132" s="5" t="str">
        <f t="shared" si="385"/>
        <v>INV13591</v>
      </c>
      <c r="AC1132" s="5" t="str">
        <f>IFERROR(VLOOKUP(D1132,CAARStatus!$A$2:$AA$1600,22,FALSE),"Not invoiced")</f>
        <v>Approved</v>
      </c>
      <c r="AD1132" s="11" t="str">
        <f>IF(AC1132="Paid",IFERROR(VLOOKUP(D1132,CAARStatus!$A$2:$AA$1600,6,FALSE),"Pending"),"Pending")</f>
        <v>Pending</v>
      </c>
      <c r="AE1132" s="5" t="str">
        <f t="shared" si="386"/>
        <v>4512484820</v>
      </c>
      <c r="AF1132" s="5" t="str">
        <f t="shared" si="387"/>
        <v>PT Vale Indonesia Tbk.</v>
      </c>
      <c r="AG1132" s="5" t="str">
        <f t="shared" si="388"/>
        <v>USD</v>
      </c>
      <c r="AH1132" s="5">
        <f t="shared" si="389"/>
        <v>4122.6962948620603</v>
      </c>
      <c r="AI1132" s="12">
        <f>IF(L1132-N1132=0,VLOOKUP(U1132,rate!A$4:B$15,2,FALSE)*AH1132,IF(AG1132="USD",O1132,AH1132*Y1132))</f>
        <v>2957.9</v>
      </c>
      <c r="AJ1132" s="13">
        <f t="shared" si="390"/>
        <v>0.71746735350996005</v>
      </c>
      <c r="AK1132" s="13">
        <f>-IF(AG1132="CAD",IFERROR(VLOOKUP(D1132,CAARStatus!$A$1:$Y$1600,16,FALSE),0),0)</f>
        <v>0</v>
      </c>
      <c r="AL1132" s="13">
        <f>-IF(AG1132="USD",IFERROR(VLOOKUP(D1132,CAARStatus!$A$1:$Y$1600,11,FALSE),0),0)</f>
        <v>-2957.9</v>
      </c>
      <c r="AM1132" s="22" t="str">
        <f t="shared" si="391"/>
        <v/>
      </c>
      <c r="AN1132" s="12">
        <f t="shared" si="392"/>
        <v>0</v>
      </c>
      <c r="AO1132" s="12" t="str">
        <f t="shared" si="393"/>
        <v>Pend</v>
      </c>
      <c r="AP1132" t="str">
        <f t="shared" si="378"/>
        <v>Pend</v>
      </c>
      <c r="AQ1132" t="str">
        <f>IFERROR(VLOOKUP(Z1132,InvBal!$L$4:$P$600,4,FALSE),"Pend")</f>
        <v>Pend</v>
      </c>
      <c r="AR1132" t="str">
        <f>IFERROR(VLOOKUP(D1132,Manual!$C$1:$E$22,2,FALSE),"Pend")</f>
        <v>Pend</v>
      </c>
      <c r="AS1132" t="str">
        <f t="shared" si="394"/>
        <v/>
      </c>
      <c r="AT1132" t="str">
        <f t="shared" si="395"/>
        <v>Yes</v>
      </c>
      <c r="AU1132" s="51" t="str">
        <f t="shared" si="396"/>
        <v/>
      </c>
      <c r="AV1132" s="12">
        <f>IFERROR(VLOOKUP(D1132,'Receivable Invoice Detail'!$S$1:$U$3014,3,FALSE),0)</f>
        <v>0</v>
      </c>
      <c r="AW1132" s="12">
        <f t="shared" si="397"/>
        <v>0</v>
      </c>
    </row>
    <row r="1133" spans="1:49" x14ac:dyDescent="0.25">
      <c r="A1133" s="2">
        <v>1</v>
      </c>
      <c r="B1133" s="2" t="s">
        <v>321</v>
      </c>
      <c r="C1133" s="2" t="s">
        <v>322</v>
      </c>
      <c r="D1133" s="2" t="s">
        <v>3319</v>
      </c>
      <c r="E1133" s="2" t="s">
        <v>141</v>
      </c>
      <c r="F1133" s="3">
        <v>45959.470613425918</v>
      </c>
      <c r="G1133" s="3">
        <v>45959.470706018517</v>
      </c>
      <c r="H1133" s="4">
        <v>45961</v>
      </c>
      <c r="I1133" s="2" t="s">
        <v>21</v>
      </c>
      <c r="J1133" s="2" t="s">
        <v>51</v>
      </c>
      <c r="K1133" s="2">
        <v>0.71746735350995994</v>
      </c>
      <c r="L1133" s="2">
        <v>2061.3481474310302</v>
      </c>
      <c r="M1133" s="2">
        <v>0</v>
      </c>
      <c r="N1133" s="2">
        <v>1478.95</v>
      </c>
      <c r="O1133" s="2">
        <v>1478.95</v>
      </c>
      <c r="P1133" s="2"/>
      <c r="Q1133" s="2">
        <v>1478.95</v>
      </c>
      <c r="R1133" s="2" t="s">
        <v>44</v>
      </c>
      <c r="S1133" s="2"/>
      <c r="T1133" s="2">
        <f t="shared" si="379"/>
        <v>1</v>
      </c>
      <c r="U1133" s="18">
        <f t="shared" si="380"/>
        <v>10</v>
      </c>
      <c r="V1133" s="18">
        <f t="shared" si="381"/>
        <v>2025</v>
      </c>
      <c r="W1133" s="18" t="str">
        <f t="shared" si="382"/>
        <v/>
      </c>
      <c r="X1133" s="18" t="str">
        <f t="shared" si="383"/>
        <v/>
      </c>
      <c r="Y1133" s="2">
        <f t="shared" si="376"/>
        <v>0.71746735350996005</v>
      </c>
      <c r="Z1133" t="str">
        <f t="shared" si="377"/>
        <v>SO18135</v>
      </c>
      <c r="AA1133" s="11">
        <f t="shared" si="384"/>
        <v>45959.470613425918</v>
      </c>
      <c r="AB1133" s="5" t="str">
        <f t="shared" si="385"/>
        <v>INV13589</v>
      </c>
      <c r="AC1133" s="5" t="str">
        <f>IFERROR(VLOOKUP(D1133,CAARStatus!$A$2:$AA$1600,22,FALSE),"Not invoiced")</f>
        <v>Approved</v>
      </c>
      <c r="AD1133" s="11" t="str">
        <f>IF(AC1133="Paid",IFERROR(VLOOKUP(D1133,CAARStatus!$A$2:$AA$1600,6,FALSE),"Pending"),"Pending")</f>
        <v>Pending</v>
      </c>
      <c r="AE1133" s="5" t="str">
        <f t="shared" si="386"/>
        <v>4512484821</v>
      </c>
      <c r="AF1133" s="5" t="str">
        <f t="shared" si="387"/>
        <v>PT Vale Indonesia Tbk.</v>
      </c>
      <c r="AG1133" s="5" t="str">
        <f t="shared" si="388"/>
        <v>USD</v>
      </c>
      <c r="AH1133" s="5">
        <f t="shared" si="389"/>
        <v>2061.3481474310302</v>
      </c>
      <c r="AI1133" s="12">
        <f>IF(L1133-N1133=0,VLOOKUP(U1133,rate!A$4:B$15,2,FALSE)*AH1133,IF(AG1133="USD",O1133,AH1133*Y1133))</f>
        <v>1478.95</v>
      </c>
      <c r="AJ1133" s="13">
        <f t="shared" si="390"/>
        <v>0.71746735350996005</v>
      </c>
      <c r="AK1133" s="13">
        <f>-IF(AG1133="CAD",IFERROR(VLOOKUP(D1133,CAARStatus!$A$1:$Y$1600,16,FALSE),0),0)</f>
        <v>0</v>
      </c>
      <c r="AL1133" s="13">
        <f>-IF(AG1133="USD",IFERROR(VLOOKUP(D1133,CAARStatus!$A$1:$Y$1600,11,FALSE),0),0)</f>
        <v>-1478.95</v>
      </c>
      <c r="AM1133" s="22" t="str">
        <f t="shared" si="391"/>
        <v/>
      </c>
      <c r="AN1133" s="12">
        <f t="shared" si="392"/>
        <v>0</v>
      </c>
      <c r="AO1133" s="12" t="str">
        <f t="shared" si="393"/>
        <v>Pend</v>
      </c>
      <c r="AP1133" t="str">
        <f t="shared" si="378"/>
        <v>Pend</v>
      </c>
      <c r="AQ1133" t="str">
        <f>IFERROR(VLOOKUP(Z1133,InvBal!$L$4:$P$600,4,FALSE),"Pend")</f>
        <v>Pend</v>
      </c>
      <c r="AR1133" t="str">
        <f>IFERROR(VLOOKUP(D1133,Manual!$C$1:$E$22,2,FALSE),"Pend")</f>
        <v>Pend</v>
      </c>
      <c r="AS1133" t="str">
        <f t="shared" si="394"/>
        <v/>
      </c>
      <c r="AT1133" t="str">
        <f t="shared" si="395"/>
        <v>Yes</v>
      </c>
      <c r="AU1133" s="51" t="str">
        <f t="shared" si="396"/>
        <v/>
      </c>
      <c r="AV1133" s="12">
        <f>IFERROR(VLOOKUP(D1133,'Receivable Invoice Detail'!$S$1:$U$3014,3,FALSE),0)</f>
        <v>0</v>
      </c>
      <c r="AW1133" s="12">
        <f t="shared" si="397"/>
        <v>0</v>
      </c>
    </row>
    <row r="1134" spans="1:49" x14ac:dyDescent="0.25">
      <c r="A1134" s="2">
        <v>1</v>
      </c>
      <c r="B1134" s="2" t="s">
        <v>314</v>
      </c>
      <c r="C1134" s="2" t="s">
        <v>315</v>
      </c>
      <c r="D1134" s="2" t="s">
        <v>5965</v>
      </c>
      <c r="E1134" s="2" t="s">
        <v>316</v>
      </c>
      <c r="F1134" s="3">
        <v>45959.545451388891</v>
      </c>
      <c r="G1134" s="3">
        <v>45959.550694444442</v>
      </c>
      <c r="H1134" s="4">
        <v>46013</v>
      </c>
      <c r="I1134" s="2" t="s">
        <v>36</v>
      </c>
      <c r="J1134" s="2" t="s">
        <v>22</v>
      </c>
      <c r="K1134" s="2">
        <v>1</v>
      </c>
      <c r="L1134" s="2">
        <v>1522.04</v>
      </c>
      <c r="M1134" s="2">
        <v>0</v>
      </c>
      <c r="N1134" s="2">
        <v>1095.3493035340259</v>
      </c>
      <c r="O1134" s="2">
        <v>1449.56</v>
      </c>
      <c r="P1134" s="2">
        <v>72.48</v>
      </c>
      <c r="Q1134" s="2">
        <v>1522.04</v>
      </c>
      <c r="R1134" s="2" t="s">
        <v>44</v>
      </c>
      <c r="S1134" s="2"/>
      <c r="T1134" s="2">
        <f t="shared" si="379"/>
        <v>1</v>
      </c>
      <c r="U1134" s="18">
        <f t="shared" si="380"/>
        <v>10</v>
      </c>
      <c r="V1134" s="18">
        <f t="shared" si="381"/>
        <v>2025</v>
      </c>
      <c r="W1134" s="18" t="str">
        <f t="shared" si="382"/>
        <v/>
      </c>
      <c r="X1134" s="18" t="str">
        <f t="shared" si="383"/>
        <v/>
      </c>
      <c r="Y1134" s="2">
        <f t="shared" si="376"/>
        <v>0.71965868409110534</v>
      </c>
      <c r="Z1134" t="str">
        <f t="shared" si="377"/>
        <v>SO18136</v>
      </c>
      <c r="AA1134" s="11">
        <f t="shared" si="384"/>
        <v>45959.545451388891</v>
      </c>
      <c r="AB1134" s="5" t="str">
        <f t="shared" si="385"/>
        <v>INV13735</v>
      </c>
      <c r="AC1134" s="5" t="str">
        <f>IFERROR(VLOOKUP(D1134,CAARStatus!$A$2:$AA$1600,22,FALSE),"Not invoiced")</f>
        <v>Approved</v>
      </c>
      <c r="AD1134" s="11" t="str">
        <f>IF(AC1134="Paid",IFERROR(VLOOKUP(D1134,CAARStatus!$A$2:$AA$1600,6,FALSE),"Pending"),"Pending")</f>
        <v>Pending</v>
      </c>
      <c r="AE1134" s="5" t="str">
        <f t="shared" si="386"/>
        <v>10677</v>
      </c>
      <c r="AF1134" s="5" t="str">
        <f t="shared" si="387"/>
        <v>Canadian Industrial Pumps Ltd</v>
      </c>
      <c r="AG1134" s="5" t="str">
        <f t="shared" si="388"/>
        <v>CAD</v>
      </c>
      <c r="AH1134" s="5">
        <f t="shared" si="389"/>
        <v>1449.56</v>
      </c>
      <c r="AI1134" s="12">
        <f>IF(L1134-N1134=0,VLOOKUP(U1134,rate!A$4:B$15,2,FALSE)*AH1134,IF(AG1134="USD",O1134,AH1134*Y1134))</f>
        <v>1043.1884421111026</v>
      </c>
      <c r="AJ1134" s="13">
        <f t="shared" si="390"/>
        <v>0.71965868409110534</v>
      </c>
      <c r="AK1134" s="13">
        <f>-IF(AG1134="CAD",IFERROR(VLOOKUP(D1134,CAARStatus!$A$1:$Y$1600,16,FALSE),0),0)</f>
        <v>-1449.56</v>
      </c>
      <c r="AL1134" s="13">
        <f>-IF(AG1134="USD",IFERROR(VLOOKUP(D1134,CAARStatus!$A$1:$Y$1600,11,FALSE),0),0)</f>
        <v>0</v>
      </c>
      <c r="AM1134" s="22">
        <f t="shared" si="391"/>
        <v>0</v>
      </c>
      <c r="AN1134" s="12" t="str">
        <f t="shared" si="392"/>
        <v/>
      </c>
      <c r="AO1134" s="12" t="str">
        <f t="shared" si="393"/>
        <v>Pend</v>
      </c>
      <c r="AP1134" t="str">
        <f t="shared" si="378"/>
        <v>Pend</v>
      </c>
      <c r="AQ1134" t="str">
        <f>IFERROR(VLOOKUP(Z1134,InvBal!$L$4:$P$600,4,FALSE),"Pend")</f>
        <v>Pend</v>
      </c>
      <c r="AR1134" t="str">
        <f>IFERROR(VLOOKUP(D1134,Manual!$C$1:$E$22,2,FALSE),"Pend")</f>
        <v>Pend</v>
      </c>
      <c r="AS1134" t="str">
        <f t="shared" si="394"/>
        <v/>
      </c>
      <c r="AT1134" t="str">
        <f t="shared" si="395"/>
        <v>Yes</v>
      </c>
      <c r="AU1134" s="51" t="str">
        <f t="shared" si="396"/>
        <v/>
      </c>
      <c r="AV1134" s="12">
        <f>IFERROR(VLOOKUP(D1134,'Receivable Invoice Detail'!$S$1:$U$3014,3,FALSE),0)</f>
        <v>0</v>
      </c>
      <c r="AW1134" s="12">
        <f t="shared" si="397"/>
        <v>0</v>
      </c>
    </row>
    <row r="1135" spans="1:49" ht="30" x14ac:dyDescent="0.25">
      <c r="A1135" s="2">
        <v>1</v>
      </c>
      <c r="B1135" s="2" t="s">
        <v>309</v>
      </c>
      <c r="C1135" s="2" t="s">
        <v>310</v>
      </c>
      <c r="D1135" s="2" t="s">
        <v>3325</v>
      </c>
      <c r="E1135" s="2" t="s">
        <v>159</v>
      </c>
      <c r="F1135" s="3">
        <v>45959.546597222223</v>
      </c>
      <c r="G1135" s="3">
        <v>45960.325636574067</v>
      </c>
      <c r="H1135" s="4">
        <v>45961</v>
      </c>
      <c r="I1135" s="2" t="s">
        <v>40</v>
      </c>
      <c r="J1135" s="2" t="s">
        <v>51</v>
      </c>
      <c r="K1135" s="2">
        <v>0.71746735350995994</v>
      </c>
      <c r="L1135" s="2">
        <v>24780.068267946899</v>
      </c>
      <c r="M1135" s="2">
        <v>0</v>
      </c>
      <c r="N1135" s="2">
        <v>17778.89</v>
      </c>
      <c r="O1135" s="2">
        <v>17778.89</v>
      </c>
      <c r="P1135" s="2"/>
      <c r="Q1135" s="2">
        <v>17778.89</v>
      </c>
      <c r="R1135" s="2" t="s">
        <v>44</v>
      </c>
      <c r="S1135" s="2"/>
      <c r="T1135" s="2">
        <f t="shared" si="379"/>
        <v>1</v>
      </c>
      <c r="U1135" s="18">
        <f t="shared" si="380"/>
        <v>10</v>
      </c>
      <c r="V1135" s="18">
        <f t="shared" si="381"/>
        <v>2025</v>
      </c>
      <c r="W1135" s="18">
        <f t="shared" si="382"/>
        <v>1</v>
      </c>
      <c r="X1135" s="18">
        <f t="shared" si="383"/>
        <v>2026</v>
      </c>
      <c r="Y1135" s="2">
        <f t="shared" si="376"/>
        <v>0.71746735350995994</v>
      </c>
      <c r="Z1135" t="str">
        <f t="shared" si="377"/>
        <v>SO18137</v>
      </c>
      <c r="AA1135" s="11">
        <f t="shared" si="384"/>
        <v>45959.546597222223</v>
      </c>
      <c r="AB1135" s="5" t="str">
        <f t="shared" si="385"/>
        <v>INV13642</v>
      </c>
      <c r="AC1135" s="5" t="str">
        <f>IFERROR(VLOOKUP(D1135,CAARStatus!$A$2:$AA$1600,22,FALSE),"Not invoiced")</f>
        <v>Paid</v>
      </c>
      <c r="AD1135" s="11">
        <f>IF(AC1135="Paid",IFERROR(VLOOKUP(D1135,CAARStatus!$A$2:$AA$1600,6,FALSE),"Pending"),"Pending")</f>
        <v>46024</v>
      </c>
      <c r="AE1135" s="5" t="str">
        <f t="shared" si="386"/>
        <v>4501321096</v>
      </c>
      <c r="AF1135" s="5" t="str">
        <f t="shared" si="387"/>
        <v>Barrick Gold - Pueblo Viejo Dominicana Corporation</v>
      </c>
      <c r="AG1135" s="5" t="str">
        <f t="shared" si="388"/>
        <v>USD</v>
      </c>
      <c r="AH1135" s="5">
        <f t="shared" si="389"/>
        <v>24780.068267946899</v>
      </c>
      <c r="AI1135" s="12">
        <f>IF(L1135-N1135=0,VLOOKUP(U1135,rate!A$4:B$15,2,FALSE)*AH1135,IF(AG1135="USD",O1135,AH1135*Y1135))</f>
        <v>17778.89</v>
      </c>
      <c r="AJ1135" s="13">
        <f t="shared" si="390"/>
        <v>0.71746735350995994</v>
      </c>
      <c r="AK1135" s="13">
        <f>-IF(AG1135="CAD",IFERROR(VLOOKUP(D1135,CAARStatus!$A$1:$Y$1600,16,FALSE),0),0)</f>
        <v>0</v>
      </c>
      <c r="AL1135" s="13">
        <f>-IF(AG1135="USD",IFERROR(VLOOKUP(D1135,CAARStatus!$A$1:$Y$1600,11,FALSE),0),0)</f>
        <v>-17778.89</v>
      </c>
      <c r="AM1135" s="22" t="str">
        <f t="shared" si="391"/>
        <v/>
      </c>
      <c r="AN1135" s="12">
        <f t="shared" si="392"/>
        <v>0</v>
      </c>
      <c r="AO1135" s="12" t="str">
        <f t="shared" si="393"/>
        <v>Yes</v>
      </c>
      <c r="AP1135" t="str">
        <f t="shared" si="378"/>
        <v>Yes</v>
      </c>
      <c r="AQ1135" t="str">
        <f>IFERROR(VLOOKUP(Z1135,InvBal!$L$4:$P$600,4,FALSE),"Pend")</f>
        <v>Pend</v>
      </c>
      <c r="AR1135" t="str">
        <f>IFERROR(VLOOKUP(D1135,Manual!$C$1:$E$22,2,FALSE),"Pend")</f>
        <v>Pend</v>
      </c>
      <c r="AS1135" t="str">
        <f t="shared" si="394"/>
        <v>Yes</v>
      </c>
      <c r="AT1135" t="str">
        <f t="shared" si="395"/>
        <v>Yes</v>
      </c>
      <c r="AU1135" s="51" t="str">
        <f t="shared" si="396"/>
        <v>Yes</v>
      </c>
      <c r="AV1135" s="12">
        <f>IFERROR(VLOOKUP(D1135,'Receivable Invoice Detail'!$S$1:$U$3014,3,FALSE),0)</f>
        <v>0</v>
      </c>
      <c r="AW1135" s="12">
        <f t="shared" si="397"/>
        <v>17778.89</v>
      </c>
    </row>
    <row r="1136" spans="1:49" x14ac:dyDescent="0.25">
      <c r="A1136" s="2">
        <v>1</v>
      </c>
      <c r="B1136" s="2" t="s">
        <v>259</v>
      </c>
      <c r="C1136" s="2" t="s">
        <v>260</v>
      </c>
      <c r="D1136" s="2" t="s">
        <v>3344</v>
      </c>
      <c r="E1136" s="2" t="s">
        <v>77</v>
      </c>
      <c r="F1136" s="3">
        <v>45959.554259259261</v>
      </c>
      <c r="G1136" s="3">
        <v>45967.525243055563</v>
      </c>
      <c r="H1136" s="4">
        <v>45973</v>
      </c>
      <c r="I1136" s="2" t="s">
        <v>74</v>
      </c>
      <c r="J1136" s="2" t="s">
        <v>22</v>
      </c>
      <c r="K1136" s="2">
        <v>1</v>
      </c>
      <c r="L1136" s="2">
        <v>1016.4</v>
      </c>
      <c r="M1136" s="2">
        <v>1016.4</v>
      </c>
      <c r="N1136" s="2">
        <v>1016.4</v>
      </c>
      <c r="O1136" s="2">
        <v>968</v>
      </c>
      <c r="P1136" s="2">
        <v>48.4</v>
      </c>
      <c r="Q1136" s="2">
        <v>1016.4</v>
      </c>
      <c r="R1136" s="2" t="s">
        <v>44</v>
      </c>
      <c r="S1136" s="2"/>
      <c r="T1136" s="2">
        <f t="shared" si="379"/>
        <v>1</v>
      </c>
      <c r="U1136" s="18">
        <f t="shared" si="380"/>
        <v>10</v>
      </c>
      <c r="V1136" s="18">
        <f t="shared" si="381"/>
        <v>2025</v>
      </c>
      <c r="W1136" s="18">
        <f t="shared" si="382"/>
        <v>12</v>
      </c>
      <c r="X1136" s="18">
        <f t="shared" si="383"/>
        <v>2025</v>
      </c>
      <c r="Y1136" s="2">
        <f t="shared" si="376"/>
        <v>1</v>
      </c>
      <c r="Z1136" t="str">
        <f t="shared" si="377"/>
        <v>SO18138</v>
      </c>
      <c r="AA1136" s="11">
        <f t="shared" si="384"/>
        <v>45959.554259259261</v>
      </c>
      <c r="AB1136" s="5" t="str">
        <f t="shared" si="385"/>
        <v>INV13618</v>
      </c>
      <c r="AC1136" s="5" t="str">
        <f>IFERROR(VLOOKUP(D1136,CAARStatus!$A$2:$AA$1600,22,FALSE),"Not invoiced")</f>
        <v>Paid</v>
      </c>
      <c r="AD1136" s="11">
        <f>IF(AC1136="Paid",IFERROR(VLOOKUP(D1136,CAARStatus!$A$2:$AA$1600,6,FALSE),"Pending"),"Pending")</f>
        <v>46008</v>
      </c>
      <c r="AE1136" s="5" t="str">
        <f t="shared" si="386"/>
        <v>PO-40-1019041</v>
      </c>
      <c r="AF1136" s="5" t="str">
        <f t="shared" si="387"/>
        <v>Canadian Bearings Ltd.</v>
      </c>
      <c r="AG1136" s="5" t="str">
        <f t="shared" si="388"/>
        <v>CAD</v>
      </c>
      <c r="AH1136" s="5">
        <f t="shared" si="389"/>
        <v>968</v>
      </c>
      <c r="AI1136" s="12">
        <f>IF(L1136-N1136=0,VLOOKUP(U1136,rate!A$4:B$15,2,FALSE)*AH1136,IF(AG1136="USD",O1136,AH1136*Y1136))</f>
        <v>692.33153481131762</v>
      </c>
      <c r="AJ1136" s="13">
        <f t="shared" si="390"/>
        <v>0.71521852769764216</v>
      </c>
      <c r="AK1136" s="13">
        <f>-IF(AG1136="CAD",IFERROR(VLOOKUP(D1136,CAARStatus!$A$1:$Y$1600,16,FALSE),0),0)</f>
        <v>-968</v>
      </c>
      <c r="AL1136" s="13">
        <f>-IF(AG1136="USD",IFERROR(VLOOKUP(D1136,CAARStatus!$A$1:$Y$1600,11,FALSE),0),0)</f>
        <v>0</v>
      </c>
      <c r="AM1136" s="22">
        <f t="shared" si="391"/>
        <v>0</v>
      </c>
      <c r="AN1136" s="12" t="str">
        <f t="shared" si="392"/>
        <v/>
      </c>
      <c r="AO1136" s="12" t="str">
        <f t="shared" si="393"/>
        <v>Yes</v>
      </c>
      <c r="AP1136" t="str">
        <f t="shared" si="378"/>
        <v>Yes</v>
      </c>
      <c r="AQ1136" t="str">
        <f>IFERROR(VLOOKUP(Z1136,InvBal!$L$4:$P$600,4,FALSE),"Pend")</f>
        <v>Pend</v>
      </c>
      <c r="AR1136" t="str">
        <f>IFERROR(VLOOKUP(D1136,Manual!$C$1:$E$22,2,FALSE),"Pend")</f>
        <v>Pend</v>
      </c>
      <c r="AS1136" t="str">
        <f t="shared" si="394"/>
        <v>Yes</v>
      </c>
      <c r="AT1136" t="str">
        <f t="shared" si="395"/>
        <v>Yes</v>
      </c>
      <c r="AU1136" s="51" t="str">
        <f t="shared" si="396"/>
        <v>Yes</v>
      </c>
      <c r="AV1136" s="12">
        <f>IFERROR(VLOOKUP(D1136,'Receivable Invoice Detail'!$S$1:$U$3014,3,FALSE),0)</f>
        <v>0</v>
      </c>
      <c r="AW1136" s="12">
        <f t="shared" si="397"/>
        <v>692.33153481131762</v>
      </c>
    </row>
    <row r="1137" spans="1:49" x14ac:dyDescent="0.25">
      <c r="A1137" s="2">
        <v>1</v>
      </c>
      <c r="B1137" s="2" t="s">
        <v>293</v>
      </c>
      <c r="C1137" s="2" t="s">
        <v>294</v>
      </c>
      <c r="D1137" s="2" t="s">
        <v>3331</v>
      </c>
      <c r="E1137" s="2" t="s">
        <v>77</v>
      </c>
      <c r="F1137" s="3">
        <v>45959.621041666673</v>
      </c>
      <c r="G1137" s="3">
        <v>45961.620254629634</v>
      </c>
      <c r="H1137" s="4">
        <v>45972</v>
      </c>
      <c r="I1137" s="2" t="s">
        <v>21</v>
      </c>
      <c r="J1137" s="2" t="s">
        <v>22</v>
      </c>
      <c r="K1137" s="2">
        <v>1</v>
      </c>
      <c r="L1137" s="2">
        <v>567.74</v>
      </c>
      <c r="M1137" s="2">
        <v>0</v>
      </c>
      <c r="N1137" s="2">
        <v>405.18520020426939</v>
      </c>
      <c r="O1137" s="2">
        <v>540.70000000000005</v>
      </c>
      <c r="P1137" s="2">
        <v>27.04</v>
      </c>
      <c r="Q1137" s="2">
        <v>567.74</v>
      </c>
      <c r="R1137" s="2" t="s">
        <v>44</v>
      </c>
      <c r="S1137" s="2"/>
      <c r="T1137" s="2">
        <f t="shared" si="379"/>
        <v>1</v>
      </c>
      <c r="U1137" s="18">
        <f t="shared" si="380"/>
        <v>10</v>
      </c>
      <c r="V1137" s="18">
        <f t="shared" si="381"/>
        <v>2025</v>
      </c>
      <c r="W1137" s="18">
        <f t="shared" si="382"/>
        <v>12</v>
      </c>
      <c r="X1137" s="18">
        <f t="shared" si="383"/>
        <v>2025</v>
      </c>
      <c r="Y1137" s="2">
        <f t="shared" si="376"/>
        <v>0.71368091063562433</v>
      </c>
      <c r="Z1137" t="str">
        <f t="shared" si="377"/>
        <v>SO18140</v>
      </c>
      <c r="AA1137" s="11">
        <f t="shared" si="384"/>
        <v>45959.621041666673</v>
      </c>
      <c r="AB1137" s="5" t="str">
        <f t="shared" si="385"/>
        <v>INV13617</v>
      </c>
      <c r="AC1137" s="5" t="str">
        <f>IFERROR(VLOOKUP(D1137,CAARStatus!$A$2:$AA$1600,22,FALSE),"Not invoiced")</f>
        <v>Paid</v>
      </c>
      <c r="AD1137" s="11">
        <f>IF(AC1137="Paid",IFERROR(VLOOKUP(D1137,CAARStatus!$A$2:$AA$1600,6,FALSE),"Pending"),"Pending")</f>
        <v>46008</v>
      </c>
      <c r="AE1137" s="5" t="str">
        <f t="shared" si="386"/>
        <v>PO-40-1018891</v>
      </c>
      <c r="AF1137" s="5" t="str">
        <f t="shared" si="387"/>
        <v>Canadian Bearings Ltd.</v>
      </c>
      <c r="AG1137" s="5" t="str">
        <f t="shared" si="388"/>
        <v>CAD</v>
      </c>
      <c r="AH1137" s="5">
        <f t="shared" si="389"/>
        <v>540.70000000000005</v>
      </c>
      <c r="AI1137" s="12">
        <f>IF(L1137-N1137=0,VLOOKUP(U1137,rate!A$4:B$15,2,FALSE)*AH1137,IF(AG1137="USD",O1137,AH1137*Y1137))</f>
        <v>385.88726838068209</v>
      </c>
      <c r="AJ1137" s="13">
        <f t="shared" si="390"/>
        <v>0.71368091063562433</v>
      </c>
      <c r="AK1137" s="13">
        <f>-IF(AG1137="CAD",IFERROR(VLOOKUP(D1137,CAARStatus!$A$1:$Y$1600,16,FALSE),0),0)</f>
        <v>-540.70000000000005</v>
      </c>
      <c r="AL1137" s="13">
        <f>-IF(AG1137="USD",IFERROR(VLOOKUP(D1137,CAARStatus!$A$1:$Y$1600,11,FALSE),0),0)</f>
        <v>0</v>
      </c>
      <c r="AM1137" s="22">
        <f t="shared" si="391"/>
        <v>0</v>
      </c>
      <c r="AN1137" s="12" t="str">
        <f t="shared" si="392"/>
        <v/>
      </c>
      <c r="AO1137" s="12" t="str">
        <f t="shared" si="393"/>
        <v>Yes</v>
      </c>
      <c r="AP1137" t="str">
        <f t="shared" si="378"/>
        <v>Yes</v>
      </c>
      <c r="AQ1137" t="str">
        <f>IFERROR(VLOOKUP(Z1137,InvBal!$L$4:$P$600,4,FALSE),"Pend")</f>
        <v>Pend</v>
      </c>
      <c r="AR1137" t="str">
        <f>IFERROR(VLOOKUP(D1137,Manual!$C$1:$E$22,2,FALSE),"Pend")</f>
        <v>Pend</v>
      </c>
      <c r="AS1137" t="str">
        <f t="shared" si="394"/>
        <v>Yes</v>
      </c>
      <c r="AT1137" t="str">
        <f t="shared" si="395"/>
        <v>Yes</v>
      </c>
      <c r="AU1137" s="51" t="str">
        <f t="shared" si="396"/>
        <v>Yes</v>
      </c>
      <c r="AV1137" s="12">
        <f>IFERROR(VLOOKUP(D1137,'Receivable Invoice Detail'!$S$1:$U$3014,3,FALSE),0)</f>
        <v>0</v>
      </c>
      <c r="AW1137" s="12">
        <f t="shared" si="397"/>
        <v>385.88726838068209</v>
      </c>
    </row>
    <row r="1138" spans="1:49" ht="30" x14ac:dyDescent="0.25">
      <c r="A1138" s="2">
        <v>1</v>
      </c>
      <c r="B1138" s="2" t="s">
        <v>303</v>
      </c>
      <c r="C1138" s="2" t="s">
        <v>304</v>
      </c>
      <c r="D1138" s="2" t="s">
        <v>3328</v>
      </c>
      <c r="E1138" s="2" t="s">
        <v>39</v>
      </c>
      <c r="F1138" s="3">
        <v>45959.744884259257</v>
      </c>
      <c r="G1138" s="3">
        <v>45960.745358796303</v>
      </c>
      <c r="H1138" s="4">
        <v>45967</v>
      </c>
      <c r="I1138" s="2" t="s">
        <v>36</v>
      </c>
      <c r="J1138" s="2" t="s">
        <v>22</v>
      </c>
      <c r="K1138" s="2">
        <v>1</v>
      </c>
      <c r="L1138" s="2">
        <v>5355.4</v>
      </c>
      <c r="M1138" s="2">
        <v>0</v>
      </c>
      <c r="N1138" s="2">
        <v>3830.1287192295972</v>
      </c>
      <c r="O1138" s="2">
        <v>5100.38</v>
      </c>
      <c r="P1138" s="2">
        <v>255.02</v>
      </c>
      <c r="Q1138" s="2">
        <v>5355.4</v>
      </c>
      <c r="R1138" s="2" t="s">
        <v>44</v>
      </c>
      <c r="S1138" s="2"/>
      <c r="T1138" s="2">
        <f t="shared" si="379"/>
        <v>1</v>
      </c>
      <c r="U1138" s="18">
        <f t="shared" si="380"/>
        <v>10</v>
      </c>
      <c r="V1138" s="18">
        <f t="shared" si="381"/>
        <v>2025</v>
      </c>
      <c r="W1138" s="18">
        <f t="shared" si="382"/>
        <v>12</v>
      </c>
      <c r="X1138" s="18">
        <f t="shared" si="383"/>
        <v>2025</v>
      </c>
      <c r="Y1138" s="2">
        <f t="shared" si="376"/>
        <v>0.7151900360812633</v>
      </c>
      <c r="Z1138" t="str">
        <f t="shared" si="377"/>
        <v>SO18142</v>
      </c>
      <c r="AA1138" s="11">
        <f t="shared" si="384"/>
        <v>45959.744884259257</v>
      </c>
      <c r="AB1138" s="5" t="str">
        <f t="shared" si="385"/>
        <v>INV13601</v>
      </c>
      <c r="AC1138" s="5" t="str">
        <f>IFERROR(VLOOKUP(D1138,CAARStatus!$A$2:$AA$1600,22,FALSE),"Not invoiced")</f>
        <v>Paid</v>
      </c>
      <c r="AD1138" s="11">
        <f>IF(AC1138="Paid",IFERROR(VLOOKUP(D1138,CAARStatus!$A$2:$AA$1600,6,FALSE),"Pending"),"Pending")</f>
        <v>45994</v>
      </c>
      <c r="AE1138" s="5" t="str">
        <f t="shared" si="386"/>
        <v>BC65-00082252</v>
      </c>
      <c r="AF1138" s="5" t="str">
        <f t="shared" si="387"/>
        <v>Motion Industries Inc. (Canada) - Prince George</v>
      </c>
      <c r="AG1138" s="5" t="str">
        <f t="shared" si="388"/>
        <v>CAD</v>
      </c>
      <c r="AH1138" s="5">
        <f t="shared" si="389"/>
        <v>5100.38</v>
      </c>
      <c r="AI1138" s="12">
        <f>IF(L1138-N1138=0,VLOOKUP(U1138,rate!A$4:B$15,2,FALSE)*AH1138,IF(AG1138="USD",O1138,AH1138*Y1138))</f>
        <v>3647.7409562281537</v>
      </c>
      <c r="AJ1138" s="13">
        <f t="shared" si="390"/>
        <v>0.7151900360812633</v>
      </c>
      <c r="AK1138" s="13">
        <f>-IF(AG1138="CAD",IFERROR(VLOOKUP(D1138,CAARStatus!$A$1:$Y$1600,16,FALSE),0),0)</f>
        <v>-5100.38</v>
      </c>
      <c r="AL1138" s="13">
        <f>-IF(AG1138="USD",IFERROR(VLOOKUP(D1138,CAARStatus!$A$1:$Y$1600,11,FALSE),0),0)</f>
        <v>0</v>
      </c>
      <c r="AM1138" s="22">
        <f t="shared" si="391"/>
        <v>0</v>
      </c>
      <c r="AN1138" s="12" t="str">
        <f t="shared" si="392"/>
        <v/>
      </c>
      <c r="AO1138" s="12" t="str">
        <f t="shared" si="393"/>
        <v>Yes</v>
      </c>
      <c r="AP1138" t="str">
        <f t="shared" si="378"/>
        <v>Yes</v>
      </c>
      <c r="AQ1138" t="str">
        <f>IFERROR(VLOOKUP(Z1138,InvBal!$L$4:$P$600,4,FALSE),"Pend")</f>
        <v>Pend</v>
      </c>
      <c r="AR1138" t="str">
        <f>IFERROR(VLOOKUP(D1138,Manual!$C$1:$E$22,2,FALSE),"Pend")</f>
        <v>Pend</v>
      </c>
      <c r="AS1138" t="str">
        <f t="shared" si="394"/>
        <v>Yes</v>
      </c>
      <c r="AT1138" t="str">
        <f t="shared" si="395"/>
        <v>Yes</v>
      </c>
      <c r="AU1138" s="51" t="str">
        <f t="shared" si="396"/>
        <v>Yes</v>
      </c>
      <c r="AV1138" s="12">
        <f>IFERROR(VLOOKUP(D1138,'Receivable Invoice Detail'!$S$1:$U$3014,3,FALSE),0)</f>
        <v>0</v>
      </c>
      <c r="AW1138" s="12">
        <f t="shared" si="397"/>
        <v>3647.7409562281537</v>
      </c>
    </row>
    <row r="1139" spans="1:49" ht="30" x14ac:dyDescent="0.25">
      <c r="A1139" s="2">
        <v>1</v>
      </c>
      <c r="B1139" s="2" t="s">
        <v>301</v>
      </c>
      <c r="C1139" s="2" t="s">
        <v>302</v>
      </c>
      <c r="D1139" s="2" t="s">
        <v>3329</v>
      </c>
      <c r="E1139" s="2" t="s">
        <v>20</v>
      </c>
      <c r="F1139" s="3">
        <v>45959.812881944446</v>
      </c>
      <c r="G1139" s="3">
        <v>45960.807511574072</v>
      </c>
      <c r="H1139" s="4">
        <v>45967</v>
      </c>
      <c r="I1139" s="2" t="s">
        <v>36</v>
      </c>
      <c r="J1139" s="2" t="s">
        <v>22</v>
      </c>
      <c r="K1139" s="2">
        <v>1</v>
      </c>
      <c r="L1139" s="2">
        <v>499.25</v>
      </c>
      <c r="M1139" s="2">
        <v>0</v>
      </c>
      <c r="N1139" s="2">
        <v>356.30519463483552</v>
      </c>
      <c r="O1139" s="2">
        <v>475.48</v>
      </c>
      <c r="P1139" s="2">
        <v>23.77</v>
      </c>
      <c r="Q1139" s="2">
        <v>499.25</v>
      </c>
      <c r="R1139" s="2" t="s">
        <v>44</v>
      </c>
      <c r="S1139" s="2"/>
      <c r="T1139" s="2">
        <f t="shared" si="379"/>
        <v>1</v>
      </c>
      <c r="U1139" s="18">
        <f t="shared" si="380"/>
        <v>10</v>
      </c>
      <c r="V1139" s="18">
        <f t="shared" si="381"/>
        <v>2025</v>
      </c>
      <c r="W1139" s="18">
        <f t="shared" si="382"/>
        <v>1</v>
      </c>
      <c r="X1139" s="18">
        <f t="shared" si="383"/>
        <v>2026</v>
      </c>
      <c r="Y1139" s="17">
        <f t="shared" si="376"/>
        <v>0.71368091063562444</v>
      </c>
      <c r="Z1139" t="str">
        <f t="shared" si="377"/>
        <v>SO18143</v>
      </c>
      <c r="AA1139" s="11">
        <f t="shared" si="384"/>
        <v>45959.812881944446</v>
      </c>
      <c r="AB1139" s="5" t="str">
        <f t="shared" si="385"/>
        <v>INV13600</v>
      </c>
      <c r="AC1139" s="5" t="str">
        <f>IFERROR(VLOOKUP(D1139,CAARStatus!$A$2:$AA$1600,22,FALSE),"Not invoiced")</f>
        <v>Paid</v>
      </c>
      <c r="AD1139" s="11">
        <f>IF(AC1139="Paid",IFERROR(VLOOKUP(D1139,CAARStatus!$A$2:$AA$1600,6,FALSE),"Pending"),"Pending")</f>
        <v>46024</v>
      </c>
      <c r="AE1139" s="5" t="str">
        <f t="shared" si="386"/>
        <v>4500619617</v>
      </c>
      <c r="AF1139" s="5" t="str">
        <f t="shared" si="387"/>
        <v>Resolute Forest Products - Saint-Felicien</v>
      </c>
      <c r="AG1139" s="5" t="str">
        <f t="shared" si="388"/>
        <v>CAD</v>
      </c>
      <c r="AH1139" s="5">
        <f t="shared" si="389"/>
        <v>475.48</v>
      </c>
      <c r="AI1139" s="12">
        <f>IF(L1139-N1139=0,VLOOKUP(U1139,rate!A$4:B$15,2,FALSE)*AH1139,IF(AG1139="USD",O1139,AH1139*Y1139))</f>
        <v>339.34099938902671</v>
      </c>
      <c r="AJ1139" s="13">
        <f t="shared" si="390"/>
        <v>0.71368091063562444</v>
      </c>
      <c r="AK1139" s="13">
        <f>-IF(AG1139="CAD",IFERROR(VLOOKUP(D1139,CAARStatus!$A$1:$Y$1600,16,FALSE),0),0)</f>
        <v>-475.48</v>
      </c>
      <c r="AL1139" s="13">
        <f>-IF(AG1139="USD",IFERROR(VLOOKUP(D1139,CAARStatus!$A$1:$Y$1600,11,FALSE),0),0)</f>
        <v>0</v>
      </c>
      <c r="AM1139" s="22">
        <f t="shared" si="391"/>
        <v>0</v>
      </c>
      <c r="AN1139" s="12" t="str">
        <f t="shared" si="392"/>
        <v/>
      </c>
      <c r="AO1139" s="12" t="str">
        <f t="shared" si="393"/>
        <v>Yes</v>
      </c>
      <c r="AP1139" t="str">
        <f t="shared" si="378"/>
        <v>Yes</v>
      </c>
      <c r="AQ1139" t="str">
        <f>IFERROR(VLOOKUP(Z1139,InvBal!$L$4:$P$600,4,FALSE),"Pend")</f>
        <v>Pend</v>
      </c>
      <c r="AR1139" t="str">
        <f>IFERROR(VLOOKUP(D1139,Manual!$C$1:$E$22,2,FALSE),"Pend")</f>
        <v>Pend</v>
      </c>
      <c r="AS1139" t="str">
        <f t="shared" si="394"/>
        <v>Yes</v>
      </c>
      <c r="AT1139" t="str">
        <f t="shared" si="395"/>
        <v>Yes</v>
      </c>
      <c r="AU1139" s="51" t="str">
        <f t="shared" si="396"/>
        <v>Yes</v>
      </c>
      <c r="AV1139" s="12">
        <f>IFERROR(VLOOKUP(D1139,'Receivable Invoice Detail'!$S$1:$U$3014,3,FALSE),0)</f>
        <v>0</v>
      </c>
      <c r="AW1139" s="12">
        <f t="shared" si="397"/>
        <v>339.34099938902671</v>
      </c>
    </row>
    <row r="1140" spans="1:49" x14ac:dyDescent="0.25">
      <c r="A1140" s="2">
        <v>1</v>
      </c>
      <c r="B1140" s="2" t="s">
        <v>308</v>
      </c>
      <c r="C1140" s="2" t="s">
        <v>292</v>
      </c>
      <c r="D1140" s="2" t="s">
        <v>3326</v>
      </c>
      <c r="E1140" s="2" t="s">
        <v>64</v>
      </c>
      <c r="F1140" s="3">
        <v>45960.464305555557</v>
      </c>
      <c r="G1140" s="3">
        <v>45960.46497685185</v>
      </c>
      <c r="H1140" s="4">
        <v>45967</v>
      </c>
      <c r="I1140" s="2" t="s">
        <v>74</v>
      </c>
      <c r="J1140" s="2" t="s">
        <v>22</v>
      </c>
      <c r="K1140" s="2">
        <v>1</v>
      </c>
      <c r="L1140" s="2">
        <v>899.21</v>
      </c>
      <c r="M1140" s="2">
        <v>0</v>
      </c>
      <c r="N1140" s="2">
        <v>643.10603234463281</v>
      </c>
      <c r="O1140" s="2">
        <v>795.76</v>
      </c>
      <c r="P1140" s="2">
        <v>103.45</v>
      </c>
      <c r="Q1140" s="2">
        <v>899.21</v>
      </c>
      <c r="R1140" s="2" t="s">
        <v>44</v>
      </c>
      <c r="S1140" s="2"/>
      <c r="T1140" s="2">
        <f t="shared" si="379"/>
        <v>1</v>
      </c>
      <c r="U1140" s="18">
        <f t="shared" si="380"/>
        <v>10</v>
      </c>
      <c r="V1140" s="18">
        <f t="shared" si="381"/>
        <v>2025</v>
      </c>
      <c r="W1140" s="18" t="str">
        <f t="shared" si="382"/>
        <v/>
      </c>
      <c r="X1140" s="18" t="str">
        <f t="shared" si="383"/>
        <v/>
      </c>
      <c r="Y1140" s="17">
        <f t="shared" si="376"/>
        <v>0.7151900360812633</v>
      </c>
      <c r="Z1140" t="str">
        <f t="shared" si="377"/>
        <v>SO18145</v>
      </c>
      <c r="AA1140" s="11">
        <f t="shared" si="384"/>
        <v>45960.464305555557</v>
      </c>
      <c r="AB1140" s="5" t="str">
        <f t="shared" si="385"/>
        <v>INV13607</v>
      </c>
      <c r="AC1140" s="5" t="str">
        <f>IFERROR(VLOOKUP(D1140,CAARStatus!$A$2:$AA$1600,22,FALSE),"Not invoiced")</f>
        <v>Not invoiced</v>
      </c>
      <c r="AD1140" s="11" t="str">
        <f>IF(AC1140="Paid",IFERROR(VLOOKUP(D1140,CAARStatus!$A$2:$AA$1600,6,FALSE),"Pending"),"Pending")</f>
        <v>Pending</v>
      </c>
      <c r="AE1140" s="5" t="str">
        <f t="shared" si="386"/>
        <v>607067</v>
      </c>
      <c r="AF1140" s="5" t="str">
        <f t="shared" si="387"/>
        <v>Sealtrac Inc.</v>
      </c>
      <c r="AG1140" s="5" t="str">
        <f t="shared" si="388"/>
        <v>CAD</v>
      </c>
      <c r="AH1140" s="5">
        <f t="shared" si="389"/>
        <v>795.76</v>
      </c>
      <c r="AI1140" s="12">
        <f>IF(L1140-N1140=0,VLOOKUP(U1140,rate!A$4:B$15,2,FALSE)*AH1140,IF(AG1140="USD",O1140,AH1140*Y1140))</f>
        <v>569.11962311202603</v>
      </c>
      <c r="AJ1140" s="13">
        <f t="shared" si="390"/>
        <v>0.71519003608126319</v>
      </c>
      <c r="AK1140" s="13">
        <f>-IF(AG1140="CAD",IFERROR(VLOOKUP(D1140,CAARStatus!$A$1:$Y$1600,16,FALSE),0),0)</f>
        <v>0</v>
      </c>
      <c r="AL1140" s="13">
        <f>-IF(AG1140="USD",IFERROR(VLOOKUP(D1140,CAARStatus!$A$1:$Y$1600,11,FALSE),0),0)</f>
        <v>0</v>
      </c>
      <c r="AM1140" s="22">
        <f t="shared" si="391"/>
        <v>795.76</v>
      </c>
      <c r="AN1140" s="12" t="str">
        <f t="shared" si="392"/>
        <v/>
      </c>
      <c r="AO1140" s="12" t="str">
        <f t="shared" si="393"/>
        <v>Pend</v>
      </c>
      <c r="AP1140" t="str">
        <f t="shared" si="378"/>
        <v>Pend</v>
      </c>
      <c r="AQ1140" t="str">
        <f>IFERROR(VLOOKUP(Z1140,InvBal!$L$4:$P$600,4,FALSE),"Pend")</f>
        <v>Pend</v>
      </c>
      <c r="AR1140" t="str">
        <f>IFERROR(VLOOKUP(D1140,Manual!$C$1:$E$22,2,FALSE),"Pend")</f>
        <v>Pend</v>
      </c>
      <c r="AS1140" t="str">
        <f t="shared" si="394"/>
        <v/>
      </c>
      <c r="AT1140" t="str">
        <f t="shared" si="395"/>
        <v>Yes</v>
      </c>
      <c r="AU1140" s="51" t="str">
        <f t="shared" si="396"/>
        <v/>
      </c>
      <c r="AV1140" s="12">
        <f>IFERROR(VLOOKUP(D1140,'Receivable Invoice Detail'!$S$1:$U$3014,3,FALSE),0)</f>
        <v>0</v>
      </c>
      <c r="AW1140" s="12">
        <f t="shared" si="397"/>
        <v>0</v>
      </c>
    </row>
    <row r="1141" spans="1:49" x14ac:dyDescent="0.25">
      <c r="A1141" s="2">
        <v>0</v>
      </c>
      <c r="B1141" s="2" t="s">
        <v>99</v>
      </c>
      <c r="C1141" s="2" t="s">
        <v>100</v>
      </c>
      <c r="D1141" s="2"/>
      <c r="E1141" s="2" t="s">
        <v>101</v>
      </c>
      <c r="F1141" s="3">
        <v>45961.495219907411</v>
      </c>
      <c r="G1141" s="3">
        <v>45986.416956018518</v>
      </c>
      <c r="H1141" s="2"/>
      <c r="I1141" s="2" t="s">
        <v>40</v>
      </c>
      <c r="J1141" s="2" t="s">
        <v>51</v>
      </c>
      <c r="K1141" s="2">
        <v>0.70860938895411174</v>
      </c>
      <c r="L1141" s="2">
        <v>11948.755029194661</v>
      </c>
      <c r="M1141" s="2">
        <v>0</v>
      </c>
      <c r="N1141" s="2">
        <v>8467</v>
      </c>
      <c r="O1141" s="2">
        <v>8467</v>
      </c>
      <c r="P1141" s="2"/>
      <c r="Q1141" s="2">
        <v>8467</v>
      </c>
      <c r="R1141" s="2" t="s">
        <v>29</v>
      </c>
      <c r="S1141" s="2"/>
      <c r="T1141" s="2">
        <f t="shared" si="379"/>
        <v>0</v>
      </c>
      <c r="U1141" s="18">
        <f t="shared" si="380"/>
        <v>10</v>
      </c>
      <c r="V1141" s="18">
        <f t="shared" si="381"/>
        <v>2025</v>
      </c>
      <c r="W1141" s="18" t="str">
        <f t="shared" si="382"/>
        <v/>
      </c>
      <c r="X1141" s="18" t="str">
        <f t="shared" si="383"/>
        <v/>
      </c>
      <c r="Y1141" s="17">
        <f t="shared" si="376"/>
        <v>0.70860938895411185</v>
      </c>
      <c r="Z1141" t="str">
        <f t="shared" si="377"/>
        <v>SO18150</v>
      </c>
      <c r="AA1141" s="11">
        <f t="shared" si="384"/>
        <v>45961.495219907411</v>
      </c>
      <c r="AB1141" s="5" t="str">
        <f t="shared" si="385"/>
        <v>No Inv</v>
      </c>
      <c r="AC1141" s="5" t="str">
        <f>IFERROR(VLOOKUP(D1141,CAARStatus!$A$2:$AA$1600,22,FALSE),"Not invoiced")</f>
        <v>Not invoiced</v>
      </c>
      <c r="AD1141" s="11" t="str">
        <f>IF(AC1141="Paid",IFERROR(VLOOKUP(D1141,CAARStatus!$A$2:$AA$1600,6,FALSE),"Pending"),"Pending")</f>
        <v>Pending</v>
      </c>
      <c r="AE1141" s="5" t="str">
        <f t="shared" si="386"/>
        <v>PO# 2658</v>
      </c>
      <c r="AF1141" s="5" t="str">
        <f t="shared" si="387"/>
        <v>AGREGATEC, SRL</v>
      </c>
      <c r="AG1141" s="5" t="str">
        <f t="shared" si="388"/>
        <v>USD</v>
      </c>
      <c r="AH1141" s="5">
        <f t="shared" si="389"/>
        <v>11948.755029194663</v>
      </c>
      <c r="AI1141" s="12">
        <f>IF(L1141-N1141=0,VLOOKUP(U1141,rate!A$4:B$15,2,FALSE)*AH1141,IF(AG1141="USD",O1141,AH1141*Y1141))</f>
        <v>8467</v>
      </c>
      <c r="AJ1141" s="13">
        <f t="shared" si="390"/>
        <v>0.70860938895411174</v>
      </c>
      <c r="AK1141" s="13">
        <f>-IF(AG1141="CAD",IFERROR(VLOOKUP(D1141,CAARStatus!$A$1:$Y$1600,16,FALSE),0),0)</f>
        <v>0</v>
      </c>
      <c r="AL1141" s="13">
        <f>-IF(AG1141="USD",IFERROR(VLOOKUP(D1141,CAARStatus!$A$1:$Y$1600,11,FALSE),0),0)</f>
        <v>0</v>
      </c>
      <c r="AM1141" s="22" t="str">
        <f t="shared" si="391"/>
        <v/>
      </c>
      <c r="AN1141" s="12">
        <f t="shared" si="392"/>
        <v>8467</v>
      </c>
      <c r="AO1141" s="12" t="str">
        <f t="shared" si="393"/>
        <v>Pend</v>
      </c>
      <c r="AP1141" t="str">
        <f t="shared" si="378"/>
        <v>Pend</v>
      </c>
      <c r="AQ1141" t="str">
        <f>IFERROR(VLOOKUP(Z1141,InvBal!$L$4:$P$600,4,FALSE),"Pend")</f>
        <v>Pend</v>
      </c>
      <c r="AR1141" t="str">
        <f>IFERROR(VLOOKUP(D1141,Manual!$C$1:$E$22,2,FALSE),"Pend")</f>
        <v>Pend</v>
      </c>
      <c r="AS1141" t="str">
        <f t="shared" si="394"/>
        <v/>
      </c>
      <c r="AT1141" t="str">
        <f t="shared" si="395"/>
        <v/>
      </c>
      <c r="AU1141" s="51" t="str">
        <f t="shared" si="396"/>
        <v/>
      </c>
      <c r="AV1141" s="12">
        <f>IFERROR(VLOOKUP(D1141,'Receivable Invoice Detail'!$S$1:$U$3014,3,FALSE),0)</f>
        <v>0</v>
      </c>
      <c r="AW1141" s="12">
        <f t="shared" si="397"/>
        <v>0</v>
      </c>
    </row>
    <row r="1142" spans="1:49" x14ac:dyDescent="0.25">
      <c r="A1142" s="2">
        <v>1</v>
      </c>
      <c r="B1142" s="2" t="s">
        <v>291</v>
      </c>
      <c r="C1142" s="2" t="s">
        <v>292</v>
      </c>
      <c r="D1142" s="2" t="s">
        <v>3332</v>
      </c>
      <c r="E1142" s="2" t="s">
        <v>64</v>
      </c>
      <c r="F1142" s="3">
        <v>45961.662511574083</v>
      </c>
      <c r="G1142" s="3">
        <v>45961.662685185183</v>
      </c>
      <c r="H1142" s="4">
        <v>45965</v>
      </c>
      <c r="I1142" s="2" t="s">
        <v>21</v>
      </c>
      <c r="J1142" s="2" t="s">
        <v>22</v>
      </c>
      <c r="K1142" s="2">
        <v>1</v>
      </c>
      <c r="L1142" s="2">
        <v>835.55</v>
      </c>
      <c r="M1142" s="2">
        <v>0</v>
      </c>
      <c r="N1142" s="2">
        <v>596.316084881596</v>
      </c>
      <c r="O1142" s="2">
        <v>795.76</v>
      </c>
      <c r="P1142" s="2">
        <v>39.79</v>
      </c>
      <c r="Q1142" s="2">
        <v>835.55</v>
      </c>
      <c r="R1142" s="2" t="s">
        <v>23</v>
      </c>
      <c r="S1142" s="2"/>
      <c r="T1142" s="2">
        <f t="shared" si="379"/>
        <v>1</v>
      </c>
      <c r="U1142" s="18">
        <f t="shared" si="380"/>
        <v>10</v>
      </c>
      <c r="V1142" s="18">
        <f t="shared" si="381"/>
        <v>2025</v>
      </c>
      <c r="W1142" s="18">
        <f t="shared" si="382"/>
        <v>12</v>
      </c>
      <c r="X1142" s="18">
        <f t="shared" si="383"/>
        <v>2025</v>
      </c>
      <c r="Y1142" s="17">
        <f t="shared" si="376"/>
        <v>0.71368091063562444</v>
      </c>
      <c r="Z1142" t="str">
        <f t="shared" si="377"/>
        <v>SO18151</v>
      </c>
      <c r="AA1142" s="11">
        <f t="shared" si="384"/>
        <v>45961.662511574083</v>
      </c>
      <c r="AB1142" s="5" t="str">
        <f t="shared" si="385"/>
        <v>INV13614</v>
      </c>
      <c r="AC1142" s="5" t="str">
        <f>IFERROR(VLOOKUP(D1142,CAARStatus!$A$2:$AA$1600,22,FALSE),"Not invoiced")</f>
        <v>Paid</v>
      </c>
      <c r="AD1142" s="11">
        <f>IF(AC1142="Paid",IFERROR(VLOOKUP(D1142,CAARStatus!$A$2:$AA$1600,6,FALSE),"Pending"),"Pending")</f>
        <v>46020</v>
      </c>
      <c r="AE1142" s="5" t="str">
        <f t="shared" si="386"/>
        <v>607067</v>
      </c>
      <c r="AF1142" s="5" t="str">
        <f t="shared" si="387"/>
        <v>Sealtrac Inc.</v>
      </c>
      <c r="AG1142" s="5" t="str">
        <f t="shared" si="388"/>
        <v>CAD</v>
      </c>
      <c r="AH1142" s="5">
        <f t="shared" si="389"/>
        <v>795.76</v>
      </c>
      <c r="AI1142" s="12">
        <f>IF(L1142-N1142=0,VLOOKUP(U1142,rate!A$4:B$15,2,FALSE)*AH1142,IF(AG1142="USD",O1142,AH1142*Y1142))</f>
        <v>567.91872144740455</v>
      </c>
      <c r="AJ1142" s="13">
        <f t="shared" si="390"/>
        <v>0.71368091063562455</v>
      </c>
      <c r="AK1142" s="61">
        <f>IF(AC1142="Paid",-IF(AG1142="CAD",IFERROR(VLOOKUP(D1142,CAARStatus!$A$1:$Y$1600,16,FALSE),0),0),0)</f>
        <v>-795.76</v>
      </c>
      <c r="AL1142" s="61">
        <f>IF(AC1142="Paid",-IF(AG1142="USD",IFERROR(VLOOKUP(D1142,CAARStatus!$A$1:$Y$1600,11,FALSE),0),0),0)</f>
        <v>0</v>
      </c>
      <c r="AM1142" s="22">
        <f t="shared" si="391"/>
        <v>0</v>
      </c>
      <c r="AN1142" s="12" t="str">
        <f t="shared" si="392"/>
        <v/>
      </c>
      <c r="AO1142" s="12" t="str">
        <f t="shared" si="393"/>
        <v>Yes</v>
      </c>
      <c r="AP1142" t="str">
        <f t="shared" si="378"/>
        <v>Yes</v>
      </c>
      <c r="AQ1142" t="str">
        <f>IFERROR(VLOOKUP(Z1142,InvBal!$L$4:$P$600,4,FALSE),"Pend")</f>
        <v>Pend</v>
      </c>
      <c r="AR1142" t="str">
        <f>IFERROR(VLOOKUP(D1142,Manual!$C$1:$E$22,2,FALSE),"Pend")</f>
        <v>Pend</v>
      </c>
      <c r="AS1142" t="str">
        <f t="shared" si="394"/>
        <v>Yes</v>
      </c>
      <c r="AT1142" t="str">
        <f t="shared" si="395"/>
        <v/>
      </c>
      <c r="AU1142" s="51" t="str">
        <f t="shared" si="396"/>
        <v/>
      </c>
      <c r="AV1142" s="12">
        <f>IFERROR(VLOOKUP(D1142,'Receivable Invoice Detail'!$S$1:$U$3014,3,FALSE),0)</f>
        <v>0</v>
      </c>
      <c r="AW1142" s="12">
        <f t="shared" si="397"/>
        <v>0</v>
      </c>
    </row>
    <row r="1143" spans="1:49" ht="30" x14ac:dyDescent="0.25">
      <c r="A1143" s="2">
        <v>1</v>
      </c>
      <c r="B1143" s="2" t="s">
        <v>288</v>
      </c>
      <c r="C1143" s="2" t="s">
        <v>289</v>
      </c>
      <c r="D1143" s="2" t="s">
        <v>3333</v>
      </c>
      <c r="E1143" s="2" t="s">
        <v>290</v>
      </c>
      <c r="F1143" s="3">
        <v>45961.690451388888</v>
      </c>
      <c r="G1143" s="3">
        <v>45961.691331018519</v>
      </c>
      <c r="H1143" s="4">
        <v>45965</v>
      </c>
      <c r="I1143" s="2" t="s">
        <v>21</v>
      </c>
      <c r="J1143" s="2" t="s">
        <v>22</v>
      </c>
      <c r="K1143" s="2">
        <v>1</v>
      </c>
      <c r="L1143" s="2">
        <v>986.77</v>
      </c>
      <c r="M1143" s="2">
        <v>0</v>
      </c>
      <c r="N1143" s="2">
        <v>704.23891218791516</v>
      </c>
      <c r="O1143" s="2">
        <v>939.78</v>
      </c>
      <c r="P1143" s="2">
        <v>46.99</v>
      </c>
      <c r="Q1143" s="2">
        <v>986.77</v>
      </c>
      <c r="R1143" s="2" t="s">
        <v>44</v>
      </c>
      <c r="S1143" s="2"/>
      <c r="T1143" s="2">
        <f t="shared" si="379"/>
        <v>1</v>
      </c>
      <c r="U1143" s="18">
        <f t="shared" si="380"/>
        <v>10</v>
      </c>
      <c r="V1143" s="18">
        <f t="shared" si="381"/>
        <v>2025</v>
      </c>
      <c r="W1143" s="18">
        <f t="shared" si="382"/>
        <v>1</v>
      </c>
      <c r="X1143" s="18">
        <f t="shared" si="383"/>
        <v>2026</v>
      </c>
      <c r="Y1143" s="17">
        <f t="shared" si="376"/>
        <v>0.71368091063562444</v>
      </c>
      <c r="Z1143" t="str">
        <f t="shared" si="377"/>
        <v>SO18152</v>
      </c>
      <c r="AA1143" s="11">
        <f t="shared" si="384"/>
        <v>45961.690451388888</v>
      </c>
      <c r="AB1143" s="5" t="str">
        <f t="shared" si="385"/>
        <v>INV13599</v>
      </c>
      <c r="AC1143" s="5" t="str">
        <f>IFERROR(VLOOKUP(D1143,CAARStatus!$A$2:$AA$1600,22,FALSE),"Not invoiced")</f>
        <v>Paid</v>
      </c>
      <c r="AD1143" s="11">
        <f>IF(AC1143="Paid",IFERROR(VLOOKUP(D1143,CAARStatus!$A$2:$AA$1600,6,FALSE),"Pending"),"Pending")</f>
        <v>46024</v>
      </c>
      <c r="AE1143" s="5" t="str">
        <f t="shared" si="386"/>
        <v>4500620079</v>
      </c>
      <c r="AF1143" s="5" t="str">
        <f t="shared" si="387"/>
        <v>Resolute Forest Products - Kenogami</v>
      </c>
      <c r="AG1143" s="5" t="str">
        <f t="shared" si="388"/>
        <v>CAD</v>
      </c>
      <c r="AH1143" s="5">
        <f t="shared" si="389"/>
        <v>939.78</v>
      </c>
      <c r="AI1143" s="12">
        <f>IF(L1143-N1143=0,VLOOKUP(U1143,rate!A$4:B$15,2,FALSE)*AH1143,IF(AG1143="USD",O1143,AH1143*Y1143))</f>
        <v>670.70304619714716</v>
      </c>
      <c r="AJ1143" s="13">
        <f t="shared" si="390"/>
        <v>0.71368091063562444</v>
      </c>
      <c r="AK1143" s="13">
        <f>-IF(AG1143="CAD",IFERROR(VLOOKUP(D1143,CAARStatus!$A$1:$Y$1600,16,FALSE),0),0)</f>
        <v>-939.78</v>
      </c>
      <c r="AL1143" s="13">
        <f>-IF(AG1143="USD",IFERROR(VLOOKUP(D1143,CAARStatus!$A$1:$Y$1600,11,FALSE),0),0)</f>
        <v>0</v>
      </c>
      <c r="AM1143" s="22">
        <f t="shared" si="391"/>
        <v>0</v>
      </c>
      <c r="AN1143" s="12" t="str">
        <f t="shared" si="392"/>
        <v/>
      </c>
      <c r="AO1143" s="12" t="str">
        <f t="shared" si="393"/>
        <v>Yes</v>
      </c>
      <c r="AP1143" t="str">
        <f t="shared" si="378"/>
        <v>Yes</v>
      </c>
      <c r="AQ1143" t="str">
        <f>IFERROR(VLOOKUP(Z1143,InvBal!$L$4:$P$600,4,FALSE),"Pend")</f>
        <v>Pend</v>
      </c>
      <c r="AR1143" t="str">
        <f>IFERROR(VLOOKUP(D1143,Manual!$C$1:$E$22,2,FALSE),"Pend")</f>
        <v>Pend</v>
      </c>
      <c r="AS1143" t="str">
        <f t="shared" si="394"/>
        <v>Yes</v>
      </c>
      <c r="AT1143" t="str">
        <f t="shared" si="395"/>
        <v>Yes</v>
      </c>
      <c r="AU1143" s="51" t="str">
        <f t="shared" si="396"/>
        <v>Yes</v>
      </c>
      <c r="AV1143" s="12">
        <f>IFERROR(VLOOKUP(D1143,'Receivable Invoice Detail'!$S$1:$U$3014,3,FALSE),0)</f>
        <v>0</v>
      </c>
      <c r="AW1143" s="12">
        <f t="shared" si="397"/>
        <v>670.70304619714716</v>
      </c>
    </row>
    <row r="1144" spans="1:49" x14ac:dyDescent="0.25">
      <c r="A1144" s="2">
        <v>1</v>
      </c>
      <c r="B1144" s="2" t="s">
        <v>196</v>
      </c>
      <c r="C1144" s="2" t="s">
        <v>197</v>
      </c>
      <c r="D1144" s="2" t="s">
        <v>3366</v>
      </c>
      <c r="E1144" s="2" t="s">
        <v>198</v>
      </c>
      <c r="F1144" s="3">
        <v>45964.382187499999</v>
      </c>
      <c r="G1144" s="3">
        <v>45974.560289351852</v>
      </c>
      <c r="H1144" s="2"/>
      <c r="I1144" s="2" t="s">
        <v>40</v>
      </c>
      <c r="J1144" s="2" t="s">
        <v>51</v>
      </c>
      <c r="K1144" s="2">
        <v>0.71380149037974383</v>
      </c>
      <c r="L1144" s="2">
        <v>972.2591075437382</v>
      </c>
      <c r="M1144" s="2">
        <v>0</v>
      </c>
      <c r="N1144" s="2">
        <v>694</v>
      </c>
      <c r="O1144" s="2">
        <v>694</v>
      </c>
      <c r="P1144" s="2"/>
      <c r="Q1144" s="2">
        <v>694</v>
      </c>
      <c r="R1144" s="2" t="s">
        <v>44</v>
      </c>
      <c r="S1144" s="2"/>
      <c r="T1144" s="2">
        <f t="shared" si="379"/>
        <v>1</v>
      </c>
      <c r="U1144" s="18">
        <f t="shared" si="380"/>
        <v>11</v>
      </c>
      <c r="V1144" s="18">
        <f t="shared" si="381"/>
        <v>2025</v>
      </c>
      <c r="W1144" s="18" t="str">
        <f t="shared" si="382"/>
        <v/>
      </c>
      <c r="X1144" s="18" t="str">
        <f t="shared" si="383"/>
        <v/>
      </c>
      <c r="Y1144" s="17">
        <f t="shared" si="376"/>
        <v>0.71380149037974383</v>
      </c>
      <c r="Z1144" t="str">
        <f t="shared" si="377"/>
        <v>SO18153</v>
      </c>
      <c r="AA1144" s="11">
        <f t="shared" si="384"/>
        <v>45964.382187499999</v>
      </c>
      <c r="AB1144" s="5" t="str">
        <f t="shared" si="385"/>
        <v>INV13675</v>
      </c>
      <c r="AC1144" s="5" t="str">
        <f>IFERROR(VLOOKUP(D1144,CAARStatus!$A$2:$AA$1600,22,FALSE),"Not invoiced")</f>
        <v>Approved</v>
      </c>
      <c r="AD1144" s="11" t="str">
        <f>IF(AC1144="Paid",IFERROR(VLOOKUP(D1144,CAARStatus!$A$2:$AA$1600,6,FALSE),"Pending"),"Pending")</f>
        <v>Pending</v>
      </c>
      <c r="AE1144" s="5" t="str">
        <f t="shared" si="386"/>
        <v>T197971</v>
      </c>
      <c r="AF1144" s="5" t="str">
        <f t="shared" si="387"/>
        <v>Tencarva Machinery Company</v>
      </c>
      <c r="AG1144" s="5" t="str">
        <f t="shared" si="388"/>
        <v>USD</v>
      </c>
      <c r="AH1144" s="5">
        <f t="shared" si="389"/>
        <v>972.2591075437382</v>
      </c>
      <c r="AI1144" s="12">
        <f>IF(L1144-N1144=0,VLOOKUP(U1144,rate!A$4:B$15,2,FALSE)*AH1144,IF(AG1144="USD",O1144,AH1144*Y1144))</f>
        <v>694</v>
      </c>
      <c r="AJ1144" s="13">
        <f t="shared" si="390"/>
        <v>0.71380149037974383</v>
      </c>
      <c r="AK1144" s="13">
        <f>-IF(AG1144="CAD",IFERROR(VLOOKUP(D1144,CAARStatus!$A$1:$Y$1600,16,FALSE),0),0)</f>
        <v>0</v>
      </c>
      <c r="AL1144" s="13">
        <f>-IF(AG1144="USD",IFERROR(VLOOKUP(D1144,CAARStatus!$A$1:$Y$1600,11,FALSE),0),0)</f>
        <v>-364</v>
      </c>
      <c r="AM1144" s="22" t="str">
        <f t="shared" si="391"/>
        <v/>
      </c>
      <c r="AN1144" s="12">
        <f t="shared" si="392"/>
        <v>330</v>
      </c>
      <c r="AO1144" s="12" t="str">
        <f t="shared" si="393"/>
        <v>Pend</v>
      </c>
      <c r="AP1144" t="str">
        <f t="shared" si="378"/>
        <v>Pend</v>
      </c>
      <c r="AQ1144" t="str">
        <f>IFERROR(VLOOKUP(Z1144,InvBal!$L$4:$P$600,4,FALSE),"Pend")</f>
        <v>Pend</v>
      </c>
      <c r="AR1144" t="str">
        <f>IFERROR(VLOOKUP(D1144,Manual!$C$1:$E$22,2,FALSE),"Pend")</f>
        <v>Pend</v>
      </c>
      <c r="AS1144" t="str">
        <f t="shared" si="394"/>
        <v/>
      </c>
      <c r="AT1144" t="str">
        <f t="shared" si="395"/>
        <v>Yes</v>
      </c>
      <c r="AU1144" s="51" t="str">
        <f t="shared" si="396"/>
        <v/>
      </c>
      <c r="AV1144" s="12">
        <f>IFERROR(VLOOKUP(D1144,'Receivable Invoice Detail'!$S$1:$U$3014,3,FALSE),0)</f>
        <v>0</v>
      </c>
      <c r="AW1144" s="12">
        <f t="shared" si="397"/>
        <v>0</v>
      </c>
    </row>
    <row r="1145" spans="1:49" ht="30" x14ac:dyDescent="0.25">
      <c r="A1145" s="2">
        <v>2</v>
      </c>
      <c r="B1145" s="2" t="s">
        <v>122</v>
      </c>
      <c r="C1145" s="2" t="s">
        <v>123</v>
      </c>
      <c r="D1145" s="2" t="s">
        <v>6085</v>
      </c>
      <c r="E1145" s="2" t="s">
        <v>50</v>
      </c>
      <c r="F1145" s="3">
        <v>45964.403078703697</v>
      </c>
      <c r="G1145" s="3">
        <v>45982.697939814818</v>
      </c>
      <c r="H1145" s="4">
        <v>46045</v>
      </c>
      <c r="I1145" s="2" t="s">
        <v>40</v>
      </c>
      <c r="J1145" s="2" t="s">
        <v>51</v>
      </c>
      <c r="K1145" s="2">
        <v>0.71166354456386371</v>
      </c>
      <c r="L1145" s="2">
        <v>6240.4208195344236</v>
      </c>
      <c r="M1145" s="2">
        <v>0</v>
      </c>
      <c r="N1145" s="2">
        <v>4441.08</v>
      </c>
      <c r="O1145" s="2">
        <v>4441.08</v>
      </c>
      <c r="P1145" s="2"/>
      <c r="Q1145" s="2">
        <v>4441.08</v>
      </c>
      <c r="R1145" s="2" t="s">
        <v>44</v>
      </c>
      <c r="S1145" s="2"/>
      <c r="T1145" s="2">
        <f t="shared" si="379"/>
        <v>2</v>
      </c>
      <c r="U1145" s="18">
        <f t="shared" si="380"/>
        <v>11</v>
      </c>
      <c r="V1145" s="18">
        <f t="shared" si="381"/>
        <v>2025</v>
      </c>
      <c r="W1145" s="18" t="str">
        <f t="shared" si="382"/>
        <v/>
      </c>
      <c r="X1145" s="18" t="str">
        <f t="shared" si="383"/>
        <v/>
      </c>
      <c r="Y1145" s="2">
        <f t="shared" si="376"/>
        <v>0.71166354456386383</v>
      </c>
      <c r="Z1145" t="str">
        <f t="shared" si="377"/>
        <v>SO18154</v>
      </c>
      <c r="AA1145" s="11">
        <f t="shared" si="384"/>
        <v>45964.403078703697</v>
      </c>
      <c r="AB1145" s="5" t="str">
        <f t="shared" si="385"/>
        <v>INV13816</v>
      </c>
      <c r="AC1145" s="5" t="str">
        <f>IFERROR(VLOOKUP(D1145,CAARStatus!$A$2:$AA$1600,22,FALSE),"Not invoiced")</f>
        <v>Approved</v>
      </c>
      <c r="AD1145" s="11" t="str">
        <f>IF(AC1145="Paid",IFERROR(VLOOKUP(D1145,CAARStatus!$A$2:$AA$1600,6,FALSE),"Pending"),"Pending")</f>
        <v>Pending</v>
      </c>
      <c r="AE1145" s="5" t="str">
        <f t="shared" si="386"/>
        <v>PO003520</v>
      </c>
      <c r="AF1145" s="5" t="str">
        <f t="shared" si="387"/>
        <v>Eleazar General &amp; Industrial Supplies Limited</v>
      </c>
      <c r="AG1145" s="5" t="str">
        <f t="shared" si="388"/>
        <v>USD</v>
      </c>
      <c r="AH1145" s="5">
        <f t="shared" si="389"/>
        <v>6240.4208195344245</v>
      </c>
      <c r="AI1145" s="12">
        <f>IF(L1145-N1145=0,VLOOKUP(U1145,rate!A$4:B$15,2,FALSE)*AH1145,IF(AG1145="USD",O1145,AH1145*Y1145))</f>
        <v>4441.08</v>
      </c>
      <c r="AJ1145" s="13">
        <f t="shared" si="390"/>
        <v>0.71166354456386371</v>
      </c>
      <c r="AK1145" s="13">
        <f>-IF(AG1145="CAD",IFERROR(VLOOKUP(D1145,CAARStatus!$A$1:$Y$1600,16,FALSE),0),0)</f>
        <v>0</v>
      </c>
      <c r="AL1145" s="13">
        <f>-IF(AG1145="USD",IFERROR(VLOOKUP(D1145,CAARStatus!$A$1:$Y$1600,11,FALSE),0),0)</f>
        <v>-1110.27</v>
      </c>
      <c r="AM1145" s="22" t="str">
        <f t="shared" si="391"/>
        <v/>
      </c>
      <c r="AN1145" s="12">
        <f t="shared" si="392"/>
        <v>3330.81</v>
      </c>
      <c r="AO1145" s="12" t="str">
        <f t="shared" si="393"/>
        <v>Pend</v>
      </c>
      <c r="AP1145" t="str">
        <f t="shared" si="378"/>
        <v>XX</v>
      </c>
      <c r="AQ1145" t="str">
        <f>IFERROR(VLOOKUP(Z1145,InvBal!$L$4:$P$600,4,FALSE),"Pend")</f>
        <v>Yes</v>
      </c>
      <c r="AR1145" t="str">
        <f>IFERROR(VLOOKUP(D1145,Manual!$C$1:$E$22,2,FALSE),"Pend")</f>
        <v>Pend</v>
      </c>
      <c r="AS1145" t="str">
        <f t="shared" si="394"/>
        <v>Yes</v>
      </c>
      <c r="AT1145" t="str">
        <f t="shared" si="395"/>
        <v>Yes</v>
      </c>
      <c r="AU1145" s="51" t="str">
        <f t="shared" si="396"/>
        <v>Yes</v>
      </c>
      <c r="AV1145" s="12">
        <f>IFERROR(VLOOKUP(D1145,'Receivable Invoice Detail'!$S$1:$U$3014,3,FALSE),0)</f>
        <v>0</v>
      </c>
      <c r="AW1145" s="12">
        <f t="shared" si="397"/>
        <v>4441.08</v>
      </c>
    </row>
    <row r="1146" spans="1:49" x14ac:dyDescent="0.25">
      <c r="A1146" s="2"/>
      <c r="B1146" s="2"/>
      <c r="C1146" s="2"/>
      <c r="D1146" s="2" t="s">
        <v>4398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>
        <f t="shared" si="379"/>
        <v>2</v>
      </c>
      <c r="U1146" s="18">
        <f t="shared" si="380"/>
        <v>11</v>
      </c>
      <c r="V1146" s="18">
        <f t="shared" si="381"/>
        <v>2025</v>
      </c>
      <c r="W1146" s="18" t="str">
        <f t="shared" si="382"/>
        <v/>
      </c>
      <c r="X1146" s="18" t="str">
        <f t="shared" si="383"/>
        <v/>
      </c>
      <c r="Y1146" s="2">
        <f t="shared" si="376"/>
        <v>0.71166354456386383</v>
      </c>
      <c r="Z1146" t="str">
        <f t="shared" si="377"/>
        <v>SO18154</v>
      </c>
      <c r="AA1146" s="11">
        <f t="shared" si="384"/>
        <v>45964.403078703697</v>
      </c>
      <c r="AB1146" s="5" t="str">
        <f t="shared" si="385"/>
        <v>INV13716</v>
      </c>
      <c r="AC1146" s="5" t="str">
        <f>IFERROR(VLOOKUP(D1146,CAARStatus!$A$2:$AA$1600,22,FALSE),"Not invoiced")</f>
        <v>Approved</v>
      </c>
      <c r="AD1146" s="11" t="str">
        <f>IF(AC1146="Paid",IFERROR(VLOOKUP(D1146,CAARStatus!$A$2:$AA$1600,6,FALSE),"Pending"),"Pending")</f>
        <v>Pending</v>
      </c>
      <c r="AE1146" s="5" t="str">
        <f t="shared" si="386"/>
        <v>PO003520</v>
      </c>
      <c r="AF1146" s="5" t="str">
        <f t="shared" si="387"/>
        <v>Eleazar General &amp; Industrial Supplies Limited</v>
      </c>
      <c r="AG1146" s="5" t="str">
        <f t="shared" si="388"/>
        <v>USD</v>
      </c>
      <c r="AH1146" s="5">
        <f t="shared" si="389"/>
        <v>0</v>
      </c>
      <c r="AI1146" s="12">
        <f>IF(L1146-N1146=0,VLOOKUP(U1146,rate!A$4:B$15,2,FALSE)*AH1146,IF(AG1146="USD",O1146,AH1146*Y1146))</f>
        <v>0</v>
      </c>
      <c r="AJ1146" s="13">
        <f t="shared" si="390"/>
        <v>0</v>
      </c>
      <c r="AK1146" s="13">
        <f>-IF(AG1146="CAD",IFERROR(VLOOKUP(D1146,CAARStatus!$A$1:$Y$1600,16,FALSE),0),0)</f>
        <v>0</v>
      </c>
      <c r="AL1146" s="13">
        <f>-IF(AG1146="USD",IFERROR(VLOOKUP(D1146,CAARStatus!$A$1:$Y$1600,11,FALSE),0),0)</f>
        <v>-3330.81</v>
      </c>
      <c r="AM1146" s="22" t="str">
        <f t="shared" si="391"/>
        <v/>
      </c>
      <c r="AN1146" s="12">
        <f t="shared" si="392"/>
        <v>-3330.81</v>
      </c>
      <c r="AO1146" s="12" t="str">
        <f t="shared" si="393"/>
        <v>Pend</v>
      </c>
      <c r="AP1146" t="str">
        <f t="shared" si="378"/>
        <v>XX</v>
      </c>
      <c r="AQ1146" t="str">
        <f>IFERROR(VLOOKUP(Z1146,InvBal!$L$4:$P$600,4,FALSE),"Pend")</f>
        <v>Yes</v>
      </c>
      <c r="AR1146" t="str">
        <f>IFERROR(VLOOKUP(D1146,Manual!$C$1:$E$22,2,FALSE),"Pend")</f>
        <v>Pend</v>
      </c>
      <c r="AS1146" t="str">
        <f t="shared" si="394"/>
        <v>Yes</v>
      </c>
      <c r="AT1146" t="str">
        <f t="shared" si="395"/>
        <v/>
      </c>
      <c r="AU1146" s="51" t="str">
        <f t="shared" si="396"/>
        <v/>
      </c>
      <c r="AV1146" s="12">
        <f>IFERROR(VLOOKUP(D1146,'Receivable Invoice Detail'!$S$1:$U$3014,3,FALSE),0)</f>
        <v>0</v>
      </c>
      <c r="AW1146" s="12">
        <f t="shared" si="397"/>
        <v>0</v>
      </c>
    </row>
    <row r="1147" spans="1:49" x14ac:dyDescent="0.25">
      <c r="A1147" s="2">
        <v>1</v>
      </c>
      <c r="B1147" s="2" t="s">
        <v>286</v>
      </c>
      <c r="C1147" s="2" t="s">
        <v>287</v>
      </c>
      <c r="D1147" s="2" t="s">
        <v>3334</v>
      </c>
      <c r="E1147" s="2" t="s">
        <v>141</v>
      </c>
      <c r="F1147" s="3">
        <v>45964.436018518521</v>
      </c>
      <c r="G1147" s="3">
        <v>45964.440324074072</v>
      </c>
      <c r="H1147" s="4">
        <v>45971</v>
      </c>
      <c r="I1147" s="2" t="s">
        <v>40</v>
      </c>
      <c r="J1147" s="2" t="s">
        <v>51</v>
      </c>
      <c r="K1147" s="2">
        <v>0.71248196503825101</v>
      </c>
      <c r="L1147" s="2">
        <v>204.04727015398211</v>
      </c>
      <c r="M1147" s="2">
        <v>0</v>
      </c>
      <c r="N1147" s="2">
        <v>145.38</v>
      </c>
      <c r="O1147" s="2">
        <v>145.38</v>
      </c>
      <c r="P1147" s="2"/>
      <c r="Q1147" s="2">
        <v>145.38</v>
      </c>
      <c r="R1147" s="2" t="s">
        <v>44</v>
      </c>
      <c r="S1147" s="2"/>
      <c r="T1147" s="2">
        <f t="shared" si="379"/>
        <v>1</v>
      </c>
      <c r="U1147" s="18">
        <f t="shared" si="380"/>
        <v>11</v>
      </c>
      <c r="V1147" s="18">
        <f t="shared" si="381"/>
        <v>2025</v>
      </c>
      <c r="W1147" s="18" t="str">
        <f t="shared" si="382"/>
        <v/>
      </c>
      <c r="X1147" s="18" t="str">
        <f t="shared" si="383"/>
        <v/>
      </c>
      <c r="Y1147" s="2">
        <f t="shared" si="376"/>
        <v>0.71248196503825079</v>
      </c>
      <c r="Z1147" t="str">
        <f t="shared" si="377"/>
        <v>SO18155</v>
      </c>
      <c r="AA1147" s="11">
        <f t="shared" si="384"/>
        <v>45964.436018518521</v>
      </c>
      <c r="AB1147" s="5" t="str">
        <f t="shared" si="385"/>
        <v>INV13691</v>
      </c>
      <c r="AC1147" s="5" t="str">
        <f>IFERROR(VLOOKUP(D1147,CAARStatus!$A$2:$AA$1600,22,FALSE),"Not invoiced")</f>
        <v>Approved</v>
      </c>
      <c r="AD1147" s="11" t="str">
        <f>IF(AC1147="Paid",IFERROR(VLOOKUP(D1147,CAARStatus!$A$2:$AA$1600,6,FALSE),"Pending"),"Pending")</f>
        <v>Pending</v>
      </c>
      <c r="AE1147" s="5" t="str">
        <f t="shared" si="386"/>
        <v>4512502587</v>
      </c>
      <c r="AF1147" s="5" t="str">
        <f t="shared" si="387"/>
        <v>PT Vale Indonesia Tbk.</v>
      </c>
      <c r="AG1147" s="5" t="str">
        <f t="shared" si="388"/>
        <v>USD</v>
      </c>
      <c r="AH1147" s="5">
        <f t="shared" si="389"/>
        <v>204.04727015398205</v>
      </c>
      <c r="AI1147" s="12">
        <f>IF(L1147-N1147=0,VLOOKUP(U1147,rate!A$4:B$15,2,FALSE)*AH1147,IF(AG1147="USD",O1147,AH1147*Y1147))</f>
        <v>145.38</v>
      </c>
      <c r="AJ1147" s="13">
        <f t="shared" si="390"/>
        <v>0.71248196503825101</v>
      </c>
      <c r="AK1147" s="13">
        <f>-IF(AG1147="CAD",IFERROR(VLOOKUP(D1147,CAARStatus!$A$1:$Y$1600,16,FALSE),0),0)</f>
        <v>0</v>
      </c>
      <c r="AL1147" s="13">
        <f>-IF(AG1147="USD",IFERROR(VLOOKUP(D1147,CAARStatus!$A$1:$Y$1600,11,FALSE),0),0)</f>
        <v>-145.38</v>
      </c>
      <c r="AM1147" s="22" t="str">
        <f t="shared" si="391"/>
        <v/>
      </c>
      <c r="AN1147" s="12">
        <f t="shared" si="392"/>
        <v>0</v>
      </c>
      <c r="AO1147" s="12" t="str">
        <f t="shared" si="393"/>
        <v>Pend</v>
      </c>
      <c r="AP1147" t="str">
        <f t="shared" si="378"/>
        <v>Pend</v>
      </c>
      <c r="AQ1147" t="str">
        <f>IFERROR(VLOOKUP(Z1147,InvBal!$L$4:$P$600,4,FALSE),"Pend")</f>
        <v>Pend</v>
      </c>
      <c r="AR1147" t="str">
        <f>IFERROR(VLOOKUP(D1147,Manual!$C$1:$E$22,2,FALSE),"Pend")</f>
        <v>Pend</v>
      </c>
      <c r="AS1147" t="str">
        <f t="shared" si="394"/>
        <v/>
      </c>
      <c r="AT1147" t="str">
        <f t="shared" si="395"/>
        <v>Yes</v>
      </c>
      <c r="AU1147" s="51" t="str">
        <f t="shared" si="396"/>
        <v/>
      </c>
      <c r="AV1147" s="12">
        <f>IFERROR(VLOOKUP(D1147,'Receivable Invoice Detail'!$S$1:$U$3014,3,FALSE),0)</f>
        <v>0</v>
      </c>
      <c r="AW1147" s="12">
        <f t="shared" si="397"/>
        <v>0</v>
      </c>
    </row>
    <row r="1148" spans="1:49" x14ac:dyDescent="0.25">
      <c r="A1148" s="2">
        <v>1</v>
      </c>
      <c r="B1148" s="2" t="s">
        <v>284</v>
      </c>
      <c r="C1148" s="2" t="s">
        <v>285</v>
      </c>
      <c r="D1148" s="2" t="s">
        <v>3335</v>
      </c>
      <c r="E1148" s="2" t="s">
        <v>141</v>
      </c>
      <c r="F1148" s="3">
        <v>45964.441863425927</v>
      </c>
      <c r="G1148" s="3">
        <v>45964.444803240738</v>
      </c>
      <c r="H1148" s="4">
        <v>45971</v>
      </c>
      <c r="I1148" s="2" t="s">
        <v>40</v>
      </c>
      <c r="J1148" s="2" t="s">
        <v>51</v>
      </c>
      <c r="K1148" s="2">
        <v>0.71248196503825101</v>
      </c>
      <c r="L1148" s="2">
        <v>2121.625632894225</v>
      </c>
      <c r="M1148" s="2">
        <v>0</v>
      </c>
      <c r="N1148" s="2">
        <v>1511.62</v>
      </c>
      <c r="O1148" s="2">
        <v>1511.62</v>
      </c>
      <c r="P1148" s="2"/>
      <c r="Q1148" s="2">
        <v>1511.62</v>
      </c>
      <c r="R1148" s="2" t="s">
        <v>44</v>
      </c>
      <c r="S1148" s="2"/>
      <c r="T1148" s="2">
        <f t="shared" si="379"/>
        <v>1</v>
      </c>
      <c r="U1148" s="18">
        <f t="shared" si="380"/>
        <v>11</v>
      </c>
      <c r="V1148" s="18">
        <f t="shared" si="381"/>
        <v>2025</v>
      </c>
      <c r="W1148" s="18" t="str">
        <f t="shared" si="382"/>
        <v/>
      </c>
      <c r="X1148" s="18" t="str">
        <f t="shared" si="383"/>
        <v/>
      </c>
      <c r="Y1148" s="2">
        <f t="shared" si="376"/>
        <v>0.71248196503825079</v>
      </c>
      <c r="Z1148" t="str">
        <f t="shared" si="377"/>
        <v>SO18156</v>
      </c>
      <c r="AA1148" s="11">
        <f t="shared" si="384"/>
        <v>45964.441863425927</v>
      </c>
      <c r="AB1148" s="5" t="str">
        <f t="shared" si="385"/>
        <v>INV13692</v>
      </c>
      <c r="AC1148" s="5" t="str">
        <f>IFERROR(VLOOKUP(D1148,CAARStatus!$A$2:$AA$1600,22,FALSE),"Not invoiced")</f>
        <v>Approved</v>
      </c>
      <c r="AD1148" s="11" t="str">
        <f>IF(AC1148="Paid",IFERROR(VLOOKUP(D1148,CAARStatus!$A$2:$AA$1600,6,FALSE),"Pending"),"Pending")</f>
        <v>Pending</v>
      </c>
      <c r="AE1148" s="5" t="str">
        <f t="shared" si="386"/>
        <v>4512502588</v>
      </c>
      <c r="AF1148" s="5" t="str">
        <f t="shared" si="387"/>
        <v>PT Vale Indonesia Tbk.</v>
      </c>
      <c r="AG1148" s="5" t="str">
        <f t="shared" si="388"/>
        <v>USD</v>
      </c>
      <c r="AH1148" s="5">
        <f t="shared" si="389"/>
        <v>2121.6256328942245</v>
      </c>
      <c r="AI1148" s="12">
        <f>IF(L1148-N1148=0,VLOOKUP(U1148,rate!A$4:B$15,2,FALSE)*AH1148,IF(AG1148="USD",O1148,AH1148*Y1148))</f>
        <v>1511.62</v>
      </c>
      <c r="AJ1148" s="13">
        <f t="shared" si="390"/>
        <v>0.7124819650382509</v>
      </c>
      <c r="AK1148" s="13">
        <f>-IF(AG1148="CAD",IFERROR(VLOOKUP(D1148,CAARStatus!$A$1:$Y$1600,16,FALSE),0),0)</f>
        <v>0</v>
      </c>
      <c r="AL1148" s="13">
        <f>-IF(AG1148="USD",IFERROR(VLOOKUP(D1148,CAARStatus!$A$1:$Y$1600,11,FALSE),0),0)</f>
        <v>-1511.62</v>
      </c>
      <c r="AM1148" s="22" t="str">
        <f t="shared" si="391"/>
        <v/>
      </c>
      <c r="AN1148" s="12">
        <f t="shared" si="392"/>
        <v>0</v>
      </c>
      <c r="AO1148" s="12" t="str">
        <f t="shared" si="393"/>
        <v>Pend</v>
      </c>
      <c r="AP1148" t="str">
        <f t="shared" si="378"/>
        <v>Pend</v>
      </c>
      <c r="AQ1148" t="str">
        <f>IFERROR(VLOOKUP(Z1148,InvBal!$L$4:$P$600,4,FALSE),"Pend")</f>
        <v>Pend</v>
      </c>
      <c r="AR1148" t="str">
        <f>IFERROR(VLOOKUP(D1148,Manual!$C$1:$E$22,2,FALSE),"Pend")</f>
        <v>Pend</v>
      </c>
      <c r="AS1148" t="str">
        <f t="shared" si="394"/>
        <v/>
      </c>
      <c r="AT1148" t="str">
        <f t="shared" si="395"/>
        <v>Yes</v>
      </c>
      <c r="AU1148" s="51" t="str">
        <f t="shared" si="396"/>
        <v/>
      </c>
      <c r="AV1148" s="12">
        <f>IFERROR(VLOOKUP(D1148,'Receivable Invoice Detail'!$S$1:$U$3014,3,FALSE),0)</f>
        <v>0</v>
      </c>
      <c r="AW1148" s="12">
        <f t="shared" si="397"/>
        <v>0</v>
      </c>
    </row>
    <row r="1149" spans="1:49" ht="30" x14ac:dyDescent="0.25">
      <c r="A1149" s="2">
        <v>1</v>
      </c>
      <c r="B1149" s="2" t="s">
        <v>282</v>
      </c>
      <c r="C1149" s="2" t="s">
        <v>283</v>
      </c>
      <c r="D1149" s="2" t="s">
        <v>3336</v>
      </c>
      <c r="E1149" s="2" t="s">
        <v>98</v>
      </c>
      <c r="F1149" s="3">
        <v>45964.459467592591</v>
      </c>
      <c r="G1149" s="3">
        <v>45964.461851851847</v>
      </c>
      <c r="H1149" s="4">
        <v>45966</v>
      </c>
      <c r="I1149" s="2" t="s">
        <v>40</v>
      </c>
      <c r="J1149" s="2" t="s">
        <v>22</v>
      </c>
      <c r="K1149" s="2">
        <v>1</v>
      </c>
      <c r="L1149" s="2">
        <v>176.97</v>
      </c>
      <c r="M1149" s="2">
        <v>176.97</v>
      </c>
      <c r="N1149" s="2">
        <v>176.97</v>
      </c>
      <c r="O1149" s="2">
        <v>156.61000000000001</v>
      </c>
      <c r="P1149" s="2">
        <v>20.36</v>
      </c>
      <c r="Q1149" s="2">
        <v>176.97</v>
      </c>
      <c r="R1149" s="2" t="s">
        <v>44</v>
      </c>
      <c r="S1149" s="2"/>
      <c r="T1149" s="2">
        <f t="shared" si="379"/>
        <v>1</v>
      </c>
      <c r="U1149" s="18">
        <f t="shared" si="380"/>
        <v>11</v>
      </c>
      <c r="V1149" s="18">
        <f t="shared" si="381"/>
        <v>2025</v>
      </c>
      <c r="W1149" s="18">
        <f t="shared" si="382"/>
        <v>12</v>
      </c>
      <c r="X1149" s="18">
        <f t="shared" si="383"/>
        <v>2025</v>
      </c>
      <c r="Y1149" s="2">
        <f t="shared" si="376"/>
        <v>1</v>
      </c>
      <c r="Z1149" t="str">
        <f t="shared" si="377"/>
        <v>SO18158</v>
      </c>
      <c r="AA1149" s="11">
        <f t="shared" si="384"/>
        <v>45964.459467592591</v>
      </c>
      <c r="AB1149" s="5" t="str">
        <f t="shared" si="385"/>
        <v>INV13705</v>
      </c>
      <c r="AC1149" s="5" t="str">
        <f>IFERROR(VLOOKUP(D1149,CAARStatus!$A$2:$AA$1600,22,FALSE),"Not invoiced")</f>
        <v>Paid</v>
      </c>
      <c r="AD1149" s="11">
        <f>IF(AC1149="Paid",IFERROR(VLOOKUP(D1149,CAARStatus!$A$2:$AA$1600,6,FALSE),"Pending"),"Pending")</f>
        <v>46022</v>
      </c>
      <c r="AE1149" s="5" t="str">
        <f t="shared" si="386"/>
        <v>PO-008403</v>
      </c>
      <c r="AF1149" s="5" t="str">
        <f t="shared" si="387"/>
        <v>Sling-Choker Manufacturing - Timmins</v>
      </c>
      <c r="AG1149" s="5" t="str">
        <f t="shared" si="388"/>
        <v>CAD</v>
      </c>
      <c r="AH1149" s="5">
        <f t="shared" si="389"/>
        <v>156.61000000000001</v>
      </c>
      <c r="AI1149" s="12">
        <f>IF(L1149-N1149=0,VLOOKUP(U1149,rate!A$4:B$15,2,FALSE)*AH1149,IF(AG1149="USD",O1149,AH1149*Y1149))</f>
        <v>111.90228921868423</v>
      </c>
      <c r="AJ1149" s="13">
        <f t="shared" si="390"/>
        <v>0.71452837761754817</v>
      </c>
      <c r="AK1149" s="13">
        <f>-IF(AG1149="CAD",IFERROR(VLOOKUP(D1149,CAARStatus!$A$1:$Y$1600,16,FALSE),0),0)</f>
        <v>-156.61000000000001</v>
      </c>
      <c r="AL1149" s="13">
        <f>-IF(AG1149="USD",IFERROR(VLOOKUP(D1149,CAARStatus!$A$1:$Y$1600,11,FALSE),0),0)</f>
        <v>0</v>
      </c>
      <c r="AM1149" s="22">
        <f t="shared" si="391"/>
        <v>0</v>
      </c>
      <c r="AN1149" s="12" t="str">
        <f t="shared" si="392"/>
        <v/>
      </c>
      <c r="AO1149" s="12" t="str">
        <f t="shared" si="393"/>
        <v>Yes</v>
      </c>
      <c r="AP1149" t="str">
        <f t="shared" si="378"/>
        <v>Yes</v>
      </c>
      <c r="AQ1149" t="str">
        <f>IFERROR(VLOOKUP(Z1149,InvBal!$L$4:$P$600,4,FALSE),"Pend")</f>
        <v>Pend</v>
      </c>
      <c r="AR1149" t="str">
        <f>IFERROR(VLOOKUP(D1149,Manual!$C$1:$E$22,2,FALSE),"Pend")</f>
        <v>Pend</v>
      </c>
      <c r="AS1149" t="str">
        <f t="shared" si="394"/>
        <v>Yes</v>
      </c>
      <c r="AT1149" t="str">
        <f t="shared" si="395"/>
        <v>Yes</v>
      </c>
      <c r="AU1149" s="51" t="str">
        <f t="shared" si="396"/>
        <v>Yes</v>
      </c>
      <c r="AV1149" s="12">
        <f>IFERROR(VLOOKUP(D1149,'Receivable Invoice Detail'!$S$1:$U$3014,3,FALSE),0)</f>
        <v>0</v>
      </c>
      <c r="AW1149" s="12">
        <f t="shared" si="397"/>
        <v>111.90228921868423</v>
      </c>
    </row>
    <row r="1150" spans="1:49" ht="30" x14ac:dyDescent="0.25">
      <c r="A1150" s="2">
        <v>1</v>
      </c>
      <c r="B1150" s="2" t="s">
        <v>263</v>
      </c>
      <c r="C1150" s="2" t="s">
        <v>264</v>
      </c>
      <c r="D1150" s="2" t="s">
        <v>6018</v>
      </c>
      <c r="E1150" s="2" t="s">
        <v>83</v>
      </c>
      <c r="F1150" s="3">
        <v>45964.553923611107</v>
      </c>
      <c r="G1150" s="3">
        <v>45966.496701388889</v>
      </c>
      <c r="H1150" s="4">
        <v>46071</v>
      </c>
      <c r="I1150" s="2" t="s">
        <v>21</v>
      </c>
      <c r="J1150" s="2" t="s">
        <v>22</v>
      </c>
      <c r="K1150" s="2">
        <v>1</v>
      </c>
      <c r="L1150" s="2">
        <v>7549.03</v>
      </c>
      <c r="M1150" s="2">
        <v>0</v>
      </c>
      <c r="N1150" s="2">
        <v>5350.6089632477606</v>
      </c>
      <c r="O1150" s="2">
        <v>6680.57</v>
      </c>
      <c r="P1150" s="2">
        <v>868.46</v>
      </c>
      <c r="Q1150" s="2">
        <v>7549.03</v>
      </c>
      <c r="R1150" s="2" t="s">
        <v>29</v>
      </c>
      <c r="S1150" s="2"/>
      <c r="T1150" s="2">
        <f t="shared" si="379"/>
        <v>1</v>
      </c>
      <c r="U1150" s="18">
        <f t="shared" si="380"/>
        <v>11</v>
      </c>
      <c r="V1150" s="18">
        <f t="shared" si="381"/>
        <v>2025</v>
      </c>
      <c r="W1150" s="18" t="str">
        <f t="shared" si="382"/>
        <v/>
      </c>
      <c r="X1150" s="18" t="str">
        <f t="shared" si="383"/>
        <v/>
      </c>
      <c r="Y1150" s="2">
        <f t="shared" si="376"/>
        <v>0.70878099083561208</v>
      </c>
      <c r="Z1150" t="str">
        <f t="shared" si="377"/>
        <v>SO18159</v>
      </c>
      <c r="AA1150" s="11">
        <f t="shared" si="384"/>
        <v>45964.553923611107</v>
      </c>
      <c r="AB1150" s="5" t="str">
        <f t="shared" si="385"/>
        <v>INV13775</v>
      </c>
      <c r="AC1150" s="5" t="str">
        <f>IFERROR(VLOOKUP(D1150,CAARStatus!$A$2:$AA$1600,22,FALSE),"Not invoiced")</f>
        <v>Approved</v>
      </c>
      <c r="AD1150" s="11" t="str">
        <f>IF(AC1150="Paid",IFERROR(VLOOKUP(D1150,CAARStatus!$A$2:$AA$1600,6,FALSE),"Pending"),"Pending")</f>
        <v>Pending</v>
      </c>
      <c r="AE1150" s="5" t="str">
        <f t="shared" si="386"/>
        <v>6500023665</v>
      </c>
      <c r="AF1150" s="5" t="str">
        <f t="shared" si="387"/>
        <v>Wesdome Gold Mines Ltd - Eagle River Mine</v>
      </c>
      <c r="AG1150" s="5" t="str">
        <f t="shared" si="388"/>
        <v>CAD</v>
      </c>
      <c r="AH1150" s="5">
        <f t="shared" si="389"/>
        <v>6680.57</v>
      </c>
      <c r="AI1150" s="12">
        <f>IF(L1150-N1150=0,VLOOKUP(U1150,rate!A$4:B$15,2,FALSE)*AH1150,IF(AG1150="USD",O1150,AH1150*Y1150))</f>
        <v>4735.061023946665</v>
      </c>
      <c r="AJ1150" s="13">
        <f t="shared" si="390"/>
        <v>0.70878099083561208</v>
      </c>
      <c r="AK1150" s="13">
        <f>-IF(AG1150="CAD",IFERROR(VLOOKUP(D1150,CAARStatus!$A$1:$Y$1600,16,FALSE),0),0)</f>
        <v>-5544.34</v>
      </c>
      <c r="AL1150" s="13">
        <f>-IF(AG1150="USD",IFERROR(VLOOKUP(D1150,CAARStatus!$A$1:$Y$1600,11,FALSE),0),0)</f>
        <v>0</v>
      </c>
      <c r="AM1150" s="22">
        <f t="shared" si="391"/>
        <v>1136.2299999999996</v>
      </c>
      <c r="AN1150" s="12" t="str">
        <f t="shared" si="392"/>
        <v/>
      </c>
      <c r="AO1150" s="12" t="str">
        <f t="shared" si="393"/>
        <v>Pend</v>
      </c>
      <c r="AP1150" t="str">
        <f t="shared" si="378"/>
        <v>Pend</v>
      </c>
      <c r="AQ1150" t="str">
        <f>IFERROR(VLOOKUP(Z1150,InvBal!$L$4:$P$600,4,FALSE),"Pend")</f>
        <v>Pend</v>
      </c>
      <c r="AR1150" t="str">
        <f>IFERROR(VLOOKUP(D1150,Manual!$C$1:$E$22,2,FALSE),"Pend")</f>
        <v>Pend</v>
      </c>
      <c r="AS1150" t="str">
        <f t="shared" si="394"/>
        <v/>
      </c>
      <c r="AT1150" t="str">
        <f t="shared" si="395"/>
        <v/>
      </c>
      <c r="AU1150" s="51" t="str">
        <f t="shared" si="396"/>
        <v/>
      </c>
      <c r="AV1150" s="12">
        <f>IFERROR(VLOOKUP(D1150,'Receivable Invoice Detail'!$S$1:$U$3014,3,FALSE),0)</f>
        <v>0</v>
      </c>
      <c r="AW1150" s="12">
        <f t="shared" si="397"/>
        <v>0</v>
      </c>
    </row>
    <row r="1151" spans="1:49" x14ac:dyDescent="0.25">
      <c r="A1151" s="2">
        <v>1</v>
      </c>
      <c r="B1151" s="2" t="s">
        <v>265</v>
      </c>
      <c r="C1151" s="2" t="s">
        <v>266</v>
      </c>
      <c r="D1151" s="2" t="s">
        <v>3342</v>
      </c>
      <c r="E1151" s="2" t="s">
        <v>248</v>
      </c>
      <c r="F1151" s="3">
        <v>45964.556018518517</v>
      </c>
      <c r="G1151" s="3">
        <v>45966.490428240737</v>
      </c>
      <c r="H1151" s="4">
        <v>45973</v>
      </c>
      <c r="I1151" s="2" t="s">
        <v>36</v>
      </c>
      <c r="J1151" s="2" t="s">
        <v>22</v>
      </c>
      <c r="K1151" s="2">
        <v>1</v>
      </c>
      <c r="L1151" s="2">
        <v>663.09</v>
      </c>
      <c r="M1151" s="2">
        <v>0</v>
      </c>
      <c r="N1151" s="2">
        <v>469.98558721318608</v>
      </c>
      <c r="O1151" s="2">
        <v>581.66</v>
      </c>
      <c r="P1151" s="2">
        <v>81.430000000000007</v>
      </c>
      <c r="Q1151" s="2">
        <v>663.09</v>
      </c>
      <c r="R1151" s="2" t="s">
        <v>44</v>
      </c>
      <c r="S1151" s="2"/>
      <c r="T1151" s="2">
        <f t="shared" si="379"/>
        <v>1</v>
      </c>
      <c r="U1151" s="18">
        <f t="shared" si="380"/>
        <v>11</v>
      </c>
      <c r="V1151" s="18">
        <f t="shared" si="381"/>
        <v>2025</v>
      </c>
      <c r="W1151" s="18">
        <f t="shared" si="382"/>
        <v>12</v>
      </c>
      <c r="X1151" s="18">
        <f t="shared" si="383"/>
        <v>2025</v>
      </c>
      <c r="Y1151" s="2">
        <f t="shared" si="376"/>
        <v>0.70878099083561219</v>
      </c>
      <c r="Z1151" t="str">
        <f t="shared" si="377"/>
        <v>SO18160</v>
      </c>
      <c r="AA1151" s="11">
        <f t="shared" si="384"/>
        <v>45964.556018518517</v>
      </c>
      <c r="AB1151" s="5" t="str">
        <f t="shared" si="385"/>
        <v>INV13623</v>
      </c>
      <c r="AC1151" s="5" t="str">
        <f>IFERROR(VLOOKUP(D1151,CAARStatus!$A$2:$AA$1600,22,FALSE),"Not invoiced")</f>
        <v>Paid</v>
      </c>
      <c r="AD1151" s="11">
        <f>IF(AC1151="Paid",IFERROR(VLOOKUP(D1151,CAARStatus!$A$2:$AA$1600,6,FALSE),"Pending"),"Pending")</f>
        <v>46006</v>
      </c>
      <c r="AE1151" s="5" t="str">
        <f t="shared" si="386"/>
        <v>3032052</v>
      </c>
      <c r="AF1151" s="5" t="str">
        <f t="shared" si="387"/>
        <v>Flowstar Industrial Inc</v>
      </c>
      <c r="AG1151" s="5" t="str">
        <f t="shared" si="388"/>
        <v>CAD</v>
      </c>
      <c r="AH1151" s="5">
        <f t="shared" si="389"/>
        <v>581.66</v>
      </c>
      <c r="AI1151" s="12">
        <f>IF(L1151-N1151=0,VLOOKUP(U1151,rate!A$4:B$15,2,FALSE)*AH1151,IF(AG1151="USD",O1151,AH1151*Y1151))</f>
        <v>412.26955112944216</v>
      </c>
      <c r="AJ1151" s="13">
        <f t="shared" si="390"/>
        <v>0.70878099083561219</v>
      </c>
      <c r="AK1151" s="13">
        <f>-IF(AG1151="CAD",IFERROR(VLOOKUP(D1151,CAARStatus!$A$1:$Y$1600,16,FALSE),0),0)</f>
        <v>-581.66</v>
      </c>
      <c r="AL1151" s="13">
        <f>-IF(AG1151="USD",IFERROR(VLOOKUP(D1151,CAARStatus!$A$1:$Y$1600,11,FALSE),0),0)</f>
        <v>0</v>
      </c>
      <c r="AM1151" s="22">
        <f t="shared" si="391"/>
        <v>0</v>
      </c>
      <c r="AN1151" s="12" t="str">
        <f t="shared" si="392"/>
        <v/>
      </c>
      <c r="AO1151" s="12" t="str">
        <f t="shared" si="393"/>
        <v>Yes</v>
      </c>
      <c r="AP1151" t="str">
        <f t="shared" si="378"/>
        <v>Yes</v>
      </c>
      <c r="AQ1151" t="str">
        <f>IFERROR(VLOOKUP(Z1151,InvBal!$L$4:$P$600,4,FALSE),"Pend")</f>
        <v>Pend</v>
      </c>
      <c r="AR1151" t="str">
        <f>IFERROR(VLOOKUP(D1151,Manual!$C$1:$E$22,2,FALSE),"Pend")</f>
        <v>Pend</v>
      </c>
      <c r="AS1151" t="str">
        <f t="shared" si="394"/>
        <v>Yes</v>
      </c>
      <c r="AT1151" t="str">
        <f t="shared" si="395"/>
        <v>Yes</v>
      </c>
      <c r="AU1151" s="51" t="str">
        <f t="shared" si="396"/>
        <v>Yes</v>
      </c>
      <c r="AV1151" s="12">
        <f>IFERROR(VLOOKUP(D1151,'Receivable Invoice Detail'!$S$1:$U$3014,3,FALSE),0)</f>
        <v>0</v>
      </c>
      <c r="AW1151" s="12">
        <f t="shared" si="397"/>
        <v>412.26955112944216</v>
      </c>
    </row>
    <row r="1152" spans="1:49" ht="30" x14ac:dyDescent="0.25">
      <c r="A1152" s="2">
        <v>1</v>
      </c>
      <c r="B1152" s="2" t="s">
        <v>267</v>
      </c>
      <c r="C1152" s="2" t="s">
        <v>268</v>
      </c>
      <c r="D1152" s="2" t="s">
        <v>6019</v>
      </c>
      <c r="E1152" s="2" t="s">
        <v>83</v>
      </c>
      <c r="F1152" s="3">
        <v>45964.631840277783</v>
      </c>
      <c r="G1152" s="3">
        <v>45966.467916666668</v>
      </c>
      <c r="H1152" s="4">
        <v>45987</v>
      </c>
      <c r="I1152" s="2" t="s">
        <v>21</v>
      </c>
      <c r="J1152" s="2" t="s">
        <v>22</v>
      </c>
      <c r="K1152" s="2">
        <v>1</v>
      </c>
      <c r="L1152" s="2">
        <v>19743.259999999998</v>
      </c>
      <c r="M1152" s="2">
        <v>0</v>
      </c>
      <c r="N1152" s="2">
        <v>13993.64738512511</v>
      </c>
      <c r="O1152" s="2">
        <v>17471.91</v>
      </c>
      <c r="P1152" s="2">
        <v>2271.35</v>
      </c>
      <c r="Q1152" s="2">
        <v>19743.259999999998</v>
      </c>
      <c r="R1152" s="2" t="s">
        <v>44</v>
      </c>
      <c r="S1152" s="2"/>
      <c r="T1152" s="2">
        <f t="shared" si="379"/>
        <v>1</v>
      </c>
      <c r="U1152" s="18">
        <f t="shared" si="380"/>
        <v>11</v>
      </c>
      <c r="V1152" s="18">
        <f t="shared" si="381"/>
        <v>2025</v>
      </c>
      <c r="W1152" s="18" t="str">
        <f t="shared" si="382"/>
        <v/>
      </c>
      <c r="X1152" s="18" t="str">
        <f t="shared" si="383"/>
        <v/>
      </c>
      <c r="Y1152" s="2">
        <f t="shared" si="376"/>
        <v>0.7087809908356123</v>
      </c>
      <c r="Z1152" t="str">
        <f t="shared" si="377"/>
        <v>SO18161</v>
      </c>
      <c r="AA1152" s="11">
        <f t="shared" si="384"/>
        <v>45964.631840277783</v>
      </c>
      <c r="AB1152" s="5" t="str">
        <f t="shared" si="385"/>
        <v>INV13776</v>
      </c>
      <c r="AC1152" s="5" t="str">
        <f>IFERROR(VLOOKUP(D1152,CAARStatus!$A$2:$AA$1600,22,FALSE),"Not invoiced")</f>
        <v>Approved</v>
      </c>
      <c r="AD1152" s="11" t="str">
        <f>IF(AC1152="Paid",IFERROR(VLOOKUP(D1152,CAARStatus!$A$2:$AA$1600,6,FALSE),"Pending"),"Pending")</f>
        <v>Pending</v>
      </c>
      <c r="AE1152" s="5" t="str">
        <f t="shared" si="386"/>
        <v>6500023664</v>
      </c>
      <c r="AF1152" s="5" t="str">
        <f t="shared" si="387"/>
        <v>Wesdome Gold Mines Ltd - Eagle River Mine</v>
      </c>
      <c r="AG1152" s="5" t="str">
        <f t="shared" si="388"/>
        <v>CAD</v>
      </c>
      <c r="AH1152" s="5">
        <f t="shared" si="389"/>
        <v>17471.91</v>
      </c>
      <c r="AI1152" s="12">
        <f>IF(L1152-N1152=0,VLOOKUP(U1152,rate!A$4:B$15,2,FALSE)*AH1152,IF(AG1152="USD",O1152,AH1152*Y1152))</f>
        <v>12383.757681590643</v>
      </c>
      <c r="AJ1152" s="13">
        <f t="shared" si="390"/>
        <v>0.7087809908356123</v>
      </c>
      <c r="AK1152" s="13">
        <f>-IF(AG1152="CAD",IFERROR(VLOOKUP(D1152,CAARStatus!$A$1:$Y$1600,16,FALSE),0),0)</f>
        <v>-17471.91</v>
      </c>
      <c r="AL1152" s="13">
        <f>-IF(AG1152="USD",IFERROR(VLOOKUP(D1152,CAARStatus!$A$1:$Y$1600,11,FALSE),0),0)</f>
        <v>0</v>
      </c>
      <c r="AM1152" s="22">
        <f t="shared" si="391"/>
        <v>0</v>
      </c>
      <c r="AN1152" s="12" t="str">
        <f t="shared" si="392"/>
        <v/>
      </c>
      <c r="AO1152" s="12" t="str">
        <f t="shared" si="393"/>
        <v>Pend</v>
      </c>
      <c r="AP1152" t="str">
        <f t="shared" si="378"/>
        <v>Pend</v>
      </c>
      <c r="AQ1152" t="str">
        <f>IFERROR(VLOOKUP(Z1152,InvBal!$L$4:$P$600,4,FALSE),"Pend")</f>
        <v>Pend</v>
      </c>
      <c r="AR1152" t="str">
        <f>IFERROR(VLOOKUP(D1152,Manual!$C$1:$E$22,2,FALSE),"Pend")</f>
        <v>Pend</v>
      </c>
      <c r="AS1152" t="str">
        <f t="shared" si="394"/>
        <v/>
      </c>
      <c r="AT1152" t="str">
        <f t="shared" si="395"/>
        <v>Yes</v>
      </c>
      <c r="AU1152" s="51" t="str">
        <f t="shared" si="396"/>
        <v/>
      </c>
      <c r="AV1152" s="12">
        <f>IFERROR(VLOOKUP(D1152,'Receivable Invoice Detail'!$S$1:$U$3014,3,FALSE),0)</f>
        <v>0</v>
      </c>
      <c r="AW1152" s="12">
        <f t="shared" si="397"/>
        <v>0</v>
      </c>
    </row>
    <row r="1153" spans="1:49" ht="30" x14ac:dyDescent="0.25">
      <c r="A1153" s="2">
        <v>1</v>
      </c>
      <c r="B1153" s="2" t="s">
        <v>280</v>
      </c>
      <c r="C1153" s="2" t="s">
        <v>281</v>
      </c>
      <c r="D1153" s="2" t="s">
        <v>3337</v>
      </c>
      <c r="E1153" s="2" t="s">
        <v>20</v>
      </c>
      <c r="F1153" s="3">
        <v>45964.719386574077</v>
      </c>
      <c r="G1153" s="3">
        <v>45964.719895833332</v>
      </c>
      <c r="H1153" s="4">
        <v>45966</v>
      </c>
      <c r="I1153" s="2" t="s">
        <v>21</v>
      </c>
      <c r="J1153" s="2" t="s">
        <v>22</v>
      </c>
      <c r="K1153" s="2">
        <v>1</v>
      </c>
      <c r="L1153" s="2">
        <v>7748.64</v>
      </c>
      <c r="M1153" s="2">
        <v>7748.64</v>
      </c>
      <c r="N1153" s="2">
        <v>7748.64</v>
      </c>
      <c r="O1153" s="2">
        <v>7379.65</v>
      </c>
      <c r="P1153" s="2">
        <v>368.99</v>
      </c>
      <c r="Q1153" s="2">
        <v>7748.64</v>
      </c>
      <c r="R1153" s="2" t="s">
        <v>44</v>
      </c>
      <c r="S1153" s="2"/>
      <c r="T1153" s="2">
        <f t="shared" si="379"/>
        <v>1</v>
      </c>
      <c r="U1153" s="18">
        <f t="shared" si="380"/>
        <v>11</v>
      </c>
      <c r="V1153" s="18">
        <f t="shared" si="381"/>
        <v>2025</v>
      </c>
      <c r="W1153" s="18">
        <f t="shared" si="382"/>
        <v>1</v>
      </c>
      <c r="X1153" s="18">
        <f t="shared" si="383"/>
        <v>2026</v>
      </c>
      <c r="Y1153" s="2">
        <f t="shared" si="376"/>
        <v>1</v>
      </c>
      <c r="Z1153" t="str">
        <f t="shared" si="377"/>
        <v>SO18163</v>
      </c>
      <c r="AA1153" s="11">
        <f t="shared" si="384"/>
        <v>45964.719386574077</v>
      </c>
      <c r="AB1153" s="5" t="str">
        <f t="shared" si="385"/>
        <v>INV13604</v>
      </c>
      <c r="AC1153" s="5" t="str">
        <f>IFERROR(VLOOKUP(D1153,CAARStatus!$A$2:$AA$1600,22,FALSE),"Not invoiced")</f>
        <v>Paid</v>
      </c>
      <c r="AD1153" s="11">
        <f>IF(AC1153="Paid",IFERROR(VLOOKUP(D1153,CAARStatus!$A$2:$AA$1600,6,FALSE),"Pending"),"Pending")</f>
        <v>46024</v>
      </c>
      <c r="AE1153" s="5" t="str">
        <f t="shared" si="386"/>
        <v>4500620284</v>
      </c>
      <c r="AF1153" s="5" t="str">
        <f t="shared" si="387"/>
        <v>Resolute Forest Products - Saint-Felicien</v>
      </c>
      <c r="AG1153" s="5" t="str">
        <f t="shared" si="388"/>
        <v>CAD</v>
      </c>
      <c r="AH1153" s="5">
        <f t="shared" si="389"/>
        <v>7379.65</v>
      </c>
      <c r="AI1153" s="12">
        <f>IF(L1153-N1153=0,VLOOKUP(U1153,rate!A$4:B$15,2,FALSE)*AH1153,IF(AG1153="USD",O1153,AH1153*Y1153))</f>
        <v>5272.9693418853394</v>
      </c>
      <c r="AJ1153" s="13">
        <f t="shared" si="390"/>
        <v>0.71452837761754817</v>
      </c>
      <c r="AK1153" s="13">
        <f>-IF(AG1153="CAD",IFERROR(VLOOKUP(D1153,CAARStatus!$A$1:$Y$1600,16,FALSE),0),0)</f>
        <v>-7379.65</v>
      </c>
      <c r="AL1153" s="13">
        <f>-IF(AG1153="USD",IFERROR(VLOOKUP(D1153,CAARStatus!$A$1:$Y$1600,11,FALSE),0),0)</f>
        <v>0</v>
      </c>
      <c r="AM1153" s="22">
        <f t="shared" si="391"/>
        <v>0</v>
      </c>
      <c r="AN1153" s="12" t="str">
        <f t="shared" si="392"/>
        <v/>
      </c>
      <c r="AO1153" s="12" t="str">
        <f t="shared" si="393"/>
        <v>Yes</v>
      </c>
      <c r="AP1153" t="str">
        <f t="shared" si="378"/>
        <v>Yes</v>
      </c>
      <c r="AQ1153" t="str">
        <f>IFERROR(VLOOKUP(Z1153,InvBal!$L$4:$P$600,4,FALSE),"Pend")</f>
        <v>Pend</v>
      </c>
      <c r="AR1153" t="str">
        <f>IFERROR(VLOOKUP(D1153,Manual!$C$1:$E$22,2,FALSE),"Pend")</f>
        <v>Pend</v>
      </c>
      <c r="AS1153" t="str">
        <f t="shared" si="394"/>
        <v>Yes</v>
      </c>
      <c r="AT1153" t="str">
        <f t="shared" si="395"/>
        <v>Yes</v>
      </c>
      <c r="AU1153" s="51" t="str">
        <f t="shared" si="396"/>
        <v>Yes</v>
      </c>
      <c r="AV1153" s="12">
        <f>IFERROR(VLOOKUP(D1153,'Receivable Invoice Detail'!$S$1:$U$3014,3,FALSE),0)</f>
        <v>0</v>
      </c>
      <c r="AW1153" s="12">
        <f t="shared" si="397"/>
        <v>5272.9693418853394</v>
      </c>
    </row>
    <row r="1154" spans="1:49" ht="30" x14ac:dyDescent="0.25">
      <c r="A1154" s="2">
        <v>1</v>
      </c>
      <c r="B1154" s="2" t="s">
        <v>278</v>
      </c>
      <c r="C1154" s="2" t="s">
        <v>279</v>
      </c>
      <c r="D1154" s="2" t="s">
        <v>3338</v>
      </c>
      <c r="E1154" s="2" t="s">
        <v>129</v>
      </c>
      <c r="F1154" s="3">
        <v>45964.731087962973</v>
      </c>
      <c r="G1154" s="3">
        <v>45964.731377314813</v>
      </c>
      <c r="H1154" s="4">
        <v>45967</v>
      </c>
      <c r="I1154" s="2" t="s">
        <v>130</v>
      </c>
      <c r="J1154" s="2" t="s">
        <v>51</v>
      </c>
      <c r="K1154" s="2">
        <v>0.71248196503825101</v>
      </c>
      <c r="L1154" s="2">
        <v>9447.2566749652851</v>
      </c>
      <c r="M1154" s="2">
        <v>0</v>
      </c>
      <c r="N1154" s="2">
        <v>6731</v>
      </c>
      <c r="O1154" s="2">
        <v>6731</v>
      </c>
      <c r="P1154" s="2"/>
      <c r="Q1154" s="2">
        <v>6731</v>
      </c>
      <c r="R1154" s="2" t="s">
        <v>44</v>
      </c>
      <c r="S1154" s="2"/>
      <c r="T1154" s="2">
        <f t="shared" si="379"/>
        <v>1</v>
      </c>
      <c r="U1154" s="18">
        <f t="shared" si="380"/>
        <v>11</v>
      </c>
      <c r="V1154" s="18">
        <f t="shared" si="381"/>
        <v>2025</v>
      </c>
      <c r="W1154" s="18" t="str">
        <f t="shared" si="382"/>
        <v/>
      </c>
      <c r="X1154" s="18" t="str">
        <f t="shared" si="383"/>
        <v/>
      </c>
      <c r="Y1154" s="2">
        <f t="shared" ref="Y1154:Y1211" si="398">IF(C1154="",Y1153,N1154/L1154)</f>
        <v>0.71248196503825101</v>
      </c>
      <c r="Z1154" t="str">
        <f t="shared" ref="Z1154:Z1211" si="399">IF(B1154="",Z1153,B1154)</f>
        <v>SO18164</v>
      </c>
      <c r="AA1154" s="11">
        <f t="shared" si="384"/>
        <v>45964.731087962973</v>
      </c>
      <c r="AB1154" s="5" t="str">
        <f t="shared" si="385"/>
        <v>INV13630</v>
      </c>
      <c r="AC1154" s="5" t="str">
        <f>IFERROR(VLOOKUP(D1154,CAARStatus!$A$2:$AA$1600,22,FALSE),"Not invoiced")</f>
        <v>Not invoiced</v>
      </c>
      <c r="AD1154" s="11" t="str">
        <f>IF(AC1154="Paid",IFERROR(VLOOKUP(D1154,CAARStatus!$A$2:$AA$1600,6,FALSE),"Pending"),"Pending")</f>
        <v>Pending</v>
      </c>
      <c r="AE1154" s="5" t="str">
        <f t="shared" si="386"/>
        <v>OC00224</v>
      </c>
      <c r="AF1154" s="5" t="str">
        <f t="shared" si="387"/>
        <v>Dynapro Pumps México S de RL de CV</v>
      </c>
      <c r="AG1154" s="5" t="str">
        <f t="shared" si="388"/>
        <v>USD</v>
      </c>
      <c r="AH1154" s="5">
        <f t="shared" si="389"/>
        <v>9447.2566749652851</v>
      </c>
      <c r="AI1154" s="12">
        <f>IF(L1154-N1154=0,VLOOKUP(U1154,rate!A$4:B$15,2,FALSE)*AH1154,IF(AG1154="USD",O1154,AH1154*Y1154))</f>
        <v>6731</v>
      </c>
      <c r="AJ1154" s="13">
        <f t="shared" si="390"/>
        <v>0.71248196503825101</v>
      </c>
      <c r="AK1154" s="61">
        <f>IF(AC1154="Paid",-IF(AG1154="CAD",IFERROR(VLOOKUP(D1154,CAARStatus!$A$1:$Y$1600,16,FALSE),0),0),0)</f>
        <v>0</v>
      </c>
      <c r="AL1154" s="61">
        <f>IF(AC1154="Paid",-IF(AG1154="USD",IFERROR(VLOOKUP(D1154,CAARStatus!$A$1:$Y$1600,11,FALSE),0),0),0)</f>
        <v>0</v>
      </c>
      <c r="AM1154" s="22" t="str">
        <f t="shared" si="391"/>
        <v/>
      </c>
      <c r="AN1154" s="12">
        <f t="shared" si="392"/>
        <v>6731</v>
      </c>
      <c r="AO1154" s="12" t="str">
        <f t="shared" si="393"/>
        <v>Pend</v>
      </c>
      <c r="AP1154" t="str">
        <f t="shared" ref="AP1154:AP1211" si="400">IF(AND(AO1154="Pend",T1154&lt;2),"Pend",IF(T1154=1,"Yes","XX"))</f>
        <v>Pend</v>
      </c>
      <c r="AQ1154" t="str">
        <f>IFERROR(VLOOKUP(Z1154,InvBal!$L$4:$P$600,4,FALSE),"Pend")</f>
        <v>Pend</v>
      </c>
      <c r="AR1154" t="str">
        <f>IFERROR(VLOOKUP(D1154,Manual!$C$1:$E$22,2,FALSE),"Pend")</f>
        <v>Pend</v>
      </c>
      <c r="AS1154" t="str">
        <f t="shared" si="394"/>
        <v/>
      </c>
      <c r="AT1154" t="str">
        <f t="shared" si="395"/>
        <v>Yes</v>
      </c>
      <c r="AU1154" s="51" t="str">
        <f t="shared" si="396"/>
        <v/>
      </c>
      <c r="AV1154" s="12">
        <f>IFERROR(VLOOKUP(D1154,'Receivable Invoice Detail'!$S$1:$U$3014,3,FALSE),0)</f>
        <v>0</v>
      </c>
      <c r="AW1154" s="12">
        <f t="shared" si="397"/>
        <v>0</v>
      </c>
    </row>
    <row r="1155" spans="1:49" x14ac:dyDescent="0.25">
      <c r="A1155" s="2">
        <v>1</v>
      </c>
      <c r="B1155" s="2" t="s">
        <v>276</v>
      </c>
      <c r="C1155" s="2" t="s">
        <v>277</v>
      </c>
      <c r="D1155" s="2" t="s">
        <v>3339</v>
      </c>
      <c r="E1155" s="2" t="s">
        <v>64</v>
      </c>
      <c r="F1155" s="3">
        <v>45965.434999999998</v>
      </c>
      <c r="G1155" s="3">
        <v>45965.54278935185</v>
      </c>
      <c r="H1155" s="4">
        <v>45965</v>
      </c>
      <c r="I1155" s="2" t="s">
        <v>74</v>
      </c>
      <c r="J1155" s="2" t="s">
        <v>22</v>
      </c>
      <c r="K1155" s="2">
        <v>1</v>
      </c>
      <c r="L1155" s="2">
        <v>485.63</v>
      </c>
      <c r="M1155" s="2">
        <v>0</v>
      </c>
      <c r="N1155" s="2">
        <v>344.8510591736798</v>
      </c>
      <c r="O1155" s="2">
        <v>429.76</v>
      </c>
      <c r="P1155" s="2">
        <v>55.87</v>
      </c>
      <c r="Q1155" s="2">
        <v>485.63</v>
      </c>
      <c r="R1155" s="2" t="s">
        <v>44</v>
      </c>
      <c r="S1155" s="2"/>
      <c r="T1155" s="2">
        <f t="shared" ref="T1155:T1211" si="401">IF(A1155="",T1154,A1155)</f>
        <v>1</v>
      </c>
      <c r="U1155" s="18">
        <f t="shared" ref="U1155:U1211" si="402">IF(F1155="",U1154,MONTH(F1155))</f>
        <v>11</v>
      </c>
      <c r="V1155" s="18">
        <f t="shared" ref="V1155:V1218" si="403">IF(F1155="",V1154,YEAR(F1155))</f>
        <v>2025</v>
      </c>
      <c r="W1155" s="18">
        <f t="shared" ref="W1155:W1211" si="404">IF(AC1155="Paid",MONTH(AD1155),"")</f>
        <v>12</v>
      </c>
      <c r="X1155" s="18">
        <f t="shared" ref="X1155:X1218" si="405">IF(AC1155="Paid",YEAR(AD1155),"")</f>
        <v>2025</v>
      </c>
      <c r="Y1155" s="2">
        <f t="shared" si="398"/>
        <v>0.71011069986137554</v>
      </c>
      <c r="Z1155" t="str">
        <f t="shared" si="399"/>
        <v>SO18165</v>
      </c>
      <c r="AA1155" s="11">
        <f t="shared" ref="AA1155:AA1211" si="406">IF(F1155="",AA1154,F1155)</f>
        <v>45965.434999999998</v>
      </c>
      <c r="AB1155" s="5" t="str">
        <f t="shared" ref="AB1155:AB1211" si="407">IF(D1155="","No Inv",D1155)</f>
        <v>INV13609</v>
      </c>
      <c r="AC1155" s="5" t="str">
        <f>IFERROR(VLOOKUP(D1155,CAARStatus!$A$2:$AA$1600,22,FALSE),"Not invoiced")</f>
        <v>Paid</v>
      </c>
      <c r="AD1155" s="11">
        <f>IF(AC1155="Paid",IFERROR(VLOOKUP(D1155,CAARStatus!$A$2:$AA$1600,6,FALSE),"Pending"),"Pending")</f>
        <v>46020</v>
      </c>
      <c r="AE1155" s="5" t="str">
        <f t="shared" ref="AE1155:AE1211" si="408">IF(C1155="",AE1154,C1155)</f>
        <v>607069</v>
      </c>
      <c r="AF1155" s="5" t="str">
        <f t="shared" ref="AF1155:AF1211" si="409">IF(E1155="",AF1154,E1155)</f>
        <v>Sealtrac Inc.</v>
      </c>
      <c r="AG1155" s="5" t="str">
        <f t="shared" ref="AG1155:AG1211" si="410">IF(J1155="",AG1154,J1155)</f>
        <v>CAD</v>
      </c>
      <c r="AH1155" s="5">
        <f t="shared" ref="AH1155:AH1211" si="411">IFERROR(IF(AG1155="CAD",O1155,O1155/K1155),0)</f>
        <v>429.76</v>
      </c>
      <c r="AI1155" s="12">
        <f>IF(L1155-N1155=0,VLOOKUP(U1155,rate!A$4:B$15,2,FALSE)*AH1155,IF(AG1155="USD",O1155,AH1155*Y1155))</f>
        <v>305.17717437242476</v>
      </c>
      <c r="AJ1155" s="13">
        <f t="shared" ref="AJ1155:AJ1211" si="412">IFERROR(AI1155/AH1155,0)</f>
        <v>0.71011069986137554</v>
      </c>
      <c r="AK1155" s="13">
        <f>-IF(AG1155="CAD",IFERROR(VLOOKUP(D1155,CAARStatus!$A$1:$Y$1600,16,FALSE),0),0)</f>
        <v>-429.76</v>
      </c>
      <c r="AL1155" s="13">
        <f>-IF(AG1155="USD",IFERROR(VLOOKUP(D1155,CAARStatus!$A$1:$Y$1600,11,FALSE),0),0)</f>
        <v>0</v>
      </c>
      <c r="AM1155" s="22">
        <f t="shared" ref="AM1155:AM1211" si="413">IF(AG1155="CAD",AH1155+AK1155,"")</f>
        <v>0</v>
      </c>
      <c r="AN1155" s="12" t="str">
        <f t="shared" ref="AN1155:AN1211" si="414">IF(AG1155="USD",AI1155+AL1155,"")</f>
        <v/>
      </c>
      <c r="AO1155" s="12" t="str">
        <f t="shared" ref="AO1155:AO1211" si="415">IF(AC1155="Paid","Yes","Pend")</f>
        <v>Yes</v>
      </c>
      <c r="AP1155" t="str">
        <f t="shared" si="400"/>
        <v>Yes</v>
      </c>
      <c r="AQ1155" t="str">
        <f>IFERROR(VLOOKUP(Z1155,InvBal!$L$4:$P$600,4,FALSE),"Pend")</f>
        <v>Pend</v>
      </c>
      <c r="AR1155" t="str">
        <f>IFERROR(VLOOKUP(D1155,Manual!$C$1:$E$22,2,FALSE),"Pend")</f>
        <v>Pend</v>
      </c>
      <c r="AS1155" t="str">
        <f t="shared" ref="AS1155:AS1211" si="416">IF(OR(AP1155="Yes",AQ1155="Yes",AR1155="Yes"),"Yes","")</f>
        <v>Yes</v>
      </c>
      <c r="AT1155" t="str">
        <f t="shared" ref="AT1155:AT1211" si="417">IF(R1155="Delivered","Yes","")</f>
        <v>Yes</v>
      </c>
      <c r="AU1155" s="51" t="str">
        <f t="shared" ref="AU1155:AU1211" si="418">IF(AND(AS1155="Yes",AT1155="Yes"),"Yes","")</f>
        <v>Yes</v>
      </c>
      <c r="AV1155" s="12">
        <f>IFERROR(VLOOKUP(D1155,'Receivable Invoice Detail'!$S$1:$U$3014,3,FALSE),0)</f>
        <v>0</v>
      </c>
      <c r="AW1155" s="12">
        <f t="shared" ref="AW1155:AW1211" si="419">IF(AU1155="Yes",AI1155-AV1155,0)</f>
        <v>305.17717437242476</v>
      </c>
    </row>
    <row r="1156" spans="1:49" x14ac:dyDescent="0.25">
      <c r="A1156" s="2">
        <v>1</v>
      </c>
      <c r="B1156" s="2" t="s">
        <v>240</v>
      </c>
      <c r="C1156" s="2" t="s">
        <v>241</v>
      </c>
      <c r="D1156" s="2" t="s">
        <v>3351</v>
      </c>
      <c r="E1156" s="2" t="s">
        <v>242</v>
      </c>
      <c r="F1156" s="3">
        <v>45965.517384259263</v>
      </c>
      <c r="G1156" s="3">
        <v>45968.606203703697</v>
      </c>
      <c r="H1156" s="2"/>
      <c r="I1156" s="2" t="s">
        <v>40</v>
      </c>
      <c r="J1156" s="2" t="s">
        <v>22</v>
      </c>
      <c r="K1156" s="2">
        <v>1</v>
      </c>
      <c r="L1156" s="2">
        <v>2758.72</v>
      </c>
      <c r="M1156" s="2">
        <v>0</v>
      </c>
      <c r="N1156" s="2">
        <v>1959.9224791008401</v>
      </c>
      <c r="O1156" s="2">
        <v>2627.35</v>
      </c>
      <c r="P1156" s="2">
        <v>131.37</v>
      </c>
      <c r="Q1156" s="2">
        <v>2758.72</v>
      </c>
      <c r="R1156" s="2" t="s">
        <v>29</v>
      </c>
      <c r="S1156" s="2"/>
      <c r="T1156" s="2">
        <f t="shared" si="401"/>
        <v>1</v>
      </c>
      <c r="U1156" s="18">
        <f t="shared" si="402"/>
        <v>11</v>
      </c>
      <c r="V1156" s="18">
        <f t="shared" si="403"/>
        <v>2025</v>
      </c>
      <c r="W1156" s="18">
        <f t="shared" si="404"/>
        <v>1</v>
      </c>
      <c r="X1156" s="18">
        <f t="shared" si="405"/>
        <v>2026</v>
      </c>
      <c r="Y1156" s="2">
        <f t="shared" si="398"/>
        <v>0.71044632260644069</v>
      </c>
      <c r="Z1156" t="str">
        <f t="shared" si="399"/>
        <v>SO18167</v>
      </c>
      <c r="AA1156" s="11">
        <f t="shared" si="406"/>
        <v>45965.517384259263</v>
      </c>
      <c r="AB1156" s="5" t="str">
        <f t="shared" si="407"/>
        <v>INV13629</v>
      </c>
      <c r="AC1156" s="5" t="str">
        <f>IFERROR(VLOOKUP(D1156,CAARStatus!$A$2:$AA$1600,22,FALSE),"Not invoiced")</f>
        <v>Paid</v>
      </c>
      <c r="AD1156" s="11">
        <f>IF(AC1156="Paid",IFERROR(VLOOKUP(D1156,CAARStatus!$A$2:$AA$1600,6,FALSE),"Pending"),"Pending")</f>
        <v>46024</v>
      </c>
      <c r="AE1156" s="5" t="str">
        <f t="shared" si="408"/>
        <v>2100687350</v>
      </c>
      <c r="AF1156" s="5" t="str">
        <f t="shared" si="409"/>
        <v>Wajax Limited - Noranda</v>
      </c>
      <c r="AG1156" s="5" t="str">
        <f t="shared" si="410"/>
        <v>CAD</v>
      </c>
      <c r="AH1156" s="5">
        <f t="shared" si="411"/>
        <v>2627.35</v>
      </c>
      <c r="AI1156" s="12">
        <f>IF(L1156-N1156=0,VLOOKUP(U1156,rate!A$4:B$15,2,FALSE)*AH1156,IF(AG1156="USD",O1156,AH1156*Y1156))</f>
        <v>1866.5911457000318</v>
      </c>
      <c r="AJ1156" s="13">
        <f t="shared" si="412"/>
        <v>0.71044632260644069</v>
      </c>
      <c r="AK1156" s="13">
        <f>-IF(AG1156="CAD",IFERROR(VLOOKUP(D1156,CAARStatus!$A$1:$Y$1600,16,FALSE),0),0)</f>
        <v>-1946.57</v>
      </c>
      <c r="AL1156" s="13">
        <f>-IF(AG1156="USD",IFERROR(VLOOKUP(D1156,CAARStatus!$A$1:$Y$1600,11,FALSE),0),0)</f>
        <v>0</v>
      </c>
      <c r="AM1156" s="22">
        <f t="shared" si="413"/>
        <v>680.78</v>
      </c>
      <c r="AN1156" s="12" t="str">
        <f t="shared" si="414"/>
        <v/>
      </c>
      <c r="AO1156" s="12" t="str">
        <f t="shared" si="415"/>
        <v>Yes</v>
      </c>
      <c r="AP1156" t="str">
        <f t="shared" si="400"/>
        <v>Yes</v>
      </c>
      <c r="AQ1156" t="str">
        <f>IFERROR(VLOOKUP(Z1156,InvBal!$L$4:$P$600,4,FALSE),"Pend")</f>
        <v>Pend</v>
      </c>
      <c r="AR1156" t="str">
        <f>IFERROR(VLOOKUP(D1156,Manual!$C$1:$E$22,2,FALSE),"Pend")</f>
        <v>Pend</v>
      </c>
      <c r="AS1156" t="str">
        <f t="shared" si="416"/>
        <v>Yes</v>
      </c>
      <c r="AT1156" t="str">
        <f t="shared" si="417"/>
        <v/>
      </c>
      <c r="AU1156" s="51" t="str">
        <f t="shared" si="418"/>
        <v/>
      </c>
      <c r="AV1156" s="12">
        <f>IFERROR(VLOOKUP(D1156,'Receivable Invoice Detail'!$S$1:$U$3014,3,FALSE),0)</f>
        <v>0</v>
      </c>
      <c r="AW1156" s="12">
        <f t="shared" si="419"/>
        <v>0</v>
      </c>
    </row>
    <row r="1157" spans="1:49" ht="30" x14ac:dyDescent="0.25">
      <c r="A1157" s="2">
        <v>1</v>
      </c>
      <c r="B1157" s="2" t="s">
        <v>274</v>
      </c>
      <c r="C1157" s="2" t="s">
        <v>275</v>
      </c>
      <c r="D1157" s="2" t="s">
        <v>3340</v>
      </c>
      <c r="E1157" s="2" t="s">
        <v>98</v>
      </c>
      <c r="F1157" s="3">
        <v>45965.616041666668</v>
      </c>
      <c r="G1157" s="3">
        <v>45965.622476851851</v>
      </c>
      <c r="H1157" s="2"/>
      <c r="I1157" s="2" t="s">
        <v>40</v>
      </c>
      <c r="J1157" s="2" t="s">
        <v>22</v>
      </c>
      <c r="K1157" s="2">
        <v>1</v>
      </c>
      <c r="L1157" s="2">
        <v>2538.02</v>
      </c>
      <c r="M1157" s="2">
        <v>0</v>
      </c>
      <c r="N1157" s="2">
        <v>1802.2751584621681</v>
      </c>
      <c r="O1157" s="2">
        <v>2246.04</v>
      </c>
      <c r="P1157" s="2">
        <v>291.98</v>
      </c>
      <c r="Q1157" s="2">
        <v>2538.02</v>
      </c>
      <c r="R1157" s="2" t="s">
        <v>44</v>
      </c>
      <c r="S1157" s="2"/>
      <c r="T1157" s="2">
        <f t="shared" si="401"/>
        <v>1</v>
      </c>
      <c r="U1157" s="18">
        <f t="shared" si="402"/>
        <v>11</v>
      </c>
      <c r="V1157" s="18">
        <f t="shared" si="403"/>
        <v>2025</v>
      </c>
      <c r="W1157" s="18">
        <f t="shared" si="404"/>
        <v>12</v>
      </c>
      <c r="X1157" s="18">
        <f t="shared" si="405"/>
        <v>2025</v>
      </c>
      <c r="Y1157" s="2">
        <f t="shared" si="398"/>
        <v>0.71011069986137543</v>
      </c>
      <c r="Z1157" t="str">
        <f t="shared" si="399"/>
        <v>SO18170</v>
      </c>
      <c r="AA1157" s="11">
        <f t="shared" si="406"/>
        <v>45965.616041666668</v>
      </c>
      <c r="AB1157" s="5" t="str">
        <f t="shared" si="407"/>
        <v>INV13706</v>
      </c>
      <c r="AC1157" s="5" t="str">
        <f>IFERROR(VLOOKUP(D1157,CAARStatus!$A$2:$AA$1600,22,FALSE),"Not invoiced")</f>
        <v>Paid</v>
      </c>
      <c r="AD1157" s="11">
        <f>IF(AC1157="Paid",IFERROR(VLOOKUP(D1157,CAARStatus!$A$2:$AA$1600,6,FALSE),"Pending"),"Pending")</f>
        <v>46022</v>
      </c>
      <c r="AE1157" s="5" t="str">
        <f t="shared" si="408"/>
        <v>PO-008410</v>
      </c>
      <c r="AF1157" s="5" t="str">
        <f t="shared" si="409"/>
        <v>Sling-Choker Manufacturing - Timmins</v>
      </c>
      <c r="AG1157" s="5" t="str">
        <f t="shared" si="410"/>
        <v>CAD</v>
      </c>
      <c r="AH1157" s="5">
        <f t="shared" si="411"/>
        <v>2246.04</v>
      </c>
      <c r="AI1157" s="12">
        <f>IF(L1157-N1157=0,VLOOKUP(U1157,rate!A$4:B$15,2,FALSE)*AH1157,IF(AG1157="USD",O1157,AH1157*Y1157))</f>
        <v>1594.9370363166436</v>
      </c>
      <c r="AJ1157" s="13">
        <f t="shared" si="412"/>
        <v>0.71011069986137543</v>
      </c>
      <c r="AK1157" s="13">
        <f>-IF(AG1157="CAD",IFERROR(VLOOKUP(D1157,CAARStatus!$A$1:$Y$1600,16,FALSE),0),0)</f>
        <v>-2246.04</v>
      </c>
      <c r="AL1157" s="13">
        <f>-IF(AG1157="USD",IFERROR(VLOOKUP(D1157,CAARStatus!$A$1:$Y$1600,11,FALSE),0),0)</f>
        <v>0</v>
      </c>
      <c r="AM1157" s="22">
        <f t="shared" si="413"/>
        <v>0</v>
      </c>
      <c r="AN1157" s="12" t="str">
        <f t="shared" si="414"/>
        <v/>
      </c>
      <c r="AO1157" s="12" t="str">
        <f t="shared" si="415"/>
        <v>Yes</v>
      </c>
      <c r="AP1157" t="str">
        <f t="shared" si="400"/>
        <v>Yes</v>
      </c>
      <c r="AQ1157" t="str">
        <f>IFERROR(VLOOKUP(Z1157,InvBal!$L$4:$P$600,4,FALSE),"Pend")</f>
        <v>Pend</v>
      </c>
      <c r="AR1157" t="str">
        <f>IFERROR(VLOOKUP(D1157,Manual!$C$1:$E$22,2,FALSE),"Pend")</f>
        <v>Pend</v>
      </c>
      <c r="AS1157" t="str">
        <f t="shared" si="416"/>
        <v>Yes</v>
      </c>
      <c r="AT1157" t="str">
        <f t="shared" si="417"/>
        <v>Yes</v>
      </c>
      <c r="AU1157" s="51" t="str">
        <f t="shared" si="418"/>
        <v>Yes</v>
      </c>
      <c r="AV1157" s="12">
        <f>IFERROR(VLOOKUP(D1157,'Receivable Invoice Detail'!$S$1:$U$3014,3,FALSE),0)</f>
        <v>0</v>
      </c>
      <c r="AW1157" s="12">
        <f t="shared" si="419"/>
        <v>1594.9370363166436</v>
      </c>
    </row>
    <row r="1158" spans="1:49" x14ac:dyDescent="0.25">
      <c r="A1158" s="2">
        <v>1</v>
      </c>
      <c r="B1158" s="2" t="s">
        <v>272</v>
      </c>
      <c r="C1158" s="2" t="s">
        <v>273</v>
      </c>
      <c r="D1158" s="2" t="s">
        <v>3341</v>
      </c>
      <c r="E1158" s="2" t="s">
        <v>229</v>
      </c>
      <c r="F1158" s="3">
        <v>45965.788738425923</v>
      </c>
      <c r="G1158" s="3">
        <v>45965.786944444437</v>
      </c>
      <c r="H1158" s="4">
        <v>45972</v>
      </c>
      <c r="I1158" s="2" t="s">
        <v>36</v>
      </c>
      <c r="J1158" s="2" t="s">
        <v>22</v>
      </c>
      <c r="K1158" s="2">
        <v>1</v>
      </c>
      <c r="L1158" s="2">
        <v>995.31</v>
      </c>
      <c r="M1158" s="2">
        <v>0</v>
      </c>
      <c r="N1158" s="2">
        <v>706.78028067902562</v>
      </c>
      <c r="O1158" s="2">
        <v>947.91</v>
      </c>
      <c r="P1158" s="2">
        <v>47.4</v>
      </c>
      <c r="Q1158" s="2">
        <v>995.31</v>
      </c>
      <c r="R1158" s="2" t="s">
        <v>44</v>
      </c>
      <c r="S1158" s="2"/>
      <c r="T1158" s="2">
        <f t="shared" si="401"/>
        <v>1</v>
      </c>
      <c r="U1158" s="18">
        <f t="shared" si="402"/>
        <v>11</v>
      </c>
      <c r="V1158" s="18">
        <f t="shared" si="403"/>
        <v>2025</v>
      </c>
      <c r="W1158" s="18">
        <f t="shared" si="404"/>
        <v>12</v>
      </c>
      <c r="X1158" s="18">
        <f t="shared" si="405"/>
        <v>2025</v>
      </c>
      <c r="Y1158" s="2">
        <f t="shared" si="398"/>
        <v>0.71011069986137554</v>
      </c>
      <c r="Z1158" t="str">
        <f t="shared" si="399"/>
        <v>SO18172</v>
      </c>
      <c r="AA1158" s="11">
        <f t="shared" si="406"/>
        <v>45965.788738425923</v>
      </c>
      <c r="AB1158" s="5" t="str">
        <f t="shared" si="407"/>
        <v>INV13610</v>
      </c>
      <c r="AC1158" s="5" t="str">
        <f>IFERROR(VLOOKUP(D1158,CAARStatus!$A$2:$AA$1600,22,FALSE),"Not invoiced")</f>
        <v>Paid</v>
      </c>
      <c r="AD1158" s="11">
        <f>IF(AC1158="Paid",IFERROR(VLOOKUP(D1158,CAARStatus!$A$2:$AA$1600,6,FALSE),"Pending"),"Pending")</f>
        <v>46001</v>
      </c>
      <c r="AE1158" s="5" t="str">
        <f t="shared" si="408"/>
        <v>2100686594</v>
      </c>
      <c r="AF1158" s="5" t="str">
        <f t="shared" si="409"/>
        <v>Wajax Limited - Lachine</v>
      </c>
      <c r="AG1158" s="5" t="str">
        <f t="shared" si="410"/>
        <v>CAD</v>
      </c>
      <c r="AH1158" s="5">
        <f t="shared" si="411"/>
        <v>947.91</v>
      </c>
      <c r="AI1158" s="12">
        <f>IF(L1158-N1158=0,VLOOKUP(U1158,rate!A$4:B$15,2,FALSE)*AH1158,IF(AG1158="USD",O1158,AH1158*Y1158))</f>
        <v>673.12103350559642</v>
      </c>
      <c r="AJ1158" s="13">
        <f t="shared" si="412"/>
        <v>0.71011069986137554</v>
      </c>
      <c r="AK1158" s="13">
        <f>-IF(AG1158="CAD",IFERROR(VLOOKUP(D1158,CAARStatus!$A$1:$Y$1600,16,FALSE),0),0)</f>
        <v>-947.91</v>
      </c>
      <c r="AL1158" s="13">
        <f>-IF(AG1158="USD",IFERROR(VLOOKUP(D1158,CAARStatus!$A$1:$Y$1600,11,FALSE),0),0)</f>
        <v>0</v>
      </c>
      <c r="AM1158" s="22">
        <f t="shared" si="413"/>
        <v>0</v>
      </c>
      <c r="AN1158" s="12" t="str">
        <f t="shared" si="414"/>
        <v/>
      </c>
      <c r="AO1158" s="12" t="str">
        <f t="shared" si="415"/>
        <v>Yes</v>
      </c>
      <c r="AP1158" t="str">
        <f t="shared" si="400"/>
        <v>Yes</v>
      </c>
      <c r="AQ1158" t="str">
        <f>IFERROR(VLOOKUP(Z1158,InvBal!$L$4:$P$600,4,FALSE),"Pend")</f>
        <v>Pend</v>
      </c>
      <c r="AR1158" t="str">
        <f>IFERROR(VLOOKUP(D1158,Manual!$C$1:$E$22,2,FALSE),"Pend")</f>
        <v>Pend</v>
      </c>
      <c r="AS1158" t="str">
        <f t="shared" si="416"/>
        <v>Yes</v>
      </c>
      <c r="AT1158" t="str">
        <f t="shared" si="417"/>
        <v>Yes</v>
      </c>
      <c r="AU1158" s="51" t="str">
        <f t="shared" si="418"/>
        <v>Yes</v>
      </c>
      <c r="AV1158" s="12">
        <f>IFERROR(VLOOKUP(D1158,'Receivable Invoice Detail'!$S$1:$U$3014,3,FALSE),0)</f>
        <v>0</v>
      </c>
      <c r="AW1158" s="12">
        <f t="shared" si="419"/>
        <v>673.12103350559642</v>
      </c>
    </row>
    <row r="1159" spans="1:49" x14ac:dyDescent="0.25">
      <c r="A1159" s="2">
        <v>0</v>
      </c>
      <c r="B1159" s="2" t="s">
        <v>216</v>
      </c>
      <c r="C1159" s="2" t="s">
        <v>217</v>
      </c>
      <c r="D1159" s="2"/>
      <c r="E1159" s="2" t="s">
        <v>64</v>
      </c>
      <c r="F1159" s="3">
        <v>45966.394652777781</v>
      </c>
      <c r="G1159" s="3">
        <v>45972.702326388891</v>
      </c>
      <c r="H1159" s="4">
        <v>46105</v>
      </c>
      <c r="I1159" s="2" t="s">
        <v>21</v>
      </c>
      <c r="J1159" s="2" t="s">
        <v>22</v>
      </c>
      <c r="K1159" s="2">
        <v>1</v>
      </c>
      <c r="L1159" s="2">
        <v>13850.32</v>
      </c>
      <c r="M1159" s="2">
        <v>0</v>
      </c>
      <c r="N1159" s="2">
        <v>9886.3790582363727</v>
      </c>
      <c r="O1159" s="2">
        <v>12256.92</v>
      </c>
      <c r="P1159" s="2">
        <v>1593.4</v>
      </c>
      <c r="Q1159" s="2">
        <v>13850.32</v>
      </c>
      <c r="R1159" s="2" t="s">
        <v>29</v>
      </c>
      <c r="S1159" s="2"/>
      <c r="T1159" s="2">
        <f t="shared" si="401"/>
        <v>0</v>
      </c>
      <c r="U1159" s="18">
        <f t="shared" si="402"/>
        <v>11</v>
      </c>
      <c r="V1159" s="18">
        <f t="shared" si="403"/>
        <v>2025</v>
      </c>
      <c r="W1159" s="18" t="str">
        <f t="shared" si="404"/>
        <v/>
      </c>
      <c r="X1159" s="18" t="str">
        <f t="shared" si="405"/>
        <v/>
      </c>
      <c r="Y1159" s="2">
        <f t="shared" si="398"/>
        <v>0.71380149037974383</v>
      </c>
      <c r="Z1159" t="str">
        <f t="shared" si="399"/>
        <v>SO18173</v>
      </c>
      <c r="AA1159" s="11">
        <f t="shared" si="406"/>
        <v>45966.394652777781</v>
      </c>
      <c r="AB1159" s="5" t="str">
        <f t="shared" si="407"/>
        <v>No Inv</v>
      </c>
      <c r="AC1159" s="5" t="str">
        <f>IFERROR(VLOOKUP(D1159,CAARStatus!$A$2:$AA$1600,22,FALSE),"Not invoiced")</f>
        <v>Not invoiced</v>
      </c>
      <c r="AD1159" s="11" t="str">
        <f>IF(AC1159="Paid",IFERROR(VLOOKUP(D1159,CAARStatus!$A$2:$AA$1600,6,FALSE),"Pending"),"Pending")</f>
        <v>Pending</v>
      </c>
      <c r="AE1159" s="5" t="str">
        <f t="shared" si="408"/>
        <v>607071</v>
      </c>
      <c r="AF1159" s="5" t="str">
        <f t="shared" si="409"/>
        <v>Sealtrac Inc.</v>
      </c>
      <c r="AG1159" s="5" t="str">
        <f t="shared" si="410"/>
        <v>CAD</v>
      </c>
      <c r="AH1159" s="5">
        <f t="shared" si="411"/>
        <v>12256.92</v>
      </c>
      <c r="AI1159" s="12">
        <f>IF(L1159-N1159=0,VLOOKUP(U1159,rate!A$4:B$15,2,FALSE)*AH1159,IF(AG1159="USD",O1159,AH1159*Y1159))</f>
        <v>8749.0077634652898</v>
      </c>
      <c r="AJ1159" s="13">
        <f t="shared" si="412"/>
        <v>0.71380149037974383</v>
      </c>
      <c r="AK1159" s="13">
        <f>-IF(AG1159="CAD",IFERROR(VLOOKUP(D1159,CAARStatus!$A$1:$Y$1600,16,FALSE),0),0)</f>
        <v>0</v>
      </c>
      <c r="AL1159" s="13">
        <f>-IF(AG1159="USD",IFERROR(VLOOKUP(D1159,CAARStatus!$A$1:$Y$1600,11,FALSE),0),0)</f>
        <v>0</v>
      </c>
      <c r="AM1159" s="22">
        <f t="shared" si="413"/>
        <v>12256.92</v>
      </c>
      <c r="AN1159" s="12" t="str">
        <f t="shared" si="414"/>
        <v/>
      </c>
      <c r="AO1159" s="12" t="str">
        <f t="shared" si="415"/>
        <v>Pend</v>
      </c>
      <c r="AP1159" t="str">
        <f t="shared" si="400"/>
        <v>Pend</v>
      </c>
      <c r="AQ1159" t="str">
        <f>IFERROR(VLOOKUP(Z1159,InvBal!$L$4:$P$600,4,FALSE),"Pend")</f>
        <v>Pend</v>
      </c>
      <c r="AR1159" t="str">
        <f>IFERROR(VLOOKUP(D1159,Manual!$C$1:$E$22,2,FALSE),"Pend")</f>
        <v>Pend</v>
      </c>
      <c r="AS1159" t="str">
        <f t="shared" si="416"/>
        <v/>
      </c>
      <c r="AT1159" t="str">
        <f t="shared" si="417"/>
        <v/>
      </c>
      <c r="AU1159" s="51" t="str">
        <f t="shared" si="418"/>
        <v/>
      </c>
      <c r="AV1159" s="12">
        <f>IFERROR(VLOOKUP(D1159,'Receivable Invoice Detail'!$S$1:$U$3014,3,FALSE),0)</f>
        <v>0</v>
      </c>
      <c r="AW1159" s="12">
        <f t="shared" si="419"/>
        <v>0</v>
      </c>
    </row>
    <row r="1160" spans="1:49" x14ac:dyDescent="0.25">
      <c r="A1160" s="2">
        <v>0</v>
      </c>
      <c r="B1160" s="2" t="s">
        <v>246</v>
      </c>
      <c r="C1160" s="2" t="s">
        <v>247</v>
      </c>
      <c r="D1160" s="2"/>
      <c r="E1160" s="2" t="s">
        <v>248</v>
      </c>
      <c r="F1160" s="3">
        <v>45966.561018518521</v>
      </c>
      <c r="G1160" s="3">
        <v>45968.503946759258</v>
      </c>
      <c r="H1160" s="2"/>
      <c r="I1160" s="2" t="s">
        <v>40</v>
      </c>
      <c r="J1160" s="2" t="s">
        <v>22</v>
      </c>
      <c r="K1160" s="2">
        <v>1</v>
      </c>
      <c r="L1160" s="2">
        <v>886.92</v>
      </c>
      <c r="M1160" s="2">
        <v>0</v>
      </c>
      <c r="N1160" s="2">
        <v>630.10905244610433</v>
      </c>
      <c r="O1160" s="2">
        <v>778</v>
      </c>
      <c r="P1160" s="2">
        <v>108.92</v>
      </c>
      <c r="Q1160" s="2">
        <v>886.92</v>
      </c>
      <c r="R1160" s="2" t="s">
        <v>29</v>
      </c>
      <c r="S1160" s="2"/>
      <c r="T1160" s="2">
        <f t="shared" si="401"/>
        <v>0</v>
      </c>
      <c r="U1160" s="18">
        <f t="shared" si="402"/>
        <v>11</v>
      </c>
      <c r="V1160" s="18">
        <f t="shared" si="403"/>
        <v>2025</v>
      </c>
      <c r="W1160" s="18" t="str">
        <f t="shared" si="404"/>
        <v/>
      </c>
      <c r="X1160" s="18" t="str">
        <f t="shared" si="405"/>
        <v/>
      </c>
      <c r="Y1160" s="2">
        <f t="shared" si="398"/>
        <v>0.71044632260644069</v>
      </c>
      <c r="Z1160" t="str">
        <f t="shared" si="399"/>
        <v>SO18175</v>
      </c>
      <c r="AA1160" s="11">
        <f t="shared" si="406"/>
        <v>45966.561018518521</v>
      </c>
      <c r="AB1160" s="5" t="str">
        <f t="shared" si="407"/>
        <v>No Inv</v>
      </c>
      <c r="AC1160" s="5" t="str">
        <f>IFERROR(VLOOKUP(D1160,CAARStatus!$A$2:$AA$1600,22,FALSE),"Not invoiced")</f>
        <v>Not invoiced</v>
      </c>
      <c r="AD1160" s="11" t="str">
        <f>IF(AC1160="Paid",IFERROR(VLOOKUP(D1160,CAARStatus!$A$2:$AA$1600,6,FALSE),"Pending"),"Pending")</f>
        <v>Pending</v>
      </c>
      <c r="AE1160" s="5" t="str">
        <f t="shared" si="408"/>
        <v>3032084</v>
      </c>
      <c r="AF1160" s="5" t="str">
        <f t="shared" si="409"/>
        <v>Flowstar Industrial Inc</v>
      </c>
      <c r="AG1160" s="5" t="str">
        <f t="shared" si="410"/>
        <v>CAD</v>
      </c>
      <c r="AH1160" s="5">
        <f t="shared" si="411"/>
        <v>778</v>
      </c>
      <c r="AI1160" s="12">
        <f>IF(L1160-N1160=0,VLOOKUP(U1160,rate!A$4:B$15,2,FALSE)*AH1160,IF(AG1160="USD",O1160,AH1160*Y1160))</f>
        <v>552.72723898781089</v>
      </c>
      <c r="AJ1160" s="13">
        <f t="shared" si="412"/>
        <v>0.71044632260644069</v>
      </c>
      <c r="AK1160" s="13">
        <f>-IF(AG1160="CAD",IFERROR(VLOOKUP(D1160,CAARStatus!$A$1:$Y$1600,16,FALSE),0),0)</f>
        <v>0</v>
      </c>
      <c r="AL1160" s="13">
        <f>-IF(AG1160="USD",IFERROR(VLOOKUP(D1160,CAARStatus!$A$1:$Y$1600,11,FALSE),0),0)</f>
        <v>0</v>
      </c>
      <c r="AM1160" s="22">
        <f t="shared" si="413"/>
        <v>778</v>
      </c>
      <c r="AN1160" s="12" t="str">
        <f t="shared" si="414"/>
        <v/>
      </c>
      <c r="AO1160" s="12" t="str">
        <f t="shared" si="415"/>
        <v>Pend</v>
      </c>
      <c r="AP1160" t="str">
        <f t="shared" si="400"/>
        <v>Pend</v>
      </c>
      <c r="AQ1160" t="str">
        <f>IFERROR(VLOOKUP(Z1160,InvBal!$L$4:$P$600,4,FALSE),"Pend")</f>
        <v>Pend</v>
      </c>
      <c r="AR1160" t="str">
        <f>IFERROR(VLOOKUP(D1160,Manual!$C$1:$E$22,2,FALSE),"Pend")</f>
        <v>Pend</v>
      </c>
      <c r="AS1160" t="str">
        <f t="shared" si="416"/>
        <v/>
      </c>
      <c r="AT1160" t="str">
        <f t="shared" si="417"/>
        <v/>
      </c>
      <c r="AU1160" s="51" t="str">
        <f t="shared" si="418"/>
        <v/>
      </c>
      <c r="AV1160" s="12">
        <f>IFERROR(VLOOKUP(D1160,'Receivable Invoice Detail'!$S$1:$U$3014,3,FALSE),0)</f>
        <v>0</v>
      </c>
      <c r="AW1160" s="12">
        <f t="shared" si="419"/>
        <v>0</v>
      </c>
    </row>
    <row r="1161" spans="1:49" x14ac:dyDescent="0.25">
      <c r="A1161" s="2">
        <v>2</v>
      </c>
      <c r="B1161" s="2" t="s">
        <v>249</v>
      </c>
      <c r="C1161" s="2" t="s">
        <v>250</v>
      </c>
      <c r="D1161" s="2" t="s">
        <v>3349</v>
      </c>
      <c r="E1161" s="2" t="s">
        <v>70</v>
      </c>
      <c r="F1161" s="3">
        <v>45966.574872685182</v>
      </c>
      <c r="G1161" s="3">
        <v>45968.471875000003</v>
      </c>
      <c r="H1161" s="4">
        <v>45986</v>
      </c>
      <c r="I1161" s="2" t="s">
        <v>71</v>
      </c>
      <c r="J1161" s="2" t="s">
        <v>51</v>
      </c>
      <c r="K1161" s="2">
        <v>0.70878099083561219</v>
      </c>
      <c r="L1161" s="2">
        <v>5656.4863502806011</v>
      </c>
      <c r="M1161" s="2">
        <v>0</v>
      </c>
      <c r="N1161" s="2">
        <v>4009.21</v>
      </c>
      <c r="O1161" s="2">
        <v>4009.21</v>
      </c>
      <c r="P1161" s="2"/>
      <c r="Q1161" s="2">
        <v>4009.21</v>
      </c>
      <c r="R1161" s="2" t="s">
        <v>44</v>
      </c>
      <c r="S1161" s="2"/>
      <c r="T1161" s="2">
        <f t="shared" si="401"/>
        <v>2</v>
      </c>
      <c r="U1161" s="18">
        <f t="shared" si="402"/>
        <v>11</v>
      </c>
      <c r="V1161" s="18">
        <f t="shared" si="403"/>
        <v>2025</v>
      </c>
      <c r="W1161" s="18" t="str">
        <f t="shared" si="404"/>
        <v/>
      </c>
      <c r="X1161" s="18" t="str">
        <f t="shared" si="405"/>
        <v/>
      </c>
      <c r="Y1161" s="2">
        <f t="shared" si="398"/>
        <v>0.70878099083561219</v>
      </c>
      <c r="Z1161" t="str">
        <f t="shared" si="399"/>
        <v>SO18176</v>
      </c>
      <c r="AA1161" s="11">
        <f t="shared" si="406"/>
        <v>45966.574872685182</v>
      </c>
      <c r="AB1161" s="5" t="str">
        <f t="shared" si="407"/>
        <v>INV13677</v>
      </c>
      <c r="AC1161" s="5" t="str">
        <f>IFERROR(VLOOKUP(D1161,CAARStatus!$A$2:$AA$1600,22,FALSE),"Not invoiced")</f>
        <v>Approved</v>
      </c>
      <c r="AD1161" s="11" t="str">
        <f>IF(AC1161="Paid",IFERROR(VLOOKUP(D1161,CAARStatus!$A$2:$AA$1600,6,FALSE),"Pending"),"Pending")</f>
        <v>Pending</v>
      </c>
      <c r="AE1161" s="5" t="str">
        <f t="shared" si="408"/>
        <v>P370432</v>
      </c>
      <c r="AF1161" s="5" t="str">
        <f t="shared" si="409"/>
        <v>Covia Corp - Junction City</v>
      </c>
      <c r="AG1161" s="5" t="str">
        <f t="shared" si="410"/>
        <v>USD</v>
      </c>
      <c r="AH1161" s="5">
        <f t="shared" si="411"/>
        <v>5656.4863502806011</v>
      </c>
      <c r="AI1161" s="12">
        <f>IF(L1161-N1161=0,VLOOKUP(U1161,rate!A$4:B$15,2,FALSE)*AH1161,IF(AG1161="USD",O1161,AH1161*Y1161))</f>
        <v>4009.21</v>
      </c>
      <c r="AJ1161" s="13">
        <f t="shared" si="412"/>
        <v>0.70878099083561219</v>
      </c>
      <c r="AK1161" s="13">
        <f>-IF(AG1161="CAD",IFERROR(VLOOKUP(D1161,CAARStatus!$A$1:$Y$1600,16,FALSE),0),0)</f>
        <v>0</v>
      </c>
      <c r="AL1161" s="13">
        <f>-IF(AG1161="USD",IFERROR(VLOOKUP(D1161,CAARStatus!$A$1:$Y$1600,11,FALSE),0),0)</f>
        <v>-209.45</v>
      </c>
      <c r="AM1161" s="22" t="str">
        <f t="shared" si="413"/>
        <v/>
      </c>
      <c r="AN1161" s="12">
        <f t="shared" si="414"/>
        <v>3799.76</v>
      </c>
      <c r="AO1161" s="12" t="str">
        <f t="shared" si="415"/>
        <v>Pend</v>
      </c>
      <c r="AP1161" t="str">
        <f t="shared" si="400"/>
        <v>XX</v>
      </c>
      <c r="AQ1161">
        <f>IFERROR(VLOOKUP(Z1161,InvBal!$L$4:$P$600,4,FALSE),"Pend")</f>
        <v>0</v>
      </c>
      <c r="AR1161" t="str">
        <f>IFERROR(VLOOKUP(D1161,Manual!$C$1:$E$22,2,FALSE),"Pend")</f>
        <v>Pend</v>
      </c>
      <c r="AS1161" t="str">
        <f t="shared" si="416"/>
        <v/>
      </c>
      <c r="AT1161" t="str">
        <f t="shared" si="417"/>
        <v>Yes</v>
      </c>
      <c r="AU1161" s="51" t="str">
        <f t="shared" si="418"/>
        <v/>
      </c>
      <c r="AV1161" s="12">
        <f>IFERROR(VLOOKUP(D1161,'Receivable Invoice Detail'!$S$1:$U$3014,3,FALSE),0)</f>
        <v>65</v>
      </c>
      <c r="AW1161" s="12">
        <f t="shared" si="419"/>
        <v>0</v>
      </c>
    </row>
    <row r="1162" spans="1:49" x14ac:dyDescent="0.25">
      <c r="A1162" s="2"/>
      <c r="B1162" s="2"/>
      <c r="C1162" s="2"/>
      <c r="D1162" s="2" t="s">
        <v>6327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>
        <f t="shared" si="401"/>
        <v>2</v>
      </c>
      <c r="U1162" s="18">
        <f t="shared" si="402"/>
        <v>11</v>
      </c>
      <c r="V1162" s="18">
        <f t="shared" si="403"/>
        <v>2025</v>
      </c>
      <c r="W1162" s="18" t="str">
        <f t="shared" si="404"/>
        <v/>
      </c>
      <c r="X1162" s="18" t="str">
        <f t="shared" si="405"/>
        <v/>
      </c>
      <c r="Y1162" s="2">
        <f t="shared" si="398"/>
        <v>0.70878099083561219</v>
      </c>
      <c r="Z1162" t="str">
        <f t="shared" si="399"/>
        <v>SO18176</v>
      </c>
      <c r="AA1162" s="11">
        <f t="shared" si="406"/>
        <v>45966.574872685182</v>
      </c>
      <c r="AB1162" s="5" t="str">
        <f t="shared" si="407"/>
        <v>INV13840</v>
      </c>
      <c r="AC1162" s="5" t="str">
        <f>IFERROR(VLOOKUP(D1162,CAARStatus!$A$2:$AA$1600,22,FALSE),"Not invoiced")</f>
        <v>Not invoiced</v>
      </c>
      <c r="AD1162" s="11" t="str">
        <f>IF(AC1162="Paid",IFERROR(VLOOKUP(D1162,CAARStatus!$A$2:$AA$1600,6,FALSE),"Pending"),"Pending")</f>
        <v>Pending</v>
      </c>
      <c r="AE1162" s="5" t="str">
        <f t="shared" si="408"/>
        <v>P370432</v>
      </c>
      <c r="AF1162" s="5" t="str">
        <f t="shared" si="409"/>
        <v>Covia Corp - Junction City</v>
      </c>
      <c r="AG1162" s="5" t="str">
        <f t="shared" si="410"/>
        <v>USD</v>
      </c>
      <c r="AH1162" s="5">
        <f t="shared" si="411"/>
        <v>0</v>
      </c>
      <c r="AI1162" s="12">
        <f>IF(L1162-N1162=0,VLOOKUP(U1162,rate!A$4:B$15,2,FALSE)*AH1162,IF(AG1162="USD",O1162,AH1162*Y1162))</f>
        <v>0</v>
      </c>
      <c r="AJ1162" s="13">
        <f t="shared" si="412"/>
        <v>0</v>
      </c>
      <c r="AK1162" s="13">
        <f>-IF(AG1162="CAD",IFERROR(VLOOKUP(D1162,CAARStatus!$A$1:$Y$1600,16,FALSE),0),0)</f>
        <v>0</v>
      </c>
      <c r="AL1162" s="13">
        <f>-IF(AG1162="USD",IFERROR(VLOOKUP(D1162,CAARStatus!$A$1:$Y$1600,11,FALSE),0),0)</f>
        <v>0</v>
      </c>
      <c r="AM1162" s="22" t="str">
        <f t="shared" si="413"/>
        <v/>
      </c>
      <c r="AN1162" s="12">
        <f t="shared" si="414"/>
        <v>0</v>
      </c>
      <c r="AO1162" s="12" t="str">
        <f t="shared" si="415"/>
        <v>Pend</v>
      </c>
      <c r="AP1162" t="str">
        <f t="shared" si="400"/>
        <v>XX</v>
      </c>
      <c r="AQ1162">
        <f>IFERROR(VLOOKUP(Z1162,InvBal!$L$4:$P$600,4,FALSE),"Pend")</f>
        <v>0</v>
      </c>
      <c r="AR1162" t="str">
        <f>IFERROR(VLOOKUP(D1162,Manual!$C$1:$E$22,2,FALSE),"Pend")</f>
        <v>Pend</v>
      </c>
      <c r="AS1162" t="str">
        <f t="shared" si="416"/>
        <v/>
      </c>
      <c r="AT1162" t="str">
        <f t="shared" si="417"/>
        <v/>
      </c>
      <c r="AU1162" s="51" t="str">
        <f t="shared" si="418"/>
        <v/>
      </c>
      <c r="AV1162" s="12">
        <f>IFERROR(VLOOKUP(D1162,'Receivable Invoice Detail'!$S$1:$U$3014,3,FALSE),0)</f>
        <v>0</v>
      </c>
      <c r="AW1162" s="12">
        <f t="shared" si="419"/>
        <v>0</v>
      </c>
    </row>
    <row r="1163" spans="1:49" ht="30" x14ac:dyDescent="0.25">
      <c r="A1163" s="2">
        <v>1</v>
      </c>
      <c r="B1163" s="2" t="s">
        <v>24</v>
      </c>
      <c r="C1163" s="2" t="s">
        <v>25</v>
      </c>
      <c r="D1163" s="2" t="s">
        <v>5961</v>
      </c>
      <c r="E1163" s="2" t="s">
        <v>26</v>
      </c>
      <c r="F1163" s="3">
        <v>45966.736435185187</v>
      </c>
      <c r="G1163" s="3">
        <v>45989.504849537043</v>
      </c>
      <c r="H1163" s="4">
        <v>46010</v>
      </c>
      <c r="I1163" s="2" t="s">
        <v>21</v>
      </c>
      <c r="J1163" s="2" t="s">
        <v>22</v>
      </c>
      <c r="K1163" s="2">
        <v>1</v>
      </c>
      <c r="L1163" s="2">
        <v>1192.08</v>
      </c>
      <c r="M1163" s="2">
        <v>0</v>
      </c>
      <c r="N1163" s="2">
        <v>852.95743040706941</v>
      </c>
      <c r="O1163" s="2">
        <v>1135.32</v>
      </c>
      <c r="P1163" s="2">
        <v>56.76</v>
      </c>
      <c r="Q1163" s="2">
        <v>1192.08</v>
      </c>
      <c r="R1163" s="2" t="s">
        <v>44</v>
      </c>
      <c r="S1163" s="2"/>
      <c r="T1163" s="2">
        <f t="shared" si="401"/>
        <v>1</v>
      </c>
      <c r="U1163" s="18">
        <f t="shared" si="402"/>
        <v>11</v>
      </c>
      <c r="V1163" s="18">
        <f t="shared" si="403"/>
        <v>2025</v>
      </c>
      <c r="W1163" s="18" t="str">
        <f t="shared" si="404"/>
        <v/>
      </c>
      <c r="X1163" s="18" t="str">
        <f t="shared" si="405"/>
        <v/>
      </c>
      <c r="Y1163" s="2">
        <f t="shared" si="398"/>
        <v>0.71552029260374261</v>
      </c>
      <c r="Z1163" t="str">
        <f t="shared" si="399"/>
        <v>SO18179</v>
      </c>
      <c r="AA1163" s="11">
        <f t="shared" si="406"/>
        <v>45966.736435185187</v>
      </c>
      <c r="AB1163" s="5" t="str">
        <f t="shared" si="407"/>
        <v>INV13732</v>
      </c>
      <c r="AC1163" s="5" t="str">
        <f>IFERROR(VLOOKUP(D1163,CAARStatus!$A$2:$AA$1600,22,FALSE),"Not invoiced")</f>
        <v>Approved</v>
      </c>
      <c r="AD1163" s="11" t="str">
        <f>IF(AC1163="Paid",IFERROR(VLOOKUP(D1163,CAARStatus!$A$2:$AA$1600,6,FALSE),"Pending"),"Pending")</f>
        <v>Pending</v>
      </c>
      <c r="AE1163" s="5" t="str">
        <f t="shared" si="408"/>
        <v>4500624028</v>
      </c>
      <c r="AF1163" s="5" t="str">
        <f t="shared" si="409"/>
        <v>Resolute Forest Products - Clermont</v>
      </c>
      <c r="AG1163" s="5" t="str">
        <f t="shared" si="410"/>
        <v>CAD</v>
      </c>
      <c r="AH1163" s="5">
        <f t="shared" si="411"/>
        <v>1135.32</v>
      </c>
      <c r="AI1163" s="12">
        <f>IF(L1163-N1163=0,VLOOKUP(U1163,rate!A$4:B$15,2,FALSE)*AH1163,IF(AG1163="USD",O1163,AH1163*Y1163))</f>
        <v>812.34449859888105</v>
      </c>
      <c r="AJ1163" s="13">
        <f t="shared" si="412"/>
        <v>0.71552029260374261</v>
      </c>
      <c r="AK1163" s="13">
        <f>-IF(AG1163="CAD",IFERROR(VLOOKUP(D1163,CAARStatus!$A$1:$Y$1600,16,FALSE),0),0)</f>
        <v>-1135.32</v>
      </c>
      <c r="AL1163" s="13">
        <f>-IF(AG1163="USD",IFERROR(VLOOKUP(D1163,CAARStatus!$A$1:$Y$1600,11,FALSE),0),0)</f>
        <v>0</v>
      </c>
      <c r="AM1163" s="22">
        <f t="shared" si="413"/>
        <v>0</v>
      </c>
      <c r="AN1163" s="12" t="str">
        <f t="shared" si="414"/>
        <v/>
      </c>
      <c r="AO1163" s="12" t="str">
        <f t="shared" si="415"/>
        <v>Pend</v>
      </c>
      <c r="AP1163" t="str">
        <f t="shared" si="400"/>
        <v>Pend</v>
      </c>
      <c r="AQ1163" t="str">
        <f>IFERROR(VLOOKUP(Z1163,InvBal!$L$4:$P$600,4,FALSE),"Pend")</f>
        <v>Pend</v>
      </c>
      <c r="AR1163" t="str">
        <f>IFERROR(VLOOKUP(D1163,Manual!$C$1:$E$22,2,FALSE),"Pend")</f>
        <v>Pend</v>
      </c>
      <c r="AS1163" t="str">
        <f t="shared" si="416"/>
        <v/>
      </c>
      <c r="AT1163" t="str">
        <f t="shared" si="417"/>
        <v>Yes</v>
      </c>
      <c r="AU1163" s="51" t="str">
        <f t="shared" si="418"/>
        <v/>
      </c>
      <c r="AV1163" s="12">
        <f>IFERROR(VLOOKUP(D1163,'Receivable Invoice Detail'!$S$1:$U$3014,3,FALSE),0)</f>
        <v>0</v>
      </c>
      <c r="AW1163" s="12">
        <f t="shared" si="419"/>
        <v>0</v>
      </c>
    </row>
    <row r="1164" spans="1:49" x14ac:dyDescent="0.25">
      <c r="A1164" s="2">
        <v>2</v>
      </c>
      <c r="B1164" s="2" t="s">
        <v>152</v>
      </c>
      <c r="C1164" s="2" t="s">
        <v>153</v>
      </c>
      <c r="D1164" s="2" t="s">
        <v>3377</v>
      </c>
      <c r="E1164" s="2" t="s">
        <v>154</v>
      </c>
      <c r="F1164" s="3">
        <v>45966.750625000001</v>
      </c>
      <c r="G1164" s="3">
        <v>45979.739386574067</v>
      </c>
      <c r="H1164" s="4">
        <v>45986</v>
      </c>
      <c r="I1164" s="2" t="s">
        <v>36</v>
      </c>
      <c r="J1164" s="2" t="s">
        <v>22</v>
      </c>
      <c r="K1164" s="2">
        <v>1</v>
      </c>
      <c r="L1164" s="2">
        <v>34034.85</v>
      </c>
      <c r="M1164" s="2">
        <v>0</v>
      </c>
      <c r="N1164" s="2">
        <v>24316.767456277161</v>
      </c>
      <c r="O1164" s="2">
        <v>32414.15</v>
      </c>
      <c r="P1164" s="2">
        <v>1620.7</v>
      </c>
      <c r="Q1164" s="2">
        <v>34034.85</v>
      </c>
      <c r="R1164" s="2" t="s">
        <v>44</v>
      </c>
      <c r="S1164" s="2"/>
      <c r="T1164" s="2">
        <f t="shared" si="401"/>
        <v>2</v>
      </c>
      <c r="U1164" s="18">
        <f t="shared" si="402"/>
        <v>11</v>
      </c>
      <c r="V1164" s="18">
        <f t="shared" si="403"/>
        <v>2025</v>
      </c>
      <c r="W1164" s="18">
        <f t="shared" si="404"/>
        <v>11</v>
      </c>
      <c r="X1164" s="18">
        <f t="shared" si="405"/>
        <v>2025</v>
      </c>
      <c r="Y1164" s="2">
        <f t="shared" si="398"/>
        <v>0.7144667144493706</v>
      </c>
      <c r="Z1164" t="str">
        <f t="shared" si="399"/>
        <v>SO18180</v>
      </c>
      <c r="AA1164" s="11">
        <f t="shared" si="406"/>
        <v>45966.750625000001</v>
      </c>
      <c r="AB1164" s="5" t="str">
        <f t="shared" si="407"/>
        <v>INV13694</v>
      </c>
      <c r="AC1164" s="5" t="str">
        <f>IFERROR(VLOOKUP(D1164,CAARStatus!$A$2:$AA$1600,22,FALSE),"Not invoiced")</f>
        <v>Paid</v>
      </c>
      <c r="AD1164" s="11">
        <f>IF(AC1164="Paid",IFERROR(VLOOKUP(D1164,CAARStatus!$A$2:$AA$1600,6,FALSE),"Pending"),"Pending")</f>
        <v>45988</v>
      </c>
      <c r="AE1164" s="5" t="str">
        <f t="shared" si="408"/>
        <v>815762</v>
      </c>
      <c r="AF1164" s="5" t="str">
        <f t="shared" si="409"/>
        <v>Diamond Equipment Group Inc</v>
      </c>
      <c r="AG1164" s="5" t="str">
        <f t="shared" si="410"/>
        <v>CAD</v>
      </c>
      <c r="AH1164" s="5">
        <f t="shared" si="411"/>
        <v>32414.15</v>
      </c>
      <c r="AI1164" s="12">
        <f>IF(L1164-N1164=0,VLOOKUP(U1164,rate!A$4:B$15,2,FALSE)*AH1164,IF(AG1164="USD",O1164,AH1164*Y1164))</f>
        <v>23158.831252169068</v>
      </c>
      <c r="AJ1164" s="13">
        <f t="shared" si="412"/>
        <v>0.7144667144493706</v>
      </c>
      <c r="AK1164" s="13">
        <f>-IF(AG1164="CAD",IFERROR(VLOOKUP(D1164,CAARStatus!$A$1:$Y$1600,16,FALSE),0),0)</f>
        <v>-32414.15</v>
      </c>
      <c r="AL1164" s="13">
        <f>-IF(AG1164="USD",IFERROR(VLOOKUP(D1164,CAARStatus!$A$1:$Y$1600,11,FALSE),0),0)</f>
        <v>0</v>
      </c>
      <c r="AM1164" s="22">
        <f t="shared" si="413"/>
        <v>0</v>
      </c>
      <c r="AN1164" s="12" t="str">
        <f t="shared" si="414"/>
        <v/>
      </c>
      <c r="AO1164" s="12" t="str">
        <f t="shared" si="415"/>
        <v>Yes</v>
      </c>
      <c r="AP1164" t="str">
        <f t="shared" si="400"/>
        <v>XX</v>
      </c>
      <c r="AQ1164" t="str">
        <f>IFERROR(VLOOKUP(Z1164,InvBal!$L$4:$P$600,4,FALSE),"Pend")</f>
        <v>Yes</v>
      </c>
      <c r="AR1164" t="str">
        <f>IFERROR(VLOOKUP(D1164,Manual!$C$1:$E$22,2,FALSE),"Pend")</f>
        <v>Pend</v>
      </c>
      <c r="AS1164" t="str">
        <f t="shared" si="416"/>
        <v>Yes</v>
      </c>
      <c r="AT1164" t="str">
        <f t="shared" si="417"/>
        <v>Yes</v>
      </c>
      <c r="AU1164" s="51" t="str">
        <f t="shared" si="418"/>
        <v>Yes</v>
      </c>
      <c r="AV1164" s="12">
        <f>IFERROR(VLOOKUP(D1164,'Receivable Invoice Detail'!$S$1:$U$3014,3,FALSE),0)</f>
        <v>0</v>
      </c>
      <c r="AW1164" s="12">
        <f t="shared" si="419"/>
        <v>23158.831252169068</v>
      </c>
    </row>
    <row r="1165" spans="1:49" x14ac:dyDescent="0.25">
      <c r="A1165" s="2"/>
      <c r="B1165" s="2"/>
      <c r="C1165" s="2"/>
      <c r="D1165" s="2" t="s">
        <v>3376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>
        <f t="shared" si="401"/>
        <v>2</v>
      </c>
      <c r="U1165" s="18">
        <f t="shared" si="402"/>
        <v>11</v>
      </c>
      <c r="V1165" s="18">
        <f t="shared" si="403"/>
        <v>2025</v>
      </c>
      <c r="W1165" s="18" t="str">
        <f t="shared" si="404"/>
        <v/>
      </c>
      <c r="X1165" s="18" t="str">
        <f t="shared" si="405"/>
        <v/>
      </c>
      <c r="Y1165" s="17">
        <f t="shared" si="398"/>
        <v>0.7144667144493706</v>
      </c>
      <c r="Z1165" t="str">
        <f t="shared" si="399"/>
        <v>SO18180</v>
      </c>
      <c r="AA1165" s="11">
        <f t="shared" si="406"/>
        <v>45966.750625000001</v>
      </c>
      <c r="AB1165" s="5" t="str">
        <f t="shared" si="407"/>
        <v>INV13662</v>
      </c>
      <c r="AC1165" s="5" t="str">
        <f>IFERROR(VLOOKUP(D1165,CAARStatus!$A$2:$AA$1600,22,FALSE),"Not invoiced")</f>
        <v>Not invoiced</v>
      </c>
      <c r="AD1165" s="11" t="str">
        <f>IF(AC1165="Paid",IFERROR(VLOOKUP(D1165,CAARStatus!$A$2:$AA$1600,6,FALSE),"Pending"),"Pending")</f>
        <v>Pending</v>
      </c>
      <c r="AE1165" s="5" t="str">
        <f t="shared" si="408"/>
        <v>815762</v>
      </c>
      <c r="AF1165" s="5" t="str">
        <f t="shared" si="409"/>
        <v>Diamond Equipment Group Inc</v>
      </c>
      <c r="AG1165" s="5" t="str">
        <f t="shared" si="410"/>
        <v>CAD</v>
      </c>
      <c r="AH1165" s="5">
        <f t="shared" si="411"/>
        <v>0</v>
      </c>
      <c r="AI1165" s="12">
        <f>IF(L1165-N1165=0,VLOOKUP(U1165,rate!A$4:B$15,2,FALSE)*AH1165,IF(AG1165="USD",O1165,AH1165*Y1165))</f>
        <v>0</v>
      </c>
      <c r="AJ1165" s="13">
        <f t="shared" si="412"/>
        <v>0</v>
      </c>
      <c r="AK1165" s="13">
        <f>-IF(AG1165="CAD",IFERROR(VLOOKUP(D1165,CAARStatus!$A$1:$Y$1600,16,FALSE),0),0)</f>
        <v>0</v>
      </c>
      <c r="AL1165" s="13">
        <f>-IF(AG1165="USD",IFERROR(VLOOKUP(D1165,CAARStatus!$A$1:$Y$1600,11,FALSE),0),0)</f>
        <v>0</v>
      </c>
      <c r="AM1165" s="22">
        <f t="shared" si="413"/>
        <v>0</v>
      </c>
      <c r="AN1165" s="12" t="str">
        <f t="shared" si="414"/>
        <v/>
      </c>
      <c r="AO1165" s="12" t="str">
        <f t="shared" si="415"/>
        <v>Pend</v>
      </c>
      <c r="AP1165" t="str">
        <f t="shared" si="400"/>
        <v>XX</v>
      </c>
      <c r="AQ1165" t="str">
        <f>IFERROR(VLOOKUP(Z1165,InvBal!$L$4:$P$600,4,FALSE),"Pend")</f>
        <v>Yes</v>
      </c>
      <c r="AR1165" t="str">
        <f>IFERROR(VLOOKUP(D1165,Manual!$C$1:$E$22,2,FALSE),"Pend")</f>
        <v>Pend</v>
      </c>
      <c r="AS1165" t="str">
        <f t="shared" si="416"/>
        <v>Yes</v>
      </c>
      <c r="AT1165" t="str">
        <f t="shared" si="417"/>
        <v/>
      </c>
      <c r="AU1165" s="51" t="str">
        <f t="shared" si="418"/>
        <v/>
      </c>
      <c r="AV1165" s="12">
        <f>IFERROR(VLOOKUP(D1165,'Receivable Invoice Detail'!$S$1:$U$3014,3,FALSE),0)</f>
        <v>0</v>
      </c>
      <c r="AW1165" s="12">
        <f t="shared" si="419"/>
        <v>0</v>
      </c>
    </row>
    <row r="1166" spans="1:49" ht="30" x14ac:dyDescent="0.25">
      <c r="A1166" s="2">
        <v>1</v>
      </c>
      <c r="B1166" s="2" t="s">
        <v>184</v>
      </c>
      <c r="C1166" s="2" t="s">
        <v>185</v>
      </c>
      <c r="D1166" s="2" t="s">
        <v>3370</v>
      </c>
      <c r="E1166" s="2" t="s">
        <v>159</v>
      </c>
      <c r="F1166" s="3">
        <v>45967.343518518523</v>
      </c>
      <c r="G1166" s="3">
        <v>45975.565798611111</v>
      </c>
      <c r="H1166" s="4">
        <v>45978</v>
      </c>
      <c r="I1166" s="2" t="s">
        <v>40</v>
      </c>
      <c r="J1166" s="2" t="s">
        <v>51</v>
      </c>
      <c r="K1166" s="2">
        <v>0.71416191615311519</v>
      </c>
      <c r="L1166" s="2">
        <v>32327.13685484487</v>
      </c>
      <c r="M1166" s="2">
        <v>0</v>
      </c>
      <c r="N1166" s="2">
        <v>23086.81</v>
      </c>
      <c r="O1166" s="2">
        <v>23086.81</v>
      </c>
      <c r="P1166" s="2"/>
      <c r="Q1166" s="2">
        <v>23086.81</v>
      </c>
      <c r="R1166" s="2" t="s">
        <v>126</v>
      </c>
      <c r="S1166" s="2"/>
      <c r="T1166" s="2">
        <f t="shared" si="401"/>
        <v>1</v>
      </c>
      <c r="U1166" s="18">
        <f t="shared" si="402"/>
        <v>11</v>
      </c>
      <c r="V1166" s="18">
        <f t="shared" si="403"/>
        <v>2025</v>
      </c>
      <c r="W1166" s="18" t="str">
        <f t="shared" si="404"/>
        <v/>
      </c>
      <c r="X1166" s="18" t="str">
        <f t="shared" si="405"/>
        <v/>
      </c>
      <c r="Y1166" s="17">
        <f t="shared" si="398"/>
        <v>0.71416191615311519</v>
      </c>
      <c r="Z1166" t="str">
        <f t="shared" si="399"/>
        <v>SO18181</v>
      </c>
      <c r="AA1166" s="11">
        <f t="shared" si="406"/>
        <v>45967.343518518523</v>
      </c>
      <c r="AB1166" s="5" t="str">
        <f t="shared" si="407"/>
        <v>INV13645</v>
      </c>
      <c r="AC1166" s="5" t="str">
        <f>IFERROR(VLOOKUP(D1166,CAARStatus!$A$2:$AA$1600,22,FALSE),"Not invoiced")</f>
        <v>Approved</v>
      </c>
      <c r="AD1166" s="11" t="str">
        <f>IF(AC1166="Paid",IFERROR(VLOOKUP(D1166,CAARStatus!$A$2:$AA$1600,6,FALSE),"Pending"),"Pending")</f>
        <v>Pending</v>
      </c>
      <c r="AE1166" s="5" t="str">
        <f t="shared" si="408"/>
        <v>4501327269</v>
      </c>
      <c r="AF1166" s="5" t="str">
        <f t="shared" si="409"/>
        <v>Barrick Gold - Pueblo Viejo Dominicana Corporation</v>
      </c>
      <c r="AG1166" s="5" t="str">
        <f t="shared" si="410"/>
        <v>USD</v>
      </c>
      <c r="AH1166" s="5">
        <f t="shared" si="411"/>
        <v>32327.13685484487</v>
      </c>
      <c r="AI1166" s="12">
        <f>IF(L1166-N1166=0,VLOOKUP(U1166,rate!A$4:B$15,2,FALSE)*AH1166,IF(AG1166="USD",O1166,AH1166*Y1166))</f>
        <v>23086.81</v>
      </c>
      <c r="AJ1166" s="13">
        <f t="shared" si="412"/>
        <v>0.71416191615311519</v>
      </c>
      <c r="AK1166" s="13">
        <f>-IF(AG1166="CAD",IFERROR(VLOOKUP(D1166,CAARStatus!$A$1:$Y$1600,16,FALSE),0),0)</f>
        <v>0</v>
      </c>
      <c r="AL1166" s="13">
        <f>-IF(AG1166="USD",IFERROR(VLOOKUP(D1166,CAARStatus!$A$1:$Y$1600,11,FALSE),0),0)</f>
        <v>-20955.54</v>
      </c>
      <c r="AM1166" s="22" t="str">
        <f t="shared" si="413"/>
        <v/>
      </c>
      <c r="AN1166" s="12">
        <f t="shared" si="414"/>
        <v>2131.2700000000004</v>
      </c>
      <c r="AO1166" s="12" t="str">
        <f t="shared" si="415"/>
        <v>Pend</v>
      </c>
      <c r="AP1166" t="str">
        <f t="shared" si="400"/>
        <v>Pend</v>
      </c>
      <c r="AQ1166" t="str">
        <f>IFERROR(VLOOKUP(Z1166,InvBal!$L$4:$P$600,4,FALSE),"Pend")</f>
        <v>Pend</v>
      </c>
      <c r="AR1166" t="str">
        <f>IFERROR(VLOOKUP(D1166,Manual!$C$1:$E$22,2,FALSE),"Pend")</f>
        <v>Pend</v>
      </c>
      <c r="AS1166" t="str">
        <f t="shared" si="416"/>
        <v/>
      </c>
      <c r="AT1166" t="str">
        <f t="shared" si="417"/>
        <v/>
      </c>
      <c r="AU1166" s="51" t="str">
        <f t="shared" si="418"/>
        <v/>
      </c>
      <c r="AV1166" s="12">
        <f>IFERROR(VLOOKUP(D1166,'Receivable Invoice Detail'!$S$1:$U$3014,3,FALSE),0)</f>
        <v>0</v>
      </c>
      <c r="AW1166" s="12">
        <f t="shared" si="419"/>
        <v>0</v>
      </c>
    </row>
    <row r="1167" spans="1:49" x14ac:dyDescent="0.25">
      <c r="A1167" s="2">
        <v>1</v>
      </c>
      <c r="B1167" s="2" t="s">
        <v>253</v>
      </c>
      <c r="C1167" s="2" t="s">
        <v>254</v>
      </c>
      <c r="D1167" s="2" t="s">
        <v>3347</v>
      </c>
      <c r="E1167" s="2" t="s">
        <v>54</v>
      </c>
      <c r="F1167" s="3">
        <v>45967.469837962963</v>
      </c>
      <c r="G1167" s="3">
        <v>45967.681886574072</v>
      </c>
      <c r="H1167" s="4">
        <v>45968</v>
      </c>
      <c r="I1167" s="2" t="s">
        <v>21</v>
      </c>
      <c r="J1167" s="2" t="s">
        <v>22</v>
      </c>
      <c r="K1167" s="2">
        <v>1</v>
      </c>
      <c r="L1167" s="2">
        <v>3554.67</v>
      </c>
      <c r="M1167" s="2">
        <v>3554.67</v>
      </c>
      <c r="N1167" s="2">
        <v>3554.67</v>
      </c>
      <c r="O1167" s="2">
        <v>3385.4</v>
      </c>
      <c r="P1167" s="2">
        <v>169.27</v>
      </c>
      <c r="Q1167" s="2">
        <v>3554.67</v>
      </c>
      <c r="R1167" s="2" t="s">
        <v>44</v>
      </c>
      <c r="S1167" s="2"/>
      <c r="T1167" s="2">
        <f t="shared" si="401"/>
        <v>1</v>
      </c>
      <c r="U1167" s="18">
        <f t="shared" si="402"/>
        <v>11</v>
      </c>
      <c r="V1167" s="18">
        <f t="shared" si="403"/>
        <v>2025</v>
      </c>
      <c r="W1167" s="18">
        <f t="shared" si="404"/>
        <v>12</v>
      </c>
      <c r="X1167" s="18">
        <f t="shared" si="405"/>
        <v>2025</v>
      </c>
      <c r="Y1167" s="17">
        <f t="shared" si="398"/>
        <v>1</v>
      </c>
      <c r="Z1167" t="str">
        <f t="shared" si="399"/>
        <v>SO18184</v>
      </c>
      <c r="AA1167" s="11">
        <f t="shared" si="406"/>
        <v>45967.469837962963</v>
      </c>
      <c r="AB1167" s="5" t="str">
        <f t="shared" si="407"/>
        <v>INV13627</v>
      </c>
      <c r="AC1167" s="5" t="str">
        <f>IFERROR(VLOOKUP(D1167,CAARStatus!$A$2:$AA$1600,22,FALSE),"Not invoiced")</f>
        <v>Paid</v>
      </c>
      <c r="AD1167" s="11">
        <f>IF(AC1167="Paid",IFERROR(VLOOKUP(D1167,CAARStatus!$A$2:$AA$1600,6,FALSE),"Pending"),"Pending")</f>
        <v>46014</v>
      </c>
      <c r="AE1167" s="5" t="str">
        <f t="shared" si="408"/>
        <v>3383</v>
      </c>
      <c r="AF1167" s="5" t="str">
        <f t="shared" si="409"/>
        <v>Les Pompes du St-Laurent Inc.</v>
      </c>
      <c r="AG1167" s="5" t="str">
        <f t="shared" si="410"/>
        <v>CAD</v>
      </c>
      <c r="AH1167" s="5">
        <f t="shared" si="411"/>
        <v>3385.4</v>
      </c>
      <c r="AI1167" s="12">
        <f>IF(L1167-N1167=0,VLOOKUP(U1167,rate!A$4:B$15,2,FALSE)*AH1167,IF(AG1167="USD",O1167,AH1167*Y1167))</f>
        <v>2418.9643695864474</v>
      </c>
      <c r="AJ1167" s="13">
        <f t="shared" si="412"/>
        <v>0.71452837761754806</v>
      </c>
      <c r="AK1167" s="13">
        <f>-IF(AG1167="CAD",IFERROR(VLOOKUP(D1167,CAARStatus!$A$1:$Y$1600,16,FALSE),0),0)</f>
        <v>-3385.4</v>
      </c>
      <c r="AL1167" s="13">
        <f>-IF(AG1167="USD",IFERROR(VLOOKUP(D1167,CAARStatus!$A$1:$Y$1600,11,FALSE),0),0)</f>
        <v>0</v>
      </c>
      <c r="AM1167" s="22">
        <f t="shared" si="413"/>
        <v>0</v>
      </c>
      <c r="AN1167" s="12" t="str">
        <f t="shared" si="414"/>
        <v/>
      </c>
      <c r="AO1167" s="12" t="str">
        <f t="shared" si="415"/>
        <v>Yes</v>
      </c>
      <c r="AP1167" t="str">
        <f t="shared" si="400"/>
        <v>Yes</v>
      </c>
      <c r="AQ1167" t="str">
        <f>IFERROR(VLOOKUP(Z1167,InvBal!$L$4:$P$600,4,FALSE),"Pend")</f>
        <v>Pend</v>
      </c>
      <c r="AR1167" t="str">
        <f>IFERROR(VLOOKUP(D1167,Manual!$C$1:$E$22,2,FALSE),"Pend")</f>
        <v>Pend</v>
      </c>
      <c r="AS1167" t="str">
        <f t="shared" si="416"/>
        <v>Yes</v>
      </c>
      <c r="AT1167" t="str">
        <f t="shared" si="417"/>
        <v>Yes</v>
      </c>
      <c r="AU1167" s="51" t="str">
        <f t="shared" si="418"/>
        <v>Yes</v>
      </c>
      <c r="AV1167" s="12">
        <f>IFERROR(VLOOKUP(D1167,'Receivable Invoice Detail'!$S$1:$U$3014,3,FALSE),0)</f>
        <v>0</v>
      </c>
      <c r="AW1167" s="12">
        <f t="shared" si="419"/>
        <v>2418.9643695864474</v>
      </c>
    </row>
    <row r="1168" spans="1:49" x14ac:dyDescent="0.25">
      <c r="A1168" s="2">
        <v>1</v>
      </c>
      <c r="B1168" s="2" t="s">
        <v>218</v>
      </c>
      <c r="C1168" s="2" t="s">
        <v>219</v>
      </c>
      <c r="D1168" s="2" t="s">
        <v>3358</v>
      </c>
      <c r="E1168" s="2" t="s">
        <v>171</v>
      </c>
      <c r="F1168" s="3">
        <v>45967.512511574067</v>
      </c>
      <c r="G1168" s="3">
        <v>45972.579386574071</v>
      </c>
      <c r="H1168" s="4">
        <v>45975</v>
      </c>
      <c r="I1168" s="2" t="s">
        <v>74</v>
      </c>
      <c r="J1168" s="2" t="s">
        <v>22</v>
      </c>
      <c r="K1168" s="2">
        <v>1</v>
      </c>
      <c r="L1168" s="2">
        <v>1036.67</v>
      </c>
      <c r="M1168" s="2">
        <v>0</v>
      </c>
      <c r="N1168" s="2">
        <v>739.97659103196906</v>
      </c>
      <c r="O1168" s="2">
        <v>987.3</v>
      </c>
      <c r="P1168" s="2">
        <v>49.37</v>
      </c>
      <c r="Q1168" s="2">
        <v>1036.67</v>
      </c>
      <c r="R1168" s="2" t="s">
        <v>44</v>
      </c>
      <c r="S1168" s="2"/>
      <c r="T1168" s="2">
        <f t="shared" si="401"/>
        <v>1</v>
      </c>
      <c r="U1168" s="18">
        <f t="shared" si="402"/>
        <v>11</v>
      </c>
      <c r="V1168" s="18">
        <f t="shared" si="403"/>
        <v>2025</v>
      </c>
      <c r="W1168" s="18">
        <f t="shared" si="404"/>
        <v>12</v>
      </c>
      <c r="X1168" s="18">
        <f t="shared" si="405"/>
        <v>2025</v>
      </c>
      <c r="Y1168" s="17">
        <f t="shared" si="398"/>
        <v>0.71380149037974383</v>
      </c>
      <c r="Z1168" t="str">
        <f t="shared" si="399"/>
        <v>SO18186</v>
      </c>
      <c r="AA1168" s="11">
        <f t="shared" si="406"/>
        <v>45967.512511574067</v>
      </c>
      <c r="AB1168" s="5" t="str">
        <f t="shared" si="407"/>
        <v>INV13639</v>
      </c>
      <c r="AC1168" s="5" t="str">
        <f>IFERROR(VLOOKUP(D1168,CAARStatus!$A$2:$AA$1600,22,FALSE),"Not invoiced")</f>
        <v>Paid</v>
      </c>
      <c r="AD1168" s="11">
        <f>IF(AC1168="Paid",IFERROR(VLOOKUP(D1168,CAARStatus!$A$2:$AA$1600,6,FALSE),"Pending"),"Pending")</f>
        <v>46002</v>
      </c>
      <c r="AE1168" s="5" t="str">
        <f t="shared" si="408"/>
        <v>2377</v>
      </c>
      <c r="AF1168" s="5" t="str">
        <f t="shared" si="409"/>
        <v>FMI Products</v>
      </c>
      <c r="AG1168" s="5" t="str">
        <f t="shared" si="410"/>
        <v>CAD</v>
      </c>
      <c r="AH1168" s="5">
        <f t="shared" si="411"/>
        <v>987.3</v>
      </c>
      <c r="AI1168" s="12">
        <f>IF(L1168-N1168=0,VLOOKUP(U1168,rate!A$4:B$15,2,FALSE)*AH1168,IF(AG1168="USD",O1168,AH1168*Y1168))</f>
        <v>704.73621145192101</v>
      </c>
      <c r="AJ1168" s="13">
        <f t="shared" si="412"/>
        <v>0.71380149037974383</v>
      </c>
      <c r="AK1168" s="13">
        <f>-IF(AG1168="CAD",IFERROR(VLOOKUP(D1168,CAARStatus!$A$1:$Y$1600,16,FALSE),0),0)</f>
        <v>-987.3</v>
      </c>
      <c r="AL1168" s="13">
        <f>-IF(AG1168="USD",IFERROR(VLOOKUP(D1168,CAARStatus!$A$1:$Y$1600,11,FALSE),0),0)</f>
        <v>0</v>
      </c>
      <c r="AM1168" s="22">
        <f t="shared" si="413"/>
        <v>0</v>
      </c>
      <c r="AN1168" s="12" t="str">
        <f t="shared" si="414"/>
        <v/>
      </c>
      <c r="AO1168" s="12" t="str">
        <f t="shared" si="415"/>
        <v>Yes</v>
      </c>
      <c r="AP1168" t="str">
        <f t="shared" si="400"/>
        <v>Yes</v>
      </c>
      <c r="AQ1168" t="str">
        <f>IFERROR(VLOOKUP(Z1168,InvBal!$L$4:$P$600,4,FALSE),"Pend")</f>
        <v>Pend</v>
      </c>
      <c r="AR1168" t="str">
        <f>IFERROR(VLOOKUP(D1168,Manual!$C$1:$E$22,2,FALSE),"Pend")</f>
        <v>Pend</v>
      </c>
      <c r="AS1168" t="str">
        <f t="shared" si="416"/>
        <v>Yes</v>
      </c>
      <c r="AT1168" t="str">
        <f t="shared" si="417"/>
        <v>Yes</v>
      </c>
      <c r="AU1168" s="51" t="str">
        <f t="shared" si="418"/>
        <v>Yes</v>
      </c>
      <c r="AV1168" s="12">
        <f>IFERROR(VLOOKUP(D1168,'Receivable Invoice Detail'!$S$1:$U$3014,3,FALSE),0)</f>
        <v>0</v>
      </c>
      <c r="AW1168" s="12">
        <f t="shared" si="419"/>
        <v>704.73621145192101</v>
      </c>
    </row>
    <row r="1169" spans="1:49" x14ac:dyDescent="0.25">
      <c r="A1169" s="2">
        <v>1</v>
      </c>
      <c r="B1169" s="2" t="s">
        <v>261</v>
      </c>
      <c r="C1169" s="2" t="s">
        <v>262</v>
      </c>
      <c r="D1169" s="2" t="s">
        <v>3343</v>
      </c>
      <c r="E1169" s="2" t="s">
        <v>64</v>
      </c>
      <c r="F1169" s="3">
        <v>45967.522199074083</v>
      </c>
      <c r="G1169" s="3">
        <v>45967.522268518522</v>
      </c>
      <c r="H1169" s="4">
        <v>45967</v>
      </c>
      <c r="I1169" s="2" t="s">
        <v>21</v>
      </c>
      <c r="J1169" s="2" t="s">
        <v>22</v>
      </c>
      <c r="K1169" s="2">
        <v>1</v>
      </c>
      <c r="L1169" s="2">
        <v>307.63</v>
      </c>
      <c r="M1169" s="2">
        <v>307.63</v>
      </c>
      <c r="N1169" s="2">
        <v>307.63</v>
      </c>
      <c r="O1169" s="2">
        <v>292.98</v>
      </c>
      <c r="P1169" s="2">
        <v>14.65</v>
      </c>
      <c r="Q1169" s="2">
        <v>307.63</v>
      </c>
      <c r="R1169" s="2" t="s">
        <v>44</v>
      </c>
      <c r="S1169" s="2"/>
      <c r="T1169" s="2">
        <f t="shared" si="401"/>
        <v>1</v>
      </c>
      <c r="U1169" s="18">
        <f t="shared" si="402"/>
        <v>11</v>
      </c>
      <c r="V1169" s="18">
        <f t="shared" si="403"/>
        <v>2025</v>
      </c>
      <c r="W1169" s="18">
        <f t="shared" si="404"/>
        <v>12</v>
      </c>
      <c r="X1169" s="18">
        <f t="shared" si="405"/>
        <v>2025</v>
      </c>
      <c r="Y1169" s="2">
        <f t="shared" si="398"/>
        <v>1</v>
      </c>
      <c r="Z1169" t="str">
        <f t="shared" si="399"/>
        <v>SO18187</v>
      </c>
      <c r="AA1169" s="11">
        <f t="shared" si="406"/>
        <v>45967.522199074083</v>
      </c>
      <c r="AB1169" s="5" t="str">
        <f t="shared" si="407"/>
        <v>INV13619</v>
      </c>
      <c r="AC1169" s="5" t="str">
        <f>IFERROR(VLOOKUP(D1169,CAARStatus!$A$2:$AA$1600,22,FALSE),"Not invoiced")</f>
        <v>Paid</v>
      </c>
      <c r="AD1169" s="11">
        <f>IF(AC1169="Paid",IFERROR(VLOOKUP(D1169,CAARStatus!$A$2:$AA$1600,6,FALSE),"Pending"),"Pending")</f>
        <v>46020</v>
      </c>
      <c r="AE1169" s="5" t="str">
        <f t="shared" si="408"/>
        <v>607072</v>
      </c>
      <c r="AF1169" s="5" t="str">
        <f t="shared" si="409"/>
        <v>Sealtrac Inc.</v>
      </c>
      <c r="AG1169" s="5" t="str">
        <f t="shared" si="410"/>
        <v>CAD</v>
      </c>
      <c r="AH1169" s="5">
        <f t="shared" si="411"/>
        <v>292.98</v>
      </c>
      <c r="AI1169" s="12">
        <f>IF(L1169-N1169=0,VLOOKUP(U1169,rate!A$4:B$15,2,FALSE)*AH1169,IF(AG1169="USD",O1169,AH1169*Y1169))</f>
        <v>209.34252407438927</v>
      </c>
      <c r="AJ1169" s="13">
        <f t="shared" si="412"/>
        <v>0.71452837761754817</v>
      </c>
      <c r="AK1169" s="13">
        <f>-IF(AG1169="CAD",IFERROR(VLOOKUP(D1169,CAARStatus!$A$1:$Y$1600,16,FALSE),0),0)</f>
        <v>-292.98</v>
      </c>
      <c r="AL1169" s="13">
        <f>-IF(AG1169="USD",IFERROR(VLOOKUP(D1169,CAARStatus!$A$1:$Y$1600,11,FALSE),0),0)</f>
        <v>0</v>
      </c>
      <c r="AM1169" s="22">
        <f t="shared" si="413"/>
        <v>0</v>
      </c>
      <c r="AN1169" s="12" t="str">
        <f t="shared" si="414"/>
        <v/>
      </c>
      <c r="AO1169" s="12" t="str">
        <f t="shared" si="415"/>
        <v>Yes</v>
      </c>
      <c r="AP1169" t="str">
        <f t="shared" si="400"/>
        <v>Yes</v>
      </c>
      <c r="AQ1169" t="str">
        <f>IFERROR(VLOOKUP(Z1169,InvBal!$L$4:$P$600,4,FALSE),"Pend")</f>
        <v>Pend</v>
      </c>
      <c r="AR1169" t="str">
        <f>IFERROR(VLOOKUP(D1169,Manual!$C$1:$E$22,2,FALSE),"Pend")</f>
        <v>Pend</v>
      </c>
      <c r="AS1169" t="str">
        <f t="shared" si="416"/>
        <v>Yes</v>
      </c>
      <c r="AT1169" t="str">
        <f t="shared" si="417"/>
        <v>Yes</v>
      </c>
      <c r="AU1169" s="51" t="str">
        <f t="shared" si="418"/>
        <v>Yes</v>
      </c>
      <c r="AV1169" s="12">
        <f>IFERROR(VLOOKUP(D1169,'Receivable Invoice Detail'!$S$1:$U$3014,3,FALSE),0)</f>
        <v>0</v>
      </c>
      <c r="AW1169" s="12">
        <f t="shared" si="419"/>
        <v>209.34252407438927</v>
      </c>
    </row>
    <row r="1170" spans="1:49" x14ac:dyDescent="0.25">
      <c r="A1170" s="2">
        <v>1</v>
      </c>
      <c r="B1170" s="2" t="s">
        <v>147</v>
      </c>
      <c r="C1170" s="2" t="s">
        <v>148</v>
      </c>
      <c r="D1170" s="2" t="s">
        <v>3378</v>
      </c>
      <c r="E1170" s="2" t="s">
        <v>149</v>
      </c>
      <c r="F1170" s="3">
        <v>45967.529988425929</v>
      </c>
      <c r="G1170" s="3">
        <v>45980.422430555547</v>
      </c>
      <c r="H1170" s="4">
        <v>45982</v>
      </c>
      <c r="I1170" s="2" t="s">
        <v>40</v>
      </c>
      <c r="J1170" s="2" t="s">
        <v>51</v>
      </c>
      <c r="K1170" s="2">
        <v>0.71277700095248819</v>
      </c>
      <c r="L1170" s="2">
        <v>6027.2988525991568</v>
      </c>
      <c r="M1170" s="2">
        <v>0</v>
      </c>
      <c r="N1170" s="2">
        <v>4296.12</v>
      </c>
      <c r="O1170" s="2">
        <v>4296.12</v>
      </c>
      <c r="P1170" s="2"/>
      <c r="Q1170" s="2">
        <v>4296.12</v>
      </c>
      <c r="R1170" s="2" t="s">
        <v>44</v>
      </c>
      <c r="S1170" s="2"/>
      <c r="T1170" s="2">
        <f t="shared" si="401"/>
        <v>1</v>
      </c>
      <c r="U1170" s="18">
        <f t="shared" si="402"/>
        <v>11</v>
      </c>
      <c r="V1170" s="18">
        <f t="shared" si="403"/>
        <v>2025</v>
      </c>
      <c r="W1170" s="18" t="str">
        <f t="shared" si="404"/>
        <v/>
      </c>
      <c r="X1170" s="18" t="str">
        <f t="shared" si="405"/>
        <v/>
      </c>
      <c r="Y1170" s="2">
        <f t="shared" si="398"/>
        <v>0.71277700095248819</v>
      </c>
      <c r="Z1170" t="str">
        <f t="shared" si="399"/>
        <v>SO18188</v>
      </c>
      <c r="AA1170" s="11">
        <f t="shared" si="406"/>
        <v>45967.529988425929</v>
      </c>
      <c r="AB1170" s="5" t="str">
        <f t="shared" si="407"/>
        <v>INV13689</v>
      </c>
      <c r="AC1170" s="5" t="str">
        <f>IFERROR(VLOOKUP(D1170,CAARStatus!$A$2:$AA$1600,22,FALSE),"Not invoiced")</f>
        <v>Approved</v>
      </c>
      <c r="AD1170" s="11" t="str">
        <f>IF(AC1170="Paid",IFERROR(VLOOKUP(D1170,CAARStatus!$A$2:$AA$1600,6,FALSE),"Pending"),"Pending")</f>
        <v>Pending</v>
      </c>
      <c r="AE1170" s="5" t="str">
        <f t="shared" si="408"/>
        <v>PO-0021256</v>
      </c>
      <c r="AF1170" s="5" t="str">
        <f t="shared" si="409"/>
        <v>MAB Equipment Company Inc.</v>
      </c>
      <c r="AG1170" s="5" t="str">
        <f t="shared" si="410"/>
        <v>USD</v>
      </c>
      <c r="AH1170" s="5">
        <f t="shared" si="411"/>
        <v>6027.2988525991568</v>
      </c>
      <c r="AI1170" s="12">
        <f>IF(L1170-N1170=0,VLOOKUP(U1170,rate!A$4:B$15,2,FALSE)*AH1170,IF(AG1170="USD",O1170,AH1170*Y1170))</f>
        <v>4296.12</v>
      </c>
      <c r="AJ1170" s="13">
        <f t="shared" si="412"/>
        <v>0.71277700095248819</v>
      </c>
      <c r="AK1170" s="13">
        <f>-IF(AG1170="CAD",IFERROR(VLOOKUP(D1170,CAARStatus!$A$1:$Y$1600,16,FALSE),0),0)</f>
        <v>0</v>
      </c>
      <c r="AL1170" s="13">
        <f>-IF(AG1170="USD",IFERROR(VLOOKUP(D1170,CAARStatus!$A$1:$Y$1600,11,FALSE),0),0)</f>
        <v>-4296.12</v>
      </c>
      <c r="AM1170" s="22" t="str">
        <f t="shared" si="413"/>
        <v/>
      </c>
      <c r="AN1170" s="12">
        <f t="shared" si="414"/>
        <v>0</v>
      </c>
      <c r="AO1170" s="12" t="str">
        <f t="shared" si="415"/>
        <v>Pend</v>
      </c>
      <c r="AP1170" t="str">
        <f t="shared" si="400"/>
        <v>Pend</v>
      </c>
      <c r="AQ1170" t="str">
        <f>IFERROR(VLOOKUP(Z1170,InvBal!$L$4:$P$600,4,FALSE),"Pend")</f>
        <v>Pend</v>
      </c>
      <c r="AR1170" t="str">
        <f>IFERROR(VLOOKUP(D1170,Manual!$C$1:$E$22,2,FALSE),"Pend")</f>
        <v>Pend</v>
      </c>
      <c r="AS1170" t="str">
        <f t="shared" si="416"/>
        <v/>
      </c>
      <c r="AT1170" t="str">
        <f t="shared" si="417"/>
        <v>Yes</v>
      </c>
      <c r="AU1170" s="51" t="str">
        <f t="shared" si="418"/>
        <v/>
      </c>
      <c r="AV1170" s="12">
        <f>IFERROR(VLOOKUP(D1170,'Receivable Invoice Detail'!$S$1:$U$3014,3,FALSE),0)</f>
        <v>704</v>
      </c>
      <c r="AW1170" s="12">
        <f t="shared" si="419"/>
        <v>0</v>
      </c>
    </row>
    <row r="1171" spans="1:49" x14ac:dyDescent="0.25">
      <c r="A1171" s="2">
        <v>1</v>
      </c>
      <c r="B1171" s="2" t="s">
        <v>237</v>
      </c>
      <c r="C1171" s="2" t="s">
        <v>238</v>
      </c>
      <c r="D1171" s="2" t="s">
        <v>3352</v>
      </c>
      <c r="E1171" s="2" t="s">
        <v>239</v>
      </c>
      <c r="F1171" s="3">
        <v>45967.530312499999</v>
      </c>
      <c r="G1171" s="3">
        <v>45971.381967592592</v>
      </c>
      <c r="H1171" s="4">
        <v>45972</v>
      </c>
      <c r="I1171" s="2" t="s">
        <v>180</v>
      </c>
      <c r="J1171" s="2" t="s">
        <v>22</v>
      </c>
      <c r="K1171" s="2">
        <v>1</v>
      </c>
      <c r="L1171" s="2">
        <v>1642.24</v>
      </c>
      <c r="M1171" s="2">
        <v>0</v>
      </c>
      <c r="N1171" s="2">
        <v>1170.459123806987</v>
      </c>
      <c r="O1171" s="2">
        <v>1642.24</v>
      </c>
      <c r="P1171" s="2"/>
      <c r="Q1171" s="2">
        <v>1642.24</v>
      </c>
      <c r="R1171" s="2" t="s">
        <v>44</v>
      </c>
      <c r="S1171" s="2"/>
      <c r="T1171" s="2">
        <f t="shared" si="401"/>
        <v>1</v>
      </c>
      <c r="U1171" s="18">
        <f t="shared" si="402"/>
        <v>11</v>
      </c>
      <c r="V1171" s="18">
        <f t="shared" si="403"/>
        <v>2025</v>
      </c>
      <c r="W1171" s="18" t="str">
        <f t="shared" si="404"/>
        <v/>
      </c>
      <c r="X1171" s="18" t="str">
        <f t="shared" si="405"/>
        <v/>
      </c>
      <c r="Y1171" s="2">
        <f t="shared" si="398"/>
        <v>0.71272111494482349</v>
      </c>
      <c r="Z1171" t="str">
        <f t="shared" si="399"/>
        <v>SO18189</v>
      </c>
      <c r="AA1171" s="11">
        <f t="shared" si="406"/>
        <v>45967.530312499999</v>
      </c>
      <c r="AB1171" s="5" t="str">
        <f t="shared" si="407"/>
        <v>INV13637</v>
      </c>
      <c r="AC1171" s="5" t="str">
        <f>IFERROR(VLOOKUP(D1171,CAARStatus!$A$2:$AA$1600,22,FALSE),"Not invoiced")</f>
        <v>Approved</v>
      </c>
      <c r="AD1171" s="11" t="str">
        <f>IF(AC1171="Paid",IFERROR(VLOOKUP(D1171,CAARStatus!$A$2:$AA$1600,6,FALSE),"Pending"),"Pending")</f>
        <v>Pending</v>
      </c>
      <c r="AE1171" s="5" t="str">
        <f t="shared" si="408"/>
        <v>1064</v>
      </c>
      <c r="AF1171" s="5" t="str">
        <f t="shared" si="409"/>
        <v>Mill-Right Mine Services Inc.</v>
      </c>
      <c r="AG1171" s="5" t="str">
        <f t="shared" si="410"/>
        <v>CAD</v>
      </c>
      <c r="AH1171" s="5">
        <f t="shared" si="411"/>
        <v>1642.24</v>
      </c>
      <c r="AI1171" s="12">
        <f>IF(L1171-N1171=0,VLOOKUP(U1171,rate!A$4:B$15,2,FALSE)*AH1171,IF(AG1171="USD",O1171,AH1171*Y1171))</f>
        <v>1170.459123806987</v>
      </c>
      <c r="AJ1171" s="13">
        <f t="shared" si="412"/>
        <v>0.71272111494482349</v>
      </c>
      <c r="AK1171" s="13">
        <f>-IF(AG1171="CAD",IFERROR(VLOOKUP(D1171,CAARStatus!$A$1:$Y$1600,16,FALSE),0),0)</f>
        <v>-2300.2042148373703</v>
      </c>
      <c r="AL1171" s="13">
        <f>-IF(AG1171="USD",IFERROR(VLOOKUP(D1171,CAARStatus!$A$1:$Y$1600,11,FALSE),0),0)</f>
        <v>0</v>
      </c>
      <c r="AM1171" s="22">
        <f t="shared" si="413"/>
        <v>-657.96421483737026</v>
      </c>
      <c r="AN1171" s="12" t="str">
        <f t="shared" si="414"/>
        <v/>
      </c>
      <c r="AO1171" s="12" t="str">
        <f t="shared" si="415"/>
        <v>Pend</v>
      </c>
      <c r="AP1171" t="str">
        <f t="shared" si="400"/>
        <v>Pend</v>
      </c>
      <c r="AQ1171" t="str">
        <f>IFERROR(VLOOKUP(Z1171,InvBal!$L$4:$P$600,4,FALSE),"Pend")</f>
        <v>Pend</v>
      </c>
      <c r="AR1171" t="str">
        <f>IFERROR(VLOOKUP(D1171,Manual!$C$1:$E$22,2,FALSE),"Pend")</f>
        <v>Pend</v>
      </c>
      <c r="AS1171" t="str">
        <f t="shared" si="416"/>
        <v/>
      </c>
      <c r="AT1171" t="str">
        <f t="shared" si="417"/>
        <v>Yes</v>
      </c>
      <c r="AU1171" s="51" t="str">
        <f t="shared" si="418"/>
        <v/>
      </c>
      <c r="AV1171" s="12">
        <f>IFERROR(VLOOKUP(D1171,'Receivable Invoice Detail'!$S$1:$U$3014,3,FALSE),0)</f>
        <v>0</v>
      </c>
      <c r="AW1171" s="12">
        <f t="shared" si="419"/>
        <v>0</v>
      </c>
    </row>
    <row r="1172" spans="1:49" ht="30" x14ac:dyDescent="0.25">
      <c r="A1172" s="2">
        <v>1</v>
      </c>
      <c r="B1172" s="2" t="s">
        <v>230</v>
      </c>
      <c r="C1172" s="2" t="s">
        <v>231</v>
      </c>
      <c r="D1172" s="2" t="s">
        <v>6002</v>
      </c>
      <c r="E1172" s="2" t="s">
        <v>232</v>
      </c>
      <c r="F1172" s="3">
        <v>45968.38484953704</v>
      </c>
      <c r="G1172" s="3">
        <v>45971.681041666663</v>
      </c>
      <c r="H1172" s="4">
        <v>45985</v>
      </c>
      <c r="I1172" s="2" t="s">
        <v>180</v>
      </c>
      <c r="J1172" s="2" t="s">
        <v>51</v>
      </c>
      <c r="K1172" s="2">
        <v>0.71202751048443413</v>
      </c>
      <c r="L1172" s="2">
        <v>150.38744770851221</v>
      </c>
      <c r="M1172" s="2">
        <v>0</v>
      </c>
      <c r="N1172" s="2">
        <v>107.08</v>
      </c>
      <c r="O1172" s="2">
        <v>107.08</v>
      </c>
      <c r="P1172" s="2"/>
      <c r="Q1172" s="2">
        <v>107.08</v>
      </c>
      <c r="R1172" s="2" t="s">
        <v>44</v>
      </c>
      <c r="S1172" s="2"/>
      <c r="T1172" s="2">
        <f t="shared" si="401"/>
        <v>1</v>
      </c>
      <c r="U1172" s="18">
        <f t="shared" si="402"/>
        <v>11</v>
      </c>
      <c r="V1172" s="18">
        <f t="shared" si="403"/>
        <v>2025</v>
      </c>
      <c r="W1172" s="18" t="str">
        <f t="shared" si="404"/>
        <v/>
      </c>
      <c r="X1172" s="18" t="str">
        <f t="shared" si="405"/>
        <v/>
      </c>
      <c r="Y1172" s="2">
        <f t="shared" si="398"/>
        <v>0.71202751048443436</v>
      </c>
      <c r="Z1172" t="str">
        <f t="shared" si="399"/>
        <v>SO18191</v>
      </c>
      <c r="AA1172" s="11">
        <f t="shared" si="406"/>
        <v>45968.38484953704</v>
      </c>
      <c r="AB1172" s="5" t="str">
        <f t="shared" si="407"/>
        <v>INV13757</v>
      </c>
      <c r="AC1172" s="5" t="str">
        <f>IFERROR(VLOOKUP(D1172,CAARStatus!$A$2:$AA$1600,22,FALSE),"Not invoiced")</f>
        <v>Approved</v>
      </c>
      <c r="AD1172" s="11" t="str">
        <f>IF(AC1172="Paid",IFERROR(VLOOKUP(D1172,CAARStatus!$A$2:$AA$1600,6,FALSE),"Pending"),"Pending")</f>
        <v>Pending</v>
      </c>
      <c r="AE1172" s="5" t="str">
        <f t="shared" si="408"/>
        <v>2258683</v>
      </c>
      <c r="AF1172" s="5" t="str">
        <f t="shared" si="409"/>
        <v>Zijin Mining - Rosebel Goldmines N.V.</v>
      </c>
      <c r="AG1172" s="5" t="str">
        <f t="shared" si="410"/>
        <v>USD</v>
      </c>
      <c r="AH1172" s="5">
        <f t="shared" si="411"/>
        <v>150.38744770851224</v>
      </c>
      <c r="AI1172" s="12">
        <f>IF(L1172-N1172=0,VLOOKUP(U1172,rate!A$4:B$15,2,FALSE)*AH1172,IF(AG1172="USD",O1172,AH1172*Y1172))</f>
        <v>107.08</v>
      </c>
      <c r="AJ1172" s="13">
        <f t="shared" si="412"/>
        <v>0.71202751048443425</v>
      </c>
      <c r="AK1172" s="13">
        <f>-IF(AG1172="CAD",IFERROR(VLOOKUP(D1172,CAARStatus!$A$1:$Y$1600,16,FALSE),0),0)</f>
        <v>0</v>
      </c>
      <c r="AL1172" s="13">
        <f>-IF(AG1172="USD",IFERROR(VLOOKUP(D1172,CAARStatus!$A$1:$Y$1600,11,FALSE),0),0)</f>
        <v>-107.08</v>
      </c>
      <c r="AM1172" s="22" t="str">
        <f t="shared" si="413"/>
        <v/>
      </c>
      <c r="AN1172" s="12">
        <f t="shared" si="414"/>
        <v>0</v>
      </c>
      <c r="AO1172" s="12" t="str">
        <f t="shared" si="415"/>
        <v>Pend</v>
      </c>
      <c r="AP1172" t="str">
        <f t="shared" si="400"/>
        <v>Pend</v>
      </c>
      <c r="AQ1172" t="str">
        <f>IFERROR(VLOOKUP(Z1172,InvBal!$L$4:$P$600,4,FALSE),"Pend")</f>
        <v>Pend</v>
      </c>
      <c r="AR1172" t="str">
        <f>IFERROR(VLOOKUP(D1172,Manual!$C$1:$E$22,2,FALSE),"Pend")</f>
        <v>Pend</v>
      </c>
      <c r="AS1172" t="str">
        <f t="shared" si="416"/>
        <v/>
      </c>
      <c r="AT1172" t="str">
        <f t="shared" si="417"/>
        <v>Yes</v>
      </c>
      <c r="AU1172" s="51" t="str">
        <f t="shared" si="418"/>
        <v/>
      </c>
      <c r="AV1172" s="12">
        <f>IFERROR(VLOOKUP(D1172,'Receivable Invoice Detail'!$S$1:$U$3014,3,FALSE),0)</f>
        <v>0</v>
      </c>
      <c r="AW1172" s="12">
        <f t="shared" si="419"/>
        <v>0</v>
      </c>
    </row>
    <row r="1173" spans="1:49" ht="30" x14ac:dyDescent="0.25">
      <c r="A1173" s="2">
        <v>0</v>
      </c>
      <c r="B1173" s="2" t="s">
        <v>167</v>
      </c>
      <c r="C1173" s="2" t="s">
        <v>168</v>
      </c>
      <c r="D1173" s="2"/>
      <c r="E1173" s="2" t="s">
        <v>20</v>
      </c>
      <c r="F1173" s="3">
        <v>45968.51798611111</v>
      </c>
      <c r="G1173" s="3">
        <v>45979.534710648149</v>
      </c>
      <c r="H1173" s="4">
        <v>46105</v>
      </c>
      <c r="I1173" s="2" t="s">
        <v>21</v>
      </c>
      <c r="J1173" s="2" t="s">
        <v>22</v>
      </c>
      <c r="K1173" s="2">
        <v>1</v>
      </c>
      <c r="L1173" s="2">
        <v>11983.95</v>
      </c>
      <c r="M1173" s="2">
        <v>0</v>
      </c>
      <c r="N1173" s="2">
        <v>8562.1333826255341</v>
      </c>
      <c r="O1173" s="2">
        <v>11413.29</v>
      </c>
      <c r="P1173" s="2">
        <v>570.66</v>
      </c>
      <c r="Q1173" s="2">
        <v>11983.95</v>
      </c>
      <c r="R1173" s="2" t="s">
        <v>29</v>
      </c>
      <c r="S1173" s="2"/>
      <c r="T1173" s="2">
        <f t="shared" si="401"/>
        <v>0</v>
      </c>
      <c r="U1173" s="18">
        <f t="shared" si="402"/>
        <v>11</v>
      </c>
      <c r="V1173" s="18">
        <f t="shared" si="403"/>
        <v>2025</v>
      </c>
      <c r="W1173" s="18" t="str">
        <f t="shared" si="404"/>
        <v/>
      </c>
      <c r="X1173" s="18" t="str">
        <f t="shared" si="405"/>
        <v/>
      </c>
      <c r="Y1173" s="2">
        <f t="shared" si="398"/>
        <v>0.71446671444937049</v>
      </c>
      <c r="Z1173" t="str">
        <f t="shared" si="399"/>
        <v>SO18192</v>
      </c>
      <c r="AA1173" s="11">
        <f t="shared" si="406"/>
        <v>45968.51798611111</v>
      </c>
      <c r="AB1173" s="5" t="str">
        <f t="shared" si="407"/>
        <v>No Inv</v>
      </c>
      <c r="AC1173" s="5" t="str">
        <f>IFERROR(VLOOKUP(D1173,CAARStatus!$A$2:$AA$1600,22,FALSE),"Not invoiced")</f>
        <v>Not invoiced</v>
      </c>
      <c r="AD1173" s="11" t="str">
        <f>IF(AC1173="Paid",IFERROR(VLOOKUP(D1173,CAARStatus!$A$2:$AA$1600,6,FALSE),"Pending"),"Pending")</f>
        <v>Pending</v>
      </c>
      <c r="AE1173" s="5" t="str">
        <f t="shared" si="408"/>
        <v>4500622668</v>
      </c>
      <c r="AF1173" s="5" t="str">
        <f t="shared" si="409"/>
        <v>Resolute Forest Products - Saint-Felicien</v>
      </c>
      <c r="AG1173" s="5" t="str">
        <f t="shared" si="410"/>
        <v>CAD</v>
      </c>
      <c r="AH1173" s="5">
        <f t="shared" si="411"/>
        <v>11413.29</v>
      </c>
      <c r="AI1173" s="12">
        <f>IF(L1173-N1173=0,VLOOKUP(U1173,rate!A$4:B$15,2,FALSE)*AH1173,IF(AG1173="USD",O1173,AH1173*Y1173))</f>
        <v>8154.4158073578565</v>
      </c>
      <c r="AJ1173" s="13">
        <f t="shared" si="412"/>
        <v>0.71446671444937049</v>
      </c>
      <c r="AK1173" s="13">
        <f>-IF(AG1173="CAD",IFERROR(VLOOKUP(D1173,CAARStatus!$A$1:$Y$1600,16,FALSE),0),0)</f>
        <v>0</v>
      </c>
      <c r="AL1173" s="13">
        <f>-IF(AG1173="USD",IFERROR(VLOOKUP(D1173,CAARStatus!$A$1:$Y$1600,11,FALSE),0),0)</f>
        <v>0</v>
      </c>
      <c r="AM1173" s="22">
        <f t="shared" si="413"/>
        <v>11413.29</v>
      </c>
      <c r="AN1173" s="12" t="str">
        <f t="shared" si="414"/>
        <v/>
      </c>
      <c r="AO1173" s="12" t="str">
        <f t="shared" si="415"/>
        <v>Pend</v>
      </c>
      <c r="AP1173" t="str">
        <f t="shared" si="400"/>
        <v>Pend</v>
      </c>
      <c r="AQ1173" t="str">
        <f>IFERROR(VLOOKUP(Z1173,InvBal!$L$4:$P$600,4,FALSE),"Pend")</f>
        <v>Pend</v>
      </c>
      <c r="AR1173" t="str">
        <f>IFERROR(VLOOKUP(D1173,Manual!$C$1:$E$22,2,FALSE),"Pend")</f>
        <v>Pend</v>
      </c>
      <c r="AS1173" t="str">
        <f t="shared" si="416"/>
        <v/>
      </c>
      <c r="AT1173" t="str">
        <f t="shared" si="417"/>
        <v/>
      </c>
      <c r="AU1173" s="51" t="str">
        <f t="shared" si="418"/>
        <v/>
      </c>
      <c r="AV1173" s="12">
        <f>IFERROR(VLOOKUP(D1173,'Receivable Invoice Detail'!$S$1:$U$3014,3,FALSE),0)</f>
        <v>0</v>
      </c>
      <c r="AW1173" s="12">
        <f t="shared" si="419"/>
        <v>0</v>
      </c>
    </row>
    <row r="1174" spans="1:49" x14ac:dyDescent="0.25">
      <c r="A1174" s="2">
        <v>0</v>
      </c>
      <c r="B1174" s="2" t="s">
        <v>6187</v>
      </c>
      <c r="C1174" s="2" t="s">
        <v>6188</v>
      </c>
      <c r="D1174" s="2"/>
      <c r="E1174" s="2" t="s">
        <v>1941</v>
      </c>
      <c r="F1174" s="3">
        <v>45971.476134259261</v>
      </c>
      <c r="G1174" s="3">
        <v>46001.436226851853</v>
      </c>
      <c r="H1174" s="4">
        <v>46120</v>
      </c>
      <c r="I1174" s="2" t="s">
        <v>21</v>
      </c>
      <c r="J1174" s="2" t="s">
        <v>51</v>
      </c>
      <c r="K1174" s="2">
        <v>0.72282535844006246</v>
      </c>
      <c r="L1174" s="2">
        <v>3857.2249402221159</v>
      </c>
      <c r="M1174" s="2">
        <v>0</v>
      </c>
      <c r="N1174" s="2">
        <v>2788.1</v>
      </c>
      <c r="O1174" s="2">
        <v>2788.1</v>
      </c>
      <c r="P1174" s="2"/>
      <c r="Q1174" s="2">
        <v>2788.1</v>
      </c>
      <c r="R1174" s="2" t="s">
        <v>29</v>
      </c>
      <c r="S1174" s="2"/>
      <c r="T1174" s="2">
        <f t="shared" si="401"/>
        <v>0</v>
      </c>
      <c r="U1174" s="18">
        <f t="shared" si="402"/>
        <v>11</v>
      </c>
      <c r="V1174" s="18">
        <f t="shared" si="403"/>
        <v>2025</v>
      </c>
      <c r="W1174" s="18" t="str">
        <f t="shared" si="404"/>
        <v/>
      </c>
      <c r="X1174" s="18" t="str">
        <f t="shared" si="405"/>
        <v/>
      </c>
      <c r="Y1174" s="2">
        <f t="shared" si="398"/>
        <v>0.72282535844006257</v>
      </c>
      <c r="Z1174" t="str">
        <f t="shared" si="399"/>
        <v>SO18198</v>
      </c>
      <c r="AA1174" s="11">
        <f t="shared" si="406"/>
        <v>45971.476134259261</v>
      </c>
      <c r="AB1174" s="5" t="str">
        <f t="shared" si="407"/>
        <v>No Inv</v>
      </c>
      <c r="AC1174" s="5" t="str">
        <f>IFERROR(VLOOKUP(D1174,CAARStatus!$A$2:$AA$1600,22,FALSE),"Not invoiced")</f>
        <v>Not invoiced</v>
      </c>
      <c r="AD1174" s="11" t="str">
        <f>IF(AC1174="Paid",IFERROR(VLOOKUP(D1174,CAARStatus!$A$2:$AA$1600,6,FALSE),"Pending"),"Pending")</f>
        <v>Pending</v>
      </c>
      <c r="AE1174" s="5" t="str">
        <f t="shared" si="408"/>
        <v>M25-1321-1</v>
      </c>
      <c r="AF1174" s="5" t="str">
        <f t="shared" si="409"/>
        <v>Maham LLC</v>
      </c>
      <c r="AG1174" s="5" t="str">
        <f t="shared" si="410"/>
        <v>USD</v>
      </c>
      <c r="AH1174" s="5">
        <f t="shared" si="411"/>
        <v>3857.2249402221164</v>
      </c>
      <c r="AI1174" s="12">
        <f>IF(L1174-N1174=0,VLOOKUP(U1174,rate!A$4:B$15,2,FALSE)*AH1174,IF(AG1174="USD",O1174,AH1174*Y1174))</f>
        <v>2788.1</v>
      </c>
      <c r="AJ1174" s="13">
        <f t="shared" si="412"/>
        <v>0.72282535844006246</v>
      </c>
      <c r="AK1174" s="13">
        <f>-IF(AG1174="CAD",IFERROR(VLOOKUP(D1174,CAARStatus!$A$1:$Y$1600,16,FALSE),0),0)</f>
        <v>0</v>
      </c>
      <c r="AL1174" s="13">
        <f>-IF(AG1174="USD",IFERROR(VLOOKUP(D1174,CAARStatus!$A$1:$Y$1600,11,FALSE),0),0)</f>
        <v>0</v>
      </c>
      <c r="AM1174" s="22" t="str">
        <f t="shared" si="413"/>
        <v/>
      </c>
      <c r="AN1174" s="12">
        <f t="shared" si="414"/>
        <v>2788.1</v>
      </c>
      <c r="AO1174" s="12" t="str">
        <f t="shared" si="415"/>
        <v>Pend</v>
      </c>
      <c r="AP1174" t="str">
        <f t="shared" si="400"/>
        <v>Pend</v>
      </c>
      <c r="AQ1174" t="str">
        <f>IFERROR(VLOOKUP(Z1174,InvBal!$L$4:$P$600,4,FALSE),"Pend")</f>
        <v>Pend</v>
      </c>
      <c r="AR1174" t="str">
        <f>IFERROR(VLOOKUP(D1174,Manual!$C$1:$E$22,2,FALSE),"Pend")</f>
        <v>Pend</v>
      </c>
      <c r="AS1174" t="str">
        <f t="shared" si="416"/>
        <v/>
      </c>
      <c r="AT1174" t="str">
        <f t="shared" si="417"/>
        <v/>
      </c>
      <c r="AU1174" s="51" t="str">
        <f t="shared" si="418"/>
        <v/>
      </c>
      <c r="AV1174" s="12">
        <f>IFERROR(VLOOKUP(D1174,'Receivable Invoice Detail'!$S$1:$U$3014,3,FALSE),0)</f>
        <v>0</v>
      </c>
      <c r="AW1174" s="12">
        <f t="shared" si="419"/>
        <v>0</v>
      </c>
    </row>
    <row r="1175" spans="1:49" x14ac:dyDescent="0.25">
      <c r="A1175" s="2">
        <v>1</v>
      </c>
      <c r="B1175" s="2" t="s">
        <v>235</v>
      </c>
      <c r="C1175" s="2" t="s">
        <v>236</v>
      </c>
      <c r="D1175" s="2" t="s">
        <v>3353</v>
      </c>
      <c r="E1175" s="2" t="s">
        <v>64</v>
      </c>
      <c r="F1175" s="3">
        <v>45971.502615740741</v>
      </c>
      <c r="G1175" s="3">
        <v>45971.502650462957</v>
      </c>
      <c r="H1175" s="4">
        <v>45971</v>
      </c>
      <c r="I1175" s="2" t="s">
        <v>21</v>
      </c>
      <c r="J1175" s="2" t="s">
        <v>22</v>
      </c>
      <c r="K1175" s="2">
        <v>1</v>
      </c>
      <c r="L1175" s="2">
        <v>236.37</v>
      </c>
      <c r="M1175" s="2">
        <v>0</v>
      </c>
      <c r="N1175" s="2">
        <v>168.46588993950789</v>
      </c>
      <c r="O1175" s="2">
        <v>209.18</v>
      </c>
      <c r="P1175" s="2">
        <v>27.19</v>
      </c>
      <c r="Q1175" s="2">
        <v>236.37</v>
      </c>
      <c r="R1175" s="2" t="s">
        <v>44</v>
      </c>
      <c r="S1175" s="2"/>
      <c r="T1175" s="2">
        <f t="shared" si="401"/>
        <v>1</v>
      </c>
      <c r="U1175" s="18">
        <f t="shared" si="402"/>
        <v>11</v>
      </c>
      <c r="V1175" s="18">
        <f t="shared" si="403"/>
        <v>2025</v>
      </c>
      <c r="W1175" s="18">
        <f t="shared" si="404"/>
        <v>12</v>
      </c>
      <c r="X1175" s="18">
        <f t="shared" si="405"/>
        <v>2025</v>
      </c>
      <c r="Y1175" s="2">
        <f t="shared" si="398"/>
        <v>0.71272111494482326</v>
      </c>
      <c r="Z1175" t="str">
        <f t="shared" si="399"/>
        <v>SO18199</v>
      </c>
      <c r="AA1175" s="11">
        <f t="shared" si="406"/>
        <v>45971.502615740741</v>
      </c>
      <c r="AB1175" s="5" t="str">
        <f t="shared" si="407"/>
        <v>INV13620</v>
      </c>
      <c r="AC1175" s="5" t="str">
        <f>IFERROR(VLOOKUP(D1175,CAARStatus!$A$2:$AA$1600,22,FALSE),"Not invoiced")</f>
        <v>Paid</v>
      </c>
      <c r="AD1175" s="11">
        <f>IF(AC1175="Paid",IFERROR(VLOOKUP(D1175,CAARStatus!$A$2:$AA$1600,6,FALSE),"Pending"),"Pending")</f>
        <v>46020</v>
      </c>
      <c r="AE1175" s="5" t="str">
        <f t="shared" si="408"/>
        <v>607073</v>
      </c>
      <c r="AF1175" s="5" t="str">
        <f t="shared" si="409"/>
        <v>Sealtrac Inc.</v>
      </c>
      <c r="AG1175" s="5" t="str">
        <f t="shared" si="410"/>
        <v>CAD</v>
      </c>
      <c r="AH1175" s="5">
        <f t="shared" si="411"/>
        <v>209.18</v>
      </c>
      <c r="AI1175" s="12">
        <f>IF(L1175-N1175=0,VLOOKUP(U1175,rate!A$4:B$15,2,FALSE)*AH1175,IF(AG1175="USD",O1175,AH1175*Y1175))</f>
        <v>149.08700282415813</v>
      </c>
      <c r="AJ1175" s="13">
        <f t="shared" si="412"/>
        <v>0.71272111494482326</v>
      </c>
      <c r="AK1175" s="13">
        <f>-IF(AG1175="CAD",IFERROR(VLOOKUP(D1175,CAARStatus!$A$1:$Y$1600,16,FALSE),0),0)</f>
        <v>-209.18</v>
      </c>
      <c r="AL1175" s="13">
        <f>-IF(AG1175="USD",IFERROR(VLOOKUP(D1175,CAARStatus!$A$1:$Y$1600,11,FALSE),0),0)</f>
        <v>0</v>
      </c>
      <c r="AM1175" s="22">
        <f t="shared" si="413"/>
        <v>0</v>
      </c>
      <c r="AN1175" s="12" t="str">
        <f t="shared" si="414"/>
        <v/>
      </c>
      <c r="AO1175" s="12" t="str">
        <f t="shared" si="415"/>
        <v>Yes</v>
      </c>
      <c r="AP1175" t="str">
        <f t="shared" si="400"/>
        <v>Yes</v>
      </c>
      <c r="AQ1175" t="str">
        <f>IFERROR(VLOOKUP(Z1175,InvBal!$L$4:$P$600,4,FALSE),"Pend")</f>
        <v>Pend</v>
      </c>
      <c r="AR1175" t="str">
        <f>IFERROR(VLOOKUP(D1175,Manual!$C$1:$E$22,2,FALSE),"Pend")</f>
        <v>Pend</v>
      </c>
      <c r="AS1175" t="str">
        <f t="shared" si="416"/>
        <v>Yes</v>
      </c>
      <c r="AT1175" t="str">
        <f t="shared" si="417"/>
        <v>Yes</v>
      </c>
      <c r="AU1175" s="51" t="str">
        <f t="shared" si="418"/>
        <v>Yes</v>
      </c>
      <c r="AV1175" s="12">
        <f>IFERROR(VLOOKUP(D1175,'Receivable Invoice Detail'!$S$1:$U$3014,3,FALSE),0)</f>
        <v>0</v>
      </c>
      <c r="AW1175" s="12">
        <f t="shared" si="419"/>
        <v>149.08700282415813</v>
      </c>
    </row>
    <row r="1176" spans="1:49" x14ac:dyDescent="0.25">
      <c r="A1176" s="2">
        <v>1</v>
      </c>
      <c r="B1176" s="2" t="s">
        <v>233</v>
      </c>
      <c r="C1176" s="2" t="s">
        <v>234</v>
      </c>
      <c r="D1176" s="2" t="s">
        <v>3354</v>
      </c>
      <c r="E1176" s="2" t="s">
        <v>70</v>
      </c>
      <c r="F1176" s="3">
        <v>45971.549513888887</v>
      </c>
      <c r="G1176" s="3">
        <v>45971.549687500003</v>
      </c>
      <c r="H1176" s="4">
        <v>45978</v>
      </c>
      <c r="I1176" s="2" t="s">
        <v>71</v>
      </c>
      <c r="J1176" s="2" t="s">
        <v>51</v>
      </c>
      <c r="K1176" s="2">
        <v>0.71202751048443413</v>
      </c>
      <c r="L1176" s="2">
        <v>547.70355675537553</v>
      </c>
      <c r="M1176" s="2">
        <v>0</v>
      </c>
      <c r="N1176" s="2">
        <v>389.98</v>
      </c>
      <c r="O1176" s="2">
        <v>389.98</v>
      </c>
      <c r="P1176" s="2"/>
      <c r="Q1176" s="2">
        <v>389.98</v>
      </c>
      <c r="R1176" s="2" t="s">
        <v>44</v>
      </c>
      <c r="S1176" s="2"/>
      <c r="T1176" s="2">
        <f t="shared" si="401"/>
        <v>1</v>
      </c>
      <c r="U1176" s="18">
        <f t="shared" si="402"/>
        <v>11</v>
      </c>
      <c r="V1176" s="18">
        <f t="shared" si="403"/>
        <v>2025</v>
      </c>
      <c r="W1176" s="18" t="str">
        <f t="shared" si="404"/>
        <v/>
      </c>
      <c r="X1176" s="18" t="str">
        <f t="shared" si="405"/>
        <v/>
      </c>
      <c r="Y1176" s="2">
        <f t="shared" si="398"/>
        <v>0.71202751048443413</v>
      </c>
      <c r="Z1176" t="str">
        <f t="shared" si="399"/>
        <v>SO18200</v>
      </c>
      <c r="AA1176" s="11">
        <f t="shared" si="406"/>
        <v>45971.549513888887</v>
      </c>
      <c r="AB1176" s="5" t="str">
        <f t="shared" si="407"/>
        <v>INV13676</v>
      </c>
      <c r="AC1176" s="5" t="str">
        <f>IFERROR(VLOOKUP(D1176,CAARStatus!$A$2:$AA$1600,22,FALSE),"Not invoiced")</f>
        <v>Approved</v>
      </c>
      <c r="AD1176" s="11" t="str">
        <f>IF(AC1176="Paid",IFERROR(VLOOKUP(D1176,CAARStatus!$A$2:$AA$1600,6,FALSE),"Pending"),"Pending")</f>
        <v>Pending</v>
      </c>
      <c r="AE1176" s="5" t="str">
        <f t="shared" si="408"/>
        <v>P370544</v>
      </c>
      <c r="AF1176" s="5" t="str">
        <f t="shared" si="409"/>
        <v>Covia Corp - Junction City</v>
      </c>
      <c r="AG1176" s="5" t="str">
        <f t="shared" si="410"/>
        <v>USD</v>
      </c>
      <c r="AH1176" s="5">
        <f t="shared" si="411"/>
        <v>547.70355675537553</v>
      </c>
      <c r="AI1176" s="12">
        <f>IF(L1176-N1176=0,VLOOKUP(U1176,rate!A$4:B$15,2,FALSE)*AH1176,IF(AG1176="USD",O1176,AH1176*Y1176))</f>
        <v>389.98</v>
      </c>
      <c r="AJ1176" s="13">
        <f t="shared" si="412"/>
        <v>0.71202751048443413</v>
      </c>
      <c r="AK1176" s="13">
        <f>-IF(AG1176="CAD",IFERROR(VLOOKUP(D1176,CAARStatus!$A$1:$Y$1600,16,FALSE),0),0)</f>
        <v>0</v>
      </c>
      <c r="AL1176" s="13">
        <f>-IF(AG1176="USD",IFERROR(VLOOKUP(D1176,CAARStatus!$A$1:$Y$1600,11,FALSE),0),0)</f>
        <v>-389.98</v>
      </c>
      <c r="AM1176" s="22" t="str">
        <f t="shared" si="413"/>
        <v/>
      </c>
      <c r="AN1176" s="12">
        <f t="shared" si="414"/>
        <v>0</v>
      </c>
      <c r="AO1176" s="12" t="str">
        <f t="shared" si="415"/>
        <v>Pend</v>
      </c>
      <c r="AP1176" t="str">
        <f t="shared" si="400"/>
        <v>Pend</v>
      </c>
      <c r="AQ1176" t="str">
        <f>IFERROR(VLOOKUP(Z1176,InvBal!$L$4:$P$600,4,FALSE),"Pend")</f>
        <v>Pend</v>
      </c>
      <c r="AR1176" t="str">
        <f>IFERROR(VLOOKUP(D1176,Manual!$C$1:$E$22,2,FALSE),"Pend")</f>
        <v>Pend</v>
      </c>
      <c r="AS1176" t="str">
        <f t="shared" si="416"/>
        <v/>
      </c>
      <c r="AT1176" t="str">
        <f t="shared" si="417"/>
        <v>Yes</v>
      </c>
      <c r="AU1176" s="51" t="str">
        <f t="shared" si="418"/>
        <v/>
      </c>
      <c r="AV1176" s="12">
        <f>IFERROR(VLOOKUP(D1176,'Receivable Invoice Detail'!$S$1:$U$3014,3,FALSE),0)</f>
        <v>25</v>
      </c>
      <c r="AW1176" s="12">
        <f t="shared" si="419"/>
        <v>0</v>
      </c>
    </row>
    <row r="1177" spans="1:49" x14ac:dyDescent="0.25">
      <c r="A1177" s="2">
        <v>2</v>
      </c>
      <c r="B1177" s="2" t="s">
        <v>160</v>
      </c>
      <c r="C1177" s="2" t="s">
        <v>161</v>
      </c>
      <c r="D1177" s="2" t="s">
        <v>3374</v>
      </c>
      <c r="E1177" s="2" t="s">
        <v>154</v>
      </c>
      <c r="F1177" s="3">
        <v>45971.723321759258</v>
      </c>
      <c r="G1177" s="3">
        <v>45979.57545138889</v>
      </c>
      <c r="H1177" s="4">
        <v>45986</v>
      </c>
      <c r="I1177" s="2" t="s">
        <v>36</v>
      </c>
      <c r="J1177" s="2" t="s">
        <v>22</v>
      </c>
      <c r="K1177" s="2">
        <v>1</v>
      </c>
      <c r="L1177" s="2">
        <v>6453.87</v>
      </c>
      <c r="M1177" s="2">
        <v>0</v>
      </c>
      <c r="N1177" s="2">
        <v>4611.0752943833586</v>
      </c>
      <c r="O1177" s="2">
        <v>6146.54</v>
      </c>
      <c r="P1177" s="2">
        <v>307.33</v>
      </c>
      <c r="Q1177" s="2">
        <v>6453.87</v>
      </c>
      <c r="R1177" s="2" t="s">
        <v>44</v>
      </c>
      <c r="S1177" s="2"/>
      <c r="T1177" s="2">
        <f t="shared" si="401"/>
        <v>2</v>
      </c>
      <c r="U1177" s="18">
        <f t="shared" si="402"/>
        <v>11</v>
      </c>
      <c r="V1177" s="18">
        <f t="shared" si="403"/>
        <v>2025</v>
      </c>
      <c r="W1177" s="18">
        <f t="shared" si="404"/>
        <v>11</v>
      </c>
      <c r="X1177" s="18">
        <f t="shared" si="405"/>
        <v>2025</v>
      </c>
      <c r="Y1177" s="2">
        <f t="shared" si="398"/>
        <v>0.71446671444937049</v>
      </c>
      <c r="Z1177" t="str">
        <f t="shared" si="399"/>
        <v>SO18204</v>
      </c>
      <c r="AA1177" s="11">
        <f t="shared" si="406"/>
        <v>45971.723321759258</v>
      </c>
      <c r="AB1177" s="5" t="str">
        <f t="shared" si="407"/>
        <v>INV13695</v>
      </c>
      <c r="AC1177" s="5" t="str">
        <f>IFERROR(VLOOKUP(D1177,CAARStatus!$A$2:$AA$1600,22,FALSE),"Not invoiced")</f>
        <v>Paid</v>
      </c>
      <c r="AD1177" s="11">
        <f>IF(AC1177="Paid",IFERROR(VLOOKUP(D1177,CAARStatus!$A$2:$AA$1600,6,FALSE),"Pending"),"Pending")</f>
        <v>45988</v>
      </c>
      <c r="AE1177" s="5" t="str">
        <f t="shared" si="408"/>
        <v>815748</v>
      </c>
      <c r="AF1177" s="5" t="str">
        <f t="shared" si="409"/>
        <v>Diamond Equipment Group Inc</v>
      </c>
      <c r="AG1177" s="5" t="str">
        <f t="shared" si="410"/>
        <v>CAD</v>
      </c>
      <c r="AH1177" s="5">
        <f t="shared" si="411"/>
        <v>6146.54</v>
      </c>
      <c r="AI1177" s="12">
        <f>IF(L1177-N1177=0,VLOOKUP(U1177,rate!A$4:B$15,2,FALSE)*AH1177,IF(AG1177="USD",O1177,AH1177*Y1177))</f>
        <v>4391.4982390316336</v>
      </c>
      <c r="AJ1177" s="13">
        <f t="shared" si="412"/>
        <v>0.71446671444937049</v>
      </c>
      <c r="AK1177" s="13">
        <f>-IF(AG1177="CAD",IFERROR(VLOOKUP(D1177,CAARStatus!$A$1:$Y$1600,16,FALSE),0),0)</f>
        <v>-6146.54</v>
      </c>
      <c r="AL1177" s="13">
        <f>-IF(AG1177="USD",IFERROR(VLOOKUP(D1177,CAARStatus!$A$1:$Y$1600,11,FALSE),0),0)</f>
        <v>0</v>
      </c>
      <c r="AM1177" s="22">
        <f t="shared" si="413"/>
        <v>0</v>
      </c>
      <c r="AN1177" s="12" t="str">
        <f t="shared" si="414"/>
        <v/>
      </c>
      <c r="AO1177" s="12" t="str">
        <f t="shared" si="415"/>
        <v>Yes</v>
      </c>
      <c r="AP1177" t="str">
        <f t="shared" si="400"/>
        <v>XX</v>
      </c>
      <c r="AQ1177" t="str">
        <f>IFERROR(VLOOKUP(Z1177,InvBal!$L$4:$P$600,4,FALSE),"Pend")</f>
        <v>Yes</v>
      </c>
      <c r="AR1177" t="str">
        <f>IFERROR(VLOOKUP(D1177,Manual!$C$1:$E$22,2,FALSE),"Pend")</f>
        <v>Pend</v>
      </c>
      <c r="AS1177" t="str">
        <f t="shared" si="416"/>
        <v>Yes</v>
      </c>
      <c r="AT1177" t="str">
        <f t="shared" si="417"/>
        <v>Yes</v>
      </c>
      <c r="AU1177" s="51" t="str">
        <f t="shared" si="418"/>
        <v>Yes</v>
      </c>
      <c r="AV1177" s="12">
        <f>IFERROR(VLOOKUP(D1177,'Receivable Invoice Detail'!$S$1:$U$3014,3,FALSE),0)</f>
        <v>0</v>
      </c>
      <c r="AW1177" s="12">
        <f t="shared" si="419"/>
        <v>4391.4982390316336</v>
      </c>
    </row>
    <row r="1178" spans="1:49" x14ac:dyDescent="0.25">
      <c r="A1178" s="2"/>
      <c r="B1178" s="2"/>
      <c r="C1178" s="2"/>
      <c r="D1178" s="2" t="s">
        <v>3373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>
        <f t="shared" si="401"/>
        <v>2</v>
      </c>
      <c r="U1178" s="18">
        <f t="shared" si="402"/>
        <v>11</v>
      </c>
      <c r="V1178" s="18">
        <f t="shared" si="403"/>
        <v>2025</v>
      </c>
      <c r="W1178" s="18" t="str">
        <f t="shared" si="404"/>
        <v/>
      </c>
      <c r="X1178" s="18" t="str">
        <f t="shared" si="405"/>
        <v/>
      </c>
      <c r="Y1178" s="2">
        <f t="shared" si="398"/>
        <v>0.71446671444937049</v>
      </c>
      <c r="Z1178" t="str">
        <f t="shared" si="399"/>
        <v>SO18204</v>
      </c>
      <c r="AA1178" s="11">
        <f t="shared" si="406"/>
        <v>45971.723321759258</v>
      </c>
      <c r="AB1178" s="5" t="str">
        <f t="shared" si="407"/>
        <v>INV13663</v>
      </c>
      <c r="AC1178" s="5" t="str">
        <f>IFERROR(VLOOKUP(D1178,CAARStatus!$A$2:$AA$1600,22,FALSE),"Not invoiced")</f>
        <v>Not invoiced</v>
      </c>
      <c r="AD1178" s="11" t="str">
        <f>IF(AC1178="Paid",IFERROR(VLOOKUP(D1178,CAARStatus!$A$2:$AA$1600,6,FALSE),"Pending"),"Pending")</f>
        <v>Pending</v>
      </c>
      <c r="AE1178" s="5" t="str">
        <f t="shared" si="408"/>
        <v>815748</v>
      </c>
      <c r="AF1178" s="5" t="str">
        <f t="shared" si="409"/>
        <v>Diamond Equipment Group Inc</v>
      </c>
      <c r="AG1178" s="5" t="str">
        <f t="shared" si="410"/>
        <v>CAD</v>
      </c>
      <c r="AH1178" s="5">
        <f t="shared" si="411"/>
        <v>0</v>
      </c>
      <c r="AI1178" s="12">
        <f>IF(L1178-N1178=0,VLOOKUP(U1178,rate!A$4:B$15,2,FALSE)*AH1178,IF(AG1178="USD",O1178,AH1178*Y1178))</f>
        <v>0</v>
      </c>
      <c r="AJ1178" s="13">
        <f t="shared" si="412"/>
        <v>0</v>
      </c>
      <c r="AK1178" s="13">
        <f>-IF(AG1178="CAD",IFERROR(VLOOKUP(D1178,CAARStatus!$A$1:$Y$1600,16,FALSE),0),0)</f>
        <v>0</v>
      </c>
      <c r="AL1178" s="13">
        <f>-IF(AG1178="USD",IFERROR(VLOOKUP(D1178,CAARStatus!$A$1:$Y$1600,11,FALSE),0),0)</f>
        <v>0</v>
      </c>
      <c r="AM1178" s="22">
        <f t="shared" si="413"/>
        <v>0</v>
      </c>
      <c r="AN1178" s="12" t="str">
        <f t="shared" si="414"/>
        <v/>
      </c>
      <c r="AO1178" s="12" t="str">
        <f t="shared" si="415"/>
        <v>Pend</v>
      </c>
      <c r="AP1178" t="str">
        <f t="shared" si="400"/>
        <v>XX</v>
      </c>
      <c r="AQ1178" t="str">
        <f>IFERROR(VLOOKUP(Z1178,InvBal!$L$4:$P$600,4,FALSE),"Pend")</f>
        <v>Yes</v>
      </c>
      <c r="AR1178" t="str">
        <f>IFERROR(VLOOKUP(D1178,Manual!$C$1:$E$22,2,FALSE),"Pend")</f>
        <v>Pend</v>
      </c>
      <c r="AS1178" t="str">
        <f t="shared" si="416"/>
        <v>Yes</v>
      </c>
      <c r="AT1178" t="str">
        <f t="shared" si="417"/>
        <v/>
      </c>
      <c r="AU1178" s="51" t="str">
        <f t="shared" si="418"/>
        <v/>
      </c>
      <c r="AV1178" s="12">
        <f>IFERROR(VLOOKUP(D1178,'Receivable Invoice Detail'!$S$1:$U$3014,3,FALSE),0)</f>
        <v>0</v>
      </c>
      <c r="AW1178" s="12">
        <f t="shared" si="419"/>
        <v>0</v>
      </c>
    </row>
    <row r="1179" spans="1:49" x14ac:dyDescent="0.25">
      <c r="A1179" s="2">
        <v>1</v>
      </c>
      <c r="B1179" s="2" t="s">
        <v>227</v>
      </c>
      <c r="C1179" s="2" t="s">
        <v>228</v>
      </c>
      <c r="D1179" s="2" t="s">
        <v>3355</v>
      </c>
      <c r="E1179" s="2" t="s">
        <v>229</v>
      </c>
      <c r="F1179" s="3">
        <v>45971.745185185187</v>
      </c>
      <c r="G1179" s="3">
        <v>45971.762997685182</v>
      </c>
      <c r="H1179" s="4">
        <v>45972</v>
      </c>
      <c r="I1179" s="2" t="s">
        <v>21</v>
      </c>
      <c r="J1179" s="2" t="s">
        <v>22</v>
      </c>
      <c r="K1179" s="2">
        <v>1</v>
      </c>
      <c r="L1179" s="2">
        <v>3099.83</v>
      </c>
      <c r="M1179" s="2">
        <v>0</v>
      </c>
      <c r="N1179" s="2">
        <v>2209.3142937394118</v>
      </c>
      <c r="O1179" s="2">
        <v>2952.22</v>
      </c>
      <c r="P1179" s="2">
        <v>147.61000000000001</v>
      </c>
      <c r="Q1179" s="2">
        <v>3099.83</v>
      </c>
      <c r="R1179" s="2" t="s">
        <v>44</v>
      </c>
      <c r="S1179" s="2"/>
      <c r="T1179" s="2">
        <f t="shared" si="401"/>
        <v>1</v>
      </c>
      <c r="U1179" s="18">
        <f t="shared" si="402"/>
        <v>11</v>
      </c>
      <c r="V1179" s="18">
        <f t="shared" si="403"/>
        <v>2025</v>
      </c>
      <c r="W1179" s="18">
        <f t="shared" si="404"/>
        <v>1</v>
      </c>
      <c r="X1179" s="18">
        <f t="shared" si="405"/>
        <v>2026</v>
      </c>
      <c r="Y1179" s="2">
        <f t="shared" si="398"/>
        <v>0.71272111494482338</v>
      </c>
      <c r="Z1179" t="str">
        <f t="shared" si="399"/>
        <v>SO18206</v>
      </c>
      <c r="AA1179" s="11">
        <f t="shared" si="406"/>
        <v>45971.745185185187</v>
      </c>
      <c r="AB1179" s="5" t="str">
        <f t="shared" si="407"/>
        <v>INV13658</v>
      </c>
      <c r="AC1179" s="5" t="str">
        <f>IFERROR(VLOOKUP(D1179,CAARStatus!$A$2:$AA$1600,22,FALSE),"Not invoiced")</f>
        <v>Paid</v>
      </c>
      <c r="AD1179" s="11">
        <f>IF(AC1179="Paid",IFERROR(VLOOKUP(D1179,CAARStatus!$A$2:$AA$1600,6,FALSE),"Pending"),"Pending")</f>
        <v>46024</v>
      </c>
      <c r="AE1179" s="5" t="str">
        <f t="shared" si="408"/>
        <v>2200115002</v>
      </c>
      <c r="AF1179" s="5" t="str">
        <f t="shared" si="409"/>
        <v>Wajax Limited - Lachine</v>
      </c>
      <c r="AG1179" s="5" t="str">
        <f t="shared" si="410"/>
        <v>CAD</v>
      </c>
      <c r="AH1179" s="5">
        <f t="shared" si="411"/>
        <v>2952.22</v>
      </c>
      <c r="AI1179" s="12">
        <f>IF(L1179-N1179=0,VLOOKUP(U1179,rate!A$4:B$15,2,FALSE)*AH1179,IF(AG1179="USD",O1179,AH1179*Y1179))</f>
        <v>2104.1095299624062</v>
      </c>
      <c r="AJ1179" s="13">
        <f t="shared" si="412"/>
        <v>0.71272111494482338</v>
      </c>
      <c r="AK1179" s="13">
        <f>-IF(AG1179="CAD",IFERROR(VLOOKUP(D1179,CAARStatus!$A$1:$Y$1600,16,FALSE),0),0)</f>
        <v>-2952.22</v>
      </c>
      <c r="AL1179" s="13">
        <f>-IF(AG1179="USD",IFERROR(VLOOKUP(D1179,CAARStatus!$A$1:$Y$1600,11,FALSE),0),0)</f>
        <v>0</v>
      </c>
      <c r="AM1179" s="22">
        <f t="shared" si="413"/>
        <v>0</v>
      </c>
      <c r="AN1179" s="12" t="str">
        <f t="shared" si="414"/>
        <v/>
      </c>
      <c r="AO1179" s="12" t="str">
        <f t="shared" si="415"/>
        <v>Yes</v>
      </c>
      <c r="AP1179" t="str">
        <f t="shared" si="400"/>
        <v>Yes</v>
      </c>
      <c r="AQ1179" t="str">
        <f>IFERROR(VLOOKUP(Z1179,InvBal!$L$4:$P$600,4,FALSE),"Pend")</f>
        <v>Pend</v>
      </c>
      <c r="AR1179" t="str">
        <f>IFERROR(VLOOKUP(D1179,Manual!$C$1:$E$22,2,FALSE),"Pend")</f>
        <v>Pend</v>
      </c>
      <c r="AS1179" t="str">
        <f t="shared" si="416"/>
        <v>Yes</v>
      </c>
      <c r="AT1179" t="str">
        <f t="shared" si="417"/>
        <v>Yes</v>
      </c>
      <c r="AU1179" s="51" t="str">
        <f t="shared" si="418"/>
        <v>Yes</v>
      </c>
      <c r="AV1179" s="12">
        <f>IFERROR(VLOOKUP(D1179,'Receivable Invoice Detail'!$S$1:$U$3014,3,FALSE),0)</f>
        <v>0</v>
      </c>
      <c r="AW1179" s="12">
        <f t="shared" si="419"/>
        <v>2104.1095299624062</v>
      </c>
    </row>
    <row r="1180" spans="1:49" x14ac:dyDescent="0.25">
      <c r="A1180" s="2">
        <v>1</v>
      </c>
      <c r="B1180" s="2" t="s">
        <v>222</v>
      </c>
      <c r="C1180" s="2" t="s">
        <v>223</v>
      </c>
      <c r="D1180" s="2" t="s">
        <v>3356</v>
      </c>
      <c r="E1180" s="2" t="s">
        <v>95</v>
      </c>
      <c r="F1180" s="3">
        <v>45972.539074074077</v>
      </c>
      <c r="G1180" s="3">
        <v>45972.53628472222</v>
      </c>
      <c r="H1180" s="4">
        <v>45974</v>
      </c>
      <c r="I1180" s="2" t="s">
        <v>21</v>
      </c>
      <c r="J1180" s="2" t="s">
        <v>22</v>
      </c>
      <c r="K1180" s="2">
        <v>1</v>
      </c>
      <c r="L1180" s="2">
        <v>2254.39</v>
      </c>
      <c r="M1180" s="2">
        <v>0</v>
      </c>
      <c r="N1180" s="2">
        <v>1609.186941897191</v>
      </c>
      <c r="O1180" s="2">
        <v>2147.04</v>
      </c>
      <c r="P1180" s="2">
        <v>107.35</v>
      </c>
      <c r="Q1180" s="2">
        <v>2254.39</v>
      </c>
      <c r="R1180" s="2" t="s">
        <v>44</v>
      </c>
      <c r="S1180" s="2"/>
      <c r="T1180" s="2">
        <f t="shared" si="401"/>
        <v>1</v>
      </c>
      <c r="U1180" s="18">
        <f t="shared" si="402"/>
        <v>11</v>
      </c>
      <c r="V1180" s="18">
        <f t="shared" si="403"/>
        <v>2025</v>
      </c>
      <c r="W1180" s="18">
        <f t="shared" si="404"/>
        <v>12</v>
      </c>
      <c r="X1180" s="18">
        <f t="shared" si="405"/>
        <v>2025</v>
      </c>
      <c r="Y1180" s="2">
        <f t="shared" si="398"/>
        <v>0.71380149037974405</v>
      </c>
      <c r="Z1180" t="str">
        <f t="shared" si="399"/>
        <v>SO18209</v>
      </c>
      <c r="AA1180" s="11">
        <f t="shared" si="406"/>
        <v>45972.539074074077</v>
      </c>
      <c r="AB1180" s="5" t="str">
        <f t="shared" si="407"/>
        <v>INV13648</v>
      </c>
      <c r="AC1180" s="5" t="str">
        <f>IFERROR(VLOOKUP(D1180,CAARStatus!$A$2:$AA$1600,22,FALSE),"Not invoiced")</f>
        <v>Paid</v>
      </c>
      <c r="AD1180" s="11">
        <f>IF(AC1180="Paid",IFERROR(VLOOKUP(D1180,CAARStatus!$A$2:$AA$1600,6,FALSE),"Pending"),"Pending")</f>
        <v>46001</v>
      </c>
      <c r="AE1180" s="5" t="str">
        <f t="shared" si="408"/>
        <v>326286</v>
      </c>
      <c r="AF1180" s="5" t="str">
        <f t="shared" si="409"/>
        <v>Gibraltar Mine (Canada)</v>
      </c>
      <c r="AG1180" s="5" t="str">
        <f t="shared" si="410"/>
        <v>CAD</v>
      </c>
      <c r="AH1180" s="5">
        <f t="shared" si="411"/>
        <v>2147.04</v>
      </c>
      <c r="AI1180" s="12">
        <f>IF(L1180-N1180=0,VLOOKUP(U1180,rate!A$4:B$15,2,FALSE)*AH1180,IF(AG1180="USD",O1180,AH1180*Y1180))</f>
        <v>1532.5603519049257</v>
      </c>
      <c r="AJ1180" s="13">
        <f t="shared" si="412"/>
        <v>0.71380149037974405</v>
      </c>
      <c r="AK1180" s="13">
        <f>-IF(AG1180="CAD",IFERROR(VLOOKUP(D1180,CAARStatus!$A$1:$Y$1600,16,FALSE),0),0)</f>
        <v>-2147.04</v>
      </c>
      <c r="AL1180" s="13">
        <f>-IF(AG1180="USD",IFERROR(VLOOKUP(D1180,CAARStatus!$A$1:$Y$1600,11,FALSE),0),0)</f>
        <v>0</v>
      </c>
      <c r="AM1180" s="22">
        <f t="shared" si="413"/>
        <v>0</v>
      </c>
      <c r="AN1180" s="12" t="str">
        <f t="shared" si="414"/>
        <v/>
      </c>
      <c r="AO1180" s="12" t="str">
        <f t="shared" si="415"/>
        <v>Yes</v>
      </c>
      <c r="AP1180" t="str">
        <f t="shared" si="400"/>
        <v>Yes</v>
      </c>
      <c r="AQ1180" t="str">
        <f>IFERROR(VLOOKUP(Z1180,InvBal!$L$4:$P$600,4,FALSE),"Pend")</f>
        <v>Pend</v>
      </c>
      <c r="AR1180" t="str">
        <f>IFERROR(VLOOKUP(D1180,Manual!$C$1:$E$22,2,FALSE),"Pend")</f>
        <v>Pend</v>
      </c>
      <c r="AS1180" t="str">
        <f t="shared" si="416"/>
        <v>Yes</v>
      </c>
      <c r="AT1180" t="str">
        <f t="shared" si="417"/>
        <v>Yes</v>
      </c>
      <c r="AU1180" s="51" t="str">
        <f t="shared" si="418"/>
        <v>Yes</v>
      </c>
      <c r="AV1180" s="12">
        <f>IFERROR(VLOOKUP(D1180,'Receivable Invoice Detail'!$S$1:$U$3014,3,FALSE),0)</f>
        <v>0</v>
      </c>
      <c r="AW1180" s="12">
        <f t="shared" si="419"/>
        <v>1532.5603519049257</v>
      </c>
    </row>
    <row r="1181" spans="1:49" x14ac:dyDescent="0.25">
      <c r="A1181" s="2">
        <v>1</v>
      </c>
      <c r="B1181" s="2" t="s">
        <v>220</v>
      </c>
      <c r="C1181" s="2" t="s">
        <v>221</v>
      </c>
      <c r="D1181" s="2" t="s">
        <v>3357</v>
      </c>
      <c r="E1181" s="2" t="s">
        <v>64</v>
      </c>
      <c r="F1181" s="3">
        <v>45972.55164351852</v>
      </c>
      <c r="G1181" s="3">
        <v>45972.551666666674</v>
      </c>
      <c r="H1181" s="4">
        <v>45973</v>
      </c>
      <c r="I1181" s="2" t="s">
        <v>21</v>
      </c>
      <c r="J1181" s="2" t="s">
        <v>22</v>
      </c>
      <c r="K1181" s="2">
        <v>1</v>
      </c>
      <c r="L1181" s="2">
        <v>412.89</v>
      </c>
      <c r="M1181" s="2">
        <v>0</v>
      </c>
      <c r="N1181" s="2">
        <v>294.72149736289242</v>
      </c>
      <c r="O1181" s="2">
        <v>365.39</v>
      </c>
      <c r="P1181" s="2">
        <v>47.5</v>
      </c>
      <c r="Q1181" s="2">
        <v>412.89</v>
      </c>
      <c r="R1181" s="2" t="s">
        <v>44</v>
      </c>
      <c r="S1181" s="2"/>
      <c r="T1181" s="2">
        <f t="shared" si="401"/>
        <v>1</v>
      </c>
      <c r="U1181" s="18">
        <f t="shared" si="402"/>
        <v>11</v>
      </c>
      <c r="V1181" s="18">
        <f t="shared" si="403"/>
        <v>2025</v>
      </c>
      <c r="W1181" s="18">
        <f t="shared" si="404"/>
        <v>12</v>
      </c>
      <c r="X1181" s="18">
        <f t="shared" si="405"/>
        <v>2025</v>
      </c>
      <c r="Y1181" s="2">
        <f t="shared" si="398"/>
        <v>0.71380149037974383</v>
      </c>
      <c r="Z1181" t="str">
        <f t="shared" si="399"/>
        <v>SO18210</v>
      </c>
      <c r="AA1181" s="11">
        <f t="shared" si="406"/>
        <v>45972.55164351852</v>
      </c>
      <c r="AB1181" s="5" t="str">
        <f t="shared" si="407"/>
        <v>INV13652</v>
      </c>
      <c r="AC1181" s="5" t="str">
        <f>IFERROR(VLOOKUP(D1181,CAARStatus!$A$2:$AA$1600,22,FALSE),"Not invoiced")</f>
        <v>Paid</v>
      </c>
      <c r="AD1181" s="11">
        <f>IF(AC1181="Paid",IFERROR(VLOOKUP(D1181,CAARStatus!$A$2:$AA$1600,6,FALSE),"Pending"),"Pending")</f>
        <v>46020</v>
      </c>
      <c r="AE1181" s="5" t="str">
        <f t="shared" si="408"/>
        <v>607075</v>
      </c>
      <c r="AF1181" s="5" t="str">
        <f t="shared" si="409"/>
        <v>Sealtrac Inc.</v>
      </c>
      <c r="AG1181" s="5" t="str">
        <f t="shared" si="410"/>
        <v>CAD</v>
      </c>
      <c r="AH1181" s="5">
        <f t="shared" si="411"/>
        <v>365.39</v>
      </c>
      <c r="AI1181" s="12">
        <f>IF(L1181-N1181=0,VLOOKUP(U1181,rate!A$4:B$15,2,FALSE)*AH1181,IF(AG1181="USD",O1181,AH1181*Y1181))</f>
        <v>260.81592656985458</v>
      </c>
      <c r="AJ1181" s="13">
        <f t="shared" si="412"/>
        <v>0.71380149037974383</v>
      </c>
      <c r="AK1181" s="13">
        <f>-IF(AG1181="CAD",IFERROR(VLOOKUP(D1181,CAARStatus!$A$1:$Y$1600,16,FALSE),0),0)</f>
        <v>-365.39</v>
      </c>
      <c r="AL1181" s="13">
        <f>-IF(AG1181="USD",IFERROR(VLOOKUP(D1181,CAARStatus!$A$1:$Y$1600,11,FALSE),0),0)</f>
        <v>0</v>
      </c>
      <c r="AM1181" s="22">
        <f t="shared" si="413"/>
        <v>0</v>
      </c>
      <c r="AN1181" s="12" t="str">
        <f t="shared" si="414"/>
        <v/>
      </c>
      <c r="AO1181" s="12" t="str">
        <f t="shared" si="415"/>
        <v>Yes</v>
      </c>
      <c r="AP1181" t="str">
        <f t="shared" si="400"/>
        <v>Yes</v>
      </c>
      <c r="AQ1181" t="str">
        <f>IFERROR(VLOOKUP(Z1181,InvBal!$L$4:$P$600,4,FALSE),"Pend")</f>
        <v>Pend</v>
      </c>
      <c r="AR1181" t="str">
        <f>IFERROR(VLOOKUP(D1181,Manual!$C$1:$E$22,2,FALSE),"Pend")</f>
        <v>Pend</v>
      </c>
      <c r="AS1181" t="str">
        <f t="shared" si="416"/>
        <v>Yes</v>
      </c>
      <c r="AT1181" t="str">
        <f t="shared" si="417"/>
        <v>Yes</v>
      </c>
      <c r="AU1181" s="51" t="str">
        <f t="shared" si="418"/>
        <v>Yes</v>
      </c>
      <c r="AV1181" s="12">
        <f>IFERROR(VLOOKUP(D1181,'Receivable Invoice Detail'!$S$1:$U$3014,3,FALSE),0)</f>
        <v>0</v>
      </c>
      <c r="AW1181" s="12">
        <f t="shared" si="419"/>
        <v>260.81592656985458</v>
      </c>
    </row>
    <row r="1182" spans="1:49" ht="30" x14ac:dyDescent="0.25">
      <c r="A1182" s="2">
        <v>1</v>
      </c>
      <c r="B1182" s="2" t="s">
        <v>210</v>
      </c>
      <c r="C1182" s="2" t="s">
        <v>211</v>
      </c>
      <c r="D1182" s="2" t="s">
        <v>3360</v>
      </c>
      <c r="E1182" s="2" t="s">
        <v>20</v>
      </c>
      <c r="F1182" s="3">
        <v>45972.562291666669</v>
      </c>
      <c r="G1182" s="3">
        <v>45972.734166666669</v>
      </c>
      <c r="H1182" s="4">
        <v>45973</v>
      </c>
      <c r="I1182" s="2" t="s">
        <v>21</v>
      </c>
      <c r="J1182" s="2" t="s">
        <v>22</v>
      </c>
      <c r="K1182" s="2">
        <v>1</v>
      </c>
      <c r="L1182" s="2">
        <v>365.17</v>
      </c>
      <c r="M1182" s="2">
        <v>0</v>
      </c>
      <c r="N1182" s="2">
        <v>260.65889024197111</v>
      </c>
      <c r="O1182" s="2">
        <v>347.78</v>
      </c>
      <c r="P1182" s="2">
        <v>17.39</v>
      </c>
      <c r="Q1182" s="2">
        <v>365.17</v>
      </c>
      <c r="R1182" s="2" t="s">
        <v>44</v>
      </c>
      <c r="S1182" s="2"/>
      <c r="T1182" s="2">
        <f t="shared" si="401"/>
        <v>1</v>
      </c>
      <c r="U1182" s="18">
        <f t="shared" si="402"/>
        <v>11</v>
      </c>
      <c r="V1182" s="18">
        <f t="shared" si="403"/>
        <v>2025</v>
      </c>
      <c r="W1182" s="18" t="str">
        <f t="shared" si="404"/>
        <v/>
      </c>
      <c r="X1182" s="18" t="str">
        <f t="shared" si="405"/>
        <v/>
      </c>
      <c r="Y1182" s="2">
        <f t="shared" si="398"/>
        <v>0.71380149037974394</v>
      </c>
      <c r="Z1182" t="str">
        <f t="shared" si="399"/>
        <v>SO18211</v>
      </c>
      <c r="AA1182" s="11">
        <f t="shared" si="406"/>
        <v>45972.562291666669</v>
      </c>
      <c r="AB1182" s="5" t="str">
        <f t="shared" si="407"/>
        <v>INV13638</v>
      </c>
      <c r="AC1182" s="5" t="str">
        <f>IFERROR(VLOOKUP(D1182,CAARStatus!$A$2:$AA$1600,22,FALSE),"Not invoiced")</f>
        <v>Approved</v>
      </c>
      <c r="AD1182" s="11" t="str">
        <f>IF(AC1182="Paid",IFERROR(VLOOKUP(D1182,CAARStatus!$A$2:$AA$1600,6,FALSE),"Pending"),"Pending")</f>
        <v>Pending</v>
      </c>
      <c r="AE1182" s="5" t="str">
        <f t="shared" si="408"/>
        <v>4500621522</v>
      </c>
      <c r="AF1182" s="5" t="str">
        <f t="shared" si="409"/>
        <v>Resolute Forest Products - Saint-Felicien</v>
      </c>
      <c r="AG1182" s="5" t="str">
        <f t="shared" si="410"/>
        <v>CAD</v>
      </c>
      <c r="AH1182" s="5">
        <f t="shared" si="411"/>
        <v>347.78</v>
      </c>
      <c r="AI1182" s="12">
        <f>IF(L1182-N1182=0,VLOOKUP(U1182,rate!A$4:B$15,2,FALSE)*AH1182,IF(AG1182="USD",O1182,AH1182*Y1182))</f>
        <v>248.24588232426734</v>
      </c>
      <c r="AJ1182" s="13">
        <f t="shared" si="412"/>
        <v>0.71380149037974394</v>
      </c>
      <c r="AK1182" s="13">
        <f>-IF(AG1182="CAD",IFERROR(VLOOKUP(D1182,CAARStatus!$A$1:$Y$1600,16,FALSE),0),0)</f>
        <v>-347.78</v>
      </c>
      <c r="AL1182" s="13">
        <f>-IF(AG1182="USD",IFERROR(VLOOKUP(D1182,CAARStatus!$A$1:$Y$1600,11,FALSE),0),0)</f>
        <v>0</v>
      </c>
      <c r="AM1182" s="22">
        <f t="shared" si="413"/>
        <v>0</v>
      </c>
      <c r="AN1182" s="12" t="str">
        <f t="shared" si="414"/>
        <v/>
      </c>
      <c r="AO1182" s="12" t="str">
        <f t="shared" si="415"/>
        <v>Pend</v>
      </c>
      <c r="AP1182" t="str">
        <f t="shared" si="400"/>
        <v>Pend</v>
      </c>
      <c r="AQ1182" t="str">
        <f>IFERROR(VLOOKUP(Z1182,InvBal!$L$4:$P$600,4,FALSE),"Pend")</f>
        <v>Pend</v>
      </c>
      <c r="AR1182" t="str">
        <f>IFERROR(VLOOKUP(D1182,Manual!$C$1:$E$22,2,FALSE),"Pend")</f>
        <v>Pend</v>
      </c>
      <c r="AS1182" t="str">
        <f t="shared" si="416"/>
        <v/>
      </c>
      <c r="AT1182" t="str">
        <f t="shared" si="417"/>
        <v>Yes</v>
      </c>
      <c r="AU1182" s="51" t="str">
        <f t="shared" si="418"/>
        <v/>
      </c>
      <c r="AV1182" s="12">
        <f>IFERROR(VLOOKUP(D1182,'Receivable Invoice Detail'!$S$1:$U$3014,3,FALSE),0)</f>
        <v>0</v>
      </c>
      <c r="AW1182" s="12">
        <f t="shared" si="419"/>
        <v>0</v>
      </c>
    </row>
    <row r="1183" spans="1:49" ht="30" x14ac:dyDescent="0.25">
      <c r="A1183" s="2">
        <v>1</v>
      </c>
      <c r="B1183" s="2" t="s">
        <v>212</v>
      </c>
      <c r="C1183" s="2" t="s">
        <v>213</v>
      </c>
      <c r="D1183" s="2" t="s">
        <v>3359</v>
      </c>
      <c r="E1183" s="2" t="s">
        <v>179</v>
      </c>
      <c r="F1183" s="3">
        <v>45972.648981481478</v>
      </c>
      <c r="G1183" s="3">
        <v>45972.731817129628</v>
      </c>
      <c r="H1183" s="4">
        <v>45978</v>
      </c>
      <c r="I1183" s="2" t="s">
        <v>180</v>
      </c>
      <c r="J1183" s="2" t="s">
        <v>51</v>
      </c>
      <c r="K1183" s="2">
        <v>0.71272111494482349</v>
      </c>
      <c r="L1183" s="2">
        <v>5205.7107923443982</v>
      </c>
      <c r="M1183" s="2">
        <v>0</v>
      </c>
      <c r="N1183" s="2">
        <v>3710.22</v>
      </c>
      <c r="O1183" s="2">
        <v>3710.22</v>
      </c>
      <c r="P1183" s="2"/>
      <c r="Q1183" s="2">
        <v>3710.22</v>
      </c>
      <c r="R1183" s="2" t="s">
        <v>23</v>
      </c>
      <c r="S1183" s="2"/>
      <c r="T1183" s="2">
        <f t="shared" si="401"/>
        <v>1</v>
      </c>
      <c r="U1183" s="18">
        <f t="shared" si="402"/>
        <v>11</v>
      </c>
      <c r="V1183" s="18">
        <f t="shared" si="403"/>
        <v>2025</v>
      </c>
      <c r="W1183" s="18" t="str">
        <f t="shared" si="404"/>
        <v/>
      </c>
      <c r="X1183" s="18" t="str">
        <f t="shared" si="405"/>
        <v/>
      </c>
      <c r="Y1183" s="2">
        <f t="shared" si="398"/>
        <v>0.71272111494482349</v>
      </c>
      <c r="Z1183" t="str">
        <f t="shared" si="399"/>
        <v>SO18212</v>
      </c>
      <c r="AA1183" s="11">
        <f t="shared" si="406"/>
        <v>45972.648981481478</v>
      </c>
      <c r="AB1183" s="5" t="str">
        <f t="shared" si="407"/>
        <v>INV13640</v>
      </c>
      <c r="AC1183" s="5" t="str">
        <f>IFERROR(VLOOKUP(D1183,CAARStatus!$A$2:$AA$1600,22,FALSE),"Not invoiced")</f>
        <v>Not invoiced</v>
      </c>
      <c r="AD1183" s="11" t="str">
        <f>IF(AC1183="Paid",IFERROR(VLOOKUP(D1183,CAARStatus!$A$2:$AA$1600,6,FALSE),"Pending"),"Pending")</f>
        <v>Pending</v>
      </c>
      <c r="AE1183" s="5" t="str">
        <f t="shared" si="408"/>
        <v>Sump Pump Repair # 1</v>
      </c>
      <c r="AF1183" s="5" t="str">
        <f t="shared" si="409"/>
        <v>Dynapro Pumps</v>
      </c>
      <c r="AG1183" s="5" t="str">
        <f t="shared" si="410"/>
        <v>USD</v>
      </c>
      <c r="AH1183" s="5">
        <f t="shared" si="411"/>
        <v>5205.7107923443982</v>
      </c>
      <c r="AI1183" s="12">
        <f>IF(L1183-N1183=0,VLOOKUP(U1183,rate!A$4:B$15,2,FALSE)*AH1183,IF(AG1183="USD",O1183,AH1183*Y1183))</f>
        <v>3710.22</v>
      </c>
      <c r="AJ1183" s="13">
        <f t="shared" si="412"/>
        <v>0.71272111494482349</v>
      </c>
      <c r="AK1183" s="13">
        <f>-IF(AG1183="CAD",IFERROR(VLOOKUP(D1183,CAARStatus!$A$1:$Y$1600,16,FALSE),0),0)</f>
        <v>0</v>
      </c>
      <c r="AL1183" s="13">
        <f>-IF(AG1183="USD",IFERROR(VLOOKUP(D1183,CAARStatus!$A$1:$Y$1600,11,FALSE),0),0)</f>
        <v>0</v>
      </c>
      <c r="AM1183" s="22" t="str">
        <f t="shared" si="413"/>
        <v/>
      </c>
      <c r="AN1183" s="12">
        <f t="shared" si="414"/>
        <v>3710.22</v>
      </c>
      <c r="AO1183" s="12" t="str">
        <f t="shared" si="415"/>
        <v>Pend</v>
      </c>
      <c r="AP1183" t="str">
        <f t="shared" si="400"/>
        <v>Pend</v>
      </c>
      <c r="AQ1183" t="str">
        <f>IFERROR(VLOOKUP(Z1183,InvBal!$L$4:$P$600,4,FALSE),"Pend")</f>
        <v>Pend</v>
      </c>
      <c r="AR1183" t="str">
        <f>IFERROR(VLOOKUP(D1183,Manual!$C$1:$E$22,2,FALSE),"Pend")</f>
        <v>Pend</v>
      </c>
      <c r="AS1183" t="str">
        <f t="shared" si="416"/>
        <v/>
      </c>
      <c r="AT1183" t="str">
        <f t="shared" si="417"/>
        <v/>
      </c>
      <c r="AU1183" s="51" t="str">
        <f t="shared" si="418"/>
        <v/>
      </c>
      <c r="AV1183" s="12">
        <f>IFERROR(VLOOKUP(D1183,'Receivable Invoice Detail'!$S$1:$U$3014,3,FALSE),0)</f>
        <v>0</v>
      </c>
      <c r="AW1183" s="12">
        <f t="shared" si="419"/>
        <v>0</v>
      </c>
    </row>
    <row r="1184" spans="1:49" ht="30" x14ac:dyDescent="0.25">
      <c r="A1184" s="2">
        <v>1</v>
      </c>
      <c r="B1184" s="2" t="s">
        <v>214</v>
      </c>
      <c r="C1184" s="2" t="s">
        <v>215</v>
      </c>
      <c r="D1184" s="2" t="s">
        <v>6328</v>
      </c>
      <c r="E1184" s="2" t="s">
        <v>179</v>
      </c>
      <c r="F1184" s="3">
        <v>45972.7028125</v>
      </c>
      <c r="G1184" s="3">
        <v>45972.731493055559</v>
      </c>
      <c r="H1184" s="4">
        <v>45978</v>
      </c>
      <c r="I1184" s="2" t="s">
        <v>180</v>
      </c>
      <c r="J1184" s="2" t="s">
        <v>51</v>
      </c>
      <c r="K1184" s="2">
        <v>0.71272111494482349</v>
      </c>
      <c r="L1184" s="2">
        <v>4373.8286050937786</v>
      </c>
      <c r="M1184" s="2">
        <v>0</v>
      </c>
      <c r="N1184" s="2">
        <v>3117.32</v>
      </c>
      <c r="O1184" s="2">
        <v>3117.32</v>
      </c>
      <c r="P1184" s="2"/>
      <c r="Q1184" s="2">
        <v>3117.32</v>
      </c>
      <c r="R1184" s="2" t="s">
        <v>44</v>
      </c>
      <c r="S1184" s="2"/>
      <c r="T1184" s="2">
        <f t="shared" si="401"/>
        <v>1</v>
      </c>
      <c r="U1184" s="18">
        <f t="shared" si="402"/>
        <v>11</v>
      </c>
      <c r="V1184" s="18">
        <f t="shared" si="403"/>
        <v>2025</v>
      </c>
      <c r="W1184" s="18" t="str">
        <f t="shared" si="404"/>
        <v/>
      </c>
      <c r="X1184" s="18" t="str">
        <f t="shared" si="405"/>
        <v/>
      </c>
      <c r="Y1184" s="2">
        <f t="shared" si="398"/>
        <v>0.71272111494482349</v>
      </c>
      <c r="Z1184" t="str">
        <f t="shared" si="399"/>
        <v>SO18213</v>
      </c>
      <c r="AA1184" s="11">
        <f t="shared" si="406"/>
        <v>45972.7028125</v>
      </c>
      <c r="AB1184" s="5" t="str">
        <f t="shared" si="407"/>
        <v>INV13731</v>
      </c>
      <c r="AC1184" s="5" t="str">
        <f>IFERROR(VLOOKUP(D1184,CAARStatus!$A$2:$AA$1600,22,FALSE),"Not invoiced")</f>
        <v>Not invoiced</v>
      </c>
      <c r="AD1184" s="11" t="str">
        <f>IF(AC1184="Paid",IFERROR(VLOOKUP(D1184,CAARStatus!$A$2:$AA$1600,6,FALSE),"Pending"),"Pending")</f>
        <v>Pending</v>
      </c>
      <c r="AE1184" s="5" t="str">
        <f t="shared" si="408"/>
        <v>Sump Pump Repair # 2</v>
      </c>
      <c r="AF1184" s="5" t="str">
        <f t="shared" si="409"/>
        <v>Dynapro Pumps</v>
      </c>
      <c r="AG1184" s="5" t="str">
        <f t="shared" si="410"/>
        <v>USD</v>
      </c>
      <c r="AH1184" s="5">
        <f t="shared" si="411"/>
        <v>4373.8286050937786</v>
      </c>
      <c r="AI1184" s="12">
        <f>IF(L1184-N1184=0,VLOOKUP(U1184,rate!A$4:B$15,2,FALSE)*AH1184,IF(AG1184="USD",O1184,AH1184*Y1184))</f>
        <v>3117.32</v>
      </c>
      <c r="AJ1184" s="13">
        <f t="shared" si="412"/>
        <v>0.71272111494482349</v>
      </c>
      <c r="AK1184" s="13">
        <f>-IF(AG1184="CAD",IFERROR(VLOOKUP(D1184,CAARStatus!$A$1:$Y$1600,16,FALSE),0),0)</f>
        <v>0</v>
      </c>
      <c r="AL1184" s="13">
        <f>-IF(AG1184="USD",IFERROR(VLOOKUP(D1184,CAARStatus!$A$1:$Y$1600,11,FALSE),0),0)</f>
        <v>0</v>
      </c>
      <c r="AM1184" s="22" t="str">
        <f t="shared" si="413"/>
        <v/>
      </c>
      <c r="AN1184" s="12">
        <f t="shared" si="414"/>
        <v>3117.32</v>
      </c>
      <c r="AO1184" s="12" t="str">
        <f t="shared" si="415"/>
        <v>Pend</v>
      </c>
      <c r="AP1184" t="str">
        <f t="shared" si="400"/>
        <v>Pend</v>
      </c>
      <c r="AQ1184" t="str">
        <f>IFERROR(VLOOKUP(Z1184,InvBal!$L$4:$P$600,4,FALSE),"Pend")</f>
        <v>Pend</v>
      </c>
      <c r="AR1184" t="str">
        <f>IFERROR(VLOOKUP(D1184,Manual!$C$1:$E$22,2,FALSE),"Pend")</f>
        <v>Pend</v>
      </c>
      <c r="AS1184" t="str">
        <f t="shared" si="416"/>
        <v/>
      </c>
      <c r="AT1184" t="str">
        <f t="shared" si="417"/>
        <v>Yes</v>
      </c>
      <c r="AU1184" s="51" t="str">
        <f t="shared" si="418"/>
        <v/>
      </c>
      <c r="AV1184" s="12">
        <f>IFERROR(VLOOKUP(D1184,'Receivable Invoice Detail'!$S$1:$U$3014,3,FALSE),0)</f>
        <v>0</v>
      </c>
      <c r="AW1184" s="12">
        <f t="shared" si="419"/>
        <v>0</v>
      </c>
    </row>
    <row r="1185" spans="1:49" x14ac:dyDescent="0.25">
      <c r="A1185" s="2">
        <v>1</v>
      </c>
      <c r="B1185" s="2" t="s">
        <v>93</v>
      </c>
      <c r="C1185" s="2" t="s">
        <v>94</v>
      </c>
      <c r="D1185" s="2" t="s">
        <v>3388</v>
      </c>
      <c r="E1185" s="2" t="s">
        <v>95</v>
      </c>
      <c r="F1185" s="3">
        <v>45973.448483796303</v>
      </c>
      <c r="G1185" s="3">
        <v>45986.502858796302</v>
      </c>
      <c r="H1185" s="4">
        <v>45987</v>
      </c>
      <c r="I1185" s="2" t="s">
        <v>21</v>
      </c>
      <c r="J1185" s="2" t="s">
        <v>22</v>
      </c>
      <c r="K1185" s="2">
        <v>1</v>
      </c>
      <c r="L1185" s="2">
        <v>973.46</v>
      </c>
      <c r="M1185" s="2">
        <v>0</v>
      </c>
      <c r="N1185" s="2">
        <v>689.5285331443647</v>
      </c>
      <c r="O1185" s="2">
        <v>927.1</v>
      </c>
      <c r="P1185" s="2">
        <v>46.36</v>
      </c>
      <c r="Q1185" s="2">
        <v>973.46</v>
      </c>
      <c r="R1185" s="2" t="s">
        <v>44</v>
      </c>
      <c r="S1185" s="2"/>
      <c r="T1185" s="2">
        <f t="shared" si="401"/>
        <v>1</v>
      </c>
      <c r="U1185" s="18">
        <f t="shared" si="402"/>
        <v>11</v>
      </c>
      <c r="V1185" s="18">
        <f t="shared" si="403"/>
        <v>2025</v>
      </c>
      <c r="W1185" s="18" t="str">
        <f t="shared" si="404"/>
        <v/>
      </c>
      <c r="X1185" s="18" t="str">
        <f t="shared" si="405"/>
        <v/>
      </c>
      <c r="Y1185" s="2">
        <f t="shared" si="398"/>
        <v>0.70832754622107197</v>
      </c>
      <c r="Z1185" t="str">
        <f t="shared" si="399"/>
        <v>SO18214</v>
      </c>
      <c r="AA1185" s="11">
        <f t="shared" si="406"/>
        <v>45973.448483796303</v>
      </c>
      <c r="AB1185" s="5" t="str">
        <f t="shared" si="407"/>
        <v>INV13708</v>
      </c>
      <c r="AC1185" s="5" t="str">
        <f>IFERROR(VLOOKUP(D1185,CAARStatus!$A$2:$AA$1600,22,FALSE),"Not invoiced")</f>
        <v>Approved</v>
      </c>
      <c r="AD1185" s="11" t="str">
        <f>IF(AC1185="Paid",IFERROR(VLOOKUP(D1185,CAARStatus!$A$2:$AA$1600,6,FALSE),"Pending"),"Pending")</f>
        <v>Pending</v>
      </c>
      <c r="AE1185" s="5" t="str">
        <f t="shared" si="408"/>
        <v>326767</v>
      </c>
      <c r="AF1185" s="5" t="str">
        <f t="shared" si="409"/>
        <v>Gibraltar Mine (Canada)</v>
      </c>
      <c r="AG1185" s="5" t="str">
        <f t="shared" si="410"/>
        <v>CAD</v>
      </c>
      <c r="AH1185" s="5">
        <f t="shared" si="411"/>
        <v>927.1</v>
      </c>
      <c r="AI1185" s="12">
        <f>IF(L1185-N1185=0,VLOOKUP(U1185,rate!A$4:B$15,2,FALSE)*AH1185,IF(AG1185="USD",O1185,AH1185*Y1185))</f>
        <v>656.69046810155589</v>
      </c>
      <c r="AJ1185" s="13">
        <f t="shared" si="412"/>
        <v>0.70832754622107208</v>
      </c>
      <c r="AK1185" s="13">
        <f>-IF(AG1185="CAD",IFERROR(VLOOKUP(D1185,CAARStatus!$A$1:$Y$1600,16,FALSE),0),0)</f>
        <v>-927.1</v>
      </c>
      <c r="AL1185" s="13">
        <f>-IF(AG1185="USD",IFERROR(VLOOKUP(D1185,CAARStatus!$A$1:$Y$1600,11,FALSE),0),0)</f>
        <v>0</v>
      </c>
      <c r="AM1185" s="22">
        <f t="shared" si="413"/>
        <v>0</v>
      </c>
      <c r="AN1185" s="12" t="str">
        <f t="shared" si="414"/>
        <v/>
      </c>
      <c r="AO1185" s="12" t="str">
        <f t="shared" si="415"/>
        <v>Pend</v>
      </c>
      <c r="AP1185" t="str">
        <f t="shared" si="400"/>
        <v>Pend</v>
      </c>
      <c r="AQ1185" t="str">
        <f>IFERROR(VLOOKUP(Z1185,InvBal!$L$4:$P$600,4,FALSE),"Pend")</f>
        <v>Pend</v>
      </c>
      <c r="AR1185" t="str">
        <f>IFERROR(VLOOKUP(D1185,Manual!$C$1:$E$22,2,FALSE),"Pend")</f>
        <v>Pend</v>
      </c>
      <c r="AS1185" t="str">
        <f t="shared" si="416"/>
        <v/>
      </c>
      <c r="AT1185" t="str">
        <f t="shared" si="417"/>
        <v>Yes</v>
      </c>
      <c r="AU1185" s="51" t="str">
        <f t="shared" si="418"/>
        <v/>
      </c>
      <c r="AV1185" s="12">
        <f>IFERROR(VLOOKUP(D1185,'Receivable Invoice Detail'!$S$1:$U$3014,3,FALSE),0)</f>
        <v>0</v>
      </c>
      <c r="AW1185" s="12">
        <f t="shared" si="419"/>
        <v>0</v>
      </c>
    </row>
    <row r="1186" spans="1:49" ht="30" x14ac:dyDescent="0.25">
      <c r="A1186" s="2">
        <v>1</v>
      </c>
      <c r="B1186" s="2" t="s">
        <v>186</v>
      </c>
      <c r="C1186" s="2" t="s">
        <v>187</v>
      </c>
      <c r="D1186" s="2" t="s">
        <v>3369</v>
      </c>
      <c r="E1186" s="2" t="s">
        <v>26</v>
      </c>
      <c r="F1186" s="3">
        <v>45973.654004629629</v>
      </c>
      <c r="G1186" s="3">
        <v>45975.536307870367</v>
      </c>
      <c r="H1186" s="4">
        <v>45978</v>
      </c>
      <c r="I1186" s="2" t="s">
        <v>21</v>
      </c>
      <c r="J1186" s="2" t="s">
        <v>22</v>
      </c>
      <c r="K1186" s="2">
        <v>1</v>
      </c>
      <c r="L1186" s="2">
        <v>365.56</v>
      </c>
      <c r="M1186" s="2">
        <v>0</v>
      </c>
      <c r="N1186" s="2">
        <v>260.66302427220307</v>
      </c>
      <c r="O1186" s="2">
        <v>348.15</v>
      </c>
      <c r="P1186" s="2">
        <v>17.41</v>
      </c>
      <c r="Q1186" s="2">
        <v>365.56</v>
      </c>
      <c r="R1186" s="2" t="s">
        <v>44</v>
      </c>
      <c r="S1186" s="2"/>
      <c r="T1186" s="2">
        <f t="shared" si="401"/>
        <v>1</v>
      </c>
      <c r="U1186" s="18">
        <f t="shared" si="402"/>
        <v>11</v>
      </c>
      <c r="V1186" s="18">
        <f t="shared" si="403"/>
        <v>2025</v>
      </c>
      <c r="W1186" s="18" t="str">
        <f t="shared" si="404"/>
        <v/>
      </c>
      <c r="X1186" s="18" t="str">
        <f t="shared" si="405"/>
        <v/>
      </c>
      <c r="Y1186" s="2">
        <f t="shared" si="398"/>
        <v>0.71305127550115732</v>
      </c>
      <c r="Z1186" t="str">
        <f t="shared" si="399"/>
        <v>SO18221</v>
      </c>
      <c r="AA1186" s="11">
        <f t="shared" si="406"/>
        <v>45973.654004629629</v>
      </c>
      <c r="AB1186" s="5" t="str">
        <f t="shared" si="407"/>
        <v>INV13656</v>
      </c>
      <c r="AC1186" s="5" t="str">
        <f>IFERROR(VLOOKUP(D1186,CAARStatus!$A$2:$AA$1600,22,FALSE),"Not invoiced")</f>
        <v>Approved</v>
      </c>
      <c r="AD1186" s="11" t="str">
        <f>IF(AC1186="Paid",IFERROR(VLOOKUP(D1186,CAARStatus!$A$2:$AA$1600,6,FALSE),"Pending"),"Pending")</f>
        <v>Pending</v>
      </c>
      <c r="AE1186" s="5" t="str">
        <f t="shared" si="408"/>
        <v>4500621924</v>
      </c>
      <c r="AF1186" s="5" t="str">
        <f t="shared" si="409"/>
        <v>Resolute Forest Products - Clermont</v>
      </c>
      <c r="AG1186" s="5" t="str">
        <f t="shared" si="410"/>
        <v>CAD</v>
      </c>
      <c r="AH1186" s="5">
        <f t="shared" si="411"/>
        <v>348.15</v>
      </c>
      <c r="AI1186" s="12">
        <f>IF(L1186-N1186=0,VLOOKUP(U1186,rate!A$4:B$15,2,FALSE)*AH1186,IF(AG1186="USD",O1186,AH1186*Y1186))</f>
        <v>248.24880156572792</v>
      </c>
      <c r="AJ1186" s="13">
        <f t="shared" si="412"/>
        <v>0.71305127550115732</v>
      </c>
      <c r="AK1186" s="13">
        <f>-IF(AG1186="CAD",IFERROR(VLOOKUP(D1186,CAARStatus!$A$1:$Y$1600,16,FALSE),0),0)</f>
        <v>-348.15</v>
      </c>
      <c r="AL1186" s="13">
        <f>-IF(AG1186="USD",IFERROR(VLOOKUP(D1186,CAARStatus!$A$1:$Y$1600,11,FALSE),0),0)</f>
        <v>0</v>
      </c>
      <c r="AM1186" s="22">
        <f t="shared" si="413"/>
        <v>0</v>
      </c>
      <c r="AN1186" s="12" t="str">
        <f t="shared" si="414"/>
        <v/>
      </c>
      <c r="AO1186" s="12" t="str">
        <f t="shared" si="415"/>
        <v>Pend</v>
      </c>
      <c r="AP1186" t="str">
        <f t="shared" si="400"/>
        <v>Pend</v>
      </c>
      <c r="AQ1186" t="str">
        <f>IFERROR(VLOOKUP(Z1186,InvBal!$L$4:$P$600,4,FALSE),"Pend")</f>
        <v>Pend</v>
      </c>
      <c r="AR1186" t="str">
        <f>IFERROR(VLOOKUP(D1186,Manual!$C$1:$E$22,2,FALSE),"Pend")</f>
        <v>Pend</v>
      </c>
      <c r="AS1186" t="str">
        <f t="shared" si="416"/>
        <v/>
      </c>
      <c r="AT1186" t="str">
        <f t="shared" si="417"/>
        <v>Yes</v>
      </c>
      <c r="AU1186" s="51" t="str">
        <f t="shared" si="418"/>
        <v/>
      </c>
      <c r="AV1186" s="12">
        <f>IFERROR(VLOOKUP(D1186,'Receivable Invoice Detail'!$S$1:$U$3014,3,FALSE),0)</f>
        <v>0</v>
      </c>
      <c r="AW1186" s="12">
        <f t="shared" si="419"/>
        <v>0</v>
      </c>
    </row>
    <row r="1187" spans="1:49" ht="30" x14ac:dyDescent="0.25">
      <c r="A1187" s="2">
        <v>1</v>
      </c>
      <c r="B1187" s="2" t="s">
        <v>206</v>
      </c>
      <c r="C1187" s="2" t="s">
        <v>207</v>
      </c>
      <c r="D1187" s="2" t="s">
        <v>3362</v>
      </c>
      <c r="E1187" s="2" t="s">
        <v>121</v>
      </c>
      <c r="F1187" s="3">
        <v>45973.720937500002</v>
      </c>
      <c r="G1187" s="3">
        <v>45973.727442129632</v>
      </c>
      <c r="H1187" s="4">
        <v>45987</v>
      </c>
      <c r="I1187" s="2" t="s">
        <v>180</v>
      </c>
      <c r="J1187" s="2" t="s">
        <v>22</v>
      </c>
      <c r="K1187" s="2">
        <v>1</v>
      </c>
      <c r="L1187" s="2">
        <v>767.21</v>
      </c>
      <c r="M1187" s="2">
        <v>0</v>
      </c>
      <c r="N1187" s="2">
        <v>547.91216369183155</v>
      </c>
      <c r="O1187" s="2">
        <v>730.68</v>
      </c>
      <c r="P1187" s="2">
        <v>36.53</v>
      </c>
      <c r="Q1187" s="2">
        <v>767.21</v>
      </c>
      <c r="R1187" s="2" t="s">
        <v>44</v>
      </c>
      <c r="S1187" s="2"/>
      <c r="T1187" s="2">
        <f t="shared" si="401"/>
        <v>1</v>
      </c>
      <c r="U1187" s="18">
        <f t="shared" si="402"/>
        <v>11</v>
      </c>
      <c r="V1187" s="18">
        <f t="shared" si="403"/>
        <v>2025</v>
      </c>
      <c r="W1187" s="18">
        <f t="shared" si="404"/>
        <v>12</v>
      </c>
      <c r="X1187" s="18">
        <f t="shared" si="405"/>
        <v>2025</v>
      </c>
      <c r="Y1187" s="2">
        <f t="shared" si="398"/>
        <v>0.71416191615311519</v>
      </c>
      <c r="Z1187" t="str">
        <f t="shared" si="399"/>
        <v>SO18222</v>
      </c>
      <c r="AA1187" s="11">
        <f t="shared" si="406"/>
        <v>45973.720937500002</v>
      </c>
      <c r="AB1187" s="5" t="str">
        <f t="shared" si="407"/>
        <v>INV13653</v>
      </c>
      <c r="AC1187" s="5" t="str">
        <f>IFERROR(VLOOKUP(D1187,CAARStatus!$A$2:$AA$1600,22,FALSE),"Not invoiced")</f>
        <v>Paid</v>
      </c>
      <c r="AD1187" s="11">
        <f>IF(AC1187="Paid",IFERROR(VLOOKUP(D1187,CAARStatus!$A$2:$AA$1600,6,FALSE),"Pending"),"Pending")</f>
        <v>46022</v>
      </c>
      <c r="AE1187" s="5" t="str">
        <f t="shared" si="408"/>
        <v>C003679489</v>
      </c>
      <c r="AF1187" s="5" t="str">
        <f t="shared" si="409"/>
        <v>Glencore Canada Corporation - Rouyn-Noranda</v>
      </c>
      <c r="AG1187" s="5" t="str">
        <f t="shared" si="410"/>
        <v>CAD</v>
      </c>
      <c r="AH1187" s="5">
        <f t="shared" si="411"/>
        <v>730.68</v>
      </c>
      <c r="AI1187" s="12">
        <f>IF(L1187-N1187=0,VLOOKUP(U1187,rate!A$4:B$15,2,FALSE)*AH1187,IF(AG1187="USD",O1187,AH1187*Y1187))</f>
        <v>521.82382889475821</v>
      </c>
      <c r="AJ1187" s="13">
        <f t="shared" si="412"/>
        <v>0.71416191615311519</v>
      </c>
      <c r="AK1187" s="13">
        <f>-IF(AG1187="CAD",IFERROR(VLOOKUP(D1187,CAARStatus!$A$1:$Y$1600,16,FALSE),0),0)</f>
        <v>-730.68</v>
      </c>
      <c r="AL1187" s="13">
        <f>-IF(AG1187="USD",IFERROR(VLOOKUP(D1187,CAARStatus!$A$1:$Y$1600,11,FALSE),0),0)</f>
        <v>0</v>
      </c>
      <c r="AM1187" s="22">
        <f t="shared" si="413"/>
        <v>0</v>
      </c>
      <c r="AN1187" s="12" t="str">
        <f t="shared" si="414"/>
        <v/>
      </c>
      <c r="AO1187" s="12" t="str">
        <f t="shared" si="415"/>
        <v>Yes</v>
      </c>
      <c r="AP1187" t="str">
        <f t="shared" si="400"/>
        <v>Yes</v>
      </c>
      <c r="AQ1187" t="str">
        <f>IFERROR(VLOOKUP(Z1187,InvBal!$L$4:$P$600,4,FALSE),"Pend")</f>
        <v>Pend</v>
      </c>
      <c r="AR1187" t="str">
        <f>IFERROR(VLOOKUP(D1187,Manual!$C$1:$E$22,2,FALSE),"Pend")</f>
        <v>Pend</v>
      </c>
      <c r="AS1187" t="str">
        <f t="shared" si="416"/>
        <v>Yes</v>
      </c>
      <c r="AT1187" t="str">
        <f t="shared" si="417"/>
        <v>Yes</v>
      </c>
      <c r="AU1187" s="51" t="str">
        <f t="shared" si="418"/>
        <v>Yes</v>
      </c>
      <c r="AV1187" s="12">
        <f>IFERROR(VLOOKUP(D1187,'Receivable Invoice Detail'!$S$1:$U$3014,3,FALSE),0)</f>
        <v>0</v>
      </c>
      <c r="AW1187" s="12">
        <f t="shared" si="419"/>
        <v>521.82382889475821</v>
      </c>
    </row>
    <row r="1188" spans="1:49" ht="30" x14ac:dyDescent="0.25">
      <c r="A1188" s="2">
        <v>1</v>
      </c>
      <c r="B1188" s="2" t="s">
        <v>208</v>
      </c>
      <c r="C1188" s="2" t="s">
        <v>209</v>
      </c>
      <c r="D1188" s="2" t="s">
        <v>3361</v>
      </c>
      <c r="E1188" s="2" t="s">
        <v>121</v>
      </c>
      <c r="F1188" s="3">
        <v>45973.726076388892</v>
      </c>
      <c r="G1188" s="3">
        <v>45973.726620370369</v>
      </c>
      <c r="H1188" s="4">
        <v>45974</v>
      </c>
      <c r="I1188" s="2" t="s">
        <v>21</v>
      </c>
      <c r="J1188" s="2" t="s">
        <v>22</v>
      </c>
      <c r="K1188" s="2">
        <v>1</v>
      </c>
      <c r="L1188" s="2">
        <v>3010.94</v>
      </c>
      <c r="M1188" s="2">
        <v>0</v>
      </c>
      <c r="N1188" s="2">
        <v>2150.2986798220609</v>
      </c>
      <c r="O1188" s="2">
        <v>2867.55</v>
      </c>
      <c r="P1188" s="2">
        <v>143.38999999999999</v>
      </c>
      <c r="Q1188" s="2">
        <v>3010.94</v>
      </c>
      <c r="R1188" s="2" t="s">
        <v>44</v>
      </c>
      <c r="S1188" s="2"/>
      <c r="T1188" s="2">
        <f t="shared" si="401"/>
        <v>1</v>
      </c>
      <c r="U1188" s="18">
        <f t="shared" si="402"/>
        <v>11</v>
      </c>
      <c r="V1188" s="18">
        <f t="shared" si="403"/>
        <v>2025</v>
      </c>
      <c r="W1188" s="18" t="str">
        <f t="shared" si="404"/>
        <v/>
      </c>
      <c r="X1188" s="18" t="str">
        <f t="shared" si="405"/>
        <v/>
      </c>
      <c r="Y1188" s="2">
        <f t="shared" si="398"/>
        <v>0.71416191615311531</v>
      </c>
      <c r="Z1188" t="str">
        <f t="shared" si="399"/>
        <v>SO18223</v>
      </c>
      <c r="AA1188" s="11">
        <f t="shared" si="406"/>
        <v>45973.726076388892</v>
      </c>
      <c r="AB1188" s="5" t="str">
        <f t="shared" si="407"/>
        <v>INV13650</v>
      </c>
      <c r="AC1188" s="5" t="str">
        <f>IFERROR(VLOOKUP(D1188,CAARStatus!$A$2:$AA$1600,22,FALSE),"Not invoiced")</f>
        <v>Approved</v>
      </c>
      <c r="AD1188" s="11" t="str">
        <f>IF(AC1188="Paid",IFERROR(VLOOKUP(D1188,CAARStatus!$A$2:$AA$1600,6,FALSE),"Pending"),"Pending")</f>
        <v>Pending</v>
      </c>
      <c r="AE1188" s="5" t="str">
        <f t="shared" si="408"/>
        <v>C003679975</v>
      </c>
      <c r="AF1188" s="5" t="str">
        <f t="shared" si="409"/>
        <v>Glencore Canada Corporation - Rouyn-Noranda</v>
      </c>
      <c r="AG1188" s="5" t="str">
        <f t="shared" si="410"/>
        <v>CAD</v>
      </c>
      <c r="AH1188" s="5">
        <f t="shared" si="411"/>
        <v>2867.55</v>
      </c>
      <c r="AI1188" s="12">
        <f>IF(L1188-N1188=0,VLOOKUP(U1188,rate!A$4:B$15,2,FALSE)*AH1188,IF(AG1188="USD",O1188,AH1188*Y1188))</f>
        <v>2047.8950026648658</v>
      </c>
      <c r="AJ1188" s="13">
        <f t="shared" si="412"/>
        <v>0.71416191615311531</v>
      </c>
      <c r="AK1188" s="13">
        <f>-IF(AG1188="CAD",IFERROR(VLOOKUP(D1188,CAARStatus!$A$1:$Y$1600,16,FALSE),0),0)</f>
        <v>-2867.55</v>
      </c>
      <c r="AL1188" s="13">
        <f>-IF(AG1188="USD",IFERROR(VLOOKUP(D1188,CAARStatus!$A$1:$Y$1600,11,FALSE),0),0)</f>
        <v>0</v>
      </c>
      <c r="AM1188" s="22">
        <f t="shared" si="413"/>
        <v>0</v>
      </c>
      <c r="AN1188" s="12" t="str">
        <f t="shared" si="414"/>
        <v/>
      </c>
      <c r="AO1188" s="12" t="str">
        <f t="shared" si="415"/>
        <v>Pend</v>
      </c>
      <c r="AP1188" t="str">
        <f t="shared" si="400"/>
        <v>Pend</v>
      </c>
      <c r="AQ1188" t="str">
        <f>IFERROR(VLOOKUP(Z1188,InvBal!$L$4:$P$600,4,FALSE),"Pend")</f>
        <v>Pend</v>
      </c>
      <c r="AR1188" t="str">
        <f>IFERROR(VLOOKUP(D1188,Manual!$C$1:$E$22,2,FALSE),"Pend")</f>
        <v>Pend</v>
      </c>
      <c r="AS1188" t="str">
        <f t="shared" si="416"/>
        <v/>
      </c>
      <c r="AT1188" t="str">
        <f t="shared" si="417"/>
        <v>Yes</v>
      </c>
      <c r="AU1188" s="51" t="str">
        <f t="shared" si="418"/>
        <v/>
      </c>
      <c r="AV1188" s="12">
        <f>IFERROR(VLOOKUP(D1188,'Receivable Invoice Detail'!$S$1:$U$3014,3,FALSE),0)</f>
        <v>0</v>
      </c>
      <c r="AW1188" s="12">
        <f t="shared" si="419"/>
        <v>0</v>
      </c>
    </row>
    <row r="1189" spans="1:49" ht="30" x14ac:dyDescent="0.25">
      <c r="A1189" s="2">
        <v>1</v>
      </c>
      <c r="B1189" s="2" t="s">
        <v>204</v>
      </c>
      <c r="C1189" s="2" t="s">
        <v>205</v>
      </c>
      <c r="D1189" s="2" t="s">
        <v>3363</v>
      </c>
      <c r="E1189" s="2" t="s">
        <v>121</v>
      </c>
      <c r="F1189" s="3">
        <v>45973.736909722233</v>
      </c>
      <c r="G1189" s="3">
        <v>45973.736932870372</v>
      </c>
      <c r="H1189" s="4">
        <v>45975</v>
      </c>
      <c r="I1189" s="2" t="s">
        <v>180</v>
      </c>
      <c r="J1189" s="2" t="s">
        <v>22</v>
      </c>
      <c r="K1189" s="2">
        <v>1</v>
      </c>
      <c r="L1189" s="2">
        <v>115.14</v>
      </c>
      <c r="M1189" s="2">
        <v>0</v>
      </c>
      <c r="N1189" s="2">
        <v>82.228603025869688</v>
      </c>
      <c r="O1189" s="2">
        <v>109.66</v>
      </c>
      <c r="P1189" s="2">
        <v>5.48</v>
      </c>
      <c r="Q1189" s="2">
        <v>115.14</v>
      </c>
      <c r="R1189" s="2" t="s">
        <v>44</v>
      </c>
      <c r="S1189" s="2"/>
      <c r="T1189" s="2">
        <f t="shared" si="401"/>
        <v>1</v>
      </c>
      <c r="U1189" s="18">
        <f t="shared" si="402"/>
        <v>11</v>
      </c>
      <c r="V1189" s="18">
        <f t="shared" si="403"/>
        <v>2025</v>
      </c>
      <c r="W1189" s="18" t="str">
        <f t="shared" si="404"/>
        <v/>
      </c>
      <c r="X1189" s="18" t="str">
        <f t="shared" si="405"/>
        <v/>
      </c>
      <c r="Y1189" s="2">
        <f t="shared" si="398"/>
        <v>0.71416191615311519</v>
      </c>
      <c r="Z1189" t="str">
        <f t="shared" si="399"/>
        <v>SO18224</v>
      </c>
      <c r="AA1189" s="11">
        <f t="shared" si="406"/>
        <v>45973.736909722233</v>
      </c>
      <c r="AB1189" s="5" t="str">
        <f t="shared" si="407"/>
        <v>INV13649</v>
      </c>
      <c r="AC1189" s="5" t="str">
        <f>IFERROR(VLOOKUP(D1189,CAARStatus!$A$2:$AA$1600,22,FALSE),"Not invoiced")</f>
        <v>Approved</v>
      </c>
      <c r="AD1189" s="11" t="str">
        <f>IF(AC1189="Paid",IFERROR(VLOOKUP(D1189,CAARStatus!$A$2:$AA$1600,6,FALSE),"Pending"),"Pending")</f>
        <v>Pending</v>
      </c>
      <c r="AE1189" s="5" t="str">
        <f t="shared" si="408"/>
        <v>C003679551</v>
      </c>
      <c r="AF1189" s="5" t="str">
        <f t="shared" si="409"/>
        <v>Glencore Canada Corporation - Rouyn-Noranda</v>
      </c>
      <c r="AG1189" s="5" t="str">
        <f t="shared" si="410"/>
        <v>CAD</v>
      </c>
      <c r="AH1189" s="5">
        <f t="shared" si="411"/>
        <v>109.66</v>
      </c>
      <c r="AI1189" s="12">
        <f>IF(L1189-N1189=0,VLOOKUP(U1189,rate!A$4:B$15,2,FALSE)*AH1189,IF(AG1189="USD",O1189,AH1189*Y1189))</f>
        <v>78.314995725350613</v>
      </c>
      <c r="AJ1189" s="13">
        <f t="shared" si="412"/>
        <v>0.71416191615311519</v>
      </c>
      <c r="AK1189" s="13">
        <f>-IF(AG1189="CAD",IFERROR(VLOOKUP(D1189,CAARStatus!$A$1:$Y$1600,16,FALSE),0),0)</f>
        <v>-109.66</v>
      </c>
      <c r="AL1189" s="13">
        <f>-IF(AG1189="USD",IFERROR(VLOOKUP(D1189,CAARStatus!$A$1:$Y$1600,11,FALSE),0),0)</f>
        <v>0</v>
      </c>
      <c r="AM1189" s="22">
        <f t="shared" si="413"/>
        <v>0</v>
      </c>
      <c r="AN1189" s="12" t="str">
        <f t="shared" si="414"/>
        <v/>
      </c>
      <c r="AO1189" s="12" t="str">
        <f t="shared" si="415"/>
        <v>Pend</v>
      </c>
      <c r="AP1189" t="str">
        <f t="shared" si="400"/>
        <v>Pend</v>
      </c>
      <c r="AQ1189" t="str">
        <f>IFERROR(VLOOKUP(Z1189,InvBal!$L$4:$P$600,4,FALSE),"Pend")</f>
        <v>Pend</v>
      </c>
      <c r="AR1189" t="str">
        <f>IFERROR(VLOOKUP(D1189,Manual!$C$1:$E$22,2,FALSE),"Pend")</f>
        <v>Pend</v>
      </c>
      <c r="AS1189" t="str">
        <f t="shared" si="416"/>
        <v/>
      </c>
      <c r="AT1189" t="str">
        <f t="shared" si="417"/>
        <v>Yes</v>
      </c>
      <c r="AU1189" s="51" t="str">
        <f t="shared" si="418"/>
        <v/>
      </c>
      <c r="AV1189" s="12">
        <f>IFERROR(VLOOKUP(D1189,'Receivable Invoice Detail'!$S$1:$U$3014,3,FALSE),0)</f>
        <v>0</v>
      </c>
      <c r="AW1189" s="12">
        <f t="shared" si="419"/>
        <v>0</v>
      </c>
    </row>
    <row r="1190" spans="1:49" ht="30" x14ac:dyDescent="0.25">
      <c r="A1190" s="2">
        <v>1</v>
      </c>
      <c r="B1190" s="2" t="s">
        <v>202</v>
      </c>
      <c r="C1190" s="2" t="s">
        <v>203</v>
      </c>
      <c r="D1190" s="2" t="s">
        <v>3364</v>
      </c>
      <c r="E1190" s="2" t="s">
        <v>121</v>
      </c>
      <c r="F1190" s="3">
        <v>45973.744953703703</v>
      </c>
      <c r="G1190" s="3">
        <v>45973.744976851849</v>
      </c>
      <c r="H1190" s="4">
        <v>45974</v>
      </c>
      <c r="I1190" s="2" t="s">
        <v>21</v>
      </c>
      <c r="J1190" s="2" t="s">
        <v>22</v>
      </c>
      <c r="K1190" s="2">
        <v>1</v>
      </c>
      <c r="L1190" s="2">
        <v>757.9</v>
      </c>
      <c r="M1190" s="2">
        <v>0</v>
      </c>
      <c r="N1190" s="2">
        <v>541.26331625244597</v>
      </c>
      <c r="O1190" s="2">
        <v>721.12</v>
      </c>
      <c r="P1190" s="2">
        <v>36.78</v>
      </c>
      <c r="Q1190" s="2">
        <v>757.9</v>
      </c>
      <c r="R1190" s="2" t="s">
        <v>44</v>
      </c>
      <c r="S1190" s="2"/>
      <c r="T1190" s="2">
        <f t="shared" si="401"/>
        <v>1</v>
      </c>
      <c r="U1190" s="18">
        <f t="shared" si="402"/>
        <v>11</v>
      </c>
      <c r="V1190" s="18">
        <f t="shared" si="403"/>
        <v>2025</v>
      </c>
      <c r="W1190" s="18" t="str">
        <f t="shared" si="404"/>
        <v/>
      </c>
      <c r="X1190" s="18" t="str">
        <f t="shared" si="405"/>
        <v/>
      </c>
      <c r="Y1190" s="2">
        <f t="shared" si="398"/>
        <v>0.71416191615311519</v>
      </c>
      <c r="Z1190" t="str">
        <f t="shared" si="399"/>
        <v>SO18225</v>
      </c>
      <c r="AA1190" s="11">
        <f t="shared" si="406"/>
        <v>45973.744953703703</v>
      </c>
      <c r="AB1190" s="5" t="str">
        <f t="shared" si="407"/>
        <v>INV13651</v>
      </c>
      <c r="AC1190" s="5" t="str">
        <f>IFERROR(VLOOKUP(D1190,CAARStatus!$A$2:$AA$1600,22,FALSE),"Not invoiced")</f>
        <v>Approved</v>
      </c>
      <c r="AD1190" s="11" t="str">
        <f>IF(AC1190="Paid",IFERROR(VLOOKUP(D1190,CAARStatus!$A$2:$AA$1600,6,FALSE),"Pending"),"Pending")</f>
        <v>Pending</v>
      </c>
      <c r="AE1190" s="5" t="str">
        <f t="shared" si="408"/>
        <v>C003680502</v>
      </c>
      <c r="AF1190" s="5" t="str">
        <f t="shared" si="409"/>
        <v>Glencore Canada Corporation - Rouyn-Noranda</v>
      </c>
      <c r="AG1190" s="5" t="str">
        <f t="shared" si="410"/>
        <v>CAD</v>
      </c>
      <c r="AH1190" s="5">
        <f t="shared" si="411"/>
        <v>721.12</v>
      </c>
      <c r="AI1190" s="12">
        <f>IF(L1190-N1190=0,VLOOKUP(U1190,rate!A$4:B$15,2,FALSE)*AH1190,IF(AG1190="USD",O1190,AH1190*Y1190))</f>
        <v>514.99644097633438</v>
      </c>
      <c r="AJ1190" s="13">
        <f t="shared" si="412"/>
        <v>0.71416191615311508</v>
      </c>
      <c r="AK1190" s="13">
        <f>-IF(AG1190="CAD",IFERROR(VLOOKUP(D1190,CAARStatus!$A$1:$Y$1600,16,FALSE),0),0)</f>
        <v>-721.12</v>
      </c>
      <c r="AL1190" s="13">
        <f>-IF(AG1190="USD",IFERROR(VLOOKUP(D1190,CAARStatus!$A$1:$Y$1600,11,FALSE),0),0)</f>
        <v>0</v>
      </c>
      <c r="AM1190" s="22">
        <f t="shared" si="413"/>
        <v>0</v>
      </c>
      <c r="AN1190" s="12" t="str">
        <f t="shared" si="414"/>
        <v/>
      </c>
      <c r="AO1190" s="12" t="str">
        <f t="shared" si="415"/>
        <v>Pend</v>
      </c>
      <c r="AP1190" t="str">
        <f t="shared" si="400"/>
        <v>Pend</v>
      </c>
      <c r="AQ1190" t="str">
        <f>IFERROR(VLOOKUP(Z1190,InvBal!$L$4:$P$600,4,FALSE),"Pend")</f>
        <v>Pend</v>
      </c>
      <c r="AR1190" t="str">
        <f>IFERROR(VLOOKUP(D1190,Manual!$C$1:$E$22,2,FALSE),"Pend")</f>
        <v>Pend</v>
      </c>
      <c r="AS1190" t="str">
        <f t="shared" si="416"/>
        <v/>
      </c>
      <c r="AT1190" t="str">
        <f t="shared" si="417"/>
        <v>Yes</v>
      </c>
      <c r="AU1190" s="51" t="str">
        <f t="shared" si="418"/>
        <v/>
      </c>
      <c r="AV1190" s="12">
        <f>IFERROR(VLOOKUP(D1190,'Receivable Invoice Detail'!$S$1:$U$3014,3,FALSE),0)</f>
        <v>0</v>
      </c>
      <c r="AW1190" s="12">
        <f t="shared" si="419"/>
        <v>0</v>
      </c>
    </row>
    <row r="1191" spans="1:49" x14ac:dyDescent="0.25">
      <c r="A1191" s="2">
        <v>1</v>
      </c>
      <c r="B1191" s="2" t="s">
        <v>5863</v>
      </c>
      <c r="C1191" s="2" t="s">
        <v>5864</v>
      </c>
      <c r="D1191" s="2" t="s">
        <v>5954</v>
      </c>
      <c r="E1191" s="2" t="s">
        <v>171</v>
      </c>
      <c r="F1191" s="3">
        <v>45974.47184027778</v>
      </c>
      <c r="G1191" s="3">
        <v>45993.498368055552</v>
      </c>
      <c r="H1191" s="4">
        <v>45974</v>
      </c>
      <c r="I1191" s="2" t="s">
        <v>74</v>
      </c>
      <c r="J1191" s="2" t="s">
        <v>22</v>
      </c>
      <c r="K1191" s="2">
        <v>1</v>
      </c>
      <c r="L1191" s="2">
        <v>1095.1500000000001</v>
      </c>
      <c r="M1191" s="2">
        <v>0</v>
      </c>
      <c r="N1191" s="2">
        <v>782.79417672545151</v>
      </c>
      <c r="O1191" s="2">
        <v>1043</v>
      </c>
      <c r="P1191" s="2">
        <v>52.15</v>
      </c>
      <c r="Q1191" s="2">
        <v>1095.1500000000001</v>
      </c>
      <c r="R1191" s="2" t="s">
        <v>44</v>
      </c>
      <c r="S1191" s="2"/>
      <c r="T1191" s="2">
        <f t="shared" si="401"/>
        <v>1</v>
      </c>
      <c r="U1191" s="18">
        <f t="shared" si="402"/>
        <v>11</v>
      </c>
      <c r="V1191" s="18">
        <f t="shared" si="403"/>
        <v>2025</v>
      </c>
      <c r="W1191" s="18">
        <f t="shared" si="404"/>
        <v>12</v>
      </c>
      <c r="X1191" s="18">
        <f t="shared" si="405"/>
        <v>2025</v>
      </c>
      <c r="Y1191" s="2">
        <f t="shared" si="398"/>
        <v>0.71478261126370946</v>
      </c>
      <c r="Z1191" t="str">
        <f t="shared" si="399"/>
        <v>SO18226</v>
      </c>
      <c r="AA1191" s="11">
        <f t="shared" si="406"/>
        <v>45974.47184027778</v>
      </c>
      <c r="AB1191" s="5" t="str">
        <f t="shared" si="407"/>
        <v>INV13721</v>
      </c>
      <c r="AC1191" s="5" t="str">
        <f>IFERROR(VLOOKUP(D1191,CAARStatus!$A$2:$AA$1600,22,FALSE),"Not invoiced")</f>
        <v>Paid</v>
      </c>
      <c r="AD1191" s="11">
        <f>IF(AC1191="Paid",IFERROR(VLOOKUP(D1191,CAARStatus!$A$2:$AA$1600,6,FALSE),"Pending"),"Pending")</f>
        <v>46022</v>
      </c>
      <c r="AE1191" s="5" t="str">
        <f t="shared" si="408"/>
        <v>2371</v>
      </c>
      <c r="AF1191" s="5" t="str">
        <f t="shared" si="409"/>
        <v>FMI Products</v>
      </c>
      <c r="AG1191" s="5" t="str">
        <f t="shared" si="410"/>
        <v>CAD</v>
      </c>
      <c r="AH1191" s="5">
        <f t="shared" si="411"/>
        <v>1043</v>
      </c>
      <c r="AI1191" s="12">
        <f>IF(L1191-N1191=0,VLOOKUP(U1191,rate!A$4:B$15,2,FALSE)*AH1191,IF(AG1191="USD",O1191,AH1191*Y1191))</f>
        <v>745.51826354804894</v>
      </c>
      <c r="AJ1191" s="13">
        <f t="shared" si="412"/>
        <v>0.71478261126370946</v>
      </c>
      <c r="AK1191" s="13">
        <f>-IF(AG1191="CAD",IFERROR(VLOOKUP(D1191,CAARStatus!$A$1:$Y$1600,16,FALSE),0),0)</f>
        <v>-1043</v>
      </c>
      <c r="AL1191" s="13">
        <f>-IF(AG1191="USD",IFERROR(VLOOKUP(D1191,CAARStatus!$A$1:$Y$1600,11,FALSE),0),0)</f>
        <v>0</v>
      </c>
      <c r="AM1191" s="22">
        <f t="shared" si="413"/>
        <v>0</v>
      </c>
      <c r="AN1191" s="12" t="str">
        <f t="shared" si="414"/>
        <v/>
      </c>
      <c r="AO1191" s="12" t="str">
        <f t="shared" si="415"/>
        <v>Yes</v>
      </c>
      <c r="AP1191" t="str">
        <f t="shared" si="400"/>
        <v>Yes</v>
      </c>
      <c r="AQ1191" t="str">
        <f>IFERROR(VLOOKUP(Z1191,InvBal!$L$4:$P$600,4,FALSE),"Pend")</f>
        <v>Pend</v>
      </c>
      <c r="AR1191" t="str">
        <f>IFERROR(VLOOKUP(D1191,Manual!$C$1:$E$22,2,FALSE),"Pend")</f>
        <v>Pend</v>
      </c>
      <c r="AS1191" t="str">
        <f t="shared" si="416"/>
        <v>Yes</v>
      </c>
      <c r="AT1191" t="str">
        <f t="shared" si="417"/>
        <v>Yes</v>
      </c>
      <c r="AU1191" s="51" t="str">
        <f t="shared" si="418"/>
        <v>Yes</v>
      </c>
      <c r="AV1191" s="12">
        <f>IFERROR(VLOOKUP(D1191,'Receivable Invoice Detail'!$S$1:$U$3014,3,FALSE),0)</f>
        <v>0</v>
      </c>
      <c r="AW1191" s="12">
        <f t="shared" si="419"/>
        <v>745.51826354804894</v>
      </c>
    </row>
    <row r="1192" spans="1:49" x14ac:dyDescent="0.25">
      <c r="A1192" s="2">
        <v>1</v>
      </c>
      <c r="B1192" s="2" t="s">
        <v>190</v>
      </c>
      <c r="C1192" s="2" t="s">
        <v>191</v>
      </c>
      <c r="D1192" s="2" t="s">
        <v>3367</v>
      </c>
      <c r="E1192" s="2" t="s">
        <v>192</v>
      </c>
      <c r="F1192" s="3">
        <v>45974.619074074071</v>
      </c>
      <c r="G1192" s="3">
        <v>45974.627800925933</v>
      </c>
      <c r="H1192" s="2"/>
      <c r="I1192" s="2" t="s">
        <v>40</v>
      </c>
      <c r="J1192" s="2" t="s">
        <v>51</v>
      </c>
      <c r="K1192" s="2">
        <v>0.71380149037974383</v>
      </c>
      <c r="L1192" s="2">
        <v>4373.1346068489283</v>
      </c>
      <c r="M1192" s="2">
        <v>0</v>
      </c>
      <c r="N1192" s="2">
        <v>3121.55</v>
      </c>
      <c r="O1192" s="2">
        <v>3121.55</v>
      </c>
      <c r="P1192" s="2"/>
      <c r="Q1192" s="2">
        <v>3121.55</v>
      </c>
      <c r="R1192" s="2" t="s">
        <v>44</v>
      </c>
      <c r="S1192" s="2"/>
      <c r="T1192" s="2">
        <f t="shared" si="401"/>
        <v>1</v>
      </c>
      <c r="U1192" s="18">
        <f t="shared" si="402"/>
        <v>11</v>
      </c>
      <c r="V1192" s="18">
        <f t="shared" si="403"/>
        <v>2025</v>
      </c>
      <c r="W1192" s="18" t="str">
        <f t="shared" si="404"/>
        <v/>
      </c>
      <c r="X1192" s="18" t="str">
        <f t="shared" si="405"/>
        <v/>
      </c>
      <c r="Y1192" s="2">
        <f t="shared" si="398"/>
        <v>0.71380149037974383</v>
      </c>
      <c r="Z1192" t="str">
        <f t="shared" si="399"/>
        <v>SO18227</v>
      </c>
      <c r="AA1192" s="11">
        <f t="shared" si="406"/>
        <v>45974.619074074071</v>
      </c>
      <c r="AB1192" s="5" t="str">
        <f t="shared" si="407"/>
        <v>INV13641</v>
      </c>
      <c r="AC1192" s="5" t="str">
        <f>IFERROR(VLOOKUP(D1192,CAARStatus!$A$2:$AA$1600,22,FALSE),"Not invoiced")</f>
        <v>Approved</v>
      </c>
      <c r="AD1192" s="11" t="str">
        <f>IF(AC1192="Paid",IFERROR(VLOOKUP(D1192,CAARStatus!$A$2:$AA$1600,6,FALSE),"Pending"),"Pending")</f>
        <v>Pending</v>
      </c>
      <c r="AE1192" s="5" t="str">
        <f t="shared" si="408"/>
        <v>PO-043662</v>
      </c>
      <c r="AF1192" s="5" t="str">
        <f t="shared" si="409"/>
        <v>Southeast Pump Specialist, Inc.</v>
      </c>
      <c r="AG1192" s="5" t="str">
        <f t="shared" si="410"/>
        <v>USD</v>
      </c>
      <c r="AH1192" s="5">
        <f t="shared" si="411"/>
        <v>4373.1346068489283</v>
      </c>
      <c r="AI1192" s="12">
        <f>IF(L1192-N1192=0,VLOOKUP(U1192,rate!A$4:B$15,2,FALSE)*AH1192,IF(AG1192="USD",O1192,AH1192*Y1192))</f>
        <v>3121.55</v>
      </c>
      <c r="AJ1192" s="13">
        <f t="shared" si="412"/>
        <v>0.71380149037974383</v>
      </c>
      <c r="AK1192" s="13">
        <f>-IF(AG1192="CAD",IFERROR(VLOOKUP(D1192,CAARStatus!$A$1:$Y$1600,16,FALSE),0),0)</f>
        <v>0</v>
      </c>
      <c r="AL1192" s="13">
        <f>-IF(AG1192="USD",IFERROR(VLOOKUP(D1192,CAARStatus!$A$1:$Y$1600,11,FALSE),0),0)</f>
        <v>-3121.55</v>
      </c>
      <c r="AM1192" s="22" t="str">
        <f t="shared" si="413"/>
        <v/>
      </c>
      <c r="AN1192" s="12">
        <f t="shared" si="414"/>
        <v>0</v>
      </c>
      <c r="AO1192" s="12" t="str">
        <f t="shared" si="415"/>
        <v>Pend</v>
      </c>
      <c r="AP1192" t="str">
        <f t="shared" si="400"/>
        <v>Pend</v>
      </c>
      <c r="AQ1192" t="str">
        <f>IFERROR(VLOOKUP(Z1192,InvBal!$L$4:$P$600,4,FALSE),"Pend")</f>
        <v>Pend</v>
      </c>
      <c r="AR1192" t="str">
        <f>IFERROR(VLOOKUP(D1192,Manual!$C$1:$E$22,2,FALSE),"Pend")</f>
        <v>Pend</v>
      </c>
      <c r="AS1192" t="str">
        <f t="shared" si="416"/>
        <v/>
      </c>
      <c r="AT1192" t="str">
        <f t="shared" si="417"/>
        <v>Yes</v>
      </c>
      <c r="AU1192" s="51" t="str">
        <f t="shared" si="418"/>
        <v/>
      </c>
      <c r="AV1192" s="12">
        <f>IFERROR(VLOOKUP(D1192,'Receivable Invoice Detail'!$S$1:$U$3014,3,FALSE),0)</f>
        <v>707</v>
      </c>
      <c r="AW1192" s="12">
        <f t="shared" si="419"/>
        <v>0</v>
      </c>
    </row>
    <row r="1193" spans="1:49" x14ac:dyDescent="0.25">
      <c r="A1193" s="2">
        <v>1</v>
      </c>
      <c r="B1193" s="2" t="s">
        <v>169</v>
      </c>
      <c r="C1193" s="2" t="s">
        <v>170</v>
      </c>
      <c r="D1193" s="2" t="s">
        <v>3372</v>
      </c>
      <c r="E1193" s="2" t="s">
        <v>171</v>
      </c>
      <c r="F1193" s="3">
        <v>45974.71533564815</v>
      </c>
      <c r="G1193" s="3">
        <v>45979.496099537027</v>
      </c>
      <c r="H1193" s="4">
        <v>45980</v>
      </c>
      <c r="I1193" s="2" t="s">
        <v>21</v>
      </c>
      <c r="J1193" s="2" t="s">
        <v>22</v>
      </c>
      <c r="K1193" s="2">
        <v>1</v>
      </c>
      <c r="L1193" s="2">
        <v>922.89</v>
      </c>
      <c r="M1193" s="2">
        <v>0</v>
      </c>
      <c r="N1193" s="2">
        <v>659.37418609817951</v>
      </c>
      <c r="O1193" s="2">
        <v>878.94</v>
      </c>
      <c r="P1193" s="2">
        <v>43.95</v>
      </c>
      <c r="Q1193" s="2">
        <v>922.89</v>
      </c>
      <c r="R1193" s="2" t="s">
        <v>44</v>
      </c>
      <c r="S1193" s="2"/>
      <c r="T1193" s="2">
        <f t="shared" si="401"/>
        <v>1</v>
      </c>
      <c r="U1193" s="18">
        <f t="shared" si="402"/>
        <v>11</v>
      </c>
      <c r="V1193" s="18">
        <f t="shared" si="403"/>
        <v>2025</v>
      </c>
      <c r="W1193" s="18">
        <f t="shared" si="404"/>
        <v>12</v>
      </c>
      <c r="X1193" s="18">
        <f t="shared" si="405"/>
        <v>2025</v>
      </c>
      <c r="Y1193" s="2">
        <f t="shared" si="398"/>
        <v>0.71446671444937049</v>
      </c>
      <c r="Z1193" t="str">
        <f t="shared" si="399"/>
        <v>SO18228</v>
      </c>
      <c r="AA1193" s="11">
        <f t="shared" si="406"/>
        <v>45974.71533564815</v>
      </c>
      <c r="AB1193" s="5" t="str">
        <f t="shared" si="407"/>
        <v>INV13669</v>
      </c>
      <c r="AC1193" s="5" t="str">
        <f>IFERROR(VLOOKUP(D1193,CAARStatus!$A$2:$AA$1600,22,FALSE),"Not invoiced")</f>
        <v>Paid</v>
      </c>
      <c r="AD1193" s="11">
        <f>IF(AC1193="Paid",IFERROR(VLOOKUP(D1193,CAARStatus!$A$2:$AA$1600,6,FALSE),"Pending"),"Pending")</f>
        <v>46009</v>
      </c>
      <c r="AE1193" s="5" t="str">
        <f t="shared" si="408"/>
        <v>2370</v>
      </c>
      <c r="AF1193" s="5" t="str">
        <f t="shared" si="409"/>
        <v>FMI Products</v>
      </c>
      <c r="AG1193" s="5" t="str">
        <f t="shared" si="410"/>
        <v>CAD</v>
      </c>
      <c r="AH1193" s="5">
        <f t="shared" si="411"/>
        <v>878.94</v>
      </c>
      <c r="AI1193" s="12">
        <f>IF(L1193-N1193=0,VLOOKUP(U1193,rate!A$4:B$15,2,FALSE)*AH1193,IF(AG1193="USD",O1193,AH1193*Y1193))</f>
        <v>627.97337399812977</v>
      </c>
      <c r="AJ1193" s="13">
        <f t="shared" si="412"/>
        <v>0.71446671444937049</v>
      </c>
      <c r="AK1193" s="13">
        <f>-IF(AG1193="CAD",IFERROR(VLOOKUP(D1193,CAARStatus!$A$1:$Y$1600,16,FALSE),0),0)</f>
        <v>-878.94</v>
      </c>
      <c r="AL1193" s="13">
        <f>-IF(AG1193="USD",IFERROR(VLOOKUP(D1193,CAARStatus!$A$1:$Y$1600,11,FALSE),0),0)</f>
        <v>0</v>
      </c>
      <c r="AM1193" s="22">
        <f t="shared" si="413"/>
        <v>0</v>
      </c>
      <c r="AN1193" s="12" t="str">
        <f t="shared" si="414"/>
        <v/>
      </c>
      <c r="AO1193" s="12" t="str">
        <f t="shared" si="415"/>
        <v>Yes</v>
      </c>
      <c r="AP1193" t="str">
        <f t="shared" si="400"/>
        <v>Yes</v>
      </c>
      <c r="AQ1193" t="str">
        <f>IFERROR(VLOOKUP(Z1193,InvBal!$L$4:$P$600,4,FALSE),"Pend")</f>
        <v>Pend</v>
      </c>
      <c r="AR1193" t="str">
        <f>IFERROR(VLOOKUP(D1193,Manual!$C$1:$E$22,2,FALSE),"Pend")</f>
        <v>Pend</v>
      </c>
      <c r="AS1193" t="str">
        <f t="shared" si="416"/>
        <v>Yes</v>
      </c>
      <c r="AT1193" t="str">
        <f t="shared" si="417"/>
        <v>Yes</v>
      </c>
      <c r="AU1193" s="51" t="str">
        <f t="shared" si="418"/>
        <v>Yes</v>
      </c>
      <c r="AV1193" s="12">
        <f>IFERROR(VLOOKUP(D1193,'Receivable Invoice Detail'!$S$1:$U$3014,3,FALSE),0)</f>
        <v>0</v>
      </c>
      <c r="AW1193" s="12">
        <f t="shared" si="419"/>
        <v>627.97337399812977</v>
      </c>
    </row>
    <row r="1194" spans="1:49" ht="30" x14ac:dyDescent="0.25">
      <c r="A1194" s="2">
        <v>1</v>
      </c>
      <c r="B1194" s="2" t="s">
        <v>188</v>
      </c>
      <c r="C1194" s="2" t="s">
        <v>189</v>
      </c>
      <c r="D1194" s="2" t="s">
        <v>3368</v>
      </c>
      <c r="E1194" s="2" t="s">
        <v>20</v>
      </c>
      <c r="F1194" s="3">
        <v>45974.743750000001</v>
      </c>
      <c r="G1194" s="3">
        <v>45974.745474537027</v>
      </c>
      <c r="H1194" s="4">
        <v>45975</v>
      </c>
      <c r="I1194" s="2" t="s">
        <v>21</v>
      </c>
      <c r="J1194" s="2" t="s">
        <v>22</v>
      </c>
      <c r="K1194" s="2">
        <v>1</v>
      </c>
      <c r="L1194" s="2">
        <v>310.20999999999998</v>
      </c>
      <c r="M1194" s="2">
        <v>0</v>
      </c>
      <c r="N1194" s="2">
        <v>221.39505595035291</v>
      </c>
      <c r="O1194" s="2">
        <v>295.44</v>
      </c>
      <c r="P1194" s="2">
        <v>14.77</v>
      </c>
      <c r="Q1194" s="2">
        <v>310.20999999999998</v>
      </c>
      <c r="R1194" s="2" t="s">
        <v>44</v>
      </c>
      <c r="S1194" s="2"/>
      <c r="T1194" s="2">
        <f t="shared" si="401"/>
        <v>1</v>
      </c>
      <c r="U1194" s="18">
        <f t="shared" si="402"/>
        <v>11</v>
      </c>
      <c r="V1194" s="18">
        <f t="shared" si="403"/>
        <v>2025</v>
      </c>
      <c r="W1194" s="18" t="str">
        <f t="shared" si="404"/>
        <v/>
      </c>
      <c r="X1194" s="18" t="str">
        <f t="shared" si="405"/>
        <v/>
      </c>
      <c r="Y1194" s="2">
        <f t="shared" si="398"/>
        <v>0.71369412962300671</v>
      </c>
      <c r="Z1194" t="str">
        <f t="shared" si="399"/>
        <v>SO18230</v>
      </c>
      <c r="AA1194" s="11">
        <f t="shared" si="406"/>
        <v>45974.743750000001</v>
      </c>
      <c r="AB1194" s="5" t="str">
        <f t="shared" si="407"/>
        <v>INV13654</v>
      </c>
      <c r="AC1194" s="5" t="str">
        <f>IFERROR(VLOOKUP(D1194,CAARStatus!$A$2:$AA$1600,22,FALSE),"Not invoiced")</f>
        <v>Approved</v>
      </c>
      <c r="AD1194" s="11" t="str">
        <f>IF(AC1194="Paid",IFERROR(VLOOKUP(D1194,CAARStatus!$A$2:$AA$1600,6,FALSE),"Pending"),"Pending")</f>
        <v>Pending</v>
      </c>
      <c r="AE1194" s="5" t="str">
        <f t="shared" si="408"/>
        <v>4500622134</v>
      </c>
      <c r="AF1194" s="5" t="str">
        <f t="shared" si="409"/>
        <v>Resolute Forest Products - Saint-Felicien</v>
      </c>
      <c r="AG1194" s="5" t="str">
        <f t="shared" si="410"/>
        <v>CAD</v>
      </c>
      <c r="AH1194" s="5">
        <f t="shared" si="411"/>
        <v>295.44</v>
      </c>
      <c r="AI1194" s="12">
        <f>IF(L1194-N1194=0,VLOOKUP(U1194,rate!A$4:B$15,2,FALSE)*AH1194,IF(AG1194="USD",O1194,AH1194*Y1194))</f>
        <v>210.85379365582111</v>
      </c>
      <c r="AJ1194" s="13">
        <f t="shared" si="412"/>
        <v>0.71369412962300671</v>
      </c>
      <c r="AK1194" s="13">
        <f>-IF(AG1194="CAD",IFERROR(VLOOKUP(D1194,CAARStatus!$A$1:$Y$1600,16,FALSE),0),0)</f>
        <v>-295.44</v>
      </c>
      <c r="AL1194" s="13">
        <f>-IF(AG1194="USD",IFERROR(VLOOKUP(D1194,CAARStatus!$A$1:$Y$1600,11,FALSE),0),0)</f>
        <v>0</v>
      </c>
      <c r="AM1194" s="22">
        <f t="shared" si="413"/>
        <v>0</v>
      </c>
      <c r="AN1194" s="12" t="str">
        <f t="shared" si="414"/>
        <v/>
      </c>
      <c r="AO1194" s="12" t="str">
        <f t="shared" si="415"/>
        <v>Pend</v>
      </c>
      <c r="AP1194" t="str">
        <f t="shared" si="400"/>
        <v>Pend</v>
      </c>
      <c r="AQ1194" t="str">
        <f>IFERROR(VLOOKUP(Z1194,InvBal!$L$4:$P$600,4,FALSE),"Pend")</f>
        <v>Pend</v>
      </c>
      <c r="AR1194" t="str">
        <f>IFERROR(VLOOKUP(D1194,Manual!$C$1:$E$22,2,FALSE),"Pend")</f>
        <v>Pend</v>
      </c>
      <c r="AS1194" t="str">
        <f t="shared" si="416"/>
        <v/>
      </c>
      <c r="AT1194" t="str">
        <f t="shared" si="417"/>
        <v>Yes</v>
      </c>
      <c r="AU1194" s="51" t="str">
        <f t="shared" si="418"/>
        <v/>
      </c>
      <c r="AV1194" s="12">
        <f>IFERROR(VLOOKUP(D1194,'Receivable Invoice Detail'!$S$1:$U$3014,3,FALSE),0)</f>
        <v>0</v>
      </c>
      <c r="AW1194" s="12">
        <f t="shared" si="419"/>
        <v>0</v>
      </c>
    </row>
    <row r="1195" spans="1:49" x14ac:dyDescent="0.25">
      <c r="A1195" s="2">
        <v>0</v>
      </c>
      <c r="B1195" s="2" t="s">
        <v>181</v>
      </c>
      <c r="C1195" s="2" t="s">
        <v>182</v>
      </c>
      <c r="D1195" s="2"/>
      <c r="E1195" s="2" t="s">
        <v>179</v>
      </c>
      <c r="F1195" s="3">
        <v>45974.812685185178</v>
      </c>
      <c r="G1195" s="3">
        <v>45975.655740740738</v>
      </c>
      <c r="H1195" s="4">
        <v>45978</v>
      </c>
      <c r="I1195" s="2" t="s">
        <v>180</v>
      </c>
      <c r="J1195" s="2" t="s">
        <v>51</v>
      </c>
      <c r="K1195" s="2">
        <v>0.71416191615311519</v>
      </c>
      <c r="L1195" s="2">
        <v>4365.0045311736449</v>
      </c>
      <c r="M1195" s="2">
        <v>0</v>
      </c>
      <c r="N1195" s="2">
        <v>3117.32</v>
      </c>
      <c r="O1195" s="2">
        <v>3117.32</v>
      </c>
      <c r="P1195" s="2"/>
      <c r="Q1195" s="2">
        <v>3117.32</v>
      </c>
      <c r="R1195" s="2" t="s">
        <v>183</v>
      </c>
      <c r="S1195" s="2"/>
      <c r="T1195" s="2">
        <f t="shared" si="401"/>
        <v>0</v>
      </c>
      <c r="U1195" s="18">
        <f t="shared" si="402"/>
        <v>11</v>
      </c>
      <c r="V1195" s="18">
        <f t="shared" si="403"/>
        <v>2025</v>
      </c>
      <c r="W1195" s="18" t="str">
        <f t="shared" si="404"/>
        <v/>
      </c>
      <c r="X1195" s="18" t="str">
        <f t="shared" si="405"/>
        <v/>
      </c>
      <c r="Y1195" s="2">
        <f t="shared" si="398"/>
        <v>0.71416191615311508</v>
      </c>
      <c r="Z1195" t="str">
        <f t="shared" si="399"/>
        <v>SO18231</v>
      </c>
      <c r="AA1195" s="11">
        <f t="shared" si="406"/>
        <v>45974.812685185178</v>
      </c>
      <c r="AB1195" s="5" t="str">
        <f t="shared" si="407"/>
        <v>No Inv</v>
      </c>
      <c r="AC1195" s="5" t="str">
        <f>IFERROR(VLOOKUP(D1195,CAARStatus!$A$2:$AA$1600,22,FALSE),"Not invoiced")</f>
        <v>Not invoiced</v>
      </c>
      <c r="AD1195" s="11" t="str">
        <f>IF(AC1195="Paid",IFERROR(VLOOKUP(D1195,CAARStatus!$A$2:$AA$1600,6,FALSE),"Pending"),"Pending")</f>
        <v>Pending</v>
      </c>
      <c r="AE1195" s="5" t="str">
        <f t="shared" si="408"/>
        <v>TEST BY YANNETT</v>
      </c>
      <c r="AF1195" s="5" t="str">
        <f t="shared" si="409"/>
        <v>Dynapro Pumps</v>
      </c>
      <c r="AG1195" s="5" t="str">
        <f t="shared" si="410"/>
        <v>USD</v>
      </c>
      <c r="AH1195" s="5">
        <f t="shared" si="411"/>
        <v>4365.0045311736449</v>
      </c>
      <c r="AI1195" s="12">
        <f>IF(L1195-N1195=0,VLOOKUP(U1195,rate!A$4:B$15,2,FALSE)*AH1195,IF(AG1195="USD",O1195,AH1195*Y1195))</f>
        <v>3117.32</v>
      </c>
      <c r="AJ1195" s="13">
        <f t="shared" si="412"/>
        <v>0.71416191615311508</v>
      </c>
      <c r="AK1195" s="13">
        <f>-IF(AG1195="CAD",IFERROR(VLOOKUP(D1195,CAARStatus!$A$1:$Y$1600,16,FALSE),0),0)</f>
        <v>0</v>
      </c>
      <c r="AL1195" s="13">
        <f>-IF(AG1195="USD",IFERROR(VLOOKUP(D1195,CAARStatus!$A$1:$Y$1600,11,FALSE),0),0)</f>
        <v>0</v>
      </c>
      <c r="AM1195" s="22" t="str">
        <f t="shared" si="413"/>
        <v/>
      </c>
      <c r="AN1195" s="12">
        <f t="shared" si="414"/>
        <v>3117.32</v>
      </c>
      <c r="AO1195" s="12" t="str">
        <f t="shared" si="415"/>
        <v>Pend</v>
      </c>
      <c r="AP1195" t="str">
        <f t="shared" si="400"/>
        <v>Pend</v>
      </c>
      <c r="AQ1195" t="str">
        <f>IFERROR(VLOOKUP(Z1195,InvBal!$L$4:$P$600,4,FALSE),"Pend")</f>
        <v>Pend</v>
      </c>
      <c r="AR1195" t="str">
        <f>IFERROR(VLOOKUP(D1195,Manual!$C$1:$E$22,2,FALSE),"Pend")</f>
        <v>Pend</v>
      </c>
      <c r="AS1195" t="str">
        <f t="shared" si="416"/>
        <v/>
      </c>
      <c r="AT1195" t="str">
        <f t="shared" si="417"/>
        <v/>
      </c>
      <c r="AU1195" s="51" t="str">
        <f t="shared" si="418"/>
        <v/>
      </c>
      <c r="AV1195" s="12">
        <f>IFERROR(VLOOKUP(D1195,'Receivable Invoice Detail'!$S$1:$U$3014,3,FALSE),0)</f>
        <v>0</v>
      </c>
      <c r="AW1195" s="12">
        <f t="shared" si="419"/>
        <v>0</v>
      </c>
    </row>
    <row r="1196" spans="1:49" ht="30" x14ac:dyDescent="0.25">
      <c r="A1196" s="2">
        <v>1</v>
      </c>
      <c r="B1196" s="2" t="s">
        <v>177</v>
      </c>
      <c r="C1196" s="2" t="s">
        <v>178</v>
      </c>
      <c r="D1196" s="2" t="s">
        <v>6329</v>
      </c>
      <c r="E1196" s="2" t="s">
        <v>179</v>
      </c>
      <c r="F1196" s="3">
        <v>45975.34097222222</v>
      </c>
      <c r="G1196" s="3">
        <v>45975.671886574077</v>
      </c>
      <c r="H1196" s="4">
        <v>45975</v>
      </c>
      <c r="I1196" s="2" t="s">
        <v>180</v>
      </c>
      <c r="J1196" s="2" t="s">
        <v>51</v>
      </c>
      <c r="K1196" s="2">
        <v>0.71416191615311519</v>
      </c>
      <c r="L1196" s="2">
        <v>4904.0979654382863</v>
      </c>
      <c r="M1196" s="2">
        <v>0</v>
      </c>
      <c r="N1196" s="2">
        <v>3502.32</v>
      </c>
      <c r="O1196" s="2">
        <v>3502.32</v>
      </c>
      <c r="P1196" s="2"/>
      <c r="Q1196" s="2">
        <v>3502.32</v>
      </c>
      <c r="R1196" s="2" t="s">
        <v>29</v>
      </c>
      <c r="S1196" s="2"/>
      <c r="T1196" s="2">
        <f t="shared" si="401"/>
        <v>1</v>
      </c>
      <c r="U1196" s="18">
        <f t="shared" si="402"/>
        <v>11</v>
      </c>
      <c r="V1196" s="18">
        <f t="shared" si="403"/>
        <v>2025</v>
      </c>
      <c r="W1196" s="18" t="str">
        <f t="shared" si="404"/>
        <v/>
      </c>
      <c r="X1196" s="18" t="str">
        <f t="shared" si="405"/>
        <v/>
      </c>
      <c r="Y1196" s="2">
        <f t="shared" si="398"/>
        <v>0.71416191615311519</v>
      </c>
      <c r="Z1196" t="str">
        <f t="shared" si="399"/>
        <v>SO18232</v>
      </c>
      <c r="AA1196" s="11">
        <f t="shared" si="406"/>
        <v>45975.34097222222</v>
      </c>
      <c r="AB1196" s="5" t="str">
        <f t="shared" si="407"/>
        <v>INV13730</v>
      </c>
      <c r="AC1196" s="5" t="str">
        <f>IFERROR(VLOOKUP(D1196,CAARStatus!$A$2:$AA$1600,22,FALSE),"Not invoiced")</f>
        <v>Not invoiced</v>
      </c>
      <c r="AD1196" s="11" t="str">
        <f>IF(AC1196="Paid",IFERROR(VLOOKUP(D1196,CAARStatus!$A$2:$AA$1600,6,FALSE),"Pending"),"Pending")</f>
        <v>Pending</v>
      </c>
      <c r="AE1196" s="5" t="str">
        <f t="shared" si="408"/>
        <v>Sump Pump repair 6"</v>
      </c>
      <c r="AF1196" s="5" t="str">
        <f t="shared" si="409"/>
        <v>Dynapro Pumps</v>
      </c>
      <c r="AG1196" s="5" t="str">
        <f t="shared" si="410"/>
        <v>USD</v>
      </c>
      <c r="AH1196" s="5">
        <f t="shared" si="411"/>
        <v>4904.0979654382863</v>
      </c>
      <c r="AI1196" s="12">
        <f>IF(L1196-N1196=0,VLOOKUP(U1196,rate!A$4:B$15,2,FALSE)*AH1196,IF(AG1196="USD",O1196,AH1196*Y1196))</f>
        <v>3502.32</v>
      </c>
      <c r="AJ1196" s="13">
        <f t="shared" si="412"/>
        <v>0.71416191615311519</v>
      </c>
      <c r="AK1196" s="13">
        <f>-IF(AG1196="CAD",IFERROR(VLOOKUP(D1196,CAARStatus!$A$1:$Y$1600,16,FALSE),0),0)</f>
        <v>0</v>
      </c>
      <c r="AL1196" s="13">
        <f>-IF(AG1196="USD",IFERROR(VLOOKUP(D1196,CAARStatus!$A$1:$Y$1600,11,FALSE),0),0)</f>
        <v>0</v>
      </c>
      <c r="AM1196" s="22" t="str">
        <f t="shared" si="413"/>
        <v/>
      </c>
      <c r="AN1196" s="12">
        <f t="shared" si="414"/>
        <v>3502.32</v>
      </c>
      <c r="AO1196" s="12" t="str">
        <f t="shared" si="415"/>
        <v>Pend</v>
      </c>
      <c r="AP1196" t="str">
        <f t="shared" si="400"/>
        <v>Pend</v>
      </c>
      <c r="AQ1196" t="str">
        <f>IFERROR(VLOOKUP(Z1196,InvBal!$L$4:$P$600,4,FALSE),"Pend")</f>
        <v>Pend</v>
      </c>
      <c r="AR1196" t="str">
        <f>IFERROR(VLOOKUP(D1196,Manual!$C$1:$E$22,2,FALSE),"Pend")</f>
        <v>Pend</v>
      </c>
      <c r="AS1196" t="str">
        <f t="shared" si="416"/>
        <v/>
      </c>
      <c r="AT1196" t="str">
        <f t="shared" si="417"/>
        <v/>
      </c>
      <c r="AU1196" s="51" t="str">
        <f t="shared" si="418"/>
        <v/>
      </c>
      <c r="AV1196" s="12">
        <f>IFERROR(VLOOKUP(D1196,'Receivable Invoice Detail'!$S$1:$U$3014,3,FALSE),0)</f>
        <v>0</v>
      </c>
      <c r="AW1196" s="12">
        <f t="shared" si="419"/>
        <v>0</v>
      </c>
    </row>
    <row r="1197" spans="1:49" x14ac:dyDescent="0.25">
      <c r="A1197" s="2">
        <v>1</v>
      </c>
      <c r="B1197" s="2" t="s">
        <v>174</v>
      </c>
      <c r="C1197" s="2" t="s">
        <v>175</v>
      </c>
      <c r="D1197" s="2" t="s">
        <v>5984</v>
      </c>
      <c r="E1197" s="2" t="s">
        <v>176</v>
      </c>
      <c r="F1197" s="3">
        <v>45975.396863425929</v>
      </c>
      <c r="G1197" s="3">
        <v>45978.421840277777</v>
      </c>
      <c r="H1197" s="4">
        <v>45996</v>
      </c>
      <c r="I1197" s="2" t="s">
        <v>74</v>
      </c>
      <c r="J1197" s="2" t="s">
        <v>22</v>
      </c>
      <c r="K1197" s="2">
        <v>1</v>
      </c>
      <c r="L1197" s="2">
        <v>216.96</v>
      </c>
      <c r="M1197" s="2">
        <v>0</v>
      </c>
      <c r="N1197" s="2">
        <v>154.64409812665181</v>
      </c>
      <c r="O1197" s="2">
        <v>192</v>
      </c>
      <c r="P1197" s="2">
        <v>24.96</v>
      </c>
      <c r="Q1197" s="2">
        <v>216.96</v>
      </c>
      <c r="R1197" s="2" t="s">
        <v>44</v>
      </c>
      <c r="S1197" s="2"/>
      <c r="T1197" s="2">
        <f t="shared" si="401"/>
        <v>1</v>
      </c>
      <c r="U1197" s="18">
        <f t="shared" si="402"/>
        <v>11</v>
      </c>
      <c r="V1197" s="18">
        <f t="shared" si="403"/>
        <v>2025</v>
      </c>
      <c r="W1197" s="18" t="str">
        <f t="shared" si="404"/>
        <v/>
      </c>
      <c r="X1197" s="18" t="str">
        <f t="shared" si="405"/>
        <v/>
      </c>
      <c r="Y1197" s="2">
        <f t="shared" si="398"/>
        <v>0.71277700095248808</v>
      </c>
      <c r="Z1197" t="str">
        <f t="shared" si="399"/>
        <v>SO18233</v>
      </c>
      <c r="AA1197" s="11">
        <f t="shared" si="406"/>
        <v>45975.396863425929</v>
      </c>
      <c r="AB1197" s="5" t="str">
        <f t="shared" si="407"/>
        <v>INV13749</v>
      </c>
      <c r="AC1197" s="5" t="str">
        <f>IFERROR(VLOOKUP(D1197,CAARStatus!$A$2:$AA$1600,22,FALSE),"Not invoiced")</f>
        <v>Approved</v>
      </c>
      <c r="AD1197" s="11" t="str">
        <f>IF(AC1197="Paid",IFERROR(VLOOKUP(D1197,CAARStatus!$A$2:$AA$1600,6,FALSE),"Pending"),"Pending")</f>
        <v>Pending</v>
      </c>
      <c r="AE1197" s="5" t="str">
        <f t="shared" si="408"/>
        <v>P11252964</v>
      </c>
      <c r="AF1197" s="5" t="str">
        <f t="shared" si="409"/>
        <v>Industrial Pump Repair Canada</v>
      </c>
      <c r="AG1197" s="5" t="str">
        <f t="shared" si="410"/>
        <v>CAD</v>
      </c>
      <c r="AH1197" s="5">
        <f t="shared" si="411"/>
        <v>192</v>
      </c>
      <c r="AI1197" s="12">
        <f>IF(L1197-N1197=0,VLOOKUP(U1197,rate!A$4:B$15,2,FALSE)*AH1197,IF(AG1197="USD",O1197,AH1197*Y1197))</f>
        <v>136.85318418287773</v>
      </c>
      <c r="AJ1197" s="13">
        <f t="shared" si="412"/>
        <v>0.71277700095248819</v>
      </c>
      <c r="AK1197" s="13">
        <f>-IF(AG1197="CAD",IFERROR(VLOOKUP(D1197,CAARStatus!$A$1:$Y$1600,16,FALSE),0),0)</f>
        <v>-192</v>
      </c>
      <c r="AL1197" s="13">
        <f>-IF(AG1197="USD",IFERROR(VLOOKUP(D1197,CAARStatus!$A$1:$Y$1600,11,FALSE),0),0)</f>
        <v>0</v>
      </c>
      <c r="AM1197" s="22">
        <f t="shared" si="413"/>
        <v>0</v>
      </c>
      <c r="AN1197" s="12" t="str">
        <f t="shared" si="414"/>
        <v/>
      </c>
      <c r="AO1197" s="12" t="str">
        <f t="shared" si="415"/>
        <v>Pend</v>
      </c>
      <c r="AP1197" t="str">
        <f t="shared" si="400"/>
        <v>Pend</v>
      </c>
      <c r="AQ1197" t="str">
        <f>IFERROR(VLOOKUP(Z1197,InvBal!$L$4:$P$600,4,FALSE),"Pend")</f>
        <v>Pend</v>
      </c>
      <c r="AR1197" t="str">
        <f>IFERROR(VLOOKUP(D1197,Manual!$C$1:$E$22,2,FALSE),"Pend")</f>
        <v>Pend</v>
      </c>
      <c r="AS1197" t="str">
        <f t="shared" si="416"/>
        <v/>
      </c>
      <c r="AT1197" t="str">
        <f t="shared" si="417"/>
        <v>Yes</v>
      </c>
      <c r="AU1197" s="51" t="str">
        <f t="shared" si="418"/>
        <v/>
      </c>
      <c r="AV1197" s="12">
        <f>IFERROR(VLOOKUP(D1197,'Receivable Invoice Detail'!$S$1:$U$3014,3,FALSE),0)</f>
        <v>0</v>
      </c>
      <c r="AW1197" s="12">
        <f t="shared" si="419"/>
        <v>0</v>
      </c>
    </row>
    <row r="1198" spans="1:49" ht="30" x14ac:dyDescent="0.25">
      <c r="A1198" s="2">
        <v>1</v>
      </c>
      <c r="B1198" s="2" t="s">
        <v>172</v>
      </c>
      <c r="C1198" s="2" t="s">
        <v>173</v>
      </c>
      <c r="D1198" s="2" t="s">
        <v>3371</v>
      </c>
      <c r="E1198" s="2" t="s">
        <v>26</v>
      </c>
      <c r="F1198" s="3">
        <v>45975.621180555558</v>
      </c>
      <c r="G1198" s="3">
        <v>45978.720995370371</v>
      </c>
      <c r="H1198" s="4">
        <v>45979</v>
      </c>
      <c r="I1198" s="2" t="s">
        <v>21</v>
      </c>
      <c r="J1198" s="2" t="s">
        <v>22</v>
      </c>
      <c r="K1198" s="2">
        <v>1</v>
      </c>
      <c r="L1198" s="2">
        <v>391.77</v>
      </c>
      <c r="M1198" s="2">
        <v>0</v>
      </c>
      <c r="N1198" s="2">
        <v>279.24464566315629</v>
      </c>
      <c r="O1198" s="2">
        <v>373.11</v>
      </c>
      <c r="P1198" s="2">
        <v>18.66</v>
      </c>
      <c r="Q1198" s="2">
        <v>391.77</v>
      </c>
      <c r="R1198" s="2" t="s">
        <v>44</v>
      </c>
      <c r="S1198" s="2"/>
      <c r="T1198" s="2">
        <f t="shared" si="401"/>
        <v>1</v>
      </c>
      <c r="U1198" s="18">
        <f t="shared" si="402"/>
        <v>11</v>
      </c>
      <c r="V1198" s="18">
        <f t="shared" si="403"/>
        <v>2025</v>
      </c>
      <c r="W1198" s="18" t="str">
        <f t="shared" si="404"/>
        <v/>
      </c>
      <c r="X1198" s="18" t="str">
        <f t="shared" si="405"/>
        <v/>
      </c>
      <c r="Y1198" s="2">
        <f t="shared" si="398"/>
        <v>0.71277700095248819</v>
      </c>
      <c r="Z1198" t="str">
        <f t="shared" si="399"/>
        <v>SO18238</v>
      </c>
      <c r="AA1198" s="11">
        <f t="shared" si="406"/>
        <v>45975.621180555558</v>
      </c>
      <c r="AB1198" s="5" t="str">
        <f t="shared" si="407"/>
        <v>INV13657</v>
      </c>
      <c r="AC1198" s="5" t="str">
        <f>IFERROR(VLOOKUP(D1198,CAARStatus!$A$2:$AA$1600,22,FALSE),"Not invoiced")</f>
        <v>Approved</v>
      </c>
      <c r="AD1198" s="11" t="str">
        <f>IF(AC1198="Paid",IFERROR(VLOOKUP(D1198,CAARStatus!$A$2:$AA$1600,6,FALSE),"Pending"),"Pending")</f>
        <v>Pending</v>
      </c>
      <c r="AE1198" s="5" t="str">
        <f t="shared" si="408"/>
        <v>4500622393</v>
      </c>
      <c r="AF1198" s="5" t="str">
        <f t="shared" si="409"/>
        <v>Resolute Forest Products - Clermont</v>
      </c>
      <c r="AG1198" s="5" t="str">
        <f t="shared" si="410"/>
        <v>CAD</v>
      </c>
      <c r="AH1198" s="5">
        <f t="shared" si="411"/>
        <v>373.11</v>
      </c>
      <c r="AI1198" s="12">
        <f>IF(L1198-N1198=0,VLOOKUP(U1198,rate!A$4:B$15,2,FALSE)*AH1198,IF(AG1198="USD",O1198,AH1198*Y1198))</f>
        <v>265.94422682538288</v>
      </c>
      <c r="AJ1198" s="13">
        <f t="shared" si="412"/>
        <v>0.71277700095248819</v>
      </c>
      <c r="AK1198" s="13">
        <f>-IF(AG1198="CAD",IFERROR(VLOOKUP(D1198,CAARStatus!$A$1:$Y$1600,16,FALSE),0),0)</f>
        <v>-373.11</v>
      </c>
      <c r="AL1198" s="13">
        <f>-IF(AG1198="USD",IFERROR(VLOOKUP(D1198,CAARStatus!$A$1:$Y$1600,11,FALSE),0),0)</f>
        <v>0</v>
      </c>
      <c r="AM1198" s="22">
        <f t="shared" si="413"/>
        <v>0</v>
      </c>
      <c r="AN1198" s="12" t="str">
        <f t="shared" si="414"/>
        <v/>
      </c>
      <c r="AO1198" s="12" t="str">
        <f t="shared" si="415"/>
        <v>Pend</v>
      </c>
      <c r="AP1198" t="str">
        <f t="shared" si="400"/>
        <v>Pend</v>
      </c>
      <c r="AQ1198" t="str">
        <f>IFERROR(VLOOKUP(Z1198,InvBal!$L$4:$P$600,4,FALSE),"Pend")</f>
        <v>Pend</v>
      </c>
      <c r="AR1198" t="str">
        <f>IFERROR(VLOOKUP(D1198,Manual!$C$1:$E$22,2,FALSE),"Pend")</f>
        <v>Pend</v>
      </c>
      <c r="AS1198" t="str">
        <f t="shared" si="416"/>
        <v/>
      </c>
      <c r="AT1198" t="str">
        <f t="shared" si="417"/>
        <v>Yes</v>
      </c>
      <c r="AU1198" s="51" t="str">
        <f t="shared" si="418"/>
        <v/>
      </c>
      <c r="AV1198" s="12">
        <f>IFERROR(VLOOKUP(D1198,'Receivable Invoice Detail'!$S$1:$U$3014,3,FALSE),0)</f>
        <v>0</v>
      </c>
      <c r="AW1198" s="12">
        <f t="shared" si="419"/>
        <v>0</v>
      </c>
    </row>
    <row r="1199" spans="1:49" x14ac:dyDescent="0.25">
      <c r="A1199" s="2">
        <v>0</v>
      </c>
      <c r="B1199" s="2" t="s">
        <v>6189</v>
      </c>
      <c r="C1199" s="2" t="s">
        <v>6190</v>
      </c>
      <c r="D1199" s="2"/>
      <c r="E1199" s="2" t="s">
        <v>239</v>
      </c>
      <c r="F1199" s="3">
        <v>45978.384953703702</v>
      </c>
      <c r="G1199" s="3">
        <v>46008.712766203702</v>
      </c>
      <c r="H1199" s="4">
        <v>46113</v>
      </c>
      <c r="I1199" s="2" t="s">
        <v>180</v>
      </c>
      <c r="J1199" s="2" t="s">
        <v>51</v>
      </c>
      <c r="K1199" s="2">
        <v>0.72641002219915185</v>
      </c>
      <c r="L1199" s="2">
        <v>3661.843750375373</v>
      </c>
      <c r="M1199" s="2">
        <v>0</v>
      </c>
      <c r="N1199" s="2">
        <v>2660</v>
      </c>
      <c r="O1199" s="2">
        <v>2660</v>
      </c>
      <c r="P1199" s="2"/>
      <c r="Q1199" s="2">
        <v>2660</v>
      </c>
      <c r="R1199" s="2" t="s">
        <v>29</v>
      </c>
      <c r="S1199" s="2"/>
      <c r="T1199" s="2">
        <f t="shared" si="401"/>
        <v>0</v>
      </c>
      <c r="U1199" s="18">
        <f t="shared" si="402"/>
        <v>11</v>
      </c>
      <c r="V1199" s="18">
        <f t="shared" si="403"/>
        <v>2025</v>
      </c>
      <c r="W1199" s="18" t="str">
        <f t="shared" si="404"/>
        <v/>
      </c>
      <c r="X1199" s="18" t="str">
        <f t="shared" si="405"/>
        <v/>
      </c>
      <c r="Y1199" s="2">
        <f t="shared" si="398"/>
        <v>0.72641002219915185</v>
      </c>
      <c r="Z1199" t="str">
        <f t="shared" si="399"/>
        <v>SO18240</v>
      </c>
      <c r="AA1199" s="11">
        <f t="shared" si="406"/>
        <v>45978.384953703702</v>
      </c>
      <c r="AB1199" s="5" t="str">
        <f t="shared" si="407"/>
        <v>No Inv</v>
      </c>
      <c r="AC1199" s="5" t="str">
        <f>IFERROR(VLOOKUP(D1199,CAARStatus!$A$2:$AA$1600,22,FALSE),"Not invoiced")</f>
        <v>Not invoiced</v>
      </c>
      <c r="AD1199" s="11" t="str">
        <f>IF(AC1199="Paid",IFERROR(VLOOKUP(D1199,CAARStatus!$A$2:$AA$1600,6,FALSE),"Pending"),"Pending")</f>
        <v>Pending</v>
      </c>
      <c r="AE1199" s="5" t="str">
        <f t="shared" si="408"/>
        <v>1067</v>
      </c>
      <c r="AF1199" s="5" t="str">
        <f t="shared" si="409"/>
        <v>Mill-Right Mine Services Inc.</v>
      </c>
      <c r="AG1199" s="5" t="str">
        <f t="shared" si="410"/>
        <v>USD</v>
      </c>
      <c r="AH1199" s="5">
        <f t="shared" si="411"/>
        <v>3661.8437503753726</v>
      </c>
      <c r="AI1199" s="12">
        <f>IF(L1199-N1199=0,VLOOKUP(U1199,rate!A$4:B$15,2,FALSE)*AH1199,IF(AG1199="USD",O1199,AH1199*Y1199))</f>
        <v>2660</v>
      </c>
      <c r="AJ1199" s="13">
        <f t="shared" si="412"/>
        <v>0.72641002219915185</v>
      </c>
      <c r="AK1199" s="13">
        <f>-IF(AG1199="CAD",IFERROR(VLOOKUP(D1199,CAARStatus!$A$1:$Y$1600,16,FALSE),0),0)</f>
        <v>0</v>
      </c>
      <c r="AL1199" s="13">
        <f>-IF(AG1199="USD",IFERROR(VLOOKUP(D1199,CAARStatus!$A$1:$Y$1600,11,FALSE),0),0)</f>
        <v>0</v>
      </c>
      <c r="AM1199" s="22" t="str">
        <f t="shared" si="413"/>
        <v/>
      </c>
      <c r="AN1199" s="12">
        <f t="shared" si="414"/>
        <v>2660</v>
      </c>
      <c r="AO1199" s="12" t="str">
        <f t="shared" si="415"/>
        <v>Pend</v>
      </c>
      <c r="AP1199" t="str">
        <f t="shared" si="400"/>
        <v>Pend</v>
      </c>
      <c r="AQ1199" t="str">
        <f>IFERROR(VLOOKUP(Z1199,InvBal!$L$4:$P$600,4,FALSE),"Pend")</f>
        <v>Pend</v>
      </c>
      <c r="AR1199" t="str">
        <f>IFERROR(VLOOKUP(D1199,Manual!$C$1:$E$22,2,FALSE),"Pend")</f>
        <v>Pend</v>
      </c>
      <c r="AS1199" t="str">
        <f t="shared" si="416"/>
        <v/>
      </c>
      <c r="AT1199" t="str">
        <f t="shared" si="417"/>
        <v/>
      </c>
      <c r="AU1199" s="51" t="str">
        <f t="shared" si="418"/>
        <v/>
      </c>
      <c r="AV1199" s="12">
        <f>IFERROR(VLOOKUP(D1199,'Receivable Invoice Detail'!$S$1:$U$3014,3,FALSE),0)</f>
        <v>0</v>
      </c>
      <c r="AW1199" s="12">
        <f t="shared" si="419"/>
        <v>0</v>
      </c>
    </row>
    <row r="1200" spans="1:49" x14ac:dyDescent="0.25">
      <c r="A1200" s="2">
        <v>0</v>
      </c>
      <c r="B1200" s="2" t="s">
        <v>144</v>
      </c>
      <c r="C1200" s="2" t="s">
        <v>145</v>
      </c>
      <c r="D1200" s="2"/>
      <c r="E1200" s="2" t="s">
        <v>146</v>
      </c>
      <c r="F1200" s="3">
        <v>45978.465879629628</v>
      </c>
      <c r="G1200" s="3">
        <v>45981.480023148149</v>
      </c>
      <c r="H1200" s="4">
        <v>46037</v>
      </c>
      <c r="I1200" s="2" t="s">
        <v>21</v>
      </c>
      <c r="J1200" s="2" t="s">
        <v>22</v>
      </c>
      <c r="K1200" s="2">
        <v>1</v>
      </c>
      <c r="L1200" s="2">
        <v>9966.4699999999993</v>
      </c>
      <c r="M1200" s="2">
        <v>0</v>
      </c>
      <c r="N1200" s="2">
        <v>7071.650847930744</v>
      </c>
      <c r="O1200" s="2">
        <v>9491.8799999999992</v>
      </c>
      <c r="P1200" s="2">
        <v>474.59</v>
      </c>
      <c r="Q1200" s="2">
        <v>9966.4699999999993</v>
      </c>
      <c r="R1200" s="2" t="s">
        <v>44</v>
      </c>
      <c r="S1200" s="2"/>
      <c r="T1200" s="2">
        <f t="shared" si="401"/>
        <v>0</v>
      </c>
      <c r="U1200" s="18">
        <f t="shared" si="402"/>
        <v>11</v>
      </c>
      <c r="V1200" s="18">
        <f t="shared" si="403"/>
        <v>2025</v>
      </c>
      <c r="W1200" s="18" t="str">
        <f t="shared" si="404"/>
        <v/>
      </c>
      <c r="X1200" s="18" t="str">
        <f t="shared" si="405"/>
        <v/>
      </c>
      <c r="Y1200" s="2">
        <f t="shared" si="398"/>
        <v>0.70954418645024209</v>
      </c>
      <c r="Z1200" t="str">
        <f t="shared" si="399"/>
        <v>SO18241</v>
      </c>
      <c r="AA1200" s="11">
        <f t="shared" si="406"/>
        <v>45978.465879629628</v>
      </c>
      <c r="AB1200" s="5" t="str">
        <f t="shared" si="407"/>
        <v>No Inv</v>
      </c>
      <c r="AC1200" s="5" t="str">
        <f>IFERROR(VLOOKUP(D1200,CAARStatus!$A$2:$AA$1600,22,FALSE),"Not invoiced")</f>
        <v>Not invoiced</v>
      </c>
      <c r="AD1200" s="11" t="str">
        <f>IF(AC1200="Paid",IFERROR(VLOOKUP(D1200,CAARStatus!$A$2:$AA$1600,6,FALSE),"Pending"),"Pending")</f>
        <v>Pending</v>
      </c>
      <c r="AE1200" s="5" t="str">
        <f t="shared" si="408"/>
        <v>8035</v>
      </c>
      <c r="AF1200" s="5" t="str">
        <f t="shared" si="409"/>
        <v>Hyperflo</v>
      </c>
      <c r="AG1200" s="5" t="str">
        <f t="shared" si="410"/>
        <v>CAD</v>
      </c>
      <c r="AH1200" s="5">
        <f t="shared" si="411"/>
        <v>9491.8799999999992</v>
      </c>
      <c r="AI1200" s="12">
        <f>IF(L1200-N1200=0,VLOOKUP(U1200,rate!A$4:B$15,2,FALSE)*AH1200,IF(AG1200="USD",O1200,AH1200*Y1200))</f>
        <v>6734.9082724833233</v>
      </c>
      <c r="AJ1200" s="13">
        <f t="shared" si="412"/>
        <v>0.70954418645024209</v>
      </c>
      <c r="AK1200" s="13">
        <f>-IF(AG1200="CAD",IFERROR(VLOOKUP(D1200,CAARStatus!$A$1:$Y$1600,16,FALSE),0),0)</f>
        <v>0</v>
      </c>
      <c r="AL1200" s="13">
        <f>-IF(AG1200="USD",IFERROR(VLOOKUP(D1200,CAARStatus!$A$1:$Y$1600,11,FALSE),0),0)</f>
        <v>0</v>
      </c>
      <c r="AM1200" s="22">
        <f t="shared" si="413"/>
        <v>9491.8799999999992</v>
      </c>
      <c r="AN1200" s="12" t="str">
        <f t="shared" si="414"/>
        <v/>
      </c>
      <c r="AO1200" s="12" t="str">
        <f t="shared" si="415"/>
        <v>Pend</v>
      </c>
      <c r="AP1200" t="str">
        <f t="shared" si="400"/>
        <v>Pend</v>
      </c>
      <c r="AQ1200" t="str">
        <f>IFERROR(VLOOKUP(Z1200,InvBal!$L$4:$P$600,4,FALSE),"Pend")</f>
        <v>Pend</v>
      </c>
      <c r="AR1200" t="str">
        <f>IFERROR(VLOOKUP(D1200,Manual!$C$1:$E$22,2,FALSE),"Pend")</f>
        <v>Pend</v>
      </c>
      <c r="AS1200" t="str">
        <f t="shared" si="416"/>
        <v/>
      </c>
      <c r="AT1200" t="str">
        <f t="shared" si="417"/>
        <v>Yes</v>
      </c>
      <c r="AU1200" s="51" t="str">
        <f t="shared" si="418"/>
        <v/>
      </c>
      <c r="AV1200" s="12">
        <f>IFERROR(VLOOKUP(D1200,'Receivable Invoice Detail'!$S$1:$U$3014,3,FALSE),0)</f>
        <v>0</v>
      </c>
      <c r="AW1200" s="12">
        <f t="shared" si="419"/>
        <v>0</v>
      </c>
    </row>
    <row r="1201" spans="1:49" ht="30" x14ac:dyDescent="0.25">
      <c r="A1201" s="2">
        <v>0</v>
      </c>
      <c r="B1201" s="2" t="s">
        <v>27</v>
      </c>
      <c r="C1201" s="2" t="s">
        <v>28</v>
      </c>
      <c r="D1201" s="2"/>
      <c r="E1201" s="2" t="s">
        <v>20</v>
      </c>
      <c r="F1201" s="3">
        <v>45978.587951388887</v>
      </c>
      <c r="G1201" s="3">
        <v>45989.498310185183</v>
      </c>
      <c r="H1201" s="4">
        <v>46073</v>
      </c>
      <c r="I1201" s="2" t="s">
        <v>21</v>
      </c>
      <c r="J1201" s="2" t="s">
        <v>22</v>
      </c>
      <c r="K1201" s="2">
        <v>1</v>
      </c>
      <c r="L1201" s="2">
        <v>5097.12</v>
      </c>
      <c r="M1201" s="2">
        <v>0</v>
      </c>
      <c r="N1201" s="2">
        <v>3647.092793836388</v>
      </c>
      <c r="O1201" s="2">
        <v>4854.3999999999996</v>
      </c>
      <c r="P1201" s="2">
        <v>242.72</v>
      </c>
      <c r="Q1201" s="2">
        <v>5097.12</v>
      </c>
      <c r="R1201" s="2" t="s">
        <v>29</v>
      </c>
      <c r="S1201" s="2"/>
      <c r="T1201" s="2">
        <f t="shared" si="401"/>
        <v>0</v>
      </c>
      <c r="U1201" s="18">
        <f t="shared" si="402"/>
        <v>11</v>
      </c>
      <c r="V1201" s="18">
        <f t="shared" si="403"/>
        <v>2025</v>
      </c>
      <c r="W1201" s="18" t="str">
        <f t="shared" si="404"/>
        <v/>
      </c>
      <c r="X1201" s="18" t="str">
        <f t="shared" si="405"/>
        <v/>
      </c>
      <c r="Y1201" s="2">
        <f t="shared" si="398"/>
        <v>0.7155202926037425</v>
      </c>
      <c r="Z1201" t="str">
        <f t="shared" si="399"/>
        <v>SO18242</v>
      </c>
      <c r="AA1201" s="11">
        <f t="shared" si="406"/>
        <v>45978.587951388887</v>
      </c>
      <c r="AB1201" s="5" t="str">
        <f t="shared" si="407"/>
        <v>No Inv</v>
      </c>
      <c r="AC1201" s="5" t="str">
        <f>IFERROR(VLOOKUP(D1201,CAARStatus!$A$2:$AA$1600,22,FALSE),"Not invoiced")</f>
        <v>Not invoiced</v>
      </c>
      <c r="AD1201" s="11" t="str">
        <f>IF(AC1201="Paid",IFERROR(VLOOKUP(D1201,CAARStatus!$A$2:$AA$1600,6,FALSE),"Pending"),"Pending")</f>
        <v>Pending</v>
      </c>
      <c r="AE1201" s="5" t="str">
        <f t="shared" si="408"/>
        <v>4500624264</v>
      </c>
      <c r="AF1201" s="5" t="str">
        <f t="shared" si="409"/>
        <v>Resolute Forest Products - Saint-Felicien</v>
      </c>
      <c r="AG1201" s="5" t="str">
        <f t="shared" si="410"/>
        <v>CAD</v>
      </c>
      <c r="AH1201" s="5">
        <f t="shared" si="411"/>
        <v>4854.3999999999996</v>
      </c>
      <c r="AI1201" s="12">
        <f>IF(L1201-N1201=0,VLOOKUP(U1201,rate!A$4:B$15,2,FALSE)*AH1201,IF(AG1201="USD",O1201,AH1201*Y1201))</f>
        <v>3473.4217084156076</v>
      </c>
      <c r="AJ1201" s="13">
        <f t="shared" si="412"/>
        <v>0.7155202926037425</v>
      </c>
      <c r="AK1201" s="13">
        <f>-IF(AG1201="CAD",IFERROR(VLOOKUP(D1201,CAARStatus!$A$1:$Y$1600,16,FALSE),0),0)</f>
        <v>0</v>
      </c>
      <c r="AL1201" s="13">
        <f>-IF(AG1201="USD",IFERROR(VLOOKUP(D1201,CAARStatus!$A$1:$Y$1600,11,FALSE),0),0)</f>
        <v>0</v>
      </c>
      <c r="AM1201" s="22">
        <f t="shared" si="413"/>
        <v>4854.3999999999996</v>
      </c>
      <c r="AN1201" s="12" t="str">
        <f t="shared" si="414"/>
        <v/>
      </c>
      <c r="AO1201" s="12" t="str">
        <f t="shared" si="415"/>
        <v>Pend</v>
      </c>
      <c r="AP1201" t="str">
        <f t="shared" si="400"/>
        <v>Pend</v>
      </c>
      <c r="AQ1201" t="str">
        <f>IFERROR(VLOOKUP(Z1201,InvBal!$L$4:$P$600,4,FALSE),"Pend")</f>
        <v>Pend</v>
      </c>
      <c r="AR1201" t="str">
        <f>IFERROR(VLOOKUP(D1201,Manual!$C$1:$E$22,2,FALSE),"Pend")</f>
        <v>Pend</v>
      </c>
      <c r="AS1201" t="str">
        <f t="shared" si="416"/>
        <v/>
      </c>
      <c r="AT1201" t="str">
        <f t="shared" si="417"/>
        <v/>
      </c>
      <c r="AU1201" s="51" t="str">
        <f t="shared" si="418"/>
        <v/>
      </c>
      <c r="AV1201" s="12">
        <f>IFERROR(VLOOKUP(D1201,'Receivable Invoice Detail'!$S$1:$U$3014,3,FALSE),0)</f>
        <v>0</v>
      </c>
      <c r="AW1201" s="12">
        <f t="shared" si="419"/>
        <v>0</v>
      </c>
    </row>
    <row r="1202" spans="1:49" ht="45" x14ac:dyDescent="0.25">
      <c r="A1202" s="2">
        <v>0</v>
      </c>
      <c r="B1202" s="2" t="s">
        <v>6191</v>
      </c>
      <c r="C1202" s="2" t="s">
        <v>6192</v>
      </c>
      <c r="D1202" s="2"/>
      <c r="E1202" s="2" t="s">
        <v>6193</v>
      </c>
      <c r="F1202" s="3">
        <v>45978.652696759258</v>
      </c>
      <c r="G1202" s="3">
        <v>45996.582997685182</v>
      </c>
      <c r="H1202" s="4">
        <v>46086</v>
      </c>
      <c r="I1202" s="2" t="s">
        <v>180</v>
      </c>
      <c r="J1202" s="2" t="s">
        <v>51</v>
      </c>
      <c r="K1202" s="2">
        <v>0.71669614463588371</v>
      </c>
      <c r="L1202" s="2">
        <v>5407.0334115844707</v>
      </c>
      <c r="M1202" s="2">
        <v>0</v>
      </c>
      <c r="N1202" s="2">
        <v>3875.2</v>
      </c>
      <c r="O1202" s="2">
        <v>3875.2</v>
      </c>
      <c r="P1202" s="2"/>
      <c r="Q1202" s="2">
        <v>3875.2</v>
      </c>
      <c r="R1202" s="2" t="s">
        <v>29</v>
      </c>
      <c r="S1202" s="2"/>
      <c r="T1202" s="2">
        <f t="shared" si="401"/>
        <v>0</v>
      </c>
      <c r="U1202" s="18">
        <f t="shared" si="402"/>
        <v>11</v>
      </c>
      <c r="V1202" s="18">
        <f t="shared" si="403"/>
        <v>2025</v>
      </c>
      <c r="W1202" s="18" t="str">
        <f t="shared" si="404"/>
        <v/>
      </c>
      <c r="X1202" s="18" t="str">
        <f t="shared" si="405"/>
        <v/>
      </c>
      <c r="Y1202" s="2">
        <f t="shared" si="398"/>
        <v>0.71669614463588371</v>
      </c>
      <c r="Z1202" t="str">
        <f t="shared" si="399"/>
        <v>SO18243</v>
      </c>
      <c r="AA1202" s="11">
        <f t="shared" si="406"/>
        <v>45978.652696759258</v>
      </c>
      <c r="AB1202" s="5" t="str">
        <f t="shared" si="407"/>
        <v>No Inv</v>
      </c>
      <c r="AC1202" s="5" t="str">
        <f>IFERROR(VLOOKUP(D1202,CAARStatus!$A$2:$AA$1600,22,FALSE),"Not invoiced")</f>
        <v>Not invoiced</v>
      </c>
      <c r="AD1202" s="11" t="str">
        <f>IF(AC1202="Paid",IFERROR(VLOOKUP(D1202,CAARStatus!$A$2:$AA$1600,6,FALSE),"Pending"),"Pending")</f>
        <v>Pending</v>
      </c>
      <c r="AE1202" s="5" t="str">
        <f t="shared" si="408"/>
        <v>2259803</v>
      </c>
      <c r="AF1202" s="5" t="str">
        <f t="shared" si="409"/>
        <v>Zijin Mining - Rosebel Goldmines N.V., Rosebel Gold Mines N.V.</v>
      </c>
      <c r="AG1202" s="5" t="str">
        <f t="shared" si="410"/>
        <v>USD</v>
      </c>
      <c r="AH1202" s="5">
        <f t="shared" si="411"/>
        <v>5407.0334115844707</v>
      </c>
      <c r="AI1202" s="12">
        <f>IF(L1202-N1202=0,VLOOKUP(U1202,rate!A$4:B$15,2,FALSE)*AH1202,IF(AG1202="USD",O1202,AH1202*Y1202))</f>
        <v>3875.2</v>
      </c>
      <c r="AJ1202" s="13">
        <f t="shared" si="412"/>
        <v>0.71669614463588371</v>
      </c>
      <c r="AK1202" s="13">
        <f>-IF(AG1202="CAD",IFERROR(VLOOKUP(D1202,CAARStatus!$A$1:$Y$1600,16,FALSE),0),0)</f>
        <v>0</v>
      </c>
      <c r="AL1202" s="13">
        <f>-IF(AG1202="USD",IFERROR(VLOOKUP(D1202,CAARStatus!$A$1:$Y$1600,11,FALSE),0),0)</f>
        <v>0</v>
      </c>
      <c r="AM1202" s="22" t="str">
        <f t="shared" si="413"/>
        <v/>
      </c>
      <c r="AN1202" s="12">
        <f t="shared" si="414"/>
        <v>3875.2</v>
      </c>
      <c r="AO1202" s="12" t="str">
        <f t="shared" si="415"/>
        <v>Pend</v>
      </c>
      <c r="AP1202" t="str">
        <f t="shared" si="400"/>
        <v>Pend</v>
      </c>
      <c r="AQ1202" t="str">
        <f>IFERROR(VLOOKUP(Z1202,InvBal!$L$4:$P$600,4,FALSE),"Pend")</f>
        <v>Pend</v>
      </c>
      <c r="AR1202" t="str">
        <f>IFERROR(VLOOKUP(D1202,Manual!$C$1:$E$22,2,FALSE),"Pend")</f>
        <v>Pend</v>
      </c>
      <c r="AS1202" t="str">
        <f t="shared" si="416"/>
        <v/>
      </c>
      <c r="AT1202" t="str">
        <f t="shared" si="417"/>
        <v/>
      </c>
      <c r="AU1202" s="51" t="str">
        <f t="shared" si="418"/>
        <v/>
      </c>
      <c r="AV1202" s="12">
        <f>IFERROR(VLOOKUP(D1202,'Receivable Invoice Detail'!$S$1:$U$3014,3,FALSE),0)</f>
        <v>0</v>
      </c>
      <c r="AW1202" s="12">
        <f t="shared" si="419"/>
        <v>0</v>
      </c>
    </row>
    <row r="1203" spans="1:49" ht="30" x14ac:dyDescent="0.25">
      <c r="A1203" s="2">
        <v>0</v>
      </c>
      <c r="B1203" s="2" t="s">
        <v>84</v>
      </c>
      <c r="C1203" s="2" t="s">
        <v>85</v>
      </c>
      <c r="D1203" s="2"/>
      <c r="E1203" s="2" t="s">
        <v>86</v>
      </c>
      <c r="F1203" s="3">
        <v>45978.669004629628</v>
      </c>
      <c r="G1203" s="3">
        <v>45986.567442129628</v>
      </c>
      <c r="H1203" s="4">
        <v>46098</v>
      </c>
      <c r="I1203" s="2" t="s">
        <v>40</v>
      </c>
      <c r="J1203" s="2" t="s">
        <v>22</v>
      </c>
      <c r="K1203" s="2">
        <v>1</v>
      </c>
      <c r="L1203" s="2">
        <v>3677.44</v>
      </c>
      <c r="M1203" s="2">
        <v>0</v>
      </c>
      <c r="N1203" s="2">
        <v>2604.8320515752189</v>
      </c>
      <c r="O1203" s="2">
        <v>3502.32</v>
      </c>
      <c r="P1203" s="2">
        <v>175.12</v>
      </c>
      <c r="Q1203" s="2">
        <v>3677.44</v>
      </c>
      <c r="R1203" s="2" t="s">
        <v>29</v>
      </c>
      <c r="S1203" s="2"/>
      <c r="T1203" s="2">
        <f t="shared" si="401"/>
        <v>0</v>
      </c>
      <c r="U1203" s="18">
        <f t="shared" si="402"/>
        <v>11</v>
      </c>
      <c r="V1203" s="18">
        <f t="shared" si="403"/>
        <v>2025</v>
      </c>
      <c r="W1203" s="18" t="str">
        <f t="shared" si="404"/>
        <v/>
      </c>
      <c r="X1203" s="18" t="str">
        <f t="shared" si="405"/>
        <v/>
      </c>
      <c r="Y1203" s="2">
        <f t="shared" si="398"/>
        <v>0.70832754622107197</v>
      </c>
      <c r="Z1203" t="str">
        <f t="shared" si="399"/>
        <v>SO18245</v>
      </c>
      <c r="AA1203" s="11">
        <f t="shared" si="406"/>
        <v>45978.669004629628</v>
      </c>
      <c r="AB1203" s="5" t="str">
        <f t="shared" si="407"/>
        <v>No Inv</v>
      </c>
      <c r="AC1203" s="5" t="str">
        <f>IFERROR(VLOOKUP(D1203,CAARStatus!$A$2:$AA$1600,22,FALSE),"Not invoiced")</f>
        <v>Not invoiced</v>
      </c>
      <c r="AD1203" s="11" t="str">
        <f>IF(AC1203="Paid",IFERROR(VLOOKUP(D1203,CAARStatus!$A$2:$AA$1600,6,FALSE),"Pending"),"Pending")</f>
        <v>Pending</v>
      </c>
      <c r="AE1203" s="5" t="str">
        <f t="shared" si="408"/>
        <v>MB21-00194995</v>
      </c>
      <c r="AF1203" s="5" t="str">
        <f t="shared" si="409"/>
        <v>Motion Industries Inc. (Canada) - Winnipeg</v>
      </c>
      <c r="AG1203" s="5" t="str">
        <f t="shared" si="410"/>
        <v>CAD</v>
      </c>
      <c r="AH1203" s="5">
        <f t="shared" si="411"/>
        <v>3502.32</v>
      </c>
      <c r="AI1203" s="12">
        <f>IF(L1203-N1203=0,VLOOKUP(U1203,rate!A$4:B$15,2,FALSE)*AH1203,IF(AG1203="USD",O1203,AH1203*Y1203))</f>
        <v>2480.7897316809849</v>
      </c>
      <c r="AJ1203" s="13">
        <f t="shared" si="412"/>
        <v>0.70832754622107197</v>
      </c>
      <c r="AK1203" s="13">
        <f>-IF(AG1203="CAD",IFERROR(VLOOKUP(D1203,CAARStatus!$A$1:$Y$1600,16,FALSE),0),0)</f>
        <v>0</v>
      </c>
      <c r="AL1203" s="13">
        <f>-IF(AG1203="USD",IFERROR(VLOOKUP(D1203,CAARStatus!$A$1:$Y$1600,11,FALSE),0),0)</f>
        <v>0</v>
      </c>
      <c r="AM1203" s="22">
        <f t="shared" si="413"/>
        <v>3502.32</v>
      </c>
      <c r="AN1203" s="12" t="str">
        <f t="shared" si="414"/>
        <v/>
      </c>
      <c r="AO1203" s="12" t="str">
        <f t="shared" si="415"/>
        <v>Pend</v>
      </c>
      <c r="AP1203" t="str">
        <f t="shared" si="400"/>
        <v>Pend</v>
      </c>
      <c r="AQ1203" t="str">
        <f>IFERROR(VLOOKUP(Z1203,InvBal!$L$4:$P$600,4,FALSE),"Pend")</f>
        <v>Pend</v>
      </c>
      <c r="AR1203" t="str">
        <f>IFERROR(VLOOKUP(D1203,Manual!$C$1:$E$22,2,FALSE),"Pend")</f>
        <v>Pend</v>
      </c>
      <c r="AS1203" t="str">
        <f t="shared" si="416"/>
        <v/>
      </c>
      <c r="AT1203" t="str">
        <f t="shared" si="417"/>
        <v/>
      </c>
      <c r="AU1203" s="51" t="str">
        <f t="shared" si="418"/>
        <v/>
      </c>
      <c r="AV1203" s="12">
        <f>IFERROR(VLOOKUP(D1203,'Receivable Invoice Detail'!$S$1:$U$3014,3,FALSE),0)</f>
        <v>0</v>
      </c>
      <c r="AW1203" s="12">
        <f t="shared" si="419"/>
        <v>0</v>
      </c>
    </row>
    <row r="1204" spans="1:49" x14ac:dyDescent="0.25">
      <c r="A1204" s="2">
        <v>1</v>
      </c>
      <c r="B1204" s="2" t="s">
        <v>162</v>
      </c>
      <c r="C1204" s="2" t="s">
        <v>163</v>
      </c>
      <c r="D1204" s="2" t="s">
        <v>5964</v>
      </c>
      <c r="E1204" s="2" t="s">
        <v>92</v>
      </c>
      <c r="F1204" s="3">
        <v>45978.72965277778</v>
      </c>
      <c r="G1204" s="3">
        <v>45979.57303240741</v>
      </c>
      <c r="H1204" s="4">
        <v>45989</v>
      </c>
      <c r="I1204" s="2" t="s">
        <v>21</v>
      </c>
      <c r="J1204" s="2" t="s">
        <v>22</v>
      </c>
      <c r="K1204" s="2">
        <v>1</v>
      </c>
      <c r="L1204" s="2">
        <v>2662.01</v>
      </c>
      <c r="M1204" s="2">
        <v>0</v>
      </c>
      <c r="N1204" s="2">
        <v>1901.917538531369</v>
      </c>
      <c r="O1204" s="2">
        <v>2355.7600000000002</v>
      </c>
      <c r="P1204" s="2">
        <v>306.25</v>
      </c>
      <c r="Q1204" s="2">
        <v>2662.01</v>
      </c>
      <c r="R1204" s="2" t="s">
        <v>44</v>
      </c>
      <c r="S1204" s="2"/>
      <c r="T1204" s="2">
        <f t="shared" si="401"/>
        <v>1</v>
      </c>
      <c r="U1204" s="18">
        <f t="shared" si="402"/>
        <v>11</v>
      </c>
      <c r="V1204" s="18">
        <f t="shared" si="403"/>
        <v>2025</v>
      </c>
      <c r="W1204" s="18">
        <f t="shared" si="404"/>
        <v>12</v>
      </c>
      <c r="X1204" s="18">
        <f t="shared" si="405"/>
        <v>2025</v>
      </c>
      <c r="Y1204" s="2">
        <f t="shared" si="398"/>
        <v>0.71446671444937049</v>
      </c>
      <c r="Z1204" t="str">
        <f t="shared" si="399"/>
        <v>SO18247</v>
      </c>
      <c r="AA1204" s="11">
        <f t="shared" si="406"/>
        <v>45978.72965277778</v>
      </c>
      <c r="AB1204" s="5" t="str">
        <f t="shared" si="407"/>
        <v>INV13734</v>
      </c>
      <c r="AC1204" s="5" t="str">
        <f>IFERROR(VLOOKUP(D1204,CAARStatus!$A$2:$AA$1600,22,FALSE),"Not invoiced")</f>
        <v>Paid</v>
      </c>
      <c r="AD1204" s="11">
        <f>IF(AC1204="Paid",IFERROR(VLOOKUP(D1204,CAARStatus!$A$2:$AA$1600,6,FALSE),"Pending"),"Pending")</f>
        <v>46014</v>
      </c>
      <c r="AE1204" s="5" t="str">
        <f t="shared" si="408"/>
        <v>4560073057</v>
      </c>
      <c r="AF1204" s="5" t="str">
        <f t="shared" si="409"/>
        <v>Alamos Gold Inc</v>
      </c>
      <c r="AG1204" s="5" t="str">
        <f t="shared" si="410"/>
        <v>CAD</v>
      </c>
      <c r="AH1204" s="5">
        <f t="shared" si="411"/>
        <v>2355.7600000000002</v>
      </c>
      <c r="AI1204" s="12">
        <f>IF(L1204-N1204=0,VLOOKUP(U1204,rate!A$4:B$15,2,FALSE)*AH1204,IF(AG1204="USD",O1204,AH1204*Y1204))</f>
        <v>1683.1121072312492</v>
      </c>
      <c r="AJ1204" s="13">
        <f t="shared" si="412"/>
        <v>0.71446671444937049</v>
      </c>
      <c r="AK1204" s="13">
        <f>-IF(AG1204="CAD",IFERROR(VLOOKUP(D1204,CAARStatus!$A$1:$Y$1600,16,FALSE),0),0)</f>
        <v>-2355.7600000000002</v>
      </c>
      <c r="AL1204" s="13">
        <f>-IF(AG1204="USD",IFERROR(VLOOKUP(D1204,CAARStatus!$A$1:$Y$1600,11,FALSE),0),0)</f>
        <v>0</v>
      </c>
      <c r="AM1204" s="22">
        <f t="shared" si="413"/>
        <v>0</v>
      </c>
      <c r="AN1204" s="12" t="str">
        <f t="shared" si="414"/>
        <v/>
      </c>
      <c r="AO1204" s="12" t="str">
        <f t="shared" si="415"/>
        <v>Yes</v>
      </c>
      <c r="AP1204" t="str">
        <f t="shared" si="400"/>
        <v>Yes</v>
      </c>
      <c r="AQ1204" t="str">
        <f>IFERROR(VLOOKUP(Z1204,InvBal!$L$4:$P$600,4,FALSE),"Pend")</f>
        <v>Pend</v>
      </c>
      <c r="AR1204" t="str">
        <f>IFERROR(VLOOKUP(D1204,Manual!$C$1:$E$22,2,FALSE),"Pend")</f>
        <v>Pend</v>
      </c>
      <c r="AS1204" t="str">
        <f t="shared" si="416"/>
        <v>Yes</v>
      </c>
      <c r="AT1204" t="str">
        <f t="shared" si="417"/>
        <v>Yes</v>
      </c>
      <c r="AU1204" s="51" t="str">
        <f t="shared" si="418"/>
        <v>Yes</v>
      </c>
      <c r="AV1204" s="12">
        <f>IFERROR(VLOOKUP(D1204,'Receivable Invoice Detail'!$S$1:$U$3014,3,FALSE),0)</f>
        <v>0</v>
      </c>
      <c r="AW1204" s="12">
        <f t="shared" si="419"/>
        <v>1683.1121072312492</v>
      </c>
    </row>
    <row r="1205" spans="1:49" ht="45" x14ac:dyDescent="0.25">
      <c r="A1205" s="2">
        <v>1</v>
      </c>
      <c r="B1205" s="2" t="s">
        <v>136</v>
      </c>
      <c r="C1205" s="2" t="s">
        <v>137</v>
      </c>
      <c r="D1205" s="2" t="s">
        <v>3380</v>
      </c>
      <c r="E1205" s="2" t="s">
        <v>138</v>
      </c>
      <c r="F1205" s="3">
        <v>45979.393773148149</v>
      </c>
      <c r="G1205" s="3">
        <v>45981.630011574067</v>
      </c>
      <c r="H1205" s="4">
        <v>45988</v>
      </c>
      <c r="I1205" s="2" t="s">
        <v>74</v>
      </c>
      <c r="J1205" s="2" t="s">
        <v>22</v>
      </c>
      <c r="K1205" s="2">
        <v>1</v>
      </c>
      <c r="L1205" s="2">
        <v>407.34</v>
      </c>
      <c r="M1205" s="2">
        <v>0</v>
      </c>
      <c r="N1205" s="2">
        <v>289.02572890864161</v>
      </c>
      <c r="O1205" s="2">
        <v>387.94</v>
      </c>
      <c r="P1205" s="2">
        <v>19.399999999999999</v>
      </c>
      <c r="Q1205" s="2">
        <v>407.34</v>
      </c>
      <c r="R1205" s="2" t="s">
        <v>44</v>
      </c>
      <c r="S1205" s="2"/>
      <c r="T1205" s="2">
        <f t="shared" si="401"/>
        <v>1</v>
      </c>
      <c r="U1205" s="18">
        <f t="shared" si="402"/>
        <v>11</v>
      </c>
      <c r="V1205" s="18">
        <f t="shared" si="403"/>
        <v>2025</v>
      </c>
      <c r="W1205" s="18">
        <f t="shared" si="404"/>
        <v>12</v>
      </c>
      <c r="X1205" s="18">
        <f t="shared" si="405"/>
        <v>2025</v>
      </c>
      <c r="Y1205" s="2">
        <f t="shared" si="398"/>
        <v>0.70954418645024209</v>
      </c>
      <c r="Z1205" t="str">
        <f t="shared" si="399"/>
        <v>SO18249</v>
      </c>
      <c r="AA1205" s="11">
        <f t="shared" si="406"/>
        <v>45979.393773148149</v>
      </c>
      <c r="AB1205" s="5" t="str">
        <f t="shared" si="407"/>
        <v>INV13698</v>
      </c>
      <c r="AC1205" s="5" t="str">
        <f>IFERROR(VLOOKUP(D1205,CAARStatus!$A$2:$AA$1600,22,FALSE),"Not invoiced")</f>
        <v>Paid</v>
      </c>
      <c r="AD1205" s="11">
        <f>IF(AC1205="Paid",IFERROR(VLOOKUP(D1205,CAARStatus!$A$2:$AA$1600,6,FALSE),"Pending"),"Pending")</f>
        <v>46022</v>
      </c>
      <c r="AE1205" s="5" t="str">
        <f t="shared" si="408"/>
        <v>PO14217</v>
      </c>
      <c r="AF1205" s="5" t="str">
        <f t="shared" si="409"/>
        <v>Manufacture Sling-Choker (Val-d’Or) Ltée, Manufacture Sling-Choker (Val-d’Or) Ltée</v>
      </c>
      <c r="AG1205" s="5" t="str">
        <f t="shared" si="410"/>
        <v>CAD</v>
      </c>
      <c r="AH1205" s="5">
        <f t="shared" si="411"/>
        <v>387.94</v>
      </c>
      <c r="AI1205" s="12">
        <f>IF(L1205-N1205=0,VLOOKUP(U1205,rate!A$4:B$15,2,FALSE)*AH1205,IF(AG1205="USD",O1205,AH1205*Y1205))</f>
        <v>275.26057169150693</v>
      </c>
      <c r="AJ1205" s="13">
        <f t="shared" si="412"/>
        <v>0.70954418645024209</v>
      </c>
      <c r="AK1205" s="13">
        <f>-IF(AG1205="CAD",IFERROR(VLOOKUP(D1205,CAARStatus!$A$1:$Y$1600,16,FALSE),0),0)</f>
        <v>-387.94</v>
      </c>
      <c r="AL1205" s="13">
        <f>-IF(AG1205="USD",IFERROR(VLOOKUP(D1205,CAARStatus!$A$1:$Y$1600,11,FALSE),0),0)</f>
        <v>0</v>
      </c>
      <c r="AM1205" s="22">
        <f t="shared" si="413"/>
        <v>0</v>
      </c>
      <c r="AN1205" s="12" t="str">
        <f t="shared" si="414"/>
        <v/>
      </c>
      <c r="AO1205" s="12" t="str">
        <f t="shared" si="415"/>
        <v>Yes</v>
      </c>
      <c r="AP1205" t="str">
        <f t="shared" si="400"/>
        <v>Yes</v>
      </c>
      <c r="AQ1205" t="str">
        <f>IFERROR(VLOOKUP(Z1205,InvBal!$L$4:$P$600,4,FALSE),"Pend")</f>
        <v>Pend</v>
      </c>
      <c r="AR1205" t="str">
        <f>IFERROR(VLOOKUP(D1205,Manual!$C$1:$E$22,2,FALSE),"Pend")</f>
        <v>Pend</v>
      </c>
      <c r="AS1205" t="str">
        <f t="shared" si="416"/>
        <v>Yes</v>
      </c>
      <c r="AT1205" t="str">
        <f t="shared" si="417"/>
        <v>Yes</v>
      </c>
      <c r="AU1205" s="51" t="str">
        <f t="shared" si="418"/>
        <v>Yes</v>
      </c>
      <c r="AV1205" s="12">
        <f>IFERROR(VLOOKUP(D1205,'Receivable Invoice Detail'!$S$1:$U$3014,3,FALSE),0)</f>
        <v>0</v>
      </c>
      <c r="AW1205" s="12">
        <f t="shared" si="419"/>
        <v>275.26057169150693</v>
      </c>
    </row>
    <row r="1206" spans="1:49" x14ac:dyDescent="0.25">
      <c r="A1206" s="2">
        <v>1</v>
      </c>
      <c r="B1206" s="2" t="s">
        <v>72</v>
      </c>
      <c r="C1206" s="2" t="s">
        <v>73</v>
      </c>
      <c r="D1206" s="2" t="s">
        <v>5888</v>
      </c>
      <c r="E1206" s="2" t="s">
        <v>70</v>
      </c>
      <c r="F1206" s="3">
        <v>45979.413564814808</v>
      </c>
      <c r="G1206" s="3">
        <v>45987.518472222233</v>
      </c>
      <c r="H1206" s="4">
        <v>45982</v>
      </c>
      <c r="I1206" s="2" t="s">
        <v>74</v>
      </c>
      <c r="J1206" s="2" t="s">
        <v>51</v>
      </c>
      <c r="K1206" s="2">
        <v>0.70860938895411174</v>
      </c>
      <c r="L1206" s="2">
        <v>451.58871020931758</v>
      </c>
      <c r="M1206" s="2">
        <v>0</v>
      </c>
      <c r="N1206" s="2">
        <v>320</v>
      </c>
      <c r="O1206" s="2">
        <v>320</v>
      </c>
      <c r="P1206" s="2"/>
      <c r="Q1206" s="2">
        <v>320</v>
      </c>
      <c r="R1206" s="2" t="s">
        <v>44</v>
      </c>
      <c r="S1206" s="2"/>
      <c r="T1206" s="2">
        <f t="shared" si="401"/>
        <v>1</v>
      </c>
      <c r="U1206" s="18">
        <f t="shared" si="402"/>
        <v>11</v>
      </c>
      <c r="V1206" s="18">
        <f t="shared" si="403"/>
        <v>2025</v>
      </c>
      <c r="W1206" s="18" t="str">
        <f t="shared" si="404"/>
        <v/>
      </c>
      <c r="X1206" s="18" t="str">
        <f t="shared" si="405"/>
        <v/>
      </c>
      <c r="Y1206" s="2">
        <f t="shared" si="398"/>
        <v>0.70860938895411185</v>
      </c>
      <c r="Z1206" t="str">
        <f t="shared" si="399"/>
        <v>SO18250</v>
      </c>
      <c r="AA1206" s="11">
        <f t="shared" si="406"/>
        <v>45979.413564814808</v>
      </c>
      <c r="AB1206" s="5" t="str">
        <f t="shared" si="407"/>
        <v>INV13713</v>
      </c>
      <c r="AC1206" s="5" t="str">
        <f>IFERROR(VLOOKUP(D1206,CAARStatus!$A$2:$AA$1600,22,FALSE),"Not invoiced")</f>
        <v>Approved</v>
      </c>
      <c r="AD1206" s="11" t="str">
        <f>IF(AC1206="Paid",IFERROR(VLOOKUP(D1206,CAARStatus!$A$2:$AA$1600,6,FALSE),"Pending"),"Pending")</f>
        <v>Pending</v>
      </c>
      <c r="AE1206" s="5" t="str">
        <f t="shared" si="408"/>
        <v>P371254</v>
      </c>
      <c r="AF1206" s="5" t="str">
        <f t="shared" si="409"/>
        <v>Covia Corp - Junction City</v>
      </c>
      <c r="AG1206" s="5" t="str">
        <f t="shared" si="410"/>
        <v>USD</v>
      </c>
      <c r="AH1206" s="5">
        <f t="shared" si="411"/>
        <v>451.58871020931764</v>
      </c>
      <c r="AI1206" s="12">
        <f>IF(L1206-N1206=0,VLOOKUP(U1206,rate!A$4:B$15,2,FALSE)*AH1206,IF(AG1206="USD",O1206,AH1206*Y1206))</f>
        <v>320</v>
      </c>
      <c r="AJ1206" s="13">
        <f t="shared" si="412"/>
        <v>0.70860938895411174</v>
      </c>
      <c r="AK1206" s="13">
        <f>-IF(AG1206="CAD",IFERROR(VLOOKUP(D1206,CAARStatus!$A$1:$Y$1600,16,FALSE),0),0)</f>
        <v>0</v>
      </c>
      <c r="AL1206" s="13">
        <f>-IF(AG1206="USD",IFERROR(VLOOKUP(D1206,CAARStatus!$A$1:$Y$1600,11,FALSE),0),0)</f>
        <v>-320</v>
      </c>
      <c r="AM1206" s="22" t="str">
        <f t="shared" si="413"/>
        <v/>
      </c>
      <c r="AN1206" s="12">
        <f t="shared" si="414"/>
        <v>0</v>
      </c>
      <c r="AO1206" s="12" t="str">
        <f t="shared" si="415"/>
        <v>Pend</v>
      </c>
      <c r="AP1206" t="str">
        <f t="shared" si="400"/>
        <v>Pend</v>
      </c>
      <c r="AQ1206" t="str">
        <f>IFERROR(VLOOKUP(Z1206,InvBal!$L$4:$P$600,4,FALSE),"Pend")</f>
        <v>Pend</v>
      </c>
      <c r="AR1206" t="str">
        <f>IFERROR(VLOOKUP(D1206,Manual!$C$1:$E$22,2,FALSE),"Pend")</f>
        <v>Pend</v>
      </c>
      <c r="AS1206" t="str">
        <f t="shared" si="416"/>
        <v/>
      </c>
      <c r="AT1206" t="str">
        <f t="shared" si="417"/>
        <v>Yes</v>
      </c>
      <c r="AU1206" s="51" t="str">
        <f t="shared" si="418"/>
        <v/>
      </c>
      <c r="AV1206" s="12">
        <f>IFERROR(VLOOKUP(D1206,'Receivable Invoice Detail'!$S$1:$U$3014,3,FALSE),0)</f>
        <v>190.96</v>
      </c>
      <c r="AW1206" s="12">
        <f t="shared" si="419"/>
        <v>0</v>
      </c>
    </row>
    <row r="1207" spans="1:49" x14ac:dyDescent="0.25">
      <c r="A1207" s="2">
        <v>1</v>
      </c>
      <c r="B1207" s="2" t="s">
        <v>6194</v>
      </c>
      <c r="C1207" s="2" t="s">
        <v>5991</v>
      </c>
      <c r="D1207" s="2" t="s">
        <v>5990</v>
      </c>
      <c r="E1207" s="2" t="s">
        <v>442</v>
      </c>
      <c r="F1207" s="3">
        <v>45979.441631944443</v>
      </c>
      <c r="G1207" s="3">
        <v>46000.383530092593</v>
      </c>
      <c r="H1207" s="4">
        <v>46003</v>
      </c>
      <c r="I1207" s="2" t="s">
        <v>74</v>
      </c>
      <c r="J1207" s="2" t="s">
        <v>51</v>
      </c>
      <c r="K1207" s="2">
        <v>0.72376393522263116</v>
      </c>
      <c r="L1207" s="2">
        <v>4181.3219099803691</v>
      </c>
      <c r="M1207" s="2">
        <v>0</v>
      </c>
      <c r="N1207" s="2">
        <v>3026.29</v>
      </c>
      <c r="O1207" s="2">
        <v>3026.29</v>
      </c>
      <c r="P1207" s="2"/>
      <c r="Q1207" s="2">
        <v>3026.29</v>
      </c>
      <c r="R1207" s="2" t="s">
        <v>44</v>
      </c>
      <c r="S1207" s="2"/>
      <c r="T1207" s="2">
        <f t="shared" si="401"/>
        <v>1</v>
      </c>
      <c r="U1207" s="18">
        <f t="shared" si="402"/>
        <v>11</v>
      </c>
      <c r="V1207" s="18">
        <f t="shared" si="403"/>
        <v>2025</v>
      </c>
      <c r="W1207" s="18" t="str">
        <f t="shared" si="404"/>
        <v/>
      </c>
      <c r="X1207" s="18" t="str">
        <f t="shared" si="405"/>
        <v/>
      </c>
      <c r="Y1207" s="2">
        <f t="shared" si="398"/>
        <v>0.72376393522263105</v>
      </c>
      <c r="Z1207" t="str">
        <f t="shared" si="399"/>
        <v>SO18255</v>
      </c>
      <c r="AA1207" s="11">
        <f t="shared" si="406"/>
        <v>45979.441631944443</v>
      </c>
      <c r="AB1207" s="5" t="str">
        <f t="shared" si="407"/>
        <v>INV13750</v>
      </c>
      <c r="AC1207" s="5" t="str">
        <f>IFERROR(VLOOKUP(D1207,CAARStatus!$A$2:$AA$1600,22,FALSE),"Not invoiced")</f>
        <v>Approved</v>
      </c>
      <c r="AD1207" s="11" t="str">
        <f>IF(AC1207="Paid",IFERROR(VLOOKUP(D1207,CAARStatus!$A$2:$AA$1600,6,FALSE),"Pending"),"Pending")</f>
        <v>Pending</v>
      </c>
      <c r="AE1207" s="5" t="str">
        <f t="shared" si="408"/>
        <v>P371718</v>
      </c>
      <c r="AF1207" s="5" t="str">
        <f t="shared" si="409"/>
        <v>Covia Corp - Guion</v>
      </c>
      <c r="AG1207" s="5" t="str">
        <f t="shared" si="410"/>
        <v>USD</v>
      </c>
      <c r="AH1207" s="5">
        <f t="shared" si="411"/>
        <v>4181.3219099803691</v>
      </c>
      <c r="AI1207" s="12">
        <f>IF(L1207-N1207=0,VLOOKUP(U1207,rate!A$4:B$15,2,FALSE)*AH1207,IF(AG1207="USD",O1207,AH1207*Y1207))</f>
        <v>3026.29</v>
      </c>
      <c r="AJ1207" s="13">
        <f t="shared" si="412"/>
        <v>0.72376393522263105</v>
      </c>
      <c r="AK1207" s="13">
        <f>-IF(AG1207="CAD",IFERROR(VLOOKUP(D1207,CAARStatus!$A$1:$Y$1600,16,FALSE),0),0)</f>
        <v>0</v>
      </c>
      <c r="AL1207" s="13">
        <f>-IF(AG1207="USD",IFERROR(VLOOKUP(D1207,CAARStatus!$A$1:$Y$1600,11,FALSE),0),0)</f>
        <v>-3026.29</v>
      </c>
      <c r="AM1207" s="22" t="str">
        <f t="shared" si="413"/>
        <v/>
      </c>
      <c r="AN1207" s="12">
        <f t="shared" si="414"/>
        <v>0</v>
      </c>
      <c r="AO1207" s="12" t="str">
        <f t="shared" si="415"/>
        <v>Pend</v>
      </c>
      <c r="AP1207" t="str">
        <f t="shared" si="400"/>
        <v>Pend</v>
      </c>
      <c r="AQ1207" t="str">
        <f>IFERROR(VLOOKUP(Z1207,InvBal!$L$4:$P$600,4,FALSE),"Pend")</f>
        <v>Pend</v>
      </c>
      <c r="AR1207" t="str">
        <f>IFERROR(VLOOKUP(D1207,Manual!$C$1:$E$22,2,FALSE),"Pend")</f>
        <v>Pend</v>
      </c>
      <c r="AS1207" t="str">
        <f t="shared" si="416"/>
        <v/>
      </c>
      <c r="AT1207" t="str">
        <f t="shared" si="417"/>
        <v>Yes</v>
      </c>
      <c r="AU1207" s="51" t="str">
        <f t="shared" si="418"/>
        <v/>
      </c>
      <c r="AV1207" s="12">
        <f>IFERROR(VLOOKUP(D1207,'Receivable Invoice Detail'!$S$1:$U$3014,3,FALSE),0)</f>
        <v>492.64</v>
      </c>
      <c r="AW1207" s="12">
        <f t="shared" si="419"/>
        <v>0</v>
      </c>
    </row>
    <row r="1208" spans="1:49" ht="30" x14ac:dyDescent="0.25">
      <c r="A1208" s="2">
        <v>0</v>
      </c>
      <c r="B1208" s="2" t="s">
        <v>78</v>
      </c>
      <c r="C1208" s="2" t="s">
        <v>79</v>
      </c>
      <c r="D1208" s="2"/>
      <c r="E1208" s="2" t="s">
        <v>80</v>
      </c>
      <c r="F1208" s="3">
        <v>45979.62128472222</v>
      </c>
      <c r="G1208" s="3">
        <v>45986.751331018517</v>
      </c>
      <c r="H1208" s="4">
        <v>46084</v>
      </c>
      <c r="I1208" s="2" t="s">
        <v>21</v>
      </c>
      <c r="J1208" s="2" t="s">
        <v>22</v>
      </c>
      <c r="K1208" s="2">
        <v>1</v>
      </c>
      <c r="L1208" s="2">
        <v>21148.98</v>
      </c>
      <c r="M1208" s="2">
        <v>0</v>
      </c>
      <c r="N1208" s="2">
        <v>14980.40510847853</v>
      </c>
      <c r="O1208" s="2">
        <v>20141.89</v>
      </c>
      <c r="P1208" s="2">
        <v>1007.09</v>
      </c>
      <c r="Q1208" s="2">
        <v>21148.98</v>
      </c>
      <c r="R1208" s="2" t="s">
        <v>23</v>
      </c>
      <c r="S1208" s="2"/>
      <c r="T1208" s="2">
        <f t="shared" si="401"/>
        <v>0</v>
      </c>
      <c r="U1208" s="18">
        <f t="shared" si="402"/>
        <v>11</v>
      </c>
      <c r="V1208" s="18">
        <f t="shared" si="403"/>
        <v>2025</v>
      </c>
      <c r="W1208" s="18" t="str">
        <f t="shared" si="404"/>
        <v/>
      </c>
      <c r="X1208" s="18" t="str">
        <f t="shared" si="405"/>
        <v/>
      </c>
      <c r="Y1208" s="2">
        <f t="shared" si="398"/>
        <v>0.70832754622107208</v>
      </c>
      <c r="Z1208" t="str">
        <f t="shared" si="399"/>
        <v>SO18259</v>
      </c>
      <c r="AA1208" s="11">
        <f t="shared" si="406"/>
        <v>45979.62128472222</v>
      </c>
      <c r="AB1208" s="5" t="str">
        <f t="shared" si="407"/>
        <v>No Inv</v>
      </c>
      <c r="AC1208" s="5" t="str">
        <f>IFERROR(VLOOKUP(D1208,CAARStatus!$A$2:$AA$1600,22,FALSE),"Not invoiced")</f>
        <v>Not invoiced</v>
      </c>
      <c r="AD1208" s="11" t="str">
        <f>IF(AC1208="Paid",IFERROR(VLOOKUP(D1208,CAARStatus!$A$2:$AA$1600,6,FALSE),"Pending"),"Pending")</f>
        <v>Pending</v>
      </c>
      <c r="AE1208" s="5" t="str">
        <f t="shared" si="408"/>
        <v>4500623851</v>
      </c>
      <c r="AF1208" s="5" t="str">
        <f t="shared" si="409"/>
        <v>Resolute Forest Products - Dolbeau</v>
      </c>
      <c r="AG1208" s="5" t="str">
        <f t="shared" si="410"/>
        <v>CAD</v>
      </c>
      <c r="AH1208" s="5">
        <f t="shared" si="411"/>
        <v>20141.89</v>
      </c>
      <c r="AI1208" s="12">
        <f>IF(L1208-N1208=0,VLOOKUP(U1208,rate!A$4:B$15,2,FALSE)*AH1208,IF(AG1208="USD",O1208,AH1208*Y1208))</f>
        <v>14267.055519954749</v>
      </c>
      <c r="AJ1208" s="13">
        <f t="shared" si="412"/>
        <v>0.70832754622107208</v>
      </c>
      <c r="AK1208" s="13">
        <f>-IF(AG1208="CAD",IFERROR(VLOOKUP(D1208,CAARStatus!$A$1:$Y$1600,16,FALSE),0),0)</f>
        <v>0</v>
      </c>
      <c r="AL1208" s="13">
        <f>-IF(AG1208="USD",IFERROR(VLOOKUP(D1208,CAARStatus!$A$1:$Y$1600,11,FALSE),0),0)</f>
        <v>0</v>
      </c>
      <c r="AM1208" s="22">
        <f t="shared" si="413"/>
        <v>20141.89</v>
      </c>
      <c r="AN1208" s="12" t="str">
        <f t="shared" si="414"/>
        <v/>
      </c>
      <c r="AO1208" s="12" t="str">
        <f t="shared" si="415"/>
        <v>Pend</v>
      </c>
      <c r="AP1208" t="str">
        <f t="shared" si="400"/>
        <v>Pend</v>
      </c>
      <c r="AQ1208" t="str">
        <f>IFERROR(VLOOKUP(Z1208,InvBal!$L$4:$P$600,4,FALSE),"Pend")</f>
        <v>Pend</v>
      </c>
      <c r="AR1208" t="str">
        <f>IFERROR(VLOOKUP(D1208,Manual!$C$1:$E$22,2,FALSE),"Pend")</f>
        <v>Pend</v>
      </c>
      <c r="AS1208" t="str">
        <f t="shared" si="416"/>
        <v/>
      </c>
      <c r="AT1208" t="str">
        <f t="shared" si="417"/>
        <v/>
      </c>
      <c r="AU1208" s="51" t="str">
        <f t="shared" si="418"/>
        <v/>
      </c>
      <c r="AV1208" s="12">
        <f>IFERROR(VLOOKUP(D1208,'Receivable Invoice Detail'!$S$1:$U$3014,3,FALSE),0)</f>
        <v>0</v>
      </c>
      <c r="AW1208" s="12">
        <f t="shared" si="419"/>
        <v>0</v>
      </c>
    </row>
    <row r="1209" spans="1:49" ht="30" x14ac:dyDescent="0.25">
      <c r="A1209" s="2">
        <v>1</v>
      </c>
      <c r="B1209" s="2" t="s">
        <v>155</v>
      </c>
      <c r="C1209" s="2" t="s">
        <v>156</v>
      </c>
      <c r="D1209" s="2" t="s">
        <v>3375</v>
      </c>
      <c r="E1209" s="2" t="s">
        <v>70</v>
      </c>
      <c r="F1209" s="3">
        <v>45979.645590277767</v>
      </c>
      <c r="G1209" s="3">
        <v>45979.645810185182</v>
      </c>
      <c r="H1209" s="4">
        <v>45982</v>
      </c>
      <c r="I1209" s="2" t="s">
        <v>71</v>
      </c>
      <c r="J1209" s="2" t="s">
        <v>51</v>
      </c>
      <c r="K1209" s="2">
        <v>0.7129261885474989</v>
      </c>
      <c r="L1209" s="2">
        <v>0</v>
      </c>
      <c r="M1209" s="2">
        <v>0</v>
      </c>
      <c r="N1209" s="2">
        <v>0</v>
      </c>
      <c r="O1209" s="2"/>
      <c r="P1209" s="2"/>
      <c r="Q1209" s="2"/>
      <c r="R1209" s="2" t="s">
        <v>44</v>
      </c>
      <c r="S1209" s="2"/>
      <c r="T1209" s="2">
        <f t="shared" si="401"/>
        <v>1</v>
      </c>
      <c r="U1209" s="18">
        <f t="shared" si="402"/>
        <v>11</v>
      </c>
      <c r="V1209" s="18">
        <f t="shared" si="403"/>
        <v>2025</v>
      </c>
      <c r="W1209" s="18">
        <f t="shared" si="404"/>
        <v>1</v>
      </c>
      <c r="X1209" s="18">
        <f t="shared" si="405"/>
        <v>1900</v>
      </c>
      <c r="Y1209" s="2" t="e">
        <f t="shared" si="398"/>
        <v>#DIV/0!</v>
      </c>
      <c r="Z1209" t="str">
        <f t="shared" si="399"/>
        <v>SO18260</v>
      </c>
      <c r="AA1209" s="11">
        <f t="shared" si="406"/>
        <v>45979.645590277767</v>
      </c>
      <c r="AB1209" s="5" t="str">
        <f t="shared" si="407"/>
        <v>INV13679</v>
      </c>
      <c r="AC1209" s="5" t="str">
        <f>IFERROR(VLOOKUP(D1209,CAARStatus!$A$2:$AA$1600,22,FALSE),"Not invoiced")</f>
        <v>Paid</v>
      </c>
      <c r="AD1209" s="11">
        <f>IF(AC1209="Paid",IFERROR(VLOOKUP(D1209,CAARStatus!$A$2:$AA$1600,6,FALSE),"Pending"),"Pending")</f>
        <v>0</v>
      </c>
      <c r="AE1209" s="5" t="str">
        <f t="shared" si="408"/>
        <v>Warranty Replacment</v>
      </c>
      <c r="AF1209" s="5" t="str">
        <f t="shared" si="409"/>
        <v>Covia Corp - Junction City</v>
      </c>
      <c r="AG1209" s="5" t="str">
        <f t="shared" si="410"/>
        <v>USD</v>
      </c>
      <c r="AH1209" s="5">
        <f t="shared" si="411"/>
        <v>0</v>
      </c>
      <c r="AI1209" s="12">
        <f>IF(L1209-N1209=0,VLOOKUP(U1209,rate!A$4:B$15,2,FALSE)*AH1209,IF(AG1209="USD",O1209,AH1209*Y1209))</f>
        <v>0</v>
      </c>
      <c r="AJ1209" s="13">
        <f t="shared" si="412"/>
        <v>0</v>
      </c>
      <c r="AK1209" s="13">
        <f>-IF(AG1209="CAD",IFERROR(VLOOKUP(D1209,CAARStatus!$A$1:$Y$1600,16,FALSE),0),0)</f>
        <v>0</v>
      </c>
      <c r="AL1209" s="13">
        <f>-IF(AG1209="USD",IFERROR(VLOOKUP(D1209,CAARStatus!$A$1:$Y$1600,11,FALSE),0),0)</f>
        <v>0</v>
      </c>
      <c r="AM1209" s="22" t="str">
        <f t="shared" si="413"/>
        <v/>
      </c>
      <c r="AN1209" s="12">
        <f t="shared" si="414"/>
        <v>0</v>
      </c>
      <c r="AO1209" s="12" t="str">
        <f t="shared" si="415"/>
        <v>Yes</v>
      </c>
      <c r="AP1209" t="str">
        <f t="shared" si="400"/>
        <v>Yes</v>
      </c>
      <c r="AQ1209" t="str">
        <f>IFERROR(VLOOKUP(Z1209,InvBal!$L$4:$P$600,4,FALSE),"Pend")</f>
        <v>Pend</v>
      </c>
      <c r="AR1209" t="str">
        <f>IFERROR(VLOOKUP(D1209,Manual!$C$1:$E$22,2,FALSE),"Pend")</f>
        <v>Pend</v>
      </c>
      <c r="AS1209" t="str">
        <f t="shared" si="416"/>
        <v>Yes</v>
      </c>
      <c r="AT1209" t="str">
        <f t="shared" si="417"/>
        <v>Yes</v>
      </c>
      <c r="AU1209" s="51" t="str">
        <f t="shared" si="418"/>
        <v>Yes</v>
      </c>
      <c r="AV1209" s="12">
        <f>IFERROR(VLOOKUP(D1209,'Receivable Invoice Detail'!$S$1:$U$3014,3,FALSE),0)</f>
        <v>0</v>
      </c>
      <c r="AW1209" s="12">
        <f t="shared" si="419"/>
        <v>0</v>
      </c>
    </row>
    <row r="1210" spans="1:49" x14ac:dyDescent="0.25">
      <c r="A1210" s="2">
        <v>0</v>
      </c>
      <c r="B1210" s="2" t="s">
        <v>150</v>
      </c>
      <c r="C1210" s="2" t="s">
        <v>151</v>
      </c>
      <c r="D1210" s="2"/>
      <c r="E1210" s="2" t="s">
        <v>95</v>
      </c>
      <c r="F1210" s="3">
        <v>45979.749247685177</v>
      </c>
      <c r="G1210" s="3">
        <v>45979.749363425923</v>
      </c>
      <c r="H1210" s="4">
        <v>46091</v>
      </c>
      <c r="I1210" s="2" t="s">
        <v>21</v>
      </c>
      <c r="J1210" s="2" t="s">
        <v>22</v>
      </c>
      <c r="K1210" s="2">
        <v>1</v>
      </c>
      <c r="L1210" s="2">
        <v>1470</v>
      </c>
      <c r="M1210" s="2">
        <v>0</v>
      </c>
      <c r="N1210" s="2">
        <v>1050.2660702405749</v>
      </c>
      <c r="O1210" s="2">
        <v>1400</v>
      </c>
      <c r="P1210" s="2">
        <v>70</v>
      </c>
      <c r="Q1210" s="2">
        <v>1470</v>
      </c>
      <c r="R1210" s="2" t="s">
        <v>29</v>
      </c>
      <c r="S1210" s="2"/>
      <c r="T1210" s="2">
        <f t="shared" si="401"/>
        <v>0</v>
      </c>
      <c r="U1210" s="18">
        <f t="shared" si="402"/>
        <v>11</v>
      </c>
      <c r="V1210" s="18">
        <f t="shared" si="403"/>
        <v>2025</v>
      </c>
      <c r="W1210" s="18" t="str">
        <f t="shared" si="404"/>
        <v/>
      </c>
      <c r="X1210" s="18" t="str">
        <f t="shared" si="405"/>
        <v/>
      </c>
      <c r="Y1210" s="2">
        <f t="shared" si="398"/>
        <v>0.71446671444937071</v>
      </c>
      <c r="Z1210" t="str">
        <f t="shared" si="399"/>
        <v>SO18262</v>
      </c>
      <c r="AA1210" s="11">
        <f t="shared" si="406"/>
        <v>45979.749247685177</v>
      </c>
      <c r="AB1210" s="5" t="str">
        <f t="shared" si="407"/>
        <v>No Inv</v>
      </c>
      <c r="AC1210" s="5" t="str">
        <f>IFERROR(VLOOKUP(D1210,CAARStatus!$A$2:$AA$1600,22,FALSE),"Not invoiced")</f>
        <v>Not invoiced</v>
      </c>
      <c r="AD1210" s="11" t="str">
        <f>IF(AC1210="Paid",IFERROR(VLOOKUP(D1210,CAARStatus!$A$2:$AA$1600,6,FALSE),"Pending"),"Pending")</f>
        <v>Pending</v>
      </c>
      <c r="AE1210" s="5" t="str">
        <f t="shared" si="408"/>
        <v>326566</v>
      </c>
      <c r="AF1210" s="5" t="str">
        <f t="shared" si="409"/>
        <v>Gibraltar Mine (Canada)</v>
      </c>
      <c r="AG1210" s="5" t="str">
        <f t="shared" si="410"/>
        <v>CAD</v>
      </c>
      <c r="AH1210" s="5">
        <f t="shared" si="411"/>
        <v>1400</v>
      </c>
      <c r="AI1210" s="12">
        <f>IF(L1210-N1210=0,VLOOKUP(U1210,rate!A$4:B$15,2,FALSE)*AH1210,IF(AG1210="USD",O1210,AH1210*Y1210))</f>
        <v>1000.2534002291189</v>
      </c>
      <c r="AJ1210" s="13">
        <f t="shared" si="412"/>
        <v>0.71446671444937071</v>
      </c>
      <c r="AK1210" s="13">
        <f>-IF(AG1210="CAD",IFERROR(VLOOKUP(D1210,CAARStatus!$A$1:$Y$1600,16,FALSE),0),0)</f>
        <v>0</v>
      </c>
      <c r="AL1210" s="13">
        <f>-IF(AG1210="USD",IFERROR(VLOOKUP(D1210,CAARStatus!$A$1:$Y$1600,11,FALSE),0),0)</f>
        <v>0</v>
      </c>
      <c r="AM1210" s="22">
        <f t="shared" si="413"/>
        <v>1400</v>
      </c>
      <c r="AN1210" s="12" t="str">
        <f t="shared" si="414"/>
        <v/>
      </c>
      <c r="AO1210" s="12" t="str">
        <f t="shared" si="415"/>
        <v>Pend</v>
      </c>
      <c r="AP1210" t="str">
        <f t="shared" si="400"/>
        <v>Pend</v>
      </c>
      <c r="AQ1210" t="str">
        <f>IFERROR(VLOOKUP(Z1210,InvBal!$L$4:$P$600,4,FALSE),"Pend")</f>
        <v>Pend</v>
      </c>
      <c r="AR1210" t="str">
        <f>IFERROR(VLOOKUP(D1210,Manual!$C$1:$E$22,2,FALSE),"Pend")</f>
        <v>Pend</v>
      </c>
      <c r="AS1210" t="str">
        <f t="shared" si="416"/>
        <v/>
      </c>
      <c r="AT1210" t="str">
        <f t="shared" si="417"/>
        <v/>
      </c>
      <c r="AU1210" s="51" t="str">
        <f t="shared" si="418"/>
        <v/>
      </c>
      <c r="AV1210" s="12">
        <f>IFERROR(VLOOKUP(D1210,'Receivable Invoice Detail'!$S$1:$U$3014,3,FALSE),0)</f>
        <v>0</v>
      </c>
      <c r="AW1210" s="12">
        <f t="shared" si="419"/>
        <v>0</v>
      </c>
    </row>
    <row r="1211" spans="1:49" ht="30" x14ac:dyDescent="0.25">
      <c r="A1211" s="2">
        <v>1</v>
      </c>
      <c r="B1211" s="2" t="s">
        <v>81</v>
      </c>
      <c r="C1211" s="2" t="s">
        <v>82</v>
      </c>
      <c r="D1211" s="2" t="s">
        <v>3389</v>
      </c>
      <c r="E1211" s="2" t="s">
        <v>83</v>
      </c>
      <c r="F1211" s="3">
        <v>45980.401562500003</v>
      </c>
      <c r="G1211" s="3">
        <v>45986.743854166663</v>
      </c>
      <c r="H1211" s="4">
        <v>46098</v>
      </c>
      <c r="I1211" s="2" t="s">
        <v>21</v>
      </c>
      <c r="J1211" s="2" t="s">
        <v>22</v>
      </c>
      <c r="K1211" s="2">
        <v>1</v>
      </c>
      <c r="L1211" s="2">
        <v>33805.22</v>
      </c>
      <c r="M1211" s="2">
        <v>0</v>
      </c>
      <c r="N1211" s="2">
        <v>23945.168532063512</v>
      </c>
      <c r="O1211" s="2">
        <v>29916.12</v>
      </c>
      <c r="P1211" s="2">
        <v>3889.1</v>
      </c>
      <c r="Q1211" s="2">
        <v>33805.22</v>
      </c>
      <c r="R1211" s="2" t="s">
        <v>29</v>
      </c>
      <c r="S1211" s="2"/>
      <c r="T1211" s="2">
        <f t="shared" si="401"/>
        <v>1</v>
      </c>
      <c r="U1211" s="18">
        <f t="shared" si="402"/>
        <v>11</v>
      </c>
      <c r="V1211" s="18">
        <f t="shared" si="403"/>
        <v>2025</v>
      </c>
      <c r="W1211" s="18">
        <f t="shared" si="404"/>
        <v>12</v>
      </c>
      <c r="X1211" s="18">
        <f t="shared" si="405"/>
        <v>2025</v>
      </c>
      <c r="Y1211" s="2">
        <f t="shared" si="398"/>
        <v>0.70832754622107208</v>
      </c>
      <c r="Z1211" t="str">
        <f t="shared" si="399"/>
        <v>SO18264</v>
      </c>
      <c r="AA1211" s="11">
        <f t="shared" si="406"/>
        <v>45980.401562500003</v>
      </c>
      <c r="AB1211" s="5" t="str">
        <f t="shared" si="407"/>
        <v>INV13707</v>
      </c>
      <c r="AC1211" s="5" t="str">
        <f>IFERROR(VLOOKUP(D1211,CAARStatus!$A$2:$AA$1600,22,FALSE),"Not invoiced")</f>
        <v>Paid</v>
      </c>
      <c r="AD1211" s="11">
        <f>IF(AC1211="Paid",IFERROR(VLOOKUP(D1211,CAARStatus!$A$2:$AA$1600,6,FALSE),"Pending"),"Pending")</f>
        <v>46003</v>
      </c>
      <c r="AE1211" s="5" t="str">
        <f t="shared" si="408"/>
        <v>6500024345</v>
      </c>
      <c r="AF1211" s="5" t="str">
        <f t="shared" si="409"/>
        <v>Wesdome Gold Mines Ltd - Eagle River Mine</v>
      </c>
      <c r="AG1211" s="5" t="str">
        <f t="shared" si="410"/>
        <v>CAD</v>
      </c>
      <c r="AH1211" s="5">
        <f t="shared" si="411"/>
        <v>29916.12</v>
      </c>
      <c r="AI1211" s="12">
        <f>IF(L1211-N1211=0,VLOOKUP(U1211,rate!A$4:B$15,2,FALSE)*AH1211,IF(AG1211="USD",O1211,AH1211*Y1211))</f>
        <v>21190.411872055138</v>
      </c>
      <c r="AJ1211" s="13">
        <f t="shared" si="412"/>
        <v>0.70832754622107208</v>
      </c>
      <c r="AK1211" s="13">
        <f>-IF(AG1211="CAD",IFERROR(VLOOKUP(D1211,CAARStatus!$A$1:$Y$1600,16,FALSE),0),0)</f>
        <v>-27707.01</v>
      </c>
      <c r="AL1211" s="13">
        <f>-IF(AG1211="USD",IFERROR(VLOOKUP(D1211,CAARStatus!$A$1:$Y$1600,11,FALSE),0),0)</f>
        <v>0</v>
      </c>
      <c r="AM1211" s="22">
        <f t="shared" si="413"/>
        <v>2209.1100000000006</v>
      </c>
      <c r="AN1211" s="12" t="str">
        <f t="shared" si="414"/>
        <v/>
      </c>
      <c r="AO1211" s="12" t="str">
        <f t="shared" si="415"/>
        <v>Yes</v>
      </c>
      <c r="AP1211" t="str">
        <f t="shared" si="400"/>
        <v>Yes</v>
      </c>
      <c r="AQ1211" t="str">
        <f>IFERROR(VLOOKUP(Z1211,InvBal!$L$4:$P$600,4,FALSE),"Pend")</f>
        <v>Pend</v>
      </c>
      <c r="AR1211" t="str">
        <f>IFERROR(VLOOKUP(D1211,Manual!$C$1:$E$22,2,FALSE),"Pend")</f>
        <v>Pend</v>
      </c>
      <c r="AS1211" t="str">
        <f t="shared" si="416"/>
        <v>Yes</v>
      </c>
      <c r="AT1211" t="str">
        <f t="shared" si="417"/>
        <v/>
      </c>
      <c r="AU1211" s="51" t="str">
        <f t="shared" si="418"/>
        <v/>
      </c>
      <c r="AV1211" s="12">
        <f>IFERROR(VLOOKUP(D1211,'Receivable Invoice Detail'!$S$1:$U$3014,3,FALSE),0)</f>
        <v>0</v>
      </c>
      <c r="AW1211" s="12">
        <f t="shared" si="419"/>
        <v>0</v>
      </c>
    </row>
    <row r="1212" spans="1:49" ht="30" x14ac:dyDescent="0.25">
      <c r="A1212" s="2">
        <v>2</v>
      </c>
      <c r="B1212" s="2" t="s">
        <v>124</v>
      </c>
      <c r="C1212" s="2" t="s">
        <v>125</v>
      </c>
      <c r="D1212" s="2" t="s">
        <v>3381</v>
      </c>
      <c r="E1212" s="2" t="s">
        <v>98</v>
      </c>
      <c r="F1212" s="3">
        <v>45980.402673611112</v>
      </c>
      <c r="G1212" s="3">
        <v>45982.658877314818</v>
      </c>
      <c r="H1212" s="2"/>
      <c r="I1212" s="2" t="s">
        <v>40</v>
      </c>
      <c r="J1212" s="2" t="s">
        <v>22</v>
      </c>
      <c r="K1212" s="2">
        <v>1</v>
      </c>
      <c r="L1212" s="2">
        <v>3971.61</v>
      </c>
      <c r="M1212" s="2">
        <v>3971.61</v>
      </c>
      <c r="N1212" s="2">
        <v>3971.61</v>
      </c>
      <c r="O1212" s="2">
        <v>3514.7</v>
      </c>
      <c r="P1212" s="2">
        <v>456.91</v>
      </c>
      <c r="Q1212" s="2">
        <v>3971.61</v>
      </c>
      <c r="R1212" s="2" t="s">
        <v>44</v>
      </c>
      <c r="S1212" s="2"/>
      <c r="T1212" s="2">
        <f t="shared" ref="T1212:T1228" si="420">IF(A1212="",T1211,A1212)</f>
        <v>2</v>
      </c>
      <c r="U1212" s="18">
        <f t="shared" ref="U1212:U1228" si="421">IF(F1212="",U1211,MONTH(F1212))</f>
        <v>11</v>
      </c>
      <c r="V1212" s="18">
        <f t="shared" si="403"/>
        <v>2025</v>
      </c>
      <c r="W1212" s="18">
        <f t="shared" ref="W1212:W1228" si="422">IF(AC1212="Paid",MONTH(AD1212),"")</f>
        <v>12</v>
      </c>
      <c r="X1212" s="18">
        <f t="shared" si="405"/>
        <v>2025</v>
      </c>
      <c r="Y1212" s="2">
        <f t="shared" ref="Y1212:Y1228" si="423">IF(C1212="",Y1211,N1212/L1212)</f>
        <v>1</v>
      </c>
      <c r="Z1212" t="str">
        <f t="shared" ref="Z1212:Z1228" si="424">IF(B1212="",Z1211,B1212)</f>
        <v>SO18265</v>
      </c>
      <c r="AA1212" s="11">
        <f t="shared" ref="AA1212:AA1228" si="425">IF(F1212="",AA1211,F1212)</f>
        <v>45980.402673611112</v>
      </c>
      <c r="AB1212" s="5" t="str">
        <f t="shared" ref="AB1212:AB1228" si="426">IF(D1212="","No Inv",D1212)</f>
        <v>INV13702</v>
      </c>
      <c r="AC1212" s="5" t="str">
        <f>IFERROR(VLOOKUP(D1212,CAARStatus!$A$2:$AA$1600,22,FALSE),"Not invoiced")</f>
        <v>Paid</v>
      </c>
      <c r="AD1212" s="11">
        <f>IF(AC1212="Paid",IFERROR(VLOOKUP(D1212,CAARStatus!$A$2:$AA$1600,6,FALSE),"Pending"),"Pending")</f>
        <v>46022</v>
      </c>
      <c r="AE1212" s="5" t="str">
        <f t="shared" ref="AE1212:AE1228" si="427">IF(C1212="",AE1211,C1212)</f>
        <v>PO-008449</v>
      </c>
      <c r="AF1212" s="5" t="str">
        <f t="shared" ref="AF1212:AF1228" si="428">IF(E1212="",AF1211,E1212)</f>
        <v>Sling-Choker Manufacturing - Timmins</v>
      </c>
      <c r="AG1212" s="5" t="str">
        <f t="shared" ref="AG1212:AG1228" si="429">IF(J1212="",AG1211,J1212)</f>
        <v>CAD</v>
      </c>
      <c r="AH1212" s="5">
        <f t="shared" ref="AH1212:AH1228" si="430">IFERROR(IF(AG1212="CAD",O1212,O1212/K1212),0)</f>
        <v>3514.7</v>
      </c>
      <c r="AI1212" s="12">
        <f>IF(L1212-N1212=0,VLOOKUP(U1212,rate!A$4:B$15,2,FALSE)*AH1212,IF(AG1212="USD",O1212,AH1212*Y1212))</f>
        <v>2511.3528888123965</v>
      </c>
      <c r="AJ1212" s="13">
        <f t="shared" ref="AJ1212:AJ1228" si="431">IFERROR(AI1212/AH1212,0)</f>
        <v>0.71452837761754817</v>
      </c>
      <c r="AK1212" s="13">
        <f>-IF(AG1212="CAD",IFERROR(VLOOKUP(D1212,CAARStatus!$A$1:$Y$1600,16,FALSE),0),0)</f>
        <v>-1589.47</v>
      </c>
      <c r="AL1212" s="13">
        <f>-IF(AG1212="USD",IFERROR(VLOOKUP(D1212,CAARStatus!$A$1:$Y$1600,11,FALSE),0),0)</f>
        <v>0</v>
      </c>
      <c r="AM1212" s="22">
        <f t="shared" ref="AM1212:AM1228" si="432">IF(AG1212="CAD",AH1212+AK1212,"")</f>
        <v>1925.2299999999998</v>
      </c>
      <c r="AN1212" s="12" t="str">
        <f t="shared" ref="AN1212:AN1228" si="433">IF(AG1212="USD",AI1212+AL1212,"")</f>
        <v/>
      </c>
      <c r="AO1212" s="12" t="str">
        <f t="shared" ref="AO1212:AO1228" si="434">IF(AC1212="Paid","Yes","Pend")</f>
        <v>Yes</v>
      </c>
      <c r="AP1212" t="str">
        <f t="shared" ref="AP1212:AP1228" si="435">IF(AND(AO1212="Pend",T1212&lt;2),"Pend",IF(T1212=1,"Yes","XX"))</f>
        <v>XX</v>
      </c>
      <c r="AQ1212" t="str">
        <f>IFERROR(VLOOKUP(Z1212,InvBal!$L$4:$P$600,4,FALSE),"Pend")</f>
        <v>Yes</v>
      </c>
      <c r="AR1212" t="str">
        <f>IFERROR(VLOOKUP(D1212,Manual!$C$1:$E$22,2,FALSE),"Pend")</f>
        <v>Pend</v>
      </c>
      <c r="AS1212" t="str">
        <f t="shared" ref="AS1212:AS1228" si="436">IF(OR(AP1212="Yes",AQ1212="Yes",AR1212="Yes"),"Yes","")</f>
        <v>Yes</v>
      </c>
      <c r="AT1212" t="str">
        <f t="shared" ref="AT1212:AT1228" si="437">IF(R1212="Delivered","Yes","")</f>
        <v>Yes</v>
      </c>
      <c r="AU1212" s="51" t="str">
        <f t="shared" ref="AU1212:AU1228" si="438">IF(AND(AS1212="Yes",AT1212="Yes"),"Yes","")</f>
        <v>Yes</v>
      </c>
      <c r="AV1212" s="12">
        <f>IFERROR(VLOOKUP(D1212,'Receivable Invoice Detail'!$S$1:$U$3014,3,FALSE),0)</f>
        <v>0</v>
      </c>
      <c r="AW1212" s="12">
        <f t="shared" ref="AW1212:AW1228" si="439">IF(AU1212="Yes",AI1212-AV1212,0)</f>
        <v>2511.3528888123965</v>
      </c>
    </row>
    <row r="1213" spans="1:49" x14ac:dyDescent="0.25">
      <c r="A1213" s="2"/>
      <c r="B1213" s="2"/>
      <c r="C1213" s="2"/>
      <c r="D1213" s="2" t="s">
        <v>6067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>
        <f t="shared" si="420"/>
        <v>2</v>
      </c>
      <c r="U1213" s="18">
        <f t="shared" si="421"/>
        <v>11</v>
      </c>
      <c r="V1213" s="18">
        <f t="shared" si="403"/>
        <v>2025</v>
      </c>
      <c r="W1213" s="18" t="str">
        <f t="shared" si="422"/>
        <v/>
      </c>
      <c r="X1213" s="18" t="str">
        <f t="shared" si="405"/>
        <v/>
      </c>
      <c r="Y1213" s="2">
        <f t="shared" si="423"/>
        <v>1</v>
      </c>
      <c r="Z1213" t="str">
        <f t="shared" si="424"/>
        <v>SO18265</v>
      </c>
      <c r="AA1213" s="11">
        <f t="shared" si="425"/>
        <v>45980.402673611112</v>
      </c>
      <c r="AB1213" s="5" t="str">
        <f t="shared" si="426"/>
        <v>INV13805</v>
      </c>
      <c r="AC1213" s="5" t="str">
        <f>IFERROR(VLOOKUP(D1213,CAARStatus!$A$2:$AA$1600,22,FALSE),"Not invoiced")</f>
        <v>Approved</v>
      </c>
      <c r="AD1213" s="11" t="str">
        <f>IF(AC1213="Paid",IFERROR(VLOOKUP(D1213,CAARStatus!$A$2:$AA$1600,6,FALSE),"Pending"),"Pending")</f>
        <v>Pending</v>
      </c>
      <c r="AE1213" s="5" t="str">
        <f t="shared" si="427"/>
        <v>PO-008449</v>
      </c>
      <c r="AF1213" s="5" t="str">
        <f t="shared" si="428"/>
        <v>Sling-Choker Manufacturing - Timmins</v>
      </c>
      <c r="AG1213" s="5" t="str">
        <f t="shared" si="429"/>
        <v>CAD</v>
      </c>
      <c r="AH1213" s="5">
        <f t="shared" si="430"/>
        <v>0</v>
      </c>
      <c r="AI1213" s="12">
        <f>IF(L1213-N1213=0,VLOOKUP(U1213,rate!A$4:B$15,2,FALSE)*AH1213,IF(AG1213="USD",O1213,AH1213*Y1213))</f>
        <v>0</v>
      </c>
      <c r="AJ1213" s="13">
        <f t="shared" si="431"/>
        <v>0</v>
      </c>
      <c r="AK1213" s="13">
        <f>-IF(AG1213="CAD",IFERROR(VLOOKUP(D1213,CAARStatus!$A$1:$Y$1600,16,FALSE),0),0)</f>
        <v>-1925.23</v>
      </c>
      <c r="AL1213" s="13">
        <f>-IF(AG1213="USD",IFERROR(VLOOKUP(D1213,CAARStatus!$A$1:$Y$1600,11,FALSE),0),0)</f>
        <v>0</v>
      </c>
      <c r="AM1213" s="22">
        <f t="shared" si="432"/>
        <v>-1925.23</v>
      </c>
      <c r="AN1213" s="12" t="str">
        <f t="shared" si="433"/>
        <v/>
      </c>
      <c r="AO1213" s="12" t="str">
        <f t="shared" si="434"/>
        <v>Pend</v>
      </c>
      <c r="AP1213" t="str">
        <f t="shared" si="435"/>
        <v>XX</v>
      </c>
      <c r="AQ1213" t="str">
        <f>IFERROR(VLOOKUP(Z1213,InvBal!$L$4:$P$600,4,FALSE),"Pend")</f>
        <v>Yes</v>
      </c>
      <c r="AR1213" t="str">
        <f>IFERROR(VLOOKUP(D1213,Manual!$C$1:$E$22,2,FALSE),"Pend")</f>
        <v>Pend</v>
      </c>
      <c r="AS1213" t="str">
        <f t="shared" si="436"/>
        <v>Yes</v>
      </c>
      <c r="AT1213" t="str">
        <f t="shared" si="437"/>
        <v/>
      </c>
      <c r="AU1213" s="51" t="str">
        <f t="shared" si="438"/>
        <v/>
      </c>
      <c r="AV1213" s="12">
        <f>IFERROR(VLOOKUP(D1213,'Receivable Invoice Detail'!$S$1:$U$3014,3,FALSE),0)</f>
        <v>0</v>
      </c>
      <c r="AW1213" s="12">
        <f t="shared" si="439"/>
        <v>0</v>
      </c>
    </row>
    <row r="1214" spans="1:49" x14ac:dyDescent="0.25">
      <c r="A1214" s="2">
        <v>0</v>
      </c>
      <c r="B1214" s="2" t="s">
        <v>65</v>
      </c>
      <c r="C1214" s="2" t="s">
        <v>66</v>
      </c>
      <c r="D1214" s="2"/>
      <c r="E1214" s="2" t="s">
        <v>64</v>
      </c>
      <c r="F1214" s="3">
        <v>45980.696967592587</v>
      </c>
      <c r="G1214" s="3">
        <v>45987.59542824074</v>
      </c>
      <c r="H1214" s="4">
        <v>46036</v>
      </c>
      <c r="I1214" s="2" t="s">
        <v>67</v>
      </c>
      <c r="J1214" s="2" t="s">
        <v>22</v>
      </c>
      <c r="K1214" s="2">
        <v>1</v>
      </c>
      <c r="L1214" s="2">
        <v>6371.36</v>
      </c>
      <c r="M1214" s="2">
        <v>0</v>
      </c>
      <c r="N1214" s="2">
        <v>4534.3424628201174</v>
      </c>
      <c r="O1214" s="2">
        <v>5638.37</v>
      </c>
      <c r="P1214" s="2">
        <v>732.99</v>
      </c>
      <c r="Q1214" s="2">
        <v>6371.36</v>
      </c>
      <c r="R1214" s="2" t="s">
        <v>29</v>
      </c>
      <c r="S1214" s="2"/>
      <c r="T1214" s="2">
        <f t="shared" si="420"/>
        <v>0</v>
      </c>
      <c r="U1214" s="18">
        <f t="shared" si="421"/>
        <v>11</v>
      </c>
      <c r="V1214" s="18">
        <f t="shared" si="403"/>
        <v>2025</v>
      </c>
      <c r="W1214" s="18" t="str">
        <f t="shared" si="422"/>
        <v/>
      </c>
      <c r="X1214" s="18" t="str">
        <f t="shared" si="405"/>
        <v/>
      </c>
      <c r="Y1214" s="2">
        <f t="shared" si="423"/>
        <v>0.71167575883643641</v>
      </c>
      <c r="Z1214" t="str">
        <f t="shared" si="424"/>
        <v>SO18267</v>
      </c>
      <c r="AA1214" s="11">
        <f t="shared" si="425"/>
        <v>45980.696967592587</v>
      </c>
      <c r="AB1214" s="5" t="str">
        <f t="shared" si="426"/>
        <v>No Inv</v>
      </c>
      <c r="AC1214" s="5" t="str">
        <f>IFERROR(VLOOKUP(D1214,CAARStatus!$A$2:$AA$1600,22,FALSE),"Not invoiced")</f>
        <v>Not invoiced</v>
      </c>
      <c r="AD1214" s="11" t="str">
        <f>IF(AC1214="Paid",IFERROR(VLOOKUP(D1214,CAARStatus!$A$2:$AA$1600,6,FALSE),"Pending"),"Pending")</f>
        <v>Pending</v>
      </c>
      <c r="AE1214" s="5" t="str">
        <f t="shared" si="427"/>
        <v>PO 607078</v>
      </c>
      <c r="AF1214" s="5" t="str">
        <f t="shared" si="428"/>
        <v>Sealtrac Inc.</v>
      </c>
      <c r="AG1214" s="5" t="str">
        <f t="shared" si="429"/>
        <v>CAD</v>
      </c>
      <c r="AH1214" s="5">
        <f t="shared" si="430"/>
        <v>5638.37</v>
      </c>
      <c r="AI1214" s="12">
        <f>IF(L1214-N1214=0,VLOOKUP(U1214,rate!A$4:B$15,2,FALSE)*AH1214,IF(AG1214="USD",O1214,AH1214*Y1214))</f>
        <v>4012.691248350598</v>
      </c>
      <c r="AJ1214" s="13">
        <f t="shared" si="431"/>
        <v>0.71167575883643641</v>
      </c>
      <c r="AK1214" s="13">
        <f>-IF(AG1214="CAD",IFERROR(VLOOKUP(D1214,CAARStatus!$A$1:$Y$1600,16,FALSE),0),0)</f>
        <v>0</v>
      </c>
      <c r="AL1214" s="13">
        <f>-IF(AG1214="USD",IFERROR(VLOOKUP(D1214,CAARStatus!$A$1:$Y$1600,11,FALSE),0),0)</f>
        <v>0</v>
      </c>
      <c r="AM1214" s="22">
        <f t="shared" si="432"/>
        <v>5638.37</v>
      </c>
      <c r="AN1214" s="12" t="str">
        <f t="shared" si="433"/>
        <v/>
      </c>
      <c r="AO1214" s="12" t="str">
        <f t="shared" si="434"/>
        <v>Pend</v>
      </c>
      <c r="AP1214" t="str">
        <f t="shared" si="435"/>
        <v>Pend</v>
      </c>
      <c r="AQ1214" t="str">
        <f>IFERROR(VLOOKUP(Z1214,InvBal!$L$4:$P$600,4,FALSE),"Pend")</f>
        <v>Pend</v>
      </c>
      <c r="AR1214" t="str">
        <f>IFERROR(VLOOKUP(D1214,Manual!$C$1:$E$22,2,FALSE),"Pend")</f>
        <v>Pend</v>
      </c>
      <c r="AS1214" t="str">
        <f t="shared" si="436"/>
        <v/>
      </c>
      <c r="AT1214" t="str">
        <f t="shared" si="437"/>
        <v/>
      </c>
      <c r="AU1214" s="51" t="str">
        <f t="shared" si="438"/>
        <v/>
      </c>
      <c r="AV1214" s="12">
        <f>IFERROR(VLOOKUP(D1214,'Receivable Invoice Detail'!$S$1:$U$3014,3,FALSE),0)</f>
        <v>0</v>
      </c>
      <c r="AW1214" s="12">
        <f t="shared" si="439"/>
        <v>0</v>
      </c>
    </row>
    <row r="1215" spans="1:49" ht="30" x14ac:dyDescent="0.25">
      <c r="A1215" s="2">
        <v>1</v>
      </c>
      <c r="B1215" s="2" t="s">
        <v>6195</v>
      </c>
      <c r="C1215" s="2" t="s">
        <v>6196</v>
      </c>
      <c r="D1215" s="2" t="s">
        <v>6330</v>
      </c>
      <c r="E1215" s="2" t="s">
        <v>129</v>
      </c>
      <c r="F1215" s="3">
        <v>45980.807500000003</v>
      </c>
      <c r="G1215" s="3">
        <v>45980.807002314818</v>
      </c>
      <c r="H1215" s="4">
        <v>45980</v>
      </c>
      <c r="I1215" s="2" t="s">
        <v>130</v>
      </c>
      <c r="J1215" s="2" t="s">
        <v>51</v>
      </c>
      <c r="K1215" s="2">
        <v>0.71277700095248819</v>
      </c>
      <c r="L1215" s="2">
        <v>310.0548975411333</v>
      </c>
      <c r="M1215" s="2">
        <v>0</v>
      </c>
      <c r="N1215" s="2">
        <v>221</v>
      </c>
      <c r="O1215" s="2">
        <v>221</v>
      </c>
      <c r="P1215" s="2"/>
      <c r="Q1215" s="2">
        <v>221</v>
      </c>
      <c r="R1215" s="2" t="s">
        <v>44</v>
      </c>
      <c r="S1215" s="2"/>
      <c r="T1215" s="2">
        <f t="shared" si="420"/>
        <v>1</v>
      </c>
      <c r="U1215" s="18">
        <f t="shared" si="421"/>
        <v>11</v>
      </c>
      <c r="V1215" s="18">
        <f t="shared" si="403"/>
        <v>2025</v>
      </c>
      <c r="W1215" s="18" t="str">
        <f t="shared" si="422"/>
        <v/>
      </c>
      <c r="X1215" s="18" t="str">
        <f t="shared" si="405"/>
        <v/>
      </c>
      <c r="Y1215" s="2">
        <f t="shared" si="423"/>
        <v>0.71277700095248819</v>
      </c>
      <c r="Z1215" t="str">
        <f t="shared" si="424"/>
        <v>SO18270</v>
      </c>
      <c r="AA1215" s="11">
        <f t="shared" si="425"/>
        <v>45980.807500000003</v>
      </c>
      <c r="AB1215" s="5" t="str">
        <f t="shared" si="426"/>
        <v>INV13819</v>
      </c>
      <c r="AC1215" s="5" t="str">
        <f>IFERROR(VLOOKUP(D1215,CAARStatus!$A$2:$AA$1600,22,FALSE),"Not invoiced")</f>
        <v>Not invoiced</v>
      </c>
      <c r="AD1215" s="11" t="str">
        <f>IF(AC1215="Paid",IFERROR(VLOOKUP(D1215,CAARStatus!$A$2:$AA$1600,6,FALSE),"Pending"),"Pending")</f>
        <v>Pending</v>
      </c>
      <c r="AE1215" s="5" t="str">
        <f t="shared" si="427"/>
        <v>OC00229</v>
      </c>
      <c r="AF1215" s="5" t="str">
        <f t="shared" si="428"/>
        <v>Dynapro Pumps México S de RL de CV</v>
      </c>
      <c r="AG1215" s="5" t="str">
        <f t="shared" si="429"/>
        <v>USD</v>
      </c>
      <c r="AH1215" s="5">
        <f t="shared" si="430"/>
        <v>310.0548975411333</v>
      </c>
      <c r="AI1215" s="12">
        <f>IF(L1215-N1215=0,VLOOKUP(U1215,rate!A$4:B$15,2,FALSE)*AH1215,IF(AG1215="USD",O1215,AH1215*Y1215))</f>
        <v>221</v>
      </c>
      <c r="AJ1215" s="13">
        <f t="shared" si="431"/>
        <v>0.71277700095248819</v>
      </c>
      <c r="AK1215" s="13">
        <f>-IF(AG1215="CAD",IFERROR(VLOOKUP(D1215,CAARStatus!$A$1:$Y$1600,16,FALSE),0),0)</f>
        <v>0</v>
      </c>
      <c r="AL1215" s="13">
        <f>-IF(AG1215="USD",IFERROR(VLOOKUP(D1215,CAARStatus!$A$1:$Y$1600,11,FALSE),0),0)</f>
        <v>0</v>
      </c>
      <c r="AM1215" s="22" t="str">
        <f t="shared" si="432"/>
        <v/>
      </c>
      <c r="AN1215" s="12">
        <f t="shared" si="433"/>
        <v>221</v>
      </c>
      <c r="AO1215" s="12" t="str">
        <f t="shared" si="434"/>
        <v>Pend</v>
      </c>
      <c r="AP1215" t="str">
        <f t="shared" si="435"/>
        <v>Pend</v>
      </c>
      <c r="AQ1215" t="str">
        <f>IFERROR(VLOOKUP(Z1215,InvBal!$L$4:$P$600,4,FALSE),"Pend")</f>
        <v>Pend</v>
      </c>
      <c r="AR1215" t="str">
        <f>IFERROR(VLOOKUP(D1215,Manual!$C$1:$E$22,2,FALSE),"Pend")</f>
        <v>Pend</v>
      </c>
      <c r="AS1215" t="str">
        <f t="shared" si="436"/>
        <v/>
      </c>
      <c r="AT1215" t="str">
        <f t="shared" si="437"/>
        <v>Yes</v>
      </c>
      <c r="AU1215" s="51" t="str">
        <f t="shared" si="438"/>
        <v/>
      </c>
      <c r="AV1215" s="12">
        <f>IFERROR(VLOOKUP(D1215,'Receivable Invoice Detail'!$S$1:$U$3014,3,FALSE),0)</f>
        <v>0</v>
      </c>
      <c r="AW1215" s="12">
        <f t="shared" si="439"/>
        <v>0</v>
      </c>
    </row>
    <row r="1216" spans="1:49" x14ac:dyDescent="0.25">
      <c r="A1216" s="2">
        <v>1</v>
      </c>
      <c r="B1216" s="2" t="s">
        <v>87</v>
      </c>
      <c r="C1216" s="2" t="s">
        <v>88</v>
      </c>
      <c r="D1216" s="2" t="s">
        <v>6026</v>
      </c>
      <c r="E1216" s="2" t="s">
        <v>89</v>
      </c>
      <c r="F1216" s="3">
        <v>45981.423576388886</v>
      </c>
      <c r="G1216" s="3">
        <v>45986.536076388889</v>
      </c>
      <c r="H1216" s="4">
        <v>46049</v>
      </c>
      <c r="I1216" s="2" t="s">
        <v>40</v>
      </c>
      <c r="J1216" s="2" t="s">
        <v>22</v>
      </c>
      <c r="K1216" s="2">
        <v>1</v>
      </c>
      <c r="L1216" s="2">
        <v>403.14</v>
      </c>
      <c r="M1216" s="2">
        <v>0</v>
      </c>
      <c r="N1216" s="2">
        <v>285.55516698356303</v>
      </c>
      <c r="O1216" s="2">
        <v>356.76</v>
      </c>
      <c r="P1216" s="2">
        <v>46.38</v>
      </c>
      <c r="Q1216" s="2">
        <v>403.14</v>
      </c>
      <c r="R1216" s="2" t="s">
        <v>44</v>
      </c>
      <c r="S1216" s="2"/>
      <c r="T1216" s="2">
        <f t="shared" si="420"/>
        <v>1</v>
      </c>
      <c r="U1216" s="18">
        <f t="shared" si="421"/>
        <v>11</v>
      </c>
      <c r="V1216" s="18">
        <f t="shared" si="403"/>
        <v>2025</v>
      </c>
      <c r="W1216" s="18" t="str">
        <f t="shared" si="422"/>
        <v/>
      </c>
      <c r="X1216" s="18" t="str">
        <f t="shared" si="405"/>
        <v/>
      </c>
      <c r="Y1216" s="2">
        <f t="shared" si="423"/>
        <v>0.70832754622107219</v>
      </c>
      <c r="Z1216" t="str">
        <f t="shared" si="424"/>
        <v>SO18271</v>
      </c>
      <c r="AA1216" s="11">
        <f t="shared" si="425"/>
        <v>45981.423576388886</v>
      </c>
      <c r="AB1216" s="5" t="str">
        <f t="shared" si="426"/>
        <v>INV13784</v>
      </c>
      <c r="AC1216" s="5" t="str">
        <f>IFERROR(VLOOKUP(D1216,CAARStatus!$A$2:$AA$1600,22,FALSE),"Not invoiced")</f>
        <v>Approved</v>
      </c>
      <c r="AD1216" s="11" t="str">
        <f>IF(AC1216="Paid",IFERROR(VLOOKUP(D1216,CAARStatus!$A$2:$AA$1600,6,FALSE),"Pending"),"Pending")</f>
        <v>Pending</v>
      </c>
      <c r="AE1216" s="5" t="str">
        <f t="shared" si="427"/>
        <v>SUD1006067</v>
      </c>
      <c r="AF1216" s="5" t="str">
        <f t="shared" si="428"/>
        <v>Process and Steam Specialties</v>
      </c>
      <c r="AG1216" s="5" t="str">
        <f t="shared" si="429"/>
        <v>CAD</v>
      </c>
      <c r="AH1216" s="5">
        <f t="shared" si="430"/>
        <v>356.76</v>
      </c>
      <c r="AI1216" s="12">
        <f>IF(L1216-N1216=0,VLOOKUP(U1216,rate!A$4:B$15,2,FALSE)*AH1216,IF(AG1216="USD",O1216,AH1216*Y1216))</f>
        <v>252.70293538982972</v>
      </c>
      <c r="AJ1216" s="13">
        <f t="shared" si="431"/>
        <v>0.70832754622107219</v>
      </c>
      <c r="AK1216" s="13">
        <f>-IF(AG1216="CAD",IFERROR(VLOOKUP(D1216,CAARStatus!$A$1:$Y$1600,16,FALSE),0),0)</f>
        <v>-356.76</v>
      </c>
      <c r="AL1216" s="13">
        <f>-IF(AG1216="USD",IFERROR(VLOOKUP(D1216,CAARStatus!$A$1:$Y$1600,11,FALSE),0),0)</f>
        <v>0</v>
      </c>
      <c r="AM1216" s="22">
        <f t="shared" si="432"/>
        <v>0</v>
      </c>
      <c r="AN1216" s="12" t="str">
        <f t="shared" si="433"/>
        <v/>
      </c>
      <c r="AO1216" s="12" t="str">
        <f t="shared" si="434"/>
        <v>Pend</v>
      </c>
      <c r="AP1216" t="str">
        <f t="shared" si="435"/>
        <v>Pend</v>
      </c>
      <c r="AQ1216" t="str">
        <f>IFERROR(VLOOKUP(Z1216,InvBal!$L$4:$P$600,4,FALSE),"Pend")</f>
        <v>Pend</v>
      </c>
      <c r="AR1216" t="str">
        <f>IFERROR(VLOOKUP(D1216,Manual!$C$1:$E$22,2,FALSE),"Pend")</f>
        <v>Pend</v>
      </c>
      <c r="AS1216" t="str">
        <f t="shared" si="436"/>
        <v/>
      </c>
      <c r="AT1216" t="str">
        <f t="shared" si="437"/>
        <v>Yes</v>
      </c>
      <c r="AU1216" s="51" t="str">
        <f t="shared" si="438"/>
        <v/>
      </c>
      <c r="AV1216" s="12">
        <f>IFERROR(VLOOKUP(D1216,'Receivable Invoice Detail'!$S$1:$U$3014,3,FALSE),0)</f>
        <v>0</v>
      </c>
      <c r="AW1216" s="12">
        <f t="shared" si="439"/>
        <v>0</v>
      </c>
    </row>
    <row r="1217" spans="1:49" ht="45" x14ac:dyDescent="0.25">
      <c r="A1217" s="2">
        <v>1</v>
      </c>
      <c r="B1217" s="2" t="s">
        <v>142</v>
      </c>
      <c r="C1217" s="2" t="s">
        <v>5865</v>
      </c>
      <c r="D1217" s="2" t="s">
        <v>3379</v>
      </c>
      <c r="E1217" s="2" t="s">
        <v>109</v>
      </c>
      <c r="F1217" s="3">
        <v>45981.448414351849</v>
      </c>
      <c r="G1217" s="3">
        <v>45981.502326388887</v>
      </c>
      <c r="H1217" s="4">
        <v>45993</v>
      </c>
      <c r="I1217" s="2" t="s">
        <v>21</v>
      </c>
      <c r="J1217" s="2" t="s">
        <v>51</v>
      </c>
      <c r="K1217" s="2">
        <v>0.71446671444937049</v>
      </c>
      <c r="L1217" s="2">
        <v>1804.8286560050481</v>
      </c>
      <c r="M1217" s="2">
        <v>0</v>
      </c>
      <c r="N1217" s="2">
        <v>1289.49</v>
      </c>
      <c r="O1217" s="2">
        <v>1289.49</v>
      </c>
      <c r="P1217" s="2"/>
      <c r="Q1217" s="2">
        <v>1289.49</v>
      </c>
      <c r="R1217" s="2" t="s">
        <v>29</v>
      </c>
      <c r="S1217" s="2"/>
      <c r="T1217" s="2">
        <f t="shared" si="420"/>
        <v>1</v>
      </c>
      <c r="U1217" s="18">
        <f t="shared" si="421"/>
        <v>11</v>
      </c>
      <c r="V1217" s="18">
        <f t="shared" si="403"/>
        <v>2025</v>
      </c>
      <c r="W1217" s="18">
        <f t="shared" si="422"/>
        <v>12</v>
      </c>
      <c r="X1217" s="18">
        <f t="shared" si="405"/>
        <v>2025</v>
      </c>
      <c r="Y1217" s="2">
        <f t="shared" si="423"/>
        <v>0.7144667144493706</v>
      </c>
      <c r="Z1217" t="str">
        <f t="shared" si="424"/>
        <v>SO18272</v>
      </c>
      <c r="AA1217" s="11">
        <f t="shared" si="425"/>
        <v>45981.448414351849</v>
      </c>
      <c r="AB1217" s="5" t="str">
        <f t="shared" si="426"/>
        <v>INV13667</v>
      </c>
      <c r="AC1217" s="5" t="str">
        <f>IFERROR(VLOOKUP(D1217,CAARStatus!$A$2:$AA$1600,22,FALSE),"Not invoiced")</f>
        <v>Paid</v>
      </c>
      <c r="AD1217" s="11">
        <f>IF(AC1217="Paid",IFERROR(VLOOKUP(D1217,CAARStatus!$A$2:$AA$1600,6,FALSE),"Pending"),"Pending")</f>
        <v>46003</v>
      </c>
      <c r="AE1217" s="5" t="str">
        <f t="shared" si="427"/>
        <v>4380 Order switched from Qty 3 to 1 as per Bobby.</v>
      </c>
      <c r="AF1217" s="5" t="str">
        <f t="shared" si="428"/>
        <v>Middle Georgia Fluid Sealing LLC</v>
      </c>
      <c r="AG1217" s="5" t="str">
        <f t="shared" si="429"/>
        <v>USD</v>
      </c>
      <c r="AH1217" s="5">
        <f t="shared" si="430"/>
        <v>1804.8286560050483</v>
      </c>
      <c r="AI1217" s="12">
        <f>IF(L1217-N1217=0,VLOOKUP(U1217,rate!A$4:B$15,2,FALSE)*AH1217,IF(AG1217="USD",O1217,AH1217*Y1217))</f>
        <v>1289.49</v>
      </c>
      <c r="AJ1217" s="13">
        <f t="shared" si="431"/>
        <v>0.71446671444937049</v>
      </c>
      <c r="AK1217" s="13">
        <f>-IF(AG1217="CAD",IFERROR(VLOOKUP(D1217,CAARStatus!$A$1:$Y$1600,16,FALSE),0),0)</f>
        <v>0</v>
      </c>
      <c r="AL1217" s="13">
        <f>-IF(AG1217="USD",IFERROR(VLOOKUP(D1217,CAARStatus!$A$1:$Y$1600,11,FALSE),0),0)</f>
        <v>-1289.49</v>
      </c>
      <c r="AM1217" s="22" t="str">
        <f t="shared" si="432"/>
        <v/>
      </c>
      <c r="AN1217" s="12">
        <f t="shared" si="433"/>
        <v>0</v>
      </c>
      <c r="AO1217" s="12" t="str">
        <f t="shared" si="434"/>
        <v>Yes</v>
      </c>
      <c r="AP1217" t="str">
        <f t="shared" si="435"/>
        <v>Yes</v>
      </c>
      <c r="AQ1217" t="str">
        <f>IFERROR(VLOOKUP(Z1217,InvBal!$L$4:$P$600,4,FALSE),"Pend")</f>
        <v>Pend</v>
      </c>
      <c r="AR1217" t="str">
        <f>IFERROR(VLOOKUP(D1217,Manual!$C$1:$E$22,2,FALSE),"Pend")</f>
        <v>Pend</v>
      </c>
      <c r="AS1217" t="str">
        <f t="shared" si="436"/>
        <v>Yes</v>
      </c>
      <c r="AT1217" t="str">
        <f t="shared" si="437"/>
        <v/>
      </c>
      <c r="AU1217" s="51" t="str">
        <f t="shared" si="438"/>
        <v/>
      </c>
      <c r="AV1217" s="12">
        <f>IFERROR(VLOOKUP(D1217,'Receivable Invoice Detail'!$S$1:$U$3014,3,FALSE),0)</f>
        <v>0</v>
      </c>
      <c r="AW1217" s="12">
        <f t="shared" si="439"/>
        <v>0</v>
      </c>
    </row>
    <row r="1218" spans="1:49" x14ac:dyDescent="0.25">
      <c r="A1218" s="2">
        <v>1</v>
      </c>
      <c r="B1218" s="2" t="s">
        <v>6197</v>
      </c>
      <c r="C1218" s="2" t="s">
        <v>5975</v>
      </c>
      <c r="D1218" s="2" t="s">
        <v>5974</v>
      </c>
      <c r="E1218" s="2" t="s">
        <v>149</v>
      </c>
      <c r="F1218" s="3">
        <v>45981.51489583333</v>
      </c>
      <c r="G1218" s="3">
        <v>45996.562754629631</v>
      </c>
      <c r="H1218" s="4">
        <v>46003</v>
      </c>
      <c r="I1218" s="2" t="s">
        <v>36</v>
      </c>
      <c r="J1218" s="2" t="s">
        <v>51</v>
      </c>
      <c r="K1218" s="2">
        <v>0.71669614463588371</v>
      </c>
      <c r="L1218" s="2">
        <v>2544.8441625517871</v>
      </c>
      <c r="M1218" s="2">
        <v>0</v>
      </c>
      <c r="N1218" s="2">
        <v>1823.88</v>
      </c>
      <c r="O1218" s="2">
        <v>1823.88</v>
      </c>
      <c r="P1218" s="2"/>
      <c r="Q1218" s="2">
        <v>1823.88</v>
      </c>
      <c r="R1218" s="2" t="s">
        <v>44</v>
      </c>
      <c r="S1218" s="2"/>
      <c r="T1218" s="2">
        <f t="shared" si="420"/>
        <v>1</v>
      </c>
      <c r="U1218" s="18">
        <f t="shared" si="421"/>
        <v>11</v>
      </c>
      <c r="V1218" s="18">
        <f t="shared" si="403"/>
        <v>2025</v>
      </c>
      <c r="W1218" s="18" t="str">
        <f t="shared" si="422"/>
        <v/>
      </c>
      <c r="X1218" s="18" t="str">
        <f t="shared" si="405"/>
        <v/>
      </c>
      <c r="Y1218" s="2">
        <f t="shared" si="423"/>
        <v>0.71669614463588371</v>
      </c>
      <c r="Z1218" t="str">
        <f t="shared" si="424"/>
        <v>SO18274</v>
      </c>
      <c r="AA1218" s="11">
        <f t="shared" si="425"/>
        <v>45981.51489583333</v>
      </c>
      <c r="AB1218" s="5" t="str">
        <f t="shared" si="426"/>
        <v>INV13743</v>
      </c>
      <c r="AC1218" s="5" t="str">
        <f>IFERROR(VLOOKUP(D1218,CAARStatus!$A$2:$AA$1600,22,FALSE),"Not invoiced")</f>
        <v>Approved</v>
      </c>
      <c r="AD1218" s="11" t="str">
        <f>IF(AC1218="Paid",IFERROR(VLOOKUP(D1218,CAARStatus!$A$2:$AA$1600,6,FALSE),"Pending"),"Pending")</f>
        <v>Pending</v>
      </c>
      <c r="AE1218" s="5" t="str">
        <f t="shared" si="427"/>
        <v>PO-0021326</v>
      </c>
      <c r="AF1218" s="5" t="str">
        <f t="shared" si="428"/>
        <v>MAB Equipment Company Inc.</v>
      </c>
      <c r="AG1218" s="5" t="str">
        <f t="shared" si="429"/>
        <v>USD</v>
      </c>
      <c r="AH1218" s="5">
        <f t="shared" si="430"/>
        <v>2544.8441625517871</v>
      </c>
      <c r="AI1218" s="12">
        <f>IF(L1218-N1218=0,VLOOKUP(U1218,rate!A$4:B$15,2,FALSE)*AH1218,IF(AG1218="USD",O1218,AH1218*Y1218))</f>
        <v>1823.88</v>
      </c>
      <c r="AJ1218" s="13">
        <f t="shared" si="431"/>
        <v>0.71669614463588371</v>
      </c>
      <c r="AK1218" s="13">
        <f>-IF(AG1218="CAD",IFERROR(VLOOKUP(D1218,CAARStatus!$A$1:$Y$1600,16,FALSE),0),0)</f>
        <v>0</v>
      </c>
      <c r="AL1218" s="13">
        <f>-IF(AG1218="USD",IFERROR(VLOOKUP(D1218,CAARStatus!$A$1:$Y$1600,11,FALSE),0),0)</f>
        <v>-1823.88</v>
      </c>
      <c r="AM1218" s="22" t="str">
        <f t="shared" si="432"/>
        <v/>
      </c>
      <c r="AN1218" s="12">
        <f t="shared" si="433"/>
        <v>0</v>
      </c>
      <c r="AO1218" s="12" t="str">
        <f t="shared" si="434"/>
        <v>Pend</v>
      </c>
      <c r="AP1218" t="str">
        <f t="shared" si="435"/>
        <v>Pend</v>
      </c>
      <c r="AQ1218" t="str">
        <f>IFERROR(VLOOKUP(Z1218,InvBal!$L$4:$P$600,4,FALSE),"Pend")</f>
        <v>Pend</v>
      </c>
      <c r="AR1218" t="str">
        <f>IFERROR(VLOOKUP(D1218,Manual!$C$1:$E$22,2,FALSE),"Pend")</f>
        <v>Pend</v>
      </c>
      <c r="AS1218" t="str">
        <f t="shared" si="436"/>
        <v/>
      </c>
      <c r="AT1218" t="str">
        <f t="shared" si="437"/>
        <v>Yes</v>
      </c>
      <c r="AU1218" s="51" t="str">
        <f t="shared" si="438"/>
        <v/>
      </c>
      <c r="AV1218" s="12">
        <f>IFERROR(VLOOKUP(D1218,'Receivable Invoice Detail'!$S$1:$U$3014,3,FALSE),0)</f>
        <v>199</v>
      </c>
      <c r="AW1218" s="12">
        <f t="shared" si="439"/>
        <v>0</v>
      </c>
    </row>
    <row r="1219" spans="1:49" x14ac:dyDescent="0.25">
      <c r="A1219" s="2">
        <v>0</v>
      </c>
      <c r="B1219" s="2" t="s">
        <v>133</v>
      </c>
      <c r="C1219" s="2" t="s">
        <v>134</v>
      </c>
      <c r="D1219" s="2"/>
      <c r="E1219" s="2" t="s">
        <v>135</v>
      </c>
      <c r="F1219" s="3">
        <v>45981.519606481481</v>
      </c>
      <c r="G1219" s="3">
        <v>45981.687928240739</v>
      </c>
      <c r="H1219" s="4">
        <v>46072</v>
      </c>
      <c r="I1219" s="2" t="s">
        <v>21</v>
      </c>
      <c r="J1219" s="2" t="s">
        <v>22</v>
      </c>
      <c r="K1219" s="2">
        <v>1</v>
      </c>
      <c r="L1219" s="2">
        <v>5869.69</v>
      </c>
      <c r="M1219" s="2">
        <v>0</v>
      </c>
      <c r="N1219" s="2">
        <v>4164.8044157651211</v>
      </c>
      <c r="O1219" s="2">
        <v>5194.42</v>
      </c>
      <c r="P1219" s="2">
        <v>675.27</v>
      </c>
      <c r="Q1219" s="2">
        <v>5869.69</v>
      </c>
      <c r="R1219" s="2" t="s">
        <v>29</v>
      </c>
      <c r="S1219" s="2"/>
      <c r="T1219" s="2">
        <f t="shared" si="420"/>
        <v>0</v>
      </c>
      <c r="U1219" s="18">
        <f t="shared" si="421"/>
        <v>11</v>
      </c>
      <c r="V1219" s="18">
        <f t="shared" ref="V1219:V1228" si="440">IF(F1219="",V1218,YEAR(F1219))</f>
        <v>2025</v>
      </c>
      <c r="W1219" s="18" t="str">
        <f t="shared" si="422"/>
        <v/>
      </c>
      <c r="X1219" s="18" t="str">
        <f t="shared" ref="X1219:X1228" si="441">IF(AC1219="Paid",YEAR(AD1219),"")</f>
        <v/>
      </c>
      <c r="Y1219" s="2">
        <f t="shared" si="423"/>
        <v>0.70954418645024209</v>
      </c>
      <c r="Z1219" t="str">
        <f t="shared" si="424"/>
        <v>SO18275</v>
      </c>
      <c r="AA1219" s="11">
        <f t="shared" si="425"/>
        <v>45981.519606481481</v>
      </c>
      <c r="AB1219" s="5" t="str">
        <f t="shared" si="426"/>
        <v>No Inv</v>
      </c>
      <c r="AC1219" s="5" t="str">
        <f>IFERROR(VLOOKUP(D1219,CAARStatus!$A$2:$AA$1600,22,FALSE),"Not invoiced")</f>
        <v>Not invoiced</v>
      </c>
      <c r="AD1219" s="11" t="str">
        <f>IF(AC1219="Paid",IFERROR(VLOOKUP(D1219,CAARStatus!$A$2:$AA$1600,6,FALSE),"Pending"),"Pending")</f>
        <v>Pending</v>
      </c>
      <c r="AE1219" s="5" t="str">
        <f t="shared" si="427"/>
        <v>1035349</v>
      </c>
      <c r="AF1219" s="5" t="str">
        <f t="shared" si="428"/>
        <v>Thunder Bay Pulp and Paper Inc</v>
      </c>
      <c r="AG1219" s="5" t="str">
        <f t="shared" si="429"/>
        <v>CAD</v>
      </c>
      <c r="AH1219" s="5">
        <f t="shared" si="430"/>
        <v>5194.42</v>
      </c>
      <c r="AI1219" s="12">
        <f>IF(L1219-N1219=0,VLOOKUP(U1219,rate!A$4:B$15,2,FALSE)*AH1219,IF(AG1219="USD",O1219,AH1219*Y1219))</f>
        <v>3685.6705129808665</v>
      </c>
      <c r="AJ1219" s="13">
        <f t="shared" si="431"/>
        <v>0.70954418645024209</v>
      </c>
      <c r="AK1219" s="13">
        <f>-IF(AG1219="CAD",IFERROR(VLOOKUP(D1219,CAARStatus!$A$1:$Y$1600,16,FALSE),0),0)</f>
        <v>0</v>
      </c>
      <c r="AL1219" s="13">
        <f>-IF(AG1219="USD",IFERROR(VLOOKUP(D1219,CAARStatus!$A$1:$Y$1600,11,FALSE),0),0)</f>
        <v>0</v>
      </c>
      <c r="AM1219" s="22">
        <f t="shared" si="432"/>
        <v>5194.42</v>
      </c>
      <c r="AN1219" s="12" t="str">
        <f t="shared" si="433"/>
        <v/>
      </c>
      <c r="AO1219" s="12" t="str">
        <f t="shared" si="434"/>
        <v>Pend</v>
      </c>
      <c r="AP1219" t="str">
        <f t="shared" si="435"/>
        <v>Pend</v>
      </c>
      <c r="AQ1219" t="str">
        <f>IFERROR(VLOOKUP(Z1219,InvBal!$L$4:$P$600,4,FALSE),"Pend")</f>
        <v>Pend</v>
      </c>
      <c r="AR1219" t="str">
        <f>IFERROR(VLOOKUP(D1219,Manual!$C$1:$E$22,2,FALSE),"Pend")</f>
        <v>Pend</v>
      </c>
      <c r="AS1219" t="str">
        <f t="shared" si="436"/>
        <v/>
      </c>
      <c r="AT1219" t="str">
        <f t="shared" si="437"/>
        <v/>
      </c>
      <c r="AU1219" s="51" t="str">
        <f t="shared" si="438"/>
        <v/>
      </c>
      <c r="AV1219" s="12">
        <f>IFERROR(VLOOKUP(D1219,'Receivable Invoice Detail'!$S$1:$U$3014,3,FALSE),0)</f>
        <v>0</v>
      </c>
      <c r="AW1219" s="12">
        <f t="shared" si="439"/>
        <v>0</v>
      </c>
    </row>
    <row r="1220" spans="1:49" x14ac:dyDescent="0.25">
      <c r="A1220" s="2">
        <v>1</v>
      </c>
      <c r="B1220" s="2" t="s">
        <v>139</v>
      </c>
      <c r="C1220" s="2" t="s">
        <v>140</v>
      </c>
      <c r="D1220" s="2" t="s">
        <v>6020</v>
      </c>
      <c r="E1220" s="2" t="s">
        <v>141</v>
      </c>
      <c r="F1220" s="3">
        <v>45981.538807870369</v>
      </c>
      <c r="G1220" s="3">
        <v>45981.538888888892</v>
      </c>
      <c r="H1220" s="4">
        <v>46042</v>
      </c>
      <c r="I1220" s="2" t="s">
        <v>21</v>
      </c>
      <c r="J1220" s="2" t="s">
        <v>51</v>
      </c>
      <c r="K1220" s="2">
        <v>0.71446671444937049</v>
      </c>
      <c r="L1220" s="2">
        <v>1111.318391664928</v>
      </c>
      <c r="M1220" s="2">
        <v>0</v>
      </c>
      <c r="N1220" s="2">
        <v>794</v>
      </c>
      <c r="O1220" s="2">
        <v>794</v>
      </c>
      <c r="P1220" s="2"/>
      <c r="Q1220" s="2">
        <v>794</v>
      </c>
      <c r="R1220" s="2" t="s">
        <v>44</v>
      </c>
      <c r="S1220" s="2"/>
      <c r="T1220" s="2">
        <f t="shared" si="420"/>
        <v>1</v>
      </c>
      <c r="U1220" s="18">
        <f t="shared" si="421"/>
        <v>11</v>
      </c>
      <c r="V1220" s="18">
        <f t="shared" si="440"/>
        <v>2025</v>
      </c>
      <c r="W1220" s="18" t="str">
        <f t="shared" si="422"/>
        <v/>
      </c>
      <c r="X1220" s="18" t="str">
        <f t="shared" si="441"/>
        <v/>
      </c>
      <c r="Y1220" s="2">
        <f t="shared" si="423"/>
        <v>0.71446671444937071</v>
      </c>
      <c r="Z1220" t="str">
        <f t="shared" si="424"/>
        <v>SO18276</v>
      </c>
      <c r="AA1220" s="11">
        <f t="shared" si="425"/>
        <v>45981.538807870369</v>
      </c>
      <c r="AB1220" s="5" t="str">
        <f t="shared" si="426"/>
        <v>INV13777</v>
      </c>
      <c r="AC1220" s="5" t="str">
        <f>IFERROR(VLOOKUP(D1220,CAARStatus!$A$2:$AA$1600,22,FALSE),"Not invoiced")</f>
        <v>Approved</v>
      </c>
      <c r="AD1220" s="11" t="str">
        <f>IF(AC1220="Paid",IFERROR(VLOOKUP(D1220,CAARStatus!$A$2:$AA$1600,6,FALSE),"Pending"),"Pending")</f>
        <v>Pending</v>
      </c>
      <c r="AE1220" s="5" t="str">
        <f t="shared" si="427"/>
        <v>4512534698</v>
      </c>
      <c r="AF1220" s="5" t="str">
        <f t="shared" si="428"/>
        <v>PT Vale Indonesia Tbk.</v>
      </c>
      <c r="AG1220" s="5" t="str">
        <f t="shared" si="429"/>
        <v>USD</v>
      </c>
      <c r="AH1220" s="5">
        <f t="shared" si="430"/>
        <v>1111.3183916649284</v>
      </c>
      <c r="AI1220" s="12">
        <f>IF(L1220-N1220=0,VLOOKUP(U1220,rate!A$4:B$15,2,FALSE)*AH1220,IF(AG1220="USD",O1220,AH1220*Y1220))</f>
        <v>794</v>
      </c>
      <c r="AJ1220" s="13">
        <f t="shared" si="431"/>
        <v>0.71446671444937038</v>
      </c>
      <c r="AK1220" s="13">
        <f>-IF(AG1220="CAD",IFERROR(VLOOKUP(D1220,CAARStatus!$A$1:$Y$1600,16,FALSE),0),0)</f>
        <v>0</v>
      </c>
      <c r="AL1220" s="13">
        <f>-IF(AG1220="USD",IFERROR(VLOOKUP(D1220,CAARStatus!$A$1:$Y$1600,11,FALSE),0),0)</f>
        <v>-794</v>
      </c>
      <c r="AM1220" s="22" t="str">
        <f t="shared" si="432"/>
        <v/>
      </c>
      <c r="AN1220" s="12">
        <f t="shared" si="433"/>
        <v>0</v>
      </c>
      <c r="AO1220" s="12" t="str">
        <f t="shared" si="434"/>
        <v>Pend</v>
      </c>
      <c r="AP1220" t="str">
        <f t="shared" si="435"/>
        <v>Pend</v>
      </c>
      <c r="AQ1220" t="str">
        <f>IFERROR(VLOOKUP(Z1220,InvBal!$L$4:$P$600,4,FALSE),"Pend")</f>
        <v>Pend</v>
      </c>
      <c r="AR1220" t="str">
        <f>IFERROR(VLOOKUP(D1220,Manual!$C$1:$E$22,2,FALSE),"Pend")</f>
        <v>Pend</v>
      </c>
      <c r="AS1220" t="str">
        <f t="shared" si="436"/>
        <v/>
      </c>
      <c r="AT1220" t="str">
        <f t="shared" si="437"/>
        <v>Yes</v>
      </c>
      <c r="AU1220" s="51" t="str">
        <f t="shared" si="438"/>
        <v/>
      </c>
      <c r="AV1220" s="12">
        <f>IFERROR(VLOOKUP(D1220,'Receivable Invoice Detail'!$S$1:$U$3014,3,FALSE),0)</f>
        <v>0</v>
      </c>
      <c r="AW1220" s="12">
        <f t="shared" si="439"/>
        <v>0</v>
      </c>
    </row>
    <row r="1221" spans="1:49" x14ac:dyDescent="0.25">
      <c r="A1221" s="2">
        <v>1</v>
      </c>
      <c r="B1221" s="2" t="s">
        <v>6198</v>
      </c>
      <c r="C1221" s="2" t="s">
        <v>6023</v>
      </c>
      <c r="D1221" s="2" t="s">
        <v>6022</v>
      </c>
      <c r="E1221" s="2" t="s">
        <v>77</v>
      </c>
      <c r="F1221" s="3">
        <v>45981.620509259257</v>
      </c>
      <c r="G1221" s="3">
        <v>46003.609120370369</v>
      </c>
      <c r="H1221" s="4">
        <v>46008</v>
      </c>
      <c r="I1221" s="2" t="s">
        <v>74</v>
      </c>
      <c r="J1221" s="2" t="s">
        <v>22</v>
      </c>
      <c r="K1221" s="2">
        <v>1</v>
      </c>
      <c r="L1221" s="2">
        <v>2143.0500000000002</v>
      </c>
      <c r="M1221" s="2">
        <v>0</v>
      </c>
      <c r="N1221" s="2">
        <v>1554.553373287768</v>
      </c>
      <c r="O1221" s="2">
        <v>2041</v>
      </c>
      <c r="P1221" s="2">
        <v>102.05</v>
      </c>
      <c r="Q1221" s="2">
        <v>2143.0500000000002</v>
      </c>
      <c r="R1221" s="2" t="s">
        <v>44</v>
      </c>
      <c r="S1221" s="2"/>
      <c r="T1221" s="2">
        <f t="shared" si="420"/>
        <v>1</v>
      </c>
      <c r="U1221" s="18">
        <f t="shared" si="421"/>
        <v>11</v>
      </c>
      <c r="V1221" s="18">
        <f t="shared" si="440"/>
        <v>2025</v>
      </c>
      <c r="W1221" s="18" t="str">
        <f t="shared" si="422"/>
        <v/>
      </c>
      <c r="X1221" s="18" t="str">
        <f t="shared" si="441"/>
        <v/>
      </c>
      <c r="Y1221" s="2">
        <f t="shared" si="423"/>
        <v>0.72539295550162985</v>
      </c>
      <c r="Z1221" t="str">
        <f t="shared" si="424"/>
        <v>SO18280</v>
      </c>
      <c r="AA1221" s="11">
        <f t="shared" si="425"/>
        <v>45981.620509259257</v>
      </c>
      <c r="AB1221" s="5" t="str">
        <f t="shared" si="426"/>
        <v>INV13782</v>
      </c>
      <c r="AC1221" s="5" t="str">
        <f>IFERROR(VLOOKUP(D1221,CAARStatus!$A$2:$AA$1600,22,FALSE),"Not invoiced")</f>
        <v>Approved</v>
      </c>
      <c r="AD1221" s="11" t="str">
        <f>IF(AC1221="Paid",IFERROR(VLOOKUP(D1221,CAARStatus!$A$2:$AA$1600,6,FALSE),"Pending"),"Pending")</f>
        <v>Pending</v>
      </c>
      <c r="AE1221" s="5" t="str">
        <f t="shared" si="427"/>
        <v>PO-40-1019953</v>
      </c>
      <c r="AF1221" s="5" t="str">
        <f t="shared" si="428"/>
        <v>Canadian Bearings Ltd.</v>
      </c>
      <c r="AG1221" s="5" t="str">
        <f t="shared" si="429"/>
        <v>CAD</v>
      </c>
      <c r="AH1221" s="5">
        <f t="shared" si="430"/>
        <v>2041</v>
      </c>
      <c r="AI1221" s="12">
        <f>IF(L1221-N1221=0,VLOOKUP(U1221,rate!A$4:B$15,2,FALSE)*AH1221,IF(AG1221="USD",O1221,AH1221*Y1221))</f>
        <v>1480.5270221788264</v>
      </c>
      <c r="AJ1221" s="13">
        <f t="shared" si="431"/>
        <v>0.72539295550162985</v>
      </c>
      <c r="AK1221" s="13">
        <f>-IF(AG1221="CAD",IFERROR(VLOOKUP(D1221,CAARStatus!$A$1:$Y$1600,16,FALSE),0),0)</f>
        <v>-2041</v>
      </c>
      <c r="AL1221" s="13">
        <f>-IF(AG1221="USD",IFERROR(VLOOKUP(D1221,CAARStatus!$A$1:$Y$1600,11,FALSE),0),0)</f>
        <v>0</v>
      </c>
      <c r="AM1221" s="22">
        <f t="shared" si="432"/>
        <v>0</v>
      </c>
      <c r="AN1221" s="12" t="str">
        <f t="shared" si="433"/>
        <v/>
      </c>
      <c r="AO1221" s="12" t="str">
        <f t="shared" si="434"/>
        <v>Pend</v>
      </c>
      <c r="AP1221" t="str">
        <f t="shared" si="435"/>
        <v>Pend</v>
      </c>
      <c r="AQ1221" t="str">
        <f>IFERROR(VLOOKUP(Z1221,InvBal!$L$4:$P$600,4,FALSE),"Pend")</f>
        <v>Pend</v>
      </c>
      <c r="AR1221" t="str">
        <f>IFERROR(VLOOKUP(D1221,Manual!$C$1:$E$22,2,FALSE),"Pend")</f>
        <v>Pend</v>
      </c>
      <c r="AS1221" t="str">
        <f t="shared" si="436"/>
        <v/>
      </c>
      <c r="AT1221" t="str">
        <f t="shared" si="437"/>
        <v>Yes</v>
      </c>
      <c r="AU1221" s="51" t="str">
        <f t="shared" si="438"/>
        <v/>
      </c>
      <c r="AV1221" s="12">
        <f>IFERROR(VLOOKUP(D1221,'Receivable Invoice Detail'!$S$1:$U$3014,3,FALSE),0)</f>
        <v>0</v>
      </c>
      <c r="AW1221" s="12">
        <f t="shared" si="439"/>
        <v>0</v>
      </c>
    </row>
    <row r="1222" spans="1:49" ht="30" x14ac:dyDescent="0.25">
      <c r="A1222" s="2">
        <v>1</v>
      </c>
      <c r="B1222" s="2" t="s">
        <v>112</v>
      </c>
      <c r="C1222" s="2" t="s">
        <v>113</v>
      </c>
      <c r="D1222" s="2" t="s">
        <v>3383</v>
      </c>
      <c r="E1222" s="2" t="s">
        <v>114</v>
      </c>
      <c r="F1222" s="3">
        <v>45981.629050925927</v>
      </c>
      <c r="G1222" s="3">
        <v>45985.484201388892</v>
      </c>
      <c r="H1222" s="4">
        <v>45992</v>
      </c>
      <c r="I1222" s="2" t="s">
        <v>36</v>
      </c>
      <c r="J1222" s="2" t="s">
        <v>22</v>
      </c>
      <c r="K1222" s="2">
        <v>1</v>
      </c>
      <c r="L1222" s="2">
        <v>792.08</v>
      </c>
      <c r="M1222" s="2">
        <v>0</v>
      </c>
      <c r="N1222" s="2">
        <v>561.27532480277284</v>
      </c>
      <c r="O1222" s="2">
        <v>754.36</v>
      </c>
      <c r="P1222" s="2">
        <v>37.72</v>
      </c>
      <c r="Q1222" s="2">
        <v>792.08</v>
      </c>
      <c r="R1222" s="2" t="s">
        <v>44</v>
      </c>
      <c r="S1222" s="2"/>
      <c r="T1222" s="2">
        <f t="shared" si="420"/>
        <v>1</v>
      </c>
      <c r="U1222" s="18">
        <f t="shared" si="421"/>
        <v>11</v>
      </c>
      <c r="V1222" s="18">
        <f t="shared" si="440"/>
        <v>2025</v>
      </c>
      <c r="W1222" s="18">
        <f t="shared" si="422"/>
        <v>12</v>
      </c>
      <c r="X1222" s="18">
        <f t="shared" si="441"/>
        <v>2025</v>
      </c>
      <c r="Y1222" s="2">
        <f t="shared" si="423"/>
        <v>0.70860938895411174</v>
      </c>
      <c r="Z1222" t="str">
        <f t="shared" si="424"/>
        <v>SO18281</v>
      </c>
      <c r="AA1222" s="11">
        <f t="shared" si="425"/>
        <v>45981.629050925927</v>
      </c>
      <c r="AB1222" s="5" t="str">
        <f t="shared" si="426"/>
        <v>INV13697</v>
      </c>
      <c r="AC1222" s="5" t="str">
        <f>IFERROR(VLOOKUP(D1222,CAARStatus!$A$2:$AA$1600,22,FALSE),"Not invoiced")</f>
        <v>Paid</v>
      </c>
      <c r="AD1222" s="11">
        <f>IF(AC1222="Paid",IFERROR(VLOOKUP(D1222,CAARStatus!$A$2:$AA$1600,6,FALSE),"Pending"),"Pending")</f>
        <v>45999</v>
      </c>
      <c r="AE1222" s="5" t="str">
        <f t="shared" si="427"/>
        <v>66821</v>
      </c>
      <c r="AF1222" s="5" t="str">
        <f t="shared" si="428"/>
        <v>Harvey Bearings, Harvey Bearings</v>
      </c>
      <c r="AG1222" s="5" t="str">
        <f t="shared" si="429"/>
        <v>CAD</v>
      </c>
      <c r="AH1222" s="5">
        <f t="shared" si="430"/>
        <v>754.36</v>
      </c>
      <c r="AI1222" s="12">
        <f>IF(L1222-N1222=0,VLOOKUP(U1222,rate!A$4:B$15,2,FALSE)*AH1222,IF(AG1222="USD",O1222,AH1222*Y1222))</f>
        <v>534.54657865142372</v>
      </c>
      <c r="AJ1222" s="13">
        <f t="shared" si="431"/>
        <v>0.70860938895411174</v>
      </c>
      <c r="AK1222" s="13">
        <f>-IF(AG1222="CAD",IFERROR(VLOOKUP(D1222,CAARStatus!$A$1:$Y$1600,16,FALSE),0),0)</f>
        <v>-754.36</v>
      </c>
      <c r="AL1222" s="13">
        <f>-IF(AG1222="USD",IFERROR(VLOOKUP(D1222,CAARStatus!$A$1:$Y$1600,11,FALSE),0),0)</f>
        <v>0</v>
      </c>
      <c r="AM1222" s="22">
        <f t="shared" si="432"/>
        <v>0</v>
      </c>
      <c r="AN1222" s="12" t="str">
        <f t="shared" si="433"/>
        <v/>
      </c>
      <c r="AO1222" s="12" t="str">
        <f t="shared" si="434"/>
        <v>Yes</v>
      </c>
      <c r="AP1222" t="str">
        <f t="shared" si="435"/>
        <v>Yes</v>
      </c>
      <c r="AQ1222" t="str">
        <f>IFERROR(VLOOKUP(Z1222,InvBal!$L$4:$P$600,4,FALSE),"Pend")</f>
        <v>Pend</v>
      </c>
      <c r="AR1222" t="str">
        <f>IFERROR(VLOOKUP(D1222,Manual!$C$1:$E$22,2,FALSE),"Pend")</f>
        <v>Pend</v>
      </c>
      <c r="AS1222" t="str">
        <f t="shared" si="436"/>
        <v>Yes</v>
      </c>
      <c r="AT1222" t="str">
        <f t="shared" si="437"/>
        <v>Yes</v>
      </c>
      <c r="AU1222" s="51" t="str">
        <f t="shared" si="438"/>
        <v>Yes</v>
      </c>
      <c r="AV1222" s="12">
        <f>IFERROR(VLOOKUP(D1222,'Receivable Invoice Detail'!$S$1:$U$3014,3,FALSE),0)</f>
        <v>0</v>
      </c>
      <c r="AW1222" s="12">
        <f t="shared" si="439"/>
        <v>534.54657865142372</v>
      </c>
    </row>
    <row r="1223" spans="1:49" ht="30" x14ac:dyDescent="0.25">
      <c r="A1223" s="2">
        <v>1</v>
      </c>
      <c r="B1223" s="2" t="s">
        <v>131</v>
      </c>
      <c r="C1223" s="2" t="s">
        <v>132</v>
      </c>
      <c r="D1223" s="2" t="s">
        <v>5956</v>
      </c>
      <c r="E1223" s="2" t="s">
        <v>121</v>
      </c>
      <c r="F1223" s="3">
        <v>45982.40829861111</v>
      </c>
      <c r="G1223" s="3">
        <v>45982.41201388889</v>
      </c>
      <c r="H1223" s="4">
        <v>46003</v>
      </c>
      <c r="I1223" s="2" t="s">
        <v>21</v>
      </c>
      <c r="J1223" s="2" t="s">
        <v>22</v>
      </c>
      <c r="K1223" s="2">
        <v>1</v>
      </c>
      <c r="L1223" s="2">
        <v>834.4</v>
      </c>
      <c r="M1223" s="2">
        <v>834.4</v>
      </c>
      <c r="N1223" s="2">
        <v>834.4</v>
      </c>
      <c r="O1223" s="2">
        <v>798.91</v>
      </c>
      <c r="P1223" s="2">
        <v>35.49</v>
      </c>
      <c r="Q1223" s="2">
        <v>834.4</v>
      </c>
      <c r="R1223" s="2" t="s">
        <v>44</v>
      </c>
      <c r="S1223" s="2"/>
      <c r="T1223" s="2">
        <f t="shared" si="420"/>
        <v>1</v>
      </c>
      <c r="U1223" s="18">
        <f t="shared" si="421"/>
        <v>11</v>
      </c>
      <c r="V1223" s="18">
        <f t="shared" si="440"/>
        <v>2025</v>
      </c>
      <c r="W1223" s="18" t="str">
        <f t="shared" si="422"/>
        <v/>
      </c>
      <c r="X1223" s="18" t="str">
        <f t="shared" si="441"/>
        <v/>
      </c>
      <c r="Y1223" s="2">
        <f t="shared" si="423"/>
        <v>1</v>
      </c>
      <c r="Z1223" t="str">
        <f t="shared" si="424"/>
        <v>SO18285</v>
      </c>
      <c r="AA1223" s="11">
        <f t="shared" si="425"/>
        <v>45982.40829861111</v>
      </c>
      <c r="AB1223" s="5" t="str">
        <f t="shared" si="426"/>
        <v>INV13723</v>
      </c>
      <c r="AC1223" s="5" t="str">
        <f>IFERROR(VLOOKUP(D1223,CAARStatus!$A$2:$AA$1600,22,FALSE),"Not invoiced")</f>
        <v>Approved</v>
      </c>
      <c r="AD1223" s="11" t="str">
        <f>IF(AC1223="Paid",IFERROR(VLOOKUP(D1223,CAARStatus!$A$2:$AA$1600,6,FALSE),"Pending"),"Pending")</f>
        <v>Pending</v>
      </c>
      <c r="AE1223" s="5" t="str">
        <f t="shared" si="427"/>
        <v>C003711361</v>
      </c>
      <c r="AF1223" s="5" t="str">
        <f t="shared" si="428"/>
        <v>Glencore Canada Corporation - Rouyn-Noranda</v>
      </c>
      <c r="AG1223" s="5" t="str">
        <f t="shared" si="429"/>
        <v>CAD</v>
      </c>
      <c r="AH1223" s="5">
        <f t="shared" si="430"/>
        <v>798.91</v>
      </c>
      <c r="AI1223" s="12">
        <f>IF(L1223-N1223=0,VLOOKUP(U1223,rate!A$4:B$15,2,FALSE)*AH1223,IF(AG1223="USD",O1223,AH1223*Y1223))</f>
        <v>570.84386616243535</v>
      </c>
      <c r="AJ1223" s="13">
        <f t="shared" si="431"/>
        <v>0.71452837761754817</v>
      </c>
      <c r="AK1223" s="13">
        <f>-IF(AG1223="CAD",IFERROR(VLOOKUP(D1223,CAARStatus!$A$1:$Y$1600,16,FALSE),0),0)</f>
        <v>-709.78</v>
      </c>
      <c r="AL1223" s="13">
        <f>-IF(AG1223="USD",IFERROR(VLOOKUP(D1223,CAARStatus!$A$1:$Y$1600,11,FALSE),0),0)</f>
        <v>0</v>
      </c>
      <c r="AM1223" s="22">
        <f t="shared" si="432"/>
        <v>89.13</v>
      </c>
      <c r="AN1223" s="12" t="str">
        <f t="shared" si="433"/>
        <v/>
      </c>
      <c r="AO1223" s="12" t="str">
        <f t="shared" si="434"/>
        <v>Pend</v>
      </c>
      <c r="AP1223" t="str">
        <f t="shared" si="435"/>
        <v>Pend</v>
      </c>
      <c r="AQ1223" t="str">
        <f>IFERROR(VLOOKUP(Z1223,InvBal!$L$4:$P$600,4,FALSE),"Pend")</f>
        <v>Pend</v>
      </c>
      <c r="AR1223" t="str">
        <f>IFERROR(VLOOKUP(D1223,Manual!$C$1:$E$22,2,FALSE),"Pend")</f>
        <v>Pend</v>
      </c>
      <c r="AS1223" t="str">
        <f t="shared" si="436"/>
        <v/>
      </c>
      <c r="AT1223" t="str">
        <f t="shared" si="437"/>
        <v>Yes</v>
      </c>
      <c r="AU1223" s="51" t="str">
        <f t="shared" si="438"/>
        <v/>
      </c>
      <c r="AV1223" s="12">
        <f>IFERROR(VLOOKUP(D1223,'Receivable Invoice Detail'!$S$1:$U$3014,3,FALSE),0)</f>
        <v>0</v>
      </c>
      <c r="AW1223" s="12">
        <f t="shared" si="439"/>
        <v>0</v>
      </c>
    </row>
    <row r="1224" spans="1:49" x14ac:dyDescent="0.25">
      <c r="A1224" s="2">
        <v>0</v>
      </c>
      <c r="B1224" s="2" t="s">
        <v>6199</v>
      </c>
      <c r="C1224" s="2" t="s">
        <v>6200</v>
      </c>
      <c r="D1224" s="2"/>
      <c r="E1224" s="2" t="s">
        <v>141</v>
      </c>
      <c r="F1224" s="3">
        <v>45982.554606481477</v>
      </c>
      <c r="G1224" s="3">
        <v>46027.478217592587</v>
      </c>
      <c r="H1224" s="4">
        <v>46139</v>
      </c>
      <c r="I1224" s="2" t="s">
        <v>21</v>
      </c>
      <c r="J1224" s="2" t="s">
        <v>51</v>
      </c>
      <c r="K1224" s="2">
        <v>0.7282990074408402</v>
      </c>
      <c r="L1224" s="2">
        <v>5306.5704614652186</v>
      </c>
      <c r="M1224" s="2">
        <v>0</v>
      </c>
      <c r="N1224" s="2">
        <v>3864.77</v>
      </c>
      <c r="O1224" s="2">
        <v>3864.77</v>
      </c>
      <c r="P1224" s="2"/>
      <c r="Q1224" s="2">
        <v>3864.77</v>
      </c>
      <c r="R1224" s="2" t="s">
        <v>23</v>
      </c>
      <c r="S1224" s="2"/>
      <c r="T1224" s="2">
        <f t="shared" si="420"/>
        <v>0</v>
      </c>
      <c r="U1224" s="18">
        <f t="shared" si="421"/>
        <v>11</v>
      </c>
      <c r="V1224" s="18">
        <f t="shared" si="440"/>
        <v>2025</v>
      </c>
      <c r="W1224" s="18" t="str">
        <f t="shared" si="422"/>
        <v/>
      </c>
      <c r="X1224" s="18" t="str">
        <f t="shared" si="441"/>
        <v/>
      </c>
      <c r="Y1224" s="2">
        <f t="shared" si="423"/>
        <v>0.7282990074408402</v>
      </c>
      <c r="Z1224" t="str">
        <f t="shared" si="424"/>
        <v>SO18286</v>
      </c>
      <c r="AA1224" s="11">
        <f t="shared" si="425"/>
        <v>45982.554606481477</v>
      </c>
      <c r="AB1224" s="5" t="str">
        <f t="shared" si="426"/>
        <v>No Inv</v>
      </c>
      <c r="AC1224" s="5" t="str">
        <f>IFERROR(VLOOKUP(D1224,CAARStatus!$A$2:$AA$1600,22,FALSE),"Not invoiced")</f>
        <v>Not invoiced</v>
      </c>
      <c r="AD1224" s="11" t="str">
        <f>IF(AC1224="Paid",IFERROR(VLOOKUP(D1224,CAARStatus!$A$2:$AA$1600,6,FALSE),"Pending"),"Pending")</f>
        <v>Pending</v>
      </c>
      <c r="AE1224" s="5" t="str">
        <f t="shared" si="427"/>
        <v>4512704234</v>
      </c>
      <c r="AF1224" s="5" t="str">
        <f t="shared" si="428"/>
        <v>PT Vale Indonesia Tbk.</v>
      </c>
      <c r="AG1224" s="5" t="str">
        <f t="shared" si="429"/>
        <v>USD</v>
      </c>
      <c r="AH1224" s="5">
        <f t="shared" si="430"/>
        <v>5306.5704614652186</v>
      </c>
      <c r="AI1224" s="12">
        <f>IF(L1224-N1224=0,VLOOKUP(U1224,rate!A$4:B$15,2,FALSE)*AH1224,IF(AG1224="USD",O1224,AH1224*Y1224))</f>
        <v>3864.77</v>
      </c>
      <c r="AJ1224" s="13">
        <f t="shared" si="431"/>
        <v>0.7282990074408402</v>
      </c>
      <c r="AK1224" s="13">
        <f>-IF(AG1224="CAD",IFERROR(VLOOKUP(D1224,CAARStatus!$A$1:$Y$1600,16,FALSE),0),0)</f>
        <v>0</v>
      </c>
      <c r="AL1224" s="13">
        <f>-IF(AG1224="USD",IFERROR(VLOOKUP(D1224,CAARStatus!$A$1:$Y$1600,11,FALSE),0),0)</f>
        <v>0</v>
      </c>
      <c r="AM1224" s="22" t="str">
        <f t="shared" si="432"/>
        <v/>
      </c>
      <c r="AN1224" s="12">
        <f t="shared" si="433"/>
        <v>3864.77</v>
      </c>
      <c r="AO1224" s="12" t="str">
        <f t="shared" si="434"/>
        <v>Pend</v>
      </c>
      <c r="AP1224" t="str">
        <f t="shared" si="435"/>
        <v>Pend</v>
      </c>
      <c r="AQ1224" t="str">
        <f>IFERROR(VLOOKUP(Z1224,InvBal!$L$4:$P$600,4,FALSE),"Pend")</f>
        <v>Pend</v>
      </c>
      <c r="AR1224" t="str">
        <f>IFERROR(VLOOKUP(D1224,Manual!$C$1:$E$22,2,FALSE),"Pend")</f>
        <v>Pend</v>
      </c>
      <c r="AS1224" t="str">
        <f t="shared" si="436"/>
        <v/>
      </c>
      <c r="AT1224" t="str">
        <f t="shared" si="437"/>
        <v/>
      </c>
      <c r="AU1224" s="51" t="str">
        <f t="shared" si="438"/>
        <v/>
      </c>
      <c r="AV1224" s="12">
        <f>IFERROR(VLOOKUP(D1224,'Receivable Invoice Detail'!$S$1:$U$3014,3,FALSE),0)</f>
        <v>0</v>
      </c>
      <c r="AW1224" s="12">
        <f t="shared" si="439"/>
        <v>0</v>
      </c>
    </row>
    <row r="1225" spans="1:49" ht="30" x14ac:dyDescent="0.25">
      <c r="A1225" s="2">
        <v>0</v>
      </c>
      <c r="B1225" s="2" t="s">
        <v>127</v>
      </c>
      <c r="C1225" s="2" t="s">
        <v>128</v>
      </c>
      <c r="D1225" s="2"/>
      <c r="E1225" s="2" t="s">
        <v>129</v>
      </c>
      <c r="F1225" s="3">
        <v>45982.636076388888</v>
      </c>
      <c r="G1225" s="3">
        <v>45982.636111111111</v>
      </c>
      <c r="H1225" s="4">
        <v>45996</v>
      </c>
      <c r="I1225" s="2" t="s">
        <v>130</v>
      </c>
      <c r="J1225" s="2" t="s">
        <v>51</v>
      </c>
      <c r="K1225" s="2">
        <v>0.71166354456386371</v>
      </c>
      <c r="L1225" s="2">
        <v>421.54751678878279</v>
      </c>
      <c r="M1225" s="2">
        <v>0</v>
      </c>
      <c r="N1225" s="2">
        <v>300</v>
      </c>
      <c r="O1225" s="2">
        <v>300</v>
      </c>
      <c r="P1225" s="2"/>
      <c r="Q1225" s="2">
        <v>300</v>
      </c>
      <c r="R1225" s="2" t="s">
        <v>29</v>
      </c>
      <c r="S1225" s="2"/>
      <c r="T1225" s="2">
        <f t="shared" si="420"/>
        <v>0</v>
      </c>
      <c r="U1225" s="18">
        <f t="shared" si="421"/>
        <v>11</v>
      </c>
      <c r="V1225" s="18">
        <f t="shared" si="440"/>
        <v>2025</v>
      </c>
      <c r="W1225" s="18" t="str">
        <f t="shared" si="422"/>
        <v/>
      </c>
      <c r="X1225" s="18" t="str">
        <f t="shared" si="441"/>
        <v/>
      </c>
      <c r="Y1225" s="2">
        <f t="shared" si="423"/>
        <v>0.71166354456386371</v>
      </c>
      <c r="Z1225" t="str">
        <f t="shared" si="424"/>
        <v>SO18287</v>
      </c>
      <c r="AA1225" s="11">
        <f t="shared" si="425"/>
        <v>45982.636076388888</v>
      </c>
      <c r="AB1225" s="5" t="str">
        <f t="shared" si="426"/>
        <v>No Inv</v>
      </c>
      <c r="AC1225" s="5" t="str">
        <f>IFERROR(VLOOKUP(D1225,CAARStatus!$A$2:$AA$1600,22,FALSE),"Not invoiced")</f>
        <v>Not invoiced</v>
      </c>
      <c r="AD1225" s="11" t="str">
        <f>IF(AC1225="Paid",IFERROR(VLOOKUP(D1225,CAARStatus!$A$2:$AA$1600,6,FALSE),"Pending"),"Pending")</f>
        <v>Pending</v>
      </c>
      <c r="AE1225" s="5" t="str">
        <f t="shared" si="427"/>
        <v>OC00231</v>
      </c>
      <c r="AF1225" s="5" t="str">
        <f t="shared" si="428"/>
        <v>Dynapro Pumps México S de RL de CV</v>
      </c>
      <c r="AG1225" s="5" t="str">
        <f t="shared" si="429"/>
        <v>USD</v>
      </c>
      <c r="AH1225" s="5">
        <f t="shared" si="430"/>
        <v>421.54751678878279</v>
      </c>
      <c r="AI1225" s="12">
        <f>IF(L1225-N1225=0,VLOOKUP(U1225,rate!A$4:B$15,2,FALSE)*AH1225,IF(AG1225="USD",O1225,AH1225*Y1225))</f>
        <v>300</v>
      </c>
      <c r="AJ1225" s="13">
        <f t="shared" si="431"/>
        <v>0.71166354456386371</v>
      </c>
      <c r="AK1225" s="13">
        <f>-IF(AG1225="CAD",IFERROR(VLOOKUP(D1225,CAARStatus!$A$1:$Y$1600,16,FALSE),0),0)</f>
        <v>0</v>
      </c>
      <c r="AL1225" s="13">
        <f>-IF(AG1225="USD",IFERROR(VLOOKUP(D1225,CAARStatus!$A$1:$Y$1600,11,FALSE),0),0)</f>
        <v>0</v>
      </c>
      <c r="AM1225" s="22" t="str">
        <f t="shared" si="432"/>
        <v/>
      </c>
      <c r="AN1225" s="12">
        <f t="shared" si="433"/>
        <v>300</v>
      </c>
      <c r="AO1225" s="12" t="str">
        <f t="shared" si="434"/>
        <v>Pend</v>
      </c>
      <c r="AP1225" t="str">
        <f t="shared" si="435"/>
        <v>Pend</v>
      </c>
      <c r="AQ1225" t="str">
        <f>IFERROR(VLOOKUP(Z1225,InvBal!$L$4:$P$600,4,FALSE),"Pend")</f>
        <v>Pend</v>
      </c>
      <c r="AR1225" t="str">
        <f>IFERROR(VLOOKUP(D1225,Manual!$C$1:$E$22,2,FALSE),"Pend")</f>
        <v>Pend</v>
      </c>
      <c r="AS1225" t="str">
        <f t="shared" si="436"/>
        <v/>
      </c>
      <c r="AT1225" t="str">
        <f t="shared" si="437"/>
        <v/>
      </c>
      <c r="AU1225" s="51" t="str">
        <f t="shared" si="438"/>
        <v/>
      </c>
      <c r="AV1225" s="12">
        <f>IFERROR(VLOOKUP(D1225,'Receivable Invoice Detail'!$S$1:$U$3014,3,FALSE),0)</f>
        <v>0</v>
      </c>
      <c r="AW1225" s="12">
        <f t="shared" si="439"/>
        <v>0</v>
      </c>
    </row>
    <row r="1226" spans="1:49" ht="30" x14ac:dyDescent="0.25">
      <c r="A1226" s="2">
        <v>1</v>
      </c>
      <c r="B1226" s="2" t="s">
        <v>119</v>
      </c>
      <c r="C1226" s="2" t="s">
        <v>120</v>
      </c>
      <c r="D1226" s="2" t="s">
        <v>3382</v>
      </c>
      <c r="E1226" s="2" t="s">
        <v>121</v>
      </c>
      <c r="F1226" s="3">
        <v>45982.737743055557</v>
      </c>
      <c r="G1226" s="3">
        <v>45982.738287037027</v>
      </c>
      <c r="H1226" s="4">
        <v>45987</v>
      </c>
      <c r="I1226" s="2" t="s">
        <v>21</v>
      </c>
      <c r="J1226" s="2" t="s">
        <v>22</v>
      </c>
      <c r="K1226" s="2">
        <v>1</v>
      </c>
      <c r="L1226" s="2">
        <v>1920.14</v>
      </c>
      <c r="M1226" s="2">
        <v>1920.14</v>
      </c>
      <c r="N1226" s="2">
        <v>1920.14</v>
      </c>
      <c r="O1226" s="2">
        <v>1828.7</v>
      </c>
      <c r="P1226" s="2">
        <v>91.44</v>
      </c>
      <c r="Q1226" s="2">
        <v>1920.14</v>
      </c>
      <c r="R1226" s="2" t="s">
        <v>44</v>
      </c>
      <c r="S1226" s="2"/>
      <c r="T1226" s="2">
        <f t="shared" si="420"/>
        <v>1</v>
      </c>
      <c r="U1226" s="18">
        <f t="shared" si="421"/>
        <v>11</v>
      </c>
      <c r="V1226" s="18">
        <f t="shared" si="440"/>
        <v>2025</v>
      </c>
      <c r="W1226" s="18" t="str">
        <f t="shared" si="422"/>
        <v/>
      </c>
      <c r="X1226" s="18" t="str">
        <f t="shared" si="441"/>
        <v/>
      </c>
      <c r="Y1226" s="2">
        <f t="shared" si="423"/>
        <v>1</v>
      </c>
      <c r="Z1226" t="str">
        <f t="shared" si="424"/>
        <v>SO18289</v>
      </c>
      <c r="AA1226" s="11">
        <f t="shared" si="425"/>
        <v>45982.737743055557</v>
      </c>
      <c r="AB1226" s="5" t="str">
        <f t="shared" si="426"/>
        <v>INV13699</v>
      </c>
      <c r="AC1226" s="5" t="str">
        <f>IFERROR(VLOOKUP(D1226,CAARStatus!$A$2:$AA$1600,22,FALSE),"Not invoiced")</f>
        <v>Approved</v>
      </c>
      <c r="AD1226" s="11" t="str">
        <f>IF(AC1226="Paid",IFERROR(VLOOKUP(D1226,CAARStatus!$A$2:$AA$1600,6,FALSE),"Pending"),"Pending")</f>
        <v>Pending</v>
      </c>
      <c r="AE1226" s="5" t="str">
        <f t="shared" si="427"/>
        <v>C003711363</v>
      </c>
      <c r="AF1226" s="5" t="str">
        <f t="shared" si="428"/>
        <v>Glencore Canada Corporation - Rouyn-Noranda</v>
      </c>
      <c r="AG1226" s="5" t="str">
        <f t="shared" si="429"/>
        <v>CAD</v>
      </c>
      <c r="AH1226" s="5">
        <f t="shared" si="430"/>
        <v>1828.7</v>
      </c>
      <c r="AI1226" s="12">
        <f>IF(L1226-N1226=0,VLOOKUP(U1226,rate!A$4:B$15,2,FALSE)*AH1226,IF(AG1226="USD",O1226,AH1226*Y1226))</f>
        <v>1306.6580441492104</v>
      </c>
      <c r="AJ1226" s="13">
        <f t="shared" si="431"/>
        <v>0.71452837761754817</v>
      </c>
      <c r="AK1226" s="13">
        <f>-IF(AG1226="CAD",IFERROR(VLOOKUP(D1226,CAARStatus!$A$1:$Y$1600,16,FALSE),0),0)</f>
        <v>-1828.7</v>
      </c>
      <c r="AL1226" s="13">
        <f>-IF(AG1226="USD",IFERROR(VLOOKUP(D1226,CAARStatus!$A$1:$Y$1600,11,FALSE),0),0)</f>
        <v>0</v>
      </c>
      <c r="AM1226" s="22">
        <f t="shared" si="432"/>
        <v>0</v>
      </c>
      <c r="AN1226" s="12" t="str">
        <f t="shared" si="433"/>
        <v/>
      </c>
      <c r="AO1226" s="12" t="str">
        <f t="shared" si="434"/>
        <v>Pend</v>
      </c>
      <c r="AP1226" t="str">
        <f t="shared" si="435"/>
        <v>Pend</v>
      </c>
      <c r="AQ1226" t="str">
        <f>IFERROR(VLOOKUP(Z1226,InvBal!$L$4:$P$600,4,FALSE),"Pend")</f>
        <v>Pend</v>
      </c>
      <c r="AR1226" t="str">
        <f>IFERROR(VLOOKUP(D1226,Manual!$C$1:$E$22,2,FALSE),"Pend")</f>
        <v>Pend</v>
      </c>
      <c r="AS1226" t="str">
        <f t="shared" si="436"/>
        <v/>
      </c>
      <c r="AT1226" t="str">
        <f t="shared" si="437"/>
        <v>Yes</v>
      </c>
      <c r="AU1226" s="51" t="str">
        <f t="shared" si="438"/>
        <v/>
      </c>
      <c r="AV1226" s="12">
        <f>IFERROR(VLOOKUP(D1226,'Receivable Invoice Detail'!$S$1:$U$3014,3,FALSE),0)</f>
        <v>0</v>
      </c>
      <c r="AW1226" s="12">
        <f t="shared" si="439"/>
        <v>0</v>
      </c>
    </row>
    <row r="1227" spans="1:49" ht="30" x14ac:dyDescent="0.25">
      <c r="A1227" s="2">
        <v>1</v>
      </c>
      <c r="B1227" s="2" t="s">
        <v>117</v>
      </c>
      <c r="C1227" s="2" t="s">
        <v>118</v>
      </c>
      <c r="D1227" s="2" t="s">
        <v>5953</v>
      </c>
      <c r="E1227" s="2" t="s">
        <v>20</v>
      </c>
      <c r="F1227" s="3">
        <v>45985.376400462963</v>
      </c>
      <c r="G1227" s="3">
        <v>45985.379027777781</v>
      </c>
      <c r="H1227" s="4">
        <v>45987</v>
      </c>
      <c r="I1227" s="2" t="s">
        <v>21</v>
      </c>
      <c r="J1227" s="2" t="s">
        <v>22</v>
      </c>
      <c r="K1227" s="2">
        <v>1</v>
      </c>
      <c r="L1227" s="2">
        <v>3136.64</v>
      </c>
      <c r="M1227" s="2">
        <v>0</v>
      </c>
      <c r="N1227" s="2">
        <v>2222.652553769025</v>
      </c>
      <c r="O1227" s="2">
        <v>2987.28</v>
      </c>
      <c r="P1227" s="2">
        <v>149.36000000000001</v>
      </c>
      <c r="Q1227" s="2">
        <v>3136.64</v>
      </c>
      <c r="R1227" s="2" t="s">
        <v>44</v>
      </c>
      <c r="S1227" s="2"/>
      <c r="T1227" s="2">
        <f t="shared" si="420"/>
        <v>1</v>
      </c>
      <c r="U1227" s="18">
        <f t="shared" si="421"/>
        <v>11</v>
      </c>
      <c r="V1227" s="18">
        <f t="shared" si="440"/>
        <v>2025</v>
      </c>
      <c r="W1227" s="18" t="str">
        <f t="shared" si="422"/>
        <v/>
      </c>
      <c r="X1227" s="18" t="str">
        <f t="shared" si="441"/>
        <v/>
      </c>
      <c r="Y1227" s="2">
        <f t="shared" si="423"/>
        <v>0.70860938895411174</v>
      </c>
      <c r="Z1227" t="str">
        <f t="shared" si="424"/>
        <v>SO18292</v>
      </c>
      <c r="AA1227" s="11">
        <f t="shared" si="425"/>
        <v>45985.376400462963</v>
      </c>
      <c r="AB1227" s="5" t="str">
        <f t="shared" si="426"/>
        <v>INV13729</v>
      </c>
      <c r="AC1227" s="5" t="str">
        <f>IFERROR(VLOOKUP(D1227,CAARStatus!$A$2:$AA$1600,22,FALSE),"Not invoiced")</f>
        <v>Approved</v>
      </c>
      <c r="AD1227" s="11" t="str">
        <f>IF(AC1227="Paid",IFERROR(VLOOKUP(D1227,CAARStatus!$A$2:$AA$1600,6,FALSE),"Pending"),"Pending")</f>
        <v>Pending</v>
      </c>
      <c r="AE1227" s="5" t="str">
        <f t="shared" si="427"/>
        <v>4500623506</v>
      </c>
      <c r="AF1227" s="5" t="str">
        <f t="shared" si="428"/>
        <v>Resolute Forest Products - Saint-Felicien</v>
      </c>
      <c r="AG1227" s="5" t="str">
        <f t="shared" si="429"/>
        <v>CAD</v>
      </c>
      <c r="AH1227" s="5">
        <f t="shared" si="430"/>
        <v>2987.28</v>
      </c>
      <c r="AI1227" s="12">
        <f>IF(L1227-N1227=0,VLOOKUP(U1227,rate!A$4:B$15,2,FALSE)*AH1227,IF(AG1227="USD",O1227,AH1227*Y1227))</f>
        <v>2116.8146554348391</v>
      </c>
      <c r="AJ1227" s="13">
        <f t="shared" si="431"/>
        <v>0.70860938895411174</v>
      </c>
      <c r="AK1227" s="13">
        <f>-IF(AG1227="CAD",IFERROR(VLOOKUP(D1227,CAARStatus!$A$1:$Y$1600,16,FALSE),0),0)</f>
        <v>-2987.28</v>
      </c>
      <c r="AL1227" s="13">
        <f>-IF(AG1227="USD",IFERROR(VLOOKUP(D1227,CAARStatus!$A$1:$Y$1600,11,FALSE),0),0)</f>
        <v>0</v>
      </c>
      <c r="AM1227" s="22">
        <f t="shared" si="432"/>
        <v>0</v>
      </c>
      <c r="AN1227" s="12" t="str">
        <f t="shared" si="433"/>
        <v/>
      </c>
      <c r="AO1227" s="12" t="str">
        <f t="shared" si="434"/>
        <v>Pend</v>
      </c>
      <c r="AP1227" t="str">
        <f t="shared" si="435"/>
        <v>Pend</v>
      </c>
      <c r="AQ1227" t="str">
        <f>IFERROR(VLOOKUP(Z1227,InvBal!$L$4:$P$600,4,FALSE),"Pend")</f>
        <v>Pend</v>
      </c>
      <c r="AR1227" t="str">
        <f>IFERROR(VLOOKUP(D1227,Manual!$C$1:$E$22,2,FALSE),"Pend")</f>
        <v>Pend</v>
      </c>
      <c r="AS1227" t="str">
        <f t="shared" si="436"/>
        <v/>
      </c>
      <c r="AT1227" t="str">
        <f t="shared" si="437"/>
        <v>Yes</v>
      </c>
      <c r="AU1227" s="51" t="str">
        <f t="shared" si="438"/>
        <v/>
      </c>
      <c r="AV1227" s="12">
        <f>IFERROR(VLOOKUP(D1227,'Receivable Invoice Detail'!$S$1:$U$3014,3,FALSE),0)</f>
        <v>0</v>
      </c>
      <c r="AW1227" s="12">
        <f t="shared" si="439"/>
        <v>0</v>
      </c>
    </row>
    <row r="1228" spans="1:49" ht="30" x14ac:dyDescent="0.25">
      <c r="A1228" s="2">
        <v>1</v>
      </c>
      <c r="B1228" s="2" t="s">
        <v>115</v>
      </c>
      <c r="C1228" s="2" t="s">
        <v>116</v>
      </c>
      <c r="D1228" s="2" t="s">
        <v>5952</v>
      </c>
      <c r="E1228" s="2" t="s">
        <v>20</v>
      </c>
      <c r="F1228" s="3">
        <v>45985.388368055559</v>
      </c>
      <c r="G1228" s="3">
        <v>45985.389270833337</v>
      </c>
      <c r="H1228" s="4">
        <v>45987</v>
      </c>
      <c r="I1228" s="2" t="s">
        <v>21</v>
      </c>
      <c r="J1228" s="2" t="s">
        <v>22</v>
      </c>
      <c r="K1228" s="2">
        <v>1</v>
      </c>
      <c r="L1228" s="2">
        <v>632.49</v>
      </c>
      <c r="M1228" s="2">
        <v>0</v>
      </c>
      <c r="N1228" s="2">
        <v>448.18835241958612</v>
      </c>
      <c r="O1228" s="2">
        <v>559.73</v>
      </c>
      <c r="P1228" s="2">
        <v>72.760000000000005</v>
      </c>
      <c r="Q1228" s="2">
        <v>632.49</v>
      </c>
      <c r="R1228" s="2" t="s">
        <v>44</v>
      </c>
      <c r="S1228" s="2"/>
      <c r="T1228" s="2">
        <f t="shared" si="420"/>
        <v>1</v>
      </c>
      <c r="U1228" s="18">
        <f t="shared" si="421"/>
        <v>11</v>
      </c>
      <c r="V1228" s="18">
        <f t="shared" si="440"/>
        <v>2025</v>
      </c>
      <c r="W1228" s="18" t="str">
        <f t="shared" si="422"/>
        <v/>
      </c>
      <c r="X1228" s="18" t="str">
        <f t="shared" si="441"/>
        <v/>
      </c>
      <c r="Y1228" s="2">
        <f t="shared" si="423"/>
        <v>0.70860938895411174</v>
      </c>
      <c r="Z1228" t="str">
        <f t="shared" si="424"/>
        <v>SO18293</v>
      </c>
      <c r="AA1228" s="11">
        <f t="shared" si="425"/>
        <v>45985.388368055559</v>
      </c>
      <c r="AB1228" s="5" t="str">
        <f t="shared" si="426"/>
        <v>INV13728</v>
      </c>
      <c r="AC1228" s="5" t="str">
        <f>IFERROR(VLOOKUP(D1228,CAARStatus!$A$2:$AA$1600,22,FALSE),"Not invoiced")</f>
        <v>Approved</v>
      </c>
      <c r="AD1228" s="11" t="str">
        <f>IF(AC1228="Paid",IFERROR(VLOOKUP(D1228,CAARStatus!$A$2:$AA$1600,6,FALSE),"Pending"),"Pending")</f>
        <v>Pending</v>
      </c>
      <c r="AE1228" s="5" t="str">
        <f t="shared" si="427"/>
        <v>4500623507</v>
      </c>
      <c r="AF1228" s="5" t="str">
        <f t="shared" si="428"/>
        <v>Resolute Forest Products - Saint-Felicien</v>
      </c>
      <c r="AG1228" s="5" t="str">
        <f t="shared" si="429"/>
        <v>CAD</v>
      </c>
      <c r="AH1228" s="5">
        <f t="shared" si="430"/>
        <v>559.73</v>
      </c>
      <c r="AI1228" s="12">
        <f>IF(L1228-N1228=0,VLOOKUP(U1228,rate!A$4:B$15,2,FALSE)*AH1228,IF(AG1228="USD",O1228,AH1228*Y1228))</f>
        <v>396.62993327928496</v>
      </c>
      <c r="AJ1228" s="13">
        <f t="shared" si="431"/>
        <v>0.70860938895411174</v>
      </c>
      <c r="AK1228" s="13">
        <f>-IF(AG1228="CAD",IFERROR(VLOOKUP(D1228,CAARStatus!$A$1:$Y$1600,16,FALSE),0),0)</f>
        <v>-559.73</v>
      </c>
      <c r="AL1228" s="13">
        <f>-IF(AG1228="USD",IFERROR(VLOOKUP(D1228,CAARStatus!$A$1:$Y$1600,11,FALSE),0),0)</f>
        <v>0</v>
      </c>
      <c r="AM1228" s="22">
        <f t="shared" si="432"/>
        <v>0</v>
      </c>
      <c r="AN1228" s="12" t="str">
        <f t="shared" si="433"/>
        <v/>
      </c>
      <c r="AO1228" s="12" t="str">
        <f t="shared" si="434"/>
        <v>Pend</v>
      </c>
      <c r="AP1228" t="str">
        <f t="shared" si="435"/>
        <v>Pend</v>
      </c>
      <c r="AQ1228" t="str">
        <f>IFERROR(VLOOKUP(Z1228,InvBal!$L$4:$P$600,4,FALSE),"Pend")</f>
        <v>Pend</v>
      </c>
      <c r="AR1228" t="str">
        <f>IFERROR(VLOOKUP(D1228,Manual!$C$1:$E$22,2,FALSE),"Pend")</f>
        <v>Pend</v>
      </c>
      <c r="AS1228" t="str">
        <f t="shared" si="436"/>
        <v/>
      </c>
      <c r="AT1228" t="str">
        <f t="shared" si="437"/>
        <v>Yes</v>
      </c>
      <c r="AU1228" s="51" t="str">
        <f t="shared" si="438"/>
        <v/>
      </c>
      <c r="AV1228" s="12">
        <f>IFERROR(VLOOKUP(D1228,'Receivable Invoice Detail'!$S$1:$U$3014,3,FALSE),0)</f>
        <v>0</v>
      </c>
      <c r="AW1228" s="12">
        <f t="shared" si="439"/>
        <v>0</v>
      </c>
    </row>
    <row r="1229" spans="1:49" x14ac:dyDescent="0.25">
      <c r="A1229" s="2">
        <v>0</v>
      </c>
      <c r="B1229" s="2" t="s">
        <v>5866</v>
      </c>
      <c r="C1229" s="2" t="s">
        <v>5867</v>
      </c>
      <c r="D1229" s="2"/>
      <c r="E1229" s="2" t="s">
        <v>239</v>
      </c>
      <c r="F1229" s="3">
        <v>45985.394942129627</v>
      </c>
      <c r="G1229" s="3">
        <v>45992.442175925928</v>
      </c>
      <c r="H1229" s="4">
        <v>46089</v>
      </c>
      <c r="I1229" s="2" t="s">
        <v>180</v>
      </c>
      <c r="J1229" s="2" t="s">
        <v>22</v>
      </c>
      <c r="K1229" s="2">
        <v>1</v>
      </c>
      <c r="L1229" s="2">
        <v>4475</v>
      </c>
      <c r="M1229" s="2">
        <v>0</v>
      </c>
      <c r="N1229" s="2">
        <v>3200.5198199589918</v>
      </c>
      <c r="O1229" s="2">
        <v>4475</v>
      </c>
      <c r="P1229" s="2"/>
      <c r="Q1229" s="2">
        <v>4475</v>
      </c>
      <c r="R1229" s="2" t="s">
        <v>29</v>
      </c>
      <c r="S1229" s="2"/>
      <c r="T1229" s="2">
        <f t="shared" ref="T1229:T1292" si="442">IF(A1229="",T1228,A1229)</f>
        <v>0</v>
      </c>
      <c r="U1229" s="18">
        <f t="shared" ref="U1229:U1292" si="443">IF(F1229="",U1228,MONTH(F1229))</f>
        <v>11</v>
      </c>
      <c r="V1229" s="18">
        <f t="shared" ref="V1229:V1292" si="444">IF(F1229="",V1228,YEAR(F1229))</f>
        <v>2025</v>
      </c>
      <c r="W1229" s="18" t="str">
        <f t="shared" ref="W1229:W1292" si="445">IF(AC1229="Paid",MONTH(AD1229),"")</f>
        <v/>
      </c>
      <c r="X1229" s="18" t="str">
        <f t="shared" ref="X1229:X1292" si="446">IF(AC1229="Paid",YEAR(AD1229),"")</f>
        <v/>
      </c>
      <c r="Y1229" s="2">
        <f t="shared" ref="Y1229:Y1292" si="447">IF(C1229="",Y1228,N1229/L1229)</f>
        <v>0.7151999597673725</v>
      </c>
      <c r="Z1229" t="str">
        <f t="shared" ref="Z1229:Z1292" si="448">IF(B1229="",Z1228,B1229)</f>
        <v>SO18295</v>
      </c>
      <c r="AA1229" s="11">
        <f t="shared" ref="AA1229:AA1292" si="449">IF(F1229="",AA1228,F1229)</f>
        <v>45985.394942129627</v>
      </c>
      <c r="AB1229" s="5" t="str">
        <f t="shared" ref="AB1229:AB1292" si="450">IF(D1229="","No Inv",D1229)</f>
        <v>No Inv</v>
      </c>
      <c r="AC1229" s="5" t="str">
        <f>IFERROR(VLOOKUP(D1229,CAARStatus!$A$2:$AA$1600,22,FALSE),"Not invoiced")</f>
        <v>Not invoiced</v>
      </c>
      <c r="AD1229" s="11" t="str">
        <f>IF(AC1229="Paid",IFERROR(VLOOKUP(D1229,CAARStatus!$A$2:$AA$1600,6,FALSE),"Pending"),"Pending")</f>
        <v>Pending</v>
      </c>
      <c r="AE1229" s="5" t="str">
        <f t="shared" ref="AE1229:AE1292" si="451">IF(C1229="",AE1228,C1229)</f>
        <v>1066</v>
      </c>
      <c r="AF1229" s="5" t="str">
        <f t="shared" ref="AF1229:AF1292" si="452">IF(E1229="",AF1228,E1229)</f>
        <v>Mill-Right Mine Services Inc.</v>
      </c>
      <c r="AG1229" s="5" t="str">
        <f t="shared" ref="AG1229:AG1292" si="453">IF(J1229="",AG1228,J1229)</f>
        <v>CAD</v>
      </c>
      <c r="AH1229" s="5">
        <f t="shared" ref="AH1229:AH1292" si="454">IFERROR(IF(AG1229="CAD",O1229,O1229/K1229),0)</f>
        <v>4475</v>
      </c>
      <c r="AI1229" s="12">
        <f>IF(L1229-N1229=0,VLOOKUP(U1229,rate!A$4:B$15,2,FALSE)*AH1229,IF(AG1229="USD",O1229,AH1229*Y1229))</f>
        <v>3200.5198199589918</v>
      </c>
      <c r="AJ1229" s="13">
        <f t="shared" ref="AJ1229:AJ1292" si="455">IFERROR(AI1229/AH1229,0)</f>
        <v>0.7151999597673725</v>
      </c>
      <c r="AK1229" s="13">
        <f>-IF(AG1229="CAD",IFERROR(VLOOKUP(D1229,CAARStatus!$A$1:$Y$1600,16,FALSE),0),0)</f>
        <v>0</v>
      </c>
      <c r="AL1229" s="13">
        <f>-IF(AG1229="USD",IFERROR(VLOOKUP(D1229,CAARStatus!$A$1:$Y$1600,11,FALSE),0),0)</f>
        <v>0</v>
      </c>
      <c r="AM1229" s="22">
        <f t="shared" ref="AM1229:AM1292" si="456">IF(AG1229="CAD",AH1229+AK1229,"")</f>
        <v>4475</v>
      </c>
      <c r="AN1229" s="12" t="str">
        <f t="shared" ref="AN1229:AN1292" si="457">IF(AG1229="USD",AI1229+AL1229,"")</f>
        <v/>
      </c>
      <c r="AO1229" s="12" t="str">
        <f t="shared" ref="AO1229:AO1292" si="458">IF(AC1229="Paid","Yes","Pend")</f>
        <v>Pend</v>
      </c>
      <c r="AP1229" t="str">
        <f t="shared" ref="AP1229:AP1292" si="459">IF(AND(AO1229="Pend",T1229&lt;2),"Pend",IF(T1229=1,"Yes","XX"))</f>
        <v>Pend</v>
      </c>
      <c r="AQ1229" t="str">
        <f>IFERROR(VLOOKUP(Z1229,InvBal!$L$4:$P$600,4,FALSE),"Pend")</f>
        <v>Pend</v>
      </c>
      <c r="AR1229" t="str">
        <f>IFERROR(VLOOKUP(D1229,Manual!$C$1:$E$22,2,FALSE),"Pend")</f>
        <v>Pend</v>
      </c>
      <c r="AS1229" t="str">
        <f t="shared" ref="AS1229:AS1292" si="460">IF(OR(AP1229="Yes",AQ1229="Yes",AR1229="Yes"),"Yes","")</f>
        <v/>
      </c>
      <c r="AT1229" t="str">
        <f t="shared" ref="AT1229:AT1292" si="461">IF(R1229="Delivered","Yes","")</f>
        <v/>
      </c>
      <c r="AU1229" s="51" t="str">
        <f t="shared" ref="AU1229:AU1292" si="462">IF(AND(AS1229="Yes",AT1229="Yes"),"Yes","")</f>
        <v/>
      </c>
      <c r="AV1229" s="12">
        <f>IFERROR(VLOOKUP(D1229,'Receivable Invoice Detail'!$S$1:$U$3014,3,FALSE),0)</f>
        <v>0</v>
      </c>
      <c r="AW1229" s="12">
        <f t="shared" ref="AW1229:AW1292" si="463">IF(AU1229="Yes",AI1229-AV1229,0)</f>
        <v>0</v>
      </c>
    </row>
    <row r="1230" spans="1:49" x14ac:dyDescent="0.25">
      <c r="A1230" s="2">
        <v>1</v>
      </c>
      <c r="B1230" s="2" t="s">
        <v>110</v>
      </c>
      <c r="C1230" s="2" t="s">
        <v>111</v>
      </c>
      <c r="D1230" s="2" t="s">
        <v>3384</v>
      </c>
      <c r="E1230" s="2" t="s">
        <v>64</v>
      </c>
      <c r="F1230" s="3">
        <v>45985.522407407407</v>
      </c>
      <c r="G1230" s="3">
        <v>45985.522662037038</v>
      </c>
      <c r="H1230" s="4">
        <v>45986</v>
      </c>
      <c r="I1230" s="2" t="s">
        <v>21</v>
      </c>
      <c r="J1230" s="2" t="s">
        <v>22</v>
      </c>
      <c r="K1230" s="2">
        <v>1</v>
      </c>
      <c r="L1230" s="2">
        <v>236.37</v>
      </c>
      <c r="M1230" s="2">
        <v>0</v>
      </c>
      <c r="N1230" s="2">
        <v>167.49400126708341</v>
      </c>
      <c r="O1230" s="2">
        <v>209.18</v>
      </c>
      <c r="P1230" s="2">
        <v>27.19</v>
      </c>
      <c r="Q1230" s="2">
        <v>236.37</v>
      </c>
      <c r="R1230" s="2" t="s">
        <v>44</v>
      </c>
      <c r="S1230" s="2"/>
      <c r="T1230" s="2">
        <f t="shared" si="442"/>
        <v>1</v>
      </c>
      <c r="U1230" s="18">
        <f t="shared" si="443"/>
        <v>11</v>
      </c>
      <c r="V1230" s="18">
        <f t="shared" si="444"/>
        <v>2025</v>
      </c>
      <c r="W1230" s="18">
        <f t="shared" si="445"/>
        <v>12</v>
      </c>
      <c r="X1230" s="18">
        <f t="shared" si="446"/>
        <v>2025</v>
      </c>
      <c r="Y1230" s="2">
        <f t="shared" si="447"/>
        <v>0.70860938895411174</v>
      </c>
      <c r="Z1230" t="str">
        <f t="shared" si="448"/>
        <v>SO18296</v>
      </c>
      <c r="AA1230" s="11">
        <f t="shared" si="449"/>
        <v>45985.522407407407</v>
      </c>
      <c r="AB1230" s="5" t="str">
        <f t="shared" si="450"/>
        <v>INV13700</v>
      </c>
      <c r="AC1230" s="5" t="str">
        <f>IFERROR(VLOOKUP(D1230,CAARStatus!$A$2:$AA$1600,22,FALSE),"Not invoiced")</f>
        <v>Paid</v>
      </c>
      <c r="AD1230" s="11">
        <f>IF(AC1230="Paid",IFERROR(VLOOKUP(D1230,CAARStatus!$A$2:$AA$1600,6,FALSE),"Pending"),"Pending")</f>
        <v>46020</v>
      </c>
      <c r="AE1230" s="5" t="str">
        <f t="shared" si="451"/>
        <v>607081</v>
      </c>
      <c r="AF1230" s="5" t="str">
        <f t="shared" si="452"/>
        <v>Sealtrac Inc.</v>
      </c>
      <c r="AG1230" s="5" t="str">
        <f t="shared" si="453"/>
        <v>CAD</v>
      </c>
      <c r="AH1230" s="5">
        <f t="shared" si="454"/>
        <v>209.18</v>
      </c>
      <c r="AI1230" s="12">
        <f>IF(L1230-N1230=0,VLOOKUP(U1230,rate!A$4:B$15,2,FALSE)*AH1230,IF(AG1230="USD",O1230,AH1230*Y1230))</f>
        <v>148.2269119814211</v>
      </c>
      <c r="AJ1230" s="13">
        <f t="shared" si="455"/>
        <v>0.70860938895411174</v>
      </c>
      <c r="AK1230" s="13">
        <f>-IF(AG1230="CAD",IFERROR(VLOOKUP(D1230,CAARStatus!$A$1:$Y$1600,16,FALSE),0),0)</f>
        <v>-209.18</v>
      </c>
      <c r="AL1230" s="13">
        <f>-IF(AG1230="USD",IFERROR(VLOOKUP(D1230,CAARStatus!$A$1:$Y$1600,11,FALSE),0),0)</f>
        <v>0</v>
      </c>
      <c r="AM1230" s="22">
        <f t="shared" si="456"/>
        <v>0</v>
      </c>
      <c r="AN1230" s="12" t="str">
        <f t="shared" si="457"/>
        <v/>
      </c>
      <c r="AO1230" s="12" t="str">
        <f t="shared" si="458"/>
        <v>Yes</v>
      </c>
      <c r="AP1230" t="str">
        <f t="shared" si="459"/>
        <v>Yes</v>
      </c>
      <c r="AQ1230" t="str">
        <f>IFERROR(VLOOKUP(Z1230,InvBal!$L$4:$P$600,4,FALSE),"Pend")</f>
        <v>Pend</v>
      </c>
      <c r="AR1230" t="str">
        <f>IFERROR(VLOOKUP(D1230,Manual!$C$1:$E$22,2,FALSE),"Pend")</f>
        <v>Pend</v>
      </c>
      <c r="AS1230" t="str">
        <f t="shared" si="460"/>
        <v>Yes</v>
      </c>
      <c r="AT1230" t="str">
        <f t="shared" si="461"/>
        <v>Yes</v>
      </c>
      <c r="AU1230" s="51" t="str">
        <f t="shared" si="462"/>
        <v>Yes</v>
      </c>
      <c r="AV1230" s="12">
        <f>IFERROR(VLOOKUP(D1230,'Receivable Invoice Detail'!$S$1:$U$3014,3,FALSE),0)</f>
        <v>0</v>
      </c>
      <c r="AW1230" s="12">
        <f t="shared" si="463"/>
        <v>148.2269119814211</v>
      </c>
    </row>
    <row r="1231" spans="1:49" ht="30" x14ac:dyDescent="0.25">
      <c r="A1231" s="2">
        <v>1</v>
      </c>
      <c r="B1231" s="2" t="s">
        <v>30</v>
      </c>
      <c r="C1231" s="2" t="s">
        <v>31</v>
      </c>
      <c r="D1231" s="2" t="s">
        <v>5968</v>
      </c>
      <c r="E1231" s="2" t="s">
        <v>32</v>
      </c>
      <c r="F1231" s="3">
        <v>45985.534155092602</v>
      </c>
      <c r="G1231" s="3">
        <v>45989.482233796298</v>
      </c>
      <c r="H1231" s="4">
        <v>46017</v>
      </c>
      <c r="I1231" s="2" t="s">
        <v>21</v>
      </c>
      <c r="J1231" s="2" t="s">
        <v>22</v>
      </c>
      <c r="K1231" s="2">
        <v>1</v>
      </c>
      <c r="L1231" s="2">
        <v>472.71</v>
      </c>
      <c r="M1231" s="2">
        <v>0</v>
      </c>
      <c r="N1231" s="2">
        <v>338.23359751671518</v>
      </c>
      <c r="O1231" s="2">
        <v>418.33</v>
      </c>
      <c r="P1231" s="2">
        <v>54.38</v>
      </c>
      <c r="Q1231" s="2">
        <v>472.71</v>
      </c>
      <c r="R1231" s="2" t="s">
        <v>44</v>
      </c>
      <c r="S1231" s="2"/>
      <c r="T1231" s="2">
        <f t="shared" si="442"/>
        <v>1</v>
      </c>
      <c r="U1231" s="18">
        <f t="shared" si="443"/>
        <v>11</v>
      </c>
      <c r="V1231" s="18">
        <f t="shared" si="444"/>
        <v>2025</v>
      </c>
      <c r="W1231" s="18" t="str">
        <f t="shared" si="445"/>
        <v/>
      </c>
      <c r="X1231" s="18" t="str">
        <f t="shared" si="446"/>
        <v/>
      </c>
      <c r="Y1231" s="2">
        <f t="shared" si="447"/>
        <v>0.71552029260374261</v>
      </c>
      <c r="Z1231" t="str">
        <f t="shared" si="448"/>
        <v>SO18297</v>
      </c>
      <c r="AA1231" s="11">
        <f t="shared" si="449"/>
        <v>45985.534155092602</v>
      </c>
      <c r="AB1231" s="5" t="str">
        <f t="shared" si="450"/>
        <v>INV13737</v>
      </c>
      <c r="AC1231" s="5" t="str">
        <f>IFERROR(VLOOKUP(D1231,CAARStatus!$A$2:$AA$1600,22,FALSE),"Not invoiced")</f>
        <v>Approved</v>
      </c>
      <c r="AD1231" s="11" t="str">
        <f>IF(AC1231="Paid",IFERROR(VLOOKUP(D1231,CAARStatus!$A$2:$AA$1600,6,FALSE),"Pending"),"Pending")</f>
        <v>Pending</v>
      </c>
      <c r="AE1231" s="5" t="str">
        <f t="shared" si="451"/>
        <v>4500919990</v>
      </c>
      <c r="AF1231" s="5" t="str">
        <f t="shared" si="452"/>
        <v>Cameco Corporation - Blind River Refinery</v>
      </c>
      <c r="AG1231" s="5" t="str">
        <f t="shared" si="453"/>
        <v>CAD</v>
      </c>
      <c r="AH1231" s="5">
        <f t="shared" si="454"/>
        <v>418.33</v>
      </c>
      <c r="AI1231" s="12">
        <f>IF(L1231-N1231=0,VLOOKUP(U1231,rate!A$4:B$15,2,FALSE)*AH1231,IF(AG1231="USD",O1231,AH1231*Y1231))</f>
        <v>299.32360400492365</v>
      </c>
      <c r="AJ1231" s="13">
        <f t="shared" si="455"/>
        <v>0.71552029260374261</v>
      </c>
      <c r="AK1231" s="13">
        <f>-IF(AG1231="CAD",IFERROR(VLOOKUP(D1231,CAARStatus!$A$1:$Y$1600,16,FALSE),0),0)</f>
        <v>-418.33</v>
      </c>
      <c r="AL1231" s="13">
        <f>-IF(AG1231="USD",IFERROR(VLOOKUP(D1231,CAARStatus!$A$1:$Y$1600,11,FALSE),0),0)</f>
        <v>0</v>
      </c>
      <c r="AM1231" s="22">
        <f t="shared" si="456"/>
        <v>0</v>
      </c>
      <c r="AN1231" s="12" t="str">
        <f t="shared" si="457"/>
        <v/>
      </c>
      <c r="AO1231" s="12" t="str">
        <f t="shared" si="458"/>
        <v>Pend</v>
      </c>
      <c r="AP1231" t="str">
        <f t="shared" si="459"/>
        <v>Pend</v>
      </c>
      <c r="AQ1231" t="str">
        <f>IFERROR(VLOOKUP(Z1231,InvBal!$L$4:$P$600,4,FALSE),"Pend")</f>
        <v>Pend</v>
      </c>
      <c r="AR1231" t="str">
        <f>IFERROR(VLOOKUP(D1231,Manual!$C$1:$E$22,2,FALSE),"Pend")</f>
        <v>Pend</v>
      </c>
      <c r="AS1231" t="str">
        <f t="shared" si="460"/>
        <v/>
      </c>
      <c r="AT1231" t="str">
        <f t="shared" si="461"/>
        <v>Yes</v>
      </c>
      <c r="AU1231" s="51" t="str">
        <f t="shared" si="462"/>
        <v/>
      </c>
      <c r="AV1231" s="12">
        <f>IFERROR(VLOOKUP(D1231,'Receivable Invoice Detail'!$S$1:$U$3014,3,FALSE),0)</f>
        <v>0</v>
      </c>
      <c r="AW1231" s="12">
        <f t="shared" si="463"/>
        <v>0</v>
      </c>
    </row>
    <row r="1232" spans="1:49" x14ac:dyDescent="0.25">
      <c r="A1232" s="2">
        <v>1</v>
      </c>
      <c r="B1232" s="2" t="s">
        <v>107</v>
      </c>
      <c r="C1232" s="2" t="s">
        <v>108</v>
      </c>
      <c r="D1232" s="2" t="s">
        <v>3385</v>
      </c>
      <c r="E1232" s="2" t="s">
        <v>109</v>
      </c>
      <c r="F1232" s="3">
        <v>45985.539664351847</v>
      </c>
      <c r="G1232" s="3">
        <v>45985.540810185194</v>
      </c>
      <c r="H1232" s="4">
        <v>45987</v>
      </c>
      <c r="I1232" s="2" t="s">
        <v>21</v>
      </c>
      <c r="J1232" s="2" t="s">
        <v>51</v>
      </c>
      <c r="K1232" s="2">
        <v>0.70945799807796472</v>
      </c>
      <c r="L1232" s="2">
        <v>8739.9113362572807</v>
      </c>
      <c r="M1232" s="2">
        <v>0</v>
      </c>
      <c r="N1232" s="2">
        <v>6200.6</v>
      </c>
      <c r="O1232" s="2">
        <v>6200.6</v>
      </c>
      <c r="P1232" s="2"/>
      <c r="Q1232" s="2">
        <v>6200.6</v>
      </c>
      <c r="R1232" s="2" t="s">
        <v>44</v>
      </c>
      <c r="S1232" s="2"/>
      <c r="T1232" s="2">
        <f t="shared" si="442"/>
        <v>1</v>
      </c>
      <c r="U1232" s="18">
        <f t="shared" si="443"/>
        <v>11</v>
      </c>
      <c r="V1232" s="18">
        <f t="shared" si="444"/>
        <v>2025</v>
      </c>
      <c r="W1232" s="18">
        <f t="shared" si="445"/>
        <v>12</v>
      </c>
      <c r="X1232" s="18">
        <f t="shared" si="446"/>
        <v>2025</v>
      </c>
      <c r="Y1232" s="2">
        <f t="shared" si="447"/>
        <v>0.70945799807796472</v>
      </c>
      <c r="Z1232" t="str">
        <f t="shared" si="448"/>
        <v>SO18298</v>
      </c>
      <c r="AA1232" s="11">
        <f t="shared" si="449"/>
        <v>45985.539664351847</v>
      </c>
      <c r="AB1232" s="5" t="str">
        <f t="shared" si="450"/>
        <v>INV13680</v>
      </c>
      <c r="AC1232" s="5" t="str">
        <f>IFERROR(VLOOKUP(D1232,CAARStatus!$A$2:$AA$1600,22,FALSE),"Not invoiced")</f>
        <v>Paid</v>
      </c>
      <c r="AD1232" s="11">
        <f>IF(AC1232="Paid",IFERROR(VLOOKUP(D1232,CAARStatus!$A$2:$AA$1600,6,FALSE),"Pending"),"Pending")</f>
        <v>46003</v>
      </c>
      <c r="AE1232" s="5" t="str">
        <f t="shared" si="451"/>
        <v>4394</v>
      </c>
      <c r="AF1232" s="5" t="str">
        <f t="shared" si="452"/>
        <v>Middle Georgia Fluid Sealing LLC</v>
      </c>
      <c r="AG1232" s="5" t="str">
        <f t="shared" si="453"/>
        <v>USD</v>
      </c>
      <c r="AH1232" s="5">
        <f t="shared" si="454"/>
        <v>8739.9113362572807</v>
      </c>
      <c r="AI1232" s="12">
        <f>IF(L1232-N1232=0,VLOOKUP(U1232,rate!A$4:B$15,2,FALSE)*AH1232,IF(AG1232="USD",O1232,AH1232*Y1232))</f>
        <v>6200.6</v>
      </c>
      <c r="AJ1232" s="13">
        <f t="shared" si="455"/>
        <v>0.70945799807796472</v>
      </c>
      <c r="AK1232" s="13">
        <f>-IF(AG1232="CAD",IFERROR(VLOOKUP(D1232,CAARStatus!$A$1:$Y$1600,16,FALSE),0),0)</f>
        <v>0</v>
      </c>
      <c r="AL1232" s="13">
        <f>-IF(AG1232="USD",IFERROR(VLOOKUP(D1232,CAARStatus!$A$1:$Y$1600,11,FALSE),0),0)</f>
        <v>-6200.6</v>
      </c>
      <c r="AM1232" s="22" t="str">
        <f t="shared" si="456"/>
        <v/>
      </c>
      <c r="AN1232" s="12">
        <f t="shared" si="457"/>
        <v>0</v>
      </c>
      <c r="AO1232" s="12" t="str">
        <f t="shared" si="458"/>
        <v>Yes</v>
      </c>
      <c r="AP1232" t="str">
        <f t="shared" si="459"/>
        <v>Yes</v>
      </c>
      <c r="AQ1232" t="str">
        <f>IFERROR(VLOOKUP(Z1232,InvBal!$L$4:$P$600,4,FALSE),"Pend")</f>
        <v>Pend</v>
      </c>
      <c r="AR1232" t="str">
        <f>IFERROR(VLOOKUP(D1232,Manual!$C$1:$E$22,2,FALSE),"Pend")</f>
        <v>Pend</v>
      </c>
      <c r="AS1232" t="str">
        <f t="shared" si="460"/>
        <v>Yes</v>
      </c>
      <c r="AT1232" t="str">
        <f t="shared" si="461"/>
        <v>Yes</v>
      </c>
      <c r="AU1232" s="51" t="str">
        <f t="shared" si="462"/>
        <v>Yes</v>
      </c>
      <c r="AV1232" s="12">
        <f>IFERROR(VLOOKUP(D1232,'Receivable Invoice Detail'!$S$1:$U$3014,3,FALSE),0)</f>
        <v>664</v>
      </c>
      <c r="AW1232" s="12">
        <f t="shared" si="463"/>
        <v>5536.6</v>
      </c>
    </row>
    <row r="1233" spans="1:49" ht="30" x14ac:dyDescent="0.25">
      <c r="A1233" s="2">
        <v>1</v>
      </c>
      <c r="B1233" s="2" t="s">
        <v>102</v>
      </c>
      <c r="C1233" s="2" t="s">
        <v>103</v>
      </c>
      <c r="D1233" s="2" t="s">
        <v>3387</v>
      </c>
      <c r="E1233" s="2" t="s">
        <v>104</v>
      </c>
      <c r="F1233" s="3">
        <v>45985.562638888892</v>
      </c>
      <c r="G1233" s="3">
        <v>45985.707118055558</v>
      </c>
      <c r="H1233" s="4">
        <v>45992</v>
      </c>
      <c r="I1233" s="2" t="s">
        <v>36</v>
      </c>
      <c r="J1233" s="2" t="s">
        <v>22</v>
      </c>
      <c r="K1233" s="2">
        <v>1</v>
      </c>
      <c r="L1233" s="2">
        <v>1501.27</v>
      </c>
      <c r="M1233" s="2">
        <v>0</v>
      </c>
      <c r="N1233" s="2">
        <v>1063.814017355139</v>
      </c>
      <c r="O1233" s="2">
        <v>1429.78</v>
      </c>
      <c r="P1233" s="2">
        <v>71.489999999999995</v>
      </c>
      <c r="Q1233" s="2">
        <v>1501.27</v>
      </c>
      <c r="R1233" s="2" t="s">
        <v>44</v>
      </c>
      <c r="S1233" s="2"/>
      <c r="T1233" s="2">
        <f t="shared" si="442"/>
        <v>1</v>
      </c>
      <c r="U1233" s="18">
        <f t="shared" si="443"/>
        <v>11</v>
      </c>
      <c r="V1233" s="18">
        <f t="shared" si="444"/>
        <v>2025</v>
      </c>
      <c r="W1233" s="18">
        <f t="shared" si="445"/>
        <v>1</v>
      </c>
      <c r="X1233" s="18">
        <f t="shared" si="446"/>
        <v>2026</v>
      </c>
      <c r="Y1233" s="2">
        <f t="shared" si="447"/>
        <v>0.70860938895411152</v>
      </c>
      <c r="Z1233" t="str">
        <f t="shared" si="448"/>
        <v>SO18300</v>
      </c>
      <c r="AA1233" s="11">
        <f t="shared" si="449"/>
        <v>45985.562638888892</v>
      </c>
      <c r="AB1233" s="5" t="str">
        <f t="shared" si="450"/>
        <v>INV13696</v>
      </c>
      <c r="AC1233" s="5" t="str">
        <f>IFERROR(VLOOKUP(D1233,CAARStatus!$A$2:$AA$1600,22,FALSE),"Not invoiced")</f>
        <v>Paid</v>
      </c>
      <c r="AD1233" s="11">
        <f>IF(AC1233="Paid",IFERROR(VLOOKUP(D1233,CAARStatus!$A$2:$AA$1600,6,FALSE),"Pending"),"Pending")</f>
        <v>46024</v>
      </c>
      <c r="AE1233" s="5" t="str">
        <f t="shared" si="451"/>
        <v>2100700060</v>
      </c>
      <c r="AF1233" s="5" t="str">
        <f t="shared" si="452"/>
        <v>Wajax Limited - Noranda, Wajax Limited - Noranda</v>
      </c>
      <c r="AG1233" s="5" t="str">
        <f t="shared" si="453"/>
        <v>CAD</v>
      </c>
      <c r="AH1233" s="5">
        <f t="shared" si="454"/>
        <v>1429.78</v>
      </c>
      <c r="AI1233" s="12">
        <f>IF(L1233-N1233=0,VLOOKUP(U1233,rate!A$4:B$15,2,FALSE)*AH1233,IF(AG1233="USD",O1233,AH1233*Y1233))</f>
        <v>1013.1555321388096</v>
      </c>
      <c r="AJ1233" s="13">
        <f t="shared" si="455"/>
        <v>0.70860938895411152</v>
      </c>
      <c r="AK1233" s="13">
        <f>-IF(AG1233="CAD",IFERROR(VLOOKUP(D1233,CAARStatus!$A$1:$Y$1600,16,FALSE),0),0)</f>
        <v>-1429.78</v>
      </c>
      <c r="AL1233" s="13">
        <f>-IF(AG1233="USD",IFERROR(VLOOKUP(D1233,CAARStatus!$A$1:$Y$1600,11,FALSE),0),0)</f>
        <v>0</v>
      </c>
      <c r="AM1233" s="22">
        <f t="shared" si="456"/>
        <v>0</v>
      </c>
      <c r="AN1233" s="12" t="str">
        <f t="shared" si="457"/>
        <v/>
      </c>
      <c r="AO1233" s="12" t="str">
        <f t="shared" si="458"/>
        <v>Yes</v>
      </c>
      <c r="AP1233" t="str">
        <f t="shared" si="459"/>
        <v>Yes</v>
      </c>
      <c r="AQ1233" t="str">
        <f>IFERROR(VLOOKUP(Z1233,InvBal!$L$4:$P$600,4,FALSE),"Pend")</f>
        <v>Pend</v>
      </c>
      <c r="AR1233" t="str">
        <f>IFERROR(VLOOKUP(D1233,Manual!$C$1:$E$22,2,FALSE),"Pend")</f>
        <v>Pend</v>
      </c>
      <c r="AS1233" t="str">
        <f t="shared" si="460"/>
        <v>Yes</v>
      </c>
      <c r="AT1233" t="str">
        <f t="shared" si="461"/>
        <v>Yes</v>
      </c>
      <c r="AU1233" s="51" t="str">
        <f t="shared" si="462"/>
        <v>Yes</v>
      </c>
      <c r="AV1233" s="12">
        <f>IFERROR(VLOOKUP(D1233,'Receivable Invoice Detail'!$S$1:$U$3014,3,FALSE),0)</f>
        <v>0</v>
      </c>
      <c r="AW1233" s="12">
        <f t="shared" si="463"/>
        <v>1013.1555321388096</v>
      </c>
    </row>
    <row r="1234" spans="1:49" ht="30" x14ac:dyDescent="0.25">
      <c r="A1234" s="2">
        <v>1</v>
      </c>
      <c r="B1234" s="2" t="s">
        <v>105</v>
      </c>
      <c r="C1234" s="2" t="s">
        <v>106</v>
      </c>
      <c r="D1234" s="2" t="s">
        <v>3386</v>
      </c>
      <c r="E1234" s="2" t="s">
        <v>98</v>
      </c>
      <c r="F1234" s="3">
        <v>45985.564409722218</v>
      </c>
      <c r="G1234" s="3">
        <v>45985.564409722218</v>
      </c>
      <c r="H1234" s="4">
        <v>45987</v>
      </c>
      <c r="I1234" s="2" t="s">
        <v>40</v>
      </c>
      <c r="J1234" s="2" t="s">
        <v>22</v>
      </c>
      <c r="K1234" s="2">
        <v>1</v>
      </c>
      <c r="L1234" s="2">
        <v>2302.27</v>
      </c>
      <c r="M1234" s="2">
        <v>0</v>
      </c>
      <c r="N1234" s="2">
        <v>1631.4101379073829</v>
      </c>
      <c r="O1234" s="2">
        <v>2037.41</v>
      </c>
      <c r="P1234" s="2">
        <v>264.86</v>
      </c>
      <c r="Q1234" s="2">
        <v>2302.27</v>
      </c>
      <c r="R1234" s="2" t="s">
        <v>44</v>
      </c>
      <c r="S1234" s="2"/>
      <c r="T1234" s="2">
        <f t="shared" si="442"/>
        <v>1</v>
      </c>
      <c r="U1234" s="18">
        <f t="shared" si="443"/>
        <v>11</v>
      </c>
      <c r="V1234" s="18">
        <f t="shared" si="444"/>
        <v>2025</v>
      </c>
      <c r="W1234" s="18">
        <f t="shared" si="445"/>
        <v>12</v>
      </c>
      <c r="X1234" s="18">
        <f t="shared" si="446"/>
        <v>2025</v>
      </c>
      <c r="Y1234" s="2">
        <f t="shared" si="447"/>
        <v>0.70860938895411174</v>
      </c>
      <c r="Z1234" t="str">
        <f t="shared" si="448"/>
        <v>SO18301</v>
      </c>
      <c r="AA1234" s="11">
        <f t="shared" si="449"/>
        <v>45985.564409722218</v>
      </c>
      <c r="AB1234" s="5" t="str">
        <f t="shared" si="450"/>
        <v>INV13703</v>
      </c>
      <c r="AC1234" s="5" t="str">
        <f>IFERROR(VLOOKUP(D1234,CAARStatus!$A$2:$AA$1600,22,FALSE),"Not invoiced")</f>
        <v>Paid</v>
      </c>
      <c r="AD1234" s="11">
        <f>IF(AC1234="Paid",IFERROR(VLOOKUP(D1234,CAARStatus!$A$2:$AA$1600,6,FALSE),"Pending"),"Pending")</f>
        <v>46022</v>
      </c>
      <c r="AE1234" s="5" t="str">
        <f t="shared" si="451"/>
        <v>PO-008456</v>
      </c>
      <c r="AF1234" s="5" t="str">
        <f t="shared" si="452"/>
        <v>Sling-Choker Manufacturing - Timmins</v>
      </c>
      <c r="AG1234" s="5" t="str">
        <f t="shared" si="453"/>
        <v>CAD</v>
      </c>
      <c r="AH1234" s="5">
        <f t="shared" si="454"/>
        <v>2037.41</v>
      </c>
      <c r="AI1234" s="12">
        <f>IF(L1234-N1234=0,VLOOKUP(U1234,rate!A$4:B$15,2,FALSE)*AH1234,IF(AG1234="USD",O1234,AH1234*Y1234))</f>
        <v>1443.7278551489969</v>
      </c>
      <c r="AJ1234" s="13">
        <f t="shared" si="455"/>
        <v>0.70860938895411174</v>
      </c>
      <c r="AK1234" s="13">
        <f>-IF(AG1234="CAD",IFERROR(VLOOKUP(D1234,CAARStatus!$A$1:$Y$1600,16,FALSE),0),0)</f>
        <v>-2037.41</v>
      </c>
      <c r="AL1234" s="13">
        <f>-IF(AG1234="USD",IFERROR(VLOOKUP(D1234,CAARStatus!$A$1:$Y$1600,11,FALSE),0),0)</f>
        <v>0</v>
      </c>
      <c r="AM1234" s="22">
        <f t="shared" si="456"/>
        <v>0</v>
      </c>
      <c r="AN1234" s="12" t="str">
        <f t="shared" si="457"/>
        <v/>
      </c>
      <c r="AO1234" s="12" t="str">
        <f t="shared" si="458"/>
        <v>Yes</v>
      </c>
      <c r="AP1234" t="str">
        <f t="shared" si="459"/>
        <v>Yes</v>
      </c>
      <c r="AQ1234" t="str">
        <f>IFERROR(VLOOKUP(Z1234,InvBal!$L$4:$P$600,4,FALSE),"Pend")</f>
        <v>Pend</v>
      </c>
      <c r="AR1234" t="str">
        <f>IFERROR(VLOOKUP(D1234,Manual!$C$1:$E$22,2,FALSE),"Pend")</f>
        <v>Pend</v>
      </c>
      <c r="AS1234" t="str">
        <f t="shared" si="460"/>
        <v>Yes</v>
      </c>
      <c r="AT1234" t="str">
        <f t="shared" si="461"/>
        <v>Yes</v>
      </c>
      <c r="AU1234" s="51" t="str">
        <f t="shared" si="462"/>
        <v>Yes</v>
      </c>
      <c r="AV1234" s="12">
        <f>IFERROR(VLOOKUP(D1234,'Receivable Invoice Detail'!$S$1:$U$3014,3,FALSE),0)</f>
        <v>0</v>
      </c>
      <c r="AW1234" s="12">
        <f t="shared" si="463"/>
        <v>1443.7278551489969</v>
      </c>
    </row>
    <row r="1235" spans="1:49" ht="30" x14ac:dyDescent="0.25">
      <c r="A1235" s="2">
        <v>0</v>
      </c>
      <c r="B1235" s="2" t="s">
        <v>37</v>
      </c>
      <c r="C1235" s="2" t="s">
        <v>38</v>
      </c>
      <c r="D1235" s="2"/>
      <c r="E1235" s="2" t="s">
        <v>39</v>
      </c>
      <c r="F1235" s="3">
        <v>45985.616238425922</v>
      </c>
      <c r="G1235" s="3">
        <v>45988.738518518519</v>
      </c>
      <c r="H1235" s="2"/>
      <c r="I1235" s="2" t="s">
        <v>40</v>
      </c>
      <c r="J1235" s="2" t="s">
        <v>22</v>
      </c>
      <c r="K1235" s="2">
        <v>1</v>
      </c>
      <c r="L1235" s="2">
        <v>6361.35</v>
      </c>
      <c r="M1235" s="2">
        <v>0</v>
      </c>
      <c r="N1235" s="2">
        <v>4533.636902597138</v>
      </c>
      <c r="O1235" s="2">
        <v>6058.43</v>
      </c>
      <c r="P1235" s="2">
        <v>302.92</v>
      </c>
      <c r="Q1235" s="2">
        <v>6361.35</v>
      </c>
      <c r="R1235" s="2" t="s">
        <v>29</v>
      </c>
      <c r="S1235" s="2"/>
      <c r="T1235" s="2">
        <f t="shared" si="442"/>
        <v>0</v>
      </c>
      <c r="U1235" s="18">
        <f t="shared" si="443"/>
        <v>11</v>
      </c>
      <c r="V1235" s="18">
        <f t="shared" si="444"/>
        <v>2025</v>
      </c>
      <c r="W1235" s="18" t="str">
        <f t="shared" si="445"/>
        <v/>
      </c>
      <c r="X1235" s="18" t="str">
        <f t="shared" si="446"/>
        <v/>
      </c>
      <c r="Y1235" s="2">
        <f t="shared" si="447"/>
        <v>0.71268471355877883</v>
      </c>
      <c r="Z1235" t="str">
        <f t="shared" si="448"/>
        <v>SO18302</v>
      </c>
      <c r="AA1235" s="11">
        <f t="shared" si="449"/>
        <v>45985.616238425922</v>
      </c>
      <c r="AB1235" s="5" t="str">
        <f t="shared" si="450"/>
        <v>No Inv</v>
      </c>
      <c r="AC1235" s="5" t="str">
        <f>IFERROR(VLOOKUP(D1235,CAARStatus!$A$2:$AA$1600,22,FALSE),"Not invoiced")</f>
        <v>Not invoiced</v>
      </c>
      <c r="AD1235" s="11" t="str">
        <f>IF(AC1235="Paid",IFERROR(VLOOKUP(D1235,CAARStatus!$A$2:$AA$1600,6,FALSE),"Pending"),"Pending")</f>
        <v>Pending</v>
      </c>
      <c r="AE1235" s="5" t="str">
        <f t="shared" si="451"/>
        <v>BC65-00082530</v>
      </c>
      <c r="AF1235" s="5" t="str">
        <f t="shared" si="452"/>
        <v>Motion Industries Inc. (Canada) - Prince George</v>
      </c>
      <c r="AG1235" s="5" t="str">
        <f t="shared" si="453"/>
        <v>CAD</v>
      </c>
      <c r="AH1235" s="5">
        <f t="shared" si="454"/>
        <v>6058.43</v>
      </c>
      <c r="AI1235" s="12">
        <f>IF(L1235-N1235=0,VLOOKUP(U1235,rate!A$4:B$15,2,FALSE)*AH1235,IF(AG1235="USD",O1235,AH1235*Y1235))</f>
        <v>4317.7504491659129</v>
      </c>
      <c r="AJ1235" s="13">
        <f t="shared" si="455"/>
        <v>0.71268471355877883</v>
      </c>
      <c r="AK1235" s="13">
        <f>-IF(AG1235="CAD",IFERROR(VLOOKUP(D1235,CAARStatus!$A$1:$Y$1600,16,FALSE),0),0)</f>
        <v>0</v>
      </c>
      <c r="AL1235" s="13">
        <f>-IF(AG1235="USD",IFERROR(VLOOKUP(D1235,CAARStatus!$A$1:$Y$1600,11,FALSE),0),0)</f>
        <v>0</v>
      </c>
      <c r="AM1235" s="22">
        <f t="shared" si="456"/>
        <v>6058.43</v>
      </c>
      <c r="AN1235" s="12" t="str">
        <f t="shared" si="457"/>
        <v/>
      </c>
      <c r="AO1235" s="12" t="str">
        <f t="shared" si="458"/>
        <v>Pend</v>
      </c>
      <c r="AP1235" t="str">
        <f t="shared" si="459"/>
        <v>Pend</v>
      </c>
      <c r="AQ1235" t="str">
        <f>IFERROR(VLOOKUP(Z1235,InvBal!$L$4:$P$600,4,FALSE),"Pend")</f>
        <v>Pend</v>
      </c>
      <c r="AR1235" t="str">
        <f>IFERROR(VLOOKUP(D1235,Manual!$C$1:$E$22,2,FALSE),"Pend")</f>
        <v>Pend</v>
      </c>
      <c r="AS1235" t="str">
        <f t="shared" si="460"/>
        <v/>
      </c>
      <c r="AT1235" t="str">
        <f t="shared" si="461"/>
        <v/>
      </c>
      <c r="AU1235" s="51" t="str">
        <f t="shared" si="462"/>
        <v/>
      </c>
      <c r="AV1235" s="12">
        <f>IFERROR(VLOOKUP(D1235,'Receivable Invoice Detail'!$S$1:$U$3014,3,FALSE),0)</f>
        <v>0</v>
      </c>
      <c r="AW1235" s="12">
        <f t="shared" si="463"/>
        <v>0</v>
      </c>
    </row>
    <row r="1236" spans="1:49" x14ac:dyDescent="0.25">
      <c r="A1236" s="2">
        <v>1</v>
      </c>
      <c r="B1236" s="2" t="s">
        <v>90</v>
      </c>
      <c r="C1236" s="2" t="s">
        <v>91</v>
      </c>
      <c r="D1236" s="2" t="s">
        <v>6015</v>
      </c>
      <c r="E1236" s="2" t="s">
        <v>92</v>
      </c>
      <c r="F1236" s="3">
        <v>45986.378935185188</v>
      </c>
      <c r="G1236" s="3">
        <v>45986.517858796287</v>
      </c>
      <c r="H1236" s="4">
        <v>46003</v>
      </c>
      <c r="I1236" s="2" t="s">
        <v>21</v>
      </c>
      <c r="J1236" s="2" t="s">
        <v>22</v>
      </c>
      <c r="K1236" s="2">
        <v>1</v>
      </c>
      <c r="L1236" s="2">
        <v>1540.6</v>
      </c>
      <c r="M1236" s="2">
        <v>0</v>
      </c>
      <c r="N1236" s="2">
        <v>1091.249417708184</v>
      </c>
      <c r="O1236" s="2">
        <v>1363.36</v>
      </c>
      <c r="P1236" s="2">
        <v>177.24</v>
      </c>
      <c r="Q1236" s="2">
        <v>1540.6</v>
      </c>
      <c r="R1236" s="2" t="s">
        <v>44</v>
      </c>
      <c r="S1236" s="2"/>
      <c r="T1236" s="2">
        <f t="shared" si="442"/>
        <v>1</v>
      </c>
      <c r="U1236" s="18">
        <f t="shared" si="443"/>
        <v>11</v>
      </c>
      <c r="V1236" s="18">
        <f t="shared" si="444"/>
        <v>2025</v>
      </c>
      <c r="W1236" s="18" t="str">
        <f t="shared" si="445"/>
        <v/>
      </c>
      <c r="X1236" s="18" t="str">
        <f t="shared" si="446"/>
        <v/>
      </c>
      <c r="Y1236" s="2">
        <f t="shared" si="447"/>
        <v>0.7083275462210723</v>
      </c>
      <c r="Z1236" t="str">
        <f t="shared" si="448"/>
        <v>SO18305</v>
      </c>
      <c r="AA1236" s="11">
        <f t="shared" si="449"/>
        <v>45986.378935185188</v>
      </c>
      <c r="AB1236" s="5" t="str">
        <f t="shared" si="450"/>
        <v>INV13773</v>
      </c>
      <c r="AC1236" s="5" t="str">
        <f>IFERROR(VLOOKUP(D1236,CAARStatus!$A$2:$AA$1600,22,FALSE),"Not invoiced")</f>
        <v>Approved</v>
      </c>
      <c r="AD1236" s="11" t="str">
        <f>IF(AC1236="Paid",IFERROR(VLOOKUP(D1236,CAARStatus!$A$2:$AA$1600,6,FALSE),"Pending"),"Pending")</f>
        <v>Pending</v>
      </c>
      <c r="AE1236" s="5" t="str">
        <f t="shared" si="451"/>
        <v>4560073333</v>
      </c>
      <c r="AF1236" s="5" t="str">
        <f t="shared" si="452"/>
        <v>Alamos Gold Inc</v>
      </c>
      <c r="AG1236" s="5" t="str">
        <f t="shared" si="453"/>
        <v>CAD</v>
      </c>
      <c r="AH1236" s="5">
        <f t="shared" si="454"/>
        <v>1363.36</v>
      </c>
      <c r="AI1236" s="12">
        <f>IF(L1236-N1236=0,VLOOKUP(U1236,rate!A$4:B$15,2,FALSE)*AH1236,IF(AG1236="USD",O1236,AH1236*Y1236))</f>
        <v>965.7054434159611</v>
      </c>
      <c r="AJ1236" s="13">
        <f t="shared" si="455"/>
        <v>0.7083275462210723</v>
      </c>
      <c r="AK1236" s="13">
        <f>-IF(AG1236="CAD",IFERROR(VLOOKUP(D1236,CAARStatus!$A$1:$Y$1600,16,FALSE),0),0)</f>
        <v>-1363.36</v>
      </c>
      <c r="AL1236" s="13">
        <f>-IF(AG1236="USD",IFERROR(VLOOKUP(D1236,CAARStatus!$A$1:$Y$1600,11,FALSE),0),0)</f>
        <v>0</v>
      </c>
      <c r="AM1236" s="22">
        <f t="shared" si="456"/>
        <v>0</v>
      </c>
      <c r="AN1236" s="12" t="str">
        <f t="shared" si="457"/>
        <v/>
      </c>
      <c r="AO1236" s="12" t="str">
        <f t="shared" si="458"/>
        <v>Pend</v>
      </c>
      <c r="AP1236" t="str">
        <f t="shared" si="459"/>
        <v>Pend</v>
      </c>
      <c r="AQ1236" t="str">
        <f>IFERROR(VLOOKUP(Z1236,InvBal!$L$4:$P$600,4,FALSE),"Pend")</f>
        <v>Pend</v>
      </c>
      <c r="AR1236" t="str">
        <f>IFERROR(VLOOKUP(D1236,Manual!$C$1:$E$22,2,FALSE),"Pend")</f>
        <v>Pend</v>
      </c>
      <c r="AS1236" t="str">
        <f t="shared" si="460"/>
        <v/>
      </c>
      <c r="AT1236" t="str">
        <f t="shared" si="461"/>
        <v>Yes</v>
      </c>
      <c r="AU1236" s="51" t="str">
        <f t="shared" si="462"/>
        <v/>
      </c>
      <c r="AV1236" s="12">
        <f>IFERROR(VLOOKUP(D1236,'Receivable Invoice Detail'!$S$1:$U$3014,3,FALSE),0)</f>
        <v>0</v>
      </c>
      <c r="AW1236" s="12">
        <f t="shared" si="463"/>
        <v>0</v>
      </c>
    </row>
    <row r="1237" spans="1:49" ht="30" x14ac:dyDescent="0.25">
      <c r="A1237" s="2">
        <v>1</v>
      </c>
      <c r="B1237" s="2" t="s">
        <v>96</v>
      </c>
      <c r="C1237" s="2" t="s">
        <v>97</v>
      </c>
      <c r="D1237" s="2" t="s">
        <v>6069</v>
      </c>
      <c r="E1237" s="2" t="s">
        <v>98</v>
      </c>
      <c r="F1237" s="3">
        <v>45986.447708333333</v>
      </c>
      <c r="G1237" s="3">
        <v>45986.458460648151</v>
      </c>
      <c r="H1237" s="4">
        <v>45987</v>
      </c>
      <c r="I1237" s="2" t="s">
        <v>40</v>
      </c>
      <c r="J1237" s="2" t="s">
        <v>22</v>
      </c>
      <c r="K1237" s="2">
        <v>1</v>
      </c>
      <c r="L1237" s="2">
        <v>4545.91</v>
      </c>
      <c r="M1237" s="2">
        <v>0</v>
      </c>
      <c r="N1237" s="2">
        <v>3219.993275641833</v>
      </c>
      <c r="O1237" s="2">
        <v>4022.93</v>
      </c>
      <c r="P1237" s="2">
        <v>522.98</v>
      </c>
      <c r="Q1237" s="2">
        <v>4545.91</v>
      </c>
      <c r="R1237" s="2" t="s">
        <v>44</v>
      </c>
      <c r="S1237" s="2"/>
      <c r="T1237" s="2">
        <f t="shared" si="442"/>
        <v>1</v>
      </c>
      <c r="U1237" s="18">
        <f t="shared" si="443"/>
        <v>11</v>
      </c>
      <c r="V1237" s="18">
        <f t="shared" si="444"/>
        <v>2025</v>
      </c>
      <c r="W1237" s="18" t="str">
        <f t="shared" si="445"/>
        <v/>
      </c>
      <c r="X1237" s="18" t="str">
        <f t="shared" si="446"/>
        <v/>
      </c>
      <c r="Y1237" s="2">
        <f t="shared" si="447"/>
        <v>0.70832754622107197</v>
      </c>
      <c r="Z1237" t="str">
        <f t="shared" si="448"/>
        <v>SO18307</v>
      </c>
      <c r="AA1237" s="11">
        <f t="shared" si="449"/>
        <v>45986.447708333333</v>
      </c>
      <c r="AB1237" s="5" t="str">
        <f t="shared" si="450"/>
        <v>INV13807</v>
      </c>
      <c r="AC1237" s="5" t="str">
        <f>IFERROR(VLOOKUP(D1237,CAARStatus!$A$2:$AA$1600,22,FALSE),"Not invoiced")</f>
        <v>Approved</v>
      </c>
      <c r="AD1237" s="11" t="str">
        <f>IF(AC1237="Paid",IFERROR(VLOOKUP(D1237,CAARStatus!$A$2:$AA$1600,6,FALSE),"Pending"),"Pending")</f>
        <v>Pending</v>
      </c>
      <c r="AE1237" s="5" t="str">
        <f t="shared" si="451"/>
        <v>PO-008461</v>
      </c>
      <c r="AF1237" s="5" t="str">
        <f t="shared" si="452"/>
        <v>Sling-Choker Manufacturing - Timmins</v>
      </c>
      <c r="AG1237" s="5" t="str">
        <f t="shared" si="453"/>
        <v>CAD</v>
      </c>
      <c r="AH1237" s="5">
        <f t="shared" si="454"/>
        <v>4022.93</v>
      </c>
      <c r="AI1237" s="12">
        <f>IF(L1237-N1237=0,VLOOKUP(U1237,rate!A$4:B$15,2,FALSE)*AH1237,IF(AG1237="USD",O1237,AH1237*Y1237))</f>
        <v>2849.5521355191368</v>
      </c>
      <c r="AJ1237" s="13">
        <f t="shared" si="455"/>
        <v>0.70832754622107197</v>
      </c>
      <c r="AK1237" s="13">
        <f>-IF(AG1237="CAD",IFERROR(VLOOKUP(D1237,CAARStatus!$A$1:$Y$1600,16,FALSE),0),0)</f>
        <v>-4022.93</v>
      </c>
      <c r="AL1237" s="13">
        <f>-IF(AG1237="USD",IFERROR(VLOOKUP(D1237,CAARStatus!$A$1:$Y$1600,11,FALSE),0),0)</f>
        <v>0</v>
      </c>
      <c r="AM1237" s="22">
        <f t="shared" si="456"/>
        <v>0</v>
      </c>
      <c r="AN1237" s="12" t="str">
        <f t="shared" si="457"/>
        <v/>
      </c>
      <c r="AO1237" s="12" t="str">
        <f t="shared" si="458"/>
        <v>Pend</v>
      </c>
      <c r="AP1237" t="str">
        <f t="shared" si="459"/>
        <v>Pend</v>
      </c>
      <c r="AQ1237" t="str">
        <f>IFERROR(VLOOKUP(Z1237,InvBal!$L$4:$P$600,4,FALSE),"Pend")</f>
        <v>Pend</v>
      </c>
      <c r="AR1237" t="str">
        <f>IFERROR(VLOOKUP(D1237,Manual!$C$1:$E$22,2,FALSE),"Pend")</f>
        <v>Pend</v>
      </c>
      <c r="AS1237" t="str">
        <f t="shared" si="460"/>
        <v/>
      </c>
      <c r="AT1237" t="str">
        <f t="shared" si="461"/>
        <v>Yes</v>
      </c>
      <c r="AU1237" s="51" t="str">
        <f t="shared" si="462"/>
        <v/>
      </c>
      <c r="AV1237" s="12">
        <f>IFERROR(VLOOKUP(D1237,'Receivable Invoice Detail'!$S$1:$U$3014,3,FALSE),0)</f>
        <v>0</v>
      </c>
      <c r="AW1237" s="12">
        <f t="shared" si="463"/>
        <v>0</v>
      </c>
    </row>
    <row r="1238" spans="1:49" x14ac:dyDescent="0.25">
      <c r="A1238" s="2">
        <v>0</v>
      </c>
      <c r="B1238" s="2" t="s">
        <v>62</v>
      </c>
      <c r="C1238" s="2" t="s">
        <v>63</v>
      </c>
      <c r="D1238" s="2"/>
      <c r="E1238" s="2" t="s">
        <v>64</v>
      </c>
      <c r="F1238" s="3">
        <v>45986.618587962963</v>
      </c>
      <c r="G1238" s="3">
        <v>45987.611828703702</v>
      </c>
      <c r="H1238" s="4">
        <v>45989</v>
      </c>
      <c r="I1238" s="2" t="s">
        <v>21</v>
      </c>
      <c r="J1238" s="2" t="s">
        <v>22</v>
      </c>
      <c r="K1238" s="2">
        <v>1</v>
      </c>
      <c r="L1238" s="2">
        <v>242.81</v>
      </c>
      <c r="M1238" s="2">
        <v>0</v>
      </c>
      <c r="N1238" s="2">
        <v>172.8019910030751</v>
      </c>
      <c r="O1238" s="2">
        <v>214.88</v>
      </c>
      <c r="P1238" s="2">
        <v>27.93</v>
      </c>
      <c r="Q1238" s="2">
        <v>242.81</v>
      </c>
      <c r="R1238" s="2" t="s">
        <v>44</v>
      </c>
      <c r="S1238" s="2"/>
      <c r="T1238" s="2">
        <f t="shared" si="442"/>
        <v>0</v>
      </c>
      <c r="U1238" s="18">
        <f t="shared" si="443"/>
        <v>11</v>
      </c>
      <c r="V1238" s="18">
        <f t="shared" si="444"/>
        <v>2025</v>
      </c>
      <c r="W1238" s="18" t="str">
        <f t="shared" si="445"/>
        <v/>
      </c>
      <c r="X1238" s="18" t="str">
        <f t="shared" si="446"/>
        <v/>
      </c>
      <c r="Y1238" s="2">
        <f t="shared" si="447"/>
        <v>0.7116757588364363</v>
      </c>
      <c r="Z1238" t="str">
        <f t="shared" si="448"/>
        <v>SO18308</v>
      </c>
      <c r="AA1238" s="11">
        <f t="shared" si="449"/>
        <v>45986.618587962963</v>
      </c>
      <c r="AB1238" s="5" t="str">
        <f t="shared" si="450"/>
        <v>No Inv</v>
      </c>
      <c r="AC1238" s="5" t="str">
        <f>IFERROR(VLOOKUP(D1238,CAARStatus!$A$2:$AA$1600,22,FALSE),"Not invoiced")</f>
        <v>Not invoiced</v>
      </c>
      <c r="AD1238" s="11" t="str">
        <f>IF(AC1238="Paid",IFERROR(VLOOKUP(D1238,CAARStatus!$A$2:$AA$1600,6,FALSE),"Pending"),"Pending")</f>
        <v>Pending</v>
      </c>
      <c r="AE1238" s="5" t="str">
        <f t="shared" si="451"/>
        <v>607975</v>
      </c>
      <c r="AF1238" s="5" t="str">
        <f t="shared" si="452"/>
        <v>Sealtrac Inc.</v>
      </c>
      <c r="AG1238" s="5" t="str">
        <f t="shared" si="453"/>
        <v>CAD</v>
      </c>
      <c r="AH1238" s="5">
        <f t="shared" si="454"/>
        <v>214.88</v>
      </c>
      <c r="AI1238" s="12">
        <f>IF(L1238-N1238=0,VLOOKUP(U1238,rate!A$4:B$15,2,FALSE)*AH1238,IF(AG1238="USD",O1238,AH1238*Y1238))</f>
        <v>152.92488705877344</v>
      </c>
      <c r="AJ1238" s="13">
        <f t="shared" si="455"/>
        <v>0.7116757588364363</v>
      </c>
      <c r="AK1238" s="13">
        <f>-IF(AG1238="CAD",IFERROR(VLOOKUP(D1238,CAARStatus!$A$1:$Y$1600,16,FALSE),0),0)</f>
        <v>0</v>
      </c>
      <c r="AL1238" s="13">
        <f>-IF(AG1238="USD",IFERROR(VLOOKUP(D1238,CAARStatus!$A$1:$Y$1600,11,FALSE),0),0)</f>
        <v>0</v>
      </c>
      <c r="AM1238" s="22">
        <f t="shared" si="456"/>
        <v>214.88</v>
      </c>
      <c r="AN1238" s="12" t="str">
        <f t="shared" si="457"/>
        <v/>
      </c>
      <c r="AO1238" s="12" t="str">
        <f t="shared" si="458"/>
        <v>Pend</v>
      </c>
      <c r="AP1238" t="str">
        <f t="shared" si="459"/>
        <v>Pend</v>
      </c>
      <c r="AQ1238" t="str">
        <f>IFERROR(VLOOKUP(Z1238,InvBal!$L$4:$P$600,4,FALSE),"Pend")</f>
        <v>Pend</v>
      </c>
      <c r="AR1238" t="str">
        <f>IFERROR(VLOOKUP(D1238,Manual!$C$1:$E$22,2,FALSE),"Pend")</f>
        <v>Pend</v>
      </c>
      <c r="AS1238" t="str">
        <f t="shared" si="460"/>
        <v/>
      </c>
      <c r="AT1238" t="str">
        <f t="shared" si="461"/>
        <v>Yes</v>
      </c>
      <c r="AU1238" s="51" t="str">
        <f t="shared" si="462"/>
        <v/>
      </c>
      <c r="AV1238" s="12">
        <f>IFERROR(VLOOKUP(D1238,'Receivable Invoice Detail'!$S$1:$U$3014,3,FALSE),0)</f>
        <v>0</v>
      </c>
      <c r="AW1238" s="12">
        <f t="shared" si="463"/>
        <v>0</v>
      </c>
    </row>
    <row r="1239" spans="1:49" ht="30" x14ac:dyDescent="0.25">
      <c r="A1239" s="2">
        <v>1</v>
      </c>
      <c r="B1239" s="2" t="s">
        <v>33</v>
      </c>
      <c r="C1239" s="2" t="s">
        <v>34</v>
      </c>
      <c r="D1239" s="2" t="s">
        <v>5959</v>
      </c>
      <c r="E1239" s="2" t="s">
        <v>35</v>
      </c>
      <c r="F1239" s="3">
        <v>45986.796585648153</v>
      </c>
      <c r="G1239" s="3">
        <v>45988.752905092602</v>
      </c>
      <c r="H1239" s="4">
        <v>46002</v>
      </c>
      <c r="I1239" s="2" t="s">
        <v>36</v>
      </c>
      <c r="J1239" s="2" t="s">
        <v>22</v>
      </c>
      <c r="K1239" s="2">
        <v>1</v>
      </c>
      <c r="L1239" s="2">
        <v>1898.98</v>
      </c>
      <c r="M1239" s="2">
        <v>0</v>
      </c>
      <c r="N1239" s="2">
        <v>1353.3740173538499</v>
      </c>
      <c r="O1239" s="2">
        <v>1808.56</v>
      </c>
      <c r="P1239" s="2">
        <v>90.42</v>
      </c>
      <c r="Q1239" s="2">
        <v>1898.98</v>
      </c>
      <c r="R1239" s="2" t="s">
        <v>44</v>
      </c>
      <c r="S1239" s="2"/>
      <c r="T1239" s="2">
        <f t="shared" si="442"/>
        <v>1</v>
      </c>
      <c r="U1239" s="18">
        <f t="shared" si="443"/>
        <v>11</v>
      </c>
      <c r="V1239" s="18">
        <f t="shared" si="444"/>
        <v>2025</v>
      </c>
      <c r="W1239" s="18" t="str">
        <f t="shared" si="445"/>
        <v/>
      </c>
      <c r="X1239" s="18" t="str">
        <f t="shared" si="446"/>
        <v/>
      </c>
      <c r="Y1239" s="2">
        <f t="shared" si="447"/>
        <v>0.71268471355877883</v>
      </c>
      <c r="Z1239" t="str">
        <f t="shared" si="448"/>
        <v>SO18311</v>
      </c>
      <c r="AA1239" s="11">
        <f t="shared" si="449"/>
        <v>45986.796585648153</v>
      </c>
      <c r="AB1239" s="5" t="str">
        <f t="shared" si="450"/>
        <v>INV13726</v>
      </c>
      <c r="AC1239" s="5" t="str">
        <f>IFERROR(VLOOKUP(D1239,CAARStatus!$A$2:$AA$1600,22,FALSE),"Not invoiced")</f>
        <v>Approved</v>
      </c>
      <c r="AD1239" s="11" t="str">
        <f>IF(AC1239="Paid",IFERROR(VLOOKUP(D1239,CAARStatus!$A$2:$AA$1600,6,FALSE),"Pending"),"Pending")</f>
        <v>Pending</v>
      </c>
      <c r="AE1239" s="5" t="str">
        <f t="shared" si="451"/>
        <v>PO14241</v>
      </c>
      <c r="AF1239" s="5" t="str">
        <f t="shared" si="452"/>
        <v>Manufacture Sling-Choker (Val-d’Or) Ltée</v>
      </c>
      <c r="AG1239" s="5" t="str">
        <f t="shared" si="453"/>
        <v>CAD</v>
      </c>
      <c r="AH1239" s="5">
        <f t="shared" si="454"/>
        <v>1808.56</v>
      </c>
      <c r="AI1239" s="12">
        <f>IF(L1239-N1239=0,VLOOKUP(U1239,rate!A$4:B$15,2,FALSE)*AH1239,IF(AG1239="USD",O1239,AH1239*Y1239))</f>
        <v>1288.9330655538649</v>
      </c>
      <c r="AJ1239" s="13">
        <f t="shared" si="455"/>
        <v>0.71268471355877883</v>
      </c>
      <c r="AK1239" s="13">
        <f>-IF(AG1239="CAD",IFERROR(VLOOKUP(D1239,CAARStatus!$A$1:$Y$1600,16,FALSE),0),0)</f>
        <v>-1808.56</v>
      </c>
      <c r="AL1239" s="13">
        <f>-IF(AG1239="USD",IFERROR(VLOOKUP(D1239,CAARStatus!$A$1:$Y$1600,11,FALSE),0),0)</f>
        <v>0</v>
      </c>
      <c r="AM1239" s="22">
        <f t="shared" si="456"/>
        <v>0</v>
      </c>
      <c r="AN1239" s="12" t="str">
        <f t="shared" si="457"/>
        <v/>
      </c>
      <c r="AO1239" s="12" t="str">
        <f t="shared" si="458"/>
        <v>Pend</v>
      </c>
      <c r="AP1239" t="str">
        <f t="shared" si="459"/>
        <v>Pend</v>
      </c>
      <c r="AQ1239" t="str">
        <f>IFERROR(VLOOKUP(Z1239,InvBal!$L$4:$P$600,4,FALSE),"Pend")</f>
        <v>Pend</v>
      </c>
      <c r="AR1239" t="str">
        <f>IFERROR(VLOOKUP(D1239,Manual!$C$1:$E$22,2,FALSE),"Pend")</f>
        <v>Pend</v>
      </c>
      <c r="AS1239" t="str">
        <f t="shared" si="460"/>
        <v/>
      </c>
      <c r="AT1239" t="str">
        <f t="shared" si="461"/>
        <v>Yes</v>
      </c>
      <c r="AU1239" s="51" t="str">
        <f t="shared" si="462"/>
        <v/>
      </c>
      <c r="AV1239" s="12">
        <f>IFERROR(VLOOKUP(D1239,'Receivable Invoice Detail'!$S$1:$U$3014,3,FALSE),0)</f>
        <v>0</v>
      </c>
      <c r="AW1239" s="12">
        <f t="shared" si="463"/>
        <v>0</v>
      </c>
    </row>
    <row r="1240" spans="1:49" x14ac:dyDescent="0.25">
      <c r="A1240" s="2">
        <v>1</v>
      </c>
      <c r="B1240" s="2" t="s">
        <v>59</v>
      </c>
      <c r="C1240" s="2" t="s">
        <v>60</v>
      </c>
      <c r="D1240" s="2" t="s">
        <v>6031</v>
      </c>
      <c r="E1240" s="2" t="s">
        <v>61</v>
      </c>
      <c r="F1240" s="3">
        <v>45987.46775462963</v>
      </c>
      <c r="G1240" s="3">
        <v>45987.63082175926</v>
      </c>
      <c r="H1240" s="4">
        <v>46073</v>
      </c>
      <c r="I1240" s="2" t="s">
        <v>36</v>
      </c>
      <c r="J1240" s="2" t="s">
        <v>51</v>
      </c>
      <c r="K1240" s="2">
        <v>0.70860938895411174</v>
      </c>
      <c r="L1240" s="2">
        <v>1725.915601831236</v>
      </c>
      <c r="M1240" s="2">
        <v>0</v>
      </c>
      <c r="N1240" s="2">
        <v>1223</v>
      </c>
      <c r="O1240" s="2">
        <v>1223</v>
      </c>
      <c r="P1240" s="2"/>
      <c r="Q1240" s="2">
        <v>1223</v>
      </c>
      <c r="R1240" s="2" t="s">
        <v>44</v>
      </c>
      <c r="S1240" s="2"/>
      <c r="T1240" s="2">
        <f t="shared" si="442"/>
        <v>1</v>
      </c>
      <c r="U1240" s="18">
        <f t="shared" si="443"/>
        <v>11</v>
      </c>
      <c r="V1240" s="18">
        <f t="shared" si="444"/>
        <v>2025</v>
      </c>
      <c r="W1240" s="18" t="str">
        <f t="shared" si="445"/>
        <v/>
      </c>
      <c r="X1240" s="18" t="str">
        <f t="shared" si="446"/>
        <v/>
      </c>
      <c r="Y1240" s="2">
        <f t="shared" si="447"/>
        <v>0.70860938895411163</v>
      </c>
      <c r="Z1240" t="str">
        <f t="shared" si="448"/>
        <v>SO18313</v>
      </c>
      <c r="AA1240" s="11">
        <f t="shared" si="449"/>
        <v>45987.46775462963</v>
      </c>
      <c r="AB1240" s="5" t="str">
        <f t="shared" si="450"/>
        <v>INV13781</v>
      </c>
      <c r="AC1240" s="5" t="str">
        <f>IFERROR(VLOOKUP(D1240,CAARStatus!$A$2:$AA$1600,22,FALSE),"Not invoiced")</f>
        <v>Approved</v>
      </c>
      <c r="AD1240" s="11" t="str">
        <f>IF(AC1240="Paid",IFERROR(VLOOKUP(D1240,CAARStatus!$A$2:$AA$1600,6,FALSE),"Pending"),"Pending")</f>
        <v>Pending</v>
      </c>
      <c r="AE1240" s="5" t="str">
        <f t="shared" si="451"/>
        <v>PONV-25-2326</v>
      </c>
      <c r="AF1240" s="5" t="str">
        <f t="shared" si="452"/>
        <v>Tech-Flow</v>
      </c>
      <c r="AG1240" s="5" t="str">
        <f t="shared" si="453"/>
        <v>USD</v>
      </c>
      <c r="AH1240" s="5">
        <f t="shared" si="454"/>
        <v>1725.9156018312358</v>
      </c>
      <c r="AI1240" s="12">
        <f>IF(L1240-N1240=0,VLOOKUP(U1240,rate!A$4:B$15,2,FALSE)*AH1240,IF(AG1240="USD",O1240,AH1240*Y1240))</f>
        <v>1223</v>
      </c>
      <c r="AJ1240" s="13">
        <f t="shared" si="455"/>
        <v>0.70860938895411174</v>
      </c>
      <c r="AK1240" s="13">
        <f>-IF(AG1240="CAD",IFERROR(VLOOKUP(D1240,CAARStatus!$A$1:$Y$1600,16,FALSE),0),0)</f>
        <v>0</v>
      </c>
      <c r="AL1240" s="13">
        <f>-IF(AG1240="USD",IFERROR(VLOOKUP(D1240,CAARStatus!$A$1:$Y$1600,11,FALSE),0),0)</f>
        <v>-1223</v>
      </c>
      <c r="AM1240" s="22" t="str">
        <f t="shared" si="456"/>
        <v/>
      </c>
      <c r="AN1240" s="12">
        <f t="shared" si="457"/>
        <v>0</v>
      </c>
      <c r="AO1240" s="12" t="str">
        <f t="shared" si="458"/>
        <v>Pend</v>
      </c>
      <c r="AP1240" t="str">
        <f t="shared" si="459"/>
        <v>Pend</v>
      </c>
      <c r="AQ1240" t="str">
        <f>IFERROR(VLOOKUP(Z1240,InvBal!$L$4:$P$600,4,FALSE),"Pend")</f>
        <v>Pend</v>
      </c>
      <c r="AR1240" t="str">
        <f>IFERROR(VLOOKUP(D1240,Manual!$C$1:$E$22,2,FALSE),"Pend")</f>
        <v>Pend</v>
      </c>
      <c r="AS1240" t="str">
        <f t="shared" si="460"/>
        <v/>
      </c>
      <c r="AT1240" t="str">
        <f t="shared" si="461"/>
        <v>Yes</v>
      </c>
      <c r="AU1240" s="51" t="str">
        <f t="shared" si="462"/>
        <v/>
      </c>
      <c r="AV1240" s="12">
        <f>IFERROR(VLOOKUP(D1240,'Receivable Invoice Detail'!$S$1:$U$3014,3,FALSE),0)</f>
        <v>0</v>
      </c>
      <c r="AW1240" s="12">
        <f t="shared" si="463"/>
        <v>0</v>
      </c>
    </row>
    <row r="1241" spans="1:49" x14ac:dyDescent="0.25">
      <c r="A1241" s="2">
        <v>1</v>
      </c>
      <c r="B1241" s="2" t="s">
        <v>75</v>
      </c>
      <c r="C1241" s="2" t="s">
        <v>76</v>
      </c>
      <c r="D1241" s="2" t="s">
        <v>5889</v>
      </c>
      <c r="E1241" s="2" t="s">
        <v>77</v>
      </c>
      <c r="F1241" s="3">
        <v>45987.490185185183</v>
      </c>
      <c r="G1241" s="3">
        <v>45987.496782407397</v>
      </c>
      <c r="H1241" s="4">
        <v>45975</v>
      </c>
      <c r="I1241" s="2" t="s">
        <v>40</v>
      </c>
      <c r="J1241" s="2" t="s">
        <v>22</v>
      </c>
      <c r="K1241" s="2">
        <v>1</v>
      </c>
      <c r="L1241" s="2">
        <v>293.48</v>
      </c>
      <c r="M1241" s="2">
        <v>0</v>
      </c>
      <c r="N1241" s="2">
        <v>208.86260170331741</v>
      </c>
      <c r="O1241" s="2">
        <v>279.5</v>
      </c>
      <c r="P1241" s="2">
        <v>13.98</v>
      </c>
      <c r="Q1241" s="2">
        <v>293.48</v>
      </c>
      <c r="R1241" s="2" t="s">
        <v>44</v>
      </c>
      <c r="S1241" s="2"/>
      <c r="T1241" s="2">
        <f t="shared" si="442"/>
        <v>1</v>
      </c>
      <c r="U1241" s="18">
        <f t="shared" si="443"/>
        <v>11</v>
      </c>
      <c r="V1241" s="18">
        <f t="shared" si="444"/>
        <v>2025</v>
      </c>
      <c r="W1241" s="18" t="str">
        <f t="shared" si="445"/>
        <v/>
      </c>
      <c r="X1241" s="18" t="str">
        <f t="shared" si="446"/>
        <v/>
      </c>
      <c r="Y1241" s="2">
        <f t="shared" si="447"/>
        <v>0.71167575883643652</v>
      </c>
      <c r="Z1241" t="str">
        <f t="shared" si="448"/>
        <v>SO18314</v>
      </c>
      <c r="AA1241" s="11">
        <f t="shared" si="449"/>
        <v>45987.490185185183</v>
      </c>
      <c r="AB1241" s="5" t="str">
        <f t="shared" si="450"/>
        <v>INV13718</v>
      </c>
      <c r="AC1241" s="5" t="str">
        <f>IFERROR(VLOOKUP(D1241,CAARStatus!$A$2:$AA$1600,22,FALSE),"Not invoiced")</f>
        <v>Approved</v>
      </c>
      <c r="AD1241" s="11" t="str">
        <f>IF(AC1241="Paid",IFERROR(VLOOKUP(D1241,CAARStatus!$A$2:$AA$1600,6,FALSE),"Pending"),"Pending")</f>
        <v>Pending</v>
      </c>
      <c r="AE1241" s="5" t="str">
        <f t="shared" si="451"/>
        <v>PO-40-1019510</v>
      </c>
      <c r="AF1241" s="5" t="str">
        <f t="shared" si="452"/>
        <v>Canadian Bearings Ltd.</v>
      </c>
      <c r="AG1241" s="5" t="str">
        <f t="shared" si="453"/>
        <v>CAD</v>
      </c>
      <c r="AH1241" s="5">
        <f t="shared" si="454"/>
        <v>279.5</v>
      </c>
      <c r="AI1241" s="12">
        <f>IF(L1241-N1241=0,VLOOKUP(U1241,rate!A$4:B$15,2,FALSE)*AH1241,IF(AG1241="USD",O1241,AH1241*Y1241))</f>
        <v>198.91337459478402</v>
      </c>
      <c r="AJ1241" s="13">
        <f t="shared" si="455"/>
        <v>0.71167575883643652</v>
      </c>
      <c r="AK1241" s="13">
        <f>-IF(AG1241="CAD",IFERROR(VLOOKUP(D1241,CAARStatus!$A$1:$Y$1600,16,FALSE),0),0)</f>
        <v>-279.5</v>
      </c>
      <c r="AL1241" s="13">
        <f>-IF(AG1241="USD",IFERROR(VLOOKUP(D1241,CAARStatus!$A$1:$Y$1600,11,FALSE),0),0)</f>
        <v>0</v>
      </c>
      <c r="AM1241" s="22">
        <f t="shared" si="456"/>
        <v>0</v>
      </c>
      <c r="AN1241" s="12" t="str">
        <f t="shared" si="457"/>
        <v/>
      </c>
      <c r="AO1241" s="12" t="str">
        <f t="shared" si="458"/>
        <v>Pend</v>
      </c>
      <c r="AP1241" t="str">
        <f t="shared" si="459"/>
        <v>Pend</v>
      </c>
      <c r="AQ1241" t="str">
        <f>IFERROR(VLOOKUP(Z1241,InvBal!$L$4:$P$600,4,FALSE),"Pend")</f>
        <v>Pend</v>
      </c>
      <c r="AR1241" t="str">
        <f>IFERROR(VLOOKUP(D1241,Manual!$C$1:$E$22,2,FALSE),"Pend")</f>
        <v>Pend</v>
      </c>
      <c r="AS1241" t="str">
        <f t="shared" si="460"/>
        <v/>
      </c>
      <c r="AT1241" t="str">
        <f t="shared" si="461"/>
        <v>Yes</v>
      </c>
      <c r="AU1241" s="51" t="str">
        <f t="shared" si="462"/>
        <v/>
      </c>
      <c r="AV1241" s="12">
        <f>IFERROR(VLOOKUP(D1241,'Receivable Invoice Detail'!$S$1:$U$3014,3,FALSE),0)</f>
        <v>0</v>
      </c>
      <c r="AW1241" s="12">
        <f t="shared" si="463"/>
        <v>0</v>
      </c>
    </row>
    <row r="1242" spans="1:49" x14ac:dyDescent="0.25">
      <c r="A1242" s="2">
        <v>1</v>
      </c>
      <c r="B1242" s="2" t="s">
        <v>68</v>
      </c>
      <c r="C1242" s="2" t="s">
        <v>69</v>
      </c>
      <c r="D1242" s="2" t="s">
        <v>5890</v>
      </c>
      <c r="E1242" s="2" t="s">
        <v>70</v>
      </c>
      <c r="F1242" s="3">
        <v>45987.525023148148</v>
      </c>
      <c r="G1242" s="3">
        <v>45987.52542824074</v>
      </c>
      <c r="H1242" s="4">
        <v>45989</v>
      </c>
      <c r="I1242" s="2" t="s">
        <v>71</v>
      </c>
      <c r="J1242" s="2" t="s">
        <v>51</v>
      </c>
      <c r="K1242" s="2">
        <v>0.70860938895411174</v>
      </c>
      <c r="L1242" s="2">
        <v>1080.2284191150759</v>
      </c>
      <c r="M1242" s="2">
        <v>0</v>
      </c>
      <c r="N1242" s="2">
        <v>765.46</v>
      </c>
      <c r="O1242" s="2">
        <v>765.46</v>
      </c>
      <c r="P1242" s="2"/>
      <c r="Q1242" s="2">
        <v>765.46</v>
      </c>
      <c r="R1242" s="2" t="s">
        <v>44</v>
      </c>
      <c r="S1242" s="2"/>
      <c r="T1242" s="2">
        <f t="shared" si="442"/>
        <v>1</v>
      </c>
      <c r="U1242" s="18">
        <f t="shared" si="443"/>
        <v>11</v>
      </c>
      <c r="V1242" s="18">
        <f t="shared" si="444"/>
        <v>2025</v>
      </c>
      <c r="W1242" s="18" t="str">
        <f t="shared" si="445"/>
        <v/>
      </c>
      <c r="X1242" s="18" t="str">
        <f t="shared" si="446"/>
        <v/>
      </c>
      <c r="Y1242" s="2">
        <f t="shared" si="447"/>
        <v>0.70860938895411174</v>
      </c>
      <c r="Z1242" t="str">
        <f t="shared" si="448"/>
        <v>SO18315</v>
      </c>
      <c r="AA1242" s="11">
        <f t="shared" si="449"/>
        <v>45987.525023148148</v>
      </c>
      <c r="AB1242" s="5" t="str">
        <f t="shared" si="450"/>
        <v>INV13712</v>
      </c>
      <c r="AC1242" s="5" t="str">
        <f>IFERROR(VLOOKUP(D1242,CAARStatus!$A$2:$AA$1600,22,FALSE),"Not invoiced")</f>
        <v>Approved</v>
      </c>
      <c r="AD1242" s="11" t="str">
        <f>IF(AC1242="Paid",IFERROR(VLOOKUP(D1242,CAARStatus!$A$2:$AA$1600,6,FALSE),"Pending"),"Pending")</f>
        <v>Pending</v>
      </c>
      <c r="AE1242" s="5" t="str">
        <f t="shared" si="451"/>
        <v>P371256</v>
      </c>
      <c r="AF1242" s="5" t="str">
        <f t="shared" si="452"/>
        <v>Covia Corp - Junction City</v>
      </c>
      <c r="AG1242" s="5" t="str">
        <f t="shared" si="453"/>
        <v>USD</v>
      </c>
      <c r="AH1242" s="5">
        <f t="shared" si="454"/>
        <v>1080.2284191150759</v>
      </c>
      <c r="AI1242" s="12">
        <f>IF(L1242-N1242=0,VLOOKUP(U1242,rate!A$4:B$15,2,FALSE)*AH1242,IF(AG1242="USD",O1242,AH1242*Y1242))</f>
        <v>765.46</v>
      </c>
      <c r="AJ1242" s="13">
        <f t="shared" si="455"/>
        <v>0.70860938895411174</v>
      </c>
      <c r="AK1242" s="13">
        <f>-IF(AG1242="CAD",IFERROR(VLOOKUP(D1242,CAARStatus!$A$1:$Y$1600,16,FALSE),0),0)</f>
        <v>0</v>
      </c>
      <c r="AL1242" s="13">
        <f>-IF(AG1242="USD",IFERROR(VLOOKUP(D1242,CAARStatus!$A$1:$Y$1600,11,FALSE),0),0)</f>
        <v>-765.46</v>
      </c>
      <c r="AM1242" s="22" t="str">
        <f t="shared" si="456"/>
        <v/>
      </c>
      <c r="AN1242" s="12">
        <f t="shared" si="457"/>
        <v>0</v>
      </c>
      <c r="AO1242" s="12" t="str">
        <f t="shared" si="458"/>
        <v>Pend</v>
      </c>
      <c r="AP1242" t="str">
        <f t="shared" si="459"/>
        <v>Pend</v>
      </c>
      <c r="AQ1242" t="str">
        <f>IFERROR(VLOOKUP(Z1242,InvBal!$L$4:$P$600,4,FALSE),"Pend")</f>
        <v>Pend</v>
      </c>
      <c r="AR1242" t="str">
        <f>IFERROR(VLOOKUP(D1242,Manual!$C$1:$E$22,2,FALSE),"Pend")</f>
        <v>Pend</v>
      </c>
      <c r="AS1242" t="str">
        <f t="shared" si="460"/>
        <v/>
      </c>
      <c r="AT1242" t="str">
        <f t="shared" si="461"/>
        <v>Yes</v>
      </c>
      <c r="AU1242" s="51" t="str">
        <f t="shared" si="462"/>
        <v/>
      </c>
      <c r="AV1242" s="12">
        <f>IFERROR(VLOOKUP(D1242,'Receivable Invoice Detail'!$S$1:$U$3014,3,FALSE),0)</f>
        <v>309</v>
      </c>
      <c r="AW1242" s="12">
        <f t="shared" si="463"/>
        <v>0</v>
      </c>
    </row>
    <row r="1243" spans="1:49" ht="30" x14ac:dyDescent="0.25">
      <c r="A1243" s="2">
        <v>0</v>
      </c>
      <c r="B1243" s="2" t="s">
        <v>57</v>
      </c>
      <c r="C1243" s="2" t="s">
        <v>58</v>
      </c>
      <c r="D1243" s="2"/>
      <c r="E1243" s="2" t="s">
        <v>32</v>
      </c>
      <c r="F1243" s="3">
        <v>45987.608275462961</v>
      </c>
      <c r="G1243" s="3">
        <v>45987.749039351853</v>
      </c>
      <c r="H1243" s="4">
        <v>45989</v>
      </c>
      <c r="I1243" s="2" t="s">
        <v>21</v>
      </c>
      <c r="J1243" s="2" t="s">
        <v>22</v>
      </c>
      <c r="K1243" s="2">
        <v>1</v>
      </c>
      <c r="L1243" s="2">
        <v>519.66</v>
      </c>
      <c r="M1243" s="2">
        <v>0</v>
      </c>
      <c r="N1243" s="2">
        <v>369.82942483694251</v>
      </c>
      <c r="O1243" s="2">
        <v>459.88</v>
      </c>
      <c r="P1243" s="2">
        <v>59.78</v>
      </c>
      <c r="Q1243" s="2">
        <v>519.66</v>
      </c>
      <c r="R1243" s="2" t="s">
        <v>44</v>
      </c>
      <c r="S1243" s="2"/>
      <c r="T1243" s="2">
        <f t="shared" si="442"/>
        <v>0</v>
      </c>
      <c r="U1243" s="18">
        <f t="shared" si="443"/>
        <v>11</v>
      </c>
      <c r="V1243" s="18">
        <f t="shared" si="444"/>
        <v>2025</v>
      </c>
      <c r="W1243" s="18" t="str">
        <f t="shared" si="445"/>
        <v/>
      </c>
      <c r="X1243" s="18" t="str">
        <f t="shared" si="446"/>
        <v/>
      </c>
      <c r="Y1243" s="2">
        <f t="shared" si="447"/>
        <v>0.71167575883643641</v>
      </c>
      <c r="Z1243" t="str">
        <f t="shared" si="448"/>
        <v>SO18316</v>
      </c>
      <c r="AA1243" s="11">
        <f t="shared" si="449"/>
        <v>45987.608275462961</v>
      </c>
      <c r="AB1243" s="5" t="str">
        <f t="shared" si="450"/>
        <v>No Inv</v>
      </c>
      <c r="AC1243" s="5" t="str">
        <f>IFERROR(VLOOKUP(D1243,CAARStatus!$A$2:$AA$1600,22,FALSE),"Not invoiced")</f>
        <v>Not invoiced</v>
      </c>
      <c r="AD1243" s="11" t="str">
        <f>IF(AC1243="Paid",IFERROR(VLOOKUP(D1243,CAARStatus!$A$2:$AA$1600,6,FALSE),"Pending"),"Pending")</f>
        <v>Pending</v>
      </c>
      <c r="AE1243" s="5" t="str">
        <f t="shared" si="451"/>
        <v>4500919708</v>
      </c>
      <c r="AF1243" s="5" t="str">
        <f t="shared" si="452"/>
        <v>Cameco Corporation - Blind River Refinery</v>
      </c>
      <c r="AG1243" s="5" t="str">
        <f t="shared" si="453"/>
        <v>CAD</v>
      </c>
      <c r="AH1243" s="5">
        <f t="shared" si="454"/>
        <v>459.88</v>
      </c>
      <c r="AI1243" s="12">
        <f>IF(L1243-N1243=0,VLOOKUP(U1243,rate!A$4:B$15,2,FALSE)*AH1243,IF(AG1243="USD",O1243,AH1243*Y1243))</f>
        <v>327.2854479737004</v>
      </c>
      <c r="AJ1243" s="13">
        <f t="shared" si="455"/>
        <v>0.71167575883643652</v>
      </c>
      <c r="AK1243" s="13">
        <f>-IF(AG1243="CAD",IFERROR(VLOOKUP(D1243,CAARStatus!$A$1:$Y$1600,16,FALSE),0),0)</f>
        <v>0</v>
      </c>
      <c r="AL1243" s="13">
        <f>-IF(AG1243="USD",IFERROR(VLOOKUP(D1243,CAARStatus!$A$1:$Y$1600,11,FALSE),0),0)</f>
        <v>0</v>
      </c>
      <c r="AM1243" s="22">
        <f t="shared" si="456"/>
        <v>459.88</v>
      </c>
      <c r="AN1243" s="12" t="str">
        <f t="shared" si="457"/>
        <v/>
      </c>
      <c r="AO1243" s="12" t="str">
        <f t="shared" si="458"/>
        <v>Pend</v>
      </c>
      <c r="AP1243" t="str">
        <f t="shared" si="459"/>
        <v>Pend</v>
      </c>
      <c r="AQ1243" t="str">
        <f>IFERROR(VLOOKUP(Z1243,InvBal!$L$4:$P$600,4,FALSE),"Pend")</f>
        <v>Pend</v>
      </c>
      <c r="AR1243" t="str">
        <f>IFERROR(VLOOKUP(D1243,Manual!$C$1:$E$22,2,FALSE),"Pend")</f>
        <v>Pend</v>
      </c>
      <c r="AS1243" t="str">
        <f t="shared" si="460"/>
        <v/>
      </c>
      <c r="AT1243" t="str">
        <f t="shared" si="461"/>
        <v>Yes</v>
      </c>
      <c r="AU1243" s="51" t="str">
        <f t="shared" si="462"/>
        <v/>
      </c>
      <c r="AV1243" s="12">
        <f>IFERROR(VLOOKUP(D1243,'Receivable Invoice Detail'!$S$1:$U$3014,3,FALSE),0)</f>
        <v>0</v>
      </c>
      <c r="AW1243" s="12">
        <f t="shared" si="463"/>
        <v>0</v>
      </c>
    </row>
    <row r="1244" spans="1:49" x14ac:dyDescent="0.25">
      <c r="A1244" s="2">
        <v>2</v>
      </c>
      <c r="B1244" s="2" t="s">
        <v>6201</v>
      </c>
      <c r="C1244" s="2" t="s">
        <v>5986</v>
      </c>
      <c r="D1244" s="2" t="s">
        <v>6053</v>
      </c>
      <c r="E1244" s="2" t="s">
        <v>77</v>
      </c>
      <c r="F1244" s="3">
        <v>45987.641643518517</v>
      </c>
      <c r="G1244" s="3">
        <v>45987.641643518517</v>
      </c>
      <c r="H1244" s="4">
        <v>46001</v>
      </c>
      <c r="I1244" s="2" t="s">
        <v>40</v>
      </c>
      <c r="J1244" s="2" t="s">
        <v>22</v>
      </c>
      <c r="K1244" s="2">
        <v>1</v>
      </c>
      <c r="L1244" s="2">
        <v>499.24</v>
      </c>
      <c r="M1244" s="2">
        <v>0</v>
      </c>
      <c r="N1244" s="2">
        <v>355.29700584150248</v>
      </c>
      <c r="O1244" s="2">
        <v>475.47</v>
      </c>
      <c r="P1244" s="2">
        <v>23.77</v>
      </c>
      <c r="Q1244" s="2">
        <v>499.24</v>
      </c>
      <c r="R1244" s="2" t="s">
        <v>44</v>
      </c>
      <c r="S1244" s="2"/>
      <c r="T1244" s="2">
        <f t="shared" si="442"/>
        <v>2</v>
      </c>
      <c r="U1244" s="18">
        <f t="shared" si="443"/>
        <v>11</v>
      </c>
      <c r="V1244" s="18">
        <f t="shared" si="444"/>
        <v>2025</v>
      </c>
      <c r="W1244" s="18" t="str">
        <f t="shared" si="445"/>
        <v/>
      </c>
      <c r="X1244" s="18" t="str">
        <f t="shared" si="446"/>
        <v/>
      </c>
      <c r="Y1244" s="2">
        <f t="shared" si="447"/>
        <v>0.7116757588364363</v>
      </c>
      <c r="Z1244" t="str">
        <f t="shared" si="448"/>
        <v>SO18318</v>
      </c>
      <c r="AA1244" s="11">
        <f t="shared" si="449"/>
        <v>45987.641643518517</v>
      </c>
      <c r="AB1244" s="5" t="str">
        <f t="shared" si="450"/>
        <v>INV13797</v>
      </c>
      <c r="AC1244" s="5" t="str">
        <f>IFERROR(VLOOKUP(D1244,CAARStatus!$A$2:$AA$1600,22,FALSE),"Not invoiced")</f>
        <v>Approved</v>
      </c>
      <c r="AD1244" s="11" t="str">
        <f>IF(AC1244="Paid",IFERROR(VLOOKUP(D1244,CAARStatus!$A$2:$AA$1600,6,FALSE),"Pending"),"Pending")</f>
        <v>Pending</v>
      </c>
      <c r="AE1244" s="5" t="str">
        <f t="shared" si="451"/>
        <v>PO-40-1019795</v>
      </c>
      <c r="AF1244" s="5" t="str">
        <f t="shared" si="452"/>
        <v>Canadian Bearings Ltd.</v>
      </c>
      <c r="AG1244" s="5" t="str">
        <f t="shared" si="453"/>
        <v>CAD</v>
      </c>
      <c r="AH1244" s="5">
        <f t="shared" si="454"/>
        <v>475.47</v>
      </c>
      <c r="AI1244" s="12">
        <f>IF(L1244-N1244=0,VLOOKUP(U1244,rate!A$4:B$15,2,FALSE)*AH1244,IF(AG1244="USD",O1244,AH1244*Y1244))</f>
        <v>338.38047305396037</v>
      </c>
      <c r="AJ1244" s="13">
        <f t="shared" si="455"/>
        <v>0.7116757588364363</v>
      </c>
      <c r="AK1244" s="13">
        <f>-IF(AG1244="CAD",IFERROR(VLOOKUP(D1244,CAARStatus!$A$1:$Y$1600,16,FALSE),0),0)</f>
        <v>-110.83</v>
      </c>
      <c r="AL1244" s="13">
        <f>-IF(AG1244="USD",IFERROR(VLOOKUP(D1244,CAARStatus!$A$1:$Y$1600,11,FALSE),0),0)</f>
        <v>0</v>
      </c>
      <c r="AM1244" s="22">
        <f t="shared" si="456"/>
        <v>364.64000000000004</v>
      </c>
      <c r="AN1244" s="12" t="str">
        <f t="shared" si="457"/>
        <v/>
      </c>
      <c r="AO1244" s="12" t="str">
        <f t="shared" si="458"/>
        <v>Pend</v>
      </c>
      <c r="AP1244" t="str">
        <f t="shared" si="459"/>
        <v>XX</v>
      </c>
      <c r="AQ1244" t="str">
        <f>IFERROR(VLOOKUP(Z1244,InvBal!$L$4:$P$600,4,FALSE),"Pend")</f>
        <v>Yes</v>
      </c>
      <c r="AR1244" t="str">
        <f>IFERROR(VLOOKUP(D1244,Manual!$C$1:$E$22,2,FALSE),"Pend")</f>
        <v>Pend</v>
      </c>
      <c r="AS1244" t="str">
        <f t="shared" si="460"/>
        <v>Yes</v>
      </c>
      <c r="AT1244" t="str">
        <f t="shared" si="461"/>
        <v>Yes</v>
      </c>
      <c r="AU1244" s="51" t="str">
        <f t="shared" si="462"/>
        <v>Yes</v>
      </c>
      <c r="AV1244" s="12">
        <f>IFERROR(VLOOKUP(D1244,'Receivable Invoice Detail'!$S$1:$U$3014,3,FALSE),0)</f>
        <v>0</v>
      </c>
      <c r="AW1244" s="12">
        <f t="shared" si="463"/>
        <v>338.38047305396037</v>
      </c>
    </row>
    <row r="1245" spans="1:49" x14ac:dyDescent="0.25">
      <c r="A1245" s="2"/>
      <c r="B1245" s="2"/>
      <c r="C1245" s="2"/>
      <c r="D1245" s="2" t="s">
        <v>5985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>
        <f t="shared" si="442"/>
        <v>2</v>
      </c>
      <c r="U1245" s="18">
        <f t="shared" si="443"/>
        <v>11</v>
      </c>
      <c r="V1245" s="18">
        <f t="shared" si="444"/>
        <v>2025</v>
      </c>
      <c r="W1245" s="18" t="str">
        <f t="shared" si="445"/>
        <v/>
      </c>
      <c r="X1245" s="18" t="str">
        <f t="shared" si="446"/>
        <v/>
      </c>
      <c r="Y1245" s="2">
        <f t="shared" si="447"/>
        <v>0.7116757588364363</v>
      </c>
      <c r="Z1245" t="str">
        <f t="shared" si="448"/>
        <v>SO18318</v>
      </c>
      <c r="AA1245" s="11">
        <f t="shared" si="449"/>
        <v>45987.641643518517</v>
      </c>
      <c r="AB1245" s="5" t="str">
        <f t="shared" si="450"/>
        <v>INV13758</v>
      </c>
      <c r="AC1245" s="5" t="str">
        <f>IFERROR(VLOOKUP(D1245,CAARStatus!$A$2:$AA$1600,22,FALSE),"Not invoiced")</f>
        <v>Approved</v>
      </c>
      <c r="AD1245" s="11" t="str">
        <f>IF(AC1245="Paid",IFERROR(VLOOKUP(D1245,CAARStatus!$A$2:$AA$1600,6,FALSE),"Pending"),"Pending")</f>
        <v>Pending</v>
      </c>
      <c r="AE1245" s="5" t="str">
        <f t="shared" si="451"/>
        <v>PO-40-1019795</v>
      </c>
      <c r="AF1245" s="5" t="str">
        <f t="shared" si="452"/>
        <v>Canadian Bearings Ltd.</v>
      </c>
      <c r="AG1245" s="5" t="str">
        <f t="shared" si="453"/>
        <v>CAD</v>
      </c>
      <c r="AH1245" s="5">
        <f t="shared" si="454"/>
        <v>0</v>
      </c>
      <c r="AI1245" s="12">
        <f>IF(L1245-N1245=0,VLOOKUP(U1245,rate!A$4:B$15,2,FALSE)*AH1245,IF(AG1245="USD",O1245,AH1245*Y1245))</f>
        <v>0</v>
      </c>
      <c r="AJ1245" s="13">
        <f t="shared" si="455"/>
        <v>0</v>
      </c>
      <c r="AK1245" s="13">
        <f>-IF(AG1245="CAD",IFERROR(VLOOKUP(D1245,CAARStatus!$A$1:$Y$1600,16,FALSE),0),0)</f>
        <v>-364.64</v>
      </c>
      <c r="AL1245" s="13">
        <f>-IF(AG1245="USD",IFERROR(VLOOKUP(D1245,CAARStatus!$A$1:$Y$1600,11,FALSE),0),0)</f>
        <v>0</v>
      </c>
      <c r="AM1245" s="22">
        <f t="shared" si="456"/>
        <v>-364.64</v>
      </c>
      <c r="AN1245" s="12" t="str">
        <f t="shared" si="457"/>
        <v/>
      </c>
      <c r="AO1245" s="12" t="str">
        <f t="shared" si="458"/>
        <v>Pend</v>
      </c>
      <c r="AP1245" t="str">
        <f t="shared" si="459"/>
        <v>XX</v>
      </c>
      <c r="AQ1245" t="str">
        <f>IFERROR(VLOOKUP(Z1245,InvBal!$L$4:$P$600,4,FALSE),"Pend")</f>
        <v>Yes</v>
      </c>
      <c r="AR1245" t="str">
        <f>IFERROR(VLOOKUP(D1245,Manual!$C$1:$E$22,2,FALSE),"Pend")</f>
        <v>Pend</v>
      </c>
      <c r="AS1245" t="str">
        <f t="shared" si="460"/>
        <v>Yes</v>
      </c>
      <c r="AT1245" t="str">
        <f t="shared" si="461"/>
        <v/>
      </c>
      <c r="AU1245" s="51" t="str">
        <f t="shared" si="462"/>
        <v/>
      </c>
      <c r="AV1245" s="12">
        <f>IFERROR(VLOOKUP(D1245,'Receivable Invoice Detail'!$S$1:$U$3014,3,FALSE),0)</f>
        <v>0</v>
      </c>
      <c r="AW1245" s="12">
        <f t="shared" si="463"/>
        <v>0</v>
      </c>
    </row>
    <row r="1246" spans="1:49" x14ac:dyDescent="0.25">
      <c r="A1246" s="2">
        <v>1</v>
      </c>
      <c r="B1246" s="2" t="s">
        <v>52</v>
      </c>
      <c r="C1246" s="2" t="s">
        <v>53</v>
      </c>
      <c r="D1246" s="2" t="s">
        <v>5997</v>
      </c>
      <c r="E1246" s="2" t="s">
        <v>54</v>
      </c>
      <c r="F1246" s="3">
        <v>45987.731388888889</v>
      </c>
      <c r="G1246" s="3">
        <v>45988.451990740738</v>
      </c>
      <c r="H1246" s="4">
        <v>46009</v>
      </c>
      <c r="I1246" s="2" t="s">
        <v>21</v>
      </c>
      <c r="J1246" s="2" t="s">
        <v>22</v>
      </c>
      <c r="K1246" s="2">
        <v>1</v>
      </c>
      <c r="L1246" s="2">
        <v>5301.19</v>
      </c>
      <c r="M1246" s="2">
        <v>0</v>
      </c>
      <c r="N1246" s="2">
        <v>3778.0770766706619</v>
      </c>
      <c r="O1246" s="2">
        <v>5048.75</v>
      </c>
      <c r="P1246" s="2">
        <v>252.44</v>
      </c>
      <c r="Q1246" s="2">
        <v>5301.19</v>
      </c>
      <c r="R1246" s="2" t="s">
        <v>44</v>
      </c>
      <c r="S1246" s="2"/>
      <c r="T1246" s="2">
        <f t="shared" si="442"/>
        <v>1</v>
      </c>
      <c r="U1246" s="18">
        <f t="shared" si="443"/>
        <v>11</v>
      </c>
      <c r="V1246" s="18">
        <f t="shared" si="444"/>
        <v>2025</v>
      </c>
      <c r="W1246" s="18" t="str">
        <f t="shared" si="445"/>
        <v/>
      </c>
      <c r="X1246" s="18" t="str">
        <f t="shared" si="446"/>
        <v/>
      </c>
      <c r="Y1246" s="2">
        <f t="shared" si="447"/>
        <v>0.71268471355877872</v>
      </c>
      <c r="Z1246" t="str">
        <f t="shared" si="448"/>
        <v>SO18320</v>
      </c>
      <c r="AA1246" s="11">
        <f t="shared" si="449"/>
        <v>45987.731388888889</v>
      </c>
      <c r="AB1246" s="5" t="str">
        <f t="shared" si="450"/>
        <v>INV13761</v>
      </c>
      <c r="AC1246" s="5" t="str">
        <f>IFERROR(VLOOKUP(D1246,CAARStatus!$A$2:$AA$1600,22,FALSE),"Not invoiced")</f>
        <v>Approved</v>
      </c>
      <c r="AD1246" s="11" t="str">
        <f>IF(AC1246="Paid",IFERROR(VLOOKUP(D1246,CAARStatus!$A$2:$AA$1600,6,FALSE),"Pending"),"Pending")</f>
        <v>Pending</v>
      </c>
      <c r="AE1246" s="5" t="str">
        <f t="shared" si="451"/>
        <v>3413</v>
      </c>
      <c r="AF1246" s="5" t="str">
        <f t="shared" si="452"/>
        <v>Les Pompes du St-Laurent Inc.</v>
      </c>
      <c r="AG1246" s="5" t="str">
        <f t="shared" si="453"/>
        <v>CAD</v>
      </c>
      <c r="AH1246" s="5">
        <f t="shared" si="454"/>
        <v>5048.75</v>
      </c>
      <c r="AI1246" s="12">
        <f>IF(L1246-N1246=0,VLOOKUP(U1246,rate!A$4:B$15,2,FALSE)*AH1246,IF(AG1246="USD",O1246,AH1246*Y1246))</f>
        <v>3598.166947579884</v>
      </c>
      <c r="AJ1246" s="13">
        <f t="shared" si="455"/>
        <v>0.71268471355877872</v>
      </c>
      <c r="AK1246" s="13">
        <f>-IF(AG1246="CAD",IFERROR(VLOOKUP(D1246,CAARStatus!$A$1:$Y$1600,16,FALSE),0),0)</f>
        <v>-5048.75</v>
      </c>
      <c r="AL1246" s="13">
        <f>-IF(AG1246="USD",IFERROR(VLOOKUP(D1246,CAARStatus!$A$1:$Y$1600,11,FALSE),0),0)</f>
        <v>0</v>
      </c>
      <c r="AM1246" s="22">
        <f t="shared" si="456"/>
        <v>0</v>
      </c>
      <c r="AN1246" s="12" t="str">
        <f t="shared" si="457"/>
        <v/>
      </c>
      <c r="AO1246" s="12" t="str">
        <f t="shared" si="458"/>
        <v>Pend</v>
      </c>
      <c r="AP1246" t="str">
        <f t="shared" si="459"/>
        <v>Pend</v>
      </c>
      <c r="AQ1246" t="str">
        <f>IFERROR(VLOOKUP(Z1246,InvBal!$L$4:$P$600,4,FALSE),"Pend")</f>
        <v>Pend</v>
      </c>
      <c r="AR1246" t="str">
        <f>IFERROR(VLOOKUP(D1246,Manual!$C$1:$E$22,2,FALSE),"Pend")</f>
        <v>Pend</v>
      </c>
      <c r="AS1246" t="str">
        <f t="shared" si="460"/>
        <v/>
      </c>
      <c r="AT1246" t="str">
        <f t="shared" si="461"/>
        <v>Yes</v>
      </c>
      <c r="AU1246" s="51" t="str">
        <f t="shared" si="462"/>
        <v/>
      </c>
      <c r="AV1246" s="12">
        <f>IFERROR(VLOOKUP(D1246,'Receivable Invoice Detail'!$S$1:$U$3014,3,FALSE),0)</f>
        <v>0</v>
      </c>
      <c r="AW1246" s="12">
        <f t="shared" si="463"/>
        <v>0</v>
      </c>
    </row>
    <row r="1247" spans="1:49" x14ac:dyDescent="0.25">
      <c r="A1247" s="2">
        <v>1</v>
      </c>
      <c r="B1247" s="2" t="s">
        <v>269</v>
      </c>
      <c r="C1247" s="2" t="s">
        <v>270</v>
      </c>
      <c r="D1247" s="2" t="s">
        <v>5978</v>
      </c>
      <c r="E1247" s="2" t="s">
        <v>271</v>
      </c>
      <c r="F1247" s="3">
        <v>45987.80201388889</v>
      </c>
      <c r="G1247" s="3">
        <v>45965.80201388889</v>
      </c>
      <c r="H1247" s="4">
        <v>45996</v>
      </c>
      <c r="I1247" s="2" t="s">
        <v>36</v>
      </c>
      <c r="J1247" s="2" t="s">
        <v>22</v>
      </c>
      <c r="K1247" s="2">
        <v>1</v>
      </c>
      <c r="L1247" s="2">
        <v>678.59</v>
      </c>
      <c r="M1247" s="2">
        <v>0</v>
      </c>
      <c r="N1247" s="2">
        <v>480.97169257113808</v>
      </c>
      <c r="O1247" s="2">
        <v>646.28</v>
      </c>
      <c r="P1247" s="2">
        <v>32.31</v>
      </c>
      <c r="Q1247" s="2">
        <v>678.59</v>
      </c>
      <c r="R1247" s="2" t="s">
        <v>44</v>
      </c>
      <c r="S1247" s="2"/>
      <c r="T1247" s="2">
        <f t="shared" si="442"/>
        <v>1</v>
      </c>
      <c r="U1247" s="18">
        <f t="shared" si="443"/>
        <v>11</v>
      </c>
      <c r="V1247" s="18">
        <f t="shared" si="444"/>
        <v>2025</v>
      </c>
      <c r="W1247" s="18" t="str">
        <f t="shared" si="445"/>
        <v/>
      </c>
      <c r="X1247" s="18" t="str">
        <f t="shared" si="446"/>
        <v/>
      </c>
      <c r="Y1247" s="2">
        <f t="shared" si="447"/>
        <v>0.70878099083561219</v>
      </c>
      <c r="Z1247" t="str">
        <f t="shared" si="448"/>
        <v>SO18322</v>
      </c>
      <c r="AA1247" s="11">
        <f t="shared" si="449"/>
        <v>45987.80201388889</v>
      </c>
      <c r="AB1247" s="5" t="str">
        <f t="shared" si="450"/>
        <v>INV13745</v>
      </c>
      <c r="AC1247" s="5" t="str">
        <f>IFERROR(VLOOKUP(D1247,CAARStatus!$A$2:$AA$1600,22,FALSE),"Not invoiced")</f>
        <v>Approved</v>
      </c>
      <c r="AD1247" s="11" t="str">
        <f>IF(AC1247="Paid",IFERROR(VLOOKUP(D1247,CAARStatus!$A$2:$AA$1600,6,FALSE),"Pending"),"Pending")</f>
        <v>Pending</v>
      </c>
      <c r="AE1247" s="5" t="str">
        <f t="shared" si="451"/>
        <v>7945</v>
      </c>
      <c r="AF1247" s="5" t="str">
        <f t="shared" si="452"/>
        <v>Hyperflo, Hyperflo</v>
      </c>
      <c r="AG1247" s="5" t="str">
        <f t="shared" si="453"/>
        <v>CAD</v>
      </c>
      <c r="AH1247" s="5">
        <f t="shared" si="454"/>
        <v>646.28</v>
      </c>
      <c r="AI1247" s="12">
        <f>IF(L1247-N1247=0,VLOOKUP(U1247,rate!A$4:B$15,2,FALSE)*AH1247,IF(AG1247="USD",O1247,AH1247*Y1247))</f>
        <v>458.0709787572394</v>
      </c>
      <c r="AJ1247" s="13">
        <f t="shared" si="455"/>
        <v>0.70878099083561219</v>
      </c>
      <c r="AK1247" s="13">
        <f>-IF(AG1247="CAD",IFERROR(VLOOKUP(D1247,CAARStatus!$A$1:$Y$1600,16,FALSE),0),0)</f>
        <v>-646.28</v>
      </c>
      <c r="AL1247" s="13">
        <f>-IF(AG1247="USD",IFERROR(VLOOKUP(D1247,CAARStatus!$A$1:$Y$1600,11,FALSE),0),0)</f>
        <v>0</v>
      </c>
      <c r="AM1247" s="22">
        <f t="shared" si="456"/>
        <v>0</v>
      </c>
      <c r="AN1247" s="12" t="str">
        <f t="shared" si="457"/>
        <v/>
      </c>
      <c r="AO1247" s="12" t="str">
        <f t="shared" si="458"/>
        <v>Pend</v>
      </c>
      <c r="AP1247" t="str">
        <f t="shared" si="459"/>
        <v>Pend</v>
      </c>
      <c r="AQ1247" t="str">
        <f>IFERROR(VLOOKUP(Z1247,InvBal!$L$4:$P$600,4,FALSE),"Pend")</f>
        <v>Pend</v>
      </c>
      <c r="AR1247" t="str">
        <f>IFERROR(VLOOKUP(D1247,Manual!$C$1:$E$22,2,FALSE),"Pend")</f>
        <v>Pend</v>
      </c>
      <c r="AS1247" t="str">
        <f t="shared" si="460"/>
        <v/>
      </c>
      <c r="AT1247" t="str">
        <f t="shared" si="461"/>
        <v>Yes</v>
      </c>
      <c r="AU1247" s="51" t="str">
        <f t="shared" si="462"/>
        <v/>
      </c>
      <c r="AV1247" s="12">
        <f>IFERROR(VLOOKUP(D1247,'Receivable Invoice Detail'!$S$1:$U$3014,3,FALSE),0)</f>
        <v>0</v>
      </c>
      <c r="AW1247" s="12">
        <f t="shared" si="463"/>
        <v>0</v>
      </c>
    </row>
    <row r="1248" spans="1:49" x14ac:dyDescent="0.25">
      <c r="A1248" s="2">
        <v>1</v>
      </c>
      <c r="B1248" s="2" t="s">
        <v>55</v>
      </c>
      <c r="C1248" s="2" t="s">
        <v>56</v>
      </c>
      <c r="D1248" s="2" t="s">
        <v>5955</v>
      </c>
      <c r="E1248" s="2" t="s">
        <v>54</v>
      </c>
      <c r="F1248" s="3">
        <v>45988.407986111109</v>
      </c>
      <c r="G1248" s="3">
        <v>45988.442476851851</v>
      </c>
      <c r="H1248" s="4">
        <v>45989</v>
      </c>
      <c r="I1248" s="2" t="s">
        <v>21</v>
      </c>
      <c r="J1248" s="2" t="s">
        <v>22</v>
      </c>
      <c r="K1248" s="2">
        <v>1</v>
      </c>
      <c r="L1248" s="2">
        <v>2901.37</v>
      </c>
      <c r="M1248" s="2">
        <v>0</v>
      </c>
      <c r="N1248" s="2">
        <v>2067.7620473780339</v>
      </c>
      <c r="O1248" s="2">
        <v>2763.21</v>
      </c>
      <c r="P1248" s="2">
        <v>138.16</v>
      </c>
      <c r="Q1248" s="2">
        <v>2901.37</v>
      </c>
      <c r="R1248" s="2" t="s">
        <v>44</v>
      </c>
      <c r="S1248" s="2"/>
      <c r="T1248" s="2">
        <f t="shared" si="442"/>
        <v>1</v>
      </c>
      <c r="U1248" s="18">
        <f t="shared" si="443"/>
        <v>11</v>
      </c>
      <c r="V1248" s="18">
        <f t="shared" si="444"/>
        <v>2025</v>
      </c>
      <c r="W1248" s="18" t="str">
        <f t="shared" si="445"/>
        <v/>
      </c>
      <c r="X1248" s="18" t="str">
        <f t="shared" si="446"/>
        <v/>
      </c>
      <c r="Y1248" s="2">
        <f t="shared" si="447"/>
        <v>0.71268471355877883</v>
      </c>
      <c r="Z1248" t="str">
        <f t="shared" si="448"/>
        <v>SO18323</v>
      </c>
      <c r="AA1248" s="11">
        <f t="shared" si="449"/>
        <v>45988.407986111109</v>
      </c>
      <c r="AB1248" s="5" t="str">
        <f t="shared" si="450"/>
        <v>INV13722</v>
      </c>
      <c r="AC1248" s="5" t="str">
        <f>IFERROR(VLOOKUP(D1248,CAARStatus!$A$2:$AA$1600,22,FALSE),"Not invoiced")</f>
        <v>Approved</v>
      </c>
      <c r="AD1248" s="11" t="str">
        <f>IF(AC1248="Paid",IFERROR(VLOOKUP(D1248,CAARStatus!$A$2:$AA$1600,6,FALSE),"Pending"),"Pending")</f>
        <v>Pending</v>
      </c>
      <c r="AE1248" s="5" t="str">
        <f t="shared" si="451"/>
        <v>3414</v>
      </c>
      <c r="AF1248" s="5" t="str">
        <f t="shared" si="452"/>
        <v>Les Pompes du St-Laurent Inc.</v>
      </c>
      <c r="AG1248" s="5" t="str">
        <f t="shared" si="453"/>
        <v>CAD</v>
      </c>
      <c r="AH1248" s="5">
        <f t="shared" si="454"/>
        <v>2763.21</v>
      </c>
      <c r="AI1248" s="12">
        <f>IF(L1248-N1248=0,VLOOKUP(U1248,rate!A$4:B$15,2,FALSE)*AH1248,IF(AG1248="USD",O1248,AH1248*Y1248))</f>
        <v>1969.2975273527534</v>
      </c>
      <c r="AJ1248" s="13">
        <f t="shared" si="455"/>
        <v>0.71268471355877883</v>
      </c>
      <c r="AK1248" s="13">
        <f>-IF(AG1248="CAD",IFERROR(VLOOKUP(D1248,CAARStatus!$A$1:$Y$1600,16,FALSE),0),0)</f>
        <v>-2763.21</v>
      </c>
      <c r="AL1248" s="13">
        <f>-IF(AG1248="USD",IFERROR(VLOOKUP(D1248,CAARStatus!$A$1:$Y$1600,11,FALSE),0),0)</f>
        <v>0</v>
      </c>
      <c r="AM1248" s="22">
        <f t="shared" si="456"/>
        <v>0</v>
      </c>
      <c r="AN1248" s="12" t="str">
        <f t="shared" si="457"/>
        <v/>
      </c>
      <c r="AO1248" s="12" t="str">
        <f t="shared" si="458"/>
        <v>Pend</v>
      </c>
      <c r="AP1248" t="str">
        <f t="shared" si="459"/>
        <v>Pend</v>
      </c>
      <c r="AQ1248" t="str">
        <f>IFERROR(VLOOKUP(Z1248,InvBal!$L$4:$P$600,4,FALSE),"Pend")</f>
        <v>Pend</v>
      </c>
      <c r="AR1248" t="str">
        <f>IFERROR(VLOOKUP(D1248,Manual!$C$1:$E$22,2,FALSE),"Pend")</f>
        <v>Pend</v>
      </c>
      <c r="AS1248" t="str">
        <f t="shared" si="460"/>
        <v/>
      </c>
      <c r="AT1248" t="str">
        <f t="shared" si="461"/>
        <v>Yes</v>
      </c>
      <c r="AU1248" s="51" t="str">
        <f t="shared" si="462"/>
        <v/>
      </c>
      <c r="AV1248" s="12">
        <f>IFERROR(VLOOKUP(D1248,'Receivable Invoice Detail'!$S$1:$U$3014,3,FALSE),0)</f>
        <v>0</v>
      </c>
      <c r="AW1248" s="12">
        <f t="shared" si="463"/>
        <v>0</v>
      </c>
    </row>
    <row r="1249" spans="1:49" x14ac:dyDescent="0.25">
      <c r="A1249" s="2">
        <v>0</v>
      </c>
      <c r="B1249" s="2" t="s">
        <v>5868</v>
      </c>
      <c r="C1249" s="2" t="s">
        <v>5869</v>
      </c>
      <c r="D1249" s="2"/>
      <c r="E1249" s="2" t="s">
        <v>77</v>
      </c>
      <c r="F1249" s="3">
        <v>45988.519548611112</v>
      </c>
      <c r="G1249" s="3">
        <v>45994.450486111113</v>
      </c>
      <c r="H1249" s="4">
        <v>46001</v>
      </c>
      <c r="I1249" s="2" t="s">
        <v>36</v>
      </c>
      <c r="J1249" s="2" t="s">
        <v>22</v>
      </c>
      <c r="K1249" s="2">
        <v>1</v>
      </c>
      <c r="L1249" s="2">
        <v>84.04</v>
      </c>
      <c r="M1249" s="2">
        <v>0</v>
      </c>
      <c r="N1249" s="2">
        <v>60.231143995199673</v>
      </c>
      <c r="O1249" s="2">
        <v>80.040000000000006</v>
      </c>
      <c r="P1249" s="2">
        <v>4</v>
      </c>
      <c r="Q1249" s="2">
        <v>84.04</v>
      </c>
      <c r="R1249" s="2" t="s">
        <v>44</v>
      </c>
      <c r="S1249" s="2"/>
      <c r="T1249" s="2">
        <f t="shared" si="442"/>
        <v>0</v>
      </c>
      <c r="U1249" s="18">
        <f t="shared" si="443"/>
        <v>11</v>
      </c>
      <c r="V1249" s="18">
        <f t="shared" si="444"/>
        <v>2025</v>
      </c>
      <c r="W1249" s="18" t="str">
        <f t="shared" si="445"/>
        <v/>
      </c>
      <c r="X1249" s="18" t="str">
        <f t="shared" si="446"/>
        <v/>
      </c>
      <c r="Y1249" s="2">
        <f t="shared" si="447"/>
        <v>0.71669614463588371</v>
      </c>
      <c r="Z1249" t="str">
        <f t="shared" si="448"/>
        <v>SO18324</v>
      </c>
      <c r="AA1249" s="11">
        <f t="shared" si="449"/>
        <v>45988.519548611112</v>
      </c>
      <c r="AB1249" s="5" t="str">
        <f t="shared" si="450"/>
        <v>No Inv</v>
      </c>
      <c r="AC1249" s="5" t="str">
        <f>IFERROR(VLOOKUP(D1249,CAARStatus!$A$2:$AA$1600,22,FALSE),"Not invoiced")</f>
        <v>Not invoiced</v>
      </c>
      <c r="AD1249" s="11" t="str">
        <f>IF(AC1249="Paid",IFERROR(VLOOKUP(D1249,CAARStatus!$A$2:$AA$1600,6,FALSE),"Pending"),"Pending")</f>
        <v>Pending</v>
      </c>
      <c r="AE1249" s="5" t="str">
        <f t="shared" si="451"/>
        <v>PO-40-1019694</v>
      </c>
      <c r="AF1249" s="5" t="str">
        <f t="shared" si="452"/>
        <v>Canadian Bearings Ltd.</v>
      </c>
      <c r="AG1249" s="5" t="str">
        <f t="shared" si="453"/>
        <v>CAD</v>
      </c>
      <c r="AH1249" s="5">
        <f t="shared" si="454"/>
        <v>80.040000000000006</v>
      </c>
      <c r="AI1249" s="12">
        <f>IF(L1249-N1249=0,VLOOKUP(U1249,rate!A$4:B$15,2,FALSE)*AH1249,IF(AG1249="USD",O1249,AH1249*Y1249))</f>
        <v>57.364359416656136</v>
      </c>
      <c r="AJ1249" s="13">
        <f t="shared" si="455"/>
        <v>0.71669614463588371</v>
      </c>
      <c r="AK1249" s="13">
        <f>-IF(AG1249="CAD",IFERROR(VLOOKUP(D1249,CAARStatus!$A$1:$Y$1600,16,FALSE),0),0)</f>
        <v>0</v>
      </c>
      <c r="AL1249" s="13">
        <f>-IF(AG1249="USD",IFERROR(VLOOKUP(D1249,CAARStatus!$A$1:$Y$1600,11,FALSE),0),0)</f>
        <v>0</v>
      </c>
      <c r="AM1249" s="22">
        <f t="shared" si="456"/>
        <v>80.040000000000006</v>
      </c>
      <c r="AN1249" s="12" t="str">
        <f t="shared" si="457"/>
        <v/>
      </c>
      <c r="AO1249" s="12" t="str">
        <f t="shared" si="458"/>
        <v>Pend</v>
      </c>
      <c r="AP1249" t="str">
        <f t="shared" si="459"/>
        <v>Pend</v>
      </c>
      <c r="AQ1249" t="str">
        <f>IFERROR(VLOOKUP(Z1249,InvBal!$L$4:$P$600,4,FALSE),"Pend")</f>
        <v>Pend</v>
      </c>
      <c r="AR1249" t="str">
        <f>IFERROR(VLOOKUP(D1249,Manual!$C$1:$E$22,2,FALSE),"Pend")</f>
        <v>Pend</v>
      </c>
      <c r="AS1249" t="str">
        <f t="shared" si="460"/>
        <v/>
      </c>
      <c r="AT1249" t="str">
        <f t="shared" si="461"/>
        <v>Yes</v>
      </c>
      <c r="AU1249" s="51" t="str">
        <f t="shared" si="462"/>
        <v/>
      </c>
      <c r="AV1249" s="12">
        <f>IFERROR(VLOOKUP(D1249,'Receivable Invoice Detail'!$S$1:$U$3014,3,FALSE),0)</f>
        <v>0</v>
      </c>
      <c r="AW1249" s="12">
        <f t="shared" si="463"/>
        <v>0</v>
      </c>
    </row>
    <row r="1250" spans="1:49" ht="45" x14ac:dyDescent="0.25">
      <c r="A1250" s="2">
        <v>0</v>
      </c>
      <c r="B1250" s="2" t="s">
        <v>41</v>
      </c>
      <c r="C1250" s="2" t="s">
        <v>42</v>
      </c>
      <c r="D1250" s="2"/>
      <c r="E1250" s="2" t="s">
        <v>6167</v>
      </c>
      <c r="F1250" s="3">
        <v>45988.532800925917</v>
      </c>
      <c r="G1250" s="3">
        <v>45988.729849537027</v>
      </c>
      <c r="H1250" s="4">
        <v>45989</v>
      </c>
      <c r="I1250" s="2" t="s">
        <v>40</v>
      </c>
      <c r="J1250" s="2" t="s">
        <v>22</v>
      </c>
      <c r="K1250" s="2">
        <v>1</v>
      </c>
      <c r="L1250" s="2">
        <v>513.16</v>
      </c>
      <c r="M1250" s="2">
        <v>0</v>
      </c>
      <c r="N1250" s="2">
        <v>365.72128760982292</v>
      </c>
      <c r="O1250" s="2">
        <v>488.72</v>
      </c>
      <c r="P1250" s="2">
        <v>24.44</v>
      </c>
      <c r="Q1250" s="2">
        <v>513.16</v>
      </c>
      <c r="R1250" s="2" t="s">
        <v>44</v>
      </c>
      <c r="S1250" s="2"/>
      <c r="T1250" s="2">
        <f t="shared" si="442"/>
        <v>0</v>
      </c>
      <c r="U1250" s="18">
        <f t="shared" si="443"/>
        <v>11</v>
      </c>
      <c r="V1250" s="18">
        <f t="shared" si="444"/>
        <v>2025</v>
      </c>
      <c r="W1250" s="18" t="str">
        <f t="shared" si="445"/>
        <v/>
      </c>
      <c r="X1250" s="18" t="str">
        <f t="shared" si="446"/>
        <v/>
      </c>
      <c r="Y1250" s="2">
        <f t="shared" si="447"/>
        <v>0.71268471355877883</v>
      </c>
      <c r="Z1250" t="str">
        <f t="shared" si="448"/>
        <v>SO18325</v>
      </c>
      <c r="AA1250" s="11">
        <f t="shared" si="449"/>
        <v>45988.532800925917</v>
      </c>
      <c r="AB1250" s="5" t="str">
        <f t="shared" si="450"/>
        <v>No Inv</v>
      </c>
      <c r="AC1250" s="5" t="str">
        <f>IFERROR(VLOOKUP(D1250,CAARStatus!$A$2:$AA$1600,22,FALSE),"Not invoiced")</f>
        <v>Not invoiced</v>
      </c>
      <c r="AD1250" s="11" t="str">
        <f>IF(AC1250="Paid",IFERROR(VLOOKUP(D1250,CAARStatus!$A$2:$AA$1600,6,FALSE),"Pending"),"Pending")</f>
        <v>Pending</v>
      </c>
      <c r="AE1250" s="5" t="str">
        <f t="shared" si="451"/>
        <v>L68485-DS</v>
      </c>
      <c r="AF1250" s="5" t="str">
        <f t="shared" si="452"/>
        <v>Wild Rows Pump &amp; Compression LTD., Wild Rows Pump &amp; Compression LTD.</v>
      </c>
      <c r="AG1250" s="5" t="str">
        <f t="shared" si="453"/>
        <v>CAD</v>
      </c>
      <c r="AH1250" s="5">
        <f t="shared" si="454"/>
        <v>488.72</v>
      </c>
      <c r="AI1250" s="12">
        <f>IF(L1250-N1250=0,VLOOKUP(U1250,rate!A$4:B$15,2,FALSE)*AH1250,IF(AG1250="USD",O1250,AH1250*Y1250))</f>
        <v>348.30327321044643</v>
      </c>
      <c r="AJ1250" s="13">
        <f t="shared" si="455"/>
        <v>0.71268471355877883</v>
      </c>
      <c r="AK1250" s="13">
        <f>-IF(AG1250="CAD",IFERROR(VLOOKUP(D1250,CAARStatus!$A$1:$Y$1600,16,FALSE),0),0)</f>
        <v>0</v>
      </c>
      <c r="AL1250" s="13">
        <f>-IF(AG1250="USD",IFERROR(VLOOKUP(D1250,CAARStatus!$A$1:$Y$1600,11,FALSE),0),0)</f>
        <v>0</v>
      </c>
      <c r="AM1250" s="22">
        <f t="shared" si="456"/>
        <v>488.72</v>
      </c>
      <c r="AN1250" s="12" t="str">
        <f t="shared" si="457"/>
        <v/>
      </c>
      <c r="AO1250" s="12" t="str">
        <f t="shared" si="458"/>
        <v>Pend</v>
      </c>
      <c r="AP1250" t="str">
        <f t="shared" si="459"/>
        <v>Pend</v>
      </c>
      <c r="AQ1250" t="str">
        <f>IFERROR(VLOOKUP(Z1250,InvBal!$L$4:$P$600,4,FALSE),"Pend")</f>
        <v>Pend</v>
      </c>
      <c r="AR1250" t="str">
        <f>IFERROR(VLOOKUP(D1250,Manual!$C$1:$E$22,2,FALSE),"Pend")</f>
        <v>Pend</v>
      </c>
      <c r="AS1250" t="str">
        <f t="shared" si="460"/>
        <v/>
      </c>
      <c r="AT1250" t="str">
        <f t="shared" si="461"/>
        <v>Yes</v>
      </c>
      <c r="AU1250" s="51" t="str">
        <f t="shared" si="462"/>
        <v/>
      </c>
      <c r="AV1250" s="12">
        <f>IFERROR(VLOOKUP(D1250,'Receivable Invoice Detail'!$S$1:$U$3014,3,FALSE),0)</f>
        <v>0</v>
      </c>
      <c r="AW1250" s="12">
        <f t="shared" si="463"/>
        <v>0</v>
      </c>
    </row>
    <row r="1251" spans="1:49" ht="30" x14ac:dyDescent="0.25">
      <c r="A1251" s="2">
        <v>1</v>
      </c>
      <c r="B1251" s="2" t="s">
        <v>45</v>
      </c>
      <c r="C1251" s="2" t="s">
        <v>46</v>
      </c>
      <c r="D1251" s="2" t="s">
        <v>5891</v>
      </c>
      <c r="E1251" s="2" t="s">
        <v>47</v>
      </c>
      <c r="F1251" s="3">
        <v>45988.599907407413</v>
      </c>
      <c r="G1251" s="3">
        <v>45988.726076388892</v>
      </c>
      <c r="H1251" s="4">
        <v>45995</v>
      </c>
      <c r="I1251" s="2" t="s">
        <v>36</v>
      </c>
      <c r="J1251" s="2" t="s">
        <v>22</v>
      </c>
      <c r="K1251" s="2">
        <v>1</v>
      </c>
      <c r="L1251" s="2">
        <v>1219.24</v>
      </c>
      <c r="M1251" s="2">
        <v>0</v>
      </c>
      <c r="N1251" s="2">
        <v>868.93371015940545</v>
      </c>
      <c r="O1251" s="2">
        <v>1078.97</v>
      </c>
      <c r="P1251" s="2">
        <v>140.27000000000001</v>
      </c>
      <c r="Q1251" s="2">
        <v>1219.24</v>
      </c>
      <c r="R1251" s="2" t="s">
        <v>44</v>
      </c>
      <c r="S1251" s="2"/>
      <c r="T1251" s="2">
        <f t="shared" si="442"/>
        <v>1</v>
      </c>
      <c r="U1251" s="18">
        <f t="shared" si="443"/>
        <v>11</v>
      </c>
      <c r="V1251" s="18">
        <f t="shared" si="444"/>
        <v>2025</v>
      </c>
      <c r="W1251" s="18" t="str">
        <f t="shared" si="445"/>
        <v/>
      </c>
      <c r="X1251" s="18" t="str">
        <f t="shared" si="446"/>
        <v/>
      </c>
      <c r="Y1251" s="2">
        <f t="shared" si="447"/>
        <v>0.71268471355877883</v>
      </c>
      <c r="Z1251" t="str">
        <f t="shared" si="448"/>
        <v>SO18326</v>
      </c>
      <c r="AA1251" s="11">
        <f t="shared" si="449"/>
        <v>45988.599907407413</v>
      </c>
      <c r="AB1251" s="5" t="str">
        <f t="shared" si="450"/>
        <v>INV13720</v>
      </c>
      <c r="AC1251" s="5" t="str">
        <f>IFERROR(VLOOKUP(D1251,CAARStatus!$A$2:$AA$1600,22,FALSE),"Not invoiced")</f>
        <v>Approved</v>
      </c>
      <c r="AD1251" s="11" t="str">
        <f>IF(AC1251="Paid",IFERROR(VLOOKUP(D1251,CAARStatus!$A$2:$AA$1600,6,FALSE),"Pending"),"Pending")</f>
        <v>Pending</v>
      </c>
      <c r="AE1251" s="5" t="str">
        <f t="shared" si="451"/>
        <v>03R20852</v>
      </c>
      <c r="AF1251" s="5" t="str">
        <f t="shared" si="452"/>
        <v>Moffatt Supply &amp; Specialties - Red Lake</v>
      </c>
      <c r="AG1251" s="5" t="str">
        <f t="shared" si="453"/>
        <v>CAD</v>
      </c>
      <c r="AH1251" s="5">
        <f t="shared" si="454"/>
        <v>1078.97</v>
      </c>
      <c r="AI1251" s="12">
        <f>IF(L1251-N1251=0,VLOOKUP(U1251,rate!A$4:B$15,2,FALSE)*AH1251,IF(AG1251="USD",O1251,AH1251*Y1251))</f>
        <v>768.96542538851565</v>
      </c>
      <c r="AJ1251" s="13">
        <f t="shared" si="455"/>
        <v>0.71268471355877883</v>
      </c>
      <c r="AK1251" s="13">
        <f>-IF(AG1251="CAD",IFERROR(VLOOKUP(D1251,CAARStatus!$A$1:$Y$1600,16,FALSE),0),0)</f>
        <v>-1078.97</v>
      </c>
      <c r="AL1251" s="13">
        <f>-IF(AG1251="USD",IFERROR(VLOOKUP(D1251,CAARStatus!$A$1:$Y$1600,11,FALSE),0),0)</f>
        <v>0</v>
      </c>
      <c r="AM1251" s="22">
        <f t="shared" si="456"/>
        <v>0</v>
      </c>
      <c r="AN1251" s="12" t="str">
        <f t="shared" si="457"/>
        <v/>
      </c>
      <c r="AO1251" s="12" t="str">
        <f t="shared" si="458"/>
        <v>Pend</v>
      </c>
      <c r="AP1251" t="str">
        <f t="shared" si="459"/>
        <v>Pend</v>
      </c>
      <c r="AQ1251" t="str">
        <f>IFERROR(VLOOKUP(Z1251,InvBal!$L$4:$P$600,4,FALSE),"Pend")</f>
        <v>Pend</v>
      </c>
      <c r="AR1251" t="str">
        <f>IFERROR(VLOOKUP(D1251,Manual!$C$1:$E$22,2,FALSE),"Pend")</f>
        <v>Pend</v>
      </c>
      <c r="AS1251" t="str">
        <f t="shared" si="460"/>
        <v/>
      </c>
      <c r="AT1251" t="str">
        <f t="shared" si="461"/>
        <v>Yes</v>
      </c>
      <c r="AU1251" s="51" t="str">
        <f t="shared" si="462"/>
        <v/>
      </c>
      <c r="AV1251" s="12">
        <f>IFERROR(VLOOKUP(D1251,'Receivable Invoice Detail'!$S$1:$U$3014,3,FALSE),0)</f>
        <v>0</v>
      </c>
      <c r="AW1251" s="12">
        <f t="shared" si="463"/>
        <v>0</v>
      </c>
    </row>
    <row r="1252" spans="1:49" ht="30" x14ac:dyDescent="0.25">
      <c r="A1252" s="2">
        <v>1</v>
      </c>
      <c r="B1252" s="2" t="s">
        <v>5870</v>
      </c>
      <c r="C1252" s="2" t="s">
        <v>5871</v>
      </c>
      <c r="D1252" s="2" t="s">
        <v>5892</v>
      </c>
      <c r="E1252" s="2" t="s">
        <v>50</v>
      </c>
      <c r="F1252" s="3">
        <v>45988.647858796299</v>
      </c>
      <c r="G1252" s="3">
        <v>45993.407118055547</v>
      </c>
      <c r="H1252" s="4">
        <v>45993</v>
      </c>
      <c r="I1252" s="2" t="s">
        <v>40</v>
      </c>
      <c r="J1252" s="2" t="s">
        <v>51</v>
      </c>
      <c r="K1252" s="2">
        <v>0.71560906819455017</v>
      </c>
      <c r="L1252" s="2">
        <v>4475.9075064280923</v>
      </c>
      <c r="M1252" s="2">
        <v>0</v>
      </c>
      <c r="N1252" s="2">
        <v>3203</v>
      </c>
      <c r="O1252" s="2">
        <v>3203</v>
      </c>
      <c r="P1252" s="2"/>
      <c r="Q1252" s="2">
        <v>3203</v>
      </c>
      <c r="R1252" s="2" t="s">
        <v>44</v>
      </c>
      <c r="S1252" s="2"/>
      <c r="T1252" s="2">
        <f t="shared" si="442"/>
        <v>1</v>
      </c>
      <c r="U1252" s="18">
        <f t="shared" si="443"/>
        <v>11</v>
      </c>
      <c r="V1252" s="18">
        <f t="shared" si="444"/>
        <v>2025</v>
      </c>
      <c r="W1252" s="18" t="str">
        <f t="shared" si="445"/>
        <v/>
      </c>
      <c r="X1252" s="18" t="str">
        <f t="shared" si="446"/>
        <v/>
      </c>
      <c r="Y1252" s="2">
        <f t="shared" si="447"/>
        <v>0.71560906819455028</v>
      </c>
      <c r="Z1252" t="str">
        <f t="shared" si="448"/>
        <v>SO18327</v>
      </c>
      <c r="AA1252" s="11">
        <f t="shared" si="449"/>
        <v>45988.647858796299</v>
      </c>
      <c r="AB1252" s="5" t="str">
        <f t="shared" si="450"/>
        <v>INV13717</v>
      </c>
      <c r="AC1252" s="5" t="str">
        <f>IFERROR(VLOOKUP(D1252,CAARStatus!$A$2:$AA$1600,22,FALSE),"Not invoiced")</f>
        <v>Approved</v>
      </c>
      <c r="AD1252" s="11" t="str">
        <f>IF(AC1252="Paid",IFERROR(VLOOKUP(D1252,CAARStatus!$A$2:$AA$1600,6,FALSE),"Pending"),"Pending")</f>
        <v>Pending</v>
      </c>
      <c r="AE1252" s="5" t="str">
        <f t="shared" si="451"/>
        <v>PO003528</v>
      </c>
      <c r="AF1252" s="5" t="str">
        <f t="shared" si="452"/>
        <v>Eleazar General &amp; Industrial Supplies Limited</v>
      </c>
      <c r="AG1252" s="5" t="str">
        <f t="shared" si="453"/>
        <v>USD</v>
      </c>
      <c r="AH1252" s="5">
        <f t="shared" si="454"/>
        <v>4475.9075064280923</v>
      </c>
      <c r="AI1252" s="12">
        <f>IF(L1252-N1252=0,VLOOKUP(U1252,rate!A$4:B$15,2,FALSE)*AH1252,IF(AG1252="USD",O1252,AH1252*Y1252))</f>
        <v>3203</v>
      </c>
      <c r="AJ1252" s="13">
        <f t="shared" si="455"/>
        <v>0.71560906819455028</v>
      </c>
      <c r="AK1252" s="13">
        <f>-IF(AG1252="CAD",IFERROR(VLOOKUP(D1252,CAARStatus!$A$1:$Y$1600,16,FALSE),0),0)</f>
        <v>0</v>
      </c>
      <c r="AL1252" s="13">
        <f>-IF(AG1252="USD",IFERROR(VLOOKUP(D1252,CAARStatus!$A$1:$Y$1600,11,FALSE),0),0)</f>
        <v>-3203</v>
      </c>
      <c r="AM1252" s="22" t="str">
        <f t="shared" si="456"/>
        <v/>
      </c>
      <c r="AN1252" s="12">
        <f t="shared" si="457"/>
        <v>0</v>
      </c>
      <c r="AO1252" s="12" t="str">
        <f t="shared" si="458"/>
        <v>Pend</v>
      </c>
      <c r="AP1252" t="str">
        <f t="shared" si="459"/>
        <v>Pend</v>
      </c>
      <c r="AQ1252" t="str">
        <f>IFERROR(VLOOKUP(Z1252,InvBal!$L$4:$P$600,4,FALSE),"Pend")</f>
        <v>Pend</v>
      </c>
      <c r="AR1252" t="str">
        <f>IFERROR(VLOOKUP(D1252,Manual!$C$1:$E$22,2,FALSE),"Pend")</f>
        <v>Pend</v>
      </c>
      <c r="AS1252" t="str">
        <f t="shared" si="460"/>
        <v/>
      </c>
      <c r="AT1252" t="str">
        <f t="shared" si="461"/>
        <v>Yes</v>
      </c>
      <c r="AU1252" s="51" t="str">
        <f t="shared" si="462"/>
        <v/>
      </c>
      <c r="AV1252" s="12">
        <f>IFERROR(VLOOKUP(D1252,'Receivable Invoice Detail'!$S$1:$U$3014,3,FALSE),0)</f>
        <v>0</v>
      </c>
      <c r="AW1252" s="12">
        <f t="shared" si="463"/>
        <v>0</v>
      </c>
    </row>
    <row r="1253" spans="1:49" ht="30" x14ac:dyDescent="0.25">
      <c r="A1253" s="2">
        <v>1</v>
      </c>
      <c r="B1253" s="2" t="s">
        <v>18</v>
      </c>
      <c r="C1253" s="2" t="s">
        <v>19</v>
      </c>
      <c r="D1253" s="2" t="s">
        <v>5958</v>
      </c>
      <c r="E1253" s="2" t="s">
        <v>20</v>
      </c>
      <c r="F1253" s="3">
        <v>45989.467314814807</v>
      </c>
      <c r="G1253" s="3">
        <v>45989.598402777781</v>
      </c>
      <c r="H1253" s="4">
        <v>45993</v>
      </c>
      <c r="I1253" s="2" t="s">
        <v>21</v>
      </c>
      <c r="J1253" s="2" t="s">
        <v>22</v>
      </c>
      <c r="K1253" s="2">
        <v>1</v>
      </c>
      <c r="L1253" s="2">
        <v>92.24</v>
      </c>
      <c r="M1253" s="2">
        <v>0</v>
      </c>
      <c r="N1253" s="2">
        <v>65.999591789769212</v>
      </c>
      <c r="O1253" s="2">
        <v>87.85</v>
      </c>
      <c r="P1253" s="2">
        <v>4.3899999999999997</v>
      </c>
      <c r="Q1253" s="2">
        <v>92.24</v>
      </c>
      <c r="R1253" s="2" t="s">
        <v>44</v>
      </c>
      <c r="S1253" s="2"/>
      <c r="T1253" s="2">
        <f t="shared" si="442"/>
        <v>1</v>
      </c>
      <c r="U1253" s="18">
        <f t="shared" si="443"/>
        <v>11</v>
      </c>
      <c r="V1253" s="18">
        <f t="shared" si="444"/>
        <v>2025</v>
      </c>
      <c r="W1253" s="18" t="str">
        <f t="shared" si="445"/>
        <v/>
      </c>
      <c r="X1253" s="18" t="str">
        <f t="shared" si="446"/>
        <v/>
      </c>
      <c r="Y1253" s="2">
        <f t="shared" si="447"/>
        <v>0.71552029260374261</v>
      </c>
      <c r="Z1253" t="str">
        <f t="shared" si="448"/>
        <v>SO18329</v>
      </c>
      <c r="AA1253" s="11">
        <f t="shared" si="449"/>
        <v>45989.467314814807</v>
      </c>
      <c r="AB1253" s="5" t="str">
        <f t="shared" si="450"/>
        <v>INV13725</v>
      </c>
      <c r="AC1253" s="5" t="str">
        <f>IFERROR(VLOOKUP(D1253,CAARStatus!$A$2:$AA$1600,22,FALSE),"Not invoiced")</f>
        <v>Approved</v>
      </c>
      <c r="AD1253" s="11" t="str">
        <f>IF(AC1253="Paid",IFERROR(VLOOKUP(D1253,CAARStatus!$A$2:$AA$1600,6,FALSE),"Pending"),"Pending")</f>
        <v>Pending</v>
      </c>
      <c r="AE1253" s="5" t="str">
        <f t="shared" si="451"/>
        <v>4500624287</v>
      </c>
      <c r="AF1253" s="5" t="str">
        <f t="shared" si="452"/>
        <v>Resolute Forest Products - Saint-Felicien</v>
      </c>
      <c r="AG1253" s="5" t="str">
        <f t="shared" si="453"/>
        <v>CAD</v>
      </c>
      <c r="AH1253" s="5">
        <f t="shared" si="454"/>
        <v>87.85</v>
      </c>
      <c r="AI1253" s="12">
        <f>IF(L1253-N1253=0,VLOOKUP(U1253,rate!A$4:B$15,2,FALSE)*AH1253,IF(AG1253="USD",O1253,AH1253*Y1253))</f>
        <v>62.858457705238784</v>
      </c>
      <c r="AJ1253" s="13">
        <f t="shared" si="455"/>
        <v>0.71552029260374261</v>
      </c>
      <c r="AK1253" s="13">
        <f>-IF(AG1253="CAD",IFERROR(VLOOKUP(D1253,CAARStatus!$A$1:$Y$1600,16,FALSE),0),0)</f>
        <v>-87.85</v>
      </c>
      <c r="AL1253" s="13">
        <f>-IF(AG1253="USD",IFERROR(VLOOKUP(D1253,CAARStatus!$A$1:$Y$1600,11,FALSE),0),0)</f>
        <v>0</v>
      </c>
      <c r="AM1253" s="22">
        <f t="shared" si="456"/>
        <v>0</v>
      </c>
      <c r="AN1253" s="12" t="str">
        <f t="shared" si="457"/>
        <v/>
      </c>
      <c r="AO1253" s="12" t="str">
        <f t="shared" si="458"/>
        <v>Pend</v>
      </c>
      <c r="AP1253" t="str">
        <f t="shared" si="459"/>
        <v>Pend</v>
      </c>
      <c r="AQ1253" t="str">
        <f>IFERROR(VLOOKUP(Z1253,InvBal!$L$4:$P$600,4,FALSE),"Pend")</f>
        <v>Pend</v>
      </c>
      <c r="AR1253" t="str">
        <f>IFERROR(VLOOKUP(D1253,Manual!$C$1:$E$22,2,FALSE),"Pend")</f>
        <v>Pend</v>
      </c>
      <c r="AS1253" t="str">
        <f t="shared" si="460"/>
        <v/>
      </c>
      <c r="AT1253" t="str">
        <f t="shared" si="461"/>
        <v>Yes</v>
      </c>
      <c r="AU1253" s="51" t="str">
        <f t="shared" si="462"/>
        <v/>
      </c>
      <c r="AV1253" s="12">
        <f>IFERROR(VLOOKUP(D1253,'Receivable Invoice Detail'!$S$1:$U$3014,3,FALSE),0)</f>
        <v>0</v>
      </c>
      <c r="AW1253" s="12">
        <f t="shared" si="463"/>
        <v>0</v>
      </c>
    </row>
    <row r="1254" spans="1:49" ht="30" x14ac:dyDescent="0.25">
      <c r="A1254" s="2">
        <v>1</v>
      </c>
      <c r="B1254" s="2" t="s">
        <v>6202</v>
      </c>
      <c r="C1254" s="2" t="s">
        <v>6025</v>
      </c>
      <c r="D1254" s="2" t="s">
        <v>6024</v>
      </c>
      <c r="E1254" s="2" t="s">
        <v>35</v>
      </c>
      <c r="F1254" s="3">
        <v>45989.600173611107</v>
      </c>
      <c r="G1254" s="3">
        <v>46003.406377314823</v>
      </c>
      <c r="H1254" s="4">
        <v>46007</v>
      </c>
      <c r="I1254" s="2" t="s">
        <v>40</v>
      </c>
      <c r="J1254" s="2" t="s">
        <v>22</v>
      </c>
      <c r="K1254" s="2">
        <v>1</v>
      </c>
      <c r="L1254" s="2">
        <v>1463.93</v>
      </c>
      <c r="M1254" s="2">
        <v>0</v>
      </c>
      <c r="N1254" s="2">
        <v>1061.924509347501</v>
      </c>
      <c r="O1254" s="2">
        <v>1394.21</v>
      </c>
      <c r="P1254" s="2">
        <v>69.72</v>
      </c>
      <c r="Q1254" s="2">
        <v>1463.93</v>
      </c>
      <c r="R1254" s="2" t="s">
        <v>126</v>
      </c>
      <c r="S1254" s="2"/>
      <c r="T1254" s="2">
        <f t="shared" si="442"/>
        <v>1</v>
      </c>
      <c r="U1254" s="18">
        <f t="shared" si="443"/>
        <v>11</v>
      </c>
      <c r="V1254" s="18">
        <f t="shared" si="444"/>
        <v>2025</v>
      </c>
      <c r="W1254" s="18" t="str">
        <f t="shared" si="445"/>
        <v/>
      </c>
      <c r="X1254" s="18" t="str">
        <f t="shared" si="446"/>
        <v/>
      </c>
      <c r="Y1254" s="2">
        <f t="shared" si="447"/>
        <v>0.72539295550162985</v>
      </c>
      <c r="Z1254" t="str">
        <f t="shared" si="448"/>
        <v>SO18330</v>
      </c>
      <c r="AA1254" s="11">
        <f t="shared" si="449"/>
        <v>45989.600173611107</v>
      </c>
      <c r="AB1254" s="5" t="str">
        <f t="shared" si="450"/>
        <v>INV13783</v>
      </c>
      <c r="AC1254" s="5" t="str">
        <f>IFERROR(VLOOKUP(D1254,CAARStatus!$A$2:$AA$1600,22,FALSE),"Not invoiced")</f>
        <v>Approved</v>
      </c>
      <c r="AD1254" s="11" t="str">
        <f>IF(AC1254="Paid",IFERROR(VLOOKUP(D1254,CAARStatus!$A$2:$AA$1600,6,FALSE),"Pending"),"Pending")</f>
        <v>Pending</v>
      </c>
      <c r="AE1254" s="5" t="str">
        <f t="shared" si="451"/>
        <v>PO14284</v>
      </c>
      <c r="AF1254" s="5" t="str">
        <f t="shared" si="452"/>
        <v>Manufacture Sling-Choker (Val-d’Or) Ltée</v>
      </c>
      <c r="AG1254" s="5" t="str">
        <f t="shared" si="453"/>
        <v>CAD</v>
      </c>
      <c r="AH1254" s="5">
        <f t="shared" si="454"/>
        <v>1394.21</v>
      </c>
      <c r="AI1254" s="12">
        <f>IF(L1254-N1254=0,VLOOKUP(U1254,rate!A$4:B$15,2,FALSE)*AH1254,IF(AG1254="USD",O1254,AH1254*Y1254))</f>
        <v>1011.3501124899274</v>
      </c>
      <c r="AJ1254" s="13">
        <f t="shared" si="455"/>
        <v>0.72539295550162985</v>
      </c>
      <c r="AK1254" s="13">
        <f>-IF(AG1254="CAD",IFERROR(VLOOKUP(D1254,CAARStatus!$A$1:$Y$1600,16,FALSE),0),0)</f>
        <v>-630.38</v>
      </c>
      <c r="AL1254" s="13">
        <f>-IF(AG1254="USD",IFERROR(VLOOKUP(D1254,CAARStatus!$A$1:$Y$1600,11,FALSE),0),0)</f>
        <v>0</v>
      </c>
      <c r="AM1254" s="22">
        <f t="shared" si="456"/>
        <v>763.83</v>
      </c>
      <c r="AN1254" s="12" t="str">
        <f t="shared" si="457"/>
        <v/>
      </c>
      <c r="AO1254" s="12" t="str">
        <f t="shared" si="458"/>
        <v>Pend</v>
      </c>
      <c r="AP1254" t="str">
        <f t="shared" si="459"/>
        <v>Pend</v>
      </c>
      <c r="AQ1254" t="str">
        <f>IFERROR(VLOOKUP(Z1254,InvBal!$L$4:$P$600,4,FALSE),"Pend")</f>
        <v>Pend</v>
      </c>
      <c r="AR1254" t="str">
        <f>IFERROR(VLOOKUP(D1254,Manual!$C$1:$E$22,2,FALSE),"Pend")</f>
        <v>Pend</v>
      </c>
      <c r="AS1254" t="str">
        <f t="shared" si="460"/>
        <v/>
      </c>
      <c r="AT1254" t="str">
        <f t="shared" si="461"/>
        <v/>
      </c>
      <c r="AU1254" s="51" t="str">
        <f t="shared" si="462"/>
        <v/>
      </c>
      <c r="AV1254" s="12">
        <f>IFERROR(VLOOKUP(D1254,'Receivable Invoice Detail'!$S$1:$U$3014,3,FALSE),0)</f>
        <v>0</v>
      </c>
      <c r="AW1254" s="12">
        <f t="shared" si="463"/>
        <v>0</v>
      </c>
    </row>
    <row r="1255" spans="1:49" ht="30" x14ac:dyDescent="0.25">
      <c r="A1255" s="2">
        <v>0</v>
      </c>
      <c r="B1255" s="2" t="s">
        <v>6203</v>
      </c>
      <c r="C1255" s="2" t="s">
        <v>6204</v>
      </c>
      <c r="D1255" s="2"/>
      <c r="E1255" s="2" t="s">
        <v>6205</v>
      </c>
      <c r="F1255" s="3">
        <v>45989.65556712963</v>
      </c>
      <c r="G1255" s="3">
        <v>46002.524525462963</v>
      </c>
      <c r="H1255" s="4">
        <v>46128</v>
      </c>
      <c r="I1255" s="2" t="s">
        <v>21</v>
      </c>
      <c r="J1255" s="2" t="s">
        <v>51</v>
      </c>
      <c r="K1255" s="2">
        <v>0.72276866354558011</v>
      </c>
      <c r="L1255" s="2">
        <v>42413.238904991347</v>
      </c>
      <c r="M1255" s="2">
        <v>0</v>
      </c>
      <c r="N1255" s="2">
        <v>30654.959999999999</v>
      </c>
      <c r="O1255" s="2">
        <v>30654.959999999999</v>
      </c>
      <c r="P1255" s="2"/>
      <c r="Q1255" s="2">
        <v>30654.959999999999</v>
      </c>
      <c r="R1255" s="2" t="s">
        <v>23</v>
      </c>
      <c r="S1255" s="2"/>
      <c r="T1255" s="2">
        <f t="shared" si="442"/>
        <v>0</v>
      </c>
      <c r="U1255" s="18">
        <f t="shared" si="443"/>
        <v>11</v>
      </c>
      <c r="V1255" s="18">
        <f t="shared" si="444"/>
        <v>2025</v>
      </c>
      <c r="W1255" s="18" t="str">
        <f t="shared" si="445"/>
        <v/>
      </c>
      <c r="X1255" s="18" t="str">
        <f t="shared" si="446"/>
        <v/>
      </c>
      <c r="Y1255" s="2">
        <f t="shared" si="447"/>
        <v>0.72276866354558011</v>
      </c>
      <c r="Z1255" t="str">
        <f t="shared" si="448"/>
        <v>SO18331</v>
      </c>
      <c r="AA1255" s="11">
        <f t="shared" si="449"/>
        <v>45989.65556712963</v>
      </c>
      <c r="AB1255" s="5" t="str">
        <f t="shared" si="450"/>
        <v>No Inv</v>
      </c>
      <c r="AC1255" s="5" t="str">
        <f>IFERROR(VLOOKUP(D1255,CAARStatus!$A$2:$AA$1600,22,FALSE),"Not invoiced")</f>
        <v>Not invoiced</v>
      </c>
      <c r="AD1255" s="11" t="str">
        <f>IF(AC1255="Paid",IFERROR(VLOOKUP(D1255,CAARStatus!$A$2:$AA$1600,6,FALSE),"Pending"),"Pending")</f>
        <v>Pending</v>
      </c>
      <c r="AE1255" s="5" t="str">
        <f t="shared" si="451"/>
        <v>IA07-00008870</v>
      </c>
      <c r="AF1255" s="5" t="str">
        <f t="shared" si="452"/>
        <v>Motion Industries Inc. (U.S.) - Mason City</v>
      </c>
      <c r="AG1255" s="5" t="str">
        <f t="shared" si="453"/>
        <v>USD</v>
      </c>
      <c r="AH1255" s="5">
        <f t="shared" si="454"/>
        <v>42413.238904991347</v>
      </c>
      <c r="AI1255" s="12">
        <f>IF(L1255-N1255=0,VLOOKUP(U1255,rate!A$4:B$15,2,FALSE)*AH1255,IF(AG1255="USD",O1255,AH1255*Y1255))</f>
        <v>30654.959999999999</v>
      </c>
      <c r="AJ1255" s="13">
        <f t="shared" si="455"/>
        <v>0.72276866354558011</v>
      </c>
      <c r="AK1255" s="13">
        <f>-IF(AG1255="CAD",IFERROR(VLOOKUP(D1255,CAARStatus!$A$1:$Y$1600,16,FALSE),0),0)</f>
        <v>0</v>
      </c>
      <c r="AL1255" s="13">
        <f>-IF(AG1255="USD",IFERROR(VLOOKUP(D1255,CAARStatus!$A$1:$Y$1600,11,FALSE),0),0)</f>
        <v>0</v>
      </c>
      <c r="AM1255" s="22" t="str">
        <f t="shared" si="456"/>
        <v/>
      </c>
      <c r="AN1255" s="12">
        <f t="shared" si="457"/>
        <v>30654.959999999999</v>
      </c>
      <c r="AO1255" s="12" t="str">
        <f t="shared" si="458"/>
        <v>Pend</v>
      </c>
      <c r="AP1255" t="str">
        <f t="shared" si="459"/>
        <v>Pend</v>
      </c>
      <c r="AQ1255" t="str">
        <f>IFERROR(VLOOKUP(Z1255,InvBal!$L$4:$P$600,4,FALSE),"Pend")</f>
        <v>Pend</v>
      </c>
      <c r="AR1255" t="str">
        <f>IFERROR(VLOOKUP(D1255,Manual!$C$1:$E$22,2,FALSE),"Pend")</f>
        <v>Pend</v>
      </c>
      <c r="AS1255" t="str">
        <f t="shared" si="460"/>
        <v/>
      </c>
      <c r="AT1255" t="str">
        <f t="shared" si="461"/>
        <v/>
      </c>
      <c r="AU1255" s="51" t="str">
        <f t="shared" si="462"/>
        <v/>
      </c>
      <c r="AV1255" s="12">
        <f>IFERROR(VLOOKUP(D1255,'Receivable Invoice Detail'!$S$1:$U$3014,3,FALSE),0)</f>
        <v>0</v>
      </c>
      <c r="AW1255" s="12">
        <f t="shared" si="463"/>
        <v>0</v>
      </c>
    </row>
    <row r="1256" spans="1:49" ht="30" x14ac:dyDescent="0.25">
      <c r="A1256" s="2">
        <v>0</v>
      </c>
      <c r="B1256" s="2" t="s">
        <v>6206</v>
      </c>
      <c r="C1256" s="2" t="s">
        <v>6207</v>
      </c>
      <c r="D1256" s="2"/>
      <c r="E1256" s="2" t="s">
        <v>232</v>
      </c>
      <c r="F1256" s="3">
        <v>45992.483541666668</v>
      </c>
      <c r="G1256" s="3">
        <v>46002.402673611112</v>
      </c>
      <c r="H1256" s="4">
        <v>46058</v>
      </c>
      <c r="I1256" s="2" t="s">
        <v>180</v>
      </c>
      <c r="J1256" s="2" t="s">
        <v>51</v>
      </c>
      <c r="K1256" s="2">
        <v>0.72276866354558011</v>
      </c>
      <c r="L1256" s="2">
        <v>11755.90535195383</v>
      </c>
      <c r="M1256" s="2">
        <v>0</v>
      </c>
      <c r="N1256" s="2">
        <v>8496.7999999999993</v>
      </c>
      <c r="O1256" s="2">
        <v>8496.7999999999993</v>
      </c>
      <c r="P1256" s="2"/>
      <c r="Q1256" s="2">
        <v>8496.7999999999993</v>
      </c>
      <c r="R1256" s="2" t="s">
        <v>23</v>
      </c>
      <c r="S1256" s="2"/>
      <c r="T1256" s="2">
        <f t="shared" si="442"/>
        <v>0</v>
      </c>
      <c r="U1256" s="18">
        <f t="shared" si="443"/>
        <v>12</v>
      </c>
      <c r="V1256" s="18">
        <f t="shared" si="444"/>
        <v>2025</v>
      </c>
      <c r="W1256" s="18" t="str">
        <f t="shared" si="445"/>
        <v/>
      </c>
      <c r="X1256" s="18" t="str">
        <f t="shared" si="446"/>
        <v/>
      </c>
      <c r="Y1256" s="2">
        <f t="shared" si="447"/>
        <v>0.72276866354557989</v>
      </c>
      <c r="Z1256" t="str">
        <f t="shared" si="448"/>
        <v>SO18335</v>
      </c>
      <c r="AA1256" s="11">
        <f t="shared" si="449"/>
        <v>45992.483541666668</v>
      </c>
      <c r="AB1256" s="5" t="str">
        <f t="shared" si="450"/>
        <v>No Inv</v>
      </c>
      <c r="AC1256" s="5" t="str">
        <f>IFERROR(VLOOKUP(D1256,CAARStatus!$A$2:$AA$1600,22,FALSE),"Not invoiced")</f>
        <v>Not invoiced</v>
      </c>
      <c r="AD1256" s="11" t="str">
        <f>IF(AC1256="Paid",IFERROR(VLOOKUP(D1256,CAARStatus!$A$2:$AA$1600,6,FALSE),"Pending"),"Pending")</f>
        <v>Pending</v>
      </c>
      <c r="AE1256" s="5" t="str">
        <f t="shared" si="451"/>
        <v>2259921</v>
      </c>
      <c r="AF1256" s="5" t="str">
        <f t="shared" si="452"/>
        <v>Zijin Mining - Rosebel Goldmines N.V.</v>
      </c>
      <c r="AG1256" s="5" t="str">
        <f t="shared" si="453"/>
        <v>USD</v>
      </c>
      <c r="AH1256" s="5">
        <f t="shared" si="454"/>
        <v>11755.905351953827</v>
      </c>
      <c r="AI1256" s="12">
        <f>IF(L1256-N1256=0,VLOOKUP(U1256,rate!A$4:B$15,2,FALSE)*AH1256,IF(AG1256="USD",O1256,AH1256*Y1256))</f>
        <v>8496.7999999999993</v>
      </c>
      <c r="AJ1256" s="13">
        <f t="shared" si="455"/>
        <v>0.72276866354558011</v>
      </c>
      <c r="AK1256" s="13">
        <f>-IF(AG1256="CAD",IFERROR(VLOOKUP(D1256,CAARStatus!$A$1:$Y$1600,16,FALSE),0),0)</f>
        <v>0</v>
      </c>
      <c r="AL1256" s="13">
        <f>-IF(AG1256="USD",IFERROR(VLOOKUP(D1256,CAARStatus!$A$1:$Y$1600,11,FALSE),0),0)</f>
        <v>0</v>
      </c>
      <c r="AM1256" s="22" t="str">
        <f t="shared" si="456"/>
        <v/>
      </c>
      <c r="AN1256" s="12">
        <f t="shared" si="457"/>
        <v>8496.7999999999993</v>
      </c>
      <c r="AO1256" s="12" t="str">
        <f t="shared" si="458"/>
        <v>Pend</v>
      </c>
      <c r="AP1256" t="str">
        <f t="shared" si="459"/>
        <v>Pend</v>
      </c>
      <c r="AQ1256" t="str">
        <f>IFERROR(VLOOKUP(Z1256,InvBal!$L$4:$P$600,4,FALSE),"Pend")</f>
        <v>Pend</v>
      </c>
      <c r="AR1256" t="str">
        <f>IFERROR(VLOOKUP(D1256,Manual!$C$1:$E$22,2,FALSE),"Pend")</f>
        <v>Pend</v>
      </c>
      <c r="AS1256" t="str">
        <f t="shared" si="460"/>
        <v/>
      </c>
      <c r="AT1256" t="str">
        <f t="shared" si="461"/>
        <v/>
      </c>
      <c r="AU1256" s="51" t="str">
        <f t="shared" si="462"/>
        <v/>
      </c>
      <c r="AV1256" s="12">
        <f>IFERROR(VLOOKUP(D1256,'Receivable Invoice Detail'!$S$1:$U$3014,3,FALSE),0)</f>
        <v>0</v>
      </c>
      <c r="AW1256" s="12">
        <f t="shared" si="463"/>
        <v>0</v>
      </c>
    </row>
    <row r="1257" spans="1:49" x14ac:dyDescent="0.25">
      <c r="A1257" s="2">
        <v>1</v>
      </c>
      <c r="B1257" s="2" t="s">
        <v>5872</v>
      </c>
      <c r="C1257" s="2" t="s">
        <v>5873</v>
      </c>
      <c r="D1257" s="2" t="s">
        <v>6013</v>
      </c>
      <c r="E1257" s="2" t="s">
        <v>54</v>
      </c>
      <c r="F1257" s="3">
        <v>45992.556504629632</v>
      </c>
      <c r="G1257" s="3">
        <v>45993.428287037037</v>
      </c>
      <c r="H1257" s="4">
        <v>46017</v>
      </c>
      <c r="I1257" s="2" t="s">
        <v>21</v>
      </c>
      <c r="J1257" s="2" t="s">
        <v>22</v>
      </c>
      <c r="K1257" s="2">
        <v>1</v>
      </c>
      <c r="L1257" s="2">
        <v>10225.31</v>
      </c>
      <c r="M1257" s="2">
        <v>0</v>
      </c>
      <c r="N1257" s="2">
        <v>7308.8737827809209</v>
      </c>
      <c r="O1257" s="2">
        <v>9738.39</v>
      </c>
      <c r="P1257" s="2">
        <v>486.92</v>
      </c>
      <c r="Q1257" s="2">
        <v>10225.31</v>
      </c>
      <c r="R1257" s="2" t="s">
        <v>44</v>
      </c>
      <c r="S1257" s="2"/>
      <c r="T1257" s="2">
        <f t="shared" si="442"/>
        <v>1</v>
      </c>
      <c r="U1257" s="18">
        <f t="shared" si="443"/>
        <v>12</v>
      </c>
      <c r="V1257" s="18">
        <f t="shared" si="444"/>
        <v>2025</v>
      </c>
      <c r="W1257" s="18" t="str">
        <f t="shared" si="445"/>
        <v/>
      </c>
      <c r="X1257" s="18" t="str">
        <f t="shared" si="446"/>
        <v/>
      </c>
      <c r="Y1257" s="2">
        <f t="shared" si="447"/>
        <v>0.71478261126370946</v>
      </c>
      <c r="Z1257" t="str">
        <f t="shared" si="448"/>
        <v>SO18337</v>
      </c>
      <c r="AA1257" s="11">
        <f t="shared" si="449"/>
        <v>45992.556504629632</v>
      </c>
      <c r="AB1257" s="5" t="str">
        <f t="shared" si="450"/>
        <v>INV13771</v>
      </c>
      <c r="AC1257" s="5" t="str">
        <f>IFERROR(VLOOKUP(D1257,CAARStatus!$A$2:$AA$1600,22,FALSE),"Not invoiced")</f>
        <v>Approved</v>
      </c>
      <c r="AD1257" s="11" t="str">
        <f>IF(AC1257="Paid",IFERROR(VLOOKUP(D1257,CAARStatus!$A$2:$AA$1600,6,FALSE),"Pending"),"Pending")</f>
        <v>Pending</v>
      </c>
      <c r="AE1257" s="5" t="str">
        <f t="shared" si="451"/>
        <v>3418</v>
      </c>
      <c r="AF1257" s="5" t="str">
        <f t="shared" si="452"/>
        <v>Les Pompes du St-Laurent Inc.</v>
      </c>
      <c r="AG1257" s="5" t="str">
        <f t="shared" si="453"/>
        <v>CAD</v>
      </c>
      <c r="AH1257" s="5">
        <f t="shared" si="454"/>
        <v>9738.39</v>
      </c>
      <c r="AI1257" s="12">
        <f>IF(L1257-N1257=0,VLOOKUP(U1257,rate!A$4:B$15,2,FALSE)*AH1257,IF(AG1257="USD",O1257,AH1257*Y1257))</f>
        <v>6960.8318337043947</v>
      </c>
      <c r="AJ1257" s="13">
        <f t="shared" si="455"/>
        <v>0.71478261126370946</v>
      </c>
      <c r="AK1257" s="13">
        <f>-IF(AG1257="CAD",IFERROR(VLOOKUP(D1257,CAARStatus!$A$1:$Y$1600,16,FALSE),0),0)</f>
        <v>-9738.39</v>
      </c>
      <c r="AL1257" s="13">
        <f>-IF(AG1257="USD",IFERROR(VLOOKUP(D1257,CAARStatus!$A$1:$Y$1600,11,FALSE),0),0)</f>
        <v>0</v>
      </c>
      <c r="AM1257" s="22">
        <f t="shared" si="456"/>
        <v>0</v>
      </c>
      <c r="AN1257" s="12" t="str">
        <f t="shared" si="457"/>
        <v/>
      </c>
      <c r="AO1257" s="12" t="str">
        <f t="shared" si="458"/>
        <v>Pend</v>
      </c>
      <c r="AP1257" t="str">
        <f t="shared" si="459"/>
        <v>Pend</v>
      </c>
      <c r="AQ1257" t="str">
        <f>IFERROR(VLOOKUP(Z1257,InvBal!$L$4:$P$600,4,FALSE),"Pend")</f>
        <v>Pend</v>
      </c>
      <c r="AR1257" t="str">
        <f>IFERROR(VLOOKUP(D1257,Manual!$C$1:$E$22,2,FALSE),"Pend")</f>
        <v>Pend</v>
      </c>
      <c r="AS1257" t="str">
        <f t="shared" si="460"/>
        <v/>
      </c>
      <c r="AT1257" t="str">
        <f t="shared" si="461"/>
        <v>Yes</v>
      </c>
      <c r="AU1257" s="51" t="str">
        <f t="shared" si="462"/>
        <v/>
      </c>
      <c r="AV1257" s="12">
        <f>IFERROR(VLOOKUP(D1257,'Receivable Invoice Detail'!$S$1:$U$3014,3,FALSE),0)</f>
        <v>0</v>
      </c>
      <c r="AW1257" s="12">
        <f t="shared" si="463"/>
        <v>0</v>
      </c>
    </row>
    <row r="1258" spans="1:49" x14ac:dyDescent="0.25">
      <c r="A1258" s="2">
        <v>1</v>
      </c>
      <c r="B1258" s="2" t="s">
        <v>5874</v>
      </c>
      <c r="C1258" s="2" t="s">
        <v>4394</v>
      </c>
      <c r="D1258" s="2" t="s">
        <v>4395</v>
      </c>
      <c r="E1258" s="2" t="s">
        <v>109</v>
      </c>
      <c r="F1258" s="3">
        <v>45992.594490740739</v>
      </c>
      <c r="G1258" s="3">
        <v>45992.684560185182</v>
      </c>
      <c r="H1258" s="4">
        <v>45993</v>
      </c>
      <c r="I1258" s="2" t="s">
        <v>21</v>
      </c>
      <c r="J1258" s="2" t="s">
        <v>51</v>
      </c>
      <c r="K1258" s="2">
        <v>0.71541057771406147</v>
      </c>
      <c r="L1258" s="2">
        <v>7845.1453959955697</v>
      </c>
      <c r="M1258" s="2">
        <v>0</v>
      </c>
      <c r="N1258" s="2">
        <v>5612.5</v>
      </c>
      <c r="O1258" s="2">
        <v>5612.5</v>
      </c>
      <c r="P1258" s="2"/>
      <c r="Q1258" s="2">
        <v>5612.5</v>
      </c>
      <c r="R1258" s="2" t="s">
        <v>44</v>
      </c>
      <c r="S1258" s="2"/>
      <c r="T1258" s="2">
        <f t="shared" si="442"/>
        <v>1</v>
      </c>
      <c r="U1258" s="18">
        <f t="shared" si="443"/>
        <v>12</v>
      </c>
      <c r="V1258" s="18">
        <f t="shared" si="444"/>
        <v>2025</v>
      </c>
      <c r="W1258" s="18">
        <f t="shared" si="445"/>
        <v>12</v>
      </c>
      <c r="X1258" s="18">
        <f t="shared" si="446"/>
        <v>2025</v>
      </c>
      <c r="Y1258" s="2">
        <f t="shared" si="447"/>
        <v>0.71541057771406147</v>
      </c>
      <c r="Z1258" t="str">
        <f t="shared" si="448"/>
        <v>SO18339</v>
      </c>
      <c r="AA1258" s="11">
        <f t="shared" si="449"/>
        <v>45992.594490740739</v>
      </c>
      <c r="AB1258" s="5" t="str">
        <f t="shared" si="450"/>
        <v>INV13714</v>
      </c>
      <c r="AC1258" s="5" t="str">
        <f>IFERROR(VLOOKUP(D1258,CAARStatus!$A$2:$AA$1600,22,FALSE),"Not invoiced")</f>
        <v>Paid</v>
      </c>
      <c r="AD1258" s="11">
        <f>IF(AC1258="Paid",IFERROR(VLOOKUP(D1258,CAARStatus!$A$2:$AA$1600,6,FALSE),"Pending"),"Pending")</f>
        <v>46003</v>
      </c>
      <c r="AE1258" s="5" t="str">
        <f t="shared" si="451"/>
        <v>4412</v>
      </c>
      <c r="AF1258" s="5" t="str">
        <f t="shared" si="452"/>
        <v>Middle Georgia Fluid Sealing LLC</v>
      </c>
      <c r="AG1258" s="5" t="str">
        <f t="shared" si="453"/>
        <v>USD</v>
      </c>
      <c r="AH1258" s="5">
        <f t="shared" si="454"/>
        <v>7845.1453959955697</v>
      </c>
      <c r="AI1258" s="12">
        <f>IF(L1258-N1258=0,VLOOKUP(U1258,rate!A$4:B$15,2,FALSE)*AH1258,IF(AG1258="USD",O1258,AH1258*Y1258))</f>
        <v>5612.5</v>
      </c>
      <c r="AJ1258" s="13">
        <f t="shared" si="455"/>
        <v>0.71541057771406147</v>
      </c>
      <c r="AK1258" s="13">
        <f>-IF(AG1258="CAD",IFERROR(VLOOKUP(D1258,CAARStatus!$A$1:$Y$1600,16,FALSE),0),0)</f>
        <v>0</v>
      </c>
      <c r="AL1258" s="13">
        <f>-IF(AG1258="USD",IFERROR(VLOOKUP(D1258,CAARStatus!$A$1:$Y$1600,11,FALSE),0),0)</f>
        <v>-5612.5</v>
      </c>
      <c r="AM1258" s="22" t="str">
        <f t="shared" si="456"/>
        <v/>
      </c>
      <c r="AN1258" s="12">
        <f t="shared" si="457"/>
        <v>0</v>
      </c>
      <c r="AO1258" s="12" t="str">
        <f t="shared" si="458"/>
        <v>Yes</v>
      </c>
      <c r="AP1258" t="str">
        <f t="shared" si="459"/>
        <v>Yes</v>
      </c>
      <c r="AQ1258" t="str">
        <f>IFERROR(VLOOKUP(Z1258,InvBal!$L$4:$P$600,4,FALSE),"Pend")</f>
        <v>Pend</v>
      </c>
      <c r="AR1258" t="str">
        <f>IFERROR(VLOOKUP(D1258,Manual!$C$1:$E$22,2,FALSE),"Pend")</f>
        <v>Pend</v>
      </c>
      <c r="AS1258" t="str">
        <f t="shared" si="460"/>
        <v>Yes</v>
      </c>
      <c r="AT1258" t="str">
        <f t="shared" si="461"/>
        <v>Yes</v>
      </c>
      <c r="AU1258" s="51" t="str">
        <f t="shared" si="462"/>
        <v>Yes</v>
      </c>
      <c r="AV1258" s="12">
        <f>IFERROR(VLOOKUP(D1258,'Receivable Invoice Detail'!$S$1:$U$3014,3,FALSE),0)</f>
        <v>607</v>
      </c>
      <c r="AW1258" s="12">
        <f t="shared" si="463"/>
        <v>5005.5</v>
      </c>
    </row>
    <row r="1259" spans="1:49" ht="30" x14ac:dyDescent="0.25">
      <c r="A1259" s="2">
        <v>1</v>
      </c>
      <c r="B1259" s="2" t="s">
        <v>5875</v>
      </c>
      <c r="C1259" s="2" t="s">
        <v>5876</v>
      </c>
      <c r="D1259" s="2" t="s">
        <v>5960</v>
      </c>
      <c r="E1259" s="2" t="s">
        <v>35</v>
      </c>
      <c r="F1259" s="3">
        <v>45992.640879629631</v>
      </c>
      <c r="G1259" s="3">
        <v>45993.724340277768</v>
      </c>
      <c r="H1259" s="4">
        <v>46000</v>
      </c>
      <c r="I1259" s="2" t="s">
        <v>36</v>
      </c>
      <c r="J1259" s="2" t="s">
        <v>22</v>
      </c>
      <c r="K1259" s="2">
        <v>1</v>
      </c>
      <c r="L1259" s="2">
        <v>1119.8</v>
      </c>
      <c r="M1259" s="2">
        <v>0</v>
      </c>
      <c r="N1259" s="2">
        <v>800.41356809310184</v>
      </c>
      <c r="O1259" s="2">
        <v>1066.47</v>
      </c>
      <c r="P1259" s="2">
        <v>53.33</v>
      </c>
      <c r="Q1259" s="2">
        <v>1119.8</v>
      </c>
      <c r="R1259" s="2" t="s">
        <v>44</v>
      </c>
      <c r="S1259" s="2"/>
      <c r="T1259" s="2">
        <f t="shared" si="442"/>
        <v>1</v>
      </c>
      <c r="U1259" s="18">
        <f t="shared" si="443"/>
        <v>12</v>
      </c>
      <c r="V1259" s="18">
        <f t="shared" si="444"/>
        <v>2025</v>
      </c>
      <c r="W1259" s="18" t="str">
        <f t="shared" si="445"/>
        <v/>
      </c>
      <c r="X1259" s="18" t="str">
        <f t="shared" si="446"/>
        <v/>
      </c>
      <c r="Y1259" s="2">
        <f t="shared" si="447"/>
        <v>0.71478261126370946</v>
      </c>
      <c r="Z1259" t="str">
        <f t="shared" si="448"/>
        <v>SO18340</v>
      </c>
      <c r="AA1259" s="11">
        <f t="shared" si="449"/>
        <v>45992.640879629631</v>
      </c>
      <c r="AB1259" s="5" t="str">
        <f t="shared" si="450"/>
        <v>INV13727</v>
      </c>
      <c r="AC1259" s="5" t="str">
        <f>IFERROR(VLOOKUP(D1259,CAARStatus!$A$2:$AA$1600,22,FALSE),"Not invoiced")</f>
        <v>Approved</v>
      </c>
      <c r="AD1259" s="11" t="str">
        <f>IF(AC1259="Paid",IFERROR(VLOOKUP(D1259,CAARStatus!$A$2:$AA$1600,6,FALSE),"Pending"),"Pending")</f>
        <v>Pending</v>
      </c>
      <c r="AE1259" s="5" t="str">
        <f t="shared" si="451"/>
        <v>PO14253</v>
      </c>
      <c r="AF1259" s="5" t="str">
        <f t="shared" si="452"/>
        <v>Manufacture Sling-Choker (Val-d’Or) Ltée</v>
      </c>
      <c r="AG1259" s="5" t="str">
        <f t="shared" si="453"/>
        <v>CAD</v>
      </c>
      <c r="AH1259" s="5">
        <f t="shared" si="454"/>
        <v>1066.47</v>
      </c>
      <c r="AI1259" s="12">
        <f>IF(L1259-N1259=0,VLOOKUP(U1259,rate!A$4:B$15,2,FALSE)*AH1259,IF(AG1259="USD",O1259,AH1259*Y1259))</f>
        <v>762.29421143440823</v>
      </c>
      <c r="AJ1259" s="13">
        <f t="shared" si="455"/>
        <v>0.71478261126370946</v>
      </c>
      <c r="AK1259" s="13">
        <f>-IF(AG1259="CAD",IFERROR(VLOOKUP(D1259,CAARStatus!$A$1:$Y$1600,16,FALSE),0),0)</f>
        <v>-1066.47</v>
      </c>
      <c r="AL1259" s="13">
        <f>-IF(AG1259="USD",IFERROR(VLOOKUP(D1259,CAARStatus!$A$1:$Y$1600,11,FALSE),0),0)</f>
        <v>0</v>
      </c>
      <c r="AM1259" s="22">
        <f t="shared" si="456"/>
        <v>0</v>
      </c>
      <c r="AN1259" s="12" t="str">
        <f t="shared" si="457"/>
        <v/>
      </c>
      <c r="AO1259" s="12" t="str">
        <f t="shared" si="458"/>
        <v>Pend</v>
      </c>
      <c r="AP1259" t="str">
        <f t="shared" si="459"/>
        <v>Pend</v>
      </c>
      <c r="AQ1259" t="str">
        <f>IFERROR(VLOOKUP(Z1259,InvBal!$L$4:$P$600,4,FALSE),"Pend")</f>
        <v>Pend</v>
      </c>
      <c r="AR1259" t="str">
        <f>IFERROR(VLOOKUP(D1259,Manual!$C$1:$E$22,2,FALSE),"Pend")</f>
        <v>Pend</v>
      </c>
      <c r="AS1259" t="str">
        <f t="shared" si="460"/>
        <v/>
      </c>
      <c r="AT1259" t="str">
        <f t="shared" si="461"/>
        <v>Yes</v>
      </c>
      <c r="AU1259" s="51" t="str">
        <f t="shared" si="462"/>
        <v/>
      </c>
      <c r="AV1259" s="12">
        <f>IFERROR(VLOOKUP(D1259,'Receivable Invoice Detail'!$S$1:$U$3014,3,FALSE),0)</f>
        <v>0</v>
      </c>
      <c r="AW1259" s="12">
        <f t="shared" si="463"/>
        <v>0</v>
      </c>
    </row>
    <row r="1260" spans="1:49" ht="30" x14ac:dyDescent="0.25">
      <c r="A1260" s="2">
        <v>0</v>
      </c>
      <c r="B1260" s="2" t="s">
        <v>6208</v>
      </c>
      <c r="C1260" s="2" t="s">
        <v>6209</v>
      </c>
      <c r="D1260" s="2"/>
      <c r="E1260" s="2" t="s">
        <v>39</v>
      </c>
      <c r="F1260" s="3">
        <v>45992.659432870372</v>
      </c>
      <c r="G1260" s="3">
        <v>45995.78707175926</v>
      </c>
      <c r="H1260" s="4">
        <v>46108</v>
      </c>
      <c r="I1260" s="2" t="s">
        <v>40</v>
      </c>
      <c r="J1260" s="2" t="s">
        <v>22</v>
      </c>
      <c r="K1260" s="2">
        <v>1</v>
      </c>
      <c r="L1260" s="2">
        <v>9328.56</v>
      </c>
      <c r="M1260" s="2">
        <v>0</v>
      </c>
      <c r="N1260" s="2">
        <v>6691.9814153067418</v>
      </c>
      <c r="O1260" s="2">
        <v>8884.34</v>
      </c>
      <c r="P1260" s="2">
        <v>444.22</v>
      </c>
      <c r="Q1260" s="2">
        <v>9328.56</v>
      </c>
      <c r="R1260" s="2" t="s">
        <v>29</v>
      </c>
      <c r="S1260" s="2"/>
      <c r="T1260" s="2">
        <f t="shared" si="442"/>
        <v>0</v>
      </c>
      <c r="U1260" s="18">
        <f t="shared" si="443"/>
        <v>12</v>
      </c>
      <c r="V1260" s="18">
        <f t="shared" si="444"/>
        <v>2025</v>
      </c>
      <c r="W1260" s="18" t="str">
        <f t="shared" si="445"/>
        <v/>
      </c>
      <c r="X1260" s="18" t="str">
        <f t="shared" si="446"/>
        <v/>
      </c>
      <c r="Y1260" s="2">
        <f t="shared" si="447"/>
        <v>0.71736488968358914</v>
      </c>
      <c r="Z1260" t="str">
        <f t="shared" si="448"/>
        <v>SO18341</v>
      </c>
      <c r="AA1260" s="11">
        <f t="shared" si="449"/>
        <v>45992.659432870372</v>
      </c>
      <c r="AB1260" s="5" t="str">
        <f t="shared" si="450"/>
        <v>No Inv</v>
      </c>
      <c r="AC1260" s="5" t="str">
        <f>IFERROR(VLOOKUP(D1260,CAARStatus!$A$2:$AA$1600,22,FALSE),"Not invoiced")</f>
        <v>Not invoiced</v>
      </c>
      <c r="AD1260" s="11" t="str">
        <f>IF(AC1260="Paid",IFERROR(VLOOKUP(D1260,CAARStatus!$A$2:$AA$1600,6,FALSE),"Pending"),"Pending")</f>
        <v>Pending</v>
      </c>
      <c r="AE1260" s="5" t="str">
        <f t="shared" si="451"/>
        <v>BC65-00082608</v>
      </c>
      <c r="AF1260" s="5" t="str">
        <f t="shared" si="452"/>
        <v>Motion Industries Inc. (Canada) - Prince George</v>
      </c>
      <c r="AG1260" s="5" t="str">
        <f t="shared" si="453"/>
        <v>CAD</v>
      </c>
      <c r="AH1260" s="5">
        <f t="shared" si="454"/>
        <v>8884.34</v>
      </c>
      <c r="AI1260" s="12">
        <f>IF(L1260-N1260=0,VLOOKUP(U1260,rate!A$4:B$15,2,FALSE)*AH1260,IF(AG1260="USD",O1260,AH1260*Y1260))</f>
        <v>6373.3135840114983</v>
      </c>
      <c r="AJ1260" s="13">
        <f t="shared" si="455"/>
        <v>0.71736488968358914</v>
      </c>
      <c r="AK1260" s="13">
        <f>-IF(AG1260="CAD",IFERROR(VLOOKUP(D1260,CAARStatus!$A$1:$Y$1600,16,FALSE),0),0)</f>
        <v>0</v>
      </c>
      <c r="AL1260" s="13">
        <f>-IF(AG1260="USD",IFERROR(VLOOKUP(D1260,CAARStatus!$A$1:$Y$1600,11,FALSE),0),0)</f>
        <v>0</v>
      </c>
      <c r="AM1260" s="22">
        <f t="shared" si="456"/>
        <v>8884.34</v>
      </c>
      <c r="AN1260" s="12" t="str">
        <f t="shared" si="457"/>
        <v/>
      </c>
      <c r="AO1260" s="12" t="str">
        <f t="shared" si="458"/>
        <v>Pend</v>
      </c>
      <c r="AP1260" t="str">
        <f t="shared" si="459"/>
        <v>Pend</v>
      </c>
      <c r="AQ1260" t="str">
        <f>IFERROR(VLOOKUP(Z1260,InvBal!$L$4:$P$600,4,FALSE),"Pend")</f>
        <v>Pend</v>
      </c>
      <c r="AR1260" t="str">
        <f>IFERROR(VLOOKUP(D1260,Manual!$C$1:$E$22,2,FALSE),"Pend")</f>
        <v>Pend</v>
      </c>
      <c r="AS1260" t="str">
        <f t="shared" si="460"/>
        <v/>
      </c>
      <c r="AT1260" t="str">
        <f t="shared" si="461"/>
        <v/>
      </c>
      <c r="AU1260" s="51" t="str">
        <f t="shared" si="462"/>
        <v/>
      </c>
      <c r="AV1260" s="12">
        <f>IFERROR(VLOOKUP(D1260,'Receivable Invoice Detail'!$S$1:$U$3014,3,FALSE),0)</f>
        <v>0</v>
      </c>
      <c r="AW1260" s="12">
        <f t="shared" si="463"/>
        <v>0</v>
      </c>
    </row>
    <row r="1261" spans="1:49" ht="30" x14ac:dyDescent="0.25">
      <c r="A1261" s="2">
        <v>0</v>
      </c>
      <c r="B1261" s="2" t="s">
        <v>5877</v>
      </c>
      <c r="C1261" s="2" t="s">
        <v>5878</v>
      </c>
      <c r="D1261" s="2"/>
      <c r="E1261" s="2" t="s">
        <v>129</v>
      </c>
      <c r="F1261" s="3">
        <v>45993.477858796286</v>
      </c>
      <c r="G1261" s="3">
        <v>45993.477893518517</v>
      </c>
      <c r="H1261" s="4">
        <v>46010</v>
      </c>
      <c r="I1261" s="2" t="s">
        <v>130</v>
      </c>
      <c r="J1261" s="2" t="s">
        <v>51</v>
      </c>
      <c r="K1261" s="2">
        <v>0.71560906819455017</v>
      </c>
      <c r="L1261" s="2">
        <v>7396.4965443408973</v>
      </c>
      <c r="M1261" s="2">
        <v>0</v>
      </c>
      <c r="N1261" s="2">
        <v>5293</v>
      </c>
      <c r="O1261" s="2">
        <v>5293</v>
      </c>
      <c r="P1261" s="2"/>
      <c r="Q1261" s="2">
        <v>5293</v>
      </c>
      <c r="R1261" s="2" t="s">
        <v>23</v>
      </c>
      <c r="S1261" s="2"/>
      <c r="T1261" s="2">
        <f t="shared" si="442"/>
        <v>0</v>
      </c>
      <c r="U1261" s="18">
        <f t="shared" si="443"/>
        <v>12</v>
      </c>
      <c r="V1261" s="18">
        <f t="shared" si="444"/>
        <v>2025</v>
      </c>
      <c r="W1261" s="18" t="str">
        <f t="shared" si="445"/>
        <v/>
      </c>
      <c r="X1261" s="18" t="str">
        <f t="shared" si="446"/>
        <v/>
      </c>
      <c r="Y1261" s="2">
        <f t="shared" si="447"/>
        <v>0.71560906819455017</v>
      </c>
      <c r="Z1261" t="str">
        <f t="shared" si="448"/>
        <v>SO18344</v>
      </c>
      <c r="AA1261" s="11">
        <f t="shared" si="449"/>
        <v>45993.477858796286</v>
      </c>
      <c r="AB1261" s="5" t="str">
        <f t="shared" si="450"/>
        <v>No Inv</v>
      </c>
      <c r="AC1261" s="5" t="str">
        <f>IFERROR(VLOOKUP(D1261,CAARStatus!$A$2:$AA$1600,22,FALSE),"Not invoiced")</f>
        <v>Not invoiced</v>
      </c>
      <c r="AD1261" s="11" t="str">
        <f>IF(AC1261="Paid",IFERROR(VLOOKUP(D1261,CAARStatus!$A$2:$AA$1600,6,FALSE),"Pending"),"Pending")</f>
        <v>Pending</v>
      </c>
      <c r="AE1261" s="5" t="str">
        <f t="shared" si="451"/>
        <v>OC00235</v>
      </c>
      <c r="AF1261" s="5" t="str">
        <f t="shared" si="452"/>
        <v>Dynapro Pumps México S de RL de CV</v>
      </c>
      <c r="AG1261" s="5" t="str">
        <f t="shared" si="453"/>
        <v>USD</v>
      </c>
      <c r="AH1261" s="5">
        <f t="shared" si="454"/>
        <v>7396.4965443408973</v>
      </c>
      <c r="AI1261" s="12">
        <f>IF(L1261-N1261=0,VLOOKUP(U1261,rate!A$4:B$15,2,FALSE)*AH1261,IF(AG1261="USD",O1261,AH1261*Y1261))</f>
        <v>5293</v>
      </c>
      <c r="AJ1261" s="13">
        <f t="shared" si="455"/>
        <v>0.71560906819455017</v>
      </c>
      <c r="AK1261" s="13">
        <f>-IF(AG1261="CAD",IFERROR(VLOOKUP(D1261,CAARStatus!$A$1:$Y$1600,16,FALSE),0),0)</f>
        <v>0</v>
      </c>
      <c r="AL1261" s="13">
        <f>-IF(AG1261="USD",IFERROR(VLOOKUP(D1261,CAARStatus!$A$1:$Y$1600,11,FALSE),0),0)</f>
        <v>0</v>
      </c>
      <c r="AM1261" s="22" t="str">
        <f t="shared" si="456"/>
        <v/>
      </c>
      <c r="AN1261" s="12">
        <f t="shared" si="457"/>
        <v>5293</v>
      </c>
      <c r="AO1261" s="12" t="str">
        <f t="shared" si="458"/>
        <v>Pend</v>
      </c>
      <c r="AP1261" t="str">
        <f t="shared" si="459"/>
        <v>Pend</v>
      </c>
      <c r="AQ1261" t="str">
        <f>IFERROR(VLOOKUP(Z1261,InvBal!$L$4:$P$600,4,FALSE),"Pend")</f>
        <v>Pend</v>
      </c>
      <c r="AR1261" t="str">
        <f>IFERROR(VLOOKUP(D1261,Manual!$C$1:$E$22,2,FALSE),"Pend")</f>
        <v>Pend</v>
      </c>
      <c r="AS1261" t="str">
        <f t="shared" si="460"/>
        <v/>
      </c>
      <c r="AT1261" t="str">
        <f t="shared" si="461"/>
        <v/>
      </c>
      <c r="AU1261" s="51" t="str">
        <f t="shared" si="462"/>
        <v/>
      </c>
      <c r="AV1261" s="12">
        <f>IFERROR(VLOOKUP(D1261,'Receivable Invoice Detail'!$S$1:$U$3014,3,FALSE),0)</f>
        <v>0</v>
      </c>
      <c r="AW1261" s="12">
        <f t="shared" si="463"/>
        <v>0</v>
      </c>
    </row>
    <row r="1262" spans="1:49" ht="30" x14ac:dyDescent="0.25">
      <c r="A1262" s="2">
        <v>1</v>
      </c>
      <c r="B1262" s="2" t="s">
        <v>5879</v>
      </c>
      <c r="C1262" s="2" t="s">
        <v>5880</v>
      </c>
      <c r="D1262" s="2" t="s">
        <v>6331</v>
      </c>
      <c r="E1262" s="2" t="s">
        <v>121</v>
      </c>
      <c r="F1262" s="3">
        <v>45993.502418981479</v>
      </c>
      <c r="G1262" s="3">
        <v>45993.544791666667</v>
      </c>
      <c r="H1262" s="4">
        <v>46027</v>
      </c>
      <c r="I1262" s="2" t="s">
        <v>180</v>
      </c>
      <c r="J1262" s="2" t="s">
        <v>22</v>
      </c>
      <c r="K1262" s="2">
        <v>1</v>
      </c>
      <c r="L1262" s="2">
        <v>3201.63</v>
      </c>
      <c r="M1262" s="2">
        <v>0</v>
      </c>
      <c r="N1262" s="2">
        <v>2288.4694517002299</v>
      </c>
      <c r="O1262" s="2">
        <v>3049.16</v>
      </c>
      <c r="P1262" s="2">
        <v>152.47</v>
      </c>
      <c r="Q1262" s="2">
        <v>3201.63</v>
      </c>
      <c r="R1262" s="2" t="s">
        <v>44</v>
      </c>
      <c r="S1262" s="2"/>
      <c r="T1262" s="2">
        <f t="shared" si="442"/>
        <v>1</v>
      </c>
      <c r="U1262" s="18">
        <f t="shared" si="443"/>
        <v>12</v>
      </c>
      <c r="V1262" s="18">
        <f t="shared" si="444"/>
        <v>2025</v>
      </c>
      <c r="W1262" s="18" t="str">
        <f t="shared" si="445"/>
        <v/>
      </c>
      <c r="X1262" s="18" t="str">
        <f t="shared" si="446"/>
        <v/>
      </c>
      <c r="Y1262" s="2">
        <f t="shared" si="447"/>
        <v>0.71478261126370934</v>
      </c>
      <c r="Z1262" t="str">
        <f t="shared" si="448"/>
        <v>SO18345</v>
      </c>
      <c r="AA1262" s="11">
        <f t="shared" si="449"/>
        <v>45993.502418981479</v>
      </c>
      <c r="AB1262" s="5" t="str">
        <f t="shared" si="450"/>
        <v>INV13834</v>
      </c>
      <c r="AC1262" s="5" t="str">
        <f>IFERROR(VLOOKUP(D1262,CAARStatus!$A$2:$AA$1600,22,FALSE),"Not invoiced")</f>
        <v>Not invoiced</v>
      </c>
      <c r="AD1262" s="11" t="str">
        <f>IF(AC1262="Paid",IFERROR(VLOOKUP(D1262,CAARStatus!$A$2:$AA$1600,6,FALSE),"Pending"),"Pending")</f>
        <v>Pending</v>
      </c>
      <c r="AE1262" s="5" t="str">
        <f t="shared" si="451"/>
        <v>C003744426</v>
      </c>
      <c r="AF1262" s="5" t="str">
        <f t="shared" si="452"/>
        <v>Glencore Canada Corporation - Rouyn-Noranda</v>
      </c>
      <c r="AG1262" s="5" t="str">
        <f t="shared" si="453"/>
        <v>CAD</v>
      </c>
      <c r="AH1262" s="5">
        <f t="shared" si="454"/>
        <v>3049.16</v>
      </c>
      <c r="AI1262" s="12">
        <f>IF(L1262-N1262=0,VLOOKUP(U1262,rate!A$4:B$15,2,FALSE)*AH1262,IF(AG1262="USD",O1262,AH1262*Y1262))</f>
        <v>2179.4865469608517</v>
      </c>
      <c r="AJ1262" s="13">
        <f t="shared" si="455"/>
        <v>0.71478261126370923</v>
      </c>
      <c r="AK1262" s="13">
        <f>-IF(AG1262="CAD",IFERROR(VLOOKUP(D1262,CAARStatus!$A$1:$Y$1600,16,FALSE),0),0)</f>
        <v>0</v>
      </c>
      <c r="AL1262" s="13">
        <f>-IF(AG1262="USD",IFERROR(VLOOKUP(D1262,CAARStatus!$A$1:$Y$1600,11,FALSE),0),0)</f>
        <v>0</v>
      </c>
      <c r="AM1262" s="22">
        <f t="shared" si="456"/>
        <v>3049.16</v>
      </c>
      <c r="AN1262" s="12" t="str">
        <f t="shared" si="457"/>
        <v/>
      </c>
      <c r="AO1262" s="12" t="str">
        <f t="shared" si="458"/>
        <v>Pend</v>
      </c>
      <c r="AP1262" t="str">
        <f t="shared" si="459"/>
        <v>Pend</v>
      </c>
      <c r="AQ1262" t="str">
        <f>IFERROR(VLOOKUP(Z1262,InvBal!$L$4:$P$600,4,FALSE),"Pend")</f>
        <v>Pend</v>
      </c>
      <c r="AR1262" t="str">
        <f>IFERROR(VLOOKUP(D1262,Manual!$C$1:$E$22,2,FALSE),"Pend")</f>
        <v>Pend</v>
      </c>
      <c r="AS1262" t="str">
        <f t="shared" si="460"/>
        <v/>
      </c>
      <c r="AT1262" t="str">
        <f t="shared" si="461"/>
        <v>Yes</v>
      </c>
      <c r="AU1262" s="51" t="str">
        <f t="shared" si="462"/>
        <v/>
      </c>
      <c r="AV1262" s="12">
        <f>IFERROR(VLOOKUP(D1262,'Receivable Invoice Detail'!$S$1:$U$3014,3,FALSE),0)</f>
        <v>0</v>
      </c>
      <c r="AW1262" s="12">
        <f t="shared" si="463"/>
        <v>0</v>
      </c>
    </row>
    <row r="1263" spans="1:49" ht="30" x14ac:dyDescent="0.25">
      <c r="A1263" s="2">
        <v>1</v>
      </c>
      <c r="B1263" s="2" t="s">
        <v>6210</v>
      </c>
      <c r="C1263" s="2" t="s">
        <v>6040</v>
      </c>
      <c r="D1263" s="2" t="s">
        <v>6039</v>
      </c>
      <c r="E1263" s="2" t="s">
        <v>83</v>
      </c>
      <c r="F1263" s="3">
        <v>45993.510011574072</v>
      </c>
      <c r="G1263" s="3">
        <v>45995.549722222233</v>
      </c>
      <c r="H1263" s="4">
        <v>46020</v>
      </c>
      <c r="I1263" s="2" t="s">
        <v>21</v>
      </c>
      <c r="J1263" s="2" t="s">
        <v>22</v>
      </c>
      <c r="K1263" s="2">
        <v>1</v>
      </c>
      <c r="L1263" s="2">
        <v>6255.48</v>
      </c>
      <c r="M1263" s="2">
        <v>0</v>
      </c>
      <c r="N1263" s="2">
        <v>4487.461720117898</v>
      </c>
      <c r="O1263" s="2">
        <v>5957.6</v>
      </c>
      <c r="P1263" s="2">
        <v>297.88</v>
      </c>
      <c r="Q1263" s="2">
        <v>6255.48</v>
      </c>
      <c r="R1263" s="2" t="s">
        <v>44</v>
      </c>
      <c r="S1263" s="2"/>
      <c r="T1263" s="2">
        <f t="shared" si="442"/>
        <v>1</v>
      </c>
      <c r="U1263" s="18">
        <f t="shared" si="443"/>
        <v>12</v>
      </c>
      <c r="V1263" s="18">
        <f t="shared" si="444"/>
        <v>2025</v>
      </c>
      <c r="W1263" s="18" t="str">
        <f t="shared" si="445"/>
        <v/>
      </c>
      <c r="X1263" s="18" t="str">
        <f t="shared" si="446"/>
        <v/>
      </c>
      <c r="Y1263" s="2">
        <f t="shared" si="447"/>
        <v>0.71736488968358914</v>
      </c>
      <c r="Z1263" t="str">
        <f t="shared" si="448"/>
        <v>SO18346</v>
      </c>
      <c r="AA1263" s="11">
        <f t="shared" si="449"/>
        <v>45993.510011574072</v>
      </c>
      <c r="AB1263" s="5" t="str">
        <f t="shared" si="450"/>
        <v>INV13792</v>
      </c>
      <c r="AC1263" s="5" t="str">
        <f>IFERROR(VLOOKUP(D1263,CAARStatus!$A$2:$AA$1600,22,FALSE),"Not invoiced")</f>
        <v>Approved</v>
      </c>
      <c r="AD1263" s="11" t="str">
        <f>IF(AC1263="Paid",IFERROR(VLOOKUP(D1263,CAARStatus!$A$2:$AA$1600,6,FALSE),"Pending"),"Pending")</f>
        <v>Pending</v>
      </c>
      <c r="AE1263" s="5" t="str">
        <f t="shared" si="451"/>
        <v>6500024645</v>
      </c>
      <c r="AF1263" s="5" t="str">
        <f t="shared" si="452"/>
        <v>Wesdome Gold Mines Ltd - Eagle River Mine</v>
      </c>
      <c r="AG1263" s="5" t="str">
        <f t="shared" si="453"/>
        <v>CAD</v>
      </c>
      <c r="AH1263" s="5">
        <f t="shared" si="454"/>
        <v>5957.6</v>
      </c>
      <c r="AI1263" s="12">
        <f>IF(L1263-N1263=0,VLOOKUP(U1263,rate!A$4:B$15,2,FALSE)*AH1263,IF(AG1263="USD",O1263,AH1263*Y1263))</f>
        <v>4273.773066778951</v>
      </c>
      <c r="AJ1263" s="13">
        <f t="shared" si="455"/>
        <v>0.71736488968358914</v>
      </c>
      <c r="AK1263" s="13">
        <f>-IF(AG1263="CAD",IFERROR(VLOOKUP(D1263,CAARStatus!$A$1:$Y$1600,16,FALSE),0),0)</f>
        <v>-5957.6</v>
      </c>
      <c r="AL1263" s="13">
        <f>-IF(AG1263="USD",IFERROR(VLOOKUP(D1263,CAARStatus!$A$1:$Y$1600,11,FALSE),0),0)</f>
        <v>0</v>
      </c>
      <c r="AM1263" s="22">
        <f t="shared" si="456"/>
        <v>0</v>
      </c>
      <c r="AN1263" s="12" t="str">
        <f t="shared" si="457"/>
        <v/>
      </c>
      <c r="AO1263" s="12" t="str">
        <f t="shared" si="458"/>
        <v>Pend</v>
      </c>
      <c r="AP1263" t="str">
        <f t="shared" si="459"/>
        <v>Pend</v>
      </c>
      <c r="AQ1263" t="str">
        <f>IFERROR(VLOOKUP(Z1263,InvBal!$L$4:$P$600,4,FALSE),"Pend")</f>
        <v>Pend</v>
      </c>
      <c r="AR1263" t="str">
        <f>IFERROR(VLOOKUP(D1263,Manual!$C$1:$E$22,2,FALSE),"Pend")</f>
        <v>Pend</v>
      </c>
      <c r="AS1263" t="str">
        <f t="shared" si="460"/>
        <v/>
      </c>
      <c r="AT1263" t="str">
        <f t="shared" si="461"/>
        <v>Yes</v>
      </c>
      <c r="AU1263" s="51" t="str">
        <f t="shared" si="462"/>
        <v/>
      </c>
      <c r="AV1263" s="12">
        <f>IFERROR(VLOOKUP(D1263,'Receivable Invoice Detail'!$S$1:$U$3014,3,FALSE),0)</f>
        <v>0</v>
      </c>
      <c r="AW1263" s="12">
        <f t="shared" si="463"/>
        <v>0</v>
      </c>
    </row>
    <row r="1264" spans="1:49" x14ac:dyDescent="0.25">
      <c r="A1264" s="2">
        <v>2</v>
      </c>
      <c r="B1264" s="2" t="s">
        <v>6211</v>
      </c>
      <c r="C1264" s="2" t="s">
        <v>5996</v>
      </c>
      <c r="D1264" s="2" t="s">
        <v>6332</v>
      </c>
      <c r="E1264" s="2" t="s">
        <v>70</v>
      </c>
      <c r="F1264" s="3">
        <v>45993.592662037037</v>
      </c>
      <c r="G1264" s="3">
        <v>45995.465497685182</v>
      </c>
      <c r="H1264" s="4">
        <v>46100</v>
      </c>
      <c r="I1264" s="2" t="s">
        <v>74</v>
      </c>
      <c r="J1264" s="2" t="s">
        <v>51</v>
      </c>
      <c r="K1264" s="2">
        <v>0.71478261126370946</v>
      </c>
      <c r="L1264" s="2">
        <v>5312.762146362531</v>
      </c>
      <c r="M1264" s="2">
        <v>0</v>
      </c>
      <c r="N1264" s="2">
        <v>3797.47</v>
      </c>
      <c r="O1264" s="2">
        <v>3797.47</v>
      </c>
      <c r="P1264" s="2"/>
      <c r="Q1264" s="2">
        <v>3797.47</v>
      </c>
      <c r="R1264" s="2" t="s">
        <v>29</v>
      </c>
      <c r="S1264" s="2"/>
      <c r="T1264" s="2">
        <f t="shared" si="442"/>
        <v>2</v>
      </c>
      <c r="U1264" s="18">
        <f t="shared" si="443"/>
        <v>12</v>
      </c>
      <c r="V1264" s="18">
        <f t="shared" si="444"/>
        <v>2025</v>
      </c>
      <c r="W1264" s="18" t="str">
        <f t="shared" si="445"/>
        <v/>
      </c>
      <c r="X1264" s="18" t="str">
        <f t="shared" si="446"/>
        <v/>
      </c>
      <c r="Y1264" s="2">
        <f t="shared" si="447"/>
        <v>0.71478261126370946</v>
      </c>
      <c r="Z1264" t="str">
        <f t="shared" si="448"/>
        <v>SO18347</v>
      </c>
      <c r="AA1264" s="11">
        <f t="shared" si="449"/>
        <v>45993.592662037037</v>
      </c>
      <c r="AB1264" s="5" t="str">
        <f t="shared" si="450"/>
        <v>INV13839</v>
      </c>
      <c r="AC1264" s="5" t="str">
        <f>IFERROR(VLOOKUP(D1264,CAARStatus!$A$2:$AA$1600,22,FALSE),"Not invoiced")</f>
        <v>Not invoiced</v>
      </c>
      <c r="AD1264" s="11" t="str">
        <f>IF(AC1264="Paid",IFERROR(VLOOKUP(D1264,CAARStatus!$A$2:$AA$1600,6,FALSE),"Pending"),"Pending")</f>
        <v>Pending</v>
      </c>
      <c r="AE1264" s="5" t="str">
        <f t="shared" si="451"/>
        <v>P371534</v>
      </c>
      <c r="AF1264" s="5" t="str">
        <f t="shared" si="452"/>
        <v>Covia Corp - Junction City</v>
      </c>
      <c r="AG1264" s="5" t="str">
        <f t="shared" si="453"/>
        <v>USD</v>
      </c>
      <c r="AH1264" s="5">
        <f t="shared" si="454"/>
        <v>5312.762146362531</v>
      </c>
      <c r="AI1264" s="12">
        <f>IF(L1264-N1264=0,VLOOKUP(U1264,rate!A$4:B$15,2,FALSE)*AH1264,IF(AG1264="USD",O1264,AH1264*Y1264))</f>
        <v>3797.47</v>
      </c>
      <c r="AJ1264" s="13">
        <f t="shared" si="455"/>
        <v>0.71478261126370946</v>
      </c>
      <c r="AK1264" s="13">
        <f>-IF(AG1264="CAD",IFERROR(VLOOKUP(D1264,CAARStatus!$A$1:$Y$1600,16,FALSE),0),0)</f>
        <v>0</v>
      </c>
      <c r="AL1264" s="13">
        <f>-IF(AG1264="USD",IFERROR(VLOOKUP(D1264,CAARStatus!$A$1:$Y$1600,11,FALSE),0),0)</f>
        <v>0</v>
      </c>
      <c r="AM1264" s="22" t="str">
        <f t="shared" si="456"/>
        <v/>
      </c>
      <c r="AN1264" s="12">
        <f t="shared" si="457"/>
        <v>3797.47</v>
      </c>
      <c r="AO1264" s="12" t="str">
        <f t="shared" si="458"/>
        <v>Pend</v>
      </c>
      <c r="AP1264" t="str">
        <f t="shared" si="459"/>
        <v>XX</v>
      </c>
      <c r="AQ1264">
        <f>IFERROR(VLOOKUP(Z1264,InvBal!$L$4:$P$600,4,FALSE),"Pend")</f>
        <v>0</v>
      </c>
      <c r="AR1264" t="str">
        <f>IFERROR(VLOOKUP(D1264,Manual!$C$1:$E$22,2,FALSE),"Pend")</f>
        <v>Pend</v>
      </c>
      <c r="AS1264" t="str">
        <f t="shared" si="460"/>
        <v/>
      </c>
      <c r="AT1264" t="str">
        <f t="shared" si="461"/>
        <v/>
      </c>
      <c r="AU1264" s="51" t="str">
        <f t="shared" si="462"/>
        <v/>
      </c>
      <c r="AV1264" s="12">
        <f>IFERROR(VLOOKUP(D1264,'Receivable Invoice Detail'!$S$1:$U$3014,3,FALSE),0)</f>
        <v>0</v>
      </c>
      <c r="AW1264" s="12">
        <f t="shared" si="463"/>
        <v>0</v>
      </c>
    </row>
    <row r="1265" spans="1:49" x14ac:dyDescent="0.25">
      <c r="A1265" s="2"/>
      <c r="B1265" s="2"/>
      <c r="C1265" s="2"/>
      <c r="D1265" s="2" t="s">
        <v>5995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>
        <f t="shared" si="442"/>
        <v>2</v>
      </c>
      <c r="U1265" s="18">
        <f t="shared" si="443"/>
        <v>12</v>
      </c>
      <c r="V1265" s="18">
        <f t="shared" si="444"/>
        <v>2025</v>
      </c>
      <c r="W1265" s="18" t="str">
        <f t="shared" si="445"/>
        <v/>
      </c>
      <c r="X1265" s="18" t="str">
        <f t="shared" si="446"/>
        <v/>
      </c>
      <c r="Y1265" s="2">
        <f t="shared" si="447"/>
        <v>0.71478261126370946</v>
      </c>
      <c r="Z1265" t="str">
        <f t="shared" si="448"/>
        <v>SO18347</v>
      </c>
      <c r="AA1265" s="11">
        <f t="shared" si="449"/>
        <v>45993.592662037037</v>
      </c>
      <c r="AB1265" s="5" t="str">
        <f t="shared" si="450"/>
        <v>INV13754</v>
      </c>
      <c r="AC1265" s="5" t="str">
        <f>IFERROR(VLOOKUP(D1265,CAARStatus!$A$2:$AA$1600,22,FALSE),"Not invoiced")</f>
        <v>Approved</v>
      </c>
      <c r="AD1265" s="11" t="str">
        <f>IF(AC1265="Paid",IFERROR(VLOOKUP(D1265,CAARStatus!$A$2:$AA$1600,6,FALSE),"Pending"),"Pending")</f>
        <v>Pending</v>
      </c>
      <c r="AE1265" s="5" t="str">
        <f t="shared" si="451"/>
        <v>P371534</v>
      </c>
      <c r="AF1265" s="5" t="str">
        <f t="shared" si="452"/>
        <v>Covia Corp - Junction City</v>
      </c>
      <c r="AG1265" s="5" t="str">
        <f t="shared" si="453"/>
        <v>USD</v>
      </c>
      <c r="AH1265" s="5">
        <f t="shared" si="454"/>
        <v>0</v>
      </c>
      <c r="AI1265" s="12">
        <f>IF(L1265-N1265=0,VLOOKUP(U1265,rate!A$4:B$15,2,FALSE)*AH1265,IF(AG1265="USD",O1265,AH1265*Y1265))</f>
        <v>0</v>
      </c>
      <c r="AJ1265" s="13">
        <f t="shared" si="455"/>
        <v>0</v>
      </c>
      <c r="AK1265" s="13">
        <f>-IF(AG1265="CAD",IFERROR(VLOOKUP(D1265,CAARStatus!$A$1:$Y$1600,16,FALSE),0),0)</f>
        <v>0</v>
      </c>
      <c r="AL1265" s="13">
        <f>-IF(AG1265="USD",IFERROR(VLOOKUP(D1265,CAARStatus!$A$1:$Y$1600,11,FALSE),0),0)</f>
        <v>-209.45</v>
      </c>
      <c r="AM1265" s="22" t="str">
        <f t="shared" si="456"/>
        <v/>
      </c>
      <c r="AN1265" s="12">
        <f t="shared" si="457"/>
        <v>-209.45</v>
      </c>
      <c r="AO1265" s="12" t="str">
        <f t="shared" si="458"/>
        <v>Pend</v>
      </c>
      <c r="AP1265" t="str">
        <f t="shared" si="459"/>
        <v>XX</v>
      </c>
      <c r="AQ1265">
        <f>IFERROR(VLOOKUP(Z1265,InvBal!$L$4:$P$600,4,FALSE),"Pend")</f>
        <v>0</v>
      </c>
      <c r="AR1265" t="str">
        <f>IFERROR(VLOOKUP(D1265,Manual!$C$1:$E$22,2,FALSE),"Pend")</f>
        <v>Pend</v>
      </c>
      <c r="AS1265" t="str">
        <f t="shared" si="460"/>
        <v/>
      </c>
      <c r="AT1265" t="str">
        <f t="shared" si="461"/>
        <v/>
      </c>
      <c r="AU1265" s="51" t="str">
        <f t="shared" si="462"/>
        <v/>
      </c>
      <c r="AV1265" s="12">
        <f>IFERROR(VLOOKUP(D1265,'Receivable Invoice Detail'!$S$1:$U$3014,3,FALSE),0)</f>
        <v>65</v>
      </c>
      <c r="AW1265" s="12">
        <f t="shared" si="463"/>
        <v>0</v>
      </c>
    </row>
    <row r="1266" spans="1:49" ht="30" x14ac:dyDescent="0.25">
      <c r="A1266" s="2">
        <v>1</v>
      </c>
      <c r="B1266" s="2" t="s">
        <v>5881</v>
      </c>
      <c r="C1266" s="2" t="s">
        <v>5882</v>
      </c>
      <c r="D1266" s="2" t="s">
        <v>6070</v>
      </c>
      <c r="E1266" s="2" t="s">
        <v>98</v>
      </c>
      <c r="F1266" s="3">
        <v>45993.733495370368</v>
      </c>
      <c r="G1266" s="3">
        <v>45994.355428240742</v>
      </c>
      <c r="H1266" s="4">
        <v>45999</v>
      </c>
      <c r="I1266" s="2" t="s">
        <v>40</v>
      </c>
      <c r="J1266" s="2" t="s">
        <v>22</v>
      </c>
      <c r="K1266" s="2">
        <v>1</v>
      </c>
      <c r="L1266" s="2">
        <v>2257.12</v>
      </c>
      <c r="M1266" s="2">
        <v>0</v>
      </c>
      <c r="N1266" s="2">
        <v>1617.6692019805459</v>
      </c>
      <c r="O1266" s="2">
        <v>1997.45</v>
      </c>
      <c r="P1266" s="2">
        <v>259.67</v>
      </c>
      <c r="Q1266" s="2">
        <v>2257.12</v>
      </c>
      <c r="R1266" s="2" t="s">
        <v>44</v>
      </c>
      <c r="S1266" s="2"/>
      <c r="T1266" s="2">
        <f t="shared" si="442"/>
        <v>1</v>
      </c>
      <c r="U1266" s="18">
        <f t="shared" si="443"/>
        <v>12</v>
      </c>
      <c r="V1266" s="18">
        <f t="shared" si="444"/>
        <v>2025</v>
      </c>
      <c r="W1266" s="18" t="str">
        <f t="shared" si="445"/>
        <v/>
      </c>
      <c r="X1266" s="18" t="str">
        <f t="shared" si="446"/>
        <v/>
      </c>
      <c r="Y1266" s="2">
        <f t="shared" si="447"/>
        <v>0.71669614463588383</v>
      </c>
      <c r="Z1266" t="str">
        <f t="shared" si="448"/>
        <v>SO18349</v>
      </c>
      <c r="AA1266" s="11">
        <f t="shared" si="449"/>
        <v>45993.733495370368</v>
      </c>
      <c r="AB1266" s="5" t="str">
        <f t="shared" si="450"/>
        <v>INV13808</v>
      </c>
      <c r="AC1266" s="5" t="str">
        <f>IFERROR(VLOOKUP(D1266,CAARStatus!$A$2:$AA$1600,22,FALSE),"Not invoiced")</f>
        <v>Approved</v>
      </c>
      <c r="AD1266" s="11" t="str">
        <f>IF(AC1266="Paid",IFERROR(VLOOKUP(D1266,CAARStatus!$A$2:$AA$1600,6,FALSE),"Pending"),"Pending")</f>
        <v>Pending</v>
      </c>
      <c r="AE1266" s="5" t="str">
        <f t="shared" si="451"/>
        <v>PO-008485</v>
      </c>
      <c r="AF1266" s="5" t="str">
        <f t="shared" si="452"/>
        <v>Sling-Choker Manufacturing - Timmins</v>
      </c>
      <c r="AG1266" s="5" t="str">
        <f t="shared" si="453"/>
        <v>CAD</v>
      </c>
      <c r="AH1266" s="5">
        <f t="shared" si="454"/>
        <v>1997.45</v>
      </c>
      <c r="AI1266" s="12">
        <f>IF(L1266-N1266=0,VLOOKUP(U1266,rate!A$4:B$15,2,FALSE)*AH1266,IF(AG1266="USD",O1266,AH1266*Y1266))</f>
        <v>1431.5647141029463</v>
      </c>
      <c r="AJ1266" s="13">
        <f t="shared" si="455"/>
        <v>0.71669614463588383</v>
      </c>
      <c r="AK1266" s="13">
        <f>-IF(AG1266="CAD",IFERROR(VLOOKUP(D1266,CAARStatus!$A$1:$Y$1600,16,FALSE),0),0)</f>
        <v>-1997.45</v>
      </c>
      <c r="AL1266" s="13">
        <f>-IF(AG1266="USD",IFERROR(VLOOKUP(D1266,CAARStatus!$A$1:$Y$1600,11,FALSE),0),0)</f>
        <v>0</v>
      </c>
      <c r="AM1266" s="22">
        <f t="shared" si="456"/>
        <v>0</v>
      </c>
      <c r="AN1266" s="12" t="str">
        <f t="shared" si="457"/>
        <v/>
      </c>
      <c r="AO1266" s="12" t="str">
        <f t="shared" si="458"/>
        <v>Pend</v>
      </c>
      <c r="AP1266" t="str">
        <f t="shared" si="459"/>
        <v>Pend</v>
      </c>
      <c r="AQ1266" t="str">
        <f>IFERROR(VLOOKUP(Z1266,InvBal!$L$4:$P$600,4,FALSE),"Pend")</f>
        <v>Pend</v>
      </c>
      <c r="AR1266" t="str">
        <f>IFERROR(VLOOKUP(D1266,Manual!$C$1:$E$22,2,FALSE),"Pend")</f>
        <v>Pend</v>
      </c>
      <c r="AS1266" t="str">
        <f t="shared" si="460"/>
        <v/>
      </c>
      <c r="AT1266" t="str">
        <f t="shared" si="461"/>
        <v>Yes</v>
      </c>
      <c r="AU1266" s="51" t="str">
        <f t="shared" si="462"/>
        <v/>
      </c>
      <c r="AV1266" s="12">
        <f>IFERROR(VLOOKUP(D1266,'Receivable Invoice Detail'!$S$1:$U$3014,3,FALSE),0)</f>
        <v>0</v>
      </c>
      <c r="AW1266" s="12">
        <f t="shared" si="463"/>
        <v>0</v>
      </c>
    </row>
    <row r="1267" spans="1:49" ht="30" x14ac:dyDescent="0.25">
      <c r="A1267" s="2">
        <v>1</v>
      </c>
      <c r="B1267" s="2" t="s">
        <v>5883</v>
      </c>
      <c r="C1267" s="2" t="s">
        <v>5884</v>
      </c>
      <c r="D1267" s="2" t="s">
        <v>5957</v>
      </c>
      <c r="E1267" s="2" t="s">
        <v>121</v>
      </c>
      <c r="F1267" s="3">
        <v>45993.753252314818</v>
      </c>
      <c r="G1267" s="3">
        <v>45993.755567129629</v>
      </c>
      <c r="H1267" s="4">
        <v>45994</v>
      </c>
      <c r="I1267" s="2" t="s">
        <v>21</v>
      </c>
      <c r="J1267" s="2" t="s">
        <v>22</v>
      </c>
      <c r="K1267" s="2">
        <v>1</v>
      </c>
      <c r="L1267" s="2">
        <v>421.75</v>
      </c>
      <c r="M1267" s="2">
        <v>0</v>
      </c>
      <c r="N1267" s="2">
        <v>301.45956630046948</v>
      </c>
      <c r="O1267" s="2">
        <v>401.67</v>
      </c>
      <c r="P1267" s="2">
        <v>20.079999999999998</v>
      </c>
      <c r="Q1267" s="2">
        <v>421.75</v>
      </c>
      <c r="R1267" s="2" t="s">
        <v>44</v>
      </c>
      <c r="S1267" s="2"/>
      <c r="T1267" s="2">
        <f t="shared" si="442"/>
        <v>1</v>
      </c>
      <c r="U1267" s="18">
        <f t="shared" si="443"/>
        <v>12</v>
      </c>
      <c r="V1267" s="18">
        <f t="shared" si="444"/>
        <v>2025</v>
      </c>
      <c r="W1267" s="18" t="str">
        <f t="shared" si="445"/>
        <v/>
      </c>
      <c r="X1267" s="18" t="str">
        <f t="shared" si="446"/>
        <v/>
      </c>
      <c r="Y1267" s="2">
        <f t="shared" si="447"/>
        <v>0.71478261126370946</v>
      </c>
      <c r="Z1267" t="str">
        <f t="shared" si="448"/>
        <v>SO18350</v>
      </c>
      <c r="AA1267" s="11">
        <f t="shared" si="449"/>
        <v>45993.753252314818</v>
      </c>
      <c r="AB1267" s="5" t="str">
        <f t="shared" si="450"/>
        <v>INV13724</v>
      </c>
      <c r="AC1267" s="5" t="str">
        <f>IFERROR(VLOOKUP(D1267,CAARStatus!$A$2:$AA$1600,22,FALSE),"Not invoiced")</f>
        <v>Approved</v>
      </c>
      <c r="AD1267" s="11" t="str">
        <f>IF(AC1267="Paid",IFERROR(VLOOKUP(D1267,CAARStatus!$A$2:$AA$1600,6,FALSE),"Pending"),"Pending")</f>
        <v>Pending</v>
      </c>
      <c r="AE1267" s="5" t="str">
        <f t="shared" si="451"/>
        <v>C003744417</v>
      </c>
      <c r="AF1267" s="5" t="str">
        <f t="shared" si="452"/>
        <v>Glencore Canada Corporation - Rouyn-Noranda</v>
      </c>
      <c r="AG1267" s="5" t="str">
        <f t="shared" si="453"/>
        <v>CAD</v>
      </c>
      <c r="AH1267" s="5">
        <f t="shared" si="454"/>
        <v>401.67</v>
      </c>
      <c r="AI1267" s="12">
        <f>IF(L1267-N1267=0,VLOOKUP(U1267,rate!A$4:B$15,2,FALSE)*AH1267,IF(AG1267="USD",O1267,AH1267*Y1267))</f>
        <v>287.10673146629421</v>
      </c>
      <c r="AJ1267" s="13">
        <f t="shared" si="455"/>
        <v>0.71478261126370946</v>
      </c>
      <c r="AK1267" s="13">
        <f>-IF(AG1267="CAD",IFERROR(VLOOKUP(D1267,CAARStatus!$A$1:$Y$1600,16,FALSE),0),0)</f>
        <v>-401.67</v>
      </c>
      <c r="AL1267" s="13">
        <f>-IF(AG1267="USD",IFERROR(VLOOKUP(D1267,CAARStatus!$A$1:$Y$1600,11,FALSE),0),0)</f>
        <v>0</v>
      </c>
      <c r="AM1267" s="22">
        <f t="shared" si="456"/>
        <v>0</v>
      </c>
      <c r="AN1267" s="12" t="str">
        <f t="shared" si="457"/>
        <v/>
      </c>
      <c r="AO1267" s="12" t="str">
        <f t="shared" si="458"/>
        <v>Pend</v>
      </c>
      <c r="AP1267" t="str">
        <f t="shared" si="459"/>
        <v>Pend</v>
      </c>
      <c r="AQ1267" t="str">
        <f>IFERROR(VLOOKUP(Z1267,InvBal!$L$4:$P$600,4,FALSE),"Pend")</f>
        <v>Pend</v>
      </c>
      <c r="AR1267" t="str">
        <f>IFERROR(VLOOKUP(D1267,Manual!$C$1:$E$22,2,FALSE),"Pend")</f>
        <v>Pend</v>
      </c>
      <c r="AS1267" t="str">
        <f t="shared" si="460"/>
        <v/>
      </c>
      <c r="AT1267" t="str">
        <f t="shared" si="461"/>
        <v>Yes</v>
      </c>
      <c r="AU1267" s="51" t="str">
        <f t="shared" si="462"/>
        <v/>
      </c>
      <c r="AV1267" s="12">
        <f>IFERROR(VLOOKUP(D1267,'Receivable Invoice Detail'!$S$1:$U$3014,3,FALSE),0)</f>
        <v>0</v>
      </c>
      <c r="AW1267" s="12">
        <f t="shared" si="463"/>
        <v>0</v>
      </c>
    </row>
    <row r="1268" spans="1:49" ht="30" x14ac:dyDescent="0.25">
      <c r="A1268" s="2">
        <v>1</v>
      </c>
      <c r="B1268" s="2" t="s">
        <v>6212</v>
      </c>
      <c r="C1268" s="2" t="s">
        <v>6006</v>
      </c>
      <c r="D1268" s="2" t="s">
        <v>6005</v>
      </c>
      <c r="E1268" s="2" t="s">
        <v>35</v>
      </c>
      <c r="F1268" s="3">
        <v>45993.804814814823</v>
      </c>
      <c r="G1268" s="3">
        <v>46000.510127314818</v>
      </c>
      <c r="H1268" s="4">
        <v>46007</v>
      </c>
      <c r="I1268" s="2" t="s">
        <v>36</v>
      </c>
      <c r="J1268" s="2" t="s">
        <v>22</v>
      </c>
      <c r="K1268" s="2">
        <v>1</v>
      </c>
      <c r="L1268" s="2">
        <v>2813.64</v>
      </c>
      <c r="M1268" s="2">
        <v>0</v>
      </c>
      <c r="N1268" s="2">
        <v>2033.770341521297</v>
      </c>
      <c r="O1268" s="2">
        <v>2679.66</v>
      </c>
      <c r="P1268" s="2">
        <v>133.97999999999999</v>
      </c>
      <c r="Q1268" s="2">
        <v>2813.64</v>
      </c>
      <c r="R1268" s="2" t="s">
        <v>44</v>
      </c>
      <c r="S1268" s="2"/>
      <c r="T1268" s="2">
        <f t="shared" si="442"/>
        <v>1</v>
      </c>
      <c r="U1268" s="18">
        <f t="shared" si="443"/>
        <v>12</v>
      </c>
      <c r="V1268" s="18">
        <f t="shared" si="444"/>
        <v>2025</v>
      </c>
      <c r="W1268" s="18" t="str">
        <f t="shared" si="445"/>
        <v/>
      </c>
      <c r="X1268" s="18" t="str">
        <f t="shared" si="446"/>
        <v/>
      </c>
      <c r="Y1268" s="2">
        <f t="shared" si="447"/>
        <v>0.72282535844006235</v>
      </c>
      <c r="Z1268" t="str">
        <f t="shared" si="448"/>
        <v>SO18351</v>
      </c>
      <c r="AA1268" s="11">
        <f t="shared" si="449"/>
        <v>45993.804814814823</v>
      </c>
      <c r="AB1268" s="5" t="str">
        <f t="shared" si="450"/>
        <v>INV13767</v>
      </c>
      <c r="AC1268" s="5" t="str">
        <f>IFERROR(VLOOKUP(D1268,CAARStatus!$A$2:$AA$1600,22,FALSE),"Not invoiced")</f>
        <v>Approved</v>
      </c>
      <c r="AD1268" s="11" t="str">
        <f>IF(AC1268="Paid",IFERROR(VLOOKUP(D1268,CAARStatus!$A$2:$AA$1600,6,FALSE),"Pending"),"Pending")</f>
        <v>Pending</v>
      </c>
      <c r="AE1268" s="5" t="str">
        <f t="shared" si="451"/>
        <v>PO14273</v>
      </c>
      <c r="AF1268" s="5" t="str">
        <f t="shared" si="452"/>
        <v>Manufacture Sling-Choker (Val-d’Or) Ltée</v>
      </c>
      <c r="AG1268" s="5" t="str">
        <f t="shared" si="453"/>
        <v>CAD</v>
      </c>
      <c r="AH1268" s="5">
        <f t="shared" si="454"/>
        <v>2679.66</v>
      </c>
      <c r="AI1268" s="12">
        <f>IF(L1268-N1268=0,VLOOKUP(U1268,rate!A$4:B$15,2,FALSE)*AH1268,IF(AG1268="USD",O1268,AH1268*Y1268))</f>
        <v>1936.9261999974974</v>
      </c>
      <c r="AJ1268" s="13">
        <f t="shared" si="455"/>
        <v>0.72282535844006235</v>
      </c>
      <c r="AK1268" s="13">
        <f>-IF(AG1268="CAD",IFERROR(VLOOKUP(D1268,CAARStatus!$A$1:$Y$1600,16,FALSE),0),0)</f>
        <v>-2679.66</v>
      </c>
      <c r="AL1268" s="13">
        <f>-IF(AG1268="USD",IFERROR(VLOOKUP(D1268,CAARStatus!$A$1:$Y$1600,11,FALSE),0),0)</f>
        <v>0</v>
      </c>
      <c r="AM1268" s="22">
        <f t="shared" si="456"/>
        <v>0</v>
      </c>
      <c r="AN1268" s="12" t="str">
        <f t="shared" si="457"/>
        <v/>
      </c>
      <c r="AO1268" s="12" t="str">
        <f t="shared" si="458"/>
        <v>Pend</v>
      </c>
      <c r="AP1268" t="str">
        <f t="shared" si="459"/>
        <v>Pend</v>
      </c>
      <c r="AQ1268" t="str">
        <f>IFERROR(VLOOKUP(Z1268,InvBal!$L$4:$P$600,4,FALSE),"Pend")</f>
        <v>Pend</v>
      </c>
      <c r="AR1268" t="str">
        <f>IFERROR(VLOOKUP(D1268,Manual!$C$1:$E$22,2,FALSE),"Pend")</f>
        <v>Pend</v>
      </c>
      <c r="AS1268" t="str">
        <f t="shared" si="460"/>
        <v/>
      </c>
      <c r="AT1268" t="str">
        <f t="shared" si="461"/>
        <v>Yes</v>
      </c>
      <c r="AU1268" s="51" t="str">
        <f t="shared" si="462"/>
        <v/>
      </c>
      <c r="AV1268" s="12">
        <f>IFERROR(VLOOKUP(D1268,'Receivable Invoice Detail'!$S$1:$U$3014,3,FALSE),0)</f>
        <v>0</v>
      </c>
      <c r="AW1268" s="12">
        <f t="shared" si="463"/>
        <v>0</v>
      </c>
    </row>
    <row r="1269" spans="1:49" ht="30" x14ac:dyDescent="0.25">
      <c r="A1269" s="2">
        <v>0</v>
      </c>
      <c r="B1269" s="2" t="s">
        <v>6213</v>
      </c>
      <c r="C1269" s="2" t="s">
        <v>6214</v>
      </c>
      <c r="D1269" s="2"/>
      <c r="E1269" s="2" t="s">
        <v>159</v>
      </c>
      <c r="F1269" s="3">
        <v>45994.532048611109</v>
      </c>
      <c r="G1269" s="3">
        <v>46003.646585648137</v>
      </c>
      <c r="H1269" s="4">
        <v>46136</v>
      </c>
      <c r="I1269" s="2" t="s">
        <v>40</v>
      </c>
      <c r="J1269" s="2" t="s">
        <v>51</v>
      </c>
      <c r="K1269" s="2">
        <v>0.72276866354558011</v>
      </c>
      <c r="L1269" s="2">
        <v>6842.9640761370629</v>
      </c>
      <c r="M1269" s="2">
        <v>0</v>
      </c>
      <c r="N1269" s="2">
        <v>4945.88</v>
      </c>
      <c r="O1269" s="2">
        <v>4945.88</v>
      </c>
      <c r="P1269" s="2"/>
      <c r="Q1269" s="2">
        <v>4945.88</v>
      </c>
      <c r="R1269" s="2" t="s">
        <v>29</v>
      </c>
      <c r="S1269" s="2"/>
      <c r="T1269" s="2">
        <f t="shared" si="442"/>
        <v>0</v>
      </c>
      <c r="U1269" s="18">
        <f t="shared" si="443"/>
        <v>12</v>
      </c>
      <c r="V1269" s="18">
        <f t="shared" si="444"/>
        <v>2025</v>
      </c>
      <c r="W1269" s="18" t="str">
        <f t="shared" si="445"/>
        <v/>
      </c>
      <c r="X1269" s="18" t="str">
        <f t="shared" si="446"/>
        <v/>
      </c>
      <c r="Y1269" s="2">
        <f t="shared" si="447"/>
        <v>0.72276866354558011</v>
      </c>
      <c r="Z1269" t="str">
        <f t="shared" si="448"/>
        <v>SO18354</v>
      </c>
      <c r="AA1269" s="11">
        <f t="shared" si="449"/>
        <v>45994.532048611109</v>
      </c>
      <c r="AB1269" s="5" t="str">
        <f t="shared" si="450"/>
        <v>No Inv</v>
      </c>
      <c r="AC1269" s="5" t="str">
        <f>IFERROR(VLOOKUP(D1269,CAARStatus!$A$2:$AA$1600,22,FALSE),"Not invoiced")</f>
        <v>Not invoiced</v>
      </c>
      <c r="AD1269" s="11" t="str">
        <f>IF(AC1269="Paid",IFERROR(VLOOKUP(D1269,CAARStatus!$A$2:$AA$1600,6,FALSE),"Pending"),"Pending")</f>
        <v>Pending</v>
      </c>
      <c r="AE1269" s="5" t="str">
        <f t="shared" si="451"/>
        <v>4501356558</v>
      </c>
      <c r="AF1269" s="5" t="str">
        <f t="shared" si="452"/>
        <v>Barrick Gold - Pueblo Viejo Dominicana Corporation</v>
      </c>
      <c r="AG1269" s="5" t="str">
        <f t="shared" si="453"/>
        <v>USD</v>
      </c>
      <c r="AH1269" s="5">
        <f t="shared" si="454"/>
        <v>6842.9640761370629</v>
      </c>
      <c r="AI1269" s="12">
        <f>IF(L1269-N1269=0,VLOOKUP(U1269,rate!A$4:B$15,2,FALSE)*AH1269,IF(AG1269="USD",O1269,AH1269*Y1269))</f>
        <v>4945.88</v>
      </c>
      <c r="AJ1269" s="13">
        <f t="shared" si="455"/>
        <v>0.72276866354558011</v>
      </c>
      <c r="AK1269" s="13">
        <f>-IF(AG1269="CAD",IFERROR(VLOOKUP(D1269,CAARStatus!$A$1:$Y$1600,16,FALSE),0),0)</f>
        <v>0</v>
      </c>
      <c r="AL1269" s="13">
        <f>-IF(AG1269="USD",IFERROR(VLOOKUP(D1269,CAARStatus!$A$1:$Y$1600,11,FALSE),0),0)</f>
        <v>0</v>
      </c>
      <c r="AM1269" s="22" t="str">
        <f t="shared" si="456"/>
        <v/>
      </c>
      <c r="AN1269" s="12">
        <f t="shared" si="457"/>
        <v>4945.88</v>
      </c>
      <c r="AO1269" s="12" t="str">
        <f t="shared" si="458"/>
        <v>Pend</v>
      </c>
      <c r="AP1269" t="str">
        <f t="shared" si="459"/>
        <v>Pend</v>
      </c>
      <c r="AQ1269" t="str">
        <f>IFERROR(VLOOKUP(Z1269,InvBal!$L$4:$P$600,4,FALSE),"Pend")</f>
        <v>Pend</v>
      </c>
      <c r="AR1269" t="str">
        <f>IFERROR(VLOOKUP(D1269,Manual!$C$1:$E$22,2,FALSE),"Pend")</f>
        <v>Pend</v>
      </c>
      <c r="AS1269" t="str">
        <f t="shared" si="460"/>
        <v/>
      </c>
      <c r="AT1269" t="str">
        <f t="shared" si="461"/>
        <v/>
      </c>
      <c r="AU1269" s="51" t="str">
        <f t="shared" si="462"/>
        <v/>
      </c>
      <c r="AV1269" s="12">
        <f>IFERROR(VLOOKUP(D1269,'Receivable Invoice Detail'!$S$1:$U$3014,3,FALSE),0)</f>
        <v>0</v>
      </c>
      <c r="AW1269" s="12">
        <f t="shared" si="463"/>
        <v>0</v>
      </c>
    </row>
    <row r="1270" spans="1:49" ht="30" x14ac:dyDescent="0.25">
      <c r="A1270" s="2">
        <v>0</v>
      </c>
      <c r="B1270" s="2" t="s">
        <v>5885</v>
      </c>
      <c r="C1270" s="2" t="s">
        <v>5886</v>
      </c>
      <c r="D1270" s="2"/>
      <c r="E1270" s="2" t="s">
        <v>20</v>
      </c>
      <c r="F1270" s="3">
        <v>45994.632326388892</v>
      </c>
      <c r="G1270" s="3">
        <v>45994.738171296303</v>
      </c>
      <c r="H1270" s="4">
        <v>46043</v>
      </c>
      <c r="I1270" s="2" t="s">
        <v>21</v>
      </c>
      <c r="J1270" s="2" t="s">
        <v>22</v>
      </c>
      <c r="K1270" s="2">
        <v>1</v>
      </c>
      <c r="L1270" s="2">
        <v>7178.31</v>
      </c>
      <c r="M1270" s="2">
        <v>0</v>
      </c>
      <c r="N1270" s="2">
        <v>5144.6671020012109</v>
      </c>
      <c r="O1270" s="2">
        <v>6836.47</v>
      </c>
      <c r="P1270" s="2">
        <v>341.84</v>
      </c>
      <c r="Q1270" s="2">
        <v>7178.31</v>
      </c>
      <c r="R1270" s="2" t="s">
        <v>23</v>
      </c>
      <c r="S1270" s="2"/>
      <c r="T1270" s="2">
        <f t="shared" si="442"/>
        <v>0</v>
      </c>
      <c r="U1270" s="18">
        <f t="shared" si="443"/>
        <v>12</v>
      </c>
      <c r="V1270" s="18">
        <f t="shared" si="444"/>
        <v>2025</v>
      </c>
      <c r="W1270" s="18" t="str">
        <f t="shared" si="445"/>
        <v/>
      </c>
      <c r="X1270" s="18" t="str">
        <f t="shared" si="446"/>
        <v/>
      </c>
      <c r="Y1270" s="2">
        <f t="shared" si="447"/>
        <v>0.71669614463588371</v>
      </c>
      <c r="Z1270" t="str">
        <f t="shared" si="448"/>
        <v>SO18356</v>
      </c>
      <c r="AA1270" s="11">
        <f t="shared" si="449"/>
        <v>45994.632326388892</v>
      </c>
      <c r="AB1270" s="5" t="str">
        <f t="shared" si="450"/>
        <v>No Inv</v>
      </c>
      <c r="AC1270" s="5" t="str">
        <f>IFERROR(VLOOKUP(D1270,CAARStatus!$A$2:$AA$1600,22,FALSE),"Not invoiced")</f>
        <v>Not invoiced</v>
      </c>
      <c r="AD1270" s="11" t="str">
        <f>IF(AC1270="Paid",IFERROR(VLOOKUP(D1270,CAARStatus!$A$2:$AA$1600,6,FALSE),"Pending"),"Pending")</f>
        <v>Pending</v>
      </c>
      <c r="AE1270" s="5" t="str">
        <f t="shared" si="451"/>
        <v>4500624263</v>
      </c>
      <c r="AF1270" s="5" t="str">
        <f t="shared" si="452"/>
        <v>Resolute Forest Products - Saint-Felicien</v>
      </c>
      <c r="AG1270" s="5" t="str">
        <f t="shared" si="453"/>
        <v>CAD</v>
      </c>
      <c r="AH1270" s="5">
        <f t="shared" si="454"/>
        <v>6836.47</v>
      </c>
      <c r="AI1270" s="12">
        <f>IF(L1270-N1270=0,VLOOKUP(U1270,rate!A$4:B$15,2,FALSE)*AH1270,IF(AG1270="USD",O1270,AH1270*Y1270))</f>
        <v>4899.6716919188802</v>
      </c>
      <c r="AJ1270" s="13">
        <f t="shared" si="455"/>
        <v>0.71669614463588371</v>
      </c>
      <c r="AK1270" s="13">
        <f>-IF(AG1270="CAD",IFERROR(VLOOKUP(D1270,CAARStatus!$A$1:$Y$1600,16,FALSE),0),0)</f>
        <v>0</v>
      </c>
      <c r="AL1270" s="13">
        <f>-IF(AG1270="USD",IFERROR(VLOOKUP(D1270,CAARStatus!$A$1:$Y$1600,11,FALSE),0),0)</f>
        <v>0</v>
      </c>
      <c r="AM1270" s="22">
        <f t="shared" si="456"/>
        <v>6836.47</v>
      </c>
      <c r="AN1270" s="12" t="str">
        <f t="shared" si="457"/>
        <v/>
      </c>
      <c r="AO1270" s="12" t="str">
        <f t="shared" si="458"/>
        <v>Pend</v>
      </c>
      <c r="AP1270" t="str">
        <f t="shared" si="459"/>
        <v>Pend</v>
      </c>
      <c r="AQ1270" t="str">
        <f>IFERROR(VLOOKUP(Z1270,InvBal!$L$4:$P$600,4,FALSE),"Pend")</f>
        <v>Pend</v>
      </c>
      <c r="AR1270" t="str">
        <f>IFERROR(VLOOKUP(D1270,Manual!$C$1:$E$22,2,FALSE),"Pend")</f>
        <v>Pend</v>
      </c>
      <c r="AS1270" t="str">
        <f t="shared" si="460"/>
        <v/>
      </c>
      <c r="AT1270" t="str">
        <f t="shared" si="461"/>
        <v/>
      </c>
      <c r="AU1270" s="51" t="str">
        <f t="shared" si="462"/>
        <v/>
      </c>
      <c r="AV1270" s="12">
        <f>IFERROR(VLOOKUP(D1270,'Receivable Invoice Detail'!$S$1:$U$3014,3,FALSE),0)</f>
        <v>0</v>
      </c>
      <c r="AW1270" s="12">
        <f t="shared" si="463"/>
        <v>0</v>
      </c>
    </row>
    <row r="1271" spans="1:49" x14ac:dyDescent="0.25">
      <c r="A1271" s="2">
        <v>1</v>
      </c>
      <c r="B1271" s="2" t="s">
        <v>6215</v>
      </c>
      <c r="C1271" s="2" t="s">
        <v>5988</v>
      </c>
      <c r="D1271" s="2" t="s">
        <v>5987</v>
      </c>
      <c r="E1271" s="2" t="s">
        <v>64</v>
      </c>
      <c r="F1271" s="3">
        <v>45994.694131944438</v>
      </c>
      <c r="G1271" s="3">
        <v>45994.69295138889</v>
      </c>
      <c r="H1271" s="4">
        <v>45994</v>
      </c>
      <c r="I1271" s="2" t="s">
        <v>21</v>
      </c>
      <c r="J1271" s="2" t="s">
        <v>22</v>
      </c>
      <c r="K1271" s="2">
        <v>1</v>
      </c>
      <c r="L1271" s="2">
        <v>945.49</v>
      </c>
      <c r="M1271" s="2">
        <v>0</v>
      </c>
      <c r="N1271" s="2">
        <v>677.62903779178168</v>
      </c>
      <c r="O1271" s="2">
        <v>836.72</v>
      </c>
      <c r="P1271" s="2">
        <v>108.77</v>
      </c>
      <c r="Q1271" s="2">
        <v>945.49</v>
      </c>
      <c r="R1271" s="2" t="s">
        <v>44</v>
      </c>
      <c r="S1271" s="2"/>
      <c r="T1271" s="2">
        <f t="shared" si="442"/>
        <v>1</v>
      </c>
      <c r="U1271" s="18">
        <f t="shared" si="443"/>
        <v>12</v>
      </c>
      <c r="V1271" s="18">
        <f t="shared" si="444"/>
        <v>2025</v>
      </c>
      <c r="W1271" s="18">
        <f t="shared" si="445"/>
        <v>12</v>
      </c>
      <c r="X1271" s="18">
        <f t="shared" si="446"/>
        <v>2025</v>
      </c>
      <c r="Y1271" s="2">
        <f t="shared" si="447"/>
        <v>0.71669614463588371</v>
      </c>
      <c r="Z1271" t="str">
        <f t="shared" si="448"/>
        <v>SO18357</v>
      </c>
      <c r="AA1271" s="11">
        <f t="shared" si="449"/>
        <v>45994.694131944438</v>
      </c>
      <c r="AB1271" s="5" t="str">
        <f t="shared" si="450"/>
        <v>INV13759</v>
      </c>
      <c r="AC1271" s="5" t="str">
        <f>IFERROR(VLOOKUP(D1271,CAARStatus!$A$2:$AA$1600,22,FALSE),"Not invoiced")</f>
        <v>Paid</v>
      </c>
      <c r="AD1271" s="11">
        <f>IF(AC1271="Paid",IFERROR(VLOOKUP(D1271,CAARStatus!$A$2:$AA$1600,6,FALSE),"Pending"),"Pending")</f>
        <v>46020</v>
      </c>
      <c r="AE1271" s="5" t="str">
        <f t="shared" si="451"/>
        <v>607083</v>
      </c>
      <c r="AF1271" s="5" t="str">
        <f t="shared" si="452"/>
        <v>Sealtrac Inc.</v>
      </c>
      <c r="AG1271" s="5" t="str">
        <f t="shared" si="453"/>
        <v>CAD</v>
      </c>
      <c r="AH1271" s="5">
        <f t="shared" si="454"/>
        <v>836.72</v>
      </c>
      <c r="AI1271" s="12">
        <f>IF(L1271-N1271=0,VLOOKUP(U1271,rate!A$4:B$15,2,FALSE)*AH1271,IF(AG1271="USD",O1271,AH1271*Y1271))</f>
        <v>599.67399813973668</v>
      </c>
      <c r="AJ1271" s="13">
        <f t="shared" si="455"/>
        <v>0.71669614463588371</v>
      </c>
      <c r="AK1271" s="13">
        <f>-IF(AG1271="CAD",IFERROR(VLOOKUP(D1271,CAARStatus!$A$1:$Y$1600,16,FALSE),0),0)</f>
        <v>-836.72</v>
      </c>
      <c r="AL1271" s="13">
        <f>-IF(AG1271="USD",IFERROR(VLOOKUP(D1271,CAARStatus!$A$1:$Y$1600,11,FALSE),0),0)</f>
        <v>0</v>
      </c>
      <c r="AM1271" s="22">
        <f t="shared" si="456"/>
        <v>0</v>
      </c>
      <c r="AN1271" s="12" t="str">
        <f t="shared" si="457"/>
        <v/>
      </c>
      <c r="AO1271" s="12" t="str">
        <f t="shared" si="458"/>
        <v>Yes</v>
      </c>
      <c r="AP1271" t="str">
        <f t="shared" si="459"/>
        <v>Yes</v>
      </c>
      <c r="AQ1271" t="str">
        <f>IFERROR(VLOOKUP(Z1271,InvBal!$L$4:$P$600,4,FALSE),"Pend")</f>
        <v>Pend</v>
      </c>
      <c r="AR1271" t="str">
        <f>IFERROR(VLOOKUP(D1271,Manual!$C$1:$E$22,2,FALSE),"Pend")</f>
        <v>Pend</v>
      </c>
      <c r="AS1271" t="str">
        <f t="shared" si="460"/>
        <v>Yes</v>
      </c>
      <c r="AT1271" t="str">
        <f t="shared" si="461"/>
        <v>Yes</v>
      </c>
      <c r="AU1271" s="51" t="str">
        <f t="shared" si="462"/>
        <v>Yes</v>
      </c>
      <c r="AV1271" s="12">
        <f>IFERROR(VLOOKUP(D1271,'Receivable Invoice Detail'!$S$1:$U$3014,3,FALSE),0)</f>
        <v>0</v>
      </c>
      <c r="AW1271" s="12">
        <f t="shared" si="463"/>
        <v>599.67399813973668</v>
      </c>
    </row>
    <row r="1272" spans="1:49" x14ac:dyDescent="0.25">
      <c r="A1272" s="2">
        <v>1</v>
      </c>
      <c r="B1272" s="2" t="s">
        <v>6216</v>
      </c>
      <c r="C1272" s="2" t="s">
        <v>6017</v>
      </c>
      <c r="D1272" s="2" t="s">
        <v>6016</v>
      </c>
      <c r="E1272" s="2" t="s">
        <v>1835</v>
      </c>
      <c r="F1272" s="3">
        <v>45994.736932870372</v>
      </c>
      <c r="G1272" s="3">
        <v>46000.535069444442</v>
      </c>
      <c r="H1272" s="4">
        <v>46003</v>
      </c>
      <c r="I1272" s="2" t="s">
        <v>74</v>
      </c>
      <c r="J1272" s="2" t="s">
        <v>22</v>
      </c>
      <c r="K1272" s="2">
        <v>1</v>
      </c>
      <c r="L1272" s="2">
        <v>345.11</v>
      </c>
      <c r="M1272" s="2">
        <v>0</v>
      </c>
      <c r="N1272" s="2">
        <v>249.45425945125001</v>
      </c>
      <c r="O1272" s="2">
        <v>328.68</v>
      </c>
      <c r="P1272" s="2">
        <v>16.43</v>
      </c>
      <c r="Q1272" s="2">
        <v>345.11</v>
      </c>
      <c r="R1272" s="2" t="s">
        <v>44</v>
      </c>
      <c r="S1272" s="2"/>
      <c r="T1272" s="2">
        <f t="shared" si="442"/>
        <v>1</v>
      </c>
      <c r="U1272" s="18">
        <f t="shared" si="443"/>
        <v>12</v>
      </c>
      <c r="V1272" s="18">
        <f t="shared" si="444"/>
        <v>2025</v>
      </c>
      <c r="W1272" s="18" t="str">
        <f t="shared" si="445"/>
        <v/>
      </c>
      <c r="X1272" s="18" t="str">
        <f t="shared" si="446"/>
        <v/>
      </c>
      <c r="Y1272" s="2">
        <f t="shared" si="447"/>
        <v>0.72282535844006257</v>
      </c>
      <c r="Z1272" t="str">
        <f t="shared" si="448"/>
        <v>SO18358</v>
      </c>
      <c r="AA1272" s="11">
        <f t="shared" si="449"/>
        <v>45994.736932870372</v>
      </c>
      <c r="AB1272" s="5" t="str">
        <f t="shared" si="450"/>
        <v>INV13774</v>
      </c>
      <c r="AC1272" s="5" t="str">
        <f>IFERROR(VLOOKUP(D1272,CAARStatus!$A$2:$AA$1600,22,FALSE),"Not invoiced")</f>
        <v>Approved</v>
      </c>
      <c r="AD1272" s="11" t="str">
        <f>IF(AC1272="Paid",IFERROR(VLOOKUP(D1272,CAARStatus!$A$2:$AA$1600,6,FALSE),"Pending"),"Pending")</f>
        <v>Pending</v>
      </c>
      <c r="AE1272" s="5" t="str">
        <f t="shared" si="451"/>
        <v>PO - 3009833</v>
      </c>
      <c r="AF1272" s="5" t="str">
        <f t="shared" si="452"/>
        <v>SCG Process</v>
      </c>
      <c r="AG1272" s="5" t="str">
        <f t="shared" si="453"/>
        <v>CAD</v>
      </c>
      <c r="AH1272" s="5">
        <f t="shared" si="454"/>
        <v>328.68</v>
      </c>
      <c r="AI1272" s="12">
        <f>IF(L1272-N1272=0,VLOOKUP(U1272,rate!A$4:B$15,2,FALSE)*AH1272,IF(AG1272="USD",O1272,AH1272*Y1272))</f>
        <v>237.57823881207977</v>
      </c>
      <c r="AJ1272" s="13">
        <f t="shared" si="455"/>
        <v>0.72282535844006257</v>
      </c>
      <c r="AK1272" s="13">
        <f>-IF(AG1272="CAD",IFERROR(VLOOKUP(D1272,CAARStatus!$A$1:$Y$1600,16,FALSE),0),0)</f>
        <v>-328.68</v>
      </c>
      <c r="AL1272" s="13">
        <f>-IF(AG1272="USD",IFERROR(VLOOKUP(D1272,CAARStatus!$A$1:$Y$1600,11,FALSE),0),0)</f>
        <v>0</v>
      </c>
      <c r="AM1272" s="22">
        <f t="shared" si="456"/>
        <v>0</v>
      </c>
      <c r="AN1272" s="12" t="str">
        <f t="shared" si="457"/>
        <v/>
      </c>
      <c r="AO1272" s="12" t="str">
        <f t="shared" si="458"/>
        <v>Pend</v>
      </c>
      <c r="AP1272" t="str">
        <f t="shared" si="459"/>
        <v>Pend</v>
      </c>
      <c r="AQ1272" t="str">
        <f>IFERROR(VLOOKUP(Z1272,InvBal!$L$4:$P$600,4,FALSE),"Pend")</f>
        <v>Pend</v>
      </c>
      <c r="AR1272" t="str">
        <f>IFERROR(VLOOKUP(D1272,Manual!$C$1:$E$22,2,FALSE),"Pend")</f>
        <v>Pend</v>
      </c>
      <c r="AS1272" t="str">
        <f t="shared" si="460"/>
        <v/>
      </c>
      <c r="AT1272" t="str">
        <f t="shared" si="461"/>
        <v>Yes</v>
      </c>
      <c r="AU1272" s="51" t="str">
        <f t="shared" si="462"/>
        <v/>
      </c>
      <c r="AV1272" s="12">
        <f>IFERROR(VLOOKUP(D1272,'Receivable Invoice Detail'!$S$1:$U$3014,3,FALSE),0)</f>
        <v>0</v>
      </c>
      <c r="AW1272" s="12">
        <f t="shared" si="463"/>
        <v>0</v>
      </c>
    </row>
    <row r="1273" spans="1:49" ht="30" x14ac:dyDescent="0.25">
      <c r="A1273" s="2">
        <v>0</v>
      </c>
      <c r="B1273" s="2" t="s">
        <v>6217</v>
      </c>
      <c r="C1273" s="2" t="s">
        <v>6218</v>
      </c>
      <c r="D1273" s="2"/>
      <c r="E1273" s="2" t="s">
        <v>129</v>
      </c>
      <c r="F1273" s="3">
        <v>45994.956643518519</v>
      </c>
      <c r="G1273" s="3">
        <v>45994.956678240742</v>
      </c>
      <c r="H1273" s="4">
        <v>46045</v>
      </c>
      <c r="I1273" s="2" t="s">
        <v>130</v>
      </c>
      <c r="J1273" s="2" t="s">
        <v>51</v>
      </c>
      <c r="K1273" s="2">
        <v>0.7151999597673725</v>
      </c>
      <c r="L1273" s="2">
        <v>43322.150088036811</v>
      </c>
      <c r="M1273" s="2">
        <v>0</v>
      </c>
      <c r="N1273" s="2">
        <v>30984</v>
      </c>
      <c r="O1273" s="2">
        <v>30984</v>
      </c>
      <c r="P1273" s="2"/>
      <c r="Q1273" s="2">
        <v>30984</v>
      </c>
      <c r="R1273" s="2" t="s">
        <v>29</v>
      </c>
      <c r="S1273" s="2"/>
      <c r="T1273" s="2">
        <f t="shared" si="442"/>
        <v>0</v>
      </c>
      <c r="U1273" s="18">
        <f t="shared" si="443"/>
        <v>12</v>
      </c>
      <c r="V1273" s="18">
        <f t="shared" si="444"/>
        <v>2025</v>
      </c>
      <c r="W1273" s="18" t="str">
        <f t="shared" si="445"/>
        <v/>
      </c>
      <c r="X1273" s="18" t="str">
        <f t="shared" si="446"/>
        <v/>
      </c>
      <c r="Y1273" s="2">
        <f t="shared" si="447"/>
        <v>0.7151999597673725</v>
      </c>
      <c r="Z1273" t="str">
        <f t="shared" si="448"/>
        <v>SO18360</v>
      </c>
      <c r="AA1273" s="11">
        <f t="shared" si="449"/>
        <v>45994.956643518519</v>
      </c>
      <c r="AB1273" s="5" t="str">
        <f t="shared" si="450"/>
        <v>No Inv</v>
      </c>
      <c r="AC1273" s="5" t="str">
        <f>IFERROR(VLOOKUP(D1273,CAARStatus!$A$2:$AA$1600,22,FALSE),"Not invoiced")</f>
        <v>Not invoiced</v>
      </c>
      <c r="AD1273" s="11" t="str">
        <f>IF(AC1273="Paid",IFERROR(VLOOKUP(D1273,CAARStatus!$A$2:$AA$1600,6,FALSE),"Pending"),"Pending")</f>
        <v>Pending</v>
      </c>
      <c r="AE1273" s="5" t="str">
        <f t="shared" si="451"/>
        <v>OC00236</v>
      </c>
      <c r="AF1273" s="5" t="str">
        <f t="shared" si="452"/>
        <v>Dynapro Pumps México S de RL de CV</v>
      </c>
      <c r="AG1273" s="5" t="str">
        <f t="shared" si="453"/>
        <v>USD</v>
      </c>
      <c r="AH1273" s="5">
        <f t="shared" si="454"/>
        <v>43322.150088036811</v>
      </c>
      <c r="AI1273" s="12">
        <f>IF(L1273-N1273=0,VLOOKUP(U1273,rate!A$4:B$15,2,FALSE)*AH1273,IF(AG1273="USD",O1273,AH1273*Y1273))</f>
        <v>30984</v>
      </c>
      <c r="AJ1273" s="13">
        <f t="shared" si="455"/>
        <v>0.7151999597673725</v>
      </c>
      <c r="AK1273" s="13">
        <f>-IF(AG1273="CAD",IFERROR(VLOOKUP(D1273,CAARStatus!$A$1:$Y$1600,16,FALSE),0),0)</f>
        <v>0</v>
      </c>
      <c r="AL1273" s="13">
        <f>-IF(AG1273="USD",IFERROR(VLOOKUP(D1273,CAARStatus!$A$1:$Y$1600,11,FALSE),0),0)</f>
        <v>0</v>
      </c>
      <c r="AM1273" s="22" t="str">
        <f t="shared" si="456"/>
        <v/>
      </c>
      <c r="AN1273" s="12">
        <f t="shared" si="457"/>
        <v>30984</v>
      </c>
      <c r="AO1273" s="12" t="str">
        <f t="shared" si="458"/>
        <v>Pend</v>
      </c>
      <c r="AP1273" t="str">
        <f t="shared" si="459"/>
        <v>Pend</v>
      </c>
      <c r="AQ1273" t="str">
        <f>IFERROR(VLOOKUP(Z1273,InvBal!$L$4:$P$600,4,FALSE),"Pend")</f>
        <v>Pend</v>
      </c>
      <c r="AR1273" t="str">
        <f>IFERROR(VLOOKUP(D1273,Manual!$C$1:$E$22,2,FALSE),"Pend")</f>
        <v>Pend</v>
      </c>
      <c r="AS1273" t="str">
        <f t="shared" si="460"/>
        <v/>
      </c>
      <c r="AT1273" t="str">
        <f t="shared" si="461"/>
        <v/>
      </c>
      <c r="AU1273" s="51" t="str">
        <f t="shared" si="462"/>
        <v/>
      </c>
      <c r="AV1273" s="12">
        <f>IFERROR(VLOOKUP(D1273,'Receivable Invoice Detail'!$S$1:$U$3014,3,FALSE),0)</f>
        <v>0</v>
      </c>
      <c r="AW1273" s="12">
        <f t="shared" si="463"/>
        <v>0</v>
      </c>
    </row>
    <row r="1274" spans="1:49" ht="30" x14ac:dyDescent="0.25">
      <c r="A1274" s="2">
        <v>1</v>
      </c>
      <c r="B1274" s="2" t="s">
        <v>6219</v>
      </c>
      <c r="C1274" s="2" t="s">
        <v>6220</v>
      </c>
      <c r="D1274" s="2" t="s">
        <v>6333</v>
      </c>
      <c r="E1274" s="2" t="s">
        <v>129</v>
      </c>
      <c r="F1274" s="3">
        <v>45994.971643518518</v>
      </c>
      <c r="G1274" s="3">
        <v>45994.971666666657</v>
      </c>
      <c r="H1274" s="4">
        <v>46059</v>
      </c>
      <c r="I1274" s="2" t="s">
        <v>130</v>
      </c>
      <c r="J1274" s="2" t="s">
        <v>51</v>
      </c>
      <c r="K1274" s="2">
        <v>0.7151999597673725</v>
      </c>
      <c r="L1274" s="2">
        <v>1069.630932653891</v>
      </c>
      <c r="M1274" s="2">
        <v>0</v>
      </c>
      <c r="N1274" s="2">
        <v>765</v>
      </c>
      <c r="O1274" s="2">
        <v>765</v>
      </c>
      <c r="P1274" s="2"/>
      <c r="Q1274" s="2">
        <v>765</v>
      </c>
      <c r="R1274" s="2" t="s">
        <v>29</v>
      </c>
      <c r="S1274" s="2"/>
      <c r="T1274" s="2">
        <f t="shared" si="442"/>
        <v>1</v>
      </c>
      <c r="U1274" s="18">
        <f t="shared" si="443"/>
        <v>12</v>
      </c>
      <c r="V1274" s="18">
        <f t="shared" si="444"/>
        <v>2025</v>
      </c>
      <c r="W1274" s="18" t="str">
        <f t="shared" si="445"/>
        <v/>
      </c>
      <c r="X1274" s="18" t="str">
        <f t="shared" si="446"/>
        <v/>
      </c>
      <c r="Y1274" s="2">
        <f t="shared" si="447"/>
        <v>0.7151999597673725</v>
      </c>
      <c r="Z1274" t="str">
        <f t="shared" si="448"/>
        <v>SO18361</v>
      </c>
      <c r="AA1274" s="11">
        <f t="shared" si="449"/>
        <v>45994.971643518518</v>
      </c>
      <c r="AB1274" s="5" t="str">
        <f t="shared" si="450"/>
        <v>INV13820</v>
      </c>
      <c r="AC1274" s="5" t="str">
        <f>IFERROR(VLOOKUP(D1274,CAARStatus!$A$2:$AA$1600,22,FALSE),"Not invoiced")</f>
        <v>Not invoiced</v>
      </c>
      <c r="AD1274" s="11" t="str">
        <f>IF(AC1274="Paid",IFERROR(VLOOKUP(D1274,CAARStatus!$A$2:$AA$1600,6,FALSE),"Pending"),"Pending")</f>
        <v>Pending</v>
      </c>
      <c r="AE1274" s="5" t="str">
        <f t="shared" si="451"/>
        <v>OC00237</v>
      </c>
      <c r="AF1274" s="5" t="str">
        <f t="shared" si="452"/>
        <v>Dynapro Pumps México S de RL de CV</v>
      </c>
      <c r="AG1274" s="5" t="str">
        <f t="shared" si="453"/>
        <v>USD</v>
      </c>
      <c r="AH1274" s="5">
        <f t="shared" si="454"/>
        <v>1069.630932653891</v>
      </c>
      <c r="AI1274" s="12">
        <f>IF(L1274-N1274=0,VLOOKUP(U1274,rate!A$4:B$15,2,FALSE)*AH1274,IF(AG1274="USD",O1274,AH1274*Y1274))</f>
        <v>765</v>
      </c>
      <c r="AJ1274" s="13">
        <f t="shared" si="455"/>
        <v>0.7151999597673725</v>
      </c>
      <c r="AK1274" s="13">
        <f>-IF(AG1274="CAD",IFERROR(VLOOKUP(D1274,CAARStatus!$A$1:$Y$1600,16,FALSE),0),0)</f>
        <v>0</v>
      </c>
      <c r="AL1274" s="13">
        <f>-IF(AG1274="USD",IFERROR(VLOOKUP(D1274,CAARStatus!$A$1:$Y$1600,11,FALSE),0),0)</f>
        <v>0</v>
      </c>
      <c r="AM1274" s="22" t="str">
        <f t="shared" si="456"/>
        <v/>
      </c>
      <c r="AN1274" s="12">
        <f t="shared" si="457"/>
        <v>765</v>
      </c>
      <c r="AO1274" s="12" t="str">
        <f t="shared" si="458"/>
        <v>Pend</v>
      </c>
      <c r="AP1274" t="str">
        <f t="shared" si="459"/>
        <v>Pend</v>
      </c>
      <c r="AQ1274" t="str">
        <f>IFERROR(VLOOKUP(Z1274,InvBal!$L$4:$P$600,4,FALSE),"Pend")</f>
        <v>Pend</v>
      </c>
      <c r="AR1274" t="str">
        <f>IFERROR(VLOOKUP(D1274,Manual!$C$1:$E$22,2,FALSE),"Pend")</f>
        <v>Pend</v>
      </c>
      <c r="AS1274" t="str">
        <f t="shared" si="460"/>
        <v/>
      </c>
      <c r="AT1274" t="str">
        <f t="shared" si="461"/>
        <v/>
      </c>
      <c r="AU1274" s="51" t="str">
        <f t="shared" si="462"/>
        <v/>
      </c>
      <c r="AV1274" s="12">
        <f>IFERROR(VLOOKUP(D1274,'Receivable Invoice Detail'!$S$1:$U$3014,3,FALSE),0)</f>
        <v>0</v>
      </c>
      <c r="AW1274" s="12">
        <f t="shared" si="463"/>
        <v>0</v>
      </c>
    </row>
    <row r="1275" spans="1:49" ht="30" x14ac:dyDescent="0.25">
      <c r="A1275" s="2">
        <v>0</v>
      </c>
      <c r="B1275" s="2" t="s">
        <v>6221</v>
      </c>
      <c r="C1275" s="2" t="s">
        <v>6222</v>
      </c>
      <c r="D1275" s="2"/>
      <c r="E1275" s="2" t="s">
        <v>159</v>
      </c>
      <c r="F1275" s="3">
        <v>45995.409803240742</v>
      </c>
      <c r="G1275" s="3">
        <v>46020.537870370368</v>
      </c>
      <c r="H1275" s="4">
        <v>46073</v>
      </c>
      <c r="I1275" s="2" t="s">
        <v>40</v>
      </c>
      <c r="J1275" s="2" t="s">
        <v>51</v>
      </c>
      <c r="K1275" s="2">
        <v>0.73120348989748496</v>
      </c>
      <c r="L1275" s="2">
        <v>2730.9497665006538</v>
      </c>
      <c r="M1275" s="2">
        <v>0</v>
      </c>
      <c r="N1275" s="2">
        <v>1996.88</v>
      </c>
      <c r="O1275" s="2">
        <v>1996.88</v>
      </c>
      <c r="P1275" s="2"/>
      <c r="Q1275" s="2">
        <v>1996.88</v>
      </c>
      <c r="R1275" s="2" t="s">
        <v>29</v>
      </c>
      <c r="S1275" s="2"/>
      <c r="T1275" s="2">
        <f t="shared" si="442"/>
        <v>0</v>
      </c>
      <c r="U1275" s="18">
        <f t="shared" si="443"/>
        <v>12</v>
      </c>
      <c r="V1275" s="18">
        <f t="shared" si="444"/>
        <v>2025</v>
      </c>
      <c r="W1275" s="18" t="str">
        <f t="shared" si="445"/>
        <v/>
      </c>
      <c r="X1275" s="18" t="str">
        <f t="shared" si="446"/>
        <v/>
      </c>
      <c r="Y1275" s="2">
        <f t="shared" si="447"/>
        <v>0.73120348989748507</v>
      </c>
      <c r="Z1275" t="str">
        <f t="shared" si="448"/>
        <v>SO18363</v>
      </c>
      <c r="AA1275" s="11">
        <f t="shared" si="449"/>
        <v>45995.409803240742</v>
      </c>
      <c r="AB1275" s="5" t="str">
        <f t="shared" si="450"/>
        <v>No Inv</v>
      </c>
      <c r="AC1275" s="5" t="str">
        <f>IFERROR(VLOOKUP(D1275,CAARStatus!$A$2:$AA$1600,22,FALSE),"Not invoiced")</f>
        <v>Not invoiced</v>
      </c>
      <c r="AD1275" s="11" t="str">
        <f>IF(AC1275="Paid",IFERROR(VLOOKUP(D1275,CAARStatus!$A$2:$AA$1600,6,FALSE),"Pending"),"Pending")</f>
        <v>Pending</v>
      </c>
      <c r="AE1275" s="5" t="str">
        <f t="shared" si="451"/>
        <v>4501367820</v>
      </c>
      <c r="AF1275" s="5" t="str">
        <f t="shared" si="452"/>
        <v>Barrick Gold - Pueblo Viejo Dominicana Corporation</v>
      </c>
      <c r="AG1275" s="5" t="str">
        <f t="shared" si="453"/>
        <v>USD</v>
      </c>
      <c r="AH1275" s="5">
        <f t="shared" si="454"/>
        <v>2730.9497665006543</v>
      </c>
      <c r="AI1275" s="12">
        <f>IF(L1275-N1275=0,VLOOKUP(U1275,rate!A$4:B$15,2,FALSE)*AH1275,IF(AG1275="USD",O1275,AH1275*Y1275))</f>
        <v>1996.88</v>
      </c>
      <c r="AJ1275" s="13">
        <f t="shared" si="455"/>
        <v>0.73120348989748496</v>
      </c>
      <c r="AK1275" s="13">
        <f>-IF(AG1275="CAD",IFERROR(VLOOKUP(D1275,CAARStatus!$A$1:$Y$1600,16,FALSE),0),0)</f>
        <v>0</v>
      </c>
      <c r="AL1275" s="13">
        <f>-IF(AG1275="USD",IFERROR(VLOOKUP(D1275,CAARStatus!$A$1:$Y$1600,11,FALSE),0),0)</f>
        <v>0</v>
      </c>
      <c r="AM1275" s="22" t="str">
        <f t="shared" si="456"/>
        <v/>
      </c>
      <c r="AN1275" s="12">
        <f t="shared" si="457"/>
        <v>1996.88</v>
      </c>
      <c r="AO1275" s="12" t="str">
        <f t="shared" si="458"/>
        <v>Pend</v>
      </c>
      <c r="AP1275" t="str">
        <f t="shared" si="459"/>
        <v>Pend</v>
      </c>
      <c r="AQ1275" t="str">
        <f>IFERROR(VLOOKUP(Z1275,InvBal!$L$4:$P$600,4,FALSE),"Pend")</f>
        <v>Pend</v>
      </c>
      <c r="AR1275" t="str">
        <f>IFERROR(VLOOKUP(D1275,Manual!$C$1:$E$22,2,FALSE),"Pend")</f>
        <v>Pend</v>
      </c>
      <c r="AS1275" t="str">
        <f t="shared" si="460"/>
        <v/>
      </c>
      <c r="AT1275" t="str">
        <f t="shared" si="461"/>
        <v/>
      </c>
      <c r="AU1275" s="51" t="str">
        <f t="shared" si="462"/>
        <v/>
      </c>
      <c r="AV1275" s="12">
        <f>IFERROR(VLOOKUP(D1275,'Receivable Invoice Detail'!$S$1:$U$3014,3,FALSE),0)</f>
        <v>0</v>
      </c>
      <c r="AW1275" s="12">
        <f t="shared" si="463"/>
        <v>0</v>
      </c>
    </row>
    <row r="1276" spans="1:49" ht="30" x14ac:dyDescent="0.25">
      <c r="A1276" s="2">
        <v>0</v>
      </c>
      <c r="B1276" s="2" t="s">
        <v>6223</v>
      </c>
      <c r="C1276" s="2" t="s">
        <v>6224</v>
      </c>
      <c r="D1276" s="2"/>
      <c r="E1276" s="2" t="s">
        <v>83</v>
      </c>
      <c r="F1276" s="3">
        <v>45995.485138888893</v>
      </c>
      <c r="G1276" s="3">
        <v>45995.484837962962</v>
      </c>
      <c r="H1276" s="4">
        <v>46042</v>
      </c>
      <c r="I1276" s="2" t="s">
        <v>67</v>
      </c>
      <c r="J1276" s="2" t="s">
        <v>22</v>
      </c>
      <c r="K1276" s="2">
        <v>1</v>
      </c>
      <c r="L1276" s="2">
        <v>16463.419999999998</v>
      </c>
      <c r="M1276" s="2">
        <v>0</v>
      </c>
      <c r="N1276" s="2">
        <v>11810.279472114589</v>
      </c>
      <c r="O1276" s="2">
        <v>14569.4</v>
      </c>
      <c r="P1276" s="2">
        <v>1894.02</v>
      </c>
      <c r="Q1276" s="2">
        <v>16463.419999999998</v>
      </c>
      <c r="R1276" s="2" t="s">
        <v>29</v>
      </c>
      <c r="S1276" s="2"/>
      <c r="T1276" s="2">
        <f t="shared" si="442"/>
        <v>0</v>
      </c>
      <c r="U1276" s="18">
        <f t="shared" si="443"/>
        <v>12</v>
      </c>
      <c r="V1276" s="18">
        <f t="shared" si="444"/>
        <v>2025</v>
      </c>
      <c r="W1276" s="18" t="str">
        <f t="shared" si="445"/>
        <v/>
      </c>
      <c r="X1276" s="18" t="str">
        <f t="shared" si="446"/>
        <v/>
      </c>
      <c r="Y1276" s="2">
        <f t="shared" si="447"/>
        <v>0.71736488968358891</v>
      </c>
      <c r="Z1276" t="str">
        <f t="shared" si="448"/>
        <v>SO18365</v>
      </c>
      <c r="AA1276" s="11">
        <f t="shared" si="449"/>
        <v>45995.485138888893</v>
      </c>
      <c r="AB1276" s="5" t="str">
        <f t="shared" si="450"/>
        <v>No Inv</v>
      </c>
      <c r="AC1276" s="5" t="str">
        <f>IFERROR(VLOOKUP(D1276,CAARStatus!$A$2:$AA$1600,22,FALSE),"Not invoiced")</f>
        <v>Not invoiced</v>
      </c>
      <c r="AD1276" s="11" t="str">
        <f>IF(AC1276="Paid",IFERROR(VLOOKUP(D1276,CAARStatus!$A$2:$AA$1600,6,FALSE),"Pending"),"Pending")</f>
        <v>Pending</v>
      </c>
      <c r="AE1276" s="5" t="str">
        <f t="shared" si="451"/>
        <v>PO 6500024702</v>
      </c>
      <c r="AF1276" s="5" t="str">
        <f t="shared" si="452"/>
        <v>Wesdome Gold Mines Ltd - Eagle River Mine</v>
      </c>
      <c r="AG1276" s="5" t="str">
        <f t="shared" si="453"/>
        <v>CAD</v>
      </c>
      <c r="AH1276" s="5">
        <f t="shared" si="454"/>
        <v>14569.4</v>
      </c>
      <c r="AI1276" s="12">
        <f>IF(L1276-N1276=0,VLOOKUP(U1276,rate!A$4:B$15,2,FALSE)*AH1276,IF(AG1276="USD",O1276,AH1276*Y1276))</f>
        <v>10451.576023756081</v>
      </c>
      <c r="AJ1276" s="13">
        <f t="shared" si="455"/>
        <v>0.71736488968358891</v>
      </c>
      <c r="AK1276" s="13">
        <f>-IF(AG1276="CAD",IFERROR(VLOOKUP(D1276,CAARStatus!$A$1:$Y$1600,16,FALSE),0),0)</f>
        <v>0</v>
      </c>
      <c r="AL1276" s="13">
        <f>-IF(AG1276="USD",IFERROR(VLOOKUP(D1276,CAARStatus!$A$1:$Y$1600,11,FALSE),0),0)</f>
        <v>0</v>
      </c>
      <c r="AM1276" s="22">
        <f t="shared" si="456"/>
        <v>14569.4</v>
      </c>
      <c r="AN1276" s="12" t="str">
        <f t="shared" si="457"/>
        <v/>
      </c>
      <c r="AO1276" s="12" t="str">
        <f t="shared" si="458"/>
        <v>Pend</v>
      </c>
      <c r="AP1276" t="str">
        <f t="shared" si="459"/>
        <v>Pend</v>
      </c>
      <c r="AQ1276" t="str">
        <f>IFERROR(VLOOKUP(Z1276,InvBal!$L$4:$P$600,4,FALSE),"Pend")</f>
        <v>Pend</v>
      </c>
      <c r="AR1276" t="str">
        <f>IFERROR(VLOOKUP(D1276,Manual!$C$1:$E$22,2,FALSE),"Pend")</f>
        <v>Pend</v>
      </c>
      <c r="AS1276" t="str">
        <f t="shared" si="460"/>
        <v/>
      </c>
      <c r="AT1276" t="str">
        <f t="shared" si="461"/>
        <v/>
      </c>
      <c r="AU1276" s="51" t="str">
        <f t="shared" si="462"/>
        <v/>
      </c>
      <c r="AV1276" s="12">
        <f>IFERROR(VLOOKUP(D1276,'Receivable Invoice Detail'!$S$1:$U$3014,3,FALSE),0)</f>
        <v>0</v>
      </c>
      <c r="AW1276" s="12">
        <f t="shared" si="463"/>
        <v>0</v>
      </c>
    </row>
    <row r="1277" spans="1:49" x14ac:dyDescent="0.25">
      <c r="A1277" s="2">
        <v>1</v>
      </c>
      <c r="B1277" s="2" t="s">
        <v>6225</v>
      </c>
      <c r="C1277" s="2" t="s">
        <v>6028</v>
      </c>
      <c r="D1277" s="2" t="s">
        <v>6027</v>
      </c>
      <c r="E1277" s="2" t="s">
        <v>442</v>
      </c>
      <c r="F1277" s="3">
        <v>45995.527395833327</v>
      </c>
      <c r="G1277" s="3">
        <v>46003.62804398148</v>
      </c>
      <c r="H1277" s="4">
        <v>46009</v>
      </c>
      <c r="I1277" s="2" t="s">
        <v>74</v>
      </c>
      <c r="J1277" s="2" t="s">
        <v>51</v>
      </c>
      <c r="K1277" s="2">
        <v>0.72276866354558011</v>
      </c>
      <c r="L1277" s="2">
        <v>15111.57103355964</v>
      </c>
      <c r="M1277" s="2">
        <v>0</v>
      </c>
      <c r="N1277" s="2">
        <v>10922.17</v>
      </c>
      <c r="O1277" s="2">
        <v>10922.17</v>
      </c>
      <c r="P1277" s="2"/>
      <c r="Q1277" s="2">
        <v>10922.17</v>
      </c>
      <c r="R1277" s="2" t="s">
        <v>44</v>
      </c>
      <c r="S1277" s="2"/>
      <c r="T1277" s="2">
        <f t="shared" si="442"/>
        <v>1</v>
      </c>
      <c r="U1277" s="18">
        <f t="shared" si="443"/>
        <v>12</v>
      </c>
      <c r="V1277" s="18">
        <f t="shared" si="444"/>
        <v>2025</v>
      </c>
      <c r="W1277" s="18" t="str">
        <f t="shared" si="445"/>
        <v/>
      </c>
      <c r="X1277" s="18" t="str">
        <f t="shared" si="446"/>
        <v/>
      </c>
      <c r="Y1277" s="2">
        <f t="shared" si="447"/>
        <v>0.72276866354558</v>
      </c>
      <c r="Z1277" t="str">
        <f t="shared" si="448"/>
        <v>SO18366</v>
      </c>
      <c r="AA1277" s="11">
        <f t="shared" si="449"/>
        <v>45995.527395833327</v>
      </c>
      <c r="AB1277" s="5" t="str">
        <f t="shared" si="450"/>
        <v>INV13779</v>
      </c>
      <c r="AC1277" s="5" t="str">
        <f>IFERROR(VLOOKUP(D1277,CAARStatus!$A$2:$AA$1600,22,FALSE),"Not invoiced")</f>
        <v>Approved</v>
      </c>
      <c r="AD1277" s="11" t="str">
        <f>IF(AC1277="Paid",IFERROR(VLOOKUP(D1277,CAARStatus!$A$2:$AA$1600,6,FALSE),"Pending"),"Pending")</f>
        <v>Pending</v>
      </c>
      <c r="AE1277" s="5" t="str">
        <f t="shared" si="451"/>
        <v>P372041</v>
      </c>
      <c r="AF1277" s="5" t="str">
        <f t="shared" si="452"/>
        <v>Covia Corp - Guion</v>
      </c>
      <c r="AG1277" s="5" t="str">
        <f t="shared" si="453"/>
        <v>USD</v>
      </c>
      <c r="AH1277" s="5">
        <f t="shared" si="454"/>
        <v>15111.571033559638</v>
      </c>
      <c r="AI1277" s="12">
        <f>IF(L1277-N1277=0,VLOOKUP(U1277,rate!A$4:B$15,2,FALSE)*AH1277,IF(AG1277="USD",O1277,AH1277*Y1277))</f>
        <v>10922.17</v>
      </c>
      <c r="AJ1277" s="13">
        <f t="shared" si="455"/>
        <v>0.72276866354558011</v>
      </c>
      <c r="AK1277" s="13">
        <f>-IF(AG1277="CAD",IFERROR(VLOOKUP(D1277,CAARStatus!$A$1:$Y$1600,16,FALSE),0),0)</f>
        <v>0</v>
      </c>
      <c r="AL1277" s="13">
        <f>-IF(AG1277="USD",IFERROR(VLOOKUP(D1277,CAARStatus!$A$1:$Y$1600,11,FALSE),0),0)</f>
        <v>-10917.17</v>
      </c>
      <c r="AM1277" s="22" t="str">
        <f t="shared" si="456"/>
        <v/>
      </c>
      <c r="AN1277" s="12">
        <f t="shared" si="457"/>
        <v>5</v>
      </c>
      <c r="AO1277" s="12" t="str">
        <f t="shared" si="458"/>
        <v>Pend</v>
      </c>
      <c r="AP1277" t="str">
        <f t="shared" si="459"/>
        <v>Pend</v>
      </c>
      <c r="AQ1277" t="str">
        <f>IFERROR(VLOOKUP(Z1277,InvBal!$L$4:$P$600,4,FALSE),"Pend")</f>
        <v>Pend</v>
      </c>
      <c r="AR1277" t="str">
        <f>IFERROR(VLOOKUP(D1277,Manual!$C$1:$E$22,2,FALSE),"Pend")</f>
        <v>Pend</v>
      </c>
      <c r="AS1277" t="str">
        <f t="shared" si="460"/>
        <v/>
      </c>
      <c r="AT1277" t="str">
        <f t="shared" si="461"/>
        <v>Yes</v>
      </c>
      <c r="AU1277" s="51" t="str">
        <f t="shared" si="462"/>
        <v/>
      </c>
      <c r="AV1277" s="12">
        <f>IFERROR(VLOOKUP(D1277,'Receivable Invoice Detail'!$S$1:$U$3014,3,FALSE),0)</f>
        <v>563</v>
      </c>
      <c r="AW1277" s="12">
        <f t="shared" si="463"/>
        <v>0</v>
      </c>
    </row>
    <row r="1278" spans="1:49" x14ac:dyDescent="0.25">
      <c r="A1278" s="2">
        <v>1</v>
      </c>
      <c r="B1278" s="2" t="s">
        <v>6226</v>
      </c>
      <c r="C1278" s="2" t="s">
        <v>5963</v>
      </c>
      <c r="D1278" s="2" t="s">
        <v>5962</v>
      </c>
      <c r="E1278" s="2" t="s">
        <v>146</v>
      </c>
      <c r="F1278" s="3">
        <v>45995.54105324074</v>
      </c>
      <c r="G1278" s="3">
        <v>45995.560057870367</v>
      </c>
      <c r="H1278" s="4">
        <v>45996</v>
      </c>
      <c r="I1278" s="2" t="s">
        <v>40</v>
      </c>
      <c r="J1278" s="2" t="s">
        <v>22</v>
      </c>
      <c r="K1278" s="2">
        <v>1</v>
      </c>
      <c r="L1278" s="2">
        <v>904.58</v>
      </c>
      <c r="M1278" s="2">
        <v>0</v>
      </c>
      <c r="N1278" s="2">
        <v>648.9139319099811</v>
      </c>
      <c r="O1278" s="2">
        <v>861.5</v>
      </c>
      <c r="P1278" s="2">
        <v>43.08</v>
      </c>
      <c r="Q1278" s="2">
        <v>904.58</v>
      </c>
      <c r="R1278" s="2" t="s">
        <v>44</v>
      </c>
      <c r="S1278" s="2"/>
      <c r="T1278" s="2">
        <f t="shared" si="442"/>
        <v>1</v>
      </c>
      <c r="U1278" s="18">
        <f t="shared" si="443"/>
        <v>12</v>
      </c>
      <c r="V1278" s="18">
        <f t="shared" si="444"/>
        <v>2025</v>
      </c>
      <c r="W1278" s="18" t="str">
        <f t="shared" si="445"/>
        <v/>
      </c>
      <c r="X1278" s="18" t="str">
        <f t="shared" si="446"/>
        <v/>
      </c>
      <c r="Y1278" s="2">
        <f t="shared" si="447"/>
        <v>0.71736488968358914</v>
      </c>
      <c r="Z1278" t="str">
        <f t="shared" si="448"/>
        <v>SO18367</v>
      </c>
      <c r="AA1278" s="11">
        <f t="shared" si="449"/>
        <v>45995.54105324074</v>
      </c>
      <c r="AB1278" s="5" t="str">
        <f t="shared" si="450"/>
        <v>INV13733</v>
      </c>
      <c r="AC1278" s="5" t="str">
        <f>IFERROR(VLOOKUP(D1278,CAARStatus!$A$2:$AA$1600,22,FALSE),"Not invoiced")</f>
        <v>Approved</v>
      </c>
      <c r="AD1278" s="11" t="str">
        <f>IF(AC1278="Paid",IFERROR(VLOOKUP(D1278,CAARStatus!$A$2:$AA$1600,6,FALSE),"Pending"),"Pending")</f>
        <v>Pending</v>
      </c>
      <c r="AE1278" s="5" t="str">
        <f t="shared" si="451"/>
        <v>8109</v>
      </c>
      <c r="AF1278" s="5" t="str">
        <f t="shared" si="452"/>
        <v>Hyperflo</v>
      </c>
      <c r="AG1278" s="5" t="str">
        <f t="shared" si="453"/>
        <v>CAD</v>
      </c>
      <c r="AH1278" s="5">
        <f t="shared" si="454"/>
        <v>861.5</v>
      </c>
      <c r="AI1278" s="12">
        <f>IF(L1278-N1278=0,VLOOKUP(U1278,rate!A$4:B$15,2,FALSE)*AH1278,IF(AG1278="USD",O1278,AH1278*Y1278))</f>
        <v>618.00985246241203</v>
      </c>
      <c r="AJ1278" s="13">
        <f t="shared" si="455"/>
        <v>0.71736488968358914</v>
      </c>
      <c r="AK1278" s="13">
        <f>-IF(AG1278="CAD",IFERROR(VLOOKUP(D1278,CAARStatus!$A$1:$Y$1600,16,FALSE),0),0)</f>
        <v>-861.5</v>
      </c>
      <c r="AL1278" s="13">
        <f>-IF(AG1278="USD",IFERROR(VLOOKUP(D1278,CAARStatus!$A$1:$Y$1600,11,FALSE),0),0)</f>
        <v>0</v>
      </c>
      <c r="AM1278" s="22">
        <f t="shared" si="456"/>
        <v>0</v>
      </c>
      <c r="AN1278" s="12" t="str">
        <f t="shared" si="457"/>
        <v/>
      </c>
      <c r="AO1278" s="12" t="str">
        <f t="shared" si="458"/>
        <v>Pend</v>
      </c>
      <c r="AP1278" t="str">
        <f t="shared" si="459"/>
        <v>Pend</v>
      </c>
      <c r="AQ1278" t="str">
        <f>IFERROR(VLOOKUP(Z1278,InvBal!$L$4:$P$600,4,FALSE),"Pend")</f>
        <v>Pend</v>
      </c>
      <c r="AR1278" t="str">
        <f>IFERROR(VLOOKUP(D1278,Manual!$C$1:$E$22,2,FALSE),"Pend")</f>
        <v>Pend</v>
      </c>
      <c r="AS1278" t="str">
        <f t="shared" si="460"/>
        <v/>
      </c>
      <c r="AT1278" t="str">
        <f t="shared" si="461"/>
        <v>Yes</v>
      </c>
      <c r="AU1278" s="51" t="str">
        <f t="shared" si="462"/>
        <v/>
      </c>
      <c r="AV1278" s="12">
        <f>IFERROR(VLOOKUP(D1278,'Receivable Invoice Detail'!$S$1:$U$3014,3,FALSE),0)</f>
        <v>0</v>
      </c>
      <c r="AW1278" s="12">
        <f t="shared" si="463"/>
        <v>0</v>
      </c>
    </row>
    <row r="1279" spans="1:49" ht="30" x14ac:dyDescent="0.25">
      <c r="A1279" s="2">
        <v>0</v>
      </c>
      <c r="B1279" s="2" t="s">
        <v>6227</v>
      </c>
      <c r="C1279" s="2" t="s">
        <v>6228</v>
      </c>
      <c r="D1279" s="2"/>
      <c r="E1279" s="2" t="s">
        <v>129</v>
      </c>
      <c r="F1279" s="3">
        <v>45996.513483796298</v>
      </c>
      <c r="G1279" s="3">
        <v>45996.514178240737</v>
      </c>
      <c r="H1279" s="4">
        <v>46100</v>
      </c>
      <c r="I1279" s="2" t="s">
        <v>130</v>
      </c>
      <c r="J1279" s="2" t="s">
        <v>51</v>
      </c>
      <c r="K1279" s="2">
        <v>0.71669614463588371</v>
      </c>
      <c r="L1279" s="2">
        <v>36410.130283674851</v>
      </c>
      <c r="M1279" s="2">
        <v>0</v>
      </c>
      <c r="N1279" s="2">
        <v>26095</v>
      </c>
      <c r="O1279" s="2">
        <v>26095</v>
      </c>
      <c r="P1279" s="2"/>
      <c r="Q1279" s="2">
        <v>26095</v>
      </c>
      <c r="R1279" s="2" t="s">
        <v>29</v>
      </c>
      <c r="S1279" s="2"/>
      <c r="T1279" s="2">
        <f t="shared" si="442"/>
        <v>0</v>
      </c>
      <c r="U1279" s="18">
        <f t="shared" si="443"/>
        <v>12</v>
      </c>
      <c r="V1279" s="18">
        <f t="shared" si="444"/>
        <v>2025</v>
      </c>
      <c r="W1279" s="18" t="str">
        <f t="shared" si="445"/>
        <v/>
      </c>
      <c r="X1279" s="18" t="str">
        <f t="shared" si="446"/>
        <v/>
      </c>
      <c r="Y1279" s="2">
        <f t="shared" si="447"/>
        <v>0.71669614463588371</v>
      </c>
      <c r="Z1279" t="str">
        <f t="shared" si="448"/>
        <v>SO18368</v>
      </c>
      <c r="AA1279" s="11">
        <f t="shared" si="449"/>
        <v>45996.513483796298</v>
      </c>
      <c r="AB1279" s="5" t="str">
        <f t="shared" si="450"/>
        <v>No Inv</v>
      </c>
      <c r="AC1279" s="5" t="str">
        <f>IFERROR(VLOOKUP(D1279,CAARStatus!$A$2:$AA$1600,22,FALSE),"Not invoiced")</f>
        <v>Not invoiced</v>
      </c>
      <c r="AD1279" s="11" t="str">
        <f>IF(AC1279="Paid",IFERROR(VLOOKUP(D1279,CAARStatus!$A$2:$AA$1600,6,FALSE),"Pending"),"Pending")</f>
        <v>Pending</v>
      </c>
      <c r="AE1279" s="5" t="str">
        <f t="shared" si="451"/>
        <v>OC00239</v>
      </c>
      <c r="AF1279" s="5" t="str">
        <f t="shared" si="452"/>
        <v>Dynapro Pumps México S de RL de CV</v>
      </c>
      <c r="AG1279" s="5" t="str">
        <f t="shared" si="453"/>
        <v>USD</v>
      </c>
      <c r="AH1279" s="5">
        <f t="shared" si="454"/>
        <v>36410.130283674851</v>
      </c>
      <c r="AI1279" s="12">
        <f>IF(L1279-N1279=0,VLOOKUP(U1279,rate!A$4:B$15,2,FALSE)*AH1279,IF(AG1279="USD",O1279,AH1279*Y1279))</f>
        <v>26095</v>
      </c>
      <c r="AJ1279" s="13">
        <f t="shared" si="455"/>
        <v>0.71669614463588371</v>
      </c>
      <c r="AK1279" s="13">
        <f>-IF(AG1279="CAD",IFERROR(VLOOKUP(D1279,CAARStatus!$A$1:$Y$1600,16,FALSE),0),0)</f>
        <v>0</v>
      </c>
      <c r="AL1279" s="13">
        <f>-IF(AG1279="USD",IFERROR(VLOOKUP(D1279,CAARStatus!$A$1:$Y$1600,11,FALSE),0),0)</f>
        <v>0</v>
      </c>
      <c r="AM1279" s="22" t="str">
        <f t="shared" si="456"/>
        <v/>
      </c>
      <c r="AN1279" s="12">
        <f t="shared" si="457"/>
        <v>26095</v>
      </c>
      <c r="AO1279" s="12" t="str">
        <f t="shared" si="458"/>
        <v>Pend</v>
      </c>
      <c r="AP1279" t="str">
        <f t="shared" si="459"/>
        <v>Pend</v>
      </c>
      <c r="AQ1279" t="str">
        <f>IFERROR(VLOOKUP(Z1279,InvBal!$L$4:$P$600,4,FALSE),"Pend")</f>
        <v>Pend</v>
      </c>
      <c r="AR1279" t="str">
        <f>IFERROR(VLOOKUP(D1279,Manual!$C$1:$E$22,2,FALSE),"Pend")</f>
        <v>Pend</v>
      </c>
      <c r="AS1279" t="str">
        <f t="shared" si="460"/>
        <v/>
      </c>
      <c r="AT1279" t="str">
        <f t="shared" si="461"/>
        <v/>
      </c>
      <c r="AU1279" s="51" t="str">
        <f t="shared" si="462"/>
        <v/>
      </c>
      <c r="AV1279" s="12">
        <f>IFERROR(VLOOKUP(D1279,'Receivable Invoice Detail'!$S$1:$U$3014,3,FALSE),0)</f>
        <v>0</v>
      </c>
      <c r="AW1279" s="12">
        <f t="shared" si="463"/>
        <v>0</v>
      </c>
    </row>
    <row r="1280" spans="1:49" ht="30" x14ac:dyDescent="0.25">
      <c r="A1280" s="2">
        <v>0</v>
      </c>
      <c r="B1280" s="2" t="s">
        <v>6229</v>
      </c>
      <c r="C1280" s="2" t="s">
        <v>6230</v>
      </c>
      <c r="D1280" s="2"/>
      <c r="E1280" s="2" t="s">
        <v>83</v>
      </c>
      <c r="F1280" s="3">
        <v>45996.543020833327</v>
      </c>
      <c r="G1280" s="3">
        <v>45996.540972222218</v>
      </c>
      <c r="H1280" s="4">
        <v>46042</v>
      </c>
      <c r="I1280" s="2" t="s">
        <v>67</v>
      </c>
      <c r="J1280" s="2" t="s">
        <v>22</v>
      </c>
      <c r="K1280" s="2">
        <v>1</v>
      </c>
      <c r="L1280" s="2">
        <v>19073.52</v>
      </c>
      <c r="M1280" s="2">
        <v>0</v>
      </c>
      <c r="N1280" s="2">
        <v>13761.74207405243</v>
      </c>
      <c r="O1280" s="2">
        <v>16879.22</v>
      </c>
      <c r="P1280" s="2">
        <v>2194.3000000000002</v>
      </c>
      <c r="Q1280" s="2">
        <v>19073.52</v>
      </c>
      <c r="R1280" s="2" t="s">
        <v>23</v>
      </c>
      <c r="S1280" s="2"/>
      <c r="T1280" s="2">
        <f t="shared" si="442"/>
        <v>0</v>
      </c>
      <c r="U1280" s="18">
        <f t="shared" si="443"/>
        <v>12</v>
      </c>
      <c r="V1280" s="18">
        <f t="shared" si="444"/>
        <v>2025</v>
      </c>
      <c r="W1280" s="18" t="str">
        <f t="shared" si="445"/>
        <v/>
      </c>
      <c r="X1280" s="18" t="str">
        <f t="shared" si="446"/>
        <v/>
      </c>
      <c r="Y1280" s="2">
        <f t="shared" si="447"/>
        <v>0.72151034911502598</v>
      </c>
      <c r="Z1280" t="str">
        <f t="shared" si="448"/>
        <v>SO18369</v>
      </c>
      <c r="AA1280" s="11">
        <f t="shared" si="449"/>
        <v>45996.543020833327</v>
      </c>
      <c r="AB1280" s="5" t="str">
        <f t="shared" si="450"/>
        <v>No Inv</v>
      </c>
      <c r="AC1280" s="5" t="str">
        <f>IFERROR(VLOOKUP(D1280,CAARStatus!$A$2:$AA$1600,22,FALSE),"Not invoiced")</f>
        <v>Not invoiced</v>
      </c>
      <c r="AD1280" s="11" t="str">
        <f>IF(AC1280="Paid",IFERROR(VLOOKUP(D1280,CAARStatus!$A$2:$AA$1600,6,FALSE),"Pending"),"Pending")</f>
        <v>Pending</v>
      </c>
      <c r="AE1280" s="5" t="str">
        <f t="shared" si="451"/>
        <v>PO#6500024885</v>
      </c>
      <c r="AF1280" s="5" t="str">
        <f t="shared" si="452"/>
        <v>Wesdome Gold Mines Ltd - Eagle River Mine</v>
      </c>
      <c r="AG1280" s="5" t="str">
        <f t="shared" si="453"/>
        <v>CAD</v>
      </c>
      <c r="AH1280" s="5">
        <f t="shared" si="454"/>
        <v>16879.22</v>
      </c>
      <c r="AI1280" s="12">
        <f>IF(L1280-N1280=0,VLOOKUP(U1280,rate!A$4:B$15,2,FALSE)*AH1280,IF(AG1280="USD",O1280,AH1280*Y1280))</f>
        <v>12178.531914989329</v>
      </c>
      <c r="AJ1280" s="13">
        <f t="shared" si="455"/>
        <v>0.72151034911502598</v>
      </c>
      <c r="AK1280" s="13">
        <f>-IF(AG1280="CAD",IFERROR(VLOOKUP(D1280,CAARStatus!$A$1:$Y$1600,16,FALSE),0),0)</f>
        <v>0</v>
      </c>
      <c r="AL1280" s="13">
        <f>-IF(AG1280="USD",IFERROR(VLOOKUP(D1280,CAARStatus!$A$1:$Y$1600,11,FALSE),0),0)</f>
        <v>0</v>
      </c>
      <c r="AM1280" s="22">
        <f t="shared" si="456"/>
        <v>16879.22</v>
      </c>
      <c r="AN1280" s="12" t="str">
        <f t="shared" si="457"/>
        <v/>
      </c>
      <c r="AO1280" s="12" t="str">
        <f t="shared" si="458"/>
        <v>Pend</v>
      </c>
      <c r="AP1280" t="str">
        <f t="shared" si="459"/>
        <v>Pend</v>
      </c>
      <c r="AQ1280" t="str">
        <f>IFERROR(VLOOKUP(Z1280,InvBal!$L$4:$P$600,4,FALSE),"Pend")</f>
        <v>Pend</v>
      </c>
      <c r="AR1280" t="str">
        <f>IFERROR(VLOOKUP(D1280,Manual!$C$1:$E$22,2,FALSE),"Pend")</f>
        <v>Pend</v>
      </c>
      <c r="AS1280" t="str">
        <f t="shared" si="460"/>
        <v/>
      </c>
      <c r="AT1280" t="str">
        <f t="shared" si="461"/>
        <v/>
      </c>
      <c r="AU1280" s="51" t="str">
        <f t="shared" si="462"/>
        <v/>
      </c>
      <c r="AV1280" s="12">
        <f>IFERROR(VLOOKUP(D1280,'Receivable Invoice Detail'!$S$1:$U$3014,3,FALSE),0)</f>
        <v>0</v>
      </c>
      <c r="AW1280" s="12">
        <f t="shared" si="463"/>
        <v>0</v>
      </c>
    </row>
    <row r="1281" spans="1:49" ht="30" x14ac:dyDescent="0.25">
      <c r="A1281" s="2">
        <v>1</v>
      </c>
      <c r="B1281" s="2" t="s">
        <v>6231</v>
      </c>
      <c r="C1281" s="2" t="s">
        <v>6051</v>
      </c>
      <c r="D1281" s="2" t="s">
        <v>6050</v>
      </c>
      <c r="E1281" s="2" t="s">
        <v>864</v>
      </c>
      <c r="F1281" s="3">
        <v>45996.706122685187</v>
      </c>
      <c r="G1281" s="3">
        <v>46010.723483796297</v>
      </c>
      <c r="H1281" s="4">
        <v>46013</v>
      </c>
      <c r="I1281" s="2" t="s">
        <v>21</v>
      </c>
      <c r="J1281" s="2" t="s">
        <v>22</v>
      </c>
      <c r="K1281" s="2">
        <v>1</v>
      </c>
      <c r="L1281" s="2">
        <v>4368.47</v>
      </c>
      <c r="M1281" s="2">
        <v>0</v>
      </c>
      <c r="N1281" s="2">
        <v>3169.68656847175</v>
      </c>
      <c r="O1281" s="2">
        <v>4160.45</v>
      </c>
      <c r="P1281" s="2">
        <v>208.02</v>
      </c>
      <c r="Q1281" s="2">
        <v>4368.47</v>
      </c>
      <c r="R1281" s="2" t="s">
        <v>44</v>
      </c>
      <c r="S1281" s="2"/>
      <c r="T1281" s="2">
        <f t="shared" si="442"/>
        <v>1</v>
      </c>
      <c r="U1281" s="18">
        <f t="shared" si="443"/>
        <v>12</v>
      </c>
      <c r="V1281" s="18">
        <f t="shared" si="444"/>
        <v>2025</v>
      </c>
      <c r="W1281" s="18" t="str">
        <f t="shared" si="445"/>
        <v/>
      </c>
      <c r="X1281" s="18" t="str">
        <f t="shared" si="446"/>
        <v/>
      </c>
      <c r="Y1281" s="2">
        <f t="shared" si="447"/>
        <v>0.72558277119260284</v>
      </c>
      <c r="Z1281" t="str">
        <f t="shared" si="448"/>
        <v>SO18371</v>
      </c>
      <c r="AA1281" s="11">
        <f t="shared" si="449"/>
        <v>45996.706122685187</v>
      </c>
      <c r="AB1281" s="5" t="str">
        <f t="shared" si="450"/>
        <v>INV13795</v>
      </c>
      <c r="AC1281" s="5" t="str">
        <f>IFERROR(VLOOKUP(D1281,CAARStatus!$A$2:$AA$1600,22,FALSE),"Not invoiced")</f>
        <v>Approved</v>
      </c>
      <c r="AD1281" s="11" t="str">
        <f>IF(AC1281="Paid",IFERROR(VLOOKUP(D1281,CAARStatus!$A$2:$AA$1600,6,FALSE),"Pending"),"Pending")</f>
        <v>Pending</v>
      </c>
      <c r="AE1281" s="5" t="str">
        <f t="shared" si="451"/>
        <v>2100718534</v>
      </c>
      <c r="AF1281" s="5" t="str">
        <f t="shared" si="452"/>
        <v>Wajax Limited - Pointe-aux-Trembles</v>
      </c>
      <c r="AG1281" s="5" t="str">
        <f t="shared" si="453"/>
        <v>CAD</v>
      </c>
      <c r="AH1281" s="5">
        <f t="shared" si="454"/>
        <v>4160.45</v>
      </c>
      <c r="AI1281" s="12">
        <f>IF(L1281-N1281=0,VLOOKUP(U1281,rate!A$4:B$15,2,FALSE)*AH1281,IF(AG1281="USD",O1281,AH1281*Y1281))</f>
        <v>3018.7508404082641</v>
      </c>
      <c r="AJ1281" s="13">
        <f t="shared" si="455"/>
        <v>0.72558277119260284</v>
      </c>
      <c r="AK1281" s="13">
        <f>-IF(AG1281="CAD",IFERROR(VLOOKUP(D1281,CAARStatus!$A$1:$Y$1600,16,FALSE),0),0)</f>
        <v>-4160.45</v>
      </c>
      <c r="AL1281" s="13">
        <f>-IF(AG1281="USD",IFERROR(VLOOKUP(D1281,CAARStatus!$A$1:$Y$1600,11,FALSE),0),0)</f>
        <v>0</v>
      </c>
      <c r="AM1281" s="22">
        <f t="shared" si="456"/>
        <v>0</v>
      </c>
      <c r="AN1281" s="12" t="str">
        <f t="shared" si="457"/>
        <v/>
      </c>
      <c r="AO1281" s="12" t="str">
        <f t="shared" si="458"/>
        <v>Pend</v>
      </c>
      <c r="AP1281" t="str">
        <f t="shared" si="459"/>
        <v>Pend</v>
      </c>
      <c r="AQ1281" t="str">
        <f>IFERROR(VLOOKUP(Z1281,InvBal!$L$4:$P$600,4,FALSE),"Pend")</f>
        <v>Pend</v>
      </c>
      <c r="AR1281" t="str">
        <f>IFERROR(VLOOKUP(D1281,Manual!$C$1:$E$22,2,FALSE),"Pend")</f>
        <v>Pend</v>
      </c>
      <c r="AS1281" t="str">
        <f t="shared" si="460"/>
        <v/>
      </c>
      <c r="AT1281" t="str">
        <f t="shared" si="461"/>
        <v>Yes</v>
      </c>
      <c r="AU1281" s="51" t="str">
        <f t="shared" si="462"/>
        <v/>
      </c>
      <c r="AV1281" s="12">
        <f>IFERROR(VLOOKUP(D1281,'Receivable Invoice Detail'!$S$1:$U$3014,3,FALSE),0)</f>
        <v>0</v>
      </c>
      <c r="AW1281" s="12">
        <f t="shared" si="463"/>
        <v>0</v>
      </c>
    </row>
    <row r="1282" spans="1:49" ht="30" x14ac:dyDescent="0.25">
      <c r="A1282" s="2">
        <v>2</v>
      </c>
      <c r="B1282" s="2" t="s">
        <v>6232</v>
      </c>
      <c r="C1282" s="2" t="s">
        <v>5981</v>
      </c>
      <c r="D1282" s="2" t="s">
        <v>6148</v>
      </c>
      <c r="E1282" s="2" t="s">
        <v>121</v>
      </c>
      <c r="F1282" s="3">
        <v>45996.711689814823</v>
      </c>
      <c r="G1282" s="3">
        <v>45996.713553240741</v>
      </c>
      <c r="H1282" s="4">
        <v>46045</v>
      </c>
      <c r="I1282" s="2" t="s">
        <v>21</v>
      </c>
      <c r="J1282" s="2" t="s">
        <v>22</v>
      </c>
      <c r="K1282" s="2">
        <v>1</v>
      </c>
      <c r="L1282" s="2">
        <v>2486.37</v>
      </c>
      <c r="M1282" s="2">
        <v>0</v>
      </c>
      <c r="N1282" s="2">
        <v>1793.941686729127</v>
      </c>
      <c r="O1282" s="2">
        <v>2367.9699999999998</v>
      </c>
      <c r="P1282" s="2">
        <v>118.4</v>
      </c>
      <c r="Q1282" s="2">
        <v>2486.37</v>
      </c>
      <c r="R1282" s="2" t="s">
        <v>44</v>
      </c>
      <c r="S1282" s="2"/>
      <c r="T1282" s="2">
        <f t="shared" si="442"/>
        <v>2</v>
      </c>
      <c r="U1282" s="18">
        <f t="shared" si="443"/>
        <v>12</v>
      </c>
      <c r="V1282" s="18">
        <f t="shared" si="444"/>
        <v>2025</v>
      </c>
      <c r="W1282" s="18" t="str">
        <f t="shared" si="445"/>
        <v/>
      </c>
      <c r="X1282" s="18" t="str">
        <f t="shared" si="446"/>
        <v/>
      </c>
      <c r="Y1282" s="2">
        <f t="shared" si="447"/>
        <v>0.72151034911502598</v>
      </c>
      <c r="Z1282" t="str">
        <f t="shared" si="448"/>
        <v>SO18372</v>
      </c>
      <c r="AA1282" s="11">
        <f t="shared" si="449"/>
        <v>45996.711689814823</v>
      </c>
      <c r="AB1282" s="5" t="str">
        <f t="shared" si="450"/>
        <v>INV13824</v>
      </c>
      <c r="AC1282" s="5" t="str">
        <f>IFERROR(VLOOKUP(D1282,CAARStatus!$A$2:$AA$1600,22,FALSE),"Not invoiced")</f>
        <v>Not invoiced</v>
      </c>
      <c r="AD1282" s="11" t="str">
        <f>IF(AC1282="Paid",IFERROR(VLOOKUP(D1282,CAARStatus!$A$2:$AA$1600,6,FALSE),"Pending"),"Pending")</f>
        <v>Pending</v>
      </c>
      <c r="AE1282" s="5" t="str">
        <f t="shared" si="451"/>
        <v>C003756451</v>
      </c>
      <c r="AF1282" s="5" t="str">
        <f t="shared" si="452"/>
        <v>Glencore Canada Corporation - Rouyn-Noranda</v>
      </c>
      <c r="AG1282" s="5" t="str">
        <f t="shared" si="453"/>
        <v>CAD</v>
      </c>
      <c r="AH1282" s="5">
        <f t="shared" si="454"/>
        <v>2367.9699999999998</v>
      </c>
      <c r="AI1282" s="12">
        <f>IF(L1282-N1282=0,VLOOKUP(U1282,rate!A$4:B$15,2,FALSE)*AH1282,IF(AG1282="USD",O1282,AH1282*Y1282))</f>
        <v>1708.5148613939079</v>
      </c>
      <c r="AJ1282" s="13">
        <f t="shared" si="455"/>
        <v>0.72151034911502598</v>
      </c>
      <c r="AK1282" s="13">
        <f>-IF(AG1282="CAD",IFERROR(VLOOKUP(D1282,CAARStatus!$A$1:$Y$1600,16,FALSE),0),0)</f>
        <v>0</v>
      </c>
      <c r="AL1282" s="13">
        <f>-IF(AG1282="USD",IFERROR(VLOOKUP(D1282,CAARStatus!$A$1:$Y$1600,11,FALSE),0),0)</f>
        <v>0</v>
      </c>
      <c r="AM1282" s="22">
        <f t="shared" si="456"/>
        <v>2367.9699999999998</v>
      </c>
      <c r="AN1282" s="12" t="str">
        <f t="shared" si="457"/>
        <v/>
      </c>
      <c r="AO1282" s="12" t="str">
        <f t="shared" si="458"/>
        <v>Pend</v>
      </c>
      <c r="AP1282" t="str">
        <f t="shared" si="459"/>
        <v>XX</v>
      </c>
      <c r="AQ1282">
        <f>IFERROR(VLOOKUP(Z1282,InvBal!$L$4:$P$600,4,FALSE),"Pend")</f>
        <v>0</v>
      </c>
      <c r="AR1282" t="str">
        <f>IFERROR(VLOOKUP(D1282,Manual!$C$1:$E$22,2,FALSE),"Pend")</f>
        <v>Pend</v>
      </c>
      <c r="AS1282" t="str">
        <f t="shared" si="460"/>
        <v/>
      </c>
      <c r="AT1282" t="str">
        <f t="shared" si="461"/>
        <v>Yes</v>
      </c>
      <c r="AU1282" s="51" t="str">
        <f t="shared" si="462"/>
        <v/>
      </c>
      <c r="AV1282" s="12">
        <f>IFERROR(VLOOKUP(D1282,'Receivable Invoice Detail'!$S$1:$U$3014,3,FALSE),0)</f>
        <v>0</v>
      </c>
      <c r="AW1282" s="12">
        <f t="shared" si="463"/>
        <v>0</v>
      </c>
    </row>
    <row r="1283" spans="1:49" x14ac:dyDescent="0.25">
      <c r="A1283" s="2"/>
      <c r="B1283" s="2"/>
      <c r="C1283" s="2"/>
      <c r="D1283" s="2" t="s">
        <v>5980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>
        <f t="shared" si="442"/>
        <v>2</v>
      </c>
      <c r="U1283" s="18">
        <f t="shared" si="443"/>
        <v>12</v>
      </c>
      <c r="V1283" s="18">
        <f t="shared" si="444"/>
        <v>2025</v>
      </c>
      <c r="W1283" s="18" t="str">
        <f t="shared" si="445"/>
        <v/>
      </c>
      <c r="X1283" s="18" t="str">
        <f t="shared" si="446"/>
        <v/>
      </c>
      <c r="Y1283" s="2">
        <f t="shared" si="447"/>
        <v>0.72151034911502598</v>
      </c>
      <c r="Z1283" t="str">
        <f t="shared" si="448"/>
        <v>SO18372</v>
      </c>
      <c r="AA1283" s="11">
        <f t="shared" si="449"/>
        <v>45996.711689814823</v>
      </c>
      <c r="AB1283" s="5" t="str">
        <f t="shared" si="450"/>
        <v>INV13747</v>
      </c>
      <c r="AC1283" s="5" t="str">
        <f>IFERROR(VLOOKUP(D1283,CAARStatus!$A$2:$AA$1600,22,FALSE),"Not invoiced")</f>
        <v>Approved</v>
      </c>
      <c r="AD1283" s="11" t="str">
        <f>IF(AC1283="Paid",IFERROR(VLOOKUP(D1283,CAARStatus!$A$2:$AA$1600,6,FALSE),"Pending"),"Pending")</f>
        <v>Pending</v>
      </c>
      <c r="AE1283" s="5" t="str">
        <f t="shared" si="451"/>
        <v>C003756451</v>
      </c>
      <c r="AF1283" s="5" t="str">
        <f t="shared" si="452"/>
        <v>Glencore Canada Corporation - Rouyn-Noranda</v>
      </c>
      <c r="AG1283" s="5" t="str">
        <f t="shared" si="453"/>
        <v>CAD</v>
      </c>
      <c r="AH1283" s="5">
        <f t="shared" si="454"/>
        <v>0</v>
      </c>
      <c r="AI1283" s="12">
        <f>IF(L1283-N1283=0,VLOOKUP(U1283,rate!A$4:B$15,2,FALSE)*AH1283,IF(AG1283="USD",O1283,AH1283*Y1283))</f>
        <v>0</v>
      </c>
      <c r="AJ1283" s="13">
        <f t="shared" si="455"/>
        <v>0</v>
      </c>
      <c r="AK1283" s="13">
        <f>-IF(AG1283="CAD",IFERROR(VLOOKUP(D1283,CAARStatus!$A$1:$Y$1600,16,FALSE),0),0)</f>
        <v>-1143.57</v>
      </c>
      <c r="AL1283" s="13">
        <f>-IF(AG1283="USD",IFERROR(VLOOKUP(D1283,CAARStatus!$A$1:$Y$1600,11,FALSE),0),0)</f>
        <v>0</v>
      </c>
      <c r="AM1283" s="22">
        <f t="shared" si="456"/>
        <v>-1143.57</v>
      </c>
      <c r="AN1283" s="12" t="str">
        <f t="shared" si="457"/>
        <v/>
      </c>
      <c r="AO1283" s="12" t="str">
        <f t="shared" si="458"/>
        <v>Pend</v>
      </c>
      <c r="AP1283" t="str">
        <f t="shared" si="459"/>
        <v>XX</v>
      </c>
      <c r="AQ1283">
        <f>IFERROR(VLOOKUP(Z1283,InvBal!$L$4:$P$600,4,FALSE),"Pend")</f>
        <v>0</v>
      </c>
      <c r="AR1283" t="str">
        <f>IFERROR(VLOOKUP(D1283,Manual!$C$1:$E$22,2,FALSE),"Pend")</f>
        <v>Pend</v>
      </c>
      <c r="AS1283" t="str">
        <f t="shared" si="460"/>
        <v/>
      </c>
      <c r="AT1283" t="str">
        <f t="shared" si="461"/>
        <v/>
      </c>
      <c r="AU1283" s="51" t="str">
        <f t="shared" si="462"/>
        <v/>
      </c>
      <c r="AV1283" s="12">
        <f>IFERROR(VLOOKUP(D1283,'Receivable Invoice Detail'!$S$1:$U$3014,3,FALSE),0)</f>
        <v>0</v>
      </c>
      <c r="AW1283" s="12">
        <f t="shared" si="463"/>
        <v>0</v>
      </c>
    </row>
    <row r="1284" spans="1:49" x14ac:dyDescent="0.25">
      <c r="A1284" s="2">
        <v>1</v>
      </c>
      <c r="B1284" s="2" t="s">
        <v>6233</v>
      </c>
      <c r="C1284" s="2" t="s">
        <v>5983</v>
      </c>
      <c r="D1284" s="2" t="s">
        <v>5982</v>
      </c>
      <c r="E1284" s="2" t="s">
        <v>429</v>
      </c>
      <c r="F1284" s="3">
        <v>45996.745370370372</v>
      </c>
      <c r="G1284" s="3">
        <v>45996.745613425926</v>
      </c>
      <c r="H1284" s="4">
        <v>46000</v>
      </c>
      <c r="I1284" s="2" t="s">
        <v>74</v>
      </c>
      <c r="J1284" s="2" t="s">
        <v>22</v>
      </c>
      <c r="K1284" s="2">
        <v>1</v>
      </c>
      <c r="L1284" s="2">
        <v>792.08</v>
      </c>
      <c r="M1284" s="2">
        <v>0</v>
      </c>
      <c r="N1284" s="2">
        <v>571.49391732702975</v>
      </c>
      <c r="O1284" s="2">
        <v>754.36</v>
      </c>
      <c r="P1284" s="2">
        <v>37.72</v>
      </c>
      <c r="Q1284" s="2">
        <v>792.08</v>
      </c>
      <c r="R1284" s="2" t="s">
        <v>44</v>
      </c>
      <c r="S1284" s="2"/>
      <c r="T1284" s="2">
        <f t="shared" si="442"/>
        <v>1</v>
      </c>
      <c r="U1284" s="18">
        <f t="shared" si="443"/>
        <v>12</v>
      </c>
      <c r="V1284" s="18">
        <f t="shared" si="444"/>
        <v>2025</v>
      </c>
      <c r="W1284" s="18" t="str">
        <f t="shared" si="445"/>
        <v/>
      </c>
      <c r="X1284" s="18" t="str">
        <f t="shared" si="446"/>
        <v/>
      </c>
      <c r="Y1284" s="2">
        <f t="shared" si="447"/>
        <v>0.72151034911502587</v>
      </c>
      <c r="Z1284" t="str">
        <f t="shared" si="448"/>
        <v>SO18373</v>
      </c>
      <c r="AA1284" s="11">
        <f t="shared" si="449"/>
        <v>45996.745370370372</v>
      </c>
      <c r="AB1284" s="5" t="str">
        <f t="shared" si="450"/>
        <v>INV13748</v>
      </c>
      <c r="AC1284" s="5" t="str">
        <f>IFERROR(VLOOKUP(D1284,CAARStatus!$A$2:$AA$1600,22,FALSE),"Not invoiced")</f>
        <v>Approved</v>
      </c>
      <c r="AD1284" s="11" t="str">
        <f>IF(AC1284="Paid",IFERROR(VLOOKUP(D1284,CAARStatus!$A$2:$AA$1600,6,FALSE),"Pending"),"Pending")</f>
        <v>Pending</v>
      </c>
      <c r="AE1284" s="5" t="str">
        <f t="shared" si="451"/>
        <v>PO - 67000</v>
      </c>
      <c r="AF1284" s="5" t="str">
        <f t="shared" si="452"/>
        <v>Harvey Bearings</v>
      </c>
      <c r="AG1284" s="5" t="str">
        <f t="shared" si="453"/>
        <v>CAD</v>
      </c>
      <c r="AH1284" s="5">
        <f t="shared" si="454"/>
        <v>754.36</v>
      </c>
      <c r="AI1284" s="12">
        <f>IF(L1284-N1284=0,VLOOKUP(U1284,rate!A$4:B$15,2,FALSE)*AH1284,IF(AG1284="USD",O1284,AH1284*Y1284))</f>
        <v>544.27854695841097</v>
      </c>
      <c r="AJ1284" s="13">
        <f t="shared" si="455"/>
        <v>0.72151034911502598</v>
      </c>
      <c r="AK1284" s="13">
        <f>-IF(AG1284="CAD",IFERROR(VLOOKUP(D1284,CAARStatus!$A$1:$Y$1600,16,FALSE),0),0)</f>
        <v>-754.36</v>
      </c>
      <c r="AL1284" s="13">
        <f>-IF(AG1284="USD",IFERROR(VLOOKUP(D1284,CAARStatus!$A$1:$Y$1600,11,FALSE),0),0)</f>
        <v>0</v>
      </c>
      <c r="AM1284" s="22">
        <f t="shared" si="456"/>
        <v>0</v>
      </c>
      <c r="AN1284" s="12" t="str">
        <f t="shared" si="457"/>
        <v/>
      </c>
      <c r="AO1284" s="12" t="str">
        <f t="shared" si="458"/>
        <v>Pend</v>
      </c>
      <c r="AP1284" t="str">
        <f t="shared" si="459"/>
        <v>Pend</v>
      </c>
      <c r="AQ1284" t="str">
        <f>IFERROR(VLOOKUP(Z1284,InvBal!$L$4:$P$600,4,FALSE),"Pend")</f>
        <v>Pend</v>
      </c>
      <c r="AR1284" t="str">
        <f>IFERROR(VLOOKUP(D1284,Manual!$C$1:$E$22,2,FALSE),"Pend")</f>
        <v>Pend</v>
      </c>
      <c r="AS1284" t="str">
        <f t="shared" si="460"/>
        <v/>
      </c>
      <c r="AT1284" t="str">
        <f t="shared" si="461"/>
        <v>Yes</v>
      </c>
      <c r="AU1284" s="51" t="str">
        <f t="shared" si="462"/>
        <v/>
      </c>
      <c r="AV1284" s="12">
        <f>IFERROR(VLOOKUP(D1284,'Receivable Invoice Detail'!$S$1:$U$3014,3,FALSE),0)</f>
        <v>0</v>
      </c>
      <c r="AW1284" s="12">
        <f t="shared" si="463"/>
        <v>0</v>
      </c>
    </row>
    <row r="1285" spans="1:49" ht="30" x14ac:dyDescent="0.25">
      <c r="A1285" s="2">
        <v>1</v>
      </c>
      <c r="B1285" s="2" t="s">
        <v>6234</v>
      </c>
      <c r="C1285" s="2" t="s">
        <v>6064</v>
      </c>
      <c r="D1285" s="2" t="s">
        <v>6063</v>
      </c>
      <c r="E1285" s="2" t="s">
        <v>35</v>
      </c>
      <c r="F1285" s="3">
        <v>45996.763657407413</v>
      </c>
      <c r="G1285" s="3">
        <v>46007.469224537039</v>
      </c>
      <c r="H1285" s="4">
        <v>46013</v>
      </c>
      <c r="I1285" s="2" t="s">
        <v>36</v>
      </c>
      <c r="J1285" s="2" t="s">
        <v>22</v>
      </c>
      <c r="K1285" s="2">
        <v>1</v>
      </c>
      <c r="L1285" s="2">
        <v>3512.31</v>
      </c>
      <c r="M1285" s="2">
        <v>0</v>
      </c>
      <c r="N1285" s="2">
        <v>2554.5400080783961</v>
      </c>
      <c r="O1285" s="2">
        <v>3345.05</v>
      </c>
      <c r="P1285" s="2">
        <v>167.26</v>
      </c>
      <c r="Q1285" s="2">
        <v>3512.31</v>
      </c>
      <c r="R1285" s="2" t="s">
        <v>29</v>
      </c>
      <c r="S1285" s="2"/>
      <c r="T1285" s="2">
        <f t="shared" si="442"/>
        <v>1</v>
      </c>
      <c r="U1285" s="18">
        <f t="shared" si="443"/>
        <v>12</v>
      </c>
      <c r="V1285" s="18">
        <f t="shared" si="444"/>
        <v>2025</v>
      </c>
      <c r="W1285" s="18" t="str">
        <f t="shared" si="445"/>
        <v/>
      </c>
      <c r="X1285" s="18" t="str">
        <f t="shared" si="446"/>
        <v/>
      </c>
      <c r="Y1285" s="2">
        <f t="shared" si="447"/>
        <v>0.72731051874077068</v>
      </c>
      <c r="Z1285" t="str">
        <f t="shared" si="448"/>
        <v>SO18374</v>
      </c>
      <c r="AA1285" s="11">
        <f t="shared" si="449"/>
        <v>45996.763657407413</v>
      </c>
      <c r="AB1285" s="5" t="str">
        <f t="shared" si="450"/>
        <v>INV13803</v>
      </c>
      <c r="AC1285" s="5" t="str">
        <f>IFERROR(VLOOKUP(D1285,CAARStatus!$A$2:$AA$1600,22,FALSE),"Not invoiced")</f>
        <v>Approved</v>
      </c>
      <c r="AD1285" s="11" t="str">
        <f>IF(AC1285="Paid",IFERROR(VLOOKUP(D1285,CAARStatus!$A$2:$AA$1600,6,FALSE),"Pending"),"Pending")</f>
        <v>Pending</v>
      </c>
      <c r="AE1285" s="5" t="str">
        <f t="shared" si="451"/>
        <v>PO14293</v>
      </c>
      <c r="AF1285" s="5" t="str">
        <f t="shared" si="452"/>
        <v>Manufacture Sling-Choker (Val-d’Or) Ltée</v>
      </c>
      <c r="AG1285" s="5" t="str">
        <f t="shared" si="453"/>
        <v>CAD</v>
      </c>
      <c r="AH1285" s="5">
        <f t="shared" si="454"/>
        <v>3345.05</v>
      </c>
      <c r="AI1285" s="12">
        <f>IF(L1285-N1285=0,VLOOKUP(U1285,rate!A$4:B$15,2,FALSE)*AH1285,IF(AG1285="USD",O1285,AH1285*Y1285))</f>
        <v>2432.8900507138151</v>
      </c>
      <c r="AJ1285" s="13">
        <f t="shared" si="455"/>
        <v>0.72731051874077068</v>
      </c>
      <c r="AK1285" s="13">
        <f>-IF(AG1285="CAD",IFERROR(VLOOKUP(D1285,CAARStatus!$A$1:$Y$1600,16,FALSE),0),0)</f>
        <v>-2966.5</v>
      </c>
      <c r="AL1285" s="13">
        <f>-IF(AG1285="USD",IFERROR(VLOOKUP(D1285,CAARStatus!$A$1:$Y$1600,11,FALSE),0),0)</f>
        <v>0</v>
      </c>
      <c r="AM1285" s="22">
        <f t="shared" si="456"/>
        <v>378.55000000000018</v>
      </c>
      <c r="AN1285" s="12" t="str">
        <f t="shared" si="457"/>
        <v/>
      </c>
      <c r="AO1285" s="12" t="str">
        <f t="shared" si="458"/>
        <v>Pend</v>
      </c>
      <c r="AP1285" t="str">
        <f t="shared" si="459"/>
        <v>Pend</v>
      </c>
      <c r="AQ1285" t="str">
        <f>IFERROR(VLOOKUP(Z1285,InvBal!$L$4:$P$600,4,FALSE),"Pend")</f>
        <v>Pend</v>
      </c>
      <c r="AR1285" t="str">
        <f>IFERROR(VLOOKUP(D1285,Manual!$C$1:$E$22,2,FALSE),"Pend")</f>
        <v>Pend</v>
      </c>
      <c r="AS1285" t="str">
        <f t="shared" si="460"/>
        <v/>
      </c>
      <c r="AT1285" t="str">
        <f t="shared" si="461"/>
        <v/>
      </c>
      <c r="AU1285" s="51" t="str">
        <f t="shared" si="462"/>
        <v/>
      </c>
      <c r="AV1285" s="12">
        <f>IFERROR(VLOOKUP(D1285,'Receivable Invoice Detail'!$S$1:$U$3014,3,FALSE),0)</f>
        <v>0</v>
      </c>
      <c r="AW1285" s="12">
        <f t="shared" si="463"/>
        <v>0</v>
      </c>
    </row>
    <row r="1286" spans="1:49" ht="30" x14ac:dyDescent="0.25">
      <c r="A1286" s="2">
        <v>1</v>
      </c>
      <c r="B1286" s="2" t="s">
        <v>6235</v>
      </c>
      <c r="C1286" s="2" t="s">
        <v>6046</v>
      </c>
      <c r="D1286" s="2" t="s">
        <v>6045</v>
      </c>
      <c r="E1286" s="2" t="s">
        <v>39</v>
      </c>
      <c r="F1286" s="3">
        <v>45996.781192129631</v>
      </c>
      <c r="G1286" s="3">
        <v>46002.748148148137</v>
      </c>
      <c r="H1286" s="4">
        <v>46006</v>
      </c>
      <c r="I1286" s="2" t="s">
        <v>21</v>
      </c>
      <c r="J1286" s="2" t="s">
        <v>22</v>
      </c>
      <c r="K1286" s="2">
        <v>1</v>
      </c>
      <c r="L1286" s="2">
        <v>8135.52</v>
      </c>
      <c r="M1286" s="2">
        <v>0</v>
      </c>
      <c r="N1286" s="2">
        <v>5908.3275821363113</v>
      </c>
      <c r="O1286" s="2">
        <v>7748.12</v>
      </c>
      <c r="P1286" s="2">
        <v>387.4</v>
      </c>
      <c r="Q1286" s="2">
        <v>8135.52</v>
      </c>
      <c r="R1286" s="2" t="s">
        <v>44</v>
      </c>
      <c r="S1286" s="2"/>
      <c r="T1286" s="2">
        <f t="shared" si="442"/>
        <v>1</v>
      </c>
      <c r="U1286" s="18">
        <f t="shared" si="443"/>
        <v>12</v>
      </c>
      <c r="V1286" s="18">
        <f t="shared" si="444"/>
        <v>2025</v>
      </c>
      <c r="W1286" s="18" t="str">
        <f t="shared" si="445"/>
        <v/>
      </c>
      <c r="X1286" s="18" t="str">
        <f t="shared" si="446"/>
        <v/>
      </c>
      <c r="Y1286" s="2">
        <f t="shared" si="447"/>
        <v>0.72623846811713466</v>
      </c>
      <c r="Z1286" t="str">
        <f t="shared" si="448"/>
        <v>SO18375</v>
      </c>
      <c r="AA1286" s="11">
        <f t="shared" si="449"/>
        <v>45996.781192129631</v>
      </c>
      <c r="AB1286" s="5" t="str">
        <f t="shared" si="450"/>
        <v>INV13793</v>
      </c>
      <c r="AC1286" s="5" t="str">
        <f>IFERROR(VLOOKUP(D1286,CAARStatus!$A$2:$AA$1600,22,FALSE),"Not invoiced")</f>
        <v>Approved</v>
      </c>
      <c r="AD1286" s="11" t="str">
        <f>IF(AC1286="Paid",IFERROR(VLOOKUP(D1286,CAARStatus!$A$2:$AA$1600,6,FALSE),"Pending"),"Pending")</f>
        <v>Pending</v>
      </c>
      <c r="AE1286" s="5" t="str">
        <f t="shared" si="451"/>
        <v>BC65-00082673</v>
      </c>
      <c r="AF1286" s="5" t="str">
        <f t="shared" si="452"/>
        <v>Motion Industries Inc. (Canada) - Prince George</v>
      </c>
      <c r="AG1286" s="5" t="str">
        <f t="shared" si="453"/>
        <v>CAD</v>
      </c>
      <c r="AH1286" s="5">
        <f t="shared" si="454"/>
        <v>7748.12</v>
      </c>
      <c r="AI1286" s="12">
        <f>IF(L1286-N1286=0,VLOOKUP(U1286,rate!A$4:B$15,2,FALSE)*AH1286,IF(AG1286="USD",O1286,AH1286*Y1286))</f>
        <v>5626.9827995877331</v>
      </c>
      <c r="AJ1286" s="13">
        <f t="shared" si="455"/>
        <v>0.72623846811713466</v>
      </c>
      <c r="AK1286" s="13">
        <f>-IF(AG1286="CAD",IFERROR(VLOOKUP(D1286,CAARStatus!$A$1:$Y$1600,16,FALSE),0),0)</f>
        <v>-7748.12</v>
      </c>
      <c r="AL1286" s="13">
        <f>-IF(AG1286="USD",IFERROR(VLOOKUP(D1286,CAARStatus!$A$1:$Y$1600,11,FALSE),0),0)</f>
        <v>0</v>
      </c>
      <c r="AM1286" s="22">
        <f t="shared" si="456"/>
        <v>0</v>
      </c>
      <c r="AN1286" s="12" t="str">
        <f t="shared" si="457"/>
        <v/>
      </c>
      <c r="AO1286" s="12" t="str">
        <f t="shared" si="458"/>
        <v>Pend</v>
      </c>
      <c r="AP1286" t="str">
        <f t="shared" si="459"/>
        <v>Pend</v>
      </c>
      <c r="AQ1286" t="str">
        <f>IFERROR(VLOOKUP(Z1286,InvBal!$L$4:$P$600,4,FALSE),"Pend")</f>
        <v>Pend</v>
      </c>
      <c r="AR1286" t="str">
        <f>IFERROR(VLOOKUP(D1286,Manual!$C$1:$E$22,2,FALSE),"Pend")</f>
        <v>Pend</v>
      </c>
      <c r="AS1286" t="str">
        <f t="shared" si="460"/>
        <v/>
      </c>
      <c r="AT1286" t="str">
        <f t="shared" si="461"/>
        <v>Yes</v>
      </c>
      <c r="AU1286" s="51" t="str">
        <f t="shared" si="462"/>
        <v/>
      </c>
      <c r="AV1286" s="12">
        <f>IFERROR(VLOOKUP(D1286,'Receivable Invoice Detail'!$S$1:$U$3014,3,FALSE),0)</f>
        <v>0</v>
      </c>
      <c r="AW1286" s="12">
        <f t="shared" si="463"/>
        <v>0</v>
      </c>
    </row>
    <row r="1287" spans="1:49" x14ac:dyDescent="0.25">
      <c r="A1287" s="2">
        <v>0</v>
      </c>
      <c r="B1287" s="2" t="s">
        <v>6236</v>
      </c>
      <c r="C1287" s="2" t="s">
        <v>6237</v>
      </c>
      <c r="D1287" s="2"/>
      <c r="E1287" s="2" t="s">
        <v>242</v>
      </c>
      <c r="F1287" s="3">
        <v>45999.498032407413</v>
      </c>
      <c r="G1287" s="3">
        <v>45999.619421296287</v>
      </c>
      <c r="H1287" s="4">
        <v>46112</v>
      </c>
      <c r="I1287" s="2" t="s">
        <v>36</v>
      </c>
      <c r="J1287" s="2" t="s">
        <v>22</v>
      </c>
      <c r="K1287" s="2">
        <v>1</v>
      </c>
      <c r="L1287" s="2">
        <v>7284.65</v>
      </c>
      <c r="M1287" s="2">
        <v>7284.65</v>
      </c>
      <c r="N1287" s="2">
        <v>7284.65</v>
      </c>
      <c r="O1287" s="2">
        <v>6937.76</v>
      </c>
      <c r="P1287" s="2">
        <v>346.89</v>
      </c>
      <c r="Q1287" s="2">
        <v>7284.65</v>
      </c>
      <c r="R1287" s="2" t="s">
        <v>29</v>
      </c>
      <c r="S1287" s="2"/>
      <c r="T1287" s="2">
        <f t="shared" si="442"/>
        <v>0</v>
      </c>
      <c r="U1287" s="18">
        <f t="shared" si="443"/>
        <v>12</v>
      </c>
      <c r="V1287" s="18">
        <f t="shared" si="444"/>
        <v>2025</v>
      </c>
      <c r="W1287" s="18" t="str">
        <f t="shared" si="445"/>
        <v/>
      </c>
      <c r="X1287" s="18" t="str">
        <f t="shared" si="446"/>
        <v/>
      </c>
      <c r="Y1287" s="2">
        <f t="shared" si="447"/>
        <v>1</v>
      </c>
      <c r="Z1287" t="str">
        <f t="shared" si="448"/>
        <v>SO18377</v>
      </c>
      <c r="AA1287" s="11">
        <f t="shared" si="449"/>
        <v>45999.498032407413</v>
      </c>
      <c r="AB1287" s="5" t="str">
        <f t="shared" si="450"/>
        <v>No Inv</v>
      </c>
      <c r="AC1287" s="5" t="str">
        <f>IFERROR(VLOOKUP(D1287,CAARStatus!$A$2:$AA$1600,22,FALSE),"Not invoiced")</f>
        <v>Not invoiced</v>
      </c>
      <c r="AD1287" s="11" t="str">
        <f>IF(AC1287="Paid",IFERROR(VLOOKUP(D1287,CAARStatus!$A$2:$AA$1600,6,FALSE),"Pending"),"Pending")</f>
        <v>Pending</v>
      </c>
      <c r="AE1287" s="5" t="str">
        <f t="shared" si="451"/>
        <v>2100709518</v>
      </c>
      <c r="AF1287" s="5" t="str">
        <f t="shared" si="452"/>
        <v>Wajax Limited - Noranda</v>
      </c>
      <c r="AG1287" s="5" t="str">
        <f t="shared" si="453"/>
        <v>CAD</v>
      </c>
      <c r="AH1287" s="5">
        <f t="shared" si="454"/>
        <v>6937.76</v>
      </c>
      <c r="AI1287" s="12">
        <f>IF(L1287-N1287=0,VLOOKUP(U1287,rate!A$4:B$15,2,FALSE)*AH1287,IF(AG1287="USD",O1287,AH1287*Y1287))</f>
        <v>5021.5817376649129</v>
      </c>
      <c r="AJ1287" s="13">
        <f t="shared" si="455"/>
        <v>0.72380447545964588</v>
      </c>
      <c r="AK1287" s="13">
        <f>-IF(AG1287="CAD",IFERROR(VLOOKUP(D1287,CAARStatus!$A$1:$Y$1600,16,FALSE),0),0)</f>
        <v>0</v>
      </c>
      <c r="AL1287" s="13">
        <f>-IF(AG1287="USD",IFERROR(VLOOKUP(D1287,CAARStatus!$A$1:$Y$1600,11,FALSE),0),0)</f>
        <v>0</v>
      </c>
      <c r="AM1287" s="22">
        <f t="shared" si="456"/>
        <v>6937.76</v>
      </c>
      <c r="AN1287" s="12" t="str">
        <f t="shared" si="457"/>
        <v/>
      </c>
      <c r="AO1287" s="12" t="str">
        <f t="shared" si="458"/>
        <v>Pend</v>
      </c>
      <c r="AP1287" t="str">
        <f t="shared" si="459"/>
        <v>Pend</v>
      </c>
      <c r="AQ1287" t="str">
        <f>IFERROR(VLOOKUP(Z1287,InvBal!$L$4:$P$600,4,FALSE),"Pend")</f>
        <v>Pend</v>
      </c>
      <c r="AR1287" t="str">
        <f>IFERROR(VLOOKUP(D1287,Manual!$C$1:$E$22,2,FALSE),"Pend")</f>
        <v>Pend</v>
      </c>
      <c r="AS1287" t="str">
        <f t="shared" si="460"/>
        <v/>
      </c>
      <c r="AT1287" t="str">
        <f t="shared" si="461"/>
        <v/>
      </c>
      <c r="AU1287" s="51" t="str">
        <f t="shared" si="462"/>
        <v/>
      </c>
      <c r="AV1287" s="12">
        <f>IFERROR(VLOOKUP(D1287,'Receivable Invoice Detail'!$S$1:$U$3014,3,FALSE),0)</f>
        <v>0</v>
      </c>
      <c r="AW1287" s="12">
        <f t="shared" si="463"/>
        <v>0</v>
      </c>
    </row>
    <row r="1288" spans="1:49" x14ac:dyDescent="0.25">
      <c r="A1288" s="2">
        <v>1</v>
      </c>
      <c r="B1288" s="2" t="s">
        <v>6238</v>
      </c>
      <c r="C1288" s="2" t="s">
        <v>6011</v>
      </c>
      <c r="D1288" s="2" t="s">
        <v>6010</v>
      </c>
      <c r="E1288" s="2" t="s">
        <v>54</v>
      </c>
      <c r="F1288" s="3">
        <v>45999.510659722233</v>
      </c>
      <c r="G1288" s="3">
        <v>46002.488229166673</v>
      </c>
      <c r="H1288" s="4">
        <v>46005</v>
      </c>
      <c r="I1288" s="2" t="s">
        <v>21</v>
      </c>
      <c r="J1288" s="2" t="s">
        <v>22</v>
      </c>
      <c r="K1288" s="2">
        <v>1</v>
      </c>
      <c r="L1288" s="2">
        <v>3128</v>
      </c>
      <c r="M1288" s="2">
        <v>0</v>
      </c>
      <c r="N1288" s="2">
        <v>2271.673928270397</v>
      </c>
      <c r="O1288" s="2">
        <v>2979.04</v>
      </c>
      <c r="P1288" s="2">
        <v>148.96</v>
      </c>
      <c r="Q1288" s="2">
        <v>3128</v>
      </c>
      <c r="R1288" s="2" t="s">
        <v>44</v>
      </c>
      <c r="S1288" s="2"/>
      <c r="T1288" s="2">
        <f t="shared" si="442"/>
        <v>1</v>
      </c>
      <c r="U1288" s="18">
        <f t="shared" si="443"/>
        <v>12</v>
      </c>
      <c r="V1288" s="18">
        <f t="shared" si="444"/>
        <v>2025</v>
      </c>
      <c r="W1288" s="18" t="str">
        <f t="shared" si="445"/>
        <v/>
      </c>
      <c r="X1288" s="18" t="str">
        <f t="shared" si="446"/>
        <v/>
      </c>
      <c r="Y1288" s="2">
        <f t="shared" si="447"/>
        <v>0.72623846811713455</v>
      </c>
      <c r="Z1288" t="str">
        <f t="shared" si="448"/>
        <v>SO18378</v>
      </c>
      <c r="AA1288" s="11">
        <f t="shared" si="449"/>
        <v>45999.510659722233</v>
      </c>
      <c r="AB1288" s="5" t="str">
        <f t="shared" si="450"/>
        <v>INV13769</v>
      </c>
      <c r="AC1288" s="5" t="str">
        <f>IFERROR(VLOOKUP(D1288,CAARStatus!$A$2:$AA$1600,22,FALSE),"Not invoiced")</f>
        <v>Approved</v>
      </c>
      <c r="AD1288" s="11" t="str">
        <f>IF(AC1288="Paid",IFERROR(VLOOKUP(D1288,CAARStatus!$A$2:$AA$1600,6,FALSE),"Pending"),"Pending")</f>
        <v>Pending</v>
      </c>
      <c r="AE1288" s="5" t="str">
        <f t="shared" si="451"/>
        <v>3437</v>
      </c>
      <c r="AF1288" s="5" t="str">
        <f t="shared" si="452"/>
        <v>Les Pompes du St-Laurent Inc.</v>
      </c>
      <c r="AG1288" s="5" t="str">
        <f t="shared" si="453"/>
        <v>CAD</v>
      </c>
      <c r="AH1288" s="5">
        <f t="shared" si="454"/>
        <v>2979.04</v>
      </c>
      <c r="AI1288" s="12">
        <f>IF(L1288-N1288=0,VLOOKUP(U1288,rate!A$4:B$15,2,FALSE)*AH1288,IF(AG1288="USD",O1288,AH1288*Y1288))</f>
        <v>2163.4934460596683</v>
      </c>
      <c r="AJ1288" s="13">
        <f t="shared" si="455"/>
        <v>0.72623846811713444</v>
      </c>
      <c r="AK1288" s="13">
        <f>-IF(AG1288="CAD",IFERROR(VLOOKUP(D1288,CAARStatus!$A$1:$Y$1600,16,FALSE),0),0)</f>
        <v>-2979.04</v>
      </c>
      <c r="AL1288" s="13">
        <f>-IF(AG1288="USD",IFERROR(VLOOKUP(D1288,CAARStatus!$A$1:$Y$1600,11,FALSE),0),0)</f>
        <v>0</v>
      </c>
      <c r="AM1288" s="22">
        <f t="shared" si="456"/>
        <v>0</v>
      </c>
      <c r="AN1288" s="12" t="str">
        <f t="shared" si="457"/>
        <v/>
      </c>
      <c r="AO1288" s="12" t="str">
        <f t="shared" si="458"/>
        <v>Pend</v>
      </c>
      <c r="AP1288" t="str">
        <f t="shared" si="459"/>
        <v>Pend</v>
      </c>
      <c r="AQ1288" t="str">
        <f>IFERROR(VLOOKUP(Z1288,InvBal!$L$4:$P$600,4,FALSE),"Pend")</f>
        <v>Pend</v>
      </c>
      <c r="AR1288" t="str">
        <f>IFERROR(VLOOKUP(D1288,Manual!$C$1:$E$22,2,FALSE),"Pend")</f>
        <v>Pend</v>
      </c>
      <c r="AS1288" t="str">
        <f t="shared" si="460"/>
        <v/>
      </c>
      <c r="AT1288" t="str">
        <f t="shared" si="461"/>
        <v>Yes</v>
      </c>
      <c r="AU1288" s="51" t="str">
        <f t="shared" si="462"/>
        <v/>
      </c>
      <c r="AV1288" s="12">
        <f>IFERROR(VLOOKUP(D1288,'Receivable Invoice Detail'!$S$1:$U$3014,3,FALSE),0)</f>
        <v>0</v>
      </c>
      <c r="AW1288" s="12">
        <f t="shared" si="463"/>
        <v>0</v>
      </c>
    </row>
    <row r="1289" spans="1:49" x14ac:dyDescent="0.25">
      <c r="A1289" s="2">
        <v>0</v>
      </c>
      <c r="B1289" s="2" t="s">
        <v>6239</v>
      </c>
      <c r="C1289" s="2" t="s">
        <v>6240</v>
      </c>
      <c r="D1289" s="2"/>
      <c r="E1289" s="2" t="s">
        <v>3410</v>
      </c>
      <c r="F1289" s="3">
        <v>45999.584340277783</v>
      </c>
      <c r="G1289" s="3">
        <v>46006.325613425928</v>
      </c>
      <c r="H1289" s="4">
        <v>46132</v>
      </c>
      <c r="I1289" s="2" t="s">
        <v>36</v>
      </c>
      <c r="J1289" s="2" t="s">
        <v>22</v>
      </c>
      <c r="K1289" s="2">
        <v>1</v>
      </c>
      <c r="L1289" s="2">
        <v>1530.9</v>
      </c>
      <c r="M1289" s="2">
        <v>0</v>
      </c>
      <c r="N1289" s="2">
        <v>1112.0611029846821</v>
      </c>
      <c r="O1289" s="2">
        <v>1458</v>
      </c>
      <c r="P1289" s="2">
        <v>72.900000000000006</v>
      </c>
      <c r="Q1289" s="2">
        <v>1530.9</v>
      </c>
      <c r="R1289" s="2" t="s">
        <v>29</v>
      </c>
      <c r="S1289" s="2"/>
      <c r="T1289" s="2">
        <f t="shared" si="442"/>
        <v>0</v>
      </c>
      <c r="U1289" s="18">
        <f t="shared" si="443"/>
        <v>12</v>
      </c>
      <c r="V1289" s="18">
        <f t="shared" si="444"/>
        <v>2025</v>
      </c>
      <c r="W1289" s="18" t="str">
        <f t="shared" si="445"/>
        <v/>
      </c>
      <c r="X1289" s="18" t="str">
        <f t="shared" si="446"/>
        <v/>
      </c>
      <c r="Y1289" s="2">
        <f t="shared" si="447"/>
        <v>0.72641002219915218</v>
      </c>
      <c r="Z1289" t="str">
        <f t="shared" si="448"/>
        <v>SO18380</v>
      </c>
      <c r="AA1289" s="11">
        <f t="shared" si="449"/>
        <v>45999.584340277783</v>
      </c>
      <c r="AB1289" s="5" t="str">
        <f t="shared" si="450"/>
        <v>No Inv</v>
      </c>
      <c r="AC1289" s="5" t="str">
        <f>IFERROR(VLOOKUP(D1289,CAARStatus!$A$2:$AA$1600,22,FALSE),"Not invoiced")</f>
        <v>Not invoiced</v>
      </c>
      <c r="AD1289" s="11" t="str">
        <f>IF(AC1289="Paid",IFERROR(VLOOKUP(D1289,CAARStatus!$A$2:$AA$1600,6,FALSE),"Pending"),"Pending")</f>
        <v>Pending</v>
      </c>
      <c r="AE1289" s="5" t="str">
        <f t="shared" si="451"/>
        <v>2100713583</v>
      </c>
      <c r="AF1289" s="5" t="str">
        <f t="shared" si="452"/>
        <v>Wajax Limited - Val D'Or</v>
      </c>
      <c r="AG1289" s="5" t="str">
        <f t="shared" si="453"/>
        <v>CAD</v>
      </c>
      <c r="AH1289" s="5">
        <f t="shared" si="454"/>
        <v>1458</v>
      </c>
      <c r="AI1289" s="12">
        <f>IF(L1289-N1289=0,VLOOKUP(U1289,rate!A$4:B$15,2,FALSE)*AH1289,IF(AG1289="USD",O1289,AH1289*Y1289))</f>
        <v>1059.1058123663638</v>
      </c>
      <c r="AJ1289" s="13">
        <f t="shared" si="455"/>
        <v>0.72641002219915218</v>
      </c>
      <c r="AK1289" s="13">
        <f>-IF(AG1289="CAD",IFERROR(VLOOKUP(D1289,CAARStatus!$A$1:$Y$1600,16,FALSE),0),0)</f>
        <v>0</v>
      </c>
      <c r="AL1289" s="13">
        <f>-IF(AG1289="USD",IFERROR(VLOOKUP(D1289,CAARStatus!$A$1:$Y$1600,11,FALSE),0),0)</f>
        <v>0</v>
      </c>
      <c r="AM1289" s="22">
        <f t="shared" si="456"/>
        <v>1458</v>
      </c>
      <c r="AN1289" s="12" t="str">
        <f t="shared" si="457"/>
        <v/>
      </c>
      <c r="AO1289" s="12" t="str">
        <f t="shared" si="458"/>
        <v>Pend</v>
      </c>
      <c r="AP1289" t="str">
        <f t="shared" si="459"/>
        <v>Pend</v>
      </c>
      <c r="AQ1289" t="str">
        <f>IFERROR(VLOOKUP(Z1289,InvBal!$L$4:$P$600,4,FALSE),"Pend")</f>
        <v>Pend</v>
      </c>
      <c r="AR1289" t="str">
        <f>IFERROR(VLOOKUP(D1289,Manual!$C$1:$E$22,2,FALSE),"Pend")</f>
        <v>Pend</v>
      </c>
      <c r="AS1289" t="str">
        <f t="shared" si="460"/>
        <v/>
      </c>
      <c r="AT1289" t="str">
        <f t="shared" si="461"/>
        <v/>
      </c>
      <c r="AU1289" s="51" t="str">
        <f t="shared" si="462"/>
        <v/>
      </c>
      <c r="AV1289" s="12">
        <f>IFERROR(VLOOKUP(D1289,'Receivable Invoice Detail'!$S$1:$U$3014,3,FALSE),0)</f>
        <v>0</v>
      </c>
      <c r="AW1289" s="12">
        <f t="shared" si="463"/>
        <v>0</v>
      </c>
    </row>
    <row r="1290" spans="1:49" x14ac:dyDescent="0.25">
      <c r="A1290" s="2">
        <v>0</v>
      </c>
      <c r="B1290" s="2" t="s">
        <v>6241</v>
      </c>
      <c r="C1290" s="2" t="s">
        <v>6242</v>
      </c>
      <c r="D1290" s="2"/>
      <c r="E1290" s="2" t="s">
        <v>146</v>
      </c>
      <c r="F1290" s="3">
        <v>45999.765439814822</v>
      </c>
      <c r="G1290" s="3">
        <v>46002.614594907413</v>
      </c>
      <c r="H1290" s="4">
        <v>46044</v>
      </c>
      <c r="I1290" s="2" t="s">
        <v>36</v>
      </c>
      <c r="J1290" s="2" t="s">
        <v>22</v>
      </c>
      <c r="K1290" s="2">
        <v>1</v>
      </c>
      <c r="L1290" s="2">
        <v>1006.02</v>
      </c>
      <c r="M1290" s="2">
        <v>0</v>
      </c>
      <c r="N1290" s="2">
        <v>730.61042369519976</v>
      </c>
      <c r="O1290" s="2">
        <v>958.11</v>
      </c>
      <c r="P1290" s="2">
        <v>47.91</v>
      </c>
      <c r="Q1290" s="2">
        <v>1006.02</v>
      </c>
      <c r="R1290" s="2" t="s">
        <v>29</v>
      </c>
      <c r="S1290" s="2"/>
      <c r="T1290" s="2">
        <f t="shared" si="442"/>
        <v>0</v>
      </c>
      <c r="U1290" s="18">
        <f t="shared" si="443"/>
        <v>12</v>
      </c>
      <c r="V1290" s="18">
        <f t="shared" si="444"/>
        <v>2025</v>
      </c>
      <c r="W1290" s="18" t="str">
        <f t="shared" si="445"/>
        <v/>
      </c>
      <c r="X1290" s="18" t="str">
        <f t="shared" si="446"/>
        <v/>
      </c>
      <c r="Y1290" s="2">
        <f t="shared" si="447"/>
        <v>0.72623846811713466</v>
      </c>
      <c r="Z1290" t="str">
        <f t="shared" si="448"/>
        <v>SO18381</v>
      </c>
      <c r="AA1290" s="11">
        <f t="shared" si="449"/>
        <v>45999.765439814822</v>
      </c>
      <c r="AB1290" s="5" t="str">
        <f t="shared" si="450"/>
        <v>No Inv</v>
      </c>
      <c r="AC1290" s="5" t="str">
        <f>IFERROR(VLOOKUP(D1290,CAARStatus!$A$2:$AA$1600,22,FALSE),"Not invoiced")</f>
        <v>Not invoiced</v>
      </c>
      <c r="AD1290" s="11" t="str">
        <f>IF(AC1290="Paid",IFERROR(VLOOKUP(D1290,CAARStatus!$A$2:$AA$1600,6,FALSE),"Pending"),"Pending")</f>
        <v>Pending</v>
      </c>
      <c r="AE1290" s="5" t="str">
        <f t="shared" si="451"/>
        <v>8147</v>
      </c>
      <c r="AF1290" s="5" t="str">
        <f t="shared" si="452"/>
        <v>Hyperflo</v>
      </c>
      <c r="AG1290" s="5" t="str">
        <f t="shared" si="453"/>
        <v>CAD</v>
      </c>
      <c r="AH1290" s="5">
        <f t="shared" si="454"/>
        <v>958.11</v>
      </c>
      <c r="AI1290" s="12">
        <f>IF(L1290-N1290=0,VLOOKUP(U1290,rate!A$4:B$15,2,FALSE)*AH1290,IF(AG1290="USD",O1290,AH1290*Y1290))</f>
        <v>695.81633868770791</v>
      </c>
      <c r="AJ1290" s="13">
        <f t="shared" si="455"/>
        <v>0.72623846811713466</v>
      </c>
      <c r="AK1290" s="13">
        <f>-IF(AG1290="CAD",IFERROR(VLOOKUP(D1290,CAARStatus!$A$1:$Y$1600,16,FALSE),0),0)</f>
        <v>0</v>
      </c>
      <c r="AL1290" s="13">
        <f>-IF(AG1290="USD",IFERROR(VLOOKUP(D1290,CAARStatus!$A$1:$Y$1600,11,FALSE),0),0)</f>
        <v>0</v>
      </c>
      <c r="AM1290" s="22">
        <f t="shared" si="456"/>
        <v>958.11</v>
      </c>
      <c r="AN1290" s="12" t="str">
        <f t="shared" si="457"/>
        <v/>
      </c>
      <c r="AO1290" s="12" t="str">
        <f t="shared" si="458"/>
        <v>Pend</v>
      </c>
      <c r="AP1290" t="str">
        <f t="shared" si="459"/>
        <v>Pend</v>
      </c>
      <c r="AQ1290" t="str">
        <f>IFERROR(VLOOKUP(Z1290,InvBal!$L$4:$P$600,4,FALSE),"Pend")</f>
        <v>Pend</v>
      </c>
      <c r="AR1290" t="str">
        <f>IFERROR(VLOOKUP(D1290,Manual!$C$1:$E$22,2,FALSE),"Pend")</f>
        <v>Pend</v>
      </c>
      <c r="AS1290" t="str">
        <f t="shared" si="460"/>
        <v/>
      </c>
      <c r="AT1290" t="str">
        <f t="shared" si="461"/>
        <v/>
      </c>
      <c r="AU1290" s="51" t="str">
        <f t="shared" si="462"/>
        <v/>
      </c>
      <c r="AV1290" s="12">
        <f>IFERROR(VLOOKUP(D1290,'Receivable Invoice Detail'!$S$1:$U$3014,3,FALSE),0)</f>
        <v>0</v>
      </c>
      <c r="AW1290" s="12">
        <f t="shared" si="463"/>
        <v>0</v>
      </c>
    </row>
    <row r="1291" spans="1:49" ht="30" x14ac:dyDescent="0.25">
      <c r="A1291" s="2">
        <v>1</v>
      </c>
      <c r="B1291" s="2" t="s">
        <v>6243</v>
      </c>
      <c r="C1291" s="2" t="s">
        <v>6074</v>
      </c>
      <c r="D1291" s="2" t="s">
        <v>6073</v>
      </c>
      <c r="E1291" s="2" t="s">
        <v>509</v>
      </c>
      <c r="F1291" s="3">
        <v>46000.467442129629</v>
      </c>
      <c r="G1291" s="3">
        <v>46009.45621527778</v>
      </c>
      <c r="H1291" s="4">
        <v>46014</v>
      </c>
      <c r="I1291" s="2" t="s">
        <v>74</v>
      </c>
      <c r="J1291" s="2" t="s">
        <v>22</v>
      </c>
      <c r="K1291" s="2">
        <v>1</v>
      </c>
      <c r="L1291" s="2">
        <v>3024.57</v>
      </c>
      <c r="M1291" s="2">
        <v>0</v>
      </c>
      <c r="N1291" s="2">
        <v>2197.5007878411839</v>
      </c>
      <c r="O1291" s="2">
        <v>2880.54</v>
      </c>
      <c r="P1291" s="2">
        <v>144.03</v>
      </c>
      <c r="Q1291" s="2">
        <v>3024.57</v>
      </c>
      <c r="R1291" s="2" t="s">
        <v>44</v>
      </c>
      <c r="S1291" s="2"/>
      <c r="T1291" s="2">
        <f t="shared" si="442"/>
        <v>1</v>
      </c>
      <c r="U1291" s="18">
        <f t="shared" si="443"/>
        <v>12</v>
      </c>
      <c r="V1291" s="18">
        <f t="shared" si="444"/>
        <v>2025</v>
      </c>
      <c r="W1291" s="18" t="str">
        <f t="shared" si="445"/>
        <v/>
      </c>
      <c r="X1291" s="18" t="str">
        <f t="shared" si="446"/>
        <v/>
      </c>
      <c r="Y1291" s="2">
        <f t="shared" si="447"/>
        <v>0.7265498195912754</v>
      </c>
      <c r="Z1291" t="str">
        <f t="shared" si="448"/>
        <v>SO18383</v>
      </c>
      <c r="AA1291" s="11">
        <f t="shared" si="449"/>
        <v>46000.467442129629</v>
      </c>
      <c r="AB1291" s="5" t="str">
        <f t="shared" si="450"/>
        <v>INV13810</v>
      </c>
      <c r="AC1291" s="5" t="str">
        <f>IFERROR(VLOOKUP(D1291,CAARStatus!$A$2:$AA$1600,22,FALSE),"Not invoiced")</f>
        <v>Approved</v>
      </c>
      <c r="AD1291" s="11" t="str">
        <f>IF(AC1291="Paid",IFERROR(VLOOKUP(D1291,CAARStatus!$A$2:$AA$1600,6,FALSE),"Pending"),"Pending")</f>
        <v>Pending</v>
      </c>
      <c r="AE1291" s="5" t="str">
        <f t="shared" si="451"/>
        <v>PO10260</v>
      </c>
      <c r="AF1291" s="5" t="str">
        <f t="shared" si="452"/>
        <v>Tantalum Mining Corporation of Canada</v>
      </c>
      <c r="AG1291" s="5" t="str">
        <f t="shared" si="453"/>
        <v>CAD</v>
      </c>
      <c r="AH1291" s="5">
        <f t="shared" si="454"/>
        <v>2880.54</v>
      </c>
      <c r="AI1291" s="12">
        <f>IF(L1291-N1291=0,VLOOKUP(U1291,rate!A$4:B$15,2,FALSE)*AH1291,IF(AG1291="USD",O1291,AH1291*Y1291))</f>
        <v>2092.8558173254523</v>
      </c>
      <c r="AJ1291" s="13">
        <f t="shared" si="455"/>
        <v>0.7265498195912754</v>
      </c>
      <c r="AK1291" s="13">
        <f>-IF(AG1291="CAD",IFERROR(VLOOKUP(D1291,CAARStatus!$A$1:$Y$1600,16,FALSE),0),0)</f>
        <v>-2880.54</v>
      </c>
      <c r="AL1291" s="13">
        <f>-IF(AG1291="USD",IFERROR(VLOOKUP(D1291,CAARStatus!$A$1:$Y$1600,11,FALSE),0),0)</f>
        <v>0</v>
      </c>
      <c r="AM1291" s="22">
        <f t="shared" si="456"/>
        <v>0</v>
      </c>
      <c r="AN1291" s="12" t="str">
        <f t="shared" si="457"/>
        <v/>
      </c>
      <c r="AO1291" s="12" t="str">
        <f t="shared" si="458"/>
        <v>Pend</v>
      </c>
      <c r="AP1291" t="str">
        <f t="shared" si="459"/>
        <v>Pend</v>
      </c>
      <c r="AQ1291" t="str">
        <f>IFERROR(VLOOKUP(Z1291,InvBal!$L$4:$P$600,4,FALSE),"Pend")</f>
        <v>Pend</v>
      </c>
      <c r="AR1291" t="str">
        <f>IFERROR(VLOOKUP(D1291,Manual!$C$1:$E$22,2,FALSE),"Pend")</f>
        <v>Pend</v>
      </c>
      <c r="AS1291" t="str">
        <f t="shared" si="460"/>
        <v/>
      </c>
      <c r="AT1291" t="str">
        <f t="shared" si="461"/>
        <v>Yes</v>
      </c>
      <c r="AU1291" s="51" t="str">
        <f t="shared" si="462"/>
        <v/>
      </c>
      <c r="AV1291" s="12">
        <f>IFERROR(VLOOKUP(D1291,'Receivable Invoice Detail'!$S$1:$U$3014,3,FALSE),0)</f>
        <v>0</v>
      </c>
      <c r="AW1291" s="12">
        <f t="shared" si="463"/>
        <v>0</v>
      </c>
    </row>
    <row r="1292" spans="1:49" ht="30" x14ac:dyDescent="0.25">
      <c r="A1292" s="2">
        <v>0</v>
      </c>
      <c r="B1292" s="2" t="s">
        <v>6244</v>
      </c>
      <c r="C1292" s="2" t="s">
        <v>6245</v>
      </c>
      <c r="D1292" s="2"/>
      <c r="E1292" s="2" t="s">
        <v>98</v>
      </c>
      <c r="F1292" s="3">
        <v>46000.563958333332</v>
      </c>
      <c r="G1292" s="3">
        <v>46000.564097222217</v>
      </c>
      <c r="H1292" s="4">
        <v>46003</v>
      </c>
      <c r="I1292" s="2" t="s">
        <v>40</v>
      </c>
      <c r="J1292" s="2" t="s">
        <v>22</v>
      </c>
      <c r="K1292" s="2">
        <v>1</v>
      </c>
      <c r="L1292" s="2">
        <v>2603.27</v>
      </c>
      <c r="M1292" s="2">
        <v>0</v>
      </c>
      <c r="N1292" s="2">
        <v>1881.7095708662609</v>
      </c>
      <c r="O1292" s="2">
        <v>2303.7800000000002</v>
      </c>
      <c r="P1292" s="2">
        <v>299.49</v>
      </c>
      <c r="Q1292" s="2">
        <v>2603.27</v>
      </c>
      <c r="R1292" s="2" t="s">
        <v>23</v>
      </c>
      <c r="S1292" s="2"/>
      <c r="T1292" s="2">
        <f t="shared" si="442"/>
        <v>0</v>
      </c>
      <c r="U1292" s="18">
        <f t="shared" si="443"/>
        <v>12</v>
      </c>
      <c r="V1292" s="18">
        <f t="shared" si="444"/>
        <v>2025</v>
      </c>
      <c r="W1292" s="18" t="str">
        <f t="shared" si="445"/>
        <v/>
      </c>
      <c r="X1292" s="18" t="str">
        <f t="shared" si="446"/>
        <v/>
      </c>
      <c r="Y1292" s="2">
        <f t="shared" si="447"/>
        <v>0.72282535844006224</v>
      </c>
      <c r="Z1292" t="str">
        <f t="shared" si="448"/>
        <v>SO18384</v>
      </c>
      <c r="AA1292" s="11">
        <f t="shared" si="449"/>
        <v>46000.563958333332</v>
      </c>
      <c r="AB1292" s="5" t="str">
        <f t="shared" si="450"/>
        <v>No Inv</v>
      </c>
      <c r="AC1292" s="5" t="str">
        <f>IFERROR(VLOOKUP(D1292,CAARStatus!$A$2:$AA$1600,22,FALSE),"Not invoiced")</f>
        <v>Not invoiced</v>
      </c>
      <c r="AD1292" s="11" t="str">
        <f>IF(AC1292="Paid",IFERROR(VLOOKUP(D1292,CAARStatus!$A$2:$AA$1600,6,FALSE),"Pending"),"Pending")</f>
        <v>Pending</v>
      </c>
      <c r="AE1292" s="5" t="str">
        <f t="shared" si="451"/>
        <v>PO-008497</v>
      </c>
      <c r="AF1292" s="5" t="str">
        <f t="shared" si="452"/>
        <v>Sling-Choker Manufacturing - Timmins</v>
      </c>
      <c r="AG1292" s="5" t="str">
        <f t="shared" si="453"/>
        <v>CAD</v>
      </c>
      <c r="AH1292" s="5">
        <f t="shared" si="454"/>
        <v>2303.7800000000002</v>
      </c>
      <c r="AI1292" s="12">
        <f>IF(L1292-N1292=0,VLOOKUP(U1292,rate!A$4:B$15,2,FALSE)*AH1292,IF(AG1292="USD",O1292,AH1292*Y1292))</f>
        <v>1665.2306042670468</v>
      </c>
      <c r="AJ1292" s="13">
        <f t="shared" si="455"/>
        <v>0.72282535844006224</v>
      </c>
      <c r="AK1292" s="13">
        <f>-IF(AG1292="CAD",IFERROR(VLOOKUP(D1292,CAARStatus!$A$1:$Y$1600,16,FALSE),0),0)</f>
        <v>0</v>
      </c>
      <c r="AL1292" s="13">
        <f>-IF(AG1292="USD",IFERROR(VLOOKUP(D1292,CAARStatus!$A$1:$Y$1600,11,FALSE),0),0)</f>
        <v>0</v>
      </c>
      <c r="AM1292" s="22">
        <f t="shared" si="456"/>
        <v>2303.7800000000002</v>
      </c>
      <c r="AN1292" s="12" t="str">
        <f t="shared" si="457"/>
        <v/>
      </c>
      <c r="AO1292" s="12" t="str">
        <f t="shared" si="458"/>
        <v>Pend</v>
      </c>
      <c r="AP1292" t="str">
        <f t="shared" si="459"/>
        <v>Pend</v>
      </c>
      <c r="AQ1292" t="str">
        <f>IFERROR(VLOOKUP(Z1292,InvBal!$L$4:$P$600,4,FALSE),"Pend")</f>
        <v>Pend</v>
      </c>
      <c r="AR1292" t="str">
        <f>IFERROR(VLOOKUP(D1292,Manual!$C$1:$E$22,2,FALSE),"Pend")</f>
        <v>Pend</v>
      </c>
      <c r="AS1292" t="str">
        <f t="shared" si="460"/>
        <v/>
      </c>
      <c r="AT1292" t="str">
        <f t="shared" si="461"/>
        <v/>
      </c>
      <c r="AU1292" s="51" t="str">
        <f t="shared" si="462"/>
        <v/>
      </c>
      <c r="AV1292" s="12">
        <f>IFERROR(VLOOKUP(D1292,'Receivable Invoice Detail'!$S$1:$U$3014,3,FALSE),0)</f>
        <v>0</v>
      </c>
      <c r="AW1292" s="12">
        <f t="shared" si="463"/>
        <v>0</v>
      </c>
    </row>
    <row r="1293" spans="1:49" ht="30" x14ac:dyDescent="0.25">
      <c r="A1293" s="2">
        <v>1</v>
      </c>
      <c r="B1293" s="2" t="s">
        <v>6246</v>
      </c>
      <c r="C1293" s="2" t="s">
        <v>6004</v>
      </c>
      <c r="D1293" s="2" t="s">
        <v>6003</v>
      </c>
      <c r="E1293" s="2" t="s">
        <v>35</v>
      </c>
      <c r="F1293" s="3">
        <v>46000.614212962973</v>
      </c>
      <c r="G1293" s="3">
        <v>46000.614490740743</v>
      </c>
      <c r="H1293" s="4">
        <v>46007</v>
      </c>
      <c r="I1293" s="2" t="s">
        <v>36</v>
      </c>
      <c r="J1293" s="2" t="s">
        <v>22</v>
      </c>
      <c r="K1293" s="2">
        <v>1</v>
      </c>
      <c r="L1293" s="2">
        <v>878.69</v>
      </c>
      <c r="M1293" s="2">
        <v>0</v>
      </c>
      <c r="N1293" s="2">
        <v>635.13941420769856</v>
      </c>
      <c r="O1293" s="2">
        <v>836.85</v>
      </c>
      <c r="P1293" s="2">
        <v>41.84</v>
      </c>
      <c r="Q1293" s="2">
        <v>878.69</v>
      </c>
      <c r="R1293" s="2" t="s">
        <v>44</v>
      </c>
      <c r="S1293" s="2"/>
      <c r="T1293" s="2">
        <f t="shared" ref="T1293:T1337" si="464">IF(A1293="",T1292,A1293)</f>
        <v>1</v>
      </c>
      <c r="U1293" s="18">
        <f t="shared" ref="U1293:U1337" si="465">IF(F1293="",U1292,MONTH(F1293))</f>
        <v>12</v>
      </c>
      <c r="V1293" s="18">
        <f t="shared" ref="V1293:V1337" si="466">IF(F1293="",V1292,YEAR(F1293))</f>
        <v>2025</v>
      </c>
      <c r="W1293" s="18" t="str">
        <f t="shared" ref="W1293:W1337" si="467">IF(AC1293="Paid",MONTH(AD1293),"")</f>
        <v/>
      </c>
      <c r="X1293" s="18" t="str">
        <f t="shared" ref="X1293:X1337" si="468">IF(AC1293="Paid",YEAR(AD1293),"")</f>
        <v/>
      </c>
      <c r="Y1293" s="2">
        <f t="shared" ref="Y1293:Y1337" si="469">IF(C1293="",Y1292,N1293/L1293)</f>
        <v>0.72282535844006246</v>
      </c>
      <c r="Z1293" t="str">
        <f t="shared" ref="Z1293:Z1337" si="470">IF(B1293="",Z1292,B1293)</f>
        <v>SO18385</v>
      </c>
      <c r="AA1293" s="11">
        <f t="shared" ref="AA1293:AA1337" si="471">IF(F1293="",AA1292,F1293)</f>
        <v>46000.614212962973</v>
      </c>
      <c r="AB1293" s="5" t="str">
        <f t="shared" ref="AB1293:AB1337" si="472">IF(D1293="","No Inv",D1293)</f>
        <v>INV13766</v>
      </c>
      <c r="AC1293" s="5" t="str">
        <f>IFERROR(VLOOKUP(D1293,CAARStatus!$A$2:$AA$1600,22,FALSE),"Not invoiced")</f>
        <v>Approved</v>
      </c>
      <c r="AD1293" s="11" t="str">
        <f>IF(AC1293="Paid",IFERROR(VLOOKUP(D1293,CAARStatus!$A$2:$AA$1600,6,FALSE),"Pending"),"Pending")</f>
        <v>Pending</v>
      </c>
      <c r="AE1293" s="5" t="str">
        <f t="shared" ref="AE1293:AE1337" si="473">IF(C1293="",AE1292,C1293)</f>
        <v>PO14275</v>
      </c>
      <c r="AF1293" s="5" t="str">
        <f t="shared" ref="AF1293:AF1337" si="474">IF(E1293="",AF1292,E1293)</f>
        <v>Manufacture Sling-Choker (Val-d’Or) Ltée</v>
      </c>
      <c r="AG1293" s="5" t="str">
        <f t="shared" ref="AG1293:AG1337" si="475">IF(J1293="",AG1292,J1293)</f>
        <v>CAD</v>
      </c>
      <c r="AH1293" s="5">
        <f t="shared" ref="AH1293:AH1337" si="476">IFERROR(IF(AG1293="CAD",O1293,O1293/K1293),0)</f>
        <v>836.85</v>
      </c>
      <c r="AI1293" s="12">
        <f>IF(L1293-N1293=0,VLOOKUP(U1293,rate!A$4:B$15,2,FALSE)*AH1293,IF(AG1293="USD",O1293,AH1293*Y1293))</f>
        <v>604.8964012105663</v>
      </c>
      <c r="AJ1293" s="13">
        <f t="shared" ref="AJ1293:AJ1337" si="477">IFERROR(AI1293/AH1293,0)</f>
        <v>0.72282535844006246</v>
      </c>
      <c r="AK1293" s="13">
        <f>-IF(AG1293="CAD",IFERROR(VLOOKUP(D1293,CAARStatus!$A$1:$Y$1600,16,FALSE),0),0)</f>
        <v>-836.85</v>
      </c>
      <c r="AL1293" s="13">
        <f>-IF(AG1293="USD",IFERROR(VLOOKUP(D1293,CAARStatus!$A$1:$Y$1600,11,FALSE),0),0)</f>
        <v>0</v>
      </c>
      <c r="AM1293" s="22">
        <f t="shared" ref="AM1293:AM1337" si="478">IF(AG1293="CAD",AH1293+AK1293,"")</f>
        <v>0</v>
      </c>
      <c r="AN1293" s="12" t="str">
        <f t="shared" ref="AN1293:AN1337" si="479">IF(AG1293="USD",AI1293+AL1293,"")</f>
        <v/>
      </c>
      <c r="AO1293" s="12" t="str">
        <f t="shared" ref="AO1293:AO1337" si="480">IF(AC1293="Paid","Yes","Pend")</f>
        <v>Pend</v>
      </c>
      <c r="AP1293" t="str">
        <f t="shared" ref="AP1293:AP1337" si="481">IF(AND(AO1293="Pend",T1293&lt;2),"Pend",IF(T1293=1,"Yes","XX"))</f>
        <v>Pend</v>
      </c>
      <c r="AQ1293" t="str">
        <f>IFERROR(VLOOKUP(Z1293,InvBal!$L$4:$P$600,4,FALSE),"Pend")</f>
        <v>Pend</v>
      </c>
      <c r="AR1293" t="str">
        <f>IFERROR(VLOOKUP(D1293,Manual!$C$1:$E$22,2,FALSE),"Pend")</f>
        <v>Pend</v>
      </c>
      <c r="AS1293" t="str">
        <f t="shared" ref="AS1293:AS1337" si="482">IF(OR(AP1293="Yes",AQ1293="Yes",AR1293="Yes"),"Yes","")</f>
        <v/>
      </c>
      <c r="AT1293" t="str">
        <f t="shared" ref="AT1293:AT1337" si="483">IF(R1293="Delivered","Yes","")</f>
        <v>Yes</v>
      </c>
      <c r="AU1293" s="51" t="str">
        <f t="shared" ref="AU1293:AU1337" si="484">IF(AND(AS1293="Yes",AT1293="Yes"),"Yes","")</f>
        <v/>
      </c>
      <c r="AV1293" s="12">
        <f>IFERROR(VLOOKUP(D1293,'Receivable Invoice Detail'!$S$1:$U$3014,3,FALSE),0)</f>
        <v>0</v>
      </c>
      <c r="AW1293" s="12">
        <f t="shared" ref="AW1293:AW1337" si="485">IF(AU1293="Yes",AI1293-AV1293,0)</f>
        <v>0</v>
      </c>
    </row>
    <row r="1294" spans="1:49" ht="30" x14ac:dyDescent="0.25">
      <c r="A1294" s="2">
        <v>0</v>
      </c>
      <c r="B1294" s="2" t="s">
        <v>6247</v>
      </c>
      <c r="C1294" s="2" t="s">
        <v>6248</v>
      </c>
      <c r="D1294" s="2"/>
      <c r="E1294" s="2" t="s">
        <v>20</v>
      </c>
      <c r="F1294" s="3">
        <v>46001.452245370368</v>
      </c>
      <c r="G1294" s="3">
        <v>46001.452326388891</v>
      </c>
      <c r="H1294" s="4">
        <v>46085</v>
      </c>
      <c r="I1294" s="2" t="s">
        <v>21</v>
      </c>
      <c r="J1294" s="2" t="s">
        <v>22</v>
      </c>
      <c r="K1294" s="2">
        <v>1</v>
      </c>
      <c r="L1294" s="2">
        <v>5085.2700000000004</v>
      </c>
      <c r="M1294" s="2">
        <v>0</v>
      </c>
      <c r="N1294" s="2">
        <v>3675.4738016684319</v>
      </c>
      <c r="O1294" s="2">
        <v>4843.1099999999997</v>
      </c>
      <c r="P1294" s="2">
        <v>242.16</v>
      </c>
      <c r="Q1294" s="2">
        <v>5085.2700000000004</v>
      </c>
      <c r="R1294" s="2" t="s">
        <v>29</v>
      </c>
      <c r="S1294" s="2"/>
      <c r="T1294" s="2">
        <f t="shared" si="464"/>
        <v>0</v>
      </c>
      <c r="U1294" s="18">
        <f t="shared" si="465"/>
        <v>12</v>
      </c>
      <c r="V1294" s="18">
        <f t="shared" si="466"/>
        <v>2025</v>
      </c>
      <c r="W1294" s="18" t="str">
        <f t="shared" si="467"/>
        <v/>
      </c>
      <c r="X1294" s="18" t="str">
        <f t="shared" si="468"/>
        <v/>
      </c>
      <c r="Y1294" s="2">
        <f t="shared" si="469"/>
        <v>0.72276866354558</v>
      </c>
      <c r="Z1294" t="str">
        <f t="shared" si="470"/>
        <v>SO18388</v>
      </c>
      <c r="AA1294" s="11">
        <f t="shared" si="471"/>
        <v>46001.452245370368</v>
      </c>
      <c r="AB1294" s="5" t="str">
        <f t="shared" si="472"/>
        <v>No Inv</v>
      </c>
      <c r="AC1294" s="5" t="str">
        <f>IFERROR(VLOOKUP(D1294,CAARStatus!$A$2:$AA$1600,22,FALSE),"Not invoiced")</f>
        <v>Not invoiced</v>
      </c>
      <c r="AD1294" s="11" t="str">
        <f>IF(AC1294="Paid",IFERROR(VLOOKUP(D1294,CAARStatus!$A$2:$AA$1600,6,FALSE),"Pending"),"Pending")</f>
        <v>Pending</v>
      </c>
      <c r="AE1294" s="5" t="str">
        <f t="shared" si="473"/>
        <v>4500625954</v>
      </c>
      <c r="AF1294" s="5" t="str">
        <f t="shared" si="474"/>
        <v>Resolute Forest Products - Saint-Felicien</v>
      </c>
      <c r="AG1294" s="5" t="str">
        <f t="shared" si="475"/>
        <v>CAD</v>
      </c>
      <c r="AH1294" s="5">
        <f t="shared" si="476"/>
        <v>4843.1099999999997</v>
      </c>
      <c r="AI1294" s="12">
        <f>IF(L1294-N1294=0,VLOOKUP(U1294,rate!A$4:B$15,2,FALSE)*AH1294,IF(AG1294="USD",O1294,AH1294*Y1294))</f>
        <v>3500.4481421042337</v>
      </c>
      <c r="AJ1294" s="13">
        <f t="shared" si="477"/>
        <v>0.72276866354558</v>
      </c>
      <c r="AK1294" s="13">
        <f>-IF(AG1294="CAD",IFERROR(VLOOKUP(D1294,CAARStatus!$A$1:$Y$1600,16,FALSE),0),0)</f>
        <v>0</v>
      </c>
      <c r="AL1294" s="13">
        <f>-IF(AG1294="USD",IFERROR(VLOOKUP(D1294,CAARStatus!$A$1:$Y$1600,11,FALSE),0),0)</f>
        <v>0</v>
      </c>
      <c r="AM1294" s="22">
        <f t="shared" si="478"/>
        <v>4843.1099999999997</v>
      </c>
      <c r="AN1294" s="12" t="str">
        <f t="shared" si="479"/>
        <v/>
      </c>
      <c r="AO1294" s="12" t="str">
        <f t="shared" si="480"/>
        <v>Pend</v>
      </c>
      <c r="AP1294" t="str">
        <f t="shared" si="481"/>
        <v>Pend</v>
      </c>
      <c r="AQ1294" t="str">
        <f>IFERROR(VLOOKUP(Z1294,InvBal!$L$4:$P$600,4,FALSE),"Pend")</f>
        <v>Pend</v>
      </c>
      <c r="AR1294" t="str">
        <f>IFERROR(VLOOKUP(D1294,Manual!$C$1:$E$22,2,FALSE),"Pend")</f>
        <v>Pend</v>
      </c>
      <c r="AS1294" t="str">
        <f t="shared" si="482"/>
        <v/>
      </c>
      <c r="AT1294" t="str">
        <f t="shared" si="483"/>
        <v/>
      </c>
      <c r="AU1294" s="51" t="str">
        <f t="shared" si="484"/>
        <v/>
      </c>
      <c r="AV1294" s="12">
        <f>IFERROR(VLOOKUP(D1294,'Receivable Invoice Detail'!$S$1:$U$3014,3,FALSE),0)</f>
        <v>0</v>
      </c>
      <c r="AW1294" s="12">
        <f t="shared" si="485"/>
        <v>0</v>
      </c>
    </row>
    <row r="1295" spans="1:49" ht="30" x14ac:dyDescent="0.25">
      <c r="A1295" s="2">
        <v>1</v>
      </c>
      <c r="B1295" s="2" t="s">
        <v>6249</v>
      </c>
      <c r="C1295" s="2" t="s">
        <v>6009</v>
      </c>
      <c r="D1295" s="2" t="s">
        <v>6008</v>
      </c>
      <c r="E1295" s="2" t="s">
        <v>20</v>
      </c>
      <c r="F1295" s="3">
        <v>46001.492986111109</v>
      </c>
      <c r="G1295" s="3">
        <v>46002.54515046296</v>
      </c>
      <c r="H1295" s="4">
        <v>46005</v>
      </c>
      <c r="I1295" s="2" t="s">
        <v>21</v>
      </c>
      <c r="J1295" s="2" t="s">
        <v>22</v>
      </c>
      <c r="K1295" s="2">
        <v>1</v>
      </c>
      <c r="L1295" s="2">
        <v>418.03</v>
      </c>
      <c r="M1295" s="2">
        <v>0</v>
      </c>
      <c r="N1295" s="2">
        <v>303.58946682700582</v>
      </c>
      <c r="O1295" s="2">
        <v>398.12</v>
      </c>
      <c r="P1295" s="2">
        <v>19.91</v>
      </c>
      <c r="Q1295" s="2">
        <v>418.03</v>
      </c>
      <c r="R1295" s="2" t="s">
        <v>44</v>
      </c>
      <c r="S1295" s="2"/>
      <c r="T1295" s="2">
        <f t="shared" si="464"/>
        <v>1</v>
      </c>
      <c r="U1295" s="18">
        <f t="shared" si="465"/>
        <v>12</v>
      </c>
      <c r="V1295" s="18">
        <f t="shared" si="466"/>
        <v>2025</v>
      </c>
      <c r="W1295" s="18" t="str">
        <f t="shared" si="467"/>
        <v/>
      </c>
      <c r="X1295" s="18" t="str">
        <f t="shared" si="468"/>
        <v/>
      </c>
      <c r="Y1295" s="2">
        <f t="shared" si="469"/>
        <v>0.72623846811713477</v>
      </c>
      <c r="Z1295" t="str">
        <f t="shared" si="470"/>
        <v>SO18389</v>
      </c>
      <c r="AA1295" s="11">
        <f t="shared" si="471"/>
        <v>46001.492986111109</v>
      </c>
      <c r="AB1295" s="5" t="str">
        <f t="shared" si="472"/>
        <v>INV13768</v>
      </c>
      <c r="AC1295" s="5" t="str">
        <f>IFERROR(VLOOKUP(D1295,CAARStatus!$A$2:$AA$1600,22,FALSE),"Not invoiced")</f>
        <v>Approved</v>
      </c>
      <c r="AD1295" s="11" t="str">
        <f>IF(AC1295="Paid",IFERROR(VLOOKUP(D1295,CAARStatus!$A$2:$AA$1600,6,FALSE),"Pending"),"Pending")</f>
        <v>Pending</v>
      </c>
      <c r="AE1295" s="5" t="str">
        <f t="shared" si="473"/>
        <v>4500625971</v>
      </c>
      <c r="AF1295" s="5" t="str">
        <f t="shared" si="474"/>
        <v>Resolute Forest Products - Saint-Felicien</v>
      </c>
      <c r="AG1295" s="5" t="str">
        <f t="shared" si="475"/>
        <v>CAD</v>
      </c>
      <c r="AH1295" s="5">
        <f t="shared" si="476"/>
        <v>398.12</v>
      </c>
      <c r="AI1295" s="12">
        <f>IF(L1295-N1295=0,VLOOKUP(U1295,rate!A$4:B$15,2,FALSE)*AH1295,IF(AG1295="USD",O1295,AH1295*Y1295))</f>
        <v>289.13005892679371</v>
      </c>
      <c r="AJ1295" s="13">
        <f t="shared" si="477"/>
        <v>0.72623846811713477</v>
      </c>
      <c r="AK1295" s="13">
        <f>-IF(AG1295="CAD",IFERROR(VLOOKUP(D1295,CAARStatus!$A$1:$Y$1600,16,FALSE),0),0)</f>
        <v>-398.12</v>
      </c>
      <c r="AL1295" s="13">
        <f>-IF(AG1295="USD",IFERROR(VLOOKUP(D1295,CAARStatus!$A$1:$Y$1600,11,FALSE),0),0)</f>
        <v>0</v>
      </c>
      <c r="AM1295" s="22">
        <f t="shared" si="478"/>
        <v>0</v>
      </c>
      <c r="AN1295" s="12" t="str">
        <f t="shared" si="479"/>
        <v/>
      </c>
      <c r="AO1295" s="12" t="str">
        <f t="shared" si="480"/>
        <v>Pend</v>
      </c>
      <c r="AP1295" t="str">
        <f t="shared" si="481"/>
        <v>Pend</v>
      </c>
      <c r="AQ1295" t="str">
        <f>IFERROR(VLOOKUP(Z1295,InvBal!$L$4:$P$600,4,FALSE),"Pend")</f>
        <v>Pend</v>
      </c>
      <c r="AR1295" t="str">
        <f>IFERROR(VLOOKUP(D1295,Manual!$C$1:$E$22,2,FALSE),"Pend")</f>
        <v>Pend</v>
      </c>
      <c r="AS1295" t="str">
        <f t="shared" si="482"/>
        <v/>
      </c>
      <c r="AT1295" t="str">
        <f t="shared" si="483"/>
        <v>Yes</v>
      </c>
      <c r="AU1295" s="51" t="str">
        <f t="shared" si="484"/>
        <v/>
      </c>
      <c r="AV1295" s="12">
        <f>IFERROR(VLOOKUP(D1295,'Receivable Invoice Detail'!$S$1:$U$3014,3,FALSE),0)</f>
        <v>0</v>
      </c>
      <c r="AW1295" s="12">
        <f t="shared" si="485"/>
        <v>0</v>
      </c>
    </row>
    <row r="1296" spans="1:49" x14ac:dyDescent="0.25">
      <c r="A1296" s="2">
        <v>1</v>
      </c>
      <c r="B1296" s="2" t="s">
        <v>6250</v>
      </c>
      <c r="C1296" s="2" t="s">
        <v>6035</v>
      </c>
      <c r="D1296" s="2" t="s">
        <v>6034</v>
      </c>
      <c r="E1296" s="2" t="s">
        <v>77</v>
      </c>
      <c r="F1296" s="3">
        <v>46001.559606481482</v>
      </c>
      <c r="G1296" s="3">
        <v>46007.446099537039</v>
      </c>
      <c r="H1296" s="4">
        <v>46013</v>
      </c>
      <c r="I1296" s="2" t="s">
        <v>36</v>
      </c>
      <c r="J1296" s="2" t="s">
        <v>22</v>
      </c>
      <c r="K1296" s="2">
        <v>1</v>
      </c>
      <c r="L1296" s="2">
        <v>367.91</v>
      </c>
      <c r="M1296" s="2">
        <v>0</v>
      </c>
      <c r="N1296" s="2">
        <v>267.58481294991691</v>
      </c>
      <c r="O1296" s="2">
        <v>350.39</v>
      </c>
      <c r="P1296" s="2">
        <v>17.52</v>
      </c>
      <c r="Q1296" s="2">
        <v>367.91</v>
      </c>
      <c r="R1296" s="2" t="s">
        <v>44</v>
      </c>
      <c r="S1296" s="2"/>
      <c r="T1296" s="2">
        <f t="shared" si="464"/>
        <v>1</v>
      </c>
      <c r="U1296" s="18">
        <f t="shared" si="465"/>
        <v>12</v>
      </c>
      <c r="V1296" s="18">
        <f t="shared" si="466"/>
        <v>2025</v>
      </c>
      <c r="W1296" s="18" t="str">
        <f t="shared" si="467"/>
        <v/>
      </c>
      <c r="X1296" s="18" t="str">
        <f t="shared" si="468"/>
        <v/>
      </c>
      <c r="Y1296" s="2">
        <f t="shared" si="469"/>
        <v>0.72731051874077057</v>
      </c>
      <c r="Z1296" t="str">
        <f t="shared" si="470"/>
        <v>SO18392</v>
      </c>
      <c r="AA1296" s="11">
        <f t="shared" si="471"/>
        <v>46001.559606481482</v>
      </c>
      <c r="AB1296" s="5" t="str">
        <f t="shared" si="472"/>
        <v>INV13786</v>
      </c>
      <c r="AC1296" s="5" t="str">
        <f>IFERROR(VLOOKUP(D1296,CAARStatus!$A$2:$AA$1600,22,FALSE),"Not invoiced")</f>
        <v>Approved</v>
      </c>
      <c r="AD1296" s="11" t="str">
        <f>IF(AC1296="Paid",IFERROR(VLOOKUP(D1296,CAARStatus!$A$2:$AA$1600,6,FALSE),"Pending"),"Pending")</f>
        <v>Pending</v>
      </c>
      <c r="AE1296" s="5" t="str">
        <f t="shared" si="473"/>
        <v>PO-40-1020047</v>
      </c>
      <c r="AF1296" s="5" t="str">
        <f t="shared" si="474"/>
        <v>Canadian Bearings Ltd.</v>
      </c>
      <c r="AG1296" s="5" t="str">
        <f t="shared" si="475"/>
        <v>CAD</v>
      </c>
      <c r="AH1296" s="5">
        <f t="shared" si="476"/>
        <v>350.39</v>
      </c>
      <c r="AI1296" s="12">
        <f>IF(L1296-N1296=0,VLOOKUP(U1296,rate!A$4:B$15,2,FALSE)*AH1296,IF(AG1296="USD",O1296,AH1296*Y1296))</f>
        <v>254.84233266157858</v>
      </c>
      <c r="AJ1296" s="13">
        <f t="shared" si="477"/>
        <v>0.72731051874077057</v>
      </c>
      <c r="AK1296" s="13">
        <f>-IF(AG1296="CAD",IFERROR(VLOOKUP(D1296,CAARStatus!$A$1:$Y$1600,16,FALSE),0),0)</f>
        <v>-350.39</v>
      </c>
      <c r="AL1296" s="13">
        <f>-IF(AG1296="USD",IFERROR(VLOOKUP(D1296,CAARStatus!$A$1:$Y$1600,11,FALSE),0),0)</f>
        <v>0</v>
      </c>
      <c r="AM1296" s="22">
        <f t="shared" si="478"/>
        <v>0</v>
      </c>
      <c r="AN1296" s="12" t="str">
        <f t="shared" si="479"/>
        <v/>
      </c>
      <c r="AO1296" s="12" t="str">
        <f t="shared" si="480"/>
        <v>Pend</v>
      </c>
      <c r="AP1296" t="str">
        <f t="shared" si="481"/>
        <v>Pend</v>
      </c>
      <c r="AQ1296" t="str">
        <f>IFERROR(VLOOKUP(Z1296,InvBal!$L$4:$P$600,4,FALSE),"Pend")</f>
        <v>Pend</v>
      </c>
      <c r="AR1296" t="str">
        <f>IFERROR(VLOOKUP(D1296,Manual!$C$1:$E$22,2,FALSE),"Pend")</f>
        <v>Pend</v>
      </c>
      <c r="AS1296" t="str">
        <f t="shared" si="482"/>
        <v/>
      </c>
      <c r="AT1296" t="str">
        <f t="shared" si="483"/>
        <v>Yes</v>
      </c>
      <c r="AU1296" s="51" t="str">
        <f t="shared" si="484"/>
        <v/>
      </c>
      <c r="AV1296" s="12">
        <f>IFERROR(VLOOKUP(D1296,'Receivable Invoice Detail'!$S$1:$U$3014,3,FALSE),0)</f>
        <v>0</v>
      </c>
      <c r="AW1296" s="12">
        <f t="shared" si="485"/>
        <v>0</v>
      </c>
    </row>
    <row r="1297" spans="1:49" ht="30" x14ac:dyDescent="0.25">
      <c r="A1297" s="2">
        <v>0</v>
      </c>
      <c r="B1297" s="2" t="s">
        <v>6251</v>
      </c>
      <c r="C1297" s="2" t="s">
        <v>6252</v>
      </c>
      <c r="D1297" s="2"/>
      <c r="E1297" s="2" t="s">
        <v>129</v>
      </c>
      <c r="F1297" s="3">
        <v>46001.707303240742</v>
      </c>
      <c r="G1297" s="3">
        <v>46001.707314814812</v>
      </c>
      <c r="H1297" s="4">
        <v>46053</v>
      </c>
      <c r="I1297" s="2" t="s">
        <v>130</v>
      </c>
      <c r="J1297" s="2" t="s">
        <v>51</v>
      </c>
      <c r="K1297" s="2">
        <v>0.72282535844006246</v>
      </c>
      <c r="L1297" s="2">
        <v>15909.79047112885</v>
      </c>
      <c r="M1297" s="2">
        <v>0</v>
      </c>
      <c r="N1297" s="2">
        <v>11500</v>
      </c>
      <c r="O1297" s="2">
        <v>11500</v>
      </c>
      <c r="P1297" s="2"/>
      <c r="Q1297" s="2">
        <v>11500</v>
      </c>
      <c r="R1297" s="2" t="s">
        <v>29</v>
      </c>
      <c r="S1297" s="2"/>
      <c r="T1297" s="2">
        <f t="shared" si="464"/>
        <v>0</v>
      </c>
      <c r="U1297" s="18">
        <f t="shared" si="465"/>
        <v>12</v>
      </c>
      <c r="V1297" s="18">
        <f t="shared" si="466"/>
        <v>2025</v>
      </c>
      <c r="W1297" s="18" t="str">
        <f t="shared" si="467"/>
        <v/>
      </c>
      <c r="X1297" s="18" t="str">
        <f t="shared" si="468"/>
        <v/>
      </c>
      <c r="Y1297" s="2">
        <f t="shared" si="469"/>
        <v>0.72282535844006235</v>
      </c>
      <c r="Z1297" t="str">
        <f t="shared" si="470"/>
        <v>SO18395</v>
      </c>
      <c r="AA1297" s="11">
        <f t="shared" si="471"/>
        <v>46001.707303240742</v>
      </c>
      <c r="AB1297" s="5" t="str">
        <f t="shared" si="472"/>
        <v>No Inv</v>
      </c>
      <c r="AC1297" s="5" t="str">
        <f>IFERROR(VLOOKUP(D1297,CAARStatus!$A$2:$AA$1600,22,FALSE),"Not invoiced")</f>
        <v>Not invoiced</v>
      </c>
      <c r="AD1297" s="11" t="str">
        <f>IF(AC1297="Paid",IFERROR(VLOOKUP(D1297,CAARStatus!$A$2:$AA$1600,6,FALSE),"Pending"),"Pending")</f>
        <v>Pending</v>
      </c>
      <c r="AE1297" s="5" t="str">
        <f t="shared" si="473"/>
        <v>OC00241</v>
      </c>
      <c r="AF1297" s="5" t="str">
        <f t="shared" si="474"/>
        <v>Dynapro Pumps México S de RL de CV</v>
      </c>
      <c r="AG1297" s="5" t="str">
        <f t="shared" si="475"/>
        <v>USD</v>
      </c>
      <c r="AH1297" s="5">
        <f t="shared" si="476"/>
        <v>15909.790471128848</v>
      </c>
      <c r="AI1297" s="12">
        <f>IF(L1297-N1297=0,VLOOKUP(U1297,rate!A$4:B$15,2,FALSE)*AH1297,IF(AG1297="USD",O1297,AH1297*Y1297))</f>
        <v>11500</v>
      </c>
      <c r="AJ1297" s="13">
        <f t="shared" si="477"/>
        <v>0.72282535844006246</v>
      </c>
      <c r="AK1297" s="13">
        <f>-IF(AG1297="CAD",IFERROR(VLOOKUP(D1297,CAARStatus!$A$1:$Y$1600,16,FALSE),0),0)</f>
        <v>0</v>
      </c>
      <c r="AL1297" s="13">
        <f>-IF(AG1297="USD",IFERROR(VLOOKUP(D1297,CAARStatus!$A$1:$Y$1600,11,FALSE),0),0)</f>
        <v>0</v>
      </c>
      <c r="AM1297" s="22" t="str">
        <f t="shared" si="478"/>
        <v/>
      </c>
      <c r="AN1297" s="12">
        <f t="shared" si="479"/>
        <v>11500</v>
      </c>
      <c r="AO1297" s="12" t="str">
        <f t="shared" si="480"/>
        <v>Pend</v>
      </c>
      <c r="AP1297" t="str">
        <f t="shared" si="481"/>
        <v>Pend</v>
      </c>
      <c r="AQ1297" t="str">
        <f>IFERROR(VLOOKUP(Z1297,InvBal!$L$4:$P$600,4,FALSE),"Pend")</f>
        <v>Pend</v>
      </c>
      <c r="AR1297" t="str">
        <f>IFERROR(VLOOKUP(D1297,Manual!$C$1:$E$22,2,FALSE),"Pend")</f>
        <v>Pend</v>
      </c>
      <c r="AS1297" t="str">
        <f t="shared" si="482"/>
        <v/>
      </c>
      <c r="AT1297" t="str">
        <f t="shared" si="483"/>
        <v/>
      </c>
      <c r="AU1297" s="51" t="str">
        <f t="shared" si="484"/>
        <v/>
      </c>
      <c r="AV1297" s="12">
        <f>IFERROR(VLOOKUP(D1297,'Receivable Invoice Detail'!$S$1:$U$3014,3,FALSE),0)</f>
        <v>0</v>
      </c>
      <c r="AW1297" s="12">
        <f t="shared" si="485"/>
        <v>0</v>
      </c>
    </row>
    <row r="1298" spans="1:49" x14ac:dyDescent="0.25">
      <c r="A1298" s="2">
        <v>1</v>
      </c>
      <c r="B1298" s="2" t="s">
        <v>6253</v>
      </c>
      <c r="C1298" s="2" t="s">
        <v>6060</v>
      </c>
      <c r="D1298" s="2" t="s">
        <v>6059</v>
      </c>
      <c r="E1298" s="2" t="s">
        <v>1881</v>
      </c>
      <c r="F1298" s="3">
        <v>46002.493900462963</v>
      </c>
      <c r="G1298" s="3">
        <v>46006.417094907411</v>
      </c>
      <c r="H1298" s="2"/>
      <c r="I1298" s="2" t="s">
        <v>40</v>
      </c>
      <c r="J1298" s="2" t="s">
        <v>22</v>
      </c>
      <c r="K1298" s="2">
        <v>1</v>
      </c>
      <c r="L1298" s="2">
        <v>1434.24</v>
      </c>
      <c r="M1298" s="2">
        <v>0</v>
      </c>
      <c r="N1298" s="2">
        <v>1041.8463102389121</v>
      </c>
      <c r="O1298" s="2">
        <v>1269.24</v>
      </c>
      <c r="P1298" s="2">
        <v>165</v>
      </c>
      <c r="Q1298" s="2">
        <v>1434.24</v>
      </c>
      <c r="R1298" s="2" t="s">
        <v>29</v>
      </c>
      <c r="S1298" s="2"/>
      <c r="T1298" s="2">
        <f t="shared" si="464"/>
        <v>1</v>
      </c>
      <c r="U1298" s="18">
        <f t="shared" si="465"/>
        <v>12</v>
      </c>
      <c r="V1298" s="18">
        <f t="shared" si="466"/>
        <v>2025</v>
      </c>
      <c r="W1298" s="18" t="str">
        <f t="shared" si="467"/>
        <v/>
      </c>
      <c r="X1298" s="18" t="str">
        <f t="shared" si="468"/>
        <v/>
      </c>
      <c r="Y1298" s="2">
        <f t="shared" si="469"/>
        <v>0.72641002219915218</v>
      </c>
      <c r="Z1298" t="str">
        <f t="shared" si="470"/>
        <v>SO18402</v>
      </c>
      <c r="AA1298" s="11">
        <f t="shared" si="471"/>
        <v>46002.493900462963</v>
      </c>
      <c r="AB1298" s="5" t="str">
        <f t="shared" si="472"/>
        <v>INV13801</v>
      </c>
      <c r="AC1298" s="5" t="str">
        <f>IFERROR(VLOOKUP(D1298,CAARStatus!$A$2:$AA$1600,22,FALSE),"Not invoiced")</f>
        <v>Approved</v>
      </c>
      <c r="AD1298" s="11" t="str">
        <f>IF(AC1298="Paid",IFERROR(VLOOKUP(D1298,CAARStatus!$A$2:$AA$1600,6,FALSE),"Pending"),"Pending")</f>
        <v>Pending</v>
      </c>
      <c r="AE1298" s="5" t="str">
        <f t="shared" si="473"/>
        <v>#17183</v>
      </c>
      <c r="AF1298" s="5" t="str">
        <f t="shared" si="474"/>
        <v>Industrial Rigging &amp; Supply</v>
      </c>
      <c r="AG1298" s="5" t="str">
        <f t="shared" si="475"/>
        <v>CAD</v>
      </c>
      <c r="AH1298" s="5">
        <f t="shared" si="476"/>
        <v>1269.24</v>
      </c>
      <c r="AI1298" s="12">
        <f>IF(L1298-N1298=0,VLOOKUP(U1298,rate!A$4:B$15,2,FALSE)*AH1298,IF(AG1298="USD",O1298,AH1298*Y1298))</f>
        <v>921.98865657605188</v>
      </c>
      <c r="AJ1298" s="13">
        <f t="shared" si="477"/>
        <v>0.72641002219915218</v>
      </c>
      <c r="AK1298" s="13">
        <f>-IF(AG1298="CAD",IFERROR(VLOOKUP(D1298,CAARStatus!$A$1:$Y$1600,16,FALSE),0),0)</f>
        <v>-846.16</v>
      </c>
      <c r="AL1298" s="13">
        <f>-IF(AG1298="USD",IFERROR(VLOOKUP(D1298,CAARStatus!$A$1:$Y$1600,11,FALSE),0),0)</f>
        <v>0</v>
      </c>
      <c r="AM1298" s="22">
        <f t="shared" si="478"/>
        <v>423.08000000000004</v>
      </c>
      <c r="AN1298" s="12" t="str">
        <f t="shared" si="479"/>
        <v/>
      </c>
      <c r="AO1298" s="12" t="str">
        <f t="shared" si="480"/>
        <v>Pend</v>
      </c>
      <c r="AP1298" t="str">
        <f t="shared" si="481"/>
        <v>Pend</v>
      </c>
      <c r="AQ1298" t="str">
        <f>IFERROR(VLOOKUP(Z1298,InvBal!$L$4:$P$600,4,FALSE),"Pend")</f>
        <v>Pend</v>
      </c>
      <c r="AR1298" t="str">
        <f>IFERROR(VLOOKUP(D1298,Manual!$C$1:$E$22,2,FALSE),"Pend")</f>
        <v>Pend</v>
      </c>
      <c r="AS1298" t="str">
        <f t="shared" si="482"/>
        <v/>
      </c>
      <c r="AT1298" t="str">
        <f t="shared" si="483"/>
        <v/>
      </c>
      <c r="AU1298" s="51" t="str">
        <f t="shared" si="484"/>
        <v/>
      </c>
      <c r="AV1298" s="12">
        <f>IFERROR(VLOOKUP(D1298,'Receivable Invoice Detail'!$S$1:$U$3014,3,FALSE),0)</f>
        <v>0</v>
      </c>
      <c r="AW1298" s="12">
        <f t="shared" si="485"/>
        <v>0</v>
      </c>
    </row>
    <row r="1299" spans="1:49" x14ac:dyDescent="0.25">
      <c r="A1299" s="2">
        <v>0</v>
      </c>
      <c r="B1299" s="2" t="s">
        <v>6254</v>
      </c>
      <c r="C1299" s="2" t="s">
        <v>6255</v>
      </c>
      <c r="D1299" s="2"/>
      <c r="E1299" s="2" t="s">
        <v>271</v>
      </c>
      <c r="F1299" s="3">
        <v>46002.734050925923</v>
      </c>
      <c r="G1299" s="3">
        <v>46003.422615740739</v>
      </c>
      <c r="H1299" s="4">
        <v>46007</v>
      </c>
      <c r="I1299" s="2" t="s">
        <v>74</v>
      </c>
      <c r="J1299" s="2" t="s">
        <v>22</v>
      </c>
      <c r="K1299" s="2">
        <v>1</v>
      </c>
      <c r="L1299" s="2">
        <v>1006.1</v>
      </c>
      <c r="M1299" s="2">
        <v>0</v>
      </c>
      <c r="N1299" s="2">
        <v>729.81785253018995</v>
      </c>
      <c r="O1299" s="2">
        <v>958.19</v>
      </c>
      <c r="P1299" s="2">
        <v>47.91</v>
      </c>
      <c r="Q1299" s="2">
        <v>1006.1</v>
      </c>
      <c r="R1299" s="2" t="s">
        <v>23</v>
      </c>
      <c r="S1299" s="2"/>
      <c r="T1299" s="2">
        <f t="shared" si="464"/>
        <v>0</v>
      </c>
      <c r="U1299" s="18">
        <f t="shared" si="465"/>
        <v>12</v>
      </c>
      <c r="V1299" s="18">
        <f t="shared" si="466"/>
        <v>2025</v>
      </c>
      <c r="W1299" s="18" t="str">
        <f t="shared" si="467"/>
        <v/>
      </c>
      <c r="X1299" s="18" t="str">
        <f t="shared" si="468"/>
        <v/>
      </c>
      <c r="Y1299" s="2">
        <f t="shared" si="469"/>
        <v>0.72539295550162997</v>
      </c>
      <c r="Z1299" t="str">
        <f t="shared" si="470"/>
        <v>SO18411</v>
      </c>
      <c r="AA1299" s="11">
        <f t="shared" si="471"/>
        <v>46002.734050925923</v>
      </c>
      <c r="AB1299" s="5" t="str">
        <f t="shared" si="472"/>
        <v>No Inv</v>
      </c>
      <c r="AC1299" s="5" t="str">
        <f>IFERROR(VLOOKUP(D1299,CAARStatus!$A$2:$AA$1600,22,FALSE),"Not invoiced")</f>
        <v>Not invoiced</v>
      </c>
      <c r="AD1299" s="11" t="str">
        <f>IF(AC1299="Paid",IFERROR(VLOOKUP(D1299,CAARStatus!$A$2:$AA$1600,6,FALSE),"Pending"),"Pending")</f>
        <v>Pending</v>
      </c>
      <c r="AE1299" s="5" t="str">
        <f t="shared" si="473"/>
        <v>8151</v>
      </c>
      <c r="AF1299" s="5" t="str">
        <f t="shared" si="474"/>
        <v>Hyperflo, Hyperflo</v>
      </c>
      <c r="AG1299" s="5" t="str">
        <f t="shared" si="475"/>
        <v>CAD</v>
      </c>
      <c r="AH1299" s="5">
        <f t="shared" si="476"/>
        <v>958.19</v>
      </c>
      <c r="AI1299" s="12">
        <f>IF(L1299-N1299=0,VLOOKUP(U1299,rate!A$4:B$15,2,FALSE)*AH1299,IF(AG1299="USD",O1299,AH1299*Y1299))</f>
        <v>695.06427603210682</v>
      </c>
      <c r="AJ1299" s="13">
        <f t="shared" si="477"/>
        <v>0.72539295550162997</v>
      </c>
      <c r="AK1299" s="13">
        <f>-IF(AG1299="CAD",IFERROR(VLOOKUP(D1299,CAARStatus!$A$1:$Y$1600,16,FALSE),0),0)</f>
        <v>0</v>
      </c>
      <c r="AL1299" s="13">
        <f>-IF(AG1299="USD",IFERROR(VLOOKUP(D1299,CAARStatus!$A$1:$Y$1600,11,FALSE),0),0)</f>
        <v>0</v>
      </c>
      <c r="AM1299" s="22">
        <f t="shared" si="478"/>
        <v>958.19</v>
      </c>
      <c r="AN1299" s="12" t="str">
        <f t="shared" si="479"/>
        <v/>
      </c>
      <c r="AO1299" s="12" t="str">
        <f t="shared" si="480"/>
        <v>Pend</v>
      </c>
      <c r="AP1299" t="str">
        <f t="shared" si="481"/>
        <v>Pend</v>
      </c>
      <c r="AQ1299" t="str">
        <f>IFERROR(VLOOKUP(Z1299,InvBal!$L$4:$P$600,4,FALSE),"Pend")</f>
        <v>Pend</v>
      </c>
      <c r="AR1299" t="str">
        <f>IFERROR(VLOOKUP(D1299,Manual!$C$1:$E$22,2,FALSE),"Pend")</f>
        <v>Pend</v>
      </c>
      <c r="AS1299" t="str">
        <f t="shared" si="482"/>
        <v/>
      </c>
      <c r="AT1299" t="str">
        <f t="shared" si="483"/>
        <v/>
      </c>
      <c r="AU1299" s="51" t="str">
        <f t="shared" si="484"/>
        <v/>
      </c>
      <c r="AV1299" s="12">
        <f>IFERROR(VLOOKUP(D1299,'Receivable Invoice Detail'!$S$1:$U$3014,3,FALSE),0)</f>
        <v>0</v>
      </c>
      <c r="AW1299" s="12">
        <f t="shared" si="485"/>
        <v>0</v>
      </c>
    </row>
    <row r="1300" spans="1:49" x14ac:dyDescent="0.25">
      <c r="A1300" s="2">
        <v>1</v>
      </c>
      <c r="B1300" s="2" t="s">
        <v>6256</v>
      </c>
      <c r="C1300" s="2" t="s">
        <v>6049</v>
      </c>
      <c r="D1300" s="2" t="s">
        <v>6048</v>
      </c>
      <c r="E1300" s="2" t="s">
        <v>612</v>
      </c>
      <c r="F1300" s="3">
        <v>46003.436909722222</v>
      </c>
      <c r="G1300" s="3">
        <v>46003.790081018517</v>
      </c>
      <c r="H1300" s="4">
        <v>46029</v>
      </c>
      <c r="I1300" s="2" t="s">
        <v>21</v>
      </c>
      <c r="J1300" s="2" t="s">
        <v>22</v>
      </c>
      <c r="K1300" s="2">
        <v>1</v>
      </c>
      <c r="L1300" s="2">
        <v>1065.01</v>
      </c>
      <c r="M1300" s="2">
        <v>0</v>
      </c>
      <c r="N1300" s="2">
        <v>772.55075153879091</v>
      </c>
      <c r="O1300" s="2">
        <v>1014.3</v>
      </c>
      <c r="P1300" s="2">
        <v>50.71</v>
      </c>
      <c r="Q1300" s="2">
        <v>1065.01</v>
      </c>
      <c r="R1300" s="2" t="s">
        <v>44</v>
      </c>
      <c r="S1300" s="2"/>
      <c r="T1300" s="2">
        <f t="shared" si="464"/>
        <v>1</v>
      </c>
      <c r="U1300" s="18">
        <f t="shared" si="465"/>
        <v>12</v>
      </c>
      <c r="V1300" s="18">
        <f t="shared" si="466"/>
        <v>2025</v>
      </c>
      <c r="W1300" s="18" t="str">
        <f t="shared" si="467"/>
        <v/>
      </c>
      <c r="X1300" s="18" t="str">
        <f t="shared" si="468"/>
        <v/>
      </c>
      <c r="Y1300" s="2">
        <f t="shared" si="469"/>
        <v>0.72539295550162997</v>
      </c>
      <c r="Z1300" t="str">
        <f t="shared" si="470"/>
        <v>SO18413</v>
      </c>
      <c r="AA1300" s="11">
        <f t="shared" si="471"/>
        <v>46003.436909722222</v>
      </c>
      <c r="AB1300" s="5" t="str">
        <f t="shared" si="472"/>
        <v>INV13794</v>
      </c>
      <c r="AC1300" s="5" t="str">
        <f>IFERROR(VLOOKUP(D1300,CAARStatus!$A$2:$AA$1600,22,FALSE),"Not invoiced")</f>
        <v>Approved</v>
      </c>
      <c r="AD1300" s="11" t="str">
        <f>IF(AC1300="Paid",IFERROR(VLOOKUP(D1300,CAARStatus!$A$2:$AA$1600,6,FALSE),"Pending"),"Pending")</f>
        <v>Pending</v>
      </c>
      <c r="AE1300" s="5" t="str">
        <f t="shared" si="473"/>
        <v>144241</v>
      </c>
      <c r="AF1300" s="5" t="str">
        <f t="shared" si="474"/>
        <v>TC Industries of Canada Co.</v>
      </c>
      <c r="AG1300" s="5" t="str">
        <f t="shared" si="475"/>
        <v>CAD</v>
      </c>
      <c r="AH1300" s="5">
        <f t="shared" si="476"/>
        <v>1014.3</v>
      </c>
      <c r="AI1300" s="12">
        <f>IF(L1300-N1300=0,VLOOKUP(U1300,rate!A$4:B$15,2,FALSE)*AH1300,IF(AG1300="USD",O1300,AH1300*Y1300))</f>
        <v>735.76607476530319</v>
      </c>
      <c r="AJ1300" s="13">
        <f t="shared" si="477"/>
        <v>0.72539295550162997</v>
      </c>
      <c r="AK1300" s="13">
        <f>-IF(AG1300="CAD",IFERROR(VLOOKUP(D1300,CAARStatus!$A$1:$Y$1600,16,FALSE),0),0)</f>
        <v>-1014.3</v>
      </c>
      <c r="AL1300" s="13">
        <f>-IF(AG1300="USD",IFERROR(VLOOKUP(D1300,CAARStatus!$A$1:$Y$1600,11,FALSE),0),0)</f>
        <v>0</v>
      </c>
      <c r="AM1300" s="22">
        <f t="shared" si="478"/>
        <v>0</v>
      </c>
      <c r="AN1300" s="12" t="str">
        <f t="shared" si="479"/>
        <v/>
      </c>
      <c r="AO1300" s="12" t="str">
        <f t="shared" si="480"/>
        <v>Pend</v>
      </c>
      <c r="AP1300" t="str">
        <f t="shared" si="481"/>
        <v>Pend</v>
      </c>
      <c r="AQ1300" t="str">
        <f>IFERROR(VLOOKUP(Z1300,InvBal!$L$4:$P$600,4,FALSE),"Pend")</f>
        <v>Pend</v>
      </c>
      <c r="AR1300" t="str">
        <f>IFERROR(VLOOKUP(D1300,Manual!$C$1:$E$22,2,FALSE),"Pend")</f>
        <v>Pend</v>
      </c>
      <c r="AS1300" t="str">
        <f t="shared" si="482"/>
        <v/>
      </c>
      <c r="AT1300" t="str">
        <f t="shared" si="483"/>
        <v>Yes</v>
      </c>
      <c r="AU1300" s="51" t="str">
        <f t="shared" si="484"/>
        <v/>
      </c>
      <c r="AV1300" s="12">
        <f>IFERROR(VLOOKUP(D1300,'Receivable Invoice Detail'!$S$1:$U$3014,3,FALSE),0)</f>
        <v>0</v>
      </c>
      <c r="AW1300" s="12">
        <f t="shared" si="485"/>
        <v>0</v>
      </c>
    </row>
    <row r="1301" spans="1:49" x14ac:dyDescent="0.25">
      <c r="A1301" s="2">
        <v>1</v>
      </c>
      <c r="B1301" s="2" t="s">
        <v>6257</v>
      </c>
      <c r="C1301" s="2" t="s">
        <v>6258</v>
      </c>
      <c r="D1301" s="2" t="s">
        <v>6334</v>
      </c>
      <c r="E1301" s="2" t="s">
        <v>242</v>
      </c>
      <c r="F1301" s="3">
        <v>46003.593136574083</v>
      </c>
      <c r="G1301" s="3">
        <v>46007.746712962973</v>
      </c>
      <c r="H1301" s="4">
        <v>46031</v>
      </c>
      <c r="I1301" s="2" t="s">
        <v>74</v>
      </c>
      <c r="J1301" s="2" t="s">
        <v>22</v>
      </c>
      <c r="K1301" s="2">
        <v>1</v>
      </c>
      <c r="L1301" s="2">
        <v>173.13</v>
      </c>
      <c r="M1301" s="2">
        <v>0</v>
      </c>
      <c r="N1301" s="2">
        <v>125.9192701095896</v>
      </c>
      <c r="O1301" s="2">
        <v>164.89</v>
      </c>
      <c r="P1301" s="2">
        <v>8.24</v>
      </c>
      <c r="Q1301" s="2">
        <v>173.13</v>
      </c>
      <c r="R1301" s="2" t="s">
        <v>44</v>
      </c>
      <c r="S1301" s="2"/>
      <c r="T1301" s="2">
        <f t="shared" si="464"/>
        <v>1</v>
      </c>
      <c r="U1301" s="18">
        <f t="shared" si="465"/>
        <v>12</v>
      </c>
      <c r="V1301" s="18">
        <f t="shared" si="466"/>
        <v>2025</v>
      </c>
      <c r="W1301" s="18" t="str">
        <f t="shared" si="467"/>
        <v/>
      </c>
      <c r="X1301" s="18" t="str">
        <f t="shared" si="468"/>
        <v/>
      </c>
      <c r="Y1301" s="2">
        <f t="shared" si="469"/>
        <v>0.72731051874077057</v>
      </c>
      <c r="Z1301" t="str">
        <f t="shared" si="470"/>
        <v>SO18416</v>
      </c>
      <c r="AA1301" s="11">
        <f t="shared" si="471"/>
        <v>46003.593136574083</v>
      </c>
      <c r="AB1301" s="5" t="str">
        <f t="shared" si="472"/>
        <v>INV13832</v>
      </c>
      <c r="AC1301" s="5" t="str">
        <f>IFERROR(VLOOKUP(D1301,CAARStatus!$A$2:$AA$1600,22,FALSE),"Not invoiced")</f>
        <v>Not invoiced</v>
      </c>
      <c r="AD1301" s="11" t="str">
        <f>IF(AC1301="Paid",IFERROR(VLOOKUP(D1301,CAARStatus!$A$2:$AA$1600,6,FALSE),"Pending"),"Pending")</f>
        <v>Pending</v>
      </c>
      <c r="AE1301" s="5" t="str">
        <f t="shared" si="473"/>
        <v>2100715890</v>
      </c>
      <c r="AF1301" s="5" t="str">
        <f t="shared" si="474"/>
        <v>Wajax Limited - Noranda</v>
      </c>
      <c r="AG1301" s="5" t="str">
        <f t="shared" si="475"/>
        <v>CAD</v>
      </c>
      <c r="AH1301" s="5">
        <f t="shared" si="476"/>
        <v>164.89</v>
      </c>
      <c r="AI1301" s="12">
        <f>IF(L1301-N1301=0,VLOOKUP(U1301,rate!A$4:B$15,2,FALSE)*AH1301,IF(AG1301="USD",O1301,AH1301*Y1301))</f>
        <v>119.92623143516565</v>
      </c>
      <c r="AJ1301" s="13">
        <f t="shared" si="477"/>
        <v>0.72731051874077057</v>
      </c>
      <c r="AK1301" s="13">
        <f>-IF(AG1301="CAD",IFERROR(VLOOKUP(D1301,CAARStatus!$A$1:$Y$1600,16,FALSE),0),0)</f>
        <v>0</v>
      </c>
      <c r="AL1301" s="13">
        <f>-IF(AG1301="USD",IFERROR(VLOOKUP(D1301,CAARStatus!$A$1:$Y$1600,11,FALSE),0),0)</f>
        <v>0</v>
      </c>
      <c r="AM1301" s="22">
        <f t="shared" si="478"/>
        <v>164.89</v>
      </c>
      <c r="AN1301" s="12" t="str">
        <f t="shared" si="479"/>
        <v/>
      </c>
      <c r="AO1301" s="12" t="str">
        <f t="shared" si="480"/>
        <v>Pend</v>
      </c>
      <c r="AP1301" t="str">
        <f t="shared" si="481"/>
        <v>Pend</v>
      </c>
      <c r="AQ1301" t="str">
        <f>IFERROR(VLOOKUP(Z1301,InvBal!$L$4:$P$600,4,FALSE),"Pend")</f>
        <v>Pend</v>
      </c>
      <c r="AR1301" t="str">
        <f>IFERROR(VLOOKUP(D1301,Manual!$C$1:$E$22,2,FALSE),"Pend")</f>
        <v>Pend</v>
      </c>
      <c r="AS1301" t="str">
        <f t="shared" si="482"/>
        <v/>
      </c>
      <c r="AT1301" t="str">
        <f t="shared" si="483"/>
        <v>Yes</v>
      </c>
      <c r="AU1301" s="51" t="str">
        <f t="shared" si="484"/>
        <v/>
      </c>
      <c r="AV1301" s="12">
        <f>IFERROR(VLOOKUP(D1301,'Receivable Invoice Detail'!$S$1:$U$3014,3,FALSE),0)</f>
        <v>0</v>
      </c>
      <c r="AW1301" s="12">
        <f t="shared" si="485"/>
        <v>0</v>
      </c>
    </row>
    <row r="1302" spans="1:49" x14ac:dyDescent="0.25">
      <c r="A1302" s="2">
        <v>1</v>
      </c>
      <c r="B1302" s="2" t="s">
        <v>6259</v>
      </c>
      <c r="C1302" s="2" t="s">
        <v>6033</v>
      </c>
      <c r="D1302" s="2" t="s">
        <v>6032</v>
      </c>
      <c r="E1302" s="2" t="s">
        <v>465</v>
      </c>
      <c r="F1302" s="3">
        <v>46003.744247685187</v>
      </c>
      <c r="G1302" s="3">
        <v>46003.748564814807</v>
      </c>
      <c r="H1302" s="4">
        <v>46087</v>
      </c>
      <c r="I1302" s="2" t="s">
        <v>21</v>
      </c>
      <c r="J1302" s="2" t="s">
        <v>22</v>
      </c>
      <c r="K1302" s="2">
        <v>1</v>
      </c>
      <c r="L1302" s="2">
        <v>6849.11</v>
      </c>
      <c r="M1302" s="2">
        <v>0</v>
      </c>
      <c r="N1302" s="2">
        <v>4968.296145455769</v>
      </c>
      <c r="O1302" s="2">
        <v>6061.16</v>
      </c>
      <c r="P1302" s="2">
        <v>787.95</v>
      </c>
      <c r="Q1302" s="2">
        <v>6849.11</v>
      </c>
      <c r="R1302" s="2" t="s">
        <v>29</v>
      </c>
      <c r="S1302" s="2"/>
      <c r="T1302" s="2">
        <f t="shared" si="464"/>
        <v>1</v>
      </c>
      <c r="U1302" s="18">
        <f t="shared" si="465"/>
        <v>12</v>
      </c>
      <c r="V1302" s="18">
        <f t="shared" si="466"/>
        <v>2025</v>
      </c>
      <c r="W1302" s="18" t="str">
        <f t="shared" si="467"/>
        <v/>
      </c>
      <c r="X1302" s="18" t="str">
        <f t="shared" si="468"/>
        <v/>
      </c>
      <c r="Y1302" s="2">
        <f t="shared" si="469"/>
        <v>0.72539295550163008</v>
      </c>
      <c r="Z1302" t="str">
        <f t="shared" si="470"/>
        <v>SO18417</v>
      </c>
      <c r="AA1302" s="11">
        <f t="shared" si="471"/>
        <v>46003.744247685187</v>
      </c>
      <c r="AB1302" s="5" t="str">
        <f t="shared" si="472"/>
        <v>INV13785</v>
      </c>
      <c r="AC1302" s="5" t="str">
        <f>IFERROR(VLOOKUP(D1302,CAARStatus!$A$2:$AA$1600,22,FALSE),"Not invoiced")</f>
        <v>Approved</v>
      </c>
      <c r="AD1302" s="11" t="str">
        <f>IF(AC1302="Paid",IFERROR(VLOOKUP(D1302,CAARStatus!$A$2:$AA$1600,6,FALSE),"Pending"),"Pending")</f>
        <v>Pending</v>
      </c>
      <c r="AE1302" s="5" t="str">
        <f t="shared" si="473"/>
        <v>M-084226</v>
      </c>
      <c r="AF1302" s="5" t="str">
        <f t="shared" si="474"/>
        <v>Grant Aggregate</v>
      </c>
      <c r="AG1302" s="5" t="str">
        <f t="shared" si="475"/>
        <v>CAD</v>
      </c>
      <c r="AH1302" s="5">
        <f t="shared" si="476"/>
        <v>6061.16</v>
      </c>
      <c r="AI1302" s="12">
        <f>IF(L1302-N1302=0,VLOOKUP(U1302,rate!A$4:B$15,2,FALSE)*AH1302,IF(AG1302="USD",O1302,AH1302*Y1302))</f>
        <v>4396.72276616826</v>
      </c>
      <c r="AJ1302" s="13">
        <f t="shared" si="477"/>
        <v>0.72539295550163008</v>
      </c>
      <c r="AK1302" s="13">
        <f>-IF(AG1302="CAD",IFERROR(VLOOKUP(D1302,CAARStatus!$A$1:$Y$1600,16,FALSE),0),0)</f>
        <v>-4395.1400000000003</v>
      </c>
      <c r="AL1302" s="13">
        <f>-IF(AG1302="USD",IFERROR(VLOOKUP(D1302,CAARStatus!$A$1:$Y$1600,11,FALSE),0),0)</f>
        <v>0</v>
      </c>
      <c r="AM1302" s="22">
        <f t="shared" si="478"/>
        <v>1666.0199999999995</v>
      </c>
      <c r="AN1302" s="12" t="str">
        <f t="shared" si="479"/>
        <v/>
      </c>
      <c r="AO1302" s="12" t="str">
        <f t="shared" si="480"/>
        <v>Pend</v>
      </c>
      <c r="AP1302" t="str">
        <f t="shared" si="481"/>
        <v>Pend</v>
      </c>
      <c r="AQ1302" t="str">
        <f>IFERROR(VLOOKUP(Z1302,InvBal!$L$4:$P$600,4,FALSE),"Pend")</f>
        <v>Pend</v>
      </c>
      <c r="AR1302" t="str">
        <f>IFERROR(VLOOKUP(D1302,Manual!$C$1:$E$22,2,FALSE),"Pend")</f>
        <v>Pend</v>
      </c>
      <c r="AS1302" t="str">
        <f t="shared" si="482"/>
        <v/>
      </c>
      <c r="AT1302" t="str">
        <f t="shared" si="483"/>
        <v/>
      </c>
      <c r="AU1302" s="51" t="str">
        <f t="shared" si="484"/>
        <v/>
      </c>
      <c r="AV1302" s="12">
        <f>IFERROR(VLOOKUP(D1302,'Receivable Invoice Detail'!$S$1:$U$3014,3,FALSE),0)</f>
        <v>0</v>
      </c>
      <c r="AW1302" s="12">
        <f t="shared" si="485"/>
        <v>0</v>
      </c>
    </row>
    <row r="1303" spans="1:49" ht="30" x14ac:dyDescent="0.25">
      <c r="A1303" s="2">
        <v>0</v>
      </c>
      <c r="B1303" s="2" t="s">
        <v>6260</v>
      </c>
      <c r="C1303" s="2" t="s">
        <v>6261</v>
      </c>
      <c r="D1303" s="2"/>
      <c r="E1303" s="2" t="s">
        <v>159</v>
      </c>
      <c r="F1303" s="3">
        <v>46006.373541666668</v>
      </c>
      <c r="G1303" s="3">
        <v>46006.391423611109</v>
      </c>
      <c r="H1303" s="4">
        <v>46132</v>
      </c>
      <c r="I1303" s="2" t="s">
        <v>40</v>
      </c>
      <c r="J1303" s="2" t="s">
        <v>51</v>
      </c>
      <c r="K1303" s="2">
        <v>0.7258314283835291</v>
      </c>
      <c r="L1303" s="2">
        <v>45786.554150751821</v>
      </c>
      <c r="M1303" s="2">
        <v>0</v>
      </c>
      <c r="N1303" s="2">
        <v>33233.32</v>
      </c>
      <c r="O1303" s="2">
        <v>33233.32</v>
      </c>
      <c r="P1303" s="2"/>
      <c r="Q1303" s="2">
        <v>33233.32</v>
      </c>
      <c r="R1303" s="2" t="s">
        <v>23</v>
      </c>
      <c r="S1303" s="2"/>
      <c r="T1303" s="2">
        <f t="shared" si="464"/>
        <v>0</v>
      </c>
      <c r="U1303" s="18">
        <f t="shared" si="465"/>
        <v>12</v>
      </c>
      <c r="V1303" s="18">
        <f t="shared" si="466"/>
        <v>2025</v>
      </c>
      <c r="W1303" s="18" t="str">
        <f t="shared" si="467"/>
        <v/>
      </c>
      <c r="X1303" s="18" t="str">
        <f t="shared" si="468"/>
        <v/>
      </c>
      <c r="Y1303" s="2">
        <f t="shared" si="469"/>
        <v>0.7258314283835291</v>
      </c>
      <c r="Z1303" t="str">
        <f t="shared" si="470"/>
        <v>SO18419</v>
      </c>
      <c r="AA1303" s="11">
        <f t="shared" si="471"/>
        <v>46006.373541666668</v>
      </c>
      <c r="AB1303" s="5" t="str">
        <f t="shared" si="472"/>
        <v>No Inv</v>
      </c>
      <c r="AC1303" s="5" t="str">
        <f>IFERROR(VLOOKUP(D1303,CAARStatus!$A$2:$AA$1600,22,FALSE),"Not invoiced")</f>
        <v>Not invoiced</v>
      </c>
      <c r="AD1303" s="11" t="str">
        <f>IF(AC1303="Paid",IFERROR(VLOOKUP(D1303,CAARStatus!$A$2:$AA$1600,6,FALSE),"Pending"),"Pending")</f>
        <v>Pending</v>
      </c>
      <c r="AE1303" s="5" t="str">
        <f t="shared" si="473"/>
        <v>4501355648</v>
      </c>
      <c r="AF1303" s="5" t="str">
        <f t="shared" si="474"/>
        <v>Barrick Gold - Pueblo Viejo Dominicana Corporation</v>
      </c>
      <c r="AG1303" s="5" t="str">
        <f t="shared" si="475"/>
        <v>USD</v>
      </c>
      <c r="AH1303" s="5">
        <f t="shared" si="476"/>
        <v>45786.554150751821</v>
      </c>
      <c r="AI1303" s="12">
        <f>IF(L1303-N1303=0,VLOOKUP(U1303,rate!A$4:B$15,2,FALSE)*AH1303,IF(AG1303="USD",O1303,AH1303*Y1303))</f>
        <v>33233.32</v>
      </c>
      <c r="AJ1303" s="13">
        <f t="shared" si="477"/>
        <v>0.7258314283835291</v>
      </c>
      <c r="AK1303" s="13">
        <f>-IF(AG1303="CAD",IFERROR(VLOOKUP(D1303,CAARStatus!$A$1:$Y$1600,16,FALSE),0),0)</f>
        <v>0</v>
      </c>
      <c r="AL1303" s="13">
        <f>-IF(AG1303="USD",IFERROR(VLOOKUP(D1303,CAARStatus!$A$1:$Y$1600,11,FALSE),0),0)</f>
        <v>0</v>
      </c>
      <c r="AM1303" s="22" t="str">
        <f t="shared" si="478"/>
        <v/>
      </c>
      <c r="AN1303" s="12">
        <f t="shared" si="479"/>
        <v>33233.32</v>
      </c>
      <c r="AO1303" s="12" t="str">
        <f t="shared" si="480"/>
        <v>Pend</v>
      </c>
      <c r="AP1303" t="str">
        <f t="shared" si="481"/>
        <v>Pend</v>
      </c>
      <c r="AQ1303" t="str">
        <f>IFERROR(VLOOKUP(Z1303,InvBal!$L$4:$P$600,4,FALSE),"Pend")</f>
        <v>Pend</v>
      </c>
      <c r="AR1303" t="str">
        <f>IFERROR(VLOOKUP(D1303,Manual!$C$1:$E$22,2,FALSE),"Pend")</f>
        <v>Pend</v>
      </c>
      <c r="AS1303" t="str">
        <f t="shared" si="482"/>
        <v/>
      </c>
      <c r="AT1303" t="str">
        <f t="shared" si="483"/>
        <v/>
      </c>
      <c r="AU1303" s="51" t="str">
        <f t="shared" si="484"/>
        <v/>
      </c>
      <c r="AV1303" s="12">
        <f>IFERROR(VLOOKUP(D1303,'Receivable Invoice Detail'!$S$1:$U$3014,3,FALSE),0)</f>
        <v>0</v>
      </c>
      <c r="AW1303" s="12">
        <f t="shared" si="485"/>
        <v>0</v>
      </c>
    </row>
    <row r="1304" spans="1:49" ht="30" x14ac:dyDescent="0.25">
      <c r="A1304" s="2">
        <v>1</v>
      </c>
      <c r="B1304" s="2" t="s">
        <v>6262</v>
      </c>
      <c r="C1304" s="2" t="s">
        <v>6161</v>
      </c>
      <c r="D1304" s="2" t="s">
        <v>6160</v>
      </c>
      <c r="E1304" s="2" t="s">
        <v>20</v>
      </c>
      <c r="F1304" s="3">
        <v>46006.405289351853</v>
      </c>
      <c r="G1304" s="3">
        <v>46006.484837962962</v>
      </c>
      <c r="H1304" s="4">
        <v>46090</v>
      </c>
      <c r="I1304" s="2" t="s">
        <v>21</v>
      </c>
      <c r="J1304" s="2" t="s">
        <v>22</v>
      </c>
      <c r="K1304" s="2">
        <v>1</v>
      </c>
      <c r="L1304" s="2">
        <v>1506.2</v>
      </c>
      <c r="M1304" s="2">
        <v>0</v>
      </c>
      <c r="N1304" s="2">
        <v>1094.118775436363</v>
      </c>
      <c r="O1304" s="2">
        <v>1434.48</v>
      </c>
      <c r="P1304" s="2">
        <v>71.72</v>
      </c>
      <c r="Q1304" s="2">
        <v>1506.2</v>
      </c>
      <c r="R1304" s="2" t="s">
        <v>44</v>
      </c>
      <c r="S1304" s="2"/>
      <c r="T1304" s="2">
        <f t="shared" si="464"/>
        <v>1</v>
      </c>
      <c r="U1304" s="18">
        <f t="shared" si="465"/>
        <v>12</v>
      </c>
      <c r="V1304" s="18">
        <f t="shared" si="466"/>
        <v>2025</v>
      </c>
      <c r="W1304" s="18" t="str">
        <f t="shared" si="467"/>
        <v/>
      </c>
      <c r="X1304" s="18" t="str">
        <f t="shared" si="468"/>
        <v/>
      </c>
      <c r="Y1304" s="2">
        <f t="shared" si="469"/>
        <v>0.72641002219915207</v>
      </c>
      <c r="Z1304" t="str">
        <f t="shared" si="470"/>
        <v>SO18420</v>
      </c>
      <c r="AA1304" s="11">
        <f t="shared" si="471"/>
        <v>46006.405289351853</v>
      </c>
      <c r="AB1304" s="5" t="str">
        <f t="shared" si="472"/>
        <v>INV13828</v>
      </c>
      <c r="AC1304" s="5" t="str">
        <f>IFERROR(VLOOKUP(D1304,CAARStatus!$A$2:$AA$1600,22,FALSE),"Not invoiced")</f>
        <v>Not invoiced</v>
      </c>
      <c r="AD1304" s="11" t="str">
        <f>IF(AC1304="Paid",IFERROR(VLOOKUP(D1304,CAARStatus!$A$2:$AA$1600,6,FALSE),"Pending"),"Pending")</f>
        <v>Pending</v>
      </c>
      <c r="AE1304" s="5" t="str">
        <f t="shared" si="473"/>
        <v>4500626351</v>
      </c>
      <c r="AF1304" s="5" t="str">
        <f t="shared" si="474"/>
        <v>Resolute Forest Products - Saint-Felicien</v>
      </c>
      <c r="AG1304" s="5" t="str">
        <f t="shared" si="475"/>
        <v>CAD</v>
      </c>
      <c r="AH1304" s="5">
        <f t="shared" si="476"/>
        <v>1434.48</v>
      </c>
      <c r="AI1304" s="12">
        <f>IF(L1304-N1304=0,VLOOKUP(U1304,rate!A$4:B$15,2,FALSE)*AH1304,IF(AG1304="USD",O1304,AH1304*Y1304))</f>
        <v>1042.0206486442396</v>
      </c>
      <c r="AJ1304" s="13">
        <f t="shared" si="477"/>
        <v>0.72641002219915207</v>
      </c>
      <c r="AK1304" s="13">
        <f>-IF(AG1304="CAD",IFERROR(VLOOKUP(D1304,CAARStatus!$A$1:$Y$1600,16,FALSE),0),0)</f>
        <v>0</v>
      </c>
      <c r="AL1304" s="13">
        <f>-IF(AG1304="USD",IFERROR(VLOOKUP(D1304,CAARStatus!$A$1:$Y$1600,11,FALSE),0),0)</f>
        <v>0</v>
      </c>
      <c r="AM1304" s="22">
        <f t="shared" si="478"/>
        <v>1434.48</v>
      </c>
      <c r="AN1304" s="12" t="str">
        <f t="shared" si="479"/>
        <v/>
      </c>
      <c r="AO1304" s="12" t="str">
        <f t="shared" si="480"/>
        <v>Pend</v>
      </c>
      <c r="AP1304" t="str">
        <f t="shared" si="481"/>
        <v>Pend</v>
      </c>
      <c r="AQ1304" t="str">
        <f>IFERROR(VLOOKUP(Z1304,InvBal!$L$4:$P$600,4,FALSE),"Pend")</f>
        <v>Pend</v>
      </c>
      <c r="AR1304" t="str">
        <f>IFERROR(VLOOKUP(D1304,Manual!$C$1:$E$22,2,FALSE),"Pend")</f>
        <v>Pend</v>
      </c>
      <c r="AS1304" t="str">
        <f t="shared" si="482"/>
        <v/>
      </c>
      <c r="AT1304" t="str">
        <f t="shared" si="483"/>
        <v>Yes</v>
      </c>
      <c r="AU1304" s="51" t="str">
        <f t="shared" si="484"/>
        <v/>
      </c>
      <c r="AV1304" s="12">
        <f>IFERROR(VLOOKUP(D1304,'Receivable Invoice Detail'!$S$1:$U$3014,3,FALSE),0)</f>
        <v>0</v>
      </c>
      <c r="AW1304" s="12">
        <f t="shared" si="485"/>
        <v>0</v>
      </c>
    </row>
    <row r="1305" spans="1:49" x14ac:dyDescent="0.25">
      <c r="A1305" s="2">
        <v>0</v>
      </c>
      <c r="B1305" s="2" t="s">
        <v>6263</v>
      </c>
      <c r="C1305" s="2" t="s">
        <v>6264</v>
      </c>
      <c r="D1305" s="2"/>
      <c r="E1305" s="2" t="s">
        <v>64</v>
      </c>
      <c r="F1305" s="3">
        <v>46006.51871527778</v>
      </c>
      <c r="G1305" s="3">
        <v>46006.518796296303</v>
      </c>
      <c r="H1305" s="4">
        <v>46007</v>
      </c>
      <c r="I1305" s="2" t="s">
        <v>21</v>
      </c>
      <c r="J1305" s="2" t="s">
        <v>22</v>
      </c>
      <c r="K1305" s="2">
        <v>1</v>
      </c>
      <c r="L1305" s="2">
        <v>242.81</v>
      </c>
      <c r="M1305" s="2">
        <v>0</v>
      </c>
      <c r="N1305" s="2">
        <v>176.37961749017609</v>
      </c>
      <c r="O1305" s="2">
        <v>214.88</v>
      </c>
      <c r="P1305" s="2">
        <v>27.93</v>
      </c>
      <c r="Q1305" s="2">
        <v>242.81</v>
      </c>
      <c r="R1305" s="2" t="s">
        <v>23</v>
      </c>
      <c r="S1305" s="2"/>
      <c r="T1305" s="2">
        <f t="shared" si="464"/>
        <v>0</v>
      </c>
      <c r="U1305" s="18">
        <f t="shared" si="465"/>
        <v>12</v>
      </c>
      <c r="V1305" s="18">
        <f t="shared" si="466"/>
        <v>2025</v>
      </c>
      <c r="W1305" s="18" t="str">
        <f t="shared" si="467"/>
        <v/>
      </c>
      <c r="X1305" s="18" t="str">
        <f t="shared" si="468"/>
        <v/>
      </c>
      <c r="Y1305" s="2">
        <f t="shared" si="469"/>
        <v>0.72641002219915196</v>
      </c>
      <c r="Z1305" t="str">
        <f t="shared" si="470"/>
        <v>SO18423</v>
      </c>
      <c r="AA1305" s="11">
        <f t="shared" si="471"/>
        <v>46006.51871527778</v>
      </c>
      <c r="AB1305" s="5" t="str">
        <f t="shared" si="472"/>
        <v>No Inv</v>
      </c>
      <c r="AC1305" s="5" t="str">
        <f>IFERROR(VLOOKUP(D1305,CAARStatus!$A$2:$AA$1600,22,FALSE),"Not invoiced")</f>
        <v>Not invoiced</v>
      </c>
      <c r="AD1305" s="11" t="str">
        <f>IF(AC1305="Paid",IFERROR(VLOOKUP(D1305,CAARStatus!$A$2:$AA$1600,6,FALSE),"Pending"),"Pending")</f>
        <v>Pending</v>
      </c>
      <c r="AE1305" s="5" t="str">
        <f t="shared" si="473"/>
        <v>607089</v>
      </c>
      <c r="AF1305" s="5" t="str">
        <f t="shared" si="474"/>
        <v>Sealtrac Inc.</v>
      </c>
      <c r="AG1305" s="5" t="str">
        <f t="shared" si="475"/>
        <v>CAD</v>
      </c>
      <c r="AH1305" s="5">
        <f t="shared" si="476"/>
        <v>214.88</v>
      </c>
      <c r="AI1305" s="12">
        <f>IF(L1305-N1305=0,VLOOKUP(U1305,rate!A$4:B$15,2,FALSE)*AH1305,IF(AG1305="USD",O1305,AH1305*Y1305))</f>
        <v>156.09098557015378</v>
      </c>
      <c r="AJ1305" s="13">
        <f t="shared" si="477"/>
        <v>0.72641002219915196</v>
      </c>
      <c r="AK1305" s="13">
        <f>-IF(AG1305="CAD",IFERROR(VLOOKUP(D1305,CAARStatus!$A$1:$Y$1600,16,FALSE),0),0)</f>
        <v>0</v>
      </c>
      <c r="AL1305" s="13">
        <f>-IF(AG1305="USD",IFERROR(VLOOKUP(D1305,CAARStatus!$A$1:$Y$1600,11,FALSE),0),0)</f>
        <v>0</v>
      </c>
      <c r="AM1305" s="22">
        <f t="shared" si="478"/>
        <v>214.88</v>
      </c>
      <c r="AN1305" s="12" t="str">
        <f t="shared" si="479"/>
        <v/>
      </c>
      <c r="AO1305" s="12" t="str">
        <f t="shared" si="480"/>
        <v>Pend</v>
      </c>
      <c r="AP1305" t="str">
        <f t="shared" si="481"/>
        <v>Pend</v>
      </c>
      <c r="AQ1305" t="str">
        <f>IFERROR(VLOOKUP(Z1305,InvBal!$L$4:$P$600,4,FALSE),"Pend")</f>
        <v>Pend</v>
      </c>
      <c r="AR1305" t="str">
        <f>IFERROR(VLOOKUP(D1305,Manual!$C$1:$E$22,2,FALSE),"Pend")</f>
        <v>Pend</v>
      </c>
      <c r="AS1305" t="str">
        <f t="shared" si="482"/>
        <v/>
      </c>
      <c r="AT1305" t="str">
        <f t="shared" si="483"/>
        <v/>
      </c>
      <c r="AU1305" s="51" t="str">
        <f t="shared" si="484"/>
        <v/>
      </c>
      <c r="AV1305" s="12">
        <f>IFERROR(VLOOKUP(D1305,'Receivable Invoice Detail'!$S$1:$U$3014,3,FALSE),0)</f>
        <v>0</v>
      </c>
      <c r="AW1305" s="12">
        <f t="shared" si="485"/>
        <v>0</v>
      </c>
    </row>
    <row r="1306" spans="1:49" x14ac:dyDescent="0.25">
      <c r="A1306" s="2">
        <v>1</v>
      </c>
      <c r="B1306" s="2" t="s">
        <v>6265</v>
      </c>
      <c r="C1306" s="2" t="s">
        <v>6083</v>
      </c>
      <c r="D1306" s="2" t="s">
        <v>6082</v>
      </c>
      <c r="E1306" s="2" t="s">
        <v>192</v>
      </c>
      <c r="F1306" s="3">
        <v>46006.562986111108</v>
      </c>
      <c r="G1306" s="3">
        <v>46006.562986111108</v>
      </c>
      <c r="H1306" s="4">
        <v>46014</v>
      </c>
      <c r="I1306" s="2" t="s">
        <v>67</v>
      </c>
      <c r="J1306" s="2" t="s">
        <v>51</v>
      </c>
      <c r="K1306" s="2">
        <v>0.7258314283835291</v>
      </c>
      <c r="L1306" s="2">
        <v>11928.54106535748</v>
      </c>
      <c r="M1306" s="2">
        <v>0</v>
      </c>
      <c r="N1306" s="2">
        <v>8658.11</v>
      </c>
      <c r="O1306" s="2">
        <v>8658.11</v>
      </c>
      <c r="P1306" s="2"/>
      <c r="Q1306" s="2">
        <v>8658.11</v>
      </c>
      <c r="R1306" s="2" t="s">
        <v>44</v>
      </c>
      <c r="S1306" s="2"/>
      <c r="T1306" s="2">
        <f t="shared" si="464"/>
        <v>1</v>
      </c>
      <c r="U1306" s="18">
        <f t="shared" si="465"/>
        <v>12</v>
      </c>
      <c r="V1306" s="18">
        <f t="shared" si="466"/>
        <v>2025</v>
      </c>
      <c r="W1306" s="18" t="str">
        <f t="shared" si="467"/>
        <v/>
      </c>
      <c r="X1306" s="18" t="str">
        <f t="shared" si="468"/>
        <v/>
      </c>
      <c r="Y1306" s="2">
        <f t="shared" si="469"/>
        <v>0.72583142838352888</v>
      </c>
      <c r="Z1306" t="str">
        <f t="shared" si="470"/>
        <v>SO18424</v>
      </c>
      <c r="AA1306" s="11">
        <f t="shared" si="471"/>
        <v>46006.562986111108</v>
      </c>
      <c r="AB1306" s="5" t="str">
        <f t="shared" si="472"/>
        <v>INV13814</v>
      </c>
      <c r="AC1306" s="5" t="str">
        <f>IFERROR(VLOOKUP(D1306,CAARStatus!$A$2:$AA$1600,22,FALSE),"Not invoiced")</f>
        <v>Approved</v>
      </c>
      <c r="AD1306" s="11" t="str">
        <f>IF(AC1306="Paid",IFERROR(VLOOKUP(D1306,CAARStatus!$A$2:$AA$1600,6,FALSE),"Pending"),"Pending")</f>
        <v>Pending</v>
      </c>
      <c r="AE1306" s="5" t="str">
        <f t="shared" si="473"/>
        <v>PO-044166</v>
      </c>
      <c r="AF1306" s="5" t="str">
        <f t="shared" si="474"/>
        <v>Southeast Pump Specialist, Inc.</v>
      </c>
      <c r="AG1306" s="5" t="str">
        <f t="shared" si="475"/>
        <v>USD</v>
      </c>
      <c r="AH1306" s="5">
        <f t="shared" si="476"/>
        <v>11928.541065357476</v>
      </c>
      <c r="AI1306" s="12">
        <f>IF(L1306-N1306=0,VLOOKUP(U1306,rate!A$4:B$15,2,FALSE)*AH1306,IF(AG1306="USD",O1306,AH1306*Y1306))</f>
        <v>8658.11</v>
      </c>
      <c r="AJ1306" s="13">
        <f t="shared" si="477"/>
        <v>0.7258314283835291</v>
      </c>
      <c r="AK1306" s="13">
        <f>-IF(AG1306="CAD",IFERROR(VLOOKUP(D1306,CAARStatus!$A$1:$Y$1600,16,FALSE),0),0)</f>
        <v>0</v>
      </c>
      <c r="AL1306" s="13">
        <f>-IF(AG1306="USD",IFERROR(VLOOKUP(D1306,CAARStatus!$A$1:$Y$1600,11,FALSE),0),0)</f>
        <v>-8658.11</v>
      </c>
      <c r="AM1306" s="22" t="str">
        <f t="shared" si="478"/>
        <v/>
      </c>
      <c r="AN1306" s="12">
        <f t="shared" si="479"/>
        <v>0</v>
      </c>
      <c r="AO1306" s="12" t="str">
        <f t="shared" si="480"/>
        <v>Pend</v>
      </c>
      <c r="AP1306" t="str">
        <f t="shared" si="481"/>
        <v>Pend</v>
      </c>
      <c r="AQ1306" t="str">
        <f>IFERROR(VLOOKUP(Z1306,InvBal!$L$4:$P$600,4,FALSE),"Pend")</f>
        <v>Pend</v>
      </c>
      <c r="AR1306" t="str">
        <f>IFERROR(VLOOKUP(D1306,Manual!$C$1:$E$22,2,FALSE),"Pend")</f>
        <v>Pend</v>
      </c>
      <c r="AS1306" t="str">
        <f t="shared" si="482"/>
        <v/>
      </c>
      <c r="AT1306" t="str">
        <f t="shared" si="483"/>
        <v>Yes</v>
      </c>
      <c r="AU1306" s="51" t="str">
        <f t="shared" si="484"/>
        <v/>
      </c>
      <c r="AV1306" s="12">
        <f>IFERROR(VLOOKUP(D1306,'Receivable Invoice Detail'!$S$1:$U$3014,3,FALSE),0)</f>
        <v>690</v>
      </c>
      <c r="AW1306" s="12">
        <f t="shared" si="485"/>
        <v>0</v>
      </c>
    </row>
    <row r="1307" spans="1:49" ht="30" x14ac:dyDescent="0.25">
      <c r="A1307" s="2">
        <v>1</v>
      </c>
      <c r="B1307" s="2" t="s">
        <v>6266</v>
      </c>
      <c r="C1307" s="2" t="s">
        <v>6037</v>
      </c>
      <c r="D1307" s="2" t="s">
        <v>6036</v>
      </c>
      <c r="E1307" s="2" t="s">
        <v>4117</v>
      </c>
      <c r="F1307" s="3">
        <v>46006.579513888893</v>
      </c>
      <c r="G1307" s="3">
        <v>46006.595254629632</v>
      </c>
      <c r="H1307" s="4">
        <v>46006</v>
      </c>
      <c r="I1307" s="2" t="s">
        <v>71</v>
      </c>
      <c r="J1307" s="2" t="s">
        <v>22</v>
      </c>
      <c r="K1307" s="2">
        <v>1</v>
      </c>
      <c r="L1307" s="2">
        <v>471.22</v>
      </c>
      <c r="M1307" s="2">
        <v>0</v>
      </c>
      <c r="N1307" s="2">
        <v>342.29893066068428</v>
      </c>
      <c r="O1307" s="2">
        <v>448.78</v>
      </c>
      <c r="P1307" s="2">
        <v>22.44</v>
      </c>
      <c r="Q1307" s="2">
        <v>471.22</v>
      </c>
      <c r="R1307" s="2" t="s">
        <v>44</v>
      </c>
      <c r="S1307" s="2"/>
      <c r="T1307" s="2">
        <f t="shared" si="464"/>
        <v>1</v>
      </c>
      <c r="U1307" s="18">
        <f t="shared" si="465"/>
        <v>12</v>
      </c>
      <c r="V1307" s="18">
        <f t="shared" si="466"/>
        <v>2025</v>
      </c>
      <c r="W1307" s="18" t="str">
        <f t="shared" si="467"/>
        <v/>
      </c>
      <c r="X1307" s="18" t="str">
        <f t="shared" si="468"/>
        <v/>
      </c>
      <c r="Y1307" s="2">
        <f t="shared" si="469"/>
        <v>0.72641002219915174</v>
      </c>
      <c r="Z1307" t="str">
        <f t="shared" si="470"/>
        <v>SO18425</v>
      </c>
      <c r="AA1307" s="11">
        <f t="shared" si="471"/>
        <v>46006.579513888893</v>
      </c>
      <c r="AB1307" s="5" t="str">
        <f t="shared" si="472"/>
        <v>INV13787</v>
      </c>
      <c r="AC1307" s="5" t="str">
        <f>IFERROR(VLOOKUP(D1307,CAARStatus!$A$2:$AA$1600,22,FALSE),"Not invoiced")</f>
        <v>Approved</v>
      </c>
      <c r="AD1307" s="11" t="str">
        <f>IF(AC1307="Paid",IFERROR(VLOOKUP(D1307,CAARStatus!$A$2:$AA$1600,6,FALSE),"Pending"),"Pending")</f>
        <v>Pending</v>
      </c>
      <c r="AE1307" s="5" t="str">
        <f t="shared" si="473"/>
        <v>2100713917</v>
      </c>
      <c r="AF1307" s="5" t="str">
        <f t="shared" si="474"/>
        <v>Wajax Limited - Val D'Or, Wajax Limited - Val D'Or</v>
      </c>
      <c r="AG1307" s="5" t="str">
        <f t="shared" si="475"/>
        <v>CAD</v>
      </c>
      <c r="AH1307" s="5">
        <f t="shared" si="476"/>
        <v>448.78</v>
      </c>
      <c r="AI1307" s="12">
        <f>IF(L1307-N1307=0,VLOOKUP(U1307,rate!A$4:B$15,2,FALSE)*AH1307,IF(AG1307="USD",O1307,AH1307*Y1307))</f>
        <v>325.99828976253531</v>
      </c>
      <c r="AJ1307" s="13">
        <f t="shared" si="477"/>
        <v>0.72641002219915174</v>
      </c>
      <c r="AK1307" s="13">
        <f>-IF(AG1307="CAD",IFERROR(VLOOKUP(D1307,CAARStatus!$A$1:$Y$1600,16,FALSE),0),0)</f>
        <v>-448.78</v>
      </c>
      <c r="AL1307" s="13">
        <f>-IF(AG1307="USD",IFERROR(VLOOKUP(D1307,CAARStatus!$A$1:$Y$1600,11,FALSE),0),0)</f>
        <v>0</v>
      </c>
      <c r="AM1307" s="22">
        <f t="shared" si="478"/>
        <v>0</v>
      </c>
      <c r="AN1307" s="12" t="str">
        <f t="shared" si="479"/>
        <v/>
      </c>
      <c r="AO1307" s="12" t="str">
        <f t="shared" si="480"/>
        <v>Pend</v>
      </c>
      <c r="AP1307" t="str">
        <f t="shared" si="481"/>
        <v>Pend</v>
      </c>
      <c r="AQ1307" t="str">
        <f>IFERROR(VLOOKUP(Z1307,InvBal!$L$4:$P$600,4,FALSE),"Pend")</f>
        <v>Pend</v>
      </c>
      <c r="AR1307" t="str">
        <f>IFERROR(VLOOKUP(D1307,Manual!$C$1:$E$22,2,FALSE),"Pend")</f>
        <v>Pend</v>
      </c>
      <c r="AS1307" t="str">
        <f t="shared" si="482"/>
        <v/>
      </c>
      <c r="AT1307" t="str">
        <f t="shared" si="483"/>
        <v>Yes</v>
      </c>
      <c r="AU1307" s="51" t="str">
        <f t="shared" si="484"/>
        <v/>
      </c>
      <c r="AV1307" s="12">
        <f>IFERROR(VLOOKUP(D1307,'Receivable Invoice Detail'!$S$1:$U$3014,3,FALSE),0)</f>
        <v>0</v>
      </c>
      <c r="AW1307" s="12">
        <f t="shared" si="485"/>
        <v>0</v>
      </c>
    </row>
    <row r="1308" spans="1:49" x14ac:dyDescent="0.25">
      <c r="A1308" s="2">
        <v>1</v>
      </c>
      <c r="B1308" s="2" t="s">
        <v>6267</v>
      </c>
      <c r="C1308" s="2" t="s">
        <v>6081</v>
      </c>
      <c r="D1308" s="2" t="s">
        <v>6080</v>
      </c>
      <c r="E1308" s="2" t="s">
        <v>192</v>
      </c>
      <c r="F1308" s="3">
        <v>46007.518275462957</v>
      </c>
      <c r="G1308" s="3">
        <v>46007.602627314824</v>
      </c>
      <c r="H1308" s="4">
        <v>46010</v>
      </c>
      <c r="I1308" s="2" t="s">
        <v>40</v>
      </c>
      <c r="J1308" s="2" t="s">
        <v>51</v>
      </c>
      <c r="K1308" s="2">
        <v>0.72641002219915185</v>
      </c>
      <c r="L1308" s="2">
        <v>6547.2114297125026</v>
      </c>
      <c r="M1308" s="2">
        <v>0</v>
      </c>
      <c r="N1308" s="2">
        <v>4755.96</v>
      </c>
      <c r="O1308" s="2">
        <v>4755.96</v>
      </c>
      <c r="P1308" s="2"/>
      <c r="Q1308" s="2">
        <v>4755.96</v>
      </c>
      <c r="R1308" s="2" t="s">
        <v>44</v>
      </c>
      <c r="S1308" s="2"/>
      <c r="T1308" s="2">
        <f t="shared" si="464"/>
        <v>1</v>
      </c>
      <c r="U1308" s="18">
        <f t="shared" si="465"/>
        <v>12</v>
      </c>
      <c r="V1308" s="18">
        <f t="shared" si="466"/>
        <v>2025</v>
      </c>
      <c r="W1308" s="18" t="str">
        <f t="shared" si="467"/>
        <v/>
      </c>
      <c r="X1308" s="18" t="str">
        <f t="shared" si="468"/>
        <v/>
      </c>
      <c r="Y1308" s="2">
        <f t="shared" si="469"/>
        <v>0.72641002219915185</v>
      </c>
      <c r="Z1308" t="str">
        <f t="shared" si="470"/>
        <v>SO18429</v>
      </c>
      <c r="AA1308" s="11">
        <f t="shared" si="471"/>
        <v>46007.518275462957</v>
      </c>
      <c r="AB1308" s="5" t="str">
        <f t="shared" si="472"/>
        <v>INV13813</v>
      </c>
      <c r="AC1308" s="5" t="str">
        <f>IFERROR(VLOOKUP(D1308,CAARStatus!$A$2:$AA$1600,22,FALSE),"Not invoiced")</f>
        <v>Approved</v>
      </c>
      <c r="AD1308" s="11" t="str">
        <f>IF(AC1308="Paid",IFERROR(VLOOKUP(D1308,CAARStatus!$A$2:$AA$1600,6,FALSE),"Pending"),"Pending")</f>
        <v>Pending</v>
      </c>
      <c r="AE1308" s="5" t="str">
        <f t="shared" si="473"/>
        <v>PO-044181</v>
      </c>
      <c r="AF1308" s="5" t="str">
        <f t="shared" si="474"/>
        <v>Southeast Pump Specialist, Inc.</v>
      </c>
      <c r="AG1308" s="5" t="str">
        <f t="shared" si="475"/>
        <v>USD</v>
      </c>
      <c r="AH1308" s="5">
        <f t="shared" si="476"/>
        <v>6547.2114297125026</v>
      </c>
      <c r="AI1308" s="12">
        <f>IF(L1308-N1308=0,VLOOKUP(U1308,rate!A$4:B$15,2,FALSE)*AH1308,IF(AG1308="USD",O1308,AH1308*Y1308))</f>
        <v>4755.96</v>
      </c>
      <c r="AJ1308" s="13">
        <f t="shared" si="477"/>
        <v>0.72641002219915185</v>
      </c>
      <c r="AK1308" s="13">
        <f>-IF(AG1308="CAD",IFERROR(VLOOKUP(D1308,CAARStatus!$A$1:$Y$1600,16,FALSE),0),0)</f>
        <v>0</v>
      </c>
      <c r="AL1308" s="13">
        <f>-IF(AG1308="USD",IFERROR(VLOOKUP(D1308,CAARStatus!$A$1:$Y$1600,11,FALSE),0),0)</f>
        <v>-4755.96</v>
      </c>
      <c r="AM1308" s="22" t="str">
        <f t="shared" si="478"/>
        <v/>
      </c>
      <c r="AN1308" s="12">
        <f t="shared" si="479"/>
        <v>0</v>
      </c>
      <c r="AO1308" s="12" t="str">
        <f t="shared" si="480"/>
        <v>Pend</v>
      </c>
      <c r="AP1308" t="str">
        <f t="shared" si="481"/>
        <v>Pend</v>
      </c>
      <c r="AQ1308" t="str">
        <f>IFERROR(VLOOKUP(Z1308,InvBal!$L$4:$P$600,4,FALSE),"Pend")</f>
        <v>Pend</v>
      </c>
      <c r="AR1308" t="str">
        <f>IFERROR(VLOOKUP(D1308,Manual!$C$1:$E$22,2,FALSE),"Pend")</f>
        <v>Pend</v>
      </c>
      <c r="AS1308" t="str">
        <f t="shared" si="482"/>
        <v/>
      </c>
      <c r="AT1308" t="str">
        <f t="shared" si="483"/>
        <v>Yes</v>
      </c>
      <c r="AU1308" s="51" t="str">
        <f t="shared" si="484"/>
        <v/>
      </c>
      <c r="AV1308" s="12">
        <f>IFERROR(VLOOKUP(D1308,'Receivable Invoice Detail'!$S$1:$U$3014,3,FALSE),0)</f>
        <v>633</v>
      </c>
      <c r="AW1308" s="12">
        <f t="shared" si="485"/>
        <v>0</v>
      </c>
    </row>
    <row r="1309" spans="1:49" x14ac:dyDescent="0.25">
      <c r="A1309" s="2">
        <v>1</v>
      </c>
      <c r="B1309" s="2" t="s">
        <v>6268</v>
      </c>
      <c r="C1309" s="2" t="s">
        <v>6062</v>
      </c>
      <c r="D1309" s="2" t="s">
        <v>6061</v>
      </c>
      <c r="E1309" s="2" t="s">
        <v>171</v>
      </c>
      <c r="F1309" s="3">
        <v>46007.568923611107</v>
      </c>
      <c r="G1309" s="3">
        <v>46008.564328703702</v>
      </c>
      <c r="H1309" s="4">
        <v>46024</v>
      </c>
      <c r="I1309" s="2" t="s">
        <v>74</v>
      </c>
      <c r="J1309" s="2" t="s">
        <v>22</v>
      </c>
      <c r="K1309" s="2">
        <v>1</v>
      </c>
      <c r="L1309" s="2">
        <v>107.94</v>
      </c>
      <c r="M1309" s="2">
        <v>0</v>
      </c>
      <c r="N1309" s="2">
        <v>78.245352700321064</v>
      </c>
      <c r="O1309" s="2">
        <v>102.8</v>
      </c>
      <c r="P1309" s="2">
        <v>5.14</v>
      </c>
      <c r="Q1309" s="2">
        <v>107.94</v>
      </c>
      <c r="R1309" s="2" t="s">
        <v>44</v>
      </c>
      <c r="S1309" s="2"/>
      <c r="T1309" s="2">
        <f t="shared" si="464"/>
        <v>1</v>
      </c>
      <c r="U1309" s="18">
        <f t="shared" si="465"/>
        <v>12</v>
      </c>
      <c r="V1309" s="18">
        <f t="shared" si="466"/>
        <v>2025</v>
      </c>
      <c r="W1309" s="18" t="str">
        <f t="shared" si="467"/>
        <v/>
      </c>
      <c r="X1309" s="18" t="str">
        <f t="shared" si="468"/>
        <v/>
      </c>
      <c r="Y1309" s="2">
        <f t="shared" si="469"/>
        <v>0.72489672688828111</v>
      </c>
      <c r="Z1309" t="str">
        <f t="shared" si="470"/>
        <v>SO18431</v>
      </c>
      <c r="AA1309" s="11">
        <f t="shared" si="471"/>
        <v>46007.568923611107</v>
      </c>
      <c r="AB1309" s="5" t="str">
        <f t="shared" si="472"/>
        <v>INV13802</v>
      </c>
      <c r="AC1309" s="5" t="str">
        <f>IFERROR(VLOOKUP(D1309,CAARStatus!$A$2:$AA$1600,22,FALSE),"Not invoiced")</f>
        <v>Approved</v>
      </c>
      <c r="AD1309" s="11" t="str">
        <f>IF(AC1309="Paid",IFERROR(VLOOKUP(D1309,CAARStatus!$A$2:$AA$1600,6,FALSE),"Pending"),"Pending")</f>
        <v>Pending</v>
      </c>
      <c r="AE1309" s="5" t="str">
        <f t="shared" si="473"/>
        <v>PO 2410</v>
      </c>
      <c r="AF1309" s="5" t="str">
        <f t="shared" si="474"/>
        <v>FMI Products</v>
      </c>
      <c r="AG1309" s="5" t="str">
        <f t="shared" si="475"/>
        <v>CAD</v>
      </c>
      <c r="AH1309" s="5">
        <f t="shared" si="476"/>
        <v>102.8</v>
      </c>
      <c r="AI1309" s="12">
        <f>IF(L1309-N1309=0,VLOOKUP(U1309,rate!A$4:B$15,2,FALSE)*AH1309,IF(AG1309="USD",O1309,AH1309*Y1309))</f>
        <v>74.519383524115298</v>
      </c>
      <c r="AJ1309" s="13">
        <f t="shared" si="477"/>
        <v>0.72489672688828111</v>
      </c>
      <c r="AK1309" s="13">
        <f>-IF(AG1309="CAD",IFERROR(VLOOKUP(D1309,CAARStatus!$A$1:$Y$1600,16,FALSE),0),0)</f>
        <v>-102.8</v>
      </c>
      <c r="AL1309" s="13">
        <f>-IF(AG1309="USD",IFERROR(VLOOKUP(D1309,CAARStatus!$A$1:$Y$1600,11,FALSE),0),0)</f>
        <v>0</v>
      </c>
      <c r="AM1309" s="22">
        <f t="shared" si="478"/>
        <v>0</v>
      </c>
      <c r="AN1309" s="12" t="str">
        <f t="shared" si="479"/>
        <v/>
      </c>
      <c r="AO1309" s="12" t="str">
        <f t="shared" si="480"/>
        <v>Pend</v>
      </c>
      <c r="AP1309" t="str">
        <f t="shared" si="481"/>
        <v>Pend</v>
      </c>
      <c r="AQ1309" t="str">
        <f>IFERROR(VLOOKUP(Z1309,InvBal!$L$4:$P$600,4,FALSE),"Pend")</f>
        <v>Pend</v>
      </c>
      <c r="AR1309" t="str">
        <f>IFERROR(VLOOKUP(D1309,Manual!$C$1:$E$22,2,FALSE),"Pend")</f>
        <v>Pend</v>
      </c>
      <c r="AS1309" t="str">
        <f t="shared" si="482"/>
        <v/>
      </c>
      <c r="AT1309" t="str">
        <f t="shared" si="483"/>
        <v>Yes</v>
      </c>
      <c r="AU1309" s="51" t="str">
        <f t="shared" si="484"/>
        <v/>
      </c>
      <c r="AV1309" s="12">
        <f>IFERROR(VLOOKUP(D1309,'Receivable Invoice Detail'!$S$1:$U$3014,3,FALSE),0)</f>
        <v>0</v>
      </c>
      <c r="AW1309" s="12">
        <f t="shared" si="485"/>
        <v>0</v>
      </c>
    </row>
    <row r="1310" spans="1:49" ht="30" x14ac:dyDescent="0.25">
      <c r="A1310" s="2">
        <v>1</v>
      </c>
      <c r="B1310" s="2" t="s">
        <v>6269</v>
      </c>
      <c r="C1310" s="2" t="s">
        <v>6163</v>
      </c>
      <c r="D1310" s="2" t="s">
        <v>6162</v>
      </c>
      <c r="E1310" s="2" t="s">
        <v>86</v>
      </c>
      <c r="F1310" s="3">
        <v>46007.573946759258</v>
      </c>
      <c r="G1310" s="3">
        <v>46013.605254629627</v>
      </c>
      <c r="H1310" s="4">
        <v>46020</v>
      </c>
      <c r="I1310" s="2" t="s">
        <v>74</v>
      </c>
      <c r="J1310" s="2" t="s">
        <v>22</v>
      </c>
      <c r="K1310" s="2">
        <v>1</v>
      </c>
      <c r="L1310" s="2">
        <v>105</v>
      </c>
      <c r="M1310" s="2">
        <v>0</v>
      </c>
      <c r="N1310" s="2">
        <v>76.389850163842553</v>
      </c>
      <c r="O1310" s="2">
        <v>100</v>
      </c>
      <c r="P1310" s="2">
        <v>5</v>
      </c>
      <c r="Q1310" s="2">
        <v>105</v>
      </c>
      <c r="R1310" s="2" t="s">
        <v>44</v>
      </c>
      <c r="S1310" s="2"/>
      <c r="T1310" s="2">
        <f t="shared" si="464"/>
        <v>1</v>
      </c>
      <c r="U1310" s="18">
        <f t="shared" si="465"/>
        <v>12</v>
      </c>
      <c r="V1310" s="18">
        <f t="shared" si="466"/>
        <v>2025</v>
      </c>
      <c r="W1310" s="18" t="str">
        <f t="shared" si="467"/>
        <v/>
      </c>
      <c r="X1310" s="18" t="str">
        <f t="shared" si="468"/>
        <v/>
      </c>
      <c r="Y1310" s="2">
        <f t="shared" si="469"/>
        <v>0.72752238251278623</v>
      </c>
      <c r="Z1310" t="str">
        <f t="shared" si="470"/>
        <v>SO18432</v>
      </c>
      <c r="AA1310" s="11">
        <f t="shared" si="471"/>
        <v>46007.573946759258</v>
      </c>
      <c r="AB1310" s="5" t="str">
        <f t="shared" si="472"/>
        <v>INV13829</v>
      </c>
      <c r="AC1310" s="5" t="str">
        <f>IFERROR(VLOOKUP(D1310,CAARStatus!$A$2:$AA$1600,22,FALSE),"Not invoiced")</f>
        <v>Not invoiced</v>
      </c>
      <c r="AD1310" s="11" t="str">
        <f>IF(AC1310="Paid",IFERROR(VLOOKUP(D1310,CAARStatus!$A$2:$AA$1600,6,FALSE),"Pending"),"Pending")</f>
        <v>Pending</v>
      </c>
      <c r="AE1310" s="5" t="str">
        <f t="shared" si="473"/>
        <v>MB21-00195697</v>
      </c>
      <c r="AF1310" s="5" t="str">
        <f t="shared" si="474"/>
        <v>Motion Industries Inc. (Canada) - Winnipeg</v>
      </c>
      <c r="AG1310" s="5" t="str">
        <f t="shared" si="475"/>
        <v>CAD</v>
      </c>
      <c r="AH1310" s="5">
        <f t="shared" si="476"/>
        <v>100</v>
      </c>
      <c r="AI1310" s="12">
        <f>IF(L1310-N1310=0,VLOOKUP(U1310,rate!A$4:B$15,2,FALSE)*AH1310,IF(AG1310="USD",O1310,AH1310*Y1310))</f>
        <v>72.752238251278627</v>
      </c>
      <c r="AJ1310" s="13">
        <f t="shared" si="477"/>
        <v>0.72752238251278623</v>
      </c>
      <c r="AK1310" s="13">
        <f>-IF(AG1310="CAD",IFERROR(VLOOKUP(D1310,CAARStatus!$A$1:$Y$1600,16,FALSE),0),0)</f>
        <v>0</v>
      </c>
      <c r="AL1310" s="13">
        <f>-IF(AG1310="USD",IFERROR(VLOOKUP(D1310,CAARStatus!$A$1:$Y$1600,11,FALSE),0),0)</f>
        <v>0</v>
      </c>
      <c r="AM1310" s="22">
        <f t="shared" si="478"/>
        <v>100</v>
      </c>
      <c r="AN1310" s="12" t="str">
        <f t="shared" si="479"/>
        <v/>
      </c>
      <c r="AO1310" s="12" t="str">
        <f t="shared" si="480"/>
        <v>Pend</v>
      </c>
      <c r="AP1310" t="str">
        <f t="shared" si="481"/>
        <v>Pend</v>
      </c>
      <c r="AQ1310" t="str">
        <f>IFERROR(VLOOKUP(Z1310,InvBal!$L$4:$P$600,4,FALSE),"Pend")</f>
        <v>Pend</v>
      </c>
      <c r="AR1310" t="str">
        <f>IFERROR(VLOOKUP(D1310,Manual!$C$1:$E$22,2,FALSE),"Pend")</f>
        <v>Pend</v>
      </c>
      <c r="AS1310" t="str">
        <f t="shared" si="482"/>
        <v/>
      </c>
      <c r="AT1310" t="str">
        <f t="shared" si="483"/>
        <v>Yes</v>
      </c>
      <c r="AU1310" s="51" t="str">
        <f t="shared" si="484"/>
        <v/>
      </c>
      <c r="AV1310" s="12">
        <f>IFERROR(VLOOKUP(D1310,'Receivable Invoice Detail'!$S$1:$U$3014,3,FALSE),0)</f>
        <v>0</v>
      </c>
      <c r="AW1310" s="12">
        <f t="shared" si="485"/>
        <v>0</v>
      </c>
    </row>
    <row r="1311" spans="1:49" ht="30" x14ac:dyDescent="0.25">
      <c r="A1311" s="2">
        <v>0</v>
      </c>
      <c r="B1311" s="2" t="s">
        <v>6270</v>
      </c>
      <c r="C1311" s="2" t="s">
        <v>6271</v>
      </c>
      <c r="D1311" s="2"/>
      <c r="E1311" s="2" t="s">
        <v>80</v>
      </c>
      <c r="F1311" s="3">
        <v>46007.582789351851</v>
      </c>
      <c r="G1311" s="3">
        <v>46007.7268287037</v>
      </c>
      <c r="H1311" s="4">
        <v>46091</v>
      </c>
      <c r="I1311" s="2" t="s">
        <v>21</v>
      </c>
      <c r="J1311" s="2" t="s">
        <v>51</v>
      </c>
      <c r="K1311" s="2">
        <v>0.72641002219915185</v>
      </c>
      <c r="L1311" s="2">
        <v>11122.850391765191</v>
      </c>
      <c r="M1311" s="2">
        <v>0</v>
      </c>
      <c r="N1311" s="2">
        <v>8079.75</v>
      </c>
      <c r="O1311" s="2">
        <v>7695</v>
      </c>
      <c r="P1311" s="2">
        <v>384.75</v>
      </c>
      <c r="Q1311" s="2">
        <v>8079.75</v>
      </c>
      <c r="R1311" s="2" t="s">
        <v>29</v>
      </c>
      <c r="S1311" s="2"/>
      <c r="T1311" s="2">
        <f t="shared" si="464"/>
        <v>0</v>
      </c>
      <c r="U1311" s="18">
        <f t="shared" si="465"/>
        <v>12</v>
      </c>
      <c r="V1311" s="18">
        <f t="shared" si="466"/>
        <v>2025</v>
      </c>
      <c r="W1311" s="18" t="str">
        <f t="shared" si="467"/>
        <v/>
      </c>
      <c r="X1311" s="18" t="str">
        <f t="shared" si="468"/>
        <v/>
      </c>
      <c r="Y1311" s="2">
        <f t="shared" si="469"/>
        <v>0.72641002219915207</v>
      </c>
      <c r="Z1311" t="str">
        <f t="shared" si="470"/>
        <v>SO18433</v>
      </c>
      <c r="AA1311" s="11">
        <f t="shared" si="471"/>
        <v>46007.582789351851</v>
      </c>
      <c r="AB1311" s="5" t="str">
        <f t="shared" si="472"/>
        <v>No Inv</v>
      </c>
      <c r="AC1311" s="5" t="str">
        <f>IFERROR(VLOOKUP(D1311,CAARStatus!$A$2:$AA$1600,22,FALSE),"Not invoiced")</f>
        <v>Not invoiced</v>
      </c>
      <c r="AD1311" s="11" t="str">
        <f>IF(AC1311="Paid",IFERROR(VLOOKUP(D1311,CAARStatus!$A$2:$AA$1600,6,FALSE),"Pending"),"Pending")</f>
        <v>Pending</v>
      </c>
      <c r="AE1311" s="5" t="str">
        <f t="shared" si="473"/>
        <v>4500626853</v>
      </c>
      <c r="AF1311" s="5" t="str">
        <f t="shared" si="474"/>
        <v>Resolute Forest Products - Dolbeau</v>
      </c>
      <c r="AG1311" s="5" t="str">
        <f t="shared" si="475"/>
        <v>USD</v>
      </c>
      <c r="AH1311" s="5">
        <f t="shared" si="476"/>
        <v>10593.190849300185</v>
      </c>
      <c r="AI1311" s="12">
        <f>IF(L1311-N1311=0,VLOOKUP(U1311,rate!A$4:B$15,2,FALSE)*AH1311,IF(AG1311="USD",O1311,AH1311*Y1311))</f>
        <v>7695</v>
      </c>
      <c r="AJ1311" s="13">
        <f t="shared" si="477"/>
        <v>0.72641002219915185</v>
      </c>
      <c r="AK1311" s="13">
        <f>-IF(AG1311="CAD",IFERROR(VLOOKUP(D1311,CAARStatus!$A$1:$Y$1600,16,FALSE),0),0)</f>
        <v>0</v>
      </c>
      <c r="AL1311" s="13">
        <f>-IF(AG1311="USD",IFERROR(VLOOKUP(D1311,CAARStatus!$A$1:$Y$1600,11,FALSE),0),0)</f>
        <v>0</v>
      </c>
      <c r="AM1311" s="22" t="str">
        <f t="shared" si="478"/>
        <v/>
      </c>
      <c r="AN1311" s="12">
        <f t="shared" si="479"/>
        <v>7695</v>
      </c>
      <c r="AO1311" s="12" t="str">
        <f t="shared" si="480"/>
        <v>Pend</v>
      </c>
      <c r="AP1311" t="str">
        <f t="shared" si="481"/>
        <v>Pend</v>
      </c>
      <c r="AQ1311" t="str">
        <f>IFERROR(VLOOKUP(Z1311,InvBal!$L$4:$P$600,4,FALSE),"Pend")</f>
        <v>Pend</v>
      </c>
      <c r="AR1311" t="str">
        <f>IFERROR(VLOOKUP(D1311,Manual!$C$1:$E$22,2,FALSE),"Pend")</f>
        <v>Pend</v>
      </c>
      <c r="AS1311" t="str">
        <f t="shared" si="482"/>
        <v/>
      </c>
      <c r="AT1311" t="str">
        <f t="shared" si="483"/>
        <v/>
      </c>
      <c r="AU1311" s="51" t="str">
        <f t="shared" si="484"/>
        <v/>
      </c>
      <c r="AV1311" s="12">
        <f>IFERROR(VLOOKUP(D1311,'Receivable Invoice Detail'!$S$1:$U$3014,3,FALSE),0)</f>
        <v>0</v>
      </c>
      <c r="AW1311" s="12">
        <f t="shared" si="485"/>
        <v>0</v>
      </c>
    </row>
    <row r="1312" spans="1:49" ht="45" x14ac:dyDescent="0.25">
      <c r="A1312" s="2">
        <v>2</v>
      </c>
      <c r="B1312" s="2" t="s">
        <v>6272</v>
      </c>
      <c r="C1312" s="2" t="s">
        <v>6273</v>
      </c>
      <c r="D1312" s="2" t="s">
        <v>6335</v>
      </c>
      <c r="E1312" s="2" t="s">
        <v>6078</v>
      </c>
      <c r="F1312" s="3">
        <v>46007.603101851862</v>
      </c>
      <c r="G1312" s="3">
        <v>46022.476018518522</v>
      </c>
      <c r="H1312" s="4">
        <v>46027</v>
      </c>
      <c r="I1312" s="2" t="s">
        <v>21</v>
      </c>
      <c r="J1312" s="2" t="s">
        <v>51</v>
      </c>
      <c r="K1312" s="2">
        <v>0.73094557927967363</v>
      </c>
      <c r="L1312" s="2">
        <v>9008.3861051447602</v>
      </c>
      <c r="M1312" s="2">
        <v>0</v>
      </c>
      <c r="N1312" s="2">
        <v>6584.64</v>
      </c>
      <c r="O1312" s="2">
        <v>6584.64</v>
      </c>
      <c r="P1312" s="2"/>
      <c r="Q1312" s="2">
        <v>6584.64</v>
      </c>
      <c r="R1312" s="2" t="s">
        <v>44</v>
      </c>
      <c r="S1312" s="2"/>
      <c r="T1312" s="2">
        <f t="shared" si="464"/>
        <v>2</v>
      </c>
      <c r="U1312" s="18">
        <f t="shared" si="465"/>
        <v>12</v>
      </c>
      <c r="V1312" s="18">
        <f t="shared" si="466"/>
        <v>2025</v>
      </c>
      <c r="W1312" s="18" t="str">
        <f t="shared" si="467"/>
        <v/>
      </c>
      <c r="X1312" s="18" t="str">
        <f t="shared" si="468"/>
        <v/>
      </c>
      <c r="Y1312" s="2">
        <f t="shared" si="469"/>
        <v>0.73094557927967374</v>
      </c>
      <c r="Z1312" t="str">
        <f t="shared" si="470"/>
        <v>SO18434</v>
      </c>
      <c r="AA1312" s="11">
        <f t="shared" si="471"/>
        <v>46007.603101851862</v>
      </c>
      <c r="AB1312" s="5" t="str">
        <f t="shared" si="472"/>
        <v>INV13837</v>
      </c>
      <c r="AC1312" s="5" t="str">
        <f>IFERROR(VLOOKUP(D1312,CAARStatus!$A$2:$AA$1600,22,FALSE),"Not invoiced")</f>
        <v>Not invoiced</v>
      </c>
      <c r="AD1312" s="11" t="str">
        <f>IF(AC1312="Paid",IFERROR(VLOOKUP(D1312,CAARStatus!$A$2:$AA$1600,6,FALSE),"Pending"),"Pending")</f>
        <v>Pending</v>
      </c>
      <c r="AE1312" s="5" t="str">
        <f t="shared" si="473"/>
        <v>2004-10223058/335 - Paid in full on Jan 5th 2026</v>
      </c>
      <c r="AF1312" s="5" t="str">
        <f t="shared" si="474"/>
        <v>Yossi Avisar Technologies Ltd.</v>
      </c>
      <c r="AG1312" s="5" t="str">
        <f t="shared" si="475"/>
        <v>USD</v>
      </c>
      <c r="AH1312" s="5">
        <f t="shared" si="476"/>
        <v>9008.3861051447602</v>
      </c>
      <c r="AI1312" s="12">
        <f>IF(L1312-N1312=0,VLOOKUP(U1312,rate!A$4:B$15,2,FALSE)*AH1312,IF(AG1312="USD",O1312,AH1312*Y1312))</f>
        <v>6584.64</v>
      </c>
      <c r="AJ1312" s="13">
        <f t="shared" si="477"/>
        <v>0.73094557927967374</v>
      </c>
      <c r="AK1312" s="13">
        <f>-IF(AG1312="CAD",IFERROR(VLOOKUP(D1312,CAARStatus!$A$1:$Y$1600,16,FALSE),0),0)</f>
        <v>0</v>
      </c>
      <c r="AL1312" s="13">
        <f>-IF(AG1312="USD",IFERROR(VLOOKUP(D1312,CAARStatus!$A$1:$Y$1600,11,FALSE),0),0)</f>
        <v>0</v>
      </c>
      <c r="AM1312" s="22" t="str">
        <f t="shared" si="478"/>
        <v/>
      </c>
      <c r="AN1312" s="12">
        <f t="shared" si="479"/>
        <v>6584.64</v>
      </c>
      <c r="AO1312" s="12" t="str">
        <f t="shared" si="480"/>
        <v>Pend</v>
      </c>
      <c r="AP1312" t="str">
        <f t="shared" si="481"/>
        <v>XX</v>
      </c>
      <c r="AQ1312" t="str">
        <f>IFERROR(VLOOKUP(Z1312,InvBal!$L$4:$P$600,4,FALSE),"Pend")</f>
        <v>Yes</v>
      </c>
      <c r="AR1312" t="str">
        <f>IFERROR(VLOOKUP(D1312,Manual!$C$1:$E$22,2,FALSE),"Pend")</f>
        <v>Pend</v>
      </c>
      <c r="AS1312" t="str">
        <f t="shared" si="482"/>
        <v>Yes</v>
      </c>
      <c r="AT1312" t="str">
        <f t="shared" si="483"/>
        <v>Yes</v>
      </c>
      <c r="AU1312" s="51" t="str">
        <f t="shared" si="484"/>
        <v>Yes</v>
      </c>
      <c r="AV1312" s="12">
        <f>IFERROR(VLOOKUP(D1312,'Receivable Invoice Detail'!$S$1:$U$3014,3,FALSE),0)</f>
        <v>0</v>
      </c>
      <c r="AW1312" s="12">
        <f t="shared" si="485"/>
        <v>6584.64</v>
      </c>
    </row>
    <row r="1313" spans="1:49" x14ac:dyDescent="0.25">
      <c r="A1313" s="2"/>
      <c r="B1313" s="2"/>
      <c r="C1313" s="2"/>
      <c r="D1313" s="2" t="s">
        <v>6077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>
        <f t="shared" si="464"/>
        <v>2</v>
      </c>
      <c r="U1313" s="18">
        <f t="shared" si="465"/>
        <v>12</v>
      </c>
      <c r="V1313" s="18">
        <f t="shared" si="466"/>
        <v>2025</v>
      </c>
      <c r="W1313" s="18">
        <f t="shared" si="467"/>
        <v>1</v>
      </c>
      <c r="X1313" s="18">
        <f t="shared" si="468"/>
        <v>2026</v>
      </c>
      <c r="Y1313" s="2">
        <f t="shared" si="469"/>
        <v>0.73094557927967374</v>
      </c>
      <c r="Z1313" t="str">
        <f t="shared" si="470"/>
        <v>SO18434</v>
      </c>
      <c r="AA1313" s="11">
        <f t="shared" si="471"/>
        <v>46007.603101851862</v>
      </c>
      <c r="AB1313" s="5" t="str">
        <f t="shared" si="472"/>
        <v>INV13812</v>
      </c>
      <c r="AC1313" s="5" t="str">
        <f>IFERROR(VLOOKUP(D1313,CAARStatus!$A$2:$AA$1600,22,FALSE),"Not invoiced")</f>
        <v>Paid</v>
      </c>
      <c r="AD1313" s="11">
        <f>IF(AC1313="Paid",IFERROR(VLOOKUP(D1313,CAARStatus!$A$2:$AA$1600,6,FALSE),"Pending"),"Pending")</f>
        <v>46027</v>
      </c>
      <c r="AE1313" s="5" t="str">
        <f t="shared" si="473"/>
        <v>2004-10223058/335 - Paid in full on Jan 5th 2026</v>
      </c>
      <c r="AF1313" s="5" t="str">
        <f t="shared" si="474"/>
        <v>Yossi Avisar Technologies Ltd.</v>
      </c>
      <c r="AG1313" s="5" t="str">
        <f t="shared" si="475"/>
        <v>USD</v>
      </c>
      <c r="AH1313" s="5">
        <f t="shared" si="476"/>
        <v>0</v>
      </c>
      <c r="AI1313" s="12">
        <f>IF(L1313-N1313=0,VLOOKUP(U1313,rate!A$4:B$15,2,FALSE)*AH1313,IF(AG1313="USD",O1313,AH1313*Y1313))</f>
        <v>0</v>
      </c>
      <c r="AJ1313" s="13">
        <f t="shared" si="477"/>
        <v>0</v>
      </c>
      <c r="AK1313" s="13">
        <f>-IF(AG1313="CAD",IFERROR(VLOOKUP(D1313,CAARStatus!$A$1:$Y$1600,16,FALSE),0),0)</f>
        <v>0</v>
      </c>
      <c r="AL1313" s="13">
        <f>-IF(AG1313="USD",IFERROR(VLOOKUP(D1313,CAARStatus!$A$1:$Y$1600,11,FALSE),0),0)</f>
        <v>-6584.64</v>
      </c>
      <c r="AM1313" s="22" t="str">
        <f t="shared" si="478"/>
        <v/>
      </c>
      <c r="AN1313" s="12">
        <f t="shared" si="479"/>
        <v>-6584.64</v>
      </c>
      <c r="AO1313" s="12" t="str">
        <f t="shared" si="480"/>
        <v>Yes</v>
      </c>
      <c r="AP1313" t="str">
        <f t="shared" si="481"/>
        <v>XX</v>
      </c>
      <c r="AQ1313" t="str">
        <f>IFERROR(VLOOKUP(Z1313,InvBal!$L$4:$P$600,4,FALSE),"Pend")</f>
        <v>Yes</v>
      </c>
      <c r="AR1313" t="str">
        <f>IFERROR(VLOOKUP(D1313,Manual!$C$1:$E$22,2,FALSE),"Pend")</f>
        <v>Pend</v>
      </c>
      <c r="AS1313" t="str">
        <f t="shared" si="482"/>
        <v>Yes</v>
      </c>
      <c r="AT1313" t="str">
        <f t="shared" si="483"/>
        <v/>
      </c>
      <c r="AU1313" s="51" t="str">
        <f t="shared" si="484"/>
        <v/>
      </c>
      <c r="AV1313" s="12">
        <f>IFERROR(VLOOKUP(D1313,'Receivable Invoice Detail'!$S$1:$U$3014,3,FALSE),0)</f>
        <v>0</v>
      </c>
      <c r="AW1313" s="12">
        <f t="shared" si="485"/>
        <v>0</v>
      </c>
    </row>
    <row r="1314" spans="1:49" ht="30" x14ac:dyDescent="0.25">
      <c r="A1314" s="2">
        <v>0</v>
      </c>
      <c r="B1314" s="2" t="s">
        <v>6274</v>
      </c>
      <c r="C1314" s="2" t="s">
        <v>6275</v>
      </c>
      <c r="D1314" s="2"/>
      <c r="E1314" s="2" t="s">
        <v>4117</v>
      </c>
      <c r="F1314" s="3">
        <v>46007.680451388893</v>
      </c>
      <c r="G1314" s="3">
        <v>46008.407349537039</v>
      </c>
      <c r="H1314" s="4">
        <v>46033</v>
      </c>
      <c r="I1314" s="2" t="s">
        <v>74</v>
      </c>
      <c r="J1314" s="2" t="s">
        <v>22</v>
      </c>
      <c r="K1314" s="2">
        <v>1</v>
      </c>
      <c r="L1314" s="2">
        <v>523.91</v>
      </c>
      <c r="M1314" s="2">
        <v>0</v>
      </c>
      <c r="N1314" s="2">
        <v>379.78064418403932</v>
      </c>
      <c r="O1314" s="2">
        <v>498.96</v>
      </c>
      <c r="P1314" s="2">
        <v>24.95</v>
      </c>
      <c r="Q1314" s="2">
        <v>523.91</v>
      </c>
      <c r="R1314" s="2" t="s">
        <v>29</v>
      </c>
      <c r="S1314" s="2"/>
      <c r="T1314" s="2">
        <f t="shared" si="464"/>
        <v>0</v>
      </c>
      <c r="U1314" s="18">
        <f t="shared" si="465"/>
        <v>12</v>
      </c>
      <c r="V1314" s="18">
        <f t="shared" si="466"/>
        <v>2025</v>
      </c>
      <c r="W1314" s="18" t="str">
        <f t="shared" si="467"/>
        <v/>
      </c>
      <c r="X1314" s="18" t="str">
        <f t="shared" si="468"/>
        <v/>
      </c>
      <c r="Y1314" s="2">
        <f t="shared" si="469"/>
        <v>0.72489672688828111</v>
      </c>
      <c r="Z1314" t="str">
        <f t="shared" si="470"/>
        <v>SO18435</v>
      </c>
      <c r="AA1314" s="11">
        <f t="shared" si="471"/>
        <v>46007.680451388893</v>
      </c>
      <c r="AB1314" s="5" t="str">
        <f t="shared" si="472"/>
        <v>No Inv</v>
      </c>
      <c r="AC1314" s="5" t="str">
        <f>IFERROR(VLOOKUP(D1314,CAARStatus!$A$2:$AA$1600,22,FALSE),"Not invoiced")</f>
        <v>Not invoiced</v>
      </c>
      <c r="AD1314" s="11" t="str">
        <f>IF(AC1314="Paid",IFERROR(VLOOKUP(D1314,CAARStatus!$A$2:$AA$1600,6,FALSE),"Pending"),"Pending")</f>
        <v>Pending</v>
      </c>
      <c r="AE1314" s="5" t="str">
        <f t="shared" si="473"/>
        <v>2100716052</v>
      </c>
      <c r="AF1314" s="5" t="str">
        <f t="shared" si="474"/>
        <v>Wajax Limited - Val D'Or, Wajax Limited - Val D'Or</v>
      </c>
      <c r="AG1314" s="5" t="str">
        <f t="shared" si="475"/>
        <v>CAD</v>
      </c>
      <c r="AH1314" s="5">
        <f t="shared" si="476"/>
        <v>498.96</v>
      </c>
      <c r="AI1314" s="12">
        <f>IF(L1314-N1314=0,VLOOKUP(U1314,rate!A$4:B$15,2,FALSE)*AH1314,IF(AG1314="USD",O1314,AH1314*Y1314))</f>
        <v>361.69447084817671</v>
      </c>
      <c r="AJ1314" s="13">
        <f t="shared" si="477"/>
        <v>0.72489672688828111</v>
      </c>
      <c r="AK1314" s="13">
        <f>-IF(AG1314="CAD",IFERROR(VLOOKUP(D1314,CAARStatus!$A$1:$Y$1600,16,FALSE),0),0)</f>
        <v>0</v>
      </c>
      <c r="AL1314" s="13">
        <f>-IF(AG1314="USD",IFERROR(VLOOKUP(D1314,CAARStatus!$A$1:$Y$1600,11,FALSE),0),0)</f>
        <v>0</v>
      </c>
      <c r="AM1314" s="22">
        <f t="shared" si="478"/>
        <v>498.96</v>
      </c>
      <c r="AN1314" s="12" t="str">
        <f t="shared" si="479"/>
        <v/>
      </c>
      <c r="AO1314" s="12" t="str">
        <f t="shared" si="480"/>
        <v>Pend</v>
      </c>
      <c r="AP1314" t="str">
        <f t="shared" si="481"/>
        <v>Pend</v>
      </c>
      <c r="AQ1314" t="str">
        <f>IFERROR(VLOOKUP(Z1314,InvBal!$L$4:$P$600,4,FALSE),"Pend")</f>
        <v>Pend</v>
      </c>
      <c r="AR1314" t="str">
        <f>IFERROR(VLOOKUP(D1314,Manual!$C$1:$E$22,2,FALSE),"Pend")</f>
        <v>Pend</v>
      </c>
      <c r="AS1314" t="str">
        <f t="shared" si="482"/>
        <v/>
      </c>
      <c r="AT1314" t="str">
        <f t="shared" si="483"/>
        <v/>
      </c>
      <c r="AU1314" s="51" t="str">
        <f t="shared" si="484"/>
        <v/>
      </c>
      <c r="AV1314" s="12">
        <f>IFERROR(VLOOKUP(D1314,'Receivable Invoice Detail'!$S$1:$U$3014,3,FALSE),0)</f>
        <v>0</v>
      </c>
      <c r="AW1314" s="12">
        <f t="shared" si="485"/>
        <v>0</v>
      </c>
    </row>
    <row r="1315" spans="1:49" x14ac:dyDescent="0.25">
      <c r="A1315" s="2">
        <v>0</v>
      </c>
      <c r="B1315" s="2" t="s">
        <v>6276</v>
      </c>
      <c r="C1315" s="2" t="s">
        <v>6277</v>
      </c>
      <c r="D1315" s="2"/>
      <c r="E1315" s="2" t="s">
        <v>141</v>
      </c>
      <c r="F1315" s="3">
        <v>46008.392974537041</v>
      </c>
      <c r="G1315" s="3">
        <v>46008.393680555557</v>
      </c>
      <c r="H1315" s="4">
        <v>46059</v>
      </c>
      <c r="I1315" s="2" t="s">
        <v>21</v>
      </c>
      <c r="J1315" s="2" t="s">
        <v>51</v>
      </c>
      <c r="K1315" s="2">
        <v>0.72641002219915185</v>
      </c>
      <c r="L1315" s="2">
        <v>1024.214943714014</v>
      </c>
      <c r="M1315" s="2">
        <v>0</v>
      </c>
      <c r="N1315" s="2">
        <v>744</v>
      </c>
      <c r="O1315" s="2">
        <v>744</v>
      </c>
      <c r="P1315" s="2"/>
      <c r="Q1315" s="2">
        <v>744</v>
      </c>
      <c r="R1315" s="2" t="s">
        <v>29</v>
      </c>
      <c r="S1315" s="2"/>
      <c r="T1315" s="2">
        <f t="shared" si="464"/>
        <v>0</v>
      </c>
      <c r="U1315" s="18">
        <f t="shared" si="465"/>
        <v>12</v>
      </c>
      <c r="V1315" s="18">
        <f t="shared" si="466"/>
        <v>2025</v>
      </c>
      <c r="W1315" s="18" t="str">
        <f t="shared" si="467"/>
        <v/>
      </c>
      <c r="X1315" s="18" t="str">
        <f t="shared" si="468"/>
        <v/>
      </c>
      <c r="Y1315" s="2">
        <f t="shared" si="469"/>
        <v>0.72641002219915185</v>
      </c>
      <c r="Z1315" t="str">
        <f t="shared" si="470"/>
        <v>SO18436</v>
      </c>
      <c r="AA1315" s="11">
        <f t="shared" si="471"/>
        <v>46008.392974537041</v>
      </c>
      <c r="AB1315" s="5" t="str">
        <f t="shared" si="472"/>
        <v>No Inv</v>
      </c>
      <c r="AC1315" s="5" t="str">
        <f>IFERROR(VLOOKUP(D1315,CAARStatus!$A$2:$AA$1600,22,FALSE),"Not invoiced")</f>
        <v>Not invoiced</v>
      </c>
      <c r="AD1315" s="11" t="str">
        <f>IF(AC1315="Paid",IFERROR(VLOOKUP(D1315,CAARStatus!$A$2:$AA$1600,6,FALSE),"Pending"),"Pending")</f>
        <v>Pending</v>
      </c>
      <c r="AE1315" s="5" t="str">
        <f t="shared" si="473"/>
        <v>4512632354</v>
      </c>
      <c r="AF1315" s="5" t="str">
        <f t="shared" si="474"/>
        <v>PT Vale Indonesia Tbk.</v>
      </c>
      <c r="AG1315" s="5" t="str">
        <f t="shared" si="475"/>
        <v>USD</v>
      </c>
      <c r="AH1315" s="5">
        <f t="shared" si="476"/>
        <v>1024.214943714014</v>
      </c>
      <c r="AI1315" s="12">
        <f>IF(L1315-N1315=0,VLOOKUP(U1315,rate!A$4:B$15,2,FALSE)*AH1315,IF(AG1315="USD",O1315,AH1315*Y1315))</f>
        <v>744</v>
      </c>
      <c r="AJ1315" s="13">
        <f t="shared" si="477"/>
        <v>0.72641002219915185</v>
      </c>
      <c r="AK1315" s="13">
        <f>-IF(AG1315="CAD",IFERROR(VLOOKUP(D1315,CAARStatus!$A$1:$Y$1600,16,FALSE),0),0)</f>
        <v>0</v>
      </c>
      <c r="AL1315" s="13">
        <f>-IF(AG1315="USD",IFERROR(VLOOKUP(D1315,CAARStatus!$A$1:$Y$1600,11,FALSE),0),0)</f>
        <v>0</v>
      </c>
      <c r="AM1315" s="22" t="str">
        <f t="shared" si="478"/>
        <v/>
      </c>
      <c r="AN1315" s="12">
        <f t="shared" si="479"/>
        <v>744</v>
      </c>
      <c r="AO1315" s="12" t="str">
        <f t="shared" si="480"/>
        <v>Pend</v>
      </c>
      <c r="AP1315" t="str">
        <f t="shared" si="481"/>
        <v>Pend</v>
      </c>
      <c r="AQ1315" t="str">
        <f>IFERROR(VLOOKUP(Z1315,InvBal!$L$4:$P$600,4,FALSE),"Pend")</f>
        <v>Pend</v>
      </c>
      <c r="AR1315" t="str">
        <f>IFERROR(VLOOKUP(D1315,Manual!$C$1:$E$22,2,FALSE),"Pend")</f>
        <v>Pend</v>
      </c>
      <c r="AS1315" t="str">
        <f t="shared" si="482"/>
        <v/>
      </c>
      <c r="AT1315" t="str">
        <f t="shared" si="483"/>
        <v/>
      </c>
      <c r="AU1315" s="51" t="str">
        <f t="shared" si="484"/>
        <v/>
      </c>
      <c r="AV1315" s="12">
        <f>IFERROR(VLOOKUP(D1315,'Receivable Invoice Detail'!$S$1:$U$3014,3,FALSE),0)</f>
        <v>0</v>
      </c>
      <c r="AW1315" s="12">
        <f t="shared" si="485"/>
        <v>0</v>
      </c>
    </row>
    <row r="1316" spans="1:49" x14ac:dyDescent="0.25">
      <c r="A1316" s="2">
        <v>0</v>
      </c>
      <c r="B1316" s="2" t="s">
        <v>6278</v>
      </c>
      <c r="C1316" s="2" t="s">
        <v>6279</v>
      </c>
      <c r="D1316" s="2"/>
      <c r="E1316" s="2" t="s">
        <v>141</v>
      </c>
      <c r="F1316" s="3">
        <v>46008.399918981479</v>
      </c>
      <c r="G1316" s="3">
        <v>46008.399942129632</v>
      </c>
      <c r="H1316" s="4">
        <v>46059</v>
      </c>
      <c r="I1316" s="2" t="s">
        <v>21</v>
      </c>
      <c r="J1316" s="2" t="s">
        <v>51</v>
      </c>
      <c r="K1316" s="2">
        <v>0.72641002219915185</v>
      </c>
      <c r="L1316" s="2">
        <v>1024.214943714014</v>
      </c>
      <c r="M1316" s="2">
        <v>0</v>
      </c>
      <c r="N1316" s="2">
        <v>744</v>
      </c>
      <c r="O1316" s="2">
        <v>744</v>
      </c>
      <c r="P1316" s="2"/>
      <c r="Q1316" s="2">
        <v>744</v>
      </c>
      <c r="R1316" s="2" t="s">
        <v>29</v>
      </c>
      <c r="S1316" s="2"/>
      <c r="T1316" s="2">
        <f t="shared" si="464"/>
        <v>0</v>
      </c>
      <c r="U1316" s="18">
        <f t="shared" si="465"/>
        <v>12</v>
      </c>
      <c r="V1316" s="18">
        <f t="shared" si="466"/>
        <v>2025</v>
      </c>
      <c r="W1316" s="18" t="str">
        <f t="shared" si="467"/>
        <v/>
      </c>
      <c r="X1316" s="18" t="str">
        <f t="shared" si="468"/>
        <v/>
      </c>
      <c r="Y1316" s="2">
        <f t="shared" si="469"/>
        <v>0.72641002219915185</v>
      </c>
      <c r="Z1316" t="str">
        <f t="shared" si="470"/>
        <v>SO18437</v>
      </c>
      <c r="AA1316" s="11">
        <f t="shared" si="471"/>
        <v>46008.399918981479</v>
      </c>
      <c r="AB1316" s="5" t="str">
        <f t="shared" si="472"/>
        <v>No Inv</v>
      </c>
      <c r="AC1316" s="5" t="str">
        <f>IFERROR(VLOOKUP(D1316,CAARStatus!$A$2:$AA$1600,22,FALSE),"Not invoiced")</f>
        <v>Not invoiced</v>
      </c>
      <c r="AD1316" s="11" t="str">
        <f>IF(AC1316="Paid",IFERROR(VLOOKUP(D1316,CAARStatus!$A$2:$AA$1600,6,FALSE),"Pending"),"Pending")</f>
        <v>Pending</v>
      </c>
      <c r="AE1316" s="5" t="str">
        <f t="shared" si="473"/>
        <v>4512632355</v>
      </c>
      <c r="AF1316" s="5" t="str">
        <f t="shared" si="474"/>
        <v>PT Vale Indonesia Tbk.</v>
      </c>
      <c r="AG1316" s="5" t="str">
        <f t="shared" si="475"/>
        <v>USD</v>
      </c>
      <c r="AH1316" s="5">
        <f t="shared" si="476"/>
        <v>1024.214943714014</v>
      </c>
      <c r="AI1316" s="12">
        <f>IF(L1316-N1316=0,VLOOKUP(U1316,rate!A$4:B$15,2,FALSE)*AH1316,IF(AG1316="USD",O1316,AH1316*Y1316))</f>
        <v>744</v>
      </c>
      <c r="AJ1316" s="13">
        <f t="shared" si="477"/>
        <v>0.72641002219915185</v>
      </c>
      <c r="AK1316" s="13">
        <f>-IF(AG1316="CAD",IFERROR(VLOOKUP(D1316,CAARStatus!$A$1:$Y$1600,16,FALSE),0),0)</f>
        <v>0</v>
      </c>
      <c r="AL1316" s="13">
        <f>-IF(AG1316="USD",IFERROR(VLOOKUP(D1316,CAARStatus!$A$1:$Y$1600,11,FALSE),0),0)</f>
        <v>0</v>
      </c>
      <c r="AM1316" s="22" t="str">
        <f t="shared" si="478"/>
        <v/>
      </c>
      <c r="AN1316" s="12">
        <f t="shared" si="479"/>
        <v>744</v>
      </c>
      <c r="AO1316" s="12" t="str">
        <f t="shared" si="480"/>
        <v>Pend</v>
      </c>
      <c r="AP1316" t="str">
        <f t="shared" si="481"/>
        <v>Pend</v>
      </c>
      <c r="AQ1316" t="str">
        <f>IFERROR(VLOOKUP(Z1316,InvBal!$L$4:$P$600,4,FALSE),"Pend")</f>
        <v>Pend</v>
      </c>
      <c r="AR1316" t="str">
        <f>IFERROR(VLOOKUP(D1316,Manual!$C$1:$E$22,2,FALSE),"Pend")</f>
        <v>Pend</v>
      </c>
      <c r="AS1316" t="str">
        <f t="shared" si="482"/>
        <v/>
      </c>
      <c r="AT1316" t="str">
        <f t="shared" si="483"/>
        <v/>
      </c>
      <c r="AU1316" s="51" t="str">
        <f t="shared" si="484"/>
        <v/>
      </c>
      <c r="AV1316" s="12">
        <f>IFERROR(VLOOKUP(D1316,'Receivable Invoice Detail'!$S$1:$U$3014,3,FALSE),0)</f>
        <v>0</v>
      </c>
      <c r="AW1316" s="12">
        <f t="shared" si="485"/>
        <v>0</v>
      </c>
    </row>
    <row r="1317" spans="1:49" ht="30" x14ac:dyDescent="0.25">
      <c r="A1317" s="2">
        <v>0</v>
      </c>
      <c r="B1317" s="2" t="s">
        <v>6280</v>
      </c>
      <c r="C1317" s="2" t="s">
        <v>6281</v>
      </c>
      <c r="D1317" s="2"/>
      <c r="E1317" s="2" t="s">
        <v>1288</v>
      </c>
      <c r="F1317" s="3">
        <v>46008.528043981481</v>
      </c>
      <c r="G1317" s="3">
        <v>46009.378449074073</v>
      </c>
      <c r="H1317" s="4">
        <v>46093</v>
      </c>
      <c r="I1317" s="2" t="s">
        <v>40</v>
      </c>
      <c r="J1317" s="2" t="s">
        <v>51</v>
      </c>
      <c r="K1317" s="2">
        <v>0.72731051874077046</v>
      </c>
      <c r="L1317" s="2">
        <v>3586.446136536234</v>
      </c>
      <c r="M1317" s="2">
        <v>0</v>
      </c>
      <c r="N1317" s="2">
        <v>2608.46</v>
      </c>
      <c r="O1317" s="2">
        <v>2608.46</v>
      </c>
      <c r="P1317" s="2"/>
      <c r="Q1317" s="2">
        <v>2608.46</v>
      </c>
      <c r="R1317" s="2" t="s">
        <v>29</v>
      </c>
      <c r="S1317" s="2"/>
      <c r="T1317" s="2">
        <f t="shared" si="464"/>
        <v>0</v>
      </c>
      <c r="U1317" s="18">
        <f t="shared" si="465"/>
        <v>12</v>
      </c>
      <c r="V1317" s="18">
        <f t="shared" si="466"/>
        <v>2025</v>
      </c>
      <c r="W1317" s="18" t="str">
        <f t="shared" si="467"/>
        <v/>
      </c>
      <c r="X1317" s="18" t="str">
        <f t="shared" si="468"/>
        <v/>
      </c>
      <c r="Y1317" s="2">
        <f t="shared" si="469"/>
        <v>0.72731051874077035</v>
      </c>
      <c r="Z1317" t="str">
        <f t="shared" si="470"/>
        <v>SO18440</v>
      </c>
      <c r="AA1317" s="11">
        <f t="shared" si="471"/>
        <v>46008.528043981481</v>
      </c>
      <c r="AB1317" s="5" t="str">
        <f t="shared" si="472"/>
        <v>No Inv</v>
      </c>
      <c r="AC1317" s="5" t="str">
        <f>IFERROR(VLOOKUP(D1317,CAARStatus!$A$2:$AA$1600,22,FALSE),"Not invoiced")</f>
        <v>Not invoiced</v>
      </c>
      <c r="AD1317" s="11" t="str">
        <f>IF(AC1317="Paid",IFERROR(VLOOKUP(D1317,CAARStatus!$A$2:$AA$1600,6,FALSE),"Pending"),"Pending")</f>
        <v>Pending</v>
      </c>
      <c r="AE1317" s="5" t="str">
        <f t="shared" si="473"/>
        <v>AZ52-00117403</v>
      </c>
      <c r="AF1317" s="5" t="str">
        <f t="shared" si="474"/>
        <v>Motion Industries Inc. (U.S.) - Tucson</v>
      </c>
      <c r="AG1317" s="5" t="str">
        <f t="shared" si="475"/>
        <v>USD</v>
      </c>
      <c r="AH1317" s="5">
        <f t="shared" si="476"/>
        <v>3586.4461365362336</v>
      </c>
      <c r="AI1317" s="12">
        <f>IF(L1317-N1317=0,VLOOKUP(U1317,rate!A$4:B$15,2,FALSE)*AH1317,IF(AG1317="USD",O1317,AH1317*Y1317))</f>
        <v>2608.46</v>
      </c>
      <c r="AJ1317" s="13">
        <f t="shared" si="477"/>
        <v>0.72731051874077046</v>
      </c>
      <c r="AK1317" s="13">
        <f>-IF(AG1317="CAD",IFERROR(VLOOKUP(D1317,CAARStatus!$A$1:$Y$1600,16,FALSE),0),0)</f>
        <v>0</v>
      </c>
      <c r="AL1317" s="13">
        <f>-IF(AG1317="USD",IFERROR(VLOOKUP(D1317,CAARStatus!$A$1:$Y$1600,11,FALSE),0),0)</f>
        <v>0</v>
      </c>
      <c r="AM1317" s="22" t="str">
        <f t="shared" si="478"/>
        <v/>
      </c>
      <c r="AN1317" s="12">
        <f t="shared" si="479"/>
        <v>2608.46</v>
      </c>
      <c r="AO1317" s="12" t="str">
        <f t="shared" si="480"/>
        <v>Pend</v>
      </c>
      <c r="AP1317" t="str">
        <f t="shared" si="481"/>
        <v>Pend</v>
      </c>
      <c r="AQ1317" t="str">
        <f>IFERROR(VLOOKUP(Z1317,InvBal!$L$4:$P$600,4,FALSE),"Pend")</f>
        <v>Pend</v>
      </c>
      <c r="AR1317" t="str">
        <f>IFERROR(VLOOKUP(D1317,Manual!$C$1:$E$22,2,FALSE),"Pend")</f>
        <v>Pend</v>
      </c>
      <c r="AS1317" t="str">
        <f t="shared" si="482"/>
        <v/>
      </c>
      <c r="AT1317" t="str">
        <f t="shared" si="483"/>
        <v/>
      </c>
      <c r="AU1317" s="51" t="str">
        <f t="shared" si="484"/>
        <v/>
      </c>
      <c r="AV1317" s="12">
        <f>IFERROR(VLOOKUP(D1317,'Receivable Invoice Detail'!$S$1:$U$3014,3,FALSE),0)</f>
        <v>0</v>
      </c>
      <c r="AW1317" s="12">
        <f t="shared" si="485"/>
        <v>0</v>
      </c>
    </row>
    <row r="1318" spans="1:49" ht="30" x14ac:dyDescent="0.25">
      <c r="A1318" s="2">
        <v>1</v>
      </c>
      <c r="B1318" s="2" t="s">
        <v>6282</v>
      </c>
      <c r="C1318" s="2" t="s">
        <v>6058</v>
      </c>
      <c r="D1318" s="2" t="s">
        <v>6057</v>
      </c>
      <c r="E1318" s="2" t="s">
        <v>32</v>
      </c>
      <c r="F1318" s="3">
        <v>46008.749710648153</v>
      </c>
      <c r="G1318" s="3">
        <v>46008.749745370369</v>
      </c>
      <c r="H1318" s="4">
        <v>46009</v>
      </c>
      <c r="I1318" s="2" t="s">
        <v>21</v>
      </c>
      <c r="J1318" s="2" t="s">
        <v>22</v>
      </c>
      <c r="K1318" s="2">
        <v>1</v>
      </c>
      <c r="L1318" s="2">
        <v>219.41</v>
      </c>
      <c r="M1318" s="2">
        <v>0</v>
      </c>
      <c r="N1318" s="2">
        <v>159.04959084655769</v>
      </c>
      <c r="O1318" s="2">
        <v>194.17</v>
      </c>
      <c r="P1318" s="2">
        <v>25.24</v>
      </c>
      <c r="Q1318" s="2">
        <v>219.41</v>
      </c>
      <c r="R1318" s="2" t="s">
        <v>44</v>
      </c>
      <c r="S1318" s="2"/>
      <c r="T1318" s="2">
        <f t="shared" si="464"/>
        <v>1</v>
      </c>
      <c r="U1318" s="18">
        <f t="shared" si="465"/>
        <v>12</v>
      </c>
      <c r="V1318" s="18">
        <f t="shared" si="466"/>
        <v>2025</v>
      </c>
      <c r="W1318" s="18" t="str">
        <f t="shared" si="467"/>
        <v/>
      </c>
      <c r="X1318" s="18" t="str">
        <f t="shared" si="468"/>
        <v/>
      </c>
      <c r="Y1318" s="2">
        <f t="shared" si="469"/>
        <v>0.72489672688828077</v>
      </c>
      <c r="Z1318" t="str">
        <f t="shared" si="470"/>
        <v>SO18444</v>
      </c>
      <c r="AA1318" s="11">
        <f t="shared" si="471"/>
        <v>46008.749710648153</v>
      </c>
      <c r="AB1318" s="5" t="str">
        <f t="shared" si="472"/>
        <v>INV13800</v>
      </c>
      <c r="AC1318" s="5" t="str">
        <f>IFERROR(VLOOKUP(D1318,CAARStatus!$A$2:$AA$1600,22,FALSE),"Not invoiced")</f>
        <v>Approved</v>
      </c>
      <c r="AD1318" s="11" t="str">
        <f>IF(AC1318="Paid",IFERROR(VLOOKUP(D1318,CAARStatus!$A$2:$AA$1600,6,FALSE),"Pending"),"Pending")</f>
        <v>Pending</v>
      </c>
      <c r="AE1318" s="5" t="str">
        <f t="shared" si="473"/>
        <v>4500923304</v>
      </c>
      <c r="AF1318" s="5" t="str">
        <f t="shared" si="474"/>
        <v>Cameco Corporation - Blind River Refinery</v>
      </c>
      <c r="AG1318" s="5" t="str">
        <f t="shared" si="475"/>
        <v>CAD</v>
      </c>
      <c r="AH1318" s="5">
        <f t="shared" si="476"/>
        <v>194.17</v>
      </c>
      <c r="AI1318" s="12">
        <f>IF(L1318-N1318=0,VLOOKUP(U1318,rate!A$4:B$15,2,FALSE)*AH1318,IF(AG1318="USD",O1318,AH1318*Y1318))</f>
        <v>140.75319745989748</v>
      </c>
      <c r="AJ1318" s="13">
        <f t="shared" si="477"/>
        <v>0.72489672688828077</v>
      </c>
      <c r="AK1318" s="13">
        <f>-IF(AG1318="CAD",IFERROR(VLOOKUP(D1318,CAARStatus!$A$1:$Y$1600,16,FALSE),0),0)</f>
        <v>-194.17</v>
      </c>
      <c r="AL1318" s="13">
        <f>-IF(AG1318="USD",IFERROR(VLOOKUP(D1318,CAARStatus!$A$1:$Y$1600,11,FALSE),0),0)</f>
        <v>0</v>
      </c>
      <c r="AM1318" s="22">
        <f t="shared" si="478"/>
        <v>0</v>
      </c>
      <c r="AN1318" s="12" t="str">
        <f t="shared" si="479"/>
        <v/>
      </c>
      <c r="AO1318" s="12" t="str">
        <f t="shared" si="480"/>
        <v>Pend</v>
      </c>
      <c r="AP1318" t="str">
        <f t="shared" si="481"/>
        <v>Pend</v>
      </c>
      <c r="AQ1318" t="str">
        <f>IFERROR(VLOOKUP(Z1318,InvBal!$L$4:$P$600,4,FALSE),"Pend")</f>
        <v>Pend</v>
      </c>
      <c r="AR1318" t="str">
        <f>IFERROR(VLOOKUP(D1318,Manual!$C$1:$E$22,2,FALSE),"Pend")</f>
        <v>Pend</v>
      </c>
      <c r="AS1318" t="str">
        <f t="shared" si="482"/>
        <v/>
      </c>
      <c r="AT1318" t="str">
        <f t="shared" si="483"/>
        <v>Yes</v>
      </c>
      <c r="AU1318" s="51" t="str">
        <f t="shared" si="484"/>
        <v/>
      </c>
      <c r="AV1318" s="12">
        <f>IFERROR(VLOOKUP(D1318,'Receivable Invoice Detail'!$S$1:$U$3014,3,FALSE),0)</f>
        <v>0</v>
      </c>
      <c r="AW1318" s="12">
        <f t="shared" si="485"/>
        <v>0</v>
      </c>
    </row>
    <row r="1319" spans="1:49" ht="30" x14ac:dyDescent="0.25">
      <c r="A1319" s="2">
        <v>1</v>
      </c>
      <c r="B1319" s="2" t="s">
        <v>6283</v>
      </c>
      <c r="C1319" s="2" t="s">
        <v>6072</v>
      </c>
      <c r="D1319" s="2" t="s">
        <v>6071</v>
      </c>
      <c r="E1319" s="2" t="s">
        <v>98</v>
      </c>
      <c r="F1319" s="3">
        <v>46009.619837962957</v>
      </c>
      <c r="G1319" s="3">
        <v>46013.660011574073</v>
      </c>
      <c r="H1319" s="2"/>
      <c r="I1319" s="2" t="s">
        <v>40</v>
      </c>
      <c r="J1319" s="2" t="s">
        <v>22</v>
      </c>
      <c r="K1319" s="2">
        <v>1</v>
      </c>
      <c r="L1319" s="2">
        <v>15547.2</v>
      </c>
      <c r="M1319" s="2">
        <v>0</v>
      </c>
      <c r="N1319" s="2">
        <v>11310.93598540279</v>
      </c>
      <c r="O1319" s="2">
        <v>13758.59</v>
      </c>
      <c r="P1319" s="2">
        <v>1788.61</v>
      </c>
      <c r="Q1319" s="2">
        <v>15547.2</v>
      </c>
      <c r="R1319" s="2" t="s">
        <v>29</v>
      </c>
      <c r="S1319" s="2"/>
      <c r="T1319" s="2">
        <f t="shared" si="464"/>
        <v>1</v>
      </c>
      <c r="U1319" s="18">
        <f t="shared" si="465"/>
        <v>12</v>
      </c>
      <c r="V1319" s="18">
        <f t="shared" si="466"/>
        <v>2025</v>
      </c>
      <c r="W1319" s="18" t="str">
        <f t="shared" si="467"/>
        <v/>
      </c>
      <c r="X1319" s="18" t="str">
        <f t="shared" si="468"/>
        <v/>
      </c>
      <c r="Y1319" s="2">
        <f t="shared" si="469"/>
        <v>0.72752238251278623</v>
      </c>
      <c r="Z1319" t="str">
        <f t="shared" si="470"/>
        <v>SO18445</v>
      </c>
      <c r="AA1319" s="11">
        <f t="shared" si="471"/>
        <v>46009.619837962957</v>
      </c>
      <c r="AB1319" s="5" t="str">
        <f t="shared" si="472"/>
        <v>INV13809</v>
      </c>
      <c r="AC1319" s="5" t="str">
        <f>IFERROR(VLOOKUP(D1319,CAARStatus!$A$2:$AA$1600,22,FALSE),"Not invoiced")</f>
        <v>Approved</v>
      </c>
      <c r="AD1319" s="11" t="str">
        <f>IF(AC1319="Paid",IFERROR(VLOOKUP(D1319,CAARStatus!$A$2:$AA$1600,6,FALSE),"Pending"),"Pending")</f>
        <v>Pending</v>
      </c>
      <c r="AE1319" s="5" t="str">
        <f t="shared" si="473"/>
        <v>PO-008523</v>
      </c>
      <c r="AF1319" s="5" t="str">
        <f t="shared" si="474"/>
        <v>Sling-Choker Manufacturing - Timmins</v>
      </c>
      <c r="AG1319" s="5" t="str">
        <f t="shared" si="475"/>
        <v>CAD</v>
      </c>
      <c r="AH1319" s="5">
        <f t="shared" si="476"/>
        <v>13758.59</v>
      </c>
      <c r="AI1319" s="12">
        <f>IF(L1319-N1319=0,VLOOKUP(U1319,rate!A$4:B$15,2,FALSE)*AH1319,IF(AG1319="USD",O1319,AH1319*Y1319))</f>
        <v>10009.682176816596</v>
      </c>
      <c r="AJ1319" s="13">
        <f t="shared" si="477"/>
        <v>0.72752238251278623</v>
      </c>
      <c r="AK1319" s="13">
        <f>-IF(AG1319="CAD",IFERROR(VLOOKUP(D1319,CAARStatus!$A$1:$Y$1600,16,FALSE),0),0)</f>
        <v>-197.62</v>
      </c>
      <c r="AL1319" s="13">
        <f>-IF(AG1319="USD",IFERROR(VLOOKUP(D1319,CAARStatus!$A$1:$Y$1600,11,FALSE),0),0)</f>
        <v>0</v>
      </c>
      <c r="AM1319" s="22">
        <f t="shared" si="478"/>
        <v>13560.97</v>
      </c>
      <c r="AN1319" s="12" t="str">
        <f t="shared" si="479"/>
        <v/>
      </c>
      <c r="AO1319" s="12" t="str">
        <f t="shared" si="480"/>
        <v>Pend</v>
      </c>
      <c r="AP1319" t="str">
        <f t="shared" si="481"/>
        <v>Pend</v>
      </c>
      <c r="AQ1319" t="str">
        <f>IFERROR(VLOOKUP(Z1319,InvBal!$L$4:$P$600,4,FALSE),"Pend")</f>
        <v>Pend</v>
      </c>
      <c r="AR1319" t="str">
        <f>IFERROR(VLOOKUP(D1319,Manual!$C$1:$E$22,2,FALSE),"Pend")</f>
        <v>Pend</v>
      </c>
      <c r="AS1319" t="str">
        <f t="shared" si="482"/>
        <v/>
      </c>
      <c r="AT1319" t="str">
        <f t="shared" si="483"/>
        <v/>
      </c>
      <c r="AU1319" s="51" t="str">
        <f t="shared" si="484"/>
        <v/>
      </c>
      <c r="AV1319" s="12">
        <f>IFERROR(VLOOKUP(D1319,'Receivable Invoice Detail'!$S$1:$U$3014,3,FALSE),0)</f>
        <v>0</v>
      </c>
      <c r="AW1319" s="12">
        <f t="shared" si="485"/>
        <v>0</v>
      </c>
    </row>
    <row r="1320" spans="1:49" ht="30" x14ac:dyDescent="0.25">
      <c r="A1320" s="2">
        <v>0</v>
      </c>
      <c r="B1320" s="2" t="s">
        <v>6284</v>
      </c>
      <c r="C1320" s="2" t="s">
        <v>6285</v>
      </c>
      <c r="D1320" s="2"/>
      <c r="E1320" s="2" t="s">
        <v>20</v>
      </c>
      <c r="F1320" s="3">
        <v>46009.745555555557</v>
      </c>
      <c r="G1320" s="3">
        <v>46013.743113425917</v>
      </c>
      <c r="H1320" s="4">
        <v>46041</v>
      </c>
      <c r="I1320" s="2" t="s">
        <v>21</v>
      </c>
      <c r="J1320" s="2" t="s">
        <v>22</v>
      </c>
      <c r="K1320" s="2">
        <v>1</v>
      </c>
      <c r="L1320" s="2">
        <v>1465.82</v>
      </c>
      <c r="M1320" s="2">
        <v>0</v>
      </c>
      <c r="N1320" s="2">
        <v>1066.416858734892</v>
      </c>
      <c r="O1320" s="2">
        <v>1297.19</v>
      </c>
      <c r="P1320" s="2">
        <v>168.63</v>
      </c>
      <c r="Q1320" s="2">
        <v>1465.82</v>
      </c>
      <c r="R1320" s="2" t="s">
        <v>29</v>
      </c>
      <c r="S1320" s="2"/>
      <c r="T1320" s="2">
        <f t="shared" si="464"/>
        <v>0</v>
      </c>
      <c r="U1320" s="18">
        <f t="shared" si="465"/>
        <v>12</v>
      </c>
      <c r="V1320" s="18">
        <f t="shared" si="466"/>
        <v>2025</v>
      </c>
      <c r="W1320" s="18" t="str">
        <f t="shared" si="467"/>
        <v/>
      </c>
      <c r="X1320" s="18" t="str">
        <f t="shared" si="468"/>
        <v/>
      </c>
      <c r="Y1320" s="2">
        <f t="shared" si="469"/>
        <v>0.727522382512786</v>
      </c>
      <c r="Z1320" t="str">
        <f t="shared" si="470"/>
        <v>SO18446</v>
      </c>
      <c r="AA1320" s="11">
        <f t="shared" si="471"/>
        <v>46009.745555555557</v>
      </c>
      <c r="AB1320" s="5" t="str">
        <f t="shared" si="472"/>
        <v>No Inv</v>
      </c>
      <c r="AC1320" s="5" t="str">
        <f>IFERROR(VLOOKUP(D1320,CAARStatus!$A$2:$AA$1600,22,FALSE),"Not invoiced")</f>
        <v>Not invoiced</v>
      </c>
      <c r="AD1320" s="11" t="str">
        <f>IF(AC1320="Paid",IFERROR(VLOOKUP(D1320,CAARStatus!$A$2:$AA$1600,6,FALSE),"Pending"),"Pending")</f>
        <v>Pending</v>
      </c>
      <c r="AE1320" s="5" t="str">
        <f t="shared" si="473"/>
        <v>4500627804</v>
      </c>
      <c r="AF1320" s="5" t="str">
        <f t="shared" si="474"/>
        <v>Resolute Forest Products - Saint-Felicien</v>
      </c>
      <c r="AG1320" s="5" t="str">
        <f t="shared" si="475"/>
        <v>CAD</v>
      </c>
      <c r="AH1320" s="5">
        <f t="shared" si="476"/>
        <v>1297.19</v>
      </c>
      <c r="AI1320" s="12">
        <f>IF(L1320-N1320=0,VLOOKUP(U1320,rate!A$4:B$15,2,FALSE)*AH1320,IF(AG1320="USD",O1320,AH1320*Y1320))</f>
        <v>943.7347593717609</v>
      </c>
      <c r="AJ1320" s="13">
        <f t="shared" si="477"/>
        <v>0.727522382512786</v>
      </c>
      <c r="AK1320" s="13">
        <f>-IF(AG1320="CAD",IFERROR(VLOOKUP(D1320,CAARStatus!$A$1:$Y$1600,16,FALSE),0),0)</f>
        <v>0</v>
      </c>
      <c r="AL1320" s="13">
        <f>-IF(AG1320="USD",IFERROR(VLOOKUP(D1320,CAARStatus!$A$1:$Y$1600,11,FALSE),0),0)</f>
        <v>0</v>
      </c>
      <c r="AM1320" s="22">
        <f t="shared" si="478"/>
        <v>1297.19</v>
      </c>
      <c r="AN1320" s="12" t="str">
        <f t="shared" si="479"/>
        <v/>
      </c>
      <c r="AO1320" s="12" t="str">
        <f t="shared" si="480"/>
        <v>Pend</v>
      </c>
      <c r="AP1320" t="str">
        <f t="shared" si="481"/>
        <v>Pend</v>
      </c>
      <c r="AQ1320" t="str">
        <f>IFERROR(VLOOKUP(Z1320,InvBal!$L$4:$P$600,4,FALSE),"Pend")</f>
        <v>Pend</v>
      </c>
      <c r="AR1320" t="str">
        <f>IFERROR(VLOOKUP(D1320,Manual!$C$1:$E$22,2,FALSE),"Pend")</f>
        <v>Pend</v>
      </c>
      <c r="AS1320" t="str">
        <f t="shared" si="482"/>
        <v/>
      </c>
      <c r="AT1320" t="str">
        <f t="shared" si="483"/>
        <v/>
      </c>
      <c r="AU1320" s="51" t="str">
        <f t="shared" si="484"/>
        <v/>
      </c>
      <c r="AV1320" s="12">
        <f>IFERROR(VLOOKUP(D1320,'Receivable Invoice Detail'!$S$1:$U$3014,3,FALSE),0)</f>
        <v>0</v>
      </c>
      <c r="AW1320" s="12">
        <f t="shared" si="485"/>
        <v>0</v>
      </c>
    </row>
    <row r="1321" spans="1:49" x14ac:dyDescent="0.25">
      <c r="A1321" s="2">
        <v>1</v>
      </c>
      <c r="B1321" s="2" t="s">
        <v>6286</v>
      </c>
      <c r="C1321" s="2" t="s">
        <v>6055</v>
      </c>
      <c r="D1321" s="2" t="s">
        <v>6054</v>
      </c>
      <c r="E1321" s="2" t="s">
        <v>146</v>
      </c>
      <c r="F1321" s="3">
        <v>46010.474224537043</v>
      </c>
      <c r="G1321" s="3">
        <v>46010.650196759263</v>
      </c>
      <c r="H1321" s="4">
        <v>46013</v>
      </c>
      <c r="I1321" s="2" t="s">
        <v>74</v>
      </c>
      <c r="J1321" s="2" t="s">
        <v>22</v>
      </c>
      <c r="K1321" s="2">
        <v>1</v>
      </c>
      <c r="L1321" s="2">
        <v>181.21</v>
      </c>
      <c r="M1321" s="2">
        <v>0</v>
      </c>
      <c r="N1321" s="2">
        <v>131.48285396781159</v>
      </c>
      <c r="O1321" s="2">
        <v>172.58</v>
      </c>
      <c r="P1321" s="2">
        <v>8.6300000000000008</v>
      </c>
      <c r="Q1321" s="2">
        <v>181.21</v>
      </c>
      <c r="R1321" s="2" t="s">
        <v>44</v>
      </c>
      <c r="S1321" s="2"/>
      <c r="T1321" s="2">
        <f t="shared" si="464"/>
        <v>1</v>
      </c>
      <c r="U1321" s="18">
        <f t="shared" si="465"/>
        <v>12</v>
      </c>
      <c r="V1321" s="18">
        <f t="shared" si="466"/>
        <v>2025</v>
      </c>
      <c r="W1321" s="18" t="str">
        <f t="shared" si="467"/>
        <v/>
      </c>
      <c r="X1321" s="18" t="str">
        <f t="shared" si="468"/>
        <v/>
      </c>
      <c r="Y1321" s="2">
        <f t="shared" si="469"/>
        <v>0.72558277119260295</v>
      </c>
      <c r="Z1321" t="str">
        <f t="shared" si="470"/>
        <v>SO18452</v>
      </c>
      <c r="AA1321" s="11">
        <f t="shared" si="471"/>
        <v>46010.474224537043</v>
      </c>
      <c r="AB1321" s="5" t="str">
        <f t="shared" si="472"/>
        <v>INV13798</v>
      </c>
      <c r="AC1321" s="5" t="str">
        <f>IFERROR(VLOOKUP(D1321,CAARStatus!$A$2:$AA$1600,22,FALSE),"Not invoiced")</f>
        <v>Approved</v>
      </c>
      <c r="AD1321" s="11" t="str">
        <f>IF(AC1321="Paid",IFERROR(VLOOKUP(D1321,CAARStatus!$A$2:$AA$1600,6,FALSE),"Pending"),"Pending")</f>
        <v>Pending</v>
      </c>
      <c r="AE1321" s="5" t="str">
        <f t="shared" si="473"/>
        <v>8196</v>
      </c>
      <c r="AF1321" s="5" t="str">
        <f t="shared" si="474"/>
        <v>Hyperflo</v>
      </c>
      <c r="AG1321" s="5" t="str">
        <f t="shared" si="475"/>
        <v>CAD</v>
      </c>
      <c r="AH1321" s="5">
        <f t="shared" si="476"/>
        <v>172.58</v>
      </c>
      <c r="AI1321" s="12">
        <f>IF(L1321-N1321=0,VLOOKUP(U1321,rate!A$4:B$15,2,FALSE)*AH1321,IF(AG1321="USD",O1321,AH1321*Y1321))</f>
        <v>125.22107465241943</v>
      </c>
      <c r="AJ1321" s="13">
        <f t="shared" si="477"/>
        <v>0.72558277119260295</v>
      </c>
      <c r="AK1321" s="13">
        <f>-IF(AG1321="CAD",IFERROR(VLOOKUP(D1321,CAARStatus!$A$1:$Y$1600,16,FALSE),0),0)</f>
        <v>-172.58</v>
      </c>
      <c r="AL1321" s="13">
        <f>-IF(AG1321="USD",IFERROR(VLOOKUP(D1321,CAARStatus!$A$1:$Y$1600,11,FALSE),0),0)</f>
        <v>0</v>
      </c>
      <c r="AM1321" s="22">
        <f t="shared" si="478"/>
        <v>0</v>
      </c>
      <c r="AN1321" s="12" t="str">
        <f t="shared" si="479"/>
        <v/>
      </c>
      <c r="AO1321" s="12" t="str">
        <f t="shared" si="480"/>
        <v>Pend</v>
      </c>
      <c r="AP1321" t="str">
        <f t="shared" si="481"/>
        <v>Pend</v>
      </c>
      <c r="AQ1321" t="str">
        <f>IFERROR(VLOOKUP(Z1321,InvBal!$L$4:$P$600,4,FALSE),"Pend")</f>
        <v>Pend</v>
      </c>
      <c r="AR1321" t="str">
        <f>IFERROR(VLOOKUP(D1321,Manual!$C$1:$E$22,2,FALSE),"Pend")</f>
        <v>Pend</v>
      </c>
      <c r="AS1321" t="str">
        <f t="shared" si="482"/>
        <v/>
      </c>
      <c r="AT1321" t="str">
        <f t="shared" si="483"/>
        <v>Yes</v>
      </c>
      <c r="AU1321" s="51" t="str">
        <f t="shared" si="484"/>
        <v/>
      </c>
      <c r="AV1321" s="12">
        <f>IFERROR(VLOOKUP(D1321,'Receivable Invoice Detail'!$S$1:$U$3014,3,FALSE),0)</f>
        <v>0</v>
      </c>
      <c r="AW1321" s="12">
        <f t="shared" si="485"/>
        <v>0</v>
      </c>
    </row>
    <row r="1322" spans="1:49" x14ac:dyDescent="0.25">
      <c r="A1322" s="2">
        <v>0</v>
      </c>
      <c r="B1322" s="2" t="s">
        <v>6287</v>
      </c>
      <c r="C1322" s="2" t="s">
        <v>6288</v>
      </c>
      <c r="D1322" s="2"/>
      <c r="E1322" s="2" t="s">
        <v>77</v>
      </c>
      <c r="F1322" s="3">
        <v>46010.478981481479</v>
      </c>
      <c r="G1322" s="3">
        <v>46020.418055555558</v>
      </c>
      <c r="H1322" s="4">
        <v>46057</v>
      </c>
      <c r="I1322" s="2" t="s">
        <v>40</v>
      </c>
      <c r="J1322" s="2" t="s">
        <v>22</v>
      </c>
      <c r="K1322" s="2">
        <v>1</v>
      </c>
      <c r="L1322" s="2">
        <v>96.5</v>
      </c>
      <c r="M1322" s="2">
        <v>0</v>
      </c>
      <c r="N1322" s="2">
        <v>70.527025146096804</v>
      </c>
      <c r="O1322" s="2">
        <v>91.9</v>
      </c>
      <c r="P1322" s="2">
        <v>4.5999999999999996</v>
      </c>
      <c r="Q1322" s="2">
        <v>96.5</v>
      </c>
      <c r="R1322" s="2" t="s">
        <v>29</v>
      </c>
      <c r="S1322" s="2"/>
      <c r="T1322" s="2">
        <f t="shared" si="464"/>
        <v>0</v>
      </c>
      <c r="U1322" s="18">
        <f t="shared" si="465"/>
        <v>12</v>
      </c>
      <c r="V1322" s="18">
        <f t="shared" si="466"/>
        <v>2025</v>
      </c>
      <c r="W1322" s="18" t="str">
        <f t="shared" si="467"/>
        <v/>
      </c>
      <c r="X1322" s="18" t="str">
        <f t="shared" si="468"/>
        <v/>
      </c>
      <c r="Y1322" s="2">
        <f t="shared" si="469"/>
        <v>0.73085000151395652</v>
      </c>
      <c r="Z1322" t="str">
        <f t="shared" si="470"/>
        <v>SO18453</v>
      </c>
      <c r="AA1322" s="11">
        <f t="shared" si="471"/>
        <v>46010.478981481479</v>
      </c>
      <c r="AB1322" s="5" t="str">
        <f t="shared" si="472"/>
        <v>No Inv</v>
      </c>
      <c r="AC1322" s="5" t="str">
        <f>IFERROR(VLOOKUP(D1322,CAARStatus!$A$2:$AA$1600,22,FALSE),"Not invoiced")</f>
        <v>Not invoiced</v>
      </c>
      <c r="AD1322" s="11" t="str">
        <f>IF(AC1322="Paid",IFERROR(VLOOKUP(D1322,CAARStatus!$A$2:$AA$1600,6,FALSE),"Pending"),"Pending")</f>
        <v>Pending</v>
      </c>
      <c r="AE1322" s="5" t="str">
        <f t="shared" si="473"/>
        <v>PO-40-1020263</v>
      </c>
      <c r="AF1322" s="5" t="str">
        <f t="shared" si="474"/>
        <v>Canadian Bearings Ltd.</v>
      </c>
      <c r="AG1322" s="5" t="str">
        <f t="shared" si="475"/>
        <v>CAD</v>
      </c>
      <c r="AH1322" s="5">
        <f t="shared" si="476"/>
        <v>91.9</v>
      </c>
      <c r="AI1322" s="12">
        <f>IF(L1322-N1322=0,VLOOKUP(U1322,rate!A$4:B$15,2,FALSE)*AH1322,IF(AG1322="USD",O1322,AH1322*Y1322))</f>
        <v>67.16511513913261</v>
      </c>
      <c r="AJ1322" s="13">
        <f t="shared" si="477"/>
        <v>0.73085000151395652</v>
      </c>
      <c r="AK1322" s="13">
        <f>-IF(AG1322="CAD",IFERROR(VLOOKUP(D1322,CAARStatus!$A$1:$Y$1600,16,FALSE),0),0)</f>
        <v>0</v>
      </c>
      <c r="AL1322" s="13">
        <f>-IF(AG1322="USD",IFERROR(VLOOKUP(D1322,CAARStatus!$A$1:$Y$1600,11,FALSE),0),0)</f>
        <v>0</v>
      </c>
      <c r="AM1322" s="22">
        <f t="shared" si="478"/>
        <v>91.9</v>
      </c>
      <c r="AN1322" s="12" t="str">
        <f t="shared" si="479"/>
        <v/>
      </c>
      <c r="AO1322" s="12" t="str">
        <f t="shared" si="480"/>
        <v>Pend</v>
      </c>
      <c r="AP1322" t="str">
        <f t="shared" si="481"/>
        <v>Pend</v>
      </c>
      <c r="AQ1322" t="str">
        <f>IFERROR(VLOOKUP(Z1322,InvBal!$L$4:$P$600,4,FALSE),"Pend")</f>
        <v>Pend</v>
      </c>
      <c r="AR1322" t="str">
        <f>IFERROR(VLOOKUP(D1322,Manual!$C$1:$E$22,2,FALSE),"Pend")</f>
        <v>Pend</v>
      </c>
      <c r="AS1322" t="str">
        <f t="shared" si="482"/>
        <v/>
      </c>
      <c r="AT1322" t="str">
        <f t="shared" si="483"/>
        <v/>
      </c>
      <c r="AU1322" s="51" t="str">
        <f t="shared" si="484"/>
        <v/>
      </c>
      <c r="AV1322" s="12">
        <f>IFERROR(VLOOKUP(D1322,'Receivable Invoice Detail'!$S$1:$U$3014,3,FALSE),0)</f>
        <v>0</v>
      </c>
      <c r="AW1322" s="12">
        <f t="shared" si="485"/>
        <v>0</v>
      </c>
    </row>
    <row r="1323" spans="1:49" ht="30" x14ac:dyDescent="0.25">
      <c r="A1323" s="2">
        <v>0</v>
      </c>
      <c r="B1323" s="2" t="s">
        <v>6289</v>
      </c>
      <c r="C1323" s="2" t="s">
        <v>6290</v>
      </c>
      <c r="D1323" s="2"/>
      <c r="E1323" s="2" t="s">
        <v>159</v>
      </c>
      <c r="F1323" s="3">
        <v>46010.51798611111</v>
      </c>
      <c r="G1323" s="3">
        <v>46010.524293981478</v>
      </c>
      <c r="H1323" s="4">
        <v>46066</v>
      </c>
      <c r="I1323" s="2" t="s">
        <v>40</v>
      </c>
      <c r="J1323" s="2" t="s">
        <v>51</v>
      </c>
      <c r="K1323" s="2">
        <v>0.72489672688828111</v>
      </c>
      <c r="L1323" s="2">
        <v>8952.4476512088841</v>
      </c>
      <c r="M1323" s="2">
        <v>0</v>
      </c>
      <c r="N1323" s="2">
        <v>6489.6</v>
      </c>
      <c r="O1323" s="2">
        <v>6489.6</v>
      </c>
      <c r="P1323" s="2"/>
      <c r="Q1323" s="2">
        <v>6489.6</v>
      </c>
      <c r="R1323" s="2" t="s">
        <v>23</v>
      </c>
      <c r="S1323" s="2"/>
      <c r="T1323" s="2">
        <f t="shared" si="464"/>
        <v>0</v>
      </c>
      <c r="U1323" s="18">
        <f t="shared" si="465"/>
        <v>12</v>
      </c>
      <c r="V1323" s="18">
        <f t="shared" si="466"/>
        <v>2025</v>
      </c>
      <c r="W1323" s="18" t="str">
        <f t="shared" si="467"/>
        <v/>
      </c>
      <c r="X1323" s="18" t="str">
        <f t="shared" si="468"/>
        <v/>
      </c>
      <c r="Y1323" s="2">
        <f t="shared" si="469"/>
        <v>0.72489672688828111</v>
      </c>
      <c r="Z1323" t="str">
        <f t="shared" si="470"/>
        <v>SO18454</v>
      </c>
      <c r="AA1323" s="11">
        <f t="shared" si="471"/>
        <v>46010.51798611111</v>
      </c>
      <c r="AB1323" s="5" t="str">
        <f t="shared" si="472"/>
        <v>No Inv</v>
      </c>
      <c r="AC1323" s="5" t="str">
        <f>IFERROR(VLOOKUP(D1323,CAARStatus!$A$2:$AA$1600,22,FALSE),"Not invoiced")</f>
        <v>Not invoiced</v>
      </c>
      <c r="AD1323" s="11" t="str">
        <f>IF(AC1323="Paid",IFERROR(VLOOKUP(D1323,CAARStatus!$A$2:$AA$1600,6,FALSE),"Pending"),"Pending")</f>
        <v>Pending</v>
      </c>
      <c r="AE1323" s="5" t="str">
        <f t="shared" si="473"/>
        <v>4501362599</v>
      </c>
      <c r="AF1323" s="5" t="str">
        <f t="shared" si="474"/>
        <v>Barrick Gold - Pueblo Viejo Dominicana Corporation</v>
      </c>
      <c r="AG1323" s="5" t="str">
        <f t="shared" si="475"/>
        <v>USD</v>
      </c>
      <c r="AH1323" s="5">
        <f t="shared" si="476"/>
        <v>8952.4476512088841</v>
      </c>
      <c r="AI1323" s="12">
        <f>IF(L1323-N1323=0,VLOOKUP(U1323,rate!A$4:B$15,2,FALSE)*AH1323,IF(AG1323="USD",O1323,AH1323*Y1323))</f>
        <v>6489.6</v>
      </c>
      <c r="AJ1323" s="13">
        <f t="shared" si="477"/>
        <v>0.72489672688828111</v>
      </c>
      <c r="AK1323" s="13">
        <f>-IF(AG1323="CAD",IFERROR(VLOOKUP(D1323,CAARStatus!$A$1:$Y$1600,16,FALSE),0),0)</f>
        <v>0</v>
      </c>
      <c r="AL1323" s="13">
        <f>-IF(AG1323="USD",IFERROR(VLOOKUP(D1323,CAARStatus!$A$1:$Y$1600,11,FALSE),0),0)</f>
        <v>0</v>
      </c>
      <c r="AM1323" s="22" t="str">
        <f t="shared" si="478"/>
        <v/>
      </c>
      <c r="AN1323" s="12">
        <f t="shared" si="479"/>
        <v>6489.6</v>
      </c>
      <c r="AO1323" s="12" t="str">
        <f t="shared" si="480"/>
        <v>Pend</v>
      </c>
      <c r="AP1323" t="str">
        <f t="shared" si="481"/>
        <v>Pend</v>
      </c>
      <c r="AQ1323" t="str">
        <f>IFERROR(VLOOKUP(Z1323,InvBal!$L$4:$P$600,4,FALSE),"Pend")</f>
        <v>Pend</v>
      </c>
      <c r="AR1323" t="str">
        <f>IFERROR(VLOOKUP(D1323,Manual!$C$1:$E$22,2,FALSE),"Pend")</f>
        <v>Pend</v>
      </c>
      <c r="AS1323" t="str">
        <f t="shared" si="482"/>
        <v/>
      </c>
      <c r="AT1323" t="str">
        <f t="shared" si="483"/>
        <v/>
      </c>
      <c r="AU1323" s="51" t="str">
        <f t="shared" si="484"/>
        <v/>
      </c>
      <c r="AV1323" s="12">
        <f>IFERROR(VLOOKUP(D1323,'Receivable Invoice Detail'!$S$1:$U$3014,3,FALSE),0)</f>
        <v>0</v>
      </c>
      <c r="AW1323" s="12">
        <f t="shared" si="485"/>
        <v>0</v>
      </c>
    </row>
    <row r="1324" spans="1:49" ht="30" x14ac:dyDescent="0.25">
      <c r="A1324" s="2">
        <v>0</v>
      </c>
      <c r="B1324" s="2" t="s">
        <v>6291</v>
      </c>
      <c r="C1324" s="2" t="s">
        <v>6292</v>
      </c>
      <c r="D1324" s="2"/>
      <c r="E1324" s="2" t="s">
        <v>39</v>
      </c>
      <c r="F1324" s="3">
        <v>46010.627615740741</v>
      </c>
      <c r="G1324" s="3">
        <v>46014.682789351849</v>
      </c>
      <c r="H1324" s="4">
        <v>46119</v>
      </c>
      <c r="I1324" s="2" t="s">
        <v>74</v>
      </c>
      <c r="J1324" s="2" t="s">
        <v>22</v>
      </c>
      <c r="K1324" s="2">
        <v>1</v>
      </c>
      <c r="L1324" s="2">
        <v>9351.15</v>
      </c>
      <c r="M1324" s="2">
        <v>0</v>
      </c>
      <c r="N1324" s="2">
        <v>6819.4420405712654</v>
      </c>
      <c r="O1324" s="2">
        <v>8905.86</v>
      </c>
      <c r="P1324" s="2">
        <v>445.29</v>
      </c>
      <c r="Q1324" s="2">
        <v>9351.15</v>
      </c>
      <c r="R1324" s="2" t="s">
        <v>23</v>
      </c>
      <c r="S1324" s="2"/>
      <c r="T1324" s="2">
        <f t="shared" si="464"/>
        <v>0</v>
      </c>
      <c r="U1324" s="18">
        <f t="shared" si="465"/>
        <v>12</v>
      </c>
      <c r="V1324" s="18">
        <f t="shared" si="466"/>
        <v>2025</v>
      </c>
      <c r="W1324" s="18" t="str">
        <f t="shared" si="467"/>
        <v/>
      </c>
      <c r="X1324" s="18" t="str">
        <f t="shared" si="468"/>
        <v/>
      </c>
      <c r="Y1324" s="2">
        <f t="shared" si="469"/>
        <v>0.72926239452594233</v>
      </c>
      <c r="Z1324" t="str">
        <f t="shared" si="470"/>
        <v>SO18455</v>
      </c>
      <c r="AA1324" s="11">
        <f t="shared" si="471"/>
        <v>46010.627615740741</v>
      </c>
      <c r="AB1324" s="5" t="str">
        <f t="shared" si="472"/>
        <v>No Inv</v>
      </c>
      <c r="AC1324" s="5" t="str">
        <f>IFERROR(VLOOKUP(D1324,CAARStatus!$A$2:$AA$1600,22,FALSE),"Not invoiced")</f>
        <v>Not invoiced</v>
      </c>
      <c r="AD1324" s="11" t="str">
        <f>IF(AC1324="Paid",IFERROR(VLOOKUP(D1324,CAARStatus!$A$2:$AA$1600,6,FALSE),"Pending"),"Pending")</f>
        <v>Pending</v>
      </c>
      <c r="AE1324" s="5" t="str">
        <f t="shared" si="473"/>
        <v>PO -  BC65-00082779</v>
      </c>
      <c r="AF1324" s="5" t="str">
        <f t="shared" si="474"/>
        <v>Motion Industries Inc. (Canada) - Prince George</v>
      </c>
      <c r="AG1324" s="5" t="str">
        <f t="shared" si="475"/>
        <v>CAD</v>
      </c>
      <c r="AH1324" s="5">
        <f t="shared" si="476"/>
        <v>8905.86</v>
      </c>
      <c r="AI1324" s="12">
        <f>IF(L1324-N1324=0,VLOOKUP(U1324,rate!A$4:B$15,2,FALSE)*AH1324,IF(AG1324="USD",O1324,AH1324*Y1324))</f>
        <v>6494.7087889128088</v>
      </c>
      <c r="AJ1324" s="13">
        <f t="shared" si="477"/>
        <v>0.72926239452594233</v>
      </c>
      <c r="AK1324" s="13">
        <f>-IF(AG1324="CAD",IFERROR(VLOOKUP(D1324,CAARStatus!$A$1:$Y$1600,16,FALSE),0),0)</f>
        <v>0</v>
      </c>
      <c r="AL1324" s="13">
        <f>-IF(AG1324="USD",IFERROR(VLOOKUP(D1324,CAARStatus!$A$1:$Y$1600,11,FALSE),0),0)</f>
        <v>0</v>
      </c>
      <c r="AM1324" s="22">
        <f t="shared" si="478"/>
        <v>8905.86</v>
      </c>
      <c r="AN1324" s="12" t="str">
        <f t="shared" si="479"/>
        <v/>
      </c>
      <c r="AO1324" s="12" t="str">
        <f t="shared" si="480"/>
        <v>Pend</v>
      </c>
      <c r="AP1324" t="str">
        <f t="shared" si="481"/>
        <v>Pend</v>
      </c>
      <c r="AQ1324" t="str">
        <f>IFERROR(VLOOKUP(Z1324,InvBal!$L$4:$P$600,4,FALSE),"Pend")</f>
        <v>Pend</v>
      </c>
      <c r="AR1324" t="str">
        <f>IFERROR(VLOOKUP(D1324,Manual!$C$1:$E$22,2,FALSE),"Pend")</f>
        <v>Pend</v>
      </c>
      <c r="AS1324" t="str">
        <f t="shared" si="482"/>
        <v/>
      </c>
      <c r="AT1324" t="str">
        <f t="shared" si="483"/>
        <v/>
      </c>
      <c r="AU1324" s="51" t="str">
        <f t="shared" si="484"/>
        <v/>
      </c>
      <c r="AV1324" s="12">
        <f>IFERROR(VLOOKUP(D1324,'Receivable Invoice Detail'!$S$1:$U$3014,3,FALSE),0)</f>
        <v>0</v>
      </c>
      <c r="AW1324" s="12">
        <f t="shared" si="485"/>
        <v>0</v>
      </c>
    </row>
    <row r="1325" spans="1:49" ht="30" x14ac:dyDescent="0.25">
      <c r="A1325" s="2">
        <v>0</v>
      </c>
      <c r="B1325" s="2" t="s">
        <v>6293</v>
      </c>
      <c r="C1325" s="2" t="s">
        <v>6294</v>
      </c>
      <c r="D1325" s="2"/>
      <c r="E1325" s="2" t="s">
        <v>129</v>
      </c>
      <c r="F1325" s="3">
        <v>46010.677256944437</v>
      </c>
      <c r="G1325" s="3">
        <v>46010.67728009259</v>
      </c>
      <c r="H1325" s="4">
        <v>46073</v>
      </c>
      <c r="I1325" s="2" t="s">
        <v>130</v>
      </c>
      <c r="J1325" s="2" t="s">
        <v>51</v>
      </c>
      <c r="K1325" s="2">
        <v>0.72489672688828111</v>
      </c>
      <c r="L1325" s="2">
        <v>27590.136992137828</v>
      </c>
      <c r="M1325" s="2">
        <v>0</v>
      </c>
      <c r="N1325" s="2">
        <v>20000</v>
      </c>
      <c r="O1325" s="2">
        <v>20000</v>
      </c>
      <c r="P1325" s="2"/>
      <c r="Q1325" s="2">
        <v>20000</v>
      </c>
      <c r="R1325" s="2" t="s">
        <v>29</v>
      </c>
      <c r="S1325" s="2"/>
      <c r="T1325" s="2">
        <f t="shared" si="464"/>
        <v>0</v>
      </c>
      <c r="U1325" s="18">
        <f t="shared" si="465"/>
        <v>12</v>
      </c>
      <c r="V1325" s="18">
        <f t="shared" si="466"/>
        <v>2025</v>
      </c>
      <c r="W1325" s="18" t="str">
        <f t="shared" si="467"/>
        <v/>
      </c>
      <c r="X1325" s="18" t="str">
        <f t="shared" si="468"/>
        <v/>
      </c>
      <c r="Y1325" s="2">
        <f t="shared" si="469"/>
        <v>0.72489672688828122</v>
      </c>
      <c r="Z1325" t="str">
        <f t="shared" si="470"/>
        <v>SO18456</v>
      </c>
      <c r="AA1325" s="11">
        <f t="shared" si="471"/>
        <v>46010.677256944437</v>
      </c>
      <c r="AB1325" s="5" t="str">
        <f t="shared" si="472"/>
        <v>No Inv</v>
      </c>
      <c r="AC1325" s="5" t="str">
        <f>IFERROR(VLOOKUP(D1325,CAARStatus!$A$2:$AA$1600,22,FALSE),"Not invoiced")</f>
        <v>Not invoiced</v>
      </c>
      <c r="AD1325" s="11" t="str">
        <f>IF(AC1325="Paid",IFERROR(VLOOKUP(D1325,CAARStatus!$A$2:$AA$1600,6,FALSE),"Pending"),"Pending")</f>
        <v>Pending</v>
      </c>
      <c r="AE1325" s="5" t="str">
        <f t="shared" si="473"/>
        <v>OC00242</v>
      </c>
      <c r="AF1325" s="5" t="str">
        <f t="shared" si="474"/>
        <v>Dynapro Pumps México S de RL de CV</v>
      </c>
      <c r="AG1325" s="5" t="str">
        <f t="shared" si="475"/>
        <v>USD</v>
      </c>
      <c r="AH1325" s="5">
        <f t="shared" si="476"/>
        <v>27590.136992137832</v>
      </c>
      <c r="AI1325" s="12">
        <f>IF(L1325-N1325=0,VLOOKUP(U1325,rate!A$4:B$15,2,FALSE)*AH1325,IF(AG1325="USD",O1325,AH1325*Y1325))</f>
        <v>20000</v>
      </c>
      <c r="AJ1325" s="13">
        <f t="shared" si="477"/>
        <v>0.72489672688828111</v>
      </c>
      <c r="AK1325" s="13">
        <f>-IF(AG1325="CAD",IFERROR(VLOOKUP(D1325,CAARStatus!$A$1:$Y$1600,16,FALSE),0),0)</f>
        <v>0</v>
      </c>
      <c r="AL1325" s="13">
        <f>-IF(AG1325="USD",IFERROR(VLOOKUP(D1325,CAARStatus!$A$1:$Y$1600,11,FALSE),0),0)</f>
        <v>0</v>
      </c>
      <c r="AM1325" s="22" t="str">
        <f t="shared" si="478"/>
        <v/>
      </c>
      <c r="AN1325" s="12">
        <f t="shared" si="479"/>
        <v>20000</v>
      </c>
      <c r="AO1325" s="12" t="str">
        <f t="shared" si="480"/>
        <v>Pend</v>
      </c>
      <c r="AP1325" t="str">
        <f t="shared" si="481"/>
        <v>Pend</v>
      </c>
      <c r="AQ1325" t="str">
        <f>IFERROR(VLOOKUP(Z1325,InvBal!$L$4:$P$600,4,FALSE),"Pend")</f>
        <v>Pend</v>
      </c>
      <c r="AR1325" t="str">
        <f>IFERROR(VLOOKUP(D1325,Manual!$C$1:$E$22,2,FALSE),"Pend")</f>
        <v>Pend</v>
      </c>
      <c r="AS1325" t="str">
        <f t="shared" si="482"/>
        <v/>
      </c>
      <c r="AT1325" t="str">
        <f t="shared" si="483"/>
        <v/>
      </c>
      <c r="AU1325" s="51" t="str">
        <f t="shared" si="484"/>
        <v/>
      </c>
      <c r="AV1325" s="12">
        <f>IFERROR(VLOOKUP(D1325,'Receivable Invoice Detail'!$S$1:$U$3014,3,FALSE),0)</f>
        <v>0</v>
      </c>
      <c r="AW1325" s="12">
        <f t="shared" si="485"/>
        <v>0</v>
      </c>
    </row>
    <row r="1326" spans="1:49" x14ac:dyDescent="0.25">
      <c r="A1326" s="2">
        <v>0</v>
      </c>
      <c r="B1326" s="2" t="s">
        <v>6295</v>
      </c>
      <c r="C1326" s="2" t="s">
        <v>6296</v>
      </c>
      <c r="D1326" s="2"/>
      <c r="E1326" s="2" t="s">
        <v>61</v>
      </c>
      <c r="F1326" s="3">
        <v>46013.438217592593</v>
      </c>
      <c r="G1326" s="3">
        <v>46013.714375000003</v>
      </c>
      <c r="H1326" s="4">
        <v>46083</v>
      </c>
      <c r="I1326" s="2" t="s">
        <v>74</v>
      </c>
      <c r="J1326" s="2" t="s">
        <v>51</v>
      </c>
      <c r="K1326" s="2">
        <v>0.72485477712329316</v>
      </c>
      <c r="L1326" s="2">
        <v>20404.087089963839</v>
      </c>
      <c r="M1326" s="2">
        <v>0</v>
      </c>
      <c r="N1326" s="2">
        <v>14790</v>
      </c>
      <c r="O1326" s="2">
        <v>14790</v>
      </c>
      <c r="P1326" s="2"/>
      <c r="Q1326" s="2">
        <v>14790</v>
      </c>
      <c r="R1326" s="2" t="s">
        <v>29</v>
      </c>
      <c r="S1326" s="2"/>
      <c r="T1326" s="2">
        <f t="shared" si="464"/>
        <v>0</v>
      </c>
      <c r="U1326" s="18">
        <f t="shared" si="465"/>
        <v>12</v>
      </c>
      <c r="V1326" s="18">
        <f t="shared" si="466"/>
        <v>2025</v>
      </c>
      <c r="W1326" s="18" t="str">
        <f t="shared" si="467"/>
        <v/>
      </c>
      <c r="X1326" s="18" t="str">
        <f t="shared" si="468"/>
        <v/>
      </c>
      <c r="Y1326" s="2">
        <f t="shared" si="469"/>
        <v>0.72485477712329305</v>
      </c>
      <c r="Z1326" t="str">
        <f t="shared" si="470"/>
        <v>SO18460</v>
      </c>
      <c r="AA1326" s="11">
        <f t="shared" si="471"/>
        <v>46013.438217592593</v>
      </c>
      <c r="AB1326" s="5" t="str">
        <f t="shared" si="472"/>
        <v>No Inv</v>
      </c>
      <c r="AC1326" s="5" t="str">
        <f>IFERROR(VLOOKUP(D1326,CAARStatus!$A$2:$AA$1600,22,FALSE),"Not invoiced")</f>
        <v>Not invoiced</v>
      </c>
      <c r="AD1326" s="11" t="str">
        <f>IF(AC1326="Paid",IFERROR(VLOOKUP(D1326,CAARStatus!$A$2:$AA$1600,6,FALSE),"Pending"),"Pending")</f>
        <v>Pending</v>
      </c>
      <c r="AE1326" s="5" t="str">
        <f t="shared" si="473"/>
        <v>PONV-25-2458</v>
      </c>
      <c r="AF1326" s="5" t="str">
        <f t="shared" si="474"/>
        <v>Tech-Flow</v>
      </c>
      <c r="AG1326" s="5" t="str">
        <f t="shared" si="475"/>
        <v>USD</v>
      </c>
      <c r="AH1326" s="5">
        <f t="shared" si="476"/>
        <v>20404.087089963836</v>
      </c>
      <c r="AI1326" s="12">
        <f>IF(L1326-N1326=0,VLOOKUP(U1326,rate!A$4:B$15,2,FALSE)*AH1326,IF(AG1326="USD",O1326,AH1326*Y1326))</f>
        <v>14790</v>
      </c>
      <c r="AJ1326" s="13">
        <f t="shared" si="477"/>
        <v>0.72485477712329316</v>
      </c>
      <c r="AK1326" s="13">
        <f>-IF(AG1326="CAD",IFERROR(VLOOKUP(D1326,CAARStatus!$A$1:$Y$1600,16,FALSE),0),0)</f>
        <v>0</v>
      </c>
      <c r="AL1326" s="13">
        <f>-IF(AG1326="USD",IFERROR(VLOOKUP(D1326,CAARStatus!$A$1:$Y$1600,11,FALSE),0),0)</f>
        <v>0</v>
      </c>
      <c r="AM1326" s="22" t="str">
        <f t="shared" si="478"/>
        <v/>
      </c>
      <c r="AN1326" s="12">
        <f t="shared" si="479"/>
        <v>14790</v>
      </c>
      <c r="AO1326" s="12" t="str">
        <f t="shared" si="480"/>
        <v>Pend</v>
      </c>
      <c r="AP1326" t="str">
        <f t="shared" si="481"/>
        <v>Pend</v>
      </c>
      <c r="AQ1326" t="str">
        <f>IFERROR(VLOOKUP(Z1326,InvBal!$L$4:$P$600,4,FALSE),"Pend")</f>
        <v>Pend</v>
      </c>
      <c r="AR1326" t="str">
        <f>IFERROR(VLOOKUP(D1326,Manual!$C$1:$E$22,2,FALSE),"Pend")</f>
        <v>Pend</v>
      </c>
      <c r="AS1326" t="str">
        <f t="shared" si="482"/>
        <v/>
      </c>
      <c r="AT1326" t="str">
        <f t="shared" si="483"/>
        <v/>
      </c>
      <c r="AU1326" s="51" t="str">
        <f t="shared" si="484"/>
        <v/>
      </c>
      <c r="AV1326" s="12">
        <f>IFERROR(VLOOKUP(D1326,'Receivable Invoice Detail'!$S$1:$U$3014,3,FALSE),0)</f>
        <v>0</v>
      </c>
      <c r="AW1326" s="12">
        <f t="shared" si="485"/>
        <v>0</v>
      </c>
    </row>
    <row r="1327" spans="1:49" x14ac:dyDescent="0.25">
      <c r="A1327" s="2">
        <v>1</v>
      </c>
      <c r="B1327" s="2" t="s">
        <v>6297</v>
      </c>
      <c r="C1327" s="2" t="s">
        <v>6159</v>
      </c>
      <c r="D1327" s="2" t="s">
        <v>6158</v>
      </c>
      <c r="E1327" s="2" t="s">
        <v>242</v>
      </c>
      <c r="F1327" s="3">
        <v>46013.470729166656</v>
      </c>
      <c r="G1327" s="3">
        <v>46013.621724537043</v>
      </c>
      <c r="H1327" s="2"/>
      <c r="I1327" s="2" t="s">
        <v>40</v>
      </c>
      <c r="J1327" s="2" t="s">
        <v>22</v>
      </c>
      <c r="K1327" s="2">
        <v>1</v>
      </c>
      <c r="L1327" s="2">
        <v>1128.75</v>
      </c>
      <c r="M1327" s="2">
        <v>0</v>
      </c>
      <c r="N1327" s="2">
        <v>821.19088926130746</v>
      </c>
      <c r="O1327" s="2">
        <v>1075</v>
      </c>
      <c r="P1327" s="2">
        <v>53.75</v>
      </c>
      <c r="Q1327" s="2">
        <v>1128.75</v>
      </c>
      <c r="R1327" s="2" t="s">
        <v>44</v>
      </c>
      <c r="S1327" s="2"/>
      <c r="T1327" s="2">
        <f t="shared" si="464"/>
        <v>1</v>
      </c>
      <c r="U1327" s="18">
        <f t="shared" si="465"/>
        <v>12</v>
      </c>
      <c r="V1327" s="18">
        <f t="shared" si="466"/>
        <v>2025</v>
      </c>
      <c r="W1327" s="18" t="str">
        <f t="shared" si="467"/>
        <v/>
      </c>
      <c r="X1327" s="18" t="str">
        <f t="shared" si="468"/>
        <v/>
      </c>
      <c r="Y1327" s="2">
        <f t="shared" si="469"/>
        <v>0.72752238251278623</v>
      </c>
      <c r="Z1327" t="str">
        <f t="shared" si="470"/>
        <v>SO18461</v>
      </c>
      <c r="AA1327" s="11">
        <f t="shared" si="471"/>
        <v>46013.470729166656</v>
      </c>
      <c r="AB1327" s="5" t="str">
        <f t="shared" si="472"/>
        <v>INV13827</v>
      </c>
      <c r="AC1327" s="5" t="str">
        <f>IFERROR(VLOOKUP(D1327,CAARStatus!$A$2:$AA$1600,22,FALSE),"Not invoiced")</f>
        <v>Not invoiced</v>
      </c>
      <c r="AD1327" s="11" t="str">
        <f>IF(AC1327="Paid",IFERROR(VLOOKUP(D1327,CAARStatus!$A$2:$AA$1600,6,FALSE),"Pending"),"Pending")</f>
        <v>Pending</v>
      </c>
      <c r="AE1327" s="5" t="str">
        <f t="shared" si="473"/>
        <v>2200120407</v>
      </c>
      <c r="AF1327" s="5" t="str">
        <f t="shared" si="474"/>
        <v>Wajax Limited - Noranda</v>
      </c>
      <c r="AG1327" s="5" t="str">
        <f t="shared" si="475"/>
        <v>CAD</v>
      </c>
      <c r="AH1327" s="5">
        <f t="shared" si="476"/>
        <v>1075</v>
      </c>
      <c r="AI1327" s="12">
        <f>IF(L1327-N1327=0,VLOOKUP(U1327,rate!A$4:B$15,2,FALSE)*AH1327,IF(AG1327="USD",O1327,AH1327*Y1327))</f>
        <v>782.08656120124522</v>
      </c>
      <c r="AJ1327" s="13">
        <f t="shared" si="477"/>
        <v>0.72752238251278623</v>
      </c>
      <c r="AK1327" s="13">
        <f>-IF(AG1327="CAD",IFERROR(VLOOKUP(D1327,CAARStatus!$A$1:$Y$1600,16,FALSE),0),0)</f>
        <v>0</v>
      </c>
      <c r="AL1327" s="13">
        <f>-IF(AG1327="USD",IFERROR(VLOOKUP(D1327,CAARStatus!$A$1:$Y$1600,11,FALSE),0),0)</f>
        <v>0</v>
      </c>
      <c r="AM1327" s="22">
        <f t="shared" si="478"/>
        <v>1075</v>
      </c>
      <c r="AN1327" s="12" t="str">
        <f t="shared" si="479"/>
        <v/>
      </c>
      <c r="AO1327" s="12" t="str">
        <f t="shared" si="480"/>
        <v>Pend</v>
      </c>
      <c r="AP1327" t="str">
        <f t="shared" si="481"/>
        <v>Pend</v>
      </c>
      <c r="AQ1327" t="str">
        <f>IFERROR(VLOOKUP(Z1327,InvBal!$L$4:$P$600,4,FALSE),"Pend")</f>
        <v>Pend</v>
      </c>
      <c r="AR1327" t="str">
        <f>IFERROR(VLOOKUP(D1327,Manual!$C$1:$E$22,2,FALSE),"Pend")</f>
        <v>Pend</v>
      </c>
      <c r="AS1327" t="str">
        <f t="shared" si="482"/>
        <v/>
      </c>
      <c r="AT1327" t="str">
        <f t="shared" si="483"/>
        <v>Yes</v>
      </c>
      <c r="AU1327" s="51" t="str">
        <f t="shared" si="484"/>
        <v/>
      </c>
      <c r="AV1327" s="12">
        <f>IFERROR(VLOOKUP(D1327,'Receivable Invoice Detail'!$S$1:$U$3014,3,FALSE),0)</f>
        <v>0</v>
      </c>
      <c r="AW1327" s="12">
        <f t="shared" si="485"/>
        <v>0</v>
      </c>
    </row>
    <row r="1328" spans="1:49" x14ac:dyDescent="0.25">
      <c r="A1328" s="2">
        <v>1</v>
      </c>
      <c r="B1328" s="2" t="s">
        <v>6298</v>
      </c>
      <c r="C1328" s="2" t="s">
        <v>6157</v>
      </c>
      <c r="D1328" s="2" t="s">
        <v>6156</v>
      </c>
      <c r="E1328" s="2" t="s">
        <v>242</v>
      </c>
      <c r="F1328" s="3">
        <v>46013.60769675926</v>
      </c>
      <c r="G1328" s="3">
        <v>46013.611678240741</v>
      </c>
      <c r="H1328" s="2"/>
      <c r="I1328" s="2" t="s">
        <v>40</v>
      </c>
      <c r="J1328" s="2" t="s">
        <v>22</v>
      </c>
      <c r="K1328" s="2">
        <v>1</v>
      </c>
      <c r="L1328" s="2">
        <v>441.86</v>
      </c>
      <c r="M1328" s="2">
        <v>0</v>
      </c>
      <c r="N1328" s="2">
        <v>321.46303993709972</v>
      </c>
      <c r="O1328" s="2">
        <v>420.82</v>
      </c>
      <c r="P1328" s="2">
        <v>21.04</v>
      </c>
      <c r="Q1328" s="2">
        <v>441.86</v>
      </c>
      <c r="R1328" s="2" t="s">
        <v>44</v>
      </c>
      <c r="S1328" s="2"/>
      <c r="T1328" s="2">
        <f t="shared" si="464"/>
        <v>1</v>
      </c>
      <c r="U1328" s="18">
        <f t="shared" si="465"/>
        <v>12</v>
      </c>
      <c r="V1328" s="18">
        <f t="shared" si="466"/>
        <v>2025</v>
      </c>
      <c r="W1328" s="18" t="str">
        <f t="shared" si="467"/>
        <v/>
      </c>
      <c r="X1328" s="18" t="str">
        <f t="shared" si="468"/>
        <v/>
      </c>
      <c r="Y1328" s="2">
        <f t="shared" si="469"/>
        <v>0.72752238251278623</v>
      </c>
      <c r="Z1328" t="str">
        <f t="shared" si="470"/>
        <v>SO18465</v>
      </c>
      <c r="AA1328" s="11">
        <f t="shared" si="471"/>
        <v>46013.60769675926</v>
      </c>
      <c r="AB1328" s="5" t="str">
        <f t="shared" si="472"/>
        <v>INV13826</v>
      </c>
      <c r="AC1328" s="5" t="str">
        <f>IFERROR(VLOOKUP(D1328,CAARStatus!$A$2:$AA$1600,22,FALSE),"Not invoiced")</f>
        <v>Not invoiced</v>
      </c>
      <c r="AD1328" s="11" t="str">
        <f>IF(AC1328="Paid",IFERROR(VLOOKUP(D1328,CAARStatus!$A$2:$AA$1600,6,FALSE),"Pending"),"Pending")</f>
        <v>Pending</v>
      </c>
      <c r="AE1328" s="5" t="str">
        <f t="shared" si="473"/>
        <v>2100719117</v>
      </c>
      <c r="AF1328" s="5" t="str">
        <f t="shared" si="474"/>
        <v>Wajax Limited - Noranda</v>
      </c>
      <c r="AG1328" s="5" t="str">
        <f t="shared" si="475"/>
        <v>CAD</v>
      </c>
      <c r="AH1328" s="5">
        <f t="shared" si="476"/>
        <v>420.82</v>
      </c>
      <c r="AI1328" s="12">
        <f>IF(L1328-N1328=0,VLOOKUP(U1328,rate!A$4:B$15,2,FALSE)*AH1328,IF(AG1328="USD",O1328,AH1328*Y1328))</f>
        <v>306.15596900903068</v>
      </c>
      <c r="AJ1328" s="13">
        <f t="shared" si="477"/>
        <v>0.72752238251278623</v>
      </c>
      <c r="AK1328" s="13">
        <f>-IF(AG1328="CAD",IFERROR(VLOOKUP(D1328,CAARStatus!$A$1:$Y$1600,16,FALSE),0),0)</f>
        <v>0</v>
      </c>
      <c r="AL1328" s="13">
        <f>-IF(AG1328="USD",IFERROR(VLOOKUP(D1328,CAARStatus!$A$1:$Y$1600,11,FALSE),0),0)</f>
        <v>0</v>
      </c>
      <c r="AM1328" s="22">
        <f t="shared" si="478"/>
        <v>420.82</v>
      </c>
      <c r="AN1328" s="12" t="str">
        <f t="shared" si="479"/>
        <v/>
      </c>
      <c r="AO1328" s="12" t="str">
        <f t="shared" si="480"/>
        <v>Pend</v>
      </c>
      <c r="AP1328" t="str">
        <f t="shared" si="481"/>
        <v>Pend</v>
      </c>
      <c r="AQ1328" t="str">
        <f>IFERROR(VLOOKUP(Z1328,InvBal!$L$4:$P$600,4,FALSE),"Pend")</f>
        <v>Pend</v>
      </c>
      <c r="AR1328" t="str">
        <f>IFERROR(VLOOKUP(D1328,Manual!$C$1:$E$22,2,FALSE),"Pend")</f>
        <v>Pend</v>
      </c>
      <c r="AS1328" t="str">
        <f t="shared" si="482"/>
        <v/>
      </c>
      <c r="AT1328" t="str">
        <f t="shared" si="483"/>
        <v>Yes</v>
      </c>
      <c r="AU1328" s="51" t="str">
        <f t="shared" si="484"/>
        <v/>
      </c>
      <c r="AV1328" s="12">
        <f>IFERROR(VLOOKUP(D1328,'Receivable Invoice Detail'!$S$1:$U$3014,3,FALSE),0)</f>
        <v>0</v>
      </c>
      <c r="AW1328" s="12">
        <f t="shared" si="485"/>
        <v>0</v>
      </c>
    </row>
    <row r="1329" spans="1:49" ht="30" x14ac:dyDescent="0.25">
      <c r="A1329" s="2">
        <v>1</v>
      </c>
      <c r="B1329" s="2" t="s">
        <v>6299</v>
      </c>
      <c r="C1329" s="2" t="s">
        <v>6300</v>
      </c>
      <c r="D1329" s="2" t="s">
        <v>6336</v>
      </c>
      <c r="E1329" s="2" t="s">
        <v>26</v>
      </c>
      <c r="F1329" s="3">
        <v>46014.393923611111</v>
      </c>
      <c r="G1329" s="3">
        <v>46021.691747685189</v>
      </c>
      <c r="H1329" s="4">
        <v>46022</v>
      </c>
      <c r="I1329" s="2" t="s">
        <v>21</v>
      </c>
      <c r="J1329" s="2" t="s">
        <v>22</v>
      </c>
      <c r="K1329" s="2">
        <v>1</v>
      </c>
      <c r="L1329" s="2">
        <v>1164.57</v>
      </c>
      <c r="M1329" s="2">
        <v>0</v>
      </c>
      <c r="N1329" s="2">
        <v>851.23729326172952</v>
      </c>
      <c r="O1329" s="2">
        <v>1109.1099999999999</v>
      </c>
      <c r="P1329" s="2">
        <v>55.46</v>
      </c>
      <c r="Q1329" s="2">
        <v>1164.57</v>
      </c>
      <c r="R1329" s="2" t="s">
        <v>44</v>
      </c>
      <c r="S1329" s="2"/>
      <c r="T1329" s="2">
        <f t="shared" si="464"/>
        <v>1</v>
      </c>
      <c r="U1329" s="18">
        <f t="shared" si="465"/>
        <v>12</v>
      </c>
      <c r="V1329" s="18">
        <f t="shared" si="466"/>
        <v>2025</v>
      </c>
      <c r="W1329" s="18" t="str">
        <f t="shared" si="467"/>
        <v/>
      </c>
      <c r="X1329" s="18" t="str">
        <f t="shared" si="468"/>
        <v/>
      </c>
      <c r="Y1329" s="2">
        <f t="shared" si="469"/>
        <v>0.73094557927967363</v>
      </c>
      <c r="Z1329" t="str">
        <f t="shared" si="470"/>
        <v>SO18466</v>
      </c>
      <c r="AA1329" s="11">
        <f t="shared" si="471"/>
        <v>46014.393923611111</v>
      </c>
      <c r="AB1329" s="5" t="str">
        <f t="shared" si="472"/>
        <v>INV13830</v>
      </c>
      <c r="AC1329" s="5" t="str">
        <f>IFERROR(VLOOKUP(D1329,CAARStatus!$A$2:$AA$1600,22,FALSE),"Not invoiced")</f>
        <v>Not invoiced</v>
      </c>
      <c r="AD1329" s="11" t="str">
        <f>IF(AC1329="Paid",IFERROR(VLOOKUP(D1329,CAARStatus!$A$2:$AA$1600,6,FALSE),"Pending"),"Pending")</f>
        <v>Pending</v>
      </c>
      <c r="AE1329" s="5" t="str">
        <f t="shared" si="473"/>
        <v>4500628246</v>
      </c>
      <c r="AF1329" s="5" t="str">
        <f t="shared" si="474"/>
        <v>Resolute Forest Products - Clermont</v>
      </c>
      <c r="AG1329" s="5" t="str">
        <f t="shared" si="475"/>
        <v>CAD</v>
      </c>
      <c r="AH1329" s="5">
        <f t="shared" si="476"/>
        <v>1109.1099999999999</v>
      </c>
      <c r="AI1329" s="12">
        <f>IF(L1329-N1329=0,VLOOKUP(U1329,rate!A$4:B$15,2,FALSE)*AH1329,IF(AG1329="USD",O1329,AH1329*Y1329))</f>
        <v>810.6990514348787</v>
      </c>
      <c r="AJ1329" s="13">
        <f t="shared" si="477"/>
        <v>0.73094557927967363</v>
      </c>
      <c r="AK1329" s="13">
        <f>-IF(AG1329="CAD",IFERROR(VLOOKUP(D1329,CAARStatus!$A$1:$Y$1600,16,FALSE),0),0)</f>
        <v>0</v>
      </c>
      <c r="AL1329" s="13">
        <f>-IF(AG1329="USD",IFERROR(VLOOKUP(D1329,CAARStatus!$A$1:$Y$1600,11,FALSE),0),0)</f>
        <v>0</v>
      </c>
      <c r="AM1329" s="22">
        <f t="shared" si="478"/>
        <v>1109.1099999999999</v>
      </c>
      <c r="AN1329" s="12" t="str">
        <f t="shared" si="479"/>
        <v/>
      </c>
      <c r="AO1329" s="12" t="str">
        <f t="shared" si="480"/>
        <v>Pend</v>
      </c>
      <c r="AP1329" t="str">
        <f t="shared" si="481"/>
        <v>Pend</v>
      </c>
      <c r="AQ1329" t="str">
        <f>IFERROR(VLOOKUP(Z1329,InvBal!$L$4:$P$600,4,FALSE),"Pend")</f>
        <v>Pend</v>
      </c>
      <c r="AR1329" t="str">
        <f>IFERROR(VLOOKUP(D1329,Manual!$C$1:$E$22,2,FALSE),"Pend")</f>
        <v>Pend</v>
      </c>
      <c r="AS1329" t="str">
        <f t="shared" si="482"/>
        <v/>
      </c>
      <c r="AT1329" t="str">
        <f t="shared" si="483"/>
        <v>Yes</v>
      </c>
      <c r="AU1329" s="51" t="str">
        <f t="shared" si="484"/>
        <v/>
      </c>
      <c r="AV1329" s="12">
        <f>IFERROR(VLOOKUP(D1329,'Receivable Invoice Detail'!$S$1:$U$3014,3,FALSE),0)</f>
        <v>0</v>
      </c>
      <c r="AW1329" s="12">
        <f t="shared" si="485"/>
        <v>0</v>
      </c>
    </row>
    <row r="1330" spans="1:49" x14ac:dyDescent="0.25">
      <c r="A1330" s="2">
        <v>1</v>
      </c>
      <c r="B1330" s="2" t="s">
        <v>6301</v>
      </c>
      <c r="C1330" s="2" t="s">
        <v>6066</v>
      </c>
      <c r="D1330" s="2" t="s">
        <v>6065</v>
      </c>
      <c r="E1330" s="2" t="s">
        <v>1835</v>
      </c>
      <c r="F1330" s="3">
        <v>46014.393958333327</v>
      </c>
      <c r="G1330" s="3">
        <v>46014.396284722221</v>
      </c>
      <c r="H1330" s="4">
        <v>46020</v>
      </c>
      <c r="I1330" s="2" t="s">
        <v>40</v>
      </c>
      <c r="J1330" s="2" t="s">
        <v>22</v>
      </c>
      <c r="K1330" s="2">
        <v>1</v>
      </c>
      <c r="L1330" s="2">
        <v>3055.14</v>
      </c>
      <c r="M1330" s="2">
        <v>0</v>
      </c>
      <c r="N1330" s="2">
        <v>2227.9987120119872</v>
      </c>
      <c r="O1330" s="2">
        <v>2909.65</v>
      </c>
      <c r="P1330" s="2">
        <v>145.49</v>
      </c>
      <c r="Q1330" s="2">
        <v>3055.14</v>
      </c>
      <c r="R1330" s="2" t="s">
        <v>44</v>
      </c>
      <c r="S1330" s="2"/>
      <c r="T1330" s="2">
        <f t="shared" si="464"/>
        <v>1</v>
      </c>
      <c r="U1330" s="18">
        <f t="shared" si="465"/>
        <v>12</v>
      </c>
      <c r="V1330" s="18">
        <f t="shared" si="466"/>
        <v>2025</v>
      </c>
      <c r="W1330" s="18" t="str">
        <f t="shared" si="467"/>
        <v/>
      </c>
      <c r="X1330" s="18" t="str">
        <f t="shared" si="468"/>
        <v/>
      </c>
      <c r="Y1330" s="2">
        <f t="shared" si="469"/>
        <v>0.72926239452594233</v>
      </c>
      <c r="Z1330" t="str">
        <f t="shared" si="470"/>
        <v>SO18467</v>
      </c>
      <c r="AA1330" s="11">
        <f t="shared" si="471"/>
        <v>46014.393958333327</v>
      </c>
      <c r="AB1330" s="5" t="str">
        <f t="shared" si="472"/>
        <v>INV13804</v>
      </c>
      <c r="AC1330" s="5" t="str">
        <f>IFERROR(VLOOKUP(D1330,CAARStatus!$A$2:$AA$1600,22,FALSE),"Not invoiced")</f>
        <v>Approved</v>
      </c>
      <c r="AD1330" s="11" t="str">
        <f>IF(AC1330="Paid",IFERROR(VLOOKUP(D1330,CAARStatus!$A$2:$AA$1600,6,FALSE),"Pending"),"Pending")</f>
        <v>Pending</v>
      </c>
      <c r="AE1330" s="5" t="str">
        <f t="shared" si="473"/>
        <v>PO-3010045</v>
      </c>
      <c r="AF1330" s="5" t="str">
        <f t="shared" si="474"/>
        <v>SCG Process</v>
      </c>
      <c r="AG1330" s="5" t="str">
        <f t="shared" si="475"/>
        <v>CAD</v>
      </c>
      <c r="AH1330" s="5">
        <f t="shared" si="476"/>
        <v>2909.65</v>
      </c>
      <c r="AI1330" s="12">
        <f>IF(L1330-N1330=0,VLOOKUP(U1330,rate!A$4:B$15,2,FALSE)*AH1330,IF(AG1330="USD",O1330,AH1330*Y1330))</f>
        <v>2121.8983262324082</v>
      </c>
      <c r="AJ1330" s="13">
        <f t="shared" si="477"/>
        <v>0.72926239452594233</v>
      </c>
      <c r="AK1330" s="13">
        <f>-IF(AG1330="CAD",IFERROR(VLOOKUP(D1330,CAARStatus!$A$1:$Y$1600,16,FALSE),0),0)</f>
        <v>-2909.65</v>
      </c>
      <c r="AL1330" s="13">
        <f>-IF(AG1330="USD",IFERROR(VLOOKUP(D1330,CAARStatus!$A$1:$Y$1600,11,FALSE),0),0)</f>
        <v>0</v>
      </c>
      <c r="AM1330" s="22">
        <f t="shared" si="478"/>
        <v>0</v>
      </c>
      <c r="AN1330" s="12" t="str">
        <f t="shared" si="479"/>
        <v/>
      </c>
      <c r="AO1330" s="12" t="str">
        <f t="shared" si="480"/>
        <v>Pend</v>
      </c>
      <c r="AP1330" t="str">
        <f t="shared" si="481"/>
        <v>Pend</v>
      </c>
      <c r="AQ1330" t="str">
        <f>IFERROR(VLOOKUP(Z1330,InvBal!$L$4:$P$600,4,FALSE),"Pend")</f>
        <v>Pend</v>
      </c>
      <c r="AR1330" t="str">
        <f>IFERROR(VLOOKUP(D1330,Manual!$C$1:$E$22,2,FALSE),"Pend")</f>
        <v>Pend</v>
      </c>
      <c r="AS1330" t="str">
        <f t="shared" si="482"/>
        <v/>
      </c>
      <c r="AT1330" t="str">
        <f t="shared" si="483"/>
        <v>Yes</v>
      </c>
      <c r="AU1330" s="51" t="str">
        <f t="shared" si="484"/>
        <v/>
      </c>
      <c r="AV1330" s="12">
        <f>IFERROR(VLOOKUP(D1330,'Receivable Invoice Detail'!$S$1:$U$3014,3,FALSE),0)</f>
        <v>0</v>
      </c>
      <c r="AW1330" s="12">
        <f t="shared" si="485"/>
        <v>0</v>
      </c>
    </row>
    <row r="1331" spans="1:49" x14ac:dyDescent="0.25">
      <c r="A1331" s="2">
        <v>0</v>
      </c>
      <c r="B1331" s="2" t="s">
        <v>6302</v>
      </c>
      <c r="C1331" s="2" t="s">
        <v>6303</v>
      </c>
      <c r="D1331" s="2"/>
      <c r="E1331" s="2" t="s">
        <v>239</v>
      </c>
      <c r="F1331" s="3">
        <v>46014.39675925926</v>
      </c>
      <c r="G1331" s="3">
        <v>46015.391967592594</v>
      </c>
      <c r="H1331" s="4">
        <v>46020</v>
      </c>
      <c r="I1331" s="2" t="s">
        <v>180</v>
      </c>
      <c r="J1331" s="2" t="s">
        <v>51</v>
      </c>
      <c r="K1331" s="2">
        <v>0.72752238251278623</v>
      </c>
      <c r="L1331" s="2">
        <v>242.8241443099453</v>
      </c>
      <c r="M1331" s="2">
        <v>0</v>
      </c>
      <c r="N1331" s="2">
        <v>176.66</v>
      </c>
      <c r="O1331" s="2">
        <v>176.66</v>
      </c>
      <c r="P1331" s="2"/>
      <c r="Q1331" s="2">
        <v>176.66</v>
      </c>
      <c r="R1331" s="2" t="s">
        <v>23</v>
      </c>
      <c r="S1331" s="2"/>
      <c r="T1331" s="2">
        <f t="shared" si="464"/>
        <v>0</v>
      </c>
      <c r="U1331" s="18">
        <f t="shared" si="465"/>
        <v>12</v>
      </c>
      <c r="V1331" s="18">
        <f t="shared" si="466"/>
        <v>2025</v>
      </c>
      <c r="W1331" s="18" t="str">
        <f t="shared" si="467"/>
        <v/>
      </c>
      <c r="X1331" s="18" t="str">
        <f t="shared" si="468"/>
        <v/>
      </c>
      <c r="Y1331" s="2">
        <f t="shared" si="469"/>
        <v>0.72752238251278611</v>
      </c>
      <c r="Z1331" t="str">
        <f t="shared" si="470"/>
        <v>SO18468</v>
      </c>
      <c r="AA1331" s="11">
        <f t="shared" si="471"/>
        <v>46014.39675925926</v>
      </c>
      <c r="AB1331" s="5" t="str">
        <f t="shared" si="472"/>
        <v>No Inv</v>
      </c>
      <c r="AC1331" s="5" t="str">
        <f>IFERROR(VLOOKUP(D1331,CAARStatus!$A$2:$AA$1600,22,FALSE),"Not invoiced")</f>
        <v>Not invoiced</v>
      </c>
      <c r="AD1331" s="11" t="str">
        <f>IF(AC1331="Paid",IFERROR(VLOOKUP(D1331,CAARStatus!$A$2:$AA$1600,6,FALSE),"Pending"),"Pending")</f>
        <v>Pending</v>
      </c>
      <c r="AE1331" s="5" t="str">
        <f t="shared" si="473"/>
        <v>1068</v>
      </c>
      <c r="AF1331" s="5" t="str">
        <f t="shared" si="474"/>
        <v>Mill-Right Mine Services Inc.</v>
      </c>
      <c r="AG1331" s="5" t="str">
        <f t="shared" si="475"/>
        <v>USD</v>
      </c>
      <c r="AH1331" s="5">
        <f t="shared" si="476"/>
        <v>242.82414430994527</v>
      </c>
      <c r="AI1331" s="12">
        <f>IF(L1331-N1331=0,VLOOKUP(U1331,rate!A$4:B$15,2,FALSE)*AH1331,IF(AG1331="USD",O1331,AH1331*Y1331))</f>
        <v>176.66</v>
      </c>
      <c r="AJ1331" s="13">
        <f t="shared" si="477"/>
        <v>0.72752238251278623</v>
      </c>
      <c r="AK1331" s="13">
        <f>-IF(AG1331="CAD",IFERROR(VLOOKUP(D1331,CAARStatus!$A$1:$Y$1600,16,FALSE),0),0)</f>
        <v>0</v>
      </c>
      <c r="AL1331" s="13">
        <f>-IF(AG1331="USD",IFERROR(VLOOKUP(D1331,CAARStatus!$A$1:$Y$1600,11,FALSE),0),0)</f>
        <v>0</v>
      </c>
      <c r="AM1331" s="22" t="str">
        <f t="shared" si="478"/>
        <v/>
      </c>
      <c r="AN1331" s="12">
        <f t="shared" si="479"/>
        <v>176.66</v>
      </c>
      <c r="AO1331" s="12" t="str">
        <f t="shared" si="480"/>
        <v>Pend</v>
      </c>
      <c r="AP1331" t="str">
        <f t="shared" si="481"/>
        <v>Pend</v>
      </c>
      <c r="AQ1331" t="str">
        <f>IFERROR(VLOOKUP(Z1331,InvBal!$L$4:$P$600,4,FALSE),"Pend")</f>
        <v>Pend</v>
      </c>
      <c r="AR1331" t="str">
        <f>IFERROR(VLOOKUP(D1331,Manual!$C$1:$E$22,2,FALSE),"Pend")</f>
        <v>Pend</v>
      </c>
      <c r="AS1331" t="str">
        <f t="shared" si="482"/>
        <v/>
      </c>
      <c r="AT1331" t="str">
        <f t="shared" si="483"/>
        <v/>
      </c>
      <c r="AU1331" s="51" t="str">
        <f t="shared" si="484"/>
        <v/>
      </c>
      <c r="AV1331" s="12">
        <f>IFERROR(VLOOKUP(D1331,'Receivable Invoice Detail'!$S$1:$U$3014,3,FALSE),0)</f>
        <v>0</v>
      </c>
      <c r="AW1331" s="12">
        <f t="shared" si="485"/>
        <v>0</v>
      </c>
    </row>
    <row r="1332" spans="1:49" ht="60" x14ac:dyDescent="0.25">
      <c r="A1332" s="2">
        <v>0</v>
      </c>
      <c r="B1332" s="2" t="s">
        <v>6304</v>
      </c>
      <c r="C1332" s="2" t="s">
        <v>6305</v>
      </c>
      <c r="D1332" s="2"/>
      <c r="E1332" s="2" t="s">
        <v>3974</v>
      </c>
      <c r="F1332" s="3">
        <v>46014.711770833332</v>
      </c>
      <c r="G1332" s="3">
        <v>46020.474976851852</v>
      </c>
      <c r="H1332" s="4">
        <v>46027</v>
      </c>
      <c r="I1332" s="2" t="s">
        <v>21</v>
      </c>
      <c r="J1332" s="2" t="s">
        <v>22</v>
      </c>
      <c r="K1332" s="2">
        <v>1</v>
      </c>
      <c r="L1332" s="2">
        <v>4960.45</v>
      </c>
      <c r="M1332" s="2">
        <v>0</v>
      </c>
      <c r="N1332" s="2">
        <v>3625.3448900099061</v>
      </c>
      <c r="O1332" s="2">
        <v>4389.78</v>
      </c>
      <c r="P1332" s="2">
        <v>570.66999999999996</v>
      </c>
      <c r="Q1332" s="2">
        <v>4960.45</v>
      </c>
      <c r="R1332" s="2" t="s">
        <v>23</v>
      </c>
      <c r="S1332" s="2"/>
      <c r="T1332" s="2">
        <f t="shared" si="464"/>
        <v>0</v>
      </c>
      <c r="U1332" s="18">
        <f t="shared" si="465"/>
        <v>12</v>
      </c>
      <c r="V1332" s="18">
        <f t="shared" si="466"/>
        <v>2025</v>
      </c>
      <c r="W1332" s="18" t="str">
        <f t="shared" si="467"/>
        <v/>
      </c>
      <c r="X1332" s="18" t="str">
        <f t="shared" si="468"/>
        <v/>
      </c>
      <c r="Y1332" s="2">
        <f t="shared" si="469"/>
        <v>0.73085000151395663</v>
      </c>
      <c r="Z1332" t="str">
        <f t="shared" si="470"/>
        <v>SO18471</v>
      </c>
      <c r="AA1332" s="11">
        <f t="shared" si="471"/>
        <v>46014.711770833332</v>
      </c>
      <c r="AB1332" s="5" t="str">
        <f t="shared" si="472"/>
        <v>No Inv</v>
      </c>
      <c r="AC1332" s="5" t="str">
        <f>IFERROR(VLOOKUP(D1332,CAARStatus!$A$2:$AA$1600,22,FALSE),"Not invoiced")</f>
        <v>Not invoiced</v>
      </c>
      <c r="AD1332" s="11" t="str">
        <f>IF(AC1332="Paid",IFERROR(VLOOKUP(D1332,CAARStatus!$A$2:$AA$1600,6,FALSE),"Pending"),"Pending")</f>
        <v>Pending</v>
      </c>
      <c r="AE1332" s="5" t="str">
        <f t="shared" si="473"/>
        <v>4500924335</v>
      </c>
      <c r="AF1332" s="5" t="str">
        <f t="shared" si="474"/>
        <v>Cameco Corporation - Blind River Refinery, Cameco Corporation - Blind River Refinery</v>
      </c>
      <c r="AG1332" s="5" t="str">
        <f t="shared" si="475"/>
        <v>CAD</v>
      </c>
      <c r="AH1332" s="5">
        <f t="shared" si="476"/>
        <v>4389.78</v>
      </c>
      <c r="AI1332" s="12">
        <f>IF(L1332-N1332=0,VLOOKUP(U1332,rate!A$4:B$15,2,FALSE)*AH1332,IF(AG1332="USD",O1332,AH1332*Y1332))</f>
        <v>3208.2707196459364</v>
      </c>
      <c r="AJ1332" s="13">
        <f t="shared" si="477"/>
        <v>0.73085000151395663</v>
      </c>
      <c r="AK1332" s="13">
        <f>-IF(AG1332="CAD",IFERROR(VLOOKUP(D1332,CAARStatus!$A$1:$Y$1600,16,FALSE),0),0)</f>
        <v>0</v>
      </c>
      <c r="AL1332" s="13">
        <f>-IF(AG1332="USD",IFERROR(VLOOKUP(D1332,CAARStatus!$A$1:$Y$1600,11,FALSE),0),0)</f>
        <v>0</v>
      </c>
      <c r="AM1332" s="22">
        <f t="shared" si="478"/>
        <v>4389.78</v>
      </c>
      <c r="AN1332" s="12" t="str">
        <f t="shared" si="479"/>
        <v/>
      </c>
      <c r="AO1332" s="12" t="str">
        <f t="shared" si="480"/>
        <v>Pend</v>
      </c>
      <c r="AP1332" t="str">
        <f t="shared" si="481"/>
        <v>Pend</v>
      </c>
      <c r="AQ1332" t="str">
        <f>IFERROR(VLOOKUP(Z1332,InvBal!$L$4:$P$600,4,FALSE),"Pend")</f>
        <v>Pend</v>
      </c>
      <c r="AR1332" t="str">
        <f>IFERROR(VLOOKUP(D1332,Manual!$C$1:$E$22,2,FALSE),"Pend")</f>
        <v>Pend</v>
      </c>
      <c r="AS1332" t="str">
        <f t="shared" si="482"/>
        <v/>
      </c>
      <c r="AT1332" t="str">
        <f t="shared" si="483"/>
        <v/>
      </c>
      <c r="AU1332" s="51" t="str">
        <f t="shared" si="484"/>
        <v/>
      </c>
      <c r="AV1332" s="12">
        <f>IFERROR(VLOOKUP(D1332,'Receivable Invoice Detail'!$S$1:$U$3014,3,FALSE),0)</f>
        <v>0</v>
      </c>
      <c r="AW1332" s="12">
        <f t="shared" si="485"/>
        <v>0</v>
      </c>
    </row>
    <row r="1333" spans="1:49" x14ac:dyDescent="0.25">
      <c r="A1333" s="2">
        <v>1</v>
      </c>
      <c r="B1333" s="2" t="s">
        <v>6306</v>
      </c>
      <c r="C1333" s="2" t="s">
        <v>6076</v>
      </c>
      <c r="D1333" s="2" t="s">
        <v>6075</v>
      </c>
      <c r="E1333" s="2" t="s">
        <v>77</v>
      </c>
      <c r="F1333" s="3">
        <v>46020.477314814823</v>
      </c>
      <c r="G1333" s="3">
        <v>46020.477523148147</v>
      </c>
      <c r="H1333" s="4">
        <v>46021</v>
      </c>
      <c r="I1333" s="2" t="s">
        <v>74</v>
      </c>
      <c r="J1333" s="2" t="s">
        <v>22</v>
      </c>
      <c r="K1333" s="2">
        <v>1</v>
      </c>
      <c r="L1333" s="2">
        <v>149.07</v>
      </c>
      <c r="M1333" s="2">
        <v>0</v>
      </c>
      <c r="N1333" s="2">
        <v>108.9478097256855</v>
      </c>
      <c r="O1333" s="2">
        <v>131.91999999999999</v>
      </c>
      <c r="P1333" s="2">
        <v>17.149999999999999</v>
      </c>
      <c r="Q1333" s="2">
        <v>149.07</v>
      </c>
      <c r="R1333" s="2" t="s">
        <v>44</v>
      </c>
      <c r="S1333" s="2"/>
      <c r="T1333" s="2">
        <f t="shared" si="464"/>
        <v>1</v>
      </c>
      <c r="U1333" s="18">
        <f t="shared" si="465"/>
        <v>12</v>
      </c>
      <c r="V1333" s="18">
        <f t="shared" si="466"/>
        <v>2025</v>
      </c>
      <c r="W1333" s="18" t="str">
        <f t="shared" si="467"/>
        <v/>
      </c>
      <c r="X1333" s="18" t="str">
        <f t="shared" si="468"/>
        <v/>
      </c>
      <c r="Y1333" s="2">
        <f t="shared" si="469"/>
        <v>0.73085000151395663</v>
      </c>
      <c r="Z1333" t="str">
        <f t="shared" si="470"/>
        <v>SO18472</v>
      </c>
      <c r="AA1333" s="11">
        <f t="shared" si="471"/>
        <v>46020.477314814823</v>
      </c>
      <c r="AB1333" s="5" t="str">
        <f t="shared" si="472"/>
        <v>INV13811</v>
      </c>
      <c r="AC1333" s="5" t="str">
        <f>IFERROR(VLOOKUP(D1333,CAARStatus!$A$2:$AA$1600,22,FALSE),"Not invoiced")</f>
        <v>Approved</v>
      </c>
      <c r="AD1333" s="11" t="str">
        <f>IF(AC1333="Paid",IFERROR(VLOOKUP(D1333,CAARStatus!$A$2:$AA$1600,6,FALSE),"Pending"),"Pending")</f>
        <v>Pending</v>
      </c>
      <c r="AE1333" s="5" t="str">
        <f t="shared" si="473"/>
        <v>PO-10-1087024</v>
      </c>
      <c r="AF1333" s="5" t="str">
        <f t="shared" si="474"/>
        <v>Canadian Bearings Ltd.</v>
      </c>
      <c r="AG1333" s="5" t="str">
        <f t="shared" si="475"/>
        <v>CAD</v>
      </c>
      <c r="AH1333" s="5">
        <f t="shared" si="476"/>
        <v>131.91999999999999</v>
      </c>
      <c r="AI1333" s="12">
        <f>IF(L1333-N1333=0,VLOOKUP(U1333,rate!A$4:B$15,2,FALSE)*AH1333,IF(AG1333="USD",O1333,AH1333*Y1333))</f>
        <v>96.413732199721153</v>
      </c>
      <c r="AJ1333" s="13">
        <f t="shared" si="477"/>
        <v>0.73085000151395663</v>
      </c>
      <c r="AK1333" s="13">
        <f>-IF(AG1333="CAD",IFERROR(VLOOKUP(D1333,CAARStatus!$A$1:$Y$1600,16,FALSE),0),0)</f>
        <v>-131.91999999999999</v>
      </c>
      <c r="AL1333" s="13">
        <f>-IF(AG1333="USD",IFERROR(VLOOKUP(D1333,CAARStatus!$A$1:$Y$1600,11,FALSE),0),0)</f>
        <v>0</v>
      </c>
      <c r="AM1333" s="22">
        <f t="shared" si="478"/>
        <v>0</v>
      </c>
      <c r="AN1333" s="12" t="str">
        <f t="shared" si="479"/>
        <v/>
      </c>
      <c r="AO1333" s="12" t="str">
        <f t="shared" si="480"/>
        <v>Pend</v>
      </c>
      <c r="AP1333" t="str">
        <f t="shared" si="481"/>
        <v>Pend</v>
      </c>
      <c r="AQ1333" t="str">
        <f>IFERROR(VLOOKUP(Z1333,InvBal!$L$4:$P$600,4,FALSE),"Pend")</f>
        <v>Pend</v>
      </c>
      <c r="AR1333" t="str">
        <f>IFERROR(VLOOKUP(D1333,Manual!$C$1:$E$22,2,FALSE),"Pend")</f>
        <v>Pend</v>
      </c>
      <c r="AS1333" t="str">
        <f t="shared" si="482"/>
        <v/>
      </c>
      <c r="AT1333" t="str">
        <f t="shared" si="483"/>
        <v>Yes</v>
      </c>
      <c r="AU1333" s="51" t="str">
        <f t="shared" si="484"/>
        <v/>
      </c>
      <c r="AV1333" s="12">
        <f>IFERROR(VLOOKUP(D1333,'Receivable Invoice Detail'!$S$1:$U$3014,3,FALSE),0)</f>
        <v>0</v>
      </c>
      <c r="AW1333" s="12">
        <f t="shared" si="485"/>
        <v>0</v>
      </c>
    </row>
    <row r="1334" spans="1:49" x14ac:dyDescent="0.25">
      <c r="A1334" s="2">
        <v>0</v>
      </c>
      <c r="B1334" s="2" t="s">
        <v>6307</v>
      </c>
      <c r="C1334" s="2" t="s">
        <v>6308</v>
      </c>
      <c r="D1334" s="2"/>
      <c r="E1334" s="2" t="s">
        <v>146</v>
      </c>
      <c r="F1334" s="3">
        <v>46020.611006944448</v>
      </c>
      <c r="G1334" s="3">
        <v>46020.60800925926</v>
      </c>
      <c r="H1334" s="4">
        <v>46031</v>
      </c>
      <c r="I1334" s="2" t="s">
        <v>74</v>
      </c>
      <c r="J1334" s="2" t="s">
        <v>22</v>
      </c>
      <c r="K1334" s="2">
        <v>1</v>
      </c>
      <c r="L1334" s="2">
        <v>962.42</v>
      </c>
      <c r="M1334" s="2">
        <v>0</v>
      </c>
      <c r="N1334" s="2">
        <v>703.38465845706196</v>
      </c>
      <c r="O1334" s="2">
        <v>916.59</v>
      </c>
      <c r="P1334" s="2">
        <v>45.83</v>
      </c>
      <c r="Q1334" s="2">
        <v>962.42</v>
      </c>
      <c r="R1334" s="2" t="s">
        <v>29</v>
      </c>
      <c r="S1334" s="2"/>
      <c r="T1334" s="2">
        <f t="shared" si="464"/>
        <v>0</v>
      </c>
      <c r="U1334" s="18">
        <f t="shared" si="465"/>
        <v>12</v>
      </c>
      <c r="V1334" s="18">
        <f t="shared" si="466"/>
        <v>2025</v>
      </c>
      <c r="W1334" s="18" t="str">
        <f t="shared" si="467"/>
        <v/>
      </c>
      <c r="X1334" s="18" t="str">
        <f t="shared" si="468"/>
        <v/>
      </c>
      <c r="Y1334" s="2">
        <f t="shared" si="469"/>
        <v>0.73085000151395652</v>
      </c>
      <c r="Z1334" t="str">
        <f t="shared" si="470"/>
        <v>SO18477</v>
      </c>
      <c r="AA1334" s="11">
        <f t="shared" si="471"/>
        <v>46020.611006944448</v>
      </c>
      <c r="AB1334" s="5" t="str">
        <f t="shared" si="472"/>
        <v>No Inv</v>
      </c>
      <c r="AC1334" s="5" t="str">
        <f>IFERROR(VLOOKUP(D1334,CAARStatus!$A$2:$AA$1600,22,FALSE),"Not invoiced")</f>
        <v>Not invoiced</v>
      </c>
      <c r="AD1334" s="11" t="str">
        <f>IF(AC1334="Paid",IFERROR(VLOOKUP(D1334,CAARStatus!$A$2:$AA$1600,6,FALSE),"Pending"),"Pending")</f>
        <v>Pending</v>
      </c>
      <c r="AE1334" s="5" t="str">
        <f t="shared" si="473"/>
        <v>PO# 8210</v>
      </c>
      <c r="AF1334" s="5" t="str">
        <f t="shared" si="474"/>
        <v>Hyperflo</v>
      </c>
      <c r="AG1334" s="5" t="str">
        <f t="shared" si="475"/>
        <v>CAD</v>
      </c>
      <c r="AH1334" s="5">
        <f t="shared" si="476"/>
        <v>916.59</v>
      </c>
      <c r="AI1334" s="12">
        <f>IF(L1334-N1334=0,VLOOKUP(U1334,rate!A$4:B$15,2,FALSE)*AH1334,IF(AG1334="USD",O1334,AH1334*Y1334))</f>
        <v>669.88980288767743</v>
      </c>
      <c r="AJ1334" s="13">
        <f t="shared" si="477"/>
        <v>0.73085000151395652</v>
      </c>
      <c r="AK1334" s="13">
        <f>-IF(AG1334="CAD",IFERROR(VLOOKUP(D1334,CAARStatus!$A$1:$Y$1600,16,FALSE),0),0)</f>
        <v>0</v>
      </c>
      <c r="AL1334" s="13">
        <f>-IF(AG1334="USD",IFERROR(VLOOKUP(D1334,CAARStatus!$A$1:$Y$1600,11,FALSE),0),0)</f>
        <v>0</v>
      </c>
      <c r="AM1334" s="22">
        <f t="shared" si="478"/>
        <v>916.59</v>
      </c>
      <c r="AN1334" s="12" t="str">
        <f t="shared" si="479"/>
        <v/>
      </c>
      <c r="AO1334" s="12" t="str">
        <f t="shared" si="480"/>
        <v>Pend</v>
      </c>
      <c r="AP1334" t="str">
        <f t="shared" si="481"/>
        <v>Pend</v>
      </c>
      <c r="AQ1334" t="str">
        <f>IFERROR(VLOOKUP(Z1334,InvBal!$L$4:$P$600,4,FALSE),"Pend")</f>
        <v>Pend</v>
      </c>
      <c r="AR1334" t="str">
        <f>IFERROR(VLOOKUP(D1334,Manual!$C$1:$E$22,2,FALSE),"Pend")</f>
        <v>Pend</v>
      </c>
      <c r="AS1334" t="str">
        <f t="shared" si="482"/>
        <v/>
      </c>
      <c r="AT1334" t="str">
        <f t="shared" si="483"/>
        <v/>
      </c>
      <c r="AU1334" s="51" t="str">
        <f t="shared" si="484"/>
        <v/>
      </c>
      <c r="AV1334" s="12">
        <f>IFERROR(VLOOKUP(D1334,'Receivable Invoice Detail'!$S$1:$U$3014,3,FALSE),0)</f>
        <v>0</v>
      </c>
      <c r="AW1334" s="12">
        <f t="shared" si="485"/>
        <v>0</v>
      </c>
    </row>
    <row r="1335" spans="1:49" x14ac:dyDescent="0.25">
      <c r="A1335" s="2">
        <v>0</v>
      </c>
      <c r="B1335" s="2" t="s">
        <v>6309</v>
      </c>
      <c r="C1335" s="2" t="s">
        <v>6310</v>
      </c>
      <c r="D1335" s="2"/>
      <c r="E1335" s="2" t="s">
        <v>61</v>
      </c>
      <c r="F1335" s="3">
        <v>46020.719837962963</v>
      </c>
      <c r="G1335" s="3">
        <v>46020.774097222216</v>
      </c>
      <c r="H1335" s="4">
        <v>46027</v>
      </c>
      <c r="I1335" s="2" t="s">
        <v>36</v>
      </c>
      <c r="J1335" s="2" t="s">
        <v>51</v>
      </c>
      <c r="K1335" s="2">
        <v>0.73120348989748496</v>
      </c>
      <c r="L1335" s="2">
        <v>3490.1091628512181</v>
      </c>
      <c r="M1335" s="2">
        <v>0</v>
      </c>
      <c r="N1335" s="2">
        <v>2551.98</v>
      </c>
      <c r="O1335" s="2">
        <v>2551.98</v>
      </c>
      <c r="P1335" s="2"/>
      <c r="Q1335" s="2">
        <v>2551.98</v>
      </c>
      <c r="R1335" s="2" t="s">
        <v>29</v>
      </c>
      <c r="S1335" s="2"/>
      <c r="T1335" s="2">
        <f t="shared" si="464"/>
        <v>0</v>
      </c>
      <c r="U1335" s="18">
        <f t="shared" si="465"/>
        <v>12</v>
      </c>
      <c r="V1335" s="18">
        <f t="shared" si="466"/>
        <v>2025</v>
      </c>
      <c r="W1335" s="18" t="str">
        <f t="shared" si="467"/>
        <v/>
      </c>
      <c r="X1335" s="18" t="str">
        <f t="shared" si="468"/>
        <v/>
      </c>
      <c r="Y1335" s="2">
        <f t="shared" si="469"/>
        <v>0.73120348989748485</v>
      </c>
      <c r="Z1335" t="str">
        <f t="shared" si="470"/>
        <v>SO18479</v>
      </c>
      <c r="AA1335" s="11">
        <f t="shared" si="471"/>
        <v>46020.719837962963</v>
      </c>
      <c r="AB1335" s="5" t="str">
        <f t="shared" si="472"/>
        <v>No Inv</v>
      </c>
      <c r="AC1335" s="5" t="str">
        <f>IFERROR(VLOOKUP(D1335,CAARStatus!$A$2:$AA$1600,22,FALSE),"Not invoiced")</f>
        <v>Not invoiced</v>
      </c>
      <c r="AD1335" s="11" t="str">
        <f>IF(AC1335="Paid",IFERROR(VLOOKUP(D1335,CAARStatus!$A$2:$AA$1600,6,FALSE),"Pending"),"Pending")</f>
        <v>Pending</v>
      </c>
      <c r="AE1335" s="5" t="str">
        <f t="shared" si="473"/>
        <v>PONV-25-2472</v>
      </c>
      <c r="AF1335" s="5" t="str">
        <f t="shared" si="474"/>
        <v>Tech-Flow</v>
      </c>
      <c r="AG1335" s="5" t="str">
        <f t="shared" si="475"/>
        <v>USD</v>
      </c>
      <c r="AH1335" s="5">
        <f t="shared" si="476"/>
        <v>3490.1091628512177</v>
      </c>
      <c r="AI1335" s="12">
        <f>IF(L1335-N1335=0,VLOOKUP(U1335,rate!A$4:B$15,2,FALSE)*AH1335,IF(AG1335="USD",O1335,AH1335*Y1335))</f>
        <v>2551.98</v>
      </c>
      <c r="AJ1335" s="13">
        <f t="shared" si="477"/>
        <v>0.73120348989748496</v>
      </c>
      <c r="AK1335" s="13">
        <f>-IF(AG1335="CAD",IFERROR(VLOOKUP(D1335,CAARStatus!$A$1:$Y$1600,16,FALSE),0),0)</f>
        <v>0</v>
      </c>
      <c r="AL1335" s="13">
        <f>-IF(AG1335="USD",IFERROR(VLOOKUP(D1335,CAARStatus!$A$1:$Y$1600,11,FALSE),0),0)</f>
        <v>0</v>
      </c>
      <c r="AM1335" s="22" t="str">
        <f t="shared" si="478"/>
        <v/>
      </c>
      <c r="AN1335" s="12">
        <f t="shared" si="479"/>
        <v>2551.98</v>
      </c>
      <c r="AO1335" s="12" t="str">
        <f t="shared" si="480"/>
        <v>Pend</v>
      </c>
      <c r="AP1335" t="str">
        <f t="shared" si="481"/>
        <v>Pend</v>
      </c>
      <c r="AQ1335" t="str">
        <f>IFERROR(VLOOKUP(Z1335,InvBal!$L$4:$P$600,4,FALSE),"Pend")</f>
        <v>Pend</v>
      </c>
      <c r="AR1335" t="str">
        <f>IFERROR(VLOOKUP(D1335,Manual!$C$1:$E$22,2,FALSE),"Pend")</f>
        <v>Pend</v>
      </c>
      <c r="AS1335" t="str">
        <f t="shared" si="482"/>
        <v/>
      </c>
      <c r="AT1335" t="str">
        <f t="shared" si="483"/>
        <v/>
      </c>
      <c r="AU1335" s="51" t="str">
        <f t="shared" si="484"/>
        <v/>
      </c>
      <c r="AV1335" s="12">
        <f>IFERROR(VLOOKUP(D1335,'Receivable Invoice Detail'!$S$1:$U$3014,3,FALSE),0)</f>
        <v>0</v>
      </c>
      <c r="AW1335" s="12">
        <f t="shared" si="485"/>
        <v>0</v>
      </c>
    </row>
    <row r="1336" spans="1:49" x14ac:dyDescent="0.25">
      <c r="A1336" s="2">
        <v>0</v>
      </c>
      <c r="B1336" s="2" t="s">
        <v>6311</v>
      </c>
      <c r="C1336" s="2" t="s">
        <v>6312</v>
      </c>
      <c r="D1336" s="2"/>
      <c r="E1336" s="2" t="s">
        <v>146</v>
      </c>
      <c r="F1336" s="3">
        <v>46021.446608796286</v>
      </c>
      <c r="G1336" s="3">
        <v>46028.520682870367</v>
      </c>
      <c r="H1336" s="4">
        <v>46049</v>
      </c>
      <c r="I1336" s="2" t="s">
        <v>40</v>
      </c>
      <c r="J1336" s="2" t="s">
        <v>22</v>
      </c>
      <c r="K1336" s="2">
        <v>1</v>
      </c>
      <c r="L1336" s="2">
        <v>2991.57</v>
      </c>
      <c r="M1336" s="2">
        <v>2991.57</v>
      </c>
      <c r="N1336" s="2">
        <v>2991.57</v>
      </c>
      <c r="O1336" s="2">
        <v>2849.11</v>
      </c>
      <c r="P1336" s="2">
        <v>142.46</v>
      </c>
      <c r="Q1336" s="2">
        <v>2991.57</v>
      </c>
      <c r="R1336" s="2" t="s">
        <v>23</v>
      </c>
      <c r="S1336" s="2"/>
      <c r="T1336" s="2">
        <f t="shared" si="464"/>
        <v>0</v>
      </c>
      <c r="U1336" s="18">
        <f t="shared" si="465"/>
        <v>12</v>
      </c>
      <c r="V1336" s="18">
        <f t="shared" si="466"/>
        <v>2025</v>
      </c>
      <c r="W1336" s="18" t="str">
        <f t="shared" si="467"/>
        <v/>
      </c>
      <c r="X1336" s="18" t="str">
        <f t="shared" si="468"/>
        <v/>
      </c>
      <c r="Y1336" s="2">
        <f t="shared" si="469"/>
        <v>1</v>
      </c>
      <c r="Z1336" t="str">
        <f t="shared" si="470"/>
        <v>SO18482</v>
      </c>
      <c r="AA1336" s="11">
        <f t="shared" si="471"/>
        <v>46021.446608796286</v>
      </c>
      <c r="AB1336" s="5" t="str">
        <f t="shared" si="472"/>
        <v>No Inv</v>
      </c>
      <c r="AC1336" s="5" t="str">
        <f>IFERROR(VLOOKUP(D1336,CAARStatus!$A$2:$AA$1600,22,FALSE),"Not invoiced")</f>
        <v>Not invoiced</v>
      </c>
      <c r="AD1336" s="11" t="str">
        <f>IF(AC1336="Paid",IFERROR(VLOOKUP(D1336,CAARStatus!$A$2:$AA$1600,6,FALSE),"Pending"),"Pending")</f>
        <v>Pending</v>
      </c>
      <c r="AE1336" s="5" t="str">
        <f t="shared" si="473"/>
        <v>8213</v>
      </c>
      <c r="AF1336" s="5" t="str">
        <f t="shared" si="474"/>
        <v>Hyperflo</v>
      </c>
      <c r="AG1336" s="5" t="str">
        <f t="shared" si="475"/>
        <v>CAD</v>
      </c>
      <c r="AH1336" s="5">
        <f t="shared" si="476"/>
        <v>2849.11</v>
      </c>
      <c r="AI1336" s="12">
        <f>IF(L1336-N1336=0,VLOOKUP(U1336,rate!A$4:B$15,2,FALSE)*AH1336,IF(AG1336="USD",O1336,AH1336*Y1336))</f>
        <v>2062.198569076832</v>
      </c>
      <c r="AJ1336" s="13">
        <f t="shared" si="477"/>
        <v>0.72380447545964599</v>
      </c>
      <c r="AK1336" s="13">
        <f>-IF(AG1336="CAD",IFERROR(VLOOKUP(D1336,CAARStatus!$A$1:$Y$1600,16,FALSE),0),0)</f>
        <v>0</v>
      </c>
      <c r="AL1336" s="13">
        <f>-IF(AG1336="USD",IFERROR(VLOOKUP(D1336,CAARStatus!$A$1:$Y$1600,11,FALSE),0),0)</f>
        <v>0</v>
      </c>
      <c r="AM1336" s="22">
        <f t="shared" si="478"/>
        <v>2849.11</v>
      </c>
      <c r="AN1336" s="12" t="str">
        <f t="shared" si="479"/>
        <v/>
      </c>
      <c r="AO1336" s="12" t="str">
        <f t="shared" si="480"/>
        <v>Pend</v>
      </c>
      <c r="AP1336" t="str">
        <f t="shared" si="481"/>
        <v>Pend</v>
      </c>
      <c r="AQ1336" t="str">
        <f>IFERROR(VLOOKUP(Z1336,InvBal!$L$4:$P$600,4,FALSE),"Pend")</f>
        <v>Pend</v>
      </c>
      <c r="AR1336" t="str">
        <f>IFERROR(VLOOKUP(D1336,Manual!$C$1:$E$22,2,FALSE),"Pend")</f>
        <v>Pend</v>
      </c>
      <c r="AS1336" t="str">
        <f t="shared" si="482"/>
        <v/>
      </c>
      <c r="AT1336" t="str">
        <f t="shared" si="483"/>
        <v/>
      </c>
      <c r="AU1336" s="51" t="str">
        <f t="shared" si="484"/>
        <v/>
      </c>
      <c r="AV1336" s="12">
        <f>IFERROR(VLOOKUP(D1336,'Receivable Invoice Detail'!$S$1:$U$3014,3,FALSE),0)</f>
        <v>0</v>
      </c>
      <c r="AW1336" s="12">
        <f t="shared" si="485"/>
        <v>0</v>
      </c>
    </row>
    <row r="1337" spans="1:49" x14ac:dyDescent="0.25">
      <c r="A1337" s="2">
        <v>0</v>
      </c>
      <c r="B1337" s="2" t="s">
        <v>6313</v>
      </c>
      <c r="C1337" s="2" t="s">
        <v>6314</v>
      </c>
      <c r="D1337" s="2"/>
      <c r="E1337" s="2" t="s">
        <v>644</v>
      </c>
      <c r="F1337" s="3">
        <v>46022.512696759259</v>
      </c>
      <c r="G1337" s="3">
        <v>46022.515011574083</v>
      </c>
      <c r="H1337" s="2"/>
      <c r="I1337" s="2" t="s">
        <v>40</v>
      </c>
      <c r="J1337" s="2" t="s">
        <v>51</v>
      </c>
      <c r="K1337" s="2">
        <v>0.73094557927967363</v>
      </c>
      <c r="L1337" s="2">
        <v>4920.0653262641699</v>
      </c>
      <c r="M1337" s="2">
        <v>0</v>
      </c>
      <c r="N1337" s="2">
        <v>3596.3</v>
      </c>
      <c r="O1337" s="2">
        <v>3596.3</v>
      </c>
      <c r="P1337" s="2"/>
      <c r="Q1337" s="2">
        <v>3596.3</v>
      </c>
      <c r="R1337" s="2" t="s">
        <v>23</v>
      </c>
      <c r="S1337" s="2"/>
      <c r="T1337" s="2">
        <f t="shared" si="464"/>
        <v>0</v>
      </c>
      <c r="U1337" s="18">
        <f t="shared" si="465"/>
        <v>12</v>
      </c>
      <c r="V1337" s="18">
        <f t="shared" si="466"/>
        <v>2025</v>
      </c>
      <c r="W1337" s="18" t="str">
        <f t="shared" si="467"/>
        <v/>
      </c>
      <c r="X1337" s="18" t="str">
        <f t="shared" si="468"/>
        <v/>
      </c>
      <c r="Y1337" s="2">
        <f t="shared" si="469"/>
        <v>0.73094557927967363</v>
      </c>
      <c r="Z1337" t="str">
        <f t="shared" si="470"/>
        <v>SO18484</v>
      </c>
      <c r="AA1337" s="11">
        <f t="shared" si="471"/>
        <v>46022.512696759259</v>
      </c>
      <c r="AB1337" s="5" t="str">
        <f t="shared" si="472"/>
        <v>No Inv</v>
      </c>
      <c r="AC1337" s="5" t="str">
        <f>IFERROR(VLOOKUP(D1337,CAARStatus!$A$2:$AA$1600,22,FALSE),"Not invoiced")</f>
        <v>Not invoiced</v>
      </c>
      <c r="AD1337" s="11" t="str">
        <f>IF(AC1337="Paid",IFERROR(VLOOKUP(D1337,CAARStatus!$A$2:$AA$1600,6,FALSE),"Pending"),"Pending")</f>
        <v>Pending</v>
      </c>
      <c r="AE1337" s="5" t="str">
        <f t="shared" si="473"/>
        <v>P-123125</v>
      </c>
      <c r="AF1337" s="5" t="str">
        <f t="shared" si="474"/>
        <v>Cartledge &amp; Associates Inc.</v>
      </c>
      <c r="AG1337" s="5" t="str">
        <f t="shared" si="475"/>
        <v>USD</v>
      </c>
      <c r="AH1337" s="5">
        <f t="shared" si="476"/>
        <v>4920.0653262641699</v>
      </c>
      <c r="AI1337" s="12">
        <f>IF(L1337-N1337=0,VLOOKUP(U1337,rate!A$4:B$15,2,FALSE)*AH1337,IF(AG1337="USD",O1337,AH1337*Y1337))</f>
        <v>3596.3</v>
      </c>
      <c r="AJ1337" s="13">
        <f t="shared" si="477"/>
        <v>0.73094557927967363</v>
      </c>
      <c r="AK1337" s="13">
        <f>-IF(AG1337="CAD",IFERROR(VLOOKUP(D1337,CAARStatus!$A$1:$Y$1600,16,FALSE),0),0)</f>
        <v>0</v>
      </c>
      <c r="AL1337" s="13">
        <f>-IF(AG1337="USD",IFERROR(VLOOKUP(D1337,CAARStatus!$A$1:$Y$1600,11,FALSE),0),0)</f>
        <v>0</v>
      </c>
      <c r="AM1337" s="22" t="str">
        <f t="shared" si="478"/>
        <v/>
      </c>
      <c r="AN1337" s="12">
        <f t="shared" si="479"/>
        <v>3596.3</v>
      </c>
      <c r="AO1337" s="12" t="str">
        <f t="shared" si="480"/>
        <v>Pend</v>
      </c>
      <c r="AP1337" t="str">
        <f t="shared" si="481"/>
        <v>Pend</v>
      </c>
      <c r="AQ1337" t="str">
        <f>IFERROR(VLOOKUP(Z1337,InvBal!$L$4:$P$600,4,FALSE),"Pend")</f>
        <v>Pend</v>
      </c>
      <c r="AR1337" t="str">
        <f>IFERROR(VLOOKUP(D1337,Manual!$C$1:$E$22,2,FALSE),"Pend")</f>
        <v>Pend</v>
      </c>
      <c r="AS1337" t="str">
        <f t="shared" si="482"/>
        <v/>
      </c>
      <c r="AT1337" t="str">
        <f t="shared" si="483"/>
        <v/>
      </c>
      <c r="AU1337" s="51" t="str">
        <f t="shared" si="484"/>
        <v/>
      </c>
      <c r="AV1337" s="12">
        <f>IFERROR(VLOOKUP(D1337,'Receivable Invoice Detail'!$S$1:$U$3014,3,FALSE),0)</f>
        <v>0</v>
      </c>
      <c r="AW1337" s="12">
        <f t="shared" si="485"/>
        <v>0</v>
      </c>
    </row>
  </sheetData>
  <autoFilter ref="A1:AW1228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Y1368"/>
  <sheetViews>
    <sheetView showGridLines="0" topLeftCell="N930" zoomScaleNormal="100" workbookViewId="0">
      <selection activeCell="N937" sqref="N937"/>
    </sheetView>
  </sheetViews>
  <sheetFormatPr defaultColWidth="9.140625" defaultRowHeight="12" x14ac:dyDescent="0.2"/>
  <cols>
    <col min="1" max="1" width="19.7109375" style="6" customWidth="1"/>
    <col min="2" max="2" width="89" style="6" customWidth="1"/>
    <col min="3" max="3" width="14.28515625" style="6" customWidth="1"/>
    <col min="4" max="4" width="13" style="6" customWidth="1"/>
    <col min="5" max="5" width="16.42578125" style="6" customWidth="1"/>
    <col min="6" max="6" width="21.28515625" style="6" customWidth="1"/>
    <col min="7" max="7" width="15.140625" style="6" customWidth="1"/>
    <col min="8" max="8" width="45.7109375" style="6" customWidth="1"/>
    <col min="9" max="9" width="20.7109375" style="6" customWidth="1"/>
    <col min="10" max="10" width="16.85546875" style="6" customWidth="1"/>
    <col min="11" max="11" width="14.28515625" style="6" customWidth="1"/>
    <col min="12" max="12" width="16.85546875" style="6" customWidth="1"/>
    <col min="13" max="13" width="14.85546875" style="6" customWidth="1"/>
    <col min="14" max="14" width="30.7109375" style="6" customWidth="1"/>
    <col min="15" max="15" width="19" style="6" customWidth="1"/>
    <col min="16" max="16" width="12.42578125" style="6" customWidth="1"/>
    <col min="17" max="17" width="14.85546875" style="6" customWidth="1"/>
    <col min="18" max="18" width="12.85546875" style="6" customWidth="1"/>
    <col min="19" max="19" width="28.7109375" style="6" customWidth="1"/>
    <col min="20" max="20" width="17" style="6" customWidth="1"/>
    <col min="21" max="21" width="5.42578125" style="6" customWidth="1"/>
    <col min="22" max="22" width="10.140625" style="6" customWidth="1"/>
    <col min="23" max="23" width="23.7109375" style="6" customWidth="1"/>
    <col min="24" max="24" width="14.140625" style="6" customWidth="1"/>
    <col min="25" max="25" width="11.140625" style="6" customWidth="1"/>
    <col min="26" max="16384" width="9.140625" style="6"/>
  </cols>
  <sheetData>
    <row r="1" spans="1:25" s="8" customFormat="1" ht="12.2" customHeight="1" x14ac:dyDescent="0.2">
      <c r="A1" s="53" t="s">
        <v>3825</v>
      </c>
      <c r="B1" s="53" t="s">
        <v>3824</v>
      </c>
      <c r="C1" s="53" t="s">
        <v>3823</v>
      </c>
      <c r="D1" s="53" t="s">
        <v>3822</v>
      </c>
      <c r="E1" s="53" t="s">
        <v>3821</v>
      </c>
      <c r="F1" s="53" t="s">
        <v>3820</v>
      </c>
      <c r="G1" s="53" t="s">
        <v>3819</v>
      </c>
      <c r="H1" s="53" t="s">
        <v>2</v>
      </c>
      <c r="I1" s="53" t="s">
        <v>3818</v>
      </c>
      <c r="J1" s="54" t="s">
        <v>3817</v>
      </c>
      <c r="K1" s="54" t="s">
        <v>3816</v>
      </c>
      <c r="L1" s="54" t="s">
        <v>3815</v>
      </c>
      <c r="M1" s="54" t="s">
        <v>3814</v>
      </c>
      <c r="N1" s="54" t="s">
        <v>3813</v>
      </c>
      <c r="O1" s="54" t="s">
        <v>3812</v>
      </c>
      <c r="P1" s="54" t="s">
        <v>3811</v>
      </c>
      <c r="Q1" s="54" t="s">
        <v>3810</v>
      </c>
      <c r="R1" s="54" t="s">
        <v>3809</v>
      </c>
      <c r="S1" s="54" t="s">
        <v>3808</v>
      </c>
      <c r="T1" s="54" t="s">
        <v>3807</v>
      </c>
      <c r="U1" s="54"/>
      <c r="V1" s="53" t="s">
        <v>3806</v>
      </c>
      <c r="W1" s="53" t="s">
        <v>3805</v>
      </c>
      <c r="X1" s="53" t="s">
        <v>3804</v>
      </c>
      <c r="Y1" s="53" t="s">
        <v>3803</v>
      </c>
    </row>
    <row r="2" spans="1:25" ht="10.9" customHeight="1" x14ac:dyDescent="0.2">
      <c r="A2" s="78" t="s">
        <v>3802</v>
      </c>
      <c r="B2" s="78" t="s">
        <v>47</v>
      </c>
      <c r="C2" s="79">
        <v>45659</v>
      </c>
      <c r="D2" s="79">
        <v>45689</v>
      </c>
      <c r="E2" s="79">
        <v>45702</v>
      </c>
      <c r="F2" s="79">
        <v>45728</v>
      </c>
      <c r="G2" s="79">
        <v>45659</v>
      </c>
      <c r="H2" s="78" t="s">
        <v>3801</v>
      </c>
      <c r="I2" s="78" t="s">
        <v>22</v>
      </c>
      <c r="J2" s="80">
        <v>0</v>
      </c>
      <c r="K2" s="81">
        <v>3524.12</v>
      </c>
      <c r="L2" s="81">
        <v>3982.25</v>
      </c>
      <c r="M2" s="81">
        <v>458.13</v>
      </c>
      <c r="N2" s="81">
        <v>3982.25</v>
      </c>
      <c r="O2" s="81">
        <v>0</v>
      </c>
      <c r="P2" s="81">
        <v>3524.12</v>
      </c>
      <c r="Q2" s="81">
        <v>3982.25</v>
      </c>
      <c r="R2" s="81">
        <v>458.13</v>
      </c>
      <c r="S2" s="81">
        <v>3982.25</v>
      </c>
      <c r="T2" s="81">
        <v>0</v>
      </c>
      <c r="U2" s="78"/>
      <c r="V2" s="78" t="s">
        <v>3399</v>
      </c>
      <c r="W2" s="78" t="s">
        <v>3395</v>
      </c>
      <c r="X2" s="78" t="s">
        <v>3394</v>
      </c>
      <c r="Y2" s="78" t="s">
        <v>3393</v>
      </c>
    </row>
    <row r="3" spans="1:25" ht="10.9" customHeight="1" x14ac:dyDescent="0.2">
      <c r="A3" s="82" t="s">
        <v>3798</v>
      </c>
      <c r="B3" s="82" t="s">
        <v>3412</v>
      </c>
      <c r="C3" s="83">
        <v>45659</v>
      </c>
      <c r="D3" s="83">
        <v>45704</v>
      </c>
      <c r="E3" s="83">
        <v>45709</v>
      </c>
      <c r="F3" s="83">
        <v>45702</v>
      </c>
      <c r="G3" s="83">
        <v>45659</v>
      </c>
      <c r="H3" s="82" t="s">
        <v>3797</v>
      </c>
      <c r="I3" s="82" t="s">
        <v>22</v>
      </c>
      <c r="J3" s="84">
        <v>0</v>
      </c>
      <c r="K3" s="85">
        <v>3077.78</v>
      </c>
      <c r="L3" s="85">
        <v>3231.67</v>
      </c>
      <c r="M3" s="85">
        <v>153.88999999999999</v>
      </c>
      <c r="N3" s="85">
        <v>3231.67</v>
      </c>
      <c r="O3" s="85">
        <v>0</v>
      </c>
      <c r="P3" s="85">
        <v>3077.78</v>
      </c>
      <c r="Q3" s="85">
        <v>3231.67</v>
      </c>
      <c r="R3" s="85">
        <v>153.88999999999999</v>
      </c>
      <c r="S3" s="85">
        <v>3231.67</v>
      </c>
      <c r="T3" s="85">
        <v>0</v>
      </c>
      <c r="U3" s="82"/>
      <c r="V3" s="82" t="s">
        <v>3399</v>
      </c>
      <c r="W3" s="82" t="s">
        <v>3395</v>
      </c>
      <c r="X3" s="82" t="s">
        <v>3394</v>
      </c>
      <c r="Y3" s="82" t="s">
        <v>3393</v>
      </c>
    </row>
    <row r="4" spans="1:25" ht="10.9" customHeight="1" x14ac:dyDescent="0.2">
      <c r="A4" s="82" t="s">
        <v>3800</v>
      </c>
      <c r="B4" s="82" t="s">
        <v>3412</v>
      </c>
      <c r="C4" s="83">
        <v>45659</v>
      </c>
      <c r="D4" s="83">
        <v>45704</v>
      </c>
      <c r="E4" s="83">
        <v>45709</v>
      </c>
      <c r="F4" s="83">
        <v>45702</v>
      </c>
      <c r="G4" s="83">
        <v>45659</v>
      </c>
      <c r="H4" s="82" t="s">
        <v>3799</v>
      </c>
      <c r="I4" s="82" t="s">
        <v>22</v>
      </c>
      <c r="J4" s="84">
        <v>0</v>
      </c>
      <c r="K4" s="85">
        <v>1741.62</v>
      </c>
      <c r="L4" s="85">
        <v>1828.7</v>
      </c>
      <c r="M4" s="85">
        <v>87.08</v>
      </c>
      <c r="N4" s="85">
        <v>1828.7</v>
      </c>
      <c r="O4" s="85">
        <v>0</v>
      </c>
      <c r="P4" s="85">
        <v>1741.62</v>
      </c>
      <c r="Q4" s="85">
        <v>1828.7</v>
      </c>
      <c r="R4" s="85">
        <v>87.08</v>
      </c>
      <c r="S4" s="85">
        <v>1828.7</v>
      </c>
      <c r="T4" s="85">
        <v>0</v>
      </c>
      <c r="U4" s="82"/>
      <c r="V4" s="82" t="s">
        <v>3399</v>
      </c>
      <c r="W4" s="82" t="s">
        <v>3395</v>
      </c>
      <c r="X4" s="82" t="s">
        <v>3394</v>
      </c>
      <c r="Y4" s="82" t="s">
        <v>3393</v>
      </c>
    </row>
    <row r="5" spans="1:25" ht="10.9" customHeight="1" x14ac:dyDescent="0.2">
      <c r="A5" s="82" t="s">
        <v>3796</v>
      </c>
      <c r="B5" s="82" t="s">
        <v>77</v>
      </c>
      <c r="C5" s="83">
        <v>45660</v>
      </c>
      <c r="D5" s="83">
        <v>45690</v>
      </c>
      <c r="E5" s="83">
        <v>45702</v>
      </c>
      <c r="F5" s="83">
        <v>45729</v>
      </c>
      <c r="G5" s="83">
        <v>45660</v>
      </c>
      <c r="H5" s="82" t="s">
        <v>3795</v>
      </c>
      <c r="I5" s="82" t="s">
        <v>22</v>
      </c>
      <c r="J5" s="84">
        <v>0</v>
      </c>
      <c r="K5" s="85">
        <v>917.15</v>
      </c>
      <c r="L5" s="85">
        <v>963.01</v>
      </c>
      <c r="M5" s="85">
        <v>45.86</v>
      </c>
      <c r="N5" s="85">
        <v>963.01</v>
      </c>
      <c r="O5" s="85">
        <v>0</v>
      </c>
      <c r="P5" s="85">
        <v>917.15</v>
      </c>
      <c r="Q5" s="85">
        <v>963.01</v>
      </c>
      <c r="R5" s="85">
        <v>45.86</v>
      </c>
      <c r="S5" s="85">
        <v>963.01</v>
      </c>
      <c r="T5" s="85">
        <v>0</v>
      </c>
      <c r="U5" s="82"/>
      <c r="V5" s="82" t="s">
        <v>3399</v>
      </c>
      <c r="W5" s="82" t="s">
        <v>3395</v>
      </c>
      <c r="X5" s="82" t="s">
        <v>3394</v>
      </c>
      <c r="Y5" s="82" t="s">
        <v>3393</v>
      </c>
    </row>
    <row r="6" spans="1:25" ht="10.9" customHeight="1" x14ac:dyDescent="0.2">
      <c r="A6" s="82" t="s">
        <v>3794</v>
      </c>
      <c r="B6" s="82" t="s">
        <v>64</v>
      </c>
      <c r="C6" s="83">
        <v>45660</v>
      </c>
      <c r="D6" s="83">
        <v>45690</v>
      </c>
      <c r="E6" s="83">
        <v>45690</v>
      </c>
      <c r="F6" s="82"/>
      <c r="G6" s="83">
        <v>45660</v>
      </c>
      <c r="H6" s="82" t="s">
        <v>3793</v>
      </c>
      <c r="I6" s="82" t="s">
        <v>22</v>
      </c>
      <c r="J6" s="84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85">
        <v>0</v>
      </c>
      <c r="T6" s="85">
        <v>0</v>
      </c>
      <c r="U6" s="82"/>
      <c r="V6" s="82" t="s">
        <v>3399</v>
      </c>
      <c r="W6" s="82" t="s">
        <v>3395</v>
      </c>
      <c r="X6" s="82" t="s">
        <v>3397</v>
      </c>
      <c r="Y6" s="82" t="s">
        <v>3393</v>
      </c>
    </row>
    <row r="7" spans="1:25" ht="10.9" customHeight="1" x14ac:dyDescent="0.2">
      <c r="A7" s="82" t="s">
        <v>3790</v>
      </c>
      <c r="B7" s="82" t="s">
        <v>129</v>
      </c>
      <c r="C7" s="83">
        <v>45663</v>
      </c>
      <c r="D7" s="83">
        <v>45723</v>
      </c>
      <c r="E7" s="83">
        <v>45723</v>
      </c>
      <c r="F7" s="82"/>
      <c r="G7" s="83">
        <v>45663</v>
      </c>
      <c r="H7" s="82" t="s">
        <v>3789</v>
      </c>
      <c r="I7" s="82" t="s">
        <v>51</v>
      </c>
      <c r="J7" s="84">
        <v>0.69815300000000002</v>
      </c>
      <c r="K7" s="85">
        <v>1890</v>
      </c>
      <c r="L7" s="85">
        <v>1890</v>
      </c>
      <c r="M7" s="85">
        <v>0</v>
      </c>
      <c r="N7" s="85">
        <v>0</v>
      </c>
      <c r="O7" s="85">
        <v>1890</v>
      </c>
      <c r="P7" s="85">
        <v>2707.1429901468591</v>
      </c>
      <c r="Q7" s="85">
        <v>2707.1429901468591</v>
      </c>
      <c r="R7" s="85">
        <v>0</v>
      </c>
      <c r="S7" s="85">
        <v>0</v>
      </c>
      <c r="T7" s="85">
        <v>2593.87</v>
      </c>
      <c r="U7" s="82" t="s">
        <v>3401</v>
      </c>
      <c r="V7" s="82" t="s">
        <v>3396</v>
      </c>
      <c r="W7" s="82" t="s">
        <v>3395</v>
      </c>
      <c r="X7" s="82" t="s">
        <v>3394</v>
      </c>
      <c r="Y7" s="82" t="s">
        <v>3393</v>
      </c>
    </row>
    <row r="8" spans="1:25" ht="10.9" customHeight="1" x14ac:dyDescent="0.2">
      <c r="A8" s="82" t="s">
        <v>3786</v>
      </c>
      <c r="B8" s="82" t="s">
        <v>129</v>
      </c>
      <c r="C8" s="83">
        <v>45663</v>
      </c>
      <c r="D8" s="83">
        <v>45723</v>
      </c>
      <c r="E8" s="83">
        <v>45723</v>
      </c>
      <c r="F8" s="82"/>
      <c r="G8" s="83">
        <v>45663</v>
      </c>
      <c r="H8" s="82" t="s">
        <v>3785</v>
      </c>
      <c r="I8" s="82" t="s">
        <v>51</v>
      </c>
      <c r="J8" s="84">
        <v>0.69815300000000002</v>
      </c>
      <c r="K8" s="85">
        <v>384</v>
      </c>
      <c r="L8" s="85">
        <v>384</v>
      </c>
      <c r="M8" s="85">
        <v>0</v>
      </c>
      <c r="N8" s="85">
        <v>0</v>
      </c>
      <c r="O8" s="85">
        <v>384</v>
      </c>
      <c r="P8" s="85">
        <v>550.02270275999672</v>
      </c>
      <c r="Q8" s="85">
        <v>550.02270275999672</v>
      </c>
      <c r="R8" s="85">
        <v>0</v>
      </c>
      <c r="S8" s="85">
        <v>0</v>
      </c>
      <c r="T8" s="85">
        <v>527.01</v>
      </c>
      <c r="U8" s="82" t="s">
        <v>3401</v>
      </c>
      <c r="V8" s="82" t="s">
        <v>3396</v>
      </c>
      <c r="W8" s="82" t="s">
        <v>3395</v>
      </c>
      <c r="X8" s="82" t="s">
        <v>3394</v>
      </c>
      <c r="Y8" s="82" t="s">
        <v>3393</v>
      </c>
    </row>
    <row r="9" spans="1:25" ht="10.9" customHeight="1" x14ac:dyDescent="0.2">
      <c r="A9" s="82" t="s">
        <v>3791</v>
      </c>
      <c r="B9" s="82" t="s">
        <v>129</v>
      </c>
      <c r="C9" s="83">
        <v>45663</v>
      </c>
      <c r="D9" s="83">
        <v>45723</v>
      </c>
      <c r="E9" s="83">
        <v>45723</v>
      </c>
      <c r="F9" s="82"/>
      <c r="G9" s="83">
        <v>45663</v>
      </c>
      <c r="H9" s="82" t="s">
        <v>3686</v>
      </c>
      <c r="I9" s="82" t="s">
        <v>51</v>
      </c>
      <c r="J9" s="84">
        <v>0.69815300000000002</v>
      </c>
      <c r="K9" s="85">
        <v>198</v>
      </c>
      <c r="L9" s="85">
        <v>198</v>
      </c>
      <c r="M9" s="85">
        <v>0</v>
      </c>
      <c r="N9" s="85">
        <v>0</v>
      </c>
      <c r="O9" s="85">
        <v>198</v>
      </c>
      <c r="P9" s="85">
        <v>283.60545611062321</v>
      </c>
      <c r="Q9" s="85">
        <v>283.60545611062321</v>
      </c>
      <c r="R9" s="85">
        <v>0</v>
      </c>
      <c r="S9" s="85">
        <v>0</v>
      </c>
      <c r="T9" s="85">
        <v>271.74</v>
      </c>
      <c r="U9" s="82" t="s">
        <v>3401</v>
      </c>
      <c r="V9" s="82" t="s">
        <v>3396</v>
      </c>
      <c r="W9" s="82" t="s">
        <v>3395</v>
      </c>
      <c r="X9" s="82" t="s">
        <v>3394</v>
      </c>
      <c r="Y9" s="82" t="s">
        <v>3393</v>
      </c>
    </row>
    <row r="10" spans="1:25" ht="10.9" customHeight="1" x14ac:dyDescent="0.2">
      <c r="A10" s="82" t="s">
        <v>3792</v>
      </c>
      <c r="B10" s="82" t="s">
        <v>242</v>
      </c>
      <c r="C10" s="83">
        <v>45663</v>
      </c>
      <c r="D10" s="83">
        <v>45693</v>
      </c>
      <c r="E10" s="83">
        <v>45702</v>
      </c>
      <c r="F10" s="83">
        <v>45700</v>
      </c>
      <c r="G10" s="83">
        <v>45663</v>
      </c>
      <c r="H10" s="82" t="s">
        <v>3710</v>
      </c>
      <c r="I10" s="82" t="s">
        <v>22</v>
      </c>
      <c r="J10" s="84">
        <v>0</v>
      </c>
      <c r="K10" s="85">
        <v>946.14</v>
      </c>
      <c r="L10" s="85">
        <v>993.45</v>
      </c>
      <c r="M10" s="85">
        <v>47.31</v>
      </c>
      <c r="N10" s="85">
        <v>993.45</v>
      </c>
      <c r="O10" s="85">
        <v>0</v>
      </c>
      <c r="P10" s="85">
        <v>946.14</v>
      </c>
      <c r="Q10" s="85">
        <v>993.45</v>
      </c>
      <c r="R10" s="85">
        <v>47.31</v>
      </c>
      <c r="S10" s="85">
        <v>993.45</v>
      </c>
      <c r="T10" s="85">
        <v>0</v>
      </c>
      <c r="U10" s="82"/>
      <c r="V10" s="82" t="s">
        <v>3399</v>
      </c>
      <c r="W10" s="82" t="s">
        <v>3395</v>
      </c>
      <c r="X10" s="82" t="s">
        <v>3394</v>
      </c>
      <c r="Y10" s="82" t="s">
        <v>3393</v>
      </c>
    </row>
    <row r="11" spans="1:25" ht="10.9" customHeight="1" x14ac:dyDescent="0.2">
      <c r="A11" s="82" t="s">
        <v>3788</v>
      </c>
      <c r="B11" s="82" t="s">
        <v>242</v>
      </c>
      <c r="C11" s="83">
        <v>45663</v>
      </c>
      <c r="D11" s="83">
        <v>45693</v>
      </c>
      <c r="E11" s="83">
        <v>45702</v>
      </c>
      <c r="F11" s="83">
        <v>45700</v>
      </c>
      <c r="G11" s="83">
        <v>45663</v>
      </c>
      <c r="H11" s="82" t="s">
        <v>3787</v>
      </c>
      <c r="I11" s="82" t="s">
        <v>22</v>
      </c>
      <c r="J11" s="84">
        <v>0</v>
      </c>
      <c r="K11" s="85">
        <v>2627.35</v>
      </c>
      <c r="L11" s="85">
        <v>2758.72</v>
      </c>
      <c r="M11" s="85">
        <v>131.37</v>
      </c>
      <c r="N11" s="85">
        <v>2758.72</v>
      </c>
      <c r="O11" s="85">
        <v>0</v>
      </c>
      <c r="P11" s="85">
        <v>2627.35</v>
      </c>
      <c r="Q11" s="85">
        <v>2758.72</v>
      </c>
      <c r="R11" s="85">
        <v>131.37</v>
      </c>
      <c r="S11" s="85">
        <v>2758.72</v>
      </c>
      <c r="T11" s="85">
        <v>0</v>
      </c>
      <c r="U11" s="82"/>
      <c r="V11" s="82" t="s">
        <v>3399</v>
      </c>
      <c r="W11" s="82" t="s">
        <v>3395</v>
      </c>
      <c r="X11" s="82" t="s">
        <v>3394</v>
      </c>
      <c r="Y11" s="82" t="s">
        <v>3393</v>
      </c>
    </row>
    <row r="12" spans="1:25" ht="10.9" customHeight="1" x14ac:dyDescent="0.2">
      <c r="A12" s="82" t="s">
        <v>3784</v>
      </c>
      <c r="B12" s="82" t="s">
        <v>445</v>
      </c>
      <c r="C12" s="83">
        <v>45664</v>
      </c>
      <c r="D12" s="83">
        <v>45694</v>
      </c>
      <c r="E12" s="83">
        <v>45694</v>
      </c>
      <c r="F12" s="83">
        <v>45664</v>
      </c>
      <c r="G12" s="83">
        <v>45664</v>
      </c>
      <c r="H12" s="82" t="s">
        <v>3783</v>
      </c>
      <c r="I12" s="82" t="s">
        <v>51</v>
      </c>
      <c r="J12" s="84">
        <v>0.69686899999999996</v>
      </c>
      <c r="K12" s="85">
        <v>1796.14</v>
      </c>
      <c r="L12" s="85">
        <v>1796.14</v>
      </c>
      <c r="M12" s="85">
        <v>0</v>
      </c>
      <c r="N12" s="85">
        <v>1796.14</v>
      </c>
      <c r="O12" s="85">
        <v>0</v>
      </c>
      <c r="P12" s="85">
        <v>2577.4428192386231</v>
      </c>
      <c r="Q12" s="85">
        <v>2577.4428192386231</v>
      </c>
      <c r="R12" s="85">
        <v>0</v>
      </c>
      <c r="S12" s="85">
        <v>2449.8809999999999</v>
      </c>
      <c r="T12" s="85">
        <v>0</v>
      </c>
      <c r="U12" s="82"/>
      <c r="V12" s="82" t="s">
        <v>3399</v>
      </c>
      <c r="W12" s="82" t="s">
        <v>3395</v>
      </c>
      <c r="X12" s="82" t="s">
        <v>3394</v>
      </c>
      <c r="Y12" s="82" t="s">
        <v>3393</v>
      </c>
    </row>
    <row r="13" spans="1:25" ht="10.9" customHeight="1" x14ac:dyDescent="0.2">
      <c r="A13" s="82" t="s">
        <v>2275</v>
      </c>
      <c r="B13" s="82" t="s">
        <v>83</v>
      </c>
      <c r="C13" s="83">
        <v>45664</v>
      </c>
      <c r="D13" s="83">
        <v>45694</v>
      </c>
      <c r="E13" s="83">
        <v>45695</v>
      </c>
      <c r="F13" s="83">
        <v>45692</v>
      </c>
      <c r="G13" s="83">
        <v>45665</v>
      </c>
      <c r="H13" s="82" t="s">
        <v>2258</v>
      </c>
      <c r="I13" s="82" t="s">
        <v>22</v>
      </c>
      <c r="J13" s="84">
        <v>0</v>
      </c>
      <c r="K13" s="85">
        <v>18278.97</v>
      </c>
      <c r="L13" s="85">
        <v>20655.240000000002</v>
      </c>
      <c r="M13" s="85">
        <v>2376.27</v>
      </c>
      <c r="N13" s="85">
        <v>20655.240000000002</v>
      </c>
      <c r="O13" s="85">
        <v>0</v>
      </c>
      <c r="P13" s="85">
        <v>18278.97</v>
      </c>
      <c r="Q13" s="85">
        <v>20655.240000000002</v>
      </c>
      <c r="R13" s="85">
        <v>2376.27</v>
      </c>
      <c r="S13" s="85">
        <v>20655.240000000002</v>
      </c>
      <c r="T13" s="85">
        <v>0</v>
      </c>
      <c r="U13" s="82"/>
      <c r="V13" s="82" t="s">
        <v>3399</v>
      </c>
      <c r="W13" s="82" t="s">
        <v>3395</v>
      </c>
      <c r="X13" s="82" t="s">
        <v>3394</v>
      </c>
      <c r="Y13" s="82" t="s">
        <v>3393</v>
      </c>
    </row>
    <row r="14" spans="1:25" ht="10.9" customHeight="1" x14ac:dyDescent="0.2">
      <c r="A14" s="82" t="s">
        <v>2274</v>
      </c>
      <c r="B14" s="82" t="s">
        <v>146</v>
      </c>
      <c r="C14" s="83">
        <v>45664</v>
      </c>
      <c r="D14" s="83">
        <v>45694</v>
      </c>
      <c r="E14" s="83">
        <v>45712</v>
      </c>
      <c r="F14" s="83">
        <v>45709</v>
      </c>
      <c r="G14" s="83">
        <v>45665</v>
      </c>
      <c r="H14" s="82" t="s">
        <v>2260</v>
      </c>
      <c r="I14" s="82" t="s">
        <v>22</v>
      </c>
      <c r="J14" s="84">
        <v>0</v>
      </c>
      <c r="K14" s="85">
        <v>958.11</v>
      </c>
      <c r="L14" s="85">
        <v>1006.02</v>
      </c>
      <c r="M14" s="85">
        <v>47.91</v>
      </c>
      <c r="N14" s="85">
        <v>1006.02</v>
      </c>
      <c r="O14" s="85">
        <v>0</v>
      </c>
      <c r="P14" s="85">
        <v>958.11</v>
      </c>
      <c r="Q14" s="85">
        <v>1006.02</v>
      </c>
      <c r="R14" s="85">
        <v>47.91</v>
      </c>
      <c r="S14" s="85">
        <v>1006.02</v>
      </c>
      <c r="T14" s="85">
        <v>0</v>
      </c>
      <c r="U14" s="82"/>
      <c r="V14" s="82" t="s">
        <v>3399</v>
      </c>
      <c r="W14" s="82" t="s">
        <v>3395</v>
      </c>
      <c r="X14" s="82" t="s">
        <v>3394</v>
      </c>
      <c r="Y14" s="82" t="s">
        <v>3393</v>
      </c>
    </row>
    <row r="15" spans="1:25" ht="10.9" customHeight="1" x14ac:dyDescent="0.2">
      <c r="A15" s="82" t="s">
        <v>3782</v>
      </c>
      <c r="B15" s="82" t="s">
        <v>159</v>
      </c>
      <c r="C15" s="83">
        <v>45665</v>
      </c>
      <c r="D15" s="83">
        <v>45695</v>
      </c>
      <c r="E15" s="83">
        <v>45695</v>
      </c>
      <c r="F15" s="82"/>
      <c r="G15" s="83">
        <v>45665</v>
      </c>
      <c r="H15" s="82" t="s">
        <v>3696</v>
      </c>
      <c r="I15" s="82" t="s">
        <v>51</v>
      </c>
      <c r="J15" s="84">
        <v>0.69487399999999999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2"/>
      <c r="V15" s="82" t="s">
        <v>3399</v>
      </c>
      <c r="W15" s="82" t="s">
        <v>3395</v>
      </c>
      <c r="X15" s="82" t="s">
        <v>3397</v>
      </c>
      <c r="Y15" s="82" t="s">
        <v>3393</v>
      </c>
    </row>
    <row r="16" spans="1:25" ht="10.9" customHeight="1" x14ac:dyDescent="0.2">
      <c r="A16" s="82" t="s">
        <v>3773</v>
      </c>
      <c r="B16" s="82" t="s">
        <v>159</v>
      </c>
      <c r="C16" s="83">
        <v>45665</v>
      </c>
      <c r="D16" s="83">
        <v>45710</v>
      </c>
      <c r="E16" s="83">
        <v>45723</v>
      </c>
      <c r="F16" s="83">
        <v>45709</v>
      </c>
      <c r="G16" s="83">
        <v>45665</v>
      </c>
      <c r="H16" s="82" t="s">
        <v>3772</v>
      </c>
      <c r="I16" s="82" t="s">
        <v>51</v>
      </c>
      <c r="J16" s="84">
        <v>0.69559899999999997</v>
      </c>
      <c r="K16" s="85">
        <v>968.42</v>
      </c>
      <c r="L16" s="85">
        <v>968.42</v>
      </c>
      <c r="M16" s="85">
        <v>0</v>
      </c>
      <c r="N16" s="85">
        <v>968.42</v>
      </c>
      <c r="O16" s="85">
        <v>0</v>
      </c>
      <c r="P16" s="85">
        <v>1392.210167064645</v>
      </c>
      <c r="Q16" s="85">
        <v>1392.210167064645</v>
      </c>
      <c r="R16" s="85">
        <v>0</v>
      </c>
      <c r="S16" s="85">
        <v>1378.0708999999999</v>
      </c>
      <c r="T16" s="85">
        <v>0</v>
      </c>
      <c r="U16" s="82"/>
      <c r="V16" s="82" t="s">
        <v>3399</v>
      </c>
      <c r="W16" s="82" t="s">
        <v>3395</v>
      </c>
      <c r="X16" s="82" t="s">
        <v>3394</v>
      </c>
      <c r="Y16" s="82" t="s">
        <v>3393</v>
      </c>
    </row>
    <row r="17" spans="1:25" ht="10.9" customHeight="1" x14ac:dyDescent="0.2">
      <c r="A17" s="82" t="s">
        <v>3775</v>
      </c>
      <c r="B17" s="82" t="s">
        <v>159</v>
      </c>
      <c r="C17" s="83">
        <v>45665</v>
      </c>
      <c r="D17" s="83">
        <v>45710</v>
      </c>
      <c r="E17" s="83">
        <v>45723</v>
      </c>
      <c r="F17" s="83">
        <v>45709</v>
      </c>
      <c r="G17" s="83">
        <v>45665</v>
      </c>
      <c r="H17" s="82" t="s">
        <v>3774</v>
      </c>
      <c r="I17" s="82" t="s">
        <v>51</v>
      </c>
      <c r="J17" s="84">
        <v>0.69559899999999997</v>
      </c>
      <c r="K17" s="85">
        <v>23897.1</v>
      </c>
      <c r="L17" s="85">
        <v>23897.1</v>
      </c>
      <c r="M17" s="85">
        <v>0</v>
      </c>
      <c r="N17" s="85">
        <v>23897.1</v>
      </c>
      <c r="O17" s="85">
        <v>0</v>
      </c>
      <c r="P17" s="85">
        <v>34354.707237934497</v>
      </c>
      <c r="Q17" s="85">
        <v>34354.707237934497</v>
      </c>
      <c r="R17" s="85">
        <v>0</v>
      </c>
      <c r="S17" s="85">
        <v>34005.8001</v>
      </c>
      <c r="T17" s="85">
        <v>0</v>
      </c>
      <c r="U17" s="82"/>
      <c r="V17" s="82" t="s">
        <v>3399</v>
      </c>
      <c r="W17" s="82" t="s">
        <v>3395</v>
      </c>
      <c r="X17" s="82" t="s">
        <v>3394</v>
      </c>
      <c r="Y17" s="82" t="s">
        <v>3393</v>
      </c>
    </row>
    <row r="18" spans="1:25" ht="10.9" customHeight="1" x14ac:dyDescent="0.2">
      <c r="A18" s="82" t="s">
        <v>3777</v>
      </c>
      <c r="B18" s="82" t="s">
        <v>159</v>
      </c>
      <c r="C18" s="83">
        <v>45665</v>
      </c>
      <c r="D18" s="83">
        <v>45710</v>
      </c>
      <c r="E18" s="83">
        <v>45723</v>
      </c>
      <c r="F18" s="83">
        <v>45709</v>
      </c>
      <c r="G18" s="83">
        <v>45665</v>
      </c>
      <c r="H18" s="82" t="s">
        <v>3776</v>
      </c>
      <c r="I18" s="82" t="s">
        <v>51</v>
      </c>
      <c r="J18" s="84">
        <v>0.69559899999999997</v>
      </c>
      <c r="K18" s="85">
        <v>20774</v>
      </c>
      <c r="L18" s="85">
        <v>20774</v>
      </c>
      <c r="M18" s="85">
        <v>0</v>
      </c>
      <c r="N18" s="85">
        <v>20774</v>
      </c>
      <c r="O18" s="85">
        <v>0</v>
      </c>
      <c r="P18" s="85">
        <v>29864.907798889879</v>
      </c>
      <c r="Q18" s="85">
        <v>29864.907798889879</v>
      </c>
      <c r="R18" s="85">
        <v>0</v>
      </c>
      <c r="S18" s="85">
        <v>29561.599200000001</v>
      </c>
      <c r="T18" s="85">
        <v>0</v>
      </c>
      <c r="U18" s="82"/>
      <c r="V18" s="82" t="s">
        <v>3399</v>
      </c>
      <c r="W18" s="82" t="s">
        <v>3395</v>
      </c>
      <c r="X18" s="82" t="s">
        <v>3394</v>
      </c>
      <c r="Y18" s="82" t="s">
        <v>3393</v>
      </c>
    </row>
    <row r="19" spans="1:25" ht="10.9" customHeight="1" x14ac:dyDescent="0.2">
      <c r="A19" s="82" t="s">
        <v>3781</v>
      </c>
      <c r="B19" s="82" t="s">
        <v>159</v>
      </c>
      <c r="C19" s="83">
        <v>45665</v>
      </c>
      <c r="D19" s="83">
        <v>45710</v>
      </c>
      <c r="E19" s="83">
        <v>45723</v>
      </c>
      <c r="F19" s="83">
        <v>45709</v>
      </c>
      <c r="G19" s="83">
        <v>45665</v>
      </c>
      <c r="H19" s="82" t="s">
        <v>3780</v>
      </c>
      <c r="I19" s="82" t="s">
        <v>51</v>
      </c>
      <c r="J19" s="84">
        <v>0.69559899999999997</v>
      </c>
      <c r="K19" s="85">
        <v>968.42</v>
      </c>
      <c r="L19" s="85">
        <v>968.42</v>
      </c>
      <c r="M19" s="85">
        <v>0</v>
      </c>
      <c r="N19" s="85">
        <v>968.42</v>
      </c>
      <c r="O19" s="85">
        <v>0</v>
      </c>
      <c r="P19" s="85">
        <v>1392.210167064645</v>
      </c>
      <c r="Q19" s="85">
        <v>1392.210167064645</v>
      </c>
      <c r="R19" s="85">
        <v>0</v>
      </c>
      <c r="S19" s="85">
        <v>1378.0708999999999</v>
      </c>
      <c r="T19" s="85">
        <v>0</v>
      </c>
      <c r="U19" s="82"/>
      <c r="V19" s="82" t="s">
        <v>3399</v>
      </c>
      <c r="W19" s="82" t="s">
        <v>3395</v>
      </c>
      <c r="X19" s="82" t="s">
        <v>3394</v>
      </c>
      <c r="Y19" s="82" t="s">
        <v>3393</v>
      </c>
    </row>
    <row r="20" spans="1:25" ht="10.9" customHeight="1" x14ac:dyDescent="0.2">
      <c r="A20" s="82" t="s">
        <v>3779</v>
      </c>
      <c r="B20" s="82" t="s">
        <v>159</v>
      </c>
      <c r="C20" s="83">
        <v>45665</v>
      </c>
      <c r="D20" s="83">
        <v>45710</v>
      </c>
      <c r="E20" s="83">
        <v>45723</v>
      </c>
      <c r="F20" s="83">
        <v>45709</v>
      </c>
      <c r="G20" s="83">
        <v>45665</v>
      </c>
      <c r="H20" s="82" t="s">
        <v>3778</v>
      </c>
      <c r="I20" s="82" t="s">
        <v>51</v>
      </c>
      <c r="J20" s="84">
        <v>0.69559899999999997</v>
      </c>
      <c r="K20" s="85">
        <v>160</v>
      </c>
      <c r="L20" s="85">
        <v>160</v>
      </c>
      <c r="M20" s="85">
        <v>0</v>
      </c>
      <c r="N20" s="85">
        <v>160</v>
      </c>
      <c r="O20" s="85">
        <v>0</v>
      </c>
      <c r="P20" s="85">
        <v>230.01758196892169</v>
      </c>
      <c r="Q20" s="85">
        <v>230.01758196892169</v>
      </c>
      <c r="R20" s="85">
        <v>0</v>
      </c>
      <c r="S20" s="85">
        <v>227.6815</v>
      </c>
      <c r="T20" s="85">
        <v>0</v>
      </c>
      <c r="U20" s="82"/>
      <c r="V20" s="82" t="s">
        <v>3399</v>
      </c>
      <c r="W20" s="82" t="s">
        <v>3395</v>
      </c>
      <c r="X20" s="82" t="s">
        <v>3394</v>
      </c>
      <c r="Y20" s="82" t="s">
        <v>3393</v>
      </c>
    </row>
    <row r="21" spans="1:25" ht="10.9" customHeight="1" x14ac:dyDescent="0.2">
      <c r="A21" s="82" t="s">
        <v>2278</v>
      </c>
      <c r="B21" s="82" t="s">
        <v>35</v>
      </c>
      <c r="C21" s="83">
        <v>45665</v>
      </c>
      <c r="D21" s="83">
        <v>45695</v>
      </c>
      <c r="E21" s="83">
        <v>45700</v>
      </c>
      <c r="F21" s="83">
        <v>45693</v>
      </c>
      <c r="G21" s="83">
        <v>45665</v>
      </c>
      <c r="H21" s="82" t="s">
        <v>2252</v>
      </c>
      <c r="I21" s="82" t="s">
        <v>22</v>
      </c>
      <c r="J21" s="84">
        <v>0</v>
      </c>
      <c r="K21" s="85">
        <v>112.37</v>
      </c>
      <c r="L21" s="85">
        <v>117.99</v>
      </c>
      <c r="M21" s="85">
        <v>5.62</v>
      </c>
      <c r="N21" s="85">
        <v>117.99</v>
      </c>
      <c r="O21" s="85">
        <v>0</v>
      </c>
      <c r="P21" s="85">
        <v>112.37</v>
      </c>
      <c r="Q21" s="85">
        <v>117.99</v>
      </c>
      <c r="R21" s="85">
        <v>5.62</v>
      </c>
      <c r="S21" s="85">
        <v>117.99</v>
      </c>
      <c r="T21" s="85">
        <v>0</v>
      </c>
      <c r="U21" s="82"/>
      <c r="V21" s="82" t="s">
        <v>3399</v>
      </c>
      <c r="W21" s="82" t="s">
        <v>3395</v>
      </c>
      <c r="X21" s="82" t="s">
        <v>3394</v>
      </c>
      <c r="Y21" s="82" t="s">
        <v>3393</v>
      </c>
    </row>
    <row r="22" spans="1:25" ht="10.9" customHeight="1" x14ac:dyDescent="0.2">
      <c r="A22" s="82" t="s">
        <v>2281</v>
      </c>
      <c r="B22" s="82" t="s">
        <v>98</v>
      </c>
      <c r="C22" s="83">
        <v>45665</v>
      </c>
      <c r="D22" s="83">
        <v>45695</v>
      </c>
      <c r="E22" s="83">
        <v>45700</v>
      </c>
      <c r="F22" s="83">
        <v>45693</v>
      </c>
      <c r="G22" s="83">
        <v>45665</v>
      </c>
      <c r="H22" s="82" t="s">
        <v>2246</v>
      </c>
      <c r="I22" s="82" t="s">
        <v>22</v>
      </c>
      <c r="J22" s="84">
        <v>0</v>
      </c>
      <c r="K22" s="85">
        <v>1776.49</v>
      </c>
      <c r="L22" s="85">
        <v>2007.42</v>
      </c>
      <c r="M22" s="85">
        <v>230.93</v>
      </c>
      <c r="N22" s="85">
        <v>2007.42</v>
      </c>
      <c r="O22" s="85">
        <v>0</v>
      </c>
      <c r="P22" s="85">
        <v>1776.49</v>
      </c>
      <c r="Q22" s="85">
        <v>2007.42</v>
      </c>
      <c r="R22" s="85">
        <v>230.93</v>
      </c>
      <c r="S22" s="85">
        <v>2007.42</v>
      </c>
      <c r="T22" s="85">
        <v>0</v>
      </c>
      <c r="U22" s="82"/>
      <c r="V22" s="82" t="s">
        <v>3399</v>
      </c>
      <c r="W22" s="82" t="s">
        <v>3395</v>
      </c>
      <c r="X22" s="82" t="s">
        <v>3394</v>
      </c>
      <c r="Y22" s="82" t="s">
        <v>3393</v>
      </c>
    </row>
    <row r="23" spans="1:25" ht="10.9" customHeight="1" x14ac:dyDescent="0.2">
      <c r="A23" s="82"/>
      <c r="B23" s="82" t="s">
        <v>952</v>
      </c>
      <c r="C23" s="83">
        <v>45665</v>
      </c>
      <c r="D23" s="83">
        <v>45665</v>
      </c>
      <c r="E23" s="83">
        <v>45665</v>
      </c>
      <c r="F23" s="83">
        <v>45784</v>
      </c>
      <c r="G23" s="83">
        <v>45671</v>
      </c>
      <c r="H23" s="82" t="s">
        <v>2232</v>
      </c>
      <c r="I23" s="82" t="s">
        <v>22</v>
      </c>
      <c r="J23" s="84">
        <v>0</v>
      </c>
      <c r="K23" s="85">
        <v>-4153.74</v>
      </c>
      <c r="L23" s="85">
        <v>-4153.74</v>
      </c>
      <c r="M23" s="85">
        <v>0</v>
      </c>
      <c r="N23" s="85">
        <v>-4153.74</v>
      </c>
      <c r="O23" s="85">
        <v>0</v>
      </c>
      <c r="P23" s="85">
        <v>-4153.74</v>
      </c>
      <c r="Q23" s="85">
        <v>-4153.74</v>
      </c>
      <c r="R23" s="85">
        <v>0</v>
      </c>
      <c r="S23" s="85">
        <v>-4153.74</v>
      </c>
      <c r="T23" s="85">
        <v>0</v>
      </c>
      <c r="U23" s="82"/>
      <c r="V23" s="82" t="s">
        <v>3399</v>
      </c>
      <c r="W23" s="82" t="s">
        <v>3423</v>
      </c>
      <c r="X23" s="82" t="s">
        <v>3397</v>
      </c>
      <c r="Y23" s="82"/>
    </row>
    <row r="24" spans="1:25" ht="10.9" customHeight="1" x14ac:dyDescent="0.2">
      <c r="A24" s="82" t="s">
        <v>2283</v>
      </c>
      <c r="B24" s="82" t="s">
        <v>2242</v>
      </c>
      <c r="C24" s="83">
        <v>45666</v>
      </c>
      <c r="D24" s="83">
        <v>45696</v>
      </c>
      <c r="E24" s="83">
        <v>45723</v>
      </c>
      <c r="F24" s="83">
        <v>45715</v>
      </c>
      <c r="G24" s="83">
        <v>45666</v>
      </c>
      <c r="H24" s="82" t="s">
        <v>3770</v>
      </c>
      <c r="I24" s="82" t="s">
        <v>51</v>
      </c>
      <c r="J24" s="84">
        <v>0.69388499999999997</v>
      </c>
      <c r="K24" s="85">
        <v>137.77000000000001</v>
      </c>
      <c r="L24" s="85">
        <v>137.77000000000001</v>
      </c>
      <c r="M24" s="85">
        <v>0</v>
      </c>
      <c r="N24" s="85">
        <v>137.77000000000001</v>
      </c>
      <c r="O24" s="85">
        <v>0</v>
      </c>
      <c r="P24" s="85">
        <v>198.5487508737038</v>
      </c>
      <c r="Q24" s="85">
        <v>198.5487508737038</v>
      </c>
      <c r="R24" s="85">
        <v>0</v>
      </c>
      <c r="S24" s="85">
        <v>199.0266</v>
      </c>
      <c r="T24" s="85">
        <v>0</v>
      </c>
      <c r="U24" s="82"/>
      <c r="V24" s="82" t="s">
        <v>3399</v>
      </c>
      <c r="W24" s="82" t="s">
        <v>3395</v>
      </c>
      <c r="X24" s="82" t="s">
        <v>3394</v>
      </c>
      <c r="Y24" s="82" t="s">
        <v>3393</v>
      </c>
    </row>
    <row r="25" spans="1:25" ht="10.9" customHeight="1" x14ac:dyDescent="0.2">
      <c r="A25" s="82" t="s">
        <v>2289</v>
      </c>
      <c r="B25" s="82" t="s">
        <v>952</v>
      </c>
      <c r="C25" s="83">
        <v>45666</v>
      </c>
      <c r="D25" s="83">
        <v>45666</v>
      </c>
      <c r="E25" s="83">
        <v>45666</v>
      </c>
      <c r="F25" s="83">
        <v>45666</v>
      </c>
      <c r="G25" s="83">
        <v>45666</v>
      </c>
      <c r="H25" s="82" t="s">
        <v>2233</v>
      </c>
      <c r="I25" s="82" t="s">
        <v>22</v>
      </c>
      <c r="J25" s="84">
        <v>0</v>
      </c>
      <c r="K25" s="85">
        <v>1827.63</v>
      </c>
      <c r="L25" s="85">
        <v>1919.01</v>
      </c>
      <c r="M25" s="85">
        <v>91.38</v>
      </c>
      <c r="N25" s="85">
        <v>1919.01</v>
      </c>
      <c r="O25" s="85">
        <v>0</v>
      </c>
      <c r="P25" s="85">
        <v>1827.63</v>
      </c>
      <c r="Q25" s="85">
        <v>1919.01</v>
      </c>
      <c r="R25" s="85">
        <v>91.38</v>
      </c>
      <c r="S25" s="85">
        <v>1919.01</v>
      </c>
      <c r="T25" s="85">
        <v>0</v>
      </c>
      <c r="U25" s="82"/>
      <c r="V25" s="82" t="s">
        <v>3399</v>
      </c>
      <c r="W25" s="82" t="s">
        <v>3395</v>
      </c>
      <c r="X25" s="82" t="s">
        <v>3397</v>
      </c>
      <c r="Y25" s="82" t="s">
        <v>3393</v>
      </c>
    </row>
    <row r="26" spans="1:25" ht="10.9" customHeight="1" x14ac:dyDescent="0.2">
      <c r="A26" s="82" t="s">
        <v>2270</v>
      </c>
      <c r="B26" s="82" t="s">
        <v>3485</v>
      </c>
      <c r="C26" s="83">
        <v>45666</v>
      </c>
      <c r="D26" s="83">
        <v>45696</v>
      </c>
      <c r="E26" s="83">
        <v>45702</v>
      </c>
      <c r="F26" s="83">
        <v>45698</v>
      </c>
      <c r="G26" s="83">
        <v>45666</v>
      </c>
      <c r="H26" s="82" t="s">
        <v>2268</v>
      </c>
      <c r="I26" s="82" t="s">
        <v>22</v>
      </c>
      <c r="J26" s="84">
        <v>0</v>
      </c>
      <c r="K26" s="85">
        <v>1363.36</v>
      </c>
      <c r="L26" s="85">
        <v>1540.6</v>
      </c>
      <c r="M26" s="85">
        <v>177.24</v>
      </c>
      <c r="N26" s="85">
        <v>1540.6</v>
      </c>
      <c r="O26" s="85">
        <v>0</v>
      </c>
      <c r="P26" s="85">
        <v>1363.36</v>
      </c>
      <c r="Q26" s="85">
        <v>1540.6</v>
      </c>
      <c r="R26" s="85">
        <v>177.24</v>
      </c>
      <c r="S26" s="85">
        <v>1540.6</v>
      </c>
      <c r="T26" s="85">
        <v>0</v>
      </c>
      <c r="U26" s="82"/>
      <c r="V26" s="82" t="s">
        <v>3399</v>
      </c>
      <c r="W26" s="82" t="s">
        <v>3395</v>
      </c>
      <c r="X26" s="82" t="s">
        <v>3394</v>
      </c>
      <c r="Y26" s="82" t="s">
        <v>3393</v>
      </c>
    </row>
    <row r="27" spans="1:25" ht="10.9" customHeight="1" x14ac:dyDescent="0.2">
      <c r="A27" s="82" t="s">
        <v>3769</v>
      </c>
      <c r="B27" s="82" t="s">
        <v>20</v>
      </c>
      <c r="C27" s="83">
        <v>45666</v>
      </c>
      <c r="D27" s="83">
        <v>45726</v>
      </c>
      <c r="E27" s="83">
        <v>45726</v>
      </c>
      <c r="F27" s="83">
        <v>45730</v>
      </c>
      <c r="G27" s="83">
        <v>45666</v>
      </c>
      <c r="H27" s="82" t="s">
        <v>3768</v>
      </c>
      <c r="I27" s="82" t="s">
        <v>22</v>
      </c>
      <c r="J27" s="84">
        <v>0</v>
      </c>
      <c r="K27" s="85">
        <v>1829.11</v>
      </c>
      <c r="L27" s="85">
        <v>1920.57</v>
      </c>
      <c r="M27" s="85">
        <v>91.46</v>
      </c>
      <c r="N27" s="85">
        <v>1920.57</v>
      </c>
      <c r="O27" s="85">
        <v>0</v>
      </c>
      <c r="P27" s="85">
        <v>1829.11</v>
      </c>
      <c r="Q27" s="85">
        <v>1920.57</v>
      </c>
      <c r="R27" s="85">
        <v>91.46</v>
      </c>
      <c r="S27" s="85">
        <v>1920.57</v>
      </c>
      <c r="T27" s="85">
        <v>0</v>
      </c>
      <c r="U27" s="82"/>
      <c r="V27" s="82" t="s">
        <v>3399</v>
      </c>
      <c r="W27" s="82" t="s">
        <v>3395</v>
      </c>
      <c r="X27" s="82" t="s">
        <v>3394</v>
      </c>
      <c r="Y27" s="82" t="s">
        <v>3393</v>
      </c>
    </row>
    <row r="28" spans="1:25" ht="10.9" customHeight="1" x14ac:dyDescent="0.2">
      <c r="A28" s="82" t="s">
        <v>3771</v>
      </c>
      <c r="B28" s="82" t="s">
        <v>146</v>
      </c>
      <c r="C28" s="83">
        <v>45666</v>
      </c>
      <c r="D28" s="83">
        <v>45696</v>
      </c>
      <c r="E28" s="83">
        <v>45712</v>
      </c>
      <c r="F28" s="83">
        <v>45709</v>
      </c>
      <c r="G28" s="83">
        <v>45666</v>
      </c>
      <c r="H28" s="82" t="s">
        <v>3625</v>
      </c>
      <c r="I28" s="82" t="s">
        <v>22</v>
      </c>
      <c r="J28" s="84">
        <v>0</v>
      </c>
      <c r="K28" s="85">
        <v>101.54</v>
      </c>
      <c r="L28" s="85">
        <v>106.62</v>
      </c>
      <c r="M28" s="85">
        <v>5.08</v>
      </c>
      <c r="N28" s="85">
        <v>106.62</v>
      </c>
      <c r="O28" s="85">
        <v>0</v>
      </c>
      <c r="P28" s="85">
        <v>101.54</v>
      </c>
      <c r="Q28" s="85">
        <v>106.62</v>
      </c>
      <c r="R28" s="85">
        <v>5.08</v>
      </c>
      <c r="S28" s="85">
        <v>106.62</v>
      </c>
      <c r="T28" s="85">
        <v>0</v>
      </c>
      <c r="U28" s="82"/>
      <c r="V28" s="82" t="s">
        <v>3399</v>
      </c>
      <c r="W28" s="82" t="s">
        <v>3395</v>
      </c>
      <c r="X28" s="82" t="s">
        <v>3394</v>
      </c>
      <c r="Y28" s="82" t="s">
        <v>3393</v>
      </c>
    </row>
    <row r="29" spans="1:25" ht="10.9" customHeight="1" x14ac:dyDescent="0.2">
      <c r="A29" s="82" t="s">
        <v>2284</v>
      </c>
      <c r="B29" s="82" t="s">
        <v>146</v>
      </c>
      <c r="C29" s="83">
        <v>45666</v>
      </c>
      <c r="D29" s="83">
        <v>45696</v>
      </c>
      <c r="E29" s="83">
        <v>45712</v>
      </c>
      <c r="F29" s="83">
        <v>45709</v>
      </c>
      <c r="G29" s="83">
        <v>45666</v>
      </c>
      <c r="H29" s="82" t="s">
        <v>2239</v>
      </c>
      <c r="I29" s="82" t="s">
        <v>22</v>
      </c>
      <c r="J29" s="84">
        <v>0</v>
      </c>
      <c r="K29" s="85">
        <v>916.59</v>
      </c>
      <c r="L29" s="85">
        <v>962.42</v>
      </c>
      <c r="M29" s="85">
        <v>45.83</v>
      </c>
      <c r="N29" s="85">
        <v>962.42</v>
      </c>
      <c r="O29" s="85">
        <v>0</v>
      </c>
      <c r="P29" s="85">
        <v>916.59</v>
      </c>
      <c r="Q29" s="85">
        <v>962.42</v>
      </c>
      <c r="R29" s="85">
        <v>45.83</v>
      </c>
      <c r="S29" s="85">
        <v>962.42</v>
      </c>
      <c r="T29" s="85">
        <v>0</v>
      </c>
      <c r="U29" s="82"/>
      <c r="V29" s="82" t="s">
        <v>3399</v>
      </c>
      <c r="W29" s="82" t="s">
        <v>3395</v>
      </c>
      <c r="X29" s="82" t="s">
        <v>3394</v>
      </c>
      <c r="Y29" s="82" t="s">
        <v>3393</v>
      </c>
    </row>
    <row r="30" spans="1:25" ht="10.9" customHeight="1" x14ac:dyDescent="0.2">
      <c r="A30" s="82" t="s">
        <v>2286</v>
      </c>
      <c r="B30" s="82" t="s">
        <v>146</v>
      </c>
      <c r="C30" s="83">
        <v>45666</v>
      </c>
      <c r="D30" s="83">
        <v>45696</v>
      </c>
      <c r="E30" s="83">
        <v>45712</v>
      </c>
      <c r="F30" s="83">
        <v>45709</v>
      </c>
      <c r="G30" s="83">
        <v>45666</v>
      </c>
      <c r="H30" s="82" t="s">
        <v>2235</v>
      </c>
      <c r="I30" s="82" t="s">
        <v>22</v>
      </c>
      <c r="J30" s="84">
        <v>0</v>
      </c>
      <c r="K30" s="85">
        <v>213.9</v>
      </c>
      <c r="L30" s="85">
        <v>224.6</v>
      </c>
      <c r="M30" s="85">
        <v>10.7</v>
      </c>
      <c r="N30" s="85">
        <v>224.6</v>
      </c>
      <c r="O30" s="85">
        <v>0</v>
      </c>
      <c r="P30" s="85">
        <v>213.9</v>
      </c>
      <c r="Q30" s="85">
        <v>224.6</v>
      </c>
      <c r="R30" s="85">
        <v>10.7</v>
      </c>
      <c r="S30" s="85">
        <v>224.6</v>
      </c>
      <c r="T30" s="85">
        <v>0</v>
      </c>
      <c r="U30" s="82"/>
      <c r="V30" s="82" t="s">
        <v>3399</v>
      </c>
      <c r="W30" s="82" t="s">
        <v>3395</v>
      </c>
      <c r="X30" s="82" t="s">
        <v>3394</v>
      </c>
      <c r="Y30" s="82" t="s">
        <v>3393</v>
      </c>
    </row>
    <row r="31" spans="1:25" ht="10.9" customHeight="1" x14ac:dyDescent="0.2">
      <c r="A31" s="82" t="s">
        <v>2277</v>
      </c>
      <c r="B31" s="82" t="s">
        <v>581</v>
      </c>
      <c r="C31" s="83">
        <v>45667</v>
      </c>
      <c r="D31" s="83">
        <v>45697</v>
      </c>
      <c r="E31" s="83">
        <v>45702</v>
      </c>
      <c r="F31" s="83">
        <v>45701</v>
      </c>
      <c r="G31" s="83">
        <v>45667</v>
      </c>
      <c r="H31" s="82" t="s">
        <v>2254</v>
      </c>
      <c r="I31" s="82" t="s">
        <v>51</v>
      </c>
      <c r="J31" s="84">
        <v>0.69273700000000005</v>
      </c>
      <c r="K31" s="85">
        <v>100.41</v>
      </c>
      <c r="L31" s="85">
        <v>100.41</v>
      </c>
      <c r="M31" s="85">
        <v>0</v>
      </c>
      <c r="N31" s="85">
        <v>100.41</v>
      </c>
      <c r="O31" s="85">
        <v>0</v>
      </c>
      <c r="P31" s="85">
        <v>144.9467835556639</v>
      </c>
      <c r="Q31" s="85">
        <v>144.9467835556639</v>
      </c>
      <c r="R31" s="85">
        <v>0</v>
      </c>
      <c r="S31" s="85">
        <v>142.40960000000001</v>
      </c>
      <c r="T31" s="85">
        <v>0</v>
      </c>
      <c r="U31" s="82"/>
      <c r="V31" s="82" t="s">
        <v>3399</v>
      </c>
      <c r="W31" s="82" t="s">
        <v>3395</v>
      </c>
      <c r="X31" s="82" t="s">
        <v>3394</v>
      </c>
      <c r="Y31" s="82" t="s">
        <v>3393</v>
      </c>
    </row>
    <row r="32" spans="1:25" ht="10.9" customHeight="1" x14ac:dyDescent="0.2">
      <c r="A32" s="82" t="s">
        <v>2276</v>
      </c>
      <c r="B32" s="82" t="s">
        <v>70</v>
      </c>
      <c r="C32" s="83">
        <v>45667</v>
      </c>
      <c r="D32" s="83">
        <v>45727</v>
      </c>
      <c r="E32" s="83">
        <v>45761</v>
      </c>
      <c r="F32" s="83">
        <v>45754</v>
      </c>
      <c r="G32" s="83">
        <v>45667</v>
      </c>
      <c r="H32" s="82" t="s">
        <v>2256</v>
      </c>
      <c r="I32" s="82" t="s">
        <v>51</v>
      </c>
      <c r="J32" s="84">
        <v>0.69337499999999996</v>
      </c>
      <c r="K32" s="85">
        <v>8795</v>
      </c>
      <c r="L32" s="85">
        <v>8795</v>
      </c>
      <c r="M32" s="85">
        <v>0</v>
      </c>
      <c r="N32" s="85">
        <v>8795</v>
      </c>
      <c r="O32" s="85">
        <v>0</v>
      </c>
      <c r="P32" s="85">
        <v>12684.333874166216</v>
      </c>
      <c r="Q32" s="85">
        <v>12684.333874166216</v>
      </c>
      <c r="R32" s="85">
        <v>0</v>
      </c>
      <c r="S32" s="85">
        <v>12512.1103</v>
      </c>
      <c r="T32" s="85">
        <v>0</v>
      </c>
      <c r="U32" s="82"/>
      <c r="V32" s="82" t="s">
        <v>3399</v>
      </c>
      <c r="W32" s="82" t="s">
        <v>3395</v>
      </c>
      <c r="X32" s="82" t="s">
        <v>3394</v>
      </c>
      <c r="Y32" s="82" t="s">
        <v>3393</v>
      </c>
    </row>
    <row r="33" spans="1:25" ht="10.9" customHeight="1" x14ac:dyDescent="0.2">
      <c r="A33" s="82" t="s">
        <v>2285</v>
      </c>
      <c r="B33" s="82" t="s">
        <v>70</v>
      </c>
      <c r="C33" s="83">
        <v>45667</v>
      </c>
      <c r="D33" s="83">
        <v>45727</v>
      </c>
      <c r="E33" s="83">
        <v>45761</v>
      </c>
      <c r="F33" s="83">
        <v>45754</v>
      </c>
      <c r="G33" s="83">
        <v>45667</v>
      </c>
      <c r="H33" s="82" t="s">
        <v>2237</v>
      </c>
      <c r="I33" s="82" t="s">
        <v>51</v>
      </c>
      <c r="J33" s="84">
        <v>0.69337499999999996</v>
      </c>
      <c r="K33" s="85">
        <v>5506</v>
      </c>
      <c r="L33" s="85">
        <v>5506</v>
      </c>
      <c r="M33" s="85">
        <v>0</v>
      </c>
      <c r="N33" s="85">
        <v>5506</v>
      </c>
      <c r="O33" s="85">
        <v>0</v>
      </c>
      <c r="P33" s="85">
        <v>7940.8689381647737</v>
      </c>
      <c r="Q33" s="85">
        <v>7940.8689381647737</v>
      </c>
      <c r="R33" s="85">
        <v>0</v>
      </c>
      <c r="S33" s="85">
        <v>7833.0505000000003</v>
      </c>
      <c r="T33" s="85">
        <v>0</v>
      </c>
      <c r="U33" s="82"/>
      <c r="V33" s="82" t="s">
        <v>3399</v>
      </c>
      <c r="W33" s="82" t="s">
        <v>3395</v>
      </c>
      <c r="X33" s="82" t="s">
        <v>3394</v>
      </c>
      <c r="Y33" s="82" t="s">
        <v>3393</v>
      </c>
    </row>
    <row r="34" spans="1:25" ht="10.9" customHeight="1" x14ac:dyDescent="0.2">
      <c r="A34" s="82" t="s">
        <v>2292</v>
      </c>
      <c r="B34" s="82" t="s">
        <v>54</v>
      </c>
      <c r="C34" s="83">
        <v>45667</v>
      </c>
      <c r="D34" s="83">
        <v>45697</v>
      </c>
      <c r="E34" s="83">
        <v>45709</v>
      </c>
      <c r="F34" s="83">
        <v>45706</v>
      </c>
      <c r="G34" s="83">
        <v>45667</v>
      </c>
      <c r="H34" s="82" t="s">
        <v>2229</v>
      </c>
      <c r="I34" s="82" t="s">
        <v>22</v>
      </c>
      <c r="J34" s="84">
        <v>0</v>
      </c>
      <c r="K34" s="85">
        <v>3603</v>
      </c>
      <c r="L34" s="85">
        <v>3783.15</v>
      </c>
      <c r="M34" s="85">
        <v>180.15</v>
      </c>
      <c r="N34" s="85">
        <v>3783.15</v>
      </c>
      <c r="O34" s="85">
        <v>0</v>
      </c>
      <c r="P34" s="85">
        <v>3603</v>
      </c>
      <c r="Q34" s="85">
        <v>3783.15</v>
      </c>
      <c r="R34" s="85">
        <v>180.15</v>
      </c>
      <c r="S34" s="85">
        <v>3783.15</v>
      </c>
      <c r="T34" s="85">
        <v>0</v>
      </c>
      <c r="U34" s="82"/>
      <c r="V34" s="82" t="s">
        <v>3399</v>
      </c>
      <c r="W34" s="82" t="s">
        <v>3395</v>
      </c>
      <c r="X34" s="82" t="s">
        <v>3394</v>
      </c>
      <c r="Y34" s="82" t="s">
        <v>3393</v>
      </c>
    </row>
    <row r="35" spans="1:25" ht="10.9" customHeight="1" x14ac:dyDescent="0.2">
      <c r="A35" s="82" t="s">
        <v>2290</v>
      </c>
      <c r="B35" s="82" t="s">
        <v>54</v>
      </c>
      <c r="C35" s="83">
        <v>45667</v>
      </c>
      <c r="D35" s="83">
        <v>45697</v>
      </c>
      <c r="E35" s="83">
        <v>45709</v>
      </c>
      <c r="F35" s="83">
        <v>45706</v>
      </c>
      <c r="G35" s="83">
        <v>45667</v>
      </c>
      <c r="H35" s="82" t="s">
        <v>2231</v>
      </c>
      <c r="I35" s="82" t="s">
        <v>22</v>
      </c>
      <c r="J35" s="84">
        <v>0</v>
      </c>
      <c r="K35" s="85">
        <v>463.06</v>
      </c>
      <c r="L35" s="85">
        <v>486.21</v>
      </c>
      <c r="M35" s="85">
        <v>23.15</v>
      </c>
      <c r="N35" s="85">
        <v>486.21</v>
      </c>
      <c r="O35" s="85">
        <v>0</v>
      </c>
      <c r="P35" s="85">
        <v>463.06</v>
      </c>
      <c r="Q35" s="85">
        <v>486.21</v>
      </c>
      <c r="R35" s="85">
        <v>23.15</v>
      </c>
      <c r="S35" s="85">
        <v>486.21</v>
      </c>
      <c r="T35" s="85">
        <v>0</v>
      </c>
      <c r="U35" s="82"/>
      <c r="V35" s="82" t="s">
        <v>3399</v>
      </c>
      <c r="W35" s="82" t="s">
        <v>3395</v>
      </c>
      <c r="X35" s="82" t="s">
        <v>3394</v>
      </c>
      <c r="Y35" s="82" t="s">
        <v>3393</v>
      </c>
    </row>
    <row r="36" spans="1:25" ht="10.9" customHeight="1" x14ac:dyDescent="0.2">
      <c r="A36" s="82" t="s">
        <v>3761</v>
      </c>
      <c r="B36" s="82" t="s">
        <v>61</v>
      </c>
      <c r="C36" s="83">
        <v>45670</v>
      </c>
      <c r="D36" s="83">
        <v>45700</v>
      </c>
      <c r="E36" s="83">
        <v>45737</v>
      </c>
      <c r="F36" s="83">
        <v>45743</v>
      </c>
      <c r="G36" s="83">
        <v>45670</v>
      </c>
      <c r="H36" s="82" t="s">
        <v>3760</v>
      </c>
      <c r="I36" s="82" t="s">
        <v>51</v>
      </c>
      <c r="J36" s="84">
        <v>0.69545900000000005</v>
      </c>
      <c r="K36" s="85">
        <v>1931.05</v>
      </c>
      <c r="L36" s="85">
        <v>1931.05</v>
      </c>
      <c r="M36" s="85">
        <v>0</v>
      </c>
      <c r="N36" s="85">
        <v>1931.05</v>
      </c>
      <c r="O36" s="85">
        <v>0</v>
      </c>
      <c r="P36" s="85">
        <v>2776.655417501247</v>
      </c>
      <c r="Q36" s="85">
        <v>2776.655417501247</v>
      </c>
      <c r="R36" s="85">
        <v>0</v>
      </c>
      <c r="S36" s="85">
        <v>2764.3571999999999</v>
      </c>
      <c r="T36" s="85">
        <v>0</v>
      </c>
      <c r="U36" s="82"/>
      <c r="V36" s="82" t="s">
        <v>3399</v>
      </c>
      <c r="W36" s="82" t="s">
        <v>3395</v>
      </c>
      <c r="X36" s="82" t="s">
        <v>3394</v>
      </c>
      <c r="Y36" s="82" t="s">
        <v>3393</v>
      </c>
    </row>
    <row r="37" spans="1:25" ht="10.9" customHeight="1" x14ac:dyDescent="0.2">
      <c r="A37" s="82" t="s">
        <v>2296</v>
      </c>
      <c r="B37" s="82" t="s">
        <v>86</v>
      </c>
      <c r="C37" s="83">
        <v>45670</v>
      </c>
      <c r="D37" s="83">
        <v>45700</v>
      </c>
      <c r="E37" s="83">
        <v>45700</v>
      </c>
      <c r="F37" s="83">
        <v>45700</v>
      </c>
      <c r="G37" s="83">
        <v>45670</v>
      </c>
      <c r="H37" s="82" t="s">
        <v>2221</v>
      </c>
      <c r="I37" s="82" t="s">
        <v>22</v>
      </c>
      <c r="J37" s="84">
        <v>0</v>
      </c>
      <c r="K37" s="85">
        <v>540.29999999999995</v>
      </c>
      <c r="L37" s="85">
        <v>567.32000000000005</v>
      </c>
      <c r="M37" s="85">
        <v>27.02</v>
      </c>
      <c r="N37" s="85">
        <v>567.32000000000005</v>
      </c>
      <c r="O37" s="85">
        <v>0</v>
      </c>
      <c r="P37" s="85">
        <v>540.29999999999995</v>
      </c>
      <c r="Q37" s="85">
        <v>567.32000000000005</v>
      </c>
      <c r="R37" s="85">
        <v>27.02</v>
      </c>
      <c r="S37" s="85">
        <v>567.32000000000005</v>
      </c>
      <c r="T37" s="85">
        <v>0</v>
      </c>
      <c r="U37" s="82"/>
      <c r="V37" s="82" t="s">
        <v>3399</v>
      </c>
      <c r="W37" s="82" t="s">
        <v>3395</v>
      </c>
      <c r="X37" s="82" t="s">
        <v>3394</v>
      </c>
      <c r="Y37" s="82" t="s">
        <v>3393</v>
      </c>
    </row>
    <row r="38" spans="1:25" ht="10.9" customHeight="1" x14ac:dyDescent="0.2">
      <c r="A38" s="82" t="s">
        <v>2294</v>
      </c>
      <c r="B38" s="82" t="s">
        <v>465</v>
      </c>
      <c r="C38" s="83">
        <v>45670</v>
      </c>
      <c r="D38" s="83">
        <v>45700</v>
      </c>
      <c r="E38" s="83">
        <v>45715</v>
      </c>
      <c r="F38" s="83">
        <v>45721</v>
      </c>
      <c r="G38" s="83">
        <v>45670</v>
      </c>
      <c r="H38" s="82" t="s">
        <v>2225</v>
      </c>
      <c r="I38" s="82" t="s">
        <v>22</v>
      </c>
      <c r="J38" s="84">
        <v>0</v>
      </c>
      <c r="K38" s="85">
        <v>15086.8</v>
      </c>
      <c r="L38" s="85">
        <v>17048.099999999999</v>
      </c>
      <c r="M38" s="85">
        <v>1961.3</v>
      </c>
      <c r="N38" s="85">
        <v>17048.099999999999</v>
      </c>
      <c r="O38" s="85">
        <v>0</v>
      </c>
      <c r="P38" s="85">
        <v>15086.8</v>
      </c>
      <c r="Q38" s="85">
        <v>17048.099999999999</v>
      </c>
      <c r="R38" s="85">
        <v>1961.3</v>
      </c>
      <c r="S38" s="85">
        <v>17048.099999999999</v>
      </c>
      <c r="T38" s="85">
        <v>0</v>
      </c>
      <c r="U38" s="82"/>
      <c r="V38" s="82" t="s">
        <v>3399</v>
      </c>
      <c r="W38" s="82" t="s">
        <v>3395</v>
      </c>
      <c r="X38" s="82" t="s">
        <v>3394</v>
      </c>
      <c r="Y38" s="82" t="s">
        <v>3393</v>
      </c>
    </row>
    <row r="39" spans="1:25" ht="10.9" customHeight="1" x14ac:dyDescent="0.2">
      <c r="A39" s="82" t="s">
        <v>3765</v>
      </c>
      <c r="B39" s="82" t="s">
        <v>35</v>
      </c>
      <c r="C39" s="83">
        <v>45670</v>
      </c>
      <c r="D39" s="83">
        <v>45700</v>
      </c>
      <c r="E39" s="83">
        <v>45700</v>
      </c>
      <c r="F39" s="83">
        <v>45693</v>
      </c>
      <c r="G39" s="83">
        <v>45670</v>
      </c>
      <c r="H39" s="82" t="s">
        <v>3764</v>
      </c>
      <c r="I39" s="82" t="s">
        <v>22</v>
      </c>
      <c r="J39" s="84">
        <v>0</v>
      </c>
      <c r="K39" s="85">
        <v>1464.49</v>
      </c>
      <c r="L39" s="85">
        <v>1537.72</v>
      </c>
      <c r="M39" s="85">
        <v>73.23</v>
      </c>
      <c r="N39" s="85">
        <v>1537.72</v>
      </c>
      <c r="O39" s="85">
        <v>0</v>
      </c>
      <c r="P39" s="85">
        <v>1464.49</v>
      </c>
      <c r="Q39" s="85">
        <v>1537.72</v>
      </c>
      <c r="R39" s="85">
        <v>73.23</v>
      </c>
      <c r="S39" s="85">
        <v>1537.72</v>
      </c>
      <c r="T39" s="85">
        <v>0</v>
      </c>
      <c r="U39" s="82"/>
      <c r="V39" s="82" t="s">
        <v>3399</v>
      </c>
      <c r="W39" s="82" t="s">
        <v>3395</v>
      </c>
      <c r="X39" s="82" t="s">
        <v>3394</v>
      </c>
      <c r="Y39" s="82" t="s">
        <v>3393</v>
      </c>
    </row>
    <row r="40" spans="1:25" ht="10.9" customHeight="1" x14ac:dyDescent="0.2">
      <c r="A40" s="82" t="s">
        <v>3763</v>
      </c>
      <c r="B40" s="82" t="s">
        <v>89</v>
      </c>
      <c r="C40" s="83">
        <v>45670</v>
      </c>
      <c r="D40" s="83">
        <v>45700</v>
      </c>
      <c r="E40" s="83">
        <v>45737</v>
      </c>
      <c r="F40" s="83">
        <v>45736</v>
      </c>
      <c r="G40" s="83">
        <v>45670</v>
      </c>
      <c r="H40" s="82" t="s">
        <v>3762</v>
      </c>
      <c r="I40" s="82" t="s">
        <v>22</v>
      </c>
      <c r="J40" s="84">
        <v>0</v>
      </c>
      <c r="K40" s="85">
        <v>5489.78</v>
      </c>
      <c r="L40" s="85">
        <v>5764.27</v>
      </c>
      <c r="M40" s="85">
        <v>274.49</v>
      </c>
      <c r="N40" s="85">
        <v>5764.27</v>
      </c>
      <c r="O40" s="85">
        <v>0</v>
      </c>
      <c r="P40" s="85">
        <v>5489.78</v>
      </c>
      <c r="Q40" s="85">
        <v>5764.27</v>
      </c>
      <c r="R40" s="85">
        <v>274.49</v>
      </c>
      <c r="S40" s="85">
        <v>5764.27</v>
      </c>
      <c r="T40" s="85">
        <v>0</v>
      </c>
      <c r="U40" s="82"/>
      <c r="V40" s="82" t="s">
        <v>3399</v>
      </c>
      <c r="W40" s="82" t="s">
        <v>3395</v>
      </c>
      <c r="X40" s="82" t="s">
        <v>3394</v>
      </c>
      <c r="Y40" s="82" t="s">
        <v>3393</v>
      </c>
    </row>
    <row r="41" spans="1:25" ht="10.9" customHeight="1" x14ac:dyDescent="0.2">
      <c r="A41" s="82" t="s">
        <v>3767</v>
      </c>
      <c r="B41" s="82" t="s">
        <v>39</v>
      </c>
      <c r="C41" s="83">
        <v>45670</v>
      </c>
      <c r="D41" s="83">
        <v>45700</v>
      </c>
      <c r="E41" s="83">
        <v>45700</v>
      </c>
      <c r="F41" s="83">
        <v>45700</v>
      </c>
      <c r="G41" s="83">
        <v>45670</v>
      </c>
      <c r="H41" s="82" t="s">
        <v>3766</v>
      </c>
      <c r="I41" s="82" t="s">
        <v>22</v>
      </c>
      <c r="J41" s="84">
        <v>0</v>
      </c>
      <c r="K41" s="85">
        <v>10410.34</v>
      </c>
      <c r="L41" s="85">
        <v>10930.86</v>
      </c>
      <c r="M41" s="85">
        <v>520.52</v>
      </c>
      <c r="N41" s="85">
        <v>10930.86</v>
      </c>
      <c r="O41" s="85">
        <v>0</v>
      </c>
      <c r="P41" s="85">
        <v>10410.34</v>
      </c>
      <c r="Q41" s="85">
        <v>10930.86</v>
      </c>
      <c r="R41" s="85">
        <v>520.52</v>
      </c>
      <c r="S41" s="85">
        <v>10930.86</v>
      </c>
      <c r="T41" s="85">
        <v>0</v>
      </c>
      <c r="U41" s="82"/>
      <c r="V41" s="82" t="s">
        <v>3399</v>
      </c>
      <c r="W41" s="82" t="s">
        <v>3395</v>
      </c>
      <c r="X41" s="82" t="s">
        <v>3394</v>
      </c>
      <c r="Y41" s="82" t="s">
        <v>3393</v>
      </c>
    </row>
    <row r="42" spans="1:25" ht="10.9" customHeight="1" x14ac:dyDescent="0.2">
      <c r="A42" s="82" t="s">
        <v>2298</v>
      </c>
      <c r="B42" s="82" t="s">
        <v>2217</v>
      </c>
      <c r="C42" s="83">
        <v>45670</v>
      </c>
      <c r="D42" s="83">
        <v>45700</v>
      </c>
      <c r="E42" s="83">
        <v>45709</v>
      </c>
      <c r="F42" s="83">
        <v>45707</v>
      </c>
      <c r="G42" s="83">
        <v>45670</v>
      </c>
      <c r="H42" s="82" t="s">
        <v>2216</v>
      </c>
      <c r="I42" s="82" t="s">
        <v>22</v>
      </c>
      <c r="J42" s="84">
        <v>0</v>
      </c>
      <c r="K42" s="85">
        <v>2036.82</v>
      </c>
      <c r="L42" s="85">
        <v>2138.66</v>
      </c>
      <c r="M42" s="85">
        <v>101.84</v>
      </c>
      <c r="N42" s="85">
        <v>2138.66</v>
      </c>
      <c r="O42" s="85">
        <v>0</v>
      </c>
      <c r="P42" s="85">
        <v>2036.82</v>
      </c>
      <c r="Q42" s="85">
        <v>2138.66</v>
      </c>
      <c r="R42" s="85">
        <v>101.84</v>
      </c>
      <c r="S42" s="85">
        <v>2138.66</v>
      </c>
      <c r="T42" s="85">
        <v>0</v>
      </c>
      <c r="U42" s="82"/>
      <c r="V42" s="82" t="s">
        <v>3399</v>
      </c>
      <c r="W42" s="82" t="s">
        <v>3395</v>
      </c>
      <c r="X42" s="82" t="s">
        <v>3394</v>
      </c>
      <c r="Y42" s="82" t="s">
        <v>3393</v>
      </c>
    </row>
    <row r="43" spans="1:25" ht="10.9" customHeight="1" x14ac:dyDescent="0.2">
      <c r="A43" s="82" t="s">
        <v>3759</v>
      </c>
      <c r="B43" s="82" t="s">
        <v>198</v>
      </c>
      <c r="C43" s="83">
        <v>45671</v>
      </c>
      <c r="D43" s="83">
        <v>45701</v>
      </c>
      <c r="E43" s="83">
        <v>45730</v>
      </c>
      <c r="F43" s="83">
        <v>45715</v>
      </c>
      <c r="G43" s="83">
        <v>45671</v>
      </c>
      <c r="H43" s="82" t="s">
        <v>3758</v>
      </c>
      <c r="I43" s="82" t="s">
        <v>51</v>
      </c>
      <c r="J43" s="84">
        <v>0.69673300000000005</v>
      </c>
      <c r="K43" s="85">
        <v>241.89</v>
      </c>
      <c r="L43" s="85">
        <v>241.89</v>
      </c>
      <c r="M43" s="85">
        <v>0</v>
      </c>
      <c r="N43" s="85">
        <v>241.89</v>
      </c>
      <c r="O43" s="85">
        <v>0</v>
      </c>
      <c r="P43" s="85">
        <v>347.17746970503748</v>
      </c>
      <c r="Q43" s="85">
        <v>347.17746970503748</v>
      </c>
      <c r="R43" s="85">
        <v>0</v>
      </c>
      <c r="S43" s="85">
        <v>349.44139999999999</v>
      </c>
      <c r="T43" s="85">
        <v>0</v>
      </c>
      <c r="U43" s="82"/>
      <c r="V43" s="82" t="s">
        <v>3399</v>
      </c>
      <c r="W43" s="82" t="s">
        <v>3395</v>
      </c>
      <c r="X43" s="82" t="s">
        <v>3394</v>
      </c>
      <c r="Y43" s="82" t="s">
        <v>3393</v>
      </c>
    </row>
    <row r="44" spans="1:25" ht="10.9" customHeight="1" x14ac:dyDescent="0.2">
      <c r="A44" s="82" t="s">
        <v>2299</v>
      </c>
      <c r="B44" s="82" t="s">
        <v>192</v>
      </c>
      <c r="C44" s="83">
        <v>45671</v>
      </c>
      <c r="D44" s="83">
        <v>45701</v>
      </c>
      <c r="E44" s="83">
        <v>45737</v>
      </c>
      <c r="F44" s="83">
        <v>45754</v>
      </c>
      <c r="G44" s="83">
        <v>45671</v>
      </c>
      <c r="H44" s="82" t="s">
        <v>2214</v>
      </c>
      <c r="I44" s="82" t="s">
        <v>51</v>
      </c>
      <c r="J44" s="84">
        <v>0.69673300000000005</v>
      </c>
      <c r="K44" s="85">
        <v>3017.55</v>
      </c>
      <c r="L44" s="85">
        <v>3017.55</v>
      </c>
      <c r="M44" s="85">
        <v>0</v>
      </c>
      <c r="N44" s="85">
        <v>3017.55</v>
      </c>
      <c r="O44" s="85">
        <v>0</v>
      </c>
      <c r="P44" s="85">
        <v>4330.999105826766</v>
      </c>
      <c r="Q44" s="85">
        <v>4330.999105826766</v>
      </c>
      <c r="R44" s="85">
        <v>0</v>
      </c>
      <c r="S44" s="85">
        <v>4292.8843999999999</v>
      </c>
      <c r="T44" s="85">
        <v>0</v>
      </c>
      <c r="U44" s="82"/>
      <c r="V44" s="82" t="s">
        <v>3399</v>
      </c>
      <c r="W44" s="82" t="s">
        <v>3395</v>
      </c>
      <c r="X44" s="82" t="s">
        <v>3394</v>
      </c>
      <c r="Y44" s="82" t="s">
        <v>3393</v>
      </c>
    </row>
    <row r="45" spans="1:25" ht="10.9" customHeight="1" x14ac:dyDescent="0.2">
      <c r="A45" s="82"/>
      <c r="B45" s="82" t="s">
        <v>3424</v>
      </c>
      <c r="C45" s="83">
        <v>45671</v>
      </c>
      <c r="D45" s="83">
        <v>45671</v>
      </c>
      <c r="E45" s="83">
        <v>45671</v>
      </c>
      <c r="F45" s="83">
        <v>45754</v>
      </c>
      <c r="G45" s="83">
        <v>45685</v>
      </c>
      <c r="H45" s="82" t="s">
        <v>2218</v>
      </c>
      <c r="I45" s="82" t="s">
        <v>51</v>
      </c>
      <c r="J45" s="84">
        <v>0.69673300000000005</v>
      </c>
      <c r="K45" s="85">
        <v>-1317.49</v>
      </c>
      <c r="L45" s="85">
        <v>-1317.49</v>
      </c>
      <c r="M45" s="85">
        <v>0</v>
      </c>
      <c r="N45" s="85">
        <v>-1317.49</v>
      </c>
      <c r="O45" s="85">
        <v>0</v>
      </c>
      <c r="P45" s="85">
        <v>-1890.9539235259417</v>
      </c>
      <c r="Q45" s="85">
        <v>-1890.9539235259417</v>
      </c>
      <c r="R45" s="85">
        <v>0</v>
      </c>
      <c r="S45" s="85">
        <v>-1890.9539</v>
      </c>
      <c r="T45" s="85">
        <v>0</v>
      </c>
      <c r="U45" s="82"/>
      <c r="V45" s="82" t="s">
        <v>3399</v>
      </c>
      <c r="W45" s="82" t="s">
        <v>3423</v>
      </c>
      <c r="X45" s="82" t="s">
        <v>3397</v>
      </c>
      <c r="Y45" s="82"/>
    </row>
    <row r="46" spans="1:25" ht="10.9" customHeight="1" x14ac:dyDescent="0.2">
      <c r="A46" s="82" t="s">
        <v>2307</v>
      </c>
      <c r="B46" s="82" t="s">
        <v>1288</v>
      </c>
      <c r="C46" s="83">
        <v>45672</v>
      </c>
      <c r="D46" s="83">
        <v>45702</v>
      </c>
      <c r="E46" s="83">
        <v>45702</v>
      </c>
      <c r="F46" s="83">
        <v>45702</v>
      </c>
      <c r="G46" s="83">
        <v>45672</v>
      </c>
      <c r="H46" s="82" t="s">
        <v>2199</v>
      </c>
      <c r="I46" s="82" t="s">
        <v>51</v>
      </c>
      <c r="J46" s="84">
        <v>0.69740400000000002</v>
      </c>
      <c r="K46" s="85">
        <v>332.16</v>
      </c>
      <c r="L46" s="85">
        <v>332.16</v>
      </c>
      <c r="M46" s="85">
        <v>0</v>
      </c>
      <c r="N46" s="85">
        <v>332.16</v>
      </c>
      <c r="O46" s="85">
        <v>0</v>
      </c>
      <c r="P46" s="85">
        <v>476.28060636302632</v>
      </c>
      <c r="Q46" s="85">
        <v>476.28060636302632</v>
      </c>
      <c r="R46" s="85">
        <v>0</v>
      </c>
      <c r="S46" s="85">
        <v>470.827</v>
      </c>
      <c r="T46" s="85">
        <v>0</v>
      </c>
      <c r="U46" s="82"/>
      <c r="V46" s="82" t="s">
        <v>3399</v>
      </c>
      <c r="W46" s="82" t="s">
        <v>3395</v>
      </c>
      <c r="X46" s="82" t="s">
        <v>3394</v>
      </c>
      <c r="Y46" s="82" t="s">
        <v>3393</v>
      </c>
    </row>
    <row r="47" spans="1:25" ht="10.9" customHeight="1" x14ac:dyDescent="0.2">
      <c r="A47" s="82" t="s">
        <v>3745</v>
      </c>
      <c r="B47" s="82" t="s">
        <v>141</v>
      </c>
      <c r="C47" s="83">
        <v>45672</v>
      </c>
      <c r="D47" s="83">
        <v>45717</v>
      </c>
      <c r="E47" s="83">
        <v>45730</v>
      </c>
      <c r="F47" s="83">
        <v>45723</v>
      </c>
      <c r="G47" s="83">
        <v>45672</v>
      </c>
      <c r="H47" s="82" t="s">
        <v>3744</v>
      </c>
      <c r="I47" s="82" t="s">
        <v>51</v>
      </c>
      <c r="J47" s="84">
        <v>0.69677199999999995</v>
      </c>
      <c r="K47" s="85">
        <v>2296.2199999999998</v>
      </c>
      <c r="L47" s="85">
        <v>2296.2199999999998</v>
      </c>
      <c r="M47" s="85">
        <v>0</v>
      </c>
      <c r="N47" s="85">
        <v>2296.2199999999998</v>
      </c>
      <c r="O47" s="85">
        <v>0</v>
      </c>
      <c r="P47" s="85">
        <v>3295.5113006837241</v>
      </c>
      <c r="Q47" s="85">
        <v>3295.5113006837241</v>
      </c>
      <c r="R47" s="85">
        <v>0</v>
      </c>
      <c r="S47" s="85">
        <v>3298.2235999999998</v>
      </c>
      <c r="T47" s="85">
        <v>0</v>
      </c>
      <c r="U47" s="82"/>
      <c r="V47" s="82" t="s">
        <v>3399</v>
      </c>
      <c r="W47" s="82" t="s">
        <v>3395</v>
      </c>
      <c r="X47" s="82" t="s">
        <v>3394</v>
      </c>
      <c r="Y47" s="82" t="s">
        <v>3393</v>
      </c>
    </row>
    <row r="48" spans="1:25" ht="10.9" customHeight="1" x14ac:dyDescent="0.2">
      <c r="A48" s="82" t="s">
        <v>3752</v>
      </c>
      <c r="B48" s="82" t="s">
        <v>141</v>
      </c>
      <c r="C48" s="83">
        <v>45672</v>
      </c>
      <c r="D48" s="83">
        <v>45717</v>
      </c>
      <c r="E48" s="83">
        <v>45730</v>
      </c>
      <c r="F48" s="83">
        <v>45723</v>
      </c>
      <c r="G48" s="83">
        <v>45672</v>
      </c>
      <c r="H48" s="82" t="s">
        <v>3751</v>
      </c>
      <c r="I48" s="82" t="s">
        <v>51</v>
      </c>
      <c r="J48" s="84">
        <v>0.69677199999999995</v>
      </c>
      <c r="K48" s="85">
        <v>1073.3800000000001</v>
      </c>
      <c r="L48" s="85">
        <v>1073.3800000000001</v>
      </c>
      <c r="M48" s="85">
        <v>0</v>
      </c>
      <c r="N48" s="85">
        <v>1073.3800000000001</v>
      </c>
      <c r="O48" s="85">
        <v>0</v>
      </c>
      <c r="P48" s="85">
        <v>1540.503923808649</v>
      </c>
      <c r="Q48" s="85">
        <v>1540.503923808649</v>
      </c>
      <c r="R48" s="85">
        <v>0</v>
      </c>
      <c r="S48" s="85">
        <v>1541.7718</v>
      </c>
      <c r="T48" s="85">
        <v>0</v>
      </c>
      <c r="U48" s="82"/>
      <c r="V48" s="82" t="s">
        <v>3399</v>
      </c>
      <c r="W48" s="82" t="s">
        <v>3395</v>
      </c>
      <c r="X48" s="82" t="s">
        <v>3394</v>
      </c>
      <c r="Y48" s="82" t="s">
        <v>3393</v>
      </c>
    </row>
    <row r="49" spans="1:25" ht="10.9" customHeight="1" x14ac:dyDescent="0.2">
      <c r="A49" s="82" t="s">
        <v>2308</v>
      </c>
      <c r="B49" s="82" t="s">
        <v>644</v>
      </c>
      <c r="C49" s="83">
        <v>45672</v>
      </c>
      <c r="D49" s="83">
        <v>45702</v>
      </c>
      <c r="E49" s="83">
        <v>45723</v>
      </c>
      <c r="F49" s="83">
        <v>45715</v>
      </c>
      <c r="G49" s="83">
        <v>45672</v>
      </c>
      <c r="H49" s="82" t="s">
        <v>2197</v>
      </c>
      <c r="I49" s="82" t="s">
        <v>51</v>
      </c>
      <c r="J49" s="84">
        <v>0.697905</v>
      </c>
      <c r="K49" s="85">
        <v>3202.06</v>
      </c>
      <c r="L49" s="85">
        <v>3202.06</v>
      </c>
      <c r="M49" s="85">
        <v>0</v>
      </c>
      <c r="N49" s="85">
        <v>3202.06</v>
      </c>
      <c r="O49" s="85">
        <v>0</v>
      </c>
      <c r="P49" s="85">
        <v>4588.1029653033002</v>
      </c>
      <c r="Q49" s="85">
        <v>4588.1029653033002</v>
      </c>
      <c r="R49" s="85">
        <v>0</v>
      </c>
      <c r="S49" s="85">
        <v>4625.7903999999999</v>
      </c>
      <c r="T49" s="85">
        <v>0</v>
      </c>
      <c r="U49" s="82"/>
      <c r="V49" s="82" t="s">
        <v>3399</v>
      </c>
      <c r="W49" s="82" t="s">
        <v>3395</v>
      </c>
      <c r="X49" s="82" t="s">
        <v>3394</v>
      </c>
      <c r="Y49" s="82" t="s">
        <v>3393</v>
      </c>
    </row>
    <row r="50" spans="1:25" ht="10.9" customHeight="1" x14ac:dyDescent="0.2">
      <c r="A50" s="82" t="s">
        <v>3757</v>
      </c>
      <c r="B50" s="82" t="s">
        <v>242</v>
      </c>
      <c r="C50" s="83">
        <v>45672</v>
      </c>
      <c r="D50" s="83">
        <v>45702</v>
      </c>
      <c r="E50" s="83">
        <v>45709</v>
      </c>
      <c r="F50" s="83">
        <v>45707</v>
      </c>
      <c r="G50" s="83">
        <v>45672</v>
      </c>
      <c r="H50" s="82" t="s">
        <v>3710</v>
      </c>
      <c r="I50" s="82" t="s">
        <v>22</v>
      </c>
      <c r="J50" s="84">
        <v>0</v>
      </c>
      <c r="K50" s="85">
        <v>105.43</v>
      </c>
      <c r="L50" s="85">
        <v>110.7</v>
      </c>
      <c r="M50" s="85">
        <v>5.27</v>
      </c>
      <c r="N50" s="85">
        <v>110.7</v>
      </c>
      <c r="O50" s="85">
        <v>0</v>
      </c>
      <c r="P50" s="85">
        <v>105.43</v>
      </c>
      <c r="Q50" s="85">
        <v>110.7</v>
      </c>
      <c r="R50" s="85">
        <v>5.27</v>
      </c>
      <c r="S50" s="85">
        <v>110.7</v>
      </c>
      <c r="T50" s="85">
        <v>0</v>
      </c>
      <c r="U50" s="82"/>
      <c r="V50" s="82" t="s">
        <v>3399</v>
      </c>
      <c r="W50" s="82" t="s">
        <v>3395</v>
      </c>
      <c r="X50" s="82" t="s">
        <v>3394</v>
      </c>
      <c r="Y50" s="82" t="s">
        <v>3393</v>
      </c>
    </row>
    <row r="51" spans="1:25" ht="10.9" customHeight="1" x14ac:dyDescent="0.2">
      <c r="A51" s="82" t="s">
        <v>3754</v>
      </c>
      <c r="B51" s="82" t="s">
        <v>80</v>
      </c>
      <c r="C51" s="83">
        <v>45672</v>
      </c>
      <c r="D51" s="83">
        <v>45732</v>
      </c>
      <c r="E51" s="83">
        <v>45733</v>
      </c>
      <c r="F51" s="83">
        <v>45730</v>
      </c>
      <c r="G51" s="83">
        <v>45672</v>
      </c>
      <c r="H51" s="82" t="s">
        <v>3753</v>
      </c>
      <c r="I51" s="82" t="s">
        <v>22</v>
      </c>
      <c r="J51" s="84">
        <v>0</v>
      </c>
      <c r="K51" s="85">
        <v>4367.46</v>
      </c>
      <c r="L51" s="85">
        <v>4585.83</v>
      </c>
      <c r="M51" s="85">
        <v>218.37</v>
      </c>
      <c r="N51" s="85">
        <v>4585.83</v>
      </c>
      <c r="O51" s="85">
        <v>0</v>
      </c>
      <c r="P51" s="85">
        <v>4367.46</v>
      </c>
      <c r="Q51" s="85">
        <v>4585.83</v>
      </c>
      <c r="R51" s="85">
        <v>218.37</v>
      </c>
      <c r="S51" s="85">
        <v>4585.83</v>
      </c>
      <c r="T51" s="85">
        <v>0</v>
      </c>
      <c r="U51" s="82"/>
      <c r="V51" s="82" t="s">
        <v>3399</v>
      </c>
      <c r="W51" s="82" t="s">
        <v>3395</v>
      </c>
      <c r="X51" s="82" t="s">
        <v>3394</v>
      </c>
      <c r="Y51" s="82" t="s">
        <v>3393</v>
      </c>
    </row>
    <row r="52" spans="1:25" ht="10.9" customHeight="1" x14ac:dyDescent="0.2">
      <c r="A52" s="82" t="s">
        <v>3746</v>
      </c>
      <c r="B52" s="82" t="s">
        <v>146</v>
      </c>
      <c r="C52" s="83">
        <v>45672</v>
      </c>
      <c r="D52" s="83">
        <v>45702</v>
      </c>
      <c r="E52" s="83">
        <v>45716</v>
      </c>
      <c r="F52" s="83">
        <v>45723</v>
      </c>
      <c r="G52" s="83">
        <v>45672</v>
      </c>
      <c r="H52" s="82" t="s">
        <v>3625</v>
      </c>
      <c r="I52" s="82" t="s">
        <v>22</v>
      </c>
      <c r="J52" s="84">
        <v>0</v>
      </c>
      <c r="K52" s="85">
        <v>3605.74</v>
      </c>
      <c r="L52" s="85">
        <v>3786.03</v>
      </c>
      <c r="M52" s="85">
        <v>180.29</v>
      </c>
      <c r="N52" s="85">
        <v>3786.03</v>
      </c>
      <c r="O52" s="85">
        <v>0</v>
      </c>
      <c r="P52" s="85">
        <v>3605.74</v>
      </c>
      <c r="Q52" s="85">
        <v>3786.03</v>
      </c>
      <c r="R52" s="85">
        <v>180.29</v>
      </c>
      <c r="S52" s="85">
        <v>3786.03</v>
      </c>
      <c r="T52" s="85">
        <v>0</v>
      </c>
      <c r="U52" s="82"/>
      <c r="V52" s="82" t="s">
        <v>3399</v>
      </c>
      <c r="W52" s="82" t="s">
        <v>3395</v>
      </c>
      <c r="X52" s="82" t="s">
        <v>3394</v>
      </c>
      <c r="Y52" s="82" t="s">
        <v>3393</v>
      </c>
    </row>
    <row r="53" spans="1:25" ht="10.9" customHeight="1" x14ac:dyDescent="0.2">
      <c r="A53" s="82" t="s">
        <v>3756</v>
      </c>
      <c r="B53" s="82" t="s">
        <v>32</v>
      </c>
      <c r="C53" s="83">
        <v>45672</v>
      </c>
      <c r="D53" s="83">
        <v>45702</v>
      </c>
      <c r="E53" s="83">
        <v>45716</v>
      </c>
      <c r="F53" s="83">
        <v>45702</v>
      </c>
      <c r="G53" s="83">
        <v>45672</v>
      </c>
      <c r="H53" s="82" t="s">
        <v>3755</v>
      </c>
      <c r="I53" s="82" t="s">
        <v>22</v>
      </c>
      <c r="J53" s="84">
        <v>0</v>
      </c>
      <c r="K53" s="85">
        <v>4773.1899999999996</v>
      </c>
      <c r="L53" s="85">
        <v>5393.7</v>
      </c>
      <c r="M53" s="85">
        <v>620.51</v>
      </c>
      <c r="N53" s="85">
        <v>5393.7</v>
      </c>
      <c r="O53" s="85">
        <v>0</v>
      </c>
      <c r="P53" s="85">
        <v>4773.1899999999996</v>
      </c>
      <c r="Q53" s="85">
        <v>5393.7</v>
      </c>
      <c r="R53" s="85">
        <v>620.51</v>
      </c>
      <c r="S53" s="85">
        <v>5393.7</v>
      </c>
      <c r="T53" s="85">
        <v>0</v>
      </c>
      <c r="U53" s="82"/>
      <c r="V53" s="82" t="s">
        <v>3399</v>
      </c>
      <c r="W53" s="82" t="s">
        <v>3395</v>
      </c>
      <c r="X53" s="82" t="s">
        <v>3394</v>
      </c>
      <c r="Y53" s="82" t="s">
        <v>3393</v>
      </c>
    </row>
    <row r="54" spans="1:25" ht="10.9" customHeight="1" x14ac:dyDescent="0.2">
      <c r="A54" s="82" t="s">
        <v>3748</v>
      </c>
      <c r="B54" s="82" t="s">
        <v>32</v>
      </c>
      <c r="C54" s="83">
        <v>45672</v>
      </c>
      <c r="D54" s="83">
        <v>45702</v>
      </c>
      <c r="E54" s="83">
        <v>45716</v>
      </c>
      <c r="F54" s="83">
        <v>45702</v>
      </c>
      <c r="G54" s="83">
        <v>45672</v>
      </c>
      <c r="H54" s="82" t="s">
        <v>3747</v>
      </c>
      <c r="I54" s="82" t="s">
        <v>22</v>
      </c>
      <c r="J54" s="84">
        <v>0</v>
      </c>
      <c r="K54" s="85">
        <v>196.07</v>
      </c>
      <c r="L54" s="85">
        <v>221.56</v>
      </c>
      <c r="M54" s="85">
        <v>25.49</v>
      </c>
      <c r="N54" s="85">
        <v>221.56</v>
      </c>
      <c r="O54" s="85">
        <v>0</v>
      </c>
      <c r="P54" s="85">
        <v>196.07</v>
      </c>
      <c r="Q54" s="85">
        <v>221.56</v>
      </c>
      <c r="R54" s="85">
        <v>25.49</v>
      </c>
      <c r="S54" s="85">
        <v>221.56</v>
      </c>
      <c r="T54" s="85">
        <v>0</v>
      </c>
      <c r="U54" s="82"/>
      <c r="V54" s="82" t="s">
        <v>3399</v>
      </c>
      <c r="W54" s="82" t="s">
        <v>3395</v>
      </c>
      <c r="X54" s="82" t="s">
        <v>3394</v>
      </c>
      <c r="Y54" s="82" t="s">
        <v>3393</v>
      </c>
    </row>
    <row r="55" spans="1:25" ht="10.9" customHeight="1" x14ac:dyDescent="0.2">
      <c r="A55" s="82" t="s">
        <v>3750</v>
      </c>
      <c r="B55" s="82" t="s">
        <v>20</v>
      </c>
      <c r="C55" s="83">
        <v>45672</v>
      </c>
      <c r="D55" s="83">
        <v>45732</v>
      </c>
      <c r="E55" s="83">
        <v>45733</v>
      </c>
      <c r="F55" s="83">
        <v>45730</v>
      </c>
      <c r="G55" s="83">
        <v>45673</v>
      </c>
      <c r="H55" s="82" t="s">
        <v>3749</v>
      </c>
      <c r="I55" s="82" t="s">
        <v>22</v>
      </c>
      <c r="J55" s="84">
        <v>0</v>
      </c>
      <c r="K55" s="85">
        <v>1755.24</v>
      </c>
      <c r="L55" s="85">
        <v>1843</v>
      </c>
      <c r="M55" s="85">
        <v>87.76</v>
      </c>
      <c r="N55" s="85">
        <v>1843</v>
      </c>
      <c r="O55" s="85">
        <v>0</v>
      </c>
      <c r="P55" s="85">
        <v>1755.24</v>
      </c>
      <c r="Q55" s="85">
        <v>1843</v>
      </c>
      <c r="R55" s="85">
        <v>87.76</v>
      </c>
      <c r="S55" s="85">
        <v>1843</v>
      </c>
      <c r="T55" s="85">
        <v>0</v>
      </c>
      <c r="U55" s="82"/>
      <c r="V55" s="82" t="s">
        <v>3399</v>
      </c>
      <c r="W55" s="82" t="s">
        <v>3395</v>
      </c>
      <c r="X55" s="82" t="s">
        <v>3394</v>
      </c>
      <c r="Y55" s="82" t="s">
        <v>3393</v>
      </c>
    </row>
    <row r="56" spans="1:25" ht="10.9" customHeight="1" x14ac:dyDescent="0.2">
      <c r="A56" s="82" t="s">
        <v>3741</v>
      </c>
      <c r="B56" s="82" t="s">
        <v>232</v>
      </c>
      <c r="C56" s="83">
        <v>45673</v>
      </c>
      <c r="D56" s="83">
        <v>45718</v>
      </c>
      <c r="E56" s="83">
        <v>45737</v>
      </c>
      <c r="F56" s="83">
        <v>45741</v>
      </c>
      <c r="G56" s="83">
        <v>45677</v>
      </c>
      <c r="H56" s="82" t="s">
        <v>3740</v>
      </c>
      <c r="I56" s="82" t="s">
        <v>51</v>
      </c>
      <c r="J56" s="84">
        <v>0.69467599999999996</v>
      </c>
      <c r="K56" s="85">
        <v>15340.54</v>
      </c>
      <c r="L56" s="85">
        <v>15340.54</v>
      </c>
      <c r="M56" s="85">
        <v>0</v>
      </c>
      <c r="N56" s="85">
        <v>15340.54</v>
      </c>
      <c r="O56" s="85">
        <v>0</v>
      </c>
      <c r="P56" s="85">
        <v>22083.014239731903</v>
      </c>
      <c r="Q56" s="85">
        <v>22083.014239731903</v>
      </c>
      <c r="R56" s="85">
        <v>0</v>
      </c>
      <c r="S56" s="85">
        <v>21907.827600000001</v>
      </c>
      <c r="T56" s="85">
        <v>0</v>
      </c>
      <c r="U56" s="82"/>
      <c r="V56" s="82" t="s">
        <v>3399</v>
      </c>
      <c r="W56" s="82" t="s">
        <v>3395</v>
      </c>
      <c r="X56" s="82" t="s">
        <v>3394</v>
      </c>
      <c r="Y56" s="82" t="s">
        <v>3393</v>
      </c>
    </row>
    <row r="57" spans="1:25" ht="10.9" customHeight="1" x14ac:dyDescent="0.2">
      <c r="A57" s="82" t="s">
        <v>3739</v>
      </c>
      <c r="B57" s="82" t="s">
        <v>232</v>
      </c>
      <c r="C57" s="83">
        <v>45673</v>
      </c>
      <c r="D57" s="83">
        <v>45718</v>
      </c>
      <c r="E57" s="83">
        <v>45737</v>
      </c>
      <c r="F57" s="83">
        <v>45733</v>
      </c>
      <c r="G57" s="83">
        <v>45677</v>
      </c>
      <c r="H57" s="82" t="s">
        <v>3738</v>
      </c>
      <c r="I57" s="82" t="s">
        <v>51</v>
      </c>
      <c r="J57" s="84">
        <v>0.69467599999999996</v>
      </c>
      <c r="K57" s="85">
        <v>2412</v>
      </c>
      <c r="L57" s="85">
        <v>2412</v>
      </c>
      <c r="M57" s="85">
        <v>0</v>
      </c>
      <c r="N57" s="85">
        <v>2412</v>
      </c>
      <c r="O57" s="85">
        <v>0</v>
      </c>
      <c r="P57" s="85">
        <v>3472.1222555551076</v>
      </c>
      <c r="Q57" s="85">
        <v>3472.1222555551076</v>
      </c>
      <c r="R57" s="85">
        <v>0</v>
      </c>
      <c r="S57" s="85">
        <v>3458.9769999999999</v>
      </c>
      <c r="T57" s="85">
        <v>0</v>
      </c>
      <c r="U57" s="82"/>
      <c r="V57" s="82" t="s">
        <v>3399</v>
      </c>
      <c r="W57" s="82" t="s">
        <v>3395</v>
      </c>
      <c r="X57" s="82" t="s">
        <v>3394</v>
      </c>
      <c r="Y57" s="82" t="s">
        <v>3393</v>
      </c>
    </row>
    <row r="58" spans="1:25" ht="10.9" customHeight="1" x14ac:dyDescent="0.2">
      <c r="A58" s="82" t="s">
        <v>3743</v>
      </c>
      <c r="B58" s="82" t="s">
        <v>232</v>
      </c>
      <c r="C58" s="83">
        <v>45673</v>
      </c>
      <c r="D58" s="83">
        <v>45718</v>
      </c>
      <c r="E58" s="83">
        <v>45737</v>
      </c>
      <c r="F58" s="83">
        <v>45733</v>
      </c>
      <c r="G58" s="83">
        <v>45677</v>
      </c>
      <c r="H58" s="82" t="s">
        <v>3742</v>
      </c>
      <c r="I58" s="82" t="s">
        <v>51</v>
      </c>
      <c r="J58" s="84">
        <v>0.69467599999999996</v>
      </c>
      <c r="K58" s="85">
        <v>2412</v>
      </c>
      <c r="L58" s="85">
        <v>2412</v>
      </c>
      <c r="M58" s="85">
        <v>0</v>
      </c>
      <c r="N58" s="85">
        <v>2412</v>
      </c>
      <c r="O58" s="85">
        <v>0</v>
      </c>
      <c r="P58" s="85">
        <v>3472.1222555551076</v>
      </c>
      <c r="Q58" s="85">
        <v>3472.1222555551076</v>
      </c>
      <c r="R58" s="85">
        <v>0</v>
      </c>
      <c r="S58" s="85">
        <v>3458.9769999999999</v>
      </c>
      <c r="T58" s="85">
        <v>0</v>
      </c>
      <c r="U58" s="82"/>
      <c r="V58" s="82" t="s">
        <v>3399</v>
      </c>
      <c r="W58" s="82" t="s">
        <v>3395</v>
      </c>
      <c r="X58" s="82" t="s">
        <v>3394</v>
      </c>
      <c r="Y58" s="82" t="s">
        <v>3393</v>
      </c>
    </row>
    <row r="59" spans="1:25" ht="10.9" customHeight="1" x14ac:dyDescent="0.2">
      <c r="A59" s="82" t="s">
        <v>2300</v>
      </c>
      <c r="B59" s="82" t="s">
        <v>232</v>
      </c>
      <c r="C59" s="83">
        <v>45673</v>
      </c>
      <c r="D59" s="83">
        <v>45718</v>
      </c>
      <c r="E59" s="83">
        <v>45737</v>
      </c>
      <c r="F59" s="83">
        <v>45741</v>
      </c>
      <c r="G59" s="83">
        <v>45677</v>
      </c>
      <c r="H59" s="82" t="s">
        <v>2212</v>
      </c>
      <c r="I59" s="82" t="s">
        <v>51</v>
      </c>
      <c r="J59" s="84">
        <v>0.69467599999999996</v>
      </c>
      <c r="K59" s="85">
        <v>3732.7</v>
      </c>
      <c r="L59" s="85">
        <v>3732.7</v>
      </c>
      <c r="M59" s="85">
        <v>0</v>
      </c>
      <c r="N59" s="85">
        <v>3732.7</v>
      </c>
      <c r="O59" s="85">
        <v>0</v>
      </c>
      <c r="P59" s="85">
        <v>5373.296328072367</v>
      </c>
      <c r="Q59" s="85">
        <v>5373.296328072367</v>
      </c>
      <c r="R59" s="85">
        <v>0</v>
      </c>
      <c r="S59" s="85">
        <v>5330.6693999999998</v>
      </c>
      <c r="T59" s="85">
        <v>0</v>
      </c>
      <c r="U59" s="82"/>
      <c r="V59" s="82" t="s">
        <v>3399</v>
      </c>
      <c r="W59" s="82" t="s">
        <v>3395</v>
      </c>
      <c r="X59" s="82" t="s">
        <v>3394</v>
      </c>
      <c r="Y59" s="82" t="s">
        <v>3393</v>
      </c>
    </row>
    <row r="60" spans="1:25" ht="10.9" customHeight="1" x14ac:dyDescent="0.2">
      <c r="A60" s="82" t="s">
        <v>3734</v>
      </c>
      <c r="B60" s="82" t="s">
        <v>64</v>
      </c>
      <c r="C60" s="83">
        <v>45674</v>
      </c>
      <c r="D60" s="83">
        <v>45704</v>
      </c>
      <c r="E60" s="83">
        <v>45737</v>
      </c>
      <c r="F60" s="83">
        <v>45741</v>
      </c>
      <c r="G60" s="83">
        <v>45674</v>
      </c>
      <c r="H60" s="82" t="s">
        <v>3733</v>
      </c>
      <c r="I60" s="82" t="s">
        <v>22</v>
      </c>
      <c r="J60" s="84">
        <v>0</v>
      </c>
      <c r="K60" s="85">
        <v>11468.75</v>
      </c>
      <c r="L60" s="85">
        <v>12959.69</v>
      </c>
      <c r="M60" s="85">
        <v>1490.94</v>
      </c>
      <c r="N60" s="85">
        <v>12959.69</v>
      </c>
      <c r="O60" s="85">
        <v>0</v>
      </c>
      <c r="P60" s="85">
        <v>11468.75</v>
      </c>
      <c r="Q60" s="85">
        <v>12959.69</v>
      </c>
      <c r="R60" s="85">
        <v>1490.94</v>
      </c>
      <c r="S60" s="85">
        <v>12959.69</v>
      </c>
      <c r="T60" s="85">
        <v>0</v>
      </c>
      <c r="U60" s="82"/>
      <c r="V60" s="82" t="s">
        <v>3399</v>
      </c>
      <c r="W60" s="82" t="s">
        <v>3395</v>
      </c>
      <c r="X60" s="82" t="s">
        <v>3394</v>
      </c>
      <c r="Y60" s="82" t="s">
        <v>3393</v>
      </c>
    </row>
    <row r="61" spans="1:25" ht="10.9" customHeight="1" x14ac:dyDescent="0.2">
      <c r="A61" s="82" t="s">
        <v>3727</v>
      </c>
      <c r="B61" s="82" t="s">
        <v>54</v>
      </c>
      <c r="C61" s="83">
        <v>45674</v>
      </c>
      <c r="D61" s="83">
        <v>45704</v>
      </c>
      <c r="E61" s="83">
        <v>45704</v>
      </c>
      <c r="F61" s="83">
        <v>45706</v>
      </c>
      <c r="G61" s="83">
        <v>45674</v>
      </c>
      <c r="H61" s="82" t="s">
        <v>3726</v>
      </c>
      <c r="I61" s="82" t="s">
        <v>22</v>
      </c>
      <c r="J61" s="84">
        <v>0</v>
      </c>
      <c r="K61" s="85">
        <v>2623.1</v>
      </c>
      <c r="L61" s="85">
        <v>2754.26</v>
      </c>
      <c r="M61" s="85">
        <v>131.16</v>
      </c>
      <c r="N61" s="85">
        <v>2754.26</v>
      </c>
      <c r="O61" s="85">
        <v>0</v>
      </c>
      <c r="P61" s="85">
        <v>2623.1</v>
      </c>
      <c r="Q61" s="85">
        <v>2754.26</v>
      </c>
      <c r="R61" s="85">
        <v>131.16</v>
      </c>
      <c r="S61" s="85">
        <v>2754.26</v>
      </c>
      <c r="T61" s="85">
        <v>0</v>
      </c>
      <c r="U61" s="82"/>
      <c r="V61" s="82" t="s">
        <v>3399</v>
      </c>
      <c r="W61" s="82" t="s">
        <v>3395</v>
      </c>
      <c r="X61" s="82" t="s">
        <v>3394</v>
      </c>
      <c r="Y61" s="82" t="s">
        <v>3393</v>
      </c>
    </row>
    <row r="62" spans="1:25" ht="10.9" customHeight="1" x14ac:dyDescent="0.2">
      <c r="A62" s="82" t="s">
        <v>3737</v>
      </c>
      <c r="B62" s="82" t="s">
        <v>54</v>
      </c>
      <c r="C62" s="83">
        <v>45674</v>
      </c>
      <c r="D62" s="83">
        <v>45704</v>
      </c>
      <c r="E62" s="83">
        <v>45704</v>
      </c>
      <c r="F62" s="83">
        <v>45706</v>
      </c>
      <c r="G62" s="83">
        <v>45674</v>
      </c>
      <c r="H62" s="82" t="s">
        <v>3611</v>
      </c>
      <c r="I62" s="82" t="s">
        <v>22</v>
      </c>
      <c r="J62" s="84">
        <v>0</v>
      </c>
      <c r="K62" s="85">
        <v>2449.2399999999998</v>
      </c>
      <c r="L62" s="85">
        <v>2571.6999999999998</v>
      </c>
      <c r="M62" s="85">
        <v>122.46</v>
      </c>
      <c r="N62" s="85">
        <v>2571.6999999999998</v>
      </c>
      <c r="O62" s="85">
        <v>0</v>
      </c>
      <c r="P62" s="85">
        <v>2449.2399999999998</v>
      </c>
      <c r="Q62" s="85">
        <v>2571.6999999999998</v>
      </c>
      <c r="R62" s="85">
        <v>122.46</v>
      </c>
      <c r="S62" s="85">
        <v>2571.6999999999998</v>
      </c>
      <c r="T62" s="85">
        <v>0</v>
      </c>
      <c r="U62" s="82"/>
      <c r="V62" s="82" t="s">
        <v>3399</v>
      </c>
      <c r="W62" s="82" t="s">
        <v>3395</v>
      </c>
      <c r="X62" s="82" t="s">
        <v>3394</v>
      </c>
      <c r="Y62" s="82" t="s">
        <v>3393</v>
      </c>
    </row>
    <row r="63" spans="1:25" ht="10.9" customHeight="1" x14ac:dyDescent="0.2">
      <c r="A63" s="82" t="s">
        <v>3736</v>
      </c>
      <c r="B63" s="82" t="s">
        <v>54</v>
      </c>
      <c r="C63" s="83">
        <v>45674</v>
      </c>
      <c r="D63" s="83">
        <v>45704</v>
      </c>
      <c r="E63" s="83">
        <v>45704</v>
      </c>
      <c r="F63" s="83">
        <v>45706</v>
      </c>
      <c r="G63" s="83">
        <v>45674</v>
      </c>
      <c r="H63" s="82" t="s">
        <v>3735</v>
      </c>
      <c r="I63" s="82" t="s">
        <v>22</v>
      </c>
      <c r="J63" s="84">
        <v>0</v>
      </c>
      <c r="K63" s="85">
        <v>1137.6400000000001</v>
      </c>
      <c r="L63" s="85">
        <v>1194.52</v>
      </c>
      <c r="M63" s="85">
        <v>56.88</v>
      </c>
      <c r="N63" s="85">
        <v>1194.52</v>
      </c>
      <c r="O63" s="85">
        <v>0</v>
      </c>
      <c r="P63" s="85">
        <v>1137.6400000000001</v>
      </c>
      <c r="Q63" s="85">
        <v>1194.52</v>
      </c>
      <c r="R63" s="85">
        <v>56.88</v>
      </c>
      <c r="S63" s="85">
        <v>1194.52</v>
      </c>
      <c r="T63" s="85">
        <v>0</v>
      </c>
      <c r="U63" s="82"/>
      <c r="V63" s="82" t="s">
        <v>3399</v>
      </c>
      <c r="W63" s="82" t="s">
        <v>3395</v>
      </c>
      <c r="X63" s="82" t="s">
        <v>3394</v>
      </c>
      <c r="Y63" s="82" t="s">
        <v>3393</v>
      </c>
    </row>
    <row r="64" spans="1:25" ht="10.9" customHeight="1" x14ac:dyDescent="0.2">
      <c r="A64" s="82" t="s">
        <v>2304</v>
      </c>
      <c r="B64" s="82" t="s">
        <v>54</v>
      </c>
      <c r="C64" s="83">
        <v>45674</v>
      </c>
      <c r="D64" s="83">
        <v>45704</v>
      </c>
      <c r="E64" s="83">
        <v>45704</v>
      </c>
      <c r="F64" s="83">
        <v>45706</v>
      </c>
      <c r="G64" s="83">
        <v>45674</v>
      </c>
      <c r="H64" s="82" t="s">
        <v>2203</v>
      </c>
      <c r="I64" s="82" t="s">
        <v>22</v>
      </c>
      <c r="J64" s="84">
        <v>0</v>
      </c>
      <c r="K64" s="85">
        <v>2643.9</v>
      </c>
      <c r="L64" s="85">
        <v>2776.1</v>
      </c>
      <c r="M64" s="85">
        <v>132.19999999999999</v>
      </c>
      <c r="N64" s="85">
        <v>2776.1</v>
      </c>
      <c r="O64" s="85">
        <v>0</v>
      </c>
      <c r="P64" s="85">
        <v>2643.9</v>
      </c>
      <c r="Q64" s="85">
        <v>2776.1</v>
      </c>
      <c r="R64" s="85">
        <v>132.19999999999999</v>
      </c>
      <c r="S64" s="85">
        <v>2776.1</v>
      </c>
      <c r="T64" s="85">
        <v>0</v>
      </c>
      <c r="U64" s="82"/>
      <c r="V64" s="82" t="s">
        <v>3399</v>
      </c>
      <c r="W64" s="82" t="s">
        <v>3395</v>
      </c>
      <c r="X64" s="82" t="s">
        <v>3394</v>
      </c>
      <c r="Y64" s="82" t="s">
        <v>3393</v>
      </c>
    </row>
    <row r="65" spans="1:25" ht="10.9" customHeight="1" x14ac:dyDescent="0.2">
      <c r="A65" s="82" t="s">
        <v>2314</v>
      </c>
      <c r="B65" s="82" t="s">
        <v>509</v>
      </c>
      <c r="C65" s="83">
        <v>45674</v>
      </c>
      <c r="D65" s="83">
        <v>45704</v>
      </c>
      <c r="E65" s="83">
        <v>45704</v>
      </c>
      <c r="F65" s="83">
        <v>45715</v>
      </c>
      <c r="G65" s="83">
        <v>45674</v>
      </c>
      <c r="H65" s="82" t="s">
        <v>2184</v>
      </c>
      <c r="I65" s="82" t="s">
        <v>22</v>
      </c>
      <c r="J65" s="84">
        <v>0</v>
      </c>
      <c r="K65" s="85">
        <v>861.07</v>
      </c>
      <c r="L65" s="85">
        <v>904.12</v>
      </c>
      <c r="M65" s="85">
        <v>43.05</v>
      </c>
      <c r="N65" s="85">
        <v>904.12</v>
      </c>
      <c r="O65" s="85">
        <v>0</v>
      </c>
      <c r="P65" s="85">
        <v>861.07</v>
      </c>
      <c r="Q65" s="85">
        <v>904.12</v>
      </c>
      <c r="R65" s="85">
        <v>43.05</v>
      </c>
      <c r="S65" s="85">
        <v>904.12</v>
      </c>
      <c r="T65" s="85">
        <v>0</v>
      </c>
      <c r="U65" s="82"/>
      <c r="V65" s="82" t="s">
        <v>3399</v>
      </c>
      <c r="W65" s="82" t="s">
        <v>3395</v>
      </c>
      <c r="X65" s="82" t="s">
        <v>3394</v>
      </c>
      <c r="Y65" s="82" t="s">
        <v>3393</v>
      </c>
    </row>
    <row r="66" spans="1:25" ht="10.9" customHeight="1" x14ac:dyDescent="0.2">
      <c r="A66" s="82" t="s">
        <v>3729</v>
      </c>
      <c r="B66" s="82" t="s">
        <v>1039</v>
      </c>
      <c r="C66" s="83">
        <v>45674</v>
      </c>
      <c r="D66" s="83">
        <v>45734</v>
      </c>
      <c r="E66" s="83">
        <v>45734</v>
      </c>
      <c r="F66" s="83">
        <v>45734</v>
      </c>
      <c r="G66" s="83">
        <v>45674</v>
      </c>
      <c r="H66" s="82" t="s">
        <v>3728</v>
      </c>
      <c r="I66" s="82" t="s">
        <v>22</v>
      </c>
      <c r="J66" s="84">
        <v>0</v>
      </c>
      <c r="K66" s="85">
        <v>2123.63</v>
      </c>
      <c r="L66" s="85">
        <v>2229.81</v>
      </c>
      <c r="M66" s="85">
        <v>106.18</v>
      </c>
      <c r="N66" s="85">
        <v>2229.81</v>
      </c>
      <c r="O66" s="85">
        <v>0</v>
      </c>
      <c r="P66" s="85">
        <v>2123.63</v>
      </c>
      <c r="Q66" s="85">
        <v>2229.81</v>
      </c>
      <c r="R66" s="85">
        <v>106.18</v>
      </c>
      <c r="S66" s="85">
        <v>2229.81</v>
      </c>
      <c r="T66" s="85">
        <v>0</v>
      </c>
      <c r="U66" s="82"/>
      <c r="V66" s="82" t="s">
        <v>3399</v>
      </c>
      <c r="W66" s="82" t="s">
        <v>3395</v>
      </c>
      <c r="X66" s="82" t="s">
        <v>3394</v>
      </c>
      <c r="Y66" s="82" t="s">
        <v>3393</v>
      </c>
    </row>
    <row r="67" spans="1:25" ht="10.9" customHeight="1" x14ac:dyDescent="0.2">
      <c r="A67" s="82" t="s">
        <v>2315</v>
      </c>
      <c r="B67" s="82" t="s">
        <v>35</v>
      </c>
      <c r="C67" s="83">
        <v>45674</v>
      </c>
      <c r="D67" s="83">
        <v>45704</v>
      </c>
      <c r="E67" s="83">
        <v>45704</v>
      </c>
      <c r="F67" s="83">
        <v>45707</v>
      </c>
      <c r="G67" s="83">
        <v>45674</v>
      </c>
      <c r="H67" s="82" t="s">
        <v>2182</v>
      </c>
      <c r="I67" s="82" t="s">
        <v>22</v>
      </c>
      <c r="J67" s="84">
        <v>0</v>
      </c>
      <c r="K67" s="85">
        <v>873.41</v>
      </c>
      <c r="L67" s="85">
        <v>917.08</v>
      </c>
      <c r="M67" s="85">
        <v>43.67</v>
      </c>
      <c r="N67" s="85">
        <v>917.08</v>
      </c>
      <c r="O67" s="85">
        <v>0</v>
      </c>
      <c r="P67" s="85">
        <v>873.41</v>
      </c>
      <c r="Q67" s="85">
        <v>917.08</v>
      </c>
      <c r="R67" s="85">
        <v>43.67</v>
      </c>
      <c r="S67" s="85">
        <v>917.08</v>
      </c>
      <c r="T67" s="85">
        <v>0</v>
      </c>
      <c r="U67" s="82"/>
      <c r="V67" s="82" t="s">
        <v>3399</v>
      </c>
      <c r="W67" s="82" t="s">
        <v>3395</v>
      </c>
      <c r="X67" s="82" t="s">
        <v>3394</v>
      </c>
      <c r="Y67" s="82" t="s">
        <v>3393</v>
      </c>
    </row>
    <row r="68" spans="1:25" ht="10.9" customHeight="1" x14ac:dyDescent="0.2">
      <c r="A68" s="82" t="s">
        <v>2301</v>
      </c>
      <c r="B68" s="82" t="s">
        <v>3412</v>
      </c>
      <c r="C68" s="83">
        <v>45674</v>
      </c>
      <c r="D68" s="83">
        <v>45719</v>
      </c>
      <c r="E68" s="83">
        <v>45719</v>
      </c>
      <c r="F68" s="83">
        <v>45716</v>
      </c>
      <c r="G68" s="83">
        <v>45674</v>
      </c>
      <c r="H68" s="82" t="s">
        <v>2210</v>
      </c>
      <c r="I68" s="82" t="s">
        <v>22</v>
      </c>
      <c r="J68" s="84">
        <v>0</v>
      </c>
      <c r="K68" s="85">
        <v>2336.66</v>
      </c>
      <c r="L68" s="85">
        <v>2453.4899999999998</v>
      </c>
      <c r="M68" s="85">
        <v>116.83</v>
      </c>
      <c r="N68" s="85">
        <v>2453.4899999999998</v>
      </c>
      <c r="O68" s="85">
        <v>0</v>
      </c>
      <c r="P68" s="85">
        <v>2336.66</v>
      </c>
      <c r="Q68" s="85">
        <v>2453.4899999999998</v>
      </c>
      <c r="R68" s="85">
        <v>116.83</v>
      </c>
      <c r="S68" s="85">
        <v>2453.4899999999998</v>
      </c>
      <c r="T68" s="85">
        <v>0</v>
      </c>
      <c r="U68" s="82"/>
      <c r="V68" s="82" t="s">
        <v>3399</v>
      </c>
      <c r="W68" s="82" t="s">
        <v>3395</v>
      </c>
      <c r="X68" s="82" t="s">
        <v>3394</v>
      </c>
      <c r="Y68" s="82" t="s">
        <v>3393</v>
      </c>
    </row>
    <row r="69" spans="1:25" ht="10.9" customHeight="1" x14ac:dyDescent="0.2">
      <c r="A69" s="82" t="s">
        <v>3731</v>
      </c>
      <c r="B69" s="82" t="s">
        <v>171</v>
      </c>
      <c r="C69" s="83">
        <v>45674</v>
      </c>
      <c r="D69" s="83">
        <v>45704</v>
      </c>
      <c r="E69" s="83">
        <v>45704</v>
      </c>
      <c r="F69" s="83">
        <v>45709</v>
      </c>
      <c r="G69" s="83">
        <v>45674</v>
      </c>
      <c r="H69" s="82" t="s">
        <v>3730</v>
      </c>
      <c r="I69" s="82" t="s">
        <v>22</v>
      </c>
      <c r="J69" s="84">
        <v>0</v>
      </c>
      <c r="K69" s="85">
        <v>1662.14</v>
      </c>
      <c r="L69" s="85">
        <v>1745.25</v>
      </c>
      <c r="M69" s="85">
        <v>83.11</v>
      </c>
      <c r="N69" s="85">
        <v>1745.25</v>
      </c>
      <c r="O69" s="85">
        <v>0</v>
      </c>
      <c r="P69" s="85">
        <v>1662.14</v>
      </c>
      <c r="Q69" s="85">
        <v>1745.25</v>
      </c>
      <c r="R69" s="85">
        <v>83.11</v>
      </c>
      <c r="S69" s="85">
        <v>1745.25</v>
      </c>
      <c r="T69" s="85">
        <v>0</v>
      </c>
      <c r="U69" s="82"/>
      <c r="V69" s="82" t="s">
        <v>3399</v>
      </c>
      <c r="W69" s="82" t="s">
        <v>3395</v>
      </c>
      <c r="X69" s="82" t="s">
        <v>3394</v>
      </c>
      <c r="Y69" s="82" t="s">
        <v>3393</v>
      </c>
    </row>
    <row r="70" spans="1:25" ht="10.9" customHeight="1" x14ac:dyDescent="0.2">
      <c r="A70" s="82" t="s">
        <v>2305</v>
      </c>
      <c r="B70" s="82" t="s">
        <v>171</v>
      </c>
      <c r="C70" s="83">
        <v>45674</v>
      </c>
      <c r="D70" s="83">
        <v>45704</v>
      </c>
      <c r="E70" s="83">
        <v>45704</v>
      </c>
      <c r="F70" s="83">
        <v>45709</v>
      </c>
      <c r="G70" s="83">
        <v>45674</v>
      </c>
      <c r="H70" s="82" t="s">
        <v>2201</v>
      </c>
      <c r="I70" s="82" t="s">
        <v>22</v>
      </c>
      <c r="J70" s="84">
        <v>0</v>
      </c>
      <c r="K70" s="85">
        <v>701.83</v>
      </c>
      <c r="L70" s="85">
        <v>736.92</v>
      </c>
      <c r="M70" s="85">
        <v>35.090000000000003</v>
      </c>
      <c r="N70" s="85">
        <v>736.92</v>
      </c>
      <c r="O70" s="85">
        <v>0</v>
      </c>
      <c r="P70" s="85">
        <v>701.83</v>
      </c>
      <c r="Q70" s="85">
        <v>736.92</v>
      </c>
      <c r="R70" s="85">
        <v>35.090000000000003</v>
      </c>
      <c r="S70" s="85">
        <v>736.92</v>
      </c>
      <c r="T70" s="85">
        <v>0</v>
      </c>
      <c r="U70" s="82"/>
      <c r="V70" s="82" t="s">
        <v>3399</v>
      </c>
      <c r="W70" s="82" t="s">
        <v>3395</v>
      </c>
      <c r="X70" s="82" t="s">
        <v>3394</v>
      </c>
      <c r="Y70" s="82" t="s">
        <v>3393</v>
      </c>
    </row>
    <row r="71" spans="1:25" ht="10.9" customHeight="1" x14ac:dyDescent="0.2">
      <c r="A71" s="82" t="s">
        <v>3725</v>
      </c>
      <c r="B71" s="82" t="s">
        <v>689</v>
      </c>
      <c r="C71" s="83">
        <v>45674</v>
      </c>
      <c r="D71" s="83">
        <v>45704</v>
      </c>
      <c r="E71" s="83">
        <v>45704</v>
      </c>
      <c r="F71" s="83">
        <v>45707</v>
      </c>
      <c r="G71" s="83">
        <v>45674</v>
      </c>
      <c r="H71" s="82" t="s">
        <v>3724</v>
      </c>
      <c r="I71" s="82" t="s">
        <v>22</v>
      </c>
      <c r="J71" s="84">
        <v>0</v>
      </c>
      <c r="K71" s="85">
        <v>3224.24</v>
      </c>
      <c r="L71" s="85">
        <v>3643.39</v>
      </c>
      <c r="M71" s="85">
        <v>419.15</v>
      </c>
      <c r="N71" s="85">
        <v>3643.39</v>
      </c>
      <c r="O71" s="85">
        <v>0</v>
      </c>
      <c r="P71" s="85">
        <v>3224.24</v>
      </c>
      <c r="Q71" s="85">
        <v>3643.39</v>
      </c>
      <c r="R71" s="85">
        <v>419.15</v>
      </c>
      <c r="S71" s="85">
        <v>3643.39</v>
      </c>
      <c r="T71" s="85">
        <v>0</v>
      </c>
      <c r="U71" s="82"/>
      <c r="V71" s="82" t="s">
        <v>3399</v>
      </c>
      <c r="W71" s="82" t="s">
        <v>3395</v>
      </c>
      <c r="X71" s="82" t="s">
        <v>3394</v>
      </c>
      <c r="Y71" s="82" t="s">
        <v>3393</v>
      </c>
    </row>
    <row r="72" spans="1:25" ht="10.9" customHeight="1" x14ac:dyDescent="0.2">
      <c r="A72" s="82" t="s">
        <v>2282</v>
      </c>
      <c r="B72" s="82" t="s">
        <v>1236</v>
      </c>
      <c r="C72" s="83">
        <v>45674</v>
      </c>
      <c r="D72" s="83">
        <v>45704</v>
      </c>
      <c r="E72" s="83">
        <v>45704</v>
      </c>
      <c r="F72" s="83">
        <v>45702</v>
      </c>
      <c r="G72" s="83">
        <v>45674</v>
      </c>
      <c r="H72" s="82" t="s">
        <v>2244</v>
      </c>
      <c r="I72" s="82" t="s">
        <v>22</v>
      </c>
      <c r="J72" s="84">
        <v>0</v>
      </c>
      <c r="K72" s="85">
        <v>987.57</v>
      </c>
      <c r="L72" s="85">
        <v>1036.94</v>
      </c>
      <c r="M72" s="85">
        <v>49.37</v>
      </c>
      <c r="N72" s="85">
        <v>1036.94</v>
      </c>
      <c r="O72" s="85">
        <v>0</v>
      </c>
      <c r="P72" s="85">
        <v>987.57</v>
      </c>
      <c r="Q72" s="85">
        <v>1036.94</v>
      </c>
      <c r="R72" s="85">
        <v>49.37</v>
      </c>
      <c r="S72" s="85">
        <v>1036.94</v>
      </c>
      <c r="T72" s="85">
        <v>0</v>
      </c>
      <c r="U72" s="82"/>
      <c r="V72" s="82" t="s">
        <v>3399</v>
      </c>
      <c r="W72" s="82" t="s">
        <v>3395</v>
      </c>
      <c r="X72" s="82" t="s">
        <v>3394</v>
      </c>
      <c r="Y72" s="82" t="s">
        <v>3393</v>
      </c>
    </row>
    <row r="73" spans="1:25" ht="10.9" customHeight="1" x14ac:dyDescent="0.2">
      <c r="A73" s="82"/>
      <c r="B73" s="82" t="s">
        <v>3689</v>
      </c>
      <c r="C73" s="83">
        <v>45674</v>
      </c>
      <c r="D73" s="83">
        <v>45674</v>
      </c>
      <c r="E73" s="83">
        <v>45674</v>
      </c>
      <c r="F73" s="83">
        <v>45687</v>
      </c>
      <c r="G73" s="83">
        <v>45687</v>
      </c>
      <c r="H73" s="82" t="s">
        <v>3732</v>
      </c>
      <c r="I73" s="82" t="s">
        <v>51</v>
      </c>
      <c r="J73" s="84">
        <v>0.69065500000000002</v>
      </c>
      <c r="K73" s="85">
        <v>-7148</v>
      </c>
      <c r="L73" s="85">
        <v>-7148</v>
      </c>
      <c r="M73" s="85">
        <v>0</v>
      </c>
      <c r="N73" s="85">
        <v>-7148</v>
      </c>
      <c r="O73" s="85">
        <v>0</v>
      </c>
      <c r="P73" s="85">
        <v>-10349.595673672095</v>
      </c>
      <c r="Q73" s="85">
        <v>-10349.595673672095</v>
      </c>
      <c r="R73" s="85">
        <v>0</v>
      </c>
      <c r="S73" s="85">
        <v>-10349.5957</v>
      </c>
      <c r="T73" s="85">
        <v>0</v>
      </c>
      <c r="U73" s="82"/>
      <c r="V73" s="82" t="s">
        <v>3399</v>
      </c>
      <c r="W73" s="82" t="s">
        <v>3423</v>
      </c>
      <c r="X73" s="82" t="s">
        <v>3397</v>
      </c>
      <c r="Y73" s="82"/>
    </row>
    <row r="74" spans="1:25" ht="10.9" customHeight="1" x14ac:dyDescent="0.2">
      <c r="A74" s="82" t="s">
        <v>2319</v>
      </c>
      <c r="B74" s="82" t="s">
        <v>1423</v>
      </c>
      <c r="C74" s="83">
        <v>45677</v>
      </c>
      <c r="D74" s="83">
        <v>45737</v>
      </c>
      <c r="E74" s="83">
        <v>45771</v>
      </c>
      <c r="F74" s="83">
        <v>45779</v>
      </c>
      <c r="G74" s="83">
        <v>45677</v>
      </c>
      <c r="H74" s="82" t="s">
        <v>2174</v>
      </c>
      <c r="I74" s="82" t="s">
        <v>51</v>
      </c>
      <c r="J74" s="84">
        <v>0.69889000000000001</v>
      </c>
      <c r="K74" s="85">
        <v>5986</v>
      </c>
      <c r="L74" s="85">
        <v>5986</v>
      </c>
      <c r="M74" s="85">
        <v>0</v>
      </c>
      <c r="N74" s="85">
        <v>5986</v>
      </c>
      <c r="O74" s="85">
        <v>0</v>
      </c>
      <c r="P74" s="85">
        <v>8565.0102305083783</v>
      </c>
      <c r="Q74" s="85">
        <v>8565.0102305083783</v>
      </c>
      <c r="R74" s="85">
        <v>0</v>
      </c>
      <c r="S74" s="85">
        <v>8255.3562000000002</v>
      </c>
      <c r="T74" s="85">
        <v>0</v>
      </c>
      <c r="U74" s="82"/>
      <c r="V74" s="82" t="s">
        <v>3399</v>
      </c>
      <c r="W74" s="82" t="s">
        <v>3395</v>
      </c>
      <c r="X74" s="82" t="s">
        <v>3394</v>
      </c>
      <c r="Y74" s="82" t="s">
        <v>3393</v>
      </c>
    </row>
    <row r="75" spans="1:25" ht="10.9" customHeight="1" x14ac:dyDescent="0.2">
      <c r="A75" s="82" t="s">
        <v>2322</v>
      </c>
      <c r="B75" s="82" t="s">
        <v>313</v>
      </c>
      <c r="C75" s="83">
        <v>45677</v>
      </c>
      <c r="D75" s="83">
        <v>45707</v>
      </c>
      <c r="E75" s="83">
        <v>45707</v>
      </c>
      <c r="F75" s="83">
        <v>45708</v>
      </c>
      <c r="G75" s="83">
        <v>45677</v>
      </c>
      <c r="H75" s="82" t="s">
        <v>2168</v>
      </c>
      <c r="I75" s="82" t="s">
        <v>51</v>
      </c>
      <c r="J75" s="84">
        <v>0.69366899999999998</v>
      </c>
      <c r="K75" s="85">
        <v>1641.63</v>
      </c>
      <c r="L75" s="85">
        <v>1641.63</v>
      </c>
      <c r="M75" s="85">
        <v>0</v>
      </c>
      <c r="N75" s="85">
        <v>1641.63</v>
      </c>
      <c r="O75" s="85">
        <v>0</v>
      </c>
      <c r="P75" s="85">
        <v>2366.5898288665053</v>
      </c>
      <c r="Q75" s="85">
        <v>2366.5898288665053</v>
      </c>
      <c r="R75" s="85">
        <v>0</v>
      </c>
      <c r="S75" s="85">
        <v>2326.616</v>
      </c>
      <c r="T75" s="85">
        <v>0</v>
      </c>
      <c r="U75" s="82"/>
      <c r="V75" s="82" t="s">
        <v>3399</v>
      </c>
      <c r="W75" s="82" t="s">
        <v>3395</v>
      </c>
      <c r="X75" s="82" t="s">
        <v>3394</v>
      </c>
      <c r="Y75" s="82" t="s">
        <v>3393</v>
      </c>
    </row>
    <row r="76" spans="1:25" ht="10.9" customHeight="1" x14ac:dyDescent="0.2">
      <c r="A76" s="82" t="s">
        <v>3721</v>
      </c>
      <c r="B76" s="82" t="s">
        <v>80</v>
      </c>
      <c r="C76" s="83">
        <v>45677</v>
      </c>
      <c r="D76" s="83">
        <v>45737</v>
      </c>
      <c r="E76" s="83">
        <v>45737</v>
      </c>
      <c r="F76" s="83">
        <v>45737</v>
      </c>
      <c r="G76" s="83">
        <v>45677</v>
      </c>
      <c r="H76" s="82" t="s">
        <v>3720</v>
      </c>
      <c r="I76" s="82" t="s">
        <v>22</v>
      </c>
      <c r="J76" s="84">
        <v>0</v>
      </c>
      <c r="K76" s="85">
        <v>2689.9</v>
      </c>
      <c r="L76" s="85">
        <v>2824.4</v>
      </c>
      <c r="M76" s="85">
        <v>134.5</v>
      </c>
      <c r="N76" s="85">
        <v>2824.4</v>
      </c>
      <c r="O76" s="85">
        <v>0</v>
      </c>
      <c r="P76" s="85">
        <v>2689.9</v>
      </c>
      <c r="Q76" s="85">
        <v>2824.4</v>
      </c>
      <c r="R76" s="85">
        <v>134.5</v>
      </c>
      <c r="S76" s="85">
        <v>2824.4</v>
      </c>
      <c r="T76" s="85">
        <v>0</v>
      </c>
      <c r="U76" s="82"/>
      <c r="V76" s="82" t="s">
        <v>3399</v>
      </c>
      <c r="W76" s="82" t="s">
        <v>3395</v>
      </c>
      <c r="X76" s="82" t="s">
        <v>3394</v>
      </c>
      <c r="Y76" s="82" t="s">
        <v>3393</v>
      </c>
    </row>
    <row r="77" spans="1:25" ht="10.9" customHeight="1" x14ac:dyDescent="0.2">
      <c r="A77" s="82" t="s">
        <v>3723</v>
      </c>
      <c r="B77" s="82" t="s">
        <v>1196</v>
      </c>
      <c r="C77" s="83">
        <v>45677</v>
      </c>
      <c r="D77" s="83">
        <v>45707</v>
      </c>
      <c r="E77" s="83">
        <v>45707</v>
      </c>
      <c r="F77" s="83">
        <v>45700</v>
      </c>
      <c r="G77" s="83">
        <v>45677</v>
      </c>
      <c r="H77" s="82" t="s">
        <v>3722</v>
      </c>
      <c r="I77" s="82" t="s">
        <v>22</v>
      </c>
      <c r="J77" s="84">
        <v>0</v>
      </c>
      <c r="K77" s="85">
        <v>4978.7299999999996</v>
      </c>
      <c r="L77" s="85">
        <v>5625.96</v>
      </c>
      <c r="M77" s="85">
        <v>647.23</v>
      </c>
      <c r="N77" s="85">
        <v>5625.96</v>
      </c>
      <c r="O77" s="85">
        <v>0</v>
      </c>
      <c r="P77" s="85">
        <v>4978.7299999999996</v>
      </c>
      <c r="Q77" s="85">
        <v>5625.96</v>
      </c>
      <c r="R77" s="85">
        <v>647.23</v>
      </c>
      <c r="S77" s="85">
        <v>5625.96</v>
      </c>
      <c r="T77" s="85">
        <v>0</v>
      </c>
      <c r="U77" s="82"/>
      <c r="V77" s="82" t="s">
        <v>3399</v>
      </c>
      <c r="W77" s="82" t="s">
        <v>3395</v>
      </c>
      <c r="X77" s="82" t="s">
        <v>3394</v>
      </c>
      <c r="Y77" s="82" t="s">
        <v>3393</v>
      </c>
    </row>
    <row r="78" spans="1:25" ht="10.9" customHeight="1" x14ac:dyDescent="0.2">
      <c r="A78" s="82" t="s">
        <v>3719</v>
      </c>
      <c r="B78" s="82" t="s">
        <v>83</v>
      </c>
      <c r="C78" s="83">
        <v>45678</v>
      </c>
      <c r="D78" s="83">
        <v>45708</v>
      </c>
      <c r="E78" s="83">
        <v>45708</v>
      </c>
      <c r="F78" s="83">
        <v>45708</v>
      </c>
      <c r="G78" s="83">
        <v>45678</v>
      </c>
      <c r="H78" s="82" t="s">
        <v>3718</v>
      </c>
      <c r="I78" s="82" t="s">
        <v>22</v>
      </c>
      <c r="J78" s="84">
        <v>0</v>
      </c>
      <c r="K78" s="85">
        <v>8031.6</v>
      </c>
      <c r="L78" s="85">
        <v>9075.7099999999991</v>
      </c>
      <c r="M78" s="85">
        <v>1044.1099999999999</v>
      </c>
      <c r="N78" s="85">
        <v>9075.7099999999991</v>
      </c>
      <c r="O78" s="85">
        <v>0</v>
      </c>
      <c r="P78" s="85">
        <v>8031.6</v>
      </c>
      <c r="Q78" s="85">
        <v>9075.7099999999991</v>
      </c>
      <c r="R78" s="85">
        <v>1044.1099999999999</v>
      </c>
      <c r="S78" s="85">
        <v>9075.7099999999991</v>
      </c>
      <c r="T78" s="85">
        <v>0</v>
      </c>
      <c r="U78" s="82"/>
      <c r="V78" s="82" t="s">
        <v>3399</v>
      </c>
      <c r="W78" s="82" t="s">
        <v>3395</v>
      </c>
      <c r="X78" s="82" t="s">
        <v>3394</v>
      </c>
      <c r="Y78" s="82" t="s">
        <v>3393</v>
      </c>
    </row>
    <row r="79" spans="1:25" ht="10.9" customHeight="1" x14ac:dyDescent="0.2">
      <c r="A79" s="82" t="s">
        <v>2331</v>
      </c>
      <c r="B79" s="82" t="s">
        <v>20</v>
      </c>
      <c r="C79" s="83">
        <v>45678</v>
      </c>
      <c r="D79" s="83">
        <v>45738</v>
      </c>
      <c r="E79" s="83">
        <v>45740</v>
      </c>
      <c r="F79" s="83">
        <v>45737</v>
      </c>
      <c r="G79" s="83">
        <v>45678</v>
      </c>
      <c r="H79" s="82" t="s">
        <v>2154</v>
      </c>
      <c r="I79" s="82" t="s">
        <v>22</v>
      </c>
      <c r="J79" s="84">
        <v>0</v>
      </c>
      <c r="K79" s="85">
        <v>784.42</v>
      </c>
      <c r="L79" s="85">
        <v>823.65</v>
      </c>
      <c r="M79" s="85">
        <v>39.229999999999997</v>
      </c>
      <c r="N79" s="85">
        <v>823.65</v>
      </c>
      <c r="O79" s="85">
        <v>0</v>
      </c>
      <c r="P79" s="85">
        <v>784.42</v>
      </c>
      <c r="Q79" s="85">
        <v>823.65</v>
      </c>
      <c r="R79" s="85">
        <v>39.229999999999997</v>
      </c>
      <c r="S79" s="85">
        <v>823.65</v>
      </c>
      <c r="T79" s="85">
        <v>0</v>
      </c>
      <c r="U79" s="82"/>
      <c r="V79" s="82" t="s">
        <v>3399</v>
      </c>
      <c r="W79" s="82" t="s">
        <v>3395</v>
      </c>
      <c r="X79" s="82" t="s">
        <v>3394</v>
      </c>
      <c r="Y79" s="82" t="s">
        <v>3393</v>
      </c>
    </row>
    <row r="80" spans="1:25" ht="10.9" customHeight="1" x14ac:dyDescent="0.2">
      <c r="A80" s="82" t="s">
        <v>2326</v>
      </c>
      <c r="B80" s="82" t="s">
        <v>77</v>
      </c>
      <c r="C80" s="83">
        <v>45678</v>
      </c>
      <c r="D80" s="83">
        <v>45708</v>
      </c>
      <c r="E80" s="83">
        <v>45708</v>
      </c>
      <c r="F80" s="83">
        <v>45729</v>
      </c>
      <c r="G80" s="83">
        <v>45678</v>
      </c>
      <c r="H80" s="82" t="s">
        <v>2162</v>
      </c>
      <c r="I80" s="82" t="s">
        <v>22</v>
      </c>
      <c r="J80" s="84">
        <v>0</v>
      </c>
      <c r="K80" s="85">
        <v>587.29999999999995</v>
      </c>
      <c r="L80" s="85">
        <v>663.66</v>
      </c>
      <c r="M80" s="85">
        <v>76.36</v>
      </c>
      <c r="N80" s="85">
        <v>663.66</v>
      </c>
      <c r="O80" s="85">
        <v>0</v>
      </c>
      <c r="P80" s="85">
        <v>587.29999999999995</v>
      </c>
      <c r="Q80" s="85">
        <v>663.66</v>
      </c>
      <c r="R80" s="85">
        <v>76.36</v>
      </c>
      <c r="S80" s="85">
        <v>663.66</v>
      </c>
      <c r="T80" s="85">
        <v>0</v>
      </c>
      <c r="U80" s="82"/>
      <c r="V80" s="82" t="s">
        <v>3399</v>
      </c>
      <c r="W80" s="82" t="s">
        <v>3395</v>
      </c>
      <c r="X80" s="82" t="s">
        <v>3394</v>
      </c>
      <c r="Y80" s="82" t="s">
        <v>3393</v>
      </c>
    </row>
    <row r="81" spans="1:25" ht="10.9" customHeight="1" x14ac:dyDescent="0.2">
      <c r="A81" s="82" t="s">
        <v>2316</v>
      </c>
      <c r="B81" s="82" t="s">
        <v>242</v>
      </c>
      <c r="C81" s="83">
        <v>45678</v>
      </c>
      <c r="D81" s="83">
        <v>45708</v>
      </c>
      <c r="E81" s="83">
        <v>45708</v>
      </c>
      <c r="F81" s="83">
        <v>45714</v>
      </c>
      <c r="G81" s="83">
        <v>45678</v>
      </c>
      <c r="H81" s="82" t="s">
        <v>2180</v>
      </c>
      <c r="I81" s="82" t="s">
        <v>22</v>
      </c>
      <c r="J81" s="84">
        <v>0</v>
      </c>
      <c r="K81" s="85">
        <v>1946.57</v>
      </c>
      <c r="L81" s="85">
        <v>2043.9</v>
      </c>
      <c r="M81" s="85">
        <v>97.33</v>
      </c>
      <c r="N81" s="85">
        <v>2043.9</v>
      </c>
      <c r="O81" s="85">
        <v>0</v>
      </c>
      <c r="P81" s="85">
        <v>1946.57</v>
      </c>
      <c r="Q81" s="85">
        <v>2043.9</v>
      </c>
      <c r="R81" s="85">
        <v>97.33</v>
      </c>
      <c r="S81" s="85">
        <v>2043.9</v>
      </c>
      <c r="T81" s="85">
        <v>0</v>
      </c>
      <c r="U81" s="82"/>
      <c r="V81" s="82" t="s">
        <v>3399</v>
      </c>
      <c r="W81" s="82" t="s">
        <v>3395</v>
      </c>
      <c r="X81" s="82" t="s">
        <v>3394</v>
      </c>
      <c r="Y81" s="82" t="s">
        <v>3393</v>
      </c>
    </row>
    <row r="82" spans="1:25" ht="10.9" customHeight="1" x14ac:dyDescent="0.2">
      <c r="A82" s="82" t="s">
        <v>3717</v>
      </c>
      <c r="B82" s="82" t="s">
        <v>1236</v>
      </c>
      <c r="C82" s="83">
        <v>45679</v>
      </c>
      <c r="D82" s="83">
        <v>45709</v>
      </c>
      <c r="E82" s="83">
        <v>45709</v>
      </c>
      <c r="F82" s="83">
        <v>45709</v>
      </c>
      <c r="G82" s="83">
        <v>45680</v>
      </c>
      <c r="H82" s="82" t="s">
        <v>3716</v>
      </c>
      <c r="I82" s="82" t="s">
        <v>22</v>
      </c>
      <c r="J82" s="84">
        <v>0</v>
      </c>
      <c r="K82" s="85">
        <v>1489.22</v>
      </c>
      <c r="L82" s="85">
        <v>1563.68</v>
      </c>
      <c r="M82" s="85">
        <v>74.459999999999994</v>
      </c>
      <c r="N82" s="85">
        <v>1563.68</v>
      </c>
      <c r="O82" s="85">
        <v>0</v>
      </c>
      <c r="P82" s="85">
        <v>1489.22</v>
      </c>
      <c r="Q82" s="85">
        <v>1563.68</v>
      </c>
      <c r="R82" s="85">
        <v>74.459999999999994</v>
      </c>
      <c r="S82" s="85">
        <v>1563.68</v>
      </c>
      <c r="T82" s="85">
        <v>0</v>
      </c>
      <c r="U82" s="82"/>
      <c r="V82" s="82" t="s">
        <v>3399</v>
      </c>
      <c r="W82" s="82" t="s">
        <v>3395</v>
      </c>
      <c r="X82" s="82" t="s">
        <v>3394</v>
      </c>
      <c r="Y82" s="82" t="s">
        <v>3393</v>
      </c>
    </row>
    <row r="83" spans="1:25" ht="10.9" customHeight="1" x14ac:dyDescent="0.2">
      <c r="A83" s="82" t="s">
        <v>2336</v>
      </c>
      <c r="B83" s="82" t="s">
        <v>146</v>
      </c>
      <c r="C83" s="83">
        <v>45679</v>
      </c>
      <c r="D83" s="83">
        <v>45709</v>
      </c>
      <c r="E83" s="83">
        <v>45709</v>
      </c>
      <c r="F83" s="83">
        <v>45723</v>
      </c>
      <c r="G83" s="83">
        <v>45680</v>
      </c>
      <c r="H83" s="82" t="s">
        <v>2148</v>
      </c>
      <c r="I83" s="82" t="s">
        <v>22</v>
      </c>
      <c r="J83" s="84">
        <v>0</v>
      </c>
      <c r="K83" s="85">
        <v>1191.33</v>
      </c>
      <c r="L83" s="85">
        <v>1250.9000000000001</v>
      </c>
      <c r="M83" s="85">
        <v>59.57</v>
      </c>
      <c r="N83" s="85">
        <v>1250.9000000000001</v>
      </c>
      <c r="O83" s="85">
        <v>0</v>
      </c>
      <c r="P83" s="85">
        <v>1191.33</v>
      </c>
      <c r="Q83" s="85">
        <v>1250.9000000000001</v>
      </c>
      <c r="R83" s="85">
        <v>59.57</v>
      </c>
      <c r="S83" s="85">
        <v>1250.9000000000001</v>
      </c>
      <c r="T83" s="85">
        <v>0</v>
      </c>
      <c r="U83" s="82"/>
      <c r="V83" s="82" t="s">
        <v>3399</v>
      </c>
      <c r="W83" s="82" t="s">
        <v>3395</v>
      </c>
      <c r="X83" s="82" t="s">
        <v>3394</v>
      </c>
      <c r="Y83" s="82" t="s">
        <v>3393</v>
      </c>
    </row>
    <row r="84" spans="1:25" ht="10.9" customHeight="1" x14ac:dyDescent="0.2">
      <c r="A84" s="82"/>
      <c r="B84" s="82" t="s">
        <v>952</v>
      </c>
      <c r="C84" s="83">
        <v>45679</v>
      </c>
      <c r="D84" s="83">
        <v>45679</v>
      </c>
      <c r="E84" s="83">
        <v>45679</v>
      </c>
      <c r="F84" s="83">
        <v>45784</v>
      </c>
      <c r="G84" s="83">
        <v>45683</v>
      </c>
      <c r="H84" s="82" t="s">
        <v>2151</v>
      </c>
      <c r="I84" s="82" t="s">
        <v>22</v>
      </c>
      <c r="J84" s="84">
        <v>0</v>
      </c>
      <c r="K84" s="85">
        <v>-1078.24</v>
      </c>
      <c r="L84" s="85">
        <v>-1078.24</v>
      </c>
      <c r="M84" s="85">
        <v>0</v>
      </c>
      <c r="N84" s="85">
        <v>-1078.24</v>
      </c>
      <c r="O84" s="85">
        <v>0</v>
      </c>
      <c r="P84" s="85">
        <v>-1078.24</v>
      </c>
      <c r="Q84" s="85">
        <v>-1078.24</v>
      </c>
      <c r="R84" s="85">
        <v>0</v>
      </c>
      <c r="S84" s="85">
        <v>-1078.24</v>
      </c>
      <c r="T84" s="85">
        <v>0</v>
      </c>
      <c r="U84" s="82"/>
      <c r="V84" s="82" t="s">
        <v>3399</v>
      </c>
      <c r="W84" s="82" t="s">
        <v>3423</v>
      </c>
      <c r="X84" s="82" t="s">
        <v>3397</v>
      </c>
      <c r="Y84" s="82"/>
    </row>
    <row r="85" spans="1:25" ht="10.9" customHeight="1" x14ac:dyDescent="0.2">
      <c r="A85" s="82" t="s">
        <v>3713</v>
      </c>
      <c r="B85" s="82" t="s">
        <v>159</v>
      </c>
      <c r="C85" s="83">
        <v>45680</v>
      </c>
      <c r="D85" s="83">
        <v>45725</v>
      </c>
      <c r="E85" s="83">
        <v>45725</v>
      </c>
      <c r="F85" s="83">
        <v>45730</v>
      </c>
      <c r="G85" s="83">
        <v>45680</v>
      </c>
      <c r="H85" s="82" t="s">
        <v>3712</v>
      </c>
      <c r="I85" s="82" t="s">
        <v>51</v>
      </c>
      <c r="J85" s="84">
        <v>0.69765200000000005</v>
      </c>
      <c r="K85" s="85">
        <v>22009.9</v>
      </c>
      <c r="L85" s="85">
        <v>22009.9</v>
      </c>
      <c r="M85" s="85">
        <v>0</v>
      </c>
      <c r="N85" s="85">
        <v>22009.9</v>
      </c>
      <c r="O85" s="85">
        <v>0</v>
      </c>
      <c r="P85" s="85">
        <v>31548.537092991923</v>
      </c>
      <c r="Q85" s="85">
        <v>31548.537092991923</v>
      </c>
      <c r="R85" s="85">
        <v>0</v>
      </c>
      <c r="S85" s="85">
        <v>31644.0609</v>
      </c>
      <c r="T85" s="85">
        <v>0</v>
      </c>
      <c r="U85" s="82"/>
      <c r="V85" s="82" t="s">
        <v>3399</v>
      </c>
      <c r="W85" s="82" t="s">
        <v>3395</v>
      </c>
      <c r="X85" s="82" t="s">
        <v>3394</v>
      </c>
      <c r="Y85" s="82" t="s">
        <v>3393</v>
      </c>
    </row>
    <row r="86" spans="1:25" ht="10.9" customHeight="1" x14ac:dyDescent="0.2">
      <c r="A86" s="82" t="s">
        <v>3715</v>
      </c>
      <c r="B86" s="82" t="s">
        <v>159</v>
      </c>
      <c r="C86" s="83">
        <v>45680</v>
      </c>
      <c r="D86" s="83">
        <v>45725</v>
      </c>
      <c r="E86" s="83">
        <v>45725</v>
      </c>
      <c r="F86" s="83">
        <v>45723</v>
      </c>
      <c r="G86" s="83">
        <v>45680</v>
      </c>
      <c r="H86" s="82" t="s">
        <v>3714</v>
      </c>
      <c r="I86" s="82" t="s">
        <v>51</v>
      </c>
      <c r="J86" s="84">
        <v>0.69765200000000005</v>
      </c>
      <c r="K86" s="85">
        <v>3110.4</v>
      </c>
      <c r="L86" s="85">
        <v>3110.4</v>
      </c>
      <c r="M86" s="85">
        <v>0</v>
      </c>
      <c r="N86" s="85">
        <v>3110.4</v>
      </c>
      <c r="O86" s="85">
        <v>0</v>
      </c>
      <c r="P86" s="85">
        <v>4458.3832627155089</v>
      </c>
      <c r="Q86" s="85">
        <v>4458.3832627155089</v>
      </c>
      <c r="R86" s="85">
        <v>0</v>
      </c>
      <c r="S86" s="85">
        <v>4470.5778</v>
      </c>
      <c r="T86" s="85">
        <v>0</v>
      </c>
      <c r="U86" s="82"/>
      <c r="V86" s="82" t="s">
        <v>3399</v>
      </c>
      <c r="W86" s="82" t="s">
        <v>3395</v>
      </c>
      <c r="X86" s="82" t="s">
        <v>3394</v>
      </c>
      <c r="Y86" s="82" t="s">
        <v>3393</v>
      </c>
    </row>
    <row r="87" spans="1:25" ht="10.9" customHeight="1" x14ac:dyDescent="0.2">
      <c r="A87" s="82" t="s">
        <v>2327</v>
      </c>
      <c r="B87" s="82" t="s">
        <v>141</v>
      </c>
      <c r="C87" s="83">
        <v>45680</v>
      </c>
      <c r="D87" s="83">
        <v>45725</v>
      </c>
      <c r="E87" s="83">
        <v>45725</v>
      </c>
      <c r="F87" s="83">
        <v>45733</v>
      </c>
      <c r="G87" s="83">
        <v>45680</v>
      </c>
      <c r="H87" s="82" t="s">
        <v>2160</v>
      </c>
      <c r="I87" s="82" t="s">
        <v>51</v>
      </c>
      <c r="J87" s="84">
        <v>0.69765200000000005</v>
      </c>
      <c r="K87" s="85">
        <v>1957.91</v>
      </c>
      <c r="L87" s="85">
        <v>1957.91</v>
      </c>
      <c r="M87" s="85">
        <v>0</v>
      </c>
      <c r="N87" s="85">
        <v>1957.91</v>
      </c>
      <c r="O87" s="85">
        <v>0</v>
      </c>
      <c r="P87" s="85">
        <v>2806.4278465481357</v>
      </c>
      <c r="Q87" s="85">
        <v>2806.4278465481357</v>
      </c>
      <c r="R87" s="85">
        <v>0</v>
      </c>
      <c r="S87" s="85">
        <v>2809.3836000000001</v>
      </c>
      <c r="T87" s="85">
        <v>0</v>
      </c>
      <c r="U87" s="82"/>
      <c r="V87" s="82" t="s">
        <v>3399</v>
      </c>
      <c r="W87" s="82" t="s">
        <v>3395</v>
      </c>
      <c r="X87" s="82" t="s">
        <v>3394</v>
      </c>
      <c r="Y87" s="82" t="s">
        <v>3393</v>
      </c>
    </row>
    <row r="88" spans="1:25" ht="10.9" customHeight="1" x14ac:dyDescent="0.2">
      <c r="A88" s="82" t="s">
        <v>2328</v>
      </c>
      <c r="B88" s="82" t="s">
        <v>141</v>
      </c>
      <c r="C88" s="83">
        <v>45680</v>
      </c>
      <c r="D88" s="83">
        <v>45725</v>
      </c>
      <c r="E88" s="83">
        <v>45725</v>
      </c>
      <c r="F88" s="83">
        <v>45733</v>
      </c>
      <c r="G88" s="83">
        <v>45680</v>
      </c>
      <c r="H88" s="82" t="s">
        <v>2158</v>
      </c>
      <c r="I88" s="82" t="s">
        <v>51</v>
      </c>
      <c r="J88" s="84">
        <v>0.69765200000000005</v>
      </c>
      <c r="K88" s="85">
        <v>2566.9299999999998</v>
      </c>
      <c r="L88" s="85">
        <v>2566.9299999999998</v>
      </c>
      <c r="M88" s="85">
        <v>0</v>
      </c>
      <c r="N88" s="85">
        <v>2566.9299999999998</v>
      </c>
      <c r="O88" s="85">
        <v>0</v>
      </c>
      <c r="P88" s="85">
        <v>3679.3845642239971</v>
      </c>
      <c r="Q88" s="85">
        <v>3679.3845642239971</v>
      </c>
      <c r="R88" s="85">
        <v>0</v>
      </c>
      <c r="S88" s="85">
        <v>3683.2597000000001</v>
      </c>
      <c r="T88" s="85">
        <v>0</v>
      </c>
      <c r="U88" s="82"/>
      <c r="V88" s="82" t="s">
        <v>3399</v>
      </c>
      <c r="W88" s="82" t="s">
        <v>3395</v>
      </c>
      <c r="X88" s="82" t="s">
        <v>3394</v>
      </c>
      <c r="Y88" s="82" t="s">
        <v>3393</v>
      </c>
    </row>
    <row r="89" spans="1:25" ht="10.9" customHeight="1" x14ac:dyDescent="0.2">
      <c r="A89" s="82" t="s">
        <v>2329</v>
      </c>
      <c r="B89" s="82" t="s">
        <v>141</v>
      </c>
      <c r="C89" s="83">
        <v>45680</v>
      </c>
      <c r="D89" s="83">
        <v>45725</v>
      </c>
      <c r="E89" s="83">
        <v>45725</v>
      </c>
      <c r="F89" s="83">
        <v>45733</v>
      </c>
      <c r="G89" s="83">
        <v>45680</v>
      </c>
      <c r="H89" s="82" t="s">
        <v>2156</v>
      </c>
      <c r="I89" s="82" t="s">
        <v>51</v>
      </c>
      <c r="J89" s="84">
        <v>0.69765200000000005</v>
      </c>
      <c r="K89" s="85">
        <v>1884.69</v>
      </c>
      <c r="L89" s="85">
        <v>1884.69</v>
      </c>
      <c r="M89" s="85">
        <v>0</v>
      </c>
      <c r="N89" s="85">
        <v>1884.69</v>
      </c>
      <c r="O89" s="85">
        <v>0</v>
      </c>
      <c r="P89" s="85">
        <v>2701.475807422612</v>
      </c>
      <c r="Q89" s="85">
        <v>2701.475807422612</v>
      </c>
      <c r="R89" s="85">
        <v>0</v>
      </c>
      <c r="S89" s="85">
        <v>2704.3209999999999</v>
      </c>
      <c r="T89" s="85">
        <v>0</v>
      </c>
      <c r="U89" s="82"/>
      <c r="V89" s="82" t="s">
        <v>3399</v>
      </c>
      <c r="W89" s="82" t="s">
        <v>3395</v>
      </c>
      <c r="X89" s="82" t="s">
        <v>3394</v>
      </c>
      <c r="Y89" s="82" t="s">
        <v>3393</v>
      </c>
    </row>
    <row r="90" spans="1:25" ht="10.9" customHeight="1" x14ac:dyDescent="0.2">
      <c r="A90" s="82" t="s">
        <v>3709</v>
      </c>
      <c r="B90" s="82" t="s">
        <v>1236</v>
      </c>
      <c r="C90" s="83">
        <v>45681</v>
      </c>
      <c r="D90" s="83">
        <v>45681</v>
      </c>
      <c r="E90" s="83">
        <v>45681</v>
      </c>
      <c r="F90" s="83">
        <v>45700</v>
      </c>
      <c r="G90" s="83">
        <v>45700</v>
      </c>
      <c r="H90" s="82" t="s">
        <v>3708</v>
      </c>
      <c r="I90" s="82" t="s">
        <v>22</v>
      </c>
      <c r="J90" s="84">
        <v>0</v>
      </c>
      <c r="K90" s="85">
        <v>-613.96</v>
      </c>
      <c r="L90" s="85">
        <v>-693.77</v>
      </c>
      <c r="M90" s="85">
        <v>-79.81</v>
      </c>
      <c r="N90" s="85">
        <v>-693.77</v>
      </c>
      <c r="O90" s="85">
        <v>0</v>
      </c>
      <c r="P90" s="85">
        <v>-613.96</v>
      </c>
      <c r="Q90" s="85">
        <v>-693.77</v>
      </c>
      <c r="R90" s="85">
        <v>-79.81</v>
      </c>
      <c r="S90" s="85">
        <v>-693.77</v>
      </c>
      <c r="T90" s="85">
        <v>0</v>
      </c>
      <c r="U90" s="82"/>
      <c r="V90" s="82" t="s">
        <v>3399</v>
      </c>
      <c r="W90" s="82" t="s">
        <v>3398</v>
      </c>
      <c r="X90" s="82" t="s">
        <v>3397</v>
      </c>
      <c r="Y90" s="82" t="s">
        <v>3393</v>
      </c>
    </row>
    <row r="91" spans="1:25" ht="10.9" customHeight="1" x14ac:dyDescent="0.2">
      <c r="A91" s="82" t="s">
        <v>2337</v>
      </c>
      <c r="B91" s="82" t="s">
        <v>864</v>
      </c>
      <c r="C91" s="83">
        <v>45681</v>
      </c>
      <c r="D91" s="83">
        <v>45711</v>
      </c>
      <c r="E91" s="83">
        <v>45711</v>
      </c>
      <c r="F91" s="83">
        <v>45714</v>
      </c>
      <c r="G91" s="83">
        <v>45681</v>
      </c>
      <c r="H91" s="82" t="s">
        <v>2146</v>
      </c>
      <c r="I91" s="82" t="s">
        <v>22</v>
      </c>
      <c r="J91" s="84">
        <v>0</v>
      </c>
      <c r="K91" s="85">
        <v>232.19</v>
      </c>
      <c r="L91" s="85">
        <v>243.8</v>
      </c>
      <c r="M91" s="85">
        <v>11.61</v>
      </c>
      <c r="N91" s="85">
        <v>243.8</v>
      </c>
      <c r="O91" s="85">
        <v>0</v>
      </c>
      <c r="P91" s="85">
        <v>232.19</v>
      </c>
      <c r="Q91" s="85">
        <v>243.8</v>
      </c>
      <c r="R91" s="85">
        <v>11.61</v>
      </c>
      <c r="S91" s="85">
        <v>243.8</v>
      </c>
      <c r="T91" s="85">
        <v>0</v>
      </c>
      <c r="U91" s="82"/>
      <c r="V91" s="82" t="s">
        <v>3399</v>
      </c>
      <c r="W91" s="82" t="s">
        <v>3395</v>
      </c>
      <c r="X91" s="82" t="s">
        <v>3394</v>
      </c>
      <c r="Y91" s="82" t="s">
        <v>3393</v>
      </c>
    </row>
    <row r="92" spans="1:25" ht="10.9" customHeight="1" x14ac:dyDescent="0.2">
      <c r="A92" s="82" t="s">
        <v>3711</v>
      </c>
      <c r="B92" s="82" t="s">
        <v>242</v>
      </c>
      <c r="C92" s="83">
        <v>45681</v>
      </c>
      <c r="D92" s="83">
        <v>45711</v>
      </c>
      <c r="E92" s="83">
        <v>45711</v>
      </c>
      <c r="F92" s="83">
        <v>45714</v>
      </c>
      <c r="G92" s="83">
        <v>45681</v>
      </c>
      <c r="H92" s="82" t="s">
        <v>3710</v>
      </c>
      <c r="I92" s="82" t="s">
        <v>22</v>
      </c>
      <c r="J92" s="84">
        <v>0</v>
      </c>
      <c r="K92" s="85">
        <v>729.89</v>
      </c>
      <c r="L92" s="85">
        <v>766.38</v>
      </c>
      <c r="M92" s="85">
        <v>36.49</v>
      </c>
      <c r="N92" s="85">
        <v>766.38</v>
      </c>
      <c r="O92" s="85">
        <v>0</v>
      </c>
      <c r="P92" s="85">
        <v>729.89</v>
      </c>
      <c r="Q92" s="85">
        <v>766.38</v>
      </c>
      <c r="R92" s="85">
        <v>36.49</v>
      </c>
      <c r="S92" s="85">
        <v>766.38</v>
      </c>
      <c r="T92" s="85">
        <v>0</v>
      </c>
      <c r="U92" s="82"/>
      <c r="V92" s="82" t="s">
        <v>3399</v>
      </c>
      <c r="W92" s="82" t="s">
        <v>3395</v>
      </c>
      <c r="X92" s="82" t="s">
        <v>3394</v>
      </c>
      <c r="Y92" s="82" t="s">
        <v>3393</v>
      </c>
    </row>
    <row r="93" spans="1:25" ht="10.9" customHeight="1" x14ac:dyDescent="0.2">
      <c r="A93" s="82" t="s">
        <v>2342</v>
      </c>
      <c r="B93" s="82" t="s">
        <v>2134</v>
      </c>
      <c r="C93" s="83">
        <v>45681</v>
      </c>
      <c r="D93" s="83">
        <v>45681</v>
      </c>
      <c r="E93" s="83">
        <v>45681</v>
      </c>
      <c r="F93" s="83">
        <v>45679</v>
      </c>
      <c r="G93" s="83">
        <v>45681</v>
      </c>
      <c r="H93" s="82" t="s">
        <v>2133</v>
      </c>
      <c r="I93" s="82" t="s">
        <v>22</v>
      </c>
      <c r="J93" s="84">
        <v>0</v>
      </c>
      <c r="K93" s="85">
        <v>2272.41</v>
      </c>
      <c r="L93" s="85">
        <v>2386.02</v>
      </c>
      <c r="M93" s="85">
        <v>113.61</v>
      </c>
      <c r="N93" s="85">
        <v>2386.02</v>
      </c>
      <c r="O93" s="85">
        <v>0</v>
      </c>
      <c r="P93" s="85">
        <v>2272.41</v>
      </c>
      <c r="Q93" s="85">
        <v>2386.02</v>
      </c>
      <c r="R93" s="85">
        <v>113.61</v>
      </c>
      <c r="S93" s="85">
        <v>2386.02</v>
      </c>
      <c r="T93" s="85">
        <v>0</v>
      </c>
      <c r="U93" s="82"/>
      <c r="V93" s="82" t="s">
        <v>3399</v>
      </c>
      <c r="W93" s="82" t="s">
        <v>3395</v>
      </c>
      <c r="X93" s="82" t="s">
        <v>3397</v>
      </c>
      <c r="Y93" s="82" t="s">
        <v>3393</v>
      </c>
    </row>
    <row r="94" spans="1:25" ht="10.9" customHeight="1" x14ac:dyDescent="0.2">
      <c r="A94" s="82" t="s">
        <v>2339</v>
      </c>
      <c r="B94" s="82" t="s">
        <v>86</v>
      </c>
      <c r="C94" s="83">
        <v>45681</v>
      </c>
      <c r="D94" s="83">
        <v>45711</v>
      </c>
      <c r="E94" s="83">
        <v>45711</v>
      </c>
      <c r="F94" s="83">
        <v>45709</v>
      </c>
      <c r="G94" s="83">
        <v>45681</v>
      </c>
      <c r="H94" s="82" t="s">
        <v>2140</v>
      </c>
      <c r="I94" s="82" t="s">
        <v>22</v>
      </c>
      <c r="J94" s="84">
        <v>0</v>
      </c>
      <c r="K94" s="85">
        <v>637.91</v>
      </c>
      <c r="L94" s="85">
        <v>720.84</v>
      </c>
      <c r="M94" s="85">
        <v>82.93</v>
      </c>
      <c r="N94" s="85">
        <v>720.84</v>
      </c>
      <c r="O94" s="85">
        <v>0</v>
      </c>
      <c r="P94" s="85">
        <v>637.91</v>
      </c>
      <c r="Q94" s="85">
        <v>720.84</v>
      </c>
      <c r="R94" s="85">
        <v>82.93</v>
      </c>
      <c r="S94" s="85">
        <v>720.84</v>
      </c>
      <c r="T94" s="85">
        <v>0</v>
      </c>
      <c r="U94" s="82"/>
      <c r="V94" s="82" t="s">
        <v>3399</v>
      </c>
      <c r="W94" s="82" t="s">
        <v>3395</v>
      </c>
      <c r="X94" s="82" t="s">
        <v>3394</v>
      </c>
      <c r="Y94" s="82" t="s">
        <v>3393</v>
      </c>
    </row>
    <row r="95" spans="1:25" ht="10.9" customHeight="1" x14ac:dyDescent="0.2">
      <c r="A95" s="82" t="s">
        <v>2338</v>
      </c>
      <c r="B95" s="82" t="s">
        <v>3658</v>
      </c>
      <c r="C95" s="83">
        <v>45681</v>
      </c>
      <c r="D95" s="83">
        <v>45711</v>
      </c>
      <c r="E95" s="83">
        <v>45711</v>
      </c>
      <c r="F95" s="83">
        <v>45715</v>
      </c>
      <c r="G95" s="83">
        <v>45681</v>
      </c>
      <c r="H95" s="82" t="s">
        <v>2143</v>
      </c>
      <c r="I95" s="82" t="s">
        <v>22</v>
      </c>
      <c r="J95" s="84">
        <v>0</v>
      </c>
      <c r="K95" s="85">
        <v>498.78</v>
      </c>
      <c r="L95" s="85">
        <v>523.72</v>
      </c>
      <c r="M95" s="85">
        <v>24.94</v>
      </c>
      <c r="N95" s="85">
        <v>523.72</v>
      </c>
      <c r="O95" s="85">
        <v>0</v>
      </c>
      <c r="P95" s="85">
        <v>498.78</v>
      </c>
      <c r="Q95" s="85">
        <v>523.72</v>
      </c>
      <c r="R95" s="85">
        <v>24.94</v>
      </c>
      <c r="S95" s="85">
        <v>523.72</v>
      </c>
      <c r="T95" s="85">
        <v>0</v>
      </c>
      <c r="U95" s="82"/>
      <c r="V95" s="82" t="s">
        <v>3399</v>
      </c>
      <c r="W95" s="82" t="s">
        <v>3395</v>
      </c>
      <c r="X95" s="82" t="s">
        <v>3394</v>
      </c>
      <c r="Y95" s="82" t="s">
        <v>3393</v>
      </c>
    </row>
    <row r="96" spans="1:25" ht="10.9" customHeight="1" x14ac:dyDescent="0.2">
      <c r="A96" s="82" t="s">
        <v>2345</v>
      </c>
      <c r="B96" s="82" t="s">
        <v>644</v>
      </c>
      <c r="C96" s="83">
        <v>45684</v>
      </c>
      <c r="D96" s="83">
        <v>45714</v>
      </c>
      <c r="E96" s="83">
        <v>45737</v>
      </c>
      <c r="F96" s="83">
        <v>45754</v>
      </c>
      <c r="G96" s="83">
        <v>45686</v>
      </c>
      <c r="H96" s="82" t="s">
        <v>2127</v>
      </c>
      <c r="I96" s="82" t="s">
        <v>51</v>
      </c>
      <c r="J96" s="84">
        <v>0.69450699999999999</v>
      </c>
      <c r="K96" s="85">
        <v>2297.15</v>
      </c>
      <c r="L96" s="85">
        <v>2297.15</v>
      </c>
      <c r="M96" s="85">
        <v>0</v>
      </c>
      <c r="N96" s="85">
        <v>2297.15</v>
      </c>
      <c r="O96" s="85">
        <v>0</v>
      </c>
      <c r="P96" s="85">
        <v>3307.5980515675146</v>
      </c>
      <c r="Q96" s="85">
        <v>3307.5980515675146</v>
      </c>
      <c r="R96" s="85">
        <v>0</v>
      </c>
      <c r="S96" s="85">
        <v>3268.0153</v>
      </c>
      <c r="T96" s="85">
        <v>0</v>
      </c>
      <c r="U96" s="82"/>
      <c r="V96" s="82" t="s">
        <v>3399</v>
      </c>
      <c r="W96" s="82" t="s">
        <v>3395</v>
      </c>
      <c r="X96" s="82" t="s">
        <v>3394</v>
      </c>
      <c r="Y96" s="82" t="s">
        <v>3393</v>
      </c>
    </row>
    <row r="97" spans="1:25" ht="10.9" customHeight="1" x14ac:dyDescent="0.2">
      <c r="A97" s="82" t="s">
        <v>3706</v>
      </c>
      <c r="B97" s="82" t="s">
        <v>129</v>
      </c>
      <c r="C97" s="83">
        <v>45684</v>
      </c>
      <c r="D97" s="83">
        <v>45744</v>
      </c>
      <c r="E97" s="83">
        <v>45744</v>
      </c>
      <c r="F97" s="82"/>
      <c r="G97" s="83">
        <v>45684</v>
      </c>
      <c r="H97" s="82" t="s">
        <v>3705</v>
      </c>
      <c r="I97" s="82" t="s">
        <v>51</v>
      </c>
      <c r="J97" s="84">
        <v>0.69450699999999999</v>
      </c>
      <c r="K97" s="85">
        <v>20534</v>
      </c>
      <c r="L97" s="85">
        <v>20534</v>
      </c>
      <c r="M97" s="85">
        <v>0</v>
      </c>
      <c r="N97" s="85">
        <v>0</v>
      </c>
      <c r="O97" s="85">
        <v>20534</v>
      </c>
      <c r="P97" s="85">
        <v>29566.296667996146</v>
      </c>
      <c r="Q97" s="85">
        <v>29566.296667996146</v>
      </c>
      <c r="R97" s="85">
        <v>0</v>
      </c>
      <c r="S97" s="85">
        <v>0</v>
      </c>
      <c r="T97" s="85">
        <v>28181.27</v>
      </c>
      <c r="U97" s="82" t="s">
        <v>3401</v>
      </c>
      <c r="V97" s="82" t="s">
        <v>3396</v>
      </c>
      <c r="W97" s="82" t="s">
        <v>3395</v>
      </c>
      <c r="X97" s="82" t="s">
        <v>3394</v>
      </c>
      <c r="Y97" s="82" t="s">
        <v>3393</v>
      </c>
    </row>
    <row r="98" spans="1:25" ht="10.9" customHeight="1" x14ac:dyDescent="0.2">
      <c r="A98" s="82" t="s">
        <v>2348</v>
      </c>
      <c r="B98" s="82" t="s">
        <v>3410</v>
      </c>
      <c r="C98" s="83">
        <v>45684</v>
      </c>
      <c r="D98" s="83">
        <v>45714</v>
      </c>
      <c r="E98" s="83">
        <v>45714</v>
      </c>
      <c r="F98" s="83">
        <v>45721</v>
      </c>
      <c r="G98" s="83">
        <v>45684</v>
      </c>
      <c r="H98" s="82" t="s">
        <v>2121</v>
      </c>
      <c r="I98" s="82" t="s">
        <v>22</v>
      </c>
      <c r="J98" s="84">
        <v>0</v>
      </c>
      <c r="K98" s="85">
        <v>228.6</v>
      </c>
      <c r="L98" s="85">
        <v>240.03</v>
      </c>
      <c r="M98" s="85">
        <v>11.43</v>
      </c>
      <c r="N98" s="85">
        <v>240.03</v>
      </c>
      <c r="O98" s="85">
        <v>0</v>
      </c>
      <c r="P98" s="85">
        <v>228.6</v>
      </c>
      <c r="Q98" s="85">
        <v>240.03</v>
      </c>
      <c r="R98" s="85">
        <v>11.43</v>
      </c>
      <c r="S98" s="85">
        <v>240.03</v>
      </c>
      <c r="T98" s="85">
        <v>0</v>
      </c>
      <c r="U98" s="82"/>
      <c r="V98" s="82" t="s">
        <v>3399</v>
      </c>
      <c r="W98" s="82" t="s">
        <v>3395</v>
      </c>
      <c r="X98" s="82" t="s">
        <v>3394</v>
      </c>
      <c r="Y98" s="82" t="s">
        <v>3393</v>
      </c>
    </row>
    <row r="99" spans="1:25" ht="10.9" customHeight="1" x14ac:dyDescent="0.2">
      <c r="A99" s="82" t="s">
        <v>2346</v>
      </c>
      <c r="B99" s="82" t="s">
        <v>245</v>
      </c>
      <c r="C99" s="83">
        <v>45684</v>
      </c>
      <c r="D99" s="83">
        <v>45714</v>
      </c>
      <c r="E99" s="83">
        <v>45714</v>
      </c>
      <c r="F99" s="83">
        <v>45727</v>
      </c>
      <c r="G99" s="83">
        <v>45684</v>
      </c>
      <c r="H99" s="82" t="s">
        <v>2125</v>
      </c>
      <c r="I99" s="82" t="s">
        <v>22</v>
      </c>
      <c r="J99" s="84">
        <v>0</v>
      </c>
      <c r="K99" s="85">
        <v>1194.8699999999999</v>
      </c>
      <c r="L99" s="85">
        <v>1254.6099999999999</v>
      </c>
      <c r="M99" s="85">
        <v>59.74</v>
      </c>
      <c r="N99" s="85">
        <v>1254.6099999999999</v>
      </c>
      <c r="O99" s="85">
        <v>0</v>
      </c>
      <c r="P99" s="85">
        <v>1194.8699999999999</v>
      </c>
      <c r="Q99" s="85">
        <v>1254.6099999999999</v>
      </c>
      <c r="R99" s="85">
        <v>59.74</v>
      </c>
      <c r="S99" s="85">
        <v>1254.6099999999999</v>
      </c>
      <c r="T99" s="85">
        <v>0</v>
      </c>
      <c r="U99" s="82"/>
      <c r="V99" s="82" t="s">
        <v>3399</v>
      </c>
      <c r="W99" s="82" t="s">
        <v>3395</v>
      </c>
      <c r="X99" s="82" t="s">
        <v>3394</v>
      </c>
      <c r="Y99" s="82" t="s">
        <v>3393</v>
      </c>
    </row>
    <row r="100" spans="1:25" ht="10.9" customHeight="1" x14ac:dyDescent="0.2">
      <c r="A100" s="82" t="s">
        <v>2347</v>
      </c>
      <c r="B100" s="82" t="s">
        <v>242</v>
      </c>
      <c r="C100" s="83">
        <v>45684</v>
      </c>
      <c r="D100" s="83">
        <v>45714</v>
      </c>
      <c r="E100" s="83">
        <v>45714</v>
      </c>
      <c r="F100" s="83">
        <v>45721</v>
      </c>
      <c r="G100" s="83">
        <v>45684</v>
      </c>
      <c r="H100" s="82" t="s">
        <v>2123</v>
      </c>
      <c r="I100" s="82" t="s">
        <v>22</v>
      </c>
      <c r="J100" s="84">
        <v>0</v>
      </c>
      <c r="K100" s="85">
        <v>1429.78</v>
      </c>
      <c r="L100" s="85">
        <v>1501.27</v>
      </c>
      <c r="M100" s="85">
        <v>71.489999999999995</v>
      </c>
      <c r="N100" s="85">
        <v>1501.27</v>
      </c>
      <c r="O100" s="85">
        <v>0</v>
      </c>
      <c r="P100" s="85">
        <v>1429.78</v>
      </c>
      <c r="Q100" s="85">
        <v>1501.27</v>
      </c>
      <c r="R100" s="85">
        <v>71.489999999999995</v>
      </c>
      <c r="S100" s="85">
        <v>1501.27</v>
      </c>
      <c r="T100" s="85">
        <v>0</v>
      </c>
      <c r="U100" s="82"/>
      <c r="V100" s="82" t="s">
        <v>3399</v>
      </c>
      <c r="W100" s="82" t="s">
        <v>3395</v>
      </c>
      <c r="X100" s="82" t="s">
        <v>3394</v>
      </c>
      <c r="Y100" s="82" t="s">
        <v>3393</v>
      </c>
    </row>
    <row r="101" spans="1:25" ht="10.9" customHeight="1" x14ac:dyDescent="0.2">
      <c r="A101" s="82" t="s">
        <v>3707</v>
      </c>
      <c r="B101" s="82" t="s">
        <v>135</v>
      </c>
      <c r="C101" s="83">
        <v>45684</v>
      </c>
      <c r="D101" s="83">
        <v>45744</v>
      </c>
      <c r="E101" s="83">
        <v>45744</v>
      </c>
      <c r="F101" s="83">
        <v>45741</v>
      </c>
      <c r="G101" s="83">
        <v>45684</v>
      </c>
      <c r="H101" s="82" t="s">
        <v>3594</v>
      </c>
      <c r="I101" s="82" t="s">
        <v>22</v>
      </c>
      <c r="J101" s="84">
        <v>0</v>
      </c>
      <c r="K101" s="85">
        <v>16858.2</v>
      </c>
      <c r="L101" s="85">
        <v>19049.77</v>
      </c>
      <c r="M101" s="85">
        <v>2191.5700000000002</v>
      </c>
      <c r="N101" s="85">
        <v>19049.77</v>
      </c>
      <c r="O101" s="85">
        <v>0</v>
      </c>
      <c r="P101" s="85">
        <v>16858.2</v>
      </c>
      <c r="Q101" s="85">
        <v>19049.77</v>
      </c>
      <c r="R101" s="85">
        <v>2191.5700000000002</v>
      </c>
      <c r="S101" s="85">
        <v>19049.77</v>
      </c>
      <c r="T101" s="85">
        <v>0</v>
      </c>
      <c r="U101" s="82"/>
      <c r="V101" s="82" t="s">
        <v>3399</v>
      </c>
      <c r="W101" s="82" t="s">
        <v>3395</v>
      </c>
      <c r="X101" s="82" t="s">
        <v>3394</v>
      </c>
      <c r="Y101" s="82" t="s">
        <v>3393</v>
      </c>
    </row>
    <row r="102" spans="1:25" ht="10.9" customHeight="1" x14ac:dyDescent="0.2">
      <c r="A102" s="82" t="s">
        <v>2355</v>
      </c>
      <c r="B102" s="82" t="s">
        <v>171</v>
      </c>
      <c r="C102" s="83">
        <v>45685</v>
      </c>
      <c r="D102" s="83">
        <v>45715</v>
      </c>
      <c r="E102" s="83">
        <v>45715</v>
      </c>
      <c r="F102" s="83">
        <v>45716</v>
      </c>
      <c r="G102" s="83">
        <v>45685</v>
      </c>
      <c r="H102" s="82" t="s">
        <v>2109</v>
      </c>
      <c r="I102" s="82" t="s">
        <v>22</v>
      </c>
      <c r="J102" s="84">
        <v>0</v>
      </c>
      <c r="K102" s="85">
        <v>158.78</v>
      </c>
      <c r="L102" s="85">
        <v>166.72</v>
      </c>
      <c r="M102" s="85">
        <v>7.94</v>
      </c>
      <c r="N102" s="85">
        <v>166.72</v>
      </c>
      <c r="O102" s="85">
        <v>0</v>
      </c>
      <c r="P102" s="85">
        <v>158.78</v>
      </c>
      <c r="Q102" s="85">
        <v>166.72</v>
      </c>
      <c r="R102" s="85">
        <v>7.94</v>
      </c>
      <c r="S102" s="85">
        <v>166.72</v>
      </c>
      <c r="T102" s="85">
        <v>0</v>
      </c>
      <c r="U102" s="82"/>
      <c r="V102" s="82" t="s">
        <v>3399</v>
      </c>
      <c r="W102" s="82" t="s">
        <v>3395</v>
      </c>
      <c r="X102" s="82" t="s">
        <v>3394</v>
      </c>
      <c r="Y102" s="82" t="s">
        <v>3393</v>
      </c>
    </row>
    <row r="103" spans="1:25" ht="10.9" customHeight="1" x14ac:dyDescent="0.2">
      <c r="A103" s="82" t="s">
        <v>3704</v>
      </c>
      <c r="B103" s="82" t="s">
        <v>80</v>
      </c>
      <c r="C103" s="83">
        <v>45685</v>
      </c>
      <c r="D103" s="83">
        <v>45745</v>
      </c>
      <c r="E103" s="83">
        <v>45747</v>
      </c>
      <c r="F103" s="83">
        <v>45744</v>
      </c>
      <c r="G103" s="83">
        <v>45685</v>
      </c>
      <c r="H103" s="82" t="s">
        <v>3703</v>
      </c>
      <c r="I103" s="82" t="s">
        <v>22</v>
      </c>
      <c r="J103" s="84">
        <v>0</v>
      </c>
      <c r="K103" s="85">
        <v>7156.1</v>
      </c>
      <c r="L103" s="85">
        <v>7513.91</v>
      </c>
      <c r="M103" s="85">
        <v>357.81</v>
      </c>
      <c r="N103" s="85">
        <v>7513.91</v>
      </c>
      <c r="O103" s="85">
        <v>0</v>
      </c>
      <c r="P103" s="85">
        <v>7156.1</v>
      </c>
      <c r="Q103" s="85">
        <v>7513.91</v>
      </c>
      <c r="R103" s="85">
        <v>357.81</v>
      </c>
      <c r="S103" s="85">
        <v>7513.91</v>
      </c>
      <c r="T103" s="85">
        <v>0</v>
      </c>
      <c r="U103" s="82"/>
      <c r="V103" s="82" t="s">
        <v>3399</v>
      </c>
      <c r="W103" s="82" t="s">
        <v>3395</v>
      </c>
      <c r="X103" s="82" t="s">
        <v>3394</v>
      </c>
      <c r="Y103" s="82" t="s">
        <v>3393</v>
      </c>
    </row>
    <row r="104" spans="1:25" ht="10.9" customHeight="1" x14ac:dyDescent="0.2">
      <c r="A104" s="82" t="s">
        <v>2344</v>
      </c>
      <c r="B104" s="82" t="s">
        <v>39</v>
      </c>
      <c r="C104" s="83">
        <v>45685</v>
      </c>
      <c r="D104" s="83">
        <v>45715</v>
      </c>
      <c r="E104" s="83">
        <v>45715</v>
      </c>
      <c r="F104" s="83">
        <v>45715</v>
      </c>
      <c r="G104" s="83">
        <v>45685</v>
      </c>
      <c r="H104" s="82" t="s">
        <v>2129</v>
      </c>
      <c r="I104" s="82" t="s">
        <v>22</v>
      </c>
      <c r="J104" s="84">
        <v>0</v>
      </c>
      <c r="K104" s="85">
        <v>12059</v>
      </c>
      <c r="L104" s="85">
        <v>12661.94</v>
      </c>
      <c r="M104" s="85">
        <v>602.94000000000005</v>
      </c>
      <c r="N104" s="85">
        <v>12661.94</v>
      </c>
      <c r="O104" s="85">
        <v>0</v>
      </c>
      <c r="P104" s="85">
        <v>12059</v>
      </c>
      <c r="Q104" s="85">
        <v>12661.94</v>
      </c>
      <c r="R104" s="85">
        <v>602.94000000000005</v>
      </c>
      <c r="S104" s="85">
        <v>12661.94</v>
      </c>
      <c r="T104" s="85">
        <v>0</v>
      </c>
      <c r="U104" s="82"/>
      <c r="V104" s="82" t="s">
        <v>3399</v>
      </c>
      <c r="W104" s="82" t="s">
        <v>3395</v>
      </c>
      <c r="X104" s="82" t="s">
        <v>3394</v>
      </c>
      <c r="Y104" s="82" t="s">
        <v>3393</v>
      </c>
    </row>
    <row r="105" spans="1:25" ht="10.9" customHeight="1" x14ac:dyDescent="0.2">
      <c r="A105" s="82" t="s">
        <v>2353</v>
      </c>
      <c r="B105" s="82" t="s">
        <v>64</v>
      </c>
      <c r="C105" s="83">
        <v>45685</v>
      </c>
      <c r="D105" s="83">
        <v>45715</v>
      </c>
      <c r="E105" s="83">
        <v>45715</v>
      </c>
      <c r="F105" s="83">
        <v>45720</v>
      </c>
      <c r="G105" s="83">
        <v>45685</v>
      </c>
      <c r="H105" s="82" t="s">
        <v>2113</v>
      </c>
      <c r="I105" s="82" t="s">
        <v>22</v>
      </c>
      <c r="J105" s="84">
        <v>0</v>
      </c>
      <c r="K105" s="85">
        <v>818.44</v>
      </c>
      <c r="L105" s="85">
        <v>924.84</v>
      </c>
      <c r="M105" s="85">
        <v>106.4</v>
      </c>
      <c r="N105" s="85">
        <v>924.84</v>
      </c>
      <c r="O105" s="85">
        <v>0</v>
      </c>
      <c r="P105" s="85">
        <v>818.44</v>
      </c>
      <c r="Q105" s="85">
        <v>924.84</v>
      </c>
      <c r="R105" s="85">
        <v>106.4</v>
      </c>
      <c r="S105" s="85">
        <v>924.84</v>
      </c>
      <c r="T105" s="85">
        <v>0</v>
      </c>
      <c r="U105" s="82"/>
      <c r="V105" s="82" t="s">
        <v>3399</v>
      </c>
      <c r="W105" s="82" t="s">
        <v>3395</v>
      </c>
      <c r="X105" s="82" t="s">
        <v>3394</v>
      </c>
      <c r="Y105" s="82" t="s">
        <v>3393</v>
      </c>
    </row>
    <row r="106" spans="1:25" ht="10.9" customHeight="1" x14ac:dyDescent="0.2">
      <c r="A106" s="82" t="s">
        <v>2302</v>
      </c>
      <c r="B106" s="82" t="s">
        <v>2208</v>
      </c>
      <c r="C106" s="83">
        <v>45686</v>
      </c>
      <c r="D106" s="83">
        <v>45716</v>
      </c>
      <c r="E106" s="83">
        <v>45716</v>
      </c>
      <c r="F106" s="83">
        <v>45716</v>
      </c>
      <c r="G106" s="83">
        <v>45686</v>
      </c>
      <c r="H106" s="82" t="s">
        <v>2207</v>
      </c>
      <c r="I106" s="82" t="s">
        <v>51</v>
      </c>
      <c r="J106" s="84">
        <v>0.69335100000000005</v>
      </c>
      <c r="K106" s="85">
        <v>84</v>
      </c>
      <c r="L106" s="85">
        <v>84</v>
      </c>
      <c r="M106" s="85">
        <v>0</v>
      </c>
      <c r="N106" s="85">
        <v>84</v>
      </c>
      <c r="O106" s="85">
        <v>0</v>
      </c>
      <c r="P106" s="85">
        <v>121.1507591393103</v>
      </c>
      <c r="Q106" s="85">
        <v>121.1507591393103</v>
      </c>
      <c r="R106" s="85">
        <v>0</v>
      </c>
      <c r="S106" s="85">
        <v>121.27</v>
      </c>
      <c r="T106" s="85">
        <v>0</v>
      </c>
      <c r="U106" s="82"/>
      <c r="V106" s="82" t="s">
        <v>3399</v>
      </c>
      <c r="W106" s="82" t="s">
        <v>3395</v>
      </c>
      <c r="X106" s="82" t="s">
        <v>3394</v>
      </c>
      <c r="Y106" s="82" t="s">
        <v>3393</v>
      </c>
    </row>
    <row r="107" spans="1:25" ht="10.9" customHeight="1" x14ac:dyDescent="0.2">
      <c r="A107" s="82" t="s">
        <v>3702</v>
      </c>
      <c r="B107" s="82" t="s">
        <v>1423</v>
      </c>
      <c r="C107" s="83">
        <v>45686</v>
      </c>
      <c r="D107" s="83">
        <v>45746</v>
      </c>
      <c r="E107" s="83">
        <v>45785</v>
      </c>
      <c r="F107" s="83">
        <v>45779</v>
      </c>
      <c r="G107" s="83">
        <v>45686</v>
      </c>
      <c r="H107" s="82" t="s">
        <v>3701</v>
      </c>
      <c r="I107" s="82" t="s">
        <v>51</v>
      </c>
      <c r="J107" s="84">
        <v>0.69364499999999996</v>
      </c>
      <c r="K107" s="85">
        <v>9479</v>
      </c>
      <c r="L107" s="85">
        <v>9479</v>
      </c>
      <c r="M107" s="85">
        <v>0</v>
      </c>
      <c r="N107" s="85">
        <v>9479</v>
      </c>
      <c r="O107" s="85">
        <v>0</v>
      </c>
      <c r="P107" s="85">
        <v>13665.491714061227</v>
      </c>
      <c r="Q107" s="85">
        <v>13665.491714061227</v>
      </c>
      <c r="R107" s="85">
        <v>0</v>
      </c>
      <c r="S107" s="85">
        <v>13072.5895</v>
      </c>
      <c r="T107" s="85">
        <v>0</v>
      </c>
      <c r="U107" s="82"/>
      <c r="V107" s="82" t="s">
        <v>3399</v>
      </c>
      <c r="W107" s="82" t="s">
        <v>3395</v>
      </c>
      <c r="X107" s="82" t="s">
        <v>3394</v>
      </c>
      <c r="Y107" s="82" t="s">
        <v>3393</v>
      </c>
    </row>
    <row r="108" spans="1:25" ht="10.9" customHeight="1" x14ac:dyDescent="0.2">
      <c r="A108" s="82" t="s">
        <v>2361</v>
      </c>
      <c r="B108" s="82" t="s">
        <v>86</v>
      </c>
      <c r="C108" s="83">
        <v>45686</v>
      </c>
      <c r="D108" s="83">
        <v>45716</v>
      </c>
      <c r="E108" s="83">
        <v>45716</v>
      </c>
      <c r="F108" s="83">
        <v>45716</v>
      </c>
      <c r="G108" s="83">
        <v>45686</v>
      </c>
      <c r="H108" s="82" t="s">
        <v>2099</v>
      </c>
      <c r="I108" s="82" t="s">
        <v>22</v>
      </c>
      <c r="J108" s="84">
        <v>0</v>
      </c>
      <c r="K108" s="85">
        <v>126.12</v>
      </c>
      <c r="L108" s="85">
        <v>132.43</v>
      </c>
      <c r="M108" s="85">
        <v>6.31</v>
      </c>
      <c r="N108" s="85">
        <v>132.43</v>
      </c>
      <c r="O108" s="85">
        <v>0</v>
      </c>
      <c r="P108" s="85">
        <v>126.12</v>
      </c>
      <c r="Q108" s="85">
        <v>132.43</v>
      </c>
      <c r="R108" s="85">
        <v>6.31</v>
      </c>
      <c r="S108" s="85">
        <v>132.43</v>
      </c>
      <c r="T108" s="85">
        <v>0</v>
      </c>
      <c r="U108" s="82"/>
      <c r="V108" s="82" t="s">
        <v>3399</v>
      </c>
      <c r="W108" s="82" t="s">
        <v>3395</v>
      </c>
      <c r="X108" s="82" t="s">
        <v>3394</v>
      </c>
      <c r="Y108" s="82" t="s">
        <v>3393</v>
      </c>
    </row>
    <row r="109" spans="1:25" ht="10.9" customHeight="1" x14ac:dyDescent="0.2">
      <c r="A109" s="82" t="s">
        <v>2360</v>
      </c>
      <c r="B109" s="82" t="s">
        <v>245</v>
      </c>
      <c r="C109" s="83">
        <v>45686</v>
      </c>
      <c r="D109" s="83">
        <v>45716</v>
      </c>
      <c r="E109" s="83">
        <v>45716</v>
      </c>
      <c r="F109" s="83">
        <v>45727</v>
      </c>
      <c r="G109" s="83">
        <v>45686</v>
      </c>
      <c r="H109" s="82" t="s">
        <v>2101</v>
      </c>
      <c r="I109" s="82" t="s">
        <v>22</v>
      </c>
      <c r="J109" s="84">
        <v>0</v>
      </c>
      <c r="K109" s="85">
        <v>1194.8699999999999</v>
      </c>
      <c r="L109" s="85">
        <v>1254.6099999999999</v>
      </c>
      <c r="M109" s="85">
        <v>59.74</v>
      </c>
      <c r="N109" s="85">
        <v>1254.6099999999999</v>
      </c>
      <c r="O109" s="85">
        <v>0</v>
      </c>
      <c r="P109" s="85">
        <v>1194.8699999999999</v>
      </c>
      <c r="Q109" s="85">
        <v>1254.6099999999999</v>
      </c>
      <c r="R109" s="85">
        <v>59.74</v>
      </c>
      <c r="S109" s="85">
        <v>1254.6099999999999</v>
      </c>
      <c r="T109" s="85">
        <v>0</v>
      </c>
      <c r="U109" s="82"/>
      <c r="V109" s="82" t="s">
        <v>3399</v>
      </c>
      <c r="W109" s="82" t="s">
        <v>3395</v>
      </c>
      <c r="X109" s="82" t="s">
        <v>3394</v>
      </c>
      <c r="Y109" s="82" t="s">
        <v>3393</v>
      </c>
    </row>
    <row r="110" spans="1:25" ht="10.9" customHeight="1" x14ac:dyDescent="0.2">
      <c r="A110" s="82" t="s">
        <v>3695</v>
      </c>
      <c r="B110" s="82" t="s">
        <v>159</v>
      </c>
      <c r="C110" s="83">
        <v>45687</v>
      </c>
      <c r="D110" s="83">
        <v>45732</v>
      </c>
      <c r="E110" s="83">
        <v>45744</v>
      </c>
      <c r="F110" s="83">
        <v>45751</v>
      </c>
      <c r="G110" s="83">
        <v>45687</v>
      </c>
      <c r="H110" s="82" t="s">
        <v>3694</v>
      </c>
      <c r="I110" s="82" t="s">
        <v>51</v>
      </c>
      <c r="J110" s="84">
        <v>0.69042700000000001</v>
      </c>
      <c r="K110" s="85">
        <v>9113.94</v>
      </c>
      <c r="L110" s="85">
        <v>9113.94</v>
      </c>
      <c r="M110" s="85">
        <v>0</v>
      </c>
      <c r="N110" s="85">
        <v>9113.94</v>
      </c>
      <c r="O110" s="85">
        <v>0</v>
      </c>
      <c r="P110" s="85">
        <v>13200.439727878545</v>
      </c>
      <c r="Q110" s="85">
        <v>13200.439727878545</v>
      </c>
      <c r="R110" s="85">
        <v>0</v>
      </c>
      <c r="S110" s="85">
        <v>12979.806699999999</v>
      </c>
      <c r="T110" s="85">
        <v>0</v>
      </c>
      <c r="U110" s="82"/>
      <c r="V110" s="82" t="s">
        <v>3399</v>
      </c>
      <c r="W110" s="82" t="s">
        <v>3395</v>
      </c>
      <c r="X110" s="82" t="s">
        <v>3394</v>
      </c>
      <c r="Y110" s="82" t="s">
        <v>3393</v>
      </c>
    </row>
    <row r="111" spans="1:25" ht="10.9" customHeight="1" x14ac:dyDescent="0.2">
      <c r="A111" s="82" t="s">
        <v>3697</v>
      </c>
      <c r="B111" s="82" t="s">
        <v>159</v>
      </c>
      <c r="C111" s="83">
        <v>45687</v>
      </c>
      <c r="D111" s="83">
        <v>45732</v>
      </c>
      <c r="E111" s="83">
        <v>45732</v>
      </c>
      <c r="F111" s="83">
        <v>45730</v>
      </c>
      <c r="G111" s="83">
        <v>45687</v>
      </c>
      <c r="H111" s="82" t="s">
        <v>3696</v>
      </c>
      <c r="I111" s="82" t="s">
        <v>51</v>
      </c>
      <c r="J111" s="84">
        <v>0.69042700000000001</v>
      </c>
      <c r="K111" s="85">
        <v>259925</v>
      </c>
      <c r="L111" s="85">
        <v>259925</v>
      </c>
      <c r="M111" s="85">
        <v>0</v>
      </c>
      <c r="N111" s="85">
        <v>259925</v>
      </c>
      <c r="O111" s="85">
        <v>0</v>
      </c>
      <c r="P111" s="85">
        <v>376469.92368490802</v>
      </c>
      <c r="Q111" s="85">
        <v>376469.92368490802</v>
      </c>
      <c r="R111" s="85">
        <v>0</v>
      </c>
      <c r="S111" s="85">
        <v>373699.22330000001</v>
      </c>
      <c r="T111" s="85">
        <v>0</v>
      </c>
      <c r="U111" s="82"/>
      <c r="V111" s="82" t="s">
        <v>3399</v>
      </c>
      <c r="W111" s="82" t="s">
        <v>3395</v>
      </c>
      <c r="X111" s="82" t="s">
        <v>3394</v>
      </c>
      <c r="Y111" s="82" t="s">
        <v>3393</v>
      </c>
    </row>
    <row r="112" spans="1:25" ht="10.9" customHeight="1" x14ac:dyDescent="0.2">
      <c r="A112" s="82" t="s">
        <v>3693</v>
      </c>
      <c r="B112" s="82" t="s">
        <v>3689</v>
      </c>
      <c r="C112" s="83">
        <v>45687</v>
      </c>
      <c r="D112" s="83">
        <v>45687</v>
      </c>
      <c r="E112" s="83">
        <v>45687</v>
      </c>
      <c r="F112" s="83">
        <v>45688</v>
      </c>
      <c r="G112" s="83">
        <v>45687</v>
      </c>
      <c r="H112" s="82" t="s">
        <v>3688</v>
      </c>
      <c r="I112" s="82" t="s">
        <v>51</v>
      </c>
      <c r="J112" s="84">
        <v>0.69042700000000001</v>
      </c>
      <c r="K112" s="85">
        <v>7173</v>
      </c>
      <c r="L112" s="85">
        <v>7173</v>
      </c>
      <c r="M112" s="85">
        <v>0</v>
      </c>
      <c r="N112" s="85">
        <v>7173</v>
      </c>
      <c r="O112" s="85">
        <v>0</v>
      </c>
      <c r="P112" s="85">
        <v>10389.222901190133</v>
      </c>
      <c r="Q112" s="85">
        <v>10389.222901190133</v>
      </c>
      <c r="R112" s="85">
        <v>0</v>
      </c>
      <c r="S112" s="85">
        <v>10385.8051</v>
      </c>
      <c r="T112" s="85">
        <v>0</v>
      </c>
      <c r="U112" s="82"/>
      <c r="V112" s="82" t="s">
        <v>3399</v>
      </c>
      <c r="W112" s="82" t="s">
        <v>3395</v>
      </c>
      <c r="X112" s="82" t="s">
        <v>3397</v>
      </c>
      <c r="Y112" s="82" t="s">
        <v>3393</v>
      </c>
    </row>
    <row r="113" spans="1:25" ht="10.9" customHeight="1" x14ac:dyDescent="0.2">
      <c r="A113" s="82" t="s">
        <v>2357</v>
      </c>
      <c r="B113" s="82" t="s">
        <v>77</v>
      </c>
      <c r="C113" s="83">
        <v>45687</v>
      </c>
      <c r="D113" s="83">
        <v>45717</v>
      </c>
      <c r="E113" s="83">
        <v>45717</v>
      </c>
      <c r="F113" s="83">
        <v>45729</v>
      </c>
      <c r="G113" s="83">
        <v>45687</v>
      </c>
      <c r="H113" s="82" t="s">
        <v>2105</v>
      </c>
      <c r="I113" s="82" t="s">
        <v>22</v>
      </c>
      <c r="J113" s="84">
        <v>0</v>
      </c>
      <c r="K113" s="85">
        <v>80.040000000000006</v>
      </c>
      <c r="L113" s="85">
        <v>84.04</v>
      </c>
      <c r="M113" s="85">
        <v>4</v>
      </c>
      <c r="N113" s="85">
        <v>84.04</v>
      </c>
      <c r="O113" s="85">
        <v>0</v>
      </c>
      <c r="P113" s="85">
        <v>80.040000000000006</v>
      </c>
      <c r="Q113" s="85">
        <v>84.04</v>
      </c>
      <c r="R113" s="85">
        <v>4</v>
      </c>
      <c r="S113" s="85">
        <v>84.04</v>
      </c>
      <c r="T113" s="85">
        <v>0</v>
      </c>
      <c r="U113" s="82"/>
      <c r="V113" s="82" t="s">
        <v>3399</v>
      </c>
      <c r="W113" s="82" t="s">
        <v>3395</v>
      </c>
      <c r="X113" s="82" t="s">
        <v>3394</v>
      </c>
      <c r="Y113" s="82" t="s">
        <v>3393</v>
      </c>
    </row>
    <row r="114" spans="1:25" ht="10.9" customHeight="1" x14ac:dyDescent="0.2">
      <c r="A114" s="82" t="s">
        <v>2364</v>
      </c>
      <c r="B114" s="82" t="s">
        <v>472</v>
      </c>
      <c r="C114" s="83">
        <v>45687</v>
      </c>
      <c r="D114" s="83">
        <v>45702</v>
      </c>
      <c r="E114" s="83">
        <v>45702</v>
      </c>
      <c r="F114" s="83">
        <v>45714</v>
      </c>
      <c r="G114" s="83">
        <v>45687</v>
      </c>
      <c r="H114" s="82" t="s">
        <v>2095</v>
      </c>
      <c r="I114" s="82" t="s">
        <v>22</v>
      </c>
      <c r="J114" s="84">
        <v>0</v>
      </c>
      <c r="K114" s="85">
        <v>11636.11</v>
      </c>
      <c r="L114" s="85">
        <v>12217.92</v>
      </c>
      <c r="M114" s="85">
        <v>581.80999999999995</v>
      </c>
      <c r="N114" s="85">
        <v>12217.92</v>
      </c>
      <c r="O114" s="85">
        <v>0</v>
      </c>
      <c r="P114" s="85">
        <v>11636.11</v>
      </c>
      <c r="Q114" s="85">
        <v>12217.92</v>
      </c>
      <c r="R114" s="85">
        <v>581.80999999999995</v>
      </c>
      <c r="S114" s="85">
        <v>12217.92</v>
      </c>
      <c r="T114" s="85">
        <v>0</v>
      </c>
      <c r="U114" s="82"/>
      <c r="V114" s="82" t="s">
        <v>3399</v>
      </c>
      <c r="W114" s="82" t="s">
        <v>3395</v>
      </c>
      <c r="X114" s="82" t="s">
        <v>3394</v>
      </c>
      <c r="Y114" s="82" t="s">
        <v>3393</v>
      </c>
    </row>
    <row r="115" spans="1:25" ht="10.9" customHeight="1" x14ac:dyDescent="0.2">
      <c r="A115" s="82" t="s">
        <v>2368</v>
      </c>
      <c r="B115" s="82" t="s">
        <v>83</v>
      </c>
      <c r="C115" s="83">
        <v>45687</v>
      </c>
      <c r="D115" s="83">
        <v>45717</v>
      </c>
      <c r="E115" s="83">
        <v>45717</v>
      </c>
      <c r="F115" s="83">
        <v>45708</v>
      </c>
      <c r="G115" s="83">
        <v>45687</v>
      </c>
      <c r="H115" s="82" t="s">
        <v>2087</v>
      </c>
      <c r="I115" s="82" t="s">
        <v>22</v>
      </c>
      <c r="J115" s="84">
        <v>0</v>
      </c>
      <c r="K115" s="85">
        <v>3662.42</v>
      </c>
      <c r="L115" s="85">
        <v>4138.54</v>
      </c>
      <c r="M115" s="85">
        <v>476.12</v>
      </c>
      <c r="N115" s="85">
        <v>4138.54</v>
      </c>
      <c r="O115" s="85">
        <v>0</v>
      </c>
      <c r="P115" s="85">
        <v>3662.42</v>
      </c>
      <c r="Q115" s="85">
        <v>4138.54</v>
      </c>
      <c r="R115" s="85">
        <v>476.12</v>
      </c>
      <c r="S115" s="85">
        <v>4138.54</v>
      </c>
      <c r="T115" s="85">
        <v>0</v>
      </c>
      <c r="U115" s="82"/>
      <c r="V115" s="82" t="s">
        <v>3399</v>
      </c>
      <c r="W115" s="82" t="s">
        <v>3395</v>
      </c>
      <c r="X115" s="82" t="s">
        <v>3394</v>
      </c>
      <c r="Y115" s="82" t="s">
        <v>3393</v>
      </c>
    </row>
    <row r="116" spans="1:25" ht="10.9" customHeight="1" x14ac:dyDescent="0.2">
      <c r="A116" s="82" t="s">
        <v>2362</v>
      </c>
      <c r="B116" s="82" t="s">
        <v>465</v>
      </c>
      <c r="C116" s="83">
        <v>45687</v>
      </c>
      <c r="D116" s="83">
        <v>45717</v>
      </c>
      <c r="E116" s="83">
        <v>45717</v>
      </c>
      <c r="F116" s="83">
        <v>45721</v>
      </c>
      <c r="G116" s="83">
        <v>45687</v>
      </c>
      <c r="H116" s="82" t="s">
        <v>2097</v>
      </c>
      <c r="I116" s="82" t="s">
        <v>22</v>
      </c>
      <c r="J116" s="84">
        <v>0</v>
      </c>
      <c r="K116" s="85">
        <v>7811.79</v>
      </c>
      <c r="L116" s="85">
        <v>8827.32</v>
      </c>
      <c r="M116" s="85">
        <v>1015.53</v>
      </c>
      <c r="N116" s="85">
        <v>8827.32</v>
      </c>
      <c r="O116" s="85">
        <v>0</v>
      </c>
      <c r="P116" s="85">
        <v>7811.79</v>
      </c>
      <c r="Q116" s="85">
        <v>8827.32</v>
      </c>
      <c r="R116" s="85">
        <v>1015.53</v>
      </c>
      <c r="S116" s="85">
        <v>8827.32</v>
      </c>
      <c r="T116" s="85">
        <v>0</v>
      </c>
      <c r="U116" s="82"/>
      <c r="V116" s="82" t="s">
        <v>3399</v>
      </c>
      <c r="W116" s="82" t="s">
        <v>3395</v>
      </c>
      <c r="X116" s="82" t="s">
        <v>3394</v>
      </c>
      <c r="Y116" s="82" t="s">
        <v>3393</v>
      </c>
    </row>
    <row r="117" spans="1:25" ht="10.9" customHeight="1" x14ac:dyDescent="0.2">
      <c r="A117" s="82" t="s">
        <v>2333</v>
      </c>
      <c r="B117" s="82" t="s">
        <v>952</v>
      </c>
      <c r="C117" s="83">
        <v>45687</v>
      </c>
      <c r="D117" s="83">
        <v>45687</v>
      </c>
      <c r="E117" s="83">
        <v>45687</v>
      </c>
      <c r="F117" s="83">
        <v>45687</v>
      </c>
      <c r="G117" s="83">
        <v>45687</v>
      </c>
      <c r="H117" s="82" t="s">
        <v>2152</v>
      </c>
      <c r="I117" s="82" t="s">
        <v>22</v>
      </c>
      <c r="J117" s="84">
        <v>0</v>
      </c>
      <c r="K117" s="85">
        <v>50</v>
      </c>
      <c r="L117" s="85">
        <v>52.5</v>
      </c>
      <c r="M117" s="85">
        <v>2.5</v>
      </c>
      <c r="N117" s="85">
        <v>52.5</v>
      </c>
      <c r="O117" s="85">
        <v>0</v>
      </c>
      <c r="P117" s="85">
        <v>50</v>
      </c>
      <c r="Q117" s="85">
        <v>52.5</v>
      </c>
      <c r="R117" s="85">
        <v>2.5</v>
      </c>
      <c r="S117" s="85">
        <v>52.5</v>
      </c>
      <c r="T117" s="85">
        <v>0</v>
      </c>
      <c r="U117" s="82"/>
      <c r="V117" s="82" t="s">
        <v>3399</v>
      </c>
      <c r="W117" s="82" t="s">
        <v>3395</v>
      </c>
      <c r="X117" s="82" t="s">
        <v>3397</v>
      </c>
      <c r="Y117" s="82" t="s">
        <v>3393</v>
      </c>
    </row>
    <row r="118" spans="1:25" ht="10.9" customHeight="1" x14ac:dyDescent="0.2">
      <c r="A118" s="82" t="s">
        <v>3700</v>
      </c>
      <c r="B118" s="82" t="s">
        <v>952</v>
      </c>
      <c r="C118" s="83">
        <v>45687</v>
      </c>
      <c r="D118" s="83">
        <v>45687</v>
      </c>
      <c r="E118" s="83">
        <v>45687</v>
      </c>
      <c r="F118" s="83">
        <v>45687</v>
      </c>
      <c r="G118" s="83">
        <v>45687</v>
      </c>
      <c r="H118" s="82" t="s">
        <v>3699</v>
      </c>
      <c r="I118" s="82" t="s">
        <v>22</v>
      </c>
      <c r="J118" s="84">
        <v>0</v>
      </c>
      <c r="K118" s="85">
        <v>59.76</v>
      </c>
      <c r="L118" s="85">
        <v>62.75</v>
      </c>
      <c r="M118" s="85">
        <v>2.99</v>
      </c>
      <c r="N118" s="85">
        <v>62.75</v>
      </c>
      <c r="O118" s="85">
        <v>0</v>
      </c>
      <c r="P118" s="85">
        <v>59.76</v>
      </c>
      <c r="Q118" s="85">
        <v>62.75</v>
      </c>
      <c r="R118" s="85">
        <v>2.99</v>
      </c>
      <c r="S118" s="85">
        <v>62.75</v>
      </c>
      <c r="T118" s="85">
        <v>0</v>
      </c>
      <c r="U118" s="82"/>
      <c r="V118" s="82" t="s">
        <v>3399</v>
      </c>
      <c r="W118" s="82" t="s">
        <v>3395</v>
      </c>
      <c r="X118" s="82" t="s">
        <v>3397</v>
      </c>
      <c r="Y118" s="82" t="s">
        <v>3393</v>
      </c>
    </row>
    <row r="119" spans="1:25" ht="10.9" customHeight="1" x14ac:dyDescent="0.2">
      <c r="A119" s="82" t="s">
        <v>2288</v>
      </c>
      <c r="B119" s="82" t="s">
        <v>952</v>
      </c>
      <c r="C119" s="83">
        <v>45687</v>
      </c>
      <c r="D119" s="83">
        <v>45687</v>
      </c>
      <c r="E119" s="83">
        <v>45687</v>
      </c>
      <c r="F119" s="83">
        <v>45687</v>
      </c>
      <c r="G119" s="83">
        <v>45687</v>
      </c>
      <c r="H119" s="82" t="s">
        <v>2233</v>
      </c>
      <c r="I119" s="82" t="s">
        <v>22</v>
      </c>
      <c r="J119" s="84">
        <v>0</v>
      </c>
      <c r="K119" s="85">
        <v>857.76</v>
      </c>
      <c r="L119" s="85">
        <v>900.65</v>
      </c>
      <c r="M119" s="85">
        <v>42.89</v>
      </c>
      <c r="N119" s="85">
        <v>900.65</v>
      </c>
      <c r="O119" s="85">
        <v>0</v>
      </c>
      <c r="P119" s="85">
        <v>857.76</v>
      </c>
      <c r="Q119" s="85">
        <v>900.65</v>
      </c>
      <c r="R119" s="85">
        <v>42.89</v>
      </c>
      <c r="S119" s="85">
        <v>900.65</v>
      </c>
      <c r="T119" s="85">
        <v>0</v>
      </c>
      <c r="U119" s="82"/>
      <c r="V119" s="82" t="s">
        <v>3399</v>
      </c>
      <c r="W119" s="82" t="s">
        <v>3395</v>
      </c>
      <c r="X119" s="82" t="s">
        <v>3397</v>
      </c>
      <c r="Y119" s="82" t="s">
        <v>3393</v>
      </c>
    </row>
    <row r="120" spans="1:25" ht="10.9" customHeight="1" x14ac:dyDescent="0.2">
      <c r="A120" s="82" t="s">
        <v>2332</v>
      </c>
      <c r="B120" s="82" t="s">
        <v>952</v>
      </c>
      <c r="C120" s="83">
        <v>45687</v>
      </c>
      <c r="D120" s="83">
        <v>45687</v>
      </c>
      <c r="E120" s="83">
        <v>45687</v>
      </c>
      <c r="F120" s="83">
        <v>45687</v>
      </c>
      <c r="G120" s="83">
        <v>45688</v>
      </c>
      <c r="H120" s="82" t="s">
        <v>2152</v>
      </c>
      <c r="I120" s="82" t="s">
        <v>22</v>
      </c>
      <c r="J120" s="84">
        <v>0</v>
      </c>
      <c r="K120" s="85">
        <v>129.88</v>
      </c>
      <c r="L120" s="85">
        <v>136.37</v>
      </c>
      <c r="M120" s="85">
        <v>6.49</v>
      </c>
      <c r="N120" s="85">
        <v>136.37</v>
      </c>
      <c r="O120" s="85">
        <v>0</v>
      </c>
      <c r="P120" s="85">
        <v>129.88</v>
      </c>
      <c r="Q120" s="85">
        <v>136.37</v>
      </c>
      <c r="R120" s="85">
        <v>6.49</v>
      </c>
      <c r="S120" s="85">
        <v>136.37</v>
      </c>
      <c r="T120" s="85">
        <v>0</v>
      </c>
      <c r="U120" s="82"/>
      <c r="V120" s="82" t="s">
        <v>3399</v>
      </c>
      <c r="W120" s="82" t="s">
        <v>3395</v>
      </c>
      <c r="X120" s="82" t="s">
        <v>3397</v>
      </c>
      <c r="Y120" s="82" t="s">
        <v>3393</v>
      </c>
    </row>
    <row r="121" spans="1:25" ht="10.9" customHeight="1" x14ac:dyDescent="0.2">
      <c r="A121" s="82"/>
      <c r="B121" s="82" t="s">
        <v>1231</v>
      </c>
      <c r="C121" s="83">
        <v>45687</v>
      </c>
      <c r="D121" s="83">
        <v>45687</v>
      </c>
      <c r="E121" s="83">
        <v>45687</v>
      </c>
      <c r="F121" s="83">
        <v>45811</v>
      </c>
      <c r="G121" s="83">
        <v>45706</v>
      </c>
      <c r="H121" s="82" t="s">
        <v>3698</v>
      </c>
      <c r="I121" s="82" t="s">
        <v>22</v>
      </c>
      <c r="J121" s="84">
        <v>0</v>
      </c>
      <c r="K121" s="85">
        <v>-8681.7800000000007</v>
      </c>
      <c r="L121" s="85">
        <v>-8681.7800000000007</v>
      </c>
      <c r="M121" s="85">
        <v>0</v>
      </c>
      <c r="N121" s="85">
        <v>-8681.7800000000007</v>
      </c>
      <c r="O121" s="85">
        <v>0</v>
      </c>
      <c r="P121" s="85">
        <v>-8681.7800000000007</v>
      </c>
      <c r="Q121" s="85">
        <v>-8681.7800000000007</v>
      </c>
      <c r="R121" s="85">
        <v>0</v>
      </c>
      <c r="S121" s="85">
        <v>-8681.7800000000007</v>
      </c>
      <c r="T121" s="85">
        <v>0</v>
      </c>
      <c r="U121" s="82"/>
      <c r="V121" s="82" t="s">
        <v>3399</v>
      </c>
      <c r="W121" s="82" t="s">
        <v>3423</v>
      </c>
      <c r="X121" s="82" t="s">
        <v>3397</v>
      </c>
      <c r="Y121" s="82"/>
    </row>
    <row r="122" spans="1:25" ht="10.9" customHeight="1" x14ac:dyDescent="0.2">
      <c r="A122" s="82" t="s">
        <v>3690</v>
      </c>
      <c r="B122" s="82" t="s">
        <v>3689</v>
      </c>
      <c r="C122" s="83">
        <v>45688</v>
      </c>
      <c r="D122" s="83">
        <v>45688</v>
      </c>
      <c r="E122" s="83">
        <v>45688</v>
      </c>
      <c r="F122" s="83">
        <v>45688</v>
      </c>
      <c r="G122" s="83">
        <v>45688</v>
      </c>
      <c r="H122" s="82" t="s">
        <v>3688</v>
      </c>
      <c r="I122" s="82" t="s">
        <v>51</v>
      </c>
      <c r="J122" s="84">
        <v>0.69042700000000001</v>
      </c>
      <c r="K122" s="85">
        <v>-25</v>
      </c>
      <c r="L122" s="85">
        <v>-25</v>
      </c>
      <c r="M122" s="85">
        <v>0</v>
      </c>
      <c r="N122" s="85">
        <v>-25</v>
      </c>
      <c r="O122" s="85">
        <v>0</v>
      </c>
      <c r="P122" s="85">
        <v>-36.2094761647502</v>
      </c>
      <c r="Q122" s="85">
        <v>-36.2094761647502</v>
      </c>
      <c r="R122" s="85">
        <v>0</v>
      </c>
      <c r="S122" s="85">
        <v>-36.209499999999998</v>
      </c>
      <c r="T122" s="85">
        <v>0</v>
      </c>
      <c r="U122" s="82"/>
      <c r="V122" s="82" t="s">
        <v>3399</v>
      </c>
      <c r="W122" s="82" t="s">
        <v>3398</v>
      </c>
      <c r="X122" s="82" t="s">
        <v>3397</v>
      </c>
      <c r="Y122" s="82" t="s">
        <v>3393</v>
      </c>
    </row>
    <row r="123" spans="1:25" ht="10.9" customHeight="1" x14ac:dyDescent="0.2">
      <c r="A123" s="82" t="s">
        <v>2372</v>
      </c>
      <c r="B123" s="82" t="s">
        <v>39</v>
      </c>
      <c r="C123" s="83">
        <v>45688</v>
      </c>
      <c r="D123" s="83">
        <v>45718</v>
      </c>
      <c r="E123" s="83">
        <v>45718</v>
      </c>
      <c r="F123" s="83">
        <v>45716</v>
      </c>
      <c r="G123" s="83">
        <v>45688</v>
      </c>
      <c r="H123" s="82" t="s">
        <v>2079</v>
      </c>
      <c r="I123" s="82" t="s">
        <v>22</v>
      </c>
      <c r="J123" s="84">
        <v>0</v>
      </c>
      <c r="K123" s="85">
        <v>221.6</v>
      </c>
      <c r="L123" s="85">
        <v>232.68</v>
      </c>
      <c r="M123" s="85">
        <v>11.08</v>
      </c>
      <c r="N123" s="85">
        <v>232.68</v>
      </c>
      <c r="O123" s="85">
        <v>0</v>
      </c>
      <c r="P123" s="85">
        <v>221.6</v>
      </c>
      <c r="Q123" s="85">
        <v>232.68</v>
      </c>
      <c r="R123" s="85">
        <v>11.08</v>
      </c>
      <c r="S123" s="85">
        <v>232.68</v>
      </c>
      <c r="T123" s="85">
        <v>0</v>
      </c>
      <c r="U123" s="82"/>
      <c r="V123" s="82" t="s">
        <v>3399</v>
      </c>
      <c r="W123" s="82" t="s">
        <v>3395</v>
      </c>
      <c r="X123" s="82" t="s">
        <v>3394</v>
      </c>
      <c r="Y123" s="82" t="s">
        <v>3393</v>
      </c>
    </row>
    <row r="124" spans="1:25" ht="10.9" customHeight="1" x14ac:dyDescent="0.2">
      <c r="A124" s="82" t="s">
        <v>2371</v>
      </c>
      <c r="B124" s="82" t="s">
        <v>1288</v>
      </c>
      <c r="C124" s="83">
        <v>45688</v>
      </c>
      <c r="D124" s="83">
        <v>45718</v>
      </c>
      <c r="E124" s="83">
        <v>45718</v>
      </c>
      <c r="F124" s="83">
        <v>45716</v>
      </c>
      <c r="G124" s="83">
        <v>45688</v>
      </c>
      <c r="H124" s="82" t="s">
        <v>2081</v>
      </c>
      <c r="I124" s="82" t="s">
        <v>51</v>
      </c>
      <c r="J124" s="84">
        <v>0.688222</v>
      </c>
      <c r="K124" s="85">
        <v>166.08</v>
      </c>
      <c r="L124" s="85">
        <v>166.08</v>
      </c>
      <c r="M124" s="85">
        <v>0</v>
      </c>
      <c r="N124" s="85">
        <v>166.08</v>
      </c>
      <c r="O124" s="85">
        <v>0</v>
      </c>
      <c r="P124" s="85">
        <v>241.31748185905121</v>
      </c>
      <c r="Q124" s="85">
        <v>241.31748185905121</v>
      </c>
      <c r="R124" s="85">
        <v>0</v>
      </c>
      <c r="S124" s="85">
        <v>239.76820000000001</v>
      </c>
      <c r="T124" s="85">
        <v>0</v>
      </c>
      <c r="U124" s="82"/>
      <c r="V124" s="82" t="s">
        <v>3399</v>
      </c>
      <c r="W124" s="82" t="s">
        <v>3395</v>
      </c>
      <c r="X124" s="82" t="s">
        <v>3394</v>
      </c>
      <c r="Y124" s="82" t="s">
        <v>3393</v>
      </c>
    </row>
    <row r="125" spans="1:25" ht="10.9" customHeight="1" x14ac:dyDescent="0.2">
      <c r="A125" s="82" t="s">
        <v>3687</v>
      </c>
      <c r="B125" s="82" t="s">
        <v>129</v>
      </c>
      <c r="C125" s="83">
        <v>45688</v>
      </c>
      <c r="D125" s="83">
        <v>45748</v>
      </c>
      <c r="E125" s="83">
        <v>45748</v>
      </c>
      <c r="F125" s="82"/>
      <c r="G125" s="83">
        <v>45688</v>
      </c>
      <c r="H125" s="82" t="s">
        <v>3686</v>
      </c>
      <c r="I125" s="82" t="s">
        <v>51</v>
      </c>
      <c r="J125" s="84">
        <v>0.688222</v>
      </c>
      <c r="K125" s="85">
        <v>1512</v>
      </c>
      <c r="L125" s="85">
        <v>1512</v>
      </c>
      <c r="M125" s="85">
        <v>0</v>
      </c>
      <c r="N125" s="85">
        <v>0</v>
      </c>
      <c r="O125" s="85">
        <v>1512</v>
      </c>
      <c r="P125" s="85">
        <v>2196.9655140347154</v>
      </c>
      <c r="Q125" s="85">
        <v>2196.9655140347154</v>
      </c>
      <c r="R125" s="85">
        <v>0</v>
      </c>
      <c r="S125" s="85">
        <v>0</v>
      </c>
      <c r="T125" s="85">
        <v>2075.1</v>
      </c>
      <c r="U125" s="82" t="s">
        <v>3401</v>
      </c>
      <c r="V125" s="82" t="s">
        <v>3396</v>
      </c>
      <c r="W125" s="82" t="s">
        <v>3395</v>
      </c>
      <c r="X125" s="82" t="s">
        <v>3394</v>
      </c>
      <c r="Y125" s="82" t="s">
        <v>3393</v>
      </c>
    </row>
    <row r="126" spans="1:25" ht="10.9" customHeight="1" x14ac:dyDescent="0.2">
      <c r="A126" s="82" t="s">
        <v>2369</v>
      </c>
      <c r="B126" s="82" t="s">
        <v>316</v>
      </c>
      <c r="C126" s="83">
        <v>45688</v>
      </c>
      <c r="D126" s="83">
        <v>45718</v>
      </c>
      <c r="E126" s="83">
        <v>45718</v>
      </c>
      <c r="F126" s="83">
        <v>45728</v>
      </c>
      <c r="G126" s="83">
        <v>45688</v>
      </c>
      <c r="H126" s="82" t="s">
        <v>2085</v>
      </c>
      <c r="I126" s="82" t="s">
        <v>22</v>
      </c>
      <c r="J126" s="84">
        <v>0</v>
      </c>
      <c r="K126" s="85">
        <v>2779.84</v>
      </c>
      <c r="L126" s="85">
        <v>2918.83</v>
      </c>
      <c r="M126" s="85">
        <v>138.99</v>
      </c>
      <c r="N126" s="85">
        <v>2918.83</v>
      </c>
      <c r="O126" s="85">
        <v>0</v>
      </c>
      <c r="P126" s="85">
        <v>2779.84</v>
      </c>
      <c r="Q126" s="85">
        <v>2918.83</v>
      </c>
      <c r="R126" s="85">
        <v>138.99</v>
      </c>
      <c r="S126" s="85">
        <v>2918.83</v>
      </c>
      <c r="T126" s="85">
        <v>0</v>
      </c>
      <c r="U126" s="82"/>
      <c r="V126" s="82" t="s">
        <v>3399</v>
      </c>
      <c r="W126" s="82" t="s">
        <v>3395</v>
      </c>
      <c r="X126" s="82" t="s">
        <v>3394</v>
      </c>
      <c r="Y126" s="82" t="s">
        <v>3393</v>
      </c>
    </row>
    <row r="127" spans="1:25" ht="10.9" customHeight="1" x14ac:dyDescent="0.2">
      <c r="A127" s="82" t="s">
        <v>3692</v>
      </c>
      <c r="B127" s="82" t="s">
        <v>98</v>
      </c>
      <c r="C127" s="83">
        <v>45688</v>
      </c>
      <c r="D127" s="83">
        <v>45718</v>
      </c>
      <c r="E127" s="83">
        <v>45718</v>
      </c>
      <c r="F127" s="83">
        <v>45707</v>
      </c>
      <c r="G127" s="83">
        <v>45688</v>
      </c>
      <c r="H127" s="82" t="s">
        <v>3691</v>
      </c>
      <c r="I127" s="82" t="s">
        <v>22</v>
      </c>
      <c r="J127" s="84">
        <v>0</v>
      </c>
      <c r="K127" s="85">
        <v>69.73</v>
      </c>
      <c r="L127" s="85">
        <v>78.790000000000006</v>
      </c>
      <c r="M127" s="85">
        <v>9.06</v>
      </c>
      <c r="N127" s="85">
        <v>78.790000000000006</v>
      </c>
      <c r="O127" s="85">
        <v>0</v>
      </c>
      <c r="P127" s="85">
        <v>69.73</v>
      </c>
      <c r="Q127" s="85">
        <v>78.790000000000006</v>
      </c>
      <c r="R127" s="85">
        <v>9.06</v>
      </c>
      <c r="S127" s="85">
        <v>78.790000000000006</v>
      </c>
      <c r="T127" s="85">
        <v>0</v>
      </c>
      <c r="U127" s="82"/>
      <c r="V127" s="82" t="s">
        <v>3399</v>
      </c>
      <c r="W127" s="82" t="s">
        <v>3395</v>
      </c>
      <c r="X127" s="82" t="s">
        <v>3394</v>
      </c>
      <c r="Y127" s="82" t="s">
        <v>3393</v>
      </c>
    </row>
    <row r="128" spans="1:25" ht="10.9" customHeight="1" x14ac:dyDescent="0.2">
      <c r="A128" s="82" t="s">
        <v>2271</v>
      </c>
      <c r="B128" s="82" t="s">
        <v>98</v>
      </c>
      <c r="C128" s="83">
        <v>45688</v>
      </c>
      <c r="D128" s="83">
        <v>45718</v>
      </c>
      <c r="E128" s="83">
        <v>45718</v>
      </c>
      <c r="F128" s="83">
        <v>45707</v>
      </c>
      <c r="G128" s="83">
        <v>45688</v>
      </c>
      <c r="H128" s="82" t="s">
        <v>2266</v>
      </c>
      <c r="I128" s="82" t="s">
        <v>22</v>
      </c>
      <c r="J128" s="84">
        <v>0</v>
      </c>
      <c r="K128" s="85">
        <v>2097.09</v>
      </c>
      <c r="L128" s="85">
        <v>2369.71</v>
      </c>
      <c r="M128" s="85">
        <v>272.62</v>
      </c>
      <c r="N128" s="85">
        <v>2369.71</v>
      </c>
      <c r="O128" s="85">
        <v>0</v>
      </c>
      <c r="P128" s="85">
        <v>2097.09</v>
      </c>
      <c r="Q128" s="85">
        <v>2369.71</v>
      </c>
      <c r="R128" s="85">
        <v>272.62</v>
      </c>
      <c r="S128" s="85">
        <v>2369.71</v>
      </c>
      <c r="T128" s="85">
        <v>0</v>
      </c>
      <c r="U128" s="82"/>
      <c r="V128" s="82" t="s">
        <v>3399</v>
      </c>
      <c r="W128" s="82" t="s">
        <v>3395</v>
      </c>
      <c r="X128" s="82" t="s">
        <v>3394</v>
      </c>
      <c r="Y128" s="82" t="s">
        <v>3393</v>
      </c>
    </row>
    <row r="129" spans="1:25" ht="10.9" customHeight="1" x14ac:dyDescent="0.2">
      <c r="A129" s="82" t="s">
        <v>2279</v>
      </c>
      <c r="B129" s="82" t="s">
        <v>98</v>
      </c>
      <c r="C129" s="83">
        <v>45688</v>
      </c>
      <c r="D129" s="83">
        <v>45718</v>
      </c>
      <c r="E129" s="83">
        <v>45718</v>
      </c>
      <c r="F129" s="83">
        <v>45707</v>
      </c>
      <c r="G129" s="83">
        <v>45688</v>
      </c>
      <c r="H129" s="82" t="s">
        <v>2250</v>
      </c>
      <c r="I129" s="82" t="s">
        <v>22</v>
      </c>
      <c r="J129" s="84">
        <v>0</v>
      </c>
      <c r="K129" s="85">
        <v>12346.61</v>
      </c>
      <c r="L129" s="85">
        <v>13951.67</v>
      </c>
      <c r="M129" s="85">
        <v>1605.06</v>
      </c>
      <c r="N129" s="85">
        <v>13951.67</v>
      </c>
      <c r="O129" s="85">
        <v>0</v>
      </c>
      <c r="P129" s="85">
        <v>12346.61</v>
      </c>
      <c r="Q129" s="85">
        <v>13951.67</v>
      </c>
      <c r="R129" s="85">
        <v>1605.06</v>
      </c>
      <c r="S129" s="85">
        <v>13951.67</v>
      </c>
      <c r="T129" s="85">
        <v>0</v>
      </c>
      <c r="U129" s="82"/>
      <c r="V129" s="82" t="s">
        <v>3399</v>
      </c>
      <c r="W129" s="82" t="s">
        <v>3395</v>
      </c>
      <c r="X129" s="82" t="s">
        <v>3394</v>
      </c>
      <c r="Y129" s="82" t="s">
        <v>3393</v>
      </c>
    </row>
    <row r="130" spans="1:25" ht="10.9" customHeight="1" x14ac:dyDescent="0.2">
      <c r="A130" s="82" t="s">
        <v>2335</v>
      </c>
      <c r="B130" s="82" t="s">
        <v>98</v>
      </c>
      <c r="C130" s="83">
        <v>45688</v>
      </c>
      <c r="D130" s="83">
        <v>45718</v>
      </c>
      <c r="E130" s="83">
        <v>45718</v>
      </c>
      <c r="F130" s="83">
        <v>45707</v>
      </c>
      <c r="G130" s="83">
        <v>45688</v>
      </c>
      <c r="H130" s="82" t="s">
        <v>2150</v>
      </c>
      <c r="I130" s="82" t="s">
        <v>22</v>
      </c>
      <c r="J130" s="84">
        <v>0</v>
      </c>
      <c r="K130" s="85">
        <v>124.57</v>
      </c>
      <c r="L130" s="85">
        <v>140.76</v>
      </c>
      <c r="M130" s="85">
        <v>16.190000000000001</v>
      </c>
      <c r="N130" s="85">
        <v>140.76</v>
      </c>
      <c r="O130" s="85">
        <v>0</v>
      </c>
      <c r="P130" s="85">
        <v>124.57</v>
      </c>
      <c r="Q130" s="85">
        <v>140.76</v>
      </c>
      <c r="R130" s="85">
        <v>16.190000000000001</v>
      </c>
      <c r="S130" s="85">
        <v>140.76</v>
      </c>
      <c r="T130" s="85">
        <v>0</v>
      </c>
      <c r="U130" s="82"/>
      <c r="V130" s="82" t="s">
        <v>3399</v>
      </c>
      <c r="W130" s="82" t="s">
        <v>3395</v>
      </c>
      <c r="X130" s="82" t="s">
        <v>3394</v>
      </c>
      <c r="Y130" s="82" t="s">
        <v>3393</v>
      </c>
    </row>
    <row r="131" spans="1:25" ht="10.9" customHeight="1" x14ac:dyDescent="0.2">
      <c r="A131" s="82" t="s">
        <v>2356</v>
      </c>
      <c r="B131" s="82" t="s">
        <v>98</v>
      </c>
      <c r="C131" s="83">
        <v>45688</v>
      </c>
      <c r="D131" s="83">
        <v>45718</v>
      </c>
      <c r="E131" s="83">
        <v>45718</v>
      </c>
      <c r="F131" s="83">
        <v>45707</v>
      </c>
      <c r="G131" s="83">
        <v>45688</v>
      </c>
      <c r="H131" s="82" t="s">
        <v>2107</v>
      </c>
      <c r="I131" s="82" t="s">
        <v>22</v>
      </c>
      <c r="J131" s="84">
        <v>0</v>
      </c>
      <c r="K131" s="85">
        <v>5089.3900000000003</v>
      </c>
      <c r="L131" s="85">
        <v>5751.01</v>
      </c>
      <c r="M131" s="85">
        <v>661.62</v>
      </c>
      <c r="N131" s="85">
        <v>5751.01</v>
      </c>
      <c r="O131" s="85">
        <v>0</v>
      </c>
      <c r="P131" s="85">
        <v>5089.3900000000003</v>
      </c>
      <c r="Q131" s="85">
        <v>5751.01</v>
      </c>
      <c r="R131" s="85">
        <v>661.62</v>
      </c>
      <c r="S131" s="85">
        <v>5751.01</v>
      </c>
      <c r="T131" s="85">
        <v>0</v>
      </c>
      <c r="U131" s="82"/>
      <c r="V131" s="82" t="s">
        <v>3399</v>
      </c>
      <c r="W131" s="82" t="s">
        <v>3395</v>
      </c>
      <c r="X131" s="82" t="s">
        <v>3394</v>
      </c>
      <c r="Y131" s="82" t="s">
        <v>3393</v>
      </c>
    </row>
    <row r="132" spans="1:25" ht="10.9" customHeight="1" x14ac:dyDescent="0.2">
      <c r="A132" s="82" t="s">
        <v>2352</v>
      </c>
      <c r="B132" s="82" t="s">
        <v>353</v>
      </c>
      <c r="C132" s="83">
        <v>45691</v>
      </c>
      <c r="D132" s="83">
        <v>45721</v>
      </c>
      <c r="E132" s="83">
        <v>45737</v>
      </c>
      <c r="F132" s="83">
        <v>45740</v>
      </c>
      <c r="G132" s="83">
        <v>45691</v>
      </c>
      <c r="H132" s="82" t="s">
        <v>2115</v>
      </c>
      <c r="I132" s="82" t="s">
        <v>22</v>
      </c>
      <c r="J132" s="84">
        <v>0</v>
      </c>
      <c r="K132" s="85">
        <v>5460.46</v>
      </c>
      <c r="L132" s="85">
        <v>5733.49</v>
      </c>
      <c r="M132" s="85">
        <v>273.02999999999997</v>
      </c>
      <c r="N132" s="85">
        <v>5733.49</v>
      </c>
      <c r="O132" s="85">
        <v>0</v>
      </c>
      <c r="P132" s="85">
        <v>5460.46</v>
      </c>
      <c r="Q132" s="85">
        <v>5733.49</v>
      </c>
      <c r="R132" s="85">
        <v>273.02999999999997</v>
      </c>
      <c r="S132" s="85">
        <v>5733.49</v>
      </c>
      <c r="T132" s="85">
        <v>0</v>
      </c>
      <c r="U132" s="82"/>
      <c r="V132" s="82" t="s">
        <v>3399</v>
      </c>
      <c r="W132" s="82" t="s">
        <v>3395</v>
      </c>
      <c r="X132" s="82" t="s">
        <v>3394</v>
      </c>
      <c r="Y132" s="82" t="s">
        <v>3393</v>
      </c>
    </row>
    <row r="133" spans="1:25" ht="10.9" customHeight="1" x14ac:dyDescent="0.2">
      <c r="A133" s="82" t="s">
        <v>2351</v>
      </c>
      <c r="B133" s="82" t="s">
        <v>353</v>
      </c>
      <c r="C133" s="83">
        <v>45691</v>
      </c>
      <c r="D133" s="83">
        <v>45721</v>
      </c>
      <c r="E133" s="83">
        <v>45737</v>
      </c>
      <c r="F133" s="83">
        <v>45740</v>
      </c>
      <c r="G133" s="83">
        <v>45691</v>
      </c>
      <c r="H133" s="82" t="s">
        <v>2117</v>
      </c>
      <c r="I133" s="82" t="s">
        <v>22</v>
      </c>
      <c r="J133" s="84">
        <v>0</v>
      </c>
      <c r="K133" s="85">
        <v>8614.85</v>
      </c>
      <c r="L133" s="85">
        <v>9045.59</v>
      </c>
      <c r="M133" s="85">
        <v>430.74</v>
      </c>
      <c r="N133" s="85">
        <v>9045.59</v>
      </c>
      <c r="O133" s="85">
        <v>0</v>
      </c>
      <c r="P133" s="85">
        <v>8614.85</v>
      </c>
      <c r="Q133" s="85">
        <v>9045.59</v>
      </c>
      <c r="R133" s="85">
        <v>430.74</v>
      </c>
      <c r="S133" s="85">
        <v>9045.59</v>
      </c>
      <c r="T133" s="85">
        <v>0</v>
      </c>
      <c r="U133" s="82"/>
      <c r="V133" s="82" t="s">
        <v>3399</v>
      </c>
      <c r="W133" s="82" t="s">
        <v>3395</v>
      </c>
      <c r="X133" s="82" t="s">
        <v>3394</v>
      </c>
      <c r="Y133" s="82" t="s">
        <v>3393</v>
      </c>
    </row>
    <row r="134" spans="1:25" ht="10.9" customHeight="1" x14ac:dyDescent="0.2">
      <c r="A134" s="82" t="s">
        <v>2280</v>
      </c>
      <c r="B134" s="82" t="s">
        <v>95</v>
      </c>
      <c r="C134" s="83">
        <v>45691</v>
      </c>
      <c r="D134" s="83">
        <v>45721</v>
      </c>
      <c r="E134" s="83">
        <v>45721</v>
      </c>
      <c r="F134" s="83">
        <v>45721</v>
      </c>
      <c r="G134" s="83">
        <v>45691</v>
      </c>
      <c r="H134" s="82" t="s">
        <v>2248</v>
      </c>
      <c r="I134" s="82" t="s">
        <v>22</v>
      </c>
      <c r="J134" s="84">
        <v>0</v>
      </c>
      <c r="K134" s="85">
        <v>5112.25</v>
      </c>
      <c r="L134" s="85">
        <v>5367.86</v>
      </c>
      <c r="M134" s="85">
        <v>255.61</v>
      </c>
      <c r="N134" s="85">
        <v>5367.86</v>
      </c>
      <c r="O134" s="85">
        <v>0</v>
      </c>
      <c r="P134" s="85">
        <v>5112.25</v>
      </c>
      <c r="Q134" s="85">
        <v>5367.86</v>
      </c>
      <c r="R134" s="85">
        <v>255.61</v>
      </c>
      <c r="S134" s="85">
        <v>5367.86</v>
      </c>
      <c r="T134" s="85">
        <v>0</v>
      </c>
      <c r="U134" s="82"/>
      <c r="V134" s="82" t="s">
        <v>3399</v>
      </c>
      <c r="W134" s="82" t="s">
        <v>3395</v>
      </c>
      <c r="X134" s="82" t="s">
        <v>3394</v>
      </c>
      <c r="Y134" s="82" t="s">
        <v>3393</v>
      </c>
    </row>
    <row r="135" spans="1:25" ht="10.9" customHeight="1" x14ac:dyDescent="0.2">
      <c r="A135" s="82" t="s">
        <v>3685</v>
      </c>
      <c r="B135" s="82" t="s">
        <v>83</v>
      </c>
      <c r="C135" s="83">
        <v>45691</v>
      </c>
      <c r="D135" s="83">
        <v>45721</v>
      </c>
      <c r="E135" s="83">
        <v>45721</v>
      </c>
      <c r="F135" s="83">
        <v>45726</v>
      </c>
      <c r="G135" s="83">
        <v>45691</v>
      </c>
      <c r="H135" s="82" t="s">
        <v>3673</v>
      </c>
      <c r="I135" s="82" t="s">
        <v>22</v>
      </c>
      <c r="J135" s="84">
        <v>0</v>
      </c>
      <c r="K135" s="85">
        <v>3629.89</v>
      </c>
      <c r="L135" s="85">
        <v>4101.7700000000004</v>
      </c>
      <c r="M135" s="85">
        <v>471.88</v>
      </c>
      <c r="N135" s="85">
        <v>4101.7700000000004</v>
      </c>
      <c r="O135" s="85">
        <v>0</v>
      </c>
      <c r="P135" s="85">
        <v>3629.89</v>
      </c>
      <c r="Q135" s="85">
        <v>4101.7700000000004</v>
      </c>
      <c r="R135" s="85">
        <v>471.88</v>
      </c>
      <c r="S135" s="85">
        <v>4101.7700000000004</v>
      </c>
      <c r="T135" s="85">
        <v>0</v>
      </c>
      <c r="U135" s="82"/>
      <c r="V135" s="82" t="s">
        <v>3399</v>
      </c>
      <c r="W135" s="82" t="s">
        <v>3395</v>
      </c>
      <c r="X135" s="82" t="s">
        <v>3394</v>
      </c>
      <c r="Y135" s="82" t="s">
        <v>3393</v>
      </c>
    </row>
    <row r="136" spans="1:25" ht="10.9" customHeight="1" x14ac:dyDescent="0.2">
      <c r="A136" s="82"/>
      <c r="B136" s="82" t="s">
        <v>1852</v>
      </c>
      <c r="C136" s="83">
        <v>45691</v>
      </c>
      <c r="D136" s="83">
        <v>45691</v>
      </c>
      <c r="E136" s="83">
        <v>45691</v>
      </c>
      <c r="F136" s="83">
        <v>45776</v>
      </c>
      <c r="G136" s="83">
        <v>45707</v>
      </c>
      <c r="H136" s="82" t="s">
        <v>2074</v>
      </c>
      <c r="I136" s="82" t="s">
        <v>51</v>
      </c>
      <c r="J136" s="84">
        <v>0.69109900000000002</v>
      </c>
      <c r="K136" s="85">
        <v>-701.8</v>
      </c>
      <c r="L136" s="85">
        <v>-701.8</v>
      </c>
      <c r="M136" s="85">
        <v>0</v>
      </c>
      <c r="N136" s="85">
        <v>-701.8</v>
      </c>
      <c r="O136" s="85">
        <v>0</v>
      </c>
      <c r="P136" s="85">
        <v>-1015.4840334018716</v>
      </c>
      <c r="Q136" s="85">
        <v>-1015.4840334018716</v>
      </c>
      <c r="R136" s="85">
        <v>0</v>
      </c>
      <c r="S136" s="85">
        <v>-1015.484</v>
      </c>
      <c r="T136" s="85">
        <v>0</v>
      </c>
      <c r="U136" s="82"/>
      <c r="V136" s="82" t="s">
        <v>3399</v>
      </c>
      <c r="W136" s="82" t="s">
        <v>3423</v>
      </c>
      <c r="X136" s="82" t="s">
        <v>3397</v>
      </c>
      <c r="Y136" s="82"/>
    </row>
    <row r="137" spans="1:25" ht="10.9" customHeight="1" x14ac:dyDescent="0.2">
      <c r="A137" s="82" t="s">
        <v>2343</v>
      </c>
      <c r="B137" s="82" t="s">
        <v>70</v>
      </c>
      <c r="C137" s="83">
        <v>45692</v>
      </c>
      <c r="D137" s="83">
        <v>45752</v>
      </c>
      <c r="E137" s="83">
        <v>45785</v>
      </c>
      <c r="F137" s="83">
        <v>45792</v>
      </c>
      <c r="G137" s="83">
        <v>45692</v>
      </c>
      <c r="H137" s="82" t="s">
        <v>2131</v>
      </c>
      <c r="I137" s="82" t="s">
        <v>51</v>
      </c>
      <c r="J137" s="84">
        <v>0.69795399999999996</v>
      </c>
      <c r="K137" s="85">
        <v>4730</v>
      </c>
      <c r="L137" s="85">
        <v>4730</v>
      </c>
      <c r="M137" s="85">
        <v>0</v>
      </c>
      <c r="N137" s="85">
        <v>4730</v>
      </c>
      <c r="O137" s="85">
        <v>0</v>
      </c>
      <c r="P137" s="85">
        <v>6776.9509165360469</v>
      </c>
      <c r="Q137" s="85">
        <v>6776.9509165360469</v>
      </c>
      <c r="R137" s="85">
        <v>0</v>
      </c>
      <c r="S137" s="85">
        <v>6596.7937000000002</v>
      </c>
      <c r="T137" s="85">
        <v>0</v>
      </c>
      <c r="U137" s="82"/>
      <c r="V137" s="82" t="s">
        <v>3399</v>
      </c>
      <c r="W137" s="82" t="s">
        <v>3395</v>
      </c>
      <c r="X137" s="82" t="s">
        <v>3394</v>
      </c>
      <c r="Y137" s="82" t="s">
        <v>3393</v>
      </c>
    </row>
    <row r="138" spans="1:25" ht="10.9" customHeight="1" x14ac:dyDescent="0.2">
      <c r="A138" s="82" t="s">
        <v>2365</v>
      </c>
      <c r="B138" s="82" t="s">
        <v>70</v>
      </c>
      <c r="C138" s="83">
        <v>45692</v>
      </c>
      <c r="D138" s="83">
        <v>45752</v>
      </c>
      <c r="E138" s="83">
        <v>45785</v>
      </c>
      <c r="F138" s="83">
        <v>45792</v>
      </c>
      <c r="G138" s="83">
        <v>45692</v>
      </c>
      <c r="H138" s="82" t="s">
        <v>2093</v>
      </c>
      <c r="I138" s="82" t="s">
        <v>51</v>
      </c>
      <c r="J138" s="84">
        <v>0.69795399999999996</v>
      </c>
      <c r="K138" s="85">
        <v>3584</v>
      </c>
      <c r="L138" s="85">
        <v>3584</v>
      </c>
      <c r="M138" s="85">
        <v>0</v>
      </c>
      <c r="N138" s="85">
        <v>3584</v>
      </c>
      <c r="O138" s="85">
        <v>0</v>
      </c>
      <c r="P138" s="85">
        <v>5135.0088974345017</v>
      </c>
      <c r="Q138" s="85">
        <v>5135.0088974345017</v>
      </c>
      <c r="R138" s="85">
        <v>0</v>
      </c>
      <c r="S138" s="85">
        <v>4998.5006999999996</v>
      </c>
      <c r="T138" s="85">
        <v>0</v>
      </c>
      <c r="U138" s="82"/>
      <c r="V138" s="82" t="s">
        <v>3399</v>
      </c>
      <c r="W138" s="82" t="s">
        <v>3395</v>
      </c>
      <c r="X138" s="82" t="s">
        <v>3394</v>
      </c>
      <c r="Y138" s="82" t="s">
        <v>3393</v>
      </c>
    </row>
    <row r="139" spans="1:25" ht="10.9" customHeight="1" x14ac:dyDescent="0.2">
      <c r="A139" s="82" t="s">
        <v>3684</v>
      </c>
      <c r="B139" s="82" t="s">
        <v>3683</v>
      </c>
      <c r="C139" s="83">
        <v>45693</v>
      </c>
      <c r="D139" s="83">
        <v>45753</v>
      </c>
      <c r="E139" s="83">
        <v>45785</v>
      </c>
      <c r="F139" s="83">
        <v>45792</v>
      </c>
      <c r="G139" s="83">
        <v>45693</v>
      </c>
      <c r="H139" s="82" t="s">
        <v>3682</v>
      </c>
      <c r="I139" s="82" t="s">
        <v>51</v>
      </c>
      <c r="J139" s="84">
        <v>0.69765200000000005</v>
      </c>
      <c r="K139" s="85">
        <v>9699</v>
      </c>
      <c r="L139" s="85">
        <v>9699</v>
      </c>
      <c r="M139" s="85">
        <v>0</v>
      </c>
      <c r="N139" s="85">
        <v>9699</v>
      </c>
      <c r="O139" s="85">
        <v>0</v>
      </c>
      <c r="P139" s="85">
        <v>13902.34672874155</v>
      </c>
      <c r="Q139" s="85">
        <v>13902.34672874155</v>
      </c>
      <c r="R139" s="85">
        <v>0</v>
      </c>
      <c r="S139" s="85">
        <v>13526.9138</v>
      </c>
      <c r="T139" s="85">
        <v>0</v>
      </c>
      <c r="U139" s="82"/>
      <c r="V139" s="82" t="s">
        <v>3399</v>
      </c>
      <c r="W139" s="82" t="s">
        <v>3395</v>
      </c>
      <c r="X139" s="82" t="s">
        <v>3394</v>
      </c>
      <c r="Y139" s="82" t="s">
        <v>3393</v>
      </c>
    </row>
    <row r="140" spans="1:25" ht="10.9" customHeight="1" x14ac:dyDescent="0.2">
      <c r="A140" s="82" t="s">
        <v>2354</v>
      </c>
      <c r="B140" s="82" t="s">
        <v>3424</v>
      </c>
      <c r="C140" s="83">
        <v>45693</v>
      </c>
      <c r="D140" s="83">
        <v>45693</v>
      </c>
      <c r="E140" s="83">
        <v>45693</v>
      </c>
      <c r="F140" s="83">
        <v>45688</v>
      </c>
      <c r="G140" s="83">
        <v>45693</v>
      </c>
      <c r="H140" s="82" t="s">
        <v>2111</v>
      </c>
      <c r="I140" s="82" t="s">
        <v>51</v>
      </c>
      <c r="J140" s="84">
        <v>0.69765200000000005</v>
      </c>
      <c r="K140" s="85">
        <v>3330.81</v>
      </c>
      <c r="L140" s="85">
        <v>3330.81</v>
      </c>
      <c r="M140" s="85">
        <v>0</v>
      </c>
      <c r="N140" s="85">
        <v>3330.81</v>
      </c>
      <c r="O140" s="85">
        <v>0</v>
      </c>
      <c r="P140" s="85">
        <v>4774.3144146365239</v>
      </c>
      <c r="Q140" s="85">
        <v>4774.3144146365239</v>
      </c>
      <c r="R140" s="85">
        <v>0</v>
      </c>
      <c r="S140" s="85">
        <v>4843.9971999999998</v>
      </c>
      <c r="T140" s="85">
        <v>0</v>
      </c>
      <c r="U140" s="82"/>
      <c r="V140" s="82" t="s">
        <v>3399</v>
      </c>
      <c r="W140" s="82" t="s">
        <v>3395</v>
      </c>
      <c r="X140" s="82" t="s">
        <v>3394</v>
      </c>
      <c r="Y140" s="82" t="s">
        <v>3393</v>
      </c>
    </row>
    <row r="141" spans="1:25" ht="10.9" customHeight="1" x14ac:dyDescent="0.2">
      <c r="A141" s="82" t="s">
        <v>2387</v>
      </c>
      <c r="B141" s="82" t="s">
        <v>465</v>
      </c>
      <c r="C141" s="83">
        <v>45693</v>
      </c>
      <c r="D141" s="83">
        <v>45723</v>
      </c>
      <c r="E141" s="83">
        <v>45737</v>
      </c>
      <c r="F141" s="83">
        <v>45726</v>
      </c>
      <c r="G141" s="83">
        <v>45693</v>
      </c>
      <c r="H141" s="82" t="s">
        <v>2063</v>
      </c>
      <c r="I141" s="82" t="s">
        <v>22</v>
      </c>
      <c r="J141" s="84">
        <v>0</v>
      </c>
      <c r="K141" s="85">
        <v>447.11</v>
      </c>
      <c r="L141" s="85">
        <v>505.23</v>
      </c>
      <c r="M141" s="85">
        <v>58.12</v>
      </c>
      <c r="N141" s="85">
        <v>505.23</v>
      </c>
      <c r="O141" s="85">
        <v>0</v>
      </c>
      <c r="P141" s="85">
        <v>447.11</v>
      </c>
      <c r="Q141" s="85">
        <v>505.23</v>
      </c>
      <c r="R141" s="85">
        <v>58.12</v>
      </c>
      <c r="S141" s="85">
        <v>505.23</v>
      </c>
      <c r="T141" s="85">
        <v>0</v>
      </c>
      <c r="U141" s="82"/>
      <c r="V141" s="82" t="s">
        <v>3399</v>
      </c>
      <c r="W141" s="82" t="s">
        <v>3395</v>
      </c>
      <c r="X141" s="82" t="s">
        <v>3394</v>
      </c>
      <c r="Y141" s="82" t="s">
        <v>3393</v>
      </c>
    </row>
    <row r="142" spans="1:25" ht="10.9" customHeight="1" x14ac:dyDescent="0.2">
      <c r="A142" s="82" t="s">
        <v>2379</v>
      </c>
      <c r="B142" s="82" t="s">
        <v>644</v>
      </c>
      <c r="C142" s="83">
        <v>45694</v>
      </c>
      <c r="D142" s="83">
        <v>45724</v>
      </c>
      <c r="E142" s="83">
        <v>45743</v>
      </c>
      <c r="F142" s="83">
        <v>45754</v>
      </c>
      <c r="G142" s="83">
        <v>45694</v>
      </c>
      <c r="H142" s="82" t="s">
        <v>2069</v>
      </c>
      <c r="I142" s="82" t="s">
        <v>51</v>
      </c>
      <c r="J142" s="84">
        <v>0.69845100000000004</v>
      </c>
      <c r="K142" s="85">
        <v>3458.61</v>
      </c>
      <c r="L142" s="85">
        <v>3458.61</v>
      </c>
      <c r="M142" s="85">
        <v>0</v>
      </c>
      <c r="N142" s="85">
        <v>3458.61</v>
      </c>
      <c r="O142" s="85">
        <v>0</v>
      </c>
      <c r="P142" s="85">
        <v>4951.8291190076325</v>
      </c>
      <c r="Q142" s="85">
        <v>4951.8291190076325</v>
      </c>
      <c r="R142" s="85">
        <v>0</v>
      </c>
      <c r="S142" s="85">
        <v>4920.3536000000004</v>
      </c>
      <c r="T142" s="85">
        <v>0</v>
      </c>
      <c r="U142" s="82"/>
      <c r="V142" s="82" t="s">
        <v>3399</v>
      </c>
      <c r="W142" s="82" t="s">
        <v>3395</v>
      </c>
      <c r="X142" s="82" t="s">
        <v>3394</v>
      </c>
      <c r="Y142" s="82" t="s">
        <v>3393</v>
      </c>
    </row>
    <row r="143" spans="1:25" ht="10.9" customHeight="1" x14ac:dyDescent="0.2">
      <c r="A143" s="82" t="s">
        <v>2388</v>
      </c>
      <c r="B143" s="82" t="s">
        <v>644</v>
      </c>
      <c r="C143" s="83">
        <v>45694</v>
      </c>
      <c r="D143" s="83">
        <v>45724</v>
      </c>
      <c r="E143" s="83">
        <v>45743</v>
      </c>
      <c r="F143" s="83">
        <v>45754</v>
      </c>
      <c r="G143" s="83">
        <v>45694</v>
      </c>
      <c r="H143" s="82" t="s">
        <v>2061</v>
      </c>
      <c r="I143" s="82" t="s">
        <v>51</v>
      </c>
      <c r="J143" s="84">
        <v>0.69845100000000004</v>
      </c>
      <c r="K143" s="85">
        <v>1023.3</v>
      </c>
      <c r="L143" s="85">
        <v>1023.3</v>
      </c>
      <c r="M143" s="85">
        <v>0</v>
      </c>
      <c r="N143" s="85">
        <v>1023.3</v>
      </c>
      <c r="O143" s="85">
        <v>0</v>
      </c>
      <c r="P143" s="85">
        <v>1465.0991980826143</v>
      </c>
      <c r="Q143" s="85">
        <v>1465.0991980826143</v>
      </c>
      <c r="R143" s="85">
        <v>0</v>
      </c>
      <c r="S143" s="85">
        <v>1455.7864999999999</v>
      </c>
      <c r="T143" s="85">
        <v>0</v>
      </c>
      <c r="U143" s="82"/>
      <c r="V143" s="82" t="s">
        <v>3399</v>
      </c>
      <c r="W143" s="82" t="s">
        <v>3395</v>
      </c>
      <c r="X143" s="82" t="s">
        <v>3394</v>
      </c>
      <c r="Y143" s="82" t="s">
        <v>3393</v>
      </c>
    </row>
    <row r="144" spans="1:25" ht="10.9" customHeight="1" x14ac:dyDescent="0.2">
      <c r="A144" s="82" t="s">
        <v>3681</v>
      </c>
      <c r="B144" s="82" t="s">
        <v>714</v>
      </c>
      <c r="C144" s="83">
        <v>45694</v>
      </c>
      <c r="D144" s="83">
        <v>45724</v>
      </c>
      <c r="E144" s="83">
        <v>45744</v>
      </c>
      <c r="F144" s="83">
        <v>45735</v>
      </c>
      <c r="G144" s="83">
        <v>45699</v>
      </c>
      <c r="H144" s="82" t="s">
        <v>3601</v>
      </c>
      <c r="I144" s="82" t="s">
        <v>51</v>
      </c>
      <c r="J144" s="84">
        <v>0.69845100000000004</v>
      </c>
      <c r="K144" s="85">
        <v>28719</v>
      </c>
      <c r="L144" s="85">
        <v>28719</v>
      </c>
      <c r="M144" s="85">
        <v>0</v>
      </c>
      <c r="N144" s="85">
        <v>28719</v>
      </c>
      <c r="O144" s="85">
        <v>0</v>
      </c>
      <c r="P144" s="85">
        <v>41118.131407929832</v>
      </c>
      <c r="Q144" s="85">
        <v>41118.131407929832</v>
      </c>
      <c r="R144" s="85">
        <v>0</v>
      </c>
      <c r="S144" s="85">
        <v>41141.987800000003</v>
      </c>
      <c r="T144" s="85">
        <v>0</v>
      </c>
      <c r="U144" s="82"/>
      <c r="V144" s="82" t="s">
        <v>3399</v>
      </c>
      <c r="W144" s="82" t="s">
        <v>3395</v>
      </c>
      <c r="X144" s="82" t="s">
        <v>3394</v>
      </c>
      <c r="Y144" s="82" t="s">
        <v>3393</v>
      </c>
    </row>
    <row r="145" spans="1:25" ht="10.9" customHeight="1" x14ac:dyDescent="0.2">
      <c r="A145" s="82" t="s">
        <v>3680</v>
      </c>
      <c r="B145" s="82" t="s">
        <v>89</v>
      </c>
      <c r="C145" s="83">
        <v>45695</v>
      </c>
      <c r="D145" s="83">
        <v>45725</v>
      </c>
      <c r="E145" s="83">
        <v>45744</v>
      </c>
      <c r="F145" s="83">
        <v>45736</v>
      </c>
      <c r="G145" s="83">
        <v>45695</v>
      </c>
      <c r="H145" s="82" t="s">
        <v>3679</v>
      </c>
      <c r="I145" s="82" t="s">
        <v>22</v>
      </c>
      <c r="J145" s="84">
        <v>0</v>
      </c>
      <c r="K145" s="85">
        <v>342.09</v>
      </c>
      <c r="L145" s="85">
        <v>359.19</v>
      </c>
      <c r="M145" s="85">
        <v>17.100000000000001</v>
      </c>
      <c r="N145" s="85">
        <v>359.19</v>
      </c>
      <c r="O145" s="85">
        <v>0</v>
      </c>
      <c r="P145" s="85">
        <v>342.09</v>
      </c>
      <c r="Q145" s="85">
        <v>359.19</v>
      </c>
      <c r="R145" s="85">
        <v>17.100000000000001</v>
      </c>
      <c r="S145" s="85">
        <v>359.19</v>
      </c>
      <c r="T145" s="85">
        <v>0</v>
      </c>
      <c r="U145" s="82"/>
      <c r="V145" s="82" t="s">
        <v>3399</v>
      </c>
      <c r="W145" s="82" t="s">
        <v>3395</v>
      </c>
      <c r="X145" s="82" t="s">
        <v>3394</v>
      </c>
      <c r="Y145" s="82" t="s">
        <v>3393</v>
      </c>
    </row>
    <row r="146" spans="1:25" ht="10.9" customHeight="1" x14ac:dyDescent="0.2">
      <c r="A146" s="82" t="s">
        <v>2394</v>
      </c>
      <c r="B146" s="82" t="s">
        <v>242</v>
      </c>
      <c r="C146" s="83">
        <v>45695</v>
      </c>
      <c r="D146" s="83">
        <v>45725</v>
      </c>
      <c r="E146" s="83">
        <v>45725</v>
      </c>
      <c r="F146" s="83">
        <v>45728</v>
      </c>
      <c r="G146" s="83">
        <v>45695</v>
      </c>
      <c r="H146" s="82" t="s">
        <v>2051</v>
      </c>
      <c r="I146" s="82" t="s">
        <v>22</v>
      </c>
      <c r="J146" s="84">
        <v>0</v>
      </c>
      <c r="K146" s="85">
        <v>711.25</v>
      </c>
      <c r="L146" s="85">
        <v>746.81</v>
      </c>
      <c r="M146" s="85">
        <v>35.56</v>
      </c>
      <c r="N146" s="85">
        <v>746.81</v>
      </c>
      <c r="O146" s="85">
        <v>0</v>
      </c>
      <c r="P146" s="85">
        <v>711.25</v>
      </c>
      <c r="Q146" s="85">
        <v>746.81</v>
      </c>
      <c r="R146" s="85">
        <v>35.56</v>
      </c>
      <c r="S146" s="85">
        <v>746.81</v>
      </c>
      <c r="T146" s="85">
        <v>0</v>
      </c>
      <c r="U146" s="82"/>
      <c r="V146" s="82" t="s">
        <v>3399</v>
      </c>
      <c r="W146" s="82" t="s">
        <v>3395</v>
      </c>
      <c r="X146" s="82" t="s">
        <v>3394</v>
      </c>
      <c r="Y146" s="82" t="s">
        <v>3393</v>
      </c>
    </row>
    <row r="147" spans="1:25" ht="10.9" customHeight="1" x14ac:dyDescent="0.2">
      <c r="A147" s="82" t="s">
        <v>3678</v>
      </c>
      <c r="B147" s="82" t="s">
        <v>129</v>
      </c>
      <c r="C147" s="83">
        <v>45698</v>
      </c>
      <c r="D147" s="83">
        <v>45758</v>
      </c>
      <c r="E147" s="83">
        <v>45758</v>
      </c>
      <c r="F147" s="82"/>
      <c r="G147" s="83">
        <v>45698</v>
      </c>
      <c r="H147" s="82" t="s">
        <v>3677</v>
      </c>
      <c r="I147" s="82" t="s">
        <v>51</v>
      </c>
      <c r="J147" s="84">
        <v>0.69755400000000001</v>
      </c>
      <c r="K147" s="85">
        <v>32540</v>
      </c>
      <c r="L147" s="85">
        <v>32540</v>
      </c>
      <c r="M147" s="85">
        <v>0</v>
      </c>
      <c r="N147" s="85">
        <v>0</v>
      </c>
      <c r="O147" s="85">
        <v>32540</v>
      </c>
      <c r="P147" s="85">
        <v>46648.718235434106</v>
      </c>
      <c r="Q147" s="85">
        <v>46648.718235434106</v>
      </c>
      <c r="R147" s="85">
        <v>0</v>
      </c>
      <c r="S147" s="85">
        <v>0</v>
      </c>
      <c r="T147" s="85">
        <v>44658.54</v>
      </c>
      <c r="U147" s="82" t="s">
        <v>3401</v>
      </c>
      <c r="V147" s="82" t="s">
        <v>3396</v>
      </c>
      <c r="W147" s="82" t="s">
        <v>3395</v>
      </c>
      <c r="X147" s="82" t="s">
        <v>3394</v>
      </c>
      <c r="Y147" s="82" t="s">
        <v>3393</v>
      </c>
    </row>
    <row r="148" spans="1:25" ht="10.9" customHeight="1" x14ac:dyDescent="0.2">
      <c r="A148" s="82" t="s">
        <v>3676</v>
      </c>
      <c r="B148" s="82" t="s">
        <v>3459</v>
      </c>
      <c r="C148" s="83">
        <v>45699</v>
      </c>
      <c r="D148" s="83">
        <v>45699</v>
      </c>
      <c r="E148" s="83">
        <v>45699</v>
      </c>
      <c r="F148" s="83">
        <v>45699</v>
      </c>
      <c r="G148" s="83">
        <v>45699</v>
      </c>
      <c r="H148" s="82" t="s">
        <v>3675</v>
      </c>
      <c r="I148" s="82" t="s">
        <v>51</v>
      </c>
      <c r="J148" s="84">
        <v>0.69957999999999998</v>
      </c>
      <c r="K148" s="85">
        <v>4139.7</v>
      </c>
      <c r="L148" s="85">
        <v>4139.7</v>
      </c>
      <c r="M148" s="85">
        <v>0</v>
      </c>
      <c r="N148" s="85">
        <v>4139.7</v>
      </c>
      <c r="O148" s="85">
        <v>0</v>
      </c>
      <c r="P148" s="85">
        <v>5917.4075874095888</v>
      </c>
      <c r="Q148" s="85">
        <v>5917.4075874095888</v>
      </c>
      <c r="R148" s="85">
        <v>0</v>
      </c>
      <c r="S148" s="85">
        <v>5828.3634000000002</v>
      </c>
      <c r="T148" s="85">
        <v>0</v>
      </c>
      <c r="U148" s="82"/>
      <c r="V148" s="82" t="s">
        <v>3399</v>
      </c>
      <c r="W148" s="82" t="s">
        <v>3395</v>
      </c>
      <c r="X148" s="82" t="s">
        <v>3397</v>
      </c>
      <c r="Y148" s="82" t="s">
        <v>3393</v>
      </c>
    </row>
    <row r="149" spans="1:25" ht="10.9" customHeight="1" x14ac:dyDescent="0.2">
      <c r="A149" s="82" t="s">
        <v>2321</v>
      </c>
      <c r="B149" s="82" t="s">
        <v>689</v>
      </c>
      <c r="C149" s="83">
        <v>45699</v>
      </c>
      <c r="D149" s="83">
        <v>45729</v>
      </c>
      <c r="E149" s="83">
        <v>45737</v>
      </c>
      <c r="F149" s="83">
        <v>45735</v>
      </c>
      <c r="G149" s="83">
        <v>45699</v>
      </c>
      <c r="H149" s="82" t="s">
        <v>2170</v>
      </c>
      <c r="I149" s="82" t="s">
        <v>22</v>
      </c>
      <c r="J149" s="84">
        <v>0</v>
      </c>
      <c r="K149" s="85">
        <v>1498.47</v>
      </c>
      <c r="L149" s="85">
        <v>1693.27</v>
      </c>
      <c r="M149" s="85">
        <v>194.8</v>
      </c>
      <c r="N149" s="85">
        <v>1693.27</v>
      </c>
      <c r="O149" s="85">
        <v>0</v>
      </c>
      <c r="P149" s="85">
        <v>1498.47</v>
      </c>
      <c r="Q149" s="85">
        <v>1693.27</v>
      </c>
      <c r="R149" s="85">
        <v>194.8</v>
      </c>
      <c r="S149" s="85">
        <v>1693.27</v>
      </c>
      <c r="T149" s="85">
        <v>0</v>
      </c>
      <c r="U149" s="82"/>
      <c r="V149" s="82" t="s">
        <v>3399</v>
      </c>
      <c r="W149" s="82" t="s">
        <v>3395</v>
      </c>
      <c r="X149" s="82" t="s">
        <v>3394</v>
      </c>
      <c r="Y149" s="82" t="s">
        <v>3393</v>
      </c>
    </row>
    <row r="150" spans="1:25" ht="10.9" customHeight="1" x14ac:dyDescent="0.2">
      <c r="A150" s="82" t="s">
        <v>2398</v>
      </c>
      <c r="B150" s="82" t="s">
        <v>20</v>
      </c>
      <c r="C150" s="83">
        <v>45700</v>
      </c>
      <c r="D150" s="83">
        <v>45760</v>
      </c>
      <c r="E150" s="83">
        <v>45761</v>
      </c>
      <c r="F150" s="83">
        <v>45758</v>
      </c>
      <c r="G150" s="83">
        <v>45700</v>
      </c>
      <c r="H150" s="82" t="s">
        <v>2043</v>
      </c>
      <c r="I150" s="82" t="s">
        <v>22</v>
      </c>
      <c r="J150" s="84">
        <v>0</v>
      </c>
      <c r="K150" s="85">
        <v>301.76</v>
      </c>
      <c r="L150" s="85">
        <v>316.85000000000002</v>
      </c>
      <c r="M150" s="85">
        <v>15.09</v>
      </c>
      <c r="N150" s="85">
        <v>316.85000000000002</v>
      </c>
      <c r="O150" s="85">
        <v>0</v>
      </c>
      <c r="P150" s="85">
        <v>301.76</v>
      </c>
      <c r="Q150" s="85">
        <v>316.85000000000002</v>
      </c>
      <c r="R150" s="85">
        <v>15.09</v>
      </c>
      <c r="S150" s="85">
        <v>316.85000000000002</v>
      </c>
      <c r="T150" s="85">
        <v>0</v>
      </c>
      <c r="U150" s="82"/>
      <c r="V150" s="82" t="s">
        <v>3399</v>
      </c>
      <c r="W150" s="82" t="s">
        <v>3395</v>
      </c>
      <c r="X150" s="82" t="s">
        <v>3394</v>
      </c>
      <c r="Y150" s="82" t="s">
        <v>3393</v>
      </c>
    </row>
    <row r="151" spans="1:25" ht="10.9" customHeight="1" x14ac:dyDescent="0.2">
      <c r="A151" s="82" t="s">
        <v>2400</v>
      </c>
      <c r="B151" s="82" t="s">
        <v>20</v>
      </c>
      <c r="C151" s="83">
        <v>45700</v>
      </c>
      <c r="D151" s="83">
        <v>45760</v>
      </c>
      <c r="E151" s="83">
        <v>45761</v>
      </c>
      <c r="F151" s="83">
        <v>45758</v>
      </c>
      <c r="G151" s="83">
        <v>45700</v>
      </c>
      <c r="H151" s="82" t="s">
        <v>2039</v>
      </c>
      <c r="I151" s="82" t="s">
        <v>22</v>
      </c>
      <c r="J151" s="84">
        <v>0</v>
      </c>
      <c r="K151" s="85">
        <v>4141.92</v>
      </c>
      <c r="L151" s="85">
        <v>4349.0200000000004</v>
      </c>
      <c r="M151" s="85">
        <v>207.1</v>
      </c>
      <c r="N151" s="85">
        <v>4349.0200000000004</v>
      </c>
      <c r="O151" s="85">
        <v>0</v>
      </c>
      <c r="P151" s="85">
        <v>4141.92</v>
      </c>
      <c r="Q151" s="85">
        <v>4349.0200000000004</v>
      </c>
      <c r="R151" s="85">
        <v>207.1</v>
      </c>
      <c r="S151" s="85">
        <v>4349.0200000000004</v>
      </c>
      <c r="T151" s="85">
        <v>0</v>
      </c>
      <c r="U151" s="82"/>
      <c r="V151" s="82" t="s">
        <v>3399</v>
      </c>
      <c r="W151" s="82" t="s">
        <v>3395</v>
      </c>
      <c r="X151" s="82" t="s">
        <v>3394</v>
      </c>
      <c r="Y151" s="82" t="s">
        <v>3393</v>
      </c>
    </row>
    <row r="152" spans="1:25" ht="10.9" customHeight="1" x14ac:dyDescent="0.2">
      <c r="A152" s="82" t="s">
        <v>2358</v>
      </c>
      <c r="B152" s="82" t="s">
        <v>77</v>
      </c>
      <c r="C152" s="83">
        <v>45700</v>
      </c>
      <c r="D152" s="83">
        <v>45730</v>
      </c>
      <c r="E152" s="83">
        <v>45730</v>
      </c>
      <c r="F152" s="83">
        <v>45729</v>
      </c>
      <c r="G152" s="83">
        <v>45700</v>
      </c>
      <c r="H152" s="82" t="s">
        <v>2105</v>
      </c>
      <c r="I152" s="82" t="s">
        <v>22</v>
      </c>
      <c r="J152" s="84">
        <v>0</v>
      </c>
      <c r="K152" s="85">
        <v>2041.05</v>
      </c>
      <c r="L152" s="85">
        <v>2143.1</v>
      </c>
      <c r="M152" s="85">
        <v>102.05</v>
      </c>
      <c r="N152" s="85">
        <v>2143.1</v>
      </c>
      <c r="O152" s="85">
        <v>0</v>
      </c>
      <c r="P152" s="85">
        <v>2041.05</v>
      </c>
      <c r="Q152" s="85">
        <v>2143.1</v>
      </c>
      <c r="R152" s="85">
        <v>102.05</v>
      </c>
      <c r="S152" s="85">
        <v>2143.1</v>
      </c>
      <c r="T152" s="85">
        <v>0</v>
      </c>
      <c r="U152" s="82"/>
      <c r="V152" s="82" t="s">
        <v>3399</v>
      </c>
      <c r="W152" s="82" t="s">
        <v>3395</v>
      </c>
      <c r="X152" s="82" t="s">
        <v>3394</v>
      </c>
      <c r="Y152" s="82" t="s">
        <v>3393</v>
      </c>
    </row>
    <row r="153" spans="1:25" ht="10.9" customHeight="1" x14ac:dyDescent="0.2">
      <c r="A153" s="82" t="s">
        <v>2378</v>
      </c>
      <c r="B153" s="82" t="s">
        <v>77</v>
      </c>
      <c r="C153" s="83">
        <v>45700</v>
      </c>
      <c r="D153" s="83">
        <v>45730</v>
      </c>
      <c r="E153" s="83">
        <v>45730</v>
      </c>
      <c r="F153" s="83">
        <v>45729</v>
      </c>
      <c r="G153" s="83">
        <v>45700</v>
      </c>
      <c r="H153" s="82" t="s">
        <v>2071</v>
      </c>
      <c r="I153" s="82" t="s">
        <v>22</v>
      </c>
      <c r="J153" s="84">
        <v>0</v>
      </c>
      <c r="K153" s="85">
        <v>158.34</v>
      </c>
      <c r="L153" s="85">
        <v>166.25</v>
      </c>
      <c r="M153" s="85">
        <v>7.91</v>
      </c>
      <c r="N153" s="85">
        <v>166.25</v>
      </c>
      <c r="O153" s="85">
        <v>0</v>
      </c>
      <c r="P153" s="85">
        <v>158.34</v>
      </c>
      <c r="Q153" s="85">
        <v>166.25</v>
      </c>
      <c r="R153" s="85">
        <v>7.91</v>
      </c>
      <c r="S153" s="85">
        <v>166.25</v>
      </c>
      <c r="T153" s="85">
        <v>0</v>
      </c>
      <c r="U153" s="82"/>
      <c r="V153" s="82" t="s">
        <v>3399</v>
      </c>
      <c r="W153" s="82" t="s">
        <v>3395</v>
      </c>
      <c r="X153" s="82" t="s">
        <v>3394</v>
      </c>
      <c r="Y153" s="82" t="s">
        <v>3393</v>
      </c>
    </row>
    <row r="154" spans="1:25" ht="10.9" customHeight="1" x14ac:dyDescent="0.2">
      <c r="A154" s="82" t="s">
        <v>2409</v>
      </c>
      <c r="B154" s="82" t="s">
        <v>146</v>
      </c>
      <c r="C154" s="83">
        <v>45700</v>
      </c>
      <c r="D154" s="83">
        <v>45730</v>
      </c>
      <c r="E154" s="83">
        <v>45744</v>
      </c>
      <c r="F154" s="83">
        <v>45751</v>
      </c>
      <c r="G154" s="83">
        <v>45700</v>
      </c>
      <c r="H154" s="82" t="s">
        <v>2026</v>
      </c>
      <c r="I154" s="82" t="s">
        <v>22</v>
      </c>
      <c r="J154" s="84">
        <v>0</v>
      </c>
      <c r="K154" s="85">
        <v>3998.78</v>
      </c>
      <c r="L154" s="85">
        <v>4198.72</v>
      </c>
      <c r="M154" s="85">
        <v>199.94</v>
      </c>
      <c r="N154" s="85">
        <v>4198.72</v>
      </c>
      <c r="O154" s="85">
        <v>0</v>
      </c>
      <c r="P154" s="85">
        <v>3998.78</v>
      </c>
      <c r="Q154" s="85">
        <v>4198.72</v>
      </c>
      <c r="R154" s="85">
        <v>199.94</v>
      </c>
      <c r="S154" s="85">
        <v>4198.72</v>
      </c>
      <c r="T154" s="85">
        <v>0</v>
      </c>
      <c r="U154" s="82"/>
      <c r="V154" s="82" t="s">
        <v>3399</v>
      </c>
      <c r="W154" s="82" t="s">
        <v>3395</v>
      </c>
      <c r="X154" s="82" t="s">
        <v>3394</v>
      </c>
      <c r="Y154" s="82" t="s">
        <v>3393</v>
      </c>
    </row>
    <row r="155" spans="1:25" ht="10.9" customHeight="1" x14ac:dyDescent="0.2">
      <c r="A155" s="82" t="s">
        <v>2386</v>
      </c>
      <c r="B155" s="82" t="s">
        <v>714</v>
      </c>
      <c r="C155" s="83">
        <v>45702</v>
      </c>
      <c r="D155" s="83">
        <v>45732</v>
      </c>
      <c r="E155" s="83">
        <v>45737</v>
      </c>
      <c r="F155" s="83">
        <v>45735</v>
      </c>
      <c r="G155" s="83">
        <v>45702</v>
      </c>
      <c r="H155" s="82" t="s">
        <v>2065</v>
      </c>
      <c r="I155" s="82" t="s">
        <v>51</v>
      </c>
      <c r="J155" s="84">
        <v>0.70497500000000002</v>
      </c>
      <c r="K155" s="85">
        <v>16104.77</v>
      </c>
      <c r="L155" s="85">
        <v>16104.77</v>
      </c>
      <c r="M155" s="85">
        <v>0</v>
      </c>
      <c r="N155" s="85">
        <v>16104.77</v>
      </c>
      <c r="O155" s="85">
        <v>0</v>
      </c>
      <c r="P155" s="85">
        <v>22844.45547714458</v>
      </c>
      <c r="Q155" s="85">
        <v>22844.45547714458</v>
      </c>
      <c r="R155" s="85">
        <v>0</v>
      </c>
      <c r="S155" s="85">
        <v>23071.215899999999</v>
      </c>
      <c r="T155" s="85">
        <v>0</v>
      </c>
      <c r="U155" s="82"/>
      <c r="V155" s="82" t="s">
        <v>3399</v>
      </c>
      <c r="W155" s="82" t="s">
        <v>3395</v>
      </c>
      <c r="X155" s="82" t="s">
        <v>3394</v>
      </c>
      <c r="Y155" s="82" t="s">
        <v>3393</v>
      </c>
    </row>
    <row r="156" spans="1:25" ht="10.9" customHeight="1" x14ac:dyDescent="0.2">
      <c r="A156" s="82" t="s">
        <v>2407</v>
      </c>
      <c r="B156" s="82" t="s">
        <v>2031</v>
      </c>
      <c r="C156" s="83">
        <v>45702</v>
      </c>
      <c r="D156" s="83">
        <v>45762</v>
      </c>
      <c r="E156" s="83">
        <v>45799</v>
      </c>
      <c r="F156" s="83">
        <v>45807</v>
      </c>
      <c r="G156" s="83">
        <v>45702</v>
      </c>
      <c r="H156" s="82" t="s">
        <v>2030</v>
      </c>
      <c r="I156" s="82" t="s">
        <v>51</v>
      </c>
      <c r="J156" s="84">
        <v>0.70594999999999997</v>
      </c>
      <c r="K156" s="85">
        <v>7041</v>
      </c>
      <c r="L156" s="85">
        <v>7041</v>
      </c>
      <c r="M156" s="85">
        <v>0</v>
      </c>
      <c r="N156" s="85">
        <v>7041</v>
      </c>
      <c r="O156" s="85">
        <v>0</v>
      </c>
      <c r="P156" s="85">
        <v>9973.7941780579367</v>
      </c>
      <c r="Q156" s="85">
        <v>9973.7941780579367</v>
      </c>
      <c r="R156" s="85">
        <v>0</v>
      </c>
      <c r="S156" s="85">
        <v>9658.7674000000006</v>
      </c>
      <c r="T156" s="85">
        <v>0</v>
      </c>
      <c r="U156" s="82"/>
      <c r="V156" s="82" t="s">
        <v>3399</v>
      </c>
      <c r="W156" s="82" t="s">
        <v>3395</v>
      </c>
      <c r="X156" s="82" t="s">
        <v>3394</v>
      </c>
      <c r="Y156" s="82" t="s">
        <v>3393</v>
      </c>
    </row>
    <row r="157" spans="1:25" ht="10.9" customHeight="1" x14ac:dyDescent="0.2">
      <c r="A157" s="82" t="s">
        <v>2350</v>
      </c>
      <c r="B157" s="82" t="s">
        <v>353</v>
      </c>
      <c r="C157" s="83">
        <v>45702</v>
      </c>
      <c r="D157" s="83">
        <v>45732</v>
      </c>
      <c r="E157" s="83">
        <v>45744</v>
      </c>
      <c r="F157" s="83">
        <v>45740</v>
      </c>
      <c r="G157" s="83">
        <v>45702</v>
      </c>
      <c r="H157" s="82" t="s">
        <v>2117</v>
      </c>
      <c r="I157" s="82" t="s">
        <v>22</v>
      </c>
      <c r="J157" s="84">
        <v>0</v>
      </c>
      <c r="K157" s="85">
        <v>885.98</v>
      </c>
      <c r="L157" s="85">
        <v>930.28</v>
      </c>
      <c r="M157" s="85">
        <v>44.3</v>
      </c>
      <c r="N157" s="85">
        <v>930.28</v>
      </c>
      <c r="O157" s="85">
        <v>0</v>
      </c>
      <c r="P157" s="85">
        <v>885.98</v>
      </c>
      <c r="Q157" s="85">
        <v>930.28</v>
      </c>
      <c r="R157" s="85">
        <v>44.3</v>
      </c>
      <c r="S157" s="85">
        <v>930.28</v>
      </c>
      <c r="T157" s="85">
        <v>0</v>
      </c>
      <c r="U157" s="82"/>
      <c r="V157" s="82" t="s">
        <v>3399</v>
      </c>
      <c r="W157" s="82" t="s">
        <v>3395</v>
      </c>
      <c r="X157" s="82" t="s">
        <v>3394</v>
      </c>
      <c r="Y157" s="82" t="s">
        <v>3393</v>
      </c>
    </row>
    <row r="158" spans="1:25" ht="10.9" customHeight="1" x14ac:dyDescent="0.2">
      <c r="A158" s="82" t="s">
        <v>3674</v>
      </c>
      <c r="B158" s="82" t="s">
        <v>83</v>
      </c>
      <c r="C158" s="83">
        <v>45702</v>
      </c>
      <c r="D158" s="83">
        <v>45732</v>
      </c>
      <c r="E158" s="83">
        <v>45737</v>
      </c>
      <c r="F158" s="83">
        <v>45736</v>
      </c>
      <c r="G158" s="83">
        <v>45702</v>
      </c>
      <c r="H158" s="82" t="s">
        <v>3673</v>
      </c>
      <c r="I158" s="82" t="s">
        <v>22</v>
      </c>
      <c r="J158" s="84">
        <v>0</v>
      </c>
      <c r="K158" s="85">
        <v>4187.46</v>
      </c>
      <c r="L158" s="85">
        <v>4731.83</v>
      </c>
      <c r="M158" s="85">
        <v>544.37</v>
      </c>
      <c r="N158" s="85">
        <v>4731.83</v>
      </c>
      <c r="O158" s="85">
        <v>0</v>
      </c>
      <c r="P158" s="85">
        <v>4187.46</v>
      </c>
      <c r="Q158" s="85">
        <v>4731.83</v>
      </c>
      <c r="R158" s="85">
        <v>544.37</v>
      </c>
      <c r="S158" s="85">
        <v>4731.83</v>
      </c>
      <c r="T158" s="85">
        <v>0</v>
      </c>
      <c r="U158" s="82"/>
      <c r="V158" s="82" t="s">
        <v>3399</v>
      </c>
      <c r="W158" s="82" t="s">
        <v>3395</v>
      </c>
      <c r="X158" s="82" t="s">
        <v>3394</v>
      </c>
      <c r="Y158" s="82" t="s">
        <v>3393</v>
      </c>
    </row>
    <row r="159" spans="1:25" ht="10.9" customHeight="1" x14ac:dyDescent="0.2">
      <c r="A159" s="82" t="s">
        <v>2423</v>
      </c>
      <c r="B159" s="82" t="s">
        <v>290</v>
      </c>
      <c r="C159" s="83">
        <v>45706</v>
      </c>
      <c r="D159" s="83">
        <v>45766</v>
      </c>
      <c r="E159" s="83">
        <v>45768</v>
      </c>
      <c r="F159" s="83">
        <v>45764</v>
      </c>
      <c r="G159" s="83">
        <v>45706</v>
      </c>
      <c r="H159" s="82" t="s">
        <v>2006</v>
      </c>
      <c r="I159" s="82" t="s">
        <v>22</v>
      </c>
      <c r="J159" s="84">
        <v>0</v>
      </c>
      <c r="K159" s="85">
        <v>939.78</v>
      </c>
      <c r="L159" s="85">
        <v>986.77</v>
      </c>
      <c r="M159" s="85">
        <v>46.99</v>
      </c>
      <c r="N159" s="85">
        <v>986.77</v>
      </c>
      <c r="O159" s="85">
        <v>0</v>
      </c>
      <c r="P159" s="85">
        <v>939.78</v>
      </c>
      <c r="Q159" s="85">
        <v>986.77</v>
      </c>
      <c r="R159" s="85">
        <v>46.99</v>
      </c>
      <c r="S159" s="85">
        <v>986.77</v>
      </c>
      <c r="T159" s="85">
        <v>0</v>
      </c>
      <c r="U159" s="82"/>
      <c r="V159" s="82" t="s">
        <v>3399</v>
      </c>
      <c r="W159" s="82" t="s">
        <v>3395</v>
      </c>
      <c r="X159" s="82" t="s">
        <v>3394</v>
      </c>
      <c r="Y159" s="82" t="s">
        <v>3393</v>
      </c>
    </row>
    <row r="160" spans="1:25" ht="10.9" customHeight="1" x14ac:dyDescent="0.2">
      <c r="A160" s="82" t="s">
        <v>2418</v>
      </c>
      <c r="B160" s="82" t="s">
        <v>20</v>
      </c>
      <c r="C160" s="83">
        <v>45706</v>
      </c>
      <c r="D160" s="83">
        <v>45766</v>
      </c>
      <c r="E160" s="83">
        <v>45768</v>
      </c>
      <c r="F160" s="83">
        <v>45764</v>
      </c>
      <c r="G160" s="83">
        <v>45706</v>
      </c>
      <c r="H160" s="82" t="s">
        <v>2014</v>
      </c>
      <c r="I160" s="82" t="s">
        <v>22</v>
      </c>
      <c r="J160" s="84">
        <v>0</v>
      </c>
      <c r="K160" s="85">
        <v>161.57</v>
      </c>
      <c r="L160" s="85">
        <v>169.65</v>
      </c>
      <c r="M160" s="85">
        <v>8.08</v>
      </c>
      <c r="N160" s="85">
        <v>169.65</v>
      </c>
      <c r="O160" s="85">
        <v>0</v>
      </c>
      <c r="P160" s="85">
        <v>161.57</v>
      </c>
      <c r="Q160" s="85">
        <v>169.65</v>
      </c>
      <c r="R160" s="85">
        <v>8.08</v>
      </c>
      <c r="S160" s="85">
        <v>169.65</v>
      </c>
      <c r="T160" s="85">
        <v>0</v>
      </c>
      <c r="U160" s="82"/>
      <c r="V160" s="82" t="s">
        <v>3399</v>
      </c>
      <c r="W160" s="82" t="s">
        <v>3395</v>
      </c>
      <c r="X160" s="82" t="s">
        <v>3394</v>
      </c>
      <c r="Y160" s="82" t="s">
        <v>3393</v>
      </c>
    </row>
    <row r="161" spans="1:25" ht="10.9" customHeight="1" x14ac:dyDescent="0.2">
      <c r="A161" s="82" t="s">
        <v>2421</v>
      </c>
      <c r="B161" s="82" t="s">
        <v>20</v>
      </c>
      <c r="C161" s="83">
        <v>45706</v>
      </c>
      <c r="D161" s="83">
        <v>45766</v>
      </c>
      <c r="E161" s="83">
        <v>45768</v>
      </c>
      <c r="F161" s="83">
        <v>45764</v>
      </c>
      <c r="G161" s="83">
        <v>45706</v>
      </c>
      <c r="H161" s="82" t="s">
        <v>2008</v>
      </c>
      <c r="I161" s="82" t="s">
        <v>22</v>
      </c>
      <c r="J161" s="84">
        <v>0</v>
      </c>
      <c r="K161" s="85">
        <v>678.09</v>
      </c>
      <c r="L161" s="85">
        <v>712</v>
      </c>
      <c r="M161" s="85">
        <v>33.909999999999997</v>
      </c>
      <c r="N161" s="85">
        <v>712</v>
      </c>
      <c r="O161" s="85">
        <v>0</v>
      </c>
      <c r="P161" s="85">
        <v>678.09</v>
      </c>
      <c r="Q161" s="85">
        <v>712</v>
      </c>
      <c r="R161" s="85">
        <v>33.909999999999997</v>
      </c>
      <c r="S161" s="85">
        <v>712</v>
      </c>
      <c r="T161" s="85">
        <v>0</v>
      </c>
      <c r="U161" s="82"/>
      <c r="V161" s="82" t="s">
        <v>3399</v>
      </c>
      <c r="W161" s="82" t="s">
        <v>3395</v>
      </c>
      <c r="X161" s="82" t="s">
        <v>3394</v>
      </c>
      <c r="Y161" s="82" t="s">
        <v>3393</v>
      </c>
    </row>
    <row r="162" spans="1:25" ht="10.9" customHeight="1" x14ac:dyDescent="0.2">
      <c r="A162" s="82" t="s">
        <v>2375</v>
      </c>
      <c r="B162" s="82" t="s">
        <v>1852</v>
      </c>
      <c r="C162" s="83">
        <v>45706</v>
      </c>
      <c r="D162" s="83">
        <v>45706</v>
      </c>
      <c r="E162" s="83">
        <v>45706</v>
      </c>
      <c r="F162" s="83">
        <v>45706</v>
      </c>
      <c r="G162" s="83">
        <v>45706</v>
      </c>
      <c r="H162" s="82" t="s">
        <v>2075</v>
      </c>
      <c r="I162" s="82" t="s">
        <v>51</v>
      </c>
      <c r="J162" s="84">
        <v>0.70519399999999999</v>
      </c>
      <c r="K162" s="85">
        <v>331.92</v>
      </c>
      <c r="L162" s="85">
        <v>331.92</v>
      </c>
      <c r="M162" s="85">
        <v>0</v>
      </c>
      <c r="N162" s="85">
        <v>331.92</v>
      </c>
      <c r="O162" s="85">
        <v>0</v>
      </c>
      <c r="P162" s="85">
        <v>470.67899046219878</v>
      </c>
      <c r="Q162" s="85">
        <v>470.67899046219878</v>
      </c>
      <c r="R162" s="85">
        <v>0</v>
      </c>
      <c r="S162" s="85">
        <v>480.27850000000001</v>
      </c>
      <c r="T162" s="85">
        <v>0</v>
      </c>
      <c r="U162" s="82"/>
      <c r="V162" s="82" t="s">
        <v>3399</v>
      </c>
      <c r="W162" s="82" t="s">
        <v>3395</v>
      </c>
      <c r="X162" s="82" t="s">
        <v>3397</v>
      </c>
      <c r="Y162" s="82" t="s">
        <v>3393</v>
      </c>
    </row>
    <row r="163" spans="1:25" ht="10.9" customHeight="1" x14ac:dyDescent="0.2">
      <c r="A163" s="82" t="s">
        <v>2320</v>
      </c>
      <c r="B163" s="82" t="s">
        <v>694</v>
      </c>
      <c r="C163" s="83">
        <v>45706</v>
      </c>
      <c r="D163" s="83">
        <v>45736</v>
      </c>
      <c r="E163" s="83">
        <v>45778</v>
      </c>
      <c r="F163" s="83">
        <v>45743</v>
      </c>
      <c r="G163" s="83">
        <v>45706</v>
      </c>
      <c r="H163" s="82" t="s">
        <v>2172</v>
      </c>
      <c r="I163" s="82" t="s">
        <v>51</v>
      </c>
      <c r="J163" s="84">
        <v>0.70519399999999999</v>
      </c>
      <c r="K163" s="85">
        <v>71.52</v>
      </c>
      <c r="L163" s="85">
        <v>71.52</v>
      </c>
      <c r="M163" s="85">
        <v>0</v>
      </c>
      <c r="N163" s="85">
        <v>71.52</v>
      </c>
      <c r="O163" s="85">
        <v>0</v>
      </c>
      <c r="P163" s="85">
        <v>101.4189003309727</v>
      </c>
      <c r="Q163" s="85">
        <v>101.4189003309727</v>
      </c>
      <c r="R163" s="85">
        <v>0</v>
      </c>
      <c r="S163" s="85">
        <v>102.3831</v>
      </c>
      <c r="T163" s="85">
        <v>0</v>
      </c>
      <c r="U163" s="82"/>
      <c r="V163" s="82" t="s">
        <v>3399</v>
      </c>
      <c r="W163" s="82" t="s">
        <v>3395</v>
      </c>
      <c r="X163" s="82" t="s">
        <v>3394</v>
      </c>
      <c r="Y163" s="82" t="s">
        <v>3393</v>
      </c>
    </row>
    <row r="164" spans="1:25" ht="10.9" customHeight="1" x14ac:dyDescent="0.2">
      <c r="A164" s="82" t="s">
        <v>3670</v>
      </c>
      <c r="B164" s="82" t="s">
        <v>1231</v>
      </c>
      <c r="C164" s="83">
        <v>45706</v>
      </c>
      <c r="D164" s="83">
        <v>45706</v>
      </c>
      <c r="E164" s="83">
        <v>45706</v>
      </c>
      <c r="F164" s="83">
        <v>45706</v>
      </c>
      <c r="G164" s="83">
        <v>45706</v>
      </c>
      <c r="H164" s="82" t="s">
        <v>3535</v>
      </c>
      <c r="I164" s="82" t="s">
        <v>22</v>
      </c>
      <c r="J164" s="84">
        <v>0</v>
      </c>
      <c r="K164" s="85">
        <v>2761.94</v>
      </c>
      <c r="L164" s="85">
        <v>2900.03</v>
      </c>
      <c r="M164" s="85">
        <v>138.09</v>
      </c>
      <c r="N164" s="85">
        <v>2900.03</v>
      </c>
      <c r="O164" s="85">
        <v>0</v>
      </c>
      <c r="P164" s="85">
        <v>2761.94</v>
      </c>
      <c r="Q164" s="85">
        <v>2900.03</v>
      </c>
      <c r="R164" s="85">
        <v>138.09</v>
      </c>
      <c r="S164" s="85">
        <v>2900.03</v>
      </c>
      <c r="T164" s="85">
        <v>0</v>
      </c>
      <c r="U164" s="82"/>
      <c r="V164" s="82" t="s">
        <v>3399</v>
      </c>
      <c r="W164" s="82" t="s">
        <v>3395</v>
      </c>
      <c r="X164" s="82" t="s">
        <v>3397</v>
      </c>
      <c r="Y164" s="82" t="s">
        <v>3393</v>
      </c>
    </row>
    <row r="165" spans="1:25" ht="10.9" customHeight="1" x14ac:dyDescent="0.2">
      <c r="A165" s="82" t="s">
        <v>2444</v>
      </c>
      <c r="B165" s="82" t="s">
        <v>3424</v>
      </c>
      <c r="C165" s="83">
        <v>45706</v>
      </c>
      <c r="D165" s="83">
        <v>45736</v>
      </c>
      <c r="E165" s="83">
        <v>45744</v>
      </c>
      <c r="F165" s="83">
        <v>45734</v>
      </c>
      <c r="G165" s="83">
        <v>45706</v>
      </c>
      <c r="H165" s="82" t="s">
        <v>1970</v>
      </c>
      <c r="I165" s="82" t="s">
        <v>51</v>
      </c>
      <c r="J165" s="84">
        <v>0.70519399999999999</v>
      </c>
      <c r="K165" s="85">
        <v>1098.5899999999999</v>
      </c>
      <c r="L165" s="85">
        <v>1098.5899999999999</v>
      </c>
      <c r="M165" s="85">
        <v>0</v>
      </c>
      <c r="N165" s="85">
        <v>1098.5899999999999</v>
      </c>
      <c r="O165" s="85">
        <v>0</v>
      </c>
      <c r="P165" s="85">
        <v>1557.855001602396</v>
      </c>
      <c r="Q165" s="85">
        <v>1557.855001602396</v>
      </c>
      <c r="R165" s="85">
        <v>0</v>
      </c>
      <c r="S165" s="85">
        <v>1571.6213</v>
      </c>
      <c r="T165" s="85">
        <v>0</v>
      </c>
      <c r="U165" s="82"/>
      <c r="V165" s="82" t="s">
        <v>3399</v>
      </c>
      <c r="W165" s="82" t="s">
        <v>3395</v>
      </c>
      <c r="X165" s="82" t="s">
        <v>3394</v>
      </c>
      <c r="Y165" s="82" t="s">
        <v>3393</v>
      </c>
    </row>
    <row r="166" spans="1:25" ht="10.9" customHeight="1" x14ac:dyDescent="0.2">
      <c r="A166" s="82" t="s">
        <v>2430</v>
      </c>
      <c r="B166" s="82" t="s">
        <v>39</v>
      </c>
      <c r="C166" s="83">
        <v>45706</v>
      </c>
      <c r="D166" s="83">
        <v>45736</v>
      </c>
      <c r="E166" s="83">
        <v>45736</v>
      </c>
      <c r="F166" s="83">
        <v>45736</v>
      </c>
      <c r="G166" s="83">
        <v>45707</v>
      </c>
      <c r="H166" s="82" t="s">
        <v>3672</v>
      </c>
      <c r="I166" s="82" t="s">
        <v>22</v>
      </c>
      <c r="J166" s="84">
        <v>0</v>
      </c>
      <c r="K166" s="85">
        <v>3384.38</v>
      </c>
      <c r="L166" s="85">
        <v>3553.6</v>
      </c>
      <c r="M166" s="85">
        <v>169.22</v>
      </c>
      <c r="N166" s="85">
        <v>3553.6</v>
      </c>
      <c r="O166" s="85">
        <v>0</v>
      </c>
      <c r="P166" s="85">
        <v>3384.38</v>
      </c>
      <c r="Q166" s="85">
        <v>3553.6</v>
      </c>
      <c r="R166" s="85">
        <v>169.22</v>
      </c>
      <c r="S166" s="85">
        <v>3553.6</v>
      </c>
      <c r="T166" s="85">
        <v>0</v>
      </c>
      <c r="U166" s="82"/>
      <c r="V166" s="82" t="s">
        <v>3399</v>
      </c>
      <c r="W166" s="82" t="s">
        <v>3395</v>
      </c>
      <c r="X166" s="82" t="s">
        <v>3394</v>
      </c>
      <c r="Y166" s="82" t="s">
        <v>3393</v>
      </c>
    </row>
    <row r="167" spans="1:25" ht="10.9" customHeight="1" x14ac:dyDescent="0.2">
      <c r="A167" s="82" t="s">
        <v>3671</v>
      </c>
      <c r="B167" s="82" t="s">
        <v>54</v>
      </c>
      <c r="C167" s="83">
        <v>45706</v>
      </c>
      <c r="D167" s="83">
        <v>45736</v>
      </c>
      <c r="E167" s="83">
        <v>45744</v>
      </c>
      <c r="F167" s="83">
        <v>45750</v>
      </c>
      <c r="G167" s="83">
        <v>45707</v>
      </c>
      <c r="H167" s="82" t="s">
        <v>3611</v>
      </c>
      <c r="I167" s="82" t="s">
        <v>22</v>
      </c>
      <c r="J167" s="84">
        <v>0</v>
      </c>
      <c r="K167" s="85">
        <v>369.68</v>
      </c>
      <c r="L167" s="85">
        <v>388.16</v>
      </c>
      <c r="M167" s="85">
        <v>18.48</v>
      </c>
      <c r="N167" s="85">
        <v>388.16</v>
      </c>
      <c r="O167" s="85">
        <v>0</v>
      </c>
      <c r="P167" s="85">
        <v>369.68</v>
      </c>
      <c r="Q167" s="85">
        <v>388.16</v>
      </c>
      <c r="R167" s="85">
        <v>18.48</v>
      </c>
      <c r="S167" s="85">
        <v>388.16</v>
      </c>
      <c r="T167" s="85">
        <v>0</v>
      </c>
      <c r="U167" s="82"/>
      <c r="V167" s="82" t="s">
        <v>3399</v>
      </c>
      <c r="W167" s="82" t="s">
        <v>3395</v>
      </c>
      <c r="X167" s="82" t="s">
        <v>3394</v>
      </c>
      <c r="Y167" s="82" t="s">
        <v>3393</v>
      </c>
    </row>
    <row r="168" spans="1:25" ht="10.9" customHeight="1" x14ac:dyDescent="0.2">
      <c r="A168" s="82" t="s">
        <v>2291</v>
      </c>
      <c r="B168" s="82" t="s">
        <v>54</v>
      </c>
      <c r="C168" s="83">
        <v>45706</v>
      </c>
      <c r="D168" s="83">
        <v>45736</v>
      </c>
      <c r="E168" s="83">
        <v>45744</v>
      </c>
      <c r="F168" s="83">
        <v>45750</v>
      </c>
      <c r="G168" s="83">
        <v>45707</v>
      </c>
      <c r="H168" s="82" t="s">
        <v>2231</v>
      </c>
      <c r="I168" s="82" t="s">
        <v>22</v>
      </c>
      <c r="J168" s="84">
        <v>0</v>
      </c>
      <c r="K168" s="85">
        <v>463.06</v>
      </c>
      <c r="L168" s="85">
        <v>486.21</v>
      </c>
      <c r="M168" s="85">
        <v>23.15</v>
      </c>
      <c r="N168" s="85">
        <v>486.21</v>
      </c>
      <c r="O168" s="85">
        <v>0</v>
      </c>
      <c r="P168" s="85">
        <v>463.06</v>
      </c>
      <c r="Q168" s="85">
        <v>486.21</v>
      </c>
      <c r="R168" s="85">
        <v>23.15</v>
      </c>
      <c r="S168" s="85">
        <v>486.21</v>
      </c>
      <c r="T168" s="85">
        <v>0</v>
      </c>
      <c r="U168" s="82"/>
      <c r="V168" s="82" t="s">
        <v>3399</v>
      </c>
      <c r="W168" s="82" t="s">
        <v>3395</v>
      </c>
      <c r="X168" s="82" t="s">
        <v>3394</v>
      </c>
      <c r="Y168" s="82" t="s">
        <v>3393</v>
      </c>
    </row>
    <row r="169" spans="1:25" ht="10.9" customHeight="1" x14ac:dyDescent="0.2">
      <c r="A169" s="82" t="s">
        <v>2417</v>
      </c>
      <c r="B169" s="82" t="s">
        <v>54</v>
      </c>
      <c r="C169" s="83">
        <v>45706</v>
      </c>
      <c r="D169" s="83">
        <v>45736</v>
      </c>
      <c r="E169" s="83">
        <v>45744</v>
      </c>
      <c r="F169" s="83">
        <v>45750</v>
      </c>
      <c r="G169" s="83">
        <v>45707</v>
      </c>
      <c r="H169" s="82" t="s">
        <v>2016</v>
      </c>
      <c r="I169" s="82" t="s">
        <v>22</v>
      </c>
      <c r="J169" s="84">
        <v>0</v>
      </c>
      <c r="K169" s="85">
        <v>3529.3</v>
      </c>
      <c r="L169" s="85">
        <v>3705.77</v>
      </c>
      <c r="M169" s="85">
        <v>176.47</v>
      </c>
      <c r="N169" s="85">
        <v>3705.77</v>
      </c>
      <c r="O169" s="85">
        <v>0</v>
      </c>
      <c r="P169" s="85">
        <v>3529.3</v>
      </c>
      <c r="Q169" s="85">
        <v>3705.77</v>
      </c>
      <c r="R169" s="85">
        <v>176.47</v>
      </c>
      <c r="S169" s="85">
        <v>3705.77</v>
      </c>
      <c r="T169" s="85">
        <v>0</v>
      </c>
      <c r="U169" s="82"/>
      <c r="V169" s="82" t="s">
        <v>3399</v>
      </c>
      <c r="W169" s="82" t="s">
        <v>3395</v>
      </c>
      <c r="X169" s="82" t="s">
        <v>3394</v>
      </c>
      <c r="Y169" s="82" t="s">
        <v>3393</v>
      </c>
    </row>
    <row r="170" spans="1:25" ht="10.9" customHeight="1" x14ac:dyDescent="0.2">
      <c r="A170" s="82" t="s">
        <v>2429</v>
      </c>
      <c r="B170" s="82" t="s">
        <v>54</v>
      </c>
      <c r="C170" s="83">
        <v>45706</v>
      </c>
      <c r="D170" s="83">
        <v>45736</v>
      </c>
      <c r="E170" s="83">
        <v>45744</v>
      </c>
      <c r="F170" s="83">
        <v>45750</v>
      </c>
      <c r="G170" s="83">
        <v>45707</v>
      </c>
      <c r="H170" s="82" t="s">
        <v>1994</v>
      </c>
      <c r="I170" s="82" t="s">
        <v>22</v>
      </c>
      <c r="J170" s="84">
        <v>0</v>
      </c>
      <c r="K170" s="85">
        <v>8679.65</v>
      </c>
      <c r="L170" s="85">
        <v>9113.6299999999992</v>
      </c>
      <c r="M170" s="85">
        <v>433.98</v>
      </c>
      <c r="N170" s="85">
        <v>9113.6299999999992</v>
      </c>
      <c r="O170" s="85">
        <v>0</v>
      </c>
      <c r="P170" s="85">
        <v>8679.65</v>
      </c>
      <c r="Q170" s="85">
        <v>9113.6299999999992</v>
      </c>
      <c r="R170" s="85">
        <v>433.98</v>
      </c>
      <c r="S170" s="85">
        <v>9113.6299999999992</v>
      </c>
      <c r="T170" s="85">
        <v>0</v>
      </c>
      <c r="U170" s="82"/>
      <c r="V170" s="82" t="s">
        <v>3399</v>
      </c>
      <c r="W170" s="82" t="s">
        <v>3395</v>
      </c>
      <c r="X170" s="82" t="s">
        <v>3394</v>
      </c>
      <c r="Y170" s="82" t="s">
        <v>3393</v>
      </c>
    </row>
    <row r="171" spans="1:25" ht="10.9" customHeight="1" x14ac:dyDescent="0.2">
      <c r="A171" s="82" t="s">
        <v>2426</v>
      </c>
      <c r="B171" s="82" t="s">
        <v>54</v>
      </c>
      <c r="C171" s="83">
        <v>45706</v>
      </c>
      <c r="D171" s="83">
        <v>45736</v>
      </c>
      <c r="E171" s="83">
        <v>45744</v>
      </c>
      <c r="F171" s="83">
        <v>45750</v>
      </c>
      <c r="G171" s="83">
        <v>45707</v>
      </c>
      <c r="H171" s="82" t="s">
        <v>2000</v>
      </c>
      <c r="I171" s="82" t="s">
        <v>22</v>
      </c>
      <c r="J171" s="84">
        <v>0</v>
      </c>
      <c r="K171" s="85">
        <v>3005</v>
      </c>
      <c r="L171" s="85">
        <v>3155.25</v>
      </c>
      <c r="M171" s="85">
        <v>150.25</v>
      </c>
      <c r="N171" s="85">
        <v>3155.25</v>
      </c>
      <c r="O171" s="85">
        <v>0</v>
      </c>
      <c r="P171" s="85">
        <v>3005</v>
      </c>
      <c r="Q171" s="85">
        <v>3155.25</v>
      </c>
      <c r="R171" s="85">
        <v>150.25</v>
      </c>
      <c r="S171" s="85">
        <v>3155.25</v>
      </c>
      <c r="T171" s="85">
        <v>0</v>
      </c>
      <c r="U171" s="82"/>
      <c r="V171" s="82" t="s">
        <v>3399</v>
      </c>
      <c r="W171" s="82" t="s">
        <v>3395</v>
      </c>
      <c r="X171" s="82" t="s">
        <v>3394</v>
      </c>
      <c r="Y171" s="82" t="s">
        <v>3393</v>
      </c>
    </row>
    <row r="172" spans="1:25" ht="10.9" customHeight="1" x14ac:dyDescent="0.2">
      <c r="A172" s="82" t="s">
        <v>2303</v>
      </c>
      <c r="B172" s="82" t="s">
        <v>54</v>
      </c>
      <c r="C172" s="83">
        <v>45706</v>
      </c>
      <c r="D172" s="83">
        <v>45736</v>
      </c>
      <c r="E172" s="83">
        <v>45744</v>
      </c>
      <c r="F172" s="83">
        <v>45750</v>
      </c>
      <c r="G172" s="83">
        <v>45707</v>
      </c>
      <c r="H172" s="82" t="s">
        <v>2205</v>
      </c>
      <c r="I172" s="82" t="s">
        <v>22</v>
      </c>
      <c r="J172" s="84">
        <v>0</v>
      </c>
      <c r="K172" s="85">
        <v>2246.1999999999998</v>
      </c>
      <c r="L172" s="85">
        <v>2358.5100000000002</v>
      </c>
      <c r="M172" s="85">
        <v>112.31</v>
      </c>
      <c r="N172" s="85">
        <v>2358.5100000000002</v>
      </c>
      <c r="O172" s="85">
        <v>0</v>
      </c>
      <c r="P172" s="85">
        <v>2246.1999999999998</v>
      </c>
      <c r="Q172" s="85">
        <v>2358.5100000000002</v>
      </c>
      <c r="R172" s="85">
        <v>112.31</v>
      </c>
      <c r="S172" s="85">
        <v>2358.5100000000002</v>
      </c>
      <c r="T172" s="85">
        <v>0</v>
      </c>
      <c r="U172" s="82"/>
      <c r="V172" s="82" t="s">
        <v>3399</v>
      </c>
      <c r="W172" s="82" t="s">
        <v>3395</v>
      </c>
      <c r="X172" s="82" t="s">
        <v>3394</v>
      </c>
      <c r="Y172" s="82" t="s">
        <v>3393</v>
      </c>
    </row>
    <row r="173" spans="1:25" ht="10.9" customHeight="1" x14ac:dyDescent="0.2">
      <c r="A173" s="82" t="s">
        <v>2432</v>
      </c>
      <c r="B173" s="82" t="s">
        <v>77</v>
      </c>
      <c r="C173" s="83">
        <v>45707</v>
      </c>
      <c r="D173" s="83">
        <v>45737</v>
      </c>
      <c r="E173" s="83">
        <v>45737</v>
      </c>
      <c r="F173" s="83">
        <v>45729</v>
      </c>
      <c r="G173" s="83">
        <v>45707</v>
      </c>
      <c r="H173" s="82" t="s">
        <v>1988</v>
      </c>
      <c r="I173" s="82" t="s">
        <v>22</v>
      </c>
      <c r="J173" s="84">
        <v>0</v>
      </c>
      <c r="K173" s="85">
        <v>270.35000000000002</v>
      </c>
      <c r="L173" s="85">
        <v>283.87</v>
      </c>
      <c r="M173" s="85">
        <v>13.52</v>
      </c>
      <c r="N173" s="85">
        <v>283.87</v>
      </c>
      <c r="O173" s="85">
        <v>0</v>
      </c>
      <c r="P173" s="85">
        <v>270.35000000000002</v>
      </c>
      <c r="Q173" s="85">
        <v>283.87</v>
      </c>
      <c r="R173" s="85">
        <v>13.52</v>
      </c>
      <c r="S173" s="85">
        <v>283.87</v>
      </c>
      <c r="T173" s="85">
        <v>0</v>
      </c>
      <c r="U173" s="82"/>
      <c r="V173" s="82" t="s">
        <v>3399</v>
      </c>
      <c r="W173" s="82" t="s">
        <v>3395</v>
      </c>
      <c r="X173" s="82" t="s">
        <v>3394</v>
      </c>
      <c r="Y173" s="82" t="s">
        <v>3393</v>
      </c>
    </row>
    <row r="174" spans="1:25" ht="10.9" customHeight="1" x14ac:dyDescent="0.2">
      <c r="A174" s="82" t="s">
        <v>2449</v>
      </c>
      <c r="B174" s="82" t="s">
        <v>77</v>
      </c>
      <c r="C174" s="83">
        <v>45707</v>
      </c>
      <c r="D174" s="83">
        <v>45737</v>
      </c>
      <c r="E174" s="83">
        <v>45737</v>
      </c>
      <c r="F174" s="83">
        <v>45729</v>
      </c>
      <c r="G174" s="83">
        <v>45707</v>
      </c>
      <c r="H174" s="82" t="s">
        <v>3669</v>
      </c>
      <c r="I174" s="82" t="s">
        <v>22</v>
      </c>
      <c r="J174" s="84">
        <v>0</v>
      </c>
      <c r="K174" s="85">
        <v>279.5</v>
      </c>
      <c r="L174" s="85">
        <v>293.48</v>
      </c>
      <c r="M174" s="85">
        <v>13.98</v>
      </c>
      <c r="N174" s="85">
        <v>293.48</v>
      </c>
      <c r="O174" s="85">
        <v>0</v>
      </c>
      <c r="P174" s="85">
        <v>279.5</v>
      </c>
      <c r="Q174" s="85">
        <v>293.48</v>
      </c>
      <c r="R174" s="85">
        <v>13.98</v>
      </c>
      <c r="S174" s="85">
        <v>293.48</v>
      </c>
      <c r="T174" s="85">
        <v>0</v>
      </c>
      <c r="U174" s="82"/>
      <c r="V174" s="82" t="s">
        <v>3399</v>
      </c>
      <c r="W174" s="82" t="s">
        <v>3395</v>
      </c>
      <c r="X174" s="82" t="s">
        <v>3394</v>
      </c>
      <c r="Y174" s="82" t="s">
        <v>3393</v>
      </c>
    </row>
    <row r="175" spans="1:25" ht="10.9" customHeight="1" x14ac:dyDescent="0.2">
      <c r="A175" s="82" t="s">
        <v>2414</v>
      </c>
      <c r="B175" s="82" t="s">
        <v>77</v>
      </c>
      <c r="C175" s="83">
        <v>45707</v>
      </c>
      <c r="D175" s="83">
        <v>45737</v>
      </c>
      <c r="E175" s="83">
        <v>45737</v>
      </c>
      <c r="F175" s="83">
        <v>45729</v>
      </c>
      <c r="G175" s="83">
        <v>45707</v>
      </c>
      <c r="H175" s="82" t="s">
        <v>2020</v>
      </c>
      <c r="I175" s="82" t="s">
        <v>22</v>
      </c>
      <c r="J175" s="84">
        <v>0</v>
      </c>
      <c r="K175" s="85">
        <v>126.5</v>
      </c>
      <c r="L175" s="85">
        <v>132.83000000000001</v>
      </c>
      <c r="M175" s="85">
        <v>6.33</v>
      </c>
      <c r="N175" s="85">
        <v>132.83000000000001</v>
      </c>
      <c r="O175" s="85">
        <v>0</v>
      </c>
      <c r="P175" s="85">
        <v>126.5</v>
      </c>
      <c r="Q175" s="85">
        <v>132.83000000000001</v>
      </c>
      <c r="R175" s="85">
        <v>6.33</v>
      </c>
      <c r="S175" s="85">
        <v>132.83000000000001</v>
      </c>
      <c r="T175" s="85">
        <v>0</v>
      </c>
      <c r="U175" s="82"/>
      <c r="V175" s="82" t="s">
        <v>3399</v>
      </c>
      <c r="W175" s="82" t="s">
        <v>3395</v>
      </c>
      <c r="X175" s="82" t="s">
        <v>3394</v>
      </c>
      <c r="Y175" s="82" t="s">
        <v>3393</v>
      </c>
    </row>
    <row r="176" spans="1:25" ht="10.9" customHeight="1" x14ac:dyDescent="0.2">
      <c r="A176" s="82" t="s">
        <v>2447</v>
      </c>
      <c r="B176" s="82" t="s">
        <v>26</v>
      </c>
      <c r="C176" s="83">
        <v>45707</v>
      </c>
      <c r="D176" s="83">
        <v>45767</v>
      </c>
      <c r="E176" s="83">
        <v>45768</v>
      </c>
      <c r="F176" s="83">
        <v>45764</v>
      </c>
      <c r="G176" s="83">
        <v>45707</v>
      </c>
      <c r="H176" s="82" t="s">
        <v>1963</v>
      </c>
      <c r="I176" s="82" t="s">
        <v>22</v>
      </c>
      <c r="J176" s="84">
        <v>0</v>
      </c>
      <c r="K176" s="85">
        <v>765.02</v>
      </c>
      <c r="L176" s="85">
        <v>803.27</v>
      </c>
      <c r="M176" s="85">
        <v>38.25</v>
      </c>
      <c r="N176" s="85">
        <v>803.27</v>
      </c>
      <c r="O176" s="85">
        <v>0</v>
      </c>
      <c r="P176" s="85">
        <v>765.02</v>
      </c>
      <c r="Q176" s="85">
        <v>803.27</v>
      </c>
      <c r="R176" s="85">
        <v>38.25</v>
      </c>
      <c r="S176" s="85">
        <v>803.27</v>
      </c>
      <c r="T176" s="85">
        <v>0</v>
      </c>
      <c r="U176" s="82"/>
      <c r="V176" s="82" t="s">
        <v>3399</v>
      </c>
      <c r="W176" s="82" t="s">
        <v>3395</v>
      </c>
      <c r="X176" s="82" t="s">
        <v>3394</v>
      </c>
      <c r="Y176" s="82" t="s">
        <v>3393</v>
      </c>
    </row>
    <row r="177" spans="1:25" ht="10.9" customHeight="1" x14ac:dyDescent="0.2">
      <c r="A177" s="82" t="s">
        <v>2439</v>
      </c>
      <c r="B177" s="82" t="s">
        <v>509</v>
      </c>
      <c r="C177" s="83">
        <v>45707</v>
      </c>
      <c r="D177" s="83">
        <v>45737</v>
      </c>
      <c r="E177" s="83">
        <v>45744</v>
      </c>
      <c r="F177" s="83">
        <v>45743</v>
      </c>
      <c r="G177" s="83">
        <v>45707</v>
      </c>
      <c r="H177" s="82" t="s">
        <v>1976</v>
      </c>
      <c r="I177" s="82" t="s">
        <v>22</v>
      </c>
      <c r="J177" s="84">
        <v>0</v>
      </c>
      <c r="K177" s="85">
        <v>2019.47</v>
      </c>
      <c r="L177" s="85">
        <v>2120.44</v>
      </c>
      <c r="M177" s="85">
        <v>100.97</v>
      </c>
      <c r="N177" s="85">
        <v>2120.44</v>
      </c>
      <c r="O177" s="85">
        <v>0</v>
      </c>
      <c r="P177" s="85">
        <v>2019.47</v>
      </c>
      <c r="Q177" s="85">
        <v>2120.44</v>
      </c>
      <c r="R177" s="85">
        <v>100.97</v>
      </c>
      <c r="S177" s="85">
        <v>2120.44</v>
      </c>
      <c r="T177" s="85">
        <v>0</v>
      </c>
      <c r="U177" s="82"/>
      <c r="V177" s="82" t="s">
        <v>3399</v>
      </c>
      <c r="W177" s="82" t="s">
        <v>3395</v>
      </c>
      <c r="X177" s="82" t="s">
        <v>3394</v>
      </c>
      <c r="Y177" s="82" t="s">
        <v>3393</v>
      </c>
    </row>
    <row r="178" spans="1:25" ht="10.9" customHeight="1" x14ac:dyDescent="0.2">
      <c r="A178" s="82" t="s">
        <v>2445</v>
      </c>
      <c r="B178" s="82" t="s">
        <v>465</v>
      </c>
      <c r="C178" s="83">
        <v>45707</v>
      </c>
      <c r="D178" s="83">
        <v>45737</v>
      </c>
      <c r="E178" s="83">
        <v>45758</v>
      </c>
      <c r="F178" s="83">
        <v>45726</v>
      </c>
      <c r="G178" s="83">
        <v>45707</v>
      </c>
      <c r="H178" s="82" t="s">
        <v>1968</v>
      </c>
      <c r="I178" s="82" t="s">
        <v>22</v>
      </c>
      <c r="J178" s="84">
        <v>0</v>
      </c>
      <c r="K178" s="85">
        <v>171.56</v>
      </c>
      <c r="L178" s="85">
        <v>193.87</v>
      </c>
      <c r="M178" s="85">
        <v>22.31</v>
      </c>
      <c r="N178" s="85">
        <v>193.87</v>
      </c>
      <c r="O178" s="85">
        <v>0</v>
      </c>
      <c r="P178" s="85">
        <v>171.56</v>
      </c>
      <c r="Q178" s="85">
        <v>193.87</v>
      </c>
      <c r="R178" s="85">
        <v>22.31</v>
      </c>
      <c r="S178" s="85">
        <v>193.87</v>
      </c>
      <c r="T178" s="85">
        <v>0</v>
      </c>
      <c r="U178" s="82"/>
      <c r="V178" s="82" t="s">
        <v>3399</v>
      </c>
      <c r="W178" s="82" t="s">
        <v>3395</v>
      </c>
      <c r="X178" s="82" t="s">
        <v>3394</v>
      </c>
      <c r="Y178" s="82" t="s">
        <v>3393</v>
      </c>
    </row>
    <row r="179" spans="1:25" ht="10.9" customHeight="1" x14ac:dyDescent="0.2">
      <c r="A179" s="82" t="s">
        <v>2370</v>
      </c>
      <c r="B179" s="82" t="s">
        <v>465</v>
      </c>
      <c r="C179" s="83">
        <v>45707</v>
      </c>
      <c r="D179" s="83">
        <v>45737</v>
      </c>
      <c r="E179" s="83">
        <v>45758</v>
      </c>
      <c r="F179" s="83">
        <v>45726</v>
      </c>
      <c r="G179" s="83">
        <v>45707</v>
      </c>
      <c r="H179" s="82" t="s">
        <v>2083</v>
      </c>
      <c r="I179" s="82" t="s">
        <v>22</v>
      </c>
      <c r="J179" s="84">
        <v>0</v>
      </c>
      <c r="K179" s="85">
        <v>1759.61</v>
      </c>
      <c r="L179" s="85">
        <v>1988.36</v>
      </c>
      <c r="M179" s="85">
        <v>228.75</v>
      </c>
      <c r="N179" s="85">
        <v>1988.36</v>
      </c>
      <c r="O179" s="85">
        <v>0</v>
      </c>
      <c r="P179" s="85">
        <v>1759.61</v>
      </c>
      <c r="Q179" s="85">
        <v>1988.36</v>
      </c>
      <c r="R179" s="85">
        <v>228.75</v>
      </c>
      <c r="S179" s="85">
        <v>1988.36</v>
      </c>
      <c r="T179" s="85">
        <v>0</v>
      </c>
      <c r="U179" s="82"/>
      <c r="V179" s="82" t="s">
        <v>3399</v>
      </c>
      <c r="W179" s="82" t="s">
        <v>3395</v>
      </c>
      <c r="X179" s="82" t="s">
        <v>3394</v>
      </c>
      <c r="Y179" s="82" t="s">
        <v>3393</v>
      </c>
    </row>
    <row r="180" spans="1:25" ht="10.9" customHeight="1" x14ac:dyDescent="0.2">
      <c r="A180" s="82" t="s">
        <v>2401</v>
      </c>
      <c r="B180" s="82" t="s">
        <v>465</v>
      </c>
      <c r="C180" s="83">
        <v>45707</v>
      </c>
      <c r="D180" s="83">
        <v>45737</v>
      </c>
      <c r="E180" s="83">
        <v>45758</v>
      </c>
      <c r="F180" s="83">
        <v>45743</v>
      </c>
      <c r="G180" s="83">
        <v>45707</v>
      </c>
      <c r="H180" s="82" t="s">
        <v>2037</v>
      </c>
      <c r="I180" s="82" t="s">
        <v>22</v>
      </c>
      <c r="J180" s="84">
        <v>0</v>
      </c>
      <c r="K180" s="85">
        <v>21498.92</v>
      </c>
      <c r="L180" s="85">
        <v>24293.77</v>
      </c>
      <c r="M180" s="85">
        <v>2794.85</v>
      </c>
      <c r="N180" s="85">
        <v>24293.77</v>
      </c>
      <c r="O180" s="85">
        <v>0</v>
      </c>
      <c r="P180" s="85">
        <v>21498.92</v>
      </c>
      <c r="Q180" s="85">
        <v>24293.77</v>
      </c>
      <c r="R180" s="85">
        <v>2794.85</v>
      </c>
      <c r="S180" s="85">
        <v>24293.77</v>
      </c>
      <c r="T180" s="85">
        <v>0</v>
      </c>
      <c r="U180" s="82"/>
      <c r="V180" s="82" t="s">
        <v>3399</v>
      </c>
      <c r="W180" s="82" t="s">
        <v>3395</v>
      </c>
      <c r="X180" s="82" t="s">
        <v>3394</v>
      </c>
      <c r="Y180" s="82" t="s">
        <v>3393</v>
      </c>
    </row>
    <row r="181" spans="1:25" ht="10.9" customHeight="1" x14ac:dyDescent="0.2">
      <c r="A181" s="82" t="s">
        <v>2381</v>
      </c>
      <c r="B181" s="82" t="s">
        <v>159</v>
      </c>
      <c r="C181" s="83">
        <v>45708</v>
      </c>
      <c r="D181" s="83">
        <v>45753</v>
      </c>
      <c r="E181" s="83">
        <v>45765</v>
      </c>
      <c r="F181" s="83">
        <v>45758</v>
      </c>
      <c r="G181" s="83">
        <v>45708</v>
      </c>
      <c r="H181" s="82" t="s">
        <v>2067</v>
      </c>
      <c r="I181" s="82" t="s">
        <v>51</v>
      </c>
      <c r="J181" s="84">
        <v>0.70558699999999996</v>
      </c>
      <c r="K181" s="85">
        <v>15580.5</v>
      </c>
      <c r="L181" s="85">
        <v>15580.5</v>
      </c>
      <c r="M181" s="85">
        <v>0</v>
      </c>
      <c r="N181" s="85">
        <v>15580.5</v>
      </c>
      <c r="O181" s="85">
        <v>0</v>
      </c>
      <c r="P181" s="85">
        <v>22081.614315456492</v>
      </c>
      <c r="Q181" s="85">
        <v>22081.614315456492</v>
      </c>
      <c r="R181" s="85">
        <v>0</v>
      </c>
      <c r="S181" s="85">
        <v>21644.423299999999</v>
      </c>
      <c r="T181" s="85">
        <v>0</v>
      </c>
      <c r="U181" s="82"/>
      <c r="V181" s="82" t="s">
        <v>3399</v>
      </c>
      <c r="W181" s="82" t="s">
        <v>3395</v>
      </c>
      <c r="X181" s="82" t="s">
        <v>3394</v>
      </c>
      <c r="Y181" s="82" t="s">
        <v>3393</v>
      </c>
    </row>
    <row r="182" spans="1:25" ht="10.9" customHeight="1" x14ac:dyDescent="0.2">
      <c r="A182" s="82" t="s">
        <v>2402</v>
      </c>
      <c r="B182" s="82" t="s">
        <v>159</v>
      </c>
      <c r="C182" s="83">
        <v>45708</v>
      </c>
      <c r="D182" s="83">
        <v>45753</v>
      </c>
      <c r="E182" s="83">
        <v>45765</v>
      </c>
      <c r="F182" s="83">
        <v>45758</v>
      </c>
      <c r="G182" s="83">
        <v>45708</v>
      </c>
      <c r="H182" s="82" t="s">
        <v>2035</v>
      </c>
      <c r="I182" s="82" t="s">
        <v>51</v>
      </c>
      <c r="J182" s="84">
        <v>0.70558699999999996</v>
      </c>
      <c r="K182" s="85">
        <v>9893.2000000000007</v>
      </c>
      <c r="L182" s="85">
        <v>9893.2000000000007</v>
      </c>
      <c r="M182" s="85">
        <v>0</v>
      </c>
      <c r="N182" s="85">
        <v>9893.2000000000007</v>
      </c>
      <c r="O182" s="85">
        <v>0</v>
      </c>
      <c r="P182" s="85">
        <v>14021.233384401923</v>
      </c>
      <c r="Q182" s="85">
        <v>14021.233384401923</v>
      </c>
      <c r="R182" s="85">
        <v>0</v>
      </c>
      <c r="S182" s="85">
        <v>13743.6288</v>
      </c>
      <c r="T182" s="85">
        <v>0</v>
      </c>
      <c r="U182" s="82"/>
      <c r="V182" s="82" t="s">
        <v>3399</v>
      </c>
      <c r="W182" s="82" t="s">
        <v>3395</v>
      </c>
      <c r="X182" s="82" t="s">
        <v>3394</v>
      </c>
      <c r="Y182" s="82" t="s">
        <v>3393</v>
      </c>
    </row>
    <row r="183" spans="1:25" ht="10.9" customHeight="1" x14ac:dyDescent="0.2">
      <c r="A183" s="82" t="s">
        <v>2393</v>
      </c>
      <c r="B183" s="82" t="s">
        <v>159</v>
      </c>
      <c r="C183" s="83">
        <v>45708</v>
      </c>
      <c r="D183" s="83">
        <v>45753</v>
      </c>
      <c r="E183" s="83">
        <v>45765</v>
      </c>
      <c r="F183" s="83">
        <v>45758</v>
      </c>
      <c r="G183" s="83">
        <v>45708</v>
      </c>
      <c r="H183" s="82" t="s">
        <v>2053</v>
      </c>
      <c r="I183" s="82" t="s">
        <v>51</v>
      </c>
      <c r="J183" s="84">
        <v>0.70558699999999996</v>
      </c>
      <c r="K183" s="85">
        <v>20692.099999999999</v>
      </c>
      <c r="L183" s="85">
        <v>20692.099999999999</v>
      </c>
      <c r="M183" s="85">
        <v>0</v>
      </c>
      <c r="N183" s="85">
        <v>20692.099999999999</v>
      </c>
      <c r="O183" s="85">
        <v>0</v>
      </c>
      <c r="P183" s="85">
        <v>29326.078853493615</v>
      </c>
      <c r="Q183" s="85">
        <v>29326.078853493615</v>
      </c>
      <c r="R183" s="85">
        <v>0</v>
      </c>
      <c r="S183" s="85">
        <v>28745.4555</v>
      </c>
      <c r="T183" s="85">
        <v>0</v>
      </c>
      <c r="U183" s="82"/>
      <c r="V183" s="82" t="s">
        <v>3399</v>
      </c>
      <c r="W183" s="82" t="s">
        <v>3395</v>
      </c>
      <c r="X183" s="82" t="s">
        <v>3394</v>
      </c>
      <c r="Y183" s="82" t="s">
        <v>3393</v>
      </c>
    </row>
    <row r="184" spans="1:25" ht="10.9" customHeight="1" x14ac:dyDescent="0.2">
      <c r="A184" s="82" t="s">
        <v>2410</v>
      </c>
      <c r="B184" s="82" t="s">
        <v>159</v>
      </c>
      <c r="C184" s="83">
        <v>45708</v>
      </c>
      <c r="D184" s="83">
        <v>45753</v>
      </c>
      <c r="E184" s="83">
        <v>45765</v>
      </c>
      <c r="F184" s="83">
        <v>45758</v>
      </c>
      <c r="G184" s="83">
        <v>45708</v>
      </c>
      <c r="H184" s="82" t="s">
        <v>2024</v>
      </c>
      <c r="I184" s="82" t="s">
        <v>51</v>
      </c>
      <c r="J184" s="84">
        <v>0.70558699999999996</v>
      </c>
      <c r="K184" s="85">
        <v>13072.47</v>
      </c>
      <c r="L184" s="85">
        <v>13072.47</v>
      </c>
      <c r="M184" s="85">
        <v>0</v>
      </c>
      <c r="N184" s="85">
        <v>13072.47</v>
      </c>
      <c r="O184" s="85">
        <v>0</v>
      </c>
      <c r="P184" s="85">
        <v>18527.084540956679</v>
      </c>
      <c r="Q184" s="85">
        <v>18527.084540956679</v>
      </c>
      <c r="R184" s="85">
        <v>0</v>
      </c>
      <c r="S184" s="85">
        <v>18160.269100000001</v>
      </c>
      <c r="T184" s="85">
        <v>0</v>
      </c>
      <c r="U184" s="82"/>
      <c r="V184" s="82" t="s">
        <v>3399</v>
      </c>
      <c r="W184" s="82" t="s">
        <v>3395</v>
      </c>
      <c r="X184" s="82" t="s">
        <v>3394</v>
      </c>
      <c r="Y184" s="82" t="s">
        <v>3393</v>
      </c>
    </row>
    <row r="185" spans="1:25" ht="10.9" customHeight="1" x14ac:dyDescent="0.2">
      <c r="A185" s="82" t="s">
        <v>2462</v>
      </c>
      <c r="B185" s="82" t="s">
        <v>556</v>
      </c>
      <c r="C185" s="83">
        <v>45708</v>
      </c>
      <c r="D185" s="83">
        <v>45738</v>
      </c>
      <c r="E185" s="83">
        <v>45758</v>
      </c>
      <c r="F185" s="83">
        <v>45751</v>
      </c>
      <c r="G185" s="83">
        <v>45712</v>
      </c>
      <c r="H185" s="82" t="s">
        <v>1937</v>
      </c>
      <c r="I185" s="82" t="s">
        <v>22</v>
      </c>
      <c r="J185" s="84">
        <v>0</v>
      </c>
      <c r="K185" s="85">
        <v>836.73</v>
      </c>
      <c r="L185" s="85">
        <v>945.5</v>
      </c>
      <c r="M185" s="85">
        <v>108.77</v>
      </c>
      <c r="N185" s="85">
        <v>945.5</v>
      </c>
      <c r="O185" s="85">
        <v>0</v>
      </c>
      <c r="P185" s="85">
        <v>836.73</v>
      </c>
      <c r="Q185" s="85">
        <v>945.5</v>
      </c>
      <c r="R185" s="85">
        <v>108.77</v>
      </c>
      <c r="S185" s="85">
        <v>945.5</v>
      </c>
      <c r="T185" s="85">
        <v>0</v>
      </c>
      <c r="U185" s="82"/>
      <c r="V185" s="82" t="s">
        <v>3399</v>
      </c>
      <c r="W185" s="82" t="s">
        <v>3395</v>
      </c>
      <c r="X185" s="82" t="s">
        <v>3394</v>
      </c>
      <c r="Y185" s="82" t="s">
        <v>3393</v>
      </c>
    </row>
    <row r="186" spans="1:25" ht="10.9" customHeight="1" x14ac:dyDescent="0.2">
      <c r="A186" s="82" t="s">
        <v>2461</v>
      </c>
      <c r="B186" s="82" t="s">
        <v>1778</v>
      </c>
      <c r="C186" s="83">
        <v>45712</v>
      </c>
      <c r="D186" s="83">
        <v>45742</v>
      </c>
      <c r="E186" s="83">
        <v>45778</v>
      </c>
      <c r="F186" s="83">
        <v>45743</v>
      </c>
      <c r="G186" s="83">
        <v>45712</v>
      </c>
      <c r="H186" s="82" t="s">
        <v>1939</v>
      </c>
      <c r="I186" s="82" t="s">
        <v>51</v>
      </c>
      <c r="J186" s="84">
        <v>0.70177400000000001</v>
      </c>
      <c r="K186" s="85">
        <v>259.5</v>
      </c>
      <c r="L186" s="85">
        <v>259.5</v>
      </c>
      <c r="M186" s="85">
        <v>0</v>
      </c>
      <c r="N186" s="85">
        <v>259.5</v>
      </c>
      <c r="O186" s="85">
        <v>0</v>
      </c>
      <c r="P186" s="85">
        <v>369.77716472824579</v>
      </c>
      <c r="Q186" s="85">
        <v>369.77716472824579</v>
      </c>
      <c r="R186" s="85">
        <v>0</v>
      </c>
      <c r="S186" s="85">
        <v>371.48219999999998</v>
      </c>
      <c r="T186" s="85">
        <v>0</v>
      </c>
      <c r="U186" s="82"/>
      <c r="V186" s="82" t="s">
        <v>3399</v>
      </c>
      <c r="W186" s="82" t="s">
        <v>3395</v>
      </c>
      <c r="X186" s="82" t="s">
        <v>3394</v>
      </c>
      <c r="Y186" s="82" t="s">
        <v>3393</v>
      </c>
    </row>
    <row r="187" spans="1:25" ht="10.9" customHeight="1" x14ac:dyDescent="0.2">
      <c r="A187" s="82" t="s">
        <v>2460</v>
      </c>
      <c r="B187" s="82" t="s">
        <v>1941</v>
      </c>
      <c r="C187" s="83">
        <v>45712</v>
      </c>
      <c r="D187" s="83">
        <v>45712</v>
      </c>
      <c r="E187" s="83">
        <v>45712</v>
      </c>
      <c r="F187" s="83">
        <v>45712</v>
      </c>
      <c r="G187" s="83">
        <v>45712</v>
      </c>
      <c r="H187" s="82"/>
      <c r="I187" s="82" t="s">
        <v>51</v>
      </c>
      <c r="J187" s="84">
        <v>0.70177400000000001</v>
      </c>
      <c r="K187" s="85">
        <v>20856</v>
      </c>
      <c r="L187" s="85">
        <v>20856</v>
      </c>
      <c r="M187" s="85">
        <v>0</v>
      </c>
      <c r="N187" s="85">
        <v>20856</v>
      </c>
      <c r="O187" s="85">
        <v>0</v>
      </c>
      <c r="P187" s="85">
        <v>29718.969354806533</v>
      </c>
      <c r="Q187" s="85">
        <v>29718.969354806533</v>
      </c>
      <c r="R187" s="85">
        <v>0</v>
      </c>
      <c r="S187" s="85">
        <v>29664.103999999999</v>
      </c>
      <c r="T187" s="85">
        <v>0</v>
      </c>
      <c r="U187" s="82"/>
      <c r="V187" s="82" t="s">
        <v>3399</v>
      </c>
      <c r="W187" s="82" t="s">
        <v>3395</v>
      </c>
      <c r="X187" s="82" t="s">
        <v>3397</v>
      </c>
      <c r="Y187" s="82" t="s">
        <v>3393</v>
      </c>
    </row>
    <row r="188" spans="1:25" ht="10.9" customHeight="1" x14ac:dyDescent="0.2">
      <c r="A188" s="82" t="s">
        <v>3661</v>
      </c>
      <c r="B188" s="82" t="s">
        <v>95</v>
      </c>
      <c r="C188" s="83">
        <v>45712</v>
      </c>
      <c r="D188" s="83">
        <v>45742</v>
      </c>
      <c r="E188" s="83">
        <v>45751</v>
      </c>
      <c r="F188" s="83">
        <v>45742</v>
      </c>
      <c r="G188" s="83">
        <v>45712</v>
      </c>
      <c r="H188" s="82" t="s">
        <v>3660</v>
      </c>
      <c r="I188" s="82" t="s">
        <v>22</v>
      </c>
      <c r="J188" s="84">
        <v>0</v>
      </c>
      <c r="K188" s="85">
        <v>1549.78</v>
      </c>
      <c r="L188" s="85">
        <v>1627.27</v>
      </c>
      <c r="M188" s="85">
        <v>77.489999999999995</v>
      </c>
      <c r="N188" s="85">
        <v>1627.27</v>
      </c>
      <c r="O188" s="85">
        <v>0</v>
      </c>
      <c r="P188" s="85">
        <v>1549.78</v>
      </c>
      <c r="Q188" s="85">
        <v>1627.27</v>
      </c>
      <c r="R188" s="85">
        <v>77.489999999999995</v>
      </c>
      <c r="S188" s="85">
        <v>1627.27</v>
      </c>
      <c r="T188" s="85">
        <v>0</v>
      </c>
      <c r="U188" s="82"/>
      <c r="V188" s="82" t="s">
        <v>3399</v>
      </c>
      <c r="W188" s="82" t="s">
        <v>3395</v>
      </c>
      <c r="X188" s="82" t="s">
        <v>3394</v>
      </c>
      <c r="Y188" s="82" t="s">
        <v>3393</v>
      </c>
    </row>
    <row r="189" spans="1:25" ht="10.9" customHeight="1" x14ac:dyDescent="0.2">
      <c r="A189" s="82" t="s">
        <v>3668</v>
      </c>
      <c r="B189" s="82" t="s">
        <v>86</v>
      </c>
      <c r="C189" s="83">
        <v>45712</v>
      </c>
      <c r="D189" s="83">
        <v>45742</v>
      </c>
      <c r="E189" s="83">
        <v>45742</v>
      </c>
      <c r="F189" s="83">
        <v>45742</v>
      </c>
      <c r="G189" s="83">
        <v>45712</v>
      </c>
      <c r="H189" s="82" t="s">
        <v>3667</v>
      </c>
      <c r="I189" s="82" t="s">
        <v>22</v>
      </c>
      <c r="J189" s="84">
        <v>0</v>
      </c>
      <c r="K189" s="85">
        <v>3257.98</v>
      </c>
      <c r="L189" s="85">
        <v>3420.88</v>
      </c>
      <c r="M189" s="85">
        <v>162.9</v>
      </c>
      <c r="N189" s="85">
        <v>3420.88</v>
      </c>
      <c r="O189" s="85">
        <v>0</v>
      </c>
      <c r="P189" s="85">
        <v>3257.98</v>
      </c>
      <c r="Q189" s="85">
        <v>3420.88</v>
      </c>
      <c r="R189" s="85">
        <v>162.9</v>
      </c>
      <c r="S189" s="85">
        <v>3420.88</v>
      </c>
      <c r="T189" s="85">
        <v>0</v>
      </c>
      <c r="U189" s="82"/>
      <c r="V189" s="82" t="s">
        <v>3399</v>
      </c>
      <c r="W189" s="82" t="s">
        <v>3395</v>
      </c>
      <c r="X189" s="82" t="s">
        <v>3394</v>
      </c>
      <c r="Y189" s="82" t="s">
        <v>3393</v>
      </c>
    </row>
    <row r="190" spans="1:25" ht="10.9" customHeight="1" x14ac:dyDescent="0.2">
      <c r="A190" s="82" t="s">
        <v>2324</v>
      </c>
      <c r="B190" s="82" t="s">
        <v>89</v>
      </c>
      <c r="C190" s="83">
        <v>45712</v>
      </c>
      <c r="D190" s="83">
        <v>45742</v>
      </c>
      <c r="E190" s="83">
        <v>45772</v>
      </c>
      <c r="F190" s="83">
        <v>45736</v>
      </c>
      <c r="G190" s="83">
        <v>45712</v>
      </c>
      <c r="H190" s="82" t="s">
        <v>2164</v>
      </c>
      <c r="I190" s="82" t="s">
        <v>22</v>
      </c>
      <c r="J190" s="84">
        <v>0</v>
      </c>
      <c r="K190" s="85">
        <v>386.38</v>
      </c>
      <c r="L190" s="85">
        <v>405.7</v>
      </c>
      <c r="M190" s="85">
        <v>19.32</v>
      </c>
      <c r="N190" s="85">
        <v>405.7</v>
      </c>
      <c r="O190" s="85">
        <v>0</v>
      </c>
      <c r="P190" s="85">
        <v>386.38</v>
      </c>
      <c r="Q190" s="85">
        <v>405.7</v>
      </c>
      <c r="R190" s="85">
        <v>19.32</v>
      </c>
      <c r="S190" s="85">
        <v>405.7</v>
      </c>
      <c r="T190" s="85">
        <v>0</v>
      </c>
      <c r="U190" s="82"/>
      <c r="V190" s="82" t="s">
        <v>3399</v>
      </c>
      <c r="W190" s="82" t="s">
        <v>3395</v>
      </c>
      <c r="X190" s="82" t="s">
        <v>3394</v>
      </c>
      <c r="Y190" s="82" t="s">
        <v>3393</v>
      </c>
    </row>
    <row r="191" spans="1:25" ht="10.9" customHeight="1" x14ac:dyDescent="0.2">
      <c r="A191" s="82" t="s">
        <v>3664</v>
      </c>
      <c r="B191" s="82" t="s">
        <v>35</v>
      </c>
      <c r="C191" s="83">
        <v>45712</v>
      </c>
      <c r="D191" s="83">
        <v>45742</v>
      </c>
      <c r="E191" s="83">
        <v>45777</v>
      </c>
      <c r="F191" s="83">
        <v>45777</v>
      </c>
      <c r="G191" s="83">
        <v>45712</v>
      </c>
      <c r="H191" s="82" t="s">
        <v>3663</v>
      </c>
      <c r="I191" s="82" t="s">
        <v>22</v>
      </c>
      <c r="J191" s="84">
        <v>0</v>
      </c>
      <c r="K191" s="85">
        <v>6984.78</v>
      </c>
      <c r="L191" s="85">
        <v>7334.02</v>
      </c>
      <c r="M191" s="85">
        <v>349.24</v>
      </c>
      <c r="N191" s="85">
        <v>7334.02</v>
      </c>
      <c r="O191" s="85">
        <v>0</v>
      </c>
      <c r="P191" s="85">
        <v>6984.78</v>
      </c>
      <c r="Q191" s="85">
        <v>7334.02</v>
      </c>
      <c r="R191" s="85">
        <v>349.24</v>
      </c>
      <c r="S191" s="85">
        <v>7334.02</v>
      </c>
      <c r="T191" s="85">
        <v>0</v>
      </c>
      <c r="U191" s="82"/>
      <c r="V191" s="82" t="s">
        <v>3399</v>
      </c>
      <c r="W191" s="82" t="s">
        <v>3395</v>
      </c>
      <c r="X191" s="82" t="s">
        <v>3394</v>
      </c>
      <c r="Y191" s="82" t="s">
        <v>3393</v>
      </c>
    </row>
    <row r="192" spans="1:25" ht="10.9" customHeight="1" x14ac:dyDescent="0.2">
      <c r="A192" s="82" t="s">
        <v>2436</v>
      </c>
      <c r="B192" s="82" t="s">
        <v>35</v>
      </c>
      <c r="C192" s="83">
        <v>45712</v>
      </c>
      <c r="D192" s="83">
        <v>45742</v>
      </c>
      <c r="E192" s="83">
        <v>45777</v>
      </c>
      <c r="F192" s="83">
        <v>45777</v>
      </c>
      <c r="G192" s="83">
        <v>45712</v>
      </c>
      <c r="H192" s="82" t="s">
        <v>3662</v>
      </c>
      <c r="I192" s="82" t="s">
        <v>22</v>
      </c>
      <c r="J192" s="84">
        <v>0</v>
      </c>
      <c r="K192" s="85">
        <v>2740.17</v>
      </c>
      <c r="L192" s="85">
        <v>2877.18</v>
      </c>
      <c r="M192" s="85">
        <v>137.01</v>
      </c>
      <c r="N192" s="85">
        <v>2877.18</v>
      </c>
      <c r="O192" s="85">
        <v>0</v>
      </c>
      <c r="P192" s="85">
        <v>2740.17</v>
      </c>
      <c r="Q192" s="85">
        <v>2877.18</v>
      </c>
      <c r="R192" s="85">
        <v>137.01</v>
      </c>
      <c r="S192" s="85">
        <v>2877.18</v>
      </c>
      <c r="T192" s="85">
        <v>0</v>
      </c>
      <c r="U192" s="82"/>
      <c r="V192" s="82" t="s">
        <v>3399</v>
      </c>
      <c r="W192" s="82" t="s">
        <v>3395</v>
      </c>
      <c r="X192" s="82" t="s">
        <v>3394</v>
      </c>
      <c r="Y192" s="82" t="s">
        <v>3393</v>
      </c>
    </row>
    <row r="193" spans="1:25" ht="10.9" customHeight="1" x14ac:dyDescent="0.2">
      <c r="A193" s="82" t="s">
        <v>3659</v>
      </c>
      <c r="B193" s="82" t="s">
        <v>3658</v>
      </c>
      <c r="C193" s="83">
        <v>45712</v>
      </c>
      <c r="D193" s="83">
        <v>45742</v>
      </c>
      <c r="E193" s="83">
        <v>45786</v>
      </c>
      <c r="F193" s="83">
        <v>45775</v>
      </c>
      <c r="G193" s="83">
        <v>45712</v>
      </c>
      <c r="H193" s="82" t="s">
        <v>3657</v>
      </c>
      <c r="I193" s="82" t="s">
        <v>22</v>
      </c>
      <c r="J193" s="84">
        <v>0</v>
      </c>
      <c r="K193" s="85">
        <v>6298.29</v>
      </c>
      <c r="L193" s="85">
        <v>6613.2</v>
      </c>
      <c r="M193" s="85">
        <v>314.91000000000003</v>
      </c>
      <c r="N193" s="85">
        <v>6613.2</v>
      </c>
      <c r="O193" s="85">
        <v>0</v>
      </c>
      <c r="P193" s="85">
        <v>6298.29</v>
      </c>
      <c r="Q193" s="85">
        <v>6613.2</v>
      </c>
      <c r="R193" s="85">
        <v>314.91000000000003</v>
      </c>
      <c r="S193" s="85">
        <v>6613.2</v>
      </c>
      <c r="T193" s="85">
        <v>0</v>
      </c>
      <c r="U193" s="82"/>
      <c r="V193" s="82" t="s">
        <v>3399</v>
      </c>
      <c r="W193" s="82" t="s">
        <v>3395</v>
      </c>
      <c r="X193" s="82" t="s">
        <v>3394</v>
      </c>
      <c r="Y193" s="82" t="s">
        <v>3393</v>
      </c>
    </row>
    <row r="194" spans="1:25" ht="10.9" customHeight="1" x14ac:dyDescent="0.2">
      <c r="A194" s="82" t="s">
        <v>2459</v>
      </c>
      <c r="B194" s="82" t="s">
        <v>1261</v>
      </c>
      <c r="C194" s="83">
        <v>45712</v>
      </c>
      <c r="D194" s="83">
        <v>45712</v>
      </c>
      <c r="E194" s="83">
        <v>45712</v>
      </c>
      <c r="F194" s="83">
        <v>45708</v>
      </c>
      <c r="G194" s="83">
        <v>45712</v>
      </c>
      <c r="H194" s="82" t="s">
        <v>1943</v>
      </c>
      <c r="I194" s="82" t="s">
        <v>22</v>
      </c>
      <c r="J194" s="84">
        <v>0</v>
      </c>
      <c r="K194" s="85">
        <v>5347.22</v>
      </c>
      <c r="L194" s="85">
        <v>5614.58</v>
      </c>
      <c r="M194" s="85">
        <v>267.36</v>
      </c>
      <c r="N194" s="85">
        <v>5614.58</v>
      </c>
      <c r="O194" s="85">
        <v>0</v>
      </c>
      <c r="P194" s="85">
        <v>5347.22</v>
      </c>
      <c r="Q194" s="85">
        <v>5614.58</v>
      </c>
      <c r="R194" s="85">
        <v>267.36</v>
      </c>
      <c r="S194" s="85">
        <v>5614.58</v>
      </c>
      <c r="T194" s="85">
        <v>0</v>
      </c>
      <c r="U194" s="82"/>
      <c r="V194" s="82" t="s">
        <v>3399</v>
      </c>
      <c r="W194" s="82" t="s">
        <v>3395</v>
      </c>
      <c r="X194" s="82" t="s">
        <v>3394</v>
      </c>
      <c r="Y194" s="82" t="s">
        <v>3393</v>
      </c>
    </row>
    <row r="195" spans="1:25" ht="10.9" customHeight="1" x14ac:dyDescent="0.2">
      <c r="A195" s="82" t="s">
        <v>2452</v>
      </c>
      <c r="B195" s="82" t="s">
        <v>242</v>
      </c>
      <c r="C195" s="83">
        <v>45712</v>
      </c>
      <c r="D195" s="83">
        <v>45742</v>
      </c>
      <c r="E195" s="83">
        <v>45751</v>
      </c>
      <c r="F195" s="83">
        <v>45749</v>
      </c>
      <c r="G195" s="83">
        <v>45712</v>
      </c>
      <c r="H195" s="82" t="s">
        <v>1953</v>
      </c>
      <c r="I195" s="82" t="s">
        <v>22</v>
      </c>
      <c r="J195" s="84">
        <v>0</v>
      </c>
      <c r="K195" s="85">
        <v>2627.35</v>
      </c>
      <c r="L195" s="85">
        <v>2758.72</v>
      </c>
      <c r="M195" s="85">
        <v>131.37</v>
      </c>
      <c r="N195" s="85">
        <v>2758.72</v>
      </c>
      <c r="O195" s="85">
        <v>0</v>
      </c>
      <c r="P195" s="85">
        <v>2627.35</v>
      </c>
      <c r="Q195" s="85">
        <v>2758.72</v>
      </c>
      <c r="R195" s="85">
        <v>131.37</v>
      </c>
      <c r="S195" s="85">
        <v>2758.72</v>
      </c>
      <c r="T195" s="85">
        <v>0</v>
      </c>
      <c r="U195" s="82"/>
      <c r="V195" s="82" t="s">
        <v>3399</v>
      </c>
      <c r="W195" s="82" t="s">
        <v>3395</v>
      </c>
      <c r="X195" s="82" t="s">
        <v>3394</v>
      </c>
      <c r="Y195" s="82" t="s">
        <v>3393</v>
      </c>
    </row>
    <row r="196" spans="1:25" ht="10.9" customHeight="1" x14ac:dyDescent="0.2">
      <c r="A196" s="82" t="s">
        <v>2466</v>
      </c>
      <c r="B196" s="82" t="s">
        <v>242</v>
      </c>
      <c r="C196" s="83">
        <v>45712</v>
      </c>
      <c r="D196" s="83">
        <v>45742</v>
      </c>
      <c r="E196" s="83">
        <v>45751</v>
      </c>
      <c r="F196" s="83">
        <v>45749</v>
      </c>
      <c r="G196" s="83">
        <v>45713</v>
      </c>
      <c r="H196" s="82" t="s">
        <v>1929</v>
      </c>
      <c r="I196" s="82" t="s">
        <v>22</v>
      </c>
      <c r="J196" s="84">
        <v>0</v>
      </c>
      <c r="K196" s="85">
        <v>100</v>
      </c>
      <c r="L196" s="85">
        <v>105</v>
      </c>
      <c r="M196" s="85">
        <v>5</v>
      </c>
      <c r="N196" s="85">
        <v>105</v>
      </c>
      <c r="O196" s="85">
        <v>0</v>
      </c>
      <c r="P196" s="85">
        <v>100</v>
      </c>
      <c r="Q196" s="85">
        <v>105</v>
      </c>
      <c r="R196" s="85">
        <v>5</v>
      </c>
      <c r="S196" s="85">
        <v>105</v>
      </c>
      <c r="T196" s="85">
        <v>0</v>
      </c>
      <c r="U196" s="82"/>
      <c r="V196" s="82" t="s">
        <v>3399</v>
      </c>
      <c r="W196" s="82" t="s">
        <v>3395</v>
      </c>
      <c r="X196" s="82" t="s">
        <v>3394</v>
      </c>
      <c r="Y196" s="82" t="s">
        <v>3393</v>
      </c>
    </row>
    <row r="197" spans="1:25" ht="10.9" customHeight="1" x14ac:dyDescent="0.2">
      <c r="A197" s="82" t="s">
        <v>3666</v>
      </c>
      <c r="B197" s="82" t="s">
        <v>242</v>
      </c>
      <c r="C197" s="83">
        <v>45712</v>
      </c>
      <c r="D197" s="83">
        <v>45742</v>
      </c>
      <c r="E197" s="83">
        <v>45751</v>
      </c>
      <c r="F197" s="83">
        <v>45749</v>
      </c>
      <c r="G197" s="83">
        <v>45713</v>
      </c>
      <c r="H197" s="82" t="s">
        <v>3665</v>
      </c>
      <c r="I197" s="82" t="s">
        <v>22</v>
      </c>
      <c r="J197" s="84">
        <v>0</v>
      </c>
      <c r="K197" s="85">
        <v>5563.92</v>
      </c>
      <c r="L197" s="85">
        <v>5842.11</v>
      </c>
      <c r="M197" s="85">
        <v>278.19</v>
      </c>
      <c r="N197" s="85">
        <v>5842.11</v>
      </c>
      <c r="O197" s="85">
        <v>0</v>
      </c>
      <c r="P197" s="85">
        <v>5563.92</v>
      </c>
      <c r="Q197" s="85">
        <v>5842.11</v>
      </c>
      <c r="R197" s="85">
        <v>278.19</v>
      </c>
      <c r="S197" s="85">
        <v>5842.11</v>
      </c>
      <c r="T197" s="85">
        <v>0</v>
      </c>
      <c r="U197" s="82"/>
      <c r="V197" s="82" t="s">
        <v>3399</v>
      </c>
      <c r="W197" s="82" t="s">
        <v>3395</v>
      </c>
      <c r="X197" s="82" t="s">
        <v>3394</v>
      </c>
      <c r="Y197" s="82" t="s">
        <v>3393</v>
      </c>
    </row>
    <row r="198" spans="1:25" ht="10.9" customHeight="1" x14ac:dyDescent="0.2">
      <c r="A198" s="82" t="s">
        <v>3651</v>
      </c>
      <c r="B198" s="82" t="s">
        <v>70</v>
      </c>
      <c r="C198" s="83">
        <v>45713</v>
      </c>
      <c r="D198" s="83">
        <v>45773</v>
      </c>
      <c r="E198" s="83">
        <v>45806</v>
      </c>
      <c r="F198" s="83">
        <v>45822</v>
      </c>
      <c r="G198" s="83">
        <v>45713</v>
      </c>
      <c r="H198" s="82" t="s">
        <v>2012</v>
      </c>
      <c r="I198" s="82" t="s">
        <v>51</v>
      </c>
      <c r="J198" s="84">
        <v>0.698075</v>
      </c>
      <c r="K198" s="85">
        <v>3169</v>
      </c>
      <c r="L198" s="85">
        <v>3169</v>
      </c>
      <c r="M198" s="85">
        <v>0</v>
      </c>
      <c r="N198" s="85">
        <v>3169</v>
      </c>
      <c r="O198" s="85">
        <v>0</v>
      </c>
      <c r="P198" s="85">
        <v>4539.6268309279085</v>
      </c>
      <c r="Q198" s="85">
        <v>4539.6268309279085</v>
      </c>
      <c r="R198" s="85">
        <v>0</v>
      </c>
      <c r="S198" s="85">
        <v>4304.9930000000004</v>
      </c>
      <c r="T198" s="85">
        <v>0</v>
      </c>
      <c r="U198" s="82"/>
      <c r="V198" s="82" t="s">
        <v>3399</v>
      </c>
      <c r="W198" s="82" t="s">
        <v>3395</v>
      </c>
      <c r="X198" s="82" t="s">
        <v>3394</v>
      </c>
      <c r="Y198" s="82" t="s">
        <v>3393</v>
      </c>
    </row>
    <row r="199" spans="1:25" ht="10.9" customHeight="1" x14ac:dyDescent="0.2">
      <c r="A199" s="82" t="s">
        <v>2312</v>
      </c>
      <c r="B199" s="82" t="s">
        <v>3654</v>
      </c>
      <c r="C199" s="83">
        <v>45713</v>
      </c>
      <c r="D199" s="83">
        <v>45743</v>
      </c>
      <c r="E199" s="83">
        <v>45771</v>
      </c>
      <c r="F199" s="83">
        <v>45754</v>
      </c>
      <c r="G199" s="83">
        <v>45713</v>
      </c>
      <c r="H199" s="82" t="s">
        <v>2188</v>
      </c>
      <c r="I199" s="82" t="s">
        <v>51</v>
      </c>
      <c r="J199" s="84">
        <v>0.69877800000000001</v>
      </c>
      <c r="K199" s="85">
        <v>2160.83</v>
      </c>
      <c r="L199" s="85">
        <v>2160.83</v>
      </c>
      <c r="M199" s="85">
        <v>0</v>
      </c>
      <c r="N199" s="85">
        <v>2160.83</v>
      </c>
      <c r="O199" s="85">
        <v>0</v>
      </c>
      <c r="P199" s="85">
        <v>3092.2982692643445</v>
      </c>
      <c r="Q199" s="85">
        <v>3092.2982692643445</v>
      </c>
      <c r="R199" s="85">
        <v>0</v>
      </c>
      <c r="S199" s="85">
        <v>3074.0810999999999</v>
      </c>
      <c r="T199" s="85">
        <v>0</v>
      </c>
      <c r="U199" s="82"/>
      <c r="V199" s="82" t="s">
        <v>3399</v>
      </c>
      <c r="W199" s="82" t="s">
        <v>3395</v>
      </c>
      <c r="X199" s="82" t="s">
        <v>3394</v>
      </c>
      <c r="Y199" s="82" t="s">
        <v>3393</v>
      </c>
    </row>
    <row r="200" spans="1:25" ht="10.9" customHeight="1" x14ac:dyDescent="0.2">
      <c r="A200" s="82" t="s">
        <v>3653</v>
      </c>
      <c r="B200" s="82" t="s">
        <v>98</v>
      </c>
      <c r="C200" s="83">
        <v>45713</v>
      </c>
      <c r="D200" s="83">
        <v>45743</v>
      </c>
      <c r="E200" s="83">
        <v>45749</v>
      </c>
      <c r="F200" s="83">
        <v>45742</v>
      </c>
      <c r="G200" s="83">
        <v>45713</v>
      </c>
      <c r="H200" s="82" t="s">
        <v>3652</v>
      </c>
      <c r="I200" s="82" t="s">
        <v>22</v>
      </c>
      <c r="J200" s="84">
        <v>0</v>
      </c>
      <c r="K200" s="85">
        <v>4225.34</v>
      </c>
      <c r="L200" s="85">
        <v>4774.63</v>
      </c>
      <c r="M200" s="85">
        <v>549.29</v>
      </c>
      <c r="N200" s="85">
        <v>4774.63</v>
      </c>
      <c r="O200" s="85">
        <v>0</v>
      </c>
      <c r="P200" s="85">
        <v>4225.34</v>
      </c>
      <c r="Q200" s="85">
        <v>4774.63</v>
      </c>
      <c r="R200" s="85">
        <v>549.29</v>
      </c>
      <c r="S200" s="85">
        <v>4774.63</v>
      </c>
      <c r="T200" s="85">
        <v>0</v>
      </c>
      <c r="U200" s="82"/>
      <c r="V200" s="82" t="s">
        <v>3399</v>
      </c>
      <c r="W200" s="82" t="s">
        <v>3395</v>
      </c>
      <c r="X200" s="82" t="s">
        <v>3394</v>
      </c>
      <c r="Y200" s="82" t="s">
        <v>3393</v>
      </c>
    </row>
    <row r="201" spans="1:25" ht="10.9" customHeight="1" x14ac:dyDescent="0.2">
      <c r="A201" s="82" t="s">
        <v>2411</v>
      </c>
      <c r="B201" s="82" t="s">
        <v>98</v>
      </c>
      <c r="C201" s="83">
        <v>45713</v>
      </c>
      <c r="D201" s="83">
        <v>45743</v>
      </c>
      <c r="E201" s="83">
        <v>45749</v>
      </c>
      <c r="F201" s="83">
        <v>45742</v>
      </c>
      <c r="G201" s="83">
        <v>45713</v>
      </c>
      <c r="H201" s="82" t="s">
        <v>2022</v>
      </c>
      <c r="I201" s="82" t="s">
        <v>22</v>
      </c>
      <c r="J201" s="84">
        <v>0</v>
      </c>
      <c r="K201" s="85">
        <v>1031.46</v>
      </c>
      <c r="L201" s="85">
        <v>1165.53</v>
      </c>
      <c r="M201" s="85">
        <v>134.07</v>
      </c>
      <c r="N201" s="85">
        <v>1165.53</v>
      </c>
      <c r="O201" s="85">
        <v>0</v>
      </c>
      <c r="P201" s="85">
        <v>1031.46</v>
      </c>
      <c r="Q201" s="85">
        <v>1165.53</v>
      </c>
      <c r="R201" s="85">
        <v>134.07</v>
      </c>
      <c r="S201" s="85">
        <v>1165.53</v>
      </c>
      <c r="T201" s="85">
        <v>0</v>
      </c>
      <c r="U201" s="82"/>
      <c r="V201" s="82" t="s">
        <v>3399</v>
      </c>
      <c r="W201" s="82" t="s">
        <v>3395</v>
      </c>
      <c r="X201" s="82" t="s">
        <v>3394</v>
      </c>
      <c r="Y201" s="82" t="s">
        <v>3393</v>
      </c>
    </row>
    <row r="202" spans="1:25" ht="10.9" customHeight="1" x14ac:dyDescent="0.2">
      <c r="A202" s="82" t="s">
        <v>2475</v>
      </c>
      <c r="B202" s="82" t="s">
        <v>98</v>
      </c>
      <c r="C202" s="83">
        <v>45713</v>
      </c>
      <c r="D202" s="83">
        <v>45743</v>
      </c>
      <c r="E202" s="83">
        <v>45749</v>
      </c>
      <c r="F202" s="83">
        <v>45742</v>
      </c>
      <c r="G202" s="83">
        <v>45713</v>
      </c>
      <c r="H202" s="82" t="s">
        <v>1912</v>
      </c>
      <c r="I202" s="82" t="s">
        <v>22</v>
      </c>
      <c r="J202" s="84">
        <v>0</v>
      </c>
      <c r="K202" s="85">
        <v>149.94</v>
      </c>
      <c r="L202" s="85">
        <v>169.43</v>
      </c>
      <c r="M202" s="85">
        <v>19.489999999999998</v>
      </c>
      <c r="N202" s="85">
        <v>169.43</v>
      </c>
      <c r="O202" s="85">
        <v>0</v>
      </c>
      <c r="P202" s="85">
        <v>149.94</v>
      </c>
      <c r="Q202" s="85">
        <v>169.43</v>
      </c>
      <c r="R202" s="85">
        <v>19.489999999999998</v>
      </c>
      <c r="S202" s="85">
        <v>169.43</v>
      </c>
      <c r="T202" s="85">
        <v>0</v>
      </c>
      <c r="U202" s="82"/>
      <c r="V202" s="82" t="s">
        <v>3399</v>
      </c>
      <c r="W202" s="82" t="s">
        <v>3395</v>
      </c>
      <c r="X202" s="82" t="s">
        <v>3394</v>
      </c>
      <c r="Y202" s="82" t="s">
        <v>3393</v>
      </c>
    </row>
    <row r="203" spans="1:25" ht="10.9" customHeight="1" x14ac:dyDescent="0.2">
      <c r="A203" s="82" t="s">
        <v>3656</v>
      </c>
      <c r="B203" s="82" t="s">
        <v>98</v>
      </c>
      <c r="C203" s="83">
        <v>45713</v>
      </c>
      <c r="D203" s="83">
        <v>45743</v>
      </c>
      <c r="E203" s="83">
        <v>45749</v>
      </c>
      <c r="F203" s="83">
        <v>45742</v>
      </c>
      <c r="G203" s="83">
        <v>45713</v>
      </c>
      <c r="H203" s="82" t="s">
        <v>3655</v>
      </c>
      <c r="I203" s="82" t="s">
        <v>22</v>
      </c>
      <c r="J203" s="84">
        <v>0</v>
      </c>
      <c r="K203" s="85">
        <v>4222.08</v>
      </c>
      <c r="L203" s="85">
        <v>4770.95</v>
      </c>
      <c r="M203" s="85">
        <v>548.87</v>
      </c>
      <c r="N203" s="85">
        <v>4770.95</v>
      </c>
      <c r="O203" s="85">
        <v>0</v>
      </c>
      <c r="P203" s="85">
        <v>4222.08</v>
      </c>
      <c r="Q203" s="85">
        <v>4770.95</v>
      </c>
      <c r="R203" s="85">
        <v>548.87</v>
      </c>
      <c r="S203" s="85">
        <v>4770.95</v>
      </c>
      <c r="T203" s="85">
        <v>0</v>
      </c>
      <c r="U203" s="82"/>
      <c r="V203" s="82" t="s">
        <v>3399</v>
      </c>
      <c r="W203" s="82" t="s">
        <v>3395</v>
      </c>
      <c r="X203" s="82" t="s">
        <v>3394</v>
      </c>
      <c r="Y203" s="82" t="s">
        <v>3393</v>
      </c>
    </row>
    <row r="204" spans="1:25" ht="10.9" customHeight="1" x14ac:dyDescent="0.2">
      <c r="A204" s="82" t="s">
        <v>2473</v>
      </c>
      <c r="B204" s="82" t="s">
        <v>98</v>
      </c>
      <c r="C204" s="83">
        <v>45713</v>
      </c>
      <c r="D204" s="83">
        <v>45743</v>
      </c>
      <c r="E204" s="83">
        <v>45749</v>
      </c>
      <c r="F204" s="83">
        <v>45742</v>
      </c>
      <c r="G204" s="83">
        <v>45713</v>
      </c>
      <c r="H204" s="82" t="s">
        <v>1916</v>
      </c>
      <c r="I204" s="82" t="s">
        <v>22</v>
      </c>
      <c r="J204" s="84">
        <v>0</v>
      </c>
      <c r="K204" s="85">
        <v>451.47</v>
      </c>
      <c r="L204" s="85">
        <v>510.16</v>
      </c>
      <c r="M204" s="85">
        <v>58.69</v>
      </c>
      <c r="N204" s="85">
        <v>510.16</v>
      </c>
      <c r="O204" s="85">
        <v>0</v>
      </c>
      <c r="P204" s="85">
        <v>451.47</v>
      </c>
      <c r="Q204" s="85">
        <v>510.16</v>
      </c>
      <c r="R204" s="85">
        <v>58.69</v>
      </c>
      <c r="S204" s="85">
        <v>510.16</v>
      </c>
      <c r="T204" s="85">
        <v>0</v>
      </c>
      <c r="U204" s="82"/>
      <c r="V204" s="82" t="s">
        <v>3399</v>
      </c>
      <c r="W204" s="82" t="s">
        <v>3395</v>
      </c>
      <c r="X204" s="82" t="s">
        <v>3394</v>
      </c>
      <c r="Y204" s="82" t="s">
        <v>3393</v>
      </c>
    </row>
    <row r="205" spans="1:25" ht="10.9" customHeight="1" x14ac:dyDescent="0.2">
      <c r="A205" s="82" t="s">
        <v>2458</v>
      </c>
      <c r="B205" s="82" t="s">
        <v>556</v>
      </c>
      <c r="C205" s="83">
        <v>45713</v>
      </c>
      <c r="D205" s="83">
        <v>45743</v>
      </c>
      <c r="E205" s="83">
        <v>45758</v>
      </c>
      <c r="F205" s="83">
        <v>45751</v>
      </c>
      <c r="G205" s="83">
        <v>45713</v>
      </c>
      <c r="H205" s="82" t="s">
        <v>1945</v>
      </c>
      <c r="I205" s="82" t="s">
        <v>22</v>
      </c>
      <c r="J205" s="84">
        <v>0</v>
      </c>
      <c r="K205" s="85">
        <v>444.46</v>
      </c>
      <c r="L205" s="85">
        <v>502.24</v>
      </c>
      <c r="M205" s="85">
        <v>57.78</v>
      </c>
      <c r="N205" s="85">
        <v>502.24</v>
      </c>
      <c r="O205" s="85">
        <v>0</v>
      </c>
      <c r="P205" s="85">
        <v>444.46</v>
      </c>
      <c r="Q205" s="85">
        <v>502.24</v>
      </c>
      <c r="R205" s="85">
        <v>57.78</v>
      </c>
      <c r="S205" s="85">
        <v>502.24</v>
      </c>
      <c r="T205" s="85">
        <v>0</v>
      </c>
      <c r="U205" s="82"/>
      <c r="V205" s="82" t="s">
        <v>3399</v>
      </c>
      <c r="W205" s="82" t="s">
        <v>3395</v>
      </c>
      <c r="X205" s="82" t="s">
        <v>3394</v>
      </c>
      <c r="Y205" s="82" t="s">
        <v>3393</v>
      </c>
    </row>
    <row r="206" spans="1:25" ht="10.9" customHeight="1" x14ac:dyDescent="0.2">
      <c r="A206" s="82" t="s">
        <v>2468</v>
      </c>
      <c r="B206" s="82" t="s">
        <v>3412</v>
      </c>
      <c r="C206" s="83">
        <v>45713</v>
      </c>
      <c r="D206" s="83">
        <v>45758</v>
      </c>
      <c r="E206" s="83">
        <v>45758</v>
      </c>
      <c r="F206" s="83">
        <v>45751</v>
      </c>
      <c r="G206" s="83">
        <v>45713</v>
      </c>
      <c r="H206" s="82" t="s">
        <v>1924</v>
      </c>
      <c r="I206" s="82" t="s">
        <v>22</v>
      </c>
      <c r="J206" s="84">
        <v>0</v>
      </c>
      <c r="K206" s="85">
        <v>2985.04</v>
      </c>
      <c r="L206" s="85">
        <v>3134.29</v>
      </c>
      <c r="M206" s="85">
        <v>149.25</v>
      </c>
      <c r="N206" s="85">
        <v>3134.29</v>
      </c>
      <c r="O206" s="85">
        <v>0</v>
      </c>
      <c r="P206" s="85">
        <v>2985.04</v>
      </c>
      <c r="Q206" s="85">
        <v>3134.29</v>
      </c>
      <c r="R206" s="85">
        <v>149.25</v>
      </c>
      <c r="S206" s="85">
        <v>3134.29</v>
      </c>
      <c r="T206" s="85">
        <v>0</v>
      </c>
      <c r="U206" s="82"/>
      <c r="V206" s="82" t="s">
        <v>3399</v>
      </c>
      <c r="W206" s="82" t="s">
        <v>3395</v>
      </c>
      <c r="X206" s="82" t="s">
        <v>3394</v>
      </c>
      <c r="Y206" s="82" t="s">
        <v>3393</v>
      </c>
    </row>
    <row r="207" spans="1:25" ht="10.9" customHeight="1" x14ac:dyDescent="0.2">
      <c r="A207" s="82" t="s">
        <v>2453</v>
      </c>
      <c r="B207" s="82" t="s">
        <v>429</v>
      </c>
      <c r="C207" s="83">
        <v>45713</v>
      </c>
      <c r="D207" s="83">
        <v>45713</v>
      </c>
      <c r="E207" s="83">
        <v>45713</v>
      </c>
      <c r="F207" s="83">
        <v>45708</v>
      </c>
      <c r="G207" s="83">
        <v>45713</v>
      </c>
      <c r="H207" s="82" t="s">
        <v>1951</v>
      </c>
      <c r="I207" s="82" t="s">
        <v>22</v>
      </c>
      <c r="J207" s="84">
        <v>0</v>
      </c>
      <c r="K207" s="85">
        <v>1508.72</v>
      </c>
      <c r="L207" s="85">
        <v>1584.16</v>
      </c>
      <c r="M207" s="85">
        <v>75.44</v>
      </c>
      <c r="N207" s="85">
        <v>1584.16</v>
      </c>
      <c r="O207" s="85">
        <v>0</v>
      </c>
      <c r="P207" s="85">
        <v>1508.72</v>
      </c>
      <c r="Q207" s="85">
        <v>1584.16</v>
      </c>
      <c r="R207" s="85">
        <v>75.44</v>
      </c>
      <c r="S207" s="85">
        <v>1584.16</v>
      </c>
      <c r="T207" s="85">
        <v>0</v>
      </c>
      <c r="U207" s="82"/>
      <c r="V207" s="82" t="s">
        <v>3399</v>
      </c>
      <c r="W207" s="82" t="s">
        <v>3395</v>
      </c>
      <c r="X207" s="82" t="s">
        <v>3397</v>
      </c>
      <c r="Y207" s="82" t="s">
        <v>3393</v>
      </c>
    </row>
    <row r="208" spans="1:25" ht="10.9" customHeight="1" x14ac:dyDescent="0.2">
      <c r="A208" s="82" t="s">
        <v>2455</v>
      </c>
      <c r="B208" s="82" t="s">
        <v>39</v>
      </c>
      <c r="C208" s="83">
        <v>45713</v>
      </c>
      <c r="D208" s="83">
        <v>45743</v>
      </c>
      <c r="E208" s="83">
        <v>45743</v>
      </c>
      <c r="F208" s="83">
        <v>45743</v>
      </c>
      <c r="G208" s="83">
        <v>45713</v>
      </c>
      <c r="H208" s="82" t="s">
        <v>1947</v>
      </c>
      <c r="I208" s="82" t="s">
        <v>22</v>
      </c>
      <c r="J208" s="84">
        <v>0</v>
      </c>
      <c r="K208" s="85">
        <v>290.88</v>
      </c>
      <c r="L208" s="85">
        <v>305.43</v>
      </c>
      <c r="M208" s="85">
        <v>14.55</v>
      </c>
      <c r="N208" s="85">
        <v>305.43</v>
      </c>
      <c r="O208" s="85">
        <v>0</v>
      </c>
      <c r="P208" s="85">
        <v>290.88</v>
      </c>
      <c r="Q208" s="85">
        <v>305.43</v>
      </c>
      <c r="R208" s="85">
        <v>14.55</v>
      </c>
      <c r="S208" s="85">
        <v>305.43</v>
      </c>
      <c r="T208" s="85">
        <v>0</v>
      </c>
      <c r="U208" s="82"/>
      <c r="V208" s="82" t="s">
        <v>3399</v>
      </c>
      <c r="W208" s="82" t="s">
        <v>3395</v>
      </c>
      <c r="X208" s="82" t="s">
        <v>3394</v>
      </c>
      <c r="Y208" s="82" t="s">
        <v>3393</v>
      </c>
    </row>
    <row r="209" spans="1:25" ht="10.9" customHeight="1" x14ac:dyDescent="0.2">
      <c r="A209" s="82" t="s">
        <v>2446</v>
      </c>
      <c r="B209" s="82" t="s">
        <v>644</v>
      </c>
      <c r="C209" s="83">
        <v>45714</v>
      </c>
      <c r="D209" s="83">
        <v>45744</v>
      </c>
      <c r="E209" s="83">
        <v>45765</v>
      </c>
      <c r="F209" s="83">
        <v>45743</v>
      </c>
      <c r="G209" s="83">
        <v>45714</v>
      </c>
      <c r="H209" s="82" t="s">
        <v>1966</v>
      </c>
      <c r="I209" s="82" t="s">
        <v>51</v>
      </c>
      <c r="J209" s="84">
        <v>0.69649499999999998</v>
      </c>
      <c r="K209" s="85">
        <v>5272.46</v>
      </c>
      <c r="L209" s="85">
        <v>5272.46</v>
      </c>
      <c r="M209" s="85">
        <v>0</v>
      </c>
      <c r="N209" s="85">
        <v>5272.46</v>
      </c>
      <c r="O209" s="85">
        <v>0</v>
      </c>
      <c r="P209" s="85">
        <v>7569.9897343125222</v>
      </c>
      <c r="Q209" s="85">
        <v>7569.9897343125222</v>
      </c>
      <c r="R209" s="85">
        <v>0</v>
      </c>
      <c r="S209" s="85">
        <v>7547.6878999999999</v>
      </c>
      <c r="T209" s="85">
        <v>0</v>
      </c>
      <c r="U209" s="82"/>
      <c r="V209" s="82" t="s">
        <v>3399</v>
      </c>
      <c r="W209" s="82" t="s">
        <v>3395</v>
      </c>
      <c r="X209" s="82" t="s">
        <v>3394</v>
      </c>
      <c r="Y209" s="82" t="s">
        <v>3393</v>
      </c>
    </row>
    <row r="210" spans="1:25" ht="10.9" customHeight="1" x14ac:dyDescent="0.2">
      <c r="A210" s="82" t="s">
        <v>2478</v>
      </c>
      <c r="B210" s="82" t="s">
        <v>465</v>
      </c>
      <c r="C210" s="83">
        <v>45714</v>
      </c>
      <c r="D210" s="83">
        <v>45744</v>
      </c>
      <c r="E210" s="83">
        <v>45765</v>
      </c>
      <c r="F210" s="83">
        <v>45726</v>
      </c>
      <c r="G210" s="83">
        <v>45714</v>
      </c>
      <c r="H210" s="82" t="s">
        <v>1906</v>
      </c>
      <c r="I210" s="82" t="s">
        <v>22</v>
      </c>
      <c r="J210" s="84">
        <v>0</v>
      </c>
      <c r="K210" s="85">
        <v>117.4</v>
      </c>
      <c r="L210" s="85">
        <v>132.66</v>
      </c>
      <c r="M210" s="85">
        <v>15.26</v>
      </c>
      <c r="N210" s="85">
        <v>132.66</v>
      </c>
      <c r="O210" s="85">
        <v>0</v>
      </c>
      <c r="P210" s="85">
        <v>117.4</v>
      </c>
      <c r="Q210" s="85">
        <v>132.66</v>
      </c>
      <c r="R210" s="85">
        <v>15.26</v>
      </c>
      <c r="S210" s="85">
        <v>132.66</v>
      </c>
      <c r="T210" s="85">
        <v>0</v>
      </c>
      <c r="U210" s="82"/>
      <c r="V210" s="82" t="s">
        <v>3399</v>
      </c>
      <c r="W210" s="82" t="s">
        <v>3395</v>
      </c>
      <c r="X210" s="82" t="s">
        <v>3394</v>
      </c>
      <c r="Y210" s="82" t="s">
        <v>3393</v>
      </c>
    </row>
    <row r="211" spans="1:25" ht="10.9" customHeight="1" x14ac:dyDescent="0.2">
      <c r="A211" s="82" t="s">
        <v>3647</v>
      </c>
      <c r="B211" s="82" t="s">
        <v>20</v>
      </c>
      <c r="C211" s="83">
        <v>45714</v>
      </c>
      <c r="D211" s="83">
        <v>45774</v>
      </c>
      <c r="E211" s="83">
        <v>45775</v>
      </c>
      <c r="F211" s="83">
        <v>45772</v>
      </c>
      <c r="G211" s="83">
        <v>45714</v>
      </c>
      <c r="H211" s="82" t="s">
        <v>3646</v>
      </c>
      <c r="I211" s="82" t="s">
        <v>22</v>
      </c>
      <c r="J211" s="84">
        <v>0</v>
      </c>
      <c r="K211" s="85">
        <v>786.1</v>
      </c>
      <c r="L211" s="85">
        <v>825.41</v>
      </c>
      <c r="M211" s="85">
        <v>39.31</v>
      </c>
      <c r="N211" s="85">
        <v>825.41</v>
      </c>
      <c r="O211" s="85">
        <v>0</v>
      </c>
      <c r="P211" s="85">
        <v>786.1</v>
      </c>
      <c r="Q211" s="85">
        <v>825.41</v>
      </c>
      <c r="R211" s="85">
        <v>39.31</v>
      </c>
      <c r="S211" s="85">
        <v>825.41</v>
      </c>
      <c r="T211" s="85">
        <v>0</v>
      </c>
      <c r="U211" s="82"/>
      <c r="V211" s="82" t="s">
        <v>3399</v>
      </c>
      <c r="W211" s="82" t="s">
        <v>3395</v>
      </c>
      <c r="X211" s="82" t="s">
        <v>3394</v>
      </c>
      <c r="Y211" s="82" t="s">
        <v>3393</v>
      </c>
    </row>
    <row r="212" spans="1:25" ht="10.9" customHeight="1" x14ac:dyDescent="0.2">
      <c r="A212" s="82" t="s">
        <v>2413</v>
      </c>
      <c r="B212" s="82" t="s">
        <v>77</v>
      </c>
      <c r="C212" s="83">
        <v>45714</v>
      </c>
      <c r="D212" s="83">
        <v>45744</v>
      </c>
      <c r="E212" s="83">
        <v>45758</v>
      </c>
      <c r="F212" s="83">
        <v>45757</v>
      </c>
      <c r="G212" s="83">
        <v>45715</v>
      </c>
      <c r="H212" s="82" t="s">
        <v>3650</v>
      </c>
      <c r="I212" s="82" t="s">
        <v>22</v>
      </c>
      <c r="J212" s="84">
        <v>0</v>
      </c>
      <c r="K212" s="85">
        <v>57.34</v>
      </c>
      <c r="L212" s="85">
        <v>60.21</v>
      </c>
      <c r="M212" s="85">
        <v>2.87</v>
      </c>
      <c r="N212" s="85">
        <v>60.21</v>
      </c>
      <c r="O212" s="85">
        <v>0</v>
      </c>
      <c r="P212" s="85">
        <v>57.34</v>
      </c>
      <c r="Q212" s="85">
        <v>60.21</v>
      </c>
      <c r="R212" s="85">
        <v>2.87</v>
      </c>
      <c r="S212" s="85">
        <v>60.21</v>
      </c>
      <c r="T212" s="85">
        <v>0</v>
      </c>
      <c r="U212" s="82"/>
      <c r="V212" s="82" t="s">
        <v>3399</v>
      </c>
      <c r="W212" s="82" t="s">
        <v>3395</v>
      </c>
      <c r="X212" s="82" t="s">
        <v>3394</v>
      </c>
      <c r="Y212" s="82" t="s">
        <v>3393</v>
      </c>
    </row>
    <row r="213" spans="1:25" ht="10.9" customHeight="1" x14ac:dyDescent="0.2">
      <c r="A213" s="82" t="s">
        <v>2377</v>
      </c>
      <c r="B213" s="82" t="s">
        <v>77</v>
      </c>
      <c r="C213" s="83">
        <v>45714</v>
      </c>
      <c r="D213" s="83">
        <v>45744</v>
      </c>
      <c r="E213" s="83">
        <v>45758</v>
      </c>
      <c r="F213" s="83">
        <v>45757</v>
      </c>
      <c r="G213" s="83">
        <v>45715</v>
      </c>
      <c r="H213" s="82" t="s">
        <v>2071</v>
      </c>
      <c r="I213" s="82" t="s">
        <v>22</v>
      </c>
      <c r="J213" s="84">
        <v>0</v>
      </c>
      <c r="K213" s="85">
        <v>1229.06</v>
      </c>
      <c r="L213" s="85">
        <v>1290.52</v>
      </c>
      <c r="M213" s="85">
        <v>61.46</v>
      </c>
      <c r="N213" s="85">
        <v>1290.52</v>
      </c>
      <c r="O213" s="85">
        <v>0</v>
      </c>
      <c r="P213" s="85">
        <v>1229.06</v>
      </c>
      <c r="Q213" s="85">
        <v>1290.52</v>
      </c>
      <c r="R213" s="85">
        <v>61.46</v>
      </c>
      <c r="S213" s="85">
        <v>1290.52</v>
      </c>
      <c r="T213" s="85">
        <v>0</v>
      </c>
      <c r="U213" s="82"/>
      <c r="V213" s="82" t="s">
        <v>3399</v>
      </c>
      <c r="W213" s="82" t="s">
        <v>3395</v>
      </c>
      <c r="X213" s="82" t="s">
        <v>3394</v>
      </c>
      <c r="Y213" s="82" t="s">
        <v>3393</v>
      </c>
    </row>
    <row r="214" spans="1:25" ht="10.9" customHeight="1" x14ac:dyDescent="0.2">
      <c r="A214" s="82" t="s">
        <v>2325</v>
      </c>
      <c r="B214" s="82" t="s">
        <v>77</v>
      </c>
      <c r="C214" s="83">
        <v>45714</v>
      </c>
      <c r="D214" s="83">
        <v>45744</v>
      </c>
      <c r="E214" s="83">
        <v>45758</v>
      </c>
      <c r="F214" s="83">
        <v>45757</v>
      </c>
      <c r="G214" s="83">
        <v>45715</v>
      </c>
      <c r="H214" s="82" t="s">
        <v>2162</v>
      </c>
      <c r="I214" s="82" t="s">
        <v>22</v>
      </c>
      <c r="J214" s="84">
        <v>0</v>
      </c>
      <c r="K214" s="85">
        <v>33.979999999999997</v>
      </c>
      <c r="L214" s="85">
        <v>38.4</v>
      </c>
      <c r="M214" s="85">
        <v>4.42</v>
      </c>
      <c r="N214" s="85">
        <v>38.4</v>
      </c>
      <c r="O214" s="85">
        <v>0</v>
      </c>
      <c r="P214" s="85">
        <v>33.979999999999997</v>
      </c>
      <c r="Q214" s="85">
        <v>38.4</v>
      </c>
      <c r="R214" s="85">
        <v>4.42</v>
      </c>
      <c r="S214" s="85">
        <v>38.4</v>
      </c>
      <c r="T214" s="85">
        <v>0</v>
      </c>
      <c r="U214" s="82"/>
      <c r="V214" s="82" t="s">
        <v>3399</v>
      </c>
      <c r="W214" s="82" t="s">
        <v>3395</v>
      </c>
      <c r="X214" s="82" t="s">
        <v>3394</v>
      </c>
      <c r="Y214" s="82" t="s">
        <v>3393</v>
      </c>
    </row>
    <row r="215" spans="1:25" ht="10.9" customHeight="1" x14ac:dyDescent="0.2">
      <c r="A215" s="82" t="s">
        <v>2479</v>
      </c>
      <c r="B215" s="82" t="s">
        <v>290</v>
      </c>
      <c r="C215" s="83">
        <v>45714</v>
      </c>
      <c r="D215" s="83">
        <v>45774</v>
      </c>
      <c r="E215" s="83">
        <v>45775</v>
      </c>
      <c r="F215" s="83">
        <v>45772</v>
      </c>
      <c r="G215" s="83">
        <v>45715</v>
      </c>
      <c r="H215" s="82" t="s">
        <v>1904</v>
      </c>
      <c r="I215" s="82" t="s">
        <v>22</v>
      </c>
      <c r="J215" s="84">
        <v>0</v>
      </c>
      <c r="K215" s="85">
        <v>939.78</v>
      </c>
      <c r="L215" s="85">
        <v>986.77</v>
      </c>
      <c r="M215" s="85">
        <v>46.99</v>
      </c>
      <c r="N215" s="85">
        <v>986.77</v>
      </c>
      <c r="O215" s="85">
        <v>0</v>
      </c>
      <c r="P215" s="85">
        <v>939.78</v>
      </c>
      <c r="Q215" s="85">
        <v>986.77</v>
      </c>
      <c r="R215" s="85">
        <v>46.99</v>
      </c>
      <c r="S215" s="85">
        <v>986.77</v>
      </c>
      <c r="T215" s="85">
        <v>0</v>
      </c>
      <c r="U215" s="82"/>
      <c r="V215" s="82" t="s">
        <v>3399</v>
      </c>
      <c r="W215" s="82" t="s">
        <v>3395</v>
      </c>
      <c r="X215" s="82" t="s">
        <v>3394</v>
      </c>
      <c r="Y215" s="82" t="s">
        <v>3393</v>
      </c>
    </row>
    <row r="216" spans="1:25" ht="10.9" customHeight="1" x14ac:dyDescent="0.2">
      <c r="A216" s="82" t="s">
        <v>3649</v>
      </c>
      <c r="B216" s="82" t="s">
        <v>86</v>
      </c>
      <c r="C216" s="83">
        <v>45714</v>
      </c>
      <c r="D216" s="83">
        <v>45744</v>
      </c>
      <c r="E216" s="83">
        <v>45744</v>
      </c>
      <c r="F216" s="83">
        <v>45744</v>
      </c>
      <c r="G216" s="83">
        <v>45715</v>
      </c>
      <c r="H216" s="82" t="s">
        <v>3648</v>
      </c>
      <c r="I216" s="82" t="s">
        <v>22</v>
      </c>
      <c r="J216" s="84">
        <v>0</v>
      </c>
      <c r="K216" s="85">
        <v>4310.29</v>
      </c>
      <c r="L216" s="85">
        <v>4870.63</v>
      </c>
      <c r="M216" s="85">
        <v>560.34</v>
      </c>
      <c r="N216" s="85">
        <v>4870.63</v>
      </c>
      <c r="O216" s="85">
        <v>0</v>
      </c>
      <c r="P216" s="85">
        <v>4310.29</v>
      </c>
      <c r="Q216" s="85">
        <v>4870.63</v>
      </c>
      <c r="R216" s="85">
        <v>560.34</v>
      </c>
      <c r="S216" s="85">
        <v>4870.63</v>
      </c>
      <c r="T216" s="85">
        <v>0</v>
      </c>
      <c r="U216" s="82"/>
      <c r="V216" s="82" t="s">
        <v>3399</v>
      </c>
      <c r="W216" s="82" t="s">
        <v>3395</v>
      </c>
      <c r="X216" s="82" t="s">
        <v>3394</v>
      </c>
      <c r="Y216" s="82" t="s">
        <v>3393</v>
      </c>
    </row>
    <row r="217" spans="1:25" ht="10.9" customHeight="1" x14ac:dyDescent="0.2">
      <c r="A217" s="82" t="s">
        <v>2441</v>
      </c>
      <c r="B217" s="82" t="s">
        <v>192</v>
      </c>
      <c r="C217" s="83">
        <v>45715</v>
      </c>
      <c r="D217" s="83">
        <v>45745</v>
      </c>
      <c r="E217" s="83">
        <v>45771</v>
      </c>
      <c r="F217" s="83">
        <v>45779</v>
      </c>
      <c r="G217" s="83">
        <v>45715</v>
      </c>
      <c r="H217" s="82" t="s">
        <v>1974</v>
      </c>
      <c r="I217" s="82" t="s">
        <v>51</v>
      </c>
      <c r="J217" s="84">
        <v>0.69245400000000001</v>
      </c>
      <c r="K217" s="85">
        <v>339.52</v>
      </c>
      <c r="L217" s="85">
        <v>339.52</v>
      </c>
      <c r="M217" s="85">
        <v>0</v>
      </c>
      <c r="N217" s="85">
        <v>339.52</v>
      </c>
      <c r="O217" s="85">
        <v>0</v>
      </c>
      <c r="P217" s="85">
        <v>490.314158052376</v>
      </c>
      <c r="Q217" s="85">
        <v>490.314158052376</v>
      </c>
      <c r="R217" s="85">
        <v>0</v>
      </c>
      <c r="S217" s="85">
        <v>468.23559999999998</v>
      </c>
      <c r="T217" s="85">
        <v>0</v>
      </c>
      <c r="U217" s="82"/>
      <c r="V217" s="82" t="s">
        <v>3399</v>
      </c>
      <c r="W217" s="82" t="s">
        <v>3395</v>
      </c>
      <c r="X217" s="82" t="s">
        <v>3394</v>
      </c>
      <c r="Y217" s="82" t="s">
        <v>3393</v>
      </c>
    </row>
    <row r="218" spans="1:25" ht="10.9" customHeight="1" x14ac:dyDescent="0.2">
      <c r="A218" s="82" t="s">
        <v>2467</v>
      </c>
      <c r="B218" s="82" t="s">
        <v>1927</v>
      </c>
      <c r="C218" s="83">
        <v>45715</v>
      </c>
      <c r="D218" s="83">
        <v>45775</v>
      </c>
      <c r="E218" s="83">
        <v>45806</v>
      </c>
      <c r="F218" s="83">
        <v>45822</v>
      </c>
      <c r="G218" s="83">
        <v>45715</v>
      </c>
      <c r="H218" s="82" t="s">
        <v>1926</v>
      </c>
      <c r="I218" s="82" t="s">
        <v>51</v>
      </c>
      <c r="J218" s="84">
        <v>0.69221900000000003</v>
      </c>
      <c r="K218" s="85">
        <v>6589.5</v>
      </c>
      <c r="L218" s="85">
        <v>6589.5</v>
      </c>
      <c r="M218" s="85">
        <v>0</v>
      </c>
      <c r="N218" s="85">
        <v>6589.5</v>
      </c>
      <c r="O218" s="85">
        <v>0</v>
      </c>
      <c r="P218" s="85">
        <v>9519.3862058105879</v>
      </c>
      <c r="Q218" s="85">
        <v>9519.3862058105879</v>
      </c>
      <c r="R218" s="85">
        <v>0</v>
      </c>
      <c r="S218" s="85">
        <v>8951.6412</v>
      </c>
      <c r="T218" s="85">
        <v>0</v>
      </c>
      <c r="U218" s="82"/>
      <c r="V218" s="82" t="s">
        <v>3399</v>
      </c>
      <c r="W218" s="82" t="s">
        <v>3395</v>
      </c>
      <c r="X218" s="82" t="s">
        <v>3394</v>
      </c>
      <c r="Y218" s="82" t="s">
        <v>3393</v>
      </c>
    </row>
    <row r="219" spans="1:25" ht="10.9" customHeight="1" x14ac:dyDescent="0.2">
      <c r="A219" s="82" t="s">
        <v>3645</v>
      </c>
      <c r="B219" s="82" t="s">
        <v>1231</v>
      </c>
      <c r="C219" s="83">
        <v>45715</v>
      </c>
      <c r="D219" s="83">
        <v>45715</v>
      </c>
      <c r="E219" s="83">
        <v>45715</v>
      </c>
      <c r="F219" s="83">
        <v>45715</v>
      </c>
      <c r="G219" s="83">
        <v>45715</v>
      </c>
      <c r="H219" s="82" t="s">
        <v>3535</v>
      </c>
      <c r="I219" s="82" t="s">
        <v>22</v>
      </c>
      <c r="J219" s="84">
        <v>0</v>
      </c>
      <c r="K219" s="85">
        <v>540.36</v>
      </c>
      <c r="L219" s="85">
        <v>567.38</v>
      </c>
      <c r="M219" s="85">
        <v>27.02</v>
      </c>
      <c r="N219" s="85">
        <v>567.38</v>
      </c>
      <c r="O219" s="85">
        <v>0</v>
      </c>
      <c r="P219" s="85">
        <v>540.36</v>
      </c>
      <c r="Q219" s="85">
        <v>567.38</v>
      </c>
      <c r="R219" s="85">
        <v>27.02</v>
      </c>
      <c r="S219" s="85">
        <v>567.38</v>
      </c>
      <c r="T219" s="85">
        <v>0</v>
      </c>
      <c r="U219" s="82"/>
      <c r="V219" s="82" t="s">
        <v>3399</v>
      </c>
      <c r="W219" s="82" t="s">
        <v>3395</v>
      </c>
      <c r="X219" s="82" t="s">
        <v>3397</v>
      </c>
      <c r="Y219" s="82" t="s">
        <v>3393</v>
      </c>
    </row>
    <row r="220" spans="1:25" ht="10.9" customHeight="1" x14ac:dyDescent="0.2">
      <c r="A220" s="82" t="s">
        <v>2323</v>
      </c>
      <c r="B220" s="82" t="s">
        <v>54</v>
      </c>
      <c r="C220" s="83">
        <v>45715</v>
      </c>
      <c r="D220" s="83">
        <v>45745</v>
      </c>
      <c r="E220" s="83">
        <v>45751</v>
      </c>
      <c r="F220" s="83">
        <v>45768</v>
      </c>
      <c r="G220" s="83">
        <v>45716</v>
      </c>
      <c r="H220" s="82" t="s">
        <v>2166</v>
      </c>
      <c r="I220" s="82" t="s">
        <v>22</v>
      </c>
      <c r="J220" s="84">
        <v>0</v>
      </c>
      <c r="K220" s="85">
        <v>310.95</v>
      </c>
      <c r="L220" s="85">
        <v>326.5</v>
      </c>
      <c r="M220" s="85">
        <v>15.55</v>
      </c>
      <c r="N220" s="85">
        <v>326.5</v>
      </c>
      <c r="O220" s="85">
        <v>0</v>
      </c>
      <c r="P220" s="85">
        <v>310.95</v>
      </c>
      <c r="Q220" s="85">
        <v>326.5</v>
      </c>
      <c r="R220" s="85">
        <v>15.55</v>
      </c>
      <c r="S220" s="85">
        <v>326.5</v>
      </c>
      <c r="T220" s="85">
        <v>0</v>
      </c>
      <c r="U220" s="82"/>
      <c r="V220" s="82" t="s">
        <v>3399</v>
      </c>
      <c r="W220" s="82" t="s">
        <v>3395</v>
      </c>
      <c r="X220" s="82" t="s">
        <v>3394</v>
      </c>
      <c r="Y220" s="82" t="s">
        <v>3393</v>
      </c>
    </row>
    <row r="221" spans="1:25" ht="10.9" customHeight="1" x14ac:dyDescent="0.2">
      <c r="A221" s="82" t="s">
        <v>2487</v>
      </c>
      <c r="B221" s="82" t="s">
        <v>54</v>
      </c>
      <c r="C221" s="83">
        <v>45715</v>
      </c>
      <c r="D221" s="83">
        <v>45745</v>
      </c>
      <c r="E221" s="83">
        <v>45751</v>
      </c>
      <c r="F221" s="83">
        <v>45768</v>
      </c>
      <c r="G221" s="83">
        <v>45715</v>
      </c>
      <c r="H221" s="82" t="s">
        <v>1888</v>
      </c>
      <c r="I221" s="82" t="s">
        <v>22</v>
      </c>
      <c r="J221" s="84">
        <v>0</v>
      </c>
      <c r="K221" s="85">
        <v>1927.29</v>
      </c>
      <c r="L221" s="85">
        <v>2023.65</v>
      </c>
      <c r="M221" s="85">
        <v>96.36</v>
      </c>
      <c r="N221" s="85">
        <v>2023.65</v>
      </c>
      <c r="O221" s="85">
        <v>0</v>
      </c>
      <c r="P221" s="85">
        <v>1927.29</v>
      </c>
      <c r="Q221" s="85">
        <v>2023.65</v>
      </c>
      <c r="R221" s="85">
        <v>96.36</v>
      </c>
      <c r="S221" s="85">
        <v>2023.65</v>
      </c>
      <c r="T221" s="85">
        <v>0</v>
      </c>
      <c r="U221" s="82"/>
      <c r="V221" s="82" t="s">
        <v>3399</v>
      </c>
      <c r="W221" s="82" t="s">
        <v>3395</v>
      </c>
      <c r="X221" s="82" t="s">
        <v>3394</v>
      </c>
      <c r="Y221" s="82" t="s">
        <v>3393</v>
      </c>
    </row>
    <row r="222" spans="1:25" ht="10.9" customHeight="1" x14ac:dyDescent="0.2">
      <c r="A222" s="82" t="s">
        <v>2273</v>
      </c>
      <c r="B222" s="82" t="s">
        <v>54</v>
      </c>
      <c r="C222" s="83">
        <v>45715</v>
      </c>
      <c r="D222" s="83">
        <v>45745</v>
      </c>
      <c r="E222" s="83">
        <v>45751</v>
      </c>
      <c r="F222" s="83">
        <v>45768</v>
      </c>
      <c r="G222" s="83">
        <v>45716</v>
      </c>
      <c r="H222" s="82" t="s">
        <v>2262</v>
      </c>
      <c r="I222" s="82" t="s">
        <v>22</v>
      </c>
      <c r="J222" s="84">
        <v>0</v>
      </c>
      <c r="K222" s="85">
        <v>1081.44</v>
      </c>
      <c r="L222" s="85">
        <v>1135.51</v>
      </c>
      <c r="M222" s="85">
        <v>54.07</v>
      </c>
      <c r="N222" s="85">
        <v>1135.51</v>
      </c>
      <c r="O222" s="85">
        <v>0</v>
      </c>
      <c r="P222" s="85">
        <v>1081.44</v>
      </c>
      <c r="Q222" s="85">
        <v>1135.51</v>
      </c>
      <c r="R222" s="85">
        <v>54.07</v>
      </c>
      <c r="S222" s="85">
        <v>1135.51</v>
      </c>
      <c r="T222" s="85">
        <v>0</v>
      </c>
      <c r="U222" s="82"/>
      <c r="V222" s="82" t="s">
        <v>3399</v>
      </c>
      <c r="W222" s="82" t="s">
        <v>3395</v>
      </c>
      <c r="X222" s="82" t="s">
        <v>3394</v>
      </c>
      <c r="Y222" s="82" t="s">
        <v>3393</v>
      </c>
    </row>
    <row r="223" spans="1:25" ht="10.9" customHeight="1" x14ac:dyDescent="0.2">
      <c r="A223" s="82" t="s">
        <v>2425</v>
      </c>
      <c r="B223" s="82" t="s">
        <v>54</v>
      </c>
      <c r="C223" s="83">
        <v>45715</v>
      </c>
      <c r="D223" s="83">
        <v>45745</v>
      </c>
      <c r="E223" s="83">
        <v>45751</v>
      </c>
      <c r="F223" s="83">
        <v>45768</v>
      </c>
      <c r="G223" s="83">
        <v>45715</v>
      </c>
      <c r="H223" s="82" t="s">
        <v>2002</v>
      </c>
      <c r="I223" s="82" t="s">
        <v>22</v>
      </c>
      <c r="J223" s="84">
        <v>0</v>
      </c>
      <c r="K223" s="85">
        <v>1914.28</v>
      </c>
      <c r="L223" s="85">
        <v>2009.99</v>
      </c>
      <c r="M223" s="85">
        <v>95.71</v>
      </c>
      <c r="N223" s="85">
        <v>2009.99</v>
      </c>
      <c r="O223" s="85">
        <v>0</v>
      </c>
      <c r="P223" s="85">
        <v>1914.28</v>
      </c>
      <c r="Q223" s="85">
        <v>2009.99</v>
      </c>
      <c r="R223" s="85">
        <v>95.71</v>
      </c>
      <c r="S223" s="85">
        <v>2009.99</v>
      </c>
      <c r="T223" s="85">
        <v>0</v>
      </c>
      <c r="U223" s="82"/>
      <c r="V223" s="82" t="s">
        <v>3399</v>
      </c>
      <c r="W223" s="82" t="s">
        <v>3395</v>
      </c>
      <c r="X223" s="82" t="s">
        <v>3394</v>
      </c>
      <c r="Y223" s="82" t="s">
        <v>3393</v>
      </c>
    </row>
    <row r="224" spans="1:25" ht="10.9" customHeight="1" x14ac:dyDescent="0.2">
      <c r="A224" s="82" t="s">
        <v>2485</v>
      </c>
      <c r="B224" s="82" t="s">
        <v>146</v>
      </c>
      <c r="C224" s="83">
        <v>45715</v>
      </c>
      <c r="D224" s="83">
        <v>45745</v>
      </c>
      <c r="E224" s="83">
        <v>45758</v>
      </c>
      <c r="F224" s="83">
        <v>45751</v>
      </c>
      <c r="G224" s="83">
        <v>45715</v>
      </c>
      <c r="H224" s="82" t="s">
        <v>1892</v>
      </c>
      <c r="I224" s="82" t="s">
        <v>22</v>
      </c>
      <c r="J224" s="84">
        <v>0</v>
      </c>
      <c r="K224" s="85">
        <v>454.78</v>
      </c>
      <c r="L224" s="85">
        <v>477.52</v>
      </c>
      <c r="M224" s="85">
        <v>22.74</v>
      </c>
      <c r="N224" s="85">
        <v>477.52</v>
      </c>
      <c r="O224" s="85">
        <v>0</v>
      </c>
      <c r="P224" s="85">
        <v>454.78</v>
      </c>
      <c r="Q224" s="85">
        <v>477.52</v>
      </c>
      <c r="R224" s="85">
        <v>22.74</v>
      </c>
      <c r="S224" s="85">
        <v>477.52</v>
      </c>
      <c r="T224" s="85">
        <v>0</v>
      </c>
      <c r="U224" s="82"/>
      <c r="V224" s="82" t="s">
        <v>3399</v>
      </c>
      <c r="W224" s="82" t="s">
        <v>3395</v>
      </c>
      <c r="X224" s="82" t="s">
        <v>3394</v>
      </c>
      <c r="Y224" s="82" t="s">
        <v>3393</v>
      </c>
    </row>
    <row r="225" spans="1:25" ht="10.9" customHeight="1" x14ac:dyDescent="0.2">
      <c r="A225" s="82" t="s">
        <v>3639</v>
      </c>
      <c r="B225" s="82" t="s">
        <v>129</v>
      </c>
      <c r="C225" s="83">
        <v>45716</v>
      </c>
      <c r="D225" s="83">
        <v>45776</v>
      </c>
      <c r="E225" s="83">
        <v>45776</v>
      </c>
      <c r="F225" s="82"/>
      <c r="G225" s="83">
        <v>45728</v>
      </c>
      <c r="H225" s="82" t="s">
        <v>3638</v>
      </c>
      <c r="I225" s="82" t="s">
        <v>51</v>
      </c>
      <c r="J225" s="84">
        <v>0.69188400000000005</v>
      </c>
      <c r="K225" s="85">
        <v>7722.12</v>
      </c>
      <c r="L225" s="85">
        <v>7722.12</v>
      </c>
      <c r="M225" s="85">
        <v>0</v>
      </c>
      <c r="N225" s="85">
        <v>0</v>
      </c>
      <c r="O225" s="85">
        <v>7722.12</v>
      </c>
      <c r="P225" s="85">
        <v>11161.003867700367</v>
      </c>
      <c r="Q225" s="85">
        <v>11161.003867700367</v>
      </c>
      <c r="R225" s="85">
        <v>0</v>
      </c>
      <c r="S225" s="85">
        <v>0</v>
      </c>
      <c r="T225" s="85">
        <v>10597.99</v>
      </c>
      <c r="U225" s="82" t="s">
        <v>3401</v>
      </c>
      <c r="V225" s="82" t="s">
        <v>3396</v>
      </c>
      <c r="W225" s="82" t="s">
        <v>3395</v>
      </c>
      <c r="X225" s="82" t="s">
        <v>3394</v>
      </c>
      <c r="Y225" s="82" t="s">
        <v>3393</v>
      </c>
    </row>
    <row r="226" spans="1:25" ht="10.9" customHeight="1" x14ac:dyDescent="0.2">
      <c r="A226" s="82" t="s">
        <v>3644</v>
      </c>
      <c r="B226" s="82" t="s">
        <v>3438</v>
      </c>
      <c r="C226" s="83">
        <v>45716</v>
      </c>
      <c r="D226" s="83">
        <v>45747</v>
      </c>
      <c r="E226" s="83">
        <v>45747</v>
      </c>
      <c r="F226" s="83">
        <v>45742</v>
      </c>
      <c r="G226" s="83">
        <v>45730</v>
      </c>
      <c r="H226" s="82" t="s">
        <v>3643</v>
      </c>
      <c r="I226" s="82" t="s">
        <v>22</v>
      </c>
      <c r="J226" s="84">
        <v>0</v>
      </c>
      <c r="K226" s="85">
        <v>4419.04</v>
      </c>
      <c r="L226" s="85">
        <v>4419.04</v>
      </c>
      <c r="M226" s="85">
        <v>0</v>
      </c>
      <c r="N226" s="85">
        <v>4419.04</v>
      </c>
      <c r="O226" s="85">
        <v>0</v>
      </c>
      <c r="P226" s="85">
        <v>4419.04</v>
      </c>
      <c r="Q226" s="85">
        <v>4419.04</v>
      </c>
      <c r="R226" s="85">
        <v>0</v>
      </c>
      <c r="S226" s="85">
        <v>4419.04</v>
      </c>
      <c r="T226" s="85">
        <v>0</v>
      </c>
      <c r="U226" s="82"/>
      <c r="V226" s="82" t="s">
        <v>3399</v>
      </c>
      <c r="W226" s="82" t="s">
        <v>3395</v>
      </c>
      <c r="X226" s="82" t="s">
        <v>3397</v>
      </c>
      <c r="Y226" s="82" t="s">
        <v>3393</v>
      </c>
    </row>
    <row r="227" spans="1:25" ht="10.9" customHeight="1" x14ac:dyDescent="0.2">
      <c r="A227" s="82" t="s">
        <v>3642</v>
      </c>
      <c r="B227" s="82" t="s">
        <v>3641</v>
      </c>
      <c r="C227" s="83">
        <v>45716</v>
      </c>
      <c r="D227" s="83">
        <v>45716</v>
      </c>
      <c r="E227" s="83">
        <v>45716</v>
      </c>
      <c r="F227" s="83">
        <v>45716</v>
      </c>
      <c r="G227" s="83">
        <v>45746</v>
      </c>
      <c r="H227" s="82" t="s">
        <v>3640</v>
      </c>
      <c r="I227" s="82" t="s">
        <v>51</v>
      </c>
      <c r="J227" s="84">
        <v>0.74269399999999997</v>
      </c>
      <c r="K227" s="85">
        <v>6504.83</v>
      </c>
      <c r="L227" s="85">
        <v>6504.83</v>
      </c>
      <c r="M227" s="85">
        <v>0</v>
      </c>
      <c r="N227" s="85">
        <v>6504.83</v>
      </c>
      <c r="O227" s="85">
        <v>0</v>
      </c>
      <c r="P227" s="85">
        <v>8758.4254080415358</v>
      </c>
      <c r="Q227" s="85">
        <v>8758.4254080415358</v>
      </c>
      <c r="R227" s="85">
        <v>0</v>
      </c>
      <c r="S227" s="85">
        <v>8758.4254000000001</v>
      </c>
      <c r="T227" s="85">
        <v>0</v>
      </c>
      <c r="U227" s="82"/>
      <c r="V227" s="82" t="s">
        <v>3399</v>
      </c>
      <c r="W227" s="82" t="s">
        <v>3395</v>
      </c>
      <c r="X227" s="82" t="s">
        <v>3397</v>
      </c>
      <c r="Y227" s="82" t="s">
        <v>3393</v>
      </c>
    </row>
    <row r="228" spans="1:25" ht="10.9" customHeight="1" x14ac:dyDescent="0.2">
      <c r="A228" s="82" t="s">
        <v>3637</v>
      </c>
      <c r="B228" s="82" t="s">
        <v>714</v>
      </c>
      <c r="C228" s="83">
        <v>45716</v>
      </c>
      <c r="D228" s="83">
        <v>45746</v>
      </c>
      <c r="E228" s="83">
        <v>45807</v>
      </c>
      <c r="F228" s="83">
        <v>45804</v>
      </c>
      <c r="G228" s="83">
        <v>45716</v>
      </c>
      <c r="H228" s="82" t="s">
        <v>3513</v>
      </c>
      <c r="I228" s="82" t="s">
        <v>51</v>
      </c>
      <c r="J228" s="84">
        <v>0.69188400000000005</v>
      </c>
      <c r="K228" s="85">
        <v>24174.58</v>
      </c>
      <c r="L228" s="85">
        <v>24174.58</v>
      </c>
      <c r="M228" s="85">
        <v>0</v>
      </c>
      <c r="N228" s="85">
        <v>24174.58</v>
      </c>
      <c r="O228" s="85">
        <v>0</v>
      </c>
      <c r="P228" s="85">
        <v>34940.221193147983</v>
      </c>
      <c r="Q228" s="85">
        <v>34940.221193147983</v>
      </c>
      <c r="R228" s="85">
        <v>0</v>
      </c>
      <c r="S228" s="85">
        <v>33314.012999999999</v>
      </c>
      <c r="T228" s="85">
        <v>0</v>
      </c>
      <c r="U228" s="82"/>
      <c r="V228" s="82" t="s">
        <v>3399</v>
      </c>
      <c r="W228" s="82" t="s">
        <v>3395</v>
      </c>
      <c r="X228" s="82" t="s">
        <v>3394</v>
      </c>
      <c r="Y228" s="82" t="s">
        <v>3393</v>
      </c>
    </row>
    <row r="229" spans="1:25" ht="10.9" customHeight="1" x14ac:dyDescent="0.2">
      <c r="A229" s="82" t="s">
        <v>2493</v>
      </c>
      <c r="B229" s="82" t="s">
        <v>1236</v>
      </c>
      <c r="C229" s="83">
        <v>45716</v>
      </c>
      <c r="D229" s="83">
        <v>45746</v>
      </c>
      <c r="E229" s="83">
        <v>45747</v>
      </c>
      <c r="F229" s="83">
        <v>45747</v>
      </c>
      <c r="G229" s="83">
        <v>45716</v>
      </c>
      <c r="H229" s="82" t="s">
        <v>1874</v>
      </c>
      <c r="I229" s="82" t="s">
        <v>22</v>
      </c>
      <c r="J229" s="84">
        <v>0</v>
      </c>
      <c r="K229" s="85">
        <v>1448.78</v>
      </c>
      <c r="L229" s="85">
        <v>1521.22</v>
      </c>
      <c r="M229" s="85">
        <v>72.44</v>
      </c>
      <c r="N229" s="85">
        <v>1521.22</v>
      </c>
      <c r="O229" s="85">
        <v>0</v>
      </c>
      <c r="P229" s="85">
        <v>1448.78</v>
      </c>
      <c r="Q229" s="85">
        <v>1521.22</v>
      </c>
      <c r="R229" s="85">
        <v>72.44</v>
      </c>
      <c r="S229" s="85">
        <v>1521.22</v>
      </c>
      <c r="T229" s="85">
        <v>0</v>
      </c>
      <c r="U229" s="82"/>
      <c r="V229" s="82" t="s">
        <v>3399</v>
      </c>
      <c r="W229" s="82" t="s">
        <v>3395</v>
      </c>
      <c r="X229" s="82" t="s">
        <v>3394</v>
      </c>
      <c r="Y229" s="82" t="s">
        <v>3393</v>
      </c>
    </row>
    <row r="230" spans="1:25" ht="10.9" customHeight="1" x14ac:dyDescent="0.2">
      <c r="A230" s="82" t="s">
        <v>3636</v>
      </c>
      <c r="B230" s="82" t="s">
        <v>1236</v>
      </c>
      <c r="C230" s="83">
        <v>45717</v>
      </c>
      <c r="D230" s="83">
        <v>45747</v>
      </c>
      <c r="E230" s="83">
        <v>45747</v>
      </c>
      <c r="F230" s="83">
        <v>45805</v>
      </c>
      <c r="G230" s="83">
        <v>45700</v>
      </c>
      <c r="H230" s="82" t="s">
        <v>3549</v>
      </c>
      <c r="I230" s="82" t="s">
        <v>22</v>
      </c>
      <c r="J230" s="84">
        <v>0</v>
      </c>
      <c r="K230" s="85">
        <v>153.49</v>
      </c>
      <c r="L230" s="85">
        <v>161.16</v>
      </c>
      <c r="M230" s="85">
        <v>7.67</v>
      </c>
      <c r="N230" s="85">
        <v>161.16</v>
      </c>
      <c r="O230" s="85">
        <v>0</v>
      </c>
      <c r="P230" s="85">
        <v>153.49</v>
      </c>
      <c r="Q230" s="85">
        <v>161.16</v>
      </c>
      <c r="R230" s="85">
        <v>7.67</v>
      </c>
      <c r="S230" s="85">
        <v>161.16</v>
      </c>
      <c r="T230" s="85">
        <v>0</v>
      </c>
      <c r="U230" s="82"/>
      <c r="V230" s="82" t="s">
        <v>3399</v>
      </c>
      <c r="W230" s="82" t="s">
        <v>3395</v>
      </c>
      <c r="X230" s="82" t="s">
        <v>3394</v>
      </c>
      <c r="Y230" s="82" t="s">
        <v>3393</v>
      </c>
    </row>
    <row r="231" spans="1:25" ht="10.9" customHeight="1" x14ac:dyDescent="0.2">
      <c r="A231" s="82" t="s">
        <v>3635</v>
      </c>
      <c r="B231" s="82" t="s">
        <v>3634</v>
      </c>
      <c r="C231" s="83">
        <v>45719</v>
      </c>
      <c r="D231" s="83">
        <v>45749</v>
      </c>
      <c r="E231" s="83">
        <v>45749</v>
      </c>
      <c r="F231" s="83">
        <v>45749</v>
      </c>
      <c r="G231" s="83">
        <v>45719</v>
      </c>
      <c r="H231" s="82" t="s">
        <v>3633</v>
      </c>
      <c r="I231" s="82" t="s">
        <v>51</v>
      </c>
      <c r="J231" s="84">
        <v>0.68945100000000004</v>
      </c>
      <c r="K231" s="85">
        <v>1675.38</v>
      </c>
      <c r="L231" s="85">
        <v>1675.38</v>
      </c>
      <c r="M231" s="85">
        <v>0</v>
      </c>
      <c r="N231" s="85">
        <v>1675.38</v>
      </c>
      <c r="O231" s="85">
        <v>0</v>
      </c>
      <c r="P231" s="85">
        <v>2430.0204075416527</v>
      </c>
      <c r="Q231" s="85">
        <v>2430.0204075416527</v>
      </c>
      <c r="R231" s="85">
        <v>0</v>
      </c>
      <c r="S231" s="85">
        <v>2396.6149</v>
      </c>
      <c r="T231" s="85">
        <v>0</v>
      </c>
      <c r="U231" s="82"/>
      <c r="V231" s="82" t="s">
        <v>3399</v>
      </c>
      <c r="W231" s="82" t="s">
        <v>3395</v>
      </c>
      <c r="X231" s="82" t="s">
        <v>3394</v>
      </c>
      <c r="Y231" s="82" t="s">
        <v>3393</v>
      </c>
    </row>
    <row r="232" spans="1:25" ht="10.9" customHeight="1" x14ac:dyDescent="0.2">
      <c r="A232" s="82" t="s">
        <v>3630</v>
      </c>
      <c r="B232" s="82" t="s">
        <v>129</v>
      </c>
      <c r="C232" s="83">
        <v>45719</v>
      </c>
      <c r="D232" s="83">
        <v>45779</v>
      </c>
      <c r="E232" s="83">
        <v>45779</v>
      </c>
      <c r="F232" s="82"/>
      <c r="G232" s="83">
        <v>45719</v>
      </c>
      <c r="H232" s="82" t="s">
        <v>3629</v>
      </c>
      <c r="I232" s="82" t="s">
        <v>51</v>
      </c>
      <c r="J232" s="84">
        <v>0.68945100000000004</v>
      </c>
      <c r="K232" s="85">
        <v>8034</v>
      </c>
      <c r="L232" s="85">
        <v>8034</v>
      </c>
      <c r="M232" s="85">
        <v>0</v>
      </c>
      <c r="N232" s="85">
        <v>0</v>
      </c>
      <c r="O232" s="85">
        <v>8034</v>
      </c>
      <c r="P232" s="85">
        <v>11652.749796577276</v>
      </c>
      <c r="Q232" s="85">
        <v>11652.749796577276</v>
      </c>
      <c r="R232" s="85">
        <v>0</v>
      </c>
      <c r="S232" s="85">
        <v>0</v>
      </c>
      <c r="T232" s="85">
        <v>11026.02</v>
      </c>
      <c r="U232" s="82" t="s">
        <v>3401</v>
      </c>
      <c r="V232" s="82" t="s">
        <v>3396</v>
      </c>
      <c r="W232" s="82" t="s">
        <v>3395</v>
      </c>
      <c r="X232" s="82" t="s">
        <v>3394</v>
      </c>
      <c r="Y232" s="82" t="s">
        <v>3393</v>
      </c>
    </row>
    <row r="233" spans="1:25" ht="10.9" customHeight="1" x14ac:dyDescent="0.2">
      <c r="A233" s="82" t="s">
        <v>2464</v>
      </c>
      <c r="B233" s="82" t="s">
        <v>64</v>
      </c>
      <c r="C233" s="83">
        <v>45719</v>
      </c>
      <c r="D233" s="83">
        <v>45749</v>
      </c>
      <c r="E233" s="83">
        <v>45765</v>
      </c>
      <c r="F233" s="83">
        <v>45763</v>
      </c>
      <c r="G233" s="83">
        <v>45719</v>
      </c>
      <c r="H233" s="82" t="s">
        <v>1933</v>
      </c>
      <c r="I233" s="82" t="s">
        <v>22</v>
      </c>
      <c r="J233" s="84">
        <v>0</v>
      </c>
      <c r="K233" s="85">
        <v>778.8</v>
      </c>
      <c r="L233" s="85">
        <v>880.04</v>
      </c>
      <c r="M233" s="85">
        <v>101.24</v>
      </c>
      <c r="N233" s="85">
        <v>880.04</v>
      </c>
      <c r="O233" s="85">
        <v>0</v>
      </c>
      <c r="P233" s="85">
        <v>778.8</v>
      </c>
      <c r="Q233" s="85">
        <v>880.04</v>
      </c>
      <c r="R233" s="85">
        <v>101.24</v>
      </c>
      <c r="S233" s="85">
        <v>880.04</v>
      </c>
      <c r="T233" s="85">
        <v>0</v>
      </c>
      <c r="U233" s="82"/>
      <c r="V233" s="82" t="s">
        <v>3399</v>
      </c>
      <c r="W233" s="82" t="s">
        <v>3395</v>
      </c>
      <c r="X233" s="82" t="s">
        <v>3394</v>
      </c>
      <c r="Y233" s="82" t="s">
        <v>3393</v>
      </c>
    </row>
    <row r="234" spans="1:25" ht="10.9" customHeight="1" x14ac:dyDescent="0.2">
      <c r="A234" s="82" t="s">
        <v>2451</v>
      </c>
      <c r="B234" s="82" t="s">
        <v>64</v>
      </c>
      <c r="C234" s="83">
        <v>45719</v>
      </c>
      <c r="D234" s="83">
        <v>45749</v>
      </c>
      <c r="E234" s="83">
        <v>45765</v>
      </c>
      <c r="F234" s="83">
        <v>45763</v>
      </c>
      <c r="G234" s="83">
        <v>45719</v>
      </c>
      <c r="H234" s="82" t="s">
        <v>1955</v>
      </c>
      <c r="I234" s="82" t="s">
        <v>22</v>
      </c>
      <c r="J234" s="84">
        <v>0</v>
      </c>
      <c r="K234" s="85">
        <v>537.27</v>
      </c>
      <c r="L234" s="85">
        <v>607.11</v>
      </c>
      <c r="M234" s="85">
        <v>69.84</v>
      </c>
      <c r="N234" s="85">
        <v>607.11</v>
      </c>
      <c r="O234" s="85">
        <v>0</v>
      </c>
      <c r="P234" s="85">
        <v>537.27</v>
      </c>
      <c r="Q234" s="85">
        <v>607.11</v>
      </c>
      <c r="R234" s="85">
        <v>69.84</v>
      </c>
      <c r="S234" s="85">
        <v>607.11</v>
      </c>
      <c r="T234" s="85">
        <v>0</v>
      </c>
      <c r="U234" s="82"/>
      <c r="V234" s="82" t="s">
        <v>3399</v>
      </c>
      <c r="W234" s="82" t="s">
        <v>3395</v>
      </c>
      <c r="X234" s="82" t="s">
        <v>3394</v>
      </c>
      <c r="Y234" s="82" t="s">
        <v>3393</v>
      </c>
    </row>
    <row r="235" spans="1:25" ht="10.9" customHeight="1" x14ac:dyDescent="0.2">
      <c r="A235" s="82" t="s">
        <v>2498</v>
      </c>
      <c r="B235" s="82" t="s">
        <v>20</v>
      </c>
      <c r="C235" s="83">
        <v>45719</v>
      </c>
      <c r="D235" s="83">
        <v>45779</v>
      </c>
      <c r="E235" s="83">
        <v>45779</v>
      </c>
      <c r="F235" s="83">
        <v>45779</v>
      </c>
      <c r="G235" s="83">
        <v>45719</v>
      </c>
      <c r="H235" s="82" t="s">
        <v>1866</v>
      </c>
      <c r="I235" s="82" t="s">
        <v>22</v>
      </c>
      <c r="J235" s="84">
        <v>0</v>
      </c>
      <c r="K235" s="85">
        <v>328.88</v>
      </c>
      <c r="L235" s="85">
        <v>345.32</v>
      </c>
      <c r="M235" s="85">
        <v>16.440000000000001</v>
      </c>
      <c r="N235" s="85">
        <v>345.32</v>
      </c>
      <c r="O235" s="85">
        <v>0</v>
      </c>
      <c r="P235" s="85">
        <v>328.88</v>
      </c>
      <c r="Q235" s="85">
        <v>345.32</v>
      </c>
      <c r="R235" s="85">
        <v>16.440000000000001</v>
      </c>
      <c r="S235" s="85">
        <v>345.32</v>
      </c>
      <c r="T235" s="85">
        <v>0</v>
      </c>
      <c r="U235" s="82"/>
      <c r="V235" s="82" t="s">
        <v>3399</v>
      </c>
      <c r="W235" s="82" t="s">
        <v>3395</v>
      </c>
      <c r="X235" s="82" t="s">
        <v>3394</v>
      </c>
      <c r="Y235" s="82" t="s">
        <v>3393</v>
      </c>
    </row>
    <row r="236" spans="1:25" ht="10.9" customHeight="1" x14ac:dyDescent="0.2">
      <c r="A236" s="82" t="s">
        <v>2490</v>
      </c>
      <c r="B236" s="82" t="s">
        <v>3632</v>
      </c>
      <c r="C236" s="83">
        <v>45719</v>
      </c>
      <c r="D236" s="83">
        <v>45719</v>
      </c>
      <c r="E236" s="83">
        <v>45719</v>
      </c>
      <c r="F236" s="83">
        <v>45716</v>
      </c>
      <c r="G236" s="83">
        <v>45719</v>
      </c>
      <c r="H236" s="82" t="s">
        <v>3631</v>
      </c>
      <c r="I236" s="82" t="s">
        <v>22</v>
      </c>
      <c r="J236" s="84">
        <v>0</v>
      </c>
      <c r="K236" s="85">
        <v>846.16</v>
      </c>
      <c r="L236" s="85">
        <v>956.16</v>
      </c>
      <c r="M236" s="85">
        <v>110</v>
      </c>
      <c r="N236" s="85">
        <v>956.16</v>
      </c>
      <c r="O236" s="85">
        <v>0</v>
      </c>
      <c r="P236" s="85">
        <v>846.16</v>
      </c>
      <c r="Q236" s="85">
        <v>956.16</v>
      </c>
      <c r="R236" s="85">
        <v>110</v>
      </c>
      <c r="S236" s="85">
        <v>956.16</v>
      </c>
      <c r="T236" s="85">
        <v>0</v>
      </c>
      <c r="U236" s="82"/>
      <c r="V236" s="82" t="s">
        <v>3399</v>
      </c>
      <c r="W236" s="82" t="s">
        <v>3395</v>
      </c>
      <c r="X236" s="82" t="s">
        <v>3397</v>
      </c>
      <c r="Y236" s="82" t="s">
        <v>3393</v>
      </c>
    </row>
    <row r="237" spans="1:25" ht="10.9" customHeight="1" x14ac:dyDescent="0.2">
      <c r="A237" s="82" t="s">
        <v>2376</v>
      </c>
      <c r="B237" s="82" t="s">
        <v>472</v>
      </c>
      <c r="C237" s="83">
        <v>45719</v>
      </c>
      <c r="D237" s="83">
        <v>45749</v>
      </c>
      <c r="E237" s="83">
        <v>45765</v>
      </c>
      <c r="F237" s="83">
        <v>45741</v>
      </c>
      <c r="G237" s="83">
        <v>45719</v>
      </c>
      <c r="H237" s="82" t="s">
        <v>2073</v>
      </c>
      <c r="I237" s="82" t="s">
        <v>22</v>
      </c>
      <c r="J237" s="84">
        <v>0</v>
      </c>
      <c r="K237" s="85">
        <v>279.94</v>
      </c>
      <c r="L237" s="85">
        <v>293.94</v>
      </c>
      <c r="M237" s="85">
        <v>14</v>
      </c>
      <c r="N237" s="85">
        <v>293.94</v>
      </c>
      <c r="O237" s="85">
        <v>0</v>
      </c>
      <c r="P237" s="85">
        <v>279.94</v>
      </c>
      <c r="Q237" s="85">
        <v>293.94</v>
      </c>
      <c r="R237" s="85">
        <v>14</v>
      </c>
      <c r="S237" s="85">
        <v>293.94</v>
      </c>
      <c r="T237" s="85">
        <v>0</v>
      </c>
      <c r="U237" s="82"/>
      <c r="V237" s="82" t="s">
        <v>3399</v>
      </c>
      <c r="W237" s="82" t="s">
        <v>3395</v>
      </c>
      <c r="X237" s="82" t="s">
        <v>3394</v>
      </c>
      <c r="Y237" s="82" t="s">
        <v>3393</v>
      </c>
    </row>
    <row r="238" spans="1:25" ht="10.9" customHeight="1" x14ac:dyDescent="0.2">
      <c r="A238" s="82" t="s">
        <v>2330</v>
      </c>
      <c r="B238" s="82" t="s">
        <v>20</v>
      </c>
      <c r="C238" s="83">
        <v>45720</v>
      </c>
      <c r="D238" s="83">
        <v>45780</v>
      </c>
      <c r="E238" s="83">
        <v>45782</v>
      </c>
      <c r="F238" s="83">
        <v>45779</v>
      </c>
      <c r="G238" s="83">
        <v>45721</v>
      </c>
      <c r="H238" s="82" t="s">
        <v>2154</v>
      </c>
      <c r="I238" s="82" t="s">
        <v>22</v>
      </c>
      <c r="J238" s="84">
        <v>0</v>
      </c>
      <c r="K238" s="85">
        <v>1185.0999999999999</v>
      </c>
      <c r="L238" s="85">
        <v>1244.3599999999999</v>
      </c>
      <c r="M238" s="85">
        <v>59.26</v>
      </c>
      <c r="N238" s="85">
        <v>1244.3599999999999</v>
      </c>
      <c r="O238" s="85">
        <v>0</v>
      </c>
      <c r="P238" s="85">
        <v>1185.0999999999999</v>
      </c>
      <c r="Q238" s="85">
        <v>1244.3599999999999</v>
      </c>
      <c r="R238" s="85">
        <v>59.26</v>
      </c>
      <c r="S238" s="85">
        <v>1244.3599999999999</v>
      </c>
      <c r="T238" s="85">
        <v>0</v>
      </c>
      <c r="U238" s="82"/>
      <c r="V238" s="82" t="s">
        <v>3399</v>
      </c>
      <c r="W238" s="82" t="s">
        <v>3395</v>
      </c>
      <c r="X238" s="82" t="s">
        <v>3394</v>
      </c>
      <c r="Y238" s="82" t="s">
        <v>3393</v>
      </c>
    </row>
    <row r="239" spans="1:25" ht="10.9" customHeight="1" x14ac:dyDescent="0.2">
      <c r="A239" s="82" t="s">
        <v>2506</v>
      </c>
      <c r="B239" s="82" t="s">
        <v>77</v>
      </c>
      <c r="C239" s="83">
        <v>45720</v>
      </c>
      <c r="D239" s="83">
        <v>45750</v>
      </c>
      <c r="E239" s="83">
        <v>45765</v>
      </c>
      <c r="F239" s="83">
        <v>45757</v>
      </c>
      <c r="G239" s="83">
        <v>45721</v>
      </c>
      <c r="H239" s="82" t="s">
        <v>1856</v>
      </c>
      <c r="I239" s="82" t="s">
        <v>22</v>
      </c>
      <c r="J239" s="84">
        <v>0</v>
      </c>
      <c r="K239" s="85">
        <v>270.35000000000002</v>
      </c>
      <c r="L239" s="85">
        <v>283.87</v>
      </c>
      <c r="M239" s="85">
        <v>13.52</v>
      </c>
      <c r="N239" s="85">
        <v>283.87</v>
      </c>
      <c r="O239" s="85">
        <v>0</v>
      </c>
      <c r="P239" s="85">
        <v>270.35000000000002</v>
      </c>
      <c r="Q239" s="85">
        <v>283.87</v>
      </c>
      <c r="R239" s="85">
        <v>13.52</v>
      </c>
      <c r="S239" s="85">
        <v>283.87</v>
      </c>
      <c r="T239" s="85">
        <v>0</v>
      </c>
      <c r="U239" s="82"/>
      <c r="V239" s="82" t="s">
        <v>3399</v>
      </c>
      <c r="W239" s="82" t="s">
        <v>3395</v>
      </c>
      <c r="X239" s="82" t="s">
        <v>3394</v>
      </c>
      <c r="Y239" s="82" t="s">
        <v>3393</v>
      </c>
    </row>
    <row r="240" spans="1:25" ht="10.9" customHeight="1" x14ac:dyDescent="0.2">
      <c r="A240" s="82" t="s">
        <v>2502</v>
      </c>
      <c r="B240" s="82" t="s">
        <v>86</v>
      </c>
      <c r="C240" s="83">
        <v>45720</v>
      </c>
      <c r="D240" s="83">
        <v>45750</v>
      </c>
      <c r="E240" s="83">
        <v>45750</v>
      </c>
      <c r="F240" s="83">
        <v>45750</v>
      </c>
      <c r="G240" s="83">
        <v>45721</v>
      </c>
      <c r="H240" s="82" t="s">
        <v>1862</v>
      </c>
      <c r="I240" s="82" t="s">
        <v>22</v>
      </c>
      <c r="J240" s="84">
        <v>0</v>
      </c>
      <c r="K240" s="85">
        <v>641.21</v>
      </c>
      <c r="L240" s="85">
        <v>673.27</v>
      </c>
      <c r="M240" s="85">
        <v>32.06</v>
      </c>
      <c r="N240" s="85">
        <v>673.27</v>
      </c>
      <c r="O240" s="85">
        <v>0</v>
      </c>
      <c r="P240" s="85">
        <v>641.21</v>
      </c>
      <c r="Q240" s="85">
        <v>673.27</v>
      </c>
      <c r="R240" s="85">
        <v>32.06</v>
      </c>
      <c r="S240" s="85">
        <v>673.27</v>
      </c>
      <c r="T240" s="85">
        <v>0</v>
      </c>
      <c r="U240" s="82"/>
      <c r="V240" s="82" t="s">
        <v>3399</v>
      </c>
      <c r="W240" s="82" t="s">
        <v>3395</v>
      </c>
      <c r="X240" s="82" t="s">
        <v>3394</v>
      </c>
      <c r="Y240" s="82" t="s">
        <v>3393</v>
      </c>
    </row>
    <row r="241" spans="1:25" ht="10.9" customHeight="1" x14ac:dyDescent="0.2">
      <c r="A241" s="82" t="s">
        <v>2310</v>
      </c>
      <c r="B241" s="82" t="s">
        <v>95</v>
      </c>
      <c r="C241" s="83">
        <v>45720</v>
      </c>
      <c r="D241" s="83">
        <v>45750</v>
      </c>
      <c r="E241" s="83">
        <v>45765</v>
      </c>
      <c r="F241" s="83">
        <v>45749</v>
      </c>
      <c r="G241" s="83">
        <v>45721</v>
      </c>
      <c r="H241" s="82" t="s">
        <v>2193</v>
      </c>
      <c r="I241" s="82" t="s">
        <v>22</v>
      </c>
      <c r="J241" s="84">
        <v>0</v>
      </c>
      <c r="K241" s="85">
        <v>5815.61</v>
      </c>
      <c r="L241" s="85">
        <v>6106.39</v>
      </c>
      <c r="M241" s="85">
        <v>290.77999999999997</v>
      </c>
      <c r="N241" s="85">
        <v>6106.39</v>
      </c>
      <c r="O241" s="85">
        <v>0</v>
      </c>
      <c r="P241" s="85">
        <v>5815.61</v>
      </c>
      <c r="Q241" s="85">
        <v>6106.39</v>
      </c>
      <c r="R241" s="85">
        <v>290.77999999999997</v>
      </c>
      <c r="S241" s="85">
        <v>6106.39</v>
      </c>
      <c r="T241" s="85">
        <v>0</v>
      </c>
      <c r="U241" s="82"/>
      <c r="V241" s="82" t="s">
        <v>3399</v>
      </c>
      <c r="W241" s="82" t="s">
        <v>3395</v>
      </c>
      <c r="X241" s="82" t="s">
        <v>3394</v>
      </c>
      <c r="Y241" s="82" t="s">
        <v>3393</v>
      </c>
    </row>
    <row r="242" spans="1:25" ht="10.9" customHeight="1" x14ac:dyDescent="0.2">
      <c r="A242" s="82" t="s">
        <v>2505</v>
      </c>
      <c r="B242" s="82" t="s">
        <v>630</v>
      </c>
      <c r="C242" s="83">
        <v>45720</v>
      </c>
      <c r="D242" s="83">
        <v>45720</v>
      </c>
      <c r="E242" s="83">
        <v>45720</v>
      </c>
      <c r="F242" s="82"/>
      <c r="G242" s="83">
        <v>45721</v>
      </c>
      <c r="H242" s="82" t="s">
        <v>1858</v>
      </c>
      <c r="I242" s="82" t="s">
        <v>22</v>
      </c>
      <c r="J242" s="84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2"/>
      <c r="V242" s="82" t="s">
        <v>3399</v>
      </c>
      <c r="W242" s="82" t="s">
        <v>3395</v>
      </c>
      <c r="X242" s="82" t="s">
        <v>3397</v>
      </c>
      <c r="Y242" s="82" t="s">
        <v>3393</v>
      </c>
    </row>
    <row r="243" spans="1:25" ht="10.9" customHeight="1" x14ac:dyDescent="0.2">
      <c r="A243" s="82" t="s">
        <v>2494</v>
      </c>
      <c r="B243" s="82" t="s">
        <v>80</v>
      </c>
      <c r="C243" s="83">
        <v>45721</v>
      </c>
      <c r="D243" s="83">
        <v>45781</v>
      </c>
      <c r="E243" s="83">
        <v>45782</v>
      </c>
      <c r="F243" s="83">
        <v>45779</v>
      </c>
      <c r="G243" s="83">
        <v>45721</v>
      </c>
      <c r="H243" s="82" t="s">
        <v>1872</v>
      </c>
      <c r="I243" s="82" t="s">
        <v>22</v>
      </c>
      <c r="J243" s="84">
        <v>0</v>
      </c>
      <c r="K243" s="85">
        <v>221.34</v>
      </c>
      <c r="L243" s="85">
        <v>232.41</v>
      </c>
      <c r="M243" s="85">
        <v>11.07</v>
      </c>
      <c r="N243" s="85">
        <v>232.41</v>
      </c>
      <c r="O243" s="85">
        <v>0</v>
      </c>
      <c r="P243" s="85">
        <v>221.34</v>
      </c>
      <c r="Q243" s="85">
        <v>232.41</v>
      </c>
      <c r="R243" s="85">
        <v>11.07</v>
      </c>
      <c r="S243" s="85">
        <v>232.41</v>
      </c>
      <c r="T243" s="85">
        <v>0</v>
      </c>
      <c r="U243" s="82"/>
      <c r="V243" s="82" t="s">
        <v>3399</v>
      </c>
      <c r="W243" s="82" t="s">
        <v>3395</v>
      </c>
      <c r="X243" s="82" t="s">
        <v>3394</v>
      </c>
      <c r="Y243" s="82" t="s">
        <v>3393</v>
      </c>
    </row>
    <row r="244" spans="1:25" ht="10.9" customHeight="1" x14ac:dyDescent="0.2">
      <c r="A244" s="82" t="s">
        <v>2438</v>
      </c>
      <c r="B244" s="82" t="s">
        <v>171</v>
      </c>
      <c r="C244" s="83">
        <v>45721</v>
      </c>
      <c r="D244" s="83">
        <v>45751</v>
      </c>
      <c r="E244" s="83">
        <v>45758</v>
      </c>
      <c r="F244" s="83">
        <v>45750</v>
      </c>
      <c r="G244" s="83">
        <v>45722</v>
      </c>
      <c r="H244" s="82" t="s">
        <v>1978</v>
      </c>
      <c r="I244" s="82" t="s">
        <v>22</v>
      </c>
      <c r="J244" s="84">
        <v>0</v>
      </c>
      <c r="K244" s="85">
        <v>622.95000000000005</v>
      </c>
      <c r="L244" s="85">
        <v>654.09</v>
      </c>
      <c r="M244" s="85">
        <v>31.14</v>
      </c>
      <c r="N244" s="85">
        <v>654.09</v>
      </c>
      <c r="O244" s="85">
        <v>0</v>
      </c>
      <c r="P244" s="85">
        <v>622.95000000000005</v>
      </c>
      <c r="Q244" s="85">
        <v>654.09</v>
      </c>
      <c r="R244" s="85">
        <v>31.14</v>
      </c>
      <c r="S244" s="85">
        <v>654.09</v>
      </c>
      <c r="T244" s="85">
        <v>0</v>
      </c>
      <c r="U244" s="82"/>
      <c r="V244" s="82" t="s">
        <v>3399</v>
      </c>
      <c r="W244" s="82" t="s">
        <v>3395</v>
      </c>
      <c r="X244" s="82" t="s">
        <v>3394</v>
      </c>
      <c r="Y244" s="82" t="s">
        <v>3393</v>
      </c>
    </row>
    <row r="245" spans="1:25" ht="10.9" customHeight="1" x14ac:dyDescent="0.2">
      <c r="A245" s="82" t="s">
        <v>2309</v>
      </c>
      <c r="B245" s="82" t="s">
        <v>290</v>
      </c>
      <c r="C245" s="83">
        <v>45721</v>
      </c>
      <c r="D245" s="83">
        <v>45781</v>
      </c>
      <c r="E245" s="83">
        <v>45782</v>
      </c>
      <c r="F245" s="83">
        <v>45779</v>
      </c>
      <c r="G245" s="83">
        <v>45722</v>
      </c>
      <c r="H245" s="82" t="s">
        <v>2195</v>
      </c>
      <c r="I245" s="82" t="s">
        <v>22</v>
      </c>
      <c r="J245" s="84">
        <v>0</v>
      </c>
      <c r="K245" s="85">
        <v>7408.13</v>
      </c>
      <c r="L245" s="85">
        <v>7778.54</v>
      </c>
      <c r="M245" s="85">
        <v>370.41</v>
      </c>
      <c r="N245" s="85">
        <v>7778.54</v>
      </c>
      <c r="O245" s="85">
        <v>0</v>
      </c>
      <c r="P245" s="85">
        <v>7408.13</v>
      </c>
      <c r="Q245" s="85">
        <v>7778.54</v>
      </c>
      <c r="R245" s="85">
        <v>370.41</v>
      </c>
      <c r="S245" s="85">
        <v>7778.54</v>
      </c>
      <c r="T245" s="85">
        <v>0</v>
      </c>
      <c r="U245" s="82"/>
      <c r="V245" s="82" t="s">
        <v>3399</v>
      </c>
      <c r="W245" s="82" t="s">
        <v>3395</v>
      </c>
      <c r="X245" s="82" t="s">
        <v>3394</v>
      </c>
      <c r="Y245" s="82" t="s">
        <v>3393</v>
      </c>
    </row>
    <row r="246" spans="1:25" ht="10.9" customHeight="1" x14ac:dyDescent="0.2">
      <c r="A246" s="82" t="s">
        <v>3628</v>
      </c>
      <c r="B246" s="82" t="s">
        <v>80</v>
      </c>
      <c r="C246" s="83">
        <v>45721</v>
      </c>
      <c r="D246" s="83">
        <v>45781</v>
      </c>
      <c r="E246" s="83">
        <v>45782</v>
      </c>
      <c r="F246" s="83">
        <v>45779</v>
      </c>
      <c r="G246" s="83">
        <v>45722</v>
      </c>
      <c r="H246" s="82" t="s">
        <v>3627</v>
      </c>
      <c r="I246" s="82" t="s">
        <v>22</v>
      </c>
      <c r="J246" s="84">
        <v>0</v>
      </c>
      <c r="K246" s="85">
        <v>7329.88</v>
      </c>
      <c r="L246" s="85">
        <v>7696.37</v>
      </c>
      <c r="M246" s="85">
        <v>366.49</v>
      </c>
      <c r="N246" s="85">
        <v>7696.37</v>
      </c>
      <c r="O246" s="85">
        <v>0</v>
      </c>
      <c r="P246" s="85">
        <v>7329.88</v>
      </c>
      <c r="Q246" s="85">
        <v>7696.37</v>
      </c>
      <c r="R246" s="85">
        <v>366.49</v>
      </c>
      <c r="S246" s="85">
        <v>7696.37</v>
      </c>
      <c r="T246" s="85">
        <v>0</v>
      </c>
      <c r="U246" s="82"/>
      <c r="V246" s="82" t="s">
        <v>3399</v>
      </c>
      <c r="W246" s="82" t="s">
        <v>3395</v>
      </c>
      <c r="X246" s="82" t="s">
        <v>3394</v>
      </c>
      <c r="Y246" s="82" t="s">
        <v>3393</v>
      </c>
    </row>
    <row r="247" spans="1:25" ht="10.9" customHeight="1" x14ac:dyDescent="0.2">
      <c r="A247" s="82"/>
      <c r="B247" s="82" t="s">
        <v>1852</v>
      </c>
      <c r="C247" s="83">
        <v>45721</v>
      </c>
      <c r="D247" s="83">
        <v>45721</v>
      </c>
      <c r="E247" s="83">
        <v>45721</v>
      </c>
      <c r="F247" s="83">
        <v>45783</v>
      </c>
      <c r="G247" s="83">
        <v>45723</v>
      </c>
      <c r="H247" s="82" t="s">
        <v>1850</v>
      </c>
      <c r="I247" s="82" t="s">
        <v>51</v>
      </c>
      <c r="J247" s="84">
        <v>0.69799299999999997</v>
      </c>
      <c r="K247" s="85">
        <v>-4254.3500000000004</v>
      </c>
      <c r="L247" s="85">
        <v>-4254.3500000000004</v>
      </c>
      <c r="M247" s="85">
        <v>0</v>
      </c>
      <c r="N247" s="85">
        <v>-4254.3500000000004</v>
      </c>
      <c r="O247" s="85">
        <v>0</v>
      </c>
      <c r="P247" s="85">
        <v>-6095.1184324198093</v>
      </c>
      <c r="Q247" s="85">
        <v>-6095.1184324198093</v>
      </c>
      <c r="R247" s="85">
        <v>0</v>
      </c>
      <c r="S247" s="85">
        <v>-6095.1184000000003</v>
      </c>
      <c r="T247" s="85">
        <v>0</v>
      </c>
      <c r="U247" s="82"/>
      <c r="V247" s="82" t="s">
        <v>3399</v>
      </c>
      <c r="W247" s="82" t="s">
        <v>3423</v>
      </c>
      <c r="X247" s="82" t="s">
        <v>3397</v>
      </c>
      <c r="Y247" s="82"/>
    </row>
    <row r="248" spans="1:25" ht="10.9" customHeight="1" x14ac:dyDescent="0.2">
      <c r="A248" s="82" t="s">
        <v>2306</v>
      </c>
      <c r="B248" s="82" t="s">
        <v>171</v>
      </c>
      <c r="C248" s="83">
        <v>45722</v>
      </c>
      <c r="D248" s="83">
        <v>45752</v>
      </c>
      <c r="E248" s="83">
        <v>45758</v>
      </c>
      <c r="F248" s="83">
        <v>45750</v>
      </c>
      <c r="G248" s="83">
        <v>45722</v>
      </c>
      <c r="H248" s="82" t="s">
        <v>3624</v>
      </c>
      <c r="I248" s="82" t="s">
        <v>22</v>
      </c>
      <c r="J248" s="84">
        <v>0</v>
      </c>
      <c r="K248" s="85">
        <v>1662.14</v>
      </c>
      <c r="L248" s="85">
        <v>1745.25</v>
      </c>
      <c r="M248" s="85">
        <v>83.11</v>
      </c>
      <c r="N248" s="85">
        <v>1745.25</v>
      </c>
      <c r="O248" s="85">
        <v>0</v>
      </c>
      <c r="P248" s="85">
        <v>1662.14</v>
      </c>
      <c r="Q248" s="85">
        <v>1745.25</v>
      </c>
      <c r="R248" s="85">
        <v>83.11</v>
      </c>
      <c r="S248" s="85">
        <v>1745.25</v>
      </c>
      <c r="T248" s="85">
        <v>0</v>
      </c>
      <c r="U248" s="82"/>
      <c r="V248" s="82" t="s">
        <v>3399</v>
      </c>
      <c r="W248" s="82" t="s">
        <v>3395</v>
      </c>
      <c r="X248" s="82" t="s">
        <v>3394</v>
      </c>
      <c r="Y248" s="82" t="s">
        <v>3393</v>
      </c>
    </row>
    <row r="249" spans="1:25" ht="10.9" customHeight="1" x14ac:dyDescent="0.2">
      <c r="A249" s="82" t="s">
        <v>3623</v>
      </c>
      <c r="B249" s="82" t="s">
        <v>3622</v>
      </c>
      <c r="C249" s="83">
        <v>45722</v>
      </c>
      <c r="D249" s="83">
        <v>45782</v>
      </c>
      <c r="E249" s="83">
        <v>45813</v>
      </c>
      <c r="F249" s="83">
        <v>45822</v>
      </c>
      <c r="G249" s="83">
        <v>45723</v>
      </c>
      <c r="H249" s="82" t="s">
        <v>3621</v>
      </c>
      <c r="I249" s="82" t="s">
        <v>51</v>
      </c>
      <c r="J249" s="84">
        <v>0.69886599999999999</v>
      </c>
      <c r="K249" s="85">
        <v>21312</v>
      </c>
      <c r="L249" s="85">
        <v>21312</v>
      </c>
      <c r="M249" s="85">
        <v>0</v>
      </c>
      <c r="N249" s="85">
        <v>21312</v>
      </c>
      <c r="O249" s="85">
        <v>0</v>
      </c>
      <c r="P249" s="85">
        <v>30495.116374240555</v>
      </c>
      <c r="Q249" s="85">
        <v>30495.116374240555</v>
      </c>
      <c r="R249" s="85">
        <v>0</v>
      </c>
      <c r="S249" s="85">
        <v>28951.722699999998</v>
      </c>
      <c r="T249" s="85">
        <v>0</v>
      </c>
      <c r="U249" s="82"/>
      <c r="V249" s="82" t="s">
        <v>3399</v>
      </c>
      <c r="W249" s="82" t="s">
        <v>3395</v>
      </c>
      <c r="X249" s="82" t="s">
        <v>3394</v>
      </c>
      <c r="Y249" s="82" t="s">
        <v>3393</v>
      </c>
    </row>
    <row r="250" spans="1:25" ht="10.9" customHeight="1" x14ac:dyDescent="0.2">
      <c r="A250" s="82" t="s">
        <v>2488</v>
      </c>
      <c r="B250" s="82" t="s">
        <v>3412</v>
      </c>
      <c r="C250" s="83">
        <v>45722</v>
      </c>
      <c r="D250" s="83">
        <v>45767</v>
      </c>
      <c r="E250" s="83">
        <v>45768</v>
      </c>
      <c r="F250" s="83">
        <v>45737</v>
      </c>
      <c r="G250" s="83">
        <v>45726</v>
      </c>
      <c r="H250" s="82" t="s">
        <v>1885</v>
      </c>
      <c r="I250" s="82" t="s">
        <v>22</v>
      </c>
      <c r="J250" s="84">
        <v>0</v>
      </c>
      <c r="K250" s="85">
        <v>3715.09</v>
      </c>
      <c r="L250" s="85">
        <v>3900.85</v>
      </c>
      <c r="M250" s="85">
        <v>185.76</v>
      </c>
      <c r="N250" s="85">
        <v>3900.85</v>
      </c>
      <c r="O250" s="85">
        <v>0</v>
      </c>
      <c r="P250" s="85">
        <v>3715.09</v>
      </c>
      <c r="Q250" s="85">
        <v>3900.85</v>
      </c>
      <c r="R250" s="85">
        <v>185.76</v>
      </c>
      <c r="S250" s="85">
        <v>3900.85</v>
      </c>
      <c r="T250" s="85">
        <v>0</v>
      </c>
      <c r="U250" s="82"/>
      <c r="V250" s="82" t="s">
        <v>3399</v>
      </c>
      <c r="W250" s="82" t="s">
        <v>3395</v>
      </c>
      <c r="X250" s="82" t="s">
        <v>3394</v>
      </c>
      <c r="Y250" s="82" t="s">
        <v>3393</v>
      </c>
    </row>
    <row r="251" spans="1:25" ht="10.9" customHeight="1" x14ac:dyDescent="0.2">
      <c r="A251" s="82" t="s">
        <v>2512</v>
      </c>
      <c r="B251" s="82" t="s">
        <v>54</v>
      </c>
      <c r="C251" s="83">
        <v>45722</v>
      </c>
      <c r="D251" s="83">
        <v>45752</v>
      </c>
      <c r="E251" s="83">
        <v>45779</v>
      </c>
      <c r="F251" s="83">
        <v>45769</v>
      </c>
      <c r="G251" s="83">
        <v>45723</v>
      </c>
      <c r="H251" s="82" t="s">
        <v>1847</v>
      </c>
      <c r="I251" s="82" t="s">
        <v>22</v>
      </c>
      <c r="J251" s="84">
        <v>0</v>
      </c>
      <c r="K251" s="85">
        <v>970.83</v>
      </c>
      <c r="L251" s="85">
        <v>1019.37</v>
      </c>
      <c r="M251" s="85">
        <v>48.54</v>
      </c>
      <c r="N251" s="85">
        <v>1019.37</v>
      </c>
      <c r="O251" s="85">
        <v>0</v>
      </c>
      <c r="P251" s="85">
        <v>970.83</v>
      </c>
      <c r="Q251" s="85">
        <v>1019.37</v>
      </c>
      <c r="R251" s="85">
        <v>48.54</v>
      </c>
      <c r="S251" s="85">
        <v>1019.37</v>
      </c>
      <c r="T251" s="85">
        <v>0</v>
      </c>
      <c r="U251" s="82"/>
      <c r="V251" s="82" t="s">
        <v>3399</v>
      </c>
      <c r="W251" s="82" t="s">
        <v>3395</v>
      </c>
      <c r="X251" s="82" t="s">
        <v>3394</v>
      </c>
      <c r="Y251" s="82" t="s">
        <v>3393</v>
      </c>
    </row>
    <row r="252" spans="1:25" ht="10.9" customHeight="1" x14ac:dyDescent="0.2">
      <c r="A252" s="82" t="s">
        <v>3626</v>
      </c>
      <c r="B252" s="82" t="s">
        <v>146</v>
      </c>
      <c r="C252" s="83">
        <v>45722</v>
      </c>
      <c r="D252" s="83">
        <v>45752</v>
      </c>
      <c r="E252" s="83">
        <v>45772</v>
      </c>
      <c r="F252" s="83">
        <v>45776</v>
      </c>
      <c r="G252" s="83">
        <v>45723</v>
      </c>
      <c r="H252" s="82" t="s">
        <v>3625</v>
      </c>
      <c r="I252" s="82" t="s">
        <v>22</v>
      </c>
      <c r="J252" s="84">
        <v>0</v>
      </c>
      <c r="K252" s="85">
        <v>2269.44</v>
      </c>
      <c r="L252" s="85">
        <v>2382.91</v>
      </c>
      <c r="M252" s="85">
        <v>113.47</v>
      </c>
      <c r="N252" s="85">
        <v>2382.91</v>
      </c>
      <c r="O252" s="85">
        <v>0</v>
      </c>
      <c r="P252" s="85">
        <v>2269.44</v>
      </c>
      <c r="Q252" s="85">
        <v>2382.91</v>
      </c>
      <c r="R252" s="85">
        <v>113.47</v>
      </c>
      <c r="S252" s="85">
        <v>2382.91</v>
      </c>
      <c r="T252" s="85">
        <v>0</v>
      </c>
      <c r="U252" s="82"/>
      <c r="V252" s="82" t="s">
        <v>3399</v>
      </c>
      <c r="W252" s="82" t="s">
        <v>3395</v>
      </c>
      <c r="X252" s="82" t="s">
        <v>3394</v>
      </c>
      <c r="Y252" s="82" t="s">
        <v>3393</v>
      </c>
    </row>
    <row r="253" spans="1:25" ht="10.9" customHeight="1" x14ac:dyDescent="0.2">
      <c r="A253" s="82" t="s">
        <v>2503</v>
      </c>
      <c r="B253" s="82" t="s">
        <v>146</v>
      </c>
      <c r="C253" s="83">
        <v>45722</v>
      </c>
      <c r="D253" s="83">
        <v>45752</v>
      </c>
      <c r="E253" s="83">
        <v>45772</v>
      </c>
      <c r="F253" s="83">
        <v>45776</v>
      </c>
      <c r="G253" s="83">
        <v>45726</v>
      </c>
      <c r="H253" s="82" t="s">
        <v>1860</v>
      </c>
      <c r="I253" s="82" t="s">
        <v>22</v>
      </c>
      <c r="J253" s="84">
        <v>0</v>
      </c>
      <c r="K253" s="85">
        <v>93.89</v>
      </c>
      <c r="L253" s="85">
        <v>98.58</v>
      </c>
      <c r="M253" s="85">
        <v>4.6900000000000004</v>
      </c>
      <c r="N253" s="85">
        <v>98.58</v>
      </c>
      <c r="O253" s="85">
        <v>0</v>
      </c>
      <c r="P253" s="85">
        <v>93.89</v>
      </c>
      <c r="Q253" s="85">
        <v>98.58</v>
      </c>
      <c r="R253" s="85">
        <v>4.6900000000000004</v>
      </c>
      <c r="S253" s="85">
        <v>98.58</v>
      </c>
      <c r="T253" s="85">
        <v>0</v>
      </c>
      <c r="U253" s="82"/>
      <c r="V253" s="82" t="s">
        <v>3399</v>
      </c>
      <c r="W253" s="82" t="s">
        <v>3395</v>
      </c>
      <c r="X253" s="82" t="s">
        <v>3394</v>
      </c>
      <c r="Y253" s="82" t="s">
        <v>3393</v>
      </c>
    </row>
    <row r="254" spans="1:25" ht="10.9" customHeight="1" x14ac:dyDescent="0.2">
      <c r="A254" s="82" t="s">
        <v>2420</v>
      </c>
      <c r="B254" s="82" t="s">
        <v>232</v>
      </c>
      <c r="C254" s="83">
        <v>45723</v>
      </c>
      <c r="D254" s="83">
        <v>45768</v>
      </c>
      <c r="E254" s="83">
        <v>45835</v>
      </c>
      <c r="F254" s="83">
        <v>45853</v>
      </c>
      <c r="G254" s="83">
        <v>45723</v>
      </c>
      <c r="H254" s="82" t="s">
        <v>2010</v>
      </c>
      <c r="I254" s="82" t="s">
        <v>51</v>
      </c>
      <c r="J254" s="84">
        <v>0.69527000000000005</v>
      </c>
      <c r="K254" s="85">
        <v>157.30000000000001</v>
      </c>
      <c r="L254" s="85">
        <v>157.30000000000001</v>
      </c>
      <c r="M254" s="85">
        <v>0</v>
      </c>
      <c r="N254" s="85">
        <v>157.30000000000001</v>
      </c>
      <c r="O254" s="85">
        <v>0</v>
      </c>
      <c r="P254" s="85">
        <v>226.2430422713478</v>
      </c>
      <c r="Q254" s="85">
        <v>226.2430422713478</v>
      </c>
      <c r="R254" s="85">
        <v>0</v>
      </c>
      <c r="S254" s="85">
        <v>215.82650000000001</v>
      </c>
      <c r="T254" s="85">
        <v>0</v>
      </c>
      <c r="U254" s="82"/>
      <c r="V254" s="82" t="s">
        <v>3399</v>
      </c>
      <c r="W254" s="82" t="s">
        <v>3395</v>
      </c>
      <c r="X254" s="82" t="s">
        <v>3394</v>
      </c>
      <c r="Y254" s="82" t="s">
        <v>3393</v>
      </c>
    </row>
    <row r="255" spans="1:25" ht="10.9" customHeight="1" x14ac:dyDescent="0.2">
      <c r="A255" s="82" t="s">
        <v>2518</v>
      </c>
      <c r="B255" s="82" t="s">
        <v>242</v>
      </c>
      <c r="C255" s="83">
        <v>45723</v>
      </c>
      <c r="D255" s="83">
        <v>45753</v>
      </c>
      <c r="E255" s="83">
        <v>45765</v>
      </c>
      <c r="F255" s="83">
        <v>45756</v>
      </c>
      <c r="G255" s="83">
        <v>45726</v>
      </c>
      <c r="H255" s="82" t="s">
        <v>1837</v>
      </c>
      <c r="I255" s="82" t="s">
        <v>22</v>
      </c>
      <c r="J255" s="84">
        <v>0</v>
      </c>
      <c r="K255" s="85">
        <v>1946.57</v>
      </c>
      <c r="L255" s="85">
        <v>2043.9</v>
      </c>
      <c r="M255" s="85">
        <v>97.33</v>
      </c>
      <c r="N255" s="85">
        <v>2043.9</v>
      </c>
      <c r="O255" s="85">
        <v>0</v>
      </c>
      <c r="P255" s="85">
        <v>1946.57</v>
      </c>
      <c r="Q255" s="85">
        <v>2043.9</v>
      </c>
      <c r="R255" s="85">
        <v>97.33</v>
      </c>
      <c r="S255" s="85">
        <v>2043.9</v>
      </c>
      <c r="T255" s="85">
        <v>0</v>
      </c>
      <c r="U255" s="82"/>
      <c r="V255" s="82" t="s">
        <v>3399</v>
      </c>
      <c r="W255" s="82" t="s">
        <v>3395</v>
      </c>
      <c r="X255" s="82" t="s">
        <v>3394</v>
      </c>
      <c r="Y255" s="82" t="s">
        <v>3393</v>
      </c>
    </row>
    <row r="256" spans="1:25" ht="10.9" customHeight="1" x14ac:dyDescent="0.2">
      <c r="A256" s="82" t="s">
        <v>2520</v>
      </c>
      <c r="B256" s="82" t="s">
        <v>509</v>
      </c>
      <c r="C256" s="83">
        <v>45723</v>
      </c>
      <c r="D256" s="83">
        <v>45768</v>
      </c>
      <c r="E256" s="83">
        <v>45778</v>
      </c>
      <c r="F256" s="83">
        <v>45757</v>
      </c>
      <c r="G256" s="83">
        <v>45726</v>
      </c>
      <c r="H256" s="82" t="s">
        <v>1832</v>
      </c>
      <c r="I256" s="82" t="s">
        <v>22</v>
      </c>
      <c r="J256" s="84">
        <v>0</v>
      </c>
      <c r="K256" s="85">
        <v>1853.06</v>
      </c>
      <c r="L256" s="85">
        <v>1945.71</v>
      </c>
      <c r="M256" s="85">
        <v>92.65</v>
      </c>
      <c r="N256" s="85">
        <v>1945.71</v>
      </c>
      <c r="O256" s="85">
        <v>0</v>
      </c>
      <c r="P256" s="85">
        <v>1853.06</v>
      </c>
      <c r="Q256" s="85">
        <v>1945.71</v>
      </c>
      <c r="R256" s="85">
        <v>92.65</v>
      </c>
      <c r="S256" s="85">
        <v>1945.71</v>
      </c>
      <c r="T256" s="85">
        <v>0</v>
      </c>
      <c r="U256" s="82"/>
      <c r="V256" s="82" t="s">
        <v>3399</v>
      </c>
      <c r="W256" s="82" t="s">
        <v>3395</v>
      </c>
      <c r="X256" s="82" t="s">
        <v>3394</v>
      </c>
      <c r="Y256" s="82" t="s">
        <v>3393</v>
      </c>
    </row>
    <row r="257" spans="1:25" ht="10.9" customHeight="1" x14ac:dyDescent="0.2">
      <c r="A257" s="82" t="s">
        <v>2519</v>
      </c>
      <c r="B257" s="82" t="s">
        <v>1835</v>
      </c>
      <c r="C257" s="83">
        <v>45726</v>
      </c>
      <c r="D257" s="83">
        <v>45756</v>
      </c>
      <c r="E257" s="83">
        <v>45772</v>
      </c>
      <c r="F257" s="83">
        <v>45768</v>
      </c>
      <c r="G257" s="83">
        <v>45726</v>
      </c>
      <c r="H257" s="82" t="s">
        <v>1834</v>
      </c>
      <c r="I257" s="82" t="s">
        <v>22</v>
      </c>
      <c r="J257" s="84">
        <v>0</v>
      </c>
      <c r="K257" s="85">
        <v>1421.5</v>
      </c>
      <c r="L257" s="85">
        <v>1492.58</v>
      </c>
      <c r="M257" s="85">
        <v>71.08</v>
      </c>
      <c r="N257" s="85">
        <v>1492.58</v>
      </c>
      <c r="O257" s="85">
        <v>0</v>
      </c>
      <c r="P257" s="85">
        <v>1421.5</v>
      </c>
      <c r="Q257" s="85">
        <v>1492.58</v>
      </c>
      <c r="R257" s="85">
        <v>71.08</v>
      </c>
      <c r="S257" s="85">
        <v>1492.58</v>
      </c>
      <c r="T257" s="85">
        <v>0</v>
      </c>
      <c r="U257" s="82"/>
      <c r="V257" s="82" t="s">
        <v>3399</v>
      </c>
      <c r="W257" s="82" t="s">
        <v>3395</v>
      </c>
      <c r="X257" s="82" t="s">
        <v>3394</v>
      </c>
      <c r="Y257" s="82" t="s">
        <v>3393</v>
      </c>
    </row>
    <row r="258" spans="1:25" ht="10.9" customHeight="1" x14ac:dyDescent="0.2">
      <c r="A258" s="82" t="s">
        <v>2469</v>
      </c>
      <c r="B258" s="82" t="s">
        <v>3485</v>
      </c>
      <c r="C258" s="83">
        <v>45726</v>
      </c>
      <c r="D258" s="83">
        <v>45756</v>
      </c>
      <c r="E258" s="83">
        <v>45765</v>
      </c>
      <c r="F258" s="83">
        <v>45754</v>
      </c>
      <c r="G258" s="83">
        <v>45726</v>
      </c>
      <c r="H258" s="82" t="s">
        <v>1922</v>
      </c>
      <c r="I258" s="82" t="s">
        <v>22</v>
      </c>
      <c r="J258" s="84">
        <v>0</v>
      </c>
      <c r="K258" s="85">
        <v>1363.36</v>
      </c>
      <c r="L258" s="85">
        <v>1540.6</v>
      </c>
      <c r="M258" s="85">
        <v>177.24</v>
      </c>
      <c r="N258" s="85">
        <v>1540.6</v>
      </c>
      <c r="O258" s="85">
        <v>0</v>
      </c>
      <c r="P258" s="85">
        <v>1363.36</v>
      </c>
      <c r="Q258" s="85">
        <v>1540.6</v>
      </c>
      <c r="R258" s="85">
        <v>177.24</v>
      </c>
      <c r="S258" s="85">
        <v>1540.6</v>
      </c>
      <c r="T258" s="85">
        <v>0</v>
      </c>
      <c r="U258" s="82"/>
      <c r="V258" s="82" t="s">
        <v>3399</v>
      </c>
      <c r="W258" s="82" t="s">
        <v>3395</v>
      </c>
      <c r="X258" s="82" t="s">
        <v>3394</v>
      </c>
      <c r="Y258" s="82" t="s">
        <v>3393</v>
      </c>
    </row>
    <row r="259" spans="1:25" ht="10.9" customHeight="1" x14ac:dyDescent="0.2">
      <c r="A259" s="82" t="s">
        <v>2517</v>
      </c>
      <c r="B259" s="82" t="s">
        <v>689</v>
      </c>
      <c r="C259" s="83">
        <v>45726</v>
      </c>
      <c r="D259" s="83">
        <v>45756</v>
      </c>
      <c r="E259" s="83">
        <v>45765</v>
      </c>
      <c r="F259" s="83">
        <v>45763</v>
      </c>
      <c r="G259" s="83">
        <v>45726</v>
      </c>
      <c r="H259" s="82" t="s">
        <v>1839</v>
      </c>
      <c r="I259" s="82" t="s">
        <v>22</v>
      </c>
      <c r="J259" s="84">
        <v>0</v>
      </c>
      <c r="K259" s="85">
        <v>298.77999999999997</v>
      </c>
      <c r="L259" s="85">
        <v>337.62</v>
      </c>
      <c r="M259" s="85">
        <v>38.840000000000003</v>
      </c>
      <c r="N259" s="85">
        <v>337.62</v>
      </c>
      <c r="O259" s="85">
        <v>0</v>
      </c>
      <c r="P259" s="85">
        <v>298.77999999999997</v>
      </c>
      <c r="Q259" s="85">
        <v>337.62</v>
      </c>
      <c r="R259" s="85">
        <v>38.840000000000003</v>
      </c>
      <c r="S259" s="85">
        <v>337.62</v>
      </c>
      <c r="T259" s="85">
        <v>0</v>
      </c>
      <c r="U259" s="82"/>
      <c r="V259" s="82" t="s">
        <v>3399</v>
      </c>
      <c r="W259" s="82" t="s">
        <v>3395</v>
      </c>
      <c r="X259" s="82" t="s">
        <v>3394</v>
      </c>
      <c r="Y259" s="82" t="s">
        <v>3393</v>
      </c>
    </row>
    <row r="260" spans="1:25" ht="10.9" customHeight="1" x14ac:dyDescent="0.2">
      <c r="A260" s="82" t="s">
        <v>2484</v>
      </c>
      <c r="B260" s="82" t="s">
        <v>242</v>
      </c>
      <c r="C260" s="83">
        <v>45726</v>
      </c>
      <c r="D260" s="83">
        <v>45756</v>
      </c>
      <c r="E260" s="83">
        <v>45765</v>
      </c>
      <c r="F260" s="83">
        <v>45763</v>
      </c>
      <c r="G260" s="83">
        <v>45726</v>
      </c>
      <c r="H260" s="82" t="s">
        <v>1894</v>
      </c>
      <c r="I260" s="82" t="s">
        <v>22</v>
      </c>
      <c r="J260" s="84">
        <v>0</v>
      </c>
      <c r="K260" s="85">
        <v>1219.96</v>
      </c>
      <c r="L260" s="85">
        <v>1280.96</v>
      </c>
      <c r="M260" s="85">
        <v>61</v>
      </c>
      <c r="N260" s="85">
        <v>1280.96</v>
      </c>
      <c r="O260" s="85">
        <v>0</v>
      </c>
      <c r="P260" s="85">
        <v>1219.96</v>
      </c>
      <c r="Q260" s="85">
        <v>1280.96</v>
      </c>
      <c r="R260" s="85">
        <v>61</v>
      </c>
      <c r="S260" s="85">
        <v>1280.96</v>
      </c>
      <c r="T260" s="85">
        <v>0</v>
      </c>
      <c r="U260" s="82"/>
      <c r="V260" s="82" t="s">
        <v>3399</v>
      </c>
      <c r="W260" s="82" t="s">
        <v>3395</v>
      </c>
      <c r="X260" s="82" t="s">
        <v>3394</v>
      </c>
      <c r="Y260" s="82" t="s">
        <v>3393</v>
      </c>
    </row>
    <row r="261" spans="1:25" ht="10.9" customHeight="1" x14ac:dyDescent="0.2">
      <c r="A261" s="82" t="s">
        <v>2524</v>
      </c>
      <c r="B261" s="82" t="s">
        <v>86</v>
      </c>
      <c r="C261" s="83">
        <v>45726</v>
      </c>
      <c r="D261" s="83">
        <v>45756</v>
      </c>
      <c r="E261" s="83">
        <v>45756</v>
      </c>
      <c r="F261" s="83">
        <v>45756</v>
      </c>
      <c r="G261" s="83">
        <v>45726</v>
      </c>
      <c r="H261" s="82" t="s">
        <v>1826</v>
      </c>
      <c r="I261" s="82" t="s">
        <v>22</v>
      </c>
      <c r="J261" s="84">
        <v>0</v>
      </c>
      <c r="K261" s="85">
        <v>92.22</v>
      </c>
      <c r="L261" s="85">
        <v>96.83</v>
      </c>
      <c r="M261" s="85">
        <v>4.6100000000000003</v>
      </c>
      <c r="N261" s="85">
        <v>96.83</v>
      </c>
      <c r="O261" s="85">
        <v>0</v>
      </c>
      <c r="P261" s="85">
        <v>92.22</v>
      </c>
      <c r="Q261" s="85">
        <v>96.83</v>
      </c>
      <c r="R261" s="85">
        <v>4.6100000000000003</v>
      </c>
      <c r="S261" s="85">
        <v>96.83</v>
      </c>
      <c r="T261" s="85">
        <v>0</v>
      </c>
      <c r="U261" s="82"/>
      <c r="V261" s="82" t="s">
        <v>3399</v>
      </c>
      <c r="W261" s="82" t="s">
        <v>3395</v>
      </c>
      <c r="X261" s="82" t="s">
        <v>3394</v>
      </c>
      <c r="Y261" s="82" t="s">
        <v>3393</v>
      </c>
    </row>
    <row r="262" spans="1:25" ht="10.9" customHeight="1" x14ac:dyDescent="0.2">
      <c r="A262" s="82" t="s">
        <v>2526</v>
      </c>
      <c r="B262" s="82" t="s">
        <v>556</v>
      </c>
      <c r="C262" s="83">
        <v>45726</v>
      </c>
      <c r="D262" s="83">
        <v>45756</v>
      </c>
      <c r="E262" s="83">
        <v>45772</v>
      </c>
      <c r="F262" s="83">
        <v>45770</v>
      </c>
      <c r="G262" s="83">
        <v>45726</v>
      </c>
      <c r="H262" s="82" t="s">
        <v>1824</v>
      </c>
      <c r="I262" s="82" t="s">
        <v>22</v>
      </c>
      <c r="J262" s="84">
        <v>0</v>
      </c>
      <c r="K262" s="85">
        <v>836.73</v>
      </c>
      <c r="L262" s="85">
        <v>945.5</v>
      </c>
      <c r="M262" s="85">
        <v>108.77</v>
      </c>
      <c r="N262" s="85">
        <v>945.5</v>
      </c>
      <c r="O262" s="85">
        <v>0</v>
      </c>
      <c r="P262" s="85">
        <v>836.73</v>
      </c>
      <c r="Q262" s="85">
        <v>945.5</v>
      </c>
      <c r="R262" s="85">
        <v>108.77</v>
      </c>
      <c r="S262" s="85">
        <v>945.5</v>
      </c>
      <c r="T262" s="85">
        <v>0</v>
      </c>
      <c r="U262" s="82"/>
      <c r="V262" s="82" t="s">
        <v>3399</v>
      </c>
      <c r="W262" s="82" t="s">
        <v>3395</v>
      </c>
      <c r="X262" s="82" t="s">
        <v>3394</v>
      </c>
      <c r="Y262" s="82" t="s">
        <v>3393</v>
      </c>
    </row>
    <row r="263" spans="1:25" ht="10.9" customHeight="1" x14ac:dyDescent="0.2">
      <c r="A263" s="82" t="s">
        <v>3620</v>
      </c>
      <c r="B263" s="82" t="s">
        <v>61</v>
      </c>
      <c r="C263" s="83">
        <v>45726</v>
      </c>
      <c r="D263" s="83">
        <v>45756</v>
      </c>
      <c r="E263" s="83">
        <v>45779</v>
      </c>
      <c r="F263" s="83">
        <v>45779</v>
      </c>
      <c r="G263" s="83">
        <v>45728</v>
      </c>
      <c r="H263" s="82" t="s">
        <v>3619</v>
      </c>
      <c r="I263" s="82" t="s">
        <v>51</v>
      </c>
      <c r="J263" s="84">
        <v>0.69350500000000004</v>
      </c>
      <c r="K263" s="85">
        <v>2020.88</v>
      </c>
      <c r="L263" s="85">
        <v>2020.88</v>
      </c>
      <c r="M263" s="85">
        <v>0</v>
      </c>
      <c r="N263" s="85">
        <v>2020.88</v>
      </c>
      <c r="O263" s="85">
        <v>0</v>
      </c>
      <c r="P263" s="85">
        <v>2914.0092717428138</v>
      </c>
      <c r="Q263" s="85">
        <v>2914.0092717428138</v>
      </c>
      <c r="R263" s="85">
        <v>0</v>
      </c>
      <c r="S263" s="85">
        <v>2787.0171</v>
      </c>
      <c r="T263" s="85">
        <v>0</v>
      </c>
      <c r="U263" s="82"/>
      <c r="V263" s="82" t="s">
        <v>3399</v>
      </c>
      <c r="W263" s="82" t="s">
        <v>3395</v>
      </c>
      <c r="X263" s="82" t="s">
        <v>3394</v>
      </c>
      <c r="Y263" s="82" t="s">
        <v>3393</v>
      </c>
    </row>
    <row r="264" spans="1:25" ht="10.9" customHeight="1" x14ac:dyDescent="0.2">
      <c r="A264" s="82" t="s">
        <v>3618</v>
      </c>
      <c r="B264" s="82" t="s">
        <v>465</v>
      </c>
      <c r="C264" s="83">
        <v>45726</v>
      </c>
      <c r="D264" s="83">
        <v>45726</v>
      </c>
      <c r="E264" s="83">
        <v>45726</v>
      </c>
      <c r="F264" s="83">
        <v>45726</v>
      </c>
      <c r="G264" s="83">
        <v>45726</v>
      </c>
      <c r="H264" s="82" t="s">
        <v>3617</v>
      </c>
      <c r="I264" s="82" t="s">
        <v>22</v>
      </c>
      <c r="J264" s="84">
        <v>0</v>
      </c>
      <c r="K264" s="85">
        <v>-7811.79</v>
      </c>
      <c r="L264" s="85">
        <v>-8827.32</v>
      </c>
      <c r="M264" s="85">
        <v>-1015.53</v>
      </c>
      <c r="N264" s="85">
        <v>-8827.32</v>
      </c>
      <c r="O264" s="85">
        <v>0</v>
      </c>
      <c r="P264" s="85">
        <v>-7811.79</v>
      </c>
      <c r="Q264" s="85">
        <v>-8827.32</v>
      </c>
      <c r="R264" s="85">
        <v>-1015.53</v>
      </c>
      <c r="S264" s="85">
        <v>-8827.32</v>
      </c>
      <c r="T264" s="85">
        <v>0</v>
      </c>
      <c r="U264" s="82"/>
      <c r="V264" s="82" t="s">
        <v>3399</v>
      </c>
      <c r="W264" s="82" t="s">
        <v>3398</v>
      </c>
      <c r="X264" s="82" t="s">
        <v>3394</v>
      </c>
      <c r="Y264" s="82" t="s">
        <v>3393</v>
      </c>
    </row>
    <row r="265" spans="1:25" ht="10.9" customHeight="1" x14ac:dyDescent="0.2">
      <c r="A265" s="82" t="s">
        <v>3616</v>
      </c>
      <c r="B265" s="82" t="s">
        <v>714</v>
      </c>
      <c r="C265" s="83">
        <v>45728</v>
      </c>
      <c r="D265" s="83">
        <v>45758</v>
      </c>
      <c r="E265" s="83">
        <v>45758</v>
      </c>
      <c r="F265" s="83">
        <v>45763</v>
      </c>
      <c r="G265" s="83">
        <v>45728</v>
      </c>
      <c r="H265" s="82" t="s">
        <v>3583</v>
      </c>
      <c r="I265" s="82" t="s">
        <v>51</v>
      </c>
      <c r="J265" s="84">
        <v>0.69464199999999998</v>
      </c>
      <c r="K265" s="85">
        <v>7975.04</v>
      </c>
      <c r="L265" s="85">
        <v>7975.04</v>
      </c>
      <c r="M265" s="85">
        <v>0</v>
      </c>
      <c r="N265" s="85">
        <v>7975.04</v>
      </c>
      <c r="O265" s="85">
        <v>0</v>
      </c>
      <c r="P265" s="85">
        <v>11480.791544421443</v>
      </c>
      <c r="Q265" s="85">
        <v>11480.791544421443</v>
      </c>
      <c r="R265" s="85">
        <v>0</v>
      </c>
      <c r="S265" s="85">
        <v>11063.1379</v>
      </c>
      <c r="T265" s="85">
        <v>0</v>
      </c>
      <c r="U265" s="82"/>
      <c r="V265" s="82" t="s">
        <v>3399</v>
      </c>
      <c r="W265" s="82" t="s">
        <v>3395</v>
      </c>
      <c r="X265" s="82" t="s">
        <v>3394</v>
      </c>
      <c r="Y265" s="82" t="s">
        <v>3393</v>
      </c>
    </row>
    <row r="266" spans="1:25" ht="10.9" customHeight="1" x14ac:dyDescent="0.2">
      <c r="A266" s="82" t="s">
        <v>2457</v>
      </c>
      <c r="B266" s="82" t="s">
        <v>556</v>
      </c>
      <c r="C266" s="83">
        <v>45728</v>
      </c>
      <c r="D266" s="83">
        <v>45758</v>
      </c>
      <c r="E266" s="83">
        <v>45772</v>
      </c>
      <c r="F266" s="83">
        <v>45770</v>
      </c>
      <c r="G266" s="83">
        <v>45728</v>
      </c>
      <c r="H266" s="82" t="s">
        <v>1945</v>
      </c>
      <c r="I266" s="82" t="s">
        <v>22</v>
      </c>
      <c r="J266" s="84">
        <v>0</v>
      </c>
      <c r="K266" s="85">
        <v>19.25</v>
      </c>
      <c r="L266" s="85">
        <v>21.75</v>
      </c>
      <c r="M266" s="85">
        <v>2.5</v>
      </c>
      <c r="N266" s="85">
        <v>21.75</v>
      </c>
      <c r="O266" s="85">
        <v>0</v>
      </c>
      <c r="P266" s="85">
        <v>19.25</v>
      </c>
      <c r="Q266" s="85">
        <v>21.75</v>
      </c>
      <c r="R266" s="85">
        <v>2.5</v>
      </c>
      <c r="S266" s="85">
        <v>21.75</v>
      </c>
      <c r="T266" s="85">
        <v>0</v>
      </c>
      <c r="U266" s="82"/>
      <c r="V266" s="82" t="s">
        <v>3399</v>
      </c>
      <c r="W266" s="82" t="s">
        <v>3395</v>
      </c>
      <c r="X266" s="82" t="s">
        <v>3394</v>
      </c>
      <c r="Y266" s="82" t="s">
        <v>3393</v>
      </c>
    </row>
    <row r="267" spans="1:25" ht="10.9" customHeight="1" x14ac:dyDescent="0.2">
      <c r="A267" s="82" t="s">
        <v>2528</v>
      </c>
      <c r="B267" s="82" t="s">
        <v>242</v>
      </c>
      <c r="C267" s="83">
        <v>45728</v>
      </c>
      <c r="D267" s="83">
        <v>45758</v>
      </c>
      <c r="E267" s="83">
        <v>45765</v>
      </c>
      <c r="F267" s="83">
        <v>45763</v>
      </c>
      <c r="G267" s="83">
        <v>45728</v>
      </c>
      <c r="H267" s="82" t="s">
        <v>1820</v>
      </c>
      <c r="I267" s="82" t="s">
        <v>22</v>
      </c>
      <c r="J267" s="84">
        <v>0</v>
      </c>
      <c r="K267" s="85">
        <v>711.25</v>
      </c>
      <c r="L267" s="85">
        <v>746.81</v>
      </c>
      <c r="M267" s="85">
        <v>35.56</v>
      </c>
      <c r="N267" s="85">
        <v>746.81</v>
      </c>
      <c r="O267" s="85">
        <v>0</v>
      </c>
      <c r="P267" s="85">
        <v>711.25</v>
      </c>
      <c r="Q267" s="85">
        <v>746.81</v>
      </c>
      <c r="R267" s="85">
        <v>35.56</v>
      </c>
      <c r="S267" s="85">
        <v>746.81</v>
      </c>
      <c r="T267" s="85">
        <v>0</v>
      </c>
      <c r="U267" s="82"/>
      <c r="V267" s="82" t="s">
        <v>3399</v>
      </c>
      <c r="W267" s="82" t="s">
        <v>3395</v>
      </c>
      <c r="X267" s="82" t="s">
        <v>3394</v>
      </c>
      <c r="Y267" s="82" t="s">
        <v>3393</v>
      </c>
    </row>
    <row r="268" spans="1:25" ht="10.9" customHeight="1" x14ac:dyDescent="0.2">
      <c r="A268" s="82" t="s">
        <v>2536</v>
      </c>
      <c r="B268" s="82" t="s">
        <v>465</v>
      </c>
      <c r="C268" s="83">
        <v>45728</v>
      </c>
      <c r="D268" s="83">
        <v>45758</v>
      </c>
      <c r="E268" s="83">
        <v>45779</v>
      </c>
      <c r="F268" s="83">
        <v>45778</v>
      </c>
      <c r="G268" s="83">
        <v>45728</v>
      </c>
      <c r="H268" s="82" t="s">
        <v>1807</v>
      </c>
      <c r="I268" s="82" t="s">
        <v>22</v>
      </c>
      <c r="J268" s="84">
        <v>0</v>
      </c>
      <c r="K268" s="85">
        <v>1242.28</v>
      </c>
      <c r="L268" s="85">
        <v>1403.78</v>
      </c>
      <c r="M268" s="85">
        <v>161.5</v>
      </c>
      <c r="N268" s="85">
        <v>1403.78</v>
      </c>
      <c r="O268" s="85">
        <v>0</v>
      </c>
      <c r="P268" s="85">
        <v>1242.28</v>
      </c>
      <c r="Q268" s="85">
        <v>1403.78</v>
      </c>
      <c r="R268" s="85">
        <v>161.5</v>
      </c>
      <c r="S268" s="85">
        <v>1403.78</v>
      </c>
      <c r="T268" s="85">
        <v>0</v>
      </c>
      <c r="U268" s="82"/>
      <c r="V268" s="82" t="s">
        <v>3399</v>
      </c>
      <c r="W268" s="82" t="s">
        <v>3395</v>
      </c>
      <c r="X268" s="82" t="s">
        <v>3394</v>
      </c>
      <c r="Y268" s="82" t="s">
        <v>3393</v>
      </c>
    </row>
    <row r="269" spans="1:25" ht="10.9" customHeight="1" x14ac:dyDescent="0.2">
      <c r="A269" s="82" t="s">
        <v>2491</v>
      </c>
      <c r="B269" s="82" t="s">
        <v>3485</v>
      </c>
      <c r="C269" s="83">
        <v>45728</v>
      </c>
      <c r="D269" s="83">
        <v>45758</v>
      </c>
      <c r="E269" s="83">
        <v>45765</v>
      </c>
      <c r="F269" s="83">
        <v>45754</v>
      </c>
      <c r="G269" s="83">
        <v>45728</v>
      </c>
      <c r="H269" s="82" t="s">
        <v>1878</v>
      </c>
      <c r="I269" s="82" t="s">
        <v>22</v>
      </c>
      <c r="J269" s="84">
        <v>0</v>
      </c>
      <c r="K269" s="85">
        <v>1232.19</v>
      </c>
      <c r="L269" s="85">
        <v>1392.37</v>
      </c>
      <c r="M269" s="85">
        <v>160.18</v>
      </c>
      <c r="N269" s="85">
        <v>1392.37</v>
      </c>
      <c r="O269" s="85">
        <v>0</v>
      </c>
      <c r="P269" s="85">
        <v>1232.19</v>
      </c>
      <c r="Q269" s="85">
        <v>1392.37</v>
      </c>
      <c r="R269" s="85">
        <v>160.18</v>
      </c>
      <c r="S269" s="85">
        <v>1392.37</v>
      </c>
      <c r="T269" s="85">
        <v>0</v>
      </c>
      <c r="U269" s="82"/>
      <c r="V269" s="82" t="s">
        <v>3399</v>
      </c>
      <c r="W269" s="82" t="s">
        <v>3395</v>
      </c>
      <c r="X269" s="82" t="s">
        <v>3394</v>
      </c>
      <c r="Y269" s="82" t="s">
        <v>3393</v>
      </c>
    </row>
    <row r="270" spans="1:25" ht="10.9" customHeight="1" x14ac:dyDescent="0.2">
      <c r="A270" s="82" t="s">
        <v>2545</v>
      </c>
      <c r="B270" s="82" t="s">
        <v>242</v>
      </c>
      <c r="C270" s="83">
        <v>45729</v>
      </c>
      <c r="D270" s="83">
        <v>45759</v>
      </c>
      <c r="E270" s="83">
        <v>45765</v>
      </c>
      <c r="F270" s="83">
        <v>45763</v>
      </c>
      <c r="G270" s="83">
        <v>45729</v>
      </c>
      <c r="H270" s="82" t="s">
        <v>1792</v>
      </c>
      <c r="I270" s="82" t="s">
        <v>22</v>
      </c>
      <c r="J270" s="84">
        <v>0</v>
      </c>
      <c r="K270" s="85">
        <v>321.89999999999998</v>
      </c>
      <c r="L270" s="85">
        <v>338</v>
      </c>
      <c r="M270" s="85">
        <v>16.100000000000001</v>
      </c>
      <c r="N270" s="85">
        <v>338</v>
      </c>
      <c r="O270" s="85">
        <v>0</v>
      </c>
      <c r="P270" s="85">
        <v>321.89999999999998</v>
      </c>
      <c r="Q270" s="85">
        <v>338</v>
      </c>
      <c r="R270" s="85">
        <v>16.100000000000001</v>
      </c>
      <c r="S270" s="85">
        <v>338</v>
      </c>
      <c r="T270" s="85">
        <v>0</v>
      </c>
      <c r="U270" s="82"/>
      <c r="V270" s="82" t="s">
        <v>3399</v>
      </c>
      <c r="W270" s="82" t="s">
        <v>3395</v>
      </c>
      <c r="X270" s="82" t="s">
        <v>3394</v>
      </c>
      <c r="Y270" s="82" t="s">
        <v>3393</v>
      </c>
    </row>
    <row r="271" spans="1:25" ht="10.9" customHeight="1" x14ac:dyDescent="0.2">
      <c r="A271" s="82" t="s">
        <v>2541</v>
      </c>
      <c r="B271" s="82" t="s">
        <v>20</v>
      </c>
      <c r="C271" s="83">
        <v>45729</v>
      </c>
      <c r="D271" s="83">
        <v>45789</v>
      </c>
      <c r="E271" s="83">
        <v>45789</v>
      </c>
      <c r="F271" s="83">
        <v>45789</v>
      </c>
      <c r="G271" s="83">
        <v>45729</v>
      </c>
      <c r="H271" s="82" t="s">
        <v>1801</v>
      </c>
      <c r="I271" s="82" t="s">
        <v>22</v>
      </c>
      <c r="J271" s="84">
        <v>0</v>
      </c>
      <c r="K271" s="85">
        <v>301.76</v>
      </c>
      <c r="L271" s="85">
        <v>316.85000000000002</v>
      </c>
      <c r="M271" s="85">
        <v>15.09</v>
      </c>
      <c r="N271" s="85">
        <v>316.85000000000002</v>
      </c>
      <c r="O271" s="85">
        <v>0</v>
      </c>
      <c r="P271" s="85">
        <v>301.76</v>
      </c>
      <c r="Q271" s="85">
        <v>316.85000000000002</v>
      </c>
      <c r="R271" s="85">
        <v>15.09</v>
      </c>
      <c r="S271" s="85">
        <v>316.85000000000002</v>
      </c>
      <c r="T271" s="85">
        <v>0</v>
      </c>
      <c r="U271" s="82"/>
      <c r="V271" s="82" t="s">
        <v>3399</v>
      </c>
      <c r="W271" s="82" t="s">
        <v>3395</v>
      </c>
      <c r="X271" s="82" t="s">
        <v>3394</v>
      </c>
      <c r="Y271" s="82" t="s">
        <v>3393</v>
      </c>
    </row>
    <row r="272" spans="1:25" ht="10.9" customHeight="1" x14ac:dyDescent="0.2">
      <c r="A272" s="82" t="s">
        <v>2543</v>
      </c>
      <c r="B272" s="82" t="s">
        <v>1797</v>
      </c>
      <c r="C272" s="83">
        <v>45730</v>
      </c>
      <c r="D272" s="83">
        <v>45760</v>
      </c>
      <c r="E272" s="83">
        <v>45775</v>
      </c>
      <c r="F272" s="83">
        <v>45757</v>
      </c>
      <c r="G272" s="83">
        <v>45730</v>
      </c>
      <c r="H272" s="82" t="s">
        <v>1796</v>
      </c>
      <c r="I272" s="82" t="s">
        <v>22</v>
      </c>
      <c r="J272" s="84">
        <v>0</v>
      </c>
      <c r="K272" s="85">
        <v>2092.58</v>
      </c>
      <c r="L272" s="85">
        <v>2197.21</v>
      </c>
      <c r="M272" s="85">
        <v>104.63</v>
      </c>
      <c r="N272" s="85">
        <v>2197.21</v>
      </c>
      <c r="O272" s="85">
        <v>0</v>
      </c>
      <c r="P272" s="85">
        <v>2092.58</v>
      </c>
      <c r="Q272" s="85">
        <v>2197.21</v>
      </c>
      <c r="R272" s="85">
        <v>104.63</v>
      </c>
      <c r="S272" s="85">
        <v>2197.21</v>
      </c>
      <c r="T272" s="85">
        <v>0</v>
      </c>
      <c r="U272" s="82"/>
      <c r="V272" s="82" t="s">
        <v>3399</v>
      </c>
      <c r="W272" s="82" t="s">
        <v>3395</v>
      </c>
      <c r="X272" s="82" t="s">
        <v>3394</v>
      </c>
      <c r="Y272" s="82" t="s">
        <v>3393</v>
      </c>
    </row>
    <row r="273" spans="1:25" ht="10.9" customHeight="1" x14ac:dyDescent="0.2">
      <c r="A273" s="82" t="s">
        <v>2547</v>
      </c>
      <c r="B273" s="82" t="s">
        <v>242</v>
      </c>
      <c r="C273" s="83">
        <v>45730</v>
      </c>
      <c r="D273" s="83">
        <v>45760</v>
      </c>
      <c r="E273" s="83">
        <v>45772</v>
      </c>
      <c r="F273" s="83">
        <v>45763</v>
      </c>
      <c r="G273" s="83">
        <v>45730</v>
      </c>
      <c r="H273" s="82" t="s">
        <v>1788</v>
      </c>
      <c r="I273" s="82" t="s">
        <v>22</v>
      </c>
      <c r="J273" s="84">
        <v>0</v>
      </c>
      <c r="K273" s="85">
        <v>199.07</v>
      </c>
      <c r="L273" s="85">
        <v>209.03</v>
      </c>
      <c r="M273" s="85">
        <v>9.9600000000000009</v>
      </c>
      <c r="N273" s="85">
        <v>209.03</v>
      </c>
      <c r="O273" s="85">
        <v>0</v>
      </c>
      <c r="P273" s="85">
        <v>199.07</v>
      </c>
      <c r="Q273" s="85">
        <v>209.03</v>
      </c>
      <c r="R273" s="85">
        <v>9.9600000000000009</v>
      </c>
      <c r="S273" s="85">
        <v>209.03</v>
      </c>
      <c r="T273" s="85">
        <v>0</v>
      </c>
      <c r="U273" s="82"/>
      <c r="V273" s="82" t="s">
        <v>3399</v>
      </c>
      <c r="W273" s="82" t="s">
        <v>3395</v>
      </c>
      <c r="X273" s="82" t="s">
        <v>3394</v>
      </c>
      <c r="Y273" s="82" t="s">
        <v>3393</v>
      </c>
    </row>
    <row r="274" spans="1:25" ht="10.9" customHeight="1" x14ac:dyDescent="0.2">
      <c r="A274" s="82" t="s">
        <v>2552</v>
      </c>
      <c r="B274" s="82" t="s">
        <v>242</v>
      </c>
      <c r="C274" s="83">
        <v>45730</v>
      </c>
      <c r="D274" s="83">
        <v>45760</v>
      </c>
      <c r="E274" s="83">
        <v>45772</v>
      </c>
      <c r="F274" s="83">
        <v>45763</v>
      </c>
      <c r="G274" s="83">
        <v>45730</v>
      </c>
      <c r="H274" s="82" t="s">
        <v>1780</v>
      </c>
      <c r="I274" s="82" t="s">
        <v>22</v>
      </c>
      <c r="J274" s="84">
        <v>0</v>
      </c>
      <c r="K274" s="85">
        <v>168.59</v>
      </c>
      <c r="L274" s="85">
        <v>177.02</v>
      </c>
      <c r="M274" s="85">
        <v>8.43</v>
      </c>
      <c r="N274" s="85">
        <v>177.02</v>
      </c>
      <c r="O274" s="85">
        <v>0</v>
      </c>
      <c r="P274" s="85">
        <v>168.59</v>
      </c>
      <c r="Q274" s="85">
        <v>177.02</v>
      </c>
      <c r="R274" s="85">
        <v>8.43</v>
      </c>
      <c r="S274" s="85">
        <v>177.02</v>
      </c>
      <c r="T274" s="85">
        <v>0</v>
      </c>
      <c r="U274" s="82"/>
      <c r="V274" s="82" t="s">
        <v>3399</v>
      </c>
      <c r="W274" s="82" t="s">
        <v>3395</v>
      </c>
      <c r="X274" s="82" t="s">
        <v>3394</v>
      </c>
      <c r="Y274" s="82" t="s">
        <v>3393</v>
      </c>
    </row>
    <row r="275" spans="1:25" ht="10.9" customHeight="1" x14ac:dyDescent="0.2">
      <c r="A275" s="82"/>
      <c r="B275" s="82" t="s">
        <v>1773</v>
      </c>
      <c r="C275" s="83">
        <v>45730</v>
      </c>
      <c r="D275" s="83">
        <v>45730</v>
      </c>
      <c r="E275" s="83">
        <v>45730</v>
      </c>
      <c r="F275" s="83">
        <v>45769</v>
      </c>
      <c r="G275" s="83">
        <v>45735</v>
      </c>
      <c r="H275" s="82" t="s">
        <v>1771</v>
      </c>
      <c r="I275" s="82" t="s">
        <v>22</v>
      </c>
      <c r="J275" s="84">
        <v>0</v>
      </c>
      <c r="K275" s="85">
        <v>-11384.16</v>
      </c>
      <c r="L275" s="85">
        <v>-11384.16</v>
      </c>
      <c r="M275" s="85">
        <v>0</v>
      </c>
      <c r="N275" s="85">
        <v>-11384.16</v>
      </c>
      <c r="O275" s="85">
        <v>0</v>
      </c>
      <c r="P275" s="85">
        <v>-11384.16</v>
      </c>
      <c r="Q275" s="85">
        <v>-11384.16</v>
      </c>
      <c r="R275" s="85">
        <v>0</v>
      </c>
      <c r="S275" s="85">
        <v>-11384.16</v>
      </c>
      <c r="T275" s="85">
        <v>0</v>
      </c>
      <c r="U275" s="82"/>
      <c r="V275" s="82" t="s">
        <v>3399</v>
      </c>
      <c r="W275" s="82" t="s">
        <v>3423</v>
      </c>
      <c r="X275" s="82" t="s">
        <v>3397</v>
      </c>
      <c r="Y275" s="82"/>
    </row>
    <row r="276" spans="1:25" ht="10.9" customHeight="1" x14ac:dyDescent="0.2">
      <c r="A276" s="82" t="s">
        <v>2553</v>
      </c>
      <c r="B276" s="82" t="s">
        <v>1778</v>
      </c>
      <c r="C276" s="83">
        <v>45733</v>
      </c>
      <c r="D276" s="83">
        <v>45763</v>
      </c>
      <c r="E276" s="83">
        <v>45792</v>
      </c>
      <c r="F276" s="83">
        <v>45779</v>
      </c>
      <c r="G276" s="83">
        <v>45733</v>
      </c>
      <c r="H276" s="82" t="s">
        <v>1777</v>
      </c>
      <c r="I276" s="82" t="s">
        <v>51</v>
      </c>
      <c r="J276" s="84">
        <v>0.69913899999999995</v>
      </c>
      <c r="K276" s="85">
        <v>519</v>
      </c>
      <c r="L276" s="85">
        <v>519</v>
      </c>
      <c r="M276" s="85">
        <v>0</v>
      </c>
      <c r="N276" s="85">
        <v>519</v>
      </c>
      <c r="O276" s="85">
        <v>0</v>
      </c>
      <c r="P276" s="85">
        <v>742.34165166011326</v>
      </c>
      <c r="Q276" s="85">
        <v>742.34165166011326</v>
      </c>
      <c r="R276" s="85">
        <v>0</v>
      </c>
      <c r="S276" s="85">
        <v>715.75840000000005</v>
      </c>
      <c r="T276" s="85">
        <v>0</v>
      </c>
      <c r="U276" s="82"/>
      <c r="V276" s="82" t="s">
        <v>3399</v>
      </c>
      <c r="W276" s="82" t="s">
        <v>3395</v>
      </c>
      <c r="X276" s="82" t="s">
        <v>3394</v>
      </c>
      <c r="Y276" s="82" t="s">
        <v>3393</v>
      </c>
    </row>
    <row r="277" spans="1:25" ht="10.9" customHeight="1" x14ac:dyDescent="0.2">
      <c r="A277" s="82" t="s">
        <v>2496</v>
      </c>
      <c r="B277" s="82" t="s">
        <v>723</v>
      </c>
      <c r="C277" s="83">
        <v>45733</v>
      </c>
      <c r="D277" s="83">
        <v>45793</v>
      </c>
      <c r="E277" s="83">
        <v>45824</v>
      </c>
      <c r="F277" s="83">
        <v>45822</v>
      </c>
      <c r="G277" s="83">
        <v>45733</v>
      </c>
      <c r="H277" s="82" t="s">
        <v>1870</v>
      </c>
      <c r="I277" s="82" t="s">
        <v>51</v>
      </c>
      <c r="J277" s="84">
        <v>0.69913899999999995</v>
      </c>
      <c r="K277" s="85">
        <v>5509</v>
      </c>
      <c r="L277" s="85">
        <v>6225.17</v>
      </c>
      <c r="M277" s="85">
        <v>716.17</v>
      </c>
      <c r="N277" s="85">
        <v>6225.17</v>
      </c>
      <c r="O277" s="85">
        <v>0</v>
      </c>
      <c r="P277" s="85">
        <v>7879.6920211860588</v>
      </c>
      <c r="Q277" s="85">
        <v>8904.0519839402459</v>
      </c>
      <c r="R277" s="85">
        <v>1024.3599627541871</v>
      </c>
      <c r="S277" s="85">
        <v>8456.7095000000008</v>
      </c>
      <c r="T277" s="85">
        <v>0</v>
      </c>
      <c r="U277" s="82"/>
      <c r="V277" s="82" t="s">
        <v>3399</v>
      </c>
      <c r="W277" s="82" t="s">
        <v>3395</v>
      </c>
      <c r="X277" s="82" t="s">
        <v>3394</v>
      </c>
      <c r="Y277" s="82" t="s">
        <v>3393</v>
      </c>
    </row>
    <row r="278" spans="1:25" ht="10.9" customHeight="1" x14ac:dyDescent="0.2">
      <c r="A278" s="82" t="s">
        <v>2554</v>
      </c>
      <c r="B278" s="82" t="s">
        <v>242</v>
      </c>
      <c r="C278" s="83">
        <v>45733</v>
      </c>
      <c r="D278" s="83">
        <v>45763</v>
      </c>
      <c r="E278" s="83">
        <v>45772</v>
      </c>
      <c r="F278" s="83">
        <v>45770</v>
      </c>
      <c r="G278" s="83">
        <v>45734</v>
      </c>
      <c r="H278" s="82" t="s">
        <v>1775</v>
      </c>
      <c r="I278" s="82" t="s">
        <v>22</v>
      </c>
      <c r="J278" s="84">
        <v>0</v>
      </c>
      <c r="K278" s="85">
        <v>296.2</v>
      </c>
      <c r="L278" s="85">
        <v>311.01</v>
      </c>
      <c r="M278" s="85">
        <v>14.81</v>
      </c>
      <c r="N278" s="85">
        <v>311.01</v>
      </c>
      <c r="O278" s="85">
        <v>0</v>
      </c>
      <c r="P278" s="85">
        <v>296.2</v>
      </c>
      <c r="Q278" s="85">
        <v>311.01</v>
      </c>
      <c r="R278" s="85">
        <v>14.81</v>
      </c>
      <c r="S278" s="85">
        <v>311.01</v>
      </c>
      <c r="T278" s="85">
        <v>0</v>
      </c>
      <c r="U278" s="82"/>
      <c r="V278" s="82" t="s">
        <v>3399</v>
      </c>
      <c r="W278" s="82" t="s">
        <v>3395</v>
      </c>
      <c r="X278" s="82" t="s">
        <v>3394</v>
      </c>
      <c r="Y278" s="82" t="s">
        <v>3393</v>
      </c>
    </row>
    <row r="279" spans="1:25" ht="10.9" customHeight="1" x14ac:dyDescent="0.2">
      <c r="A279" s="82" t="s">
        <v>2531</v>
      </c>
      <c r="B279" s="82" t="s">
        <v>229</v>
      </c>
      <c r="C279" s="83">
        <v>45733</v>
      </c>
      <c r="D279" s="83">
        <v>45763</v>
      </c>
      <c r="E279" s="83">
        <v>45772</v>
      </c>
      <c r="F279" s="83">
        <v>45770</v>
      </c>
      <c r="G279" s="83">
        <v>45734</v>
      </c>
      <c r="H279" s="82" t="s">
        <v>1814</v>
      </c>
      <c r="I279" s="82" t="s">
        <v>22</v>
      </c>
      <c r="J279" s="84">
        <v>0</v>
      </c>
      <c r="K279" s="85">
        <v>1906.1</v>
      </c>
      <c r="L279" s="85">
        <v>2001.4</v>
      </c>
      <c r="M279" s="85">
        <v>95.3</v>
      </c>
      <c r="N279" s="85">
        <v>2001.4</v>
      </c>
      <c r="O279" s="85">
        <v>0</v>
      </c>
      <c r="P279" s="85">
        <v>1906.1</v>
      </c>
      <c r="Q279" s="85">
        <v>2001.4</v>
      </c>
      <c r="R279" s="85">
        <v>95.3</v>
      </c>
      <c r="S279" s="85">
        <v>2001.4</v>
      </c>
      <c r="T279" s="85">
        <v>0</v>
      </c>
      <c r="U279" s="82"/>
      <c r="V279" s="82" t="s">
        <v>3399</v>
      </c>
      <c r="W279" s="82" t="s">
        <v>3395</v>
      </c>
      <c r="X279" s="82" t="s">
        <v>3394</v>
      </c>
      <c r="Y279" s="82" t="s">
        <v>3393</v>
      </c>
    </row>
    <row r="280" spans="1:25" ht="10.9" customHeight="1" x14ac:dyDescent="0.2">
      <c r="A280" s="82" t="s">
        <v>2532</v>
      </c>
      <c r="B280" s="82" t="s">
        <v>171</v>
      </c>
      <c r="C280" s="83">
        <v>45733</v>
      </c>
      <c r="D280" s="83">
        <v>45763</v>
      </c>
      <c r="E280" s="83">
        <v>45772</v>
      </c>
      <c r="F280" s="83">
        <v>45776</v>
      </c>
      <c r="G280" s="83">
        <v>45734</v>
      </c>
      <c r="H280" s="82" t="s">
        <v>1484</v>
      </c>
      <c r="I280" s="82" t="s">
        <v>22</v>
      </c>
      <c r="J280" s="84">
        <v>0</v>
      </c>
      <c r="K280" s="85">
        <v>1129.78</v>
      </c>
      <c r="L280" s="85">
        <v>1186.27</v>
      </c>
      <c r="M280" s="85">
        <v>56.49</v>
      </c>
      <c r="N280" s="85">
        <v>1186.27</v>
      </c>
      <c r="O280" s="85">
        <v>0</v>
      </c>
      <c r="P280" s="85">
        <v>1129.78</v>
      </c>
      <c r="Q280" s="85">
        <v>1186.27</v>
      </c>
      <c r="R280" s="85">
        <v>56.49</v>
      </c>
      <c r="S280" s="85">
        <v>1186.27</v>
      </c>
      <c r="T280" s="85">
        <v>0</v>
      </c>
      <c r="U280" s="82"/>
      <c r="V280" s="82" t="s">
        <v>3399</v>
      </c>
      <c r="W280" s="82" t="s">
        <v>3395</v>
      </c>
      <c r="X280" s="82" t="s">
        <v>3394</v>
      </c>
      <c r="Y280" s="82" t="s">
        <v>3393</v>
      </c>
    </row>
    <row r="281" spans="1:25" ht="10.9" customHeight="1" x14ac:dyDescent="0.2">
      <c r="A281" s="82" t="s">
        <v>2548</v>
      </c>
      <c r="B281" s="82" t="s">
        <v>3412</v>
      </c>
      <c r="C281" s="83">
        <v>45734</v>
      </c>
      <c r="D281" s="83">
        <v>45779</v>
      </c>
      <c r="E281" s="83">
        <v>45786</v>
      </c>
      <c r="F281" s="83">
        <v>45772</v>
      </c>
      <c r="G281" s="83">
        <v>45734</v>
      </c>
      <c r="H281" s="82" t="s">
        <v>1786</v>
      </c>
      <c r="I281" s="82" t="s">
        <v>22</v>
      </c>
      <c r="J281" s="84">
        <v>0</v>
      </c>
      <c r="K281" s="85">
        <v>4082.22</v>
      </c>
      <c r="L281" s="85">
        <v>4286.34</v>
      </c>
      <c r="M281" s="85">
        <v>204.12</v>
      </c>
      <c r="N281" s="85">
        <v>4286.34</v>
      </c>
      <c r="O281" s="85">
        <v>0</v>
      </c>
      <c r="P281" s="85">
        <v>4082.22</v>
      </c>
      <c r="Q281" s="85">
        <v>4286.34</v>
      </c>
      <c r="R281" s="85">
        <v>204.12</v>
      </c>
      <c r="S281" s="85">
        <v>4286.34</v>
      </c>
      <c r="T281" s="85">
        <v>0</v>
      </c>
      <c r="U281" s="82"/>
      <c r="V281" s="82" t="s">
        <v>3399</v>
      </c>
      <c r="W281" s="82" t="s">
        <v>3395</v>
      </c>
      <c r="X281" s="82" t="s">
        <v>3394</v>
      </c>
      <c r="Y281" s="82" t="s">
        <v>3393</v>
      </c>
    </row>
    <row r="282" spans="1:25" ht="10.9" customHeight="1" x14ac:dyDescent="0.2">
      <c r="A282" s="82" t="s">
        <v>2551</v>
      </c>
      <c r="B282" s="82" t="s">
        <v>3412</v>
      </c>
      <c r="C282" s="83">
        <v>45734</v>
      </c>
      <c r="D282" s="83">
        <v>45779</v>
      </c>
      <c r="E282" s="83">
        <v>45786</v>
      </c>
      <c r="F282" s="83">
        <v>45772</v>
      </c>
      <c r="G282" s="83">
        <v>45734</v>
      </c>
      <c r="H282" s="82" t="s">
        <v>1782</v>
      </c>
      <c r="I282" s="82" t="s">
        <v>22</v>
      </c>
      <c r="J282" s="84">
        <v>0</v>
      </c>
      <c r="K282" s="85">
        <v>42.52</v>
      </c>
      <c r="L282" s="85">
        <v>44.65</v>
      </c>
      <c r="M282" s="85">
        <v>2.13</v>
      </c>
      <c r="N282" s="85">
        <v>44.65</v>
      </c>
      <c r="O282" s="85">
        <v>0</v>
      </c>
      <c r="P282" s="85">
        <v>42.52</v>
      </c>
      <c r="Q282" s="85">
        <v>44.65</v>
      </c>
      <c r="R282" s="85">
        <v>2.13</v>
      </c>
      <c r="S282" s="85">
        <v>44.65</v>
      </c>
      <c r="T282" s="85">
        <v>0</v>
      </c>
      <c r="U282" s="82"/>
      <c r="V282" s="82" t="s">
        <v>3399</v>
      </c>
      <c r="W282" s="82" t="s">
        <v>3395</v>
      </c>
      <c r="X282" s="82" t="s">
        <v>3394</v>
      </c>
      <c r="Y282" s="82" t="s">
        <v>3393</v>
      </c>
    </row>
    <row r="283" spans="1:25" ht="10.9" customHeight="1" x14ac:dyDescent="0.2">
      <c r="A283" s="82" t="s">
        <v>2542</v>
      </c>
      <c r="B283" s="82" t="s">
        <v>3412</v>
      </c>
      <c r="C283" s="83">
        <v>45734</v>
      </c>
      <c r="D283" s="83">
        <v>45779</v>
      </c>
      <c r="E283" s="83">
        <v>45786</v>
      </c>
      <c r="F283" s="83">
        <v>45772</v>
      </c>
      <c r="G283" s="83">
        <v>45734</v>
      </c>
      <c r="H283" s="82" t="s">
        <v>1799</v>
      </c>
      <c r="I283" s="82" t="s">
        <v>22</v>
      </c>
      <c r="J283" s="84">
        <v>0</v>
      </c>
      <c r="K283" s="85">
        <v>1752.46</v>
      </c>
      <c r="L283" s="85">
        <v>1840.09</v>
      </c>
      <c r="M283" s="85">
        <v>87.63</v>
      </c>
      <c r="N283" s="85">
        <v>1840.09</v>
      </c>
      <c r="O283" s="85">
        <v>0</v>
      </c>
      <c r="P283" s="85">
        <v>1752.46</v>
      </c>
      <c r="Q283" s="85">
        <v>1840.09</v>
      </c>
      <c r="R283" s="85">
        <v>87.63</v>
      </c>
      <c r="S283" s="85">
        <v>1840.09</v>
      </c>
      <c r="T283" s="85">
        <v>0</v>
      </c>
      <c r="U283" s="82"/>
      <c r="V283" s="82" t="s">
        <v>3399</v>
      </c>
      <c r="W283" s="82" t="s">
        <v>3395</v>
      </c>
      <c r="X283" s="82" t="s">
        <v>3394</v>
      </c>
      <c r="Y283" s="82" t="s">
        <v>3393</v>
      </c>
    </row>
    <row r="284" spans="1:25" ht="10.9" customHeight="1" x14ac:dyDescent="0.2">
      <c r="A284" s="82" t="s">
        <v>2486</v>
      </c>
      <c r="B284" s="82" t="s">
        <v>54</v>
      </c>
      <c r="C284" s="83">
        <v>45734</v>
      </c>
      <c r="D284" s="83">
        <v>45764</v>
      </c>
      <c r="E284" s="83">
        <v>45778</v>
      </c>
      <c r="F284" s="83">
        <v>45769</v>
      </c>
      <c r="G284" s="83">
        <v>45734</v>
      </c>
      <c r="H284" s="82" t="s">
        <v>1890</v>
      </c>
      <c r="I284" s="82" t="s">
        <v>22</v>
      </c>
      <c r="J284" s="84">
        <v>0</v>
      </c>
      <c r="K284" s="85">
        <v>1209.1300000000001</v>
      </c>
      <c r="L284" s="85">
        <v>1269.5899999999999</v>
      </c>
      <c r="M284" s="85">
        <v>60.46</v>
      </c>
      <c r="N284" s="85">
        <v>1269.5899999999999</v>
      </c>
      <c r="O284" s="85">
        <v>0</v>
      </c>
      <c r="P284" s="85">
        <v>1209.1300000000001</v>
      </c>
      <c r="Q284" s="85">
        <v>1269.5899999999999</v>
      </c>
      <c r="R284" s="85">
        <v>60.46</v>
      </c>
      <c r="S284" s="85">
        <v>1269.5899999999999</v>
      </c>
      <c r="T284" s="85">
        <v>0</v>
      </c>
      <c r="U284" s="82"/>
      <c r="V284" s="82" t="s">
        <v>3399</v>
      </c>
      <c r="W284" s="82" t="s">
        <v>3395</v>
      </c>
      <c r="X284" s="82" t="s">
        <v>3394</v>
      </c>
      <c r="Y284" s="82" t="s">
        <v>3393</v>
      </c>
    </row>
    <row r="285" spans="1:25" ht="10.9" customHeight="1" x14ac:dyDescent="0.2">
      <c r="A285" s="82" t="s">
        <v>2546</v>
      </c>
      <c r="B285" s="82" t="s">
        <v>47</v>
      </c>
      <c r="C285" s="83">
        <v>45734</v>
      </c>
      <c r="D285" s="83">
        <v>45764</v>
      </c>
      <c r="E285" s="83">
        <v>45779</v>
      </c>
      <c r="F285" s="83">
        <v>45793</v>
      </c>
      <c r="G285" s="83">
        <v>45734</v>
      </c>
      <c r="H285" s="82" t="s">
        <v>1790</v>
      </c>
      <c r="I285" s="82" t="s">
        <v>22</v>
      </c>
      <c r="J285" s="84">
        <v>0</v>
      </c>
      <c r="K285" s="85">
        <v>1904.9</v>
      </c>
      <c r="L285" s="85">
        <v>2152.54</v>
      </c>
      <c r="M285" s="85">
        <v>247.64</v>
      </c>
      <c r="N285" s="85">
        <v>2152.54</v>
      </c>
      <c r="O285" s="85">
        <v>0</v>
      </c>
      <c r="P285" s="85">
        <v>1904.9</v>
      </c>
      <c r="Q285" s="85">
        <v>2152.54</v>
      </c>
      <c r="R285" s="85">
        <v>247.64</v>
      </c>
      <c r="S285" s="85">
        <v>2152.54</v>
      </c>
      <c r="T285" s="85">
        <v>0</v>
      </c>
      <c r="U285" s="82"/>
      <c r="V285" s="82" t="s">
        <v>3399</v>
      </c>
      <c r="W285" s="82" t="s">
        <v>3395</v>
      </c>
      <c r="X285" s="82" t="s">
        <v>3394</v>
      </c>
      <c r="Y285" s="82" t="s">
        <v>3393</v>
      </c>
    </row>
    <row r="286" spans="1:25" ht="10.9" customHeight="1" x14ac:dyDescent="0.2">
      <c r="A286" s="82" t="s">
        <v>2399</v>
      </c>
      <c r="B286" s="82" t="s">
        <v>290</v>
      </c>
      <c r="C286" s="83">
        <v>45734</v>
      </c>
      <c r="D286" s="83">
        <v>45794</v>
      </c>
      <c r="E286" s="83">
        <v>45796</v>
      </c>
      <c r="F286" s="83">
        <v>45793</v>
      </c>
      <c r="G286" s="83">
        <v>45734</v>
      </c>
      <c r="H286" s="82" t="s">
        <v>2041</v>
      </c>
      <c r="I286" s="82" t="s">
        <v>22</v>
      </c>
      <c r="J286" s="84">
        <v>0</v>
      </c>
      <c r="K286" s="85">
        <v>7794.2</v>
      </c>
      <c r="L286" s="85">
        <v>8183.91</v>
      </c>
      <c r="M286" s="85">
        <v>389.71</v>
      </c>
      <c r="N286" s="85">
        <v>8183.91</v>
      </c>
      <c r="O286" s="85">
        <v>0</v>
      </c>
      <c r="P286" s="85">
        <v>7794.2</v>
      </c>
      <c r="Q286" s="85">
        <v>8183.91</v>
      </c>
      <c r="R286" s="85">
        <v>389.71</v>
      </c>
      <c r="S286" s="85">
        <v>8183.91</v>
      </c>
      <c r="T286" s="85">
        <v>0</v>
      </c>
      <c r="U286" s="82"/>
      <c r="V286" s="82" t="s">
        <v>3399</v>
      </c>
      <c r="W286" s="82" t="s">
        <v>3395</v>
      </c>
      <c r="X286" s="82" t="s">
        <v>3394</v>
      </c>
      <c r="Y286" s="82" t="s">
        <v>3393</v>
      </c>
    </row>
    <row r="287" spans="1:25" ht="10.9" customHeight="1" x14ac:dyDescent="0.2">
      <c r="A287" s="82" t="s">
        <v>2450</v>
      </c>
      <c r="B287" s="82" t="s">
        <v>714</v>
      </c>
      <c r="C287" s="83">
        <v>45735</v>
      </c>
      <c r="D287" s="83">
        <v>45765</v>
      </c>
      <c r="E287" s="83">
        <v>45765</v>
      </c>
      <c r="F287" s="83">
        <v>45763</v>
      </c>
      <c r="G287" s="83">
        <v>45735</v>
      </c>
      <c r="H287" s="82" t="s">
        <v>1957</v>
      </c>
      <c r="I287" s="82" t="s">
        <v>51</v>
      </c>
      <c r="J287" s="84">
        <v>0.69789999999999996</v>
      </c>
      <c r="K287" s="85">
        <v>15402.73</v>
      </c>
      <c r="L287" s="85">
        <v>15402.73</v>
      </c>
      <c r="M287" s="85">
        <v>0</v>
      </c>
      <c r="N287" s="85">
        <v>15402.73</v>
      </c>
      <c r="O287" s="85">
        <v>0</v>
      </c>
      <c r="P287" s="85">
        <v>22070.110330992979</v>
      </c>
      <c r="Q287" s="85">
        <v>22070.110330992979</v>
      </c>
      <c r="R287" s="85">
        <v>0</v>
      </c>
      <c r="S287" s="85">
        <v>21366.980899999999</v>
      </c>
      <c r="T287" s="85">
        <v>0</v>
      </c>
      <c r="U287" s="82"/>
      <c r="V287" s="82" t="s">
        <v>3399</v>
      </c>
      <c r="W287" s="82" t="s">
        <v>3395</v>
      </c>
      <c r="X287" s="82" t="s">
        <v>3394</v>
      </c>
      <c r="Y287" s="82" t="s">
        <v>3393</v>
      </c>
    </row>
    <row r="288" spans="1:25" ht="10.9" customHeight="1" x14ac:dyDescent="0.2">
      <c r="A288" s="82" t="s">
        <v>3614</v>
      </c>
      <c r="B288" s="82" t="s">
        <v>714</v>
      </c>
      <c r="C288" s="83">
        <v>45735</v>
      </c>
      <c r="D288" s="83">
        <v>45765</v>
      </c>
      <c r="E288" s="83">
        <v>45765</v>
      </c>
      <c r="F288" s="83">
        <v>45763</v>
      </c>
      <c r="G288" s="83">
        <v>45735</v>
      </c>
      <c r="H288" s="82" t="s">
        <v>3513</v>
      </c>
      <c r="I288" s="82" t="s">
        <v>51</v>
      </c>
      <c r="J288" s="84">
        <v>0.69789999999999996</v>
      </c>
      <c r="K288" s="85">
        <v>3527.58</v>
      </c>
      <c r="L288" s="85">
        <v>3527.58</v>
      </c>
      <c r="M288" s="85">
        <v>0</v>
      </c>
      <c r="N288" s="85">
        <v>3527.58</v>
      </c>
      <c r="O288" s="85">
        <v>0</v>
      </c>
      <c r="P288" s="85">
        <v>5054.5636910732192</v>
      </c>
      <c r="Q288" s="85">
        <v>5054.5636910732192</v>
      </c>
      <c r="R288" s="85">
        <v>0</v>
      </c>
      <c r="S288" s="85">
        <v>4893.5308000000005</v>
      </c>
      <c r="T288" s="85">
        <v>0</v>
      </c>
      <c r="U288" s="82"/>
      <c r="V288" s="82" t="s">
        <v>3399</v>
      </c>
      <c r="W288" s="82" t="s">
        <v>3395</v>
      </c>
      <c r="X288" s="82" t="s">
        <v>3394</v>
      </c>
      <c r="Y288" s="82" t="s">
        <v>3393</v>
      </c>
    </row>
    <row r="289" spans="1:25" ht="10.9" customHeight="1" x14ac:dyDescent="0.2">
      <c r="A289" s="82" t="s">
        <v>3615</v>
      </c>
      <c r="B289" s="82" t="s">
        <v>714</v>
      </c>
      <c r="C289" s="83">
        <v>45735</v>
      </c>
      <c r="D289" s="83">
        <v>45765</v>
      </c>
      <c r="E289" s="83">
        <v>45765</v>
      </c>
      <c r="F289" s="83">
        <v>45763</v>
      </c>
      <c r="G289" s="83">
        <v>45735</v>
      </c>
      <c r="H289" s="82" t="s">
        <v>3601</v>
      </c>
      <c r="I289" s="82" t="s">
        <v>51</v>
      </c>
      <c r="J289" s="84">
        <v>0.69789999999999996</v>
      </c>
      <c r="K289" s="85">
        <v>7975.04</v>
      </c>
      <c r="L289" s="85">
        <v>7975.04</v>
      </c>
      <c r="M289" s="85">
        <v>0</v>
      </c>
      <c r="N289" s="85">
        <v>7975.04</v>
      </c>
      <c r="O289" s="85">
        <v>0</v>
      </c>
      <c r="P289" s="85">
        <v>11427.195873334289</v>
      </c>
      <c r="Q289" s="85">
        <v>11427.195873334289</v>
      </c>
      <c r="R289" s="85">
        <v>0</v>
      </c>
      <c r="S289" s="85">
        <v>11063.1379</v>
      </c>
      <c r="T289" s="85">
        <v>0</v>
      </c>
      <c r="U289" s="82"/>
      <c r="V289" s="82" t="s">
        <v>3399</v>
      </c>
      <c r="W289" s="82" t="s">
        <v>3395</v>
      </c>
      <c r="X289" s="82" t="s">
        <v>3394</v>
      </c>
      <c r="Y289" s="82" t="s">
        <v>3393</v>
      </c>
    </row>
    <row r="290" spans="1:25" ht="10.9" customHeight="1" x14ac:dyDescent="0.2">
      <c r="A290" s="82" t="s">
        <v>2382</v>
      </c>
      <c r="B290" s="82" t="s">
        <v>714</v>
      </c>
      <c r="C290" s="83">
        <v>45735</v>
      </c>
      <c r="D290" s="83">
        <v>45765</v>
      </c>
      <c r="E290" s="83">
        <v>45765</v>
      </c>
      <c r="F290" s="83">
        <v>45763</v>
      </c>
      <c r="G290" s="83">
        <v>45735</v>
      </c>
      <c r="H290" s="82" t="s">
        <v>2065</v>
      </c>
      <c r="I290" s="82" t="s">
        <v>51</v>
      </c>
      <c r="J290" s="84">
        <v>0.69789999999999996</v>
      </c>
      <c r="K290" s="85">
        <v>1452.39</v>
      </c>
      <c r="L290" s="85">
        <v>1452.39</v>
      </c>
      <c r="M290" s="85">
        <v>0</v>
      </c>
      <c r="N290" s="85">
        <v>1452.39</v>
      </c>
      <c r="O290" s="85">
        <v>0</v>
      </c>
      <c r="P290" s="85">
        <v>2081.086115489325</v>
      </c>
      <c r="Q290" s="85">
        <v>2081.086115489325</v>
      </c>
      <c r="R290" s="85">
        <v>0</v>
      </c>
      <c r="S290" s="85">
        <v>2014.7850000000001</v>
      </c>
      <c r="T290" s="85">
        <v>0</v>
      </c>
      <c r="U290" s="82"/>
      <c r="V290" s="82" t="s">
        <v>3399</v>
      </c>
      <c r="W290" s="82" t="s">
        <v>3395</v>
      </c>
      <c r="X290" s="82" t="s">
        <v>3394</v>
      </c>
      <c r="Y290" s="82" t="s">
        <v>3393</v>
      </c>
    </row>
    <row r="291" spans="1:25" ht="10.9" customHeight="1" x14ac:dyDescent="0.2">
      <c r="A291" s="82" t="s">
        <v>2533</v>
      </c>
      <c r="B291" s="82" t="s">
        <v>714</v>
      </c>
      <c r="C291" s="83">
        <v>45735</v>
      </c>
      <c r="D291" s="83">
        <v>45765</v>
      </c>
      <c r="E291" s="83">
        <v>45765</v>
      </c>
      <c r="F291" s="83">
        <v>45763</v>
      </c>
      <c r="G291" s="83">
        <v>45735</v>
      </c>
      <c r="H291" s="82" t="s">
        <v>1811</v>
      </c>
      <c r="I291" s="82" t="s">
        <v>51</v>
      </c>
      <c r="J291" s="84">
        <v>0.69789999999999996</v>
      </c>
      <c r="K291" s="85">
        <v>1712.87</v>
      </c>
      <c r="L291" s="85">
        <v>1712.87</v>
      </c>
      <c r="M291" s="85">
        <v>0</v>
      </c>
      <c r="N291" s="85">
        <v>1712.87</v>
      </c>
      <c r="O291" s="85">
        <v>0</v>
      </c>
      <c r="P291" s="85">
        <v>2454.3201031666426</v>
      </c>
      <c r="Q291" s="85">
        <v>2454.3201031666426</v>
      </c>
      <c r="R291" s="85">
        <v>0</v>
      </c>
      <c r="S291" s="85">
        <v>2376.1280999999999</v>
      </c>
      <c r="T291" s="85">
        <v>0</v>
      </c>
      <c r="U291" s="82"/>
      <c r="V291" s="82" t="s">
        <v>3399</v>
      </c>
      <c r="W291" s="82" t="s">
        <v>3395</v>
      </c>
      <c r="X291" s="82" t="s">
        <v>3394</v>
      </c>
      <c r="Y291" s="82" t="s">
        <v>3393</v>
      </c>
    </row>
    <row r="292" spans="1:25" ht="10.9" customHeight="1" x14ac:dyDescent="0.2">
      <c r="A292" s="82" t="s">
        <v>2406</v>
      </c>
      <c r="B292" s="82" t="s">
        <v>714</v>
      </c>
      <c r="C292" s="83">
        <v>45735</v>
      </c>
      <c r="D292" s="83">
        <v>45765</v>
      </c>
      <c r="E292" s="83">
        <v>45765</v>
      </c>
      <c r="F292" s="83">
        <v>45763</v>
      </c>
      <c r="G292" s="83">
        <v>45735</v>
      </c>
      <c r="H292" s="82" t="s">
        <v>2033</v>
      </c>
      <c r="I292" s="82" t="s">
        <v>51</v>
      </c>
      <c r="J292" s="84">
        <v>0.69789999999999996</v>
      </c>
      <c r="K292" s="85">
        <v>23141.73</v>
      </c>
      <c r="L292" s="85">
        <v>23141.73</v>
      </c>
      <c r="M292" s="85">
        <v>0</v>
      </c>
      <c r="N292" s="85">
        <v>23141.73</v>
      </c>
      <c r="O292" s="85">
        <v>0</v>
      </c>
      <c r="P292" s="85">
        <v>33159.091560395471</v>
      </c>
      <c r="Q292" s="85">
        <v>33159.091560395471</v>
      </c>
      <c r="R292" s="85">
        <v>0</v>
      </c>
      <c r="S292" s="85">
        <v>32102.6793</v>
      </c>
      <c r="T292" s="85">
        <v>0</v>
      </c>
      <c r="U292" s="82"/>
      <c r="V292" s="82" t="s">
        <v>3399</v>
      </c>
      <c r="W292" s="82" t="s">
        <v>3395</v>
      </c>
      <c r="X292" s="82" t="s">
        <v>3394</v>
      </c>
      <c r="Y292" s="82" t="s">
        <v>3393</v>
      </c>
    </row>
    <row r="293" spans="1:25" ht="10.9" customHeight="1" x14ac:dyDescent="0.2">
      <c r="A293" s="82" t="s">
        <v>2515</v>
      </c>
      <c r="B293" s="82" t="s">
        <v>229</v>
      </c>
      <c r="C293" s="83">
        <v>45735</v>
      </c>
      <c r="D293" s="83">
        <v>45765</v>
      </c>
      <c r="E293" s="83">
        <v>45779</v>
      </c>
      <c r="F293" s="83">
        <v>45770</v>
      </c>
      <c r="G293" s="83">
        <v>45735</v>
      </c>
      <c r="H293" s="82" t="s">
        <v>1843</v>
      </c>
      <c r="I293" s="82" t="s">
        <v>22</v>
      </c>
      <c r="J293" s="84">
        <v>0</v>
      </c>
      <c r="K293" s="85">
        <v>498.96</v>
      </c>
      <c r="L293" s="85">
        <v>523.91</v>
      </c>
      <c r="M293" s="85">
        <v>24.95</v>
      </c>
      <c r="N293" s="85">
        <v>523.91</v>
      </c>
      <c r="O293" s="85">
        <v>0</v>
      </c>
      <c r="P293" s="85">
        <v>498.96</v>
      </c>
      <c r="Q293" s="85">
        <v>523.91</v>
      </c>
      <c r="R293" s="85">
        <v>24.95</v>
      </c>
      <c r="S293" s="85">
        <v>523.91</v>
      </c>
      <c r="T293" s="85">
        <v>0</v>
      </c>
      <c r="U293" s="82"/>
      <c r="V293" s="82" t="s">
        <v>3399</v>
      </c>
      <c r="W293" s="82" t="s">
        <v>3395</v>
      </c>
      <c r="X293" s="82" t="s">
        <v>3394</v>
      </c>
      <c r="Y293" s="82" t="s">
        <v>3393</v>
      </c>
    </row>
    <row r="294" spans="1:25" ht="10.9" customHeight="1" x14ac:dyDescent="0.2">
      <c r="A294" s="82" t="s">
        <v>2562</v>
      </c>
      <c r="B294" s="82" t="s">
        <v>229</v>
      </c>
      <c r="C294" s="83">
        <v>45735</v>
      </c>
      <c r="D294" s="83">
        <v>45765</v>
      </c>
      <c r="E294" s="83">
        <v>45779</v>
      </c>
      <c r="F294" s="83">
        <v>45770</v>
      </c>
      <c r="G294" s="83">
        <v>45735</v>
      </c>
      <c r="H294" s="82" t="s">
        <v>1760</v>
      </c>
      <c r="I294" s="82" t="s">
        <v>22</v>
      </c>
      <c r="J294" s="84">
        <v>0</v>
      </c>
      <c r="K294" s="85">
        <v>798.97</v>
      </c>
      <c r="L294" s="85">
        <v>838.92</v>
      </c>
      <c r="M294" s="85">
        <v>39.950000000000003</v>
      </c>
      <c r="N294" s="85">
        <v>838.92</v>
      </c>
      <c r="O294" s="85">
        <v>0</v>
      </c>
      <c r="P294" s="85">
        <v>798.97</v>
      </c>
      <c r="Q294" s="85">
        <v>838.92</v>
      </c>
      <c r="R294" s="85">
        <v>39.950000000000003</v>
      </c>
      <c r="S294" s="85">
        <v>838.92</v>
      </c>
      <c r="T294" s="85">
        <v>0</v>
      </c>
      <c r="U294" s="82"/>
      <c r="V294" s="82" t="s">
        <v>3399</v>
      </c>
      <c r="W294" s="82" t="s">
        <v>3395</v>
      </c>
      <c r="X294" s="82" t="s">
        <v>3394</v>
      </c>
      <c r="Y294" s="82" t="s">
        <v>3393</v>
      </c>
    </row>
    <row r="295" spans="1:25" ht="10.9" customHeight="1" x14ac:dyDescent="0.2">
      <c r="A295" s="82" t="s">
        <v>2563</v>
      </c>
      <c r="B295" s="82" t="s">
        <v>89</v>
      </c>
      <c r="C295" s="83">
        <v>45735</v>
      </c>
      <c r="D295" s="83">
        <v>45765</v>
      </c>
      <c r="E295" s="83">
        <v>45786</v>
      </c>
      <c r="F295" s="83">
        <v>45778</v>
      </c>
      <c r="G295" s="83">
        <v>45735</v>
      </c>
      <c r="H295" s="82" t="s">
        <v>1758</v>
      </c>
      <c r="I295" s="82" t="s">
        <v>22</v>
      </c>
      <c r="J295" s="84">
        <v>0</v>
      </c>
      <c r="K295" s="85">
        <v>1487.32</v>
      </c>
      <c r="L295" s="85">
        <v>1561.69</v>
      </c>
      <c r="M295" s="85">
        <v>74.37</v>
      </c>
      <c r="N295" s="85">
        <v>1561.69</v>
      </c>
      <c r="O295" s="85">
        <v>0</v>
      </c>
      <c r="P295" s="85">
        <v>1487.32</v>
      </c>
      <c r="Q295" s="85">
        <v>1561.69</v>
      </c>
      <c r="R295" s="85">
        <v>74.37</v>
      </c>
      <c r="S295" s="85">
        <v>1561.69</v>
      </c>
      <c r="T295" s="85">
        <v>0</v>
      </c>
      <c r="U295" s="82"/>
      <c r="V295" s="82" t="s">
        <v>3399</v>
      </c>
      <c r="W295" s="82" t="s">
        <v>3395</v>
      </c>
      <c r="X295" s="82" t="s">
        <v>3394</v>
      </c>
      <c r="Y295" s="82" t="s">
        <v>3393</v>
      </c>
    </row>
    <row r="296" spans="1:25" ht="10.9" customHeight="1" x14ac:dyDescent="0.2">
      <c r="A296" s="82" t="s">
        <v>2556</v>
      </c>
      <c r="B296" s="82" t="s">
        <v>20</v>
      </c>
      <c r="C296" s="83">
        <v>45735</v>
      </c>
      <c r="D296" s="83">
        <v>45795</v>
      </c>
      <c r="E296" s="83">
        <v>45797</v>
      </c>
      <c r="F296" s="83">
        <v>45793</v>
      </c>
      <c r="G296" s="83">
        <v>45735</v>
      </c>
      <c r="H296" s="82" t="s">
        <v>1770</v>
      </c>
      <c r="I296" s="82" t="s">
        <v>22</v>
      </c>
      <c r="J296" s="84">
        <v>0</v>
      </c>
      <c r="K296" s="85">
        <v>523.41</v>
      </c>
      <c r="L296" s="85">
        <v>549.58000000000004</v>
      </c>
      <c r="M296" s="85">
        <v>26.17</v>
      </c>
      <c r="N296" s="85">
        <v>549.58000000000004</v>
      </c>
      <c r="O296" s="85">
        <v>0</v>
      </c>
      <c r="P296" s="85">
        <v>523.41</v>
      </c>
      <c r="Q296" s="85">
        <v>549.58000000000004</v>
      </c>
      <c r="R296" s="85">
        <v>26.17</v>
      </c>
      <c r="S296" s="85">
        <v>549.58000000000004</v>
      </c>
      <c r="T296" s="85">
        <v>0</v>
      </c>
      <c r="U296" s="82"/>
      <c r="V296" s="82" t="s">
        <v>3399</v>
      </c>
      <c r="W296" s="82" t="s">
        <v>3395</v>
      </c>
      <c r="X296" s="82" t="s">
        <v>3394</v>
      </c>
      <c r="Y296" s="82" t="s">
        <v>3393</v>
      </c>
    </row>
    <row r="297" spans="1:25" ht="10.9" customHeight="1" x14ac:dyDescent="0.2">
      <c r="A297" s="82" t="s">
        <v>2566</v>
      </c>
      <c r="B297" s="82" t="s">
        <v>242</v>
      </c>
      <c r="C297" s="83">
        <v>45736</v>
      </c>
      <c r="D297" s="83">
        <v>45766</v>
      </c>
      <c r="E297" s="83">
        <v>45786</v>
      </c>
      <c r="F297" s="83">
        <v>45770</v>
      </c>
      <c r="G297" s="83">
        <v>45736</v>
      </c>
      <c r="H297" s="82" t="s">
        <v>1754</v>
      </c>
      <c r="I297" s="82" t="s">
        <v>22</v>
      </c>
      <c r="J297" s="84">
        <v>0</v>
      </c>
      <c r="K297" s="85">
        <v>147.72999999999999</v>
      </c>
      <c r="L297" s="85">
        <v>155.12</v>
      </c>
      <c r="M297" s="85">
        <v>7.39</v>
      </c>
      <c r="N297" s="85">
        <v>155.12</v>
      </c>
      <c r="O297" s="85">
        <v>0</v>
      </c>
      <c r="P297" s="85">
        <v>147.72999999999999</v>
      </c>
      <c r="Q297" s="85">
        <v>155.12</v>
      </c>
      <c r="R297" s="85">
        <v>7.39</v>
      </c>
      <c r="S297" s="85">
        <v>155.12</v>
      </c>
      <c r="T297" s="85">
        <v>0</v>
      </c>
      <c r="U297" s="82"/>
      <c r="V297" s="82" t="s">
        <v>3399</v>
      </c>
      <c r="W297" s="82" t="s">
        <v>3395</v>
      </c>
      <c r="X297" s="82" t="s">
        <v>3394</v>
      </c>
      <c r="Y297" s="82" t="s">
        <v>3393</v>
      </c>
    </row>
    <row r="298" spans="1:25" ht="10.9" customHeight="1" x14ac:dyDescent="0.2">
      <c r="A298" s="82" t="s">
        <v>2559</v>
      </c>
      <c r="B298" s="82" t="s">
        <v>146</v>
      </c>
      <c r="C298" s="83">
        <v>45736</v>
      </c>
      <c r="D298" s="83">
        <v>45766</v>
      </c>
      <c r="E298" s="83">
        <v>45786</v>
      </c>
      <c r="F298" s="83">
        <v>45776</v>
      </c>
      <c r="G298" s="83">
        <v>45736</v>
      </c>
      <c r="H298" s="82" t="s">
        <v>1764</v>
      </c>
      <c r="I298" s="82" t="s">
        <v>22</v>
      </c>
      <c r="J298" s="84">
        <v>0</v>
      </c>
      <c r="K298" s="85">
        <v>6571.4</v>
      </c>
      <c r="L298" s="85">
        <v>6899.97</v>
      </c>
      <c r="M298" s="85">
        <v>328.57</v>
      </c>
      <c r="N298" s="85">
        <v>6899.97</v>
      </c>
      <c r="O298" s="85">
        <v>0</v>
      </c>
      <c r="P298" s="85">
        <v>6571.4</v>
      </c>
      <c r="Q298" s="85">
        <v>6899.97</v>
      </c>
      <c r="R298" s="85">
        <v>328.57</v>
      </c>
      <c r="S298" s="85">
        <v>6899.97</v>
      </c>
      <c r="T298" s="85">
        <v>0</v>
      </c>
      <c r="U298" s="82"/>
      <c r="V298" s="82" t="s">
        <v>3399</v>
      </c>
      <c r="W298" s="82" t="s">
        <v>3395</v>
      </c>
      <c r="X298" s="82" t="s">
        <v>3394</v>
      </c>
      <c r="Y298" s="82" t="s">
        <v>3393</v>
      </c>
    </row>
    <row r="299" spans="1:25" ht="10.9" customHeight="1" x14ac:dyDescent="0.2">
      <c r="A299" s="82"/>
      <c r="B299" s="82" t="s">
        <v>599</v>
      </c>
      <c r="C299" s="83">
        <v>45736</v>
      </c>
      <c r="D299" s="83">
        <v>45736</v>
      </c>
      <c r="E299" s="83">
        <v>45736</v>
      </c>
      <c r="F299" s="83">
        <v>45807</v>
      </c>
      <c r="G299" s="83">
        <v>45741</v>
      </c>
      <c r="H299" s="82" t="s">
        <v>3613</v>
      </c>
      <c r="I299" s="82" t="s">
        <v>51</v>
      </c>
      <c r="J299" s="84">
        <v>0.69830899999999996</v>
      </c>
      <c r="K299" s="85">
        <v>-1806.59</v>
      </c>
      <c r="L299" s="85">
        <v>-1806.59</v>
      </c>
      <c r="M299" s="85">
        <v>0</v>
      </c>
      <c r="N299" s="85">
        <v>-1806.59</v>
      </c>
      <c r="O299" s="85">
        <v>0</v>
      </c>
      <c r="P299" s="85">
        <v>-2587.0925335345814</v>
      </c>
      <c r="Q299" s="85">
        <v>-2587.0925335345814</v>
      </c>
      <c r="R299" s="85">
        <v>0</v>
      </c>
      <c r="S299" s="85">
        <v>-2587.0925000000002</v>
      </c>
      <c r="T299" s="85">
        <v>0</v>
      </c>
      <c r="U299" s="82"/>
      <c r="V299" s="82" t="s">
        <v>3399</v>
      </c>
      <c r="W299" s="82" t="s">
        <v>3423</v>
      </c>
      <c r="X299" s="82" t="s">
        <v>3397</v>
      </c>
      <c r="Y299" s="82"/>
    </row>
    <row r="300" spans="1:25" ht="10.9" customHeight="1" x14ac:dyDescent="0.2">
      <c r="A300" s="82" t="s">
        <v>2454</v>
      </c>
      <c r="B300" s="82" t="s">
        <v>77</v>
      </c>
      <c r="C300" s="83">
        <v>45737</v>
      </c>
      <c r="D300" s="83">
        <v>45767</v>
      </c>
      <c r="E300" s="83">
        <v>45786</v>
      </c>
      <c r="F300" s="83">
        <v>45790</v>
      </c>
      <c r="G300" s="83">
        <v>45737</v>
      </c>
      <c r="H300" s="82" t="s">
        <v>1949</v>
      </c>
      <c r="I300" s="82" t="s">
        <v>22</v>
      </c>
      <c r="J300" s="84">
        <v>0</v>
      </c>
      <c r="K300" s="85">
        <v>5934.85</v>
      </c>
      <c r="L300" s="85">
        <v>6231.59</v>
      </c>
      <c r="M300" s="85">
        <v>296.74</v>
      </c>
      <c r="N300" s="85">
        <v>6231.59</v>
      </c>
      <c r="O300" s="85">
        <v>0</v>
      </c>
      <c r="P300" s="85">
        <v>5934.85</v>
      </c>
      <c r="Q300" s="85">
        <v>6231.59</v>
      </c>
      <c r="R300" s="85">
        <v>296.74</v>
      </c>
      <c r="S300" s="85">
        <v>6231.59</v>
      </c>
      <c r="T300" s="85">
        <v>0</v>
      </c>
      <c r="U300" s="82"/>
      <c r="V300" s="82" t="s">
        <v>3399</v>
      </c>
      <c r="W300" s="82" t="s">
        <v>3395</v>
      </c>
      <c r="X300" s="82" t="s">
        <v>3394</v>
      </c>
      <c r="Y300" s="82" t="s">
        <v>3393</v>
      </c>
    </row>
    <row r="301" spans="1:25" ht="10.9" customHeight="1" x14ac:dyDescent="0.2">
      <c r="A301" s="82" t="s">
        <v>2395</v>
      </c>
      <c r="B301" s="82" t="s">
        <v>146</v>
      </c>
      <c r="C301" s="83">
        <v>45737</v>
      </c>
      <c r="D301" s="83">
        <v>45767</v>
      </c>
      <c r="E301" s="83">
        <v>45786</v>
      </c>
      <c r="F301" s="83">
        <v>45776</v>
      </c>
      <c r="G301" s="83">
        <v>45737</v>
      </c>
      <c r="H301" s="82" t="s">
        <v>2049</v>
      </c>
      <c r="I301" s="82" t="s">
        <v>22</v>
      </c>
      <c r="J301" s="84">
        <v>0</v>
      </c>
      <c r="K301" s="85">
        <v>172.3</v>
      </c>
      <c r="L301" s="85">
        <v>180.92</v>
      </c>
      <c r="M301" s="85">
        <v>8.6199999999999992</v>
      </c>
      <c r="N301" s="85">
        <v>180.92</v>
      </c>
      <c r="O301" s="85">
        <v>0</v>
      </c>
      <c r="P301" s="85">
        <v>172.3</v>
      </c>
      <c r="Q301" s="85">
        <v>180.92</v>
      </c>
      <c r="R301" s="85">
        <v>8.6199999999999992</v>
      </c>
      <c r="S301" s="85">
        <v>180.92</v>
      </c>
      <c r="T301" s="85">
        <v>0</v>
      </c>
      <c r="U301" s="82"/>
      <c r="V301" s="82" t="s">
        <v>3399</v>
      </c>
      <c r="W301" s="82" t="s">
        <v>3395</v>
      </c>
      <c r="X301" s="82" t="s">
        <v>3394</v>
      </c>
      <c r="Y301" s="82" t="s">
        <v>3393</v>
      </c>
    </row>
    <row r="302" spans="1:25" ht="10.9" customHeight="1" x14ac:dyDescent="0.2">
      <c r="A302" s="82" t="s">
        <v>2570</v>
      </c>
      <c r="B302" s="82" t="s">
        <v>20</v>
      </c>
      <c r="C302" s="83">
        <v>45737</v>
      </c>
      <c r="D302" s="83">
        <v>45797</v>
      </c>
      <c r="E302" s="83">
        <v>45797</v>
      </c>
      <c r="F302" s="83">
        <v>45797</v>
      </c>
      <c r="G302" s="83">
        <v>45737</v>
      </c>
      <c r="H302" s="82" t="s">
        <v>1746</v>
      </c>
      <c r="I302" s="82" t="s">
        <v>22</v>
      </c>
      <c r="J302" s="84">
        <v>0</v>
      </c>
      <c r="K302" s="85">
        <v>301.76</v>
      </c>
      <c r="L302" s="85">
        <v>316.85000000000002</v>
      </c>
      <c r="M302" s="85">
        <v>15.09</v>
      </c>
      <c r="N302" s="85">
        <v>316.85000000000002</v>
      </c>
      <c r="O302" s="85">
        <v>0</v>
      </c>
      <c r="P302" s="85">
        <v>301.76</v>
      </c>
      <c r="Q302" s="85">
        <v>316.85000000000002</v>
      </c>
      <c r="R302" s="85">
        <v>15.09</v>
      </c>
      <c r="S302" s="85">
        <v>316.85000000000002</v>
      </c>
      <c r="T302" s="85">
        <v>0</v>
      </c>
      <c r="U302" s="82"/>
      <c r="V302" s="82" t="s">
        <v>3399</v>
      </c>
      <c r="W302" s="82" t="s">
        <v>3395</v>
      </c>
      <c r="X302" s="82" t="s">
        <v>3394</v>
      </c>
      <c r="Y302" s="82" t="s">
        <v>3393</v>
      </c>
    </row>
    <row r="303" spans="1:25" ht="10.9" customHeight="1" x14ac:dyDescent="0.2">
      <c r="A303" s="82" t="s">
        <v>2571</v>
      </c>
      <c r="B303" s="82" t="s">
        <v>1744</v>
      </c>
      <c r="C303" s="83">
        <v>45737</v>
      </c>
      <c r="D303" s="83">
        <v>45767</v>
      </c>
      <c r="E303" s="83">
        <v>45767</v>
      </c>
      <c r="F303" s="83">
        <v>45768</v>
      </c>
      <c r="G303" s="83">
        <v>45741</v>
      </c>
      <c r="H303" s="82" t="s">
        <v>1743</v>
      </c>
      <c r="I303" s="82" t="s">
        <v>22</v>
      </c>
      <c r="J303" s="84">
        <v>0</v>
      </c>
      <c r="K303" s="85">
        <v>171.09</v>
      </c>
      <c r="L303" s="85">
        <v>179.64</v>
      </c>
      <c r="M303" s="85">
        <v>8.5500000000000007</v>
      </c>
      <c r="N303" s="85">
        <v>179.64</v>
      </c>
      <c r="O303" s="85">
        <v>0</v>
      </c>
      <c r="P303" s="85">
        <v>171.09</v>
      </c>
      <c r="Q303" s="85">
        <v>179.64</v>
      </c>
      <c r="R303" s="85">
        <v>8.5500000000000007</v>
      </c>
      <c r="S303" s="85">
        <v>179.64</v>
      </c>
      <c r="T303" s="85">
        <v>0</v>
      </c>
      <c r="U303" s="82"/>
      <c r="V303" s="82" t="s">
        <v>3399</v>
      </c>
      <c r="W303" s="82" t="s">
        <v>3395</v>
      </c>
      <c r="X303" s="82" t="s">
        <v>3394</v>
      </c>
      <c r="Y303" s="82" t="s">
        <v>3393</v>
      </c>
    </row>
    <row r="304" spans="1:25" ht="10.9" customHeight="1" x14ac:dyDescent="0.2">
      <c r="A304" s="82" t="s">
        <v>2476</v>
      </c>
      <c r="B304" s="82" t="s">
        <v>159</v>
      </c>
      <c r="C304" s="83">
        <v>45740</v>
      </c>
      <c r="D304" s="83">
        <v>45785</v>
      </c>
      <c r="E304" s="83">
        <v>45793</v>
      </c>
      <c r="F304" s="83">
        <v>45785</v>
      </c>
      <c r="G304" s="83">
        <v>45740</v>
      </c>
      <c r="H304" s="82" t="s">
        <v>1910</v>
      </c>
      <c r="I304" s="82" t="s">
        <v>51</v>
      </c>
      <c r="J304" s="84">
        <v>0.69827499999999998</v>
      </c>
      <c r="K304" s="85">
        <v>2746.82</v>
      </c>
      <c r="L304" s="85">
        <v>2746.82</v>
      </c>
      <c r="M304" s="85">
        <v>0</v>
      </c>
      <c r="N304" s="85">
        <v>2746.82</v>
      </c>
      <c r="O304" s="85">
        <v>0</v>
      </c>
      <c r="P304" s="85">
        <v>3933.722387311589</v>
      </c>
      <c r="Q304" s="85">
        <v>3933.722387311589</v>
      </c>
      <c r="R304" s="85">
        <v>0</v>
      </c>
      <c r="S304" s="85">
        <v>3824.9461000000001</v>
      </c>
      <c r="T304" s="85">
        <v>0</v>
      </c>
      <c r="U304" s="82"/>
      <c r="V304" s="82" t="s">
        <v>3399</v>
      </c>
      <c r="W304" s="82" t="s">
        <v>3395</v>
      </c>
      <c r="X304" s="82" t="s">
        <v>3394</v>
      </c>
      <c r="Y304" s="82" t="s">
        <v>3393</v>
      </c>
    </row>
    <row r="305" spans="1:25" ht="10.9" customHeight="1" x14ac:dyDescent="0.2">
      <c r="A305" s="82" t="s">
        <v>2295</v>
      </c>
      <c r="B305" s="82" t="s">
        <v>159</v>
      </c>
      <c r="C305" s="83">
        <v>45740</v>
      </c>
      <c r="D305" s="83">
        <v>45785</v>
      </c>
      <c r="E305" s="83">
        <v>45793</v>
      </c>
      <c r="F305" s="83">
        <v>45786</v>
      </c>
      <c r="G305" s="83">
        <v>45740</v>
      </c>
      <c r="H305" s="82" t="s">
        <v>2223</v>
      </c>
      <c r="I305" s="82" t="s">
        <v>51</v>
      </c>
      <c r="J305" s="84">
        <v>0.69827499999999998</v>
      </c>
      <c r="K305" s="85">
        <v>10940</v>
      </c>
      <c r="L305" s="85">
        <v>10940</v>
      </c>
      <c r="M305" s="85">
        <v>0</v>
      </c>
      <c r="N305" s="85">
        <v>10940</v>
      </c>
      <c r="O305" s="85">
        <v>0</v>
      </c>
      <c r="P305" s="85">
        <v>15667.179836024488</v>
      </c>
      <c r="Q305" s="85">
        <v>15667.179836024488</v>
      </c>
      <c r="R305" s="85">
        <v>0</v>
      </c>
      <c r="S305" s="85">
        <v>15250.915199999999</v>
      </c>
      <c r="T305" s="85">
        <v>0</v>
      </c>
      <c r="U305" s="82"/>
      <c r="V305" s="82" t="s">
        <v>3399</v>
      </c>
      <c r="W305" s="82" t="s">
        <v>3395</v>
      </c>
      <c r="X305" s="82" t="s">
        <v>3394</v>
      </c>
      <c r="Y305" s="82" t="s">
        <v>3393</v>
      </c>
    </row>
    <row r="306" spans="1:25" ht="10.9" customHeight="1" x14ac:dyDescent="0.2">
      <c r="A306" s="82" t="s">
        <v>2530</v>
      </c>
      <c r="B306" s="82" t="s">
        <v>159</v>
      </c>
      <c r="C306" s="83">
        <v>45740</v>
      </c>
      <c r="D306" s="83">
        <v>45785</v>
      </c>
      <c r="E306" s="83">
        <v>45793</v>
      </c>
      <c r="F306" s="83">
        <v>45786</v>
      </c>
      <c r="G306" s="83">
        <v>45740</v>
      </c>
      <c r="H306" s="82" t="s">
        <v>1816</v>
      </c>
      <c r="I306" s="82" t="s">
        <v>51</v>
      </c>
      <c r="J306" s="84">
        <v>0.69827499999999998</v>
      </c>
      <c r="K306" s="85">
        <v>878.63</v>
      </c>
      <c r="L306" s="85">
        <v>878.63</v>
      </c>
      <c r="M306" s="85">
        <v>0</v>
      </c>
      <c r="N306" s="85">
        <v>878.63</v>
      </c>
      <c r="O306" s="85">
        <v>0</v>
      </c>
      <c r="P306" s="85">
        <v>1258.2864917117181</v>
      </c>
      <c r="Q306" s="85">
        <v>1258.2864917117181</v>
      </c>
      <c r="R306" s="85">
        <v>0</v>
      </c>
      <c r="S306" s="85">
        <v>1224.8548000000001</v>
      </c>
      <c r="T306" s="85">
        <v>0</v>
      </c>
      <c r="U306" s="82"/>
      <c r="V306" s="82" t="s">
        <v>3399</v>
      </c>
      <c r="W306" s="82" t="s">
        <v>3395</v>
      </c>
      <c r="X306" s="82" t="s">
        <v>3394</v>
      </c>
      <c r="Y306" s="82" t="s">
        <v>3393</v>
      </c>
    </row>
    <row r="307" spans="1:25" ht="10.9" customHeight="1" x14ac:dyDescent="0.2">
      <c r="A307" s="82" t="s">
        <v>2481</v>
      </c>
      <c r="B307" s="82" t="s">
        <v>159</v>
      </c>
      <c r="C307" s="83">
        <v>45740</v>
      </c>
      <c r="D307" s="83">
        <v>45785</v>
      </c>
      <c r="E307" s="83">
        <v>45793</v>
      </c>
      <c r="F307" s="83">
        <v>45786</v>
      </c>
      <c r="G307" s="83">
        <v>45740</v>
      </c>
      <c r="H307" s="82" t="s">
        <v>1900</v>
      </c>
      <c r="I307" s="82" t="s">
        <v>51</v>
      </c>
      <c r="J307" s="84">
        <v>0.69827499999999998</v>
      </c>
      <c r="K307" s="85">
        <v>31830.240000000002</v>
      </c>
      <c r="L307" s="85">
        <v>31830.240000000002</v>
      </c>
      <c r="M307" s="85">
        <v>0</v>
      </c>
      <c r="N307" s="85">
        <v>31830.240000000002</v>
      </c>
      <c r="O307" s="85">
        <v>0</v>
      </c>
      <c r="P307" s="85">
        <v>45584.103684078626</v>
      </c>
      <c r="Q307" s="85">
        <v>45584.103684078626</v>
      </c>
      <c r="R307" s="85">
        <v>0</v>
      </c>
      <c r="S307" s="85">
        <v>44372.969899999996</v>
      </c>
      <c r="T307" s="85">
        <v>0</v>
      </c>
      <c r="U307" s="82"/>
      <c r="V307" s="82" t="s">
        <v>3399</v>
      </c>
      <c r="W307" s="82" t="s">
        <v>3395</v>
      </c>
      <c r="X307" s="82" t="s">
        <v>3394</v>
      </c>
      <c r="Y307" s="82" t="s">
        <v>3393</v>
      </c>
    </row>
    <row r="308" spans="1:25" ht="10.9" customHeight="1" x14ac:dyDescent="0.2">
      <c r="A308" s="82" t="s">
        <v>2477</v>
      </c>
      <c r="B308" s="82" t="s">
        <v>159</v>
      </c>
      <c r="C308" s="83">
        <v>45740</v>
      </c>
      <c r="D308" s="83">
        <v>45785</v>
      </c>
      <c r="E308" s="83">
        <v>45793</v>
      </c>
      <c r="F308" s="83">
        <v>45786</v>
      </c>
      <c r="G308" s="83">
        <v>45740</v>
      </c>
      <c r="H308" s="82" t="s">
        <v>1908</v>
      </c>
      <c r="I308" s="82" t="s">
        <v>51</v>
      </c>
      <c r="J308" s="84">
        <v>0.69827499999999998</v>
      </c>
      <c r="K308" s="85">
        <v>878.63</v>
      </c>
      <c r="L308" s="85">
        <v>878.63</v>
      </c>
      <c r="M308" s="85">
        <v>0</v>
      </c>
      <c r="N308" s="85">
        <v>878.63</v>
      </c>
      <c r="O308" s="85">
        <v>0</v>
      </c>
      <c r="P308" s="85">
        <v>1258.2864917117181</v>
      </c>
      <c r="Q308" s="85">
        <v>1258.2864917117181</v>
      </c>
      <c r="R308" s="85">
        <v>0</v>
      </c>
      <c r="S308" s="85">
        <v>1224.8548000000001</v>
      </c>
      <c r="T308" s="85">
        <v>0</v>
      </c>
      <c r="U308" s="82"/>
      <c r="V308" s="82" t="s">
        <v>3399</v>
      </c>
      <c r="W308" s="82" t="s">
        <v>3395</v>
      </c>
      <c r="X308" s="82" t="s">
        <v>3394</v>
      </c>
      <c r="Y308" s="82" t="s">
        <v>3393</v>
      </c>
    </row>
    <row r="309" spans="1:25" ht="10.9" customHeight="1" x14ac:dyDescent="0.2">
      <c r="A309" s="82" t="s">
        <v>2415</v>
      </c>
      <c r="B309" s="82" t="s">
        <v>159</v>
      </c>
      <c r="C309" s="83">
        <v>45740</v>
      </c>
      <c r="D309" s="83">
        <v>45785</v>
      </c>
      <c r="E309" s="83">
        <v>45793</v>
      </c>
      <c r="F309" s="83">
        <v>45786</v>
      </c>
      <c r="G309" s="83">
        <v>45740</v>
      </c>
      <c r="H309" s="82" t="s">
        <v>2018</v>
      </c>
      <c r="I309" s="82" t="s">
        <v>51</v>
      </c>
      <c r="J309" s="84">
        <v>0.69827499999999998</v>
      </c>
      <c r="K309" s="85">
        <v>2925.09</v>
      </c>
      <c r="L309" s="85">
        <v>2925.09</v>
      </c>
      <c r="M309" s="85">
        <v>0</v>
      </c>
      <c r="N309" s="85">
        <v>2925.09</v>
      </c>
      <c r="O309" s="85">
        <v>0</v>
      </c>
      <c r="P309" s="85">
        <v>4189.022949411049</v>
      </c>
      <c r="Q309" s="85">
        <v>4189.022949411049</v>
      </c>
      <c r="R309" s="85">
        <v>0</v>
      </c>
      <c r="S309" s="85">
        <v>4077.7239</v>
      </c>
      <c r="T309" s="85">
        <v>0</v>
      </c>
      <c r="U309" s="82"/>
      <c r="V309" s="82" t="s">
        <v>3399</v>
      </c>
      <c r="W309" s="82" t="s">
        <v>3395</v>
      </c>
      <c r="X309" s="82" t="s">
        <v>3394</v>
      </c>
      <c r="Y309" s="82" t="s">
        <v>3393</v>
      </c>
    </row>
    <row r="310" spans="1:25" ht="10.9" customHeight="1" x14ac:dyDescent="0.2">
      <c r="A310" s="82" t="s">
        <v>2465</v>
      </c>
      <c r="B310" s="82" t="s">
        <v>159</v>
      </c>
      <c r="C310" s="83">
        <v>45740</v>
      </c>
      <c r="D310" s="83">
        <v>45785</v>
      </c>
      <c r="E310" s="83">
        <v>45793</v>
      </c>
      <c r="F310" s="83">
        <v>45772</v>
      </c>
      <c r="G310" s="83">
        <v>45740</v>
      </c>
      <c r="H310" s="82" t="s">
        <v>1931</v>
      </c>
      <c r="I310" s="82" t="s">
        <v>51</v>
      </c>
      <c r="J310" s="84">
        <v>0.69827499999999998</v>
      </c>
      <c r="K310" s="85">
        <v>176</v>
      </c>
      <c r="L310" s="85">
        <v>176</v>
      </c>
      <c r="M310" s="85">
        <v>0</v>
      </c>
      <c r="N310" s="85">
        <v>176</v>
      </c>
      <c r="O310" s="85">
        <v>0</v>
      </c>
      <c r="P310" s="85">
        <v>252.04969388851089</v>
      </c>
      <c r="Q310" s="85">
        <v>252.04969388851089</v>
      </c>
      <c r="R310" s="85">
        <v>0</v>
      </c>
      <c r="S310" s="85">
        <v>243.90450000000001</v>
      </c>
      <c r="T310" s="85">
        <v>0</v>
      </c>
      <c r="U310" s="82"/>
      <c r="V310" s="82" t="s">
        <v>3399</v>
      </c>
      <c r="W310" s="82" t="s">
        <v>3395</v>
      </c>
      <c r="X310" s="82" t="s">
        <v>3394</v>
      </c>
      <c r="Y310" s="82" t="s">
        <v>3393</v>
      </c>
    </row>
    <row r="311" spans="1:25" ht="10.9" customHeight="1" x14ac:dyDescent="0.2">
      <c r="A311" s="82" t="s">
        <v>2569</v>
      </c>
      <c r="B311" s="82" t="s">
        <v>581</v>
      </c>
      <c r="C311" s="83">
        <v>45740</v>
      </c>
      <c r="D311" s="83">
        <v>45770</v>
      </c>
      <c r="E311" s="83">
        <v>45779</v>
      </c>
      <c r="F311" s="83">
        <v>45771</v>
      </c>
      <c r="G311" s="83">
        <v>45740</v>
      </c>
      <c r="H311" s="82" t="s">
        <v>1748</v>
      </c>
      <c r="I311" s="82" t="s">
        <v>51</v>
      </c>
      <c r="J311" s="84">
        <v>0.69836299999999996</v>
      </c>
      <c r="K311" s="85">
        <v>127.04</v>
      </c>
      <c r="L311" s="85">
        <v>127.04</v>
      </c>
      <c r="M311" s="85">
        <v>0</v>
      </c>
      <c r="N311" s="85">
        <v>127.04</v>
      </c>
      <c r="O311" s="85">
        <v>0</v>
      </c>
      <c r="P311" s="85">
        <v>181.91112644856611</v>
      </c>
      <c r="Q311" s="85">
        <v>181.91112644856611</v>
      </c>
      <c r="R311" s="85">
        <v>0</v>
      </c>
      <c r="S311" s="85">
        <v>176.33279999999999</v>
      </c>
      <c r="T311" s="85">
        <v>0</v>
      </c>
      <c r="U311" s="82"/>
      <c r="V311" s="82" t="s">
        <v>3399</v>
      </c>
      <c r="W311" s="82" t="s">
        <v>3395</v>
      </c>
      <c r="X311" s="82" t="s">
        <v>3394</v>
      </c>
      <c r="Y311" s="82" t="s">
        <v>3393</v>
      </c>
    </row>
    <row r="312" spans="1:25" ht="10.9" customHeight="1" x14ac:dyDescent="0.2">
      <c r="A312" s="82" t="s">
        <v>2448</v>
      </c>
      <c r="B312" s="82" t="s">
        <v>159</v>
      </c>
      <c r="C312" s="83">
        <v>45740</v>
      </c>
      <c r="D312" s="83">
        <v>45785</v>
      </c>
      <c r="E312" s="83">
        <v>45793</v>
      </c>
      <c r="F312" s="83">
        <v>45786</v>
      </c>
      <c r="G312" s="83">
        <v>45740</v>
      </c>
      <c r="H312" s="82" t="s">
        <v>1961</v>
      </c>
      <c r="I312" s="82" t="s">
        <v>51</v>
      </c>
      <c r="J312" s="84">
        <v>0.69827499999999998</v>
      </c>
      <c r="K312" s="85">
        <v>8775.27</v>
      </c>
      <c r="L312" s="85">
        <v>8775.27</v>
      </c>
      <c r="M312" s="85">
        <v>0</v>
      </c>
      <c r="N312" s="85">
        <v>8775.27</v>
      </c>
      <c r="O312" s="85">
        <v>0</v>
      </c>
      <c r="P312" s="85">
        <v>12567.068848233146</v>
      </c>
      <c r="Q312" s="85">
        <v>12567.068848233146</v>
      </c>
      <c r="R312" s="85">
        <v>0</v>
      </c>
      <c r="S312" s="85">
        <v>12233.171700000001</v>
      </c>
      <c r="T312" s="85">
        <v>0</v>
      </c>
      <c r="U312" s="82"/>
      <c r="V312" s="82" t="s">
        <v>3399</v>
      </c>
      <c r="W312" s="82" t="s">
        <v>3395</v>
      </c>
      <c r="X312" s="82" t="s">
        <v>3394</v>
      </c>
      <c r="Y312" s="82" t="s">
        <v>3393</v>
      </c>
    </row>
    <row r="313" spans="1:25" ht="10.9" customHeight="1" x14ac:dyDescent="0.2">
      <c r="A313" s="82" t="s">
        <v>3612</v>
      </c>
      <c r="B313" s="82" t="s">
        <v>54</v>
      </c>
      <c r="C313" s="83">
        <v>45740</v>
      </c>
      <c r="D313" s="83">
        <v>45770</v>
      </c>
      <c r="E313" s="83">
        <v>45786</v>
      </c>
      <c r="F313" s="83">
        <v>45772</v>
      </c>
      <c r="G313" s="83">
        <v>45740</v>
      </c>
      <c r="H313" s="82" t="s">
        <v>3611</v>
      </c>
      <c r="I313" s="82" t="s">
        <v>22</v>
      </c>
      <c r="J313" s="84">
        <v>0</v>
      </c>
      <c r="K313" s="85">
        <v>614.88</v>
      </c>
      <c r="L313" s="85">
        <v>645.62</v>
      </c>
      <c r="M313" s="85">
        <v>30.74</v>
      </c>
      <c r="N313" s="85">
        <v>645.62</v>
      </c>
      <c r="O313" s="85">
        <v>0</v>
      </c>
      <c r="P313" s="85">
        <v>614.88</v>
      </c>
      <c r="Q313" s="85">
        <v>645.62</v>
      </c>
      <c r="R313" s="85">
        <v>30.74</v>
      </c>
      <c r="S313" s="85">
        <v>645.62</v>
      </c>
      <c r="T313" s="85">
        <v>0</v>
      </c>
      <c r="U313" s="82"/>
      <c r="V313" s="82" t="s">
        <v>3399</v>
      </c>
      <c r="W313" s="82" t="s">
        <v>3395</v>
      </c>
      <c r="X313" s="82" t="s">
        <v>3394</v>
      </c>
      <c r="Y313" s="82" t="s">
        <v>3393</v>
      </c>
    </row>
    <row r="314" spans="1:25" ht="10.9" customHeight="1" x14ac:dyDescent="0.2">
      <c r="A314" s="82" t="s">
        <v>2561</v>
      </c>
      <c r="B314" s="82" t="s">
        <v>3412</v>
      </c>
      <c r="C314" s="83">
        <v>45740</v>
      </c>
      <c r="D314" s="83">
        <v>45785</v>
      </c>
      <c r="E314" s="83">
        <v>45785</v>
      </c>
      <c r="F314" s="83">
        <v>45779</v>
      </c>
      <c r="G314" s="83">
        <v>45746</v>
      </c>
      <c r="H314" s="82" t="s">
        <v>1762</v>
      </c>
      <c r="I314" s="82" t="s">
        <v>22</v>
      </c>
      <c r="J314" s="84">
        <v>0</v>
      </c>
      <c r="K314" s="85">
        <v>1126.22</v>
      </c>
      <c r="L314" s="85">
        <v>1182.53</v>
      </c>
      <c r="M314" s="85">
        <v>56.31</v>
      </c>
      <c r="N314" s="85">
        <v>1182.53</v>
      </c>
      <c r="O314" s="85">
        <v>0</v>
      </c>
      <c r="P314" s="85">
        <v>1126.22</v>
      </c>
      <c r="Q314" s="85">
        <v>1182.53</v>
      </c>
      <c r="R314" s="85">
        <v>56.31</v>
      </c>
      <c r="S314" s="85">
        <v>1182.53</v>
      </c>
      <c r="T314" s="85">
        <v>0</v>
      </c>
      <c r="U314" s="82"/>
      <c r="V314" s="82" t="s">
        <v>3399</v>
      </c>
      <c r="W314" s="82" t="s">
        <v>3395</v>
      </c>
      <c r="X314" s="82" t="s">
        <v>3394</v>
      </c>
      <c r="Y314" s="82" t="s">
        <v>3393</v>
      </c>
    </row>
    <row r="315" spans="1:25" ht="10.9" customHeight="1" x14ac:dyDescent="0.2">
      <c r="A315" s="82" t="s">
        <v>3606</v>
      </c>
      <c r="B315" s="82" t="s">
        <v>141</v>
      </c>
      <c r="C315" s="83">
        <v>45741</v>
      </c>
      <c r="D315" s="83">
        <v>45786</v>
      </c>
      <c r="E315" s="83">
        <v>45800</v>
      </c>
      <c r="F315" s="83">
        <v>45797</v>
      </c>
      <c r="G315" s="83">
        <v>45741</v>
      </c>
      <c r="H315" s="82" t="s">
        <v>3605</v>
      </c>
      <c r="I315" s="82" t="s">
        <v>51</v>
      </c>
      <c r="J315" s="84">
        <v>0.70063299999999995</v>
      </c>
      <c r="K315" s="85">
        <v>7659.94</v>
      </c>
      <c r="L315" s="85">
        <v>7659.94</v>
      </c>
      <c r="M315" s="85">
        <v>0</v>
      </c>
      <c r="N315" s="85">
        <v>7659.94</v>
      </c>
      <c r="O315" s="85">
        <v>0</v>
      </c>
      <c r="P315" s="85">
        <v>10932.884976870915</v>
      </c>
      <c r="Q315" s="85">
        <v>10932.884976870915</v>
      </c>
      <c r="R315" s="85">
        <v>0</v>
      </c>
      <c r="S315" s="85">
        <v>10681.7104</v>
      </c>
      <c r="T315" s="85">
        <v>0</v>
      </c>
      <c r="U315" s="82"/>
      <c r="V315" s="82" t="s">
        <v>3399</v>
      </c>
      <c r="W315" s="82" t="s">
        <v>3395</v>
      </c>
      <c r="X315" s="82" t="s">
        <v>3394</v>
      </c>
      <c r="Y315" s="82" t="s">
        <v>3393</v>
      </c>
    </row>
    <row r="316" spans="1:25" ht="10.9" customHeight="1" x14ac:dyDescent="0.2">
      <c r="A316" s="82" t="s">
        <v>3608</v>
      </c>
      <c r="B316" s="82" t="s">
        <v>141</v>
      </c>
      <c r="C316" s="83">
        <v>45741</v>
      </c>
      <c r="D316" s="83">
        <v>45786</v>
      </c>
      <c r="E316" s="83">
        <v>45800</v>
      </c>
      <c r="F316" s="83">
        <v>45797</v>
      </c>
      <c r="G316" s="83">
        <v>45741</v>
      </c>
      <c r="H316" s="82" t="s">
        <v>3607</v>
      </c>
      <c r="I316" s="82" t="s">
        <v>51</v>
      </c>
      <c r="J316" s="84">
        <v>0.70063299999999995</v>
      </c>
      <c r="K316" s="85">
        <v>6497.11</v>
      </c>
      <c r="L316" s="85">
        <v>6497.11</v>
      </c>
      <c r="M316" s="85">
        <v>0</v>
      </c>
      <c r="N316" s="85">
        <v>6497.11</v>
      </c>
      <c r="O316" s="85">
        <v>0</v>
      </c>
      <c r="P316" s="85">
        <v>9273.2000919168804</v>
      </c>
      <c r="Q316" s="85">
        <v>9273.2000919168804</v>
      </c>
      <c r="R316" s="85">
        <v>0</v>
      </c>
      <c r="S316" s="85">
        <v>9060.1555000000008</v>
      </c>
      <c r="T316" s="85">
        <v>0</v>
      </c>
      <c r="U316" s="82"/>
      <c r="V316" s="82" t="s">
        <v>3399</v>
      </c>
      <c r="W316" s="82" t="s">
        <v>3395</v>
      </c>
      <c r="X316" s="82" t="s">
        <v>3394</v>
      </c>
      <c r="Y316" s="82" t="s">
        <v>3393</v>
      </c>
    </row>
    <row r="317" spans="1:25" ht="10.9" customHeight="1" x14ac:dyDescent="0.2">
      <c r="A317" s="82" t="s">
        <v>2373</v>
      </c>
      <c r="B317" s="82" t="s">
        <v>141</v>
      </c>
      <c r="C317" s="83">
        <v>45741</v>
      </c>
      <c r="D317" s="83">
        <v>45786</v>
      </c>
      <c r="E317" s="83">
        <v>45800</v>
      </c>
      <c r="F317" s="83">
        <v>45797</v>
      </c>
      <c r="G317" s="83">
        <v>45741</v>
      </c>
      <c r="H317" s="82" t="s">
        <v>2077</v>
      </c>
      <c r="I317" s="82" t="s">
        <v>51</v>
      </c>
      <c r="J317" s="84">
        <v>0.70063299999999995</v>
      </c>
      <c r="K317" s="85">
        <v>2469</v>
      </c>
      <c r="L317" s="85">
        <v>2469</v>
      </c>
      <c r="M317" s="85">
        <v>0</v>
      </c>
      <c r="N317" s="85">
        <v>2469</v>
      </c>
      <c r="O317" s="85">
        <v>0</v>
      </c>
      <c r="P317" s="85">
        <v>3523.9561938989455</v>
      </c>
      <c r="Q317" s="85">
        <v>3523.9561938989455</v>
      </c>
      <c r="R317" s="85">
        <v>0</v>
      </c>
      <c r="S317" s="85">
        <v>3442.9960000000001</v>
      </c>
      <c r="T317" s="85">
        <v>0</v>
      </c>
      <c r="U317" s="82"/>
      <c r="V317" s="82" t="s">
        <v>3399</v>
      </c>
      <c r="W317" s="82" t="s">
        <v>3395</v>
      </c>
      <c r="X317" s="82" t="s">
        <v>3394</v>
      </c>
      <c r="Y317" s="82" t="s">
        <v>3393</v>
      </c>
    </row>
    <row r="318" spans="1:25" ht="10.9" customHeight="1" x14ac:dyDescent="0.2">
      <c r="A318" s="82" t="s">
        <v>3604</v>
      </c>
      <c r="B318" s="82" t="s">
        <v>141</v>
      </c>
      <c r="C318" s="83">
        <v>45741</v>
      </c>
      <c r="D318" s="83">
        <v>45786</v>
      </c>
      <c r="E318" s="83">
        <v>45800</v>
      </c>
      <c r="F318" s="83">
        <v>45797</v>
      </c>
      <c r="G318" s="83">
        <v>45741</v>
      </c>
      <c r="H318" s="82" t="s">
        <v>3603</v>
      </c>
      <c r="I318" s="82" t="s">
        <v>51</v>
      </c>
      <c r="J318" s="84">
        <v>0.70063299999999995</v>
      </c>
      <c r="K318" s="85">
        <v>3866.07</v>
      </c>
      <c r="L318" s="85">
        <v>3866.07</v>
      </c>
      <c r="M318" s="85">
        <v>0</v>
      </c>
      <c r="N318" s="85">
        <v>3866.07</v>
      </c>
      <c r="O318" s="85">
        <v>0</v>
      </c>
      <c r="P318" s="85">
        <v>5517.9673238343039</v>
      </c>
      <c r="Q318" s="85">
        <v>5517.9673238343039</v>
      </c>
      <c r="R318" s="85">
        <v>0</v>
      </c>
      <c r="S318" s="85">
        <v>5391.1962999999996</v>
      </c>
      <c r="T318" s="85">
        <v>0</v>
      </c>
      <c r="U318" s="82"/>
      <c r="V318" s="82" t="s">
        <v>3399</v>
      </c>
      <c r="W318" s="82" t="s">
        <v>3395</v>
      </c>
      <c r="X318" s="82" t="s">
        <v>3394</v>
      </c>
      <c r="Y318" s="82" t="s">
        <v>3393</v>
      </c>
    </row>
    <row r="319" spans="1:25" ht="10.9" customHeight="1" x14ac:dyDescent="0.2">
      <c r="A319" s="82" t="s">
        <v>3610</v>
      </c>
      <c r="B319" s="82" t="s">
        <v>20</v>
      </c>
      <c r="C319" s="83">
        <v>45741</v>
      </c>
      <c r="D319" s="83">
        <v>45801</v>
      </c>
      <c r="E319" s="83">
        <v>45803</v>
      </c>
      <c r="F319" s="83">
        <v>45800</v>
      </c>
      <c r="G319" s="83">
        <v>45741</v>
      </c>
      <c r="H319" s="82" t="s">
        <v>3609</v>
      </c>
      <c r="I319" s="82" t="s">
        <v>22</v>
      </c>
      <c r="J319" s="84">
        <v>0</v>
      </c>
      <c r="K319" s="85">
        <v>6344.11</v>
      </c>
      <c r="L319" s="85">
        <v>6661.32</v>
      </c>
      <c r="M319" s="85">
        <v>317.20999999999998</v>
      </c>
      <c r="N319" s="85">
        <v>6661.32</v>
      </c>
      <c r="O319" s="85">
        <v>0</v>
      </c>
      <c r="P319" s="85">
        <v>6344.11</v>
      </c>
      <c r="Q319" s="85">
        <v>6661.32</v>
      </c>
      <c r="R319" s="85">
        <v>317.20999999999998</v>
      </c>
      <c r="S319" s="85">
        <v>6661.32</v>
      </c>
      <c r="T319" s="85">
        <v>0</v>
      </c>
      <c r="U319" s="82"/>
      <c r="V319" s="82" t="s">
        <v>3399</v>
      </c>
      <c r="W319" s="82" t="s">
        <v>3395</v>
      </c>
      <c r="X319" s="82" t="s">
        <v>3394</v>
      </c>
      <c r="Y319" s="82" t="s">
        <v>3393</v>
      </c>
    </row>
    <row r="320" spans="1:25" ht="10.9" customHeight="1" x14ac:dyDescent="0.2">
      <c r="A320" s="82" t="s">
        <v>2497</v>
      </c>
      <c r="B320" s="82" t="s">
        <v>20</v>
      </c>
      <c r="C320" s="83">
        <v>45741</v>
      </c>
      <c r="D320" s="83">
        <v>45801</v>
      </c>
      <c r="E320" s="83">
        <v>45803</v>
      </c>
      <c r="F320" s="83">
        <v>45800</v>
      </c>
      <c r="G320" s="83">
        <v>45741</v>
      </c>
      <c r="H320" s="82" t="s">
        <v>1868</v>
      </c>
      <c r="I320" s="82" t="s">
        <v>22</v>
      </c>
      <c r="J320" s="84">
        <v>0</v>
      </c>
      <c r="K320" s="85">
        <v>1948.11</v>
      </c>
      <c r="L320" s="85">
        <v>2045.52</v>
      </c>
      <c r="M320" s="85">
        <v>97.41</v>
      </c>
      <c r="N320" s="85">
        <v>2045.52</v>
      </c>
      <c r="O320" s="85">
        <v>0</v>
      </c>
      <c r="P320" s="85">
        <v>1948.11</v>
      </c>
      <c r="Q320" s="85">
        <v>2045.52</v>
      </c>
      <c r="R320" s="85">
        <v>97.41</v>
      </c>
      <c r="S320" s="85">
        <v>2045.52</v>
      </c>
      <c r="T320" s="85">
        <v>0</v>
      </c>
      <c r="U320" s="82"/>
      <c r="V320" s="82" t="s">
        <v>3399</v>
      </c>
      <c r="W320" s="82" t="s">
        <v>3395</v>
      </c>
      <c r="X320" s="82" t="s">
        <v>3394</v>
      </c>
      <c r="Y320" s="82" t="s">
        <v>3393</v>
      </c>
    </row>
    <row r="321" spans="1:25" ht="10.9" customHeight="1" x14ac:dyDescent="0.2">
      <c r="A321" s="82" t="s">
        <v>2340</v>
      </c>
      <c r="B321" s="82" t="s">
        <v>86</v>
      </c>
      <c r="C321" s="83">
        <v>45741</v>
      </c>
      <c r="D321" s="83">
        <v>45771</v>
      </c>
      <c r="E321" s="83">
        <v>45771</v>
      </c>
      <c r="F321" s="83">
        <v>45771</v>
      </c>
      <c r="G321" s="83">
        <v>45741</v>
      </c>
      <c r="H321" s="82" t="s">
        <v>2138</v>
      </c>
      <c r="I321" s="82" t="s">
        <v>22</v>
      </c>
      <c r="J321" s="84">
        <v>0</v>
      </c>
      <c r="K321" s="85">
        <v>5107.37</v>
      </c>
      <c r="L321" s="85">
        <v>5362.74</v>
      </c>
      <c r="M321" s="85">
        <v>255.37</v>
      </c>
      <c r="N321" s="85">
        <v>5362.74</v>
      </c>
      <c r="O321" s="85">
        <v>0</v>
      </c>
      <c r="P321" s="85">
        <v>5107.37</v>
      </c>
      <c r="Q321" s="85">
        <v>5362.74</v>
      </c>
      <c r="R321" s="85">
        <v>255.37</v>
      </c>
      <c r="S321" s="85">
        <v>5362.74</v>
      </c>
      <c r="T321" s="85">
        <v>0</v>
      </c>
      <c r="U321" s="82"/>
      <c r="V321" s="82" t="s">
        <v>3399</v>
      </c>
      <c r="W321" s="82" t="s">
        <v>3395</v>
      </c>
      <c r="X321" s="82" t="s">
        <v>3394</v>
      </c>
      <c r="Y321" s="82" t="s">
        <v>3393</v>
      </c>
    </row>
    <row r="322" spans="1:25" ht="10.9" customHeight="1" x14ac:dyDescent="0.2">
      <c r="A322" s="82" t="s">
        <v>2492</v>
      </c>
      <c r="B322" s="82" t="s">
        <v>39</v>
      </c>
      <c r="C322" s="83">
        <v>45741</v>
      </c>
      <c r="D322" s="83">
        <v>45771</v>
      </c>
      <c r="E322" s="83">
        <v>45771</v>
      </c>
      <c r="F322" s="83">
        <v>45771</v>
      </c>
      <c r="G322" s="83">
        <v>45741</v>
      </c>
      <c r="H322" s="82" t="s">
        <v>1876</v>
      </c>
      <c r="I322" s="82" t="s">
        <v>22</v>
      </c>
      <c r="J322" s="84">
        <v>0</v>
      </c>
      <c r="K322" s="85">
        <v>214.2</v>
      </c>
      <c r="L322" s="85">
        <v>224.91</v>
      </c>
      <c r="M322" s="85">
        <v>10.71</v>
      </c>
      <c r="N322" s="85">
        <v>224.91</v>
      </c>
      <c r="O322" s="85">
        <v>0</v>
      </c>
      <c r="P322" s="85">
        <v>214.2</v>
      </c>
      <c r="Q322" s="85">
        <v>224.91</v>
      </c>
      <c r="R322" s="85">
        <v>10.71</v>
      </c>
      <c r="S322" s="85">
        <v>224.91</v>
      </c>
      <c r="T322" s="85">
        <v>0</v>
      </c>
      <c r="U322" s="82"/>
      <c r="V322" s="82" t="s">
        <v>3399</v>
      </c>
      <c r="W322" s="82" t="s">
        <v>3395</v>
      </c>
      <c r="X322" s="82" t="s">
        <v>3394</v>
      </c>
      <c r="Y322" s="82" t="s">
        <v>3393</v>
      </c>
    </row>
    <row r="323" spans="1:25" ht="10.9" customHeight="1" x14ac:dyDescent="0.2">
      <c r="A323" s="82" t="s">
        <v>2576</v>
      </c>
      <c r="B323" s="82" t="s">
        <v>77</v>
      </c>
      <c r="C323" s="83">
        <v>45741</v>
      </c>
      <c r="D323" s="83">
        <v>45771</v>
      </c>
      <c r="E323" s="83">
        <v>45793</v>
      </c>
      <c r="F323" s="83">
        <v>45790</v>
      </c>
      <c r="G323" s="83">
        <v>45741</v>
      </c>
      <c r="H323" s="82" t="s">
        <v>1739</v>
      </c>
      <c r="I323" s="82" t="s">
        <v>22</v>
      </c>
      <c r="J323" s="84">
        <v>0</v>
      </c>
      <c r="K323" s="85">
        <v>160.08000000000001</v>
      </c>
      <c r="L323" s="85">
        <v>168.08</v>
      </c>
      <c r="M323" s="85">
        <v>8</v>
      </c>
      <c r="N323" s="85">
        <v>168.08</v>
      </c>
      <c r="O323" s="85">
        <v>0</v>
      </c>
      <c r="P323" s="85">
        <v>160.08000000000001</v>
      </c>
      <c r="Q323" s="85">
        <v>168.08</v>
      </c>
      <c r="R323" s="85">
        <v>8</v>
      </c>
      <c r="S323" s="85">
        <v>168.08</v>
      </c>
      <c r="T323" s="85">
        <v>0</v>
      </c>
      <c r="U323" s="82"/>
      <c r="V323" s="82" t="s">
        <v>3399</v>
      </c>
      <c r="W323" s="82" t="s">
        <v>3395</v>
      </c>
      <c r="X323" s="82" t="s">
        <v>3394</v>
      </c>
      <c r="Y323" s="82" t="s">
        <v>3393</v>
      </c>
    </row>
    <row r="324" spans="1:25" ht="10.9" customHeight="1" x14ac:dyDescent="0.2">
      <c r="A324" s="82" t="s">
        <v>2318</v>
      </c>
      <c r="B324" s="82" t="s">
        <v>54</v>
      </c>
      <c r="C324" s="83">
        <v>45741</v>
      </c>
      <c r="D324" s="83">
        <v>45771</v>
      </c>
      <c r="E324" s="83">
        <v>45786</v>
      </c>
      <c r="F324" s="83">
        <v>45772</v>
      </c>
      <c r="G324" s="83">
        <v>45741</v>
      </c>
      <c r="H324" s="82" t="s">
        <v>2176</v>
      </c>
      <c r="I324" s="82" t="s">
        <v>22</v>
      </c>
      <c r="J324" s="84">
        <v>0</v>
      </c>
      <c r="K324" s="85">
        <v>1578.98</v>
      </c>
      <c r="L324" s="85">
        <v>1657.93</v>
      </c>
      <c r="M324" s="85">
        <v>78.95</v>
      </c>
      <c r="N324" s="85">
        <v>1657.93</v>
      </c>
      <c r="O324" s="85">
        <v>0</v>
      </c>
      <c r="P324" s="85">
        <v>1578.98</v>
      </c>
      <c r="Q324" s="85">
        <v>1657.93</v>
      </c>
      <c r="R324" s="85">
        <v>78.95</v>
      </c>
      <c r="S324" s="85">
        <v>1657.93</v>
      </c>
      <c r="T324" s="85">
        <v>0</v>
      </c>
      <c r="U324" s="82"/>
      <c r="V324" s="82" t="s">
        <v>3399</v>
      </c>
      <c r="W324" s="82" t="s">
        <v>3395</v>
      </c>
      <c r="X324" s="82" t="s">
        <v>3394</v>
      </c>
      <c r="Y324" s="82" t="s">
        <v>3393</v>
      </c>
    </row>
    <row r="325" spans="1:25" ht="10.9" customHeight="1" x14ac:dyDescent="0.2">
      <c r="A325" s="82" t="s">
        <v>2511</v>
      </c>
      <c r="B325" s="82" t="s">
        <v>54</v>
      </c>
      <c r="C325" s="83">
        <v>45741</v>
      </c>
      <c r="D325" s="83">
        <v>45771</v>
      </c>
      <c r="E325" s="83">
        <v>45786</v>
      </c>
      <c r="F325" s="83">
        <v>45772</v>
      </c>
      <c r="G325" s="83">
        <v>45741</v>
      </c>
      <c r="H325" s="82" t="s">
        <v>1847</v>
      </c>
      <c r="I325" s="82" t="s">
        <v>22</v>
      </c>
      <c r="J325" s="84">
        <v>0</v>
      </c>
      <c r="K325" s="85">
        <v>381.72</v>
      </c>
      <c r="L325" s="85">
        <v>400.81</v>
      </c>
      <c r="M325" s="85">
        <v>19.09</v>
      </c>
      <c r="N325" s="85">
        <v>400.81</v>
      </c>
      <c r="O325" s="85">
        <v>0</v>
      </c>
      <c r="P325" s="85">
        <v>381.72</v>
      </c>
      <c r="Q325" s="85">
        <v>400.81</v>
      </c>
      <c r="R325" s="85">
        <v>19.09</v>
      </c>
      <c r="S325" s="85">
        <v>400.81</v>
      </c>
      <c r="T325" s="85">
        <v>0</v>
      </c>
      <c r="U325" s="82"/>
      <c r="V325" s="82" t="s">
        <v>3399</v>
      </c>
      <c r="W325" s="82" t="s">
        <v>3395</v>
      </c>
      <c r="X325" s="82" t="s">
        <v>3394</v>
      </c>
      <c r="Y325" s="82" t="s">
        <v>3393</v>
      </c>
    </row>
    <row r="326" spans="1:25" ht="10.9" customHeight="1" x14ac:dyDescent="0.2">
      <c r="A326" s="82" t="s">
        <v>2582</v>
      </c>
      <c r="B326" s="82" t="s">
        <v>714</v>
      </c>
      <c r="C326" s="83">
        <v>45742</v>
      </c>
      <c r="D326" s="83">
        <v>45772</v>
      </c>
      <c r="E326" s="83">
        <v>45772</v>
      </c>
      <c r="F326" s="83">
        <v>45751</v>
      </c>
      <c r="G326" s="83">
        <v>45742</v>
      </c>
      <c r="H326" s="82" t="s">
        <v>1727</v>
      </c>
      <c r="I326" s="82" t="s">
        <v>51</v>
      </c>
      <c r="J326" s="84">
        <v>0.70085399999999998</v>
      </c>
      <c r="K326" s="85">
        <v>5473.35</v>
      </c>
      <c r="L326" s="85">
        <v>5473.35</v>
      </c>
      <c r="M326" s="85">
        <v>0</v>
      </c>
      <c r="N326" s="85">
        <v>5473.35</v>
      </c>
      <c r="O326" s="85">
        <v>0</v>
      </c>
      <c r="P326" s="85">
        <v>7809.5437851535416</v>
      </c>
      <c r="Q326" s="85">
        <v>7809.5437851535416</v>
      </c>
      <c r="R326" s="85">
        <v>0</v>
      </c>
      <c r="S326" s="85">
        <v>7784.4196000000002</v>
      </c>
      <c r="T326" s="85">
        <v>0</v>
      </c>
      <c r="U326" s="82"/>
      <c r="V326" s="82" t="s">
        <v>3399</v>
      </c>
      <c r="W326" s="82" t="s">
        <v>3395</v>
      </c>
      <c r="X326" s="82" t="s">
        <v>3394</v>
      </c>
      <c r="Y326" s="82" t="s">
        <v>3393</v>
      </c>
    </row>
    <row r="327" spans="1:25" ht="10.9" customHeight="1" x14ac:dyDescent="0.2">
      <c r="A327" s="82" t="s">
        <v>2404</v>
      </c>
      <c r="B327" s="82" t="s">
        <v>714</v>
      </c>
      <c r="C327" s="83">
        <v>45742</v>
      </c>
      <c r="D327" s="83">
        <v>45772</v>
      </c>
      <c r="E327" s="83">
        <v>45772</v>
      </c>
      <c r="F327" s="83">
        <v>45751</v>
      </c>
      <c r="G327" s="83">
        <v>45742</v>
      </c>
      <c r="H327" s="82" t="s">
        <v>2033</v>
      </c>
      <c r="I327" s="82" t="s">
        <v>51</v>
      </c>
      <c r="J327" s="84">
        <v>0.70091300000000001</v>
      </c>
      <c r="K327" s="85">
        <v>468.06</v>
      </c>
      <c r="L327" s="85">
        <v>468.06</v>
      </c>
      <c r="M327" s="85">
        <v>0</v>
      </c>
      <c r="N327" s="85">
        <v>468.06</v>
      </c>
      <c r="O327" s="85">
        <v>0</v>
      </c>
      <c r="P327" s="85">
        <v>667.78615890987885</v>
      </c>
      <c r="Q327" s="85">
        <v>667.78615890987885</v>
      </c>
      <c r="R327" s="85">
        <v>0</v>
      </c>
      <c r="S327" s="85">
        <v>665.69389999999999</v>
      </c>
      <c r="T327" s="85">
        <v>0</v>
      </c>
      <c r="U327" s="82"/>
      <c r="V327" s="82" t="s">
        <v>3399</v>
      </c>
      <c r="W327" s="82" t="s">
        <v>3395</v>
      </c>
      <c r="X327" s="82" t="s">
        <v>3394</v>
      </c>
      <c r="Y327" s="82" t="s">
        <v>3393</v>
      </c>
    </row>
    <row r="328" spans="1:25" ht="10.9" customHeight="1" x14ac:dyDescent="0.2">
      <c r="A328" s="82" t="s">
        <v>3602</v>
      </c>
      <c r="B328" s="82" t="s">
        <v>714</v>
      </c>
      <c r="C328" s="83">
        <v>45742</v>
      </c>
      <c r="D328" s="83">
        <v>45772</v>
      </c>
      <c r="E328" s="83">
        <v>45772</v>
      </c>
      <c r="F328" s="83">
        <v>45751</v>
      </c>
      <c r="G328" s="83">
        <v>45742</v>
      </c>
      <c r="H328" s="82" t="s">
        <v>3601</v>
      </c>
      <c r="I328" s="82" t="s">
        <v>51</v>
      </c>
      <c r="J328" s="84">
        <v>0.70085399999999998</v>
      </c>
      <c r="K328" s="85">
        <v>814.45</v>
      </c>
      <c r="L328" s="85">
        <v>814.45</v>
      </c>
      <c r="M328" s="85">
        <v>0</v>
      </c>
      <c r="N328" s="85">
        <v>814.45</v>
      </c>
      <c r="O328" s="85">
        <v>0</v>
      </c>
      <c r="P328" s="85">
        <v>1162.0822596432351</v>
      </c>
      <c r="Q328" s="85">
        <v>1162.0822596432351</v>
      </c>
      <c r="R328" s="85">
        <v>0</v>
      </c>
      <c r="S328" s="85">
        <v>1158.3436999999999</v>
      </c>
      <c r="T328" s="85">
        <v>0</v>
      </c>
      <c r="U328" s="82"/>
      <c r="V328" s="82" t="s">
        <v>3399</v>
      </c>
      <c r="W328" s="82" t="s">
        <v>3395</v>
      </c>
      <c r="X328" s="82" t="s">
        <v>3394</v>
      </c>
      <c r="Y328" s="82" t="s">
        <v>3393</v>
      </c>
    </row>
    <row r="329" spans="1:25" ht="10.9" customHeight="1" x14ac:dyDescent="0.2">
      <c r="A329" s="82" t="s">
        <v>2578</v>
      </c>
      <c r="B329" s="82" t="s">
        <v>242</v>
      </c>
      <c r="C329" s="83">
        <v>45742</v>
      </c>
      <c r="D329" s="83">
        <v>45772</v>
      </c>
      <c r="E329" s="83">
        <v>45786</v>
      </c>
      <c r="F329" s="83">
        <v>45777</v>
      </c>
      <c r="G329" s="83">
        <v>45742</v>
      </c>
      <c r="H329" s="82" t="s">
        <v>1735</v>
      </c>
      <c r="I329" s="82" t="s">
        <v>22</v>
      </c>
      <c r="J329" s="84">
        <v>0</v>
      </c>
      <c r="K329" s="85">
        <v>164.89</v>
      </c>
      <c r="L329" s="85">
        <v>173.13</v>
      </c>
      <c r="M329" s="85">
        <v>8.24</v>
      </c>
      <c r="N329" s="85">
        <v>173.13</v>
      </c>
      <c r="O329" s="85">
        <v>0</v>
      </c>
      <c r="P329" s="85">
        <v>164.89</v>
      </c>
      <c r="Q329" s="85">
        <v>173.13</v>
      </c>
      <c r="R329" s="85">
        <v>8.24</v>
      </c>
      <c r="S329" s="85">
        <v>173.13</v>
      </c>
      <c r="T329" s="85">
        <v>0</v>
      </c>
      <c r="U329" s="82"/>
      <c r="V329" s="82" t="s">
        <v>3399</v>
      </c>
      <c r="W329" s="82" t="s">
        <v>3395</v>
      </c>
      <c r="X329" s="82" t="s">
        <v>3394</v>
      </c>
      <c r="Y329" s="82" t="s">
        <v>3393</v>
      </c>
    </row>
    <row r="330" spans="1:25" ht="10.9" customHeight="1" x14ac:dyDescent="0.2">
      <c r="A330" s="82" t="s">
        <v>2583</v>
      </c>
      <c r="B330" s="82" t="s">
        <v>146</v>
      </c>
      <c r="C330" s="83">
        <v>45742</v>
      </c>
      <c r="D330" s="83">
        <v>45772</v>
      </c>
      <c r="E330" s="83">
        <v>45793</v>
      </c>
      <c r="F330" s="83">
        <v>45776</v>
      </c>
      <c r="G330" s="83">
        <v>45742</v>
      </c>
      <c r="H330" s="82" t="s">
        <v>1725</v>
      </c>
      <c r="I330" s="82" t="s">
        <v>22</v>
      </c>
      <c r="J330" s="84">
        <v>0</v>
      </c>
      <c r="K330" s="85">
        <v>344.6</v>
      </c>
      <c r="L330" s="85">
        <v>361.83</v>
      </c>
      <c r="M330" s="85">
        <v>17.23</v>
      </c>
      <c r="N330" s="85">
        <v>361.83</v>
      </c>
      <c r="O330" s="85">
        <v>0</v>
      </c>
      <c r="P330" s="85">
        <v>344.6</v>
      </c>
      <c r="Q330" s="85">
        <v>361.83</v>
      </c>
      <c r="R330" s="85">
        <v>17.23</v>
      </c>
      <c r="S330" s="85">
        <v>361.83</v>
      </c>
      <c r="T330" s="85">
        <v>0</v>
      </c>
      <c r="U330" s="82"/>
      <c r="V330" s="82" t="s">
        <v>3399</v>
      </c>
      <c r="W330" s="82" t="s">
        <v>3395</v>
      </c>
      <c r="X330" s="82" t="s">
        <v>3394</v>
      </c>
      <c r="Y330" s="82" t="s">
        <v>3393</v>
      </c>
    </row>
    <row r="331" spans="1:25" ht="10.9" customHeight="1" x14ac:dyDescent="0.2">
      <c r="A331" s="82" t="s">
        <v>2580</v>
      </c>
      <c r="B331" s="82" t="s">
        <v>146</v>
      </c>
      <c r="C331" s="83">
        <v>45742</v>
      </c>
      <c r="D331" s="83">
        <v>45772</v>
      </c>
      <c r="E331" s="83">
        <v>45793</v>
      </c>
      <c r="F331" s="83">
        <v>45776</v>
      </c>
      <c r="G331" s="83">
        <v>45742</v>
      </c>
      <c r="H331" s="82" t="s">
        <v>1731</v>
      </c>
      <c r="I331" s="82" t="s">
        <v>22</v>
      </c>
      <c r="J331" s="84">
        <v>0</v>
      </c>
      <c r="K331" s="85">
        <v>516.9</v>
      </c>
      <c r="L331" s="85">
        <v>542.75</v>
      </c>
      <c r="M331" s="85">
        <v>25.85</v>
      </c>
      <c r="N331" s="85">
        <v>542.75</v>
      </c>
      <c r="O331" s="85">
        <v>0</v>
      </c>
      <c r="P331" s="85">
        <v>516.9</v>
      </c>
      <c r="Q331" s="85">
        <v>542.75</v>
      </c>
      <c r="R331" s="85">
        <v>25.85</v>
      </c>
      <c r="S331" s="85">
        <v>542.75</v>
      </c>
      <c r="T331" s="85">
        <v>0</v>
      </c>
      <c r="U331" s="82"/>
      <c r="V331" s="82" t="s">
        <v>3399</v>
      </c>
      <c r="W331" s="82" t="s">
        <v>3395</v>
      </c>
      <c r="X331" s="82" t="s">
        <v>3394</v>
      </c>
      <c r="Y331" s="82" t="s">
        <v>3393</v>
      </c>
    </row>
    <row r="332" spans="1:25" ht="10.9" customHeight="1" x14ac:dyDescent="0.2">
      <c r="A332" s="82" t="s">
        <v>2550</v>
      </c>
      <c r="B332" s="82" t="s">
        <v>3412</v>
      </c>
      <c r="C332" s="83">
        <v>45742</v>
      </c>
      <c r="D332" s="83">
        <v>45787</v>
      </c>
      <c r="E332" s="83">
        <v>45793</v>
      </c>
      <c r="F332" s="83">
        <v>45786</v>
      </c>
      <c r="G332" s="83">
        <v>45742</v>
      </c>
      <c r="H332" s="82" t="s">
        <v>1782</v>
      </c>
      <c r="I332" s="82" t="s">
        <v>22</v>
      </c>
      <c r="J332" s="84">
        <v>0</v>
      </c>
      <c r="K332" s="85">
        <v>304.26</v>
      </c>
      <c r="L332" s="85">
        <v>319.47000000000003</v>
      </c>
      <c r="M332" s="85">
        <v>15.21</v>
      </c>
      <c r="N332" s="85">
        <v>319.47000000000003</v>
      </c>
      <c r="O332" s="85">
        <v>0</v>
      </c>
      <c r="P332" s="85">
        <v>304.26</v>
      </c>
      <c r="Q332" s="85">
        <v>319.47000000000003</v>
      </c>
      <c r="R332" s="85">
        <v>15.21</v>
      </c>
      <c r="S332" s="85">
        <v>319.47000000000003</v>
      </c>
      <c r="T332" s="85">
        <v>0</v>
      </c>
      <c r="U332" s="82"/>
      <c r="V332" s="82" t="s">
        <v>3399</v>
      </c>
      <c r="W332" s="82" t="s">
        <v>3395</v>
      </c>
      <c r="X332" s="82" t="s">
        <v>3394</v>
      </c>
      <c r="Y332" s="82" t="s">
        <v>3393</v>
      </c>
    </row>
    <row r="333" spans="1:25" ht="10.9" customHeight="1" x14ac:dyDescent="0.2">
      <c r="A333" s="82" t="s">
        <v>2567</v>
      </c>
      <c r="B333" s="82" t="s">
        <v>3412</v>
      </c>
      <c r="C333" s="83">
        <v>45742</v>
      </c>
      <c r="D333" s="83">
        <v>45787</v>
      </c>
      <c r="E333" s="83">
        <v>45793</v>
      </c>
      <c r="F333" s="83">
        <v>45786</v>
      </c>
      <c r="G333" s="83">
        <v>45742</v>
      </c>
      <c r="H333" s="82" t="s">
        <v>1752</v>
      </c>
      <c r="I333" s="82" t="s">
        <v>22</v>
      </c>
      <c r="J333" s="84">
        <v>0</v>
      </c>
      <c r="K333" s="85">
        <v>5315.42</v>
      </c>
      <c r="L333" s="85">
        <v>5581.2</v>
      </c>
      <c r="M333" s="85">
        <v>265.77999999999997</v>
      </c>
      <c r="N333" s="85">
        <v>5581.2</v>
      </c>
      <c r="O333" s="85">
        <v>0</v>
      </c>
      <c r="P333" s="85">
        <v>5315.42</v>
      </c>
      <c r="Q333" s="85">
        <v>5581.2</v>
      </c>
      <c r="R333" s="85">
        <v>265.77999999999997</v>
      </c>
      <c r="S333" s="85">
        <v>5581.2</v>
      </c>
      <c r="T333" s="85">
        <v>0</v>
      </c>
      <c r="U333" s="82"/>
      <c r="V333" s="82" t="s">
        <v>3399</v>
      </c>
      <c r="W333" s="82" t="s">
        <v>3395</v>
      </c>
      <c r="X333" s="82" t="s">
        <v>3394</v>
      </c>
      <c r="Y333" s="82" t="s">
        <v>3393</v>
      </c>
    </row>
    <row r="334" spans="1:25" ht="10.9" customHeight="1" x14ac:dyDescent="0.2">
      <c r="A334" s="82" t="s">
        <v>2584</v>
      </c>
      <c r="B334" s="82" t="s">
        <v>242</v>
      </c>
      <c r="C334" s="83">
        <v>45744</v>
      </c>
      <c r="D334" s="83">
        <v>45774</v>
      </c>
      <c r="E334" s="83">
        <v>45786</v>
      </c>
      <c r="F334" s="83">
        <v>45777</v>
      </c>
      <c r="G334" s="83">
        <v>45744</v>
      </c>
      <c r="H334" s="82" t="s">
        <v>1723</v>
      </c>
      <c r="I334" s="82" t="s">
        <v>22</v>
      </c>
      <c r="J334" s="84">
        <v>0</v>
      </c>
      <c r="K334" s="85">
        <v>3099.56</v>
      </c>
      <c r="L334" s="85">
        <v>3254.54</v>
      </c>
      <c r="M334" s="85">
        <v>154.97999999999999</v>
      </c>
      <c r="N334" s="85">
        <v>3254.54</v>
      </c>
      <c r="O334" s="85">
        <v>0</v>
      </c>
      <c r="P334" s="85">
        <v>3099.56</v>
      </c>
      <c r="Q334" s="85">
        <v>3254.54</v>
      </c>
      <c r="R334" s="85">
        <v>154.97999999999999</v>
      </c>
      <c r="S334" s="85">
        <v>3254.54</v>
      </c>
      <c r="T334" s="85">
        <v>0</v>
      </c>
      <c r="U334" s="82"/>
      <c r="V334" s="82" t="s">
        <v>3399</v>
      </c>
      <c r="W334" s="82" t="s">
        <v>3395</v>
      </c>
      <c r="X334" s="82" t="s">
        <v>3394</v>
      </c>
      <c r="Y334" s="82" t="s">
        <v>3393</v>
      </c>
    </row>
    <row r="335" spans="1:25" ht="10.9" customHeight="1" x14ac:dyDescent="0.2">
      <c r="A335" s="82" t="s">
        <v>2587</v>
      </c>
      <c r="B335" s="82" t="s">
        <v>242</v>
      </c>
      <c r="C335" s="83">
        <v>45744</v>
      </c>
      <c r="D335" s="83">
        <v>45774</v>
      </c>
      <c r="E335" s="83">
        <v>45786</v>
      </c>
      <c r="F335" s="83">
        <v>45777</v>
      </c>
      <c r="G335" s="83">
        <v>45744</v>
      </c>
      <c r="H335" s="82" t="s">
        <v>1717</v>
      </c>
      <c r="I335" s="82" t="s">
        <v>22</v>
      </c>
      <c r="J335" s="84">
        <v>0</v>
      </c>
      <c r="K335" s="85">
        <v>2002.8</v>
      </c>
      <c r="L335" s="85">
        <v>2102.94</v>
      </c>
      <c r="M335" s="85">
        <v>100.14</v>
      </c>
      <c r="N335" s="85">
        <v>2102.94</v>
      </c>
      <c r="O335" s="85">
        <v>0</v>
      </c>
      <c r="P335" s="85">
        <v>2002.8</v>
      </c>
      <c r="Q335" s="85">
        <v>2102.94</v>
      </c>
      <c r="R335" s="85">
        <v>100.14</v>
      </c>
      <c r="S335" s="85">
        <v>2102.94</v>
      </c>
      <c r="T335" s="85">
        <v>0</v>
      </c>
      <c r="U335" s="82"/>
      <c r="V335" s="82" t="s">
        <v>3399</v>
      </c>
      <c r="W335" s="82" t="s">
        <v>3395</v>
      </c>
      <c r="X335" s="82" t="s">
        <v>3394</v>
      </c>
      <c r="Y335" s="82" t="s">
        <v>3393</v>
      </c>
    </row>
    <row r="336" spans="1:25" ht="10.9" customHeight="1" x14ac:dyDescent="0.2">
      <c r="A336" s="82" t="s">
        <v>2581</v>
      </c>
      <c r="B336" s="82" t="s">
        <v>47</v>
      </c>
      <c r="C336" s="83">
        <v>45744</v>
      </c>
      <c r="D336" s="83">
        <v>45774</v>
      </c>
      <c r="E336" s="83">
        <v>45793</v>
      </c>
      <c r="F336" s="83">
        <v>45793</v>
      </c>
      <c r="G336" s="83">
        <v>45744</v>
      </c>
      <c r="H336" s="82" t="s">
        <v>1729</v>
      </c>
      <c r="I336" s="82" t="s">
        <v>22</v>
      </c>
      <c r="J336" s="84">
        <v>0</v>
      </c>
      <c r="K336" s="85">
        <v>3197.94</v>
      </c>
      <c r="L336" s="85">
        <v>3613.67</v>
      </c>
      <c r="M336" s="85">
        <v>415.73</v>
      </c>
      <c r="N336" s="85">
        <v>3613.67</v>
      </c>
      <c r="O336" s="85">
        <v>0</v>
      </c>
      <c r="P336" s="85">
        <v>3197.94</v>
      </c>
      <c r="Q336" s="85">
        <v>3613.67</v>
      </c>
      <c r="R336" s="85">
        <v>415.73</v>
      </c>
      <c r="S336" s="85">
        <v>3613.67</v>
      </c>
      <c r="T336" s="85">
        <v>0</v>
      </c>
      <c r="U336" s="82"/>
      <c r="V336" s="82" t="s">
        <v>3399</v>
      </c>
      <c r="W336" s="82" t="s">
        <v>3395</v>
      </c>
      <c r="X336" s="82" t="s">
        <v>3394</v>
      </c>
      <c r="Y336" s="82" t="s">
        <v>3393</v>
      </c>
    </row>
    <row r="337" spans="1:25" ht="10.9" customHeight="1" x14ac:dyDescent="0.2">
      <c r="A337" s="82" t="s">
        <v>2483</v>
      </c>
      <c r="B337" s="82" t="s">
        <v>98</v>
      </c>
      <c r="C337" s="83">
        <v>45744</v>
      </c>
      <c r="D337" s="83">
        <v>45774</v>
      </c>
      <c r="E337" s="83">
        <v>45777</v>
      </c>
      <c r="F337" s="83">
        <v>45777</v>
      </c>
      <c r="G337" s="83">
        <v>45744</v>
      </c>
      <c r="H337" s="82" t="s">
        <v>1896</v>
      </c>
      <c r="I337" s="82" t="s">
        <v>22</v>
      </c>
      <c r="J337" s="84">
        <v>0</v>
      </c>
      <c r="K337" s="85">
        <v>296.05</v>
      </c>
      <c r="L337" s="85">
        <v>334.54</v>
      </c>
      <c r="M337" s="85">
        <v>38.49</v>
      </c>
      <c r="N337" s="85">
        <v>334.54</v>
      </c>
      <c r="O337" s="85">
        <v>0</v>
      </c>
      <c r="P337" s="85">
        <v>296.05</v>
      </c>
      <c r="Q337" s="85">
        <v>334.54</v>
      </c>
      <c r="R337" s="85">
        <v>38.49</v>
      </c>
      <c r="S337" s="85">
        <v>334.54</v>
      </c>
      <c r="T337" s="85">
        <v>0</v>
      </c>
      <c r="U337" s="82"/>
      <c r="V337" s="82" t="s">
        <v>3399</v>
      </c>
      <c r="W337" s="82" t="s">
        <v>3395</v>
      </c>
      <c r="X337" s="82" t="s">
        <v>3394</v>
      </c>
      <c r="Y337" s="82" t="s">
        <v>3393</v>
      </c>
    </row>
    <row r="338" spans="1:25" ht="10.9" customHeight="1" x14ac:dyDescent="0.2">
      <c r="A338" s="82" t="s">
        <v>2500</v>
      </c>
      <c r="B338" s="82" t="s">
        <v>98</v>
      </c>
      <c r="C338" s="83">
        <v>45744</v>
      </c>
      <c r="D338" s="83">
        <v>45774</v>
      </c>
      <c r="E338" s="83">
        <v>45777</v>
      </c>
      <c r="F338" s="83">
        <v>45777</v>
      </c>
      <c r="G338" s="83">
        <v>45744</v>
      </c>
      <c r="H338" s="82" t="s">
        <v>1864</v>
      </c>
      <c r="I338" s="82" t="s">
        <v>22</v>
      </c>
      <c r="J338" s="84">
        <v>0</v>
      </c>
      <c r="K338" s="85">
        <v>2175.21</v>
      </c>
      <c r="L338" s="85">
        <v>2457.98</v>
      </c>
      <c r="M338" s="85">
        <v>282.77</v>
      </c>
      <c r="N338" s="85">
        <v>2457.98</v>
      </c>
      <c r="O338" s="85">
        <v>0</v>
      </c>
      <c r="P338" s="85">
        <v>2175.21</v>
      </c>
      <c r="Q338" s="85">
        <v>2457.98</v>
      </c>
      <c r="R338" s="85">
        <v>282.77</v>
      </c>
      <c r="S338" s="85">
        <v>2457.98</v>
      </c>
      <c r="T338" s="85">
        <v>0</v>
      </c>
      <c r="U338" s="82"/>
      <c r="V338" s="82" t="s">
        <v>3399</v>
      </c>
      <c r="W338" s="82" t="s">
        <v>3395</v>
      </c>
      <c r="X338" s="82" t="s">
        <v>3394</v>
      </c>
      <c r="Y338" s="82" t="s">
        <v>3393</v>
      </c>
    </row>
    <row r="339" spans="1:25" ht="10.9" customHeight="1" x14ac:dyDescent="0.2">
      <c r="A339" s="82" t="s">
        <v>2537</v>
      </c>
      <c r="B339" s="82" t="s">
        <v>98</v>
      </c>
      <c r="C339" s="83">
        <v>45744</v>
      </c>
      <c r="D339" s="83">
        <v>45774</v>
      </c>
      <c r="E339" s="83">
        <v>45777</v>
      </c>
      <c r="F339" s="83">
        <v>45777</v>
      </c>
      <c r="G339" s="83">
        <v>45744</v>
      </c>
      <c r="H339" s="82" t="s">
        <v>1805</v>
      </c>
      <c r="I339" s="82" t="s">
        <v>22</v>
      </c>
      <c r="J339" s="84">
        <v>0</v>
      </c>
      <c r="K339" s="85">
        <v>4672.05</v>
      </c>
      <c r="L339" s="85">
        <v>5279.42</v>
      </c>
      <c r="M339" s="85">
        <v>607.37</v>
      </c>
      <c r="N339" s="85">
        <v>5279.42</v>
      </c>
      <c r="O339" s="85">
        <v>0</v>
      </c>
      <c r="P339" s="85">
        <v>4672.05</v>
      </c>
      <c r="Q339" s="85">
        <v>5279.42</v>
      </c>
      <c r="R339" s="85">
        <v>607.37</v>
      </c>
      <c r="S339" s="85">
        <v>5279.42</v>
      </c>
      <c r="T339" s="85">
        <v>0</v>
      </c>
      <c r="U339" s="82"/>
      <c r="V339" s="82" t="s">
        <v>3399</v>
      </c>
      <c r="W339" s="82" t="s">
        <v>3395</v>
      </c>
      <c r="X339" s="82" t="s">
        <v>3394</v>
      </c>
      <c r="Y339" s="82" t="s">
        <v>3393</v>
      </c>
    </row>
    <row r="340" spans="1:25" ht="10.9" customHeight="1" x14ac:dyDescent="0.2">
      <c r="A340" s="82" t="s">
        <v>2565</v>
      </c>
      <c r="B340" s="82" t="s">
        <v>98</v>
      </c>
      <c r="C340" s="83">
        <v>45744</v>
      </c>
      <c r="D340" s="83">
        <v>45774</v>
      </c>
      <c r="E340" s="83">
        <v>45777</v>
      </c>
      <c r="F340" s="83">
        <v>45777</v>
      </c>
      <c r="G340" s="83">
        <v>45744</v>
      </c>
      <c r="H340" s="82" t="s">
        <v>1756</v>
      </c>
      <c r="I340" s="82" t="s">
        <v>22</v>
      </c>
      <c r="J340" s="84">
        <v>0</v>
      </c>
      <c r="K340" s="85">
        <v>211.1</v>
      </c>
      <c r="L340" s="85">
        <v>238.54</v>
      </c>
      <c r="M340" s="85">
        <v>27.44</v>
      </c>
      <c r="N340" s="85">
        <v>238.54</v>
      </c>
      <c r="O340" s="85">
        <v>0</v>
      </c>
      <c r="P340" s="85">
        <v>211.1</v>
      </c>
      <c r="Q340" s="85">
        <v>238.54</v>
      </c>
      <c r="R340" s="85">
        <v>27.44</v>
      </c>
      <c r="S340" s="85">
        <v>238.54</v>
      </c>
      <c r="T340" s="85">
        <v>0</v>
      </c>
      <c r="U340" s="82"/>
      <c r="V340" s="82" t="s">
        <v>3399</v>
      </c>
      <c r="W340" s="82" t="s">
        <v>3395</v>
      </c>
      <c r="X340" s="82" t="s">
        <v>3394</v>
      </c>
      <c r="Y340" s="82" t="s">
        <v>3393</v>
      </c>
    </row>
    <row r="341" spans="1:25" ht="10.9" customHeight="1" x14ac:dyDescent="0.2">
      <c r="A341" s="82" t="s">
        <v>2549</v>
      </c>
      <c r="B341" s="82" t="s">
        <v>98</v>
      </c>
      <c r="C341" s="83">
        <v>45744</v>
      </c>
      <c r="D341" s="83">
        <v>45774</v>
      </c>
      <c r="E341" s="83">
        <v>45777</v>
      </c>
      <c r="F341" s="83">
        <v>45777</v>
      </c>
      <c r="G341" s="83">
        <v>45744</v>
      </c>
      <c r="H341" s="82" t="s">
        <v>1784</v>
      </c>
      <c r="I341" s="82" t="s">
        <v>22</v>
      </c>
      <c r="J341" s="84">
        <v>0</v>
      </c>
      <c r="K341" s="85">
        <v>2816.85</v>
      </c>
      <c r="L341" s="85">
        <v>3183.04</v>
      </c>
      <c r="M341" s="85">
        <v>366.19</v>
      </c>
      <c r="N341" s="85">
        <v>3183.04</v>
      </c>
      <c r="O341" s="85">
        <v>0</v>
      </c>
      <c r="P341" s="85">
        <v>2816.85</v>
      </c>
      <c r="Q341" s="85">
        <v>3183.04</v>
      </c>
      <c r="R341" s="85">
        <v>366.19</v>
      </c>
      <c r="S341" s="85">
        <v>3183.04</v>
      </c>
      <c r="T341" s="85">
        <v>0</v>
      </c>
      <c r="U341" s="82"/>
      <c r="V341" s="82" t="s">
        <v>3399</v>
      </c>
      <c r="W341" s="82" t="s">
        <v>3395</v>
      </c>
      <c r="X341" s="82" t="s">
        <v>3394</v>
      </c>
      <c r="Y341" s="82" t="s">
        <v>3393</v>
      </c>
    </row>
    <row r="342" spans="1:25" ht="10.9" customHeight="1" x14ac:dyDescent="0.2">
      <c r="A342" s="82" t="s">
        <v>2596</v>
      </c>
      <c r="B342" s="82" t="s">
        <v>39</v>
      </c>
      <c r="C342" s="83">
        <v>45744</v>
      </c>
      <c r="D342" s="83">
        <v>45774</v>
      </c>
      <c r="E342" s="83">
        <v>45800</v>
      </c>
      <c r="F342" s="83">
        <v>45800</v>
      </c>
      <c r="G342" s="83">
        <v>45744</v>
      </c>
      <c r="H342" s="82" t="s">
        <v>1702</v>
      </c>
      <c r="I342" s="82" t="s">
        <v>22</v>
      </c>
      <c r="J342" s="84">
        <v>0</v>
      </c>
      <c r="K342" s="85">
        <v>264.24</v>
      </c>
      <c r="L342" s="85">
        <v>277.45</v>
      </c>
      <c r="M342" s="85">
        <v>13.21</v>
      </c>
      <c r="N342" s="85">
        <v>277.45</v>
      </c>
      <c r="O342" s="85">
        <v>0</v>
      </c>
      <c r="P342" s="85">
        <v>264.24</v>
      </c>
      <c r="Q342" s="85">
        <v>277.45</v>
      </c>
      <c r="R342" s="85">
        <v>13.21</v>
      </c>
      <c r="S342" s="85">
        <v>277.45</v>
      </c>
      <c r="T342" s="85">
        <v>0</v>
      </c>
      <c r="U342" s="82"/>
      <c r="V342" s="82" t="s">
        <v>3399</v>
      </c>
      <c r="W342" s="82" t="s">
        <v>3395</v>
      </c>
      <c r="X342" s="82" t="s">
        <v>3394</v>
      </c>
      <c r="Y342" s="82" t="s">
        <v>3393</v>
      </c>
    </row>
    <row r="343" spans="1:25" ht="10.9" customHeight="1" x14ac:dyDescent="0.2">
      <c r="A343" s="82" t="s">
        <v>2595</v>
      </c>
      <c r="B343" s="82" t="s">
        <v>602</v>
      </c>
      <c r="C343" s="83">
        <v>45744</v>
      </c>
      <c r="D343" s="83">
        <v>45774</v>
      </c>
      <c r="E343" s="83">
        <v>45775</v>
      </c>
      <c r="F343" s="83">
        <v>45783</v>
      </c>
      <c r="G343" s="83">
        <v>45744</v>
      </c>
      <c r="H343" s="82" t="s">
        <v>1704</v>
      </c>
      <c r="I343" s="82" t="s">
        <v>22</v>
      </c>
      <c r="J343" s="84">
        <v>0</v>
      </c>
      <c r="K343" s="85">
        <v>546.22</v>
      </c>
      <c r="L343" s="85">
        <v>617.23</v>
      </c>
      <c r="M343" s="85">
        <v>71.010000000000005</v>
      </c>
      <c r="N343" s="85">
        <v>617.23</v>
      </c>
      <c r="O343" s="85">
        <v>0</v>
      </c>
      <c r="P343" s="85">
        <v>546.22</v>
      </c>
      <c r="Q343" s="85">
        <v>617.23</v>
      </c>
      <c r="R343" s="85">
        <v>71.010000000000005</v>
      </c>
      <c r="S343" s="85">
        <v>617.23</v>
      </c>
      <c r="T343" s="85">
        <v>0</v>
      </c>
      <c r="U343" s="82"/>
      <c r="V343" s="82" t="s">
        <v>3399</v>
      </c>
      <c r="W343" s="82" t="s">
        <v>3395</v>
      </c>
      <c r="X343" s="82" t="s">
        <v>3394</v>
      </c>
      <c r="Y343" s="82" t="s">
        <v>3393</v>
      </c>
    </row>
    <row r="344" spans="1:25" ht="10.9" customHeight="1" x14ac:dyDescent="0.2">
      <c r="A344" s="82" t="s">
        <v>3600</v>
      </c>
      <c r="B344" s="82" t="s">
        <v>581</v>
      </c>
      <c r="C344" s="83">
        <v>45747</v>
      </c>
      <c r="D344" s="83">
        <v>45777</v>
      </c>
      <c r="E344" s="83">
        <v>45786</v>
      </c>
      <c r="F344" s="83">
        <v>45778</v>
      </c>
      <c r="G344" s="83">
        <v>45747</v>
      </c>
      <c r="H344" s="82" t="s">
        <v>3599</v>
      </c>
      <c r="I344" s="82" t="s">
        <v>51</v>
      </c>
      <c r="J344" s="84">
        <v>0.69530899999999995</v>
      </c>
      <c r="K344" s="85">
        <v>4365.1499999999996</v>
      </c>
      <c r="L344" s="85">
        <v>4365.1499999999996</v>
      </c>
      <c r="M344" s="85">
        <v>0</v>
      </c>
      <c r="N344" s="85">
        <v>4365.1499999999996</v>
      </c>
      <c r="O344" s="85">
        <v>0</v>
      </c>
      <c r="P344" s="85">
        <v>6278.0001409445294</v>
      </c>
      <c r="Q344" s="85">
        <v>6278.0001409445294</v>
      </c>
      <c r="R344" s="85">
        <v>0</v>
      </c>
      <c r="S344" s="85">
        <v>6037.5267000000003</v>
      </c>
      <c r="T344" s="85">
        <v>0</v>
      </c>
      <c r="U344" s="82"/>
      <c r="V344" s="82" t="s">
        <v>3399</v>
      </c>
      <c r="W344" s="82" t="s">
        <v>3395</v>
      </c>
      <c r="X344" s="82" t="s">
        <v>3394</v>
      </c>
      <c r="Y344" s="82" t="s">
        <v>3393</v>
      </c>
    </row>
    <row r="345" spans="1:25" ht="10.9" customHeight="1" x14ac:dyDescent="0.2">
      <c r="A345" s="82" t="s">
        <v>2579</v>
      </c>
      <c r="B345" s="82" t="s">
        <v>70</v>
      </c>
      <c r="C345" s="83">
        <v>45747</v>
      </c>
      <c r="D345" s="83">
        <v>45807</v>
      </c>
      <c r="E345" s="83">
        <v>45838</v>
      </c>
      <c r="F345" s="83">
        <v>45843</v>
      </c>
      <c r="G345" s="83">
        <v>45748</v>
      </c>
      <c r="H345" s="82" t="s">
        <v>1733</v>
      </c>
      <c r="I345" s="82" t="s">
        <v>51</v>
      </c>
      <c r="J345" s="84">
        <v>0.69530899999999995</v>
      </c>
      <c r="K345" s="85">
        <v>11179</v>
      </c>
      <c r="L345" s="85">
        <v>11179</v>
      </c>
      <c r="M345" s="85">
        <v>0</v>
      </c>
      <c r="N345" s="85">
        <v>11179</v>
      </c>
      <c r="O345" s="85">
        <v>0</v>
      </c>
      <c r="P345" s="85">
        <v>16077.743852013997</v>
      </c>
      <c r="Q345" s="85">
        <v>16077.743852013997</v>
      </c>
      <c r="R345" s="85">
        <v>0</v>
      </c>
      <c r="S345" s="85">
        <v>15209.5857</v>
      </c>
      <c r="T345" s="85">
        <v>0</v>
      </c>
      <c r="U345" s="82"/>
      <c r="V345" s="82" t="s">
        <v>3399</v>
      </c>
      <c r="W345" s="82" t="s">
        <v>3395</v>
      </c>
      <c r="X345" s="82" t="s">
        <v>3394</v>
      </c>
      <c r="Y345" s="82" t="s">
        <v>3393</v>
      </c>
    </row>
    <row r="346" spans="1:25" ht="10.9" customHeight="1" x14ac:dyDescent="0.2">
      <c r="A346" s="82" t="s">
        <v>2509</v>
      </c>
      <c r="B346" s="82" t="s">
        <v>1852</v>
      </c>
      <c r="C346" s="83">
        <v>45748</v>
      </c>
      <c r="D346" s="83">
        <v>45748</v>
      </c>
      <c r="E346" s="83">
        <v>45748</v>
      </c>
      <c r="F346" s="83">
        <v>45748</v>
      </c>
      <c r="G346" s="83">
        <v>45748</v>
      </c>
      <c r="H346" s="82" t="s">
        <v>3598</v>
      </c>
      <c r="I346" s="82" t="s">
        <v>51</v>
      </c>
      <c r="J346" s="84">
        <v>0.69439600000000001</v>
      </c>
      <c r="K346" s="85">
        <v>3884.47</v>
      </c>
      <c r="L346" s="85">
        <v>3884.47</v>
      </c>
      <c r="M346" s="85">
        <v>0</v>
      </c>
      <c r="N346" s="85">
        <v>3884.47</v>
      </c>
      <c r="O346" s="85">
        <v>0</v>
      </c>
      <c r="P346" s="85">
        <v>5594.0270393262635</v>
      </c>
      <c r="Q346" s="85">
        <v>5594.0270393262635</v>
      </c>
      <c r="R346" s="85">
        <v>0</v>
      </c>
      <c r="S346" s="85">
        <v>5565.1992</v>
      </c>
      <c r="T346" s="85">
        <v>0</v>
      </c>
      <c r="U346" s="82"/>
      <c r="V346" s="82" t="s">
        <v>3399</v>
      </c>
      <c r="W346" s="82" t="s">
        <v>3395</v>
      </c>
      <c r="X346" s="82" t="s">
        <v>3397</v>
      </c>
      <c r="Y346" s="82" t="s">
        <v>3393</v>
      </c>
    </row>
    <row r="347" spans="1:25" ht="10.9" customHeight="1" x14ac:dyDescent="0.2">
      <c r="A347" s="82" t="s">
        <v>2539</v>
      </c>
      <c r="B347" s="82" t="s">
        <v>98</v>
      </c>
      <c r="C347" s="83">
        <v>45748</v>
      </c>
      <c r="D347" s="83">
        <v>45778</v>
      </c>
      <c r="E347" s="83">
        <v>45784</v>
      </c>
      <c r="F347" s="83">
        <v>45784</v>
      </c>
      <c r="G347" s="83">
        <v>45748</v>
      </c>
      <c r="H347" s="82" t="s">
        <v>1805</v>
      </c>
      <c r="I347" s="82" t="s">
        <v>22</v>
      </c>
      <c r="J347" s="84">
        <v>0</v>
      </c>
      <c r="K347" s="85">
        <v>2913.34</v>
      </c>
      <c r="L347" s="85">
        <v>3292.08</v>
      </c>
      <c r="M347" s="85">
        <v>378.74</v>
      </c>
      <c r="N347" s="85">
        <v>3292.08</v>
      </c>
      <c r="O347" s="85">
        <v>0</v>
      </c>
      <c r="P347" s="85">
        <v>2913.34</v>
      </c>
      <c r="Q347" s="85">
        <v>3292.08</v>
      </c>
      <c r="R347" s="85">
        <v>378.74</v>
      </c>
      <c r="S347" s="85">
        <v>3292.08</v>
      </c>
      <c r="T347" s="85">
        <v>0</v>
      </c>
      <c r="U347" s="82"/>
      <c r="V347" s="82" t="s">
        <v>3399</v>
      </c>
      <c r="W347" s="82" t="s">
        <v>3395</v>
      </c>
      <c r="X347" s="82" t="s">
        <v>3394</v>
      </c>
      <c r="Y347" s="82" t="s">
        <v>3393</v>
      </c>
    </row>
    <row r="348" spans="1:25" ht="10.9" customHeight="1" x14ac:dyDescent="0.2">
      <c r="A348" s="82" t="s">
        <v>2594</v>
      </c>
      <c r="B348" s="82" t="s">
        <v>98</v>
      </c>
      <c r="C348" s="83">
        <v>45748</v>
      </c>
      <c r="D348" s="83">
        <v>45778</v>
      </c>
      <c r="E348" s="83">
        <v>45784</v>
      </c>
      <c r="F348" s="83">
        <v>45784</v>
      </c>
      <c r="G348" s="83">
        <v>45748</v>
      </c>
      <c r="H348" s="82" t="s">
        <v>1707</v>
      </c>
      <c r="I348" s="82" t="s">
        <v>22</v>
      </c>
      <c r="J348" s="84">
        <v>0</v>
      </c>
      <c r="K348" s="85">
        <v>201.44</v>
      </c>
      <c r="L348" s="85">
        <v>227.63</v>
      </c>
      <c r="M348" s="85">
        <v>26.19</v>
      </c>
      <c r="N348" s="85">
        <v>227.63</v>
      </c>
      <c r="O348" s="85">
        <v>0</v>
      </c>
      <c r="P348" s="85">
        <v>201.44</v>
      </c>
      <c r="Q348" s="85">
        <v>227.63</v>
      </c>
      <c r="R348" s="85">
        <v>26.19</v>
      </c>
      <c r="S348" s="85">
        <v>227.63</v>
      </c>
      <c r="T348" s="85">
        <v>0</v>
      </c>
      <c r="U348" s="82"/>
      <c r="V348" s="82" t="s">
        <v>3399</v>
      </c>
      <c r="W348" s="82" t="s">
        <v>3395</v>
      </c>
      <c r="X348" s="82" t="s">
        <v>3394</v>
      </c>
      <c r="Y348" s="82" t="s">
        <v>3393</v>
      </c>
    </row>
    <row r="349" spans="1:25" ht="10.9" customHeight="1" x14ac:dyDescent="0.2">
      <c r="A349" s="82" t="s">
        <v>2598</v>
      </c>
      <c r="B349" s="82" t="s">
        <v>98</v>
      </c>
      <c r="C349" s="83">
        <v>45748</v>
      </c>
      <c r="D349" s="83">
        <v>45778</v>
      </c>
      <c r="E349" s="83">
        <v>45784</v>
      </c>
      <c r="F349" s="83">
        <v>45784</v>
      </c>
      <c r="G349" s="83">
        <v>45748</v>
      </c>
      <c r="H349" s="82" t="s">
        <v>1698</v>
      </c>
      <c r="I349" s="82" t="s">
        <v>22</v>
      </c>
      <c r="J349" s="84">
        <v>0</v>
      </c>
      <c r="K349" s="85">
        <v>5557.87</v>
      </c>
      <c r="L349" s="85">
        <v>6280.39</v>
      </c>
      <c r="M349" s="85">
        <v>722.52</v>
      </c>
      <c r="N349" s="85">
        <v>6280.39</v>
      </c>
      <c r="O349" s="85">
        <v>0</v>
      </c>
      <c r="P349" s="85">
        <v>5557.87</v>
      </c>
      <c r="Q349" s="85">
        <v>6280.39</v>
      </c>
      <c r="R349" s="85">
        <v>722.52</v>
      </c>
      <c r="S349" s="85">
        <v>6280.39</v>
      </c>
      <c r="T349" s="85">
        <v>0</v>
      </c>
      <c r="U349" s="82"/>
      <c r="V349" s="82" t="s">
        <v>3399</v>
      </c>
      <c r="W349" s="82" t="s">
        <v>3395</v>
      </c>
      <c r="X349" s="82" t="s">
        <v>3394</v>
      </c>
      <c r="Y349" s="82" t="s">
        <v>3393</v>
      </c>
    </row>
    <row r="350" spans="1:25" ht="10.9" customHeight="1" x14ac:dyDescent="0.2">
      <c r="A350" s="82" t="s">
        <v>2501</v>
      </c>
      <c r="B350" s="82" t="s">
        <v>98</v>
      </c>
      <c r="C350" s="83">
        <v>45748</v>
      </c>
      <c r="D350" s="83">
        <v>45778</v>
      </c>
      <c r="E350" s="83">
        <v>45784</v>
      </c>
      <c r="F350" s="83">
        <v>45784</v>
      </c>
      <c r="G350" s="83">
        <v>45748</v>
      </c>
      <c r="H350" s="82" t="s">
        <v>1864</v>
      </c>
      <c r="I350" s="82" t="s">
        <v>22</v>
      </c>
      <c r="J350" s="84">
        <v>0</v>
      </c>
      <c r="K350" s="85">
        <v>19.89</v>
      </c>
      <c r="L350" s="85">
        <v>22.48</v>
      </c>
      <c r="M350" s="85">
        <v>2.59</v>
      </c>
      <c r="N350" s="85">
        <v>22.48</v>
      </c>
      <c r="O350" s="85">
        <v>0</v>
      </c>
      <c r="P350" s="85">
        <v>19.89</v>
      </c>
      <c r="Q350" s="85">
        <v>22.48</v>
      </c>
      <c r="R350" s="85">
        <v>2.59</v>
      </c>
      <c r="S350" s="85">
        <v>22.48</v>
      </c>
      <c r="T350" s="85">
        <v>0</v>
      </c>
      <c r="U350" s="82"/>
      <c r="V350" s="82" t="s">
        <v>3399</v>
      </c>
      <c r="W350" s="82" t="s">
        <v>3395</v>
      </c>
      <c r="X350" s="82" t="s">
        <v>3394</v>
      </c>
      <c r="Y350" s="82" t="s">
        <v>3393</v>
      </c>
    </row>
    <row r="351" spans="1:25" ht="10.9" customHeight="1" x14ac:dyDescent="0.2">
      <c r="A351" s="82" t="s">
        <v>2607</v>
      </c>
      <c r="B351" s="82" t="s">
        <v>61</v>
      </c>
      <c r="C351" s="83">
        <v>45748</v>
      </c>
      <c r="D351" s="83">
        <v>45778</v>
      </c>
      <c r="E351" s="83">
        <v>45806</v>
      </c>
      <c r="F351" s="83">
        <v>45792</v>
      </c>
      <c r="G351" s="83">
        <v>45748</v>
      </c>
      <c r="H351" s="82" t="s">
        <v>1682</v>
      </c>
      <c r="I351" s="82" t="s">
        <v>51</v>
      </c>
      <c r="J351" s="84">
        <v>0.69919799999999999</v>
      </c>
      <c r="K351" s="85">
        <v>435.76</v>
      </c>
      <c r="L351" s="85">
        <v>435.76</v>
      </c>
      <c r="M351" s="85">
        <v>0</v>
      </c>
      <c r="N351" s="85">
        <v>435.76</v>
      </c>
      <c r="O351" s="85">
        <v>0</v>
      </c>
      <c r="P351" s="85">
        <v>623.22832731214896</v>
      </c>
      <c r="Q351" s="85">
        <v>623.22832731214896</v>
      </c>
      <c r="R351" s="85">
        <v>0</v>
      </c>
      <c r="S351" s="85">
        <v>607.74180000000001</v>
      </c>
      <c r="T351" s="85">
        <v>0</v>
      </c>
      <c r="U351" s="82"/>
      <c r="V351" s="82" t="s">
        <v>3399</v>
      </c>
      <c r="W351" s="82" t="s">
        <v>3395</v>
      </c>
      <c r="X351" s="82" t="s">
        <v>3394</v>
      </c>
      <c r="Y351" s="82" t="s">
        <v>3393</v>
      </c>
    </row>
    <row r="352" spans="1:25" ht="10.9" customHeight="1" x14ac:dyDescent="0.2">
      <c r="A352" s="82" t="s">
        <v>2599</v>
      </c>
      <c r="B352" s="82" t="s">
        <v>20</v>
      </c>
      <c r="C352" s="83">
        <v>45748</v>
      </c>
      <c r="D352" s="83">
        <v>45808</v>
      </c>
      <c r="E352" s="83">
        <v>45810</v>
      </c>
      <c r="F352" s="83">
        <v>45807</v>
      </c>
      <c r="G352" s="83">
        <v>45748</v>
      </c>
      <c r="H352" s="82" t="s">
        <v>1696</v>
      </c>
      <c r="I352" s="82" t="s">
        <v>22</v>
      </c>
      <c r="J352" s="84">
        <v>0</v>
      </c>
      <c r="K352" s="85">
        <v>301.76</v>
      </c>
      <c r="L352" s="85">
        <v>316.85000000000002</v>
      </c>
      <c r="M352" s="85">
        <v>15.09</v>
      </c>
      <c r="N352" s="85">
        <v>316.85000000000002</v>
      </c>
      <c r="O352" s="85">
        <v>0</v>
      </c>
      <c r="P352" s="85">
        <v>301.76</v>
      </c>
      <c r="Q352" s="85">
        <v>316.85000000000002</v>
      </c>
      <c r="R352" s="85">
        <v>15.09</v>
      </c>
      <c r="S352" s="85">
        <v>316.85000000000002</v>
      </c>
      <c r="T352" s="85">
        <v>0</v>
      </c>
      <c r="U352" s="82"/>
      <c r="V352" s="82" t="s">
        <v>3399</v>
      </c>
      <c r="W352" s="82" t="s">
        <v>3395</v>
      </c>
      <c r="X352" s="82" t="s">
        <v>3394</v>
      </c>
      <c r="Y352" s="82" t="s">
        <v>3393</v>
      </c>
    </row>
    <row r="353" spans="1:25" ht="10.9" customHeight="1" x14ac:dyDescent="0.2">
      <c r="A353" s="82" t="s">
        <v>2602</v>
      </c>
      <c r="B353" s="82" t="s">
        <v>509</v>
      </c>
      <c r="C353" s="83">
        <v>45748</v>
      </c>
      <c r="D353" s="83">
        <v>45778</v>
      </c>
      <c r="E353" s="83">
        <v>45786</v>
      </c>
      <c r="F353" s="83">
        <v>45785</v>
      </c>
      <c r="G353" s="83">
        <v>45748</v>
      </c>
      <c r="H353" s="82" t="s">
        <v>1690</v>
      </c>
      <c r="I353" s="82" t="s">
        <v>22</v>
      </c>
      <c r="J353" s="84">
        <v>0</v>
      </c>
      <c r="K353" s="85">
        <v>861.07</v>
      </c>
      <c r="L353" s="85">
        <v>904.12</v>
      </c>
      <c r="M353" s="85">
        <v>43.05</v>
      </c>
      <c r="N353" s="85">
        <v>904.12</v>
      </c>
      <c r="O353" s="85">
        <v>0</v>
      </c>
      <c r="P353" s="85">
        <v>861.07</v>
      </c>
      <c r="Q353" s="85">
        <v>904.12</v>
      </c>
      <c r="R353" s="85">
        <v>43.05</v>
      </c>
      <c r="S353" s="85">
        <v>904.12</v>
      </c>
      <c r="T353" s="85">
        <v>0</v>
      </c>
      <c r="U353" s="82"/>
      <c r="V353" s="82" t="s">
        <v>3399</v>
      </c>
      <c r="W353" s="82" t="s">
        <v>3395</v>
      </c>
      <c r="X353" s="82" t="s">
        <v>3394</v>
      </c>
      <c r="Y353" s="82" t="s">
        <v>3393</v>
      </c>
    </row>
    <row r="354" spans="1:25" ht="10.9" customHeight="1" x14ac:dyDescent="0.2">
      <c r="A354" s="82" t="s">
        <v>2516</v>
      </c>
      <c r="B354" s="82" t="s">
        <v>3464</v>
      </c>
      <c r="C354" s="83">
        <v>45749</v>
      </c>
      <c r="D354" s="83">
        <v>45749</v>
      </c>
      <c r="E354" s="83">
        <v>45749</v>
      </c>
      <c r="F354" s="83">
        <v>45736</v>
      </c>
      <c r="G354" s="83">
        <v>45749</v>
      </c>
      <c r="H354" s="82" t="s">
        <v>1841</v>
      </c>
      <c r="I354" s="82" t="s">
        <v>51</v>
      </c>
      <c r="J354" s="84">
        <v>0.70220300000000002</v>
      </c>
      <c r="K354" s="85">
        <v>7400</v>
      </c>
      <c r="L354" s="85">
        <v>7400</v>
      </c>
      <c r="M354" s="85">
        <v>0</v>
      </c>
      <c r="N354" s="85">
        <v>7400</v>
      </c>
      <c r="O354" s="85">
        <v>0</v>
      </c>
      <c r="P354" s="85">
        <v>10538.263151823618</v>
      </c>
      <c r="Q354" s="85">
        <v>10538.263151823618</v>
      </c>
      <c r="R354" s="85">
        <v>0</v>
      </c>
      <c r="S354" s="85">
        <v>10597.028</v>
      </c>
      <c r="T354" s="85">
        <v>0</v>
      </c>
      <c r="U354" s="82"/>
      <c r="V354" s="82" t="s">
        <v>3399</v>
      </c>
      <c r="W354" s="82" t="s">
        <v>3395</v>
      </c>
      <c r="X354" s="82" t="s">
        <v>3397</v>
      </c>
      <c r="Y354" s="82" t="s">
        <v>3393</v>
      </c>
    </row>
    <row r="355" spans="1:25" ht="10.9" customHeight="1" x14ac:dyDescent="0.2">
      <c r="A355" s="82" t="s">
        <v>2613</v>
      </c>
      <c r="B355" s="82" t="s">
        <v>77</v>
      </c>
      <c r="C355" s="83">
        <v>45749</v>
      </c>
      <c r="D355" s="83">
        <v>45779</v>
      </c>
      <c r="E355" s="83">
        <v>45800</v>
      </c>
      <c r="F355" s="83">
        <v>45826</v>
      </c>
      <c r="G355" s="83">
        <v>45790</v>
      </c>
      <c r="H355" s="82" t="s">
        <v>1672</v>
      </c>
      <c r="I355" s="82" t="s">
        <v>22</v>
      </c>
      <c r="J355" s="84">
        <v>0</v>
      </c>
      <c r="K355" s="85">
        <v>2041.05</v>
      </c>
      <c r="L355" s="85">
        <v>2143.1</v>
      </c>
      <c r="M355" s="85">
        <v>102.05</v>
      </c>
      <c r="N355" s="85">
        <v>2143.1</v>
      </c>
      <c r="O355" s="85">
        <v>0</v>
      </c>
      <c r="P355" s="85">
        <v>2041.05</v>
      </c>
      <c r="Q355" s="85">
        <v>2143.1</v>
      </c>
      <c r="R355" s="85">
        <v>102.05</v>
      </c>
      <c r="S355" s="85">
        <v>2143.1</v>
      </c>
      <c r="T355" s="85">
        <v>0</v>
      </c>
      <c r="U355" s="82"/>
      <c r="V355" s="82" t="s">
        <v>3399</v>
      </c>
      <c r="W355" s="82" t="s">
        <v>3395</v>
      </c>
      <c r="X355" s="82" t="s">
        <v>3394</v>
      </c>
      <c r="Y355" s="82" t="s">
        <v>3393</v>
      </c>
    </row>
    <row r="356" spans="1:25" ht="10.9" customHeight="1" x14ac:dyDescent="0.2">
      <c r="A356" s="82" t="s">
        <v>2611</v>
      </c>
      <c r="B356" s="82" t="s">
        <v>26</v>
      </c>
      <c r="C356" s="83">
        <v>45749</v>
      </c>
      <c r="D356" s="83">
        <v>45809</v>
      </c>
      <c r="E356" s="83">
        <v>45810</v>
      </c>
      <c r="F356" s="83">
        <v>45807</v>
      </c>
      <c r="G356" s="83">
        <v>45790</v>
      </c>
      <c r="H356" s="82" t="s">
        <v>1676</v>
      </c>
      <c r="I356" s="82" t="s">
        <v>22</v>
      </c>
      <c r="J356" s="84">
        <v>0</v>
      </c>
      <c r="K356" s="85">
        <v>1037.54</v>
      </c>
      <c r="L356" s="85">
        <v>1089.42</v>
      </c>
      <c r="M356" s="85">
        <v>51.88</v>
      </c>
      <c r="N356" s="85">
        <v>1089.42</v>
      </c>
      <c r="O356" s="85">
        <v>0</v>
      </c>
      <c r="P356" s="85">
        <v>1037.54</v>
      </c>
      <c r="Q356" s="85">
        <v>1089.42</v>
      </c>
      <c r="R356" s="85">
        <v>51.88</v>
      </c>
      <c r="S356" s="85">
        <v>1089.42</v>
      </c>
      <c r="T356" s="85">
        <v>0</v>
      </c>
      <c r="U356" s="82"/>
      <c r="V356" s="82" t="s">
        <v>3399</v>
      </c>
      <c r="W356" s="82" t="s">
        <v>3395</v>
      </c>
      <c r="X356" s="82" t="s">
        <v>3394</v>
      </c>
      <c r="Y356" s="82" t="s">
        <v>3393</v>
      </c>
    </row>
    <row r="357" spans="1:25" ht="10.9" customHeight="1" x14ac:dyDescent="0.2">
      <c r="A357" s="82" t="s">
        <v>2600</v>
      </c>
      <c r="B357" s="82" t="s">
        <v>77</v>
      </c>
      <c r="C357" s="83">
        <v>45749</v>
      </c>
      <c r="D357" s="83">
        <v>45779</v>
      </c>
      <c r="E357" s="83">
        <v>45800</v>
      </c>
      <c r="F357" s="83">
        <v>45826</v>
      </c>
      <c r="G357" s="83">
        <v>45790</v>
      </c>
      <c r="H357" s="82" t="s">
        <v>1694</v>
      </c>
      <c r="I357" s="82" t="s">
        <v>22</v>
      </c>
      <c r="J357" s="84">
        <v>0</v>
      </c>
      <c r="K357" s="85">
        <v>270.35000000000002</v>
      </c>
      <c r="L357" s="85">
        <v>283.87</v>
      </c>
      <c r="M357" s="85">
        <v>13.52</v>
      </c>
      <c r="N357" s="85">
        <v>283.87</v>
      </c>
      <c r="O357" s="85">
        <v>0</v>
      </c>
      <c r="P357" s="85">
        <v>270.35000000000002</v>
      </c>
      <c r="Q357" s="85">
        <v>283.87</v>
      </c>
      <c r="R357" s="85">
        <v>13.52</v>
      </c>
      <c r="S357" s="85">
        <v>283.87</v>
      </c>
      <c r="T357" s="85">
        <v>0</v>
      </c>
      <c r="U357" s="82"/>
      <c r="V357" s="82" t="s">
        <v>3399</v>
      </c>
      <c r="W357" s="82" t="s">
        <v>3395</v>
      </c>
      <c r="X357" s="82" t="s">
        <v>3394</v>
      </c>
      <c r="Y357" s="82" t="s">
        <v>3393</v>
      </c>
    </row>
    <row r="358" spans="1:25" ht="10.9" customHeight="1" x14ac:dyDescent="0.2">
      <c r="A358" s="82" t="s">
        <v>2397</v>
      </c>
      <c r="B358" s="82" t="s">
        <v>54</v>
      </c>
      <c r="C358" s="83">
        <v>45749</v>
      </c>
      <c r="D358" s="83">
        <v>45779</v>
      </c>
      <c r="E358" s="83">
        <v>45800</v>
      </c>
      <c r="F358" s="83">
        <v>45799</v>
      </c>
      <c r="G358" s="83">
        <v>45790</v>
      </c>
      <c r="H358" s="82" t="s">
        <v>2045</v>
      </c>
      <c r="I358" s="82" t="s">
        <v>22</v>
      </c>
      <c r="J358" s="84">
        <v>0</v>
      </c>
      <c r="K358" s="85">
        <v>3356.2</v>
      </c>
      <c r="L358" s="85">
        <v>3524.01</v>
      </c>
      <c r="M358" s="85">
        <v>167.81</v>
      </c>
      <c r="N358" s="85">
        <v>3524.01</v>
      </c>
      <c r="O358" s="85">
        <v>0</v>
      </c>
      <c r="P358" s="85">
        <v>3356.2</v>
      </c>
      <c r="Q358" s="85">
        <v>3524.01</v>
      </c>
      <c r="R358" s="85">
        <v>167.81</v>
      </c>
      <c r="S358" s="85">
        <v>3524.01</v>
      </c>
      <c r="T358" s="85">
        <v>0</v>
      </c>
      <c r="U358" s="82"/>
      <c r="V358" s="82" t="s">
        <v>3399</v>
      </c>
      <c r="W358" s="82" t="s">
        <v>3395</v>
      </c>
      <c r="X358" s="82" t="s">
        <v>3394</v>
      </c>
      <c r="Y358" s="82" t="s">
        <v>3393</v>
      </c>
    </row>
    <row r="359" spans="1:25" ht="10.9" customHeight="1" x14ac:dyDescent="0.2">
      <c r="A359" s="82"/>
      <c r="B359" s="82" t="s">
        <v>1670</v>
      </c>
      <c r="C359" s="83">
        <v>45749</v>
      </c>
      <c r="D359" s="83">
        <v>45749</v>
      </c>
      <c r="E359" s="83">
        <v>45749</v>
      </c>
      <c r="F359" s="83">
        <v>45770</v>
      </c>
      <c r="G359" s="83">
        <v>45754</v>
      </c>
      <c r="H359" s="82" t="s">
        <v>1668</v>
      </c>
      <c r="I359" s="82" t="s">
        <v>22</v>
      </c>
      <c r="J359" s="84">
        <v>0</v>
      </c>
      <c r="K359" s="85">
        <v>-1722.58</v>
      </c>
      <c r="L359" s="85">
        <v>-1722.58</v>
      </c>
      <c r="M359" s="85">
        <v>0</v>
      </c>
      <c r="N359" s="85">
        <v>-1722.58</v>
      </c>
      <c r="O359" s="85">
        <v>0</v>
      </c>
      <c r="P359" s="85">
        <v>-1722.58</v>
      </c>
      <c r="Q359" s="85">
        <v>-1722.58</v>
      </c>
      <c r="R359" s="85">
        <v>0</v>
      </c>
      <c r="S359" s="85">
        <v>-1722.58</v>
      </c>
      <c r="T359" s="85">
        <v>0</v>
      </c>
      <c r="U359" s="82"/>
      <c r="V359" s="82" t="s">
        <v>3399</v>
      </c>
      <c r="W359" s="82" t="s">
        <v>3423</v>
      </c>
      <c r="X359" s="82" t="s">
        <v>3397</v>
      </c>
      <c r="Y359" s="82"/>
    </row>
    <row r="360" spans="1:25" ht="10.9" customHeight="1" x14ac:dyDescent="0.2">
      <c r="A360" s="82"/>
      <c r="B360" s="82" t="s">
        <v>149</v>
      </c>
      <c r="C360" s="83">
        <v>45749</v>
      </c>
      <c r="D360" s="83">
        <v>45749</v>
      </c>
      <c r="E360" s="83">
        <v>45749</v>
      </c>
      <c r="F360" s="83">
        <v>45833</v>
      </c>
      <c r="G360" s="83">
        <v>45754</v>
      </c>
      <c r="H360" s="82" t="s">
        <v>1664</v>
      </c>
      <c r="I360" s="82" t="s">
        <v>51</v>
      </c>
      <c r="J360" s="84">
        <v>0.70220300000000002</v>
      </c>
      <c r="K360" s="85">
        <v>-3974.89</v>
      </c>
      <c r="L360" s="85">
        <v>-3974.89</v>
      </c>
      <c r="M360" s="85">
        <v>0</v>
      </c>
      <c r="N360" s="85">
        <v>-3974.89</v>
      </c>
      <c r="O360" s="85">
        <v>0</v>
      </c>
      <c r="P360" s="85">
        <v>-5660.5995702097543</v>
      </c>
      <c r="Q360" s="85">
        <v>-5660.5995702097543</v>
      </c>
      <c r="R360" s="85">
        <v>0</v>
      </c>
      <c r="S360" s="85">
        <v>-5660.5995999999996</v>
      </c>
      <c r="T360" s="85">
        <v>0</v>
      </c>
      <c r="U360" s="82"/>
      <c r="V360" s="82" t="s">
        <v>3399</v>
      </c>
      <c r="W360" s="82" t="s">
        <v>3423</v>
      </c>
      <c r="X360" s="82" t="s">
        <v>3397</v>
      </c>
      <c r="Y360" s="82"/>
    </row>
    <row r="361" spans="1:25" ht="10.9" customHeight="1" x14ac:dyDescent="0.2">
      <c r="A361" s="82" t="s">
        <v>2313</v>
      </c>
      <c r="B361" s="82" t="s">
        <v>146</v>
      </c>
      <c r="C361" s="83">
        <v>45750</v>
      </c>
      <c r="D361" s="83">
        <v>45780</v>
      </c>
      <c r="E361" s="83">
        <v>45800</v>
      </c>
      <c r="F361" s="83">
        <v>45797</v>
      </c>
      <c r="G361" s="83">
        <v>45750</v>
      </c>
      <c r="H361" s="82" t="s">
        <v>2186</v>
      </c>
      <c r="I361" s="82" t="s">
        <v>22</v>
      </c>
      <c r="J361" s="84">
        <v>0</v>
      </c>
      <c r="K361" s="85">
        <v>4839.1099999999997</v>
      </c>
      <c r="L361" s="85">
        <v>5081.07</v>
      </c>
      <c r="M361" s="85">
        <v>241.96</v>
      </c>
      <c r="N361" s="85">
        <v>5081.07</v>
      </c>
      <c r="O361" s="85">
        <v>0</v>
      </c>
      <c r="P361" s="85">
        <v>4839.1099999999997</v>
      </c>
      <c r="Q361" s="85">
        <v>5081.07</v>
      </c>
      <c r="R361" s="85">
        <v>241.96</v>
      </c>
      <c r="S361" s="85">
        <v>5081.07</v>
      </c>
      <c r="T361" s="85">
        <v>0</v>
      </c>
      <c r="U361" s="82"/>
      <c r="V361" s="82" t="s">
        <v>3399</v>
      </c>
      <c r="W361" s="82" t="s">
        <v>3395</v>
      </c>
      <c r="X361" s="82" t="s">
        <v>3394</v>
      </c>
      <c r="Y361" s="82" t="s">
        <v>3393</v>
      </c>
    </row>
    <row r="362" spans="1:25" ht="10.9" customHeight="1" x14ac:dyDescent="0.2">
      <c r="A362" s="82" t="s">
        <v>2604</v>
      </c>
      <c r="B362" s="82" t="s">
        <v>20</v>
      </c>
      <c r="C362" s="83">
        <v>45750</v>
      </c>
      <c r="D362" s="83">
        <v>45810</v>
      </c>
      <c r="E362" s="83">
        <v>45810</v>
      </c>
      <c r="F362" s="83">
        <v>45810</v>
      </c>
      <c r="G362" s="83">
        <v>45750</v>
      </c>
      <c r="H362" s="82" t="s">
        <v>1686</v>
      </c>
      <c r="I362" s="82" t="s">
        <v>22</v>
      </c>
      <c r="J362" s="84">
        <v>0</v>
      </c>
      <c r="K362" s="85">
        <v>2306.88</v>
      </c>
      <c r="L362" s="85">
        <v>2422.23</v>
      </c>
      <c r="M362" s="85">
        <v>115.35</v>
      </c>
      <c r="N362" s="85">
        <v>2422.23</v>
      </c>
      <c r="O362" s="85">
        <v>0</v>
      </c>
      <c r="P362" s="85">
        <v>2306.88</v>
      </c>
      <c r="Q362" s="85">
        <v>2422.23</v>
      </c>
      <c r="R362" s="85">
        <v>115.35</v>
      </c>
      <c r="S362" s="85">
        <v>2422.23</v>
      </c>
      <c r="T362" s="85">
        <v>0</v>
      </c>
      <c r="U362" s="82"/>
      <c r="V362" s="82" t="s">
        <v>3399</v>
      </c>
      <c r="W362" s="82" t="s">
        <v>3395</v>
      </c>
      <c r="X362" s="82" t="s">
        <v>3394</v>
      </c>
      <c r="Y362" s="82" t="s">
        <v>3393</v>
      </c>
    </row>
    <row r="363" spans="1:25" ht="10.9" customHeight="1" x14ac:dyDescent="0.2">
      <c r="A363" s="82" t="s">
        <v>2560</v>
      </c>
      <c r="B363" s="82" t="s">
        <v>3412</v>
      </c>
      <c r="C363" s="83">
        <v>45750</v>
      </c>
      <c r="D363" s="83">
        <v>45795</v>
      </c>
      <c r="E363" s="83">
        <v>45797</v>
      </c>
      <c r="F363" s="83">
        <v>45793</v>
      </c>
      <c r="G363" s="83">
        <v>45750</v>
      </c>
      <c r="H363" s="82" t="s">
        <v>1762</v>
      </c>
      <c r="I363" s="82" t="s">
        <v>22</v>
      </c>
      <c r="J363" s="84">
        <v>0</v>
      </c>
      <c r="K363" s="85">
        <v>1623.8</v>
      </c>
      <c r="L363" s="85">
        <v>1704.99</v>
      </c>
      <c r="M363" s="85">
        <v>81.19</v>
      </c>
      <c r="N363" s="85">
        <v>1704.99</v>
      </c>
      <c r="O363" s="85">
        <v>0</v>
      </c>
      <c r="P363" s="85">
        <v>1623.8</v>
      </c>
      <c r="Q363" s="85">
        <v>1704.99</v>
      </c>
      <c r="R363" s="85">
        <v>81.19</v>
      </c>
      <c r="S363" s="85">
        <v>1704.99</v>
      </c>
      <c r="T363" s="85">
        <v>0</v>
      </c>
      <c r="U363" s="82"/>
      <c r="V363" s="82" t="s">
        <v>3399</v>
      </c>
      <c r="W363" s="82" t="s">
        <v>3395</v>
      </c>
      <c r="X363" s="82" t="s">
        <v>3394</v>
      </c>
      <c r="Y363" s="82" t="s">
        <v>3393</v>
      </c>
    </row>
    <row r="364" spans="1:25" ht="10.9" customHeight="1" x14ac:dyDescent="0.2">
      <c r="A364" s="82" t="s">
        <v>2591</v>
      </c>
      <c r="B364" s="82" t="s">
        <v>77</v>
      </c>
      <c r="C364" s="83">
        <v>45750</v>
      </c>
      <c r="D364" s="83">
        <v>45780</v>
      </c>
      <c r="E364" s="83">
        <v>45800</v>
      </c>
      <c r="F364" s="83">
        <v>45790</v>
      </c>
      <c r="G364" s="83">
        <v>45750</v>
      </c>
      <c r="H364" s="82" t="s">
        <v>1711</v>
      </c>
      <c r="I364" s="82" t="s">
        <v>22</v>
      </c>
      <c r="J364" s="84">
        <v>0</v>
      </c>
      <c r="K364" s="85">
        <v>2155.7800000000002</v>
      </c>
      <c r="L364" s="85">
        <v>2263.5700000000002</v>
      </c>
      <c r="M364" s="85">
        <v>107.79</v>
      </c>
      <c r="N364" s="85">
        <v>2263.5700000000002</v>
      </c>
      <c r="O364" s="85">
        <v>0</v>
      </c>
      <c r="P364" s="85">
        <v>2155.7800000000002</v>
      </c>
      <c r="Q364" s="85">
        <v>2263.5700000000002</v>
      </c>
      <c r="R364" s="85">
        <v>107.79</v>
      </c>
      <c r="S364" s="85">
        <v>2263.5700000000002</v>
      </c>
      <c r="T364" s="85">
        <v>0</v>
      </c>
      <c r="U364" s="82"/>
      <c r="V364" s="82" t="s">
        <v>3399</v>
      </c>
      <c r="W364" s="82" t="s">
        <v>3395</v>
      </c>
      <c r="X364" s="82" t="s">
        <v>3394</v>
      </c>
      <c r="Y364" s="82" t="s">
        <v>3393</v>
      </c>
    </row>
    <row r="365" spans="1:25" ht="10.9" customHeight="1" x14ac:dyDescent="0.2">
      <c r="A365" s="82" t="s">
        <v>2612</v>
      </c>
      <c r="B365" s="82" t="s">
        <v>47</v>
      </c>
      <c r="C365" s="83">
        <v>45750</v>
      </c>
      <c r="D365" s="83">
        <v>45780</v>
      </c>
      <c r="E365" s="83">
        <v>45800</v>
      </c>
      <c r="F365" s="83">
        <v>45806</v>
      </c>
      <c r="G365" s="83">
        <v>45750</v>
      </c>
      <c r="H365" s="82" t="s">
        <v>1674</v>
      </c>
      <c r="I365" s="82" t="s">
        <v>22</v>
      </c>
      <c r="J365" s="84">
        <v>0</v>
      </c>
      <c r="K365" s="85">
        <v>1904.9</v>
      </c>
      <c r="L365" s="85">
        <v>2152.54</v>
      </c>
      <c r="M365" s="85">
        <v>247.64</v>
      </c>
      <c r="N365" s="85">
        <v>2152.54</v>
      </c>
      <c r="O365" s="85">
        <v>0</v>
      </c>
      <c r="P365" s="85">
        <v>1904.9</v>
      </c>
      <c r="Q365" s="85">
        <v>2152.54</v>
      </c>
      <c r="R365" s="85">
        <v>247.64</v>
      </c>
      <c r="S365" s="85">
        <v>2152.54</v>
      </c>
      <c r="T365" s="85">
        <v>0</v>
      </c>
      <c r="U365" s="82"/>
      <c r="V365" s="82" t="s">
        <v>3399</v>
      </c>
      <c r="W365" s="82" t="s">
        <v>3395</v>
      </c>
      <c r="X365" s="82" t="s">
        <v>3394</v>
      </c>
      <c r="Y365" s="82" t="s">
        <v>3393</v>
      </c>
    </row>
    <row r="366" spans="1:25" ht="10.9" customHeight="1" x14ac:dyDescent="0.2">
      <c r="A366" s="82" t="s">
        <v>3597</v>
      </c>
      <c r="B366" s="82" t="s">
        <v>229</v>
      </c>
      <c r="C366" s="83">
        <v>45750</v>
      </c>
      <c r="D366" s="83">
        <v>45780</v>
      </c>
      <c r="E366" s="83">
        <v>45793</v>
      </c>
      <c r="F366" s="83">
        <v>45784</v>
      </c>
      <c r="G366" s="83">
        <v>45750</v>
      </c>
      <c r="H366" s="82" t="s">
        <v>3596</v>
      </c>
      <c r="I366" s="82" t="s">
        <v>22</v>
      </c>
      <c r="J366" s="84">
        <v>0</v>
      </c>
      <c r="K366" s="85">
        <v>479.88</v>
      </c>
      <c r="L366" s="85">
        <v>503.87</v>
      </c>
      <c r="M366" s="85">
        <v>23.99</v>
      </c>
      <c r="N366" s="85">
        <v>503.87</v>
      </c>
      <c r="O366" s="85">
        <v>0</v>
      </c>
      <c r="P366" s="85">
        <v>479.88</v>
      </c>
      <c r="Q366" s="85">
        <v>503.87</v>
      </c>
      <c r="R366" s="85">
        <v>23.99</v>
      </c>
      <c r="S366" s="85">
        <v>503.87</v>
      </c>
      <c r="T366" s="85">
        <v>0</v>
      </c>
      <c r="U366" s="82"/>
      <c r="V366" s="82" t="s">
        <v>3399</v>
      </c>
      <c r="W366" s="82" t="s">
        <v>3395</v>
      </c>
      <c r="X366" s="82" t="s">
        <v>3394</v>
      </c>
      <c r="Y366" s="82" t="s">
        <v>3393</v>
      </c>
    </row>
    <row r="367" spans="1:25" ht="10.9" customHeight="1" x14ac:dyDescent="0.2">
      <c r="A367" s="82" t="s">
        <v>2514</v>
      </c>
      <c r="B367" s="82" t="s">
        <v>229</v>
      </c>
      <c r="C367" s="83">
        <v>45750</v>
      </c>
      <c r="D367" s="83">
        <v>45780</v>
      </c>
      <c r="E367" s="83">
        <v>45793</v>
      </c>
      <c r="F367" s="83">
        <v>45784</v>
      </c>
      <c r="G367" s="83">
        <v>45750</v>
      </c>
      <c r="H367" s="82" t="s">
        <v>1843</v>
      </c>
      <c r="I367" s="82" t="s">
        <v>22</v>
      </c>
      <c r="J367" s="84">
        <v>0</v>
      </c>
      <c r="K367" s="85">
        <v>1496.26</v>
      </c>
      <c r="L367" s="85">
        <v>1571.07</v>
      </c>
      <c r="M367" s="85">
        <v>74.81</v>
      </c>
      <c r="N367" s="85">
        <v>1571.07</v>
      </c>
      <c r="O367" s="85">
        <v>0</v>
      </c>
      <c r="P367" s="85">
        <v>1496.26</v>
      </c>
      <c r="Q367" s="85">
        <v>1571.07</v>
      </c>
      <c r="R367" s="85">
        <v>74.81</v>
      </c>
      <c r="S367" s="85">
        <v>1571.07</v>
      </c>
      <c r="T367" s="85">
        <v>0</v>
      </c>
      <c r="U367" s="82"/>
      <c r="V367" s="82" t="s">
        <v>3399</v>
      </c>
      <c r="W367" s="82" t="s">
        <v>3395</v>
      </c>
      <c r="X367" s="82" t="s">
        <v>3394</v>
      </c>
      <c r="Y367" s="82" t="s">
        <v>3393</v>
      </c>
    </row>
    <row r="368" spans="1:25" ht="10.9" customHeight="1" x14ac:dyDescent="0.2">
      <c r="A368" s="82" t="s">
        <v>2623</v>
      </c>
      <c r="B368" s="82" t="s">
        <v>39</v>
      </c>
      <c r="C368" s="83">
        <v>45750</v>
      </c>
      <c r="D368" s="83">
        <v>45780</v>
      </c>
      <c r="E368" s="83">
        <v>45782</v>
      </c>
      <c r="F368" s="83">
        <v>45779</v>
      </c>
      <c r="G368" s="83">
        <v>45751</v>
      </c>
      <c r="H368" s="82" t="s">
        <v>1656</v>
      </c>
      <c r="I368" s="82" t="s">
        <v>22</v>
      </c>
      <c r="J368" s="84">
        <v>0</v>
      </c>
      <c r="K368" s="85">
        <v>1027.3399999999999</v>
      </c>
      <c r="L368" s="85">
        <v>1078.71</v>
      </c>
      <c r="M368" s="85">
        <v>51.37</v>
      </c>
      <c r="N368" s="85">
        <v>1078.71</v>
      </c>
      <c r="O368" s="85">
        <v>0</v>
      </c>
      <c r="P368" s="85">
        <v>1027.3399999999999</v>
      </c>
      <c r="Q368" s="85">
        <v>1078.71</v>
      </c>
      <c r="R368" s="85">
        <v>51.37</v>
      </c>
      <c r="S368" s="85">
        <v>1078.71</v>
      </c>
      <c r="T368" s="85">
        <v>0</v>
      </c>
      <c r="U368" s="82"/>
      <c r="V368" s="82" t="s">
        <v>3399</v>
      </c>
      <c r="W368" s="82" t="s">
        <v>3395</v>
      </c>
      <c r="X368" s="82" t="s">
        <v>3394</v>
      </c>
      <c r="Y368" s="82" t="s">
        <v>3393</v>
      </c>
    </row>
    <row r="369" spans="1:25" ht="10.9" customHeight="1" x14ac:dyDescent="0.2">
      <c r="A369" s="82" t="s">
        <v>2622</v>
      </c>
      <c r="B369" s="82" t="s">
        <v>32</v>
      </c>
      <c r="C369" s="83">
        <v>45750</v>
      </c>
      <c r="D369" s="83">
        <v>45780</v>
      </c>
      <c r="E369" s="83">
        <v>45786</v>
      </c>
      <c r="F369" s="83">
        <v>45779</v>
      </c>
      <c r="G369" s="83">
        <v>45751</v>
      </c>
      <c r="H369" s="82" t="s">
        <v>1658</v>
      </c>
      <c r="I369" s="82" t="s">
        <v>22</v>
      </c>
      <c r="J369" s="84">
        <v>0</v>
      </c>
      <c r="K369" s="85">
        <v>678.84</v>
      </c>
      <c r="L369" s="85">
        <v>767.09</v>
      </c>
      <c r="M369" s="85">
        <v>88.25</v>
      </c>
      <c r="N369" s="85">
        <v>767.09</v>
      </c>
      <c r="O369" s="85">
        <v>0</v>
      </c>
      <c r="P369" s="85">
        <v>678.84</v>
      </c>
      <c r="Q369" s="85">
        <v>767.09</v>
      </c>
      <c r="R369" s="85">
        <v>88.25</v>
      </c>
      <c r="S369" s="85">
        <v>767.09</v>
      </c>
      <c r="T369" s="85">
        <v>0</v>
      </c>
      <c r="U369" s="82"/>
      <c r="V369" s="82" t="s">
        <v>3399</v>
      </c>
      <c r="W369" s="82" t="s">
        <v>3395</v>
      </c>
      <c r="X369" s="82" t="s">
        <v>3394</v>
      </c>
      <c r="Y369" s="82" t="s">
        <v>3393</v>
      </c>
    </row>
    <row r="370" spans="1:25" ht="10.9" customHeight="1" x14ac:dyDescent="0.2">
      <c r="A370" s="82" t="s">
        <v>2403</v>
      </c>
      <c r="B370" s="82" t="s">
        <v>714</v>
      </c>
      <c r="C370" s="83">
        <v>45750</v>
      </c>
      <c r="D370" s="83">
        <v>45780</v>
      </c>
      <c r="E370" s="83">
        <v>45780</v>
      </c>
      <c r="F370" s="83">
        <v>45763</v>
      </c>
      <c r="G370" s="83">
        <v>45752</v>
      </c>
      <c r="H370" s="82" t="s">
        <v>2033</v>
      </c>
      <c r="I370" s="82" t="s">
        <v>51</v>
      </c>
      <c r="J370" s="84">
        <v>0.70974800000000005</v>
      </c>
      <c r="K370" s="85">
        <v>14156.31</v>
      </c>
      <c r="L370" s="85">
        <v>14156.31</v>
      </c>
      <c r="M370" s="85">
        <v>0</v>
      </c>
      <c r="N370" s="85">
        <v>14156.31</v>
      </c>
      <c r="O370" s="85">
        <v>0</v>
      </c>
      <c r="P370" s="85">
        <v>19945.544052255165</v>
      </c>
      <c r="Q370" s="85">
        <v>19945.544052255165</v>
      </c>
      <c r="R370" s="85">
        <v>0</v>
      </c>
      <c r="S370" s="85">
        <v>19637.921600000001</v>
      </c>
      <c r="T370" s="85">
        <v>0</v>
      </c>
      <c r="U370" s="82"/>
      <c r="V370" s="82" t="s">
        <v>3399</v>
      </c>
      <c r="W370" s="82" t="s">
        <v>3395</v>
      </c>
      <c r="X370" s="82" t="s">
        <v>3394</v>
      </c>
      <c r="Y370" s="82" t="s">
        <v>3393</v>
      </c>
    </row>
    <row r="371" spans="1:25" ht="10.9" customHeight="1" x14ac:dyDescent="0.2">
      <c r="A371" s="82" t="s">
        <v>2615</v>
      </c>
      <c r="B371" s="82" t="s">
        <v>714</v>
      </c>
      <c r="C371" s="83">
        <v>45750</v>
      </c>
      <c r="D371" s="83">
        <v>45780</v>
      </c>
      <c r="E371" s="83">
        <v>45780</v>
      </c>
      <c r="F371" s="83">
        <v>45763</v>
      </c>
      <c r="G371" s="83">
        <v>45752</v>
      </c>
      <c r="H371" s="82" t="s">
        <v>1667</v>
      </c>
      <c r="I371" s="82" t="s">
        <v>51</v>
      </c>
      <c r="J371" s="84">
        <v>0.70974800000000005</v>
      </c>
      <c r="K371" s="85">
        <v>5390.67</v>
      </c>
      <c r="L371" s="85">
        <v>5390.67</v>
      </c>
      <c r="M371" s="85">
        <v>0</v>
      </c>
      <c r="N371" s="85">
        <v>5390.67</v>
      </c>
      <c r="O371" s="85">
        <v>0</v>
      </c>
      <c r="P371" s="85">
        <v>7595.1887148678125</v>
      </c>
      <c r="Q371" s="85">
        <v>7595.1887148678125</v>
      </c>
      <c r="R371" s="85">
        <v>0</v>
      </c>
      <c r="S371" s="85">
        <v>7478.0473000000002</v>
      </c>
      <c r="T371" s="85">
        <v>0</v>
      </c>
      <c r="U371" s="82"/>
      <c r="V371" s="82" t="s">
        <v>3399</v>
      </c>
      <c r="W371" s="82" t="s">
        <v>3395</v>
      </c>
      <c r="X371" s="82" t="s">
        <v>3394</v>
      </c>
      <c r="Y371" s="82" t="s">
        <v>3393</v>
      </c>
    </row>
    <row r="372" spans="1:25" ht="10.9" customHeight="1" x14ac:dyDescent="0.2">
      <c r="A372" s="82" t="s">
        <v>3595</v>
      </c>
      <c r="B372" s="82" t="s">
        <v>135</v>
      </c>
      <c r="C372" s="83">
        <v>45751</v>
      </c>
      <c r="D372" s="83">
        <v>45811</v>
      </c>
      <c r="E372" s="83">
        <v>45811</v>
      </c>
      <c r="F372" s="83">
        <v>45806</v>
      </c>
      <c r="G372" s="83">
        <v>45751</v>
      </c>
      <c r="H372" s="82" t="s">
        <v>3594</v>
      </c>
      <c r="I372" s="82" t="s">
        <v>22</v>
      </c>
      <c r="J372" s="84">
        <v>0</v>
      </c>
      <c r="K372" s="85">
        <v>12787.56</v>
      </c>
      <c r="L372" s="85">
        <v>14449.94</v>
      </c>
      <c r="M372" s="85">
        <v>1662.38</v>
      </c>
      <c r="N372" s="85">
        <v>14449.94</v>
      </c>
      <c r="O372" s="85">
        <v>0</v>
      </c>
      <c r="P372" s="85">
        <v>12787.56</v>
      </c>
      <c r="Q372" s="85">
        <v>14449.94</v>
      </c>
      <c r="R372" s="85">
        <v>1662.38</v>
      </c>
      <c r="S372" s="85">
        <v>14449.94</v>
      </c>
      <c r="T372" s="85">
        <v>0</v>
      </c>
      <c r="U372" s="82"/>
      <c r="V372" s="82" t="s">
        <v>3399</v>
      </c>
      <c r="W372" s="82" t="s">
        <v>3395</v>
      </c>
      <c r="X372" s="82" t="s">
        <v>3394</v>
      </c>
      <c r="Y372" s="82" t="s">
        <v>3393</v>
      </c>
    </row>
    <row r="373" spans="1:25" ht="10.9" customHeight="1" x14ac:dyDescent="0.2">
      <c r="A373" s="82" t="s">
        <v>2482</v>
      </c>
      <c r="B373" s="82" t="s">
        <v>192</v>
      </c>
      <c r="C373" s="83">
        <v>45751</v>
      </c>
      <c r="D373" s="83">
        <v>45781</v>
      </c>
      <c r="E373" s="83">
        <v>45806</v>
      </c>
      <c r="F373" s="83">
        <v>45792</v>
      </c>
      <c r="G373" s="83">
        <v>45751</v>
      </c>
      <c r="H373" s="82" t="s">
        <v>1898</v>
      </c>
      <c r="I373" s="82" t="s">
        <v>51</v>
      </c>
      <c r="J373" s="84">
        <v>0.70276499999999997</v>
      </c>
      <c r="K373" s="85">
        <v>8581.11</v>
      </c>
      <c r="L373" s="85">
        <v>8581.11</v>
      </c>
      <c r="M373" s="85">
        <v>0</v>
      </c>
      <c r="N373" s="85">
        <v>8581.11</v>
      </c>
      <c r="O373" s="85">
        <v>0</v>
      </c>
      <c r="P373" s="85">
        <v>12210.497107852554</v>
      </c>
      <c r="Q373" s="85">
        <v>12210.497107852554</v>
      </c>
      <c r="R373" s="85">
        <v>0</v>
      </c>
      <c r="S373" s="85">
        <v>11967.8249</v>
      </c>
      <c r="T373" s="85">
        <v>0</v>
      </c>
      <c r="U373" s="82"/>
      <c r="V373" s="82" t="s">
        <v>3399</v>
      </c>
      <c r="W373" s="82" t="s">
        <v>3395</v>
      </c>
      <c r="X373" s="82" t="s">
        <v>3394</v>
      </c>
      <c r="Y373" s="82" t="s">
        <v>3393</v>
      </c>
    </row>
    <row r="374" spans="1:25" ht="10.9" customHeight="1" x14ac:dyDescent="0.2">
      <c r="A374" s="82" t="s">
        <v>2618</v>
      </c>
      <c r="B374" s="82" t="s">
        <v>149</v>
      </c>
      <c r="C374" s="83">
        <v>45754</v>
      </c>
      <c r="D374" s="83">
        <v>45754</v>
      </c>
      <c r="E374" s="83">
        <v>45754</v>
      </c>
      <c r="F374" s="83">
        <v>45755</v>
      </c>
      <c r="G374" s="83">
        <v>45755</v>
      </c>
      <c r="H374" s="82" t="s">
        <v>3511</v>
      </c>
      <c r="I374" s="82" t="s">
        <v>51</v>
      </c>
      <c r="J374" s="84">
        <v>0.70578099999999999</v>
      </c>
      <c r="K374" s="85">
        <v>3921.01</v>
      </c>
      <c r="L374" s="85">
        <v>3921.01</v>
      </c>
      <c r="M374" s="85">
        <v>0</v>
      </c>
      <c r="N374" s="85">
        <v>3921.01</v>
      </c>
      <c r="O374" s="85">
        <v>0</v>
      </c>
      <c r="P374" s="85">
        <v>5555.5618527560246</v>
      </c>
      <c r="Q374" s="85">
        <v>5555.5618527560246</v>
      </c>
      <c r="R374" s="85">
        <v>0</v>
      </c>
      <c r="S374" s="85">
        <v>5583.5924000000005</v>
      </c>
      <c r="T374" s="85">
        <v>0</v>
      </c>
      <c r="U374" s="82"/>
      <c r="V374" s="82" t="s">
        <v>3399</v>
      </c>
      <c r="W374" s="82" t="s">
        <v>3395</v>
      </c>
      <c r="X374" s="82" t="s">
        <v>3394</v>
      </c>
      <c r="Y374" s="82" t="s">
        <v>3393</v>
      </c>
    </row>
    <row r="375" spans="1:25" ht="10.9" customHeight="1" x14ac:dyDescent="0.2">
      <c r="A375" s="82" t="s">
        <v>2568</v>
      </c>
      <c r="B375" s="82" t="s">
        <v>465</v>
      </c>
      <c r="C375" s="83">
        <v>45754</v>
      </c>
      <c r="D375" s="83">
        <v>45784</v>
      </c>
      <c r="E375" s="83">
        <v>45807</v>
      </c>
      <c r="F375" s="83">
        <v>45800</v>
      </c>
      <c r="G375" s="83">
        <v>45755</v>
      </c>
      <c r="H375" s="82" t="s">
        <v>1750</v>
      </c>
      <c r="I375" s="82" t="s">
        <v>22</v>
      </c>
      <c r="J375" s="84">
        <v>0</v>
      </c>
      <c r="K375" s="85">
        <v>1182.8900000000001</v>
      </c>
      <c r="L375" s="85">
        <v>1336.67</v>
      </c>
      <c r="M375" s="85">
        <v>153.78</v>
      </c>
      <c r="N375" s="85">
        <v>1336.67</v>
      </c>
      <c r="O375" s="85">
        <v>0</v>
      </c>
      <c r="P375" s="85">
        <v>1182.8900000000001</v>
      </c>
      <c r="Q375" s="85">
        <v>1336.67</v>
      </c>
      <c r="R375" s="85">
        <v>153.78</v>
      </c>
      <c r="S375" s="85">
        <v>1336.67</v>
      </c>
      <c r="T375" s="85">
        <v>0</v>
      </c>
      <c r="U375" s="82"/>
      <c r="V375" s="82" t="s">
        <v>3399</v>
      </c>
      <c r="W375" s="82" t="s">
        <v>3395</v>
      </c>
      <c r="X375" s="82" t="s">
        <v>3394</v>
      </c>
      <c r="Y375" s="82" t="s">
        <v>3393</v>
      </c>
    </row>
    <row r="376" spans="1:25" ht="10.9" customHeight="1" x14ac:dyDescent="0.2">
      <c r="A376" s="82" t="s">
        <v>2624</v>
      </c>
      <c r="B376" s="82" t="s">
        <v>3537</v>
      </c>
      <c r="C376" s="83">
        <v>45754</v>
      </c>
      <c r="D376" s="83">
        <v>45784</v>
      </c>
      <c r="E376" s="83">
        <v>45784</v>
      </c>
      <c r="F376" s="83">
        <v>45784</v>
      </c>
      <c r="G376" s="83">
        <v>45755</v>
      </c>
      <c r="H376" s="82" t="s">
        <v>1654</v>
      </c>
      <c r="I376" s="82" t="s">
        <v>22</v>
      </c>
      <c r="J376" s="84">
        <v>0</v>
      </c>
      <c r="K376" s="85">
        <v>149.68</v>
      </c>
      <c r="L376" s="85">
        <v>157.16</v>
      </c>
      <c r="M376" s="85">
        <v>7.48</v>
      </c>
      <c r="N376" s="85">
        <v>157.16</v>
      </c>
      <c r="O376" s="85">
        <v>0</v>
      </c>
      <c r="P376" s="85">
        <v>149.68</v>
      </c>
      <c r="Q376" s="85">
        <v>157.16</v>
      </c>
      <c r="R376" s="85">
        <v>7.48</v>
      </c>
      <c r="S376" s="85">
        <v>157.16</v>
      </c>
      <c r="T376" s="85">
        <v>0</v>
      </c>
      <c r="U376" s="82"/>
      <c r="V376" s="82" t="s">
        <v>3399</v>
      </c>
      <c r="W376" s="82" t="s">
        <v>3395</v>
      </c>
      <c r="X376" s="82" t="s">
        <v>3394</v>
      </c>
      <c r="Y376" s="82" t="s">
        <v>3393</v>
      </c>
    </row>
    <row r="377" spans="1:25" ht="10.9" customHeight="1" x14ac:dyDescent="0.2">
      <c r="A377" s="82" t="s">
        <v>2390</v>
      </c>
      <c r="B377" s="82" t="s">
        <v>80</v>
      </c>
      <c r="C377" s="83">
        <v>45754</v>
      </c>
      <c r="D377" s="83">
        <v>45814</v>
      </c>
      <c r="E377" s="83">
        <v>45814</v>
      </c>
      <c r="F377" s="83">
        <v>45814</v>
      </c>
      <c r="G377" s="83">
        <v>45755</v>
      </c>
      <c r="H377" s="82" t="s">
        <v>2059</v>
      </c>
      <c r="I377" s="82" t="s">
        <v>22</v>
      </c>
      <c r="J377" s="84">
        <v>0</v>
      </c>
      <c r="K377" s="85">
        <v>5963.04</v>
      </c>
      <c r="L377" s="85">
        <v>6261.19</v>
      </c>
      <c r="M377" s="85">
        <v>298.14999999999998</v>
      </c>
      <c r="N377" s="85">
        <v>6261.19</v>
      </c>
      <c r="O377" s="85">
        <v>0</v>
      </c>
      <c r="P377" s="85">
        <v>5963.04</v>
      </c>
      <c r="Q377" s="85">
        <v>6261.19</v>
      </c>
      <c r="R377" s="85">
        <v>298.14999999999998</v>
      </c>
      <c r="S377" s="85">
        <v>6261.19</v>
      </c>
      <c r="T377" s="85">
        <v>0</v>
      </c>
      <c r="U377" s="82"/>
      <c r="V377" s="82" t="s">
        <v>3399</v>
      </c>
      <c r="W377" s="82" t="s">
        <v>3395</v>
      </c>
      <c r="X377" s="82" t="s">
        <v>3394</v>
      </c>
      <c r="Y377" s="82" t="s">
        <v>3393</v>
      </c>
    </row>
    <row r="378" spans="1:25" ht="10.9" customHeight="1" x14ac:dyDescent="0.2">
      <c r="A378" s="82" t="s">
        <v>2605</v>
      </c>
      <c r="B378" s="82" t="s">
        <v>54</v>
      </c>
      <c r="C378" s="83">
        <v>45754</v>
      </c>
      <c r="D378" s="83">
        <v>45784</v>
      </c>
      <c r="E378" s="83">
        <v>45800</v>
      </c>
      <c r="F378" s="83">
        <v>45799</v>
      </c>
      <c r="G378" s="83">
        <v>45756</v>
      </c>
      <c r="H378" s="82" t="s">
        <v>1684</v>
      </c>
      <c r="I378" s="82" t="s">
        <v>22</v>
      </c>
      <c r="J378" s="84">
        <v>0</v>
      </c>
      <c r="K378" s="85">
        <v>10755.87</v>
      </c>
      <c r="L378" s="85">
        <v>11293.66</v>
      </c>
      <c r="M378" s="85">
        <v>537.79</v>
      </c>
      <c r="N378" s="85">
        <v>11293.66</v>
      </c>
      <c r="O378" s="85">
        <v>0</v>
      </c>
      <c r="P378" s="85">
        <v>10755.87</v>
      </c>
      <c r="Q378" s="85">
        <v>11293.66</v>
      </c>
      <c r="R378" s="85">
        <v>537.79</v>
      </c>
      <c r="S378" s="85">
        <v>11293.66</v>
      </c>
      <c r="T378" s="85">
        <v>0</v>
      </c>
      <c r="U378" s="82"/>
      <c r="V378" s="82" t="s">
        <v>3399</v>
      </c>
      <c r="W378" s="82" t="s">
        <v>3395</v>
      </c>
      <c r="X378" s="82" t="s">
        <v>3394</v>
      </c>
      <c r="Y378" s="82" t="s">
        <v>3393</v>
      </c>
    </row>
    <row r="379" spans="1:25" ht="10.9" customHeight="1" x14ac:dyDescent="0.2">
      <c r="A379" s="82" t="s">
        <v>2443</v>
      </c>
      <c r="B379" s="82" t="s">
        <v>3424</v>
      </c>
      <c r="C379" s="83">
        <v>45754</v>
      </c>
      <c r="D379" s="83">
        <v>45784</v>
      </c>
      <c r="E379" s="83">
        <v>45800</v>
      </c>
      <c r="F379" s="83">
        <v>45799</v>
      </c>
      <c r="G379" s="83">
        <v>45756</v>
      </c>
      <c r="H379" s="82" t="s">
        <v>1970</v>
      </c>
      <c r="I379" s="82" t="s">
        <v>51</v>
      </c>
      <c r="J379" s="84">
        <v>0.70578099999999999</v>
      </c>
      <c r="K379" s="85">
        <v>3754.89</v>
      </c>
      <c r="L379" s="85">
        <v>3754.89</v>
      </c>
      <c r="M379" s="85">
        <v>0</v>
      </c>
      <c r="N379" s="85">
        <v>3754.89</v>
      </c>
      <c r="O379" s="85">
        <v>0</v>
      </c>
      <c r="P379" s="85">
        <v>5320.191390813864</v>
      </c>
      <c r="Q379" s="85">
        <v>5320.191390813864</v>
      </c>
      <c r="R379" s="85">
        <v>0</v>
      </c>
      <c r="S379" s="85">
        <v>5205.0690999999997</v>
      </c>
      <c r="T379" s="85">
        <v>0</v>
      </c>
      <c r="U379" s="82"/>
      <c r="V379" s="82" t="s">
        <v>3399</v>
      </c>
      <c r="W379" s="82" t="s">
        <v>3395</v>
      </c>
      <c r="X379" s="82" t="s">
        <v>3394</v>
      </c>
      <c r="Y379" s="82" t="s">
        <v>3393</v>
      </c>
    </row>
    <row r="380" spans="1:25" ht="10.9" customHeight="1" x14ac:dyDescent="0.2">
      <c r="A380" s="82" t="s">
        <v>2297</v>
      </c>
      <c r="B380" s="82" t="s">
        <v>3424</v>
      </c>
      <c r="C380" s="83">
        <v>45754</v>
      </c>
      <c r="D380" s="83">
        <v>45754</v>
      </c>
      <c r="E380" s="83">
        <v>45754</v>
      </c>
      <c r="F380" s="83">
        <v>45754</v>
      </c>
      <c r="G380" s="83">
        <v>45756</v>
      </c>
      <c r="H380" s="82" t="s">
        <v>3593</v>
      </c>
      <c r="I380" s="82" t="s">
        <v>51</v>
      </c>
      <c r="J380" s="84">
        <v>0.70578099999999999</v>
      </c>
      <c r="K380" s="85">
        <v>1317.49</v>
      </c>
      <c r="L380" s="85">
        <v>1317.49</v>
      </c>
      <c r="M380" s="85">
        <v>0</v>
      </c>
      <c r="N380" s="85">
        <v>1317.49</v>
      </c>
      <c r="O380" s="85">
        <v>0</v>
      </c>
      <c r="P380" s="85">
        <v>1866.7121954260599</v>
      </c>
      <c r="Q380" s="85">
        <v>1866.7121954260599</v>
      </c>
      <c r="R380" s="85">
        <v>0</v>
      </c>
      <c r="S380" s="85">
        <v>1890.9539</v>
      </c>
      <c r="T380" s="85">
        <v>0</v>
      </c>
      <c r="U380" s="82"/>
      <c r="V380" s="82" t="s">
        <v>3399</v>
      </c>
      <c r="W380" s="82" t="s">
        <v>3395</v>
      </c>
      <c r="X380" s="82" t="s">
        <v>3394</v>
      </c>
      <c r="Y380" s="82" t="s">
        <v>3393</v>
      </c>
    </row>
    <row r="381" spans="1:25" ht="10.9" customHeight="1" x14ac:dyDescent="0.2">
      <c r="A381" s="82" t="s">
        <v>2626</v>
      </c>
      <c r="B381" s="82" t="s">
        <v>1652</v>
      </c>
      <c r="C381" s="83">
        <v>45755</v>
      </c>
      <c r="D381" s="83">
        <v>45755</v>
      </c>
      <c r="E381" s="83">
        <v>45755</v>
      </c>
      <c r="F381" s="83">
        <v>45755</v>
      </c>
      <c r="G381" s="83">
        <v>45756</v>
      </c>
      <c r="H381" s="82" t="s">
        <v>1651</v>
      </c>
      <c r="I381" s="82" t="s">
        <v>51</v>
      </c>
      <c r="J381" s="84">
        <v>0.70241500000000001</v>
      </c>
      <c r="K381" s="85">
        <v>11018.86</v>
      </c>
      <c r="L381" s="85">
        <v>11018.86</v>
      </c>
      <c r="M381" s="85">
        <v>0</v>
      </c>
      <c r="N381" s="85">
        <v>11018.86</v>
      </c>
      <c r="O381" s="85">
        <v>0</v>
      </c>
      <c r="P381" s="85">
        <v>15687.108048660692</v>
      </c>
      <c r="Q381" s="85">
        <v>15687.108048660692</v>
      </c>
      <c r="R381" s="85">
        <v>0</v>
      </c>
      <c r="S381" s="85">
        <v>15679.822099999999</v>
      </c>
      <c r="T381" s="85">
        <v>0</v>
      </c>
      <c r="U381" s="82"/>
      <c r="V381" s="82" t="s">
        <v>3399</v>
      </c>
      <c r="W381" s="82" t="s">
        <v>3395</v>
      </c>
      <c r="X381" s="82" t="s">
        <v>3394</v>
      </c>
      <c r="Y381" s="82" t="s">
        <v>3393</v>
      </c>
    </row>
    <row r="382" spans="1:25" ht="10.9" customHeight="1" x14ac:dyDescent="0.2">
      <c r="A382" s="82" t="s">
        <v>2380</v>
      </c>
      <c r="B382" s="82" t="s">
        <v>644</v>
      </c>
      <c r="C382" s="83">
        <v>45755</v>
      </c>
      <c r="D382" s="83">
        <v>45785</v>
      </c>
      <c r="E382" s="83">
        <v>45806</v>
      </c>
      <c r="F382" s="83">
        <v>45792</v>
      </c>
      <c r="G382" s="83">
        <v>45755</v>
      </c>
      <c r="H382" s="82" t="s">
        <v>2069</v>
      </c>
      <c r="I382" s="82" t="s">
        <v>51</v>
      </c>
      <c r="J382" s="84">
        <v>0.70241500000000001</v>
      </c>
      <c r="K382" s="85">
        <v>4239.3</v>
      </c>
      <c r="L382" s="85">
        <v>4239.3</v>
      </c>
      <c r="M382" s="85">
        <v>0</v>
      </c>
      <c r="N382" s="85">
        <v>4239.3</v>
      </c>
      <c r="O382" s="85">
        <v>0</v>
      </c>
      <c r="P382" s="85">
        <v>6035.3209996939131</v>
      </c>
      <c r="Q382" s="85">
        <v>6035.3209996939131</v>
      </c>
      <c r="R382" s="85">
        <v>0</v>
      </c>
      <c r="S382" s="85">
        <v>5912.4286000000002</v>
      </c>
      <c r="T382" s="85">
        <v>0</v>
      </c>
      <c r="U382" s="82"/>
      <c r="V382" s="82" t="s">
        <v>3399</v>
      </c>
      <c r="W382" s="82" t="s">
        <v>3395</v>
      </c>
      <c r="X382" s="82" t="s">
        <v>3394</v>
      </c>
      <c r="Y382" s="82" t="s">
        <v>3393</v>
      </c>
    </row>
    <row r="383" spans="1:25" ht="10.9" customHeight="1" x14ac:dyDescent="0.2">
      <c r="A383" s="82" t="s">
        <v>2463</v>
      </c>
      <c r="B383" s="82" t="s">
        <v>644</v>
      </c>
      <c r="C383" s="83">
        <v>45755</v>
      </c>
      <c r="D383" s="83">
        <v>45785</v>
      </c>
      <c r="E383" s="83">
        <v>45806</v>
      </c>
      <c r="F383" s="83">
        <v>45792</v>
      </c>
      <c r="G383" s="83">
        <v>45755</v>
      </c>
      <c r="H383" s="82" t="s">
        <v>1935</v>
      </c>
      <c r="I383" s="82" t="s">
        <v>51</v>
      </c>
      <c r="J383" s="84">
        <v>0.70241500000000001</v>
      </c>
      <c r="K383" s="85">
        <v>3596.3</v>
      </c>
      <c r="L383" s="85">
        <v>3596.3</v>
      </c>
      <c r="M383" s="85">
        <v>0</v>
      </c>
      <c r="N383" s="85">
        <v>3596.3</v>
      </c>
      <c r="O383" s="85">
        <v>0</v>
      </c>
      <c r="P383" s="85">
        <v>5119.907746844814</v>
      </c>
      <c r="Q383" s="85">
        <v>5119.907746844814</v>
      </c>
      <c r="R383" s="85">
        <v>0</v>
      </c>
      <c r="S383" s="85">
        <v>5015.6552000000001</v>
      </c>
      <c r="T383" s="85">
        <v>0</v>
      </c>
      <c r="U383" s="82"/>
      <c r="V383" s="82" t="s">
        <v>3399</v>
      </c>
      <c r="W383" s="82" t="s">
        <v>3395</v>
      </c>
      <c r="X383" s="82" t="s">
        <v>3394</v>
      </c>
      <c r="Y383" s="82" t="s">
        <v>3393</v>
      </c>
    </row>
    <row r="384" spans="1:25" ht="10.9" customHeight="1" x14ac:dyDescent="0.2">
      <c r="A384" s="82" t="s">
        <v>2389</v>
      </c>
      <c r="B384" s="82" t="s">
        <v>644</v>
      </c>
      <c r="C384" s="83">
        <v>45755</v>
      </c>
      <c r="D384" s="83">
        <v>45785</v>
      </c>
      <c r="E384" s="83">
        <v>45806</v>
      </c>
      <c r="F384" s="83">
        <v>45792</v>
      </c>
      <c r="G384" s="83">
        <v>45755</v>
      </c>
      <c r="H384" s="82" t="s">
        <v>2061</v>
      </c>
      <c r="I384" s="82" t="s">
        <v>51</v>
      </c>
      <c r="J384" s="84">
        <v>0.70241500000000001</v>
      </c>
      <c r="K384" s="85">
        <v>3069.9</v>
      </c>
      <c r="L384" s="85">
        <v>3069.9</v>
      </c>
      <c r="M384" s="85">
        <v>0</v>
      </c>
      <c r="N384" s="85">
        <v>3069.9</v>
      </c>
      <c r="O384" s="85">
        <v>0</v>
      </c>
      <c r="P384" s="85">
        <v>4370.4932269384908</v>
      </c>
      <c r="Q384" s="85">
        <v>4370.4932269384908</v>
      </c>
      <c r="R384" s="85">
        <v>0</v>
      </c>
      <c r="S384" s="85">
        <v>4281.5003999999999</v>
      </c>
      <c r="T384" s="85">
        <v>0</v>
      </c>
      <c r="U384" s="82"/>
      <c r="V384" s="82" t="s">
        <v>3399</v>
      </c>
      <c r="W384" s="82" t="s">
        <v>3395</v>
      </c>
      <c r="X384" s="82" t="s">
        <v>3394</v>
      </c>
      <c r="Y384" s="82" t="s">
        <v>3393</v>
      </c>
    </row>
    <row r="385" spans="1:25" ht="10.9" customHeight="1" x14ac:dyDescent="0.2">
      <c r="A385" s="82" t="s">
        <v>2585</v>
      </c>
      <c r="B385" s="82" t="s">
        <v>159</v>
      </c>
      <c r="C385" s="83">
        <v>45755</v>
      </c>
      <c r="D385" s="83">
        <v>45800</v>
      </c>
      <c r="E385" s="83">
        <v>45814</v>
      </c>
      <c r="F385" s="83">
        <v>45804</v>
      </c>
      <c r="G385" s="83">
        <v>45756</v>
      </c>
      <c r="H385" s="82" t="s">
        <v>1721</v>
      </c>
      <c r="I385" s="82" t="s">
        <v>51</v>
      </c>
      <c r="J385" s="84">
        <v>0.70241500000000001</v>
      </c>
      <c r="K385" s="85">
        <v>13823.71</v>
      </c>
      <c r="L385" s="85">
        <v>13823.71</v>
      </c>
      <c r="M385" s="85">
        <v>0</v>
      </c>
      <c r="N385" s="85">
        <v>13823.71</v>
      </c>
      <c r="O385" s="85">
        <v>0</v>
      </c>
      <c r="P385" s="85">
        <v>19680.26024501185</v>
      </c>
      <c r="Q385" s="85">
        <v>19680.26024501185</v>
      </c>
      <c r="R385" s="85">
        <v>0</v>
      </c>
      <c r="S385" s="85">
        <v>19049.896700000001</v>
      </c>
      <c r="T385" s="85">
        <v>0</v>
      </c>
      <c r="U385" s="82"/>
      <c r="V385" s="82" t="s">
        <v>3399</v>
      </c>
      <c r="W385" s="82" t="s">
        <v>3395</v>
      </c>
      <c r="X385" s="82" t="s">
        <v>3394</v>
      </c>
      <c r="Y385" s="82" t="s">
        <v>3393</v>
      </c>
    </row>
    <row r="386" spans="1:25" ht="10.9" customHeight="1" x14ac:dyDescent="0.2">
      <c r="A386" s="82" t="s">
        <v>2577</v>
      </c>
      <c r="B386" s="82" t="s">
        <v>159</v>
      </c>
      <c r="C386" s="83">
        <v>45755</v>
      </c>
      <c r="D386" s="83">
        <v>45800</v>
      </c>
      <c r="E386" s="83">
        <v>45814</v>
      </c>
      <c r="F386" s="83">
        <v>45804</v>
      </c>
      <c r="G386" s="83">
        <v>45756</v>
      </c>
      <c r="H386" s="82" t="s">
        <v>1737</v>
      </c>
      <c r="I386" s="82" t="s">
        <v>51</v>
      </c>
      <c r="J386" s="84">
        <v>0.70241500000000001</v>
      </c>
      <c r="K386" s="85">
        <v>20774</v>
      </c>
      <c r="L386" s="85">
        <v>20774</v>
      </c>
      <c r="M386" s="85">
        <v>0</v>
      </c>
      <c r="N386" s="85">
        <v>20774</v>
      </c>
      <c r="O386" s="85">
        <v>0</v>
      </c>
      <c r="P386" s="85">
        <v>29575.108732017397</v>
      </c>
      <c r="Q386" s="85">
        <v>29575.108732017397</v>
      </c>
      <c r="R386" s="85">
        <v>0</v>
      </c>
      <c r="S386" s="85">
        <v>28627.8109</v>
      </c>
      <c r="T386" s="85">
        <v>0</v>
      </c>
      <c r="U386" s="82"/>
      <c r="V386" s="82" t="s">
        <v>3399</v>
      </c>
      <c r="W386" s="82" t="s">
        <v>3395</v>
      </c>
      <c r="X386" s="82" t="s">
        <v>3394</v>
      </c>
      <c r="Y386" s="82" t="s">
        <v>3393</v>
      </c>
    </row>
    <row r="387" spans="1:25" ht="10.9" customHeight="1" x14ac:dyDescent="0.2">
      <c r="A387" s="82" t="s">
        <v>2631</v>
      </c>
      <c r="B387" s="82" t="s">
        <v>20</v>
      </c>
      <c r="C387" s="83">
        <v>45755</v>
      </c>
      <c r="D387" s="83">
        <v>45815</v>
      </c>
      <c r="E387" s="83">
        <v>45817</v>
      </c>
      <c r="F387" s="83">
        <v>45814</v>
      </c>
      <c r="G387" s="83">
        <v>45764</v>
      </c>
      <c r="H387" s="82" t="s">
        <v>1642</v>
      </c>
      <c r="I387" s="82" t="s">
        <v>22</v>
      </c>
      <c r="J387" s="84">
        <v>0</v>
      </c>
      <c r="K387" s="85">
        <v>2103.86</v>
      </c>
      <c r="L387" s="85">
        <v>2209.0500000000002</v>
      </c>
      <c r="M387" s="85">
        <v>105.19</v>
      </c>
      <c r="N387" s="85">
        <v>2209.0500000000002</v>
      </c>
      <c r="O387" s="85">
        <v>0</v>
      </c>
      <c r="P387" s="85">
        <v>2103.86</v>
      </c>
      <c r="Q387" s="85">
        <v>2209.0500000000002</v>
      </c>
      <c r="R387" s="85">
        <v>105.19</v>
      </c>
      <c r="S387" s="85">
        <v>2209.0500000000002</v>
      </c>
      <c r="T387" s="85">
        <v>0</v>
      </c>
      <c r="U387" s="82"/>
      <c r="V387" s="82" t="s">
        <v>3399</v>
      </c>
      <c r="W387" s="82" t="s">
        <v>3395</v>
      </c>
      <c r="X387" s="82" t="s">
        <v>3394</v>
      </c>
      <c r="Y387" s="82" t="s">
        <v>3393</v>
      </c>
    </row>
    <row r="388" spans="1:25" ht="10.9" customHeight="1" x14ac:dyDescent="0.2">
      <c r="A388" s="82"/>
      <c r="B388" s="82" t="s">
        <v>149</v>
      </c>
      <c r="C388" s="83">
        <v>45755</v>
      </c>
      <c r="D388" s="83">
        <v>45755</v>
      </c>
      <c r="E388" s="83">
        <v>45755</v>
      </c>
      <c r="F388" s="83">
        <v>45755</v>
      </c>
      <c r="G388" s="83">
        <v>45783</v>
      </c>
      <c r="H388" s="82" t="s">
        <v>1664</v>
      </c>
      <c r="I388" s="82" t="s">
        <v>51</v>
      </c>
      <c r="J388" s="84">
        <v>0.70241500000000001</v>
      </c>
      <c r="K388" s="85">
        <v>-645</v>
      </c>
      <c r="L388" s="85">
        <v>-645</v>
      </c>
      <c r="M388" s="85">
        <v>0</v>
      </c>
      <c r="N388" s="85">
        <v>-645</v>
      </c>
      <c r="O388" s="85">
        <v>0</v>
      </c>
      <c r="P388" s="85">
        <v>-918.26057245360641</v>
      </c>
      <c r="Q388" s="85">
        <v>-918.26057245360641</v>
      </c>
      <c r="R388" s="85">
        <v>0</v>
      </c>
      <c r="S388" s="85">
        <v>-918.26059999999995</v>
      </c>
      <c r="T388" s="85">
        <v>0</v>
      </c>
      <c r="U388" s="82"/>
      <c r="V388" s="82" t="s">
        <v>3399</v>
      </c>
      <c r="W388" s="82" t="s">
        <v>3423</v>
      </c>
      <c r="X388" s="82" t="s">
        <v>3397</v>
      </c>
      <c r="Y388" s="82"/>
    </row>
    <row r="389" spans="1:25" ht="10.9" customHeight="1" x14ac:dyDescent="0.2">
      <c r="A389" s="82" t="s">
        <v>3592</v>
      </c>
      <c r="B389" s="82" t="s">
        <v>714</v>
      </c>
      <c r="C389" s="83">
        <v>45756</v>
      </c>
      <c r="D389" s="83">
        <v>45786</v>
      </c>
      <c r="E389" s="83">
        <v>45786</v>
      </c>
      <c r="F389" s="83">
        <v>45763</v>
      </c>
      <c r="G389" s="83">
        <v>45756</v>
      </c>
      <c r="H389" s="82" t="s">
        <v>1715</v>
      </c>
      <c r="I389" s="82" t="s">
        <v>51</v>
      </c>
      <c r="J389" s="84">
        <v>0.70960699999999999</v>
      </c>
      <c r="K389" s="85">
        <v>746.18</v>
      </c>
      <c r="L389" s="85">
        <v>746.18</v>
      </c>
      <c r="M389" s="85">
        <v>0</v>
      </c>
      <c r="N389" s="85">
        <v>746.18</v>
      </c>
      <c r="O389" s="85">
        <v>0</v>
      </c>
      <c r="P389" s="85">
        <v>1051.5397959715729</v>
      </c>
      <c r="Q389" s="85">
        <v>1051.5397959715729</v>
      </c>
      <c r="R389" s="85">
        <v>0</v>
      </c>
      <c r="S389" s="85">
        <v>1035.1161</v>
      </c>
      <c r="T389" s="85">
        <v>0</v>
      </c>
      <c r="U389" s="82"/>
      <c r="V389" s="82" t="s">
        <v>3399</v>
      </c>
      <c r="W389" s="82" t="s">
        <v>3395</v>
      </c>
      <c r="X389" s="82" t="s">
        <v>3394</v>
      </c>
      <c r="Y389" s="82" t="s">
        <v>3393</v>
      </c>
    </row>
    <row r="390" spans="1:25" ht="10.9" customHeight="1" x14ac:dyDescent="0.2">
      <c r="A390" s="82" t="s">
        <v>2383</v>
      </c>
      <c r="B390" s="82" t="s">
        <v>714</v>
      </c>
      <c r="C390" s="83">
        <v>45756</v>
      </c>
      <c r="D390" s="83">
        <v>45786</v>
      </c>
      <c r="E390" s="83">
        <v>45786</v>
      </c>
      <c r="F390" s="83">
        <v>45763</v>
      </c>
      <c r="G390" s="83">
        <v>45756</v>
      </c>
      <c r="H390" s="82" t="s">
        <v>2065</v>
      </c>
      <c r="I390" s="82" t="s">
        <v>51</v>
      </c>
      <c r="J390" s="84">
        <v>0.70960699999999999</v>
      </c>
      <c r="K390" s="85">
        <v>18751.86</v>
      </c>
      <c r="L390" s="85">
        <v>18751.86</v>
      </c>
      <c r="M390" s="85">
        <v>0</v>
      </c>
      <c r="N390" s="85">
        <v>18751.86</v>
      </c>
      <c r="O390" s="85">
        <v>0</v>
      </c>
      <c r="P390" s="85">
        <v>26425.697604448658</v>
      </c>
      <c r="Q390" s="85">
        <v>26425.697604448658</v>
      </c>
      <c r="R390" s="85">
        <v>0</v>
      </c>
      <c r="S390" s="85">
        <v>26012.962200000002</v>
      </c>
      <c r="T390" s="85">
        <v>0</v>
      </c>
      <c r="U390" s="82"/>
      <c r="V390" s="82" t="s">
        <v>3399</v>
      </c>
      <c r="W390" s="82" t="s">
        <v>3395</v>
      </c>
      <c r="X390" s="82" t="s">
        <v>3394</v>
      </c>
      <c r="Y390" s="82" t="s">
        <v>3393</v>
      </c>
    </row>
    <row r="391" spans="1:25" ht="10.9" customHeight="1" x14ac:dyDescent="0.2">
      <c r="A391" s="82" t="s">
        <v>2638</v>
      </c>
      <c r="B391" s="82" t="s">
        <v>644</v>
      </c>
      <c r="C391" s="83">
        <v>45756</v>
      </c>
      <c r="D391" s="83">
        <v>45786</v>
      </c>
      <c r="E391" s="83">
        <v>45806</v>
      </c>
      <c r="F391" s="83">
        <v>45792</v>
      </c>
      <c r="G391" s="83">
        <v>45757</v>
      </c>
      <c r="H391" s="82" t="s">
        <v>1634</v>
      </c>
      <c r="I391" s="82" t="s">
        <v>51</v>
      </c>
      <c r="J391" s="84">
        <v>0.70960699999999999</v>
      </c>
      <c r="K391" s="85">
        <v>9733.5499999999993</v>
      </c>
      <c r="L391" s="85">
        <v>9733.5499999999993</v>
      </c>
      <c r="M391" s="85">
        <v>0</v>
      </c>
      <c r="N391" s="85">
        <v>9733.5499999999993</v>
      </c>
      <c r="O391" s="85">
        <v>0</v>
      </c>
      <c r="P391" s="85">
        <v>13716.817900612592</v>
      </c>
      <c r="Q391" s="85">
        <v>13716.817900612592</v>
      </c>
      <c r="R391" s="85">
        <v>0</v>
      </c>
      <c r="S391" s="85">
        <v>13575.0995</v>
      </c>
      <c r="T391" s="85">
        <v>0</v>
      </c>
      <c r="U391" s="82"/>
      <c r="V391" s="82" t="s">
        <v>3399</v>
      </c>
      <c r="W391" s="82" t="s">
        <v>3395</v>
      </c>
      <c r="X391" s="82" t="s">
        <v>3394</v>
      </c>
      <c r="Y391" s="82" t="s">
        <v>3393</v>
      </c>
    </row>
    <row r="392" spans="1:25" ht="10.9" customHeight="1" x14ac:dyDescent="0.2">
      <c r="A392" s="82" t="s">
        <v>2630</v>
      </c>
      <c r="B392" s="82" t="s">
        <v>1645</v>
      </c>
      <c r="C392" s="83">
        <v>45756</v>
      </c>
      <c r="D392" s="83">
        <v>45786</v>
      </c>
      <c r="E392" s="83">
        <v>45786</v>
      </c>
      <c r="F392" s="83">
        <v>45786</v>
      </c>
      <c r="G392" s="83">
        <v>45764</v>
      </c>
      <c r="H392" s="82" t="s">
        <v>1644</v>
      </c>
      <c r="I392" s="82" t="s">
        <v>22</v>
      </c>
      <c r="J392" s="84">
        <v>0</v>
      </c>
      <c r="K392" s="85">
        <v>168.53</v>
      </c>
      <c r="L392" s="85">
        <v>190.44</v>
      </c>
      <c r="M392" s="85">
        <v>21.91</v>
      </c>
      <c r="N392" s="85">
        <v>190.44</v>
      </c>
      <c r="O392" s="85">
        <v>0</v>
      </c>
      <c r="P392" s="85">
        <v>168.53</v>
      </c>
      <c r="Q392" s="85">
        <v>190.44</v>
      </c>
      <c r="R392" s="85">
        <v>21.91</v>
      </c>
      <c r="S392" s="85">
        <v>190.44</v>
      </c>
      <c r="T392" s="85">
        <v>0</v>
      </c>
      <c r="U392" s="82"/>
      <c r="V392" s="82" t="s">
        <v>3399</v>
      </c>
      <c r="W392" s="82" t="s">
        <v>3395</v>
      </c>
      <c r="X392" s="82" t="s">
        <v>3394</v>
      </c>
      <c r="Y392" s="82" t="s">
        <v>3393</v>
      </c>
    </row>
    <row r="393" spans="1:25" ht="10.9" customHeight="1" x14ac:dyDescent="0.2">
      <c r="A393" s="82" t="s">
        <v>3591</v>
      </c>
      <c r="B393" s="82" t="s">
        <v>232</v>
      </c>
      <c r="C393" s="83">
        <v>45757</v>
      </c>
      <c r="D393" s="83">
        <v>45889</v>
      </c>
      <c r="E393" s="83">
        <v>45863</v>
      </c>
      <c r="F393" s="83">
        <v>45880</v>
      </c>
      <c r="G393" s="83">
        <v>45758</v>
      </c>
      <c r="H393" s="82" t="s">
        <v>3590</v>
      </c>
      <c r="I393" s="82" t="s">
        <v>51</v>
      </c>
      <c r="J393" s="84">
        <v>0.71781300000000003</v>
      </c>
      <c r="K393" s="85">
        <v>8487</v>
      </c>
      <c r="L393" s="85">
        <v>8487</v>
      </c>
      <c r="M393" s="85">
        <v>0</v>
      </c>
      <c r="N393" s="85">
        <v>8487</v>
      </c>
      <c r="O393" s="85">
        <v>0</v>
      </c>
      <c r="P393" s="85">
        <v>11823.413618867309</v>
      </c>
      <c r="Q393" s="85">
        <v>11823.413618867309</v>
      </c>
      <c r="R393" s="85">
        <v>0</v>
      </c>
      <c r="S393" s="85">
        <v>11689.744500000001</v>
      </c>
      <c r="T393" s="85">
        <v>0</v>
      </c>
      <c r="U393" s="82"/>
      <c r="V393" s="82" t="s">
        <v>3399</v>
      </c>
      <c r="W393" s="82" t="s">
        <v>3395</v>
      </c>
      <c r="X393" s="82" t="s">
        <v>3394</v>
      </c>
      <c r="Y393" s="82" t="s">
        <v>3393</v>
      </c>
    </row>
    <row r="394" spans="1:25" ht="10.9" customHeight="1" x14ac:dyDescent="0.2">
      <c r="A394" s="82" t="s">
        <v>2609</v>
      </c>
      <c r="B394" s="82" t="s">
        <v>901</v>
      </c>
      <c r="C394" s="83">
        <v>45757</v>
      </c>
      <c r="D394" s="83">
        <v>45787</v>
      </c>
      <c r="E394" s="83">
        <v>45835</v>
      </c>
      <c r="F394" s="83">
        <v>45887</v>
      </c>
      <c r="G394" s="83">
        <v>45757</v>
      </c>
      <c r="H394" s="82" t="s">
        <v>1678</v>
      </c>
      <c r="I394" s="82" t="s">
        <v>51</v>
      </c>
      <c r="J394" s="84">
        <v>0.71781300000000003</v>
      </c>
      <c r="K394" s="85">
        <v>4860</v>
      </c>
      <c r="L394" s="85">
        <v>4860</v>
      </c>
      <c r="M394" s="85">
        <v>0</v>
      </c>
      <c r="N394" s="85">
        <v>4860</v>
      </c>
      <c r="O394" s="85">
        <v>0</v>
      </c>
      <c r="P394" s="85">
        <v>6770.5655929887034</v>
      </c>
      <c r="Q394" s="85">
        <v>6770.5655929887034</v>
      </c>
      <c r="R394" s="85">
        <v>0</v>
      </c>
      <c r="S394" s="85">
        <v>6711.8078999999998</v>
      </c>
      <c r="T394" s="85">
        <v>0</v>
      </c>
      <c r="U394" s="82"/>
      <c r="V394" s="82" t="s">
        <v>3399</v>
      </c>
      <c r="W394" s="82" t="s">
        <v>3395</v>
      </c>
      <c r="X394" s="82" t="s">
        <v>3394</v>
      </c>
      <c r="Y394" s="82" t="s">
        <v>3393</v>
      </c>
    </row>
    <row r="395" spans="1:25" ht="10.9" customHeight="1" x14ac:dyDescent="0.2">
      <c r="A395" s="82" t="s">
        <v>2507</v>
      </c>
      <c r="B395" s="82" t="s">
        <v>581</v>
      </c>
      <c r="C395" s="83">
        <v>45757</v>
      </c>
      <c r="D395" s="83">
        <v>45787</v>
      </c>
      <c r="E395" s="83">
        <v>45793</v>
      </c>
      <c r="F395" s="83">
        <v>45792</v>
      </c>
      <c r="G395" s="83">
        <v>45757</v>
      </c>
      <c r="H395" s="82" t="s">
        <v>1854</v>
      </c>
      <c r="I395" s="82" t="s">
        <v>51</v>
      </c>
      <c r="J395" s="84">
        <v>0.71375</v>
      </c>
      <c r="K395" s="85">
        <v>926.23</v>
      </c>
      <c r="L395" s="85">
        <v>926.23</v>
      </c>
      <c r="M395" s="85">
        <v>0</v>
      </c>
      <c r="N395" s="85">
        <v>926.23</v>
      </c>
      <c r="O395" s="85">
        <v>0</v>
      </c>
      <c r="P395" s="85">
        <v>1297.6952714535901</v>
      </c>
      <c r="Q395" s="85">
        <v>1297.6952714535901</v>
      </c>
      <c r="R395" s="85">
        <v>0</v>
      </c>
      <c r="S395" s="85">
        <v>1292.9329</v>
      </c>
      <c r="T395" s="85">
        <v>0</v>
      </c>
      <c r="U395" s="82"/>
      <c r="V395" s="82" t="s">
        <v>3399</v>
      </c>
      <c r="W395" s="82" t="s">
        <v>3395</v>
      </c>
      <c r="X395" s="82" t="s">
        <v>3394</v>
      </c>
      <c r="Y395" s="82" t="s">
        <v>3393</v>
      </c>
    </row>
    <row r="396" spans="1:25" ht="10.9" customHeight="1" x14ac:dyDescent="0.2">
      <c r="A396" s="82" t="s">
        <v>2640</v>
      </c>
      <c r="B396" s="82" t="s">
        <v>3412</v>
      </c>
      <c r="C396" s="83">
        <v>45757</v>
      </c>
      <c r="D396" s="83">
        <v>45802</v>
      </c>
      <c r="E396" s="83">
        <v>45803</v>
      </c>
      <c r="F396" s="83">
        <v>45800</v>
      </c>
      <c r="G396" s="83">
        <v>45763</v>
      </c>
      <c r="H396" s="82" t="s">
        <v>1630</v>
      </c>
      <c r="I396" s="82" t="s">
        <v>22</v>
      </c>
      <c r="J396" s="84">
        <v>0</v>
      </c>
      <c r="K396" s="85">
        <v>1404.51</v>
      </c>
      <c r="L396" s="85">
        <v>1474.74</v>
      </c>
      <c r="M396" s="85">
        <v>70.23</v>
      </c>
      <c r="N396" s="85">
        <v>1474.74</v>
      </c>
      <c r="O396" s="85">
        <v>0</v>
      </c>
      <c r="P396" s="85">
        <v>1404.51</v>
      </c>
      <c r="Q396" s="85">
        <v>1474.74</v>
      </c>
      <c r="R396" s="85">
        <v>70.23</v>
      </c>
      <c r="S396" s="85">
        <v>1474.74</v>
      </c>
      <c r="T396" s="85">
        <v>0</v>
      </c>
      <c r="U396" s="82"/>
      <c r="V396" s="82" t="s">
        <v>3399</v>
      </c>
      <c r="W396" s="82" t="s">
        <v>3395</v>
      </c>
      <c r="X396" s="82" t="s">
        <v>3394</v>
      </c>
      <c r="Y396" s="82" t="s">
        <v>3393</v>
      </c>
    </row>
    <row r="397" spans="1:25" ht="10.9" customHeight="1" x14ac:dyDescent="0.2">
      <c r="A397" s="82" t="s">
        <v>2632</v>
      </c>
      <c r="B397" s="82" t="s">
        <v>20</v>
      </c>
      <c r="C397" s="83">
        <v>45757</v>
      </c>
      <c r="D397" s="83">
        <v>45817</v>
      </c>
      <c r="E397" s="83">
        <v>45817</v>
      </c>
      <c r="F397" s="83">
        <v>45817</v>
      </c>
      <c r="G397" s="83">
        <v>45763</v>
      </c>
      <c r="H397" s="82" t="s">
        <v>1640</v>
      </c>
      <c r="I397" s="82" t="s">
        <v>22</v>
      </c>
      <c r="J397" s="84">
        <v>0</v>
      </c>
      <c r="K397" s="85">
        <v>1796.44</v>
      </c>
      <c r="L397" s="85">
        <v>1886.26</v>
      </c>
      <c r="M397" s="85">
        <v>89.82</v>
      </c>
      <c r="N397" s="85">
        <v>1886.26</v>
      </c>
      <c r="O397" s="85">
        <v>0</v>
      </c>
      <c r="P397" s="85">
        <v>1796.44</v>
      </c>
      <c r="Q397" s="85">
        <v>1886.26</v>
      </c>
      <c r="R397" s="85">
        <v>89.82</v>
      </c>
      <c r="S397" s="85">
        <v>1886.26</v>
      </c>
      <c r="T397" s="85">
        <v>0</v>
      </c>
      <c r="U397" s="82"/>
      <c r="V397" s="82" t="s">
        <v>3399</v>
      </c>
      <c r="W397" s="82" t="s">
        <v>3395</v>
      </c>
      <c r="X397" s="82" t="s">
        <v>3394</v>
      </c>
      <c r="Y397" s="82" t="s">
        <v>3393</v>
      </c>
    </row>
    <row r="398" spans="1:25" ht="10.9" customHeight="1" x14ac:dyDescent="0.2">
      <c r="A398" s="82" t="s">
        <v>2641</v>
      </c>
      <c r="B398" s="82" t="s">
        <v>229</v>
      </c>
      <c r="C398" s="83">
        <v>45757</v>
      </c>
      <c r="D398" s="83">
        <v>45787</v>
      </c>
      <c r="E398" s="83">
        <v>45800</v>
      </c>
      <c r="F398" s="83">
        <v>45791</v>
      </c>
      <c r="G398" s="83">
        <v>45763</v>
      </c>
      <c r="H398" s="82" t="s">
        <v>1628</v>
      </c>
      <c r="I398" s="82" t="s">
        <v>22</v>
      </c>
      <c r="J398" s="84">
        <v>0</v>
      </c>
      <c r="K398" s="85">
        <v>1048.5899999999999</v>
      </c>
      <c r="L398" s="85">
        <v>1101.02</v>
      </c>
      <c r="M398" s="85">
        <v>52.43</v>
      </c>
      <c r="N398" s="85">
        <v>1101.02</v>
      </c>
      <c r="O398" s="85">
        <v>0</v>
      </c>
      <c r="P398" s="85">
        <v>1048.5899999999999</v>
      </c>
      <c r="Q398" s="85">
        <v>1101.02</v>
      </c>
      <c r="R398" s="85">
        <v>52.43</v>
      </c>
      <c r="S398" s="85">
        <v>1101.02</v>
      </c>
      <c r="T398" s="85">
        <v>0</v>
      </c>
      <c r="U398" s="82"/>
      <c r="V398" s="82" t="s">
        <v>3399</v>
      </c>
      <c r="W398" s="82" t="s">
        <v>3395</v>
      </c>
      <c r="X398" s="82" t="s">
        <v>3394</v>
      </c>
      <c r="Y398" s="82" t="s">
        <v>3393</v>
      </c>
    </row>
    <row r="399" spans="1:25" ht="10.9" customHeight="1" x14ac:dyDescent="0.2">
      <c r="A399" s="82" t="s">
        <v>2538</v>
      </c>
      <c r="B399" s="82" t="s">
        <v>98</v>
      </c>
      <c r="C399" s="83">
        <v>45757</v>
      </c>
      <c r="D399" s="83">
        <v>45787</v>
      </c>
      <c r="E399" s="83">
        <v>45791</v>
      </c>
      <c r="F399" s="83">
        <v>45798</v>
      </c>
      <c r="G399" s="83">
        <v>45764</v>
      </c>
      <c r="H399" s="82" t="s">
        <v>1805</v>
      </c>
      <c r="I399" s="82" t="s">
        <v>22</v>
      </c>
      <c r="J399" s="84">
        <v>0</v>
      </c>
      <c r="K399" s="85">
        <v>910.22</v>
      </c>
      <c r="L399" s="85">
        <v>1028.55</v>
      </c>
      <c r="M399" s="85">
        <v>118.33</v>
      </c>
      <c r="N399" s="85">
        <v>1028.55</v>
      </c>
      <c r="O399" s="85">
        <v>0</v>
      </c>
      <c r="P399" s="85">
        <v>910.22</v>
      </c>
      <c r="Q399" s="85">
        <v>1028.55</v>
      </c>
      <c r="R399" s="85">
        <v>118.33</v>
      </c>
      <c r="S399" s="85">
        <v>1028.55</v>
      </c>
      <c r="T399" s="85">
        <v>0</v>
      </c>
      <c r="U399" s="82"/>
      <c r="V399" s="82" t="s">
        <v>3399</v>
      </c>
      <c r="W399" s="82" t="s">
        <v>3395</v>
      </c>
      <c r="X399" s="82" t="s">
        <v>3394</v>
      </c>
      <c r="Y399" s="82" t="s">
        <v>3393</v>
      </c>
    </row>
    <row r="400" spans="1:25" ht="10.9" customHeight="1" x14ac:dyDescent="0.2">
      <c r="A400" s="82" t="s">
        <v>2499</v>
      </c>
      <c r="B400" s="82" t="s">
        <v>98</v>
      </c>
      <c r="C400" s="83">
        <v>45757</v>
      </c>
      <c r="D400" s="83">
        <v>45787</v>
      </c>
      <c r="E400" s="83">
        <v>45791</v>
      </c>
      <c r="F400" s="83">
        <v>45798</v>
      </c>
      <c r="G400" s="83">
        <v>45764</v>
      </c>
      <c r="H400" s="82" t="s">
        <v>1864</v>
      </c>
      <c r="I400" s="82" t="s">
        <v>22</v>
      </c>
      <c r="J400" s="84">
        <v>0</v>
      </c>
      <c r="K400" s="85">
        <v>1214.6099999999999</v>
      </c>
      <c r="L400" s="85">
        <v>1372.51</v>
      </c>
      <c r="M400" s="85">
        <v>157.9</v>
      </c>
      <c r="N400" s="85">
        <v>1372.51</v>
      </c>
      <c r="O400" s="85">
        <v>0</v>
      </c>
      <c r="P400" s="85">
        <v>1214.6099999999999</v>
      </c>
      <c r="Q400" s="85">
        <v>1372.51</v>
      </c>
      <c r="R400" s="85">
        <v>157.9</v>
      </c>
      <c r="S400" s="85">
        <v>1372.51</v>
      </c>
      <c r="T400" s="85">
        <v>0</v>
      </c>
      <c r="U400" s="82"/>
      <c r="V400" s="82" t="s">
        <v>3399</v>
      </c>
      <c r="W400" s="82" t="s">
        <v>3395</v>
      </c>
      <c r="X400" s="82" t="s">
        <v>3394</v>
      </c>
      <c r="Y400" s="82" t="s">
        <v>3393</v>
      </c>
    </row>
    <row r="401" spans="1:25" ht="10.9" customHeight="1" x14ac:dyDescent="0.2">
      <c r="A401" s="82" t="s">
        <v>2643</v>
      </c>
      <c r="B401" s="82" t="s">
        <v>26</v>
      </c>
      <c r="C401" s="83">
        <v>45757</v>
      </c>
      <c r="D401" s="83">
        <v>45817</v>
      </c>
      <c r="E401" s="83">
        <v>45817</v>
      </c>
      <c r="F401" s="83">
        <v>45817</v>
      </c>
      <c r="G401" s="83">
        <v>45763</v>
      </c>
      <c r="H401" s="82" t="s">
        <v>1626</v>
      </c>
      <c r="I401" s="82" t="s">
        <v>22</v>
      </c>
      <c r="J401" s="84">
        <v>0</v>
      </c>
      <c r="K401" s="85">
        <v>26.73</v>
      </c>
      <c r="L401" s="85">
        <v>28.07</v>
      </c>
      <c r="M401" s="85">
        <v>1.34</v>
      </c>
      <c r="N401" s="85">
        <v>28.07</v>
      </c>
      <c r="O401" s="85">
        <v>0</v>
      </c>
      <c r="P401" s="85">
        <v>26.73</v>
      </c>
      <c r="Q401" s="85">
        <v>28.07</v>
      </c>
      <c r="R401" s="85">
        <v>1.34</v>
      </c>
      <c r="S401" s="85">
        <v>28.07</v>
      </c>
      <c r="T401" s="85">
        <v>0</v>
      </c>
      <c r="U401" s="82"/>
      <c r="V401" s="82" t="s">
        <v>3399</v>
      </c>
      <c r="W401" s="82" t="s">
        <v>3395</v>
      </c>
      <c r="X401" s="82" t="s">
        <v>3394</v>
      </c>
      <c r="Y401" s="82" t="s">
        <v>3393</v>
      </c>
    </row>
    <row r="402" spans="1:25" ht="10.9" customHeight="1" x14ac:dyDescent="0.2">
      <c r="A402" s="82" t="s">
        <v>2412</v>
      </c>
      <c r="B402" s="82" t="s">
        <v>98</v>
      </c>
      <c r="C402" s="83">
        <v>45757</v>
      </c>
      <c r="D402" s="83">
        <v>45787</v>
      </c>
      <c r="E402" s="83">
        <v>45791</v>
      </c>
      <c r="F402" s="83">
        <v>45798</v>
      </c>
      <c r="G402" s="83">
        <v>45764</v>
      </c>
      <c r="H402" s="82" t="s">
        <v>3589</v>
      </c>
      <c r="I402" s="82" t="s">
        <v>22</v>
      </c>
      <c r="J402" s="84">
        <v>0</v>
      </c>
      <c r="K402" s="85">
        <v>12249.7</v>
      </c>
      <c r="L402" s="85">
        <v>13842.16</v>
      </c>
      <c r="M402" s="85">
        <v>1592.46</v>
      </c>
      <c r="N402" s="85">
        <v>13842.16</v>
      </c>
      <c r="O402" s="85">
        <v>0</v>
      </c>
      <c r="P402" s="85">
        <v>12249.7</v>
      </c>
      <c r="Q402" s="85">
        <v>13842.16</v>
      </c>
      <c r="R402" s="85">
        <v>1592.46</v>
      </c>
      <c r="S402" s="85">
        <v>13842.16</v>
      </c>
      <c r="T402" s="85">
        <v>0</v>
      </c>
      <c r="U402" s="82"/>
      <c r="V402" s="82" t="s">
        <v>3399</v>
      </c>
      <c r="W402" s="82" t="s">
        <v>3395</v>
      </c>
      <c r="X402" s="82" t="s">
        <v>3394</v>
      </c>
      <c r="Y402" s="82" t="s">
        <v>3393</v>
      </c>
    </row>
    <row r="403" spans="1:25" ht="10.9" customHeight="1" x14ac:dyDescent="0.2">
      <c r="A403" s="82" t="s">
        <v>2628</v>
      </c>
      <c r="B403" s="82" t="s">
        <v>98</v>
      </c>
      <c r="C403" s="83">
        <v>45757</v>
      </c>
      <c r="D403" s="83">
        <v>45787</v>
      </c>
      <c r="E403" s="83">
        <v>45791</v>
      </c>
      <c r="F403" s="83">
        <v>45798</v>
      </c>
      <c r="G403" s="83">
        <v>45764</v>
      </c>
      <c r="H403" s="82" t="s">
        <v>1649</v>
      </c>
      <c r="I403" s="82" t="s">
        <v>22</v>
      </c>
      <c r="J403" s="84">
        <v>0</v>
      </c>
      <c r="K403" s="85">
        <v>3181.34</v>
      </c>
      <c r="L403" s="85">
        <v>3594.92</v>
      </c>
      <c r="M403" s="85">
        <v>413.58</v>
      </c>
      <c r="N403" s="85">
        <v>3594.92</v>
      </c>
      <c r="O403" s="85">
        <v>0</v>
      </c>
      <c r="P403" s="85">
        <v>3181.34</v>
      </c>
      <c r="Q403" s="85">
        <v>3594.92</v>
      </c>
      <c r="R403" s="85">
        <v>413.58</v>
      </c>
      <c r="S403" s="85">
        <v>3594.92</v>
      </c>
      <c r="T403" s="85">
        <v>0</v>
      </c>
      <c r="U403" s="82"/>
      <c r="V403" s="82" t="s">
        <v>3399</v>
      </c>
      <c r="W403" s="82" t="s">
        <v>3395</v>
      </c>
      <c r="X403" s="82" t="s">
        <v>3394</v>
      </c>
      <c r="Y403" s="82" t="s">
        <v>3393</v>
      </c>
    </row>
    <row r="404" spans="1:25" ht="10.9" customHeight="1" x14ac:dyDescent="0.2">
      <c r="A404" s="82" t="s">
        <v>2633</v>
      </c>
      <c r="B404" s="82" t="s">
        <v>20</v>
      </c>
      <c r="C404" s="83">
        <v>45757</v>
      </c>
      <c r="D404" s="83">
        <v>45817</v>
      </c>
      <c r="E404" s="83">
        <v>45817</v>
      </c>
      <c r="F404" s="83">
        <v>45817</v>
      </c>
      <c r="G404" s="83">
        <v>45764</v>
      </c>
      <c r="H404" s="82" t="s">
        <v>1638</v>
      </c>
      <c r="I404" s="82" t="s">
        <v>22</v>
      </c>
      <c r="J404" s="84">
        <v>0</v>
      </c>
      <c r="K404" s="85">
        <v>625.44000000000005</v>
      </c>
      <c r="L404" s="85">
        <v>656.71</v>
      </c>
      <c r="M404" s="85">
        <v>31.27</v>
      </c>
      <c r="N404" s="85">
        <v>656.71</v>
      </c>
      <c r="O404" s="85">
        <v>0</v>
      </c>
      <c r="P404" s="85">
        <v>625.44000000000005</v>
      </c>
      <c r="Q404" s="85">
        <v>656.71</v>
      </c>
      <c r="R404" s="85">
        <v>31.27</v>
      </c>
      <c r="S404" s="85">
        <v>656.71</v>
      </c>
      <c r="T404" s="85">
        <v>0</v>
      </c>
      <c r="U404" s="82"/>
      <c r="V404" s="82" t="s">
        <v>3399</v>
      </c>
      <c r="W404" s="82" t="s">
        <v>3395</v>
      </c>
      <c r="X404" s="82" t="s">
        <v>3394</v>
      </c>
      <c r="Y404" s="82" t="s">
        <v>3393</v>
      </c>
    </row>
    <row r="405" spans="1:25" ht="10.9" customHeight="1" x14ac:dyDescent="0.2">
      <c r="A405" s="82" t="s">
        <v>3587</v>
      </c>
      <c r="B405" s="82" t="s">
        <v>901</v>
      </c>
      <c r="C405" s="83">
        <v>45758</v>
      </c>
      <c r="D405" s="83">
        <v>45850</v>
      </c>
      <c r="E405" s="83">
        <v>45869</v>
      </c>
      <c r="F405" s="83">
        <v>45897</v>
      </c>
      <c r="G405" s="83">
        <v>45771</v>
      </c>
      <c r="H405" s="82" t="s">
        <v>3586</v>
      </c>
      <c r="I405" s="82" t="s">
        <v>51</v>
      </c>
      <c r="J405" s="84">
        <v>0.72087100000000004</v>
      </c>
      <c r="K405" s="85">
        <v>196673.09</v>
      </c>
      <c r="L405" s="85">
        <v>196673.09</v>
      </c>
      <c r="M405" s="85">
        <v>0</v>
      </c>
      <c r="N405" s="85">
        <v>196673.09</v>
      </c>
      <c r="O405" s="85">
        <v>0</v>
      </c>
      <c r="P405" s="85">
        <v>272827.02453004767</v>
      </c>
      <c r="Q405" s="85">
        <v>272827.02453004767</v>
      </c>
      <c r="R405" s="85">
        <v>0</v>
      </c>
      <c r="S405" s="85">
        <v>270518.01569999999</v>
      </c>
      <c r="T405" s="85">
        <v>0</v>
      </c>
      <c r="U405" s="82"/>
      <c r="V405" s="82" t="s">
        <v>3399</v>
      </c>
      <c r="W405" s="82" t="s">
        <v>3395</v>
      </c>
      <c r="X405" s="82" t="s">
        <v>3394</v>
      </c>
      <c r="Y405" s="82" t="s">
        <v>3393</v>
      </c>
    </row>
    <row r="406" spans="1:25" ht="10.9" customHeight="1" x14ac:dyDescent="0.2">
      <c r="A406" s="82" t="s">
        <v>3588</v>
      </c>
      <c r="B406" s="82" t="s">
        <v>901</v>
      </c>
      <c r="C406" s="83">
        <v>45758</v>
      </c>
      <c r="D406" s="83">
        <v>45877</v>
      </c>
      <c r="E406" s="83">
        <v>45869</v>
      </c>
      <c r="F406" s="83">
        <v>45904</v>
      </c>
      <c r="G406" s="83">
        <v>45771</v>
      </c>
      <c r="H406" s="82" t="s">
        <v>3586</v>
      </c>
      <c r="I406" s="82" t="s">
        <v>51</v>
      </c>
      <c r="J406" s="84">
        <v>0.72087100000000004</v>
      </c>
      <c r="K406" s="85">
        <v>31750.97</v>
      </c>
      <c r="L406" s="85">
        <v>31750.97</v>
      </c>
      <c r="M406" s="85">
        <v>0</v>
      </c>
      <c r="N406" s="85">
        <v>31750.97</v>
      </c>
      <c r="O406" s="85">
        <v>0</v>
      </c>
      <c r="P406" s="85">
        <v>44045.286882118991</v>
      </c>
      <c r="Q406" s="85">
        <v>44045.286882118991</v>
      </c>
      <c r="R406" s="85">
        <v>0</v>
      </c>
      <c r="S406" s="85">
        <v>43840.761400000003</v>
      </c>
      <c r="T406" s="85">
        <v>0</v>
      </c>
      <c r="U406" s="82"/>
      <c r="V406" s="82" t="s">
        <v>3399</v>
      </c>
      <c r="W406" s="82" t="s">
        <v>3395</v>
      </c>
      <c r="X406" s="82" t="s">
        <v>3394</v>
      </c>
      <c r="Y406" s="82" t="s">
        <v>3393</v>
      </c>
    </row>
    <row r="407" spans="1:25" ht="10.9" customHeight="1" x14ac:dyDescent="0.2">
      <c r="A407" s="82" t="s">
        <v>2540</v>
      </c>
      <c r="B407" s="82" t="s">
        <v>644</v>
      </c>
      <c r="C407" s="83">
        <v>45758</v>
      </c>
      <c r="D407" s="83">
        <v>45788</v>
      </c>
      <c r="E407" s="83">
        <v>45806</v>
      </c>
      <c r="F407" s="83">
        <v>45792</v>
      </c>
      <c r="G407" s="83">
        <v>45758</v>
      </c>
      <c r="H407" s="82" t="s">
        <v>1803</v>
      </c>
      <c r="I407" s="82" t="s">
        <v>51</v>
      </c>
      <c r="J407" s="84">
        <v>0.71983900000000001</v>
      </c>
      <c r="K407" s="85">
        <v>1306.53</v>
      </c>
      <c r="L407" s="85">
        <v>1306.53</v>
      </c>
      <c r="M407" s="85">
        <v>0</v>
      </c>
      <c r="N407" s="85">
        <v>1306.53</v>
      </c>
      <c r="O407" s="85">
        <v>0</v>
      </c>
      <c r="P407" s="85">
        <v>1815.0308610675443</v>
      </c>
      <c r="Q407" s="85">
        <v>1815.0308610675443</v>
      </c>
      <c r="R407" s="85">
        <v>0</v>
      </c>
      <c r="S407" s="85">
        <v>1822.1795</v>
      </c>
      <c r="T407" s="85">
        <v>0</v>
      </c>
      <c r="U407" s="82"/>
      <c r="V407" s="82" t="s">
        <v>3399</v>
      </c>
      <c r="W407" s="82" t="s">
        <v>3395</v>
      </c>
      <c r="X407" s="82" t="s">
        <v>3394</v>
      </c>
      <c r="Y407" s="82" t="s">
        <v>3393</v>
      </c>
    </row>
    <row r="408" spans="1:25" ht="10.9" customHeight="1" x14ac:dyDescent="0.2">
      <c r="A408" s="82" t="s">
        <v>2474</v>
      </c>
      <c r="B408" s="82" t="s">
        <v>644</v>
      </c>
      <c r="C408" s="83">
        <v>45758</v>
      </c>
      <c r="D408" s="83">
        <v>45788</v>
      </c>
      <c r="E408" s="83">
        <v>45806</v>
      </c>
      <c r="F408" s="83">
        <v>45792</v>
      </c>
      <c r="G408" s="83">
        <v>45758</v>
      </c>
      <c r="H408" s="82" t="s">
        <v>1914</v>
      </c>
      <c r="I408" s="82" t="s">
        <v>51</v>
      </c>
      <c r="J408" s="84">
        <v>0.72087100000000004</v>
      </c>
      <c r="K408" s="85">
        <v>4518.59</v>
      </c>
      <c r="L408" s="85">
        <v>4518.59</v>
      </c>
      <c r="M408" s="85">
        <v>0</v>
      </c>
      <c r="N408" s="85">
        <v>4518.59</v>
      </c>
      <c r="O408" s="85">
        <v>0</v>
      </c>
      <c r="P408" s="85">
        <v>6268.236619311916</v>
      </c>
      <c r="Q408" s="85">
        <v>6268.236619311916</v>
      </c>
      <c r="R408" s="85">
        <v>0</v>
      </c>
      <c r="S408" s="85">
        <v>6301.9462999999996</v>
      </c>
      <c r="T408" s="85">
        <v>0</v>
      </c>
      <c r="U408" s="82"/>
      <c r="V408" s="82" t="s">
        <v>3399</v>
      </c>
      <c r="W408" s="82" t="s">
        <v>3395</v>
      </c>
      <c r="X408" s="82" t="s">
        <v>3394</v>
      </c>
      <c r="Y408" s="82" t="s">
        <v>3393</v>
      </c>
    </row>
    <row r="409" spans="1:25" ht="10.9" customHeight="1" x14ac:dyDescent="0.2">
      <c r="A409" s="82" t="s">
        <v>2647</v>
      </c>
      <c r="B409" s="82" t="s">
        <v>1618</v>
      </c>
      <c r="C409" s="83">
        <v>45758</v>
      </c>
      <c r="D409" s="83">
        <v>45788</v>
      </c>
      <c r="E409" s="83">
        <v>45789</v>
      </c>
      <c r="F409" s="83">
        <v>45790</v>
      </c>
      <c r="G409" s="83">
        <v>45762</v>
      </c>
      <c r="H409" s="82" t="s">
        <v>1617</v>
      </c>
      <c r="I409" s="82" t="s">
        <v>22</v>
      </c>
      <c r="J409" s="84">
        <v>0</v>
      </c>
      <c r="K409" s="85">
        <v>146.22</v>
      </c>
      <c r="L409" s="85">
        <v>153.53</v>
      </c>
      <c r="M409" s="85">
        <v>7.31</v>
      </c>
      <c r="N409" s="85">
        <v>153.53</v>
      </c>
      <c r="O409" s="85">
        <v>0</v>
      </c>
      <c r="P409" s="85">
        <v>146.22</v>
      </c>
      <c r="Q409" s="85">
        <v>153.53</v>
      </c>
      <c r="R409" s="85">
        <v>7.31</v>
      </c>
      <c r="S409" s="85">
        <v>153.53</v>
      </c>
      <c r="T409" s="85">
        <v>0</v>
      </c>
      <c r="U409" s="82"/>
      <c r="V409" s="82" t="s">
        <v>3399</v>
      </c>
      <c r="W409" s="82" t="s">
        <v>3395</v>
      </c>
      <c r="X409" s="82" t="s">
        <v>3394</v>
      </c>
      <c r="Y409" s="82" t="s">
        <v>3393</v>
      </c>
    </row>
    <row r="410" spans="1:25" ht="10.9" customHeight="1" x14ac:dyDescent="0.2">
      <c r="A410" s="82" t="s">
        <v>2646</v>
      </c>
      <c r="B410" s="82" t="s">
        <v>229</v>
      </c>
      <c r="C410" s="83">
        <v>45758</v>
      </c>
      <c r="D410" s="83">
        <v>45788</v>
      </c>
      <c r="E410" s="83">
        <v>45800</v>
      </c>
      <c r="F410" s="83">
        <v>45791</v>
      </c>
      <c r="G410" s="83">
        <v>45762</v>
      </c>
      <c r="H410" s="82" t="s">
        <v>1620</v>
      </c>
      <c r="I410" s="82" t="s">
        <v>22</v>
      </c>
      <c r="J410" s="84">
        <v>0</v>
      </c>
      <c r="K410" s="85">
        <v>798.97</v>
      </c>
      <c r="L410" s="85">
        <v>838.92</v>
      </c>
      <c r="M410" s="85">
        <v>39.950000000000003</v>
      </c>
      <c r="N410" s="85">
        <v>838.92</v>
      </c>
      <c r="O410" s="85">
        <v>0</v>
      </c>
      <c r="P410" s="85">
        <v>798.97</v>
      </c>
      <c r="Q410" s="85">
        <v>838.92</v>
      </c>
      <c r="R410" s="85">
        <v>39.950000000000003</v>
      </c>
      <c r="S410" s="85">
        <v>838.92</v>
      </c>
      <c r="T410" s="85">
        <v>0</v>
      </c>
      <c r="U410" s="82"/>
      <c r="V410" s="82" t="s">
        <v>3399</v>
      </c>
      <c r="W410" s="82" t="s">
        <v>3395</v>
      </c>
      <c r="X410" s="82" t="s">
        <v>3394</v>
      </c>
      <c r="Y410" s="82" t="s">
        <v>3393</v>
      </c>
    </row>
    <row r="411" spans="1:25" ht="10.9" customHeight="1" x14ac:dyDescent="0.2">
      <c r="A411" s="82" t="s">
        <v>2367</v>
      </c>
      <c r="B411" s="82" t="s">
        <v>61</v>
      </c>
      <c r="C411" s="83">
        <v>45761</v>
      </c>
      <c r="D411" s="83">
        <v>45791</v>
      </c>
      <c r="E411" s="83">
        <v>45821</v>
      </c>
      <c r="F411" s="83">
        <v>45822</v>
      </c>
      <c r="G411" s="83">
        <v>45761</v>
      </c>
      <c r="H411" s="82" t="s">
        <v>2089</v>
      </c>
      <c r="I411" s="82" t="s">
        <v>51</v>
      </c>
      <c r="J411" s="84">
        <v>0.72053400000000001</v>
      </c>
      <c r="K411" s="85">
        <v>2551.98</v>
      </c>
      <c r="L411" s="85">
        <v>2551.98</v>
      </c>
      <c r="M411" s="85">
        <v>0</v>
      </c>
      <c r="N411" s="85">
        <v>2551.98</v>
      </c>
      <c r="O411" s="85">
        <v>0</v>
      </c>
      <c r="P411" s="85">
        <v>3541.7898392025913</v>
      </c>
      <c r="Q411" s="85">
        <v>3541.7898392025913</v>
      </c>
      <c r="R411" s="85">
        <v>0</v>
      </c>
      <c r="S411" s="85">
        <v>3466.7894999999999</v>
      </c>
      <c r="T411" s="85">
        <v>0</v>
      </c>
      <c r="U411" s="82"/>
      <c r="V411" s="82" t="s">
        <v>3399</v>
      </c>
      <c r="W411" s="82" t="s">
        <v>3395</v>
      </c>
      <c r="X411" s="82" t="s">
        <v>3394</v>
      </c>
      <c r="Y411" s="82" t="s">
        <v>3393</v>
      </c>
    </row>
    <row r="412" spans="1:25" ht="10.9" customHeight="1" x14ac:dyDescent="0.2">
      <c r="A412" s="82" t="s">
        <v>2603</v>
      </c>
      <c r="B412" s="82" t="s">
        <v>61</v>
      </c>
      <c r="C412" s="83">
        <v>45761</v>
      </c>
      <c r="D412" s="83">
        <v>45791</v>
      </c>
      <c r="E412" s="83">
        <v>45821</v>
      </c>
      <c r="F412" s="83">
        <v>45822</v>
      </c>
      <c r="G412" s="83">
        <v>45761</v>
      </c>
      <c r="H412" s="82" t="s">
        <v>1688</v>
      </c>
      <c r="I412" s="82" t="s">
        <v>51</v>
      </c>
      <c r="J412" s="84">
        <v>0.72036199999999995</v>
      </c>
      <c r="K412" s="85">
        <v>2551.98</v>
      </c>
      <c r="L412" s="85">
        <v>2551.98</v>
      </c>
      <c r="M412" s="85">
        <v>0</v>
      </c>
      <c r="N412" s="85">
        <v>2551.98</v>
      </c>
      <c r="O412" s="85">
        <v>0</v>
      </c>
      <c r="P412" s="85">
        <v>3542.6355082583477</v>
      </c>
      <c r="Q412" s="85">
        <v>3542.6355082583477</v>
      </c>
      <c r="R412" s="85">
        <v>0</v>
      </c>
      <c r="S412" s="85">
        <v>3466.7894999999999</v>
      </c>
      <c r="T412" s="85">
        <v>0</v>
      </c>
      <c r="U412" s="82"/>
      <c r="V412" s="82" t="s">
        <v>3399</v>
      </c>
      <c r="W412" s="82" t="s">
        <v>3395</v>
      </c>
      <c r="X412" s="82" t="s">
        <v>3394</v>
      </c>
      <c r="Y412" s="82" t="s">
        <v>3393</v>
      </c>
    </row>
    <row r="413" spans="1:25" ht="10.9" customHeight="1" x14ac:dyDescent="0.2">
      <c r="A413" s="82" t="s">
        <v>3584</v>
      </c>
      <c r="B413" s="82" t="s">
        <v>714</v>
      </c>
      <c r="C413" s="83">
        <v>45761</v>
      </c>
      <c r="D413" s="83">
        <v>45791</v>
      </c>
      <c r="E413" s="83">
        <v>45793</v>
      </c>
      <c r="F413" s="83">
        <v>45772</v>
      </c>
      <c r="G413" s="83">
        <v>45761</v>
      </c>
      <c r="H413" s="82" t="s">
        <v>3583</v>
      </c>
      <c r="I413" s="82" t="s">
        <v>51</v>
      </c>
      <c r="J413" s="84">
        <v>0.72036199999999995</v>
      </c>
      <c r="K413" s="85">
        <v>28719</v>
      </c>
      <c r="L413" s="85">
        <v>28719</v>
      </c>
      <c r="M413" s="85">
        <v>0</v>
      </c>
      <c r="N413" s="85">
        <v>28719</v>
      </c>
      <c r="O413" s="85">
        <v>0</v>
      </c>
      <c r="P413" s="85">
        <v>39867.455529303319</v>
      </c>
      <c r="Q413" s="85">
        <v>39867.455529303319</v>
      </c>
      <c r="R413" s="85">
        <v>0</v>
      </c>
      <c r="S413" s="85">
        <v>39799.388599999998</v>
      </c>
      <c r="T413" s="85">
        <v>0</v>
      </c>
      <c r="U413" s="82"/>
      <c r="V413" s="82" t="s">
        <v>3399</v>
      </c>
      <c r="W413" s="82" t="s">
        <v>3395</v>
      </c>
      <c r="X413" s="82" t="s">
        <v>3394</v>
      </c>
      <c r="Y413" s="82" t="s">
        <v>3393</v>
      </c>
    </row>
    <row r="414" spans="1:25" ht="10.9" customHeight="1" x14ac:dyDescent="0.2">
      <c r="A414" s="82" t="s">
        <v>3581</v>
      </c>
      <c r="B414" s="82" t="s">
        <v>714</v>
      </c>
      <c r="C414" s="83">
        <v>45761</v>
      </c>
      <c r="D414" s="83">
        <v>45791</v>
      </c>
      <c r="E414" s="83">
        <v>45793</v>
      </c>
      <c r="F414" s="83">
        <v>45772</v>
      </c>
      <c r="G414" s="83">
        <v>45761</v>
      </c>
      <c r="H414" s="82" t="s">
        <v>3580</v>
      </c>
      <c r="I414" s="82" t="s">
        <v>51</v>
      </c>
      <c r="J414" s="84">
        <v>0.72036199999999995</v>
      </c>
      <c r="K414" s="85">
        <v>7179.75</v>
      </c>
      <c r="L414" s="85">
        <v>7179.75</v>
      </c>
      <c r="M414" s="85">
        <v>0</v>
      </c>
      <c r="N414" s="85">
        <v>7179.75</v>
      </c>
      <c r="O414" s="85">
        <v>0</v>
      </c>
      <c r="P414" s="85">
        <v>9966.8638823258298</v>
      </c>
      <c r="Q414" s="85">
        <v>9966.8638823258298</v>
      </c>
      <c r="R414" s="85">
        <v>0</v>
      </c>
      <c r="S414" s="85">
        <v>9949.8471000000009</v>
      </c>
      <c r="T414" s="85">
        <v>0</v>
      </c>
      <c r="U414" s="82"/>
      <c r="V414" s="82" t="s">
        <v>3399</v>
      </c>
      <c r="W414" s="82" t="s">
        <v>3395</v>
      </c>
      <c r="X414" s="82" t="s">
        <v>3394</v>
      </c>
      <c r="Y414" s="82" t="s">
        <v>3393</v>
      </c>
    </row>
    <row r="415" spans="1:25" ht="10.9" customHeight="1" x14ac:dyDescent="0.2">
      <c r="A415" s="82" t="s">
        <v>2384</v>
      </c>
      <c r="B415" s="82" t="s">
        <v>714</v>
      </c>
      <c r="C415" s="83">
        <v>45761</v>
      </c>
      <c r="D415" s="83">
        <v>45791</v>
      </c>
      <c r="E415" s="83">
        <v>45793</v>
      </c>
      <c r="F415" s="83">
        <v>45772</v>
      </c>
      <c r="G415" s="83">
        <v>45761</v>
      </c>
      <c r="H415" s="82" t="s">
        <v>2065</v>
      </c>
      <c r="I415" s="82" t="s">
        <v>51</v>
      </c>
      <c r="J415" s="84">
        <v>0.72036199999999995</v>
      </c>
      <c r="K415" s="85">
        <v>7261.95</v>
      </c>
      <c r="L415" s="85">
        <v>7261.95</v>
      </c>
      <c r="M415" s="85">
        <v>0</v>
      </c>
      <c r="N415" s="85">
        <v>7261.95</v>
      </c>
      <c r="O415" s="85">
        <v>0</v>
      </c>
      <c r="P415" s="85">
        <v>10080.973177374708</v>
      </c>
      <c r="Q415" s="85">
        <v>10080.973177374708</v>
      </c>
      <c r="R415" s="85">
        <v>0</v>
      </c>
      <c r="S415" s="85">
        <v>10063.7616</v>
      </c>
      <c r="T415" s="85">
        <v>0</v>
      </c>
      <c r="U415" s="82"/>
      <c r="V415" s="82" t="s">
        <v>3399</v>
      </c>
      <c r="W415" s="82" t="s">
        <v>3395</v>
      </c>
      <c r="X415" s="82" t="s">
        <v>3394</v>
      </c>
      <c r="Y415" s="82" t="s">
        <v>3393</v>
      </c>
    </row>
    <row r="416" spans="1:25" ht="10.9" customHeight="1" x14ac:dyDescent="0.2">
      <c r="A416" s="82" t="s">
        <v>2645</v>
      </c>
      <c r="B416" s="82" t="s">
        <v>149</v>
      </c>
      <c r="C416" s="83">
        <v>45761</v>
      </c>
      <c r="D416" s="83">
        <v>45791</v>
      </c>
      <c r="E416" s="83">
        <v>45800</v>
      </c>
      <c r="F416" s="83">
        <v>45807</v>
      </c>
      <c r="G416" s="83">
        <v>45761</v>
      </c>
      <c r="H416" s="82" t="s">
        <v>1622</v>
      </c>
      <c r="I416" s="82" t="s">
        <v>51</v>
      </c>
      <c r="J416" s="84">
        <v>0.72053400000000001</v>
      </c>
      <c r="K416" s="85">
        <v>6106.22</v>
      </c>
      <c r="L416" s="85">
        <v>6106.22</v>
      </c>
      <c r="M416" s="85">
        <v>0</v>
      </c>
      <c r="N416" s="85">
        <v>6106.22</v>
      </c>
      <c r="O416" s="85">
        <v>0</v>
      </c>
      <c r="P416" s="85">
        <v>8474.5758007255736</v>
      </c>
      <c r="Q416" s="85">
        <v>8474.5758007255736</v>
      </c>
      <c r="R416" s="85">
        <v>0</v>
      </c>
      <c r="S416" s="85">
        <v>8376.4464000000007</v>
      </c>
      <c r="T416" s="85">
        <v>0</v>
      </c>
      <c r="U416" s="82"/>
      <c r="V416" s="82" t="s">
        <v>3399</v>
      </c>
      <c r="W416" s="82" t="s">
        <v>3395</v>
      </c>
      <c r="X416" s="82" t="s">
        <v>3394</v>
      </c>
      <c r="Y416" s="82" t="s">
        <v>3393</v>
      </c>
    </row>
    <row r="417" spans="1:25" ht="10.9" customHeight="1" x14ac:dyDescent="0.2">
      <c r="A417" s="82" t="s">
        <v>2434</v>
      </c>
      <c r="B417" s="82" t="s">
        <v>129</v>
      </c>
      <c r="C417" s="83">
        <v>45761</v>
      </c>
      <c r="D417" s="83">
        <v>45821</v>
      </c>
      <c r="E417" s="83">
        <v>45821</v>
      </c>
      <c r="F417" s="82"/>
      <c r="G417" s="83">
        <v>45761</v>
      </c>
      <c r="H417" s="82" t="s">
        <v>3578</v>
      </c>
      <c r="I417" s="82" t="s">
        <v>51</v>
      </c>
      <c r="J417" s="84">
        <v>0.72053400000000001</v>
      </c>
      <c r="K417" s="85">
        <v>5696</v>
      </c>
      <c r="L417" s="85">
        <v>5696</v>
      </c>
      <c r="M417" s="85">
        <v>0</v>
      </c>
      <c r="N417" s="85">
        <v>0</v>
      </c>
      <c r="O417" s="85">
        <v>5696</v>
      </c>
      <c r="P417" s="85">
        <v>7905.248052139108</v>
      </c>
      <c r="Q417" s="85">
        <v>7905.248052139108</v>
      </c>
      <c r="R417" s="85">
        <v>0</v>
      </c>
      <c r="S417" s="85">
        <v>0</v>
      </c>
      <c r="T417" s="85">
        <v>7817.3</v>
      </c>
      <c r="U417" s="82" t="s">
        <v>3401</v>
      </c>
      <c r="V417" s="82" t="s">
        <v>3396</v>
      </c>
      <c r="W417" s="82" t="s">
        <v>3395</v>
      </c>
      <c r="X417" s="82" t="s">
        <v>3394</v>
      </c>
      <c r="Y417" s="82" t="s">
        <v>3393</v>
      </c>
    </row>
    <row r="418" spans="1:25" ht="10.9" customHeight="1" x14ac:dyDescent="0.2">
      <c r="A418" s="82" t="s">
        <v>2359</v>
      </c>
      <c r="B418" s="82" t="s">
        <v>129</v>
      </c>
      <c r="C418" s="83">
        <v>45761</v>
      </c>
      <c r="D418" s="83">
        <v>45821</v>
      </c>
      <c r="E418" s="83">
        <v>45821</v>
      </c>
      <c r="F418" s="82"/>
      <c r="G418" s="83">
        <v>45761</v>
      </c>
      <c r="H418" s="82" t="s">
        <v>3585</v>
      </c>
      <c r="I418" s="82" t="s">
        <v>51</v>
      </c>
      <c r="J418" s="84">
        <v>0.72053400000000001</v>
      </c>
      <c r="K418" s="85">
        <v>460</v>
      </c>
      <c r="L418" s="85">
        <v>460</v>
      </c>
      <c r="M418" s="85">
        <v>0</v>
      </c>
      <c r="N418" s="85">
        <v>0</v>
      </c>
      <c r="O418" s="85">
        <v>460</v>
      </c>
      <c r="P418" s="85">
        <v>638.41539746909928</v>
      </c>
      <c r="Q418" s="85">
        <v>638.41539746909928</v>
      </c>
      <c r="R418" s="85">
        <v>0</v>
      </c>
      <c r="S418" s="85">
        <v>0</v>
      </c>
      <c r="T418" s="85">
        <v>631.30999999999995</v>
      </c>
      <c r="U418" s="82" t="s">
        <v>3401</v>
      </c>
      <c r="V418" s="82" t="s">
        <v>3396</v>
      </c>
      <c r="W418" s="82" t="s">
        <v>3395</v>
      </c>
      <c r="X418" s="82" t="s">
        <v>3394</v>
      </c>
      <c r="Y418" s="82" t="s">
        <v>3393</v>
      </c>
    </row>
    <row r="419" spans="1:25" ht="10.9" customHeight="1" x14ac:dyDescent="0.2">
      <c r="A419" s="82" t="s">
        <v>2527</v>
      </c>
      <c r="B419" s="82" t="s">
        <v>129</v>
      </c>
      <c r="C419" s="83">
        <v>45761</v>
      </c>
      <c r="D419" s="83">
        <v>45821</v>
      </c>
      <c r="E419" s="83">
        <v>45821</v>
      </c>
      <c r="F419" s="82"/>
      <c r="G419" s="83">
        <v>45761</v>
      </c>
      <c r="H419" s="82" t="s">
        <v>3582</v>
      </c>
      <c r="I419" s="82" t="s">
        <v>51</v>
      </c>
      <c r="J419" s="84">
        <v>0.72053400000000001</v>
      </c>
      <c r="K419" s="85">
        <v>138</v>
      </c>
      <c r="L419" s="85">
        <v>138</v>
      </c>
      <c r="M419" s="85">
        <v>0</v>
      </c>
      <c r="N419" s="85">
        <v>0</v>
      </c>
      <c r="O419" s="85">
        <v>138</v>
      </c>
      <c r="P419" s="85">
        <v>191.52461924072929</v>
      </c>
      <c r="Q419" s="85">
        <v>191.52461924072929</v>
      </c>
      <c r="R419" s="85">
        <v>0</v>
      </c>
      <c r="S419" s="85">
        <v>0</v>
      </c>
      <c r="T419" s="85">
        <v>189.39</v>
      </c>
      <c r="U419" s="82" t="s">
        <v>3401</v>
      </c>
      <c r="V419" s="82" t="s">
        <v>3396</v>
      </c>
      <c r="W419" s="82" t="s">
        <v>3395</v>
      </c>
      <c r="X419" s="82" t="s">
        <v>3394</v>
      </c>
      <c r="Y419" s="82" t="s">
        <v>3393</v>
      </c>
    </row>
    <row r="420" spans="1:25" ht="10.9" customHeight="1" x14ac:dyDescent="0.2">
      <c r="A420" s="82" t="s">
        <v>2472</v>
      </c>
      <c r="B420" s="82" t="s">
        <v>129</v>
      </c>
      <c r="C420" s="83">
        <v>45761</v>
      </c>
      <c r="D420" s="83">
        <v>45821</v>
      </c>
      <c r="E420" s="83">
        <v>45821</v>
      </c>
      <c r="F420" s="82"/>
      <c r="G420" s="83">
        <v>45761</v>
      </c>
      <c r="H420" s="82" t="s">
        <v>3579</v>
      </c>
      <c r="I420" s="82" t="s">
        <v>51</v>
      </c>
      <c r="J420" s="84">
        <v>0.72053400000000001</v>
      </c>
      <c r="K420" s="85">
        <v>80</v>
      </c>
      <c r="L420" s="85">
        <v>80</v>
      </c>
      <c r="M420" s="85">
        <v>0</v>
      </c>
      <c r="N420" s="85">
        <v>0</v>
      </c>
      <c r="O420" s="85">
        <v>80</v>
      </c>
      <c r="P420" s="85">
        <v>111.0287647772346</v>
      </c>
      <c r="Q420" s="85">
        <v>111.0287647772346</v>
      </c>
      <c r="R420" s="85">
        <v>0</v>
      </c>
      <c r="S420" s="85">
        <v>0</v>
      </c>
      <c r="T420" s="85">
        <v>109.79</v>
      </c>
      <c r="U420" s="82" t="s">
        <v>3401</v>
      </c>
      <c r="V420" s="82" t="s">
        <v>3396</v>
      </c>
      <c r="W420" s="82" t="s">
        <v>3395</v>
      </c>
      <c r="X420" s="82" t="s">
        <v>3394</v>
      </c>
      <c r="Y420" s="82" t="s">
        <v>3393</v>
      </c>
    </row>
    <row r="421" spans="1:25" ht="10.9" customHeight="1" x14ac:dyDescent="0.2">
      <c r="A421" s="82" t="s">
        <v>2396</v>
      </c>
      <c r="B421" s="82" t="s">
        <v>129</v>
      </c>
      <c r="C421" s="83">
        <v>45761</v>
      </c>
      <c r="D421" s="83">
        <v>45821</v>
      </c>
      <c r="E421" s="83">
        <v>45821</v>
      </c>
      <c r="F421" s="82"/>
      <c r="G421" s="83">
        <v>45761</v>
      </c>
      <c r="H421" s="82" t="s">
        <v>2046</v>
      </c>
      <c r="I421" s="82" t="s">
        <v>51</v>
      </c>
      <c r="J421" s="84">
        <v>0.72053400000000001</v>
      </c>
      <c r="K421" s="85">
        <v>3669</v>
      </c>
      <c r="L421" s="85">
        <v>3669</v>
      </c>
      <c r="M421" s="85">
        <v>0</v>
      </c>
      <c r="N421" s="85">
        <v>0</v>
      </c>
      <c r="O421" s="85">
        <v>3669</v>
      </c>
      <c r="P421" s="85">
        <v>5092.0567245959246</v>
      </c>
      <c r="Q421" s="85">
        <v>5092.0567245959246</v>
      </c>
      <c r="R421" s="85">
        <v>0</v>
      </c>
      <c r="S421" s="85">
        <v>0</v>
      </c>
      <c r="T421" s="85">
        <v>5035.41</v>
      </c>
      <c r="U421" s="82" t="s">
        <v>3401</v>
      </c>
      <c r="V421" s="82" t="s">
        <v>3396</v>
      </c>
      <c r="W421" s="82" t="s">
        <v>3395</v>
      </c>
      <c r="X421" s="82" t="s">
        <v>3394</v>
      </c>
      <c r="Y421" s="82" t="s">
        <v>3393</v>
      </c>
    </row>
    <row r="422" spans="1:25" ht="10.9" customHeight="1" x14ac:dyDescent="0.2">
      <c r="A422" s="82" t="s">
        <v>2651</v>
      </c>
      <c r="B422" s="82" t="s">
        <v>869</v>
      </c>
      <c r="C422" s="83">
        <v>45761</v>
      </c>
      <c r="D422" s="83">
        <v>45791</v>
      </c>
      <c r="E422" s="83">
        <v>45814</v>
      </c>
      <c r="F422" s="83">
        <v>45807</v>
      </c>
      <c r="G422" s="83">
        <v>45762</v>
      </c>
      <c r="H422" s="82" t="s">
        <v>1609</v>
      </c>
      <c r="I422" s="82" t="s">
        <v>51</v>
      </c>
      <c r="J422" s="84">
        <v>0.72053400000000001</v>
      </c>
      <c r="K422" s="85">
        <v>4776.59</v>
      </c>
      <c r="L422" s="85">
        <v>4776.59</v>
      </c>
      <c r="M422" s="85">
        <v>0</v>
      </c>
      <c r="N422" s="85">
        <v>4776.59</v>
      </c>
      <c r="O422" s="85">
        <v>0</v>
      </c>
      <c r="P422" s="85">
        <v>6629.2360943411413</v>
      </c>
      <c r="Q422" s="85">
        <v>6629.2360943411413</v>
      </c>
      <c r="R422" s="85">
        <v>0</v>
      </c>
      <c r="S422" s="85">
        <v>6552.4742999999999</v>
      </c>
      <c r="T422" s="85">
        <v>0</v>
      </c>
      <c r="U422" s="82"/>
      <c r="V422" s="82" t="s">
        <v>3399</v>
      </c>
      <c r="W422" s="82" t="s">
        <v>3395</v>
      </c>
      <c r="X422" s="82" t="s">
        <v>3394</v>
      </c>
      <c r="Y422" s="82" t="s">
        <v>3393</v>
      </c>
    </row>
    <row r="423" spans="1:25" ht="10.9" customHeight="1" x14ac:dyDescent="0.2">
      <c r="A423" s="82" t="s">
        <v>2650</v>
      </c>
      <c r="B423" s="82" t="s">
        <v>290</v>
      </c>
      <c r="C423" s="83">
        <v>45761</v>
      </c>
      <c r="D423" s="83">
        <v>45821</v>
      </c>
      <c r="E423" s="83">
        <v>45821</v>
      </c>
      <c r="F423" s="83">
        <v>45821</v>
      </c>
      <c r="G423" s="83">
        <v>45763</v>
      </c>
      <c r="H423" s="82" t="s">
        <v>1611</v>
      </c>
      <c r="I423" s="82" t="s">
        <v>22</v>
      </c>
      <c r="J423" s="84">
        <v>0</v>
      </c>
      <c r="K423" s="85">
        <v>939.78</v>
      </c>
      <c r="L423" s="85">
        <v>986.77</v>
      </c>
      <c r="M423" s="85">
        <v>46.99</v>
      </c>
      <c r="N423" s="85">
        <v>986.77</v>
      </c>
      <c r="O423" s="85">
        <v>0</v>
      </c>
      <c r="P423" s="85">
        <v>939.78</v>
      </c>
      <c r="Q423" s="85">
        <v>986.77</v>
      </c>
      <c r="R423" s="85">
        <v>46.99</v>
      </c>
      <c r="S423" s="85">
        <v>986.77</v>
      </c>
      <c r="T423" s="85">
        <v>0</v>
      </c>
      <c r="U423" s="82"/>
      <c r="V423" s="82" t="s">
        <v>3399</v>
      </c>
      <c r="W423" s="82" t="s">
        <v>3395</v>
      </c>
      <c r="X423" s="82" t="s">
        <v>3394</v>
      </c>
      <c r="Y423" s="82" t="s">
        <v>3393</v>
      </c>
    </row>
    <row r="424" spans="1:25" ht="10.9" customHeight="1" x14ac:dyDescent="0.2">
      <c r="A424" s="82" t="s">
        <v>2652</v>
      </c>
      <c r="B424" s="82" t="s">
        <v>313</v>
      </c>
      <c r="C424" s="83">
        <v>45762</v>
      </c>
      <c r="D424" s="83">
        <v>45792</v>
      </c>
      <c r="E424" s="83">
        <v>45800</v>
      </c>
      <c r="F424" s="83">
        <v>45792</v>
      </c>
      <c r="G424" s="83">
        <v>45762</v>
      </c>
      <c r="H424" s="82" t="s">
        <v>1606</v>
      </c>
      <c r="I424" s="82" t="s">
        <v>51</v>
      </c>
      <c r="J424" s="84">
        <v>0.71596300000000002</v>
      </c>
      <c r="K424" s="85">
        <v>3312.44</v>
      </c>
      <c r="L424" s="85">
        <v>3312.44</v>
      </c>
      <c r="M424" s="85">
        <v>0</v>
      </c>
      <c r="N424" s="85">
        <v>3312.44</v>
      </c>
      <c r="O424" s="85">
        <v>0</v>
      </c>
      <c r="P424" s="85">
        <v>4626.5519307561981</v>
      </c>
      <c r="Q424" s="85">
        <v>4626.5519307561981</v>
      </c>
      <c r="R424" s="85">
        <v>0</v>
      </c>
      <c r="S424" s="85">
        <v>4623.8653000000004</v>
      </c>
      <c r="T424" s="85">
        <v>0</v>
      </c>
      <c r="U424" s="82"/>
      <c r="V424" s="82" t="s">
        <v>3399</v>
      </c>
      <c r="W424" s="82" t="s">
        <v>3395</v>
      </c>
      <c r="X424" s="82" t="s">
        <v>3394</v>
      </c>
      <c r="Y424" s="82" t="s">
        <v>3393</v>
      </c>
    </row>
    <row r="425" spans="1:25" ht="10.9" customHeight="1" x14ac:dyDescent="0.2">
      <c r="A425" s="82" t="s">
        <v>2653</v>
      </c>
      <c r="B425" s="82" t="s">
        <v>146</v>
      </c>
      <c r="C425" s="83">
        <v>45762</v>
      </c>
      <c r="D425" s="83">
        <v>45792</v>
      </c>
      <c r="E425" s="83">
        <v>45814</v>
      </c>
      <c r="F425" s="83">
        <v>45800</v>
      </c>
      <c r="G425" s="83">
        <v>45763</v>
      </c>
      <c r="H425" s="82" t="s">
        <v>1604</v>
      </c>
      <c r="I425" s="82" t="s">
        <v>22</v>
      </c>
      <c r="J425" s="84">
        <v>0</v>
      </c>
      <c r="K425" s="85">
        <v>198.69</v>
      </c>
      <c r="L425" s="85">
        <v>208.63</v>
      </c>
      <c r="M425" s="85">
        <v>9.94</v>
      </c>
      <c r="N425" s="85">
        <v>208.63</v>
      </c>
      <c r="O425" s="85">
        <v>0</v>
      </c>
      <c r="P425" s="85">
        <v>198.69</v>
      </c>
      <c r="Q425" s="85">
        <v>208.63</v>
      </c>
      <c r="R425" s="85">
        <v>9.94</v>
      </c>
      <c r="S425" s="85">
        <v>208.63</v>
      </c>
      <c r="T425" s="85">
        <v>0</v>
      </c>
      <c r="U425" s="82"/>
      <c r="V425" s="82" t="s">
        <v>3399</v>
      </c>
      <c r="W425" s="82" t="s">
        <v>3395</v>
      </c>
      <c r="X425" s="82" t="s">
        <v>3394</v>
      </c>
      <c r="Y425" s="82" t="s">
        <v>3393</v>
      </c>
    </row>
    <row r="426" spans="1:25" ht="10.9" customHeight="1" x14ac:dyDescent="0.2">
      <c r="A426" s="82" t="s">
        <v>2668</v>
      </c>
      <c r="B426" s="82" t="s">
        <v>146</v>
      </c>
      <c r="C426" s="83">
        <v>45762</v>
      </c>
      <c r="D426" s="83">
        <v>45792</v>
      </c>
      <c r="E426" s="83">
        <v>45814</v>
      </c>
      <c r="F426" s="83">
        <v>45800</v>
      </c>
      <c r="G426" s="83">
        <v>45763</v>
      </c>
      <c r="H426" s="82" t="s">
        <v>1584</v>
      </c>
      <c r="I426" s="82" t="s">
        <v>22</v>
      </c>
      <c r="J426" s="84">
        <v>0</v>
      </c>
      <c r="K426" s="85">
        <v>92.11</v>
      </c>
      <c r="L426" s="85">
        <v>96.72</v>
      </c>
      <c r="M426" s="85">
        <v>4.6100000000000003</v>
      </c>
      <c r="N426" s="85">
        <v>96.72</v>
      </c>
      <c r="O426" s="85">
        <v>0</v>
      </c>
      <c r="P426" s="85">
        <v>92.11</v>
      </c>
      <c r="Q426" s="85">
        <v>96.72</v>
      </c>
      <c r="R426" s="85">
        <v>4.6100000000000003</v>
      </c>
      <c r="S426" s="85">
        <v>96.72</v>
      </c>
      <c r="T426" s="85">
        <v>0</v>
      </c>
      <c r="U426" s="82"/>
      <c r="V426" s="82" t="s">
        <v>3399</v>
      </c>
      <c r="W426" s="82" t="s">
        <v>3395</v>
      </c>
      <c r="X426" s="82" t="s">
        <v>3394</v>
      </c>
      <c r="Y426" s="82" t="s">
        <v>3393</v>
      </c>
    </row>
    <row r="427" spans="1:25" ht="10.9" customHeight="1" x14ac:dyDescent="0.2">
      <c r="A427" s="82" t="s">
        <v>2428</v>
      </c>
      <c r="B427" s="82" t="s">
        <v>20</v>
      </c>
      <c r="C427" s="83">
        <v>45762</v>
      </c>
      <c r="D427" s="83">
        <v>45822</v>
      </c>
      <c r="E427" s="83">
        <v>45824</v>
      </c>
      <c r="F427" s="83">
        <v>45821</v>
      </c>
      <c r="G427" s="83">
        <v>45763</v>
      </c>
      <c r="H427" s="82" t="s">
        <v>1996</v>
      </c>
      <c r="I427" s="82" t="s">
        <v>22</v>
      </c>
      <c r="J427" s="84">
        <v>0</v>
      </c>
      <c r="K427" s="85">
        <v>2429.21</v>
      </c>
      <c r="L427" s="85">
        <v>2550.67</v>
      </c>
      <c r="M427" s="85">
        <v>121.46</v>
      </c>
      <c r="N427" s="85">
        <v>2550.67</v>
      </c>
      <c r="O427" s="85">
        <v>0</v>
      </c>
      <c r="P427" s="85">
        <v>2429.21</v>
      </c>
      <c r="Q427" s="85">
        <v>2550.67</v>
      </c>
      <c r="R427" s="85">
        <v>121.46</v>
      </c>
      <c r="S427" s="85">
        <v>2550.67</v>
      </c>
      <c r="T427" s="85">
        <v>0</v>
      </c>
      <c r="U427" s="82"/>
      <c r="V427" s="82" t="s">
        <v>3399</v>
      </c>
      <c r="W427" s="82" t="s">
        <v>3395</v>
      </c>
      <c r="X427" s="82" t="s">
        <v>3394</v>
      </c>
      <c r="Y427" s="82" t="s">
        <v>3393</v>
      </c>
    </row>
    <row r="428" spans="1:25" ht="10.9" customHeight="1" x14ac:dyDescent="0.2">
      <c r="A428" s="82" t="s">
        <v>2657</v>
      </c>
      <c r="B428" s="82" t="s">
        <v>1039</v>
      </c>
      <c r="C428" s="83">
        <v>45762</v>
      </c>
      <c r="D428" s="83">
        <v>45822</v>
      </c>
      <c r="E428" s="83">
        <v>45824</v>
      </c>
      <c r="F428" s="83">
        <v>45821</v>
      </c>
      <c r="G428" s="83">
        <v>45764</v>
      </c>
      <c r="H428" s="82" t="s">
        <v>1596</v>
      </c>
      <c r="I428" s="82" t="s">
        <v>22</v>
      </c>
      <c r="J428" s="84">
        <v>0</v>
      </c>
      <c r="K428" s="85">
        <v>743.88</v>
      </c>
      <c r="L428" s="85">
        <v>781.08</v>
      </c>
      <c r="M428" s="85">
        <v>37.200000000000003</v>
      </c>
      <c r="N428" s="85">
        <v>781.08</v>
      </c>
      <c r="O428" s="85">
        <v>0</v>
      </c>
      <c r="P428" s="85">
        <v>743.88</v>
      </c>
      <c r="Q428" s="85">
        <v>781.08</v>
      </c>
      <c r="R428" s="85">
        <v>37.200000000000003</v>
      </c>
      <c r="S428" s="85">
        <v>781.08</v>
      </c>
      <c r="T428" s="85">
        <v>0</v>
      </c>
      <c r="U428" s="82"/>
      <c r="V428" s="82" t="s">
        <v>3399</v>
      </c>
      <c r="W428" s="82" t="s">
        <v>3395</v>
      </c>
      <c r="X428" s="82" t="s">
        <v>3394</v>
      </c>
      <c r="Y428" s="82" t="s">
        <v>3393</v>
      </c>
    </row>
    <row r="429" spans="1:25" ht="10.9" customHeight="1" x14ac:dyDescent="0.2">
      <c r="A429" s="82" t="s">
        <v>2608</v>
      </c>
      <c r="B429" s="82" t="s">
        <v>239</v>
      </c>
      <c r="C429" s="83">
        <v>45763</v>
      </c>
      <c r="D429" s="83">
        <v>45793</v>
      </c>
      <c r="E429" s="83">
        <v>45821</v>
      </c>
      <c r="F429" s="83">
        <v>45806</v>
      </c>
      <c r="G429" s="83">
        <v>45763</v>
      </c>
      <c r="H429" s="82" t="s">
        <v>1680</v>
      </c>
      <c r="I429" s="82" t="s">
        <v>51</v>
      </c>
      <c r="J429" s="84">
        <v>0.72086600000000001</v>
      </c>
      <c r="K429" s="85">
        <v>14534.8</v>
      </c>
      <c r="L429" s="85">
        <v>14534.8</v>
      </c>
      <c r="M429" s="85">
        <v>0</v>
      </c>
      <c r="N429" s="85">
        <v>14534.8</v>
      </c>
      <c r="O429" s="85">
        <v>0</v>
      </c>
      <c r="P429" s="85">
        <v>20162.970649191389</v>
      </c>
      <c r="Q429" s="85">
        <v>20162.970649191389</v>
      </c>
      <c r="R429" s="85">
        <v>0</v>
      </c>
      <c r="S429" s="85">
        <v>20070.3681</v>
      </c>
      <c r="T429" s="85">
        <v>0</v>
      </c>
      <c r="U429" s="82"/>
      <c r="V429" s="82" t="s">
        <v>3399</v>
      </c>
      <c r="W429" s="82" t="s">
        <v>3395</v>
      </c>
      <c r="X429" s="82" t="s">
        <v>3394</v>
      </c>
      <c r="Y429" s="82" t="s">
        <v>3393</v>
      </c>
    </row>
    <row r="430" spans="1:25" ht="10.9" customHeight="1" x14ac:dyDescent="0.2">
      <c r="A430" s="82" t="s">
        <v>2311</v>
      </c>
      <c r="B430" s="82" t="s">
        <v>239</v>
      </c>
      <c r="C430" s="83">
        <v>45763</v>
      </c>
      <c r="D430" s="83">
        <v>45793</v>
      </c>
      <c r="E430" s="83">
        <v>45821</v>
      </c>
      <c r="F430" s="83">
        <v>45806</v>
      </c>
      <c r="G430" s="83">
        <v>45764</v>
      </c>
      <c r="H430" s="82" t="s">
        <v>2191</v>
      </c>
      <c r="I430" s="82" t="s">
        <v>51</v>
      </c>
      <c r="J430" s="84">
        <v>0.72086600000000001</v>
      </c>
      <c r="K430" s="85">
        <v>3990</v>
      </c>
      <c r="L430" s="85">
        <v>3990</v>
      </c>
      <c r="M430" s="85">
        <v>0</v>
      </c>
      <c r="N430" s="85">
        <v>3990</v>
      </c>
      <c r="O430" s="85">
        <v>0</v>
      </c>
      <c r="P430" s="85">
        <v>5535.0092805042823</v>
      </c>
      <c r="Q430" s="85">
        <v>5535.0092805042823</v>
      </c>
      <c r="R430" s="85">
        <v>0</v>
      </c>
      <c r="S430" s="85">
        <v>5509.5886</v>
      </c>
      <c r="T430" s="85">
        <v>0</v>
      </c>
      <c r="U430" s="82"/>
      <c r="V430" s="82" t="s">
        <v>3399</v>
      </c>
      <c r="W430" s="82" t="s">
        <v>3395</v>
      </c>
      <c r="X430" s="82" t="s">
        <v>3394</v>
      </c>
      <c r="Y430" s="82" t="s">
        <v>3393</v>
      </c>
    </row>
    <row r="431" spans="1:25" ht="10.9" customHeight="1" x14ac:dyDescent="0.2">
      <c r="A431" s="82" t="s">
        <v>2671</v>
      </c>
      <c r="B431" s="82" t="s">
        <v>3412</v>
      </c>
      <c r="C431" s="83">
        <v>45763</v>
      </c>
      <c r="D431" s="83">
        <v>45808</v>
      </c>
      <c r="E431" s="83">
        <v>45810</v>
      </c>
      <c r="F431" s="83">
        <v>45806</v>
      </c>
      <c r="G431" s="83">
        <v>45763</v>
      </c>
      <c r="H431" s="82" t="s">
        <v>1577</v>
      </c>
      <c r="I431" s="82" t="s">
        <v>22</v>
      </c>
      <c r="J431" s="84">
        <v>0</v>
      </c>
      <c r="K431" s="85">
        <v>42.52</v>
      </c>
      <c r="L431" s="85">
        <v>44.65</v>
      </c>
      <c r="M431" s="85">
        <v>2.13</v>
      </c>
      <c r="N431" s="85">
        <v>44.65</v>
      </c>
      <c r="O431" s="85">
        <v>0</v>
      </c>
      <c r="P431" s="85">
        <v>42.52</v>
      </c>
      <c r="Q431" s="85">
        <v>44.65</v>
      </c>
      <c r="R431" s="85">
        <v>2.13</v>
      </c>
      <c r="S431" s="85">
        <v>44.65</v>
      </c>
      <c r="T431" s="85">
        <v>0</v>
      </c>
      <c r="U431" s="82"/>
      <c r="V431" s="82" t="s">
        <v>3399</v>
      </c>
      <c r="W431" s="82" t="s">
        <v>3395</v>
      </c>
      <c r="X431" s="82" t="s">
        <v>3394</v>
      </c>
      <c r="Y431" s="82" t="s">
        <v>3393</v>
      </c>
    </row>
    <row r="432" spans="1:25" ht="10.9" customHeight="1" x14ac:dyDescent="0.2">
      <c r="A432" s="82" t="s">
        <v>2664</v>
      </c>
      <c r="B432" s="82" t="s">
        <v>20</v>
      </c>
      <c r="C432" s="83">
        <v>45763</v>
      </c>
      <c r="D432" s="83">
        <v>45823</v>
      </c>
      <c r="E432" s="83">
        <v>45824</v>
      </c>
      <c r="F432" s="83">
        <v>45821</v>
      </c>
      <c r="G432" s="83">
        <v>45764</v>
      </c>
      <c r="H432" s="82" t="s">
        <v>1588</v>
      </c>
      <c r="I432" s="82" t="s">
        <v>22</v>
      </c>
      <c r="J432" s="84">
        <v>0</v>
      </c>
      <c r="K432" s="85">
        <v>296.56</v>
      </c>
      <c r="L432" s="85">
        <v>311.39</v>
      </c>
      <c r="M432" s="85">
        <v>14.83</v>
      </c>
      <c r="N432" s="85">
        <v>311.39</v>
      </c>
      <c r="O432" s="85">
        <v>0</v>
      </c>
      <c r="P432" s="85">
        <v>296.56</v>
      </c>
      <c r="Q432" s="85">
        <v>311.39</v>
      </c>
      <c r="R432" s="85">
        <v>14.83</v>
      </c>
      <c r="S432" s="85">
        <v>311.39</v>
      </c>
      <c r="T432" s="85">
        <v>0</v>
      </c>
      <c r="U432" s="82"/>
      <c r="V432" s="82" t="s">
        <v>3399</v>
      </c>
      <c r="W432" s="82" t="s">
        <v>3395</v>
      </c>
      <c r="X432" s="82" t="s">
        <v>3394</v>
      </c>
      <c r="Y432" s="82" t="s">
        <v>3393</v>
      </c>
    </row>
    <row r="433" spans="1:25" ht="10.9" customHeight="1" x14ac:dyDescent="0.2">
      <c r="A433" s="82" t="s">
        <v>2634</v>
      </c>
      <c r="B433" s="82" t="s">
        <v>141</v>
      </c>
      <c r="C433" s="83">
        <v>45764</v>
      </c>
      <c r="D433" s="83">
        <v>45809</v>
      </c>
      <c r="E433" s="83">
        <v>45821</v>
      </c>
      <c r="F433" s="83">
        <v>45813</v>
      </c>
      <c r="G433" s="83">
        <v>45764</v>
      </c>
      <c r="H433" s="82" t="s">
        <v>1636</v>
      </c>
      <c r="I433" s="82" t="s">
        <v>51</v>
      </c>
      <c r="J433" s="84">
        <v>0.72157899999999997</v>
      </c>
      <c r="K433" s="85">
        <v>31.97</v>
      </c>
      <c r="L433" s="85">
        <v>31.97</v>
      </c>
      <c r="M433" s="85">
        <v>0</v>
      </c>
      <c r="N433" s="85">
        <v>31.97</v>
      </c>
      <c r="O433" s="85">
        <v>0</v>
      </c>
      <c r="P433" s="85">
        <v>44.305613106811499</v>
      </c>
      <c r="Q433" s="85">
        <v>44.305613106811499</v>
      </c>
      <c r="R433" s="85">
        <v>0</v>
      </c>
      <c r="S433" s="85">
        <v>43.659199999999998</v>
      </c>
      <c r="T433" s="85">
        <v>0</v>
      </c>
      <c r="U433" s="82"/>
      <c r="V433" s="82" t="s">
        <v>3399</v>
      </c>
      <c r="W433" s="82" t="s">
        <v>3395</v>
      </c>
      <c r="X433" s="82" t="s">
        <v>3394</v>
      </c>
      <c r="Y433" s="82" t="s">
        <v>3393</v>
      </c>
    </row>
    <row r="434" spans="1:25" ht="10.9" customHeight="1" x14ac:dyDescent="0.2">
      <c r="A434" s="82" t="s">
        <v>2601</v>
      </c>
      <c r="B434" s="82" t="s">
        <v>141</v>
      </c>
      <c r="C434" s="83">
        <v>45764</v>
      </c>
      <c r="D434" s="83">
        <v>45809</v>
      </c>
      <c r="E434" s="83">
        <v>45821</v>
      </c>
      <c r="F434" s="83">
        <v>45813</v>
      </c>
      <c r="G434" s="83">
        <v>45764</v>
      </c>
      <c r="H434" s="82" t="s">
        <v>1692</v>
      </c>
      <c r="I434" s="82" t="s">
        <v>51</v>
      </c>
      <c r="J434" s="84">
        <v>0.72157899999999997</v>
      </c>
      <c r="K434" s="85">
        <v>290.76</v>
      </c>
      <c r="L434" s="85">
        <v>290.76</v>
      </c>
      <c r="M434" s="85">
        <v>0</v>
      </c>
      <c r="N434" s="85">
        <v>290.76</v>
      </c>
      <c r="O434" s="85">
        <v>0</v>
      </c>
      <c r="P434" s="85">
        <v>402.94964238149942</v>
      </c>
      <c r="Q434" s="85">
        <v>402.94964238149942</v>
      </c>
      <c r="R434" s="85">
        <v>0</v>
      </c>
      <c r="S434" s="85">
        <v>397.07049999999998</v>
      </c>
      <c r="T434" s="85">
        <v>0</v>
      </c>
      <c r="U434" s="82"/>
      <c r="V434" s="82" t="s">
        <v>3399</v>
      </c>
      <c r="W434" s="82" t="s">
        <v>3395</v>
      </c>
      <c r="X434" s="82" t="s">
        <v>3394</v>
      </c>
      <c r="Y434" s="82" t="s">
        <v>3393</v>
      </c>
    </row>
    <row r="435" spans="1:25" ht="10.9" customHeight="1" x14ac:dyDescent="0.2">
      <c r="A435" s="82" t="s">
        <v>2672</v>
      </c>
      <c r="B435" s="82" t="s">
        <v>35</v>
      </c>
      <c r="C435" s="83">
        <v>45764</v>
      </c>
      <c r="D435" s="83">
        <v>45794</v>
      </c>
      <c r="E435" s="83">
        <v>45798</v>
      </c>
      <c r="F435" s="83">
        <v>45798</v>
      </c>
      <c r="G435" s="83">
        <v>45769</v>
      </c>
      <c r="H435" s="82" t="s">
        <v>1575</v>
      </c>
      <c r="I435" s="82" t="s">
        <v>22</v>
      </c>
      <c r="J435" s="84">
        <v>0</v>
      </c>
      <c r="K435" s="85">
        <v>102.2</v>
      </c>
      <c r="L435" s="85">
        <v>107.31</v>
      </c>
      <c r="M435" s="85">
        <v>5.1100000000000003</v>
      </c>
      <c r="N435" s="85">
        <v>107.31</v>
      </c>
      <c r="O435" s="85">
        <v>0</v>
      </c>
      <c r="P435" s="85">
        <v>102.2</v>
      </c>
      <c r="Q435" s="85">
        <v>107.31</v>
      </c>
      <c r="R435" s="85">
        <v>5.1100000000000003</v>
      </c>
      <c r="S435" s="85">
        <v>107.31</v>
      </c>
      <c r="T435" s="85">
        <v>0</v>
      </c>
      <c r="U435" s="82"/>
      <c r="V435" s="82" t="s">
        <v>3399</v>
      </c>
      <c r="W435" s="82" t="s">
        <v>3395</v>
      </c>
      <c r="X435" s="82" t="s">
        <v>3394</v>
      </c>
      <c r="Y435" s="82" t="s">
        <v>3393</v>
      </c>
    </row>
    <row r="436" spans="1:25" ht="10.9" customHeight="1" x14ac:dyDescent="0.2">
      <c r="A436" s="82" t="s">
        <v>2572</v>
      </c>
      <c r="B436" s="82" t="s">
        <v>901</v>
      </c>
      <c r="C436" s="83">
        <v>45768</v>
      </c>
      <c r="D436" s="83">
        <v>45829</v>
      </c>
      <c r="E436" s="83">
        <v>45863</v>
      </c>
      <c r="F436" s="83">
        <v>45904</v>
      </c>
      <c r="G436" s="83">
        <v>45768</v>
      </c>
      <c r="H436" s="82" t="s">
        <v>1741</v>
      </c>
      <c r="I436" s="82" t="s">
        <v>51</v>
      </c>
      <c r="J436" s="84">
        <v>0.72357899999999997</v>
      </c>
      <c r="K436" s="85">
        <v>13983.47</v>
      </c>
      <c r="L436" s="85">
        <v>13983.47</v>
      </c>
      <c r="M436" s="85">
        <v>0</v>
      </c>
      <c r="N436" s="85">
        <v>13983.47</v>
      </c>
      <c r="O436" s="85">
        <v>0</v>
      </c>
      <c r="P436" s="85">
        <v>19325.422655991952</v>
      </c>
      <c r="Q436" s="85">
        <v>19325.422655991952</v>
      </c>
      <c r="R436" s="85">
        <v>0</v>
      </c>
      <c r="S436" s="85">
        <v>19307.9447</v>
      </c>
      <c r="T436" s="85">
        <v>0</v>
      </c>
      <c r="U436" s="82"/>
      <c r="V436" s="82" t="s">
        <v>3399</v>
      </c>
      <c r="W436" s="82" t="s">
        <v>3395</v>
      </c>
      <c r="X436" s="82" t="s">
        <v>3394</v>
      </c>
      <c r="Y436" s="82" t="s">
        <v>3393</v>
      </c>
    </row>
    <row r="437" spans="1:25" ht="10.9" customHeight="1" x14ac:dyDescent="0.2">
      <c r="A437" s="82" t="s">
        <v>2470</v>
      </c>
      <c r="B437" s="82" t="s">
        <v>129</v>
      </c>
      <c r="C437" s="83">
        <v>45768</v>
      </c>
      <c r="D437" s="83">
        <v>45828</v>
      </c>
      <c r="E437" s="83">
        <v>45828</v>
      </c>
      <c r="F437" s="82"/>
      <c r="G437" s="83">
        <v>45768</v>
      </c>
      <c r="H437" s="82" t="s">
        <v>3576</v>
      </c>
      <c r="I437" s="82" t="s">
        <v>51</v>
      </c>
      <c r="J437" s="84">
        <v>0.72265299999999999</v>
      </c>
      <c r="K437" s="85">
        <v>2158</v>
      </c>
      <c r="L437" s="85">
        <v>2158</v>
      </c>
      <c r="M437" s="85">
        <v>0</v>
      </c>
      <c r="N437" s="85">
        <v>0</v>
      </c>
      <c r="O437" s="85">
        <v>2158</v>
      </c>
      <c r="P437" s="85">
        <v>2986.2188353193023</v>
      </c>
      <c r="Q437" s="85">
        <v>2986.2188353193023</v>
      </c>
      <c r="R437" s="85">
        <v>0</v>
      </c>
      <c r="S437" s="85">
        <v>0</v>
      </c>
      <c r="T437" s="85">
        <v>2961.68</v>
      </c>
      <c r="U437" s="82" t="s">
        <v>3401</v>
      </c>
      <c r="V437" s="82" t="s">
        <v>3396</v>
      </c>
      <c r="W437" s="82" t="s">
        <v>3395</v>
      </c>
      <c r="X437" s="82" t="s">
        <v>3394</v>
      </c>
      <c r="Y437" s="82" t="s">
        <v>3393</v>
      </c>
    </row>
    <row r="438" spans="1:25" ht="10.9" customHeight="1" x14ac:dyDescent="0.2">
      <c r="A438" s="82" t="s">
        <v>2471</v>
      </c>
      <c r="B438" s="82" t="s">
        <v>129</v>
      </c>
      <c r="C438" s="83">
        <v>45768</v>
      </c>
      <c r="D438" s="83">
        <v>45828</v>
      </c>
      <c r="E438" s="83">
        <v>45828</v>
      </c>
      <c r="F438" s="82"/>
      <c r="G438" s="83">
        <v>45768</v>
      </c>
      <c r="H438" s="82" t="s">
        <v>3576</v>
      </c>
      <c r="I438" s="82" t="s">
        <v>51</v>
      </c>
      <c r="J438" s="84">
        <v>0.72265299999999999</v>
      </c>
      <c r="K438" s="85">
        <v>1686</v>
      </c>
      <c r="L438" s="85">
        <v>1686</v>
      </c>
      <c r="M438" s="85">
        <v>0</v>
      </c>
      <c r="N438" s="85">
        <v>0</v>
      </c>
      <c r="O438" s="85">
        <v>1686</v>
      </c>
      <c r="P438" s="85">
        <v>2333.0699519686482</v>
      </c>
      <c r="Q438" s="85">
        <v>2333.0699519686482</v>
      </c>
      <c r="R438" s="85">
        <v>0</v>
      </c>
      <c r="S438" s="85">
        <v>0</v>
      </c>
      <c r="T438" s="85">
        <v>2313.9</v>
      </c>
      <c r="U438" s="82" t="s">
        <v>3401</v>
      </c>
      <c r="V438" s="82" t="s">
        <v>3396</v>
      </c>
      <c r="W438" s="82" t="s">
        <v>3395</v>
      </c>
      <c r="X438" s="82" t="s">
        <v>3394</v>
      </c>
      <c r="Y438" s="82" t="s">
        <v>3393</v>
      </c>
    </row>
    <row r="439" spans="1:25" ht="10.9" customHeight="1" x14ac:dyDescent="0.2">
      <c r="A439" s="82" t="s">
        <v>2510</v>
      </c>
      <c r="B439" s="82" t="s">
        <v>129</v>
      </c>
      <c r="C439" s="83">
        <v>45768</v>
      </c>
      <c r="D439" s="83">
        <v>45828</v>
      </c>
      <c r="E439" s="83">
        <v>45828</v>
      </c>
      <c r="F439" s="82"/>
      <c r="G439" s="83">
        <v>45768</v>
      </c>
      <c r="H439" s="82" t="s">
        <v>3577</v>
      </c>
      <c r="I439" s="82" t="s">
        <v>51</v>
      </c>
      <c r="J439" s="84">
        <v>0.72265299999999999</v>
      </c>
      <c r="K439" s="85">
        <v>60</v>
      </c>
      <c r="L439" s="85">
        <v>60</v>
      </c>
      <c r="M439" s="85">
        <v>0</v>
      </c>
      <c r="N439" s="85">
        <v>0</v>
      </c>
      <c r="O439" s="85">
        <v>60</v>
      </c>
      <c r="P439" s="85">
        <v>83.027400425930495</v>
      </c>
      <c r="Q439" s="85">
        <v>83.027400425930495</v>
      </c>
      <c r="R439" s="85">
        <v>0</v>
      </c>
      <c r="S439" s="85">
        <v>0</v>
      </c>
      <c r="T439" s="85">
        <v>82.35</v>
      </c>
      <c r="U439" s="82" t="s">
        <v>3401</v>
      </c>
      <c r="V439" s="82" t="s">
        <v>3396</v>
      </c>
      <c r="W439" s="82" t="s">
        <v>3395</v>
      </c>
      <c r="X439" s="82" t="s">
        <v>3394</v>
      </c>
      <c r="Y439" s="82" t="s">
        <v>3393</v>
      </c>
    </row>
    <row r="440" spans="1:25" ht="10.9" customHeight="1" x14ac:dyDescent="0.2">
      <c r="A440" s="82" t="s">
        <v>2677</v>
      </c>
      <c r="B440" s="82" t="s">
        <v>86</v>
      </c>
      <c r="C440" s="83">
        <v>45768</v>
      </c>
      <c r="D440" s="83">
        <v>45798</v>
      </c>
      <c r="E440" s="83">
        <v>45798</v>
      </c>
      <c r="F440" s="83">
        <v>45798</v>
      </c>
      <c r="G440" s="83">
        <v>45768</v>
      </c>
      <c r="H440" s="82" t="s">
        <v>1565</v>
      </c>
      <c r="I440" s="82" t="s">
        <v>22</v>
      </c>
      <c r="J440" s="84">
        <v>0</v>
      </c>
      <c r="K440" s="85">
        <v>194.97</v>
      </c>
      <c r="L440" s="85">
        <v>204.72</v>
      </c>
      <c r="M440" s="85">
        <v>9.75</v>
      </c>
      <c r="N440" s="85">
        <v>204.72</v>
      </c>
      <c r="O440" s="85">
        <v>0</v>
      </c>
      <c r="P440" s="85">
        <v>194.97</v>
      </c>
      <c r="Q440" s="85">
        <v>204.72</v>
      </c>
      <c r="R440" s="85">
        <v>9.75</v>
      </c>
      <c r="S440" s="85">
        <v>204.72</v>
      </c>
      <c r="T440" s="85">
        <v>0</v>
      </c>
      <c r="U440" s="82"/>
      <c r="V440" s="82" t="s">
        <v>3399</v>
      </c>
      <c r="W440" s="82" t="s">
        <v>3395</v>
      </c>
      <c r="X440" s="82" t="s">
        <v>3394</v>
      </c>
      <c r="Y440" s="82" t="s">
        <v>3393</v>
      </c>
    </row>
    <row r="441" spans="1:25" ht="10.9" customHeight="1" x14ac:dyDescent="0.2">
      <c r="A441" s="82" t="s">
        <v>2675</v>
      </c>
      <c r="B441" s="82" t="s">
        <v>141</v>
      </c>
      <c r="C441" s="83">
        <v>45768</v>
      </c>
      <c r="D441" s="83">
        <v>45813</v>
      </c>
      <c r="E441" s="83">
        <v>45828</v>
      </c>
      <c r="F441" s="83">
        <v>45818</v>
      </c>
      <c r="G441" s="83">
        <v>45768</v>
      </c>
      <c r="H441" s="82" t="s">
        <v>1569</v>
      </c>
      <c r="I441" s="82" t="s">
        <v>51</v>
      </c>
      <c r="J441" s="84">
        <v>0.72357899999999997</v>
      </c>
      <c r="K441" s="85">
        <v>339.85</v>
      </c>
      <c r="L441" s="85">
        <v>339.85</v>
      </c>
      <c r="M441" s="85">
        <v>0</v>
      </c>
      <c r="N441" s="85">
        <v>339.85</v>
      </c>
      <c r="O441" s="85">
        <v>0</v>
      </c>
      <c r="P441" s="85">
        <v>469.6791919057905</v>
      </c>
      <c r="Q441" s="85">
        <v>469.6791919057905</v>
      </c>
      <c r="R441" s="85">
        <v>0</v>
      </c>
      <c r="S441" s="85">
        <v>464.60919999999999</v>
      </c>
      <c r="T441" s="85">
        <v>0</v>
      </c>
      <c r="U441" s="82"/>
      <c r="V441" s="82" t="s">
        <v>3399</v>
      </c>
      <c r="W441" s="82" t="s">
        <v>3395</v>
      </c>
      <c r="X441" s="82" t="s">
        <v>3394</v>
      </c>
      <c r="Y441" s="82" t="s">
        <v>3393</v>
      </c>
    </row>
    <row r="442" spans="1:25" ht="10.9" customHeight="1" x14ac:dyDescent="0.2">
      <c r="A442" s="82" t="s">
        <v>2678</v>
      </c>
      <c r="B442" s="82" t="s">
        <v>35</v>
      </c>
      <c r="C442" s="83">
        <v>45768</v>
      </c>
      <c r="D442" s="83">
        <v>45798</v>
      </c>
      <c r="E442" s="83">
        <v>45805</v>
      </c>
      <c r="F442" s="83">
        <v>45798</v>
      </c>
      <c r="G442" s="83">
        <v>45768</v>
      </c>
      <c r="H442" s="82" t="s">
        <v>1563</v>
      </c>
      <c r="I442" s="82" t="s">
        <v>22</v>
      </c>
      <c r="J442" s="84">
        <v>0</v>
      </c>
      <c r="K442" s="85">
        <v>124.98</v>
      </c>
      <c r="L442" s="85">
        <v>131.22999999999999</v>
      </c>
      <c r="M442" s="85">
        <v>6.25</v>
      </c>
      <c r="N442" s="85">
        <v>131.22999999999999</v>
      </c>
      <c r="O442" s="85">
        <v>0</v>
      </c>
      <c r="P442" s="85">
        <v>124.98</v>
      </c>
      <c r="Q442" s="85">
        <v>131.22999999999999</v>
      </c>
      <c r="R442" s="85">
        <v>6.25</v>
      </c>
      <c r="S442" s="85">
        <v>131.22999999999999</v>
      </c>
      <c r="T442" s="85">
        <v>0</v>
      </c>
      <c r="U442" s="82"/>
      <c r="V442" s="82" t="s">
        <v>3399</v>
      </c>
      <c r="W442" s="82" t="s">
        <v>3395</v>
      </c>
      <c r="X442" s="82" t="s">
        <v>3394</v>
      </c>
      <c r="Y442" s="82" t="s">
        <v>3393</v>
      </c>
    </row>
    <row r="443" spans="1:25" ht="10.9" customHeight="1" x14ac:dyDescent="0.2">
      <c r="A443" s="82" t="s">
        <v>2597</v>
      </c>
      <c r="B443" s="82" t="s">
        <v>602</v>
      </c>
      <c r="C443" s="83">
        <v>45768</v>
      </c>
      <c r="D443" s="83">
        <v>45798</v>
      </c>
      <c r="E443" s="83">
        <v>45798</v>
      </c>
      <c r="F443" s="83">
        <v>45798</v>
      </c>
      <c r="G443" s="83">
        <v>45768</v>
      </c>
      <c r="H443" s="82" t="s">
        <v>1700</v>
      </c>
      <c r="I443" s="82" t="s">
        <v>22</v>
      </c>
      <c r="J443" s="84">
        <v>0</v>
      </c>
      <c r="K443" s="85">
        <v>1465.07</v>
      </c>
      <c r="L443" s="85">
        <v>1655.53</v>
      </c>
      <c r="M443" s="85">
        <v>190.46</v>
      </c>
      <c r="N443" s="85">
        <v>1655.53</v>
      </c>
      <c r="O443" s="85">
        <v>0</v>
      </c>
      <c r="P443" s="85">
        <v>1465.07</v>
      </c>
      <c r="Q443" s="85">
        <v>1655.53</v>
      </c>
      <c r="R443" s="85">
        <v>190.46</v>
      </c>
      <c r="S443" s="85">
        <v>1655.53</v>
      </c>
      <c r="T443" s="85">
        <v>0</v>
      </c>
      <c r="U443" s="82"/>
      <c r="V443" s="82" t="s">
        <v>3399</v>
      </c>
      <c r="W443" s="82" t="s">
        <v>3395</v>
      </c>
      <c r="X443" s="82" t="s">
        <v>3394</v>
      </c>
      <c r="Y443" s="82" t="s">
        <v>3393</v>
      </c>
    </row>
    <row r="444" spans="1:25" ht="10.9" customHeight="1" x14ac:dyDescent="0.2">
      <c r="A444" s="82" t="s">
        <v>2621</v>
      </c>
      <c r="B444" s="82" t="s">
        <v>1661</v>
      </c>
      <c r="C444" s="83">
        <v>45768</v>
      </c>
      <c r="D444" s="83">
        <v>45798</v>
      </c>
      <c r="E444" s="83">
        <v>45798</v>
      </c>
      <c r="F444" s="83">
        <v>45798</v>
      </c>
      <c r="G444" s="83">
        <v>45768</v>
      </c>
      <c r="H444" s="82" t="s">
        <v>1660</v>
      </c>
      <c r="I444" s="82" t="s">
        <v>22</v>
      </c>
      <c r="J444" s="84">
        <v>0</v>
      </c>
      <c r="K444" s="85">
        <v>201.87</v>
      </c>
      <c r="L444" s="85">
        <v>228.11</v>
      </c>
      <c r="M444" s="85">
        <v>26.24</v>
      </c>
      <c r="N444" s="85">
        <v>228.11</v>
      </c>
      <c r="O444" s="85">
        <v>0</v>
      </c>
      <c r="P444" s="85">
        <v>201.87</v>
      </c>
      <c r="Q444" s="85">
        <v>228.11</v>
      </c>
      <c r="R444" s="85">
        <v>26.24</v>
      </c>
      <c r="S444" s="85">
        <v>228.11</v>
      </c>
      <c r="T444" s="85">
        <v>0</v>
      </c>
      <c r="U444" s="82"/>
      <c r="V444" s="82" t="s">
        <v>3399</v>
      </c>
      <c r="W444" s="82" t="s">
        <v>3395</v>
      </c>
      <c r="X444" s="82" t="s">
        <v>3394</v>
      </c>
      <c r="Y444" s="82" t="s">
        <v>3393</v>
      </c>
    </row>
    <row r="445" spans="1:25" ht="10.9" customHeight="1" x14ac:dyDescent="0.2">
      <c r="A445" s="82" t="s">
        <v>2555</v>
      </c>
      <c r="B445" s="82" t="s">
        <v>1773</v>
      </c>
      <c r="C445" s="83">
        <v>45769</v>
      </c>
      <c r="D445" s="83">
        <v>45769</v>
      </c>
      <c r="E445" s="83">
        <v>45769</v>
      </c>
      <c r="F445" s="83">
        <v>45769</v>
      </c>
      <c r="G445" s="83">
        <v>45769</v>
      </c>
      <c r="H445" s="82" t="s">
        <v>3575</v>
      </c>
      <c r="I445" s="82" t="s">
        <v>22</v>
      </c>
      <c r="J445" s="84">
        <v>0</v>
      </c>
      <c r="K445" s="85">
        <v>10842.06</v>
      </c>
      <c r="L445" s="85">
        <v>11384.16</v>
      </c>
      <c r="M445" s="85">
        <v>542.1</v>
      </c>
      <c r="N445" s="85">
        <v>11384.16</v>
      </c>
      <c r="O445" s="85">
        <v>0</v>
      </c>
      <c r="P445" s="85">
        <v>10842.06</v>
      </c>
      <c r="Q445" s="85">
        <v>11384.16</v>
      </c>
      <c r="R445" s="85">
        <v>542.1</v>
      </c>
      <c r="S445" s="85">
        <v>11384.16</v>
      </c>
      <c r="T445" s="85">
        <v>0</v>
      </c>
      <c r="U445" s="82"/>
      <c r="V445" s="82" t="s">
        <v>3399</v>
      </c>
      <c r="W445" s="82" t="s">
        <v>3395</v>
      </c>
      <c r="X445" s="82" t="s">
        <v>3394</v>
      </c>
      <c r="Y445" s="82" t="s">
        <v>3393</v>
      </c>
    </row>
    <row r="446" spans="1:25" ht="10.9" customHeight="1" x14ac:dyDescent="0.2">
      <c r="A446" s="82" t="s">
        <v>2424</v>
      </c>
      <c r="B446" s="82" t="s">
        <v>1196</v>
      </c>
      <c r="C446" s="83">
        <v>45769</v>
      </c>
      <c r="D446" s="83">
        <v>45799</v>
      </c>
      <c r="E446" s="83">
        <v>45807</v>
      </c>
      <c r="F446" s="83">
        <v>45798</v>
      </c>
      <c r="G446" s="83">
        <v>45770</v>
      </c>
      <c r="H446" s="82" t="s">
        <v>2004</v>
      </c>
      <c r="I446" s="82" t="s">
        <v>22</v>
      </c>
      <c r="J446" s="84">
        <v>0</v>
      </c>
      <c r="K446" s="85">
        <v>5382.41</v>
      </c>
      <c r="L446" s="85">
        <v>6082.12</v>
      </c>
      <c r="M446" s="85">
        <v>699.71</v>
      </c>
      <c r="N446" s="85">
        <v>6082.12</v>
      </c>
      <c r="O446" s="85">
        <v>0</v>
      </c>
      <c r="P446" s="85">
        <v>5382.41</v>
      </c>
      <c r="Q446" s="85">
        <v>6082.12</v>
      </c>
      <c r="R446" s="85">
        <v>699.71</v>
      </c>
      <c r="S446" s="85">
        <v>6082.12</v>
      </c>
      <c r="T446" s="85">
        <v>0</v>
      </c>
      <c r="U446" s="82"/>
      <c r="V446" s="82" t="s">
        <v>3399</v>
      </c>
      <c r="W446" s="82" t="s">
        <v>3395</v>
      </c>
      <c r="X446" s="82" t="s">
        <v>3394</v>
      </c>
      <c r="Y446" s="82" t="s">
        <v>3393</v>
      </c>
    </row>
    <row r="447" spans="1:25" ht="10.9" customHeight="1" x14ac:dyDescent="0.2">
      <c r="A447" s="82" t="s">
        <v>3573</v>
      </c>
      <c r="B447" s="82" t="s">
        <v>159</v>
      </c>
      <c r="C447" s="83">
        <v>45770</v>
      </c>
      <c r="D447" s="83">
        <v>45815</v>
      </c>
      <c r="E447" s="83">
        <v>45835</v>
      </c>
      <c r="F447" s="83">
        <v>45832</v>
      </c>
      <c r="G447" s="83">
        <v>45789</v>
      </c>
      <c r="H447" s="82" t="s">
        <v>3572</v>
      </c>
      <c r="I447" s="82" t="s">
        <v>51</v>
      </c>
      <c r="J447" s="84">
        <v>0.72130799999999995</v>
      </c>
      <c r="K447" s="85">
        <v>42688</v>
      </c>
      <c r="L447" s="85">
        <v>42688</v>
      </c>
      <c r="M447" s="85">
        <v>0</v>
      </c>
      <c r="N447" s="85">
        <v>42688</v>
      </c>
      <c r="O447" s="85">
        <v>0</v>
      </c>
      <c r="P447" s="85">
        <v>59181.376055720997</v>
      </c>
      <c r="Q447" s="85">
        <v>59181.376055720997</v>
      </c>
      <c r="R447" s="85">
        <v>0</v>
      </c>
      <c r="S447" s="85">
        <v>58544.479599999999</v>
      </c>
      <c r="T447" s="85">
        <v>0</v>
      </c>
      <c r="U447" s="82"/>
      <c r="V447" s="82" t="s">
        <v>3399</v>
      </c>
      <c r="W447" s="82" t="s">
        <v>3395</v>
      </c>
      <c r="X447" s="82" t="s">
        <v>3394</v>
      </c>
      <c r="Y447" s="82" t="s">
        <v>3393</v>
      </c>
    </row>
    <row r="448" spans="1:25" ht="10.9" customHeight="1" x14ac:dyDescent="0.2">
      <c r="A448" s="82" t="s">
        <v>3570</v>
      </c>
      <c r="B448" s="82" t="s">
        <v>98</v>
      </c>
      <c r="C448" s="83">
        <v>45770</v>
      </c>
      <c r="D448" s="83">
        <v>45800</v>
      </c>
      <c r="E448" s="83">
        <v>45805</v>
      </c>
      <c r="F448" s="83">
        <v>45798</v>
      </c>
      <c r="G448" s="83">
        <v>45770</v>
      </c>
      <c r="H448" s="82" t="s">
        <v>3569</v>
      </c>
      <c r="I448" s="82" t="s">
        <v>22</v>
      </c>
      <c r="J448" s="84">
        <v>0</v>
      </c>
      <c r="K448" s="85">
        <v>4222.08</v>
      </c>
      <c r="L448" s="85">
        <v>4770.95</v>
      </c>
      <c r="M448" s="85">
        <v>548.87</v>
      </c>
      <c r="N448" s="85">
        <v>4770.95</v>
      </c>
      <c r="O448" s="85">
        <v>0</v>
      </c>
      <c r="P448" s="85">
        <v>4222.08</v>
      </c>
      <c r="Q448" s="85">
        <v>4770.95</v>
      </c>
      <c r="R448" s="85">
        <v>548.87</v>
      </c>
      <c r="S448" s="85">
        <v>4770.95</v>
      </c>
      <c r="T448" s="85">
        <v>0</v>
      </c>
      <c r="U448" s="82"/>
      <c r="V448" s="82" t="s">
        <v>3399</v>
      </c>
      <c r="W448" s="82" t="s">
        <v>3395</v>
      </c>
      <c r="X448" s="82" t="s">
        <v>3394</v>
      </c>
      <c r="Y448" s="82" t="s">
        <v>3393</v>
      </c>
    </row>
    <row r="449" spans="1:25" ht="10.9" customHeight="1" x14ac:dyDescent="0.2">
      <c r="A449" s="82" t="s">
        <v>2593</v>
      </c>
      <c r="B449" s="82" t="s">
        <v>98</v>
      </c>
      <c r="C449" s="83">
        <v>45770</v>
      </c>
      <c r="D449" s="83">
        <v>45800</v>
      </c>
      <c r="E449" s="83">
        <v>45805</v>
      </c>
      <c r="F449" s="83">
        <v>45798</v>
      </c>
      <c r="G449" s="83">
        <v>45770</v>
      </c>
      <c r="H449" s="82" t="s">
        <v>1707</v>
      </c>
      <c r="I449" s="82" t="s">
        <v>22</v>
      </c>
      <c r="J449" s="84">
        <v>0</v>
      </c>
      <c r="K449" s="85">
        <v>141.78</v>
      </c>
      <c r="L449" s="85">
        <v>160.21</v>
      </c>
      <c r="M449" s="85">
        <v>18.43</v>
      </c>
      <c r="N449" s="85">
        <v>160.21</v>
      </c>
      <c r="O449" s="85">
        <v>0</v>
      </c>
      <c r="P449" s="85">
        <v>141.78</v>
      </c>
      <c r="Q449" s="85">
        <v>160.21</v>
      </c>
      <c r="R449" s="85">
        <v>18.43</v>
      </c>
      <c r="S449" s="85">
        <v>160.21</v>
      </c>
      <c r="T449" s="85">
        <v>0</v>
      </c>
      <c r="U449" s="82"/>
      <c r="V449" s="82" t="s">
        <v>3399</v>
      </c>
      <c r="W449" s="82" t="s">
        <v>3395</v>
      </c>
      <c r="X449" s="82" t="s">
        <v>3394</v>
      </c>
      <c r="Y449" s="82" t="s">
        <v>3393</v>
      </c>
    </row>
    <row r="450" spans="1:25" ht="10.9" customHeight="1" x14ac:dyDescent="0.2">
      <c r="A450" s="82" t="s">
        <v>2317</v>
      </c>
      <c r="B450" s="82" t="s">
        <v>98</v>
      </c>
      <c r="C450" s="83">
        <v>45770</v>
      </c>
      <c r="D450" s="83">
        <v>45800</v>
      </c>
      <c r="E450" s="83">
        <v>45805</v>
      </c>
      <c r="F450" s="83">
        <v>45798</v>
      </c>
      <c r="G450" s="83">
        <v>45770</v>
      </c>
      <c r="H450" s="82" t="s">
        <v>3574</v>
      </c>
      <c r="I450" s="82" t="s">
        <v>22</v>
      </c>
      <c r="J450" s="84">
        <v>0</v>
      </c>
      <c r="K450" s="85">
        <v>26543.7</v>
      </c>
      <c r="L450" s="85">
        <v>29994.38</v>
      </c>
      <c r="M450" s="85">
        <v>3450.68</v>
      </c>
      <c r="N450" s="85">
        <v>29994.38</v>
      </c>
      <c r="O450" s="85">
        <v>0</v>
      </c>
      <c r="P450" s="85">
        <v>26543.7</v>
      </c>
      <c r="Q450" s="85">
        <v>29994.38</v>
      </c>
      <c r="R450" s="85">
        <v>3450.68</v>
      </c>
      <c r="S450" s="85">
        <v>29994.38</v>
      </c>
      <c r="T450" s="85">
        <v>0</v>
      </c>
      <c r="U450" s="82"/>
      <c r="V450" s="82" t="s">
        <v>3399</v>
      </c>
      <c r="W450" s="82" t="s">
        <v>3395</v>
      </c>
      <c r="X450" s="82" t="s">
        <v>3394</v>
      </c>
      <c r="Y450" s="82" t="s">
        <v>3393</v>
      </c>
    </row>
    <row r="451" spans="1:25" ht="10.9" customHeight="1" x14ac:dyDescent="0.2">
      <c r="A451" s="82" t="s">
        <v>2662</v>
      </c>
      <c r="B451" s="82" t="s">
        <v>98</v>
      </c>
      <c r="C451" s="83">
        <v>45770</v>
      </c>
      <c r="D451" s="83">
        <v>45800</v>
      </c>
      <c r="E451" s="83">
        <v>45805</v>
      </c>
      <c r="F451" s="83">
        <v>45798</v>
      </c>
      <c r="G451" s="83">
        <v>45770</v>
      </c>
      <c r="H451" s="82" t="s">
        <v>1592</v>
      </c>
      <c r="I451" s="82" t="s">
        <v>22</v>
      </c>
      <c r="J451" s="84">
        <v>0</v>
      </c>
      <c r="K451" s="85">
        <v>4285.93</v>
      </c>
      <c r="L451" s="85">
        <v>4843.09</v>
      </c>
      <c r="M451" s="85">
        <v>557.16</v>
      </c>
      <c r="N451" s="85">
        <v>4843.09</v>
      </c>
      <c r="O451" s="85">
        <v>0</v>
      </c>
      <c r="P451" s="85">
        <v>4285.93</v>
      </c>
      <c r="Q451" s="85">
        <v>4843.09</v>
      </c>
      <c r="R451" s="85">
        <v>557.16</v>
      </c>
      <c r="S451" s="85">
        <v>4843.09</v>
      </c>
      <c r="T451" s="85">
        <v>0</v>
      </c>
      <c r="U451" s="82"/>
      <c r="V451" s="82" t="s">
        <v>3399</v>
      </c>
      <c r="W451" s="82" t="s">
        <v>3395</v>
      </c>
      <c r="X451" s="82" t="s">
        <v>3394</v>
      </c>
      <c r="Y451" s="82" t="s">
        <v>3393</v>
      </c>
    </row>
    <row r="452" spans="1:25" ht="10.9" customHeight="1" x14ac:dyDescent="0.2">
      <c r="A452" s="82" t="s">
        <v>2656</v>
      </c>
      <c r="B452" s="82" t="s">
        <v>70</v>
      </c>
      <c r="C452" s="83">
        <v>45770</v>
      </c>
      <c r="D452" s="83">
        <v>45830</v>
      </c>
      <c r="E452" s="83">
        <v>45859</v>
      </c>
      <c r="F452" s="83">
        <v>45867</v>
      </c>
      <c r="G452" s="83">
        <v>45771</v>
      </c>
      <c r="H452" s="82" t="s">
        <v>1598</v>
      </c>
      <c r="I452" s="82" t="s">
        <v>51</v>
      </c>
      <c r="J452" s="84">
        <v>0.72130799999999995</v>
      </c>
      <c r="K452" s="85">
        <v>1069.02</v>
      </c>
      <c r="L452" s="85">
        <v>1069.02</v>
      </c>
      <c r="M452" s="85">
        <v>0</v>
      </c>
      <c r="N452" s="85">
        <v>1069.02</v>
      </c>
      <c r="O452" s="85">
        <v>0</v>
      </c>
      <c r="P452" s="85">
        <v>1482.057595368414</v>
      </c>
      <c r="Q452" s="85">
        <v>1482.057595368414</v>
      </c>
      <c r="R452" s="85">
        <v>0</v>
      </c>
      <c r="S452" s="85">
        <v>1472.5645999999999</v>
      </c>
      <c r="T452" s="85">
        <v>0</v>
      </c>
      <c r="U452" s="82"/>
      <c r="V452" s="82" t="s">
        <v>3399</v>
      </c>
      <c r="W452" s="82" t="s">
        <v>3395</v>
      </c>
      <c r="X452" s="82" t="s">
        <v>3394</v>
      </c>
      <c r="Y452" s="82" t="s">
        <v>3393</v>
      </c>
    </row>
    <row r="453" spans="1:25" ht="10.9" customHeight="1" x14ac:dyDescent="0.2">
      <c r="A453" s="82" t="s">
        <v>2525</v>
      </c>
      <c r="B453" s="82" t="s">
        <v>86</v>
      </c>
      <c r="C453" s="83">
        <v>45770</v>
      </c>
      <c r="D453" s="83">
        <v>45800</v>
      </c>
      <c r="E453" s="83">
        <v>45800</v>
      </c>
      <c r="F453" s="83">
        <v>45800</v>
      </c>
      <c r="G453" s="83">
        <v>45770</v>
      </c>
      <c r="H453" s="82" t="s">
        <v>1826</v>
      </c>
      <c r="I453" s="82" t="s">
        <v>22</v>
      </c>
      <c r="J453" s="84">
        <v>0</v>
      </c>
      <c r="K453" s="85">
        <v>30.74</v>
      </c>
      <c r="L453" s="85">
        <v>32.28</v>
      </c>
      <c r="M453" s="85">
        <v>1.54</v>
      </c>
      <c r="N453" s="85">
        <v>32.28</v>
      </c>
      <c r="O453" s="85">
        <v>0</v>
      </c>
      <c r="P453" s="85">
        <v>30.74</v>
      </c>
      <c r="Q453" s="85">
        <v>32.28</v>
      </c>
      <c r="R453" s="85">
        <v>1.54</v>
      </c>
      <c r="S453" s="85">
        <v>32.28</v>
      </c>
      <c r="T453" s="85">
        <v>0</v>
      </c>
      <c r="U453" s="82"/>
      <c r="V453" s="82" t="s">
        <v>3399</v>
      </c>
      <c r="W453" s="82" t="s">
        <v>3395</v>
      </c>
      <c r="X453" s="82" t="s">
        <v>3394</v>
      </c>
      <c r="Y453" s="82" t="s">
        <v>3393</v>
      </c>
    </row>
    <row r="454" spans="1:25" ht="10.9" customHeight="1" x14ac:dyDescent="0.2">
      <c r="A454" s="82" t="s">
        <v>2680</v>
      </c>
      <c r="B454" s="82" t="s">
        <v>3412</v>
      </c>
      <c r="C454" s="83">
        <v>45770</v>
      </c>
      <c r="D454" s="83">
        <v>45815</v>
      </c>
      <c r="E454" s="83">
        <v>45821</v>
      </c>
      <c r="F454" s="83">
        <v>45814</v>
      </c>
      <c r="G454" s="83">
        <v>45770</v>
      </c>
      <c r="H454" s="82" t="s">
        <v>1559</v>
      </c>
      <c r="I454" s="82" t="s">
        <v>22</v>
      </c>
      <c r="J454" s="84">
        <v>0</v>
      </c>
      <c r="K454" s="85">
        <v>519.21</v>
      </c>
      <c r="L454" s="85">
        <v>545.16</v>
      </c>
      <c r="M454" s="85">
        <v>25.95</v>
      </c>
      <c r="N454" s="85">
        <v>545.16</v>
      </c>
      <c r="O454" s="85">
        <v>0</v>
      </c>
      <c r="P454" s="85">
        <v>519.21</v>
      </c>
      <c r="Q454" s="85">
        <v>545.16</v>
      </c>
      <c r="R454" s="85">
        <v>25.95</v>
      </c>
      <c r="S454" s="85">
        <v>545.16</v>
      </c>
      <c r="T454" s="85">
        <v>0</v>
      </c>
      <c r="U454" s="82"/>
      <c r="V454" s="82" t="s">
        <v>3399</v>
      </c>
      <c r="W454" s="82" t="s">
        <v>3395</v>
      </c>
      <c r="X454" s="82" t="s">
        <v>3394</v>
      </c>
      <c r="Y454" s="82" t="s">
        <v>3393</v>
      </c>
    </row>
    <row r="455" spans="1:25" ht="10.9" customHeight="1" x14ac:dyDescent="0.2">
      <c r="A455" s="82" t="s">
        <v>2614</v>
      </c>
      <c r="B455" s="82" t="s">
        <v>1670</v>
      </c>
      <c r="C455" s="83">
        <v>45770</v>
      </c>
      <c r="D455" s="83">
        <v>45770</v>
      </c>
      <c r="E455" s="83">
        <v>45770</v>
      </c>
      <c r="F455" s="83">
        <v>45770</v>
      </c>
      <c r="G455" s="83">
        <v>45770</v>
      </c>
      <c r="H455" s="82" t="s">
        <v>3571</v>
      </c>
      <c r="I455" s="82" t="s">
        <v>22</v>
      </c>
      <c r="J455" s="84">
        <v>0</v>
      </c>
      <c r="K455" s="85">
        <v>1640.55</v>
      </c>
      <c r="L455" s="85">
        <v>1722.58</v>
      </c>
      <c r="M455" s="85">
        <v>82.03</v>
      </c>
      <c r="N455" s="85">
        <v>1722.58</v>
      </c>
      <c r="O455" s="85">
        <v>0</v>
      </c>
      <c r="P455" s="85">
        <v>1640.55</v>
      </c>
      <c r="Q455" s="85">
        <v>1722.58</v>
      </c>
      <c r="R455" s="85">
        <v>82.03</v>
      </c>
      <c r="S455" s="85">
        <v>1722.58</v>
      </c>
      <c r="T455" s="85">
        <v>0</v>
      </c>
      <c r="U455" s="82"/>
      <c r="V455" s="82" t="s">
        <v>3399</v>
      </c>
      <c r="W455" s="82" t="s">
        <v>3395</v>
      </c>
      <c r="X455" s="82" t="s">
        <v>3397</v>
      </c>
      <c r="Y455" s="82" t="s">
        <v>3393</v>
      </c>
    </row>
    <row r="456" spans="1:25" ht="10.9" customHeight="1" x14ac:dyDescent="0.2">
      <c r="A456" s="82" t="s">
        <v>3568</v>
      </c>
      <c r="B456" s="82" t="s">
        <v>239</v>
      </c>
      <c r="C456" s="83">
        <v>45771</v>
      </c>
      <c r="D456" s="83">
        <v>45801</v>
      </c>
      <c r="E456" s="83">
        <v>45814</v>
      </c>
      <c r="F456" s="83">
        <v>45806</v>
      </c>
      <c r="G456" s="83">
        <v>45771</v>
      </c>
      <c r="H456" s="82" t="s">
        <v>3567</v>
      </c>
      <c r="I456" s="82" t="s">
        <v>51</v>
      </c>
      <c r="J456" s="84">
        <v>0.72111599999999998</v>
      </c>
      <c r="K456" s="85">
        <v>14406</v>
      </c>
      <c r="L456" s="85">
        <v>14406</v>
      </c>
      <c r="M456" s="85">
        <v>0</v>
      </c>
      <c r="N456" s="85">
        <v>14406</v>
      </c>
      <c r="O456" s="85">
        <v>0</v>
      </c>
      <c r="P456" s="85">
        <v>19977.368412294276</v>
      </c>
      <c r="Q456" s="85">
        <v>19977.368412294276</v>
      </c>
      <c r="R456" s="85">
        <v>0</v>
      </c>
      <c r="S456" s="85">
        <v>19892.5147</v>
      </c>
      <c r="T456" s="85">
        <v>0</v>
      </c>
      <c r="U456" s="82"/>
      <c r="V456" s="82" t="s">
        <v>3399</v>
      </c>
      <c r="W456" s="82" t="s">
        <v>3395</v>
      </c>
      <c r="X456" s="82" t="s">
        <v>3394</v>
      </c>
      <c r="Y456" s="82" t="s">
        <v>3393</v>
      </c>
    </row>
    <row r="457" spans="1:25" ht="10.9" customHeight="1" x14ac:dyDescent="0.2">
      <c r="A457" s="82" t="s">
        <v>2620</v>
      </c>
      <c r="B457" s="82" t="s">
        <v>159</v>
      </c>
      <c r="C457" s="83">
        <v>45771</v>
      </c>
      <c r="D457" s="83">
        <v>45816</v>
      </c>
      <c r="E457" s="83">
        <v>45828</v>
      </c>
      <c r="F457" s="83">
        <v>45821</v>
      </c>
      <c r="G457" s="83">
        <v>45771</v>
      </c>
      <c r="H457" s="82" t="s">
        <v>1663</v>
      </c>
      <c r="I457" s="82" t="s">
        <v>51</v>
      </c>
      <c r="J457" s="84">
        <v>0.72111599999999998</v>
      </c>
      <c r="K457" s="85">
        <v>30541.5</v>
      </c>
      <c r="L457" s="85">
        <v>30541.5</v>
      </c>
      <c r="M457" s="85">
        <v>0</v>
      </c>
      <c r="N457" s="85">
        <v>30541.5</v>
      </c>
      <c r="O457" s="85">
        <v>0</v>
      </c>
      <c r="P457" s="85">
        <v>42353.102690829211</v>
      </c>
      <c r="Q457" s="85">
        <v>42353.102690829211</v>
      </c>
      <c r="R457" s="85">
        <v>0</v>
      </c>
      <c r="S457" s="85">
        <v>41481.780400000003</v>
      </c>
      <c r="T457" s="85">
        <v>0</v>
      </c>
      <c r="U457" s="82"/>
      <c r="V457" s="82" t="s">
        <v>3399</v>
      </c>
      <c r="W457" s="82" t="s">
        <v>3395</v>
      </c>
      <c r="X457" s="82" t="s">
        <v>3394</v>
      </c>
      <c r="Y457" s="82" t="s">
        <v>3393</v>
      </c>
    </row>
    <row r="458" spans="1:25" ht="10.9" customHeight="1" x14ac:dyDescent="0.2">
      <c r="A458" s="82" t="s">
        <v>2685</v>
      </c>
      <c r="B458" s="82" t="s">
        <v>159</v>
      </c>
      <c r="C458" s="83">
        <v>45771</v>
      </c>
      <c r="D458" s="83">
        <v>45816</v>
      </c>
      <c r="E458" s="83">
        <v>45828</v>
      </c>
      <c r="F458" s="83">
        <v>45814</v>
      </c>
      <c r="G458" s="83">
        <v>45771</v>
      </c>
      <c r="H458" s="82" t="s">
        <v>1551</v>
      </c>
      <c r="I458" s="82" t="s">
        <v>51</v>
      </c>
      <c r="J458" s="84">
        <v>0.72111599999999998</v>
      </c>
      <c r="K458" s="85">
        <v>7451.44</v>
      </c>
      <c r="L458" s="85">
        <v>7451.44</v>
      </c>
      <c r="M458" s="85">
        <v>0</v>
      </c>
      <c r="N458" s="85">
        <v>7451.44</v>
      </c>
      <c r="O458" s="85">
        <v>0</v>
      </c>
      <c r="P458" s="85">
        <v>10333.205753304601</v>
      </c>
      <c r="Q458" s="85">
        <v>10333.205753304601</v>
      </c>
      <c r="R458" s="85">
        <v>0</v>
      </c>
      <c r="S458" s="85">
        <v>10205.718500000001</v>
      </c>
      <c r="T458" s="85">
        <v>0</v>
      </c>
      <c r="U458" s="82"/>
      <c r="V458" s="82" t="s">
        <v>3399</v>
      </c>
      <c r="W458" s="82" t="s">
        <v>3395</v>
      </c>
      <c r="X458" s="82" t="s">
        <v>3394</v>
      </c>
      <c r="Y458" s="82" t="s">
        <v>3393</v>
      </c>
    </row>
    <row r="459" spans="1:25" ht="10.9" customHeight="1" x14ac:dyDescent="0.2">
      <c r="A459" s="82" t="s">
        <v>2686</v>
      </c>
      <c r="B459" s="82" t="s">
        <v>159</v>
      </c>
      <c r="C459" s="83">
        <v>45771</v>
      </c>
      <c r="D459" s="83">
        <v>45816</v>
      </c>
      <c r="E459" s="83">
        <v>45828</v>
      </c>
      <c r="F459" s="83">
        <v>45814</v>
      </c>
      <c r="G459" s="83">
        <v>45771</v>
      </c>
      <c r="H459" s="82" t="s">
        <v>1549</v>
      </c>
      <c r="I459" s="82" t="s">
        <v>51</v>
      </c>
      <c r="J459" s="84">
        <v>0.72111599999999998</v>
      </c>
      <c r="K459" s="85">
        <v>6056.5</v>
      </c>
      <c r="L459" s="85">
        <v>6056.5</v>
      </c>
      <c r="M459" s="85">
        <v>0</v>
      </c>
      <c r="N459" s="85">
        <v>6056.5</v>
      </c>
      <c r="O459" s="85">
        <v>0</v>
      </c>
      <c r="P459" s="85">
        <v>8398.7874350312577</v>
      </c>
      <c r="Q459" s="85">
        <v>8398.7874350312577</v>
      </c>
      <c r="R459" s="85">
        <v>0</v>
      </c>
      <c r="S459" s="85">
        <v>8295.1663000000008</v>
      </c>
      <c r="T459" s="85">
        <v>0</v>
      </c>
      <c r="U459" s="82"/>
      <c r="V459" s="82" t="s">
        <v>3399</v>
      </c>
      <c r="W459" s="82" t="s">
        <v>3395</v>
      </c>
      <c r="X459" s="82" t="s">
        <v>3394</v>
      </c>
      <c r="Y459" s="82" t="s">
        <v>3393</v>
      </c>
    </row>
    <row r="460" spans="1:25" ht="10.9" customHeight="1" x14ac:dyDescent="0.2">
      <c r="A460" s="82" t="s">
        <v>2683</v>
      </c>
      <c r="B460" s="82" t="s">
        <v>290</v>
      </c>
      <c r="C460" s="83">
        <v>45771</v>
      </c>
      <c r="D460" s="83">
        <v>45831</v>
      </c>
      <c r="E460" s="83">
        <v>45831</v>
      </c>
      <c r="F460" s="83">
        <v>45831</v>
      </c>
      <c r="G460" s="83">
        <v>45771</v>
      </c>
      <c r="H460" s="82" t="s">
        <v>1555</v>
      </c>
      <c r="I460" s="82" t="s">
        <v>22</v>
      </c>
      <c r="J460" s="84">
        <v>0</v>
      </c>
      <c r="K460" s="85">
        <v>1879.56</v>
      </c>
      <c r="L460" s="85">
        <v>1973.54</v>
      </c>
      <c r="M460" s="85">
        <v>93.98</v>
      </c>
      <c r="N460" s="85">
        <v>1973.54</v>
      </c>
      <c r="O460" s="85">
        <v>0</v>
      </c>
      <c r="P460" s="85">
        <v>1879.56</v>
      </c>
      <c r="Q460" s="85">
        <v>1973.54</v>
      </c>
      <c r="R460" s="85">
        <v>93.98</v>
      </c>
      <c r="S460" s="85">
        <v>1973.54</v>
      </c>
      <c r="T460" s="85">
        <v>0</v>
      </c>
      <c r="U460" s="82"/>
      <c r="V460" s="82" t="s">
        <v>3399</v>
      </c>
      <c r="W460" s="82" t="s">
        <v>3395</v>
      </c>
      <c r="X460" s="82" t="s">
        <v>3394</v>
      </c>
      <c r="Y460" s="82" t="s">
        <v>3393</v>
      </c>
    </row>
    <row r="461" spans="1:25" ht="10.9" customHeight="1" x14ac:dyDescent="0.2">
      <c r="A461" s="82" t="s">
        <v>2673</v>
      </c>
      <c r="B461" s="82" t="s">
        <v>242</v>
      </c>
      <c r="C461" s="83">
        <v>45771</v>
      </c>
      <c r="D461" s="83">
        <v>45801</v>
      </c>
      <c r="E461" s="83">
        <v>45807</v>
      </c>
      <c r="F461" s="83">
        <v>45805</v>
      </c>
      <c r="G461" s="83">
        <v>45771</v>
      </c>
      <c r="H461" s="82" t="s">
        <v>1573</v>
      </c>
      <c r="I461" s="82" t="s">
        <v>22</v>
      </c>
      <c r="J461" s="84">
        <v>0</v>
      </c>
      <c r="K461" s="85">
        <v>295.45999999999998</v>
      </c>
      <c r="L461" s="85">
        <v>310.23</v>
      </c>
      <c r="M461" s="85">
        <v>14.77</v>
      </c>
      <c r="N461" s="85">
        <v>310.23</v>
      </c>
      <c r="O461" s="85">
        <v>0</v>
      </c>
      <c r="P461" s="85">
        <v>295.45999999999998</v>
      </c>
      <c r="Q461" s="85">
        <v>310.23</v>
      </c>
      <c r="R461" s="85">
        <v>14.77</v>
      </c>
      <c r="S461" s="85">
        <v>310.23</v>
      </c>
      <c r="T461" s="85">
        <v>0</v>
      </c>
      <c r="U461" s="82"/>
      <c r="V461" s="82" t="s">
        <v>3399</v>
      </c>
      <c r="W461" s="82" t="s">
        <v>3395</v>
      </c>
      <c r="X461" s="82" t="s">
        <v>3394</v>
      </c>
      <c r="Y461" s="82" t="s">
        <v>3393</v>
      </c>
    </row>
    <row r="462" spans="1:25" ht="10.9" customHeight="1" x14ac:dyDescent="0.2">
      <c r="A462" s="82" t="s">
        <v>2642</v>
      </c>
      <c r="B462" s="82" t="s">
        <v>229</v>
      </c>
      <c r="C462" s="83">
        <v>45771</v>
      </c>
      <c r="D462" s="83">
        <v>45801</v>
      </c>
      <c r="E462" s="83">
        <v>45807</v>
      </c>
      <c r="F462" s="83">
        <v>45805</v>
      </c>
      <c r="G462" s="83">
        <v>45771</v>
      </c>
      <c r="H462" s="82" t="s">
        <v>1628</v>
      </c>
      <c r="I462" s="82" t="s">
        <v>22</v>
      </c>
      <c r="J462" s="84">
        <v>0</v>
      </c>
      <c r="K462" s="85">
        <v>147.72999999999999</v>
      </c>
      <c r="L462" s="85">
        <v>155.12</v>
      </c>
      <c r="M462" s="85">
        <v>7.39</v>
      </c>
      <c r="N462" s="85">
        <v>155.12</v>
      </c>
      <c r="O462" s="85">
        <v>0</v>
      </c>
      <c r="P462" s="85">
        <v>147.72999999999999</v>
      </c>
      <c r="Q462" s="85">
        <v>155.12</v>
      </c>
      <c r="R462" s="85">
        <v>7.39</v>
      </c>
      <c r="S462" s="85">
        <v>155.12</v>
      </c>
      <c r="T462" s="85">
        <v>0</v>
      </c>
      <c r="U462" s="82"/>
      <c r="V462" s="82" t="s">
        <v>3399</v>
      </c>
      <c r="W462" s="82" t="s">
        <v>3395</v>
      </c>
      <c r="X462" s="82" t="s">
        <v>3394</v>
      </c>
      <c r="Y462" s="82" t="s">
        <v>3393</v>
      </c>
    </row>
    <row r="463" spans="1:25" ht="10.9" customHeight="1" x14ac:dyDescent="0.2">
      <c r="A463" s="82" t="s">
        <v>2682</v>
      </c>
      <c r="B463" s="82" t="s">
        <v>3412</v>
      </c>
      <c r="C463" s="83">
        <v>45771</v>
      </c>
      <c r="D463" s="83">
        <v>45816</v>
      </c>
      <c r="E463" s="83">
        <v>45821</v>
      </c>
      <c r="F463" s="83">
        <v>45814</v>
      </c>
      <c r="G463" s="83">
        <v>45771</v>
      </c>
      <c r="H463" s="82" t="s">
        <v>1557</v>
      </c>
      <c r="I463" s="82" t="s">
        <v>22</v>
      </c>
      <c r="J463" s="84">
        <v>0</v>
      </c>
      <c r="K463" s="85">
        <v>7240.4</v>
      </c>
      <c r="L463" s="85">
        <v>7602.43</v>
      </c>
      <c r="M463" s="85">
        <v>362.03</v>
      </c>
      <c r="N463" s="85">
        <v>7602.43</v>
      </c>
      <c r="O463" s="85">
        <v>0</v>
      </c>
      <c r="P463" s="85">
        <v>7240.4</v>
      </c>
      <c r="Q463" s="85">
        <v>7602.43</v>
      </c>
      <c r="R463" s="85">
        <v>362.03</v>
      </c>
      <c r="S463" s="85">
        <v>7602.43</v>
      </c>
      <c r="T463" s="85">
        <v>0</v>
      </c>
      <c r="U463" s="82"/>
      <c r="V463" s="82" t="s">
        <v>3399</v>
      </c>
      <c r="W463" s="82" t="s">
        <v>3395</v>
      </c>
      <c r="X463" s="82" t="s">
        <v>3394</v>
      </c>
      <c r="Y463" s="82" t="s">
        <v>3393</v>
      </c>
    </row>
    <row r="464" spans="1:25" ht="10.9" customHeight="1" x14ac:dyDescent="0.2">
      <c r="A464" s="82" t="s">
        <v>2606</v>
      </c>
      <c r="B464" s="82" t="s">
        <v>54</v>
      </c>
      <c r="C464" s="83">
        <v>45772</v>
      </c>
      <c r="D464" s="83">
        <v>45802</v>
      </c>
      <c r="E464" s="83">
        <v>45814</v>
      </c>
      <c r="F464" s="83">
        <v>45821</v>
      </c>
      <c r="G464" s="83">
        <v>45774</v>
      </c>
      <c r="H464" s="82" t="s">
        <v>1684</v>
      </c>
      <c r="I464" s="82" t="s">
        <v>22</v>
      </c>
      <c r="J464" s="84">
        <v>0</v>
      </c>
      <c r="K464" s="85">
        <v>5998.85</v>
      </c>
      <c r="L464" s="85">
        <v>6298.79</v>
      </c>
      <c r="M464" s="85">
        <v>299.94</v>
      </c>
      <c r="N464" s="85">
        <v>6298.79</v>
      </c>
      <c r="O464" s="85">
        <v>0</v>
      </c>
      <c r="P464" s="85">
        <v>5998.85</v>
      </c>
      <c r="Q464" s="85">
        <v>6298.79</v>
      </c>
      <c r="R464" s="85">
        <v>299.94</v>
      </c>
      <c r="S464" s="85">
        <v>6298.79</v>
      </c>
      <c r="T464" s="85">
        <v>0</v>
      </c>
      <c r="U464" s="82"/>
      <c r="V464" s="82" t="s">
        <v>3399</v>
      </c>
      <c r="W464" s="82" t="s">
        <v>3395</v>
      </c>
      <c r="X464" s="82" t="s">
        <v>3394</v>
      </c>
      <c r="Y464" s="82" t="s">
        <v>3393</v>
      </c>
    </row>
    <row r="465" spans="1:25" ht="10.9" customHeight="1" x14ac:dyDescent="0.2">
      <c r="A465" s="82" t="s">
        <v>2666</v>
      </c>
      <c r="B465" s="82" t="s">
        <v>714</v>
      </c>
      <c r="C465" s="83">
        <v>45775</v>
      </c>
      <c r="D465" s="83">
        <v>45805</v>
      </c>
      <c r="E465" s="83">
        <v>45807</v>
      </c>
      <c r="F465" s="83">
        <v>45804</v>
      </c>
      <c r="G465" s="83">
        <v>45775</v>
      </c>
      <c r="H465" s="82" t="s">
        <v>1586</v>
      </c>
      <c r="I465" s="82" t="s">
        <v>51</v>
      </c>
      <c r="J465" s="84">
        <v>0.72262700000000002</v>
      </c>
      <c r="K465" s="85">
        <v>4785.5</v>
      </c>
      <c r="L465" s="85">
        <v>4785.5</v>
      </c>
      <c r="M465" s="85">
        <v>0</v>
      </c>
      <c r="N465" s="85">
        <v>4785.5</v>
      </c>
      <c r="O465" s="85">
        <v>0</v>
      </c>
      <c r="P465" s="85">
        <v>6622.3653420090859</v>
      </c>
      <c r="Q465" s="85">
        <v>6622.3653420090859</v>
      </c>
      <c r="R465" s="85">
        <v>0</v>
      </c>
      <c r="S465" s="85">
        <v>6594.7043999999996</v>
      </c>
      <c r="T465" s="85">
        <v>0</v>
      </c>
      <c r="U465" s="82"/>
      <c r="V465" s="82" t="s">
        <v>3399</v>
      </c>
      <c r="W465" s="82" t="s">
        <v>3395</v>
      </c>
      <c r="X465" s="82" t="s">
        <v>3397</v>
      </c>
      <c r="Y465" s="82" t="s">
        <v>3393</v>
      </c>
    </row>
    <row r="466" spans="1:25" ht="10.9" customHeight="1" x14ac:dyDescent="0.2">
      <c r="A466" s="82" t="s">
        <v>2616</v>
      </c>
      <c r="B466" s="82" t="s">
        <v>714</v>
      </c>
      <c r="C466" s="83">
        <v>45775</v>
      </c>
      <c r="D466" s="83">
        <v>45805</v>
      </c>
      <c r="E466" s="83">
        <v>45807</v>
      </c>
      <c r="F466" s="83">
        <v>45804</v>
      </c>
      <c r="G466" s="83">
        <v>45775</v>
      </c>
      <c r="H466" s="82" t="s">
        <v>1667</v>
      </c>
      <c r="I466" s="82" t="s">
        <v>51</v>
      </c>
      <c r="J466" s="84">
        <v>0.723715</v>
      </c>
      <c r="K466" s="85">
        <v>189.35</v>
      </c>
      <c r="L466" s="85">
        <v>189.35</v>
      </c>
      <c r="M466" s="85">
        <v>0</v>
      </c>
      <c r="N466" s="85">
        <v>189.35</v>
      </c>
      <c r="O466" s="85">
        <v>0</v>
      </c>
      <c r="P466" s="85">
        <v>261.63614129871559</v>
      </c>
      <c r="Q466" s="85">
        <v>261.63614129871559</v>
      </c>
      <c r="R466" s="85">
        <v>0</v>
      </c>
      <c r="S466" s="85">
        <v>260.93560000000002</v>
      </c>
      <c r="T466" s="85">
        <v>0</v>
      </c>
      <c r="U466" s="82"/>
      <c r="V466" s="82" t="s">
        <v>3399</v>
      </c>
      <c r="W466" s="82" t="s">
        <v>3395</v>
      </c>
      <c r="X466" s="82" t="s">
        <v>3394</v>
      </c>
      <c r="Y466" s="82" t="s">
        <v>3393</v>
      </c>
    </row>
    <row r="467" spans="1:25" ht="10.9" customHeight="1" x14ac:dyDescent="0.2">
      <c r="A467" s="82" t="s">
        <v>2588</v>
      </c>
      <c r="B467" s="82" t="s">
        <v>714</v>
      </c>
      <c r="C467" s="83">
        <v>45775</v>
      </c>
      <c r="D467" s="83">
        <v>45805</v>
      </c>
      <c r="E467" s="83">
        <v>45807</v>
      </c>
      <c r="F467" s="83">
        <v>45804</v>
      </c>
      <c r="G467" s="83">
        <v>45775</v>
      </c>
      <c r="H467" s="82" t="s">
        <v>1715</v>
      </c>
      <c r="I467" s="82" t="s">
        <v>51</v>
      </c>
      <c r="J467" s="84">
        <v>0.723715</v>
      </c>
      <c r="K467" s="85">
        <v>444.92</v>
      </c>
      <c r="L467" s="85">
        <v>444.92</v>
      </c>
      <c r="M467" s="85">
        <v>0</v>
      </c>
      <c r="N467" s="85">
        <v>444.92</v>
      </c>
      <c r="O467" s="85">
        <v>0</v>
      </c>
      <c r="P467" s="85">
        <v>614.77238968378435</v>
      </c>
      <c r="Q467" s="85">
        <v>614.77238968378435</v>
      </c>
      <c r="R467" s="85">
        <v>0</v>
      </c>
      <c r="S467" s="85">
        <v>613.12630000000001</v>
      </c>
      <c r="T467" s="85">
        <v>0</v>
      </c>
      <c r="U467" s="82"/>
      <c r="V467" s="82" t="s">
        <v>3399</v>
      </c>
      <c r="W467" s="82" t="s">
        <v>3395</v>
      </c>
      <c r="X467" s="82" t="s">
        <v>3394</v>
      </c>
      <c r="Y467" s="82" t="s">
        <v>3393</v>
      </c>
    </row>
    <row r="468" spans="1:25" ht="10.9" customHeight="1" x14ac:dyDescent="0.2">
      <c r="A468" s="82" t="s">
        <v>2697</v>
      </c>
      <c r="B468" s="82" t="s">
        <v>192</v>
      </c>
      <c r="C468" s="83">
        <v>45775</v>
      </c>
      <c r="D468" s="83">
        <v>45805</v>
      </c>
      <c r="E468" s="83">
        <v>45835</v>
      </c>
      <c r="F468" s="83">
        <v>45843</v>
      </c>
      <c r="G468" s="83">
        <v>45775</v>
      </c>
      <c r="H468" s="82" t="s">
        <v>1529</v>
      </c>
      <c r="I468" s="82" t="s">
        <v>51</v>
      </c>
      <c r="J468" s="84">
        <v>0.723715</v>
      </c>
      <c r="K468" s="85">
        <v>6098.6</v>
      </c>
      <c r="L468" s="85">
        <v>6098.6</v>
      </c>
      <c r="M468" s="85">
        <v>0</v>
      </c>
      <c r="N468" s="85">
        <v>6098.6</v>
      </c>
      <c r="O468" s="85">
        <v>0</v>
      </c>
      <c r="P468" s="85">
        <v>8426.7978416918268</v>
      </c>
      <c r="Q468" s="85">
        <v>8426.7978416918268</v>
      </c>
      <c r="R468" s="85">
        <v>0</v>
      </c>
      <c r="S468" s="85">
        <v>8297.4488999999994</v>
      </c>
      <c r="T468" s="85">
        <v>0</v>
      </c>
      <c r="U468" s="82"/>
      <c r="V468" s="82" t="s">
        <v>3399</v>
      </c>
      <c r="W468" s="82" t="s">
        <v>3395</v>
      </c>
      <c r="X468" s="82" t="s">
        <v>3394</v>
      </c>
      <c r="Y468" s="82" t="s">
        <v>3393</v>
      </c>
    </row>
    <row r="469" spans="1:25" ht="10.9" customHeight="1" x14ac:dyDescent="0.2">
      <c r="A469" s="82" t="s">
        <v>2696</v>
      </c>
      <c r="B469" s="82" t="s">
        <v>149</v>
      </c>
      <c r="C469" s="83">
        <v>45776</v>
      </c>
      <c r="D469" s="83">
        <v>45806</v>
      </c>
      <c r="E469" s="83">
        <v>45828</v>
      </c>
      <c r="F469" s="83">
        <v>45807</v>
      </c>
      <c r="G469" s="83">
        <v>45776</v>
      </c>
      <c r="H469" s="82" t="s">
        <v>1531</v>
      </c>
      <c r="I469" s="82" t="s">
        <v>51</v>
      </c>
      <c r="J469" s="84">
        <v>0.722329</v>
      </c>
      <c r="K469" s="85">
        <v>4128.96</v>
      </c>
      <c r="L469" s="85">
        <v>4128.96</v>
      </c>
      <c r="M469" s="85">
        <v>0</v>
      </c>
      <c r="N469" s="85">
        <v>4128.96</v>
      </c>
      <c r="O469" s="85">
        <v>0</v>
      </c>
      <c r="P469" s="85">
        <v>5716.1764237625785</v>
      </c>
      <c r="Q469" s="85">
        <v>5716.1764237625785</v>
      </c>
      <c r="R469" s="85">
        <v>0</v>
      </c>
      <c r="S469" s="85">
        <v>5664.0626000000002</v>
      </c>
      <c r="T469" s="85">
        <v>0</v>
      </c>
      <c r="U469" s="82"/>
      <c r="V469" s="82" t="s">
        <v>3399</v>
      </c>
      <c r="W469" s="82" t="s">
        <v>3395</v>
      </c>
      <c r="X469" s="82" t="s">
        <v>3394</v>
      </c>
      <c r="Y469" s="82" t="s">
        <v>3393</v>
      </c>
    </row>
    <row r="470" spans="1:25" ht="10.9" customHeight="1" x14ac:dyDescent="0.2">
      <c r="A470" s="82" t="s">
        <v>2374</v>
      </c>
      <c r="B470" s="82" t="s">
        <v>1852</v>
      </c>
      <c r="C470" s="83">
        <v>45776</v>
      </c>
      <c r="D470" s="83">
        <v>45776</v>
      </c>
      <c r="E470" s="83">
        <v>45776</v>
      </c>
      <c r="F470" s="83">
        <v>45776</v>
      </c>
      <c r="G470" s="83">
        <v>45776</v>
      </c>
      <c r="H470" s="82" t="s">
        <v>2075</v>
      </c>
      <c r="I470" s="82" t="s">
        <v>51</v>
      </c>
      <c r="J470" s="84">
        <v>0.722329</v>
      </c>
      <c r="K470" s="85">
        <v>369.88</v>
      </c>
      <c r="L470" s="85">
        <v>369.88</v>
      </c>
      <c r="M470" s="85">
        <v>0</v>
      </c>
      <c r="N470" s="85">
        <v>369.88</v>
      </c>
      <c r="O470" s="85">
        <v>0</v>
      </c>
      <c r="P470" s="85">
        <v>512.06583149783535</v>
      </c>
      <c r="Q470" s="85">
        <v>512.06583149783535</v>
      </c>
      <c r="R470" s="85">
        <v>0</v>
      </c>
      <c r="S470" s="85">
        <v>535.20550000000003</v>
      </c>
      <c r="T470" s="85">
        <v>0</v>
      </c>
      <c r="U470" s="82"/>
      <c r="V470" s="82" t="s">
        <v>3399</v>
      </c>
      <c r="W470" s="82" t="s">
        <v>3395</v>
      </c>
      <c r="X470" s="82" t="s">
        <v>3397</v>
      </c>
      <c r="Y470" s="82" t="s">
        <v>3393</v>
      </c>
    </row>
    <row r="471" spans="1:25" ht="10.9" customHeight="1" x14ac:dyDescent="0.2">
      <c r="A471" s="82" t="s">
        <v>2694</v>
      </c>
      <c r="B471" s="82" t="s">
        <v>141</v>
      </c>
      <c r="C471" s="83">
        <v>45776</v>
      </c>
      <c r="D471" s="83">
        <v>45821</v>
      </c>
      <c r="E471" s="83">
        <v>45835</v>
      </c>
      <c r="F471" s="83">
        <v>45840</v>
      </c>
      <c r="G471" s="83">
        <v>45776</v>
      </c>
      <c r="H471" s="82" t="s">
        <v>1535</v>
      </c>
      <c r="I471" s="82" t="s">
        <v>51</v>
      </c>
      <c r="J471" s="84">
        <v>0.722329</v>
      </c>
      <c r="K471" s="85">
        <v>339.85</v>
      </c>
      <c r="L471" s="85">
        <v>339.85</v>
      </c>
      <c r="M471" s="85">
        <v>0</v>
      </c>
      <c r="N471" s="85">
        <v>339.85</v>
      </c>
      <c r="O471" s="85">
        <v>0</v>
      </c>
      <c r="P471" s="85">
        <v>470.49197803217089</v>
      </c>
      <c r="Q471" s="85">
        <v>470.49197803217089</v>
      </c>
      <c r="R471" s="85">
        <v>0</v>
      </c>
      <c r="S471" s="85">
        <v>463.72859999999997</v>
      </c>
      <c r="T471" s="85">
        <v>0</v>
      </c>
      <c r="U471" s="82"/>
      <c r="V471" s="82" t="s">
        <v>3399</v>
      </c>
      <c r="W471" s="82" t="s">
        <v>3395</v>
      </c>
      <c r="X471" s="82" t="s">
        <v>3394</v>
      </c>
      <c r="Y471" s="82" t="s">
        <v>3393</v>
      </c>
    </row>
    <row r="472" spans="1:25" ht="10.9" customHeight="1" x14ac:dyDescent="0.2">
      <c r="A472" s="82" t="s">
        <v>2659</v>
      </c>
      <c r="B472" s="82" t="s">
        <v>39</v>
      </c>
      <c r="C472" s="83">
        <v>45776</v>
      </c>
      <c r="D472" s="83">
        <v>45806</v>
      </c>
      <c r="E472" s="83">
        <v>45806</v>
      </c>
      <c r="F472" s="83">
        <v>45806</v>
      </c>
      <c r="G472" s="83">
        <v>45776</v>
      </c>
      <c r="H472" s="82" t="s">
        <v>1594</v>
      </c>
      <c r="I472" s="82" t="s">
        <v>22</v>
      </c>
      <c r="J472" s="84">
        <v>0</v>
      </c>
      <c r="K472" s="85">
        <v>1340.49</v>
      </c>
      <c r="L472" s="85">
        <v>1407.51</v>
      </c>
      <c r="M472" s="85">
        <v>67.02</v>
      </c>
      <c r="N472" s="85">
        <v>1407.51</v>
      </c>
      <c r="O472" s="85">
        <v>0</v>
      </c>
      <c r="P472" s="85">
        <v>1340.49</v>
      </c>
      <c r="Q472" s="85">
        <v>1407.51</v>
      </c>
      <c r="R472" s="85">
        <v>67.02</v>
      </c>
      <c r="S472" s="85">
        <v>1407.51</v>
      </c>
      <c r="T472" s="85">
        <v>0</v>
      </c>
      <c r="U472" s="82"/>
      <c r="V472" s="82" t="s">
        <v>3399</v>
      </c>
      <c r="W472" s="82" t="s">
        <v>3395</v>
      </c>
      <c r="X472" s="82" t="s">
        <v>3394</v>
      </c>
      <c r="Y472" s="82" t="s">
        <v>3393</v>
      </c>
    </row>
    <row r="473" spans="1:25" ht="10.9" customHeight="1" x14ac:dyDescent="0.2">
      <c r="A473" s="82" t="s">
        <v>2702</v>
      </c>
      <c r="B473" s="82" t="s">
        <v>556</v>
      </c>
      <c r="C473" s="83">
        <v>45776</v>
      </c>
      <c r="D473" s="83">
        <v>45806</v>
      </c>
      <c r="E473" s="83">
        <v>45821</v>
      </c>
      <c r="F473" s="83">
        <v>45828</v>
      </c>
      <c r="G473" s="83">
        <v>45776</v>
      </c>
      <c r="H473" s="82" t="s">
        <v>3565</v>
      </c>
      <c r="I473" s="82" t="s">
        <v>22</v>
      </c>
      <c r="J473" s="84">
        <v>0</v>
      </c>
      <c r="K473" s="85">
        <v>425.21</v>
      </c>
      <c r="L473" s="85">
        <v>480.49</v>
      </c>
      <c r="M473" s="85">
        <v>55.28</v>
      </c>
      <c r="N473" s="85">
        <v>480.49</v>
      </c>
      <c r="O473" s="85">
        <v>0</v>
      </c>
      <c r="P473" s="85">
        <v>425.21</v>
      </c>
      <c r="Q473" s="85">
        <v>480.49</v>
      </c>
      <c r="R473" s="85">
        <v>55.28</v>
      </c>
      <c r="S473" s="85">
        <v>480.49</v>
      </c>
      <c r="T473" s="85">
        <v>0</v>
      </c>
      <c r="U473" s="82"/>
      <c r="V473" s="82" t="s">
        <v>3399</v>
      </c>
      <c r="W473" s="82" t="s">
        <v>3395</v>
      </c>
      <c r="X473" s="82" t="s">
        <v>3394</v>
      </c>
      <c r="Y473" s="82" t="s">
        <v>3393</v>
      </c>
    </row>
    <row r="474" spans="1:25" ht="10.9" customHeight="1" x14ac:dyDescent="0.2">
      <c r="A474" s="82" t="s">
        <v>2655</v>
      </c>
      <c r="B474" s="82" t="s">
        <v>242</v>
      </c>
      <c r="C474" s="83">
        <v>45776</v>
      </c>
      <c r="D474" s="83">
        <v>45806</v>
      </c>
      <c r="E474" s="83">
        <v>45814</v>
      </c>
      <c r="F474" s="83">
        <v>45812</v>
      </c>
      <c r="G474" s="83">
        <v>45776</v>
      </c>
      <c r="H474" s="82" t="s">
        <v>1600</v>
      </c>
      <c r="I474" s="82" t="s">
        <v>22</v>
      </c>
      <c r="J474" s="84">
        <v>0</v>
      </c>
      <c r="K474" s="85">
        <v>3281.44</v>
      </c>
      <c r="L474" s="85">
        <v>3445.52</v>
      </c>
      <c r="M474" s="85">
        <v>164.08</v>
      </c>
      <c r="N474" s="85">
        <v>3445.52</v>
      </c>
      <c r="O474" s="85">
        <v>0</v>
      </c>
      <c r="P474" s="85">
        <v>3281.44</v>
      </c>
      <c r="Q474" s="85">
        <v>3445.52</v>
      </c>
      <c r="R474" s="85">
        <v>164.08</v>
      </c>
      <c r="S474" s="85">
        <v>3445.52</v>
      </c>
      <c r="T474" s="85">
        <v>0</v>
      </c>
      <c r="U474" s="82"/>
      <c r="V474" s="82" t="s">
        <v>3399</v>
      </c>
      <c r="W474" s="82" t="s">
        <v>3395</v>
      </c>
      <c r="X474" s="82" t="s">
        <v>3394</v>
      </c>
      <c r="Y474" s="82" t="s">
        <v>3393</v>
      </c>
    </row>
    <row r="475" spans="1:25" ht="10.9" customHeight="1" x14ac:dyDescent="0.2">
      <c r="A475" s="82" t="s">
        <v>2695</v>
      </c>
      <c r="B475" s="82" t="s">
        <v>176</v>
      </c>
      <c r="C475" s="83">
        <v>45776</v>
      </c>
      <c r="D475" s="83">
        <v>45776</v>
      </c>
      <c r="E475" s="83">
        <v>45776</v>
      </c>
      <c r="F475" s="83">
        <v>45772</v>
      </c>
      <c r="G475" s="83">
        <v>45776</v>
      </c>
      <c r="H475" s="82" t="s">
        <v>3564</v>
      </c>
      <c r="I475" s="82" t="s">
        <v>22</v>
      </c>
      <c r="J475" s="84">
        <v>0</v>
      </c>
      <c r="K475" s="85">
        <v>419.88</v>
      </c>
      <c r="L475" s="85">
        <v>474.46</v>
      </c>
      <c r="M475" s="85">
        <v>54.58</v>
      </c>
      <c r="N475" s="85">
        <v>474.46</v>
      </c>
      <c r="O475" s="85">
        <v>0</v>
      </c>
      <c r="P475" s="85">
        <v>419.88</v>
      </c>
      <c r="Q475" s="85">
        <v>474.46</v>
      </c>
      <c r="R475" s="85">
        <v>54.58</v>
      </c>
      <c r="S475" s="85">
        <v>474.46</v>
      </c>
      <c r="T475" s="85">
        <v>0</v>
      </c>
      <c r="U475" s="82"/>
      <c r="V475" s="82" t="s">
        <v>3399</v>
      </c>
      <c r="W475" s="82" t="s">
        <v>3395</v>
      </c>
      <c r="X475" s="82" t="s">
        <v>3394</v>
      </c>
      <c r="Y475" s="82" t="s">
        <v>3393</v>
      </c>
    </row>
    <row r="476" spans="1:25" ht="10.9" customHeight="1" x14ac:dyDescent="0.2">
      <c r="A476" s="82" t="s">
        <v>2590</v>
      </c>
      <c r="B476" s="82" t="s">
        <v>146</v>
      </c>
      <c r="C476" s="83">
        <v>45776</v>
      </c>
      <c r="D476" s="83">
        <v>45806</v>
      </c>
      <c r="E476" s="83">
        <v>45828</v>
      </c>
      <c r="F476" s="83">
        <v>45824</v>
      </c>
      <c r="G476" s="83">
        <v>45776</v>
      </c>
      <c r="H476" s="82" t="s">
        <v>3566</v>
      </c>
      <c r="I476" s="82" t="s">
        <v>22</v>
      </c>
      <c r="J476" s="84">
        <v>0</v>
      </c>
      <c r="K476" s="85">
        <v>2071.7800000000002</v>
      </c>
      <c r="L476" s="85">
        <v>2175.37</v>
      </c>
      <c r="M476" s="85">
        <v>103.59</v>
      </c>
      <c r="N476" s="85">
        <v>2175.37</v>
      </c>
      <c r="O476" s="85">
        <v>0</v>
      </c>
      <c r="P476" s="85">
        <v>2071.7800000000002</v>
      </c>
      <c r="Q476" s="85">
        <v>2175.37</v>
      </c>
      <c r="R476" s="85">
        <v>103.59</v>
      </c>
      <c r="S476" s="85">
        <v>2175.37</v>
      </c>
      <c r="T476" s="85">
        <v>0</v>
      </c>
      <c r="U476" s="82"/>
      <c r="V476" s="82" t="s">
        <v>3399</v>
      </c>
      <c r="W476" s="82" t="s">
        <v>3395</v>
      </c>
      <c r="X476" s="82" t="s">
        <v>3394</v>
      </c>
      <c r="Y476" s="82" t="s">
        <v>3393</v>
      </c>
    </row>
    <row r="477" spans="1:25" ht="10.9" customHeight="1" x14ac:dyDescent="0.2">
      <c r="A477" s="82" t="s">
        <v>2691</v>
      </c>
      <c r="B477" s="82" t="s">
        <v>229</v>
      </c>
      <c r="C477" s="83">
        <v>45776</v>
      </c>
      <c r="D477" s="83">
        <v>45806</v>
      </c>
      <c r="E477" s="83">
        <v>45814</v>
      </c>
      <c r="F477" s="83">
        <v>45812</v>
      </c>
      <c r="G477" s="83">
        <v>45778</v>
      </c>
      <c r="H477" s="82" t="s">
        <v>1541</v>
      </c>
      <c r="I477" s="82" t="s">
        <v>22</v>
      </c>
      <c r="J477" s="84">
        <v>0</v>
      </c>
      <c r="K477" s="85">
        <v>449.67</v>
      </c>
      <c r="L477" s="85">
        <v>472.15</v>
      </c>
      <c r="M477" s="85">
        <v>22.48</v>
      </c>
      <c r="N477" s="85">
        <v>472.15</v>
      </c>
      <c r="O477" s="85">
        <v>0</v>
      </c>
      <c r="P477" s="85">
        <v>449.67</v>
      </c>
      <c r="Q477" s="85">
        <v>472.15</v>
      </c>
      <c r="R477" s="85">
        <v>22.48</v>
      </c>
      <c r="S477" s="85">
        <v>472.15</v>
      </c>
      <c r="T477" s="85">
        <v>0</v>
      </c>
      <c r="U477" s="82"/>
      <c r="V477" s="82" t="s">
        <v>3399</v>
      </c>
      <c r="W477" s="82" t="s">
        <v>3395</v>
      </c>
      <c r="X477" s="82" t="s">
        <v>3394</v>
      </c>
      <c r="Y477" s="82" t="s">
        <v>3393</v>
      </c>
    </row>
    <row r="478" spans="1:25" ht="10.9" customHeight="1" x14ac:dyDescent="0.2">
      <c r="A478" s="82" t="s">
        <v>2687</v>
      </c>
      <c r="B478" s="82" t="s">
        <v>229</v>
      </c>
      <c r="C478" s="83">
        <v>45776</v>
      </c>
      <c r="D478" s="83">
        <v>45806</v>
      </c>
      <c r="E478" s="83">
        <v>45814</v>
      </c>
      <c r="F478" s="83">
        <v>45812</v>
      </c>
      <c r="G478" s="83">
        <v>45778</v>
      </c>
      <c r="H478" s="82" t="s">
        <v>1547</v>
      </c>
      <c r="I478" s="82" t="s">
        <v>22</v>
      </c>
      <c r="J478" s="84">
        <v>0</v>
      </c>
      <c r="K478" s="85">
        <v>297.88</v>
      </c>
      <c r="L478" s="85">
        <v>312.77</v>
      </c>
      <c r="M478" s="85">
        <v>14.89</v>
      </c>
      <c r="N478" s="85">
        <v>312.77</v>
      </c>
      <c r="O478" s="85">
        <v>0</v>
      </c>
      <c r="P478" s="85">
        <v>297.88</v>
      </c>
      <c r="Q478" s="85">
        <v>312.77</v>
      </c>
      <c r="R478" s="85">
        <v>14.89</v>
      </c>
      <c r="S478" s="85">
        <v>312.77</v>
      </c>
      <c r="T478" s="85">
        <v>0</v>
      </c>
      <c r="U478" s="82"/>
      <c r="V478" s="82" t="s">
        <v>3399</v>
      </c>
      <c r="W478" s="82" t="s">
        <v>3395</v>
      </c>
      <c r="X478" s="82" t="s">
        <v>3394</v>
      </c>
      <c r="Y478" s="82" t="s">
        <v>3393</v>
      </c>
    </row>
    <row r="479" spans="1:25" ht="10.9" customHeight="1" x14ac:dyDescent="0.2">
      <c r="A479" s="82" t="s">
        <v>2705</v>
      </c>
      <c r="B479" s="82" t="s">
        <v>61</v>
      </c>
      <c r="C479" s="83">
        <v>45777</v>
      </c>
      <c r="D479" s="83">
        <v>45807</v>
      </c>
      <c r="E479" s="83">
        <v>45828</v>
      </c>
      <c r="F479" s="83">
        <v>45822</v>
      </c>
      <c r="G479" s="83">
        <v>45777</v>
      </c>
      <c r="H479" s="82" t="s">
        <v>1515</v>
      </c>
      <c r="I479" s="82" t="s">
        <v>51</v>
      </c>
      <c r="J479" s="84">
        <v>0.72545800000000005</v>
      </c>
      <c r="K479" s="85">
        <v>2551.98</v>
      </c>
      <c r="L479" s="85">
        <v>2551.98</v>
      </c>
      <c r="M479" s="85">
        <v>0</v>
      </c>
      <c r="N479" s="85">
        <v>2551.98</v>
      </c>
      <c r="O479" s="85">
        <v>0</v>
      </c>
      <c r="P479" s="85">
        <v>3517.750166101966</v>
      </c>
      <c r="Q479" s="85">
        <v>3517.750166101966</v>
      </c>
      <c r="R479" s="85">
        <v>0</v>
      </c>
      <c r="S479" s="85">
        <v>3466.7894999999999</v>
      </c>
      <c r="T479" s="85">
        <v>0</v>
      </c>
      <c r="U479" s="82"/>
      <c r="V479" s="82" t="s">
        <v>3399</v>
      </c>
      <c r="W479" s="82" t="s">
        <v>3395</v>
      </c>
      <c r="X479" s="82" t="s">
        <v>3394</v>
      </c>
      <c r="Y479" s="82" t="s">
        <v>3393</v>
      </c>
    </row>
    <row r="480" spans="1:25" ht="10.9" customHeight="1" x14ac:dyDescent="0.2">
      <c r="A480" s="82" t="s">
        <v>2706</v>
      </c>
      <c r="B480" s="82" t="s">
        <v>192</v>
      </c>
      <c r="C480" s="83">
        <v>45777</v>
      </c>
      <c r="D480" s="83">
        <v>45807</v>
      </c>
      <c r="E480" s="83">
        <v>45835</v>
      </c>
      <c r="F480" s="83">
        <v>45843</v>
      </c>
      <c r="G480" s="83">
        <v>45777</v>
      </c>
      <c r="H480" s="82" t="s">
        <v>3563</v>
      </c>
      <c r="I480" s="82" t="s">
        <v>51</v>
      </c>
      <c r="J480" s="84">
        <v>0.72545800000000005</v>
      </c>
      <c r="K480" s="85">
        <v>1881.12</v>
      </c>
      <c r="L480" s="85">
        <v>1881.12</v>
      </c>
      <c r="M480" s="85">
        <v>0</v>
      </c>
      <c r="N480" s="85">
        <v>1881.12</v>
      </c>
      <c r="O480" s="85">
        <v>0</v>
      </c>
      <c r="P480" s="85">
        <v>2593.0102087233167</v>
      </c>
      <c r="Q480" s="85">
        <v>2593.0102087233167</v>
      </c>
      <c r="R480" s="85">
        <v>0</v>
      </c>
      <c r="S480" s="85">
        <v>2559.3573000000001</v>
      </c>
      <c r="T480" s="85">
        <v>0</v>
      </c>
      <c r="U480" s="82"/>
      <c r="V480" s="82" t="s">
        <v>3399</v>
      </c>
      <c r="W480" s="82" t="s">
        <v>3395</v>
      </c>
      <c r="X480" s="82" t="s">
        <v>3394</v>
      </c>
      <c r="Y480" s="82" t="s">
        <v>3393</v>
      </c>
    </row>
    <row r="481" spans="1:25" ht="10.9" customHeight="1" x14ac:dyDescent="0.2">
      <c r="A481" s="82" t="s">
        <v>2674</v>
      </c>
      <c r="B481" s="82" t="s">
        <v>3412</v>
      </c>
      <c r="C481" s="83">
        <v>45777</v>
      </c>
      <c r="D481" s="83">
        <v>45822</v>
      </c>
      <c r="E481" s="83">
        <v>45824</v>
      </c>
      <c r="F481" s="83">
        <v>45821</v>
      </c>
      <c r="G481" s="83">
        <v>45778</v>
      </c>
      <c r="H481" s="82" t="s">
        <v>1571</v>
      </c>
      <c r="I481" s="82" t="s">
        <v>22</v>
      </c>
      <c r="J481" s="84">
        <v>0</v>
      </c>
      <c r="K481" s="85">
        <v>1492.52</v>
      </c>
      <c r="L481" s="85">
        <v>1567.15</v>
      </c>
      <c r="M481" s="85">
        <v>74.63</v>
      </c>
      <c r="N481" s="85">
        <v>1567.15</v>
      </c>
      <c r="O481" s="85">
        <v>0</v>
      </c>
      <c r="P481" s="85">
        <v>1492.52</v>
      </c>
      <c r="Q481" s="85">
        <v>1567.15</v>
      </c>
      <c r="R481" s="85">
        <v>74.63</v>
      </c>
      <c r="S481" s="85">
        <v>1567.15</v>
      </c>
      <c r="T481" s="85">
        <v>0</v>
      </c>
      <c r="U481" s="82"/>
      <c r="V481" s="82" t="s">
        <v>3399</v>
      </c>
      <c r="W481" s="82" t="s">
        <v>3395</v>
      </c>
      <c r="X481" s="82" t="s">
        <v>3394</v>
      </c>
      <c r="Y481" s="82" t="s">
        <v>3393</v>
      </c>
    </row>
    <row r="482" spans="1:25" ht="10.9" customHeight="1" x14ac:dyDescent="0.2">
      <c r="A482" s="82" t="s">
        <v>2688</v>
      </c>
      <c r="B482" s="82" t="s">
        <v>54</v>
      </c>
      <c r="C482" s="83">
        <v>45777</v>
      </c>
      <c r="D482" s="83">
        <v>45807</v>
      </c>
      <c r="E482" s="83">
        <v>45821</v>
      </c>
      <c r="F482" s="83">
        <v>45821</v>
      </c>
      <c r="G482" s="83">
        <v>45778</v>
      </c>
      <c r="H482" s="82" t="s">
        <v>1545</v>
      </c>
      <c r="I482" s="82" t="s">
        <v>22</v>
      </c>
      <c r="J482" s="84">
        <v>0</v>
      </c>
      <c r="K482" s="85">
        <v>3521.29</v>
      </c>
      <c r="L482" s="85">
        <v>3697.36</v>
      </c>
      <c r="M482" s="85">
        <v>176.07</v>
      </c>
      <c r="N482" s="85">
        <v>3697.36</v>
      </c>
      <c r="O482" s="85">
        <v>0</v>
      </c>
      <c r="P482" s="85">
        <v>3521.29</v>
      </c>
      <c r="Q482" s="85">
        <v>3697.36</v>
      </c>
      <c r="R482" s="85">
        <v>176.07</v>
      </c>
      <c r="S482" s="85">
        <v>3697.36</v>
      </c>
      <c r="T482" s="85">
        <v>0</v>
      </c>
      <c r="U482" s="82"/>
      <c r="V482" s="82" t="s">
        <v>3399</v>
      </c>
      <c r="W482" s="82" t="s">
        <v>3395</v>
      </c>
      <c r="X482" s="82" t="s">
        <v>3394</v>
      </c>
      <c r="Y482" s="82" t="s">
        <v>3393</v>
      </c>
    </row>
    <row r="483" spans="1:25" ht="10.9" customHeight="1" x14ac:dyDescent="0.2">
      <c r="A483" s="82" t="s">
        <v>2701</v>
      </c>
      <c r="B483" s="82" t="s">
        <v>556</v>
      </c>
      <c r="C483" s="83">
        <v>45777</v>
      </c>
      <c r="D483" s="83">
        <v>45807</v>
      </c>
      <c r="E483" s="83">
        <v>45821</v>
      </c>
      <c r="F483" s="83">
        <v>45828</v>
      </c>
      <c r="G483" s="83">
        <v>45778</v>
      </c>
      <c r="H483" s="82" t="s">
        <v>1521</v>
      </c>
      <c r="I483" s="82" t="s">
        <v>22</v>
      </c>
      <c r="J483" s="84">
        <v>0</v>
      </c>
      <c r="K483" s="85">
        <v>229.88</v>
      </c>
      <c r="L483" s="85">
        <v>259.76</v>
      </c>
      <c r="M483" s="85">
        <v>29.88</v>
      </c>
      <c r="N483" s="85">
        <v>259.76</v>
      </c>
      <c r="O483" s="85">
        <v>0</v>
      </c>
      <c r="P483" s="85">
        <v>229.88</v>
      </c>
      <c r="Q483" s="85">
        <v>259.76</v>
      </c>
      <c r="R483" s="85">
        <v>29.88</v>
      </c>
      <c r="S483" s="85">
        <v>259.76</v>
      </c>
      <c r="T483" s="85">
        <v>0</v>
      </c>
      <c r="U483" s="82"/>
      <c r="V483" s="82" t="s">
        <v>3399</v>
      </c>
      <c r="W483" s="82" t="s">
        <v>3395</v>
      </c>
      <c r="X483" s="82" t="s">
        <v>3394</v>
      </c>
      <c r="Y483" s="82" t="s">
        <v>3393</v>
      </c>
    </row>
    <row r="484" spans="1:25" ht="10.9" customHeight="1" x14ac:dyDescent="0.2">
      <c r="A484" s="82" t="s">
        <v>2699</v>
      </c>
      <c r="B484" s="82" t="s">
        <v>64</v>
      </c>
      <c r="C484" s="83">
        <v>45778</v>
      </c>
      <c r="D484" s="83">
        <v>45808</v>
      </c>
      <c r="E484" s="83">
        <v>45821</v>
      </c>
      <c r="F484" s="83">
        <v>45827</v>
      </c>
      <c r="G484" s="83">
        <v>45779</v>
      </c>
      <c r="H484" s="82" t="s">
        <v>1525</v>
      </c>
      <c r="I484" s="82" t="s">
        <v>22</v>
      </c>
      <c r="J484" s="84">
        <v>0</v>
      </c>
      <c r="K484" s="85">
        <v>1074.54</v>
      </c>
      <c r="L484" s="85">
        <v>1214.23</v>
      </c>
      <c r="M484" s="85">
        <v>139.69</v>
      </c>
      <c r="N484" s="85">
        <v>1214.23</v>
      </c>
      <c r="O484" s="85">
        <v>0</v>
      </c>
      <c r="P484" s="85">
        <v>1074.54</v>
      </c>
      <c r="Q484" s="85">
        <v>1214.23</v>
      </c>
      <c r="R484" s="85">
        <v>139.69</v>
      </c>
      <c r="S484" s="85">
        <v>1214.23</v>
      </c>
      <c r="T484" s="85">
        <v>0</v>
      </c>
      <c r="U484" s="82"/>
      <c r="V484" s="82" t="s">
        <v>3399</v>
      </c>
      <c r="W484" s="82" t="s">
        <v>3395</v>
      </c>
      <c r="X484" s="82" t="s">
        <v>3394</v>
      </c>
      <c r="Y484" s="82" t="s">
        <v>3393</v>
      </c>
    </row>
    <row r="485" spans="1:25" ht="10.9" customHeight="1" x14ac:dyDescent="0.2">
      <c r="A485" s="82" t="s">
        <v>2713</v>
      </c>
      <c r="B485" s="82" t="s">
        <v>64</v>
      </c>
      <c r="C485" s="83">
        <v>45778</v>
      </c>
      <c r="D485" s="83">
        <v>45808</v>
      </c>
      <c r="E485" s="83">
        <v>45821</v>
      </c>
      <c r="F485" s="83">
        <v>45827</v>
      </c>
      <c r="G485" s="83">
        <v>45779</v>
      </c>
      <c r="H485" s="82" t="s">
        <v>1500</v>
      </c>
      <c r="I485" s="82" t="s">
        <v>22</v>
      </c>
      <c r="J485" s="84">
        <v>0</v>
      </c>
      <c r="K485" s="85">
        <v>4501.3500000000004</v>
      </c>
      <c r="L485" s="85">
        <v>5086.5200000000004</v>
      </c>
      <c r="M485" s="85">
        <v>585.16999999999996</v>
      </c>
      <c r="N485" s="85">
        <v>5086.5200000000004</v>
      </c>
      <c r="O485" s="85">
        <v>0</v>
      </c>
      <c r="P485" s="85">
        <v>4501.3500000000004</v>
      </c>
      <c r="Q485" s="85">
        <v>5086.5200000000004</v>
      </c>
      <c r="R485" s="85">
        <v>585.16999999999996</v>
      </c>
      <c r="S485" s="85">
        <v>5086.5200000000004</v>
      </c>
      <c r="T485" s="85">
        <v>0</v>
      </c>
      <c r="U485" s="82"/>
      <c r="V485" s="82" t="s">
        <v>3399</v>
      </c>
      <c r="W485" s="82" t="s">
        <v>3395</v>
      </c>
      <c r="X485" s="82" t="s">
        <v>3394</v>
      </c>
      <c r="Y485" s="82" t="s">
        <v>3393</v>
      </c>
    </row>
    <row r="486" spans="1:25" ht="10.9" customHeight="1" x14ac:dyDescent="0.2">
      <c r="A486" s="82" t="s">
        <v>2709</v>
      </c>
      <c r="B486" s="82" t="s">
        <v>3485</v>
      </c>
      <c r="C486" s="83">
        <v>45778</v>
      </c>
      <c r="D486" s="83">
        <v>45808</v>
      </c>
      <c r="E486" s="83">
        <v>45814</v>
      </c>
      <c r="F486" s="83">
        <v>45805</v>
      </c>
      <c r="G486" s="83">
        <v>45779</v>
      </c>
      <c r="H486" s="82" t="s">
        <v>1506</v>
      </c>
      <c r="I486" s="82" t="s">
        <v>22</v>
      </c>
      <c r="J486" s="84">
        <v>0</v>
      </c>
      <c r="K486" s="85">
        <v>90.56</v>
      </c>
      <c r="L486" s="85">
        <v>102.33</v>
      </c>
      <c r="M486" s="85">
        <v>11.77</v>
      </c>
      <c r="N486" s="85">
        <v>102.33</v>
      </c>
      <c r="O486" s="85">
        <v>0</v>
      </c>
      <c r="P486" s="85">
        <v>90.56</v>
      </c>
      <c r="Q486" s="85">
        <v>102.33</v>
      </c>
      <c r="R486" s="85">
        <v>11.77</v>
      </c>
      <c r="S486" s="85">
        <v>102.33</v>
      </c>
      <c r="T486" s="85">
        <v>0</v>
      </c>
      <c r="U486" s="82"/>
      <c r="V486" s="82" t="s">
        <v>3399</v>
      </c>
      <c r="W486" s="82" t="s">
        <v>3395</v>
      </c>
      <c r="X486" s="82" t="s">
        <v>3394</v>
      </c>
      <c r="Y486" s="82" t="s">
        <v>3393</v>
      </c>
    </row>
    <row r="487" spans="1:25" ht="10.9" customHeight="1" x14ac:dyDescent="0.2">
      <c r="A487" s="82" t="s">
        <v>2710</v>
      </c>
      <c r="B487" s="82" t="s">
        <v>89</v>
      </c>
      <c r="C487" s="83">
        <v>45779</v>
      </c>
      <c r="D487" s="83">
        <v>45809</v>
      </c>
      <c r="E487" s="83">
        <v>45828</v>
      </c>
      <c r="F487" s="83">
        <v>45828</v>
      </c>
      <c r="G487" s="83">
        <v>45779</v>
      </c>
      <c r="H487" s="82" t="s">
        <v>1504</v>
      </c>
      <c r="I487" s="82" t="s">
        <v>22</v>
      </c>
      <c r="J487" s="84">
        <v>0</v>
      </c>
      <c r="K487" s="85">
        <v>997.63</v>
      </c>
      <c r="L487" s="85">
        <v>1047.51</v>
      </c>
      <c r="M487" s="85">
        <v>49.88</v>
      </c>
      <c r="N487" s="85">
        <v>1047.51</v>
      </c>
      <c r="O487" s="85">
        <v>0</v>
      </c>
      <c r="P487" s="85">
        <v>997.63</v>
      </c>
      <c r="Q487" s="85">
        <v>1047.51</v>
      </c>
      <c r="R487" s="85">
        <v>49.88</v>
      </c>
      <c r="S487" s="85">
        <v>1047.51</v>
      </c>
      <c r="T487" s="85">
        <v>0</v>
      </c>
      <c r="U487" s="82"/>
      <c r="V487" s="82" t="s">
        <v>3399</v>
      </c>
      <c r="W487" s="82" t="s">
        <v>3395</v>
      </c>
      <c r="X487" s="82" t="s">
        <v>3394</v>
      </c>
      <c r="Y487" s="82" t="s">
        <v>3393</v>
      </c>
    </row>
    <row r="488" spans="1:25" ht="10.9" customHeight="1" x14ac:dyDescent="0.2">
      <c r="A488" s="82" t="s">
        <v>2712</v>
      </c>
      <c r="B488" s="82" t="s">
        <v>86</v>
      </c>
      <c r="C488" s="83">
        <v>45779</v>
      </c>
      <c r="D488" s="83">
        <v>45809</v>
      </c>
      <c r="E488" s="83">
        <v>45810</v>
      </c>
      <c r="F488" s="83">
        <v>45810</v>
      </c>
      <c r="G488" s="83">
        <v>45779</v>
      </c>
      <c r="H488" s="82" t="s">
        <v>1502</v>
      </c>
      <c r="I488" s="82" t="s">
        <v>22</v>
      </c>
      <c r="J488" s="84">
        <v>0</v>
      </c>
      <c r="K488" s="85">
        <v>92.22</v>
      </c>
      <c r="L488" s="85">
        <v>96.83</v>
      </c>
      <c r="M488" s="85">
        <v>4.6100000000000003</v>
      </c>
      <c r="N488" s="85">
        <v>96.83</v>
      </c>
      <c r="O488" s="85">
        <v>0</v>
      </c>
      <c r="P488" s="85">
        <v>92.22</v>
      </c>
      <c r="Q488" s="85">
        <v>96.83</v>
      </c>
      <c r="R488" s="85">
        <v>4.6100000000000003</v>
      </c>
      <c r="S488" s="85">
        <v>96.83</v>
      </c>
      <c r="T488" s="85">
        <v>0</v>
      </c>
      <c r="U488" s="82"/>
      <c r="V488" s="82" t="s">
        <v>3399</v>
      </c>
      <c r="W488" s="82" t="s">
        <v>3395</v>
      </c>
      <c r="X488" s="82" t="s">
        <v>3394</v>
      </c>
      <c r="Y488" s="82" t="s">
        <v>3393</v>
      </c>
    </row>
    <row r="489" spans="1:25" ht="10.9" customHeight="1" x14ac:dyDescent="0.2">
      <c r="A489" s="82" t="s">
        <v>2716</v>
      </c>
      <c r="B489" s="82" t="s">
        <v>146</v>
      </c>
      <c r="C489" s="83">
        <v>45779</v>
      </c>
      <c r="D489" s="83">
        <v>45809</v>
      </c>
      <c r="E489" s="83">
        <v>45821</v>
      </c>
      <c r="F489" s="83">
        <v>45824</v>
      </c>
      <c r="G489" s="83">
        <v>45779</v>
      </c>
      <c r="H489" s="82" t="s">
        <v>1496</v>
      </c>
      <c r="I489" s="82" t="s">
        <v>22</v>
      </c>
      <c r="J489" s="84">
        <v>0</v>
      </c>
      <c r="K489" s="85">
        <v>1906.8</v>
      </c>
      <c r="L489" s="85">
        <v>2002.14</v>
      </c>
      <c r="M489" s="85">
        <v>95.34</v>
      </c>
      <c r="N489" s="85">
        <v>2002.14</v>
      </c>
      <c r="O489" s="85">
        <v>0</v>
      </c>
      <c r="P489" s="85">
        <v>1906.8</v>
      </c>
      <c r="Q489" s="85">
        <v>2002.14</v>
      </c>
      <c r="R489" s="85">
        <v>95.34</v>
      </c>
      <c r="S489" s="85">
        <v>2002.14</v>
      </c>
      <c r="T489" s="85">
        <v>0</v>
      </c>
      <c r="U489" s="82"/>
      <c r="V489" s="82" t="s">
        <v>3399</v>
      </c>
      <c r="W489" s="82" t="s">
        <v>3395</v>
      </c>
      <c r="X489" s="82" t="s">
        <v>3394</v>
      </c>
      <c r="Y489" s="82" t="s">
        <v>3393</v>
      </c>
    </row>
    <row r="490" spans="1:25" ht="10.9" customHeight="1" x14ac:dyDescent="0.2">
      <c r="A490" s="82" t="s">
        <v>2435</v>
      </c>
      <c r="B490" s="82" t="s">
        <v>129</v>
      </c>
      <c r="C490" s="83">
        <v>45779</v>
      </c>
      <c r="D490" s="83">
        <v>45839</v>
      </c>
      <c r="E490" s="83">
        <v>45839</v>
      </c>
      <c r="F490" s="82"/>
      <c r="G490" s="83">
        <v>45779</v>
      </c>
      <c r="H490" s="82" t="s">
        <v>3561</v>
      </c>
      <c r="I490" s="82" t="s">
        <v>51</v>
      </c>
      <c r="J490" s="84">
        <v>0.72359899999999999</v>
      </c>
      <c r="K490" s="85">
        <v>3938.3</v>
      </c>
      <c r="L490" s="85">
        <v>3938.3</v>
      </c>
      <c r="M490" s="85">
        <v>0</v>
      </c>
      <c r="N490" s="85">
        <v>0</v>
      </c>
      <c r="O490" s="85">
        <v>3938.3</v>
      </c>
      <c r="P490" s="85">
        <v>5442.655393387774</v>
      </c>
      <c r="Q490" s="85">
        <v>5442.655393387774</v>
      </c>
      <c r="R490" s="85">
        <v>0</v>
      </c>
      <c r="S490" s="85">
        <v>0</v>
      </c>
      <c r="T490" s="85">
        <v>5405</v>
      </c>
      <c r="U490" s="82" t="s">
        <v>3401</v>
      </c>
      <c r="V490" s="82" t="s">
        <v>3396</v>
      </c>
      <c r="W490" s="82" t="s">
        <v>3395</v>
      </c>
      <c r="X490" s="82" t="s">
        <v>3394</v>
      </c>
      <c r="Y490" s="82" t="s">
        <v>3393</v>
      </c>
    </row>
    <row r="491" spans="1:25" ht="10.9" customHeight="1" x14ac:dyDescent="0.2">
      <c r="A491" s="82" t="s">
        <v>2480</v>
      </c>
      <c r="B491" s="82" t="s">
        <v>232</v>
      </c>
      <c r="C491" s="83">
        <v>45779</v>
      </c>
      <c r="D491" s="83">
        <v>45901</v>
      </c>
      <c r="E491" s="83">
        <v>45863</v>
      </c>
      <c r="F491" s="83">
        <v>45908</v>
      </c>
      <c r="G491" s="83">
        <v>45783</v>
      </c>
      <c r="H491" s="82" t="s">
        <v>1902</v>
      </c>
      <c r="I491" s="82" t="s">
        <v>51</v>
      </c>
      <c r="J491" s="84">
        <v>0.72359899999999999</v>
      </c>
      <c r="K491" s="85">
        <v>42873.38</v>
      </c>
      <c r="L491" s="85">
        <v>42873.38</v>
      </c>
      <c r="M491" s="85">
        <v>0</v>
      </c>
      <c r="N491" s="85">
        <v>42873.38</v>
      </c>
      <c r="O491" s="85">
        <v>0</v>
      </c>
      <c r="P491" s="85">
        <v>59250.192440840852</v>
      </c>
      <c r="Q491" s="85">
        <v>59250.192440840852</v>
      </c>
      <c r="R491" s="85">
        <v>0</v>
      </c>
      <c r="S491" s="85">
        <v>59262.559300000001</v>
      </c>
      <c r="T491" s="85">
        <v>0</v>
      </c>
      <c r="U491" s="82"/>
      <c r="V491" s="82" t="s">
        <v>3399</v>
      </c>
      <c r="W491" s="82" t="s">
        <v>3395</v>
      </c>
      <c r="X491" s="82" t="s">
        <v>3394</v>
      </c>
      <c r="Y491" s="82" t="s">
        <v>3393</v>
      </c>
    </row>
    <row r="492" spans="1:25" ht="10.9" customHeight="1" x14ac:dyDescent="0.2">
      <c r="A492" s="82"/>
      <c r="B492" s="82" t="s">
        <v>3464</v>
      </c>
      <c r="C492" s="83">
        <v>45779</v>
      </c>
      <c r="D492" s="83">
        <v>45779</v>
      </c>
      <c r="E492" s="83">
        <v>45779</v>
      </c>
      <c r="F492" s="83">
        <v>45828</v>
      </c>
      <c r="G492" s="83">
        <v>45797</v>
      </c>
      <c r="H492" s="82" t="s">
        <v>3562</v>
      </c>
      <c r="I492" s="82" t="s">
        <v>51</v>
      </c>
      <c r="J492" s="84">
        <v>0.72359899999999999</v>
      </c>
      <c r="K492" s="85">
        <v>-8950</v>
      </c>
      <c r="L492" s="85">
        <v>-8950</v>
      </c>
      <c r="M492" s="85">
        <v>0</v>
      </c>
      <c r="N492" s="85">
        <v>-8950</v>
      </c>
      <c r="O492" s="85">
        <v>0</v>
      </c>
      <c r="P492" s="85">
        <v>-12368.729088901449</v>
      </c>
      <c r="Q492" s="85">
        <v>-12368.729088901449</v>
      </c>
      <c r="R492" s="85">
        <v>0</v>
      </c>
      <c r="S492" s="85">
        <v>-12368.7291</v>
      </c>
      <c r="T492" s="85">
        <v>0</v>
      </c>
      <c r="U492" s="82"/>
      <c r="V492" s="82" t="s">
        <v>3399</v>
      </c>
      <c r="W492" s="82" t="s">
        <v>3423</v>
      </c>
      <c r="X492" s="82" t="s">
        <v>3397</v>
      </c>
      <c r="Y492" s="82"/>
    </row>
    <row r="493" spans="1:25" ht="10.9" customHeight="1" x14ac:dyDescent="0.2">
      <c r="A493" s="82" t="s">
        <v>2717</v>
      </c>
      <c r="B493" s="82" t="s">
        <v>35</v>
      </c>
      <c r="C493" s="83">
        <v>45782</v>
      </c>
      <c r="D493" s="83">
        <v>45812</v>
      </c>
      <c r="E493" s="83">
        <v>45819</v>
      </c>
      <c r="F493" s="83">
        <v>45812</v>
      </c>
      <c r="G493" s="83">
        <v>45782</v>
      </c>
      <c r="H493" s="82" t="s">
        <v>1494</v>
      </c>
      <c r="I493" s="82" t="s">
        <v>22</v>
      </c>
      <c r="J493" s="84">
        <v>0</v>
      </c>
      <c r="K493" s="85">
        <v>481.71</v>
      </c>
      <c r="L493" s="85">
        <v>505.8</v>
      </c>
      <c r="M493" s="85">
        <v>24.09</v>
      </c>
      <c r="N493" s="85">
        <v>505.8</v>
      </c>
      <c r="O493" s="85">
        <v>0</v>
      </c>
      <c r="P493" s="85">
        <v>481.71</v>
      </c>
      <c r="Q493" s="85">
        <v>505.8</v>
      </c>
      <c r="R493" s="85">
        <v>24.09</v>
      </c>
      <c r="S493" s="85">
        <v>505.8</v>
      </c>
      <c r="T493" s="85">
        <v>0</v>
      </c>
      <c r="U493" s="82"/>
      <c r="V493" s="82" t="s">
        <v>3399</v>
      </c>
      <c r="W493" s="82" t="s">
        <v>3395</v>
      </c>
      <c r="X493" s="82" t="s">
        <v>3394</v>
      </c>
      <c r="Y493" s="82" t="s">
        <v>3393</v>
      </c>
    </row>
    <row r="494" spans="1:25" ht="10.9" customHeight="1" x14ac:dyDescent="0.2">
      <c r="A494" s="82" t="s">
        <v>2718</v>
      </c>
      <c r="B494" s="82" t="s">
        <v>77</v>
      </c>
      <c r="C494" s="83">
        <v>45782</v>
      </c>
      <c r="D494" s="83">
        <v>45812</v>
      </c>
      <c r="E494" s="83">
        <v>45828</v>
      </c>
      <c r="F494" s="83">
        <v>45804</v>
      </c>
      <c r="G494" s="83">
        <v>45782</v>
      </c>
      <c r="H494" s="82" t="s">
        <v>1492</v>
      </c>
      <c r="I494" s="82" t="s">
        <v>22</v>
      </c>
      <c r="J494" s="84">
        <v>0</v>
      </c>
      <c r="K494" s="85">
        <v>442.49</v>
      </c>
      <c r="L494" s="85">
        <v>464.61</v>
      </c>
      <c r="M494" s="85">
        <v>22.12</v>
      </c>
      <c r="N494" s="85">
        <v>464.61</v>
      </c>
      <c r="O494" s="85">
        <v>0</v>
      </c>
      <c r="P494" s="85">
        <v>442.49</v>
      </c>
      <c r="Q494" s="85">
        <v>464.61</v>
      </c>
      <c r="R494" s="85">
        <v>22.12</v>
      </c>
      <c r="S494" s="85">
        <v>464.61</v>
      </c>
      <c r="T494" s="85">
        <v>0</v>
      </c>
      <c r="U494" s="82"/>
      <c r="V494" s="82" t="s">
        <v>3399</v>
      </c>
      <c r="W494" s="82" t="s">
        <v>3395</v>
      </c>
      <c r="X494" s="82" t="s">
        <v>3394</v>
      </c>
      <c r="Y494" s="82" t="s">
        <v>3393</v>
      </c>
    </row>
    <row r="495" spans="1:25" ht="10.9" customHeight="1" x14ac:dyDescent="0.2">
      <c r="A495" s="82" t="s">
        <v>2508</v>
      </c>
      <c r="B495" s="82" t="s">
        <v>1852</v>
      </c>
      <c r="C495" s="83">
        <v>45783</v>
      </c>
      <c r="D495" s="83">
        <v>45783</v>
      </c>
      <c r="E495" s="83">
        <v>45783</v>
      </c>
      <c r="F495" s="83">
        <v>45783</v>
      </c>
      <c r="G495" s="83">
        <v>45783</v>
      </c>
      <c r="H495" s="82" t="s">
        <v>2075</v>
      </c>
      <c r="I495" s="82" t="s">
        <v>51</v>
      </c>
      <c r="J495" s="84">
        <v>0.72588399999999997</v>
      </c>
      <c r="K495" s="85">
        <v>369.88</v>
      </c>
      <c r="L495" s="85">
        <v>369.88</v>
      </c>
      <c r="M495" s="85">
        <v>0</v>
      </c>
      <c r="N495" s="85">
        <v>369.88</v>
      </c>
      <c r="O495" s="85">
        <v>0</v>
      </c>
      <c r="P495" s="85">
        <v>509.55800100291498</v>
      </c>
      <c r="Q495" s="85">
        <v>509.55800100291498</v>
      </c>
      <c r="R495" s="85">
        <v>0</v>
      </c>
      <c r="S495" s="85">
        <v>529.9194</v>
      </c>
      <c r="T495" s="85">
        <v>0</v>
      </c>
      <c r="U495" s="82"/>
      <c r="V495" s="82" t="s">
        <v>3399</v>
      </c>
      <c r="W495" s="82" t="s">
        <v>3395</v>
      </c>
      <c r="X495" s="82" t="s">
        <v>3397</v>
      </c>
      <c r="Y495" s="82" t="s">
        <v>3393</v>
      </c>
    </row>
    <row r="496" spans="1:25" ht="10.9" customHeight="1" x14ac:dyDescent="0.2">
      <c r="A496" s="82" t="s">
        <v>2729</v>
      </c>
      <c r="B496" s="82" t="s">
        <v>146</v>
      </c>
      <c r="C496" s="83">
        <v>45783</v>
      </c>
      <c r="D496" s="83">
        <v>45813</v>
      </c>
      <c r="E496" s="83">
        <v>45828</v>
      </c>
      <c r="F496" s="83">
        <v>45824</v>
      </c>
      <c r="G496" s="83">
        <v>45783</v>
      </c>
      <c r="H496" s="82" t="s">
        <v>1472</v>
      </c>
      <c r="I496" s="82" t="s">
        <v>22</v>
      </c>
      <c r="J496" s="84">
        <v>0</v>
      </c>
      <c r="K496" s="85">
        <v>1095.73</v>
      </c>
      <c r="L496" s="85">
        <v>1150.52</v>
      </c>
      <c r="M496" s="85">
        <v>54.79</v>
      </c>
      <c r="N496" s="85">
        <v>1150.52</v>
      </c>
      <c r="O496" s="85">
        <v>0</v>
      </c>
      <c r="P496" s="85">
        <v>1095.73</v>
      </c>
      <c r="Q496" s="85">
        <v>1150.52</v>
      </c>
      <c r="R496" s="85">
        <v>54.79</v>
      </c>
      <c r="S496" s="85">
        <v>1150.52</v>
      </c>
      <c r="T496" s="85">
        <v>0</v>
      </c>
      <c r="U496" s="82"/>
      <c r="V496" s="82" t="s">
        <v>3399</v>
      </c>
      <c r="W496" s="82" t="s">
        <v>3395</v>
      </c>
      <c r="X496" s="82" t="s">
        <v>3394</v>
      </c>
      <c r="Y496" s="82" t="s">
        <v>3393</v>
      </c>
    </row>
    <row r="497" spans="1:25" ht="10.9" customHeight="1" x14ac:dyDescent="0.2">
      <c r="A497" s="82" t="s">
        <v>2721</v>
      </c>
      <c r="B497" s="82" t="s">
        <v>509</v>
      </c>
      <c r="C497" s="83">
        <v>45783</v>
      </c>
      <c r="D497" s="83">
        <v>45813</v>
      </c>
      <c r="E497" s="83">
        <v>45828</v>
      </c>
      <c r="F497" s="83">
        <v>45827</v>
      </c>
      <c r="G497" s="83">
        <v>45783</v>
      </c>
      <c r="H497" s="82" t="s">
        <v>1488</v>
      </c>
      <c r="I497" s="82" t="s">
        <v>22</v>
      </c>
      <c r="J497" s="84">
        <v>0</v>
      </c>
      <c r="K497" s="85">
        <v>2084.9299999999998</v>
      </c>
      <c r="L497" s="85">
        <v>2189.1799999999998</v>
      </c>
      <c r="M497" s="85">
        <v>104.25</v>
      </c>
      <c r="N497" s="85">
        <v>2189.1799999999998</v>
      </c>
      <c r="O497" s="85">
        <v>0</v>
      </c>
      <c r="P497" s="85">
        <v>2084.9299999999998</v>
      </c>
      <c r="Q497" s="85">
        <v>2189.1799999999998</v>
      </c>
      <c r="R497" s="85">
        <v>104.25</v>
      </c>
      <c r="S497" s="85">
        <v>2189.1799999999998</v>
      </c>
      <c r="T497" s="85">
        <v>0</v>
      </c>
      <c r="U497" s="82"/>
      <c r="V497" s="82" t="s">
        <v>3399</v>
      </c>
      <c r="W497" s="82" t="s">
        <v>3395</v>
      </c>
      <c r="X497" s="82" t="s">
        <v>3394</v>
      </c>
      <c r="Y497" s="82" t="s">
        <v>3393</v>
      </c>
    </row>
    <row r="498" spans="1:25" ht="10.9" customHeight="1" x14ac:dyDescent="0.2">
      <c r="A498" s="82" t="s">
        <v>2723</v>
      </c>
      <c r="B498" s="82" t="s">
        <v>171</v>
      </c>
      <c r="C498" s="83">
        <v>45783</v>
      </c>
      <c r="D498" s="83">
        <v>45813</v>
      </c>
      <c r="E498" s="83">
        <v>45821</v>
      </c>
      <c r="F498" s="83">
        <v>45806</v>
      </c>
      <c r="G498" s="83">
        <v>45783</v>
      </c>
      <c r="H498" s="82" t="s">
        <v>1484</v>
      </c>
      <c r="I498" s="82" t="s">
        <v>22</v>
      </c>
      <c r="J498" s="84">
        <v>0</v>
      </c>
      <c r="K498" s="85">
        <v>136.80000000000001</v>
      </c>
      <c r="L498" s="85">
        <v>143.63999999999999</v>
      </c>
      <c r="M498" s="85">
        <v>6.84</v>
      </c>
      <c r="N498" s="85">
        <v>143.63999999999999</v>
      </c>
      <c r="O498" s="85">
        <v>0</v>
      </c>
      <c r="P498" s="85">
        <v>136.80000000000001</v>
      </c>
      <c r="Q498" s="85">
        <v>143.63999999999999</v>
      </c>
      <c r="R498" s="85">
        <v>6.84</v>
      </c>
      <c r="S498" s="85">
        <v>143.63999999999999</v>
      </c>
      <c r="T498" s="85">
        <v>0</v>
      </c>
      <c r="U498" s="82"/>
      <c r="V498" s="82" t="s">
        <v>3399</v>
      </c>
      <c r="W498" s="82" t="s">
        <v>3395</v>
      </c>
      <c r="X498" s="82" t="s">
        <v>3394</v>
      </c>
      <c r="Y498" s="82" t="s">
        <v>3393</v>
      </c>
    </row>
    <row r="499" spans="1:25" ht="10.9" customHeight="1" x14ac:dyDescent="0.2">
      <c r="A499" s="82" t="s">
        <v>2722</v>
      </c>
      <c r="B499" s="82" t="s">
        <v>3412</v>
      </c>
      <c r="C499" s="83">
        <v>45783</v>
      </c>
      <c r="D499" s="83">
        <v>45828</v>
      </c>
      <c r="E499" s="83">
        <v>45831</v>
      </c>
      <c r="F499" s="83">
        <v>45821</v>
      </c>
      <c r="G499" s="83">
        <v>45784</v>
      </c>
      <c r="H499" s="82" t="s">
        <v>1486</v>
      </c>
      <c r="I499" s="82" t="s">
        <v>22</v>
      </c>
      <c r="J499" s="84">
        <v>0</v>
      </c>
      <c r="K499" s="85">
        <v>3038.47</v>
      </c>
      <c r="L499" s="85">
        <v>3190.39</v>
      </c>
      <c r="M499" s="85">
        <v>151.91999999999999</v>
      </c>
      <c r="N499" s="85">
        <v>3190.39</v>
      </c>
      <c r="O499" s="85">
        <v>0</v>
      </c>
      <c r="P499" s="85">
        <v>3038.47</v>
      </c>
      <c r="Q499" s="85">
        <v>3190.39</v>
      </c>
      <c r="R499" s="85">
        <v>151.91999999999999</v>
      </c>
      <c r="S499" s="85">
        <v>3190.39</v>
      </c>
      <c r="T499" s="85">
        <v>0</v>
      </c>
      <c r="U499" s="82"/>
      <c r="V499" s="82" t="s">
        <v>3399</v>
      </c>
      <c r="W499" s="82" t="s">
        <v>3395</v>
      </c>
      <c r="X499" s="82" t="s">
        <v>3394</v>
      </c>
      <c r="Y499" s="82" t="s">
        <v>3393</v>
      </c>
    </row>
    <row r="500" spans="1:25" ht="10.9" customHeight="1" x14ac:dyDescent="0.2">
      <c r="A500" s="82" t="s">
        <v>2272</v>
      </c>
      <c r="B500" s="82" t="s">
        <v>232</v>
      </c>
      <c r="C500" s="83">
        <v>45784</v>
      </c>
      <c r="D500" s="83">
        <v>45814</v>
      </c>
      <c r="E500" s="83">
        <v>45842</v>
      </c>
      <c r="F500" s="83">
        <v>45849</v>
      </c>
      <c r="G500" s="83">
        <v>45784</v>
      </c>
      <c r="H500" s="82" t="s">
        <v>2264</v>
      </c>
      <c r="I500" s="82" t="s">
        <v>51</v>
      </c>
      <c r="J500" s="84">
        <v>0.72333800000000004</v>
      </c>
      <c r="K500" s="85">
        <v>11639.6</v>
      </c>
      <c r="L500" s="85">
        <v>11639.6</v>
      </c>
      <c r="M500" s="85">
        <v>0</v>
      </c>
      <c r="N500" s="85">
        <v>11639.6</v>
      </c>
      <c r="O500" s="85">
        <v>0</v>
      </c>
      <c r="P500" s="85">
        <v>16091.509087038148</v>
      </c>
      <c r="Q500" s="85">
        <v>16091.509087038148</v>
      </c>
      <c r="R500" s="85">
        <v>0</v>
      </c>
      <c r="S500" s="85">
        <v>15919.6005</v>
      </c>
      <c r="T500" s="85">
        <v>0</v>
      </c>
      <c r="U500" s="82"/>
      <c r="V500" s="82" t="s">
        <v>3399</v>
      </c>
      <c r="W500" s="82" t="s">
        <v>3395</v>
      </c>
      <c r="X500" s="82" t="s">
        <v>3394</v>
      </c>
      <c r="Y500" s="82" t="s">
        <v>3393</v>
      </c>
    </row>
    <row r="501" spans="1:25" ht="10.9" customHeight="1" x14ac:dyDescent="0.2">
      <c r="A501" s="82" t="s">
        <v>2456</v>
      </c>
      <c r="B501" s="82" t="s">
        <v>39</v>
      </c>
      <c r="C501" s="83">
        <v>45784</v>
      </c>
      <c r="D501" s="83">
        <v>45814</v>
      </c>
      <c r="E501" s="83">
        <v>45814</v>
      </c>
      <c r="F501" s="83">
        <v>45814</v>
      </c>
      <c r="G501" s="83">
        <v>45784</v>
      </c>
      <c r="H501" s="82" t="s">
        <v>1947</v>
      </c>
      <c r="I501" s="82" t="s">
        <v>22</v>
      </c>
      <c r="J501" s="84">
        <v>0</v>
      </c>
      <c r="K501" s="85">
        <v>22.78</v>
      </c>
      <c r="L501" s="85">
        <v>23.92</v>
      </c>
      <c r="M501" s="85">
        <v>1.1399999999999999</v>
      </c>
      <c r="N501" s="85">
        <v>23.92</v>
      </c>
      <c r="O501" s="85">
        <v>0</v>
      </c>
      <c r="P501" s="85">
        <v>22.78</v>
      </c>
      <c r="Q501" s="85">
        <v>23.92</v>
      </c>
      <c r="R501" s="85">
        <v>1.1399999999999999</v>
      </c>
      <c r="S501" s="85">
        <v>23.92</v>
      </c>
      <c r="T501" s="85">
        <v>0</v>
      </c>
      <c r="U501" s="82"/>
      <c r="V501" s="82" t="s">
        <v>3399</v>
      </c>
      <c r="W501" s="82" t="s">
        <v>3395</v>
      </c>
      <c r="X501" s="82" t="s">
        <v>3394</v>
      </c>
      <c r="Y501" s="82" t="s">
        <v>3393</v>
      </c>
    </row>
    <row r="502" spans="1:25" ht="10.9" customHeight="1" x14ac:dyDescent="0.2">
      <c r="A502" s="82" t="s">
        <v>2287</v>
      </c>
      <c r="B502" s="82" t="s">
        <v>952</v>
      </c>
      <c r="C502" s="83">
        <v>45784</v>
      </c>
      <c r="D502" s="83">
        <v>45784</v>
      </c>
      <c r="E502" s="83">
        <v>45784</v>
      </c>
      <c r="F502" s="83">
        <v>45784</v>
      </c>
      <c r="G502" s="83">
        <v>45784</v>
      </c>
      <c r="H502" s="82" t="s">
        <v>2233</v>
      </c>
      <c r="I502" s="82" t="s">
        <v>22</v>
      </c>
      <c r="J502" s="84">
        <v>0</v>
      </c>
      <c r="K502" s="85">
        <v>1270.56</v>
      </c>
      <c r="L502" s="85">
        <v>1334.08</v>
      </c>
      <c r="M502" s="85">
        <v>63.52</v>
      </c>
      <c r="N502" s="85">
        <v>1334.08</v>
      </c>
      <c r="O502" s="85">
        <v>0</v>
      </c>
      <c r="P502" s="85">
        <v>1270.56</v>
      </c>
      <c r="Q502" s="85">
        <v>1334.08</v>
      </c>
      <c r="R502" s="85">
        <v>63.52</v>
      </c>
      <c r="S502" s="85">
        <v>1334.08</v>
      </c>
      <c r="T502" s="85">
        <v>0</v>
      </c>
      <c r="U502" s="82"/>
      <c r="V502" s="82" t="s">
        <v>3399</v>
      </c>
      <c r="W502" s="82" t="s">
        <v>3395</v>
      </c>
      <c r="X502" s="82" t="s">
        <v>3397</v>
      </c>
      <c r="Y502" s="82" t="s">
        <v>3393</v>
      </c>
    </row>
    <row r="503" spans="1:25" ht="10.9" customHeight="1" x14ac:dyDescent="0.2">
      <c r="A503" s="82" t="s">
        <v>2334</v>
      </c>
      <c r="B503" s="82" t="s">
        <v>952</v>
      </c>
      <c r="C503" s="83">
        <v>45784</v>
      </c>
      <c r="D503" s="83">
        <v>45784</v>
      </c>
      <c r="E503" s="83">
        <v>45784</v>
      </c>
      <c r="F503" s="83">
        <v>45784</v>
      </c>
      <c r="G503" s="83">
        <v>45784</v>
      </c>
      <c r="H503" s="82" t="s">
        <v>3560</v>
      </c>
      <c r="I503" s="82" t="s">
        <v>22</v>
      </c>
      <c r="J503" s="84">
        <v>0</v>
      </c>
      <c r="K503" s="85">
        <v>847.02</v>
      </c>
      <c r="L503" s="85">
        <v>889.37</v>
      </c>
      <c r="M503" s="85">
        <v>42.35</v>
      </c>
      <c r="N503" s="85">
        <v>889.37</v>
      </c>
      <c r="O503" s="85">
        <v>0</v>
      </c>
      <c r="P503" s="85">
        <v>847.02</v>
      </c>
      <c r="Q503" s="85">
        <v>889.37</v>
      </c>
      <c r="R503" s="85">
        <v>42.35</v>
      </c>
      <c r="S503" s="85">
        <v>889.37</v>
      </c>
      <c r="T503" s="85">
        <v>0</v>
      </c>
      <c r="U503" s="82"/>
      <c r="V503" s="82" t="s">
        <v>3399</v>
      </c>
      <c r="W503" s="82" t="s">
        <v>3395</v>
      </c>
      <c r="X503" s="82" t="s">
        <v>3397</v>
      </c>
      <c r="Y503" s="82" t="s">
        <v>3393</v>
      </c>
    </row>
    <row r="504" spans="1:25" ht="10.9" customHeight="1" x14ac:dyDescent="0.2">
      <c r="A504" s="82" t="s">
        <v>2727</v>
      </c>
      <c r="B504" s="82" t="s">
        <v>465</v>
      </c>
      <c r="C504" s="83">
        <v>45784</v>
      </c>
      <c r="D504" s="83">
        <v>45814</v>
      </c>
      <c r="E504" s="83">
        <v>45835</v>
      </c>
      <c r="F504" s="83">
        <v>45835</v>
      </c>
      <c r="G504" s="83">
        <v>45784</v>
      </c>
      <c r="H504" s="82" t="s">
        <v>1476</v>
      </c>
      <c r="I504" s="82" t="s">
        <v>22</v>
      </c>
      <c r="J504" s="84">
        <v>0</v>
      </c>
      <c r="K504" s="85">
        <v>119.4</v>
      </c>
      <c r="L504" s="85">
        <v>134.91999999999999</v>
      </c>
      <c r="M504" s="85">
        <v>15.52</v>
      </c>
      <c r="N504" s="85">
        <v>134.91999999999999</v>
      </c>
      <c r="O504" s="85">
        <v>0</v>
      </c>
      <c r="P504" s="85">
        <v>119.4</v>
      </c>
      <c r="Q504" s="85">
        <v>134.91999999999999</v>
      </c>
      <c r="R504" s="85">
        <v>15.52</v>
      </c>
      <c r="S504" s="85">
        <v>134.91999999999999</v>
      </c>
      <c r="T504" s="85">
        <v>0</v>
      </c>
      <c r="U504" s="82"/>
      <c r="V504" s="82" t="s">
        <v>3399</v>
      </c>
      <c r="W504" s="82" t="s">
        <v>3395</v>
      </c>
      <c r="X504" s="82" t="s">
        <v>3394</v>
      </c>
      <c r="Y504" s="82" t="s">
        <v>3393</v>
      </c>
    </row>
    <row r="505" spans="1:25" ht="10.9" customHeight="1" x14ac:dyDescent="0.2">
      <c r="A505" s="82" t="s">
        <v>2698</v>
      </c>
      <c r="B505" s="82" t="s">
        <v>3412</v>
      </c>
      <c r="C505" s="83">
        <v>45784</v>
      </c>
      <c r="D505" s="83">
        <v>45829</v>
      </c>
      <c r="E505" s="83">
        <v>45831</v>
      </c>
      <c r="F505" s="83">
        <v>45828</v>
      </c>
      <c r="G505" s="83">
        <v>45784</v>
      </c>
      <c r="H505" s="82" t="s">
        <v>1527</v>
      </c>
      <c r="I505" s="82" t="s">
        <v>22</v>
      </c>
      <c r="J505" s="84">
        <v>0</v>
      </c>
      <c r="K505" s="85">
        <v>152.13</v>
      </c>
      <c r="L505" s="85">
        <v>159.74</v>
      </c>
      <c r="M505" s="85">
        <v>7.61</v>
      </c>
      <c r="N505" s="85">
        <v>159.74</v>
      </c>
      <c r="O505" s="85">
        <v>0</v>
      </c>
      <c r="P505" s="85">
        <v>152.13</v>
      </c>
      <c r="Q505" s="85">
        <v>159.74</v>
      </c>
      <c r="R505" s="85">
        <v>7.61</v>
      </c>
      <c r="S505" s="85">
        <v>159.74</v>
      </c>
      <c r="T505" s="85">
        <v>0</v>
      </c>
      <c r="U505" s="82"/>
      <c r="V505" s="82" t="s">
        <v>3399</v>
      </c>
      <c r="W505" s="82" t="s">
        <v>3395</v>
      </c>
      <c r="X505" s="82" t="s">
        <v>3394</v>
      </c>
      <c r="Y505" s="82" t="s">
        <v>3393</v>
      </c>
    </row>
    <row r="506" spans="1:25" ht="10.9" customHeight="1" x14ac:dyDescent="0.2">
      <c r="A506" s="82" t="s">
        <v>2732</v>
      </c>
      <c r="B506" s="82" t="s">
        <v>35</v>
      </c>
      <c r="C506" s="83">
        <v>45784</v>
      </c>
      <c r="D506" s="83">
        <v>45814</v>
      </c>
      <c r="E506" s="83">
        <v>45819</v>
      </c>
      <c r="F506" s="83">
        <v>45812</v>
      </c>
      <c r="G506" s="83">
        <v>45784</v>
      </c>
      <c r="H506" s="82" t="s">
        <v>1468</v>
      </c>
      <c r="I506" s="82" t="s">
        <v>22</v>
      </c>
      <c r="J506" s="84">
        <v>0</v>
      </c>
      <c r="K506" s="85">
        <v>112.37</v>
      </c>
      <c r="L506" s="85">
        <v>117.99</v>
      </c>
      <c r="M506" s="85">
        <v>5.62</v>
      </c>
      <c r="N506" s="85">
        <v>117.99</v>
      </c>
      <c r="O506" s="85">
        <v>0</v>
      </c>
      <c r="P506" s="85">
        <v>112.37</v>
      </c>
      <c r="Q506" s="85">
        <v>117.99</v>
      </c>
      <c r="R506" s="85">
        <v>5.62</v>
      </c>
      <c r="S506" s="85">
        <v>117.99</v>
      </c>
      <c r="T506" s="85">
        <v>0</v>
      </c>
      <c r="U506" s="82"/>
      <c r="V506" s="82" t="s">
        <v>3399</v>
      </c>
      <c r="W506" s="82" t="s">
        <v>3395</v>
      </c>
      <c r="X506" s="82" t="s">
        <v>3394</v>
      </c>
      <c r="Y506" s="82" t="s">
        <v>3393</v>
      </c>
    </row>
    <row r="507" spans="1:25" ht="10.9" customHeight="1" x14ac:dyDescent="0.2">
      <c r="A507" s="82" t="s">
        <v>2558</v>
      </c>
      <c r="B507" s="82" t="s">
        <v>129</v>
      </c>
      <c r="C507" s="83">
        <v>45785</v>
      </c>
      <c r="D507" s="83">
        <v>45845</v>
      </c>
      <c r="E507" s="83">
        <v>45845</v>
      </c>
      <c r="F507" s="82"/>
      <c r="G507" s="83">
        <v>45785</v>
      </c>
      <c r="H507" s="82" t="s">
        <v>3557</v>
      </c>
      <c r="I507" s="82" t="s">
        <v>51</v>
      </c>
      <c r="J507" s="84">
        <v>0.71813300000000002</v>
      </c>
      <c r="K507" s="85">
        <v>899</v>
      </c>
      <c r="L507" s="85">
        <v>899</v>
      </c>
      <c r="M507" s="85">
        <v>0</v>
      </c>
      <c r="N507" s="85">
        <v>0</v>
      </c>
      <c r="O507" s="85">
        <v>899</v>
      </c>
      <c r="P507" s="85">
        <v>1251.8572464989074</v>
      </c>
      <c r="Q507" s="85">
        <v>1251.8572464989074</v>
      </c>
      <c r="R507" s="85">
        <v>0</v>
      </c>
      <c r="S507" s="85">
        <v>0</v>
      </c>
      <c r="T507" s="85">
        <v>1233.81</v>
      </c>
      <c r="U507" s="82" t="s">
        <v>3401</v>
      </c>
      <c r="V507" s="82" t="s">
        <v>3396</v>
      </c>
      <c r="W507" s="82" t="s">
        <v>3395</v>
      </c>
      <c r="X507" s="82" t="s">
        <v>3394</v>
      </c>
      <c r="Y507" s="82" t="s">
        <v>3393</v>
      </c>
    </row>
    <row r="508" spans="1:25" ht="10.9" customHeight="1" x14ac:dyDescent="0.2">
      <c r="A508" s="82" t="s">
        <v>2733</v>
      </c>
      <c r="B508" s="82" t="s">
        <v>898</v>
      </c>
      <c r="C508" s="83">
        <v>45785</v>
      </c>
      <c r="D508" s="83">
        <v>45785</v>
      </c>
      <c r="E508" s="83">
        <v>45785</v>
      </c>
      <c r="F508" s="83">
        <v>45784</v>
      </c>
      <c r="G508" s="83">
        <v>45785</v>
      </c>
      <c r="H508" s="82" t="s">
        <v>3558</v>
      </c>
      <c r="I508" s="82" t="s">
        <v>22</v>
      </c>
      <c r="J508" s="84">
        <v>0</v>
      </c>
      <c r="K508" s="85">
        <v>1237.1099999999999</v>
      </c>
      <c r="L508" s="85">
        <v>1298.97</v>
      </c>
      <c r="M508" s="85">
        <v>61.86</v>
      </c>
      <c r="N508" s="85">
        <v>1298.97</v>
      </c>
      <c r="O508" s="85">
        <v>0</v>
      </c>
      <c r="P508" s="85">
        <v>1237.1099999999999</v>
      </c>
      <c r="Q508" s="85">
        <v>1298.97</v>
      </c>
      <c r="R508" s="85">
        <v>61.86</v>
      </c>
      <c r="S508" s="85">
        <v>1298.97</v>
      </c>
      <c r="T508" s="85">
        <v>0</v>
      </c>
      <c r="U508" s="82"/>
      <c r="V508" s="82" t="s">
        <v>3399</v>
      </c>
      <c r="W508" s="82" t="s">
        <v>3395</v>
      </c>
      <c r="X508" s="82" t="s">
        <v>3394</v>
      </c>
      <c r="Y508" s="82" t="s">
        <v>3393</v>
      </c>
    </row>
    <row r="509" spans="1:25" ht="10.9" customHeight="1" x14ac:dyDescent="0.2">
      <c r="A509" s="82" t="s">
        <v>2736</v>
      </c>
      <c r="B509" s="82" t="s">
        <v>316</v>
      </c>
      <c r="C509" s="83">
        <v>45785</v>
      </c>
      <c r="D509" s="83">
        <v>45815</v>
      </c>
      <c r="E509" s="83">
        <v>45828</v>
      </c>
      <c r="F509" s="83">
        <v>45826</v>
      </c>
      <c r="G509" s="83">
        <v>45785</v>
      </c>
      <c r="H509" s="82" t="s">
        <v>1460</v>
      </c>
      <c r="I509" s="82" t="s">
        <v>22</v>
      </c>
      <c r="J509" s="84">
        <v>0</v>
      </c>
      <c r="K509" s="85">
        <v>1389.92</v>
      </c>
      <c r="L509" s="85">
        <v>1459.42</v>
      </c>
      <c r="M509" s="85">
        <v>69.5</v>
      </c>
      <c r="N509" s="85">
        <v>1459.42</v>
      </c>
      <c r="O509" s="85">
        <v>0</v>
      </c>
      <c r="P509" s="85">
        <v>1389.92</v>
      </c>
      <c r="Q509" s="85">
        <v>1459.42</v>
      </c>
      <c r="R509" s="85">
        <v>69.5</v>
      </c>
      <c r="S509" s="85">
        <v>1459.42</v>
      </c>
      <c r="T509" s="85">
        <v>0</v>
      </c>
      <c r="U509" s="82"/>
      <c r="V509" s="82" t="s">
        <v>3399</v>
      </c>
      <c r="W509" s="82" t="s">
        <v>3395</v>
      </c>
      <c r="X509" s="82" t="s">
        <v>3394</v>
      </c>
      <c r="Y509" s="82" t="s">
        <v>3393</v>
      </c>
    </row>
    <row r="510" spans="1:25" ht="10.9" customHeight="1" x14ac:dyDescent="0.2">
      <c r="A510" s="82" t="s">
        <v>2735</v>
      </c>
      <c r="B510" s="82" t="s">
        <v>146</v>
      </c>
      <c r="C510" s="83">
        <v>45785</v>
      </c>
      <c r="D510" s="83">
        <v>45815</v>
      </c>
      <c r="E510" s="83">
        <v>45835</v>
      </c>
      <c r="F510" s="83">
        <v>45824</v>
      </c>
      <c r="G510" s="83">
        <v>45785</v>
      </c>
      <c r="H510" s="82" t="s">
        <v>3559</v>
      </c>
      <c r="I510" s="82" t="s">
        <v>22</v>
      </c>
      <c r="J510" s="84">
        <v>0</v>
      </c>
      <c r="K510" s="85">
        <v>5131.7</v>
      </c>
      <c r="L510" s="85">
        <v>5388.29</v>
      </c>
      <c r="M510" s="85">
        <v>256.58999999999997</v>
      </c>
      <c r="N510" s="85">
        <v>5388.29</v>
      </c>
      <c r="O510" s="85">
        <v>0</v>
      </c>
      <c r="P510" s="85">
        <v>5131.7</v>
      </c>
      <c r="Q510" s="85">
        <v>5388.29</v>
      </c>
      <c r="R510" s="85">
        <v>256.58999999999997</v>
      </c>
      <c r="S510" s="85">
        <v>5388.29</v>
      </c>
      <c r="T510" s="85">
        <v>0</v>
      </c>
      <c r="U510" s="82"/>
      <c r="V510" s="82" t="s">
        <v>3399</v>
      </c>
      <c r="W510" s="82" t="s">
        <v>3395</v>
      </c>
      <c r="X510" s="82" t="s">
        <v>3394</v>
      </c>
      <c r="Y510" s="82" t="s">
        <v>3393</v>
      </c>
    </row>
    <row r="511" spans="1:25" ht="10.9" customHeight="1" x14ac:dyDescent="0.2">
      <c r="A511" s="82" t="s">
        <v>2391</v>
      </c>
      <c r="B511" s="82" t="s">
        <v>1423</v>
      </c>
      <c r="C511" s="83">
        <v>45786</v>
      </c>
      <c r="D511" s="83">
        <v>45846</v>
      </c>
      <c r="E511" s="83">
        <v>45887</v>
      </c>
      <c r="F511" s="83">
        <v>45876</v>
      </c>
      <c r="G511" s="83">
        <v>45786</v>
      </c>
      <c r="H511" s="82" t="s">
        <v>2057</v>
      </c>
      <c r="I511" s="82" t="s">
        <v>51</v>
      </c>
      <c r="J511" s="84">
        <v>0.71763299999999997</v>
      </c>
      <c r="K511" s="85">
        <v>625.47</v>
      </c>
      <c r="L511" s="85">
        <v>625.47</v>
      </c>
      <c r="M511" s="85">
        <v>0</v>
      </c>
      <c r="N511" s="85">
        <v>625.47</v>
      </c>
      <c r="O511" s="85">
        <v>0</v>
      </c>
      <c r="P511" s="85">
        <v>871.57363164737399</v>
      </c>
      <c r="Q511" s="85">
        <v>871.57363164737399</v>
      </c>
      <c r="R511" s="85">
        <v>0</v>
      </c>
      <c r="S511" s="85">
        <v>859.44539999999995</v>
      </c>
      <c r="T511" s="85">
        <v>0</v>
      </c>
      <c r="U511" s="82"/>
      <c r="V511" s="82" t="s">
        <v>3399</v>
      </c>
      <c r="W511" s="82" t="s">
        <v>3395</v>
      </c>
      <c r="X511" s="82" t="s">
        <v>3394</v>
      </c>
      <c r="Y511" s="82" t="s">
        <v>3393</v>
      </c>
    </row>
    <row r="512" spans="1:25" ht="10.9" customHeight="1" x14ac:dyDescent="0.2">
      <c r="A512" s="82" t="s">
        <v>2731</v>
      </c>
      <c r="B512" s="82" t="s">
        <v>149</v>
      </c>
      <c r="C512" s="83">
        <v>45786</v>
      </c>
      <c r="D512" s="83">
        <v>45816</v>
      </c>
      <c r="E512" s="83">
        <v>45835</v>
      </c>
      <c r="F512" s="83">
        <v>45822</v>
      </c>
      <c r="G512" s="83">
        <v>45786</v>
      </c>
      <c r="H512" s="82" t="s">
        <v>1470</v>
      </c>
      <c r="I512" s="82" t="s">
        <v>51</v>
      </c>
      <c r="J512" s="84">
        <v>0.71763299999999997</v>
      </c>
      <c r="K512" s="85">
        <v>2779.5</v>
      </c>
      <c r="L512" s="85">
        <v>2779.5</v>
      </c>
      <c r="M512" s="85">
        <v>0</v>
      </c>
      <c r="N512" s="85">
        <v>2779.5</v>
      </c>
      <c r="O512" s="85">
        <v>0</v>
      </c>
      <c r="P512" s="85">
        <v>3873.1496461283132</v>
      </c>
      <c r="Q512" s="85">
        <v>3873.1496461283132</v>
      </c>
      <c r="R512" s="85">
        <v>0</v>
      </c>
      <c r="S512" s="85">
        <v>3775.8687</v>
      </c>
      <c r="T512" s="85">
        <v>0</v>
      </c>
      <c r="U512" s="82"/>
      <c r="V512" s="82" t="s">
        <v>3399</v>
      </c>
      <c r="W512" s="82" t="s">
        <v>3395</v>
      </c>
      <c r="X512" s="82" t="s">
        <v>3394</v>
      </c>
      <c r="Y512" s="82" t="s">
        <v>3393</v>
      </c>
    </row>
    <row r="513" spans="1:25" ht="10.9" customHeight="1" x14ac:dyDescent="0.2">
      <c r="A513" s="82" t="s">
        <v>2739</v>
      </c>
      <c r="B513" s="82" t="s">
        <v>242</v>
      </c>
      <c r="C513" s="83">
        <v>45786</v>
      </c>
      <c r="D513" s="83">
        <v>45816</v>
      </c>
      <c r="E513" s="83">
        <v>45828</v>
      </c>
      <c r="F513" s="83">
        <v>45819</v>
      </c>
      <c r="G513" s="83">
        <v>45786</v>
      </c>
      <c r="H513" s="82" t="s">
        <v>1454</v>
      </c>
      <c r="I513" s="82" t="s">
        <v>22</v>
      </c>
      <c r="J513" s="84">
        <v>0</v>
      </c>
      <c r="K513" s="85">
        <v>2627.35</v>
      </c>
      <c r="L513" s="85">
        <v>2758.72</v>
      </c>
      <c r="M513" s="85">
        <v>131.37</v>
      </c>
      <c r="N513" s="85">
        <v>2758.72</v>
      </c>
      <c r="O513" s="85">
        <v>0</v>
      </c>
      <c r="P513" s="85">
        <v>2627.35</v>
      </c>
      <c r="Q513" s="85">
        <v>2758.72</v>
      </c>
      <c r="R513" s="85">
        <v>131.37</v>
      </c>
      <c r="S513" s="85">
        <v>2758.72</v>
      </c>
      <c r="T513" s="85">
        <v>0</v>
      </c>
      <c r="U513" s="82"/>
      <c r="V513" s="82" t="s">
        <v>3399</v>
      </c>
      <c r="W513" s="82" t="s">
        <v>3395</v>
      </c>
      <c r="X513" s="82" t="s">
        <v>3394</v>
      </c>
      <c r="Y513" s="82" t="s">
        <v>3393</v>
      </c>
    </row>
    <row r="514" spans="1:25" ht="10.9" customHeight="1" x14ac:dyDescent="0.2">
      <c r="A514" s="82" t="s">
        <v>2670</v>
      </c>
      <c r="B514" s="82" t="s">
        <v>952</v>
      </c>
      <c r="C514" s="83">
        <v>45786</v>
      </c>
      <c r="D514" s="83">
        <v>45816</v>
      </c>
      <c r="E514" s="83">
        <v>45816</v>
      </c>
      <c r="F514" s="83">
        <v>45798</v>
      </c>
      <c r="G514" s="83">
        <v>45789</v>
      </c>
      <c r="H514" s="82" t="s">
        <v>1579</v>
      </c>
      <c r="I514" s="82" t="s">
        <v>22</v>
      </c>
      <c r="J514" s="84">
        <v>0</v>
      </c>
      <c r="K514" s="85">
        <v>456.4</v>
      </c>
      <c r="L514" s="85">
        <v>479.22</v>
      </c>
      <c r="M514" s="85">
        <v>22.82</v>
      </c>
      <c r="N514" s="85">
        <v>479.22</v>
      </c>
      <c r="O514" s="85">
        <v>0</v>
      </c>
      <c r="P514" s="85">
        <v>456.4</v>
      </c>
      <c r="Q514" s="85">
        <v>479.22</v>
      </c>
      <c r="R514" s="85">
        <v>22.82</v>
      </c>
      <c r="S514" s="85">
        <v>479.22</v>
      </c>
      <c r="T514" s="85">
        <v>0</v>
      </c>
      <c r="U514" s="82"/>
      <c r="V514" s="82" t="s">
        <v>3399</v>
      </c>
      <c r="W514" s="82" t="s">
        <v>3395</v>
      </c>
      <c r="X514" s="82" t="s">
        <v>3394</v>
      </c>
      <c r="Y514" s="82" t="s">
        <v>3393</v>
      </c>
    </row>
    <row r="515" spans="1:25" ht="10.9" customHeight="1" x14ac:dyDescent="0.2">
      <c r="A515" s="82" t="s">
        <v>2440</v>
      </c>
      <c r="B515" s="82" t="s">
        <v>192</v>
      </c>
      <c r="C515" s="83">
        <v>45789</v>
      </c>
      <c r="D515" s="83">
        <v>45819</v>
      </c>
      <c r="E515" s="83">
        <v>45842</v>
      </c>
      <c r="F515" s="83">
        <v>45843</v>
      </c>
      <c r="G515" s="83">
        <v>45789</v>
      </c>
      <c r="H515" s="82" t="s">
        <v>1974</v>
      </c>
      <c r="I515" s="82" t="s">
        <v>51</v>
      </c>
      <c r="J515" s="84">
        <v>0.71557400000000004</v>
      </c>
      <c r="K515" s="85">
        <v>3003.55</v>
      </c>
      <c r="L515" s="85">
        <v>3003.55</v>
      </c>
      <c r="M515" s="85">
        <v>0</v>
      </c>
      <c r="N515" s="85">
        <v>3003.55</v>
      </c>
      <c r="O515" s="85">
        <v>0</v>
      </c>
      <c r="P515" s="85">
        <v>4197.3995701353042</v>
      </c>
      <c r="Q515" s="85">
        <v>4197.3995701353042</v>
      </c>
      <c r="R515" s="85">
        <v>0</v>
      </c>
      <c r="S515" s="85">
        <v>4086.4792000000002</v>
      </c>
      <c r="T515" s="85">
        <v>0</v>
      </c>
      <c r="U515" s="82"/>
      <c r="V515" s="82" t="s">
        <v>3399</v>
      </c>
      <c r="W515" s="82" t="s">
        <v>3395</v>
      </c>
      <c r="X515" s="82" t="s">
        <v>3394</v>
      </c>
      <c r="Y515" s="82" t="s">
        <v>3393</v>
      </c>
    </row>
    <row r="516" spans="1:25" ht="10.9" customHeight="1" x14ac:dyDescent="0.2">
      <c r="A516" s="82" t="s">
        <v>2740</v>
      </c>
      <c r="B516" s="82" t="s">
        <v>3412</v>
      </c>
      <c r="C516" s="83">
        <v>45789</v>
      </c>
      <c r="D516" s="83">
        <v>45834</v>
      </c>
      <c r="E516" s="83">
        <v>45834</v>
      </c>
      <c r="F516" s="83">
        <v>45828</v>
      </c>
      <c r="G516" s="83">
        <v>45789</v>
      </c>
      <c r="H516" s="82" t="s">
        <v>1452</v>
      </c>
      <c r="I516" s="82" t="s">
        <v>22</v>
      </c>
      <c r="J516" s="84">
        <v>0</v>
      </c>
      <c r="K516" s="85">
        <v>1072.28</v>
      </c>
      <c r="L516" s="85">
        <v>1125.9000000000001</v>
      </c>
      <c r="M516" s="85">
        <v>53.62</v>
      </c>
      <c r="N516" s="85">
        <v>1125.9000000000001</v>
      </c>
      <c r="O516" s="85">
        <v>0</v>
      </c>
      <c r="P516" s="85">
        <v>1072.28</v>
      </c>
      <c r="Q516" s="85">
        <v>1125.9000000000001</v>
      </c>
      <c r="R516" s="85">
        <v>53.62</v>
      </c>
      <c r="S516" s="85">
        <v>1125.9000000000001</v>
      </c>
      <c r="T516" s="85">
        <v>0</v>
      </c>
      <c r="U516" s="82"/>
      <c r="V516" s="82" t="s">
        <v>3399</v>
      </c>
      <c r="W516" s="82" t="s">
        <v>3395</v>
      </c>
      <c r="X516" s="82" t="s">
        <v>3394</v>
      </c>
      <c r="Y516" s="82" t="s">
        <v>3393</v>
      </c>
    </row>
    <row r="517" spans="1:25" ht="10.9" customHeight="1" x14ac:dyDescent="0.2">
      <c r="A517" s="82" t="s">
        <v>2667</v>
      </c>
      <c r="B517" s="82" t="s">
        <v>714</v>
      </c>
      <c r="C517" s="83">
        <v>45790</v>
      </c>
      <c r="D517" s="83">
        <v>45820</v>
      </c>
      <c r="E517" s="83">
        <v>45820</v>
      </c>
      <c r="F517" s="83">
        <v>45804</v>
      </c>
      <c r="G517" s="83">
        <v>45790</v>
      </c>
      <c r="H517" s="82" t="s">
        <v>1586</v>
      </c>
      <c r="I517" s="82" t="s">
        <v>51</v>
      </c>
      <c r="J517" s="84">
        <v>0.71813300000000002</v>
      </c>
      <c r="K517" s="85">
        <v>2392.75</v>
      </c>
      <c r="L517" s="85">
        <v>2392.75</v>
      </c>
      <c r="M517" s="85">
        <v>0</v>
      </c>
      <c r="N517" s="85">
        <v>2392.75</v>
      </c>
      <c r="O517" s="85">
        <v>0</v>
      </c>
      <c r="P517" s="85">
        <v>3331.9037002895006</v>
      </c>
      <c r="Q517" s="85">
        <v>3331.9037002895006</v>
      </c>
      <c r="R517" s="85">
        <v>0</v>
      </c>
      <c r="S517" s="85">
        <v>3297.3521999999998</v>
      </c>
      <c r="T517" s="85">
        <v>0</v>
      </c>
      <c r="U517" s="82"/>
      <c r="V517" s="82" t="s">
        <v>3399</v>
      </c>
      <c r="W517" s="82" t="s">
        <v>3395</v>
      </c>
      <c r="X517" s="82" t="s">
        <v>3394</v>
      </c>
      <c r="Y517" s="82" t="s">
        <v>3393</v>
      </c>
    </row>
    <row r="518" spans="1:25" ht="10.9" customHeight="1" x14ac:dyDescent="0.2">
      <c r="A518" s="82" t="s">
        <v>2738</v>
      </c>
      <c r="B518" s="82" t="s">
        <v>901</v>
      </c>
      <c r="C518" s="83">
        <v>45790</v>
      </c>
      <c r="D518" s="83">
        <v>45829</v>
      </c>
      <c r="E518" s="83">
        <v>45835</v>
      </c>
      <c r="F518" s="83">
        <v>45895</v>
      </c>
      <c r="G518" s="83">
        <v>45790</v>
      </c>
      <c r="H518" s="82" t="s">
        <v>1456</v>
      </c>
      <c r="I518" s="82" t="s">
        <v>51</v>
      </c>
      <c r="J518" s="84">
        <v>0.71813300000000002</v>
      </c>
      <c r="K518" s="85">
        <v>4530</v>
      </c>
      <c r="L518" s="85">
        <v>4530</v>
      </c>
      <c r="M518" s="85">
        <v>0</v>
      </c>
      <c r="N518" s="85">
        <v>4530</v>
      </c>
      <c r="O518" s="85">
        <v>0</v>
      </c>
      <c r="P518" s="85">
        <v>6308.0237226251957</v>
      </c>
      <c r="Q518" s="85">
        <v>6308.0237226251957</v>
      </c>
      <c r="R518" s="85">
        <v>0</v>
      </c>
      <c r="S518" s="85">
        <v>6268.7942999999996</v>
      </c>
      <c r="T518" s="85">
        <v>0</v>
      </c>
      <c r="U518" s="82"/>
      <c r="V518" s="82" t="s">
        <v>3399</v>
      </c>
      <c r="W518" s="82" t="s">
        <v>3395</v>
      </c>
      <c r="X518" s="82" t="s">
        <v>3394</v>
      </c>
      <c r="Y518" s="82" t="s">
        <v>3393</v>
      </c>
    </row>
    <row r="519" spans="1:25" ht="10.9" customHeight="1" x14ac:dyDescent="0.2">
      <c r="A519" s="82" t="s">
        <v>2366</v>
      </c>
      <c r="B519" s="82" t="s">
        <v>70</v>
      </c>
      <c r="C519" s="83">
        <v>45790</v>
      </c>
      <c r="D519" s="83">
        <v>45850</v>
      </c>
      <c r="E519" s="83">
        <v>45887</v>
      </c>
      <c r="F519" s="83">
        <v>45894</v>
      </c>
      <c r="G519" s="83">
        <v>45790</v>
      </c>
      <c r="H519" s="82" t="s">
        <v>2091</v>
      </c>
      <c r="I519" s="82" t="s">
        <v>51</v>
      </c>
      <c r="J519" s="84">
        <v>0.71813300000000002</v>
      </c>
      <c r="K519" s="85">
        <v>6080.55</v>
      </c>
      <c r="L519" s="85">
        <v>6080.55</v>
      </c>
      <c r="M519" s="85">
        <v>0</v>
      </c>
      <c r="N519" s="85">
        <v>6080.55</v>
      </c>
      <c r="O519" s="85">
        <v>0</v>
      </c>
      <c r="P519" s="85">
        <v>8467.1641603992575</v>
      </c>
      <c r="Q519" s="85">
        <v>8467.1641603992575</v>
      </c>
      <c r="R519" s="85">
        <v>0</v>
      </c>
      <c r="S519" s="85">
        <v>8421.3827999999994</v>
      </c>
      <c r="T519" s="85">
        <v>0</v>
      </c>
      <c r="U519" s="82"/>
      <c r="V519" s="82" t="s">
        <v>3399</v>
      </c>
      <c r="W519" s="82" t="s">
        <v>3395</v>
      </c>
      <c r="X519" s="82" t="s">
        <v>3394</v>
      </c>
      <c r="Y519" s="82" t="s">
        <v>3393</v>
      </c>
    </row>
    <row r="520" spans="1:25" ht="10.9" customHeight="1" x14ac:dyDescent="0.2">
      <c r="A520" s="82" t="s">
        <v>2748</v>
      </c>
      <c r="B520" s="82" t="s">
        <v>1261</v>
      </c>
      <c r="C520" s="83">
        <v>45790</v>
      </c>
      <c r="D520" s="83">
        <v>45820</v>
      </c>
      <c r="E520" s="83">
        <v>45835</v>
      </c>
      <c r="F520" s="83">
        <v>45821</v>
      </c>
      <c r="G520" s="83">
        <v>45793</v>
      </c>
      <c r="H520" s="82" t="s">
        <v>1440</v>
      </c>
      <c r="I520" s="82" t="s">
        <v>22</v>
      </c>
      <c r="J520" s="84">
        <v>0</v>
      </c>
      <c r="K520" s="85">
        <v>2087.66</v>
      </c>
      <c r="L520" s="85">
        <v>2192.04</v>
      </c>
      <c r="M520" s="85">
        <v>104.38</v>
      </c>
      <c r="N520" s="85">
        <v>2192.04</v>
      </c>
      <c r="O520" s="85">
        <v>0</v>
      </c>
      <c r="P520" s="85">
        <v>2087.66</v>
      </c>
      <c r="Q520" s="85">
        <v>2192.04</v>
      </c>
      <c r="R520" s="85">
        <v>104.38</v>
      </c>
      <c r="S520" s="85">
        <v>2192.04</v>
      </c>
      <c r="T520" s="85">
        <v>0</v>
      </c>
      <c r="U520" s="82"/>
      <c r="V520" s="82" t="s">
        <v>3399</v>
      </c>
      <c r="W520" s="82" t="s">
        <v>3395</v>
      </c>
      <c r="X520" s="82" t="s">
        <v>3394</v>
      </c>
      <c r="Y520" s="82" t="s">
        <v>3393</v>
      </c>
    </row>
    <row r="521" spans="1:25" ht="10.9" customHeight="1" x14ac:dyDescent="0.2">
      <c r="A521" s="82"/>
      <c r="B521" s="82" t="s">
        <v>3464</v>
      </c>
      <c r="C521" s="83">
        <v>45790</v>
      </c>
      <c r="D521" s="83">
        <v>45790</v>
      </c>
      <c r="E521" s="83">
        <v>45790</v>
      </c>
      <c r="F521" s="83">
        <v>45828</v>
      </c>
      <c r="G521" s="83">
        <v>45792</v>
      </c>
      <c r="H521" s="82" t="s">
        <v>1497</v>
      </c>
      <c r="I521" s="82" t="s">
        <v>51</v>
      </c>
      <c r="J521" s="84">
        <v>0.71813300000000002</v>
      </c>
      <c r="K521" s="85">
        <v>-7365</v>
      </c>
      <c r="L521" s="85">
        <v>-7365</v>
      </c>
      <c r="M521" s="85">
        <v>0</v>
      </c>
      <c r="N521" s="85">
        <v>-7365</v>
      </c>
      <c r="O521" s="85">
        <v>0</v>
      </c>
      <c r="P521" s="85">
        <v>-10255.760423208514</v>
      </c>
      <c r="Q521" s="85">
        <v>-10255.760423208514</v>
      </c>
      <c r="R521" s="85">
        <v>0</v>
      </c>
      <c r="S521" s="85">
        <v>-10255.760399999999</v>
      </c>
      <c r="T521" s="85">
        <v>0</v>
      </c>
      <c r="U521" s="82"/>
      <c r="V521" s="82" t="s">
        <v>3399</v>
      </c>
      <c r="W521" s="82" t="s">
        <v>3423</v>
      </c>
      <c r="X521" s="82" t="s">
        <v>3397</v>
      </c>
      <c r="Y521" s="82"/>
    </row>
    <row r="522" spans="1:25" ht="10.9" customHeight="1" x14ac:dyDescent="0.2">
      <c r="A522" s="82" t="s">
        <v>2755</v>
      </c>
      <c r="B522" s="82" t="s">
        <v>146</v>
      </c>
      <c r="C522" s="83">
        <v>45791</v>
      </c>
      <c r="D522" s="83">
        <v>45821</v>
      </c>
      <c r="E522" s="83">
        <v>45842</v>
      </c>
      <c r="F522" s="83">
        <v>45860</v>
      </c>
      <c r="G522" s="83">
        <v>45793</v>
      </c>
      <c r="H522" s="82" t="s">
        <v>1425</v>
      </c>
      <c r="I522" s="82" t="s">
        <v>22</v>
      </c>
      <c r="J522" s="84">
        <v>0</v>
      </c>
      <c r="K522" s="85">
        <v>2113.38</v>
      </c>
      <c r="L522" s="85">
        <v>2219.0500000000002</v>
      </c>
      <c r="M522" s="85">
        <v>105.67</v>
      </c>
      <c r="N522" s="85">
        <v>2219.0500000000002</v>
      </c>
      <c r="O522" s="85">
        <v>0</v>
      </c>
      <c r="P522" s="85">
        <v>2113.38</v>
      </c>
      <c r="Q522" s="85">
        <v>2219.0500000000002</v>
      </c>
      <c r="R522" s="85">
        <v>105.67</v>
      </c>
      <c r="S522" s="85">
        <v>2219.0500000000002</v>
      </c>
      <c r="T522" s="85">
        <v>0</v>
      </c>
      <c r="U522" s="82"/>
      <c r="V522" s="82" t="s">
        <v>3399</v>
      </c>
      <c r="W522" s="82" t="s">
        <v>3395</v>
      </c>
      <c r="X522" s="82" t="s">
        <v>3394</v>
      </c>
      <c r="Y522" s="82" t="s">
        <v>3393</v>
      </c>
    </row>
    <row r="523" spans="1:25" ht="10.9" customHeight="1" x14ac:dyDescent="0.2">
      <c r="A523" s="82" t="s">
        <v>2742</v>
      </c>
      <c r="B523" s="82" t="s">
        <v>159</v>
      </c>
      <c r="C523" s="83">
        <v>45792</v>
      </c>
      <c r="D523" s="83">
        <v>45837</v>
      </c>
      <c r="E523" s="83">
        <v>45849</v>
      </c>
      <c r="F523" s="83">
        <v>45849</v>
      </c>
      <c r="G523" s="83">
        <v>45791</v>
      </c>
      <c r="H523" s="82" t="s">
        <v>1450</v>
      </c>
      <c r="I523" s="82" t="s">
        <v>51</v>
      </c>
      <c r="J523" s="84">
        <v>0.71701499999999996</v>
      </c>
      <c r="K523" s="85">
        <v>10879.89</v>
      </c>
      <c r="L523" s="85">
        <v>10879.89</v>
      </c>
      <c r="M523" s="85">
        <v>0</v>
      </c>
      <c r="N523" s="85">
        <v>10879.89</v>
      </c>
      <c r="O523" s="85">
        <v>0</v>
      </c>
      <c r="P523" s="85">
        <v>15173.866655509299</v>
      </c>
      <c r="Q523" s="85">
        <v>15173.866655509299</v>
      </c>
      <c r="R523" s="85">
        <v>0</v>
      </c>
      <c r="S523" s="85">
        <v>14880.537399999999</v>
      </c>
      <c r="T523" s="85">
        <v>0</v>
      </c>
      <c r="U523" s="82"/>
      <c r="V523" s="82" t="s">
        <v>3399</v>
      </c>
      <c r="W523" s="82" t="s">
        <v>3395</v>
      </c>
      <c r="X523" s="82" t="s">
        <v>3394</v>
      </c>
      <c r="Y523" s="82" t="s">
        <v>3393</v>
      </c>
    </row>
    <row r="524" spans="1:25" ht="10.9" customHeight="1" x14ac:dyDescent="0.2">
      <c r="A524" s="82" t="s">
        <v>2746</v>
      </c>
      <c r="B524" s="82" t="s">
        <v>159</v>
      </c>
      <c r="C524" s="83">
        <v>45792</v>
      </c>
      <c r="D524" s="83">
        <v>45837</v>
      </c>
      <c r="E524" s="83">
        <v>45849</v>
      </c>
      <c r="F524" s="83">
        <v>45835</v>
      </c>
      <c r="G524" s="83">
        <v>45792</v>
      </c>
      <c r="H524" s="82" t="s">
        <v>1444</v>
      </c>
      <c r="I524" s="82" t="s">
        <v>51</v>
      </c>
      <c r="J524" s="84">
        <v>0.71701499999999996</v>
      </c>
      <c r="K524" s="85">
        <v>7514.44</v>
      </c>
      <c r="L524" s="85">
        <v>7514.44</v>
      </c>
      <c r="M524" s="85">
        <v>0</v>
      </c>
      <c r="N524" s="85">
        <v>7514.44</v>
      </c>
      <c r="O524" s="85">
        <v>0</v>
      </c>
      <c r="P524" s="85">
        <v>10480.171265594165</v>
      </c>
      <c r="Q524" s="85">
        <v>10480.171265594165</v>
      </c>
      <c r="R524" s="85">
        <v>0</v>
      </c>
      <c r="S524" s="85">
        <v>10280.276400000001</v>
      </c>
      <c r="T524" s="85">
        <v>0</v>
      </c>
      <c r="U524" s="82"/>
      <c r="V524" s="82" t="s">
        <v>3399</v>
      </c>
      <c r="W524" s="82" t="s">
        <v>3395</v>
      </c>
      <c r="X524" s="82" t="s">
        <v>3394</v>
      </c>
      <c r="Y524" s="82" t="s">
        <v>3393</v>
      </c>
    </row>
    <row r="525" spans="1:25" ht="10.9" customHeight="1" x14ac:dyDescent="0.2">
      <c r="A525" s="82" t="s">
        <v>2744</v>
      </c>
      <c r="B525" s="82" t="s">
        <v>159</v>
      </c>
      <c r="C525" s="83">
        <v>45792</v>
      </c>
      <c r="D525" s="83">
        <v>45837</v>
      </c>
      <c r="E525" s="83">
        <v>45849</v>
      </c>
      <c r="F525" s="83">
        <v>45835</v>
      </c>
      <c r="G525" s="83">
        <v>45792</v>
      </c>
      <c r="H525" s="82" t="s">
        <v>1446</v>
      </c>
      <c r="I525" s="82" t="s">
        <v>51</v>
      </c>
      <c r="J525" s="84">
        <v>0.71701499999999996</v>
      </c>
      <c r="K525" s="85">
        <v>18549.75</v>
      </c>
      <c r="L525" s="85">
        <v>18549.75</v>
      </c>
      <c r="M525" s="85">
        <v>0</v>
      </c>
      <c r="N525" s="85">
        <v>18549.75</v>
      </c>
      <c r="O525" s="85">
        <v>0</v>
      </c>
      <c r="P525" s="85">
        <v>25870.797682056862</v>
      </c>
      <c r="Q525" s="85">
        <v>25870.797682056862</v>
      </c>
      <c r="R525" s="85">
        <v>0</v>
      </c>
      <c r="S525" s="85">
        <v>25377.3478</v>
      </c>
      <c r="T525" s="85">
        <v>0</v>
      </c>
      <c r="U525" s="82"/>
      <c r="V525" s="82" t="s">
        <v>3399</v>
      </c>
      <c r="W525" s="82" t="s">
        <v>3395</v>
      </c>
      <c r="X525" s="82" t="s">
        <v>3394</v>
      </c>
      <c r="Y525" s="82" t="s">
        <v>3393</v>
      </c>
    </row>
    <row r="526" spans="1:25" ht="10.9" customHeight="1" x14ac:dyDescent="0.2">
      <c r="A526" s="82" t="s">
        <v>2619</v>
      </c>
      <c r="B526" s="82" t="s">
        <v>159</v>
      </c>
      <c r="C526" s="83">
        <v>45792</v>
      </c>
      <c r="D526" s="83">
        <v>45837</v>
      </c>
      <c r="E526" s="83">
        <v>45849</v>
      </c>
      <c r="F526" s="83">
        <v>45835</v>
      </c>
      <c r="G526" s="83">
        <v>45792</v>
      </c>
      <c r="H526" s="82" t="s">
        <v>1663</v>
      </c>
      <c r="I526" s="82" t="s">
        <v>51</v>
      </c>
      <c r="J526" s="84">
        <v>0.71701499999999996</v>
      </c>
      <c r="K526" s="85">
        <v>9324</v>
      </c>
      <c r="L526" s="85">
        <v>9324</v>
      </c>
      <c r="M526" s="85">
        <v>0</v>
      </c>
      <c r="N526" s="85">
        <v>9324</v>
      </c>
      <c r="O526" s="85">
        <v>0</v>
      </c>
      <c r="P526" s="85">
        <v>13003.91205204912</v>
      </c>
      <c r="Q526" s="85">
        <v>13003.91205204912</v>
      </c>
      <c r="R526" s="85">
        <v>0</v>
      </c>
      <c r="S526" s="85">
        <v>12755.880300000001</v>
      </c>
      <c r="T526" s="85">
        <v>0</v>
      </c>
      <c r="U526" s="82"/>
      <c r="V526" s="82" t="s">
        <v>3399</v>
      </c>
      <c r="W526" s="82" t="s">
        <v>3395</v>
      </c>
      <c r="X526" s="82" t="s">
        <v>3394</v>
      </c>
      <c r="Y526" s="82" t="s">
        <v>3393</v>
      </c>
    </row>
    <row r="527" spans="1:25" ht="10.9" customHeight="1" x14ac:dyDescent="0.2">
      <c r="A527" s="82" t="s">
        <v>2749</v>
      </c>
      <c r="B527" s="82" t="s">
        <v>159</v>
      </c>
      <c r="C527" s="83">
        <v>45792</v>
      </c>
      <c r="D527" s="83">
        <v>45837</v>
      </c>
      <c r="E527" s="83">
        <v>45849</v>
      </c>
      <c r="F527" s="83">
        <v>45835</v>
      </c>
      <c r="G527" s="83">
        <v>45792</v>
      </c>
      <c r="H527" s="82" t="s">
        <v>1438</v>
      </c>
      <c r="I527" s="82" t="s">
        <v>51</v>
      </c>
      <c r="J527" s="84">
        <v>0.71701499999999996</v>
      </c>
      <c r="K527" s="85">
        <v>41626.28</v>
      </c>
      <c r="L527" s="85">
        <v>41626.28</v>
      </c>
      <c r="M527" s="85">
        <v>0</v>
      </c>
      <c r="N527" s="85">
        <v>41626.28</v>
      </c>
      <c r="O527" s="85">
        <v>0</v>
      </c>
      <c r="P527" s="85">
        <v>58054.963982622401</v>
      </c>
      <c r="Q527" s="85">
        <v>58054.963982622401</v>
      </c>
      <c r="R527" s="85">
        <v>0</v>
      </c>
      <c r="S527" s="85">
        <v>56947.645299999996</v>
      </c>
      <c r="T527" s="85">
        <v>0</v>
      </c>
      <c r="U527" s="82"/>
      <c r="V527" s="82" t="s">
        <v>3399</v>
      </c>
      <c r="W527" s="82" t="s">
        <v>3395</v>
      </c>
      <c r="X527" s="82" t="s">
        <v>3394</v>
      </c>
      <c r="Y527" s="82" t="s">
        <v>3393</v>
      </c>
    </row>
    <row r="528" spans="1:25" ht="10.9" customHeight="1" x14ac:dyDescent="0.2">
      <c r="A528" s="82" t="s">
        <v>2669</v>
      </c>
      <c r="B528" s="82" t="s">
        <v>3556</v>
      </c>
      <c r="C528" s="83">
        <v>45792</v>
      </c>
      <c r="D528" s="83">
        <v>45822</v>
      </c>
      <c r="E528" s="83">
        <v>45824</v>
      </c>
      <c r="F528" s="83">
        <v>45821</v>
      </c>
      <c r="G528" s="83">
        <v>45792</v>
      </c>
      <c r="H528" s="82" t="s">
        <v>1581</v>
      </c>
      <c r="I528" s="82" t="s">
        <v>51</v>
      </c>
      <c r="J528" s="84">
        <v>0.71701499999999996</v>
      </c>
      <c r="K528" s="85">
        <v>104.04</v>
      </c>
      <c r="L528" s="85">
        <v>104.04</v>
      </c>
      <c r="M528" s="85">
        <v>0</v>
      </c>
      <c r="N528" s="85">
        <v>104.04</v>
      </c>
      <c r="O528" s="85">
        <v>0</v>
      </c>
      <c r="P528" s="85">
        <v>145.101566912826</v>
      </c>
      <c r="Q528" s="85">
        <v>145.101566912826</v>
      </c>
      <c r="R528" s="85">
        <v>0</v>
      </c>
      <c r="S528" s="85">
        <v>141.85130000000001</v>
      </c>
      <c r="T528" s="85">
        <v>0</v>
      </c>
      <c r="U528" s="82"/>
      <c r="V528" s="82" t="s">
        <v>3399</v>
      </c>
      <c r="W528" s="82" t="s">
        <v>3395</v>
      </c>
      <c r="X528" s="82" t="s">
        <v>3394</v>
      </c>
      <c r="Y528" s="82" t="s">
        <v>3393</v>
      </c>
    </row>
    <row r="529" spans="1:25" ht="10.9" customHeight="1" x14ac:dyDescent="0.2">
      <c r="A529" s="82" t="s">
        <v>2573</v>
      </c>
      <c r="B529" s="82" t="s">
        <v>901</v>
      </c>
      <c r="C529" s="83">
        <v>45792</v>
      </c>
      <c r="D529" s="83">
        <v>45829</v>
      </c>
      <c r="E529" s="83">
        <v>45842</v>
      </c>
      <c r="F529" s="83">
        <v>45904</v>
      </c>
      <c r="G529" s="83">
        <v>45792</v>
      </c>
      <c r="H529" s="82" t="s">
        <v>1741</v>
      </c>
      <c r="I529" s="82" t="s">
        <v>51</v>
      </c>
      <c r="J529" s="84">
        <v>0.71701499999999996</v>
      </c>
      <c r="K529" s="85">
        <v>14651.3</v>
      </c>
      <c r="L529" s="85">
        <v>14651.3</v>
      </c>
      <c r="M529" s="85">
        <v>0</v>
      </c>
      <c r="N529" s="85">
        <v>14651.3</v>
      </c>
      <c r="O529" s="85">
        <v>0</v>
      </c>
      <c r="P529" s="85">
        <v>20433.742669260755</v>
      </c>
      <c r="Q529" s="85">
        <v>20433.742669260755</v>
      </c>
      <c r="R529" s="85">
        <v>0</v>
      </c>
      <c r="S529" s="85">
        <v>20230.0638</v>
      </c>
      <c r="T529" s="85">
        <v>0</v>
      </c>
      <c r="U529" s="82"/>
      <c r="V529" s="82" t="s">
        <v>3399</v>
      </c>
      <c r="W529" s="82" t="s">
        <v>3395</v>
      </c>
      <c r="X529" s="82" t="s">
        <v>3394</v>
      </c>
      <c r="Y529" s="82" t="s">
        <v>3393</v>
      </c>
    </row>
    <row r="530" spans="1:25" ht="10.9" customHeight="1" x14ac:dyDescent="0.2">
      <c r="A530" s="82" t="s">
        <v>2610</v>
      </c>
      <c r="B530" s="82" t="s">
        <v>901</v>
      </c>
      <c r="C530" s="83">
        <v>45792</v>
      </c>
      <c r="D530" s="83">
        <v>45829</v>
      </c>
      <c r="E530" s="83">
        <v>45842</v>
      </c>
      <c r="F530" s="83">
        <v>45859</v>
      </c>
      <c r="G530" s="83">
        <v>45792</v>
      </c>
      <c r="H530" s="82" t="s">
        <v>1678</v>
      </c>
      <c r="I530" s="82" t="s">
        <v>51</v>
      </c>
      <c r="J530" s="84">
        <v>0.71701499999999996</v>
      </c>
      <c r="K530" s="85">
        <v>9044.7999999999993</v>
      </c>
      <c r="L530" s="85">
        <v>9044.7999999999993</v>
      </c>
      <c r="M530" s="85">
        <v>0</v>
      </c>
      <c r="N530" s="85">
        <v>9044.7999999999993</v>
      </c>
      <c r="O530" s="85">
        <v>0</v>
      </c>
      <c r="P530" s="85">
        <v>12614.519919388018</v>
      </c>
      <c r="Q530" s="85">
        <v>12614.519919388018</v>
      </c>
      <c r="R530" s="85">
        <v>0</v>
      </c>
      <c r="S530" s="85">
        <v>12378.081</v>
      </c>
      <c r="T530" s="85">
        <v>0</v>
      </c>
      <c r="U530" s="82"/>
      <c r="V530" s="82" t="s">
        <v>3399</v>
      </c>
      <c r="W530" s="82" t="s">
        <v>3395</v>
      </c>
      <c r="X530" s="82" t="s">
        <v>3394</v>
      </c>
      <c r="Y530" s="82" t="s">
        <v>3393</v>
      </c>
    </row>
    <row r="531" spans="1:25" ht="10.9" customHeight="1" x14ac:dyDescent="0.2">
      <c r="A531" s="82" t="s">
        <v>2758</v>
      </c>
      <c r="B531" s="82" t="s">
        <v>1420</v>
      </c>
      <c r="C531" s="83">
        <v>45792</v>
      </c>
      <c r="D531" s="83">
        <v>45806</v>
      </c>
      <c r="E531" s="83">
        <v>45814</v>
      </c>
      <c r="F531" s="83">
        <v>45805</v>
      </c>
      <c r="G531" s="83">
        <v>45793</v>
      </c>
      <c r="H531" s="82" t="s">
        <v>1419</v>
      </c>
      <c r="I531" s="82" t="s">
        <v>22</v>
      </c>
      <c r="J531" s="84">
        <v>0</v>
      </c>
      <c r="K531" s="85">
        <v>11129.88</v>
      </c>
      <c r="L531" s="85">
        <v>12576.76</v>
      </c>
      <c r="M531" s="85">
        <v>1446.88</v>
      </c>
      <c r="N531" s="85">
        <v>12576.76</v>
      </c>
      <c r="O531" s="85">
        <v>0</v>
      </c>
      <c r="P531" s="85">
        <v>11129.88</v>
      </c>
      <c r="Q531" s="85">
        <v>12576.76</v>
      </c>
      <c r="R531" s="85">
        <v>1446.88</v>
      </c>
      <c r="S531" s="85">
        <v>12576.76</v>
      </c>
      <c r="T531" s="85">
        <v>0</v>
      </c>
      <c r="U531" s="82"/>
      <c r="V531" s="82" t="s">
        <v>3399</v>
      </c>
      <c r="W531" s="82" t="s">
        <v>3395</v>
      </c>
      <c r="X531" s="82" t="s">
        <v>3394</v>
      </c>
      <c r="Y531" s="82" t="s">
        <v>3393</v>
      </c>
    </row>
    <row r="532" spans="1:25" ht="10.9" customHeight="1" x14ac:dyDescent="0.2">
      <c r="A532" s="82" t="s">
        <v>2760</v>
      </c>
      <c r="B532" s="82" t="s">
        <v>316</v>
      </c>
      <c r="C532" s="83">
        <v>45792</v>
      </c>
      <c r="D532" s="83">
        <v>45822</v>
      </c>
      <c r="E532" s="83">
        <v>45835</v>
      </c>
      <c r="F532" s="83">
        <v>45835</v>
      </c>
      <c r="G532" s="83">
        <v>45793</v>
      </c>
      <c r="H532" s="82" t="s">
        <v>1415</v>
      </c>
      <c r="I532" s="82" t="s">
        <v>22</v>
      </c>
      <c r="J532" s="84">
        <v>0</v>
      </c>
      <c r="K532" s="85">
        <v>3726.65</v>
      </c>
      <c r="L532" s="85">
        <v>3912.99</v>
      </c>
      <c r="M532" s="85">
        <v>186.34</v>
      </c>
      <c r="N532" s="85">
        <v>3912.99</v>
      </c>
      <c r="O532" s="85">
        <v>0</v>
      </c>
      <c r="P532" s="85">
        <v>3726.65</v>
      </c>
      <c r="Q532" s="85">
        <v>3912.99</v>
      </c>
      <c r="R532" s="85">
        <v>186.34</v>
      </c>
      <c r="S532" s="85">
        <v>3912.99</v>
      </c>
      <c r="T532" s="85">
        <v>0</v>
      </c>
      <c r="U532" s="82"/>
      <c r="V532" s="82" t="s">
        <v>3399</v>
      </c>
      <c r="W532" s="82" t="s">
        <v>3395</v>
      </c>
      <c r="X532" s="82" t="s">
        <v>3394</v>
      </c>
      <c r="Y532" s="82" t="s">
        <v>3393</v>
      </c>
    </row>
    <row r="533" spans="1:25" ht="10.9" customHeight="1" x14ac:dyDescent="0.2">
      <c r="A533" s="82" t="s">
        <v>2761</v>
      </c>
      <c r="B533" s="82" t="s">
        <v>171</v>
      </c>
      <c r="C533" s="83">
        <v>45792</v>
      </c>
      <c r="D533" s="83">
        <v>45822</v>
      </c>
      <c r="E533" s="83">
        <v>45828</v>
      </c>
      <c r="F533" s="83">
        <v>45820</v>
      </c>
      <c r="G533" s="83">
        <v>45793</v>
      </c>
      <c r="H533" s="82" t="s">
        <v>1413</v>
      </c>
      <c r="I533" s="82" t="s">
        <v>22</v>
      </c>
      <c r="J533" s="84">
        <v>0</v>
      </c>
      <c r="K533" s="85">
        <v>117.17</v>
      </c>
      <c r="L533" s="85">
        <v>123.03</v>
      </c>
      <c r="M533" s="85">
        <v>5.86</v>
      </c>
      <c r="N533" s="85">
        <v>123.03</v>
      </c>
      <c r="O533" s="85">
        <v>0</v>
      </c>
      <c r="P533" s="85">
        <v>117.17</v>
      </c>
      <c r="Q533" s="85">
        <v>123.03</v>
      </c>
      <c r="R533" s="85">
        <v>5.86</v>
      </c>
      <c r="S533" s="85">
        <v>123.03</v>
      </c>
      <c r="T533" s="85">
        <v>0</v>
      </c>
      <c r="U533" s="82"/>
      <c r="V533" s="82" t="s">
        <v>3399</v>
      </c>
      <c r="W533" s="82" t="s">
        <v>3395</v>
      </c>
      <c r="X533" s="82" t="s">
        <v>3394</v>
      </c>
      <c r="Y533" s="82" t="s">
        <v>3393</v>
      </c>
    </row>
    <row r="534" spans="1:25" ht="10.9" customHeight="1" x14ac:dyDescent="0.2">
      <c r="A534" s="82" t="s">
        <v>2765</v>
      </c>
      <c r="B534" s="82" t="s">
        <v>556</v>
      </c>
      <c r="C534" s="83">
        <v>45793</v>
      </c>
      <c r="D534" s="83">
        <v>45823</v>
      </c>
      <c r="E534" s="83">
        <v>45835</v>
      </c>
      <c r="F534" s="83">
        <v>45828</v>
      </c>
      <c r="G534" s="83">
        <v>45794</v>
      </c>
      <c r="H534" s="82" t="s">
        <v>1404</v>
      </c>
      <c r="I534" s="82" t="s">
        <v>22</v>
      </c>
      <c r="J534" s="84">
        <v>0</v>
      </c>
      <c r="K534" s="85">
        <v>919.94</v>
      </c>
      <c r="L534" s="85">
        <v>1039.53</v>
      </c>
      <c r="M534" s="85">
        <v>119.59</v>
      </c>
      <c r="N534" s="85">
        <v>1039.53</v>
      </c>
      <c r="O534" s="85">
        <v>0</v>
      </c>
      <c r="P534" s="85">
        <v>919.94</v>
      </c>
      <c r="Q534" s="85">
        <v>1039.53</v>
      </c>
      <c r="R534" s="85">
        <v>119.59</v>
      </c>
      <c r="S534" s="85">
        <v>1039.53</v>
      </c>
      <c r="T534" s="85">
        <v>0</v>
      </c>
      <c r="U534" s="82"/>
      <c r="V534" s="82" t="s">
        <v>3399</v>
      </c>
      <c r="W534" s="82" t="s">
        <v>3395</v>
      </c>
      <c r="X534" s="82" t="s">
        <v>3394</v>
      </c>
      <c r="Y534" s="82" t="s">
        <v>3393</v>
      </c>
    </row>
    <row r="535" spans="1:25" ht="10.9" customHeight="1" x14ac:dyDescent="0.2">
      <c r="A535" s="82" t="s">
        <v>2763</v>
      </c>
      <c r="B535" s="82" t="s">
        <v>20</v>
      </c>
      <c r="C535" s="83">
        <v>45793</v>
      </c>
      <c r="D535" s="83">
        <v>45853</v>
      </c>
      <c r="E535" s="83">
        <v>45853</v>
      </c>
      <c r="F535" s="83">
        <v>45853</v>
      </c>
      <c r="G535" s="83">
        <v>45794</v>
      </c>
      <c r="H535" s="82" t="s">
        <v>1408</v>
      </c>
      <c r="I535" s="82" t="s">
        <v>22</v>
      </c>
      <c r="J535" s="84">
        <v>0</v>
      </c>
      <c r="K535" s="85">
        <v>408.64</v>
      </c>
      <c r="L535" s="85">
        <v>429.07</v>
      </c>
      <c r="M535" s="85">
        <v>20.43</v>
      </c>
      <c r="N535" s="85">
        <v>429.07</v>
      </c>
      <c r="O535" s="85">
        <v>0</v>
      </c>
      <c r="P535" s="85">
        <v>408.64</v>
      </c>
      <c r="Q535" s="85">
        <v>429.07</v>
      </c>
      <c r="R535" s="85">
        <v>20.43</v>
      </c>
      <c r="S535" s="85">
        <v>429.07</v>
      </c>
      <c r="T535" s="85">
        <v>0</v>
      </c>
      <c r="U535" s="82"/>
      <c r="V535" s="82" t="s">
        <v>3399</v>
      </c>
      <c r="W535" s="82" t="s">
        <v>3395</v>
      </c>
      <c r="X535" s="82" t="s">
        <v>3394</v>
      </c>
      <c r="Y535" s="82" t="s">
        <v>3393</v>
      </c>
    </row>
    <row r="536" spans="1:25" ht="10.9" customHeight="1" x14ac:dyDescent="0.2">
      <c r="A536" s="82" t="s">
        <v>2764</v>
      </c>
      <c r="B536" s="82" t="s">
        <v>89</v>
      </c>
      <c r="C536" s="83">
        <v>45793</v>
      </c>
      <c r="D536" s="83">
        <v>45823</v>
      </c>
      <c r="E536" s="83">
        <v>45852</v>
      </c>
      <c r="F536" s="83">
        <v>45828</v>
      </c>
      <c r="G536" s="83">
        <v>45794</v>
      </c>
      <c r="H536" s="82" t="s">
        <v>1406</v>
      </c>
      <c r="I536" s="82" t="s">
        <v>22</v>
      </c>
      <c r="J536" s="84">
        <v>0</v>
      </c>
      <c r="K536" s="85">
        <v>1859.15</v>
      </c>
      <c r="L536" s="85">
        <v>1952.11</v>
      </c>
      <c r="M536" s="85">
        <v>92.96</v>
      </c>
      <c r="N536" s="85">
        <v>1952.11</v>
      </c>
      <c r="O536" s="85">
        <v>0</v>
      </c>
      <c r="P536" s="85">
        <v>1859.15</v>
      </c>
      <c r="Q536" s="85">
        <v>1952.11</v>
      </c>
      <c r="R536" s="85">
        <v>92.96</v>
      </c>
      <c r="S536" s="85">
        <v>1952.11</v>
      </c>
      <c r="T536" s="85">
        <v>0</v>
      </c>
      <c r="U536" s="82"/>
      <c r="V536" s="82" t="s">
        <v>3399</v>
      </c>
      <c r="W536" s="82" t="s">
        <v>3395</v>
      </c>
      <c r="X536" s="82" t="s">
        <v>3394</v>
      </c>
      <c r="Y536" s="82" t="s">
        <v>3393</v>
      </c>
    </row>
    <row r="537" spans="1:25" ht="10.9" customHeight="1" x14ac:dyDescent="0.2">
      <c r="A537" s="82" t="s">
        <v>2707</v>
      </c>
      <c r="B537" s="82" t="s">
        <v>3555</v>
      </c>
      <c r="C537" s="83">
        <v>45797</v>
      </c>
      <c r="D537" s="83">
        <v>45827</v>
      </c>
      <c r="E537" s="83">
        <v>45827</v>
      </c>
      <c r="F537" s="83">
        <v>45828</v>
      </c>
      <c r="G537" s="83">
        <v>45797</v>
      </c>
      <c r="H537" s="82" t="s">
        <v>1510</v>
      </c>
      <c r="I537" s="82" t="s">
        <v>51</v>
      </c>
      <c r="J537" s="84">
        <v>0.71842200000000001</v>
      </c>
      <c r="K537" s="85">
        <v>133.54</v>
      </c>
      <c r="L537" s="85">
        <v>133.54</v>
      </c>
      <c r="M537" s="85">
        <v>0</v>
      </c>
      <c r="N537" s="85">
        <v>133.54</v>
      </c>
      <c r="O537" s="85">
        <v>0</v>
      </c>
      <c r="P537" s="85">
        <v>185.8796083638864</v>
      </c>
      <c r="Q537" s="85">
        <v>185.8796083638864</v>
      </c>
      <c r="R537" s="85">
        <v>0</v>
      </c>
      <c r="S537" s="85">
        <v>183.37190000000001</v>
      </c>
      <c r="T537" s="85">
        <v>0</v>
      </c>
      <c r="U537" s="82"/>
      <c r="V537" s="82" t="s">
        <v>3399</v>
      </c>
      <c r="W537" s="82" t="s">
        <v>3395</v>
      </c>
      <c r="X537" s="82" t="s">
        <v>3394</v>
      </c>
      <c r="Y537" s="82" t="s">
        <v>3393</v>
      </c>
    </row>
    <row r="538" spans="1:25" ht="10.9" customHeight="1" x14ac:dyDescent="0.2">
      <c r="A538" s="82" t="s">
        <v>2762</v>
      </c>
      <c r="B538" s="82" t="s">
        <v>1411</v>
      </c>
      <c r="C538" s="83">
        <v>45797</v>
      </c>
      <c r="D538" s="83">
        <v>45827</v>
      </c>
      <c r="E538" s="83">
        <v>45835</v>
      </c>
      <c r="F538" s="83">
        <v>45840</v>
      </c>
      <c r="G538" s="83">
        <v>45798</v>
      </c>
      <c r="H538" s="82" t="s">
        <v>1410</v>
      </c>
      <c r="I538" s="82" t="s">
        <v>22</v>
      </c>
      <c r="J538" s="84">
        <v>0</v>
      </c>
      <c r="K538" s="85">
        <v>2749.33</v>
      </c>
      <c r="L538" s="85">
        <v>3106.74</v>
      </c>
      <c r="M538" s="85">
        <v>357.41</v>
      </c>
      <c r="N538" s="85">
        <v>3106.74</v>
      </c>
      <c r="O538" s="85">
        <v>0</v>
      </c>
      <c r="P538" s="85">
        <v>2749.33</v>
      </c>
      <c r="Q538" s="85">
        <v>3106.74</v>
      </c>
      <c r="R538" s="85">
        <v>357.41</v>
      </c>
      <c r="S538" s="85">
        <v>3106.74</v>
      </c>
      <c r="T538" s="85">
        <v>0</v>
      </c>
      <c r="U538" s="82"/>
      <c r="V538" s="82" t="s">
        <v>3399</v>
      </c>
      <c r="W538" s="82" t="s">
        <v>3395</v>
      </c>
      <c r="X538" s="82" t="s">
        <v>3394</v>
      </c>
      <c r="Y538" s="82" t="s">
        <v>3393</v>
      </c>
    </row>
    <row r="539" spans="1:25" ht="10.9" customHeight="1" x14ac:dyDescent="0.2">
      <c r="A539" s="82" t="s">
        <v>2766</v>
      </c>
      <c r="B539" s="82" t="s">
        <v>20</v>
      </c>
      <c r="C539" s="83">
        <v>45797</v>
      </c>
      <c r="D539" s="83">
        <v>45857</v>
      </c>
      <c r="E539" s="83">
        <v>45859</v>
      </c>
      <c r="F539" s="83">
        <v>45856</v>
      </c>
      <c r="G539" s="83">
        <v>45798</v>
      </c>
      <c r="H539" s="82" t="s">
        <v>1402</v>
      </c>
      <c r="I539" s="82" t="s">
        <v>22</v>
      </c>
      <c r="J539" s="84">
        <v>0</v>
      </c>
      <c r="K539" s="85">
        <v>7486.9</v>
      </c>
      <c r="L539" s="85">
        <v>7861.24</v>
      </c>
      <c r="M539" s="85">
        <v>374.34</v>
      </c>
      <c r="N539" s="85">
        <v>7861.24</v>
      </c>
      <c r="O539" s="85">
        <v>0</v>
      </c>
      <c r="P539" s="85">
        <v>7486.9</v>
      </c>
      <c r="Q539" s="85">
        <v>7861.24</v>
      </c>
      <c r="R539" s="85">
        <v>374.34</v>
      </c>
      <c r="S539" s="85">
        <v>7861.24</v>
      </c>
      <c r="T539" s="85">
        <v>0</v>
      </c>
      <c r="U539" s="82"/>
      <c r="V539" s="82" t="s">
        <v>3399</v>
      </c>
      <c r="W539" s="82" t="s">
        <v>3395</v>
      </c>
      <c r="X539" s="82" t="s">
        <v>3394</v>
      </c>
      <c r="Y539" s="82" t="s">
        <v>3393</v>
      </c>
    </row>
    <row r="540" spans="1:25" ht="10.9" customHeight="1" x14ac:dyDescent="0.2">
      <c r="A540" s="82" t="s">
        <v>2768</v>
      </c>
      <c r="B540" s="82" t="s">
        <v>70</v>
      </c>
      <c r="C540" s="83">
        <v>45798</v>
      </c>
      <c r="D540" s="83">
        <v>45858</v>
      </c>
      <c r="E540" s="83">
        <v>45890</v>
      </c>
      <c r="F540" s="83">
        <v>45894</v>
      </c>
      <c r="G540" s="83">
        <v>45799</v>
      </c>
      <c r="H540" s="82" t="s">
        <v>1398</v>
      </c>
      <c r="I540" s="82" t="s">
        <v>51</v>
      </c>
      <c r="J540" s="84">
        <v>0.722001</v>
      </c>
      <c r="K540" s="85">
        <v>2951.99</v>
      </c>
      <c r="L540" s="85">
        <v>2951.99</v>
      </c>
      <c r="M540" s="85">
        <v>0</v>
      </c>
      <c r="N540" s="85">
        <v>2951.99</v>
      </c>
      <c r="O540" s="85">
        <v>0</v>
      </c>
      <c r="P540" s="85">
        <v>4088.6231459513215</v>
      </c>
      <c r="Q540" s="85">
        <v>4088.6231459513215</v>
      </c>
      <c r="R540" s="85">
        <v>0</v>
      </c>
      <c r="S540" s="85">
        <v>4088.4193</v>
      </c>
      <c r="T540" s="85">
        <v>0</v>
      </c>
      <c r="U540" s="82"/>
      <c r="V540" s="82" t="s">
        <v>3399</v>
      </c>
      <c r="W540" s="82" t="s">
        <v>3395</v>
      </c>
      <c r="X540" s="82" t="s">
        <v>3394</v>
      </c>
      <c r="Y540" s="82" t="s">
        <v>3393</v>
      </c>
    </row>
    <row r="541" spans="1:25" ht="10.9" customHeight="1" x14ac:dyDescent="0.2">
      <c r="A541" s="82" t="s">
        <v>2654</v>
      </c>
      <c r="B541" s="82" t="s">
        <v>61</v>
      </c>
      <c r="C541" s="83">
        <v>45799</v>
      </c>
      <c r="D541" s="83">
        <v>45829</v>
      </c>
      <c r="E541" s="83">
        <v>45856</v>
      </c>
      <c r="F541" s="83">
        <v>45843</v>
      </c>
      <c r="G541" s="83">
        <v>45799</v>
      </c>
      <c r="H541" s="82" t="s">
        <v>1602</v>
      </c>
      <c r="I541" s="82" t="s">
        <v>51</v>
      </c>
      <c r="J541" s="84">
        <v>0.72285699999999997</v>
      </c>
      <c r="K541" s="85">
        <v>230.24</v>
      </c>
      <c r="L541" s="85">
        <v>230.24</v>
      </c>
      <c r="M541" s="85">
        <v>0</v>
      </c>
      <c r="N541" s="85">
        <v>230.24</v>
      </c>
      <c r="O541" s="85">
        <v>0</v>
      </c>
      <c r="P541" s="85">
        <v>318.51389693950517</v>
      </c>
      <c r="Q541" s="85">
        <v>318.51389693950517</v>
      </c>
      <c r="R541" s="85">
        <v>0</v>
      </c>
      <c r="S541" s="85">
        <v>313.25299999999999</v>
      </c>
      <c r="T541" s="85">
        <v>0</v>
      </c>
      <c r="U541" s="82"/>
      <c r="V541" s="82" t="s">
        <v>3399</v>
      </c>
      <c r="W541" s="82" t="s">
        <v>3395</v>
      </c>
      <c r="X541" s="82" t="s">
        <v>3394</v>
      </c>
      <c r="Y541" s="82" t="s">
        <v>3393</v>
      </c>
    </row>
    <row r="542" spans="1:25" ht="10.9" customHeight="1" x14ac:dyDescent="0.2">
      <c r="A542" s="82" t="s">
        <v>2775</v>
      </c>
      <c r="B542" s="82" t="s">
        <v>149</v>
      </c>
      <c r="C542" s="83">
        <v>45799</v>
      </c>
      <c r="D542" s="83">
        <v>45829</v>
      </c>
      <c r="E542" s="83">
        <v>45849</v>
      </c>
      <c r="F542" s="83">
        <v>45913</v>
      </c>
      <c r="G542" s="83">
        <v>45799</v>
      </c>
      <c r="H542" s="82" t="s">
        <v>1386</v>
      </c>
      <c r="I542" s="82" t="s">
        <v>51</v>
      </c>
      <c r="J542" s="84">
        <v>0.72285699999999997</v>
      </c>
      <c r="K542" s="85">
        <v>2387.6999999999998</v>
      </c>
      <c r="L542" s="85">
        <v>2387.6999999999998</v>
      </c>
      <c r="M542" s="85">
        <v>0</v>
      </c>
      <c r="N542" s="85">
        <v>2387.6999999999998</v>
      </c>
      <c r="O542" s="85">
        <v>0</v>
      </c>
      <c r="P542" s="85">
        <v>3303.1429452851671</v>
      </c>
      <c r="Q542" s="85">
        <v>3303.1429452851671</v>
      </c>
      <c r="R542" s="85">
        <v>0</v>
      </c>
      <c r="S542" s="85">
        <v>3273.7739000000001</v>
      </c>
      <c r="T542" s="85">
        <v>0</v>
      </c>
      <c r="U542" s="82"/>
      <c r="V542" s="82" t="s">
        <v>3399</v>
      </c>
      <c r="W542" s="82" t="s">
        <v>3395</v>
      </c>
      <c r="X542" s="82" t="s">
        <v>3394</v>
      </c>
      <c r="Y542" s="82" t="s">
        <v>3393</v>
      </c>
    </row>
    <row r="543" spans="1:25" ht="10.9" customHeight="1" x14ac:dyDescent="0.2">
      <c r="A543" s="82" t="s">
        <v>2770</v>
      </c>
      <c r="B543" s="82" t="s">
        <v>20</v>
      </c>
      <c r="C543" s="83">
        <v>45799</v>
      </c>
      <c r="D543" s="83">
        <v>45859</v>
      </c>
      <c r="E543" s="83">
        <v>45859</v>
      </c>
      <c r="F543" s="83">
        <v>45856</v>
      </c>
      <c r="G543" s="83">
        <v>45803</v>
      </c>
      <c r="H543" s="82" t="s">
        <v>1396</v>
      </c>
      <c r="I543" s="82" t="s">
        <v>22</v>
      </c>
      <c r="J543" s="84">
        <v>0</v>
      </c>
      <c r="K543" s="85">
        <v>283.44</v>
      </c>
      <c r="L543" s="85">
        <v>297.61</v>
      </c>
      <c r="M543" s="85">
        <v>14.17</v>
      </c>
      <c r="N543" s="85">
        <v>297.61</v>
      </c>
      <c r="O543" s="85">
        <v>0</v>
      </c>
      <c r="P543" s="85">
        <v>283.44</v>
      </c>
      <c r="Q543" s="85">
        <v>297.61</v>
      </c>
      <c r="R543" s="85">
        <v>14.17</v>
      </c>
      <c r="S543" s="85">
        <v>297.61</v>
      </c>
      <c r="T543" s="85">
        <v>0</v>
      </c>
      <c r="U543" s="82"/>
      <c r="V543" s="82" t="s">
        <v>3399</v>
      </c>
      <c r="W543" s="82" t="s">
        <v>3395</v>
      </c>
      <c r="X543" s="82" t="s">
        <v>3394</v>
      </c>
      <c r="Y543" s="82" t="s">
        <v>3393</v>
      </c>
    </row>
    <row r="544" spans="1:25" ht="10.9" customHeight="1" x14ac:dyDescent="0.2">
      <c r="A544" s="82" t="s">
        <v>2648</v>
      </c>
      <c r="B544" s="82" t="s">
        <v>61</v>
      </c>
      <c r="C544" s="83">
        <v>45800</v>
      </c>
      <c r="D544" s="83">
        <v>45830</v>
      </c>
      <c r="E544" s="83">
        <v>45855</v>
      </c>
      <c r="F544" s="83">
        <v>45843</v>
      </c>
      <c r="G544" s="83">
        <v>45800</v>
      </c>
      <c r="H544" s="82" t="s">
        <v>1615</v>
      </c>
      <c r="I544" s="82" t="s">
        <v>51</v>
      </c>
      <c r="J544" s="84">
        <v>0.72831100000000004</v>
      </c>
      <c r="K544" s="85">
        <v>5539.86</v>
      </c>
      <c r="L544" s="85">
        <v>5539.86</v>
      </c>
      <c r="M544" s="85">
        <v>0</v>
      </c>
      <c r="N544" s="85">
        <v>5539.86</v>
      </c>
      <c r="O544" s="85">
        <v>0</v>
      </c>
      <c r="P544" s="85">
        <v>7606.448344182636</v>
      </c>
      <c r="Q544" s="85">
        <v>7606.448344182636</v>
      </c>
      <c r="R544" s="85">
        <v>0</v>
      </c>
      <c r="S544" s="85">
        <v>7537.2552999999998</v>
      </c>
      <c r="T544" s="85">
        <v>0</v>
      </c>
      <c r="U544" s="82"/>
      <c r="V544" s="82" t="s">
        <v>3399</v>
      </c>
      <c r="W544" s="82" t="s">
        <v>3395</v>
      </c>
      <c r="X544" s="82" t="s">
        <v>3394</v>
      </c>
      <c r="Y544" s="82" t="s">
        <v>3393</v>
      </c>
    </row>
    <row r="545" spans="1:25" ht="10.9" customHeight="1" x14ac:dyDescent="0.2">
      <c r="A545" s="82" t="s">
        <v>2786</v>
      </c>
      <c r="B545" s="82" t="s">
        <v>472</v>
      </c>
      <c r="C545" s="83">
        <v>45800</v>
      </c>
      <c r="D545" s="83">
        <v>45815</v>
      </c>
      <c r="E545" s="83">
        <v>45821</v>
      </c>
      <c r="F545" s="83">
        <v>45826</v>
      </c>
      <c r="G545" s="83">
        <v>45800</v>
      </c>
      <c r="H545" s="82" t="s">
        <v>1367</v>
      </c>
      <c r="I545" s="82" t="s">
        <v>22</v>
      </c>
      <c r="J545" s="84">
        <v>0</v>
      </c>
      <c r="K545" s="85">
        <v>2108.6</v>
      </c>
      <c r="L545" s="85">
        <v>2214.0300000000002</v>
      </c>
      <c r="M545" s="85">
        <v>105.43</v>
      </c>
      <c r="N545" s="85">
        <v>2214.0300000000002</v>
      </c>
      <c r="O545" s="85">
        <v>0</v>
      </c>
      <c r="P545" s="85">
        <v>2108.6</v>
      </c>
      <c r="Q545" s="85">
        <v>2214.0300000000002</v>
      </c>
      <c r="R545" s="85">
        <v>105.43</v>
      </c>
      <c r="S545" s="85">
        <v>2214.0300000000002</v>
      </c>
      <c r="T545" s="85">
        <v>0</v>
      </c>
      <c r="U545" s="82"/>
      <c r="V545" s="82" t="s">
        <v>3399</v>
      </c>
      <c r="W545" s="82" t="s">
        <v>3395</v>
      </c>
      <c r="X545" s="82" t="s">
        <v>3394</v>
      </c>
      <c r="Y545" s="82" t="s">
        <v>3393</v>
      </c>
    </row>
    <row r="546" spans="1:25" ht="10.9" customHeight="1" x14ac:dyDescent="0.2">
      <c r="A546" s="82" t="s">
        <v>2776</v>
      </c>
      <c r="B546" s="82" t="s">
        <v>952</v>
      </c>
      <c r="C546" s="83">
        <v>45800</v>
      </c>
      <c r="D546" s="83">
        <v>45830</v>
      </c>
      <c r="E546" s="83">
        <v>45842</v>
      </c>
      <c r="F546" s="83">
        <v>45833</v>
      </c>
      <c r="G546" s="83">
        <v>45803</v>
      </c>
      <c r="H546" s="82" t="s">
        <v>1384</v>
      </c>
      <c r="I546" s="82" t="s">
        <v>22</v>
      </c>
      <c r="J546" s="84">
        <v>0</v>
      </c>
      <c r="K546" s="85">
        <v>190.55</v>
      </c>
      <c r="L546" s="85">
        <v>200.08</v>
      </c>
      <c r="M546" s="85">
        <v>9.5299999999999994</v>
      </c>
      <c r="N546" s="85">
        <v>200.08</v>
      </c>
      <c r="O546" s="85">
        <v>0</v>
      </c>
      <c r="P546" s="85">
        <v>190.55</v>
      </c>
      <c r="Q546" s="85">
        <v>200.08</v>
      </c>
      <c r="R546" s="85">
        <v>9.5299999999999994</v>
      </c>
      <c r="S546" s="85">
        <v>200.08</v>
      </c>
      <c r="T546" s="85">
        <v>0</v>
      </c>
      <c r="U546" s="82"/>
      <c r="V546" s="82" t="s">
        <v>3399</v>
      </c>
      <c r="W546" s="82" t="s">
        <v>3395</v>
      </c>
      <c r="X546" s="82" t="s">
        <v>3394</v>
      </c>
      <c r="Y546" s="82" t="s">
        <v>3393</v>
      </c>
    </row>
    <row r="547" spans="1:25" ht="10.9" customHeight="1" x14ac:dyDescent="0.2">
      <c r="A547" s="82" t="s">
        <v>2784</v>
      </c>
      <c r="B547" s="82" t="s">
        <v>242</v>
      </c>
      <c r="C547" s="83">
        <v>45800</v>
      </c>
      <c r="D547" s="83">
        <v>45830</v>
      </c>
      <c r="E547" s="83">
        <v>45842</v>
      </c>
      <c r="F547" s="83">
        <v>45840</v>
      </c>
      <c r="G547" s="83">
        <v>45803</v>
      </c>
      <c r="H547" s="82" t="s">
        <v>1371</v>
      </c>
      <c r="I547" s="82" t="s">
        <v>22</v>
      </c>
      <c r="J547" s="84">
        <v>0</v>
      </c>
      <c r="K547" s="85">
        <v>321.89999999999998</v>
      </c>
      <c r="L547" s="85">
        <v>338</v>
      </c>
      <c r="M547" s="85">
        <v>16.100000000000001</v>
      </c>
      <c r="N547" s="85">
        <v>338</v>
      </c>
      <c r="O547" s="85">
        <v>0</v>
      </c>
      <c r="P547" s="85">
        <v>321.89999999999998</v>
      </c>
      <c r="Q547" s="85">
        <v>338</v>
      </c>
      <c r="R547" s="85">
        <v>16.100000000000001</v>
      </c>
      <c r="S547" s="85">
        <v>338</v>
      </c>
      <c r="T547" s="85">
        <v>0</v>
      </c>
      <c r="U547" s="82"/>
      <c r="V547" s="82" t="s">
        <v>3399</v>
      </c>
      <c r="W547" s="82" t="s">
        <v>3395</v>
      </c>
      <c r="X547" s="82" t="s">
        <v>3394</v>
      </c>
      <c r="Y547" s="82" t="s">
        <v>3393</v>
      </c>
    </row>
    <row r="548" spans="1:25" ht="10.9" customHeight="1" x14ac:dyDescent="0.2">
      <c r="A548" s="82" t="s">
        <v>2661</v>
      </c>
      <c r="B548" s="82" t="s">
        <v>98</v>
      </c>
      <c r="C548" s="83">
        <v>45803</v>
      </c>
      <c r="D548" s="83">
        <v>45833</v>
      </c>
      <c r="E548" s="83">
        <v>45840</v>
      </c>
      <c r="F548" s="83">
        <v>45833</v>
      </c>
      <c r="G548" s="83">
        <v>45804</v>
      </c>
      <c r="H548" s="82" t="s">
        <v>1592</v>
      </c>
      <c r="I548" s="82" t="s">
        <v>22</v>
      </c>
      <c r="J548" s="84">
        <v>0</v>
      </c>
      <c r="K548" s="85">
        <v>910.22</v>
      </c>
      <c r="L548" s="85">
        <v>1028.55</v>
      </c>
      <c r="M548" s="85">
        <v>118.33</v>
      </c>
      <c r="N548" s="85">
        <v>1028.55</v>
      </c>
      <c r="O548" s="85">
        <v>0</v>
      </c>
      <c r="P548" s="85">
        <v>910.22</v>
      </c>
      <c r="Q548" s="85">
        <v>1028.55</v>
      </c>
      <c r="R548" s="85">
        <v>118.33</v>
      </c>
      <c r="S548" s="85">
        <v>1028.55</v>
      </c>
      <c r="T548" s="85">
        <v>0</v>
      </c>
      <c r="U548" s="82"/>
      <c r="V548" s="82" t="s">
        <v>3399</v>
      </c>
      <c r="W548" s="82" t="s">
        <v>3395</v>
      </c>
      <c r="X548" s="82" t="s">
        <v>3394</v>
      </c>
      <c r="Y548" s="82" t="s">
        <v>3393</v>
      </c>
    </row>
    <row r="549" spans="1:25" ht="10.9" customHeight="1" x14ac:dyDescent="0.2">
      <c r="A549" s="82" t="s">
        <v>2779</v>
      </c>
      <c r="B549" s="82" t="s">
        <v>98</v>
      </c>
      <c r="C549" s="83">
        <v>45803</v>
      </c>
      <c r="D549" s="83">
        <v>45833</v>
      </c>
      <c r="E549" s="83">
        <v>45840</v>
      </c>
      <c r="F549" s="83">
        <v>45833</v>
      </c>
      <c r="G549" s="83">
        <v>45805</v>
      </c>
      <c r="H549" s="82" t="s">
        <v>1382</v>
      </c>
      <c r="I549" s="82" t="s">
        <v>22</v>
      </c>
      <c r="J549" s="84">
        <v>0</v>
      </c>
      <c r="K549" s="85">
        <v>2005.52</v>
      </c>
      <c r="L549" s="85">
        <v>2266.2399999999998</v>
      </c>
      <c r="M549" s="85">
        <v>260.72000000000003</v>
      </c>
      <c r="N549" s="85">
        <v>2266.2399999999998</v>
      </c>
      <c r="O549" s="85">
        <v>0</v>
      </c>
      <c r="P549" s="85">
        <v>2005.52</v>
      </c>
      <c r="Q549" s="85">
        <v>2266.2399999999998</v>
      </c>
      <c r="R549" s="85">
        <v>260.72000000000003</v>
      </c>
      <c r="S549" s="85">
        <v>2266.2399999999998</v>
      </c>
      <c r="T549" s="85">
        <v>0</v>
      </c>
      <c r="U549" s="82"/>
      <c r="V549" s="82" t="s">
        <v>3399</v>
      </c>
      <c r="W549" s="82" t="s">
        <v>3395</v>
      </c>
      <c r="X549" s="82" t="s">
        <v>3394</v>
      </c>
      <c r="Y549" s="82" t="s">
        <v>3393</v>
      </c>
    </row>
    <row r="550" spans="1:25" ht="10.9" customHeight="1" x14ac:dyDescent="0.2">
      <c r="A550" s="82" t="s">
        <v>2720</v>
      </c>
      <c r="B550" s="82" t="s">
        <v>98</v>
      </c>
      <c r="C550" s="83">
        <v>45803</v>
      </c>
      <c r="D550" s="83">
        <v>45833</v>
      </c>
      <c r="E550" s="83">
        <v>45840</v>
      </c>
      <c r="F550" s="83">
        <v>45833</v>
      </c>
      <c r="G550" s="83">
        <v>45805</v>
      </c>
      <c r="H550" s="82" t="s">
        <v>1490</v>
      </c>
      <c r="I550" s="82" t="s">
        <v>22</v>
      </c>
      <c r="J550" s="84">
        <v>0</v>
      </c>
      <c r="K550" s="85">
        <v>15909.73</v>
      </c>
      <c r="L550" s="85">
        <v>17977.990000000002</v>
      </c>
      <c r="M550" s="85">
        <v>2068.2600000000002</v>
      </c>
      <c r="N550" s="85">
        <v>17977.990000000002</v>
      </c>
      <c r="O550" s="85">
        <v>0</v>
      </c>
      <c r="P550" s="85">
        <v>15909.73</v>
      </c>
      <c r="Q550" s="85">
        <v>17977.990000000002</v>
      </c>
      <c r="R550" s="85">
        <v>2068.2600000000002</v>
      </c>
      <c r="S550" s="85">
        <v>17977.990000000002</v>
      </c>
      <c r="T550" s="85">
        <v>0</v>
      </c>
      <c r="U550" s="82"/>
      <c r="V550" s="82" t="s">
        <v>3399</v>
      </c>
      <c r="W550" s="82" t="s">
        <v>3395</v>
      </c>
      <c r="X550" s="82" t="s">
        <v>3394</v>
      </c>
      <c r="Y550" s="82" t="s">
        <v>3393</v>
      </c>
    </row>
    <row r="551" spans="1:25" ht="10.9" customHeight="1" x14ac:dyDescent="0.2">
      <c r="A551" s="82" t="s">
        <v>2627</v>
      </c>
      <c r="B551" s="82" t="s">
        <v>98</v>
      </c>
      <c r="C551" s="83">
        <v>45803</v>
      </c>
      <c r="D551" s="83">
        <v>45833</v>
      </c>
      <c r="E551" s="83">
        <v>45840</v>
      </c>
      <c r="F551" s="83">
        <v>45833</v>
      </c>
      <c r="G551" s="83">
        <v>45805</v>
      </c>
      <c r="H551" s="82" t="s">
        <v>1649</v>
      </c>
      <c r="I551" s="82" t="s">
        <v>22</v>
      </c>
      <c r="J551" s="84">
        <v>0</v>
      </c>
      <c r="K551" s="85">
        <v>1673.46</v>
      </c>
      <c r="L551" s="85">
        <v>1891.01</v>
      </c>
      <c r="M551" s="85">
        <v>217.55</v>
      </c>
      <c r="N551" s="85">
        <v>1891.01</v>
      </c>
      <c r="O551" s="85">
        <v>0</v>
      </c>
      <c r="P551" s="85">
        <v>1673.46</v>
      </c>
      <c r="Q551" s="85">
        <v>1891.01</v>
      </c>
      <c r="R551" s="85">
        <v>217.55</v>
      </c>
      <c r="S551" s="85">
        <v>1891.01</v>
      </c>
      <c r="T551" s="85">
        <v>0</v>
      </c>
      <c r="U551" s="82"/>
      <c r="V551" s="82" t="s">
        <v>3399</v>
      </c>
      <c r="W551" s="82" t="s">
        <v>3395</v>
      </c>
      <c r="X551" s="82" t="s">
        <v>3394</v>
      </c>
      <c r="Y551" s="82" t="s">
        <v>3393</v>
      </c>
    </row>
    <row r="552" spans="1:25" ht="10.9" customHeight="1" x14ac:dyDescent="0.2">
      <c r="A552" s="82" t="s">
        <v>2794</v>
      </c>
      <c r="B552" s="82" t="s">
        <v>1835</v>
      </c>
      <c r="C552" s="83">
        <v>45803</v>
      </c>
      <c r="D552" s="83">
        <v>45833</v>
      </c>
      <c r="E552" s="83">
        <v>45849</v>
      </c>
      <c r="F552" s="83">
        <v>45845</v>
      </c>
      <c r="G552" s="83">
        <v>45805</v>
      </c>
      <c r="H552" s="82" t="s">
        <v>1353</v>
      </c>
      <c r="I552" s="82" t="s">
        <v>22</v>
      </c>
      <c r="J552" s="84">
        <v>0</v>
      </c>
      <c r="K552" s="85">
        <v>4331.1499999999996</v>
      </c>
      <c r="L552" s="85">
        <v>4547.72</v>
      </c>
      <c r="M552" s="85">
        <v>216.57</v>
      </c>
      <c r="N552" s="85">
        <v>4547.72</v>
      </c>
      <c r="O552" s="85">
        <v>0</v>
      </c>
      <c r="P552" s="85">
        <v>4331.1499999999996</v>
      </c>
      <c r="Q552" s="85">
        <v>4547.72</v>
      </c>
      <c r="R552" s="85">
        <v>216.57</v>
      </c>
      <c r="S552" s="85">
        <v>4547.72</v>
      </c>
      <c r="T552" s="85">
        <v>0</v>
      </c>
      <c r="U552" s="82"/>
      <c r="V552" s="82" t="s">
        <v>3399</v>
      </c>
      <c r="W552" s="82" t="s">
        <v>3395</v>
      </c>
      <c r="X552" s="82" t="s">
        <v>3394</v>
      </c>
      <c r="Y552" s="82" t="s">
        <v>3393</v>
      </c>
    </row>
    <row r="553" spans="1:25" ht="10.9" customHeight="1" x14ac:dyDescent="0.2">
      <c r="A553" s="82" t="s">
        <v>2793</v>
      </c>
      <c r="B553" s="82" t="s">
        <v>171</v>
      </c>
      <c r="C553" s="83">
        <v>45803</v>
      </c>
      <c r="D553" s="83">
        <v>45833</v>
      </c>
      <c r="E553" s="83">
        <v>45842</v>
      </c>
      <c r="F553" s="83">
        <v>45834</v>
      </c>
      <c r="G553" s="83">
        <v>45805</v>
      </c>
      <c r="H553" s="82" t="s">
        <v>1355</v>
      </c>
      <c r="I553" s="82" t="s">
        <v>22</v>
      </c>
      <c r="J553" s="84">
        <v>0</v>
      </c>
      <c r="K553" s="85">
        <v>158.78</v>
      </c>
      <c r="L553" s="85">
        <v>166.72</v>
      </c>
      <c r="M553" s="85">
        <v>7.94</v>
      </c>
      <c r="N553" s="85">
        <v>166.72</v>
      </c>
      <c r="O553" s="85">
        <v>0</v>
      </c>
      <c r="P553" s="85">
        <v>158.78</v>
      </c>
      <c r="Q553" s="85">
        <v>166.72</v>
      </c>
      <c r="R553" s="85">
        <v>7.94</v>
      </c>
      <c r="S553" s="85">
        <v>166.72</v>
      </c>
      <c r="T553" s="85">
        <v>0</v>
      </c>
      <c r="U553" s="82"/>
      <c r="V553" s="82" t="s">
        <v>3399</v>
      </c>
      <c r="W553" s="82" t="s">
        <v>3395</v>
      </c>
      <c r="X553" s="82" t="s">
        <v>3394</v>
      </c>
      <c r="Y553" s="82" t="s">
        <v>3393</v>
      </c>
    </row>
    <row r="554" spans="1:25" ht="10.9" customHeight="1" x14ac:dyDescent="0.2">
      <c r="A554" s="82" t="s">
        <v>2792</v>
      </c>
      <c r="B554" s="82" t="s">
        <v>242</v>
      </c>
      <c r="C554" s="83">
        <v>45803</v>
      </c>
      <c r="D554" s="83">
        <v>45833</v>
      </c>
      <c r="E554" s="83">
        <v>45842</v>
      </c>
      <c r="F554" s="83">
        <v>45847</v>
      </c>
      <c r="G554" s="83">
        <v>45805</v>
      </c>
      <c r="H554" s="82" t="s">
        <v>1357</v>
      </c>
      <c r="I554" s="82" t="s">
        <v>22</v>
      </c>
      <c r="J554" s="84">
        <v>0</v>
      </c>
      <c r="K554" s="85">
        <v>373.11</v>
      </c>
      <c r="L554" s="85">
        <v>391.77</v>
      </c>
      <c r="M554" s="85">
        <v>18.66</v>
      </c>
      <c r="N554" s="85">
        <v>391.77</v>
      </c>
      <c r="O554" s="85">
        <v>0</v>
      </c>
      <c r="P554" s="85">
        <v>373.11</v>
      </c>
      <c r="Q554" s="85">
        <v>391.77</v>
      </c>
      <c r="R554" s="85">
        <v>18.66</v>
      </c>
      <c r="S554" s="85">
        <v>391.77</v>
      </c>
      <c r="T554" s="85">
        <v>0</v>
      </c>
      <c r="U554" s="82"/>
      <c r="V554" s="82" t="s">
        <v>3399</v>
      </c>
      <c r="W554" s="82" t="s">
        <v>3395</v>
      </c>
      <c r="X554" s="82" t="s">
        <v>3394</v>
      </c>
      <c r="Y554" s="82" t="s">
        <v>3393</v>
      </c>
    </row>
    <row r="555" spans="1:25" ht="10.9" customHeight="1" x14ac:dyDescent="0.2">
      <c r="A555" s="82" t="s">
        <v>2790</v>
      </c>
      <c r="B555" s="82" t="s">
        <v>242</v>
      </c>
      <c r="C555" s="83">
        <v>45803</v>
      </c>
      <c r="D555" s="83">
        <v>45833</v>
      </c>
      <c r="E555" s="83">
        <v>45842</v>
      </c>
      <c r="F555" s="83">
        <v>45847</v>
      </c>
      <c r="G555" s="83">
        <v>45805</v>
      </c>
      <c r="H555" s="82" t="s">
        <v>1359</v>
      </c>
      <c r="I555" s="82" t="s">
        <v>22</v>
      </c>
      <c r="J555" s="84">
        <v>0</v>
      </c>
      <c r="K555" s="85">
        <v>5.14</v>
      </c>
      <c r="L555" s="85">
        <v>5.4</v>
      </c>
      <c r="M555" s="85">
        <v>0.26</v>
      </c>
      <c r="N555" s="85">
        <v>5.4</v>
      </c>
      <c r="O555" s="85">
        <v>0</v>
      </c>
      <c r="P555" s="85">
        <v>5.14</v>
      </c>
      <c r="Q555" s="85">
        <v>5.4</v>
      </c>
      <c r="R555" s="85">
        <v>0.26</v>
      </c>
      <c r="S555" s="85">
        <v>5.4</v>
      </c>
      <c r="T555" s="85">
        <v>0</v>
      </c>
      <c r="U555" s="82"/>
      <c r="V555" s="82" t="s">
        <v>3399</v>
      </c>
      <c r="W555" s="82" t="s">
        <v>3395</v>
      </c>
      <c r="X555" s="82" t="s">
        <v>3394</v>
      </c>
      <c r="Y555" s="82" t="s">
        <v>3393</v>
      </c>
    </row>
    <row r="556" spans="1:25" ht="10.9" customHeight="1" x14ac:dyDescent="0.2">
      <c r="A556" s="82" t="s">
        <v>2795</v>
      </c>
      <c r="B556" s="82" t="s">
        <v>20</v>
      </c>
      <c r="C556" s="83">
        <v>45803</v>
      </c>
      <c r="D556" s="83">
        <v>45863</v>
      </c>
      <c r="E556" s="83">
        <v>45863</v>
      </c>
      <c r="F556" s="83">
        <v>45862</v>
      </c>
      <c r="G556" s="83">
        <v>45805</v>
      </c>
      <c r="H556" s="82" t="s">
        <v>1351</v>
      </c>
      <c r="I556" s="82" t="s">
        <v>22</v>
      </c>
      <c r="J556" s="84">
        <v>0</v>
      </c>
      <c r="K556" s="85">
        <v>525.22</v>
      </c>
      <c r="L556" s="85">
        <v>551.48</v>
      </c>
      <c r="M556" s="85">
        <v>26.26</v>
      </c>
      <c r="N556" s="85">
        <v>551.48</v>
      </c>
      <c r="O556" s="85">
        <v>0</v>
      </c>
      <c r="P556" s="85">
        <v>525.22</v>
      </c>
      <c r="Q556" s="85">
        <v>551.48</v>
      </c>
      <c r="R556" s="85">
        <v>26.26</v>
      </c>
      <c r="S556" s="85">
        <v>551.48</v>
      </c>
      <c r="T556" s="85">
        <v>0</v>
      </c>
      <c r="U556" s="82"/>
      <c r="V556" s="82" t="s">
        <v>3399</v>
      </c>
      <c r="W556" s="82" t="s">
        <v>3395</v>
      </c>
      <c r="X556" s="82" t="s">
        <v>3394</v>
      </c>
      <c r="Y556" s="82" t="s">
        <v>3393</v>
      </c>
    </row>
    <row r="557" spans="1:25" ht="10.9" customHeight="1" x14ac:dyDescent="0.2">
      <c r="A557" s="82" t="s">
        <v>2700</v>
      </c>
      <c r="B557" s="82" t="s">
        <v>869</v>
      </c>
      <c r="C557" s="83">
        <v>45804</v>
      </c>
      <c r="D557" s="83">
        <v>45834</v>
      </c>
      <c r="E557" s="83">
        <v>45863</v>
      </c>
      <c r="F557" s="83">
        <v>45843</v>
      </c>
      <c r="G557" s="83">
        <v>45804</v>
      </c>
      <c r="H557" s="82" t="s">
        <v>1523</v>
      </c>
      <c r="I557" s="82" t="s">
        <v>51</v>
      </c>
      <c r="J557" s="84">
        <v>0.72489499999999996</v>
      </c>
      <c r="K557" s="85">
        <v>1439.12</v>
      </c>
      <c r="L557" s="85">
        <v>1439.12</v>
      </c>
      <c r="M557" s="85">
        <v>0</v>
      </c>
      <c r="N557" s="85">
        <v>1439.12</v>
      </c>
      <c r="O557" s="85">
        <v>0</v>
      </c>
      <c r="P557" s="85">
        <v>1985.2806268494057</v>
      </c>
      <c r="Q557" s="85">
        <v>1985.2806268494057</v>
      </c>
      <c r="R557" s="85">
        <v>0</v>
      </c>
      <c r="S557" s="85">
        <v>1957.9944</v>
      </c>
      <c r="T557" s="85">
        <v>0</v>
      </c>
      <c r="U557" s="82"/>
      <c r="V557" s="82" t="s">
        <v>3399</v>
      </c>
      <c r="W557" s="82" t="s">
        <v>3395</v>
      </c>
      <c r="X557" s="82" t="s">
        <v>3394</v>
      </c>
      <c r="Y557" s="82" t="s">
        <v>3393</v>
      </c>
    </row>
    <row r="558" spans="1:25" ht="10.9" customHeight="1" x14ac:dyDescent="0.2">
      <c r="A558" s="82" t="s">
        <v>2789</v>
      </c>
      <c r="B558" s="82" t="s">
        <v>141</v>
      </c>
      <c r="C558" s="83">
        <v>45804</v>
      </c>
      <c r="D558" s="83">
        <v>45849</v>
      </c>
      <c r="E558" s="83">
        <v>45863</v>
      </c>
      <c r="F558" s="83">
        <v>45859</v>
      </c>
      <c r="G558" s="83">
        <v>45804</v>
      </c>
      <c r="H558" s="82" t="s">
        <v>1361</v>
      </c>
      <c r="I558" s="82" t="s">
        <v>51</v>
      </c>
      <c r="J558" s="84">
        <v>0.72328000000000003</v>
      </c>
      <c r="K558" s="85">
        <v>97.43</v>
      </c>
      <c r="L558" s="85">
        <v>97.43</v>
      </c>
      <c r="M558" s="85">
        <v>0</v>
      </c>
      <c r="N558" s="85">
        <v>97.43</v>
      </c>
      <c r="O558" s="85">
        <v>0</v>
      </c>
      <c r="P558" s="85">
        <v>134.70578475832309</v>
      </c>
      <c r="Q558" s="85">
        <v>134.70578475832309</v>
      </c>
      <c r="R558" s="85">
        <v>0</v>
      </c>
      <c r="S558" s="85">
        <v>133.3467</v>
      </c>
      <c r="T558" s="85">
        <v>0</v>
      </c>
      <c r="U558" s="82"/>
      <c r="V558" s="82" t="s">
        <v>3399</v>
      </c>
      <c r="W558" s="82" t="s">
        <v>3395</v>
      </c>
      <c r="X558" s="82" t="s">
        <v>3394</v>
      </c>
      <c r="Y558" s="82" t="s">
        <v>3393</v>
      </c>
    </row>
    <row r="559" spans="1:25" ht="10.9" customHeight="1" x14ac:dyDescent="0.2">
      <c r="A559" s="82" t="s">
        <v>2785</v>
      </c>
      <c r="B559" s="82" t="s">
        <v>141</v>
      </c>
      <c r="C559" s="83">
        <v>45804</v>
      </c>
      <c r="D559" s="83">
        <v>45849</v>
      </c>
      <c r="E559" s="83">
        <v>45863</v>
      </c>
      <c r="F559" s="83">
        <v>45859</v>
      </c>
      <c r="G559" s="83">
        <v>45804</v>
      </c>
      <c r="H559" s="82" t="s">
        <v>1369</v>
      </c>
      <c r="I559" s="82" t="s">
        <v>51</v>
      </c>
      <c r="J559" s="84">
        <v>0.72328000000000003</v>
      </c>
      <c r="K559" s="85">
        <v>1884.69</v>
      </c>
      <c r="L559" s="85">
        <v>1884.69</v>
      </c>
      <c r="M559" s="85">
        <v>0</v>
      </c>
      <c r="N559" s="85">
        <v>1884.69</v>
      </c>
      <c r="O559" s="85">
        <v>0</v>
      </c>
      <c r="P559" s="85">
        <v>2605.7543413339231</v>
      </c>
      <c r="Q559" s="85">
        <v>2605.7543413339231</v>
      </c>
      <c r="R559" s="85">
        <v>0</v>
      </c>
      <c r="S559" s="85">
        <v>2579.4632999999999</v>
      </c>
      <c r="T559" s="85">
        <v>0</v>
      </c>
      <c r="U559" s="82"/>
      <c r="V559" s="82" t="s">
        <v>3399</v>
      </c>
      <c r="W559" s="82" t="s">
        <v>3395</v>
      </c>
      <c r="X559" s="82" t="s">
        <v>3394</v>
      </c>
      <c r="Y559" s="82" t="s">
        <v>3393</v>
      </c>
    </row>
    <row r="560" spans="1:25" ht="10.9" customHeight="1" x14ac:dyDescent="0.2">
      <c r="A560" s="82" t="s">
        <v>2783</v>
      </c>
      <c r="B560" s="82" t="s">
        <v>141</v>
      </c>
      <c r="C560" s="83">
        <v>45804</v>
      </c>
      <c r="D560" s="83">
        <v>45849</v>
      </c>
      <c r="E560" s="83">
        <v>45863</v>
      </c>
      <c r="F560" s="83">
        <v>45859</v>
      </c>
      <c r="G560" s="83">
        <v>45804</v>
      </c>
      <c r="H560" s="82" t="s">
        <v>1373</v>
      </c>
      <c r="I560" s="82" t="s">
        <v>51</v>
      </c>
      <c r="J560" s="84">
        <v>0.72328000000000003</v>
      </c>
      <c r="K560" s="85">
        <v>2549.9</v>
      </c>
      <c r="L560" s="85">
        <v>2549.9</v>
      </c>
      <c r="M560" s="85">
        <v>0</v>
      </c>
      <c r="N560" s="85">
        <v>2549.9</v>
      </c>
      <c r="O560" s="85">
        <v>0</v>
      </c>
      <c r="P560" s="85">
        <v>3525.4673155624378</v>
      </c>
      <c r="Q560" s="85">
        <v>3525.4673155624378</v>
      </c>
      <c r="R560" s="85">
        <v>0</v>
      </c>
      <c r="S560" s="85">
        <v>3489.8966999999998</v>
      </c>
      <c r="T560" s="85">
        <v>0</v>
      </c>
      <c r="U560" s="82"/>
      <c r="V560" s="82" t="s">
        <v>3399</v>
      </c>
      <c r="W560" s="82" t="s">
        <v>3395</v>
      </c>
      <c r="X560" s="82" t="s">
        <v>3394</v>
      </c>
      <c r="Y560" s="82" t="s">
        <v>3393</v>
      </c>
    </row>
    <row r="561" spans="1:25" ht="10.9" customHeight="1" x14ac:dyDescent="0.2">
      <c r="A561" s="82" t="s">
        <v>2782</v>
      </c>
      <c r="B561" s="82" t="s">
        <v>141</v>
      </c>
      <c r="C561" s="83">
        <v>45804</v>
      </c>
      <c r="D561" s="83">
        <v>45849</v>
      </c>
      <c r="E561" s="83">
        <v>45863</v>
      </c>
      <c r="F561" s="83">
        <v>45859</v>
      </c>
      <c r="G561" s="83">
        <v>45804</v>
      </c>
      <c r="H561" s="82" t="s">
        <v>1375</v>
      </c>
      <c r="I561" s="82" t="s">
        <v>51</v>
      </c>
      <c r="J561" s="84">
        <v>0.72328000000000003</v>
      </c>
      <c r="K561" s="85">
        <v>1957.91</v>
      </c>
      <c r="L561" s="85">
        <v>1957.91</v>
      </c>
      <c r="M561" s="85">
        <v>0</v>
      </c>
      <c r="N561" s="85">
        <v>1957.91</v>
      </c>
      <c r="O561" s="85">
        <v>0</v>
      </c>
      <c r="P561" s="85">
        <v>2706.987611989824</v>
      </c>
      <c r="Q561" s="85">
        <v>2706.987611989824</v>
      </c>
      <c r="R561" s="85">
        <v>0</v>
      </c>
      <c r="S561" s="85">
        <v>2679.6750999999999</v>
      </c>
      <c r="T561" s="85">
        <v>0</v>
      </c>
      <c r="U561" s="82"/>
      <c r="V561" s="82" t="s">
        <v>3399</v>
      </c>
      <c r="W561" s="82" t="s">
        <v>3395</v>
      </c>
      <c r="X561" s="82" t="s">
        <v>3394</v>
      </c>
      <c r="Y561" s="82" t="s">
        <v>3393</v>
      </c>
    </row>
    <row r="562" spans="1:25" ht="10.9" customHeight="1" x14ac:dyDescent="0.2">
      <c r="A562" s="82" t="s">
        <v>2781</v>
      </c>
      <c r="B562" s="82" t="s">
        <v>141</v>
      </c>
      <c r="C562" s="83">
        <v>45804</v>
      </c>
      <c r="D562" s="83">
        <v>45849</v>
      </c>
      <c r="E562" s="83">
        <v>45863</v>
      </c>
      <c r="F562" s="83">
        <v>45859</v>
      </c>
      <c r="G562" s="83">
        <v>45804</v>
      </c>
      <c r="H562" s="82" t="s">
        <v>1377</v>
      </c>
      <c r="I562" s="82" t="s">
        <v>51</v>
      </c>
      <c r="J562" s="84">
        <v>0.72328000000000003</v>
      </c>
      <c r="K562" s="85">
        <v>2566.9299999999998</v>
      </c>
      <c r="L562" s="85">
        <v>2566.9299999999998</v>
      </c>
      <c r="M562" s="85">
        <v>0</v>
      </c>
      <c r="N562" s="85">
        <v>2566.9299999999998</v>
      </c>
      <c r="O562" s="85">
        <v>0</v>
      </c>
      <c r="P562" s="85">
        <v>3549.0128304391105</v>
      </c>
      <c r="Q562" s="85">
        <v>3549.0128304391105</v>
      </c>
      <c r="R562" s="85">
        <v>0</v>
      </c>
      <c r="S562" s="85">
        <v>3513.2046</v>
      </c>
      <c r="T562" s="85">
        <v>0</v>
      </c>
      <c r="U562" s="82"/>
      <c r="V562" s="82" t="s">
        <v>3399</v>
      </c>
      <c r="W562" s="82" t="s">
        <v>3395</v>
      </c>
      <c r="X562" s="82" t="s">
        <v>3394</v>
      </c>
      <c r="Y562" s="82" t="s">
        <v>3393</v>
      </c>
    </row>
    <row r="563" spans="1:25" ht="10.9" customHeight="1" x14ac:dyDescent="0.2">
      <c r="A563" s="82" t="s">
        <v>2759</v>
      </c>
      <c r="B563" s="82" t="s">
        <v>141</v>
      </c>
      <c r="C563" s="83">
        <v>45804</v>
      </c>
      <c r="D563" s="83">
        <v>45849</v>
      </c>
      <c r="E563" s="83">
        <v>45863</v>
      </c>
      <c r="F563" s="83">
        <v>45859</v>
      </c>
      <c r="G563" s="83">
        <v>45804</v>
      </c>
      <c r="H563" s="82" t="s">
        <v>1417</v>
      </c>
      <c r="I563" s="82" t="s">
        <v>51</v>
      </c>
      <c r="J563" s="84">
        <v>0.72328000000000003</v>
      </c>
      <c r="K563" s="85">
        <v>363.45</v>
      </c>
      <c r="L563" s="85">
        <v>363.45</v>
      </c>
      <c r="M563" s="85">
        <v>0</v>
      </c>
      <c r="N563" s="85">
        <v>363.45</v>
      </c>
      <c r="O563" s="85">
        <v>0</v>
      </c>
      <c r="P563" s="85">
        <v>502.50248866275848</v>
      </c>
      <c r="Q563" s="85">
        <v>502.50248866275848</v>
      </c>
      <c r="R563" s="85">
        <v>0</v>
      </c>
      <c r="S563" s="85">
        <v>497.43239999999997</v>
      </c>
      <c r="T563" s="85">
        <v>0</v>
      </c>
      <c r="U563" s="82"/>
      <c r="V563" s="82" t="s">
        <v>3399</v>
      </c>
      <c r="W563" s="82" t="s">
        <v>3395</v>
      </c>
      <c r="X563" s="82" t="s">
        <v>3394</v>
      </c>
      <c r="Y563" s="82" t="s">
        <v>3393</v>
      </c>
    </row>
    <row r="564" spans="1:25" ht="10.9" customHeight="1" x14ac:dyDescent="0.2">
      <c r="A564" s="82" t="s">
        <v>2743</v>
      </c>
      <c r="B564" s="82" t="s">
        <v>141</v>
      </c>
      <c r="C564" s="83">
        <v>45804</v>
      </c>
      <c r="D564" s="83">
        <v>45849</v>
      </c>
      <c r="E564" s="83">
        <v>45863</v>
      </c>
      <c r="F564" s="83">
        <v>45868</v>
      </c>
      <c r="G564" s="83">
        <v>45804</v>
      </c>
      <c r="H564" s="82" t="s">
        <v>1448</v>
      </c>
      <c r="I564" s="82" t="s">
        <v>51</v>
      </c>
      <c r="J564" s="84">
        <v>0.72328000000000003</v>
      </c>
      <c r="K564" s="85">
        <v>979.3</v>
      </c>
      <c r="L564" s="85">
        <v>979.3</v>
      </c>
      <c r="M564" s="85">
        <v>0</v>
      </c>
      <c r="N564" s="85">
        <v>979.3</v>
      </c>
      <c r="O564" s="85">
        <v>0</v>
      </c>
      <c r="P564" s="85">
        <v>1353.9707996902996</v>
      </c>
      <c r="Q564" s="85">
        <v>1353.9707996902996</v>
      </c>
      <c r="R564" s="85">
        <v>0</v>
      </c>
      <c r="S564" s="85">
        <v>1353.9502</v>
      </c>
      <c r="T564" s="85">
        <v>0</v>
      </c>
      <c r="U564" s="82"/>
      <c r="V564" s="82" t="s">
        <v>3399</v>
      </c>
      <c r="W564" s="82" t="s">
        <v>3395</v>
      </c>
      <c r="X564" s="82" t="s">
        <v>3394</v>
      </c>
      <c r="Y564" s="82" t="s">
        <v>3393</v>
      </c>
    </row>
    <row r="565" spans="1:25" ht="10.9" customHeight="1" x14ac:dyDescent="0.2">
      <c r="A565" s="82" t="s">
        <v>2408</v>
      </c>
      <c r="B565" s="82" t="s">
        <v>129</v>
      </c>
      <c r="C565" s="83">
        <v>45804</v>
      </c>
      <c r="D565" s="83">
        <v>45864</v>
      </c>
      <c r="E565" s="83">
        <v>45864</v>
      </c>
      <c r="F565" s="82"/>
      <c r="G565" s="83">
        <v>45804</v>
      </c>
      <c r="H565" s="82" t="s">
        <v>3553</v>
      </c>
      <c r="I565" s="82" t="s">
        <v>51</v>
      </c>
      <c r="J565" s="84">
        <v>0.72414400000000001</v>
      </c>
      <c r="K565" s="85">
        <v>13000</v>
      </c>
      <c r="L565" s="85">
        <v>13000</v>
      </c>
      <c r="M565" s="85">
        <v>0</v>
      </c>
      <c r="N565" s="85">
        <v>0</v>
      </c>
      <c r="O565" s="85">
        <v>13000</v>
      </c>
      <c r="P565" s="85">
        <v>17952.230495592037</v>
      </c>
      <c r="Q565" s="85">
        <v>17952.230495592037</v>
      </c>
      <c r="R565" s="85">
        <v>0</v>
      </c>
      <c r="S565" s="85">
        <v>0</v>
      </c>
      <c r="T565" s="85">
        <v>17841.46</v>
      </c>
      <c r="U565" s="82" t="s">
        <v>3401</v>
      </c>
      <c r="V565" s="82" t="s">
        <v>3396</v>
      </c>
      <c r="W565" s="82" t="s">
        <v>3395</v>
      </c>
      <c r="X565" s="82" t="s">
        <v>3394</v>
      </c>
      <c r="Y565" s="82" t="s">
        <v>3393</v>
      </c>
    </row>
    <row r="566" spans="1:25" ht="10.9" customHeight="1" x14ac:dyDescent="0.2">
      <c r="A566" s="82" t="s">
        <v>2433</v>
      </c>
      <c r="B566" s="82" t="s">
        <v>129</v>
      </c>
      <c r="C566" s="83">
        <v>45804</v>
      </c>
      <c r="D566" s="83">
        <v>45864</v>
      </c>
      <c r="E566" s="83">
        <v>45864</v>
      </c>
      <c r="F566" s="82"/>
      <c r="G566" s="83">
        <v>45804</v>
      </c>
      <c r="H566" s="82" t="s">
        <v>3552</v>
      </c>
      <c r="I566" s="82" t="s">
        <v>51</v>
      </c>
      <c r="J566" s="84">
        <v>0.72328000000000003</v>
      </c>
      <c r="K566" s="85">
        <v>9230</v>
      </c>
      <c r="L566" s="85">
        <v>9230</v>
      </c>
      <c r="M566" s="85">
        <v>0</v>
      </c>
      <c r="N566" s="85">
        <v>0</v>
      </c>
      <c r="O566" s="85">
        <v>9230</v>
      </c>
      <c r="P566" s="85">
        <v>12761.309589647162</v>
      </c>
      <c r="Q566" s="85">
        <v>12761.309589647162</v>
      </c>
      <c r="R566" s="85">
        <v>0</v>
      </c>
      <c r="S566" s="85">
        <v>0</v>
      </c>
      <c r="T566" s="85">
        <v>12667.44</v>
      </c>
      <c r="U566" s="82" t="s">
        <v>3401</v>
      </c>
      <c r="V566" s="82" t="s">
        <v>3396</v>
      </c>
      <c r="W566" s="82" t="s">
        <v>3395</v>
      </c>
      <c r="X566" s="82" t="s">
        <v>3394</v>
      </c>
      <c r="Y566" s="82" t="s">
        <v>3393</v>
      </c>
    </row>
    <row r="567" spans="1:25" ht="10.9" customHeight="1" x14ac:dyDescent="0.2">
      <c r="A567" s="82" t="s">
        <v>2442</v>
      </c>
      <c r="B567" s="82" t="s">
        <v>129</v>
      </c>
      <c r="C567" s="83">
        <v>45804</v>
      </c>
      <c r="D567" s="83">
        <v>45864</v>
      </c>
      <c r="E567" s="83">
        <v>45864</v>
      </c>
      <c r="F567" s="82"/>
      <c r="G567" s="83">
        <v>45804</v>
      </c>
      <c r="H567" s="82" t="s">
        <v>3551</v>
      </c>
      <c r="I567" s="82" t="s">
        <v>51</v>
      </c>
      <c r="J567" s="84">
        <v>0.72328000000000003</v>
      </c>
      <c r="K567" s="85">
        <v>8312</v>
      </c>
      <c r="L567" s="85">
        <v>8312</v>
      </c>
      <c r="M567" s="85">
        <v>0</v>
      </c>
      <c r="N567" s="85">
        <v>0</v>
      </c>
      <c r="O567" s="85">
        <v>8312</v>
      </c>
      <c r="P567" s="85">
        <v>11492.091582789513</v>
      </c>
      <c r="Q567" s="85">
        <v>11492.091582789513</v>
      </c>
      <c r="R567" s="85">
        <v>0</v>
      </c>
      <c r="S567" s="85">
        <v>0</v>
      </c>
      <c r="T567" s="85">
        <v>11407.55</v>
      </c>
      <c r="U567" s="82" t="s">
        <v>3401</v>
      </c>
      <c r="V567" s="82" t="s">
        <v>3396</v>
      </c>
      <c r="W567" s="82" t="s">
        <v>3395</v>
      </c>
      <c r="X567" s="82" t="s">
        <v>3394</v>
      </c>
      <c r="Y567" s="82" t="s">
        <v>3393</v>
      </c>
    </row>
    <row r="568" spans="1:25" ht="10.9" customHeight="1" x14ac:dyDescent="0.2">
      <c r="A568" s="82" t="s">
        <v>2544</v>
      </c>
      <c r="B568" s="82" t="s">
        <v>129</v>
      </c>
      <c r="C568" s="83">
        <v>45804</v>
      </c>
      <c r="D568" s="83">
        <v>45864</v>
      </c>
      <c r="E568" s="83">
        <v>45864</v>
      </c>
      <c r="F568" s="82"/>
      <c r="G568" s="83">
        <v>45804</v>
      </c>
      <c r="H568" s="82" t="s">
        <v>3554</v>
      </c>
      <c r="I568" s="82" t="s">
        <v>51</v>
      </c>
      <c r="J568" s="84">
        <v>0.72328000000000003</v>
      </c>
      <c r="K568" s="85">
        <v>360</v>
      </c>
      <c r="L568" s="85">
        <v>360</v>
      </c>
      <c r="M568" s="85">
        <v>0</v>
      </c>
      <c r="N568" s="85">
        <v>0</v>
      </c>
      <c r="O568" s="85">
        <v>360</v>
      </c>
      <c r="P568" s="85">
        <v>497.73255170888172</v>
      </c>
      <c r="Q568" s="85">
        <v>497.73255170888172</v>
      </c>
      <c r="R568" s="85">
        <v>0</v>
      </c>
      <c r="S568" s="85">
        <v>0</v>
      </c>
      <c r="T568" s="85">
        <v>494.07</v>
      </c>
      <c r="U568" s="82" t="s">
        <v>3401</v>
      </c>
      <c r="V568" s="82" t="s">
        <v>3396</v>
      </c>
      <c r="W568" s="82" t="s">
        <v>3395</v>
      </c>
      <c r="X568" s="82" t="s">
        <v>3394</v>
      </c>
      <c r="Y568" s="82" t="s">
        <v>3393</v>
      </c>
    </row>
    <row r="569" spans="1:25" ht="10.9" customHeight="1" x14ac:dyDescent="0.2">
      <c r="A569" s="82" t="s">
        <v>2796</v>
      </c>
      <c r="B569" s="82" t="s">
        <v>864</v>
      </c>
      <c r="C569" s="83">
        <v>45804</v>
      </c>
      <c r="D569" s="83">
        <v>45834</v>
      </c>
      <c r="E569" s="83">
        <v>45842</v>
      </c>
      <c r="F569" s="83">
        <v>45847</v>
      </c>
      <c r="G569" s="83">
        <v>45805</v>
      </c>
      <c r="H569" s="82" t="s">
        <v>1349</v>
      </c>
      <c r="I569" s="82" t="s">
        <v>22</v>
      </c>
      <c r="J569" s="84">
        <v>0</v>
      </c>
      <c r="K569" s="85">
        <v>128.94</v>
      </c>
      <c r="L569" s="85">
        <v>135.38999999999999</v>
      </c>
      <c r="M569" s="85">
        <v>6.45</v>
      </c>
      <c r="N569" s="85">
        <v>135.38999999999999</v>
      </c>
      <c r="O569" s="85">
        <v>0</v>
      </c>
      <c r="P569" s="85">
        <v>128.94</v>
      </c>
      <c r="Q569" s="85">
        <v>135.38999999999999</v>
      </c>
      <c r="R569" s="85">
        <v>6.45</v>
      </c>
      <c r="S569" s="85">
        <v>135.38999999999999</v>
      </c>
      <c r="T569" s="85">
        <v>0</v>
      </c>
      <c r="U569" s="82"/>
      <c r="V569" s="82" t="s">
        <v>3399</v>
      </c>
      <c r="W569" s="82" t="s">
        <v>3395</v>
      </c>
      <c r="X569" s="82" t="s">
        <v>3394</v>
      </c>
      <c r="Y569" s="82" t="s">
        <v>3393</v>
      </c>
    </row>
    <row r="570" spans="1:25" ht="10.9" customHeight="1" x14ac:dyDescent="0.2">
      <c r="A570" s="82" t="s">
        <v>3550</v>
      </c>
      <c r="B570" s="82" t="s">
        <v>1236</v>
      </c>
      <c r="C570" s="83">
        <v>45805</v>
      </c>
      <c r="D570" s="83">
        <v>45805</v>
      </c>
      <c r="E570" s="83">
        <v>45805</v>
      </c>
      <c r="F570" s="83">
        <v>45805</v>
      </c>
      <c r="G570" s="83">
        <v>45805</v>
      </c>
      <c r="H570" s="82" t="s">
        <v>3549</v>
      </c>
      <c r="I570" s="82" t="s">
        <v>22</v>
      </c>
      <c r="J570" s="84">
        <v>0</v>
      </c>
      <c r="K570" s="85">
        <v>-153.49</v>
      </c>
      <c r="L570" s="85">
        <v>-161.16</v>
      </c>
      <c r="M570" s="85">
        <v>-7.67</v>
      </c>
      <c r="N570" s="85">
        <v>-161.16</v>
      </c>
      <c r="O570" s="85">
        <v>0</v>
      </c>
      <c r="P570" s="85">
        <v>-153.49</v>
      </c>
      <c r="Q570" s="85">
        <v>-161.16</v>
      </c>
      <c r="R570" s="85">
        <v>-7.67</v>
      </c>
      <c r="S570" s="85">
        <v>-161.16</v>
      </c>
      <c r="T570" s="85">
        <v>0</v>
      </c>
      <c r="U570" s="82"/>
      <c r="V570" s="82" t="s">
        <v>3399</v>
      </c>
      <c r="W570" s="82" t="s">
        <v>3398</v>
      </c>
      <c r="X570" s="82" t="s">
        <v>3394</v>
      </c>
      <c r="Y570" s="82" t="s">
        <v>3393</v>
      </c>
    </row>
    <row r="571" spans="1:25" ht="10.9" customHeight="1" x14ac:dyDescent="0.2">
      <c r="A571" s="82" t="s">
        <v>2799</v>
      </c>
      <c r="B571" s="82" t="s">
        <v>146</v>
      </c>
      <c r="C571" s="83">
        <v>45805</v>
      </c>
      <c r="D571" s="83">
        <v>45835</v>
      </c>
      <c r="E571" s="83">
        <v>45856</v>
      </c>
      <c r="F571" s="83">
        <v>45873</v>
      </c>
      <c r="G571" s="83">
        <v>45806</v>
      </c>
      <c r="H571" s="82" t="s">
        <v>1343</v>
      </c>
      <c r="I571" s="82" t="s">
        <v>22</v>
      </c>
      <c r="J571" s="84">
        <v>0</v>
      </c>
      <c r="K571" s="85">
        <v>1034.78</v>
      </c>
      <c r="L571" s="85">
        <v>1086.52</v>
      </c>
      <c r="M571" s="85">
        <v>51.74</v>
      </c>
      <c r="N571" s="85">
        <v>1086.52</v>
      </c>
      <c r="O571" s="85">
        <v>0</v>
      </c>
      <c r="P571" s="85">
        <v>1034.78</v>
      </c>
      <c r="Q571" s="85">
        <v>1086.52</v>
      </c>
      <c r="R571" s="85">
        <v>51.74</v>
      </c>
      <c r="S571" s="85">
        <v>1086.52</v>
      </c>
      <c r="T571" s="85">
        <v>0</v>
      </c>
      <c r="U571" s="82"/>
      <c r="V571" s="82" t="s">
        <v>3399</v>
      </c>
      <c r="W571" s="82" t="s">
        <v>3395</v>
      </c>
      <c r="X571" s="82" t="s">
        <v>3394</v>
      </c>
      <c r="Y571" s="82" t="s">
        <v>3393</v>
      </c>
    </row>
    <row r="572" spans="1:25" ht="10.9" customHeight="1" x14ac:dyDescent="0.2">
      <c r="A572" s="82" t="s">
        <v>2392</v>
      </c>
      <c r="B572" s="82" t="s">
        <v>245</v>
      </c>
      <c r="C572" s="83">
        <v>45805</v>
      </c>
      <c r="D572" s="83">
        <v>45835</v>
      </c>
      <c r="E572" s="83">
        <v>45856</v>
      </c>
      <c r="F572" s="83">
        <v>45841</v>
      </c>
      <c r="G572" s="83">
        <v>45806</v>
      </c>
      <c r="H572" s="82" t="s">
        <v>2055</v>
      </c>
      <c r="I572" s="82" t="s">
        <v>22</v>
      </c>
      <c r="J572" s="84">
        <v>0</v>
      </c>
      <c r="K572" s="85">
        <v>4342.6000000000004</v>
      </c>
      <c r="L572" s="85">
        <v>4559.7299999999996</v>
      </c>
      <c r="M572" s="85">
        <v>217.13</v>
      </c>
      <c r="N572" s="85">
        <v>4559.7299999999996</v>
      </c>
      <c r="O572" s="85">
        <v>0</v>
      </c>
      <c r="P572" s="85">
        <v>4342.6000000000004</v>
      </c>
      <c r="Q572" s="85">
        <v>4559.7299999999996</v>
      </c>
      <c r="R572" s="85">
        <v>217.13</v>
      </c>
      <c r="S572" s="85">
        <v>4559.7299999999996</v>
      </c>
      <c r="T572" s="85">
        <v>0</v>
      </c>
      <c r="U572" s="82"/>
      <c r="V572" s="82" t="s">
        <v>3399</v>
      </c>
      <c r="W572" s="82" t="s">
        <v>3395</v>
      </c>
      <c r="X572" s="82" t="s">
        <v>3394</v>
      </c>
      <c r="Y572" s="82" t="s">
        <v>3393</v>
      </c>
    </row>
    <row r="573" spans="1:25" ht="10.9" customHeight="1" x14ac:dyDescent="0.2">
      <c r="A573" s="82" t="s">
        <v>2802</v>
      </c>
      <c r="B573" s="82" t="s">
        <v>86</v>
      </c>
      <c r="C573" s="83">
        <v>45805</v>
      </c>
      <c r="D573" s="83">
        <v>45835</v>
      </c>
      <c r="E573" s="83">
        <v>45835</v>
      </c>
      <c r="F573" s="83">
        <v>45835</v>
      </c>
      <c r="G573" s="83">
        <v>45806</v>
      </c>
      <c r="H573" s="82" t="s">
        <v>1337</v>
      </c>
      <c r="I573" s="82" t="s">
        <v>22</v>
      </c>
      <c r="J573" s="84">
        <v>0</v>
      </c>
      <c r="K573" s="85">
        <v>126.12</v>
      </c>
      <c r="L573" s="85">
        <v>132.43</v>
      </c>
      <c r="M573" s="85">
        <v>6.31</v>
      </c>
      <c r="N573" s="85">
        <v>132.43</v>
      </c>
      <c r="O573" s="85">
        <v>0</v>
      </c>
      <c r="P573" s="85">
        <v>126.12</v>
      </c>
      <c r="Q573" s="85">
        <v>132.43</v>
      </c>
      <c r="R573" s="85">
        <v>6.31</v>
      </c>
      <c r="S573" s="85">
        <v>132.43</v>
      </c>
      <c r="T573" s="85">
        <v>0</v>
      </c>
      <c r="U573" s="82"/>
      <c r="V573" s="82" t="s">
        <v>3399</v>
      </c>
      <c r="W573" s="82" t="s">
        <v>3395</v>
      </c>
      <c r="X573" s="82" t="s">
        <v>3394</v>
      </c>
      <c r="Y573" s="82" t="s">
        <v>3393</v>
      </c>
    </row>
    <row r="574" spans="1:25" ht="10.9" customHeight="1" x14ac:dyDescent="0.2">
      <c r="A574" s="82" t="s">
        <v>2681</v>
      </c>
      <c r="B574" s="82" t="s">
        <v>3412</v>
      </c>
      <c r="C574" s="83">
        <v>45805</v>
      </c>
      <c r="D574" s="83">
        <v>45850</v>
      </c>
      <c r="E574" s="83">
        <v>45856</v>
      </c>
      <c r="F574" s="83">
        <v>45849</v>
      </c>
      <c r="G574" s="83">
        <v>45806</v>
      </c>
      <c r="H574" s="82" t="s">
        <v>1557</v>
      </c>
      <c r="I574" s="82" t="s">
        <v>22</v>
      </c>
      <c r="J574" s="84">
        <v>0</v>
      </c>
      <c r="K574" s="85">
        <v>884.56</v>
      </c>
      <c r="L574" s="85">
        <v>928.79</v>
      </c>
      <c r="M574" s="85">
        <v>44.23</v>
      </c>
      <c r="N574" s="85">
        <v>928.79</v>
      </c>
      <c r="O574" s="85">
        <v>0</v>
      </c>
      <c r="P574" s="85">
        <v>884.56</v>
      </c>
      <c r="Q574" s="85">
        <v>928.79</v>
      </c>
      <c r="R574" s="85">
        <v>44.23</v>
      </c>
      <c r="S574" s="85">
        <v>928.79</v>
      </c>
      <c r="T574" s="85">
        <v>0</v>
      </c>
      <c r="U574" s="82"/>
      <c r="V574" s="82" t="s">
        <v>3399</v>
      </c>
      <c r="W574" s="82" t="s">
        <v>3395</v>
      </c>
      <c r="X574" s="82" t="s">
        <v>3394</v>
      </c>
      <c r="Y574" s="82" t="s">
        <v>3393</v>
      </c>
    </row>
    <row r="575" spans="1:25" ht="10.9" customHeight="1" x14ac:dyDescent="0.2">
      <c r="A575" s="82" t="s">
        <v>2801</v>
      </c>
      <c r="B575" s="82" t="s">
        <v>70</v>
      </c>
      <c r="C575" s="83">
        <v>45806</v>
      </c>
      <c r="D575" s="83">
        <v>45866</v>
      </c>
      <c r="E575" s="83">
        <v>45904</v>
      </c>
      <c r="F575" s="83">
        <v>45913</v>
      </c>
      <c r="G575" s="83">
        <v>45807</v>
      </c>
      <c r="H575" s="82" t="s">
        <v>1339</v>
      </c>
      <c r="I575" s="82" t="s">
        <v>51</v>
      </c>
      <c r="J575" s="84">
        <v>0.72335300000000002</v>
      </c>
      <c r="K575" s="85">
        <v>10512.11</v>
      </c>
      <c r="L575" s="85">
        <v>10512.11</v>
      </c>
      <c r="M575" s="85">
        <v>0</v>
      </c>
      <c r="N575" s="85">
        <v>10512.11</v>
      </c>
      <c r="O575" s="85">
        <v>0</v>
      </c>
      <c r="P575" s="85">
        <v>14532.475845126792</v>
      </c>
      <c r="Q575" s="85">
        <v>14532.475845126792</v>
      </c>
      <c r="R575" s="85">
        <v>0</v>
      </c>
      <c r="S575" s="85">
        <v>14558.4388</v>
      </c>
      <c r="T575" s="85">
        <v>0</v>
      </c>
      <c r="U575" s="82"/>
      <c r="V575" s="82" t="s">
        <v>3399</v>
      </c>
      <c r="W575" s="82" t="s">
        <v>3395</v>
      </c>
      <c r="X575" s="82" t="s">
        <v>3394</v>
      </c>
      <c r="Y575" s="82" t="s">
        <v>3393</v>
      </c>
    </row>
    <row r="576" spans="1:25" ht="10.9" customHeight="1" x14ac:dyDescent="0.2">
      <c r="A576" s="82" t="s">
        <v>3548</v>
      </c>
      <c r="B576" s="82" t="s">
        <v>64</v>
      </c>
      <c r="C576" s="83">
        <v>45806</v>
      </c>
      <c r="D576" s="83">
        <v>45836</v>
      </c>
      <c r="E576" s="83">
        <v>45856</v>
      </c>
      <c r="F576" s="83">
        <v>45867</v>
      </c>
      <c r="G576" s="83">
        <v>45807</v>
      </c>
      <c r="H576" s="82" t="s">
        <v>3547</v>
      </c>
      <c r="I576" s="82" t="s">
        <v>22</v>
      </c>
      <c r="J576" s="84">
        <v>0</v>
      </c>
      <c r="K576" s="85">
        <v>20297.11</v>
      </c>
      <c r="L576" s="85">
        <v>22935.73</v>
      </c>
      <c r="M576" s="85">
        <v>2638.62</v>
      </c>
      <c r="N576" s="85">
        <v>22935.73</v>
      </c>
      <c r="O576" s="85">
        <v>0</v>
      </c>
      <c r="P576" s="85">
        <v>20297.11</v>
      </c>
      <c r="Q576" s="85">
        <v>22935.73</v>
      </c>
      <c r="R576" s="85">
        <v>2638.62</v>
      </c>
      <c r="S576" s="85">
        <v>22935.73</v>
      </c>
      <c r="T576" s="85">
        <v>0</v>
      </c>
      <c r="U576" s="82"/>
      <c r="V576" s="82" t="s">
        <v>3399</v>
      </c>
      <c r="W576" s="82" t="s">
        <v>3395</v>
      </c>
      <c r="X576" s="82" t="s">
        <v>3394</v>
      </c>
      <c r="Y576" s="82" t="s">
        <v>3393</v>
      </c>
    </row>
    <row r="577" spans="1:25" ht="10.9" customHeight="1" x14ac:dyDescent="0.2">
      <c r="A577" s="82" t="s">
        <v>3546</v>
      </c>
      <c r="B577" s="82" t="s">
        <v>714</v>
      </c>
      <c r="C577" s="83">
        <v>45807</v>
      </c>
      <c r="D577" s="83">
        <v>45837</v>
      </c>
      <c r="E577" s="83">
        <v>45837</v>
      </c>
      <c r="F577" s="83">
        <v>45821</v>
      </c>
      <c r="G577" s="83">
        <v>45807</v>
      </c>
      <c r="H577" s="82" t="s">
        <v>3545</v>
      </c>
      <c r="I577" s="82" t="s">
        <v>51</v>
      </c>
      <c r="J577" s="84">
        <v>0.72779099999999997</v>
      </c>
      <c r="K577" s="85">
        <v>14796.5</v>
      </c>
      <c r="L577" s="85">
        <v>14796.5</v>
      </c>
      <c r="M577" s="85">
        <v>0</v>
      </c>
      <c r="N577" s="85">
        <v>14796.5</v>
      </c>
      <c r="O577" s="85">
        <v>0</v>
      </c>
      <c r="P577" s="85">
        <v>20330.699335386122</v>
      </c>
      <c r="Q577" s="85">
        <v>20330.699335386122</v>
      </c>
      <c r="R577" s="85">
        <v>0</v>
      </c>
      <c r="S577" s="85">
        <v>20100.444500000001</v>
      </c>
      <c r="T577" s="85">
        <v>0</v>
      </c>
      <c r="U577" s="82"/>
      <c r="V577" s="82" t="s">
        <v>3399</v>
      </c>
      <c r="W577" s="82" t="s">
        <v>3395</v>
      </c>
      <c r="X577" s="82" t="s">
        <v>3394</v>
      </c>
      <c r="Y577" s="82" t="s">
        <v>3393</v>
      </c>
    </row>
    <row r="578" spans="1:25" ht="10.9" customHeight="1" x14ac:dyDescent="0.2">
      <c r="A578" s="82" t="s">
        <v>2405</v>
      </c>
      <c r="B578" s="82" t="s">
        <v>714</v>
      </c>
      <c r="C578" s="83">
        <v>45807</v>
      </c>
      <c r="D578" s="83">
        <v>45837</v>
      </c>
      <c r="E578" s="83">
        <v>45837</v>
      </c>
      <c r="F578" s="83">
        <v>45821</v>
      </c>
      <c r="G578" s="83">
        <v>45807</v>
      </c>
      <c r="H578" s="82" t="s">
        <v>2033</v>
      </c>
      <c r="I578" s="82" t="s">
        <v>51</v>
      </c>
      <c r="J578" s="84">
        <v>0.72779099999999997</v>
      </c>
      <c r="K578" s="85">
        <v>748.94</v>
      </c>
      <c r="L578" s="85">
        <v>748.94</v>
      </c>
      <c r="M578" s="85">
        <v>0</v>
      </c>
      <c r="N578" s="85">
        <v>748.94</v>
      </c>
      <c r="O578" s="85">
        <v>0</v>
      </c>
      <c r="P578" s="85">
        <v>1029.0591667113224</v>
      </c>
      <c r="Q578" s="85">
        <v>1029.0591667113224</v>
      </c>
      <c r="R578" s="85">
        <v>0</v>
      </c>
      <c r="S578" s="85">
        <v>1017.4046</v>
      </c>
      <c r="T578" s="85">
        <v>0</v>
      </c>
      <c r="U578" s="82"/>
      <c r="V578" s="82" t="s">
        <v>3399</v>
      </c>
      <c r="W578" s="82" t="s">
        <v>3395</v>
      </c>
      <c r="X578" s="82" t="s">
        <v>3394</v>
      </c>
      <c r="Y578" s="82" t="s">
        <v>3393</v>
      </c>
    </row>
    <row r="579" spans="1:25" ht="10.9" customHeight="1" x14ac:dyDescent="0.2">
      <c r="A579" s="82" t="s">
        <v>2534</v>
      </c>
      <c r="B579" s="82" t="s">
        <v>714</v>
      </c>
      <c r="C579" s="83">
        <v>45807</v>
      </c>
      <c r="D579" s="83">
        <v>45837</v>
      </c>
      <c r="E579" s="83">
        <v>45837</v>
      </c>
      <c r="F579" s="83">
        <v>45821</v>
      </c>
      <c r="G579" s="83">
        <v>45807</v>
      </c>
      <c r="H579" s="82" t="s">
        <v>1811</v>
      </c>
      <c r="I579" s="82" t="s">
        <v>51</v>
      </c>
      <c r="J579" s="84">
        <v>0.72779099999999997</v>
      </c>
      <c r="K579" s="85">
        <v>1497.88</v>
      </c>
      <c r="L579" s="85">
        <v>1497.88</v>
      </c>
      <c r="M579" s="85">
        <v>0</v>
      </c>
      <c r="N579" s="85">
        <v>1497.88</v>
      </c>
      <c r="O579" s="85">
        <v>0</v>
      </c>
      <c r="P579" s="85">
        <v>2058.1183334226448</v>
      </c>
      <c r="Q579" s="85">
        <v>2058.1183334226448</v>
      </c>
      <c r="R579" s="85">
        <v>0</v>
      </c>
      <c r="S579" s="85">
        <v>2034.8091999999999</v>
      </c>
      <c r="T579" s="85">
        <v>0</v>
      </c>
      <c r="U579" s="82"/>
      <c r="V579" s="82" t="s">
        <v>3399</v>
      </c>
      <c r="W579" s="82" t="s">
        <v>3395</v>
      </c>
      <c r="X579" s="82" t="s">
        <v>3394</v>
      </c>
      <c r="Y579" s="82" t="s">
        <v>3393</v>
      </c>
    </row>
    <row r="580" spans="1:25" ht="10.9" customHeight="1" x14ac:dyDescent="0.2">
      <c r="A580" s="82" t="s">
        <v>2756</v>
      </c>
      <c r="B580" s="82" t="s">
        <v>1423</v>
      </c>
      <c r="C580" s="83">
        <v>45807</v>
      </c>
      <c r="D580" s="83">
        <v>45867</v>
      </c>
      <c r="E580" s="83">
        <v>45904</v>
      </c>
      <c r="F580" s="83">
        <v>45913</v>
      </c>
      <c r="G580" s="83">
        <v>45811</v>
      </c>
      <c r="H580" s="82" t="s">
        <v>3544</v>
      </c>
      <c r="I580" s="82" t="s">
        <v>51</v>
      </c>
      <c r="J580" s="84">
        <v>0.72658599999999995</v>
      </c>
      <c r="K580" s="85">
        <v>4353.6099999999997</v>
      </c>
      <c r="L580" s="85">
        <v>4353.6099999999997</v>
      </c>
      <c r="M580" s="85">
        <v>0</v>
      </c>
      <c r="N580" s="85">
        <v>4353.6099999999997</v>
      </c>
      <c r="O580" s="85">
        <v>0</v>
      </c>
      <c r="P580" s="85">
        <v>5991.8715747344431</v>
      </c>
      <c r="Q580" s="85">
        <v>5991.8715747344431</v>
      </c>
      <c r="R580" s="85">
        <v>0</v>
      </c>
      <c r="S580" s="85">
        <v>6029.4045999999998</v>
      </c>
      <c r="T580" s="85">
        <v>0</v>
      </c>
      <c r="U580" s="82"/>
      <c r="V580" s="82" t="s">
        <v>3399</v>
      </c>
      <c r="W580" s="82" t="s">
        <v>3395</v>
      </c>
      <c r="X580" s="82" t="s">
        <v>3394</v>
      </c>
      <c r="Y580" s="82" t="s">
        <v>3393</v>
      </c>
    </row>
    <row r="581" spans="1:25" ht="10.9" customHeight="1" x14ac:dyDescent="0.2">
      <c r="A581" s="82" t="s">
        <v>3543</v>
      </c>
      <c r="B581" s="82" t="s">
        <v>599</v>
      </c>
      <c r="C581" s="83">
        <v>45807</v>
      </c>
      <c r="D581" s="83">
        <v>45807</v>
      </c>
      <c r="E581" s="83">
        <v>45807</v>
      </c>
      <c r="F581" s="83">
        <v>45807</v>
      </c>
      <c r="G581" s="83">
        <v>45807</v>
      </c>
      <c r="H581" s="82" t="s">
        <v>3542</v>
      </c>
      <c r="I581" s="82" t="s">
        <v>51</v>
      </c>
      <c r="J581" s="84">
        <v>0.72779099999999997</v>
      </c>
      <c r="K581" s="85">
        <v>1806.59</v>
      </c>
      <c r="L581" s="85">
        <v>1806.59</v>
      </c>
      <c r="M581" s="85">
        <v>0</v>
      </c>
      <c r="N581" s="85">
        <v>1806.59</v>
      </c>
      <c r="O581" s="85">
        <v>0</v>
      </c>
      <c r="P581" s="85">
        <v>2482.2923064451197</v>
      </c>
      <c r="Q581" s="85">
        <v>2482.2923064451197</v>
      </c>
      <c r="R581" s="85">
        <v>0</v>
      </c>
      <c r="S581" s="85">
        <v>2587.0925000000002</v>
      </c>
      <c r="T581" s="85">
        <v>0</v>
      </c>
      <c r="U581" s="82"/>
      <c r="V581" s="82" t="s">
        <v>3399</v>
      </c>
      <c r="W581" s="82" t="s">
        <v>3395</v>
      </c>
      <c r="X581" s="82" t="s">
        <v>3397</v>
      </c>
      <c r="Y581" s="82" t="s">
        <v>3393</v>
      </c>
    </row>
    <row r="582" spans="1:25" ht="10.9" customHeight="1" x14ac:dyDescent="0.2">
      <c r="A582" s="82" t="s">
        <v>2810</v>
      </c>
      <c r="B582" s="82" t="s">
        <v>20</v>
      </c>
      <c r="C582" s="83">
        <v>45807</v>
      </c>
      <c r="D582" s="83">
        <v>45867</v>
      </c>
      <c r="E582" s="83">
        <v>45867</v>
      </c>
      <c r="F582" s="83">
        <v>45867</v>
      </c>
      <c r="G582" s="83">
        <v>45810</v>
      </c>
      <c r="H582" s="82" t="s">
        <v>1324</v>
      </c>
      <c r="I582" s="82" t="s">
        <v>22</v>
      </c>
      <c r="J582" s="84">
        <v>0</v>
      </c>
      <c r="K582" s="85">
        <v>2202.98</v>
      </c>
      <c r="L582" s="85">
        <v>2313.13</v>
      </c>
      <c r="M582" s="85">
        <v>110.15</v>
      </c>
      <c r="N582" s="85">
        <v>2313.13</v>
      </c>
      <c r="O582" s="85">
        <v>0</v>
      </c>
      <c r="P582" s="85">
        <v>2202.98</v>
      </c>
      <c r="Q582" s="85">
        <v>2313.13</v>
      </c>
      <c r="R582" s="85">
        <v>110.15</v>
      </c>
      <c r="S582" s="85">
        <v>2313.13</v>
      </c>
      <c r="T582" s="85">
        <v>0</v>
      </c>
      <c r="U582" s="82"/>
      <c r="V582" s="82" t="s">
        <v>3399</v>
      </c>
      <c r="W582" s="82" t="s">
        <v>3395</v>
      </c>
      <c r="X582" s="82" t="s">
        <v>3394</v>
      </c>
      <c r="Y582" s="82" t="s">
        <v>3393</v>
      </c>
    </row>
    <row r="583" spans="1:25" ht="10.9" customHeight="1" x14ac:dyDescent="0.2">
      <c r="A583" s="82" t="s">
        <v>2809</v>
      </c>
      <c r="B583" s="82" t="s">
        <v>242</v>
      </c>
      <c r="C583" s="83">
        <v>45807</v>
      </c>
      <c r="D583" s="83">
        <v>45837</v>
      </c>
      <c r="E583" s="83">
        <v>45849</v>
      </c>
      <c r="F583" s="83">
        <v>45847</v>
      </c>
      <c r="G583" s="83">
        <v>45810</v>
      </c>
      <c r="H583" s="82" t="s">
        <v>1326</v>
      </c>
      <c r="I583" s="82" t="s">
        <v>22</v>
      </c>
      <c r="J583" s="84">
        <v>0</v>
      </c>
      <c r="K583" s="85">
        <v>286.35000000000002</v>
      </c>
      <c r="L583" s="85">
        <v>300.67</v>
      </c>
      <c r="M583" s="85">
        <v>14.32</v>
      </c>
      <c r="N583" s="85">
        <v>300.67</v>
      </c>
      <c r="O583" s="85">
        <v>0</v>
      </c>
      <c r="P583" s="85">
        <v>286.35000000000002</v>
      </c>
      <c r="Q583" s="85">
        <v>300.67</v>
      </c>
      <c r="R583" s="85">
        <v>14.32</v>
      </c>
      <c r="S583" s="85">
        <v>300.67</v>
      </c>
      <c r="T583" s="85">
        <v>0</v>
      </c>
      <c r="U583" s="82"/>
      <c r="V583" s="82" t="s">
        <v>3399</v>
      </c>
      <c r="W583" s="82" t="s">
        <v>3395</v>
      </c>
      <c r="X583" s="82" t="s">
        <v>3394</v>
      </c>
      <c r="Y583" s="82" t="s">
        <v>3393</v>
      </c>
    </row>
    <row r="584" spans="1:25" ht="10.9" customHeight="1" x14ac:dyDescent="0.2">
      <c r="A584" s="82" t="s">
        <v>2814</v>
      </c>
      <c r="B584" s="82" t="s">
        <v>242</v>
      </c>
      <c r="C584" s="83">
        <v>45807</v>
      </c>
      <c r="D584" s="83">
        <v>45837</v>
      </c>
      <c r="E584" s="83">
        <v>45849</v>
      </c>
      <c r="F584" s="83">
        <v>45847</v>
      </c>
      <c r="G584" s="83">
        <v>45810</v>
      </c>
      <c r="H584" s="82" t="s">
        <v>1317</v>
      </c>
      <c r="I584" s="82" t="s">
        <v>22</v>
      </c>
      <c r="J584" s="84">
        <v>0</v>
      </c>
      <c r="K584" s="85">
        <v>711.25</v>
      </c>
      <c r="L584" s="85">
        <v>746.81</v>
      </c>
      <c r="M584" s="85">
        <v>35.56</v>
      </c>
      <c r="N584" s="85">
        <v>746.81</v>
      </c>
      <c r="O584" s="85">
        <v>0</v>
      </c>
      <c r="P584" s="85">
        <v>711.25</v>
      </c>
      <c r="Q584" s="85">
        <v>746.81</v>
      </c>
      <c r="R584" s="85">
        <v>35.56</v>
      </c>
      <c r="S584" s="85">
        <v>746.81</v>
      </c>
      <c r="T584" s="85">
        <v>0</v>
      </c>
      <c r="U584" s="82"/>
      <c r="V584" s="82" t="s">
        <v>3399</v>
      </c>
      <c r="W584" s="82" t="s">
        <v>3395</v>
      </c>
      <c r="X584" s="82" t="s">
        <v>3394</v>
      </c>
      <c r="Y584" s="82" t="s">
        <v>3393</v>
      </c>
    </row>
    <row r="585" spans="1:25" ht="10.9" customHeight="1" x14ac:dyDescent="0.2">
      <c r="A585" s="82" t="s">
        <v>3539</v>
      </c>
      <c r="B585" s="82" t="s">
        <v>129</v>
      </c>
      <c r="C585" s="83">
        <v>45808</v>
      </c>
      <c r="D585" s="83">
        <v>45868</v>
      </c>
      <c r="E585" s="83">
        <v>45904</v>
      </c>
      <c r="F585" s="82"/>
      <c r="G585" s="83">
        <v>45819</v>
      </c>
      <c r="H585" s="82" t="s">
        <v>3538</v>
      </c>
      <c r="I585" s="82" t="s">
        <v>51</v>
      </c>
      <c r="J585" s="84">
        <v>0.72781300000000004</v>
      </c>
      <c r="K585" s="85">
        <v>7347.27</v>
      </c>
      <c r="L585" s="85">
        <v>7347.27</v>
      </c>
      <c r="M585" s="85">
        <v>0</v>
      </c>
      <c r="N585" s="85">
        <v>0</v>
      </c>
      <c r="O585" s="85">
        <v>7347.27</v>
      </c>
      <c r="P585" s="85">
        <v>10094.996929156254</v>
      </c>
      <c r="Q585" s="85">
        <v>10094.996929156254</v>
      </c>
      <c r="R585" s="85">
        <v>0</v>
      </c>
      <c r="S585" s="85">
        <v>0</v>
      </c>
      <c r="T585" s="85">
        <v>10083.540000000001</v>
      </c>
      <c r="U585" s="82" t="s">
        <v>3401</v>
      </c>
      <c r="V585" s="82" t="s">
        <v>3396</v>
      </c>
      <c r="W585" s="82" t="s">
        <v>3395</v>
      </c>
      <c r="X585" s="82" t="s">
        <v>3394</v>
      </c>
      <c r="Y585" s="82" t="s">
        <v>3393</v>
      </c>
    </row>
    <row r="586" spans="1:25" ht="10.9" customHeight="1" x14ac:dyDescent="0.2">
      <c r="A586" s="82" t="s">
        <v>3541</v>
      </c>
      <c r="B586" s="82" t="s">
        <v>3438</v>
      </c>
      <c r="C586" s="83">
        <v>45808</v>
      </c>
      <c r="D586" s="83">
        <v>45838</v>
      </c>
      <c r="E586" s="83">
        <v>45838</v>
      </c>
      <c r="F586" s="83">
        <v>45831</v>
      </c>
      <c r="G586" s="83">
        <v>45821</v>
      </c>
      <c r="H586" s="82" t="s">
        <v>3540</v>
      </c>
      <c r="I586" s="82" t="s">
        <v>22</v>
      </c>
      <c r="J586" s="84">
        <v>0</v>
      </c>
      <c r="K586" s="85">
        <v>10710.57</v>
      </c>
      <c r="L586" s="85">
        <v>10710.57</v>
      </c>
      <c r="M586" s="85">
        <v>0</v>
      </c>
      <c r="N586" s="85">
        <v>10710.57</v>
      </c>
      <c r="O586" s="85">
        <v>0</v>
      </c>
      <c r="P586" s="85">
        <v>10710.57</v>
      </c>
      <c r="Q586" s="85">
        <v>10710.57</v>
      </c>
      <c r="R586" s="85">
        <v>0</v>
      </c>
      <c r="S586" s="85">
        <v>10710.57</v>
      </c>
      <c r="T586" s="85">
        <v>0</v>
      </c>
      <c r="U586" s="82"/>
      <c r="V586" s="82" t="s">
        <v>3399</v>
      </c>
      <c r="W586" s="82" t="s">
        <v>3395</v>
      </c>
      <c r="X586" s="82" t="s">
        <v>3397</v>
      </c>
      <c r="Y586" s="82" t="s">
        <v>3393</v>
      </c>
    </row>
    <row r="587" spans="1:25" ht="10.9" customHeight="1" x14ac:dyDescent="0.2">
      <c r="A587" s="82" t="s">
        <v>2815</v>
      </c>
      <c r="B587" s="82" t="s">
        <v>39</v>
      </c>
      <c r="C587" s="83">
        <v>45810</v>
      </c>
      <c r="D587" s="83">
        <v>45840</v>
      </c>
      <c r="E587" s="83">
        <v>45840</v>
      </c>
      <c r="F587" s="83">
        <v>45840</v>
      </c>
      <c r="G587" s="83">
        <v>45812</v>
      </c>
      <c r="H587" s="82" t="s">
        <v>1315</v>
      </c>
      <c r="I587" s="82" t="s">
        <v>22</v>
      </c>
      <c r="J587" s="84">
        <v>0</v>
      </c>
      <c r="K587" s="85">
        <v>3384.38</v>
      </c>
      <c r="L587" s="85">
        <v>3553.6</v>
      </c>
      <c r="M587" s="85">
        <v>169.22</v>
      </c>
      <c r="N587" s="85">
        <v>3553.6</v>
      </c>
      <c r="O587" s="85">
        <v>0</v>
      </c>
      <c r="P587" s="85">
        <v>3384.38</v>
      </c>
      <c r="Q587" s="85">
        <v>3553.6</v>
      </c>
      <c r="R587" s="85">
        <v>169.22</v>
      </c>
      <c r="S587" s="85">
        <v>3553.6</v>
      </c>
      <c r="T587" s="85">
        <v>0</v>
      </c>
      <c r="U587" s="82"/>
      <c r="V587" s="82" t="s">
        <v>3399</v>
      </c>
      <c r="W587" s="82" t="s">
        <v>3395</v>
      </c>
      <c r="X587" s="82" t="s">
        <v>3394</v>
      </c>
      <c r="Y587" s="82" t="s">
        <v>3393</v>
      </c>
    </row>
    <row r="588" spans="1:25" ht="10.9" customHeight="1" x14ac:dyDescent="0.2">
      <c r="A588" s="82" t="s">
        <v>2804</v>
      </c>
      <c r="B588" s="82" t="s">
        <v>3537</v>
      </c>
      <c r="C588" s="83">
        <v>45810</v>
      </c>
      <c r="D588" s="83">
        <v>45840</v>
      </c>
      <c r="E588" s="83">
        <v>45840</v>
      </c>
      <c r="F588" s="83">
        <v>45840</v>
      </c>
      <c r="G588" s="83">
        <v>45812</v>
      </c>
      <c r="H588" s="82" t="s">
        <v>1332</v>
      </c>
      <c r="I588" s="82" t="s">
        <v>22</v>
      </c>
      <c r="J588" s="84">
        <v>0</v>
      </c>
      <c r="K588" s="85">
        <v>153.41999999999999</v>
      </c>
      <c r="L588" s="85">
        <v>161.09</v>
      </c>
      <c r="M588" s="85">
        <v>7.67</v>
      </c>
      <c r="N588" s="85">
        <v>161.09</v>
      </c>
      <c r="O588" s="85">
        <v>0</v>
      </c>
      <c r="P588" s="85">
        <v>153.41999999999999</v>
      </c>
      <c r="Q588" s="85">
        <v>161.09</v>
      </c>
      <c r="R588" s="85">
        <v>7.67</v>
      </c>
      <c r="S588" s="85">
        <v>161.09</v>
      </c>
      <c r="T588" s="85">
        <v>0</v>
      </c>
      <c r="U588" s="82"/>
      <c r="V588" s="82" t="s">
        <v>3399</v>
      </c>
      <c r="W588" s="82" t="s">
        <v>3395</v>
      </c>
      <c r="X588" s="82" t="s">
        <v>3394</v>
      </c>
      <c r="Y588" s="82" t="s">
        <v>3393</v>
      </c>
    </row>
    <row r="589" spans="1:25" ht="10.9" customHeight="1" x14ac:dyDescent="0.2">
      <c r="A589" s="82" t="s">
        <v>2818</v>
      </c>
      <c r="B589" s="82" t="s">
        <v>80</v>
      </c>
      <c r="C589" s="83">
        <v>45810</v>
      </c>
      <c r="D589" s="83">
        <v>45870</v>
      </c>
      <c r="E589" s="83">
        <v>45870</v>
      </c>
      <c r="F589" s="83">
        <v>45869</v>
      </c>
      <c r="G589" s="83">
        <v>45812</v>
      </c>
      <c r="H589" s="82" t="s">
        <v>1309</v>
      </c>
      <c r="I589" s="82" t="s">
        <v>22</v>
      </c>
      <c r="J589" s="84">
        <v>0</v>
      </c>
      <c r="K589" s="85">
        <v>254.29</v>
      </c>
      <c r="L589" s="85">
        <v>267</v>
      </c>
      <c r="M589" s="85">
        <v>12.71</v>
      </c>
      <c r="N589" s="85">
        <v>267</v>
      </c>
      <c r="O589" s="85">
        <v>0</v>
      </c>
      <c r="P589" s="85">
        <v>254.29</v>
      </c>
      <c r="Q589" s="85">
        <v>267</v>
      </c>
      <c r="R589" s="85">
        <v>12.71</v>
      </c>
      <c r="S589" s="85">
        <v>267</v>
      </c>
      <c r="T589" s="85">
        <v>0</v>
      </c>
      <c r="U589" s="82"/>
      <c r="V589" s="82" t="s">
        <v>3399</v>
      </c>
      <c r="W589" s="82" t="s">
        <v>3395</v>
      </c>
      <c r="X589" s="82" t="s">
        <v>3394</v>
      </c>
      <c r="Y589" s="82" t="s">
        <v>3393</v>
      </c>
    </row>
    <row r="590" spans="1:25" ht="10.9" customHeight="1" x14ac:dyDescent="0.2">
      <c r="A590" s="82" t="s">
        <v>2586</v>
      </c>
      <c r="B590" s="82" t="s">
        <v>1420</v>
      </c>
      <c r="C590" s="83">
        <v>45810</v>
      </c>
      <c r="D590" s="83">
        <v>45825</v>
      </c>
      <c r="E590" s="83">
        <v>45825</v>
      </c>
      <c r="F590" s="83">
        <v>45826</v>
      </c>
      <c r="G590" s="83">
        <v>45812</v>
      </c>
      <c r="H590" s="82" t="s">
        <v>1719</v>
      </c>
      <c r="I590" s="82" t="s">
        <v>22</v>
      </c>
      <c r="J590" s="84">
        <v>0</v>
      </c>
      <c r="K590" s="85">
        <v>12281.56</v>
      </c>
      <c r="L590" s="85">
        <v>13878.16</v>
      </c>
      <c r="M590" s="85">
        <v>1596.6</v>
      </c>
      <c r="N590" s="85">
        <v>13878.16</v>
      </c>
      <c r="O590" s="85">
        <v>0</v>
      </c>
      <c r="P590" s="85">
        <v>12281.56</v>
      </c>
      <c r="Q590" s="85">
        <v>13878.16</v>
      </c>
      <c r="R590" s="85">
        <v>1596.6</v>
      </c>
      <c r="S590" s="85">
        <v>13878.16</v>
      </c>
      <c r="T590" s="85">
        <v>0</v>
      </c>
      <c r="U590" s="82"/>
      <c r="V590" s="82" t="s">
        <v>3399</v>
      </c>
      <c r="W590" s="82" t="s">
        <v>3395</v>
      </c>
      <c r="X590" s="82" t="s">
        <v>3394</v>
      </c>
      <c r="Y590" s="82" t="s">
        <v>3393</v>
      </c>
    </row>
    <row r="591" spans="1:25" ht="10.9" customHeight="1" x14ac:dyDescent="0.2">
      <c r="A591" s="82" t="s">
        <v>2822</v>
      </c>
      <c r="B591" s="82" t="s">
        <v>239</v>
      </c>
      <c r="C591" s="83">
        <v>45811</v>
      </c>
      <c r="D591" s="83">
        <v>45841</v>
      </c>
      <c r="E591" s="83">
        <v>45863</v>
      </c>
      <c r="F591" s="83">
        <v>45855</v>
      </c>
      <c r="G591" s="83">
        <v>45811</v>
      </c>
      <c r="H591" s="82" t="s">
        <v>3534</v>
      </c>
      <c r="I591" s="82" t="s">
        <v>51</v>
      </c>
      <c r="J591" s="84">
        <v>0.72899599999999998</v>
      </c>
      <c r="K591" s="85">
        <v>1948.62</v>
      </c>
      <c r="L591" s="85">
        <v>1948.62</v>
      </c>
      <c r="M591" s="85">
        <v>0</v>
      </c>
      <c r="N591" s="85">
        <v>1948.62</v>
      </c>
      <c r="O591" s="85">
        <v>0</v>
      </c>
      <c r="P591" s="85">
        <v>2673.0187819960602</v>
      </c>
      <c r="Q591" s="85">
        <v>2673.0187819960602</v>
      </c>
      <c r="R591" s="85">
        <v>0</v>
      </c>
      <c r="S591" s="85">
        <v>2676.8597</v>
      </c>
      <c r="T591" s="85">
        <v>0</v>
      </c>
      <c r="U591" s="82"/>
      <c r="V591" s="82" t="s">
        <v>3399</v>
      </c>
      <c r="W591" s="82" t="s">
        <v>3395</v>
      </c>
      <c r="X591" s="82" t="s">
        <v>3394</v>
      </c>
      <c r="Y591" s="82" t="s">
        <v>3393</v>
      </c>
    </row>
    <row r="592" spans="1:25" ht="10.9" customHeight="1" x14ac:dyDescent="0.2">
      <c r="A592" s="82" t="s">
        <v>2772</v>
      </c>
      <c r="B592" s="82" t="s">
        <v>232</v>
      </c>
      <c r="C592" s="83">
        <v>45811</v>
      </c>
      <c r="D592" s="83">
        <v>45841</v>
      </c>
      <c r="E592" s="83">
        <v>45863</v>
      </c>
      <c r="F592" s="83">
        <v>45874</v>
      </c>
      <c r="G592" s="83">
        <v>45811</v>
      </c>
      <c r="H592" s="82" t="s">
        <v>1392</v>
      </c>
      <c r="I592" s="82" t="s">
        <v>51</v>
      </c>
      <c r="J592" s="84">
        <v>0.72899599999999998</v>
      </c>
      <c r="K592" s="85">
        <v>3047.03</v>
      </c>
      <c r="L592" s="85">
        <v>3047.03</v>
      </c>
      <c r="M592" s="85">
        <v>0</v>
      </c>
      <c r="N592" s="85">
        <v>3047.03</v>
      </c>
      <c r="O592" s="85">
        <v>0</v>
      </c>
      <c r="P592" s="85">
        <v>4179.7623032225138</v>
      </c>
      <c r="Q592" s="85">
        <v>4179.7623032225138</v>
      </c>
      <c r="R592" s="85">
        <v>0</v>
      </c>
      <c r="S592" s="85">
        <v>4196.826</v>
      </c>
      <c r="T592" s="85">
        <v>0</v>
      </c>
      <c r="U592" s="82"/>
      <c r="V592" s="82" t="s">
        <v>3399</v>
      </c>
      <c r="W592" s="82" t="s">
        <v>3395</v>
      </c>
      <c r="X592" s="82" t="s">
        <v>3394</v>
      </c>
      <c r="Y592" s="82" t="s">
        <v>3393</v>
      </c>
    </row>
    <row r="593" spans="1:25" ht="10.9" customHeight="1" x14ac:dyDescent="0.2">
      <c r="A593" s="82" t="s">
        <v>2798</v>
      </c>
      <c r="B593" s="82" t="s">
        <v>239</v>
      </c>
      <c r="C593" s="83">
        <v>45811</v>
      </c>
      <c r="D593" s="83">
        <v>45841</v>
      </c>
      <c r="E593" s="83">
        <v>45863</v>
      </c>
      <c r="F593" s="83">
        <v>45855</v>
      </c>
      <c r="G593" s="83">
        <v>45811</v>
      </c>
      <c r="H593" s="82" t="s">
        <v>3533</v>
      </c>
      <c r="I593" s="82" t="s">
        <v>51</v>
      </c>
      <c r="J593" s="84">
        <v>0.72899599999999998</v>
      </c>
      <c r="K593" s="85">
        <v>3897.24</v>
      </c>
      <c r="L593" s="85">
        <v>3897.24</v>
      </c>
      <c r="M593" s="85">
        <v>0</v>
      </c>
      <c r="N593" s="85">
        <v>3897.24</v>
      </c>
      <c r="O593" s="85">
        <v>0</v>
      </c>
      <c r="P593" s="85">
        <v>5346.0375639921203</v>
      </c>
      <c r="Q593" s="85">
        <v>5346.0375639921203</v>
      </c>
      <c r="R593" s="85">
        <v>0</v>
      </c>
      <c r="S593" s="85">
        <v>5353.7194</v>
      </c>
      <c r="T593" s="85">
        <v>0</v>
      </c>
      <c r="U593" s="82"/>
      <c r="V593" s="82" t="s">
        <v>3399</v>
      </c>
      <c r="W593" s="82" t="s">
        <v>3395</v>
      </c>
      <c r="X593" s="82" t="s">
        <v>3394</v>
      </c>
      <c r="Y593" s="82" t="s">
        <v>3393</v>
      </c>
    </row>
    <row r="594" spans="1:25" ht="10.9" customHeight="1" x14ac:dyDescent="0.2">
      <c r="A594" s="82" t="s">
        <v>2349</v>
      </c>
      <c r="B594" s="82" t="s">
        <v>20</v>
      </c>
      <c r="C594" s="83">
        <v>45811</v>
      </c>
      <c r="D594" s="83">
        <v>45871</v>
      </c>
      <c r="E594" s="83">
        <v>45873</v>
      </c>
      <c r="F594" s="83">
        <v>45870</v>
      </c>
      <c r="G594" s="83">
        <v>45812</v>
      </c>
      <c r="H594" s="82" t="s">
        <v>2119</v>
      </c>
      <c r="I594" s="82" t="s">
        <v>22</v>
      </c>
      <c r="J594" s="84">
        <v>0</v>
      </c>
      <c r="K594" s="85">
        <v>796.11</v>
      </c>
      <c r="L594" s="85">
        <v>835.92</v>
      </c>
      <c r="M594" s="85">
        <v>39.81</v>
      </c>
      <c r="N594" s="85">
        <v>835.92</v>
      </c>
      <c r="O594" s="85">
        <v>0</v>
      </c>
      <c r="P594" s="85">
        <v>796.11</v>
      </c>
      <c r="Q594" s="85">
        <v>835.92</v>
      </c>
      <c r="R594" s="85">
        <v>39.81</v>
      </c>
      <c r="S594" s="85">
        <v>835.92</v>
      </c>
      <c r="T594" s="85">
        <v>0</v>
      </c>
      <c r="U594" s="82"/>
      <c r="V594" s="82" t="s">
        <v>3399</v>
      </c>
      <c r="W594" s="82" t="s">
        <v>3395</v>
      </c>
      <c r="X594" s="82" t="s">
        <v>3394</v>
      </c>
      <c r="Y594" s="82" t="s">
        <v>3393</v>
      </c>
    </row>
    <row r="595" spans="1:25" ht="10.9" customHeight="1" x14ac:dyDescent="0.2">
      <c r="A595" s="82" t="s">
        <v>2293</v>
      </c>
      <c r="B595" s="82" t="s">
        <v>54</v>
      </c>
      <c r="C595" s="83">
        <v>45811</v>
      </c>
      <c r="D595" s="83">
        <v>45841</v>
      </c>
      <c r="E595" s="83">
        <v>45856</v>
      </c>
      <c r="F595" s="83">
        <v>45848</v>
      </c>
      <c r="G595" s="83">
        <v>45812</v>
      </c>
      <c r="H595" s="82" t="s">
        <v>2227</v>
      </c>
      <c r="I595" s="82" t="s">
        <v>22</v>
      </c>
      <c r="J595" s="84">
        <v>0</v>
      </c>
      <c r="K595" s="85">
        <v>1994.78</v>
      </c>
      <c r="L595" s="85">
        <v>2094.52</v>
      </c>
      <c r="M595" s="85">
        <v>99.74</v>
      </c>
      <c r="N595" s="85">
        <v>2094.52</v>
      </c>
      <c r="O595" s="85">
        <v>0</v>
      </c>
      <c r="P595" s="85">
        <v>1994.78</v>
      </c>
      <c r="Q595" s="85">
        <v>2094.52</v>
      </c>
      <c r="R595" s="85">
        <v>99.74</v>
      </c>
      <c r="S595" s="85">
        <v>2094.52</v>
      </c>
      <c r="T595" s="85">
        <v>0</v>
      </c>
      <c r="U595" s="82"/>
      <c r="V595" s="82" t="s">
        <v>3399</v>
      </c>
      <c r="W595" s="82" t="s">
        <v>3395</v>
      </c>
      <c r="X595" s="82" t="s">
        <v>3394</v>
      </c>
      <c r="Y595" s="82" t="s">
        <v>3393</v>
      </c>
    </row>
    <row r="596" spans="1:25" ht="10.9" customHeight="1" x14ac:dyDescent="0.2">
      <c r="A596" s="82" t="s">
        <v>2437</v>
      </c>
      <c r="B596" s="82" t="s">
        <v>171</v>
      </c>
      <c r="C596" s="83">
        <v>45811</v>
      </c>
      <c r="D596" s="83">
        <v>45841</v>
      </c>
      <c r="E596" s="83">
        <v>45849</v>
      </c>
      <c r="F596" s="83">
        <v>45834</v>
      </c>
      <c r="G596" s="83">
        <v>45812</v>
      </c>
      <c r="H596" s="82" t="s">
        <v>1978</v>
      </c>
      <c r="I596" s="82" t="s">
        <v>22</v>
      </c>
      <c r="J596" s="84">
        <v>0</v>
      </c>
      <c r="K596" s="85">
        <v>565.09</v>
      </c>
      <c r="L596" s="85">
        <v>593.34</v>
      </c>
      <c r="M596" s="85">
        <v>28.25</v>
      </c>
      <c r="N596" s="85">
        <v>593.34</v>
      </c>
      <c r="O596" s="85">
        <v>0</v>
      </c>
      <c r="P596" s="85">
        <v>565.09</v>
      </c>
      <c r="Q596" s="85">
        <v>593.34</v>
      </c>
      <c r="R596" s="85">
        <v>28.25</v>
      </c>
      <c r="S596" s="85">
        <v>593.34</v>
      </c>
      <c r="T596" s="85">
        <v>0</v>
      </c>
      <c r="U596" s="82"/>
      <c r="V596" s="82" t="s">
        <v>3399</v>
      </c>
      <c r="W596" s="82" t="s">
        <v>3395</v>
      </c>
      <c r="X596" s="82" t="s">
        <v>3394</v>
      </c>
      <c r="Y596" s="82" t="s">
        <v>3393</v>
      </c>
    </row>
    <row r="597" spans="1:25" ht="10.9" customHeight="1" x14ac:dyDescent="0.2">
      <c r="A597" s="82" t="s">
        <v>2820</v>
      </c>
      <c r="B597" s="82" t="s">
        <v>47</v>
      </c>
      <c r="C597" s="83">
        <v>45811</v>
      </c>
      <c r="D597" s="83">
        <v>45841</v>
      </c>
      <c r="E597" s="83">
        <v>45862</v>
      </c>
      <c r="F597" s="83">
        <v>45863</v>
      </c>
      <c r="G597" s="83">
        <v>45812</v>
      </c>
      <c r="H597" s="82" t="s">
        <v>1305</v>
      </c>
      <c r="I597" s="82" t="s">
        <v>22</v>
      </c>
      <c r="J597" s="84">
        <v>0</v>
      </c>
      <c r="K597" s="85">
        <v>2804.45</v>
      </c>
      <c r="L597" s="85">
        <v>3169.03</v>
      </c>
      <c r="M597" s="85">
        <v>364.58</v>
      </c>
      <c r="N597" s="85">
        <v>3169.03</v>
      </c>
      <c r="O597" s="85">
        <v>0</v>
      </c>
      <c r="P597" s="85">
        <v>2804.45</v>
      </c>
      <c r="Q597" s="85">
        <v>3169.03</v>
      </c>
      <c r="R597" s="85">
        <v>364.58</v>
      </c>
      <c r="S597" s="85">
        <v>3169.03</v>
      </c>
      <c r="T597" s="85">
        <v>0</v>
      </c>
      <c r="U597" s="82"/>
      <c r="V597" s="82" t="s">
        <v>3399</v>
      </c>
      <c r="W597" s="82" t="s">
        <v>3395</v>
      </c>
      <c r="X597" s="82" t="s">
        <v>3394</v>
      </c>
      <c r="Y597" s="82" t="s">
        <v>3393</v>
      </c>
    </row>
    <row r="598" spans="1:25" ht="10.9" customHeight="1" x14ac:dyDescent="0.2">
      <c r="A598" s="82" t="s">
        <v>2819</v>
      </c>
      <c r="B598" s="82" t="s">
        <v>26</v>
      </c>
      <c r="C598" s="83">
        <v>45811</v>
      </c>
      <c r="D598" s="83">
        <v>45871</v>
      </c>
      <c r="E598" s="83">
        <v>45873</v>
      </c>
      <c r="F598" s="83">
        <v>45870</v>
      </c>
      <c r="G598" s="83">
        <v>45812</v>
      </c>
      <c r="H598" s="82" t="s">
        <v>1307</v>
      </c>
      <c r="I598" s="82" t="s">
        <v>22</v>
      </c>
      <c r="J598" s="84">
        <v>0</v>
      </c>
      <c r="K598" s="85">
        <v>26.73</v>
      </c>
      <c r="L598" s="85">
        <v>28.07</v>
      </c>
      <c r="M598" s="85">
        <v>1.34</v>
      </c>
      <c r="N598" s="85">
        <v>28.07</v>
      </c>
      <c r="O598" s="85">
        <v>0</v>
      </c>
      <c r="P598" s="85">
        <v>26.73</v>
      </c>
      <c r="Q598" s="85">
        <v>28.07</v>
      </c>
      <c r="R598" s="85">
        <v>1.34</v>
      </c>
      <c r="S598" s="85">
        <v>28.07</v>
      </c>
      <c r="T598" s="85">
        <v>0</v>
      </c>
      <c r="U598" s="82"/>
      <c r="V598" s="82" t="s">
        <v>3399</v>
      </c>
      <c r="W598" s="82" t="s">
        <v>3395</v>
      </c>
      <c r="X598" s="82" t="s">
        <v>3394</v>
      </c>
      <c r="Y598" s="82" t="s">
        <v>3393</v>
      </c>
    </row>
    <row r="599" spans="1:25" ht="10.9" customHeight="1" x14ac:dyDescent="0.2">
      <c r="A599" s="82" t="s">
        <v>2826</v>
      </c>
      <c r="B599" s="82" t="s">
        <v>20</v>
      </c>
      <c r="C599" s="83">
        <v>45811</v>
      </c>
      <c r="D599" s="83">
        <v>45871</v>
      </c>
      <c r="E599" s="83">
        <v>45873</v>
      </c>
      <c r="F599" s="83">
        <v>45870</v>
      </c>
      <c r="G599" s="83">
        <v>45812</v>
      </c>
      <c r="H599" s="82" t="s">
        <v>1292</v>
      </c>
      <c r="I599" s="82" t="s">
        <v>22</v>
      </c>
      <c r="J599" s="84">
        <v>0</v>
      </c>
      <c r="K599" s="85">
        <v>243.55</v>
      </c>
      <c r="L599" s="85">
        <v>255.73</v>
      </c>
      <c r="M599" s="85">
        <v>12.18</v>
      </c>
      <c r="N599" s="85">
        <v>255.73</v>
      </c>
      <c r="O599" s="85">
        <v>0</v>
      </c>
      <c r="P599" s="85">
        <v>243.55</v>
      </c>
      <c r="Q599" s="85">
        <v>255.73</v>
      </c>
      <c r="R599" s="85">
        <v>12.18</v>
      </c>
      <c r="S599" s="85">
        <v>255.73</v>
      </c>
      <c r="T599" s="85">
        <v>0</v>
      </c>
      <c r="U599" s="82"/>
      <c r="V599" s="82" t="s">
        <v>3399</v>
      </c>
      <c r="W599" s="82" t="s">
        <v>3395</v>
      </c>
      <c r="X599" s="82" t="s">
        <v>3394</v>
      </c>
      <c r="Y599" s="82" t="s">
        <v>3393</v>
      </c>
    </row>
    <row r="600" spans="1:25" ht="10.9" customHeight="1" x14ac:dyDescent="0.2">
      <c r="A600" s="82" t="s">
        <v>3536</v>
      </c>
      <c r="B600" s="82" t="s">
        <v>1231</v>
      </c>
      <c r="C600" s="83">
        <v>45811</v>
      </c>
      <c r="D600" s="83">
        <v>45811</v>
      </c>
      <c r="E600" s="83">
        <v>45811</v>
      </c>
      <c r="F600" s="83">
        <v>45811</v>
      </c>
      <c r="G600" s="83">
        <v>45812</v>
      </c>
      <c r="H600" s="82" t="s">
        <v>3535</v>
      </c>
      <c r="I600" s="82" t="s">
        <v>22</v>
      </c>
      <c r="J600" s="84">
        <v>0</v>
      </c>
      <c r="K600" s="85">
        <v>9932.14</v>
      </c>
      <c r="L600" s="85">
        <v>10428.75</v>
      </c>
      <c r="M600" s="85">
        <v>496.61</v>
      </c>
      <c r="N600" s="85">
        <v>10428.75</v>
      </c>
      <c r="O600" s="85">
        <v>0</v>
      </c>
      <c r="P600" s="85">
        <v>9932.14</v>
      </c>
      <c r="Q600" s="85">
        <v>10428.75</v>
      </c>
      <c r="R600" s="85">
        <v>496.61</v>
      </c>
      <c r="S600" s="85">
        <v>10428.75</v>
      </c>
      <c r="T600" s="85">
        <v>0</v>
      </c>
      <c r="U600" s="82"/>
      <c r="V600" s="82" t="s">
        <v>3399</v>
      </c>
      <c r="W600" s="82" t="s">
        <v>3395</v>
      </c>
      <c r="X600" s="82" t="s">
        <v>3394</v>
      </c>
      <c r="Y600" s="82" t="s">
        <v>3393</v>
      </c>
    </row>
    <row r="601" spans="1:25" ht="10.9" customHeight="1" x14ac:dyDescent="0.2">
      <c r="A601" s="82"/>
      <c r="B601" s="82" t="s">
        <v>3459</v>
      </c>
      <c r="C601" s="83">
        <v>45811</v>
      </c>
      <c r="D601" s="83">
        <v>45811</v>
      </c>
      <c r="E601" s="83">
        <v>45811</v>
      </c>
      <c r="F601" s="83">
        <v>45818</v>
      </c>
      <c r="G601" s="83">
        <v>45817</v>
      </c>
      <c r="H601" s="82" t="s">
        <v>1312</v>
      </c>
      <c r="I601" s="82" t="s">
        <v>51</v>
      </c>
      <c r="J601" s="84">
        <v>0.72899599999999998</v>
      </c>
      <c r="K601" s="85">
        <v>-2069.85</v>
      </c>
      <c r="L601" s="85">
        <v>-2069.85</v>
      </c>
      <c r="M601" s="85">
        <v>0</v>
      </c>
      <c r="N601" s="85">
        <v>-2069.85</v>
      </c>
      <c r="O601" s="85">
        <v>0</v>
      </c>
      <c r="P601" s="85">
        <v>-2839.3159907598942</v>
      </c>
      <c r="Q601" s="85">
        <v>-2839.3159907598942</v>
      </c>
      <c r="R601" s="85">
        <v>0</v>
      </c>
      <c r="S601" s="85">
        <v>-2839.3159999999998</v>
      </c>
      <c r="T601" s="85">
        <v>0</v>
      </c>
      <c r="U601" s="82"/>
      <c r="V601" s="82" t="s">
        <v>3399</v>
      </c>
      <c r="W601" s="82" t="s">
        <v>3423</v>
      </c>
      <c r="X601" s="82" t="s">
        <v>3397</v>
      </c>
      <c r="Y601" s="82"/>
    </row>
    <row r="602" spans="1:25" ht="10.9" customHeight="1" x14ac:dyDescent="0.2">
      <c r="A602" s="82" t="s">
        <v>2830</v>
      </c>
      <c r="B602" s="82" t="s">
        <v>1288</v>
      </c>
      <c r="C602" s="83">
        <v>45812</v>
      </c>
      <c r="D602" s="83">
        <v>45842</v>
      </c>
      <c r="E602" s="83">
        <v>45842</v>
      </c>
      <c r="F602" s="83">
        <v>45845</v>
      </c>
      <c r="G602" s="83">
        <v>45812</v>
      </c>
      <c r="H602" s="82" t="s">
        <v>1287</v>
      </c>
      <c r="I602" s="82" t="s">
        <v>51</v>
      </c>
      <c r="J602" s="84">
        <v>0.73114900000000005</v>
      </c>
      <c r="K602" s="85">
        <v>166.08</v>
      </c>
      <c r="L602" s="85">
        <v>166.08</v>
      </c>
      <c r="M602" s="85">
        <v>0</v>
      </c>
      <c r="N602" s="85">
        <v>166.08</v>
      </c>
      <c r="O602" s="85">
        <v>0</v>
      </c>
      <c r="P602" s="85">
        <v>227.14932250471509</v>
      </c>
      <c r="Q602" s="85">
        <v>227.14932250471509</v>
      </c>
      <c r="R602" s="85">
        <v>0</v>
      </c>
      <c r="S602" s="85">
        <v>226.76230000000001</v>
      </c>
      <c r="T602" s="85">
        <v>0</v>
      </c>
      <c r="U602" s="82"/>
      <c r="V602" s="82" t="s">
        <v>3399</v>
      </c>
      <c r="W602" s="82" t="s">
        <v>3395</v>
      </c>
      <c r="X602" s="82" t="s">
        <v>3394</v>
      </c>
      <c r="Y602" s="82" t="s">
        <v>3393</v>
      </c>
    </row>
    <row r="603" spans="1:25" ht="10.9" customHeight="1" x14ac:dyDescent="0.2">
      <c r="A603" s="82" t="s">
        <v>2787</v>
      </c>
      <c r="B603" s="82" t="s">
        <v>32</v>
      </c>
      <c r="C603" s="83">
        <v>45812</v>
      </c>
      <c r="D603" s="83">
        <v>45842</v>
      </c>
      <c r="E603" s="83">
        <v>45856</v>
      </c>
      <c r="F603" s="83">
        <v>45842</v>
      </c>
      <c r="G603" s="83">
        <v>45812</v>
      </c>
      <c r="H603" s="82" t="s">
        <v>1365</v>
      </c>
      <c r="I603" s="82" t="s">
        <v>22</v>
      </c>
      <c r="J603" s="84">
        <v>0</v>
      </c>
      <c r="K603" s="85">
        <v>29586.69</v>
      </c>
      <c r="L603" s="85">
        <v>33432.959999999999</v>
      </c>
      <c r="M603" s="85">
        <v>3846.27</v>
      </c>
      <c r="N603" s="85">
        <v>33432.959999999999</v>
      </c>
      <c r="O603" s="85">
        <v>0</v>
      </c>
      <c r="P603" s="85">
        <v>29586.69</v>
      </c>
      <c r="Q603" s="85">
        <v>33432.959999999999</v>
      </c>
      <c r="R603" s="85">
        <v>3846.27</v>
      </c>
      <c r="S603" s="85">
        <v>33432.959999999999</v>
      </c>
      <c r="T603" s="85">
        <v>0</v>
      </c>
      <c r="U603" s="82"/>
      <c r="V603" s="82" t="s">
        <v>3399</v>
      </c>
      <c r="W603" s="82" t="s">
        <v>3395</v>
      </c>
      <c r="X603" s="82" t="s">
        <v>3394</v>
      </c>
      <c r="Y603" s="82" t="s">
        <v>3393</v>
      </c>
    </row>
    <row r="604" spans="1:25" ht="10.9" customHeight="1" x14ac:dyDescent="0.2">
      <c r="A604" s="82" t="s">
        <v>2676</v>
      </c>
      <c r="B604" s="82" t="s">
        <v>630</v>
      </c>
      <c r="C604" s="83">
        <v>45812</v>
      </c>
      <c r="D604" s="83">
        <v>45842</v>
      </c>
      <c r="E604" s="83">
        <v>45856</v>
      </c>
      <c r="F604" s="83">
        <v>45884</v>
      </c>
      <c r="G604" s="83">
        <v>45812</v>
      </c>
      <c r="H604" s="82" t="s">
        <v>1567</v>
      </c>
      <c r="I604" s="82" t="s">
        <v>22</v>
      </c>
      <c r="J604" s="84">
        <v>0</v>
      </c>
      <c r="K604" s="85">
        <v>6357.14</v>
      </c>
      <c r="L604" s="85">
        <v>6675</v>
      </c>
      <c r="M604" s="85">
        <v>317.86</v>
      </c>
      <c r="N604" s="85">
        <v>6675</v>
      </c>
      <c r="O604" s="85">
        <v>0</v>
      </c>
      <c r="P604" s="85">
        <v>6357.14</v>
      </c>
      <c r="Q604" s="85">
        <v>6675</v>
      </c>
      <c r="R604" s="85">
        <v>317.86</v>
      </c>
      <c r="S604" s="85">
        <v>6675</v>
      </c>
      <c r="T604" s="85">
        <v>0</v>
      </c>
      <c r="U604" s="82"/>
      <c r="V604" s="82" t="s">
        <v>3399</v>
      </c>
      <c r="W604" s="82" t="s">
        <v>3395</v>
      </c>
      <c r="X604" s="82" t="s">
        <v>3394</v>
      </c>
      <c r="Y604" s="82" t="s">
        <v>3393</v>
      </c>
    </row>
    <row r="605" spans="1:25" ht="10.9" customHeight="1" x14ac:dyDescent="0.2">
      <c r="A605" s="82" t="s">
        <v>2341</v>
      </c>
      <c r="B605" s="82" t="s">
        <v>630</v>
      </c>
      <c r="C605" s="83">
        <v>45812</v>
      </c>
      <c r="D605" s="83">
        <v>45842</v>
      </c>
      <c r="E605" s="83">
        <v>45856</v>
      </c>
      <c r="F605" s="83">
        <v>45884</v>
      </c>
      <c r="G605" s="83">
        <v>45812</v>
      </c>
      <c r="H605" s="82" t="s">
        <v>2136</v>
      </c>
      <c r="I605" s="82" t="s">
        <v>22</v>
      </c>
      <c r="J605" s="84">
        <v>0</v>
      </c>
      <c r="K605" s="85">
        <v>24488</v>
      </c>
      <c r="L605" s="85">
        <v>25712.400000000001</v>
      </c>
      <c r="M605" s="85">
        <v>1224.4000000000001</v>
      </c>
      <c r="N605" s="85">
        <v>25712.400000000001</v>
      </c>
      <c r="O605" s="85">
        <v>0</v>
      </c>
      <c r="P605" s="85">
        <v>24488</v>
      </c>
      <c r="Q605" s="85">
        <v>25712.400000000001</v>
      </c>
      <c r="R605" s="85">
        <v>1224.4000000000001</v>
      </c>
      <c r="S605" s="85">
        <v>25712.400000000001</v>
      </c>
      <c r="T605" s="85">
        <v>0</v>
      </c>
      <c r="U605" s="82"/>
      <c r="V605" s="82" t="s">
        <v>3399</v>
      </c>
      <c r="W605" s="82" t="s">
        <v>3395</v>
      </c>
      <c r="X605" s="82" t="s">
        <v>3394</v>
      </c>
      <c r="Y605" s="82" t="s">
        <v>3393</v>
      </c>
    </row>
    <row r="606" spans="1:25" ht="10.9" customHeight="1" x14ac:dyDescent="0.2">
      <c r="A606" s="82" t="s">
        <v>2737</v>
      </c>
      <c r="B606" s="82" t="s">
        <v>630</v>
      </c>
      <c r="C606" s="83">
        <v>45812</v>
      </c>
      <c r="D606" s="83">
        <v>45842</v>
      </c>
      <c r="E606" s="83">
        <v>45856</v>
      </c>
      <c r="F606" s="83">
        <v>45884</v>
      </c>
      <c r="G606" s="83">
        <v>45812</v>
      </c>
      <c r="H606" s="82" t="s">
        <v>1458</v>
      </c>
      <c r="I606" s="82" t="s">
        <v>22</v>
      </c>
      <c r="J606" s="84">
        <v>0</v>
      </c>
      <c r="K606" s="85">
        <v>814.38</v>
      </c>
      <c r="L606" s="85">
        <v>855.1</v>
      </c>
      <c r="M606" s="85">
        <v>40.72</v>
      </c>
      <c r="N606" s="85">
        <v>855.1</v>
      </c>
      <c r="O606" s="85">
        <v>0</v>
      </c>
      <c r="P606" s="85">
        <v>814.38</v>
      </c>
      <c r="Q606" s="85">
        <v>855.1</v>
      </c>
      <c r="R606" s="85">
        <v>40.72</v>
      </c>
      <c r="S606" s="85">
        <v>855.1</v>
      </c>
      <c r="T606" s="85">
        <v>0</v>
      </c>
      <c r="U606" s="82"/>
      <c r="V606" s="82" t="s">
        <v>3399</v>
      </c>
      <c r="W606" s="82" t="s">
        <v>3395</v>
      </c>
      <c r="X606" s="82" t="s">
        <v>3394</v>
      </c>
      <c r="Y606" s="82" t="s">
        <v>3393</v>
      </c>
    </row>
    <row r="607" spans="1:25" ht="10.9" customHeight="1" x14ac:dyDescent="0.2">
      <c r="A607" s="82" t="s">
        <v>2825</v>
      </c>
      <c r="B607" s="82" t="s">
        <v>1236</v>
      </c>
      <c r="C607" s="83">
        <v>45812</v>
      </c>
      <c r="D607" s="83">
        <v>45842</v>
      </c>
      <c r="E607" s="83">
        <v>45842</v>
      </c>
      <c r="F607" s="83">
        <v>45842</v>
      </c>
      <c r="G607" s="83">
        <v>45812</v>
      </c>
      <c r="H607" s="82" t="s">
        <v>1294</v>
      </c>
      <c r="I607" s="82" t="s">
        <v>22</v>
      </c>
      <c r="J607" s="84">
        <v>0</v>
      </c>
      <c r="K607" s="85">
        <v>568.13</v>
      </c>
      <c r="L607" s="85">
        <v>596.54999999999995</v>
      </c>
      <c r="M607" s="85">
        <v>28.42</v>
      </c>
      <c r="N607" s="85">
        <v>596.54999999999995</v>
      </c>
      <c r="O607" s="85">
        <v>0</v>
      </c>
      <c r="P607" s="85">
        <v>568.13</v>
      </c>
      <c r="Q607" s="85">
        <v>596.54999999999995</v>
      </c>
      <c r="R607" s="85">
        <v>28.42</v>
      </c>
      <c r="S607" s="85">
        <v>596.54999999999995</v>
      </c>
      <c r="T607" s="85">
        <v>0</v>
      </c>
      <c r="U607" s="82"/>
      <c r="V607" s="82" t="s">
        <v>3399</v>
      </c>
      <c r="W607" s="82" t="s">
        <v>3395</v>
      </c>
      <c r="X607" s="82" t="s">
        <v>3394</v>
      </c>
      <c r="Y607" s="82" t="s">
        <v>3393</v>
      </c>
    </row>
    <row r="608" spans="1:25" ht="10.9" customHeight="1" x14ac:dyDescent="0.2">
      <c r="A608" s="82" t="s">
        <v>2769</v>
      </c>
      <c r="B608" s="82" t="s">
        <v>70</v>
      </c>
      <c r="C608" s="83">
        <v>45813</v>
      </c>
      <c r="D608" s="83">
        <v>45873</v>
      </c>
      <c r="E608" s="83">
        <v>45911</v>
      </c>
      <c r="F608" s="83">
        <v>45913</v>
      </c>
      <c r="G608" s="83">
        <v>45814</v>
      </c>
      <c r="H608" s="82" t="s">
        <v>1398</v>
      </c>
      <c r="I608" s="82" t="s">
        <v>51</v>
      </c>
      <c r="J608" s="84">
        <v>0.731657</v>
      </c>
      <c r="K608" s="85">
        <v>390.9</v>
      </c>
      <c r="L608" s="85">
        <v>390.9</v>
      </c>
      <c r="M608" s="85">
        <v>0</v>
      </c>
      <c r="N608" s="85">
        <v>390.9</v>
      </c>
      <c r="O608" s="85">
        <v>0</v>
      </c>
      <c r="P608" s="85">
        <v>534.26673974280288</v>
      </c>
      <c r="Q608" s="85">
        <v>534.26673974280288</v>
      </c>
      <c r="R608" s="85">
        <v>0</v>
      </c>
      <c r="S608" s="85">
        <v>541.3655</v>
      </c>
      <c r="T608" s="85">
        <v>0</v>
      </c>
      <c r="U608" s="82"/>
      <c r="V608" s="82" t="s">
        <v>3399</v>
      </c>
      <c r="W608" s="82" t="s">
        <v>3395</v>
      </c>
      <c r="X608" s="82" t="s">
        <v>3394</v>
      </c>
      <c r="Y608" s="82" t="s">
        <v>3393</v>
      </c>
    </row>
    <row r="609" spans="1:25" ht="10.9" customHeight="1" x14ac:dyDescent="0.2">
      <c r="A609" s="82" t="s">
        <v>2833</v>
      </c>
      <c r="B609" s="82" t="s">
        <v>644</v>
      </c>
      <c r="C609" s="83">
        <v>45813</v>
      </c>
      <c r="D609" s="83">
        <v>45843</v>
      </c>
      <c r="E609" s="83">
        <v>45863</v>
      </c>
      <c r="F609" s="83">
        <v>45843</v>
      </c>
      <c r="G609" s="83">
        <v>45813</v>
      </c>
      <c r="H609" s="82" t="s">
        <v>1281</v>
      </c>
      <c r="I609" s="82" t="s">
        <v>51</v>
      </c>
      <c r="J609" s="84">
        <v>0.731657</v>
      </c>
      <c r="K609" s="85">
        <v>2187.02</v>
      </c>
      <c r="L609" s="85">
        <v>2187.02</v>
      </c>
      <c r="M609" s="85">
        <v>0</v>
      </c>
      <c r="N609" s="85">
        <v>2187.02</v>
      </c>
      <c r="O609" s="85">
        <v>0</v>
      </c>
      <c r="P609" s="85">
        <v>2989.1328860381295</v>
      </c>
      <c r="Q609" s="85">
        <v>2989.1328860381295</v>
      </c>
      <c r="R609" s="85">
        <v>0</v>
      </c>
      <c r="S609" s="85">
        <v>2975.5495000000001</v>
      </c>
      <c r="T609" s="85">
        <v>0</v>
      </c>
      <c r="U609" s="82"/>
      <c r="V609" s="82" t="s">
        <v>3399</v>
      </c>
      <c r="W609" s="82" t="s">
        <v>3395</v>
      </c>
      <c r="X609" s="82" t="s">
        <v>3394</v>
      </c>
      <c r="Y609" s="82" t="s">
        <v>3393</v>
      </c>
    </row>
    <row r="610" spans="1:25" ht="10.9" customHeight="1" x14ac:dyDescent="0.2">
      <c r="A610" s="82" t="s">
        <v>2836</v>
      </c>
      <c r="B610" s="82" t="s">
        <v>3532</v>
      </c>
      <c r="C610" s="83">
        <v>45813</v>
      </c>
      <c r="D610" s="83">
        <v>45843</v>
      </c>
      <c r="E610" s="83">
        <v>45856</v>
      </c>
      <c r="F610" s="83">
        <v>45876</v>
      </c>
      <c r="G610" s="83">
        <v>45817</v>
      </c>
      <c r="H610" s="82" t="s">
        <v>1274</v>
      </c>
      <c r="I610" s="82" t="s">
        <v>22</v>
      </c>
      <c r="J610" s="84">
        <v>0</v>
      </c>
      <c r="K610" s="85">
        <v>268.29000000000002</v>
      </c>
      <c r="L610" s="85">
        <v>281.7</v>
      </c>
      <c r="M610" s="85">
        <v>13.41</v>
      </c>
      <c r="N610" s="85">
        <v>281.7</v>
      </c>
      <c r="O610" s="85">
        <v>0</v>
      </c>
      <c r="P610" s="85">
        <v>268.29000000000002</v>
      </c>
      <c r="Q610" s="85">
        <v>281.7</v>
      </c>
      <c r="R610" s="85">
        <v>13.41</v>
      </c>
      <c r="S610" s="85">
        <v>281.7</v>
      </c>
      <c r="T610" s="85">
        <v>0</v>
      </c>
      <c r="U610" s="82"/>
      <c r="V610" s="82" t="s">
        <v>3399</v>
      </c>
      <c r="W610" s="82" t="s">
        <v>3395</v>
      </c>
      <c r="X610" s="82" t="s">
        <v>3394</v>
      </c>
      <c r="Y610" s="82" t="s">
        <v>3393</v>
      </c>
    </row>
    <row r="611" spans="1:25" ht="10.9" customHeight="1" x14ac:dyDescent="0.2">
      <c r="A611" s="82"/>
      <c r="B611" s="82" t="s">
        <v>369</v>
      </c>
      <c r="C611" s="83">
        <v>45813</v>
      </c>
      <c r="D611" s="83">
        <v>45813</v>
      </c>
      <c r="E611" s="83">
        <v>45813</v>
      </c>
      <c r="F611" s="83">
        <v>45833</v>
      </c>
      <c r="G611" s="83">
        <v>45817</v>
      </c>
      <c r="H611" s="82" t="s">
        <v>1295</v>
      </c>
      <c r="I611" s="82" t="s">
        <v>51</v>
      </c>
      <c r="J611" s="84">
        <v>0.731657</v>
      </c>
      <c r="K611" s="85">
        <v>-20808.13</v>
      </c>
      <c r="L611" s="85">
        <v>-20808.13</v>
      </c>
      <c r="M611" s="85">
        <v>0</v>
      </c>
      <c r="N611" s="85">
        <v>-20808.13</v>
      </c>
      <c r="O611" s="85">
        <v>0</v>
      </c>
      <c r="P611" s="85">
        <v>-28439.733372331571</v>
      </c>
      <c r="Q611" s="85">
        <v>-28439.733372331571</v>
      </c>
      <c r="R611" s="85">
        <v>0</v>
      </c>
      <c r="S611" s="85">
        <v>-28439.733400000001</v>
      </c>
      <c r="T611" s="85">
        <v>0</v>
      </c>
      <c r="U611" s="82"/>
      <c r="V611" s="82" t="s">
        <v>3399</v>
      </c>
      <c r="W611" s="82" t="s">
        <v>3423</v>
      </c>
      <c r="X611" s="82" t="s">
        <v>3397</v>
      </c>
      <c r="Y611" s="82"/>
    </row>
    <row r="612" spans="1:25" ht="10.9" customHeight="1" x14ac:dyDescent="0.2">
      <c r="A612" s="82" t="s">
        <v>2741</v>
      </c>
      <c r="B612" s="82" t="s">
        <v>159</v>
      </c>
      <c r="C612" s="83">
        <v>45817</v>
      </c>
      <c r="D612" s="83">
        <v>45862</v>
      </c>
      <c r="E612" s="83">
        <v>45877</v>
      </c>
      <c r="F612" s="83">
        <v>45863</v>
      </c>
      <c r="G612" s="83">
        <v>45817</v>
      </c>
      <c r="H612" s="82" t="s">
        <v>1450</v>
      </c>
      <c r="I612" s="82" t="s">
        <v>51</v>
      </c>
      <c r="J612" s="84">
        <v>0.72962300000000002</v>
      </c>
      <c r="K612" s="85">
        <v>1185.5999999999999</v>
      </c>
      <c r="L612" s="85">
        <v>1185.5999999999999</v>
      </c>
      <c r="M612" s="85">
        <v>0</v>
      </c>
      <c r="N612" s="85">
        <v>1185.5999999999999</v>
      </c>
      <c r="O612" s="85">
        <v>0</v>
      </c>
      <c r="P612" s="85">
        <v>1624.9487749152645</v>
      </c>
      <c r="Q612" s="85">
        <v>1624.9487749152645</v>
      </c>
      <c r="R612" s="85">
        <v>0</v>
      </c>
      <c r="S612" s="85">
        <v>1624.6749</v>
      </c>
      <c r="T612" s="85">
        <v>0</v>
      </c>
      <c r="U612" s="82"/>
      <c r="V612" s="82" t="s">
        <v>3399</v>
      </c>
      <c r="W612" s="82" t="s">
        <v>3395</v>
      </c>
      <c r="X612" s="82" t="s">
        <v>3394</v>
      </c>
      <c r="Y612" s="82" t="s">
        <v>3393</v>
      </c>
    </row>
    <row r="613" spans="1:25" ht="10.9" customHeight="1" x14ac:dyDescent="0.2">
      <c r="A613" s="82" t="s">
        <v>2684</v>
      </c>
      <c r="B613" s="82" t="s">
        <v>159</v>
      </c>
      <c r="C613" s="83">
        <v>45817</v>
      </c>
      <c r="D613" s="83">
        <v>45862</v>
      </c>
      <c r="E613" s="83">
        <v>45877</v>
      </c>
      <c r="F613" s="83">
        <v>45863</v>
      </c>
      <c r="G613" s="83">
        <v>45817</v>
      </c>
      <c r="H613" s="82" t="s">
        <v>1553</v>
      </c>
      <c r="I613" s="82" t="s">
        <v>51</v>
      </c>
      <c r="J613" s="84">
        <v>0.72962300000000002</v>
      </c>
      <c r="K613" s="85">
        <v>1260</v>
      </c>
      <c r="L613" s="85">
        <v>1260</v>
      </c>
      <c r="M613" s="85">
        <v>0</v>
      </c>
      <c r="N613" s="85">
        <v>1260</v>
      </c>
      <c r="O613" s="85">
        <v>0</v>
      </c>
      <c r="P613" s="85">
        <v>1726.9192445961819</v>
      </c>
      <c r="Q613" s="85">
        <v>1726.9192445961819</v>
      </c>
      <c r="R613" s="85">
        <v>0</v>
      </c>
      <c r="S613" s="85">
        <v>1726.6282000000001</v>
      </c>
      <c r="T613" s="85">
        <v>0</v>
      </c>
      <c r="U613" s="82"/>
      <c r="V613" s="82" t="s">
        <v>3399</v>
      </c>
      <c r="W613" s="82" t="s">
        <v>3395</v>
      </c>
      <c r="X613" s="82" t="s">
        <v>3394</v>
      </c>
      <c r="Y613" s="82" t="s">
        <v>3393</v>
      </c>
    </row>
    <row r="614" spans="1:25" ht="10.9" customHeight="1" x14ac:dyDescent="0.2">
      <c r="A614" s="82" t="s">
        <v>2745</v>
      </c>
      <c r="B614" s="82" t="s">
        <v>159</v>
      </c>
      <c r="C614" s="83">
        <v>45817</v>
      </c>
      <c r="D614" s="83">
        <v>45862</v>
      </c>
      <c r="E614" s="83">
        <v>45877</v>
      </c>
      <c r="F614" s="83">
        <v>45870</v>
      </c>
      <c r="G614" s="83">
        <v>45817</v>
      </c>
      <c r="H614" s="82" t="s">
        <v>1444</v>
      </c>
      <c r="I614" s="82" t="s">
        <v>51</v>
      </c>
      <c r="J614" s="84">
        <v>0.72962300000000002</v>
      </c>
      <c r="K614" s="85">
        <v>4742.3999999999996</v>
      </c>
      <c r="L614" s="85">
        <v>4742.3999999999996</v>
      </c>
      <c r="M614" s="85">
        <v>0</v>
      </c>
      <c r="N614" s="85">
        <v>4742.3999999999996</v>
      </c>
      <c r="O614" s="85">
        <v>0</v>
      </c>
      <c r="P614" s="85">
        <v>6499.795099661058</v>
      </c>
      <c r="Q614" s="85">
        <v>6499.795099661058</v>
      </c>
      <c r="R614" s="85">
        <v>0</v>
      </c>
      <c r="S614" s="85">
        <v>6534.6436000000003</v>
      </c>
      <c r="T614" s="85">
        <v>0</v>
      </c>
      <c r="U614" s="82"/>
      <c r="V614" s="82" t="s">
        <v>3399</v>
      </c>
      <c r="W614" s="82" t="s">
        <v>3395</v>
      </c>
      <c r="X614" s="82" t="s">
        <v>3394</v>
      </c>
      <c r="Y614" s="82" t="s">
        <v>3393</v>
      </c>
    </row>
    <row r="615" spans="1:25" ht="10.9" customHeight="1" x14ac:dyDescent="0.2">
      <c r="A615" s="82" t="s">
        <v>2771</v>
      </c>
      <c r="B615" s="82" t="s">
        <v>159</v>
      </c>
      <c r="C615" s="83">
        <v>45817</v>
      </c>
      <c r="D615" s="83">
        <v>45862</v>
      </c>
      <c r="E615" s="83">
        <v>45877</v>
      </c>
      <c r="F615" s="83">
        <v>45870</v>
      </c>
      <c r="G615" s="83">
        <v>45817</v>
      </c>
      <c r="H615" s="82" t="s">
        <v>1394</v>
      </c>
      <c r="I615" s="82" t="s">
        <v>51</v>
      </c>
      <c r="J615" s="84">
        <v>0.72962300000000002</v>
      </c>
      <c r="K615" s="85">
        <v>968.42</v>
      </c>
      <c r="L615" s="85">
        <v>968.42</v>
      </c>
      <c r="M615" s="85">
        <v>0</v>
      </c>
      <c r="N615" s="85">
        <v>968.42</v>
      </c>
      <c r="O615" s="85">
        <v>0</v>
      </c>
      <c r="P615" s="85">
        <v>1327.2882022633605</v>
      </c>
      <c r="Q615" s="85">
        <v>1327.2882022633605</v>
      </c>
      <c r="R615" s="85">
        <v>0</v>
      </c>
      <c r="S615" s="85">
        <v>1334.4043999999999</v>
      </c>
      <c r="T615" s="85">
        <v>0</v>
      </c>
      <c r="U615" s="82"/>
      <c r="V615" s="82" t="s">
        <v>3399</v>
      </c>
      <c r="W615" s="82" t="s">
        <v>3395</v>
      </c>
      <c r="X615" s="82" t="s">
        <v>3394</v>
      </c>
      <c r="Y615" s="82" t="s">
        <v>3393</v>
      </c>
    </row>
    <row r="616" spans="1:25" ht="10.9" customHeight="1" x14ac:dyDescent="0.2">
      <c r="A616" s="82" t="s">
        <v>2788</v>
      </c>
      <c r="B616" s="82" t="s">
        <v>159</v>
      </c>
      <c r="C616" s="83">
        <v>45817</v>
      </c>
      <c r="D616" s="83">
        <v>45862</v>
      </c>
      <c r="E616" s="83">
        <v>45877</v>
      </c>
      <c r="F616" s="83">
        <v>45849</v>
      </c>
      <c r="G616" s="83">
        <v>45817</v>
      </c>
      <c r="H616" s="82" t="s">
        <v>1363</v>
      </c>
      <c r="I616" s="82" t="s">
        <v>51</v>
      </c>
      <c r="J616" s="84">
        <v>0.72962300000000002</v>
      </c>
      <c r="K616" s="85">
        <v>2577.44</v>
      </c>
      <c r="L616" s="85">
        <v>2577.44</v>
      </c>
      <c r="M616" s="85">
        <v>0</v>
      </c>
      <c r="N616" s="85">
        <v>2577.44</v>
      </c>
      <c r="O616" s="85">
        <v>0</v>
      </c>
      <c r="P616" s="85">
        <v>3532.5640776126847</v>
      </c>
      <c r="Q616" s="85">
        <v>3532.5640776126847</v>
      </c>
      <c r="R616" s="85">
        <v>0</v>
      </c>
      <c r="S616" s="85">
        <v>3525.1912000000002</v>
      </c>
      <c r="T616" s="85">
        <v>0</v>
      </c>
      <c r="U616" s="82"/>
      <c r="V616" s="82" t="s">
        <v>3399</v>
      </c>
      <c r="W616" s="82" t="s">
        <v>3395</v>
      </c>
      <c r="X616" s="82" t="s">
        <v>3394</v>
      </c>
      <c r="Y616" s="82" t="s">
        <v>3393</v>
      </c>
    </row>
    <row r="617" spans="1:25" ht="10.9" customHeight="1" x14ac:dyDescent="0.2">
      <c r="A617" s="82" t="s">
        <v>2813</v>
      </c>
      <c r="B617" s="82" t="s">
        <v>159</v>
      </c>
      <c r="C617" s="83">
        <v>45817</v>
      </c>
      <c r="D617" s="83">
        <v>45862</v>
      </c>
      <c r="E617" s="83">
        <v>45877</v>
      </c>
      <c r="F617" s="83">
        <v>45863</v>
      </c>
      <c r="G617" s="83">
        <v>45817</v>
      </c>
      <c r="H617" s="82" t="s">
        <v>1319</v>
      </c>
      <c r="I617" s="82" t="s">
        <v>51</v>
      </c>
      <c r="J617" s="84">
        <v>0.72962300000000002</v>
      </c>
      <c r="K617" s="85">
        <v>144549.6</v>
      </c>
      <c r="L617" s="85">
        <v>144549.6</v>
      </c>
      <c r="M617" s="85">
        <v>0</v>
      </c>
      <c r="N617" s="85">
        <v>144549.6</v>
      </c>
      <c r="O617" s="85">
        <v>0</v>
      </c>
      <c r="P617" s="85">
        <v>198115.4651100637</v>
      </c>
      <c r="Q617" s="85">
        <v>198115.4651100637</v>
      </c>
      <c r="R617" s="85">
        <v>0</v>
      </c>
      <c r="S617" s="85">
        <v>198082.07250000001</v>
      </c>
      <c r="T617" s="85">
        <v>0</v>
      </c>
      <c r="U617" s="82"/>
      <c r="V617" s="82" t="s">
        <v>3399</v>
      </c>
      <c r="W617" s="82" t="s">
        <v>3395</v>
      </c>
      <c r="X617" s="82" t="s">
        <v>3394</v>
      </c>
      <c r="Y617" s="82" t="s">
        <v>3393</v>
      </c>
    </row>
    <row r="618" spans="1:25" ht="10.9" customHeight="1" x14ac:dyDescent="0.2">
      <c r="A618" s="82" t="s">
        <v>2846</v>
      </c>
      <c r="B618" s="82" t="s">
        <v>159</v>
      </c>
      <c r="C618" s="83">
        <v>45817</v>
      </c>
      <c r="D618" s="83">
        <v>45862</v>
      </c>
      <c r="E618" s="83">
        <v>45877</v>
      </c>
      <c r="F618" s="83">
        <v>45863</v>
      </c>
      <c r="G618" s="83">
        <v>45817</v>
      </c>
      <c r="H618" s="82" t="s">
        <v>1258</v>
      </c>
      <c r="I618" s="82" t="s">
        <v>51</v>
      </c>
      <c r="J618" s="84">
        <v>0.72962300000000002</v>
      </c>
      <c r="K618" s="85">
        <v>11442.75</v>
      </c>
      <c r="L618" s="85">
        <v>11442.75</v>
      </c>
      <c r="M618" s="85">
        <v>0</v>
      </c>
      <c r="N618" s="85">
        <v>11442.75</v>
      </c>
      <c r="O618" s="85">
        <v>0</v>
      </c>
      <c r="P618" s="85">
        <v>15683.099354049968</v>
      </c>
      <c r="Q618" s="85">
        <v>15683.099354049968</v>
      </c>
      <c r="R618" s="85">
        <v>0</v>
      </c>
      <c r="S618" s="85">
        <v>15680.455900000001</v>
      </c>
      <c r="T618" s="85">
        <v>0</v>
      </c>
      <c r="U618" s="82"/>
      <c r="V618" s="82" t="s">
        <v>3399</v>
      </c>
      <c r="W618" s="82" t="s">
        <v>3395</v>
      </c>
      <c r="X618" s="82" t="s">
        <v>3394</v>
      </c>
      <c r="Y618" s="82" t="s">
        <v>3393</v>
      </c>
    </row>
    <row r="619" spans="1:25" ht="10.9" customHeight="1" x14ac:dyDescent="0.2">
      <c r="A619" s="82" t="s">
        <v>2841</v>
      </c>
      <c r="B619" s="82" t="s">
        <v>20</v>
      </c>
      <c r="C619" s="83">
        <v>45817</v>
      </c>
      <c r="D619" s="83">
        <v>45877</v>
      </c>
      <c r="E619" s="83">
        <v>45877</v>
      </c>
      <c r="F619" s="83">
        <v>45876</v>
      </c>
      <c r="G619" s="83">
        <v>45819</v>
      </c>
      <c r="H619" s="82" t="s">
        <v>1265</v>
      </c>
      <c r="I619" s="82" t="s">
        <v>22</v>
      </c>
      <c r="J619" s="84">
        <v>0</v>
      </c>
      <c r="K619" s="85">
        <v>236.55</v>
      </c>
      <c r="L619" s="85">
        <v>248.38</v>
      </c>
      <c r="M619" s="85">
        <v>11.83</v>
      </c>
      <c r="N619" s="85">
        <v>248.38</v>
      </c>
      <c r="O619" s="85">
        <v>0</v>
      </c>
      <c r="P619" s="85">
        <v>236.55</v>
      </c>
      <c r="Q619" s="85">
        <v>248.38</v>
      </c>
      <c r="R619" s="85">
        <v>11.83</v>
      </c>
      <c r="S619" s="85">
        <v>248.38</v>
      </c>
      <c r="T619" s="85">
        <v>0</v>
      </c>
      <c r="U619" s="82"/>
      <c r="V619" s="82" t="s">
        <v>3399</v>
      </c>
      <c r="W619" s="82" t="s">
        <v>3395</v>
      </c>
      <c r="X619" s="82" t="s">
        <v>3394</v>
      </c>
      <c r="Y619" s="82" t="s">
        <v>3393</v>
      </c>
    </row>
    <row r="620" spans="1:25" ht="10.9" customHeight="1" x14ac:dyDescent="0.2">
      <c r="A620" s="82" t="s">
        <v>2817</v>
      </c>
      <c r="B620" s="82" t="s">
        <v>612</v>
      </c>
      <c r="C620" s="83">
        <v>45817</v>
      </c>
      <c r="D620" s="83">
        <v>45847</v>
      </c>
      <c r="E620" s="83">
        <v>45863</v>
      </c>
      <c r="F620" s="83">
        <v>45834</v>
      </c>
      <c r="G620" s="83">
        <v>45819</v>
      </c>
      <c r="H620" s="82" t="s">
        <v>3531</v>
      </c>
      <c r="I620" s="82" t="s">
        <v>22</v>
      </c>
      <c r="J620" s="84">
        <v>0</v>
      </c>
      <c r="K620" s="85">
        <v>763.98</v>
      </c>
      <c r="L620" s="85">
        <v>863.29</v>
      </c>
      <c r="M620" s="85">
        <v>99.31</v>
      </c>
      <c r="N620" s="85">
        <v>863.29</v>
      </c>
      <c r="O620" s="85">
        <v>0</v>
      </c>
      <c r="P620" s="85">
        <v>763.98</v>
      </c>
      <c r="Q620" s="85">
        <v>863.29</v>
      </c>
      <c r="R620" s="85">
        <v>99.31</v>
      </c>
      <c r="S620" s="85">
        <v>863.29</v>
      </c>
      <c r="T620" s="85">
        <v>0</v>
      </c>
      <c r="U620" s="82"/>
      <c r="V620" s="82" t="s">
        <v>3399</v>
      </c>
      <c r="W620" s="82" t="s">
        <v>3395</v>
      </c>
      <c r="X620" s="82" t="s">
        <v>3394</v>
      </c>
      <c r="Y620" s="82" t="s">
        <v>3393</v>
      </c>
    </row>
    <row r="621" spans="1:25" ht="10.9" customHeight="1" x14ac:dyDescent="0.2">
      <c r="A621" s="82" t="s">
        <v>2843</v>
      </c>
      <c r="B621" s="82" t="s">
        <v>39</v>
      </c>
      <c r="C621" s="83">
        <v>45817</v>
      </c>
      <c r="D621" s="83">
        <v>45847</v>
      </c>
      <c r="E621" s="83">
        <v>45847</v>
      </c>
      <c r="F621" s="83">
        <v>45847</v>
      </c>
      <c r="G621" s="83">
        <v>45822</v>
      </c>
      <c r="H621" s="82" t="s">
        <v>1263</v>
      </c>
      <c r="I621" s="82" t="s">
        <v>22</v>
      </c>
      <c r="J621" s="84">
        <v>0</v>
      </c>
      <c r="K621" s="85">
        <v>3286.82</v>
      </c>
      <c r="L621" s="85">
        <v>3451.17</v>
      </c>
      <c r="M621" s="85">
        <v>164.35</v>
      </c>
      <c r="N621" s="85">
        <v>3451.17</v>
      </c>
      <c r="O621" s="85">
        <v>0</v>
      </c>
      <c r="P621" s="85">
        <v>3286.82</v>
      </c>
      <c r="Q621" s="85">
        <v>3451.17</v>
      </c>
      <c r="R621" s="85">
        <v>164.35</v>
      </c>
      <c r="S621" s="85">
        <v>3451.17</v>
      </c>
      <c r="T621" s="85">
        <v>0</v>
      </c>
      <c r="U621" s="82"/>
      <c r="V621" s="82" t="s">
        <v>3399</v>
      </c>
      <c r="W621" s="82" t="s">
        <v>3395</v>
      </c>
      <c r="X621" s="82" t="s">
        <v>3394</v>
      </c>
      <c r="Y621" s="82" t="s">
        <v>3393</v>
      </c>
    </row>
    <row r="622" spans="1:25" ht="10.9" customHeight="1" x14ac:dyDescent="0.2">
      <c r="A622" s="82" t="s">
        <v>2816</v>
      </c>
      <c r="B622" s="82" t="s">
        <v>3459</v>
      </c>
      <c r="C622" s="83">
        <v>45818</v>
      </c>
      <c r="D622" s="83">
        <v>45818</v>
      </c>
      <c r="E622" s="83">
        <v>45818</v>
      </c>
      <c r="F622" s="83">
        <v>45818</v>
      </c>
      <c r="G622" s="83">
        <v>45818</v>
      </c>
      <c r="H622" s="82" t="s">
        <v>3530</v>
      </c>
      <c r="I622" s="82" t="s">
        <v>51</v>
      </c>
      <c r="J622" s="84">
        <v>0.73147499999999999</v>
      </c>
      <c r="K622" s="85">
        <v>2069.85</v>
      </c>
      <c r="L622" s="85">
        <v>2069.85</v>
      </c>
      <c r="M622" s="85">
        <v>0</v>
      </c>
      <c r="N622" s="85">
        <v>2069.85</v>
      </c>
      <c r="O622" s="85">
        <v>0</v>
      </c>
      <c r="P622" s="85">
        <v>2829.6934276632828</v>
      </c>
      <c r="Q622" s="85">
        <v>2829.6934276632828</v>
      </c>
      <c r="R622" s="85">
        <v>0</v>
      </c>
      <c r="S622" s="85">
        <v>2839.3159999999998</v>
      </c>
      <c r="T622" s="85">
        <v>0</v>
      </c>
      <c r="U622" s="82"/>
      <c r="V622" s="82" t="s">
        <v>3399</v>
      </c>
      <c r="W622" s="82" t="s">
        <v>3395</v>
      </c>
      <c r="X622" s="82" t="s">
        <v>3397</v>
      </c>
      <c r="Y622" s="82" t="s">
        <v>3393</v>
      </c>
    </row>
    <row r="623" spans="1:25" ht="10.9" customHeight="1" x14ac:dyDescent="0.2">
      <c r="A623" s="82" t="s">
        <v>2385</v>
      </c>
      <c r="B623" s="82" t="s">
        <v>714</v>
      </c>
      <c r="C623" s="83">
        <v>45818</v>
      </c>
      <c r="D623" s="83">
        <v>45848</v>
      </c>
      <c r="E623" s="83">
        <v>45848</v>
      </c>
      <c r="F623" s="83">
        <v>45826</v>
      </c>
      <c r="G623" s="83">
        <v>45818</v>
      </c>
      <c r="H623" s="82" t="s">
        <v>2065</v>
      </c>
      <c r="I623" s="82" t="s">
        <v>51</v>
      </c>
      <c r="J623" s="84">
        <v>0.730935</v>
      </c>
      <c r="K623" s="85">
        <v>9375.93</v>
      </c>
      <c r="L623" s="85">
        <v>9375.93</v>
      </c>
      <c r="M623" s="85">
        <v>0</v>
      </c>
      <c r="N623" s="85">
        <v>9375.93</v>
      </c>
      <c r="O623" s="85">
        <v>0</v>
      </c>
      <c r="P623" s="85">
        <v>12827.310225943484</v>
      </c>
      <c r="Q623" s="85">
        <v>12827.310225943484</v>
      </c>
      <c r="R623" s="85">
        <v>0</v>
      </c>
      <c r="S623" s="85">
        <v>12823.17</v>
      </c>
      <c r="T623" s="85">
        <v>0</v>
      </c>
      <c r="U623" s="82"/>
      <c r="V623" s="82" t="s">
        <v>3399</v>
      </c>
      <c r="W623" s="82" t="s">
        <v>3395</v>
      </c>
      <c r="X623" s="82" t="s">
        <v>3394</v>
      </c>
      <c r="Y623" s="82" t="s">
        <v>3393</v>
      </c>
    </row>
    <row r="624" spans="1:25" ht="10.9" customHeight="1" x14ac:dyDescent="0.2">
      <c r="A624" s="82" t="s">
        <v>2847</v>
      </c>
      <c r="B624" s="82" t="s">
        <v>864</v>
      </c>
      <c r="C624" s="83">
        <v>45818</v>
      </c>
      <c r="D624" s="83">
        <v>45848</v>
      </c>
      <c r="E624" s="83">
        <v>45856</v>
      </c>
      <c r="F624" s="83">
        <v>45854</v>
      </c>
      <c r="G624" s="83">
        <v>45819</v>
      </c>
      <c r="H624" s="82" t="s">
        <v>1256</v>
      </c>
      <c r="I624" s="82" t="s">
        <v>22</v>
      </c>
      <c r="J624" s="84">
        <v>0</v>
      </c>
      <c r="K624" s="85">
        <v>846.78</v>
      </c>
      <c r="L624" s="85">
        <v>889.12</v>
      </c>
      <c r="M624" s="85">
        <v>42.34</v>
      </c>
      <c r="N624" s="85">
        <v>889.12</v>
      </c>
      <c r="O624" s="85">
        <v>0</v>
      </c>
      <c r="P624" s="85">
        <v>846.78</v>
      </c>
      <c r="Q624" s="85">
        <v>889.12</v>
      </c>
      <c r="R624" s="85">
        <v>42.34</v>
      </c>
      <c r="S624" s="85">
        <v>889.12</v>
      </c>
      <c r="T624" s="85">
        <v>0</v>
      </c>
      <c r="U624" s="82"/>
      <c r="V624" s="82" t="s">
        <v>3399</v>
      </c>
      <c r="W624" s="82" t="s">
        <v>3395</v>
      </c>
      <c r="X624" s="82" t="s">
        <v>3394</v>
      </c>
      <c r="Y624" s="82" t="s">
        <v>3393</v>
      </c>
    </row>
    <row r="625" spans="1:25" ht="10.9" customHeight="1" x14ac:dyDescent="0.2">
      <c r="A625" s="82" t="s">
        <v>2797</v>
      </c>
      <c r="B625" s="82" t="s">
        <v>146</v>
      </c>
      <c r="C625" s="83">
        <v>45818</v>
      </c>
      <c r="D625" s="83">
        <v>45848</v>
      </c>
      <c r="E625" s="83">
        <v>45870</v>
      </c>
      <c r="F625" s="83">
        <v>45873</v>
      </c>
      <c r="G625" s="83">
        <v>45819</v>
      </c>
      <c r="H625" s="82" t="s">
        <v>1347</v>
      </c>
      <c r="I625" s="82" t="s">
        <v>22</v>
      </c>
      <c r="J625" s="84">
        <v>0</v>
      </c>
      <c r="K625" s="85">
        <v>1059.76</v>
      </c>
      <c r="L625" s="85">
        <v>1112.75</v>
      </c>
      <c r="M625" s="85">
        <v>52.99</v>
      </c>
      <c r="N625" s="85">
        <v>1112.75</v>
      </c>
      <c r="O625" s="85">
        <v>0</v>
      </c>
      <c r="P625" s="85">
        <v>1059.76</v>
      </c>
      <c r="Q625" s="85">
        <v>1112.75</v>
      </c>
      <c r="R625" s="85">
        <v>52.99</v>
      </c>
      <c r="S625" s="85">
        <v>1112.75</v>
      </c>
      <c r="T625" s="85">
        <v>0</v>
      </c>
      <c r="U625" s="82"/>
      <c r="V625" s="82" t="s">
        <v>3399</v>
      </c>
      <c r="W625" s="82" t="s">
        <v>3395</v>
      </c>
      <c r="X625" s="82" t="s">
        <v>3394</v>
      </c>
      <c r="Y625" s="82" t="s">
        <v>3393</v>
      </c>
    </row>
    <row r="626" spans="1:25" ht="10.9" customHeight="1" x14ac:dyDescent="0.2">
      <c r="A626" s="82" t="s">
        <v>2853</v>
      </c>
      <c r="B626" s="82" t="s">
        <v>684</v>
      </c>
      <c r="C626" s="83">
        <v>45819</v>
      </c>
      <c r="D626" s="83">
        <v>45879</v>
      </c>
      <c r="E626" s="83">
        <v>45880</v>
      </c>
      <c r="F626" s="83">
        <v>45877</v>
      </c>
      <c r="G626" s="83">
        <v>45821</v>
      </c>
      <c r="H626" s="82" t="s">
        <v>3529</v>
      </c>
      <c r="I626" s="82" t="s">
        <v>22</v>
      </c>
      <c r="J626" s="84">
        <v>0</v>
      </c>
      <c r="K626" s="85">
        <v>1339.85</v>
      </c>
      <c r="L626" s="85">
        <v>1406.84</v>
      </c>
      <c r="M626" s="85">
        <v>66.989999999999995</v>
      </c>
      <c r="N626" s="85">
        <v>1406.84</v>
      </c>
      <c r="O626" s="85">
        <v>0</v>
      </c>
      <c r="P626" s="85">
        <v>1339.85</v>
      </c>
      <c r="Q626" s="85">
        <v>1406.84</v>
      </c>
      <c r="R626" s="85">
        <v>66.989999999999995</v>
      </c>
      <c r="S626" s="85">
        <v>1406.84</v>
      </c>
      <c r="T626" s="85">
        <v>0</v>
      </c>
      <c r="U626" s="82"/>
      <c r="V626" s="82" t="s">
        <v>3399</v>
      </c>
      <c r="W626" s="82" t="s">
        <v>3395</v>
      </c>
      <c r="X626" s="82" t="s">
        <v>3394</v>
      </c>
      <c r="Y626" s="82" t="s">
        <v>3393</v>
      </c>
    </row>
    <row r="627" spans="1:25" ht="10.9" customHeight="1" x14ac:dyDescent="0.2">
      <c r="A627" s="82" t="s">
        <v>2856</v>
      </c>
      <c r="B627" s="82" t="s">
        <v>54</v>
      </c>
      <c r="C627" s="83">
        <v>45819</v>
      </c>
      <c r="D627" s="83">
        <v>45849</v>
      </c>
      <c r="E627" s="83">
        <v>45863</v>
      </c>
      <c r="F627" s="83">
        <v>45848</v>
      </c>
      <c r="G627" s="83">
        <v>45820</v>
      </c>
      <c r="H627" s="82" t="s">
        <v>1242</v>
      </c>
      <c r="I627" s="82" t="s">
        <v>22</v>
      </c>
      <c r="J627" s="84">
        <v>0</v>
      </c>
      <c r="K627" s="85">
        <v>314.95</v>
      </c>
      <c r="L627" s="85">
        <v>330.7</v>
      </c>
      <c r="M627" s="85">
        <v>15.75</v>
      </c>
      <c r="N627" s="85">
        <v>330.7</v>
      </c>
      <c r="O627" s="85">
        <v>0</v>
      </c>
      <c r="P627" s="85">
        <v>314.95</v>
      </c>
      <c r="Q627" s="85">
        <v>330.7</v>
      </c>
      <c r="R627" s="85">
        <v>15.75</v>
      </c>
      <c r="S627" s="85">
        <v>330.7</v>
      </c>
      <c r="T627" s="85">
        <v>0</v>
      </c>
      <c r="U627" s="82"/>
      <c r="V627" s="82" t="s">
        <v>3399</v>
      </c>
      <c r="W627" s="82" t="s">
        <v>3395</v>
      </c>
      <c r="X627" s="82" t="s">
        <v>3394</v>
      </c>
      <c r="Y627" s="82" t="s">
        <v>3393</v>
      </c>
    </row>
    <row r="628" spans="1:25" ht="10.9" customHeight="1" x14ac:dyDescent="0.2">
      <c r="A628" s="82" t="s">
        <v>2855</v>
      </c>
      <c r="B628" s="82" t="s">
        <v>20</v>
      </c>
      <c r="C628" s="83">
        <v>45819</v>
      </c>
      <c r="D628" s="83">
        <v>45879</v>
      </c>
      <c r="E628" s="83">
        <v>45880</v>
      </c>
      <c r="F628" s="83">
        <v>45877</v>
      </c>
      <c r="G628" s="83">
        <v>45820</v>
      </c>
      <c r="H628" s="82" t="s">
        <v>1244</v>
      </c>
      <c r="I628" s="82" t="s">
        <v>22</v>
      </c>
      <c r="J628" s="84">
        <v>0</v>
      </c>
      <c r="K628" s="85">
        <v>2397.5100000000002</v>
      </c>
      <c r="L628" s="85">
        <v>2517.39</v>
      </c>
      <c r="M628" s="85">
        <v>119.88</v>
      </c>
      <c r="N628" s="85">
        <v>2517.39</v>
      </c>
      <c r="O628" s="85">
        <v>0</v>
      </c>
      <c r="P628" s="85">
        <v>2397.5100000000002</v>
      </c>
      <c r="Q628" s="85">
        <v>2517.39</v>
      </c>
      <c r="R628" s="85">
        <v>119.88</v>
      </c>
      <c r="S628" s="85">
        <v>2517.39</v>
      </c>
      <c r="T628" s="85">
        <v>0</v>
      </c>
      <c r="U628" s="82"/>
      <c r="V628" s="82" t="s">
        <v>3399</v>
      </c>
      <c r="W628" s="82" t="s">
        <v>3395</v>
      </c>
      <c r="X628" s="82" t="s">
        <v>3394</v>
      </c>
      <c r="Y628" s="82" t="s">
        <v>3393</v>
      </c>
    </row>
    <row r="629" spans="1:25" ht="10.9" customHeight="1" x14ac:dyDescent="0.2">
      <c r="A629" s="82" t="s">
        <v>2857</v>
      </c>
      <c r="B629" s="82" t="s">
        <v>290</v>
      </c>
      <c r="C629" s="83">
        <v>45819</v>
      </c>
      <c r="D629" s="83">
        <v>45879</v>
      </c>
      <c r="E629" s="83">
        <v>45880</v>
      </c>
      <c r="F629" s="83">
        <v>45877</v>
      </c>
      <c r="G629" s="83">
        <v>45820</v>
      </c>
      <c r="H629" s="82" t="s">
        <v>1240</v>
      </c>
      <c r="I629" s="82" t="s">
        <v>22</v>
      </c>
      <c r="J629" s="84">
        <v>0</v>
      </c>
      <c r="K629" s="85">
        <v>1879.56</v>
      </c>
      <c r="L629" s="85">
        <v>1973.54</v>
      </c>
      <c r="M629" s="85">
        <v>93.98</v>
      </c>
      <c r="N629" s="85">
        <v>1973.54</v>
      </c>
      <c r="O629" s="85">
        <v>0</v>
      </c>
      <c r="P629" s="85">
        <v>1879.56</v>
      </c>
      <c r="Q629" s="85">
        <v>1973.54</v>
      </c>
      <c r="R629" s="85">
        <v>93.98</v>
      </c>
      <c r="S629" s="85">
        <v>1973.54</v>
      </c>
      <c r="T629" s="85">
        <v>0</v>
      </c>
      <c r="U629" s="82"/>
      <c r="V629" s="82" t="s">
        <v>3399</v>
      </c>
      <c r="W629" s="82" t="s">
        <v>3395</v>
      </c>
      <c r="X629" s="82" t="s">
        <v>3394</v>
      </c>
      <c r="Y629" s="82" t="s">
        <v>3393</v>
      </c>
    </row>
    <row r="630" spans="1:25" ht="10.9" customHeight="1" x14ac:dyDescent="0.2">
      <c r="A630" s="82" t="s">
        <v>2495</v>
      </c>
      <c r="B630" s="82" t="s">
        <v>723</v>
      </c>
      <c r="C630" s="83">
        <v>45820</v>
      </c>
      <c r="D630" s="83">
        <v>45880</v>
      </c>
      <c r="E630" s="83">
        <v>45918</v>
      </c>
      <c r="F630" s="83">
        <v>45913</v>
      </c>
      <c r="G630" s="83">
        <v>45820</v>
      </c>
      <c r="H630" s="82" t="s">
        <v>1870</v>
      </c>
      <c r="I630" s="82" t="s">
        <v>51</v>
      </c>
      <c r="J630" s="84">
        <v>0.73394000000000004</v>
      </c>
      <c r="K630" s="85">
        <v>3048.65</v>
      </c>
      <c r="L630" s="85">
        <v>3444.97</v>
      </c>
      <c r="M630" s="85">
        <v>396.32</v>
      </c>
      <c r="N630" s="85">
        <v>3444.97</v>
      </c>
      <c r="O630" s="85">
        <v>0</v>
      </c>
      <c r="P630" s="85">
        <v>4153.8136632422265</v>
      </c>
      <c r="Q630" s="85">
        <v>4693.8033081723297</v>
      </c>
      <c r="R630" s="85">
        <v>539.98964493010305</v>
      </c>
      <c r="S630" s="85">
        <v>4771.0101999999997</v>
      </c>
      <c r="T630" s="85">
        <v>0</v>
      </c>
      <c r="U630" s="82"/>
      <c r="V630" s="82" t="s">
        <v>3399</v>
      </c>
      <c r="W630" s="82" t="s">
        <v>3395</v>
      </c>
      <c r="X630" s="82" t="s">
        <v>3394</v>
      </c>
      <c r="Y630" s="82" t="s">
        <v>3393</v>
      </c>
    </row>
    <row r="631" spans="1:25" ht="10.9" customHeight="1" x14ac:dyDescent="0.2">
      <c r="A631" s="82" t="s">
        <v>2859</v>
      </c>
      <c r="B631" s="82" t="s">
        <v>1236</v>
      </c>
      <c r="C631" s="83">
        <v>45820</v>
      </c>
      <c r="D631" s="83">
        <v>45850</v>
      </c>
      <c r="E631" s="83">
        <v>45852</v>
      </c>
      <c r="F631" s="83">
        <v>45852</v>
      </c>
      <c r="G631" s="83">
        <v>45821</v>
      </c>
      <c r="H631" s="82" t="s">
        <v>1235</v>
      </c>
      <c r="I631" s="82" t="s">
        <v>22</v>
      </c>
      <c r="J631" s="84">
        <v>0</v>
      </c>
      <c r="K631" s="85">
        <v>2075.88</v>
      </c>
      <c r="L631" s="85">
        <v>2179.6799999999998</v>
      </c>
      <c r="M631" s="85">
        <v>103.8</v>
      </c>
      <c r="N631" s="85">
        <v>2179.6799999999998</v>
      </c>
      <c r="O631" s="85">
        <v>0</v>
      </c>
      <c r="P631" s="85">
        <v>2075.88</v>
      </c>
      <c r="Q631" s="85">
        <v>2179.6799999999998</v>
      </c>
      <c r="R631" s="85">
        <v>103.8</v>
      </c>
      <c r="S631" s="85">
        <v>2179.6799999999998</v>
      </c>
      <c r="T631" s="85">
        <v>0</v>
      </c>
      <c r="U631" s="82"/>
      <c r="V631" s="82" t="s">
        <v>3399</v>
      </c>
      <c r="W631" s="82" t="s">
        <v>3395</v>
      </c>
      <c r="X631" s="82" t="s">
        <v>3394</v>
      </c>
      <c r="Y631" s="82" t="s">
        <v>3393</v>
      </c>
    </row>
    <row r="632" spans="1:25" ht="10.9" customHeight="1" x14ac:dyDescent="0.2">
      <c r="A632" s="82" t="s">
        <v>2753</v>
      </c>
      <c r="B632" s="82" t="s">
        <v>3528</v>
      </c>
      <c r="C632" s="83">
        <v>45820</v>
      </c>
      <c r="D632" s="83">
        <v>45850</v>
      </c>
      <c r="E632" s="83">
        <v>45856</v>
      </c>
      <c r="F632" s="83">
        <v>45854</v>
      </c>
      <c r="G632" s="83">
        <v>45821</v>
      </c>
      <c r="H632" s="82" t="s">
        <v>1429</v>
      </c>
      <c r="I632" s="82" t="s">
        <v>22</v>
      </c>
      <c r="J632" s="84">
        <v>0</v>
      </c>
      <c r="K632" s="85">
        <v>5859.97</v>
      </c>
      <c r="L632" s="85">
        <v>6152.97</v>
      </c>
      <c r="M632" s="85">
        <v>293</v>
      </c>
      <c r="N632" s="85">
        <v>6152.97</v>
      </c>
      <c r="O632" s="85">
        <v>0</v>
      </c>
      <c r="P632" s="85">
        <v>5859.97</v>
      </c>
      <c r="Q632" s="85">
        <v>6152.97</v>
      </c>
      <c r="R632" s="85">
        <v>293</v>
      </c>
      <c r="S632" s="85">
        <v>6152.97</v>
      </c>
      <c r="T632" s="85">
        <v>0</v>
      </c>
      <c r="U632" s="82"/>
      <c r="V632" s="82" t="s">
        <v>3399</v>
      </c>
      <c r="W632" s="82" t="s">
        <v>3395</v>
      </c>
      <c r="X632" s="82" t="s">
        <v>3394</v>
      </c>
      <c r="Y632" s="82" t="s">
        <v>3393</v>
      </c>
    </row>
    <row r="633" spans="1:25" ht="10.9" customHeight="1" x14ac:dyDescent="0.2">
      <c r="A633" s="82" t="s">
        <v>2751</v>
      </c>
      <c r="B633" s="82" t="s">
        <v>1288</v>
      </c>
      <c r="C633" s="83">
        <v>45821</v>
      </c>
      <c r="D633" s="83">
        <v>45851</v>
      </c>
      <c r="E633" s="83">
        <v>45852</v>
      </c>
      <c r="F633" s="83">
        <v>45852</v>
      </c>
      <c r="G633" s="83">
        <v>45821</v>
      </c>
      <c r="H633" s="82" t="s">
        <v>1434</v>
      </c>
      <c r="I633" s="82" t="s">
        <v>51</v>
      </c>
      <c r="J633" s="84">
        <v>0.73613300000000004</v>
      </c>
      <c r="K633" s="85">
        <v>448.78</v>
      </c>
      <c r="L633" s="85">
        <v>448.78</v>
      </c>
      <c r="M633" s="85">
        <v>0</v>
      </c>
      <c r="N633" s="85">
        <v>448.78</v>
      </c>
      <c r="O633" s="85">
        <v>0</v>
      </c>
      <c r="P633" s="85">
        <v>609.64526790675052</v>
      </c>
      <c r="Q633" s="85">
        <v>609.64526790675052</v>
      </c>
      <c r="R633" s="85">
        <v>0</v>
      </c>
      <c r="S633" s="85">
        <v>614.08320000000003</v>
      </c>
      <c r="T633" s="85">
        <v>0</v>
      </c>
      <c r="U633" s="82"/>
      <c r="V633" s="82" t="s">
        <v>3399</v>
      </c>
      <c r="W633" s="82" t="s">
        <v>3395</v>
      </c>
      <c r="X633" s="82" t="s">
        <v>3394</v>
      </c>
      <c r="Y633" s="82" t="s">
        <v>3393</v>
      </c>
    </row>
    <row r="634" spans="1:25" ht="10.9" customHeight="1" x14ac:dyDescent="0.2">
      <c r="A634" s="82" t="s">
        <v>2832</v>
      </c>
      <c r="B634" s="82" t="s">
        <v>80</v>
      </c>
      <c r="C634" s="83">
        <v>45821</v>
      </c>
      <c r="D634" s="83">
        <v>45881</v>
      </c>
      <c r="E634" s="83">
        <v>45881</v>
      </c>
      <c r="F634" s="83">
        <v>45881</v>
      </c>
      <c r="G634" s="83">
        <v>45821</v>
      </c>
      <c r="H634" s="82" t="s">
        <v>1283</v>
      </c>
      <c r="I634" s="82" t="s">
        <v>22</v>
      </c>
      <c r="J634" s="84">
        <v>0</v>
      </c>
      <c r="K634" s="85">
        <v>147.56</v>
      </c>
      <c r="L634" s="85">
        <v>154.94</v>
      </c>
      <c r="M634" s="85">
        <v>7.38</v>
      </c>
      <c r="N634" s="85">
        <v>154.94</v>
      </c>
      <c r="O634" s="85">
        <v>0</v>
      </c>
      <c r="P634" s="85">
        <v>147.56</v>
      </c>
      <c r="Q634" s="85">
        <v>154.94</v>
      </c>
      <c r="R634" s="85">
        <v>7.38</v>
      </c>
      <c r="S634" s="85">
        <v>154.94</v>
      </c>
      <c r="T634" s="85">
        <v>0</v>
      </c>
      <c r="U634" s="82"/>
      <c r="V634" s="82" t="s">
        <v>3399</v>
      </c>
      <c r="W634" s="82" t="s">
        <v>3395</v>
      </c>
      <c r="X634" s="82" t="s">
        <v>3394</v>
      </c>
      <c r="Y634" s="82" t="s">
        <v>3393</v>
      </c>
    </row>
    <row r="635" spans="1:25" ht="10.9" customHeight="1" x14ac:dyDescent="0.2">
      <c r="A635" s="82" t="s">
        <v>2734</v>
      </c>
      <c r="B635" s="82" t="s">
        <v>20</v>
      </c>
      <c r="C635" s="83">
        <v>45821</v>
      </c>
      <c r="D635" s="83">
        <v>45881</v>
      </c>
      <c r="E635" s="83">
        <v>45881</v>
      </c>
      <c r="F635" s="83">
        <v>45881</v>
      </c>
      <c r="G635" s="83">
        <v>45821</v>
      </c>
      <c r="H635" s="82" t="s">
        <v>1464</v>
      </c>
      <c r="I635" s="82" t="s">
        <v>22</v>
      </c>
      <c r="J635" s="84">
        <v>0</v>
      </c>
      <c r="K635" s="85">
        <v>1839.56</v>
      </c>
      <c r="L635" s="85">
        <v>1931.54</v>
      </c>
      <c r="M635" s="85">
        <v>91.98</v>
      </c>
      <c r="N635" s="85">
        <v>1931.54</v>
      </c>
      <c r="O635" s="85">
        <v>0</v>
      </c>
      <c r="P635" s="85">
        <v>1839.56</v>
      </c>
      <c r="Q635" s="85">
        <v>1931.54</v>
      </c>
      <c r="R635" s="85">
        <v>91.98</v>
      </c>
      <c r="S635" s="85">
        <v>1931.54</v>
      </c>
      <c r="T635" s="85">
        <v>0</v>
      </c>
      <c r="U635" s="82"/>
      <c r="V635" s="82" t="s">
        <v>3399</v>
      </c>
      <c r="W635" s="82" t="s">
        <v>3395</v>
      </c>
      <c r="X635" s="82" t="s">
        <v>3394</v>
      </c>
      <c r="Y635" s="82" t="s">
        <v>3393</v>
      </c>
    </row>
    <row r="636" spans="1:25" ht="10.9" customHeight="1" x14ac:dyDescent="0.2">
      <c r="A636" s="82" t="s">
        <v>2750</v>
      </c>
      <c r="B636" s="82" t="s">
        <v>146</v>
      </c>
      <c r="C636" s="83">
        <v>45821</v>
      </c>
      <c r="D636" s="83">
        <v>45851</v>
      </c>
      <c r="E636" s="83">
        <v>45870</v>
      </c>
      <c r="F636" s="83">
        <v>45873</v>
      </c>
      <c r="G636" s="83">
        <v>45821</v>
      </c>
      <c r="H636" s="82" t="s">
        <v>1436</v>
      </c>
      <c r="I636" s="82" t="s">
        <v>22</v>
      </c>
      <c r="J636" s="84">
        <v>0</v>
      </c>
      <c r="K636" s="85">
        <v>149.6</v>
      </c>
      <c r="L636" s="85">
        <v>157.08000000000001</v>
      </c>
      <c r="M636" s="85">
        <v>7.48</v>
      </c>
      <c r="N636" s="85">
        <v>157.08000000000001</v>
      </c>
      <c r="O636" s="85">
        <v>0</v>
      </c>
      <c r="P636" s="85">
        <v>149.6</v>
      </c>
      <c r="Q636" s="85">
        <v>157.08000000000001</v>
      </c>
      <c r="R636" s="85">
        <v>7.48</v>
      </c>
      <c r="S636" s="85">
        <v>157.08000000000001</v>
      </c>
      <c r="T636" s="85">
        <v>0</v>
      </c>
      <c r="U636" s="82"/>
      <c r="V636" s="82" t="s">
        <v>3399</v>
      </c>
      <c r="W636" s="82" t="s">
        <v>3395</v>
      </c>
      <c r="X636" s="82" t="s">
        <v>3394</v>
      </c>
      <c r="Y636" s="82" t="s">
        <v>3393</v>
      </c>
    </row>
    <row r="637" spans="1:25" ht="10.9" customHeight="1" x14ac:dyDescent="0.2">
      <c r="A637" s="82" t="s">
        <v>2513</v>
      </c>
      <c r="B637" s="82" t="s">
        <v>146</v>
      </c>
      <c r="C637" s="83">
        <v>45821</v>
      </c>
      <c r="D637" s="83">
        <v>45851</v>
      </c>
      <c r="E637" s="83">
        <v>45870</v>
      </c>
      <c r="F637" s="83">
        <v>45873</v>
      </c>
      <c r="G637" s="83">
        <v>45821</v>
      </c>
      <c r="H637" s="82" t="s">
        <v>1845</v>
      </c>
      <c r="I637" s="82" t="s">
        <v>22</v>
      </c>
      <c r="J637" s="84">
        <v>0</v>
      </c>
      <c r="K637" s="85">
        <v>1185.8900000000001</v>
      </c>
      <c r="L637" s="85">
        <v>1245.19</v>
      </c>
      <c r="M637" s="85">
        <v>59.3</v>
      </c>
      <c r="N637" s="85">
        <v>1245.19</v>
      </c>
      <c r="O637" s="85">
        <v>0</v>
      </c>
      <c r="P637" s="85">
        <v>1185.8900000000001</v>
      </c>
      <c r="Q637" s="85">
        <v>1245.19</v>
      </c>
      <c r="R637" s="85">
        <v>59.3</v>
      </c>
      <c r="S637" s="85">
        <v>1245.19</v>
      </c>
      <c r="T637" s="85">
        <v>0</v>
      </c>
      <c r="U637" s="82"/>
      <c r="V637" s="82" t="s">
        <v>3399</v>
      </c>
      <c r="W637" s="82" t="s">
        <v>3395</v>
      </c>
      <c r="X637" s="82" t="s">
        <v>3394</v>
      </c>
      <c r="Y637" s="82" t="s">
        <v>3393</v>
      </c>
    </row>
    <row r="638" spans="1:25" ht="10.9" customHeight="1" x14ac:dyDescent="0.2">
      <c r="A638" s="82" t="s">
        <v>2504</v>
      </c>
      <c r="B638" s="82" t="s">
        <v>146</v>
      </c>
      <c r="C638" s="83">
        <v>45821</v>
      </c>
      <c r="D638" s="83">
        <v>45851</v>
      </c>
      <c r="E638" s="83">
        <v>45870</v>
      </c>
      <c r="F638" s="83">
        <v>45873</v>
      </c>
      <c r="G638" s="83">
        <v>45821</v>
      </c>
      <c r="H638" s="82" t="s">
        <v>1860</v>
      </c>
      <c r="I638" s="82" t="s">
        <v>22</v>
      </c>
      <c r="J638" s="84">
        <v>0</v>
      </c>
      <c r="K638" s="85">
        <v>537.73</v>
      </c>
      <c r="L638" s="85">
        <v>564.62</v>
      </c>
      <c r="M638" s="85">
        <v>26.89</v>
      </c>
      <c r="N638" s="85">
        <v>564.62</v>
      </c>
      <c r="O638" s="85">
        <v>0</v>
      </c>
      <c r="P638" s="85">
        <v>537.73</v>
      </c>
      <c r="Q638" s="85">
        <v>564.62</v>
      </c>
      <c r="R638" s="85">
        <v>26.89</v>
      </c>
      <c r="S638" s="85">
        <v>564.62</v>
      </c>
      <c r="T638" s="85">
        <v>0</v>
      </c>
      <c r="U638" s="82"/>
      <c r="V638" s="82" t="s">
        <v>3399</v>
      </c>
      <c r="W638" s="82" t="s">
        <v>3395</v>
      </c>
      <c r="X638" s="82" t="s">
        <v>3394</v>
      </c>
      <c r="Y638" s="82" t="s">
        <v>3393</v>
      </c>
    </row>
    <row r="639" spans="1:25" ht="10.9" customHeight="1" x14ac:dyDescent="0.2">
      <c r="A639" s="82" t="s">
        <v>2869</v>
      </c>
      <c r="B639" s="82" t="s">
        <v>242</v>
      </c>
      <c r="C639" s="83">
        <v>45821</v>
      </c>
      <c r="D639" s="83">
        <v>45851</v>
      </c>
      <c r="E639" s="83">
        <v>45863</v>
      </c>
      <c r="F639" s="83">
        <v>45854</v>
      </c>
      <c r="G639" s="83">
        <v>45821</v>
      </c>
      <c r="H639" s="82" t="s">
        <v>1222</v>
      </c>
      <c r="I639" s="82" t="s">
        <v>22</v>
      </c>
      <c r="J639" s="84">
        <v>0</v>
      </c>
      <c r="K639" s="85">
        <v>1422.5</v>
      </c>
      <c r="L639" s="85">
        <v>1493.63</v>
      </c>
      <c r="M639" s="85">
        <v>71.13</v>
      </c>
      <c r="N639" s="85">
        <v>1493.63</v>
      </c>
      <c r="O639" s="85">
        <v>0</v>
      </c>
      <c r="P639" s="85">
        <v>1422.5</v>
      </c>
      <c r="Q639" s="85">
        <v>1493.63</v>
      </c>
      <c r="R639" s="85">
        <v>71.13</v>
      </c>
      <c r="S639" s="85">
        <v>1493.63</v>
      </c>
      <c r="T639" s="85">
        <v>0</v>
      </c>
      <c r="U639" s="82"/>
      <c r="V639" s="82" t="s">
        <v>3399</v>
      </c>
      <c r="W639" s="82" t="s">
        <v>3395</v>
      </c>
      <c r="X639" s="82" t="s">
        <v>3394</v>
      </c>
      <c r="Y639" s="82" t="s">
        <v>3393</v>
      </c>
    </row>
    <row r="640" spans="1:25" ht="10.9" customHeight="1" x14ac:dyDescent="0.2">
      <c r="A640" s="82" t="s">
        <v>2870</v>
      </c>
      <c r="B640" s="82" t="s">
        <v>864</v>
      </c>
      <c r="C640" s="83">
        <v>45821</v>
      </c>
      <c r="D640" s="83">
        <v>45851</v>
      </c>
      <c r="E640" s="83">
        <v>45863</v>
      </c>
      <c r="F640" s="83">
        <v>45854</v>
      </c>
      <c r="G640" s="83">
        <v>45821</v>
      </c>
      <c r="H640" s="82" t="s">
        <v>1220</v>
      </c>
      <c r="I640" s="82" t="s">
        <v>22</v>
      </c>
      <c r="J640" s="84">
        <v>0</v>
      </c>
      <c r="K640" s="85">
        <v>457.66</v>
      </c>
      <c r="L640" s="85">
        <v>480.54</v>
      </c>
      <c r="M640" s="85">
        <v>22.88</v>
      </c>
      <c r="N640" s="85">
        <v>480.54</v>
      </c>
      <c r="O640" s="85">
        <v>0</v>
      </c>
      <c r="P640" s="85">
        <v>457.66</v>
      </c>
      <c r="Q640" s="85">
        <v>480.54</v>
      </c>
      <c r="R640" s="85">
        <v>22.88</v>
      </c>
      <c r="S640" s="85">
        <v>480.54</v>
      </c>
      <c r="T640" s="85">
        <v>0</v>
      </c>
      <c r="U640" s="82"/>
      <c r="V640" s="82" t="s">
        <v>3399</v>
      </c>
      <c r="W640" s="82" t="s">
        <v>3395</v>
      </c>
      <c r="X640" s="82" t="s">
        <v>3394</v>
      </c>
      <c r="Y640" s="82" t="s">
        <v>3393</v>
      </c>
    </row>
    <row r="641" spans="1:25" ht="10.9" customHeight="1" x14ac:dyDescent="0.2">
      <c r="A641" s="82" t="s">
        <v>3527</v>
      </c>
      <c r="B641" s="82" t="s">
        <v>3464</v>
      </c>
      <c r="C641" s="83">
        <v>45824</v>
      </c>
      <c r="D641" s="83">
        <v>45824</v>
      </c>
      <c r="E641" s="83">
        <v>45824</v>
      </c>
      <c r="F641" s="83">
        <v>45824</v>
      </c>
      <c r="G641" s="83">
        <v>45824</v>
      </c>
      <c r="H641" s="82" t="s">
        <v>3520</v>
      </c>
      <c r="I641" s="82" t="s">
        <v>51</v>
      </c>
      <c r="J641" s="84">
        <v>0.73674099999999998</v>
      </c>
      <c r="K641" s="85">
        <v>5025</v>
      </c>
      <c r="L641" s="85">
        <v>5025</v>
      </c>
      <c r="M641" s="85">
        <v>0</v>
      </c>
      <c r="N641" s="85">
        <v>5025</v>
      </c>
      <c r="O641" s="85">
        <v>0</v>
      </c>
      <c r="P641" s="85">
        <v>6820.578737982547</v>
      </c>
      <c r="Q641" s="85">
        <v>6820.578737982547</v>
      </c>
      <c r="R641" s="85">
        <v>0</v>
      </c>
      <c r="S641" s="85">
        <v>6944.4539999999997</v>
      </c>
      <c r="T641" s="85">
        <v>0</v>
      </c>
      <c r="U641" s="82"/>
      <c r="V641" s="82" t="s">
        <v>3399</v>
      </c>
      <c r="W641" s="82" t="s">
        <v>3395</v>
      </c>
      <c r="X641" s="82" t="s">
        <v>3394</v>
      </c>
      <c r="Y641" s="82" t="s">
        <v>3393</v>
      </c>
    </row>
    <row r="642" spans="1:25" ht="10.9" customHeight="1" x14ac:dyDescent="0.2">
      <c r="A642" s="82" t="s">
        <v>2874</v>
      </c>
      <c r="B642" s="82" t="s">
        <v>39</v>
      </c>
      <c r="C642" s="83">
        <v>45824</v>
      </c>
      <c r="D642" s="83">
        <v>45854</v>
      </c>
      <c r="E642" s="83">
        <v>45854</v>
      </c>
      <c r="F642" s="83">
        <v>45854</v>
      </c>
      <c r="G642" s="83">
        <v>45825</v>
      </c>
      <c r="H642" s="82" t="s">
        <v>1212</v>
      </c>
      <c r="I642" s="82" t="s">
        <v>22</v>
      </c>
      <c r="J642" s="84">
        <v>0</v>
      </c>
      <c r="K642" s="85">
        <v>572.4</v>
      </c>
      <c r="L642" s="85">
        <v>601.01</v>
      </c>
      <c r="M642" s="85">
        <v>28.61</v>
      </c>
      <c r="N642" s="85">
        <v>601.01</v>
      </c>
      <c r="O642" s="85">
        <v>0</v>
      </c>
      <c r="P642" s="85">
        <v>572.4</v>
      </c>
      <c r="Q642" s="85">
        <v>601.01</v>
      </c>
      <c r="R642" s="85">
        <v>28.61</v>
      </c>
      <c r="S642" s="85">
        <v>601.01</v>
      </c>
      <c r="T642" s="85">
        <v>0</v>
      </c>
      <c r="U642" s="82"/>
      <c r="V642" s="82" t="s">
        <v>3399</v>
      </c>
      <c r="W642" s="82" t="s">
        <v>3395</v>
      </c>
      <c r="X642" s="82" t="s">
        <v>3394</v>
      </c>
      <c r="Y642" s="82" t="s">
        <v>3393</v>
      </c>
    </row>
    <row r="643" spans="1:25" ht="10.9" customHeight="1" x14ac:dyDescent="0.2">
      <c r="A643" s="82" t="s">
        <v>2872</v>
      </c>
      <c r="B643" s="82" t="s">
        <v>229</v>
      </c>
      <c r="C643" s="83">
        <v>45824</v>
      </c>
      <c r="D643" s="83">
        <v>45854</v>
      </c>
      <c r="E643" s="83">
        <v>45863</v>
      </c>
      <c r="F643" s="83">
        <v>45861</v>
      </c>
      <c r="G643" s="83">
        <v>45825</v>
      </c>
      <c r="H643" s="82" t="s">
        <v>1216</v>
      </c>
      <c r="I643" s="82" t="s">
        <v>22</v>
      </c>
      <c r="J643" s="84">
        <v>0</v>
      </c>
      <c r="K643" s="85">
        <v>3048.78</v>
      </c>
      <c r="L643" s="85">
        <v>3201.22</v>
      </c>
      <c r="M643" s="85">
        <v>152.44</v>
      </c>
      <c r="N643" s="85">
        <v>3201.22</v>
      </c>
      <c r="O643" s="85">
        <v>0</v>
      </c>
      <c r="P643" s="85">
        <v>3048.78</v>
      </c>
      <c r="Q643" s="85">
        <v>3201.22</v>
      </c>
      <c r="R643" s="85">
        <v>152.44</v>
      </c>
      <c r="S643" s="85">
        <v>3201.22</v>
      </c>
      <c r="T643" s="85">
        <v>0</v>
      </c>
      <c r="U643" s="82"/>
      <c r="V643" s="82" t="s">
        <v>3399</v>
      </c>
      <c r="W643" s="82" t="s">
        <v>3395</v>
      </c>
      <c r="X643" s="82" t="s">
        <v>3394</v>
      </c>
      <c r="Y643" s="82" t="s">
        <v>3393</v>
      </c>
    </row>
    <row r="644" spans="1:25" ht="10.9" customHeight="1" x14ac:dyDescent="0.2">
      <c r="A644" s="82" t="s">
        <v>2629</v>
      </c>
      <c r="B644" s="82" t="s">
        <v>135</v>
      </c>
      <c r="C644" s="83">
        <v>45824</v>
      </c>
      <c r="D644" s="83">
        <v>45884</v>
      </c>
      <c r="E644" s="83">
        <v>45884</v>
      </c>
      <c r="F644" s="83">
        <v>45883</v>
      </c>
      <c r="G644" s="83">
        <v>45825</v>
      </c>
      <c r="H644" s="82" t="s">
        <v>3526</v>
      </c>
      <c r="I644" s="82" t="s">
        <v>22</v>
      </c>
      <c r="J644" s="84">
        <v>0</v>
      </c>
      <c r="K644" s="85">
        <v>32959.279999999999</v>
      </c>
      <c r="L644" s="85">
        <v>37243.99</v>
      </c>
      <c r="M644" s="85">
        <v>4284.71</v>
      </c>
      <c r="N644" s="85">
        <v>37243.99</v>
      </c>
      <c r="O644" s="85">
        <v>0</v>
      </c>
      <c r="P644" s="85">
        <v>32959.279999999999</v>
      </c>
      <c r="Q644" s="85">
        <v>37243.99</v>
      </c>
      <c r="R644" s="85">
        <v>4284.71</v>
      </c>
      <c r="S644" s="85">
        <v>37243.99</v>
      </c>
      <c r="T644" s="85">
        <v>0</v>
      </c>
      <c r="U644" s="82"/>
      <c r="V644" s="82" t="s">
        <v>3399</v>
      </c>
      <c r="W644" s="82" t="s">
        <v>3395</v>
      </c>
      <c r="X644" s="82" t="s">
        <v>3394</v>
      </c>
      <c r="Y644" s="82" t="s">
        <v>3393</v>
      </c>
    </row>
    <row r="645" spans="1:25" ht="10.9" customHeight="1" x14ac:dyDescent="0.2">
      <c r="A645" s="82" t="s">
        <v>2726</v>
      </c>
      <c r="B645" s="82" t="s">
        <v>20</v>
      </c>
      <c r="C645" s="83">
        <v>45824</v>
      </c>
      <c r="D645" s="83">
        <v>45884</v>
      </c>
      <c r="E645" s="83">
        <v>45884</v>
      </c>
      <c r="F645" s="83">
        <v>45996</v>
      </c>
      <c r="G645" s="83">
        <v>45825</v>
      </c>
      <c r="H645" s="82" t="s">
        <v>1478</v>
      </c>
      <c r="I645" s="82" t="s">
        <v>22</v>
      </c>
      <c r="J645" s="84">
        <v>0</v>
      </c>
      <c r="K645" s="85">
        <v>6197.11</v>
      </c>
      <c r="L645" s="85">
        <v>6506.97</v>
      </c>
      <c r="M645" s="85">
        <v>309.86</v>
      </c>
      <c r="N645" s="85">
        <v>6506.97</v>
      </c>
      <c r="O645" s="85">
        <v>0</v>
      </c>
      <c r="P645" s="85">
        <v>6197.11</v>
      </c>
      <c r="Q645" s="85">
        <v>6506.97</v>
      </c>
      <c r="R645" s="85">
        <v>309.86</v>
      </c>
      <c r="S645" s="85">
        <v>6506.97</v>
      </c>
      <c r="T645" s="85">
        <v>0</v>
      </c>
      <c r="U645" s="82"/>
      <c r="V645" s="82" t="s">
        <v>3399</v>
      </c>
      <c r="W645" s="82" t="s">
        <v>3395</v>
      </c>
      <c r="X645" s="82" t="s">
        <v>3394</v>
      </c>
      <c r="Y645" s="82" t="s">
        <v>3393</v>
      </c>
    </row>
    <row r="646" spans="1:25" ht="10.9" customHeight="1" x14ac:dyDescent="0.2">
      <c r="A646" s="82" t="s">
        <v>2422</v>
      </c>
      <c r="B646" s="82" t="s">
        <v>20</v>
      </c>
      <c r="C646" s="83">
        <v>45824</v>
      </c>
      <c r="D646" s="83">
        <v>45884</v>
      </c>
      <c r="E646" s="83">
        <v>45884</v>
      </c>
      <c r="F646" s="83">
        <v>45883</v>
      </c>
      <c r="G646" s="83">
        <v>45825</v>
      </c>
      <c r="H646" s="82" t="s">
        <v>2008</v>
      </c>
      <c r="I646" s="82" t="s">
        <v>22</v>
      </c>
      <c r="J646" s="84">
        <v>0</v>
      </c>
      <c r="K646" s="85">
        <v>5714.85</v>
      </c>
      <c r="L646" s="85">
        <v>6000.59</v>
      </c>
      <c r="M646" s="85">
        <v>285.74</v>
      </c>
      <c r="N646" s="85">
        <v>6000.59</v>
      </c>
      <c r="O646" s="85">
        <v>0</v>
      </c>
      <c r="P646" s="85">
        <v>5714.85</v>
      </c>
      <c r="Q646" s="85">
        <v>6000.59</v>
      </c>
      <c r="R646" s="85">
        <v>285.74</v>
      </c>
      <c r="S646" s="85">
        <v>6000.59</v>
      </c>
      <c r="T646" s="85">
        <v>0</v>
      </c>
      <c r="U646" s="82"/>
      <c r="V646" s="82" t="s">
        <v>3399</v>
      </c>
      <c r="W646" s="82" t="s">
        <v>3395</v>
      </c>
      <c r="X646" s="82" t="s">
        <v>3394</v>
      </c>
      <c r="Y646" s="82" t="s">
        <v>3393</v>
      </c>
    </row>
    <row r="647" spans="1:25" ht="10.9" customHeight="1" x14ac:dyDescent="0.2">
      <c r="A647" s="82" t="s">
        <v>2879</v>
      </c>
      <c r="B647" s="82" t="s">
        <v>465</v>
      </c>
      <c r="C647" s="83">
        <v>45824</v>
      </c>
      <c r="D647" s="83">
        <v>45854</v>
      </c>
      <c r="E647" s="83">
        <v>45870</v>
      </c>
      <c r="F647" s="83">
        <v>45863</v>
      </c>
      <c r="G647" s="83">
        <v>45825</v>
      </c>
      <c r="H647" s="82" t="s">
        <v>1204</v>
      </c>
      <c r="I647" s="82" t="s">
        <v>22</v>
      </c>
      <c r="J647" s="84">
        <v>0</v>
      </c>
      <c r="K647" s="85">
        <v>235.74</v>
      </c>
      <c r="L647" s="85">
        <v>266.38</v>
      </c>
      <c r="M647" s="85">
        <v>30.64</v>
      </c>
      <c r="N647" s="85">
        <v>266.38</v>
      </c>
      <c r="O647" s="85">
        <v>0</v>
      </c>
      <c r="P647" s="85">
        <v>235.74</v>
      </c>
      <c r="Q647" s="85">
        <v>266.38</v>
      </c>
      <c r="R647" s="85">
        <v>30.64</v>
      </c>
      <c r="S647" s="85">
        <v>266.38</v>
      </c>
      <c r="T647" s="85">
        <v>0</v>
      </c>
      <c r="U647" s="82"/>
      <c r="V647" s="82" t="s">
        <v>3399</v>
      </c>
      <c r="W647" s="82" t="s">
        <v>3395</v>
      </c>
      <c r="X647" s="82" t="s">
        <v>3394</v>
      </c>
      <c r="Y647" s="82" t="s">
        <v>3393</v>
      </c>
    </row>
    <row r="648" spans="1:25" ht="10.9" customHeight="1" x14ac:dyDescent="0.2">
      <c r="A648" s="82" t="s">
        <v>2858</v>
      </c>
      <c r="B648" s="82" t="s">
        <v>146</v>
      </c>
      <c r="C648" s="83">
        <v>45824</v>
      </c>
      <c r="D648" s="83">
        <v>45854</v>
      </c>
      <c r="E648" s="83">
        <v>45870</v>
      </c>
      <c r="F648" s="83">
        <v>45873</v>
      </c>
      <c r="G648" s="83">
        <v>45825</v>
      </c>
      <c r="H648" s="82" t="s">
        <v>3524</v>
      </c>
      <c r="I648" s="82" t="s">
        <v>22</v>
      </c>
      <c r="J648" s="84">
        <v>0</v>
      </c>
      <c r="K648" s="85">
        <v>454.78</v>
      </c>
      <c r="L648" s="85">
        <v>477.52</v>
      </c>
      <c r="M648" s="85">
        <v>22.74</v>
      </c>
      <c r="N648" s="85">
        <v>477.52</v>
      </c>
      <c r="O648" s="85">
        <v>0</v>
      </c>
      <c r="P648" s="85">
        <v>454.78</v>
      </c>
      <c r="Q648" s="85">
        <v>477.52</v>
      </c>
      <c r="R648" s="85">
        <v>22.74</v>
      </c>
      <c r="S648" s="85">
        <v>477.52</v>
      </c>
      <c r="T648" s="85">
        <v>0</v>
      </c>
      <c r="U648" s="82"/>
      <c r="V648" s="82" t="s">
        <v>3399</v>
      </c>
      <c r="W648" s="82" t="s">
        <v>3395</v>
      </c>
      <c r="X648" s="82" t="s">
        <v>3394</v>
      </c>
      <c r="Y648" s="82" t="s">
        <v>3393</v>
      </c>
    </row>
    <row r="649" spans="1:25" ht="10.9" customHeight="1" x14ac:dyDescent="0.2">
      <c r="A649" s="82"/>
      <c r="B649" s="82" t="s">
        <v>450</v>
      </c>
      <c r="C649" s="83">
        <v>45824</v>
      </c>
      <c r="D649" s="83">
        <v>45824</v>
      </c>
      <c r="E649" s="83">
        <v>45824</v>
      </c>
      <c r="F649" s="83">
        <v>45877</v>
      </c>
      <c r="G649" s="83">
        <v>45826</v>
      </c>
      <c r="H649" s="82" t="s">
        <v>3525</v>
      </c>
      <c r="I649" s="82" t="s">
        <v>22</v>
      </c>
      <c r="J649" s="84">
        <v>0</v>
      </c>
      <c r="K649" s="85">
        <v>-7848.62</v>
      </c>
      <c r="L649" s="85">
        <v>-7848.62</v>
      </c>
      <c r="M649" s="85">
        <v>0</v>
      </c>
      <c r="N649" s="85">
        <v>-7848.62</v>
      </c>
      <c r="O649" s="85">
        <v>0</v>
      </c>
      <c r="P649" s="85">
        <v>-7848.62</v>
      </c>
      <c r="Q649" s="85">
        <v>-7848.62</v>
      </c>
      <c r="R649" s="85">
        <v>0</v>
      </c>
      <c r="S649" s="85">
        <v>-7848.62</v>
      </c>
      <c r="T649" s="85">
        <v>0</v>
      </c>
      <c r="U649" s="82"/>
      <c r="V649" s="82" t="s">
        <v>3399</v>
      </c>
      <c r="W649" s="82" t="s">
        <v>3423</v>
      </c>
      <c r="X649" s="82" t="s">
        <v>3397</v>
      </c>
      <c r="Y649" s="82"/>
    </row>
    <row r="650" spans="1:25" ht="10.9" customHeight="1" x14ac:dyDescent="0.2">
      <c r="A650" s="82" t="s">
        <v>2535</v>
      </c>
      <c r="B650" s="82" t="s">
        <v>192</v>
      </c>
      <c r="C650" s="83">
        <v>45825</v>
      </c>
      <c r="D650" s="83">
        <v>45855</v>
      </c>
      <c r="E650" s="83">
        <v>45883</v>
      </c>
      <c r="F650" s="83">
        <v>45876</v>
      </c>
      <c r="G650" s="83">
        <v>45825</v>
      </c>
      <c r="H650" s="82" t="s">
        <v>1809</v>
      </c>
      <c r="I650" s="82" t="s">
        <v>51</v>
      </c>
      <c r="J650" s="84">
        <v>0.73161500000000002</v>
      </c>
      <c r="K650" s="85">
        <v>8543.11</v>
      </c>
      <c r="L650" s="85">
        <v>8543.11</v>
      </c>
      <c r="M650" s="85">
        <v>0</v>
      </c>
      <c r="N650" s="85">
        <v>8543.11</v>
      </c>
      <c r="O650" s="85">
        <v>0</v>
      </c>
      <c r="P650" s="85">
        <v>11677.056922014994</v>
      </c>
      <c r="Q650" s="85">
        <v>11677.056922014994</v>
      </c>
      <c r="R650" s="85">
        <v>0</v>
      </c>
      <c r="S650" s="85">
        <v>11738.911099999999</v>
      </c>
      <c r="T650" s="85">
        <v>0</v>
      </c>
      <c r="U650" s="82"/>
      <c r="V650" s="82" t="s">
        <v>3399</v>
      </c>
      <c r="W650" s="82" t="s">
        <v>3395</v>
      </c>
      <c r="X650" s="82" t="s">
        <v>3394</v>
      </c>
      <c r="Y650" s="82" t="s">
        <v>3393</v>
      </c>
    </row>
    <row r="651" spans="1:25" ht="10.9" customHeight="1" x14ac:dyDescent="0.2">
      <c r="A651" s="82" t="s">
        <v>2882</v>
      </c>
      <c r="B651" s="82" t="s">
        <v>242</v>
      </c>
      <c r="C651" s="83">
        <v>45825</v>
      </c>
      <c r="D651" s="83">
        <v>45855</v>
      </c>
      <c r="E651" s="83">
        <v>45863</v>
      </c>
      <c r="F651" s="83">
        <v>45861</v>
      </c>
      <c r="G651" s="83">
        <v>45826</v>
      </c>
      <c r="H651" s="82" t="s">
        <v>1198</v>
      </c>
      <c r="I651" s="82" t="s">
        <v>22</v>
      </c>
      <c r="J651" s="84">
        <v>0</v>
      </c>
      <c r="K651" s="85">
        <v>2627.35</v>
      </c>
      <c r="L651" s="85">
        <v>2758.72</v>
      </c>
      <c r="M651" s="85">
        <v>131.37</v>
      </c>
      <c r="N651" s="85">
        <v>2758.72</v>
      </c>
      <c r="O651" s="85">
        <v>0</v>
      </c>
      <c r="P651" s="85">
        <v>2627.35</v>
      </c>
      <c r="Q651" s="85">
        <v>2758.72</v>
      </c>
      <c r="R651" s="85">
        <v>131.37</v>
      </c>
      <c r="S651" s="85">
        <v>2758.72</v>
      </c>
      <c r="T651" s="85">
        <v>0</v>
      </c>
      <c r="U651" s="82"/>
      <c r="V651" s="82" t="s">
        <v>3399</v>
      </c>
      <c r="W651" s="82" t="s">
        <v>3395</v>
      </c>
      <c r="X651" s="82" t="s">
        <v>3394</v>
      </c>
      <c r="Y651" s="82" t="s">
        <v>3393</v>
      </c>
    </row>
    <row r="652" spans="1:25" ht="10.9" customHeight="1" x14ac:dyDescent="0.2">
      <c r="A652" s="82" t="s">
        <v>2886</v>
      </c>
      <c r="B652" s="82" t="s">
        <v>3523</v>
      </c>
      <c r="C652" s="83">
        <v>45827</v>
      </c>
      <c r="D652" s="83">
        <v>45857</v>
      </c>
      <c r="E652" s="83">
        <v>45859</v>
      </c>
      <c r="F652" s="83">
        <v>45859</v>
      </c>
      <c r="G652" s="83">
        <v>45827</v>
      </c>
      <c r="H652" s="82" t="s">
        <v>1188</v>
      </c>
      <c r="I652" s="82" t="s">
        <v>51</v>
      </c>
      <c r="J652" s="84">
        <v>0.73011400000000004</v>
      </c>
      <c r="K652" s="85">
        <v>343.4</v>
      </c>
      <c r="L652" s="85">
        <v>343.4</v>
      </c>
      <c r="M652" s="85">
        <v>0</v>
      </c>
      <c r="N652" s="85">
        <v>343.4</v>
      </c>
      <c r="O652" s="85">
        <v>0</v>
      </c>
      <c r="P652" s="85">
        <v>470.33750893696049</v>
      </c>
      <c r="Q652" s="85">
        <v>470.33750893696049</v>
      </c>
      <c r="R652" s="85">
        <v>0</v>
      </c>
      <c r="S652" s="85">
        <v>472.40480000000002</v>
      </c>
      <c r="T652" s="85">
        <v>0</v>
      </c>
      <c r="U652" s="82"/>
      <c r="V652" s="82" t="s">
        <v>3399</v>
      </c>
      <c r="W652" s="82" t="s">
        <v>3395</v>
      </c>
      <c r="X652" s="82" t="s">
        <v>3394</v>
      </c>
      <c r="Y652" s="82" t="s">
        <v>3393</v>
      </c>
    </row>
    <row r="653" spans="1:25" ht="10.9" customHeight="1" x14ac:dyDescent="0.2">
      <c r="A653" s="82" t="s">
        <v>2692</v>
      </c>
      <c r="B653" s="82" t="s">
        <v>39</v>
      </c>
      <c r="C653" s="83">
        <v>45827</v>
      </c>
      <c r="D653" s="83">
        <v>45857</v>
      </c>
      <c r="E653" s="83">
        <v>45859</v>
      </c>
      <c r="F653" s="83">
        <v>45859</v>
      </c>
      <c r="G653" s="83">
        <v>45827</v>
      </c>
      <c r="H653" s="82" t="s">
        <v>1539</v>
      </c>
      <c r="I653" s="82" t="s">
        <v>22</v>
      </c>
      <c r="J653" s="84">
        <v>0</v>
      </c>
      <c r="K653" s="85">
        <v>15825.1</v>
      </c>
      <c r="L653" s="85">
        <v>16616.349999999999</v>
      </c>
      <c r="M653" s="85">
        <v>791.25</v>
      </c>
      <c r="N653" s="85">
        <v>16616.349999999999</v>
      </c>
      <c r="O653" s="85">
        <v>0</v>
      </c>
      <c r="P653" s="85">
        <v>15825.1</v>
      </c>
      <c r="Q653" s="85">
        <v>16616.349999999999</v>
      </c>
      <c r="R653" s="85">
        <v>791.25</v>
      </c>
      <c r="S653" s="85">
        <v>16616.349999999999</v>
      </c>
      <c r="T653" s="85">
        <v>0</v>
      </c>
      <c r="U653" s="82"/>
      <c r="V653" s="82" t="s">
        <v>3399</v>
      </c>
      <c r="W653" s="82" t="s">
        <v>3395</v>
      </c>
      <c r="X653" s="82" t="s">
        <v>3394</v>
      </c>
      <c r="Y653" s="82" t="s">
        <v>3393</v>
      </c>
    </row>
    <row r="654" spans="1:25" ht="10.9" customHeight="1" x14ac:dyDescent="0.2">
      <c r="A654" s="82" t="s">
        <v>2884</v>
      </c>
      <c r="B654" s="82" t="s">
        <v>556</v>
      </c>
      <c r="C654" s="83">
        <v>45827</v>
      </c>
      <c r="D654" s="83">
        <v>45857</v>
      </c>
      <c r="E654" s="83">
        <v>45877</v>
      </c>
      <c r="F654" s="83">
        <v>45863</v>
      </c>
      <c r="G654" s="83">
        <v>45827</v>
      </c>
      <c r="H654" s="82" t="s">
        <v>1193</v>
      </c>
      <c r="I654" s="82" t="s">
        <v>22</v>
      </c>
      <c r="J654" s="84">
        <v>0</v>
      </c>
      <c r="K654" s="85">
        <v>283.8</v>
      </c>
      <c r="L654" s="85">
        <v>320.69</v>
      </c>
      <c r="M654" s="85">
        <v>36.89</v>
      </c>
      <c r="N654" s="85">
        <v>320.69</v>
      </c>
      <c r="O654" s="85">
        <v>0</v>
      </c>
      <c r="P654" s="85">
        <v>283.8</v>
      </c>
      <c r="Q654" s="85">
        <v>320.69</v>
      </c>
      <c r="R654" s="85">
        <v>36.89</v>
      </c>
      <c r="S654" s="85">
        <v>320.69</v>
      </c>
      <c r="T654" s="85">
        <v>0</v>
      </c>
      <c r="U654" s="82"/>
      <c r="V654" s="82" t="s">
        <v>3399</v>
      </c>
      <c r="W654" s="82" t="s">
        <v>3395</v>
      </c>
      <c r="X654" s="82" t="s">
        <v>3394</v>
      </c>
      <c r="Y654" s="82" t="s">
        <v>3393</v>
      </c>
    </row>
    <row r="655" spans="1:25" ht="10.9" customHeight="1" x14ac:dyDescent="0.2">
      <c r="A655" s="82" t="s">
        <v>2880</v>
      </c>
      <c r="B655" s="82" t="s">
        <v>509</v>
      </c>
      <c r="C655" s="83">
        <v>45827</v>
      </c>
      <c r="D655" s="83">
        <v>45857</v>
      </c>
      <c r="E655" s="83">
        <v>45870</v>
      </c>
      <c r="F655" s="83">
        <v>45868</v>
      </c>
      <c r="G655" s="83">
        <v>45827</v>
      </c>
      <c r="H655" s="82" t="s">
        <v>1202</v>
      </c>
      <c r="I655" s="82" t="s">
        <v>22</v>
      </c>
      <c r="J655" s="84">
        <v>0</v>
      </c>
      <c r="K655" s="85">
        <v>955.55</v>
      </c>
      <c r="L655" s="85">
        <v>1003.33</v>
      </c>
      <c r="M655" s="85">
        <v>47.78</v>
      </c>
      <c r="N655" s="85">
        <v>1003.33</v>
      </c>
      <c r="O655" s="85">
        <v>0</v>
      </c>
      <c r="P655" s="85">
        <v>955.55</v>
      </c>
      <c r="Q655" s="85">
        <v>1003.33</v>
      </c>
      <c r="R655" s="85">
        <v>47.78</v>
      </c>
      <c r="S655" s="85">
        <v>1003.33</v>
      </c>
      <c r="T655" s="85">
        <v>0</v>
      </c>
      <c r="U655" s="82"/>
      <c r="V655" s="82" t="s">
        <v>3399</v>
      </c>
      <c r="W655" s="82" t="s">
        <v>3395</v>
      </c>
      <c r="X655" s="82" t="s">
        <v>3394</v>
      </c>
      <c r="Y655" s="82" t="s">
        <v>3393</v>
      </c>
    </row>
    <row r="656" spans="1:25" ht="10.9" customHeight="1" x14ac:dyDescent="0.2">
      <c r="A656" s="82" t="s">
        <v>3521</v>
      </c>
      <c r="B656" s="82" t="s">
        <v>3464</v>
      </c>
      <c r="C656" s="83">
        <v>45828</v>
      </c>
      <c r="D656" s="83">
        <v>45828</v>
      </c>
      <c r="E656" s="83">
        <v>45828</v>
      </c>
      <c r="F656" s="83">
        <v>45828</v>
      </c>
      <c r="G656" s="83">
        <v>45845</v>
      </c>
      <c r="H656" s="82" t="s">
        <v>3520</v>
      </c>
      <c r="I656" s="82" t="s">
        <v>51</v>
      </c>
      <c r="J656" s="84">
        <v>0.72824699999999998</v>
      </c>
      <c r="K656" s="85">
        <v>-35</v>
      </c>
      <c r="L656" s="85">
        <v>-35</v>
      </c>
      <c r="M656" s="85">
        <v>0</v>
      </c>
      <c r="N656" s="85">
        <v>-35</v>
      </c>
      <c r="O656" s="85">
        <v>0</v>
      </c>
      <c r="P656" s="85">
        <v>-48.060616796224302</v>
      </c>
      <c r="Q656" s="85">
        <v>-48.060616796224302</v>
      </c>
      <c r="R656" s="85">
        <v>0</v>
      </c>
      <c r="S656" s="85">
        <v>-48.060600000000001</v>
      </c>
      <c r="T656" s="85">
        <v>0</v>
      </c>
      <c r="U656" s="82"/>
      <c r="V656" s="82" t="s">
        <v>3399</v>
      </c>
      <c r="W656" s="82" t="s">
        <v>3398</v>
      </c>
      <c r="X656" s="82" t="s">
        <v>3397</v>
      </c>
      <c r="Y656" s="82" t="s">
        <v>3393</v>
      </c>
    </row>
    <row r="657" spans="1:25" ht="10.9" customHeight="1" x14ac:dyDescent="0.2">
      <c r="A657" s="82" t="s">
        <v>3519</v>
      </c>
      <c r="B657" s="82" t="s">
        <v>3464</v>
      </c>
      <c r="C657" s="83">
        <v>45828</v>
      </c>
      <c r="D657" s="83">
        <v>45828</v>
      </c>
      <c r="E657" s="83">
        <v>45828</v>
      </c>
      <c r="F657" s="83">
        <v>45828</v>
      </c>
      <c r="G657" s="83">
        <v>45845</v>
      </c>
      <c r="H657" s="82" t="s">
        <v>1498</v>
      </c>
      <c r="I657" s="82" t="s">
        <v>51</v>
      </c>
      <c r="J657" s="84">
        <v>0.72824699999999998</v>
      </c>
      <c r="K657" s="85">
        <v>-35</v>
      </c>
      <c r="L657" s="85">
        <v>-35</v>
      </c>
      <c r="M657" s="85">
        <v>0</v>
      </c>
      <c r="N657" s="85">
        <v>-35</v>
      </c>
      <c r="O657" s="85">
        <v>0</v>
      </c>
      <c r="P657" s="85">
        <v>-48.060616796224302</v>
      </c>
      <c r="Q657" s="85">
        <v>-48.060616796224302</v>
      </c>
      <c r="R657" s="85">
        <v>0</v>
      </c>
      <c r="S657" s="85">
        <v>-48.060600000000001</v>
      </c>
      <c r="T657" s="85">
        <v>0</v>
      </c>
      <c r="U657" s="82"/>
      <c r="V657" s="82" t="s">
        <v>3399</v>
      </c>
      <c r="W657" s="82" t="s">
        <v>3398</v>
      </c>
      <c r="X657" s="82" t="s">
        <v>3397</v>
      </c>
      <c r="Y657" s="82" t="s">
        <v>3393</v>
      </c>
    </row>
    <row r="658" spans="1:25" ht="10.9" customHeight="1" x14ac:dyDescent="0.2">
      <c r="A658" s="82" t="s">
        <v>3518</v>
      </c>
      <c r="B658" s="82" t="s">
        <v>3464</v>
      </c>
      <c r="C658" s="83">
        <v>45828</v>
      </c>
      <c r="D658" s="83">
        <v>45828</v>
      </c>
      <c r="E658" s="83">
        <v>45828</v>
      </c>
      <c r="F658" s="83">
        <v>45873</v>
      </c>
      <c r="G658" s="83">
        <v>45842</v>
      </c>
      <c r="H658" s="82" t="s">
        <v>3517</v>
      </c>
      <c r="I658" s="82" t="s">
        <v>51</v>
      </c>
      <c r="J658" s="84">
        <v>0.72824699999999998</v>
      </c>
      <c r="K658" s="85">
        <v>4155.53</v>
      </c>
      <c r="L658" s="85">
        <v>4155.53</v>
      </c>
      <c r="M658" s="85">
        <v>0</v>
      </c>
      <c r="N658" s="85">
        <v>4155.53</v>
      </c>
      <c r="O658" s="85">
        <v>0</v>
      </c>
      <c r="P658" s="85">
        <v>5706.2095690061205</v>
      </c>
      <c r="Q658" s="85">
        <v>5706.2095690061205</v>
      </c>
      <c r="R658" s="85">
        <v>0</v>
      </c>
      <c r="S658" s="85">
        <v>5741.8661000000002</v>
      </c>
      <c r="T658" s="85">
        <v>0</v>
      </c>
      <c r="U658" s="82"/>
      <c r="V658" s="82" t="s">
        <v>3399</v>
      </c>
      <c r="W658" s="82" t="s">
        <v>3395</v>
      </c>
      <c r="X658" s="82" t="s">
        <v>3394</v>
      </c>
      <c r="Y658" s="82" t="s">
        <v>3393</v>
      </c>
    </row>
    <row r="659" spans="1:25" ht="10.9" customHeight="1" x14ac:dyDescent="0.2">
      <c r="A659" s="82" t="s">
        <v>2715</v>
      </c>
      <c r="B659" s="82" t="s">
        <v>3464</v>
      </c>
      <c r="C659" s="83">
        <v>45828</v>
      </c>
      <c r="D659" s="83">
        <v>45828</v>
      </c>
      <c r="E659" s="83">
        <v>45828</v>
      </c>
      <c r="F659" s="83">
        <v>45873</v>
      </c>
      <c r="G659" s="83">
        <v>45842</v>
      </c>
      <c r="H659" s="82" t="s">
        <v>3522</v>
      </c>
      <c r="I659" s="82" t="s">
        <v>51</v>
      </c>
      <c r="J659" s="84">
        <v>0.72824699999999998</v>
      </c>
      <c r="K659" s="85">
        <v>7529.47</v>
      </c>
      <c r="L659" s="85">
        <v>7529.47</v>
      </c>
      <c r="M659" s="85">
        <v>0</v>
      </c>
      <c r="N659" s="85">
        <v>7494.47</v>
      </c>
      <c r="O659" s="85">
        <v>35</v>
      </c>
      <c r="P659" s="85">
        <v>10339.170638533355</v>
      </c>
      <c r="Q659" s="85">
        <v>10339.170638533355</v>
      </c>
      <c r="R659" s="85">
        <v>0</v>
      </c>
      <c r="S659" s="85">
        <v>10434.0442</v>
      </c>
      <c r="T659" s="85">
        <v>48.03</v>
      </c>
      <c r="U659" s="82" t="s">
        <v>3401</v>
      </c>
      <c r="V659" s="82" t="s">
        <v>3396</v>
      </c>
      <c r="W659" s="82" t="s">
        <v>3395</v>
      </c>
      <c r="X659" s="82" t="s">
        <v>3394</v>
      </c>
      <c r="Y659" s="82" t="s">
        <v>3393</v>
      </c>
    </row>
    <row r="660" spans="1:25" ht="10.9" customHeight="1" x14ac:dyDescent="0.2">
      <c r="A660" s="82" t="s">
        <v>2891</v>
      </c>
      <c r="B660" s="82" t="s">
        <v>1835</v>
      </c>
      <c r="C660" s="83">
        <v>45828</v>
      </c>
      <c r="D660" s="83">
        <v>45858</v>
      </c>
      <c r="E660" s="83">
        <v>45877</v>
      </c>
      <c r="F660" s="83">
        <v>45874</v>
      </c>
      <c r="G660" s="83">
        <v>45831</v>
      </c>
      <c r="H660" s="82" t="s">
        <v>1178</v>
      </c>
      <c r="I660" s="82" t="s">
        <v>22</v>
      </c>
      <c r="J660" s="84">
        <v>0</v>
      </c>
      <c r="K660" s="85">
        <v>4331.1499999999996</v>
      </c>
      <c r="L660" s="85">
        <v>4547.72</v>
      </c>
      <c r="M660" s="85">
        <v>216.57</v>
      </c>
      <c r="N660" s="85">
        <v>4547.72</v>
      </c>
      <c r="O660" s="85">
        <v>0</v>
      </c>
      <c r="P660" s="85">
        <v>4331.1499999999996</v>
      </c>
      <c r="Q660" s="85">
        <v>4547.72</v>
      </c>
      <c r="R660" s="85">
        <v>216.57</v>
      </c>
      <c r="S660" s="85">
        <v>4547.72</v>
      </c>
      <c r="T660" s="85">
        <v>0</v>
      </c>
      <c r="U660" s="82"/>
      <c r="V660" s="82" t="s">
        <v>3399</v>
      </c>
      <c r="W660" s="82" t="s">
        <v>3395</v>
      </c>
      <c r="X660" s="82" t="s">
        <v>3394</v>
      </c>
      <c r="Y660" s="82" t="s">
        <v>3393</v>
      </c>
    </row>
    <row r="661" spans="1:25" ht="10.9" customHeight="1" x14ac:dyDescent="0.2">
      <c r="A661" s="82" t="s">
        <v>2892</v>
      </c>
      <c r="B661" s="82" t="s">
        <v>3412</v>
      </c>
      <c r="C661" s="83">
        <v>45828</v>
      </c>
      <c r="D661" s="83">
        <v>45873</v>
      </c>
      <c r="E661" s="83">
        <v>45877</v>
      </c>
      <c r="F661" s="83">
        <v>45869</v>
      </c>
      <c r="G661" s="83">
        <v>45831</v>
      </c>
      <c r="H661" s="82" t="s">
        <v>1176</v>
      </c>
      <c r="I661" s="82" t="s">
        <v>22</v>
      </c>
      <c r="J661" s="84">
        <v>0</v>
      </c>
      <c r="K661" s="85">
        <v>2497.21</v>
      </c>
      <c r="L661" s="85">
        <v>2622.07</v>
      </c>
      <c r="M661" s="85">
        <v>124.86</v>
      </c>
      <c r="N661" s="85">
        <v>2622.07</v>
      </c>
      <c r="O661" s="85">
        <v>0</v>
      </c>
      <c r="P661" s="85">
        <v>2497.21</v>
      </c>
      <c r="Q661" s="85">
        <v>2622.07</v>
      </c>
      <c r="R661" s="85">
        <v>124.86</v>
      </c>
      <c r="S661" s="85">
        <v>2622.07</v>
      </c>
      <c r="T661" s="85">
        <v>0</v>
      </c>
      <c r="U661" s="82"/>
      <c r="V661" s="82" t="s">
        <v>3399</v>
      </c>
      <c r="W661" s="82" t="s">
        <v>3395</v>
      </c>
      <c r="X661" s="82" t="s">
        <v>3394</v>
      </c>
      <c r="Y661" s="82" t="s">
        <v>3393</v>
      </c>
    </row>
    <row r="662" spans="1:25" ht="10.9" customHeight="1" x14ac:dyDescent="0.2">
      <c r="A662" s="82" t="s">
        <v>2805</v>
      </c>
      <c r="B662" s="82" t="s">
        <v>98</v>
      </c>
      <c r="C662" s="83">
        <v>45828</v>
      </c>
      <c r="D662" s="83">
        <v>45858</v>
      </c>
      <c r="E662" s="83">
        <v>45861</v>
      </c>
      <c r="F662" s="83">
        <v>45861</v>
      </c>
      <c r="G662" s="83">
        <v>45831</v>
      </c>
      <c r="H662" s="82" t="s">
        <v>1330</v>
      </c>
      <c r="I662" s="82" t="s">
        <v>22</v>
      </c>
      <c r="J662" s="84">
        <v>0</v>
      </c>
      <c r="K662" s="85">
        <v>4343.46</v>
      </c>
      <c r="L662" s="85">
        <v>4908.1099999999997</v>
      </c>
      <c r="M662" s="85">
        <v>564.65</v>
      </c>
      <c r="N662" s="85">
        <v>4908.1099999999997</v>
      </c>
      <c r="O662" s="85">
        <v>0</v>
      </c>
      <c r="P662" s="85">
        <v>4343.46</v>
      </c>
      <c r="Q662" s="85">
        <v>4908.1099999999997</v>
      </c>
      <c r="R662" s="85">
        <v>564.65</v>
      </c>
      <c r="S662" s="85">
        <v>4908.1099999999997</v>
      </c>
      <c r="T662" s="85">
        <v>0</v>
      </c>
      <c r="U662" s="82"/>
      <c r="V662" s="82" t="s">
        <v>3399</v>
      </c>
      <c r="W662" s="82" t="s">
        <v>3395</v>
      </c>
      <c r="X662" s="82" t="s">
        <v>3394</v>
      </c>
      <c r="Y662" s="82" t="s">
        <v>3393</v>
      </c>
    </row>
    <row r="663" spans="1:25" ht="10.9" customHeight="1" x14ac:dyDescent="0.2">
      <c r="A663" s="82" t="s">
        <v>2876</v>
      </c>
      <c r="B663" s="82" t="s">
        <v>98</v>
      </c>
      <c r="C663" s="83">
        <v>45828</v>
      </c>
      <c r="D663" s="83">
        <v>45858</v>
      </c>
      <c r="E663" s="83">
        <v>45861</v>
      </c>
      <c r="F663" s="83">
        <v>45861</v>
      </c>
      <c r="G663" s="83">
        <v>45831</v>
      </c>
      <c r="H663" s="82" t="s">
        <v>1208</v>
      </c>
      <c r="I663" s="82" t="s">
        <v>22</v>
      </c>
      <c r="J663" s="84">
        <v>0</v>
      </c>
      <c r="K663" s="85">
        <v>3944.87</v>
      </c>
      <c r="L663" s="85">
        <v>4457.7</v>
      </c>
      <c r="M663" s="85">
        <v>512.83000000000004</v>
      </c>
      <c r="N663" s="85">
        <v>4457.7</v>
      </c>
      <c r="O663" s="85">
        <v>0</v>
      </c>
      <c r="P663" s="85">
        <v>3944.87</v>
      </c>
      <c r="Q663" s="85">
        <v>4457.7</v>
      </c>
      <c r="R663" s="85">
        <v>512.83000000000004</v>
      </c>
      <c r="S663" s="85">
        <v>4457.7</v>
      </c>
      <c r="T663" s="85">
        <v>0</v>
      </c>
      <c r="U663" s="82"/>
      <c r="V663" s="82" t="s">
        <v>3399</v>
      </c>
      <c r="W663" s="82" t="s">
        <v>3395</v>
      </c>
      <c r="X663" s="82" t="s">
        <v>3394</v>
      </c>
      <c r="Y663" s="82" t="s">
        <v>3393</v>
      </c>
    </row>
    <row r="664" spans="1:25" ht="10.9" customHeight="1" x14ac:dyDescent="0.2">
      <c r="A664" s="82" t="s">
        <v>2719</v>
      </c>
      <c r="B664" s="82" t="s">
        <v>98</v>
      </c>
      <c r="C664" s="83">
        <v>45828</v>
      </c>
      <c r="D664" s="83">
        <v>45858</v>
      </c>
      <c r="E664" s="83">
        <v>45861</v>
      </c>
      <c r="F664" s="83">
        <v>45861</v>
      </c>
      <c r="G664" s="83">
        <v>45831</v>
      </c>
      <c r="H664" s="82" t="s">
        <v>1490</v>
      </c>
      <c r="I664" s="82" t="s">
        <v>22</v>
      </c>
      <c r="J664" s="84">
        <v>0</v>
      </c>
      <c r="K664" s="85">
        <v>995.06</v>
      </c>
      <c r="L664" s="85">
        <v>1124.42</v>
      </c>
      <c r="M664" s="85">
        <v>129.36000000000001</v>
      </c>
      <c r="N664" s="85">
        <v>1124.42</v>
      </c>
      <c r="O664" s="85">
        <v>0</v>
      </c>
      <c r="P664" s="85">
        <v>995.06</v>
      </c>
      <c r="Q664" s="85">
        <v>1124.42</v>
      </c>
      <c r="R664" s="85">
        <v>129.36000000000001</v>
      </c>
      <c r="S664" s="85">
        <v>1124.42</v>
      </c>
      <c r="T664" s="85">
        <v>0</v>
      </c>
      <c r="U664" s="82"/>
      <c r="V664" s="82" t="s">
        <v>3399</v>
      </c>
      <c r="W664" s="82" t="s">
        <v>3395</v>
      </c>
      <c r="X664" s="82" t="s">
        <v>3394</v>
      </c>
      <c r="Y664" s="82" t="s">
        <v>3393</v>
      </c>
    </row>
    <row r="665" spans="1:25" ht="10.9" customHeight="1" x14ac:dyDescent="0.2">
      <c r="A665" s="82" t="s">
        <v>2592</v>
      </c>
      <c r="B665" s="82" t="s">
        <v>129</v>
      </c>
      <c r="C665" s="83">
        <v>45831</v>
      </c>
      <c r="D665" s="83">
        <v>45891</v>
      </c>
      <c r="E665" s="83">
        <v>45891</v>
      </c>
      <c r="F665" s="82"/>
      <c r="G665" s="83">
        <v>45831</v>
      </c>
      <c r="H665" s="82" t="s">
        <v>3516</v>
      </c>
      <c r="I665" s="82" t="s">
        <v>51</v>
      </c>
      <c r="J665" s="84">
        <v>0.72805600000000004</v>
      </c>
      <c r="K665" s="85">
        <v>2264</v>
      </c>
      <c r="L665" s="85">
        <v>2264</v>
      </c>
      <c r="M665" s="85">
        <v>0</v>
      </c>
      <c r="N665" s="85">
        <v>0</v>
      </c>
      <c r="O665" s="85">
        <v>2264</v>
      </c>
      <c r="P665" s="85">
        <v>3109.6509059742657</v>
      </c>
      <c r="Q665" s="85">
        <v>3109.6509059742657</v>
      </c>
      <c r="R665" s="85">
        <v>0</v>
      </c>
      <c r="S665" s="85">
        <v>0</v>
      </c>
      <c r="T665" s="85">
        <v>3107.16</v>
      </c>
      <c r="U665" s="82" t="s">
        <v>3401</v>
      </c>
      <c r="V665" s="82" t="s">
        <v>3396</v>
      </c>
      <c r="W665" s="82" t="s">
        <v>3395</v>
      </c>
      <c r="X665" s="82" t="s">
        <v>3394</v>
      </c>
      <c r="Y665" s="82" t="s">
        <v>3393</v>
      </c>
    </row>
    <row r="666" spans="1:25" ht="10.9" customHeight="1" x14ac:dyDescent="0.2">
      <c r="A666" s="82" t="s">
        <v>2728</v>
      </c>
      <c r="B666" s="82" t="s">
        <v>129</v>
      </c>
      <c r="C666" s="83">
        <v>45831</v>
      </c>
      <c r="D666" s="83">
        <v>45891</v>
      </c>
      <c r="E666" s="83">
        <v>45891</v>
      </c>
      <c r="F666" s="82"/>
      <c r="G666" s="83">
        <v>45831</v>
      </c>
      <c r="H666" s="82" t="s">
        <v>3515</v>
      </c>
      <c r="I666" s="82" t="s">
        <v>51</v>
      </c>
      <c r="J666" s="84">
        <v>0.72805600000000004</v>
      </c>
      <c r="K666" s="85">
        <v>4141.32</v>
      </c>
      <c r="L666" s="85">
        <v>4141.32</v>
      </c>
      <c r="M666" s="85">
        <v>0</v>
      </c>
      <c r="N666" s="85">
        <v>0</v>
      </c>
      <c r="O666" s="85">
        <v>4141.32</v>
      </c>
      <c r="P666" s="85">
        <v>5688.1888206401691</v>
      </c>
      <c r="Q666" s="85">
        <v>5688.1888206401691</v>
      </c>
      <c r="R666" s="85">
        <v>0</v>
      </c>
      <c r="S666" s="85">
        <v>0</v>
      </c>
      <c r="T666" s="85">
        <v>5683.63</v>
      </c>
      <c r="U666" s="82" t="s">
        <v>3401</v>
      </c>
      <c r="V666" s="82" t="s">
        <v>3396</v>
      </c>
      <c r="W666" s="82" t="s">
        <v>3395</v>
      </c>
      <c r="X666" s="82" t="s">
        <v>3394</v>
      </c>
      <c r="Y666" s="82" t="s">
        <v>3393</v>
      </c>
    </row>
    <row r="667" spans="1:25" ht="10.9" customHeight="1" x14ac:dyDescent="0.2">
      <c r="A667" s="82" t="s">
        <v>2888</v>
      </c>
      <c r="B667" s="82" t="s">
        <v>77</v>
      </c>
      <c r="C667" s="83">
        <v>45831</v>
      </c>
      <c r="D667" s="83">
        <v>45861</v>
      </c>
      <c r="E667" s="83">
        <v>45877</v>
      </c>
      <c r="F667" s="83">
        <v>45868</v>
      </c>
      <c r="G667" s="83">
        <v>45831</v>
      </c>
      <c r="H667" s="82" t="s">
        <v>1186</v>
      </c>
      <c r="I667" s="82" t="s">
        <v>22</v>
      </c>
      <c r="J667" s="84">
        <v>0</v>
      </c>
      <c r="K667" s="85">
        <v>519.5</v>
      </c>
      <c r="L667" s="85">
        <v>545.47</v>
      </c>
      <c r="M667" s="85">
        <v>25.97</v>
      </c>
      <c r="N667" s="85">
        <v>545.47</v>
      </c>
      <c r="O667" s="85">
        <v>0</v>
      </c>
      <c r="P667" s="85">
        <v>519.5</v>
      </c>
      <c r="Q667" s="85">
        <v>545.47</v>
      </c>
      <c r="R667" s="85">
        <v>25.97</v>
      </c>
      <c r="S667" s="85">
        <v>545.47</v>
      </c>
      <c r="T667" s="85">
        <v>0</v>
      </c>
      <c r="U667" s="82"/>
      <c r="V667" s="82" t="s">
        <v>3399</v>
      </c>
      <c r="W667" s="82" t="s">
        <v>3395</v>
      </c>
      <c r="X667" s="82" t="s">
        <v>3394</v>
      </c>
      <c r="Y667" s="82" t="s">
        <v>3393</v>
      </c>
    </row>
    <row r="668" spans="1:25" ht="10.9" customHeight="1" x14ac:dyDescent="0.2">
      <c r="A668" s="82" t="s">
        <v>2811</v>
      </c>
      <c r="B668" s="82" t="s">
        <v>77</v>
      </c>
      <c r="C668" s="83">
        <v>45831</v>
      </c>
      <c r="D668" s="83">
        <v>45861</v>
      </c>
      <c r="E668" s="83">
        <v>45877</v>
      </c>
      <c r="F668" s="83">
        <v>45868</v>
      </c>
      <c r="G668" s="83">
        <v>45831</v>
      </c>
      <c r="H668" s="82" t="s">
        <v>1321</v>
      </c>
      <c r="I668" s="82" t="s">
        <v>22</v>
      </c>
      <c r="J668" s="84">
        <v>0</v>
      </c>
      <c r="K668" s="85">
        <v>5934.85</v>
      </c>
      <c r="L668" s="85">
        <v>6231.59</v>
      </c>
      <c r="M668" s="85">
        <v>296.74</v>
      </c>
      <c r="N668" s="85">
        <v>6231.59</v>
      </c>
      <c r="O668" s="85">
        <v>0</v>
      </c>
      <c r="P668" s="85">
        <v>5934.85</v>
      </c>
      <c r="Q668" s="85">
        <v>6231.59</v>
      </c>
      <c r="R668" s="85">
        <v>296.74</v>
      </c>
      <c r="S668" s="85">
        <v>6231.59</v>
      </c>
      <c r="T668" s="85">
        <v>0</v>
      </c>
      <c r="U668" s="82"/>
      <c r="V668" s="82" t="s">
        <v>3399</v>
      </c>
      <c r="W668" s="82" t="s">
        <v>3395</v>
      </c>
      <c r="X668" s="82" t="s">
        <v>3394</v>
      </c>
      <c r="Y668" s="82" t="s">
        <v>3393</v>
      </c>
    </row>
    <row r="669" spans="1:25" ht="10.9" customHeight="1" x14ac:dyDescent="0.2">
      <c r="A669" s="82" t="s">
        <v>3514</v>
      </c>
      <c r="B669" s="82" t="s">
        <v>714</v>
      </c>
      <c r="C669" s="83">
        <v>45832</v>
      </c>
      <c r="D669" s="83">
        <v>45862</v>
      </c>
      <c r="E669" s="83">
        <v>45870</v>
      </c>
      <c r="F669" s="83">
        <v>45840</v>
      </c>
      <c r="G669" s="83">
        <v>45834</v>
      </c>
      <c r="H669" s="82" t="s">
        <v>3513</v>
      </c>
      <c r="I669" s="82" t="s">
        <v>51</v>
      </c>
      <c r="J669" s="84">
        <v>0.72846500000000003</v>
      </c>
      <c r="K669" s="85">
        <v>54813.08</v>
      </c>
      <c r="L669" s="85">
        <v>54813.08</v>
      </c>
      <c r="M669" s="85">
        <v>0</v>
      </c>
      <c r="N669" s="85">
        <v>54813.08</v>
      </c>
      <c r="O669" s="85">
        <v>0</v>
      </c>
      <c r="P669" s="85">
        <v>75244.63083332761</v>
      </c>
      <c r="Q669" s="85">
        <v>75244.63083332761</v>
      </c>
      <c r="R669" s="85">
        <v>0</v>
      </c>
      <c r="S669" s="85">
        <v>74520.565100000007</v>
      </c>
      <c r="T669" s="85">
        <v>0</v>
      </c>
      <c r="U669" s="82"/>
      <c r="V669" s="82" t="s">
        <v>3399</v>
      </c>
      <c r="W669" s="82" t="s">
        <v>3395</v>
      </c>
      <c r="X669" s="82" t="s">
        <v>3394</v>
      </c>
      <c r="Y669" s="82" t="s">
        <v>3393</v>
      </c>
    </row>
    <row r="670" spans="1:25" ht="10.9" customHeight="1" x14ac:dyDescent="0.2">
      <c r="A670" s="82" t="s">
        <v>2860</v>
      </c>
      <c r="B670" s="82" t="s">
        <v>159</v>
      </c>
      <c r="C670" s="83">
        <v>45832</v>
      </c>
      <c r="D670" s="83">
        <v>45877</v>
      </c>
      <c r="E670" s="83">
        <v>45891</v>
      </c>
      <c r="F670" s="83">
        <v>45876</v>
      </c>
      <c r="G670" s="83">
        <v>45832</v>
      </c>
      <c r="H670" s="82" t="s">
        <v>1233</v>
      </c>
      <c r="I670" s="82" t="s">
        <v>51</v>
      </c>
      <c r="J670" s="84">
        <v>0.72846500000000003</v>
      </c>
      <c r="K670" s="85">
        <v>18639.400000000001</v>
      </c>
      <c r="L670" s="85">
        <v>18639.400000000001</v>
      </c>
      <c r="M670" s="85">
        <v>0</v>
      </c>
      <c r="N670" s="85">
        <v>18639.400000000001</v>
      </c>
      <c r="O670" s="85">
        <v>0</v>
      </c>
      <c r="P670" s="85">
        <v>25587.227938198816</v>
      </c>
      <c r="Q670" s="85">
        <v>25587.227938198816</v>
      </c>
      <c r="R670" s="85">
        <v>0</v>
      </c>
      <c r="S670" s="85">
        <v>25612.014899999998</v>
      </c>
      <c r="T670" s="85">
        <v>0</v>
      </c>
      <c r="U670" s="82"/>
      <c r="V670" s="82" t="s">
        <v>3399</v>
      </c>
      <c r="W670" s="82" t="s">
        <v>3395</v>
      </c>
      <c r="X670" s="82" t="s">
        <v>3394</v>
      </c>
      <c r="Y670" s="82" t="s">
        <v>3393</v>
      </c>
    </row>
    <row r="671" spans="1:25" ht="10.9" customHeight="1" x14ac:dyDescent="0.2">
      <c r="A671" s="82" t="s">
        <v>2865</v>
      </c>
      <c r="B671" s="82" t="s">
        <v>159</v>
      </c>
      <c r="C671" s="83">
        <v>45832</v>
      </c>
      <c r="D671" s="83">
        <v>45877</v>
      </c>
      <c r="E671" s="83">
        <v>45891</v>
      </c>
      <c r="F671" s="83">
        <v>45845</v>
      </c>
      <c r="G671" s="83">
        <v>45832</v>
      </c>
      <c r="H671" s="82" t="s">
        <v>1226</v>
      </c>
      <c r="I671" s="82" t="s">
        <v>51</v>
      </c>
      <c r="J671" s="84">
        <v>0.72846500000000003</v>
      </c>
      <c r="K671" s="85">
        <v>37641.019999999997</v>
      </c>
      <c r="L671" s="85">
        <v>37641.019999999997</v>
      </c>
      <c r="M671" s="85">
        <v>0</v>
      </c>
      <c r="N671" s="85">
        <v>37641.019999999997</v>
      </c>
      <c r="O671" s="85">
        <v>0</v>
      </c>
      <c r="P671" s="85">
        <v>51671.693217930857</v>
      </c>
      <c r="Q671" s="85">
        <v>51671.693217930857</v>
      </c>
      <c r="R671" s="85">
        <v>0</v>
      </c>
      <c r="S671" s="85">
        <v>51394.284899999999</v>
      </c>
      <c r="T671" s="85">
        <v>0</v>
      </c>
      <c r="U671" s="82"/>
      <c r="V671" s="82" t="s">
        <v>3399</v>
      </c>
      <c r="W671" s="82" t="s">
        <v>3395</v>
      </c>
      <c r="X671" s="82" t="s">
        <v>3394</v>
      </c>
      <c r="Y671" s="82" t="s">
        <v>3393</v>
      </c>
    </row>
    <row r="672" spans="1:25" ht="10.9" customHeight="1" x14ac:dyDescent="0.2">
      <c r="A672" s="82" t="s">
        <v>2693</v>
      </c>
      <c r="B672" s="82" t="s">
        <v>159</v>
      </c>
      <c r="C672" s="83">
        <v>45832</v>
      </c>
      <c r="D672" s="83">
        <v>45877</v>
      </c>
      <c r="E672" s="83">
        <v>45891</v>
      </c>
      <c r="F672" s="83">
        <v>45856</v>
      </c>
      <c r="G672" s="83">
        <v>45832</v>
      </c>
      <c r="H672" s="82" t="s">
        <v>1537</v>
      </c>
      <c r="I672" s="82" t="s">
        <v>51</v>
      </c>
      <c r="J672" s="84">
        <v>0.72846500000000003</v>
      </c>
      <c r="K672" s="85">
        <v>38507.360000000001</v>
      </c>
      <c r="L672" s="85">
        <v>38507.360000000001</v>
      </c>
      <c r="M672" s="85">
        <v>0</v>
      </c>
      <c r="N672" s="85">
        <v>38507.360000000001</v>
      </c>
      <c r="O672" s="85">
        <v>0</v>
      </c>
      <c r="P672" s="85">
        <v>52860.961061959053</v>
      </c>
      <c r="Q672" s="85">
        <v>52860.961061959053</v>
      </c>
      <c r="R672" s="85">
        <v>0</v>
      </c>
      <c r="S672" s="85">
        <v>52966.899899999997</v>
      </c>
      <c r="T672" s="85">
        <v>0</v>
      </c>
      <c r="U672" s="82"/>
      <c r="V672" s="82" t="s">
        <v>3399</v>
      </c>
      <c r="W672" s="82" t="s">
        <v>3395</v>
      </c>
      <c r="X672" s="82" t="s">
        <v>3394</v>
      </c>
      <c r="Y672" s="82" t="s">
        <v>3393</v>
      </c>
    </row>
    <row r="673" spans="1:25" ht="10.9" customHeight="1" x14ac:dyDescent="0.2">
      <c r="A673" s="82" t="s">
        <v>2895</v>
      </c>
      <c r="B673" s="82" t="s">
        <v>192</v>
      </c>
      <c r="C673" s="83">
        <v>45832</v>
      </c>
      <c r="D673" s="83">
        <v>45862</v>
      </c>
      <c r="E673" s="83">
        <v>45883</v>
      </c>
      <c r="F673" s="83">
        <v>45876</v>
      </c>
      <c r="G673" s="83">
        <v>45832</v>
      </c>
      <c r="H673" s="82" t="s">
        <v>1170</v>
      </c>
      <c r="I673" s="82" t="s">
        <v>51</v>
      </c>
      <c r="J673" s="84">
        <v>0.72846500000000003</v>
      </c>
      <c r="K673" s="85">
        <v>2089.7800000000002</v>
      </c>
      <c r="L673" s="85">
        <v>2089.7800000000002</v>
      </c>
      <c r="M673" s="85">
        <v>0</v>
      </c>
      <c r="N673" s="85">
        <v>2089.7800000000002</v>
      </c>
      <c r="O673" s="85">
        <v>0</v>
      </c>
      <c r="P673" s="85">
        <v>2868.7445519002285</v>
      </c>
      <c r="Q673" s="85">
        <v>2868.7445519002285</v>
      </c>
      <c r="R673" s="85">
        <v>0</v>
      </c>
      <c r="S673" s="85">
        <v>2871.5236</v>
      </c>
      <c r="T673" s="85">
        <v>0</v>
      </c>
      <c r="U673" s="82"/>
      <c r="V673" s="82" t="s">
        <v>3399</v>
      </c>
      <c r="W673" s="82" t="s">
        <v>3395</v>
      </c>
      <c r="X673" s="82" t="s">
        <v>3394</v>
      </c>
      <c r="Y673" s="82" t="s">
        <v>3393</v>
      </c>
    </row>
    <row r="674" spans="1:25" ht="10.9" customHeight="1" x14ac:dyDescent="0.2">
      <c r="A674" s="82" t="s">
        <v>2894</v>
      </c>
      <c r="B674" s="82" t="s">
        <v>556</v>
      </c>
      <c r="C674" s="83">
        <v>45832</v>
      </c>
      <c r="D674" s="83">
        <v>45862</v>
      </c>
      <c r="E674" s="83">
        <v>45877</v>
      </c>
      <c r="F674" s="83">
        <v>45876</v>
      </c>
      <c r="G674" s="83">
        <v>45832</v>
      </c>
      <c r="H674" s="82" t="s">
        <v>1172</v>
      </c>
      <c r="I674" s="82" t="s">
        <v>22</v>
      </c>
      <c r="J674" s="84">
        <v>0</v>
      </c>
      <c r="K674" s="85">
        <v>425.21</v>
      </c>
      <c r="L674" s="85">
        <v>480.49</v>
      </c>
      <c r="M674" s="85">
        <v>55.28</v>
      </c>
      <c r="N674" s="85">
        <v>480.49</v>
      </c>
      <c r="O674" s="85">
        <v>0</v>
      </c>
      <c r="P674" s="85">
        <v>425.21</v>
      </c>
      <c r="Q674" s="85">
        <v>480.49</v>
      </c>
      <c r="R674" s="85">
        <v>55.28</v>
      </c>
      <c r="S674" s="85">
        <v>480.49</v>
      </c>
      <c r="T674" s="85">
        <v>0</v>
      </c>
      <c r="U674" s="82"/>
      <c r="V674" s="82" t="s">
        <v>3399</v>
      </c>
      <c r="W674" s="82" t="s">
        <v>3395</v>
      </c>
      <c r="X674" s="82" t="s">
        <v>3394</v>
      </c>
      <c r="Y674" s="82" t="s">
        <v>3393</v>
      </c>
    </row>
    <row r="675" spans="1:25" ht="10.9" customHeight="1" x14ac:dyDescent="0.2">
      <c r="A675" s="82" t="s">
        <v>2658</v>
      </c>
      <c r="B675" s="82" t="s">
        <v>39</v>
      </c>
      <c r="C675" s="83">
        <v>45832</v>
      </c>
      <c r="D675" s="83">
        <v>45862</v>
      </c>
      <c r="E675" s="83">
        <v>45862</v>
      </c>
      <c r="F675" s="83">
        <v>45862</v>
      </c>
      <c r="G675" s="83">
        <v>45832</v>
      </c>
      <c r="H675" s="82" t="s">
        <v>1594</v>
      </c>
      <c r="I675" s="82" t="s">
        <v>22</v>
      </c>
      <c r="J675" s="84">
        <v>0</v>
      </c>
      <c r="K675" s="85">
        <v>359.28</v>
      </c>
      <c r="L675" s="85">
        <v>377.24</v>
      </c>
      <c r="M675" s="85">
        <v>17.96</v>
      </c>
      <c r="N675" s="85">
        <v>377.24</v>
      </c>
      <c r="O675" s="85">
        <v>0</v>
      </c>
      <c r="P675" s="85">
        <v>359.28</v>
      </c>
      <c r="Q675" s="85">
        <v>377.24</v>
      </c>
      <c r="R675" s="85">
        <v>17.96</v>
      </c>
      <c r="S675" s="85">
        <v>377.24</v>
      </c>
      <c r="T675" s="85">
        <v>0</v>
      </c>
      <c r="U675" s="82"/>
      <c r="V675" s="82" t="s">
        <v>3399</v>
      </c>
      <c r="W675" s="82" t="s">
        <v>3395</v>
      </c>
      <c r="X675" s="82" t="s">
        <v>3394</v>
      </c>
      <c r="Y675" s="82" t="s">
        <v>3393</v>
      </c>
    </row>
    <row r="676" spans="1:25" ht="10.9" customHeight="1" x14ac:dyDescent="0.2">
      <c r="A676" s="82" t="s">
        <v>2844</v>
      </c>
      <c r="B676" s="82" t="s">
        <v>39</v>
      </c>
      <c r="C676" s="83">
        <v>45832</v>
      </c>
      <c r="D676" s="83">
        <v>45862</v>
      </c>
      <c r="E676" s="83">
        <v>45862</v>
      </c>
      <c r="F676" s="83">
        <v>45862</v>
      </c>
      <c r="G676" s="83">
        <v>45832</v>
      </c>
      <c r="H676" s="82" t="s">
        <v>1263</v>
      </c>
      <c r="I676" s="82" t="s">
        <v>22</v>
      </c>
      <c r="J676" s="84">
        <v>0</v>
      </c>
      <c r="K676" s="85">
        <v>142.29</v>
      </c>
      <c r="L676" s="85">
        <v>149.4</v>
      </c>
      <c r="M676" s="85">
        <v>7.11</v>
      </c>
      <c r="N676" s="85">
        <v>149.4</v>
      </c>
      <c r="O676" s="85">
        <v>0</v>
      </c>
      <c r="P676" s="85">
        <v>142.29</v>
      </c>
      <c r="Q676" s="85">
        <v>149.4</v>
      </c>
      <c r="R676" s="85">
        <v>7.11</v>
      </c>
      <c r="S676" s="85">
        <v>149.4</v>
      </c>
      <c r="T676" s="85">
        <v>0</v>
      </c>
      <c r="U676" s="82"/>
      <c r="V676" s="82" t="s">
        <v>3399</v>
      </c>
      <c r="W676" s="82" t="s">
        <v>3395</v>
      </c>
      <c r="X676" s="82" t="s">
        <v>3394</v>
      </c>
      <c r="Y676" s="82" t="s">
        <v>3393</v>
      </c>
    </row>
    <row r="677" spans="1:25" ht="10.9" customHeight="1" x14ac:dyDescent="0.2">
      <c r="A677" s="82" t="s">
        <v>2903</v>
      </c>
      <c r="B677" s="82" t="s">
        <v>141</v>
      </c>
      <c r="C677" s="83">
        <v>45832</v>
      </c>
      <c r="D677" s="83">
        <v>45877</v>
      </c>
      <c r="E677" s="83">
        <v>45891</v>
      </c>
      <c r="F677" s="83">
        <v>45888</v>
      </c>
      <c r="G677" s="83">
        <v>45832</v>
      </c>
      <c r="H677" s="82" t="s">
        <v>1158</v>
      </c>
      <c r="I677" s="82" t="s">
        <v>51</v>
      </c>
      <c r="J677" s="84">
        <v>0.72846500000000003</v>
      </c>
      <c r="K677" s="85">
        <v>84.97</v>
      </c>
      <c r="L677" s="85">
        <v>84.97</v>
      </c>
      <c r="M677" s="85">
        <v>0</v>
      </c>
      <c r="N677" s="85">
        <v>84.97</v>
      </c>
      <c r="O677" s="85">
        <v>0</v>
      </c>
      <c r="P677" s="85">
        <v>116.64252915376851</v>
      </c>
      <c r="Q677" s="85">
        <v>116.64252915376851</v>
      </c>
      <c r="R677" s="85">
        <v>0</v>
      </c>
      <c r="S677" s="85">
        <v>117.3402</v>
      </c>
      <c r="T677" s="85">
        <v>0</v>
      </c>
      <c r="U677" s="82"/>
      <c r="V677" s="82" t="s">
        <v>3399</v>
      </c>
      <c r="W677" s="82" t="s">
        <v>3395</v>
      </c>
      <c r="X677" s="82" t="s">
        <v>3394</v>
      </c>
      <c r="Y677" s="82" t="s">
        <v>3393</v>
      </c>
    </row>
    <row r="678" spans="1:25" ht="10.9" customHeight="1" x14ac:dyDescent="0.2">
      <c r="A678" s="82" t="s">
        <v>2904</v>
      </c>
      <c r="B678" s="82" t="s">
        <v>141</v>
      </c>
      <c r="C678" s="83">
        <v>45832</v>
      </c>
      <c r="D678" s="83">
        <v>45877</v>
      </c>
      <c r="E678" s="83">
        <v>45891</v>
      </c>
      <c r="F678" s="83">
        <v>45888</v>
      </c>
      <c r="G678" s="83">
        <v>45832</v>
      </c>
      <c r="H678" s="82" t="s">
        <v>1156</v>
      </c>
      <c r="I678" s="82" t="s">
        <v>51</v>
      </c>
      <c r="J678" s="84">
        <v>0.72846500000000003</v>
      </c>
      <c r="K678" s="85">
        <v>197.28</v>
      </c>
      <c r="L678" s="85">
        <v>197.28</v>
      </c>
      <c r="M678" s="85">
        <v>0</v>
      </c>
      <c r="N678" s="85">
        <v>197.28</v>
      </c>
      <c r="O678" s="85">
        <v>0</v>
      </c>
      <c r="P678" s="85">
        <v>270.81603096922981</v>
      </c>
      <c r="Q678" s="85">
        <v>270.81603096922981</v>
      </c>
      <c r="R678" s="85">
        <v>0</v>
      </c>
      <c r="S678" s="85">
        <v>272.43579999999997</v>
      </c>
      <c r="T678" s="85">
        <v>0</v>
      </c>
      <c r="U678" s="82"/>
      <c r="V678" s="82" t="s">
        <v>3399</v>
      </c>
      <c r="W678" s="82" t="s">
        <v>3395</v>
      </c>
      <c r="X678" s="82" t="s">
        <v>3394</v>
      </c>
      <c r="Y678" s="82" t="s">
        <v>3393</v>
      </c>
    </row>
    <row r="679" spans="1:25" ht="10.9" customHeight="1" x14ac:dyDescent="0.2">
      <c r="A679" s="82" t="s">
        <v>2617</v>
      </c>
      <c r="B679" s="82" t="s">
        <v>149</v>
      </c>
      <c r="C679" s="83">
        <v>45833</v>
      </c>
      <c r="D679" s="83">
        <v>45833</v>
      </c>
      <c r="E679" s="83">
        <v>45833</v>
      </c>
      <c r="F679" s="83">
        <v>45833</v>
      </c>
      <c r="G679" s="83">
        <v>45834</v>
      </c>
      <c r="H679" s="82" t="s">
        <v>3511</v>
      </c>
      <c r="I679" s="82" t="s">
        <v>51</v>
      </c>
      <c r="J679" s="84">
        <v>0.729464</v>
      </c>
      <c r="K679" s="85">
        <v>698.88</v>
      </c>
      <c r="L679" s="85">
        <v>698.88</v>
      </c>
      <c r="M679" s="85">
        <v>0</v>
      </c>
      <c r="N679" s="85">
        <v>698.88</v>
      </c>
      <c r="O679" s="85">
        <v>0</v>
      </c>
      <c r="P679" s="85">
        <v>958.07332507155934</v>
      </c>
      <c r="Q679" s="85">
        <v>958.07332507155934</v>
      </c>
      <c r="R679" s="85">
        <v>0</v>
      </c>
      <c r="S679" s="85">
        <v>995.26779999999997</v>
      </c>
      <c r="T679" s="85">
        <v>0</v>
      </c>
      <c r="U679" s="82"/>
      <c r="V679" s="82" t="s">
        <v>3399</v>
      </c>
      <c r="W679" s="82" t="s">
        <v>3395</v>
      </c>
      <c r="X679" s="82" t="s">
        <v>3394</v>
      </c>
      <c r="Y679" s="82" t="s">
        <v>3393</v>
      </c>
    </row>
    <row r="680" spans="1:25" ht="10.9" customHeight="1" x14ac:dyDescent="0.2">
      <c r="A680" s="82" t="s">
        <v>2878</v>
      </c>
      <c r="B680" s="82" t="s">
        <v>149</v>
      </c>
      <c r="C680" s="83">
        <v>45833</v>
      </c>
      <c r="D680" s="83">
        <v>45863</v>
      </c>
      <c r="E680" s="83">
        <v>45863</v>
      </c>
      <c r="F680" s="83">
        <v>45894</v>
      </c>
      <c r="G680" s="83">
        <v>45834</v>
      </c>
      <c r="H680" s="82" t="s">
        <v>1206</v>
      </c>
      <c r="I680" s="82" t="s">
        <v>51</v>
      </c>
      <c r="J680" s="84">
        <v>0.729464</v>
      </c>
      <c r="K680" s="85">
        <v>662.76</v>
      </c>
      <c r="L680" s="85">
        <v>662.76</v>
      </c>
      <c r="M680" s="85">
        <v>0</v>
      </c>
      <c r="N680" s="85">
        <v>662.76</v>
      </c>
      <c r="O680" s="85">
        <v>0</v>
      </c>
      <c r="P680" s="85">
        <v>908.55751620367823</v>
      </c>
      <c r="Q680" s="85">
        <v>908.55751620367823</v>
      </c>
      <c r="R680" s="85">
        <v>0</v>
      </c>
      <c r="S680" s="85">
        <v>917.90309999999999</v>
      </c>
      <c r="T680" s="85">
        <v>0</v>
      </c>
      <c r="U680" s="82"/>
      <c r="V680" s="82" t="s">
        <v>3399</v>
      </c>
      <c r="W680" s="82" t="s">
        <v>3395</v>
      </c>
      <c r="X680" s="82" t="s">
        <v>3394</v>
      </c>
      <c r="Y680" s="82" t="s">
        <v>3393</v>
      </c>
    </row>
    <row r="681" spans="1:25" ht="10.9" customHeight="1" x14ac:dyDescent="0.2">
      <c r="A681" s="82" t="s">
        <v>2824</v>
      </c>
      <c r="B681" s="82" t="s">
        <v>369</v>
      </c>
      <c r="C681" s="83">
        <v>45833</v>
      </c>
      <c r="D681" s="83">
        <v>45833</v>
      </c>
      <c r="E681" s="83">
        <v>45833</v>
      </c>
      <c r="F681" s="83">
        <v>45833</v>
      </c>
      <c r="G681" s="83">
        <v>45833</v>
      </c>
      <c r="H681" s="82" t="s">
        <v>3512</v>
      </c>
      <c r="I681" s="82" t="s">
        <v>51</v>
      </c>
      <c r="J681" s="84">
        <v>0.72824199999999994</v>
      </c>
      <c r="K681" s="85">
        <v>20808.13</v>
      </c>
      <c r="L681" s="85">
        <v>20808.13</v>
      </c>
      <c r="M681" s="85">
        <v>0</v>
      </c>
      <c r="N681" s="85">
        <v>20808.13</v>
      </c>
      <c r="O681" s="85">
        <v>0</v>
      </c>
      <c r="P681" s="85">
        <v>28573.097953702203</v>
      </c>
      <c r="Q681" s="85">
        <v>28573.097953702203</v>
      </c>
      <c r="R681" s="85">
        <v>0</v>
      </c>
      <c r="S681" s="85">
        <v>28439.733400000001</v>
      </c>
      <c r="T681" s="85">
        <v>0</v>
      </c>
      <c r="U681" s="82"/>
      <c r="V681" s="82" t="s">
        <v>3399</v>
      </c>
      <c r="W681" s="82" t="s">
        <v>3395</v>
      </c>
      <c r="X681" s="82" t="s">
        <v>3394</v>
      </c>
      <c r="Y681" s="82" t="s">
        <v>3393</v>
      </c>
    </row>
    <row r="682" spans="1:25" ht="10.9" customHeight="1" x14ac:dyDescent="0.2">
      <c r="A682" s="82"/>
      <c r="B682" s="82" t="s">
        <v>1380</v>
      </c>
      <c r="C682" s="83">
        <v>45833</v>
      </c>
      <c r="D682" s="83">
        <v>45833</v>
      </c>
      <c r="E682" s="83">
        <v>45833</v>
      </c>
      <c r="F682" s="83">
        <v>45853</v>
      </c>
      <c r="G682" s="83">
        <v>45834</v>
      </c>
      <c r="H682" s="82" t="s">
        <v>1378</v>
      </c>
      <c r="I682" s="82" t="s">
        <v>51</v>
      </c>
      <c r="J682" s="84">
        <v>0.729464</v>
      </c>
      <c r="K682" s="85">
        <v>-28692.74</v>
      </c>
      <c r="L682" s="85">
        <v>-28692.74</v>
      </c>
      <c r="M682" s="85">
        <v>0</v>
      </c>
      <c r="N682" s="85">
        <v>-28692.74</v>
      </c>
      <c r="O682" s="85">
        <v>0</v>
      </c>
      <c r="P682" s="85">
        <v>-39334.004145509578</v>
      </c>
      <c r="Q682" s="85">
        <v>-39334.004145509578</v>
      </c>
      <c r="R682" s="85">
        <v>0</v>
      </c>
      <c r="S682" s="85">
        <v>-39334.004099999998</v>
      </c>
      <c r="T682" s="85">
        <v>0</v>
      </c>
      <c r="U682" s="82"/>
      <c r="V682" s="82" t="s">
        <v>3399</v>
      </c>
      <c r="W682" s="82" t="s">
        <v>3423</v>
      </c>
      <c r="X682" s="82" t="s">
        <v>3397</v>
      </c>
      <c r="Y682" s="82"/>
    </row>
    <row r="683" spans="1:25" ht="10.9" customHeight="1" x14ac:dyDescent="0.2">
      <c r="A683" s="82"/>
      <c r="B683" s="82" t="s">
        <v>1231</v>
      </c>
      <c r="C683" s="83">
        <v>45833</v>
      </c>
      <c r="D683" s="83">
        <v>45833</v>
      </c>
      <c r="E683" s="83">
        <v>45833</v>
      </c>
      <c r="F683" s="83">
        <v>45936</v>
      </c>
      <c r="G683" s="83">
        <v>45834</v>
      </c>
      <c r="H683" s="82" t="s">
        <v>1229</v>
      </c>
      <c r="I683" s="82" t="s">
        <v>22</v>
      </c>
      <c r="J683" s="84">
        <v>0</v>
      </c>
      <c r="K683" s="85">
        <v>-5214.38</v>
      </c>
      <c r="L683" s="85">
        <v>-5214.38</v>
      </c>
      <c r="M683" s="85">
        <v>0</v>
      </c>
      <c r="N683" s="85">
        <v>-5214.38</v>
      </c>
      <c r="O683" s="85">
        <v>0</v>
      </c>
      <c r="P683" s="85">
        <v>-5214.38</v>
      </c>
      <c r="Q683" s="85">
        <v>-5214.38</v>
      </c>
      <c r="R683" s="85">
        <v>0</v>
      </c>
      <c r="S683" s="85">
        <v>-5214.38</v>
      </c>
      <c r="T683" s="85">
        <v>0</v>
      </c>
      <c r="U683" s="82"/>
      <c r="V683" s="82" t="s">
        <v>3399</v>
      </c>
      <c r="W683" s="82" t="s">
        <v>3423</v>
      </c>
      <c r="X683" s="82" t="s">
        <v>3397</v>
      </c>
      <c r="Y683" s="82"/>
    </row>
    <row r="684" spans="1:25" ht="10.9" customHeight="1" x14ac:dyDescent="0.2">
      <c r="A684" s="82" t="s">
        <v>2912</v>
      </c>
      <c r="B684" s="82" t="s">
        <v>1144</v>
      </c>
      <c r="C684" s="83">
        <v>45834</v>
      </c>
      <c r="D684" s="83">
        <v>45864</v>
      </c>
      <c r="E684" s="83">
        <v>45864</v>
      </c>
      <c r="F684" s="83">
        <v>45884</v>
      </c>
      <c r="G684" s="83">
        <v>45834</v>
      </c>
      <c r="H684" s="82" t="s">
        <v>1143</v>
      </c>
      <c r="I684" s="82" t="s">
        <v>22</v>
      </c>
      <c r="J684" s="84">
        <v>0</v>
      </c>
      <c r="K684" s="85">
        <v>126.12</v>
      </c>
      <c r="L684" s="85">
        <v>132.43</v>
      </c>
      <c r="M684" s="85">
        <v>6.31</v>
      </c>
      <c r="N684" s="85">
        <v>132.43</v>
      </c>
      <c r="O684" s="85">
        <v>0</v>
      </c>
      <c r="P684" s="85">
        <v>126.12</v>
      </c>
      <c r="Q684" s="85">
        <v>132.43</v>
      </c>
      <c r="R684" s="85">
        <v>6.31</v>
      </c>
      <c r="S684" s="85">
        <v>132.43</v>
      </c>
      <c r="T684" s="85">
        <v>0</v>
      </c>
      <c r="U684" s="82"/>
      <c r="V684" s="82" t="s">
        <v>3399</v>
      </c>
      <c r="W684" s="82" t="s">
        <v>3395</v>
      </c>
      <c r="X684" s="82" t="s">
        <v>3394</v>
      </c>
      <c r="Y684" s="82" t="s">
        <v>3393</v>
      </c>
    </row>
    <row r="685" spans="1:25" ht="10.9" customHeight="1" x14ac:dyDescent="0.2">
      <c r="A685" s="82" t="s">
        <v>2639</v>
      </c>
      <c r="B685" s="82" t="s">
        <v>64</v>
      </c>
      <c r="C685" s="83">
        <v>45834</v>
      </c>
      <c r="D685" s="83">
        <v>45864</v>
      </c>
      <c r="E685" s="83">
        <v>45864</v>
      </c>
      <c r="F685" s="83">
        <v>45869</v>
      </c>
      <c r="G685" s="83">
        <v>45834</v>
      </c>
      <c r="H685" s="82" t="s">
        <v>1632</v>
      </c>
      <c r="I685" s="82" t="s">
        <v>22</v>
      </c>
      <c r="J685" s="84">
        <v>0</v>
      </c>
      <c r="K685" s="85">
        <v>4380</v>
      </c>
      <c r="L685" s="85">
        <v>4949.3999999999996</v>
      </c>
      <c r="M685" s="85">
        <v>569.4</v>
      </c>
      <c r="N685" s="85">
        <v>4949.3999999999996</v>
      </c>
      <c r="O685" s="85">
        <v>0</v>
      </c>
      <c r="P685" s="85">
        <v>4380</v>
      </c>
      <c r="Q685" s="85">
        <v>4949.3999999999996</v>
      </c>
      <c r="R685" s="85">
        <v>569.4</v>
      </c>
      <c r="S685" s="85">
        <v>4949.3999999999996</v>
      </c>
      <c r="T685" s="85">
        <v>0</v>
      </c>
      <c r="U685" s="82"/>
      <c r="V685" s="82" t="s">
        <v>3399</v>
      </c>
      <c r="W685" s="82" t="s">
        <v>3395</v>
      </c>
      <c r="X685" s="82" t="s">
        <v>3394</v>
      </c>
      <c r="Y685" s="82" t="s">
        <v>3393</v>
      </c>
    </row>
    <row r="686" spans="1:25" ht="10.9" customHeight="1" x14ac:dyDescent="0.2">
      <c r="A686" s="82" t="s">
        <v>2908</v>
      </c>
      <c r="B686" s="82" t="s">
        <v>141</v>
      </c>
      <c r="C686" s="83">
        <v>45838</v>
      </c>
      <c r="D686" s="83">
        <v>45883</v>
      </c>
      <c r="E686" s="83">
        <v>45883</v>
      </c>
      <c r="F686" s="83">
        <v>45902</v>
      </c>
      <c r="G686" s="83">
        <v>45838</v>
      </c>
      <c r="H686" s="82" t="s">
        <v>1150</v>
      </c>
      <c r="I686" s="82" t="s">
        <v>51</v>
      </c>
      <c r="J686" s="84">
        <v>0.73466699999999996</v>
      </c>
      <c r="K686" s="85">
        <v>339.85</v>
      </c>
      <c r="L686" s="85">
        <v>339.85</v>
      </c>
      <c r="M686" s="85">
        <v>0</v>
      </c>
      <c r="N686" s="85">
        <v>339.85</v>
      </c>
      <c r="O686" s="85">
        <v>0</v>
      </c>
      <c r="P686" s="85">
        <v>462.5905342148211</v>
      </c>
      <c r="Q686" s="85">
        <v>462.5905342148211</v>
      </c>
      <c r="R686" s="85">
        <v>0</v>
      </c>
      <c r="S686" s="85">
        <v>468.69069999999999</v>
      </c>
      <c r="T686" s="85">
        <v>0</v>
      </c>
      <c r="U686" s="82"/>
      <c r="V686" s="82" t="s">
        <v>3399</v>
      </c>
      <c r="W686" s="82" t="s">
        <v>3395</v>
      </c>
      <c r="X686" s="82" t="s">
        <v>3397</v>
      </c>
      <c r="Y686" s="82" t="s">
        <v>3393</v>
      </c>
    </row>
    <row r="687" spans="1:25" ht="10.9" customHeight="1" x14ac:dyDescent="0.2">
      <c r="A687" s="82" t="s">
        <v>2840</v>
      </c>
      <c r="B687" s="82" t="s">
        <v>1268</v>
      </c>
      <c r="C687" s="83">
        <v>45840</v>
      </c>
      <c r="D687" s="83">
        <v>45870</v>
      </c>
      <c r="E687" s="83">
        <v>45870</v>
      </c>
      <c r="F687" s="83">
        <v>45877</v>
      </c>
      <c r="G687" s="83">
        <v>45840</v>
      </c>
      <c r="H687" s="82" t="s">
        <v>1267</v>
      </c>
      <c r="I687" s="82" t="s">
        <v>22</v>
      </c>
      <c r="J687" s="84">
        <v>0</v>
      </c>
      <c r="K687" s="85">
        <v>4798.24</v>
      </c>
      <c r="L687" s="85">
        <v>5422.01</v>
      </c>
      <c r="M687" s="85">
        <v>623.77</v>
      </c>
      <c r="N687" s="85">
        <v>5422.01</v>
      </c>
      <c r="O687" s="85">
        <v>0</v>
      </c>
      <c r="P687" s="85">
        <v>4798.24</v>
      </c>
      <c r="Q687" s="85">
        <v>5422.01</v>
      </c>
      <c r="R687" s="85">
        <v>623.77</v>
      </c>
      <c r="S687" s="85">
        <v>5422.01</v>
      </c>
      <c r="T687" s="85">
        <v>0</v>
      </c>
      <c r="U687" s="82"/>
      <c r="V687" s="82" t="s">
        <v>3399</v>
      </c>
      <c r="W687" s="82" t="s">
        <v>3395</v>
      </c>
      <c r="X687" s="82" t="s">
        <v>3394</v>
      </c>
      <c r="Y687" s="82" t="s">
        <v>3393</v>
      </c>
    </row>
    <row r="688" spans="1:25" ht="10.9" customHeight="1" x14ac:dyDescent="0.2">
      <c r="A688" s="82" t="s">
        <v>2873</v>
      </c>
      <c r="B688" s="82" t="s">
        <v>109</v>
      </c>
      <c r="C688" s="83">
        <v>45840</v>
      </c>
      <c r="D688" s="83">
        <v>45840</v>
      </c>
      <c r="E688" s="83">
        <v>45840</v>
      </c>
      <c r="F688" s="83">
        <v>45859</v>
      </c>
      <c r="G688" s="83">
        <v>45840</v>
      </c>
      <c r="H688" s="82" t="s">
        <v>3509</v>
      </c>
      <c r="I688" s="82" t="s">
        <v>51</v>
      </c>
      <c r="J688" s="84">
        <v>0.73581399999999997</v>
      </c>
      <c r="K688" s="85">
        <v>12999.32</v>
      </c>
      <c r="L688" s="85">
        <v>12999.32</v>
      </c>
      <c r="M688" s="85">
        <v>0</v>
      </c>
      <c r="N688" s="85">
        <v>12999.32</v>
      </c>
      <c r="O688" s="85">
        <v>0</v>
      </c>
      <c r="P688" s="85">
        <v>17666.584218294298</v>
      </c>
      <c r="Q688" s="85">
        <v>17666.584218294298</v>
      </c>
      <c r="R688" s="85">
        <v>0</v>
      </c>
      <c r="S688" s="85">
        <v>17822.363399999998</v>
      </c>
      <c r="T688" s="85">
        <v>0</v>
      </c>
      <c r="U688" s="82"/>
      <c r="V688" s="82" t="s">
        <v>3399</v>
      </c>
      <c r="W688" s="82" t="s">
        <v>3395</v>
      </c>
      <c r="X688" s="82" t="s">
        <v>3394</v>
      </c>
      <c r="Y688" s="82" t="s">
        <v>3393</v>
      </c>
    </row>
    <row r="689" spans="1:25" ht="10.9" customHeight="1" x14ac:dyDescent="0.2">
      <c r="A689" s="82" t="s">
        <v>2916</v>
      </c>
      <c r="B689" s="82" t="s">
        <v>39</v>
      </c>
      <c r="C689" s="83">
        <v>45840</v>
      </c>
      <c r="D689" s="83">
        <v>45870</v>
      </c>
      <c r="E689" s="83">
        <v>45870</v>
      </c>
      <c r="F689" s="83">
        <v>45884</v>
      </c>
      <c r="G689" s="83">
        <v>45841</v>
      </c>
      <c r="H689" s="82" t="s">
        <v>1139</v>
      </c>
      <c r="I689" s="82" t="s">
        <v>22</v>
      </c>
      <c r="J689" s="84">
        <v>0</v>
      </c>
      <c r="K689" s="85">
        <v>198.18</v>
      </c>
      <c r="L689" s="85">
        <v>208.09</v>
      </c>
      <c r="M689" s="85">
        <v>9.91</v>
      </c>
      <c r="N689" s="85">
        <v>208.09</v>
      </c>
      <c r="O689" s="85">
        <v>0</v>
      </c>
      <c r="P689" s="85">
        <v>198.18</v>
      </c>
      <c r="Q689" s="85">
        <v>208.09</v>
      </c>
      <c r="R689" s="85">
        <v>9.91</v>
      </c>
      <c r="S689" s="85">
        <v>208.09</v>
      </c>
      <c r="T689" s="85">
        <v>0</v>
      </c>
      <c r="U689" s="82"/>
      <c r="V689" s="82" t="s">
        <v>3399</v>
      </c>
      <c r="W689" s="82" t="s">
        <v>3395</v>
      </c>
      <c r="X689" s="82" t="s">
        <v>3394</v>
      </c>
      <c r="Y689" s="82" t="s">
        <v>3393</v>
      </c>
    </row>
    <row r="690" spans="1:25" ht="10.9" customHeight="1" x14ac:dyDescent="0.2">
      <c r="A690" s="82"/>
      <c r="B690" s="82" t="s">
        <v>369</v>
      </c>
      <c r="C690" s="83">
        <v>45840</v>
      </c>
      <c r="D690" s="83">
        <v>45840</v>
      </c>
      <c r="E690" s="83">
        <v>45840</v>
      </c>
      <c r="F690" s="83">
        <v>45945</v>
      </c>
      <c r="G690" s="83">
        <v>45841</v>
      </c>
      <c r="H690" s="82" t="s">
        <v>3510</v>
      </c>
      <c r="I690" s="82" t="s">
        <v>51</v>
      </c>
      <c r="J690" s="84">
        <v>0.73581399999999997</v>
      </c>
      <c r="K690" s="85">
        <v>-20346.11</v>
      </c>
      <c r="L690" s="85">
        <v>-20346.11</v>
      </c>
      <c r="M690" s="85">
        <v>0</v>
      </c>
      <c r="N690" s="85">
        <v>-20346.11</v>
      </c>
      <c r="O690" s="85">
        <v>0</v>
      </c>
      <c r="P690" s="85">
        <v>-27651.159124452646</v>
      </c>
      <c r="Q690" s="85">
        <v>-27651.159124452646</v>
      </c>
      <c r="R690" s="85">
        <v>0</v>
      </c>
      <c r="S690" s="85">
        <v>-27651.159100000001</v>
      </c>
      <c r="T690" s="85">
        <v>0</v>
      </c>
      <c r="U690" s="82"/>
      <c r="V690" s="82" t="s">
        <v>3399</v>
      </c>
      <c r="W690" s="82" t="s">
        <v>3423</v>
      </c>
      <c r="X690" s="82" t="s">
        <v>3397</v>
      </c>
      <c r="Y690" s="82"/>
    </row>
    <row r="691" spans="1:25" ht="10.9" customHeight="1" x14ac:dyDescent="0.2">
      <c r="A691" s="82" t="s">
        <v>2724</v>
      </c>
      <c r="B691" s="82" t="s">
        <v>20</v>
      </c>
      <c r="C691" s="83">
        <v>45841</v>
      </c>
      <c r="D691" s="83">
        <v>45901</v>
      </c>
      <c r="E691" s="83">
        <v>45901</v>
      </c>
      <c r="F691" s="83">
        <v>45898</v>
      </c>
      <c r="G691" s="83">
        <v>45841</v>
      </c>
      <c r="H691" s="82" t="s">
        <v>1482</v>
      </c>
      <c r="I691" s="82" t="s">
        <v>22</v>
      </c>
      <c r="J691" s="84">
        <v>0</v>
      </c>
      <c r="K691" s="85">
        <v>9878.11</v>
      </c>
      <c r="L691" s="85">
        <v>10372.02</v>
      </c>
      <c r="M691" s="85">
        <v>493.91</v>
      </c>
      <c r="N691" s="85">
        <v>10372.02</v>
      </c>
      <c r="O691" s="85">
        <v>0</v>
      </c>
      <c r="P691" s="85">
        <v>9878.11</v>
      </c>
      <c r="Q691" s="85">
        <v>10372.02</v>
      </c>
      <c r="R691" s="85">
        <v>493.91</v>
      </c>
      <c r="S691" s="85">
        <v>10372.02</v>
      </c>
      <c r="T691" s="85">
        <v>0</v>
      </c>
      <c r="U691" s="82"/>
      <c r="V691" s="82" t="s">
        <v>3399</v>
      </c>
      <c r="W691" s="82" t="s">
        <v>3395</v>
      </c>
      <c r="X691" s="82" t="s">
        <v>3394</v>
      </c>
      <c r="Y691" s="82" t="s">
        <v>3393</v>
      </c>
    </row>
    <row r="692" spans="1:25" ht="10.9" customHeight="1" x14ac:dyDescent="0.2">
      <c r="A692" s="82" t="s">
        <v>2866</v>
      </c>
      <c r="B692" s="82" t="s">
        <v>450</v>
      </c>
      <c r="C692" s="83">
        <v>45841</v>
      </c>
      <c r="D692" s="83">
        <v>45841</v>
      </c>
      <c r="E692" s="83">
        <v>45841</v>
      </c>
      <c r="F692" s="83">
        <v>45841</v>
      </c>
      <c r="G692" s="83">
        <v>45841</v>
      </c>
      <c r="H692" s="82" t="s">
        <v>1224</v>
      </c>
      <c r="I692" s="82" t="s">
        <v>22</v>
      </c>
      <c r="J692" s="84">
        <v>0</v>
      </c>
      <c r="K692" s="85">
        <v>2775.92</v>
      </c>
      <c r="L692" s="85">
        <v>3136.79</v>
      </c>
      <c r="M692" s="85">
        <v>360.87</v>
      </c>
      <c r="N692" s="85">
        <v>3136.79</v>
      </c>
      <c r="O692" s="85">
        <v>0</v>
      </c>
      <c r="P692" s="85">
        <v>2775.92</v>
      </c>
      <c r="Q692" s="85">
        <v>3136.79</v>
      </c>
      <c r="R692" s="85">
        <v>360.87</v>
      </c>
      <c r="S692" s="85">
        <v>3136.79</v>
      </c>
      <c r="T692" s="85">
        <v>0</v>
      </c>
      <c r="U692" s="82"/>
      <c r="V692" s="82" t="s">
        <v>3399</v>
      </c>
      <c r="W692" s="82" t="s">
        <v>3395</v>
      </c>
      <c r="X692" s="82" t="s">
        <v>3394</v>
      </c>
      <c r="Y692" s="82" t="s">
        <v>3393</v>
      </c>
    </row>
    <row r="693" spans="1:25" ht="10.9" customHeight="1" x14ac:dyDescent="0.2">
      <c r="A693" s="82" t="s">
        <v>2922</v>
      </c>
      <c r="B693" s="82" t="s">
        <v>86</v>
      </c>
      <c r="C693" s="83">
        <v>45841</v>
      </c>
      <c r="D693" s="83">
        <v>45871</v>
      </c>
      <c r="E693" s="83">
        <v>45871</v>
      </c>
      <c r="F693" s="83">
        <v>45884</v>
      </c>
      <c r="G693" s="83">
        <v>45841</v>
      </c>
      <c r="H693" s="82" t="s">
        <v>1127</v>
      </c>
      <c r="I693" s="82" t="s">
        <v>22</v>
      </c>
      <c r="J693" s="84">
        <v>0</v>
      </c>
      <c r="K693" s="85">
        <v>264.91000000000003</v>
      </c>
      <c r="L693" s="85">
        <v>278.16000000000003</v>
      </c>
      <c r="M693" s="85">
        <v>13.25</v>
      </c>
      <c r="N693" s="85">
        <v>278.16000000000003</v>
      </c>
      <c r="O693" s="85">
        <v>0</v>
      </c>
      <c r="P693" s="85">
        <v>264.91000000000003</v>
      </c>
      <c r="Q693" s="85">
        <v>278.16000000000003</v>
      </c>
      <c r="R693" s="85">
        <v>13.25</v>
      </c>
      <c r="S693" s="85">
        <v>278.16000000000003</v>
      </c>
      <c r="T693" s="85">
        <v>0</v>
      </c>
      <c r="U693" s="82"/>
      <c r="V693" s="82" t="s">
        <v>3399</v>
      </c>
      <c r="W693" s="82" t="s">
        <v>3395</v>
      </c>
      <c r="X693" s="82" t="s">
        <v>3394</v>
      </c>
      <c r="Y693" s="82" t="s">
        <v>3393</v>
      </c>
    </row>
    <row r="694" spans="1:25" ht="10.9" customHeight="1" x14ac:dyDescent="0.2">
      <c r="A694" s="82" t="s">
        <v>2931</v>
      </c>
      <c r="B694" s="82" t="s">
        <v>714</v>
      </c>
      <c r="C694" s="83">
        <v>45842</v>
      </c>
      <c r="D694" s="83">
        <v>45872</v>
      </c>
      <c r="E694" s="83">
        <v>45872</v>
      </c>
      <c r="F694" s="82"/>
      <c r="G694" s="83">
        <v>45842</v>
      </c>
      <c r="H694" s="82" t="s">
        <v>3508</v>
      </c>
      <c r="I694" s="82" t="s">
        <v>51</v>
      </c>
      <c r="J694" s="84">
        <v>0.73500799999999999</v>
      </c>
      <c r="K694" s="85">
        <v>0</v>
      </c>
      <c r="L694" s="85">
        <v>0</v>
      </c>
      <c r="M694" s="85">
        <v>0</v>
      </c>
      <c r="N694" s="85">
        <v>0</v>
      </c>
      <c r="O694" s="85">
        <v>0</v>
      </c>
      <c r="P694" s="85">
        <v>0</v>
      </c>
      <c r="Q694" s="85">
        <v>0</v>
      </c>
      <c r="R694" s="85">
        <v>0</v>
      </c>
      <c r="S694" s="85">
        <v>0</v>
      </c>
      <c r="T694" s="85">
        <v>0</v>
      </c>
      <c r="U694" s="82"/>
      <c r="V694" s="82" t="s">
        <v>3399</v>
      </c>
      <c r="W694" s="82" t="s">
        <v>3395</v>
      </c>
      <c r="X694" s="82" t="s">
        <v>3394</v>
      </c>
      <c r="Y694" s="82" t="s">
        <v>3393</v>
      </c>
    </row>
    <row r="695" spans="1:25" ht="10.9" customHeight="1" x14ac:dyDescent="0.2">
      <c r="A695" s="82" t="s">
        <v>2898</v>
      </c>
      <c r="B695" s="82" t="s">
        <v>369</v>
      </c>
      <c r="C695" s="83">
        <v>45842</v>
      </c>
      <c r="D695" s="83">
        <v>45842</v>
      </c>
      <c r="E695" s="83">
        <v>45842</v>
      </c>
      <c r="F695" s="83">
        <v>45842</v>
      </c>
      <c r="G695" s="83">
        <v>45842</v>
      </c>
      <c r="H695" s="82" t="s">
        <v>3507</v>
      </c>
      <c r="I695" s="82" t="s">
        <v>51</v>
      </c>
      <c r="J695" s="84">
        <v>0.73500799999999999</v>
      </c>
      <c r="K695" s="85">
        <v>9714.65</v>
      </c>
      <c r="L695" s="85">
        <v>9714.65</v>
      </c>
      <c r="M695" s="85">
        <v>0</v>
      </c>
      <c r="N695" s="85">
        <v>9714.65</v>
      </c>
      <c r="O695" s="85">
        <v>0</v>
      </c>
      <c r="P695" s="85">
        <v>13217.067025120814</v>
      </c>
      <c r="Q695" s="85">
        <v>13217.067025120814</v>
      </c>
      <c r="R695" s="85">
        <v>0</v>
      </c>
      <c r="S695" s="85">
        <v>13202.5892</v>
      </c>
      <c r="T695" s="85">
        <v>0</v>
      </c>
      <c r="U695" s="82"/>
      <c r="V695" s="82" t="s">
        <v>3399</v>
      </c>
      <c r="W695" s="82" t="s">
        <v>3395</v>
      </c>
      <c r="X695" s="82" t="s">
        <v>3394</v>
      </c>
      <c r="Y695" s="82" t="s">
        <v>3393</v>
      </c>
    </row>
    <row r="696" spans="1:25" ht="10.9" customHeight="1" x14ac:dyDescent="0.2">
      <c r="A696" s="82" t="s">
        <v>2900</v>
      </c>
      <c r="B696" s="82" t="s">
        <v>369</v>
      </c>
      <c r="C696" s="83">
        <v>45842</v>
      </c>
      <c r="D696" s="83">
        <v>45842</v>
      </c>
      <c r="E696" s="83">
        <v>45842</v>
      </c>
      <c r="F696" s="83">
        <v>45842</v>
      </c>
      <c r="G696" s="83">
        <v>45842</v>
      </c>
      <c r="H696" s="82" t="s">
        <v>1164</v>
      </c>
      <c r="I696" s="82" t="s">
        <v>51</v>
      </c>
      <c r="J696" s="84">
        <v>0.73500799999999999</v>
      </c>
      <c r="K696" s="85">
        <v>6010.3</v>
      </c>
      <c r="L696" s="85">
        <v>6010.3</v>
      </c>
      <c r="M696" s="85">
        <v>0</v>
      </c>
      <c r="N696" s="85">
        <v>6010.3</v>
      </c>
      <c r="O696" s="85">
        <v>0</v>
      </c>
      <c r="P696" s="85">
        <v>8177.189908137053</v>
      </c>
      <c r="Q696" s="85">
        <v>8177.189908137053</v>
      </c>
      <c r="R696" s="85">
        <v>0</v>
      </c>
      <c r="S696" s="85">
        <v>8168.2329</v>
      </c>
      <c r="T696" s="85">
        <v>0</v>
      </c>
      <c r="U696" s="82"/>
      <c r="V696" s="82" t="s">
        <v>3399</v>
      </c>
      <c r="W696" s="82" t="s">
        <v>3395</v>
      </c>
      <c r="X696" s="82" t="s">
        <v>3394</v>
      </c>
      <c r="Y696" s="82" t="s">
        <v>3393</v>
      </c>
    </row>
    <row r="697" spans="1:25" ht="10.9" customHeight="1" x14ac:dyDescent="0.2">
      <c r="A697" s="82" t="s">
        <v>2924</v>
      </c>
      <c r="B697" s="82" t="s">
        <v>146</v>
      </c>
      <c r="C697" s="83">
        <v>45842</v>
      </c>
      <c r="D697" s="83">
        <v>45872</v>
      </c>
      <c r="E697" s="83">
        <v>45872</v>
      </c>
      <c r="F697" s="83">
        <v>45876</v>
      </c>
      <c r="G697" s="83">
        <v>45842</v>
      </c>
      <c r="H697" s="82" t="s">
        <v>1125</v>
      </c>
      <c r="I697" s="82" t="s">
        <v>22</v>
      </c>
      <c r="J697" s="84">
        <v>0</v>
      </c>
      <c r="K697" s="85">
        <v>7637.48</v>
      </c>
      <c r="L697" s="85">
        <v>8019.36</v>
      </c>
      <c r="M697" s="85">
        <v>381.88</v>
      </c>
      <c r="N697" s="85">
        <v>8019.36</v>
      </c>
      <c r="O697" s="85">
        <v>0</v>
      </c>
      <c r="P697" s="85">
        <v>7637.48</v>
      </c>
      <c r="Q697" s="85">
        <v>8019.36</v>
      </c>
      <c r="R697" s="85">
        <v>381.88</v>
      </c>
      <c r="S697" s="85">
        <v>8019.36</v>
      </c>
      <c r="T697" s="85">
        <v>0</v>
      </c>
      <c r="U697" s="82"/>
      <c r="V697" s="82" t="s">
        <v>3399</v>
      </c>
      <c r="W697" s="82" t="s">
        <v>3395</v>
      </c>
      <c r="X697" s="82" t="s">
        <v>3394</v>
      </c>
      <c r="Y697" s="82" t="s">
        <v>3393</v>
      </c>
    </row>
    <row r="698" spans="1:25" ht="10.9" customHeight="1" x14ac:dyDescent="0.2">
      <c r="A698" s="82" t="s">
        <v>2932</v>
      </c>
      <c r="B698" s="82" t="s">
        <v>684</v>
      </c>
      <c r="C698" s="83">
        <v>45842</v>
      </c>
      <c r="D698" s="83">
        <v>45902</v>
      </c>
      <c r="E698" s="83">
        <v>45902</v>
      </c>
      <c r="F698" s="83">
        <v>45902</v>
      </c>
      <c r="G698" s="83">
        <v>45842</v>
      </c>
      <c r="H698" s="82" t="s">
        <v>1113</v>
      </c>
      <c r="I698" s="82" t="s">
        <v>22</v>
      </c>
      <c r="J698" s="84">
        <v>0</v>
      </c>
      <c r="K698" s="85">
        <v>196.96</v>
      </c>
      <c r="L698" s="85">
        <v>206.81</v>
      </c>
      <c r="M698" s="85">
        <v>9.85</v>
      </c>
      <c r="N698" s="85">
        <v>206.81</v>
      </c>
      <c r="O698" s="85">
        <v>0</v>
      </c>
      <c r="P698" s="85">
        <v>196.96</v>
      </c>
      <c r="Q698" s="85">
        <v>206.81</v>
      </c>
      <c r="R698" s="85">
        <v>9.85</v>
      </c>
      <c r="S698" s="85">
        <v>206.81</v>
      </c>
      <c r="T698" s="85">
        <v>0</v>
      </c>
      <c r="U698" s="82"/>
      <c r="V698" s="82" t="s">
        <v>3399</v>
      </c>
      <c r="W698" s="82" t="s">
        <v>3395</v>
      </c>
      <c r="X698" s="82" t="s">
        <v>3394</v>
      </c>
      <c r="Y698" s="82" t="s">
        <v>3393</v>
      </c>
    </row>
    <row r="699" spans="1:25" ht="10.9" customHeight="1" x14ac:dyDescent="0.2">
      <c r="A699" s="82"/>
      <c r="B699" s="82" t="s">
        <v>1137</v>
      </c>
      <c r="C699" s="83">
        <v>45842</v>
      </c>
      <c r="D699" s="83">
        <v>45842</v>
      </c>
      <c r="E699" s="83">
        <v>45842</v>
      </c>
      <c r="F699" s="83">
        <v>45846</v>
      </c>
      <c r="G699" s="83">
        <v>45845</v>
      </c>
      <c r="H699" s="82" t="s">
        <v>1135</v>
      </c>
      <c r="I699" s="82" t="s">
        <v>22</v>
      </c>
      <c r="J699" s="84">
        <v>0</v>
      </c>
      <c r="K699" s="85">
        <v>-1976.69</v>
      </c>
      <c r="L699" s="85">
        <v>-1976.69</v>
      </c>
      <c r="M699" s="85">
        <v>0</v>
      </c>
      <c r="N699" s="85">
        <v>-1976.69</v>
      </c>
      <c r="O699" s="85">
        <v>0</v>
      </c>
      <c r="P699" s="85">
        <v>-1976.69</v>
      </c>
      <c r="Q699" s="85">
        <v>-1976.69</v>
      </c>
      <c r="R699" s="85">
        <v>0</v>
      </c>
      <c r="S699" s="85">
        <v>-1976.69</v>
      </c>
      <c r="T699" s="85">
        <v>0</v>
      </c>
      <c r="U699" s="82"/>
      <c r="V699" s="82" t="s">
        <v>3399</v>
      </c>
      <c r="W699" s="82" t="s">
        <v>3423</v>
      </c>
      <c r="X699" s="82" t="s">
        <v>3397</v>
      </c>
      <c r="Y699" s="82"/>
    </row>
    <row r="700" spans="1:25" ht="10.9" customHeight="1" x14ac:dyDescent="0.2">
      <c r="A700" s="82" t="s">
        <v>2416</v>
      </c>
      <c r="B700" s="82" t="s">
        <v>159</v>
      </c>
      <c r="C700" s="83">
        <v>45845</v>
      </c>
      <c r="D700" s="83">
        <v>45890</v>
      </c>
      <c r="E700" s="83">
        <v>45890</v>
      </c>
      <c r="F700" s="83">
        <v>45890</v>
      </c>
      <c r="G700" s="83">
        <v>45845</v>
      </c>
      <c r="H700" s="82" t="s">
        <v>2018</v>
      </c>
      <c r="I700" s="82" t="s">
        <v>51</v>
      </c>
      <c r="J700" s="84">
        <v>0.73239699999999996</v>
      </c>
      <c r="K700" s="85">
        <v>28632.45</v>
      </c>
      <c r="L700" s="85">
        <v>28632.45</v>
      </c>
      <c r="M700" s="85">
        <v>0</v>
      </c>
      <c r="N700" s="85">
        <v>28632.45</v>
      </c>
      <c r="O700" s="85">
        <v>0</v>
      </c>
      <c r="P700" s="85">
        <v>39094.166142133297</v>
      </c>
      <c r="Q700" s="85">
        <v>39094.166142133297</v>
      </c>
      <c r="R700" s="85">
        <v>0</v>
      </c>
      <c r="S700" s="85">
        <v>39831.464599999999</v>
      </c>
      <c r="T700" s="85">
        <v>0</v>
      </c>
      <c r="U700" s="82"/>
      <c r="V700" s="82" t="s">
        <v>3399</v>
      </c>
      <c r="W700" s="82" t="s">
        <v>3395</v>
      </c>
      <c r="X700" s="82" t="s">
        <v>3394</v>
      </c>
      <c r="Y700" s="82" t="s">
        <v>3393</v>
      </c>
    </row>
    <row r="701" spans="1:25" ht="10.9" customHeight="1" x14ac:dyDescent="0.2">
      <c r="A701" s="82" t="s">
        <v>2427</v>
      </c>
      <c r="B701" s="82" t="s">
        <v>159</v>
      </c>
      <c r="C701" s="83">
        <v>45845</v>
      </c>
      <c r="D701" s="83">
        <v>45890</v>
      </c>
      <c r="E701" s="83">
        <v>45890</v>
      </c>
      <c r="F701" s="83">
        <v>45890</v>
      </c>
      <c r="G701" s="83">
        <v>45845</v>
      </c>
      <c r="H701" s="82" t="s">
        <v>1998</v>
      </c>
      <c r="I701" s="82" t="s">
        <v>51</v>
      </c>
      <c r="J701" s="84">
        <v>0.73239699999999996</v>
      </c>
      <c r="K701" s="85">
        <v>1778.05</v>
      </c>
      <c r="L701" s="85">
        <v>1778.05</v>
      </c>
      <c r="M701" s="85">
        <v>0</v>
      </c>
      <c r="N701" s="85">
        <v>1778.05</v>
      </c>
      <c r="O701" s="85">
        <v>0</v>
      </c>
      <c r="P701" s="85">
        <v>2427.7133849537886</v>
      </c>
      <c r="Q701" s="85">
        <v>2427.7133849537886</v>
      </c>
      <c r="R701" s="85">
        <v>0</v>
      </c>
      <c r="S701" s="85">
        <v>2473.4989999999998</v>
      </c>
      <c r="T701" s="85">
        <v>0</v>
      </c>
      <c r="U701" s="82"/>
      <c r="V701" s="82" t="s">
        <v>3399</v>
      </c>
      <c r="W701" s="82" t="s">
        <v>3395</v>
      </c>
      <c r="X701" s="82" t="s">
        <v>3394</v>
      </c>
      <c r="Y701" s="82" t="s">
        <v>3393</v>
      </c>
    </row>
    <row r="702" spans="1:25" ht="10.9" customHeight="1" x14ac:dyDescent="0.2">
      <c r="A702" s="82" t="s">
        <v>2935</v>
      </c>
      <c r="B702" s="82" t="s">
        <v>77</v>
      </c>
      <c r="C702" s="83">
        <v>45846</v>
      </c>
      <c r="D702" s="83">
        <v>45876</v>
      </c>
      <c r="E702" s="83">
        <v>45876</v>
      </c>
      <c r="F702" s="83">
        <v>45868</v>
      </c>
      <c r="G702" s="83">
        <v>45846</v>
      </c>
      <c r="H702" s="82" t="s">
        <v>1109</v>
      </c>
      <c r="I702" s="82" t="s">
        <v>22</v>
      </c>
      <c r="J702" s="84">
        <v>0</v>
      </c>
      <c r="K702" s="85">
        <v>2041</v>
      </c>
      <c r="L702" s="85">
        <v>2143.0500000000002</v>
      </c>
      <c r="M702" s="85">
        <v>102.05</v>
      </c>
      <c r="N702" s="85">
        <v>2143.0500000000002</v>
      </c>
      <c r="O702" s="85">
        <v>0</v>
      </c>
      <c r="P702" s="85">
        <v>2041</v>
      </c>
      <c r="Q702" s="85">
        <v>2143.0500000000002</v>
      </c>
      <c r="R702" s="85">
        <v>102.05</v>
      </c>
      <c r="S702" s="85">
        <v>2143.0500000000002</v>
      </c>
      <c r="T702" s="85">
        <v>0</v>
      </c>
      <c r="U702" s="82"/>
      <c r="V702" s="82" t="s">
        <v>3399</v>
      </c>
      <c r="W702" s="82" t="s">
        <v>3395</v>
      </c>
      <c r="X702" s="82" t="s">
        <v>3394</v>
      </c>
      <c r="Y702" s="82" t="s">
        <v>3393</v>
      </c>
    </row>
    <row r="703" spans="1:25" ht="10.9" customHeight="1" x14ac:dyDescent="0.2">
      <c r="A703" s="82" t="s">
        <v>2917</v>
      </c>
      <c r="B703" s="82" t="s">
        <v>1137</v>
      </c>
      <c r="C703" s="83">
        <v>45846</v>
      </c>
      <c r="D703" s="83">
        <v>45846</v>
      </c>
      <c r="E703" s="83">
        <v>45846</v>
      </c>
      <c r="F703" s="83">
        <v>45846</v>
      </c>
      <c r="G703" s="83">
        <v>45847</v>
      </c>
      <c r="H703" s="82" t="s">
        <v>1136</v>
      </c>
      <c r="I703" s="82" t="s">
        <v>22</v>
      </c>
      <c r="J703" s="84">
        <v>0</v>
      </c>
      <c r="K703" s="85">
        <v>1749.28</v>
      </c>
      <c r="L703" s="85">
        <v>1976.69</v>
      </c>
      <c r="M703" s="85">
        <v>227.41</v>
      </c>
      <c r="N703" s="85">
        <v>1976.69</v>
      </c>
      <c r="O703" s="85">
        <v>0</v>
      </c>
      <c r="P703" s="85">
        <v>1749.28</v>
      </c>
      <c r="Q703" s="85">
        <v>1976.69</v>
      </c>
      <c r="R703" s="85">
        <v>227.41</v>
      </c>
      <c r="S703" s="85">
        <v>1976.69</v>
      </c>
      <c r="T703" s="85">
        <v>0</v>
      </c>
      <c r="U703" s="82"/>
      <c r="V703" s="82" t="s">
        <v>3399</v>
      </c>
      <c r="W703" s="82" t="s">
        <v>3395</v>
      </c>
      <c r="X703" s="82" t="s">
        <v>3394</v>
      </c>
      <c r="Y703" s="82" t="s">
        <v>3393</v>
      </c>
    </row>
    <row r="704" spans="1:25" ht="10.9" customHeight="1" x14ac:dyDescent="0.2">
      <c r="A704" s="82" t="s">
        <v>2940</v>
      </c>
      <c r="B704" s="82" t="s">
        <v>1100</v>
      </c>
      <c r="C704" s="83">
        <v>45847</v>
      </c>
      <c r="D704" s="83">
        <v>45877</v>
      </c>
      <c r="E704" s="83">
        <v>45877</v>
      </c>
      <c r="F704" s="83">
        <v>45877</v>
      </c>
      <c r="G704" s="83">
        <v>45847</v>
      </c>
      <c r="H704" s="82" t="s">
        <v>1099</v>
      </c>
      <c r="I704" s="82" t="s">
        <v>51</v>
      </c>
      <c r="J704" s="84">
        <v>0.73099400000000003</v>
      </c>
      <c r="K704" s="85">
        <v>11173.11</v>
      </c>
      <c r="L704" s="85">
        <v>11173.11</v>
      </c>
      <c r="M704" s="85">
        <v>0</v>
      </c>
      <c r="N704" s="85">
        <v>11173.11</v>
      </c>
      <c r="O704" s="85">
        <v>0</v>
      </c>
      <c r="P704" s="85">
        <v>15284.817659242073</v>
      </c>
      <c r="Q704" s="85">
        <v>15284.817659242073</v>
      </c>
      <c r="R704" s="85">
        <v>0</v>
      </c>
      <c r="S704" s="85">
        <v>15360.3382</v>
      </c>
      <c r="T704" s="85">
        <v>0</v>
      </c>
      <c r="U704" s="82"/>
      <c r="V704" s="82" t="s">
        <v>3399</v>
      </c>
      <c r="W704" s="82" t="s">
        <v>3395</v>
      </c>
      <c r="X704" s="82" t="s">
        <v>3394</v>
      </c>
      <c r="Y704" s="82" t="s">
        <v>3393</v>
      </c>
    </row>
    <row r="705" spans="1:25" ht="10.9" customHeight="1" x14ac:dyDescent="0.2">
      <c r="A705" s="82" t="s">
        <v>2937</v>
      </c>
      <c r="B705" s="82" t="s">
        <v>1105</v>
      </c>
      <c r="C705" s="83">
        <v>45847</v>
      </c>
      <c r="D705" s="83">
        <v>45907</v>
      </c>
      <c r="E705" s="83">
        <v>45907</v>
      </c>
      <c r="F705" s="83">
        <v>45908</v>
      </c>
      <c r="G705" s="83">
        <v>45847</v>
      </c>
      <c r="H705" s="82" t="s">
        <v>3506</v>
      </c>
      <c r="I705" s="82" t="s">
        <v>22</v>
      </c>
      <c r="J705" s="84">
        <v>0</v>
      </c>
      <c r="K705" s="85">
        <v>23.43</v>
      </c>
      <c r="L705" s="85">
        <v>26.48</v>
      </c>
      <c r="M705" s="85">
        <v>3.05</v>
      </c>
      <c r="N705" s="85">
        <v>26.48</v>
      </c>
      <c r="O705" s="85">
        <v>0</v>
      </c>
      <c r="P705" s="85">
        <v>23.43</v>
      </c>
      <c r="Q705" s="85">
        <v>26.48</v>
      </c>
      <c r="R705" s="85">
        <v>3.05</v>
      </c>
      <c r="S705" s="85">
        <v>26.48</v>
      </c>
      <c r="T705" s="85">
        <v>0</v>
      </c>
      <c r="U705" s="82"/>
      <c r="V705" s="82" t="s">
        <v>3399</v>
      </c>
      <c r="W705" s="82" t="s">
        <v>3395</v>
      </c>
      <c r="X705" s="82" t="s">
        <v>3394</v>
      </c>
      <c r="Y705" s="82" t="s">
        <v>3393</v>
      </c>
    </row>
    <row r="706" spans="1:25" ht="10.9" customHeight="1" x14ac:dyDescent="0.2">
      <c r="A706" s="82" t="s">
        <v>2871</v>
      </c>
      <c r="B706" s="82" t="s">
        <v>864</v>
      </c>
      <c r="C706" s="83">
        <v>45848</v>
      </c>
      <c r="D706" s="83">
        <v>45878</v>
      </c>
      <c r="E706" s="83">
        <v>45878</v>
      </c>
      <c r="F706" s="83">
        <v>45882</v>
      </c>
      <c r="G706" s="83">
        <v>45848</v>
      </c>
      <c r="H706" s="82" t="s">
        <v>1218</v>
      </c>
      <c r="I706" s="82" t="s">
        <v>22</v>
      </c>
      <c r="J706" s="84">
        <v>0</v>
      </c>
      <c r="K706" s="85">
        <v>683.13</v>
      </c>
      <c r="L706" s="85">
        <v>717.28</v>
      </c>
      <c r="M706" s="85">
        <v>34.15</v>
      </c>
      <c r="N706" s="85">
        <v>717.28</v>
      </c>
      <c r="O706" s="85">
        <v>0</v>
      </c>
      <c r="P706" s="85">
        <v>683.13</v>
      </c>
      <c r="Q706" s="85">
        <v>717.28</v>
      </c>
      <c r="R706" s="85">
        <v>34.15</v>
      </c>
      <c r="S706" s="85">
        <v>717.28</v>
      </c>
      <c r="T706" s="85">
        <v>0</v>
      </c>
      <c r="U706" s="82"/>
      <c r="V706" s="82" t="s">
        <v>3399</v>
      </c>
      <c r="W706" s="82" t="s">
        <v>3395</v>
      </c>
      <c r="X706" s="82" t="s">
        <v>3394</v>
      </c>
      <c r="Y706" s="82" t="s">
        <v>3393</v>
      </c>
    </row>
    <row r="707" spans="1:25" ht="10.9" customHeight="1" x14ac:dyDescent="0.2">
      <c r="A707" s="82" t="s">
        <v>2948</v>
      </c>
      <c r="B707" s="82" t="s">
        <v>684</v>
      </c>
      <c r="C707" s="83">
        <v>45848</v>
      </c>
      <c r="D707" s="83">
        <v>45908</v>
      </c>
      <c r="E707" s="83">
        <v>45908</v>
      </c>
      <c r="F707" s="83">
        <v>45905</v>
      </c>
      <c r="G707" s="83">
        <v>45848</v>
      </c>
      <c r="H707" s="82" t="s">
        <v>1084</v>
      </c>
      <c r="I707" s="82" t="s">
        <v>22</v>
      </c>
      <c r="J707" s="84">
        <v>0</v>
      </c>
      <c r="K707" s="85">
        <v>537.82000000000005</v>
      </c>
      <c r="L707" s="85">
        <v>564.71</v>
      </c>
      <c r="M707" s="85">
        <v>26.89</v>
      </c>
      <c r="N707" s="85">
        <v>564.71</v>
      </c>
      <c r="O707" s="85">
        <v>0</v>
      </c>
      <c r="P707" s="85">
        <v>537.82000000000005</v>
      </c>
      <c r="Q707" s="85">
        <v>564.71</v>
      </c>
      <c r="R707" s="85">
        <v>26.89</v>
      </c>
      <c r="S707" s="85">
        <v>564.71</v>
      </c>
      <c r="T707" s="85">
        <v>0</v>
      </c>
      <c r="U707" s="82"/>
      <c r="V707" s="82" t="s">
        <v>3399</v>
      </c>
      <c r="W707" s="82" t="s">
        <v>3395</v>
      </c>
      <c r="X707" s="82" t="s">
        <v>3394</v>
      </c>
      <c r="Y707" s="82" t="s">
        <v>3393</v>
      </c>
    </row>
    <row r="708" spans="1:25" ht="10.9" customHeight="1" x14ac:dyDescent="0.2">
      <c r="A708" s="82" t="s">
        <v>2887</v>
      </c>
      <c r="B708" s="82" t="s">
        <v>77</v>
      </c>
      <c r="C708" s="83">
        <v>45848</v>
      </c>
      <c r="D708" s="83">
        <v>45878</v>
      </c>
      <c r="E708" s="83">
        <v>45878</v>
      </c>
      <c r="F708" s="83">
        <v>45868</v>
      </c>
      <c r="G708" s="83">
        <v>45848</v>
      </c>
      <c r="H708" s="82" t="s">
        <v>1186</v>
      </c>
      <c r="I708" s="82" t="s">
        <v>22</v>
      </c>
      <c r="J708" s="84">
        <v>0</v>
      </c>
      <c r="K708" s="85">
        <v>65.959999999999994</v>
      </c>
      <c r="L708" s="85">
        <v>69.260000000000005</v>
      </c>
      <c r="M708" s="85">
        <v>3.3</v>
      </c>
      <c r="N708" s="85">
        <v>69.260000000000005</v>
      </c>
      <c r="O708" s="85">
        <v>0</v>
      </c>
      <c r="P708" s="85">
        <v>65.959999999999994</v>
      </c>
      <c r="Q708" s="85">
        <v>69.260000000000005</v>
      </c>
      <c r="R708" s="85">
        <v>3.3</v>
      </c>
      <c r="S708" s="85">
        <v>69.260000000000005</v>
      </c>
      <c r="T708" s="85">
        <v>0</v>
      </c>
      <c r="U708" s="82"/>
      <c r="V708" s="82" t="s">
        <v>3399</v>
      </c>
      <c r="W708" s="82" t="s">
        <v>3395</v>
      </c>
      <c r="X708" s="82" t="s">
        <v>3394</v>
      </c>
      <c r="Y708" s="82" t="s">
        <v>3393</v>
      </c>
    </row>
    <row r="709" spans="1:25" ht="10.9" customHeight="1" x14ac:dyDescent="0.2">
      <c r="A709" s="82" t="s">
        <v>2774</v>
      </c>
      <c r="B709" s="82" t="s">
        <v>176</v>
      </c>
      <c r="C709" s="83">
        <v>45848</v>
      </c>
      <c r="D709" s="83">
        <v>45878</v>
      </c>
      <c r="E709" s="83">
        <v>45878</v>
      </c>
      <c r="F709" s="83">
        <v>45894</v>
      </c>
      <c r="G709" s="83">
        <v>45848</v>
      </c>
      <c r="H709" s="82" t="s">
        <v>1388</v>
      </c>
      <c r="I709" s="82" t="s">
        <v>22</v>
      </c>
      <c r="J709" s="84">
        <v>0</v>
      </c>
      <c r="K709" s="85">
        <v>7759.78</v>
      </c>
      <c r="L709" s="85">
        <v>8768.5499999999993</v>
      </c>
      <c r="M709" s="85">
        <v>1008.77</v>
      </c>
      <c r="N709" s="85">
        <v>8768.5499999999993</v>
      </c>
      <c r="O709" s="85">
        <v>0</v>
      </c>
      <c r="P709" s="85">
        <v>7759.78</v>
      </c>
      <c r="Q709" s="85">
        <v>8768.5499999999993</v>
      </c>
      <c r="R709" s="85">
        <v>1008.77</v>
      </c>
      <c r="S709" s="85">
        <v>8768.5499999999993</v>
      </c>
      <c r="T709" s="85">
        <v>0</v>
      </c>
      <c r="U709" s="82"/>
      <c r="V709" s="82" t="s">
        <v>3399</v>
      </c>
      <c r="W709" s="82" t="s">
        <v>3395</v>
      </c>
      <c r="X709" s="82" t="s">
        <v>3394</v>
      </c>
      <c r="Y709" s="82" t="s">
        <v>3393</v>
      </c>
    </row>
    <row r="710" spans="1:25" ht="10.9" customHeight="1" x14ac:dyDescent="0.2">
      <c r="A710" s="82" t="s">
        <v>2564</v>
      </c>
      <c r="B710" s="82" t="s">
        <v>98</v>
      </c>
      <c r="C710" s="83">
        <v>45848</v>
      </c>
      <c r="D710" s="83">
        <v>45878</v>
      </c>
      <c r="E710" s="83">
        <v>45878</v>
      </c>
      <c r="F710" s="83">
        <v>45875</v>
      </c>
      <c r="G710" s="83">
        <v>45848</v>
      </c>
      <c r="H710" s="82" t="s">
        <v>1756</v>
      </c>
      <c r="I710" s="82" t="s">
        <v>22</v>
      </c>
      <c r="J710" s="84">
        <v>0</v>
      </c>
      <c r="K710" s="85">
        <v>12346.61</v>
      </c>
      <c r="L710" s="85">
        <v>13951.67</v>
      </c>
      <c r="M710" s="85">
        <v>1605.06</v>
      </c>
      <c r="N710" s="85">
        <v>13951.67</v>
      </c>
      <c r="O710" s="85">
        <v>0</v>
      </c>
      <c r="P710" s="85">
        <v>12346.61</v>
      </c>
      <c r="Q710" s="85">
        <v>13951.67</v>
      </c>
      <c r="R710" s="85">
        <v>1605.06</v>
      </c>
      <c r="S710" s="85">
        <v>13951.67</v>
      </c>
      <c r="T710" s="85">
        <v>0</v>
      </c>
      <c r="U710" s="82"/>
      <c r="V710" s="82" t="s">
        <v>3399</v>
      </c>
      <c r="W710" s="82" t="s">
        <v>3395</v>
      </c>
      <c r="X710" s="82" t="s">
        <v>3394</v>
      </c>
      <c r="Y710" s="82" t="s">
        <v>3393</v>
      </c>
    </row>
    <row r="711" spans="1:25" ht="10.9" customHeight="1" x14ac:dyDescent="0.2">
      <c r="A711" s="82" t="s">
        <v>2915</v>
      </c>
      <c r="B711" s="82" t="s">
        <v>98</v>
      </c>
      <c r="C711" s="83">
        <v>45848</v>
      </c>
      <c r="D711" s="83">
        <v>45878</v>
      </c>
      <c r="E711" s="83">
        <v>45878</v>
      </c>
      <c r="F711" s="83">
        <v>45875</v>
      </c>
      <c r="G711" s="83">
        <v>45848</v>
      </c>
      <c r="H711" s="82" t="s">
        <v>1141</v>
      </c>
      <c r="I711" s="82" t="s">
        <v>22</v>
      </c>
      <c r="J711" s="84">
        <v>0</v>
      </c>
      <c r="K711" s="85">
        <v>224.77</v>
      </c>
      <c r="L711" s="85">
        <v>253.99</v>
      </c>
      <c r="M711" s="85">
        <v>29.22</v>
      </c>
      <c r="N711" s="85">
        <v>253.99</v>
      </c>
      <c r="O711" s="85">
        <v>0</v>
      </c>
      <c r="P711" s="85">
        <v>224.77</v>
      </c>
      <c r="Q711" s="85">
        <v>253.99</v>
      </c>
      <c r="R711" s="85">
        <v>29.22</v>
      </c>
      <c r="S711" s="85">
        <v>253.99</v>
      </c>
      <c r="T711" s="85">
        <v>0</v>
      </c>
      <c r="U711" s="82"/>
      <c r="V711" s="82" t="s">
        <v>3399</v>
      </c>
      <c r="W711" s="82" t="s">
        <v>3395</v>
      </c>
      <c r="X711" s="82" t="s">
        <v>3394</v>
      </c>
      <c r="Y711" s="82" t="s">
        <v>3393</v>
      </c>
    </row>
    <row r="712" spans="1:25" ht="10.9" customHeight="1" x14ac:dyDescent="0.2">
      <c r="A712" s="82" t="s">
        <v>2778</v>
      </c>
      <c r="B712" s="82" t="s">
        <v>98</v>
      </c>
      <c r="C712" s="83">
        <v>45848</v>
      </c>
      <c r="D712" s="83">
        <v>45878</v>
      </c>
      <c r="E712" s="83">
        <v>45878</v>
      </c>
      <c r="F712" s="83">
        <v>45875</v>
      </c>
      <c r="G712" s="83">
        <v>45848</v>
      </c>
      <c r="H712" s="82" t="s">
        <v>1382</v>
      </c>
      <c r="I712" s="82" t="s">
        <v>22</v>
      </c>
      <c r="J712" s="84">
        <v>0</v>
      </c>
      <c r="K712" s="85">
        <v>1214.6099999999999</v>
      </c>
      <c r="L712" s="85">
        <v>1372.51</v>
      </c>
      <c r="M712" s="85">
        <v>157.9</v>
      </c>
      <c r="N712" s="85">
        <v>1372.51</v>
      </c>
      <c r="O712" s="85">
        <v>0</v>
      </c>
      <c r="P712" s="85">
        <v>1214.6099999999999</v>
      </c>
      <c r="Q712" s="85">
        <v>1372.51</v>
      </c>
      <c r="R712" s="85">
        <v>157.9</v>
      </c>
      <c r="S712" s="85">
        <v>1372.51</v>
      </c>
      <c r="T712" s="85">
        <v>0</v>
      </c>
      <c r="U712" s="82"/>
      <c r="V712" s="82" t="s">
        <v>3399</v>
      </c>
      <c r="W712" s="82" t="s">
        <v>3395</v>
      </c>
      <c r="X712" s="82" t="s">
        <v>3394</v>
      </c>
      <c r="Y712" s="82" t="s">
        <v>3393</v>
      </c>
    </row>
    <row r="713" spans="1:25" ht="10.9" customHeight="1" x14ac:dyDescent="0.2">
      <c r="A713" s="82" t="s">
        <v>2848</v>
      </c>
      <c r="B713" s="82" t="s">
        <v>98</v>
      </c>
      <c r="C713" s="83">
        <v>45848</v>
      </c>
      <c r="D713" s="83">
        <v>45878</v>
      </c>
      <c r="E713" s="83">
        <v>45878</v>
      </c>
      <c r="F713" s="83">
        <v>45875</v>
      </c>
      <c r="G713" s="83">
        <v>45848</v>
      </c>
      <c r="H713" s="82" t="s">
        <v>1254</v>
      </c>
      <c r="I713" s="82" t="s">
        <v>22</v>
      </c>
      <c r="J713" s="84">
        <v>0</v>
      </c>
      <c r="K713" s="85">
        <v>830.65</v>
      </c>
      <c r="L713" s="85">
        <v>938.62</v>
      </c>
      <c r="M713" s="85">
        <v>107.97</v>
      </c>
      <c r="N713" s="85">
        <v>938.62</v>
      </c>
      <c r="O713" s="85">
        <v>0</v>
      </c>
      <c r="P713" s="85">
        <v>830.65</v>
      </c>
      <c r="Q713" s="85">
        <v>938.62</v>
      </c>
      <c r="R713" s="85">
        <v>107.97</v>
      </c>
      <c r="S713" s="85">
        <v>938.62</v>
      </c>
      <c r="T713" s="85">
        <v>0</v>
      </c>
      <c r="U713" s="82"/>
      <c r="V713" s="82" t="s">
        <v>3399</v>
      </c>
      <c r="W713" s="82" t="s">
        <v>3395</v>
      </c>
      <c r="X713" s="82" t="s">
        <v>3394</v>
      </c>
      <c r="Y713" s="82" t="s">
        <v>3393</v>
      </c>
    </row>
    <row r="714" spans="1:25" ht="10.9" customHeight="1" x14ac:dyDescent="0.2">
      <c r="A714" s="82" t="s">
        <v>2960</v>
      </c>
      <c r="B714" s="82" t="s">
        <v>1066</v>
      </c>
      <c r="C714" s="83">
        <v>45849</v>
      </c>
      <c r="D714" s="83">
        <v>45849</v>
      </c>
      <c r="E714" s="83">
        <v>45849</v>
      </c>
      <c r="F714" s="83">
        <v>45964</v>
      </c>
      <c r="G714" s="83">
        <v>45849</v>
      </c>
      <c r="H714" s="82" t="s">
        <v>3505</v>
      </c>
      <c r="I714" s="82" t="s">
        <v>51</v>
      </c>
      <c r="J714" s="84">
        <v>0.730375</v>
      </c>
      <c r="K714" s="85">
        <v>1117.1600000000001</v>
      </c>
      <c r="L714" s="85">
        <v>1117.1600000000001</v>
      </c>
      <c r="M714" s="85">
        <v>0</v>
      </c>
      <c r="N714" s="85">
        <v>1117.1600000000001</v>
      </c>
      <c r="O714" s="85">
        <v>0</v>
      </c>
      <c r="P714" s="85">
        <v>1529.5704261509497</v>
      </c>
      <c r="Q714" s="85">
        <v>1529.5704261509497</v>
      </c>
      <c r="R714" s="85">
        <v>0</v>
      </c>
      <c r="S714" s="85">
        <v>1543.6242999999999</v>
      </c>
      <c r="T714" s="85">
        <v>0</v>
      </c>
      <c r="U714" s="82"/>
      <c r="V714" s="82" t="s">
        <v>3399</v>
      </c>
      <c r="W714" s="82" t="s">
        <v>3395</v>
      </c>
      <c r="X714" s="82" t="s">
        <v>3394</v>
      </c>
      <c r="Y714" s="82" t="s">
        <v>3393</v>
      </c>
    </row>
    <row r="715" spans="1:25" ht="10.9" customHeight="1" x14ac:dyDescent="0.2">
      <c r="A715" s="82" t="s">
        <v>2954</v>
      </c>
      <c r="B715" s="82" t="s">
        <v>146</v>
      </c>
      <c r="C715" s="83">
        <v>45849</v>
      </c>
      <c r="D715" s="83">
        <v>45879</v>
      </c>
      <c r="E715" s="83">
        <v>45879</v>
      </c>
      <c r="F715" s="83">
        <v>45883</v>
      </c>
      <c r="G715" s="83">
        <v>45849</v>
      </c>
      <c r="H715" s="82" t="s">
        <v>1076</v>
      </c>
      <c r="I715" s="82" t="s">
        <v>22</v>
      </c>
      <c r="J715" s="84">
        <v>0</v>
      </c>
      <c r="K715" s="85">
        <v>213.9</v>
      </c>
      <c r="L715" s="85">
        <v>224.6</v>
      </c>
      <c r="M715" s="85">
        <v>10.7</v>
      </c>
      <c r="N715" s="85">
        <v>224.6</v>
      </c>
      <c r="O715" s="85">
        <v>0</v>
      </c>
      <c r="P715" s="85">
        <v>213.9</v>
      </c>
      <c r="Q715" s="85">
        <v>224.6</v>
      </c>
      <c r="R715" s="85">
        <v>10.7</v>
      </c>
      <c r="S715" s="85">
        <v>224.6</v>
      </c>
      <c r="T715" s="85">
        <v>0</v>
      </c>
      <c r="U715" s="82"/>
      <c r="V715" s="82" t="s">
        <v>3399</v>
      </c>
      <c r="W715" s="82" t="s">
        <v>3395</v>
      </c>
      <c r="X715" s="82" t="s">
        <v>3394</v>
      </c>
      <c r="Y715" s="82" t="s">
        <v>3393</v>
      </c>
    </row>
    <row r="716" spans="1:25" ht="10.9" customHeight="1" x14ac:dyDescent="0.2">
      <c r="A716" s="82" t="s">
        <v>2951</v>
      </c>
      <c r="B716" s="82" t="s">
        <v>26</v>
      </c>
      <c r="C716" s="83">
        <v>45849</v>
      </c>
      <c r="D716" s="83">
        <v>45909</v>
      </c>
      <c r="E716" s="83">
        <v>45909</v>
      </c>
      <c r="F716" s="83">
        <v>45909</v>
      </c>
      <c r="G716" s="83">
        <v>45849</v>
      </c>
      <c r="H716" s="82" t="s">
        <v>1080</v>
      </c>
      <c r="I716" s="82" t="s">
        <v>22</v>
      </c>
      <c r="J716" s="84">
        <v>0</v>
      </c>
      <c r="K716" s="85">
        <v>1010.81</v>
      </c>
      <c r="L716" s="85">
        <v>1061.3499999999999</v>
      </c>
      <c r="M716" s="85">
        <v>50.54</v>
      </c>
      <c r="N716" s="85">
        <v>1061.3499999999999</v>
      </c>
      <c r="O716" s="85">
        <v>0</v>
      </c>
      <c r="P716" s="85">
        <v>1010.81</v>
      </c>
      <c r="Q716" s="85">
        <v>1061.3499999999999</v>
      </c>
      <c r="R716" s="85">
        <v>50.54</v>
      </c>
      <c r="S716" s="85">
        <v>1061.3499999999999</v>
      </c>
      <c r="T716" s="85">
        <v>0</v>
      </c>
      <c r="U716" s="82"/>
      <c r="V716" s="82" t="s">
        <v>3399</v>
      </c>
      <c r="W716" s="82" t="s">
        <v>3395</v>
      </c>
      <c r="X716" s="82" t="s">
        <v>3394</v>
      </c>
      <c r="Y716" s="82" t="s">
        <v>3393</v>
      </c>
    </row>
    <row r="717" spans="1:25" ht="10.9" customHeight="1" x14ac:dyDescent="0.2">
      <c r="A717" s="82" t="s">
        <v>2955</v>
      </c>
      <c r="B717" s="82" t="s">
        <v>64</v>
      </c>
      <c r="C717" s="83">
        <v>45849</v>
      </c>
      <c r="D717" s="83">
        <v>45879</v>
      </c>
      <c r="E717" s="83">
        <v>45879</v>
      </c>
      <c r="F717" s="83">
        <v>45909</v>
      </c>
      <c r="G717" s="83">
        <v>45849</v>
      </c>
      <c r="H717" s="82" t="s">
        <v>1074</v>
      </c>
      <c r="I717" s="82" t="s">
        <v>22</v>
      </c>
      <c r="J717" s="84">
        <v>0</v>
      </c>
      <c r="K717" s="85">
        <v>835.95</v>
      </c>
      <c r="L717" s="85">
        <v>944.62</v>
      </c>
      <c r="M717" s="85">
        <v>108.67</v>
      </c>
      <c r="N717" s="85">
        <v>944.62</v>
      </c>
      <c r="O717" s="85">
        <v>0</v>
      </c>
      <c r="P717" s="85">
        <v>835.95</v>
      </c>
      <c r="Q717" s="85">
        <v>944.62</v>
      </c>
      <c r="R717" s="85">
        <v>108.67</v>
      </c>
      <c r="S717" s="85">
        <v>944.62</v>
      </c>
      <c r="T717" s="85">
        <v>0</v>
      </c>
      <c r="U717" s="82"/>
      <c r="V717" s="82" t="s">
        <v>3399</v>
      </c>
      <c r="W717" s="82" t="s">
        <v>3395</v>
      </c>
      <c r="X717" s="82" t="s">
        <v>3394</v>
      </c>
      <c r="Y717" s="82" t="s">
        <v>3393</v>
      </c>
    </row>
    <row r="718" spans="1:25" ht="10.9" customHeight="1" x14ac:dyDescent="0.2">
      <c r="A718" s="82" t="s">
        <v>2905</v>
      </c>
      <c r="B718" s="82" t="s">
        <v>450</v>
      </c>
      <c r="C718" s="83">
        <v>45849</v>
      </c>
      <c r="D718" s="83">
        <v>45879</v>
      </c>
      <c r="E718" s="83">
        <v>45879</v>
      </c>
      <c r="F718" s="83">
        <v>45887</v>
      </c>
      <c r="G718" s="83">
        <v>45849</v>
      </c>
      <c r="H718" s="82" t="s">
        <v>1154</v>
      </c>
      <c r="I718" s="82" t="s">
        <v>22</v>
      </c>
      <c r="J718" s="84">
        <v>0</v>
      </c>
      <c r="K718" s="85">
        <v>240.76</v>
      </c>
      <c r="L718" s="85">
        <v>272.06</v>
      </c>
      <c r="M718" s="85">
        <v>31.3</v>
      </c>
      <c r="N718" s="85">
        <v>272.06</v>
      </c>
      <c r="O718" s="85">
        <v>0</v>
      </c>
      <c r="P718" s="85">
        <v>240.76</v>
      </c>
      <c r="Q718" s="85">
        <v>272.06</v>
      </c>
      <c r="R718" s="85">
        <v>31.3</v>
      </c>
      <c r="S718" s="85">
        <v>272.06</v>
      </c>
      <c r="T718" s="85">
        <v>0</v>
      </c>
      <c r="U718" s="82"/>
      <c r="V718" s="82" t="s">
        <v>3399</v>
      </c>
      <c r="W718" s="82" t="s">
        <v>3395</v>
      </c>
      <c r="X718" s="82" t="s">
        <v>3394</v>
      </c>
      <c r="Y718" s="82" t="s">
        <v>3393</v>
      </c>
    </row>
    <row r="719" spans="1:25" ht="10.9" customHeight="1" x14ac:dyDescent="0.2">
      <c r="A719" s="82" t="s">
        <v>2867</v>
      </c>
      <c r="B719" s="82" t="s">
        <v>450</v>
      </c>
      <c r="C719" s="83">
        <v>45849</v>
      </c>
      <c r="D719" s="83">
        <v>45849</v>
      </c>
      <c r="E719" s="83">
        <v>45849</v>
      </c>
      <c r="F719" s="83">
        <v>45849</v>
      </c>
      <c r="G719" s="83">
        <v>45852</v>
      </c>
      <c r="H719" s="82" t="s">
        <v>1224</v>
      </c>
      <c r="I719" s="82" t="s">
        <v>22</v>
      </c>
      <c r="J719" s="84">
        <v>0</v>
      </c>
      <c r="K719" s="85">
        <v>1564.84</v>
      </c>
      <c r="L719" s="85">
        <v>1768.27</v>
      </c>
      <c r="M719" s="85">
        <v>203.43</v>
      </c>
      <c r="N719" s="85">
        <v>1768.27</v>
      </c>
      <c r="O719" s="85">
        <v>0</v>
      </c>
      <c r="P719" s="85">
        <v>1564.84</v>
      </c>
      <c r="Q719" s="85">
        <v>1768.27</v>
      </c>
      <c r="R719" s="85">
        <v>203.43</v>
      </c>
      <c r="S719" s="85">
        <v>1768.27</v>
      </c>
      <c r="T719" s="85">
        <v>0</v>
      </c>
      <c r="U719" s="82"/>
      <c r="V719" s="82" t="s">
        <v>3399</v>
      </c>
      <c r="W719" s="82" t="s">
        <v>3395</v>
      </c>
      <c r="X719" s="82" t="s">
        <v>3397</v>
      </c>
      <c r="Y719" s="82" t="s">
        <v>3393</v>
      </c>
    </row>
    <row r="720" spans="1:25" ht="10.9" customHeight="1" x14ac:dyDescent="0.2">
      <c r="A720" s="82" t="s">
        <v>2963</v>
      </c>
      <c r="B720" s="82" t="s">
        <v>54</v>
      </c>
      <c r="C720" s="83">
        <v>45852</v>
      </c>
      <c r="D720" s="83">
        <v>45882</v>
      </c>
      <c r="E720" s="83">
        <v>45882</v>
      </c>
      <c r="F720" s="83">
        <v>45881</v>
      </c>
      <c r="G720" s="83">
        <v>45852</v>
      </c>
      <c r="H720" s="82" t="s">
        <v>1061</v>
      </c>
      <c r="I720" s="82" t="s">
        <v>22</v>
      </c>
      <c r="J720" s="84">
        <v>0</v>
      </c>
      <c r="K720" s="85">
        <v>786.58</v>
      </c>
      <c r="L720" s="85">
        <v>825.91</v>
      </c>
      <c r="M720" s="85">
        <v>39.33</v>
      </c>
      <c r="N720" s="85">
        <v>825.91</v>
      </c>
      <c r="O720" s="85">
        <v>0</v>
      </c>
      <c r="P720" s="85">
        <v>786.58</v>
      </c>
      <c r="Q720" s="85">
        <v>825.91</v>
      </c>
      <c r="R720" s="85">
        <v>39.33</v>
      </c>
      <c r="S720" s="85">
        <v>825.91</v>
      </c>
      <c r="T720" s="85">
        <v>0</v>
      </c>
      <c r="U720" s="82"/>
      <c r="V720" s="82" t="s">
        <v>3399</v>
      </c>
      <c r="W720" s="82" t="s">
        <v>3395</v>
      </c>
      <c r="X720" s="82" t="s">
        <v>3394</v>
      </c>
      <c r="Y720" s="82" t="s">
        <v>3393</v>
      </c>
    </row>
    <row r="721" spans="1:25" ht="10.9" customHeight="1" x14ac:dyDescent="0.2">
      <c r="A721" s="82" t="s">
        <v>2958</v>
      </c>
      <c r="B721" s="82" t="s">
        <v>54</v>
      </c>
      <c r="C721" s="83">
        <v>45852</v>
      </c>
      <c r="D721" s="83">
        <v>45882</v>
      </c>
      <c r="E721" s="83">
        <v>45882</v>
      </c>
      <c r="F721" s="83">
        <v>45881</v>
      </c>
      <c r="G721" s="83">
        <v>45852</v>
      </c>
      <c r="H721" s="82" t="s">
        <v>1070</v>
      </c>
      <c r="I721" s="82" t="s">
        <v>22</v>
      </c>
      <c r="J721" s="84">
        <v>0</v>
      </c>
      <c r="K721" s="85">
        <v>3005</v>
      </c>
      <c r="L721" s="85">
        <v>3155.25</v>
      </c>
      <c r="M721" s="85">
        <v>150.25</v>
      </c>
      <c r="N721" s="85">
        <v>3155.25</v>
      </c>
      <c r="O721" s="85">
        <v>0</v>
      </c>
      <c r="P721" s="85">
        <v>3005</v>
      </c>
      <c r="Q721" s="85">
        <v>3155.25</v>
      </c>
      <c r="R721" s="85">
        <v>150.25</v>
      </c>
      <c r="S721" s="85">
        <v>3155.25</v>
      </c>
      <c r="T721" s="85">
        <v>0</v>
      </c>
      <c r="U721" s="82"/>
      <c r="V721" s="82" t="s">
        <v>3399</v>
      </c>
      <c r="W721" s="82" t="s">
        <v>3395</v>
      </c>
      <c r="X721" s="82" t="s">
        <v>3394</v>
      </c>
      <c r="Y721" s="82" t="s">
        <v>3393</v>
      </c>
    </row>
    <row r="722" spans="1:25" ht="10.9" customHeight="1" x14ac:dyDescent="0.2">
      <c r="A722" s="82" t="s">
        <v>2950</v>
      </c>
      <c r="B722" s="82" t="s">
        <v>242</v>
      </c>
      <c r="C722" s="83">
        <v>45852</v>
      </c>
      <c r="D722" s="83">
        <v>45882</v>
      </c>
      <c r="E722" s="83">
        <v>45882</v>
      </c>
      <c r="F722" s="83">
        <v>45889</v>
      </c>
      <c r="G722" s="83">
        <v>45852</v>
      </c>
      <c r="H722" s="82" t="s">
        <v>1082</v>
      </c>
      <c r="I722" s="82" t="s">
        <v>22</v>
      </c>
      <c r="J722" s="84">
        <v>0</v>
      </c>
      <c r="K722" s="85">
        <v>3048.78</v>
      </c>
      <c r="L722" s="85">
        <v>3201.22</v>
      </c>
      <c r="M722" s="85">
        <v>152.44</v>
      </c>
      <c r="N722" s="85">
        <v>3201.22</v>
      </c>
      <c r="O722" s="85">
        <v>0</v>
      </c>
      <c r="P722" s="85">
        <v>3048.78</v>
      </c>
      <c r="Q722" s="85">
        <v>3201.22</v>
      </c>
      <c r="R722" s="85">
        <v>152.44</v>
      </c>
      <c r="S722" s="85">
        <v>3201.22</v>
      </c>
      <c r="T722" s="85">
        <v>0</v>
      </c>
      <c r="U722" s="82"/>
      <c r="V722" s="82" t="s">
        <v>3399</v>
      </c>
      <c r="W722" s="82" t="s">
        <v>3395</v>
      </c>
      <c r="X722" s="82" t="s">
        <v>3394</v>
      </c>
      <c r="Y722" s="82" t="s">
        <v>3393</v>
      </c>
    </row>
    <row r="723" spans="1:25" ht="10.9" customHeight="1" x14ac:dyDescent="0.2">
      <c r="A723" s="82" t="s">
        <v>2952</v>
      </c>
      <c r="B723" s="82" t="s">
        <v>242</v>
      </c>
      <c r="C723" s="83">
        <v>45852</v>
      </c>
      <c r="D723" s="83">
        <v>45882</v>
      </c>
      <c r="E723" s="83">
        <v>45882</v>
      </c>
      <c r="F723" s="83">
        <v>45889</v>
      </c>
      <c r="G723" s="83">
        <v>45852</v>
      </c>
      <c r="H723" s="82" t="s">
        <v>1078</v>
      </c>
      <c r="I723" s="82" t="s">
        <v>22</v>
      </c>
      <c r="J723" s="84">
        <v>0</v>
      </c>
      <c r="K723" s="85">
        <v>924.36</v>
      </c>
      <c r="L723" s="85">
        <v>970.58</v>
      </c>
      <c r="M723" s="85">
        <v>46.22</v>
      </c>
      <c r="N723" s="85">
        <v>970.58</v>
      </c>
      <c r="O723" s="85">
        <v>0</v>
      </c>
      <c r="P723" s="85">
        <v>924.36</v>
      </c>
      <c r="Q723" s="85">
        <v>970.58</v>
      </c>
      <c r="R723" s="85">
        <v>46.22</v>
      </c>
      <c r="S723" s="85">
        <v>970.58</v>
      </c>
      <c r="T723" s="85">
        <v>0</v>
      </c>
      <c r="U723" s="82"/>
      <c r="V723" s="82" t="s">
        <v>3399</v>
      </c>
      <c r="W723" s="82" t="s">
        <v>3395</v>
      </c>
      <c r="X723" s="82" t="s">
        <v>3394</v>
      </c>
      <c r="Y723" s="82" t="s">
        <v>3393</v>
      </c>
    </row>
    <row r="724" spans="1:25" ht="10.9" customHeight="1" x14ac:dyDescent="0.2">
      <c r="A724" s="82" t="s">
        <v>2911</v>
      </c>
      <c r="B724" s="82" t="s">
        <v>556</v>
      </c>
      <c r="C724" s="83">
        <v>45852</v>
      </c>
      <c r="D724" s="83">
        <v>45882</v>
      </c>
      <c r="E724" s="83">
        <v>45882</v>
      </c>
      <c r="F724" s="83">
        <v>45895</v>
      </c>
      <c r="G724" s="83">
        <v>45852</v>
      </c>
      <c r="H724" s="82" t="s">
        <v>1146</v>
      </c>
      <c r="I724" s="82" t="s">
        <v>22</v>
      </c>
      <c r="J724" s="84">
        <v>0</v>
      </c>
      <c r="K724" s="85">
        <v>105</v>
      </c>
      <c r="L724" s="85">
        <v>118.65</v>
      </c>
      <c r="M724" s="85">
        <v>13.65</v>
      </c>
      <c r="N724" s="85">
        <v>118.65</v>
      </c>
      <c r="O724" s="85">
        <v>0</v>
      </c>
      <c r="P724" s="85">
        <v>105</v>
      </c>
      <c r="Q724" s="85">
        <v>118.65</v>
      </c>
      <c r="R724" s="85">
        <v>13.65</v>
      </c>
      <c r="S724" s="85">
        <v>118.65</v>
      </c>
      <c r="T724" s="85">
        <v>0</v>
      </c>
      <c r="U724" s="82"/>
      <c r="V724" s="82" t="s">
        <v>3399</v>
      </c>
      <c r="W724" s="82" t="s">
        <v>3395</v>
      </c>
      <c r="X724" s="82" t="s">
        <v>3394</v>
      </c>
      <c r="Y724" s="82" t="s">
        <v>3393</v>
      </c>
    </row>
    <row r="725" spans="1:25" ht="10.9" customHeight="1" x14ac:dyDescent="0.2">
      <c r="A725" s="82" t="s">
        <v>2945</v>
      </c>
      <c r="B725" s="82" t="s">
        <v>141</v>
      </c>
      <c r="C725" s="83">
        <v>45852</v>
      </c>
      <c r="D725" s="83">
        <v>45897</v>
      </c>
      <c r="E725" s="83">
        <v>45897</v>
      </c>
      <c r="F725" s="83">
        <v>45908</v>
      </c>
      <c r="G725" s="83">
        <v>45852</v>
      </c>
      <c r="H725" s="82" t="s">
        <v>1088</v>
      </c>
      <c r="I725" s="82" t="s">
        <v>51</v>
      </c>
      <c r="J725" s="84">
        <v>0.72997000000000001</v>
      </c>
      <c r="K725" s="85">
        <v>184.92</v>
      </c>
      <c r="L725" s="85">
        <v>184.92</v>
      </c>
      <c r="M725" s="85">
        <v>0</v>
      </c>
      <c r="N725" s="85">
        <v>184.92</v>
      </c>
      <c r="O725" s="85">
        <v>0</v>
      </c>
      <c r="P725" s="85">
        <v>253.32547912927919</v>
      </c>
      <c r="Q725" s="85">
        <v>253.32547912927919</v>
      </c>
      <c r="R725" s="85">
        <v>0</v>
      </c>
      <c r="S725" s="85">
        <v>255.60919999999999</v>
      </c>
      <c r="T725" s="85">
        <v>0</v>
      </c>
      <c r="U725" s="82"/>
      <c r="V725" s="82" t="s">
        <v>3399</v>
      </c>
      <c r="W725" s="82" t="s">
        <v>3395</v>
      </c>
      <c r="X725" s="82" t="s">
        <v>3394</v>
      </c>
      <c r="Y725" s="82" t="s">
        <v>3393</v>
      </c>
    </row>
    <row r="726" spans="1:25" ht="10.9" customHeight="1" x14ac:dyDescent="0.2">
      <c r="A726" s="82" t="s">
        <v>2907</v>
      </c>
      <c r="B726" s="82" t="s">
        <v>141</v>
      </c>
      <c r="C726" s="83">
        <v>45852</v>
      </c>
      <c r="D726" s="83">
        <v>45897</v>
      </c>
      <c r="E726" s="83">
        <v>45897</v>
      </c>
      <c r="F726" s="83">
        <v>45908</v>
      </c>
      <c r="G726" s="83">
        <v>45852</v>
      </c>
      <c r="H726" s="82" t="s">
        <v>1152</v>
      </c>
      <c r="I726" s="82" t="s">
        <v>51</v>
      </c>
      <c r="J726" s="84">
        <v>0.72997000000000001</v>
      </c>
      <c r="K726" s="85">
        <v>1673.59</v>
      </c>
      <c r="L726" s="85">
        <v>1673.59</v>
      </c>
      <c r="M726" s="85">
        <v>0</v>
      </c>
      <c r="N726" s="85">
        <v>1673.59</v>
      </c>
      <c r="O726" s="85">
        <v>0</v>
      </c>
      <c r="P726" s="85">
        <v>2292.6832609559297</v>
      </c>
      <c r="Q726" s="85">
        <v>2292.6832609559297</v>
      </c>
      <c r="R726" s="85">
        <v>0</v>
      </c>
      <c r="S726" s="85">
        <v>2313.3521999999998</v>
      </c>
      <c r="T726" s="85">
        <v>0</v>
      </c>
      <c r="U726" s="82"/>
      <c r="V726" s="82" t="s">
        <v>3399</v>
      </c>
      <c r="W726" s="82" t="s">
        <v>3395</v>
      </c>
      <c r="X726" s="82" t="s">
        <v>3394</v>
      </c>
      <c r="Y726" s="82" t="s">
        <v>3393</v>
      </c>
    </row>
    <row r="727" spans="1:25" ht="10.9" customHeight="1" x14ac:dyDescent="0.2">
      <c r="A727" s="82" t="s">
        <v>2942</v>
      </c>
      <c r="B727" s="82" t="s">
        <v>644</v>
      </c>
      <c r="C727" s="83">
        <v>45852</v>
      </c>
      <c r="D727" s="83">
        <v>45882</v>
      </c>
      <c r="E727" s="83">
        <v>45882</v>
      </c>
      <c r="F727" s="83">
        <v>45887</v>
      </c>
      <c r="G727" s="83">
        <v>45852</v>
      </c>
      <c r="H727" s="82" t="s">
        <v>1095</v>
      </c>
      <c r="I727" s="82" t="s">
        <v>51</v>
      </c>
      <c r="J727" s="84">
        <v>0.72997000000000001</v>
      </c>
      <c r="K727" s="85">
        <v>954</v>
      </c>
      <c r="L727" s="85">
        <v>954</v>
      </c>
      <c r="M727" s="85">
        <v>0</v>
      </c>
      <c r="N727" s="85">
        <v>954</v>
      </c>
      <c r="O727" s="85">
        <v>0</v>
      </c>
      <c r="P727" s="85">
        <v>1306.9030234119209</v>
      </c>
      <c r="Q727" s="85">
        <v>1306.9030234119209</v>
      </c>
      <c r="R727" s="85">
        <v>0</v>
      </c>
      <c r="S727" s="85">
        <v>1317.5029999999999</v>
      </c>
      <c r="T727" s="85">
        <v>0</v>
      </c>
      <c r="U727" s="82"/>
      <c r="V727" s="82" t="s">
        <v>3399</v>
      </c>
      <c r="W727" s="82" t="s">
        <v>3395</v>
      </c>
      <c r="X727" s="82" t="s">
        <v>3394</v>
      </c>
      <c r="Y727" s="82" t="s">
        <v>3393</v>
      </c>
    </row>
    <row r="728" spans="1:25" ht="10.9" customHeight="1" x14ac:dyDescent="0.2">
      <c r="A728" s="82" t="s">
        <v>2663</v>
      </c>
      <c r="B728" s="82" t="s">
        <v>198</v>
      </c>
      <c r="C728" s="83">
        <v>45852</v>
      </c>
      <c r="D728" s="83">
        <v>45882</v>
      </c>
      <c r="E728" s="83">
        <v>45882</v>
      </c>
      <c r="F728" s="83">
        <v>45887</v>
      </c>
      <c r="G728" s="83">
        <v>45852</v>
      </c>
      <c r="H728" s="82" t="s">
        <v>1590</v>
      </c>
      <c r="I728" s="82" t="s">
        <v>51</v>
      </c>
      <c r="J728" s="84">
        <v>0.72997000000000001</v>
      </c>
      <c r="K728" s="85">
        <v>27833.48</v>
      </c>
      <c r="L728" s="85">
        <v>27833.48</v>
      </c>
      <c r="M728" s="85">
        <v>0</v>
      </c>
      <c r="N728" s="85">
        <v>27833.48</v>
      </c>
      <c r="O728" s="85">
        <v>0</v>
      </c>
      <c r="P728" s="85">
        <v>38129.621765278025</v>
      </c>
      <c r="Q728" s="85">
        <v>38129.621765278025</v>
      </c>
      <c r="R728" s="85">
        <v>0</v>
      </c>
      <c r="S728" s="85">
        <v>38438.883199999997</v>
      </c>
      <c r="T728" s="85">
        <v>0</v>
      </c>
      <c r="U728" s="82"/>
      <c r="V728" s="82" t="s">
        <v>3399</v>
      </c>
      <c r="W728" s="82" t="s">
        <v>3395</v>
      </c>
      <c r="X728" s="82" t="s">
        <v>3394</v>
      </c>
      <c r="Y728" s="82" t="s">
        <v>3393</v>
      </c>
    </row>
    <row r="729" spans="1:25" ht="10.9" customHeight="1" x14ac:dyDescent="0.2">
      <c r="A729" s="82" t="s">
        <v>2780</v>
      </c>
      <c r="B729" s="82" t="s">
        <v>1380</v>
      </c>
      <c r="C729" s="83">
        <v>45853</v>
      </c>
      <c r="D729" s="83">
        <v>45853</v>
      </c>
      <c r="E729" s="83">
        <v>45853</v>
      </c>
      <c r="F729" s="83">
        <v>45853</v>
      </c>
      <c r="G729" s="83">
        <v>45853</v>
      </c>
      <c r="H729" s="82" t="s">
        <v>1379</v>
      </c>
      <c r="I729" s="82" t="s">
        <v>51</v>
      </c>
      <c r="J729" s="84">
        <v>0.72882599999999997</v>
      </c>
      <c r="K729" s="85">
        <v>28692.74</v>
      </c>
      <c r="L729" s="85">
        <v>28692.74</v>
      </c>
      <c r="M729" s="85">
        <v>0</v>
      </c>
      <c r="N729" s="85">
        <v>28692.74</v>
      </c>
      <c r="O729" s="85">
        <v>0</v>
      </c>
      <c r="P729" s="85">
        <v>39368.436362039771</v>
      </c>
      <c r="Q729" s="85">
        <v>39368.436362039771</v>
      </c>
      <c r="R729" s="85">
        <v>0</v>
      </c>
      <c r="S729" s="85">
        <v>39334.004200000003</v>
      </c>
      <c r="T729" s="85">
        <v>0</v>
      </c>
      <c r="U729" s="82"/>
      <c r="V729" s="82" t="s">
        <v>3399</v>
      </c>
      <c r="W729" s="82" t="s">
        <v>3395</v>
      </c>
      <c r="X729" s="82" t="s">
        <v>3394</v>
      </c>
      <c r="Y729" s="82" t="s">
        <v>3393</v>
      </c>
    </row>
    <row r="730" spans="1:25" ht="10.9" customHeight="1" x14ac:dyDescent="0.2">
      <c r="A730" s="82" t="s">
        <v>2910</v>
      </c>
      <c r="B730" s="82" t="s">
        <v>248</v>
      </c>
      <c r="C730" s="83">
        <v>45853</v>
      </c>
      <c r="D730" s="83">
        <v>45883</v>
      </c>
      <c r="E730" s="83">
        <v>45883</v>
      </c>
      <c r="F730" s="83">
        <v>45887</v>
      </c>
      <c r="G730" s="83">
        <v>45853</v>
      </c>
      <c r="H730" s="82" t="s">
        <v>1148</v>
      </c>
      <c r="I730" s="82" t="s">
        <v>22</v>
      </c>
      <c r="J730" s="84">
        <v>0</v>
      </c>
      <c r="K730" s="85">
        <v>1225.8</v>
      </c>
      <c r="L730" s="85">
        <v>1397.41</v>
      </c>
      <c r="M730" s="85">
        <v>171.61</v>
      </c>
      <c r="N730" s="85">
        <v>1397.41</v>
      </c>
      <c r="O730" s="85">
        <v>0</v>
      </c>
      <c r="P730" s="85">
        <v>1225.8</v>
      </c>
      <c r="Q730" s="85">
        <v>1397.41</v>
      </c>
      <c r="R730" s="85">
        <v>171.61</v>
      </c>
      <c r="S730" s="85">
        <v>1397.41</v>
      </c>
      <c r="T730" s="85">
        <v>0</v>
      </c>
      <c r="U730" s="82"/>
      <c r="V730" s="82" t="s">
        <v>3399</v>
      </c>
      <c r="W730" s="82" t="s">
        <v>3395</v>
      </c>
      <c r="X730" s="82" t="s">
        <v>3394</v>
      </c>
      <c r="Y730" s="82" t="s">
        <v>3393</v>
      </c>
    </row>
    <row r="731" spans="1:25" ht="10.9" customHeight="1" x14ac:dyDescent="0.2">
      <c r="A731" s="82" t="s">
        <v>2962</v>
      </c>
      <c r="B731" s="82" t="s">
        <v>77</v>
      </c>
      <c r="C731" s="83">
        <v>45853</v>
      </c>
      <c r="D731" s="83">
        <v>45883</v>
      </c>
      <c r="E731" s="83">
        <v>45883</v>
      </c>
      <c r="F731" s="83">
        <v>45868</v>
      </c>
      <c r="G731" s="83">
        <v>45853</v>
      </c>
      <c r="H731" s="82" t="s">
        <v>1063</v>
      </c>
      <c r="I731" s="82" t="s">
        <v>22</v>
      </c>
      <c r="J731" s="84">
        <v>0</v>
      </c>
      <c r="K731" s="85">
        <v>595.67999999999995</v>
      </c>
      <c r="L731" s="85">
        <v>625.46</v>
      </c>
      <c r="M731" s="85">
        <v>29.78</v>
      </c>
      <c r="N731" s="85">
        <v>625.46</v>
      </c>
      <c r="O731" s="85">
        <v>0</v>
      </c>
      <c r="P731" s="85">
        <v>595.67999999999995</v>
      </c>
      <c r="Q731" s="85">
        <v>625.46</v>
      </c>
      <c r="R731" s="85">
        <v>29.78</v>
      </c>
      <c r="S731" s="85">
        <v>625.46</v>
      </c>
      <c r="T731" s="85">
        <v>0</v>
      </c>
      <c r="U731" s="82"/>
      <c r="V731" s="82" t="s">
        <v>3399</v>
      </c>
      <c r="W731" s="82" t="s">
        <v>3395</v>
      </c>
      <c r="X731" s="82" t="s">
        <v>3394</v>
      </c>
      <c r="Y731" s="82" t="s">
        <v>3393</v>
      </c>
    </row>
    <row r="732" spans="1:25" ht="10.9" customHeight="1" x14ac:dyDescent="0.2">
      <c r="A732" s="82" t="s">
        <v>2967</v>
      </c>
      <c r="B732" s="82" t="s">
        <v>20</v>
      </c>
      <c r="C732" s="83">
        <v>45853</v>
      </c>
      <c r="D732" s="83">
        <v>45913</v>
      </c>
      <c r="E732" s="83">
        <v>45913</v>
      </c>
      <c r="F732" s="83">
        <v>45912</v>
      </c>
      <c r="G732" s="83">
        <v>45853</v>
      </c>
      <c r="H732" s="82" t="s">
        <v>1055</v>
      </c>
      <c r="I732" s="82" t="s">
        <v>22</v>
      </c>
      <c r="J732" s="84">
        <v>0</v>
      </c>
      <c r="K732" s="85">
        <v>398.12</v>
      </c>
      <c r="L732" s="85">
        <v>418.03</v>
      </c>
      <c r="M732" s="85">
        <v>19.91</v>
      </c>
      <c r="N732" s="85">
        <v>418.03</v>
      </c>
      <c r="O732" s="85">
        <v>0</v>
      </c>
      <c r="P732" s="85">
        <v>398.12</v>
      </c>
      <c r="Q732" s="85">
        <v>418.03</v>
      </c>
      <c r="R732" s="85">
        <v>19.91</v>
      </c>
      <c r="S732" s="85">
        <v>418.03</v>
      </c>
      <c r="T732" s="85">
        <v>0</v>
      </c>
      <c r="U732" s="82"/>
      <c r="V732" s="82" t="s">
        <v>3399</v>
      </c>
      <c r="W732" s="82" t="s">
        <v>3395</v>
      </c>
      <c r="X732" s="82" t="s">
        <v>3394</v>
      </c>
      <c r="Y732" s="82" t="s">
        <v>3393</v>
      </c>
    </row>
    <row r="733" spans="1:25" ht="10.9" customHeight="1" x14ac:dyDescent="0.2">
      <c r="A733" s="82" t="s">
        <v>2947</v>
      </c>
      <c r="B733" s="82" t="s">
        <v>35</v>
      </c>
      <c r="C733" s="83">
        <v>45853</v>
      </c>
      <c r="D733" s="83">
        <v>45883</v>
      </c>
      <c r="E733" s="83">
        <v>45883</v>
      </c>
      <c r="F733" s="83">
        <v>45881</v>
      </c>
      <c r="G733" s="83">
        <v>45853</v>
      </c>
      <c r="H733" s="82" t="s">
        <v>1086</v>
      </c>
      <c r="I733" s="82" t="s">
        <v>22</v>
      </c>
      <c r="J733" s="84">
        <v>0</v>
      </c>
      <c r="K733" s="85">
        <v>126.16</v>
      </c>
      <c r="L733" s="85">
        <v>132.47</v>
      </c>
      <c r="M733" s="85">
        <v>6.31</v>
      </c>
      <c r="N733" s="85">
        <v>132.47</v>
      </c>
      <c r="O733" s="85">
        <v>0</v>
      </c>
      <c r="P733" s="85">
        <v>126.16</v>
      </c>
      <c r="Q733" s="85">
        <v>132.47</v>
      </c>
      <c r="R733" s="85">
        <v>6.31</v>
      </c>
      <c r="S733" s="85">
        <v>132.47</v>
      </c>
      <c r="T733" s="85">
        <v>0</v>
      </c>
      <c r="U733" s="82"/>
      <c r="V733" s="82" t="s">
        <v>3399</v>
      </c>
      <c r="W733" s="82" t="s">
        <v>3395</v>
      </c>
      <c r="X733" s="82" t="s">
        <v>3394</v>
      </c>
      <c r="Y733" s="82" t="s">
        <v>3393</v>
      </c>
    </row>
    <row r="734" spans="1:25" ht="10.9" customHeight="1" x14ac:dyDescent="0.2">
      <c r="A734" s="82" t="s">
        <v>2974</v>
      </c>
      <c r="B734" s="82" t="s">
        <v>70</v>
      </c>
      <c r="C734" s="83">
        <v>45853</v>
      </c>
      <c r="D734" s="83">
        <v>45913</v>
      </c>
      <c r="E734" s="83">
        <v>45913</v>
      </c>
      <c r="F734" s="83">
        <v>45965</v>
      </c>
      <c r="G734" s="83">
        <v>45853</v>
      </c>
      <c r="H734" s="82" t="s">
        <v>1041</v>
      </c>
      <c r="I734" s="82" t="s">
        <v>51</v>
      </c>
      <c r="J734" s="84">
        <v>0.72882599999999997</v>
      </c>
      <c r="K734" s="85">
        <v>456.73</v>
      </c>
      <c r="L734" s="85">
        <v>456.73</v>
      </c>
      <c r="M734" s="85">
        <v>0</v>
      </c>
      <c r="N734" s="85">
        <v>456.73</v>
      </c>
      <c r="O734" s="85">
        <v>0</v>
      </c>
      <c r="P734" s="85">
        <v>626.66534947984826</v>
      </c>
      <c r="Q734" s="85">
        <v>626.66534947984826</v>
      </c>
      <c r="R734" s="85">
        <v>0</v>
      </c>
      <c r="S734" s="85">
        <v>643.697</v>
      </c>
      <c r="T734" s="85">
        <v>0</v>
      </c>
      <c r="U734" s="82"/>
      <c r="V734" s="82" t="s">
        <v>3399</v>
      </c>
      <c r="W734" s="82" t="s">
        <v>3395</v>
      </c>
      <c r="X734" s="82" t="s">
        <v>3394</v>
      </c>
      <c r="Y734" s="82" t="s">
        <v>3393</v>
      </c>
    </row>
    <row r="735" spans="1:25" ht="10.9" customHeight="1" x14ac:dyDescent="0.2">
      <c r="A735" s="82" t="s">
        <v>2973</v>
      </c>
      <c r="B735" s="82" t="s">
        <v>98</v>
      </c>
      <c r="C735" s="83">
        <v>45853</v>
      </c>
      <c r="D735" s="83">
        <v>45883</v>
      </c>
      <c r="E735" s="83">
        <v>45883</v>
      </c>
      <c r="F735" s="83">
        <v>45875</v>
      </c>
      <c r="G735" s="83">
        <v>45866</v>
      </c>
      <c r="H735" s="82" t="s">
        <v>1043</v>
      </c>
      <c r="I735" s="82" t="s">
        <v>22</v>
      </c>
      <c r="J735" s="84">
        <v>0</v>
      </c>
      <c r="K735" s="85">
        <v>721.19</v>
      </c>
      <c r="L735" s="85">
        <v>814.95</v>
      </c>
      <c r="M735" s="85">
        <v>93.76</v>
      </c>
      <c r="N735" s="85">
        <v>814.95</v>
      </c>
      <c r="O735" s="85">
        <v>0</v>
      </c>
      <c r="P735" s="85">
        <v>721.19</v>
      </c>
      <c r="Q735" s="85">
        <v>814.95</v>
      </c>
      <c r="R735" s="85">
        <v>93.76</v>
      </c>
      <c r="S735" s="85">
        <v>814.95</v>
      </c>
      <c r="T735" s="85">
        <v>0</v>
      </c>
      <c r="U735" s="82"/>
      <c r="V735" s="82" t="s">
        <v>3399</v>
      </c>
      <c r="W735" s="82" t="s">
        <v>3395</v>
      </c>
      <c r="X735" s="82" t="s">
        <v>3394</v>
      </c>
      <c r="Y735" s="82" t="s">
        <v>3393</v>
      </c>
    </row>
    <row r="736" spans="1:25" ht="10.9" customHeight="1" x14ac:dyDescent="0.2">
      <c r="A736" s="82" t="s">
        <v>2913</v>
      </c>
      <c r="B736" s="82" t="s">
        <v>98</v>
      </c>
      <c r="C736" s="83">
        <v>45853</v>
      </c>
      <c r="D736" s="83">
        <v>45883</v>
      </c>
      <c r="E736" s="83">
        <v>45883</v>
      </c>
      <c r="F736" s="83">
        <v>45875</v>
      </c>
      <c r="G736" s="83">
        <v>45866</v>
      </c>
      <c r="H736" s="82" t="s">
        <v>1141</v>
      </c>
      <c r="I736" s="82" t="s">
        <v>22</v>
      </c>
      <c r="J736" s="84">
        <v>0</v>
      </c>
      <c r="K736" s="85">
        <v>550.80999999999995</v>
      </c>
      <c r="L736" s="85">
        <v>622.41999999999996</v>
      </c>
      <c r="M736" s="85">
        <v>71.61</v>
      </c>
      <c r="N736" s="85">
        <v>622.41999999999996</v>
      </c>
      <c r="O736" s="85">
        <v>0</v>
      </c>
      <c r="P736" s="85">
        <v>550.80999999999995</v>
      </c>
      <c r="Q736" s="85">
        <v>622.41999999999996</v>
      </c>
      <c r="R736" s="85">
        <v>71.61</v>
      </c>
      <c r="S736" s="85">
        <v>622.41999999999996</v>
      </c>
      <c r="T736" s="85">
        <v>0</v>
      </c>
      <c r="U736" s="82"/>
      <c r="V736" s="82" t="s">
        <v>3399</v>
      </c>
      <c r="W736" s="82" t="s">
        <v>3395</v>
      </c>
      <c r="X736" s="82" t="s">
        <v>3394</v>
      </c>
      <c r="Y736" s="82" t="s">
        <v>3393</v>
      </c>
    </row>
    <row r="737" spans="1:25" ht="10.9" customHeight="1" x14ac:dyDescent="0.2">
      <c r="A737" s="82" t="s">
        <v>2926</v>
      </c>
      <c r="B737" s="82" t="s">
        <v>159</v>
      </c>
      <c r="C737" s="83">
        <v>45854</v>
      </c>
      <c r="D737" s="83">
        <v>45899</v>
      </c>
      <c r="E737" s="83">
        <v>45899</v>
      </c>
      <c r="F737" s="83">
        <v>45898</v>
      </c>
      <c r="G737" s="83">
        <v>45854</v>
      </c>
      <c r="H737" s="82" t="s">
        <v>1123</v>
      </c>
      <c r="I737" s="82" t="s">
        <v>51</v>
      </c>
      <c r="J737" s="84">
        <v>0.73056200000000004</v>
      </c>
      <c r="K737" s="85">
        <v>10241.64</v>
      </c>
      <c r="L737" s="85">
        <v>10241.64</v>
      </c>
      <c r="M737" s="85">
        <v>0</v>
      </c>
      <c r="N737" s="85">
        <v>10241.64</v>
      </c>
      <c r="O737" s="85">
        <v>0</v>
      </c>
      <c r="P737" s="85">
        <v>14018.851240551794</v>
      </c>
      <c r="Q737" s="85">
        <v>14018.851240551794</v>
      </c>
      <c r="R737" s="85">
        <v>0</v>
      </c>
      <c r="S737" s="85">
        <v>14094.536599999999</v>
      </c>
      <c r="T737" s="85">
        <v>0</v>
      </c>
      <c r="U737" s="82"/>
      <c r="V737" s="82" t="s">
        <v>3399</v>
      </c>
      <c r="W737" s="82" t="s">
        <v>3395</v>
      </c>
      <c r="X737" s="82" t="s">
        <v>3394</v>
      </c>
      <c r="Y737" s="82" t="s">
        <v>3393</v>
      </c>
    </row>
    <row r="738" spans="1:25" ht="10.9" customHeight="1" x14ac:dyDescent="0.2">
      <c r="A738" s="82" t="s">
        <v>2752</v>
      </c>
      <c r="B738" s="82" t="s">
        <v>159</v>
      </c>
      <c r="C738" s="83">
        <v>45854</v>
      </c>
      <c r="D738" s="83">
        <v>45899</v>
      </c>
      <c r="E738" s="83">
        <v>45899</v>
      </c>
      <c r="F738" s="83">
        <v>45898</v>
      </c>
      <c r="G738" s="83">
        <v>45854</v>
      </c>
      <c r="H738" s="82" t="s">
        <v>1432</v>
      </c>
      <c r="I738" s="82" t="s">
        <v>51</v>
      </c>
      <c r="J738" s="84">
        <v>0.72897500000000004</v>
      </c>
      <c r="K738" s="85">
        <v>34786</v>
      </c>
      <c r="L738" s="85">
        <v>34786</v>
      </c>
      <c r="M738" s="85">
        <v>0</v>
      </c>
      <c r="N738" s="85">
        <v>34786</v>
      </c>
      <c r="O738" s="85">
        <v>0</v>
      </c>
      <c r="P738" s="85">
        <v>47719.057580849825</v>
      </c>
      <c r="Q738" s="85">
        <v>47719.057580849825</v>
      </c>
      <c r="R738" s="85">
        <v>0</v>
      </c>
      <c r="S738" s="85">
        <v>47872.464899999999</v>
      </c>
      <c r="T738" s="85">
        <v>0</v>
      </c>
      <c r="U738" s="82"/>
      <c r="V738" s="82" t="s">
        <v>3399</v>
      </c>
      <c r="W738" s="82" t="s">
        <v>3395</v>
      </c>
      <c r="X738" s="82" t="s">
        <v>3394</v>
      </c>
      <c r="Y738" s="82" t="s">
        <v>3393</v>
      </c>
    </row>
    <row r="739" spans="1:25" ht="10.9" customHeight="1" x14ac:dyDescent="0.2">
      <c r="A739" s="82" t="s">
        <v>2708</v>
      </c>
      <c r="B739" s="82" t="s">
        <v>159</v>
      </c>
      <c r="C739" s="83">
        <v>45854</v>
      </c>
      <c r="D739" s="83">
        <v>45899</v>
      </c>
      <c r="E739" s="83">
        <v>45899</v>
      </c>
      <c r="F739" s="83">
        <v>45898</v>
      </c>
      <c r="G739" s="83">
        <v>45854</v>
      </c>
      <c r="H739" s="82" t="s">
        <v>1508</v>
      </c>
      <c r="I739" s="82" t="s">
        <v>51</v>
      </c>
      <c r="J739" s="84">
        <v>0.72897500000000004</v>
      </c>
      <c r="K739" s="85">
        <v>14885.44</v>
      </c>
      <c r="L739" s="85">
        <v>14885.44</v>
      </c>
      <c r="M739" s="85">
        <v>0</v>
      </c>
      <c r="N739" s="85">
        <v>14885.44</v>
      </c>
      <c r="O739" s="85">
        <v>0</v>
      </c>
      <c r="P739" s="85">
        <v>20419.685174388698</v>
      </c>
      <c r="Q739" s="85">
        <v>20419.685174388698</v>
      </c>
      <c r="R739" s="85">
        <v>0</v>
      </c>
      <c r="S739" s="85">
        <v>20485.330399999999</v>
      </c>
      <c r="T739" s="85">
        <v>0</v>
      </c>
      <c r="U739" s="82"/>
      <c r="V739" s="82" t="s">
        <v>3399</v>
      </c>
      <c r="W739" s="82" t="s">
        <v>3395</v>
      </c>
      <c r="X739" s="82" t="s">
        <v>3394</v>
      </c>
      <c r="Y739" s="82" t="s">
        <v>3393</v>
      </c>
    </row>
    <row r="740" spans="1:25" ht="10.9" customHeight="1" x14ac:dyDescent="0.2">
      <c r="A740" s="82" t="s">
        <v>2689</v>
      </c>
      <c r="B740" s="82" t="s">
        <v>901</v>
      </c>
      <c r="C740" s="83">
        <v>45854</v>
      </c>
      <c r="D740" s="83">
        <v>45884</v>
      </c>
      <c r="E740" s="83">
        <v>45884</v>
      </c>
      <c r="F740" s="83">
        <v>45915</v>
      </c>
      <c r="G740" s="83">
        <v>45854</v>
      </c>
      <c r="H740" s="82" t="s">
        <v>1543</v>
      </c>
      <c r="I740" s="82" t="s">
        <v>51</v>
      </c>
      <c r="J740" s="84">
        <v>0.72897500000000004</v>
      </c>
      <c r="K740" s="85">
        <v>15930</v>
      </c>
      <c r="L740" s="85">
        <v>15930</v>
      </c>
      <c r="M740" s="85">
        <v>0</v>
      </c>
      <c r="N740" s="85">
        <v>15930</v>
      </c>
      <c r="O740" s="85">
        <v>0</v>
      </c>
      <c r="P740" s="85">
        <v>21852.601255187077</v>
      </c>
      <c r="Q740" s="85">
        <v>21852.601255187077</v>
      </c>
      <c r="R740" s="85">
        <v>0</v>
      </c>
      <c r="S740" s="85">
        <v>21943.720499999999</v>
      </c>
      <c r="T740" s="85">
        <v>0</v>
      </c>
      <c r="U740" s="82"/>
      <c r="V740" s="82" t="s">
        <v>3399</v>
      </c>
      <c r="W740" s="82" t="s">
        <v>3395</v>
      </c>
      <c r="X740" s="82" t="s">
        <v>3394</v>
      </c>
      <c r="Y740" s="82" t="s">
        <v>3393</v>
      </c>
    </row>
    <row r="741" spans="1:25" ht="10.9" customHeight="1" x14ac:dyDescent="0.2">
      <c r="A741" s="82" t="s">
        <v>2575</v>
      </c>
      <c r="B741" s="82" t="s">
        <v>901</v>
      </c>
      <c r="C741" s="83">
        <v>45854</v>
      </c>
      <c r="D741" s="83">
        <v>45884</v>
      </c>
      <c r="E741" s="83">
        <v>45884</v>
      </c>
      <c r="F741" s="83">
        <v>45904</v>
      </c>
      <c r="G741" s="83">
        <v>45854</v>
      </c>
      <c r="H741" s="82" t="s">
        <v>1741</v>
      </c>
      <c r="I741" s="82" t="s">
        <v>51</v>
      </c>
      <c r="J741" s="84">
        <v>0.72897500000000004</v>
      </c>
      <c r="K741" s="85">
        <v>23970.9</v>
      </c>
      <c r="L741" s="85">
        <v>23970.9</v>
      </c>
      <c r="M741" s="85">
        <v>0</v>
      </c>
      <c r="N741" s="85">
        <v>23970.9</v>
      </c>
      <c r="O741" s="85">
        <v>0</v>
      </c>
      <c r="P741" s="85">
        <v>32883.020679721529</v>
      </c>
      <c r="Q741" s="85">
        <v>32883.020679721529</v>
      </c>
      <c r="R741" s="85">
        <v>0</v>
      </c>
      <c r="S741" s="85">
        <v>33098.280400000003</v>
      </c>
      <c r="T741" s="85">
        <v>0</v>
      </c>
      <c r="U741" s="82"/>
      <c r="V741" s="82" t="s">
        <v>3399</v>
      </c>
      <c r="W741" s="82" t="s">
        <v>3395</v>
      </c>
      <c r="X741" s="82" t="s">
        <v>3394</v>
      </c>
      <c r="Y741" s="82" t="s">
        <v>3393</v>
      </c>
    </row>
    <row r="742" spans="1:25" ht="10.9" customHeight="1" x14ac:dyDescent="0.2">
      <c r="A742" s="82" t="s">
        <v>2747</v>
      </c>
      <c r="B742" s="82" t="s">
        <v>901</v>
      </c>
      <c r="C742" s="83">
        <v>45854</v>
      </c>
      <c r="D742" s="83">
        <v>45884</v>
      </c>
      <c r="E742" s="83">
        <v>45884</v>
      </c>
      <c r="F742" s="83">
        <v>45895</v>
      </c>
      <c r="G742" s="83">
        <v>45854</v>
      </c>
      <c r="H742" s="82" t="s">
        <v>1442</v>
      </c>
      <c r="I742" s="82" t="s">
        <v>51</v>
      </c>
      <c r="J742" s="84">
        <v>0.72897500000000004</v>
      </c>
      <c r="K742" s="85">
        <v>3956.4</v>
      </c>
      <c r="L742" s="85">
        <v>3956.4</v>
      </c>
      <c r="M742" s="85">
        <v>0</v>
      </c>
      <c r="N742" s="85">
        <v>3956.4</v>
      </c>
      <c r="O742" s="85">
        <v>0</v>
      </c>
      <c r="P742" s="85">
        <v>5427.3466168249943</v>
      </c>
      <c r="Q742" s="85">
        <v>5427.3466168249943</v>
      </c>
      <c r="R742" s="85">
        <v>0</v>
      </c>
      <c r="S742" s="85">
        <v>5475.0237999999999</v>
      </c>
      <c r="T742" s="85">
        <v>0</v>
      </c>
      <c r="U742" s="82"/>
      <c r="V742" s="82" t="s">
        <v>3399</v>
      </c>
      <c r="W742" s="82" t="s">
        <v>3395</v>
      </c>
      <c r="X742" s="82" t="s">
        <v>3394</v>
      </c>
      <c r="Y742" s="82" t="s">
        <v>3393</v>
      </c>
    </row>
    <row r="743" spans="1:25" ht="10.9" customHeight="1" x14ac:dyDescent="0.2">
      <c r="A743" s="82" t="s">
        <v>2557</v>
      </c>
      <c r="B743" s="82" t="s">
        <v>372</v>
      </c>
      <c r="C743" s="83">
        <v>45855</v>
      </c>
      <c r="D743" s="83">
        <v>45885</v>
      </c>
      <c r="E743" s="83">
        <v>45885</v>
      </c>
      <c r="F743" s="83">
        <v>45912</v>
      </c>
      <c r="G743" s="83">
        <v>45855</v>
      </c>
      <c r="H743" s="82" t="s">
        <v>1768</v>
      </c>
      <c r="I743" s="82" t="s">
        <v>22</v>
      </c>
      <c r="J743" s="84">
        <v>0</v>
      </c>
      <c r="K743" s="85">
        <v>7938.04</v>
      </c>
      <c r="L743" s="85">
        <v>8334.94</v>
      </c>
      <c r="M743" s="85">
        <v>396.9</v>
      </c>
      <c r="N743" s="85">
        <v>8334.94</v>
      </c>
      <c r="O743" s="85">
        <v>0</v>
      </c>
      <c r="P743" s="85">
        <v>7938.04</v>
      </c>
      <c r="Q743" s="85">
        <v>8334.94</v>
      </c>
      <c r="R743" s="85">
        <v>396.9</v>
      </c>
      <c r="S743" s="85">
        <v>8334.94</v>
      </c>
      <c r="T743" s="85">
        <v>0</v>
      </c>
      <c r="U743" s="82"/>
      <c r="V743" s="82" t="s">
        <v>3399</v>
      </c>
      <c r="W743" s="82" t="s">
        <v>3395</v>
      </c>
      <c r="X743" s="82" t="s">
        <v>3394</v>
      </c>
      <c r="Y743" s="82" t="s">
        <v>3393</v>
      </c>
    </row>
    <row r="744" spans="1:25" ht="10.9" customHeight="1" x14ac:dyDescent="0.2">
      <c r="A744" s="82" t="s">
        <v>2489</v>
      </c>
      <c r="B744" s="82" t="s">
        <v>372</v>
      </c>
      <c r="C744" s="83">
        <v>45855</v>
      </c>
      <c r="D744" s="83">
        <v>45885</v>
      </c>
      <c r="E744" s="83">
        <v>45885</v>
      </c>
      <c r="F744" s="83">
        <v>45912</v>
      </c>
      <c r="G744" s="83">
        <v>45855</v>
      </c>
      <c r="H744" s="82" t="s">
        <v>1883</v>
      </c>
      <c r="I744" s="82" t="s">
        <v>22</v>
      </c>
      <c r="J744" s="84">
        <v>0</v>
      </c>
      <c r="K744" s="85">
        <v>3969.02</v>
      </c>
      <c r="L744" s="85">
        <v>4167.47</v>
      </c>
      <c r="M744" s="85">
        <v>198.45</v>
      </c>
      <c r="N744" s="85">
        <v>4167.47</v>
      </c>
      <c r="O744" s="85">
        <v>0</v>
      </c>
      <c r="P744" s="85">
        <v>3969.02</v>
      </c>
      <c r="Q744" s="85">
        <v>4167.47</v>
      </c>
      <c r="R744" s="85">
        <v>198.45</v>
      </c>
      <c r="S744" s="85">
        <v>4167.47</v>
      </c>
      <c r="T744" s="85">
        <v>0</v>
      </c>
      <c r="U744" s="82"/>
      <c r="V744" s="82" t="s">
        <v>3399</v>
      </c>
      <c r="W744" s="82" t="s">
        <v>3395</v>
      </c>
      <c r="X744" s="82" t="s">
        <v>3394</v>
      </c>
      <c r="Y744" s="82" t="s">
        <v>3393</v>
      </c>
    </row>
    <row r="745" spans="1:25" ht="10.9" customHeight="1" x14ac:dyDescent="0.2">
      <c r="A745" s="82" t="s">
        <v>2920</v>
      </c>
      <c r="B745" s="82" t="s">
        <v>232</v>
      </c>
      <c r="C745" s="83">
        <v>45856</v>
      </c>
      <c r="D745" s="83">
        <v>45886</v>
      </c>
      <c r="E745" s="83">
        <v>45886</v>
      </c>
      <c r="F745" s="83">
        <v>45887</v>
      </c>
      <c r="G745" s="83">
        <v>45860</v>
      </c>
      <c r="H745" s="82" t="s">
        <v>1129</v>
      </c>
      <c r="I745" s="82" t="s">
        <v>51</v>
      </c>
      <c r="J745" s="84">
        <v>0.72700799999999999</v>
      </c>
      <c r="K745" s="85">
        <v>13540</v>
      </c>
      <c r="L745" s="85">
        <v>13540</v>
      </c>
      <c r="M745" s="85">
        <v>0</v>
      </c>
      <c r="N745" s="85">
        <v>13540</v>
      </c>
      <c r="O745" s="85">
        <v>0</v>
      </c>
      <c r="P745" s="85">
        <v>18624.279237642502</v>
      </c>
      <c r="Q745" s="85">
        <v>18624.279237642502</v>
      </c>
      <c r="R745" s="85">
        <v>0</v>
      </c>
      <c r="S745" s="85">
        <v>18699.152099999999</v>
      </c>
      <c r="T745" s="85">
        <v>0</v>
      </c>
      <c r="U745" s="82"/>
      <c r="V745" s="82" t="s">
        <v>3399</v>
      </c>
      <c r="W745" s="82" t="s">
        <v>3395</v>
      </c>
      <c r="X745" s="82" t="s">
        <v>3394</v>
      </c>
      <c r="Y745" s="82" t="s">
        <v>3393</v>
      </c>
    </row>
    <row r="746" spans="1:25" ht="10.9" customHeight="1" x14ac:dyDescent="0.2">
      <c r="A746" s="82" t="s">
        <v>3504</v>
      </c>
      <c r="B746" s="82" t="s">
        <v>3493</v>
      </c>
      <c r="C746" s="83">
        <v>45856</v>
      </c>
      <c r="D746" s="83">
        <v>45901</v>
      </c>
      <c r="E746" s="83">
        <v>45901</v>
      </c>
      <c r="F746" s="83">
        <v>45923</v>
      </c>
      <c r="G746" s="83">
        <v>45897</v>
      </c>
      <c r="H746" s="82" t="s">
        <v>3492</v>
      </c>
      <c r="I746" s="82" t="s">
        <v>51</v>
      </c>
      <c r="J746" s="84">
        <v>0.72700799999999999</v>
      </c>
      <c r="K746" s="85">
        <v>10509.3</v>
      </c>
      <c r="L746" s="85">
        <v>10509.3</v>
      </c>
      <c r="M746" s="85">
        <v>0</v>
      </c>
      <c r="N746" s="85">
        <v>10509.3</v>
      </c>
      <c r="O746" s="85">
        <v>0</v>
      </c>
      <c r="P746" s="85">
        <v>14455.549319952463</v>
      </c>
      <c r="Q746" s="85">
        <v>14455.549319952463</v>
      </c>
      <c r="R746" s="85">
        <v>0</v>
      </c>
      <c r="S746" s="85">
        <v>14540.5717</v>
      </c>
      <c r="T746" s="85">
        <v>0</v>
      </c>
      <c r="U746" s="82"/>
      <c r="V746" s="82" t="s">
        <v>3399</v>
      </c>
      <c r="W746" s="82" t="s">
        <v>3395</v>
      </c>
      <c r="X746" s="82" t="s">
        <v>3394</v>
      </c>
      <c r="Y746" s="82" t="s">
        <v>3393</v>
      </c>
    </row>
    <row r="747" spans="1:25" ht="10.9" customHeight="1" x14ac:dyDescent="0.2">
      <c r="A747" s="82" t="s">
        <v>2992</v>
      </c>
      <c r="B747" s="82" t="s">
        <v>77</v>
      </c>
      <c r="C747" s="83">
        <v>45856</v>
      </c>
      <c r="D747" s="83">
        <v>45886</v>
      </c>
      <c r="E747" s="83">
        <v>45886</v>
      </c>
      <c r="F747" s="83">
        <v>45868</v>
      </c>
      <c r="G747" s="83">
        <v>45856</v>
      </c>
      <c r="H747" s="82" t="s">
        <v>1010</v>
      </c>
      <c r="I747" s="82" t="s">
        <v>22</v>
      </c>
      <c r="J747" s="84">
        <v>0</v>
      </c>
      <c r="K747" s="85">
        <v>452.68</v>
      </c>
      <c r="L747" s="85">
        <v>475.31</v>
      </c>
      <c r="M747" s="85">
        <v>22.63</v>
      </c>
      <c r="N747" s="85">
        <v>475.31</v>
      </c>
      <c r="O747" s="85">
        <v>0</v>
      </c>
      <c r="P747" s="85">
        <v>452.68</v>
      </c>
      <c r="Q747" s="85">
        <v>475.31</v>
      </c>
      <c r="R747" s="85">
        <v>22.63</v>
      </c>
      <c r="S747" s="85">
        <v>475.31</v>
      </c>
      <c r="T747" s="85">
        <v>0</v>
      </c>
      <c r="U747" s="82"/>
      <c r="V747" s="82" t="s">
        <v>3399</v>
      </c>
      <c r="W747" s="82" t="s">
        <v>3395</v>
      </c>
      <c r="X747" s="82" t="s">
        <v>3394</v>
      </c>
      <c r="Y747" s="82" t="s">
        <v>3393</v>
      </c>
    </row>
    <row r="748" spans="1:25" ht="10.9" customHeight="1" x14ac:dyDescent="0.2">
      <c r="A748" s="82" t="s">
        <v>2842</v>
      </c>
      <c r="B748" s="82" t="s">
        <v>39</v>
      </c>
      <c r="C748" s="83">
        <v>45856</v>
      </c>
      <c r="D748" s="83">
        <v>45886</v>
      </c>
      <c r="E748" s="83">
        <v>45886</v>
      </c>
      <c r="F748" s="83">
        <v>45884</v>
      </c>
      <c r="G748" s="83">
        <v>45856</v>
      </c>
      <c r="H748" s="82" t="s">
        <v>1263</v>
      </c>
      <c r="I748" s="82" t="s">
        <v>22</v>
      </c>
      <c r="J748" s="84">
        <v>0</v>
      </c>
      <c r="K748" s="85">
        <v>903.64</v>
      </c>
      <c r="L748" s="85">
        <v>948.82</v>
      </c>
      <c r="M748" s="85">
        <v>45.18</v>
      </c>
      <c r="N748" s="85">
        <v>948.82</v>
      </c>
      <c r="O748" s="85">
        <v>0</v>
      </c>
      <c r="P748" s="85">
        <v>903.64</v>
      </c>
      <c r="Q748" s="85">
        <v>948.82</v>
      </c>
      <c r="R748" s="85">
        <v>45.18</v>
      </c>
      <c r="S748" s="85">
        <v>948.82</v>
      </c>
      <c r="T748" s="85">
        <v>0</v>
      </c>
      <c r="U748" s="82"/>
      <c r="V748" s="82" t="s">
        <v>3399</v>
      </c>
      <c r="W748" s="82" t="s">
        <v>3395</v>
      </c>
      <c r="X748" s="82" t="s">
        <v>3394</v>
      </c>
      <c r="Y748" s="82" t="s">
        <v>3393</v>
      </c>
    </row>
    <row r="749" spans="1:25" ht="10.9" customHeight="1" x14ac:dyDescent="0.2">
      <c r="A749" s="82" t="s">
        <v>2984</v>
      </c>
      <c r="B749" s="82" t="s">
        <v>556</v>
      </c>
      <c r="C749" s="83">
        <v>45856</v>
      </c>
      <c r="D749" s="83">
        <v>45886</v>
      </c>
      <c r="E749" s="83">
        <v>45886</v>
      </c>
      <c r="F749" s="83">
        <v>45895</v>
      </c>
      <c r="G749" s="83">
        <v>45856</v>
      </c>
      <c r="H749" s="82" t="s">
        <v>1024</v>
      </c>
      <c r="I749" s="82" t="s">
        <v>22</v>
      </c>
      <c r="J749" s="84">
        <v>0</v>
      </c>
      <c r="K749" s="85">
        <v>114.56</v>
      </c>
      <c r="L749" s="85">
        <v>129.44999999999999</v>
      </c>
      <c r="M749" s="85">
        <v>14.89</v>
      </c>
      <c r="N749" s="85">
        <v>129.44999999999999</v>
      </c>
      <c r="O749" s="85">
        <v>0</v>
      </c>
      <c r="P749" s="85">
        <v>114.56</v>
      </c>
      <c r="Q749" s="85">
        <v>129.44999999999999</v>
      </c>
      <c r="R749" s="85">
        <v>14.89</v>
      </c>
      <c r="S749" s="85">
        <v>129.44999999999999</v>
      </c>
      <c r="T749" s="85">
        <v>0</v>
      </c>
      <c r="U749" s="82"/>
      <c r="V749" s="82" t="s">
        <v>3399</v>
      </c>
      <c r="W749" s="82" t="s">
        <v>3395</v>
      </c>
      <c r="X749" s="82" t="s">
        <v>3394</v>
      </c>
      <c r="Y749" s="82" t="s">
        <v>3393</v>
      </c>
    </row>
    <row r="750" spans="1:25" ht="10.9" customHeight="1" x14ac:dyDescent="0.2">
      <c r="A750" s="82" t="s">
        <v>3502</v>
      </c>
      <c r="B750" s="82" t="s">
        <v>39</v>
      </c>
      <c r="C750" s="83">
        <v>45859</v>
      </c>
      <c r="D750" s="83">
        <v>45859</v>
      </c>
      <c r="E750" s="83">
        <v>45859</v>
      </c>
      <c r="F750" s="83">
        <v>45859</v>
      </c>
      <c r="G750" s="83">
        <v>45859</v>
      </c>
      <c r="H750" s="82" t="s">
        <v>2129</v>
      </c>
      <c r="I750" s="82" t="s">
        <v>22</v>
      </c>
      <c r="J750" s="84">
        <v>0</v>
      </c>
      <c r="K750" s="85">
        <v>-843.77</v>
      </c>
      <c r="L750" s="85">
        <v>-885.96</v>
      </c>
      <c r="M750" s="85">
        <v>-42.19</v>
      </c>
      <c r="N750" s="85">
        <v>-885.96</v>
      </c>
      <c r="O750" s="85">
        <v>0</v>
      </c>
      <c r="P750" s="85">
        <v>-843.77</v>
      </c>
      <c r="Q750" s="85">
        <v>-885.96</v>
      </c>
      <c r="R750" s="85">
        <v>-42.19</v>
      </c>
      <c r="S750" s="85">
        <v>-885.96</v>
      </c>
      <c r="T750" s="85">
        <v>0</v>
      </c>
      <c r="U750" s="82"/>
      <c r="V750" s="82" t="s">
        <v>3399</v>
      </c>
      <c r="W750" s="82" t="s">
        <v>3398</v>
      </c>
      <c r="X750" s="82" t="s">
        <v>3394</v>
      </c>
      <c r="Y750" s="82" t="s">
        <v>3393</v>
      </c>
    </row>
    <row r="751" spans="1:25" ht="10.9" customHeight="1" x14ac:dyDescent="0.2">
      <c r="A751" s="82" t="s">
        <v>3002</v>
      </c>
      <c r="B751" s="82" t="s">
        <v>64</v>
      </c>
      <c r="C751" s="83">
        <v>45859</v>
      </c>
      <c r="D751" s="83">
        <v>45889</v>
      </c>
      <c r="E751" s="83">
        <v>45889</v>
      </c>
      <c r="F751" s="83">
        <v>45922</v>
      </c>
      <c r="G751" s="83">
        <v>45859</v>
      </c>
      <c r="H751" s="82" t="s">
        <v>3503</v>
      </c>
      <c r="I751" s="82" t="s">
        <v>22</v>
      </c>
      <c r="J751" s="84">
        <v>0</v>
      </c>
      <c r="K751" s="85">
        <v>1573.14</v>
      </c>
      <c r="L751" s="85">
        <v>1777.65</v>
      </c>
      <c r="M751" s="85">
        <v>204.51</v>
      </c>
      <c r="N751" s="85">
        <v>1777.65</v>
      </c>
      <c r="O751" s="85">
        <v>0</v>
      </c>
      <c r="P751" s="85">
        <v>1573.14</v>
      </c>
      <c r="Q751" s="85">
        <v>1777.65</v>
      </c>
      <c r="R751" s="85">
        <v>204.51</v>
      </c>
      <c r="S751" s="85">
        <v>1777.65</v>
      </c>
      <c r="T751" s="85">
        <v>0</v>
      </c>
      <c r="U751" s="82"/>
      <c r="V751" s="82" t="s">
        <v>3399</v>
      </c>
      <c r="W751" s="82" t="s">
        <v>3395</v>
      </c>
      <c r="X751" s="82" t="s">
        <v>3394</v>
      </c>
      <c r="Y751" s="82" t="s">
        <v>3393</v>
      </c>
    </row>
    <row r="752" spans="1:25" ht="10.9" customHeight="1" x14ac:dyDescent="0.2">
      <c r="A752" s="82" t="s">
        <v>2988</v>
      </c>
      <c r="B752" s="82" t="s">
        <v>54</v>
      </c>
      <c r="C752" s="83">
        <v>45859</v>
      </c>
      <c r="D752" s="83">
        <v>45889</v>
      </c>
      <c r="E752" s="83">
        <v>45889</v>
      </c>
      <c r="F752" s="83">
        <v>45897</v>
      </c>
      <c r="G752" s="83">
        <v>45859</v>
      </c>
      <c r="H752" s="82" t="s">
        <v>1016</v>
      </c>
      <c r="I752" s="82" t="s">
        <v>22</v>
      </c>
      <c r="J752" s="84">
        <v>0</v>
      </c>
      <c r="K752" s="85">
        <v>1299.76</v>
      </c>
      <c r="L752" s="85">
        <v>1364.75</v>
      </c>
      <c r="M752" s="85">
        <v>64.989999999999995</v>
      </c>
      <c r="N752" s="85">
        <v>1364.75</v>
      </c>
      <c r="O752" s="85">
        <v>0</v>
      </c>
      <c r="P752" s="85">
        <v>1299.76</v>
      </c>
      <c r="Q752" s="85">
        <v>1364.75</v>
      </c>
      <c r="R752" s="85">
        <v>64.989999999999995</v>
      </c>
      <c r="S752" s="85">
        <v>1364.75</v>
      </c>
      <c r="T752" s="85">
        <v>0</v>
      </c>
      <c r="U752" s="82"/>
      <c r="V752" s="82" t="s">
        <v>3399</v>
      </c>
      <c r="W752" s="82" t="s">
        <v>3395</v>
      </c>
      <c r="X752" s="82" t="s">
        <v>3394</v>
      </c>
      <c r="Y752" s="82" t="s">
        <v>3393</v>
      </c>
    </row>
    <row r="753" spans="1:25" ht="10.9" customHeight="1" x14ac:dyDescent="0.2">
      <c r="A753" s="82" t="s">
        <v>2953</v>
      </c>
      <c r="B753" s="82" t="s">
        <v>242</v>
      </c>
      <c r="C753" s="83">
        <v>45859</v>
      </c>
      <c r="D753" s="83">
        <v>45889</v>
      </c>
      <c r="E753" s="83">
        <v>45889</v>
      </c>
      <c r="F753" s="83">
        <v>45896</v>
      </c>
      <c r="G753" s="83">
        <v>45859</v>
      </c>
      <c r="H753" s="82" t="s">
        <v>1078</v>
      </c>
      <c r="I753" s="82" t="s">
        <v>22</v>
      </c>
      <c r="J753" s="84">
        <v>0</v>
      </c>
      <c r="K753" s="85">
        <v>60</v>
      </c>
      <c r="L753" s="85">
        <v>63</v>
      </c>
      <c r="M753" s="85">
        <v>3</v>
      </c>
      <c r="N753" s="85">
        <v>63</v>
      </c>
      <c r="O753" s="85">
        <v>0</v>
      </c>
      <c r="P753" s="85">
        <v>60</v>
      </c>
      <c r="Q753" s="85">
        <v>63</v>
      </c>
      <c r="R753" s="85">
        <v>3</v>
      </c>
      <c r="S753" s="85">
        <v>63</v>
      </c>
      <c r="T753" s="85">
        <v>0</v>
      </c>
      <c r="U753" s="82"/>
      <c r="V753" s="82" t="s">
        <v>3399</v>
      </c>
      <c r="W753" s="82" t="s">
        <v>3395</v>
      </c>
      <c r="X753" s="82" t="s">
        <v>3394</v>
      </c>
      <c r="Y753" s="82" t="s">
        <v>3393</v>
      </c>
    </row>
    <row r="754" spans="1:25" ht="10.9" customHeight="1" x14ac:dyDescent="0.2">
      <c r="A754" s="82" t="s">
        <v>2909</v>
      </c>
      <c r="B754" s="82" t="s">
        <v>141</v>
      </c>
      <c r="C754" s="83">
        <v>45860</v>
      </c>
      <c r="D754" s="83">
        <v>45905</v>
      </c>
      <c r="E754" s="83">
        <v>45905</v>
      </c>
      <c r="F754" s="83">
        <v>45908</v>
      </c>
      <c r="G754" s="83">
        <v>45860</v>
      </c>
      <c r="H754" s="82" t="s">
        <v>1150</v>
      </c>
      <c r="I754" s="82" t="s">
        <v>51</v>
      </c>
      <c r="J754" s="84">
        <v>0.73518600000000001</v>
      </c>
      <c r="K754" s="85">
        <v>679.7</v>
      </c>
      <c r="L754" s="85">
        <v>679.7</v>
      </c>
      <c r="M754" s="85">
        <v>0</v>
      </c>
      <c r="N754" s="85">
        <v>679.7</v>
      </c>
      <c r="O754" s="85">
        <v>0</v>
      </c>
      <c r="P754" s="85">
        <v>924.52794258867823</v>
      </c>
      <c r="Q754" s="85">
        <v>924.52794258867823</v>
      </c>
      <c r="R754" s="85">
        <v>0</v>
      </c>
      <c r="S754" s="85">
        <v>939.52850000000001</v>
      </c>
      <c r="T754" s="85">
        <v>0</v>
      </c>
      <c r="U754" s="82"/>
      <c r="V754" s="82" t="s">
        <v>3399</v>
      </c>
      <c r="W754" s="82" t="s">
        <v>3395</v>
      </c>
      <c r="X754" s="82" t="s">
        <v>3394</v>
      </c>
      <c r="Y754" s="82" t="s">
        <v>3393</v>
      </c>
    </row>
    <row r="755" spans="1:25" ht="10.9" customHeight="1" x14ac:dyDescent="0.2">
      <c r="A755" s="82" t="s">
        <v>2644</v>
      </c>
      <c r="B755" s="82" t="s">
        <v>129</v>
      </c>
      <c r="C755" s="83">
        <v>45860</v>
      </c>
      <c r="D755" s="83">
        <v>45890</v>
      </c>
      <c r="E755" s="83">
        <v>45890</v>
      </c>
      <c r="F755" s="82"/>
      <c r="G755" s="83">
        <v>45860</v>
      </c>
      <c r="H755" s="82" t="s">
        <v>3500</v>
      </c>
      <c r="I755" s="82" t="s">
        <v>51</v>
      </c>
      <c r="J755" s="84">
        <v>0.73518600000000001</v>
      </c>
      <c r="K755" s="85">
        <v>5190</v>
      </c>
      <c r="L755" s="85">
        <v>5190</v>
      </c>
      <c r="M755" s="85">
        <v>0</v>
      </c>
      <c r="N755" s="85">
        <v>0</v>
      </c>
      <c r="O755" s="85">
        <v>5190</v>
      </c>
      <c r="P755" s="85">
        <v>7059.4380197664268</v>
      </c>
      <c r="Q755" s="85">
        <v>7059.4380197664268</v>
      </c>
      <c r="R755" s="85">
        <v>0</v>
      </c>
      <c r="S755" s="85">
        <v>0</v>
      </c>
      <c r="T755" s="85">
        <v>7122.86</v>
      </c>
      <c r="U755" s="82" t="s">
        <v>3401</v>
      </c>
      <c r="V755" s="82" t="s">
        <v>3396</v>
      </c>
      <c r="W755" s="82" t="s">
        <v>3395</v>
      </c>
      <c r="X755" s="82" t="s">
        <v>3394</v>
      </c>
      <c r="Y755" s="82" t="s">
        <v>3393</v>
      </c>
    </row>
    <row r="756" spans="1:25" ht="10.9" customHeight="1" x14ac:dyDescent="0.2">
      <c r="A756" s="82" t="s">
        <v>2767</v>
      </c>
      <c r="B756" s="82" t="s">
        <v>129</v>
      </c>
      <c r="C756" s="83">
        <v>45860</v>
      </c>
      <c r="D756" s="83">
        <v>45890</v>
      </c>
      <c r="E756" s="83">
        <v>45890</v>
      </c>
      <c r="F756" s="82"/>
      <c r="G756" s="83">
        <v>45860</v>
      </c>
      <c r="H756" s="82" t="s">
        <v>3501</v>
      </c>
      <c r="I756" s="82" t="s">
        <v>51</v>
      </c>
      <c r="J756" s="84">
        <v>0.73518600000000001</v>
      </c>
      <c r="K756" s="85">
        <v>480</v>
      </c>
      <c r="L756" s="85">
        <v>480</v>
      </c>
      <c r="M756" s="85">
        <v>0</v>
      </c>
      <c r="N756" s="85">
        <v>0</v>
      </c>
      <c r="O756" s="85">
        <v>480</v>
      </c>
      <c r="P756" s="85">
        <v>652.89600182810875</v>
      </c>
      <c r="Q756" s="85">
        <v>652.89600182810875</v>
      </c>
      <c r="R756" s="85">
        <v>0</v>
      </c>
      <c r="S756" s="85">
        <v>0</v>
      </c>
      <c r="T756" s="85">
        <v>658.76</v>
      </c>
      <c r="U756" s="82" t="s">
        <v>3401</v>
      </c>
      <c r="V756" s="82" t="s">
        <v>3396</v>
      </c>
      <c r="W756" s="82" t="s">
        <v>3395</v>
      </c>
      <c r="X756" s="82" t="s">
        <v>3394</v>
      </c>
      <c r="Y756" s="82" t="s">
        <v>3393</v>
      </c>
    </row>
    <row r="757" spans="1:25" ht="10.9" customHeight="1" x14ac:dyDescent="0.2">
      <c r="A757" s="82" t="s">
        <v>2725</v>
      </c>
      <c r="B757" s="82" t="s">
        <v>129</v>
      </c>
      <c r="C757" s="83">
        <v>45860</v>
      </c>
      <c r="D757" s="83">
        <v>45890</v>
      </c>
      <c r="E757" s="83">
        <v>45890</v>
      </c>
      <c r="F757" s="82"/>
      <c r="G757" s="83">
        <v>45860</v>
      </c>
      <c r="H757" s="82" t="s">
        <v>1480</v>
      </c>
      <c r="I757" s="82" t="s">
        <v>51</v>
      </c>
      <c r="J757" s="84">
        <v>0.73518600000000001</v>
      </c>
      <c r="K757" s="85">
        <v>2430</v>
      </c>
      <c r="L757" s="85">
        <v>2430</v>
      </c>
      <c r="M757" s="85">
        <v>0</v>
      </c>
      <c r="N757" s="85">
        <v>0</v>
      </c>
      <c r="O757" s="85">
        <v>2430</v>
      </c>
      <c r="P757" s="85">
        <v>3305.2860092548008</v>
      </c>
      <c r="Q757" s="85">
        <v>3305.2860092548008</v>
      </c>
      <c r="R757" s="85">
        <v>0</v>
      </c>
      <c r="S757" s="85">
        <v>0</v>
      </c>
      <c r="T757" s="85">
        <v>3334.98</v>
      </c>
      <c r="U757" s="82" t="s">
        <v>3401</v>
      </c>
      <c r="V757" s="82" t="s">
        <v>3396</v>
      </c>
      <c r="W757" s="82" t="s">
        <v>3395</v>
      </c>
      <c r="X757" s="82" t="s">
        <v>3394</v>
      </c>
      <c r="Y757" s="82" t="s">
        <v>3393</v>
      </c>
    </row>
    <row r="758" spans="1:25" ht="10.9" customHeight="1" x14ac:dyDescent="0.2">
      <c r="A758" s="82" t="s">
        <v>2529</v>
      </c>
      <c r="B758" s="82" t="s">
        <v>581</v>
      </c>
      <c r="C758" s="83">
        <v>45860</v>
      </c>
      <c r="D758" s="83">
        <v>45890</v>
      </c>
      <c r="E758" s="83">
        <v>45890</v>
      </c>
      <c r="F758" s="83">
        <v>45890</v>
      </c>
      <c r="G758" s="83">
        <v>45860</v>
      </c>
      <c r="H758" s="82" t="s">
        <v>1818</v>
      </c>
      <c r="I758" s="82" t="s">
        <v>51</v>
      </c>
      <c r="J758" s="84">
        <v>0.73518600000000001</v>
      </c>
      <c r="K758" s="85">
        <v>11200.18</v>
      </c>
      <c r="L758" s="85">
        <v>11200.18</v>
      </c>
      <c r="M758" s="85">
        <v>0</v>
      </c>
      <c r="N758" s="85">
        <v>11200.18</v>
      </c>
      <c r="O758" s="85">
        <v>0</v>
      </c>
      <c r="P758" s="85">
        <v>15234.484878656556</v>
      </c>
      <c r="Q758" s="85">
        <v>15234.484878656556</v>
      </c>
      <c r="R758" s="85">
        <v>0</v>
      </c>
      <c r="S758" s="85">
        <v>15580.908299999999</v>
      </c>
      <c r="T758" s="85">
        <v>0</v>
      </c>
      <c r="U758" s="82"/>
      <c r="V758" s="82" t="s">
        <v>3399</v>
      </c>
      <c r="W758" s="82" t="s">
        <v>3395</v>
      </c>
      <c r="X758" s="82" t="s">
        <v>3394</v>
      </c>
      <c r="Y758" s="82" t="s">
        <v>3393</v>
      </c>
    </row>
    <row r="759" spans="1:25" ht="10.9" customHeight="1" x14ac:dyDescent="0.2">
      <c r="A759" s="82" t="s">
        <v>2999</v>
      </c>
      <c r="B759" s="82" t="s">
        <v>77</v>
      </c>
      <c r="C759" s="83">
        <v>45860</v>
      </c>
      <c r="D759" s="83">
        <v>45890</v>
      </c>
      <c r="E759" s="83">
        <v>45890</v>
      </c>
      <c r="F759" s="83">
        <v>45868</v>
      </c>
      <c r="G759" s="83">
        <v>45860</v>
      </c>
      <c r="H759" s="82" t="s">
        <v>1002</v>
      </c>
      <c r="I759" s="82" t="s">
        <v>22</v>
      </c>
      <c r="J759" s="84">
        <v>0</v>
      </c>
      <c r="K759" s="85">
        <v>180.64</v>
      </c>
      <c r="L759" s="85">
        <v>189.67</v>
      </c>
      <c r="M759" s="85">
        <v>9.0299999999999994</v>
      </c>
      <c r="N759" s="85">
        <v>189.67</v>
      </c>
      <c r="O759" s="85">
        <v>0</v>
      </c>
      <c r="P759" s="85">
        <v>180.64</v>
      </c>
      <c r="Q759" s="85">
        <v>189.67</v>
      </c>
      <c r="R759" s="85">
        <v>9.0299999999999994</v>
      </c>
      <c r="S759" s="85">
        <v>189.67</v>
      </c>
      <c r="T759" s="85">
        <v>0</v>
      </c>
      <c r="U759" s="82"/>
      <c r="V759" s="82" t="s">
        <v>3399</v>
      </c>
      <c r="W759" s="82" t="s">
        <v>3395</v>
      </c>
      <c r="X759" s="82" t="s">
        <v>3394</v>
      </c>
      <c r="Y759" s="82" t="s">
        <v>3393</v>
      </c>
    </row>
    <row r="760" spans="1:25" ht="10.9" customHeight="1" x14ac:dyDescent="0.2">
      <c r="A760" s="82" t="s">
        <v>2985</v>
      </c>
      <c r="B760" s="82" t="s">
        <v>80</v>
      </c>
      <c r="C760" s="83">
        <v>45860</v>
      </c>
      <c r="D760" s="83">
        <v>45920</v>
      </c>
      <c r="E760" s="83">
        <v>45920</v>
      </c>
      <c r="F760" s="83">
        <v>45919</v>
      </c>
      <c r="G760" s="83">
        <v>45860</v>
      </c>
      <c r="H760" s="82" t="s">
        <v>1022</v>
      </c>
      <c r="I760" s="82" t="s">
        <v>22</v>
      </c>
      <c r="J760" s="84">
        <v>0</v>
      </c>
      <c r="K760" s="85">
        <v>1018.48</v>
      </c>
      <c r="L760" s="85">
        <v>1069.4000000000001</v>
      </c>
      <c r="M760" s="85">
        <v>50.92</v>
      </c>
      <c r="N760" s="85">
        <v>1069.4000000000001</v>
      </c>
      <c r="O760" s="85">
        <v>0</v>
      </c>
      <c r="P760" s="85">
        <v>1018.48</v>
      </c>
      <c r="Q760" s="85">
        <v>1069.4000000000001</v>
      </c>
      <c r="R760" s="85">
        <v>50.92</v>
      </c>
      <c r="S760" s="85">
        <v>1069.4000000000001</v>
      </c>
      <c r="T760" s="85">
        <v>0</v>
      </c>
      <c r="U760" s="82"/>
      <c r="V760" s="82" t="s">
        <v>3399</v>
      </c>
      <c r="W760" s="82" t="s">
        <v>3395</v>
      </c>
      <c r="X760" s="82" t="s">
        <v>3394</v>
      </c>
      <c r="Y760" s="82" t="s">
        <v>3393</v>
      </c>
    </row>
    <row r="761" spans="1:25" ht="10.9" customHeight="1" x14ac:dyDescent="0.2">
      <c r="A761" s="82" t="s">
        <v>3001</v>
      </c>
      <c r="B761" s="82" t="s">
        <v>684</v>
      </c>
      <c r="C761" s="83">
        <v>45860</v>
      </c>
      <c r="D761" s="83">
        <v>45920</v>
      </c>
      <c r="E761" s="83">
        <v>45920</v>
      </c>
      <c r="F761" s="83">
        <v>45919</v>
      </c>
      <c r="G761" s="83">
        <v>45860</v>
      </c>
      <c r="H761" s="82" t="s">
        <v>1000</v>
      </c>
      <c r="I761" s="82" t="s">
        <v>22</v>
      </c>
      <c r="J761" s="84">
        <v>0</v>
      </c>
      <c r="K761" s="85">
        <v>1566.52</v>
      </c>
      <c r="L761" s="85">
        <v>1644.85</v>
      </c>
      <c r="M761" s="85">
        <v>78.33</v>
      </c>
      <c r="N761" s="85">
        <v>1644.85</v>
      </c>
      <c r="O761" s="85">
        <v>0</v>
      </c>
      <c r="P761" s="85">
        <v>1566.52</v>
      </c>
      <c r="Q761" s="85">
        <v>1644.85</v>
      </c>
      <c r="R761" s="85">
        <v>78.33</v>
      </c>
      <c r="S761" s="85">
        <v>1644.85</v>
      </c>
      <c r="T761" s="85">
        <v>0</v>
      </c>
      <c r="U761" s="82"/>
      <c r="V761" s="82" t="s">
        <v>3399</v>
      </c>
      <c r="W761" s="82" t="s">
        <v>3395</v>
      </c>
      <c r="X761" s="82" t="s">
        <v>3394</v>
      </c>
      <c r="Y761" s="82" t="s">
        <v>3393</v>
      </c>
    </row>
    <row r="762" spans="1:25" ht="10.9" customHeight="1" x14ac:dyDescent="0.2">
      <c r="A762" s="82" t="s">
        <v>3499</v>
      </c>
      <c r="B762" s="82" t="s">
        <v>54</v>
      </c>
      <c r="C762" s="83">
        <v>45860</v>
      </c>
      <c r="D762" s="83">
        <v>45890</v>
      </c>
      <c r="E762" s="83">
        <v>45890</v>
      </c>
      <c r="F762" s="83">
        <v>45897</v>
      </c>
      <c r="G762" s="83">
        <v>45860</v>
      </c>
      <c r="H762" s="82" t="s">
        <v>3498</v>
      </c>
      <c r="I762" s="82" t="s">
        <v>22</v>
      </c>
      <c r="J762" s="84">
        <v>0</v>
      </c>
      <c r="K762" s="85">
        <v>1457.95</v>
      </c>
      <c r="L762" s="85">
        <v>1530.84</v>
      </c>
      <c r="M762" s="85">
        <v>72.89</v>
      </c>
      <c r="N762" s="85">
        <v>1530.84</v>
      </c>
      <c r="O762" s="85">
        <v>0</v>
      </c>
      <c r="P762" s="85">
        <v>1457.95</v>
      </c>
      <c r="Q762" s="85">
        <v>1530.84</v>
      </c>
      <c r="R762" s="85">
        <v>72.89</v>
      </c>
      <c r="S762" s="85">
        <v>1530.84</v>
      </c>
      <c r="T762" s="85">
        <v>0</v>
      </c>
      <c r="U762" s="82"/>
      <c r="V762" s="82" t="s">
        <v>3399</v>
      </c>
      <c r="W762" s="82" t="s">
        <v>3395</v>
      </c>
      <c r="X762" s="82" t="s">
        <v>3394</v>
      </c>
      <c r="Y762" s="82" t="s">
        <v>3393</v>
      </c>
    </row>
    <row r="763" spans="1:25" ht="10.9" customHeight="1" x14ac:dyDescent="0.2">
      <c r="A763" s="82" t="s">
        <v>3007</v>
      </c>
      <c r="B763" s="82" t="s">
        <v>54</v>
      </c>
      <c r="C763" s="83">
        <v>45860</v>
      </c>
      <c r="D763" s="83">
        <v>45890</v>
      </c>
      <c r="E763" s="83">
        <v>45890</v>
      </c>
      <c r="F763" s="83">
        <v>45897</v>
      </c>
      <c r="G763" s="83">
        <v>45860</v>
      </c>
      <c r="H763" s="82" t="s">
        <v>990</v>
      </c>
      <c r="I763" s="82" t="s">
        <v>22</v>
      </c>
      <c r="J763" s="84">
        <v>0</v>
      </c>
      <c r="K763" s="85">
        <v>1557.64</v>
      </c>
      <c r="L763" s="85">
        <v>1635.52</v>
      </c>
      <c r="M763" s="85">
        <v>77.88</v>
      </c>
      <c r="N763" s="85">
        <v>1635.52</v>
      </c>
      <c r="O763" s="85">
        <v>0</v>
      </c>
      <c r="P763" s="85">
        <v>1557.64</v>
      </c>
      <c r="Q763" s="85">
        <v>1635.52</v>
      </c>
      <c r="R763" s="85">
        <v>77.88</v>
      </c>
      <c r="S763" s="85">
        <v>1635.52</v>
      </c>
      <c r="T763" s="85">
        <v>0</v>
      </c>
      <c r="U763" s="82"/>
      <c r="V763" s="82" t="s">
        <v>3399</v>
      </c>
      <c r="W763" s="82" t="s">
        <v>3395</v>
      </c>
      <c r="X763" s="82" t="s">
        <v>3394</v>
      </c>
      <c r="Y763" s="82" t="s">
        <v>3393</v>
      </c>
    </row>
    <row r="764" spans="1:25" ht="10.9" customHeight="1" x14ac:dyDescent="0.2">
      <c r="A764" s="82" t="s">
        <v>2807</v>
      </c>
      <c r="B764" s="82" t="s">
        <v>245</v>
      </c>
      <c r="C764" s="83">
        <v>45860</v>
      </c>
      <c r="D764" s="83">
        <v>45890</v>
      </c>
      <c r="E764" s="83">
        <v>45890</v>
      </c>
      <c r="F764" s="83">
        <v>45904</v>
      </c>
      <c r="G764" s="83">
        <v>45860</v>
      </c>
      <c r="H764" s="82" t="s">
        <v>1328</v>
      </c>
      <c r="I764" s="82" t="s">
        <v>22</v>
      </c>
      <c r="J764" s="84">
        <v>0</v>
      </c>
      <c r="K764" s="85">
        <v>2494.36</v>
      </c>
      <c r="L764" s="85">
        <v>2619.08</v>
      </c>
      <c r="M764" s="85">
        <v>124.72</v>
      </c>
      <c r="N764" s="85">
        <v>2619.08</v>
      </c>
      <c r="O764" s="85">
        <v>0</v>
      </c>
      <c r="P764" s="85">
        <v>2494.36</v>
      </c>
      <c r="Q764" s="85">
        <v>2619.08</v>
      </c>
      <c r="R764" s="85">
        <v>124.72</v>
      </c>
      <c r="S764" s="85">
        <v>2619.08</v>
      </c>
      <c r="T764" s="85">
        <v>0</v>
      </c>
      <c r="U764" s="82"/>
      <c r="V764" s="82" t="s">
        <v>3399</v>
      </c>
      <c r="W764" s="82" t="s">
        <v>3395</v>
      </c>
      <c r="X764" s="82" t="s">
        <v>3394</v>
      </c>
      <c r="Y764" s="82" t="s">
        <v>3393</v>
      </c>
    </row>
    <row r="765" spans="1:25" ht="10.9" customHeight="1" x14ac:dyDescent="0.2">
      <c r="A765" s="82" t="s">
        <v>2690</v>
      </c>
      <c r="B765" s="82" t="s">
        <v>901</v>
      </c>
      <c r="C765" s="83">
        <v>45861</v>
      </c>
      <c r="D765" s="83">
        <v>45891</v>
      </c>
      <c r="E765" s="83">
        <v>45891</v>
      </c>
      <c r="F765" s="83">
        <v>45915</v>
      </c>
      <c r="G765" s="83">
        <v>45861</v>
      </c>
      <c r="H765" s="82" t="s">
        <v>1543</v>
      </c>
      <c r="I765" s="82" t="s">
        <v>51</v>
      </c>
      <c r="J765" s="84">
        <v>0.73505600000000004</v>
      </c>
      <c r="K765" s="85">
        <v>15930</v>
      </c>
      <c r="L765" s="85">
        <v>15930</v>
      </c>
      <c r="M765" s="85">
        <v>0</v>
      </c>
      <c r="N765" s="85">
        <v>15930</v>
      </c>
      <c r="O765" s="85">
        <v>0</v>
      </c>
      <c r="P765" s="85">
        <v>21671.818201606409</v>
      </c>
      <c r="Q765" s="85">
        <v>21671.818201606409</v>
      </c>
      <c r="R765" s="85">
        <v>0</v>
      </c>
      <c r="S765" s="85">
        <v>21943.720499999999</v>
      </c>
      <c r="T765" s="85">
        <v>0</v>
      </c>
      <c r="U765" s="82"/>
      <c r="V765" s="82" t="s">
        <v>3399</v>
      </c>
      <c r="W765" s="82" t="s">
        <v>3395</v>
      </c>
      <c r="X765" s="82" t="s">
        <v>3394</v>
      </c>
      <c r="Y765" s="82" t="s">
        <v>3393</v>
      </c>
    </row>
    <row r="766" spans="1:25" ht="10.9" customHeight="1" x14ac:dyDescent="0.2">
      <c r="A766" s="82" t="s">
        <v>2574</v>
      </c>
      <c r="B766" s="82" t="s">
        <v>901</v>
      </c>
      <c r="C766" s="83">
        <v>45861</v>
      </c>
      <c r="D766" s="83">
        <v>45891</v>
      </c>
      <c r="E766" s="83">
        <v>45891</v>
      </c>
      <c r="F766" s="83">
        <v>45904</v>
      </c>
      <c r="G766" s="83">
        <v>45861</v>
      </c>
      <c r="H766" s="82" t="s">
        <v>1741</v>
      </c>
      <c r="I766" s="82" t="s">
        <v>51</v>
      </c>
      <c r="J766" s="84">
        <v>0.73505600000000004</v>
      </c>
      <c r="K766" s="85">
        <v>1417.75</v>
      </c>
      <c r="L766" s="85">
        <v>1417.75</v>
      </c>
      <c r="M766" s="85">
        <v>0</v>
      </c>
      <c r="N766" s="85">
        <v>1417.75</v>
      </c>
      <c r="O766" s="85">
        <v>0</v>
      </c>
      <c r="P766" s="85">
        <v>1928.7646111316687</v>
      </c>
      <c r="Q766" s="85">
        <v>1928.7646111316687</v>
      </c>
      <c r="R766" s="85">
        <v>0</v>
      </c>
      <c r="S766" s="85">
        <v>1957.5854999999999</v>
      </c>
      <c r="T766" s="85">
        <v>0</v>
      </c>
      <c r="U766" s="82"/>
      <c r="V766" s="82" t="s">
        <v>3399</v>
      </c>
      <c r="W766" s="82" t="s">
        <v>3395</v>
      </c>
      <c r="X766" s="82" t="s">
        <v>3394</v>
      </c>
      <c r="Y766" s="82" t="s">
        <v>3393</v>
      </c>
    </row>
    <row r="767" spans="1:25" ht="10.9" customHeight="1" x14ac:dyDescent="0.2">
      <c r="A767" s="82" t="s">
        <v>2625</v>
      </c>
      <c r="B767" s="82" t="s">
        <v>1652</v>
      </c>
      <c r="C767" s="83">
        <v>45861</v>
      </c>
      <c r="D767" s="83">
        <v>45861</v>
      </c>
      <c r="E767" s="83">
        <v>45861</v>
      </c>
      <c r="F767" s="83">
        <v>45867</v>
      </c>
      <c r="G767" s="83">
        <v>45861</v>
      </c>
      <c r="H767" s="82" t="s">
        <v>1651</v>
      </c>
      <c r="I767" s="82" t="s">
        <v>51</v>
      </c>
      <c r="J767" s="84">
        <v>0.73505600000000004</v>
      </c>
      <c r="K767" s="85">
        <v>8036.64</v>
      </c>
      <c r="L767" s="85">
        <v>8036.64</v>
      </c>
      <c r="M767" s="85">
        <v>0</v>
      </c>
      <c r="N767" s="85">
        <v>8036.64</v>
      </c>
      <c r="O767" s="85">
        <v>0</v>
      </c>
      <c r="P767" s="85">
        <v>10933.371062885004</v>
      </c>
      <c r="Q767" s="85">
        <v>10933.371062885004</v>
      </c>
      <c r="R767" s="85">
        <v>0</v>
      </c>
      <c r="S767" s="85">
        <v>11070.3925</v>
      </c>
      <c r="T767" s="85">
        <v>0</v>
      </c>
      <c r="U767" s="82"/>
      <c r="V767" s="82" t="s">
        <v>3399</v>
      </c>
      <c r="W767" s="82" t="s">
        <v>3395</v>
      </c>
      <c r="X767" s="82" t="s">
        <v>3394</v>
      </c>
      <c r="Y767" s="82" t="s">
        <v>3393</v>
      </c>
    </row>
    <row r="768" spans="1:25" ht="10.9" customHeight="1" x14ac:dyDescent="0.2">
      <c r="A768" s="82" t="s">
        <v>2997</v>
      </c>
      <c r="B768" s="82" t="s">
        <v>146</v>
      </c>
      <c r="C768" s="83">
        <v>45861</v>
      </c>
      <c r="D768" s="83">
        <v>45891</v>
      </c>
      <c r="E768" s="83">
        <v>45891</v>
      </c>
      <c r="F768" s="83">
        <v>45898</v>
      </c>
      <c r="G768" s="83">
        <v>45861</v>
      </c>
      <c r="H768" s="82" t="s">
        <v>1004</v>
      </c>
      <c r="I768" s="82" t="s">
        <v>22</v>
      </c>
      <c r="J768" s="84">
        <v>0</v>
      </c>
      <c r="K768" s="85">
        <v>1210.56</v>
      </c>
      <c r="L768" s="85">
        <v>1271.0999999999999</v>
      </c>
      <c r="M768" s="85">
        <v>60.54</v>
      </c>
      <c r="N768" s="85">
        <v>1271.0999999999999</v>
      </c>
      <c r="O768" s="85">
        <v>0</v>
      </c>
      <c r="P768" s="85">
        <v>1210.56</v>
      </c>
      <c r="Q768" s="85">
        <v>1271.0999999999999</v>
      </c>
      <c r="R768" s="85">
        <v>60.54</v>
      </c>
      <c r="S768" s="85">
        <v>1271.0999999999999</v>
      </c>
      <c r="T768" s="85">
        <v>0</v>
      </c>
      <c r="U768" s="82"/>
      <c r="V768" s="82" t="s">
        <v>3399</v>
      </c>
      <c r="W768" s="82" t="s">
        <v>3395</v>
      </c>
      <c r="X768" s="82" t="s">
        <v>3394</v>
      </c>
      <c r="Y768" s="82" t="s">
        <v>3393</v>
      </c>
    </row>
    <row r="769" spans="1:25" ht="10.9" customHeight="1" x14ac:dyDescent="0.2">
      <c r="A769" s="82" t="s">
        <v>2862</v>
      </c>
      <c r="B769" s="82" t="s">
        <v>146</v>
      </c>
      <c r="C769" s="83">
        <v>45861</v>
      </c>
      <c r="D769" s="83">
        <v>45891</v>
      </c>
      <c r="E769" s="83">
        <v>45891</v>
      </c>
      <c r="F769" s="83">
        <v>45898</v>
      </c>
      <c r="G769" s="83">
        <v>45861</v>
      </c>
      <c r="H769" s="82" t="s">
        <v>1228</v>
      </c>
      <c r="I769" s="82" t="s">
        <v>22</v>
      </c>
      <c r="J769" s="84">
        <v>0</v>
      </c>
      <c r="K769" s="85">
        <v>4996.2700000000004</v>
      </c>
      <c r="L769" s="85">
        <v>5246.09</v>
      </c>
      <c r="M769" s="85">
        <v>249.82</v>
      </c>
      <c r="N769" s="85">
        <v>5246.09</v>
      </c>
      <c r="O769" s="85">
        <v>0</v>
      </c>
      <c r="P769" s="85">
        <v>4996.2700000000004</v>
      </c>
      <c r="Q769" s="85">
        <v>5246.09</v>
      </c>
      <c r="R769" s="85">
        <v>249.82</v>
      </c>
      <c r="S769" s="85">
        <v>5246.09</v>
      </c>
      <c r="T769" s="85">
        <v>0</v>
      </c>
      <c r="U769" s="82"/>
      <c r="V769" s="82" t="s">
        <v>3399</v>
      </c>
      <c r="W769" s="82" t="s">
        <v>3395</v>
      </c>
      <c r="X769" s="82" t="s">
        <v>3394</v>
      </c>
      <c r="Y769" s="82" t="s">
        <v>3393</v>
      </c>
    </row>
    <row r="770" spans="1:25" ht="10.9" customHeight="1" x14ac:dyDescent="0.2">
      <c r="A770" s="82" t="s">
        <v>3013</v>
      </c>
      <c r="B770" s="82" t="s">
        <v>146</v>
      </c>
      <c r="C770" s="83">
        <v>45861</v>
      </c>
      <c r="D770" s="83">
        <v>45891</v>
      </c>
      <c r="E770" s="83">
        <v>45891</v>
      </c>
      <c r="F770" s="83">
        <v>45898</v>
      </c>
      <c r="G770" s="83">
        <v>45861</v>
      </c>
      <c r="H770" s="82" t="s">
        <v>976</v>
      </c>
      <c r="I770" s="82" t="s">
        <v>22</v>
      </c>
      <c r="J770" s="84">
        <v>0</v>
      </c>
      <c r="K770" s="85">
        <v>810.36</v>
      </c>
      <c r="L770" s="85">
        <v>850.88</v>
      </c>
      <c r="M770" s="85">
        <v>40.520000000000003</v>
      </c>
      <c r="N770" s="85">
        <v>850.88</v>
      </c>
      <c r="O770" s="85">
        <v>0</v>
      </c>
      <c r="P770" s="85">
        <v>810.36</v>
      </c>
      <c r="Q770" s="85">
        <v>850.88</v>
      </c>
      <c r="R770" s="85">
        <v>40.520000000000003</v>
      </c>
      <c r="S770" s="85">
        <v>850.88</v>
      </c>
      <c r="T770" s="85">
        <v>0</v>
      </c>
      <c r="U770" s="82"/>
      <c r="V770" s="82" t="s">
        <v>3399</v>
      </c>
      <c r="W770" s="82" t="s">
        <v>3395</v>
      </c>
      <c r="X770" s="82" t="s">
        <v>3394</v>
      </c>
      <c r="Y770" s="82" t="s">
        <v>3393</v>
      </c>
    </row>
    <row r="771" spans="1:25" ht="10.9" customHeight="1" x14ac:dyDescent="0.2">
      <c r="A771" s="82" t="s">
        <v>3014</v>
      </c>
      <c r="B771" s="82" t="s">
        <v>239</v>
      </c>
      <c r="C771" s="83">
        <v>45861</v>
      </c>
      <c r="D771" s="83">
        <v>45891</v>
      </c>
      <c r="E771" s="83">
        <v>45891</v>
      </c>
      <c r="F771" s="83">
        <v>45903</v>
      </c>
      <c r="G771" s="83">
        <v>45861</v>
      </c>
      <c r="H771" s="82" t="s">
        <v>974</v>
      </c>
      <c r="I771" s="82" t="s">
        <v>51</v>
      </c>
      <c r="J771" s="84">
        <v>0.73505600000000004</v>
      </c>
      <c r="K771" s="85">
        <v>9803.7199999999993</v>
      </c>
      <c r="L771" s="85">
        <v>11078.21</v>
      </c>
      <c r="M771" s="85">
        <v>1274.49</v>
      </c>
      <c r="N771" s="85">
        <v>11078.21</v>
      </c>
      <c r="O771" s="85">
        <v>0</v>
      </c>
      <c r="P771" s="85">
        <v>13337.378376613482</v>
      </c>
      <c r="Q771" s="85">
        <v>15071.246272392851</v>
      </c>
      <c r="R771" s="85">
        <v>1733.8678957793688</v>
      </c>
      <c r="S771" s="85">
        <v>15294.466200000001</v>
      </c>
      <c r="T771" s="85">
        <v>0</v>
      </c>
      <c r="U771" s="82"/>
      <c r="V771" s="82" t="s">
        <v>3399</v>
      </c>
      <c r="W771" s="82" t="s">
        <v>3395</v>
      </c>
      <c r="X771" s="82" t="s">
        <v>3394</v>
      </c>
      <c r="Y771" s="82" t="s">
        <v>3393</v>
      </c>
    </row>
    <row r="772" spans="1:25" ht="10.9" customHeight="1" x14ac:dyDescent="0.2">
      <c r="A772" s="82" t="s">
        <v>2522</v>
      </c>
      <c r="B772" s="82" t="s">
        <v>581</v>
      </c>
      <c r="C772" s="83">
        <v>45862</v>
      </c>
      <c r="D772" s="83">
        <v>45892</v>
      </c>
      <c r="E772" s="83">
        <v>45892</v>
      </c>
      <c r="F772" s="83">
        <v>45897</v>
      </c>
      <c r="G772" s="83">
        <v>45862</v>
      </c>
      <c r="H772" s="82" t="s">
        <v>1830</v>
      </c>
      <c r="I772" s="82" t="s">
        <v>51</v>
      </c>
      <c r="J772" s="84">
        <v>0.73236500000000004</v>
      </c>
      <c r="K772" s="85">
        <v>42594</v>
      </c>
      <c r="L772" s="85">
        <v>42594</v>
      </c>
      <c r="M772" s="85">
        <v>0</v>
      </c>
      <c r="N772" s="85">
        <v>42594</v>
      </c>
      <c r="O772" s="85">
        <v>0</v>
      </c>
      <c r="P772" s="85">
        <v>58159.524280925492</v>
      </c>
      <c r="Q772" s="85">
        <v>58159.524280925492</v>
      </c>
      <c r="R772" s="85">
        <v>0</v>
      </c>
      <c r="S772" s="85">
        <v>58586.786699999997</v>
      </c>
      <c r="T772" s="85">
        <v>0</v>
      </c>
      <c r="U772" s="82"/>
      <c r="V772" s="82" t="s">
        <v>3399</v>
      </c>
      <c r="W772" s="82" t="s">
        <v>3395</v>
      </c>
      <c r="X772" s="82" t="s">
        <v>3394</v>
      </c>
      <c r="Y772" s="82" t="s">
        <v>3393</v>
      </c>
    </row>
    <row r="773" spans="1:25" ht="10.9" customHeight="1" x14ac:dyDescent="0.2">
      <c r="A773" s="82" t="s">
        <v>3010</v>
      </c>
      <c r="B773" s="82" t="s">
        <v>239</v>
      </c>
      <c r="C773" s="83">
        <v>45862</v>
      </c>
      <c r="D773" s="83">
        <v>45892</v>
      </c>
      <c r="E773" s="83">
        <v>45892</v>
      </c>
      <c r="F773" s="83">
        <v>45903</v>
      </c>
      <c r="G773" s="83">
        <v>45862</v>
      </c>
      <c r="H773" s="82" t="s">
        <v>3497</v>
      </c>
      <c r="I773" s="82" t="s">
        <v>51</v>
      </c>
      <c r="J773" s="84">
        <v>0.73236500000000004</v>
      </c>
      <c r="K773" s="85">
        <v>1984.85</v>
      </c>
      <c r="L773" s="85">
        <v>1984.85</v>
      </c>
      <c r="M773" s="85">
        <v>0</v>
      </c>
      <c r="N773" s="85">
        <v>1984.85</v>
      </c>
      <c r="O773" s="85">
        <v>0</v>
      </c>
      <c r="P773" s="85">
        <v>2710.1923221344546</v>
      </c>
      <c r="Q773" s="85">
        <v>2710.1923221344546</v>
      </c>
      <c r="R773" s="85">
        <v>0</v>
      </c>
      <c r="S773" s="85">
        <v>2740.2640999999999</v>
      </c>
      <c r="T773" s="85">
        <v>0</v>
      </c>
      <c r="U773" s="82"/>
      <c r="V773" s="82" t="s">
        <v>3399</v>
      </c>
      <c r="W773" s="82" t="s">
        <v>3395</v>
      </c>
      <c r="X773" s="82" t="s">
        <v>3394</v>
      </c>
      <c r="Y773" s="82" t="s">
        <v>3393</v>
      </c>
    </row>
    <row r="774" spans="1:25" ht="10.9" customHeight="1" x14ac:dyDescent="0.2">
      <c r="A774" s="82" t="s">
        <v>2976</v>
      </c>
      <c r="B774" s="82" t="s">
        <v>232</v>
      </c>
      <c r="C774" s="83">
        <v>45863</v>
      </c>
      <c r="D774" s="83">
        <v>45893</v>
      </c>
      <c r="E774" s="83">
        <v>45893</v>
      </c>
      <c r="F774" s="82"/>
      <c r="G774" s="83">
        <v>45863</v>
      </c>
      <c r="H774" s="82" t="s">
        <v>1036</v>
      </c>
      <c r="I774" s="82" t="s">
        <v>51</v>
      </c>
      <c r="J774" s="84">
        <v>0.72974600000000001</v>
      </c>
      <c r="K774" s="85">
        <v>10918.16</v>
      </c>
      <c r="L774" s="85">
        <v>10918.16</v>
      </c>
      <c r="M774" s="85">
        <v>0</v>
      </c>
      <c r="N774" s="85">
        <v>0</v>
      </c>
      <c r="O774" s="85">
        <v>10918.16</v>
      </c>
      <c r="P774" s="85">
        <v>14961.589374933195</v>
      </c>
      <c r="Q774" s="85">
        <v>14961.589374933195</v>
      </c>
      <c r="R774" s="85">
        <v>0</v>
      </c>
      <c r="S774" s="85">
        <v>0</v>
      </c>
      <c r="T774" s="85">
        <v>14984.3</v>
      </c>
      <c r="U774" s="82" t="s">
        <v>3401</v>
      </c>
      <c r="V774" s="82" t="s">
        <v>3396</v>
      </c>
      <c r="W774" s="82" t="s">
        <v>3395</v>
      </c>
      <c r="X774" s="82" t="s">
        <v>3394</v>
      </c>
      <c r="Y774" s="82" t="s">
        <v>3393</v>
      </c>
    </row>
    <row r="775" spans="1:25" ht="10.9" customHeight="1" x14ac:dyDescent="0.2">
      <c r="A775" s="82" t="s">
        <v>3017</v>
      </c>
      <c r="B775" s="82" t="s">
        <v>146</v>
      </c>
      <c r="C775" s="83">
        <v>45863</v>
      </c>
      <c r="D775" s="83">
        <v>45893</v>
      </c>
      <c r="E775" s="83">
        <v>45893</v>
      </c>
      <c r="F775" s="83">
        <v>45898</v>
      </c>
      <c r="G775" s="83">
        <v>45863</v>
      </c>
      <c r="H775" s="82" t="s">
        <v>968</v>
      </c>
      <c r="I775" s="82" t="s">
        <v>22</v>
      </c>
      <c r="J775" s="84">
        <v>0</v>
      </c>
      <c r="K775" s="85">
        <v>102.81</v>
      </c>
      <c r="L775" s="85">
        <v>107.95</v>
      </c>
      <c r="M775" s="85">
        <v>5.14</v>
      </c>
      <c r="N775" s="85">
        <v>107.95</v>
      </c>
      <c r="O775" s="85">
        <v>0</v>
      </c>
      <c r="P775" s="85">
        <v>102.81</v>
      </c>
      <c r="Q775" s="85">
        <v>107.95</v>
      </c>
      <c r="R775" s="85">
        <v>5.14</v>
      </c>
      <c r="S775" s="85">
        <v>107.95</v>
      </c>
      <c r="T775" s="85">
        <v>0</v>
      </c>
      <c r="U775" s="82"/>
      <c r="V775" s="82" t="s">
        <v>3399</v>
      </c>
      <c r="W775" s="82" t="s">
        <v>3395</v>
      </c>
      <c r="X775" s="82" t="s">
        <v>3394</v>
      </c>
      <c r="Y775" s="82" t="s">
        <v>3393</v>
      </c>
    </row>
    <row r="776" spans="1:25" ht="10.9" customHeight="1" x14ac:dyDescent="0.2">
      <c r="A776" s="82" t="s">
        <v>3019</v>
      </c>
      <c r="B776" s="82" t="s">
        <v>146</v>
      </c>
      <c r="C776" s="83">
        <v>45863</v>
      </c>
      <c r="D776" s="83">
        <v>45893</v>
      </c>
      <c r="E776" s="83">
        <v>45893</v>
      </c>
      <c r="F776" s="83">
        <v>45898</v>
      </c>
      <c r="G776" s="83">
        <v>45863</v>
      </c>
      <c r="H776" s="82" t="s">
        <v>966</v>
      </c>
      <c r="I776" s="82" t="s">
        <v>22</v>
      </c>
      <c r="J776" s="84">
        <v>0</v>
      </c>
      <c r="K776" s="85">
        <v>315.32</v>
      </c>
      <c r="L776" s="85">
        <v>331.08</v>
      </c>
      <c r="M776" s="85">
        <v>15.76</v>
      </c>
      <c r="N776" s="85">
        <v>331.08</v>
      </c>
      <c r="O776" s="85">
        <v>0</v>
      </c>
      <c r="P776" s="85">
        <v>315.32</v>
      </c>
      <c r="Q776" s="85">
        <v>331.08</v>
      </c>
      <c r="R776" s="85">
        <v>15.76</v>
      </c>
      <c r="S776" s="85">
        <v>331.08</v>
      </c>
      <c r="T776" s="85">
        <v>0</v>
      </c>
      <c r="U776" s="82"/>
      <c r="V776" s="82" t="s">
        <v>3399</v>
      </c>
      <c r="W776" s="82" t="s">
        <v>3395</v>
      </c>
      <c r="X776" s="82" t="s">
        <v>3394</v>
      </c>
      <c r="Y776" s="82" t="s">
        <v>3393</v>
      </c>
    </row>
    <row r="777" spans="1:25" ht="10.9" customHeight="1" x14ac:dyDescent="0.2">
      <c r="A777" s="82" t="s">
        <v>3016</v>
      </c>
      <c r="B777" s="82" t="s">
        <v>146</v>
      </c>
      <c r="C777" s="83">
        <v>45863</v>
      </c>
      <c r="D777" s="83">
        <v>45893</v>
      </c>
      <c r="E777" s="83">
        <v>45893</v>
      </c>
      <c r="F777" s="83">
        <v>45944</v>
      </c>
      <c r="G777" s="83">
        <v>45863</v>
      </c>
      <c r="H777" s="82" t="s">
        <v>970</v>
      </c>
      <c r="I777" s="82" t="s">
        <v>22</v>
      </c>
      <c r="J777" s="84">
        <v>0</v>
      </c>
      <c r="K777" s="85">
        <v>83.62</v>
      </c>
      <c r="L777" s="85">
        <v>87.8</v>
      </c>
      <c r="M777" s="85">
        <v>4.18</v>
      </c>
      <c r="N777" s="85">
        <v>87.8</v>
      </c>
      <c r="O777" s="85">
        <v>0</v>
      </c>
      <c r="P777" s="85">
        <v>83.62</v>
      </c>
      <c r="Q777" s="85">
        <v>87.8</v>
      </c>
      <c r="R777" s="85">
        <v>4.18</v>
      </c>
      <c r="S777" s="85">
        <v>87.8</v>
      </c>
      <c r="T777" s="85">
        <v>0</v>
      </c>
      <c r="U777" s="82"/>
      <c r="V777" s="82" t="s">
        <v>3399</v>
      </c>
      <c r="W777" s="82" t="s">
        <v>3395</v>
      </c>
      <c r="X777" s="82" t="s">
        <v>3394</v>
      </c>
      <c r="Y777" s="82" t="s">
        <v>3393</v>
      </c>
    </row>
    <row r="778" spans="1:25" ht="10.9" customHeight="1" x14ac:dyDescent="0.2">
      <c r="A778" s="82" t="s">
        <v>2906</v>
      </c>
      <c r="B778" s="82" t="s">
        <v>450</v>
      </c>
      <c r="C778" s="83">
        <v>45863</v>
      </c>
      <c r="D778" s="83">
        <v>45893</v>
      </c>
      <c r="E778" s="83">
        <v>45893</v>
      </c>
      <c r="F778" s="83">
        <v>45890</v>
      </c>
      <c r="G778" s="83">
        <v>45863</v>
      </c>
      <c r="H778" s="82" t="s">
        <v>1154</v>
      </c>
      <c r="I778" s="82" t="s">
        <v>22</v>
      </c>
      <c r="J778" s="84">
        <v>0</v>
      </c>
      <c r="K778" s="85">
        <v>240.76</v>
      </c>
      <c r="L778" s="85">
        <v>272.06</v>
      </c>
      <c r="M778" s="85">
        <v>31.3</v>
      </c>
      <c r="N778" s="85">
        <v>272.06</v>
      </c>
      <c r="O778" s="85">
        <v>0</v>
      </c>
      <c r="P778" s="85">
        <v>240.76</v>
      </c>
      <c r="Q778" s="85">
        <v>272.06</v>
      </c>
      <c r="R778" s="85">
        <v>31.3</v>
      </c>
      <c r="S778" s="85">
        <v>272.06</v>
      </c>
      <c r="T778" s="85">
        <v>0</v>
      </c>
      <c r="U778" s="82"/>
      <c r="V778" s="82" t="s">
        <v>3399</v>
      </c>
      <c r="W778" s="82" t="s">
        <v>3395</v>
      </c>
      <c r="X778" s="82" t="s">
        <v>3394</v>
      </c>
      <c r="Y778" s="82" t="s">
        <v>3393</v>
      </c>
    </row>
    <row r="779" spans="1:25" ht="10.9" customHeight="1" x14ac:dyDescent="0.2">
      <c r="A779" s="82" t="s">
        <v>2890</v>
      </c>
      <c r="B779" s="82" t="s">
        <v>450</v>
      </c>
      <c r="C779" s="83">
        <v>45863</v>
      </c>
      <c r="D779" s="83">
        <v>45893</v>
      </c>
      <c r="E779" s="83">
        <v>45893</v>
      </c>
      <c r="F779" s="83">
        <v>45890</v>
      </c>
      <c r="G779" s="83">
        <v>45863</v>
      </c>
      <c r="H779" s="82" t="s">
        <v>1181</v>
      </c>
      <c r="I779" s="82" t="s">
        <v>22</v>
      </c>
      <c r="J779" s="84">
        <v>0</v>
      </c>
      <c r="K779" s="85">
        <v>5181.7</v>
      </c>
      <c r="L779" s="85">
        <v>5855.32</v>
      </c>
      <c r="M779" s="85">
        <v>673.62</v>
      </c>
      <c r="N779" s="85">
        <v>5855.32</v>
      </c>
      <c r="O779" s="85">
        <v>0</v>
      </c>
      <c r="P779" s="85">
        <v>5181.7</v>
      </c>
      <c r="Q779" s="85">
        <v>5855.32</v>
      </c>
      <c r="R779" s="85">
        <v>673.62</v>
      </c>
      <c r="S779" s="85">
        <v>5855.32</v>
      </c>
      <c r="T779" s="85">
        <v>0</v>
      </c>
      <c r="U779" s="82"/>
      <c r="V779" s="82" t="s">
        <v>3399</v>
      </c>
      <c r="W779" s="82" t="s">
        <v>3395</v>
      </c>
      <c r="X779" s="82" t="s">
        <v>3394</v>
      </c>
      <c r="Y779" s="82" t="s">
        <v>3393</v>
      </c>
    </row>
    <row r="780" spans="1:25" ht="10.9" customHeight="1" x14ac:dyDescent="0.2">
      <c r="A780" s="82" t="s">
        <v>2972</v>
      </c>
      <c r="B780" s="82" t="s">
        <v>192</v>
      </c>
      <c r="C780" s="83">
        <v>45866</v>
      </c>
      <c r="D780" s="83">
        <v>45896</v>
      </c>
      <c r="E780" s="83">
        <v>45896</v>
      </c>
      <c r="F780" s="83">
        <v>45913</v>
      </c>
      <c r="G780" s="83">
        <v>45866</v>
      </c>
      <c r="H780" s="82" t="s">
        <v>1045</v>
      </c>
      <c r="I780" s="82" t="s">
        <v>51</v>
      </c>
      <c r="J780" s="84">
        <v>0.72888399999999998</v>
      </c>
      <c r="K780" s="85">
        <v>8540.11</v>
      </c>
      <c r="L780" s="85">
        <v>8540.11</v>
      </c>
      <c r="M780" s="85">
        <v>0</v>
      </c>
      <c r="N780" s="85">
        <v>8540.11</v>
      </c>
      <c r="O780" s="85">
        <v>0</v>
      </c>
      <c r="P780" s="85">
        <v>11716.692916842734</v>
      </c>
      <c r="Q780" s="85">
        <v>11716.692916842734</v>
      </c>
      <c r="R780" s="85">
        <v>0</v>
      </c>
      <c r="S780" s="85">
        <v>11827.375099999999</v>
      </c>
      <c r="T780" s="85">
        <v>0</v>
      </c>
      <c r="U780" s="82"/>
      <c r="V780" s="82" t="s">
        <v>3399</v>
      </c>
      <c r="W780" s="82" t="s">
        <v>3395</v>
      </c>
      <c r="X780" s="82" t="s">
        <v>3394</v>
      </c>
      <c r="Y780" s="82" t="s">
        <v>3393</v>
      </c>
    </row>
    <row r="781" spans="1:25" ht="10.9" customHeight="1" x14ac:dyDescent="0.2">
      <c r="A781" s="82" t="s">
        <v>3024</v>
      </c>
      <c r="B781" s="82" t="s">
        <v>465</v>
      </c>
      <c r="C781" s="83">
        <v>45866</v>
      </c>
      <c r="D781" s="83">
        <v>45896</v>
      </c>
      <c r="E781" s="83">
        <v>45896</v>
      </c>
      <c r="F781" s="83">
        <v>45903</v>
      </c>
      <c r="G781" s="83">
        <v>45866</v>
      </c>
      <c r="H781" s="82" t="s">
        <v>3496</v>
      </c>
      <c r="I781" s="82" t="s">
        <v>22</v>
      </c>
      <c r="J781" s="84">
        <v>0</v>
      </c>
      <c r="K781" s="85">
        <v>2476.7399999999998</v>
      </c>
      <c r="L781" s="85">
        <v>2798.72</v>
      </c>
      <c r="M781" s="85">
        <v>321.98</v>
      </c>
      <c r="N781" s="85">
        <v>2798.72</v>
      </c>
      <c r="O781" s="85">
        <v>0</v>
      </c>
      <c r="P781" s="85">
        <v>2476.7399999999998</v>
      </c>
      <c r="Q781" s="85">
        <v>2798.72</v>
      </c>
      <c r="R781" s="85">
        <v>321.98</v>
      </c>
      <c r="S781" s="85">
        <v>2798.72</v>
      </c>
      <c r="T781" s="85">
        <v>0</v>
      </c>
      <c r="U781" s="82"/>
      <c r="V781" s="82" t="s">
        <v>3399</v>
      </c>
      <c r="W781" s="82" t="s">
        <v>3395</v>
      </c>
      <c r="X781" s="82" t="s">
        <v>3394</v>
      </c>
      <c r="Y781" s="82" t="s">
        <v>3393</v>
      </c>
    </row>
    <row r="782" spans="1:25" ht="10.9" customHeight="1" x14ac:dyDescent="0.2">
      <c r="A782" s="82" t="s">
        <v>3000</v>
      </c>
      <c r="B782" s="82" t="s">
        <v>684</v>
      </c>
      <c r="C782" s="83">
        <v>45866</v>
      </c>
      <c r="D782" s="83">
        <v>45926</v>
      </c>
      <c r="E782" s="83">
        <v>45926</v>
      </c>
      <c r="F782" s="83">
        <v>45925</v>
      </c>
      <c r="G782" s="83">
        <v>45866</v>
      </c>
      <c r="H782" s="82" t="s">
        <v>1000</v>
      </c>
      <c r="I782" s="82" t="s">
        <v>22</v>
      </c>
      <c r="J782" s="84">
        <v>0</v>
      </c>
      <c r="K782" s="85">
        <v>2202.98</v>
      </c>
      <c r="L782" s="85">
        <v>2313.13</v>
      </c>
      <c r="M782" s="85">
        <v>110.15</v>
      </c>
      <c r="N782" s="85">
        <v>2313.13</v>
      </c>
      <c r="O782" s="85">
        <v>0</v>
      </c>
      <c r="P782" s="85">
        <v>2202.98</v>
      </c>
      <c r="Q782" s="85">
        <v>2313.13</v>
      </c>
      <c r="R782" s="85">
        <v>110.15</v>
      </c>
      <c r="S782" s="85">
        <v>2313.13</v>
      </c>
      <c r="T782" s="85">
        <v>0</v>
      </c>
      <c r="U782" s="82"/>
      <c r="V782" s="82" t="s">
        <v>3399</v>
      </c>
      <c r="W782" s="82" t="s">
        <v>3395</v>
      </c>
      <c r="X782" s="82" t="s">
        <v>3394</v>
      </c>
      <c r="Y782" s="82" t="s">
        <v>3393</v>
      </c>
    </row>
    <row r="783" spans="1:25" ht="10.9" customHeight="1" x14ac:dyDescent="0.2">
      <c r="A783" s="82" t="s">
        <v>3011</v>
      </c>
      <c r="B783" s="82" t="s">
        <v>3485</v>
      </c>
      <c r="C783" s="83">
        <v>45866</v>
      </c>
      <c r="D783" s="83">
        <v>45896</v>
      </c>
      <c r="E783" s="83">
        <v>45896</v>
      </c>
      <c r="F783" s="83">
        <v>45903</v>
      </c>
      <c r="G783" s="83">
        <v>45876</v>
      </c>
      <c r="H783" s="82" t="s">
        <v>980</v>
      </c>
      <c r="I783" s="82" t="s">
        <v>22</v>
      </c>
      <c r="J783" s="84">
        <v>0</v>
      </c>
      <c r="K783" s="85">
        <v>1363.36</v>
      </c>
      <c r="L783" s="85">
        <v>1540.6</v>
      </c>
      <c r="M783" s="85">
        <v>177.24</v>
      </c>
      <c r="N783" s="85">
        <v>1540.6</v>
      </c>
      <c r="O783" s="85">
        <v>0</v>
      </c>
      <c r="P783" s="85">
        <v>1363.36</v>
      </c>
      <c r="Q783" s="85">
        <v>1540.6</v>
      </c>
      <c r="R783" s="85">
        <v>177.24</v>
      </c>
      <c r="S783" s="85">
        <v>1540.6</v>
      </c>
      <c r="T783" s="85">
        <v>0</v>
      </c>
      <c r="U783" s="82"/>
      <c r="V783" s="82" t="s">
        <v>3399</v>
      </c>
      <c r="W783" s="82" t="s">
        <v>3395</v>
      </c>
      <c r="X783" s="82" t="s">
        <v>3394</v>
      </c>
      <c r="Y783" s="82" t="s">
        <v>3393</v>
      </c>
    </row>
    <row r="784" spans="1:25" ht="10.9" customHeight="1" x14ac:dyDescent="0.2">
      <c r="A784" s="82" t="s">
        <v>2919</v>
      </c>
      <c r="B784" s="82" t="s">
        <v>316</v>
      </c>
      <c r="C784" s="83">
        <v>45867</v>
      </c>
      <c r="D784" s="83">
        <v>45897</v>
      </c>
      <c r="E784" s="83">
        <v>45897</v>
      </c>
      <c r="F784" s="83">
        <v>45933</v>
      </c>
      <c r="G784" s="83">
        <v>45867</v>
      </c>
      <c r="H784" s="82" t="s">
        <v>1131</v>
      </c>
      <c r="I784" s="82" t="s">
        <v>22</v>
      </c>
      <c r="J784" s="84">
        <v>0</v>
      </c>
      <c r="K784" s="85">
        <v>2720.49</v>
      </c>
      <c r="L784" s="85">
        <v>2856.52</v>
      </c>
      <c r="M784" s="85">
        <v>136.03</v>
      </c>
      <c r="N784" s="85">
        <v>2856.52</v>
      </c>
      <c r="O784" s="85">
        <v>0</v>
      </c>
      <c r="P784" s="85">
        <v>2720.49</v>
      </c>
      <c r="Q784" s="85">
        <v>2856.52</v>
      </c>
      <c r="R784" s="85">
        <v>136.03</v>
      </c>
      <c r="S784" s="85">
        <v>2856.52</v>
      </c>
      <c r="T784" s="85">
        <v>0</v>
      </c>
      <c r="U784" s="82"/>
      <c r="V784" s="82" t="s">
        <v>3399</v>
      </c>
      <c r="W784" s="82" t="s">
        <v>3395</v>
      </c>
      <c r="X784" s="82" t="s">
        <v>3394</v>
      </c>
      <c r="Y784" s="82" t="s">
        <v>3393</v>
      </c>
    </row>
    <row r="785" spans="1:25" ht="10.9" customHeight="1" x14ac:dyDescent="0.2">
      <c r="A785" s="82" t="s">
        <v>3036</v>
      </c>
      <c r="B785" s="82" t="s">
        <v>316</v>
      </c>
      <c r="C785" s="83">
        <v>45867</v>
      </c>
      <c r="D785" s="83">
        <v>45897</v>
      </c>
      <c r="E785" s="83">
        <v>45897</v>
      </c>
      <c r="F785" s="83">
        <v>45905</v>
      </c>
      <c r="G785" s="83">
        <v>45867</v>
      </c>
      <c r="H785" s="82" t="s">
        <v>937</v>
      </c>
      <c r="I785" s="82" t="s">
        <v>22</v>
      </c>
      <c r="J785" s="84">
        <v>0</v>
      </c>
      <c r="K785" s="85">
        <v>1389.92</v>
      </c>
      <c r="L785" s="85">
        <v>1459.42</v>
      </c>
      <c r="M785" s="85">
        <v>69.5</v>
      </c>
      <c r="N785" s="85">
        <v>1459.42</v>
      </c>
      <c r="O785" s="85">
        <v>0</v>
      </c>
      <c r="P785" s="85">
        <v>1389.92</v>
      </c>
      <c r="Q785" s="85">
        <v>1459.42</v>
      </c>
      <c r="R785" s="85">
        <v>69.5</v>
      </c>
      <c r="S785" s="85">
        <v>1459.42</v>
      </c>
      <c r="T785" s="85">
        <v>0</v>
      </c>
      <c r="U785" s="82"/>
      <c r="V785" s="82" t="s">
        <v>3399</v>
      </c>
      <c r="W785" s="82" t="s">
        <v>3395</v>
      </c>
      <c r="X785" s="82" t="s">
        <v>3394</v>
      </c>
      <c r="Y785" s="82" t="s">
        <v>3393</v>
      </c>
    </row>
    <row r="786" spans="1:25" ht="10.9" customHeight="1" x14ac:dyDescent="0.2">
      <c r="A786" s="82" t="s">
        <v>3030</v>
      </c>
      <c r="B786" s="82" t="s">
        <v>35</v>
      </c>
      <c r="C786" s="83">
        <v>45867</v>
      </c>
      <c r="D786" s="83">
        <v>45897</v>
      </c>
      <c r="E786" s="83">
        <v>45897</v>
      </c>
      <c r="F786" s="83">
        <v>45904</v>
      </c>
      <c r="G786" s="83">
        <v>45867</v>
      </c>
      <c r="H786" s="82" t="s">
        <v>947</v>
      </c>
      <c r="I786" s="82" t="s">
        <v>22</v>
      </c>
      <c r="J786" s="84">
        <v>0</v>
      </c>
      <c r="K786" s="85">
        <v>1079.28</v>
      </c>
      <c r="L786" s="85">
        <v>1133.25</v>
      </c>
      <c r="M786" s="85">
        <v>53.97</v>
      </c>
      <c r="N786" s="85">
        <v>1133.25</v>
      </c>
      <c r="O786" s="85">
        <v>0</v>
      </c>
      <c r="P786" s="85">
        <v>1079.28</v>
      </c>
      <c r="Q786" s="85">
        <v>1133.25</v>
      </c>
      <c r="R786" s="85">
        <v>53.97</v>
      </c>
      <c r="S786" s="85">
        <v>1133.25</v>
      </c>
      <c r="T786" s="85">
        <v>0</v>
      </c>
      <c r="U786" s="82"/>
      <c r="V786" s="82" t="s">
        <v>3399</v>
      </c>
      <c r="W786" s="82" t="s">
        <v>3395</v>
      </c>
      <c r="X786" s="82" t="s">
        <v>3394</v>
      </c>
      <c r="Y786" s="82" t="s">
        <v>3393</v>
      </c>
    </row>
    <row r="787" spans="1:25" ht="10.9" customHeight="1" x14ac:dyDescent="0.2">
      <c r="A787" s="82" t="s">
        <v>2977</v>
      </c>
      <c r="B787" s="82" t="s">
        <v>109</v>
      </c>
      <c r="C787" s="83">
        <v>45868</v>
      </c>
      <c r="D787" s="83">
        <v>45898</v>
      </c>
      <c r="E787" s="83">
        <v>45898</v>
      </c>
      <c r="F787" s="83">
        <v>45902</v>
      </c>
      <c r="G787" s="83">
        <v>45868</v>
      </c>
      <c r="H787" s="82" t="s">
        <v>1034</v>
      </c>
      <c r="I787" s="82" t="s">
        <v>51</v>
      </c>
      <c r="J787" s="84">
        <v>0.72379800000000005</v>
      </c>
      <c r="K787" s="85">
        <v>9589.7199999999993</v>
      </c>
      <c r="L787" s="85">
        <v>9589.7199999999993</v>
      </c>
      <c r="M787" s="85">
        <v>0</v>
      </c>
      <c r="N787" s="85">
        <v>9589.7199999999993</v>
      </c>
      <c r="O787" s="85">
        <v>0</v>
      </c>
      <c r="P787" s="85">
        <v>13249.166203830349</v>
      </c>
      <c r="Q787" s="85">
        <v>13249.166203830349</v>
      </c>
      <c r="R787" s="85">
        <v>0</v>
      </c>
      <c r="S787" s="85">
        <v>13216.8089</v>
      </c>
      <c r="T787" s="85">
        <v>0</v>
      </c>
      <c r="U787" s="82"/>
      <c r="V787" s="82" t="s">
        <v>3399</v>
      </c>
      <c r="W787" s="82" t="s">
        <v>3395</v>
      </c>
      <c r="X787" s="82" t="s">
        <v>3394</v>
      </c>
      <c r="Y787" s="82" t="s">
        <v>3393</v>
      </c>
    </row>
    <row r="788" spans="1:25" ht="10.9" customHeight="1" x14ac:dyDescent="0.2">
      <c r="A788" s="82" t="s">
        <v>2964</v>
      </c>
      <c r="B788" s="82" t="s">
        <v>109</v>
      </c>
      <c r="C788" s="83">
        <v>45868</v>
      </c>
      <c r="D788" s="83">
        <v>45898</v>
      </c>
      <c r="E788" s="83">
        <v>45898</v>
      </c>
      <c r="F788" s="83">
        <v>45902</v>
      </c>
      <c r="G788" s="83">
        <v>45868</v>
      </c>
      <c r="H788" s="82" t="s">
        <v>1059</v>
      </c>
      <c r="I788" s="82" t="s">
        <v>51</v>
      </c>
      <c r="J788" s="84">
        <v>0.72379800000000005</v>
      </c>
      <c r="K788" s="85">
        <v>23073.65</v>
      </c>
      <c r="L788" s="85">
        <v>23073.65</v>
      </c>
      <c r="M788" s="85">
        <v>0</v>
      </c>
      <c r="N788" s="85">
        <v>23073.65</v>
      </c>
      <c r="O788" s="85">
        <v>0</v>
      </c>
      <c r="P788" s="85">
        <v>31878.576619443545</v>
      </c>
      <c r="Q788" s="85">
        <v>31878.576619443545</v>
      </c>
      <c r="R788" s="85">
        <v>0</v>
      </c>
      <c r="S788" s="85">
        <v>31800.722300000001</v>
      </c>
      <c r="T788" s="85">
        <v>0</v>
      </c>
      <c r="U788" s="82"/>
      <c r="V788" s="82" t="s">
        <v>3399</v>
      </c>
      <c r="W788" s="82" t="s">
        <v>3395</v>
      </c>
      <c r="X788" s="82" t="s">
        <v>3394</v>
      </c>
      <c r="Y788" s="82" t="s">
        <v>3393</v>
      </c>
    </row>
    <row r="789" spans="1:25" ht="10.9" customHeight="1" x14ac:dyDescent="0.2">
      <c r="A789" s="82" t="s">
        <v>3012</v>
      </c>
      <c r="B789" s="82" t="s">
        <v>109</v>
      </c>
      <c r="C789" s="83">
        <v>45868</v>
      </c>
      <c r="D789" s="83">
        <v>45898</v>
      </c>
      <c r="E789" s="83">
        <v>45898</v>
      </c>
      <c r="F789" s="83">
        <v>45902</v>
      </c>
      <c r="G789" s="83">
        <v>45868</v>
      </c>
      <c r="H789" s="82" t="s">
        <v>978</v>
      </c>
      <c r="I789" s="82" t="s">
        <v>51</v>
      </c>
      <c r="J789" s="84">
        <v>0.72379800000000005</v>
      </c>
      <c r="K789" s="85">
        <v>14878.98</v>
      </c>
      <c r="L789" s="85">
        <v>14878.98</v>
      </c>
      <c r="M789" s="85">
        <v>0</v>
      </c>
      <c r="N789" s="85">
        <v>14878.98</v>
      </c>
      <c r="O789" s="85">
        <v>0</v>
      </c>
      <c r="P789" s="85">
        <v>20556.812812414511</v>
      </c>
      <c r="Q789" s="85">
        <v>20556.812812414511</v>
      </c>
      <c r="R789" s="85">
        <v>0</v>
      </c>
      <c r="S789" s="85">
        <v>20506.6086</v>
      </c>
      <c r="T789" s="85">
        <v>0</v>
      </c>
      <c r="U789" s="82"/>
      <c r="V789" s="82" t="s">
        <v>3399</v>
      </c>
      <c r="W789" s="82" t="s">
        <v>3395</v>
      </c>
      <c r="X789" s="82" t="s">
        <v>3394</v>
      </c>
      <c r="Y789" s="82" t="s">
        <v>3393</v>
      </c>
    </row>
    <row r="790" spans="1:25" ht="10.9" customHeight="1" x14ac:dyDescent="0.2">
      <c r="A790" s="82" t="s">
        <v>3037</v>
      </c>
      <c r="B790" s="82" t="s">
        <v>70</v>
      </c>
      <c r="C790" s="83">
        <v>45868</v>
      </c>
      <c r="D790" s="83">
        <v>45928</v>
      </c>
      <c r="E790" s="83">
        <v>45928</v>
      </c>
      <c r="F790" s="83">
        <v>45951</v>
      </c>
      <c r="G790" s="83">
        <v>45868</v>
      </c>
      <c r="H790" s="82" t="s">
        <v>935</v>
      </c>
      <c r="I790" s="82" t="s">
        <v>51</v>
      </c>
      <c r="J790" s="84">
        <v>0.72329100000000002</v>
      </c>
      <c r="K790" s="85">
        <v>1795.04</v>
      </c>
      <c r="L790" s="85">
        <v>1795.04</v>
      </c>
      <c r="M790" s="85">
        <v>0</v>
      </c>
      <c r="N790" s="85">
        <v>1795.04</v>
      </c>
      <c r="O790" s="85">
        <v>0</v>
      </c>
      <c r="P790" s="85">
        <v>2481.7673661085232</v>
      </c>
      <c r="Q790" s="85">
        <v>2481.7673661085232</v>
      </c>
      <c r="R790" s="85">
        <v>0</v>
      </c>
      <c r="S790" s="85">
        <v>2513.8820999999998</v>
      </c>
      <c r="T790" s="85">
        <v>0</v>
      </c>
      <c r="U790" s="82"/>
      <c r="V790" s="82" t="s">
        <v>3399</v>
      </c>
      <c r="W790" s="82" t="s">
        <v>3395</v>
      </c>
      <c r="X790" s="82" t="s">
        <v>3394</v>
      </c>
      <c r="Y790" s="82" t="s">
        <v>3393</v>
      </c>
    </row>
    <row r="791" spans="1:25" ht="10.9" customHeight="1" x14ac:dyDescent="0.2">
      <c r="A791" s="82" t="s">
        <v>3025</v>
      </c>
      <c r="B791" s="82" t="s">
        <v>70</v>
      </c>
      <c r="C791" s="83">
        <v>45868</v>
      </c>
      <c r="D791" s="83">
        <v>45928</v>
      </c>
      <c r="E791" s="83">
        <v>45928</v>
      </c>
      <c r="F791" s="83">
        <v>45951</v>
      </c>
      <c r="G791" s="83">
        <v>45868</v>
      </c>
      <c r="H791" s="82" t="s">
        <v>956</v>
      </c>
      <c r="I791" s="82" t="s">
        <v>51</v>
      </c>
      <c r="J791" s="84">
        <v>0.72329100000000002</v>
      </c>
      <c r="K791" s="85">
        <v>6094.44</v>
      </c>
      <c r="L791" s="85">
        <v>6094.44</v>
      </c>
      <c r="M791" s="85">
        <v>0</v>
      </c>
      <c r="N791" s="85">
        <v>6094.44</v>
      </c>
      <c r="O791" s="85">
        <v>0</v>
      </c>
      <c r="P791" s="85">
        <v>8425.9862213134129</v>
      </c>
      <c r="Q791" s="85">
        <v>8425.9862213134129</v>
      </c>
      <c r="R791" s="85">
        <v>0</v>
      </c>
      <c r="S791" s="85">
        <v>8542.0308000000005</v>
      </c>
      <c r="T791" s="85">
        <v>0</v>
      </c>
      <c r="U791" s="82"/>
      <c r="V791" s="82" t="s">
        <v>3399</v>
      </c>
      <c r="W791" s="82" t="s">
        <v>3395</v>
      </c>
      <c r="X791" s="82" t="s">
        <v>3394</v>
      </c>
      <c r="Y791" s="82" t="s">
        <v>3393</v>
      </c>
    </row>
    <row r="792" spans="1:25" ht="10.9" customHeight="1" x14ac:dyDescent="0.2">
      <c r="A792" s="82" t="s">
        <v>3018</v>
      </c>
      <c r="B792" s="82" t="s">
        <v>146</v>
      </c>
      <c r="C792" s="83">
        <v>45868</v>
      </c>
      <c r="D792" s="83">
        <v>45898</v>
      </c>
      <c r="E792" s="83">
        <v>45898</v>
      </c>
      <c r="F792" s="83">
        <v>45912</v>
      </c>
      <c r="G792" s="83">
        <v>45868</v>
      </c>
      <c r="H792" s="82" t="s">
        <v>966</v>
      </c>
      <c r="I792" s="82" t="s">
        <v>22</v>
      </c>
      <c r="J792" s="84">
        <v>0</v>
      </c>
      <c r="K792" s="85">
        <v>48</v>
      </c>
      <c r="L792" s="85">
        <v>50.4</v>
      </c>
      <c r="M792" s="85">
        <v>2.4</v>
      </c>
      <c r="N792" s="85">
        <v>50.4</v>
      </c>
      <c r="O792" s="85">
        <v>0</v>
      </c>
      <c r="P792" s="85">
        <v>48</v>
      </c>
      <c r="Q792" s="85">
        <v>50.4</v>
      </c>
      <c r="R792" s="85">
        <v>2.4</v>
      </c>
      <c r="S792" s="85">
        <v>50.4</v>
      </c>
      <c r="T792" s="85">
        <v>0</v>
      </c>
      <c r="U792" s="82"/>
      <c r="V792" s="82" t="s">
        <v>3399</v>
      </c>
      <c r="W792" s="82" t="s">
        <v>3395</v>
      </c>
      <c r="X792" s="82" t="s">
        <v>3394</v>
      </c>
      <c r="Y792" s="82" t="s">
        <v>3393</v>
      </c>
    </row>
    <row r="793" spans="1:25" ht="10.9" customHeight="1" x14ac:dyDescent="0.2">
      <c r="A793" s="82" t="s">
        <v>3042</v>
      </c>
      <c r="B793" s="82" t="s">
        <v>54</v>
      </c>
      <c r="C793" s="83">
        <v>45868</v>
      </c>
      <c r="D793" s="83">
        <v>45898</v>
      </c>
      <c r="E793" s="83">
        <v>45898</v>
      </c>
      <c r="F793" s="83">
        <v>45904</v>
      </c>
      <c r="G793" s="83">
        <v>45868</v>
      </c>
      <c r="H793" s="82" t="s">
        <v>927</v>
      </c>
      <c r="I793" s="82" t="s">
        <v>22</v>
      </c>
      <c r="J793" s="84">
        <v>0</v>
      </c>
      <c r="K793" s="85">
        <v>5764.56</v>
      </c>
      <c r="L793" s="85">
        <v>6052.79</v>
      </c>
      <c r="M793" s="85">
        <v>288.23</v>
      </c>
      <c r="N793" s="85">
        <v>6052.79</v>
      </c>
      <c r="O793" s="85">
        <v>0</v>
      </c>
      <c r="P793" s="85">
        <v>5764.56</v>
      </c>
      <c r="Q793" s="85">
        <v>6052.79</v>
      </c>
      <c r="R793" s="85">
        <v>288.23</v>
      </c>
      <c r="S793" s="85">
        <v>6052.79</v>
      </c>
      <c r="T793" s="85">
        <v>0</v>
      </c>
      <c r="U793" s="82"/>
      <c r="V793" s="82" t="s">
        <v>3399</v>
      </c>
      <c r="W793" s="82" t="s">
        <v>3395</v>
      </c>
      <c r="X793" s="82" t="s">
        <v>3394</v>
      </c>
      <c r="Y793" s="82" t="s">
        <v>3393</v>
      </c>
    </row>
    <row r="794" spans="1:25" ht="10.9" customHeight="1" x14ac:dyDescent="0.2">
      <c r="A794" s="82" t="s">
        <v>2966</v>
      </c>
      <c r="B794" s="82" t="s">
        <v>77</v>
      </c>
      <c r="C794" s="83">
        <v>45868</v>
      </c>
      <c r="D794" s="83">
        <v>45898</v>
      </c>
      <c r="E794" s="83">
        <v>45898</v>
      </c>
      <c r="F794" s="83">
        <v>45912</v>
      </c>
      <c r="G794" s="83">
        <v>45868</v>
      </c>
      <c r="H794" s="82" t="s">
        <v>1057</v>
      </c>
      <c r="I794" s="82" t="s">
        <v>22</v>
      </c>
      <c r="J794" s="84">
        <v>0</v>
      </c>
      <c r="K794" s="85">
        <v>110.83</v>
      </c>
      <c r="L794" s="85">
        <v>116.37</v>
      </c>
      <c r="M794" s="85">
        <v>5.54</v>
      </c>
      <c r="N794" s="85">
        <v>116.37</v>
      </c>
      <c r="O794" s="85">
        <v>0</v>
      </c>
      <c r="P794" s="85">
        <v>110.83</v>
      </c>
      <c r="Q794" s="85">
        <v>116.37</v>
      </c>
      <c r="R794" s="85">
        <v>5.54</v>
      </c>
      <c r="S794" s="85">
        <v>116.37</v>
      </c>
      <c r="T794" s="85">
        <v>0</v>
      </c>
      <c r="U794" s="82"/>
      <c r="V794" s="82" t="s">
        <v>3399</v>
      </c>
      <c r="W794" s="82" t="s">
        <v>3395</v>
      </c>
      <c r="X794" s="82" t="s">
        <v>3394</v>
      </c>
      <c r="Y794" s="82" t="s">
        <v>3393</v>
      </c>
    </row>
    <row r="795" spans="1:25" ht="10.9" customHeight="1" x14ac:dyDescent="0.2">
      <c r="A795" s="82" t="s">
        <v>3039</v>
      </c>
      <c r="B795" s="82" t="s">
        <v>242</v>
      </c>
      <c r="C795" s="83">
        <v>45868</v>
      </c>
      <c r="D795" s="83">
        <v>45898</v>
      </c>
      <c r="E795" s="83">
        <v>45898</v>
      </c>
      <c r="F795" s="83">
        <v>45903</v>
      </c>
      <c r="G795" s="83">
        <v>45868</v>
      </c>
      <c r="H795" s="82" t="s">
        <v>931</v>
      </c>
      <c r="I795" s="82" t="s">
        <v>22</v>
      </c>
      <c r="J795" s="84">
        <v>0</v>
      </c>
      <c r="K795" s="85">
        <v>262.76</v>
      </c>
      <c r="L795" s="85">
        <v>275.89999999999998</v>
      </c>
      <c r="M795" s="85">
        <v>13.14</v>
      </c>
      <c r="N795" s="85">
        <v>275.89999999999998</v>
      </c>
      <c r="O795" s="85">
        <v>0</v>
      </c>
      <c r="P795" s="85">
        <v>262.76</v>
      </c>
      <c r="Q795" s="85">
        <v>275.89999999999998</v>
      </c>
      <c r="R795" s="85">
        <v>13.14</v>
      </c>
      <c r="S795" s="85">
        <v>275.89999999999998</v>
      </c>
      <c r="T795" s="85">
        <v>0</v>
      </c>
      <c r="U795" s="82"/>
      <c r="V795" s="82" t="s">
        <v>3399</v>
      </c>
      <c r="W795" s="82" t="s">
        <v>3395</v>
      </c>
      <c r="X795" s="82" t="s">
        <v>3394</v>
      </c>
      <c r="Y795" s="82" t="s">
        <v>3393</v>
      </c>
    </row>
    <row r="796" spans="1:25" ht="10.9" customHeight="1" x14ac:dyDescent="0.2">
      <c r="A796" s="82" t="s">
        <v>3494</v>
      </c>
      <c r="B796" s="82" t="s">
        <v>3493</v>
      </c>
      <c r="C796" s="83">
        <v>45869</v>
      </c>
      <c r="D796" s="83">
        <v>45914</v>
      </c>
      <c r="E796" s="83">
        <v>45914</v>
      </c>
      <c r="F796" s="83">
        <v>45923</v>
      </c>
      <c r="G796" s="83">
        <v>45897</v>
      </c>
      <c r="H796" s="82" t="s">
        <v>3492</v>
      </c>
      <c r="I796" s="82" t="s">
        <v>51</v>
      </c>
      <c r="J796" s="84">
        <v>0.72151600000000005</v>
      </c>
      <c r="K796" s="85">
        <v>20741.03</v>
      </c>
      <c r="L796" s="85">
        <v>20741.03</v>
      </c>
      <c r="M796" s="85">
        <v>0</v>
      </c>
      <c r="N796" s="85">
        <v>20741.03</v>
      </c>
      <c r="O796" s="85">
        <v>0</v>
      </c>
      <c r="P796" s="85">
        <v>28746.458844987497</v>
      </c>
      <c r="Q796" s="85">
        <v>28746.458844987497</v>
      </c>
      <c r="R796" s="85">
        <v>0</v>
      </c>
      <c r="S796" s="85">
        <v>28697.1001</v>
      </c>
      <c r="T796" s="85">
        <v>0</v>
      </c>
      <c r="U796" s="82"/>
      <c r="V796" s="82" t="s">
        <v>3399</v>
      </c>
      <c r="W796" s="82" t="s">
        <v>3395</v>
      </c>
      <c r="X796" s="82" t="s">
        <v>3394</v>
      </c>
      <c r="Y796" s="82" t="s">
        <v>3393</v>
      </c>
    </row>
    <row r="797" spans="1:25" ht="10.9" customHeight="1" x14ac:dyDescent="0.2">
      <c r="A797" s="82" t="s">
        <v>3495</v>
      </c>
      <c r="B797" s="82" t="s">
        <v>3493</v>
      </c>
      <c r="C797" s="83">
        <v>45869</v>
      </c>
      <c r="D797" s="83">
        <v>45914</v>
      </c>
      <c r="E797" s="83">
        <v>45914</v>
      </c>
      <c r="F797" s="83">
        <v>45923</v>
      </c>
      <c r="G797" s="83">
        <v>45897</v>
      </c>
      <c r="H797" s="82" t="s">
        <v>3492</v>
      </c>
      <c r="I797" s="82" t="s">
        <v>51</v>
      </c>
      <c r="J797" s="84">
        <v>0.72151600000000005</v>
      </c>
      <c r="K797" s="85">
        <v>2327.8000000000002</v>
      </c>
      <c r="L797" s="85">
        <v>2327.8000000000002</v>
      </c>
      <c r="M797" s="85">
        <v>0</v>
      </c>
      <c r="N797" s="85">
        <v>2327.8000000000002</v>
      </c>
      <c r="O797" s="85">
        <v>0</v>
      </c>
      <c r="P797" s="85">
        <v>3226.2624806657095</v>
      </c>
      <c r="Q797" s="85">
        <v>3226.2624806657095</v>
      </c>
      <c r="R797" s="85">
        <v>0</v>
      </c>
      <c r="S797" s="85">
        <v>3220.7228</v>
      </c>
      <c r="T797" s="85">
        <v>0</v>
      </c>
      <c r="U797" s="82"/>
      <c r="V797" s="82" t="s">
        <v>3399</v>
      </c>
      <c r="W797" s="82" t="s">
        <v>3395</v>
      </c>
      <c r="X797" s="82" t="s">
        <v>3394</v>
      </c>
      <c r="Y797" s="82" t="s">
        <v>3393</v>
      </c>
    </row>
    <row r="798" spans="1:25" ht="10.9" customHeight="1" x14ac:dyDescent="0.2">
      <c r="A798" s="82" t="s">
        <v>3491</v>
      </c>
      <c r="B798" s="82" t="s">
        <v>3442</v>
      </c>
      <c r="C798" s="83">
        <v>45869</v>
      </c>
      <c r="D798" s="83">
        <v>45914</v>
      </c>
      <c r="E798" s="83">
        <v>45914</v>
      </c>
      <c r="F798" s="83">
        <v>45974</v>
      </c>
      <c r="G798" s="83">
        <v>45869</v>
      </c>
      <c r="H798" s="82" t="s">
        <v>3490</v>
      </c>
      <c r="I798" s="82" t="s">
        <v>51</v>
      </c>
      <c r="J798" s="84">
        <v>0.72151600000000005</v>
      </c>
      <c r="K798" s="85">
        <v>105302</v>
      </c>
      <c r="L798" s="85">
        <v>105302</v>
      </c>
      <c r="M798" s="85">
        <v>0</v>
      </c>
      <c r="N798" s="85">
        <v>105302</v>
      </c>
      <c r="O798" s="85">
        <v>0</v>
      </c>
      <c r="P798" s="85">
        <v>145945.48145848463</v>
      </c>
      <c r="Q798" s="85">
        <v>145945.48145848463</v>
      </c>
      <c r="R798" s="85">
        <v>0</v>
      </c>
      <c r="S798" s="85">
        <v>147790.2065</v>
      </c>
      <c r="T798" s="85">
        <v>0</v>
      </c>
      <c r="U798" s="82"/>
      <c r="V798" s="82" t="s">
        <v>3399</v>
      </c>
      <c r="W798" s="82" t="s">
        <v>3395</v>
      </c>
      <c r="X798" s="82" t="s">
        <v>3394</v>
      </c>
      <c r="Y798" s="82" t="s">
        <v>3393</v>
      </c>
    </row>
    <row r="799" spans="1:25" ht="10.9" customHeight="1" x14ac:dyDescent="0.2">
      <c r="A799" s="82" t="s">
        <v>2521</v>
      </c>
      <c r="B799" s="82" t="s">
        <v>581</v>
      </c>
      <c r="C799" s="83">
        <v>45869</v>
      </c>
      <c r="D799" s="83">
        <v>45899</v>
      </c>
      <c r="E799" s="83">
        <v>45899</v>
      </c>
      <c r="F799" s="83">
        <v>45904</v>
      </c>
      <c r="G799" s="83">
        <v>45869</v>
      </c>
      <c r="H799" s="82" t="s">
        <v>1830</v>
      </c>
      <c r="I799" s="82" t="s">
        <v>51</v>
      </c>
      <c r="J799" s="84">
        <v>0.72225099999999998</v>
      </c>
      <c r="K799" s="85">
        <v>412.8</v>
      </c>
      <c r="L799" s="85">
        <v>412.8</v>
      </c>
      <c r="M799" s="85">
        <v>0</v>
      </c>
      <c r="N799" s="85">
        <v>412.8</v>
      </c>
      <c r="O799" s="85">
        <v>0</v>
      </c>
      <c r="P799" s="85">
        <v>571.54645684118123</v>
      </c>
      <c r="Q799" s="85">
        <v>571.54645684118123</v>
      </c>
      <c r="R799" s="85">
        <v>0</v>
      </c>
      <c r="S799" s="85">
        <v>569.98149999999998</v>
      </c>
      <c r="T799" s="85">
        <v>0</v>
      </c>
      <c r="U799" s="82"/>
      <c r="V799" s="82" t="s">
        <v>3399</v>
      </c>
      <c r="W799" s="82" t="s">
        <v>3395</v>
      </c>
      <c r="X799" s="82" t="s">
        <v>3394</v>
      </c>
      <c r="Y799" s="82" t="s">
        <v>3393</v>
      </c>
    </row>
    <row r="800" spans="1:25" ht="10.9" customHeight="1" x14ac:dyDescent="0.2">
      <c r="A800" s="82" t="s">
        <v>2925</v>
      </c>
      <c r="B800" s="82" t="s">
        <v>159</v>
      </c>
      <c r="C800" s="83">
        <v>45870</v>
      </c>
      <c r="D800" s="83">
        <v>45915</v>
      </c>
      <c r="E800" s="83">
        <v>45915</v>
      </c>
      <c r="F800" s="83">
        <v>45953</v>
      </c>
      <c r="G800" s="83">
        <v>45870</v>
      </c>
      <c r="H800" s="82" t="s">
        <v>1123</v>
      </c>
      <c r="I800" s="82" t="s">
        <v>51</v>
      </c>
      <c r="J800" s="84">
        <v>0.72526299999999999</v>
      </c>
      <c r="K800" s="85">
        <v>5594.11</v>
      </c>
      <c r="L800" s="85">
        <v>5594.11</v>
      </c>
      <c r="M800" s="85">
        <v>0</v>
      </c>
      <c r="N800" s="85">
        <v>5594.11</v>
      </c>
      <c r="O800" s="85">
        <v>0</v>
      </c>
      <c r="P800" s="85">
        <v>7713.2157575941419</v>
      </c>
      <c r="Q800" s="85">
        <v>7713.2157575941419</v>
      </c>
      <c r="R800" s="85">
        <v>0</v>
      </c>
      <c r="S800" s="85">
        <v>7824.7070999999996</v>
      </c>
      <c r="T800" s="85">
        <v>0</v>
      </c>
      <c r="U800" s="82"/>
      <c r="V800" s="82" t="s">
        <v>3399</v>
      </c>
      <c r="W800" s="82" t="s">
        <v>3395</v>
      </c>
      <c r="X800" s="82" t="s">
        <v>3397</v>
      </c>
      <c r="Y800" s="82" t="s">
        <v>3393</v>
      </c>
    </row>
    <row r="801" spans="1:25" ht="10.9" customHeight="1" x14ac:dyDescent="0.2">
      <c r="A801" s="82" t="s">
        <v>2994</v>
      </c>
      <c r="B801" s="82" t="s">
        <v>159</v>
      </c>
      <c r="C801" s="83">
        <v>45870</v>
      </c>
      <c r="D801" s="83">
        <v>45915</v>
      </c>
      <c r="E801" s="83">
        <v>45915</v>
      </c>
      <c r="F801" s="83">
        <v>45919</v>
      </c>
      <c r="G801" s="83">
        <v>45870</v>
      </c>
      <c r="H801" s="82" t="s">
        <v>1008</v>
      </c>
      <c r="I801" s="82" t="s">
        <v>51</v>
      </c>
      <c r="J801" s="84">
        <v>0.72573200000000004</v>
      </c>
      <c r="K801" s="85">
        <v>23887.63</v>
      </c>
      <c r="L801" s="85">
        <v>23887.63</v>
      </c>
      <c r="M801" s="85">
        <v>0</v>
      </c>
      <c r="N801" s="85">
        <v>23887.63</v>
      </c>
      <c r="O801" s="85">
        <v>0</v>
      </c>
      <c r="P801" s="85">
        <v>32915.222148120796</v>
      </c>
      <c r="Q801" s="85">
        <v>32915.222148120796</v>
      </c>
      <c r="R801" s="85">
        <v>0</v>
      </c>
      <c r="S801" s="85">
        <v>32948.682399999998</v>
      </c>
      <c r="T801" s="85">
        <v>0</v>
      </c>
      <c r="U801" s="82"/>
      <c r="V801" s="82" t="s">
        <v>3399</v>
      </c>
      <c r="W801" s="82" t="s">
        <v>3395</v>
      </c>
      <c r="X801" s="82" t="s">
        <v>3394</v>
      </c>
      <c r="Y801" s="82" t="s">
        <v>3393</v>
      </c>
    </row>
    <row r="802" spans="1:25" ht="10.9" customHeight="1" x14ac:dyDescent="0.2">
      <c r="A802" s="82" t="s">
        <v>2827</v>
      </c>
      <c r="B802" s="82" t="s">
        <v>159</v>
      </c>
      <c r="C802" s="83">
        <v>45870</v>
      </c>
      <c r="D802" s="83">
        <v>45915</v>
      </c>
      <c r="E802" s="83">
        <v>45915</v>
      </c>
      <c r="F802" s="83">
        <v>45926</v>
      </c>
      <c r="G802" s="83">
        <v>45870</v>
      </c>
      <c r="H802" s="82" t="s">
        <v>1290</v>
      </c>
      <c r="I802" s="82" t="s">
        <v>51</v>
      </c>
      <c r="J802" s="84">
        <v>0.72573200000000004</v>
      </c>
      <c r="K802" s="85">
        <v>4378.96</v>
      </c>
      <c r="L802" s="85">
        <v>4378.96</v>
      </c>
      <c r="M802" s="85">
        <v>0</v>
      </c>
      <c r="N802" s="85">
        <v>4378.96</v>
      </c>
      <c r="O802" s="85">
        <v>0</v>
      </c>
      <c r="P802" s="85">
        <v>6033.852716980924</v>
      </c>
      <c r="Q802" s="85">
        <v>6033.852716980924</v>
      </c>
      <c r="R802" s="85">
        <v>0</v>
      </c>
      <c r="S802" s="85">
        <v>6111.7174999999997</v>
      </c>
      <c r="T802" s="85">
        <v>0</v>
      </c>
      <c r="U802" s="82"/>
      <c r="V802" s="82" t="s">
        <v>3399</v>
      </c>
      <c r="W802" s="82" t="s">
        <v>3395</v>
      </c>
      <c r="X802" s="82" t="s">
        <v>3394</v>
      </c>
      <c r="Y802" s="82" t="s">
        <v>3393</v>
      </c>
    </row>
    <row r="803" spans="1:25" ht="10.9" customHeight="1" x14ac:dyDescent="0.2">
      <c r="A803" s="82" t="s">
        <v>2996</v>
      </c>
      <c r="B803" s="82" t="s">
        <v>159</v>
      </c>
      <c r="C803" s="83">
        <v>45870</v>
      </c>
      <c r="D803" s="83">
        <v>45915</v>
      </c>
      <c r="E803" s="83">
        <v>45915</v>
      </c>
      <c r="F803" s="83">
        <v>45911</v>
      </c>
      <c r="G803" s="83">
        <v>45870</v>
      </c>
      <c r="H803" s="82" t="s">
        <v>1006</v>
      </c>
      <c r="I803" s="82" t="s">
        <v>51</v>
      </c>
      <c r="J803" s="84">
        <v>0.72573200000000004</v>
      </c>
      <c r="K803" s="85">
        <v>34777.160000000003</v>
      </c>
      <c r="L803" s="85">
        <v>34777.160000000003</v>
      </c>
      <c r="M803" s="85">
        <v>0</v>
      </c>
      <c r="N803" s="85">
        <v>34777.160000000003</v>
      </c>
      <c r="O803" s="85">
        <v>0</v>
      </c>
      <c r="P803" s="85">
        <v>47920.113761002685</v>
      </c>
      <c r="Q803" s="85">
        <v>47920.113761002685</v>
      </c>
      <c r="R803" s="85">
        <v>0</v>
      </c>
      <c r="S803" s="85">
        <v>48118.693200000002</v>
      </c>
      <c r="T803" s="85">
        <v>0</v>
      </c>
      <c r="U803" s="82"/>
      <c r="V803" s="82" t="s">
        <v>3399</v>
      </c>
      <c r="W803" s="82" t="s">
        <v>3395</v>
      </c>
      <c r="X803" s="82" t="s">
        <v>3394</v>
      </c>
      <c r="Y803" s="82" t="s">
        <v>3393</v>
      </c>
    </row>
    <row r="804" spans="1:25" ht="10.9" customHeight="1" x14ac:dyDescent="0.2">
      <c r="A804" s="82" t="s">
        <v>2987</v>
      </c>
      <c r="B804" s="82" t="s">
        <v>159</v>
      </c>
      <c r="C804" s="83">
        <v>45870</v>
      </c>
      <c r="D804" s="83">
        <v>45915</v>
      </c>
      <c r="E804" s="83">
        <v>45915</v>
      </c>
      <c r="F804" s="83">
        <v>45919</v>
      </c>
      <c r="G804" s="83">
        <v>45870</v>
      </c>
      <c r="H804" s="82" t="s">
        <v>3489</v>
      </c>
      <c r="I804" s="82" t="s">
        <v>51</v>
      </c>
      <c r="J804" s="84">
        <v>0.72573200000000004</v>
      </c>
      <c r="K804" s="85">
        <v>11012.48</v>
      </c>
      <c r="L804" s="85">
        <v>11012.48</v>
      </c>
      <c r="M804" s="85">
        <v>0</v>
      </c>
      <c r="N804" s="85">
        <v>11012.48</v>
      </c>
      <c r="O804" s="85">
        <v>0</v>
      </c>
      <c r="P804" s="85">
        <v>15174.306768889894</v>
      </c>
      <c r="Q804" s="85">
        <v>15174.306768889894</v>
      </c>
      <c r="R804" s="85">
        <v>0</v>
      </c>
      <c r="S804" s="85">
        <v>15181.795899999999</v>
      </c>
      <c r="T804" s="85">
        <v>0</v>
      </c>
      <c r="U804" s="82"/>
      <c r="V804" s="82" t="s">
        <v>3399</v>
      </c>
      <c r="W804" s="82" t="s">
        <v>3395</v>
      </c>
      <c r="X804" s="82" t="s">
        <v>3394</v>
      </c>
      <c r="Y804" s="82" t="s">
        <v>3393</v>
      </c>
    </row>
    <row r="805" spans="1:25" ht="10.9" customHeight="1" x14ac:dyDescent="0.2">
      <c r="A805" s="82" t="s">
        <v>3044</v>
      </c>
      <c r="B805" s="82" t="s">
        <v>109</v>
      </c>
      <c r="C805" s="83">
        <v>45873</v>
      </c>
      <c r="D805" s="83">
        <v>45903</v>
      </c>
      <c r="E805" s="83">
        <v>45903</v>
      </c>
      <c r="F805" s="83">
        <v>45902</v>
      </c>
      <c r="G805" s="83">
        <v>45873</v>
      </c>
      <c r="H805" s="82" t="s">
        <v>3488</v>
      </c>
      <c r="I805" s="82" t="s">
        <v>51</v>
      </c>
      <c r="J805" s="84">
        <v>0.72550999999999999</v>
      </c>
      <c r="K805" s="85">
        <v>8960.35</v>
      </c>
      <c r="L805" s="85">
        <v>8960.35</v>
      </c>
      <c r="M805" s="85">
        <v>0</v>
      </c>
      <c r="N805" s="85">
        <v>8960.35</v>
      </c>
      <c r="O805" s="85">
        <v>0</v>
      </c>
      <c r="P805" s="85">
        <v>12350.41556973715</v>
      </c>
      <c r="Q805" s="85">
        <v>12350.41556973715</v>
      </c>
      <c r="R805" s="85">
        <v>0</v>
      </c>
      <c r="S805" s="85">
        <v>12349.3943</v>
      </c>
      <c r="T805" s="85">
        <v>0</v>
      </c>
      <c r="U805" s="82"/>
      <c r="V805" s="82" t="s">
        <v>3399</v>
      </c>
      <c r="W805" s="82" t="s">
        <v>3395</v>
      </c>
      <c r="X805" s="82" t="s">
        <v>3394</v>
      </c>
      <c r="Y805" s="82" t="s">
        <v>3393</v>
      </c>
    </row>
    <row r="806" spans="1:25" ht="10.9" customHeight="1" x14ac:dyDescent="0.2">
      <c r="A806" s="82"/>
      <c r="B806" s="82" t="s">
        <v>3464</v>
      </c>
      <c r="C806" s="83">
        <v>45873</v>
      </c>
      <c r="D806" s="83">
        <v>45873</v>
      </c>
      <c r="E806" s="83">
        <v>45873</v>
      </c>
      <c r="F806" s="83">
        <v>45909</v>
      </c>
      <c r="G806" s="83">
        <v>45929</v>
      </c>
      <c r="H806" s="82" t="s">
        <v>984</v>
      </c>
      <c r="I806" s="82" t="s">
        <v>51</v>
      </c>
      <c r="J806" s="84">
        <v>0.72544699999999995</v>
      </c>
      <c r="K806" s="85">
        <v>-6521.75</v>
      </c>
      <c r="L806" s="85">
        <v>-6521.75</v>
      </c>
      <c r="M806" s="85">
        <v>0</v>
      </c>
      <c r="N806" s="85">
        <v>-6521.75</v>
      </c>
      <c r="O806" s="85">
        <v>0</v>
      </c>
      <c r="P806" s="85">
        <v>-8989.9744571278115</v>
      </c>
      <c r="Q806" s="85">
        <v>-8989.9744571278115</v>
      </c>
      <c r="R806" s="85">
        <v>0</v>
      </c>
      <c r="S806" s="85">
        <v>-8989.9745000000003</v>
      </c>
      <c r="T806" s="85">
        <v>0</v>
      </c>
      <c r="U806" s="82"/>
      <c r="V806" s="82" t="s">
        <v>3399</v>
      </c>
      <c r="W806" s="82" t="s">
        <v>3423</v>
      </c>
      <c r="X806" s="82" t="s">
        <v>3397</v>
      </c>
      <c r="Y806" s="82"/>
    </row>
    <row r="807" spans="1:25" ht="10.9" customHeight="1" x14ac:dyDescent="0.2">
      <c r="A807" s="82" t="s">
        <v>3047</v>
      </c>
      <c r="B807" s="82" t="s">
        <v>146</v>
      </c>
      <c r="C807" s="83">
        <v>45874</v>
      </c>
      <c r="D807" s="83">
        <v>45904</v>
      </c>
      <c r="E807" s="83">
        <v>45904</v>
      </c>
      <c r="F807" s="83">
        <v>45912</v>
      </c>
      <c r="G807" s="83">
        <v>45874</v>
      </c>
      <c r="H807" s="82" t="s">
        <v>919</v>
      </c>
      <c r="I807" s="82" t="s">
        <v>22</v>
      </c>
      <c r="J807" s="84">
        <v>0</v>
      </c>
      <c r="K807" s="85">
        <v>124.8</v>
      </c>
      <c r="L807" s="85">
        <v>131.04</v>
      </c>
      <c r="M807" s="85">
        <v>6.24</v>
      </c>
      <c r="N807" s="85">
        <v>131.04</v>
      </c>
      <c r="O807" s="85">
        <v>0</v>
      </c>
      <c r="P807" s="85">
        <v>124.8</v>
      </c>
      <c r="Q807" s="85">
        <v>131.04</v>
      </c>
      <c r="R807" s="85">
        <v>6.24</v>
      </c>
      <c r="S807" s="85">
        <v>131.04</v>
      </c>
      <c r="T807" s="85">
        <v>0</v>
      </c>
      <c r="U807" s="82"/>
      <c r="V807" s="82" t="s">
        <v>3399</v>
      </c>
      <c r="W807" s="82" t="s">
        <v>3395</v>
      </c>
      <c r="X807" s="82" t="s">
        <v>3394</v>
      </c>
      <c r="Y807" s="82" t="s">
        <v>3393</v>
      </c>
    </row>
    <row r="808" spans="1:25" ht="10.9" customHeight="1" x14ac:dyDescent="0.2">
      <c r="A808" s="82" t="s">
        <v>3054</v>
      </c>
      <c r="B808" s="82" t="s">
        <v>229</v>
      </c>
      <c r="C808" s="83">
        <v>45874</v>
      </c>
      <c r="D808" s="83">
        <v>45904</v>
      </c>
      <c r="E808" s="83">
        <v>45904</v>
      </c>
      <c r="F808" s="83">
        <v>45931</v>
      </c>
      <c r="G808" s="83">
        <v>45874</v>
      </c>
      <c r="H808" s="82" t="s">
        <v>905</v>
      </c>
      <c r="I808" s="82" t="s">
        <v>22</v>
      </c>
      <c r="J808" s="84">
        <v>0</v>
      </c>
      <c r="K808" s="85">
        <v>297.88</v>
      </c>
      <c r="L808" s="85">
        <v>312.77</v>
      </c>
      <c r="M808" s="85">
        <v>14.89</v>
      </c>
      <c r="N808" s="85">
        <v>312.77</v>
      </c>
      <c r="O808" s="85">
        <v>0</v>
      </c>
      <c r="P808" s="85">
        <v>297.88</v>
      </c>
      <c r="Q808" s="85">
        <v>312.77</v>
      </c>
      <c r="R808" s="85">
        <v>14.89</v>
      </c>
      <c r="S808" s="85">
        <v>312.77</v>
      </c>
      <c r="T808" s="85">
        <v>0</v>
      </c>
      <c r="U808" s="82"/>
      <c r="V808" s="82" t="s">
        <v>3399</v>
      </c>
      <c r="W808" s="82" t="s">
        <v>3395</v>
      </c>
      <c r="X808" s="82" t="s">
        <v>3394</v>
      </c>
      <c r="Y808" s="82" t="s">
        <v>3393</v>
      </c>
    </row>
    <row r="809" spans="1:25" ht="10.9" customHeight="1" x14ac:dyDescent="0.2">
      <c r="A809" s="82" t="s">
        <v>2854</v>
      </c>
      <c r="B809" s="82" t="s">
        <v>20</v>
      </c>
      <c r="C809" s="83">
        <v>45874</v>
      </c>
      <c r="D809" s="83">
        <v>45934</v>
      </c>
      <c r="E809" s="83">
        <v>45934</v>
      </c>
      <c r="F809" s="83">
        <v>45933</v>
      </c>
      <c r="G809" s="83">
        <v>45874</v>
      </c>
      <c r="H809" s="82" t="s">
        <v>1244</v>
      </c>
      <c r="I809" s="82" t="s">
        <v>22</v>
      </c>
      <c r="J809" s="84">
        <v>0</v>
      </c>
      <c r="K809" s="85">
        <v>2251.38</v>
      </c>
      <c r="L809" s="85">
        <v>2363.9499999999998</v>
      </c>
      <c r="M809" s="85">
        <v>112.57</v>
      </c>
      <c r="N809" s="85">
        <v>2363.9499999999998</v>
      </c>
      <c r="O809" s="85">
        <v>0</v>
      </c>
      <c r="P809" s="85">
        <v>2251.38</v>
      </c>
      <c r="Q809" s="85">
        <v>2363.9499999999998</v>
      </c>
      <c r="R809" s="85">
        <v>112.57</v>
      </c>
      <c r="S809" s="85">
        <v>2363.9499999999998</v>
      </c>
      <c r="T809" s="85">
        <v>0</v>
      </c>
      <c r="U809" s="82"/>
      <c r="V809" s="82" t="s">
        <v>3399</v>
      </c>
      <c r="W809" s="82" t="s">
        <v>3395</v>
      </c>
      <c r="X809" s="82" t="s">
        <v>3394</v>
      </c>
      <c r="Y809" s="82" t="s">
        <v>3393</v>
      </c>
    </row>
    <row r="810" spans="1:25" ht="10.9" customHeight="1" x14ac:dyDescent="0.2">
      <c r="A810" s="82" t="s">
        <v>2875</v>
      </c>
      <c r="B810" s="82" t="s">
        <v>20</v>
      </c>
      <c r="C810" s="83">
        <v>45874</v>
      </c>
      <c r="D810" s="83">
        <v>45934</v>
      </c>
      <c r="E810" s="83">
        <v>45934</v>
      </c>
      <c r="F810" s="83">
        <v>45933</v>
      </c>
      <c r="G810" s="83">
        <v>45874</v>
      </c>
      <c r="H810" s="82" t="s">
        <v>1210</v>
      </c>
      <c r="I810" s="82" t="s">
        <v>22</v>
      </c>
      <c r="J810" s="84">
        <v>0</v>
      </c>
      <c r="K810" s="85">
        <v>1589.1</v>
      </c>
      <c r="L810" s="85">
        <v>1668.56</v>
      </c>
      <c r="M810" s="85">
        <v>79.459999999999994</v>
      </c>
      <c r="N810" s="85">
        <v>1668.56</v>
      </c>
      <c r="O810" s="85">
        <v>0</v>
      </c>
      <c r="P810" s="85">
        <v>1589.1</v>
      </c>
      <c r="Q810" s="85">
        <v>1668.56</v>
      </c>
      <c r="R810" s="85">
        <v>79.459999999999994</v>
      </c>
      <c r="S810" s="85">
        <v>1668.56</v>
      </c>
      <c r="T810" s="85">
        <v>0</v>
      </c>
      <c r="U810" s="82"/>
      <c r="V810" s="82" t="s">
        <v>3399</v>
      </c>
      <c r="W810" s="82" t="s">
        <v>3395</v>
      </c>
      <c r="X810" s="82" t="s">
        <v>3394</v>
      </c>
      <c r="Y810" s="82" t="s">
        <v>3393</v>
      </c>
    </row>
    <row r="811" spans="1:25" ht="10.9" customHeight="1" x14ac:dyDescent="0.2">
      <c r="A811" s="82" t="s">
        <v>2934</v>
      </c>
      <c r="B811" s="82" t="s">
        <v>77</v>
      </c>
      <c r="C811" s="83">
        <v>45874</v>
      </c>
      <c r="D811" s="83">
        <v>45904</v>
      </c>
      <c r="E811" s="83">
        <v>45904</v>
      </c>
      <c r="F811" s="83">
        <v>45940</v>
      </c>
      <c r="G811" s="83">
        <v>45874</v>
      </c>
      <c r="H811" s="82" t="s">
        <v>1109</v>
      </c>
      <c r="I811" s="82" t="s">
        <v>22</v>
      </c>
      <c r="J811" s="84">
        <v>0</v>
      </c>
      <c r="K811" s="85">
        <v>2155.7800000000002</v>
      </c>
      <c r="L811" s="85">
        <v>2263.5700000000002</v>
      </c>
      <c r="M811" s="85">
        <v>107.79</v>
      </c>
      <c r="N811" s="85">
        <v>2263.5700000000002</v>
      </c>
      <c r="O811" s="85">
        <v>0</v>
      </c>
      <c r="P811" s="85">
        <v>2155.7800000000002</v>
      </c>
      <c r="Q811" s="85">
        <v>2263.5700000000002</v>
      </c>
      <c r="R811" s="85">
        <v>107.79</v>
      </c>
      <c r="S811" s="85">
        <v>2263.5700000000002</v>
      </c>
      <c r="T811" s="85">
        <v>0</v>
      </c>
      <c r="U811" s="82"/>
      <c r="V811" s="82" t="s">
        <v>3399</v>
      </c>
      <c r="W811" s="82" t="s">
        <v>3395</v>
      </c>
      <c r="X811" s="82" t="s">
        <v>3394</v>
      </c>
      <c r="Y811" s="82" t="s">
        <v>3393</v>
      </c>
    </row>
    <row r="812" spans="1:25" ht="10.9" customHeight="1" x14ac:dyDescent="0.2">
      <c r="A812" s="82" t="s">
        <v>2845</v>
      </c>
      <c r="B812" s="82" t="s">
        <v>1261</v>
      </c>
      <c r="C812" s="83">
        <v>45874</v>
      </c>
      <c r="D812" s="83">
        <v>45904</v>
      </c>
      <c r="E812" s="83">
        <v>45904</v>
      </c>
      <c r="F812" s="83">
        <v>45912</v>
      </c>
      <c r="G812" s="83">
        <v>45874</v>
      </c>
      <c r="H812" s="82" t="s">
        <v>1260</v>
      </c>
      <c r="I812" s="82" t="s">
        <v>22</v>
      </c>
      <c r="J812" s="84">
        <v>0</v>
      </c>
      <c r="K812" s="85">
        <v>5710.29</v>
      </c>
      <c r="L812" s="85">
        <v>5995.8</v>
      </c>
      <c r="M812" s="85">
        <v>285.51</v>
      </c>
      <c r="N812" s="85">
        <v>5995.8</v>
      </c>
      <c r="O812" s="85">
        <v>0</v>
      </c>
      <c r="P812" s="85">
        <v>5710.29</v>
      </c>
      <c r="Q812" s="85">
        <v>5995.8</v>
      </c>
      <c r="R812" s="85">
        <v>285.51</v>
      </c>
      <c r="S812" s="85">
        <v>5995.8</v>
      </c>
      <c r="T812" s="85">
        <v>0</v>
      </c>
      <c r="U812" s="82"/>
      <c r="V812" s="82" t="s">
        <v>3399</v>
      </c>
      <c r="W812" s="82" t="s">
        <v>3395</v>
      </c>
      <c r="X812" s="82" t="s">
        <v>3394</v>
      </c>
      <c r="Y812" s="82" t="s">
        <v>3393</v>
      </c>
    </row>
    <row r="813" spans="1:25" ht="10.9" customHeight="1" x14ac:dyDescent="0.2">
      <c r="A813" s="82" t="s">
        <v>2711</v>
      </c>
      <c r="B813" s="82" t="s">
        <v>86</v>
      </c>
      <c r="C813" s="83">
        <v>45874</v>
      </c>
      <c r="D813" s="83">
        <v>45904</v>
      </c>
      <c r="E813" s="83">
        <v>45904</v>
      </c>
      <c r="F813" s="83">
        <v>45904</v>
      </c>
      <c r="G813" s="83">
        <v>45874</v>
      </c>
      <c r="H813" s="82" t="s">
        <v>1502</v>
      </c>
      <c r="I813" s="82" t="s">
        <v>22</v>
      </c>
      <c r="J813" s="84">
        <v>0</v>
      </c>
      <c r="K813" s="85">
        <v>7398.1</v>
      </c>
      <c r="L813" s="85">
        <v>7768.01</v>
      </c>
      <c r="M813" s="85">
        <v>369.91</v>
      </c>
      <c r="N813" s="85">
        <v>7768.01</v>
      </c>
      <c r="O813" s="85">
        <v>0</v>
      </c>
      <c r="P813" s="85">
        <v>7398.1</v>
      </c>
      <c r="Q813" s="85">
        <v>7768.01</v>
      </c>
      <c r="R813" s="85">
        <v>369.91</v>
      </c>
      <c r="S813" s="85">
        <v>7768.01</v>
      </c>
      <c r="T813" s="85">
        <v>0</v>
      </c>
      <c r="U813" s="82"/>
      <c r="V813" s="82" t="s">
        <v>3399</v>
      </c>
      <c r="W813" s="82" t="s">
        <v>3395</v>
      </c>
      <c r="X813" s="82" t="s">
        <v>3394</v>
      </c>
      <c r="Y813" s="82" t="s">
        <v>3393</v>
      </c>
    </row>
    <row r="814" spans="1:25" ht="10.9" customHeight="1" x14ac:dyDescent="0.2">
      <c r="A814" s="82" t="s">
        <v>3032</v>
      </c>
      <c r="B814" s="82" t="s">
        <v>39</v>
      </c>
      <c r="C814" s="83">
        <v>45874</v>
      </c>
      <c r="D814" s="83">
        <v>45904</v>
      </c>
      <c r="E814" s="83">
        <v>45904</v>
      </c>
      <c r="F814" s="83">
        <v>45904</v>
      </c>
      <c r="G814" s="83">
        <v>45874</v>
      </c>
      <c r="H814" s="82" t="s">
        <v>945</v>
      </c>
      <c r="I814" s="82" t="s">
        <v>22</v>
      </c>
      <c r="J814" s="84">
        <v>0</v>
      </c>
      <c r="K814" s="85">
        <v>14898.28</v>
      </c>
      <c r="L814" s="85">
        <v>15899.49</v>
      </c>
      <c r="M814" s="85">
        <v>1001.21</v>
      </c>
      <c r="N814" s="85">
        <v>15899.49</v>
      </c>
      <c r="O814" s="85">
        <v>0</v>
      </c>
      <c r="P814" s="85">
        <v>14898.28</v>
      </c>
      <c r="Q814" s="85">
        <v>15899.49</v>
      </c>
      <c r="R814" s="85">
        <v>1001.21</v>
      </c>
      <c r="S814" s="85">
        <v>15899.49</v>
      </c>
      <c r="T814" s="85">
        <v>0</v>
      </c>
      <c r="U814" s="82"/>
      <c r="V814" s="82" t="s">
        <v>3399</v>
      </c>
      <c r="W814" s="82" t="s">
        <v>3395</v>
      </c>
      <c r="X814" s="82" t="s">
        <v>3394</v>
      </c>
      <c r="Y814" s="82" t="s">
        <v>3393</v>
      </c>
    </row>
    <row r="815" spans="1:25" ht="10.9" customHeight="1" x14ac:dyDescent="0.2">
      <c r="A815" s="82" t="s">
        <v>3049</v>
      </c>
      <c r="B815" s="82" t="s">
        <v>39</v>
      </c>
      <c r="C815" s="83">
        <v>45874</v>
      </c>
      <c r="D815" s="83">
        <v>45904</v>
      </c>
      <c r="E815" s="83">
        <v>45904</v>
      </c>
      <c r="F815" s="83">
        <v>45904</v>
      </c>
      <c r="G815" s="83">
        <v>45874</v>
      </c>
      <c r="H815" s="82" t="s">
        <v>915</v>
      </c>
      <c r="I815" s="82" t="s">
        <v>22</v>
      </c>
      <c r="J815" s="84">
        <v>0</v>
      </c>
      <c r="K815" s="85">
        <v>2609.71</v>
      </c>
      <c r="L815" s="85">
        <v>2740.19</v>
      </c>
      <c r="M815" s="85">
        <v>130.47999999999999</v>
      </c>
      <c r="N815" s="85">
        <v>2740.19</v>
      </c>
      <c r="O815" s="85">
        <v>0</v>
      </c>
      <c r="P815" s="85">
        <v>2609.71</v>
      </c>
      <c r="Q815" s="85">
        <v>2740.19</v>
      </c>
      <c r="R815" s="85">
        <v>130.47999999999999</v>
      </c>
      <c r="S815" s="85">
        <v>2740.19</v>
      </c>
      <c r="T815" s="85">
        <v>0</v>
      </c>
      <c r="U815" s="82"/>
      <c r="V815" s="82" t="s">
        <v>3399</v>
      </c>
      <c r="W815" s="82" t="s">
        <v>3395</v>
      </c>
      <c r="X815" s="82" t="s">
        <v>3394</v>
      </c>
      <c r="Y815" s="82" t="s">
        <v>3393</v>
      </c>
    </row>
    <row r="816" spans="1:25" ht="10.9" customHeight="1" x14ac:dyDescent="0.2">
      <c r="A816" s="82" t="s">
        <v>3040</v>
      </c>
      <c r="B816" s="82" t="s">
        <v>952</v>
      </c>
      <c r="C816" s="83">
        <v>45874</v>
      </c>
      <c r="D816" s="83">
        <v>45904</v>
      </c>
      <c r="E816" s="83">
        <v>45904</v>
      </c>
      <c r="F816" s="83">
        <v>45896</v>
      </c>
      <c r="G816" s="83">
        <v>45874</v>
      </c>
      <c r="H816" s="82" t="s">
        <v>929</v>
      </c>
      <c r="I816" s="82" t="s">
        <v>22</v>
      </c>
      <c r="J816" s="84">
        <v>0</v>
      </c>
      <c r="K816" s="85">
        <v>1005.03</v>
      </c>
      <c r="L816" s="85">
        <v>1055.28</v>
      </c>
      <c r="M816" s="85">
        <v>50.25</v>
      </c>
      <c r="N816" s="85">
        <v>1055.28</v>
      </c>
      <c r="O816" s="85">
        <v>0</v>
      </c>
      <c r="P816" s="85">
        <v>1005.03</v>
      </c>
      <c r="Q816" s="85">
        <v>1055.28</v>
      </c>
      <c r="R816" s="85">
        <v>50.25</v>
      </c>
      <c r="S816" s="85">
        <v>1055.28</v>
      </c>
      <c r="T816" s="85">
        <v>0</v>
      </c>
      <c r="U816" s="82"/>
      <c r="V816" s="82" t="s">
        <v>3399</v>
      </c>
      <c r="W816" s="82" t="s">
        <v>3395</v>
      </c>
      <c r="X816" s="82" t="s">
        <v>3394</v>
      </c>
      <c r="Y816" s="82" t="s">
        <v>3393</v>
      </c>
    </row>
    <row r="817" spans="1:25" ht="10.9" customHeight="1" x14ac:dyDescent="0.2">
      <c r="A817" s="82" t="s">
        <v>2941</v>
      </c>
      <c r="B817" s="82" t="s">
        <v>26</v>
      </c>
      <c r="C817" s="83">
        <v>45875</v>
      </c>
      <c r="D817" s="83">
        <v>45935</v>
      </c>
      <c r="E817" s="83">
        <v>45935</v>
      </c>
      <c r="F817" s="83">
        <v>45933</v>
      </c>
      <c r="G817" s="83">
        <v>45875</v>
      </c>
      <c r="H817" s="82" t="s">
        <v>1097</v>
      </c>
      <c r="I817" s="82" t="s">
        <v>22</v>
      </c>
      <c r="J817" s="84">
        <v>0</v>
      </c>
      <c r="K817" s="85">
        <v>765.02</v>
      </c>
      <c r="L817" s="85">
        <v>803.27</v>
      </c>
      <c r="M817" s="85">
        <v>38.25</v>
      </c>
      <c r="N817" s="85">
        <v>803.27</v>
      </c>
      <c r="O817" s="85">
        <v>0</v>
      </c>
      <c r="P817" s="85">
        <v>765.02</v>
      </c>
      <c r="Q817" s="85">
        <v>803.27</v>
      </c>
      <c r="R817" s="85">
        <v>38.25</v>
      </c>
      <c r="S817" s="85">
        <v>803.27</v>
      </c>
      <c r="T817" s="85">
        <v>0</v>
      </c>
      <c r="U817" s="82"/>
      <c r="V817" s="82" t="s">
        <v>3399</v>
      </c>
      <c r="W817" s="82" t="s">
        <v>3395</v>
      </c>
      <c r="X817" s="82" t="s">
        <v>3394</v>
      </c>
      <c r="Y817" s="82" t="s">
        <v>3393</v>
      </c>
    </row>
    <row r="818" spans="1:25" ht="10.9" customHeight="1" x14ac:dyDescent="0.2">
      <c r="A818" s="82" t="s">
        <v>2949</v>
      </c>
      <c r="B818" s="82" t="s">
        <v>684</v>
      </c>
      <c r="C818" s="83">
        <v>45875</v>
      </c>
      <c r="D818" s="83">
        <v>45935</v>
      </c>
      <c r="E818" s="83">
        <v>45935</v>
      </c>
      <c r="F818" s="83">
        <v>45933</v>
      </c>
      <c r="G818" s="83">
        <v>45875</v>
      </c>
      <c r="H818" s="82" t="s">
        <v>1084</v>
      </c>
      <c r="I818" s="82" t="s">
        <v>22</v>
      </c>
      <c r="J818" s="84">
        <v>0</v>
      </c>
      <c r="K818" s="85">
        <v>778</v>
      </c>
      <c r="L818" s="85">
        <v>879.14</v>
      </c>
      <c r="M818" s="85">
        <v>101.14</v>
      </c>
      <c r="N818" s="85">
        <v>879.14</v>
      </c>
      <c r="O818" s="85">
        <v>0</v>
      </c>
      <c r="P818" s="85">
        <v>778</v>
      </c>
      <c r="Q818" s="85">
        <v>879.14</v>
      </c>
      <c r="R818" s="85">
        <v>101.14</v>
      </c>
      <c r="S818" s="85">
        <v>879.14</v>
      </c>
      <c r="T818" s="85">
        <v>0</v>
      </c>
      <c r="U818" s="82"/>
      <c r="V818" s="82" t="s">
        <v>3399</v>
      </c>
      <c r="W818" s="82" t="s">
        <v>3395</v>
      </c>
      <c r="X818" s="82" t="s">
        <v>3394</v>
      </c>
      <c r="Y818" s="82" t="s">
        <v>3393</v>
      </c>
    </row>
    <row r="819" spans="1:25" ht="10.9" customHeight="1" x14ac:dyDescent="0.2">
      <c r="A819" s="82" t="s">
        <v>2943</v>
      </c>
      <c r="B819" s="82" t="s">
        <v>176</v>
      </c>
      <c r="C819" s="83">
        <v>45875</v>
      </c>
      <c r="D819" s="83">
        <v>45905</v>
      </c>
      <c r="E819" s="83">
        <v>45905</v>
      </c>
      <c r="F819" s="83">
        <v>45894</v>
      </c>
      <c r="G819" s="83">
        <v>45875</v>
      </c>
      <c r="H819" s="82" t="s">
        <v>1093</v>
      </c>
      <c r="I819" s="82" t="s">
        <v>22</v>
      </c>
      <c r="J819" s="84">
        <v>0</v>
      </c>
      <c r="K819" s="85">
        <v>133</v>
      </c>
      <c r="L819" s="85">
        <v>150.29</v>
      </c>
      <c r="M819" s="85">
        <v>17.29</v>
      </c>
      <c r="N819" s="85">
        <v>150.29</v>
      </c>
      <c r="O819" s="85">
        <v>0</v>
      </c>
      <c r="P819" s="85">
        <v>133</v>
      </c>
      <c r="Q819" s="85">
        <v>150.29</v>
      </c>
      <c r="R819" s="85">
        <v>17.29</v>
      </c>
      <c r="S819" s="85">
        <v>150.29</v>
      </c>
      <c r="T819" s="85">
        <v>0</v>
      </c>
      <c r="U819" s="82"/>
      <c r="V819" s="82" t="s">
        <v>3399</v>
      </c>
      <c r="W819" s="82" t="s">
        <v>3395</v>
      </c>
      <c r="X819" s="82" t="s">
        <v>3394</v>
      </c>
      <c r="Y819" s="82" t="s">
        <v>3393</v>
      </c>
    </row>
    <row r="820" spans="1:25" ht="10.9" customHeight="1" x14ac:dyDescent="0.2">
      <c r="A820" s="82" t="s">
        <v>2803</v>
      </c>
      <c r="B820" s="82" t="s">
        <v>86</v>
      </c>
      <c r="C820" s="83">
        <v>45875</v>
      </c>
      <c r="D820" s="83">
        <v>45905</v>
      </c>
      <c r="E820" s="83">
        <v>45905</v>
      </c>
      <c r="F820" s="83">
        <v>45905</v>
      </c>
      <c r="G820" s="83">
        <v>45875</v>
      </c>
      <c r="H820" s="82" t="s">
        <v>1335</v>
      </c>
      <c r="I820" s="82" t="s">
        <v>22</v>
      </c>
      <c r="J820" s="84">
        <v>0</v>
      </c>
      <c r="K820" s="85">
        <v>419.88</v>
      </c>
      <c r="L820" s="85">
        <v>440.87</v>
      </c>
      <c r="M820" s="85">
        <v>20.99</v>
      </c>
      <c r="N820" s="85">
        <v>440.87</v>
      </c>
      <c r="O820" s="85">
        <v>0</v>
      </c>
      <c r="P820" s="85">
        <v>419.88</v>
      </c>
      <c r="Q820" s="85">
        <v>440.87</v>
      </c>
      <c r="R820" s="85">
        <v>20.99</v>
      </c>
      <c r="S820" s="85">
        <v>440.87</v>
      </c>
      <c r="T820" s="85">
        <v>0</v>
      </c>
      <c r="U820" s="82"/>
      <c r="V820" s="82" t="s">
        <v>3399</v>
      </c>
      <c r="W820" s="82" t="s">
        <v>3395</v>
      </c>
      <c r="X820" s="82" t="s">
        <v>3394</v>
      </c>
      <c r="Y820" s="82" t="s">
        <v>3393</v>
      </c>
    </row>
    <row r="821" spans="1:25" ht="10.9" customHeight="1" x14ac:dyDescent="0.2">
      <c r="A821" s="82" t="s">
        <v>2991</v>
      </c>
      <c r="B821" s="82" t="s">
        <v>77</v>
      </c>
      <c r="C821" s="83">
        <v>45875</v>
      </c>
      <c r="D821" s="83">
        <v>45905</v>
      </c>
      <c r="E821" s="83">
        <v>45905</v>
      </c>
      <c r="F821" s="83">
        <v>45940</v>
      </c>
      <c r="G821" s="83">
        <v>45875</v>
      </c>
      <c r="H821" s="82" t="s">
        <v>1010</v>
      </c>
      <c r="I821" s="82" t="s">
        <v>22</v>
      </c>
      <c r="J821" s="84">
        <v>0</v>
      </c>
      <c r="K821" s="85">
        <v>1137.1600000000001</v>
      </c>
      <c r="L821" s="85">
        <v>1194.02</v>
      </c>
      <c r="M821" s="85">
        <v>56.86</v>
      </c>
      <c r="N821" s="85">
        <v>1194.02</v>
      </c>
      <c r="O821" s="85">
        <v>0</v>
      </c>
      <c r="P821" s="85">
        <v>1137.1600000000001</v>
      </c>
      <c r="Q821" s="85">
        <v>1194.02</v>
      </c>
      <c r="R821" s="85">
        <v>56.86</v>
      </c>
      <c r="S821" s="85">
        <v>1194.02</v>
      </c>
      <c r="T821" s="85">
        <v>0</v>
      </c>
      <c r="U821" s="82"/>
      <c r="V821" s="82" t="s">
        <v>3399</v>
      </c>
      <c r="W821" s="82" t="s">
        <v>3395</v>
      </c>
      <c r="X821" s="82" t="s">
        <v>3394</v>
      </c>
      <c r="Y821" s="82" t="s">
        <v>3393</v>
      </c>
    </row>
    <row r="822" spans="1:25" ht="10.9" customHeight="1" x14ac:dyDescent="0.2">
      <c r="A822" s="82" t="s">
        <v>2961</v>
      </c>
      <c r="B822" s="82" t="s">
        <v>77</v>
      </c>
      <c r="C822" s="83">
        <v>45875</v>
      </c>
      <c r="D822" s="83">
        <v>45905</v>
      </c>
      <c r="E822" s="83">
        <v>45905</v>
      </c>
      <c r="F822" s="83">
        <v>45940</v>
      </c>
      <c r="G822" s="83">
        <v>45875</v>
      </c>
      <c r="H822" s="82" t="s">
        <v>1063</v>
      </c>
      <c r="I822" s="82" t="s">
        <v>22</v>
      </c>
      <c r="J822" s="84">
        <v>0</v>
      </c>
      <c r="K822" s="85">
        <v>2274.3200000000002</v>
      </c>
      <c r="L822" s="85">
        <v>2388.04</v>
      </c>
      <c r="M822" s="85">
        <v>113.72</v>
      </c>
      <c r="N822" s="85">
        <v>2388.04</v>
      </c>
      <c r="O822" s="85">
        <v>0</v>
      </c>
      <c r="P822" s="85">
        <v>2274.3200000000002</v>
      </c>
      <c r="Q822" s="85">
        <v>2388.04</v>
      </c>
      <c r="R822" s="85">
        <v>113.72</v>
      </c>
      <c r="S822" s="85">
        <v>2388.04</v>
      </c>
      <c r="T822" s="85">
        <v>0</v>
      </c>
      <c r="U822" s="82"/>
      <c r="V822" s="82" t="s">
        <v>3399</v>
      </c>
      <c r="W822" s="82" t="s">
        <v>3395</v>
      </c>
      <c r="X822" s="82" t="s">
        <v>3394</v>
      </c>
      <c r="Y822" s="82" t="s">
        <v>3393</v>
      </c>
    </row>
    <row r="823" spans="1:25" ht="10.9" customHeight="1" x14ac:dyDescent="0.2">
      <c r="A823" s="82" t="s">
        <v>2679</v>
      </c>
      <c r="B823" s="82" t="s">
        <v>129</v>
      </c>
      <c r="C823" s="83">
        <v>45875</v>
      </c>
      <c r="D823" s="83">
        <v>45905</v>
      </c>
      <c r="E823" s="83">
        <v>45905</v>
      </c>
      <c r="F823" s="82"/>
      <c r="G823" s="83">
        <v>45875</v>
      </c>
      <c r="H823" s="82" t="s">
        <v>3487</v>
      </c>
      <c r="I823" s="82" t="s">
        <v>51</v>
      </c>
      <c r="J823" s="84">
        <v>0.72787100000000005</v>
      </c>
      <c r="K823" s="85">
        <v>15492</v>
      </c>
      <c r="L823" s="85">
        <v>15492</v>
      </c>
      <c r="M823" s="85">
        <v>0</v>
      </c>
      <c r="N823" s="85">
        <v>0</v>
      </c>
      <c r="O823" s="85">
        <v>15492</v>
      </c>
      <c r="P823" s="85">
        <v>21283.991256692465</v>
      </c>
      <c r="Q823" s="85">
        <v>21283.991256692465</v>
      </c>
      <c r="R823" s="85">
        <v>0</v>
      </c>
      <c r="S823" s="85">
        <v>0</v>
      </c>
      <c r="T823" s="85">
        <v>21261.53</v>
      </c>
      <c r="U823" s="82" t="s">
        <v>3401</v>
      </c>
      <c r="V823" s="82" t="s">
        <v>3396</v>
      </c>
      <c r="W823" s="82" t="s">
        <v>3395</v>
      </c>
      <c r="X823" s="82" t="s">
        <v>3394</v>
      </c>
      <c r="Y823" s="82" t="s">
        <v>3393</v>
      </c>
    </row>
    <row r="824" spans="1:25" ht="10.9" customHeight="1" x14ac:dyDescent="0.2">
      <c r="A824" s="82" t="s">
        <v>2703</v>
      </c>
      <c r="B824" s="82" t="s">
        <v>129</v>
      </c>
      <c r="C824" s="83">
        <v>45875</v>
      </c>
      <c r="D824" s="83">
        <v>45905</v>
      </c>
      <c r="E824" s="83">
        <v>45905</v>
      </c>
      <c r="F824" s="82"/>
      <c r="G824" s="83">
        <v>45875</v>
      </c>
      <c r="H824" s="82" t="s">
        <v>3460</v>
      </c>
      <c r="I824" s="82" t="s">
        <v>51</v>
      </c>
      <c r="J824" s="84">
        <v>0.72787100000000005</v>
      </c>
      <c r="K824" s="85">
        <v>15492</v>
      </c>
      <c r="L824" s="85">
        <v>15492</v>
      </c>
      <c r="M824" s="85">
        <v>0</v>
      </c>
      <c r="N824" s="85">
        <v>0</v>
      </c>
      <c r="O824" s="85">
        <v>15492</v>
      </c>
      <c r="P824" s="85">
        <v>21283.991256692465</v>
      </c>
      <c r="Q824" s="85">
        <v>21283.991256692465</v>
      </c>
      <c r="R824" s="85">
        <v>0</v>
      </c>
      <c r="S824" s="85">
        <v>0</v>
      </c>
      <c r="T824" s="85">
        <v>21261.53</v>
      </c>
      <c r="U824" s="82" t="s">
        <v>3401</v>
      </c>
      <c r="V824" s="82" t="s">
        <v>3396</v>
      </c>
      <c r="W824" s="82" t="s">
        <v>3395</v>
      </c>
      <c r="X824" s="82" t="s">
        <v>3394</v>
      </c>
      <c r="Y824" s="82" t="s">
        <v>3393</v>
      </c>
    </row>
    <row r="825" spans="1:25" ht="10.9" customHeight="1" x14ac:dyDescent="0.2">
      <c r="A825" s="82"/>
      <c r="B825" s="82" t="s">
        <v>898</v>
      </c>
      <c r="C825" s="83">
        <v>45875</v>
      </c>
      <c r="D825" s="83">
        <v>45875</v>
      </c>
      <c r="E825" s="83">
        <v>45875</v>
      </c>
      <c r="F825" s="83">
        <v>45909</v>
      </c>
      <c r="G825" s="83">
        <v>45929</v>
      </c>
      <c r="H825" s="82" t="s">
        <v>896</v>
      </c>
      <c r="I825" s="82" t="s">
        <v>22</v>
      </c>
      <c r="J825" s="84">
        <v>0</v>
      </c>
      <c r="K825" s="85">
        <v>-7542.77</v>
      </c>
      <c r="L825" s="85">
        <v>-7542.77</v>
      </c>
      <c r="M825" s="85">
        <v>0</v>
      </c>
      <c r="N825" s="85">
        <v>-7542.77</v>
      </c>
      <c r="O825" s="85">
        <v>0</v>
      </c>
      <c r="P825" s="85">
        <v>-7542.77</v>
      </c>
      <c r="Q825" s="85">
        <v>-7542.77</v>
      </c>
      <c r="R825" s="85">
        <v>0</v>
      </c>
      <c r="S825" s="85">
        <v>-7542.77</v>
      </c>
      <c r="T825" s="85">
        <v>0</v>
      </c>
      <c r="U825" s="82"/>
      <c r="V825" s="82" t="s">
        <v>3399</v>
      </c>
      <c r="W825" s="82" t="s">
        <v>3423</v>
      </c>
      <c r="X825" s="82" t="s">
        <v>3397</v>
      </c>
      <c r="Y825" s="82"/>
    </row>
    <row r="826" spans="1:25" ht="10.9" customHeight="1" x14ac:dyDescent="0.2">
      <c r="A826" s="82" t="s">
        <v>3034</v>
      </c>
      <c r="B826" s="82" t="s">
        <v>3467</v>
      </c>
      <c r="C826" s="83">
        <v>45876</v>
      </c>
      <c r="D826" s="83">
        <v>45906</v>
      </c>
      <c r="E826" s="83">
        <v>45906</v>
      </c>
      <c r="F826" s="83">
        <v>45905</v>
      </c>
      <c r="G826" s="83">
        <v>45876</v>
      </c>
      <c r="H826" s="82" t="s">
        <v>941</v>
      </c>
      <c r="I826" s="82" t="s">
        <v>51</v>
      </c>
      <c r="J826" s="84">
        <v>0.72816800000000004</v>
      </c>
      <c r="K826" s="85">
        <v>5974.76</v>
      </c>
      <c r="L826" s="85">
        <v>5974.76</v>
      </c>
      <c r="M826" s="85">
        <v>0</v>
      </c>
      <c r="N826" s="85">
        <v>5717.2</v>
      </c>
      <c r="O826" s="85">
        <v>257.56</v>
      </c>
      <c r="P826" s="85">
        <v>8205.1944056865996</v>
      </c>
      <c r="Q826" s="85">
        <v>8205.1944056865996</v>
      </c>
      <c r="R826" s="85">
        <v>0</v>
      </c>
      <c r="S826" s="85">
        <v>7915.4022000000004</v>
      </c>
      <c r="T826" s="85">
        <v>353.48</v>
      </c>
      <c r="U826" s="82" t="s">
        <v>3401</v>
      </c>
      <c r="V826" s="82" t="s">
        <v>3396</v>
      </c>
      <c r="W826" s="82" t="s">
        <v>3395</v>
      </c>
      <c r="X826" s="82" t="s">
        <v>3394</v>
      </c>
      <c r="Y826" s="82" t="s">
        <v>3393</v>
      </c>
    </row>
    <row r="827" spans="1:25" ht="10.9" customHeight="1" x14ac:dyDescent="0.2">
      <c r="A827" s="82" t="s">
        <v>2665</v>
      </c>
      <c r="B827" s="82" t="s">
        <v>714</v>
      </c>
      <c r="C827" s="83">
        <v>45876</v>
      </c>
      <c r="D827" s="83">
        <v>45906</v>
      </c>
      <c r="E827" s="83">
        <v>45906</v>
      </c>
      <c r="F827" s="83">
        <v>45882</v>
      </c>
      <c r="G827" s="83">
        <v>45876</v>
      </c>
      <c r="H827" s="82" t="s">
        <v>1586</v>
      </c>
      <c r="I827" s="82" t="s">
        <v>51</v>
      </c>
      <c r="J827" s="84">
        <v>0.72816800000000004</v>
      </c>
      <c r="K827" s="85">
        <v>2057.52</v>
      </c>
      <c r="L827" s="85">
        <v>2057.52</v>
      </c>
      <c r="M827" s="85">
        <v>0</v>
      </c>
      <c r="N827" s="85">
        <v>2057.52</v>
      </c>
      <c r="O827" s="85">
        <v>0</v>
      </c>
      <c r="P827" s="85">
        <v>2825.6116720317291</v>
      </c>
      <c r="Q827" s="85">
        <v>2825.6116720317291</v>
      </c>
      <c r="R827" s="85">
        <v>0</v>
      </c>
      <c r="S827" s="85">
        <v>2830.7548000000002</v>
      </c>
      <c r="T827" s="85">
        <v>0</v>
      </c>
      <c r="U827" s="82"/>
      <c r="V827" s="82" t="s">
        <v>3399</v>
      </c>
      <c r="W827" s="82" t="s">
        <v>3395</v>
      </c>
      <c r="X827" s="82" t="s">
        <v>3394</v>
      </c>
      <c r="Y827" s="82" t="s">
        <v>3393</v>
      </c>
    </row>
    <row r="828" spans="1:25" ht="10.9" customHeight="1" x14ac:dyDescent="0.2">
      <c r="A828" s="82" t="s">
        <v>2946</v>
      </c>
      <c r="B828" s="82" t="s">
        <v>141</v>
      </c>
      <c r="C828" s="83">
        <v>45876</v>
      </c>
      <c r="D828" s="83">
        <v>45921</v>
      </c>
      <c r="E828" s="83">
        <v>45921</v>
      </c>
      <c r="F828" s="83">
        <v>45929</v>
      </c>
      <c r="G828" s="83">
        <v>45876</v>
      </c>
      <c r="H828" s="82" t="s">
        <v>1088</v>
      </c>
      <c r="I828" s="82" t="s">
        <v>51</v>
      </c>
      <c r="J828" s="84">
        <v>0.72775999999999996</v>
      </c>
      <c r="K828" s="85">
        <v>184.92</v>
      </c>
      <c r="L828" s="85">
        <v>184.92</v>
      </c>
      <c r="M828" s="85">
        <v>0</v>
      </c>
      <c r="N828" s="85">
        <v>184.92</v>
      </c>
      <c r="O828" s="85">
        <v>0</v>
      </c>
      <c r="P828" s="85">
        <v>254.0947565131361</v>
      </c>
      <c r="Q828" s="85">
        <v>254.0947565131361</v>
      </c>
      <c r="R828" s="85">
        <v>0</v>
      </c>
      <c r="S828" s="85">
        <v>257.29039999999998</v>
      </c>
      <c r="T828" s="85">
        <v>0</v>
      </c>
      <c r="U828" s="82"/>
      <c r="V828" s="82" t="s">
        <v>3399</v>
      </c>
      <c r="W828" s="82" t="s">
        <v>3395</v>
      </c>
      <c r="X828" s="82" t="s">
        <v>3394</v>
      </c>
      <c r="Y828" s="82" t="s">
        <v>3393</v>
      </c>
    </row>
    <row r="829" spans="1:25" ht="10.9" customHeight="1" x14ac:dyDescent="0.2">
      <c r="A829" s="82" t="s">
        <v>2944</v>
      </c>
      <c r="B829" s="82" t="s">
        <v>3486</v>
      </c>
      <c r="C829" s="83">
        <v>45876</v>
      </c>
      <c r="D829" s="83">
        <v>45921</v>
      </c>
      <c r="E829" s="83">
        <v>45921</v>
      </c>
      <c r="F829" s="83">
        <v>45918</v>
      </c>
      <c r="G829" s="83">
        <v>45876</v>
      </c>
      <c r="H829" s="82" t="s">
        <v>1090</v>
      </c>
      <c r="I829" s="82" t="s">
        <v>22</v>
      </c>
      <c r="J829" s="84">
        <v>0</v>
      </c>
      <c r="K829" s="85">
        <v>450</v>
      </c>
      <c r="L829" s="85">
        <v>508.5</v>
      </c>
      <c r="M829" s="85">
        <v>58.5</v>
      </c>
      <c r="N829" s="85">
        <v>508.5</v>
      </c>
      <c r="O829" s="85">
        <v>0</v>
      </c>
      <c r="P829" s="85">
        <v>450</v>
      </c>
      <c r="Q829" s="85">
        <v>508.5</v>
      </c>
      <c r="R829" s="85">
        <v>58.5</v>
      </c>
      <c r="S829" s="85">
        <v>508.5</v>
      </c>
      <c r="T829" s="85">
        <v>0</v>
      </c>
      <c r="U829" s="82"/>
      <c r="V829" s="82" t="s">
        <v>3399</v>
      </c>
      <c r="W829" s="82" t="s">
        <v>3395</v>
      </c>
      <c r="X829" s="82" t="s">
        <v>3394</v>
      </c>
      <c r="Y829" s="82" t="s">
        <v>3393</v>
      </c>
    </row>
    <row r="830" spans="1:25" ht="10.9" customHeight="1" x14ac:dyDescent="0.2">
      <c r="A830" s="82" t="s">
        <v>3058</v>
      </c>
      <c r="B830" s="82" t="s">
        <v>146</v>
      </c>
      <c r="C830" s="83">
        <v>45876</v>
      </c>
      <c r="D830" s="83">
        <v>45906</v>
      </c>
      <c r="E830" s="83">
        <v>45906</v>
      </c>
      <c r="F830" s="83">
        <v>45912</v>
      </c>
      <c r="G830" s="83">
        <v>45876</v>
      </c>
      <c r="H830" s="82" t="s">
        <v>895</v>
      </c>
      <c r="I830" s="82" t="s">
        <v>22</v>
      </c>
      <c r="J830" s="84">
        <v>0</v>
      </c>
      <c r="K830" s="85">
        <v>861.5</v>
      </c>
      <c r="L830" s="85">
        <v>904.58</v>
      </c>
      <c r="M830" s="85">
        <v>43.08</v>
      </c>
      <c r="N830" s="85">
        <v>904.58</v>
      </c>
      <c r="O830" s="85">
        <v>0</v>
      </c>
      <c r="P830" s="85">
        <v>861.5</v>
      </c>
      <c r="Q830" s="85">
        <v>904.58</v>
      </c>
      <c r="R830" s="85">
        <v>43.08</v>
      </c>
      <c r="S830" s="85">
        <v>904.58</v>
      </c>
      <c r="T830" s="85">
        <v>0</v>
      </c>
      <c r="U830" s="82"/>
      <c r="V830" s="82" t="s">
        <v>3399</v>
      </c>
      <c r="W830" s="82" t="s">
        <v>3395</v>
      </c>
      <c r="X830" s="82" t="s">
        <v>3394</v>
      </c>
      <c r="Y830" s="82" t="s">
        <v>3393</v>
      </c>
    </row>
    <row r="831" spans="1:25" ht="10.9" customHeight="1" x14ac:dyDescent="0.2">
      <c r="A831" s="82" t="s">
        <v>3060</v>
      </c>
      <c r="B831" s="82" t="s">
        <v>146</v>
      </c>
      <c r="C831" s="83">
        <v>45876</v>
      </c>
      <c r="D831" s="83">
        <v>45906</v>
      </c>
      <c r="E831" s="83">
        <v>45906</v>
      </c>
      <c r="F831" s="83">
        <v>45912</v>
      </c>
      <c r="G831" s="83">
        <v>45876</v>
      </c>
      <c r="H831" s="82" t="s">
        <v>891</v>
      </c>
      <c r="I831" s="82" t="s">
        <v>22</v>
      </c>
      <c r="J831" s="84">
        <v>0</v>
      </c>
      <c r="K831" s="85">
        <v>362.64</v>
      </c>
      <c r="L831" s="85">
        <v>380.77</v>
      </c>
      <c r="M831" s="85">
        <v>18.13</v>
      </c>
      <c r="N831" s="85">
        <v>380.77</v>
      </c>
      <c r="O831" s="85">
        <v>0</v>
      </c>
      <c r="P831" s="85">
        <v>362.64</v>
      </c>
      <c r="Q831" s="85">
        <v>380.77</v>
      </c>
      <c r="R831" s="85">
        <v>18.13</v>
      </c>
      <c r="S831" s="85">
        <v>380.77</v>
      </c>
      <c r="T831" s="85">
        <v>0</v>
      </c>
      <c r="U831" s="82"/>
      <c r="V831" s="82" t="s">
        <v>3399</v>
      </c>
      <c r="W831" s="82" t="s">
        <v>3395</v>
      </c>
      <c r="X831" s="82" t="s">
        <v>3394</v>
      </c>
      <c r="Y831" s="82" t="s">
        <v>3393</v>
      </c>
    </row>
    <row r="832" spans="1:25" ht="10.9" customHeight="1" x14ac:dyDescent="0.2">
      <c r="A832" s="82" t="s">
        <v>3048</v>
      </c>
      <c r="B832" s="82" t="s">
        <v>146</v>
      </c>
      <c r="C832" s="83">
        <v>45876</v>
      </c>
      <c r="D832" s="83">
        <v>45906</v>
      </c>
      <c r="E832" s="83">
        <v>45906</v>
      </c>
      <c r="F832" s="83">
        <v>45912</v>
      </c>
      <c r="G832" s="83">
        <v>45876</v>
      </c>
      <c r="H832" s="82" t="s">
        <v>917</v>
      </c>
      <c r="I832" s="82" t="s">
        <v>22</v>
      </c>
      <c r="J832" s="84">
        <v>0</v>
      </c>
      <c r="K832" s="85">
        <v>124.22</v>
      </c>
      <c r="L832" s="85">
        <v>130.43</v>
      </c>
      <c r="M832" s="85">
        <v>6.21</v>
      </c>
      <c r="N832" s="85">
        <v>130.43</v>
      </c>
      <c r="O832" s="85">
        <v>0</v>
      </c>
      <c r="P832" s="85">
        <v>124.22</v>
      </c>
      <c r="Q832" s="85">
        <v>130.43</v>
      </c>
      <c r="R832" s="85">
        <v>6.21</v>
      </c>
      <c r="S832" s="85">
        <v>130.43</v>
      </c>
      <c r="T832" s="85">
        <v>0</v>
      </c>
      <c r="U832" s="82"/>
      <c r="V832" s="82" t="s">
        <v>3399</v>
      </c>
      <c r="W832" s="82" t="s">
        <v>3395</v>
      </c>
      <c r="X832" s="82" t="s">
        <v>3394</v>
      </c>
      <c r="Y832" s="82" t="s">
        <v>3393</v>
      </c>
    </row>
    <row r="833" spans="1:25" ht="10.9" customHeight="1" x14ac:dyDescent="0.2">
      <c r="A833" s="82"/>
      <c r="B833" s="82" t="s">
        <v>149</v>
      </c>
      <c r="C833" s="83">
        <v>45876</v>
      </c>
      <c r="D833" s="83">
        <v>45876</v>
      </c>
      <c r="E833" s="83">
        <v>45876</v>
      </c>
      <c r="F833" s="83">
        <v>45987</v>
      </c>
      <c r="G833" s="83">
        <v>45923</v>
      </c>
      <c r="H833" s="82"/>
      <c r="I833" s="82" t="s">
        <v>51</v>
      </c>
      <c r="J833" s="84">
        <v>0.72775999999999996</v>
      </c>
      <c r="K833" s="85">
        <v>-698.88</v>
      </c>
      <c r="L833" s="85">
        <v>-698.88</v>
      </c>
      <c r="M833" s="85">
        <v>0</v>
      </c>
      <c r="N833" s="85">
        <v>-698.88</v>
      </c>
      <c r="O833" s="85">
        <v>0</v>
      </c>
      <c r="P833" s="85">
        <v>-960.31658788611628</v>
      </c>
      <c r="Q833" s="85">
        <v>-960.31658788611628</v>
      </c>
      <c r="R833" s="85">
        <v>0</v>
      </c>
      <c r="S833" s="85">
        <v>-960.31659999999999</v>
      </c>
      <c r="T833" s="85">
        <v>0</v>
      </c>
      <c r="U833" s="82"/>
      <c r="V833" s="82" t="s">
        <v>3399</v>
      </c>
      <c r="W833" s="82" t="s">
        <v>3423</v>
      </c>
      <c r="X833" s="82" t="s">
        <v>3397</v>
      </c>
      <c r="Y833" s="82"/>
    </row>
    <row r="834" spans="1:25" ht="10.9" customHeight="1" x14ac:dyDescent="0.2">
      <c r="A834" s="82" t="s">
        <v>3059</v>
      </c>
      <c r="B834" s="82" t="s">
        <v>70</v>
      </c>
      <c r="C834" s="83">
        <v>45877</v>
      </c>
      <c r="D834" s="83">
        <v>45937</v>
      </c>
      <c r="E834" s="83">
        <v>45937</v>
      </c>
      <c r="F834" s="83">
        <v>45965</v>
      </c>
      <c r="G834" s="83">
        <v>45877</v>
      </c>
      <c r="H834" s="82" t="s">
        <v>893</v>
      </c>
      <c r="I834" s="82" t="s">
        <v>51</v>
      </c>
      <c r="J834" s="84">
        <v>0.72708200000000001</v>
      </c>
      <c r="K834" s="85">
        <v>392.59</v>
      </c>
      <c r="L834" s="85">
        <v>392.59</v>
      </c>
      <c r="M834" s="85">
        <v>0</v>
      </c>
      <c r="N834" s="85">
        <v>392.59</v>
      </c>
      <c r="O834" s="85">
        <v>0</v>
      </c>
      <c r="P834" s="85">
        <v>539.95285263560356</v>
      </c>
      <c r="Q834" s="85">
        <v>539.95285263560356</v>
      </c>
      <c r="R834" s="85">
        <v>0</v>
      </c>
      <c r="S834" s="85">
        <v>553.30060000000003</v>
      </c>
      <c r="T834" s="85">
        <v>0</v>
      </c>
      <c r="U834" s="82"/>
      <c r="V834" s="82" t="s">
        <v>3399</v>
      </c>
      <c r="W834" s="82" t="s">
        <v>3395</v>
      </c>
      <c r="X834" s="82" t="s">
        <v>3394</v>
      </c>
      <c r="Y834" s="82" t="s">
        <v>3393</v>
      </c>
    </row>
    <row r="835" spans="1:25" ht="10.9" customHeight="1" x14ac:dyDescent="0.2">
      <c r="A835" s="82" t="s">
        <v>2868</v>
      </c>
      <c r="B835" s="82" t="s">
        <v>450</v>
      </c>
      <c r="C835" s="83">
        <v>45877</v>
      </c>
      <c r="D835" s="83">
        <v>45877</v>
      </c>
      <c r="E835" s="83">
        <v>45877</v>
      </c>
      <c r="F835" s="83">
        <v>45877</v>
      </c>
      <c r="G835" s="83">
        <v>45877</v>
      </c>
      <c r="H835" s="82" t="s">
        <v>1224</v>
      </c>
      <c r="I835" s="82" t="s">
        <v>22</v>
      </c>
      <c r="J835" s="84">
        <v>0</v>
      </c>
      <c r="K835" s="85">
        <v>2604.9299999999998</v>
      </c>
      <c r="L835" s="85">
        <v>2943.56</v>
      </c>
      <c r="M835" s="85">
        <v>338.63</v>
      </c>
      <c r="N835" s="85">
        <v>2943.56</v>
      </c>
      <c r="O835" s="85">
        <v>0</v>
      </c>
      <c r="P835" s="85">
        <v>2604.9299999999998</v>
      </c>
      <c r="Q835" s="85">
        <v>2943.56</v>
      </c>
      <c r="R835" s="85">
        <v>338.63</v>
      </c>
      <c r="S835" s="85">
        <v>2943.56</v>
      </c>
      <c r="T835" s="85">
        <v>0</v>
      </c>
      <c r="U835" s="82"/>
      <c r="V835" s="82" t="s">
        <v>3399</v>
      </c>
      <c r="W835" s="82" t="s">
        <v>3395</v>
      </c>
      <c r="X835" s="82" t="s">
        <v>3394</v>
      </c>
      <c r="Y835" s="82" t="s">
        <v>3393</v>
      </c>
    </row>
    <row r="836" spans="1:25" ht="10.9" customHeight="1" x14ac:dyDescent="0.2">
      <c r="A836" s="82"/>
      <c r="B836" s="82" t="s">
        <v>450</v>
      </c>
      <c r="C836" s="83">
        <v>45877</v>
      </c>
      <c r="D836" s="83">
        <v>45877</v>
      </c>
      <c r="E836" s="83">
        <v>45877</v>
      </c>
      <c r="F836" s="83">
        <v>45938</v>
      </c>
      <c r="G836" s="83">
        <v>45912</v>
      </c>
      <c r="H836" s="82"/>
      <c r="I836" s="82" t="s">
        <v>22</v>
      </c>
      <c r="J836" s="84">
        <v>0</v>
      </c>
      <c r="K836" s="85">
        <v>-3136.79</v>
      </c>
      <c r="L836" s="85">
        <v>-3136.79</v>
      </c>
      <c r="M836" s="85">
        <v>0</v>
      </c>
      <c r="N836" s="85">
        <v>-3136.79</v>
      </c>
      <c r="O836" s="85">
        <v>0</v>
      </c>
      <c r="P836" s="85">
        <v>-3136.79</v>
      </c>
      <c r="Q836" s="85">
        <v>-3136.79</v>
      </c>
      <c r="R836" s="85">
        <v>0</v>
      </c>
      <c r="S836" s="85">
        <v>-3136.79</v>
      </c>
      <c r="T836" s="85">
        <v>0</v>
      </c>
      <c r="U836" s="82"/>
      <c r="V836" s="82" t="s">
        <v>3399</v>
      </c>
      <c r="W836" s="82" t="s">
        <v>3423</v>
      </c>
      <c r="X836" s="82" t="s">
        <v>3397</v>
      </c>
      <c r="Y836" s="82"/>
    </row>
    <row r="837" spans="1:25" ht="10.9" customHeight="1" x14ac:dyDescent="0.2">
      <c r="A837" s="82" t="s">
        <v>3064</v>
      </c>
      <c r="B837" s="82" t="s">
        <v>129</v>
      </c>
      <c r="C837" s="83">
        <v>45880</v>
      </c>
      <c r="D837" s="83">
        <v>45940</v>
      </c>
      <c r="E837" s="83">
        <v>45940</v>
      </c>
      <c r="F837" s="82"/>
      <c r="G837" s="83">
        <v>45881</v>
      </c>
      <c r="H837" s="82"/>
      <c r="I837" s="82" t="s">
        <v>51</v>
      </c>
      <c r="J837" s="84">
        <v>0.72602100000000003</v>
      </c>
      <c r="K837" s="85">
        <v>278</v>
      </c>
      <c r="L837" s="85">
        <v>303.74</v>
      </c>
      <c r="M837" s="85">
        <v>25.74</v>
      </c>
      <c r="N837" s="85">
        <v>0</v>
      </c>
      <c r="O837" s="85">
        <v>303.74</v>
      </c>
      <c r="P837" s="85">
        <v>382.90903431167959</v>
      </c>
      <c r="Q837" s="85">
        <v>418.36255425118537</v>
      </c>
      <c r="R837" s="85">
        <v>35.453519939505803</v>
      </c>
      <c r="S837" s="85">
        <v>0</v>
      </c>
      <c r="T837" s="85">
        <v>416.86</v>
      </c>
      <c r="U837" s="82" t="s">
        <v>3401</v>
      </c>
      <c r="V837" s="82" t="s">
        <v>3396</v>
      </c>
      <c r="W837" s="82" t="s">
        <v>3395</v>
      </c>
      <c r="X837" s="82" t="s">
        <v>3394</v>
      </c>
      <c r="Y837" s="82" t="s">
        <v>3393</v>
      </c>
    </row>
    <row r="838" spans="1:25" ht="10.9" customHeight="1" x14ac:dyDescent="0.2">
      <c r="A838" s="82" t="s">
        <v>3066</v>
      </c>
      <c r="B838" s="82" t="s">
        <v>35</v>
      </c>
      <c r="C838" s="83">
        <v>45880</v>
      </c>
      <c r="D838" s="83">
        <v>45910</v>
      </c>
      <c r="E838" s="83">
        <v>45910</v>
      </c>
      <c r="F838" s="83">
        <v>45910</v>
      </c>
      <c r="G838" s="83">
        <v>45880</v>
      </c>
      <c r="H838" s="82" t="s">
        <v>880</v>
      </c>
      <c r="I838" s="82" t="s">
        <v>22</v>
      </c>
      <c r="J838" s="84">
        <v>0</v>
      </c>
      <c r="K838" s="85">
        <v>126.16</v>
      </c>
      <c r="L838" s="85">
        <v>132.47</v>
      </c>
      <c r="M838" s="85">
        <v>6.31</v>
      </c>
      <c r="N838" s="85">
        <v>132.47</v>
      </c>
      <c r="O838" s="85">
        <v>0</v>
      </c>
      <c r="P838" s="85">
        <v>126.16</v>
      </c>
      <c r="Q838" s="85">
        <v>132.47</v>
      </c>
      <c r="R838" s="85">
        <v>6.31</v>
      </c>
      <c r="S838" s="85">
        <v>132.47</v>
      </c>
      <c r="T838" s="85">
        <v>0</v>
      </c>
      <c r="U838" s="82"/>
      <c r="V838" s="82" t="s">
        <v>3399</v>
      </c>
      <c r="W838" s="82" t="s">
        <v>3395</v>
      </c>
      <c r="X838" s="82" t="s">
        <v>3394</v>
      </c>
      <c r="Y838" s="82" t="s">
        <v>3393</v>
      </c>
    </row>
    <row r="839" spans="1:25" ht="10.9" customHeight="1" x14ac:dyDescent="0.2">
      <c r="A839" s="82" t="s">
        <v>2883</v>
      </c>
      <c r="B839" s="82" t="s">
        <v>1196</v>
      </c>
      <c r="C839" s="83">
        <v>45880</v>
      </c>
      <c r="D839" s="83">
        <v>45910</v>
      </c>
      <c r="E839" s="83">
        <v>45910</v>
      </c>
      <c r="F839" s="83">
        <v>45903</v>
      </c>
      <c r="G839" s="83">
        <v>45880</v>
      </c>
      <c r="H839" s="82" t="s">
        <v>1195</v>
      </c>
      <c r="I839" s="82" t="s">
        <v>22</v>
      </c>
      <c r="J839" s="84">
        <v>0</v>
      </c>
      <c r="K839" s="85">
        <v>10764.82</v>
      </c>
      <c r="L839" s="85">
        <v>12164.25</v>
      </c>
      <c r="M839" s="85">
        <v>1399.43</v>
      </c>
      <c r="N839" s="85">
        <v>12164.25</v>
      </c>
      <c r="O839" s="85">
        <v>0</v>
      </c>
      <c r="P839" s="85">
        <v>10764.82</v>
      </c>
      <c r="Q839" s="85">
        <v>12164.25</v>
      </c>
      <c r="R839" s="85">
        <v>1399.43</v>
      </c>
      <c r="S839" s="85">
        <v>12164.25</v>
      </c>
      <c r="T839" s="85">
        <v>0</v>
      </c>
      <c r="U839" s="82"/>
      <c r="V839" s="82" t="s">
        <v>3399</v>
      </c>
      <c r="W839" s="82" t="s">
        <v>3395</v>
      </c>
      <c r="X839" s="82" t="s">
        <v>3394</v>
      </c>
      <c r="Y839" s="82" t="s">
        <v>3393</v>
      </c>
    </row>
    <row r="840" spans="1:25" ht="10.9" customHeight="1" x14ac:dyDescent="0.2">
      <c r="A840" s="82" t="s">
        <v>3070</v>
      </c>
      <c r="B840" s="82" t="s">
        <v>869</v>
      </c>
      <c r="C840" s="83">
        <v>45881</v>
      </c>
      <c r="D840" s="83">
        <v>45911</v>
      </c>
      <c r="E840" s="83">
        <v>45911</v>
      </c>
      <c r="F840" s="83">
        <v>45937</v>
      </c>
      <c r="G840" s="83">
        <v>45881</v>
      </c>
      <c r="H840" s="82" t="s">
        <v>868</v>
      </c>
      <c r="I840" s="82" t="s">
        <v>51</v>
      </c>
      <c r="J840" s="84">
        <v>0.72630600000000001</v>
      </c>
      <c r="K840" s="85">
        <v>2264.77</v>
      </c>
      <c r="L840" s="85">
        <v>2264.77</v>
      </c>
      <c r="M840" s="85">
        <v>0</v>
      </c>
      <c r="N840" s="85">
        <v>2264.77</v>
      </c>
      <c r="O840" s="85">
        <v>0</v>
      </c>
      <c r="P840" s="85">
        <v>3118.2036221647622</v>
      </c>
      <c r="Q840" s="85">
        <v>3118.2036221647622</v>
      </c>
      <c r="R840" s="85">
        <v>0</v>
      </c>
      <c r="S840" s="85">
        <v>3159.239</v>
      </c>
      <c r="T840" s="85">
        <v>0</v>
      </c>
      <c r="U840" s="82"/>
      <c r="V840" s="82" t="s">
        <v>3399</v>
      </c>
      <c r="W840" s="82" t="s">
        <v>3395</v>
      </c>
      <c r="X840" s="82" t="s">
        <v>3394</v>
      </c>
      <c r="Y840" s="82" t="s">
        <v>3393</v>
      </c>
    </row>
    <row r="841" spans="1:25" ht="10.9" customHeight="1" x14ac:dyDescent="0.2">
      <c r="A841" s="82" t="s">
        <v>2897</v>
      </c>
      <c r="B841" s="82" t="s">
        <v>369</v>
      </c>
      <c r="C841" s="83">
        <v>45881</v>
      </c>
      <c r="D841" s="83">
        <v>45881</v>
      </c>
      <c r="E841" s="83">
        <v>45881</v>
      </c>
      <c r="F841" s="83">
        <v>45881</v>
      </c>
      <c r="G841" s="83">
        <v>45881</v>
      </c>
      <c r="H841" s="82" t="s">
        <v>1166</v>
      </c>
      <c r="I841" s="82" t="s">
        <v>51</v>
      </c>
      <c r="J841" s="84">
        <v>0.72630600000000001</v>
      </c>
      <c r="K841" s="85">
        <v>219.4</v>
      </c>
      <c r="L841" s="85">
        <v>219.4</v>
      </c>
      <c r="M841" s="85">
        <v>0</v>
      </c>
      <c r="N841" s="85">
        <v>219.4</v>
      </c>
      <c r="O841" s="85">
        <v>0</v>
      </c>
      <c r="P841" s="85">
        <v>302.07653523446038</v>
      </c>
      <c r="Q841" s="85">
        <v>302.07653523446038</v>
      </c>
      <c r="R841" s="85">
        <v>0</v>
      </c>
      <c r="S841" s="85">
        <v>298.17320000000001</v>
      </c>
      <c r="T841" s="85">
        <v>0</v>
      </c>
      <c r="U841" s="82"/>
      <c r="V841" s="82" t="s">
        <v>3399</v>
      </c>
      <c r="W841" s="82" t="s">
        <v>3395</v>
      </c>
      <c r="X841" s="82" t="s">
        <v>3394</v>
      </c>
      <c r="Y841" s="82" t="s">
        <v>3393</v>
      </c>
    </row>
    <row r="842" spans="1:25" ht="10.9" customHeight="1" x14ac:dyDescent="0.2">
      <c r="A842" s="82" t="s">
        <v>2899</v>
      </c>
      <c r="B842" s="82" t="s">
        <v>369</v>
      </c>
      <c r="C842" s="83">
        <v>45881</v>
      </c>
      <c r="D842" s="83">
        <v>45881</v>
      </c>
      <c r="E842" s="83">
        <v>45881</v>
      </c>
      <c r="F842" s="83">
        <v>45881</v>
      </c>
      <c r="G842" s="83">
        <v>45881</v>
      </c>
      <c r="H842" s="82" t="s">
        <v>1164</v>
      </c>
      <c r="I842" s="82" t="s">
        <v>51</v>
      </c>
      <c r="J842" s="84">
        <v>0.72630600000000001</v>
      </c>
      <c r="K842" s="85">
        <v>175.52</v>
      </c>
      <c r="L842" s="85">
        <v>175.52</v>
      </c>
      <c r="M842" s="85">
        <v>0</v>
      </c>
      <c r="N842" s="85">
        <v>175.52</v>
      </c>
      <c r="O842" s="85">
        <v>0</v>
      </c>
      <c r="P842" s="85">
        <v>241.6612281875683</v>
      </c>
      <c r="Q842" s="85">
        <v>241.6612281875683</v>
      </c>
      <c r="R842" s="85">
        <v>0</v>
      </c>
      <c r="S842" s="85">
        <v>238.5385</v>
      </c>
      <c r="T842" s="85">
        <v>0</v>
      </c>
      <c r="U842" s="82"/>
      <c r="V842" s="82" t="s">
        <v>3399</v>
      </c>
      <c r="W842" s="82" t="s">
        <v>3395</v>
      </c>
      <c r="X842" s="82" t="s">
        <v>3394</v>
      </c>
      <c r="Y842" s="82" t="s">
        <v>3393</v>
      </c>
    </row>
    <row r="843" spans="1:25" ht="10.9" customHeight="1" x14ac:dyDescent="0.2">
      <c r="A843" s="82" t="s">
        <v>3069</v>
      </c>
      <c r="B843" s="82" t="s">
        <v>644</v>
      </c>
      <c r="C843" s="83">
        <v>45881</v>
      </c>
      <c r="D843" s="83">
        <v>45911</v>
      </c>
      <c r="E843" s="83">
        <v>45911</v>
      </c>
      <c r="F843" s="83">
        <v>45951</v>
      </c>
      <c r="G843" s="83">
        <v>45881</v>
      </c>
      <c r="H843" s="82" t="s">
        <v>871</v>
      </c>
      <c r="I843" s="82" t="s">
        <v>51</v>
      </c>
      <c r="J843" s="84">
        <v>0.72630600000000001</v>
      </c>
      <c r="K843" s="85">
        <v>4187.3</v>
      </c>
      <c r="L843" s="85">
        <v>4187.3</v>
      </c>
      <c r="M843" s="85">
        <v>0</v>
      </c>
      <c r="N843" s="85">
        <v>4187.3</v>
      </c>
      <c r="O843" s="85">
        <v>0</v>
      </c>
      <c r="P843" s="85">
        <v>5765.2008932874023</v>
      </c>
      <c r="Q843" s="85">
        <v>5765.2008932874023</v>
      </c>
      <c r="R843" s="85">
        <v>0</v>
      </c>
      <c r="S843" s="85">
        <v>5868.9634999999998</v>
      </c>
      <c r="T843" s="85">
        <v>0</v>
      </c>
      <c r="U843" s="82"/>
      <c r="V843" s="82" t="s">
        <v>3399</v>
      </c>
      <c r="W843" s="82" t="s">
        <v>3395</v>
      </c>
      <c r="X843" s="82" t="s">
        <v>3394</v>
      </c>
      <c r="Y843" s="82" t="s">
        <v>3393</v>
      </c>
    </row>
    <row r="844" spans="1:25" ht="10.9" customHeight="1" x14ac:dyDescent="0.2">
      <c r="A844" s="82" t="s">
        <v>3072</v>
      </c>
      <c r="B844" s="82" t="s">
        <v>684</v>
      </c>
      <c r="C844" s="83">
        <v>45881</v>
      </c>
      <c r="D844" s="83">
        <v>45941</v>
      </c>
      <c r="E844" s="83">
        <v>45941</v>
      </c>
      <c r="F844" s="83">
        <v>45940</v>
      </c>
      <c r="G844" s="83">
        <v>45881</v>
      </c>
      <c r="H844" s="82" t="s">
        <v>866</v>
      </c>
      <c r="I844" s="82" t="s">
        <v>22</v>
      </c>
      <c r="J844" s="84">
        <v>0</v>
      </c>
      <c r="K844" s="85">
        <v>196.96</v>
      </c>
      <c r="L844" s="85">
        <v>206.81</v>
      </c>
      <c r="M844" s="85">
        <v>9.85</v>
      </c>
      <c r="N844" s="85">
        <v>206.81</v>
      </c>
      <c r="O844" s="85">
        <v>0</v>
      </c>
      <c r="P844" s="85">
        <v>196.96</v>
      </c>
      <c r="Q844" s="85">
        <v>206.81</v>
      </c>
      <c r="R844" s="85">
        <v>9.85</v>
      </c>
      <c r="S844" s="85">
        <v>206.81</v>
      </c>
      <c r="T844" s="85">
        <v>0</v>
      </c>
      <c r="U844" s="82"/>
      <c r="V844" s="82" t="s">
        <v>3399</v>
      </c>
      <c r="W844" s="82" t="s">
        <v>3395</v>
      </c>
      <c r="X844" s="82" t="s">
        <v>3394</v>
      </c>
      <c r="Y844" s="82" t="s">
        <v>3393</v>
      </c>
    </row>
    <row r="845" spans="1:25" ht="10.9" customHeight="1" x14ac:dyDescent="0.2">
      <c r="A845" s="82" t="s">
        <v>3068</v>
      </c>
      <c r="B845" s="82" t="s">
        <v>86</v>
      </c>
      <c r="C845" s="83">
        <v>45881</v>
      </c>
      <c r="D845" s="83">
        <v>45911</v>
      </c>
      <c r="E845" s="83">
        <v>45911</v>
      </c>
      <c r="F845" s="83">
        <v>45911</v>
      </c>
      <c r="G845" s="83">
        <v>45881</v>
      </c>
      <c r="H845" s="82" t="s">
        <v>873</v>
      </c>
      <c r="I845" s="82" t="s">
        <v>22</v>
      </c>
      <c r="J845" s="84">
        <v>0</v>
      </c>
      <c r="K845" s="85">
        <v>122.96</v>
      </c>
      <c r="L845" s="85">
        <v>138.94</v>
      </c>
      <c r="M845" s="85">
        <v>15.98</v>
      </c>
      <c r="N845" s="85">
        <v>138.94</v>
      </c>
      <c r="O845" s="85">
        <v>0</v>
      </c>
      <c r="P845" s="85">
        <v>122.96</v>
      </c>
      <c r="Q845" s="85">
        <v>138.94</v>
      </c>
      <c r="R845" s="85">
        <v>15.98</v>
      </c>
      <c r="S845" s="85">
        <v>138.94</v>
      </c>
      <c r="T845" s="85">
        <v>0</v>
      </c>
      <c r="U845" s="82"/>
      <c r="V845" s="82" t="s">
        <v>3399</v>
      </c>
      <c r="W845" s="82" t="s">
        <v>3395</v>
      </c>
      <c r="X845" s="82" t="s">
        <v>3394</v>
      </c>
      <c r="Y845" s="82" t="s">
        <v>3393</v>
      </c>
    </row>
    <row r="846" spans="1:25" ht="10.9" customHeight="1" x14ac:dyDescent="0.2">
      <c r="A846" s="82" t="s">
        <v>3073</v>
      </c>
      <c r="B846" s="82" t="s">
        <v>864</v>
      </c>
      <c r="C846" s="83">
        <v>45881</v>
      </c>
      <c r="D846" s="83">
        <v>45911</v>
      </c>
      <c r="E846" s="83">
        <v>45911</v>
      </c>
      <c r="F846" s="83">
        <v>45931</v>
      </c>
      <c r="G846" s="83">
        <v>45881</v>
      </c>
      <c r="H846" s="82" t="s">
        <v>863</v>
      </c>
      <c r="I846" s="82" t="s">
        <v>22</v>
      </c>
      <c r="J846" s="84">
        <v>0</v>
      </c>
      <c r="K846" s="85">
        <v>1941.54</v>
      </c>
      <c r="L846" s="85">
        <v>2038.62</v>
      </c>
      <c r="M846" s="85">
        <v>97.08</v>
      </c>
      <c r="N846" s="85">
        <v>2038.62</v>
      </c>
      <c r="O846" s="85">
        <v>0</v>
      </c>
      <c r="P846" s="85">
        <v>1941.54</v>
      </c>
      <c r="Q846" s="85">
        <v>2038.62</v>
      </c>
      <c r="R846" s="85">
        <v>97.08</v>
      </c>
      <c r="S846" s="85">
        <v>2038.62</v>
      </c>
      <c r="T846" s="85">
        <v>0</v>
      </c>
      <c r="U846" s="82"/>
      <c r="V846" s="82" t="s">
        <v>3399</v>
      </c>
      <c r="W846" s="82" t="s">
        <v>3395</v>
      </c>
      <c r="X846" s="82" t="s">
        <v>3394</v>
      </c>
      <c r="Y846" s="82" t="s">
        <v>3393</v>
      </c>
    </row>
    <row r="847" spans="1:25" ht="10.9" customHeight="1" x14ac:dyDescent="0.2">
      <c r="A847" s="82" t="s">
        <v>3074</v>
      </c>
      <c r="B847" s="82" t="s">
        <v>35</v>
      </c>
      <c r="C847" s="83">
        <v>45881</v>
      </c>
      <c r="D847" s="83">
        <v>45911</v>
      </c>
      <c r="E847" s="83">
        <v>45911</v>
      </c>
      <c r="F847" s="83">
        <v>45910</v>
      </c>
      <c r="G847" s="83">
        <v>45881</v>
      </c>
      <c r="H847" s="82" t="s">
        <v>861</v>
      </c>
      <c r="I847" s="82" t="s">
        <v>22</v>
      </c>
      <c r="J847" s="84">
        <v>0</v>
      </c>
      <c r="K847" s="85">
        <v>2740.17</v>
      </c>
      <c r="L847" s="85">
        <v>2877.18</v>
      </c>
      <c r="M847" s="85">
        <v>137.01</v>
      </c>
      <c r="N847" s="85">
        <v>2877.18</v>
      </c>
      <c r="O847" s="85">
        <v>0</v>
      </c>
      <c r="P847" s="85">
        <v>2740.17</v>
      </c>
      <c r="Q847" s="85">
        <v>2877.18</v>
      </c>
      <c r="R847" s="85">
        <v>137.01</v>
      </c>
      <c r="S847" s="85">
        <v>2877.18</v>
      </c>
      <c r="T847" s="85">
        <v>0</v>
      </c>
      <c r="U847" s="82"/>
      <c r="V847" s="82" t="s">
        <v>3399</v>
      </c>
      <c r="W847" s="82" t="s">
        <v>3395</v>
      </c>
      <c r="X847" s="82" t="s">
        <v>3394</v>
      </c>
      <c r="Y847" s="82" t="s">
        <v>3393</v>
      </c>
    </row>
    <row r="848" spans="1:25" ht="10.9" customHeight="1" x14ac:dyDescent="0.2">
      <c r="A848" s="82" t="s">
        <v>3076</v>
      </c>
      <c r="B848" s="82" t="s">
        <v>242</v>
      </c>
      <c r="C848" s="83">
        <v>45882</v>
      </c>
      <c r="D848" s="83">
        <v>45912</v>
      </c>
      <c r="E848" s="83">
        <v>45912</v>
      </c>
      <c r="F848" s="83">
        <v>45931</v>
      </c>
      <c r="G848" s="83">
        <v>45882</v>
      </c>
      <c r="H848" s="82" t="s">
        <v>857</v>
      </c>
      <c r="I848" s="82" t="s">
        <v>22</v>
      </c>
      <c r="J848" s="84">
        <v>0</v>
      </c>
      <c r="K848" s="85">
        <v>2582.38</v>
      </c>
      <c r="L848" s="85">
        <v>2711.5</v>
      </c>
      <c r="M848" s="85">
        <v>129.12</v>
      </c>
      <c r="N848" s="85">
        <v>2711.5</v>
      </c>
      <c r="O848" s="85">
        <v>0</v>
      </c>
      <c r="P848" s="85">
        <v>2582.38</v>
      </c>
      <c r="Q848" s="85">
        <v>2711.5</v>
      </c>
      <c r="R848" s="85">
        <v>129.12</v>
      </c>
      <c r="S848" s="85">
        <v>2711.5</v>
      </c>
      <c r="T848" s="85">
        <v>0</v>
      </c>
      <c r="U848" s="82"/>
      <c r="V848" s="82" t="s">
        <v>3399</v>
      </c>
      <c r="W848" s="82" t="s">
        <v>3395</v>
      </c>
      <c r="X848" s="82" t="s">
        <v>3394</v>
      </c>
      <c r="Y848" s="82" t="s">
        <v>3393</v>
      </c>
    </row>
    <row r="849" spans="1:25" ht="10.9" customHeight="1" x14ac:dyDescent="0.2">
      <c r="A849" s="82" t="s">
        <v>3075</v>
      </c>
      <c r="B849" s="82" t="s">
        <v>54</v>
      </c>
      <c r="C849" s="83">
        <v>45882</v>
      </c>
      <c r="D849" s="83">
        <v>45912</v>
      </c>
      <c r="E849" s="83">
        <v>45912</v>
      </c>
      <c r="F849" s="83">
        <v>45919</v>
      </c>
      <c r="G849" s="83">
        <v>45882</v>
      </c>
      <c r="H849" s="82" t="s">
        <v>859</v>
      </c>
      <c r="I849" s="82" t="s">
        <v>22</v>
      </c>
      <c r="J849" s="84">
        <v>0</v>
      </c>
      <c r="K849" s="85">
        <v>1417.8</v>
      </c>
      <c r="L849" s="85">
        <v>1488.69</v>
      </c>
      <c r="M849" s="85">
        <v>70.89</v>
      </c>
      <c r="N849" s="85">
        <v>1488.69</v>
      </c>
      <c r="O849" s="85">
        <v>0</v>
      </c>
      <c r="P849" s="85">
        <v>1417.8</v>
      </c>
      <c r="Q849" s="85">
        <v>1488.69</v>
      </c>
      <c r="R849" s="85">
        <v>70.89</v>
      </c>
      <c r="S849" s="85">
        <v>1488.69</v>
      </c>
      <c r="T849" s="85">
        <v>0</v>
      </c>
      <c r="U849" s="82"/>
      <c r="V849" s="82" t="s">
        <v>3399</v>
      </c>
      <c r="W849" s="82" t="s">
        <v>3395</v>
      </c>
      <c r="X849" s="82" t="s">
        <v>3394</v>
      </c>
      <c r="Y849" s="82" t="s">
        <v>3393</v>
      </c>
    </row>
    <row r="850" spans="1:25" ht="10.9" customHeight="1" x14ac:dyDescent="0.2">
      <c r="A850" s="82" t="s">
        <v>3080</v>
      </c>
      <c r="B850" s="82" t="s">
        <v>77</v>
      </c>
      <c r="C850" s="83">
        <v>45883</v>
      </c>
      <c r="D850" s="83">
        <v>45913</v>
      </c>
      <c r="E850" s="83">
        <v>45913</v>
      </c>
      <c r="F850" s="83">
        <v>45912</v>
      </c>
      <c r="G850" s="83">
        <v>45883</v>
      </c>
      <c r="H850" s="82" t="s">
        <v>850</v>
      </c>
      <c r="I850" s="82" t="s">
        <v>22</v>
      </c>
      <c r="J850" s="84">
        <v>0</v>
      </c>
      <c r="K850" s="85">
        <v>493.15</v>
      </c>
      <c r="L850" s="85">
        <v>517.79999999999995</v>
      </c>
      <c r="M850" s="85">
        <v>24.65</v>
      </c>
      <c r="N850" s="85">
        <v>517.79999999999995</v>
      </c>
      <c r="O850" s="85">
        <v>0</v>
      </c>
      <c r="P850" s="85">
        <v>493.15</v>
      </c>
      <c r="Q850" s="85">
        <v>517.79999999999995</v>
      </c>
      <c r="R850" s="85">
        <v>24.65</v>
      </c>
      <c r="S850" s="85">
        <v>517.79999999999995</v>
      </c>
      <c r="T850" s="85">
        <v>0</v>
      </c>
      <c r="U850" s="82"/>
      <c r="V850" s="82" t="s">
        <v>3399</v>
      </c>
      <c r="W850" s="82" t="s">
        <v>3395</v>
      </c>
      <c r="X850" s="82" t="s">
        <v>3394</v>
      </c>
      <c r="Y850" s="82" t="s">
        <v>3393</v>
      </c>
    </row>
    <row r="851" spans="1:25" ht="10.9" customHeight="1" x14ac:dyDescent="0.2">
      <c r="A851" s="82" t="s">
        <v>3029</v>
      </c>
      <c r="B851" s="82" t="s">
        <v>3485</v>
      </c>
      <c r="C851" s="83">
        <v>45883</v>
      </c>
      <c r="D851" s="83">
        <v>45913</v>
      </c>
      <c r="E851" s="83">
        <v>45913</v>
      </c>
      <c r="F851" s="83">
        <v>45908</v>
      </c>
      <c r="G851" s="83">
        <v>45883</v>
      </c>
      <c r="H851" s="82" t="s">
        <v>949</v>
      </c>
      <c r="I851" s="82" t="s">
        <v>22</v>
      </c>
      <c r="J851" s="84">
        <v>0</v>
      </c>
      <c r="K851" s="85">
        <v>7934.6</v>
      </c>
      <c r="L851" s="85">
        <v>8966.09</v>
      </c>
      <c r="M851" s="85">
        <v>1031.49</v>
      </c>
      <c r="N851" s="85">
        <v>8966.09</v>
      </c>
      <c r="O851" s="85">
        <v>0</v>
      </c>
      <c r="P851" s="85">
        <v>7934.6</v>
      </c>
      <c r="Q851" s="85">
        <v>8966.09</v>
      </c>
      <c r="R851" s="85">
        <v>1031.49</v>
      </c>
      <c r="S851" s="85">
        <v>8966.09</v>
      </c>
      <c r="T851" s="85">
        <v>0</v>
      </c>
      <c r="U851" s="82"/>
      <c r="V851" s="82" t="s">
        <v>3399</v>
      </c>
      <c r="W851" s="82" t="s">
        <v>3395</v>
      </c>
      <c r="X851" s="82" t="s">
        <v>3394</v>
      </c>
      <c r="Y851" s="82" t="s">
        <v>3393</v>
      </c>
    </row>
    <row r="852" spans="1:25" ht="10.9" customHeight="1" x14ac:dyDescent="0.2">
      <c r="A852" s="82" t="s">
        <v>3082</v>
      </c>
      <c r="B852" s="82" t="s">
        <v>864</v>
      </c>
      <c r="C852" s="83">
        <v>45883</v>
      </c>
      <c r="D852" s="83">
        <v>45913</v>
      </c>
      <c r="E852" s="83">
        <v>45913</v>
      </c>
      <c r="F852" s="83">
        <v>45931</v>
      </c>
      <c r="G852" s="83">
        <v>45883</v>
      </c>
      <c r="H852" s="82" t="s">
        <v>846</v>
      </c>
      <c r="I852" s="82" t="s">
        <v>22</v>
      </c>
      <c r="J852" s="84">
        <v>0</v>
      </c>
      <c r="K852" s="85">
        <v>774.75</v>
      </c>
      <c r="L852" s="85">
        <v>813.49</v>
      </c>
      <c r="M852" s="85">
        <v>38.74</v>
      </c>
      <c r="N852" s="85">
        <v>813.49</v>
      </c>
      <c r="O852" s="85">
        <v>0</v>
      </c>
      <c r="P852" s="85">
        <v>774.75</v>
      </c>
      <c r="Q852" s="85">
        <v>813.49</v>
      </c>
      <c r="R852" s="85">
        <v>38.74</v>
      </c>
      <c r="S852" s="85">
        <v>813.49</v>
      </c>
      <c r="T852" s="85">
        <v>0</v>
      </c>
      <c r="U852" s="82"/>
      <c r="V852" s="82" t="s">
        <v>3399</v>
      </c>
      <c r="W852" s="82" t="s">
        <v>3395</v>
      </c>
      <c r="X852" s="82" t="s">
        <v>3394</v>
      </c>
      <c r="Y852" s="82" t="s">
        <v>3393</v>
      </c>
    </row>
    <row r="853" spans="1:25" ht="10.9" customHeight="1" x14ac:dyDescent="0.2">
      <c r="A853" s="82" t="s">
        <v>2730</v>
      </c>
      <c r="B853" s="82" t="s">
        <v>149</v>
      </c>
      <c r="C853" s="83">
        <v>45884</v>
      </c>
      <c r="D853" s="83">
        <v>45914</v>
      </c>
      <c r="E853" s="83">
        <v>45914</v>
      </c>
      <c r="F853" s="83">
        <v>45913</v>
      </c>
      <c r="G853" s="83">
        <v>45884</v>
      </c>
      <c r="H853" s="82" t="s">
        <v>1470</v>
      </c>
      <c r="I853" s="82" t="s">
        <v>51</v>
      </c>
      <c r="J853" s="84">
        <v>0.72396099999999997</v>
      </c>
      <c r="K853" s="85">
        <v>3347.42</v>
      </c>
      <c r="L853" s="85">
        <v>3347.42</v>
      </c>
      <c r="M853" s="85">
        <v>0</v>
      </c>
      <c r="N853" s="85">
        <v>3347.42</v>
      </c>
      <c r="O853" s="85">
        <v>0</v>
      </c>
      <c r="P853" s="85">
        <v>4623.7573570952018</v>
      </c>
      <c r="Q853" s="85">
        <v>4623.7573570952018</v>
      </c>
      <c r="R853" s="85">
        <v>0</v>
      </c>
      <c r="S853" s="85">
        <v>4635.9112999999998</v>
      </c>
      <c r="T853" s="85">
        <v>0</v>
      </c>
      <c r="U853" s="82"/>
      <c r="V853" s="82" t="s">
        <v>3399</v>
      </c>
      <c r="W853" s="82" t="s">
        <v>3395</v>
      </c>
      <c r="X853" s="82" t="s">
        <v>3394</v>
      </c>
      <c r="Y853" s="82" t="s">
        <v>3393</v>
      </c>
    </row>
    <row r="854" spans="1:25" ht="10.9" customHeight="1" x14ac:dyDescent="0.2">
      <c r="A854" s="82" t="s">
        <v>2800</v>
      </c>
      <c r="B854" s="82" t="s">
        <v>149</v>
      </c>
      <c r="C854" s="83">
        <v>45884</v>
      </c>
      <c r="D854" s="83">
        <v>45914</v>
      </c>
      <c r="E854" s="83">
        <v>45914</v>
      </c>
      <c r="F854" s="83">
        <v>45913</v>
      </c>
      <c r="G854" s="83">
        <v>45884</v>
      </c>
      <c r="H854" s="82" t="s">
        <v>1341</v>
      </c>
      <c r="I854" s="82" t="s">
        <v>51</v>
      </c>
      <c r="J854" s="84">
        <v>0.72363100000000002</v>
      </c>
      <c r="K854" s="85">
        <v>10043.700000000001</v>
      </c>
      <c r="L854" s="85">
        <v>10043.700000000001</v>
      </c>
      <c r="M854" s="85">
        <v>0</v>
      </c>
      <c r="N854" s="85">
        <v>10043.700000000001</v>
      </c>
      <c r="O854" s="85">
        <v>0</v>
      </c>
      <c r="P854" s="85">
        <v>13879.587800964857</v>
      </c>
      <c r="Q854" s="85">
        <v>13879.587800964857</v>
      </c>
      <c r="R854" s="85">
        <v>0</v>
      </c>
      <c r="S854" s="85">
        <v>13909.7281</v>
      </c>
      <c r="T854" s="85">
        <v>0</v>
      </c>
      <c r="U854" s="82"/>
      <c r="V854" s="82" t="s">
        <v>3399</v>
      </c>
      <c r="W854" s="82" t="s">
        <v>3395</v>
      </c>
      <c r="X854" s="82" t="s">
        <v>3394</v>
      </c>
      <c r="Y854" s="82" t="s">
        <v>3393</v>
      </c>
    </row>
    <row r="855" spans="1:25" ht="10.9" customHeight="1" x14ac:dyDescent="0.2">
      <c r="A855" s="82" t="s">
        <v>2956</v>
      </c>
      <c r="B855" s="82" t="s">
        <v>64</v>
      </c>
      <c r="C855" s="83">
        <v>45884</v>
      </c>
      <c r="D855" s="83">
        <v>45914</v>
      </c>
      <c r="E855" s="83">
        <v>45914</v>
      </c>
      <c r="F855" s="83">
        <v>45922</v>
      </c>
      <c r="G855" s="83">
        <v>45884</v>
      </c>
      <c r="H855" s="82" t="s">
        <v>1074</v>
      </c>
      <c r="I855" s="82" t="s">
        <v>22</v>
      </c>
      <c r="J855" s="84">
        <v>0</v>
      </c>
      <c r="K855" s="85">
        <v>278.64999999999998</v>
      </c>
      <c r="L855" s="85">
        <v>314.87</v>
      </c>
      <c r="M855" s="85">
        <v>36.22</v>
      </c>
      <c r="N855" s="85">
        <v>314.87</v>
      </c>
      <c r="O855" s="85">
        <v>0</v>
      </c>
      <c r="P855" s="85">
        <v>278.64999999999998</v>
      </c>
      <c r="Q855" s="85">
        <v>314.87</v>
      </c>
      <c r="R855" s="85">
        <v>36.22</v>
      </c>
      <c r="S855" s="85">
        <v>314.87</v>
      </c>
      <c r="T855" s="85">
        <v>0</v>
      </c>
      <c r="U855" s="82"/>
      <c r="V855" s="82" t="s">
        <v>3399</v>
      </c>
      <c r="W855" s="82" t="s">
        <v>3395</v>
      </c>
      <c r="X855" s="82" t="s">
        <v>3394</v>
      </c>
      <c r="Y855" s="82" t="s">
        <v>3393</v>
      </c>
    </row>
    <row r="856" spans="1:25" ht="10.9" customHeight="1" x14ac:dyDescent="0.2">
      <c r="A856" s="82" t="s">
        <v>2957</v>
      </c>
      <c r="B856" s="82" t="s">
        <v>64</v>
      </c>
      <c r="C856" s="83">
        <v>45884</v>
      </c>
      <c r="D856" s="83">
        <v>45914</v>
      </c>
      <c r="E856" s="83">
        <v>45914</v>
      </c>
      <c r="F856" s="83">
        <v>45922</v>
      </c>
      <c r="G856" s="83">
        <v>45884</v>
      </c>
      <c r="H856" s="82" t="s">
        <v>1072</v>
      </c>
      <c r="I856" s="82" t="s">
        <v>22</v>
      </c>
      <c r="J856" s="84">
        <v>0</v>
      </c>
      <c r="K856" s="85">
        <v>894.72</v>
      </c>
      <c r="L856" s="85">
        <v>1011.03</v>
      </c>
      <c r="M856" s="85">
        <v>116.31</v>
      </c>
      <c r="N856" s="85">
        <v>1011.03</v>
      </c>
      <c r="O856" s="85">
        <v>0</v>
      </c>
      <c r="P856" s="85">
        <v>894.72</v>
      </c>
      <c r="Q856" s="85">
        <v>1011.03</v>
      </c>
      <c r="R856" s="85">
        <v>116.31</v>
      </c>
      <c r="S856" s="85">
        <v>1011.03</v>
      </c>
      <c r="T856" s="85">
        <v>0</v>
      </c>
      <c r="U856" s="82"/>
      <c r="V856" s="82" t="s">
        <v>3399</v>
      </c>
      <c r="W856" s="82" t="s">
        <v>3395</v>
      </c>
      <c r="X856" s="82" t="s">
        <v>3394</v>
      </c>
      <c r="Y856" s="82" t="s">
        <v>3393</v>
      </c>
    </row>
    <row r="857" spans="1:25" ht="10.9" customHeight="1" x14ac:dyDescent="0.2">
      <c r="A857" s="82" t="s">
        <v>2757</v>
      </c>
      <c r="B857" s="82" t="s">
        <v>1423</v>
      </c>
      <c r="C857" s="83">
        <v>45887</v>
      </c>
      <c r="D857" s="83">
        <v>45947</v>
      </c>
      <c r="E857" s="83">
        <v>45947</v>
      </c>
      <c r="F857" s="83">
        <v>45974</v>
      </c>
      <c r="G857" s="83">
        <v>45887</v>
      </c>
      <c r="H857" s="82" t="s">
        <v>1422</v>
      </c>
      <c r="I857" s="82" t="s">
        <v>51</v>
      </c>
      <c r="J857" s="84">
        <v>0.72394999999999998</v>
      </c>
      <c r="K857" s="85">
        <v>6756.15</v>
      </c>
      <c r="L857" s="85">
        <v>7564.13</v>
      </c>
      <c r="M857" s="85">
        <v>807.98</v>
      </c>
      <c r="N857" s="85">
        <v>7564.13</v>
      </c>
      <c r="O857" s="85">
        <v>0</v>
      </c>
      <c r="P857" s="85">
        <v>9332.3433938807921</v>
      </c>
      <c r="Q857" s="85">
        <v>10448.414945783548</v>
      </c>
      <c r="R857" s="85">
        <v>1116.0715519027558</v>
      </c>
      <c r="S857" s="85">
        <v>10607.702600000001</v>
      </c>
      <c r="T857" s="85">
        <v>0</v>
      </c>
      <c r="U857" s="82"/>
      <c r="V857" s="82" t="s">
        <v>3399</v>
      </c>
      <c r="W857" s="82" t="s">
        <v>3395</v>
      </c>
      <c r="X857" s="82" t="s">
        <v>3394</v>
      </c>
      <c r="Y857" s="82" t="s">
        <v>3393</v>
      </c>
    </row>
    <row r="858" spans="1:25" ht="10.9" customHeight="1" x14ac:dyDescent="0.2">
      <c r="A858" s="82" t="s">
        <v>3084</v>
      </c>
      <c r="B858" s="82" t="s">
        <v>141</v>
      </c>
      <c r="C858" s="83">
        <v>45887</v>
      </c>
      <c r="D858" s="83">
        <v>45932</v>
      </c>
      <c r="E858" s="83">
        <v>45932</v>
      </c>
      <c r="F858" s="83">
        <v>45957</v>
      </c>
      <c r="G858" s="83">
        <v>45887</v>
      </c>
      <c r="H858" s="82" t="s">
        <v>842</v>
      </c>
      <c r="I858" s="82" t="s">
        <v>51</v>
      </c>
      <c r="J858" s="84">
        <v>0.72409699999999999</v>
      </c>
      <c r="K858" s="85">
        <v>471.48</v>
      </c>
      <c r="L858" s="85">
        <v>471.48</v>
      </c>
      <c r="M858" s="85">
        <v>0</v>
      </c>
      <c r="N858" s="85">
        <v>471.48</v>
      </c>
      <c r="O858" s="85">
        <v>0</v>
      </c>
      <c r="P858" s="85">
        <v>651.12823281963597</v>
      </c>
      <c r="Q858" s="85">
        <v>651.12823281963597</v>
      </c>
      <c r="R858" s="85">
        <v>0</v>
      </c>
      <c r="S858" s="85">
        <v>659.60540000000003</v>
      </c>
      <c r="T858" s="85">
        <v>0</v>
      </c>
      <c r="U858" s="82"/>
      <c r="V858" s="82" t="s">
        <v>3399</v>
      </c>
      <c r="W858" s="82" t="s">
        <v>3395</v>
      </c>
      <c r="X858" s="82" t="s">
        <v>3394</v>
      </c>
      <c r="Y858" s="82" t="s">
        <v>3393</v>
      </c>
    </row>
    <row r="859" spans="1:25" ht="10.9" customHeight="1" x14ac:dyDescent="0.2">
      <c r="A859" s="82" t="s">
        <v>3081</v>
      </c>
      <c r="B859" s="82" t="s">
        <v>141</v>
      </c>
      <c r="C859" s="83">
        <v>45887</v>
      </c>
      <c r="D859" s="83">
        <v>45932</v>
      </c>
      <c r="E859" s="83">
        <v>45932</v>
      </c>
      <c r="F859" s="83">
        <v>45957</v>
      </c>
      <c r="G859" s="83">
        <v>45887</v>
      </c>
      <c r="H859" s="82" t="s">
        <v>848</v>
      </c>
      <c r="I859" s="82" t="s">
        <v>51</v>
      </c>
      <c r="J859" s="84">
        <v>0.72409699999999999</v>
      </c>
      <c r="K859" s="85">
        <v>28.22</v>
      </c>
      <c r="L859" s="85">
        <v>28.22</v>
      </c>
      <c r="M859" s="85">
        <v>0</v>
      </c>
      <c r="N859" s="85">
        <v>28.22</v>
      </c>
      <c r="O859" s="85">
        <v>0</v>
      </c>
      <c r="P859" s="85">
        <v>38.972679074764798</v>
      </c>
      <c r="Q859" s="85">
        <v>38.972679074764798</v>
      </c>
      <c r="R859" s="85">
        <v>0</v>
      </c>
      <c r="S859" s="85">
        <v>39.4801</v>
      </c>
      <c r="T859" s="85">
        <v>0</v>
      </c>
      <c r="U859" s="82"/>
      <c r="V859" s="82" t="s">
        <v>3399</v>
      </c>
      <c r="W859" s="82" t="s">
        <v>3395</v>
      </c>
      <c r="X859" s="82" t="s">
        <v>3394</v>
      </c>
      <c r="Y859" s="82" t="s">
        <v>3393</v>
      </c>
    </row>
    <row r="860" spans="1:25" ht="10.9" customHeight="1" x14ac:dyDescent="0.2">
      <c r="A860" s="82" t="s">
        <v>3083</v>
      </c>
      <c r="B860" s="82" t="s">
        <v>141</v>
      </c>
      <c r="C860" s="83">
        <v>45887</v>
      </c>
      <c r="D860" s="83">
        <v>45932</v>
      </c>
      <c r="E860" s="83">
        <v>45932</v>
      </c>
      <c r="F860" s="83">
        <v>45950</v>
      </c>
      <c r="G860" s="83">
        <v>45887</v>
      </c>
      <c r="H860" s="82" t="s">
        <v>844</v>
      </c>
      <c r="I860" s="82" t="s">
        <v>51</v>
      </c>
      <c r="J860" s="84">
        <v>0.72409699999999999</v>
      </c>
      <c r="K860" s="85">
        <v>1526.49</v>
      </c>
      <c r="L860" s="85">
        <v>1526.49</v>
      </c>
      <c r="M860" s="85">
        <v>0</v>
      </c>
      <c r="N860" s="85">
        <v>1526.49</v>
      </c>
      <c r="O860" s="85">
        <v>0</v>
      </c>
      <c r="P860" s="85">
        <v>2108.1291594910626</v>
      </c>
      <c r="Q860" s="85">
        <v>2108.1291594910626</v>
      </c>
      <c r="R860" s="85">
        <v>0</v>
      </c>
      <c r="S860" s="85">
        <v>2144.6424000000002</v>
      </c>
      <c r="T860" s="85">
        <v>0</v>
      </c>
      <c r="U860" s="82"/>
      <c r="V860" s="82" t="s">
        <v>3399</v>
      </c>
      <c r="W860" s="82" t="s">
        <v>3395</v>
      </c>
      <c r="X860" s="82" t="s">
        <v>3394</v>
      </c>
      <c r="Y860" s="82" t="s">
        <v>3393</v>
      </c>
    </row>
    <row r="861" spans="1:25" ht="10.9" customHeight="1" x14ac:dyDescent="0.2">
      <c r="A861" s="82" t="s">
        <v>2998</v>
      </c>
      <c r="B861" s="82" t="s">
        <v>77</v>
      </c>
      <c r="C861" s="83">
        <v>45887</v>
      </c>
      <c r="D861" s="83">
        <v>45917</v>
      </c>
      <c r="E861" s="83">
        <v>45917</v>
      </c>
      <c r="F861" s="83">
        <v>45940</v>
      </c>
      <c r="G861" s="83">
        <v>45887</v>
      </c>
      <c r="H861" s="82" t="s">
        <v>1002</v>
      </c>
      <c r="I861" s="82" t="s">
        <v>22</v>
      </c>
      <c r="J861" s="84">
        <v>0</v>
      </c>
      <c r="K861" s="85">
        <v>3680.95</v>
      </c>
      <c r="L861" s="85">
        <v>3865</v>
      </c>
      <c r="M861" s="85">
        <v>184.05</v>
      </c>
      <c r="N861" s="85">
        <v>3865</v>
      </c>
      <c r="O861" s="85">
        <v>0</v>
      </c>
      <c r="P861" s="85">
        <v>3680.95</v>
      </c>
      <c r="Q861" s="85">
        <v>3865</v>
      </c>
      <c r="R861" s="85">
        <v>184.05</v>
      </c>
      <c r="S861" s="85">
        <v>3865</v>
      </c>
      <c r="T861" s="85">
        <v>0</v>
      </c>
      <c r="U861" s="82"/>
      <c r="V861" s="82" t="s">
        <v>3399</v>
      </c>
      <c r="W861" s="82" t="s">
        <v>3395</v>
      </c>
      <c r="X861" s="82" t="s">
        <v>3394</v>
      </c>
      <c r="Y861" s="82" t="s">
        <v>3393</v>
      </c>
    </row>
    <row r="862" spans="1:25" ht="10.9" customHeight="1" x14ac:dyDescent="0.2">
      <c r="A862" s="82" t="s">
        <v>2839</v>
      </c>
      <c r="B862" s="82" t="s">
        <v>1268</v>
      </c>
      <c r="C862" s="83">
        <v>45887</v>
      </c>
      <c r="D862" s="83">
        <v>45917</v>
      </c>
      <c r="E862" s="83">
        <v>45917</v>
      </c>
      <c r="F862" s="83">
        <v>45922</v>
      </c>
      <c r="G862" s="83">
        <v>45887</v>
      </c>
      <c r="H862" s="82" t="s">
        <v>1267</v>
      </c>
      <c r="I862" s="82" t="s">
        <v>22</v>
      </c>
      <c r="J862" s="84">
        <v>0</v>
      </c>
      <c r="K862" s="85">
        <v>2980.39</v>
      </c>
      <c r="L862" s="85">
        <v>3367.84</v>
      </c>
      <c r="M862" s="85">
        <v>387.45</v>
      </c>
      <c r="N862" s="85">
        <v>3367.84</v>
      </c>
      <c r="O862" s="85">
        <v>0</v>
      </c>
      <c r="P862" s="85">
        <v>2980.39</v>
      </c>
      <c r="Q862" s="85">
        <v>3367.84</v>
      </c>
      <c r="R862" s="85">
        <v>387.45</v>
      </c>
      <c r="S862" s="85">
        <v>3367.84</v>
      </c>
      <c r="T862" s="85">
        <v>0</v>
      </c>
      <c r="U862" s="82"/>
      <c r="V862" s="82" t="s">
        <v>3399</v>
      </c>
      <c r="W862" s="82" t="s">
        <v>3395</v>
      </c>
      <c r="X862" s="82" t="s">
        <v>3394</v>
      </c>
      <c r="Y862" s="82" t="s">
        <v>3393</v>
      </c>
    </row>
    <row r="863" spans="1:25" ht="10.9" customHeight="1" x14ac:dyDescent="0.2">
      <c r="A863" s="82" t="s">
        <v>3087</v>
      </c>
      <c r="B863" s="82" t="s">
        <v>86</v>
      </c>
      <c r="C863" s="83">
        <v>45887</v>
      </c>
      <c r="D863" s="83">
        <v>45917</v>
      </c>
      <c r="E863" s="83">
        <v>45917</v>
      </c>
      <c r="F863" s="83">
        <v>45917</v>
      </c>
      <c r="G863" s="83">
        <v>45887</v>
      </c>
      <c r="H863" s="82" t="s">
        <v>836</v>
      </c>
      <c r="I863" s="82" t="s">
        <v>22</v>
      </c>
      <c r="J863" s="84">
        <v>0</v>
      </c>
      <c r="K863" s="85">
        <v>121.61</v>
      </c>
      <c r="L863" s="85">
        <v>137.41999999999999</v>
      </c>
      <c r="M863" s="85">
        <v>15.81</v>
      </c>
      <c r="N863" s="85">
        <v>137.41999999999999</v>
      </c>
      <c r="O863" s="85">
        <v>0</v>
      </c>
      <c r="P863" s="85">
        <v>121.61</v>
      </c>
      <c r="Q863" s="85">
        <v>137.41999999999999</v>
      </c>
      <c r="R863" s="85">
        <v>15.81</v>
      </c>
      <c r="S863" s="85">
        <v>137.41999999999999</v>
      </c>
      <c r="T863" s="85">
        <v>0</v>
      </c>
      <c r="U863" s="82"/>
      <c r="V863" s="82" t="s">
        <v>3399</v>
      </c>
      <c r="W863" s="82" t="s">
        <v>3395</v>
      </c>
      <c r="X863" s="82" t="s">
        <v>3394</v>
      </c>
      <c r="Y863" s="82" t="s">
        <v>3393</v>
      </c>
    </row>
    <row r="864" spans="1:25" ht="10.9" customHeight="1" x14ac:dyDescent="0.2">
      <c r="A864" s="82" t="s">
        <v>3041</v>
      </c>
      <c r="B864" s="82" t="s">
        <v>952</v>
      </c>
      <c r="C864" s="83">
        <v>45887</v>
      </c>
      <c r="D864" s="83">
        <v>45917</v>
      </c>
      <c r="E864" s="83">
        <v>45917</v>
      </c>
      <c r="F864" s="83">
        <v>45917</v>
      </c>
      <c r="G864" s="83">
        <v>45887</v>
      </c>
      <c r="H864" s="82" t="s">
        <v>929</v>
      </c>
      <c r="I864" s="82" t="s">
        <v>22</v>
      </c>
      <c r="J864" s="84">
        <v>0</v>
      </c>
      <c r="K864" s="85">
        <v>961.91</v>
      </c>
      <c r="L864" s="85">
        <v>1010</v>
      </c>
      <c r="M864" s="85">
        <v>48.09</v>
      </c>
      <c r="N864" s="85">
        <v>1010</v>
      </c>
      <c r="O864" s="85">
        <v>0</v>
      </c>
      <c r="P864" s="85">
        <v>961.91</v>
      </c>
      <c r="Q864" s="85">
        <v>1010</v>
      </c>
      <c r="R864" s="85">
        <v>48.09</v>
      </c>
      <c r="S864" s="85">
        <v>1010</v>
      </c>
      <c r="T864" s="85">
        <v>0</v>
      </c>
      <c r="U864" s="82"/>
      <c r="V864" s="82" t="s">
        <v>3399</v>
      </c>
      <c r="W864" s="82" t="s">
        <v>3395</v>
      </c>
      <c r="X864" s="82" t="s">
        <v>3394</v>
      </c>
      <c r="Y864" s="82" t="s">
        <v>3393</v>
      </c>
    </row>
    <row r="865" spans="1:25" ht="10.9" customHeight="1" x14ac:dyDescent="0.2">
      <c r="A865" s="82" t="s">
        <v>3028</v>
      </c>
      <c r="B865" s="82" t="s">
        <v>952</v>
      </c>
      <c r="C865" s="83">
        <v>45887</v>
      </c>
      <c r="D865" s="83">
        <v>45917</v>
      </c>
      <c r="E865" s="83">
        <v>45917</v>
      </c>
      <c r="F865" s="83">
        <v>45917</v>
      </c>
      <c r="G865" s="83">
        <v>45887</v>
      </c>
      <c r="H865" s="82" t="s">
        <v>951</v>
      </c>
      <c r="I865" s="82" t="s">
        <v>22</v>
      </c>
      <c r="J865" s="84">
        <v>0</v>
      </c>
      <c r="K865" s="85">
        <v>961.91</v>
      </c>
      <c r="L865" s="85">
        <v>1010</v>
      </c>
      <c r="M865" s="85">
        <v>48.09</v>
      </c>
      <c r="N865" s="85">
        <v>1010</v>
      </c>
      <c r="O865" s="85">
        <v>0</v>
      </c>
      <c r="P865" s="85">
        <v>961.91</v>
      </c>
      <c r="Q865" s="85">
        <v>1010</v>
      </c>
      <c r="R865" s="85">
        <v>48.09</v>
      </c>
      <c r="S865" s="85">
        <v>1010</v>
      </c>
      <c r="T865" s="85">
        <v>0</v>
      </c>
      <c r="U865" s="82"/>
      <c r="V865" s="82" t="s">
        <v>3399</v>
      </c>
      <c r="W865" s="82" t="s">
        <v>3395</v>
      </c>
      <c r="X865" s="82" t="s">
        <v>3394</v>
      </c>
      <c r="Y865" s="82" t="s">
        <v>3393</v>
      </c>
    </row>
    <row r="866" spans="1:25" ht="10.9" customHeight="1" x14ac:dyDescent="0.2">
      <c r="A866" s="82" t="s">
        <v>2821</v>
      </c>
      <c r="B866" s="82" t="s">
        <v>129</v>
      </c>
      <c r="C866" s="83">
        <v>45888</v>
      </c>
      <c r="D866" s="83">
        <v>45918</v>
      </c>
      <c r="E866" s="83">
        <v>45918</v>
      </c>
      <c r="F866" s="82"/>
      <c r="G866" s="83">
        <v>45888</v>
      </c>
      <c r="H866" s="82" t="s">
        <v>3483</v>
      </c>
      <c r="I866" s="82" t="s">
        <v>51</v>
      </c>
      <c r="J866" s="84">
        <v>0.72049200000000002</v>
      </c>
      <c r="K866" s="85">
        <v>14850</v>
      </c>
      <c r="L866" s="85">
        <v>14850</v>
      </c>
      <c r="M866" s="85">
        <v>0</v>
      </c>
      <c r="N866" s="85">
        <v>0</v>
      </c>
      <c r="O866" s="85">
        <v>14850</v>
      </c>
      <c r="P866" s="85">
        <v>20610.915874152659</v>
      </c>
      <c r="Q866" s="85">
        <v>20610.915874152659</v>
      </c>
      <c r="R866" s="85">
        <v>0</v>
      </c>
      <c r="S866" s="85">
        <v>0</v>
      </c>
      <c r="T866" s="85">
        <v>20380.43</v>
      </c>
      <c r="U866" s="82" t="s">
        <v>3401</v>
      </c>
      <c r="V866" s="82" t="s">
        <v>3396</v>
      </c>
      <c r="W866" s="82" t="s">
        <v>3395</v>
      </c>
      <c r="X866" s="82" t="s">
        <v>3394</v>
      </c>
      <c r="Y866" s="82" t="s">
        <v>3393</v>
      </c>
    </row>
    <row r="867" spans="1:25" ht="10.9" customHeight="1" x14ac:dyDescent="0.2">
      <c r="A867" s="82" t="s">
        <v>2837</v>
      </c>
      <c r="B867" s="82" t="s">
        <v>129</v>
      </c>
      <c r="C867" s="83">
        <v>45888</v>
      </c>
      <c r="D867" s="83">
        <v>45918</v>
      </c>
      <c r="E867" s="83">
        <v>45918</v>
      </c>
      <c r="F867" s="82"/>
      <c r="G867" s="83">
        <v>45888</v>
      </c>
      <c r="H867" s="82" t="s">
        <v>3482</v>
      </c>
      <c r="I867" s="82" t="s">
        <v>51</v>
      </c>
      <c r="J867" s="84">
        <v>0.72049200000000002</v>
      </c>
      <c r="K867" s="85">
        <v>2530</v>
      </c>
      <c r="L867" s="85">
        <v>2530</v>
      </c>
      <c r="M867" s="85">
        <v>0</v>
      </c>
      <c r="N867" s="85">
        <v>0</v>
      </c>
      <c r="O867" s="85">
        <v>2530</v>
      </c>
      <c r="P867" s="85">
        <v>3511.4893711519348</v>
      </c>
      <c r="Q867" s="85">
        <v>3511.4893711519348</v>
      </c>
      <c r="R867" s="85">
        <v>0</v>
      </c>
      <c r="S867" s="85">
        <v>0</v>
      </c>
      <c r="T867" s="85">
        <v>3472.22</v>
      </c>
      <c r="U867" s="82" t="s">
        <v>3401</v>
      </c>
      <c r="V867" s="82" t="s">
        <v>3396</v>
      </c>
      <c r="W867" s="82" t="s">
        <v>3395</v>
      </c>
      <c r="X867" s="82" t="s">
        <v>3394</v>
      </c>
      <c r="Y867" s="82" t="s">
        <v>3393</v>
      </c>
    </row>
    <row r="868" spans="1:25" ht="10.9" customHeight="1" x14ac:dyDescent="0.2">
      <c r="A868" s="82" t="s">
        <v>2981</v>
      </c>
      <c r="B868" s="82" t="s">
        <v>129</v>
      </c>
      <c r="C868" s="83">
        <v>45888</v>
      </c>
      <c r="D868" s="83">
        <v>45948</v>
      </c>
      <c r="E868" s="83">
        <v>45948</v>
      </c>
      <c r="F868" s="82"/>
      <c r="G868" s="83">
        <v>45888</v>
      </c>
      <c r="H868" s="82" t="s">
        <v>3484</v>
      </c>
      <c r="I868" s="82" t="s">
        <v>51</v>
      </c>
      <c r="J868" s="84">
        <v>0.72049200000000002</v>
      </c>
      <c r="K868" s="85">
        <v>1230</v>
      </c>
      <c r="L868" s="85">
        <v>1230</v>
      </c>
      <c r="M868" s="85">
        <v>0</v>
      </c>
      <c r="N868" s="85">
        <v>0</v>
      </c>
      <c r="O868" s="85">
        <v>1230</v>
      </c>
      <c r="P868" s="85">
        <v>1707.1667693742606</v>
      </c>
      <c r="Q868" s="85">
        <v>1707.1667693742606</v>
      </c>
      <c r="R868" s="85">
        <v>0</v>
      </c>
      <c r="S868" s="85">
        <v>0</v>
      </c>
      <c r="T868" s="85">
        <v>1688.08</v>
      </c>
      <c r="U868" s="82" t="s">
        <v>3401</v>
      </c>
      <c r="V868" s="82" t="s">
        <v>3396</v>
      </c>
      <c r="W868" s="82" t="s">
        <v>3395</v>
      </c>
      <c r="X868" s="82" t="s">
        <v>3394</v>
      </c>
      <c r="Y868" s="82" t="s">
        <v>3393</v>
      </c>
    </row>
    <row r="869" spans="1:25" ht="10.9" customHeight="1" x14ac:dyDescent="0.2">
      <c r="A869" s="82" t="s">
        <v>3093</v>
      </c>
      <c r="B869" s="82" t="s">
        <v>450</v>
      </c>
      <c r="C869" s="83">
        <v>45888</v>
      </c>
      <c r="D869" s="83">
        <v>45918</v>
      </c>
      <c r="E869" s="83">
        <v>45918</v>
      </c>
      <c r="F869" s="83">
        <v>45888</v>
      </c>
      <c r="G869" s="83">
        <v>45888</v>
      </c>
      <c r="H869" s="82" t="s">
        <v>824</v>
      </c>
      <c r="I869" s="82" t="s">
        <v>22</v>
      </c>
      <c r="J869" s="84">
        <v>0</v>
      </c>
      <c r="K869" s="85">
        <v>1859.15</v>
      </c>
      <c r="L869" s="85">
        <v>2100.84</v>
      </c>
      <c r="M869" s="85">
        <v>241.69</v>
      </c>
      <c r="N869" s="85">
        <v>2100.84</v>
      </c>
      <c r="O869" s="85">
        <v>0</v>
      </c>
      <c r="P869" s="85">
        <v>1859.15</v>
      </c>
      <c r="Q869" s="85">
        <v>2100.84</v>
      </c>
      <c r="R869" s="85">
        <v>241.69</v>
      </c>
      <c r="S869" s="85">
        <v>2100.84</v>
      </c>
      <c r="T869" s="85">
        <v>0</v>
      </c>
      <c r="U869" s="82"/>
      <c r="V869" s="82" t="s">
        <v>3399</v>
      </c>
      <c r="W869" s="82" t="s">
        <v>3395</v>
      </c>
      <c r="X869" s="82" t="s">
        <v>3394</v>
      </c>
      <c r="Y869" s="82" t="s">
        <v>3393</v>
      </c>
    </row>
    <row r="870" spans="1:25" ht="10.9" customHeight="1" x14ac:dyDescent="0.2">
      <c r="A870" s="82" t="s">
        <v>3089</v>
      </c>
      <c r="B870" s="82" t="s">
        <v>171</v>
      </c>
      <c r="C870" s="83">
        <v>45888</v>
      </c>
      <c r="D870" s="83">
        <v>45918</v>
      </c>
      <c r="E870" s="83">
        <v>45918</v>
      </c>
      <c r="F870" s="83">
        <v>45918</v>
      </c>
      <c r="G870" s="83">
        <v>45888</v>
      </c>
      <c r="H870" s="82" t="s">
        <v>832</v>
      </c>
      <c r="I870" s="82" t="s">
        <v>22</v>
      </c>
      <c r="J870" s="84">
        <v>0</v>
      </c>
      <c r="K870" s="85">
        <v>1662.14</v>
      </c>
      <c r="L870" s="85">
        <v>1745.25</v>
      </c>
      <c r="M870" s="85">
        <v>83.11</v>
      </c>
      <c r="N870" s="85">
        <v>1745.25</v>
      </c>
      <c r="O870" s="85">
        <v>0</v>
      </c>
      <c r="P870" s="85">
        <v>1662.14</v>
      </c>
      <c r="Q870" s="85">
        <v>1745.25</v>
      </c>
      <c r="R870" s="85">
        <v>83.11</v>
      </c>
      <c r="S870" s="85">
        <v>1745.25</v>
      </c>
      <c r="T870" s="85">
        <v>0</v>
      </c>
      <c r="U870" s="82"/>
      <c r="V870" s="82" t="s">
        <v>3399</v>
      </c>
      <c r="W870" s="82" t="s">
        <v>3395</v>
      </c>
      <c r="X870" s="82" t="s">
        <v>3394</v>
      </c>
      <c r="Y870" s="82" t="s">
        <v>3393</v>
      </c>
    </row>
    <row r="871" spans="1:25" ht="10.9" customHeight="1" x14ac:dyDescent="0.2">
      <c r="A871" s="82" t="s">
        <v>3090</v>
      </c>
      <c r="B871" s="82" t="s">
        <v>171</v>
      </c>
      <c r="C871" s="83">
        <v>45888</v>
      </c>
      <c r="D871" s="83">
        <v>45918</v>
      </c>
      <c r="E871" s="83">
        <v>45918</v>
      </c>
      <c r="F871" s="83">
        <v>45918</v>
      </c>
      <c r="G871" s="83">
        <v>45888</v>
      </c>
      <c r="H871" s="82" t="s">
        <v>830</v>
      </c>
      <c r="I871" s="82" t="s">
        <v>22</v>
      </c>
      <c r="J871" s="84">
        <v>0</v>
      </c>
      <c r="K871" s="85">
        <v>113.04</v>
      </c>
      <c r="L871" s="85">
        <v>118.69</v>
      </c>
      <c r="M871" s="85">
        <v>5.65</v>
      </c>
      <c r="N871" s="85">
        <v>118.69</v>
      </c>
      <c r="O871" s="85">
        <v>0</v>
      </c>
      <c r="P871" s="85">
        <v>113.04</v>
      </c>
      <c r="Q871" s="85">
        <v>118.69</v>
      </c>
      <c r="R871" s="85">
        <v>5.65</v>
      </c>
      <c r="S871" s="85">
        <v>118.69</v>
      </c>
      <c r="T871" s="85">
        <v>0</v>
      </c>
      <c r="U871" s="82"/>
      <c r="V871" s="82" t="s">
        <v>3399</v>
      </c>
      <c r="W871" s="82" t="s">
        <v>3395</v>
      </c>
      <c r="X871" s="82" t="s">
        <v>3394</v>
      </c>
      <c r="Y871" s="82" t="s">
        <v>3393</v>
      </c>
    </row>
    <row r="872" spans="1:25" ht="10.9" customHeight="1" x14ac:dyDescent="0.2">
      <c r="A872" s="82" t="s">
        <v>3100</v>
      </c>
      <c r="B872" s="82" t="s">
        <v>141</v>
      </c>
      <c r="C872" s="83">
        <v>45889</v>
      </c>
      <c r="D872" s="83">
        <v>45934</v>
      </c>
      <c r="E872" s="83">
        <v>45934</v>
      </c>
      <c r="F872" s="83">
        <v>45950</v>
      </c>
      <c r="G872" s="83">
        <v>45889</v>
      </c>
      <c r="H872" s="82" t="s">
        <v>809</v>
      </c>
      <c r="I872" s="82" t="s">
        <v>51</v>
      </c>
      <c r="J872" s="84">
        <v>0.72046600000000005</v>
      </c>
      <c r="K872" s="85">
        <v>8829.6200000000008</v>
      </c>
      <c r="L872" s="85">
        <v>8829.6200000000008</v>
      </c>
      <c r="M872" s="85">
        <v>0</v>
      </c>
      <c r="N872" s="85">
        <v>8829.6200000000008</v>
      </c>
      <c r="O872" s="85">
        <v>0</v>
      </c>
      <c r="P872" s="85">
        <v>12255.429125038516</v>
      </c>
      <c r="Q872" s="85">
        <v>12255.429125038516</v>
      </c>
      <c r="R872" s="85">
        <v>0</v>
      </c>
      <c r="S872" s="85">
        <v>12405.1764</v>
      </c>
      <c r="T872" s="85">
        <v>0</v>
      </c>
      <c r="U872" s="82"/>
      <c r="V872" s="82" t="s">
        <v>3399</v>
      </c>
      <c r="W872" s="82" t="s">
        <v>3395</v>
      </c>
      <c r="X872" s="82" t="s">
        <v>3394</v>
      </c>
      <c r="Y872" s="82" t="s">
        <v>3393</v>
      </c>
    </row>
    <row r="873" spans="1:25" ht="10.9" customHeight="1" x14ac:dyDescent="0.2">
      <c r="A873" s="82" t="s">
        <v>2773</v>
      </c>
      <c r="B873" s="82" t="s">
        <v>129</v>
      </c>
      <c r="C873" s="83">
        <v>45889</v>
      </c>
      <c r="D873" s="83">
        <v>45919</v>
      </c>
      <c r="E873" s="83">
        <v>45919</v>
      </c>
      <c r="F873" s="82"/>
      <c r="G873" s="83">
        <v>45889</v>
      </c>
      <c r="H873" s="82" t="s">
        <v>3481</v>
      </c>
      <c r="I873" s="82" t="s">
        <v>51</v>
      </c>
      <c r="J873" s="84">
        <v>0.72046600000000005</v>
      </c>
      <c r="K873" s="85">
        <v>16068</v>
      </c>
      <c r="L873" s="85">
        <v>16068</v>
      </c>
      <c r="M873" s="85">
        <v>0</v>
      </c>
      <c r="N873" s="85">
        <v>0</v>
      </c>
      <c r="O873" s="85">
        <v>16068</v>
      </c>
      <c r="P873" s="85">
        <v>22302.23216640341</v>
      </c>
      <c r="Q873" s="85">
        <v>22302.23216640341</v>
      </c>
      <c r="R873" s="85">
        <v>0</v>
      </c>
      <c r="S873" s="85">
        <v>0</v>
      </c>
      <c r="T873" s="85">
        <v>22052.04</v>
      </c>
      <c r="U873" s="82" t="s">
        <v>3401</v>
      </c>
      <c r="V873" s="82" t="s">
        <v>3396</v>
      </c>
      <c r="W873" s="82" t="s">
        <v>3395</v>
      </c>
      <c r="X873" s="82" t="s">
        <v>3394</v>
      </c>
      <c r="Y873" s="82" t="s">
        <v>3393</v>
      </c>
    </row>
    <row r="874" spans="1:25" ht="10.9" customHeight="1" x14ac:dyDescent="0.2">
      <c r="A874" s="82" t="s">
        <v>2939</v>
      </c>
      <c r="B874" s="82" t="s">
        <v>3412</v>
      </c>
      <c r="C874" s="83">
        <v>45889</v>
      </c>
      <c r="D874" s="83">
        <v>45934</v>
      </c>
      <c r="E874" s="83">
        <v>45934</v>
      </c>
      <c r="F874" s="83">
        <v>45940</v>
      </c>
      <c r="G874" s="83">
        <v>45889</v>
      </c>
      <c r="H874" s="82" t="s">
        <v>1102</v>
      </c>
      <c r="I874" s="82" t="s">
        <v>22</v>
      </c>
      <c r="J874" s="84">
        <v>0</v>
      </c>
      <c r="K874" s="85">
        <v>109.66</v>
      </c>
      <c r="L874" s="85">
        <v>115.14</v>
      </c>
      <c r="M874" s="85">
        <v>5.48</v>
      </c>
      <c r="N874" s="85">
        <v>115.14</v>
      </c>
      <c r="O874" s="85">
        <v>0</v>
      </c>
      <c r="P874" s="85">
        <v>109.66</v>
      </c>
      <c r="Q874" s="85">
        <v>115.14</v>
      </c>
      <c r="R874" s="85">
        <v>5.48</v>
      </c>
      <c r="S874" s="85">
        <v>115.14</v>
      </c>
      <c r="T874" s="85">
        <v>0</v>
      </c>
      <c r="U874" s="82"/>
      <c r="V874" s="82" t="s">
        <v>3399</v>
      </c>
      <c r="W874" s="82" t="s">
        <v>3395</v>
      </c>
      <c r="X874" s="82" t="s">
        <v>3394</v>
      </c>
      <c r="Y874" s="82" t="s">
        <v>3393</v>
      </c>
    </row>
    <row r="875" spans="1:25" ht="10.9" customHeight="1" x14ac:dyDescent="0.2">
      <c r="A875" s="82" t="s">
        <v>3095</v>
      </c>
      <c r="B875" s="82" t="s">
        <v>20</v>
      </c>
      <c r="C875" s="83">
        <v>45889</v>
      </c>
      <c r="D875" s="83">
        <v>45949</v>
      </c>
      <c r="E875" s="83">
        <v>45949</v>
      </c>
      <c r="F875" s="83">
        <v>45947</v>
      </c>
      <c r="G875" s="83">
        <v>45889</v>
      </c>
      <c r="H875" s="82" t="s">
        <v>820</v>
      </c>
      <c r="I875" s="82" t="s">
        <v>22</v>
      </c>
      <c r="J875" s="84">
        <v>0</v>
      </c>
      <c r="K875" s="85">
        <v>296.56</v>
      </c>
      <c r="L875" s="85">
        <v>311.39</v>
      </c>
      <c r="M875" s="85">
        <v>14.83</v>
      </c>
      <c r="N875" s="85">
        <v>311.39</v>
      </c>
      <c r="O875" s="85">
        <v>0</v>
      </c>
      <c r="P875" s="85">
        <v>296.56</v>
      </c>
      <c r="Q875" s="85">
        <v>311.39</v>
      </c>
      <c r="R875" s="85">
        <v>14.83</v>
      </c>
      <c r="S875" s="85">
        <v>311.39</v>
      </c>
      <c r="T875" s="85">
        <v>0</v>
      </c>
      <c r="U875" s="82"/>
      <c r="V875" s="82" t="s">
        <v>3399</v>
      </c>
      <c r="W875" s="82" t="s">
        <v>3395</v>
      </c>
      <c r="X875" s="82" t="s">
        <v>3394</v>
      </c>
      <c r="Y875" s="82" t="s">
        <v>3393</v>
      </c>
    </row>
    <row r="876" spans="1:25" ht="10.9" customHeight="1" x14ac:dyDescent="0.2">
      <c r="A876" s="82" t="s">
        <v>3004</v>
      </c>
      <c r="B876" s="82" t="s">
        <v>95</v>
      </c>
      <c r="C876" s="83">
        <v>45889</v>
      </c>
      <c r="D876" s="83">
        <v>45919</v>
      </c>
      <c r="E876" s="83">
        <v>45919</v>
      </c>
      <c r="F876" s="83">
        <v>45917</v>
      </c>
      <c r="G876" s="83">
        <v>45889</v>
      </c>
      <c r="H876" s="82" t="s">
        <v>996</v>
      </c>
      <c r="I876" s="82" t="s">
        <v>22</v>
      </c>
      <c r="J876" s="84">
        <v>0</v>
      </c>
      <c r="K876" s="85">
        <v>5815.61</v>
      </c>
      <c r="L876" s="85">
        <v>6106.39</v>
      </c>
      <c r="M876" s="85">
        <v>290.77999999999997</v>
      </c>
      <c r="N876" s="85">
        <v>6106.39</v>
      </c>
      <c r="O876" s="85">
        <v>0</v>
      </c>
      <c r="P876" s="85">
        <v>5815.61</v>
      </c>
      <c r="Q876" s="85">
        <v>6106.39</v>
      </c>
      <c r="R876" s="85">
        <v>290.77999999999997</v>
      </c>
      <c r="S876" s="85">
        <v>6106.39</v>
      </c>
      <c r="T876" s="85">
        <v>0</v>
      </c>
      <c r="U876" s="82"/>
      <c r="V876" s="82" t="s">
        <v>3399</v>
      </c>
      <c r="W876" s="82" t="s">
        <v>3395</v>
      </c>
      <c r="X876" s="82" t="s">
        <v>3394</v>
      </c>
      <c r="Y876" s="82" t="s">
        <v>3393</v>
      </c>
    </row>
    <row r="877" spans="1:25" ht="10.9" customHeight="1" x14ac:dyDescent="0.2">
      <c r="A877" s="82" t="s">
        <v>2929</v>
      </c>
      <c r="B877" s="82" t="s">
        <v>98</v>
      </c>
      <c r="C877" s="83">
        <v>45889</v>
      </c>
      <c r="D877" s="83">
        <v>45919</v>
      </c>
      <c r="E877" s="83">
        <v>45919</v>
      </c>
      <c r="F877" s="83">
        <v>45924</v>
      </c>
      <c r="G877" s="83">
        <v>45889</v>
      </c>
      <c r="H877" s="82" t="s">
        <v>1117</v>
      </c>
      <c r="I877" s="82" t="s">
        <v>22</v>
      </c>
      <c r="J877" s="84">
        <v>0</v>
      </c>
      <c r="K877" s="85">
        <v>80.05</v>
      </c>
      <c r="L877" s="85">
        <v>90.46</v>
      </c>
      <c r="M877" s="85">
        <v>10.41</v>
      </c>
      <c r="N877" s="85">
        <v>90.46</v>
      </c>
      <c r="O877" s="85">
        <v>0</v>
      </c>
      <c r="P877" s="85">
        <v>80.05</v>
      </c>
      <c r="Q877" s="85">
        <v>90.46</v>
      </c>
      <c r="R877" s="85">
        <v>10.41</v>
      </c>
      <c r="S877" s="85">
        <v>90.46</v>
      </c>
      <c r="T877" s="85">
        <v>0</v>
      </c>
      <c r="U877" s="82"/>
      <c r="V877" s="82" t="s">
        <v>3399</v>
      </c>
      <c r="W877" s="82" t="s">
        <v>3395</v>
      </c>
      <c r="X877" s="82" t="s">
        <v>3394</v>
      </c>
      <c r="Y877" s="82" t="s">
        <v>3393</v>
      </c>
    </row>
    <row r="878" spans="1:25" ht="10.9" customHeight="1" x14ac:dyDescent="0.2">
      <c r="A878" s="82" t="s">
        <v>3051</v>
      </c>
      <c r="B878" s="82" t="s">
        <v>98</v>
      </c>
      <c r="C878" s="83">
        <v>45889</v>
      </c>
      <c r="D878" s="83">
        <v>45919</v>
      </c>
      <c r="E878" s="83">
        <v>45919</v>
      </c>
      <c r="F878" s="83">
        <v>45924</v>
      </c>
      <c r="G878" s="83">
        <v>45889</v>
      </c>
      <c r="H878" s="82" t="s">
        <v>911</v>
      </c>
      <c r="I878" s="82" t="s">
        <v>22</v>
      </c>
      <c r="J878" s="84">
        <v>0</v>
      </c>
      <c r="K878" s="85">
        <v>4984.1899999999996</v>
      </c>
      <c r="L878" s="85">
        <v>5632.13</v>
      </c>
      <c r="M878" s="85">
        <v>647.94000000000005</v>
      </c>
      <c r="N878" s="85">
        <v>5632.13</v>
      </c>
      <c r="O878" s="85">
        <v>0</v>
      </c>
      <c r="P878" s="85">
        <v>4984.1899999999996</v>
      </c>
      <c r="Q878" s="85">
        <v>5632.13</v>
      </c>
      <c r="R878" s="85">
        <v>647.94000000000005</v>
      </c>
      <c r="S878" s="85">
        <v>5632.13</v>
      </c>
      <c r="T878" s="85">
        <v>0</v>
      </c>
      <c r="U878" s="82"/>
      <c r="V878" s="82" t="s">
        <v>3399</v>
      </c>
      <c r="W878" s="82" t="s">
        <v>3395</v>
      </c>
      <c r="X878" s="82" t="s">
        <v>3394</v>
      </c>
      <c r="Y878" s="82" t="s">
        <v>3393</v>
      </c>
    </row>
    <row r="879" spans="1:25" ht="10.9" customHeight="1" x14ac:dyDescent="0.2">
      <c r="A879" s="82" t="s">
        <v>3022</v>
      </c>
      <c r="B879" s="82" t="s">
        <v>98</v>
      </c>
      <c r="C879" s="83">
        <v>45889</v>
      </c>
      <c r="D879" s="83">
        <v>45919</v>
      </c>
      <c r="E879" s="83">
        <v>45919</v>
      </c>
      <c r="F879" s="83">
        <v>45924</v>
      </c>
      <c r="G879" s="83">
        <v>45889</v>
      </c>
      <c r="H879" s="82" t="s">
        <v>960</v>
      </c>
      <c r="I879" s="82" t="s">
        <v>22</v>
      </c>
      <c r="J879" s="84">
        <v>0</v>
      </c>
      <c r="K879" s="85">
        <v>373.88</v>
      </c>
      <c r="L879" s="85">
        <v>422.48</v>
      </c>
      <c r="M879" s="85">
        <v>48.6</v>
      </c>
      <c r="N879" s="85">
        <v>422.48</v>
      </c>
      <c r="O879" s="85">
        <v>0</v>
      </c>
      <c r="P879" s="85">
        <v>373.88</v>
      </c>
      <c r="Q879" s="85">
        <v>422.48</v>
      </c>
      <c r="R879" s="85">
        <v>48.6</v>
      </c>
      <c r="S879" s="85">
        <v>422.48</v>
      </c>
      <c r="T879" s="85">
        <v>0</v>
      </c>
      <c r="U879" s="82"/>
      <c r="V879" s="82" t="s">
        <v>3399</v>
      </c>
      <c r="W879" s="82" t="s">
        <v>3395</v>
      </c>
      <c r="X879" s="82" t="s">
        <v>3394</v>
      </c>
      <c r="Y879" s="82" t="s">
        <v>3393</v>
      </c>
    </row>
    <row r="880" spans="1:25" ht="10.9" customHeight="1" x14ac:dyDescent="0.2">
      <c r="A880" s="82" t="s">
        <v>2986</v>
      </c>
      <c r="B880" s="82" t="s">
        <v>98</v>
      </c>
      <c r="C880" s="83">
        <v>45889</v>
      </c>
      <c r="D880" s="83">
        <v>45919</v>
      </c>
      <c r="E880" s="83">
        <v>45919</v>
      </c>
      <c r="F880" s="83">
        <v>45931</v>
      </c>
      <c r="G880" s="83">
        <v>45889</v>
      </c>
      <c r="H880" s="82" t="s">
        <v>1020</v>
      </c>
      <c r="I880" s="82" t="s">
        <v>22</v>
      </c>
      <c r="J880" s="84">
        <v>0</v>
      </c>
      <c r="K880" s="85">
        <v>1842.22</v>
      </c>
      <c r="L880" s="85">
        <v>2081.71</v>
      </c>
      <c r="M880" s="85">
        <v>239.49</v>
      </c>
      <c r="N880" s="85">
        <v>2081.71</v>
      </c>
      <c r="O880" s="85">
        <v>0</v>
      </c>
      <c r="P880" s="85">
        <v>1842.22</v>
      </c>
      <c r="Q880" s="85">
        <v>2081.71</v>
      </c>
      <c r="R880" s="85">
        <v>239.49</v>
      </c>
      <c r="S880" s="85">
        <v>2081.71</v>
      </c>
      <c r="T880" s="85">
        <v>0</v>
      </c>
      <c r="U880" s="82"/>
      <c r="V880" s="82" t="s">
        <v>3399</v>
      </c>
      <c r="W880" s="82" t="s">
        <v>3395</v>
      </c>
      <c r="X880" s="82" t="s">
        <v>3394</v>
      </c>
      <c r="Y880" s="82" t="s">
        <v>3393</v>
      </c>
    </row>
    <row r="881" spans="1:25" ht="10.9" customHeight="1" x14ac:dyDescent="0.2">
      <c r="A881" s="82" t="s">
        <v>2849</v>
      </c>
      <c r="B881" s="82" t="s">
        <v>98</v>
      </c>
      <c r="C881" s="83">
        <v>45889</v>
      </c>
      <c r="D881" s="83">
        <v>45919</v>
      </c>
      <c r="E881" s="83">
        <v>45919</v>
      </c>
      <c r="F881" s="83">
        <v>45931</v>
      </c>
      <c r="G881" s="83">
        <v>45889</v>
      </c>
      <c r="H881" s="82" t="s">
        <v>1253</v>
      </c>
      <c r="I881" s="82" t="s">
        <v>22</v>
      </c>
      <c r="J881" s="84">
        <v>0</v>
      </c>
      <c r="K881" s="85">
        <v>7656.94</v>
      </c>
      <c r="L881" s="85">
        <v>8652.34</v>
      </c>
      <c r="M881" s="85">
        <v>995.4</v>
      </c>
      <c r="N881" s="85">
        <v>8652.34</v>
      </c>
      <c r="O881" s="85">
        <v>0</v>
      </c>
      <c r="P881" s="85">
        <v>7656.94</v>
      </c>
      <c r="Q881" s="85">
        <v>8652.34</v>
      </c>
      <c r="R881" s="85">
        <v>995.4</v>
      </c>
      <c r="S881" s="85">
        <v>8652.34</v>
      </c>
      <c r="T881" s="85">
        <v>0</v>
      </c>
      <c r="U881" s="82"/>
      <c r="V881" s="82" t="s">
        <v>3399</v>
      </c>
      <c r="W881" s="82" t="s">
        <v>3395</v>
      </c>
      <c r="X881" s="82" t="s">
        <v>3394</v>
      </c>
      <c r="Y881" s="82" t="s">
        <v>3393</v>
      </c>
    </row>
    <row r="882" spans="1:25" ht="10.9" customHeight="1" x14ac:dyDescent="0.2">
      <c r="A882" s="82" t="s">
        <v>3092</v>
      </c>
      <c r="B882" s="82" t="s">
        <v>3424</v>
      </c>
      <c r="C882" s="83">
        <v>45890</v>
      </c>
      <c r="D882" s="83">
        <v>45920</v>
      </c>
      <c r="E882" s="83">
        <v>45920</v>
      </c>
      <c r="F882" s="83">
        <v>45959</v>
      </c>
      <c r="G882" s="83">
        <v>45890</v>
      </c>
      <c r="H882" s="82" t="s">
        <v>826</v>
      </c>
      <c r="I882" s="82" t="s">
        <v>51</v>
      </c>
      <c r="J882" s="84">
        <v>0.71884000000000003</v>
      </c>
      <c r="K882" s="85">
        <v>3330.81</v>
      </c>
      <c r="L882" s="85">
        <v>3330.81</v>
      </c>
      <c r="M882" s="85">
        <v>0</v>
      </c>
      <c r="N882" s="85">
        <v>3330.81</v>
      </c>
      <c r="O882" s="85">
        <v>0</v>
      </c>
      <c r="P882" s="85">
        <v>4633.5902287017971</v>
      </c>
      <c r="Q882" s="85">
        <v>4633.5902287017971</v>
      </c>
      <c r="R882" s="85">
        <v>0</v>
      </c>
      <c r="S882" s="85">
        <v>4630.0605999999998</v>
      </c>
      <c r="T882" s="85">
        <v>0</v>
      </c>
      <c r="U882" s="82"/>
      <c r="V882" s="82" t="s">
        <v>3399</v>
      </c>
      <c r="W882" s="82" t="s">
        <v>3395</v>
      </c>
      <c r="X882" s="82" t="s">
        <v>3394</v>
      </c>
      <c r="Y882" s="82" t="s">
        <v>3393</v>
      </c>
    </row>
    <row r="883" spans="1:25" ht="10.9" customHeight="1" x14ac:dyDescent="0.2">
      <c r="A883" s="82" t="s">
        <v>3096</v>
      </c>
      <c r="B883" s="82" t="s">
        <v>864</v>
      </c>
      <c r="C883" s="83">
        <v>45890</v>
      </c>
      <c r="D883" s="83">
        <v>45920</v>
      </c>
      <c r="E883" s="83">
        <v>45920</v>
      </c>
      <c r="F883" s="83">
        <v>45931</v>
      </c>
      <c r="G883" s="83">
        <v>45891</v>
      </c>
      <c r="H883" s="82" t="s">
        <v>817</v>
      </c>
      <c r="I883" s="82" t="s">
        <v>22</v>
      </c>
      <c r="J883" s="84">
        <v>0</v>
      </c>
      <c r="K883" s="85">
        <v>236.69</v>
      </c>
      <c r="L883" s="85">
        <v>248.52</v>
      </c>
      <c r="M883" s="85">
        <v>11.83</v>
      </c>
      <c r="N883" s="85">
        <v>248.52</v>
      </c>
      <c r="O883" s="85">
        <v>0</v>
      </c>
      <c r="P883" s="85">
        <v>236.69</v>
      </c>
      <c r="Q883" s="85">
        <v>248.52</v>
      </c>
      <c r="R883" s="85">
        <v>11.83</v>
      </c>
      <c r="S883" s="85">
        <v>248.52</v>
      </c>
      <c r="T883" s="85">
        <v>0</v>
      </c>
      <c r="U883" s="82"/>
      <c r="V883" s="82" t="s">
        <v>3399</v>
      </c>
      <c r="W883" s="82" t="s">
        <v>3395</v>
      </c>
      <c r="X883" s="82" t="s">
        <v>3394</v>
      </c>
      <c r="Y883" s="82" t="s">
        <v>3393</v>
      </c>
    </row>
    <row r="884" spans="1:25" ht="10.9" customHeight="1" x14ac:dyDescent="0.2">
      <c r="A884" s="82" t="s">
        <v>3091</v>
      </c>
      <c r="B884" s="82" t="s">
        <v>149</v>
      </c>
      <c r="C884" s="83">
        <v>45891</v>
      </c>
      <c r="D884" s="83">
        <v>45891</v>
      </c>
      <c r="E884" s="83">
        <v>45891</v>
      </c>
      <c r="F884" s="83">
        <v>45965</v>
      </c>
      <c r="G884" s="83">
        <v>45891</v>
      </c>
      <c r="H884" s="82" t="s">
        <v>828</v>
      </c>
      <c r="I884" s="82" t="s">
        <v>51</v>
      </c>
      <c r="J884" s="84">
        <v>0.72304999999999997</v>
      </c>
      <c r="K884" s="85">
        <v>4792.34</v>
      </c>
      <c r="L884" s="85">
        <v>4792.34</v>
      </c>
      <c r="M884" s="85">
        <v>0</v>
      </c>
      <c r="N884" s="85">
        <v>4792.34</v>
      </c>
      <c r="O884" s="85">
        <v>0</v>
      </c>
      <c r="P884" s="85">
        <v>6627.9510407302396</v>
      </c>
      <c r="Q884" s="85">
        <v>6627.9510407302396</v>
      </c>
      <c r="R884" s="85">
        <v>0</v>
      </c>
      <c r="S884" s="85">
        <v>6737.9341999999997</v>
      </c>
      <c r="T884" s="85">
        <v>0</v>
      </c>
      <c r="U884" s="82"/>
      <c r="V884" s="82" t="s">
        <v>3399</v>
      </c>
      <c r="W884" s="82" t="s">
        <v>3395</v>
      </c>
      <c r="X884" s="82" t="s">
        <v>3394</v>
      </c>
      <c r="Y884" s="82" t="s">
        <v>3393</v>
      </c>
    </row>
    <row r="885" spans="1:25" ht="10.9" customHeight="1" x14ac:dyDescent="0.2">
      <c r="A885" s="82" t="s">
        <v>3055</v>
      </c>
      <c r="B885" s="82" t="s">
        <v>159</v>
      </c>
      <c r="C885" s="83">
        <v>45891</v>
      </c>
      <c r="D885" s="83">
        <v>45936</v>
      </c>
      <c r="E885" s="83">
        <v>45936</v>
      </c>
      <c r="F885" s="83">
        <v>45931</v>
      </c>
      <c r="G885" s="83">
        <v>45891</v>
      </c>
      <c r="H885" s="82" t="s">
        <v>903</v>
      </c>
      <c r="I885" s="82" t="s">
        <v>51</v>
      </c>
      <c r="J885" s="84">
        <v>0.72310799999999997</v>
      </c>
      <c r="K885" s="85">
        <v>5791.92</v>
      </c>
      <c r="L885" s="85">
        <v>5791.92</v>
      </c>
      <c r="M885" s="85">
        <v>0</v>
      </c>
      <c r="N885" s="85">
        <v>5791.92</v>
      </c>
      <c r="O885" s="85">
        <v>0</v>
      </c>
      <c r="P885" s="85">
        <v>8009.7578784911793</v>
      </c>
      <c r="Q885" s="85">
        <v>8009.7578784911793</v>
      </c>
      <c r="R885" s="85">
        <v>0</v>
      </c>
      <c r="S885" s="85">
        <v>8078.5662000000002</v>
      </c>
      <c r="T885" s="85">
        <v>0</v>
      </c>
      <c r="U885" s="82"/>
      <c r="V885" s="82" t="s">
        <v>3399</v>
      </c>
      <c r="W885" s="82" t="s">
        <v>3395</v>
      </c>
      <c r="X885" s="82" t="s">
        <v>3394</v>
      </c>
      <c r="Y885" s="82" t="s">
        <v>3393</v>
      </c>
    </row>
    <row r="886" spans="1:25" ht="10.9" customHeight="1" x14ac:dyDescent="0.2">
      <c r="A886" s="82" t="s">
        <v>3094</v>
      </c>
      <c r="B886" s="82" t="s">
        <v>159</v>
      </c>
      <c r="C886" s="83">
        <v>45891</v>
      </c>
      <c r="D886" s="83">
        <v>45936</v>
      </c>
      <c r="E886" s="83">
        <v>45936</v>
      </c>
      <c r="F886" s="83">
        <v>45919</v>
      </c>
      <c r="G886" s="83">
        <v>45891</v>
      </c>
      <c r="H886" s="82" t="s">
        <v>822</v>
      </c>
      <c r="I886" s="82" t="s">
        <v>51</v>
      </c>
      <c r="J886" s="84">
        <v>0.72310799999999997</v>
      </c>
      <c r="K886" s="85">
        <v>11242.24</v>
      </c>
      <c r="L886" s="85">
        <v>11242.24</v>
      </c>
      <c r="M886" s="85">
        <v>0</v>
      </c>
      <c r="N886" s="85">
        <v>11242.24</v>
      </c>
      <c r="O886" s="85">
        <v>0</v>
      </c>
      <c r="P886" s="85">
        <v>15547.110528441119</v>
      </c>
      <c r="Q886" s="85">
        <v>15547.110528441119</v>
      </c>
      <c r="R886" s="85">
        <v>0</v>
      </c>
      <c r="S886" s="85">
        <v>15498.542799999999</v>
      </c>
      <c r="T886" s="85">
        <v>0</v>
      </c>
      <c r="U886" s="82"/>
      <c r="V886" s="82" t="s">
        <v>3399</v>
      </c>
      <c r="W886" s="82" t="s">
        <v>3395</v>
      </c>
      <c r="X886" s="82" t="s">
        <v>3394</v>
      </c>
      <c r="Y886" s="82" t="s">
        <v>3393</v>
      </c>
    </row>
    <row r="887" spans="1:25" ht="10.9" customHeight="1" x14ac:dyDescent="0.2">
      <c r="A887" s="82" t="s">
        <v>3107</v>
      </c>
      <c r="B887" s="82" t="s">
        <v>159</v>
      </c>
      <c r="C887" s="83">
        <v>45891</v>
      </c>
      <c r="D887" s="83">
        <v>45936</v>
      </c>
      <c r="E887" s="83">
        <v>45936</v>
      </c>
      <c r="F887" s="83">
        <v>46003</v>
      </c>
      <c r="G887" s="83">
        <v>45891</v>
      </c>
      <c r="H887" s="82" t="s">
        <v>796</v>
      </c>
      <c r="I887" s="82" t="s">
        <v>51</v>
      </c>
      <c r="J887" s="84">
        <v>0.72310799999999997</v>
      </c>
      <c r="K887" s="85">
        <v>41311.9</v>
      </c>
      <c r="L887" s="85">
        <v>41311.9</v>
      </c>
      <c r="M887" s="85">
        <v>0</v>
      </c>
      <c r="N887" s="85">
        <v>41311.9</v>
      </c>
      <c r="O887" s="85">
        <v>0</v>
      </c>
      <c r="P887" s="85">
        <v>57131.02330495583</v>
      </c>
      <c r="Q887" s="85">
        <v>57131.02330495583</v>
      </c>
      <c r="R887" s="85">
        <v>0</v>
      </c>
      <c r="S887" s="85">
        <v>56826.5789</v>
      </c>
      <c r="T887" s="85">
        <v>0</v>
      </c>
      <c r="U887" s="82"/>
      <c r="V887" s="82" t="s">
        <v>3399</v>
      </c>
      <c r="W887" s="82" t="s">
        <v>3395</v>
      </c>
      <c r="X887" s="82" t="s">
        <v>3394</v>
      </c>
      <c r="Y887" s="82" t="s">
        <v>3393</v>
      </c>
    </row>
    <row r="888" spans="1:25" ht="10.9" customHeight="1" x14ac:dyDescent="0.2">
      <c r="A888" s="82" t="s">
        <v>3099</v>
      </c>
      <c r="B888" s="82" t="s">
        <v>20</v>
      </c>
      <c r="C888" s="83">
        <v>45891</v>
      </c>
      <c r="D888" s="83">
        <v>45951</v>
      </c>
      <c r="E888" s="83">
        <v>45951</v>
      </c>
      <c r="F888" s="83">
        <v>45951</v>
      </c>
      <c r="G888" s="83">
        <v>45891</v>
      </c>
      <c r="H888" s="82" t="s">
        <v>811</v>
      </c>
      <c r="I888" s="82" t="s">
        <v>22</v>
      </c>
      <c r="J888" s="84">
        <v>0</v>
      </c>
      <c r="K888" s="85">
        <v>264.27999999999997</v>
      </c>
      <c r="L888" s="85">
        <v>277.49</v>
      </c>
      <c r="M888" s="85">
        <v>13.21</v>
      </c>
      <c r="N888" s="85">
        <v>277.49</v>
      </c>
      <c r="O888" s="85">
        <v>0</v>
      </c>
      <c r="P888" s="85">
        <v>264.27999999999997</v>
      </c>
      <c r="Q888" s="85">
        <v>277.49</v>
      </c>
      <c r="R888" s="85">
        <v>13.21</v>
      </c>
      <c r="S888" s="85">
        <v>277.49</v>
      </c>
      <c r="T888" s="85">
        <v>0</v>
      </c>
      <c r="U888" s="82"/>
      <c r="V888" s="82" t="s">
        <v>3399</v>
      </c>
      <c r="W888" s="82" t="s">
        <v>3395</v>
      </c>
      <c r="X888" s="82" t="s">
        <v>3394</v>
      </c>
      <c r="Y888" s="82" t="s">
        <v>3393</v>
      </c>
    </row>
    <row r="889" spans="1:25" ht="10.9" customHeight="1" x14ac:dyDescent="0.2">
      <c r="A889" s="82" t="s">
        <v>2852</v>
      </c>
      <c r="B889" s="82" t="s">
        <v>54</v>
      </c>
      <c r="C889" s="83">
        <v>45891</v>
      </c>
      <c r="D889" s="83">
        <v>45921</v>
      </c>
      <c r="E889" s="83">
        <v>45921</v>
      </c>
      <c r="F889" s="83">
        <v>45925</v>
      </c>
      <c r="G889" s="83">
        <v>45891</v>
      </c>
      <c r="H889" s="82" t="s">
        <v>1248</v>
      </c>
      <c r="I889" s="82" t="s">
        <v>22</v>
      </c>
      <c r="J889" s="84">
        <v>0</v>
      </c>
      <c r="K889" s="85">
        <v>18048.939999999999</v>
      </c>
      <c r="L889" s="85">
        <v>18951.39</v>
      </c>
      <c r="M889" s="85">
        <v>902.45</v>
      </c>
      <c r="N889" s="85">
        <v>18951.39</v>
      </c>
      <c r="O889" s="85">
        <v>0</v>
      </c>
      <c r="P889" s="85">
        <v>18048.939999999999</v>
      </c>
      <c r="Q889" s="85">
        <v>18951.39</v>
      </c>
      <c r="R889" s="85">
        <v>902.45</v>
      </c>
      <c r="S889" s="85">
        <v>18951.39</v>
      </c>
      <c r="T889" s="85">
        <v>0</v>
      </c>
      <c r="U889" s="82"/>
      <c r="V889" s="82" t="s">
        <v>3399</v>
      </c>
      <c r="W889" s="82" t="s">
        <v>3395</v>
      </c>
      <c r="X889" s="82" t="s">
        <v>3394</v>
      </c>
      <c r="Y889" s="82" t="s">
        <v>3393</v>
      </c>
    </row>
    <row r="890" spans="1:25" ht="10.9" customHeight="1" x14ac:dyDescent="0.2">
      <c r="A890" s="82" t="s">
        <v>3113</v>
      </c>
      <c r="B890" s="82" t="s">
        <v>644</v>
      </c>
      <c r="C890" s="83">
        <v>45894</v>
      </c>
      <c r="D890" s="83">
        <v>45924</v>
      </c>
      <c r="E890" s="83">
        <v>45924</v>
      </c>
      <c r="F890" s="83">
        <v>45951</v>
      </c>
      <c r="G890" s="83">
        <v>45894</v>
      </c>
      <c r="H890" s="82" t="s">
        <v>788</v>
      </c>
      <c r="I890" s="82" t="s">
        <v>51</v>
      </c>
      <c r="J890" s="84">
        <v>0.72185500000000002</v>
      </c>
      <c r="K890" s="85">
        <v>3257.78</v>
      </c>
      <c r="L890" s="85">
        <v>3257.78</v>
      </c>
      <c r="M890" s="85">
        <v>0</v>
      </c>
      <c r="N890" s="85">
        <v>3257.78</v>
      </c>
      <c r="O890" s="85">
        <v>0</v>
      </c>
      <c r="P890" s="85">
        <v>4513.0670286968989</v>
      </c>
      <c r="Q890" s="85">
        <v>4513.0670286968989</v>
      </c>
      <c r="R890" s="85">
        <v>0</v>
      </c>
      <c r="S890" s="85">
        <v>4566.1385</v>
      </c>
      <c r="T890" s="85">
        <v>0</v>
      </c>
      <c r="U890" s="82"/>
      <c r="V890" s="82" t="s">
        <v>3399</v>
      </c>
      <c r="W890" s="82" t="s">
        <v>3395</v>
      </c>
      <c r="X890" s="82" t="s">
        <v>3394</v>
      </c>
      <c r="Y890" s="82" t="s">
        <v>3393</v>
      </c>
    </row>
    <row r="891" spans="1:25" ht="10.9" customHeight="1" x14ac:dyDescent="0.2">
      <c r="A891" s="82" t="s">
        <v>2823</v>
      </c>
      <c r="B891" s="82" t="s">
        <v>1299</v>
      </c>
      <c r="C891" s="83">
        <v>45894</v>
      </c>
      <c r="D891" s="83">
        <v>45924</v>
      </c>
      <c r="E891" s="83">
        <v>45924</v>
      </c>
      <c r="F891" s="83">
        <v>45974</v>
      </c>
      <c r="G891" s="83">
        <v>45894</v>
      </c>
      <c r="H891" s="82" t="s">
        <v>3480</v>
      </c>
      <c r="I891" s="82" t="s">
        <v>51</v>
      </c>
      <c r="J891" s="84">
        <v>0.72203700000000004</v>
      </c>
      <c r="K891" s="85">
        <v>10160.64</v>
      </c>
      <c r="L891" s="85">
        <v>10160.64</v>
      </c>
      <c r="M891" s="85">
        <v>0</v>
      </c>
      <c r="N891" s="85">
        <v>10160.64</v>
      </c>
      <c r="O891" s="85">
        <v>0</v>
      </c>
      <c r="P891" s="85">
        <v>14072.187436377913</v>
      </c>
      <c r="Q891" s="85">
        <v>14072.187436377913</v>
      </c>
      <c r="R891" s="85">
        <v>0</v>
      </c>
      <c r="S891" s="85">
        <v>14248.968199999999</v>
      </c>
      <c r="T891" s="85">
        <v>0</v>
      </c>
      <c r="U891" s="82"/>
      <c r="V891" s="82" t="s">
        <v>3399</v>
      </c>
      <c r="W891" s="82" t="s">
        <v>3395</v>
      </c>
      <c r="X891" s="82" t="s">
        <v>3394</v>
      </c>
      <c r="Y891" s="82" t="s">
        <v>3393</v>
      </c>
    </row>
    <row r="892" spans="1:25" ht="10.9" customHeight="1" x14ac:dyDescent="0.2">
      <c r="A892" s="82" t="s">
        <v>3063</v>
      </c>
      <c r="B892" s="82" t="s">
        <v>684</v>
      </c>
      <c r="C892" s="83">
        <v>45894</v>
      </c>
      <c r="D892" s="83">
        <v>45954</v>
      </c>
      <c r="E892" s="83">
        <v>45954</v>
      </c>
      <c r="F892" s="83">
        <v>45953</v>
      </c>
      <c r="G892" s="83">
        <v>45894</v>
      </c>
      <c r="H892" s="82" t="s">
        <v>885</v>
      </c>
      <c r="I892" s="82" t="s">
        <v>22</v>
      </c>
      <c r="J892" s="84">
        <v>0</v>
      </c>
      <c r="K892" s="85">
        <v>204.32</v>
      </c>
      <c r="L892" s="85">
        <v>214.54</v>
      </c>
      <c r="M892" s="85">
        <v>10.220000000000001</v>
      </c>
      <c r="N892" s="85">
        <v>214.54</v>
      </c>
      <c r="O892" s="85">
        <v>0</v>
      </c>
      <c r="P892" s="85">
        <v>204.32</v>
      </c>
      <c r="Q892" s="85">
        <v>214.54</v>
      </c>
      <c r="R892" s="85">
        <v>10.220000000000001</v>
      </c>
      <c r="S892" s="85">
        <v>214.54</v>
      </c>
      <c r="T892" s="85">
        <v>0</v>
      </c>
      <c r="U892" s="82"/>
      <c r="V892" s="82" t="s">
        <v>3399</v>
      </c>
      <c r="W892" s="82" t="s">
        <v>3395</v>
      </c>
      <c r="X892" s="82" t="s">
        <v>3394</v>
      </c>
      <c r="Y892" s="82" t="s">
        <v>3393</v>
      </c>
    </row>
    <row r="893" spans="1:25" ht="10.9" customHeight="1" x14ac:dyDescent="0.2">
      <c r="A893" s="82" t="s">
        <v>3112</v>
      </c>
      <c r="B893" s="82" t="s">
        <v>26</v>
      </c>
      <c r="C893" s="83">
        <v>45894</v>
      </c>
      <c r="D893" s="83">
        <v>45954</v>
      </c>
      <c r="E893" s="83">
        <v>45954</v>
      </c>
      <c r="F893" s="83">
        <v>45953</v>
      </c>
      <c r="G893" s="83">
        <v>45894</v>
      </c>
      <c r="H893" s="82" t="s">
        <v>790</v>
      </c>
      <c r="I893" s="82" t="s">
        <v>22</v>
      </c>
      <c r="J893" s="84">
        <v>0</v>
      </c>
      <c r="K893" s="85">
        <v>569.88</v>
      </c>
      <c r="L893" s="85">
        <v>598.37</v>
      </c>
      <c r="M893" s="85">
        <v>28.49</v>
      </c>
      <c r="N893" s="85">
        <v>598.37</v>
      </c>
      <c r="O893" s="85">
        <v>0</v>
      </c>
      <c r="P893" s="85">
        <v>569.88</v>
      </c>
      <c r="Q893" s="85">
        <v>598.37</v>
      </c>
      <c r="R893" s="85">
        <v>28.49</v>
      </c>
      <c r="S893" s="85">
        <v>598.37</v>
      </c>
      <c r="T893" s="85">
        <v>0</v>
      </c>
      <c r="U893" s="82"/>
      <c r="V893" s="82" t="s">
        <v>3399</v>
      </c>
      <c r="W893" s="82" t="s">
        <v>3395</v>
      </c>
      <c r="X893" s="82" t="s">
        <v>3394</v>
      </c>
      <c r="Y893" s="82" t="s">
        <v>3393</v>
      </c>
    </row>
    <row r="894" spans="1:25" ht="10.9" customHeight="1" x14ac:dyDescent="0.2">
      <c r="A894" s="82" t="s">
        <v>3102</v>
      </c>
      <c r="B894" s="82" t="s">
        <v>35</v>
      </c>
      <c r="C894" s="83">
        <v>45894</v>
      </c>
      <c r="D894" s="83">
        <v>45924</v>
      </c>
      <c r="E894" s="83">
        <v>45924</v>
      </c>
      <c r="F894" s="83">
        <v>45924</v>
      </c>
      <c r="G894" s="83">
        <v>45894</v>
      </c>
      <c r="H894" s="82" t="s">
        <v>805</v>
      </c>
      <c r="I894" s="82" t="s">
        <v>22</v>
      </c>
      <c r="J894" s="84">
        <v>0</v>
      </c>
      <c r="K894" s="85">
        <v>1388</v>
      </c>
      <c r="L894" s="85">
        <v>1457.4</v>
      </c>
      <c r="M894" s="85">
        <v>69.400000000000006</v>
      </c>
      <c r="N894" s="85">
        <v>1457.4</v>
      </c>
      <c r="O894" s="85">
        <v>0</v>
      </c>
      <c r="P894" s="85">
        <v>1388</v>
      </c>
      <c r="Q894" s="85">
        <v>1457.4</v>
      </c>
      <c r="R894" s="85">
        <v>69.400000000000006</v>
      </c>
      <c r="S894" s="85">
        <v>1457.4</v>
      </c>
      <c r="T894" s="85">
        <v>0</v>
      </c>
      <c r="U894" s="82"/>
      <c r="V894" s="82" t="s">
        <v>3399</v>
      </c>
      <c r="W894" s="82" t="s">
        <v>3395</v>
      </c>
      <c r="X894" s="82" t="s">
        <v>3394</v>
      </c>
      <c r="Y894" s="82" t="s">
        <v>3393</v>
      </c>
    </row>
    <row r="895" spans="1:25" ht="10.9" customHeight="1" x14ac:dyDescent="0.2">
      <c r="A895" s="82" t="s">
        <v>3097</v>
      </c>
      <c r="B895" s="82" t="s">
        <v>248</v>
      </c>
      <c r="C895" s="83">
        <v>45894</v>
      </c>
      <c r="D895" s="83">
        <v>45924</v>
      </c>
      <c r="E895" s="83">
        <v>45924</v>
      </c>
      <c r="F895" s="83">
        <v>45936</v>
      </c>
      <c r="G895" s="83">
        <v>45894</v>
      </c>
      <c r="H895" s="82" t="s">
        <v>815</v>
      </c>
      <c r="I895" s="82" t="s">
        <v>22</v>
      </c>
      <c r="J895" s="84">
        <v>0</v>
      </c>
      <c r="K895" s="85">
        <v>160</v>
      </c>
      <c r="L895" s="85">
        <v>184</v>
      </c>
      <c r="M895" s="85">
        <v>24</v>
      </c>
      <c r="N895" s="85">
        <v>184</v>
      </c>
      <c r="O895" s="85">
        <v>0</v>
      </c>
      <c r="P895" s="85">
        <v>160</v>
      </c>
      <c r="Q895" s="85">
        <v>184</v>
      </c>
      <c r="R895" s="85">
        <v>24</v>
      </c>
      <c r="S895" s="85">
        <v>184</v>
      </c>
      <c r="T895" s="85">
        <v>0</v>
      </c>
      <c r="U895" s="82"/>
      <c r="V895" s="82" t="s">
        <v>3399</v>
      </c>
      <c r="W895" s="82" t="s">
        <v>3395</v>
      </c>
      <c r="X895" s="82" t="s">
        <v>3394</v>
      </c>
      <c r="Y895" s="82" t="s">
        <v>3393</v>
      </c>
    </row>
    <row r="896" spans="1:25" ht="10.9" customHeight="1" x14ac:dyDescent="0.2">
      <c r="A896" s="82" t="s">
        <v>3116</v>
      </c>
      <c r="B896" s="82" t="s">
        <v>353</v>
      </c>
      <c r="C896" s="83">
        <v>45895</v>
      </c>
      <c r="D896" s="83">
        <v>45925</v>
      </c>
      <c r="E896" s="83">
        <v>45925</v>
      </c>
      <c r="F896" s="83">
        <v>45931</v>
      </c>
      <c r="G896" s="83">
        <v>45896</v>
      </c>
      <c r="H896" s="82" t="s">
        <v>780</v>
      </c>
      <c r="I896" s="82" t="s">
        <v>22</v>
      </c>
      <c r="J896" s="84">
        <v>0</v>
      </c>
      <c r="K896" s="85">
        <v>113.96</v>
      </c>
      <c r="L896" s="85">
        <v>119.66</v>
      </c>
      <c r="M896" s="85">
        <v>5.7</v>
      </c>
      <c r="N896" s="85">
        <v>119.66</v>
      </c>
      <c r="O896" s="85">
        <v>0</v>
      </c>
      <c r="P896" s="85">
        <v>113.96</v>
      </c>
      <c r="Q896" s="85">
        <v>119.66</v>
      </c>
      <c r="R896" s="85">
        <v>5.7</v>
      </c>
      <c r="S896" s="85">
        <v>119.66</v>
      </c>
      <c r="T896" s="85">
        <v>0</v>
      </c>
      <c r="U896" s="82"/>
      <c r="V896" s="82" t="s">
        <v>3399</v>
      </c>
      <c r="W896" s="82" t="s">
        <v>3395</v>
      </c>
      <c r="X896" s="82" t="s">
        <v>3394</v>
      </c>
      <c r="Y896" s="82" t="s">
        <v>3393</v>
      </c>
    </row>
    <row r="897" spans="1:25" ht="10.9" customHeight="1" x14ac:dyDescent="0.2">
      <c r="A897" s="82" t="s">
        <v>3117</v>
      </c>
      <c r="B897" s="82" t="s">
        <v>20</v>
      </c>
      <c r="C897" s="83">
        <v>45895</v>
      </c>
      <c r="D897" s="83">
        <v>45955</v>
      </c>
      <c r="E897" s="83">
        <v>45955</v>
      </c>
      <c r="F897" s="82"/>
      <c r="G897" s="83">
        <v>45896</v>
      </c>
      <c r="H897" s="82" t="s">
        <v>778</v>
      </c>
      <c r="I897" s="82" t="s">
        <v>22</v>
      </c>
      <c r="J897" s="84">
        <v>0</v>
      </c>
      <c r="K897" s="85">
        <v>630.64</v>
      </c>
      <c r="L897" s="85">
        <v>662.17</v>
      </c>
      <c r="M897" s="85">
        <v>31.53</v>
      </c>
      <c r="N897" s="85">
        <v>0</v>
      </c>
      <c r="O897" s="85">
        <v>662.17</v>
      </c>
      <c r="P897" s="85">
        <v>630.64</v>
      </c>
      <c r="Q897" s="85">
        <v>662.17</v>
      </c>
      <c r="R897" s="85">
        <v>31.53</v>
      </c>
      <c r="S897" s="85">
        <v>0</v>
      </c>
      <c r="T897" s="85">
        <v>662.17</v>
      </c>
      <c r="U897" s="82"/>
      <c r="V897" s="82" t="s">
        <v>3396</v>
      </c>
      <c r="W897" s="82" t="s">
        <v>3395</v>
      </c>
      <c r="X897" s="82" t="s">
        <v>3394</v>
      </c>
      <c r="Y897" s="82" t="s">
        <v>3393</v>
      </c>
    </row>
    <row r="898" spans="1:25" ht="10.9" customHeight="1" x14ac:dyDescent="0.2">
      <c r="A898" s="82" t="s">
        <v>3479</v>
      </c>
      <c r="B898" s="82" t="s">
        <v>3442</v>
      </c>
      <c r="C898" s="83">
        <v>45896</v>
      </c>
      <c r="D898" s="83">
        <v>45941</v>
      </c>
      <c r="E898" s="83">
        <v>45941</v>
      </c>
      <c r="F898" s="82"/>
      <c r="G898" s="83">
        <v>45896</v>
      </c>
      <c r="H898" s="82" t="s">
        <v>3478</v>
      </c>
      <c r="I898" s="82" t="s">
        <v>51</v>
      </c>
      <c r="J898" s="84">
        <v>0.72604800000000003</v>
      </c>
      <c r="K898" s="85">
        <v>0</v>
      </c>
      <c r="L898" s="85">
        <v>0</v>
      </c>
      <c r="M898" s="85">
        <v>0</v>
      </c>
      <c r="N898" s="85">
        <v>0</v>
      </c>
      <c r="O898" s="85">
        <v>0</v>
      </c>
      <c r="P898" s="85">
        <v>0</v>
      </c>
      <c r="Q898" s="85">
        <v>0</v>
      </c>
      <c r="R898" s="85">
        <v>0</v>
      </c>
      <c r="S898" s="85">
        <v>0</v>
      </c>
      <c r="T898" s="85">
        <v>0</v>
      </c>
      <c r="U898" s="82"/>
      <c r="V898" s="82" t="s">
        <v>3399</v>
      </c>
      <c r="W898" s="82" t="s">
        <v>3395</v>
      </c>
      <c r="X898" s="82" t="s">
        <v>3397</v>
      </c>
      <c r="Y898" s="82" t="s">
        <v>3393</v>
      </c>
    </row>
    <row r="899" spans="1:25" ht="10.9" customHeight="1" x14ac:dyDescent="0.2">
      <c r="A899" s="82" t="s">
        <v>2850</v>
      </c>
      <c r="B899" s="82" t="s">
        <v>129</v>
      </c>
      <c r="C899" s="83">
        <v>45896</v>
      </c>
      <c r="D899" s="83">
        <v>45926</v>
      </c>
      <c r="E899" s="83">
        <v>45926</v>
      </c>
      <c r="F899" s="82"/>
      <c r="G899" s="83">
        <v>45896</v>
      </c>
      <c r="H899" s="82" t="s">
        <v>3477</v>
      </c>
      <c r="I899" s="82" t="s">
        <v>51</v>
      </c>
      <c r="J899" s="84">
        <v>0.72604800000000003</v>
      </c>
      <c r="K899" s="85">
        <v>2680</v>
      </c>
      <c r="L899" s="85">
        <v>2680</v>
      </c>
      <c r="M899" s="85">
        <v>0</v>
      </c>
      <c r="N899" s="85">
        <v>0</v>
      </c>
      <c r="O899" s="85">
        <v>2680</v>
      </c>
      <c r="P899" s="85">
        <v>3691.2160077570629</v>
      </c>
      <c r="Q899" s="85">
        <v>3691.2160077570629</v>
      </c>
      <c r="R899" s="85">
        <v>0</v>
      </c>
      <c r="S899" s="85">
        <v>0</v>
      </c>
      <c r="T899" s="85">
        <v>3678.09</v>
      </c>
      <c r="U899" s="82" t="s">
        <v>3401</v>
      </c>
      <c r="V899" s="82" t="s">
        <v>3396</v>
      </c>
      <c r="W899" s="82" t="s">
        <v>3395</v>
      </c>
      <c r="X899" s="82" t="s">
        <v>3394</v>
      </c>
      <c r="Y899" s="82" t="s">
        <v>3393</v>
      </c>
    </row>
    <row r="900" spans="1:25" ht="10.9" customHeight="1" x14ac:dyDescent="0.2">
      <c r="A900" s="82" t="s">
        <v>2754</v>
      </c>
      <c r="B900" s="82" t="s">
        <v>129</v>
      </c>
      <c r="C900" s="83">
        <v>45896</v>
      </c>
      <c r="D900" s="83">
        <v>45926</v>
      </c>
      <c r="E900" s="83">
        <v>45926</v>
      </c>
      <c r="F900" s="82"/>
      <c r="G900" s="83">
        <v>45896</v>
      </c>
      <c r="H900" s="82" t="s">
        <v>3476</v>
      </c>
      <c r="I900" s="82" t="s">
        <v>51</v>
      </c>
      <c r="J900" s="84">
        <v>0.72604800000000003</v>
      </c>
      <c r="K900" s="85">
        <v>12168</v>
      </c>
      <c r="L900" s="85">
        <v>12168</v>
      </c>
      <c r="M900" s="85">
        <v>0</v>
      </c>
      <c r="N900" s="85">
        <v>0</v>
      </c>
      <c r="O900" s="85">
        <v>12168</v>
      </c>
      <c r="P900" s="85">
        <v>16759.222530741768</v>
      </c>
      <c r="Q900" s="85">
        <v>16759.222530741768</v>
      </c>
      <c r="R900" s="85">
        <v>0</v>
      </c>
      <c r="S900" s="85">
        <v>0</v>
      </c>
      <c r="T900" s="85">
        <v>16699.599999999999</v>
      </c>
      <c r="U900" s="82" t="s">
        <v>3401</v>
      </c>
      <c r="V900" s="82" t="s">
        <v>3396</v>
      </c>
      <c r="W900" s="82" t="s">
        <v>3395</v>
      </c>
      <c r="X900" s="82" t="s">
        <v>3394</v>
      </c>
      <c r="Y900" s="82" t="s">
        <v>3393</v>
      </c>
    </row>
    <row r="901" spans="1:25" ht="10.9" customHeight="1" x14ac:dyDescent="0.2">
      <c r="A901" s="82" t="s">
        <v>3114</v>
      </c>
      <c r="B901" s="82" t="s">
        <v>146</v>
      </c>
      <c r="C901" s="83">
        <v>45896</v>
      </c>
      <c r="D901" s="83">
        <v>45926</v>
      </c>
      <c r="E901" s="83">
        <v>45926</v>
      </c>
      <c r="F901" s="83">
        <v>45944</v>
      </c>
      <c r="G901" s="83">
        <v>45896</v>
      </c>
      <c r="H901" s="82" t="s">
        <v>786</v>
      </c>
      <c r="I901" s="82" t="s">
        <v>22</v>
      </c>
      <c r="J901" s="84">
        <v>0</v>
      </c>
      <c r="K901" s="85">
        <v>107.56</v>
      </c>
      <c r="L901" s="85">
        <v>112.94</v>
      </c>
      <c r="M901" s="85">
        <v>5.38</v>
      </c>
      <c r="N901" s="85">
        <v>112.94</v>
      </c>
      <c r="O901" s="85">
        <v>0</v>
      </c>
      <c r="P901" s="85">
        <v>107.56</v>
      </c>
      <c r="Q901" s="85">
        <v>112.94</v>
      </c>
      <c r="R901" s="85">
        <v>5.38</v>
      </c>
      <c r="S901" s="85">
        <v>112.94</v>
      </c>
      <c r="T901" s="85">
        <v>0</v>
      </c>
      <c r="U901" s="82"/>
      <c r="V901" s="82" t="s">
        <v>3399</v>
      </c>
      <c r="W901" s="82" t="s">
        <v>3395</v>
      </c>
      <c r="X901" s="82" t="s">
        <v>3394</v>
      </c>
      <c r="Y901" s="82" t="s">
        <v>3393</v>
      </c>
    </row>
    <row r="902" spans="1:25" ht="10.9" customHeight="1" x14ac:dyDescent="0.2">
      <c r="A902" s="82" t="s">
        <v>2970</v>
      </c>
      <c r="B902" s="82" t="s">
        <v>714</v>
      </c>
      <c r="C902" s="83">
        <v>45897</v>
      </c>
      <c r="D902" s="83">
        <v>45927</v>
      </c>
      <c r="E902" s="83">
        <v>45927</v>
      </c>
      <c r="F902" s="82"/>
      <c r="G902" s="83">
        <v>45897</v>
      </c>
      <c r="H902" s="82" t="s">
        <v>3475</v>
      </c>
      <c r="I902" s="82" t="s">
        <v>51</v>
      </c>
      <c r="J902" s="84">
        <v>0.72738400000000003</v>
      </c>
      <c r="K902" s="85">
        <v>0</v>
      </c>
      <c r="L902" s="85">
        <v>0</v>
      </c>
      <c r="M902" s="85">
        <v>0</v>
      </c>
      <c r="N902" s="85">
        <v>0</v>
      </c>
      <c r="O902" s="85">
        <v>0</v>
      </c>
      <c r="P902" s="85">
        <v>0</v>
      </c>
      <c r="Q902" s="85">
        <v>0</v>
      </c>
      <c r="R902" s="85">
        <v>0</v>
      </c>
      <c r="S902" s="85">
        <v>0</v>
      </c>
      <c r="T902" s="85">
        <v>0</v>
      </c>
      <c r="U902" s="82"/>
      <c r="V902" s="82" t="s">
        <v>3399</v>
      </c>
      <c r="W902" s="82" t="s">
        <v>3395</v>
      </c>
      <c r="X902" s="82" t="s">
        <v>3397</v>
      </c>
      <c r="Y902" s="82" t="s">
        <v>3393</v>
      </c>
    </row>
    <row r="903" spans="1:25" ht="10.9" customHeight="1" x14ac:dyDescent="0.2">
      <c r="A903" s="82" t="s">
        <v>3121</v>
      </c>
      <c r="B903" s="82" t="s">
        <v>192</v>
      </c>
      <c r="C903" s="83">
        <v>45897</v>
      </c>
      <c r="D903" s="83">
        <v>45928</v>
      </c>
      <c r="E903" s="83">
        <v>45928</v>
      </c>
      <c r="F903" s="83">
        <v>45965</v>
      </c>
      <c r="G903" s="83">
        <v>45897</v>
      </c>
      <c r="H903" s="82" t="s">
        <v>769</v>
      </c>
      <c r="I903" s="82" t="s">
        <v>51</v>
      </c>
      <c r="J903" s="84">
        <v>0.727024</v>
      </c>
      <c r="K903" s="85">
        <v>3004.55</v>
      </c>
      <c r="L903" s="85">
        <v>3004.55</v>
      </c>
      <c r="M903" s="85">
        <v>0</v>
      </c>
      <c r="N903" s="85">
        <v>3004.55</v>
      </c>
      <c r="O903" s="85">
        <v>0</v>
      </c>
      <c r="P903" s="85">
        <v>4132.6696230110701</v>
      </c>
      <c r="Q903" s="85">
        <v>4132.6696230110701</v>
      </c>
      <c r="R903" s="85">
        <v>0</v>
      </c>
      <c r="S903" s="85">
        <v>4234.4921000000004</v>
      </c>
      <c r="T903" s="85">
        <v>0</v>
      </c>
      <c r="U903" s="82"/>
      <c r="V903" s="82" t="s">
        <v>3399</v>
      </c>
      <c r="W903" s="82" t="s">
        <v>3395</v>
      </c>
      <c r="X903" s="82" t="s">
        <v>3394</v>
      </c>
      <c r="Y903" s="82" t="s">
        <v>3393</v>
      </c>
    </row>
    <row r="904" spans="1:25" ht="10.9" customHeight="1" x14ac:dyDescent="0.2">
      <c r="A904" s="82" t="s">
        <v>3115</v>
      </c>
      <c r="B904" s="82" t="s">
        <v>20</v>
      </c>
      <c r="C904" s="83">
        <v>45898</v>
      </c>
      <c r="D904" s="83">
        <v>45958</v>
      </c>
      <c r="E904" s="83">
        <v>45958</v>
      </c>
      <c r="F904" s="83">
        <v>45958</v>
      </c>
      <c r="G904" s="83">
        <v>45898</v>
      </c>
      <c r="H904" s="82" t="s">
        <v>782</v>
      </c>
      <c r="I904" s="82" t="s">
        <v>22</v>
      </c>
      <c r="J904" s="84">
        <v>0</v>
      </c>
      <c r="K904" s="85">
        <v>7718.14</v>
      </c>
      <c r="L904" s="85">
        <v>8104.05</v>
      </c>
      <c r="M904" s="85">
        <v>385.91</v>
      </c>
      <c r="N904" s="85">
        <v>8104.05</v>
      </c>
      <c r="O904" s="85">
        <v>0</v>
      </c>
      <c r="P904" s="85">
        <v>7718.14</v>
      </c>
      <c r="Q904" s="85">
        <v>8104.05</v>
      </c>
      <c r="R904" s="85">
        <v>385.91</v>
      </c>
      <c r="S904" s="85">
        <v>8104.05</v>
      </c>
      <c r="T904" s="85">
        <v>0</v>
      </c>
      <c r="U904" s="82"/>
      <c r="V904" s="82" t="s">
        <v>3399</v>
      </c>
      <c r="W904" s="82" t="s">
        <v>3395</v>
      </c>
      <c r="X904" s="82" t="s">
        <v>3394</v>
      </c>
      <c r="Y904" s="82" t="s">
        <v>3393</v>
      </c>
    </row>
    <row r="905" spans="1:25" ht="10.9" customHeight="1" x14ac:dyDescent="0.2">
      <c r="A905" s="82" t="s">
        <v>3439</v>
      </c>
      <c r="B905" s="82" t="s">
        <v>3438</v>
      </c>
      <c r="C905" s="83">
        <v>45900</v>
      </c>
      <c r="D905" s="83">
        <v>45930</v>
      </c>
      <c r="E905" s="83">
        <v>45930</v>
      </c>
      <c r="F905" s="83">
        <v>45940</v>
      </c>
      <c r="G905" s="83">
        <v>45936</v>
      </c>
      <c r="H905" s="82" t="s">
        <v>3437</v>
      </c>
      <c r="I905" s="82" t="s">
        <v>22</v>
      </c>
      <c r="J905" s="84">
        <v>0</v>
      </c>
      <c r="K905" s="85">
        <v>25086.54</v>
      </c>
      <c r="L905" s="85">
        <v>25086.54</v>
      </c>
      <c r="M905" s="85">
        <v>0</v>
      </c>
      <c r="N905" s="85">
        <v>25086.54</v>
      </c>
      <c r="O905" s="85">
        <v>0</v>
      </c>
      <c r="P905" s="85">
        <v>25086.54</v>
      </c>
      <c r="Q905" s="85">
        <v>25086.54</v>
      </c>
      <c r="R905" s="85">
        <v>0</v>
      </c>
      <c r="S905" s="85">
        <v>25086.54</v>
      </c>
      <c r="T905" s="85">
        <v>0</v>
      </c>
      <c r="U905" s="82"/>
      <c r="V905" s="82" t="s">
        <v>3399</v>
      </c>
      <c r="W905" s="82" t="s">
        <v>3395</v>
      </c>
      <c r="X905" s="82" t="s">
        <v>3394</v>
      </c>
      <c r="Y905" s="82" t="s">
        <v>3393</v>
      </c>
    </row>
    <row r="906" spans="1:25" ht="10.9" customHeight="1" x14ac:dyDescent="0.2">
      <c r="A906" s="82" t="s">
        <v>2834</v>
      </c>
      <c r="B906" s="82" t="s">
        <v>135</v>
      </c>
      <c r="C906" s="83">
        <v>45901</v>
      </c>
      <c r="D906" s="83">
        <v>45961</v>
      </c>
      <c r="E906" s="83">
        <v>45961</v>
      </c>
      <c r="F906" s="83">
        <v>45967</v>
      </c>
      <c r="G906" s="83">
        <v>45965</v>
      </c>
      <c r="H906" s="82" t="s">
        <v>1278</v>
      </c>
      <c r="I906" s="82" t="s">
        <v>22</v>
      </c>
      <c r="J906" s="84">
        <v>0</v>
      </c>
      <c r="K906" s="85">
        <v>12103.08</v>
      </c>
      <c r="L906" s="85">
        <v>13676.48</v>
      </c>
      <c r="M906" s="85">
        <v>1573.4</v>
      </c>
      <c r="N906" s="85">
        <v>13676.48</v>
      </c>
      <c r="O906" s="85">
        <v>0</v>
      </c>
      <c r="P906" s="85">
        <v>12103.08</v>
      </c>
      <c r="Q906" s="85">
        <v>13676.48</v>
      </c>
      <c r="R906" s="85">
        <v>1573.4</v>
      </c>
      <c r="S906" s="85">
        <v>13676.48</v>
      </c>
      <c r="T906" s="85">
        <v>0</v>
      </c>
      <c r="U906" s="82"/>
      <c r="V906" s="82" t="s">
        <v>3399</v>
      </c>
      <c r="W906" s="82" t="s">
        <v>3395</v>
      </c>
      <c r="X906" s="82" t="s">
        <v>3394</v>
      </c>
      <c r="Y906" s="82" t="s">
        <v>3393</v>
      </c>
    </row>
    <row r="907" spans="1:25" ht="10.9" customHeight="1" x14ac:dyDescent="0.2">
      <c r="A907" s="82" t="s">
        <v>3469</v>
      </c>
      <c r="B907" s="82" t="s">
        <v>239</v>
      </c>
      <c r="C907" s="83">
        <v>45903</v>
      </c>
      <c r="D907" s="83">
        <v>45933</v>
      </c>
      <c r="E907" s="83">
        <v>45933</v>
      </c>
      <c r="F907" s="83">
        <v>45954</v>
      </c>
      <c r="G907" s="83">
        <v>45903</v>
      </c>
      <c r="H907" s="82" t="s">
        <v>3468</v>
      </c>
      <c r="I907" s="82" t="s">
        <v>51</v>
      </c>
      <c r="J907" s="84">
        <v>0.72432799999999997</v>
      </c>
      <c r="K907" s="85">
        <v>33507</v>
      </c>
      <c r="L907" s="85">
        <v>33507</v>
      </c>
      <c r="M907" s="85">
        <v>0</v>
      </c>
      <c r="N907" s="85">
        <v>33507</v>
      </c>
      <c r="O907" s="85">
        <v>0</v>
      </c>
      <c r="P907" s="85">
        <v>46259.429429761105</v>
      </c>
      <c r="Q907" s="85">
        <v>46259.429429761105</v>
      </c>
      <c r="R907" s="85">
        <v>0</v>
      </c>
      <c r="S907" s="85">
        <v>46887.003599999996</v>
      </c>
      <c r="T907" s="85">
        <v>0</v>
      </c>
      <c r="U907" s="82"/>
      <c r="V907" s="82" t="s">
        <v>3399</v>
      </c>
      <c r="W907" s="82" t="s">
        <v>3395</v>
      </c>
      <c r="X907" s="82" t="s">
        <v>3394</v>
      </c>
      <c r="Y907" s="82" t="s">
        <v>3393</v>
      </c>
    </row>
    <row r="908" spans="1:25" ht="10.9" customHeight="1" x14ac:dyDescent="0.2">
      <c r="A908" s="82" t="s">
        <v>2885</v>
      </c>
      <c r="B908" s="82" t="s">
        <v>239</v>
      </c>
      <c r="C908" s="83">
        <v>45903</v>
      </c>
      <c r="D908" s="83">
        <v>45933</v>
      </c>
      <c r="E908" s="83">
        <v>45933</v>
      </c>
      <c r="F908" s="83">
        <v>45954</v>
      </c>
      <c r="G908" s="83">
        <v>45903</v>
      </c>
      <c r="H908" s="82" t="s">
        <v>3470</v>
      </c>
      <c r="I908" s="82" t="s">
        <v>51</v>
      </c>
      <c r="J908" s="84">
        <v>0.724769</v>
      </c>
      <c r="K908" s="85">
        <v>2044.85</v>
      </c>
      <c r="L908" s="85">
        <v>2044.85</v>
      </c>
      <c r="M908" s="85">
        <v>0</v>
      </c>
      <c r="N908" s="85">
        <v>2044.85</v>
      </c>
      <c r="O908" s="85">
        <v>0</v>
      </c>
      <c r="P908" s="85">
        <v>2821.3817092066574</v>
      </c>
      <c r="Q908" s="85">
        <v>2821.3817092066574</v>
      </c>
      <c r="R908" s="85">
        <v>0</v>
      </c>
      <c r="S908" s="85">
        <v>2861.3987999999999</v>
      </c>
      <c r="T908" s="85">
        <v>0</v>
      </c>
      <c r="U908" s="82"/>
      <c r="V908" s="82" t="s">
        <v>3399</v>
      </c>
      <c r="W908" s="82" t="s">
        <v>3395</v>
      </c>
      <c r="X908" s="82" t="s">
        <v>3394</v>
      </c>
      <c r="Y908" s="82" t="s">
        <v>3393</v>
      </c>
    </row>
    <row r="909" spans="1:25" ht="10.9" customHeight="1" x14ac:dyDescent="0.2">
      <c r="A909" s="82" t="s">
        <v>2959</v>
      </c>
      <c r="B909" s="82" t="s">
        <v>129</v>
      </c>
      <c r="C909" s="83">
        <v>45903</v>
      </c>
      <c r="D909" s="83">
        <v>45963</v>
      </c>
      <c r="E909" s="83">
        <v>45963</v>
      </c>
      <c r="F909" s="82"/>
      <c r="G909" s="83">
        <v>45903</v>
      </c>
      <c r="H909" s="82" t="s">
        <v>3472</v>
      </c>
      <c r="I909" s="82" t="s">
        <v>51</v>
      </c>
      <c r="J909" s="84">
        <v>0.72472700000000001</v>
      </c>
      <c r="K909" s="85">
        <v>2342</v>
      </c>
      <c r="L909" s="85">
        <v>2342</v>
      </c>
      <c r="M909" s="85">
        <v>0</v>
      </c>
      <c r="N909" s="85">
        <v>0</v>
      </c>
      <c r="O909" s="85">
        <v>2342</v>
      </c>
      <c r="P909" s="85">
        <v>3231.5616777076057</v>
      </c>
      <c r="Q909" s="85">
        <v>3231.5616777076057</v>
      </c>
      <c r="R909" s="85">
        <v>0</v>
      </c>
      <c r="S909" s="85">
        <v>0</v>
      </c>
      <c r="T909" s="85">
        <v>3214.21</v>
      </c>
      <c r="U909" s="82" t="s">
        <v>3401</v>
      </c>
      <c r="V909" s="82" t="s">
        <v>3396</v>
      </c>
      <c r="W909" s="82" t="s">
        <v>3395</v>
      </c>
      <c r="X909" s="82" t="s">
        <v>3397</v>
      </c>
      <c r="Y909" s="82" t="s">
        <v>3393</v>
      </c>
    </row>
    <row r="910" spans="1:25" ht="10.9" customHeight="1" x14ac:dyDescent="0.2">
      <c r="A910" s="82" t="s">
        <v>3005</v>
      </c>
      <c r="B910" s="82" t="s">
        <v>129</v>
      </c>
      <c r="C910" s="83">
        <v>45903</v>
      </c>
      <c r="D910" s="83">
        <v>45963</v>
      </c>
      <c r="E910" s="83">
        <v>45963</v>
      </c>
      <c r="F910" s="82"/>
      <c r="G910" s="83">
        <v>45903</v>
      </c>
      <c r="H910" s="82" t="s">
        <v>3474</v>
      </c>
      <c r="I910" s="82" t="s">
        <v>51</v>
      </c>
      <c r="J910" s="84">
        <v>0.72472700000000001</v>
      </c>
      <c r="K910" s="85">
        <v>890</v>
      </c>
      <c r="L910" s="85">
        <v>890</v>
      </c>
      <c r="M910" s="85">
        <v>0</v>
      </c>
      <c r="N910" s="85">
        <v>0</v>
      </c>
      <c r="O910" s="85">
        <v>890</v>
      </c>
      <c r="P910" s="85">
        <v>1228.0486307257768</v>
      </c>
      <c r="Q910" s="85">
        <v>1228.0486307257768</v>
      </c>
      <c r="R910" s="85">
        <v>0</v>
      </c>
      <c r="S910" s="85">
        <v>0</v>
      </c>
      <c r="T910" s="85">
        <v>1221.45</v>
      </c>
      <c r="U910" s="82" t="s">
        <v>3401</v>
      </c>
      <c r="V910" s="82" t="s">
        <v>3396</v>
      </c>
      <c r="W910" s="82" t="s">
        <v>3395</v>
      </c>
      <c r="X910" s="82" t="s">
        <v>3397</v>
      </c>
      <c r="Y910" s="82" t="s">
        <v>3393</v>
      </c>
    </row>
    <row r="911" spans="1:25" ht="10.9" customHeight="1" x14ac:dyDescent="0.2">
      <c r="A911" s="82" t="s">
        <v>3053</v>
      </c>
      <c r="B911" s="82" t="s">
        <v>129</v>
      </c>
      <c r="C911" s="83">
        <v>45903</v>
      </c>
      <c r="D911" s="83">
        <v>45963</v>
      </c>
      <c r="E911" s="83">
        <v>45963</v>
      </c>
      <c r="F911" s="82"/>
      <c r="G911" s="83">
        <v>45903</v>
      </c>
      <c r="H911" s="82" t="s">
        <v>3473</v>
      </c>
      <c r="I911" s="82" t="s">
        <v>51</v>
      </c>
      <c r="J911" s="84">
        <v>0.724769</v>
      </c>
      <c r="K911" s="85">
        <v>1068</v>
      </c>
      <c r="L911" s="85">
        <v>1068</v>
      </c>
      <c r="M911" s="85">
        <v>0</v>
      </c>
      <c r="N911" s="85">
        <v>0</v>
      </c>
      <c r="O911" s="85">
        <v>1068</v>
      </c>
      <c r="P911" s="85">
        <v>1473.5729591083502</v>
      </c>
      <c r="Q911" s="85">
        <v>1473.5729591083502</v>
      </c>
      <c r="R911" s="85">
        <v>0</v>
      </c>
      <c r="S911" s="85">
        <v>0</v>
      </c>
      <c r="T911" s="85">
        <v>1465.74</v>
      </c>
      <c r="U911" s="82" t="s">
        <v>3401</v>
      </c>
      <c r="V911" s="82" t="s">
        <v>3396</v>
      </c>
      <c r="W911" s="82" t="s">
        <v>3395</v>
      </c>
      <c r="X911" s="82" t="s">
        <v>3397</v>
      </c>
      <c r="Y911" s="82" t="s">
        <v>3393</v>
      </c>
    </row>
    <row r="912" spans="1:25" ht="10.9" customHeight="1" x14ac:dyDescent="0.2">
      <c r="A912" s="82" t="s">
        <v>2928</v>
      </c>
      <c r="B912" s="82" t="s">
        <v>129</v>
      </c>
      <c r="C912" s="83">
        <v>45903</v>
      </c>
      <c r="D912" s="83">
        <v>45963</v>
      </c>
      <c r="E912" s="83">
        <v>45963</v>
      </c>
      <c r="F912" s="82"/>
      <c r="G912" s="83">
        <v>45903</v>
      </c>
      <c r="H912" s="82" t="s">
        <v>3471</v>
      </c>
      <c r="I912" s="82" t="s">
        <v>51</v>
      </c>
      <c r="J912" s="84">
        <v>0.72500500000000001</v>
      </c>
      <c r="K912" s="85">
        <v>878</v>
      </c>
      <c r="L912" s="85">
        <v>878</v>
      </c>
      <c r="M912" s="85">
        <v>0</v>
      </c>
      <c r="N912" s="85">
        <v>0</v>
      </c>
      <c r="O912" s="85">
        <v>878</v>
      </c>
      <c r="P912" s="85">
        <v>1211.0261308542699</v>
      </c>
      <c r="Q912" s="85">
        <v>1211.0261308542699</v>
      </c>
      <c r="R912" s="85">
        <v>0</v>
      </c>
      <c r="S912" s="85">
        <v>0</v>
      </c>
      <c r="T912" s="85">
        <v>1204.98</v>
      </c>
      <c r="U912" s="82" t="s">
        <v>3401</v>
      </c>
      <c r="V912" s="82" t="s">
        <v>3396</v>
      </c>
      <c r="W912" s="82" t="s">
        <v>3395</v>
      </c>
      <c r="X912" s="82" t="s">
        <v>3397</v>
      </c>
      <c r="Y912" s="82" t="s">
        <v>3393</v>
      </c>
    </row>
    <row r="913" spans="1:25" ht="10.9" customHeight="1" x14ac:dyDescent="0.2">
      <c r="A913" s="82" t="s">
        <v>3128</v>
      </c>
      <c r="B913" s="82" t="s">
        <v>146</v>
      </c>
      <c r="C913" s="83">
        <v>45904</v>
      </c>
      <c r="D913" s="83">
        <v>45934</v>
      </c>
      <c r="E913" s="83">
        <v>45934</v>
      </c>
      <c r="F913" s="83">
        <v>45944</v>
      </c>
      <c r="G913" s="83">
        <v>45904</v>
      </c>
      <c r="H913" s="82" t="s">
        <v>754</v>
      </c>
      <c r="I913" s="82" t="s">
        <v>22</v>
      </c>
      <c r="J913" s="84">
        <v>0</v>
      </c>
      <c r="K913" s="85">
        <v>1833.18</v>
      </c>
      <c r="L913" s="85">
        <v>1924.84</v>
      </c>
      <c r="M913" s="85">
        <v>91.66</v>
      </c>
      <c r="N913" s="85">
        <v>1924.84</v>
      </c>
      <c r="O913" s="85">
        <v>0</v>
      </c>
      <c r="P913" s="85">
        <v>1833.18</v>
      </c>
      <c r="Q913" s="85">
        <v>1924.84</v>
      </c>
      <c r="R913" s="85">
        <v>91.66</v>
      </c>
      <c r="S913" s="85">
        <v>1924.84</v>
      </c>
      <c r="T913" s="85">
        <v>0</v>
      </c>
      <c r="U913" s="82"/>
      <c r="V913" s="82" t="s">
        <v>3399</v>
      </c>
      <c r="W913" s="82" t="s">
        <v>3395</v>
      </c>
      <c r="X913" s="82" t="s">
        <v>3394</v>
      </c>
      <c r="Y913" s="82" t="s">
        <v>3393</v>
      </c>
    </row>
    <row r="914" spans="1:25" ht="10.9" customHeight="1" x14ac:dyDescent="0.2">
      <c r="A914" s="82" t="s">
        <v>3143</v>
      </c>
      <c r="B914" s="82" t="s">
        <v>64</v>
      </c>
      <c r="C914" s="83">
        <v>45904</v>
      </c>
      <c r="D914" s="83">
        <v>45934</v>
      </c>
      <c r="E914" s="83">
        <v>45934</v>
      </c>
      <c r="F914" s="83">
        <v>45945</v>
      </c>
      <c r="G914" s="83">
        <v>45904</v>
      </c>
      <c r="H914" s="82" t="s">
        <v>720</v>
      </c>
      <c r="I914" s="82" t="s">
        <v>22</v>
      </c>
      <c r="J914" s="84">
        <v>0</v>
      </c>
      <c r="K914" s="85">
        <v>913.69</v>
      </c>
      <c r="L914" s="85">
        <v>1032.47</v>
      </c>
      <c r="M914" s="85">
        <v>118.78</v>
      </c>
      <c r="N914" s="85">
        <v>1032.47</v>
      </c>
      <c r="O914" s="85">
        <v>0</v>
      </c>
      <c r="P914" s="85">
        <v>913.69</v>
      </c>
      <c r="Q914" s="85">
        <v>1032.47</v>
      </c>
      <c r="R914" s="85">
        <v>118.78</v>
      </c>
      <c r="S914" s="85">
        <v>1032.47</v>
      </c>
      <c r="T914" s="85">
        <v>0</v>
      </c>
      <c r="U914" s="82"/>
      <c r="V914" s="82" t="s">
        <v>3399</v>
      </c>
      <c r="W914" s="82" t="s">
        <v>3395</v>
      </c>
      <c r="X914" s="82" t="s">
        <v>3394</v>
      </c>
      <c r="Y914" s="82" t="s">
        <v>3393</v>
      </c>
    </row>
    <row r="915" spans="1:25" ht="10.9" customHeight="1" x14ac:dyDescent="0.2">
      <c r="A915" s="82" t="s">
        <v>3151</v>
      </c>
      <c r="B915" s="82" t="s">
        <v>3410</v>
      </c>
      <c r="C915" s="83">
        <v>45904</v>
      </c>
      <c r="D915" s="83">
        <v>45934</v>
      </c>
      <c r="E915" s="83">
        <v>45934</v>
      </c>
      <c r="F915" s="83">
        <v>46024</v>
      </c>
      <c r="G915" s="83">
        <v>45904</v>
      </c>
      <c r="H915" s="82" t="s">
        <v>706</v>
      </c>
      <c r="I915" s="82" t="s">
        <v>22</v>
      </c>
      <c r="J915" s="84">
        <v>0</v>
      </c>
      <c r="K915" s="85">
        <v>2940.13</v>
      </c>
      <c r="L915" s="85">
        <v>3087.15</v>
      </c>
      <c r="M915" s="85">
        <v>147.02000000000001</v>
      </c>
      <c r="N915" s="85">
        <v>0</v>
      </c>
      <c r="O915" s="85">
        <v>3087.15</v>
      </c>
      <c r="P915" s="85">
        <v>2940.13</v>
      </c>
      <c r="Q915" s="85">
        <v>3087.15</v>
      </c>
      <c r="R915" s="85">
        <v>147.02000000000001</v>
      </c>
      <c r="S915" s="85">
        <v>0</v>
      </c>
      <c r="T915" s="85">
        <v>3087.15</v>
      </c>
      <c r="U915" s="82"/>
      <c r="V915" s="82" t="s">
        <v>3399</v>
      </c>
      <c r="W915" s="82" t="s">
        <v>3395</v>
      </c>
      <c r="X915" s="82" t="s">
        <v>3394</v>
      </c>
      <c r="Y915" s="82" t="s">
        <v>3393</v>
      </c>
    </row>
    <row r="916" spans="1:25" ht="10.9" customHeight="1" x14ac:dyDescent="0.2">
      <c r="A916" s="82" t="s">
        <v>3134</v>
      </c>
      <c r="B916" s="82" t="s">
        <v>3467</v>
      </c>
      <c r="C916" s="83">
        <v>45904</v>
      </c>
      <c r="D916" s="83">
        <v>45934</v>
      </c>
      <c r="E916" s="83">
        <v>45934</v>
      </c>
      <c r="F916" s="83">
        <v>45965</v>
      </c>
      <c r="G916" s="83">
        <v>45904</v>
      </c>
      <c r="H916" s="82" t="s">
        <v>738</v>
      </c>
      <c r="I916" s="82" t="s">
        <v>51</v>
      </c>
      <c r="J916" s="84">
        <v>0.72423400000000004</v>
      </c>
      <c r="K916" s="85">
        <v>268.8</v>
      </c>
      <c r="L916" s="85">
        <v>268.8</v>
      </c>
      <c r="M916" s="85">
        <v>0</v>
      </c>
      <c r="N916" s="85">
        <v>268.8</v>
      </c>
      <c r="O916" s="85">
        <v>0</v>
      </c>
      <c r="P916" s="85">
        <v>371.15076066575159</v>
      </c>
      <c r="Q916" s="85">
        <v>371.15076066575159</v>
      </c>
      <c r="R916" s="85">
        <v>0</v>
      </c>
      <c r="S916" s="85">
        <v>378.5324</v>
      </c>
      <c r="T916" s="85">
        <v>0</v>
      </c>
      <c r="U916" s="82"/>
      <c r="V916" s="82" t="s">
        <v>3399</v>
      </c>
      <c r="W916" s="82" t="s">
        <v>3395</v>
      </c>
      <c r="X916" s="82" t="s">
        <v>3394</v>
      </c>
      <c r="Y916" s="82" t="s">
        <v>3393</v>
      </c>
    </row>
    <row r="917" spans="1:25" ht="10.9" customHeight="1" x14ac:dyDescent="0.2">
      <c r="A917" s="82" t="s">
        <v>3050</v>
      </c>
      <c r="B917" s="82" t="s">
        <v>61</v>
      </c>
      <c r="C917" s="83">
        <v>45904</v>
      </c>
      <c r="D917" s="83">
        <v>45934</v>
      </c>
      <c r="E917" s="83">
        <v>45934</v>
      </c>
      <c r="F917" s="83">
        <v>45951</v>
      </c>
      <c r="G917" s="83">
        <v>45904</v>
      </c>
      <c r="H917" s="82" t="s">
        <v>913</v>
      </c>
      <c r="I917" s="82" t="s">
        <v>51</v>
      </c>
      <c r="J917" s="84">
        <v>0.72314400000000001</v>
      </c>
      <c r="K917" s="85">
        <v>4930</v>
      </c>
      <c r="L917" s="85">
        <v>4930</v>
      </c>
      <c r="M917" s="85">
        <v>0</v>
      </c>
      <c r="N917" s="85">
        <v>4930</v>
      </c>
      <c r="O917" s="85">
        <v>0</v>
      </c>
      <c r="P917" s="85">
        <v>6817.452678857876</v>
      </c>
      <c r="Q917" s="85">
        <v>6817.452678857876</v>
      </c>
      <c r="R917" s="85">
        <v>0</v>
      </c>
      <c r="S917" s="85">
        <v>6909.9395000000004</v>
      </c>
      <c r="T917" s="85">
        <v>0</v>
      </c>
      <c r="U917" s="82"/>
      <c r="V917" s="82" t="s">
        <v>3399</v>
      </c>
      <c r="W917" s="82" t="s">
        <v>3395</v>
      </c>
      <c r="X917" s="82" t="s">
        <v>3394</v>
      </c>
      <c r="Y917" s="82" t="s">
        <v>3393</v>
      </c>
    </row>
    <row r="918" spans="1:25" ht="10.9" customHeight="1" x14ac:dyDescent="0.2">
      <c r="A918" s="82" t="s">
        <v>3132</v>
      </c>
      <c r="B918" s="82" t="s">
        <v>39</v>
      </c>
      <c r="C918" s="83">
        <v>45904</v>
      </c>
      <c r="D918" s="83">
        <v>45934</v>
      </c>
      <c r="E918" s="83">
        <v>45934</v>
      </c>
      <c r="F918" s="83">
        <v>45933</v>
      </c>
      <c r="G918" s="83">
        <v>45905</v>
      </c>
      <c r="H918" s="82" t="s">
        <v>746</v>
      </c>
      <c r="I918" s="82" t="s">
        <v>22</v>
      </c>
      <c r="J918" s="84">
        <v>0</v>
      </c>
      <c r="K918" s="85">
        <v>3446.9</v>
      </c>
      <c r="L918" s="85">
        <v>3619.25</v>
      </c>
      <c r="M918" s="85">
        <v>172.35</v>
      </c>
      <c r="N918" s="85">
        <v>3619.25</v>
      </c>
      <c r="O918" s="85">
        <v>0</v>
      </c>
      <c r="P918" s="85">
        <v>3446.9</v>
      </c>
      <c r="Q918" s="85">
        <v>3619.25</v>
      </c>
      <c r="R918" s="85">
        <v>172.35</v>
      </c>
      <c r="S918" s="85">
        <v>3619.25</v>
      </c>
      <c r="T918" s="85">
        <v>0</v>
      </c>
      <c r="U918" s="82"/>
      <c r="V918" s="82" t="s">
        <v>3399</v>
      </c>
      <c r="W918" s="82" t="s">
        <v>3395</v>
      </c>
      <c r="X918" s="82" t="s">
        <v>3394</v>
      </c>
      <c r="Y918" s="82" t="s">
        <v>3393</v>
      </c>
    </row>
    <row r="919" spans="1:25" ht="10.9" customHeight="1" x14ac:dyDescent="0.2">
      <c r="A919" s="82" t="s">
        <v>3138</v>
      </c>
      <c r="B919" s="82" t="s">
        <v>146</v>
      </c>
      <c r="C919" s="83">
        <v>45905</v>
      </c>
      <c r="D919" s="83">
        <v>45935</v>
      </c>
      <c r="E919" s="83">
        <v>45935</v>
      </c>
      <c r="F919" s="83">
        <v>45944</v>
      </c>
      <c r="G919" s="83">
        <v>45905</v>
      </c>
      <c r="H919" s="82" t="s">
        <v>730</v>
      </c>
      <c r="I919" s="82" t="s">
        <v>22</v>
      </c>
      <c r="J919" s="84">
        <v>0</v>
      </c>
      <c r="K919" s="85">
        <v>2894.78</v>
      </c>
      <c r="L919" s="85">
        <v>3271.1</v>
      </c>
      <c r="M919" s="85">
        <v>376.32</v>
      </c>
      <c r="N919" s="85">
        <v>3271.1</v>
      </c>
      <c r="O919" s="85">
        <v>0</v>
      </c>
      <c r="P919" s="85">
        <v>2894.78</v>
      </c>
      <c r="Q919" s="85">
        <v>3271.1</v>
      </c>
      <c r="R919" s="85">
        <v>376.32</v>
      </c>
      <c r="S919" s="85">
        <v>3271.1</v>
      </c>
      <c r="T919" s="85">
        <v>0</v>
      </c>
      <c r="U919" s="82"/>
      <c r="V919" s="82" t="s">
        <v>3399</v>
      </c>
      <c r="W919" s="82" t="s">
        <v>3395</v>
      </c>
      <c r="X919" s="82" t="s">
        <v>3394</v>
      </c>
      <c r="Y919" s="82" t="s">
        <v>3393</v>
      </c>
    </row>
    <row r="920" spans="1:25" ht="10.9" customHeight="1" x14ac:dyDescent="0.2">
      <c r="A920" s="82" t="s">
        <v>3098</v>
      </c>
      <c r="B920" s="82" t="s">
        <v>316</v>
      </c>
      <c r="C920" s="83">
        <v>45905</v>
      </c>
      <c r="D920" s="83">
        <v>45935</v>
      </c>
      <c r="E920" s="83">
        <v>45935</v>
      </c>
      <c r="F920" s="83">
        <v>45933</v>
      </c>
      <c r="G920" s="83">
        <v>45905</v>
      </c>
      <c r="H920" s="82" t="s">
        <v>813</v>
      </c>
      <c r="I920" s="82" t="s">
        <v>22</v>
      </c>
      <c r="J920" s="84">
        <v>0</v>
      </c>
      <c r="K920" s="85">
        <v>2440.75</v>
      </c>
      <c r="L920" s="85">
        <v>2562.8000000000002</v>
      </c>
      <c r="M920" s="85">
        <v>122.05</v>
      </c>
      <c r="N920" s="85">
        <v>2562.8000000000002</v>
      </c>
      <c r="O920" s="85">
        <v>0</v>
      </c>
      <c r="P920" s="85">
        <v>2440.75</v>
      </c>
      <c r="Q920" s="85">
        <v>2562.8000000000002</v>
      </c>
      <c r="R920" s="85">
        <v>122.05</v>
      </c>
      <c r="S920" s="85">
        <v>2562.8000000000002</v>
      </c>
      <c r="T920" s="85">
        <v>0</v>
      </c>
      <c r="U920" s="82"/>
      <c r="V920" s="82" t="s">
        <v>3399</v>
      </c>
      <c r="W920" s="82" t="s">
        <v>3395</v>
      </c>
      <c r="X920" s="82" t="s">
        <v>3394</v>
      </c>
      <c r="Y920" s="82" t="s">
        <v>3393</v>
      </c>
    </row>
    <row r="921" spans="1:25" ht="10.9" customHeight="1" x14ac:dyDescent="0.2">
      <c r="A921" s="82" t="s">
        <v>3119</v>
      </c>
      <c r="B921" s="82" t="s">
        <v>450</v>
      </c>
      <c r="C921" s="83">
        <v>45905</v>
      </c>
      <c r="D921" s="83">
        <v>45935</v>
      </c>
      <c r="E921" s="83">
        <v>45935</v>
      </c>
      <c r="F921" s="83">
        <v>45905</v>
      </c>
      <c r="G921" s="83">
        <v>45905</v>
      </c>
      <c r="H921" s="82" t="s">
        <v>771</v>
      </c>
      <c r="I921" s="82" t="s">
        <v>22</v>
      </c>
      <c r="J921" s="84">
        <v>0</v>
      </c>
      <c r="K921" s="85">
        <v>299.25</v>
      </c>
      <c r="L921" s="85">
        <v>338.15</v>
      </c>
      <c r="M921" s="85">
        <v>38.9</v>
      </c>
      <c r="N921" s="85">
        <v>338.15</v>
      </c>
      <c r="O921" s="85">
        <v>0</v>
      </c>
      <c r="P921" s="85">
        <v>299.25</v>
      </c>
      <c r="Q921" s="85">
        <v>338.15</v>
      </c>
      <c r="R921" s="85">
        <v>38.9</v>
      </c>
      <c r="S921" s="85">
        <v>338.15</v>
      </c>
      <c r="T921" s="85">
        <v>0</v>
      </c>
      <c r="U921" s="82"/>
      <c r="V921" s="82" t="s">
        <v>3399</v>
      </c>
      <c r="W921" s="82" t="s">
        <v>3395</v>
      </c>
      <c r="X921" s="82" t="s">
        <v>3394</v>
      </c>
      <c r="Y921" s="82" t="s">
        <v>3393</v>
      </c>
    </row>
    <row r="922" spans="1:25" ht="10.9" customHeight="1" x14ac:dyDescent="0.2">
      <c r="A922" s="82" t="s">
        <v>3142</v>
      </c>
      <c r="B922" s="82" t="s">
        <v>723</v>
      </c>
      <c r="C922" s="83">
        <v>45908</v>
      </c>
      <c r="D922" s="83">
        <v>45968</v>
      </c>
      <c r="E922" s="83">
        <v>45968</v>
      </c>
      <c r="F922" s="83">
        <v>45999</v>
      </c>
      <c r="G922" s="83">
        <v>45908</v>
      </c>
      <c r="H922" s="82" t="s">
        <v>722</v>
      </c>
      <c r="I922" s="82" t="s">
        <v>51</v>
      </c>
      <c r="J922" s="84">
        <v>0.72344799999999998</v>
      </c>
      <c r="K922" s="85">
        <v>5963.41</v>
      </c>
      <c r="L922" s="85">
        <v>6701.17</v>
      </c>
      <c r="M922" s="85">
        <v>737.76</v>
      </c>
      <c r="N922" s="85">
        <v>6701.17</v>
      </c>
      <c r="O922" s="85">
        <v>0</v>
      </c>
      <c r="P922" s="85">
        <v>8243.0388915305593</v>
      </c>
      <c r="Q922" s="85">
        <v>9262.8219305326711</v>
      </c>
      <c r="R922" s="85">
        <v>1019.7830390021117</v>
      </c>
      <c r="S922" s="85">
        <v>9286.75</v>
      </c>
      <c r="T922" s="85">
        <v>0</v>
      </c>
      <c r="U922" s="82"/>
      <c r="V922" s="82" t="s">
        <v>3399</v>
      </c>
      <c r="W922" s="82" t="s">
        <v>3395</v>
      </c>
      <c r="X922" s="82" t="s">
        <v>3394</v>
      </c>
      <c r="Y922" s="82" t="s">
        <v>3393</v>
      </c>
    </row>
    <row r="923" spans="1:25" ht="10.9" customHeight="1" x14ac:dyDescent="0.2">
      <c r="A923" s="82" t="s">
        <v>2968</v>
      </c>
      <c r="B923" s="82" t="s">
        <v>129</v>
      </c>
      <c r="C923" s="83">
        <v>45908</v>
      </c>
      <c r="D923" s="83">
        <v>45968</v>
      </c>
      <c r="E923" s="83">
        <v>45968</v>
      </c>
      <c r="F923" s="82"/>
      <c r="G923" s="83">
        <v>45908</v>
      </c>
      <c r="H923" s="82" t="s">
        <v>3411</v>
      </c>
      <c r="I923" s="82" t="s">
        <v>51</v>
      </c>
      <c r="J923" s="84">
        <v>0.72427600000000003</v>
      </c>
      <c r="K923" s="85">
        <v>426</v>
      </c>
      <c r="L923" s="85">
        <v>426</v>
      </c>
      <c r="M923" s="85">
        <v>0</v>
      </c>
      <c r="N923" s="85">
        <v>0</v>
      </c>
      <c r="O923" s="85">
        <v>426</v>
      </c>
      <c r="P923" s="85">
        <v>588.17356919185477</v>
      </c>
      <c r="Q923" s="85">
        <v>588.17356919185477</v>
      </c>
      <c r="R923" s="85">
        <v>0</v>
      </c>
      <c r="S923" s="85">
        <v>0</v>
      </c>
      <c r="T923" s="85">
        <v>584.65</v>
      </c>
      <c r="U923" s="82" t="s">
        <v>3401</v>
      </c>
      <c r="V923" s="82" t="s">
        <v>3396</v>
      </c>
      <c r="W923" s="82" t="s">
        <v>3395</v>
      </c>
      <c r="X923" s="82" t="s">
        <v>3397</v>
      </c>
      <c r="Y923" s="82" t="s">
        <v>3393</v>
      </c>
    </row>
    <row r="924" spans="1:25" ht="10.9" customHeight="1" x14ac:dyDescent="0.2">
      <c r="A924" s="82" t="s">
        <v>3033</v>
      </c>
      <c r="B924" s="82" t="s">
        <v>129</v>
      </c>
      <c r="C924" s="83">
        <v>45908</v>
      </c>
      <c r="D924" s="83">
        <v>45968</v>
      </c>
      <c r="E924" s="83">
        <v>45968</v>
      </c>
      <c r="F924" s="82"/>
      <c r="G924" s="83">
        <v>45908</v>
      </c>
      <c r="H924" s="82" t="s">
        <v>3465</v>
      </c>
      <c r="I924" s="82" t="s">
        <v>51</v>
      </c>
      <c r="J924" s="84">
        <v>0.72427600000000003</v>
      </c>
      <c r="K924" s="85">
        <v>360</v>
      </c>
      <c r="L924" s="85">
        <v>360</v>
      </c>
      <c r="M924" s="85">
        <v>0</v>
      </c>
      <c r="N924" s="85">
        <v>0</v>
      </c>
      <c r="O924" s="85">
        <v>360</v>
      </c>
      <c r="P924" s="85">
        <v>497.04808664100409</v>
      </c>
      <c r="Q924" s="85">
        <v>497.04808664100409</v>
      </c>
      <c r="R924" s="85">
        <v>0</v>
      </c>
      <c r="S924" s="85">
        <v>0</v>
      </c>
      <c r="T924" s="85">
        <v>494.07</v>
      </c>
      <c r="U924" s="82" t="s">
        <v>3401</v>
      </c>
      <c r="V924" s="82" t="s">
        <v>3396</v>
      </c>
      <c r="W924" s="82" t="s">
        <v>3395</v>
      </c>
      <c r="X924" s="82" t="s">
        <v>3397</v>
      </c>
      <c r="Y924" s="82" t="s">
        <v>3393</v>
      </c>
    </row>
    <row r="925" spans="1:25" ht="10.9" customHeight="1" x14ac:dyDescent="0.2">
      <c r="A925" s="82" t="s">
        <v>3006</v>
      </c>
      <c r="B925" s="82" t="s">
        <v>129</v>
      </c>
      <c r="C925" s="83">
        <v>45908</v>
      </c>
      <c r="D925" s="83">
        <v>45968</v>
      </c>
      <c r="E925" s="83">
        <v>45968</v>
      </c>
      <c r="F925" s="82"/>
      <c r="G925" s="83">
        <v>45908</v>
      </c>
      <c r="H925" s="82" t="s">
        <v>3466</v>
      </c>
      <c r="I925" s="82" t="s">
        <v>51</v>
      </c>
      <c r="J925" s="84">
        <v>0.72427600000000003</v>
      </c>
      <c r="K925" s="85">
        <v>150</v>
      </c>
      <c r="L925" s="85">
        <v>150</v>
      </c>
      <c r="M925" s="85">
        <v>0</v>
      </c>
      <c r="N925" s="85">
        <v>0</v>
      </c>
      <c r="O925" s="85">
        <v>150</v>
      </c>
      <c r="P925" s="85">
        <v>207.10336943375171</v>
      </c>
      <c r="Q925" s="85">
        <v>207.10336943375171</v>
      </c>
      <c r="R925" s="85">
        <v>0</v>
      </c>
      <c r="S925" s="85">
        <v>0</v>
      </c>
      <c r="T925" s="85">
        <v>205.86</v>
      </c>
      <c r="U925" s="82" t="s">
        <v>3401</v>
      </c>
      <c r="V925" s="82" t="s">
        <v>3396</v>
      </c>
      <c r="W925" s="82" t="s">
        <v>3395</v>
      </c>
      <c r="X925" s="82" t="s">
        <v>3397</v>
      </c>
      <c r="Y925" s="82" t="s">
        <v>3393</v>
      </c>
    </row>
    <row r="926" spans="1:25" ht="10.9" customHeight="1" x14ac:dyDescent="0.2">
      <c r="A926" s="82" t="s">
        <v>3057</v>
      </c>
      <c r="B926" s="82" t="s">
        <v>898</v>
      </c>
      <c r="C926" s="83">
        <v>45909</v>
      </c>
      <c r="D926" s="83">
        <v>45909</v>
      </c>
      <c r="E926" s="83">
        <v>45909</v>
      </c>
      <c r="F926" s="83">
        <v>45909</v>
      </c>
      <c r="G926" s="83">
        <v>45909</v>
      </c>
      <c r="H926" s="82" t="s">
        <v>3463</v>
      </c>
      <c r="I926" s="82" t="s">
        <v>22</v>
      </c>
      <c r="J926" s="84">
        <v>0</v>
      </c>
      <c r="K926" s="85">
        <v>7183.59</v>
      </c>
      <c r="L926" s="85">
        <v>7542.77</v>
      </c>
      <c r="M926" s="85">
        <v>359.18</v>
      </c>
      <c r="N926" s="85">
        <v>7542.77</v>
      </c>
      <c r="O926" s="85">
        <v>0</v>
      </c>
      <c r="P926" s="85">
        <v>7183.59</v>
      </c>
      <c r="Q926" s="85">
        <v>7542.77</v>
      </c>
      <c r="R926" s="85">
        <v>359.18</v>
      </c>
      <c r="S926" s="85">
        <v>7542.77</v>
      </c>
      <c r="T926" s="85">
        <v>0</v>
      </c>
      <c r="U926" s="82"/>
      <c r="V926" s="82" t="s">
        <v>3399</v>
      </c>
      <c r="W926" s="82" t="s">
        <v>3395</v>
      </c>
      <c r="X926" s="82" t="s">
        <v>3394</v>
      </c>
      <c r="Y926" s="82" t="s">
        <v>3393</v>
      </c>
    </row>
    <row r="927" spans="1:25" ht="10.9" customHeight="1" x14ac:dyDescent="0.2">
      <c r="A927" s="82" t="s">
        <v>3155</v>
      </c>
      <c r="B927" s="82" t="s">
        <v>146</v>
      </c>
      <c r="C927" s="83">
        <v>45909</v>
      </c>
      <c r="D927" s="83">
        <v>45939</v>
      </c>
      <c r="E927" s="83">
        <v>45939</v>
      </c>
      <c r="F927" s="83">
        <v>45944</v>
      </c>
      <c r="G927" s="83">
        <v>45909</v>
      </c>
      <c r="H927" s="82" t="s">
        <v>700</v>
      </c>
      <c r="I927" s="82" t="s">
        <v>22</v>
      </c>
      <c r="J927" s="84">
        <v>0</v>
      </c>
      <c r="K927" s="85">
        <v>909.56</v>
      </c>
      <c r="L927" s="85">
        <v>955.04</v>
      </c>
      <c r="M927" s="85">
        <v>45.48</v>
      </c>
      <c r="N927" s="85">
        <v>955.04</v>
      </c>
      <c r="O927" s="85">
        <v>0</v>
      </c>
      <c r="P927" s="85">
        <v>909.56</v>
      </c>
      <c r="Q927" s="85">
        <v>955.04</v>
      </c>
      <c r="R927" s="85">
        <v>45.48</v>
      </c>
      <c r="S927" s="85">
        <v>955.04</v>
      </c>
      <c r="T927" s="85">
        <v>0</v>
      </c>
      <c r="U927" s="82"/>
      <c r="V927" s="82" t="s">
        <v>3399</v>
      </c>
      <c r="W927" s="82" t="s">
        <v>3395</v>
      </c>
      <c r="X927" s="82" t="s">
        <v>3394</v>
      </c>
      <c r="Y927" s="82" t="s">
        <v>3393</v>
      </c>
    </row>
    <row r="928" spans="1:25" ht="10.9" customHeight="1" x14ac:dyDescent="0.2">
      <c r="A928" s="82" t="s">
        <v>3009</v>
      </c>
      <c r="B928" s="82" t="s">
        <v>3464</v>
      </c>
      <c r="C928" s="83">
        <v>45909</v>
      </c>
      <c r="D928" s="83">
        <v>45909</v>
      </c>
      <c r="E928" s="83">
        <v>45909</v>
      </c>
      <c r="F928" s="83">
        <v>45909</v>
      </c>
      <c r="G928" s="83">
        <v>45929</v>
      </c>
      <c r="H928" s="82" t="s">
        <v>985</v>
      </c>
      <c r="I928" s="82" t="s">
        <v>51</v>
      </c>
      <c r="J928" s="84">
        <v>0.72169300000000003</v>
      </c>
      <c r="K928" s="85">
        <v>6231.75</v>
      </c>
      <c r="L928" s="85">
        <v>6231.75</v>
      </c>
      <c r="M928" s="85">
        <v>0</v>
      </c>
      <c r="N928" s="85">
        <v>6231.75</v>
      </c>
      <c r="O928" s="85">
        <v>0</v>
      </c>
      <c r="P928" s="85">
        <v>8634.9043152697886</v>
      </c>
      <c r="Q928" s="85">
        <v>8634.9043152697886</v>
      </c>
      <c r="R928" s="85">
        <v>0</v>
      </c>
      <c r="S928" s="85">
        <v>8590.2209000000003</v>
      </c>
      <c r="T928" s="85">
        <v>0</v>
      </c>
      <c r="U928" s="82"/>
      <c r="V928" s="82" t="s">
        <v>3399</v>
      </c>
      <c r="W928" s="82" t="s">
        <v>3395</v>
      </c>
      <c r="X928" s="82" t="s">
        <v>3394</v>
      </c>
      <c r="Y928" s="82" t="s">
        <v>3393</v>
      </c>
    </row>
    <row r="929" spans="1:25" ht="10.9" customHeight="1" x14ac:dyDescent="0.2">
      <c r="A929" s="82" t="s">
        <v>3137</v>
      </c>
      <c r="B929" s="82" t="s">
        <v>129</v>
      </c>
      <c r="C929" s="83">
        <v>45909</v>
      </c>
      <c r="D929" s="83">
        <v>45969</v>
      </c>
      <c r="E929" s="83">
        <v>45969</v>
      </c>
      <c r="F929" s="82"/>
      <c r="G929" s="83">
        <v>45912</v>
      </c>
      <c r="H929" s="82" t="s">
        <v>732</v>
      </c>
      <c r="I929" s="82" t="s">
        <v>51</v>
      </c>
      <c r="J929" s="84">
        <v>0.72169300000000003</v>
      </c>
      <c r="K929" s="85">
        <v>2680</v>
      </c>
      <c r="L929" s="85">
        <v>2680</v>
      </c>
      <c r="M929" s="85">
        <v>0</v>
      </c>
      <c r="N929" s="85">
        <v>0</v>
      </c>
      <c r="O929" s="85">
        <v>2680</v>
      </c>
      <c r="P929" s="85">
        <v>3713.4903622454422</v>
      </c>
      <c r="Q929" s="85">
        <v>3713.4903622454422</v>
      </c>
      <c r="R929" s="85">
        <v>0</v>
      </c>
      <c r="S929" s="85">
        <v>0</v>
      </c>
      <c r="T929" s="85">
        <v>3678.09</v>
      </c>
      <c r="U929" s="82" t="s">
        <v>3401</v>
      </c>
      <c r="V929" s="82" t="s">
        <v>3396</v>
      </c>
      <c r="W929" s="82" t="s">
        <v>3395</v>
      </c>
      <c r="X929" s="82" t="s">
        <v>3397</v>
      </c>
      <c r="Y929" s="82" t="s">
        <v>3393</v>
      </c>
    </row>
    <row r="930" spans="1:25" ht="10.9" customHeight="1" x14ac:dyDescent="0.2">
      <c r="A930" s="82" t="s">
        <v>3124</v>
      </c>
      <c r="B930" s="82" t="s">
        <v>159</v>
      </c>
      <c r="C930" s="83">
        <v>45910</v>
      </c>
      <c r="D930" s="83">
        <v>45955</v>
      </c>
      <c r="E930" s="83">
        <v>45955</v>
      </c>
      <c r="F930" s="83">
        <v>45953</v>
      </c>
      <c r="G930" s="83">
        <v>45910</v>
      </c>
      <c r="H930" s="82" t="s">
        <v>763</v>
      </c>
      <c r="I930" s="82" t="s">
        <v>51</v>
      </c>
      <c r="J930" s="84">
        <v>0.72091799999999995</v>
      </c>
      <c r="K930" s="85">
        <v>16862.14</v>
      </c>
      <c r="L930" s="85">
        <v>16862.14</v>
      </c>
      <c r="M930" s="85">
        <v>0</v>
      </c>
      <c r="N930" s="85">
        <v>16862.14</v>
      </c>
      <c r="O930" s="85">
        <v>0</v>
      </c>
      <c r="P930" s="85">
        <v>23389.81687237661</v>
      </c>
      <c r="Q930" s="85">
        <v>23389.81687237661</v>
      </c>
      <c r="R930" s="85">
        <v>0</v>
      </c>
      <c r="S930" s="85">
        <v>23585.7546</v>
      </c>
      <c r="T930" s="85">
        <v>0</v>
      </c>
      <c r="U930" s="82"/>
      <c r="V930" s="82" t="s">
        <v>3399</v>
      </c>
      <c r="W930" s="82" t="s">
        <v>3395</v>
      </c>
      <c r="X930" s="82" t="s">
        <v>3394</v>
      </c>
      <c r="Y930" s="82" t="s">
        <v>3393</v>
      </c>
    </row>
    <row r="931" spans="1:25" ht="10.9" customHeight="1" x14ac:dyDescent="0.2">
      <c r="A931" s="82" t="s">
        <v>3130</v>
      </c>
      <c r="B931" s="82" t="s">
        <v>159</v>
      </c>
      <c r="C931" s="83">
        <v>45910</v>
      </c>
      <c r="D931" s="83">
        <v>45955</v>
      </c>
      <c r="E931" s="83">
        <v>45955</v>
      </c>
      <c r="F931" s="83">
        <v>45953</v>
      </c>
      <c r="G931" s="83">
        <v>45910</v>
      </c>
      <c r="H931" s="82" t="s">
        <v>750</v>
      </c>
      <c r="I931" s="82" t="s">
        <v>51</v>
      </c>
      <c r="J931" s="84">
        <v>0.72091799999999995</v>
      </c>
      <c r="K931" s="85">
        <v>21079.200000000001</v>
      </c>
      <c r="L931" s="85">
        <v>21079.200000000001</v>
      </c>
      <c r="M931" s="85">
        <v>0</v>
      </c>
      <c r="N931" s="85">
        <v>21079.200000000001</v>
      </c>
      <c r="O931" s="85">
        <v>0</v>
      </c>
      <c r="P931" s="85">
        <v>29239.386448944264</v>
      </c>
      <c r="Q931" s="85">
        <v>29239.386448944264</v>
      </c>
      <c r="R931" s="85">
        <v>0</v>
      </c>
      <c r="S931" s="85">
        <v>29484.326400000002</v>
      </c>
      <c r="T931" s="85">
        <v>0</v>
      </c>
      <c r="U931" s="82"/>
      <c r="V931" s="82" t="s">
        <v>3399</v>
      </c>
      <c r="W931" s="82" t="s">
        <v>3395</v>
      </c>
      <c r="X931" s="82" t="s">
        <v>3394</v>
      </c>
      <c r="Y931" s="82" t="s">
        <v>3393</v>
      </c>
    </row>
    <row r="932" spans="1:25" ht="10.9" customHeight="1" x14ac:dyDescent="0.2">
      <c r="A932" s="82" t="s">
        <v>3125</v>
      </c>
      <c r="B932" s="82" t="s">
        <v>159</v>
      </c>
      <c r="C932" s="83">
        <v>45910</v>
      </c>
      <c r="D932" s="83">
        <v>45955</v>
      </c>
      <c r="E932" s="83">
        <v>45955</v>
      </c>
      <c r="F932" s="83">
        <v>45953</v>
      </c>
      <c r="G932" s="83">
        <v>45910</v>
      </c>
      <c r="H932" s="82" t="s">
        <v>761</v>
      </c>
      <c r="I932" s="82" t="s">
        <v>51</v>
      </c>
      <c r="J932" s="84">
        <v>0.72239699999999996</v>
      </c>
      <c r="K932" s="85">
        <v>7069.44</v>
      </c>
      <c r="L932" s="85">
        <v>7069.44</v>
      </c>
      <c r="M932" s="85">
        <v>0</v>
      </c>
      <c r="N932" s="85">
        <v>7069.44</v>
      </c>
      <c r="O932" s="85">
        <v>0</v>
      </c>
      <c r="P932" s="85">
        <v>9786.0871515247163</v>
      </c>
      <c r="Q932" s="85">
        <v>9786.0871515247163</v>
      </c>
      <c r="R932" s="85">
        <v>0</v>
      </c>
      <c r="S932" s="85">
        <v>9888.3106000000007</v>
      </c>
      <c r="T932" s="85">
        <v>0</v>
      </c>
      <c r="U932" s="82"/>
      <c r="V932" s="82" t="s">
        <v>3399</v>
      </c>
      <c r="W932" s="82" t="s">
        <v>3395</v>
      </c>
      <c r="X932" s="82" t="s">
        <v>3394</v>
      </c>
      <c r="Y932" s="82" t="s">
        <v>3393</v>
      </c>
    </row>
    <row r="933" spans="1:25" ht="10.9" customHeight="1" x14ac:dyDescent="0.2">
      <c r="A933" s="82" t="s">
        <v>2921</v>
      </c>
      <c r="B933" s="82" t="s">
        <v>232</v>
      </c>
      <c r="C933" s="83">
        <v>45910</v>
      </c>
      <c r="D933" s="83">
        <v>45940</v>
      </c>
      <c r="E933" s="83">
        <v>45940</v>
      </c>
      <c r="F933" s="83">
        <v>45985</v>
      </c>
      <c r="G933" s="83">
        <v>45910</v>
      </c>
      <c r="H933" s="82" t="s">
        <v>1129</v>
      </c>
      <c r="I933" s="82" t="s">
        <v>51</v>
      </c>
      <c r="J933" s="84">
        <v>0.72091799999999995</v>
      </c>
      <c r="K933" s="85">
        <v>12300</v>
      </c>
      <c r="L933" s="85">
        <v>12300</v>
      </c>
      <c r="M933" s="85">
        <v>0</v>
      </c>
      <c r="N933" s="85">
        <v>12300</v>
      </c>
      <c r="O933" s="85">
        <v>0</v>
      </c>
      <c r="P933" s="85">
        <v>17061.579819064027</v>
      </c>
      <c r="Q933" s="85">
        <v>17061.579819064027</v>
      </c>
      <c r="R933" s="85">
        <v>0</v>
      </c>
      <c r="S933" s="85">
        <v>17363.292300000001</v>
      </c>
      <c r="T933" s="85">
        <v>0</v>
      </c>
      <c r="U933" s="82"/>
      <c r="V933" s="82" t="s">
        <v>3399</v>
      </c>
      <c r="W933" s="82" t="s">
        <v>3395</v>
      </c>
      <c r="X933" s="82" t="s">
        <v>3394</v>
      </c>
      <c r="Y933" s="82" t="s">
        <v>3393</v>
      </c>
    </row>
    <row r="934" spans="1:25" ht="10.9" customHeight="1" x14ac:dyDescent="0.2">
      <c r="A934" s="82" t="s">
        <v>3129</v>
      </c>
      <c r="B934" s="82" t="s">
        <v>232</v>
      </c>
      <c r="C934" s="83">
        <v>45910</v>
      </c>
      <c r="D934" s="83">
        <v>45940</v>
      </c>
      <c r="E934" s="83">
        <v>45940</v>
      </c>
      <c r="F934" s="83">
        <v>45985</v>
      </c>
      <c r="G934" s="83">
        <v>45910</v>
      </c>
      <c r="H934" s="82" t="s">
        <v>752</v>
      </c>
      <c r="I934" s="82" t="s">
        <v>51</v>
      </c>
      <c r="J934" s="84">
        <v>0.72091799999999995</v>
      </c>
      <c r="K934" s="85">
        <v>5422.32</v>
      </c>
      <c r="L934" s="85">
        <v>5422.32</v>
      </c>
      <c r="M934" s="85">
        <v>0</v>
      </c>
      <c r="N934" s="85">
        <v>5422.32</v>
      </c>
      <c r="O934" s="85">
        <v>0</v>
      </c>
      <c r="P934" s="85">
        <v>7521.4102019924594</v>
      </c>
      <c r="Q934" s="85">
        <v>7521.4102019924594</v>
      </c>
      <c r="R934" s="85">
        <v>0</v>
      </c>
      <c r="S934" s="85">
        <v>7654.4168</v>
      </c>
      <c r="T934" s="85">
        <v>0</v>
      </c>
      <c r="U934" s="82"/>
      <c r="V934" s="82" t="s">
        <v>3399</v>
      </c>
      <c r="W934" s="82" t="s">
        <v>3395</v>
      </c>
      <c r="X934" s="82" t="s">
        <v>3394</v>
      </c>
      <c r="Y934" s="82" t="s">
        <v>3393</v>
      </c>
    </row>
    <row r="935" spans="1:25" ht="10.9" customHeight="1" x14ac:dyDescent="0.2">
      <c r="A935" s="82" t="s">
        <v>3160</v>
      </c>
      <c r="B935" s="82" t="s">
        <v>229</v>
      </c>
      <c r="C935" s="83">
        <v>45910</v>
      </c>
      <c r="D935" s="83">
        <v>45940</v>
      </c>
      <c r="E935" s="83">
        <v>45940</v>
      </c>
      <c r="F935" s="83">
        <v>45945</v>
      </c>
      <c r="G935" s="83">
        <v>45910</v>
      </c>
      <c r="H935" s="82" t="s">
        <v>691</v>
      </c>
      <c r="I935" s="82" t="s">
        <v>22</v>
      </c>
      <c r="J935" s="84">
        <v>0</v>
      </c>
      <c r="K935" s="85">
        <v>498.96</v>
      </c>
      <c r="L935" s="85">
        <v>523.91</v>
      </c>
      <c r="M935" s="85">
        <v>24.95</v>
      </c>
      <c r="N935" s="85">
        <v>523.91</v>
      </c>
      <c r="O935" s="85">
        <v>0</v>
      </c>
      <c r="P935" s="85">
        <v>498.96</v>
      </c>
      <c r="Q935" s="85">
        <v>523.91</v>
      </c>
      <c r="R935" s="85">
        <v>24.95</v>
      </c>
      <c r="S935" s="85">
        <v>523.91</v>
      </c>
      <c r="T935" s="85">
        <v>0</v>
      </c>
      <c r="U935" s="82"/>
      <c r="V935" s="82" t="s">
        <v>3399</v>
      </c>
      <c r="W935" s="82" t="s">
        <v>3395</v>
      </c>
      <c r="X935" s="82" t="s">
        <v>3394</v>
      </c>
      <c r="Y935" s="82" t="s">
        <v>3393</v>
      </c>
    </row>
    <row r="936" spans="1:25" ht="10.9" customHeight="1" x14ac:dyDescent="0.2">
      <c r="A936" s="82" t="s">
        <v>2965</v>
      </c>
      <c r="B936" s="82" t="s">
        <v>77</v>
      </c>
      <c r="C936" s="83">
        <v>45910</v>
      </c>
      <c r="D936" s="83">
        <v>45940</v>
      </c>
      <c r="E936" s="83">
        <v>45940</v>
      </c>
      <c r="F936" s="83">
        <v>45940</v>
      </c>
      <c r="G936" s="83">
        <v>45910</v>
      </c>
      <c r="H936" s="82" t="s">
        <v>1057</v>
      </c>
      <c r="I936" s="82" t="s">
        <v>22</v>
      </c>
      <c r="J936" s="84">
        <v>0</v>
      </c>
      <c r="K936" s="85">
        <v>3048.85</v>
      </c>
      <c r="L936" s="85">
        <v>3201.29</v>
      </c>
      <c r="M936" s="85">
        <v>152.44</v>
      </c>
      <c r="N936" s="85">
        <v>3201.29</v>
      </c>
      <c r="O936" s="85">
        <v>0</v>
      </c>
      <c r="P936" s="85">
        <v>3048.85</v>
      </c>
      <c r="Q936" s="85">
        <v>3201.29</v>
      </c>
      <c r="R936" s="85">
        <v>152.44</v>
      </c>
      <c r="S936" s="85">
        <v>3201.29</v>
      </c>
      <c r="T936" s="85">
        <v>0</v>
      </c>
      <c r="U936" s="82"/>
      <c r="V936" s="82" t="s">
        <v>3399</v>
      </c>
      <c r="W936" s="82" t="s">
        <v>3395</v>
      </c>
      <c r="X936" s="82" t="s">
        <v>3394</v>
      </c>
      <c r="Y936" s="82" t="s">
        <v>3393</v>
      </c>
    </row>
    <row r="937" spans="1:25" ht="10.9" customHeight="1" x14ac:dyDescent="0.2">
      <c r="A937" s="82" t="s">
        <v>3141</v>
      </c>
      <c r="B937" s="82" t="s">
        <v>83</v>
      </c>
      <c r="C937" s="83">
        <v>45910</v>
      </c>
      <c r="D937" s="83">
        <v>45940</v>
      </c>
      <c r="E937" s="83">
        <v>45940</v>
      </c>
      <c r="F937" s="83">
        <v>45940</v>
      </c>
      <c r="G937" s="83">
        <v>45910</v>
      </c>
      <c r="H937" s="82" t="s">
        <v>725</v>
      </c>
      <c r="I937" s="82" t="s">
        <v>22</v>
      </c>
      <c r="J937" s="84">
        <v>0</v>
      </c>
      <c r="K937" s="85">
        <v>27525.7</v>
      </c>
      <c r="L937" s="85">
        <v>31104.05</v>
      </c>
      <c r="M937" s="85">
        <v>3578.35</v>
      </c>
      <c r="N937" s="85">
        <v>31104.05</v>
      </c>
      <c r="O937" s="85">
        <v>0</v>
      </c>
      <c r="P937" s="85">
        <v>27525.7</v>
      </c>
      <c r="Q937" s="85">
        <v>31104.05</v>
      </c>
      <c r="R937" s="85">
        <v>3578.35</v>
      </c>
      <c r="S937" s="85">
        <v>31104.05</v>
      </c>
      <c r="T937" s="85">
        <v>0</v>
      </c>
      <c r="U937" s="82"/>
      <c r="V937" s="82" t="s">
        <v>3399</v>
      </c>
      <c r="W937" s="82" t="s">
        <v>3395</v>
      </c>
      <c r="X937" s="82" t="s">
        <v>3394</v>
      </c>
      <c r="Y937" s="82" t="s">
        <v>3393</v>
      </c>
    </row>
    <row r="938" spans="1:25" ht="10.9" customHeight="1" x14ac:dyDescent="0.2">
      <c r="A938" s="82" t="s">
        <v>3462</v>
      </c>
      <c r="B938" s="82" t="s">
        <v>952</v>
      </c>
      <c r="C938" s="83">
        <v>45911</v>
      </c>
      <c r="D938" s="83">
        <v>45941</v>
      </c>
      <c r="E938" s="83">
        <v>45941</v>
      </c>
      <c r="F938" s="83">
        <v>45959</v>
      </c>
      <c r="G938" s="83">
        <v>45911</v>
      </c>
      <c r="H938" s="82" t="s">
        <v>951</v>
      </c>
      <c r="I938" s="82" t="s">
        <v>22</v>
      </c>
      <c r="J938" s="84">
        <v>0</v>
      </c>
      <c r="K938" s="85">
        <v>176.16</v>
      </c>
      <c r="L938" s="85">
        <v>184.96</v>
      </c>
      <c r="M938" s="85">
        <v>8.8000000000000007</v>
      </c>
      <c r="N938" s="85">
        <v>184.96</v>
      </c>
      <c r="O938" s="85">
        <v>0</v>
      </c>
      <c r="P938" s="85">
        <v>176.16</v>
      </c>
      <c r="Q938" s="85">
        <v>184.96</v>
      </c>
      <c r="R938" s="85">
        <v>8.8000000000000007</v>
      </c>
      <c r="S938" s="85">
        <v>184.96</v>
      </c>
      <c r="T938" s="85">
        <v>0</v>
      </c>
      <c r="U938" s="82"/>
      <c r="V938" s="82" t="s">
        <v>3399</v>
      </c>
      <c r="W938" s="82" t="s">
        <v>3395</v>
      </c>
      <c r="X938" s="82" t="s">
        <v>3394</v>
      </c>
      <c r="Y938" s="82" t="s">
        <v>3393</v>
      </c>
    </row>
    <row r="939" spans="1:25" ht="10.9" customHeight="1" x14ac:dyDescent="0.2">
      <c r="A939" s="82" t="s">
        <v>3126</v>
      </c>
      <c r="B939" s="82" t="s">
        <v>109</v>
      </c>
      <c r="C939" s="83">
        <v>45911</v>
      </c>
      <c r="D939" s="83">
        <v>45941</v>
      </c>
      <c r="E939" s="83">
        <v>45941</v>
      </c>
      <c r="F939" s="83">
        <v>45940</v>
      </c>
      <c r="G939" s="83">
        <v>45911</v>
      </c>
      <c r="H939" s="82" t="s">
        <v>759</v>
      </c>
      <c r="I939" s="82" t="s">
        <v>51</v>
      </c>
      <c r="J939" s="84">
        <v>0.72300799999999998</v>
      </c>
      <c r="K939" s="85">
        <v>13714.03</v>
      </c>
      <c r="L939" s="85">
        <v>13714.03</v>
      </c>
      <c r="M939" s="85">
        <v>0</v>
      </c>
      <c r="N939" s="85">
        <v>13714.03</v>
      </c>
      <c r="O939" s="85">
        <v>0</v>
      </c>
      <c r="P939" s="85">
        <v>18968.019717624149</v>
      </c>
      <c r="Q939" s="85">
        <v>18968.019717624149</v>
      </c>
      <c r="R939" s="85">
        <v>0</v>
      </c>
      <c r="S939" s="85">
        <v>19211.710800000001</v>
      </c>
      <c r="T939" s="85">
        <v>0</v>
      </c>
      <c r="U939" s="82"/>
      <c r="V939" s="82" t="s">
        <v>3399</v>
      </c>
      <c r="W939" s="82" t="s">
        <v>3395</v>
      </c>
      <c r="X939" s="82" t="s">
        <v>3394</v>
      </c>
      <c r="Y939" s="82" t="s">
        <v>3393</v>
      </c>
    </row>
    <row r="940" spans="1:25" ht="10.9" customHeight="1" x14ac:dyDescent="0.2">
      <c r="A940" s="82" t="s">
        <v>3105</v>
      </c>
      <c r="B940" s="82" t="s">
        <v>3461</v>
      </c>
      <c r="C940" s="83">
        <v>45912</v>
      </c>
      <c r="D940" s="83">
        <v>45942</v>
      </c>
      <c r="E940" s="83">
        <v>45942</v>
      </c>
      <c r="F940" s="83">
        <v>45940</v>
      </c>
      <c r="G940" s="83">
        <v>45912</v>
      </c>
      <c r="H940" s="82" t="s">
        <v>798</v>
      </c>
      <c r="I940" s="82" t="s">
        <v>22</v>
      </c>
      <c r="J940" s="84">
        <v>0</v>
      </c>
      <c r="K940" s="85">
        <v>389.39</v>
      </c>
      <c r="L940" s="85">
        <v>440.01</v>
      </c>
      <c r="M940" s="85">
        <v>50.62</v>
      </c>
      <c r="N940" s="85">
        <v>440.01</v>
      </c>
      <c r="O940" s="85">
        <v>0</v>
      </c>
      <c r="P940" s="85">
        <v>389.39</v>
      </c>
      <c r="Q940" s="85">
        <v>440.01</v>
      </c>
      <c r="R940" s="85">
        <v>50.62</v>
      </c>
      <c r="S940" s="85">
        <v>440.01</v>
      </c>
      <c r="T940" s="85">
        <v>0</v>
      </c>
      <c r="U940" s="82"/>
      <c r="V940" s="82" t="s">
        <v>3399</v>
      </c>
      <c r="W940" s="82" t="s">
        <v>3395</v>
      </c>
      <c r="X940" s="82" t="s">
        <v>3394</v>
      </c>
      <c r="Y940" s="82" t="s">
        <v>3393</v>
      </c>
    </row>
    <row r="941" spans="1:25" ht="10.9" customHeight="1" x14ac:dyDescent="0.2">
      <c r="A941" s="82" t="s">
        <v>3061</v>
      </c>
      <c r="B941" s="82" t="s">
        <v>54</v>
      </c>
      <c r="C941" s="83">
        <v>45912</v>
      </c>
      <c r="D941" s="83">
        <v>45942</v>
      </c>
      <c r="E941" s="83">
        <v>45942</v>
      </c>
      <c r="F941" s="83">
        <v>45936</v>
      </c>
      <c r="G941" s="83">
        <v>45912</v>
      </c>
      <c r="H941" s="82" t="s">
        <v>889</v>
      </c>
      <c r="I941" s="82" t="s">
        <v>22</v>
      </c>
      <c r="J941" s="84">
        <v>0</v>
      </c>
      <c r="K941" s="85">
        <v>1734.82</v>
      </c>
      <c r="L941" s="85">
        <v>1821.57</v>
      </c>
      <c r="M941" s="85">
        <v>86.75</v>
      </c>
      <c r="N941" s="85">
        <v>1821.57</v>
      </c>
      <c r="O941" s="85">
        <v>0</v>
      </c>
      <c r="P941" s="85">
        <v>1734.82</v>
      </c>
      <c r="Q941" s="85">
        <v>1821.57</v>
      </c>
      <c r="R941" s="85">
        <v>86.75</v>
      </c>
      <c r="S941" s="85">
        <v>1821.57</v>
      </c>
      <c r="T941" s="85">
        <v>0</v>
      </c>
      <c r="U941" s="82"/>
      <c r="V941" s="82" t="s">
        <v>3399</v>
      </c>
      <c r="W941" s="82" t="s">
        <v>3395</v>
      </c>
      <c r="X941" s="82" t="s">
        <v>3394</v>
      </c>
      <c r="Y941" s="82" t="s">
        <v>3393</v>
      </c>
    </row>
    <row r="942" spans="1:25" ht="10.9" customHeight="1" x14ac:dyDescent="0.2">
      <c r="A942" s="82" t="s">
        <v>3103</v>
      </c>
      <c r="B942" s="82" t="s">
        <v>98</v>
      </c>
      <c r="C942" s="83">
        <v>45912</v>
      </c>
      <c r="D942" s="83">
        <v>45942</v>
      </c>
      <c r="E942" s="83">
        <v>45942</v>
      </c>
      <c r="F942" s="83">
        <v>45938</v>
      </c>
      <c r="G942" s="83">
        <v>45912</v>
      </c>
      <c r="H942" s="82" t="s">
        <v>803</v>
      </c>
      <c r="I942" s="82" t="s">
        <v>22</v>
      </c>
      <c r="J942" s="84">
        <v>0</v>
      </c>
      <c r="K942" s="85">
        <v>1842.22</v>
      </c>
      <c r="L942" s="85">
        <v>2081.71</v>
      </c>
      <c r="M942" s="85">
        <v>239.49</v>
      </c>
      <c r="N942" s="85">
        <v>2081.71</v>
      </c>
      <c r="O942" s="85">
        <v>0</v>
      </c>
      <c r="P942" s="85">
        <v>1842.22</v>
      </c>
      <c r="Q942" s="85">
        <v>2081.71</v>
      </c>
      <c r="R942" s="85">
        <v>239.49</v>
      </c>
      <c r="S942" s="85">
        <v>2081.71</v>
      </c>
      <c r="T942" s="85">
        <v>0</v>
      </c>
      <c r="U942" s="82"/>
      <c r="V942" s="82" t="s">
        <v>3399</v>
      </c>
      <c r="W942" s="82" t="s">
        <v>3395</v>
      </c>
      <c r="X942" s="82" t="s">
        <v>3394</v>
      </c>
      <c r="Y942" s="82" t="s">
        <v>3393</v>
      </c>
    </row>
    <row r="943" spans="1:25" ht="10.9" customHeight="1" x14ac:dyDescent="0.2">
      <c r="A943" s="82" t="s">
        <v>2777</v>
      </c>
      <c r="B943" s="82" t="s">
        <v>98</v>
      </c>
      <c r="C943" s="83">
        <v>45912</v>
      </c>
      <c r="D943" s="83">
        <v>45942</v>
      </c>
      <c r="E943" s="83">
        <v>45942</v>
      </c>
      <c r="F943" s="83">
        <v>45938</v>
      </c>
      <c r="G943" s="83">
        <v>45912</v>
      </c>
      <c r="H943" s="82" t="s">
        <v>1382</v>
      </c>
      <c r="I943" s="82" t="s">
        <v>22</v>
      </c>
      <c r="J943" s="84">
        <v>0</v>
      </c>
      <c r="K943" s="85">
        <v>3248.97</v>
      </c>
      <c r="L943" s="85">
        <v>3671.34</v>
      </c>
      <c r="M943" s="85">
        <v>422.37</v>
      </c>
      <c r="N943" s="85">
        <v>3671.34</v>
      </c>
      <c r="O943" s="85">
        <v>0</v>
      </c>
      <c r="P943" s="85">
        <v>3248.97</v>
      </c>
      <c r="Q943" s="85">
        <v>3671.34</v>
      </c>
      <c r="R943" s="85">
        <v>422.37</v>
      </c>
      <c r="S943" s="85">
        <v>3671.34</v>
      </c>
      <c r="T943" s="85">
        <v>0</v>
      </c>
      <c r="U943" s="82"/>
      <c r="V943" s="82" t="s">
        <v>3399</v>
      </c>
      <c r="W943" s="82" t="s">
        <v>3395</v>
      </c>
      <c r="X943" s="82" t="s">
        <v>3394</v>
      </c>
      <c r="Y943" s="82" t="s">
        <v>3393</v>
      </c>
    </row>
    <row r="944" spans="1:25" ht="10.9" customHeight="1" x14ac:dyDescent="0.2">
      <c r="A944" s="82" t="s">
        <v>3164</v>
      </c>
      <c r="B944" s="82" t="s">
        <v>98</v>
      </c>
      <c r="C944" s="83">
        <v>45912</v>
      </c>
      <c r="D944" s="83">
        <v>45942</v>
      </c>
      <c r="E944" s="83">
        <v>45942</v>
      </c>
      <c r="F944" s="83">
        <v>45938</v>
      </c>
      <c r="G944" s="83">
        <v>45912</v>
      </c>
      <c r="H944" s="82" t="s">
        <v>679</v>
      </c>
      <c r="I944" s="82" t="s">
        <v>22</v>
      </c>
      <c r="J944" s="84">
        <v>0</v>
      </c>
      <c r="K944" s="85">
        <v>1199.1099999999999</v>
      </c>
      <c r="L944" s="85">
        <v>1354.99</v>
      </c>
      <c r="M944" s="85">
        <v>155.88</v>
      </c>
      <c r="N944" s="85">
        <v>1354.99</v>
      </c>
      <c r="O944" s="85">
        <v>0</v>
      </c>
      <c r="P944" s="85">
        <v>1199.1099999999999</v>
      </c>
      <c r="Q944" s="85">
        <v>1354.99</v>
      </c>
      <c r="R944" s="85">
        <v>155.88</v>
      </c>
      <c r="S944" s="85">
        <v>1354.99</v>
      </c>
      <c r="T944" s="85">
        <v>0</v>
      </c>
      <c r="U944" s="82"/>
      <c r="V944" s="82" t="s">
        <v>3399</v>
      </c>
      <c r="W944" s="82" t="s">
        <v>3395</v>
      </c>
      <c r="X944" s="82" t="s">
        <v>3394</v>
      </c>
      <c r="Y944" s="82" t="s">
        <v>3393</v>
      </c>
    </row>
    <row r="945" spans="1:25" ht="10.9" customHeight="1" x14ac:dyDescent="0.2">
      <c r="A945" s="82" t="s">
        <v>3169</v>
      </c>
      <c r="B945" s="82" t="s">
        <v>20</v>
      </c>
      <c r="C945" s="83">
        <v>45912</v>
      </c>
      <c r="D945" s="83">
        <v>45972</v>
      </c>
      <c r="E945" s="83">
        <v>45972</v>
      </c>
      <c r="F945" s="83">
        <v>45971</v>
      </c>
      <c r="G945" s="83">
        <v>45912</v>
      </c>
      <c r="H945" s="82" t="s">
        <v>673</v>
      </c>
      <c r="I945" s="82" t="s">
        <v>22</v>
      </c>
      <c r="J945" s="84">
        <v>0</v>
      </c>
      <c r="K945" s="85">
        <v>4557.97</v>
      </c>
      <c r="L945" s="85">
        <v>4785.87</v>
      </c>
      <c r="M945" s="85">
        <v>227.9</v>
      </c>
      <c r="N945" s="85">
        <v>4785.87</v>
      </c>
      <c r="O945" s="85">
        <v>0</v>
      </c>
      <c r="P945" s="85">
        <v>4557.97</v>
      </c>
      <c r="Q945" s="85">
        <v>4785.87</v>
      </c>
      <c r="R945" s="85">
        <v>227.9</v>
      </c>
      <c r="S945" s="85">
        <v>4785.87</v>
      </c>
      <c r="T945" s="85">
        <v>0</v>
      </c>
      <c r="U945" s="82"/>
      <c r="V945" s="82" t="s">
        <v>3399</v>
      </c>
      <c r="W945" s="82" t="s">
        <v>3395</v>
      </c>
      <c r="X945" s="82" t="s">
        <v>3394</v>
      </c>
      <c r="Y945" s="82" t="s">
        <v>3393</v>
      </c>
    </row>
    <row r="946" spans="1:25" ht="10.9" customHeight="1" x14ac:dyDescent="0.2">
      <c r="A946" s="82" t="s">
        <v>3163</v>
      </c>
      <c r="B946" s="82" t="s">
        <v>77</v>
      </c>
      <c r="C946" s="83">
        <v>45912</v>
      </c>
      <c r="D946" s="83">
        <v>45942</v>
      </c>
      <c r="E946" s="83">
        <v>45942</v>
      </c>
      <c r="F946" s="83">
        <v>45940</v>
      </c>
      <c r="G946" s="83">
        <v>45912</v>
      </c>
      <c r="H946" s="82" t="s">
        <v>681</v>
      </c>
      <c r="I946" s="82" t="s">
        <v>22</v>
      </c>
      <c r="J946" s="84">
        <v>0</v>
      </c>
      <c r="K946" s="85">
        <v>270.35000000000002</v>
      </c>
      <c r="L946" s="85">
        <v>283.87</v>
      </c>
      <c r="M946" s="85">
        <v>13.52</v>
      </c>
      <c r="N946" s="85">
        <v>283.87</v>
      </c>
      <c r="O946" s="85">
        <v>0</v>
      </c>
      <c r="P946" s="85">
        <v>270.35000000000002</v>
      </c>
      <c r="Q946" s="85">
        <v>283.87</v>
      </c>
      <c r="R946" s="85">
        <v>13.52</v>
      </c>
      <c r="S946" s="85">
        <v>283.87</v>
      </c>
      <c r="T946" s="85">
        <v>0</v>
      </c>
      <c r="U946" s="82"/>
      <c r="V946" s="82" t="s">
        <v>3399</v>
      </c>
      <c r="W946" s="82" t="s">
        <v>3395</v>
      </c>
      <c r="X946" s="82" t="s">
        <v>3394</v>
      </c>
      <c r="Y946" s="82" t="s">
        <v>3393</v>
      </c>
    </row>
    <row r="947" spans="1:25" ht="10.9" customHeight="1" x14ac:dyDescent="0.2">
      <c r="A947" s="82" t="s">
        <v>3145</v>
      </c>
      <c r="B947" s="82" t="s">
        <v>316</v>
      </c>
      <c r="C947" s="83">
        <v>45912</v>
      </c>
      <c r="D947" s="83">
        <v>45942</v>
      </c>
      <c r="E947" s="83">
        <v>45942</v>
      </c>
      <c r="F947" s="83">
        <v>45947</v>
      </c>
      <c r="G947" s="83">
        <v>45912</v>
      </c>
      <c r="H947" s="82" t="s">
        <v>718</v>
      </c>
      <c r="I947" s="82" t="s">
        <v>22</v>
      </c>
      <c r="J947" s="84">
        <v>0</v>
      </c>
      <c r="K947" s="85">
        <v>7603.02</v>
      </c>
      <c r="L947" s="85">
        <v>7983.18</v>
      </c>
      <c r="M947" s="85">
        <v>380.16</v>
      </c>
      <c r="N947" s="85">
        <v>7983.18</v>
      </c>
      <c r="O947" s="85">
        <v>0</v>
      </c>
      <c r="P947" s="85">
        <v>7603.02</v>
      </c>
      <c r="Q947" s="85">
        <v>7983.18</v>
      </c>
      <c r="R947" s="85">
        <v>380.16</v>
      </c>
      <c r="S947" s="85">
        <v>7983.18</v>
      </c>
      <c r="T947" s="85">
        <v>0</v>
      </c>
      <c r="U947" s="82"/>
      <c r="V947" s="82" t="s">
        <v>3399</v>
      </c>
      <c r="W947" s="82" t="s">
        <v>3395</v>
      </c>
      <c r="X947" s="82" t="s">
        <v>3394</v>
      </c>
      <c r="Y947" s="82" t="s">
        <v>3393</v>
      </c>
    </row>
    <row r="948" spans="1:25" ht="10.9" customHeight="1" x14ac:dyDescent="0.2">
      <c r="A948" s="82"/>
      <c r="B948" s="82" t="s">
        <v>149</v>
      </c>
      <c r="C948" s="83">
        <v>45913</v>
      </c>
      <c r="D948" s="83">
        <v>45913</v>
      </c>
      <c r="E948" s="83">
        <v>45913</v>
      </c>
      <c r="F948" s="83">
        <v>45913</v>
      </c>
      <c r="G948" s="83">
        <v>45916</v>
      </c>
      <c r="H948" s="82"/>
      <c r="I948" s="82" t="s">
        <v>51</v>
      </c>
      <c r="J948" s="84">
        <v>0.72206300000000001</v>
      </c>
      <c r="K948" s="85">
        <v>-662.76</v>
      </c>
      <c r="L948" s="85">
        <v>-662.76</v>
      </c>
      <c r="M948" s="85">
        <v>0</v>
      </c>
      <c r="N948" s="85">
        <v>-662.76</v>
      </c>
      <c r="O948" s="85">
        <v>0</v>
      </c>
      <c r="P948" s="85">
        <v>-917.87004735043888</v>
      </c>
      <c r="Q948" s="85">
        <v>-917.87004735043888</v>
      </c>
      <c r="R948" s="85">
        <v>0</v>
      </c>
      <c r="S948" s="85">
        <v>-917.87</v>
      </c>
      <c r="T948" s="85">
        <v>0</v>
      </c>
      <c r="U948" s="82"/>
      <c r="V948" s="82" t="s">
        <v>3399</v>
      </c>
      <c r="W948" s="82" t="s">
        <v>3423</v>
      </c>
      <c r="X948" s="82" t="s">
        <v>3397</v>
      </c>
      <c r="Y948" s="82"/>
    </row>
    <row r="949" spans="1:25" ht="10.9" customHeight="1" x14ac:dyDescent="0.2">
      <c r="A949" s="82" t="s">
        <v>3175</v>
      </c>
      <c r="B949" s="82" t="s">
        <v>3424</v>
      </c>
      <c r="C949" s="83">
        <v>45915</v>
      </c>
      <c r="D949" s="83">
        <v>45945</v>
      </c>
      <c r="E949" s="83">
        <v>45945</v>
      </c>
      <c r="F949" s="83">
        <v>45959</v>
      </c>
      <c r="G949" s="83">
        <v>45915</v>
      </c>
      <c r="H949" s="82" t="s">
        <v>661</v>
      </c>
      <c r="I949" s="82" t="s">
        <v>51</v>
      </c>
      <c r="J949" s="84">
        <v>0.72560500000000006</v>
      </c>
      <c r="K949" s="85">
        <v>453</v>
      </c>
      <c r="L949" s="85">
        <v>453</v>
      </c>
      <c r="M949" s="85">
        <v>0</v>
      </c>
      <c r="N949" s="85">
        <v>453</v>
      </c>
      <c r="O949" s="85">
        <v>0</v>
      </c>
      <c r="P949" s="85">
        <v>624.30661310216988</v>
      </c>
      <c r="Q949" s="85">
        <v>624.30661310216988</v>
      </c>
      <c r="R949" s="85">
        <v>0</v>
      </c>
      <c r="S949" s="85">
        <v>629.70190000000002</v>
      </c>
      <c r="T949" s="85">
        <v>0</v>
      </c>
      <c r="U949" s="82"/>
      <c r="V949" s="82" t="s">
        <v>3399</v>
      </c>
      <c r="W949" s="82" t="s">
        <v>3395</v>
      </c>
      <c r="X949" s="82" t="s">
        <v>3394</v>
      </c>
      <c r="Y949" s="82" t="s">
        <v>3393</v>
      </c>
    </row>
    <row r="950" spans="1:25" ht="10.9" customHeight="1" x14ac:dyDescent="0.2">
      <c r="A950" s="82" t="s">
        <v>2704</v>
      </c>
      <c r="B950" s="82" t="s">
        <v>129</v>
      </c>
      <c r="C950" s="83">
        <v>45915</v>
      </c>
      <c r="D950" s="83">
        <v>45945</v>
      </c>
      <c r="E950" s="83">
        <v>45945</v>
      </c>
      <c r="F950" s="82"/>
      <c r="G950" s="83">
        <v>45915</v>
      </c>
      <c r="H950" s="82" t="s">
        <v>3460</v>
      </c>
      <c r="I950" s="82" t="s">
        <v>51</v>
      </c>
      <c r="J950" s="84">
        <v>0.72560500000000006</v>
      </c>
      <c r="K950" s="85">
        <v>15492</v>
      </c>
      <c r="L950" s="85">
        <v>15492</v>
      </c>
      <c r="M950" s="85">
        <v>0</v>
      </c>
      <c r="N950" s="85">
        <v>0</v>
      </c>
      <c r="O950" s="85">
        <v>15492</v>
      </c>
      <c r="P950" s="85">
        <v>21350.459271917916</v>
      </c>
      <c r="Q950" s="85">
        <v>21350.459271917916</v>
      </c>
      <c r="R950" s="85">
        <v>0</v>
      </c>
      <c r="S950" s="85">
        <v>0</v>
      </c>
      <c r="T950" s="85">
        <v>21261.53</v>
      </c>
      <c r="U950" s="82" t="s">
        <v>3401</v>
      </c>
      <c r="V950" s="82" t="s">
        <v>3396</v>
      </c>
      <c r="W950" s="82" t="s">
        <v>3395</v>
      </c>
      <c r="X950" s="82" t="s">
        <v>3394</v>
      </c>
      <c r="Y950" s="82" t="s">
        <v>3393</v>
      </c>
    </row>
    <row r="951" spans="1:25" ht="10.9" customHeight="1" x14ac:dyDescent="0.2">
      <c r="A951" s="82" t="s">
        <v>3173</v>
      </c>
      <c r="B951" s="82" t="s">
        <v>192</v>
      </c>
      <c r="C951" s="83">
        <v>45915</v>
      </c>
      <c r="D951" s="83">
        <v>45945</v>
      </c>
      <c r="E951" s="83">
        <v>45945</v>
      </c>
      <c r="F951" s="83">
        <v>45965</v>
      </c>
      <c r="G951" s="83">
        <v>45915</v>
      </c>
      <c r="H951" s="82" t="s">
        <v>665</v>
      </c>
      <c r="I951" s="82" t="s">
        <v>51</v>
      </c>
      <c r="J951" s="84">
        <v>0.72614299999999998</v>
      </c>
      <c r="K951" s="85">
        <v>1601.74</v>
      </c>
      <c r="L951" s="85">
        <v>1601.74</v>
      </c>
      <c r="M951" s="85">
        <v>0</v>
      </c>
      <c r="N951" s="85">
        <v>1601.74</v>
      </c>
      <c r="O951" s="85">
        <v>0</v>
      </c>
      <c r="P951" s="85">
        <v>2205.8189640332553</v>
      </c>
      <c r="Q951" s="85">
        <v>2205.8189640332553</v>
      </c>
      <c r="R951" s="85">
        <v>0</v>
      </c>
      <c r="S951" s="85">
        <v>2257.4281000000001</v>
      </c>
      <c r="T951" s="85">
        <v>0</v>
      </c>
      <c r="U951" s="82"/>
      <c r="V951" s="82" t="s">
        <v>3399</v>
      </c>
      <c r="W951" s="82" t="s">
        <v>3395</v>
      </c>
      <c r="X951" s="82" t="s">
        <v>3394</v>
      </c>
      <c r="Y951" s="82" t="s">
        <v>3393</v>
      </c>
    </row>
    <row r="952" spans="1:25" ht="10.9" customHeight="1" x14ac:dyDescent="0.2">
      <c r="A952" s="82" t="s">
        <v>3162</v>
      </c>
      <c r="B952" s="82" t="s">
        <v>684</v>
      </c>
      <c r="C952" s="83">
        <v>45915</v>
      </c>
      <c r="D952" s="83">
        <v>45975</v>
      </c>
      <c r="E952" s="83">
        <v>45975</v>
      </c>
      <c r="F952" s="83">
        <v>45974</v>
      </c>
      <c r="G952" s="83">
        <v>45915</v>
      </c>
      <c r="H952" s="82" t="s">
        <v>683</v>
      </c>
      <c r="I952" s="82" t="s">
        <v>22</v>
      </c>
      <c r="J952" s="84">
        <v>0</v>
      </c>
      <c r="K952" s="85">
        <v>9022.9</v>
      </c>
      <c r="L952" s="85">
        <v>9474.0499999999993</v>
      </c>
      <c r="M952" s="85">
        <v>451.15</v>
      </c>
      <c r="N952" s="85">
        <v>9474.0499999999993</v>
      </c>
      <c r="O952" s="85">
        <v>0</v>
      </c>
      <c r="P952" s="85">
        <v>9022.9</v>
      </c>
      <c r="Q952" s="85">
        <v>9474.0499999999993</v>
      </c>
      <c r="R952" s="85">
        <v>451.15</v>
      </c>
      <c r="S952" s="85">
        <v>9474.0499999999993</v>
      </c>
      <c r="T952" s="85">
        <v>0</v>
      </c>
      <c r="U952" s="82"/>
      <c r="V952" s="82" t="s">
        <v>3399</v>
      </c>
      <c r="W952" s="82" t="s">
        <v>3395</v>
      </c>
      <c r="X952" s="82" t="s">
        <v>3394</v>
      </c>
      <c r="Y952" s="82" t="s">
        <v>3393</v>
      </c>
    </row>
    <row r="953" spans="1:25" ht="10.9" customHeight="1" x14ac:dyDescent="0.2">
      <c r="A953" s="82" t="s">
        <v>3161</v>
      </c>
      <c r="B953" s="82" t="s">
        <v>86</v>
      </c>
      <c r="C953" s="83">
        <v>45915</v>
      </c>
      <c r="D953" s="83">
        <v>45945</v>
      </c>
      <c r="E953" s="83">
        <v>45945</v>
      </c>
      <c r="F953" s="83">
        <v>45945</v>
      </c>
      <c r="G953" s="83">
        <v>45915</v>
      </c>
      <c r="H953" s="82" t="s">
        <v>686</v>
      </c>
      <c r="I953" s="82" t="s">
        <v>22</v>
      </c>
      <c r="J953" s="84">
        <v>0</v>
      </c>
      <c r="K953" s="85">
        <v>112.54</v>
      </c>
      <c r="L953" s="85">
        <v>127.17</v>
      </c>
      <c r="M953" s="85">
        <v>14.63</v>
      </c>
      <c r="N953" s="85">
        <v>127.17</v>
      </c>
      <c r="O953" s="85">
        <v>0</v>
      </c>
      <c r="P953" s="85">
        <v>112.54</v>
      </c>
      <c r="Q953" s="85">
        <v>127.17</v>
      </c>
      <c r="R953" s="85">
        <v>14.63</v>
      </c>
      <c r="S953" s="85">
        <v>127.17</v>
      </c>
      <c r="T953" s="85">
        <v>0</v>
      </c>
      <c r="U953" s="82"/>
      <c r="V953" s="82" t="s">
        <v>3399</v>
      </c>
      <c r="W953" s="82" t="s">
        <v>3395</v>
      </c>
      <c r="X953" s="82" t="s">
        <v>3394</v>
      </c>
      <c r="Y953" s="82" t="s">
        <v>3393</v>
      </c>
    </row>
    <row r="954" spans="1:25" ht="10.9" customHeight="1" x14ac:dyDescent="0.2">
      <c r="A954" s="82" t="s">
        <v>3180</v>
      </c>
      <c r="B954" s="82" t="s">
        <v>146</v>
      </c>
      <c r="C954" s="83">
        <v>45915</v>
      </c>
      <c r="D954" s="83">
        <v>45945</v>
      </c>
      <c r="E954" s="83">
        <v>45945</v>
      </c>
      <c r="F954" s="83">
        <v>45946</v>
      </c>
      <c r="G954" s="83">
        <v>45915</v>
      </c>
      <c r="H954" s="82" t="s">
        <v>650</v>
      </c>
      <c r="I954" s="82" t="s">
        <v>22</v>
      </c>
      <c r="J954" s="84">
        <v>0</v>
      </c>
      <c r="K954" s="85">
        <v>48</v>
      </c>
      <c r="L954" s="85">
        <v>50.4</v>
      </c>
      <c r="M954" s="85">
        <v>2.4</v>
      </c>
      <c r="N954" s="85">
        <v>50.4</v>
      </c>
      <c r="O954" s="85">
        <v>0</v>
      </c>
      <c r="P954" s="85">
        <v>48</v>
      </c>
      <c r="Q954" s="85">
        <v>50.4</v>
      </c>
      <c r="R954" s="85">
        <v>2.4</v>
      </c>
      <c r="S954" s="85">
        <v>50.4</v>
      </c>
      <c r="T954" s="85">
        <v>0</v>
      </c>
      <c r="U954" s="82"/>
      <c r="V954" s="82" t="s">
        <v>3399</v>
      </c>
      <c r="W954" s="82" t="s">
        <v>3395</v>
      </c>
      <c r="X954" s="82" t="s">
        <v>3394</v>
      </c>
      <c r="Y954" s="82" t="s">
        <v>3393</v>
      </c>
    </row>
    <row r="955" spans="1:25" ht="10.9" customHeight="1" x14ac:dyDescent="0.2">
      <c r="A955" s="82" t="s">
        <v>3176</v>
      </c>
      <c r="B955" s="82" t="s">
        <v>146</v>
      </c>
      <c r="C955" s="83">
        <v>45915</v>
      </c>
      <c r="D955" s="83">
        <v>45945</v>
      </c>
      <c r="E955" s="83">
        <v>45945</v>
      </c>
      <c r="F955" s="83">
        <v>45946</v>
      </c>
      <c r="G955" s="83">
        <v>45915</v>
      </c>
      <c r="H955" s="82" t="s">
        <v>659</v>
      </c>
      <c r="I955" s="82" t="s">
        <v>22</v>
      </c>
      <c r="J955" s="84">
        <v>0</v>
      </c>
      <c r="K955" s="85">
        <v>102.81</v>
      </c>
      <c r="L955" s="85">
        <v>107.95</v>
      </c>
      <c r="M955" s="85">
        <v>5.14</v>
      </c>
      <c r="N955" s="85">
        <v>107.95</v>
      </c>
      <c r="O955" s="85">
        <v>0</v>
      </c>
      <c r="P955" s="85">
        <v>102.81</v>
      </c>
      <c r="Q955" s="85">
        <v>107.95</v>
      </c>
      <c r="R955" s="85">
        <v>5.14</v>
      </c>
      <c r="S955" s="85">
        <v>107.95</v>
      </c>
      <c r="T955" s="85">
        <v>0</v>
      </c>
      <c r="U955" s="82"/>
      <c r="V955" s="82" t="s">
        <v>3399</v>
      </c>
      <c r="W955" s="82" t="s">
        <v>3395</v>
      </c>
      <c r="X955" s="82" t="s">
        <v>3394</v>
      </c>
      <c r="Y955" s="82" t="s">
        <v>3393</v>
      </c>
    </row>
    <row r="956" spans="1:25" ht="10.9" customHeight="1" x14ac:dyDescent="0.2">
      <c r="A956" s="82" t="s">
        <v>3170</v>
      </c>
      <c r="B956" s="82" t="s">
        <v>98</v>
      </c>
      <c r="C956" s="83">
        <v>45917</v>
      </c>
      <c r="D956" s="83">
        <v>45947</v>
      </c>
      <c r="E956" s="83">
        <v>45947</v>
      </c>
      <c r="F956" s="83">
        <v>45959</v>
      </c>
      <c r="G956" s="83">
        <v>45917</v>
      </c>
      <c r="H956" s="82" t="s">
        <v>671</v>
      </c>
      <c r="I956" s="82" t="s">
        <v>22</v>
      </c>
      <c r="J956" s="84">
        <v>0</v>
      </c>
      <c r="K956" s="85">
        <v>2585.3000000000002</v>
      </c>
      <c r="L956" s="85">
        <v>2921.39</v>
      </c>
      <c r="M956" s="85">
        <v>336.09</v>
      </c>
      <c r="N956" s="85">
        <v>2921.39</v>
      </c>
      <c r="O956" s="85">
        <v>0</v>
      </c>
      <c r="P956" s="85">
        <v>2585.3000000000002</v>
      </c>
      <c r="Q956" s="85">
        <v>2921.39</v>
      </c>
      <c r="R956" s="85">
        <v>336.09</v>
      </c>
      <c r="S956" s="85">
        <v>2921.39</v>
      </c>
      <c r="T956" s="85">
        <v>0</v>
      </c>
      <c r="U956" s="82"/>
      <c r="V956" s="82" t="s">
        <v>3399</v>
      </c>
      <c r="W956" s="82" t="s">
        <v>3395</v>
      </c>
      <c r="X956" s="82" t="s">
        <v>3394</v>
      </c>
      <c r="Y956" s="82" t="s">
        <v>3393</v>
      </c>
    </row>
    <row r="957" spans="1:25" ht="10.9" customHeight="1" x14ac:dyDescent="0.2">
      <c r="A957" s="82" t="s">
        <v>2975</v>
      </c>
      <c r="B957" s="82" t="s">
        <v>1039</v>
      </c>
      <c r="C957" s="83">
        <v>45917</v>
      </c>
      <c r="D957" s="83">
        <v>45977</v>
      </c>
      <c r="E957" s="83">
        <v>45977</v>
      </c>
      <c r="F957" s="83">
        <v>45975</v>
      </c>
      <c r="G957" s="83">
        <v>45917</v>
      </c>
      <c r="H957" s="82" t="s">
        <v>1038</v>
      </c>
      <c r="I957" s="82" t="s">
        <v>22</v>
      </c>
      <c r="J957" s="84">
        <v>0</v>
      </c>
      <c r="K957" s="85">
        <v>2068.5</v>
      </c>
      <c r="L957" s="85">
        <v>2171.9299999999998</v>
      </c>
      <c r="M957" s="85">
        <v>103.43</v>
      </c>
      <c r="N957" s="85">
        <v>2171.9299999999998</v>
      </c>
      <c r="O957" s="85">
        <v>0</v>
      </c>
      <c r="P957" s="85">
        <v>2068.5</v>
      </c>
      <c r="Q957" s="85">
        <v>2171.9299999999998</v>
      </c>
      <c r="R957" s="85">
        <v>103.43</v>
      </c>
      <c r="S957" s="85">
        <v>2171.9299999999998</v>
      </c>
      <c r="T957" s="85">
        <v>0</v>
      </c>
      <c r="U957" s="82"/>
      <c r="V957" s="82" t="s">
        <v>3399</v>
      </c>
      <c r="W957" s="82" t="s">
        <v>3395</v>
      </c>
      <c r="X957" s="82" t="s">
        <v>3394</v>
      </c>
      <c r="Y957" s="82" t="s">
        <v>3393</v>
      </c>
    </row>
    <row r="958" spans="1:25" ht="10.9" customHeight="1" x14ac:dyDescent="0.2">
      <c r="A958" s="82" t="s">
        <v>3191</v>
      </c>
      <c r="B958" s="82" t="s">
        <v>630</v>
      </c>
      <c r="C958" s="83">
        <v>45917</v>
      </c>
      <c r="D958" s="83">
        <v>45947</v>
      </c>
      <c r="E958" s="83">
        <v>45947</v>
      </c>
      <c r="F958" s="83">
        <v>45975</v>
      </c>
      <c r="G958" s="83">
        <v>45917</v>
      </c>
      <c r="H958" s="82" t="s">
        <v>629</v>
      </c>
      <c r="I958" s="82" t="s">
        <v>22</v>
      </c>
      <c r="J958" s="84">
        <v>0</v>
      </c>
      <c r="K958" s="85">
        <v>9790.4500000000007</v>
      </c>
      <c r="L958" s="85">
        <v>10279.969999999999</v>
      </c>
      <c r="M958" s="85">
        <v>489.52</v>
      </c>
      <c r="N958" s="85">
        <v>10279.969999999999</v>
      </c>
      <c r="O958" s="85">
        <v>0</v>
      </c>
      <c r="P958" s="85">
        <v>9790.4500000000007</v>
      </c>
      <c r="Q958" s="85">
        <v>10279.969999999999</v>
      </c>
      <c r="R958" s="85">
        <v>489.52</v>
      </c>
      <c r="S958" s="85">
        <v>10279.969999999999</v>
      </c>
      <c r="T958" s="85">
        <v>0</v>
      </c>
      <c r="U958" s="82"/>
      <c r="V958" s="82" t="s">
        <v>3399</v>
      </c>
      <c r="W958" s="82" t="s">
        <v>3395</v>
      </c>
      <c r="X958" s="82" t="s">
        <v>3394</v>
      </c>
      <c r="Y958" s="82" t="s">
        <v>3393</v>
      </c>
    </row>
    <row r="959" spans="1:25" ht="10.9" customHeight="1" x14ac:dyDescent="0.2">
      <c r="A959" s="82" t="s">
        <v>3159</v>
      </c>
      <c r="B959" s="82" t="s">
        <v>694</v>
      </c>
      <c r="C959" s="83">
        <v>45917</v>
      </c>
      <c r="D959" s="83">
        <v>45947</v>
      </c>
      <c r="E959" s="83">
        <v>45947</v>
      </c>
      <c r="F959" s="83">
        <v>45965</v>
      </c>
      <c r="G959" s="83">
        <v>45917</v>
      </c>
      <c r="H959" s="82" t="s">
        <v>693</v>
      </c>
      <c r="I959" s="82" t="s">
        <v>51</v>
      </c>
      <c r="J959" s="84">
        <v>0.72599999999999998</v>
      </c>
      <c r="K959" s="85">
        <v>1651</v>
      </c>
      <c r="L959" s="85">
        <v>1651</v>
      </c>
      <c r="M959" s="85">
        <v>0</v>
      </c>
      <c r="N959" s="85">
        <v>1651</v>
      </c>
      <c r="O959" s="85">
        <v>0</v>
      </c>
      <c r="P959" s="85">
        <v>2274.1046831955923</v>
      </c>
      <c r="Q959" s="85">
        <v>2274.1046831955923</v>
      </c>
      <c r="R959" s="85">
        <v>0</v>
      </c>
      <c r="S959" s="85">
        <v>2326.8530999999998</v>
      </c>
      <c r="T959" s="85">
        <v>0</v>
      </c>
      <c r="U959" s="82"/>
      <c r="V959" s="82" t="s">
        <v>3399</v>
      </c>
      <c r="W959" s="82" t="s">
        <v>3395</v>
      </c>
      <c r="X959" s="82" t="s">
        <v>3394</v>
      </c>
      <c r="Y959" s="82" t="s">
        <v>3393</v>
      </c>
    </row>
    <row r="960" spans="1:25" ht="10.9" customHeight="1" x14ac:dyDescent="0.2">
      <c r="A960" s="82" t="s">
        <v>2989</v>
      </c>
      <c r="B960" s="82" t="s">
        <v>54</v>
      </c>
      <c r="C960" s="83">
        <v>45917</v>
      </c>
      <c r="D960" s="83">
        <v>45947</v>
      </c>
      <c r="E960" s="83">
        <v>45947</v>
      </c>
      <c r="F960" s="83">
        <v>45954</v>
      </c>
      <c r="G960" s="83">
        <v>45917</v>
      </c>
      <c r="H960" s="82" t="s">
        <v>1014</v>
      </c>
      <c r="I960" s="82" t="s">
        <v>22</v>
      </c>
      <c r="J960" s="84">
        <v>0</v>
      </c>
      <c r="K960" s="85">
        <v>1299.76</v>
      </c>
      <c r="L960" s="85">
        <v>1364.75</v>
      </c>
      <c r="M960" s="85">
        <v>64.989999999999995</v>
      </c>
      <c r="N960" s="85">
        <v>1364.75</v>
      </c>
      <c r="O960" s="85">
        <v>0</v>
      </c>
      <c r="P960" s="85">
        <v>1299.76</v>
      </c>
      <c r="Q960" s="85">
        <v>1364.75</v>
      </c>
      <c r="R960" s="85">
        <v>64.989999999999995</v>
      </c>
      <c r="S960" s="85">
        <v>1364.75</v>
      </c>
      <c r="T960" s="85">
        <v>0</v>
      </c>
      <c r="U960" s="82"/>
      <c r="V960" s="82" t="s">
        <v>3399</v>
      </c>
      <c r="W960" s="82" t="s">
        <v>3395</v>
      </c>
      <c r="X960" s="82" t="s">
        <v>3394</v>
      </c>
      <c r="Y960" s="82" t="s">
        <v>3393</v>
      </c>
    </row>
    <row r="961" spans="1:25" ht="10.9" customHeight="1" x14ac:dyDescent="0.2">
      <c r="A961" s="82" t="s">
        <v>3172</v>
      </c>
      <c r="B961" s="82" t="s">
        <v>54</v>
      </c>
      <c r="C961" s="83">
        <v>45917</v>
      </c>
      <c r="D961" s="83">
        <v>45947</v>
      </c>
      <c r="E961" s="83">
        <v>45947</v>
      </c>
      <c r="F961" s="83">
        <v>45954</v>
      </c>
      <c r="G961" s="83">
        <v>45917</v>
      </c>
      <c r="H961" s="82" t="s">
        <v>667</v>
      </c>
      <c r="I961" s="82" t="s">
        <v>22</v>
      </c>
      <c r="J961" s="84">
        <v>0</v>
      </c>
      <c r="K961" s="85">
        <v>2039.88</v>
      </c>
      <c r="L961" s="85">
        <v>2141.87</v>
      </c>
      <c r="M961" s="85">
        <v>101.99</v>
      </c>
      <c r="N961" s="85">
        <v>2141.87</v>
      </c>
      <c r="O961" s="85">
        <v>0</v>
      </c>
      <c r="P961" s="85">
        <v>2039.88</v>
      </c>
      <c r="Q961" s="85">
        <v>2141.87</v>
      </c>
      <c r="R961" s="85">
        <v>101.99</v>
      </c>
      <c r="S961" s="85">
        <v>2141.87</v>
      </c>
      <c r="T961" s="85">
        <v>0</v>
      </c>
      <c r="U961" s="82"/>
      <c r="V961" s="82" t="s">
        <v>3399</v>
      </c>
      <c r="W961" s="82" t="s">
        <v>3395</v>
      </c>
      <c r="X961" s="82" t="s">
        <v>3394</v>
      </c>
      <c r="Y961" s="82" t="s">
        <v>3393</v>
      </c>
    </row>
    <row r="962" spans="1:25" ht="10.9" customHeight="1" x14ac:dyDescent="0.2">
      <c r="A962" s="82" t="s">
        <v>3118</v>
      </c>
      <c r="B962" s="82" t="s">
        <v>54</v>
      </c>
      <c r="C962" s="83">
        <v>45917</v>
      </c>
      <c r="D962" s="83">
        <v>45947</v>
      </c>
      <c r="E962" s="83">
        <v>45947</v>
      </c>
      <c r="F962" s="83">
        <v>45954</v>
      </c>
      <c r="G962" s="83">
        <v>45917</v>
      </c>
      <c r="H962" s="82" t="s">
        <v>776</v>
      </c>
      <c r="I962" s="82" t="s">
        <v>22</v>
      </c>
      <c r="J962" s="84">
        <v>0</v>
      </c>
      <c r="K962" s="85">
        <v>1058.6400000000001</v>
      </c>
      <c r="L962" s="85">
        <v>1111.57</v>
      </c>
      <c r="M962" s="85">
        <v>52.93</v>
      </c>
      <c r="N962" s="85">
        <v>1111.57</v>
      </c>
      <c r="O962" s="85">
        <v>0</v>
      </c>
      <c r="P962" s="85">
        <v>1058.6400000000001</v>
      </c>
      <c r="Q962" s="85">
        <v>1111.57</v>
      </c>
      <c r="R962" s="85">
        <v>52.93</v>
      </c>
      <c r="S962" s="85">
        <v>1111.57</v>
      </c>
      <c r="T962" s="85">
        <v>0</v>
      </c>
      <c r="U962" s="82"/>
      <c r="V962" s="82" t="s">
        <v>3399</v>
      </c>
      <c r="W962" s="82" t="s">
        <v>3395</v>
      </c>
      <c r="X962" s="82" t="s">
        <v>3394</v>
      </c>
      <c r="Y962" s="82" t="s">
        <v>3393</v>
      </c>
    </row>
    <row r="963" spans="1:25" ht="10.9" customHeight="1" x14ac:dyDescent="0.2">
      <c r="A963" s="82" t="s">
        <v>2971</v>
      </c>
      <c r="B963" s="82" t="s">
        <v>89</v>
      </c>
      <c r="C963" s="83">
        <v>45917</v>
      </c>
      <c r="D963" s="83">
        <v>45947</v>
      </c>
      <c r="E963" s="83">
        <v>45947</v>
      </c>
      <c r="F963" s="83">
        <v>45974</v>
      </c>
      <c r="G963" s="83">
        <v>45917</v>
      </c>
      <c r="H963" s="82" t="s">
        <v>1049</v>
      </c>
      <c r="I963" s="82" t="s">
        <v>22</v>
      </c>
      <c r="J963" s="84">
        <v>0</v>
      </c>
      <c r="K963" s="85">
        <v>6931.99</v>
      </c>
      <c r="L963" s="85">
        <v>7833.15</v>
      </c>
      <c r="M963" s="85">
        <v>901.16</v>
      </c>
      <c r="N963" s="85">
        <v>7278.6</v>
      </c>
      <c r="O963" s="85">
        <v>554.54999999999995</v>
      </c>
      <c r="P963" s="85">
        <v>6931.99</v>
      </c>
      <c r="Q963" s="85">
        <v>7833.15</v>
      </c>
      <c r="R963" s="85">
        <v>901.16</v>
      </c>
      <c r="S963" s="85">
        <v>7278.6</v>
      </c>
      <c r="T963" s="85">
        <v>554.54999999999995</v>
      </c>
      <c r="U963" s="82"/>
      <c r="V963" s="82" t="s">
        <v>3396</v>
      </c>
      <c r="W963" s="82" t="s">
        <v>3395</v>
      </c>
      <c r="X963" s="82" t="s">
        <v>3394</v>
      </c>
      <c r="Y963" s="82" t="s">
        <v>3393</v>
      </c>
    </row>
    <row r="964" spans="1:25" ht="10.9" customHeight="1" x14ac:dyDescent="0.2">
      <c r="A964" s="82" t="s">
        <v>3181</v>
      </c>
      <c r="B964" s="82" t="s">
        <v>242</v>
      </c>
      <c r="C964" s="83">
        <v>45917</v>
      </c>
      <c r="D964" s="83">
        <v>45947</v>
      </c>
      <c r="E964" s="83">
        <v>45947</v>
      </c>
      <c r="F964" s="83">
        <v>45952</v>
      </c>
      <c r="G964" s="83">
        <v>45917</v>
      </c>
      <c r="H964" s="82" t="s">
        <v>648</v>
      </c>
      <c r="I964" s="82" t="s">
        <v>22</v>
      </c>
      <c r="J964" s="84">
        <v>0</v>
      </c>
      <c r="K964" s="85">
        <v>147.72999999999999</v>
      </c>
      <c r="L964" s="85">
        <v>155.12</v>
      </c>
      <c r="M964" s="85">
        <v>7.39</v>
      </c>
      <c r="N964" s="85">
        <v>155.12</v>
      </c>
      <c r="O964" s="85">
        <v>0</v>
      </c>
      <c r="P964" s="85">
        <v>147.72999999999999</v>
      </c>
      <c r="Q964" s="85">
        <v>155.12</v>
      </c>
      <c r="R964" s="85">
        <v>7.39</v>
      </c>
      <c r="S964" s="85">
        <v>155.12</v>
      </c>
      <c r="T964" s="85">
        <v>0</v>
      </c>
      <c r="U964" s="82"/>
      <c r="V964" s="82" t="s">
        <v>3399</v>
      </c>
      <c r="W964" s="82" t="s">
        <v>3395</v>
      </c>
      <c r="X964" s="82" t="s">
        <v>3394</v>
      </c>
      <c r="Y964" s="82" t="s">
        <v>3393</v>
      </c>
    </row>
    <row r="965" spans="1:25" ht="10.9" customHeight="1" x14ac:dyDescent="0.2">
      <c r="A965" s="82" t="s">
        <v>3133</v>
      </c>
      <c r="B965" s="82" t="s">
        <v>3459</v>
      </c>
      <c r="C965" s="83">
        <v>45918</v>
      </c>
      <c r="D965" s="83">
        <v>45918</v>
      </c>
      <c r="E965" s="83">
        <v>45918</v>
      </c>
      <c r="F965" s="83">
        <v>45919</v>
      </c>
      <c r="G965" s="83">
        <v>45918</v>
      </c>
      <c r="H965" s="82" t="s">
        <v>3458</v>
      </c>
      <c r="I965" s="82" t="s">
        <v>51</v>
      </c>
      <c r="J965" s="84">
        <v>0.72458999999999996</v>
      </c>
      <c r="K965" s="85">
        <v>2069.85</v>
      </c>
      <c r="L965" s="85">
        <v>2069.85</v>
      </c>
      <c r="M965" s="85">
        <v>0</v>
      </c>
      <c r="N965" s="85">
        <v>2069.85</v>
      </c>
      <c r="O965" s="85">
        <v>0</v>
      </c>
      <c r="P965" s="85">
        <v>2856.580963027367</v>
      </c>
      <c r="Q965" s="85">
        <v>2856.580963027367</v>
      </c>
      <c r="R965" s="85">
        <v>0</v>
      </c>
      <c r="S965" s="85">
        <v>2854.9852000000001</v>
      </c>
      <c r="T965" s="85">
        <v>0</v>
      </c>
      <c r="U965" s="82"/>
      <c r="V965" s="82" t="s">
        <v>3399</v>
      </c>
      <c r="W965" s="82" t="s">
        <v>3395</v>
      </c>
      <c r="X965" s="82" t="s">
        <v>3394</v>
      </c>
      <c r="Y965" s="82" t="s">
        <v>3393</v>
      </c>
    </row>
    <row r="966" spans="1:25" ht="10.9" customHeight="1" x14ac:dyDescent="0.2">
      <c r="A966" s="82" t="s">
        <v>3182</v>
      </c>
      <c r="B966" s="82" t="s">
        <v>146</v>
      </c>
      <c r="C966" s="83">
        <v>45918</v>
      </c>
      <c r="D966" s="83">
        <v>45948</v>
      </c>
      <c r="E966" s="83">
        <v>45948</v>
      </c>
      <c r="F966" s="83">
        <v>45953</v>
      </c>
      <c r="G966" s="83">
        <v>45918</v>
      </c>
      <c r="H966" s="82" t="s">
        <v>646</v>
      </c>
      <c r="I966" s="82" t="s">
        <v>22</v>
      </c>
      <c r="J966" s="84">
        <v>0</v>
      </c>
      <c r="K966" s="85">
        <v>100.58</v>
      </c>
      <c r="L966" s="85">
        <v>105.61</v>
      </c>
      <c r="M966" s="85">
        <v>5.03</v>
      </c>
      <c r="N966" s="85">
        <v>105.61</v>
      </c>
      <c r="O966" s="85">
        <v>0</v>
      </c>
      <c r="P966" s="85">
        <v>100.58</v>
      </c>
      <c r="Q966" s="85">
        <v>105.61</v>
      </c>
      <c r="R966" s="85">
        <v>5.03</v>
      </c>
      <c r="S966" s="85">
        <v>105.61</v>
      </c>
      <c r="T966" s="85">
        <v>0</v>
      </c>
      <c r="U966" s="82"/>
      <c r="V966" s="82" t="s">
        <v>3399</v>
      </c>
      <c r="W966" s="82" t="s">
        <v>3395</v>
      </c>
      <c r="X966" s="82" t="s">
        <v>3394</v>
      </c>
      <c r="Y966" s="82" t="s">
        <v>3393</v>
      </c>
    </row>
    <row r="967" spans="1:25" ht="10.9" customHeight="1" x14ac:dyDescent="0.2">
      <c r="A967" s="82" t="s">
        <v>3194</v>
      </c>
      <c r="B967" s="82" t="s">
        <v>146</v>
      </c>
      <c r="C967" s="83">
        <v>45918</v>
      </c>
      <c r="D967" s="83">
        <v>45948</v>
      </c>
      <c r="E967" s="83">
        <v>45948</v>
      </c>
      <c r="F967" s="83">
        <v>45953</v>
      </c>
      <c r="G967" s="83">
        <v>45918</v>
      </c>
      <c r="H967" s="82" t="s">
        <v>622</v>
      </c>
      <c r="I967" s="82" t="s">
        <v>22</v>
      </c>
      <c r="J967" s="84">
        <v>0</v>
      </c>
      <c r="K967" s="85">
        <v>1034.78</v>
      </c>
      <c r="L967" s="85">
        <v>1086.52</v>
      </c>
      <c r="M967" s="85">
        <v>51.74</v>
      </c>
      <c r="N967" s="85">
        <v>1086.52</v>
      </c>
      <c r="O967" s="85">
        <v>0</v>
      </c>
      <c r="P967" s="85">
        <v>1034.78</v>
      </c>
      <c r="Q967" s="85">
        <v>1086.52</v>
      </c>
      <c r="R967" s="85">
        <v>51.74</v>
      </c>
      <c r="S967" s="85">
        <v>1086.52</v>
      </c>
      <c r="T967" s="85">
        <v>0</v>
      </c>
      <c r="U967" s="82"/>
      <c r="V967" s="82" t="s">
        <v>3399</v>
      </c>
      <c r="W967" s="82" t="s">
        <v>3395</v>
      </c>
      <c r="X967" s="82" t="s">
        <v>3394</v>
      </c>
      <c r="Y967" s="82" t="s">
        <v>3393</v>
      </c>
    </row>
    <row r="968" spans="1:25" ht="10.9" customHeight="1" x14ac:dyDescent="0.2">
      <c r="A968" s="82" t="s">
        <v>3192</v>
      </c>
      <c r="B968" s="82" t="s">
        <v>54</v>
      </c>
      <c r="C968" s="83">
        <v>45918</v>
      </c>
      <c r="D968" s="83">
        <v>45948</v>
      </c>
      <c r="E968" s="83">
        <v>45948</v>
      </c>
      <c r="F968" s="83">
        <v>45954</v>
      </c>
      <c r="G968" s="83">
        <v>45918</v>
      </c>
      <c r="H968" s="82" t="s">
        <v>625</v>
      </c>
      <c r="I968" s="82" t="s">
        <v>22</v>
      </c>
      <c r="J968" s="84">
        <v>0</v>
      </c>
      <c r="K968" s="85">
        <v>2894.78</v>
      </c>
      <c r="L968" s="85">
        <v>3039.52</v>
      </c>
      <c r="M968" s="85">
        <v>144.74</v>
      </c>
      <c r="N968" s="85">
        <v>3039.52</v>
      </c>
      <c r="O968" s="85">
        <v>0</v>
      </c>
      <c r="P968" s="85">
        <v>2894.78</v>
      </c>
      <c r="Q968" s="85">
        <v>3039.52</v>
      </c>
      <c r="R968" s="85">
        <v>144.74</v>
      </c>
      <c r="S968" s="85">
        <v>3039.52</v>
      </c>
      <c r="T968" s="85">
        <v>0</v>
      </c>
      <c r="U968" s="82"/>
      <c r="V968" s="82" t="s">
        <v>3399</v>
      </c>
      <c r="W968" s="82" t="s">
        <v>3395</v>
      </c>
      <c r="X968" s="82" t="s">
        <v>3394</v>
      </c>
      <c r="Y968" s="82" t="s">
        <v>3393</v>
      </c>
    </row>
    <row r="969" spans="1:25" ht="10.9" customHeight="1" x14ac:dyDescent="0.2">
      <c r="A969" s="82" t="s">
        <v>3104</v>
      </c>
      <c r="B969" s="82" t="s">
        <v>149</v>
      </c>
      <c r="C969" s="83">
        <v>45919</v>
      </c>
      <c r="D969" s="83">
        <v>45949</v>
      </c>
      <c r="E969" s="83">
        <v>45949</v>
      </c>
      <c r="F969" s="83">
        <v>45965</v>
      </c>
      <c r="G969" s="83">
        <v>45919</v>
      </c>
      <c r="H969" s="82" t="s">
        <v>801</v>
      </c>
      <c r="I969" s="82" t="s">
        <v>51</v>
      </c>
      <c r="J969" s="84">
        <v>0.72499499999999995</v>
      </c>
      <c r="K969" s="85">
        <v>2638.1</v>
      </c>
      <c r="L969" s="85">
        <v>2638.1</v>
      </c>
      <c r="M969" s="85">
        <v>0</v>
      </c>
      <c r="N969" s="85">
        <v>2638.1</v>
      </c>
      <c r="O969" s="85">
        <v>0</v>
      </c>
      <c r="P969" s="85">
        <v>3638.7837157497638</v>
      </c>
      <c r="Q969" s="85">
        <v>3638.7837157497638</v>
      </c>
      <c r="R969" s="85">
        <v>0</v>
      </c>
      <c r="S969" s="85">
        <v>3718.0322000000001</v>
      </c>
      <c r="T969" s="85">
        <v>0</v>
      </c>
      <c r="U969" s="82"/>
      <c r="V969" s="82" t="s">
        <v>3399</v>
      </c>
      <c r="W969" s="82" t="s">
        <v>3395</v>
      </c>
      <c r="X969" s="82" t="s">
        <v>3394</v>
      </c>
      <c r="Y969" s="82" t="s">
        <v>3393</v>
      </c>
    </row>
    <row r="970" spans="1:25" ht="10.9" customHeight="1" x14ac:dyDescent="0.2">
      <c r="A970" s="82" t="s">
        <v>2877</v>
      </c>
      <c r="B970" s="82" t="s">
        <v>149</v>
      </c>
      <c r="C970" s="83">
        <v>45919</v>
      </c>
      <c r="D970" s="83">
        <v>45949</v>
      </c>
      <c r="E970" s="83">
        <v>45949</v>
      </c>
      <c r="F970" s="83">
        <v>45965</v>
      </c>
      <c r="G970" s="83">
        <v>45919</v>
      </c>
      <c r="H970" s="82" t="s">
        <v>1206</v>
      </c>
      <c r="I970" s="82" t="s">
        <v>51</v>
      </c>
      <c r="J970" s="84">
        <v>0.72499499999999995</v>
      </c>
      <c r="K970" s="85">
        <v>2011.56</v>
      </c>
      <c r="L970" s="85">
        <v>2011.56</v>
      </c>
      <c r="M970" s="85">
        <v>0</v>
      </c>
      <c r="N970" s="85">
        <v>2011.56</v>
      </c>
      <c r="O970" s="85">
        <v>0</v>
      </c>
      <c r="P970" s="85">
        <v>2774.5846523079467</v>
      </c>
      <c r="Q970" s="85">
        <v>2774.5846523079467</v>
      </c>
      <c r="R970" s="85">
        <v>0</v>
      </c>
      <c r="S970" s="85">
        <v>2835.0119</v>
      </c>
      <c r="T970" s="85">
        <v>0</v>
      </c>
      <c r="U970" s="82"/>
      <c r="V970" s="82" t="s">
        <v>3399</v>
      </c>
      <c r="W970" s="82" t="s">
        <v>3395</v>
      </c>
      <c r="X970" s="82" t="s">
        <v>3394</v>
      </c>
      <c r="Y970" s="82" t="s">
        <v>3393</v>
      </c>
    </row>
    <row r="971" spans="1:25" ht="10.9" customHeight="1" x14ac:dyDescent="0.2">
      <c r="A971" s="82" t="s">
        <v>3190</v>
      </c>
      <c r="B971" s="82" t="s">
        <v>64</v>
      </c>
      <c r="C971" s="83">
        <v>45919</v>
      </c>
      <c r="D971" s="83">
        <v>45949</v>
      </c>
      <c r="E971" s="83">
        <v>45949</v>
      </c>
      <c r="F971" s="83">
        <v>45973</v>
      </c>
      <c r="G971" s="83">
        <v>45919</v>
      </c>
      <c r="H971" s="82" t="s">
        <v>632</v>
      </c>
      <c r="I971" s="82" t="s">
        <v>22</v>
      </c>
      <c r="J971" s="84">
        <v>0</v>
      </c>
      <c r="K971" s="85">
        <v>354.06</v>
      </c>
      <c r="L971" s="85">
        <v>400.09</v>
      </c>
      <c r="M971" s="85">
        <v>46.03</v>
      </c>
      <c r="N971" s="85">
        <v>400.09</v>
      </c>
      <c r="O971" s="85">
        <v>0</v>
      </c>
      <c r="P971" s="85">
        <v>354.06</v>
      </c>
      <c r="Q971" s="85">
        <v>400.09</v>
      </c>
      <c r="R971" s="85">
        <v>46.03</v>
      </c>
      <c r="S971" s="85">
        <v>400.09</v>
      </c>
      <c r="T971" s="85">
        <v>0</v>
      </c>
      <c r="U971" s="82"/>
      <c r="V971" s="82" t="s">
        <v>3399</v>
      </c>
      <c r="W971" s="82" t="s">
        <v>3395</v>
      </c>
      <c r="X971" s="82" t="s">
        <v>3394</v>
      </c>
      <c r="Y971" s="82" t="s">
        <v>3393</v>
      </c>
    </row>
    <row r="972" spans="1:25" ht="10.9" customHeight="1" x14ac:dyDescent="0.2">
      <c r="A972" s="82" t="s">
        <v>3152</v>
      </c>
      <c r="B972" s="82" t="s">
        <v>64</v>
      </c>
      <c r="C972" s="83">
        <v>45919</v>
      </c>
      <c r="D972" s="83">
        <v>45949</v>
      </c>
      <c r="E972" s="83">
        <v>45949</v>
      </c>
      <c r="F972" s="83">
        <v>45973</v>
      </c>
      <c r="G972" s="83">
        <v>45919</v>
      </c>
      <c r="H972" s="82" t="s">
        <v>704</v>
      </c>
      <c r="I972" s="82" t="s">
        <v>22</v>
      </c>
      <c r="J972" s="84">
        <v>0</v>
      </c>
      <c r="K972" s="85">
        <v>255.35</v>
      </c>
      <c r="L972" s="85">
        <v>288.55</v>
      </c>
      <c r="M972" s="85">
        <v>33.200000000000003</v>
      </c>
      <c r="N972" s="85">
        <v>288.55</v>
      </c>
      <c r="O972" s="85">
        <v>0</v>
      </c>
      <c r="P972" s="85">
        <v>255.35</v>
      </c>
      <c r="Q972" s="85">
        <v>288.55</v>
      </c>
      <c r="R972" s="85">
        <v>33.200000000000003</v>
      </c>
      <c r="S972" s="85">
        <v>288.55</v>
      </c>
      <c r="T972" s="85">
        <v>0</v>
      </c>
      <c r="U972" s="82"/>
      <c r="V972" s="82" t="s">
        <v>3399</v>
      </c>
      <c r="W972" s="82" t="s">
        <v>3395</v>
      </c>
      <c r="X972" s="82" t="s">
        <v>3394</v>
      </c>
      <c r="Y972" s="82" t="s">
        <v>3393</v>
      </c>
    </row>
    <row r="973" spans="1:25" ht="10.9" customHeight="1" x14ac:dyDescent="0.2">
      <c r="A973" s="82" t="s">
        <v>3139</v>
      </c>
      <c r="B973" s="82" t="s">
        <v>3457</v>
      </c>
      <c r="C973" s="83">
        <v>45919</v>
      </c>
      <c r="D973" s="83">
        <v>45949</v>
      </c>
      <c r="E973" s="83">
        <v>45949</v>
      </c>
      <c r="F973" s="83">
        <v>45947</v>
      </c>
      <c r="G973" s="83">
        <v>45919</v>
      </c>
      <c r="H973" s="82" t="s">
        <v>727</v>
      </c>
      <c r="I973" s="82" t="s">
        <v>22</v>
      </c>
      <c r="J973" s="84">
        <v>0</v>
      </c>
      <c r="K973" s="85">
        <v>2576.7199999999998</v>
      </c>
      <c r="L973" s="85">
        <v>2911.69</v>
      </c>
      <c r="M973" s="85">
        <v>334.97</v>
      </c>
      <c r="N973" s="85">
        <v>2911.69</v>
      </c>
      <c r="O973" s="85">
        <v>0</v>
      </c>
      <c r="P973" s="85">
        <v>2576.7199999999998</v>
      </c>
      <c r="Q973" s="85">
        <v>2911.69</v>
      </c>
      <c r="R973" s="85">
        <v>334.97</v>
      </c>
      <c r="S973" s="85">
        <v>2911.69</v>
      </c>
      <c r="T973" s="85">
        <v>0</v>
      </c>
      <c r="U973" s="82"/>
      <c r="V973" s="82" t="s">
        <v>3399</v>
      </c>
      <c r="W973" s="82" t="s">
        <v>3395</v>
      </c>
      <c r="X973" s="82" t="s">
        <v>3394</v>
      </c>
      <c r="Y973" s="82" t="s">
        <v>3393</v>
      </c>
    </row>
    <row r="974" spans="1:25" ht="10.9" customHeight="1" x14ac:dyDescent="0.2">
      <c r="A974" s="82" t="s">
        <v>3186</v>
      </c>
      <c r="B974" s="82" t="s">
        <v>20</v>
      </c>
      <c r="C974" s="83">
        <v>45919</v>
      </c>
      <c r="D974" s="83">
        <v>45979</v>
      </c>
      <c r="E974" s="83">
        <v>45979</v>
      </c>
      <c r="F974" s="83">
        <v>45979</v>
      </c>
      <c r="G974" s="83">
        <v>45919</v>
      </c>
      <c r="H974" s="82" t="s">
        <v>638</v>
      </c>
      <c r="I974" s="82" t="s">
        <v>22</v>
      </c>
      <c r="J974" s="84">
        <v>0</v>
      </c>
      <c r="K974" s="85">
        <v>103.9</v>
      </c>
      <c r="L974" s="85">
        <v>109.1</v>
      </c>
      <c r="M974" s="85">
        <v>5.2</v>
      </c>
      <c r="N974" s="85">
        <v>109.1</v>
      </c>
      <c r="O974" s="85">
        <v>0</v>
      </c>
      <c r="P974" s="85">
        <v>103.9</v>
      </c>
      <c r="Q974" s="85">
        <v>109.1</v>
      </c>
      <c r="R974" s="85">
        <v>5.2</v>
      </c>
      <c r="S974" s="85">
        <v>109.1</v>
      </c>
      <c r="T974" s="85">
        <v>0</v>
      </c>
      <c r="U974" s="82"/>
      <c r="V974" s="82" t="s">
        <v>3399</v>
      </c>
      <c r="W974" s="82" t="s">
        <v>3395</v>
      </c>
      <c r="X974" s="82" t="s">
        <v>3394</v>
      </c>
      <c r="Y974" s="82" t="s">
        <v>3393</v>
      </c>
    </row>
    <row r="975" spans="1:25" ht="10.9" customHeight="1" x14ac:dyDescent="0.2">
      <c r="A975" s="82" t="s">
        <v>3185</v>
      </c>
      <c r="B975" s="82" t="s">
        <v>20</v>
      </c>
      <c r="C975" s="83">
        <v>45919</v>
      </c>
      <c r="D975" s="83">
        <v>45979</v>
      </c>
      <c r="E975" s="83">
        <v>45979</v>
      </c>
      <c r="F975" s="83">
        <v>45979</v>
      </c>
      <c r="G975" s="83">
        <v>45919</v>
      </c>
      <c r="H975" s="82" t="s">
        <v>640</v>
      </c>
      <c r="I975" s="82" t="s">
        <v>22</v>
      </c>
      <c r="J975" s="84">
        <v>0</v>
      </c>
      <c r="K975" s="85">
        <v>716.65</v>
      </c>
      <c r="L975" s="85">
        <v>752.49</v>
      </c>
      <c r="M975" s="85">
        <v>35.840000000000003</v>
      </c>
      <c r="N975" s="85">
        <v>752.49</v>
      </c>
      <c r="O975" s="85">
        <v>0</v>
      </c>
      <c r="P975" s="85">
        <v>716.65</v>
      </c>
      <c r="Q975" s="85">
        <v>752.49</v>
      </c>
      <c r="R975" s="85">
        <v>35.840000000000003</v>
      </c>
      <c r="S975" s="85">
        <v>752.49</v>
      </c>
      <c r="T975" s="85">
        <v>0</v>
      </c>
      <c r="U975" s="82"/>
      <c r="V975" s="82" t="s">
        <v>3399</v>
      </c>
      <c r="W975" s="82" t="s">
        <v>3395</v>
      </c>
      <c r="X975" s="82" t="s">
        <v>3394</v>
      </c>
      <c r="Y975" s="82" t="s">
        <v>3393</v>
      </c>
    </row>
    <row r="976" spans="1:25" ht="10.9" customHeight="1" x14ac:dyDescent="0.2">
      <c r="A976" s="82" t="s">
        <v>3196</v>
      </c>
      <c r="B976" s="82" t="s">
        <v>242</v>
      </c>
      <c r="C976" s="83">
        <v>45919</v>
      </c>
      <c r="D976" s="83">
        <v>45949</v>
      </c>
      <c r="E976" s="83">
        <v>45949</v>
      </c>
      <c r="F976" s="83">
        <v>45952</v>
      </c>
      <c r="G976" s="83">
        <v>45919</v>
      </c>
      <c r="H976" s="82" t="s">
        <v>618</v>
      </c>
      <c r="I976" s="82" t="s">
        <v>22</v>
      </c>
      <c r="J976" s="84">
        <v>0</v>
      </c>
      <c r="K976" s="85">
        <v>116.98</v>
      </c>
      <c r="L976" s="85">
        <v>122.83</v>
      </c>
      <c r="M976" s="85">
        <v>5.85</v>
      </c>
      <c r="N976" s="85">
        <v>122.83</v>
      </c>
      <c r="O976" s="85">
        <v>0</v>
      </c>
      <c r="P976" s="85">
        <v>116.98</v>
      </c>
      <c r="Q976" s="85">
        <v>122.83</v>
      </c>
      <c r="R976" s="85">
        <v>5.85</v>
      </c>
      <c r="S976" s="85">
        <v>122.83</v>
      </c>
      <c r="T976" s="85">
        <v>0</v>
      </c>
      <c r="U976" s="82"/>
      <c r="V976" s="82" t="s">
        <v>3399</v>
      </c>
      <c r="W976" s="82" t="s">
        <v>3395</v>
      </c>
      <c r="X976" s="82" t="s">
        <v>3394</v>
      </c>
      <c r="Y976" s="82" t="s">
        <v>3393</v>
      </c>
    </row>
    <row r="977" spans="1:25" ht="10.9" customHeight="1" x14ac:dyDescent="0.2">
      <c r="A977" s="82" t="s">
        <v>3195</v>
      </c>
      <c r="B977" s="82" t="s">
        <v>77</v>
      </c>
      <c r="C977" s="83">
        <v>45919</v>
      </c>
      <c r="D977" s="83">
        <v>45949</v>
      </c>
      <c r="E977" s="83">
        <v>45949</v>
      </c>
      <c r="F977" s="83">
        <v>45940</v>
      </c>
      <c r="G977" s="83">
        <v>45919</v>
      </c>
      <c r="H977" s="82" t="s">
        <v>620</v>
      </c>
      <c r="I977" s="82" t="s">
        <v>22</v>
      </c>
      <c r="J977" s="84">
        <v>0</v>
      </c>
      <c r="K977" s="85">
        <v>279.5</v>
      </c>
      <c r="L977" s="85">
        <v>315.83999999999997</v>
      </c>
      <c r="M977" s="85">
        <v>36.340000000000003</v>
      </c>
      <c r="N977" s="85">
        <v>315.83999999999997</v>
      </c>
      <c r="O977" s="85">
        <v>0</v>
      </c>
      <c r="P977" s="85">
        <v>279.5</v>
      </c>
      <c r="Q977" s="85">
        <v>315.83999999999997</v>
      </c>
      <c r="R977" s="85">
        <v>36.340000000000003</v>
      </c>
      <c r="S977" s="85">
        <v>315.83999999999997</v>
      </c>
      <c r="T977" s="85">
        <v>0</v>
      </c>
      <c r="U977" s="82"/>
      <c r="V977" s="82" t="s">
        <v>3399</v>
      </c>
      <c r="W977" s="82" t="s">
        <v>3395</v>
      </c>
      <c r="X977" s="82" t="s">
        <v>3394</v>
      </c>
      <c r="Y977" s="82" t="s">
        <v>3393</v>
      </c>
    </row>
    <row r="978" spans="1:25" ht="10.9" customHeight="1" x14ac:dyDescent="0.2">
      <c r="A978" s="82" t="s">
        <v>3146</v>
      </c>
      <c r="B978" s="82" t="s">
        <v>714</v>
      </c>
      <c r="C978" s="83">
        <v>45922</v>
      </c>
      <c r="D978" s="83">
        <v>45952</v>
      </c>
      <c r="E978" s="83">
        <v>45952</v>
      </c>
      <c r="F978" s="83">
        <v>45926</v>
      </c>
      <c r="G978" s="83">
        <v>45922</v>
      </c>
      <c r="H978" s="82" t="s">
        <v>716</v>
      </c>
      <c r="I978" s="82" t="s">
        <v>51</v>
      </c>
      <c r="J978" s="84">
        <v>0.72380900000000004</v>
      </c>
      <c r="K978" s="85">
        <v>86619.66</v>
      </c>
      <c r="L978" s="85">
        <v>86619.66</v>
      </c>
      <c r="M978" s="85">
        <v>0</v>
      </c>
      <c r="N978" s="85">
        <v>86619.66</v>
      </c>
      <c r="O978" s="85">
        <v>0</v>
      </c>
      <c r="P978" s="85">
        <v>119671.98528893672</v>
      </c>
      <c r="Q978" s="85">
        <v>119671.98528893672</v>
      </c>
      <c r="R978" s="85">
        <v>0</v>
      </c>
      <c r="S978" s="85">
        <v>120726.1156</v>
      </c>
      <c r="T978" s="85">
        <v>0</v>
      </c>
      <c r="U978" s="82"/>
      <c r="V978" s="82" t="s">
        <v>3399</v>
      </c>
      <c r="W978" s="82" t="s">
        <v>3395</v>
      </c>
      <c r="X978" s="82" t="s">
        <v>3394</v>
      </c>
      <c r="Y978" s="82" t="s">
        <v>3393</v>
      </c>
    </row>
    <row r="979" spans="1:25" ht="10.9" customHeight="1" x14ac:dyDescent="0.2">
      <c r="A979" s="82" t="s">
        <v>3147</v>
      </c>
      <c r="B979" s="82" t="s">
        <v>714</v>
      </c>
      <c r="C979" s="83">
        <v>45922</v>
      </c>
      <c r="D979" s="83">
        <v>45952</v>
      </c>
      <c r="E979" s="83">
        <v>45952</v>
      </c>
      <c r="F979" s="83">
        <v>45926</v>
      </c>
      <c r="G979" s="83">
        <v>45922</v>
      </c>
      <c r="H979" s="82" t="s">
        <v>713</v>
      </c>
      <c r="I979" s="82" t="s">
        <v>51</v>
      </c>
      <c r="J979" s="84">
        <v>0.72380900000000004</v>
      </c>
      <c r="K979" s="85">
        <v>25317.19</v>
      </c>
      <c r="L979" s="85">
        <v>25317.19</v>
      </c>
      <c r="M979" s="85">
        <v>0</v>
      </c>
      <c r="N979" s="85">
        <v>25317.19</v>
      </c>
      <c r="O979" s="85">
        <v>0</v>
      </c>
      <c r="P979" s="85">
        <v>34977.722023351467</v>
      </c>
      <c r="Q979" s="85">
        <v>34977.722023351467</v>
      </c>
      <c r="R979" s="85">
        <v>0</v>
      </c>
      <c r="S979" s="85">
        <v>35285.823199999999</v>
      </c>
      <c r="T979" s="85">
        <v>0</v>
      </c>
      <c r="U979" s="82"/>
      <c r="V979" s="82" t="s">
        <v>3399</v>
      </c>
      <c r="W979" s="82" t="s">
        <v>3395</v>
      </c>
      <c r="X979" s="82" t="s">
        <v>3394</v>
      </c>
      <c r="Y979" s="82" t="s">
        <v>3393</v>
      </c>
    </row>
    <row r="980" spans="1:25" ht="10.9" customHeight="1" x14ac:dyDescent="0.2">
      <c r="A980" s="82" t="s">
        <v>3206</v>
      </c>
      <c r="B980" s="82" t="s">
        <v>146</v>
      </c>
      <c r="C980" s="83">
        <v>45923</v>
      </c>
      <c r="D980" s="83">
        <v>45953</v>
      </c>
      <c r="E980" s="83">
        <v>45953</v>
      </c>
      <c r="F980" s="83">
        <v>45960</v>
      </c>
      <c r="G980" s="83">
        <v>45923</v>
      </c>
      <c r="H980" s="82" t="s">
        <v>596</v>
      </c>
      <c r="I980" s="82" t="s">
        <v>22</v>
      </c>
      <c r="J980" s="84">
        <v>0</v>
      </c>
      <c r="K980" s="85">
        <v>301.74</v>
      </c>
      <c r="L980" s="85">
        <v>316.83</v>
      </c>
      <c r="M980" s="85">
        <v>15.09</v>
      </c>
      <c r="N980" s="85">
        <v>316.83</v>
      </c>
      <c r="O980" s="85">
        <v>0</v>
      </c>
      <c r="P980" s="85">
        <v>301.74</v>
      </c>
      <c r="Q980" s="85">
        <v>316.83</v>
      </c>
      <c r="R980" s="85">
        <v>15.09</v>
      </c>
      <c r="S980" s="85">
        <v>316.83</v>
      </c>
      <c r="T980" s="85">
        <v>0</v>
      </c>
      <c r="U980" s="82"/>
      <c r="V980" s="82" t="s">
        <v>3399</v>
      </c>
      <c r="W980" s="82" t="s">
        <v>3395</v>
      </c>
      <c r="X980" s="82" t="s">
        <v>3394</v>
      </c>
      <c r="Y980" s="82" t="s">
        <v>3393</v>
      </c>
    </row>
    <row r="981" spans="1:25" ht="10.9" customHeight="1" x14ac:dyDescent="0.2">
      <c r="A981" s="82" t="s">
        <v>3208</v>
      </c>
      <c r="B981" s="82" t="s">
        <v>146</v>
      </c>
      <c r="C981" s="83">
        <v>45923</v>
      </c>
      <c r="D981" s="83">
        <v>45953</v>
      </c>
      <c r="E981" s="83">
        <v>45953</v>
      </c>
      <c r="F981" s="83">
        <v>45960</v>
      </c>
      <c r="G981" s="83">
        <v>45923</v>
      </c>
      <c r="H981" s="82" t="s">
        <v>592</v>
      </c>
      <c r="I981" s="82" t="s">
        <v>22</v>
      </c>
      <c r="J981" s="84">
        <v>0</v>
      </c>
      <c r="K981" s="85">
        <v>560.55999999999995</v>
      </c>
      <c r="L981" s="85">
        <v>588.59</v>
      </c>
      <c r="M981" s="85">
        <v>28.03</v>
      </c>
      <c r="N981" s="85">
        <v>588.59</v>
      </c>
      <c r="O981" s="85">
        <v>0</v>
      </c>
      <c r="P981" s="85">
        <v>560.55999999999995</v>
      </c>
      <c r="Q981" s="85">
        <v>588.59</v>
      </c>
      <c r="R981" s="85">
        <v>28.03</v>
      </c>
      <c r="S981" s="85">
        <v>588.59</v>
      </c>
      <c r="T981" s="85">
        <v>0</v>
      </c>
      <c r="U981" s="82"/>
      <c r="V981" s="82" t="s">
        <v>3399</v>
      </c>
      <c r="W981" s="82" t="s">
        <v>3395</v>
      </c>
      <c r="X981" s="82" t="s">
        <v>3394</v>
      </c>
      <c r="Y981" s="82" t="s">
        <v>3393</v>
      </c>
    </row>
    <row r="982" spans="1:25" ht="10.9" customHeight="1" x14ac:dyDescent="0.2">
      <c r="A982" s="82" t="s">
        <v>3140</v>
      </c>
      <c r="B982" s="82" t="s">
        <v>83</v>
      </c>
      <c r="C982" s="83">
        <v>45923</v>
      </c>
      <c r="D982" s="83">
        <v>45953</v>
      </c>
      <c r="E982" s="83">
        <v>45953</v>
      </c>
      <c r="F982" s="82"/>
      <c r="G982" s="83">
        <v>45923</v>
      </c>
      <c r="H982" s="82" t="s">
        <v>725</v>
      </c>
      <c r="I982" s="82" t="s">
        <v>22</v>
      </c>
      <c r="J982" s="84">
        <v>0</v>
      </c>
      <c r="K982" s="85">
        <v>0</v>
      </c>
      <c r="L982" s="85">
        <v>0</v>
      </c>
      <c r="M982" s="85">
        <v>0</v>
      </c>
      <c r="N982" s="85">
        <v>0</v>
      </c>
      <c r="O982" s="85">
        <v>0</v>
      </c>
      <c r="P982" s="85">
        <v>0</v>
      </c>
      <c r="Q982" s="85">
        <v>0</v>
      </c>
      <c r="R982" s="85">
        <v>0</v>
      </c>
      <c r="S982" s="85">
        <v>0</v>
      </c>
      <c r="T982" s="85">
        <v>0</v>
      </c>
      <c r="U982" s="82"/>
      <c r="V982" s="82" t="s">
        <v>3399</v>
      </c>
      <c r="W982" s="82" t="s">
        <v>3395</v>
      </c>
      <c r="X982" s="82" t="s">
        <v>3397</v>
      </c>
      <c r="Y982" s="82" t="s">
        <v>3393</v>
      </c>
    </row>
    <row r="983" spans="1:25" ht="10.9" customHeight="1" x14ac:dyDescent="0.2">
      <c r="A983" s="82" t="s">
        <v>3038</v>
      </c>
      <c r="B983" s="82" t="s">
        <v>80</v>
      </c>
      <c r="C983" s="83">
        <v>45923</v>
      </c>
      <c r="D983" s="83">
        <v>45983</v>
      </c>
      <c r="E983" s="83">
        <v>45983</v>
      </c>
      <c r="F983" s="83">
        <v>45982</v>
      </c>
      <c r="G983" s="83">
        <v>45923</v>
      </c>
      <c r="H983" s="82" t="s">
        <v>933</v>
      </c>
      <c r="I983" s="82" t="s">
        <v>22</v>
      </c>
      <c r="J983" s="84">
        <v>0</v>
      </c>
      <c r="K983" s="85">
        <v>7695.82</v>
      </c>
      <c r="L983" s="85">
        <v>8080.61</v>
      </c>
      <c r="M983" s="85">
        <v>384.79</v>
      </c>
      <c r="N983" s="85">
        <v>8080.61</v>
      </c>
      <c r="O983" s="85">
        <v>0</v>
      </c>
      <c r="P983" s="85">
        <v>7695.82</v>
      </c>
      <c r="Q983" s="85">
        <v>8080.61</v>
      </c>
      <c r="R983" s="85">
        <v>384.79</v>
      </c>
      <c r="S983" s="85">
        <v>8080.61</v>
      </c>
      <c r="T983" s="85">
        <v>0</v>
      </c>
      <c r="U983" s="82"/>
      <c r="V983" s="82" t="s">
        <v>3399</v>
      </c>
      <c r="W983" s="82" t="s">
        <v>3395</v>
      </c>
      <c r="X983" s="82" t="s">
        <v>3394</v>
      </c>
      <c r="Y983" s="82" t="s">
        <v>3393</v>
      </c>
    </row>
    <row r="984" spans="1:25" ht="10.9" customHeight="1" x14ac:dyDescent="0.2">
      <c r="A984" s="82" t="s">
        <v>3174</v>
      </c>
      <c r="B984" s="82" t="s">
        <v>3412</v>
      </c>
      <c r="C984" s="83">
        <v>45923</v>
      </c>
      <c r="D984" s="83">
        <v>45968</v>
      </c>
      <c r="E984" s="83">
        <v>45968</v>
      </c>
      <c r="F984" s="83">
        <v>45958</v>
      </c>
      <c r="G984" s="83">
        <v>45923</v>
      </c>
      <c r="H984" s="82" t="s">
        <v>663</v>
      </c>
      <c r="I984" s="82" t="s">
        <v>22</v>
      </c>
      <c r="J984" s="84">
        <v>0</v>
      </c>
      <c r="K984" s="85">
        <v>42.52</v>
      </c>
      <c r="L984" s="85">
        <v>44.65</v>
      </c>
      <c r="M984" s="85">
        <v>2.13</v>
      </c>
      <c r="N984" s="85">
        <v>44.65</v>
      </c>
      <c r="O984" s="85">
        <v>0</v>
      </c>
      <c r="P984" s="85">
        <v>42.52</v>
      </c>
      <c r="Q984" s="85">
        <v>44.65</v>
      </c>
      <c r="R984" s="85">
        <v>2.13</v>
      </c>
      <c r="S984" s="85">
        <v>44.65</v>
      </c>
      <c r="T984" s="85">
        <v>0</v>
      </c>
      <c r="U984" s="82"/>
      <c r="V984" s="82" t="s">
        <v>3399</v>
      </c>
      <c r="W984" s="82" t="s">
        <v>3395</v>
      </c>
      <c r="X984" s="82" t="s">
        <v>3394</v>
      </c>
      <c r="Y984" s="82" t="s">
        <v>3393</v>
      </c>
    </row>
    <row r="985" spans="1:25" ht="10.9" customHeight="1" x14ac:dyDescent="0.2">
      <c r="A985" s="82" t="s">
        <v>3178</v>
      </c>
      <c r="B985" s="82" t="s">
        <v>3412</v>
      </c>
      <c r="C985" s="83">
        <v>45923</v>
      </c>
      <c r="D985" s="83">
        <v>45968</v>
      </c>
      <c r="E985" s="83">
        <v>45968</v>
      </c>
      <c r="F985" s="83">
        <v>45958</v>
      </c>
      <c r="G985" s="83">
        <v>45923</v>
      </c>
      <c r="H985" s="82" t="s">
        <v>654</v>
      </c>
      <c r="I985" s="82" t="s">
        <v>22</v>
      </c>
      <c r="J985" s="84">
        <v>0</v>
      </c>
      <c r="K985" s="85">
        <v>42.52</v>
      </c>
      <c r="L985" s="85">
        <v>44.65</v>
      </c>
      <c r="M985" s="85">
        <v>2.13</v>
      </c>
      <c r="N985" s="85">
        <v>44.65</v>
      </c>
      <c r="O985" s="85">
        <v>0</v>
      </c>
      <c r="P985" s="85">
        <v>42.52</v>
      </c>
      <c r="Q985" s="85">
        <v>44.65</v>
      </c>
      <c r="R985" s="85">
        <v>2.13</v>
      </c>
      <c r="S985" s="85">
        <v>44.65</v>
      </c>
      <c r="T985" s="85">
        <v>0</v>
      </c>
      <c r="U985" s="82"/>
      <c r="V985" s="82" t="s">
        <v>3399</v>
      </c>
      <c r="W985" s="82" t="s">
        <v>3395</v>
      </c>
      <c r="X985" s="82" t="s">
        <v>3394</v>
      </c>
      <c r="Y985" s="82" t="s">
        <v>3393</v>
      </c>
    </row>
    <row r="986" spans="1:25" ht="10.9" customHeight="1" x14ac:dyDescent="0.2">
      <c r="A986" s="82" t="s">
        <v>3135</v>
      </c>
      <c r="B986" s="82" t="s">
        <v>20</v>
      </c>
      <c r="C986" s="83">
        <v>45923</v>
      </c>
      <c r="D986" s="83">
        <v>45983</v>
      </c>
      <c r="E986" s="83">
        <v>45983</v>
      </c>
      <c r="F986" s="83">
        <v>45982</v>
      </c>
      <c r="G986" s="83">
        <v>45923</v>
      </c>
      <c r="H986" s="82" t="s">
        <v>736</v>
      </c>
      <c r="I986" s="82" t="s">
        <v>22</v>
      </c>
      <c r="J986" s="84">
        <v>0</v>
      </c>
      <c r="K986" s="85">
        <v>236.55</v>
      </c>
      <c r="L986" s="85">
        <v>248.38</v>
      </c>
      <c r="M986" s="85">
        <v>11.83</v>
      </c>
      <c r="N986" s="85">
        <v>248.38</v>
      </c>
      <c r="O986" s="85">
        <v>0</v>
      </c>
      <c r="P986" s="85">
        <v>236.55</v>
      </c>
      <c r="Q986" s="85">
        <v>248.38</v>
      </c>
      <c r="R986" s="85">
        <v>11.83</v>
      </c>
      <c r="S986" s="85">
        <v>248.38</v>
      </c>
      <c r="T986" s="85">
        <v>0</v>
      </c>
      <c r="U986" s="82"/>
      <c r="V986" s="82" t="s">
        <v>3399</v>
      </c>
      <c r="W986" s="82" t="s">
        <v>3395</v>
      </c>
      <c r="X986" s="82" t="s">
        <v>3394</v>
      </c>
      <c r="Y986" s="82" t="s">
        <v>3393</v>
      </c>
    </row>
    <row r="987" spans="1:25" ht="10.9" customHeight="1" x14ac:dyDescent="0.2">
      <c r="A987" s="82" t="s">
        <v>3021</v>
      </c>
      <c r="B987" s="82" t="s">
        <v>20</v>
      </c>
      <c r="C987" s="83">
        <v>45923</v>
      </c>
      <c r="D987" s="83">
        <v>45983</v>
      </c>
      <c r="E987" s="83">
        <v>45983</v>
      </c>
      <c r="F987" s="83">
        <v>45982</v>
      </c>
      <c r="G987" s="83">
        <v>45923</v>
      </c>
      <c r="H987" s="82" t="s">
        <v>962</v>
      </c>
      <c r="I987" s="82" t="s">
        <v>22</v>
      </c>
      <c r="J987" s="84">
        <v>0</v>
      </c>
      <c r="K987" s="85">
        <v>1434.48</v>
      </c>
      <c r="L987" s="85">
        <v>1506.2</v>
      </c>
      <c r="M987" s="85">
        <v>71.72</v>
      </c>
      <c r="N987" s="85">
        <v>1506.2</v>
      </c>
      <c r="O987" s="85">
        <v>0</v>
      </c>
      <c r="P987" s="85">
        <v>1434.48</v>
      </c>
      <c r="Q987" s="85">
        <v>1506.2</v>
      </c>
      <c r="R987" s="85">
        <v>71.72</v>
      </c>
      <c r="S987" s="85">
        <v>1506.2</v>
      </c>
      <c r="T987" s="85">
        <v>0</v>
      </c>
      <c r="U987" s="82"/>
      <c r="V987" s="82" t="s">
        <v>3399</v>
      </c>
      <c r="W987" s="82" t="s">
        <v>3395</v>
      </c>
      <c r="X987" s="82" t="s">
        <v>3394</v>
      </c>
      <c r="Y987" s="82" t="s">
        <v>3393</v>
      </c>
    </row>
    <row r="988" spans="1:25" ht="10.9" customHeight="1" x14ac:dyDescent="0.2">
      <c r="A988" s="82" t="s">
        <v>3101</v>
      </c>
      <c r="B988" s="82" t="s">
        <v>26</v>
      </c>
      <c r="C988" s="83">
        <v>45923</v>
      </c>
      <c r="D988" s="83">
        <v>45983</v>
      </c>
      <c r="E988" s="83">
        <v>45983</v>
      </c>
      <c r="F988" s="83">
        <v>45982</v>
      </c>
      <c r="G988" s="83">
        <v>45923</v>
      </c>
      <c r="H988" s="82" t="s">
        <v>807</v>
      </c>
      <c r="I988" s="82" t="s">
        <v>22</v>
      </c>
      <c r="J988" s="84">
        <v>0</v>
      </c>
      <c r="K988" s="85">
        <v>1086.6199999999999</v>
      </c>
      <c r="L988" s="85">
        <v>1140.95</v>
      </c>
      <c r="M988" s="85">
        <v>54.33</v>
      </c>
      <c r="N988" s="85">
        <v>1140.95</v>
      </c>
      <c r="O988" s="85">
        <v>0</v>
      </c>
      <c r="P988" s="85">
        <v>1086.6199999999999</v>
      </c>
      <c r="Q988" s="85">
        <v>1140.95</v>
      </c>
      <c r="R988" s="85">
        <v>54.33</v>
      </c>
      <c r="S988" s="85">
        <v>1140.95</v>
      </c>
      <c r="T988" s="85">
        <v>0</v>
      </c>
      <c r="U988" s="82"/>
      <c r="V988" s="82" t="s">
        <v>3399</v>
      </c>
      <c r="W988" s="82" t="s">
        <v>3395</v>
      </c>
      <c r="X988" s="82" t="s">
        <v>3394</v>
      </c>
      <c r="Y988" s="82" t="s">
        <v>3393</v>
      </c>
    </row>
    <row r="989" spans="1:25" ht="10.9" customHeight="1" x14ac:dyDescent="0.2">
      <c r="A989" s="82" t="s">
        <v>3454</v>
      </c>
      <c r="B989" s="82" t="s">
        <v>239</v>
      </c>
      <c r="C989" s="83">
        <v>45924</v>
      </c>
      <c r="D989" s="83">
        <v>45954</v>
      </c>
      <c r="E989" s="83">
        <v>45954</v>
      </c>
      <c r="F989" s="83">
        <v>45954</v>
      </c>
      <c r="G989" s="83">
        <v>45924</v>
      </c>
      <c r="H989" s="82" t="s">
        <v>1613</v>
      </c>
      <c r="I989" s="82" t="s">
        <v>51</v>
      </c>
      <c r="J989" s="84">
        <v>0.71948100000000004</v>
      </c>
      <c r="K989" s="85">
        <v>2264.34</v>
      </c>
      <c r="L989" s="85">
        <v>2264.34</v>
      </c>
      <c r="M989" s="85">
        <v>0</v>
      </c>
      <c r="N989" s="85">
        <v>2264.34</v>
      </c>
      <c r="O989" s="85">
        <v>0</v>
      </c>
      <c r="P989" s="85">
        <v>3147.1852627102035</v>
      </c>
      <c r="Q989" s="85">
        <v>3147.1852627102035</v>
      </c>
      <c r="R989" s="85">
        <v>0</v>
      </c>
      <c r="S989" s="85">
        <v>3168.5355</v>
      </c>
      <c r="T989" s="85">
        <v>0</v>
      </c>
      <c r="U989" s="82"/>
      <c r="V989" s="82" t="s">
        <v>3399</v>
      </c>
      <c r="W989" s="82" t="s">
        <v>3395</v>
      </c>
      <c r="X989" s="82" t="s">
        <v>3394</v>
      </c>
      <c r="Y989" s="82" t="s">
        <v>3393</v>
      </c>
    </row>
    <row r="990" spans="1:25" ht="10.9" customHeight="1" x14ac:dyDescent="0.2">
      <c r="A990" s="82" t="s">
        <v>3455</v>
      </c>
      <c r="B990" s="82" t="s">
        <v>239</v>
      </c>
      <c r="C990" s="83">
        <v>45924</v>
      </c>
      <c r="D990" s="83">
        <v>45954</v>
      </c>
      <c r="E990" s="83">
        <v>45954</v>
      </c>
      <c r="F990" s="83">
        <v>45954</v>
      </c>
      <c r="G990" s="83">
        <v>45924</v>
      </c>
      <c r="H990" s="82" t="s">
        <v>882</v>
      </c>
      <c r="I990" s="82" t="s">
        <v>51</v>
      </c>
      <c r="J990" s="84">
        <v>0.71983900000000001</v>
      </c>
      <c r="K990" s="85">
        <v>1816.85</v>
      </c>
      <c r="L990" s="85">
        <v>1816.85</v>
      </c>
      <c r="M990" s="85">
        <v>0</v>
      </c>
      <c r="N990" s="85">
        <v>1816.85</v>
      </c>
      <c r="O990" s="85">
        <v>0</v>
      </c>
      <c r="P990" s="85">
        <v>2523.9671648799244</v>
      </c>
      <c r="Q990" s="85">
        <v>2523.9671648799244</v>
      </c>
      <c r="R990" s="85">
        <v>0</v>
      </c>
      <c r="S990" s="85">
        <v>2542.3539000000001</v>
      </c>
      <c r="T990" s="85">
        <v>0</v>
      </c>
      <c r="U990" s="82"/>
      <c r="V990" s="82" t="s">
        <v>3399</v>
      </c>
      <c r="W990" s="82" t="s">
        <v>3395</v>
      </c>
      <c r="X990" s="82" t="s">
        <v>3394</v>
      </c>
      <c r="Y990" s="82" t="s">
        <v>3393</v>
      </c>
    </row>
    <row r="991" spans="1:25" ht="10.9" customHeight="1" x14ac:dyDescent="0.2">
      <c r="A991" s="82" t="s">
        <v>3456</v>
      </c>
      <c r="B991" s="82" t="s">
        <v>35</v>
      </c>
      <c r="C991" s="83">
        <v>45924</v>
      </c>
      <c r="D991" s="83">
        <v>45954</v>
      </c>
      <c r="E991" s="83">
        <v>45954</v>
      </c>
      <c r="F991" s="83">
        <v>45959</v>
      </c>
      <c r="G991" s="83">
        <v>45924</v>
      </c>
      <c r="H991" s="82" t="s">
        <v>604</v>
      </c>
      <c r="I991" s="82" t="s">
        <v>22</v>
      </c>
      <c r="J991" s="84">
        <v>0</v>
      </c>
      <c r="K991" s="85">
        <v>1401.44</v>
      </c>
      <c r="L991" s="85">
        <v>1471.51</v>
      </c>
      <c r="M991" s="85">
        <v>70.069999999999993</v>
      </c>
      <c r="N991" s="85">
        <v>1471.51</v>
      </c>
      <c r="O991" s="85">
        <v>0</v>
      </c>
      <c r="P991" s="85">
        <v>1401.44</v>
      </c>
      <c r="Q991" s="85">
        <v>1471.51</v>
      </c>
      <c r="R991" s="85">
        <v>70.069999999999993</v>
      </c>
      <c r="S991" s="85">
        <v>1471.51</v>
      </c>
      <c r="T991" s="85">
        <v>0</v>
      </c>
      <c r="U991" s="82"/>
      <c r="V991" s="82" t="s">
        <v>3399</v>
      </c>
      <c r="W991" s="82" t="s">
        <v>3395</v>
      </c>
      <c r="X991" s="82" t="s">
        <v>3394</v>
      </c>
      <c r="Y991" s="82" t="s">
        <v>3393</v>
      </c>
    </row>
    <row r="992" spans="1:25" ht="10.9" customHeight="1" x14ac:dyDescent="0.2">
      <c r="A992" s="82" t="s">
        <v>3451</v>
      </c>
      <c r="B992" s="82" t="s">
        <v>242</v>
      </c>
      <c r="C992" s="83">
        <v>45924</v>
      </c>
      <c r="D992" s="83">
        <v>45954</v>
      </c>
      <c r="E992" s="83">
        <v>45954</v>
      </c>
      <c r="F992" s="83">
        <v>45959</v>
      </c>
      <c r="G992" s="83">
        <v>45924</v>
      </c>
      <c r="H992" s="82" t="s">
        <v>1250</v>
      </c>
      <c r="I992" s="82" t="s">
        <v>22</v>
      </c>
      <c r="J992" s="84">
        <v>0</v>
      </c>
      <c r="K992" s="85">
        <v>1609.78</v>
      </c>
      <c r="L992" s="85">
        <v>1609.78</v>
      </c>
      <c r="M992" s="85">
        <v>0</v>
      </c>
      <c r="N992" s="85">
        <v>1609.78</v>
      </c>
      <c r="O992" s="85">
        <v>0</v>
      </c>
      <c r="P992" s="85">
        <v>1609.78</v>
      </c>
      <c r="Q992" s="85">
        <v>1609.78</v>
      </c>
      <c r="R992" s="85">
        <v>0</v>
      </c>
      <c r="S992" s="85">
        <v>1609.78</v>
      </c>
      <c r="T992" s="85">
        <v>0</v>
      </c>
      <c r="U992" s="82"/>
      <c r="V992" s="82" t="s">
        <v>3399</v>
      </c>
      <c r="W992" s="82" t="s">
        <v>3395</v>
      </c>
      <c r="X992" s="82" t="s">
        <v>3394</v>
      </c>
      <c r="Y992" s="82" t="s">
        <v>3393</v>
      </c>
    </row>
    <row r="993" spans="1:25" ht="10.9" customHeight="1" x14ac:dyDescent="0.2">
      <c r="A993" s="82" t="s">
        <v>3452</v>
      </c>
      <c r="B993" s="82" t="s">
        <v>242</v>
      </c>
      <c r="C993" s="83">
        <v>45924</v>
      </c>
      <c r="D993" s="83">
        <v>45924</v>
      </c>
      <c r="E993" s="83">
        <v>45924</v>
      </c>
      <c r="F993" s="83">
        <v>45959</v>
      </c>
      <c r="G993" s="83">
        <v>45924</v>
      </c>
      <c r="H993" s="82" t="s">
        <v>921</v>
      </c>
      <c r="I993" s="82" t="s">
        <v>22</v>
      </c>
      <c r="J993" s="84">
        <v>0</v>
      </c>
      <c r="K993" s="85">
        <v>1609.78</v>
      </c>
      <c r="L993" s="85">
        <v>1690.27</v>
      </c>
      <c r="M993" s="85">
        <v>80.489999999999995</v>
      </c>
      <c r="N993" s="85">
        <v>1690.27</v>
      </c>
      <c r="O993" s="85">
        <v>0</v>
      </c>
      <c r="P993" s="85">
        <v>1609.78</v>
      </c>
      <c r="Q993" s="85">
        <v>1690.27</v>
      </c>
      <c r="R993" s="85">
        <v>80.489999999999995</v>
      </c>
      <c r="S993" s="85">
        <v>1690.27</v>
      </c>
      <c r="T993" s="85">
        <v>0</v>
      </c>
      <c r="U993" s="82"/>
      <c r="V993" s="82" t="s">
        <v>3399</v>
      </c>
      <c r="W993" s="82" t="s">
        <v>3395</v>
      </c>
      <c r="X993" s="82" t="s">
        <v>3394</v>
      </c>
      <c r="Y993" s="82" t="s">
        <v>3393</v>
      </c>
    </row>
    <row r="994" spans="1:25" ht="10.9" customHeight="1" x14ac:dyDescent="0.2">
      <c r="A994" s="82" t="s">
        <v>3453</v>
      </c>
      <c r="B994" s="82" t="s">
        <v>242</v>
      </c>
      <c r="C994" s="83">
        <v>45924</v>
      </c>
      <c r="D994" s="83">
        <v>45954</v>
      </c>
      <c r="E994" s="83">
        <v>45954</v>
      </c>
      <c r="F994" s="83">
        <v>45959</v>
      </c>
      <c r="G994" s="83">
        <v>45924</v>
      </c>
      <c r="H994" s="82" t="s">
        <v>1359</v>
      </c>
      <c r="I994" s="82" t="s">
        <v>22</v>
      </c>
      <c r="J994" s="84">
        <v>0</v>
      </c>
      <c r="K994" s="85">
        <v>7987.73</v>
      </c>
      <c r="L994" s="85">
        <v>8387.1200000000008</v>
      </c>
      <c r="M994" s="85">
        <v>399.39</v>
      </c>
      <c r="N994" s="85">
        <v>8387.1200000000008</v>
      </c>
      <c r="O994" s="85">
        <v>0</v>
      </c>
      <c r="P994" s="85">
        <v>7987.73</v>
      </c>
      <c r="Q994" s="85">
        <v>8387.1200000000008</v>
      </c>
      <c r="R994" s="85">
        <v>399.39</v>
      </c>
      <c r="S994" s="85">
        <v>8387.1200000000008</v>
      </c>
      <c r="T994" s="85">
        <v>0</v>
      </c>
      <c r="U994" s="82"/>
      <c r="V994" s="82" t="s">
        <v>3399</v>
      </c>
      <c r="W994" s="82" t="s">
        <v>3395</v>
      </c>
      <c r="X994" s="82" t="s">
        <v>3394</v>
      </c>
      <c r="Y994" s="82" t="s">
        <v>3393</v>
      </c>
    </row>
    <row r="995" spans="1:25" ht="10.9" customHeight="1" x14ac:dyDescent="0.2">
      <c r="A995" s="82" t="s">
        <v>3449</v>
      </c>
      <c r="B995" s="82" t="s">
        <v>54</v>
      </c>
      <c r="C995" s="83">
        <v>45924</v>
      </c>
      <c r="D995" s="83">
        <v>45954</v>
      </c>
      <c r="E995" s="83">
        <v>45954</v>
      </c>
      <c r="F995" s="83">
        <v>45960</v>
      </c>
      <c r="G995" s="83">
        <v>45924</v>
      </c>
      <c r="H995" s="82" t="s">
        <v>578</v>
      </c>
      <c r="I995" s="82" t="s">
        <v>22</v>
      </c>
      <c r="J995" s="84">
        <v>0</v>
      </c>
      <c r="K995" s="85">
        <v>6175.4</v>
      </c>
      <c r="L995" s="85">
        <v>6484.17</v>
      </c>
      <c r="M995" s="85">
        <v>308.77</v>
      </c>
      <c r="N995" s="85">
        <v>6484.17</v>
      </c>
      <c r="O995" s="85">
        <v>0</v>
      </c>
      <c r="P995" s="85">
        <v>6175.4</v>
      </c>
      <c r="Q995" s="85">
        <v>6484.17</v>
      </c>
      <c r="R995" s="85">
        <v>308.77</v>
      </c>
      <c r="S995" s="85">
        <v>6484.17</v>
      </c>
      <c r="T995" s="85">
        <v>0</v>
      </c>
      <c r="U995" s="82"/>
      <c r="V995" s="82" t="s">
        <v>3399</v>
      </c>
      <c r="W995" s="82" t="s">
        <v>3395</v>
      </c>
      <c r="X995" s="82" t="s">
        <v>3394</v>
      </c>
      <c r="Y995" s="82" t="s">
        <v>3393</v>
      </c>
    </row>
    <row r="996" spans="1:25" ht="10.9" customHeight="1" x14ac:dyDescent="0.2">
      <c r="A996" s="82" t="s">
        <v>3448</v>
      </c>
      <c r="B996" s="82" t="s">
        <v>607</v>
      </c>
      <c r="C996" s="83">
        <v>45924</v>
      </c>
      <c r="D996" s="83">
        <v>45954</v>
      </c>
      <c r="E996" s="83">
        <v>45954</v>
      </c>
      <c r="F996" s="83">
        <v>45953</v>
      </c>
      <c r="G996" s="83">
        <v>45925</v>
      </c>
      <c r="H996" s="82" t="s">
        <v>606</v>
      </c>
      <c r="I996" s="82" t="s">
        <v>22</v>
      </c>
      <c r="J996" s="84">
        <v>0</v>
      </c>
      <c r="K996" s="85">
        <v>1298.0999999999999</v>
      </c>
      <c r="L996" s="85">
        <v>1363.01</v>
      </c>
      <c r="M996" s="85">
        <v>64.91</v>
      </c>
      <c r="N996" s="85">
        <v>1363.01</v>
      </c>
      <c r="O996" s="85">
        <v>0</v>
      </c>
      <c r="P996" s="85">
        <v>1298.0999999999999</v>
      </c>
      <c r="Q996" s="85">
        <v>1363.01</v>
      </c>
      <c r="R996" s="85">
        <v>64.91</v>
      </c>
      <c r="S996" s="85">
        <v>1363.01</v>
      </c>
      <c r="T996" s="85">
        <v>0</v>
      </c>
      <c r="U996" s="82"/>
      <c r="V996" s="82" t="s">
        <v>3399</v>
      </c>
      <c r="W996" s="82" t="s">
        <v>3395</v>
      </c>
      <c r="X996" s="82" t="s">
        <v>3394</v>
      </c>
      <c r="Y996" s="82" t="s">
        <v>3393</v>
      </c>
    </row>
    <row r="997" spans="1:25" ht="10.9" customHeight="1" x14ac:dyDescent="0.2">
      <c r="A997" s="82" t="s">
        <v>3086</v>
      </c>
      <c r="B997" s="82" t="s">
        <v>239</v>
      </c>
      <c r="C997" s="83">
        <v>45924</v>
      </c>
      <c r="D997" s="83">
        <v>45924</v>
      </c>
      <c r="E997" s="83">
        <v>45924</v>
      </c>
      <c r="F997" s="83">
        <v>45954</v>
      </c>
      <c r="G997" s="83">
        <v>45909</v>
      </c>
      <c r="H997" s="82" t="s">
        <v>3450</v>
      </c>
      <c r="I997" s="82" t="s">
        <v>51</v>
      </c>
      <c r="J997" s="84">
        <v>0.71983900000000001</v>
      </c>
      <c r="K997" s="85">
        <v>1816.85</v>
      </c>
      <c r="L997" s="85">
        <v>1816.85</v>
      </c>
      <c r="M997" s="85">
        <v>0</v>
      </c>
      <c r="N997" s="85">
        <v>1816.85</v>
      </c>
      <c r="O997" s="85">
        <v>0</v>
      </c>
      <c r="P997" s="85">
        <v>2523.9671648799244</v>
      </c>
      <c r="Q997" s="85">
        <v>2523.9671648799244</v>
      </c>
      <c r="R997" s="85">
        <v>0</v>
      </c>
      <c r="S997" s="85">
        <v>2542.3539000000001</v>
      </c>
      <c r="T997" s="85">
        <v>0</v>
      </c>
      <c r="U997" s="82"/>
      <c r="V997" s="82" t="s">
        <v>3399</v>
      </c>
      <c r="W997" s="82" t="s">
        <v>3395</v>
      </c>
      <c r="X997" s="82" t="s">
        <v>3394</v>
      </c>
      <c r="Y997" s="82" t="s">
        <v>3393</v>
      </c>
    </row>
    <row r="998" spans="1:25" ht="10.9" customHeight="1" x14ac:dyDescent="0.2">
      <c r="A998" s="82" t="s">
        <v>3056</v>
      </c>
      <c r="B998" s="82" t="s">
        <v>901</v>
      </c>
      <c r="C998" s="83">
        <v>45924</v>
      </c>
      <c r="D998" s="83">
        <v>45954</v>
      </c>
      <c r="E998" s="83">
        <v>45954</v>
      </c>
      <c r="F998" s="83">
        <v>45974</v>
      </c>
      <c r="G998" s="83">
        <v>45924</v>
      </c>
      <c r="H998" s="82" t="s">
        <v>900</v>
      </c>
      <c r="I998" s="82" t="s">
        <v>51</v>
      </c>
      <c r="J998" s="84">
        <v>0.72001499999999996</v>
      </c>
      <c r="K998" s="85">
        <v>55662.04</v>
      </c>
      <c r="L998" s="85">
        <v>55662.04</v>
      </c>
      <c r="M998" s="85">
        <v>0</v>
      </c>
      <c r="N998" s="85">
        <v>55662.04</v>
      </c>
      <c r="O998" s="85">
        <v>0</v>
      </c>
      <c r="P998" s="85">
        <v>77306.778331006994</v>
      </c>
      <c r="Q998" s="85">
        <v>77306.778331006994</v>
      </c>
      <c r="R998" s="85">
        <v>0</v>
      </c>
      <c r="S998" s="85">
        <v>78115.583199999994</v>
      </c>
      <c r="T998" s="85">
        <v>0</v>
      </c>
      <c r="U998" s="82"/>
      <c r="V998" s="82" t="s">
        <v>3399</v>
      </c>
      <c r="W998" s="82" t="s">
        <v>3395</v>
      </c>
      <c r="X998" s="82" t="s">
        <v>3394</v>
      </c>
      <c r="Y998" s="82" t="s">
        <v>3393</v>
      </c>
    </row>
    <row r="999" spans="1:25" ht="10.9" customHeight="1" x14ac:dyDescent="0.2">
      <c r="A999" s="82" t="s">
        <v>3445</v>
      </c>
      <c r="B999" s="82" t="s">
        <v>77</v>
      </c>
      <c r="C999" s="83">
        <v>45925</v>
      </c>
      <c r="D999" s="83">
        <v>45955</v>
      </c>
      <c r="E999" s="83">
        <v>45955</v>
      </c>
      <c r="F999" s="83">
        <v>45951</v>
      </c>
      <c r="G999" s="83">
        <v>45925</v>
      </c>
      <c r="H999" s="82" t="s">
        <v>571</v>
      </c>
      <c r="I999" s="82" t="s">
        <v>22</v>
      </c>
      <c r="J999" s="84">
        <v>0</v>
      </c>
      <c r="K999" s="85">
        <v>270.35000000000002</v>
      </c>
      <c r="L999" s="85">
        <v>305.5</v>
      </c>
      <c r="M999" s="85">
        <v>35.15</v>
      </c>
      <c r="N999" s="85">
        <v>305.5</v>
      </c>
      <c r="O999" s="85">
        <v>0</v>
      </c>
      <c r="P999" s="85">
        <v>270.35000000000002</v>
      </c>
      <c r="Q999" s="85">
        <v>305.5</v>
      </c>
      <c r="R999" s="85">
        <v>35.15</v>
      </c>
      <c r="S999" s="85">
        <v>305.5</v>
      </c>
      <c r="T999" s="85">
        <v>0</v>
      </c>
      <c r="U999" s="82"/>
      <c r="V999" s="82" t="s">
        <v>3399</v>
      </c>
      <c r="W999" s="82" t="s">
        <v>3395</v>
      </c>
      <c r="X999" s="82" t="s">
        <v>3394</v>
      </c>
      <c r="Y999" s="82" t="s">
        <v>3393</v>
      </c>
    </row>
    <row r="1000" spans="1:25" ht="10.9" customHeight="1" x14ac:dyDescent="0.2">
      <c r="A1000" s="82" t="s">
        <v>3444</v>
      </c>
      <c r="B1000" s="82" t="s">
        <v>630</v>
      </c>
      <c r="C1000" s="83">
        <v>45925</v>
      </c>
      <c r="D1000" s="83">
        <v>45955</v>
      </c>
      <c r="E1000" s="83">
        <v>45955</v>
      </c>
      <c r="F1000" s="83">
        <v>45975</v>
      </c>
      <c r="G1000" s="83">
        <v>45925</v>
      </c>
      <c r="H1000" s="82" t="s">
        <v>875</v>
      </c>
      <c r="I1000" s="82" t="s">
        <v>22</v>
      </c>
      <c r="J1000" s="84">
        <v>0</v>
      </c>
      <c r="K1000" s="85">
        <v>9848.2199999999993</v>
      </c>
      <c r="L1000" s="85">
        <v>10340.629999999999</v>
      </c>
      <c r="M1000" s="85">
        <v>492.41</v>
      </c>
      <c r="N1000" s="85">
        <v>10340.629999999999</v>
      </c>
      <c r="O1000" s="85">
        <v>0</v>
      </c>
      <c r="P1000" s="85">
        <v>9848.2199999999993</v>
      </c>
      <c r="Q1000" s="85">
        <v>10340.629999999999</v>
      </c>
      <c r="R1000" s="85">
        <v>492.41</v>
      </c>
      <c r="S1000" s="85">
        <v>10340.629999999999</v>
      </c>
      <c r="T1000" s="85">
        <v>0</v>
      </c>
      <c r="U1000" s="82"/>
      <c r="V1000" s="82" t="s">
        <v>3399</v>
      </c>
      <c r="W1000" s="82" t="s">
        <v>3395</v>
      </c>
      <c r="X1000" s="82" t="s">
        <v>3394</v>
      </c>
      <c r="Y1000" s="82" t="s">
        <v>3393</v>
      </c>
    </row>
    <row r="1001" spans="1:25" ht="10.9" customHeight="1" x14ac:dyDescent="0.2">
      <c r="A1001" s="82" t="s">
        <v>3446</v>
      </c>
      <c r="B1001" s="82" t="s">
        <v>20</v>
      </c>
      <c r="C1001" s="83">
        <v>45925</v>
      </c>
      <c r="D1001" s="83">
        <v>45985</v>
      </c>
      <c r="E1001" s="83">
        <v>45985</v>
      </c>
      <c r="F1001" s="83">
        <v>45982</v>
      </c>
      <c r="G1001" s="83">
        <v>45925</v>
      </c>
      <c r="H1001" s="82" t="s">
        <v>669</v>
      </c>
      <c r="I1001" s="82" t="s">
        <v>22</v>
      </c>
      <c r="J1001" s="84">
        <v>0</v>
      </c>
      <c r="K1001" s="85">
        <v>3973.6</v>
      </c>
      <c r="L1001" s="85">
        <v>4172.29</v>
      </c>
      <c r="M1001" s="85">
        <v>198.69</v>
      </c>
      <c r="N1001" s="85">
        <v>4172.29</v>
      </c>
      <c r="O1001" s="85">
        <v>0</v>
      </c>
      <c r="P1001" s="85">
        <v>3973.6</v>
      </c>
      <c r="Q1001" s="85">
        <v>4172.29</v>
      </c>
      <c r="R1001" s="85">
        <v>198.69</v>
      </c>
      <c r="S1001" s="85">
        <v>4172.29</v>
      </c>
      <c r="T1001" s="85">
        <v>0</v>
      </c>
      <c r="U1001" s="82"/>
      <c r="V1001" s="82" t="s">
        <v>3399</v>
      </c>
      <c r="W1001" s="82" t="s">
        <v>3395</v>
      </c>
      <c r="X1001" s="82" t="s">
        <v>3394</v>
      </c>
      <c r="Y1001" s="82" t="s">
        <v>3393</v>
      </c>
    </row>
    <row r="1002" spans="1:25" ht="10.9" customHeight="1" x14ac:dyDescent="0.2">
      <c r="A1002" s="82" t="s">
        <v>2889</v>
      </c>
      <c r="B1002" s="82" t="s">
        <v>3447</v>
      </c>
      <c r="C1002" s="83">
        <v>45925</v>
      </c>
      <c r="D1002" s="83">
        <v>45955</v>
      </c>
      <c r="E1002" s="83">
        <v>45955</v>
      </c>
      <c r="F1002" s="83">
        <v>45954</v>
      </c>
      <c r="G1002" s="83">
        <v>45926</v>
      </c>
      <c r="H1002" s="82" t="s">
        <v>1183</v>
      </c>
      <c r="I1002" s="82" t="s">
        <v>51</v>
      </c>
      <c r="J1002" s="84">
        <v>0.71740099999999996</v>
      </c>
      <c r="K1002" s="85">
        <v>3654.99</v>
      </c>
      <c r="L1002" s="85">
        <v>3654.99</v>
      </c>
      <c r="M1002" s="85">
        <v>0</v>
      </c>
      <c r="N1002" s="85">
        <v>3654.99</v>
      </c>
      <c r="O1002" s="85">
        <v>0</v>
      </c>
      <c r="P1002" s="85">
        <v>5094.7656889243253</v>
      </c>
      <c r="Q1002" s="85">
        <v>5094.7656889243253</v>
      </c>
      <c r="R1002" s="85">
        <v>0</v>
      </c>
      <c r="S1002" s="85">
        <v>5120.1665999999996</v>
      </c>
      <c r="T1002" s="85">
        <v>0</v>
      </c>
      <c r="U1002" s="82"/>
      <c r="V1002" s="82" t="s">
        <v>3399</v>
      </c>
      <c r="W1002" s="82" t="s">
        <v>3395</v>
      </c>
      <c r="X1002" s="82" t="s">
        <v>3394</v>
      </c>
      <c r="Y1002" s="82" t="s">
        <v>3393</v>
      </c>
    </row>
    <row r="1003" spans="1:25" ht="10.9" customHeight="1" x14ac:dyDescent="0.2">
      <c r="A1003" s="82" t="s">
        <v>3165</v>
      </c>
      <c r="B1003" s="82" t="s">
        <v>171</v>
      </c>
      <c r="C1003" s="83">
        <v>45925</v>
      </c>
      <c r="D1003" s="83">
        <v>45955</v>
      </c>
      <c r="E1003" s="83">
        <v>45955</v>
      </c>
      <c r="F1003" s="83">
        <v>45953</v>
      </c>
      <c r="G1003" s="83">
        <v>45926</v>
      </c>
      <c r="H1003" s="82" t="s">
        <v>677</v>
      </c>
      <c r="I1003" s="82" t="s">
        <v>22</v>
      </c>
      <c r="J1003" s="84">
        <v>0</v>
      </c>
      <c r="K1003" s="85">
        <v>1129.78</v>
      </c>
      <c r="L1003" s="85">
        <v>1186.27</v>
      </c>
      <c r="M1003" s="85">
        <v>56.49</v>
      </c>
      <c r="N1003" s="85">
        <v>1186.27</v>
      </c>
      <c r="O1003" s="85">
        <v>0</v>
      </c>
      <c r="P1003" s="85">
        <v>1129.78</v>
      </c>
      <c r="Q1003" s="85">
        <v>1186.27</v>
      </c>
      <c r="R1003" s="85">
        <v>56.49</v>
      </c>
      <c r="S1003" s="85">
        <v>1186.27</v>
      </c>
      <c r="T1003" s="85">
        <v>0</v>
      </c>
      <c r="U1003" s="82"/>
      <c r="V1003" s="82" t="s">
        <v>3399</v>
      </c>
      <c r="W1003" s="82" t="s">
        <v>3395</v>
      </c>
      <c r="X1003" s="82" t="s">
        <v>3397</v>
      </c>
      <c r="Y1003" s="82" t="s">
        <v>3393</v>
      </c>
    </row>
    <row r="1004" spans="1:25" ht="10.9" customHeight="1" x14ac:dyDescent="0.2">
      <c r="A1004" s="82" t="s">
        <v>3183</v>
      </c>
      <c r="B1004" s="82" t="s">
        <v>644</v>
      </c>
      <c r="C1004" s="83">
        <v>45926</v>
      </c>
      <c r="D1004" s="83">
        <v>45956</v>
      </c>
      <c r="E1004" s="83">
        <v>45956</v>
      </c>
      <c r="F1004" s="83">
        <v>45965</v>
      </c>
      <c r="G1004" s="83">
        <v>45926</v>
      </c>
      <c r="H1004" s="82" t="s">
        <v>643</v>
      </c>
      <c r="I1004" s="82" t="s">
        <v>51</v>
      </c>
      <c r="J1004" s="84">
        <v>0.71648599999999996</v>
      </c>
      <c r="K1004" s="85">
        <v>13347.42</v>
      </c>
      <c r="L1004" s="85">
        <v>13347.42</v>
      </c>
      <c r="M1004" s="85">
        <v>0</v>
      </c>
      <c r="N1004" s="85">
        <v>13347.42</v>
      </c>
      <c r="O1004" s="85">
        <v>0</v>
      </c>
      <c r="P1004" s="85">
        <v>18629.003218485777</v>
      </c>
      <c r="Q1004" s="85">
        <v>18629.003218485777</v>
      </c>
      <c r="R1004" s="85">
        <v>0</v>
      </c>
      <c r="S1004" s="85">
        <v>18811.317599999998</v>
      </c>
      <c r="T1004" s="85">
        <v>0</v>
      </c>
      <c r="U1004" s="82"/>
      <c r="V1004" s="82" t="s">
        <v>3399</v>
      </c>
      <c r="W1004" s="82" t="s">
        <v>3395</v>
      </c>
      <c r="X1004" s="82" t="s">
        <v>3394</v>
      </c>
      <c r="Y1004" s="82" t="s">
        <v>3393</v>
      </c>
    </row>
    <row r="1005" spans="1:25" ht="10.9" customHeight="1" x14ac:dyDescent="0.2">
      <c r="A1005" s="82" t="s">
        <v>3177</v>
      </c>
      <c r="B1005" s="82" t="s">
        <v>39</v>
      </c>
      <c r="C1005" s="83">
        <v>45926</v>
      </c>
      <c r="D1005" s="83">
        <v>45956</v>
      </c>
      <c r="E1005" s="83">
        <v>45956</v>
      </c>
      <c r="F1005" s="83">
        <v>45954</v>
      </c>
      <c r="G1005" s="83">
        <v>45926</v>
      </c>
      <c r="H1005" s="82" t="s">
        <v>656</v>
      </c>
      <c r="I1005" s="82" t="s">
        <v>22</v>
      </c>
      <c r="J1005" s="84">
        <v>0</v>
      </c>
      <c r="K1005" s="85">
        <v>5343.36</v>
      </c>
      <c r="L1005" s="85">
        <v>5610.53</v>
      </c>
      <c r="M1005" s="85">
        <v>267.17</v>
      </c>
      <c r="N1005" s="85">
        <v>5610.53</v>
      </c>
      <c r="O1005" s="85">
        <v>0</v>
      </c>
      <c r="P1005" s="85">
        <v>5343.36</v>
      </c>
      <c r="Q1005" s="85">
        <v>5610.53</v>
      </c>
      <c r="R1005" s="85">
        <v>267.17</v>
      </c>
      <c r="S1005" s="85">
        <v>5610.53</v>
      </c>
      <c r="T1005" s="85">
        <v>0</v>
      </c>
      <c r="U1005" s="82"/>
      <c r="V1005" s="82" t="s">
        <v>3399</v>
      </c>
      <c r="W1005" s="82" t="s">
        <v>3395</v>
      </c>
      <c r="X1005" s="82" t="s">
        <v>3394</v>
      </c>
      <c r="Y1005" s="82" t="s">
        <v>3393</v>
      </c>
    </row>
    <row r="1006" spans="1:25" ht="10.9" customHeight="1" x14ac:dyDescent="0.2">
      <c r="A1006" s="82" t="s">
        <v>3217</v>
      </c>
      <c r="B1006" s="82" t="s">
        <v>3412</v>
      </c>
      <c r="C1006" s="83">
        <v>45926</v>
      </c>
      <c r="D1006" s="83">
        <v>45971</v>
      </c>
      <c r="E1006" s="83">
        <v>45971</v>
      </c>
      <c r="F1006" s="83">
        <v>45967</v>
      </c>
      <c r="G1006" s="83">
        <v>45926</v>
      </c>
      <c r="H1006" s="82" t="s">
        <v>569</v>
      </c>
      <c r="I1006" s="82" t="s">
        <v>22</v>
      </c>
      <c r="J1006" s="84">
        <v>0</v>
      </c>
      <c r="K1006" s="85">
        <v>11712.55</v>
      </c>
      <c r="L1006" s="85">
        <v>12298.19</v>
      </c>
      <c r="M1006" s="85">
        <v>585.64</v>
      </c>
      <c r="N1006" s="85">
        <v>12298.19</v>
      </c>
      <c r="O1006" s="85">
        <v>0</v>
      </c>
      <c r="P1006" s="85">
        <v>11712.55</v>
      </c>
      <c r="Q1006" s="85">
        <v>12298.19</v>
      </c>
      <c r="R1006" s="85">
        <v>585.64</v>
      </c>
      <c r="S1006" s="85">
        <v>12298.19</v>
      </c>
      <c r="T1006" s="85">
        <v>0</v>
      </c>
      <c r="U1006" s="82"/>
      <c r="V1006" s="82" t="s">
        <v>3399</v>
      </c>
      <c r="W1006" s="82" t="s">
        <v>3395</v>
      </c>
      <c r="X1006" s="82" t="s">
        <v>3397</v>
      </c>
      <c r="Y1006" s="82" t="s">
        <v>3393</v>
      </c>
    </row>
    <row r="1007" spans="1:25" ht="10.9" customHeight="1" x14ac:dyDescent="0.2">
      <c r="A1007" s="82" t="s">
        <v>3226</v>
      </c>
      <c r="B1007" s="82" t="s">
        <v>3412</v>
      </c>
      <c r="C1007" s="83">
        <v>45926</v>
      </c>
      <c r="D1007" s="83">
        <v>45971</v>
      </c>
      <c r="E1007" s="83">
        <v>45971</v>
      </c>
      <c r="F1007" s="83">
        <v>45967</v>
      </c>
      <c r="G1007" s="83">
        <v>45926</v>
      </c>
      <c r="H1007" s="82" t="s">
        <v>551</v>
      </c>
      <c r="I1007" s="82" t="s">
        <v>22</v>
      </c>
      <c r="J1007" s="84">
        <v>0</v>
      </c>
      <c r="K1007" s="85">
        <v>7335.38</v>
      </c>
      <c r="L1007" s="85">
        <v>7702.15</v>
      </c>
      <c r="M1007" s="85">
        <v>366.77</v>
      </c>
      <c r="N1007" s="85">
        <v>7702.15</v>
      </c>
      <c r="O1007" s="85">
        <v>0</v>
      </c>
      <c r="P1007" s="85">
        <v>7335.38</v>
      </c>
      <c r="Q1007" s="85">
        <v>7702.15</v>
      </c>
      <c r="R1007" s="85">
        <v>366.77</v>
      </c>
      <c r="S1007" s="85">
        <v>7702.15</v>
      </c>
      <c r="T1007" s="85">
        <v>0</v>
      </c>
      <c r="U1007" s="82"/>
      <c r="V1007" s="82" t="s">
        <v>3399</v>
      </c>
      <c r="W1007" s="82" t="s">
        <v>3395</v>
      </c>
      <c r="X1007" s="82" t="s">
        <v>3394</v>
      </c>
      <c r="Y1007" s="82" t="s">
        <v>3393</v>
      </c>
    </row>
    <row r="1008" spans="1:25" ht="10.9" customHeight="1" x14ac:dyDescent="0.2">
      <c r="A1008" s="82" t="s">
        <v>3443</v>
      </c>
      <c r="B1008" s="82" t="s">
        <v>3442</v>
      </c>
      <c r="C1008" s="83">
        <v>45929</v>
      </c>
      <c r="D1008" s="83">
        <v>45974</v>
      </c>
      <c r="E1008" s="83">
        <v>45974</v>
      </c>
      <c r="F1008" s="83">
        <v>45974</v>
      </c>
      <c r="G1008" s="83">
        <v>45930</v>
      </c>
      <c r="H1008" s="82" t="s">
        <v>3441</v>
      </c>
      <c r="I1008" s="82" t="s">
        <v>51</v>
      </c>
      <c r="J1008" s="84">
        <v>0.71872100000000005</v>
      </c>
      <c r="K1008" s="85">
        <v>66765</v>
      </c>
      <c r="L1008" s="85">
        <v>66765</v>
      </c>
      <c r="M1008" s="85">
        <v>0</v>
      </c>
      <c r="N1008" s="85">
        <v>66765</v>
      </c>
      <c r="O1008" s="85">
        <v>0</v>
      </c>
      <c r="P1008" s="85">
        <v>92894.182860943256</v>
      </c>
      <c r="Q1008" s="85">
        <v>92894.182860943256</v>
      </c>
      <c r="R1008" s="85">
        <v>0</v>
      </c>
      <c r="S1008" s="85">
        <v>93703.948000000004</v>
      </c>
      <c r="T1008" s="85">
        <v>0</v>
      </c>
      <c r="U1008" s="82"/>
      <c r="V1008" s="82" t="s">
        <v>3399</v>
      </c>
      <c r="W1008" s="82" t="s">
        <v>3395</v>
      </c>
      <c r="X1008" s="82" t="s">
        <v>3394</v>
      </c>
      <c r="Y1008" s="82" t="s">
        <v>3393</v>
      </c>
    </row>
    <row r="1009" spans="1:25" ht="10.9" customHeight="1" x14ac:dyDescent="0.2">
      <c r="A1009" s="82" t="s">
        <v>2990</v>
      </c>
      <c r="B1009" s="82" t="s">
        <v>581</v>
      </c>
      <c r="C1009" s="83">
        <v>45929</v>
      </c>
      <c r="D1009" s="83">
        <v>45959</v>
      </c>
      <c r="E1009" s="83">
        <v>45959</v>
      </c>
      <c r="F1009" s="83">
        <v>45960</v>
      </c>
      <c r="G1009" s="83">
        <v>45929</v>
      </c>
      <c r="H1009" s="82" t="s">
        <v>1012</v>
      </c>
      <c r="I1009" s="82" t="s">
        <v>51</v>
      </c>
      <c r="J1009" s="84">
        <v>0.71867000000000003</v>
      </c>
      <c r="K1009" s="85">
        <v>1411.18</v>
      </c>
      <c r="L1009" s="85">
        <v>1411.18</v>
      </c>
      <c r="M1009" s="85">
        <v>0</v>
      </c>
      <c r="N1009" s="85">
        <v>1411.18</v>
      </c>
      <c r="O1009" s="85">
        <v>0</v>
      </c>
      <c r="P1009" s="85">
        <v>1963.5994267187996</v>
      </c>
      <c r="Q1009" s="85">
        <v>1963.5994267187996</v>
      </c>
      <c r="R1009" s="85">
        <v>0</v>
      </c>
      <c r="S1009" s="85">
        <v>1973.8329000000001</v>
      </c>
      <c r="T1009" s="85">
        <v>0</v>
      </c>
      <c r="U1009" s="82"/>
      <c r="V1009" s="82" t="s">
        <v>3399</v>
      </c>
      <c r="W1009" s="82" t="s">
        <v>3395</v>
      </c>
      <c r="X1009" s="82" t="s">
        <v>3394</v>
      </c>
      <c r="Y1009" s="82" t="s">
        <v>3393</v>
      </c>
    </row>
    <row r="1010" spans="1:25" ht="10.9" customHeight="1" x14ac:dyDescent="0.2">
      <c r="A1010" s="82" t="s">
        <v>3111</v>
      </c>
      <c r="B1010" s="82" t="s">
        <v>141</v>
      </c>
      <c r="C1010" s="83">
        <v>45930</v>
      </c>
      <c r="D1010" s="83">
        <v>45975</v>
      </c>
      <c r="E1010" s="83">
        <v>45975</v>
      </c>
      <c r="F1010" s="82"/>
      <c r="G1010" s="83">
        <v>45930</v>
      </c>
      <c r="H1010" s="82" t="s">
        <v>792</v>
      </c>
      <c r="I1010" s="82" t="s">
        <v>51</v>
      </c>
      <c r="J1010" s="84">
        <v>0.71800399999999998</v>
      </c>
      <c r="K1010" s="85">
        <v>2465.04</v>
      </c>
      <c r="L1010" s="85">
        <v>2465.04</v>
      </c>
      <c r="M1010" s="85">
        <v>0</v>
      </c>
      <c r="N1010" s="85">
        <v>0</v>
      </c>
      <c r="O1010" s="85">
        <v>2465.04</v>
      </c>
      <c r="P1010" s="85">
        <v>3433.1842162439202</v>
      </c>
      <c r="Q1010" s="85">
        <v>3433.1842162439202</v>
      </c>
      <c r="R1010" s="85">
        <v>0</v>
      </c>
      <c r="S1010" s="85">
        <v>0</v>
      </c>
      <c r="T1010" s="85">
        <v>3383.07</v>
      </c>
      <c r="U1010" s="82" t="s">
        <v>3401</v>
      </c>
      <c r="V1010" s="82" t="s">
        <v>3396</v>
      </c>
      <c r="W1010" s="82" t="s">
        <v>3395</v>
      </c>
      <c r="X1010" s="82" t="s">
        <v>3394</v>
      </c>
      <c r="Y1010" s="82" t="s">
        <v>3393</v>
      </c>
    </row>
    <row r="1011" spans="1:25" ht="10.9" customHeight="1" x14ac:dyDescent="0.2">
      <c r="A1011" s="82" t="s">
        <v>3197</v>
      </c>
      <c r="B1011" s="82" t="s">
        <v>141</v>
      </c>
      <c r="C1011" s="83">
        <v>45930</v>
      </c>
      <c r="D1011" s="83">
        <v>45975</v>
      </c>
      <c r="E1011" s="83">
        <v>45975</v>
      </c>
      <c r="F1011" s="82"/>
      <c r="G1011" s="83">
        <v>45930</v>
      </c>
      <c r="H1011" s="82" t="s">
        <v>616</v>
      </c>
      <c r="I1011" s="82" t="s">
        <v>51</v>
      </c>
      <c r="J1011" s="84">
        <v>0.71800399999999998</v>
      </c>
      <c r="K1011" s="85">
        <v>471.48</v>
      </c>
      <c r="L1011" s="85">
        <v>471.48</v>
      </c>
      <c r="M1011" s="85">
        <v>0</v>
      </c>
      <c r="N1011" s="85">
        <v>0</v>
      </c>
      <c r="O1011" s="85">
        <v>471.48</v>
      </c>
      <c r="P1011" s="85">
        <v>656.65372337758561</v>
      </c>
      <c r="Q1011" s="85">
        <v>656.65372337758561</v>
      </c>
      <c r="R1011" s="85">
        <v>0</v>
      </c>
      <c r="S1011" s="85">
        <v>0</v>
      </c>
      <c r="T1011" s="85">
        <v>647.07000000000005</v>
      </c>
      <c r="U1011" s="82" t="s">
        <v>3401</v>
      </c>
      <c r="V1011" s="82" t="s">
        <v>3396</v>
      </c>
      <c r="W1011" s="82" t="s">
        <v>3395</v>
      </c>
      <c r="X1011" s="82" t="s">
        <v>3394</v>
      </c>
      <c r="Y1011" s="82" t="s">
        <v>3393</v>
      </c>
    </row>
    <row r="1012" spans="1:25" ht="10.9" customHeight="1" x14ac:dyDescent="0.2">
      <c r="A1012" s="82" t="s">
        <v>3207</v>
      </c>
      <c r="B1012" s="82" t="s">
        <v>442</v>
      </c>
      <c r="C1012" s="83">
        <v>45930</v>
      </c>
      <c r="D1012" s="83">
        <v>45990</v>
      </c>
      <c r="E1012" s="83">
        <v>45990</v>
      </c>
      <c r="F1012" s="83">
        <v>46022</v>
      </c>
      <c r="G1012" s="83">
        <v>45930</v>
      </c>
      <c r="H1012" s="82" t="s">
        <v>594</v>
      </c>
      <c r="I1012" s="82" t="s">
        <v>51</v>
      </c>
      <c r="J1012" s="84">
        <v>0.717885</v>
      </c>
      <c r="K1012" s="85">
        <v>5177.88</v>
      </c>
      <c r="L1012" s="85">
        <v>5177.88</v>
      </c>
      <c r="M1012" s="85">
        <v>0</v>
      </c>
      <c r="N1012" s="85">
        <v>5177.88</v>
      </c>
      <c r="O1012" s="85">
        <v>0</v>
      </c>
      <c r="P1012" s="85">
        <v>7212.6872688522535</v>
      </c>
      <c r="Q1012" s="85">
        <v>7212.6872688522535</v>
      </c>
      <c r="R1012" s="85">
        <v>0</v>
      </c>
      <c r="S1012" s="85">
        <v>7106.2254000000003</v>
      </c>
      <c r="T1012" s="85">
        <v>0</v>
      </c>
      <c r="U1012" s="82"/>
      <c r="V1012" s="82" t="s">
        <v>3399</v>
      </c>
      <c r="W1012" s="82" t="s">
        <v>3395</v>
      </c>
      <c r="X1012" s="82" t="s">
        <v>3394</v>
      </c>
      <c r="Y1012" s="82" t="s">
        <v>3393</v>
      </c>
    </row>
    <row r="1013" spans="1:25" ht="10.9" customHeight="1" x14ac:dyDescent="0.2">
      <c r="A1013" s="82" t="s">
        <v>3026</v>
      </c>
      <c r="B1013" s="82" t="s">
        <v>61</v>
      </c>
      <c r="C1013" s="83">
        <v>45930</v>
      </c>
      <c r="D1013" s="83">
        <v>45960</v>
      </c>
      <c r="E1013" s="83">
        <v>45960</v>
      </c>
      <c r="F1013" s="83">
        <v>45974</v>
      </c>
      <c r="G1013" s="83">
        <v>45930</v>
      </c>
      <c r="H1013" s="82" t="s">
        <v>954</v>
      </c>
      <c r="I1013" s="82" t="s">
        <v>51</v>
      </c>
      <c r="J1013" s="84">
        <v>0.71800399999999998</v>
      </c>
      <c r="K1013" s="85">
        <v>3556.88</v>
      </c>
      <c r="L1013" s="85">
        <v>3556.88</v>
      </c>
      <c r="M1013" s="85">
        <v>0</v>
      </c>
      <c r="N1013" s="85">
        <v>3556.88</v>
      </c>
      <c r="O1013" s="85">
        <v>0</v>
      </c>
      <c r="P1013" s="85">
        <v>4953.8442682770565</v>
      </c>
      <c r="Q1013" s="85">
        <v>4953.8442682770565</v>
      </c>
      <c r="R1013" s="85">
        <v>0</v>
      </c>
      <c r="S1013" s="85">
        <v>4988.0587999999998</v>
      </c>
      <c r="T1013" s="85">
        <v>0</v>
      </c>
      <c r="U1013" s="82"/>
      <c r="V1013" s="82" t="s">
        <v>3399</v>
      </c>
      <c r="W1013" s="82" t="s">
        <v>3395</v>
      </c>
      <c r="X1013" s="82" t="s">
        <v>3394</v>
      </c>
      <c r="Y1013" s="82" t="s">
        <v>3393</v>
      </c>
    </row>
    <row r="1014" spans="1:25" ht="10.9" customHeight="1" x14ac:dyDescent="0.2">
      <c r="A1014" s="82" t="s">
        <v>2927</v>
      </c>
      <c r="B1014" s="82" t="s">
        <v>61</v>
      </c>
      <c r="C1014" s="83">
        <v>45930</v>
      </c>
      <c r="D1014" s="83">
        <v>45960</v>
      </c>
      <c r="E1014" s="83">
        <v>45960</v>
      </c>
      <c r="F1014" s="83">
        <v>45974</v>
      </c>
      <c r="G1014" s="83">
        <v>45930</v>
      </c>
      <c r="H1014" s="82" t="s">
        <v>1121</v>
      </c>
      <c r="I1014" s="82" t="s">
        <v>51</v>
      </c>
      <c r="J1014" s="84">
        <v>0.71800399999999998</v>
      </c>
      <c r="K1014" s="85">
        <v>4276.6099999999997</v>
      </c>
      <c r="L1014" s="85">
        <v>4276.6099999999997</v>
      </c>
      <c r="M1014" s="85">
        <v>0</v>
      </c>
      <c r="N1014" s="85">
        <v>4276.6099999999997</v>
      </c>
      <c r="O1014" s="85">
        <v>0</v>
      </c>
      <c r="P1014" s="85">
        <v>5956.2481546063809</v>
      </c>
      <c r="Q1014" s="85">
        <v>5956.2481546063809</v>
      </c>
      <c r="R1014" s="85">
        <v>0</v>
      </c>
      <c r="S1014" s="85">
        <v>5997.3860000000004</v>
      </c>
      <c r="T1014" s="85">
        <v>0</v>
      </c>
      <c r="U1014" s="82"/>
      <c r="V1014" s="82" t="s">
        <v>3399</v>
      </c>
      <c r="W1014" s="82" t="s">
        <v>3395</v>
      </c>
      <c r="X1014" s="82" t="s">
        <v>3394</v>
      </c>
      <c r="Y1014" s="82" t="s">
        <v>3393</v>
      </c>
    </row>
    <row r="1015" spans="1:25" ht="10.9" customHeight="1" x14ac:dyDescent="0.2">
      <c r="A1015" s="82" t="s">
        <v>2982</v>
      </c>
      <c r="B1015" s="82" t="s">
        <v>129</v>
      </c>
      <c r="C1015" s="83">
        <v>45930</v>
      </c>
      <c r="D1015" s="83">
        <v>45990</v>
      </c>
      <c r="E1015" s="83">
        <v>45990</v>
      </c>
      <c r="F1015" s="82"/>
      <c r="G1015" s="83">
        <v>45930</v>
      </c>
      <c r="H1015" s="82" t="s">
        <v>3436</v>
      </c>
      <c r="I1015" s="82" t="s">
        <v>51</v>
      </c>
      <c r="J1015" s="84">
        <v>0.71800399999999998</v>
      </c>
      <c r="K1015" s="85">
        <v>5133</v>
      </c>
      <c r="L1015" s="85">
        <v>5133</v>
      </c>
      <c r="M1015" s="85">
        <v>0</v>
      </c>
      <c r="N1015" s="85">
        <v>0</v>
      </c>
      <c r="O1015" s="85">
        <v>5133</v>
      </c>
      <c r="P1015" s="85">
        <v>7148.985242422048</v>
      </c>
      <c r="Q1015" s="85">
        <v>7148.985242422048</v>
      </c>
      <c r="R1015" s="85">
        <v>0</v>
      </c>
      <c r="S1015" s="85">
        <v>0</v>
      </c>
      <c r="T1015" s="85">
        <v>7044.63</v>
      </c>
      <c r="U1015" s="82" t="s">
        <v>3401</v>
      </c>
      <c r="V1015" s="82" t="s">
        <v>3396</v>
      </c>
      <c r="W1015" s="82" t="s">
        <v>3395</v>
      </c>
      <c r="X1015" s="82" t="s">
        <v>3397</v>
      </c>
      <c r="Y1015" s="82" t="s">
        <v>3393</v>
      </c>
    </row>
    <row r="1016" spans="1:25" ht="10.9" customHeight="1" x14ac:dyDescent="0.2">
      <c r="A1016" s="82" t="s">
        <v>3052</v>
      </c>
      <c r="B1016" s="82" t="s">
        <v>129</v>
      </c>
      <c r="C1016" s="83">
        <v>45930</v>
      </c>
      <c r="D1016" s="83">
        <v>45990</v>
      </c>
      <c r="E1016" s="83">
        <v>45990</v>
      </c>
      <c r="F1016" s="82"/>
      <c r="G1016" s="83">
        <v>45930</v>
      </c>
      <c r="H1016" s="82" t="s">
        <v>3440</v>
      </c>
      <c r="I1016" s="82" t="s">
        <v>51</v>
      </c>
      <c r="J1016" s="84">
        <v>0.71800399999999998</v>
      </c>
      <c r="K1016" s="85">
        <v>581.79999999999995</v>
      </c>
      <c r="L1016" s="85">
        <v>581.79999999999995</v>
      </c>
      <c r="M1016" s="85">
        <v>0</v>
      </c>
      <c r="N1016" s="85">
        <v>0</v>
      </c>
      <c r="O1016" s="85">
        <v>581.79999999999995</v>
      </c>
      <c r="P1016" s="85">
        <v>810.30189246856548</v>
      </c>
      <c r="Q1016" s="85">
        <v>810.30189246856548</v>
      </c>
      <c r="R1016" s="85">
        <v>0</v>
      </c>
      <c r="S1016" s="85">
        <v>0</v>
      </c>
      <c r="T1016" s="85">
        <v>798.47</v>
      </c>
      <c r="U1016" s="82" t="s">
        <v>3401</v>
      </c>
      <c r="V1016" s="82" t="s">
        <v>3396</v>
      </c>
      <c r="W1016" s="82" t="s">
        <v>3395</v>
      </c>
      <c r="X1016" s="82" t="s">
        <v>3397</v>
      </c>
      <c r="Y1016" s="82" t="s">
        <v>3393</v>
      </c>
    </row>
    <row r="1017" spans="1:25" ht="10.9" customHeight="1" x14ac:dyDescent="0.2">
      <c r="A1017" s="82" t="s">
        <v>3237</v>
      </c>
      <c r="B1017" s="82" t="s">
        <v>109</v>
      </c>
      <c r="C1017" s="83">
        <v>45931</v>
      </c>
      <c r="D1017" s="83">
        <v>45961</v>
      </c>
      <c r="E1017" s="83">
        <v>45961</v>
      </c>
      <c r="F1017" s="83">
        <v>45965</v>
      </c>
      <c r="G1017" s="83">
        <v>45931</v>
      </c>
      <c r="H1017" s="82" t="s">
        <v>532</v>
      </c>
      <c r="I1017" s="82" t="s">
        <v>51</v>
      </c>
      <c r="J1017" s="84">
        <v>0.71748400000000001</v>
      </c>
      <c r="K1017" s="85">
        <v>7855.57</v>
      </c>
      <c r="L1017" s="85">
        <v>7855.57</v>
      </c>
      <c r="M1017" s="85">
        <v>0</v>
      </c>
      <c r="N1017" s="85">
        <v>7855.57</v>
      </c>
      <c r="O1017" s="85">
        <v>0</v>
      </c>
      <c r="P1017" s="85">
        <v>10948.773770564918</v>
      </c>
      <c r="Q1017" s="85">
        <v>10948.773770564918</v>
      </c>
      <c r="R1017" s="85">
        <v>0</v>
      </c>
      <c r="S1017" s="85">
        <v>11085.8552</v>
      </c>
      <c r="T1017" s="85">
        <v>0</v>
      </c>
      <c r="U1017" s="82"/>
      <c r="V1017" s="82" t="s">
        <v>3399</v>
      </c>
      <c r="W1017" s="82" t="s">
        <v>3395</v>
      </c>
      <c r="X1017" s="82" t="s">
        <v>3394</v>
      </c>
      <c r="Y1017" s="82" t="s">
        <v>3393</v>
      </c>
    </row>
    <row r="1018" spans="1:25" ht="10.9" customHeight="1" x14ac:dyDescent="0.2">
      <c r="A1018" s="82" t="s">
        <v>3015</v>
      </c>
      <c r="B1018" s="82" t="s">
        <v>20</v>
      </c>
      <c r="C1018" s="83">
        <v>45931</v>
      </c>
      <c r="D1018" s="83">
        <v>45961</v>
      </c>
      <c r="E1018" s="83">
        <v>45961</v>
      </c>
      <c r="F1018" s="83">
        <v>45989</v>
      </c>
      <c r="G1018" s="83">
        <v>45931</v>
      </c>
      <c r="H1018" s="82" t="s">
        <v>972</v>
      </c>
      <c r="I1018" s="82" t="s">
        <v>22</v>
      </c>
      <c r="J1018" s="84">
        <v>0</v>
      </c>
      <c r="K1018" s="85">
        <v>3198.73</v>
      </c>
      <c r="L1018" s="85">
        <v>3358.67</v>
      </c>
      <c r="M1018" s="85">
        <v>159.94</v>
      </c>
      <c r="N1018" s="85">
        <v>3358.67</v>
      </c>
      <c r="O1018" s="85">
        <v>0</v>
      </c>
      <c r="P1018" s="85">
        <v>3198.73</v>
      </c>
      <c r="Q1018" s="85">
        <v>3358.67</v>
      </c>
      <c r="R1018" s="85">
        <v>159.94</v>
      </c>
      <c r="S1018" s="85">
        <v>3358.67</v>
      </c>
      <c r="T1018" s="85">
        <v>0</v>
      </c>
      <c r="U1018" s="82"/>
      <c r="V1018" s="82" t="s">
        <v>3399</v>
      </c>
      <c r="W1018" s="82" t="s">
        <v>3395</v>
      </c>
      <c r="X1018" s="82" t="s">
        <v>3394</v>
      </c>
      <c r="Y1018" s="82" t="s">
        <v>3393</v>
      </c>
    </row>
    <row r="1019" spans="1:25" ht="10.9" customHeight="1" x14ac:dyDescent="0.2">
      <c r="A1019" s="82" t="s">
        <v>3223</v>
      </c>
      <c r="B1019" s="82" t="s">
        <v>556</v>
      </c>
      <c r="C1019" s="83">
        <v>45931</v>
      </c>
      <c r="D1019" s="83">
        <v>45961</v>
      </c>
      <c r="E1019" s="83">
        <v>45961</v>
      </c>
      <c r="F1019" s="83">
        <v>45974</v>
      </c>
      <c r="G1019" s="83">
        <v>45931</v>
      </c>
      <c r="H1019" s="82" t="s">
        <v>555</v>
      </c>
      <c r="I1019" s="82" t="s">
        <v>22</v>
      </c>
      <c r="J1019" s="84">
        <v>0</v>
      </c>
      <c r="K1019" s="85">
        <v>102.4</v>
      </c>
      <c r="L1019" s="85">
        <v>107.52</v>
      </c>
      <c r="M1019" s="85">
        <v>5.12</v>
      </c>
      <c r="N1019" s="85">
        <v>107.52</v>
      </c>
      <c r="O1019" s="85">
        <v>0</v>
      </c>
      <c r="P1019" s="85">
        <v>102.4</v>
      </c>
      <c r="Q1019" s="85">
        <v>107.52</v>
      </c>
      <c r="R1019" s="85">
        <v>5.12</v>
      </c>
      <c r="S1019" s="85">
        <v>107.52</v>
      </c>
      <c r="T1019" s="85">
        <v>0</v>
      </c>
      <c r="U1019" s="82"/>
      <c r="V1019" s="82" t="s">
        <v>3399</v>
      </c>
      <c r="W1019" s="82" t="s">
        <v>3395</v>
      </c>
      <c r="X1019" s="82" t="s">
        <v>3394</v>
      </c>
      <c r="Y1019" s="82" t="s">
        <v>3393</v>
      </c>
    </row>
    <row r="1020" spans="1:25" ht="10.9" customHeight="1" x14ac:dyDescent="0.2">
      <c r="A1020" s="82" t="s">
        <v>3222</v>
      </c>
      <c r="B1020" s="82" t="s">
        <v>3412</v>
      </c>
      <c r="C1020" s="83">
        <v>45931</v>
      </c>
      <c r="D1020" s="83">
        <v>45976</v>
      </c>
      <c r="E1020" s="83">
        <v>45976</v>
      </c>
      <c r="F1020" s="83">
        <v>45967</v>
      </c>
      <c r="G1020" s="83">
        <v>45931</v>
      </c>
      <c r="H1020" s="82" t="s">
        <v>558</v>
      </c>
      <c r="I1020" s="82" t="s">
        <v>22</v>
      </c>
      <c r="J1020" s="84">
        <v>0</v>
      </c>
      <c r="K1020" s="85">
        <v>979.42</v>
      </c>
      <c r="L1020" s="85">
        <v>1028.3900000000001</v>
      </c>
      <c r="M1020" s="85">
        <v>48.97</v>
      </c>
      <c r="N1020" s="85">
        <v>1028.3900000000001</v>
      </c>
      <c r="O1020" s="85">
        <v>0</v>
      </c>
      <c r="P1020" s="85">
        <v>979.42</v>
      </c>
      <c r="Q1020" s="85">
        <v>1028.3900000000001</v>
      </c>
      <c r="R1020" s="85">
        <v>48.97</v>
      </c>
      <c r="S1020" s="85">
        <v>1028.3900000000001</v>
      </c>
      <c r="T1020" s="85">
        <v>0</v>
      </c>
      <c r="U1020" s="82"/>
      <c r="V1020" s="82" t="s">
        <v>3399</v>
      </c>
      <c r="W1020" s="82" t="s">
        <v>3395</v>
      </c>
      <c r="X1020" s="82" t="s">
        <v>3394</v>
      </c>
      <c r="Y1020" s="82" t="s">
        <v>3393</v>
      </c>
    </row>
    <row r="1021" spans="1:25" ht="10.9" customHeight="1" x14ac:dyDescent="0.2">
      <c r="A1021" s="82" t="s">
        <v>3215</v>
      </c>
      <c r="B1021" s="82" t="s">
        <v>146</v>
      </c>
      <c r="C1021" s="83">
        <v>45931</v>
      </c>
      <c r="D1021" s="83">
        <v>45961</v>
      </c>
      <c r="E1021" s="83">
        <v>45961</v>
      </c>
      <c r="F1021" s="83">
        <v>45989</v>
      </c>
      <c r="G1021" s="83">
        <v>45931</v>
      </c>
      <c r="H1021" s="82" t="s">
        <v>573</v>
      </c>
      <c r="I1021" s="82" t="s">
        <v>22</v>
      </c>
      <c r="J1021" s="84">
        <v>0</v>
      </c>
      <c r="K1021" s="85">
        <v>958.11</v>
      </c>
      <c r="L1021" s="85">
        <v>1006.02</v>
      </c>
      <c r="M1021" s="85">
        <v>47.91</v>
      </c>
      <c r="N1021" s="85">
        <v>1006.02</v>
      </c>
      <c r="O1021" s="85">
        <v>0</v>
      </c>
      <c r="P1021" s="85">
        <v>958.11</v>
      </c>
      <c r="Q1021" s="85">
        <v>1006.02</v>
      </c>
      <c r="R1021" s="85">
        <v>47.91</v>
      </c>
      <c r="S1021" s="85">
        <v>1006.02</v>
      </c>
      <c r="T1021" s="85">
        <v>0</v>
      </c>
      <c r="U1021" s="82"/>
      <c r="V1021" s="82" t="s">
        <v>3399</v>
      </c>
      <c r="W1021" s="82" t="s">
        <v>3395</v>
      </c>
      <c r="X1021" s="82" t="s">
        <v>3394</v>
      </c>
      <c r="Y1021" s="82" t="s">
        <v>3393</v>
      </c>
    </row>
    <row r="1022" spans="1:25" ht="10.9" customHeight="1" x14ac:dyDescent="0.2">
      <c r="A1022" s="82" t="s">
        <v>3227</v>
      </c>
      <c r="B1022" s="82" t="s">
        <v>146</v>
      </c>
      <c r="C1022" s="83">
        <v>45931</v>
      </c>
      <c r="D1022" s="83">
        <v>45961</v>
      </c>
      <c r="E1022" s="83">
        <v>45961</v>
      </c>
      <c r="F1022" s="83">
        <v>45989</v>
      </c>
      <c r="G1022" s="83">
        <v>45931</v>
      </c>
      <c r="H1022" s="82" t="s">
        <v>549</v>
      </c>
      <c r="I1022" s="82" t="s">
        <v>22</v>
      </c>
      <c r="J1022" s="84">
        <v>0</v>
      </c>
      <c r="K1022" s="85">
        <v>279.5</v>
      </c>
      <c r="L1022" s="85">
        <v>293.48</v>
      </c>
      <c r="M1022" s="85">
        <v>13.98</v>
      </c>
      <c r="N1022" s="85">
        <v>293.48</v>
      </c>
      <c r="O1022" s="85">
        <v>0</v>
      </c>
      <c r="P1022" s="85">
        <v>279.5</v>
      </c>
      <c r="Q1022" s="85">
        <v>293.48</v>
      </c>
      <c r="R1022" s="85">
        <v>13.98</v>
      </c>
      <c r="S1022" s="85">
        <v>293.48</v>
      </c>
      <c r="T1022" s="85">
        <v>0</v>
      </c>
      <c r="U1022" s="82"/>
      <c r="V1022" s="82" t="s">
        <v>3399</v>
      </c>
      <c r="W1022" s="82" t="s">
        <v>3395</v>
      </c>
      <c r="X1022" s="82" t="s">
        <v>3394</v>
      </c>
      <c r="Y1022" s="82" t="s">
        <v>3393</v>
      </c>
    </row>
    <row r="1023" spans="1:25" ht="10.9" customHeight="1" x14ac:dyDescent="0.2">
      <c r="A1023" s="82" t="s">
        <v>3236</v>
      </c>
      <c r="B1023" s="82" t="s">
        <v>64</v>
      </c>
      <c r="C1023" s="83">
        <v>45931</v>
      </c>
      <c r="D1023" s="83">
        <v>45961</v>
      </c>
      <c r="E1023" s="83">
        <v>45961</v>
      </c>
      <c r="F1023" s="83">
        <v>45991</v>
      </c>
      <c r="G1023" s="83">
        <v>45931</v>
      </c>
      <c r="H1023" s="82" t="s">
        <v>534</v>
      </c>
      <c r="I1023" s="82" t="s">
        <v>22</v>
      </c>
      <c r="J1023" s="84">
        <v>0</v>
      </c>
      <c r="K1023" s="85">
        <v>730.78</v>
      </c>
      <c r="L1023" s="85">
        <v>825.78</v>
      </c>
      <c r="M1023" s="85">
        <v>95</v>
      </c>
      <c r="N1023" s="85">
        <v>825.78</v>
      </c>
      <c r="O1023" s="85">
        <v>0</v>
      </c>
      <c r="P1023" s="85">
        <v>730.78</v>
      </c>
      <c r="Q1023" s="85">
        <v>825.78</v>
      </c>
      <c r="R1023" s="85">
        <v>95</v>
      </c>
      <c r="S1023" s="85">
        <v>825.78</v>
      </c>
      <c r="T1023" s="85">
        <v>0</v>
      </c>
      <c r="U1023" s="82"/>
      <c r="V1023" s="82" t="s">
        <v>3399</v>
      </c>
      <c r="W1023" s="82" t="s">
        <v>3395</v>
      </c>
      <c r="X1023" s="82" t="s">
        <v>3394</v>
      </c>
      <c r="Y1023" s="82" t="s">
        <v>3393</v>
      </c>
    </row>
    <row r="1024" spans="1:25" ht="10.9" customHeight="1" x14ac:dyDescent="0.2">
      <c r="A1024" s="82" t="s">
        <v>3245</v>
      </c>
      <c r="B1024" s="82" t="s">
        <v>54</v>
      </c>
      <c r="C1024" s="83">
        <v>45931</v>
      </c>
      <c r="D1024" s="83">
        <v>45961</v>
      </c>
      <c r="E1024" s="83">
        <v>45961</v>
      </c>
      <c r="F1024" s="83">
        <v>45967</v>
      </c>
      <c r="G1024" s="83">
        <v>45931</v>
      </c>
      <c r="H1024" s="82" t="s">
        <v>515</v>
      </c>
      <c r="I1024" s="82" t="s">
        <v>22</v>
      </c>
      <c r="J1024" s="84">
        <v>0</v>
      </c>
      <c r="K1024" s="85">
        <v>463.06</v>
      </c>
      <c r="L1024" s="85">
        <v>486.21</v>
      </c>
      <c r="M1024" s="85">
        <v>23.15</v>
      </c>
      <c r="N1024" s="85">
        <v>486.21</v>
      </c>
      <c r="O1024" s="85">
        <v>0</v>
      </c>
      <c r="P1024" s="85">
        <v>463.06</v>
      </c>
      <c r="Q1024" s="85">
        <v>486.21</v>
      </c>
      <c r="R1024" s="85">
        <v>23.15</v>
      </c>
      <c r="S1024" s="85">
        <v>486.21</v>
      </c>
      <c r="T1024" s="85">
        <v>0</v>
      </c>
      <c r="U1024" s="82"/>
      <c r="V1024" s="82" t="s">
        <v>3399</v>
      </c>
      <c r="W1024" s="82" t="s">
        <v>3395</v>
      </c>
      <c r="X1024" s="82" t="s">
        <v>3394</v>
      </c>
      <c r="Y1024" s="82" t="s">
        <v>3393</v>
      </c>
    </row>
    <row r="1025" spans="1:25" ht="10.9" customHeight="1" x14ac:dyDescent="0.2">
      <c r="A1025" s="82" t="s">
        <v>3232</v>
      </c>
      <c r="B1025" s="82" t="s">
        <v>54</v>
      </c>
      <c r="C1025" s="83">
        <v>45931</v>
      </c>
      <c r="D1025" s="83">
        <v>45961</v>
      </c>
      <c r="E1025" s="83">
        <v>45961</v>
      </c>
      <c r="F1025" s="83">
        <v>45968</v>
      </c>
      <c r="G1025" s="83">
        <v>45931</v>
      </c>
      <c r="H1025" s="82" t="s">
        <v>541</v>
      </c>
      <c r="I1025" s="82" t="s">
        <v>22</v>
      </c>
      <c r="J1025" s="84">
        <v>0</v>
      </c>
      <c r="K1025" s="85">
        <v>1761.16</v>
      </c>
      <c r="L1025" s="85">
        <v>1849.22</v>
      </c>
      <c r="M1025" s="85">
        <v>88.06</v>
      </c>
      <c r="N1025" s="85">
        <v>1849.22</v>
      </c>
      <c r="O1025" s="85">
        <v>0</v>
      </c>
      <c r="P1025" s="85">
        <v>1761.16</v>
      </c>
      <c r="Q1025" s="85">
        <v>1849.22</v>
      </c>
      <c r="R1025" s="85">
        <v>88.06</v>
      </c>
      <c r="S1025" s="85">
        <v>1849.22</v>
      </c>
      <c r="T1025" s="85">
        <v>0</v>
      </c>
      <c r="U1025" s="82"/>
      <c r="V1025" s="82" t="s">
        <v>3399</v>
      </c>
      <c r="W1025" s="82" t="s">
        <v>3395</v>
      </c>
      <c r="X1025" s="82" t="s">
        <v>3394</v>
      </c>
      <c r="Y1025" s="82" t="s">
        <v>3393</v>
      </c>
    </row>
    <row r="1026" spans="1:25" ht="10.9" customHeight="1" x14ac:dyDescent="0.2">
      <c r="A1026" s="82" t="s">
        <v>2983</v>
      </c>
      <c r="B1026" s="82" t="s">
        <v>129</v>
      </c>
      <c r="C1026" s="83">
        <v>45931</v>
      </c>
      <c r="D1026" s="83">
        <v>45991</v>
      </c>
      <c r="E1026" s="83">
        <v>45991</v>
      </c>
      <c r="F1026" s="82"/>
      <c r="G1026" s="83">
        <v>45931</v>
      </c>
      <c r="H1026" s="82" t="s">
        <v>3433</v>
      </c>
      <c r="I1026" s="82" t="s">
        <v>51</v>
      </c>
      <c r="J1026" s="84">
        <v>0.71754499999999999</v>
      </c>
      <c r="K1026" s="85">
        <v>2900</v>
      </c>
      <c r="L1026" s="85">
        <v>2900</v>
      </c>
      <c r="M1026" s="85">
        <v>0</v>
      </c>
      <c r="N1026" s="85">
        <v>0</v>
      </c>
      <c r="O1026" s="85">
        <v>2900</v>
      </c>
      <c r="P1026" s="85">
        <v>4041.5583691615161</v>
      </c>
      <c r="Q1026" s="85">
        <v>4041.5583691615161</v>
      </c>
      <c r="R1026" s="85">
        <v>0</v>
      </c>
      <c r="S1026" s="85">
        <v>0</v>
      </c>
      <c r="T1026" s="85">
        <v>3980.02</v>
      </c>
      <c r="U1026" s="82" t="s">
        <v>3401</v>
      </c>
      <c r="V1026" s="82" t="s">
        <v>3396</v>
      </c>
      <c r="W1026" s="82" t="s">
        <v>3395</v>
      </c>
      <c r="X1026" s="82" t="s">
        <v>3397</v>
      </c>
      <c r="Y1026" s="82" t="s">
        <v>3393</v>
      </c>
    </row>
    <row r="1027" spans="1:25" ht="10.9" customHeight="1" x14ac:dyDescent="0.2">
      <c r="A1027" s="82" t="s">
        <v>3035</v>
      </c>
      <c r="B1027" s="82" t="s">
        <v>129</v>
      </c>
      <c r="C1027" s="83">
        <v>45931</v>
      </c>
      <c r="D1027" s="83">
        <v>45991</v>
      </c>
      <c r="E1027" s="83">
        <v>45991</v>
      </c>
      <c r="F1027" s="82"/>
      <c r="G1027" s="83">
        <v>45931</v>
      </c>
      <c r="H1027" s="82" t="s">
        <v>3435</v>
      </c>
      <c r="I1027" s="82" t="s">
        <v>51</v>
      </c>
      <c r="J1027" s="84">
        <v>0.71754499999999999</v>
      </c>
      <c r="K1027" s="85">
        <v>10202</v>
      </c>
      <c r="L1027" s="85">
        <v>10202</v>
      </c>
      <c r="M1027" s="85">
        <v>0</v>
      </c>
      <c r="N1027" s="85">
        <v>0</v>
      </c>
      <c r="O1027" s="85">
        <v>10202</v>
      </c>
      <c r="P1027" s="85">
        <v>14217.923614546822</v>
      </c>
      <c r="Q1027" s="85">
        <v>14217.923614546822</v>
      </c>
      <c r="R1027" s="85">
        <v>0</v>
      </c>
      <c r="S1027" s="85">
        <v>0</v>
      </c>
      <c r="T1027" s="85">
        <v>14001.43</v>
      </c>
      <c r="U1027" s="82" t="s">
        <v>3401</v>
      </c>
      <c r="V1027" s="82" t="s">
        <v>3396</v>
      </c>
      <c r="W1027" s="82" t="s">
        <v>3395</v>
      </c>
      <c r="X1027" s="82" t="s">
        <v>3397</v>
      </c>
      <c r="Y1027" s="82" t="s">
        <v>3393</v>
      </c>
    </row>
    <row r="1028" spans="1:25" ht="10.9" customHeight="1" x14ac:dyDescent="0.2">
      <c r="A1028" s="82" t="s">
        <v>3204</v>
      </c>
      <c r="B1028" s="82" t="s">
        <v>602</v>
      </c>
      <c r="C1028" s="83">
        <v>45931</v>
      </c>
      <c r="D1028" s="83">
        <v>45961</v>
      </c>
      <c r="E1028" s="83">
        <v>45961</v>
      </c>
      <c r="F1028" s="82"/>
      <c r="G1028" s="83">
        <v>45937</v>
      </c>
      <c r="H1028" s="82" t="s">
        <v>601</v>
      </c>
      <c r="I1028" s="82" t="s">
        <v>22</v>
      </c>
      <c r="J1028" s="84">
        <v>0</v>
      </c>
      <c r="K1028" s="85">
        <v>5988</v>
      </c>
      <c r="L1028" s="85">
        <v>6766.44</v>
      </c>
      <c r="M1028" s="85">
        <v>778.44</v>
      </c>
      <c r="N1028" s="85">
        <v>0</v>
      </c>
      <c r="O1028" s="85">
        <v>6766.44</v>
      </c>
      <c r="P1028" s="85">
        <v>5988</v>
      </c>
      <c r="Q1028" s="85">
        <v>6766.44</v>
      </c>
      <c r="R1028" s="85">
        <v>778.44</v>
      </c>
      <c r="S1028" s="85">
        <v>0</v>
      </c>
      <c r="T1028" s="85">
        <v>6766.44</v>
      </c>
      <c r="U1028" s="82"/>
      <c r="V1028" s="82" t="s">
        <v>3396</v>
      </c>
      <c r="W1028" s="82" t="s">
        <v>3395</v>
      </c>
      <c r="X1028" s="82" t="s">
        <v>3394</v>
      </c>
      <c r="Y1028" s="82" t="s">
        <v>3393</v>
      </c>
    </row>
    <row r="1029" spans="1:25" ht="10.9" customHeight="1" x14ac:dyDescent="0.2">
      <c r="A1029" s="82" t="s">
        <v>3198</v>
      </c>
      <c r="B1029" s="82" t="s">
        <v>95</v>
      </c>
      <c r="C1029" s="83">
        <v>45931</v>
      </c>
      <c r="D1029" s="83">
        <v>45961</v>
      </c>
      <c r="E1029" s="83">
        <v>45961</v>
      </c>
      <c r="F1029" s="83">
        <v>45959</v>
      </c>
      <c r="G1029" s="83">
        <v>45937</v>
      </c>
      <c r="H1029" s="82" t="s">
        <v>614</v>
      </c>
      <c r="I1029" s="82" t="s">
        <v>22</v>
      </c>
      <c r="J1029" s="84">
        <v>0</v>
      </c>
      <c r="K1029" s="85">
        <v>5815.61</v>
      </c>
      <c r="L1029" s="85">
        <v>6106.39</v>
      </c>
      <c r="M1029" s="85">
        <v>290.77999999999997</v>
      </c>
      <c r="N1029" s="85">
        <v>6106.39</v>
      </c>
      <c r="O1029" s="85">
        <v>0</v>
      </c>
      <c r="P1029" s="85">
        <v>5815.61</v>
      </c>
      <c r="Q1029" s="85">
        <v>6106.39</v>
      </c>
      <c r="R1029" s="85">
        <v>290.77999999999997</v>
      </c>
      <c r="S1029" s="85">
        <v>6106.39</v>
      </c>
      <c r="T1029" s="85">
        <v>0</v>
      </c>
      <c r="U1029" s="82"/>
      <c r="V1029" s="82" t="s">
        <v>3399</v>
      </c>
      <c r="W1029" s="82" t="s">
        <v>3395</v>
      </c>
      <c r="X1029" s="82" t="s">
        <v>3394</v>
      </c>
      <c r="Y1029" s="82" t="s">
        <v>3393</v>
      </c>
    </row>
    <row r="1030" spans="1:25" ht="10.9" customHeight="1" x14ac:dyDescent="0.2">
      <c r="A1030" s="82" t="s">
        <v>3031</v>
      </c>
      <c r="B1030" s="82" t="s">
        <v>39</v>
      </c>
      <c r="C1030" s="83">
        <v>45931</v>
      </c>
      <c r="D1030" s="83">
        <v>45961</v>
      </c>
      <c r="E1030" s="83">
        <v>45961</v>
      </c>
      <c r="F1030" s="83">
        <v>45961</v>
      </c>
      <c r="G1030" s="83">
        <v>45937</v>
      </c>
      <c r="H1030" s="82" t="s">
        <v>945</v>
      </c>
      <c r="I1030" s="82" t="s">
        <v>22</v>
      </c>
      <c r="J1030" s="84">
        <v>0</v>
      </c>
      <c r="K1030" s="85">
        <v>242.22</v>
      </c>
      <c r="L1030" s="85">
        <v>254.33</v>
      </c>
      <c r="M1030" s="85">
        <v>12.11</v>
      </c>
      <c r="N1030" s="85">
        <v>254.33</v>
      </c>
      <c r="O1030" s="85">
        <v>0</v>
      </c>
      <c r="P1030" s="85">
        <v>242.22</v>
      </c>
      <c r="Q1030" s="85">
        <v>254.33</v>
      </c>
      <c r="R1030" s="85">
        <v>12.11</v>
      </c>
      <c r="S1030" s="85">
        <v>254.33</v>
      </c>
      <c r="T1030" s="85">
        <v>0</v>
      </c>
      <c r="U1030" s="82"/>
      <c r="V1030" s="82" t="s">
        <v>3399</v>
      </c>
      <c r="W1030" s="82" t="s">
        <v>3395</v>
      </c>
      <c r="X1030" s="82" t="s">
        <v>3394</v>
      </c>
      <c r="Y1030" s="82" t="s">
        <v>3393</v>
      </c>
    </row>
    <row r="1031" spans="1:25" ht="10.9" customHeight="1" x14ac:dyDescent="0.2">
      <c r="A1031" s="82" t="s">
        <v>2938</v>
      </c>
      <c r="B1031" s="82" t="s">
        <v>1105</v>
      </c>
      <c r="C1031" s="83">
        <v>45931</v>
      </c>
      <c r="D1031" s="83">
        <v>45991</v>
      </c>
      <c r="E1031" s="83">
        <v>45991</v>
      </c>
      <c r="F1031" s="83">
        <v>45995</v>
      </c>
      <c r="G1031" s="83">
        <v>45937</v>
      </c>
      <c r="H1031" s="82" t="s">
        <v>1104</v>
      </c>
      <c r="I1031" s="82" t="s">
        <v>22</v>
      </c>
      <c r="J1031" s="84">
        <v>0</v>
      </c>
      <c r="K1031" s="85">
        <v>406</v>
      </c>
      <c r="L1031" s="85">
        <v>458.78</v>
      </c>
      <c r="M1031" s="85">
        <v>52.78</v>
      </c>
      <c r="N1031" s="85">
        <v>458.78</v>
      </c>
      <c r="O1031" s="85">
        <v>0</v>
      </c>
      <c r="P1031" s="85">
        <v>406</v>
      </c>
      <c r="Q1031" s="85">
        <v>458.78</v>
      </c>
      <c r="R1031" s="85">
        <v>52.78</v>
      </c>
      <c r="S1031" s="85">
        <v>458.78</v>
      </c>
      <c r="T1031" s="85">
        <v>0</v>
      </c>
      <c r="U1031" s="82"/>
      <c r="V1031" s="82" t="s">
        <v>3399</v>
      </c>
      <c r="W1031" s="82" t="s">
        <v>3395</v>
      </c>
      <c r="X1031" s="82" t="s">
        <v>3394</v>
      </c>
      <c r="Y1031" s="82" t="s">
        <v>3393</v>
      </c>
    </row>
    <row r="1032" spans="1:25" ht="10.9" customHeight="1" x14ac:dyDescent="0.2">
      <c r="A1032" s="82" t="s">
        <v>2936</v>
      </c>
      <c r="B1032" s="82" t="s">
        <v>465</v>
      </c>
      <c r="C1032" s="83">
        <v>45931</v>
      </c>
      <c r="D1032" s="83">
        <v>45961</v>
      </c>
      <c r="E1032" s="83">
        <v>45961</v>
      </c>
      <c r="F1032" s="83">
        <v>45995</v>
      </c>
      <c r="G1032" s="83">
        <v>45937</v>
      </c>
      <c r="H1032" s="82" t="s">
        <v>3434</v>
      </c>
      <c r="I1032" s="82" t="s">
        <v>22</v>
      </c>
      <c r="J1032" s="84">
        <v>0</v>
      </c>
      <c r="K1032" s="85">
        <v>2274.2199999999998</v>
      </c>
      <c r="L1032" s="85">
        <v>2569.87</v>
      </c>
      <c r="M1032" s="85">
        <v>295.64999999999998</v>
      </c>
      <c r="N1032" s="85">
        <v>2569.87</v>
      </c>
      <c r="O1032" s="85">
        <v>0</v>
      </c>
      <c r="P1032" s="85">
        <v>2274.2199999999998</v>
      </c>
      <c r="Q1032" s="85">
        <v>2569.87</v>
      </c>
      <c r="R1032" s="85">
        <v>295.64999999999998</v>
      </c>
      <c r="S1032" s="85">
        <v>2569.87</v>
      </c>
      <c r="T1032" s="85">
        <v>0</v>
      </c>
      <c r="U1032" s="82"/>
      <c r="V1032" s="82" t="s">
        <v>3399</v>
      </c>
      <c r="W1032" s="82" t="s">
        <v>3395</v>
      </c>
      <c r="X1032" s="82" t="s">
        <v>3394</v>
      </c>
      <c r="Y1032" s="82" t="s">
        <v>3393</v>
      </c>
    </row>
    <row r="1033" spans="1:25" ht="10.9" customHeight="1" x14ac:dyDescent="0.2">
      <c r="A1033" s="82" t="s">
        <v>3224</v>
      </c>
      <c r="B1033" s="82" t="s">
        <v>39</v>
      </c>
      <c r="C1033" s="83">
        <v>45931</v>
      </c>
      <c r="D1033" s="83">
        <v>45961</v>
      </c>
      <c r="E1033" s="83">
        <v>45961</v>
      </c>
      <c r="F1033" s="83">
        <v>45961</v>
      </c>
      <c r="G1033" s="83">
        <v>45937</v>
      </c>
      <c r="H1033" s="82" t="s">
        <v>553</v>
      </c>
      <c r="I1033" s="82" t="s">
        <v>22</v>
      </c>
      <c r="J1033" s="84">
        <v>0</v>
      </c>
      <c r="K1033" s="85">
        <v>1863.92</v>
      </c>
      <c r="L1033" s="85">
        <v>1957.12</v>
      </c>
      <c r="M1033" s="85">
        <v>93.2</v>
      </c>
      <c r="N1033" s="85">
        <v>1957.12</v>
      </c>
      <c r="O1033" s="85">
        <v>0</v>
      </c>
      <c r="P1033" s="85">
        <v>1863.92</v>
      </c>
      <c r="Q1033" s="85">
        <v>1957.12</v>
      </c>
      <c r="R1033" s="85">
        <v>93.2</v>
      </c>
      <c r="S1033" s="85">
        <v>1957.12</v>
      </c>
      <c r="T1033" s="85">
        <v>0</v>
      </c>
      <c r="U1033" s="82"/>
      <c r="V1033" s="82" t="s">
        <v>3399</v>
      </c>
      <c r="W1033" s="82" t="s">
        <v>3395</v>
      </c>
      <c r="X1033" s="82" t="s">
        <v>3394</v>
      </c>
      <c r="Y1033" s="82" t="s">
        <v>3393</v>
      </c>
    </row>
    <row r="1034" spans="1:25" ht="10.9" customHeight="1" x14ac:dyDescent="0.2">
      <c r="A1034" s="82"/>
      <c r="B1034" s="82" t="s">
        <v>1231</v>
      </c>
      <c r="C1034" s="83">
        <v>45931</v>
      </c>
      <c r="D1034" s="83">
        <v>45931</v>
      </c>
      <c r="E1034" s="83">
        <v>45931</v>
      </c>
      <c r="F1034" s="83">
        <v>45936</v>
      </c>
      <c r="G1034" s="83">
        <v>45932</v>
      </c>
      <c r="H1034" s="82"/>
      <c r="I1034" s="82" t="s">
        <v>22</v>
      </c>
      <c r="J1034" s="84">
        <v>0</v>
      </c>
      <c r="K1034" s="85">
        <v>-5214.37</v>
      </c>
      <c r="L1034" s="85">
        <v>-5214.37</v>
      </c>
      <c r="M1034" s="85">
        <v>0</v>
      </c>
      <c r="N1034" s="85">
        <v>-5214.37</v>
      </c>
      <c r="O1034" s="85">
        <v>0</v>
      </c>
      <c r="P1034" s="85">
        <v>-5214.37</v>
      </c>
      <c r="Q1034" s="85">
        <v>-5214.37</v>
      </c>
      <c r="R1034" s="85">
        <v>0</v>
      </c>
      <c r="S1034" s="85">
        <v>-5214.37</v>
      </c>
      <c r="T1034" s="85">
        <v>0</v>
      </c>
      <c r="U1034" s="82"/>
      <c r="V1034" s="82" t="s">
        <v>3399</v>
      </c>
      <c r="W1034" s="82" t="s">
        <v>3423</v>
      </c>
      <c r="X1034" s="82" t="s">
        <v>3397</v>
      </c>
      <c r="Y1034" s="82"/>
    </row>
    <row r="1035" spans="1:25" ht="10.9" customHeight="1" x14ac:dyDescent="0.2">
      <c r="A1035" s="82" t="s">
        <v>3241</v>
      </c>
      <c r="B1035" s="82" t="s">
        <v>129</v>
      </c>
      <c r="C1035" s="83">
        <v>45932</v>
      </c>
      <c r="D1035" s="83">
        <v>45992</v>
      </c>
      <c r="E1035" s="83">
        <v>45992</v>
      </c>
      <c r="F1035" s="82"/>
      <c r="G1035" s="83">
        <v>45933</v>
      </c>
      <c r="H1035" s="82" t="s">
        <v>522</v>
      </c>
      <c r="I1035" s="82" t="s">
        <v>51</v>
      </c>
      <c r="J1035" s="84">
        <v>0.71595799999999998</v>
      </c>
      <c r="K1035" s="85">
        <v>966</v>
      </c>
      <c r="L1035" s="85">
        <v>966</v>
      </c>
      <c r="M1035" s="85">
        <v>0</v>
      </c>
      <c r="N1035" s="85">
        <v>0</v>
      </c>
      <c r="O1035" s="85">
        <v>966</v>
      </c>
      <c r="P1035" s="85">
        <v>1349.2411566041583</v>
      </c>
      <c r="Q1035" s="85">
        <v>1349.2411566041583</v>
      </c>
      <c r="R1035" s="85">
        <v>0</v>
      </c>
      <c r="S1035" s="85">
        <v>0</v>
      </c>
      <c r="T1035" s="85">
        <v>1325.76</v>
      </c>
      <c r="U1035" s="82" t="s">
        <v>3401</v>
      </c>
      <c r="V1035" s="82" t="s">
        <v>3396</v>
      </c>
      <c r="W1035" s="82" t="s">
        <v>3395</v>
      </c>
      <c r="X1035" s="82" t="s">
        <v>3394</v>
      </c>
      <c r="Y1035" s="82" t="s">
        <v>3393</v>
      </c>
    </row>
    <row r="1036" spans="1:25" ht="10.9" customHeight="1" x14ac:dyDescent="0.2">
      <c r="A1036" s="82" t="s">
        <v>3214</v>
      </c>
      <c r="B1036" s="82" t="s">
        <v>316</v>
      </c>
      <c r="C1036" s="83">
        <v>45932</v>
      </c>
      <c r="D1036" s="83">
        <v>45962</v>
      </c>
      <c r="E1036" s="83">
        <v>45962</v>
      </c>
      <c r="F1036" s="83">
        <v>45982</v>
      </c>
      <c r="G1036" s="83">
        <v>45933</v>
      </c>
      <c r="H1036" s="82" t="s">
        <v>575</v>
      </c>
      <c r="I1036" s="82" t="s">
        <v>22</v>
      </c>
      <c r="J1036" s="84">
        <v>0</v>
      </c>
      <c r="K1036" s="85">
        <v>2779.84</v>
      </c>
      <c r="L1036" s="85">
        <v>2918.83</v>
      </c>
      <c r="M1036" s="85">
        <v>138.99</v>
      </c>
      <c r="N1036" s="85">
        <v>2918.83</v>
      </c>
      <c r="O1036" s="85">
        <v>0</v>
      </c>
      <c r="P1036" s="85">
        <v>2779.84</v>
      </c>
      <c r="Q1036" s="85">
        <v>2918.83</v>
      </c>
      <c r="R1036" s="85">
        <v>138.99</v>
      </c>
      <c r="S1036" s="85">
        <v>2918.83</v>
      </c>
      <c r="T1036" s="85">
        <v>0</v>
      </c>
      <c r="U1036" s="82"/>
      <c r="V1036" s="82" t="s">
        <v>3399</v>
      </c>
      <c r="W1036" s="82" t="s">
        <v>3395</v>
      </c>
      <c r="X1036" s="82" t="s">
        <v>3394</v>
      </c>
      <c r="Y1036" s="82" t="s">
        <v>3393</v>
      </c>
    </row>
    <row r="1037" spans="1:25" ht="10.9" customHeight="1" x14ac:dyDescent="0.2">
      <c r="A1037" s="82" t="s">
        <v>3246</v>
      </c>
      <c r="B1037" s="82" t="s">
        <v>20</v>
      </c>
      <c r="C1037" s="83">
        <v>45932</v>
      </c>
      <c r="D1037" s="83">
        <v>45992</v>
      </c>
      <c r="E1037" s="83">
        <v>45992</v>
      </c>
      <c r="F1037" s="83">
        <v>45989</v>
      </c>
      <c r="G1037" s="83">
        <v>45933</v>
      </c>
      <c r="H1037" s="82" t="s">
        <v>513</v>
      </c>
      <c r="I1037" s="82" t="s">
        <v>22</v>
      </c>
      <c r="J1037" s="84">
        <v>0</v>
      </c>
      <c r="K1037" s="85">
        <v>1353.38</v>
      </c>
      <c r="L1037" s="85">
        <v>1421.05</v>
      </c>
      <c r="M1037" s="85">
        <v>67.67</v>
      </c>
      <c r="N1037" s="85">
        <v>1421.05</v>
      </c>
      <c r="O1037" s="85">
        <v>0</v>
      </c>
      <c r="P1037" s="85">
        <v>1353.38</v>
      </c>
      <c r="Q1037" s="85">
        <v>1421.05</v>
      </c>
      <c r="R1037" s="85">
        <v>67.67</v>
      </c>
      <c r="S1037" s="85">
        <v>1421.05</v>
      </c>
      <c r="T1037" s="85">
        <v>0</v>
      </c>
      <c r="U1037" s="82"/>
      <c r="V1037" s="82" t="s">
        <v>3399</v>
      </c>
      <c r="W1037" s="82" t="s">
        <v>3395</v>
      </c>
      <c r="X1037" s="82" t="s">
        <v>3394</v>
      </c>
      <c r="Y1037" s="82" t="s">
        <v>3393</v>
      </c>
    </row>
    <row r="1038" spans="1:25" ht="10.9" customHeight="1" x14ac:dyDescent="0.2">
      <c r="A1038" s="82" t="s">
        <v>3240</v>
      </c>
      <c r="B1038" s="82" t="s">
        <v>20</v>
      </c>
      <c r="C1038" s="83">
        <v>45932</v>
      </c>
      <c r="D1038" s="83">
        <v>45992</v>
      </c>
      <c r="E1038" s="83">
        <v>45992</v>
      </c>
      <c r="F1038" s="83">
        <v>45989</v>
      </c>
      <c r="G1038" s="83">
        <v>45933</v>
      </c>
      <c r="H1038" s="82" t="s">
        <v>524</v>
      </c>
      <c r="I1038" s="82" t="s">
        <v>22</v>
      </c>
      <c r="J1038" s="84">
        <v>0</v>
      </c>
      <c r="K1038" s="85">
        <v>956.66</v>
      </c>
      <c r="L1038" s="85">
        <v>1004.5</v>
      </c>
      <c r="M1038" s="85">
        <v>47.84</v>
      </c>
      <c r="N1038" s="85">
        <v>1004.5</v>
      </c>
      <c r="O1038" s="85">
        <v>0</v>
      </c>
      <c r="P1038" s="85">
        <v>956.66</v>
      </c>
      <c r="Q1038" s="85">
        <v>1004.5</v>
      </c>
      <c r="R1038" s="85">
        <v>47.84</v>
      </c>
      <c r="S1038" s="85">
        <v>1004.5</v>
      </c>
      <c r="T1038" s="85">
        <v>0</v>
      </c>
      <c r="U1038" s="82"/>
      <c r="V1038" s="82" t="s">
        <v>3399</v>
      </c>
      <c r="W1038" s="82" t="s">
        <v>3395</v>
      </c>
      <c r="X1038" s="82" t="s">
        <v>3394</v>
      </c>
      <c r="Y1038" s="82" t="s">
        <v>3393</v>
      </c>
    </row>
    <row r="1039" spans="1:25" ht="10.9" customHeight="1" x14ac:dyDescent="0.2">
      <c r="A1039" s="82" t="s">
        <v>2863</v>
      </c>
      <c r="B1039" s="82" t="s">
        <v>159</v>
      </c>
      <c r="C1039" s="83">
        <v>45936</v>
      </c>
      <c r="D1039" s="83">
        <v>45981</v>
      </c>
      <c r="E1039" s="83">
        <v>45981</v>
      </c>
      <c r="F1039" s="83">
        <v>45995</v>
      </c>
      <c r="G1039" s="83">
        <v>45936</v>
      </c>
      <c r="H1039" s="82" t="s">
        <v>1226</v>
      </c>
      <c r="I1039" s="82" t="s">
        <v>51</v>
      </c>
      <c r="J1039" s="84">
        <v>0.71690200000000004</v>
      </c>
      <c r="K1039" s="85">
        <v>791.8</v>
      </c>
      <c r="L1039" s="85">
        <v>791.8</v>
      </c>
      <c r="M1039" s="85">
        <v>0</v>
      </c>
      <c r="N1039" s="85">
        <v>791.8</v>
      </c>
      <c r="O1039" s="85">
        <v>0</v>
      </c>
      <c r="P1039" s="85">
        <v>1104.4745306889922</v>
      </c>
      <c r="Q1039" s="85">
        <v>1104.4745306889922</v>
      </c>
      <c r="R1039" s="85">
        <v>0</v>
      </c>
      <c r="S1039" s="85">
        <v>1104.6086</v>
      </c>
      <c r="T1039" s="85">
        <v>0</v>
      </c>
      <c r="U1039" s="82"/>
      <c r="V1039" s="82" t="s">
        <v>3399</v>
      </c>
      <c r="W1039" s="82" t="s">
        <v>3395</v>
      </c>
      <c r="X1039" s="82" t="s">
        <v>3394</v>
      </c>
      <c r="Y1039" s="82" t="s">
        <v>3393</v>
      </c>
    </row>
    <row r="1040" spans="1:25" ht="10.9" customHeight="1" x14ac:dyDescent="0.2">
      <c r="A1040" s="82" t="s">
        <v>2828</v>
      </c>
      <c r="B1040" s="82" t="s">
        <v>159</v>
      </c>
      <c r="C1040" s="83">
        <v>45936</v>
      </c>
      <c r="D1040" s="83">
        <v>45981</v>
      </c>
      <c r="E1040" s="83">
        <v>45981</v>
      </c>
      <c r="F1040" s="83">
        <v>45975</v>
      </c>
      <c r="G1040" s="83">
        <v>45936</v>
      </c>
      <c r="H1040" s="82" t="s">
        <v>1290</v>
      </c>
      <c r="I1040" s="82" t="s">
        <v>51</v>
      </c>
      <c r="J1040" s="84">
        <v>0.71690200000000004</v>
      </c>
      <c r="K1040" s="85">
        <v>2474.6999999999998</v>
      </c>
      <c r="L1040" s="85">
        <v>2474.6999999999998</v>
      </c>
      <c r="M1040" s="85">
        <v>0</v>
      </c>
      <c r="N1040" s="85">
        <v>2474.6999999999998</v>
      </c>
      <c r="O1040" s="85">
        <v>0</v>
      </c>
      <c r="P1040" s="85">
        <v>3451.936247911151</v>
      </c>
      <c r="Q1040" s="85">
        <v>3451.936247911151</v>
      </c>
      <c r="R1040" s="85">
        <v>0</v>
      </c>
      <c r="S1040" s="85">
        <v>3470.297</v>
      </c>
      <c r="T1040" s="85">
        <v>0</v>
      </c>
      <c r="U1040" s="82"/>
      <c r="V1040" s="82" t="s">
        <v>3399</v>
      </c>
      <c r="W1040" s="82" t="s">
        <v>3395</v>
      </c>
      <c r="X1040" s="82" t="s">
        <v>3394</v>
      </c>
      <c r="Y1040" s="82" t="s">
        <v>3393</v>
      </c>
    </row>
    <row r="1041" spans="1:25" ht="10.9" customHeight="1" x14ac:dyDescent="0.2">
      <c r="A1041" s="82" t="s">
        <v>2812</v>
      </c>
      <c r="B1041" s="82" t="s">
        <v>159</v>
      </c>
      <c r="C1041" s="83">
        <v>45936</v>
      </c>
      <c r="D1041" s="83">
        <v>45981</v>
      </c>
      <c r="E1041" s="83">
        <v>45981</v>
      </c>
      <c r="F1041" s="83">
        <v>45981</v>
      </c>
      <c r="G1041" s="83">
        <v>45936</v>
      </c>
      <c r="H1041" s="82" t="s">
        <v>1319</v>
      </c>
      <c r="I1041" s="82" t="s">
        <v>51</v>
      </c>
      <c r="J1041" s="84">
        <v>0.71690200000000004</v>
      </c>
      <c r="K1041" s="85">
        <v>5193.5</v>
      </c>
      <c r="L1041" s="85">
        <v>5193.5</v>
      </c>
      <c r="M1041" s="85">
        <v>0</v>
      </c>
      <c r="N1041" s="85">
        <v>5193.5</v>
      </c>
      <c r="O1041" s="85">
        <v>0</v>
      </c>
      <c r="P1041" s="85">
        <v>7244.3653386376382</v>
      </c>
      <c r="Q1041" s="85">
        <v>7244.3653386376382</v>
      </c>
      <c r="R1041" s="85">
        <v>0</v>
      </c>
      <c r="S1041" s="85">
        <v>7318.5717000000004</v>
      </c>
      <c r="T1041" s="85">
        <v>0</v>
      </c>
      <c r="U1041" s="82"/>
      <c r="V1041" s="82" t="s">
        <v>3399</v>
      </c>
      <c r="W1041" s="82" t="s">
        <v>3395</v>
      </c>
      <c r="X1041" s="82" t="s">
        <v>3394</v>
      </c>
      <c r="Y1041" s="82" t="s">
        <v>3393</v>
      </c>
    </row>
    <row r="1042" spans="1:25" ht="10.9" customHeight="1" x14ac:dyDescent="0.2">
      <c r="A1042" s="82" t="s">
        <v>3189</v>
      </c>
      <c r="B1042" s="82" t="s">
        <v>159</v>
      </c>
      <c r="C1042" s="83">
        <v>45936</v>
      </c>
      <c r="D1042" s="83">
        <v>45981</v>
      </c>
      <c r="E1042" s="83">
        <v>45981</v>
      </c>
      <c r="F1042" s="83">
        <v>45981</v>
      </c>
      <c r="G1042" s="83">
        <v>45936</v>
      </c>
      <c r="H1042" s="82" t="s">
        <v>634</v>
      </c>
      <c r="I1042" s="82" t="s">
        <v>51</v>
      </c>
      <c r="J1042" s="84">
        <v>0.71690200000000004</v>
      </c>
      <c r="K1042" s="85">
        <v>5389.12</v>
      </c>
      <c r="L1042" s="85">
        <v>5389.12</v>
      </c>
      <c r="M1042" s="85">
        <v>0</v>
      </c>
      <c r="N1042" s="85">
        <v>5389.12</v>
      </c>
      <c r="O1042" s="85">
        <v>0</v>
      </c>
      <c r="P1042" s="85">
        <v>7517.2338757598664</v>
      </c>
      <c r="Q1042" s="85">
        <v>7517.2338757598664</v>
      </c>
      <c r="R1042" s="85">
        <v>0</v>
      </c>
      <c r="S1042" s="85">
        <v>7594.2353000000003</v>
      </c>
      <c r="T1042" s="85">
        <v>0</v>
      </c>
      <c r="U1042" s="82"/>
      <c r="V1042" s="82" t="s">
        <v>3399</v>
      </c>
      <c r="W1042" s="82" t="s">
        <v>3395</v>
      </c>
      <c r="X1042" s="82" t="s">
        <v>3394</v>
      </c>
      <c r="Y1042" s="82" t="s">
        <v>3393</v>
      </c>
    </row>
    <row r="1043" spans="1:25" ht="10.9" customHeight="1" x14ac:dyDescent="0.2">
      <c r="A1043" s="82" t="s">
        <v>3243</v>
      </c>
      <c r="B1043" s="82" t="s">
        <v>159</v>
      </c>
      <c r="C1043" s="83">
        <v>45936</v>
      </c>
      <c r="D1043" s="83">
        <v>45981</v>
      </c>
      <c r="E1043" s="83">
        <v>45981</v>
      </c>
      <c r="F1043" s="82"/>
      <c r="G1043" s="83">
        <v>45936</v>
      </c>
      <c r="H1043" s="82" t="s">
        <v>520</v>
      </c>
      <c r="I1043" s="82" t="s">
        <v>51</v>
      </c>
      <c r="J1043" s="84">
        <v>0.71690200000000004</v>
      </c>
      <c r="K1043" s="85">
        <v>178684.57</v>
      </c>
      <c r="L1043" s="85">
        <v>178684.57</v>
      </c>
      <c r="M1043" s="85">
        <v>0</v>
      </c>
      <c r="N1043" s="85">
        <v>0</v>
      </c>
      <c r="O1043" s="85">
        <v>178684.57</v>
      </c>
      <c r="P1043" s="85">
        <v>249245.46172280173</v>
      </c>
      <c r="Q1043" s="85">
        <v>249245.46172280173</v>
      </c>
      <c r="R1043" s="85">
        <v>0</v>
      </c>
      <c r="S1043" s="85">
        <v>0</v>
      </c>
      <c r="T1043" s="85">
        <v>245230.25</v>
      </c>
      <c r="U1043" s="82" t="s">
        <v>3401</v>
      </c>
      <c r="V1043" s="82" t="s">
        <v>3396</v>
      </c>
      <c r="W1043" s="82" t="s">
        <v>3395</v>
      </c>
      <c r="X1043" s="82" t="s">
        <v>3394</v>
      </c>
      <c r="Y1043" s="82" t="s">
        <v>3393</v>
      </c>
    </row>
    <row r="1044" spans="1:25" ht="10.9" customHeight="1" x14ac:dyDescent="0.2">
      <c r="A1044" s="82" t="s">
        <v>3254</v>
      </c>
      <c r="B1044" s="82" t="s">
        <v>316</v>
      </c>
      <c r="C1044" s="83">
        <v>45936</v>
      </c>
      <c r="D1044" s="83">
        <v>45966</v>
      </c>
      <c r="E1044" s="83">
        <v>45966</v>
      </c>
      <c r="F1044" s="83">
        <v>45982</v>
      </c>
      <c r="G1044" s="83">
        <v>45936</v>
      </c>
      <c r="H1044" s="82" t="s">
        <v>492</v>
      </c>
      <c r="I1044" s="82" t="s">
        <v>22</v>
      </c>
      <c r="J1044" s="84">
        <v>0</v>
      </c>
      <c r="K1044" s="85">
        <v>373.11</v>
      </c>
      <c r="L1044" s="85">
        <v>391.77</v>
      </c>
      <c r="M1044" s="85">
        <v>18.66</v>
      </c>
      <c r="N1044" s="85">
        <v>391.77</v>
      </c>
      <c r="O1044" s="85">
        <v>0</v>
      </c>
      <c r="P1044" s="85">
        <v>373.11</v>
      </c>
      <c r="Q1044" s="85">
        <v>391.77</v>
      </c>
      <c r="R1044" s="85">
        <v>18.66</v>
      </c>
      <c r="S1044" s="85">
        <v>391.77</v>
      </c>
      <c r="T1044" s="85">
        <v>0</v>
      </c>
      <c r="U1044" s="82"/>
      <c r="V1044" s="82" t="s">
        <v>3399</v>
      </c>
      <c r="W1044" s="82" t="s">
        <v>3395</v>
      </c>
      <c r="X1044" s="82" t="s">
        <v>3394</v>
      </c>
      <c r="Y1044" s="82" t="s">
        <v>3393</v>
      </c>
    </row>
    <row r="1045" spans="1:25" ht="10.9" customHeight="1" x14ac:dyDescent="0.2">
      <c r="A1045" s="82" t="s">
        <v>2861</v>
      </c>
      <c r="B1045" s="82" t="s">
        <v>1231</v>
      </c>
      <c r="C1045" s="83">
        <v>45936</v>
      </c>
      <c r="D1045" s="83">
        <v>45936</v>
      </c>
      <c r="E1045" s="83">
        <v>45936</v>
      </c>
      <c r="F1045" s="83">
        <v>45936</v>
      </c>
      <c r="G1045" s="83">
        <v>45937</v>
      </c>
      <c r="H1045" s="82" t="s">
        <v>1230</v>
      </c>
      <c r="I1045" s="82" t="s">
        <v>22</v>
      </c>
      <c r="J1045" s="84">
        <v>0</v>
      </c>
      <c r="K1045" s="85">
        <v>9932.14</v>
      </c>
      <c r="L1045" s="85">
        <v>10428.75</v>
      </c>
      <c r="M1045" s="85">
        <v>496.61</v>
      </c>
      <c r="N1045" s="85">
        <v>10428.75</v>
      </c>
      <c r="O1045" s="85">
        <v>0</v>
      </c>
      <c r="P1045" s="85">
        <v>9932.14</v>
      </c>
      <c r="Q1045" s="85">
        <v>10428.75</v>
      </c>
      <c r="R1045" s="85">
        <v>496.61</v>
      </c>
      <c r="S1045" s="85">
        <v>10428.75</v>
      </c>
      <c r="T1045" s="85">
        <v>0</v>
      </c>
      <c r="U1045" s="82"/>
      <c r="V1045" s="82" t="s">
        <v>3399</v>
      </c>
      <c r="W1045" s="82" t="s">
        <v>3395</v>
      </c>
      <c r="X1045" s="82" t="s">
        <v>3394</v>
      </c>
      <c r="Y1045" s="82" t="s">
        <v>3393</v>
      </c>
    </row>
    <row r="1046" spans="1:25" ht="10.9" customHeight="1" x14ac:dyDescent="0.2">
      <c r="A1046" s="82" t="s">
        <v>3003</v>
      </c>
      <c r="B1046" s="82" t="s">
        <v>95</v>
      </c>
      <c r="C1046" s="83">
        <v>45936</v>
      </c>
      <c r="D1046" s="83">
        <v>45966</v>
      </c>
      <c r="E1046" s="83">
        <v>45966</v>
      </c>
      <c r="F1046" s="83">
        <v>45967</v>
      </c>
      <c r="G1046" s="83">
        <v>45937</v>
      </c>
      <c r="H1046" s="82" t="s">
        <v>996</v>
      </c>
      <c r="I1046" s="82" t="s">
        <v>22</v>
      </c>
      <c r="J1046" s="84">
        <v>0</v>
      </c>
      <c r="K1046" s="85">
        <v>1549.78</v>
      </c>
      <c r="L1046" s="85">
        <v>1627.27</v>
      </c>
      <c r="M1046" s="85">
        <v>77.489999999999995</v>
      </c>
      <c r="N1046" s="85">
        <v>1627.27</v>
      </c>
      <c r="O1046" s="85">
        <v>0</v>
      </c>
      <c r="P1046" s="85">
        <v>1549.78</v>
      </c>
      <c r="Q1046" s="85">
        <v>1627.27</v>
      </c>
      <c r="R1046" s="85">
        <v>77.489999999999995</v>
      </c>
      <c r="S1046" s="85">
        <v>1627.27</v>
      </c>
      <c r="T1046" s="85">
        <v>0</v>
      </c>
      <c r="U1046" s="82"/>
      <c r="V1046" s="82" t="s">
        <v>3399</v>
      </c>
      <c r="W1046" s="82" t="s">
        <v>3395</v>
      </c>
      <c r="X1046" s="82" t="s">
        <v>3394</v>
      </c>
      <c r="Y1046" s="82" t="s">
        <v>3393</v>
      </c>
    </row>
    <row r="1047" spans="1:25" ht="10.9" customHeight="1" x14ac:dyDescent="0.2">
      <c r="A1047" s="82" t="s">
        <v>3255</v>
      </c>
      <c r="B1047" s="82" t="s">
        <v>39</v>
      </c>
      <c r="C1047" s="83">
        <v>45936</v>
      </c>
      <c r="D1047" s="83">
        <v>45937</v>
      </c>
      <c r="E1047" s="83">
        <v>45937</v>
      </c>
      <c r="F1047" s="83">
        <v>45967</v>
      </c>
      <c r="G1047" s="83">
        <v>45937</v>
      </c>
      <c r="H1047" s="82" t="s">
        <v>490</v>
      </c>
      <c r="I1047" s="82" t="s">
        <v>22</v>
      </c>
      <c r="J1047" s="84">
        <v>0</v>
      </c>
      <c r="K1047" s="85">
        <v>5276.54</v>
      </c>
      <c r="L1047" s="85">
        <v>5540.37</v>
      </c>
      <c r="M1047" s="85">
        <v>263.83</v>
      </c>
      <c r="N1047" s="85">
        <v>5540.37</v>
      </c>
      <c r="O1047" s="85">
        <v>0</v>
      </c>
      <c r="P1047" s="85">
        <v>5276.54</v>
      </c>
      <c r="Q1047" s="85">
        <v>5540.37</v>
      </c>
      <c r="R1047" s="85">
        <v>263.83</v>
      </c>
      <c r="S1047" s="85">
        <v>5540.37</v>
      </c>
      <c r="T1047" s="85">
        <v>0</v>
      </c>
      <c r="U1047" s="82"/>
      <c r="V1047" s="82" t="s">
        <v>3399</v>
      </c>
      <c r="W1047" s="82" t="s">
        <v>3395</v>
      </c>
      <c r="X1047" s="82" t="s">
        <v>3394</v>
      </c>
      <c r="Y1047" s="82" t="s">
        <v>3393</v>
      </c>
    </row>
    <row r="1048" spans="1:25" ht="10.9" customHeight="1" x14ac:dyDescent="0.2">
      <c r="A1048" s="82" t="s">
        <v>2838</v>
      </c>
      <c r="B1048" s="82" t="s">
        <v>239</v>
      </c>
      <c r="C1048" s="83">
        <v>45937</v>
      </c>
      <c r="D1048" s="83">
        <v>45937</v>
      </c>
      <c r="E1048" s="83">
        <v>45937</v>
      </c>
      <c r="F1048" s="83">
        <v>45954</v>
      </c>
      <c r="G1048" s="83">
        <v>45937</v>
      </c>
      <c r="H1048" s="82" t="s">
        <v>3432</v>
      </c>
      <c r="I1048" s="82" t="s">
        <v>51</v>
      </c>
      <c r="J1048" s="84">
        <v>0.71672800000000003</v>
      </c>
      <c r="K1048" s="85">
        <v>2660</v>
      </c>
      <c r="L1048" s="85">
        <v>2660</v>
      </c>
      <c r="M1048" s="85">
        <v>0</v>
      </c>
      <c r="N1048" s="85">
        <v>2660</v>
      </c>
      <c r="O1048" s="85">
        <v>0</v>
      </c>
      <c r="P1048" s="85">
        <v>3711.3102878637364</v>
      </c>
      <c r="Q1048" s="85">
        <v>3711.3102878637364</v>
      </c>
      <c r="R1048" s="85">
        <v>0</v>
      </c>
      <c r="S1048" s="85">
        <v>3722.1903000000002</v>
      </c>
      <c r="T1048" s="85">
        <v>0</v>
      </c>
      <c r="U1048" s="82"/>
      <c r="V1048" s="82" t="s">
        <v>3399</v>
      </c>
      <c r="W1048" s="82" t="s">
        <v>3395</v>
      </c>
      <c r="X1048" s="82" t="s">
        <v>3394</v>
      </c>
      <c r="Y1048" s="82" t="s">
        <v>3393</v>
      </c>
    </row>
    <row r="1049" spans="1:25" ht="10.9" customHeight="1" x14ac:dyDescent="0.2">
      <c r="A1049" s="82" t="s">
        <v>3260</v>
      </c>
      <c r="B1049" s="82" t="s">
        <v>141</v>
      </c>
      <c r="C1049" s="83">
        <v>45937</v>
      </c>
      <c r="D1049" s="83">
        <v>45982</v>
      </c>
      <c r="E1049" s="83">
        <v>45982</v>
      </c>
      <c r="F1049" s="82"/>
      <c r="G1049" s="83">
        <v>45937</v>
      </c>
      <c r="H1049" s="82" t="s">
        <v>480</v>
      </c>
      <c r="I1049" s="82" t="s">
        <v>51</v>
      </c>
      <c r="J1049" s="84">
        <v>0.71608099999999997</v>
      </c>
      <c r="K1049" s="85">
        <v>979.3</v>
      </c>
      <c r="L1049" s="85">
        <v>979.3</v>
      </c>
      <c r="M1049" s="85">
        <v>0</v>
      </c>
      <c r="N1049" s="85">
        <v>0</v>
      </c>
      <c r="O1049" s="85">
        <v>979.3</v>
      </c>
      <c r="P1049" s="85">
        <v>1367.5827175975901</v>
      </c>
      <c r="Q1049" s="85">
        <v>1367.5827175975901</v>
      </c>
      <c r="R1049" s="85">
        <v>0</v>
      </c>
      <c r="S1049" s="85">
        <v>0</v>
      </c>
      <c r="T1049" s="85">
        <v>1344.01</v>
      </c>
      <c r="U1049" s="82" t="s">
        <v>3401</v>
      </c>
      <c r="V1049" s="82" t="s">
        <v>3396</v>
      </c>
      <c r="W1049" s="82" t="s">
        <v>3395</v>
      </c>
      <c r="X1049" s="82" t="s">
        <v>3394</v>
      </c>
      <c r="Y1049" s="82" t="s">
        <v>3393</v>
      </c>
    </row>
    <row r="1050" spans="1:25" ht="10.9" customHeight="1" x14ac:dyDescent="0.2">
      <c r="A1050" s="82" t="s">
        <v>3239</v>
      </c>
      <c r="B1050" s="82" t="s">
        <v>242</v>
      </c>
      <c r="C1050" s="83">
        <v>45937</v>
      </c>
      <c r="D1050" s="83">
        <v>45967</v>
      </c>
      <c r="E1050" s="83">
        <v>45967</v>
      </c>
      <c r="F1050" s="83">
        <v>45973</v>
      </c>
      <c r="G1050" s="83">
        <v>45937</v>
      </c>
      <c r="H1050" s="82" t="s">
        <v>526</v>
      </c>
      <c r="I1050" s="82" t="s">
        <v>22</v>
      </c>
      <c r="J1050" s="84">
        <v>0</v>
      </c>
      <c r="K1050" s="85">
        <v>2627.35</v>
      </c>
      <c r="L1050" s="85">
        <v>2758.72</v>
      </c>
      <c r="M1050" s="85">
        <v>131.37</v>
      </c>
      <c r="N1050" s="85">
        <v>2758.72</v>
      </c>
      <c r="O1050" s="85">
        <v>0</v>
      </c>
      <c r="P1050" s="85">
        <v>2627.35</v>
      </c>
      <c r="Q1050" s="85">
        <v>2758.72</v>
      </c>
      <c r="R1050" s="85">
        <v>131.37</v>
      </c>
      <c r="S1050" s="85">
        <v>2758.72</v>
      </c>
      <c r="T1050" s="85">
        <v>0</v>
      </c>
      <c r="U1050" s="82"/>
      <c r="V1050" s="82" t="s">
        <v>3399</v>
      </c>
      <c r="W1050" s="82" t="s">
        <v>3395</v>
      </c>
      <c r="X1050" s="82" t="s">
        <v>3394</v>
      </c>
      <c r="Y1050" s="82" t="s">
        <v>3393</v>
      </c>
    </row>
    <row r="1051" spans="1:25" ht="10.9" customHeight="1" x14ac:dyDescent="0.2">
      <c r="A1051" s="82" t="s">
        <v>3228</v>
      </c>
      <c r="B1051" s="82" t="s">
        <v>242</v>
      </c>
      <c r="C1051" s="83">
        <v>45937</v>
      </c>
      <c r="D1051" s="83">
        <v>45967</v>
      </c>
      <c r="E1051" s="83">
        <v>45967</v>
      </c>
      <c r="F1051" s="83">
        <v>45973</v>
      </c>
      <c r="G1051" s="83">
        <v>45937</v>
      </c>
      <c r="H1051" s="82" t="s">
        <v>547</v>
      </c>
      <c r="I1051" s="82" t="s">
        <v>22</v>
      </c>
      <c r="J1051" s="84">
        <v>0</v>
      </c>
      <c r="K1051" s="85">
        <v>759.21</v>
      </c>
      <c r="L1051" s="85">
        <v>797.17</v>
      </c>
      <c r="M1051" s="85">
        <v>37.96</v>
      </c>
      <c r="N1051" s="85">
        <v>797.17</v>
      </c>
      <c r="O1051" s="85">
        <v>0</v>
      </c>
      <c r="P1051" s="85">
        <v>759.21</v>
      </c>
      <c r="Q1051" s="85">
        <v>797.17</v>
      </c>
      <c r="R1051" s="85">
        <v>37.96</v>
      </c>
      <c r="S1051" s="85">
        <v>797.17</v>
      </c>
      <c r="T1051" s="85">
        <v>0</v>
      </c>
      <c r="U1051" s="82"/>
      <c r="V1051" s="82" t="s">
        <v>3399</v>
      </c>
      <c r="W1051" s="82" t="s">
        <v>3395</v>
      </c>
      <c r="X1051" s="82" t="s">
        <v>3394</v>
      </c>
      <c r="Y1051" s="82" t="s">
        <v>3393</v>
      </c>
    </row>
    <row r="1052" spans="1:25" ht="10.9" customHeight="1" x14ac:dyDescent="0.2">
      <c r="A1052" s="82" t="s">
        <v>3218</v>
      </c>
      <c r="B1052" s="82" t="s">
        <v>242</v>
      </c>
      <c r="C1052" s="83">
        <v>45937</v>
      </c>
      <c r="D1052" s="83">
        <v>45967</v>
      </c>
      <c r="E1052" s="83">
        <v>45967</v>
      </c>
      <c r="F1052" s="83">
        <v>45973</v>
      </c>
      <c r="G1052" s="83">
        <v>45937</v>
      </c>
      <c r="H1052" s="82" t="s">
        <v>564</v>
      </c>
      <c r="I1052" s="82" t="s">
        <v>22</v>
      </c>
      <c r="J1052" s="84">
        <v>0</v>
      </c>
      <c r="K1052" s="85">
        <v>50</v>
      </c>
      <c r="L1052" s="85">
        <v>52.5</v>
      </c>
      <c r="M1052" s="85">
        <v>2.5</v>
      </c>
      <c r="N1052" s="85">
        <v>52.5</v>
      </c>
      <c r="O1052" s="85">
        <v>0</v>
      </c>
      <c r="P1052" s="85">
        <v>50</v>
      </c>
      <c r="Q1052" s="85">
        <v>52.5</v>
      </c>
      <c r="R1052" s="85">
        <v>2.5</v>
      </c>
      <c r="S1052" s="85">
        <v>52.5</v>
      </c>
      <c r="T1052" s="85">
        <v>0</v>
      </c>
      <c r="U1052" s="82"/>
      <c r="V1052" s="82" t="s">
        <v>3399</v>
      </c>
      <c r="W1052" s="82" t="s">
        <v>3395</v>
      </c>
      <c r="X1052" s="82" t="s">
        <v>3394</v>
      </c>
      <c r="Y1052" s="82" t="s">
        <v>3393</v>
      </c>
    </row>
    <row r="1053" spans="1:25" ht="10.9" customHeight="1" x14ac:dyDescent="0.2">
      <c r="A1053" s="82" t="s">
        <v>3247</v>
      </c>
      <c r="B1053" s="82" t="s">
        <v>242</v>
      </c>
      <c r="C1053" s="83">
        <v>45937</v>
      </c>
      <c r="D1053" s="83">
        <v>45967</v>
      </c>
      <c r="E1053" s="83">
        <v>45967</v>
      </c>
      <c r="F1053" s="83">
        <v>45973</v>
      </c>
      <c r="G1053" s="83">
        <v>45937</v>
      </c>
      <c r="H1053" s="82" t="s">
        <v>511</v>
      </c>
      <c r="I1053" s="82" t="s">
        <v>22</v>
      </c>
      <c r="J1053" s="84">
        <v>0</v>
      </c>
      <c r="K1053" s="85">
        <v>168.59</v>
      </c>
      <c r="L1053" s="85">
        <v>177.02</v>
      </c>
      <c r="M1053" s="85">
        <v>8.43</v>
      </c>
      <c r="N1053" s="85">
        <v>177.02</v>
      </c>
      <c r="O1053" s="85">
        <v>0</v>
      </c>
      <c r="P1053" s="85">
        <v>168.59</v>
      </c>
      <c r="Q1053" s="85">
        <v>177.02</v>
      </c>
      <c r="R1053" s="85">
        <v>8.43</v>
      </c>
      <c r="S1053" s="85">
        <v>177.02</v>
      </c>
      <c r="T1053" s="85">
        <v>0</v>
      </c>
      <c r="U1053" s="82"/>
      <c r="V1053" s="82" t="s">
        <v>3399</v>
      </c>
      <c r="W1053" s="82" t="s">
        <v>3395</v>
      </c>
      <c r="X1053" s="82" t="s">
        <v>3394</v>
      </c>
      <c r="Y1053" s="82" t="s">
        <v>3393</v>
      </c>
    </row>
    <row r="1054" spans="1:25" ht="10.9" customHeight="1" x14ac:dyDescent="0.2">
      <c r="A1054" s="82" t="s">
        <v>3250</v>
      </c>
      <c r="B1054" s="82" t="s">
        <v>3412</v>
      </c>
      <c r="C1054" s="83">
        <v>45937</v>
      </c>
      <c r="D1054" s="83">
        <v>45982</v>
      </c>
      <c r="E1054" s="83">
        <v>45982</v>
      </c>
      <c r="F1054" s="82"/>
      <c r="G1054" s="83">
        <v>45937</v>
      </c>
      <c r="H1054" s="82" t="s">
        <v>501</v>
      </c>
      <c r="I1054" s="82" t="s">
        <v>22</v>
      </c>
      <c r="J1054" s="84">
        <v>0</v>
      </c>
      <c r="K1054" s="85">
        <v>1495.52</v>
      </c>
      <c r="L1054" s="85">
        <v>1570.3</v>
      </c>
      <c r="M1054" s="85">
        <v>74.78</v>
      </c>
      <c r="N1054" s="85">
        <v>0</v>
      </c>
      <c r="O1054" s="85">
        <v>1570.3</v>
      </c>
      <c r="P1054" s="85">
        <v>1495.52</v>
      </c>
      <c r="Q1054" s="85">
        <v>1570.3</v>
      </c>
      <c r="R1054" s="85">
        <v>74.78</v>
      </c>
      <c r="S1054" s="85">
        <v>0</v>
      </c>
      <c r="T1054" s="85">
        <v>1570.3</v>
      </c>
      <c r="U1054" s="82"/>
      <c r="V1054" s="82" t="s">
        <v>3396</v>
      </c>
      <c r="W1054" s="82" t="s">
        <v>3395</v>
      </c>
      <c r="X1054" s="82" t="s">
        <v>3394</v>
      </c>
      <c r="Y1054" s="82" t="s">
        <v>3393</v>
      </c>
    </row>
    <row r="1055" spans="1:25" ht="10.9" customHeight="1" x14ac:dyDescent="0.2">
      <c r="A1055" s="82" t="s">
        <v>3249</v>
      </c>
      <c r="B1055" s="82" t="s">
        <v>3412</v>
      </c>
      <c r="C1055" s="83">
        <v>45937</v>
      </c>
      <c r="D1055" s="83">
        <v>45982</v>
      </c>
      <c r="E1055" s="83">
        <v>45982</v>
      </c>
      <c r="F1055" s="82"/>
      <c r="G1055" s="83">
        <v>45937</v>
      </c>
      <c r="H1055" s="82" t="s">
        <v>504</v>
      </c>
      <c r="I1055" s="82" t="s">
        <v>22</v>
      </c>
      <c r="J1055" s="84">
        <v>0</v>
      </c>
      <c r="K1055" s="85">
        <v>3200.66</v>
      </c>
      <c r="L1055" s="85">
        <v>3360.7</v>
      </c>
      <c r="M1055" s="85">
        <v>160.04</v>
      </c>
      <c r="N1055" s="85">
        <v>0</v>
      </c>
      <c r="O1055" s="85">
        <v>3360.7</v>
      </c>
      <c r="P1055" s="85">
        <v>3200.66</v>
      </c>
      <c r="Q1055" s="85">
        <v>3360.7</v>
      </c>
      <c r="R1055" s="85">
        <v>160.04</v>
      </c>
      <c r="S1055" s="85">
        <v>0</v>
      </c>
      <c r="T1055" s="85">
        <v>3360.7</v>
      </c>
      <c r="U1055" s="82"/>
      <c r="V1055" s="82" t="s">
        <v>3396</v>
      </c>
      <c r="W1055" s="82" t="s">
        <v>3395</v>
      </c>
      <c r="X1055" s="82" t="s">
        <v>3394</v>
      </c>
      <c r="Y1055" s="82" t="s">
        <v>3393</v>
      </c>
    </row>
    <row r="1056" spans="1:25" ht="10.9" customHeight="1" x14ac:dyDescent="0.2">
      <c r="A1056" s="82" t="s">
        <v>3148</v>
      </c>
      <c r="B1056" s="82" t="s">
        <v>714</v>
      </c>
      <c r="C1056" s="83">
        <v>45937</v>
      </c>
      <c r="D1056" s="83">
        <v>45967</v>
      </c>
      <c r="E1056" s="83">
        <v>45967</v>
      </c>
      <c r="F1056" s="83">
        <v>45945</v>
      </c>
      <c r="G1056" s="83">
        <v>45937</v>
      </c>
      <c r="H1056" s="82" t="s">
        <v>713</v>
      </c>
      <c r="I1056" s="82" t="s">
        <v>51</v>
      </c>
      <c r="J1056" s="84">
        <v>0.71608099999999997</v>
      </c>
      <c r="K1056" s="85">
        <v>241.39</v>
      </c>
      <c r="L1056" s="85">
        <v>241.39</v>
      </c>
      <c r="M1056" s="85">
        <v>0</v>
      </c>
      <c r="N1056" s="85">
        <v>241.39</v>
      </c>
      <c r="O1056" s="85">
        <v>0</v>
      </c>
      <c r="P1056" s="85">
        <v>337.09873603684491</v>
      </c>
      <c r="Q1056" s="85">
        <v>337.09873603684491</v>
      </c>
      <c r="R1056" s="85">
        <v>0</v>
      </c>
      <c r="S1056" s="85">
        <v>338.90190000000001</v>
      </c>
      <c r="T1056" s="85">
        <v>0</v>
      </c>
      <c r="U1056" s="82"/>
      <c r="V1056" s="82" t="s">
        <v>3399</v>
      </c>
      <c r="W1056" s="82" t="s">
        <v>3395</v>
      </c>
      <c r="X1056" s="82" t="s">
        <v>3394</v>
      </c>
      <c r="Y1056" s="82" t="s">
        <v>3393</v>
      </c>
    </row>
    <row r="1057" spans="1:25" ht="10.9" customHeight="1" x14ac:dyDescent="0.2">
      <c r="A1057" s="82" t="s">
        <v>3257</v>
      </c>
      <c r="B1057" s="82" t="s">
        <v>64</v>
      </c>
      <c r="C1057" s="83">
        <v>45937</v>
      </c>
      <c r="D1057" s="83">
        <v>45967</v>
      </c>
      <c r="E1057" s="83">
        <v>45967</v>
      </c>
      <c r="F1057" s="83">
        <v>45974</v>
      </c>
      <c r="G1057" s="83">
        <v>45937</v>
      </c>
      <c r="H1057" s="82" t="s">
        <v>486</v>
      </c>
      <c r="I1057" s="82" t="s">
        <v>22</v>
      </c>
      <c r="J1057" s="84">
        <v>0</v>
      </c>
      <c r="K1057" s="85">
        <v>1255.08</v>
      </c>
      <c r="L1057" s="85">
        <v>1418.24</v>
      </c>
      <c r="M1057" s="85">
        <v>163.16</v>
      </c>
      <c r="N1057" s="85">
        <v>1418.24</v>
      </c>
      <c r="O1057" s="85">
        <v>0</v>
      </c>
      <c r="P1057" s="85">
        <v>1255.08</v>
      </c>
      <c r="Q1057" s="85">
        <v>1418.24</v>
      </c>
      <c r="R1057" s="85">
        <v>163.16</v>
      </c>
      <c r="S1057" s="85">
        <v>1418.24</v>
      </c>
      <c r="T1057" s="85">
        <v>0</v>
      </c>
      <c r="U1057" s="82"/>
      <c r="V1057" s="82" t="s">
        <v>3399</v>
      </c>
      <c r="W1057" s="82" t="s">
        <v>3395</v>
      </c>
      <c r="X1057" s="82" t="s">
        <v>3394</v>
      </c>
      <c r="Y1057" s="82" t="s">
        <v>3393</v>
      </c>
    </row>
    <row r="1058" spans="1:25" ht="10.9" customHeight="1" x14ac:dyDescent="0.2">
      <c r="A1058" s="82" t="s">
        <v>3256</v>
      </c>
      <c r="B1058" s="82" t="s">
        <v>465</v>
      </c>
      <c r="C1058" s="83">
        <v>45937</v>
      </c>
      <c r="D1058" s="83">
        <v>45967</v>
      </c>
      <c r="E1058" s="83">
        <v>45967</v>
      </c>
      <c r="F1058" s="83">
        <v>45995</v>
      </c>
      <c r="G1058" s="83">
        <v>45937</v>
      </c>
      <c r="H1058" s="82" t="s">
        <v>488</v>
      </c>
      <c r="I1058" s="82" t="s">
        <v>22</v>
      </c>
      <c r="J1058" s="84">
        <v>0</v>
      </c>
      <c r="K1058" s="85">
        <v>304.68</v>
      </c>
      <c r="L1058" s="85">
        <v>344.29</v>
      </c>
      <c r="M1058" s="85">
        <v>39.61</v>
      </c>
      <c r="N1058" s="85">
        <v>344.29</v>
      </c>
      <c r="O1058" s="85">
        <v>0</v>
      </c>
      <c r="P1058" s="85">
        <v>304.68</v>
      </c>
      <c r="Q1058" s="85">
        <v>344.29</v>
      </c>
      <c r="R1058" s="85">
        <v>39.61</v>
      </c>
      <c r="S1058" s="85">
        <v>344.29</v>
      </c>
      <c r="T1058" s="85">
        <v>0</v>
      </c>
      <c r="U1058" s="82"/>
      <c r="V1058" s="82" t="s">
        <v>3399</v>
      </c>
      <c r="W1058" s="82" t="s">
        <v>3395</v>
      </c>
      <c r="X1058" s="82" t="s">
        <v>3394</v>
      </c>
      <c r="Y1058" s="82" t="s">
        <v>3393</v>
      </c>
    </row>
    <row r="1059" spans="1:25" ht="10.9" customHeight="1" x14ac:dyDescent="0.2">
      <c r="A1059" s="82" t="s">
        <v>2923</v>
      </c>
      <c r="B1059" s="82" t="s">
        <v>146</v>
      </c>
      <c r="C1059" s="83">
        <v>45937</v>
      </c>
      <c r="D1059" s="83">
        <v>45967</v>
      </c>
      <c r="E1059" s="83">
        <v>45967</v>
      </c>
      <c r="F1059" s="83">
        <v>45989</v>
      </c>
      <c r="G1059" s="83">
        <v>45937</v>
      </c>
      <c r="H1059" s="82" t="s">
        <v>1125</v>
      </c>
      <c r="I1059" s="82" t="s">
        <v>22</v>
      </c>
      <c r="J1059" s="84">
        <v>0</v>
      </c>
      <c r="K1059" s="85">
        <v>3446.95</v>
      </c>
      <c r="L1059" s="85">
        <v>3619.3</v>
      </c>
      <c r="M1059" s="85">
        <v>172.35</v>
      </c>
      <c r="N1059" s="85">
        <v>3619.3</v>
      </c>
      <c r="O1059" s="85">
        <v>0</v>
      </c>
      <c r="P1059" s="85">
        <v>3446.95</v>
      </c>
      <c r="Q1059" s="85">
        <v>3619.3</v>
      </c>
      <c r="R1059" s="85">
        <v>172.35</v>
      </c>
      <c r="S1059" s="85">
        <v>3619.3</v>
      </c>
      <c r="T1059" s="85">
        <v>0</v>
      </c>
      <c r="U1059" s="82"/>
      <c r="V1059" s="82" t="s">
        <v>3399</v>
      </c>
      <c r="W1059" s="82" t="s">
        <v>3395</v>
      </c>
      <c r="X1059" s="82" t="s">
        <v>3394</v>
      </c>
      <c r="Y1059" s="82" t="s">
        <v>3393</v>
      </c>
    </row>
    <row r="1060" spans="1:25" ht="10.9" customHeight="1" x14ac:dyDescent="0.2">
      <c r="A1060" s="82" t="s">
        <v>2901</v>
      </c>
      <c r="B1060" s="82" t="s">
        <v>20</v>
      </c>
      <c r="C1060" s="83">
        <v>45937</v>
      </c>
      <c r="D1060" s="83">
        <v>45997</v>
      </c>
      <c r="E1060" s="83">
        <v>45997</v>
      </c>
      <c r="F1060" s="83">
        <v>45996</v>
      </c>
      <c r="G1060" s="83">
        <v>45937</v>
      </c>
      <c r="H1060" s="82" t="s">
        <v>1162</v>
      </c>
      <c r="I1060" s="82" t="s">
        <v>22</v>
      </c>
      <c r="J1060" s="84">
        <v>0</v>
      </c>
      <c r="K1060" s="85">
        <v>6197.11</v>
      </c>
      <c r="L1060" s="85">
        <v>6506.97</v>
      </c>
      <c r="M1060" s="85">
        <v>309.86</v>
      </c>
      <c r="N1060" s="85">
        <v>6506.97</v>
      </c>
      <c r="O1060" s="85">
        <v>0</v>
      </c>
      <c r="P1060" s="85">
        <v>6197.11</v>
      </c>
      <c r="Q1060" s="85">
        <v>6506.97</v>
      </c>
      <c r="R1060" s="85">
        <v>309.86</v>
      </c>
      <c r="S1060" s="85">
        <v>6506.97</v>
      </c>
      <c r="T1060" s="85">
        <v>0</v>
      </c>
      <c r="U1060" s="82"/>
      <c r="V1060" s="82" t="s">
        <v>3399</v>
      </c>
      <c r="W1060" s="82" t="s">
        <v>3395</v>
      </c>
      <c r="X1060" s="82" t="s">
        <v>3394</v>
      </c>
      <c r="Y1060" s="82" t="s">
        <v>3393</v>
      </c>
    </row>
    <row r="1061" spans="1:25" ht="10.9" customHeight="1" x14ac:dyDescent="0.2">
      <c r="A1061" s="82" t="s">
        <v>3259</v>
      </c>
      <c r="B1061" s="82" t="s">
        <v>3412</v>
      </c>
      <c r="C1061" s="83">
        <v>45937</v>
      </c>
      <c r="D1061" s="83">
        <v>45982</v>
      </c>
      <c r="E1061" s="83">
        <v>45982</v>
      </c>
      <c r="F1061" s="82"/>
      <c r="G1061" s="83">
        <v>45937</v>
      </c>
      <c r="H1061" s="82" t="s">
        <v>482</v>
      </c>
      <c r="I1061" s="82" t="s">
        <v>22</v>
      </c>
      <c r="J1061" s="84">
        <v>0</v>
      </c>
      <c r="K1061" s="85">
        <v>1769.12</v>
      </c>
      <c r="L1061" s="85">
        <v>1857.58</v>
      </c>
      <c r="M1061" s="85">
        <v>88.46</v>
      </c>
      <c r="N1061" s="85">
        <v>0</v>
      </c>
      <c r="O1061" s="85">
        <v>1857.58</v>
      </c>
      <c r="P1061" s="85">
        <v>1769.12</v>
      </c>
      <c r="Q1061" s="85">
        <v>1857.58</v>
      </c>
      <c r="R1061" s="85">
        <v>88.46</v>
      </c>
      <c r="S1061" s="85">
        <v>0</v>
      </c>
      <c r="T1061" s="85">
        <v>1857.58</v>
      </c>
      <c r="U1061" s="82"/>
      <c r="V1061" s="82" t="s">
        <v>3396</v>
      </c>
      <c r="W1061" s="82" t="s">
        <v>3395</v>
      </c>
      <c r="X1061" s="82" t="s">
        <v>3394</v>
      </c>
      <c r="Y1061" s="82" t="s">
        <v>3393</v>
      </c>
    </row>
    <row r="1062" spans="1:25" ht="10.9" customHeight="1" x14ac:dyDescent="0.2">
      <c r="A1062" s="82" t="s">
        <v>2431</v>
      </c>
      <c r="B1062" s="82" t="s">
        <v>242</v>
      </c>
      <c r="C1062" s="83">
        <v>45937</v>
      </c>
      <c r="D1062" s="83">
        <v>45967</v>
      </c>
      <c r="E1062" s="83">
        <v>45967</v>
      </c>
      <c r="F1062" s="83">
        <v>45973</v>
      </c>
      <c r="G1062" s="83">
        <v>45937</v>
      </c>
      <c r="H1062" s="82" t="s">
        <v>1990</v>
      </c>
      <c r="I1062" s="82" t="s">
        <v>22</v>
      </c>
      <c r="J1062" s="84">
        <v>0</v>
      </c>
      <c r="K1062" s="85">
        <v>9717.36</v>
      </c>
      <c r="L1062" s="85">
        <v>10203.23</v>
      </c>
      <c r="M1062" s="85">
        <v>485.87</v>
      </c>
      <c r="N1062" s="85">
        <v>10203.23</v>
      </c>
      <c r="O1062" s="85">
        <v>0</v>
      </c>
      <c r="P1062" s="85">
        <v>9717.36</v>
      </c>
      <c r="Q1062" s="85">
        <v>10203.23</v>
      </c>
      <c r="R1062" s="85">
        <v>485.87</v>
      </c>
      <c r="S1062" s="85">
        <v>10203.23</v>
      </c>
      <c r="T1062" s="85">
        <v>0</v>
      </c>
      <c r="U1062" s="82"/>
      <c r="V1062" s="82" t="s">
        <v>3399</v>
      </c>
      <c r="W1062" s="82" t="s">
        <v>3395</v>
      </c>
      <c r="X1062" s="82" t="s">
        <v>3394</v>
      </c>
      <c r="Y1062" s="82" t="s">
        <v>3393</v>
      </c>
    </row>
    <row r="1063" spans="1:25" ht="10.9" customHeight="1" x14ac:dyDescent="0.2">
      <c r="A1063" s="82" t="s">
        <v>3020</v>
      </c>
      <c r="B1063" s="82" t="s">
        <v>684</v>
      </c>
      <c r="C1063" s="83">
        <v>45937</v>
      </c>
      <c r="D1063" s="83">
        <v>45997</v>
      </c>
      <c r="E1063" s="83">
        <v>45997</v>
      </c>
      <c r="F1063" s="83">
        <v>45996</v>
      </c>
      <c r="G1063" s="83">
        <v>45937</v>
      </c>
      <c r="H1063" s="82" t="s">
        <v>964</v>
      </c>
      <c r="I1063" s="82" t="s">
        <v>22</v>
      </c>
      <c r="J1063" s="84">
        <v>0</v>
      </c>
      <c r="K1063" s="85">
        <v>9404</v>
      </c>
      <c r="L1063" s="85">
        <v>9874.2000000000007</v>
      </c>
      <c r="M1063" s="85">
        <v>470.2</v>
      </c>
      <c r="N1063" s="85">
        <v>9874.2000000000007</v>
      </c>
      <c r="O1063" s="85">
        <v>0</v>
      </c>
      <c r="P1063" s="85">
        <v>9404</v>
      </c>
      <c r="Q1063" s="85">
        <v>9874.2000000000007</v>
      </c>
      <c r="R1063" s="85">
        <v>470.2</v>
      </c>
      <c r="S1063" s="85">
        <v>9874.2000000000007</v>
      </c>
      <c r="T1063" s="85">
        <v>0</v>
      </c>
      <c r="U1063" s="82"/>
      <c r="V1063" s="82" t="s">
        <v>3399</v>
      </c>
      <c r="W1063" s="82" t="s">
        <v>3395</v>
      </c>
      <c r="X1063" s="82" t="s">
        <v>3394</v>
      </c>
      <c r="Y1063" s="82" t="s">
        <v>3393</v>
      </c>
    </row>
    <row r="1064" spans="1:25" ht="10.9" customHeight="1" x14ac:dyDescent="0.2">
      <c r="A1064" s="82" t="s">
        <v>3078</v>
      </c>
      <c r="B1064" s="82" t="s">
        <v>135</v>
      </c>
      <c r="C1064" s="83">
        <v>45937</v>
      </c>
      <c r="D1064" s="83">
        <v>45997</v>
      </c>
      <c r="E1064" s="83">
        <v>45997</v>
      </c>
      <c r="F1064" s="83">
        <v>45996</v>
      </c>
      <c r="G1064" s="83">
        <v>45937</v>
      </c>
      <c r="H1064" s="82" t="s">
        <v>852</v>
      </c>
      <c r="I1064" s="82" t="s">
        <v>22</v>
      </c>
      <c r="J1064" s="84">
        <v>0</v>
      </c>
      <c r="K1064" s="85">
        <v>6649.86</v>
      </c>
      <c r="L1064" s="85">
        <v>7514.34</v>
      </c>
      <c r="M1064" s="85">
        <v>864.48</v>
      </c>
      <c r="N1064" s="85">
        <v>7514.34</v>
      </c>
      <c r="O1064" s="85">
        <v>0</v>
      </c>
      <c r="P1064" s="85">
        <v>6649.86</v>
      </c>
      <c r="Q1064" s="85">
        <v>7514.34</v>
      </c>
      <c r="R1064" s="85">
        <v>864.48</v>
      </c>
      <c r="S1064" s="85">
        <v>7514.34</v>
      </c>
      <c r="T1064" s="85">
        <v>0</v>
      </c>
      <c r="U1064" s="82"/>
      <c r="V1064" s="82" t="s">
        <v>3399</v>
      </c>
      <c r="W1064" s="82" t="s">
        <v>3395</v>
      </c>
      <c r="X1064" s="82" t="s">
        <v>3394</v>
      </c>
      <c r="Y1064" s="82" t="s">
        <v>3393</v>
      </c>
    </row>
    <row r="1065" spans="1:25" ht="10.9" customHeight="1" x14ac:dyDescent="0.2">
      <c r="A1065" s="82" t="s">
        <v>3251</v>
      </c>
      <c r="B1065" s="82" t="s">
        <v>89</v>
      </c>
      <c r="C1065" s="83">
        <v>45937</v>
      </c>
      <c r="D1065" s="83">
        <v>45967</v>
      </c>
      <c r="E1065" s="83">
        <v>45967</v>
      </c>
      <c r="F1065" s="83">
        <v>45985</v>
      </c>
      <c r="G1065" s="83">
        <v>45937</v>
      </c>
      <c r="H1065" s="82" t="s">
        <v>499</v>
      </c>
      <c r="I1065" s="82" t="s">
        <v>22</v>
      </c>
      <c r="J1065" s="84">
        <v>0</v>
      </c>
      <c r="K1065" s="85">
        <v>663</v>
      </c>
      <c r="L1065" s="85">
        <v>749.19</v>
      </c>
      <c r="M1065" s="85">
        <v>86.19</v>
      </c>
      <c r="N1065" s="85">
        <v>749.19</v>
      </c>
      <c r="O1065" s="85">
        <v>0</v>
      </c>
      <c r="P1065" s="85">
        <v>663</v>
      </c>
      <c r="Q1065" s="85">
        <v>749.19</v>
      </c>
      <c r="R1065" s="85">
        <v>86.19</v>
      </c>
      <c r="S1065" s="85">
        <v>749.19</v>
      </c>
      <c r="T1065" s="85">
        <v>0</v>
      </c>
      <c r="U1065" s="82"/>
      <c r="V1065" s="82" t="s">
        <v>3399</v>
      </c>
      <c r="W1065" s="82" t="s">
        <v>3395</v>
      </c>
      <c r="X1065" s="82" t="s">
        <v>3394</v>
      </c>
      <c r="Y1065" s="82" t="s">
        <v>3393</v>
      </c>
    </row>
    <row r="1066" spans="1:25" ht="10.9" customHeight="1" x14ac:dyDescent="0.2">
      <c r="A1066" s="82" t="s">
        <v>3265</v>
      </c>
      <c r="B1066" s="82" t="s">
        <v>450</v>
      </c>
      <c r="C1066" s="83">
        <v>45938</v>
      </c>
      <c r="D1066" s="83">
        <v>45968</v>
      </c>
      <c r="E1066" s="83">
        <v>45968</v>
      </c>
      <c r="F1066" s="83">
        <v>45964</v>
      </c>
      <c r="G1066" s="83">
        <v>45939</v>
      </c>
      <c r="H1066" s="82" t="s">
        <v>469</v>
      </c>
      <c r="I1066" s="82" t="s">
        <v>22</v>
      </c>
      <c r="J1066" s="84">
        <v>0</v>
      </c>
      <c r="K1066" s="85">
        <v>3718.3</v>
      </c>
      <c r="L1066" s="85">
        <v>4201.68</v>
      </c>
      <c r="M1066" s="85">
        <v>483.38</v>
      </c>
      <c r="N1066" s="85">
        <v>4201.68</v>
      </c>
      <c r="O1066" s="85">
        <v>0</v>
      </c>
      <c r="P1066" s="85">
        <v>3718.3</v>
      </c>
      <c r="Q1066" s="85">
        <v>4201.68</v>
      </c>
      <c r="R1066" s="85">
        <v>483.38</v>
      </c>
      <c r="S1066" s="85">
        <v>4201.68</v>
      </c>
      <c r="T1066" s="85">
        <v>0</v>
      </c>
      <c r="U1066" s="82"/>
      <c r="V1066" s="82" t="s">
        <v>3399</v>
      </c>
      <c r="W1066" s="82" t="s">
        <v>3395</v>
      </c>
      <c r="X1066" s="82" t="s">
        <v>3394</v>
      </c>
      <c r="Y1066" s="82" t="s">
        <v>3393</v>
      </c>
    </row>
    <row r="1067" spans="1:25" ht="10.9" customHeight="1" x14ac:dyDescent="0.2">
      <c r="A1067" s="82" t="s">
        <v>3267</v>
      </c>
      <c r="B1067" s="82" t="s">
        <v>465</v>
      </c>
      <c r="C1067" s="83">
        <v>45940</v>
      </c>
      <c r="D1067" s="83">
        <v>45970</v>
      </c>
      <c r="E1067" s="83">
        <v>45970</v>
      </c>
      <c r="F1067" s="83">
        <v>45995</v>
      </c>
      <c r="G1067" s="83">
        <v>45940</v>
      </c>
      <c r="H1067" s="82" t="s">
        <v>464</v>
      </c>
      <c r="I1067" s="82" t="s">
        <v>22</v>
      </c>
      <c r="J1067" s="84">
        <v>0</v>
      </c>
      <c r="K1067" s="85">
        <v>1766.3</v>
      </c>
      <c r="L1067" s="85">
        <v>1995.92</v>
      </c>
      <c r="M1067" s="85">
        <v>229.62</v>
      </c>
      <c r="N1067" s="85">
        <v>1995.92</v>
      </c>
      <c r="O1067" s="85">
        <v>0</v>
      </c>
      <c r="P1067" s="85">
        <v>1766.3</v>
      </c>
      <c r="Q1067" s="85">
        <v>1995.92</v>
      </c>
      <c r="R1067" s="85">
        <v>229.62</v>
      </c>
      <c r="S1067" s="85">
        <v>1995.92</v>
      </c>
      <c r="T1067" s="85">
        <v>0</v>
      </c>
      <c r="U1067" s="82"/>
      <c r="V1067" s="82" t="s">
        <v>3399</v>
      </c>
      <c r="W1067" s="82" t="s">
        <v>3395</v>
      </c>
      <c r="X1067" s="82" t="s">
        <v>3394</v>
      </c>
      <c r="Y1067" s="82" t="s">
        <v>3393</v>
      </c>
    </row>
    <row r="1068" spans="1:25" ht="10.9" customHeight="1" x14ac:dyDescent="0.2">
      <c r="A1068" s="82" t="s">
        <v>3271</v>
      </c>
      <c r="B1068" s="82" t="s">
        <v>3412</v>
      </c>
      <c r="C1068" s="83">
        <v>45940</v>
      </c>
      <c r="D1068" s="83">
        <v>45985</v>
      </c>
      <c r="E1068" s="83">
        <v>45985</v>
      </c>
      <c r="F1068" s="82"/>
      <c r="G1068" s="83">
        <v>45940</v>
      </c>
      <c r="H1068" s="82" t="s">
        <v>456</v>
      </c>
      <c r="I1068" s="82" t="s">
        <v>22</v>
      </c>
      <c r="J1068" s="84">
        <v>0</v>
      </c>
      <c r="K1068" s="85">
        <v>383.15</v>
      </c>
      <c r="L1068" s="85">
        <v>402.31</v>
      </c>
      <c r="M1068" s="85">
        <v>19.16</v>
      </c>
      <c r="N1068" s="85">
        <v>0</v>
      </c>
      <c r="O1068" s="85">
        <v>402.31</v>
      </c>
      <c r="P1068" s="85">
        <v>383.15</v>
      </c>
      <c r="Q1068" s="85">
        <v>402.31</v>
      </c>
      <c r="R1068" s="85">
        <v>19.16</v>
      </c>
      <c r="S1068" s="85">
        <v>0</v>
      </c>
      <c r="T1068" s="85">
        <v>402.31</v>
      </c>
      <c r="U1068" s="82"/>
      <c r="V1068" s="82" t="s">
        <v>3396</v>
      </c>
      <c r="W1068" s="82" t="s">
        <v>3395</v>
      </c>
      <c r="X1068" s="82" t="s">
        <v>3394</v>
      </c>
      <c r="Y1068" s="82" t="s">
        <v>3393</v>
      </c>
    </row>
    <row r="1069" spans="1:25" ht="10.9" customHeight="1" x14ac:dyDescent="0.2">
      <c r="A1069" s="82" t="s">
        <v>3188</v>
      </c>
      <c r="B1069" s="82" t="s">
        <v>316</v>
      </c>
      <c r="C1069" s="83">
        <v>45940</v>
      </c>
      <c r="D1069" s="83">
        <v>45970</v>
      </c>
      <c r="E1069" s="83">
        <v>45970</v>
      </c>
      <c r="F1069" s="83">
        <v>45982</v>
      </c>
      <c r="G1069" s="83">
        <v>45940</v>
      </c>
      <c r="H1069" s="82" t="s">
        <v>636</v>
      </c>
      <c r="I1069" s="82" t="s">
        <v>22</v>
      </c>
      <c r="J1069" s="84">
        <v>0</v>
      </c>
      <c r="K1069" s="85">
        <v>5689.33</v>
      </c>
      <c r="L1069" s="85">
        <v>5973.81</v>
      </c>
      <c r="M1069" s="85">
        <v>284.48</v>
      </c>
      <c r="N1069" s="85">
        <v>5973.81</v>
      </c>
      <c r="O1069" s="85">
        <v>0</v>
      </c>
      <c r="P1069" s="85">
        <v>5689.33</v>
      </c>
      <c r="Q1069" s="85">
        <v>5973.81</v>
      </c>
      <c r="R1069" s="85">
        <v>284.48</v>
      </c>
      <c r="S1069" s="85">
        <v>5973.81</v>
      </c>
      <c r="T1069" s="85">
        <v>0</v>
      </c>
      <c r="U1069" s="82"/>
      <c r="V1069" s="82" t="s">
        <v>3399</v>
      </c>
      <c r="W1069" s="82" t="s">
        <v>3395</v>
      </c>
      <c r="X1069" s="82" t="s">
        <v>3394</v>
      </c>
      <c r="Y1069" s="82" t="s">
        <v>3393</v>
      </c>
    </row>
    <row r="1070" spans="1:25" ht="10.9" customHeight="1" x14ac:dyDescent="0.2">
      <c r="A1070" s="82" t="s">
        <v>3268</v>
      </c>
      <c r="B1070" s="82" t="s">
        <v>64</v>
      </c>
      <c r="C1070" s="83">
        <v>45940</v>
      </c>
      <c r="D1070" s="83">
        <v>45970</v>
      </c>
      <c r="E1070" s="83">
        <v>45970</v>
      </c>
      <c r="F1070" s="83">
        <v>45973</v>
      </c>
      <c r="G1070" s="83">
        <v>45940</v>
      </c>
      <c r="H1070" s="82" t="s">
        <v>462</v>
      </c>
      <c r="I1070" s="82" t="s">
        <v>22</v>
      </c>
      <c r="J1070" s="84">
        <v>0</v>
      </c>
      <c r="K1070" s="85">
        <v>210</v>
      </c>
      <c r="L1070" s="85">
        <v>237.3</v>
      </c>
      <c r="M1070" s="85">
        <v>27.3</v>
      </c>
      <c r="N1070" s="85">
        <v>237.3</v>
      </c>
      <c r="O1070" s="85">
        <v>0</v>
      </c>
      <c r="P1070" s="85">
        <v>210</v>
      </c>
      <c r="Q1070" s="85">
        <v>237.3</v>
      </c>
      <c r="R1070" s="85">
        <v>27.3</v>
      </c>
      <c r="S1070" s="85">
        <v>237.3</v>
      </c>
      <c r="T1070" s="85">
        <v>0</v>
      </c>
      <c r="U1070" s="82"/>
      <c r="V1070" s="82" t="s">
        <v>3399</v>
      </c>
      <c r="W1070" s="82" t="s">
        <v>3395</v>
      </c>
      <c r="X1070" s="82" t="s">
        <v>3394</v>
      </c>
      <c r="Y1070" s="82" t="s">
        <v>3393</v>
      </c>
    </row>
    <row r="1071" spans="1:25" ht="10.9" customHeight="1" x14ac:dyDescent="0.2">
      <c r="A1071" s="82" t="s">
        <v>3275</v>
      </c>
      <c r="B1071" s="82" t="s">
        <v>20</v>
      </c>
      <c r="C1071" s="83">
        <v>45940</v>
      </c>
      <c r="D1071" s="83">
        <v>46000</v>
      </c>
      <c r="E1071" s="83">
        <v>46000</v>
      </c>
      <c r="F1071" s="83">
        <v>46000</v>
      </c>
      <c r="G1071" s="83">
        <v>45940</v>
      </c>
      <c r="H1071" s="82" t="s">
        <v>447</v>
      </c>
      <c r="I1071" s="82" t="s">
        <v>22</v>
      </c>
      <c r="J1071" s="84">
        <v>0</v>
      </c>
      <c r="K1071" s="85">
        <v>945.96</v>
      </c>
      <c r="L1071" s="85">
        <v>993.26</v>
      </c>
      <c r="M1071" s="85">
        <v>47.3</v>
      </c>
      <c r="N1071" s="85">
        <v>993.26</v>
      </c>
      <c r="O1071" s="85">
        <v>0</v>
      </c>
      <c r="P1071" s="85">
        <v>945.96</v>
      </c>
      <c r="Q1071" s="85">
        <v>993.26</v>
      </c>
      <c r="R1071" s="85">
        <v>47.3</v>
      </c>
      <c r="S1071" s="85">
        <v>993.26</v>
      </c>
      <c r="T1071" s="85">
        <v>0</v>
      </c>
      <c r="U1071" s="82"/>
      <c r="V1071" s="82" t="s">
        <v>3399</v>
      </c>
      <c r="W1071" s="82" t="s">
        <v>3395</v>
      </c>
      <c r="X1071" s="82" t="s">
        <v>3394</v>
      </c>
      <c r="Y1071" s="82" t="s">
        <v>3393</v>
      </c>
    </row>
    <row r="1072" spans="1:25" ht="10.9" customHeight="1" x14ac:dyDescent="0.2">
      <c r="A1072" s="82" t="s">
        <v>3269</v>
      </c>
      <c r="B1072" s="82" t="s">
        <v>229</v>
      </c>
      <c r="C1072" s="83">
        <v>45940</v>
      </c>
      <c r="D1072" s="83">
        <v>45970</v>
      </c>
      <c r="E1072" s="83">
        <v>45970</v>
      </c>
      <c r="F1072" s="83">
        <v>45973</v>
      </c>
      <c r="G1072" s="83">
        <v>45940</v>
      </c>
      <c r="H1072" s="82" t="s">
        <v>460</v>
      </c>
      <c r="I1072" s="82" t="s">
        <v>22</v>
      </c>
      <c r="J1072" s="84">
        <v>0</v>
      </c>
      <c r="K1072" s="85">
        <v>2.5</v>
      </c>
      <c r="L1072" s="85">
        <v>2.63</v>
      </c>
      <c r="M1072" s="85">
        <v>0.13</v>
      </c>
      <c r="N1072" s="85">
        <v>2.63</v>
      </c>
      <c r="O1072" s="85">
        <v>0</v>
      </c>
      <c r="P1072" s="85">
        <v>2.5</v>
      </c>
      <c r="Q1072" s="85">
        <v>2.63</v>
      </c>
      <c r="R1072" s="85">
        <v>0.13</v>
      </c>
      <c r="S1072" s="85">
        <v>2.63</v>
      </c>
      <c r="T1072" s="85">
        <v>0</v>
      </c>
      <c r="U1072" s="82"/>
      <c r="V1072" s="82" t="s">
        <v>3399</v>
      </c>
      <c r="W1072" s="82" t="s">
        <v>3395</v>
      </c>
      <c r="X1072" s="82" t="s">
        <v>3394</v>
      </c>
      <c r="Y1072" s="82" t="s">
        <v>3393</v>
      </c>
    </row>
    <row r="1073" spans="1:25" ht="10.9" customHeight="1" x14ac:dyDescent="0.2">
      <c r="A1073" s="82" t="s">
        <v>3211</v>
      </c>
      <c r="B1073" s="82" t="s">
        <v>229</v>
      </c>
      <c r="C1073" s="83">
        <v>45940</v>
      </c>
      <c r="D1073" s="83">
        <v>45970</v>
      </c>
      <c r="E1073" s="83">
        <v>45970</v>
      </c>
      <c r="F1073" s="83">
        <v>45988</v>
      </c>
      <c r="G1073" s="83">
        <v>45940</v>
      </c>
      <c r="H1073" s="82" t="s">
        <v>585</v>
      </c>
      <c r="I1073" s="82" t="s">
        <v>22</v>
      </c>
      <c r="J1073" s="84">
        <v>0</v>
      </c>
      <c r="K1073" s="85">
        <v>848.91</v>
      </c>
      <c r="L1073" s="85">
        <v>891.36</v>
      </c>
      <c r="M1073" s="85">
        <v>42.45</v>
      </c>
      <c r="N1073" s="85">
        <v>891.36</v>
      </c>
      <c r="O1073" s="85">
        <v>0</v>
      </c>
      <c r="P1073" s="85">
        <v>848.91</v>
      </c>
      <c r="Q1073" s="85">
        <v>891.36</v>
      </c>
      <c r="R1073" s="85">
        <v>42.45</v>
      </c>
      <c r="S1073" s="85">
        <v>891.36</v>
      </c>
      <c r="T1073" s="85">
        <v>0</v>
      </c>
      <c r="U1073" s="82"/>
      <c r="V1073" s="82" t="s">
        <v>3399</v>
      </c>
      <c r="W1073" s="82" t="s">
        <v>3395</v>
      </c>
      <c r="X1073" s="82" t="s">
        <v>3394</v>
      </c>
      <c r="Y1073" s="82" t="s">
        <v>3393</v>
      </c>
    </row>
    <row r="1074" spans="1:25" ht="10.9" customHeight="1" x14ac:dyDescent="0.2">
      <c r="A1074" s="82" t="s">
        <v>3273</v>
      </c>
      <c r="B1074" s="82" t="s">
        <v>290</v>
      </c>
      <c r="C1074" s="83">
        <v>45940</v>
      </c>
      <c r="D1074" s="83">
        <v>46000</v>
      </c>
      <c r="E1074" s="83">
        <v>46000</v>
      </c>
      <c r="F1074" s="83">
        <v>46000</v>
      </c>
      <c r="G1074" s="83">
        <v>45940</v>
      </c>
      <c r="H1074" s="82" t="s">
        <v>452</v>
      </c>
      <c r="I1074" s="82" t="s">
        <v>22</v>
      </c>
      <c r="J1074" s="84">
        <v>0</v>
      </c>
      <c r="K1074" s="85">
        <v>1127.0999999999999</v>
      </c>
      <c r="L1074" s="85">
        <v>1183.46</v>
      </c>
      <c r="M1074" s="85">
        <v>56.36</v>
      </c>
      <c r="N1074" s="85">
        <v>1183.46</v>
      </c>
      <c r="O1074" s="85">
        <v>0</v>
      </c>
      <c r="P1074" s="85">
        <v>1127.0999999999999</v>
      </c>
      <c r="Q1074" s="85">
        <v>1183.46</v>
      </c>
      <c r="R1074" s="85">
        <v>56.36</v>
      </c>
      <c r="S1074" s="85">
        <v>1183.46</v>
      </c>
      <c r="T1074" s="85">
        <v>0</v>
      </c>
      <c r="U1074" s="82"/>
      <c r="V1074" s="82" t="s">
        <v>3399</v>
      </c>
      <c r="W1074" s="82" t="s">
        <v>3395</v>
      </c>
      <c r="X1074" s="82" t="s">
        <v>3394</v>
      </c>
      <c r="Y1074" s="82" t="s">
        <v>3393</v>
      </c>
    </row>
    <row r="1075" spans="1:25" ht="10.9" customHeight="1" x14ac:dyDescent="0.2">
      <c r="A1075" s="82" t="s">
        <v>3278</v>
      </c>
      <c r="B1075" s="82" t="s">
        <v>39</v>
      </c>
      <c r="C1075" s="83">
        <v>45940</v>
      </c>
      <c r="D1075" s="83">
        <v>45970</v>
      </c>
      <c r="E1075" s="83">
        <v>45970</v>
      </c>
      <c r="F1075" s="83">
        <v>45967</v>
      </c>
      <c r="G1075" s="83">
        <v>45940</v>
      </c>
      <c r="H1075" s="82" t="s">
        <v>437</v>
      </c>
      <c r="I1075" s="82" t="s">
        <v>22</v>
      </c>
      <c r="J1075" s="84">
        <v>0</v>
      </c>
      <c r="K1075" s="85">
        <v>624.20000000000005</v>
      </c>
      <c r="L1075" s="85">
        <v>655.41</v>
      </c>
      <c r="M1075" s="85">
        <v>31.21</v>
      </c>
      <c r="N1075" s="85">
        <v>655.41</v>
      </c>
      <c r="O1075" s="85">
        <v>0</v>
      </c>
      <c r="P1075" s="85">
        <v>624.20000000000005</v>
      </c>
      <c r="Q1075" s="85">
        <v>655.41</v>
      </c>
      <c r="R1075" s="85">
        <v>31.21</v>
      </c>
      <c r="S1075" s="85">
        <v>655.41</v>
      </c>
      <c r="T1075" s="85">
        <v>0</v>
      </c>
      <c r="U1075" s="82"/>
      <c r="V1075" s="82" t="s">
        <v>3399</v>
      </c>
      <c r="W1075" s="82" t="s">
        <v>3395</v>
      </c>
      <c r="X1075" s="82" t="s">
        <v>3394</v>
      </c>
      <c r="Y1075" s="82" t="s">
        <v>3393</v>
      </c>
    </row>
    <row r="1076" spans="1:25" ht="10.9" customHeight="1" x14ac:dyDescent="0.2">
      <c r="A1076" s="82" t="s">
        <v>3209</v>
      </c>
      <c r="B1076" s="82" t="s">
        <v>129</v>
      </c>
      <c r="C1076" s="83">
        <v>45943</v>
      </c>
      <c r="D1076" s="83">
        <v>46003</v>
      </c>
      <c r="E1076" s="83">
        <v>46003</v>
      </c>
      <c r="F1076" s="82"/>
      <c r="G1076" s="83">
        <v>45943</v>
      </c>
      <c r="H1076" s="82" t="s">
        <v>587</v>
      </c>
      <c r="I1076" s="82" t="s">
        <v>51</v>
      </c>
      <c r="J1076" s="84">
        <v>0.71286499999999997</v>
      </c>
      <c r="K1076" s="85">
        <v>500</v>
      </c>
      <c r="L1076" s="85">
        <v>500</v>
      </c>
      <c r="M1076" s="85">
        <v>0</v>
      </c>
      <c r="N1076" s="85">
        <v>0</v>
      </c>
      <c r="O1076" s="85">
        <v>500</v>
      </c>
      <c r="P1076" s="85">
        <v>701.39507480378472</v>
      </c>
      <c r="Q1076" s="85">
        <v>701.39507480378472</v>
      </c>
      <c r="R1076" s="85">
        <v>0</v>
      </c>
      <c r="S1076" s="85">
        <v>0</v>
      </c>
      <c r="T1076" s="85">
        <v>686.21</v>
      </c>
      <c r="U1076" s="82" t="s">
        <v>3401</v>
      </c>
      <c r="V1076" s="82" t="s">
        <v>3396</v>
      </c>
      <c r="W1076" s="82" t="s">
        <v>3395</v>
      </c>
      <c r="X1076" s="82" t="s">
        <v>3394</v>
      </c>
      <c r="Y1076" s="82" t="s">
        <v>3393</v>
      </c>
    </row>
    <row r="1077" spans="1:25" ht="10.9" customHeight="1" x14ac:dyDescent="0.2">
      <c r="A1077" s="82" t="s">
        <v>3276</v>
      </c>
      <c r="B1077" s="82" t="s">
        <v>445</v>
      </c>
      <c r="C1077" s="83">
        <v>45944</v>
      </c>
      <c r="D1077" s="83">
        <v>45944</v>
      </c>
      <c r="E1077" s="83">
        <v>45944</v>
      </c>
      <c r="F1077" s="83">
        <v>45974</v>
      </c>
      <c r="G1077" s="83">
        <v>45944</v>
      </c>
      <c r="H1077" s="82" t="s">
        <v>444</v>
      </c>
      <c r="I1077" s="82" t="s">
        <v>51</v>
      </c>
      <c r="J1077" s="84">
        <v>0.71250400000000003</v>
      </c>
      <c r="K1077" s="85">
        <v>15132</v>
      </c>
      <c r="L1077" s="85">
        <v>15132</v>
      </c>
      <c r="M1077" s="85">
        <v>0</v>
      </c>
      <c r="N1077" s="85">
        <v>15132</v>
      </c>
      <c r="O1077" s="85">
        <v>0</v>
      </c>
      <c r="P1077" s="85">
        <v>21237.775507225222</v>
      </c>
      <c r="Q1077" s="85">
        <v>21237.775507225222</v>
      </c>
      <c r="R1077" s="85">
        <v>0</v>
      </c>
      <c r="S1077" s="85">
        <v>21164.750199999999</v>
      </c>
      <c r="T1077" s="85">
        <v>0</v>
      </c>
      <c r="U1077" s="82"/>
      <c r="V1077" s="82" t="s">
        <v>3399</v>
      </c>
      <c r="W1077" s="82" t="s">
        <v>3395</v>
      </c>
      <c r="X1077" s="82" t="s">
        <v>3394</v>
      </c>
      <c r="Y1077" s="82" t="s">
        <v>3393</v>
      </c>
    </row>
    <row r="1078" spans="1:25" ht="10.9" customHeight="1" x14ac:dyDescent="0.2">
      <c r="A1078" s="82" t="s">
        <v>3262</v>
      </c>
      <c r="B1078" s="82" t="s">
        <v>98</v>
      </c>
      <c r="C1078" s="83">
        <v>45944</v>
      </c>
      <c r="D1078" s="83">
        <v>45974</v>
      </c>
      <c r="E1078" s="83">
        <v>45974</v>
      </c>
      <c r="F1078" s="83">
        <v>45967</v>
      </c>
      <c r="G1078" s="83">
        <v>45944</v>
      </c>
      <c r="H1078" s="82" t="s">
        <v>476</v>
      </c>
      <c r="I1078" s="82" t="s">
        <v>22</v>
      </c>
      <c r="J1078" s="84">
        <v>0</v>
      </c>
      <c r="K1078" s="85">
        <v>2402.65</v>
      </c>
      <c r="L1078" s="85">
        <v>2714.99</v>
      </c>
      <c r="M1078" s="85">
        <v>312.33999999999997</v>
      </c>
      <c r="N1078" s="85">
        <v>2714.99</v>
      </c>
      <c r="O1078" s="85">
        <v>0</v>
      </c>
      <c r="P1078" s="85">
        <v>2402.65</v>
      </c>
      <c r="Q1078" s="85">
        <v>2714.99</v>
      </c>
      <c r="R1078" s="85">
        <v>312.33999999999997</v>
      </c>
      <c r="S1078" s="85">
        <v>2714.99</v>
      </c>
      <c r="T1078" s="85">
        <v>0</v>
      </c>
      <c r="U1078" s="82"/>
      <c r="V1078" s="82" t="s">
        <v>3399</v>
      </c>
      <c r="W1078" s="82" t="s">
        <v>3395</v>
      </c>
      <c r="X1078" s="82" t="s">
        <v>3394</v>
      </c>
      <c r="Y1078" s="82" t="s">
        <v>3393</v>
      </c>
    </row>
    <row r="1079" spans="1:25" ht="10.9" customHeight="1" x14ac:dyDescent="0.2">
      <c r="A1079" s="82" t="s">
        <v>2930</v>
      </c>
      <c r="B1079" s="82" t="s">
        <v>98</v>
      </c>
      <c r="C1079" s="83">
        <v>45944</v>
      </c>
      <c r="D1079" s="83">
        <v>45974</v>
      </c>
      <c r="E1079" s="83">
        <v>45974</v>
      </c>
      <c r="F1079" s="83">
        <v>45967</v>
      </c>
      <c r="G1079" s="83">
        <v>45944</v>
      </c>
      <c r="H1079" s="82" t="s">
        <v>1117</v>
      </c>
      <c r="I1079" s="82" t="s">
        <v>22</v>
      </c>
      <c r="J1079" s="84">
        <v>0</v>
      </c>
      <c r="K1079" s="85">
        <v>3308</v>
      </c>
      <c r="L1079" s="85">
        <v>3738.04</v>
      </c>
      <c r="M1079" s="85">
        <v>430.04</v>
      </c>
      <c r="N1079" s="85">
        <v>3738.04</v>
      </c>
      <c r="O1079" s="85">
        <v>0</v>
      </c>
      <c r="P1079" s="85">
        <v>3308</v>
      </c>
      <c r="Q1079" s="85">
        <v>3738.04</v>
      </c>
      <c r="R1079" s="85">
        <v>430.04</v>
      </c>
      <c r="S1079" s="85">
        <v>3738.04</v>
      </c>
      <c r="T1079" s="85">
        <v>0</v>
      </c>
      <c r="U1079" s="82"/>
      <c r="V1079" s="82" t="s">
        <v>3399</v>
      </c>
      <c r="W1079" s="82" t="s">
        <v>3395</v>
      </c>
      <c r="X1079" s="82" t="s">
        <v>3394</v>
      </c>
      <c r="Y1079" s="82" t="s">
        <v>3393</v>
      </c>
    </row>
    <row r="1080" spans="1:25" ht="10.9" customHeight="1" x14ac:dyDescent="0.2">
      <c r="A1080" s="82" t="s">
        <v>3270</v>
      </c>
      <c r="B1080" s="82" t="s">
        <v>26</v>
      </c>
      <c r="C1080" s="83">
        <v>45944</v>
      </c>
      <c r="D1080" s="83">
        <v>46004</v>
      </c>
      <c r="E1080" s="83">
        <v>46004</v>
      </c>
      <c r="F1080" s="83">
        <v>46003</v>
      </c>
      <c r="G1080" s="83">
        <v>45944</v>
      </c>
      <c r="H1080" s="82" t="s">
        <v>458</v>
      </c>
      <c r="I1080" s="82" t="s">
        <v>22</v>
      </c>
      <c r="J1080" s="84">
        <v>0</v>
      </c>
      <c r="K1080" s="85">
        <v>1127.0999999999999</v>
      </c>
      <c r="L1080" s="85">
        <v>1183.46</v>
      </c>
      <c r="M1080" s="85">
        <v>56.36</v>
      </c>
      <c r="N1080" s="85">
        <v>1183.46</v>
      </c>
      <c r="O1080" s="85">
        <v>0</v>
      </c>
      <c r="P1080" s="85">
        <v>1127.0999999999999</v>
      </c>
      <c r="Q1080" s="85">
        <v>1183.46</v>
      </c>
      <c r="R1080" s="85">
        <v>56.36</v>
      </c>
      <c r="S1080" s="85">
        <v>1183.46</v>
      </c>
      <c r="T1080" s="85">
        <v>0</v>
      </c>
      <c r="U1080" s="82"/>
      <c r="V1080" s="82" t="s">
        <v>3399</v>
      </c>
      <c r="W1080" s="82" t="s">
        <v>3395</v>
      </c>
      <c r="X1080" s="82" t="s">
        <v>3394</v>
      </c>
      <c r="Y1080" s="82" t="s">
        <v>3393</v>
      </c>
    </row>
    <row r="1081" spans="1:25" ht="10.9" customHeight="1" x14ac:dyDescent="0.2">
      <c r="A1081" s="82" t="s">
        <v>3277</v>
      </c>
      <c r="B1081" s="82" t="s">
        <v>442</v>
      </c>
      <c r="C1081" s="83">
        <v>45945</v>
      </c>
      <c r="D1081" s="83">
        <v>46005</v>
      </c>
      <c r="E1081" s="83">
        <v>46005</v>
      </c>
      <c r="F1081" s="82"/>
      <c r="G1081" s="83">
        <v>45945</v>
      </c>
      <c r="H1081" s="82" t="s">
        <v>441</v>
      </c>
      <c r="I1081" s="82" t="s">
        <v>51</v>
      </c>
      <c r="J1081" s="84">
        <v>0.71227099999999999</v>
      </c>
      <c r="K1081" s="85">
        <v>3951.66</v>
      </c>
      <c r="L1081" s="85">
        <v>4394.83</v>
      </c>
      <c r="M1081" s="85">
        <v>443.17</v>
      </c>
      <c r="N1081" s="85">
        <v>0</v>
      </c>
      <c r="O1081" s="85">
        <v>4394.83</v>
      </c>
      <c r="P1081" s="85">
        <v>5547.9726115481326</v>
      </c>
      <c r="Q1081" s="85">
        <v>6170.1655690039324</v>
      </c>
      <c r="R1081" s="85">
        <v>622.19295745579984</v>
      </c>
      <c r="S1081" s="85">
        <v>0</v>
      </c>
      <c r="T1081" s="85">
        <v>6031.55</v>
      </c>
      <c r="U1081" s="82" t="s">
        <v>3401</v>
      </c>
      <c r="V1081" s="82" t="s">
        <v>3396</v>
      </c>
      <c r="W1081" s="82" t="s">
        <v>3395</v>
      </c>
      <c r="X1081" s="82" t="s">
        <v>3394</v>
      </c>
      <c r="Y1081" s="82" t="s">
        <v>3393</v>
      </c>
    </row>
    <row r="1082" spans="1:25" ht="10.9" customHeight="1" x14ac:dyDescent="0.2">
      <c r="A1082" s="82" t="s">
        <v>2896</v>
      </c>
      <c r="B1082" s="82" t="s">
        <v>369</v>
      </c>
      <c r="C1082" s="83">
        <v>45945</v>
      </c>
      <c r="D1082" s="83">
        <v>45945</v>
      </c>
      <c r="E1082" s="83">
        <v>45945</v>
      </c>
      <c r="F1082" s="83">
        <v>45945</v>
      </c>
      <c r="G1082" s="83">
        <v>45945</v>
      </c>
      <c r="H1082" s="82" t="s">
        <v>1168</v>
      </c>
      <c r="I1082" s="82" t="s">
        <v>51</v>
      </c>
      <c r="J1082" s="84">
        <v>0.71227099999999999</v>
      </c>
      <c r="K1082" s="85">
        <v>4226.24</v>
      </c>
      <c r="L1082" s="85">
        <v>4226.24</v>
      </c>
      <c r="M1082" s="85">
        <v>0</v>
      </c>
      <c r="N1082" s="85">
        <v>4226.24</v>
      </c>
      <c r="O1082" s="85">
        <v>0</v>
      </c>
      <c r="P1082" s="85">
        <v>5933.4719509849483</v>
      </c>
      <c r="Q1082" s="85">
        <v>5933.4719509849483</v>
      </c>
      <c r="R1082" s="85">
        <v>0</v>
      </c>
      <c r="S1082" s="85">
        <v>5743.6253999999999</v>
      </c>
      <c r="T1082" s="85">
        <v>0</v>
      </c>
      <c r="U1082" s="82"/>
      <c r="V1082" s="82" t="s">
        <v>3399</v>
      </c>
      <c r="W1082" s="82" t="s">
        <v>3395</v>
      </c>
      <c r="X1082" s="82" t="s">
        <v>3394</v>
      </c>
      <c r="Y1082" s="82" t="s">
        <v>3393</v>
      </c>
    </row>
    <row r="1083" spans="1:25" ht="10.9" customHeight="1" x14ac:dyDescent="0.2">
      <c r="A1083" s="82" t="s">
        <v>3266</v>
      </c>
      <c r="B1083" s="82" t="s">
        <v>171</v>
      </c>
      <c r="C1083" s="83">
        <v>45945</v>
      </c>
      <c r="D1083" s="83">
        <v>45975</v>
      </c>
      <c r="E1083" s="83">
        <v>45975</v>
      </c>
      <c r="F1083" s="83">
        <v>45975</v>
      </c>
      <c r="G1083" s="83">
        <v>45945</v>
      </c>
      <c r="H1083" s="82" t="s">
        <v>467</v>
      </c>
      <c r="I1083" s="82" t="s">
        <v>22</v>
      </c>
      <c r="J1083" s="84">
        <v>0</v>
      </c>
      <c r="K1083" s="85">
        <v>1810</v>
      </c>
      <c r="L1083" s="85">
        <v>1900.5</v>
      </c>
      <c r="M1083" s="85">
        <v>90.5</v>
      </c>
      <c r="N1083" s="85">
        <v>1900.5</v>
      </c>
      <c r="O1083" s="85">
        <v>0</v>
      </c>
      <c r="P1083" s="85">
        <v>1810</v>
      </c>
      <c r="Q1083" s="85">
        <v>1900.5</v>
      </c>
      <c r="R1083" s="85">
        <v>90.5</v>
      </c>
      <c r="S1083" s="85">
        <v>1900.5</v>
      </c>
      <c r="T1083" s="85">
        <v>0</v>
      </c>
      <c r="U1083" s="82"/>
      <c r="V1083" s="82" t="s">
        <v>3399</v>
      </c>
      <c r="W1083" s="82" t="s">
        <v>3395</v>
      </c>
      <c r="X1083" s="82" t="s">
        <v>3394</v>
      </c>
      <c r="Y1083" s="82" t="s">
        <v>3393</v>
      </c>
    </row>
    <row r="1084" spans="1:25" ht="10.9" customHeight="1" x14ac:dyDescent="0.2">
      <c r="A1084" s="82" t="s">
        <v>3088</v>
      </c>
      <c r="B1084" s="82" t="s">
        <v>135</v>
      </c>
      <c r="C1084" s="83">
        <v>45945</v>
      </c>
      <c r="D1084" s="83">
        <v>46005</v>
      </c>
      <c r="E1084" s="83">
        <v>46005</v>
      </c>
      <c r="F1084" s="83">
        <v>46006</v>
      </c>
      <c r="G1084" s="83">
        <v>45945</v>
      </c>
      <c r="H1084" s="82" t="s">
        <v>834</v>
      </c>
      <c r="I1084" s="82" t="s">
        <v>22</v>
      </c>
      <c r="J1084" s="84">
        <v>0</v>
      </c>
      <c r="K1084" s="85">
        <v>4128.78</v>
      </c>
      <c r="L1084" s="85">
        <v>4665.5200000000004</v>
      </c>
      <c r="M1084" s="85">
        <v>536.74</v>
      </c>
      <c r="N1084" s="85">
        <v>4665.5200000000004</v>
      </c>
      <c r="O1084" s="85">
        <v>0</v>
      </c>
      <c r="P1084" s="85">
        <v>4128.78</v>
      </c>
      <c r="Q1084" s="85">
        <v>4665.5200000000004</v>
      </c>
      <c r="R1084" s="85">
        <v>536.74</v>
      </c>
      <c r="S1084" s="85">
        <v>4665.5200000000004</v>
      </c>
      <c r="T1084" s="85">
        <v>0</v>
      </c>
      <c r="U1084" s="82"/>
      <c r="V1084" s="82" t="s">
        <v>3399</v>
      </c>
      <c r="W1084" s="82" t="s">
        <v>3395</v>
      </c>
      <c r="X1084" s="82" t="s">
        <v>3394</v>
      </c>
      <c r="Y1084" s="82" t="s">
        <v>3393</v>
      </c>
    </row>
    <row r="1085" spans="1:25" ht="10.9" customHeight="1" x14ac:dyDescent="0.2">
      <c r="A1085" s="82" t="s">
        <v>3079</v>
      </c>
      <c r="B1085" s="82" t="s">
        <v>135</v>
      </c>
      <c r="C1085" s="83">
        <v>45945</v>
      </c>
      <c r="D1085" s="83">
        <v>46005</v>
      </c>
      <c r="E1085" s="83">
        <v>46005</v>
      </c>
      <c r="F1085" s="83">
        <v>46006</v>
      </c>
      <c r="G1085" s="83">
        <v>45945</v>
      </c>
      <c r="H1085" s="82" t="s">
        <v>852</v>
      </c>
      <c r="I1085" s="82" t="s">
        <v>22</v>
      </c>
      <c r="J1085" s="84">
        <v>0</v>
      </c>
      <c r="K1085" s="85">
        <v>4128.78</v>
      </c>
      <c r="L1085" s="85">
        <v>4665.5200000000004</v>
      </c>
      <c r="M1085" s="85">
        <v>536.74</v>
      </c>
      <c r="N1085" s="85">
        <v>4665.5200000000004</v>
      </c>
      <c r="O1085" s="85">
        <v>0</v>
      </c>
      <c r="P1085" s="85">
        <v>4128.78</v>
      </c>
      <c r="Q1085" s="85">
        <v>4665.5200000000004</v>
      </c>
      <c r="R1085" s="85">
        <v>536.74</v>
      </c>
      <c r="S1085" s="85">
        <v>4665.5200000000004</v>
      </c>
      <c r="T1085" s="85">
        <v>0</v>
      </c>
      <c r="U1085" s="82"/>
      <c r="V1085" s="82" t="s">
        <v>3399</v>
      </c>
      <c r="W1085" s="82" t="s">
        <v>3395</v>
      </c>
      <c r="X1085" s="82" t="s">
        <v>3394</v>
      </c>
      <c r="Y1085" s="82" t="s">
        <v>3393</v>
      </c>
    </row>
    <row r="1086" spans="1:25" ht="10.9" customHeight="1" x14ac:dyDescent="0.2">
      <c r="A1086" s="82" t="s">
        <v>3281</v>
      </c>
      <c r="B1086" s="82" t="s">
        <v>429</v>
      </c>
      <c r="C1086" s="83">
        <v>45946</v>
      </c>
      <c r="D1086" s="83">
        <v>45946</v>
      </c>
      <c r="E1086" s="83">
        <v>45946</v>
      </c>
      <c r="F1086" s="83">
        <v>45947</v>
      </c>
      <c r="G1086" s="83">
        <v>45946</v>
      </c>
      <c r="H1086" s="82" t="s">
        <v>428</v>
      </c>
      <c r="I1086" s="82" t="s">
        <v>22</v>
      </c>
      <c r="J1086" s="84">
        <v>0</v>
      </c>
      <c r="K1086" s="85">
        <v>754.36</v>
      </c>
      <c r="L1086" s="85">
        <v>792.08</v>
      </c>
      <c r="M1086" s="85">
        <v>37.72</v>
      </c>
      <c r="N1086" s="85">
        <v>792.08</v>
      </c>
      <c r="O1086" s="85">
        <v>0</v>
      </c>
      <c r="P1086" s="85">
        <v>754.36</v>
      </c>
      <c r="Q1086" s="85">
        <v>792.08</v>
      </c>
      <c r="R1086" s="85">
        <v>37.72</v>
      </c>
      <c r="S1086" s="85">
        <v>792.08</v>
      </c>
      <c r="T1086" s="85">
        <v>0</v>
      </c>
      <c r="U1086" s="82"/>
      <c r="V1086" s="82" t="s">
        <v>3399</v>
      </c>
      <c r="W1086" s="82" t="s">
        <v>3395</v>
      </c>
      <c r="X1086" s="82" t="s">
        <v>3394</v>
      </c>
      <c r="Y1086" s="82" t="s">
        <v>3393</v>
      </c>
    </row>
    <row r="1087" spans="1:25" ht="10.9" customHeight="1" x14ac:dyDescent="0.2">
      <c r="A1087" s="82" t="s">
        <v>3279</v>
      </c>
      <c r="B1087" s="82" t="s">
        <v>70</v>
      </c>
      <c r="C1087" s="83">
        <v>45947</v>
      </c>
      <c r="D1087" s="83">
        <v>46007</v>
      </c>
      <c r="E1087" s="83">
        <v>46007</v>
      </c>
      <c r="F1087" s="82"/>
      <c r="G1087" s="83">
        <v>45947</v>
      </c>
      <c r="H1087" s="82" t="s">
        <v>433</v>
      </c>
      <c r="I1087" s="82" t="s">
        <v>51</v>
      </c>
      <c r="J1087" s="84">
        <v>0.71349099999999999</v>
      </c>
      <c r="K1087" s="85">
        <v>253.97</v>
      </c>
      <c r="L1087" s="85">
        <v>253.97</v>
      </c>
      <c r="M1087" s="85">
        <v>0</v>
      </c>
      <c r="N1087" s="85">
        <v>0</v>
      </c>
      <c r="O1087" s="85">
        <v>253.97</v>
      </c>
      <c r="P1087" s="85">
        <v>355.9540344587387</v>
      </c>
      <c r="Q1087" s="85">
        <v>355.9540344587387</v>
      </c>
      <c r="R1087" s="85">
        <v>0</v>
      </c>
      <c r="S1087" s="85">
        <v>0</v>
      </c>
      <c r="T1087" s="85">
        <v>348.55</v>
      </c>
      <c r="U1087" s="82" t="s">
        <v>3401</v>
      </c>
      <c r="V1087" s="82" t="s">
        <v>3396</v>
      </c>
      <c r="W1087" s="82" t="s">
        <v>3395</v>
      </c>
      <c r="X1087" s="82" t="s">
        <v>3394</v>
      </c>
      <c r="Y1087" s="82" t="s">
        <v>3393</v>
      </c>
    </row>
    <row r="1088" spans="1:25" ht="10.9" customHeight="1" x14ac:dyDescent="0.2">
      <c r="A1088" s="82" t="s">
        <v>3230</v>
      </c>
      <c r="B1088" s="82" t="s">
        <v>70</v>
      </c>
      <c r="C1088" s="83">
        <v>45947</v>
      </c>
      <c r="D1088" s="83">
        <v>46007</v>
      </c>
      <c r="E1088" s="83">
        <v>46007</v>
      </c>
      <c r="F1088" s="82"/>
      <c r="G1088" s="83">
        <v>45947</v>
      </c>
      <c r="H1088" s="82" t="s">
        <v>545</v>
      </c>
      <c r="I1088" s="82" t="s">
        <v>51</v>
      </c>
      <c r="J1088" s="84">
        <v>0.71349099999999999</v>
      </c>
      <c r="K1088" s="85">
        <v>2623.78</v>
      </c>
      <c r="L1088" s="85">
        <v>2623.78</v>
      </c>
      <c r="M1088" s="85">
        <v>0</v>
      </c>
      <c r="N1088" s="85">
        <v>0</v>
      </c>
      <c r="O1088" s="85">
        <v>2623.78</v>
      </c>
      <c r="P1088" s="85">
        <v>3677.3834568340735</v>
      </c>
      <c r="Q1088" s="85">
        <v>3677.3834568340735</v>
      </c>
      <c r="R1088" s="85">
        <v>0</v>
      </c>
      <c r="S1088" s="85">
        <v>0</v>
      </c>
      <c r="T1088" s="85">
        <v>3600.93</v>
      </c>
      <c r="U1088" s="82" t="s">
        <v>3401</v>
      </c>
      <c r="V1088" s="82" t="s">
        <v>3396</v>
      </c>
      <c r="W1088" s="82" t="s">
        <v>3395</v>
      </c>
      <c r="X1088" s="82" t="s">
        <v>3394</v>
      </c>
      <c r="Y1088" s="82" t="s">
        <v>3393</v>
      </c>
    </row>
    <row r="1089" spans="1:25" ht="10.9" customHeight="1" x14ac:dyDescent="0.2">
      <c r="A1089" s="82" t="s">
        <v>3167</v>
      </c>
      <c r="B1089" s="82" t="s">
        <v>70</v>
      </c>
      <c r="C1089" s="83">
        <v>45947</v>
      </c>
      <c r="D1089" s="83">
        <v>46007</v>
      </c>
      <c r="E1089" s="83">
        <v>46007</v>
      </c>
      <c r="F1089" s="82"/>
      <c r="G1089" s="83">
        <v>45947</v>
      </c>
      <c r="H1089" s="82" t="s">
        <v>675</v>
      </c>
      <c r="I1089" s="82" t="s">
        <v>51</v>
      </c>
      <c r="J1089" s="84">
        <v>0.71349099999999999</v>
      </c>
      <c r="K1089" s="85">
        <v>3727.67</v>
      </c>
      <c r="L1089" s="85">
        <v>3727.67</v>
      </c>
      <c r="M1089" s="85">
        <v>0</v>
      </c>
      <c r="N1089" s="85">
        <v>0</v>
      </c>
      <c r="O1089" s="85">
        <v>3727.67</v>
      </c>
      <c r="P1089" s="85">
        <v>5224.5508352593088</v>
      </c>
      <c r="Q1089" s="85">
        <v>5224.5508352593088</v>
      </c>
      <c r="R1089" s="85">
        <v>0</v>
      </c>
      <c r="S1089" s="85">
        <v>0</v>
      </c>
      <c r="T1089" s="85">
        <v>5115.93</v>
      </c>
      <c r="U1089" s="82" t="s">
        <v>3401</v>
      </c>
      <c r="V1089" s="82" t="s">
        <v>3396</v>
      </c>
      <c r="W1089" s="82" t="s">
        <v>3395</v>
      </c>
      <c r="X1089" s="82" t="s">
        <v>3394</v>
      </c>
      <c r="Y1089" s="82" t="s">
        <v>3393</v>
      </c>
    </row>
    <row r="1090" spans="1:25" ht="10.9" customHeight="1" x14ac:dyDescent="0.2">
      <c r="A1090" s="82" t="s">
        <v>3284</v>
      </c>
      <c r="B1090" s="82" t="s">
        <v>146</v>
      </c>
      <c r="C1090" s="83">
        <v>45950</v>
      </c>
      <c r="D1090" s="83">
        <v>45980</v>
      </c>
      <c r="E1090" s="83">
        <v>45980</v>
      </c>
      <c r="F1090" s="83">
        <v>45989</v>
      </c>
      <c r="G1090" s="83">
        <v>45951</v>
      </c>
      <c r="H1090" s="82" t="s">
        <v>411</v>
      </c>
      <c r="I1090" s="82" t="s">
        <v>22</v>
      </c>
      <c r="J1090" s="84">
        <v>0</v>
      </c>
      <c r="K1090" s="85">
        <v>150</v>
      </c>
      <c r="L1090" s="85">
        <v>157.5</v>
      </c>
      <c r="M1090" s="85">
        <v>7.5</v>
      </c>
      <c r="N1090" s="85">
        <v>157.5</v>
      </c>
      <c r="O1090" s="85">
        <v>0</v>
      </c>
      <c r="P1090" s="85">
        <v>150</v>
      </c>
      <c r="Q1090" s="85">
        <v>157.5</v>
      </c>
      <c r="R1090" s="85">
        <v>7.5</v>
      </c>
      <c r="S1090" s="85">
        <v>157.5</v>
      </c>
      <c r="T1090" s="85">
        <v>0</v>
      </c>
      <c r="U1090" s="82"/>
      <c r="V1090" s="82" t="s">
        <v>3399</v>
      </c>
      <c r="W1090" s="82" t="s">
        <v>3395</v>
      </c>
      <c r="X1090" s="82" t="s">
        <v>3394</v>
      </c>
      <c r="Y1090" s="82" t="s">
        <v>3393</v>
      </c>
    </row>
    <row r="1091" spans="1:25" ht="10.9" customHeight="1" x14ac:dyDescent="0.2">
      <c r="A1091" s="82" t="s">
        <v>3292</v>
      </c>
      <c r="B1091" s="82" t="s">
        <v>171</v>
      </c>
      <c r="C1091" s="83">
        <v>45950</v>
      </c>
      <c r="D1091" s="83">
        <v>45980</v>
      </c>
      <c r="E1091" s="83">
        <v>45980</v>
      </c>
      <c r="F1091" s="83">
        <v>45981</v>
      </c>
      <c r="G1091" s="83">
        <v>45951</v>
      </c>
      <c r="H1091" s="82" t="s">
        <v>391</v>
      </c>
      <c r="I1091" s="82" t="s">
        <v>22</v>
      </c>
      <c r="J1091" s="84">
        <v>0</v>
      </c>
      <c r="K1091" s="85">
        <v>2490.88</v>
      </c>
      <c r="L1091" s="85">
        <v>2615.42</v>
      </c>
      <c r="M1091" s="85">
        <v>124.54</v>
      </c>
      <c r="N1091" s="85">
        <v>2615.42</v>
      </c>
      <c r="O1091" s="85">
        <v>0</v>
      </c>
      <c r="P1091" s="85">
        <v>2490.88</v>
      </c>
      <c r="Q1091" s="85">
        <v>2615.42</v>
      </c>
      <c r="R1091" s="85">
        <v>124.54</v>
      </c>
      <c r="S1091" s="85">
        <v>2615.42</v>
      </c>
      <c r="T1091" s="85">
        <v>0</v>
      </c>
      <c r="U1091" s="82"/>
      <c r="V1091" s="82" t="s">
        <v>3399</v>
      </c>
      <c r="W1091" s="82" t="s">
        <v>3395</v>
      </c>
      <c r="X1091" s="82" t="s">
        <v>3394</v>
      </c>
      <c r="Y1091" s="82" t="s">
        <v>3393</v>
      </c>
    </row>
    <row r="1092" spans="1:25" ht="10.9" customHeight="1" x14ac:dyDescent="0.2">
      <c r="A1092" s="82" t="s">
        <v>3201</v>
      </c>
      <c r="B1092" s="82" t="s">
        <v>612</v>
      </c>
      <c r="C1092" s="83">
        <v>45950</v>
      </c>
      <c r="D1092" s="83">
        <v>45980</v>
      </c>
      <c r="E1092" s="83">
        <v>45980</v>
      </c>
      <c r="F1092" s="83">
        <v>45967</v>
      </c>
      <c r="G1092" s="83">
        <v>45951</v>
      </c>
      <c r="H1092" s="82" t="s">
        <v>611</v>
      </c>
      <c r="I1092" s="82" t="s">
        <v>22</v>
      </c>
      <c r="J1092" s="84">
        <v>0</v>
      </c>
      <c r="K1092" s="85">
        <v>3958.75</v>
      </c>
      <c r="L1092" s="85">
        <v>4473.37</v>
      </c>
      <c r="M1092" s="85">
        <v>514.62</v>
      </c>
      <c r="N1092" s="85">
        <v>4473.37</v>
      </c>
      <c r="O1092" s="85">
        <v>0</v>
      </c>
      <c r="P1092" s="85">
        <v>3958.75</v>
      </c>
      <c r="Q1092" s="85">
        <v>4473.37</v>
      </c>
      <c r="R1092" s="85">
        <v>514.62</v>
      </c>
      <c r="S1092" s="85">
        <v>4473.37</v>
      </c>
      <c r="T1092" s="85">
        <v>0</v>
      </c>
      <c r="U1092" s="82"/>
      <c r="V1092" s="82" t="s">
        <v>3399</v>
      </c>
      <c r="W1092" s="82" t="s">
        <v>3395</v>
      </c>
      <c r="X1092" s="82" t="s">
        <v>3394</v>
      </c>
      <c r="Y1092" s="82" t="s">
        <v>3393</v>
      </c>
    </row>
    <row r="1093" spans="1:25" ht="10.9" customHeight="1" x14ac:dyDescent="0.2">
      <c r="A1093" s="82" t="s">
        <v>3187</v>
      </c>
      <c r="B1093" s="82" t="s">
        <v>316</v>
      </c>
      <c r="C1093" s="83">
        <v>45950</v>
      </c>
      <c r="D1093" s="83">
        <v>45980</v>
      </c>
      <c r="E1093" s="83">
        <v>45980</v>
      </c>
      <c r="F1093" s="83">
        <v>46003</v>
      </c>
      <c r="G1093" s="83">
        <v>45951</v>
      </c>
      <c r="H1093" s="82" t="s">
        <v>636</v>
      </c>
      <c r="I1093" s="82" t="s">
        <v>22</v>
      </c>
      <c r="J1093" s="84">
        <v>0</v>
      </c>
      <c r="K1093" s="85">
        <v>1401.35</v>
      </c>
      <c r="L1093" s="85">
        <v>1471.42</v>
      </c>
      <c r="M1093" s="85">
        <v>70.069999999999993</v>
      </c>
      <c r="N1093" s="85">
        <v>1471.42</v>
      </c>
      <c r="O1093" s="85">
        <v>0</v>
      </c>
      <c r="P1093" s="85">
        <v>1401.35</v>
      </c>
      <c r="Q1093" s="85">
        <v>1471.42</v>
      </c>
      <c r="R1093" s="85">
        <v>70.069999999999993</v>
      </c>
      <c r="S1093" s="85">
        <v>1471.42</v>
      </c>
      <c r="T1093" s="85">
        <v>0</v>
      </c>
      <c r="U1093" s="82"/>
      <c r="V1093" s="82" t="s">
        <v>3399</v>
      </c>
      <c r="W1093" s="82" t="s">
        <v>3395</v>
      </c>
      <c r="X1093" s="82" t="s">
        <v>3394</v>
      </c>
      <c r="Y1093" s="82" t="s">
        <v>3393</v>
      </c>
    </row>
    <row r="1094" spans="1:25" ht="10.9" customHeight="1" x14ac:dyDescent="0.2">
      <c r="A1094" s="82" t="s">
        <v>3043</v>
      </c>
      <c r="B1094" s="82" t="s">
        <v>239</v>
      </c>
      <c r="C1094" s="83">
        <v>45951</v>
      </c>
      <c r="D1094" s="83">
        <v>46015</v>
      </c>
      <c r="E1094" s="83">
        <v>46015</v>
      </c>
      <c r="F1094" s="82"/>
      <c r="G1094" s="83">
        <v>45985</v>
      </c>
      <c r="H1094" s="82" t="s">
        <v>925</v>
      </c>
      <c r="I1094" s="82" t="s">
        <v>51</v>
      </c>
      <c r="J1094" s="84">
        <v>0.71405099999999999</v>
      </c>
      <c r="K1094" s="85">
        <v>627.70000000000005</v>
      </c>
      <c r="L1094" s="85">
        <v>627.70000000000005</v>
      </c>
      <c r="M1094" s="85">
        <v>0</v>
      </c>
      <c r="N1094" s="85">
        <v>0</v>
      </c>
      <c r="O1094" s="85">
        <v>627.70000000000005</v>
      </c>
      <c r="P1094" s="85">
        <v>879.06886202806243</v>
      </c>
      <c r="Q1094" s="85">
        <v>879.06886202806243</v>
      </c>
      <c r="R1094" s="85">
        <v>0</v>
      </c>
      <c r="S1094" s="85">
        <v>0</v>
      </c>
      <c r="T1094" s="85">
        <v>861.47</v>
      </c>
      <c r="U1094" s="82" t="s">
        <v>3401</v>
      </c>
      <c r="V1094" s="82" t="s">
        <v>3396</v>
      </c>
      <c r="W1094" s="82" t="s">
        <v>3395</v>
      </c>
      <c r="X1094" s="82" t="s">
        <v>3394</v>
      </c>
      <c r="Y1094" s="82" t="s">
        <v>3393</v>
      </c>
    </row>
    <row r="1095" spans="1:25" ht="10.9" customHeight="1" x14ac:dyDescent="0.2">
      <c r="A1095" s="82" t="s">
        <v>2893</v>
      </c>
      <c r="B1095" s="82" t="s">
        <v>239</v>
      </c>
      <c r="C1095" s="83">
        <v>45951</v>
      </c>
      <c r="D1095" s="83">
        <v>46015</v>
      </c>
      <c r="E1095" s="83">
        <v>46015</v>
      </c>
      <c r="F1095" s="82"/>
      <c r="G1095" s="83">
        <v>45985</v>
      </c>
      <c r="H1095" s="82" t="s">
        <v>3431</v>
      </c>
      <c r="I1095" s="82" t="s">
        <v>51</v>
      </c>
      <c r="J1095" s="84">
        <v>0.71405099999999999</v>
      </c>
      <c r="K1095" s="85">
        <v>6597</v>
      </c>
      <c r="L1095" s="85">
        <v>6597</v>
      </c>
      <c r="M1095" s="85">
        <v>0</v>
      </c>
      <c r="N1095" s="85">
        <v>0</v>
      </c>
      <c r="O1095" s="85">
        <v>6597</v>
      </c>
      <c r="P1095" s="85">
        <v>9238.8358814706517</v>
      </c>
      <c r="Q1095" s="85">
        <v>9238.8358814706517</v>
      </c>
      <c r="R1095" s="85">
        <v>0</v>
      </c>
      <c r="S1095" s="85">
        <v>0</v>
      </c>
      <c r="T1095" s="85">
        <v>9053.85</v>
      </c>
      <c r="U1095" s="82" t="s">
        <v>3401</v>
      </c>
      <c r="V1095" s="82" t="s">
        <v>3396</v>
      </c>
      <c r="W1095" s="82" t="s">
        <v>3395</v>
      </c>
      <c r="X1095" s="82" t="s">
        <v>3394</v>
      </c>
      <c r="Y1095" s="82" t="s">
        <v>3393</v>
      </c>
    </row>
    <row r="1096" spans="1:25" ht="10.9" customHeight="1" x14ac:dyDescent="0.2">
      <c r="A1096" s="82" t="s">
        <v>3301</v>
      </c>
      <c r="B1096" s="82" t="s">
        <v>369</v>
      </c>
      <c r="C1096" s="83">
        <v>45951</v>
      </c>
      <c r="D1096" s="83">
        <v>45951</v>
      </c>
      <c r="E1096" s="83">
        <v>45951</v>
      </c>
      <c r="F1096" s="83">
        <v>45959</v>
      </c>
      <c r="G1096" s="83">
        <v>45951</v>
      </c>
      <c r="H1096" s="82"/>
      <c r="I1096" s="82" t="s">
        <v>51</v>
      </c>
      <c r="J1096" s="84">
        <v>0.71320099999999997</v>
      </c>
      <c r="K1096" s="85">
        <v>12489.11</v>
      </c>
      <c r="L1096" s="85">
        <v>12489.11</v>
      </c>
      <c r="M1096" s="85">
        <v>0</v>
      </c>
      <c r="N1096" s="85">
        <v>12489.11</v>
      </c>
      <c r="O1096" s="85">
        <v>0</v>
      </c>
      <c r="P1096" s="85">
        <v>17511.346731145917</v>
      </c>
      <c r="Q1096" s="85">
        <v>17511.346731145917</v>
      </c>
      <c r="R1096" s="85">
        <v>0</v>
      </c>
      <c r="S1096" s="85">
        <v>17360.742699999999</v>
      </c>
      <c r="T1096" s="85">
        <v>0</v>
      </c>
      <c r="U1096" s="82"/>
      <c r="V1096" s="82" t="s">
        <v>3399</v>
      </c>
      <c r="W1096" s="82" t="s">
        <v>3395</v>
      </c>
      <c r="X1096" s="82" t="s">
        <v>3394</v>
      </c>
      <c r="Y1096" s="82" t="s">
        <v>3393</v>
      </c>
    </row>
    <row r="1097" spans="1:25" ht="10.9" customHeight="1" x14ac:dyDescent="0.2">
      <c r="A1097" s="82" t="s">
        <v>3248</v>
      </c>
      <c r="B1097" s="82" t="s">
        <v>509</v>
      </c>
      <c r="C1097" s="83">
        <v>45951</v>
      </c>
      <c r="D1097" s="83">
        <v>45981</v>
      </c>
      <c r="E1097" s="83">
        <v>45981</v>
      </c>
      <c r="F1097" s="83">
        <v>45981</v>
      </c>
      <c r="G1097" s="83">
        <v>45951</v>
      </c>
      <c r="H1097" s="82" t="s">
        <v>508</v>
      </c>
      <c r="I1097" s="82" t="s">
        <v>22</v>
      </c>
      <c r="J1097" s="84">
        <v>0</v>
      </c>
      <c r="K1097" s="85">
        <v>7609.56</v>
      </c>
      <c r="L1097" s="85">
        <v>7990.04</v>
      </c>
      <c r="M1097" s="85">
        <v>380.48</v>
      </c>
      <c r="N1097" s="85">
        <v>7990.04</v>
      </c>
      <c r="O1097" s="85">
        <v>0</v>
      </c>
      <c r="P1097" s="85">
        <v>7609.56</v>
      </c>
      <c r="Q1097" s="85">
        <v>7990.04</v>
      </c>
      <c r="R1097" s="85">
        <v>380.48</v>
      </c>
      <c r="S1097" s="85">
        <v>7990.04</v>
      </c>
      <c r="T1097" s="85">
        <v>0</v>
      </c>
      <c r="U1097" s="82"/>
      <c r="V1097" s="82" t="s">
        <v>3399</v>
      </c>
      <c r="W1097" s="82" t="s">
        <v>3395</v>
      </c>
      <c r="X1097" s="82" t="s">
        <v>3394</v>
      </c>
      <c r="Y1097" s="82" t="s">
        <v>3393</v>
      </c>
    </row>
    <row r="1098" spans="1:25" ht="10.9" customHeight="1" x14ac:dyDescent="0.2">
      <c r="A1098" s="82" t="s">
        <v>3287</v>
      </c>
      <c r="B1098" s="82" t="s">
        <v>80</v>
      </c>
      <c r="C1098" s="83">
        <v>45951</v>
      </c>
      <c r="D1098" s="83">
        <v>46011</v>
      </c>
      <c r="E1098" s="83">
        <v>46011</v>
      </c>
      <c r="F1098" s="83">
        <v>46010</v>
      </c>
      <c r="G1098" s="83">
        <v>45951</v>
      </c>
      <c r="H1098" s="82" t="s">
        <v>401</v>
      </c>
      <c r="I1098" s="82" t="s">
        <v>22</v>
      </c>
      <c r="J1098" s="84">
        <v>0</v>
      </c>
      <c r="K1098" s="85">
        <v>7248.11</v>
      </c>
      <c r="L1098" s="85">
        <v>7610.52</v>
      </c>
      <c r="M1098" s="85">
        <v>362.41</v>
      </c>
      <c r="N1098" s="85">
        <v>7610.52</v>
      </c>
      <c r="O1098" s="85">
        <v>0</v>
      </c>
      <c r="P1098" s="85">
        <v>7248.11</v>
      </c>
      <c r="Q1098" s="85">
        <v>7610.52</v>
      </c>
      <c r="R1098" s="85">
        <v>362.41</v>
      </c>
      <c r="S1098" s="85">
        <v>7610.52</v>
      </c>
      <c r="T1098" s="85">
        <v>0</v>
      </c>
      <c r="U1098" s="82"/>
      <c r="V1098" s="82" t="s">
        <v>3399</v>
      </c>
      <c r="W1098" s="82" t="s">
        <v>3395</v>
      </c>
      <c r="X1098" s="82" t="s">
        <v>3394</v>
      </c>
      <c r="Y1098" s="82" t="s">
        <v>3393</v>
      </c>
    </row>
    <row r="1099" spans="1:25" ht="10.9" customHeight="1" x14ac:dyDescent="0.2">
      <c r="A1099" s="82" t="s">
        <v>3294</v>
      </c>
      <c r="B1099" s="82" t="s">
        <v>3430</v>
      </c>
      <c r="C1099" s="83">
        <v>45952</v>
      </c>
      <c r="D1099" s="83">
        <v>45982</v>
      </c>
      <c r="E1099" s="83">
        <v>45982</v>
      </c>
      <c r="F1099" s="83">
        <v>45988</v>
      </c>
      <c r="G1099" s="83">
        <v>45952</v>
      </c>
      <c r="H1099" s="82" t="s">
        <v>386</v>
      </c>
      <c r="I1099" s="82" t="s">
        <v>22</v>
      </c>
      <c r="J1099" s="84">
        <v>0</v>
      </c>
      <c r="K1099" s="85">
        <v>196</v>
      </c>
      <c r="L1099" s="85">
        <v>221.48</v>
      </c>
      <c r="M1099" s="85">
        <v>25.48</v>
      </c>
      <c r="N1099" s="85">
        <v>221.48</v>
      </c>
      <c r="O1099" s="85">
        <v>0</v>
      </c>
      <c r="P1099" s="85">
        <v>196</v>
      </c>
      <c r="Q1099" s="85">
        <v>221.48</v>
      </c>
      <c r="R1099" s="85">
        <v>25.48</v>
      </c>
      <c r="S1099" s="85">
        <v>221.48</v>
      </c>
      <c r="T1099" s="85">
        <v>0</v>
      </c>
      <c r="U1099" s="82"/>
      <c r="V1099" s="82" t="s">
        <v>3399</v>
      </c>
      <c r="W1099" s="82" t="s">
        <v>3395</v>
      </c>
      <c r="X1099" s="82" t="s">
        <v>3394</v>
      </c>
      <c r="Y1099" s="82" t="s">
        <v>3393</v>
      </c>
    </row>
    <row r="1100" spans="1:25" ht="10.9" customHeight="1" x14ac:dyDescent="0.2">
      <c r="A1100" s="82" t="s">
        <v>3298</v>
      </c>
      <c r="B1100" s="82" t="s">
        <v>245</v>
      </c>
      <c r="C1100" s="83">
        <v>45952</v>
      </c>
      <c r="D1100" s="83">
        <v>45982</v>
      </c>
      <c r="E1100" s="83">
        <v>45982</v>
      </c>
      <c r="F1100" s="83">
        <v>45979</v>
      </c>
      <c r="G1100" s="83">
        <v>45952</v>
      </c>
      <c r="H1100" s="82" t="s">
        <v>378</v>
      </c>
      <c r="I1100" s="82" t="s">
        <v>22</v>
      </c>
      <c r="J1100" s="84">
        <v>0</v>
      </c>
      <c r="K1100" s="85">
        <v>273.10000000000002</v>
      </c>
      <c r="L1100" s="85">
        <v>308.60000000000002</v>
      </c>
      <c r="M1100" s="85">
        <v>35.5</v>
      </c>
      <c r="N1100" s="85">
        <v>308.60000000000002</v>
      </c>
      <c r="O1100" s="85">
        <v>0</v>
      </c>
      <c r="P1100" s="85">
        <v>273.10000000000002</v>
      </c>
      <c r="Q1100" s="85">
        <v>308.60000000000002</v>
      </c>
      <c r="R1100" s="85">
        <v>35.5</v>
      </c>
      <c r="S1100" s="85">
        <v>308.60000000000002</v>
      </c>
      <c r="T1100" s="85">
        <v>0</v>
      </c>
      <c r="U1100" s="82"/>
      <c r="V1100" s="82" t="s">
        <v>3399</v>
      </c>
      <c r="W1100" s="82" t="s">
        <v>3395</v>
      </c>
      <c r="X1100" s="82" t="s">
        <v>3394</v>
      </c>
      <c r="Y1100" s="82" t="s">
        <v>3393</v>
      </c>
    </row>
    <row r="1101" spans="1:25" ht="10.9" customHeight="1" x14ac:dyDescent="0.2">
      <c r="A1101" s="82" t="s">
        <v>3220</v>
      </c>
      <c r="B1101" s="82" t="s">
        <v>171</v>
      </c>
      <c r="C1101" s="83">
        <v>45952</v>
      </c>
      <c r="D1101" s="83">
        <v>45982</v>
      </c>
      <c r="E1101" s="83">
        <v>45982</v>
      </c>
      <c r="F1101" s="83">
        <v>45992</v>
      </c>
      <c r="G1101" s="83">
        <v>45952</v>
      </c>
      <c r="H1101" s="82" t="s">
        <v>562</v>
      </c>
      <c r="I1101" s="82" t="s">
        <v>22</v>
      </c>
      <c r="J1101" s="84">
        <v>0</v>
      </c>
      <c r="K1101" s="85">
        <v>2213.92</v>
      </c>
      <c r="L1101" s="85">
        <v>2324.62</v>
      </c>
      <c r="M1101" s="85">
        <v>110.7</v>
      </c>
      <c r="N1101" s="85">
        <v>2324.62</v>
      </c>
      <c r="O1101" s="85">
        <v>0</v>
      </c>
      <c r="P1101" s="85">
        <v>2213.92</v>
      </c>
      <c r="Q1101" s="85">
        <v>2324.62</v>
      </c>
      <c r="R1101" s="85">
        <v>110.7</v>
      </c>
      <c r="S1101" s="85">
        <v>2324.62</v>
      </c>
      <c r="T1101" s="85">
        <v>0</v>
      </c>
      <c r="U1101" s="82"/>
      <c r="V1101" s="82" t="s">
        <v>3399</v>
      </c>
      <c r="W1101" s="82" t="s">
        <v>3395</v>
      </c>
      <c r="X1101" s="82" t="s">
        <v>3394</v>
      </c>
      <c r="Y1101" s="82" t="s">
        <v>3393</v>
      </c>
    </row>
    <row r="1102" spans="1:25" ht="10.9" customHeight="1" x14ac:dyDescent="0.2">
      <c r="A1102" s="82" t="s">
        <v>3291</v>
      </c>
      <c r="B1102" s="82" t="s">
        <v>20</v>
      </c>
      <c r="C1102" s="83">
        <v>45952</v>
      </c>
      <c r="D1102" s="83">
        <v>46012</v>
      </c>
      <c r="E1102" s="83">
        <v>46012</v>
      </c>
      <c r="F1102" s="83">
        <v>46010</v>
      </c>
      <c r="G1102" s="83">
        <v>45952</v>
      </c>
      <c r="H1102" s="82" t="s">
        <v>393</v>
      </c>
      <c r="I1102" s="82" t="s">
        <v>22</v>
      </c>
      <c r="J1102" s="84">
        <v>0</v>
      </c>
      <c r="K1102" s="85">
        <v>4557.97</v>
      </c>
      <c r="L1102" s="85">
        <v>5150.51</v>
      </c>
      <c r="M1102" s="85">
        <v>592.54</v>
      </c>
      <c r="N1102" s="85">
        <v>5150.51</v>
      </c>
      <c r="O1102" s="85">
        <v>0</v>
      </c>
      <c r="P1102" s="85">
        <v>4557.97</v>
      </c>
      <c r="Q1102" s="85">
        <v>5150.51</v>
      </c>
      <c r="R1102" s="85">
        <v>592.54</v>
      </c>
      <c r="S1102" s="85">
        <v>5150.51</v>
      </c>
      <c r="T1102" s="85">
        <v>0</v>
      </c>
      <c r="U1102" s="82"/>
      <c r="V1102" s="82" t="s">
        <v>3399</v>
      </c>
      <c r="W1102" s="82" t="s">
        <v>3395</v>
      </c>
      <c r="X1102" s="82" t="s">
        <v>3394</v>
      </c>
      <c r="Y1102" s="82" t="s">
        <v>3393</v>
      </c>
    </row>
    <row r="1103" spans="1:25" ht="10.9" customHeight="1" x14ac:dyDescent="0.2">
      <c r="A1103" s="82" t="s">
        <v>3290</v>
      </c>
      <c r="B1103" s="82" t="s">
        <v>20</v>
      </c>
      <c r="C1103" s="83">
        <v>45952</v>
      </c>
      <c r="D1103" s="83">
        <v>46012</v>
      </c>
      <c r="E1103" s="83">
        <v>46012</v>
      </c>
      <c r="F1103" s="83">
        <v>46010</v>
      </c>
      <c r="G1103" s="83">
        <v>45954</v>
      </c>
      <c r="H1103" s="82" t="s">
        <v>395</v>
      </c>
      <c r="I1103" s="82" t="s">
        <v>22</v>
      </c>
      <c r="J1103" s="84">
        <v>0</v>
      </c>
      <c r="K1103" s="85">
        <v>5073.1099999999997</v>
      </c>
      <c r="L1103" s="85">
        <v>5326.77</v>
      </c>
      <c r="M1103" s="85">
        <v>253.66</v>
      </c>
      <c r="N1103" s="85">
        <v>5326.77</v>
      </c>
      <c r="O1103" s="85">
        <v>0</v>
      </c>
      <c r="P1103" s="85">
        <v>5073.1099999999997</v>
      </c>
      <c r="Q1103" s="85">
        <v>5326.77</v>
      </c>
      <c r="R1103" s="85">
        <v>253.66</v>
      </c>
      <c r="S1103" s="85">
        <v>5326.77</v>
      </c>
      <c r="T1103" s="85">
        <v>0</v>
      </c>
      <c r="U1103" s="82"/>
      <c r="V1103" s="82" t="s">
        <v>3399</v>
      </c>
      <c r="W1103" s="82" t="s">
        <v>3395</v>
      </c>
      <c r="X1103" s="82" t="s">
        <v>3394</v>
      </c>
      <c r="Y1103" s="82" t="s">
        <v>3393</v>
      </c>
    </row>
    <row r="1104" spans="1:25" ht="10.9" customHeight="1" x14ac:dyDescent="0.2">
      <c r="A1104" s="82" t="s">
        <v>3299</v>
      </c>
      <c r="B1104" s="82" t="s">
        <v>77</v>
      </c>
      <c r="C1104" s="83">
        <v>45953</v>
      </c>
      <c r="D1104" s="83">
        <v>45983</v>
      </c>
      <c r="E1104" s="83">
        <v>45983</v>
      </c>
      <c r="F1104" s="83">
        <v>46008</v>
      </c>
      <c r="G1104" s="83">
        <v>45953</v>
      </c>
      <c r="H1104" s="82" t="s">
        <v>376</v>
      </c>
      <c r="I1104" s="82" t="s">
        <v>22</v>
      </c>
      <c r="J1104" s="84">
        <v>0</v>
      </c>
      <c r="K1104" s="85">
        <v>131.91999999999999</v>
      </c>
      <c r="L1104" s="85">
        <v>138.52000000000001</v>
      </c>
      <c r="M1104" s="85">
        <v>6.6</v>
      </c>
      <c r="N1104" s="85">
        <v>138.52000000000001</v>
      </c>
      <c r="O1104" s="85">
        <v>0</v>
      </c>
      <c r="P1104" s="85">
        <v>131.91999999999999</v>
      </c>
      <c r="Q1104" s="85">
        <v>138.52000000000001</v>
      </c>
      <c r="R1104" s="85">
        <v>6.6</v>
      </c>
      <c r="S1104" s="85">
        <v>138.52000000000001</v>
      </c>
      <c r="T1104" s="85">
        <v>0</v>
      </c>
      <c r="U1104" s="82"/>
      <c r="V1104" s="82" t="s">
        <v>3399</v>
      </c>
      <c r="W1104" s="82" t="s">
        <v>3395</v>
      </c>
      <c r="X1104" s="82" t="s">
        <v>3394</v>
      </c>
      <c r="Y1104" s="82" t="s">
        <v>3393</v>
      </c>
    </row>
    <row r="1105" spans="1:25" ht="10.9" customHeight="1" x14ac:dyDescent="0.2">
      <c r="A1105" s="82" t="s">
        <v>3296</v>
      </c>
      <c r="B1105" s="82" t="s">
        <v>64</v>
      </c>
      <c r="C1105" s="83">
        <v>45953</v>
      </c>
      <c r="D1105" s="83">
        <v>45983</v>
      </c>
      <c r="E1105" s="83">
        <v>45983</v>
      </c>
      <c r="F1105" s="83">
        <v>45973</v>
      </c>
      <c r="G1105" s="83">
        <v>45953</v>
      </c>
      <c r="H1105" s="82" t="s">
        <v>382</v>
      </c>
      <c r="I1105" s="82" t="s">
        <v>22</v>
      </c>
      <c r="J1105" s="84">
        <v>0</v>
      </c>
      <c r="K1105" s="85">
        <v>240.42</v>
      </c>
      <c r="L1105" s="85">
        <v>271.67</v>
      </c>
      <c r="M1105" s="85">
        <v>31.25</v>
      </c>
      <c r="N1105" s="85">
        <v>271.67</v>
      </c>
      <c r="O1105" s="85">
        <v>0</v>
      </c>
      <c r="P1105" s="85">
        <v>240.42</v>
      </c>
      <c r="Q1105" s="85">
        <v>271.67</v>
      </c>
      <c r="R1105" s="85">
        <v>31.25</v>
      </c>
      <c r="S1105" s="85">
        <v>271.67</v>
      </c>
      <c r="T1105" s="85">
        <v>0</v>
      </c>
      <c r="U1105" s="82"/>
      <c r="V1105" s="82" t="s">
        <v>3399</v>
      </c>
      <c r="W1105" s="82" t="s">
        <v>3395</v>
      </c>
      <c r="X1105" s="82" t="s">
        <v>3394</v>
      </c>
      <c r="Y1105" s="82" t="s">
        <v>3393</v>
      </c>
    </row>
    <row r="1106" spans="1:25" ht="10.9" customHeight="1" x14ac:dyDescent="0.2">
      <c r="A1106" s="82" t="s">
        <v>3225</v>
      </c>
      <c r="B1106" s="82" t="s">
        <v>3412</v>
      </c>
      <c r="C1106" s="83">
        <v>45953</v>
      </c>
      <c r="D1106" s="83">
        <v>45998</v>
      </c>
      <c r="E1106" s="83">
        <v>45998</v>
      </c>
      <c r="F1106" s="82"/>
      <c r="G1106" s="83">
        <v>45954</v>
      </c>
      <c r="H1106" s="82" t="s">
        <v>551</v>
      </c>
      <c r="I1106" s="82" t="s">
        <v>22</v>
      </c>
      <c r="J1106" s="84">
        <v>0</v>
      </c>
      <c r="K1106" s="85">
        <v>1180.7</v>
      </c>
      <c r="L1106" s="85">
        <v>1239.74</v>
      </c>
      <c r="M1106" s="85">
        <v>59.04</v>
      </c>
      <c r="N1106" s="85">
        <v>0</v>
      </c>
      <c r="O1106" s="85">
        <v>1239.74</v>
      </c>
      <c r="P1106" s="85">
        <v>1180.7</v>
      </c>
      <c r="Q1106" s="85">
        <v>1239.74</v>
      </c>
      <c r="R1106" s="85">
        <v>59.04</v>
      </c>
      <c r="S1106" s="85">
        <v>0</v>
      </c>
      <c r="T1106" s="85">
        <v>1239.74</v>
      </c>
      <c r="U1106" s="82"/>
      <c r="V1106" s="82" t="s">
        <v>3396</v>
      </c>
      <c r="W1106" s="82" t="s">
        <v>3395</v>
      </c>
      <c r="X1106" s="82" t="s">
        <v>3394</v>
      </c>
      <c r="Y1106" s="82" t="s">
        <v>3393</v>
      </c>
    </row>
    <row r="1107" spans="1:25" ht="10.9" customHeight="1" x14ac:dyDescent="0.2">
      <c r="A1107" s="82" t="s">
        <v>3127</v>
      </c>
      <c r="B1107" s="82" t="s">
        <v>3429</v>
      </c>
      <c r="C1107" s="83">
        <v>45957</v>
      </c>
      <c r="D1107" s="83">
        <v>45957</v>
      </c>
      <c r="E1107" s="83">
        <v>45957</v>
      </c>
      <c r="F1107" s="83">
        <v>45919</v>
      </c>
      <c r="G1107" s="83">
        <v>45957</v>
      </c>
      <c r="H1107" s="82" t="s">
        <v>3428</v>
      </c>
      <c r="I1107" s="82" t="s">
        <v>51</v>
      </c>
      <c r="J1107" s="84">
        <v>0.71479099999999995</v>
      </c>
      <c r="K1107" s="85">
        <v>1719.88</v>
      </c>
      <c r="L1107" s="85">
        <v>1719.88</v>
      </c>
      <c r="M1107" s="85">
        <v>0</v>
      </c>
      <c r="N1107" s="85">
        <v>1719.88</v>
      </c>
      <c r="O1107" s="85">
        <v>0</v>
      </c>
      <c r="P1107" s="85">
        <v>2406.1299037061181</v>
      </c>
      <c r="Q1107" s="85">
        <v>2406.1299037061181</v>
      </c>
      <c r="R1107" s="85">
        <v>0</v>
      </c>
      <c r="S1107" s="85">
        <v>2372.2646</v>
      </c>
      <c r="T1107" s="85">
        <v>0</v>
      </c>
      <c r="U1107" s="82"/>
      <c r="V1107" s="82" t="s">
        <v>3399</v>
      </c>
      <c r="W1107" s="82" t="s">
        <v>3395</v>
      </c>
      <c r="X1107" s="82" t="s">
        <v>3397</v>
      </c>
      <c r="Y1107" s="82" t="s">
        <v>3393</v>
      </c>
    </row>
    <row r="1108" spans="1:25" ht="10.9" customHeight="1" x14ac:dyDescent="0.2">
      <c r="A1108" s="82" t="s">
        <v>3300</v>
      </c>
      <c r="B1108" s="82" t="s">
        <v>98</v>
      </c>
      <c r="C1108" s="83">
        <v>45957</v>
      </c>
      <c r="D1108" s="83">
        <v>45987</v>
      </c>
      <c r="E1108" s="83">
        <v>45987</v>
      </c>
      <c r="F1108" s="83">
        <v>45988</v>
      </c>
      <c r="G1108" s="83">
        <v>45958</v>
      </c>
      <c r="H1108" s="82" t="s">
        <v>374</v>
      </c>
      <c r="I1108" s="82" t="s">
        <v>22</v>
      </c>
      <c r="J1108" s="84">
        <v>0</v>
      </c>
      <c r="K1108" s="85">
        <v>2758.48</v>
      </c>
      <c r="L1108" s="85">
        <v>3117.08</v>
      </c>
      <c r="M1108" s="85">
        <v>358.6</v>
      </c>
      <c r="N1108" s="85">
        <v>3117.08</v>
      </c>
      <c r="O1108" s="85">
        <v>0</v>
      </c>
      <c r="P1108" s="85">
        <v>2758.48</v>
      </c>
      <c r="Q1108" s="85">
        <v>3117.08</v>
      </c>
      <c r="R1108" s="85">
        <v>358.6</v>
      </c>
      <c r="S1108" s="85">
        <v>3117.08</v>
      </c>
      <c r="T1108" s="85">
        <v>0</v>
      </c>
      <c r="U1108" s="82"/>
      <c r="V1108" s="82" t="s">
        <v>3399</v>
      </c>
      <c r="W1108" s="82" t="s">
        <v>3395</v>
      </c>
      <c r="X1108" s="82" t="s">
        <v>3394</v>
      </c>
      <c r="Y1108" s="82" t="s">
        <v>3393</v>
      </c>
    </row>
    <row r="1109" spans="1:25" ht="10.9" customHeight="1" x14ac:dyDescent="0.2">
      <c r="A1109" s="82" t="s">
        <v>3062</v>
      </c>
      <c r="B1109" s="82" t="s">
        <v>54</v>
      </c>
      <c r="C1109" s="83">
        <v>45957</v>
      </c>
      <c r="D1109" s="83">
        <v>45987</v>
      </c>
      <c r="E1109" s="83">
        <v>45987</v>
      </c>
      <c r="F1109" s="83">
        <v>46002</v>
      </c>
      <c r="G1109" s="83">
        <v>45958</v>
      </c>
      <c r="H1109" s="82" t="s">
        <v>887</v>
      </c>
      <c r="I1109" s="82" t="s">
        <v>22</v>
      </c>
      <c r="J1109" s="84">
        <v>0</v>
      </c>
      <c r="K1109" s="85">
        <v>9024.4699999999993</v>
      </c>
      <c r="L1109" s="85">
        <v>9475.69</v>
      </c>
      <c r="M1109" s="85">
        <v>451.22</v>
      </c>
      <c r="N1109" s="85">
        <v>9475.69</v>
      </c>
      <c r="O1109" s="85">
        <v>0</v>
      </c>
      <c r="P1109" s="85">
        <v>9024.4699999999993</v>
      </c>
      <c r="Q1109" s="85">
        <v>9475.69</v>
      </c>
      <c r="R1109" s="85">
        <v>451.22</v>
      </c>
      <c r="S1109" s="85">
        <v>9475.69</v>
      </c>
      <c r="T1109" s="85">
        <v>0</v>
      </c>
      <c r="U1109" s="82"/>
      <c r="V1109" s="82" t="s">
        <v>3399</v>
      </c>
      <c r="W1109" s="82" t="s">
        <v>3395</v>
      </c>
      <c r="X1109" s="82" t="s">
        <v>3394</v>
      </c>
      <c r="Y1109" s="82" t="s">
        <v>3393</v>
      </c>
    </row>
    <row r="1110" spans="1:25" ht="10.9" customHeight="1" x14ac:dyDescent="0.2">
      <c r="A1110" s="82" t="s">
        <v>3304</v>
      </c>
      <c r="B1110" s="82" t="s">
        <v>20</v>
      </c>
      <c r="C1110" s="83">
        <v>45957</v>
      </c>
      <c r="D1110" s="83">
        <v>46017</v>
      </c>
      <c r="E1110" s="83">
        <v>46017</v>
      </c>
      <c r="F1110" s="83">
        <v>46015</v>
      </c>
      <c r="G1110" s="83">
        <v>45958</v>
      </c>
      <c r="H1110" s="82" t="s">
        <v>359</v>
      </c>
      <c r="I1110" s="82" t="s">
        <v>22</v>
      </c>
      <c r="J1110" s="84">
        <v>0</v>
      </c>
      <c r="K1110" s="85">
        <v>4223.4399999999996</v>
      </c>
      <c r="L1110" s="85">
        <v>4434.6099999999997</v>
      </c>
      <c r="M1110" s="85">
        <v>211.17</v>
      </c>
      <c r="N1110" s="85">
        <v>4434.6099999999997</v>
      </c>
      <c r="O1110" s="85">
        <v>0</v>
      </c>
      <c r="P1110" s="85">
        <v>4223.4399999999996</v>
      </c>
      <c r="Q1110" s="85">
        <v>4434.6099999999997</v>
      </c>
      <c r="R1110" s="85">
        <v>211.17</v>
      </c>
      <c r="S1110" s="85">
        <v>4434.6099999999997</v>
      </c>
      <c r="T1110" s="85">
        <v>0</v>
      </c>
      <c r="U1110" s="82"/>
      <c r="V1110" s="82" t="s">
        <v>3399</v>
      </c>
      <c r="W1110" s="82" t="s">
        <v>3395</v>
      </c>
      <c r="X1110" s="82" t="s">
        <v>3394</v>
      </c>
      <c r="Y1110" s="82" t="s">
        <v>3393</v>
      </c>
    </row>
    <row r="1111" spans="1:25" ht="10.9" customHeight="1" x14ac:dyDescent="0.2">
      <c r="A1111" s="82" t="s">
        <v>3297</v>
      </c>
      <c r="B1111" s="82" t="s">
        <v>3412</v>
      </c>
      <c r="C1111" s="83">
        <v>45957</v>
      </c>
      <c r="D1111" s="83">
        <v>45987</v>
      </c>
      <c r="E1111" s="83">
        <v>45987</v>
      </c>
      <c r="F1111" s="82"/>
      <c r="G1111" s="83">
        <v>45958</v>
      </c>
      <c r="H1111" s="82" t="s">
        <v>380</v>
      </c>
      <c r="I1111" s="82" t="s">
        <v>22</v>
      </c>
      <c r="J1111" s="84">
        <v>0</v>
      </c>
      <c r="K1111" s="85">
        <v>4932.2700000000004</v>
      </c>
      <c r="L1111" s="85">
        <v>5178.8900000000003</v>
      </c>
      <c r="M1111" s="85">
        <v>246.62</v>
      </c>
      <c r="N1111" s="85">
        <v>0</v>
      </c>
      <c r="O1111" s="85">
        <v>5178.8900000000003</v>
      </c>
      <c r="P1111" s="85">
        <v>4932.2700000000004</v>
      </c>
      <c r="Q1111" s="85">
        <v>5178.8900000000003</v>
      </c>
      <c r="R1111" s="85">
        <v>246.62</v>
      </c>
      <c r="S1111" s="85">
        <v>0</v>
      </c>
      <c r="T1111" s="85">
        <v>5178.8900000000003</v>
      </c>
      <c r="U1111" s="82"/>
      <c r="V1111" s="82" t="s">
        <v>3396</v>
      </c>
      <c r="W1111" s="82" t="s">
        <v>3395</v>
      </c>
      <c r="X1111" s="82" t="s">
        <v>3394</v>
      </c>
      <c r="Y1111" s="82" t="s">
        <v>3393</v>
      </c>
    </row>
    <row r="1112" spans="1:25" ht="10.9" customHeight="1" x14ac:dyDescent="0.2">
      <c r="A1112" s="82" t="s">
        <v>3168</v>
      </c>
      <c r="B1112" s="82" t="s">
        <v>70</v>
      </c>
      <c r="C1112" s="83">
        <v>45958</v>
      </c>
      <c r="D1112" s="83">
        <v>46018</v>
      </c>
      <c r="E1112" s="83">
        <v>46018</v>
      </c>
      <c r="F1112" s="82"/>
      <c r="G1112" s="83">
        <v>45959</v>
      </c>
      <c r="H1112" s="82" t="s">
        <v>675</v>
      </c>
      <c r="I1112" s="82" t="s">
        <v>51</v>
      </c>
      <c r="J1112" s="84">
        <v>0.71767400000000003</v>
      </c>
      <c r="K1112" s="85">
        <v>323.24</v>
      </c>
      <c r="L1112" s="85">
        <v>323.24</v>
      </c>
      <c r="M1112" s="85">
        <v>0</v>
      </c>
      <c r="N1112" s="85">
        <v>0</v>
      </c>
      <c r="O1112" s="85">
        <v>323.24</v>
      </c>
      <c r="P1112" s="85">
        <v>450.39948500294003</v>
      </c>
      <c r="Q1112" s="85">
        <v>450.39948500294003</v>
      </c>
      <c r="R1112" s="85">
        <v>0</v>
      </c>
      <c r="S1112" s="85">
        <v>0</v>
      </c>
      <c r="T1112" s="85">
        <v>443.62</v>
      </c>
      <c r="U1112" s="82" t="s">
        <v>3401</v>
      </c>
      <c r="V1112" s="82" t="s">
        <v>3396</v>
      </c>
      <c r="W1112" s="82" t="s">
        <v>3395</v>
      </c>
      <c r="X1112" s="82" t="s">
        <v>3394</v>
      </c>
      <c r="Y1112" s="82" t="s">
        <v>3393</v>
      </c>
    </row>
    <row r="1113" spans="1:25" ht="10.9" customHeight="1" x14ac:dyDescent="0.2">
      <c r="A1113" s="82" t="s">
        <v>3229</v>
      </c>
      <c r="B1113" s="82" t="s">
        <v>70</v>
      </c>
      <c r="C1113" s="83">
        <v>45958</v>
      </c>
      <c r="D1113" s="83">
        <v>46018</v>
      </c>
      <c r="E1113" s="83">
        <v>46018</v>
      </c>
      <c r="F1113" s="82"/>
      <c r="G1113" s="83">
        <v>45959</v>
      </c>
      <c r="H1113" s="82" t="s">
        <v>545</v>
      </c>
      <c r="I1113" s="82" t="s">
        <v>51</v>
      </c>
      <c r="J1113" s="84">
        <v>0.71767400000000003</v>
      </c>
      <c r="K1113" s="85">
        <v>1044.08</v>
      </c>
      <c r="L1113" s="85">
        <v>1044.08</v>
      </c>
      <c r="M1113" s="85">
        <v>0</v>
      </c>
      <c r="N1113" s="85">
        <v>0</v>
      </c>
      <c r="O1113" s="85">
        <v>1044.08</v>
      </c>
      <c r="P1113" s="85">
        <v>1454.8109587361391</v>
      </c>
      <c r="Q1113" s="85">
        <v>1454.8109587361391</v>
      </c>
      <c r="R1113" s="85">
        <v>0</v>
      </c>
      <c r="S1113" s="85">
        <v>0</v>
      </c>
      <c r="T1113" s="85">
        <v>1432.92</v>
      </c>
      <c r="U1113" s="82" t="s">
        <v>3401</v>
      </c>
      <c r="V1113" s="82" t="s">
        <v>3396</v>
      </c>
      <c r="W1113" s="82" t="s">
        <v>3395</v>
      </c>
      <c r="X1113" s="82" t="s">
        <v>3394</v>
      </c>
      <c r="Y1113" s="82" t="s">
        <v>3393</v>
      </c>
    </row>
    <row r="1114" spans="1:25" ht="10.9" customHeight="1" x14ac:dyDescent="0.2">
      <c r="A1114" s="82" t="s">
        <v>3305</v>
      </c>
      <c r="B1114" s="82" t="s">
        <v>70</v>
      </c>
      <c r="C1114" s="83">
        <v>45958</v>
      </c>
      <c r="D1114" s="83">
        <v>46018</v>
      </c>
      <c r="E1114" s="83">
        <v>46018</v>
      </c>
      <c r="F1114" s="82"/>
      <c r="G1114" s="83">
        <v>45959</v>
      </c>
      <c r="H1114" s="82" t="s">
        <v>355</v>
      </c>
      <c r="I1114" s="82" t="s">
        <v>51</v>
      </c>
      <c r="J1114" s="84">
        <v>0.71767400000000003</v>
      </c>
      <c r="K1114" s="85">
        <v>6834.6</v>
      </c>
      <c r="L1114" s="85">
        <v>6834.6</v>
      </c>
      <c r="M1114" s="85">
        <v>0</v>
      </c>
      <c r="N1114" s="85">
        <v>0</v>
      </c>
      <c r="O1114" s="85">
        <v>6834.6</v>
      </c>
      <c r="P1114" s="85">
        <v>9523.2654380679796</v>
      </c>
      <c r="Q1114" s="85">
        <v>9523.2654380679796</v>
      </c>
      <c r="R1114" s="85">
        <v>0</v>
      </c>
      <c r="S1114" s="85">
        <v>0</v>
      </c>
      <c r="T1114" s="85">
        <v>9379.94</v>
      </c>
      <c r="U1114" s="82" t="s">
        <v>3401</v>
      </c>
      <c r="V1114" s="82" t="s">
        <v>3396</v>
      </c>
      <c r="W1114" s="82" t="s">
        <v>3395</v>
      </c>
      <c r="X1114" s="82" t="s">
        <v>3394</v>
      </c>
      <c r="Y1114" s="82" t="s">
        <v>3393</v>
      </c>
    </row>
    <row r="1115" spans="1:25" ht="10.9" customHeight="1" x14ac:dyDescent="0.2">
      <c r="A1115" s="82" t="s">
        <v>3071</v>
      </c>
      <c r="B1115" s="82" t="s">
        <v>869</v>
      </c>
      <c r="C1115" s="83">
        <v>45958</v>
      </c>
      <c r="D1115" s="83">
        <v>45988</v>
      </c>
      <c r="E1115" s="83">
        <v>45988</v>
      </c>
      <c r="F1115" s="83">
        <v>45999</v>
      </c>
      <c r="G1115" s="83">
        <v>45958</v>
      </c>
      <c r="H1115" s="82" t="s">
        <v>868</v>
      </c>
      <c r="I1115" s="82" t="s">
        <v>51</v>
      </c>
      <c r="J1115" s="84">
        <v>0.71724699999999997</v>
      </c>
      <c r="K1115" s="85">
        <v>348.55</v>
      </c>
      <c r="L1115" s="85">
        <v>348.55</v>
      </c>
      <c r="M1115" s="85">
        <v>0</v>
      </c>
      <c r="N1115" s="85">
        <v>348.55</v>
      </c>
      <c r="O1115" s="85">
        <v>0</v>
      </c>
      <c r="P1115" s="85">
        <v>485.95532640777861</v>
      </c>
      <c r="Q1115" s="85">
        <v>485.95532640777861</v>
      </c>
      <c r="R1115" s="85">
        <v>0</v>
      </c>
      <c r="S1115" s="85">
        <v>483.03449999999998</v>
      </c>
      <c r="T1115" s="85">
        <v>0</v>
      </c>
      <c r="U1115" s="82"/>
      <c r="V1115" s="82" t="s">
        <v>3399</v>
      </c>
      <c r="W1115" s="82" t="s">
        <v>3395</v>
      </c>
      <c r="X1115" s="82" t="s">
        <v>3394</v>
      </c>
      <c r="Y1115" s="82" t="s">
        <v>3393</v>
      </c>
    </row>
    <row r="1116" spans="1:25" ht="10.9" customHeight="1" x14ac:dyDescent="0.2">
      <c r="A1116" s="82" t="s">
        <v>3427</v>
      </c>
      <c r="B1116" s="82" t="s">
        <v>3426</v>
      </c>
      <c r="C1116" s="83">
        <v>45958</v>
      </c>
      <c r="D1116" s="83">
        <v>45988</v>
      </c>
      <c r="E1116" s="83">
        <v>45988</v>
      </c>
      <c r="F1116" s="83">
        <v>45989</v>
      </c>
      <c r="G1116" s="83">
        <v>45958</v>
      </c>
      <c r="H1116" s="82" t="s">
        <v>3425</v>
      </c>
      <c r="I1116" s="82" t="s">
        <v>22</v>
      </c>
      <c r="J1116" s="84">
        <v>0</v>
      </c>
      <c r="K1116" s="85">
        <v>11610.91</v>
      </c>
      <c r="L1116" s="85">
        <v>13120.33</v>
      </c>
      <c r="M1116" s="85">
        <v>1509.42</v>
      </c>
      <c r="N1116" s="85">
        <v>13120.33</v>
      </c>
      <c r="O1116" s="85">
        <v>0</v>
      </c>
      <c r="P1116" s="85">
        <v>11610.91</v>
      </c>
      <c r="Q1116" s="85">
        <v>13120.33</v>
      </c>
      <c r="R1116" s="85">
        <v>1509.42</v>
      </c>
      <c r="S1116" s="85">
        <v>13120.33</v>
      </c>
      <c r="T1116" s="85">
        <v>0</v>
      </c>
      <c r="U1116" s="82"/>
      <c r="V1116" s="82" t="s">
        <v>3399</v>
      </c>
      <c r="W1116" s="82" t="s">
        <v>3395</v>
      </c>
      <c r="X1116" s="82" t="s">
        <v>3394</v>
      </c>
      <c r="Y1116" s="82" t="s">
        <v>3393</v>
      </c>
    </row>
    <row r="1117" spans="1:25" ht="10.9" customHeight="1" x14ac:dyDescent="0.2">
      <c r="A1117" s="82" t="s">
        <v>3310</v>
      </c>
      <c r="B1117" s="82" t="s">
        <v>146</v>
      </c>
      <c r="C1117" s="83">
        <v>45958</v>
      </c>
      <c r="D1117" s="83">
        <v>45988</v>
      </c>
      <c r="E1117" s="83">
        <v>45988</v>
      </c>
      <c r="F1117" s="83">
        <v>45995</v>
      </c>
      <c r="G1117" s="83">
        <v>45958</v>
      </c>
      <c r="H1117" s="82" t="s">
        <v>341</v>
      </c>
      <c r="I1117" s="82" t="s">
        <v>22</v>
      </c>
      <c r="J1117" s="84">
        <v>0</v>
      </c>
      <c r="K1117" s="85">
        <v>8198</v>
      </c>
      <c r="L1117" s="85">
        <v>8607.9</v>
      </c>
      <c r="M1117" s="85">
        <v>409.9</v>
      </c>
      <c r="N1117" s="85">
        <v>8607.9</v>
      </c>
      <c r="O1117" s="85">
        <v>0</v>
      </c>
      <c r="P1117" s="85">
        <v>8198</v>
      </c>
      <c r="Q1117" s="85">
        <v>8607.9</v>
      </c>
      <c r="R1117" s="85">
        <v>409.9</v>
      </c>
      <c r="S1117" s="85">
        <v>8607.9</v>
      </c>
      <c r="T1117" s="85">
        <v>0</v>
      </c>
      <c r="U1117" s="82"/>
      <c r="V1117" s="82" t="s">
        <v>3399</v>
      </c>
      <c r="W1117" s="82" t="s">
        <v>3395</v>
      </c>
      <c r="X1117" s="82" t="s">
        <v>3394</v>
      </c>
      <c r="Y1117" s="82" t="s">
        <v>3393</v>
      </c>
    </row>
    <row r="1118" spans="1:25" ht="10.9" customHeight="1" x14ac:dyDescent="0.2">
      <c r="A1118" s="82" t="s">
        <v>3303</v>
      </c>
      <c r="B1118" s="82" t="s">
        <v>316</v>
      </c>
      <c r="C1118" s="83">
        <v>45958</v>
      </c>
      <c r="D1118" s="83">
        <v>45988</v>
      </c>
      <c r="E1118" s="83">
        <v>45988</v>
      </c>
      <c r="F1118" s="83">
        <v>46003</v>
      </c>
      <c r="G1118" s="83">
        <v>45958</v>
      </c>
      <c r="H1118" s="82" t="s">
        <v>361</v>
      </c>
      <c r="I1118" s="82" t="s">
        <v>22</v>
      </c>
      <c r="J1118" s="84">
        <v>0</v>
      </c>
      <c r="K1118" s="85">
        <v>2239</v>
      </c>
      <c r="L1118" s="85">
        <v>2350.9499999999998</v>
      </c>
      <c r="M1118" s="85">
        <v>111.95</v>
      </c>
      <c r="N1118" s="85">
        <v>2350.9499999999998</v>
      </c>
      <c r="O1118" s="85">
        <v>0</v>
      </c>
      <c r="P1118" s="85">
        <v>2239</v>
      </c>
      <c r="Q1118" s="85">
        <v>2350.9499999999998</v>
      </c>
      <c r="R1118" s="85">
        <v>111.95</v>
      </c>
      <c r="S1118" s="85">
        <v>2350.9499999999998</v>
      </c>
      <c r="T1118" s="85">
        <v>0</v>
      </c>
      <c r="U1118" s="82"/>
      <c r="V1118" s="82" t="s">
        <v>3399</v>
      </c>
      <c r="W1118" s="82" t="s">
        <v>3395</v>
      </c>
      <c r="X1118" s="82" t="s">
        <v>3394</v>
      </c>
      <c r="Y1118" s="82" t="s">
        <v>3393</v>
      </c>
    </row>
    <row r="1119" spans="1:25" ht="10.9" customHeight="1" x14ac:dyDescent="0.2">
      <c r="A1119" s="82" t="s">
        <v>3200</v>
      </c>
      <c r="B1119" s="82" t="s">
        <v>612</v>
      </c>
      <c r="C1119" s="83">
        <v>45958</v>
      </c>
      <c r="D1119" s="83">
        <v>45988</v>
      </c>
      <c r="E1119" s="83">
        <v>45988</v>
      </c>
      <c r="F1119" s="83">
        <v>45958</v>
      </c>
      <c r="G1119" s="83">
        <v>45958</v>
      </c>
      <c r="H1119" s="82" t="s">
        <v>611</v>
      </c>
      <c r="I1119" s="82" t="s">
        <v>22</v>
      </c>
      <c r="J1119" s="84">
        <v>0</v>
      </c>
      <c r="K1119" s="85">
        <v>3396.62</v>
      </c>
      <c r="L1119" s="85">
        <v>3566.45</v>
      </c>
      <c r="M1119" s="85">
        <v>169.83</v>
      </c>
      <c r="N1119" s="85">
        <v>3566.45</v>
      </c>
      <c r="O1119" s="85">
        <v>0</v>
      </c>
      <c r="P1119" s="85">
        <v>3396.62</v>
      </c>
      <c r="Q1119" s="85">
        <v>3566.45</v>
      </c>
      <c r="R1119" s="85">
        <v>169.83</v>
      </c>
      <c r="S1119" s="85">
        <v>3566.45</v>
      </c>
      <c r="T1119" s="85">
        <v>0</v>
      </c>
      <c r="U1119" s="82"/>
      <c r="V1119" s="82" t="s">
        <v>3399</v>
      </c>
      <c r="W1119" s="82" t="s">
        <v>3395</v>
      </c>
      <c r="X1119" s="82" t="s">
        <v>3394</v>
      </c>
      <c r="Y1119" s="82" t="s">
        <v>3393</v>
      </c>
    </row>
    <row r="1120" spans="1:25" ht="10.9" customHeight="1" x14ac:dyDescent="0.2">
      <c r="A1120" s="82" t="s">
        <v>3306</v>
      </c>
      <c r="B1120" s="82" t="s">
        <v>353</v>
      </c>
      <c r="C1120" s="83">
        <v>45958</v>
      </c>
      <c r="D1120" s="83">
        <v>45988</v>
      </c>
      <c r="E1120" s="83">
        <v>45988</v>
      </c>
      <c r="F1120" s="83">
        <v>45999</v>
      </c>
      <c r="G1120" s="83">
        <v>45958</v>
      </c>
      <c r="H1120" s="82" t="s">
        <v>352</v>
      </c>
      <c r="I1120" s="82" t="s">
        <v>22</v>
      </c>
      <c r="J1120" s="84">
        <v>0</v>
      </c>
      <c r="K1120" s="85">
        <v>565</v>
      </c>
      <c r="L1120" s="85">
        <v>593.25</v>
      </c>
      <c r="M1120" s="85">
        <v>28.25</v>
      </c>
      <c r="N1120" s="85">
        <v>593.25</v>
      </c>
      <c r="O1120" s="85">
        <v>0</v>
      </c>
      <c r="P1120" s="85">
        <v>565</v>
      </c>
      <c r="Q1120" s="85">
        <v>593.25</v>
      </c>
      <c r="R1120" s="85">
        <v>28.25</v>
      </c>
      <c r="S1120" s="85">
        <v>593.25</v>
      </c>
      <c r="T1120" s="85">
        <v>0</v>
      </c>
      <c r="U1120" s="82"/>
      <c r="V1120" s="82" t="s">
        <v>3399</v>
      </c>
      <c r="W1120" s="82" t="s">
        <v>3395</v>
      </c>
      <c r="X1120" s="82" t="s">
        <v>3394</v>
      </c>
      <c r="Y1120" s="82" t="s">
        <v>3393</v>
      </c>
    </row>
    <row r="1121" spans="1:25" ht="10.9" customHeight="1" x14ac:dyDescent="0.2">
      <c r="A1121" s="82" t="s">
        <v>3309</v>
      </c>
      <c r="B1121" s="82" t="s">
        <v>242</v>
      </c>
      <c r="C1121" s="83">
        <v>45958</v>
      </c>
      <c r="D1121" s="83">
        <v>45988</v>
      </c>
      <c r="E1121" s="83">
        <v>45988</v>
      </c>
      <c r="F1121" s="83">
        <v>45995</v>
      </c>
      <c r="G1121" s="83">
        <v>45958</v>
      </c>
      <c r="H1121" s="82" t="s">
        <v>343</v>
      </c>
      <c r="I1121" s="82" t="s">
        <v>22</v>
      </c>
      <c r="J1121" s="84">
        <v>0</v>
      </c>
      <c r="K1121" s="85">
        <v>147.72999999999999</v>
      </c>
      <c r="L1121" s="85">
        <v>155.12</v>
      </c>
      <c r="M1121" s="85">
        <v>7.39</v>
      </c>
      <c r="N1121" s="85">
        <v>155.12</v>
      </c>
      <c r="O1121" s="85">
        <v>0</v>
      </c>
      <c r="P1121" s="85">
        <v>147.72999999999999</v>
      </c>
      <c r="Q1121" s="85">
        <v>155.12</v>
      </c>
      <c r="R1121" s="85">
        <v>7.39</v>
      </c>
      <c r="S1121" s="85">
        <v>155.12</v>
      </c>
      <c r="T1121" s="85">
        <v>0</v>
      </c>
      <c r="U1121" s="82"/>
      <c r="V1121" s="82" t="s">
        <v>3399</v>
      </c>
      <c r="W1121" s="82" t="s">
        <v>3395</v>
      </c>
      <c r="X1121" s="82" t="s">
        <v>3394</v>
      </c>
      <c r="Y1121" s="82" t="s">
        <v>3393</v>
      </c>
    </row>
    <row r="1122" spans="1:25" ht="10.9" customHeight="1" x14ac:dyDescent="0.2">
      <c r="A1122" s="82" t="s">
        <v>3308</v>
      </c>
      <c r="B1122" s="82" t="s">
        <v>242</v>
      </c>
      <c r="C1122" s="83">
        <v>45958</v>
      </c>
      <c r="D1122" s="83">
        <v>45988</v>
      </c>
      <c r="E1122" s="83">
        <v>45988</v>
      </c>
      <c r="F1122" s="83">
        <v>45995</v>
      </c>
      <c r="G1122" s="83">
        <v>45958</v>
      </c>
      <c r="H1122" s="82" t="s">
        <v>348</v>
      </c>
      <c r="I1122" s="82" t="s">
        <v>22</v>
      </c>
      <c r="J1122" s="84">
        <v>0</v>
      </c>
      <c r="K1122" s="85">
        <v>2627.35</v>
      </c>
      <c r="L1122" s="85">
        <v>2758.72</v>
      </c>
      <c r="M1122" s="85">
        <v>131.37</v>
      </c>
      <c r="N1122" s="85">
        <v>2758.72</v>
      </c>
      <c r="O1122" s="85">
        <v>0</v>
      </c>
      <c r="P1122" s="85">
        <v>2627.35</v>
      </c>
      <c r="Q1122" s="85">
        <v>2758.72</v>
      </c>
      <c r="R1122" s="85">
        <v>131.37</v>
      </c>
      <c r="S1122" s="85">
        <v>2758.72</v>
      </c>
      <c r="T1122" s="85">
        <v>0</v>
      </c>
      <c r="U1122" s="82"/>
      <c r="V1122" s="82" t="s">
        <v>3399</v>
      </c>
      <c r="W1122" s="82" t="s">
        <v>3395</v>
      </c>
      <c r="X1122" s="82" t="s">
        <v>3394</v>
      </c>
      <c r="Y1122" s="82" t="s">
        <v>3393</v>
      </c>
    </row>
    <row r="1123" spans="1:25" ht="10.9" customHeight="1" x14ac:dyDescent="0.2">
      <c r="A1123" s="82" t="s">
        <v>3221</v>
      </c>
      <c r="B1123" s="82" t="s">
        <v>54</v>
      </c>
      <c r="C1123" s="83">
        <v>45958</v>
      </c>
      <c r="D1123" s="83">
        <v>45988</v>
      </c>
      <c r="E1123" s="83">
        <v>45988</v>
      </c>
      <c r="F1123" s="83">
        <v>46002</v>
      </c>
      <c r="G1123" s="83">
        <v>45958</v>
      </c>
      <c r="H1123" s="82" t="s">
        <v>560</v>
      </c>
      <c r="I1123" s="82" t="s">
        <v>22</v>
      </c>
      <c r="J1123" s="84">
        <v>0</v>
      </c>
      <c r="K1123" s="85">
        <v>20861.189999999999</v>
      </c>
      <c r="L1123" s="85">
        <v>21904.25</v>
      </c>
      <c r="M1123" s="85">
        <v>1043.06</v>
      </c>
      <c r="N1123" s="85">
        <v>21904.25</v>
      </c>
      <c r="O1123" s="85">
        <v>0</v>
      </c>
      <c r="P1123" s="85">
        <v>20861.189999999999</v>
      </c>
      <c r="Q1123" s="85">
        <v>21904.25</v>
      </c>
      <c r="R1123" s="85">
        <v>1043.06</v>
      </c>
      <c r="S1123" s="85">
        <v>21904.25</v>
      </c>
      <c r="T1123" s="85">
        <v>0</v>
      </c>
      <c r="U1123" s="82"/>
      <c r="V1123" s="82" t="s">
        <v>3399</v>
      </c>
      <c r="W1123" s="82" t="s">
        <v>3395</v>
      </c>
      <c r="X1123" s="82" t="s">
        <v>3394</v>
      </c>
      <c r="Y1123" s="82" t="s">
        <v>3393</v>
      </c>
    </row>
    <row r="1124" spans="1:25" ht="10.9" customHeight="1" x14ac:dyDescent="0.2">
      <c r="A1124" s="82" t="s">
        <v>3307</v>
      </c>
      <c r="B1124" s="82" t="s">
        <v>64</v>
      </c>
      <c r="C1124" s="83">
        <v>45958</v>
      </c>
      <c r="D1124" s="83">
        <v>45988</v>
      </c>
      <c r="E1124" s="83">
        <v>45988</v>
      </c>
      <c r="F1124" s="83">
        <v>46008</v>
      </c>
      <c r="G1124" s="83">
        <v>45958</v>
      </c>
      <c r="H1124" s="82" t="s">
        <v>350</v>
      </c>
      <c r="I1124" s="82" t="s">
        <v>22</v>
      </c>
      <c r="J1124" s="84">
        <v>0</v>
      </c>
      <c r="K1124" s="85">
        <v>1421.52</v>
      </c>
      <c r="L1124" s="85">
        <v>1606.31</v>
      </c>
      <c r="M1124" s="85">
        <v>184.79</v>
      </c>
      <c r="N1124" s="85">
        <v>1606.31</v>
      </c>
      <c r="O1124" s="85">
        <v>0</v>
      </c>
      <c r="P1124" s="85">
        <v>1421.52</v>
      </c>
      <c r="Q1124" s="85">
        <v>1606.31</v>
      </c>
      <c r="R1124" s="85">
        <v>184.79</v>
      </c>
      <c r="S1124" s="85">
        <v>1606.31</v>
      </c>
      <c r="T1124" s="85">
        <v>0</v>
      </c>
      <c r="U1124" s="82"/>
      <c r="V1124" s="82" t="s">
        <v>3399</v>
      </c>
      <c r="W1124" s="82" t="s">
        <v>3395</v>
      </c>
      <c r="X1124" s="82" t="s">
        <v>3394</v>
      </c>
      <c r="Y1124" s="82" t="s">
        <v>3393</v>
      </c>
    </row>
    <row r="1125" spans="1:25" ht="10.9" customHeight="1" x14ac:dyDescent="0.2">
      <c r="A1125" s="82" t="s">
        <v>3311</v>
      </c>
      <c r="B1125" s="82" t="s">
        <v>20</v>
      </c>
      <c r="C1125" s="83">
        <v>45959</v>
      </c>
      <c r="D1125" s="83">
        <v>46019</v>
      </c>
      <c r="E1125" s="83">
        <v>46019</v>
      </c>
      <c r="F1125" s="83">
        <v>46015</v>
      </c>
      <c r="G1125" s="83">
        <v>45959</v>
      </c>
      <c r="H1125" s="82" t="s">
        <v>339</v>
      </c>
      <c r="I1125" s="82" t="s">
        <v>22</v>
      </c>
      <c r="J1125" s="84">
        <v>0</v>
      </c>
      <c r="K1125" s="85">
        <v>1306.8599999999999</v>
      </c>
      <c r="L1125" s="85">
        <v>1372.2</v>
      </c>
      <c r="M1125" s="85">
        <v>65.34</v>
      </c>
      <c r="N1125" s="85">
        <v>1372.2</v>
      </c>
      <c r="O1125" s="85">
        <v>0</v>
      </c>
      <c r="P1125" s="85">
        <v>1306.8599999999999</v>
      </c>
      <c r="Q1125" s="85">
        <v>1372.2</v>
      </c>
      <c r="R1125" s="85">
        <v>65.34</v>
      </c>
      <c r="S1125" s="85">
        <v>1372.2</v>
      </c>
      <c r="T1125" s="85">
        <v>0</v>
      </c>
      <c r="U1125" s="82"/>
      <c r="V1125" s="82" t="s">
        <v>3399</v>
      </c>
      <c r="W1125" s="82" t="s">
        <v>3395</v>
      </c>
      <c r="X1125" s="82" t="s">
        <v>3394</v>
      </c>
      <c r="Y1125" s="82" t="s">
        <v>3393</v>
      </c>
    </row>
    <row r="1126" spans="1:25" ht="10.9" customHeight="1" x14ac:dyDescent="0.2">
      <c r="A1126" s="82" t="s">
        <v>3252</v>
      </c>
      <c r="B1126" s="82" t="s">
        <v>465</v>
      </c>
      <c r="C1126" s="83">
        <v>45959</v>
      </c>
      <c r="D1126" s="83">
        <v>45989</v>
      </c>
      <c r="E1126" s="83">
        <v>45989</v>
      </c>
      <c r="F1126" s="83">
        <v>45995</v>
      </c>
      <c r="G1126" s="83">
        <v>45959</v>
      </c>
      <c r="H1126" s="82" t="s">
        <v>497</v>
      </c>
      <c r="I1126" s="82" t="s">
        <v>22</v>
      </c>
      <c r="J1126" s="84">
        <v>0</v>
      </c>
      <c r="K1126" s="85">
        <v>1759.61</v>
      </c>
      <c r="L1126" s="85">
        <v>1988.36</v>
      </c>
      <c r="M1126" s="85">
        <v>228.75</v>
      </c>
      <c r="N1126" s="85">
        <v>1988.36</v>
      </c>
      <c r="O1126" s="85">
        <v>0</v>
      </c>
      <c r="P1126" s="85">
        <v>1759.61</v>
      </c>
      <c r="Q1126" s="85">
        <v>1988.36</v>
      </c>
      <c r="R1126" s="85">
        <v>228.75</v>
      </c>
      <c r="S1126" s="85">
        <v>1988.36</v>
      </c>
      <c r="T1126" s="85">
        <v>0</v>
      </c>
      <c r="U1126" s="82"/>
      <c r="V1126" s="82" t="s">
        <v>3399</v>
      </c>
      <c r="W1126" s="82" t="s">
        <v>3395</v>
      </c>
      <c r="X1126" s="82" t="s">
        <v>3394</v>
      </c>
      <c r="Y1126" s="82" t="s">
        <v>3393</v>
      </c>
    </row>
    <row r="1127" spans="1:25" ht="10.9" customHeight="1" x14ac:dyDescent="0.2">
      <c r="A1127" s="82" t="s">
        <v>3320</v>
      </c>
      <c r="B1127" s="82" t="s">
        <v>77</v>
      </c>
      <c r="C1127" s="83">
        <v>45959</v>
      </c>
      <c r="D1127" s="83">
        <v>45989</v>
      </c>
      <c r="E1127" s="83">
        <v>45989</v>
      </c>
      <c r="F1127" s="83">
        <v>46008</v>
      </c>
      <c r="G1127" s="83">
        <v>45959</v>
      </c>
      <c r="H1127" s="82" t="s">
        <v>320</v>
      </c>
      <c r="I1127" s="82" t="s">
        <v>22</v>
      </c>
      <c r="J1127" s="84">
        <v>0</v>
      </c>
      <c r="K1127" s="85">
        <v>390.33</v>
      </c>
      <c r="L1127" s="85">
        <v>441.08</v>
      </c>
      <c r="M1127" s="85">
        <v>50.75</v>
      </c>
      <c r="N1127" s="85">
        <v>441.08</v>
      </c>
      <c r="O1127" s="85">
        <v>0</v>
      </c>
      <c r="P1127" s="85">
        <v>390.33</v>
      </c>
      <c r="Q1127" s="85">
        <v>441.08</v>
      </c>
      <c r="R1127" s="85">
        <v>50.75</v>
      </c>
      <c r="S1127" s="85">
        <v>441.08</v>
      </c>
      <c r="T1127" s="85">
        <v>0</v>
      </c>
      <c r="U1127" s="82"/>
      <c r="V1127" s="82" t="s">
        <v>3399</v>
      </c>
      <c r="W1127" s="82" t="s">
        <v>3395</v>
      </c>
      <c r="X1127" s="82" t="s">
        <v>3394</v>
      </c>
      <c r="Y1127" s="82" t="s">
        <v>3393</v>
      </c>
    </row>
    <row r="1128" spans="1:25" ht="10.9" customHeight="1" x14ac:dyDescent="0.2">
      <c r="A1128" s="82"/>
      <c r="B1128" s="82" t="s">
        <v>3424</v>
      </c>
      <c r="C1128" s="83">
        <v>45959</v>
      </c>
      <c r="D1128" s="83">
        <v>45959</v>
      </c>
      <c r="E1128" s="83">
        <v>45959</v>
      </c>
      <c r="F1128" s="83">
        <v>45993</v>
      </c>
      <c r="G1128" s="83">
        <v>45959</v>
      </c>
      <c r="H1128" s="82"/>
      <c r="I1128" s="82" t="s">
        <v>51</v>
      </c>
      <c r="J1128" s="84">
        <v>0.71938800000000003</v>
      </c>
      <c r="K1128" s="85">
        <v>-35</v>
      </c>
      <c r="L1128" s="85">
        <v>-35</v>
      </c>
      <c r="M1128" s="85">
        <v>0</v>
      </c>
      <c r="N1128" s="85">
        <v>-35</v>
      </c>
      <c r="O1128" s="85">
        <v>0</v>
      </c>
      <c r="P1128" s="85">
        <v>-48.652465706961998</v>
      </c>
      <c r="Q1128" s="85">
        <v>-48.652465706961998</v>
      </c>
      <c r="R1128" s="85">
        <v>0</v>
      </c>
      <c r="S1128" s="85">
        <v>-48.652500000000003</v>
      </c>
      <c r="T1128" s="85">
        <v>0</v>
      </c>
      <c r="U1128" s="82"/>
      <c r="V1128" s="82" t="s">
        <v>3399</v>
      </c>
      <c r="W1128" s="82" t="s">
        <v>3423</v>
      </c>
      <c r="X1128" s="82" t="s">
        <v>3397</v>
      </c>
      <c r="Y1128" s="82"/>
    </row>
    <row r="1129" spans="1:25" ht="10.9" customHeight="1" x14ac:dyDescent="0.2">
      <c r="A1129" s="82" t="s">
        <v>3242</v>
      </c>
      <c r="B1129" s="82" t="s">
        <v>159</v>
      </c>
      <c r="C1129" s="83">
        <v>45960</v>
      </c>
      <c r="D1129" s="83">
        <v>46005</v>
      </c>
      <c r="E1129" s="83">
        <v>46005</v>
      </c>
      <c r="F1129" s="83">
        <v>46003</v>
      </c>
      <c r="G1129" s="83">
        <v>45960</v>
      </c>
      <c r="H1129" s="82" t="s">
        <v>520</v>
      </c>
      <c r="I1129" s="82" t="s">
        <v>51</v>
      </c>
      <c r="J1129" s="84">
        <v>0.71518999999999999</v>
      </c>
      <c r="K1129" s="85">
        <v>5214.24</v>
      </c>
      <c r="L1129" s="85">
        <v>5214.24</v>
      </c>
      <c r="M1129" s="85">
        <v>0</v>
      </c>
      <c r="N1129" s="85">
        <v>5214.24</v>
      </c>
      <c r="O1129" s="85">
        <v>0</v>
      </c>
      <c r="P1129" s="85">
        <v>7290.7059662467318</v>
      </c>
      <c r="Q1129" s="85">
        <v>7290.7059662467318</v>
      </c>
      <c r="R1129" s="85">
        <v>0</v>
      </c>
      <c r="S1129" s="85">
        <v>7172.4471000000003</v>
      </c>
      <c r="T1129" s="85">
        <v>0</v>
      </c>
      <c r="U1129" s="82"/>
      <c r="V1129" s="82" t="s">
        <v>3399</v>
      </c>
      <c r="W1129" s="82" t="s">
        <v>3395</v>
      </c>
      <c r="X1129" s="82" t="s">
        <v>3394</v>
      </c>
      <c r="Y1129" s="82" t="s">
        <v>3393</v>
      </c>
    </row>
    <row r="1130" spans="1:25" ht="10.9" customHeight="1" x14ac:dyDescent="0.2">
      <c r="A1130" s="82" t="s">
        <v>3106</v>
      </c>
      <c r="B1130" s="82" t="s">
        <v>159</v>
      </c>
      <c r="C1130" s="83">
        <v>45960</v>
      </c>
      <c r="D1130" s="83">
        <v>46005</v>
      </c>
      <c r="E1130" s="83">
        <v>46005</v>
      </c>
      <c r="F1130" s="83">
        <v>46003</v>
      </c>
      <c r="G1130" s="83">
        <v>45960</v>
      </c>
      <c r="H1130" s="82" t="s">
        <v>796</v>
      </c>
      <c r="I1130" s="82" t="s">
        <v>51</v>
      </c>
      <c r="J1130" s="84">
        <v>0.71494400000000002</v>
      </c>
      <c r="K1130" s="85">
        <v>27680</v>
      </c>
      <c r="L1130" s="85">
        <v>27680</v>
      </c>
      <c r="M1130" s="85">
        <v>0</v>
      </c>
      <c r="N1130" s="85">
        <v>27680</v>
      </c>
      <c r="O1130" s="85">
        <v>0</v>
      </c>
      <c r="P1130" s="85">
        <v>38716.319040372393</v>
      </c>
      <c r="Q1130" s="85">
        <v>38716.319040372393</v>
      </c>
      <c r="R1130" s="85">
        <v>0</v>
      </c>
      <c r="S1130" s="85">
        <v>38075.220600000001</v>
      </c>
      <c r="T1130" s="85">
        <v>0</v>
      </c>
      <c r="U1130" s="82"/>
      <c r="V1130" s="82" t="s">
        <v>3399</v>
      </c>
      <c r="W1130" s="82" t="s">
        <v>3395</v>
      </c>
      <c r="X1130" s="82" t="s">
        <v>3394</v>
      </c>
      <c r="Y1130" s="82" t="s">
        <v>3393</v>
      </c>
    </row>
    <row r="1131" spans="1:25" ht="10.9" customHeight="1" x14ac:dyDescent="0.2">
      <c r="A1131" s="82" t="s">
        <v>2995</v>
      </c>
      <c r="B1131" s="82" t="s">
        <v>159</v>
      </c>
      <c r="C1131" s="83">
        <v>45960</v>
      </c>
      <c r="D1131" s="83">
        <v>46005</v>
      </c>
      <c r="E1131" s="83">
        <v>46005</v>
      </c>
      <c r="F1131" s="83">
        <v>46003</v>
      </c>
      <c r="G1131" s="83">
        <v>45960</v>
      </c>
      <c r="H1131" s="82" t="s">
        <v>1006</v>
      </c>
      <c r="I1131" s="82" t="s">
        <v>51</v>
      </c>
      <c r="J1131" s="84">
        <v>0.71494400000000002</v>
      </c>
      <c r="K1131" s="85">
        <v>32922.9</v>
      </c>
      <c r="L1131" s="85">
        <v>32922.9</v>
      </c>
      <c r="M1131" s="85">
        <v>0</v>
      </c>
      <c r="N1131" s="85">
        <v>32922.9</v>
      </c>
      <c r="O1131" s="85">
        <v>0</v>
      </c>
      <c r="P1131" s="85">
        <v>46049.620669590906</v>
      </c>
      <c r="Q1131" s="85">
        <v>46049.620669590906</v>
      </c>
      <c r="R1131" s="85">
        <v>0</v>
      </c>
      <c r="S1131" s="85">
        <v>45287.091</v>
      </c>
      <c r="T1131" s="85">
        <v>0</v>
      </c>
      <c r="U1131" s="82"/>
      <c r="V1131" s="82" t="s">
        <v>3399</v>
      </c>
      <c r="W1131" s="82" t="s">
        <v>3395</v>
      </c>
      <c r="X1131" s="82" t="s">
        <v>3394</v>
      </c>
      <c r="Y1131" s="82" t="s">
        <v>3393</v>
      </c>
    </row>
    <row r="1132" spans="1:25" ht="10.9" customHeight="1" x14ac:dyDescent="0.2">
      <c r="A1132" s="82" t="s">
        <v>3302</v>
      </c>
      <c r="B1132" s="82" t="s">
        <v>159</v>
      </c>
      <c r="C1132" s="83">
        <v>45960</v>
      </c>
      <c r="D1132" s="83">
        <v>46005</v>
      </c>
      <c r="E1132" s="83">
        <v>46005</v>
      </c>
      <c r="F1132" s="82"/>
      <c r="G1132" s="83">
        <v>45960</v>
      </c>
      <c r="H1132" s="82" t="s">
        <v>363</v>
      </c>
      <c r="I1132" s="82" t="s">
        <v>51</v>
      </c>
      <c r="J1132" s="84">
        <v>0.71518999999999999</v>
      </c>
      <c r="K1132" s="85">
        <v>5389.12</v>
      </c>
      <c r="L1132" s="85">
        <v>5389.12</v>
      </c>
      <c r="M1132" s="85">
        <v>0</v>
      </c>
      <c r="N1132" s="85">
        <v>0</v>
      </c>
      <c r="O1132" s="85">
        <v>5389.12</v>
      </c>
      <c r="P1132" s="85">
        <v>7535.2284008445304</v>
      </c>
      <c r="Q1132" s="85">
        <v>7535.2284008445304</v>
      </c>
      <c r="R1132" s="85">
        <v>0</v>
      </c>
      <c r="S1132" s="85">
        <v>0</v>
      </c>
      <c r="T1132" s="85">
        <v>7396.14</v>
      </c>
      <c r="U1132" s="82" t="s">
        <v>3401</v>
      </c>
      <c r="V1132" s="82" t="s">
        <v>3396</v>
      </c>
      <c r="W1132" s="82" t="s">
        <v>3395</v>
      </c>
      <c r="X1132" s="82" t="s">
        <v>3394</v>
      </c>
      <c r="Y1132" s="82" t="s">
        <v>3393</v>
      </c>
    </row>
    <row r="1133" spans="1:25" ht="10.9" customHeight="1" x14ac:dyDescent="0.2">
      <c r="A1133" s="82" t="s">
        <v>2993</v>
      </c>
      <c r="B1133" s="82" t="s">
        <v>159</v>
      </c>
      <c r="C1133" s="83">
        <v>45960</v>
      </c>
      <c r="D1133" s="83">
        <v>46005</v>
      </c>
      <c r="E1133" s="83">
        <v>46005</v>
      </c>
      <c r="F1133" s="82"/>
      <c r="G1133" s="83">
        <v>45960</v>
      </c>
      <c r="H1133" s="82" t="s">
        <v>1008</v>
      </c>
      <c r="I1133" s="82" t="s">
        <v>51</v>
      </c>
      <c r="J1133" s="84">
        <v>0.71518999999999999</v>
      </c>
      <c r="K1133" s="85">
        <v>1701.41</v>
      </c>
      <c r="L1133" s="85">
        <v>1701.41</v>
      </c>
      <c r="M1133" s="85">
        <v>0</v>
      </c>
      <c r="N1133" s="85">
        <v>0</v>
      </c>
      <c r="O1133" s="85">
        <v>1701.41</v>
      </c>
      <c r="P1133" s="85">
        <v>2378.9622338119939</v>
      </c>
      <c r="Q1133" s="85">
        <v>2378.9622338119939</v>
      </c>
      <c r="R1133" s="85">
        <v>0</v>
      </c>
      <c r="S1133" s="85">
        <v>0</v>
      </c>
      <c r="T1133" s="85">
        <v>2335.0500000000002</v>
      </c>
      <c r="U1133" s="82" t="s">
        <v>3401</v>
      </c>
      <c r="V1133" s="82" t="s">
        <v>3396</v>
      </c>
      <c r="W1133" s="82" t="s">
        <v>3395</v>
      </c>
      <c r="X1133" s="82" t="s">
        <v>3394</v>
      </c>
      <c r="Y1133" s="82" t="s">
        <v>3393</v>
      </c>
    </row>
    <row r="1134" spans="1:25" ht="10.9" customHeight="1" x14ac:dyDescent="0.2">
      <c r="A1134" s="82" t="s">
        <v>3322</v>
      </c>
      <c r="B1134" s="82" t="s">
        <v>316</v>
      </c>
      <c r="C1134" s="83">
        <v>45960</v>
      </c>
      <c r="D1134" s="83">
        <v>45990</v>
      </c>
      <c r="E1134" s="83">
        <v>45990</v>
      </c>
      <c r="F1134" s="83">
        <v>46003</v>
      </c>
      <c r="G1134" s="83">
        <v>45960</v>
      </c>
      <c r="H1134" s="82" t="s">
        <v>318</v>
      </c>
      <c r="I1134" s="82" t="s">
        <v>22</v>
      </c>
      <c r="J1134" s="84">
        <v>0</v>
      </c>
      <c r="K1134" s="85">
        <v>3441.47</v>
      </c>
      <c r="L1134" s="85">
        <v>3613.55</v>
      </c>
      <c r="M1134" s="85">
        <v>172.08</v>
      </c>
      <c r="N1134" s="85">
        <v>3613.55</v>
      </c>
      <c r="O1134" s="85">
        <v>0</v>
      </c>
      <c r="P1134" s="85">
        <v>3441.47</v>
      </c>
      <c r="Q1134" s="85">
        <v>3613.55</v>
      </c>
      <c r="R1134" s="85">
        <v>172.08</v>
      </c>
      <c r="S1134" s="85">
        <v>3613.55</v>
      </c>
      <c r="T1134" s="85">
        <v>0</v>
      </c>
      <c r="U1134" s="82"/>
      <c r="V1134" s="82" t="s">
        <v>3399</v>
      </c>
      <c r="W1134" s="82" t="s">
        <v>3395</v>
      </c>
      <c r="X1134" s="82" t="s">
        <v>3394</v>
      </c>
      <c r="Y1134" s="82" t="s">
        <v>3393</v>
      </c>
    </row>
    <row r="1135" spans="1:25" ht="10.9" customHeight="1" x14ac:dyDescent="0.2">
      <c r="A1135" s="82" t="s">
        <v>3258</v>
      </c>
      <c r="B1135" s="82" t="s">
        <v>26</v>
      </c>
      <c r="C1135" s="83">
        <v>45960</v>
      </c>
      <c r="D1135" s="83">
        <v>46020</v>
      </c>
      <c r="E1135" s="83">
        <v>46020</v>
      </c>
      <c r="F1135" s="83">
        <v>46020</v>
      </c>
      <c r="G1135" s="83">
        <v>45960</v>
      </c>
      <c r="H1135" s="82" t="s">
        <v>484</v>
      </c>
      <c r="I1135" s="82" t="s">
        <v>22</v>
      </c>
      <c r="J1135" s="84">
        <v>0</v>
      </c>
      <c r="K1135" s="85">
        <v>765.02</v>
      </c>
      <c r="L1135" s="85">
        <v>803.27</v>
      </c>
      <c r="M1135" s="85">
        <v>38.25</v>
      </c>
      <c r="N1135" s="85">
        <v>803.27</v>
      </c>
      <c r="O1135" s="85">
        <v>0</v>
      </c>
      <c r="P1135" s="85">
        <v>765.02</v>
      </c>
      <c r="Q1135" s="85">
        <v>803.27</v>
      </c>
      <c r="R1135" s="85">
        <v>38.25</v>
      </c>
      <c r="S1135" s="85">
        <v>803.27</v>
      </c>
      <c r="T1135" s="85">
        <v>0</v>
      </c>
      <c r="U1135" s="82"/>
      <c r="V1135" s="82" t="s">
        <v>3399</v>
      </c>
      <c r="W1135" s="82" t="s">
        <v>3395</v>
      </c>
      <c r="X1135" s="82" t="s">
        <v>3394</v>
      </c>
      <c r="Y1135" s="82" t="s">
        <v>3393</v>
      </c>
    </row>
    <row r="1136" spans="1:25" ht="10.9" customHeight="1" x14ac:dyDescent="0.2">
      <c r="A1136" s="82" t="s">
        <v>3153</v>
      </c>
      <c r="B1136" s="82" t="s">
        <v>64</v>
      </c>
      <c r="C1136" s="83">
        <v>45960</v>
      </c>
      <c r="D1136" s="83">
        <v>45990</v>
      </c>
      <c r="E1136" s="83">
        <v>45990</v>
      </c>
      <c r="F1136" s="83">
        <v>46008</v>
      </c>
      <c r="G1136" s="83">
        <v>45960</v>
      </c>
      <c r="H1136" s="82" t="s">
        <v>704</v>
      </c>
      <c r="I1136" s="82" t="s">
        <v>22</v>
      </c>
      <c r="J1136" s="84">
        <v>0</v>
      </c>
      <c r="K1136" s="85">
        <v>586.71</v>
      </c>
      <c r="L1136" s="85">
        <v>662.98</v>
      </c>
      <c r="M1136" s="85">
        <v>76.27</v>
      </c>
      <c r="N1136" s="85">
        <v>662.98</v>
      </c>
      <c r="O1136" s="85">
        <v>0</v>
      </c>
      <c r="P1136" s="85">
        <v>586.71</v>
      </c>
      <c r="Q1136" s="85">
        <v>662.98</v>
      </c>
      <c r="R1136" s="85">
        <v>76.27</v>
      </c>
      <c r="S1136" s="85">
        <v>662.98</v>
      </c>
      <c r="T1136" s="85">
        <v>0</v>
      </c>
      <c r="U1136" s="82"/>
      <c r="V1136" s="82" t="s">
        <v>3399</v>
      </c>
      <c r="W1136" s="82" t="s">
        <v>3395</v>
      </c>
      <c r="X1136" s="82" t="s">
        <v>3394</v>
      </c>
      <c r="Y1136" s="82" t="s">
        <v>3393</v>
      </c>
    </row>
    <row r="1137" spans="1:25" ht="10.9" customHeight="1" x14ac:dyDescent="0.2">
      <c r="A1137" s="82" t="s">
        <v>3199</v>
      </c>
      <c r="B1137" s="82" t="s">
        <v>612</v>
      </c>
      <c r="C1137" s="83">
        <v>45960</v>
      </c>
      <c r="D1137" s="83">
        <v>45990</v>
      </c>
      <c r="E1137" s="83">
        <v>45990</v>
      </c>
      <c r="F1137" s="83">
        <v>45960</v>
      </c>
      <c r="G1137" s="83">
        <v>45960</v>
      </c>
      <c r="H1137" s="82" t="s">
        <v>611</v>
      </c>
      <c r="I1137" s="82" t="s">
        <v>22</v>
      </c>
      <c r="J1137" s="84">
        <v>0</v>
      </c>
      <c r="K1137" s="85">
        <v>178.22</v>
      </c>
      <c r="L1137" s="85">
        <v>201.39</v>
      </c>
      <c r="M1137" s="85">
        <v>23.17</v>
      </c>
      <c r="N1137" s="85">
        <v>201.39</v>
      </c>
      <c r="O1137" s="85">
        <v>0</v>
      </c>
      <c r="P1137" s="85">
        <v>178.22</v>
      </c>
      <c r="Q1137" s="85">
        <v>201.39</v>
      </c>
      <c r="R1137" s="85">
        <v>23.17</v>
      </c>
      <c r="S1137" s="85">
        <v>201.39</v>
      </c>
      <c r="T1137" s="85">
        <v>0</v>
      </c>
      <c r="U1137" s="82"/>
      <c r="V1137" s="82" t="s">
        <v>3399</v>
      </c>
      <c r="W1137" s="82" t="s">
        <v>3395</v>
      </c>
      <c r="X1137" s="82" t="s">
        <v>3394</v>
      </c>
      <c r="Y1137" s="82" t="s">
        <v>3393</v>
      </c>
    </row>
    <row r="1138" spans="1:25" ht="10.9" customHeight="1" x14ac:dyDescent="0.2">
      <c r="A1138" s="82" t="s">
        <v>3280</v>
      </c>
      <c r="B1138" s="82" t="s">
        <v>80</v>
      </c>
      <c r="C1138" s="83">
        <v>45960</v>
      </c>
      <c r="D1138" s="83">
        <v>46020</v>
      </c>
      <c r="E1138" s="83">
        <v>46020</v>
      </c>
      <c r="F1138" s="83">
        <v>46020</v>
      </c>
      <c r="G1138" s="83">
        <v>45960</v>
      </c>
      <c r="H1138" s="82" t="s">
        <v>431</v>
      </c>
      <c r="I1138" s="82" t="s">
        <v>22</v>
      </c>
      <c r="J1138" s="84">
        <v>0</v>
      </c>
      <c r="K1138" s="85">
        <v>1173.25</v>
      </c>
      <c r="L1138" s="85">
        <v>1231.9100000000001</v>
      </c>
      <c r="M1138" s="85">
        <v>58.66</v>
      </c>
      <c r="N1138" s="85">
        <v>1231.9100000000001</v>
      </c>
      <c r="O1138" s="85">
        <v>0</v>
      </c>
      <c r="P1138" s="85">
        <v>1173.25</v>
      </c>
      <c r="Q1138" s="85">
        <v>1231.9100000000001</v>
      </c>
      <c r="R1138" s="85">
        <v>58.66</v>
      </c>
      <c r="S1138" s="85">
        <v>1231.9100000000001</v>
      </c>
      <c r="T1138" s="85">
        <v>0</v>
      </c>
      <c r="U1138" s="82"/>
      <c r="V1138" s="82" t="s">
        <v>3399</v>
      </c>
      <c r="W1138" s="82" t="s">
        <v>3395</v>
      </c>
      <c r="X1138" s="82" t="s">
        <v>3394</v>
      </c>
      <c r="Y1138" s="82" t="s">
        <v>3393</v>
      </c>
    </row>
    <row r="1139" spans="1:25" ht="10.9" customHeight="1" x14ac:dyDescent="0.2">
      <c r="A1139" s="82" t="s">
        <v>3293</v>
      </c>
      <c r="B1139" s="82" t="s">
        <v>242</v>
      </c>
      <c r="C1139" s="83">
        <v>45960</v>
      </c>
      <c r="D1139" s="83">
        <v>45990</v>
      </c>
      <c r="E1139" s="83">
        <v>45990</v>
      </c>
      <c r="F1139" s="83">
        <v>45995</v>
      </c>
      <c r="G1139" s="83">
        <v>45960</v>
      </c>
      <c r="H1139" s="82" t="s">
        <v>389</v>
      </c>
      <c r="I1139" s="82" t="s">
        <v>22</v>
      </c>
      <c r="J1139" s="84">
        <v>0</v>
      </c>
      <c r="K1139" s="85">
        <v>164.89</v>
      </c>
      <c r="L1139" s="85">
        <v>173.13</v>
      </c>
      <c r="M1139" s="85">
        <v>8.24</v>
      </c>
      <c r="N1139" s="85">
        <v>173.13</v>
      </c>
      <c r="O1139" s="85">
        <v>0</v>
      </c>
      <c r="P1139" s="85">
        <v>164.89</v>
      </c>
      <c r="Q1139" s="85">
        <v>173.13</v>
      </c>
      <c r="R1139" s="85">
        <v>8.24</v>
      </c>
      <c r="S1139" s="85">
        <v>173.13</v>
      </c>
      <c r="T1139" s="85">
        <v>0</v>
      </c>
      <c r="U1139" s="82"/>
      <c r="V1139" s="82" t="s">
        <v>3399</v>
      </c>
      <c r="W1139" s="82" t="s">
        <v>3395</v>
      </c>
      <c r="X1139" s="82" t="s">
        <v>3394</v>
      </c>
      <c r="Y1139" s="82" t="s">
        <v>3393</v>
      </c>
    </row>
    <row r="1140" spans="1:25" ht="10.9" customHeight="1" x14ac:dyDescent="0.2">
      <c r="A1140" s="82" t="s">
        <v>3283</v>
      </c>
      <c r="B1140" s="82" t="s">
        <v>242</v>
      </c>
      <c r="C1140" s="83">
        <v>45960</v>
      </c>
      <c r="D1140" s="83">
        <v>45990</v>
      </c>
      <c r="E1140" s="83">
        <v>45990</v>
      </c>
      <c r="F1140" s="83">
        <v>46024</v>
      </c>
      <c r="G1140" s="83">
        <v>45960</v>
      </c>
      <c r="H1140" s="82" t="s">
        <v>415</v>
      </c>
      <c r="I1140" s="82" t="s">
        <v>22</v>
      </c>
      <c r="J1140" s="84">
        <v>0</v>
      </c>
      <c r="K1140" s="85">
        <v>168.59</v>
      </c>
      <c r="L1140" s="85">
        <v>177.02</v>
      </c>
      <c r="M1140" s="85">
        <v>8.43</v>
      </c>
      <c r="N1140" s="85">
        <v>0</v>
      </c>
      <c r="O1140" s="85">
        <v>177.02</v>
      </c>
      <c r="P1140" s="85">
        <v>168.59</v>
      </c>
      <c r="Q1140" s="85">
        <v>177.02</v>
      </c>
      <c r="R1140" s="85">
        <v>8.43</v>
      </c>
      <c r="S1140" s="85">
        <v>0</v>
      </c>
      <c r="T1140" s="85">
        <v>177.02</v>
      </c>
      <c r="U1140" s="82"/>
      <c r="V1140" s="82" t="s">
        <v>3399</v>
      </c>
      <c r="W1140" s="82" t="s">
        <v>3395</v>
      </c>
      <c r="X1140" s="82" t="s">
        <v>3394</v>
      </c>
      <c r="Y1140" s="82" t="s">
        <v>3393</v>
      </c>
    </row>
    <row r="1141" spans="1:25" ht="10.9" customHeight="1" x14ac:dyDescent="0.2">
      <c r="A1141" s="82" t="s">
        <v>3157</v>
      </c>
      <c r="B1141" s="82" t="s">
        <v>39</v>
      </c>
      <c r="C1141" s="83">
        <v>45960</v>
      </c>
      <c r="D1141" s="83">
        <v>45990</v>
      </c>
      <c r="E1141" s="83">
        <v>45990</v>
      </c>
      <c r="F1141" s="83">
        <v>45992</v>
      </c>
      <c r="G1141" s="83">
        <v>45960</v>
      </c>
      <c r="H1141" s="82" t="s">
        <v>698</v>
      </c>
      <c r="I1141" s="82" t="s">
        <v>22</v>
      </c>
      <c r="J1141" s="84">
        <v>0</v>
      </c>
      <c r="K1141" s="85">
        <v>214.2</v>
      </c>
      <c r="L1141" s="85">
        <v>224.91</v>
      </c>
      <c r="M1141" s="85">
        <v>10.71</v>
      </c>
      <c r="N1141" s="85">
        <v>224.91</v>
      </c>
      <c r="O1141" s="85">
        <v>0</v>
      </c>
      <c r="P1141" s="85">
        <v>214.2</v>
      </c>
      <c r="Q1141" s="85">
        <v>224.91</v>
      </c>
      <c r="R1141" s="85">
        <v>10.71</v>
      </c>
      <c r="S1141" s="85">
        <v>224.91</v>
      </c>
      <c r="T1141" s="85">
        <v>0</v>
      </c>
      <c r="U1141" s="82"/>
      <c r="V1141" s="82" t="s">
        <v>3399</v>
      </c>
      <c r="W1141" s="82" t="s">
        <v>3395</v>
      </c>
      <c r="X1141" s="82" t="s">
        <v>3394</v>
      </c>
      <c r="Y1141" s="82" t="s">
        <v>3393</v>
      </c>
    </row>
    <row r="1142" spans="1:25" ht="10.9" customHeight="1" x14ac:dyDescent="0.2">
      <c r="A1142" s="82" t="s">
        <v>2881</v>
      </c>
      <c r="B1142" s="82" t="s">
        <v>135</v>
      </c>
      <c r="C1142" s="83">
        <v>45960</v>
      </c>
      <c r="D1142" s="83">
        <v>46020</v>
      </c>
      <c r="E1142" s="83">
        <v>46020</v>
      </c>
      <c r="F1142" s="83">
        <v>46021</v>
      </c>
      <c r="G1142" s="83">
        <v>45960</v>
      </c>
      <c r="H1142" s="82" t="s">
        <v>1200</v>
      </c>
      <c r="I1142" s="82" t="s">
        <v>22</v>
      </c>
      <c r="J1142" s="84">
        <v>0</v>
      </c>
      <c r="K1142" s="85">
        <v>43730.44</v>
      </c>
      <c r="L1142" s="85">
        <v>49415.4</v>
      </c>
      <c r="M1142" s="85">
        <v>5684.96</v>
      </c>
      <c r="N1142" s="85">
        <v>49415.4</v>
      </c>
      <c r="O1142" s="85">
        <v>0</v>
      </c>
      <c r="P1142" s="85">
        <v>43730.44</v>
      </c>
      <c r="Q1142" s="85">
        <v>49415.4</v>
      </c>
      <c r="R1142" s="85">
        <v>5684.96</v>
      </c>
      <c r="S1142" s="85">
        <v>49415.4</v>
      </c>
      <c r="T1142" s="85">
        <v>0</v>
      </c>
      <c r="U1142" s="82"/>
      <c r="V1142" s="82" t="s">
        <v>3399</v>
      </c>
      <c r="W1142" s="82" t="s">
        <v>3395</v>
      </c>
      <c r="X1142" s="82" t="s">
        <v>3394</v>
      </c>
      <c r="Y1142" s="82" t="s">
        <v>3393</v>
      </c>
    </row>
    <row r="1143" spans="1:25" ht="10.9" customHeight="1" x14ac:dyDescent="0.2">
      <c r="A1143" s="82" t="s">
        <v>2933</v>
      </c>
      <c r="B1143" s="82" t="s">
        <v>232</v>
      </c>
      <c r="C1143" s="83">
        <v>45961</v>
      </c>
      <c r="D1143" s="83">
        <v>45991</v>
      </c>
      <c r="E1143" s="83">
        <v>45991</v>
      </c>
      <c r="F1143" s="82"/>
      <c r="G1143" s="83">
        <v>45961</v>
      </c>
      <c r="H1143" s="82" t="s">
        <v>1111</v>
      </c>
      <c r="I1143" s="82" t="s">
        <v>51</v>
      </c>
      <c r="J1143" s="84">
        <v>0.71353100000000003</v>
      </c>
      <c r="K1143" s="85">
        <v>12300</v>
      </c>
      <c r="L1143" s="85">
        <v>12300</v>
      </c>
      <c r="M1143" s="85">
        <v>0</v>
      </c>
      <c r="N1143" s="85">
        <v>0</v>
      </c>
      <c r="O1143" s="85">
        <v>12300</v>
      </c>
      <c r="P1143" s="85">
        <v>17238.213896803361</v>
      </c>
      <c r="Q1143" s="85">
        <v>17238.213896803361</v>
      </c>
      <c r="R1143" s="85">
        <v>0</v>
      </c>
      <c r="S1143" s="85">
        <v>0</v>
      </c>
      <c r="T1143" s="85">
        <v>16880.759999999998</v>
      </c>
      <c r="U1143" s="82" t="s">
        <v>3401</v>
      </c>
      <c r="V1143" s="82" t="s">
        <v>3396</v>
      </c>
      <c r="W1143" s="82" t="s">
        <v>3395</v>
      </c>
      <c r="X1143" s="82" t="s">
        <v>3394</v>
      </c>
      <c r="Y1143" s="82" t="s">
        <v>3393</v>
      </c>
    </row>
    <row r="1144" spans="1:25" ht="10.9" customHeight="1" x14ac:dyDescent="0.2">
      <c r="A1144" s="82" t="s">
        <v>2918</v>
      </c>
      <c r="B1144" s="82" t="s">
        <v>232</v>
      </c>
      <c r="C1144" s="83">
        <v>45961</v>
      </c>
      <c r="D1144" s="83">
        <v>45991</v>
      </c>
      <c r="E1144" s="83">
        <v>45991</v>
      </c>
      <c r="F1144" s="82"/>
      <c r="G1144" s="83">
        <v>45961</v>
      </c>
      <c r="H1144" s="82" t="s">
        <v>1134</v>
      </c>
      <c r="I1144" s="82" t="s">
        <v>51</v>
      </c>
      <c r="J1144" s="84">
        <v>0.71353100000000003</v>
      </c>
      <c r="K1144" s="85">
        <v>12300</v>
      </c>
      <c r="L1144" s="85">
        <v>12300</v>
      </c>
      <c r="M1144" s="85">
        <v>0</v>
      </c>
      <c r="N1144" s="85">
        <v>0</v>
      </c>
      <c r="O1144" s="85">
        <v>12300</v>
      </c>
      <c r="P1144" s="85">
        <v>17238.213896803361</v>
      </c>
      <c r="Q1144" s="85">
        <v>17238.213896803361</v>
      </c>
      <c r="R1144" s="85">
        <v>0</v>
      </c>
      <c r="S1144" s="85">
        <v>0</v>
      </c>
      <c r="T1144" s="85">
        <v>16880.759999999998</v>
      </c>
      <c r="U1144" s="82" t="s">
        <v>3401</v>
      </c>
      <c r="V1144" s="82" t="s">
        <v>3396</v>
      </c>
      <c r="W1144" s="82" t="s">
        <v>3395</v>
      </c>
      <c r="X1144" s="82" t="s">
        <v>3394</v>
      </c>
      <c r="Y1144" s="82" t="s">
        <v>3393</v>
      </c>
    </row>
    <row r="1145" spans="1:25" ht="10.9" customHeight="1" x14ac:dyDescent="0.2">
      <c r="A1145" s="82" t="s">
        <v>3205</v>
      </c>
      <c r="B1145" s="82" t="s">
        <v>599</v>
      </c>
      <c r="C1145" s="83">
        <v>45961</v>
      </c>
      <c r="D1145" s="83">
        <v>45961</v>
      </c>
      <c r="E1145" s="83">
        <v>45961</v>
      </c>
      <c r="F1145" s="83">
        <v>45922</v>
      </c>
      <c r="G1145" s="83">
        <v>45961</v>
      </c>
      <c r="H1145" s="82" t="s">
        <v>598</v>
      </c>
      <c r="I1145" s="82" t="s">
        <v>51</v>
      </c>
      <c r="J1145" s="84">
        <v>0.71304800000000002</v>
      </c>
      <c r="K1145" s="85">
        <v>4420.59</v>
      </c>
      <c r="L1145" s="85">
        <v>4420.59</v>
      </c>
      <c r="M1145" s="85">
        <v>0</v>
      </c>
      <c r="N1145" s="85">
        <v>4420.59</v>
      </c>
      <c r="O1145" s="85">
        <v>0</v>
      </c>
      <c r="P1145" s="85">
        <v>6199.5686124917256</v>
      </c>
      <c r="Q1145" s="85">
        <v>6199.5686124917256</v>
      </c>
      <c r="R1145" s="85">
        <v>0</v>
      </c>
      <c r="S1145" s="85">
        <v>6113.3698999999997</v>
      </c>
      <c r="T1145" s="85">
        <v>0</v>
      </c>
      <c r="U1145" s="82"/>
      <c r="V1145" s="82" t="s">
        <v>3399</v>
      </c>
      <c r="W1145" s="82" t="s">
        <v>3395</v>
      </c>
      <c r="X1145" s="82" t="s">
        <v>3394</v>
      </c>
      <c r="Y1145" s="82" t="s">
        <v>3393</v>
      </c>
    </row>
    <row r="1146" spans="1:25" ht="10.9" customHeight="1" x14ac:dyDescent="0.2">
      <c r="A1146" s="82" t="s">
        <v>3319</v>
      </c>
      <c r="B1146" s="82" t="s">
        <v>141</v>
      </c>
      <c r="C1146" s="83">
        <v>45964</v>
      </c>
      <c r="D1146" s="83">
        <v>46009</v>
      </c>
      <c r="E1146" s="83">
        <v>46009</v>
      </c>
      <c r="F1146" s="82"/>
      <c r="G1146" s="83">
        <v>45964</v>
      </c>
      <c r="H1146" s="82" t="s">
        <v>322</v>
      </c>
      <c r="I1146" s="82" t="s">
        <v>51</v>
      </c>
      <c r="J1146" s="84">
        <v>0.71113599999999999</v>
      </c>
      <c r="K1146" s="85">
        <v>1478.95</v>
      </c>
      <c r="L1146" s="85">
        <v>1478.95</v>
      </c>
      <c r="M1146" s="85">
        <v>0</v>
      </c>
      <c r="N1146" s="85">
        <v>0</v>
      </c>
      <c r="O1146" s="85">
        <v>1478.95</v>
      </c>
      <c r="P1146" s="85">
        <v>2079.7006479773208</v>
      </c>
      <c r="Q1146" s="85">
        <v>2079.7006479773208</v>
      </c>
      <c r="R1146" s="85">
        <v>0</v>
      </c>
      <c r="S1146" s="85">
        <v>0</v>
      </c>
      <c r="T1146" s="85">
        <v>2029.74</v>
      </c>
      <c r="U1146" s="82" t="s">
        <v>3401</v>
      </c>
      <c r="V1146" s="82" t="s">
        <v>3396</v>
      </c>
      <c r="W1146" s="82" t="s">
        <v>3395</v>
      </c>
      <c r="X1146" s="82" t="s">
        <v>3394</v>
      </c>
      <c r="Y1146" s="82" t="s">
        <v>3393</v>
      </c>
    </row>
    <row r="1147" spans="1:25" ht="10.9" customHeight="1" x14ac:dyDescent="0.2">
      <c r="A1147" s="82" t="s">
        <v>3317</v>
      </c>
      <c r="B1147" s="82" t="s">
        <v>141</v>
      </c>
      <c r="C1147" s="83">
        <v>45964</v>
      </c>
      <c r="D1147" s="83">
        <v>46009</v>
      </c>
      <c r="E1147" s="83">
        <v>46009</v>
      </c>
      <c r="F1147" s="82"/>
      <c r="G1147" s="83">
        <v>45964</v>
      </c>
      <c r="H1147" s="82" t="s">
        <v>326</v>
      </c>
      <c r="I1147" s="82" t="s">
        <v>51</v>
      </c>
      <c r="J1147" s="84">
        <v>0.71113599999999999</v>
      </c>
      <c r="K1147" s="85">
        <v>1283.53</v>
      </c>
      <c r="L1147" s="85">
        <v>1283.53</v>
      </c>
      <c r="M1147" s="85">
        <v>0</v>
      </c>
      <c r="N1147" s="85">
        <v>0</v>
      </c>
      <c r="O1147" s="85">
        <v>1283.53</v>
      </c>
      <c r="P1147" s="85">
        <v>1804.9008909688159</v>
      </c>
      <c r="Q1147" s="85">
        <v>1804.9008909688159</v>
      </c>
      <c r="R1147" s="85">
        <v>0</v>
      </c>
      <c r="S1147" s="85">
        <v>0</v>
      </c>
      <c r="T1147" s="85">
        <v>1761.54</v>
      </c>
      <c r="U1147" s="82" t="s">
        <v>3401</v>
      </c>
      <c r="V1147" s="82" t="s">
        <v>3396</v>
      </c>
      <c r="W1147" s="82" t="s">
        <v>3395</v>
      </c>
      <c r="X1147" s="82" t="s">
        <v>3394</v>
      </c>
      <c r="Y1147" s="82" t="s">
        <v>3393</v>
      </c>
    </row>
    <row r="1148" spans="1:25" ht="10.9" customHeight="1" x14ac:dyDescent="0.2">
      <c r="A1148" s="82" t="s">
        <v>3318</v>
      </c>
      <c r="B1148" s="82" t="s">
        <v>141</v>
      </c>
      <c r="C1148" s="83">
        <v>45964</v>
      </c>
      <c r="D1148" s="83">
        <v>46009</v>
      </c>
      <c r="E1148" s="83">
        <v>46009</v>
      </c>
      <c r="F1148" s="82"/>
      <c r="G1148" s="83">
        <v>45964</v>
      </c>
      <c r="H1148" s="82" t="s">
        <v>324</v>
      </c>
      <c r="I1148" s="82" t="s">
        <v>51</v>
      </c>
      <c r="J1148" s="84">
        <v>0.71113599999999999</v>
      </c>
      <c r="K1148" s="85">
        <v>2957.9</v>
      </c>
      <c r="L1148" s="85">
        <v>2957.9</v>
      </c>
      <c r="M1148" s="85">
        <v>0</v>
      </c>
      <c r="N1148" s="85">
        <v>0</v>
      </c>
      <c r="O1148" s="85">
        <v>2957.9</v>
      </c>
      <c r="P1148" s="85">
        <v>4159.4012959546417</v>
      </c>
      <c r="Q1148" s="85">
        <v>4159.4012959546417</v>
      </c>
      <c r="R1148" s="85">
        <v>0</v>
      </c>
      <c r="S1148" s="85">
        <v>0</v>
      </c>
      <c r="T1148" s="85">
        <v>4059.48</v>
      </c>
      <c r="U1148" s="82" t="s">
        <v>3401</v>
      </c>
      <c r="V1148" s="82" t="s">
        <v>3396</v>
      </c>
      <c r="W1148" s="82" t="s">
        <v>3395</v>
      </c>
      <c r="X1148" s="82" t="s">
        <v>3394</v>
      </c>
      <c r="Y1148" s="82" t="s">
        <v>3393</v>
      </c>
    </row>
    <row r="1149" spans="1:25" ht="10.9" customHeight="1" x14ac:dyDescent="0.2">
      <c r="A1149" s="82" t="s">
        <v>3313</v>
      </c>
      <c r="B1149" s="82" t="s">
        <v>141</v>
      </c>
      <c r="C1149" s="83">
        <v>45964</v>
      </c>
      <c r="D1149" s="83">
        <v>46009</v>
      </c>
      <c r="E1149" s="83">
        <v>46009</v>
      </c>
      <c r="F1149" s="82"/>
      <c r="G1149" s="83">
        <v>45964</v>
      </c>
      <c r="H1149" s="82" t="s">
        <v>337</v>
      </c>
      <c r="I1149" s="82" t="s">
        <v>51</v>
      </c>
      <c r="J1149" s="84">
        <v>0.71113599999999999</v>
      </c>
      <c r="K1149" s="85">
        <v>1019.55</v>
      </c>
      <c r="L1149" s="85">
        <v>1019.55</v>
      </c>
      <c r="M1149" s="85">
        <v>0</v>
      </c>
      <c r="N1149" s="85">
        <v>0</v>
      </c>
      <c r="O1149" s="85">
        <v>1019.55</v>
      </c>
      <c r="P1149" s="85">
        <v>1433.6920082797103</v>
      </c>
      <c r="Q1149" s="85">
        <v>1433.6920082797103</v>
      </c>
      <c r="R1149" s="85">
        <v>0</v>
      </c>
      <c r="S1149" s="85">
        <v>0</v>
      </c>
      <c r="T1149" s="85">
        <v>1399.25</v>
      </c>
      <c r="U1149" s="82" t="s">
        <v>3401</v>
      </c>
      <c r="V1149" s="82" t="s">
        <v>3396</v>
      </c>
      <c r="W1149" s="82" t="s">
        <v>3395</v>
      </c>
      <c r="X1149" s="82" t="s">
        <v>3394</v>
      </c>
      <c r="Y1149" s="82" t="s">
        <v>3393</v>
      </c>
    </row>
    <row r="1150" spans="1:25" ht="10.9" customHeight="1" x14ac:dyDescent="0.2">
      <c r="A1150" s="82" t="s">
        <v>3314</v>
      </c>
      <c r="B1150" s="82" t="s">
        <v>141</v>
      </c>
      <c r="C1150" s="83">
        <v>45964</v>
      </c>
      <c r="D1150" s="83">
        <v>46009</v>
      </c>
      <c r="E1150" s="83">
        <v>46009</v>
      </c>
      <c r="F1150" s="82"/>
      <c r="G1150" s="83">
        <v>45964</v>
      </c>
      <c r="H1150" s="82" t="s">
        <v>335</v>
      </c>
      <c r="I1150" s="82" t="s">
        <v>51</v>
      </c>
      <c r="J1150" s="84">
        <v>0.71113599999999999</v>
      </c>
      <c r="K1150" s="85">
        <v>184.92</v>
      </c>
      <c r="L1150" s="85">
        <v>184.92</v>
      </c>
      <c r="M1150" s="85">
        <v>0</v>
      </c>
      <c r="N1150" s="85">
        <v>0</v>
      </c>
      <c r="O1150" s="85">
        <v>184.92</v>
      </c>
      <c r="P1150" s="85">
        <v>260.03464878729238</v>
      </c>
      <c r="Q1150" s="85">
        <v>260.03464878729238</v>
      </c>
      <c r="R1150" s="85">
        <v>0</v>
      </c>
      <c r="S1150" s="85">
        <v>0</v>
      </c>
      <c r="T1150" s="85">
        <v>253.79</v>
      </c>
      <c r="U1150" s="82" t="s">
        <v>3401</v>
      </c>
      <c r="V1150" s="82" t="s">
        <v>3396</v>
      </c>
      <c r="W1150" s="82" t="s">
        <v>3395</v>
      </c>
      <c r="X1150" s="82" t="s">
        <v>3394</v>
      </c>
      <c r="Y1150" s="82" t="s">
        <v>3393</v>
      </c>
    </row>
    <row r="1151" spans="1:25" ht="10.9" customHeight="1" x14ac:dyDescent="0.2">
      <c r="A1151" s="82" t="s">
        <v>3272</v>
      </c>
      <c r="B1151" s="82" t="s">
        <v>141</v>
      </c>
      <c r="C1151" s="83">
        <v>45964</v>
      </c>
      <c r="D1151" s="83">
        <v>46009</v>
      </c>
      <c r="E1151" s="83">
        <v>46009</v>
      </c>
      <c r="F1151" s="82"/>
      <c r="G1151" s="83">
        <v>45964</v>
      </c>
      <c r="H1151" s="82" t="s">
        <v>454</v>
      </c>
      <c r="I1151" s="82" t="s">
        <v>51</v>
      </c>
      <c r="J1151" s="84">
        <v>0.71113599999999999</v>
      </c>
      <c r="K1151" s="85">
        <v>28.22</v>
      </c>
      <c r="L1151" s="85">
        <v>28.22</v>
      </c>
      <c r="M1151" s="85">
        <v>0</v>
      </c>
      <c r="N1151" s="85">
        <v>0</v>
      </c>
      <c r="O1151" s="85">
        <v>28.22</v>
      </c>
      <c r="P1151" s="85">
        <v>39.682986095486598</v>
      </c>
      <c r="Q1151" s="85">
        <v>39.682986095486598</v>
      </c>
      <c r="R1151" s="85">
        <v>0</v>
      </c>
      <c r="S1151" s="85">
        <v>0</v>
      </c>
      <c r="T1151" s="85">
        <v>38.729999999999997</v>
      </c>
      <c r="U1151" s="82" t="s">
        <v>3401</v>
      </c>
      <c r="V1151" s="82" t="s">
        <v>3396</v>
      </c>
      <c r="W1151" s="82" t="s">
        <v>3395</v>
      </c>
      <c r="X1151" s="82" t="s">
        <v>3394</v>
      </c>
      <c r="Y1151" s="82" t="s">
        <v>3393</v>
      </c>
    </row>
    <row r="1152" spans="1:25" ht="10.9" customHeight="1" x14ac:dyDescent="0.2">
      <c r="A1152" s="82" t="s">
        <v>3235</v>
      </c>
      <c r="B1152" s="82" t="s">
        <v>141</v>
      </c>
      <c r="C1152" s="83">
        <v>45964</v>
      </c>
      <c r="D1152" s="83">
        <v>46009</v>
      </c>
      <c r="E1152" s="83">
        <v>46009</v>
      </c>
      <c r="F1152" s="82"/>
      <c r="G1152" s="83">
        <v>45964</v>
      </c>
      <c r="H1152" s="82" t="s">
        <v>536</v>
      </c>
      <c r="I1152" s="82" t="s">
        <v>51</v>
      </c>
      <c r="J1152" s="84">
        <v>0.71113599999999999</v>
      </c>
      <c r="K1152" s="85">
        <v>2442.7800000000002</v>
      </c>
      <c r="L1152" s="85">
        <v>2442.7800000000002</v>
      </c>
      <c r="M1152" s="85">
        <v>0</v>
      </c>
      <c r="N1152" s="85">
        <v>0</v>
      </c>
      <c r="O1152" s="85">
        <v>2442.7800000000002</v>
      </c>
      <c r="P1152" s="85">
        <v>3435.0391486297981</v>
      </c>
      <c r="Q1152" s="85">
        <v>3435.0391486297981</v>
      </c>
      <c r="R1152" s="85">
        <v>0</v>
      </c>
      <c r="S1152" s="85">
        <v>0</v>
      </c>
      <c r="T1152" s="85">
        <v>3352.52</v>
      </c>
      <c r="U1152" s="82" t="s">
        <v>3401</v>
      </c>
      <c r="V1152" s="82" t="s">
        <v>3396</v>
      </c>
      <c r="W1152" s="82" t="s">
        <v>3395</v>
      </c>
      <c r="X1152" s="82" t="s">
        <v>3394</v>
      </c>
      <c r="Y1152" s="82" t="s">
        <v>3393</v>
      </c>
    </row>
    <row r="1153" spans="1:25" ht="10.9" customHeight="1" x14ac:dyDescent="0.2">
      <c r="A1153" s="82" t="s">
        <v>3261</v>
      </c>
      <c r="B1153" s="82" t="s">
        <v>141</v>
      </c>
      <c r="C1153" s="83">
        <v>45964</v>
      </c>
      <c r="D1153" s="83">
        <v>46009</v>
      </c>
      <c r="E1153" s="83">
        <v>46009</v>
      </c>
      <c r="F1153" s="82"/>
      <c r="G1153" s="83">
        <v>45964</v>
      </c>
      <c r="H1153" s="82" t="s">
        <v>478</v>
      </c>
      <c r="I1153" s="82" t="s">
        <v>51</v>
      </c>
      <c r="J1153" s="84">
        <v>0.71113599999999999</v>
      </c>
      <c r="K1153" s="85">
        <v>730.93</v>
      </c>
      <c r="L1153" s="85">
        <v>730.93</v>
      </c>
      <c r="M1153" s="85">
        <v>0</v>
      </c>
      <c r="N1153" s="85">
        <v>0</v>
      </c>
      <c r="O1153" s="85">
        <v>730.93</v>
      </c>
      <c r="P1153" s="85">
        <v>1027.8343382981595</v>
      </c>
      <c r="Q1153" s="85">
        <v>1027.8343382981595</v>
      </c>
      <c r="R1153" s="85">
        <v>0</v>
      </c>
      <c r="S1153" s="85">
        <v>0</v>
      </c>
      <c r="T1153" s="85">
        <v>1003.14</v>
      </c>
      <c r="U1153" s="82" t="s">
        <v>3401</v>
      </c>
      <c r="V1153" s="82" t="s">
        <v>3396</v>
      </c>
      <c r="W1153" s="82" t="s">
        <v>3395</v>
      </c>
      <c r="X1153" s="82" t="s">
        <v>3394</v>
      </c>
      <c r="Y1153" s="82" t="s">
        <v>3393</v>
      </c>
    </row>
    <row r="1154" spans="1:25" ht="10.9" customHeight="1" x14ac:dyDescent="0.2">
      <c r="A1154" s="82" t="s">
        <v>3274</v>
      </c>
      <c r="B1154" s="82" t="s">
        <v>450</v>
      </c>
      <c r="C1154" s="83">
        <v>45964</v>
      </c>
      <c r="D1154" s="83">
        <v>45994</v>
      </c>
      <c r="E1154" s="83">
        <v>45994</v>
      </c>
      <c r="F1154" s="83">
        <v>46002</v>
      </c>
      <c r="G1154" s="83">
        <v>45965</v>
      </c>
      <c r="H1154" s="82" t="s">
        <v>449</v>
      </c>
      <c r="I1154" s="82" t="s">
        <v>22</v>
      </c>
      <c r="J1154" s="84">
        <v>0</v>
      </c>
      <c r="K1154" s="85">
        <v>5181.7</v>
      </c>
      <c r="L1154" s="85">
        <v>5855.32</v>
      </c>
      <c r="M1154" s="85">
        <v>673.62</v>
      </c>
      <c r="N1154" s="85">
        <v>445.69</v>
      </c>
      <c r="O1154" s="85">
        <v>5409.63</v>
      </c>
      <c r="P1154" s="85">
        <v>5181.7</v>
      </c>
      <c r="Q1154" s="85">
        <v>5855.32</v>
      </c>
      <c r="R1154" s="85">
        <v>673.62</v>
      </c>
      <c r="S1154" s="85">
        <v>445.69</v>
      </c>
      <c r="T1154" s="85">
        <v>5409.63</v>
      </c>
      <c r="U1154" s="82"/>
      <c r="V1154" s="82" t="s">
        <v>3396</v>
      </c>
      <c r="W1154" s="82" t="s">
        <v>3395</v>
      </c>
      <c r="X1154" s="82" t="s">
        <v>3394</v>
      </c>
      <c r="Y1154" s="82" t="s">
        <v>3393</v>
      </c>
    </row>
    <row r="1155" spans="1:25" ht="10.9" customHeight="1" x14ac:dyDescent="0.2">
      <c r="A1155" s="82" t="s">
        <v>3321</v>
      </c>
      <c r="B1155" s="82" t="s">
        <v>316</v>
      </c>
      <c r="C1155" s="83">
        <v>45964</v>
      </c>
      <c r="D1155" s="83">
        <v>45994</v>
      </c>
      <c r="E1155" s="83">
        <v>45994</v>
      </c>
      <c r="F1155" s="83">
        <v>46003</v>
      </c>
      <c r="G1155" s="83">
        <v>45965</v>
      </c>
      <c r="H1155" s="82" t="s">
        <v>318</v>
      </c>
      <c r="I1155" s="82" t="s">
        <v>22</v>
      </c>
      <c r="J1155" s="84">
        <v>0</v>
      </c>
      <c r="K1155" s="85">
        <v>20.95</v>
      </c>
      <c r="L1155" s="85">
        <v>22</v>
      </c>
      <c r="M1155" s="85">
        <v>1.05</v>
      </c>
      <c r="N1155" s="85">
        <v>22</v>
      </c>
      <c r="O1155" s="85">
        <v>0</v>
      </c>
      <c r="P1155" s="85">
        <v>20.95</v>
      </c>
      <c r="Q1155" s="85">
        <v>22</v>
      </c>
      <c r="R1155" s="85">
        <v>1.05</v>
      </c>
      <c r="S1155" s="85">
        <v>22</v>
      </c>
      <c r="T1155" s="85">
        <v>0</v>
      </c>
      <c r="U1155" s="82"/>
      <c r="V1155" s="82" t="s">
        <v>3399</v>
      </c>
      <c r="W1155" s="82" t="s">
        <v>3395</v>
      </c>
      <c r="X1155" s="82" t="s">
        <v>3394</v>
      </c>
      <c r="Y1155" s="82" t="s">
        <v>3393</v>
      </c>
    </row>
    <row r="1156" spans="1:25" ht="10.9" customHeight="1" x14ac:dyDescent="0.2">
      <c r="A1156" s="82" t="s">
        <v>3333</v>
      </c>
      <c r="B1156" s="82" t="s">
        <v>290</v>
      </c>
      <c r="C1156" s="83">
        <v>45964</v>
      </c>
      <c r="D1156" s="83">
        <v>46024</v>
      </c>
      <c r="E1156" s="83">
        <v>46024</v>
      </c>
      <c r="F1156" s="83">
        <v>46024</v>
      </c>
      <c r="G1156" s="83">
        <v>45965</v>
      </c>
      <c r="H1156" s="82" t="s">
        <v>289</v>
      </c>
      <c r="I1156" s="82" t="s">
        <v>22</v>
      </c>
      <c r="J1156" s="84">
        <v>0</v>
      </c>
      <c r="K1156" s="85">
        <v>939.78</v>
      </c>
      <c r="L1156" s="85">
        <v>986.77</v>
      </c>
      <c r="M1156" s="85">
        <v>46.99</v>
      </c>
      <c r="N1156" s="85">
        <v>0</v>
      </c>
      <c r="O1156" s="85">
        <v>986.77</v>
      </c>
      <c r="P1156" s="85">
        <v>939.78</v>
      </c>
      <c r="Q1156" s="85">
        <v>986.77</v>
      </c>
      <c r="R1156" s="85">
        <v>46.99</v>
      </c>
      <c r="S1156" s="85">
        <v>0</v>
      </c>
      <c r="T1156" s="85">
        <v>986.77</v>
      </c>
      <c r="U1156" s="82"/>
      <c r="V1156" s="82" t="s">
        <v>3399</v>
      </c>
      <c r="W1156" s="82" t="s">
        <v>3395</v>
      </c>
      <c r="X1156" s="82" t="s">
        <v>3394</v>
      </c>
      <c r="Y1156" s="82" t="s">
        <v>3393</v>
      </c>
    </row>
    <row r="1157" spans="1:25" ht="10.9" customHeight="1" x14ac:dyDescent="0.2">
      <c r="A1157" s="82" t="s">
        <v>3329</v>
      </c>
      <c r="B1157" s="82" t="s">
        <v>20</v>
      </c>
      <c r="C1157" s="83">
        <v>45964</v>
      </c>
      <c r="D1157" s="83">
        <v>46024</v>
      </c>
      <c r="E1157" s="83">
        <v>46024</v>
      </c>
      <c r="F1157" s="83">
        <v>46024</v>
      </c>
      <c r="G1157" s="83">
        <v>45965</v>
      </c>
      <c r="H1157" s="82" t="s">
        <v>302</v>
      </c>
      <c r="I1157" s="82" t="s">
        <v>22</v>
      </c>
      <c r="J1157" s="84">
        <v>0</v>
      </c>
      <c r="K1157" s="85">
        <v>475.48</v>
      </c>
      <c r="L1157" s="85">
        <v>499.25</v>
      </c>
      <c r="M1157" s="85">
        <v>23.77</v>
      </c>
      <c r="N1157" s="85">
        <v>0</v>
      </c>
      <c r="O1157" s="85">
        <v>499.25</v>
      </c>
      <c r="P1157" s="85">
        <v>475.48</v>
      </c>
      <c r="Q1157" s="85">
        <v>499.25</v>
      </c>
      <c r="R1157" s="85">
        <v>23.77</v>
      </c>
      <c r="S1157" s="85">
        <v>0</v>
      </c>
      <c r="T1157" s="85">
        <v>499.25</v>
      </c>
      <c r="U1157" s="82"/>
      <c r="V1157" s="82" t="s">
        <v>3399</v>
      </c>
      <c r="W1157" s="82" t="s">
        <v>3395</v>
      </c>
      <c r="X1157" s="82" t="s">
        <v>3394</v>
      </c>
      <c r="Y1157" s="82" t="s">
        <v>3393</v>
      </c>
    </row>
    <row r="1158" spans="1:25" ht="10.9" customHeight="1" x14ac:dyDescent="0.2">
      <c r="A1158" s="82" t="s">
        <v>3328</v>
      </c>
      <c r="B1158" s="82" t="s">
        <v>39</v>
      </c>
      <c r="C1158" s="83">
        <v>45964</v>
      </c>
      <c r="D1158" s="83">
        <v>45994</v>
      </c>
      <c r="E1158" s="83">
        <v>45994</v>
      </c>
      <c r="F1158" s="83">
        <v>45994</v>
      </c>
      <c r="G1158" s="83">
        <v>45965</v>
      </c>
      <c r="H1158" s="82" t="s">
        <v>304</v>
      </c>
      <c r="I1158" s="82" t="s">
        <v>22</v>
      </c>
      <c r="J1158" s="84">
        <v>0</v>
      </c>
      <c r="K1158" s="85">
        <v>5100.38</v>
      </c>
      <c r="L1158" s="85">
        <v>5355.4</v>
      </c>
      <c r="M1158" s="85">
        <v>255.02</v>
      </c>
      <c r="N1158" s="85">
        <v>5355.4</v>
      </c>
      <c r="O1158" s="85">
        <v>0</v>
      </c>
      <c r="P1158" s="85">
        <v>5100.38</v>
      </c>
      <c r="Q1158" s="85">
        <v>5355.4</v>
      </c>
      <c r="R1158" s="85">
        <v>255.02</v>
      </c>
      <c r="S1158" s="85">
        <v>5355.4</v>
      </c>
      <c r="T1158" s="85">
        <v>0</v>
      </c>
      <c r="U1158" s="82"/>
      <c r="V1158" s="82" t="s">
        <v>3399</v>
      </c>
      <c r="W1158" s="82" t="s">
        <v>3395</v>
      </c>
      <c r="X1158" s="82" t="s">
        <v>3394</v>
      </c>
      <c r="Y1158" s="82" t="s">
        <v>3393</v>
      </c>
    </row>
    <row r="1159" spans="1:25" ht="10.9" customHeight="1" x14ac:dyDescent="0.2">
      <c r="A1159" s="82" t="s">
        <v>3330</v>
      </c>
      <c r="B1159" s="82" t="s">
        <v>171</v>
      </c>
      <c r="C1159" s="83">
        <v>45964</v>
      </c>
      <c r="D1159" s="83">
        <v>45994</v>
      </c>
      <c r="E1159" s="83">
        <v>45994</v>
      </c>
      <c r="F1159" s="83">
        <v>45988</v>
      </c>
      <c r="G1159" s="83">
        <v>45965</v>
      </c>
      <c r="H1159" s="82" t="s">
        <v>300</v>
      </c>
      <c r="I1159" s="82" t="s">
        <v>22</v>
      </c>
      <c r="J1159" s="84">
        <v>0</v>
      </c>
      <c r="K1159" s="85">
        <v>565.09</v>
      </c>
      <c r="L1159" s="85">
        <v>593.34</v>
      </c>
      <c r="M1159" s="85">
        <v>28.25</v>
      </c>
      <c r="N1159" s="85">
        <v>593.34</v>
      </c>
      <c r="O1159" s="85">
        <v>0</v>
      </c>
      <c r="P1159" s="85">
        <v>565.09</v>
      </c>
      <c r="Q1159" s="85">
        <v>593.34</v>
      </c>
      <c r="R1159" s="85">
        <v>28.25</v>
      </c>
      <c r="S1159" s="85">
        <v>593.34</v>
      </c>
      <c r="T1159" s="85">
        <v>0</v>
      </c>
      <c r="U1159" s="82"/>
      <c r="V1159" s="82" t="s">
        <v>3399</v>
      </c>
      <c r="W1159" s="82" t="s">
        <v>3395</v>
      </c>
      <c r="X1159" s="82" t="s">
        <v>3394</v>
      </c>
      <c r="Y1159" s="82" t="s">
        <v>3393</v>
      </c>
    </row>
    <row r="1160" spans="1:25" ht="10.9" customHeight="1" x14ac:dyDescent="0.2">
      <c r="A1160" s="82" t="s">
        <v>3337</v>
      </c>
      <c r="B1160" s="82" t="s">
        <v>20</v>
      </c>
      <c r="C1160" s="83">
        <v>45965</v>
      </c>
      <c r="D1160" s="83">
        <v>46025</v>
      </c>
      <c r="E1160" s="83">
        <v>46025</v>
      </c>
      <c r="F1160" s="83">
        <v>46024</v>
      </c>
      <c r="G1160" s="83">
        <v>45966</v>
      </c>
      <c r="H1160" s="82" t="s">
        <v>281</v>
      </c>
      <c r="I1160" s="82" t="s">
        <v>22</v>
      </c>
      <c r="J1160" s="84">
        <v>0</v>
      </c>
      <c r="K1160" s="85">
        <v>7379.65</v>
      </c>
      <c r="L1160" s="85">
        <v>7748.64</v>
      </c>
      <c r="M1160" s="85">
        <v>368.99</v>
      </c>
      <c r="N1160" s="85">
        <v>0</v>
      </c>
      <c r="O1160" s="85">
        <v>7748.64</v>
      </c>
      <c r="P1160" s="85">
        <v>7379.65</v>
      </c>
      <c r="Q1160" s="85">
        <v>7748.64</v>
      </c>
      <c r="R1160" s="85">
        <v>368.99</v>
      </c>
      <c r="S1160" s="85">
        <v>0</v>
      </c>
      <c r="T1160" s="85">
        <v>7748.64</v>
      </c>
      <c r="U1160" s="82"/>
      <c r="V1160" s="82" t="s">
        <v>3399</v>
      </c>
      <c r="W1160" s="82" t="s">
        <v>3395</v>
      </c>
      <c r="X1160" s="82" t="s">
        <v>3394</v>
      </c>
      <c r="Y1160" s="82" t="s">
        <v>3393</v>
      </c>
    </row>
    <row r="1161" spans="1:25" ht="10.9" customHeight="1" x14ac:dyDescent="0.2">
      <c r="A1161" s="82" t="s">
        <v>3327</v>
      </c>
      <c r="B1161" s="82" t="s">
        <v>3422</v>
      </c>
      <c r="C1161" s="83">
        <v>45966</v>
      </c>
      <c r="D1161" s="83">
        <v>45996</v>
      </c>
      <c r="E1161" s="83">
        <v>45996</v>
      </c>
      <c r="F1161" s="83">
        <v>46022</v>
      </c>
      <c r="G1161" s="83">
        <v>45966</v>
      </c>
      <c r="H1161" s="82" t="s">
        <v>306</v>
      </c>
      <c r="I1161" s="82" t="s">
        <v>51</v>
      </c>
      <c r="J1161" s="84">
        <v>0.70883799999999997</v>
      </c>
      <c r="K1161" s="85">
        <v>3017.18</v>
      </c>
      <c r="L1161" s="85">
        <v>3017.18</v>
      </c>
      <c r="M1161" s="85">
        <v>0</v>
      </c>
      <c r="N1161" s="85">
        <v>3017.18</v>
      </c>
      <c r="O1161" s="85">
        <v>0</v>
      </c>
      <c r="P1161" s="85">
        <v>4256.5155931256504</v>
      </c>
      <c r="Q1161" s="85">
        <v>4256.5155931256504</v>
      </c>
      <c r="R1161" s="85">
        <v>0</v>
      </c>
      <c r="S1161" s="85">
        <v>4140.8378000000002</v>
      </c>
      <c r="T1161" s="85">
        <v>0</v>
      </c>
      <c r="U1161" s="82"/>
      <c r="V1161" s="82" t="s">
        <v>3399</v>
      </c>
      <c r="W1161" s="82" t="s">
        <v>3395</v>
      </c>
      <c r="X1161" s="82" t="s">
        <v>3394</v>
      </c>
      <c r="Y1161" s="82" t="s">
        <v>3393</v>
      </c>
    </row>
    <row r="1162" spans="1:25" ht="10.9" customHeight="1" x14ac:dyDescent="0.2">
      <c r="A1162" s="82" t="s">
        <v>3264</v>
      </c>
      <c r="B1162" s="82" t="s">
        <v>472</v>
      </c>
      <c r="C1162" s="83">
        <v>45966</v>
      </c>
      <c r="D1162" s="83">
        <v>45981</v>
      </c>
      <c r="E1162" s="83">
        <v>45981</v>
      </c>
      <c r="F1162" s="83">
        <v>46001</v>
      </c>
      <c r="G1162" s="83">
        <v>45966</v>
      </c>
      <c r="H1162" s="82" t="s">
        <v>471</v>
      </c>
      <c r="I1162" s="82" t="s">
        <v>22</v>
      </c>
      <c r="J1162" s="84">
        <v>0</v>
      </c>
      <c r="K1162" s="85">
        <v>256.17</v>
      </c>
      <c r="L1162" s="85">
        <v>267.23</v>
      </c>
      <c r="M1162" s="85">
        <v>11.06</v>
      </c>
      <c r="N1162" s="85">
        <v>267.23</v>
      </c>
      <c r="O1162" s="85">
        <v>0</v>
      </c>
      <c r="P1162" s="85">
        <v>256.17</v>
      </c>
      <c r="Q1162" s="85">
        <v>267.23</v>
      </c>
      <c r="R1162" s="85">
        <v>11.06</v>
      </c>
      <c r="S1162" s="85">
        <v>267.23</v>
      </c>
      <c r="T1162" s="85">
        <v>0</v>
      </c>
      <c r="U1162" s="82"/>
      <c r="V1162" s="82" t="s">
        <v>3399</v>
      </c>
      <c r="W1162" s="82" t="s">
        <v>3395</v>
      </c>
      <c r="X1162" s="82" t="s">
        <v>3394</v>
      </c>
      <c r="Y1162" s="82" t="s">
        <v>3393</v>
      </c>
    </row>
    <row r="1163" spans="1:25" ht="10.9" customHeight="1" x14ac:dyDescent="0.2">
      <c r="A1163" s="82" t="s">
        <v>3316</v>
      </c>
      <c r="B1163" s="82" t="s">
        <v>64</v>
      </c>
      <c r="C1163" s="83">
        <v>45966</v>
      </c>
      <c r="D1163" s="83">
        <v>45996</v>
      </c>
      <c r="E1163" s="83">
        <v>45996</v>
      </c>
      <c r="F1163" s="83">
        <v>46008</v>
      </c>
      <c r="G1163" s="83">
        <v>45966</v>
      </c>
      <c r="H1163" s="82" t="s">
        <v>330</v>
      </c>
      <c r="I1163" s="82" t="s">
        <v>22</v>
      </c>
      <c r="J1163" s="84">
        <v>0</v>
      </c>
      <c r="K1163" s="85">
        <v>2934</v>
      </c>
      <c r="L1163" s="85">
        <v>3315.42</v>
      </c>
      <c r="M1163" s="85">
        <v>381.42</v>
      </c>
      <c r="N1163" s="85">
        <v>508.97</v>
      </c>
      <c r="O1163" s="85">
        <v>2806.45</v>
      </c>
      <c r="P1163" s="85">
        <v>2934</v>
      </c>
      <c r="Q1163" s="85">
        <v>3315.42</v>
      </c>
      <c r="R1163" s="85">
        <v>381.42</v>
      </c>
      <c r="S1163" s="85">
        <v>508.97</v>
      </c>
      <c r="T1163" s="85">
        <v>2806.45</v>
      </c>
      <c r="U1163" s="82"/>
      <c r="V1163" s="82" t="s">
        <v>3396</v>
      </c>
      <c r="W1163" s="82" t="s">
        <v>3395</v>
      </c>
      <c r="X1163" s="82" t="s">
        <v>3394</v>
      </c>
      <c r="Y1163" s="82" t="s">
        <v>3393</v>
      </c>
    </row>
    <row r="1164" spans="1:25" ht="10.9" customHeight="1" x14ac:dyDescent="0.2">
      <c r="A1164" s="82" t="s">
        <v>3339</v>
      </c>
      <c r="B1164" s="82" t="s">
        <v>64</v>
      </c>
      <c r="C1164" s="83">
        <v>45966</v>
      </c>
      <c r="D1164" s="83">
        <v>45996</v>
      </c>
      <c r="E1164" s="83">
        <v>45996</v>
      </c>
      <c r="F1164" s="83">
        <v>46020</v>
      </c>
      <c r="G1164" s="83">
        <v>45966</v>
      </c>
      <c r="H1164" s="82" t="s">
        <v>277</v>
      </c>
      <c r="I1164" s="82" t="s">
        <v>22</v>
      </c>
      <c r="J1164" s="84">
        <v>0</v>
      </c>
      <c r="K1164" s="85">
        <v>429.76</v>
      </c>
      <c r="L1164" s="85">
        <v>485.63</v>
      </c>
      <c r="M1164" s="85">
        <v>55.87</v>
      </c>
      <c r="N1164" s="85">
        <v>485.63</v>
      </c>
      <c r="O1164" s="85">
        <v>0</v>
      </c>
      <c r="P1164" s="85">
        <v>429.76</v>
      </c>
      <c r="Q1164" s="85">
        <v>485.63</v>
      </c>
      <c r="R1164" s="85">
        <v>55.87</v>
      </c>
      <c r="S1164" s="85">
        <v>485.63</v>
      </c>
      <c r="T1164" s="85">
        <v>0</v>
      </c>
      <c r="U1164" s="82"/>
      <c r="V1164" s="82" t="s">
        <v>3399</v>
      </c>
      <c r="W1164" s="82" t="s">
        <v>3395</v>
      </c>
      <c r="X1164" s="82" t="s">
        <v>3394</v>
      </c>
      <c r="Y1164" s="82" t="s">
        <v>3393</v>
      </c>
    </row>
    <row r="1165" spans="1:25" ht="10.9" customHeight="1" x14ac:dyDescent="0.2">
      <c r="A1165" s="82" t="s">
        <v>3341</v>
      </c>
      <c r="B1165" s="82" t="s">
        <v>229</v>
      </c>
      <c r="C1165" s="83">
        <v>45966</v>
      </c>
      <c r="D1165" s="83">
        <v>45996</v>
      </c>
      <c r="E1165" s="83">
        <v>45996</v>
      </c>
      <c r="F1165" s="83">
        <v>46001</v>
      </c>
      <c r="G1165" s="83">
        <v>45966</v>
      </c>
      <c r="H1165" s="82" t="s">
        <v>273</v>
      </c>
      <c r="I1165" s="82" t="s">
        <v>22</v>
      </c>
      <c r="J1165" s="84">
        <v>0</v>
      </c>
      <c r="K1165" s="85">
        <v>947.91</v>
      </c>
      <c r="L1165" s="85">
        <v>995.31</v>
      </c>
      <c r="M1165" s="85">
        <v>47.4</v>
      </c>
      <c r="N1165" s="85">
        <v>995.31</v>
      </c>
      <c r="O1165" s="85">
        <v>0</v>
      </c>
      <c r="P1165" s="85">
        <v>947.91</v>
      </c>
      <c r="Q1165" s="85">
        <v>995.31</v>
      </c>
      <c r="R1165" s="85">
        <v>47.4</v>
      </c>
      <c r="S1165" s="85">
        <v>995.31</v>
      </c>
      <c r="T1165" s="85">
        <v>0</v>
      </c>
      <c r="U1165" s="82"/>
      <c r="V1165" s="82" t="s">
        <v>3399</v>
      </c>
      <c r="W1165" s="82" t="s">
        <v>3395</v>
      </c>
      <c r="X1165" s="82" t="s">
        <v>3394</v>
      </c>
      <c r="Y1165" s="82" t="s">
        <v>3393</v>
      </c>
    </row>
    <row r="1166" spans="1:25" ht="10.9" customHeight="1" x14ac:dyDescent="0.2">
      <c r="A1166" s="82" t="s">
        <v>3286</v>
      </c>
      <c r="B1166" s="82" t="s">
        <v>404</v>
      </c>
      <c r="C1166" s="83">
        <v>45966</v>
      </c>
      <c r="D1166" s="83">
        <v>45996</v>
      </c>
      <c r="E1166" s="83">
        <v>45996</v>
      </c>
      <c r="F1166" s="82"/>
      <c r="G1166" s="83">
        <v>45966</v>
      </c>
      <c r="H1166" s="82" t="s">
        <v>403</v>
      </c>
      <c r="I1166" s="82" t="s">
        <v>22</v>
      </c>
      <c r="J1166" s="84">
        <v>0</v>
      </c>
      <c r="K1166" s="85">
        <v>260</v>
      </c>
      <c r="L1166" s="85">
        <v>273</v>
      </c>
      <c r="M1166" s="85">
        <v>13</v>
      </c>
      <c r="N1166" s="85">
        <v>0</v>
      </c>
      <c r="O1166" s="85">
        <v>273</v>
      </c>
      <c r="P1166" s="85">
        <v>260</v>
      </c>
      <c r="Q1166" s="85">
        <v>273</v>
      </c>
      <c r="R1166" s="85">
        <v>13</v>
      </c>
      <c r="S1166" s="85">
        <v>0</v>
      </c>
      <c r="T1166" s="85">
        <v>273</v>
      </c>
      <c r="U1166" s="82"/>
      <c r="V1166" s="82" t="s">
        <v>3396</v>
      </c>
      <c r="W1166" s="82" t="s">
        <v>3395</v>
      </c>
      <c r="X1166" s="82" t="s">
        <v>3394</v>
      </c>
      <c r="Y1166" s="82" t="s">
        <v>3393</v>
      </c>
    </row>
    <row r="1167" spans="1:25" ht="10.9" customHeight="1" x14ac:dyDescent="0.2">
      <c r="A1167" s="82" t="s">
        <v>3263</v>
      </c>
      <c r="B1167" s="82" t="s">
        <v>20</v>
      </c>
      <c r="C1167" s="83">
        <v>45966</v>
      </c>
      <c r="D1167" s="83">
        <v>46026</v>
      </c>
      <c r="E1167" s="83">
        <v>46026</v>
      </c>
      <c r="F1167" s="83">
        <v>46024</v>
      </c>
      <c r="G1167" s="83">
        <v>45966</v>
      </c>
      <c r="H1167" s="82" t="s">
        <v>474</v>
      </c>
      <c r="I1167" s="82" t="s">
        <v>22</v>
      </c>
      <c r="J1167" s="84">
        <v>0</v>
      </c>
      <c r="K1167" s="85">
        <v>1264</v>
      </c>
      <c r="L1167" s="85">
        <v>1327.2</v>
      </c>
      <c r="M1167" s="85">
        <v>63.2</v>
      </c>
      <c r="N1167" s="85">
        <v>0</v>
      </c>
      <c r="O1167" s="85">
        <v>1327.2</v>
      </c>
      <c r="P1167" s="85">
        <v>1264</v>
      </c>
      <c r="Q1167" s="85">
        <v>1327.2</v>
      </c>
      <c r="R1167" s="85">
        <v>63.2</v>
      </c>
      <c r="S1167" s="85">
        <v>0</v>
      </c>
      <c r="T1167" s="85">
        <v>1327.2</v>
      </c>
      <c r="U1167" s="82"/>
      <c r="V1167" s="82" t="s">
        <v>3399</v>
      </c>
      <c r="W1167" s="82" t="s">
        <v>3395</v>
      </c>
      <c r="X1167" s="82" t="s">
        <v>3394</v>
      </c>
      <c r="Y1167" s="82" t="s">
        <v>3393</v>
      </c>
    </row>
    <row r="1168" spans="1:25" ht="10.9" customHeight="1" x14ac:dyDescent="0.2">
      <c r="A1168" s="82" t="s">
        <v>3238</v>
      </c>
      <c r="B1168" s="82" t="s">
        <v>129</v>
      </c>
      <c r="C1168" s="83">
        <v>45967</v>
      </c>
      <c r="D1168" s="83">
        <v>46027</v>
      </c>
      <c r="E1168" s="83">
        <v>46027</v>
      </c>
      <c r="F1168" s="82"/>
      <c r="G1168" s="83">
        <v>45967</v>
      </c>
      <c r="H1168" s="82" t="s">
        <v>3421</v>
      </c>
      <c r="I1168" s="82" t="s">
        <v>51</v>
      </c>
      <c r="J1168" s="84">
        <v>0.70798499999999998</v>
      </c>
      <c r="K1168" s="85">
        <v>990</v>
      </c>
      <c r="L1168" s="85">
        <v>990</v>
      </c>
      <c r="M1168" s="85">
        <v>0</v>
      </c>
      <c r="N1168" s="85">
        <v>0</v>
      </c>
      <c r="O1168" s="85">
        <v>990</v>
      </c>
      <c r="P1168" s="85">
        <v>1398.3347104811542</v>
      </c>
      <c r="Q1168" s="85">
        <v>1398.3347104811542</v>
      </c>
      <c r="R1168" s="85">
        <v>0</v>
      </c>
      <c r="S1168" s="85">
        <v>0</v>
      </c>
      <c r="T1168" s="85">
        <v>1358.7</v>
      </c>
      <c r="U1168" s="82" t="s">
        <v>3401</v>
      </c>
      <c r="V1168" s="82" t="s">
        <v>3396</v>
      </c>
      <c r="W1168" s="82" t="s">
        <v>3395</v>
      </c>
      <c r="X1168" s="82" t="s">
        <v>3394</v>
      </c>
      <c r="Y1168" s="82" t="s">
        <v>3393</v>
      </c>
    </row>
    <row r="1169" spans="1:25" ht="10.9" customHeight="1" x14ac:dyDescent="0.2">
      <c r="A1169" s="82" t="s">
        <v>3332</v>
      </c>
      <c r="B1169" s="82" t="s">
        <v>64</v>
      </c>
      <c r="C1169" s="83">
        <v>45967</v>
      </c>
      <c r="D1169" s="83">
        <v>45997</v>
      </c>
      <c r="E1169" s="83">
        <v>45997</v>
      </c>
      <c r="F1169" s="83">
        <v>46020</v>
      </c>
      <c r="G1169" s="83">
        <v>45967</v>
      </c>
      <c r="H1169" s="82" t="s">
        <v>292</v>
      </c>
      <c r="I1169" s="82" t="s">
        <v>22</v>
      </c>
      <c r="J1169" s="84">
        <v>0</v>
      </c>
      <c r="K1169" s="85">
        <v>795.76</v>
      </c>
      <c r="L1169" s="85">
        <v>899.21</v>
      </c>
      <c r="M1169" s="85">
        <v>103.45</v>
      </c>
      <c r="N1169" s="85">
        <v>899.21</v>
      </c>
      <c r="O1169" s="85">
        <v>0</v>
      </c>
      <c r="P1169" s="85">
        <v>795.76</v>
      </c>
      <c r="Q1169" s="85">
        <v>899.21</v>
      </c>
      <c r="R1169" s="85">
        <v>103.45</v>
      </c>
      <c r="S1169" s="85">
        <v>899.21</v>
      </c>
      <c r="T1169" s="85">
        <v>0</v>
      </c>
      <c r="U1169" s="82"/>
      <c r="V1169" s="82" t="s">
        <v>3399</v>
      </c>
      <c r="W1169" s="82" t="s">
        <v>3395</v>
      </c>
      <c r="X1169" s="82" t="s">
        <v>3394</v>
      </c>
      <c r="Y1169" s="82" t="s">
        <v>3393</v>
      </c>
    </row>
    <row r="1170" spans="1:25" ht="10.9" customHeight="1" x14ac:dyDescent="0.2">
      <c r="A1170" s="82" t="s">
        <v>3323</v>
      </c>
      <c r="B1170" s="82" t="s">
        <v>313</v>
      </c>
      <c r="C1170" s="83">
        <v>45968</v>
      </c>
      <c r="D1170" s="83">
        <v>45968</v>
      </c>
      <c r="E1170" s="83">
        <v>45968</v>
      </c>
      <c r="F1170" s="82"/>
      <c r="G1170" s="83">
        <v>45968</v>
      </c>
      <c r="H1170" s="82" t="s">
        <v>312</v>
      </c>
      <c r="I1170" s="82" t="s">
        <v>51</v>
      </c>
      <c r="J1170" s="84">
        <v>0.71224600000000005</v>
      </c>
      <c r="K1170" s="85">
        <v>2183</v>
      </c>
      <c r="L1170" s="85">
        <v>2183</v>
      </c>
      <c r="M1170" s="85">
        <v>0</v>
      </c>
      <c r="N1170" s="85">
        <v>0</v>
      </c>
      <c r="O1170" s="85">
        <v>2183</v>
      </c>
      <c r="P1170" s="85">
        <v>3064.9522777242692</v>
      </c>
      <c r="Q1170" s="85">
        <v>3064.9522777242692</v>
      </c>
      <c r="R1170" s="85">
        <v>0</v>
      </c>
      <c r="S1170" s="85">
        <v>0</v>
      </c>
      <c r="T1170" s="85">
        <v>2995.99</v>
      </c>
      <c r="U1170" s="82" t="s">
        <v>3401</v>
      </c>
      <c r="V1170" s="82" t="s">
        <v>3396</v>
      </c>
      <c r="W1170" s="82" t="s">
        <v>3395</v>
      </c>
      <c r="X1170" s="82" t="s">
        <v>3394</v>
      </c>
      <c r="Y1170" s="82" t="s">
        <v>3393</v>
      </c>
    </row>
    <row r="1171" spans="1:25" ht="10.9" customHeight="1" x14ac:dyDescent="0.2">
      <c r="A1171" s="82" t="s">
        <v>3285</v>
      </c>
      <c r="B1171" s="82" t="s">
        <v>80</v>
      </c>
      <c r="C1171" s="83">
        <v>45968</v>
      </c>
      <c r="D1171" s="83">
        <v>46028</v>
      </c>
      <c r="E1171" s="83">
        <v>46028</v>
      </c>
      <c r="F1171" s="82"/>
      <c r="G1171" s="83">
        <v>45968</v>
      </c>
      <c r="H1171" s="82" t="s">
        <v>409</v>
      </c>
      <c r="I1171" s="82" t="s">
        <v>22</v>
      </c>
      <c r="J1171" s="84">
        <v>0</v>
      </c>
      <c r="K1171" s="85">
        <v>9194.19</v>
      </c>
      <c r="L1171" s="85">
        <v>9653.9</v>
      </c>
      <c r="M1171" s="85">
        <v>459.71</v>
      </c>
      <c r="N1171" s="85">
        <v>0</v>
      </c>
      <c r="O1171" s="85">
        <v>9653.9</v>
      </c>
      <c r="P1171" s="85">
        <v>9194.19</v>
      </c>
      <c r="Q1171" s="85">
        <v>9653.9</v>
      </c>
      <c r="R1171" s="85">
        <v>459.71</v>
      </c>
      <c r="S1171" s="85">
        <v>0</v>
      </c>
      <c r="T1171" s="85">
        <v>9653.9</v>
      </c>
      <c r="U1171" s="82"/>
      <c r="V1171" s="82" t="s">
        <v>3396</v>
      </c>
      <c r="W1171" s="82" t="s">
        <v>3395</v>
      </c>
      <c r="X1171" s="82" t="s">
        <v>3394</v>
      </c>
      <c r="Y1171" s="82" t="s">
        <v>3393</v>
      </c>
    </row>
    <row r="1172" spans="1:25" ht="10.9" customHeight="1" x14ac:dyDescent="0.2">
      <c r="A1172" s="82" t="s">
        <v>3331</v>
      </c>
      <c r="B1172" s="82" t="s">
        <v>77</v>
      </c>
      <c r="C1172" s="83">
        <v>45968</v>
      </c>
      <c r="D1172" s="83">
        <v>45998</v>
      </c>
      <c r="E1172" s="83">
        <v>45998</v>
      </c>
      <c r="F1172" s="83">
        <v>46008</v>
      </c>
      <c r="G1172" s="83">
        <v>45968</v>
      </c>
      <c r="H1172" s="82" t="s">
        <v>294</v>
      </c>
      <c r="I1172" s="82" t="s">
        <v>22</v>
      </c>
      <c r="J1172" s="84">
        <v>0</v>
      </c>
      <c r="K1172" s="85">
        <v>540.70000000000005</v>
      </c>
      <c r="L1172" s="85">
        <v>567.74</v>
      </c>
      <c r="M1172" s="85">
        <v>27.04</v>
      </c>
      <c r="N1172" s="85">
        <v>567.74</v>
      </c>
      <c r="O1172" s="85">
        <v>0</v>
      </c>
      <c r="P1172" s="85">
        <v>540.70000000000005</v>
      </c>
      <c r="Q1172" s="85">
        <v>567.74</v>
      </c>
      <c r="R1172" s="85">
        <v>27.04</v>
      </c>
      <c r="S1172" s="85">
        <v>567.74</v>
      </c>
      <c r="T1172" s="85">
        <v>0</v>
      </c>
      <c r="U1172" s="82"/>
      <c r="V1172" s="82" t="s">
        <v>3399</v>
      </c>
      <c r="W1172" s="82" t="s">
        <v>3395</v>
      </c>
      <c r="X1172" s="82" t="s">
        <v>3394</v>
      </c>
      <c r="Y1172" s="82" t="s">
        <v>3393</v>
      </c>
    </row>
    <row r="1173" spans="1:25" ht="10.9" customHeight="1" x14ac:dyDescent="0.2">
      <c r="A1173" s="82" t="s">
        <v>3344</v>
      </c>
      <c r="B1173" s="82" t="s">
        <v>77</v>
      </c>
      <c r="C1173" s="83">
        <v>45968</v>
      </c>
      <c r="D1173" s="83">
        <v>45998</v>
      </c>
      <c r="E1173" s="83">
        <v>45998</v>
      </c>
      <c r="F1173" s="83">
        <v>46008</v>
      </c>
      <c r="G1173" s="83">
        <v>45968</v>
      </c>
      <c r="H1173" s="82" t="s">
        <v>260</v>
      </c>
      <c r="I1173" s="82" t="s">
        <v>22</v>
      </c>
      <c r="J1173" s="84">
        <v>0</v>
      </c>
      <c r="K1173" s="85">
        <v>968</v>
      </c>
      <c r="L1173" s="85">
        <v>1016.4</v>
      </c>
      <c r="M1173" s="85">
        <v>48.4</v>
      </c>
      <c r="N1173" s="85">
        <v>1016.4</v>
      </c>
      <c r="O1173" s="85">
        <v>0</v>
      </c>
      <c r="P1173" s="85">
        <v>968</v>
      </c>
      <c r="Q1173" s="85">
        <v>1016.4</v>
      </c>
      <c r="R1173" s="85">
        <v>48.4</v>
      </c>
      <c r="S1173" s="85">
        <v>1016.4</v>
      </c>
      <c r="T1173" s="85">
        <v>0</v>
      </c>
      <c r="U1173" s="82"/>
      <c r="V1173" s="82" t="s">
        <v>3399</v>
      </c>
      <c r="W1173" s="82" t="s">
        <v>3395</v>
      </c>
      <c r="X1173" s="82" t="s">
        <v>3394</v>
      </c>
      <c r="Y1173" s="82" t="s">
        <v>3393</v>
      </c>
    </row>
    <row r="1174" spans="1:25" ht="10.9" customHeight="1" x14ac:dyDescent="0.2">
      <c r="A1174" s="82" t="s">
        <v>3343</v>
      </c>
      <c r="B1174" s="82" t="s">
        <v>64</v>
      </c>
      <c r="C1174" s="83">
        <v>45968</v>
      </c>
      <c r="D1174" s="83">
        <v>45998</v>
      </c>
      <c r="E1174" s="83">
        <v>45998</v>
      </c>
      <c r="F1174" s="83">
        <v>46020</v>
      </c>
      <c r="G1174" s="83">
        <v>45968</v>
      </c>
      <c r="H1174" s="82" t="s">
        <v>262</v>
      </c>
      <c r="I1174" s="82" t="s">
        <v>22</v>
      </c>
      <c r="J1174" s="84">
        <v>0</v>
      </c>
      <c r="K1174" s="85">
        <v>292.98</v>
      </c>
      <c r="L1174" s="85">
        <v>331.07</v>
      </c>
      <c r="M1174" s="85">
        <v>38.090000000000003</v>
      </c>
      <c r="N1174" s="85">
        <v>331.07</v>
      </c>
      <c r="O1174" s="85">
        <v>0</v>
      </c>
      <c r="P1174" s="85">
        <v>292.98</v>
      </c>
      <c r="Q1174" s="85">
        <v>331.07</v>
      </c>
      <c r="R1174" s="85">
        <v>38.090000000000003</v>
      </c>
      <c r="S1174" s="85">
        <v>331.07</v>
      </c>
      <c r="T1174" s="85">
        <v>0</v>
      </c>
      <c r="U1174" s="82"/>
      <c r="V1174" s="82" t="s">
        <v>3399</v>
      </c>
      <c r="W1174" s="82" t="s">
        <v>3395</v>
      </c>
      <c r="X1174" s="82" t="s">
        <v>3394</v>
      </c>
      <c r="Y1174" s="82" t="s">
        <v>3393</v>
      </c>
    </row>
    <row r="1175" spans="1:25" ht="10.9" customHeight="1" x14ac:dyDescent="0.2">
      <c r="A1175" s="82" t="s">
        <v>3420</v>
      </c>
      <c r="B1175" s="82" t="s">
        <v>316</v>
      </c>
      <c r="C1175" s="83">
        <v>45971</v>
      </c>
      <c r="D1175" s="83">
        <v>45971</v>
      </c>
      <c r="E1175" s="83">
        <v>45971</v>
      </c>
      <c r="F1175" s="83">
        <v>45971</v>
      </c>
      <c r="G1175" s="83">
        <v>45971</v>
      </c>
      <c r="H1175" s="82" t="s">
        <v>3419</v>
      </c>
      <c r="I1175" s="82" t="s">
        <v>22</v>
      </c>
      <c r="J1175" s="84">
        <v>0</v>
      </c>
      <c r="K1175" s="85">
        <v>-275.52</v>
      </c>
      <c r="L1175" s="85">
        <v>-275.52</v>
      </c>
      <c r="M1175" s="85">
        <v>0</v>
      </c>
      <c r="N1175" s="85">
        <v>-275.52</v>
      </c>
      <c r="O1175" s="85">
        <v>0</v>
      </c>
      <c r="P1175" s="85">
        <v>-275.52</v>
      </c>
      <c r="Q1175" s="85">
        <v>-275.52</v>
      </c>
      <c r="R1175" s="85">
        <v>0</v>
      </c>
      <c r="S1175" s="85">
        <v>-275.52</v>
      </c>
      <c r="T1175" s="85">
        <v>0</v>
      </c>
      <c r="U1175" s="82"/>
      <c r="V1175" s="82" t="s">
        <v>3399</v>
      </c>
      <c r="W1175" s="82" t="s">
        <v>3398</v>
      </c>
      <c r="X1175" s="82" t="s">
        <v>3394</v>
      </c>
      <c r="Y1175" s="82" t="s">
        <v>3393</v>
      </c>
    </row>
    <row r="1176" spans="1:25" ht="10.9" customHeight="1" x14ac:dyDescent="0.2">
      <c r="A1176" s="82" t="s">
        <v>3353</v>
      </c>
      <c r="B1176" s="82" t="s">
        <v>64</v>
      </c>
      <c r="C1176" s="83">
        <v>45971</v>
      </c>
      <c r="D1176" s="83">
        <v>46001</v>
      </c>
      <c r="E1176" s="83">
        <v>46001</v>
      </c>
      <c r="F1176" s="83">
        <v>46020</v>
      </c>
      <c r="G1176" s="83">
        <v>45971</v>
      </c>
      <c r="H1176" s="82" t="s">
        <v>236</v>
      </c>
      <c r="I1176" s="82" t="s">
        <v>22</v>
      </c>
      <c r="J1176" s="84">
        <v>0</v>
      </c>
      <c r="K1176" s="85">
        <v>209.18</v>
      </c>
      <c r="L1176" s="85">
        <v>236.37</v>
      </c>
      <c r="M1176" s="85">
        <v>27.19</v>
      </c>
      <c r="N1176" s="85">
        <v>236.37</v>
      </c>
      <c r="O1176" s="85">
        <v>0</v>
      </c>
      <c r="P1176" s="85">
        <v>209.18</v>
      </c>
      <c r="Q1176" s="85">
        <v>236.37</v>
      </c>
      <c r="R1176" s="85">
        <v>27.19</v>
      </c>
      <c r="S1176" s="85">
        <v>236.37</v>
      </c>
      <c r="T1176" s="85">
        <v>0</v>
      </c>
      <c r="U1176" s="82"/>
      <c r="V1176" s="82" t="s">
        <v>3399</v>
      </c>
      <c r="W1176" s="82" t="s">
        <v>3395</v>
      </c>
      <c r="X1176" s="82" t="s">
        <v>3394</v>
      </c>
      <c r="Y1176" s="82" t="s">
        <v>3393</v>
      </c>
    </row>
    <row r="1177" spans="1:25" ht="10.9" customHeight="1" x14ac:dyDescent="0.2">
      <c r="A1177" s="82" t="s">
        <v>3350</v>
      </c>
      <c r="B1177" s="82" t="s">
        <v>245</v>
      </c>
      <c r="C1177" s="83">
        <v>45971</v>
      </c>
      <c r="D1177" s="83">
        <v>46001</v>
      </c>
      <c r="E1177" s="83">
        <v>46001</v>
      </c>
      <c r="F1177" s="83">
        <v>46007</v>
      </c>
      <c r="G1177" s="83">
        <v>45971</v>
      </c>
      <c r="H1177" s="82" t="s">
        <v>244</v>
      </c>
      <c r="I1177" s="82" t="s">
        <v>22</v>
      </c>
      <c r="J1177" s="84">
        <v>0</v>
      </c>
      <c r="K1177" s="85">
        <v>632.4</v>
      </c>
      <c r="L1177" s="85">
        <v>664.02</v>
      </c>
      <c r="M1177" s="85">
        <v>31.62</v>
      </c>
      <c r="N1177" s="85">
        <v>664.02</v>
      </c>
      <c r="O1177" s="85">
        <v>0</v>
      </c>
      <c r="P1177" s="85">
        <v>632.4</v>
      </c>
      <c r="Q1177" s="85">
        <v>664.02</v>
      </c>
      <c r="R1177" s="85">
        <v>31.62</v>
      </c>
      <c r="S1177" s="85">
        <v>664.02</v>
      </c>
      <c r="T1177" s="85">
        <v>0</v>
      </c>
      <c r="U1177" s="82"/>
      <c r="V1177" s="82" t="s">
        <v>3399</v>
      </c>
      <c r="W1177" s="82" t="s">
        <v>3395</v>
      </c>
      <c r="X1177" s="82" t="s">
        <v>3394</v>
      </c>
      <c r="Y1177" s="82" t="s">
        <v>3393</v>
      </c>
    </row>
    <row r="1178" spans="1:25" ht="10.9" customHeight="1" x14ac:dyDescent="0.2">
      <c r="A1178" s="82" t="s">
        <v>2902</v>
      </c>
      <c r="B1178" s="82" t="s">
        <v>32</v>
      </c>
      <c r="C1178" s="83">
        <v>45971</v>
      </c>
      <c r="D1178" s="83">
        <v>46001</v>
      </c>
      <c r="E1178" s="83">
        <v>46001</v>
      </c>
      <c r="F1178" s="83">
        <v>46001</v>
      </c>
      <c r="G1178" s="83">
        <v>45971</v>
      </c>
      <c r="H1178" s="82" t="s">
        <v>1160</v>
      </c>
      <c r="I1178" s="82" t="s">
        <v>22</v>
      </c>
      <c r="J1178" s="84">
        <v>0</v>
      </c>
      <c r="K1178" s="85">
        <v>6327.03</v>
      </c>
      <c r="L1178" s="85">
        <v>7149.54</v>
      </c>
      <c r="M1178" s="85">
        <v>822.51</v>
      </c>
      <c r="N1178" s="85">
        <v>7149.54</v>
      </c>
      <c r="O1178" s="85">
        <v>0</v>
      </c>
      <c r="P1178" s="85">
        <v>6327.03</v>
      </c>
      <c r="Q1178" s="85">
        <v>7149.54</v>
      </c>
      <c r="R1178" s="85">
        <v>822.51</v>
      </c>
      <c r="S1178" s="85">
        <v>7149.54</v>
      </c>
      <c r="T1178" s="85">
        <v>0</v>
      </c>
      <c r="U1178" s="82"/>
      <c r="V1178" s="82" t="s">
        <v>3399</v>
      </c>
      <c r="W1178" s="82" t="s">
        <v>3395</v>
      </c>
      <c r="X1178" s="82" t="s">
        <v>3394</v>
      </c>
      <c r="Y1178" s="82" t="s">
        <v>3393</v>
      </c>
    </row>
    <row r="1179" spans="1:25" ht="10.9" customHeight="1" x14ac:dyDescent="0.2">
      <c r="A1179" s="82" t="s">
        <v>3342</v>
      </c>
      <c r="B1179" s="82" t="s">
        <v>248</v>
      </c>
      <c r="C1179" s="83">
        <v>45971</v>
      </c>
      <c r="D1179" s="83">
        <v>46001</v>
      </c>
      <c r="E1179" s="83">
        <v>46001</v>
      </c>
      <c r="F1179" s="83">
        <v>46006</v>
      </c>
      <c r="G1179" s="83">
        <v>45972</v>
      </c>
      <c r="H1179" s="82" t="s">
        <v>266</v>
      </c>
      <c r="I1179" s="82" t="s">
        <v>22</v>
      </c>
      <c r="J1179" s="84">
        <v>0</v>
      </c>
      <c r="K1179" s="85">
        <v>581.66</v>
      </c>
      <c r="L1179" s="85">
        <v>663.09</v>
      </c>
      <c r="M1179" s="85">
        <v>81.430000000000007</v>
      </c>
      <c r="N1179" s="85">
        <v>663.09</v>
      </c>
      <c r="O1179" s="85">
        <v>0</v>
      </c>
      <c r="P1179" s="85">
        <v>581.66</v>
      </c>
      <c r="Q1179" s="85">
        <v>663.09</v>
      </c>
      <c r="R1179" s="85">
        <v>81.430000000000007</v>
      </c>
      <c r="S1179" s="85">
        <v>663.09</v>
      </c>
      <c r="T1179" s="85">
        <v>0</v>
      </c>
      <c r="U1179" s="82"/>
      <c r="V1179" s="82" t="s">
        <v>3399</v>
      </c>
      <c r="W1179" s="82" t="s">
        <v>3395</v>
      </c>
      <c r="X1179" s="82" t="s">
        <v>3394</v>
      </c>
      <c r="Y1179" s="82" t="s">
        <v>3393</v>
      </c>
    </row>
    <row r="1180" spans="1:25" ht="10.9" customHeight="1" x14ac:dyDescent="0.2">
      <c r="A1180" s="82" t="s">
        <v>3346</v>
      </c>
      <c r="B1180" s="82" t="s">
        <v>248</v>
      </c>
      <c r="C1180" s="83">
        <v>45971</v>
      </c>
      <c r="D1180" s="83">
        <v>46001</v>
      </c>
      <c r="E1180" s="83">
        <v>46001</v>
      </c>
      <c r="F1180" s="83">
        <v>46006</v>
      </c>
      <c r="G1180" s="83">
        <v>45972</v>
      </c>
      <c r="H1180" s="82" t="s">
        <v>256</v>
      </c>
      <c r="I1180" s="82" t="s">
        <v>22</v>
      </c>
      <c r="J1180" s="84">
        <v>0</v>
      </c>
      <c r="K1180" s="85">
        <v>1414.55</v>
      </c>
      <c r="L1180" s="85">
        <v>1612.6</v>
      </c>
      <c r="M1180" s="85">
        <v>198.05</v>
      </c>
      <c r="N1180" s="85">
        <v>1612.6</v>
      </c>
      <c r="O1180" s="85">
        <v>0</v>
      </c>
      <c r="P1180" s="85">
        <v>1414.55</v>
      </c>
      <c r="Q1180" s="85">
        <v>1612.6</v>
      </c>
      <c r="R1180" s="85">
        <v>198.05</v>
      </c>
      <c r="S1180" s="85">
        <v>1612.6</v>
      </c>
      <c r="T1180" s="85">
        <v>0</v>
      </c>
      <c r="U1180" s="82"/>
      <c r="V1180" s="82" t="s">
        <v>3399</v>
      </c>
      <c r="W1180" s="82" t="s">
        <v>3395</v>
      </c>
      <c r="X1180" s="82" t="s">
        <v>3394</v>
      </c>
      <c r="Y1180" s="82" t="s">
        <v>3393</v>
      </c>
    </row>
    <row r="1181" spans="1:25" ht="10.9" customHeight="1" x14ac:dyDescent="0.2">
      <c r="A1181" s="82" t="s">
        <v>3348</v>
      </c>
      <c r="B1181" s="82" t="s">
        <v>54</v>
      </c>
      <c r="C1181" s="83">
        <v>45971</v>
      </c>
      <c r="D1181" s="83">
        <v>46001</v>
      </c>
      <c r="E1181" s="83">
        <v>46001</v>
      </c>
      <c r="F1181" s="82"/>
      <c r="G1181" s="83">
        <v>45972</v>
      </c>
      <c r="H1181" s="82" t="s">
        <v>252</v>
      </c>
      <c r="I1181" s="82" t="s">
        <v>22</v>
      </c>
      <c r="J1181" s="84">
        <v>0</v>
      </c>
      <c r="K1181" s="85">
        <v>3683.4</v>
      </c>
      <c r="L1181" s="85">
        <v>3867.57</v>
      </c>
      <c r="M1181" s="85">
        <v>184.17</v>
      </c>
      <c r="N1181" s="85">
        <v>0</v>
      </c>
      <c r="O1181" s="85">
        <v>3867.57</v>
      </c>
      <c r="P1181" s="85">
        <v>3683.4</v>
      </c>
      <c r="Q1181" s="85">
        <v>3867.57</v>
      </c>
      <c r="R1181" s="85">
        <v>184.17</v>
      </c>
      <c r="S1181" s="85">
        <v>0</v>
      </c>
      <c r="T1181" s="85">
        <v>3867.57</v>
      </c>
      <c r="U1181" s="82"/>
      <c r="V1181" s="82" t="s">
        <v>3396</v>
      </c>
      <c r="W1181" s="82" t="s">
        <v>3395</v>
      </c>
      <c r="X1181" s="82" t="s">
        <v>3394</v>
      </c>
      <c r="Y1181" s="82" t="s">
        <v>3393</v>
      </c>
    </row>
    <row r="1182" spans="1:25" ht="10.9" customHeight="1" x14ac:dyDescent="0.2">
      <c r="A1182" s="82" t="s">
        <v>3234</v>
      </c>
      <c r="B1182" s="82" t="s">
        <v>54</v>
      </c>
      <c r="C1182" s="83">
        <v>45971</v>
      </c>
      <c r="D1182" s="83">
        <v>46001</v>
      </c>
      <c r="E1182" s="83">
        <v>46001</v>
      </c>
      <c r="F1182" s="83">
        <v>46014</v>
      </c>
      <c r="G1182" s="83">
        <v>45972</v>
      </c>
      <c r="H1182" s="82" t="s">
        <v>538</v>
      </c>
      <c r="I1182" s="82" t="s">
        <v>22</v>
      </c>
      <c r="J1182" s="84">
        <v>0</v>
      </c>
      <c r="K1182" s="85">
        <v>1949.64</v>
      </c>
      <c r="L1182" s="85">
        <v>2047.12</v>
      </c>
      <c r="M1182" s="85">
        <v>97.48</v>
      </c>
      <c r="N1182" s="85">
        <v>2047.12</v>
      </c>
      <c r="O1182" s="85">
        <v>0</v>
      </c>
      <c r="P1182" s="85">
        <v>1949.64</v>
      </c>
      <c r="Q1182" s="85">
        <v>2047.12</v>
      </c>
      <c r="R1182" s="85">
        <v>97.48</v>
      </c>
      <c r="S1182" s="85">
        <v>2047.12</v>
      </c>
      <c r="T1182" s="85">
        <v>0</v>
      </c>
      <c r="U1182" s="82"/>
      <c r="V1182" s="82" t="s">
        <v>3399</v>
      </c>
      <c r="W1182" s="82" t="s">
        <v>3395</v>
      </c>
      <c r="X1182" s="82" t="s">
        <v>3394</v>
      </c>
      <c r="Y1182" s="82" t="s">
        <v>3393</v>
      </c>
    </row>
    <row r="1183" spans="1:25" ht="10.9" customHeight="1" x14ac:dyDescent="0.2">
      <c r="A1183" s="82" t="s">
        <v>3347</v>
      </c>
      <c r="B1183" s="82" t="s">
        <v>54</v>
      </c>
      <c r="C1183" s="83">
        <v>45971</v>
      </c>
      <c r="D1183" s="83">
        <v>46001</v>
      </c>
      <c r="E1183" s="83">
        <v>46001</v>
      </c>
      <c r="F1183" s="83">
        <v>46014</v>
      </c>
      <c r="G1183" s="83">
        <v>45972</v>
      </c>
      <c r="H1183" s="82" t="s">
        <v>254</v>
      </c>
      <c r="I1183" s="82" t="s">
        <v>22</v>
      </c>
      <c r="J1183" s="84">
        <v>0</v>
      </c>
      <c r="K1183" s="85">
        <v>3385.4</v>
      </c>
      <c r="L1183" s="85">
        <v>3554.67</v>
      </c>
      <c r="M1183" s="85">
        <v>169.27</v>
      </c>
      <c r="N1183" s="85">
        <v>3554.67</v>
      </c>
      <c r="O1183" s="85">
        <v>0</v>
      </c>
      <c r="P1183" s="85">
        <v>3385.4</v>
      </c>
      <c r="Q1183" s="85">
        <v>3554.67</v>
      </c>
      <c r="R1183" s="85">
        <v>169.27</v>
      </c>
      <c r="S1183" s="85">
        <v>3554.67</v>
      </c>
      <c r="T1183" s="85">
        <v>0</v>
      </c>
      <c r="U1183" s="82"/>
      <c r="V1183" s="82" t="s">
        <v>3399</v>
      </c>
      <c r="W1183" s="82" t="s">
        <v>3395</v>
      </c>
      <c r="X1183" s="82" t="s">
        <v>3394</v>
      </c>
      <c r="Y1183" s="82" t="s">
        <v>3393</v>
      </c>
    </row>
    <row r="1184" spans="1:25" ht="10.9" customHeight="1" x14ac:dyDescent="0.2">
      <c r="A1184" s="82" t="s">
        <v>3158</v>
      </c>
      <c r="B1184" s="82" t="s">
        <v>644</v>
      </c>
      <c r="C1184" s="83">
        <v>45972</v>
      </c>
      <c r="D1184" s="83">
        <v>46002</v>
      </c>
      <c r="E1184" s="83">
        <v>46002</v>
      </c>
      <c r="F1184" s="83">
        <v>45999</v>
      </c>
      <c r="G1184" s="83">
        <v>45979</v>
      </c>
      <c r="H1184" s="82" t="s">
        <v>696</v>
      </c>
      <c r="I1184" s="82" t="s">
        <v>51</v>
      </c>
      <c r="J1184" s="84">
        <v>0.71348100000000003</v>
      </c>
      <c r="K1184" s="85">
        <v>1559.55</v>
      </c>
      <c r="L1184" s="85">
        <v>1559.55</v>
      </c>
      <c r="M1184" s="85">
        <v>0</v>
      </c>
      <c r="N1184" s="85">
        <v>1559.55</v>
      </c>
      <c r="O1184" s="85">
        <v>0</v>
      </c>
      <c r="P1184" s="85">
        <v>2185.8325589609253</v>
      </c>
      <c r="Q1184" s="85">
        <v>2185.8325589609253</v>
      </c>
      <c r="R1184" s="85">
        <v>0</v>
      </c>
      <c r="S1184" s="85">
        <v>2161.2869000000001</v>
      </c>
      <c r="T1184" s="85">
        <v>0</v>
      </c>
      <c r="U1184" s="82"/>
      <c r="V1184" s="82" t="s">
        <v>3399</v>
      </c>
      <c r="W1184" s="82" t="s">
        <v>3395</v>
      </c>
      <c r="X1184" s="82" t="s">
        <v>3394</v>
      </c>
      <c r="Y1184" s="82" t="s">
        <v>3393</v>
      </c>
    </row>
    <row r="1185" spans="1:25" ht="10.9" customHeight="1" x14ac:dyDescent="0.2">
      <c r="A1185" s="82" t="s">
        <v>3351</v>
      </c>
      <c r="B1185" s="82" t="s">
        <v>242</v>
      </c>
      <c r="C1185" s="83">
        <v>45972</v>
      </c>
      <c r="D1185" s="83">
        <v>46002</v>
      </c>
      <c r="E1185" s="83">
        <v>46002</v>
      </c>
      <c r="F1185" s="83">
        <v>46024</v>
      </c>
      <c r="G1185" s="83">
        <v>45973</v>
      </c>
      <c r="H1185" s="82" t="s">
        <v>241</v>
      </c>
      <c r="I1185" s="82" t="s">
        <v>22</v>
      </c>
      <c r="J1185" s="84">
        <v>0</v>
      </c>
      <c r="K1185" s="85">
        <v>1946.57</v>
      </c>
      <c r="L1185" s="85">
        <v>2043.9</v>
      </c>
      <c r="M1185" s="85">
        <v>97.33</v>
      </c>
      <c r="N1185" s="85">
        <v>0</v>
      </c>
      <c r="O1185" s="85">
        <v>2043.9</v>
      </c>
      <c r="P1185" s="85">
        <v>1946.57</v>
      </c>
      <c r="Q1185" s="85">
        <v>2043.9</v>
      </c>
      <c r="R1185" s="85">
        <v>97.33</v>
      </c>
      <c r="S1185" s="85">
        <v>0</v>
      </c>
      <c r="T1185" s="85">
        <v>2043.9</v>
      </c>
      <c r="U1185" s="82"/>
      <c r="V1185" s="82" t="s">
        <v>3399</v>
      </c>
      <c r="W1185" s="82" t="s">
        <v>3395</v>
      </c>
      <c r="X1185" s="82" t="s">
        <v>3394</v>
      </c>
      <c r="Y1185" s="82" t="s">
        <v>3393</v>
      </c>
    </row>
    <row r="1186" spans="1:25" ht="10.9" customHeight="1" x14ac:dyDescent="0.2">
      <c r="A1186" s="82" t="s">
        <v>3219</v>
      </c>
      <c r="B1186" s="82" t="s">
        <v>242</v>
      </c>
      <c r="C1186" s="83">
        <v>45972</v>
      </c>
      <c r="D1186" s="83">
        <v>46002</v>
      </c>
      <c r="E1186" s="83">
        <v>46002</v>
      </c>
      <c r="F1186" s="83">
        <v>46024</v>
      </c>
      <c r="G1186" s="83">
        <v>45974</v>
      </c>
      <c r="H1186" s="82" t="s">
        <v>564</v>
      </c>
      <c r="I1186" s="82" t="s">
        <v>22</v>
      </c>
      <c r="J1186" s="84">
        <v>0</v>
      </c>
      <c r="K1186" s="85">
        <v>50</v>
      </c>
      <c r="L1186" s="85">
        <v>52.5</v>
      </c>
      <c r="M1186" s="85">
        <v>2.5</v>
      </c>
      <c r="N1186" s="85">
        <v>0</v>
      </c>
      <c r="O1186" s="85">
        <v>52.5</v>
      </c>
      <c r="P1186" s="85">
        <v>50</v>
      </c>
      <c r="Q1186" s="85">
        <v>52.5</v>
      </c>
      <c r="R1186" s="85">
        <v>2.5</v>
      </c>
      <c r="S1186" s="85">
        <v>0</v>
      </c>
      <c r="T1186" s="85">
        <v>52.5</v>
      </c>
      <c r="U1186" s="82"/>
      <c r="V1186" s="82" t="s">
        <v>3399</v>
      </c>
      <c r="W1186" s="82" t="s">
        <v>3395</v>
      </c>
      <c r="X1186" s="82" t="s">
        <v>3394</v>
      </c>
      <c r="Y1186" s="82" t="s">
        <v>3393</v>
      </c>
    </row>
    <row r="1187" spans="1:25" ht="10.9" customHeight="1" x14ac:dyDescent="0.2">
      <c r="A1187" s="82" t="s">
        <v>3210</v>
      </c>
      <c r="B1187" s="82" t="s">
        <v>229</v>
      </c>
      <c r="C1187" s="83">
        <v>45972</v>
      </c>
      <c r="D1187" s="83">
        <v>46002</v>
      </c>
      <c r="E1187" s="83">
        <v>46002</v>
      </c>
      <c r="F1187" s="82"/>
      <c r="G1187" s="83">
        <v>45974</v>
      </c>
      <c r="H1187" s="82" t="s">
        <v>585</v>
      </c>
      <c r="I1187" s="82" t="s">
        <v>22</v>
      </c>
      <c r="J1187" s="84">
        <v>0</v>
      </c>
      <c r="K1187" s="85">
        <v>49.16</v>
      </c>
      <c r="L1187" s="85">
        <v>51.62</v>
      </c>
      <c r="M1187" s="85">
        <v>2.46</v>
      </c>
      <c r="N1187" s="85">
        <v>0</v>
      </c>
      <c r="O1187" s="85">
        <v>51.62</v>
      </c>
      <c r="P1187" s="85">
        <v>49.16</v>
      </c>
      <c r="Q1187" s="85">
        <v>51.62</v>
      </c>
      <c r="R1187" s="85">
        <v>2.46</v>
      </c>
      <c r="S1187" s="85">
        <v>0</v>
      </c>
      <c r="T1187" s="85">
        <v>51.62</v>
      </c>
      <c r="U1187" s="82"/>
      <c r="V1187" s="82" t="s">
        <v>3396</v>
      </c>
      <c r="W1187" s="82" t="s">
        <v>3395</v>
      </c>
      <c r="X1187" s="82" t="s">
        <v>3394</v>
      </c>
      <c r="Y1187" s="82" t="s">
        <v>3393</v>
      </c>
    </row>
    <row r="1188" spans="1:25" ht="10.9" customHeight="1" x14ac:dyDescent="0.2">
      <c r="A1188" s="82" t="s">
        <v>3295</v>
      </c>
      <c r="B1188" s="82" t="s">
        <v>229</v>
      </c>
      <c r="C1188" s="83">
        <v>45972</v>
      </c>
      <c r="D1188" s="83">
        <v>46002</v>
      </c>
      <c r="E1188" s="83">
        <v>46002</v>
      </c>
      <c r="F1188" s="83">
        <v>46024</v>
      </c>
      <c r="G1188" s="83">
        <v>45974</v>
      </c>
      <c r="H1188" s="82" t="s">
        <v>384</v>
      </c>
      <c r="I1188" s="82" t="s">
        <v>22</v>
      </c>
      <c r="J1188" s="84">
        <v>0</v>
      </c>
      <c r="K1188" s="85">
        <v>32</v>
      </c>
      <c r="L1188" s="85">
        <v>33.6</v>
      </c>
      <c r="M1188" s="85">
        <v>1.6</v>
      </c>
      <c r="N1188" s="85">
        <v>0</v>
      </c>
      <c r="O1188" s="85">
        <v>33.6</v>
      </c>
      <c r="P1188" s="85">
        <v>32</v>
      </c>
      <c r="Q1188" s="85">
        <v>33.6</v>
      </c>
      <c r="R1188" s="85">
        <v>1.6</v>
      </c>
      <c r="S1188" s="85">
        <v>0</v>
      </c>
      <c r="T1188" s="85">
        <v>33.6</v>
      </c>
      <c r="U1188" s="82"/>
      <c r="V1188" s="82" t="s">
        <v>3399</v>
      </c>
      <c r="W1188" s="82" t="s">
        <v>3395</v>
      </c>
      <c r="X1188" s="82" t="s">
        <v>3394</v>
      </c>
      <c r="Y1188" s="82" t="s">
        <v>3393</v>
      </c>
    </row>
    <row r="1189" spans="1:25" ht="10.9" customHeight="1" x14ac:dyDescent="0.2">
      <c r="A1189" s="82" t="s">
        <v>3109</v>
      </c>
      <c r="B1189" s="82" t="s">
        <v>245</v>
      </c>
      <c r="C1189" s="83">
        <v>45972</v>
      </c>
      <c r="D1189" s="83">
        <v>46002</v>
      </c>
      <c r="E1189" s="83">
        <v>46002</v>
      </c>
      <c r="F1189" s="83">
        <v>46007</v>
      </c>
      <c r="G1189" s="83">
        <v>45974</v>
      </c>
      <c r="H1189" s="82" t="s">
        <v>794</v>
      </c>
      <c r="I1189" s="82" t="s">
        <v>22</v>
      </c>
      <c r="J1189" s="84">
        <v>0</v>
      </c>
      <c r="K1189" s="85">
        <v>3783.68</v>
      </c>
      <c r="L1189" s="85">
        <v>3972.86</v>
      </c>
      <c r="M1189" s="85">
        <v>189.18</v>
      </c>
      <c r="N1189" s="85">
        <v>3972.86</v>
      </c>
      <c r="O1189" s="85">
        <v>0</v>
      </c>
      <c r="P1189" s="85">
        <v>3783.68</v>
      </c>
      <c r="Q1189" s="85">
        <v>3972.86</v>
      </c>
      <c r="R1189" s="85">
        <v>189.18</v>
      </c>
      <c r="S1189" s="85">
        <v>3972.86</v>
      </c>
      <c r="T1189" s="85">
        <v>0</v>
      </c>
      <c r="U1189" s="82"/>
      <c r="V1189" s="82" t="s">
        <v>3399</v>
      </c>
      <c r="W1189" s="82" t="s">
        <v>3395</v>
      </c>
      <c r="X1189" s="82" t="s">
        <v>3394</v>
      </c>
      <c r="Y1189" s="82" t="s">
        <v>3393</v>
      </c>
    </row>
    <row r="1190" spans="1:25" ht="10.9" customHeight="1" x14ac:dyDescent="0.2">
      <c r="A1190" s="82" t="s">
        <v>3156</v>
      </c>
      <c r="B1190" s="82" t="s">
        <v>39</v>
      </c>
      <c r="C1190" s="83">
        <v>45972</v>
      </c>
      <c r="D1190" s="83">
        <v>46002</v>
      </c>
      <c r="E1190" s="83">
        <v>46002</v>
      </c>
      <c r="F1190" s="83">
        <v>46002</v>
      </c>
      <c r="G1190" s="83">
        <v>45974</v>
      </c>
      <c r="H1190" s="82" t="s">
        <v>698</v>
      </c>
      <c r="I1190" s="82" t="s">
        <v>22</v>
      </c>
      <c r="J1190" s="84">
        <v>0</v>
      </c>
      <c r="K1190" s="85">
        <v>7857.37</v>
      </c>
      <c r="L1190" s="85">
        <v>8250.24</v>
      </c>
      <c r="M1190" s="85">
        <v>392.87</v>
      </c>
      <c r="N1190" s="85">
        <v>8250.24</v>
      </c>
      <c r="O1190" s="85">
        <v>0</v>
      </c>
      <c r="P1190" s="85">
        <v>7857.37</v>
      </c>
      <c r="Q1190" s="85">
        <v>8250.24</v>
      </c>
      <c r="R1190" s="85">
        <v>392.87</v>
      </c>
      <c r="S1190" s="85">
        <v>8250.24</v>
      </c>
      <c r="T1190" s="85">
        <v>0</v>
      </c>
      <c r="U1190" s="82"/>
      <c r="V1190" s="82" t="s">
        <v>3399</v>
      </c>
      <c r="W1190" s="82" t="s">
        <v>3395</v>
      </c>
      <c r="X1190" s="82" t="s">
        <v>3394</v>
      </c>
      <c r="Y1190" s="82" t="s">
        <v>3393</v>
      </c>
    </row>
    <row r="1191" spans="1:25" ht="10.9" customHeight="1" x14ac:dyDescent="0.2">
      <c r="A1191" s="82" t="s">
        <v>3352</v>
      </c>
      <c r="B1191" s="82" t="s">
        <v>239</v>
      </c>
      <c r="C1191" s="83">
        <v>45973</v>
      </c>
      <c r="D1191" s="83">
        <v>46008</v>
      </c>
      <c r="E1191" s="83">
        <v>46008</v>
      </c>
      <c r="F1191" s="82"/>
      <c r="G1191" s="83">
        <v>45974</v>
      </c>
      <c r="H1191" s="82" t="s">
        <v>238</v>
      </c>
      <c r="I1191" s="82" t="s">
        <v>51</v>
      </c>
      <c r="J1191" s="84">
        <v>0.71395399999999998</v>
      </c>
      <c r="K1191" s="85">
        <v>1642.24</v>
      </c>
      <c r="L1191" s="85">
        <v>1642.24</v>
      </c>
      <c r="M1191" s="85">
        <v>0</v>
      </c>
      <c r="N1191" s="85">
        <v>0</v>
      </c>
      <c r="O1191" s="85">
        <v>1642.24</v>
      </c>
      <c r="P1191" s="85">
        <v>2300.2042148373703</v>
      </c>
      <c r="Q1191" s="85">
        <v>2300.2042148373703</v>
      </c>
      <c r="R1191" s="85">
        <v>0</v>
      </c>
      <c r="S1191" s="85">
        <v>0</v>
      </c>
      <c r="T1191" s="85">
        <v>2253.84</v>
      </c>
      <c r="U1191" s="82" t="s">
        <v>3401</v>
      </c>
      <c r="V1191" s="82" t="s">
        <v>3396</v>
      </c>
      <c r="W1191" s="82" t="s">
        <v>3395</v>
      </c>
      <c r="X1191" s="82" t="s">
        <v>3394</v>
      </c>
      <c r="Y1191" s="82" t="s">
        <v>3393</v>
      </c>
    </row>
    <row r="1192" spans="1:25" ht="10.9" customHeight="1" x14ac:dyDescent="0.2">
      <c r="A1192" s="82" t="s">
        <v>3312</v>
      </c>
      <c r="B1192" s="82" t="s">
        <v>20</v>
      </c>
      <c r="C1192" s="83">
        <v>45974</v>
      </c>
      <c r="D1192" s="83">
        <v>46034</v>
      </c>
      <c r="E1192" s="83">
        <v>46034</v>
      </c>
      <c r="F1192" s="82"/>
      <c r="G1192" s="83">
        <v>45974</v>
      </c>
      <c r="H1192" s="82" t="s">
        <v>339</v>
      </c>
      <c r="I1192" s="82" t="s">
        <v>22</v>
      </c>
      <c r="J1192" s="84">
        <v>0</v>
      </c>
      <c r="K1192" s="85">
        <v>2234.11</v>
      </c>
      <c r="L1192" s="85">
        <v>2345.8200000000002</v>
      </c>
      <c r="M1192" s="85">
        <v>111.71</v>
      </c>
      <c r="N1192" s="85">
        <v>0</v>
      </c>
      <c r="O1192" s="85">
        <v>2345.8200000000002</v>
      </c>
      <c r="P1192" s="85">
        <v>2234.11</v>
      </c>
      <c r="Q1192" s="85">
        <v>2345.8200000000002</v>
      </c>
      <c r="R1192" s="85">
        <v>111.71</v>
      </c>
      <c r="S1192" s="85">
        <v>0</v>
      </c>
      <c r="T1192" s="85">
        <v>2345.8200000000002</v>
      </c>
      <c r="U1192" s="82"/>
      <c r="V1192" s="82" t="s">
        <v>3396</v>
      </c>
      <c r="W1192" s="82" t="s">
        <v>3395</v>
      </c>
      <c r="X1192" s="82" t="s">
        <v>3394</v>
      </c>
      <c r="Y1192" s="82" t="s">
        <v>3393</v>
      </c>
    </row>
    <row r="1193" spans="1:25" ht="10.9" customHeight="1" x14ac:dyDescent="0.2">
      <c r="A1193" s="82" t="s">
        <v>3360</v>
      </c>
      <c r="B1193" s="82" t="s">
        <v>20</v>
      </c>
      <c r="C1193" s="83">
        <v>45974</v>
      </c>
      <c r="D1193" s="83">
        <v>46034</v>
      </c>
      <c r="E1193" s="83">
        <v>46034</v>
      </c>
      <c r="F1193" s="82"/>
      <c r="G1193" s="83">
        <v>45974</v>
      </c>
      <c r="H1193" s="82" t="s">
        <v>211</v>
      </c>
      <c r="I1193" s="82" t="s">
        <v>22</v>
      </c>
      <c r="J1193" s="84">
        <v>0</v>
      </c>
      <c r="K1193" s="85">
        <v>347.78</v>
      </c>
      <c r="L1193" s="85">
        <v>365.17</v>
      </c>
      <c r="M1193" s="85">
        <v>17.39</v>
      </c>
      <c r="N1193" s="85">
        <v>0</v>
      </c>
      <c r="O1193" s="85">
        <v>365.17</v>
      </c>
      <c r="P1193" s="85">
        <v>347.78</v>
      </c>
      <c r="Q1193" s="85">
        <v>365.17</v>
      </c>
      <c r="R1193" s="85">
        <v>17.39</v>
      </c>
      <c r="S1193" s="85">
        <v>0</v>
      </c>
      <c r="T1193" s="85">
        <v>365.17</v>
      </c>
      <c r="U1193" s="82"/>
      <c r="V1193" s="82" t="s">
        <v>3396</v>
      </c>
      <c r="W1193" s="82" t="s">
        <v>3395</v>
      </c>
      <c r="X1193" s="82" t="s">
        <v>3394</v>
      </c>
      <c r="Y1193" s="82" t="s">
        <v>3393</v>
      </c>
    </row>
    <row r="1194" spans="1:25" ht="10.9" customHeight="1" x14ac:dyDescent="0.2">
      <c r="A1194" s="82" t="s">
        <v>3358</v>
      </c>
      <c r="B1194" s="82" t="s">
        <v>171</v>
      </c>
      <c r="C1194" s="83">
        <v>45974</v>
      </c>
      <c r="D1194" s="83">
        <v>46004</v>
      </c>
      <c r="E1194" s="83">
        <v>46004</v>
      </c>
      <c r="F1194" s="83">
        <v>46002</v>
      </c>
      <c r="G1194" s="83">
        <v>45974</v>
      </c>
      <c r="H1194" s="82" t="s">
        <v>219</v>
      </c>
      <c r="I1194" s="82" t="s">
        <v>22</v>
      </c>
      <c r="J1194" s="84">
        <v>0</v>
      </c>
      <c r="K1194" s="85">
        <v>987.3</v>
      </c>
      <c r="L1194" s="85">
        <v>1036.67</v>
      </c>
      <c r="M1194" s="85">
        <v>49.37</v>
      </c>
      <c r="N1194" s="85">
        <v>1036.67</v>
      </c>
      <c r="O1194" s="85">
        <v>0</v>
      </c>
      <c r="P1194" s="85">
        <v>987.3</v>
      </c>
      <c r="Q1194" s="85">
        <v>1036.67</v>
      </c>
      <c r="R1194" s="85">
        <v>49.37</v>
      </c>
      <c r="S1194" s="85">
        <v>1036.67</v>
      </c>
      <c r="T1194" s="85">
        <v>0</v>
      </c>
      <c r="U1194" s="82"/>
      <c r="V1194" s="82" t="s">
        <v>3399</v>
      </c>
      <c r="W1194" s="82" t="s">
        <v>3395</v>
      </c>
      <c r="X1194" s="82" t="s">
        <v>3394</v>
      </c>
      <c r="Y1194" s="82" t="s">
        <v>3393</v>
      </c>
    </row>
    <row r="1195" spans="1:25" ht="10.9" customHeight="1" x14ac:dyDescent="0.2">
      <c r="A1195" s="82" t="s">
        <v>3244</v>
      </c>
      <c r="B1195" s="82" t="s">
        <v>89</v>
      </c>
      <c r="C1195" s="83">
        <v>45975</v>
      </c>
      <c r="D1195" s="83">
        <v>46005</v>
      </c>
      <c r="E1195" s="83">
        <v>46005</v>
      </c>
      <c r="F1195" s="83">
        <v>45985</v>
      </c>
      <c r="G1195" s="83">
        <v>45979</v>
      </c>
      <c r="H1195" s="82" t="s">
        <v>517</v>
      </c>
      <c r="I1195" s="82" t="s">
        <v>22</v>
      </c>
      <c r="J1195" s="84">
        <v>0</v>
      </c>
      <c r="K1195" s="85">
        <v>753.88</v>
      </c>
      <c r="L1195" s="85">
        <v>791.57</v>
      </c>
      <c r="M1195" s="85">
        <v>37.69</v>
      </c>
      <c r="N1195" s="85">
        <v>791.57</v>
      </c>
      <c r="O1195" s="85">
        <v>0</v>
      </c>
      <c r="P1195" s="85">
        <v>753.88</v>
      </c>
      <c r="Q1195" s="85">
        <v>791.57</v>
      </c>
      <c r="R1195" s="85">
        <v>37.69</v>
      </c>
      <c r="S1195" s="85">
        <v>791.57</v>
      </c>
      <c r="T1195" s="85">
        <v>0</v>
      </c>
      <c r="U1195" s="82"/>
      <c r="V1195" s="82" t="s">
        <v>3399</v>
      </c>
      <c r="W1195" s="82" t="s">
        <v>3395</v>
      </c>
      <c r="X1195" s="82" t="s">
        <v>3394</v>
      </c>
      <c r="Y1195" s="82" t="s">
        <v>3393</v>
      </c>
    </row>
    <row r="1196" spans="1:25" ht="10.9" customHeight="1" x14ac:dyDescent="0.2">
      <c r="A1196" s="82" t="s">
        <v>3356</v>
      </c>
      <c r="B1196" s="82" t="s">
        <v>95</v>
      </c>
      <c r="C1196" s="83">
        <v>45975</v>
      </c>
      <c r="D1196" s="83">
        <v>46005</v>
      </c>
      <c r="E1196" s="83">
        <v>46005</v>
      </c>
      <c r="F1196" s="83">
        <v>46001</v>
      </c>
      <c r="G1196" s="83">
        <v>45979</v>
      </c>
      <c r="H1196" s="82" t="s">
        <v>223</v>
      </c>
      <c r="I1196" s="82" t="s">
        <v>22</v>
      </c>
      <c r="J1196" s="84">
        <v>0</v>
      </c>
      <c r="K1196" s="85">
        <v>2147.04</v>
      </c>
      <c r="L1196" s="85">
        <v>2254.39</v>
      </c>
      <c r="M1196" s="85">
        <v>107.35</v>
      </c>
      <c r="N1196" s="85">
        <v>2254.39</v>
      </c>
      <c r="O1196" s="85">
        <v>0</v>
      </c>
      <c r="P1196" s="85">
        <v>2147.04</v>
      </c>
      <c r="Q1196" s="85">
        <v>2254.39</v>
      </c>
      <c r="R1196" s="85">
        <v>107.35</v>
      </c>
      <c r="S1196" s="85">
        <v>2254.39</v>
      </c>
      <c r="T1196" s="85">
        <v>0</v>
      </c>
      <c r="U1196" s="82"/>
      <c r="V1196" s="82" t="s">
        <v>3399</v>
      </c>
      <c r="W1196" s="82" t="s">
        <v>3395</v>
      </c>
      <c r="X1196" s="82" t="s">
        <v>3394</v>
      </c>
      <c r="Y1196" s="82" t="s">
        <v>3393</v>
      </c>
    </row>
    <row r="1197" spans="1:25" ht="10.9" customHeight="1" x14ac:dyDescent="0.2">
      <c r="A1197" s="82" t="s">
        <v>3363</v>
      </c>
      <c r="B1197" s="82" t="s">
        <v>3412</v>
      </c>
      <c r="C1197" s="83">
        <v>45975</v>
      </c>
      <c r="D1197" s="83">
        <v>46020</v>
      </c>
      <c r="E1197" s="83">
        <v>46020</v>
      </c>
      <c r="F1197" s="82"/>
      <c r="G1197" s="83">
        <v>45979</v>
      </c>
      <c r="H1197" s="82" t="s">
        <v>205</v>
      </c>
      <c r="I1197" s="82" t="s">
        <v>22</v>
      </c>
      <c r="J1197" s="84">
        <v>0</v>
      </c>
      <c r="K1197" s="85">
        <v>109.66</v>
      </c>
      <c r="L1197" s="85">
        <v>115.14</v>
      </c>
      <c r="M1197" s="85">
        <v>5.48</v>
      </c>
      <c r="N1197" s="85">
        <v>0</v>
      </c>
      <c r="O1197" s="85">
        <v>115.14</v>
      </c>
      <c r="P1197" s="85">
        <v>109.66</v>
      </c>
      <c r="Q1197" s="85">
        <v>115.14</v>
      </c>
      <c r="R1197" s="85">
        <v>5.48</v>
      </c>
      <c r="S1197" s="85">
        <v>0</v>
      </c>
      <c r="T1197" s="85">
        <v>115.14</v>
      </c>
      <c r="U1197" s="82"/>
      <c r="V1197" s="82" t="s">
        <v>3396</v>
      </c>
      <c r="W1197" s="82" t="s">
        <v>3395</v>
      </c>
      <c r="X1197" s="82" t="s">
        <v>3394</v>
      </c>
      <c r="Y1197" s="82" t="s">
        <v>3393</v>
      </c>
    </row>
    <row r="1198" spans="1:25" ht="10.9" customHeight="1" x14ac:dyDescent="0.2">
      <c r="A1198" s="82" t="s">
        <v>3361</v>
      </c>
      <c r="B1198" s="82" t="s">
        <v>3412</v>
      </c>
      <c r="C1198" s="83">
        <v>45975</v>
      </c>
      <c r="D1198" s="83">
        <v>46020</v>
      </c>
      <c r="E1198" s="83">
        <v>46020</v>
      </c>
      <c r="F1198" s="82"/>
      <c r="G1198" s="83">
        <v>45979</v>
      </c>
      <c r="H1198" s="82" t="s">
        <v>209</v>
      </c>
      <c r="I1198" s="82" t="s">
        <v>22</v>
      </c>
      <c r="J1198" s="84">
        <v>0</v>
      </c>
      <c r="K1198" s="85">
        <v>2867.55</v>
      </c>
      <c r="L1198" s="85">
        <v>3010.94</v>
      </c>
      <c r="M1198" s="85">
        <v>143.38999999999999</v>
      </c>
      <c r="N1198" s="85">
        <v>0</v>
      </c>
      <c r="O1198" s="85">
        <v>3010.94</v>
      </c>
      <c r="P1198" s="85">
        <v>2867.55</v>
      </c>
      <c r="Q1198" s="85">
        <v>3010.94</v>
      </c>
      <c r="R1198" s="85">
        <v>143.38999999999999</v>
      </c>
      <c r="S1198" s="85">
        <v>0</v>
      </c>
      <c r="T1198" s="85">
        <v>3010.94</v>
      </c>
      <c r="U1198" s="82"/>
      <c r="V1198" s="82" t="s">
        <v>3396</v>
      </c>
      <c r="W1198" s="82" t="s">
        <v>3395</v>
      </c>
      <c r="X1198" s="82" t="s">
        <v>3394</v>
      </c>
      <c r="Y1198" s="82" t="s">
        <v>3393</v>
      </c>
    </row>
    <row r="1199" spans="1:25" ht="10.9" customHeight="1" x14ac:dyDescent="0.2">
      <c r="A1199" s="82" t="s">
        <v>3364</v>
      </c>
      <c r="B1199" s="82" t="s">
        <v>3412</v>
      </c>
      <c r="C1199" s="83">
        <v>45975</v>
      </c>
      <c r="D1199" s="83">
        <v>46020</v>
      </c>
      <c r="E1199" s="83">
        <v>46020</v>
      </c>
      <c r="F1199" s="82"/>
      <c r="G1199" s="83">
        <v>45979</v>
      </c>
      <c r="H1199" s="82" t="s">
        <v>203</v>
      </c>
      <c r="I1199" s="82" t="s">
        <v>22</v>
      </c>
      <c r="J1199" s="84">
        <v>0</v>
      </c>
      <c r="K1199" s="85">
        <v>721.12</v>
      </c>
      <c r="L1199" s="85">
        <v>757.18</v>
      </c>
      <c r="M1199" s="85">
        <v>36.06</v>
      </c>
      <c r="N1199" s="85">
        <v>0</v>
      </c>
      <c r="O1199" s="85">
        <v>757.18</v>
      </c>
      <c r="P1199" s="85">
        <v>721.12</v>
      </c>
      <c r="Q1199" s="85">
        <v>757.18</v>
      </c>
      <c r="R1199" s="85">
        <v>36.06</v>
      </c>
      <c r="S1199" s="85">
        <v>0</v>
      </c>
      <c r="T1199" s="85">
        <v>757.18</v>
      </c>
      <c r="U1199" s="82"/>
      <c r="V1199" s="82" t="s">
        <v>3396</v>
      </c>
      <c r="W1199" s="82" t="s">
        <v>3395</v>
      </c>
      <c r="X1199" s="82" t="s">
        <v>3394</v>
      </c>
      <c r="Y1199" s="82" t="s">
        <v>3393</v>
      </c>
    </row>
    <row r="1200" spans="1:25" ht="10.9" customHeight="1" x14ac:dyDescent="0.2">
      <c r="A1200" s="82" t="s">
        <v>3357</v>
      </c>
      <c r="B1200" s="82" t="s">
        <v>64</v>
      </c>
      <c r="C1200" s="83">
        <v>45975</v>
      </c>
      <c r="D1200" s="83">
        <v>46005</v>
      </c>
      <c r="E1200" s="83">
        <v>46005</v>
      </c>
      <c r="F1200" s="83">
        <v>46020</v>
      </c>
      <c r="G1200" s="83">
        <v>45979</v>
      </c>
      <c r="H1200" s="82" t="s">
        <v>221</v>
      </c>
      <c r="I1200" s="82" t="s">
        <v>22</v>
      </c>
      <c r="J1200" s="84">
        <v>0</v>
      </c>
      <c r="K1200" s="85">
        <v>365.39</v>
      </c>
      <c r="L1200" s="85">
        <v>412.89</v>
      </c>
      <c r="M1200" s="85">
        <v>47.5</v>
      </c>
      <c r="N1200" s="85">
        <v>412.89</v>
      </c>
      <c r="O1200" s="85">
        <v>0</v>
      </c>
      <c r="P1200" s="85">
        <v>365.39</v>
      </c>
      <c r="Q1200" s="85">
        <v>412.89</v>
      </c>
      <c r="R1200" s="85">
        <v>47.5</v>
      </c>
      <c r="S1200" s="85">
        <v>412.89</v>
      </c>
      <c r="T1200" s="85">
        <v>0</v>
      </c>
      <c r="U1200" s="82"/>
      <c r="V1200" s="82" t="s">
        <v>3399</v>
      </c>
      <c r="W1200" s="82" t="s">
        <v>3395</v>
      </c>
      <c r="X1200" s="82" t="s">
        <v>3394</v>
      </c>
      <c r="Y1200" s="82" t="s">
        <v>3393</v>
      </c>
    </row>
    <row r="1201" spans="1:25" ht="10.9" customHeight="1" x14ac:dyDescent="0.2">
      <c r="A1201" s="82" t="s">
        <v>3367</v>
      </c>
      <c r="B1201" s="82" t="s">
        <v>192</v>
      </c>
      <c r="C1201" s="83">
        <v>45978</v>
      </c>
      <c r="D1201" s="83">
        <v>46008</v>
      </c>
      <c r="E1201" s="83">
        <v>46008</v>
      </c>
      <c r="F1201" s="82"/>
      <c r="G1201" s="83">
        <v>45978</v>
      </c>
      <c r="H1201" s="82" t="s">
        <v>191</v>
      </c>
      <c r="I1201" s="82" t="s">
        <v>51</v>
      </c>
      <c r="J1201" s="84">
        <v>0.71148599999999995</v>
      </c>
      <c r="K1201" s="85">
        <v>3121.55</v>
      </c>
      <c r="L1201" s="85">
        <v>3121.55</v>
      </c>
      <c r="M1201" s="85">
        <v>0</v>
      </c>
      <c r="N1201" s="85">
        <v>0</v>
      </c>
      <c r="O1201" s="85">
        <v>3121.55</v>
      </c>
      <c r="P1201" s="85">
        <v>4387.366722605926</v>
      </c>
      <c r="Q1201" s="85">
        <v>4387.366722605926</v>
      </c>
      <c r="R1201" s="85">
        <v>0</v>
      </c>
      <c r="S1201" s="85">
        <v>0</v>
      </c>
      <c r="T1201" s="85">
        <v>4284.08</v>
      </c>
      <c r="U1201" s="82" t="s">
        <v>3401</v>
      </c>
      <c r="V1201" s="82" t="s">
        <v>3396</v>
      </c>
      <c r="W1201" s="82" t="s">
        <v>3395</v>
      </c>
      <c r="X1201" s="82" t="s">
        <v>3394</v>
      </c>
      <c r="Y1201" s="82" t="s">
        <v>3393</v>
      </c>
    </row>
    <row r="1202" spans="1:25" ht="10.9" customHeight="1" x14ac:dyDescent="0.2">
      <c r="A1202" s="82" t="s">
        <v>3325</v>
      </c>
      <c r="B1202" s="82" t="s">
        <v>159</v>
      </c>
      <c r="C1202" s="83">
        <v>45978</v>
      </c>
      <c r="D1202" s="83">
        <v>46023</v>
      </c>
      <c r="E1202" s="83">
        <v>46023</v>
      </c>
      <c r="F1202" s="83">
        <v>46024</v>
      </c>
      <c r="G1202" s="83">
        <v>45978</v>
      </c>
      <c r="H1202" s="82" t="s">
        <v>310</v>
      </c>
      <c r="I1202" s="82" t="s">
        <v>51</v>
      </c>
      <c r="J1202" s="84">
        <v>0.71148599999999995</v>
      </c>
      <c r="K1202" s="85">
        <v>17778.89</v>
      </c>
      <c r="L1202" s="85">
        <v>17778.89</v>
      </c>
      <c r="M1202" s="85">
        <v>0</v>
      </c>
      <c r="N1202" s="85">
        <v>0</v>
      </c>
      <c r="O1202" s="85">
        <v>17778.89</v>
      </c>
      <c r="P1202" s="85">
        <v>24988.390495385713</v>
      </c>
      <c r="Q1202" s="85">
        <v>24988.390495385713</v>
      </c>
      <c r="R1202" s="85">
        <v>0</v>
      </c>
      <c r="S1202" s="85">
        <v>0</v>
      </c>
      <c r="T1202" s="85">
        <v>24400.1</v>
      </c>
      <c r="U1202" s="82" t="s">
        <v>3401</v>
      </c>
      <c r="V1202" s="82" t="s">
        <v>3399</v>
      </c>
      <c r="W1202" s="82" t="s">
        <v>3395</v>
      </c>
      <c r="X1202" s="82" t="s">
        <v>3394</v>
      </c>
      <c r="Y1202" s="82" t="s">
        <v>3393</v>
      </c>
    </row>
    <row r="1203" spans="1:25" ht="10.9" customHeight="1" x14ac:dyDescent="0.2">
      <c r="A1203" s="82" t="s">
        <v>3131</v>
      </c>
      <c r="B1203" s="82" t="s">
        <v>159</v>
      </c>
      <c r="C1203" s="83">
        <v>45978</v>
      </c>
      <c r="D1203" s="83">
        <v>46023</v>
      </c>
      <c r="E1203" s="83">
        <v>46023</v>
      </c>
      <c r="F1203" s="83">
        <v>46024</v>
      </c>
      <c r="G1203" s="83">
        <v>45978</v>
      </c>
      <c r="H1203" s="82" t="s">
        <v>750</v>
      </c>
      <c r="I1203" s="82" t="s">
        <v>51</v>
      </c>
      <c r="J1203" s="84">
        <v>0.71148599999999995</v>
      </c>
      <c r="K1203" s="85">
        <v>1405.28</v>
      </c>
      <c r="L1203" s="85">
        <v>1405.28</v>
      </c>
      <c r="M1203" s="85">
        <v>0</v>
      </c>
      <c r="N1203" s="85">
        <v>0</v>
      </c>
      <c r="O1203" s="85">
        <v>1405.28</v>
      </c>
      <c r="P1203" s="85">
        <v>1975.1337341845096</v>
      </c>
      <c r="Q1203" s="85">
        <v>1975.1337341845096</v>
      </c>
      <c r="R1203" s="85">
        <v>0</v>
      </c>
      <c r="S1203" s="85">
        <v>0</v>
      </c>
      <c r="T1203" s="85">
        <v>1928.63</v>
      </c>
      <c r="U1203" s="82" t="s">
        <v>3401</v>
      </c>
      <c r="V1203" s="82" t="s">
        <v>3399</v>
      </c>
      <c r="W1203" s="82" t="s">
        <v>3395</v>
      </c>
      <c r="X1203" s="82" t="s">
        <v>3394</v>
      </c>
      <c r="Y1203" s="82" t="s">
        <v>3393</v>
      </c>
    </row>
    <row r="1204" spans="1:25" ht="10.9" customHeight="1" x14ac:dyDescent="0.2">
      <c r="A1204" s="82" t="s">
        <v>2829</v>
      </c>
      <c r="B1204" s="82" t="s">
        <v>159</v>
      </c>
      <c r="C1204" s="83">
        <v>45978</v>
      </c>
      <c r="D1204" s="83">
        <v>46023</v>
      </c>
      <c r="E1204" s="83">
        <v>46023</v>
      </c>
      <c r="F1204" s="83">
        <v>45995</v>
      </c>
      <c r="G1204" s="83">
        <v>45978</v>
      </c>
      <c r="H1204" s="82" t="s">
        <v>1290</v>
      </c>
      <c r="I1204" s="82" t="s">
        <v>51</v>
      </c>
      <c r="J1204" s="84">
        <v>0.71148599999999995</v>
      </c>
      <c r="K1204" s="85">
        <v>66770.66</v>
      </c>
      <c r="L1204" s="85">
        <v>66770.66</v>
      </c>
      <c r="M1204" s="85">
        <v>0</v>
      </c>
      <c r="N1204" s="85">
        <v>66770.66</v>
      </c>
      <c r="O1204" s="85">
        <v>0</v>
      </c>
      <c r="P1204" s="85">
        <v>93846.76578316369</v>
      </c>
      <c r="Q1204" s="85">
        <v>93846.76578316369</v>
      </c>
      <c r="R1204" s="85">
        <v>0</v>
      </c>
      <c r="S1204" s="85">
        <v>93195.107600000003</v>
      </c>
      <c r="T1204" s="85">
        <v>0</v>
      </c>
      <c r="U1204" s="82"/>
      <c r="V1204" s="82" t="s">
        <v>3399</v>
      </c>
      <c r="W1204" s="82" t="s">
        <v>3395</v>
      </c>
      <c r="X1204" s="82" t="s">
        <v>3394</v>
      </c>
      <c r="Y1204" s="82" t="s">
        <v>3393</v>
      </c>
    </row>
    <row r="1205" spans="1:25" ht="10.9" customHeight="1" x14ac:dyDescent="0.2">
      <c r="A1205" s="82" t="s">
        <v>3370</v>
      </c>
      <c r="B1205" s="82" t="s">
        <v>159</v>
      </c>
      <c r="C1205" s="83">
        <v>45978</v>
      </c>
      <c r="D1205" s="83">
        <v>46023</v>
      </c>
      <c r="E1205" s="83">
        <v>46023</v>
      </c>
      <c r="F1205" s="82"/>
      <c r="G1205" s="83">
        <v>45978</v>
      </c>
      <c r="H1205" s="82" t="s">
        <v>185</v>
      </c>
      <c r="I1205" s="82" t="s">
        <v>51</v>
      </c>
      <c r="J1205" s="84">
        <v>0.71148599999999995</v>
      </c>
      <c r="K1205" s="85">
        <v>20955.54</v>
      </c>
      <c r="L1205" s="85">
        <v>20955.54</v>
      </c>
      <c r="M1205" s="85">
        <v>0</v>
      </c>
      <c r="N1205" s="85">
        <v>0</v>
      </c>
      <c r="O1205" s="85">
        <v>20955.54</v>
      </c>
      <c r="P1205" s="85">
        <v>29453.200765721322</v>
      </c>
      <c r="Q1205" s="85">
        <v>29453.200765721322</v>
      </c>
      <c r="R1205" s="85">
        <v>0</v>
      </c>
      <c r="S1205" s="85">
        <v>0</v>
      </c>
      <c r="T1205" s="85">
        <v>28759.8</v>
      </c>
      <c r="U1205" s="82" t="s">
        <v>3401</v>
      </c>
      <c r="V1205" s="82" t="s">
        <v>3396</v>
      </c>
      <c r="W1205" s="82" t="s">
        <v>3395</v>
      </c>
      <c r="X1205" s="82" t="s">
        <v>3394</v>
      </c>
      <c r="Y1205" s="82" t="s">
        <v>3393</v>
      </c>
    </row>
    <row r="1206" spans="1:25" ht="10.9" customHeight="1" x14ac:dyDescent="0.2">
      <c r="A1206" s="82" t="s">
        <v>3362</v>
      </c>
      <c r="B1206" s="82" t="s">
        <v>3412</v>
      </c>
      <c r="C1206" s="83">
        <v>45978</v>
      </c>
      <c r="D1206" s="83">
        <v>46023</v>
      </c>
      <c r="E1206" s="83">
        <v>46023</v>
      </c>
      <c r="F1206" s="83">
        <v>46022</v>
      </c>
      <c r="G1206" s="83">
        <v>45979</v>
      </c>
      <c r="H1206" s="82" t="s">
        <v>207</v>
      </c>
      <c r="I1206" s="82" t="s">
        <v>22</v>
      </c>
      <c r="J1206" s="84">
        <v>0</v>
      </c>
      <c r="K1206" s="85">
        <v>730.68</v>
      </c>
      <c r="L1206" s="85">
        <v>767.21</v>
      </c>
      <c r="M1206" s="85">
        <v>36.53</v>
      </c>
      <c r="N1206" s="85">
        <v>767.21</v>
      </c>
      <c r="O1206" s="85">
        <v>0</v>
      </c>
      <c r="P1206" s="85">
        <v>730.68</v>
      </c>
      <c r="Q1206" s="85">
        <v>767.21</v>
      </c>
      <c r="R1206" s="85">
        <v>36.53</v>
      </c>
      <c r="S1206" s="85">
        <v>767.21</v>
      </c>
      <c r="T1206" s="85">
        <v>0</v>
      </c>
      <c r="U1206" s="82"/>
      <c r="V1206" s="82" t="s">
        <v>3399</v>
      </c>
      <c r="W1206" s="82" t="s">
        <v>3395</v>
      </c>
      <c r="X1206" s="82" t="s">
        <v>3394</v>
      </c>
      <c r="Y1206" s="82" t="s">
        <v>3393</v>
      </c>
    </row>
    <row r="1207" spans="1:25" ht="10.9" customHeight="1" x14ac:dyDescent="0.2">
      <c r="A1207" s="82" t="s">
        <v>3345</v>
      </c>
      <c r="B1207" s="82" t="s">
        <v>159</v>
      </c>
      <c r="C1207" s="83">
        <v>45979</v>
      </c>
      <c r="D1207" s="83">
        <v>46024</v>
      </c>
      <c r="E1207" s="83">
        <v>46024</v>
      </c>
      <c r="F1207" s="83">
        <v>46010</v>
      </c>
      <c r="G1207" s="83">
        <v>45979</v>
      </c>
      <c r="H1207" s="82" t="s">
        <v>258</v>
      </c>
      <c r="I1207" s="82" t="s">
        <v>51</v>
      </c>
      <c r="J1207" s="84">
        <v>0.71430099999999996</v>
      </c>
      <c r="K1207" s="85">
        <v>5361.72</v>
      </c>
      <c r="L1207" s="85">
        <v>5361.72</v>
      </c>
      <c r="M1207" s="85">
        <v>0</v>
      </c>
      <c r="N1207" s="85">
        <v>5361.72</v>
      </c>
      <c r="O1207" s="85">
        <v>0</v>
      </c>
      <c r="P1207" s="85">
        <v>7506.2473663063611</v>
      </c>
      <c r="Q1207" s="85">
        <v>7506.2473663063611</v>
      </c>
      <c r="R1207" s="85">
        <v>0</v>
      </c>
      <c r="S1207" s="85">
        <v>7396.9757</v>
      </c>
      <c r="T1207" s="85">
        <v>0</v>
      </c>
      <c r="U1207" s="82"/>
      <c r="V1207" s="82" t="s">
        <v>3399</v>
      </c>
      <c r="W1207" s="82" t="s">
        <v>3395</v>
      </c>
      <c r="X1207" s="82" t="s">
        <v>3394</v>
      </c>
      <c r="Y1207" s="82" t="s">
        <v>3393</v>
      </c>
    </row>
    <row r="1208" spans="1:25" ht="10.9" customHeight="1" x14ac:dyDescent="0.2">
      <c r="A1208" s="82" t="s">
        <v>3368</v>
      </c>
      <c r="B1208" s="82" t="s">
        <v>20</v>
      </c>
      <c r="C1208" s="83">
        <v>45979</v>
      </c>
      <c r="D1208" s="83">
        <v>46039</v>
      </c>
      <c r="E1208" s="83">
        <v>46039</v>
      </c>
      <c r="F1208" s="82"/>
      <c r="G1208" s="83">
        <v>45979</v>
      </c>
      <c r="H1208" s="82" t="s">
        <v>189</v>
      </c>
      <c r="I1208" s="82" t="s">
        <v>22</v>
      </c>
      <c r="J1208" s="84">
        <v>0</v>
      </c>
      <c r="K1208" s="85">
        <v>295.44</v>
      </c>
      <c r="L1208" s="85">
        <v>310.20999999999998</v>
      </c>
      <c r="M1208" s="85">
        <v>14.77</v>
      </c>
      <c r="N1208" s="85">
        <v>0</v>
      </c>
      <c r="O1208" s="85">
        <v>310.20999999999998</v>
      </c>
      <c r="P1208" s="85">
        <v>295.44</v>
      </c>
      <c r="Q1208" s="85">
        <v>310.20999999999998</v>
      </c>
      <c r="R1208" s="85">
        <v>14.77</v>
      </c>
      <c r="S1208" s="85">
        <v>0</v>
      </c>
      <c r="T1208" s="85">
        <v>310.20999999999998</v>
      </c>
      <c r="U1208" s="82"/>
      <c r="V1208" s="82" t="s">
        <v>3396</v>
      </c>
      <c r="W1208" s="82" t="s">
        <v>3395</v>
      </c>
      <c r="X1208" s="82" t="s">
        <v>3394</v>
      </c>
      <c r="Y1208" s="82" t="s">
        <v>3393</v>
      </c>
    </row>
    <row r="1209" spans="1:25" ht="10.9" customHeight="1" x14ac:dyDescent="0.2">
      <c r="A1209" s="82" t="s">
        <v>3289</v>
      </c>
      <c r="B1209" s="82" t="s">
        <v>20</v>
      </c>
      <c r="C1209" s="83">
        <v>45979</v>
      </c>
      <c r="D1209" s="83">
        <v>46039</v>
      </c>
      <c r="E1209" s="83">
        <v>46039</v>
      </c>
      <c r="F1209" s="82"/>
      <c r="G1209" s="83">
        <v>45979</v>
      </c>
      <c r="H1209" s="82" t="s">
        <v>395</v>
      </c>
      <c r="I1209" s="82" t="s">
        <v>22</v>
      </c>
      <c r="J1209" s="84">
        <v>0</v>
      </c>
      <c r="K1209" s="85">
        <v>1997.96</v>
      </c>
      <c r="L1209" s="85">
        <v>2097.86</v>
      </c>
      <c r="M1209" s="85">
        <v>99.9</v>
      </c>
      <c r="N1209" s="85">
        <v>0</v>
      </c>
      <c r="O1209" s="85">
        <v>2097.86</v>
      </c>
      <c r="P1209" s="85">
        <v>1997.96</v>
      </c>
      <c r="Q1209" s="85">
        <v>2097.86</v>
      </c>
      <c r="R1209" s="85">
        <v>99.9</v>
      </c>
      <c r="S1209" s="85">
        <v>0</v>
      </c>
      <c r="T1209" s="85">
        <v>2097.86</v>
      </c>
      <c r="U1209" s="82"/>
      <c r="V1209" s="82" t="s">
        <v>3396</v>
      </c>
      <c r="W1209" s="82" t="s">
        <v>3395</v>
      </c>
      <c r="X1209" s="82" t="s">
        <v>3394</v>
      </c>
      <c r="Y1209" s="82" t="s">
        <v>3393</v>
      </c>
    </row>
    <row r="1210" spans="1:25" ht="10.9" customHeight="1" x14ac:dyDescent="0.2">
      <c r="A1210" s="82" t="s">
        <v>3369</v>
      </c>
      <c r="B1210" s="82" t="s">
        <v>26</v>
      </c>
      <c r="C1210" s="83">
        <v>45979</v>
      </c>
      <c r="D1210" s="83">
        <v>46039</v>
      </c>
      <c r="E1210" s="83">
        <v>46039</v>
      </c>
      <c r="F1210" s="82"/>
      <c r="G1210" s="83">
        <v>45979</v>
      </c>
      <c r="H1210" s="82" t="s">
        <v>187</v>
      </c>
      <c r="I1210" s="82" t="s">
        <v>22</v>
      </c>
      <c r="J1210" s="84">
        <v>0</v>
      </c>
      <c r="K1210" s="85">
        <v>348.15</v>
      </c>
      <c r="L1210" s="85">
        <v>365.56</v>
      </c>
      <c r="M1210" s="85">
        <v>17.41</v>
      </c>
      <c r="N1210" s="85">
        <v>0</v>
      </c>
      <c r="O1210" s="85">
        <v>365.56</v>
      </c>
      <c r="P1210" s="85">
        <v>348.15</v>
      </c>
      <c r="Q1210" s="85">
        <v>365.56</v>
      </c>
      <c r="R1210" s="85">
        <v>17.41</v>
      </c>
      <c r="S1210" s="85">
        <v>0</v>
      </c>
      <c r="T1210" s="85">
        <v>365.56</v>
      </c>
      <c r="U1210" s="82"/>
      <c r="V1210" s="82" t="s">
        <v>3396</v>
      </c>
      <c r="W1210" s="82" t="s">
        <v>3395</v>
      </c>
      <c r="X1210" s="82" t="s">
        <v>3394</v>
      </c>
      <c r="Y1210" s="82" t="s">
        <v>3393</v>
      </c>
    </row>
    <row r="1211" spans="1:25" ht="10.9" customHeight="1" x14ac:dyDescent="0.2">
      <c r="A1211" s="82" t="s">
        <v>3371</v>
      </c>
      <c r="B1211" s="82" t="s">
        <v>26</v>
      </c>
      <c r="C1211" s="83">
        <v>45979</v>
      </c>
      <c r="D1211" s="83">
        <v>46039</v>
      </c>
      <c r="E1211" s="83">
        <v>46039</v>
      </c>
      <c r="F1211" s="82"/>
      <c r="G1211" s="83">
        <v>45979</v>
      </c>
      <c r="H1211" s="82" t="s">
        <v>173</v>
      </c>
      <c r="I1211" s="82" t="s">
        <v>22</v>
      </c>
      <c r="J1211" s="84">
        <v>0</v>
      </c>
      <c r="K1211" s="85">
        <v>373.11</v>
      </c>
      <c r="L1211" s="85">
        <v>391.77</v>
      </c>
      <c r="M1211" s="85">
        <v>18.66</v>
      </c>
      <c r="N1211" s="85">
        <v>0</v>
      </c>
      <c r="O1211" s="85">
        <v>391.77</v>
      </c>
      <c r="P1211" s="85">
        <v>373.11</v>
      </c>
      <c r="Q1211" s="85">
        <v>391.77</v>
      </c>
      <c r="R1211" s="85">
        <v>18.66</v>
      </c>
      <c r="S1211" s="85">
        <v>0</v>
      </c>
      <c r="T1211" s="85">
        <v>391.77</v>
      </c>
      <c r="U1211" s="82"/>
      <c r="V1211" s="82" t="s">
        <v>3396</v>
      </c>
      <c r="W1211" s="82" t="s">
        <v>3395</v>
      </c>
      <c r="X1211" s="82" t="s">
        <v>3394</v>
      </c>
      <c r="Y1211" s="82" t="s">
        <v>3393</v>
      </c>
    </row>
    <row r="1212" spans="1:25" ht="10.9" customHeight="1" x14ac:dyDescent="0.2">
      <c r="A1212" s="82" t="s">
        <v>3355</v>
      </c>
      <c r="B1212" s="82" t="s">
        <v>229</v>
      </c>
      <c r="C1212" s="83">
        <v>45979</v>
      </c>
      <c r="D1212" s="83">
        <v>46009</v>
      </c>
      <c r="E1212" s="83">
        <v>46009</v>
      </c>
      <c r="F1212" s="83">
        <v>46024</v>
      </c>
      <c r="G1212" s="83">
        <v>45979</v>
      </c>
      <c r="H1212" s="82" t="s">
        <v>228</v>
      </c>
      <c r="I1212" s="82" t="s">
        <v>22</v>
      </c>
      <c r="J1212" s="84">
        <v>0</v>
      </c>
      <c r="K1212" s="85">
        <v>2952.22</v>
      </c>
      <c r="L1212" s="85">
        <v>3099.83</v>
      </c>
      <c r="M1212" s="85">
        <v>147.61000000000001</v>
      </c>
      <c r="N1212" s="85">
        <v>0</v>
      </c>
      <c r="O1212" s="85">
        <v>3099.83</v>
      </c>
      <c r="P1212" s="85">
        <v>2952.22</v>
      </c>
      <c r="Q1212" s="85">
        <v>3099.83</v>
      </c>
      <c r="R1212" s="85">
        <v>147.61000000000001</v>
      </c>
      <c r="S1212" s="85">
        <v>0</v>
      </c>
      <c r="T1212" s="85">
        <v>3099.83</v>
      </c>
      <c r="U1212" s="82"/>
      <c r="V1212" s="82" t="s">
        <v>3399</v>
      </c>
      <c r="W1212" s="82" t="s">
        <v>3395</v>
      </c>
      <c r="X1212" s="82" t="s">
        <v>3394</v>
      </c>
      <c r="Y1212" s="82" t="s">
        <v>3393</v>
      </c>
    </row>
    <row r="1213" spans="1:25" ht="10.9" customHeight="1" x14ac:dyDescent="0.2">
      <c r="A1213" s="82" t="s">
        <v>3417</v>
      </c>
      <c r="B1213" s="82" t="s">
        <v>154</v>
      </c>
      <c r="C1213" s="83">
        <v>45980</v>
      </c>
      <c r="D1213" s="83">
        <v>46010</v>
      </c>
      <c r="E1213" s="83">
        <v>46010</v>
      </c>
      <c r="F1213" s="83">
        <v>45980</v>
      </c>
      <c r="G1213" s="83">
        <v>45981</v>
      </c>
      <c r="H1213" s="82" t="s">
        <v>152</v>
      </c>
      <c r="I1213" s="82" t="s">
        <v>22</v>
      </c>
      <c r="J1213" s="84">
        <v>0</v>
      </c>
      <c r="K1213" s="85">
        <v>34034.85</v>
      </c>
      <c r="L1213" s="85">
        <v>34034.85</v>
      </c>
      <c r="M1213" s="85">
        <v>0</v>
      </c>
      <c r="N1213" s="85">
        <v>34034.85</v>
      </c>
      <c r="O1213" s="85">
        <v>0</v>
      </c>
      <c r="P1213" s="85">
        <v>34034.85</v>
      </c>
      <c r="Q1213" s="85">
        <v>34034.85</v>
      </c>
      <c r="R1213" s="85">
        <v>0</v>
      </c>
      <c r="S1213" s="85">
        <v>34034.85</v>
      </c>
      <c r="T1213" s="85">
        <v>0</v>
      </c>
      <c r="U1213" s="82"/>
      <c r="V1213" s="82" t="s">
        <v>3399</v>
      </c>
      <c r="W1213" s="82" t="s">
        <v>3395</v>
      </c>
      <c r="X1213" s="82" t="s">
        <v>3397</v>
      </c>
      <c r="Y1213" s="82" t="s">
        <v>3393</v>
      </c>
    </row>
    <row r="1214" spans="1:25" ht="10.9" customHeight="1" x14ac:dyDescent="0.2">
      <c r="A1214" s="82" t="s">
        <v>3418</v>
      </c>
      <c r="B1214" s="82" t="s">
        <v>154</v>
      </c>
      <c r="C1214" s="83">
        <v>45980</v>
      </c>
      <c r="D1214" s="83">
        <v>46010</v>
      </c>
      <c r="E1214" s="83">
        <v>46010</v>
      </c>
      <c r="F1214" s="83">
        <v>45980</v>
      </c>
      <c r="G1214" s="83">
        <v>45981</v>
      </c>
      <c r="H1214" s="82" t="s">
        <v>160</v>
      </c>
      <c r="I1214" s="82" t="s">
        <v>22</v>
      </c>
      <c r="J1214" s="84">
        <v>0</v>
      </c>
      <c r="K1214" s="85">
        <v>6453.87</v>
      </c>
      <c r="L1214" s="85">
        <v>6453.87</v>
      </c>
      <c r="M1214" s="85">
        <v>0</v>
      </c>
      <c r="N1214" s="85">
        <v>6453.87</v>
      </c>
      <c r="O1214" s="85">
        <v>0</v>
      </c>
      <c r="P1214" s="85">
        <v>6453.87</v>
      </c>
      <c r="Q1214" s="85">
        <v>6453.87</v>
      </c>
      <c r="R1214" s="85">
        <v>0</v>
      </c>
      <c r="S1214" s="85">
        <v>6453.87</v>
      </c>
      <c r="T1214" s="85">
        <v>0</v>
      </c>
      <c r="U1214" s="82"/>
      <c r="V1214" s="82" t="s">
        <v>3399</v>
      </c>
      <c r="W1214" s="82" t="s">
        <v>3395</v>
      </c>
      <c r="X1214" s="82" t="s">
        <v>3397</v>
      </c>
      <c r="Y1214" s="82" t="s">
        <v>3393</v>
      </c>
    </row>
    <row r="1215" spans="1:25" ht="10.9" customHeight="1" x14ac:dyDescent="0.2">
      <c r="A1215" s="82" t="s">
        <v>3085</v>
      </c>
      <c r="B1215" s="82" t="s">
        <v>495</v>
      </c>
      <c r="C1215" s="83">
        <v>45981</v>
      </c>
      <c r="D1215" s="83">
        <v>46041</v>
      </c>
      <c r="E1215" s="83">
        <v>46041</v>
      </c>
      <c r="F1215" s="82"/>
      <c r="G1215" s="83">
        <v>45981</v>
      </c>
      <c r="H1215" s="82" t="s">
        <v>840</v>
      </c>
      <c r="I1215" s="82" t="s">
        <v>51</v>
      </c>
      <c r="J1215" s="84">
        <v>0.70911400000000002</v>
      </c>
      <c r="K1215" s="85">
        <v>13217.27</v>
      </c>
      <c r="L1215" s="85">
        <v>13217.27</v>
      </c>
      <c r="M1215" s="85">
        <v>0</v>
      </c>
      <c r="N1215" s="85">
        <v>0</v>
      </c>
      <c r="O1215" s="85">
        <v>13217.27</v>
      </c>
      <c r="P1215" s="85">
        <v>18639.132776958289</v>
      </c>
      <c r="Q1215" s="85">
        <v>18639.132776958289</v>
      </c>
      <c r="R1215" s="85">
        <v>0</v>
      </c>
      <c r="S1215" s="85">
        <v>0</v>
      </c>
      <c r="T1215" s="85">
        <v>18139.64</v>
      </c>
      <c r="U1215" s="82" t="s">
        <v>3401</v>
      </c>
      <c r="V1215" s="82" t="s">
        <v>3396</v>
      </c>
      <c r="W1215" s="82" t="s">
        <v>3395</v>
      </c>
      <c r="X1215" s="82" t="s">
        <v>3394</v>
      </c>
      <c r="Y1215" s="82" t="s">
        <v>3393</v>
      </c>
    </row>
    <row r="1216" spans="1:25" ht="10.9" customHeight="1" x14ac:dyDescent="0.2">
      <c r="A1216" s="82" t="s">
        <v>3253</v>
      </c>
      <c r="B1216" s="82" t="s">
        <v>495</v>
      </c>
      <c r="C1216" s="83">
        <v>45981</v>
      </c>
      <c r="D1216" s="83">
        <v>46041</v>
      </c>
      <c r="E1216" s="83">
        <v>46041</v>
      </c>
      <c r="F1216" s="82"/>
      <c r="G1216" s="83">
        <v>45981</v>
      </c>
      <c r="H1216" s="82" t="s">
        <v>494</v>
      </c>
      <c r="I1216" s="82" t="s">
        <v>51</v>
      </c>
      <c r="J1216" s="84">
        <v>0.70911400000000002</v>
      </c>
      <c r="K1216" s="85">
        <v>24284.38</v>
      </c>
      <c r="L1216" s="85">
        <v>24284.38</v>
      </c>
      <c r="M1216" s="85">
        <v>0</v>
      </c>
      <c r="N1216" s="85">
        <v>0</v>
      </c>
      <c r="O1216" s="85">
        <v>24284.38</v>
      </c>
      <c r="P1216" s="85">
        <v>34246.087371000998</v>
      </c>
      <c r="Q1216" s="85">
        <v>34246.087371000998</v>
      </c>
      <c r="R1216" s="85">
        <v>0</v>
      </c>
      <c r="S1216" s="85">
        <v>0</v>
      </c>
      <c r="T1216" s="85">
        <v>33328.370000000003</v>
      </c>
      <c r="U1216" s="82" t="s">
        <v>3401</v>
      </c>
      <c r="V1216" s="82" t="s">
        <v>3396</v>
      </c>
      <c r="W1216" s="82" t="s">
        <v>3395</v>
      </c>
      <c r="X1216" s="82" t="s">
        <v>3394</v>
      </c>
      <c r="Y1216" s="82" t="s">
        <v>3393</v>
      </c>
    </row>
    <row r="1217" spans="1:25" ht="10.9" customHeight="1" x14ac:dyDescent="0.2">
      <c r="A1217" s="82" t="s">
        <v>3154</v>
      </c>
      <c r="B1217" s="82" t="s">
        <v>61</v>
      </c>
      <c r="C1217" s="83">
        <v>45981</v>
      </c>
      <c r="D1217" s="83">
        <v>46011</v>
      </c>
      <c r="E1217" s="83">
        <v>46011</v>
      </c>
      <c r="F1217" s="82"/>
      <c r="G1217" s="83">
        <v>45981</v>
      </c>
      <c r="H1217" s="82" t="s">
        <v>702</v>
      </c>
      <c r="I1217" s="82" t="s">
        <v>51</v>
      </c>
      <c r="J1217" s="84">
        <v>0.70911400000000002</v>
      </c>
      <c r="K1217" s="85">
        <v>1223</v>
      </c>
      <c r="L1217" s="85">
        <v>1223</v>
      </c>
      <c r="M1217" s="85">
        <v>0</v>
      </c>
      <c r="N1217" s="85">
        <v>0</v>
      </c>
      <c r="O1217" s="85">
        <v>1223</v>
      </c>
      <c r="P1217" s="85">
        <v>1724.6874268453309</v>
      </c>
      <c r="Q1217" s="85">
        <v>1724.6874268453309</v>
      </c>
      <c r="R1217" s="85">
        <v>0</v>
      </c>
      <c r="S1217" s="85">
        <v>0</v>
      </c>
      <c r="T1217" s="85">
        <v>1678.47</v>
      </c>
      <c r="U1217" s="82" t="s">
        <v>3401</v>
      </c>
      <c r="V1217" s="82" t="s">
        <v>3396</v>
      </c>
      <c r="W1217" s="82" t="s">
        <v>3395</v>
      </c>
      <c r="X1217" s="82" t="s">
        <v>3394</v>
      </c>
      <c r="Y1217" s="82" t="s">
        <v>3393</v>
      </c>
    </row>
    <row r="1218" spans="1:25" ht="10.9" customHeight="1" x14ac:dyDescent="0.2">
      <c r="A1218" s="82" t="s">
        <v>3150</v>
      </c>
      <c r="B1218" s="82" t="s">
        <v>61</v>
      </c>
      <c r="C1218" s="83">
        <v>45981</v>
      </c>
      <c r="D1218" s="83">
        <v>46011</v>
      </c>
      <c r="E1218" s="83">
        <v>46011</v>
      </c>
      <c r="F1218" s="82"/>
      <c r="G1218" s="83">
        <v>45981</v>
      </c>
      <c r="H1218" s="82" t="s">
        <v>3416</v>
      </c>
      <c r="I1218" s="82" t="s">
        <v>51</v>
      </c>
      <c r="J1218" s="84">
        <v>0.70911400000000002</v>
      </c>
      <c r="K1218" s="85">
        <v>1223</v>
      </c>
      <c r="L1218" s="85">
        <v>1223</v>
      </c>
      <c r="M1218" s="85">
        <v>0</v>
      </c>
      <c r="N1218" s="85">
        <v>0</v>
      </c>
      <c r="O1218" s="85">
        <v>1223</v>
      </c>
      <c r="P1218" s="85">
        <v>1724.6874268453309</v>
      </c>
      <c r="Q1218" s="85">
        <v>1724.6874268453309</v>
      </c>
      <c r="R1218" s="85">
        <v>0</v>
      </c>
      <c r="S1218" s="85">
        <v>0</v>
      </c>
      <c r="T1218" s="85">
        <v>1678.47</v>
      </c>
      <c r="U1218" s="82" t="s">
        <v>3401</v>
      </c>
      <c r="V1218" s="82" t="s">
        <v>3396</v>
      </c>
      <c r="W1218" s="82" t="s">
        <v>3395</v>
      </c>
      <c r="X1218" s="82" t="s">
        <v>3394</v>
      </c>
      <c r="Y1218" s="82" t="s">
        <v>3393</v>
      </c>
    </row>
    <row r="1219" spans="1:25" ht="10.9" customHeight="1" x14ac:dyDescent="0.2">
      <c r="A1219" s="82" t="s">
        <v>3324</v>
      </c>
      <c r="B1219" s="82" t="s">
        <v>313</v>
      </c>
      <c r="C1219" s="83">
        <v>45981</v>
      </c>
      <c r="D1219" s="83">
        <v>45981</v>
      </c>
      <c r="E1219" s="83">
        <v>45981</v>
      </c>
      <c r="F1219" s="82"/>
      <c r="G1219" s="83">
        <v>45981</v>
      </c>
      <c r="H1219" s="82" t="s">
        <v>312</v>
      </c>
      <c r="I1219" s="82" t="s">
        <v>51</v>
      </c>
      <c r="J1219" s="84">
        <v>0.70911400000000002</v>
      </c>
      <c r="K1219" s="85">
        <v>1135</v>
      </c>
      <c r="L1219" s="85">
        <v>1135</v>
      </c>
      <c r="M1219" s="85">
        <v>0</v>
      </c>
      <c r="N1219" s="85">
        <v>0</v>
      </c>
      <c r="O1219" s="85">
        <v>1135</v>
      </c>
      <c r="P1219" s="85">
        <v>1600.5889038997959</v>
      </c>
      <c r="Q1219" s="85">
        <v>1600.5889038997959</v>
      </c>
      <c r="R1219" s="85">
        <v>0</v>
      </c>
      <c r="S1219" s="85">
        <v>0</v>
      </c>
      <c r="T1219" s="85">
        <v>1557.7</v>
      </c>
      <c r="U1219" s="82" t="s">
        <v>3401</v>
      </c>
      <c r="V1219" s="82" t="s">
        <v>3396</v>
      </c>
      <c r="W1219" s="82" t="s">
        <v>3395</v>
      </c>
      <c r="X1219" s="82" t="s">
        <v>3394</v>
      </c>
      <c r="Y1219" s="82" t="s">
        <v>3393</v>
      </c>
    </row>
    <row r="1220" spans="1:25" ht="10.9" customHeight="1" x14ac:dyDescent="0.2">
      <c r="A1220" s="82" t="s">
        <v>3379</v>
      </c>
      <c r="B1220" s="82" t="s">
        <v>109</v>
      </c>
      <c r="C1220" s="83">
        <v>45981</v>
      </c>
      <c r="D1220" s="83">
        <v>46011</v>
      </c>
      <c r="E1220" s="83">
        <v>46011</v>
      </c>
      <c r="F1220" s="83">
        <v>46003</v>
      </c>
      <c r="G1220" s="83">
        <v>45981</v>
      </c>
      <c r="H1220" s="82" t="s">
        <v>143</v>
      </c>
      <c r="I1220" s="82" t="s">
        <v>51</v>
      </c>
      <c r="J1220" s="84">
        <v>0.70911400000000002</v>
      </c>
      <c r="K1220" s="85">
        <v>1289.49</v>
      </c>
      <c r="L1220" s="85">
        <v>1289.49</v>
      </c>
      <c r="M1220" s="85">
        <v>0</v>
      </c>
      <c r="N1220" s="85">
        <v>1289.49</v>
      </c>
      <c r="O1220" s="85">
        <v>0</v>
      </c>
      <c r="P1220" s="85">
        <v>1818.4523221936106</v>
      </c>
      <c r="Q1220" s="85">
        <v>1818.4523221936106</v>
      </c>
      <c r="R1220" s="85">
        <v>0</v>
      </c>
      <c r="S1220" s="85">
        <v>1776.2206000000001</v>
      </c>
      <c r="T1220" s="85">
        <v>0</v>
      </c>
      <c r="U1220" s="82"/>
      <c r="V1220" s="82" t="s">
        <v>3399</v>
      </c>
      <c r="W1220" s="82" t="s">
        <v>3395</v>
      </c>
      <c r="X1220" s="82" t="s">
        <v>3394</v>
      </c>
      <c r="Y1220" s="82" t="s">
        <v>3393</v>
      </c>
    </row>
    <row r="1221" spans="1:25" ht="10.9" customHeight="1" x14ac:dyDescent="0.2">
      <c r="A1221" s="82" t="s">
        <v>2980</v>
      </c>
      <c r="B1221" s="82" t="s">
        <v>192</v>
      </c>
      <c r="C1221" s="83">
        <v>45981</v>
      </c>
      <c r="D1221" s="83">
        <v>46011</v>
      </c>
      <c r="E1221" s="83">
        <v>46011</v>
      </c>
      <c r="F1221" s="82"/>
      <c r="G1221" s="83">
        <v>45981</v>
      </c>
      <c r="H1221" s="82" t="s">
        <v>1032</v>
      </c>
      <c r="I1221" s="82" t="s">
        <v>51</v>
      </c>
      <c r="J1221" s="84">
        <v>0.70962199999999998</v>
      </c>
      <c r="K1221" s="85">
        <v>3773.24</v>
      </c>
      <c r="L1221" s="85">
        <v>3773.24</v>
      </c>
      <c r="M1221" s="85">
        <v>0</v>
      </c>
      <c r="N1221" s="85">
        <v>0</v>
      </c>
      <c r="O1221" s="85">
        <v>3773.24</v>
      </c>
      <c r="P1221" s="85">
        <v>5317.2534109709113</v>
      </c>
      <c r="Q1221" s="85">
        <v>5317.2534109709113</v>
      </c>
      <c r="R1221" s="85">
        <v>0</v>
      </c>
      <c r="S1221" s="85">
        <v>0</v>
      </c>
      <c r="T1221" s="85">
        <v>5178.47</v>
      </c>
      <c r="U1221" s="82" t="s">
        <v>3401</v>
      </c>
      <c r="V1221" s="82" t="s">
        <v>3396</v>
      </c>
      <c r="W1221" s="82" t="s">
        <v>3395</v>
      </c>
      <c r="X1221" s="82" t="s">
        <v>3394</v>
      </c>
      <c r="Y1221" s="82" t="s">
        <v>3393</v>
      </c>
    </row>
    <row r="1222" spans="1:25" ht="10.9" customHeight="1" x14ac:dyDescent="0.2">
      <c r="A1222" s="82" t="s">
        <v>3372</v>
      </c>
      <c r="B1222" s="82" t="s">
        <v>171</v>
      </c>
      <c r="C1222" s="83">
        <v>45981</v>
      </c>
      <c r="D1222" s="83">
        <v>46011</v>
      </c>
      <c r="E1222" s="83">
        <v>46011</v>
      </c>
      <c r="F1222" s="83">
        <v>46009</v>
      </c>
      <c r="G1222" s="83">
        <v>45982</v>
      </c>
      <c r="H1222" s="82" t="s">
        <v>170</v>
      </c>
      <c r="I1222" s="82" t="s">
        <v>22</v>
      </c>
      <c r="J1222" s="84">
        <v>0</v>
      </c>
      <c r="K1222" s="85">
        <v>878.94</v>
      </c>
      <c r="L1222" s="85">
        <v>922.89</v>
      </c>
      <c r="M1222" s="85">
        <v>43.95</v>
      </c>
      <c r="N1222" s="85">
        <v>922.89</v>
      </c>
      <c r="O1222" s="85">
        <v>0</v>
      </c>
      <c r="P1222" s="85">
        <v>878.94</v>
      </c>
      <c r="Q1222" s="85">
        <v>922.89</v>
      </c>
      <c r="R1222" s="85">
        <v>43.95</v>
      </c>
      <c r="S1222" s="85">
        <v>922.89</v>
      </c>
      <c r="T1222" s="85">
        <v>0</v>
      </c>
      <c r="U1222" s="82"/>
      <c r="V1222" s="82" t="s">
        <v>3399</v>
      </c>
      <c r="W1222" s="82" t="s">
        <v>3395</v>
      </c>
      <c r="X1222" s="82" t="s">
        <v>3394</v>
      </c>
      <c r="Y1222" s="82" t="s">
        <v>3393</v>
      </c>
    </row>
    <row r="1223" spans="1:25" ht="10.9" customHeight="1" x14ac:dyDescent="0.2">
      <c r="A1223" s="82" t="s">
        <v>3045</v>
      </c>
      <c r="B1223" s="82" t="s">
        <v>109</v>
      </c>
      <c r="C1223" s="83">
        <v>45982</v>
      </c>
      <c r="D1223" s="83">
        <v>46012</v>
      </c>
      <c r="E1223" s="83">
        <v>46012</v>
      </c>
      <c r="F1223" s="83">
        <v>46003</v>
      </c>
      <c r="G1223" s="83">
        <v>45982</v>
      </c>
      <c r="H1223" s="82" t="s">
        <v>923</v>
      </c>
      <c r="I1223" s="82" t="s">
        <v>51</v>
      </c>
      <c r="J1223" s="84">
        <v>0.70941600000000005</v>
      </c>
      <c r="K1223" s="85">
        <v>10472.58</v>
      </c>
      <c r="L1223" s="85">
        <v>10472.58</v>
      </c>
      <c r="M1223" s="85">
        <v>0</v>
      </c>
      <c r="N1223" s="85">
        <v>10472.58</v>
      </c>
      <c r="O1223" s="85">
        <v>0</v>
      </c>
      <c r="P1223" s="85">
        <v>14762.255150715519</v>
      </c>
      <c r="Q1223" s="85">
        <v>14762.255150715519</v>
      </c>
      <c r="R1223" s="85">
        <v>0</v>
      </c>
      <c r="S1223" s="85">
        <v>14407.518099999999</v>
      </c>
      <c r="T1223" s="85">
        <v>0</v>
      </c>
      <c r="U1223" s="82"/>
      <c r="V1223" s="82" t="s">
        <v>3399</v>
      </c>
      <c r="W1223" s="82" t="s">
        <v>3395</v>
      </c>
      <c r="X1223" s="82" t="s">
        <v>3394</v>
      </c>
      <c r="Y1223" s="82" t="s">
        <v>3393</v>
      </c>
    </row>
    <row r="1224" spans="1:25" ht="10.9" customHeight="1" x14ac:dyDescent="0.2">
      <c r="A1224" s="82" t="s">
        <v>2979</v>
      </c>
      <c r="B1224" s="82" t="s">
        <v>109</v>
      </c>
      <c r="C1224" s="83">
        <v>45982</v>
      </c>
      <c r="D1224" s="83">
        <v>46012</v>
      </c>
      <c r="E1224" s="83">
        <v>46012</v>
      </c>
      <c r="F1224" s="83">
        <v>46003</v>
      </c>
      <c r="G1224" s="83">
        <v>45982</v>
      </c>
      <c r="H1224" s="82" t="s">
        <v>1034</v>
      </c>
      <c r="I1224" s="82" t="s">
        <v>51</v>
      </c>
      <c r="J1224" s="84">
        <v>0.70941600000000005</v>
      </c>
      <c r="K1224" s="85">
        <v>10028</v>
      </c>
      <c r="L1224" s="85">
        <v>10028</v>
      </c>
      <c r="M1224" s="85">
        <v>0</v>
      </c>
      <c r="N1224" s="85">
        <v>10028</v>
      </c>
      <c r="O1224" s="85">
        <v>0</v>
      </c>
      <c r="P1224" s="85">
        <v>14135.570666576452</v>
      </c>
      <c r="Q1224" s="85">
        <v>14135.570666576452</v>
      </c>
      <c r="R1224" s="85">
        <v>0</v>
      </c>
      <c r="S1224" s="85">
        <v>13795.892900000001</v>
      </c>
      <c r="T1224" s="85">
        <v>0</v>
      </c>
      <c r="U1224" s="82"/>
      <c r="V1224" s="82" t="s">
        <v>3399</v>
      </c>
      <c r="W1224" s="82" t="s">
        <v>3395</v>
      </c>
      <c r="X1224" s="82" t="s">
        <v>3394</v>
      </c>
      <c r="Y1224" s="82" t="s">
        <v>3393</v>
      </c>
    </row>
    <row r="1225" spans="1:25" ht="10.9" customHeight="1" x14ac:dyDescent="0.2">
      <c r="A1225" s="82" t="s">
        <v>3233</v>
      </c>
      <c r="B1225" s="82" t="s">
        <v>129</v>
      </c>
      <c r="C1225" s="83">
        <v>45985</v>
      </c>
      <c r="D1225" s="83">
        <v>46045</v>
      </c>
      <c r="E1225" s="83">
        <v>46045</v>
      </c>
      <c r="F1225" s="82"/>
      <c r="G1225" s="83">
        <v>45985</v>
      </c>
      <c r="H1225" s="82" t="s">
        <v>3415</v>
      </c>
      <c r="I1225" s="82" t="s">
        <v>51</v>
      </c>
      <c r="J1225" s="84">
        <v>0.70855699999999999</v>
      </c>
      <c r="K1225" s="85">
        <v>2990</v>
      </c>
      <c r="L1225" s="85">
        <v>2990</v>
      </c>
      <c r="M1225" s="85">
        <v>0</v>
      </c>
      <c r="N1225" s="85">
        <v>0</v>
      </c>
      <c r="O1225" s="85">
        <v>2990</v>
      </c>
      <c r="P1225" s="85">
        <v>4219.8439927909822</v>
      </c>
      <c r="Q1225" s="85">
        <v>4219.8439927909822</v>
      </c>
      <c r="R1225" s="85">
        <v>0</v>
      </c>
      <c r="S1225" s="85">
        <v>0</v>
      </c>
      <c r="T1225" s="85">
        <v>4103.54</v>
      </c>
      <c r="U1225" s="82" t="s">
        <v>3401</v>
      </c>
      <c r="V1225" s="82" t="s">
        <v>3396</v>
      </c>
      <c r="W1225" s="82" t="s">
        <v>3395</v>
      </c>
      <c r="X1225" s="82" t="s">
        <v>3397</v>
      </c>
      <c r="Y1225" s="82" t="s">
        <v>3393</v>
      </c>
    </row>
    <row r="1226" spans="1:25" ht="10.9" customHeight="1" x14ac:dyDescent="0.2">
      <c r="A1226" s="82" t="s">
        <v>3122</v>
      </c>
      <c r="B1226" s="82" t="s">
        <v>129</v>
      </c>
      <c r="C1226" s="83">
        <v>45985</v>
      </c>
      <c r="D1226" s="83">
        <v>46045</v>
      </c>
      <c r="E1226" s="83">
        <v>46045</v>
      </c>
      <c r="F1226" s="82"/>
      <c r="G1226" s="83">
        <v>45985</v>
      </c>
      <c r="H1226" s="82" t="s">
        <v>3407</v>
      </c>
      <c r="I1226" s="82" t="s">
        <v>51</v>
      </c>
      <c r="J1226" s="84">
        <v>0.70894800000000002</v>
      </c>
      <c r="K1226" s="85">
        <v>30</v>
      </c>
      <c r="L1226" s="85">
        <v>30</v>
      </c>
      <c r="M1226" s="85">
        <v>0</v>
      </c>
      <c r="N1226" s="85">
        <v>0</v>
      </c>
      <c r="O1226" s="85">
        <v>30</v>
      </c>
      <c r="P1226" s="85">
        <v>42.316220653700903</v>
      </c>
      <c r="Q1226" s="85">
        <v>42.316220653700903</v>
      </c>
      <c r="R1226" s="85">
        <v>0</v>
      </c>
      <c r="S1226" s="85">
        <v>0</v>
      </c>
      <c r="T1226" s="85">
        <v>41.17</v>
      </c>
      <c r="U1226" s="82" t="s">
        <v>3401</v>
      </c>
      <c r="V1226" s="82" t="s">
        <v>3396</v>
      </c>
      <c r="W1226" s="82" t="s">
        <v>3395</v>
      </c>
      <c r="X1226" s="82" t="s">
        <v>3394</v>
      </c>
      <c r="Y1226" s="82" t="s">
        <v>3393</v>
      </c>
    </row>
    <row r="1227" spans="1:25" ht="10.9" customHeight="1" x14ac:dyDescent="0.2">
      <c r="A1227" s="82" t="s">
        <v>3366</v>
      </c>
      <c r="B1227" s="82" t="s">
        <v>198</v>
      </c>
      <c r="C1227" s="83">
        <v>45985</v>
      </c>
      <c r="D1227" s="83">
        <v>45985</v>
      </c>
      <c r="E1227" s="83">
        <v>45985</v>
      </c>
      <c r="F1227" s="82"/>
      <c r="G1227" s="83">
        <v>45985</v>
      </c>
      <c r="H1227" s="82" t="s">
        <v>197</v>
      </c>
      <c r="I1227" s="82" t="s">
        <v>51</v>
      </c>
      <c r="J1227" s="84">
        <v>0.70839099999999999</v>
      </c>
      <c r="K1227" s="85">
        <v>364</v>
      </c>
      <c r="L1227" s="85">
        <v>364</v>
      </c>
      <c r="M1227" s="85">
        <v>0</v>
      </c>
      <c r="N1227" s="85">
        <v>0</v>
      </c>
      <c r="O1227" s="85">
        <v>364</v>
      </c>
      <c r="P1227" s="85">
        <v>513.84052027764312</v>
      </c>
      <c r="Q1227" s="85">
        <v>513.84052027764312</v>
      </c>
      <c r="R1227" s="85">
        <v>0</v>
      </c>
      <c r="S1227" s="85">
        <v>0</v>
      </c>
      <c r="T1227" s="85">
        <v>499.56</v>
      </c>
      <c r="U1227" s="82" t="s">
        <v>3401</v>
      </c>
      <c r="V1227" s="82" t="s">
        <v>3396</v>
      </c>
      <c r="W1227" s="82" t="s">
        <v>3395</v>
      </c>
      <c r="X1227" s="82" t="s">
        <v>3394</v>
      </c>
      <c r="Y1227" s="82" t="s">
        <v>3393</v>
      </c>
    </row>
    <row r="1228" spans="1:25" ht="10.9" customHeight="1" x14ac:dyDescent="0.2">
      <c r="A1228" s="82" t="s">
        <v>3405</v>
      </c>
      <c r="B1228" s="82" t="s">
        <v>3404</v>
      </c>
      <c r="C1228" s="83">
        <v>45986</v>
      </c>
      <c r="D1228" s="83">
        <v>46016</v>
      </c>
      <c r="E1228" s="83">
        <v>46016</v>
      </c>
      <c r="F1228" s="82"/>
      <c r="G1228" s="83">
        <v>45986</v>
      </c>
      <c r="H1228" s="82" t="s">
        <v>99</v>
      </c>
      <c r="I1228" s="82" t="s">
        <v>51</v>
      </c>
      <c r="J1228" s="84">
        <v>0.70867199999999997</v>
      </c>
      <c r="K1228" s="85">
        <v>8467</v>
      </c>
      <c r="L1228" s="85">
        <v>8467</v>
      </c>
      <c r="M1228" s="85">
        <v>0</v>
      </c>
      <c r="N1228" s="85">
        <v>0</v>
      </c>
      <c r="O1228" s="85">
        <v>8467</v>
      </c>
      <c r="P1228" s="85">
        <v>11947.699358800686</v>
      </c>
      <c r="Q1228" s="85">
        <v>11947.699358800686</v>
      </c>
      <c r="R1228" s="85">
        <v>0</v>
      </c>
      <c r="S1228" s="85">
        <v>0</v>
      </c>
      <c r="T1228" s="85">
        <v>11620.28</v>
      </c>
      <c r="U1228" s="82" t="s">
        <v>3401</v>
      </c>
      <c r="V1228" s="82" t="s">
        <v>3396</v>
      </c>
      <c r="W1228" s="82" t="s">
        <v>3395</v>
      </c>
      <c r="X1228" s="82" t="s">
        <v>3397</v>
      </c>
      <c r="Y1228" s="82" t="s">
        <v>3393</v>
      </c>
    </row>
    <row r="1229" spans="1:25" ht="10.9" customHeight="1" x14ac:dyDescent="0.2">
      <c r="A1229" s="82" t="s">
        <v>3354</v>
      </c>
      <c r="B1229" s="82" t="s">
        <v>70</v>
      </c>
      <c r="C1229" s="83">
        <v>45986</v>
      </c>
      <c r="D1229" s="83">
        <v>46046</v>
      </c>
      <c r="E1229" s="83">
        <v>46046</v>
      </c>
      <c r="F1229" s="82"/>
      <c r="G1229" s="83">
        <v>45986</v>
      </c>
      <c r="H1229" s="82" t="s">
        <v>234</v>
      </c>
      <c r="I1229" s="82" t="s">
        <v>51</v>
      </c>
      <c r="J1229" s="84">
        <v>0.70832600000000001</v>
      </c>
      <c r="K1229" s="85">
        <v>389.98</v>
      </c>
      <c r="L1229" s="85">
        <v>437.43</v>
      </c>
      <c r="M1229" s="85">
        <v>47.45</v>
      </c>
      <c r="N1229" s="85">
        <v>0</v>
      </c>
      <c r="O1229" s="85">
        <v>437.43</v>
      </c>
      <c r="P1229" s="85">
        <v>550.56569997430552</v>
      </c>
      <c r="Q1229" s="85">
        <v>617.5546288008627</v>
      </c>
      <c r="R1229" s="85">
        <v>66.988928826557199</v>
      </c>
      <c r="S1229" s="85">
        <v>0</v>
      </c>
      <c r="T1229" s="85">
        <v>600.34</v>
      </c>
      <c r="U1229" s="82" t="s">
        <v>3401</v>
      </c>
      <c r="V1229" s="82" t="s">
        <v>3396</v>
      </c>
      <c r="W1229" s="82" t="s">
        <v>3395</v>
      </c>
      <c r="X1229" s="82" t="s">
        <v>3394</v>
      </c>
      <c r="Y1229" s="82" t="s">
        <v>3393</v>
      </c>
    </row>
    <row r="1230" spans="1:25" ht="10.9" customHeight="1" x14ac:dyDescent="0.2">
      <c r="A1230" s="82" t="s">
        <v>3349</v>
      </c>
      <c r="B1230" s="82" t="s">
        <v>70</v>
      </c>
      <c r="C1230" s="83">
        <v>45986</v>
      </c>
      <c r="D1230" s="83">
        <v>46046</v>
      </c>
      <c r="E1230" s="83">
        <v>46046</v>
      </c>
      <c r="F1230" s="82"/>
      <c r="G1230" s="83">
        <v>45986</v>
      </c>
      <c r="H1230" s="82" t="s">
        <v>250</v>
      </c>
      <c r="I1230" s="82" t="s">
        <v>51</v>
      </c>
      <c r="J1230" s="84">
        <v>0.70832600000000001</v>
      </c>
      <c r="K1230" s="85">
        <v>209.45</v>
      </c>
      <c r="L1230" s="85">
        <v>228.23</v>
      </c>
      <c r="M1230" s="85">
        <v>18.78</v>
      </c>
      <c r="N1230" s="85">
        <v>0</v>
      </c>
      <c r="O1230" s="85">
        <v>228.23</v>
      </c>
      <c r="P1230" s="85">
        <v>295.6971789825588</v>
      </c>
      <c r="Q1230" s="85">
        <v>322.21039464879152</v>
      </c>
      <c r="R1230" s="85">
        <v>26.5132156662327</v>
      </c>
      <c r="S1230" s="85">
        <v>0</v>
      </c>
      <c r="T1230" s="85">
        <v>313.23</v>
      </c>
      <c r="U1230" s="82" t="s">
        <v>3401</v>
      </c>
      <c r="V1230" s="82" t="s">
        <v>3396</v>
      </c>
      <c r="W1230" s="82" t="s">
        <v>3395</v>
      </c>
      <c r="X1230" s="82" t="s">
        <v>3394</v>
      </c>
      <c r="Y1230" s="82" t="s">
        <v>3393</v>
      </c>
    </row>
    <row r="1231" spans="1:25" ht="10.9" customHeight="1" x14ac:dyDescent="0.2">
      <c r="A1231" s="82" t="s">
        <v>3166</v>
      </c>
      <c r="B1231" s="82" t="s">
        <v>70</v>
      </c>
      <c r="C1231" s="83">
        <v>45986</v>
      </c>
      <c r="D1231" s="83">
        <v>46046</v>
      </c>
      <c r="E1231" s="83">
        <v>46046</v>
      </c>
      <c r="F1231" s="82"/>
      <c r="G1231" s="83">
        <v>45986</v>
      </c>
      <c r="H1231" s="82" t="s">
        <v>675</v>
      </c>
      <c r="I1231" s="82" t="s">
        <v>51</v>
      </c>
      <c r="J1231" s="84">
        <v>0.70832600000000001</v>
      </c>
      <c r="K1231" s="85">
        <v>5815.64</v>
      </c>
      <c r="L1231" s="85">
        <v>6504.94</v>
      </c>
      <c r="M1231" s="85">
        <v>689.3</v>
      </c>
      <c r="N1231" s="85">
        <v>0</v>
      </c>
      <c r="O1231" s="85">
        <v>6504.94</v>
      </c>
      <c r="P1231" s="85">
        <v>8210.4002959089466</v>
      </c>
      <c r="Q1231" s="85">
        <v>9183.5397825295131</v>
      </c>
      <c r="R1231" s="85">
        <v>973.13948662056725</v>
      </c>
      <c r="S1231" s="85">
        <v>0</v>
      </c>
      <c r="T1231" s="85">
        <v>8927.51</v>
      </c>
      <c r="U1231" s="82" t="s">
        <v>3401</v>
      </c>
      <c r="V1231" s="82" t="s">
        <v>3396</v>
      </c>
      <c r="W1231" s="82" t="s">
        <v>3395</v>
      </c>
      <c r="X1231" s="82" t="s">
        <v>3394</v>
      </c>
      <c r="Y1231" s="82" t="s">
        <v>3393</v>
      </c>
    </row>
    <row r="1232" spans="1:25" ht="10.9" customHeight="1" x14ac:dyDescent="0.2">
      <c r="A1232" s="82" t="s">
        <v>3375</v>
      </c>
      <c r="B1232" s="82" t="s">
        <v>70</v>
      </c>
      <c r="C1232" s="83">
        <v>45986</v>
      </c>
      <c r="D1232" s="83">
        <v>46046</v>
      </c>
      <c r="E1232" s="83">
        <v>46046</v>
      </c>
      <c r="F1232" s="82"/>
      <c r="G1232" s="83">
        <v>45986</v>
      </c>
      <c r="H1232" s="82" t="s">
        <v>3408</v>
      </c>
      <c r="I1232" s="82" t="s">
        <v>51</v>
      </c>
      <c r="J1232" s="84">
        <v>0.70956200000000003</v>
      </c>
      <c r="K1232" s="85">
        <v>0</v>
      </c>
      <c r="L1232" s="85">
        <v>0</v>
      </c>
      <c r="M1232" s="85">
        <v>0</v>
      </c>
      <c r="N1232" s="85">
        <v>0</v>
      </c>
      <c r="O1232" s="85">
        <v>0</v>
      </c>
      <c r="P1232" s="85">
        <v>0</v>
      </c>
      <c r="Q1232" s="85">
        <v>0</v>
      </c>
      <c r="R1232" s="85">
        <v>0</v>
      </c>
      <c r="S1232" s="85">
        <v>0</v>
      </c>
      <c r="T1232" s="85">
        <v>0</v>
      </c>
      <c r="U1232" s="82"/>
      <c r="V1232" s="82" t="s">
        <v>3399</v>
      </c>
      <c r="W1232" s="82" t="s">
        <v>3395</v>
      </c>
      <c r="X1232" s="82" t="s">
        <v>3397</v>
      </c>
      <c r="Y1232" s="82" t="s">
        <v>3393</v>
      </c>
    </row>
    <row r="1233" spans="1:25" ht="10.9" customHeight="1" x14ac:dyDescent="0.2">
      <c r="A1233" s="82" t="s">
        <v>3385</v>
      </c>
      <c r="B1233" s="82" t="s">
        <v>109</v>
      </c>
      <c r="C1233" s="83">
        <v>45986</v>
      </c>
      <c r="D1233" s="83">
        <v>46016</v>
      </c>
      <c r="E1233" s="83">
        <v>46016</v>
      </c>
      <c r="F1233" s="83">
        <v>46003</v>
      </c>
      <c r="G1233" s="83">
        <v>45986</v>
      </c>
      <c r="H1233" s="82" t="s">
        <v>108</v>
      </c>
      <c r="I1233" s="82" t="s">
        <v>51</v>
      </c>
      <c r="J1233" s="84">
        <v>0.70956200000000003</v>
      </c>
      <c r="K1233" s="85">
        <v>6200.6</v>
      </c>
      <c r="L1233" s="85">
        <v>6200.6</v>
      </c>
      <c r="M1233" s="85">
        <v>0</v>
      </c>
      <c r="N1233" s="85">
        <v>6200.6</v>
      </c>
      <c r="O1233" s="85">
        <v>0</v>
      </c>
      <c r="P1233" s="85">
        <v>8738.6303099658653</v>
      </c>
      <c r="Q1233" s="85">
        <v>8738.6303099658653</v>
      </c>
      <c r="R1233" s="85">
        <v>0</v>
      </c>
      <c r="S1233" s="85">
        <v>8530.3961999999992</v>
      </c>
      <c r="T1233" s="85">
        <v>0</v>
      </c>
      <c r="U1233" s="82"/>
      <c r="V1233" s="82" t="s">
        <v>3399</v>
      </c>
      <c r="W1233" s="82" t="s">
        <v>3395</v>
      </c>
      <c r="X1233" s="82" t="s">
        <v>3394</v>
      </c>
      <c r="Y1233" s="82" t="s">
        <v>3393</v>
      </c>
    </row>
    <row r="1234" spans="1:25" ht="10.9" customHeight="1" x14ac:dyDescent="0.2">
      <c r="A1234" s="82" t="s">
        <v>2978</v>
      </c>
      <c r="B1234" s="82" t="s">
        <v>109</v>
      </c>
      <c r="C1234" s="83">
        <v>45986</v>
      </c>
      <c r="D1234" s="83">
        <v>46016</v>
      </c>
      <c r="E1234" s="83">
        <v>46016</v>
      </c>
      <c r="F1234" s="83">
        <v>46003</v>
      </c>
      <c r="G1234" s="83">
        <v>45986</v>
      </c>
      <c r="H1234" s="82" t="s">
        <v>1034</v>
      </c>
      <c r="I1234" s="82" t="s">
        <v>51</v>
      </c>
      <c r="J1234" s="84">
        <v>0.70956200000000003</v>
      </c>
      <c r="K1234" s="85">
        <v>1743.73</v>
      </c>
      <c r="L1234" s="85">
        <v>1743.73</v>
      </c>
      <c r="M1234" s="85">
        <v>0</v>
      </c>
      <c r="N1234" s="85">
        <v>1743.73</v>
      </c>
      <c r="O1234" s="85">
        <v>0</v>
      </c>
      <c r="P1234" s="85">
        <v>2457.4737655060444</v>
      </c>
      <c r="Q1234" s="85">
        <v>2457.4737655060444</v>
      </c>
      <c r="R1234" s="85">
        <v>0</v>
      </c>
      <c r="S1234" s="85">
        <v>2398.9142999999999</v>
      </c>
      <c r="T1234" s="85">
        <v>0</v>
      </c>
      <c r="U1234" s="82"/>
      <c r="V1234" s="82" t="s">
        <v>3399</v>
      </c>
      <c r="W1234" s="82" t="s">
        <v>3395</v>
      </c>
      <c r="X1234" s="82" t="s">
        <v>3394</v>
      </c>
      <c r="Y1234" s="82" t="s">
        <v>3393</v>
      </c>
    </row>
    <row r="1235" spans="1:25" ht="10.9" customHeight="1" x14ac:dyDescent="0.2">
      <c r="A1235" s="82" t="s">
        <v>2969</v>
      </c>
      <c r="B1235" s="82" t="s">
        <v>129</v>
      </c>
      <c r="C1235" s="83">
        <v>45986</v>
      </c>
      <c r="D1235" s="83">
        <v>46046</v>
      </c>
      <c r="E1235" s="83">
        <v>46046</v>
      </c>
      <c r="F1235" s="82"/>
      <c r="G1235" s="83">
        <v>45986</v>
      </c>
      <c r="H1235" s="82" t="s">
        <v>3411</v>
      </c>
      <c r="I1235" s="82" t="s">
        <v>51</v>
      </c>
      <c r="J1235" s="84">
        <v>0.70945599999999998</v>
      </c>
      <c r="K1235" s="85">
        <v>11042</v>
      </c>
      <c r="L1235" s="85">
        <v>11042</v>
      </c>
      <c r="M1235" s="85">
        <v>0</v>
      </c>
      <c r="N1235" s="85">
        <v>0</v>
      </c>
      <c r="O1235" s="85">
        <v>11042</v>
      </c>
      <c r="P1235" s="85">
        <v>15564.037797974786</v>
      </c>
      <c r="Q1235" s="85">
        <v>15564.037797974786</v>
      </c>
      <c r="R1235" s="85">
        <v>0</v>
      </c>
      <c r="S1235" s="85">
        <v>0</v>
      </c>
      <c r="T1235" s="85">
        <v>15154.26</v>
      </c>
      <c r="U1235" s="82" t="s">
        <v>3401</v>
      </c>
      <c r="V1235" s="82" t="s">
        <v>3396</v>
      </c>
      <c r="W1235" s="82" t="s">
        <v>3395</v>
      </c>
      <c r="X1235" s="82" t="s">
        <v>3397</v>
      </c>
      <c r="Y1235" s="82" t="s">
        <v>3393</v>
      </c>
    </row>
    <row r="1236" spans="1:25" ht="10.9" customHeight="1" x14ac:dyDescent="0.2">
      <c r="A1236" s="82" t="s">
        <v>3231</v>
      </c>
      <c r="B1236" s="82" t="s">
        <v>129</v>
      </c>
      <c r="C1236" s="83">
        <v>45986</v>
      </c>
      <c r="D1236" s="83">
        <v>46046</v>
      </c>
      <c r="E1236" s="83">
        <v>46046</v>
      </c>
      <c r="F1236" s="82"/>
      <c r="G1236" s="83">
        <v>45986</v>
      </c>
      <c r="H1236" s="82" t="s">
        <v>3403</v>
      </c>
      <c r="I1236" s="82" t="s">
        <v>51</v>
      </c>
      <c r="J1236" s="84">
        <v>0.70945599999999998</v>
      </c>
      <c r="K1236" s="85">
        <v>350</v>
      </c>
      <c r="L1236" s="85">
        <v>350</v>
      </c>
      <c r="M1236" s="85">
        <v>0</v>
      </c>
      <c r="N1236" s="85">
        <v>0</v>
      </c>
      <c r="O1236" s="85">
        <v>350</v>
      </c>
      <c r="P1236" s="85">
        <v>493.33573893236502</v>
      </c>
      <c r="Q1236" s="85">
        <v>493.33573893236502</v>
      </c>
      <c r="R1236" s="85">
        <v>0</v>
      </c>
      <c r="S1236" s="85">
        <v>0</v>
      </c>
      <c r="T1236" s="85">
        <v>480.35</v>
      </c>
      <c r="U1236" s="82" t="s">
        <v>3401</v>
      </c>
      <c r="V1236" s="82" t="s">
        <v>3396</v>
      </c>
      <c r="W1236" s="82" t="s">
        <v>3395</v>
      </c>
      <c r="X1236" s="82" t="s">
        <v>3397</v>
      </c>
      <c r="Y1236" s="82" t="s">
        <v>3393</v>
      </c>
    </row>
    <row r="1237" spans="1:25" ht="10.9" customHeight="1" x14ac:dyDescent="0.2">
      <c r="A1237" s="82" t="s">
        <v>3193</v>
      </c>
      <c r="B1237" s="82" t="s">
        <v>129</v>
      </c>
      <c r="C1237" s="83">
        <v>45986</v>
      </c>
      <c r="D1237" s="83">
        <v>46046</v>
      </c>
      <c r="E1237" s="83">
        <v>46046</v>
      </c>
      <c r="F1237" s="82"/>
      <c r="G1237" s="83">
        <v>45986</v>
      </c>
      <c r="H1237" s="82" t="s">
        <v>3414</v>
      </c>
      <c r="I1237" s="82" t="s">
        <v>51</v>
      </c>
      <c r="J1237" s="84">
        <v>0.70955199999999996</v>
      </c>
      <c r="K1237" s="85">
        <v>425</v>
      </c>
      <c r="L1237" s="85">
        <v>425</v>
      </c>
      <c r="M1237" s="85">
        <v>0</v>
      </c>
      <c r="N1237" s="85">
        <v>0</v>
      </c>
      <c r="O1237" s="85">
        <v>425</v>
      </c>
      <c r="P1237" s="85">
        <v>598.96949060815825</v>
      </c>
      <c r="Q1237" s="85">
        <v>598.96949060815825</v>
      </c>
      <c r="R1237" s="85">
        <v>0</v>
      </c>
      <c r="S1237" s="85">
        <v>0</v>
      </c>
      <c r="T1237" s="85">
        <v>583.28</v>
      </c>
      <c r="U1237" s="82" t="s">
        <v>3401</v>
      </c>
      <c r="V1237" s="82" t="s">
        <v>3396</v>
      </c>
      <c r="W1237" s="82" t="s">
        <v>3395</v>
      </c>
      <c r="X1237" s="82" t="s">
        <v>3397</v>
      </c>
      <c r="Y1237" s="82" t="s">
        <v>3393</v>
      </c>
    </row>
    <row r="1238" spans="1:25" ht="10.9" customHeight="1" x14ac:dyDescent="0.2">
      <c r="A1238" s="82" t="s">
        <v>3184</v>
      </c>
      <c r="B1238" s="82" t="s">
        <v>129</v>
      </c>
      <c r="C1238" s="83">
        <v>45986</v>
      </c>
      <c r="D1238" s="83">
        <v>46046</v>
      </c>
      <c r="E1238" s="83">
        <v>46046</v>
      </c>
      <c r="F1238" s="82"/>
      <c r="G1238" s="83">
        <v>45986</v>
      </c>
      <c r="H1238" s="82" t="s">
        <v>3406</v>
      </c>
      <c r="I1238" s="82" t="s">
        <v>51</v>
      </c>
      <c r="J1238" s="84">
        <v>0.70955199999999996</v>
      </c>
      <c r="K1238" s="85">
        <v>1920</v>
      </c>
      <c r="L1238" s="85">
        <v>1920</v>
      </c>
      <c r="M1238" s="85">
        <v>0</v>
      </c>
      <c r="N1238" s="85">
        <v>0</v>
      </c>
      <c r="O1238" s="85">
        <v>1920</v>
      </c>
      <c r="P1238" s="85">
        <v>2705.932757570974</v>
      </c>
      <c r="Q1238" s="85">
        <v>2705.932757570974</v>
      </c>
      <c r="R1238" s="85">
        <v>0</v>
      </c>
      <c r="S1238" s="85">
        <v>0</v>
      </c>
      <c r="T1238" s="85">
        <v>2635.05</v>
      </c>
      <c r="U1238" s="82" t="s">
        <v>3401</v>
      </c>
      <c r="V1238" s="82" t="s">
        <v>3396</v>
      </c>
      <c r="W1238" s="82" t="s">
        <v>3395</v>
      </c>
      <c r="X1238" s="82" t="s">
        <v>3397</v>
      </c>
      <c r="Y1238" s="82" t="s">
        <v>3393</v>
      </c>
    </row>
    <row r="1239" spans="1:25" ht="10.9" customHeight="1" x14ac:dyDescent="0.2">
      <c r="A1239" s="82" t="s">
        <v>3123</v>
      </c>
      <c r="B1239" s="82" t="s">
        <v>129</v>
      </c>
      <c r="C1239" s="83">
        <v>45986</v>
      </c>
      <c r="D1239" s="83">
        <v>46046</v>
      </c>
      <c r="E1239" s="83">
        <v>46046</v>
      </c>
      <c r="F1239" s="82"/>
      <c r="G1239" s="83">
        <v>45986</v>
      </c>
      <c r="H1239" s="82" t="s">
        <v>3407</v>
      </c>
      <c r="I1239" s="82" t="s">
        <v>51</v>
      </c>
      <c r="J1239" s="84">
        <v>0.70955199999999996</v>
      </c>
      <c r="K1239" s="85">
        <v>420</v>
      </c>
      <c r="L1239" s="85">
        <v>420</v>
      </c>
      <c r="M1239" s="85">
        <v>0</v>
      </c>
      <c r="N1239" s="85">
        <v>0</v>
      </c>
      <c r="O1239" s="85">
        <v>420</v>
      </c>
      <c r="P1239" s="85">
        <v>591.92279071865062</v>
      </c>
      <c r="Q1239" s="85">
        <v>591.92279071865062</v>
      </c>
      <c r="R1239" s="85">
        <v>0</v>
      </c>
      <c r="S1239" s="85">
        <v>0</v>
      </c>
      <c r="T1239" s="85">
        <v>576.41999999999996</v>
      </c>
      <c r="U1239" s="82" t="s">
        <v>3401</v>
      </c>
      <c r="V1239" s="82" t="s">
        <v>3396</v>
      </c>
      <c r="W1239" s="82" t="s">
        <v>3395</v>
      </c>
      <c r="X1239" s="82" t="s">
        <v>3397</v>
      </c>
      <c r="Y1239" s="82" t="s">
        <v>3393</v>
      </c>
    </row>
    <row r="1240" spans="1:25" ht="10.9" customHeight="1" x14ac:dyDescent="0.2">
      <c r="A1240" s="82" t="s">
        <v>3136</v>
      </c>
      <c r="B1240" s="82" t="s">
        <v>129</v>
      </c>
      <c r="C1240" s="83">
        <v>45986</v>
      </c>
      <c r="D1240" s="83">
        <v>46046</v>
      </c>
      <c r="E1240" s="83">
        <v>46046</v>
      </c>
      <c r="F1240" s="82"/>
      <c r="G1240" s="83">
        <v>45986</v>
      </c>
      <c r="H1240" s="82" t="s">
        <v>3409</v>
      </c>
      <c r="I1240" s="82" t="s">
        <v>51</v>
      </c>
      <c r="J1240" s="84">
        <v>0.70955199999999996</v>
      </c>
      <c r="K1240" s="85">
        <v>8034</v>
      </c>
      <c r="L1240" s="85">
        <v>8034</v>
      </c>
      <c r="M1240" s="85">
        <v>0</v>
      </c>
      <c r="N1240" s="85">
        <v>0</v>
      </c>
      <c r="O1240" s="85">
        <v>8034</v>
      </c>
      <c r="P1240" s="85">
        <v>11322.637382461045</v>
      </c>
      <c r="Q1240" s="85">
        <v>11322.637382461045</v>
      </c>
      <c r="R1240" s="85">
        <v>0</v>
      </c>
      <c r="S1240" s="85">
        <v>0</v>
      </c>
      <c r="T1240" s="85">
        <v>11026.02</v>
      </c>
      <c r="U1240" s="82" t="s">
        <v>3401</v>
      </c>
      <c r="V1240" s="82" t="s">
        <v>3396</v>
      </c>
      <c r="W1240" s="82" t="s">
        <v>3395</v>
      </c>
      <c r="X1240" s="82" t="s">
        <v>3397</v>
      </c>
      <c r="Y1240" s="82" t="s">
        <v>3393</v>
      </c>
    </row>
    <row r="1241" spans="1:25" ht="10.9" customHeight="1" x14ac:dyDescent="0.2">
      <c r="A1241" s="82" t="s">
        <v>3179</v>
      </c>
      <c r="B1241" s="82" t="s">
        <v>129</v>
      </c>
      <c r="C1241" s="83">
        <v>45986</v>
      </c>
      <c r="D1241" s="83">
        <v>46046</v>
      </c>
      <c r="E1241" s="83">
        <v>46046</v>
      </c>
      <c r="F1241" s="82"/>
      <c r="G1241" s="83">
        <v>45986</v>
      </c>
      <c r="H1241" s="82" t="s">
        <v>3413</v>
      </c>
      <c r="I1241" s="82" t="s">
        <v>51</v>
      </c>
      <c r="J1241" s="84">
        <v>0.70955199999999996</v>
      </c>
      <c r="K1241" s="85">
        <v>8034</v>
      </c>
      <c r="L1241" s="85">
        <v>8034</v>
      </c>
      <c r="M1241" s="85">
        <v>0</v>
      </c>
      <c r="N1241" s="85">
        <v>0</v>
      </c>
      <c r="O1241" s="85">
        <v>8034</v>
      </c>
      <c r="P1241" s="85">
        <v>11322.637382461045</v>
      </c>
      <c r="Q1241" s="85">
        <v>11322.637382461045</v>
      </c>
      <c r="R1241" s="85">
        <v>0</v>
      </c>
      <c r="S1241" s="85">
        <v>0</v>
      </c>
      <c r="T1241" s="85">
        <v>11026.02</v>
      </c>
      <c r="U1241" s="82" t="s">
        <v>3401</v>
      </c>
      <c r="V1241" s="82" t="s">
        <v>3396</v>
      </c>
      <c r="W1241" s="82" t="s">
        <v>3395</v>
      </c>
      <c r="X1241" s="82" t="s">
        <v>3397</v>
      </c>
      <c r="Y1241" s="82" t="s">
        <v>3393</v>
      </c>
    </row>
    <row r="1242" spans="1:25" ht="10.9" customHeight="1" x14ac:dyDescent="0.2">
      <c r="A1242" s="82" t="s">
        <v>3365</v>
      </c>
      <c r="B1242" s="82" t="s">
        <v>3410</v>
      </c>
      <c r="C1242" s="83">
        <v>45986</v>
      </c>
      <c r="D1242" s="83">
        <v>46016</v>
      </c>
      <c r="E1242" s="83">
        <v>46016</v>
      </c>
      <c r="F1242" s="83">
        <v>46024</v>
      </c>
      <c r="G1242" s="83">
        <v>45988</v>
      </c>
      <c r="H1242" s="82" t="s">
        <v>200</v>
      </c>
      <c r="I1242" s="82" t="s">
        <v>22</v>
      </c>
      <c r="J1242" s="84">
        <v>0</v>
      </c>
      <c r="K1242" s="85">
        <v>12687.26</v>
      </c>
      <c r="L1242" s="85">
        <v>13321.62</v>
      </c>
      <c r="M1242" s="85">
        <v>634.36</v>
      </c>
      <c r="N1242" s="85">
        <v>0</v>
      </c>
      <c r="O1242" s="85">
        <v>13321.62</v>
      </c>
      <c r="P1242" s="85">
        <v>12687.26</v>
      </c>
      <c r="Q1242" s="85">
        <v>13321.62</v>
      </c>
      <c r="R1242" s="85">
        <v>634.36</v>
      </c>
      <c r="S1242" s="85">
        <v>0</v>
      </c>
      <c r="T1242" s="85">
        <v>13321.62</v>
      </c>
      <c r="U1242" s="82"/>
      <c r="V1242" s="82" t="s">
        <v>3399</v>
      </c>
      <c r="W1242" s="82" t="s">
        <v>3395</v>
      </c>
      <c r="X1242" s="82" t="s">
        <v>3394</v>
      </c>
      <c r="Y1242" s="82" t="s">
        <v>3393</v>
      </c>
    </row>
    <row r="1243" spans="1:25" ht="10.9" customHeight="1" x14ac:dyDescent="0.2">
      <c r="A1243" s="82" t="s">
        <v>3377</v>
      </c>
      <c r="B1243" s="82" t="s">
        <v>154</v>
      </c>
      <c r="C1243" s="83">
        <v>45986</v>
      </c>
      <c r="D1243" s="83">
        <v>45986</v>
      </c>
      <c r="E1243" s="83">
        <v>45986</v>
      </c>
      <c r="F1243" s="83">
        <v>45988</v>
      </c>
      <c r="G1243" s="83">
        <v>45988</v>
      </c>
      <c r="H1243" s="82" t="s">
        <v>153</v>
      </c>
      <c r="I1243" s="82" t="s">
        <v>22</v>
      </c>
      <c r="J1243" s="84">
        <v>0</v>
      </c>
      <c r="K1243" s="85">
        <v>32414.15</v>
      </c>
      <c r="L1243" s="85">
        <v>34034.85</v>
      </c>
      <c r="M1243" s="85">
        <v>1620.7</v>
      </c>
      <c r="N1243" s="85">
        <v>34034.85</v>
      </c>
      <c r="O1243" s="85">
        <v>0</v>
      </c>
      <c r="P1243" s="85">
        <v>32414.15</v>
      </c>
      <c r="Q1243" s="85">
        <v>34034.85</v>
      </c>
      <c r="R1243" s="85">
        <v>1620.7</v>
      </c>
      <c r="S1243" s="85">
        <v>34034.85</v>
      </c>
      <c r="T1243" s="85">
        <v>0</v>
      </c>
      <c r="U1243" s="82"/>
      <c r="V1243" s="82" t="s">
        <v>3399</v>
      </c>
      <c r="W1243" s="82" t="s">
        <v>3395</v>
      </c>
      <c r="X1243" s="82" t="s">
        <v>3394</v>
      </c>
      <c r="Y1243" s="82" t="s">
        <v>3393</v>
      </c>
    </row>
    <row r="1244" spans="1:25" ht="10.9" customHeight="1" x14ac:dyDescent="0.2">
      <c r="A1244" s="82" t="s">
        <v>3374</v>
      </c>
      <c r="B1244" s="82" t="s">
        <v>154</v>
      </c>
      <c r="C1244" s="83">
        <v>45986</v>
      </c>
      <c r="D1244" s="83">
        <v>45986</v>
      </c>
      <c r="E1244" s="83">
        <v>45986</v>
      </c>
      <c r="F1244" s="83">
        <v>45988</v>
      </c>
      <c r="G1244" s="83">
        <v>45988</v>
      </c>
      <c r="H1244" s="82" t="s">
        <v>161</v>
      </c>
      <c r="I1244" s="82" t="s">
        <v>22</v>
      </c>
      <c r="J1244" s="84">
        <v>0</v>
      </c>
      <c r="K1244" s="85">
        <v>6146.54</v>
      </c>
      <c r="L1244" s="85">
        <v>6453.87</v>
      </c>
      <c r="M1244" s="85">
        <v>307.33</v>
      </c>
      <c r="N1244" s="85">
        <v>6453.87</v>
      </c>
      <c r="O1244" s="85">
        <v>0</v>
      </c>
      <c r="P1244" s="85">
        <v>6146.54</v>
      </c>
      <c r="Q1244" s="85">
        <v>6453.87</v>
      </c>
      <c r="R1244" s="85">
        <v>307.33</v>
      </c>
      <c r="S1244" s="85">
        <v>6453.87</v>
      </c>
      <c r="T1244" s="85">
        <v>0</v>
      </c>
      <c r="U1244" s="82"/>
      <c r="V1244" s="82" t="s">
        <v>3399</v>
      </c>
      <c r="W1244" s="82" t="s">
        <v>3395</v>
      </c>
      <c r="X1244" s="82" t="s">
        <v>3394</v>
      </c>
      <c r="Y1244" s="82" t="s">
        <v>3393</v>
      </c>
    </row>
    <row r="1245" spans="1:25" ht="10.9" customHeight="1" x14ac:dyDescent="0.2">
      <c r="A1245" s="82" t="s">
        <v>3387</v>
      </c>
      <c r="B1245" s="82" t="s">
        <v>242</v>
      </c>
      <c r="C1245" s="83">
        <v>45986</v>
      </c>
      <c r="D1245" s="83">
        <v>46016</v>
      </c>
      <c r="E1245" s="83">
        <v>46016</v>
      </c>
      <c r="F1245" s="83">
        <v>46024</v>
      </c>
      <c r="G1245" s="83">
        <v>45988</v>
      </c>
      <c r="H1245" s="82" t="s">
        <v>103</v>
      </c>
      <c r="I1245" s="82" t="s">
        <v>22</v>
      </c>
      <c r="J1245" s="84">
        <v>0</v>
      </c>
      <c r="K1245" s="85">
        <v>1429.78</v>
      </c>
      <c r="L1245" s="85">
        <v>1501.27</v>
      </c>
      <c r="M1245" s="85">
        <v>71.489999999999995</v>
      </c>
      <c r="N1245" s="85">
        <v>0</v>
      </c>
      <c r="O1245" s="85">
        <v>1501.27</v>
      </c>
      <c r="P1245" s="85">
        <v>1429.78</v>
      </c>
      <c r="Q1245" s="85">
        <v>1501.27</v>
      </c>
      <c r="R1245" s="85">
        <v>71.489999999999995</v>
      </c>
      <c r="S1245" s="85">
        <v>0</v>
      </c>
      <c r="T1245" s="85">
        <v>1501.27</v>
      </c>
      <c r="U1245" s="82"/>
      <c r="V1245" s="82" t="s">
        <v>3399</v>
      </c>
      <c r="W1245" s="82" t="s">
        <v>3395</v>
      </c>
      <c r="X1245" s="82" t="s">
        <v>3394</v>
      </c>
      <c r="Y1245" s="82" t="s">
        <v>3393</v>
      </c>
    </row>
    <row r="1246" spans="1:25" ht="10.9" customHeight="1" x14ac:dyDescent="0.2">
      <c r="A1246" s="82" t="s">
        <v>3383</v>
      </c>
      <c r="B1246" s="82" t="s">
        <v>429</v>
      </c>
      <c r="C1246" s="83">
        <v>45986</v>
      </c>
      <c r="D1246" s="83">
        <v>46016</v>
      </c>
      <c r="E1246" s="83">
        <v>46016</v>
      </c>
      <c r="F1246" s="83">
        <v>45999</v>
      </c>
      <c r="G1246" s="83">
        <v>45988</v>
      </c>
      <c r="H1246" s="82" t="s">
        <v>113</v>
      </c>
      <c r="I1246" s="82" t="s">
        <v>22</v>
      </c>
      <c r="J1246" s="84">
        <v>0</v>
      </c>
      <c r="K1246" s="85">
        <v>754.36</v>
      </c>
      <c r="L1246" s="85">
        <v>792.08</v>
      </c>
      <c r="M1246" s="85">
        <v>37.72</v>
      </c>
      <c r="N1246" s="85">
        <v>792.08</v>
      </c>
      <c r="O1246" s="85">
        <v>0</v>
      </c>
      <c r="P1246" s="85">
        <v>754.36</v>
      </c>
      <c r="Q1246" s="85">
        <v>792.08</v>
      </c>
      <c r="R1246" s="85">
        <v>37.72</v>
      </c>
      <c r="S1246" s="85">
        <v>792.08</v>
      </c>
      <c r="T1246" s="85">
        <v>0</v>
      </c>
      <c r="U1246" s="82"/>
      <c r="V1246" s="82" t="s">
        <v>3399</v>
      </c>
      <c r="W1246" s="82" t="s">
        <v>3395</v>
      </c>
      <c r="X1246" s="82" t="s">
        <v>3397</v>
      </c>
      <c r="Y1246" s="82" t="s">
        <v>3393</v>
      </c>
    </row>
    <row r="1247" spans="1:25" ht="10.9" customHeight="1" x14ac:dyDescent="0.2">
      <c r="A1247" s="82" t="s">
        <v>3380</v>
      </c>
      <c r="B1247" s="82" t="s">
        <v>35</v>
      </c>
      <c r="C1247" s="83">
        <v>45986</v>
      </c>
      <c r="D1247" s="83">
        <v>46016</v>
      </c>
      <c r="E1247" s="83">
        <v>46016</v>
      </c>
      <c r="F1247" s="83">
        <v>46022</v>
      </c>
      <c r="G1247" s="83">
        <v>45988</v>
      </c>
      <c r="H1247" s="82" t="s">
        <v>137</v>
      </c>
      <c r="I1247" s="82" t="s">
        <v>22</v>
      </c>
      <c r="J1247" s="84">
        <v>0</v>
      </c>
      <c r="K1247" s="85">
        <v>387.94</v>
      </c>
      <c r="L1247" s="85">
        <v>407.34</v>
      </c>
      <c r="M1247" s="85">
        <v>19.399999999999999</v>
      </c>
      <c r="N1247" s="85">
        <v>407.34</v>
      </c>
      <c r="O1247" s="85">
        <v>0</v>
      </c>
      <c r="P1247" s="85">
        <v>387.94</v>
      </c>
      <c r="Q1247" s="85">
        <v>407.34</v>
      </c>
      <c r="R1247" s="85">
        <v>19.399999999999999</v>
      </c>
      <c r="S1247" s="85">
        <v>407.34</v>
      </c>
      <c r="T1247" s="85">
        <v>0</v>
      </c>
      <c r="U1247" s="82"/>
      <c r="V1247" s="82" t="s">
        <v>3399</v>
      </c>
      <c r="W1247" s="82" t="s">
        <v>3395</v>
      </c>
      <c r="X1247" s="82" t="s">
        <v>3394</v>
      </c>
      <c r="Y1247" s="82" t="s">
        <v>3393</v>
      </c>
    </row>
    <row r="1248" spans="1:25" ht="10.9" customHeight="1" x14ac:dyDescent="0.2">
      <c r="A1248" s="82" t="s">
        <v>3382</v>
      </c>
      <c r="B1248" s="82" t="s">
        <v>3412</v>
      </c>
      <c r="C1248" s="83">
        <v>45986</v>
      </c>
      <c r="D1248" s="83">
        <v>46031</v>
      </c>
      <c r="E1248" s="83">
        <v>46031</v>
      </c>
      <c r="F1248" s="82"/>
      <c r="G1248" s="83">
        <v>45988</v>
      </c>
      <c r="H1248" s="82" t="s">
        <v>120</v>
      </c>
      <c r="I1248" s="82" t="s">
        <v>22</v>
      </c>
      <c r="J1248" s="84">
        <v>0</v>
      </c>
      <c r="K1248" s="85">
        <v>1828.7</v>
      </c>
      <c r="L1248" s="85">
        <v>1920.14</v>
      </c>
      <c r="M1248" s="85">
        <v>91.44</v>
      </c>
      <c r="N1248" s="85">
        <v>0</v>
      </c>
      <c r="O1248" s="85">
        <v>1920.14</v>
      </c>
      <c r="P1248" s="85">
        <v>1828.7</v>
      </c>
      <c r="Q1248" s="85">
        <v>1920.14</v>
      </c>
      <c r="R1248" s="85">
        <v>91.44</v>
      </c>
      <c r="S1248" s="85">
        <v>0</v>
      </c>
      <c r="T1248" s="85">
        <v>1920.14</v>
      </c>
      <c r="U1248" s="82"/>
      <c r="V1248" s="82" t="s">
        <v>3396</v>
      </c>
      <c r="W1248" s="82" t="s">
        <v>3395</v>
      </c>
      <c r="X1248" s="82" t="s">
        <v>3394</v>
      </c>
      <c r="Y1248" s="82" t="s">
        <v>3393</v>
      </c>
    </row>
    <row r="1249" spans="1:25" ht="10.9" customHeight="1" x14ac:dyDescent="0.2">
      <c r="A1249" s="82" t="s">
        <v>3384</v>
      </c>
      <c r="B1249" s="82" t="s">
        <v>64</v>
      </c>
      <c r="C1249" s="83">
        <v>45986</v>
      </c>
      <c r="D1249" s="83">
        <v>46016</v>
      </c>
      <c r="E1249" s="83">
        <v>46016</v>
      </c>
      <c r="F1249" s="83">
        <v>46020</v>
      </c>
      <c r="G1249" s="83">
        <v>45988</v>
      </c>
      <c r="H1249" s="82" t="s">
        <v>111</v>
      </c>
      <c r="I1249" s="82" t="s">
        <v>22</v>
      </c>
      <c r="J1249" s="84">
        <v>0</v>
      </c>
      <c r="K1249" s="85">
        <v>209.18</v>
      </c>
      <c r="L1249" s="85">
        <v>236.37</v>
      </c>
      <c r="M1249" s="85">
        <v>27.19</v>
      </c>
      <c r="N1249" s="85">
        <v>236.37</v>
      </c>
      <c r="O1249" s="85">
        <v>0</v>
      </c>
      <c r="P1249" s="85">
        <v>209.18</v>
      </c>
      <c r="Q1249" s="85">
        <v>236.37</v>
      </c>
      <c r="R1249" s="85">
        <v>27.19</v>
      </c>
      <c r="S1249" s="85">
        <v>236.37</v>
      </c>
      <c r="T1249" s="85">
        <v>0</v>
      </c>
      <c r="U1249" s="82"/>
      <c r="V1249" s="82" t="s">
        <v>3399</v>
      </c>
      <c r="W1249" s="82" t="s">
        <v>3395</v>
      </c>
      <c r="X1249" s="82" t="s">
        <v>3394</v>
      </c>
      <c r="Y1249" s="82" t="s">
        <v>3393</v>
      </c>
    </row>
    <row r="1250" spans="1:25" ht="10.9" customHeight="1" x14ac:dyDescent="0.2">
      <c r="A1250" s="82" t="s">
        <v>3378</v>
      </c>
      <c r="B1250" s="82" t="s">
        <v>149</v>
      </c>
      <c r="C1250" s="83">
        <v>45987</v>
      </c>
      <c r="D1250" s="83">
        <v>46017</v>
      </c>
      <c r="E1250" s="83">
        <v>46017</v>
      </c>
      <c r="F1250" s="83">
        <v>45987</v>
      </c>
      <c r="G1250" s="83">
        <v>45987</v>
      </c>
      <c r="H1250" s="82" t="s">
        <v>3402</v>
      </c>
      <c r="I1250" s="82" t="s">
        <v>51</v>
      </c>
      <c r="J1250" s="84">
        <v>0.71167800000000003</v>
      </c>
      <c r="K1250" s="85">
        <v>4296.12</v>
      </c>
      <c r="L1250" s="85">
        <v>4296.12</v>
      </c>
      <c r="M1250" s="85">
        <v>0</v>
      </c>
      <c r="N1250" s="85">
        <v>698.88</v>
      </c>
      <c r="O1250" s="85">
        <v>3597.24</v>
      </c>
      <c r="P1250" s="85">
        <v>6036.6064428013788</v>
      </c>
      <c r="Q1250" s="85">
        <v>6036.6064428013788</v>
      </c>
      <c r="R1250" s="85">
        <v>0</v>
      </c>
      <c r="S1250" s="85">
        <v>960.31659999999999</v>
      </c>
      <c r="T1250" s="85">
        <v>4936.92</v>
      </c>
      <c r="U1250" s="82" t="s">
        <v>3401</v>
      </c>
      <c r="V1250" s="82" t="s">
        <v>3396</v>
      </c>
      <c r="W1250" s="82" t="s">
        <v>3395</v>
      </c>
      <c r="X1250" s="82" t="s">
        <v>3394</v>
      </c>
      <c r="Y1250" s="82" t="s">
        <v>3393</v>
      </c>
    </row>
    <row r="1251" spans="1:25" ht="10.9" customHeight="1" x14ac:dyDescent="0.2">
      <c r="A1251" s="82" t="s">
        <v>3110</v>
      </c>
      <c r="B1251" s="82" t="s">
        <v>141</v>
      </c>
      <c r="C1251" s="83">
        <v>45987</v>
      </c>
      <c r="D1251" s="83">
        <v>46032</v>
      </c>
      <c r="E1251" s="83">
        <v>46032</v>
      </c>
      <c r="F1251" s="82"/>
      <c r="G1251" s="83">
        <v>45987</v>
      </c>
      <c r="H1251" s="82" t="s">
        <v>792</v>
      </c>
      <c r="I1251" s="82" t="s">
        <v>51</v>
      </c>
      <c r="J1251" s="84">
        <v>0.71252499999999996</v>
      </c>
      <c r="K1251" s="85">
        <v>11784.05</v>
      </c>
      <c r="L1251" s="85">
        <v>11784.05</v>
      </c>
      <c r="M1251" s="85">
        <v>0</v>
      </c>
      <c r="N1251" s="85">
        <v>0</v>
      </c>
      <c r="O1251" s="85">
        <v>11784.05</v>
      </c>
      <c r="P1251" s="85">
        <v>16538.437247815866</v>
      </c>
      <c r="Q1251" s="85">
        <v>16538.437247815866</v>
      </c>
      <c r="R1251" s="85">
        <v>0</v>
      </c>
      <c r="S1251" s="85">
        <v>0</v>
      </c>
      <c r="T1251" s="85">
        <v>16172.66</v>
      </c>
      <c r="U1251" s="82" t="s">
        <v>3401</v>
      </c>
      <c r="V1251" s="82" t="s">
        <v>3396</v>
      </c>
      <c r="W1251" s="82" t="s">
        <v>3395</v>
      </c>
      <c r="X1251" s="82" t="s">
        <v>3394</v>
      </c>
      <c r="Y1251" s="82" t="s">
        <v>3393</v>
      </c>
    </row>
    <row r="1252" spans="1:25" ht="10.9" customHeight="1" x14ac:dyDescent="0.2">
      <c r="A1252" s="82" t="s">
        <v>3334</v>
      </c>
      <c r="B1252" s="82" t="s">
        <v>141</v>
      </c>
      <c r="C1252" s="83">
        <v>45987</v>
      </c>
      <c r="D1252" s="83">
        <v>46032</v>
      </c>
      <c r="E1252" s="83">
        <v>46032</v>
      </c>
      <c r="F1252" s="82"/>
      <c r="G1252" s="83">
        <v>45987</v>
      </c>
      <c r="H1252" s="82" t="s">
        <v>287</v>
      </c>
      <c r="I1252" s="82" t="s">
        <v>51</v>
      </c>
      <c r="J1252" s="84">
        <v>0.71252499999999996</v>
      </c>
      <c r="K1252" s="85">
        <v>145.38</v>
      </c>
      <c r="L1252" s="85">
        <v>145.38</v>
      </c>
      <c r="M1252" s="85">
        <v>0</v>
      </c>
      <c r="N1252" s="85">
        <v>0</v>
      </c>
      <c r="O1252" s="85">
        <v>145.38</v>
      </c>
      <c r="P1252" s="85">
        <v>204.03494614224061</v>
      </c>
      <c r="Q1252" s="85">
        <v>204.03494614224061</v>
      </c>
      <c r="R1252" s="85">
        <v>0</v>
      </c>
      <c r="S1252" s="85">
        <v>0</v>
      </c>
      <c r="T1252" s="85">
        <v>199.52</v>
      </c>
      <c r="U1252" s="82" t="s">
        <v>3401</v>
      </c>
      <c r="V1252" s="82" t="s">
        <v>3396</v>
      </c>
      <c r="W1252" s="82" t="s">
        <v>3395</v>
      </c>
      <c r="X1252" s="82" t="s">
        <v>3394</v>
      </c>
      <c r="Y1252" s="82" t="s">
        <v>3393</v>
      </c>
    </row>
    <row r="1253" spans="1:25" ht="10.9" customHeight="1" x14ac:dyDescent="0.2">
      <c r="A1253" s="82" t="s">
        <v>3335</v>
      </c>
      <c r="B1253" s="82" t="s">
        <v>141</v>
      </c>
      <c r="C1253" s="83">
        <v>45987</v>
      </c>
      <c r="D1253" s="83">
        <v>46032</v>
      </c>
      <c r="E1253" s="83">
        <v>46032</v>
      </c>
      <c r="F1253" s="82"/>
      <c r="G1253" s="83">
        <v>45987</v>
      </c>
      <c r="H1253" s="82" t="s">
        <v>285</v>
      </c>
      <c r="I1253" s="82" t="s">
        <v>51</v>
      </c>
      <c r="J1253" s="84">
        <v>0.71252499999999996</v>
      </c>
      <c r="K1253" s="85">
        <v>1511.62</v>
      </c>
      <c r="L1253" s="85">
        <v>1511.62</v>
      </c>
      <c r="M1253" s="85">
        <v>0</v>
      </c>
      <c r="N1253" s="85">
        <v>0</v>
      </c>
      <c r="O1253" s="85">
        <v>1511.62</v>
      </c>
      <c r="P1253" s="85">
        <v>2121.4974913160941</v>
      </c>
      <c r="Q1253" s="85">
        <v>2121.4974913160941</v>
      </c>
      <c r="R1253" s="85">
        <v>0</v>
      </c>
      <c r="S1253" s="85">
        <v>0</v>
      </c>
      <c r="T1253" s="85">
        <v>2074.58</v>
      </c>
      <c r="U1253" s="82" t="s">
        <v>3401</v>
      </c>
      <c r="V1253" s="82" t="s">
        <v>3396</v>
      </c>
      <c r="W1253" s="82" t="s">
        <v>3395</v>
      </c>
      <c r="X1253" s="82" t="s">
        <v>3394</v>
      </c>
      <c r="Y1253" s="82" t="s">
        <v>3393</v>
      </c>
    </row>
    <row r="1254" spans="1:25" ht="10.9" customHeight="1" x14ac:dyDescent="0.2">
      <c r="A1254" s="82" t="s">
        <v>3288</v>
      </c>
      <c r="B1254" s="82" t="s">
        <v>80</v>
      </c>
      <c r="C1254" s="83">
        <v>45987</v>
      </c>
      <c r="D1254" s="83">
        <v>46047</v>
      </c>
      <c r="E1254" s="83">
        <v>46047</v>
      </c>
      <c r="F1254" s="82"/>
      <c r="G1254" s="83">
        <v>45988</v>
      </c>
      <c r="H1254" s="82" t="s">
        <v>397</v>
      </c>
      <c r="I1254" s="82" t="s">
        <v>22</v>
      </c>
      <c r="J1254" s="84">
        <v>0</v>
      </c>
      <c r="K1254" s="85">
        <v>7695</v>
      </c>
      <c r="L1254" s="85">
        <v>8079.75</v>
      </c>
      <c r="M1254" s="85">
        <v>384.75</v>
      </c>
      <c r="N1254" s="85">
        <v>0</v>
      </c>
      <c r="O1254" s="85">
        <v>8079.75</v>
      </c>
      <c r="P1254" s="85">
        <v>7695</v>
      </c>
      <c r="Q1254" s="85">
        <v>8079.75</v>
      </c>
      <c r="R1254" s="85">
        <v>384.75</v>
      </c>
      <c r="S1254" s="85">
        <v>0</v>
      </c>
      <c r="T1254" s="85">
        <v>8079.75</v>
      </c>
      <c r="U1254" s="82"/>
      <c r="V1254" s="82" t="s">
        <v>3396</v>
      </c>
      <c r="W1254" s="82" t="s">
        <v>3395</v>
      </c>
      <c r="X1254" s="82" t="s">
        <v>3394</v>
      </c>
      <c r="Y1254" s="82" t="s">
        <v>3393</v>
      </c>
    </row>
    <row r="1255" spans="1:25" ht="10.9" customHeight="1" x14ac:dyDescent="0.2">
      <c r="A1255" s="82" t="s">
        <v>3381</v>
      </c>
      <c r="B1255" s="82" t="s">
        <v>98</v>
      </c>
      <c r="C1255" s="83">
        <v>45987</v>
      </c>
      <c r="D1255" s="83">
        <v>46017</v>
      </c>
      <c r="E1255" s="83">
        <v>46017</v>
      </c>
      <c r="F1255" s="83">
        <v>46022</v>
      </c>
      <c r="G1255" s="83">
        <v>45988</v>
      </c>
      <c r="H1255" s="82" t="s">
        <v>125</v>
      </c>
      <c r="I1255" s="82" t="s">
        <v>22</v>
      </c>
      <c r="J1255" s="84">
        <v>0</v>
      </c>
      <c r="K1255" s="85">
        <v>1589.47</v>
      </c>
      <c r="L1255" s="85">
        <v>1796.1</v>
      </c>
      <c r="M1255" s="85">
        <v>206.63</v>
      </c>
      <c r="N1255" s="85">
        <v>1796.1</v>
      </c>
      <c r="O1255" s="85">
        <v>0</v>
      </c>
      <c r="P1255" s="85">
        <v>1589.47</v>
      </c>
      <c r="Q1255" s="85">
        <v>1796.1</v>
      </c>
      <c r="R1255" s="85">
        <v>206.63</v>
      </c>
      <c r="S1255" s="85">
        <v>1796.1</v>
      </c>
      <c r="T1255" s="85">
        <v>0</v>
      </c>
      <c r="U1255" s="82"/>
      <c r="V1255" s="82" t="s">
        <v>3399</v>
      </c>
      <c r="W1255" s="82" t="s">
        <v>3395</v>
      </c>
      <c r="X1255" s="82" t="s">
        <v>3394</v>
      </c>
      <c r="Y1255" s="82" t="s">
        <v>3393</v>
      </c>
    </row>
    <row r="1256" spans="1:25" ht="10.9" customHeight="1" x14ac:dyDescent="0.2">
      <c r="A1256" s="82" t="s">
        <v>3386</v>
      </c>
      <c r="B1256" s="82" t="s">
        <v>98</v>
      </c>
      <c r="C1256" s="83">
        <v>45987</v>
      </c>
      <c r="D1256" s="83">
        <v>46017</v>
      </c>
      <c r="E1256" s="83">
        <v>46017</v>
      </c>
      <c r="F1256" s="83">
        <v>46022</v>
      </c>
      <c r="G1256" s="83">
        <v>45988</v>
      </c>
      <c r="H1256" s="82" t="s">
        <v>106</v>
      </c>
      <c r="I1256" s="82" t="s">
        <v>22</v>
      </c>
      <c r="J1256" s="84">
        <v>0</v>
      </c>
      <c r="K1256" s="85">
        <v>2037.41</v>
      </c>
      <c r="L1256" s="85">
        <v>2302.27</v>
      </c>
      <c r="M1256" s="85">
        <v>264.86</v>
      </c>
      <c r="N1256" s="85">
        <v>2302.27</v>
      </c>
      <c r="O1256" s="85">
        <v>0</v>
      </c>
      <c r="P1256" s="85">
        <v>2037.41</v>
      </c>
      <c r="Q1256" s="85">
        <v>2302.27</v>
      </c>
      <c r="R1256" s="85">
        <v>264.86</v>
      </c>
      <c r="S1256" s="85">
        <v>2302.27</v>
      </c>
      <c r="T1256" s="85">
        <v>0</v>
      </c>
      <c r="U1256" s="82"/>
      <c r="V1256" s="82" t="s">
        <v>3399</v>
      </c>
      <c r="W1256" s="82" t="s">
        <v>3395</v>
      </c>
      <c r="X1256" s="82" t="s">
        <v>3394</v>
      </c>
      <c r="Y1256" s="82" t="s">
        <v>3393</v>
      </c>
    </row>
    <row r="1257" spans="1:25" ht="10.9" customHeight="1" x14ac:dyDescent="0.2">
      <c r="A1257" s="82" t="s">
        <v>3315</v>
      </c>
      <c r="B1257" s="82" t="s">
        <v>98</v>
      </c>
      <c r="C1257" s="83">
        <v>45987</v>
      </c>
      <c r="D1257" s="83">
        <v>46017</v>
      </c>
      <c r="E1257" s="83">
        <v>46017</v>
      </c>
      <c r="F1257" s="83">
        <v>46022</v>
      </c>
      <c r="G1257" s="83">
        <v>45988</v>
      </c>
      <c r="H1257" s="82" t="s">
        <v>333</v>
      </c>
      <c r="I1257" s="82" t="s">
        <v>22</v>
      </c>
      <c r="J1257" s="84">
        <v>0</v>
      </c>
      <c r="K1257" s="85">
        <v>644.64</v>
      </c>
      <c r="L1257" s="85">
        <v>728.44</v>
      </c>
      <c r="M1257" s="85">
        <v>83.8</v>
      </c>
      <c r="N1257" s="85">
        <v>728.44</v>
      </c>
      <c r="O1257" s="85">
        <v>0</v>
      </c>
      <c r="P1257" s="85">
        <v>644.64</v>
      </c>
      <c r="Q1257" s="85">
        <v>728.44</v>
      </c>
      <c r="R1257" s="85">
        <v>83.8</v>
      </c>
      <c r="S1257" s="85">
        <v>728.44</v>
      </c>
      <c r="T1257" s="85">
        <v>0</v>
      </c>
      <c r="U1257" s="82"/>
      <c r="V1257" s="82" t="s">
        <v>3399</v>
      </c>
      <c r="W1257" s="82" t="s">
        <v>3395</v>
      </c>
      <c r="X1257" s="82" t="s">
        <v>3394</v>
      </c>
      <c r="Y1257" s="82" t="s">
        <v>3393</v>
      </c>
    </row>
    <row r="1258" spans="1:25" ht="10.9" customHeight="1" x14ac:dyDescent="0.2">
      <c r="A1258" s="82" t="s">
        <v>3336</v>
      </c>
      <c r="B1258" s="82" t="s">
        <v>98</v>
      </c>
      <c r="C1258" s="83">
        <v>45987</v>
      </c>
      <c r="D1258" s="83">
        <v>46017</v>
      </c>
      <c r="E1258" s="83">
        <v>46017</v>
      </c>
      <c r="F1258" s="83">
        <v>46022</v>
      </c>
      <c r="G1258" s="83">
        <v>45988</v>
      </c>
      <c r="H1258" s="82" t="s">
        <v>283</v>
      </c>
      <c r="I1258" s="82" t="s">
        <v>22</v>
      </c>
      <c r="J1258" s="84">
        <v>0</v>
      </c>
      <c r="K1258" s="85">
        <v>156.61000000000001</v>
      </c>
      <c r="L1258" s="85">
        <v>176.97</v>
      </c>
      <c r="M1258" s="85">
        <v>20.36</v>
      </c>
      <c r="N1258" s="85">
        <v>176.97</v>
      </c>
      <c r="O1258" s="85">
        <v>0</v>
      </c>
      <c r="P1258" s="85">
        <v>156.61000000000001</v>
      </c>
      <c r="Q1258" s="85">
        <v>176.97</v>
      </c>
      <c r="R1258" s="85">
        <v>20.36</v>
      </c>
      <c r="S1258" s="85">
        <v>176.97</v>
      </c>
      <c r="T1258" s="85">
        <v>0</v>
      </c>
      <c r="U1258" s="82"/>
      <c r="V1258" s="82" t="s">
        <v>3399</v>
      </c>
      <c r="W1258" s="82" t="s">
        <v>3395</v>
      </c>
      <c r="X1258" s="82" t="s">
        <v>3394</v>
      </c>
      <c r="Y1258" s="82" t="s">
        <v>3393</v>
      </c>
    </row>
    <row r="1259" spans="1:25" ht="10.9" customHeight="1" x14ac:dyDescent="0.2">
      <c r="A1259" s="82" t="s">
        <v>3340</v>
      </c>
      <c r="B1259" s="82" t="s">
        <v>98</v>
      </c>
      <c r="C1259" s="83">
        <v>45987</v>
      </c>
      <c r="D1259" s="83">
        <v>46017</v>
      </c>
      <c r="E1259" s="83">
        <v>46017</v>
      </c>
      <c r="F1259" s="83">
        <v>46022</v>
      </c>
      <c r="G1259" s="83">
        <v>45988</v>
      </c>
      <c r="H1259" s="82" t="s">
        <v>275</v>
      </c>
      <c r="I1259" s="82" t="s">
        <v>22</v>
      </c>
      <c r="J1259" s="84">
        <v>0</v>
      </c>
      <c r="K1259" s="85">
        <v>2246.04</v>
      </c>
      <c r="L1259" s="85">
        <v>2538.02</v>
      </c>
      <c r="M1259" s="85">
        <v>291.98</v>
      </c>
      <c r="N1259" s="85">
        <v>2538.02</v>
      </c>
      <c r="O1259" s="85">
        <v>0</v>
      </c>
      <c r="P1259" s="85">
        <v>2246.04</v>
      </c>
      <c r="Q1259" s="85">
        <v>2538.02</v>
      </c>
      <c r="R1259" s="85">
        <v>291.98</v>
      </c>
      <c r="S1259" s="85">
        <v>2538.02</v>
      </c>
      <c r="T1259" s="85">
        <v>0</v>
      </c>
      <c r="U1259" s="82"/>
      <c r="V1259" s="82" t="s">
        <v>3399</v>
      </c>
      <c r="W1259" s="82" t="s">
        <v>3395</v>
      </c>
      <c r="X1259" s="82" t="s">
        <v>3394</v>
      </c>
      <c r="Y1259" s="82" t="s">
        <v>3393</v>
      </c>
    </row>
    <row r="1260" spans="1:25" ht="10.9" customHeight="1" x14ac:dyDescent="0.2">
      <c r="A1260" s="82" t="s">
        <v>3400</v>
      </c>
      <c r="B1260" s="82" t="s">
        <v>154</v>
      </c>
      <c r="C1260" s="83">
        <v>45988</v>
      </c>
      <c r="D1260" s="83">
        <v>45988</v>
      </c>
      <c r="E1260" s="83">
        <v>45988</v>
      </c>
      <c r="F1260" s="83">
        <v>45988</v>
      </c>
      <c r="G1260" s="83">
        <v>45988</v>
      </c>
      <c r="H1260" s="82"/>
      <c r="I1260" s="82" t="s">
        <v>22</v>
      </c>
      <c r="J1260" s="84">
        <v>0</v>
      </c>
      <c r="K1260" s="85">
        <v>-38560.69</v>
      </c>
      <c r="L1260" s="85">
        <v>-40488.720000000001</v>
      </c>
      <c r="M1260" s="85">
        <v>-1928.03</v>
      </c>
      <c r="N1260" s="85">
        <v>-40488.720000000001</v>
      </c>
      <c r="O1260" s="85">
        <v>0</v>
      </c>
      <c r="P1260" s="85">
        <v>-38560.69</v>
      </c>
      <c r="Q1260" s="85">
        <v>-40488.720000000001</v>
      </c>
      <c r="R1260" s="85">
        <v>-1928.03</v>
      </c>
      <c r="S1260" s="85">
        <v>-40488.720000000001</v>
      </c>
      <c r="T1260" s="85">
        <v>0</v>
      </c>
      <c r="U1260" s="82"/>
      <c r="V1260" s="82" t="s">
        <v>3399</v>
      </c>
      <c r="W1260" s="82" t="s">
        <v>3398</v>
      </c>
      <c r="X1260" s="82" t="s">
        <v>3397</v>
      </c>
      <c r="Y1260" s="82" t="s">
        <v>3393</v>
      </c>
    </row>
    <row r="1261" spans="1:25" ht="10.9" customHeight="1" x14ac:dyDescent="0.2">
      <c r="A1261" s="82" t="s">
        <v>3389</v>
      </c>
      <c r="B1261" s="82" t="s">
        <v>83</v>
      </c>
      <c r="C1261" s="83">
        <v>45988</v>
      </c>
      <c r="D1261" s="83">
        <v>46018</v>
      </c>
      <c r="E1261" s="83">
        <v>46018</v>
      </c>
      <c r="F1261" s="83">
        <v>46003</v>
      </c>
      <c r="G1261" s="83">
        <v>45988</v>
      </c>
      <c r="H1261" s="82" t="s">
        <v>82</v>
      </c>
      <c r="I1261" s="82" t="s">
        <v>22</v>
      </c>
      <c r="J1261" s="84">
        <v>0</v>
      </c>
      <c r="K1261" s="85">
        <v>27707.01</v>
      </c>
      <c r="L1261" s="85">
        <v>31308.93</v>
      </c>
      <c r="M1261" s="85">
        <v>3601.92</v>
      </c>
      <c r="N1261" s="85">
        <v>31308.93</v>
      </c>
      <c r="O1261" s="85">
        <v>0</v>
      </c>
      <c r="P1261" s="85">
        <v>27707.01</v>
      </c>
      <c r="Q1261" s="85">
        <v>31308.93</v>
      </c>
      <c r="R1261" s="85">
        <v>3601.92</v>
      </c>
      <c r="S1261" s="85">
        <v>31308.93</v>
      </c>
      <c r="T1261" s="85">
        <v>0</v>
      </c>
      <c r="U1261" s="82"/>
      <c r="V1261" s="82" t="s">
        <v>3399</v>
      </c>
      <c r="W1261" s="82" t="s">
        <v>3395</v>
      </c>
      <c r="X1261" s="82" t="s">
        <v>3394</v>
      </c>
      <c r="Y1261" s="82" t="s">
        <v>3393</v>
      </c>
    </row>
    <row r="1262" spans="1:25" ht="10.9" customHeight="1" x14ac:dyDescent="0.2">
      <c r="A1262" s="82" t="s">
        <v>3388</v>
      </c>
      <c r="B1262" s="82" t="s">
        <v>95</v>
      </c>
      <c r="C1262" s="83">
        <v>45988</v>
      </c>
      <c r="D1262" s="83">
        <v>46018</v>
      </c>
      <c r="E1262" s="83">
        <v>46018</v>
      </c>
      <c r="F1262" s="82"/>
      <c r="G1262" s="83">
        <v>45988</v>
      </c>
      <c r="H1262" s="82" t="s">
        <v>94</v>
      </c>
      <c r="I1262" s="82" t="s">
        <v>22</v>
      </c>
      <c r="J1262" s="84">
        <v>0</v>
      </c>
      <c r="K1262" s="85">
        <v>927.1</v>
      </c>
      <c r="L1262" s="85">
        <v>973.46</v>
      </c>
      <c r="M1262" s="85">
        <v>46.36</v>
      </c>
      <c r="N1262" s="85">
        <v>0</v>
      </c>
      <c r="O1262" s="85">
        <v>973.46</v>
      </c>
      <c r="P1262" s="85">
        <v>927.1</v>
      </c>
      <c r="Q1262" s="85">
        <v>973.46</v>
      </c>
      <c r="R1262" s="85">
        <v>46.36</v>
      </c>
      <c r="S1262" s="85">
        <v>0</v>
      </c>
      <c r="T1262" s="85">
        <v>973.46</v>
      </c>
      <c r="U1262" s="82"/>
      <c r="V1262" s="82" t="s">
        <v>3396</v>
      </c>
      <c r="W1262" s="82" t="s">
        <v>3395</v>
      </c>
      <c r="X1262" s="82" t="s">
        <v>3394</v>
      </c>
      <c r="Y1262" s="82" t="s">
        <v>3393</v>
      </c>
    </row>
    <row r="1263" spans="1:25" ht="10.9" customHeight="1" x14ac:dyDescent="0.2">
      <c r="A1263" s="82" t="s">
        <v>4402</v>
      </c>
      <c r="B1263" s="82" t="s">
        <v>171</v>
      </c>
      <c r="C1263" s="83">
        <v>45992</v>
      </c>
      <c r="D1263" s="83">
        <v>45992</v>
      </c>
      <c r="E1263" s="83">
        <v>45992</v>
      </c>
      <c r="F1263" s="83">
        <v>45992</v>
      </c>
      <c r="G1263" s="83">
        <v>45992</v>
      </c>
      <c r="H1263" s="82" t="s">
        <v>3220</v>
      </c>
      <c r="I1263" s="82" t="s">
        <v>22</v>
      </c>
      <c r="J1263" s="84">
        <v>0</v>
      </c>
      <c r="K1263" s="85">
        <v>-2213.92</v>
      </c>
      <c r="L1263" s="85">
        <v>-2324.62</v>
      </c>
      <c r="M1263" s="85">
        <v>-110.7</v>
      </c>
      <c r="N1263" s="85">
        <v>-2324.62</v>
      </c>
      <c r="O1263" s="85">
        <v>0</v>
      </c>
      <c r="P1263" s="85">
        <v>-2213.92</v>
      </c>
      <c r="Q1263" s="85">
        <v>-2324.62</v>
      </c>
      <c r="R1263" s="85">
        <v>-110.7</v>
      </c>
      <c r="S1263" s="85">
        <v>-2324.62</v>
      </c>
      <c r="T1263" s="85">
        <v>0</v>
      </c>
      <c r="U1263" s="82"/>
      <c r="V1263" s="82" t="s">
        <v>3399</v>
      </c>
      <c r="W1263" s="82" t="s">
        <v>3398</v>
      </c>
      <c r="X1263" s="82" t="s">
        <v>3394</v>
      </c>
      <c r="Y1263" s="82" t="s">
        <v>3393</v>
      </c>
    </row>
    <row r="1264" spans="1:25" ht="13.35" customHeight="1" x14ac:dyDescent="0.2">
      <c r="A1264" s="82" t="s">
        <v>4405</v>
      </c>
      <c r="B1264" s="82" t="s">
        <v>129</v>
      </c>
      <c r="C1264" s="83">
        <v>45992</v>
      </c>
      <c r="D1264" s="83">
        <v>46052</v>
      </c>
      <c r="E1264" s="83">
        <v>46052</v>
      </c>
      <c r="F1264" s="82"/>
      <c r="G1264" s="83">
        <v>45992</v>
      </c>
      <c r="H1264" s="82" t="s">
        <v>4404</v>
      </c>
      <c r="I1264" s="82" t="s">
        <v>51</v>
      </c>
      <c r="J1264" s="84">
        <v>0.715221</v>
      </c>
      <c r="K1264" s="85">
        <v>62220</v>
      </c>
      <c r="L1264" s="85">
        <v>62220</v>
      </c>
      <c r="M1264" s="85">
        <v>0</v>
      </c>
      <c r="N1264" s="85">
        <v>0</v>
      </c>
      <c r="O1264" s="85">
        <v>62220</v>
      </c>
      <c r="P1264" s="85">
        <v>86994.089938634352</v>
      </c>
      <c r="Q1264" s="85">
        <v>86994.089938634352</v>
      </c>
      <c r="R1264" s="85">
        <v>0</v>
      </c>
      <c r="S1264" s="85">
        <v>0</v>
      </c>
      <c r="T1264" s="85">
        <v>85391.96</v>
      </c>
      <c r="U1264" s="82" t="s">
        <v>3401</v>
      </c>
      <c r="V1264" s="82" t="s">
        <v>3396</v>
      </c>
      <c r="W1264" s="82" t="s">
        <v>3395</v>
      </c>
      <c r="X1264" s="82" t="s">
        <v>3394</v>
      </c>
      <c r="Y1264" s="82" t="s">
        <v>3393</v>
      </c>
    </row>
    <row r="1265" spans="1:25" ht="13.35" customHeight="1" x14ac:dyDescent="0.2">
      <c r="A1265" s="82" t="s">
        <v>4411</v>
      </c>
      <c r="B1265" s="82" t="s">
        <v>129</v>
      </c>
      <c r="C1265" s="83">
        <v>45992</v>
      </c>
      <c r="D1265" s="83">
        <v>46052</v>
      </c>
      <c r="E1265" s="83">
        <v>46052</v>
      </c>
      <c r="F1265" s="82"/>
      <c r="G1265" s="83">
        <v>45992</v>
      </c>
      <c r="H1265" s="82" t="s">
        <v>3403</v>
      </c>
      <c r="I1265" s="82" t="s">
        <v>51</v>
      </c>
      <c r="J1265" s="84">
        <v>0.715221</v>
      </c>
      <c r="K1265" s="85">
        <v>1500</v>
      </c>
      <c r="L1265" s="85">
        <v>1500</v>
      </c>
      <c r="M1265" s="85">
        <v>0</v>
      </c>
      <c r="N1265" s="85">
        <v>0</v>
      </c>
      <c r="O1265" s="85">
        <v>1500</v>
      </c>
      <c r="P1265" s="85">
        <v>2097.2538558012138</v>
      </c>
      <c r="Q1265" s="85">
        <v>2097.2538558012138</v>
      </c>
      <c r="R1265" s="85">
        <v>0</v>
      </c>
      <c r="S1265" s="85">
        <v>0</v>
      </c>
      <c r="T1265" s="85">
        <v>2058.63</v>
      </c>
      <c r="U1265" s="82" t="s">
        <v>3401</v>
      </c>
      <c r="V1265" s="82" t="s">
        <v>3396</v>
      </c>
      <c r="W1265" s="82" t="s">
        <v>3395</v>
      </c>
      <c r="X1265" s="82" t="s">
        <v>3394</v>
      </c>
      <c r="Y1265" s="82" t="s">
        <v>3393</v>
      </c>
    </row>
    <row r="1266" spans="1:25" ht="10.9" customHeight="1" x14ac:dyDescent="0.2">
      <c r="A1266" s="82" t="s">
        <v>4409</v>
      </c>
      <c r="B1266" s="82" t="s">
        <v>3424</v>
      </c>
      <c r="C1266" s="83">
        <v>45992</v>
      </c>
      <c r="D1266" s="83">
        <v>46022</v>
      </c>
      <c r="E1266" s="83">
        <v>46022</v>
      </c>
      <c r="F1266" s="82"/>
      <c r="G1266" s="83">
        <v>45992</v>
      </c>
      <c r="H1266" s="82" t="s">
        <v>49</v>
      </c>
      <c r="I1266" s="82" t="s">
        <v>51</v>
      </c>
      <c r="J1266" s="84">
        <v>0.71439299999999994</v>
      </c>
      <c r="K1266" s="85">
        <v>1950</v>
      </c>
      <c r="L1266" s="85">
        <v>1950</v>
      </c>
      <c r="M1266" s="85">
        <v>0</v>
      </c>
      <c r="N1266" s="85">
        <v>0</v>
      </c>
      <c r="O1266" s="85">
        <v>1950</v>
      </c>
      <c r="P1266" s="85">
        <v>2729.5900155796598</v>
      </c>
      <c r="Q1266" s="85">
        <v>2729.5900155796598</v>
      </c>
      <c r="R1266" s="85">
        <v>0</v>
      </c>
      <c r="S1266" s="85">
        <v>0</v>
      </c>
      <c r="T1266" s="85">
        <v>2676.22</v>
      </c>
      <c r="U1266" s="82" t="s">
        <v>3401</v>
      </c>
      <c r="V1266" s="82" t="s">
        <v>3396</v>
      </c>
      <c r="W1266" s="82" t="s">
        <v>3395</v>
      </c>
      <c r="X1266" s="82" t="s">
        <v>3394</v>
      </c>
      <c r="Y1266" s="82" t="s">
        <v>3393</v>
      </c>
    </row>
    <row r="1267" spans="1:25" ht="10.9" customHeight="1" x14ac:dyDescent="0.2">
      <c r="A1267" s="82" t="s">
        <v>5889</v>
      </c>
      <c r="B1267" s="82" t="s">
        <v>77</v>
      </c>
      <c r="C1267" s="83">
        <v>45992</v>
      </c>
      <c r="D1267" s="83">
        <v>46022</v>
      </c>
      <c r="E1267" s="83">
        <v>46022</v>
      </c>
      <c r="F1267" s="82"/>
      <c r="G1267" s="83">
        <v>45994</v>
      </c>
      <c r="H1267" s="82" t="s">
        <v>76</v>
      </c>
      <c r="I1267" s="82" t="s">
        <v>22</v>
      </c>
      <c r="J1267" s="84">
        <v>0</v>
      </c>
      <c r="K1267" s="85">
        <v>279.5</v>
      </c>
      <c r="L1267" s="85">
        <v>293.48</v>
      </c>
      <c r="M1267" s="85">
        <v>13.98</v>
      </c>
      <c r="N1267" s="85">
        <v>0</v>
      </c>
      <c r="O1267" s="85">
        <v>293.48</v>
      </c>
      <c r="P1267" s="85">
        <v>279.5</v>
      </c>
      <c r="Q1267" s="85">
        <v>293.48</v>
      </c>
      <c r="R1267" s="85">
        <v>13.98</v>
      </c>
      <c r="S1267" s="85">
        <v>0</v>
      </c>
      <c r="T1267" s="85">
        <v>293.48</v>
      </c>
      <c r="U1267" s="82"/>
      <c r="V1267" s="82" t="s">
        <v>3396</v>
      </c>
      <c r="W1267" s="82" t="s">
        <v>3395</v>
      </c>
      <c r="X1267" s="82" t="s">
        <v>3394</v>
      </c>
      <c r="Y1267" s="82" t="s">
        <v>3393</v>
      </c>
    </row>
    <row r="1268" spans="1:25" ht="10.9" customHeight="1" x14ac:dyDescent="0.2">
      <c r="A1268" s="82" t="s">
        <v>5887</v>
      </c>
      <c r="B1268" s="82" t="s">
        <v>54</v>
      </c>
      <c r="C1268" s="83">
        <v>45992</v>
      </c>
      <c r="D1268" s="83">
        <v>46022</v>
      </c>
      <c r="E1268" s="83">
        <v>46022</v>
      </c>
      <c r="F1268" s="82"/>
      <c r="G1268" s="83">
        <v>45994</v>
      </c>
      <c r="H1268" s="82" t="s">
        <v>988</v>
      </c>
      <c r="I1268" s="82" t="s">
        <v>22</v>
      </c>
      <c r="J1268" s="84">
        <v>0</v>
      </c>
      <c r="K1268" s="85">
        <v>6137.11</v>
      </c>
      <c r="L1268" s="85">
        <v>6443.97</v>
      </c>
      <c r="M1268" s="85">
        <v>306.86</v>
      </c>
      <c r="N1268" s="85">
        <v>0</v>
      </c>
      <c r="O1268" s="85">
        <v>6443.97</v>
      </c>
      <c r="P1268" s="85">
        <v>6137.11</v>
      </c>
      <c r="Q1268" s="85">
        <v>6443.97</v>
      </c>
      <c r="R1268" s="85">
        <v>306.86</v>
      </c>
      <c r="S1268" s="85">
        <v>0</v>
      </c>
      <c r="T1268" s="85">
        <v>6443.97</v>
      </c>
      <c r="U1268" s="82"/>
      <c r="V1268" s="82" t="s">
        <v>3396</v>
      </c>
      <c r="W1268" s="82" t="s">
        <v>3395</v>
      </c>
      <c r="X1268" s="82" t="s">
        <v>3394</v>
      </c>
      <c r="Y1268" s="82" t="s">
        <v>3393</v>
      </c>
    </row>
    <row r="1269" spans="1:25" ht="15" x14ac:dyDescent="0.2">
      <c r="A1269" s="82" t="s">
        <v>5891</v>
      </c>
      <c r="B1269" s="82" t="s">
        <v>47</v>
      </c>
      <c r="C1269" s="83">
        <v>45992</v>
      </c>
      <c r="D1269" s="83">
        <v>46022</v>
      </c>
      <c r="E1269" s="83">
        <v>46022</v>
      </c>
      <c r="F1269" s="82"/>
      <c r="G1269" s="83">
        <v>45994</v>
      </c>
      <c r="H1269" s="82" t="s">
        <v>46</v>
      </c>
      <c r="I1269" s="82" t="s">
        <v>22</v>
      </c>
      <c r="J1269" s="84">
        <v>0</v>
      </c>
      <c r="K1269" s="85">
        <v>1078.97</v>
      </c>
      <c r="L1269" s="85">
        <v>1219.24</v>
      </c>
      <c r="M1269" s="85">
        <v>140.27000000000001</v>
      </c>
      <c r="N1269" s="85">
        <v>0</v>
      </c>
      <c r="O1269" s="85">
        <v>1219.24</v>
      </c>
      <c r="P1269" s="85">
        <v>1078.97</v>
      </c>
      <c r="Q1269" s="85">
        <v>1219.24</v>
      </c>
      <c r="R1269" s="85">
        <v>140.27000000000001</v>
      </c>
      <c r="S1269" s="85">
        <v>0</v>
      </c>
      <c r="T1269" s="85">
        <v>1219.24</v>
      </c>
      <c r="U1269" s="82"/>
      <c r="V1269" s="82" t="s">
        <v>3396</v>
      </c>
      <c r="W1269" s="82" t="s">
        <v>3395</v>
      </c>
      <c r="X1269" s="82" t="s">
        <v>3394</v>
      </c>
      <c r="Y1269" s="82" t="s">
        <v>3393</v>
      </c>
    </row>
    <row r="1270" spans="1:25" ht="15" x14ac:dyDescent="0.2">
      <c r="A1270" s="82" t="s">
        <v>5952</v>
      </c>
      <c r="B1270" s="82" t="s">
        <v>20</v>
      </c>
      <c r="C1270" s="83">
        <v>45992</v>
      </c>
      <c r="D1270" s="83">
        <v>46052</v>
      </c>
      <c r="E1270" s="83">
        <v>46052</v>
      </c>
      <c r="F1270" s="82"/>
      <c r="G1270" s="83">
        <v>45995</v>
      </c>
      <c r="H1270" s="82" t="s">
        <v>116</v>
      </c>
      <c r="I1270" s="82" t="s">
        <v>22</v>
      </c>
      <c r="J1270" s="84">
        <v>0</v>
      </c>
      <c r="K1270" s="85">
        <v>559.73</v>
      </c>
      <c r="L1270" s="85">
        <v>587.72</v>
      </c>
      <c r="M1270" s="85">
        <v>27.99</v>
      </c>
      <c r="N1270" s="85">
        <v>0</v>
      </c>
      <c r="O1270" s="85">
        <v>587.72</v>
      </c>
      <c r="P1270" s="85">
        <v>559.73</v>
      </c>
      <c r="Q1270" s="85">
        <v>587.72</v>
      </c>
      <c r="R1270" s="85">
        <v>27.99</v>
      </c>
      <c r="S1270" s="85">
        <v>0</v>
      </c>
      <c r="T1270" s="85">
        <v>587.72</v>
      </c>
      <c r="U1270" s="82"/>
      <c r="V1270" s="82" t="s">
        <v>3396</v>
      </c>
      <c r="W1270" s="82" t="s">
        <v>3395</v>
      </c>
      <c r="X1270" s="82" t="s">
        <v>3394</v>
      </c>
      <c r="Y1270" s="82" t="s">
        <v>3393</v>
      </c>
    </row>
    <row r="1271" spans="1:25" ht="15" x14ac:dyDescent="0.2">
      <c r="A1271" s="82" t="s">
        <v>5953</v>
      </c>
      <c r="B1271" s="82" t="s">
        <v>20</v>
      </c>
      <c r="C1271" s="83">
        <v>45992</v>
      </c>
      <c r="D1271" s="83">
        <v>46052</v>
      </c>
      <c r="E1271" s="83">
        <v>46052</v>
      </c>
      <c r="F1271" s="82"/>
      <c r="G1271" s="83">
        <v>45995</v>
      </c>
      <c r="H1271" s="82" t="s">
        <v>118</v>
      </c>
      <c r="I1271" s="82" t="s">
        <v>22</v>
      </c>
      <c r="J1271" s="84">
        <v>0</v>
      </c>
      <c r="K1271" s="85">
        <v>2987.28</v>
      </c>
      <c r="L1271" s="85">
        <v>3136.64</v>
      </c>
      <c r="M1271" s="85">
        <v>149.36000000000001</v>
      </c>
      <c r="N1271" s="85">
        <v>0</v>
      </c>
      <c r="O1271" s="85">
        <v>3136.64</v>
      </c>
      <c r="P1271" s="85">
        <v>2987.28</v>
      </c>
      <c r="Q1271" s="85">
        <v>3136.64</v>
      </c>
      <c r="R1271" s="85">
        <v>149.36000000000001</v>
      </c>
      <c r="S1271" s="85">
        <v>0</v>
      </c>
      <c r="T1271" s="85">
        <v>3136.64</v>
      </c>
      <c r="U1271" s="82"/>
      <c r="V1271" s="82" t="s">
        <v>3396</v>
      </c>
      <c r="W1271" s="82" t="s">
        <v>3395</v>
      </c>
      <c r="X1271" s="82" t="s">
        <v>3394</v>
      </c>
      <c r="Y1271" s="82" t="s">
        <v>3393</v>
      </c>
    </row>
    <row r="1272" spans="1:25" ht="15" x14ac:dyDescent="0.2">
      <c r="A1272" s="82" t="s">
        <v>5890</v>
      </c>
      <c r="B1272" s="82" t="s">
        <v>70</v>
      </c>
      <c r="C1272" s="83">
        <v>45993</v>
      </c>
      <c r="D1272" s="83">
        <v>46053</v>
      </c>
      <c r="E1272" s="83">
        <v>46053</v>
      </c>
      <c r="F1272" s="82"/>
      <c r="G1272" s="83">
        <v>45994</v>
      </c>
      <c r="H1272" s="82" t="s">
        <v>69</v>
      </c>
      <c r="I1272" s="82" t="s">
        <v>51</v>
      </c>
      <c r="J1272" s="84">
        <v>0.71587100000000004</v>
      </c>
      <c r="K1272" s="85">
        <v>765.46</v>
      </c>
      <c r="L1272" s="85">
        <v>765.46</v>
      </c>
      <c r="M1272" s="85">
        <v>0</v>
      </c>
      <c r="N1272" s="85">
        <v>0</v>
      </c>
      <c r="O1272" s="85">
        <v>765.46</v>
      </c>
      <c r="P1272" s="85">
        <v>1069.2708602527548</v>
      </c>
      <c r="Q1272" s="85">
        <v>1069.2708602527548</v>
      </c>
      <c r="R1272" s="85">
        <v>0</v>
      </c>
      <c r="S1272" s="85">
        <v>0</v>
      </c>
      <c r="T1272" s="85">
        <v>1050.53</v>
      </c>
      <c r="U1272" s="82" t="s">
        <v>3401</v>
      </c>
      <c r="V1272" s="82" t="s">
        <v>3396</v>
      </c>
      <c r="W1272" s="82" t="s">
        <v>3395</v>
      </c>
      <c r="X1272" s="82" t="s">
        <v>3394</v>
      </c>
      <c r="Y1272" s="82" t="s">
        <v>3393</v>
      </c>
    </row>
    <row r="1273" spans="1:25" ht="15" x14ac:dyDescent="0.2">
      <c r="A1273" s="82" t="s">
        <v>5888</v>
      </c>
      <c r="B1273" s="82" t="s">
        <v>70</v>
      </c>
      <c r="C1273" s="83">
        <v>45993</v>
      </c>
      <c r="D1273" s="83">
        <v>46053</v>
      </c>
      <c r="E1273" s="83">
        <v>46053</v>
      </c>
      <c r="F1273" s="82"/>
      <c r="G1273" s="83">
        <v>45994</v>
      </c>
      <c r="H1273" s="82" t="s">
        <v>73</v>
      </c>
      <c r="I1273" s="82" t="s">
        <v>51</v>
      </c>
      <c r="J1273" s="84">
        <v>0.71587100000000004</v>
      </c>
      <c r="K1273" s="85">
        <v>320</v>
      </c>
      <c r="L1273" s="85">
        <v>320</v>
      </c>
      <c r="M1273" s="85">
        <v>0</v>
      </c>
      <c r="N1273" s="85">
        <v>0</v>
      </c>
      <c r="O1273" s="85">
        <v>320</v>
      </c>
      <c r="P1273" s="85">
        <v>447.00791064311858</v>
      </c>
      <c r="Q1273" s="85">
        <v>447.00791064311858</v>
      </c>
      <c r="R1273" s="85">
        <v>0</v>
      </c>
      <c r="S1273" s="85">
        <v>0</v>
      </c>
      <c r="T1273" s="85">
        <v>439.17</v>
      </c>
      <c r="U1273" s="82" t="s">
        <v>3401</v>
      </c>
      <c r="V1273" s="82" t="s">
        <v>3396</v>
      </c>
      <c r="W1273" s="82" t="s">
        <v>3395</v>
      </c>
      <c r="X1273" s="82" t="s">
        <v>3394</v>
      </c>
      <c r="Y1273" s="82" t="s">
        <v>3393</v>
      </c>
    </row>
    <row r="1274" spans="1:25" ht="15" x14ac:dyDescent="0.2">
      <c r="A1274" s="82" t="s">
        <v>4395</v>
      </c>
      <c r="B1274" s="82" t="s">
        <v>109</v>
      </c>
      <c r="C1274" s="83">
        <v>45993</v>
      </c>
      <c r="D1274" s="83">
        <v>46023</v>
      </c>
      <c r="E1274" s="83">
        <v>46023</v>
      </c>
      <c r="F1274" s="83">
        <v>46003</v>
      </c>
      <c r="G1274" s="83">
        <v>45993</v>
      </c>
      <c r="H1274" s="82" t="s">
        <v>4394</v>
      </c>
      <c r="I1274" s="82" t="s">
        <v>51</v>
      </c>
      <c r="J1274" s="84">
        <v>0.71525099999999997</v>
      </c>
      <c r="K1274" s="85">
        <v>5612.5</v>
      </c>
      <c r="L1274" s="85">
        <v>5612.5</v>
      </c>
      <c r="M1274" s="85">
        <v>0</v>
      </c>
      <c r="N1274" s="85">
        <v>5612.5</v>
      </c>
      <c r="O1274" s="85">
        <v>0</v>
      </c>
      <c r="P1274" s="85">
        <v>7846.8957051440684</v>
      </c>
      <c r="Q1274" s="85">
        <v>7846.8957051440684</v>
      </c>
      <c r="R1274" s="85">
        <v>0</v>
      </c>
      <c r="S1274" s="85">
        <v>7721.3252000000002</v>
      </c>
      <c r="T1274" s="85">
        <v>0</v>
      </c>
      <c r="U1274" s="82"/>
      <c r="V1274" s="82" t="s">
        <v>3399</v>
      </c>
      <c r="W1274" s="82" t="s">
        <v>3395</v>
      </c>
      <c r="X1274" s="82" t="s">
        <v>3394</v>
      </c>
      <c r="Y1274" s="82" t="s">
        <v>3393</v>
      </c>
    </row>
    <row r="1275" spans="1:25" ht="15" x14ac:dyDescent="0.2">
      <c r="A1275" s="82" t="s">
        <v>4400</v>
      </c>
      <c r="B1275" s="82" t="s">
        <v>3424</v>
      </c>
      <c r="C1275" s="83">
        <v>45993</v>
      </c>
      <c r="D1275" s="83">
        <v>46023</v>
      </c>
      <c r="E1275" s="83">
        <v>46023</v>
      </c>
      <c r="F1275" s="83">
        <v>45993</v>
      </c>
      <c r="G1275" s="83">
        <v>45993</v>
      </c>
      <c r="H1275" s="82" t="s">
        <v>346</v>
      </c>
      <c r="I1275" s="82" t="s">
        <v>51</v>
      </c>
      <c r="J1275" s="84">
        <v>0.714781</v>
      </c>
      <c r="K1275" s="85">
        <v>2206</v>
      </c>
      <c r="L1275" s="85">
        <v>2206</v>
      </c>
      <c r="M1275" s="85">
        <v>0</v>
      </c>
      <c r="N1275" s="85">
        <v>35</v>
      </c>
      <c r="O1275" s="85">
        <v>2171</v>
      </c>
      <c r="P1275" s="85">
        <v>3086.2599873247891</v>
      </c>
      <c r="Q1275" s="85">
        <v>3086.2599873247891</v>
      </c>
      <c r="R1275" s="85">
        <v>0</v>
      </c>
      <c r="S1275" s="85">
        <v>48.652500000000003</v>
      </c>
      <c r="T1275" s="85">
        <v>2979.52</v>
      </c>
      <c r="U1275" s="82" t="s">
        <v>3401</v>
      </c>
      <c r="V1275" s="82" t="s">
        <v>3396</v>
      </c>
      <c r="W1275" s="82" t="s">
        <v>3395</v>
      </c>
      <c r="X1275" s="82" t="s">
        <v>3394</v>
      </c>
      <c r="Y1275" s="82" t="s">
        <v>3393</v>
      </c>
    </row>
    <row r="1276" spans="1:25" ht="15" x14ac:dyDescent="0.2">
      <c r="A1276" s="82" t="s">
        <v>4398</v>
      </c>
      <c r="B1276" s="82" t="s">
        <v>3424</v>
      </c>
      <c r="C1276" s="83">
        <v>45993</v>
      </c>
      <c r="D1276" s="83">
        <v>46023</v>
      </c>
      <c r="E1276" s="83">
        <v>46023</v>
      </c>
      <c r="F1276" s="82"/>
      <c r="G1276" s="83">
        <v>45993</v>
      </c>
      <c r="H1276" s="82" t="s">
        <v>123</v>
      </c>
      <c r="I1276" s="82" t="s">
        <v>51</v>
      </c>
      <c r="J1276" s="84">
        <v>0.714781</v>
      </c>
      <c r="K1276" s="85">
        <v>3330.81</v>
      </c>
      <c r="L1276" s="85">
        <v>3330.81</v>
      </c>
      <c r="M1276" s="85">
        <v>0</v>
      </c>
      <c r="N1276" s="85">
        <v>0</v>
      </c>
      <c r="O1276" s="85">
        <v>3330.81</v>
      </c>
      <c r="P1276" s="85">
        <v>4659.9028233822664</v>
      </c>
      <c r="Q1276" s="85">
        <v>4659.9028233822664</v>
      </c>
      <c r="R1276" s="85">
        <v>0</v>
      </c>
      <c r="S1276" s="85">
        <v>0</v>
      </c>
      <c r="T1276" s="85">
        <v>4571.2700000000004</v>
      </c>
      <c r="U1276" s="82" t="s">
        <v>3401</v>
      </c>
      <c r="V1276" s="82" t="s">
        <v>3396</v>
      </c>
      <c r="W1276" s="82" t="s">
        <v>3395</v>
      </c>
      <c r="X1276" s="82" t="s">
        <v>3394</v>
      </c>
      <c r="Y1276" s="82" t="s">
        <v>3393</v>
      </c>
    </row>
    <row r="1277" spans="1:25" ht="15" x14ac:dyDescent="0.2">
      <c r="A1277" s="82" t="s">
        <v>5892</v>
      </c>
      <c r="B1277" s="82" t="s">
        <v>3424</v>
      </c>
      <c r="C1277" s="83">
        <v>45994</v>
      </c>
      <c r="D1277" s="83">
        <v>46024</v>
      </c>
      <c r="E1277" s="83">
        <v>46024</v>
      </c>
      <c r="F1277" s="82"/>
      <c r="G1277" s="83">
        <v>45994</v>
      </c>
      <c r="H1277" s="82" t="s">
        <v>5871</v>
      </c>
      <c r="I1277" s="82" t="s">
        <v>51</v>
      </c>
      <c r="J1277" s="84">
        <v>0.716194</v>
      </c>
      <c r="K1277" s="85">
        <v>3203</v>
      </c>
      <c r="L1277" s="85">
        <v>3203</v>
      </c>
      <c r="M1277" s="85">
        <v>0</v>
      </c>
      <c r="N1277" s="85">
        <v>0</v>
      </c>
      <c r="O1277" s="85">
        <v>3203</v>
      </c>
      <c r="P1277" s="85">
        <v>4472.2519317391652</v>
      </c>
      <c r="Q1277" s="85">
        <v>4472.2519317391652</v>
      </c>
      <c r="R1277" s="85">
        <v>0</v>
      </c>
      <c r="S1277" s="85">
        <v>0</v>
      </c>
      <c r="T1277" s="85">
        <v>4395.8599999999997</v>
      </c>
      <c r="U1277" s="82" t="s">
        <v>3401</v>
      </c>
      <c r="V1277" s="82" t="s">
        <v>3396</v>
      </c>
      <c r="W1277" s="82" t="s">
        <v>3395</v>
      </c>
      <c r="X1277" s="82" t="s">
        <v>3394</v>
      </c>
      <c r="Y1277" s="82" t="s">
        <v>3393</v>
      </c>
    </row>
    <row r="1278" spans="1:25" ht="15" x14ac:dyDescent="0.2">
      <c r="A1278" s="82" t="s">
        <v>5954</v>
      </c>
      <c r="B1278" s="82" t="s">
        <v>171</v>
      </c>
      <c r="C1278" s="83">
        <v>45994</v>
      </c>
      <c r="D1278" s="83">
        <v>46024</v>
      </c>
      <c r="E1278" s="83">
        <v>46024</v>
      </c>
      <c r="F1278" s="83">
        <v>46022</v>
      </c>
      <c r="G1278" s="83">
        <v>45995</v>
      </c>
      <c r="H1278" s="82" t="s">
        <v>5864</v>
      </c>
      <c r="I1278" s="82" t="s">
        <v>22</v>
      </c>
      <c r="J1278" s="84">
        <v>0</v>
      </c>
      <c r="K1278" s="85">
        <v>1043</v>
      </c>
      <c r="L1278" s="85">
        <v>1095.1500000000001</v>
      </c>
      <c r="M1278" s="85">
        <v>52.15</v>
      </c>
      <c r="N1278" s="85">
        <v>1095.1500000000001</v>
      </c>
      <c r="O1278" s="85">
        <v>0</v>
      </c>
      <c r="P1278" s="85">
        <v>1043</v>
      </c>
      <c r="Q1278" s="85">
        <v>1095.1500000000001</v>
      </c>
      <c r="R1278" s="85">
        <v>52.15</v>
      </c>
      <c r="S1278" s="85">
        <v>1095.1500000000001</v>
      </c>
      <c r="T1278" s="85">
        <v>0</v>
      </c>
      <c r="U1278" s="82"/>
      <c r="V1278" s="82" t="s">
        <v>3399</v>
      </c>
      <c r="W1278" s="82" t="s">
        <v>3395</v>
      </c>
      <c r="X1278" s="82" t="s">
        <v>3394</v>
      </c>
      <c r="Y1278" s="82" t="s">
        <v>3393</v>
      </c>
    </row>
    <row r="1279" spans="1:25" ht="15" x14ac:dyDescent="0.2">
      <c r="A1279" s="82" t="s">
        <v>5955</v>
      </c>
      <c r="B1279" s="82" t="s">
        <v>54</v>
      </c>
      <c r="C1279" s="83">
        <v>45994</v>
      </c>
      <c r="D1279" s="83">
        <v>46024</v>
      </c>
      <c r="E1279" s="83">
        <v>46024</v>
      </c>
      <c r="F1279" s="82"/>
      <c r="G1279" s="83">
        <v>45995</v>
      </c>
      <c r="H1279" s="82" t="s">
        <v>56</v>
      </c>
      <c r="I1279" s="82" t="s">
        <v>22</v>
      </c>
      <c r="J1279" s="84">
        <v>0</v>
      </c>
      <c r="K1279" s="85">
        <v>2763.21</v>
      </c>
      <c r="L1279" s="85">
        <v>2901.37</v>
      </c>
      <c r="M1279" s="85">
        <v>138.16</v>
      </c>
      <c r="N1279" s="85">
        <v>0</v>
      </c>
      <c r="O1279" s="85">
        <v>2901.37</v>
      </c>
      <c r="P1279" s="85">
        <v>2763.21</v>
      </c>
      <c r="Q1279" s="85">
        <v>2901.37</v>
      </c>
      <c r="R1279" s="85">
        <v>138.16</v>
      </c>
      <c r="S1279" s="85">
        <v>0</v>
      </c>
      <c r="T1279" s="85">
        <v>2901.37</v>
      </c>
      <c r="U1279" s="82"/>
      <c r="V1279" s="82" t="s">
        <v>3396</v>
      </c>
      <c r="W1279" s="82" t="s">
        <v>3395</v>
      </c>
      <c r="X1279" s="82" t="s">
        <v>3394</v>
      </c>
      <c r="Y1279" s="82" t="s">
        <v>3393</v>
      </c>
    </row>
    <row r="1280" spans="1:25" ht="15" x14ac:dyDescent="0.2">
      <c r="A1280" s="82" t="s">
        <v>5956</v>
      </c>
      <c r="B1280" s="82" t="s">
        <v>3412</v>
      </c>
      <c r="C1280" s="83">
        <v>45994</v>
      </c>
      <c r="D1280" s="83">
        <v>46024</v>
      </c>
      <c r="E1280" s="83">
        <v>46024</v>
      </c>
      <c r="F1280" s="82"/>
      <c r="G1280" s="83">
        <v>45995</v>
      </c>
      <c r="H1280" s="82" t="s">
        <v>132</v>
      </c>
      <c r="I1280" s="82" t="s">
        <v>22</v>
      </c>
      <c r="J1280" s="84">
        <v>0</v>
      </c>
      <c r="K1280" s="85">
        <v>709.78</v>
      </c>
      <c r="L1280" s="85">
        <v>745.27</v>
      </c>
      <c r="M1280" s="85">
        <v>35.49</v>
      </c>
      <c r="N1280" s="85">
        <v>0</v>
      </c>
      <c r="O1280" s="85">
        <v>745.27</v>
      </c>
      <c r="P1280" s="85">
        <v>709.78</v>
      </c>
      <c r="Q1280" s="85">
        <v>745.27</v>
      </c>
      <c r="R1280" s="85">
        <v>35.49</v>
      </c>
      <c r="S1280" s="85">
        <v>0</v>
      </c>
      <c r="T1280" s="85">
        <v>745.27</v>
      </c>
      <c r="U1280" s="82"/>
      <c r="V1280" s="82" t="s">
        <v>3396</v>
      </c>
      <c r="W1280" s="82" t="s">
        <v>3395</v>
      </c>
      <c r="X1280" s="82" t="s">
        <v>3394</v>
      </c>
      <c r="Y1280" s="82" t="s">
        <v>3393</v>
      </c>
    </row>
    <row r="1281" spans="1:25" ht="15" x14ac:dyDescent="0.2">
      <c r="A1281" s="82" t="s">
        <v>5957</v>
      </c>
      <c r="B1281" s="82" t="s">
        <v>3412</v>
      </c>
      <c r="C1281" s="83">
        <v>45994</v>
      </c>
      <c r="D1281" s="83">
        <v>46039</v>
      </c>
      <c r="E1281" s="83">
        <v>46039</v>
      </c>
      <c r="F1281" s="82"/>
      <c r="G1281" s="83">
        <v>45995</v>
      </c>
      <c r="H1281" s="82" t="s">
        <v>5884</v>
      </c>
      <c r="I1281" s="82" t="s">
        <v>22</v>
      </c>
      <c r="J1281" s="84">
        <v>0</v>
      </c>
      <c r="K1281" s="85">
        <v>401.67</v>
      </c>
      <c r="L1281" s="85">
        <v>421.75</v>
      </c>
      <c r="M1281" s="85">
        <v>20.079999999999998</v>
      </c>
      <c r="N1281" s="85">
        <v>0</v>
      </c>
      <c r="O1281" s="85">
        <v>421.75</v>
      </c>
      <c r="P1281" s="85">
        <v>401.67</v>
      </c>
      <c r="Q1281" s="85">
        <v>421.75</v>
      </c>
      <c r="R1281" s="85">
        <v>20.079999999999998</v>
      </c>
      <c r="S1281" s="85">
        <v>0</v>
      </c>
      <c r="T1281" s="85">
        <v>421.75</v>
      </c>
      <c r="U1281" s="82"/>
      <c r="V1281" s="82" t="s">
        <v>3396</v>
      </c>
      <c r="W1281" s="82" t="s">
        <v>3395</v>
      </c>
      <c r="X1281" s="82" t="s">
        <v>3394</v>
      </c>
      <c r="Y1281" s="82" t="s">
        <v>3393</v>
      </c>
    </row>
    <row r="1282" spans="1:25" ht="15" x14ac:dyDescent="0.2">
      <c r="A1282" s="82" t="s">
        <v>5958</v>
      </c>
      <c r="B1282" s="82" t="s">
        <v>20</v>
      </c>
      <c r="C1282" s="83">
        <v>45994</v>
      </c>
      <c r="D1282" s="83">
        <v>46024</v>
      </c>
      <c r="E1282" s="83">
        <v>46024</v>
      </c>
      <c r="F1282" s="82"/>
      <c r="G1282" s="83">
        <v>45995</v>
      </c>
      <c r="H1282" s="82" t="s">
        <v>19</v>
      </c>
      <c r="I1282" s="82" t="s">
        <v>22</v>
      </c>
      <c r="J1282" s="84">
        <v>0</v>
      </c>
      <c r="K1282" s="85">
        <v>87.85</v>
      </c>
      <c r="L1282" s="85">
        <v>92.24</v>
      </c>
      <c r="M1282" s="85">
        <v>4.3899999999999997</v>
      </c>
      <c r="N1282" s="85">
        <v>0</v>
      </c>
      <c r="O1282" s="85">
        <v>92.24</v>
      </c>
      <c r="P1282" s="85">
        <v>87.85</v>
      </c>
      <c r="Q1282" s="85">
        <v>92.24</v>
      </c>
      <c r="R1282" s="85">
        <v>4.3899999999999997</v>
      </c>
      <c r="S1282" s="85">
        <v>0</v>
      </c>
      <c r="T1282" s="85">
        <v>92.24</v>
      </c>
      <c r="U1282" s="82"/>
      <c r="V1282" s="82" t="s">
        <v>3396</v>
      </c>
      <c r="W1282" s="82" t="s">
        <v>3395</v>
      </c>
      <c r="X1282" s="82" t="s">
        <v>3394</v>
      </c>
      <c r="Y1282" s="82" t="s">
        <v>3393</v>
      </c>
    </row>
    <row r="1283" spans="1:25" ht="15" x14ac:dyDescent="0.2">
      <c r="A1283" s="82" t="s">
        <v>5959</v>
      </c>
      <c r="B1283" s="82" t="s">
        <v>35</v>
      </c>
      <c r="C1283" s="83">
        <v>45994</v>
      </c>
      <c r="D1283" s="83">
        <v>46024</v>
      </c>
      <c r="E1283" s="83">
        <v>46024</v>
      </c>
      <c r="F1283" s="82"/>
      <c r="G1283" s="83">
        <v>45995</v>
      </c>
      <c r="H1283" s="82" t="s">
        <v>34</v>
      </c>
      <c r="I1283" s="82" t="s">
        <v>22</v>
      </c>
      <c r="J1283" s="84">
        <v>0</v>
      </c>
      <c r="K1283" s="85">
        <v>1808.56</v>
      </c>
      <c r="L1283" s="85">
        <v>1898.98</v>
      </c>
      <c r="M1283" s="85">
        <v>90.42</v>
      </c>
      <c r="N1283" s="85">
        <v>0</v>
      </c>
      <c r="O1283" s="85">
        <v>1898.98</v>
      </c>
      <c r="P1283" s="85">
        <v>1808.56</v>
      </c>
      <c r="Q1283" s="85">
        <v>1898.98</v>
      </c>
      <c r="R1283" s="85">
        <v>90.42</v>
      </c>
      <c r="S1283" s="85">
        <v>0</v>
      </c>
      <c r="T1283" s="85">
        <v>1898.98</v>
      </c>
      <c r="U1283" s="82"/>
      <c r="V1283" s="82" t="s">
        <v>3396</v>
      </c>
      <c r="W1283" s="82" t="s">
        <v>3395</v>
      </c>
      <c r="X1283" s="82" t="s">
        <v>3394</v>
      </c>
      <c r="Y1283" s="82" t="s">
        <v>3393</v>
      </c>
    </row>
    <row r="1284" spans="1:25" ht="15" x14ac:dyDescent="0.2">
      <c r="A1284" s="82" t="s">
        <v>5960</v>
      </c>
      <c r="B1284" s="82" t="s">
        <v>35</v>
      </c>
      <c r="C1284" s="83">
        <v>45994</v>
      </c>
      <c r="D1284" s="83">
        <v>46024</v>
      </c>
      <c r="E1284" s="83">
        <v>46024</v>
      </c>
      <c r="F1284" s="82"/>
      <c r="G1284" s="83">
        <v>45995</v>
      </c>
      <c r="H1284" s="82" t="s">
        <v>5876</v>
      </c>
      <c r="I1284" s="82" t="s">
        <v>22</v>
      </c>
      <c r="J1284" s="84">
        <v>0</v>
      </c>
      <c r="K1284" s="85">
        <v>1066.47</v>
      </c>
      <c r="L1284" s="85">
        <v>1119.8</v>
      </c>
      <c r="M1284" s="85">
        <v>53.33</v>
      </c>
      <c r="N1284" s="85">
        <v>0</v>
      </c>
      <c r="O1284" s="85">
        <v>1119.8</v>
      </c>
      <c r="P1284" s="85">
        <v>1066.47</v>
      </c>
      <c r="Q1284" s="85">
        <v>1119.8</v>
      </c>
      <c r="R1284" s="85">
        <v>53.33</v>
      </c>
      <c r="S1284" s="85">
        <v>0</v>
      </c>
      <c r="T1284" s="85">
        <v>1119.8</v>
      </c>
      <c r="U1284" s="82"/>
      <c r="V1284" s="82" t="s">
        <v>3396</v>
      </c>
      <c r="W1284" s="82" t="s">
        <v>3395</v>
      </c>
      <c r="X1284" s="82" t="s">
        <v>3394</v>
      </c>
      <c r="Y1284" s="82" t="s">
        <v>3393</v>
      </c>
    </row>
    <row r="1285" spans="1:25" ht="15" x14ac:dyDescent="0.2">
      <c r="A1285" s="82" t="s">
        <v>5961</v>
      </c>
      <c r="B1285" s="82" t="s">
        <v>26</v>
      </c>
      <c r="C1285" s="83">
        <v>45996</v>
      </c>
      <c r="D1285" s="83">
        <v>46056</v>
      </c>
      <c r="E1285" s="83">
        <v>46056</v>
      </c>
      <c r="F1285" s="82"/>
      <c r="G1285" s="83">
        <v>45996</v>
      </c>
      <c r="H1285" s="82" t="s">
        <v>25</v>
      </c>
      <c r="I1285" s="82" t="s">
        <v>22</v>
      </c>
      <c r="J1285" s="84">
        <v>0</v>
      </c>
      <c r="K1285" s="85">
        <v>1135.32</v>
      </c>
      <c r="L1285" s="85">
        <v>1192.08</v>
      </c>
      <c r="M1285" s="85">
        <v>56.76</v>
      </c>
      <c r="N1285" s="85">
        <v>0</v>
      </c>
      <c r="O1285" s="85">
        <v>1192.08</v>
      </c>
      <c r="P1285" s="85">
        <v>1135.32</v>
      </c>
      <c r="Q1285" s="85">
        <v>1192.08</v>
      </c>
      <c r="R1285" s="85">
        <v>56.76</v>
      </c>
      <c r="S1285" s="85">
        <v>0</v>
      </c>
      <c r="T1285" s="85">
        <v>1192.08</v>
      </c>
      <c r="U1285" s="82"/>
      <c r="V1285" s="82" t="s">
        <v>3396</v>
      </c>
      <c r="W1285" s="82" t="s">
        <v>3395</v>
      </c>
      <c r="X1285" s="82" t="s">
        <v>3394</v>
      </c>
      <c r="Y1285" s="82" t="s">
        <v>3393</v>
      </c>
    </row>
    <row r="1286" spans="1:25" ht="15" x14ac:dyDescent="0.2">
      <c r="A1286" s="82" t="s">
        <v>5962</v>
      </c>
      <c r="B1286" s="82" t="s">
        <v>146</v>
      </c>
      <c r="C1286" s="83">
        <v>45996</v>
      </c>
      <c r="D1286" s="83">
        <v>46026</v>
      </c>
      <c r="E1286" s="83">
        <v>46026</v>
      </c>
      <c r="F1286" s="82"/>
      <c r="G1286" s="83">
        <v>45996</v>
      </c>
      <c r="H1286" s="82" t="s">
        <v>5963</v>
      </c>
      <c r="I1286" s="82" t="s">
        <v>22</v>
      </c>
      <c r="J1286" s="84">
        <v>0</v>
      </c>
      <c r="K1286" s="85">
        <v>861.5</v>
      </c>
      <c r="L1286" s="85">
        <v>904.58</v>
      </c>
      <c r="M1286" s="85">
        <v>43.08</v>
      </c>
      <c r="N1286" s="85">
        <v>0</v>
      </c>
      <c r="O1286" s="85">
        <v>904.58</v>
      </c>
      <c r="P1286" s="85">
        <v>861.5</v>
      </c>
      <c r="Q1286" s="85">
        <v>904.58</v>
      </c>
      <c r="R1286" s="85">
        <v>43.08</v>
      </c>
      <c r="S1286" s="85">
        <v>0</v>
      </c>
      <c r="T1286" s="85">
        <v>904.58</v>
      </c>
      <c r="U1286" s="82"/>
      <c r="V1286" s="82" t="s">
        <v>3396</v>
      </c>
      <c r="W1286" s="82" t="s">
        <v>3395</v>
      </c>
      <c r="X1286" s="82" t="s">
        <v>3394</v>
      </c>
      <c r="Y1286" s="82" t="s">
        <v>3393</v>
      </c>
    </row>
    <row r="1287" spans="1:25" ht="15" x14ac:dyDescent="0.2">
      <c r="A1287" s="82" t="s">
        <v>5964</v>
      </c>
      <c r="B1287" s="82" t="s">
        <v>3485</v>
      </c>
      <c r="C1287" s="83">
        <v>45996</v>
      </c>
      <c r="D1287" s="83">
        <v>46026</v>
      </c>
      <c r="E1287" s="83">
        <v>46026</v>
      </c>
      <c r="F1287" s="83">
        <v>46014</v>
      </c>
      <c r="G1287" s="83">
        <v>45996</v>
      </c>
      <c r="H1287" s="82" t="s">
        <v>163</v>
      </c>
      <c r="I1287" s="82" t="s">
        <v>22</v>
      </c>
      <c r="J1287" s="84">
        <v>0</v>
      </c>
      <c r="K1287" s="85">
        <v>2355.7600000000002</v>
      </c>
      <c r="L1287" s="85">
        <v>2473.5500000000002</v>
      </c>
      <c r="M1287" s="85">
        <v>117.79</v>
      </c>
      <c r="N1287" s="85">
        <v>2473.5500000000002</v>
      </c>
      <c r="O1287" s="85">
        <v>0</v>
      </c>
      <c r="P1287" s="85">
        <v>2355.7600000000002</v>
      </c>
      <c r="Q1287" s="85">
        <v>2473.5500000000002</v>
      </c>
      <c r="R1287" s="85">
        <v>117.79</v>
      </c>
      <c r="S1287" s="85">
        <v>2473.5500000000002</v>
      </c>
      <c r="T1287" s="85">
        <v>0</v>
      </c>
      <c r="U1287" s="82"/>
      <c r="V1287" s="82" t="s">
        <v>3399</v>
      </c>
      <c r="W1287" s="82" t="s">
        <v>3395</v>
      </c>
      <c r="X1287" s="82" t="s">
        <v>3394</v>
      </c>
      <c r="Y1287" s="82" t="s">
        <v>3393</v>
      </c>
    </row>
    <row r="1288" spans="1:25" ht="15" x14ac:dyDescent="0.2">
      <c r="A1288" s="82" t="s">
        <v>5965</v>
      </c>
      <c r="B1288" s="82" t="s">
        <v>316</v>
      </c>
      <c r="C1288" s="83">
        <v>45996</v>
      </c>
      <c r="D1288" s="83">
        <v>46026</v>
      </c>
      <c r="E1288" s="83">
        <v>46026</v>
      </c>
      <c r="F1288" s="82"/>
      <c r="G1288" s="83">
        <v>45996</v>
      </c>
      <c r="H1288" s="82" t="s">
        <v>315</v>
      </c>
      <c r="I1288" s="82" t="s">
        <v>22</v>
      </c>
      <c r="J1288" s="84">
        <v>0</v>
      </c>
      <c r="K1288" s="85">
        <v>1449.56</v>
      </c>
      <c r="L1288" s="85">
        <v>1522.04</v>
      </c>
      <c r="M1288" s="85">
        <v>72.48</v>
      </c>
      <c r="N1288" s="85">
        <v>0</v>
      </c>
      <c r="O1288" s="85">
        <v>1522.04</v>
      </c>
      <c r="P1288" s="85">
        <v>1449.56</v>
      </c>
      <c r="Q1288" s="85">
        <v>1522.04</v>
      </c>
      <c r="R1288" s="85">
        <v>72.48</v>
      </c>
      <c r="S1288" s="85">
        <v>0</v>
      </c>
      <c r="T1288" s="85">
        <v>1522.04</v>
      </c>
      <c r="U1288" s="82"/>
      <c r="V1288" s="82" t="s">
        <v>3396</v>
      </c>
      <c r="W1288" s="82" t="s">
        <v>3395</v>
      </c>
      <c r="X1288" s="82" t="s">
        <v>3394</v>
      </c>
      <c r="Y1288" s="82" t="s">
        <v>3393</v>
      </c>
    </row>
    <row r="1289" spans="1:25" ht="15" x14ac:dyDescent="0.2">
      <c r="A1289" s="82" t="s">
        <v>5966</v>
      </c>
      <c r="B1289" s="82" t="s">
        <v>32</v>
      </c>
      <c r="C1289" s="83">
        <v>45996</v>
      </c>
      <c r="D1289" s="83">
        <v>46026</v>
      </c>
      <c r="E1289" s="83">
        <v>46026</v>
      </c>
      <c r="F1289" s="82"/>
      <c r="G1289" s="83">
        <v>45996</v>
      </c>
      <c r="H1289" s="82" t="s">
        <v>5967</v>
      </c>
      <c r="I1289" s="82" t="s">
        <v>22</v>
      </c>
      <c r="J1289" s="84">
        <v>0</v>
      </c>
      <c r="K1289" s="85">
        <v>8796.2800000000007</v>
      </c>
      <c r="L1289" s="85">
        <v>9939.7999999999993</v>
      </c>
      <c r="M1289" s="85">
        <v>1143.52</v>
      </c>
      <c r="N1289" s="85">
        <v>0</v>
      </c>
      <c r="O1289" s="85">
        <v>9939.7999999999993</v>
      </c>
      <c r="P1289" s="85">
        <v>8796.2800000000007</v>
      </c>
      <c r="Q1289" s="85">
        <v>9939.7999999999993</v>
      </c>
      <c r="R1289" s="85">
        <v>1143.52</v>
      </c>
      <c r="S1289" s="85">
        <v>0</v>
      </c>
      <c r="T1289" s="85">
        <v>9939.7999999999993</v>
      </c>
      <c r="U1289" s="82"/>
      <c r="V1289" s="82" t="s">
        <v>3396</v>
      </c>
      <c r="W1289" s="82" t="s">
        <v>3395</v>
      </c>
      <c r="X1289" s="82" t="s">
        <v>3394</v>
      </c>
      <c r="Y1289" s="82" t="s">
        <v>3393</v>
      </c>
    </row>
    <row r="1290" spans="1:25" ht="15" x14ac:dyDescent="0.2">
      <c r="A1290" s="82" t="s">
        <v>5968</v>
      </c>
      <c r="B1290" s="82" t="s">
        <v>32</v>
      </c>
      <c r="C1290" s="83">
        <v>45996</v>
      </c>
      <c r="D1290" s="83">
        <v>46026</v>
      </c>
      <c r="E1290" s="83">
        <v>46026</v>
      </c>
      <c r="F1290" s="82"/>
      <c r="G1290" s="83">
        <v>45996</v>
      </c>
      <c r="H1290" s="82" t="s">
        <v>31</v>
      </c>
      <c r="I1290" s="82" t="s">
        <v>22</v>
      </c>
      <c r="J1290" s="84">
        <v>0</v>
      </c>
      <c r="K1290" s="85">
        <v>418.33</v>
      </c>
      <c r="L1290" s="85">
        <v>472.71</v>
      </c>
      <c r="M1290" s="85">
        <v>54.38</v>
      </c>
      <c r="N1290" s="85">
        <v>0</v>
      </c>
      <c r="O1290" s="85">
        <v>472.71</v>
      </c>
      <c r="P1290" s="85">
        <v>418.33</v>
      </c>
      <c r="Q1290" s="85">
        <v>472.71</v>
      </c>
      <c r="R1290" s="85">
        <v>54.38</v>
      </c>
      <c r="S1290" s="85">
        <v>0</v>
      </c>
      <c r="T1290" s="85">
        <v>472.71</v>
      </c>
      <c r="U1290" s="82"/>
      <c r="V1290" s="82" t="s">
        <v>3396</v>
      </c>
      <c r="W1290" s="82" t="s">
        <v>3395</v>
      </c>
      <c r="X1290" s="82" t="s">
        <v>3394</v>
      </c>
      <c r="Y1290" s="82" t="s">
        <v>3393</v>
      </c>
    </row>
    <row r="1291" spans="1:25" ht="15" x14ac:dyDescent="0.2">
      <c r="A1291" s="82" t="s">
        <v>5969</v>
      </c>
      <c r="B1291" s="82" t="s">
        <v>159</v>
      </c>
      <c r="C1291" s="83">
        <v>45999</v>
      </c>
      <c r="D1291" s="83">
        <v>46044</v>
      </c>
      <c r="E1291" s="83">
        <v>46044</v>
      </c>
      <c r="F1291" s="82"/>
      <c r="G1291" s="83">
        <v>45999</v>
      </c>
      <c r="H1291" s="82" t="s">
        <v>158</v>
      </c>
      <c r="I1291" s="82" t="s">
        <v>51</v>
      </c>
      <c r="J1291" s="84">
        <v>0.721584</v>
      </c>
      <c r="K1291" s="85">
        <v>998.44</v>
      </c>
      <c r="L1291" s="85">
        <v>998.44</v>
      </c>
      <c r="M1291" s="85">
        <v>0</v>
      </c>
      <c r="N1291" s="85">
        <v>0</v>
      </c>
      <c r="O1291" s="85">
        <v>998.44</v>
      </c>
      <c r="P1291" s="85">
        <v>1383.6781303354842</v>
      </c>
      <c r="Q1291" s="85">
        <v>1383.6781303354842</v>
      </c>
      <c r="R1291" s="85">
        <v>0</v>
      </c>
      <c r="S1291" s="85">
        <v>0</v>
      </c>
      <c r="T1291" s="85">
        <v>1370.28</v>
      </c>
      <c r="U1291" s="82" t="s">
        <v>3401</v>
      </c>
      <c r="V1291" s="82" t="s">
        <v>3396</v>
      </c>
      <c r="W1291" s="82" t="s">
        <v>3395</v>
      </c>
      <c r="X1291" s="82" t="s">
        <v>3397</v>
      </c>
      <c r="Y1291" s="82" t="s">
        <v>3393</v>
      </c>
    </row>
    <row r="1292" spans="1:25" ht="15" x14ac:dyDescent="0.2">
      <c r="A1292" s="82" t="s">
        <v>5970</v>
      </c>
      <c r="B1292" s="82" t="s">
        <v>159</v>
      </c>
      <c r="C1292" s="83">
        <v>45999</v>
      </c>
      <c r="D1292" s="83">
        <v>46044</v>
      </c>
      <c r="E1292" s="83">
        <v>46044</v>
      </c>
      <c r="F1292" s="82"/>
      <c r="G1292" s="83">
        <v>45999</v>
      </c>
      <c r="H1292" s="82" t="s">
        <v>748</v>
      </c>
      <c r="I1292" s="82" t="s">
        <v>51</v>
      </c>
      <c r="J1292" s="84">
        <v>0.721584</v>
      </c>
      <c r="K1292" s="85">
        <v>34786</v>
      </c>
      <c r="L1292" s="85">
        <v>34786</v>
      </c>
      <c r="M1292" s="85">
        <v>0</v>
      </c>
      <c r="N1292" s="85">
        <v>0</v>
      </c>
      <c r="O1292" s="85">
        <v>34786</v>
      </c>
      <c r="P1292" s="85">
        <v>48207.831659238567</v>
      </c>
      <c r="Q1292" s="85">
        <v>48207.831659238567</v>
      </c>
      <c r="R1292" s="85">
        <v>0</v>
      </c>
      <c r="S1292" s="85">
        <v>0</v>
      </c>
      <c r="T1292" s="85">
        <v>47741</v>
      </c>
      <c r="U1292" s="82" t="s">
        <v>3401</v>
      </c>
      <c r="V1292" s="82" t="s">
        <v>3396</v>
      </c>
      <c r="W1292" s="82" t="s">
        <v>3395</v>
      </c>
      <c r="X1292" s="82" t="s">
        <v>3397</v>
      </c>
      <c r="Y1292" s="82" t="s">
        <v>3393</v>
      </c>
    </row>
    <row r="1293" spans="1:25" ht="15" x14ac:dyDescent="0.2">
      <c r="A1293" s="82" t="s">
        <v>5971</v>
      </c>
      <c r="B1293" s="82" t="s">
        <v>159</v>
      </c>
      <c r="C1293" s="83">
        <v>45999</v>
      </c>
      <c r="D1293" s="83">
        <v>46044</v>
      </c>
      <c r="E1293" s="83">
        <v>46044</v>
      </c>
      <c r="F1293" s="82"/>
      <c r="G1293" s="83">
        <v>45999</v>
      </c>
      <c r="H1293" s="82" t="s">
        <v>363</v>
      </c>
      <c r="I1293" s="82" t="s">
        <v>51</v>
      </c>
      <c r="J1293" s="84">
        <v>0.721584</v>
      </c>
      <c r="K1293" s="85">
        <v>998.44</v>
      </c>
      <c r="L1293" s="85">
        <v>998.44</v>
      </c>
      <c r="M1293" s="85">
        <v>0</v>
      </c>
      <c r="N1293" s="85">
        <v>0</v>
      </c>
      <c r="O1293" s="85">
        <v>998.44</v>
      </c>
      <c r="P1293" s="85">
        <v>1383.6781303354842</v>
      </c>
      <c r="Q1293" s="85">
        <v>1383.6781303354842</v>
      </c>
      <c r="R1293" s="85">
        <v>0</v>
      </c>
      <c r="S1293" s="85">
        <v>0</v>
      </c>
      <c r="T1293" s="85">
        <v>1370.28</v>
      </c>
      <c r="U1293" s="82" t="s">
        <v>3401</v>
      </c>
      <c r="V1293" s="82" t="s">
        <v>3396</v>
      </c>
      <c r="W1293" s="82" t="s">
        <v>3395</v>
      </c>
      <c r="X1293" s="82" t="s">
        <v>3397</v>
      </c>
      <c r="Y1293" s="82" t="s">
        <v>3393</v>
      </c>
    </row>
    <row r="1294" spans="1:25" ht="15" x14ac:dyDescent="0.2">
      <c r="A1294" s="82" t="s">
        <v>5972</v>
      </c>
      <c r="B1294" s="82" t="s">
        <v>159</v>
      </c>
      <c r="C1294" s="83">
        <v>45999</v>
      </c>
      <c r="D1294" s="83">
        <v>46044</v>
      </c>
      <c r="E1294" s="83">
        <v>46044</v>
      </c>
      <c r="F1294" s="82"/>
      <c r="G1294" s="83">
        <v>45999</v>
      </c>
      <c r="H1294" s="82" t="s">
        <v>520</v>
      </c>
      <c r="I1294" s="82" t="s">
        <v>51</v>
      </c>
      <c r="J1294" s="84">
        <v>0.721584</v>
      </c>
      <c r="K1294" s="85">
        <v>3175.32</v>
      </c>
      <c r="L1294" s="85">
        <v>3175.32</v>
      </c>
      <c r="M1294" s="85">
        <v>0</v>
      </c>
      <c r="N1294" s="85">
        <v>0</v>
      </c>
      <c r="O1294" s="85">
        <v>3175.32</v>
      </c>
      <c r="P1294" s="85">
        <v>4400.4855983502957</v>
      </c>
      <c r="Q1294" s="85">
        <v>4400.4855983502957</v>
      </c>
      <c r="R1294" s="85">
        <v>0</v>
      </c>
      <c r="S1294" s="85">
        <v>0</v>
      </c>
      <c r="T1294" s="85">
        <v>4357.87</v>
      </c>
      <c r="U1294" s="82" t="s">
        <v>3401</v>
      </c>
      <c r="V1294" s="82" t="s">
        <v>3396</v>
      </c>
      <c r="W1294" s="82" t="s">
        <v>3395</v>
      </c>
      <c r="X1294" s="82" t="s">
        <v>3397</v>
      </c>
      <c r="Y1294" s="82" t="s">
        <v>3393</v>
      </c>
    </row>
    <row r="1295" spans="1:25" ht="15" x14ac:dyDescent="0.2">
      <c r="A1295" s="82" t="s">
        <v>5973</v>
      </c>
      <c r="B1295" s="82" t="s">
        <v>159</v>
      </c>
      <c r="C1295" s="83">
        <v>45999</v>
      </c>
      <c r="D1295" s="83">
        <v>46044</v>
      </c>
      <c r="E1295" s="83">
        <v>46044</v>
      </c>
      <c r="F1295" s="82"/>
      <c r="G1295" s="83">
        <v>45999</v>
      </c>
      <c r="H1295" s="82" t="s">
        <v>1290</v>
      </c>
      <c r="I1295" s="82" t="s">
        <v>51</v>
      </c>
      <c r="J1295" s="84">
        <v>0.721584</v>
      </c>
      <c r="K1295" s="85">
        <v>6955</v>
      </c>
      <c r="L1295" s="85">
        <v>6955</v>
      </c>
      <c r="M1295" s="85">
        <v>0</v>
      </c>
      <c r="N1295" s="85">
        <v>0</v>
      </c>
      <c r="O1295" s="85">
        <v>6955</v>
      </c>
      <c r="P1295" s="85">
        <v>9638.5174837579543</v>
      </c>
      <c r="Q1295" s="85">
        <v>9638.5174837579543</v>
      </c>
      <c r="R1295" s="85">
        <v>0</v>
      </c>
      <c r="S1295" s="85">
        <v>0</v>
      </c>
      <c r="T1295" s="85">
        <v>9545.18</v>
      </c>
      <c r="U1295" s="82" t="s">
        <v>3401</v>
      </c>
      <c r="V1295" s="82" t="s">
        <v>3396</v>
      </c>
      <c r="W1295" s="82" t="s">
        <v>3395</v>
      </c>
      <c r="X1295" s="82" t="s">
        <v>3397</v>
      </c>
      <c r="Y1295" s="82" t="s">
        <v>3393</v>
      </c>
    </row>
    <row r="1296" spans="1:25" ht="15" x14ac:dyDescent="0.2">
      <c r="A1296" s="82" t="s">
        <v>5974</v>
      </c>
      <c r="B1296" s="82" t="s">
        <v>149</v>
      </c>
      <c r="C1296" s="83">
        <v>45999</v>
      </c>
      <c r="D1296" s="83">
        <v>45999</v>
      </c>
      <c r="E1296" s="83">
        <v>45999</v>
      </c>
      <c r="F1296" s="82"/>
      <c r="G1296" s="83">
        <v>45999</v>
      </c>
      <c r="H1296" s="82" t="s">
        <v>5975</v>
      </c>
      <c r="I1296" s="82" t="s">
        <v>51</v>
      </c>
      <c r="J1296" s="84">
        <v>0.72203700000000004</v>
      </c>
      <c r="K1296" s="85">
        <v>1823.88</v>
      </c>
      <c r="L1296" s="85">
        <v>1823.88</v>
      </c>
      <c r="M1296" s="85">
        <v>0</v>
      </c>
      <c r="N1296" s="85">
        <v>0</v>
      </c>
      <c r="O1296" s="85">
        <v>1823.88</v>
      </c>
      <c r="P1296" s="85">
        <v>2526.020134702238</v>
      </c>
      <c r="Q1296" s="85">
        <v>2526.020134702238</v>
      </c>
      <c r="R1296" s="85">
        <v>0</v>
      </c>
      <c r="S1296" s="85">
        <v>0</v>
      </c>
      <c r="T1296" s="85">
        <v>2503.13</v>
      </c>
      <c r="U1296" s="82" t="s">
        <v>3401</v>
      </c>
      <c r="V1296" s="82" t="s">
        <v>3396</v>
      </c>
      <c r="W1296" s="82" t="s">
        <v>3395</v>
      </c>
      <c r="X1296" s="82" t="s">
        <v>3394</v>
      </c>
      <c r="Y1296" s="82" t="s">
        <v>3393</v>
      </c>
    </row>
    <row r="1297" spans="1:25" ht="15" x14ac:dyDescent="0.2">
      <c r="A1297" s="82" t="s">
        <v>5976</v>
      </c>
      <c r="B1297" s="82" t="s">
        <v>3537</v>
      </c>
      <c r="C1297" s="83">
        <v>45999</v>
      </c>
      <c r="D1297" s="83">
        <v>46029</v>
      </c>
      <c r="E1297" s="83">
        <v>46029</v>
      </c>
      <c r="F1297" s="82"/>
      <c r="G1297" s="83">
        <v>45999</v>
      </c>
      <c r="H1297" s="82" t="s">
        <v>5977</v>
      </c>
      <c r="I1297" s="82" t="s">
        <v>22</v>
      </c>
      <c r="J1297" s="84">
        <v>0</v>
      </c>
      <c r="K1297" s="85">
        <v>74.84</v>
      </c>
      <c r="L1297" s="85">
        <v>78.58</v>
      </c>
      <c r="M1297" s="85">
        <v>3.74</v>
      </c>
      <c r="N1297" s="85">
        <v>0</v>
      </c>
      <c r="O1297" s="85">
        <v>78.58</v>
      </c>
      <c r="P1297" s="85">
        <v>74.84</v>
      </c>
      <c r="Q1297" s="85">
        <v>78.58</v>
      </c>
      <c r="R1297" s="85">
        <v>3.74</v>
      </c>
      <c r="S1297" s="85">
        <v>0</v>
      </c>
      <c r="T1297" s="85">
        <v>78.58</v>
      </c>
      <c r="U1297" s="82"/>
      <c r="V1297" s="82" t="s">
        <v>3396</v>
      </c>
      <c r="W1297" s="82" t="s">
        <v>3395</v>
      </c>
      <c r="X1297" s="82" t="s">
        <v>3394</v>
      </c>
      <c r="Y1297" s="82" t="s">
        <v>3393</v>
      </c>
    </row>
    <row r="1298" spans="1:25" ht="15" x14ac:dyDescent="0.2">
      <c r="A1298" s="82" t="s">
        <v>5978</v>
      </c>
      <c r="B1298" s="82" t="s">
        <v>146</v>
      </c>
      <c r="C1298" s="83">
        <v>45999</v>
      </c>
      <c r="D1298" s="83">
        <v>46029</v>
      </c>
      <c r="E1298" s="83">
        <v>46029</v>
      </c>
      <c r="F1298" s="82"/>
      <c r="G1298" s="83">
        <v>45999</v>
      </c>
      <c r="H1298" s="82" t="s">
        <v>270</v>
      </c>
      <c r="I1298" s="82" t="s">
        <v>22</v>
      </c>
      <c r="J1298" s="84">
        <v>0</v>
      </c>
      <c r="K1298" s="85">
        <v>646.28</v>
      </c>
      <c r="L1298" s="85">
        <v>678.59</v>
      </c>
      <c r="M1298" s="85">
        <v>32.31</v>
      </c>
      <c r="N1298" s="85">
        <v>0</v>
      </c>
      <c r="O1298" s="85">
        <v>678.59</v>
      </c>
      <c r="P1298" s="85">
        <v>646.28</v>
      </c>
      <c r="Q1298" s="85">
        <v>678.59</v>
      </c>
      <c r="R1298" s="85">
        <v>32.31</v>
      </c>
      <c r="S1298" s="85">
        <v>0</v>
      </c>
      <c r="T1298" s="85">
        <v>678.59</v>
      </c>
      <c r="U1298" s="82"/>
      <c r="V1298" s="82" t="s">
        <v>3396</v>
      </c>
      <c r="W1298" s="82" t="s">
        <v>3395</v>
      </c>
      <c r="X1298" s="82" t="s">
        <v>3394</v>
      </c>
      <c r="Y1298" s="82" t="s">
        <v>3393</v>
      </c>
    </row>
    <row r="1299" spans="1:25" ht="15" x14ac:dyDescent="0.2">
      <c r="A1299" s="82" t="s">
        <v>5979</v>
      </c>
      <c r="B1299" s="82" t="s">
        <v>198</v>
      </c>
      <c r="C1299" s="83">
        <v>46000</v>
      </c>
      <c r="D1299" s="83">
        <v>46010</v>
      </c>
      <c r="E1299" s="83">
        <v>46010</v>
      </c>
      <c r="F1299" s="83">
        <v>46022</v>
      </c>
      <c r="G1299" s="83">
        <v>46000</v>
      </c>
      <c r="H1299" s="82"/>
      <c r="I1299" s="82" t="s">
        <v>51</v>
      </c>
      <c r="J1299" s="84">
        <v>0.72173500000000002</v>
      </c>
      <c r="K1299" s="85">
        <v>330</v>
      </c>
      <c r="L1299" s="85">
        <v>330</v>
      </c>
      <c r="M1299" s="85">
        <v>0</v>
      </c>
      <c r="N1299" s="85">
        <v>330</v>
      </c>
      <c r="O1299" s="85">
        <v>0</v>
      </c>
      <c r="P1299" s="85">
        <v>457.23153234913087</v>
      </c>
      <c r="Q1299" s="85">
        <v>457.23153234913087</v>
      </c>
      <c r="R1299" s="85">
        <v>0</v>
      </c>
      <c r="S1299" s="85">
        <v>452.89859999999999</v>
      </c>
      <c r="T1299" s="85">
        <v>0</v>
      </c>
      <c r="U1299" s="82"/>
      <c r="V1299" s="82" t="s">
        <v>3399</v>
      </c>
      <c r="W1299" s="82" t="s">
        <v>3395</v>
      </c>
      <c r="X1299" s="82" t="s">
        <v>3394</v>
      </c>
      <c r="Y1299" s="82" t="s">
        <v>3393</v>
      </c>
    </row>
    <row r="1300" spans="1:25" ht="15" x14ac:dyDescent="0.2">
      <c r="A1300" s="82" t="s">
        <v>5980</v>
      </c>
      <c r="B1300" s="82" t="s">
        <v>3412</v>
      </c>
      <c r="C1300" s="83">
        <v>46000</v>
      </c>
      <c r="D1300" s="83">
        <v>46045</v>
      </c>
      <c r="E1300" s="83">
        <v>46045</v>
      </c>
      <c r="F1300" s="82"/>
      <c r="G1300" s="83">
        <v>46000</v>
      </c>
      <c r="H1300" s="82" t="s">
        <v>5981</v>
      </c>
      <c r="I1300" s="82" t="s">
        <v>22</v>
      </c>
      <c r="J1300" s="84">
        <v>0</v>
      </c>
      <c r="K1300" s="85">
        <v>1143.57</v>
      </c>
      <c r="L1300" s="85">
        <v>1200.75</v>
      </c>
      <c r="M1300" s="85">
        <v>57.18</v>
      </c>
      <c r="N1300" s="85">
        <v>0</v>
      </c>
      <c r="O1300" s="85">
        <v>1200.75</v>
      </c>
      <c r="P1300" s="85">
        <v>1143.57</v>
      </c>
      <c r="Q1300" s="85">
        <v>1200.75</v>
      </c>
      <c r="R1300" s="85">
        <v>57.18</v>
      </c>
      <c r="S1300" s="85">
        <v>0</v>
      </c>
      <c r="T1300" s="85">
        <v>1200.75</v>
      </c>
      <c r="U1300" s="82"/>
      <c r="V1300" s="82" t="s">
        <v>3396</v>
      </c>
      <c r="W1300" s="82" t="s">
        <v>3395</v>
      </c>
      <c r="X1300" s="82" t="s">
        <v>3394</v>
      </c>
      <c r="Y1300" s="82" t="s">
        <v>3393</v>
      </c>
    </row>
    <row r="1301" spans="1:25" ht="15" x14ac:dyDescent="0.2">
      <c r="A1301" s="82" t="s">
        <v>5982</v>
      </c>
      <c r="B1301" s="82" t="s">
        <v>429</v>
      </c>
      <c r="C1301" s="83">
        <v>46000</v>
      </c>
      <c r="D1301" s="83">
        <v>46000</v>
      </c>
      <c r="E1301" s="83">
        <v>46000</v>
      </c>
      <c r="F1301" s="82"/>
      <c r="G1301" s="83">
        <v>46000</v>
      </c>
      <c r="H1301" s="82" t="s">
        <v>5983</v>
      </c>
      <c r="I1301" s="82" t="s">
        <v>22</v>
      </c>
      <c r="J1301" s="84">
        <v>0</v>
      </c>
      <c r="K1301" s="85">
        <v>754.36</v>
      </c>
      <c r="L1301" s="85">
        <v>792.08</v>
      </c>
      <c r="M1301" s="85">
        <v>37.72</v>
      </c>
      <c r="N1301" s="85">
        <v>0</v>
      </c>
      <c r="O1301" s="85">
        <v>792.08</v>
      </c>
      <c r="P1301" s="85">
        <v>754.36</v>
      </c>
      <c r="Q1301" s="85">
        <v>792.08</v>
      </c>
      <c r="R1301" s="85">
        <v>37.72</v>
      </c>
      <c r="S1301" s="85">
        <v>0</v>
      </c>
      <c r="T1301" s="85">
        <v>792.08</v>
      </c>
      <c r="U1301" s="82"/>
      <c r="V1301" s="82" t="s">
        <v>3396</v>
      </c>
      <c r="W1301" s="82" t="s">
        <v>3395</v>
      </c>
      <c r="X1301" s="82" t="s">
        <v>3397</v>
      </c>
      <c r="Y1301" s="82" t="s">
        <v>3393</v>
      </c>
    </row>
    <row r="1302" spans="1:25" ht="15" x14ac:dyDescent="0.2">
      <c r="A1302" s="82" t="s">
        <v>5984</v>
      </c>
      <c r="B1302" s="82" t="s">
        <v>176</v>
      </c>
      <c r="C1302" s="83">
        <v>46000</v>
      </c>
      <c r="D1302" s="83">
        <v>46030</v>
      </c>
      <c r="E1302" s="83">
        <v>46030</v>
      </c>
      <c r="F1302" s="82"/>
      <c r="G1302" s="83">
        <v>46000</v>
      </c>
      <c r="H1302" s="82" t="s">
        <v>175</v>
      </c>
      <c r="I1302" s="82" t="s">
        <v>22</v>
      </c>
      <c r="J1302" s="84">
        <v>0</v>
      </c>
      <c r="K1302" s="85">
        <v>192</v>
      </c>
      <c r="L1302" s="85">
        <v>216.96</v>
      </c>
      <c r="M1302" s="85">
        <v>24.96</v>
      </c>
      <c r="N1302" s="85">
        <v>0</v>
      </c>
      <c r="O1302" s="85">
        <v>216.96</v>
      </c>
      <c r="P1302" s="85">
        <v>192</v>
      </c>
      <c r="Q1302" s="85">
        <v>216.96</v>
      </c>
      <c r="R1302" s="85">
        <v>24.96</v>
      </c>
      <c r="S1302" s="85">
        <v>0</v>
      </c>
      <c r="T1302" s="85">
        <v>216.96</v>
      </c>
      <c r="U1302" s="82"/>
      <c r="V1302" s="82" t="s">
        <v>3396</v>
      </c>
      <c r="W1302" s="82" t="s">
        <v>3395</v>
      </c>
      <c r="X1302" s="82" t="s">
        <v>3394</v>
      </c>
      <c r="Y1302" s="82" t="s">
        <v>3393</v>
      </c>
    </row>
    <row r="1303" spans="1:25" ht="15" x14ac:dyDescent="0.2">
      <c r="A1303" s="82" t="s">
        <v>5985</v>
      </c>
      <c r="B1303" s="82" t="s">
        <v>77</v>
      </c>
      <c r="C1303" s="83">
        <v>46000</v>
      </c>
      <c r="D1303" s="83">
        <v>46030</v>
      </c>
      <c r="E1303" s="83">
        <v>46030</v>
      </c>
      <c r="F1303" s="82"/>
      <c r="G1303" s="83">
        <v>46002</v>
      </c>
      <c r="H1303" s="82" t="s">
        <v>5986</v>
      </c>
      <c r="I1303" s="82" t="s">
        <v>22</v>
      </c>
      <c r="J1303" s="84">
        <v>0</v>
      </c>
      <c r="K1303" s="85">
        <v>364.64</v>
      </c>
      <c r="L1303" s="85">
        <v>382.87</v>
      </c>
      <c r="M1303" s="85">
        <v>18.23</v>
      </c>
      <c r="N1303" s="85">
        <v>0</v>
      </c>
      <c r="O1303" s="85">
        <v>382.87</v>
      </c>
      <c r="P1303" s="85">
        <v>364.64</v>
      </c>
      <c r="Q1303" s="85">
        <v>382.87</v>
      </c>
      <c r="R1303" s="85">
        <v>18.23</v>
      </c>
      <c r="S1303" s="85">
        <v>0</v>
      </c>
      <c r="T1303" s="85">
        <v>382.87</v>
      </c>
      <c r="U1303" s="82"/>
      <c r="V1303" s="82" t="s">
        <v>3396</v>
      </c>
      <c r="W1303" s="82" t="s">
        <v>3395</v>
      </c>
      <c r="X1303" s="82" t="s">
        <v>3394</v>
      </c>
      <c r="Y1303" s="82" t="s">
        <v>3393</v>
      </c>
    </row>
    <row r="1304" spans="1:25" ht="15" x14ac:dyDescent="0.2">
      <c r="A1304" s="82" t="s">
        <v>5987</v>
      </c>
      <c r="B1304" s="82" t="s">
        <v>64</v>
      </c>
      <c r="C1304" s="83">
        <v>46000</v>
      </c>
      <c r="D1304" s="83">
        <v>46030</v>
      </c>
      <c r="E1304" s="83">
        <v>46030</v>
      </c>
      <c r="F1304" s="83">
        <v>46020</v>
      </c>
      <c r="G1304" s="83">
        <v>46002</v>
      </c>
      <c r="H1304" s="82" t="s">
        <v>5988</v>
      </c>
      <c r="I1304" s="82" t="s">
        <v>22</v>
      </c>
      <c r="J1304" s="84">
        <v>0</v>
      </c>
      <c r="K1304" s="85">
        <v>836.72</v>
      </c>
      <c r="L1304" s="85">
        <v>945.49</v>
      </c>
      <c r="M1304" s="85">
        <v>108.77</v>
      </c>
      <c r="N1304" s="85">
        <v>945.49</v>
      </c>
      <c r="O1304" s="85">
        <v>0</v>
      </c>
      <c r="P1304" s="85">
        <v>836.72</v>
      </c>
      <c r="Q1304" s="85">
        <v>945.49</v>
      </c>
      <c r="R1304" s="85">
        <v>108.77</v>
      </c>
      <c r="S1304" s="85">
        <v>945.49</v>
      </c>
      <c r="T1304" s="85">
        <v>0</v>
      </c>
      <c r="U1304" s="82"/>
      <c r="V1304" s="82" t="s">
        <v>3399</v>
      </c>
      <c r="W1304" s="82" t="s">
        <v>3395</v>
      </c>
      <c r="X1304" s="82" t="s">
        <v>3394</v>
      </c>
      <c r="Y1304" s="82" t="s">
        <v>3393</v>
      </c>
    </row>
    <row r="1305" spans="1:25" ht="15" x14ac:dyDescent="0.2">
      <c r="A1305" s="82" t="s">
        <v>5989</v>
      </c>
      <c r="B1305" s="82" t="s">
        <v>166</v>
      </c>
      <c r="C1305" s="83">
        <v>46000</v>
      </c>
      <c r="D1305" s="83">
        <v>46000</v>
      </c>
      <c r="E1305" s="83">
        <v>46000</v>
      </c>
      <c r="F1305" s="83">
        <v>46000</v>
      </c>
      <c r="G1305" s="83">
        <v>46002</v>
      </c>
      <c r="H1305" s="82" t="s">
        <v>165</v>
      </c>
      <c r="I1305" s="82" t="s">
        <v>22</v>
      </c>
      <c r="J1305" s="84">
        <v>0</v>
      </c>
      <c r="K1305" s="85">
        <v>4120</v>
      </c>
      <c r="L1305" s="85">
        <v>4655.6000000000004</v>
      </c>
      <c r="M1305" s="85">
        <v>535.6</v>
      </c>
      <c r="N1305" s="85">
        <v>4655.6000000000004</v>
      </c>
      <c r="O1305" s="85">
        <v>0</v>
      </c>
      <c r="P1305" s="85">
        <v>4120</v>
      </c>
      <c r="Q1305" s="85">
        <v>4655.6000000000004</v>
      </c>
      <c r="R1305" s="85">
        <v>535.6</v>
      </c>
      <c r="S1305" s="85">
        <v>4655.6000000000004</v>
      </c>
      <c r="T1305" s="85">
        <v>0</v>
      </c>
      <c r="U1305" s="82"/>
      <c r="V1305" s="82" t="s">
        <v>3399</v>
      </c>
      <c r="W1305" s="82" t="s">
        <v>3395</v>
      </c>
      <c r="X1305" s="82" t="s">
        <v>3394</v>
      </c>
      <c r="Y1305" s="82" t="s">
        <v>3393</v>
      </c>
    </row>
    <row r="1306" spans="1:25" ht="15" x14ac:dyDescent="0.2">
      <c r="A1306" s="82" t="s">
        <v>5990</v>
      </c>
      <c r="B1306" s="82" t="s">
        <v>442</v>
      </c>
      <c r="C1306" s="83">
        <v>46001</v>
      </c>
      <c r="D1306" s="83">
        <v>46061</v>
      </c>
      <c r="E1306" s="83">
        <v>46061</v>
      </c>
      <c r="F1306" s="82"/>
      <c r="G1306" s="83">
        <v>46001</v>
      </c>
      <c r="H1306" s="82" t="s">
        <v>5991</v>
      </c>
      <c r="I1306" s="82" t="s">
        <v>51</v>
      </c>
      <c r="J1306" s="84">
        <v>0.72394499999999995</v>
      </c>
      <c r="K1306" s="85">
        <v>3026.29</v>
      </c>
      <c r="L1306" s="85">
        <v>3355.67</v>
      </c>
      <c r="M1306" s="85">
        <v>329.38</v>
      </c>
      <c r="N1306" s="85">
        <v>0</v>
      </c>
      <c r="O1306" s="85">
        <v>3355.67</v>
      </c>
      <c r="P1306" s="85">
        <v>4180.2761259487943</v>
      </c>
      <c r="Q1306" s="85">
        <v>4635.2554406757417</v>
      </c>
      <c r="R1306" s="85">
        <v>454.97931472694739</v>
      </c>
      <c r="S1306" s="85">
        <v>0</v>
      </c>
      <c r="T1306" s="85">
        <v>4605.3900000000003</v>
      </c>
      <c r="U1306" s="82" t="s">
        <v>3401</v>
      </c>
      <c r="V1306" s="82" t="s">
        <v>3396</v>
      </c>
      <c r="W1306" s="82" t="s">
        <v>3395</v>
      </c>
      <c r="X1306" s="82" t="s">
        <v>3394</v>
      </c>
      <c r="Y1306" s="82" t="s">
        <v>3393</v>
      </c>
    </row>
    <row r="1307" spans="1:25" ht="15" x14ac:dyDescent="0.2">
      <c r="A1307" s="82" t="s">
        <v>5992</v>
      </c>
      <c r="B1307" s="82" t="s">
        <v>714</v>
      </c>
      <c r="C1307" s="83">
        <v>46001</v>
      </c>
      <c r="D1307" s="83">
        <v>46031</v>
      </c>
      <c r="E1307" s="83">
        <v>46031</v>
      </c>
      <c r="F1307" s="83">
        <v>46021</v>
      </c>
      <c r="G1307" s="83">
        <v>46001</v>
      </c>
      <c r="H1307" s="82" t="s">
        <v>716</v>
      </c>
      <c r="I1307" s="82" t="s">
        <v>51</v>
      </c>
      <c r="J1307" s="84">
        <v>0.72394499999999995</v>
      </c>
      <c r="K1307" s="85">
        <v>787.11</v>
      </c>
      <c r="L1307" s="85">
        <v>787.11</v>
      </c>
      <c r="M1307" s="85">
        <v>0</v>
      </c>
      <c r="N1307" s="85">
        <v>787.11</v>
      </c>
      <c r="O1307" s="85">
        <v>0</v>
      </c>
      <c r="P1307" s="85">
        <v>1087.2511033296728</v>
      </c>
      <c r="Q1307" s="85">
        <v>1087.2511033296728</v>
      </c>
      <c r="R1307" s="85">
        <v>0</v>
      </c>
      <c r="S1307" s="85">
        <v>1077.6321</v>
      </c>
      <c r="T1307" s="85">
        <v>0</v>
      </c>
      <c r="U1307" s="82"/>
      <c r="V1307" s="82" t="s">
        <v>3399</v>
      </c>
      <c r="W1307" s="82" t="s">
        <v>3395</v>
      </c>
      <c r="X1307" s="82" t="s">
        <v>3394</v>
      </c>
      <c r="Y1307" s="82" t="s">
        <v>3393</v>
      </c>
    </row>
    <row r="1308" spans="1:25" ht="15" x14ac:dyDescent="0.2">
      <c r="A1308" s="82" t="s">
        <v>5993</v>
      </c>
      <c r="B1308" s="82" t="s">
        <v>714</v>
      </c>
      <c r="C1308" s="83">
        <v>46001</v>
      </c>
      <c r="D1308" s="83">
        <v>46031</v>
      </c>
      <c r="E1308" s="83">
        <v>46031</v>
      </c>
      <c r="F1308" s="82"/>
      <c r="G1308" s="83">
        <v>46001</v>
      </c>
      <c r="H1308" s="82" t="s">
        <v>713</v>
      </c>
      <c r="I1308" s="82" t="s">
        <v>51</v>
      </c>
      <c r="J1308" s="84">
        <v>0.72394499999999995</v>
      </c>
      <c r="K1308" s="85">
        <v>23157.72</v>
      </c>
      <c r="L1308" s="85">
        <v>23157.72</v>
      </c>
      <c r="M1308" s="85">
        <v>0</v>
      </c>
      <c r="N1308" s="85">
        <v>0</v>
      </c>
      <c r="O1308" s="85">
        <v>23157.72</v>
      </c>
      <c r="P1308" s="85">
        <v>31988.231150156433</v>
      </c>
      <c r="Q1308" s="85">
        <v>31988.231150156433</v>
      </c>
      <c r="R1308" s="85">
        <v>0</v>
      </c>
      <c r="S1308" s="85">
        <v>0</v>
      </c>
      <c r="T1308" s="85">
        <v>31782.11</v>
      </c>
      <c r="U1308" s="82" t="s">
        <v>3401</v>
      </c>
      <c r="V1308" s="82" t="s">
        <v>3396</v>
      </c>
      <c r="W1308" s="82" t="s">
        <v>3395</v>
      </c>
      <c r="X1308" s="82" t="s">
        <v>3394</v>
      </c>
      <c r="Y1308" s="82" t="s">
        <v>3393</v>
      </c>
    </row>
    <row r="1309" spans="1:25" ht="15" x14ac:dyDescent="0.2">
      <c r="A1309" s="82" t="s">
        <v>5994</v>
      </c>
      <c r="B1309" s="82" t="s">
        <v>774</v>
      </c>
      <c r="C1309" s="83">
        <v>46001</v>
      </c>
      <c r="D1309" s="83">
        <v>46031</v>
      </c>
      <c r="E1309" s="83">
        <v>46031</v>
      </c>
      <c r="F1309" s="82"/>
      <c r="G1309" s="83">
        <v>46001</v>
      </c>
      <c r="H1309" s="82" t="s">
        <v>773</v>
      </c>
      <c r="I1309" s="82" t="s">
        <v>51</v>
      </c>
      <c r="J1309" s="84">
        <v>0.72394499999999995</v>
      </c>
      <c r="K1309" s="85">
        <v>4489.95</v>
      </c>
      <c r="L1309" s="85">
        <v>4489.95</v>
      </c>
      <c r="M1309" s="85">
        <v>0</v>
      </c>
      <c r="N1309" s="85">
        <v>0</v>
      </c>
      <c r="O1309" s="85">
        <v>4489.95</v>
      </c>
      <c r="P1309" s="85">
        <v>6202.0595487226237</v>
      </c>
      <c r="Q1309" s="85">
        <v>6202.0595487226237</v>
      </c>
      <c r="R1309" s="85">
        <v>0</v>
      </c>
      <c r="S1309" s="85">
        <v>0</v>
      </c>
      <c r="T1309" s="85">
        <v>6162.1</v>
      </c>
      <c r="U1309" s="82" t="s">
        <v>3401</v>
      </c>
      <c r="V1309" s="82" t="s">
        <v>3396</v>
      </c>
      <c r="W1309" s="82" t="s">
        <v>3395</v>
      </c>
      <c r="X1309" s="82" t="s">
        <v>3394</v>
      </c>
      <c r="Y1309" s="82" t="s">
        <v>3393</v>
      </c>
    </row>
    <row r="1310" spans="1:25" ht="15" x14ac:dyDescent="0.2">
      <c r="A1310" s="82" t="s">
        <v>5995</v>
      </c>
      <c r="B1310" s="82" t="s">
        <v>70</v>
      </c>
      <c r="C1310" s="83">
        <v>46001</v>
      </c>
      <c r="D1310" s="83">
        <v>46061</v>
      </c>
      <c r="E1310" s="83">
        <v>46061</v>
      </c>
      <c r="F1310" s="82"/>
      <c r="G1310" s="83">
        <v>46001</v>
      </c>
      <c r="H1310" s="82" t="s">
        <v>5996</v>
      </c>
      <c r="I1310" s="82" t="s">
        <v>51</v>
      </c>
      <c r="J1310" s="84">
        <v>0.72394499999999995</v>
      </c>
      <c r="K1310" s="85">
        <v>209.45</v>
      </c>
      <c r="L1310" s="85">
        <v>228.23</v>
      </c>
      <c r="M1310" s="85">
        <v>18.78</v>
      </c>
      <c r="N1310" s="85">
        <v>0</v>
      </c>
      <c r="O1310" s="85">
        <v>228.23</v>
      </c>
      <c r="P1310" s="85">
        <v>289.31755865431751</v>
      </c>
      <c r="Q1310" s="85">
        <v>315.25875584471169</v>
      </c>
      <c r="R1310" s="85">
        <v>25.941197190394199</v>
      </c>
      <c r="S1310" s="85">
        <v>0</v>
      </c>
      <c r="T1310" s="85">
        <v>313.23</v>
      </c>
      <c r="U1310" s="82" t="s">
        <v>3401</v>
      </c>
      <c r="V1310" s="82" t="s">
        <v>3396</v>
      </c>
      <c r="W1310" s="82" t="s">
        <v>3395</v>
      </c>
      <c r="X1310" s="82" t="s">
        <v>3397</v>
      </c>
      <c r="Y1310" s="82" t="s">
        <v>3393</v>
      </c>
    </row>
    <row r="1311" spans="1:25" ht="15" x14ac:dyDescent="0.2">
      <c r="A1311" s="82" t="s">
        <v>5997</v>
      </c>
      <c r="B1311" s="82" t="s">
        <v>54</v>
      </c>
      <c r="C1311" s="83">
        <v>46001</v>
      </c>
      <c r="D1311" s="83">
        <v>46031</v>
      </c>
      <c r="E1311" s="83">
        <v>46031</v>
      </c>
      <c r="F1311" s="82"/>
      <c r="G1311" s="83">
        <v>46002</v>
      </c>
      <c r="H1311" s="82" t="s">
        <v>53</v>
      </c>
      <c r="I1311" s="82" t="s">
        <v>22</v>
      </c>
      <c r="J1311" s="84">
        <v>0</v>
      </c>
      <c r="K1311" s="85">
        <v>5048.75</v>
      </c>
      <c r="L1311" s="85">
        <v>5301.19</v>
      </c>
      <c r="M1311" s="85">
        <v>252.44</v>
      </c>
      <c r="N1311" s="85">
        <v>0</v>
      </c>
      <c r="O1311" s="85">
        <v>5301.19</v>
      </c>
      <c r="P1311" s="85">
        <v>5048.75</v>
      </c>
      <c r="Q1311" s="85">
        <v>5301.19</v>
      </c>
      <c r="R1311" s="85">
        <v>252.44</v>
      </c>
      <c r="S1311" s="85">
        <v>0</v>
      </c>
      <c r="T1311" s="85">
        <v>5301.19</v>
      </c>
      <c r="U1311" s="82"/>
      <c r="V1311" s="82" t="s">
        <v>3396</v>
      </c>
      <c r="W1311" s="82" t="s">
        <v>3395</v>
      </c>
      <c r="X1311" s="82" t="s">
        <v>3394</v>
      </c>
      <c r="Y1311" s="82" t="s">
        <v>3393</v>
      </c>
    </row>
    <row r="1312" spans="1:25" ht="15" x14ac:dyDescent="0.2">
      <c r="A1312" s="82" t="s">
        <v>5998</v>
      </c>
      <c r="B1312" s="82" t="s">
        <v>226</v>
      </c>
      <c r="C1312" s="83">
        <v>46001</v>
      </c>
      <c r="D1312" s="83">
        <v>46031</v>
      </c>
      <c r="E1312" s="83">
        <v>46031</v>
      </c>
      <c r="F1312" s="82"/>
      <c r="G1312" s="83">
        <v>46002</v>
      </c>
      <c r="H1312" s="82" t="s">
        <v>225</v>
      </c>
      <c r="I1312" s="82" t="s">
        <v>22</v>
      </c>
      <c r="J1312" s="84">
        <v>0</v>
      </c>
      <c r="K1312" s="85">
        <v>9147.06</v>
      </c>
      <c r="L1312" s="85">
        <v>9604.41</v>
      </c>
      <c r="M1312" s="85">
        <v>457.35</v>
      </c>
      <c r="N1312" s="85">
        <v>0</v>
      </c>
      <c r="O1312" s="85">
        <v>9604.41</v>
      </c>
      <c r="P1312" s="85">
        <v>9147.06</v>
      </c>
      <c r="Q1312" s="85">
        <v>9604.41</v>
      </c>
      <c r="R1312" s="85">
        <v>457.35</v>
      </c>
      <c r="S1312" s="85">
        <v>0</v>
      </c>
      <c r="T1312" s="85">
        <v>9604.41</v>
      </c>
      <c r="U1312" s="82"/>
      <c r="V1312" s="82" t="s">
        <v>3396</v>
      </c>
      <c r="W1312" s="82" t="s">
        <v>3395</v>
      </c>
      <c r="X1312" s="82" t="s">
        <v>3394</v>
      </c>
      <c r="Y1312" s="82" t="s">
        <v>3393</v>
      </c>
    </row>
    <row r="1313" spans="1:25" ht="15" x14ac:dyDescent="0.2">
      <c r="A1313" s="82" t="s">
        <v>5999</v>
      </c>
      <c r="B1313" s="82" t="s">
        <v>109</v>
      </c>
      <c r="C1313" s="83">
        <v>46002</v>
      </c>
      <c r="D1313" s="83">
        <v>46032</v>
      </c>
      <c r="E1313" s="83">
        <v>46032</v>
      </c>
      <c r="F1313" s="83">
        <v>46013</v>
      </c>
      <c r="G1313" s="83">
        <v>46002</v>
      </c>
      <c r="H1313" s="82" t="s">
        <v>6000</v>
      </c>
      <c r="I1313" s="82" t="s">
        <v>51</v>
      </c>
      <c r="J1313" s="84">
        <v>0.72594199999999998</v>
      </c>
      <c r="K1313" s="85">
        <v>9390</v>
      </c>
      <c r="L1313" s="85">
        <v>9390</v>
      </c>
      <c r="M1313" s="85">
        <v>0</v>
      </c>
      <c r="N1313" s="85">
        <v>9390</v>
      </c>
      <c r="O1313" s="85">
        <v>0</v>
      </c>
      <c r="P1313" s="85">
        <v>12934.917665598628</v>
      </c>
      <c r="Q1313" s="85">
        <v>12934.917665598628</v>
      </c>
      <c r="R1313" s="85">
        <v>0</v>
      </c>
      <c r="S1313" s="85">
        <v>12918.1726</v>
      </c>
      <c r="T1313" s="85">
        <v>0</v>
      </c>
      <c r="U1313" s="82"/>
      <c r="V1313" s="82" t="s">
        <v>3399</v>
      </c>
      <c r="W1313" s="82" t="s">
        <v>3395</v>
      </c>
      <c r="X1313" s="82" t="s">
        <v>3394</v>
      </c>
      <c r="Y1313" s="82" t="s">
        <v>3393</v>
      </c>
    </row>
    <row r="1314" spans="1:25" ht="15" x14ac:dyDescent="0.2">
      <c r="A1314" s="82" t="s">
        <v>6001</v>
      </c>
      <c r="B1314" s="82" t="s">
        <v>239</v>
      </c>
      <c r="C1314" s="83">
        <v>46002</v>
      </c>
      <c r="D1314" s="83">
        <v>46002</v>
      </c>
      <c r="E1314" s="83">
        <v>46002</v>
      </c>
      <c r="F1314" s="82"/>
      <c r="G1314" s="83">
        <v>46002</v>
      </c>
      <c r="H1314" s="82" t="s">
        <v>1047</v>
      </c>
      <c r="I1314" s="82" t="s">
        <v>51</v>
      </c>
      <c r="J1314" s="84">
        <v>0.72594199999999998</v>
      </c>
      <c r="K1314" s="85">
        <v>635.46</v>
      </c>
      <c r="L1314" s="85">
        <v>635.46</v>
      </c>
      <c r="M1314" s="85">
        <v>0</v>
      </c>
      <c r="N1314" s="85">
        <v>0</v>
      </c>
      <c r="O1314" s="85">
        <v>635.46</v>
      </c>
      <c r="P1314" s="85">
        <v>875.35918847511209</v>
      </c>
      <c r="Q1314" s="85">
        <v>875.35918847511209</v>
      </c>
      <c r="R1314" s="85">
        <v>0</v>
      </c>
      <c r="S1314" s="85">
        <v>0</v>
      </c>
      <c r="T1314" s="85">
        <v>872.12</v>
      </c>
      <c r="U1314" s="82" t="s">
        <v>3401</v>
      </c>
      <c r="V1314" s="82" t="s">
        <v>3396</v>
      </c>
      <c r="W1314" s="82" t="s">
        <v>3395</v>
      </c>
      <c r="X1314" s="82" t="s">
        <v>3394</v>
      </c>
      <c r="Y1314" s="82" t="s">
        <v>3393</v>
      </c>
    </row>
    <row r="1315" spans="1:25" ht="15" x14ac:dyDescent="0.2">
      <c r="A1315" s="82" t="s">
        <v>6002</v>
      </c>
      <c r="B1315" s="82" t="s">
        <v>232</v>
      </c>
      <c r="C1315" s="83">
        <v>46002</v>
      </c>
      <c r="D1315" s="83">
        <v>46032</v>
      </c>
      <c r="E1315" s="83">
        <v>46032</v>
      </c>
      <c r="F1315" s="82"/>
      <c r="G1315" s="83">
        <v>46002</v>
      </c>
      <c r="H1315" s="82" t="s">
        <v>231</v>
      </c>
      <c r="I1315" s="82" t="s">
        <v>51</v>
      </c>
      <c r="J1315" s="84">
        <v>0.72594199999999998</v>
      </c>
      <c r="K1315" s="85">
        <v>107.08</v>
      </c>
      <c r="L1315" s="85">
        <v>107.08</v>
      </c>
      <c r="M1315" s="85">
        <v>0</v>
      </c>
      <c r="N1315" s="85">
        <v>0</v>
      </c>
      <c r="O1315" s="85">
        <v>107.08</v>
      </c>
      <c r="P1315" s="85">
        <v>147.504897085442</v>
      </c>
      <c r="Q1315" s="85">
        <v>147.504897085442</v>
      </c>
      <c r="R1315" s="85">
        <v>0</v>
      </c>
      <c r="S1315" s="85">
        <v>0</v>
      </c>
      <c r="T1315" s="85">
        <v>146.96</v>
      </c>
      <c r="U1315" s="82" t="s">
        <v>3401</v>
      </c>
      <c r="V1315" s="82" t="s">
        <v>3396</v>
      </c>
      <c r="W1315" s="82" t="s">
        <v>3395</v>
      </c>
      <c r="X1315" s="82" t="s">
        <v>3394</v>
      </c>
      <c r="Y1315" s="82" t="s">
        <v>3393</v>
      </c>
    </row>
    <row r="1316" spans="1:25" ht="15" x14ac:dyDescent="0.2">
      <c r="A1316" s="82" t="s">
        <v>6003</v>
      </c>
      <c r="B1316" s="82" t="s">
        <v>35</v>
      </c>
      <c r="C1316" s="83">
        <v>46002</v>
      </c>
      <c r="D1316" s="83">
        <v>46032</v>
      </c>
      <c r="E1316" s="83">
        <v>46032</v>
      </c>
      <c r="F1316" s="82"/>
      <c r="G1316" s="83">
        <v>46006</v>
      </c>
      <c r="H1316" s="82" t="s">
        <v>6004</v>
      </c>
      <c r="I1316" s="82" t="s">
        <v>22</v>
      </c>
      <c r="J1316" s="84">
        <v>0</v>
      </c>
      <c r="K1316" s="85">
        <v>836.85</v>
      </c>
      <c r="L1316" s="85">
        <v>878.69</v>
      </c>
      <c r="M1316" s="85">
        <v>41.84</v>
      </c>
      <c r="N1316" s="85">
        <v>0</v>
      </c>
      <c r="O1316" s="85">
        <v>878.69</v>
      </c>
      <c r="P1316" s="85">
        <v>836.85</v>
      </c>
      <c r="Q1316" s="85">
        <v>878.69</v>
      </c>
      <c r="R1316" s="85">
        <v>41.84</v>
      </c>
      <c r="S1316" s="85">
        <v>0</v>
      </c>
      <c r="T1316" s="85">
        <v>878.69</v>
      </c>
      <c r="U1316" s="82"/>
      <c r="V1316" s="82" t="s">
        <v>3396</v>
      </c>
      <c r="W1316" s="82" t="s">
        <v>3395</v>
      </c>
      <c r="X1316" s="82" t="s">
        <v>3394</v>
      </c>
      <c r="Y1316" s="82" t="s">
        <v>3393</v>
      </c>
    </row>
    <row r="1317" spans="1:25" ht="15" x14ac:dyDescent="0.2">
      <c r="A1317" s="82" t="s">
        <v>6005</v>
      </c>
      <c r="B1317" s="82" t="s">
        <v>35</v>
      </c>
      <c r="C1317" s="83">
        <v>46002</v>
      </c>
      <c r="D1317" s="83">
        <v>46032</v>
      </c>
      <c r="E1317" s="83">
        <v>46032</v>
      </c>
      <c r="F1317" s="82"/>
      <c r="G1317" s="83">
        <v>46006</v>
      </c>
      <c r="H1317" s="82" t="s">
        <v>6006</v>
      </c>
      <c r="I1317" s="82" t="s">
        <v>22</v>
      </c>
      <c r="J1317" s="84">
        <v>0</v>
      </c>
      <c r="K1317" s="85">
        <v>2679.66</v>
      </c>
      <c r="L1317" s="85">
        <v>2813.64</v>
      </c>
      <c r="M1317" s="85">
        <v>133.97999999999999</v>
      </c>
      <c r="N1317" s="85">
        <v>0</v>
      </c>
      <c r="O1317" s="85">
        <v>2813.64</v>
      </c>
      <c r="P1317" s="85">
        <v>2679.66</v>
      </c>
      <c r="Q1317" s="85">
        <v>2813.64</v>
      </c>
      <c r="R1317" s="85">
        <v>133.97999999999999</v>
      </c>
      <c r="S1317" s="85">
        <v>0</v>
      </c>
      <c r="T1317" s="85">
        <v>2813.64</v>
      </c>
      <c r="U1317" s="82"/>
      <c r="V1317" s="82" t="s">
        <v>3396</v>
      </c>
      <c r="W1317" s="82" t="s">
        <v>3395</v>
      </c>
      <c r="X1317" s="82" t="s">
        <v>3394</v>
      </c>
      <c r="Y1317" s="82" t="s">
        <v>3393</v>
      </c>
    </row>
    <row r="1318" spans="1:25" ht="15" x14ac:dyDescent="0.2">
      <c r="A1318" s="82" t="s">
        <v>6007</v>
      </c>
      <c r="B1318" s="82" t="s">
        <v>369</v>
      </c>
      <c r="C1318" s="83">
        <v>46003</v>
      </c>
      <c r="D1318" s="83">
        <v>46033</v>
      </c>
      <c r="E1318" s="83">
        <v>46033</v>
      </c>
      <c r="F1318" s="82"/>
      <c r="G1318" s="83">
        <v>46003</v>
      </c>
      <c r="H1318" s="82" t="s">
        <v>368</v>
      </c>
      <c r="I1318" s="82" t="s">
        <v>51</v>
      </c>
      <c r="J1318" s="84">
        <v>0.72597400000000001</v>
      </c>
      <c r="K1318" s="85">
        <v>12489.11</v>
      </c>
      <c r="L1318" s="85">
        <v>12489.11</v>
      </c>
      <c r="M1318" s="85">
        <v>0</v>
      </c>
      <c r="N1318" s="85">
        <v>0</v>
      </c>
      <c r="O1318" s="85">
        <v>12489.11</v>
      </c>
      <c r="P1318" s="85">
        <v>17203.246948237815</v>
      </c>
      <c r="Q1318" s="85">
        <v>17203.246948237815</v>
      </c>
      <c r="R1318" s="85">
        <v>0</v>
      </c>
      <c r="S1318" s="85">
        <v>0</v>
      </c>
      <c r="T1318" s="85">
        <v>17140.3</v>
      </c>
      <c r="U1318" s="82" t="s">
        <v>3401</v>
      </c>
      <c r="V1318" s="82" t="s">
        <v>3396</v>
      </c>
      <c r="W1318" s="82" t="s">
        <v>3395</v>
      </c>
      <c r="X1318" s="82" t="s">
        <v>3394</v>
      </c>
      <c r="Y1318" s="82" t="s">
        <v>3393</v>
      </c>
    </row>
    <row r="1319" spans="1:25" ht="15" x14ac:dyDescent="0.2">
      <c r="A1319" s="82" t="s">
        <v>6008</v>
      </c>
      <c r="B1319" s="82" t="s">
        <v>20</v>
      </c>
      <c r="C1319" s="83">
        <v>46003</v>
      </c>
      <c r="D1319" s="83">
        <v>46063</v>
      </c>
      <c r="E1319" s="83">
        <v>46063</v>
      </c>
      <c r="F1319" s="82"/>
      <c r="G1319" s="83">
        <v>46006</v>
      </c>
      <c r="H1319" s="82" t="s">
        <v>6009</v>
      </c>
      <c r="I1319" s="82" t="s">
        <v>22</v>
      </c>
      <c r="J1319" s="84">
        <v>0</v>
      </c>
      <c r="K1319" s="85">
        <v>398.12</v>
      </c>
      <c r="L1319" s="85">
        <v>418.03</v>
      </c>
      <c r="M1319" s="85">
        <v>19.91</v>
      </c>
      <c r="N1319" s="85">
        <v>0</v>
      </c>
      <c r="O1319" s="85">
        <v>418.03</v>
      </c>
      <c r="P1319" s="85">
        <v>398.12</v>
      </c>
      <c r="Q1319" s="85">
        <v>418.03</v>
      </c>
      <c r="R1319" s="85">
        <v>19.91</v>
      </c>
      <c r="S1319" s="85">
        <v>0</v>
      </c>
      <c r="T1319" s="85">
        <v>418.03</v>
      </c>
      <c r="U1319" s="82"/>
      <c r="V1319" s="82" t="s">
        <v>3396</v>
      </c>
      <c r="W1319" s="82" t="s">
        <v>3395</v>
      </c>
      <c r="X1319" s="82" t="s">
        <v>3394</v>
      </c>
      <c r="Y1319" s="82" t="s">
        <v>3393</v>
      </c>
    </row>
    <row r="1320" spans="1:25" ht="15" x14ac:dyDescent="0.2">
      <c r="A1320" s="82" t="s">
        <v>6010</v>
      </c>
      <c r="B1320" s="82" t="s">
        <v>54</v>
      </c>
      <c r="C1320" s="83">
        <v>46006</v>
      </c>
      <c r="D1320" s="83">
        <v>46036</v>
      </c>
      <c r="E1320" s="83">
        <v>46036</v>
      </c>
      <c r="F1320" s="82"/>
      <c r="G1320" s="83">
        <v>46006</v>
      </c>
      <c r="H1320" s="82" t="s">
        <v>6011</v>
      </c>
      <c r="I1320" s="82" t="s">
        <v>22</v>
      </c>
      <c r="J1320" s="84">
        <v>0</v>
      </c>
      <c r="K1320" s="85">
        <v>2979.04</v>
      </c>
      <c r="L1320" s="85">
        <v>3128</v>
      </c>
      <c r="M1320" s="85">
        <v>148.96</v>
      </c>
      <c r="N1320" s="85">
        <v>0</v>
      </c>
      <c r="O1320" s="85">
        <v>3128</v>
      </c>
      <c r="P1320" s="85">
        <v>2979.04</v>
      </c>
      <c r="Q1320" s="85">
        <v>3128</v>
      </c>
      <c r="R1320" s="85">
        <v>148.96</v>
      </c>
      <c r="S1320" s="85">
        <v>0</v>
      </c>
      <c r="T1320" s="85">
        <v>3128</v>
      </c>
      <c r="U1320" s="82"/>
      <c r="V1320" s="82" t="s">
        <v>3396</v>
      </c>
      <c r="W1320" s="82" t="s">
        <v>3395</v>
      </c>
      <c r="X1320" s="82" t="s">
        <v>3394</v>
      </c>
      <c r="Y1320" s="82" t="s">
        <v>3393</v>
      </c>
    </row>
    <row r="1321" spans="1:25" ht="15" x14ac:dyDescent="0.2">
      <c r="A1321" s="82" t="s">
        <v>6012</v>
      </c>
      <c r="B1321" s="82" t="s">
        <v>54</v>
      </c>
      <c r="C1321" s="83">
        <v>46006</v>
      </c>
      <c r="D1321" s="83">
        <v>46036</v>
      </c>
      <c r="E1321" s="83">
        <v>46036</v>
      </c>
      <c r="F1321" s="82"/>
      <c r="G1321" s="83">
        <v>46006</v>
      </c>
      <c r="H1321" s="82" t="s">
        <v>5862</v>
      </c>
      <c r="I1321" s="82" t="s">
        <v>22</v>
      </c>
      <c r="J1321" s="84">
        <v>0</v>
      </c>
      <c r="K1321" s="85">
        <v>3373.54</v>
      </c>
      <c r="L1321" s="85">
        <v>3542.22</v>
      </c>
      <c r="M1321" s="85">
        <v>168.68</v>
      </c>
      <c r="N1321" s="85">
        <v>0</v>
      </c>
      <c r="O1321" s="85">
        <v>3542.22</v>
      </c>
      <c r="P1321" s="85">
        <v>3373.54</v>
      </c>
      <c r="Q1321" s="85">
        <v>3542.22</v>
      </c>
      <c r="R1321" s="85">
        <v>168.68</v>
      </c>
      <c r="S1321" s="85">
        <v>0</v>
      </c>
      <c r="T1321" s="85">
        <v>3542.22</v>
      </c>
      <c r="U1321" s="82"/>
      <c r="V1321" s="82" t="s">
        <v>3396</v>
      </c>
      <c r="W1321" s="82" t="s">
        <v>3395</v>
      </c>
      <c r="X1321" s="82" t="s">
        <v>3394</v>
      </c>
      <c r="Y1321" s="82" t="s">
        <v>3393</v>
      </c>
    </row>
    <row r="1322" spans="1:25" ht="15" x14ac:dyDescent="0.2">
      <c r="A1322" s="82" t="s">
        <v>6013</v>
      </c>
      <c r="B1322" s="82" t="s">
        <v>54</v>
      </c>
      <c r="C1322" s="83">
        <v>46006</v>
      </c>
      <c r="D1322" s="83">
        <v>46036</v>
      </c>
      <c r="E1322" s="83">
        <v>46036</v>
      </c>
      <c r="F1322" s="82"/>
      <c r="G1322" s="83">
        <v>46006</v>
      </c>
      <c r="H1322" s="82" t="s">
        <v>5873</v>
      </c>
      <c r="I1322" s="82" t="s">
        <v>22</v>
      </c>
      <c r="J1322" s="84">
        <v>0</v>
      </c>
      <c r="K1322" s="85">
        <v>9738.39</v>
      </c>
      <c r="L1322" s="85">
        <v>10225.31</v>
      </c>
      <c r="M1322" s="85">
        <v>486.92</v>
      </c>
      <c r="N1322" s="85">
        <v>0</v>
      </c>
      <c r="O1322" s="85">
        <v>10225.31</v>
      </c>
      <c r="P1322" s="85">
        <v>9738.39</v>
      </c>
      <c r="Q1322" s="85">
        <v>10225.31</v>
      </c>
      <c r="R1322" s="85">
        <v>486.92</v>
      </c>
      <c r="S1322" s="85">
        <v>0</v>
      </c>
      <c r="T1322" s="85">
        <v>10225.31</v>
      </c>
      <c r="U1322" s="82"/>
      <c r="V1322" s="82" t="s">
        <v>3396</v>
      </c>
      <c r="W1322" s="82" t="s">
        <v>3395</v>
      </c>
      <c r="X1322" s="82" t="s">
        <v>3394</v>
      </c>
      <c r="Y1322" s="82" t="s">
        <v>3393</v>
      </c>
    </row>
    <row r="1323" spans="1:25" ht="15" x14ac:dyDescent="0.2">
      <c r="A1323" s="82" t="s">
        <v>6014</v>
      </c>
      <c r="B1323" s="82" t="s">
        <v>54</v>
      </c>
      <c r="C1323" s="83">
        <v>46006</v>
      </c>
      <c r="D1323" s="83">
        <v>46036</v>
      </c>
      <c r="E1323" s="83">
        <v>46036</v>
      </c>
      <c r="F1323" s="82"/>
      <c r="G1323" s="83">
        <v>46006</v>
      </c>
      <c r="H1323" s="82" t="s">
        <v>3498</v>
      </c>
      <c r="I1323" s="82" t="s">
        <v>22</v>
      </c>
      <c r="J1323" s="84">
        <v>0</v>
      </c>
      <c r="K1323" s="85">
        <v>2048.14</v>
      </c>
      <c r="L1323" s="85">
        <v>2150.5500000000002</v>
      </c>
      <c r="M1323" s="85">
        <v>102.41</v>
      </c>
      <c r="N1323" s="85">
        <v>0</v>
      </c>
      <c r="O1323" s="85">
        <v>2150.5500000000002</v>
      </c>
      <c r="P1323" s="85">
        <v>2048.14</v>
      </c>
      <c r="Q1323" s="85">
        <v>2150.5500000000002</v>
      </c>
      <c r="R1323" s="85">
        <v>102.41</v>
      </c>
      <c r="S1323" s="85">
        <v>0</v>
      </c>
      <c r="T1323" s="85">
        <v>2150.5500000000002</v>
      </c>
      <c r="U1323" s="82"/>
      <c r="V1323" s="82" t="s">
        <v>3396</v>
      </c>
      <c r="W1323" s="82" t="s">
        <v>3395</v>
      </c>
      <c r="X1323" s="82" t="s">
        <v>3394</v>
      </c>
      <c r="Y1323" s="82" t="s">
        <v>3393</v>
      </c>
    </row>
    <row r="1324" spans="1:25" ht="15" x14ac:dyDescent="0.2">
      <c r="A1324" s="82" t="s">
        <v>6015</v>
      </c>
      <c r="B1324" s="82" t="s">
        <v>3485</v>
      </c>
      <c r="C1324" s="83">
        <v>46006</v>
      </c>
      <c r="D1324" s="83">
        <v>46036</v>
      </c>
      <c r="E1324" s="83">
        <v>46036</v>
      </c>
      <c r="F1324" s="82"/>
      <c r="G1324" s="83">
        <v>46006</v>
      </c>
      <c r="H1324" s="82" t="s">
        <v>91</v>
      </c>
      <c r="I1324" s="82" t="s">
        <v>22</v>
      </c>
      <c r="J1324" s="84">
        <v>0</v>
      </c>
      <c r="K1324" s="85">
        <v>1363.36</v>
      </c>
      <c r="L1324" s="85">
        <v>1540.6</v>
      </c>
      <c r="M1324" s="85">
        <v>177.24</v>
      </c>
      <c r="N1324" s="85">
        <v>0</v>
      </c>
      <c r="O1324" s="85">
        <v>1540.6</v>
      </c>
      <c r="P1324" s="85">
        <v>1363.36</v>
      </c>
      <c r="Q1324" s="85">
        <v>1540.6</v>
      </c>
      <c r="R1324" s="85">
        <v>177.24</v>
      </c>
      <c r="S1324" s="85">
        <v>0</v>
      </c>
      <c r="T1324" s="85">
        <v>1540.6</v>
      </c>
      <c r="U1324" s="82"/>
      <c r="V1324" s="82" t="s">
        <v>3396</v>
      </c>
      <c r="W1324" s="82" t="s">
        <v>3395</v>
      </c>
      <c r="X1324" s="82" t="s">
        <v>3394</v>
      </c>
      <c r="Y1324" s="82" t="s">
        <v>3393</v>
      </c>
    </row>
    <row r="1325" spans="1:25" ht="15" x14ac:dyDescent="0.2">
      <c r="A1325" s="82" t="s">
        <v>6016</v>
      </c>
      <c r="B1325" s="82" t="s">
        <v>1835</v>
      </c>
      <c r="C1325" s="83">
        <v>46006</v>
      </c>
      <c r="D1325" s="83">
        <v>46036</v>
      </c>
      <c r="E1325" s="83">
        <v>46036</v>
      </c>
      <c r="F1325" s="82"/>
      <c r="G1325" s="83">
        <v>46006</v>
      </c>
      <c r="H1325" s="82" t="s">
        <v>6017</v>
      </c>
      <c r="I1325" s="82" t="s">
        <v>22</v>
      </c>
      <c r="J1325" s="84">
        <v>0</v>
      </c>
      <c r="K1325" s="85">
        <v>328.68</v>
      </c>
      <c r="L1325" s="85">
        <v>345.11</v>
      </c>
      <c r="M1325" s="85">
        <v>16.43</v>
      </c>
      <c r="N1325" s="85">
        <v>0</v>
      </c>
      <c r="O1325" s="85">
        <v>345.11</v>
      </c>
      <c r="P1325" s="85">
        <v>328.68</v>
      </c>
      <c r="Q1325" s="85">
        <v>345.11</v>
      </c>
      <c r="R1325" s="85">
        <v>16.43</v>
      </c>
      <c r="S1325" s="85">
        <v>0</v>
      </c>
      <c r="T1325" s="85">
        <v>345.11</v>
      </c>
      <c r="U1325" s="82"/>
      <c r="V1325" s="82" t="s">
        <v>3396</v>
      </c>
      <c r="W1325" s="82" t="s">
        <v>3395</v>
      </c>
      <c r="X1325" s="82" t="s">
        <v>3394</v>
      </c>
      <c r="Y1325" s="82" t="s">
        <v>3393</v>
      </c>
    </row>
    <row r="1326" spans="1:25" ht="15" x14ac:dyDescent="0.2">
      <c r="A1326" s="82" t="s">
        <v>6018</v>
      </c>
      <c r="B1326" s="82" t="s">
        <v>83</v>
      </c>
      <c r="C1326" s="83">
        <v>46006</v>
      </c>
      <c r="D1326" s="83">
        <v>46036</v>
      </c>
      <c r="E1326" s="83">
        <v>46036</v>
      </c>
      <c r="F1326" s="82"/>
      <c r="G1326" s="83">
        <v>46006</v>
      </c>
      <c r="H1326" s="82" t="s">
        <v>264</v>
      </c>
      <c r="I1326" s="82" t="s">
        <v>22</v>
      </c>
      <c r="J1326" s="84">
        <v>0</v>
      </c>
      <c r="K1326" s="85">
        <v>5544.34</v>
      </c>
      <c r="L1326" s="85">
        <v>6265.09</v>
      </c>
      <c r="M1326" s="85">
        <v>720.75</v>
      </c>
      <c r="N1326" s="85">
        <v>0</v>
      </c>
      <c r="O1326" s="85">
        <v>6265.09</v>
      </c>
      <c r="P1326" s="85">
        <v>5544.34</v>
      </c>
      <c r="Q1326" s="85">
        <v>6265.09</v>
      </c>
      <c r="R1326" s="85">
        <v>720.75</v>
      </c>
      <c r="S1326" s="85">
        <v>0</v>
      </c>
      <c r="T1326" s="85">
        <v>6265.09</v>
      </c>
      <c r="U1326" s="82"/>
      <c r="V1326" s="82" t="s">
        <v>3396</v>
      </c>
      <c r="W1326" s="82" t="s">
        <v>3395</v>
      </c>
      <c r="X1326" s="82" t="s">
        <v>3394</v>
      </c>
      <c r="Y1326" s="82" t="s">
        <v>3393</v>
      </c>
    </row>
    <row r="1327" spans="1:25" ht="15" x14ac:dyDescent="0.2">
      <c r="A1327" s="82" t="s">
        <v>6019</v>
      </c>
      <c r="B1327" s="82" t="s">
        <v>83</v>
      </c>
      <c r="C1327" s="83">
        <v>46006</v>
      </c>
      <c r="D1327" s="83">
        <v>46036</v>
      </c>
      <c r="E1327" s="83">
        <v>46036</v>
      </c>
      <c r="F1327" s="82"/>
      <c r="G1327" s="83">
        <v>46006</v>
      </c>
      <c r="H1327" s="82" t="s">
        <v>268</v>
      </c>
      <c r="I1327" s="82" t="s">
        <v>22</v>
      </c>
      <c r="J1327" s="84">
        <v>0</v>
      </c>
      <c r="K1327" s="85">
        <v>17471.91</v>
      </c>
      <c r="L1327" s="85">
        <v>19743.259999999998</v>
      </c>
      <c r="M1327" s="85">
        <v>2271.35</v>
      </c>
      <c r="N1327" s="85">
        <v>0</v>
      </c>
      <c r="O1327" s="85">
        <v>19743.259999999998</v>
      </c>
      <c r="P1327" s="85">
        <v>17471.91</v>
      </c>
      <c r="Q1327" s="85">
        <v>19743.259999999998</v>
      </c>
      <c r="R1327" s="85">
        <v>2271.35</v>
      </c>
      <c r="S1327" s="85">
        <v>0</v>
      </c>
      <c r="T1327" s="85">
        <v>19743.259999999998</v>
      </c>
      <c r="U1327" s="82"/>
      <c r="V1327" s="82" t="s">
        <v>3396</v>
      </c>
      <c r="W1327" s="82" t="s">
        <v>3395</v>
      </c>
      <c r="X1327" s="82" t="s">
        <v>3394</v>
      </c>
      <c r="Y1327" s="82" t="s">
        <v>3393</v>
      </c>
    </row>
    <row r="1328" spans="1:25" ht="15" x14ac:dyDescent="0.2">
      <c r="A1328" s="82" t="s">
        <v>6020</v>
      </c>
      <c r="B1328" s="82" t="s">
        <v>141</v>
      </c>
      <c r="C1328" s="83">
        <v>46007</v>
      </c>
      <c r="D1328" s="83">
        <v>46052</v>
      </c>
      <c r="E1328" s="83">
        <v>46052</v>
      </c>
      <c r="F1328" s="82"/>
      <c r="G1328" s="83">
        <v>46007</v>
      </c>
      <c r="H1328" s="82" t="s">
        <v>140</v>
      </c>
      <c r="I1328" s="82" t="s">
        <v>51</v>
      </c>
      <c r="J1328" s="84">
        <v>0.72772800000000004</v>
      </c>
      <c r="K1328" s="85">
        <v>794</v>
      </c>
      <c r="L1328" s="85">
        <v>794</v>
      </c>
      <c r="M1328" s="85">
        <v>0</v>
      </c>
      <c r="N1328" s="85">
        <v>0</v>
      </c>
      <c r="O1328" s="85">
        <v>794</v>
      </c>
      <c r="P1328" s="85">
        <v>1091.0669920629684</v>
      </c>
      <c r="Q1328" s="85">
        <v>1091.0669920629684</v>
      </c>
      <c r="R1328" s="85">
        <v>0</v>
      </c>
      <c r="S1328" s="85">
        <v>0</v>
      </c>
      <c r="T1328" s="85">
        <v>1089.7</v>
      </c>
      <c r="U1328" s="82" t="s">
        <v>3401</v>
      </c>
      <c r="V1328" s="82" t="s">
        <v>3396</v>
      </c>
      <c r="W1328" s="82" t="s">
        <v>3395</v>
      </c>
      <c r="X1328" s="82" t="s">
        <v>3397</v>
      </c>
      <c r="Y1328" s="82" t="s">
        <v>3393</v>
      </c>
    </row>
    <row r="1329" spans="1:25" ht="15" x14ac:dyDescent="0.2">
      <c r="A1329" s="82" t="s">
        <v>6021</v>
      </c>
      <c r="B1329" s="82" t="s">
        <v>141</v>
      </c>
      <c r="C1329" s="83">
        <v>46007</v>
      </c>
      <c r="D1329" s="83">
        <v>46052</v>
      </c>
      <c r="E1329" s="83">
        <v>46052</v>
      </c>
      <c r="F1329" s="82"/>
      <c r="G1329" s="83">
        <v>46007</v>
      </c>
      <c r="H1329" s="82" t="s">
        <v>335</v>
      </c>
      <c r="I1329" s="82" t="s">
        <v>51</v>
      </c>
      <c r="J1329" s="84">
        <v>0.72772800000000004</v>
      </c>
      <c r="K1329" s="85">
        <v>184.92</v>
      </c>
      <c r="L1329" s="85">
        <v>184.92</v>
      </c>
      <c r="M1329" s="85">
        <v>0</v>
      </c>
      <c r="N1329" s="85">
        <v>0</v>
      </c>
      <c r="O1329" s="85">
        <v>184.92</v>
      </c>
      <c r="P1329" s="85">
        <v>254.10592968801529</v>
      </c>
      <c r="Q1329" s="85">
        <v>254.10592968801529</v>
      </c>
      <c r="R1329" s="85">
        <v>0</v>
      </c>
      <c r="S1329" s="85">
        <v>0</v>
      </c>
      <c r="T1329" s="85">
        <v>253.79</v>
      </c>
      <c r="U1329" s="82" t="s">
        <v>3401</v>
      </c>
      <c r="V1329" s="82" t="s">
        <v>3396</v>
      </c>
      <c r="W1329" s="82" t="s">
        <v>3395</v>
      </c>
      <c r="X1329" s="82" t="s">
        <v>3397</v>
      </c>
      <c r="Y1329" s="82" t="s">
        <v>3393</v>
      </c>
    </row>
    <row r="1330" spans="1:25" ht="15" x14ac:dyDescent="0.2">
      <c r="A1330" s="82" t="s">
        <v>6022</v>
      </c>
      <c r="B1330" s="82" t="s">
        <v>77</v>
      </c>
      <c r="C1330" s="83">
        <v>46007</v>
      </c>
      <c r="D1330" s="83">
        <v>46037</v>
      </c>
      <c r="E1330" s="83">
        <v>46037</v>
      </c>
      <c r="F1330" s="82"/>
      <c r="G1330" s="83">
        <v>46008</v>
      </c>
      <c r="H1330" s="82" t="s">
        <v>6023</v>
      </c>
      <c r="I1330" s="82" t="s">
        <v>22</v>
      </c>
      <c r="J1330" s="84">
        <v>0</v>
      </c>
      <c r="K1330" s="85">
        <v>2041</v>
      </c>
      <c r="L1330" s="85">
        <v>2143.0500000000002</v>
      </c>
      <c r="M1330" s="85">
        <v>102.05</v>
      </c>
      <c r="N1330" s="85">
        <v>0</v>
      </c>
      <c r="O1330" s="85">
        <v>2143.0500000000002</v>
      </c>
      <c r="P1330" s="85">
        <v>2041</v>
      </c>
      <c r="Q1330" s="85">
        <v>2143.0500000000002</v>
      </c>
      <c r="R1330" s="85">
        <v>102.05</v>
      </c>
      <c r="S1330" s="85">
        <v>0</v>
      </c>
      <c r="T1330" s="85">
        <v>2143.0500000000002</v>
      </c>
      <c r="U1330" s="82"/>
      <c r="V1330" s="82" t="s">
        <v>3396</v>
      </c>
      <c r="W1330" s="82" t="s">
        <v>3395</v>
      </c>
      <c r="X1330" s="82" t="s">
        <v>3394</v>
      </c>
      <c r="Y1330" s="82" t="s">
        <v>3393</v>
      </c>
    </row>
    <row r="1331" spans="1:25" ht="15" x14ac:dyDescent="0.2">
      <c r="A1331" s="82" t="s">
        <v>6024</v>
      </c>
      <c r="B1331" s="82" t="s">
        <v>35</v>
      </c>
      <c r="C1331" s="83">
        <v>46007</v>
      </c>
      <c r="D1331" s="83">
        <v>46037</v>
      </c>
      <c r="E1331" s="83">
        <v>46037</v>
      </c>
      <c r="F1331" s="82"/>
      <c r="G1331" s="83">
        <v>46008</v>
      </c>
      <c r="H1331" s="82" t="s">
        <v>6025</v>
      </c>
      <c r="I1331" s="82" t="s">
        <v>22</v>
      </c>
      <c r="J1331" s="84">
        <v>0</v>
      </c>
      <c r="K1331" s="85">
        <v>630.38</v>
      </c>
      <c r="L1331" s="85">
        <v>661.91</v>
      </c>
      <c r="M1331" s="85">
        <v>31.53</v>
      </c>
      <c r="N1331" s="85">
        <v>0</v>
      </c>
      <c r="O1331" s="85">
        <v>661.91</v>
      </c>
      <c r="P1331" s="85">
        <v>630.38</v>
      </c>
      <c r="Q1331" s="85">
        <v>661.91</v>
      </c>
      <c r="R1331" s="85">
        <v>31.53</v>
      </c>
      <c r="S1331" s="85">
        <v>0</v>
      </c>
      <c r="T1331" s="85">
        <v>661.91</v>
      </c>
      <c r="U1331" s="82"/>
      <c r="V1331" s="82" t="s">
        <v>3396</v>
      </c>
      <c r="W1331" s="82" t="s">
        <v>3395</v>
      </c>
      <c r="X1331" s="82" t="s">
        <v>3394</v>
      </c>
      <c r="Y1331" s="82" t="s">
        <v>3393</v>
      </c>
    </row>
    <row r="1332" spans="1:25" ht="15" x14ac:dyDescent="0.2">
      <c r="A1332" s="82" t="s">
        <v>6026</v>
      </c>
      <c r="B1332" s="82" t="s">
        <v>89</v>
      </c>
      <c r="C1332" s="83">
        <v>46007</v>
      </c>
      <c r="D1332" s="83">
        <v>46037</v>
      </c>
      <c r="E1332" s="83">
        <v>46037</v>
      </c>
      <c r="F1332" s="82"/>
      <c r="G1332" s="83">
        <v>46008</v>
      </c>
      <c r="H1332" s="82" t="s">
        <v>88</v>
      </c>
      <c r="I1332" s="82" t="s">
        <v>22</v>
      </c>
      <c r="J1332" s="84">
        <v>0</v>
      </c>
      <c r="K1332" s="85">
        <v>356.76</v>
      </c>
      <c r="L1332" s="85">
        <v>374.6</v>
      </c>
      <c r="M1332" s="85">
        <v>17.84</v>
      </c>
      <c r="N1332" s="85">
        <v>0</v>
      </c>
      <c r="O1332" s="85">
        <v>374.6</v>
      </c>
      <c r="P1332" s="85">
        <v>356.76</v>
      </c>
      <c r="Q1332" s="85">
        <v>374.6</v>
      </c>
      <c r="R1332" s="85">
        <v>17.84</v>
      </c>
      <c r="S1332" s="85">
        <v>0</v>
      </c>
      <c r="T1332" s="85">
        <v>374.6</v>
      </c>
      <c r="U1332" s="82"/>
      <c r="V1332" s="82" t="s">
        <v>3396</v>
      </c>
      <c r="W1332" s="82" t="s">
        <v>3395</v>
      </c>
      <c r="X1332" s="82" t="s">
        <v>3394</v>
      </c>
      <c r="Y1332" s="82" t="s">
        <v>3393</v>
      </c>
    </row>
    <row r="1333" spans="1:25" ht="15" x14ac:dyDescent="0.2">
      <c r="A1333" s="82" t="s">
        <v>6027</v>
      </c>
      <c r="B1333" s="82" t="s">
        <v>442</v>
      </c>
      <c r="C1333" s="83">
        <v>46008</v>
      </c>
      <c r="D1333" s="83">
        <v>46068</v>
      </c>
      <c r="E1333" s="83">
        <v>46068</v>
      </c>
      <c r="F1333" s="82"/>
      <c r="G1333" s="83">
        <v>46009</v>
      </c>
      <c r="H1333" s="82" t="s">
        <v>6028</v>
      </c>
      <c r="I1333" s="82" t="s">
        <v>51</v>
      </c>
      <c r="J1333" s="84">
        <v>0.72538400000000003</v>
      </c>
      <c r="K1333" s="85">
        <v>10917.17</v>
      </c>
      <c r="L1333" s="85">
        <v>12263.21</v>
      </c>
      <c r="M1333" s="85">
        <v>1346.04</v>
      </c>
      <c r="N1333" s="85">
        <v>0</v>
      </c>
      <c r="O1333" s="85">
        <v>12263.21</v>
      </c>
      <c r="P1333" s="85">
        <v>15050.194104088318</v>
      </c>
      <c r="Q1333" s="85">
        <v>16905.8181597609</v>
      </c>
      <c r="R1333" s="85">
        <v>1855.6240556725816</v>
      </c>
      <c r="S1333" s="85">
        <v>0</v>
      </c>
      <c r="T1333" s="85">
        <v>16830.27</v>
      </c>
      <c r="U1333" s="82" t="s">
        <v>3401</v>
      </c>
      <c r="V1333" s="82" t="s">
        <v>3396</v>
      </c>
      <c r="W1333" s="82" t="s">
        <v>3395</v>
      </c>
      <c r="X1333" s="82" t="s">
        <v>3397</v>
      </c>
      <c r="Y1333" s="82" t="s">
        <v>3393</v>
      </c>
    </row>
    <row r="1334" spans="1:25" ht="15" x14ac:dyDescent="0.2">
      <c r="A1334" s="82" t="s">
        <v>6029</v>
      </c>
      <c r="B1334" s="82" t="s">
        <v>612</v>
      </c>
      <c r="C1334" s="83">
        <v>46008</v>
      </c>
      <c r="D1334" s="83">
        <v>46038</v>
      </c>
      <c r="E1334" s="83">
        <v>46038</v>
      </c>
      <c r="F1334" s="83">
        <v>46008</v>
      </c>
      <c r="G1334" s="83">
        <v>46008</v>
      </c>
      <c r="H1334" s="82" t="s">
        <v>6030</v>
      </c>
      <c r="I1334" s="82" t="s">
        <v>22</v>
      </c>
      <c r="J1334" s="84">
        <v>0</v>
      </c>
      <c r="K1334" s="85">
        <v>18033.48</v>
      </c>
      <c r="L1334" s="85">
        <v>20340.650000000001</v>
      </c>
      <c r="M1334" s="85">
        <v>2307.17</v>
      </c>
      <c r="N1334" s="85">
        <v>8583.2800000000007</v>
      </c>
      <c r="O1334" s="85">
        <v>11757.37</v>
      </c>
      <c r="P1334" s="85">
        <v>18033.48</v>
      </c>
      <c r="Q1334" s="85">
        <v>20340.650000000001</v>
      </c>
      <c r="R1334" s="85">
        <v>2307.17</v>
      </c>
      <c r="S1334" s="85">
        <v>8583.2800000000007</v>
      </c>
      <c r="T1334" s="85">
        <v>11757.37</v>
      </c>
      <c r="U1334" s="82"/>
      <c r="V1334" s="82" t="s">
        <v>3396</v>
      </c>
      <c r="W1334" s="82" t="s">
        <v>3395</v>
      </c>
      <c r="X1334" s="82" t="s">
        <v>3394</v>
      </c>
      <c r="Y1334" s="82" t="s">
        <v>3393</v>
      </c>
    </row>
    <row r="1335" spans="1:25" ht="15" x14ac:dyDescent="0.2">
      <c r="A1335" s="82" t="s">
        <v>6031</v>
      </c>
      <c r="B1335" s="82" t="s">
        <v>61</v>
      </c>
      <c r="C1335" s="83">
        <v>46008</v>
      </c>
      <c r="D1335" s="83">
        <v>46038</v>
      </c>
      <c r="E1335" s="83">
        <v>46038</v>
      </c>
      <c r="F1335" s="82"/>
      <c r="G1335" s="83">
        <v>46008</v>
      </c>
      <c r="H1335" s="82" t="s">
        <v>60</v>
      </c>
      <c r="I1335" s="82" t="s">
        <v>51</v>
      </c>
      <c r="J1335" s="84">
        <v>0.72513700000000003</v>
      </c>
      <c r="K1335" s="85">
        <v>1223</v>
      </c>
      <c r="L1335" s="85">
        <v>1223</v>
      </c>
      <c r="M1335" s="85">
        <v>0</v>
      </c>
      <c r="N1335" s="85">
        <v>0</v>
      </c>
      <c r="O1335" s="85">
        <v>1223</v>
      </c>
      <c r="P1335" s="85">
        <v>1686.5778466689742</v>
      </c>
      <c r="Q1335" s="85">
        <v>1686.5778466689742</v>
      </c>
      <c r="R1335" s="85">
        <v>0</v>
      </c>
      <c r="S1335" s="85">
        <v>0</v>
      </c>
      <c r="T1335" s="85">
        <v>1678.47</v>
      </c>
      <c r="U1335" s="82" t="s">
        <v>3401</v>
      </c>
      <c r="V1335" s="82" t="s">
        <v>3396</v>
      </c>
      <c r="W1335" s="82" t="s">
        <v>3395</v>
      </c>
      <c r="X1335" s="82" t="s">
        <v>3394</v>
      </c>
      <c r="Y1335" s="82" t="s">
        <v>3393</v>
      </c>
    </row>
    <row r="1336" spans="1:25" ht="15" x14ac:dyDescent="0.2">
      <c r="A1336" s="82" t="s">
        <v>6032</v>
      </c>
      <c r="B1336" s="82" t="s">
        <v>465</v>
      </c>
      <c r="C1336" s="83">
        <v>46008</v>
      </c>
      <c r="D1336" s="83">
        <v>46038</v>
      </c>
      <c r="E1336" s="83">
        <v>46038</v>
      </c>
      <c r="F1336" s="82"/>
      <c r="G1336" s="83">
        <v>46008</v>
      </c>
      <c r="H1336" s="82" t="s">
        <v>6033</v>
      </c>
      <c r="I1336" s="82" t="s">
        <v>22</v>
      </c>
      <c r="J1336" s="84">
        <v>0</v>
      </c>
      <c r="K1336" s="85">
        <v>4395.1400000000003</v>
      </c>
      <c r="L1336" s="85">
        <v>4966.51</v>
      </c>
      <c r="M1336" s="85">
        <v>571.37</v>
      </c>
      <c r="N1336" s="85">
        <v>0</v>
      </c>
      <c r="O1336" s="85">
        <v>4966.51</v>
      </c>
      <c r="P1336" s="85">
        <v>4395.1400000000003</v>
      </c>
      <c r="Q1336" s="85">
        <v>4966.51</v>
      </c>
      <c r="R1336" s="85">
        <v>571.37</v>
      </c>
      <c r="S1336" s="85">
        <v>0</v>
      </c>
      <c r="T1336" s="85">
        <v>4966.51</v>
      </c>
      <c r="U1336" s="82"/>
      <c r="V1336" s="82" t="s">
        <v>3396</v>
      </c>
      <c r="W1336" s="82" t="s">
        <v>3395</v>
      </c>
      <c r="X1336" s="82" t="s">
        <v>3394</v>
      </c>
      <c r="Y1336" s="82" t="s">
        <v>3393</v>
      </c>
    </row>
    <row r="1337" spans="1:25" ht="15" x14ac:dyDescent="0.2">
      <c r="A1337" s="82" t="s">
        <v>6034</v>
      </c>
      <c r="B1337" s="82" t="s">
        <v>77</v>
      </c>
      <c r="C1337" s="83">
        <v>46008</v>
      </c>
      <c r="D1337" s="83">
        <v>46038</v>
      </c>
      <c r="E1337" s="83">
        <v>46038</v>
      </c>
      <c r="F1337" s="82"/>
      <c r="G1337" s="83">
        <v>46008</v>
      </c>
      <c r="H1337" s="82" t="s">
        <v>6035</v>
      </c>
      <c r="I1337" s="82" t="s">
        <v>22</v>
      </c>
      <c r="J1337" s="84">
        <v>0</v>
      </c>
      <c r="K1337" s="85">
        <v>350.39</v>
      </c>
      <c r="L1337" s="85">
        <v>367.91</v>
      </c>
      <c r="M1337" s="85">
        <v>17.52</v>
      </c>
      <c r="N1337" s="85">
        <v>0</v>
      </c>
      <c r="O1337" s="85">
        <v>367.91</v>
      </c>
      <c r="P1337" s="85">
        <v>350.39</v>
      </c>
      <c r="Q1337" s="85">
        <v>367.91</v>
      </c>
      <c r="R1337" s="85">
        <v>17.52</v>
      </c>
      <c r="S1337" s="85">
        <v>0</v>
      </c>
      <c r="T1337" s="85">
        <v>367.91</v>
      </c>
      <c r="U1337" s="82"/>
      <c r="V1337" s="82" t="s">
        <v>3396</v>
      </c>
      <c r="W1337" s="82" t="s">
        <v>3395</v>
      </c>
      <c r="X1337" s="82" t="s">
        <v>3394</v>
      </c>
      <c r="Y1337" s="82" t="s">
        <v>3393</v>
      </c>
    </row>
    <row r="1338" spans="1:25" ht="15" x14ac:dyDescent="0.2">
      <c r="A1338" s="82" t="s">
        <v>6036</v>
      </c>
      <c r="B1338" s="82" t="s">
        <v>3410</v>
      </c>
      <c r="C1338" s="83">
        <v>46008</v>
      </c>
      <c r="D1338" s="83">
        <v>46038</v>
      </c>
      <c r="E1338" s="83">
        <v>46038</v>
      </c>
      <c r="F1338" s="82"/>
      <c r="G1338" s="83">
        <v>46008</v>
      </c>
      <c r="H1338" s="82" t="s">
        <v>6037</v>
      </c>
      <c r="I1338" s="82" t="s">
        <v>22</v>
      </c>
      <c r="J1338" s="84">
        <v>0</v>
      </c>
      <c r="K1338" s="85">
        <v>448.78</v>
      </c>
      <c r="L1338" s="85">
        <v>471.22</v>
      </c>
      <c r="M1338" s="85">
        <v>22.44</v>
      </c>
      <c r="N1338" s="85">
        <v>0</v>
      </c>
      <c r="O1338" s="85">
        <v>471.22</v>
      </c>
      <c r="P1338" s="85">
        <v>448.78</v>
      </c>
      <c r="Q1338" s="85">
        <v>471.22</v>
      </c>
      <c r="R1338" s="85">
        <v>22.44</v>
      </c>
      <c r="S1338" s="85">
        <v>0</v>
      </c>
      <c r="T1338" s="85">
        <v>471.22</v>
      </c>
      <c r="U1338" s="82"/>
      <c r="V1338" s="82" t="s">
        <v>3396</v>
      </c>
      <c r="W1338" s="82" t="s">
        <v>3395</v>
      </c>
      <c r="X1338" s="82" t="s">
        <v>3394</v>
      </c>
      <c r="Y1338" s="82" t="s">
        <v>3393</v>
      </c>
    </row>
    <row r="1339" spans="1:25" ht="15" x14ac:dyDescent="0.2">
      <c r="A1339" s="82" t="s">
        <v>6038</v>
      </c>
      <c r="B1339" s="82" t="s">
        <v>26</v>
      </c>
      <c r="C1339" s="83">
        <v>46008</v>
      </c>
      <c r="D1339" s="83">
        <v>46068</v>
      </c>
      <c r="E1339" s="83">
        <v>46068</v>
      </c>
      <c r="F1339" s="82"/>
      <c r="G1339" s="83">
        <v>46008</v>
      </c>
      <c r="H1339" s="82" t="s">
        <v>417</v>
      </c>
      <c r="I1339" s="82" t="s">
        <v>22</v>
      </c>
      <c r="J1339" s="84">
        <v>0</v>
      </c>
      <c r="K1339" s="85">
        <v>6970.1</v>
      </c>
      <c r="L1339" s="85">
        <v>7318.61</v>
      </c>
      <c r="M1339" s="85">
        <v>348.51</v>
      </c>
      <c r="N1339" s="85">
        <v>0</v>
      </c>
      <c r="O1339" s="85">
        <v>7318.61</v>
      </c>
      <c r="P1339" s="85">
        <v>6970.1</v>
      </c>
      <c r="Q1339" s="85">
        <v>7318.61</v>
      </c>
      <c r="R1339" s="85">
        <v>348.51</v>
      </c>
      <c r="S1339" s="85">
        <v>0</v>
      </c>
      <c r="T1339" s="85">
        <v>7318.61</v>
      </c>
      <c r="U1339" s="82"/>
      <c r="V1339" s="82" t="s">
        <v>3396</v>
      </c>
      <c r="W1339" s="82" t="s">
        <v>3395</v>
      </c>
      <c r="X1339" s="82" t="s">
        <v>3394</v>
      </c>
      <c r="Y1339" s="82" t="s">
        <v>3393</v>
      </c>
    </row>
    <row r="1340" spans="1:25" ht="15" x14ac:dyDescent="0.2">
      <c r="A1340" s="82" t="s">
        <v>6039</v>
      </c>
      <c r="B1340" s="82" t="s">
        <v>83</v>
      </c>
      <c r="C1340" s="83">
        <v>46008</v>
      </c>
      <c r="D1340" s="83">
        <v>46038</v>
      </c>
      <c r="E1340" s="83">
        <v>46038</v>
      </c>
      <c r="F1340" s="82"/>
      <c r="G1340" s="83">
        <v>46013</v>
      </c>
      <c r="H1340" s="82" t="s">
        <v>6040</v>
      </c>
      <c r="I1340" s="82" t="s">
        <v>22</v>
      </c>
      <c r="J1340" s="84">
        <v>0</v>
      </c>
      <c r="K1340" s="85">
        <v>5957.6</v>
      </c>
      <c r="L1340" s="85">
        <v>6255.48</v>
      </c>
      <c r="M1340" s="85">
        <v>297.88</v>
      </c>
      <c r="N1340" s="85">
        <v>0</v>
      </c>
      <c r="O1340" s="85">
        <v>6255.48</v>
      </c>
      <c r="P1340" s="85">
        <v>5957.6</v>
      </c>
      <c r="Q1340" s="85">
        <v>6255.48</v>
      </c>
      <c r="R1340" s="85">
        <v>297.88</v>
      </c>
      <c r="S1340" s="85">
        <v>0</v>
      </c>
      <c r="T1340" s="85">
        <v>6255.48</v>
      </c>
      <c r="U1340" s="82"/>
      <c r="V1340" s="82" t="s">
        <v>3396</v>
      </c>
      <c r="W1340" s="82" t="s">
        <v>3395</v>
      </c>
      <c r="X1340" s="82" t="s">
        <v>3394</v>
      </c>
      <c r="Y1340" s="82" t="s">
        <v>3393</v>
      </c>
    </row>
    <row r="1341" spans="1:25" ht="15" x14ac:dyDescent="0.2">
      <c r="A1341" s="82" t="s">
        <v>6041</v>
      </c>
      <c r="B1341" s="82" t="s">
        <v>3412</v>
      </c>
      <c r="C1341" s="83">
        <v>46009</v>
      </c>
      <c r="D1341" s="83">
        <v>46016</v>
      </c>
      <c r="E1341" s="83">
        <v>46016</v>
      </c>
      <c r="F1341" s="82"/>
      <c r="G1341" s="83">
        <v>46009</v>
      </c>
      <c r="H1341" s="82" t="s">
        <v>6042</v>
      </c>
      <c r="I1341" s="82" t="s">
        <v>22</v>
      </c>
      <c r="J1341" s="84">
        <v>0</v>
      </c>
      <c r="K1341" s="85">
        <v>85.06</v>
      </c>
      <c r="L1341" s="85">
        <v>85.06</v>
      </c>
      <c r="M1341" s="85">
        <v>0</v>
      </c>
      <c r="N1341" s="85">
        <v>0</v>
      </c>
      <c r="O1341" s="85">
        <v>85.06</v>
      </c>
      <c r="P1341" s="85">
        <v>85.06</v>
      </c>
      <c r="Q1341" s="85">
        <v>85.06</v>
      </c>
      <c r="R1341" s="85">
        <v>0</v>
      </c>
      <c r="S1341" s="85">
        <v>0</v>
      </c>
      <c r="T1341" s="85">
        <v>85.06</v>
      </c>
      <c r="U1341" s="82"/>
      <c r="V1341" s="82" t="s">
        <v>3396</v>
      </c>
      <c r="W1341" s="82" t="s">
        <v>3395</v>
      </c>
      <c r="X1341" s="82" t="s">
        <v>3397</v>
      </c>
      <c r="Y1341" s="82" t="s">
        <v>3393</v>
      </c>
    </row>
    <row r="1342" spans="1:25" ht="15" x14ac:dyDescent="0.2">
      <c r="A1342" s="82" t="s">
        <v>6043</v>
      </c>
      <c r="B1342" s="82" t="s">
        <v>3412</v>
      </c>
      <c r="C1342" s="83">
        <v>46009</v>
      </c>
      <c r="D1342" s="83">
        <v>46016</v>
      </c>
      <c r="E1342" s="83">
        <v>46016</v>
      </c>
      <c r="F1342" s="82"/>
      <c r="G1342" s="83">
        <v>46009</v>
      </c>
      <c r="H1342" s="82" t="s">
        <v>6044</v>
      </c>
      <c r="I1342" s="82" t="s">
        <v>22</v>
      </c>
      <c r="J1342" s="84">
        <v>0</v>
      </c>
      <c r="K1342" s="85">
        <v>80.83</v>
      </c>
      <c r="L1342" s="85">
        <v>80.83</v>
      </c>
      <c r="M1342" s="85">
        <v>0</v>
      </c>
      <c r="N1342" s="85">
        <v>0</v>
      </c>
      <c r="O1342" s="85">
        <v>80.83</v>
      </c>
      <c r="P1342" s="85">
        <v>80.83</v>
      </c>
      <c r="Q1342" s="85">
        <v>80.83</v>
      </c>
      <c r="R1342" s="85">
        <v>0</v>
      </c>
      <c r="S1342" s="85">
        <v>0</v>
      </c>
      <c r="T1342" s="85">
        <v>80.83</v>
      </c>
      <c r="U1342" s="82"/>
      <c r="V1342" s="82" t="s">
        <v>3396</v>
      </c>
      <c r="W1342" s="82" t="s">
        <v>3395</v>
      </c>
      <c r="X1342" s="82" t="s">
        <v>3397</v>
      </c>
      <c r="Y1342" s="82" t="s">
        <v>3393</v>
      </c>
    </row>
    <row r="1343" spans="1:25" ht="15" x14ac:dyDescent="0.2">
      <c r="A1343" s="82" t="s">
        <v>6045</v>
      </c>
      <c r="B1343" s="82" t="s">
        <v>39</v>
      </c>
      <c r="C1343" s="83">
        <v>46009</v>
      </c>
      <c r="D1343" s="83">
        <v>46039</v>
      </c>
      <c r="E1343" s="83">
        <v>46039</v>
      </c>
      <c r="F1343" s="82"/>
      <c r="G1343" s="83">
        <v>46013</v>
      </c>
      <c r="H1343" s="82" t="s">
        <v>6046</v>
      </c>
      <c r="I1343" s="82" t="s">
        <v>22</v>
      </c>
      <c r="J1343" s="84">
        <v>0</v>
      </c>
      <c r="K1343" s="85">
        <v>7748.12</v>
      </c>
      <c r="L1343" s="85">
        <v>8135.52</v>
      </c>
      <c r="M1343" s="85">
        <v>387.4</v>
      </c>
      <c r="N1343" s="85">
        <v>0</v>
      </c>
      <c r="O1343" s="85">
        <v>8135.52</v>
      </c>
      <c r="P1343" s="85">
        <v>7748.12</v>
      </c>
      <c r="Q1343" s="85">
        <v>8135.52</v>
      </c>
      <c r="R1343" s="85">
        <v>387.4</v>
      </c>
      <c r="S1343" s="85">
        <v>0</v>
      </c>
      <c r="T1343" s="85">
        <v>8135.52</v>
      </c>
      <c r="U1343" s="82"/>
      <c r="V1343" s="82" t="s">
        <v>3396</v>
      </c>
      <c r="W1343" s="82" t="s">
        <v>3395</v>
      </c>
      <c r="X1343" s="82" t="s">
        <v>3394</v>
      </c>
      <c r="Y1343" s="82" t="s">
        <v>3393</v>
      </c>
    </row>
    <row r="1344" spans="1:25" ht="15" x14ac:dyDescent="0.2">
      <c r="A1344" s="82" t="s">
        <v>6047</v>
      </c>
      <c r="B1344" s="82" t="s">
        <v>141</v>
      </c>
      <c r="C1344" s="83">
        <v>46010</v>
      </c>
      <c r="D1344" s="83">
        <v>46055</v>
      </c>
      <c r="E1344" s="83">
        <v>46055</v>
      </c>
      <c r="F1344" s="82"/>
      <c r="G1344" s="83">
        <v>46010</v>
      </c>
      <c r="H1344" s="82" t="s">
        <v>744</v>
      </c>
      <c r="I1344" s="82" t="s">
        <v>51</v>
      </c>
      <c r="J1344" s="84">
        <v>0.72485299999999997</v>
      </c>
      <c r="K1344" s="85">
        <v>1073.3800000000001</v>
      </c>
      <c r="L1344" s="85">
        <v>1073.3800000000001</v>
      </c>
      <c r="M1344" s="85">
        <v>0</v>
      </c>
      <c r="N1344" s="85">
        <v>0</v>
      </c>
      <c r="O1344" s="85">
        <v>1073.3800000000001</v>
      </c>
      <c r="P1344" s="85">
        <v>1480.8243878413969</v>
      </c>
      <c r="Q1344" s="85">
        <v>1480.8243878413969</v>
      </c>
      <c r="R1344" s="85">
        <v>0</v>
      </c>
      <c r="S1344" s="85">
        <v>0</v>
      </c>
      <c r="T1344" s="85">
        <v>1473.13</v>
      </c>
      <c r="U1344" s="82" t="s">
        <v>3401</v>
      </c>
      <c r="V1344" s="82" t="s">
        <v>3396</v>
      </c>
      <c r="W1344" s="82" t="s">
        <v>3395</v>
      </c>
      <c r="X1344" s="82" t="s">
        <v>3397</v>
      </c>
      <c r="Y1344" s="82" t="s">
        <v>3393</v>
      </c>
    </row>
    <row r="1345" spans="1:25" ht="15" x14ac:dyDescent="0.2">
      <c r="A1345" s="82" t="s">
        <v>6048</v>
      </c>
      <c r="B1345" s="82" t="s">
        <v>612</v>
      </c>
      <c r="C1345" s="83">
        <v>46013</v>
      </c>
      <c r="D1345" s="83">
        <v>46043</v>
      </c>
      <c r="E1345" s="83">
        <v>46043</v>
      </c>
      <c r="F1345" s="82"/>
      <c r="G1345" s="83">
        <v>46013</v>
      </c>
      <c r="H1345" s="82" t="s">
        <v>6049</v>
      </c>
      <c r="I1345" s="82" t="s">
        <v>22</v>
      </c>
      <c r="J1345" s="84">
        <v>0</v>
      </c>
      <c r="K1345" s="85">
        <v>1014.3</v>
      </c>
      <c r="L1345" s="85">
        <v>1065.01</v>
      </c>
      <c r="M1345" s="85">
        <v>50.71</v>
      </c>
      <c r="N1345" s="85">
        <v>0</v>
      </c>
      <c r="O1345" s="85">
        <v>1065.01</v>
      </c>
      <c r="P1345" s="85">
        <v>1014.3</v>
      </c>
      <c r="Q1345" s="85">
        <v>1065.01</v>
      </c>
      <c r="R1345" s="85">
        <v>50.71</v>
      </c>
      <c r="S1345" s="85">
        <v>0</v>
      </c>
      <c r="T1345" s="85">
        <v>1065.01</v>
      </c>
      <c r="U1345" s="82"/>
      <c r="V1345" s="82" t="s">
        <v>3396</v>
      </c>
      <c r="W1345" s="82" t="s">
        <v>3395</v>
      </c>
      <c r="X1345" s="82" t="s">
        <v>3394</v>
      </c>
      <c r="Y1345" s="82" t="s">
        <v>3393</v>
      </c>
    </row>
    <row r="1346" spans="1:25" ht="15" x14ac:dyDescent="0.2">
      <c r="A1346" s="82" t="s">
        <v>6050</v>
      </c>
      <c r="B1346" s="82" t="s">
        <v>864</v>
      </c>
      <c r="C1346" s="83">
        <v>46013</v>
      </c>
      <c r="D1346" s="83">
        <v>46043</v>
      </c>
      <c r="E1346" s="83">
        <v>46043</v>
      </c>
      <c r="F1346" s="82"/>
      <c r="G1346" s="83">
        <v>46013</v>
      </c>
      <c r="H1346" s="82" t="s">
        <v>6051</v>
      </c>
      <c r="I1346" s="82" t="s">
        <v>22</v>
      </c>
      <c r="J1346" s="84">
        <v>0</v>
      </c>
      <c r="K1346" s="85">
        <v>4160.45</v>
      </c>
      <c r="L1346" s="85">
        <v>4368.47</v>
      </c>
      <c r="M1346" s="85">
        <v>208.02</v>
      </c>
      <c r="N1346" s="85">
        <v>0</v>
      </c>
      <c r="O1346" s="85">
        <v>4368.47</v>
      </c>
      <c r="P1346" s="85">
        <v>4160.45</v>
      </c>
      <c r="Q1346" s="85">
        <v>4368.47</v>
      </c>
      <c r="R1346" s="85">
        <v>208.02</v>
      </c>
      <c r="S1346" s="85">
        <v>0</v>
      </c>
      <c r="T1346" s="85">
        <v>4368.47</v>
      </c>
      <c r="U1346" s="82"/>
      <c r="V1346" s="82" t="s">
        <v>3396</v>
      </c>
      <c r="W1346" s="82" t="s">
        <v>3395</v>
      </c>
      <c r="X1346" s="82" t="s">
        <v>3394</v>
      </c>
      <c r="Y1346" s="82" t="s">
        <v>3393</v>
      </c>
    </row>
    <row r="1347" spans="1:25" ht="15" x14ac:dyDescent="0.2">
      <c r="A1347" s="82" t="s">
        <v>6052</v>
      </c>
      <c r="B1347" s="82" t="s">
        <v>20</v>
      </c>
      <c r="C1347" s="83">
        <v>46014</v>
      </c>
      <c r="D1347" s="83">
        <v>46074</v>
      </c>
      <c r="E1347" s="83">
        <v>46074</v>
      </c>
      <c r="F1347" s="82"/>
      <c r="G1347" s="83">
        <v>46021</v>
      </c>
      <c r="H1347" s="82" t="s">
        <v>413</v>
      </c>
      <c r="I1347" s="82" t="s">
        <v>22</v>
      </c>
      <c r="J1347" s="84">
        <v>0</v>
      </c>
      <c r="K1347" s="85">
        <v>1948.11</v>
      </c>
      <c r="L1347" s="85">
        <v>2045.52</v>
      </c>
      <c r="M1347" s="85">
        <v>97.41</v>
      </c>
      <c r="N1347" s="85">
        <v>0</v>
      </c>
      <c r="O1347" s="85">
        <v>2045.52</v>
      </c>
      <c r="P1347" s="85">
        <v>1948.11</v>
      </c>
      <c r="Q1347" s="85">
        <v>2045.52</v>
      </c>
      <c r="R1347" s="85">
        <v>97.41</v>
      </c>
      <c r="S1347" s="85">
        <v>0</v>
      </c>
      <c r="T1347" s="85">
        <v>2045.52</v>
      </c>
      <c r="U1347" s="82"/>
      <c r="V1347" s="82" t="s">
        <v>3396</v>
      </c>
      <c r="W1347" s="82" t="s">
        <v>3395</v>
      </c>
      <c r="X1347" s="82" t="s">
        <v>3394</v>
      </c>
      <c r="Y1347" s="82" t="s">
        <v>3393</v>
      </c>
    </row>
    <row r="1348" spans="1:25" ht="15" x14ac:dyDescent="0.2">
      <c r="A1348" s="82" t="s">
        <v>6053</v>
      </c>
      <c r="B1348" s="82" t="s">
        <v>77</v>
      </c>
      <c r="C1348" s="83">
        <v>46014</v>
      </c>
      <c r="D1348" s="83">
        <v>46044</v>
      </c>
      <c r="E1348" s="83">
        <v>46044</v>
      </c>
      <c r="F1348" s="82"/>
      <c r="G1348" s="83">
        <v>46021</v>
      </c>
      <c r="H1348" s="82" t="s">
        <v>5986</v>
      </c>
      <c r="I1348" s="82" t="s">
        <v>22</v>
      </c>
      <c r="J1348" s="84">
        <v>0</v>
      </c>
      <c r="K1348" s="85">
        <v>110.83</v>
      </c>
      <c r="L1348" s="85">
        <v>116.37</v>
      </c>
      <c r="M1348" s="85">
        <v>5.54</v>
      </c>
      <c r="N1348" s="85">
        <v>0</v>
      </c>
      <c r="O1348" s="85">
        <v>116.37</v>
      </c>
      <c r="P1348" s="85">
        <v>110.83</v>
      </c>
      <c r="Q1348" s="85">
        <v>116.37</v>
      </c>
      <c r="R1348" s="85">
        <v>5.54</v>
      </c>
      <c r="S1348" s="85">
        <v>0</v>
      </c>
      <c r="T1348" s="85">
        <v>116.37</v>
      </c>
      <c r="U1348" s="82"/>
      <c r="V1348" s="82" t="s">
        <v>3396</v>
      </c>
      <c r="W1348" s="82" t="s">
        <v>3395</v>
      </c>
      <c r="X1348" s="82" t="s">
        <v>3394</v>
      </c>
      <c r="Y1348" s="82" t="s">
        <v>3393</v>
      </c>
    </row>
    <row r="1349" spans="1:25" ht="15" x14ac:dyDescent="0.2">
      <c r="A1349" s="82" t="s">
        <v>6054</v>
      </c>
      <c r="B1349" s="82" t="s">
        <v>146</v>
      </c>
      <c r="C1349" s="83">
        <v>46014</v>
      </c>
      <c r="D1349" s="83">
        <v>46044</v>
      </c>
      <c r="E1349" s="83">
        <v>46044</v>
      </c>
      <c r="F1349" s="82"/>
      <c r="G1349" s="83">
        <v>46021</v>
      </c>
      <c r="H1349" s="82" t="s">
        <v>6055</v>
      </c>
      <c r="I1349" s="82" t="s">
        <v>22</v>
      </c>
      <c r="J1349" s="84">
        <v>0</v>
      </c>
      <c r="K1349" s="85">
        <v>172.58</v>
      </c>
      <c r="L1349" s="85">
        <v>181.21</v>
      </c>
      <c r="M1349" s="85">
        <v>8.6300000000000008</v>
      </c>
      <c r="N1349" s="85">
        <v>0</v>
      </c>
      <c r="O1349" s="85">
        <v>181.21</v>
      </c>
      <c r="P1349" s="85">
        <v>172.58</v>
      </c>
      <c r="Q1349" s="85">
        <v>181.21</v>
      </c>
      <c r="R1349" s="85">
        <v>8.6300000000000008</v>
      </c>
      <c r="S1349" s="85">
        <v>0</v>
      </c>
      <c r="T1349" s="85">
        <v>181.21</v>
      </c>
      <c r="U1349" s="82"/>
      <c r="V1349" s="82" t="s">
        <v>3396</v>
      </c>
      <c r="W1349" s="82" t="s">
        <v>3395</v>
      </c>
      <c r="X1349" s="82" t="s">
        <v>3394</v>
      </c>
      <c r="Y1349" s="82" t="s">
        <v>3393</v>
      </c>
    </row>
    <row r="1350" spans="1:25" ht="15" x14ac:dyDescent="0.2">
      <c r="A1350" s="82" t="s">
        <v>6056</v>
      </c>
      <c r="B1350" s="82" t="s">
        <v>195</v>
      </c>
      <c r="C1350" s="83">
        <v>46014</v>
      </c>
      <c r="D1350" s="83">
        <v>46074</v>
      </c>
      <c r="E1350" s="83">
        <v>46074</v>
      </c>
      <c r="F1350" s="82"/>
      <c r="G1350" s="83">
        <v>46021</v>
      </c>
      <c r="H1350" s="82" t="s">
        <v>357</v>
      </c>
      <c r="I1350" s="82" t="s">
        <v>22</v>
      </c>
      <c r="J1350" s="84">
        <v>0</v>
      </c>
      <c r="K1350" s="85">
        <v>994.1</v>
      </c>
      <c r="L1350" s="85">
        <v>1043.81</v>
      </c>
      <c r="M1350" s="85">
        <v>49.71</v>
      </c>
      <c r="N1350" s="85">
        <v>0</v>
      </c>
      <c r="O1350" s="85">
        <v>1043.81</v>
      </c>
      <c r="P1350" s="85">
        <v>994.1</v>
      </c>
      <c r="Q1350" s="85">
        <v>1043.81</v>
      </c>
      <c r="R1350" s="85">
        <v>49.71</v>
      </c>
      <c r="S1350" s="85">
        <v>0</v>
      </c>
      <c r="T1350" s="85">
        <v>1043.81</v>
      </c>
      <c r="U1350" s="82"/>
      <c r="V1350" s="82" t="s">
        <v>3396</v>
      </c>
      <c r="W1350" s="82" t="s">
        <v>3395</v>
      </c>
      <c r="X1350" s="82" t="s">
        <v>3394</v>
      </c>
      <c r="Y1350" s="82" t="s">
        <v>3393</v>
      </c>
    </row>
    <row r="1351" spans="1:25" ht="15" x14ac:dyDescent="0.2">
      <c r="A1351" s="82" t="s">
        <v>6057</v>
      </c>
      <c r="B1351" s="82" t="s">
        <v>32</v>
      </c>
      <c r="C1351" s="83">
        <v>46014</v>
      </c>
      <c r="D1351" s="83">
        <v>46044</v>
      </c>
      <c r="E1351" s="83">
        <v>46044</v>
      </c>
      <c r="F1351" s="82"/>
      <c r="G1351" s="83">
        <v>46021</v>
      </c>
      <c r="H1351" s="82" t="s">
        <v>6058</v>
      </c>
      <c r="I1351" s="82" t="s">
        <v>22</v>
      </c>
      <c r="J1351" s="84">
        <v>0</v>
      </c>
      <c r="K1351" s="85">
        <v>194.17</v>
      </c>
      <c r="L1351" s="85">
        <v>219.41</v>
      </c>
      <c r="M1351" s="85">
        <v>25.24</v>
      </c>
      <c r="N1351" s="85">
        <v>0</v>
      </c>
      <c r="O1351" s="85">
        <v>219.41</v>
      </c>
      <c r="P1351" s="85">
        <v>194.17</v>
      </c>
      <c r="Q1351" s="85">
        <v>219.41</v>
      </c>
      <c r="R1351" s="85">
        <v>25.24</v>
      </c>
      <c r="S1351" s="85">
        <v>0</v>
      </c>
      <c r="T1351" s="85">
        <v>219.41</v>
      </c>
      <c r="U1351" s="82"/>
      <c r="V1351" s="82" t="s">
        <v>3396</v>
      </c>
      <c r="W1351" s="82" t="s">
        <v>3395</v>
      </c>
      <c r="X1351" s="82" t="s">
        <v>3394</v>
      </c>
      <c r="Y1351" s="82" t="s">
        <v>3393</v>
      </c>
    </row>
    <row r="1352" spans="1:25" ht="15" x14ac:dyDescent="0.2">
      <c r="A1352" s="82" t="s">
        <v>6059</v>
      </c>
      <c r="B1352" s="82" t="s">
        <v>3632</v>
      </c>
      <c r="C1352" s="83">
        <v>46014</v>
      </c>
      <c r="D1352" s="83">
        <v>46014</v>
      </c>
      <c r="E1352" s="83">
        <v>46014</v>
      </c>
      <c r="F1352" s="82"/>
      <c r="G1352" s="83">
        <v>46021</v>
      </c>
      <c r="H1352" s="82" t="s">
        <v>6060</v>
      </c>
      <c r="I1352" s="82" t="s">
        <v>22</v>
      </c>
      <c r="J1352" s="84">
        <v>0</v>
      </c>
      <c r="K1352" s="85">
        <v>846.16</v>
      </c>
      <c r="L1352" s="85">
        <v>956.16</v>
      </c>
      <c r="M1352" s="85">
        <v>110</v>
      </c>
      <c r="N1352" s="85">
        <v>0</v>
      </c>
      <c r="O1352" s="85">
        <v>956.16</v>
      </c>
      <c r="P1352" s="85">
        <v>846.16</v>
      </c>
      <c r="Q1352" s="85">
        <v>956.16</v>
      </c>
      <c r="R1352" s="85">
        <v>110</v>
      </c>
      <c r="S1352" s="85">
        <v>0</v>
      </c>
      <c r="T1352" s="85">
        <v>956.16</v>
      </c>
      <c r="U1352" s="82"/>
      <c r="V1352" s="82" t="s">
        <v>3396</v>
      </c>
      <c r="W1352" s="82" t="s">
        <v>3395</v>
      </c>
      <c r="X1352" s="82" t="s">
        <v>3394</v>
      </c>
      <c r="Y1352" s="82" t="s">
        <v>3393</v>
      </c>
    </row>
    <row r="1353" spans="1:25" ht="15" x14ac:dyDescent="0.2">
      <c r="A1353" s="82" t="s">
        <v>6061</v>
      </c>
      <c r="B1353" s="82" t="s">
        <v>171</v>
      </c>
      <c r="C1353" s="83">
        <v>46014</v>
      </c>
      <c r="D1353" s="83">
        <v>46044</v>
      </c>
      <c r="E1353" s="83">
        <v>46044</v>
      </c>
      <c r="F1353" s="82"/>
      <c r="G1353" s="83">
        <v>46021</v>
      </c>
      <c r="H1353" s="82" t="s">
        <v>6062</v>
      </c>
      <c r="I1353" s="82" t="s">
        <v>22</v>
      </c>
      <c r="J1353" s="84">
        <v>0</v>
      </c>
      <c r="K1353" s="85">
        <v>102.8</v>
      </c>
      <c r="L1353" s="85">
        <v>107.94</v>
      </c>
      <c r="M1353" s="85">
        <v>5.14</v>
      </c>
      <c r="N1353" s="85">
        <v>0</v>
      </c>
      <c r="O1353" s="85">
        <v>107.94</v>
      </c>
      <c r="P1353" s="85">
        <v>102.8</v>
      </c>
      <c r="Q1353" s="85">
        <v>107.94</v>
      </c>
      <c r="R1353" s="85">
        <v>5.14</v>
      </c>
      <c r="S1353" s="85">
        <v>0</v>
      </c>
      <c r="T1353" s="85">
        <v>107.94</v>
      </c>
      <c r="U1353" s="82"/>
      <c r="V1353" s="82" t="s">
        <v>3396</v>
      </c>
      <c r="W1353" s="82" t="s">
        <v>3395</v>
      </c>
      <c r="X1353" s="82" t="s">
        <v>3394</v>
      </c>
      <c r="Y1353" s="82" t="s">
        <v>3393</v>
      </c>
    </row>
    <row r="1354" spans="1:25" ht="15" x14ac:dyDescent="0.2">
      <c r="A1354" s="82" t="s">
        <v>6063</v>
      </c>
      <c r="B1354" s="82" t="s">
        <v>35</v>
      </c>
      <c r="C1354" s="83">
        <v>46020</v>
      </c>
      <c r="D1354" s="83">
        <v>46050</v>
      </c>
      <c r="E1354" s="83">
        <v>46050</v>
      </c>
      <c r="F1354" s="82"/>
      <c r="G1354" s="83">
        <v>46021</v>
      </c>
      <c r="H1354" s="82" t="s">
        <v>6064</v>
      </c>
      <c r="I1354" s="82" t="s">
        <v>22</v>
      </c>
      <c r="J1354" s="84">
        <v>0</v>
      </c>
      <c r="K1354" s="85">
        <v>2966.5</v>
      </c>
      <c r="L1354" s="85">
        <v>3114.83</v>
      </c>
      <c r="M1354" s="85">
        <v>148.33000000000001</v>
      </c>
      <c r="N1354" s="85">
        <v>0</v>
      </c>
      <c r="O1354" s="85">
        <v>3114.83</v>
      </c>
      <c r="P1354" s="85">
        <v>2966.5</v>
      </c>
      <c r="Q1354" s="85">
        <v>3114.83</v>
      </c>
      <c r="R1354" s="85">
        <v>148.33000000000001</v>
      </c>
      <c r="S1354" s="85">
        <v>0</v>
      </c>
      <c r="T1354" s="85">
        <v>3114.83</v>
      </c>
      <c r="U1354" s="82"/>
      <c r="V1354" s="82" t="s">
        <v>3396</v>
      </c>
      <c r="W1354" s="82" t="s">
        <v>3395</v>
      </c>
      <c r="X1354" s="82" t="s">
        <v>3394</v>
      </c>
      <c r="Y1354" s="82" t="s">
        <v>3393</v>
      </c>
    </row>
    <row r="1355" spans="1:25" ht="15" x14ac:dyDescent="0.2">
      <c r="A1355" s="82" t="s">
        <v>6065</v>
      </c>
      <c r="B1355" s="82" t="s">
        <v>1835</v>
      </c>
      <c r="C1355" s="83">
        <v>46020</v>
      </c>
      <c r="D1355" s="83">
        <v>46050</v>
      </c>
      <c r="E1355" s="83">
        <v>46050</v>
      </c>
      <c r="F1355" s="82"/>
      <c r="G1355" s="83">
        <v>46021</v>
      </c>
      <c r="H1355" s="82" t="s">
        <v>6066</v>
      </c>
      <c r="I1355" s="82" t="s">
        <v>22</v>
      </c>
      <c r="J1355" s="84">
        <v>0</v>
      </c>
      <c r="K1355" s="85">
        <v>2909.65</v>
      </c>
      <c r="L1355" s="85">
        <v>3055.14</v>
      </c>
      <c r="M1355" s="85">
        <v>145.49</v>
      </c>
      <c r="N1355" s="85">
        <v>0</v>
      </c>
      <c r="O1355" s="85">
        <v>3055.14</v>
      </c>
      <c r="P1355" s="85">
        <v>2909.65</v>
      </c>
      <c r="Q1355" s="85">
        <v>3055.14</v>
      </c>
      <c r="R1355" s="85">
        <v>145.49</v>
      </c>
      <c r="S1355" s="85">
        <v>0</v>
      </c>
      <c r="T1355" s="85">
        <v>3055.14</v>
      </c>
      <c r="U1355" s="82"/>
      <c r="V1355" s="82" t="s">
        <v>3396</v>
      </c>
      <c r="W1355" s="82" t="s">
        <v>3395</v>
      </c>
      <c r="X1355" s="82" t="s">
        <v>3394</v>
      </c>
      <c r="Y1355" s="82" t="s">
        <v>3393</v>
      </c>
    </row>
    <row r="1356" spans="1:25" ht="15" x14ac:dyDescent="0.2">
      <c r="A1356" s="82" t="s">
        <v>6067</v>
      </c>
      <c r="B1356" s="82" t="s">
        <v>98</v>
      </c>
      <c r="C1356" s="83">
        <v>46020</v>
      </c>
      <c r="D1356" s="83">
        <v>46050</v>
      </c>
      <c r="E1356" s="83">
        <v>46050</v>
      </c>
      <c r="F1356" s="82"/>
      <c r="G1356" s="83">
        <v>46021</v>
      </c>
      <c r="H1356" s="82" t="s">
        <v>125</v>
      </c>
      <c r="I1356" s="82" t="s">
        <v>22</v>
      </c>
      <c r="J1356" s="84">
        <v>0</v>
      </c>
      <c r="K1356" s="85">
        <v>1925.23</v>
      </c>
      <c r="L1356" s="85">
        <v>2175.5100000000002</v>
      </c>
      <c r="M1356" s="85">
        <v>250.28</v>
      </c>
      <c r="N1356" s="85">
        <v>0</v>
      </c>
      <c r="O1356" s="85">
        <v>2175.5100000000002</v>
      </c>
      <c r="P1356" s="85">
        <v>1925.23</v>
      </c>
      <c r="Q1356" s="85">
        <v>2175.5100000000002</v>
      </c>
      <c r="R1356" s="85">
        <v>250.28</v>
      </c>
      <c r="S1356" s="85">
        <v>0</v>
      </c>
      <c r="T1356" s="85">
        <v>2175.5100000000002</v>
      </c>
      <c r="U1356" s="82"/>
      <c r="V1356" s="82" t="s">
        <v>3396</v>
      </c>
      <c r="W1356" s="82" t="s">
        <v>3395</v>
      </c>
      <c r="X1356" s="82" t="s">
        <v>3394</v>
      </c>
      <c r="Y1356" s="82" t="s">
        <v>3393</v>
      </c>
    </row>
    <row r="1357" spans="1:25" ht="15" x14ac:dyDescent="0.2">
      <c r="A1357" s="82" t="s">
        <v>6068</v>
      </c>
      <c r="B1357" s="82" t="s">
        <v>98</v>
      </c>
      <c r="C1357" s="83">
        <v>46020</v>
      </c>
      <c r="D1357" s="83">
        <v>46050</v>
      </c>
      <c r="E1357" s="83">
        <v>46050</v>
      </c>
      <c r="F1357" s="82"/>
      <c r="G1357" s="83">
        <v>46021</v>
      </c>
      <c r="H1357" s="82" t="s">
        <v>333</v>
      </c>
      <c r="I1357" s="82" t="s">
        <v>22</v>
      </c>
      <c r="J1357" s="84">
        <v>0</v>
      </c>
      <c r="K1357" s="85">
        <v>1078.1099999999999</v>
      </c>
      <c r="L1357" s="85">
        <v>1218.26</v>
      </c>
      <c r="M1357" s="85">
        <v>140.15</v>
      </c>
      <c r="N1357" s="85">
        <v>0</v>
      </c>
      <c r="O1357" s="85">
        <v>1218.26</v>
      </c>
      <c r="P1357" s="85">
        <v>1078.1099999999999</v>
      </c>
      <c r="Q1357" s="85">
        <v>1218.26</v>
      </c>
      <c r="R1357" s="85">
        <v>140.15</v>
      </c>
      <c r="S1357" s="85">
        <v>0</v>
      </c>
      <c r="T1357" s="85">
        <v>1218.26</v>
      </c>
      <c r="U1357" s="82"/>
      <c r="V1357" s="82" t="s">
        <v>3396</v>
      </c>
      <c r="W1357" s="82" t="s">
        <v>3395</v>
      </c>
      <c r="X1357" s="82" t="s">
        <v>3394</v>
      </c>
      <c r="Y1357" s="82" t="s">
        <v>3393</v>
      </c>
    </row>
    <row r="1358" spans="1:25" ht="15" x14ac:dyDescent="0.2">
      <c r="A1358" s="82" t="s">
        <v>6069</v>
      </c>
      <c r="B1358" s="82" t="s">
        <v>98</v>
      </c>
      <c r="C1358" s="83">
        <v>46020</v>
      </c>
      <c r="D1358" s="83">
        <v>46050</v>
      </c>
      <c r="E1358" s="83">
        <v>46050</v>
      </c>
      <c r="F1358" s="82"/>
      <c r="G1358" s="83">
        <v>46021</v>
      </c>
      <c r="H1358" s="82" t="s">
        <v>97</v>
      </c>
      <c r="I1358" s="82" t="s">
        <v>22</v>
      </c>
      <c r="J1358" s="84">
        <v>0</v>
      </c>
      <c r="K1358" s="85">
        <v>4022.93</v>
      </c>
      <c r="L1358" s="85">
        <v>4545.91</v>
      </c>
      <c r="M1358" s="85">
        <v>522.98</v>
      </c>
      <c r="N1358" s="85">
        <v>0</v>
      </c>
      <c r="O1358" s="85">
        <v>4545.91</v>
      </c>
      <c r="P1358" s="85">
        <v>4022.93</v>
      </c>
      <c r="Q1358" s="85">
        <v>4545.91</v>
      </c>
      <c r="R1358" s="85">
        <v>522.98</v>
      </c>
      <c r="S1358" s="85">
        <v>0</v>
      </c>
      <c r="T1358" s="85">
        <v>4545.91</v>
      </c>
      <c r="U1358" s="82"/>
      <c r="V1358" s="82" t="s">
        <v>3396</v>
      </c>
      <c r="W1358" s="82" t="s">
        <v>3395</v>
      </c>
      <c r="X1358" s="82" t="s">
        <v>3394</v>
      </c>
      <c r="Y1358" s="82" t="s">
        <v>3393</v>
      </c>
    </row>
    <row r="1359" spans="1:25" ht="15" x14ac:dyDescent="0.2">
      <c r="A1359" s="82" t="s">
        <v>6070</v>
      </c>
      <c r="B1359" s="82" t="s">
        <v>98</v>
      </c>
      <c r="C1359" s="83">
        <v>46020</v>
      </c>
      <c r="D1359" s="83">
        <v>46050</v>
      </c>
      <c r="E1359" s="83">
        <v>46050</v>
      </c>
      <c r="F1359" s="82"/>
      <c r="G1359" s="83">
        <v>46021</v>
      </c>
      <c r="H1359" s="82" t="s">
        <v>5882</v>
      </c>
      <c r="I1359" s="82" t="s">
        <v>22</v>
      </c>
      <c r="J1359" s="84">
        <v>0</v>
      </c>
      <c r="K1359" s="85">
        <v>1997.45</v>
      </c>
      <c r="L1359" s="85">
        <v>2257.12</v>
      </c>
      <c r="M1359" s="85">
        <v>259.67</v>
      </c>
      <c r="N1359" s="85">
        <v>0</v>
      </c>
      <c r="O1359" s="85">
        <v>2257.12</v>
      </c>
      <c r="P1359" s="85">
        <v>1997.45</v>
      </c>
      <c r="Q1359" s="85">
        <v>2257.12</v>
      </c>
      <c r="R1359" s="85">
        <v>259.67</v>
      </c>
      <c r="S1359" s="85">
        <v>0</v>
      </c>
      <c r="T1359" s="85">
        <v>2257.12</v>
      </c>
      <c r="U1359" s="82"/>
      <c r="V1359" s="82" t="s">
        <v>3396</v>
      </c>
      <c r="W1359" s="82" t="s">
        <v>3395</v>
      </c>
      <c r="X1359" s="82" t="s">
        <v>3394</v>
      </c>
      <c r="Y1359" s="82" t="s">
        <v>3393</v>
      </c>
    </row>
    <row r="1360" spans="1:25" ht="15" x14ac:dyDescent="0.2">
      <c r="A1360" s="82" t="s">
        <v>6071</v>
      </c>
      <c r="B1360" s="82" t="s">
        <v>98</v>
      </c>
      <c r="C1360" s="83">
        <v>46020</v>
      </c>
      <c r="D1360" s="83">
        <v>46050</v>
      </c>
      <c r="E1360" s="83">
        <v>46050</v>
      </c>
      <c r="F1360" s="82"/>
      <c r="G1360" s="83">
        <v>46021</v>
      </c>
      <c r="H1360" s="82" t="s">
        <v>6072</v>
      </c>
      <c r="I1360" s="82" t="s">
        <v>22</v>
      </c>
      <c r="J1360" s="84">
        <v>0</v>
      </c>
      <c r="K1360" s="85">
        <v>197.62</v>
      </c>
      <c r="L1360" s="85">
        <v>223.31</v>
      </c>
      <c r="M1360" s="85">
        <v>25.69</v>
      </c>
      <c r="N1360" s="85">
        <v>0</v>
      </c>
      <c r="O1360" s="85">
        <v>223.31</v>
      </c>
      <c r="P1360" s="85">
        <v>197.62</v>
      </c>
      <c r="Q1360" s="85">
        <v>223.31</v>
      </c>
      <c r="R1360" s="85">
        <v>25.69</v>
      </c>
      <c r="S1360" s="85">
        <v>0</v>
      </c>
      <c r="T1360" s="85">
        <v>223.31</v>
      </c>
      <c r="U1360" s="82"/>
      <c r="V1360" s="82" t="s">
        <v>3396</v>
      </c>
      <c r="W1360" s="82" t="s">
        <v>3395</v>
      </c>
      <c r="X1360" s="82" t="s">
        <v>3394</v>
      </c>
      <c r="Y1360" s="82" t="s">
        <v>3393</v>
      </c>
    </row>
    <row r="1361" spans="1:25" ht="15" x14ac:dyDescent="0.2">
      <c r="A1361" s="82" t="s">
        <v>6073</v>
      </c>
      <c r="B1361" s="82" t="s">
        <v>509</v>
      </c>
      <c r="C1361" s="83">
        <v>46021</v>
      </c>
      <c r="D1361" s="83">
        <v>46051</v>
      </c>
      <c r="E1361" s="83">
        <v>46051</v>
      </c>
      <c r="F1361" s="82"/>
      <c r="G1361" s="83">
        <v>46021</v>
      </c>
      <c r="H1361" s="82" t="s">
        <v>6074</v>
      </c>
      <c r="I1361" s="82" t="s">
        <v>22</v>
      </c>
      <c r="J1361" s="84">
        <v>0</v>
      </c>
      <c r="K1361" s="85">
        <v>2880.54</v>
      </c>
      <c r="L1361" s="85">
        <v>3024.57</v>
      </c>
      <c r="M1361" s="85">
        <v>144.03</v>
      </c>
      <c r="N1361" s="85">
        <v>0</v>
      </c>
      <c r="O1361" s="85">
        <v>3024.57</v>
      </c>
      <c r="P1361" s="85">
        <v>2880.54</v>
      </c>
      <c r="Q1361" s="85">
        <v>3024.57</v>
      </c>
      <c r="R1361" s="85">
        <v>144.03</v>
      </c>
      <c r="S1361" s="85">
        <v>0</v>
      </c>
      <c r="T1361" s="85">
        <v>3024.57</v>
      </c>
      <c r="U1361" s="82"/>
      <c r="V1361" s="82" t="s">
        <v>3396</v>
      </c>
      <c r="W1361" s="82" t="s">
        <v>3395</v>
      </c>
      <c r="X1361" s="82" t="s">
        <v>3394</v>
      </c>
      <c r="Y1361" s="82" t="s">
        <v>3393</v>
      </c>
    </row>
    <row r="1362" spans="1:25" ht="15" x14ac:dyDescent="0.2">
      <c r="A1362" s="82" t="s">
        <v>6075</v>
      </c>
      <c r="B1362" s="82" t="s">
        <v>77</v>
      </c>
      <c r="C1362" s="83">
        <v>46021</v>
      </c>
      <c r="D1362" s="83">
        <v>46051</v>
      </c>
      <c r="E1362" s="83">
        <v>46051</v>
      </c>
      <c r="F1362" s="82"/>
      <c r="G1362" s="83">
        <v>46022</v>
      </c>
      <c r="H1362" s="82" t="s">
        <v>6076</v>
      </c>
      <c r="I1362" s="82" t="s">
        <v>22</v>
      </c>
      <c r="J1362" s="84">
        <v>0</v>
      </c>
      <c r="K1362" s="85">
        <v>131.91999999999999</v>
      </c>
      <c r="L1362" s="85">
        <v>149.07</v>
      </c>
      <c r="M1362" s="85">
        <v>17.149999999999999</v>
      </c>
      <c r="N1362" s="85">
        <v>0</v>
      </c>
      <c r="O1362" s="85">
        <v>149.07</v>
      </c>
      <c r="P1362" s="85">
        <v>131.91999999999999</v>
      </c>
      <c r="Q1362" s="85">
        <v>149.07</v>
      </c>
      <c r="R1362" s="85">
        <v>17.149999999999999</v>
      </c>
      <c r="S1362" s="85">
        <v>0</v>
      </c>
      <c r="T1362" s="85">
        <v>149.07</v>
      </c>
      <c r="U1362" s="82"/>
      <c r="V1362" s="82" t="s">
        <v>3396</v>
      </c>
      <c r="W1362" s="82" t="s">
        <v>3395</v>
      </c>
      <c r="X1362" s="82" t="s">
        <v>3394</v>
      </c>
      <c r="Y1362" s="82" t="s">
        <v>3393</v>
      </c>
    </row>
    <row r="1363" spans="1:25" ht="15" x14ac:dyDescent="0.2">
      <c r="A1363" s="82" t="s">
        <v>6077</v>
      </c>
      <c r="B1363" s="82" t="s">
        <v>6078</v>
      </c>
      <c r="C1363" s="83">
        <v>46022</v>
      </c>
      <c r="D1363" s="83">
        <v>46022</v>
      </c>
      <c r="E1363" s="83">
        <v>46022</v>
      </c>
      <c r="F1363" s="83">
        <v>46027</v>
      </c>
      <c r="G1363" s="83">
        <v>46022</v>
      </c>
      <c r="H1363" s="82" t="s">
        <v>6079</v>
      </c>
      <c r="I1363" s="82" t="s">
        <v>51</v>
      </c>
      <c r="J1363" s="84">
        <v>0.72952799999999995</v>
      </c>
      <c r="K1363" s="85">
        <v>6584.64</v>
      </c>
      <c r="L1363" s="85">
        <v>6584.64</v>
      </c>
      <c r="M1363" s="85">
        <v>0</v>
      </c>
      <c r="N1363" s="85">
        <v>0</v>
      </c>
      <c r="O1363" s="85">
        <v>6584.64</v>
      </c>
      <c r="P1363" s="85">
        <v>9025.8907128992996</v>
      </c>
      <c r="Q1363" s="85">
        <v>9025.8907128992996</v>
      </c>
      <c r="R1363" s="85">
        <v>0</v>
      </c>
      <c r="S1363" s="85">
        <v>0</v>
      </c>
      <c r="T1363" s="85">
        <v>9036.89</v>
      </c>
      <c r="U1363" s="82" t="s">
        <v>3401</v>
      </c>
      <c r="V1363" s="82" t="s">
        <v>3399</v>
      </c>
      <c r="W1363" s="82" t="s">
        <v>3395</v>
      </c>
      <c r="X1363" s="82" t="s">
        <v>3394</v>
      </c>
      <c r="Y1363" s="82" t="s">
        <v>3393</v>
      </c>
    </row>
    <row r="1364" spans="1:25" ht="15" x14ac:dyDescent="0.2">
      <c r="A1364" s="82" t="s">
        <v>6080</v>
      </c>
      <c r="B1364" s="82" t="s">
        <v>192</v>
      </c>
      <c r="C1364" s="83">
        <v>46022</v>
      </c>
      <c r="D1364" s="83">
        <v>46052</v>
      </c>
      <c r="E1364" s="83">
        <v>46052</v>
      </c>
      <c r="F1364" s="82"/>
      <c r="G1364" s="83">
        <v>46022</v>
      </c>
      <c r="H1364" s="82" t="s">
        <v>6081</v>
      </c>
      <c r="I1364" s="82" t="s">
        <v>51</v>
      </c>
      <c r="J1364" s="84">
        <v>0.72883100000000001</v>
      </c>
      <c r="K1364" s="85">
        <v>4755.96</v>
      </c>
      <c r="L1364" s="85">
        <v>4755.96</v>
      </c>
      <c r="M1364" s="85">
        <v>0</v>
      </c>
      <c r="N1364" s="85">
        <v>0</v>
      </c>
      <c r="O1364" s="85">
        <v>4755.96</v>
      </c>
      <c r="P1364" s="85">
        <v>6525.4633790275111</v>
      </c>
      <c r="Q1364" s="85">
        <v>6525.4633790275111</v>
      </c>
      <c r="R1364" s="85">
        <v>0</v>
      </c>
      <c r="S1364" s="85">
        <v>0</v>
      </c>
      <c r="T1364" s="85">
        <v>6527.17</v>
      </c>
      <c r="U1364" s="82" t="s">
        <v>3401</v>
      </c>
      <c r="V1364" s="82" t="s">
        <v>3396</v>
      </c>
      <c r="W1364" s="82" t="s">
        <v>3395</v>
      </c>
      <c r="X1364" s="82" t="s">
        <v>3394</v>
      </c>
      <c r="Y1364" s="82" t="s">
        <v>3393</v>
      </c>
    </row>
    <row r="1365" spans="1:25" ht="15" x14ac:dyDescent="0.2">
      <c r="A1365" s="82" t="s">
        <v>6082</v>
      </c>
      <c r="B1365" s="82" t="s">
        <v>192</v>
      </c>
      <c r="C1365" s="83">
        <v>46022</v>
      </c>
      <c r="D1365" s="83">
        <v>46052</v>
      </c>
      <c r="E1365" s="83">
        <v>46052</v>
      </c>
      <c r="F1365" s="82"/>
      <c r="G1365" s="83">
        <v>46022</v>
      </c>
      <c r="H1365" s="82" t="s">
        <v>6083</v>
      </c>
      <c r="I1365" s="82" t="s">
        <v>51</v>
      </c>
      <c r="J1365" s="84">
        <v>0.72883100000000001</v>
      </c>
      <c r="K1365" s="85">
        <v>8658.11</v>
      </c>
      <c r="L1365" s="85">
        <v>8658.11</v>
      </c>
      <c r="M1365" s="85">
        <v>0</v>
      </c>
      <c r="N1365" s="85">
        <v>0</v>
      </c>
      <c r="O1365" s="85">
        <v>8658.11</v>
      </c>
      <c r="P1365" s="85">
        <v>11879.448047626953</v>
      </c>
      <c r="Q1365" s="85">
        <v>11879.448047626953</v>
      </c>
      <c r="R1365" s="85">
        <v>0</v>
      </c>
      <c r="S1365" s="85">
        <v>0</v>
      </c>
      <c r="T1365" s="85">
        <v>11882.56</v>
      </c>
      <c r="U1365" s="82" t="s">
        <v>3401</v>
      </c>
      <c r="V1365" s="82" t="s">
        <v>3396</v>
      </c>
      <c r="W1365" s="82" t="s">
        <v>3395</v>
      </c>
      <c r="X1365" s="82" t="s">
        <v>3394</v>
      </c>
      <c r="Y1365" s="82" t="s">
        <v>3393</v>
      </c>
    </row>
    <row r="1366" spans="1:25" ht="15" x14ac:dyDescent="0.2">
      <c r="A1366" s="82" t="s">
        <v>6084</v>
      </c>
      <c r="B1366" s="82" t="s">
        <v>141</v>
      </c>
      <c r="C1366" s="83">
        <v>46022</v>
      </c>
      <c r="D1366" s="83">
        <v>46067</v>
      </c>
      <c r="E1366" s="83">
        <v>46067</v>
      </c>
      <c r="F1366" s="82"/>
      <c r="G1366" s="83">
        <v>46022</v>
      </c>
      <c r="H1366" s="82" t="s">
        <v>337</v>
      </c>
      <c r="I1366" s="82" t="s">
        <v>51</v>
      </c>
      <c r="J1366" s="84">
        <v>0.72876200000000002</v>
      </c>
      <c r="K1366" s="85">
        <v>339.85</v>
      </c>
      <c r="L1366" s="85">
        <v>339.85</v>
      </c>
      <c r="M1366" s="85">
        <v>0</v>
      </c>
      <c r="N1366" s="85">
        <v>0</v>
      </c>
      <c r="O1366" s="85">
        <v>339.85</v>
      </c>
      <c r="P1366" s="85">
        <v>466.33880471264962</v>
      </c>
      <c r="Q1366" s="85">
        <v>466.33880471264962</v>
      </c>
      <c r="R1366" s="85">
        <v>0</v>
      </c>
      <c r="S1366" s="85">
        <v>0</v>
      </c>
      <c r="T1366" s="85">
        <v>466.42</v>
      </c>
      <c r="U1366" s="82" t="s">
        <v>3401</v>
      </c>
      <c r="V1366" s="82" t="s">
        <v>3396</v>
      </c>
      <c r="W1366" s="82" t="s">
        <v>3395</v>
      </c>
      <c r="X1366" s="82" t="s">
        <v>3397</v>
      </c>
      <c r="Y1366" s="82" t="s">
        <v>3393</v>
      </c>
    </row>
    <row r="1367" spans="1:25" ht="15" x14ac:dyDescent="0.2">
      <c r="A1367" s="82" t="s">
        <v>6085</v>
      </c>
      <c r="B1367" s="82" t="s">
        <v>3424</v>
      </c>
      <c r="C1367" s="83">
        <v>46022</v>
      </c>
      <c r="D1367" s="83">
        <v>46052</v>
      </c>
      <c r="E1367" s="83">
        <v>46052</v>
      </c>
      <c r="F1367" s="82"/>
      <c r="G1367" s="83">
        <v>46022</v>
      </c>
      <c r="H1367" s="82" t="s">
        <v>123</v>
      </c>
      <c r="I1367" s="82" t="s">
        <v>51</v>
      </c>
      <c r="J1367" s="84">
        <v>0.72863999999999995</v>
      </c>
      <c r="K1367" s="85">
        <v>1110.27</v>
      </c>
      <c r="L1367" s="85">
        <v>1110.27</v>
      </c>
      <c r="M1367" s="85">
        <v>0</v>
      </c>
      <c r="N1367" s="85">
        <v>0</v>
      </c>
      <c r="O1367" s="85">
        <v>1110.27</v>
      </c>
      <c r="P1367" s="85">
        <v>1523.7565876152833</v>
      </c>
      <c r="Q1367" s="85">
        <v>1523.7565876152833</v>
      </c>
      <c r="R1367" s="85">
        <v>0</v>
      </c>
      <c r="S1367" s="85">
        <v>0</v>
      </c>
      <c r="T1367" s="85">
        <v>1523.76</v>
      </c>
      <c r="U1367" s="82" t="s">
        <v>3401</v>
      </c>
      <c r="V1367" s="82" t="s">
        <v>3396</v>
      </c>
      <c r="W1367" s="82" t="s">
        <v>3395</v>
      </c>
      <c r="X1367" s="82" t="s">
        <v>3394</v>
      </c>
      <c r="Y1367" s="82" t="s">
        <v>3393</v>
      </c>
    </row>
    <row r="1368" spans="1:25" x14ac:dyDescent="0.2">
      <c r="A1368" s="86" t="s">
        <v>15</v>
      </c>
      <c r="B1368" s="86"/>
      <c r="C1368" s="86"/>
      <c r="D1368" s="86"/>
      <c r="E1368" s="86"/>
      <c r="F1368" s="86"/>
      <c r="G1368" s="86"/>
      <c r="H1368" s="86"/>
      <c r="I1368" s="86"/>
      <c r="J1368" s="86"/>
      <c r="K1368" s="86"/>
      <c r="L1368" s="86"/>
      <c r="M1368" s="86"/>
      <c r="N1368" s="86"/>
      <c r="O1368" s="86"/>
      <c r="P1368" s="87">
        <f>SUM(P2:P1367)</f>
        <v>8114260.6687930999</v>
      </c>
      <c r="Q1368" s="87">
        <f>SUM(Q2:Q1367)</f>
        <v>8295473.8135635564</v>
      </c>
      <c r="R1368" s="87">
        <f>SUM(R2:R1367)</f>
        <v>181213.14477046693</v>
      </c>
      <c r="S1368" s="87">
        <f>SUM(S2:S1367)</f>
        <v>6747022.4603999984</v>
      </c>
      <c r="T1368" s="87">
        <f>SUM(T2:T1367)</f>
        <v>1503538.4100000011</v>
      </c>
      <c r="U1368" s="86"/>
      <c r="V1368" s="86"/>
      <c r="W1368" s="86"/>
      <c r="X1368" s="86"/>
      <c r="Y1368" s="86"/>
    </row>
  </sheetData>
  <autoFilter ref="A1:Y1263" xr:uid="{00000000-0009-0000-0000-000005000000}"/>
  <pageMargins left="0.7" right="0.7" top="0.75" bottom="0.75" header="0.3" footer="0.3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23"/>
  <sheetViews>
    <sheetView topLeftCell="A1313" workbookViewId="0">
      <selection activeCell="A4" sqref="A4"/>
    </sheetView>
  </sheetViews>
  <sheetFormatPr defaultColWidth="9.140625" defaultRowHeight="15" x14ac:dyDescent="0.25"/>
  <cols>
    <col min="1" max="14" width="30.7109375" customWidth="1"/>
  </cols>
  <sheetData>
    <row r="1" spans="1:14" x14ac:dyDescent="0.25">
      <c r="A1" s="1" t="s">
        <v>4234</v>
      </c>
      <c r="B1" s="1" t="s">
        <v>4233</v>
      </c>
      <c r="C1" s="1" t="s">
        <v>4232</v>
      </c>
      <c r="D1" s="1" t="s">
        <v>4231</v>
      </c>
      <c r="E1" s="1" t="s">
        <v>4230</v>
      </c>
      <c r="F1" s="1" t="s">
        <v>4229</v>
      </c>
      <c r="G1" s="1" t="s">
        <v>7</v>
      </c>
      <c r="H1" s="1" t="s">
        <v>4228</v>
      </c>
      <c r="I1" s="1" t="s">
        <v>4227</v>
      </c>
      <c r="J1" s="1" t="s">
        <v>4226</v>
      </c>
      <c r="K1" s="1" t="s">
        <v>4225</v>
      </c>
      <c r="L1" s="1" t="s">
        <v>8</v>
      </c>
      <c r="M1" s="1" t="s">
        <v>4224</v>
      </c>
      <c r="N1" s="1" t="s">
        <v>4223</v>
      </c>
    </row>
    <row r="2" spans="1:14" ht="30" x14ac:dyDescent="0.25">
      <c r="A2" s="2" t="s">
        <v>3388</v>
      </c>
      <c r="B2" s="2" t="s">
        <v>4124</v>
      </c>
      <c r="C2" s="4">
        <v>45988</v>
      </c>
      <c r="D2" s="4">
        <v>46018</v>
      </c>
      <c r="E2" s="2" t="s">
        <v>93</v>
      </c>
      <c r="F2" s="2"/>
      <c r="G2" s="2" t="s">
        <v>21</v>
      </c>
      <c r="H2" s="2">
        <v>927.1</v>
      </c>
      <c r="I2" s="2">
        <v>46.36</v>
      </c>
      <c r="J2" s="2">
        <v>973.46</v>
      </c>
      <c r="K2" s="2">
        <v>973.46</v>
      </c>
      <c r="L2" s="2" t="s">
        <v>22</v>
      </c>
      <c r="M2" s="2" t="s">
        <v>3844</v>
      </c>
      <c r="N2" s="2" t="s">
        <v>3843</v>
      </c>
    </row>
    <row r="3" spans="1:14" ht="45" x14ac:dyDescent="0.25">
      <c r="A3" s="2" t="s">
        <v>3389</v>
      </c>
      <c r="B3" s="2" t="s">
        <v>3986</v>
      </c>
      <c r="C3" s="4">
        <v>45988</v>
      </c>
      <c r="D3" s="4">
        <v>46018</v>
      </c>
      <c r="E3" s="2" t="s">
        <v>81</v>
      </c>
      <c r="F3" s="2"/>
      <c r="G3" s="2" t="s">
        <v>21</v>
      </c>
      <c r="H3" s="2">
        <v>27707.01</v>
      </c>
      <c r="I3" s="2">
        <v>3601.92</v>
      </c>
      <c r="J3" s="2">
        <v>31308.93</v>
      </c>
      <c r="K3" s="2">
        <v>31308.93</v>
      </c>
      <c r="L3" s="2" t="s">
        <v>22</v>
      </c>
      <c r="M3" s="2" t="s">
        <v>3844</v>
      </c>
      <c r="N3" s="2" t="s">
        <v>3843</v>
      </c>
    </row>
    <row r="4" spans="1:14" ht="30" x14ac:dyDescent="0.25">
      <c r="A4" s="2" t="s">
        <v>3340</v>
      </c>
      <c r="B4" s="2" t="s">
        <v>98</v>
      </c>
      <c r="C4" s="4">
        <v>45987</v>
      </c>
      <c r="D4" s="4">
        <v>46017</v>
      </c>
      <c r="E4" s="2" t="s">
        <v>274</v>
      </c>
      <c r="F4" s="2"/>
      <c r="G4" s="2" t="s">
        <v>40</v>
      </c>
      <c r="H4" s="2">
        <v>2246.04</v>
      </c>
      <c r="I4" s="2">
        <v>291.98</v>
      </c>
      <c r="J4" s="2">
        <v>2538.02</v>
      </c>
      <c r="K4" s="2">
        <v>2538.02</v>
      </c>
      <c r="L4" s="2" t="s">
        <v>22</v>
      </c>
      <c r="M4" s="2" t="s">
        <v>3844</v>
      </c>
      <c r="N4" s="2" t="s">
        <v>3843</v>
      </c>
    </row>
    <row r="5" spans="1:14" ht="30" x14ac:dyDescent="0.25">
      <c r="A5" s="2" t="s">
        <v>3336</v>
      </c>
      <c r="B5" s="2" t="s">
        <v>98</v>
      </c>
      <c r="C5" s="4">
        <v>45987</v>
      </c>
      <c r="D5" s="4">
        <v>46017</v>
      </c>
      <c r="E5" s="2" t="s">
        <v>282</v>
      </c>
      <c r="F5" s="2"/>
      <c r="G5" s="2" t="s">
        <v>40</v>
      </c>
      <c r="H5" s="2">
        <v>156.61000000000001</v>
      </c>
      <c r="I5" s="2">
        <v>20.36</v>
      </c>
      <c r="J5" s="2">
        <v>176.97</v>
      </c>
      <c r="K5" s="2">
        <v>176.97</v>
      </c>
      <c r="L5" s="2" t="s">
        <v>22</v>
      </c>
      <c r="M5" s="2" t="s">
        <v>3844</v>
      </c>
      <c r="N5" s="2" t="s">
        <v>3843</v>
      </c>
    </row>
    <row r="6" spans="1:14" ht="30" x14ac:dyDescent="0.25">
      <c r="A6" s="2" t="s">
        <v>3315</v>
      </c>
      <c r="B6" s="2" t="s">
        <v>98</v>
      </c>
      <c r="C6" s="4">
        <v>45987</v>
      </c>
      <c r="D6" s="4">
        <v>46017</v>
      </c>
      <c r="E6" s="2" t="s">
        <v>332</v>
      </c>
      <c r="F6" s="2"/>
      <c r="G6" s="2" t="s">
        <v>21</v>
      </c>
      <c r="H6" s="2">
        <v>644.64</v>
      </c>
      <c r="I6" s="2">
        <v>83.8</v>
      </c>
      <c r="J6" s="2">
        <v>728.44</v>
      </c>
      <c r="K6" s="2">
        <v>728.44</v>
      </c>
      <c r="L6" s="2" t="s">
        <v>22</v>
      </c>
      <c r="M6" s="2" t="s">
        <v>3844</v>
      </c>
      <c r="N6" s="2" t="s">
        <v>3843</v>
      </c>
    </row>
    <row r="7" spans="1:14" ht="30" x14ac:dyDescent="0.25">
      <c r="A7" s="2" t="s">
        <v>3386</v>
      </c>
      <c r="B7" s="2" t="s">
        <v>98</v>
      </c>
      <c r="C7" s="4">
        <v>45987</v>
      </c>
      <c r="D7" s="4">
        <v>46017</v>
      </c>
      <c r="E7" s="2" t="s">
        <v>105</v>
      </c>
      <c r="F7" s="2"/>
      <c r="G7" s="2" t="s">
        <v>40</v>
      </c>
      <c r="H7" s="2">
        <v>2037.41</v>
      </c>
      <c r="I7" s="2">
        <v>264.86</v>
      </c>
      <c r="J7" s="2">
        <v>2302.27</v>
      </c>
      <c r="K7" s="2">
        <v>2302.27</v>
      </c>
      <c r="L7" s="2" t="s">
        <v>22</v>
      </c>
      <c r="M7" s="2" t="s">
        <v>3844</v>
      </c>
      <c r="N7" s="2" t="s">
        <v>3843</v>
      </c>
    </row>
    <row r="8" spans="1:14" ht="30" x14ac:dyDescent="0.25">
      <c r="A8" s="2" t="s">
        <v>3381</v>
      </c>
      <c r="B8" s="2" t="s">
        <v>98</v>
      </c>
      <c r="C8" s="4">
        <v>45987</v>
      </c>
      <c r="D8" s="4">
        <v>46017</v>
      </c>
      <c r="E8" s="2" t="s">
        <v>124</v>
      </c>
      <c r="F8" s="2"/>
      <c r="G8" s="2" t="s">
        <v>40</v>
      </c>
      <c r="H8" s="2">
        <v>1589.47</v>
      </c>
      <c r="I8" s="2">
        <v>206.63</v>
      </c>
      <c r="J8" s="2">
        <v>1796.1</v>
      </c>
      <c r="K8" s="2">
        <v>1796.1</v>
      </c>
      <c r="L8" s="2" t="s">
        <v>22</v>
      </c>
      <c r="M8" s="2" t="s">
        <v>3844</v>
      </c>
      <c r="N8" s="2" t="s">
        <v>3843</v>
      </c>
    </row>
    <row r="9" spans="1:14" ht="30" x14ac:dyDescent="0.25">
      <c r="A9" s="2" t="s">
        <v>3378</v>
      </c>
      <c r="B9" s="2" t="s">
        <v>4183</v>
      </c>
      <c r="C9" s="4">
        <v>45987</v>
      </c>
      <c r="D9" s="4">
        <v>46017</v>
      </c>
      <c r="E9" s="2" t="s">
        <v>147</v>
      </c>
      <c r="F9" s="2"/>
      <c r="G9" s="2" t="s">
        <v>40</v>
      </c>
      <c r="H9" s="2">
        <v>6062.75</v>
      </c>
      <c r="I9" s="2"/>
      <c r="J9" s="2">
        <v>6062.75</v>
      </c>
      <c r="K9" s="2">
        <v>4296.12</v>
      </c>
      <c r="L9" s="2" t="s">
        <v>51</v>
      </c>
      <c r="M9" s="2" t="s">
        <v>3844</v>
      </c>
      <c r="N9" s="2" t="s">
        <v>3843</v>
      </c>
    </row>
    <row r="10" spans="1:14" x14ac:dyDescent="0.25">
      <c r="A10" s="2" t="s">
        <v>3384</v>
      </c>
      <c r="B10" s="2" t="s">
        <v>64</v>
      </c>
      <c r="C10" s="4">
        <v>45986</v>
      </c>
      <c r="D10" s="4">
        <v>46016</v>
      </c>
      <c r="E10" s="2" t="s">
        <v>110</v>
      </c>
      <c r="F10" s="2"/>
      <c r="G10" s="2" t="s">
        <v>21</v>
      </c>
      <c r="H10" s="2">
        <v>209.18</v>
      </c>
      <c r="I10" s="2">
        <v>27.19</v>
      </c>
      <c r="J10" s="2">
        <v>236.37</v>
      </c>
      <c r="K10" s="2">
        <v>236.37</v>
      </c>
      <c r="L10" s="2" t="s">
        <v>22</v>
      </c>
      <c r="M10" s="2" t="s">
        <v>3844</v>
      </c>
      <c r="N10" s="2" t="s">
        <v>3843</v>
      </c>
    </row>
    <row r="11" spans="1:14" ht="30" x14ac:dyDescent="0.25">
      <c r="A11" s="2" t="s">
        <v>3380</v>
      </c>
      <c r="B11" s="2" t="s">
        <v>35</v>
      </c>
      <c r="C11" s="4">
        <v>45986</v>
      </c>
      <c r="D11" s="4">
        <v>46016</v>
      </c>
      <c r="E11" s="2" t="s">
        <v>136</v>
      </c>
      <c r="F11" s="2"/>
      <c r="G11" s="2" t="s">
        <v>74</v>
      </c>
      <c r="H11" s="2">
        <v>387.94</v>
      </c>
      <c r="I11" s="2">
        <v>19.399999999999999</v>
      </c>
      <c r="J11" s="2">
        <v>407.34</v>
      </c>
      <c r="K11" s="2">
        <v>407.34</v>
      </c>
      <c r="L11" s="2" t="s">
        <v>22</v>
      </c>
      <c r="M11" s="2" t="s">
        <v>3844</v>
      </c>
      <c r="N11" s="2" t="s">
        <v>3843</v>
      </c>
    </row>
    <row r="12" spans="1:14" ht="30" x14ac:dyDescent="0.25">
      <c r="A12" s="2" t="s">
        <v>3383</v>
      </c>
      <c r="B12" s="2" t="s">
        <v>114</v>
      </c>
      <c r="C12" s="4">
        <v>45986</v>
      </c>
      <c r="D12" s="4">
        <v>45986</v>
      </c>
      <c r="E12" s="2" t="s">
        <v>112</v>
      </c>
      <c r="F12" s="2"/>
      <c r="G12" s="2" t="s">
        <v>36</v>
      </c>
      <c r="H12" s="2">
        <v>754.36</v>
      </c>
      <c r="I12" s="2">
        <v>37.72</v>
      </c>
      <c r="J12" s="2">
        <v>792.08</v>
      </c>
      <c r="K12" s="2">
        <v>792.08</v>
      </c>
      <c r="L12" s="2" t="s">
        <v>22</v>
      </c>
      <c r="M12" s="2" t="s">
        <v>3844</v>
      </c>
      <c r="N12" s="2" t="s">
        <v>3843</v>
      </c>
    </row>
    <row r="13" spans="1:14" ht="30" x14ac:dyDescent="0.25">
      <c r="A13" s="2" t="s">
        <v>3387</v>
      </c>
      <c r="B13" s="2" t="s">
        <v>104</v>
      </c>
      <c r="C13" s="4">
        <v>45986</v>
      </c>
      <c r="D13" s="4">
        <v>46016</v>
      </c>
      <c r="E13" s="2" t="s">
        <v>102</v>
      </c>
      <c r="F13" s="2"/>
      <c r="G13" s="2" t="s">
        <v>36</v>
      </c>
      <c r="H13" s="2">
        <v>1429.78</v>
      </c>
      <c r="I13" s="2">
        <v>71.489999999999995</v>
      </c>
      <c r="J13" s="2">
        <v>1501.27</v>
      </c>
      <c r="K13" s="2">
        <v>1501.27</v>
      </c>
      <c r="L13" s="2" t="s">
        <v>22</v>
      </c>
      <c r="M13" s="2" t="s">
        <v>3844</v>
      </c>
      <c r="N13" s="2" t="s">
        <v>3843</v>
      </c>
    </row>
    <row r="14" spans="1:14" x14ac:dyDescent="0.25">
      <c r="A14" s="2" t="s">
        <v>3374</v>
      </c>
      <c r="B14" s="2" t="s">
        <v>154</v>
      </c>
      <c r="C14" s="4">
        <v>45986</v>
      </c>
      <c r="D14" s="4">
        <v>45986</v>
      </c>
      <c r="E14" s="2" t="s">
        <v>160</v>
      </c>
      <c r="F14" s="2"/>
      <c r="G14" s="2" t="s">
        <v>36</v>
      </c>
      <c r="H14" s="2">
        <v>-307.33</v>
      </c>
      <c r="I14" s="2">
        <v>307.33</v>
      </c>
      <c r="J14" s="2"/>
      <c r="K14" s="2"/>
      <c r="L14" s="2" t="s">
        <v>22</v>
      </c>
      <c r="M14" s="2" t="s">
        <v>4031</v>
      </c>
      <c r="N14" s="2" t="s">
        <v>3843</v>
      </c>
    </row>
    <row r="15" spans="1:14" x14ac:dyDescent="0.25">
      <c r="A15" s="2" t="s">
        <v>3377</v>
      </c>
      <c r="B15" s="2" t="s">
        <v>154</v>
      </c>
      <c r="C15" s="4">
        <v>45986</v>
      </c>
      <c r="D15" s="4">
        <v>45986</v>
      </c>
      <c r="E15" s="2" t="s">
        <v>152</v>
      </c>
      <c r="F15" s="2"/>
      <c r="G15" s="2" t="s">
        <v>36</v>
      </c>
      <c r="H15" s="2">
        <v>-1620.7</v>
      </c>
      <c r="I15" s="2">
        <v>1620.7</v>
      </c>
      <c r="J15" s="2"/>
      <c r="K15" s="2"/>
      <c r="L15" s="2" t="s">
        <v>22</v>
      </c>
      <c r="M15" s="2" t="s">
        <v>4031</v>
      </c>
      <c r="N15" s="2" t="s">
        <v>3843</v>
      </c>
    </row>
    <row r="16" spans="1:14" ht="30" x14ac:dyDescent="0.25">
      <c r="A16" s="2" t="s">
        <v>3365</v>
      </c>
      <c r="B16" s="2" t="s">
        <v>4117</v>
      </c>
      <c r="C16" s="4">
        <v>45986</v>
      </c>
      <c r="D16" s="4">
        <v>46016</v>
      </c>
      <c r="E16" s="2" t="s">
        <v>199</v>
      </c>
      <c r="F16" s="2"/>
      <c r="G16" s="2" t="s">
        <v>36</v>
      </c>
      <c r="H16" s="2">
        <v>12687.26</v>
      </c>
      <c r="I16" s="2">
        <v>634.36</v>
      </c>
      <c r="J16" s="2">
        <v>13321.62</v>
      </c>
      <c r="K16" s="2">
        <v>13321.62</v>
      </c>
      <c r="L16" s="2" t="s">
        <v>22</v>
      </c>
      <c r="M16" s="2" t="s">
        <v>3844</v>
      </c>
      <c r="N16" s="2" t="s">
        <v>3843</v>
      </c>
    </row>
    <row r="17" spans="1:14" ht="45" x14ac:dyDescent="0.25">
      <c r="A17" s="2" t="s">
        <v>2978</v>
      </c>
      <c r="B17" s="2" t="s">
        <v>4192</v>
      </c>
      <c r="C17" s="4">
        <v>45986</v>
      </c>
      <c r="D17" s="4">
        <v>46016</v>
      </c>
      <c r="E17" s="2" t="s">
        <v>1033</v>
      </c>
      <c r="F17" s="2"/>
      <c r="G17" s="2" t="s">
        <v>21</v>
      </c>
      <c r="H17" s="2">
        <v>2460.7800000000002</v>
      </c>
      <c r="I17" s="2"/>
      <c r="J17" s="2">
        <v>2460.7800000000002</v>
      </c>
      <c r="K17" s="2">
        <v>1743.73</v>
      </c>
      <c r="L17" s="2" t="s">
        <v>51</v>
      </c>
      <c r="M17" s="2" t="s">
        <v>3844</v>
      </c>
      <c r="N17" s="2" t="s">
        <v>3843</v>
      </c>
    </row>
    <row r="18" spans="1:14" ht="45" x14ac:dyDescent="0.25">
      <c r="A18" s="2" t="s">
        <v>3385</v>
      </c>
      <c r="B18" s="2" t="s">
        <v>4192</v>
      </c>
      <c r="C18" s="4">
        <v>45986</v>
      </c>
      <c r="D18" s="4">
        <v>45986</v>
      </c>
      <c r="E18" s="2" t="s">
        <v>107</v>
      </c>
      <c r="F18" s="2"/>
      <c r="G18" s="2" t="s">
        <v>21</v>
      </c>
      <c r="H18" s="2">
        <v>8750.3799999999992</v>
      </c>
      <c r="I18" s="2"/>
      <c r="J18" s="2">
        <v>8750.3799999999992</v>
      </c>
      <c r="K18" s="2">
        <v>6200.6</v>
      </c>
      <c r="L18" s="2" t="s">
        <v>51</v>
      </c>
      <c r="M18" s="2" t="s">
        <v>3844</v>
      </c>
      <c r="N18" s="2" t="s">
        <v>3843</v>
      </c>
    </row>
    <row r="19" spans="1:14" x14ac:dyDescent="0.25">
      <c r="A19" s="2" t="s">
        <v>3366</v>
      </c>
      <c r="B19" s="2" t="s">
        <v>198</v>
      </c>
      <c r="C19" s="4">
        <v>45985</v>
      </c>
      <c r="D19" s="4">
        <v>45985</v>
      </c>
      <c r="E19" s="2" t="s">
        <v>196</v>
      </c>
      <c r="F19" s="2"/>
      <c r="G19" s="2" t="s">
        <v>40</v>
      </c>
      <c r="H19" s="2">
        <v>513.05999999999995</v>
      </c>
      <c r="I19" s="2"/>
      <c r="J19" s="2">
        <v>513.05999999999995</v>
      </c>
      <c r="K19" s="2">
        <v>364</v>
      </c>
      <c r="L19" s="2" t="s">
        <v>51</v>
      </c>
      <c r="M19" s="2" t="s">
        <v>3844</v>
      </c>
      <c r="N19" s="2" t="s">
        <v>3843</v>
      </c>
    </row>
    <row r="20" spans="1:14" ht="30" x14ac:dyDescent="0.25">
      <c r="A20" s="2" t="s">
        <v>3077</v>
      </c>
      <c r="B20" s="2" t="s">
        <v>855</v>
      </c>
      <c r="C20" s="4">
        <v>45985</v>
      </c>
      <c r="D20" s="4">
        <v>45985</v>
      </c>
      <c r="E20" s="2" t="s">
        <v>853</v>
      </c>
      <c r="F20" s="2"/>
      <c r="G20" s="2" t="s">
        <v>180</v>
      </c>
      <c r="H20" s="2">
        <v>46825.89</v>
      </c>
      <c r="I20" s="2"/>
      <c r="J20" s="2">
        <v>46825.89</v>
      </c>
      <c r="K20" s="2">
        <v>33221</v>
      </c>
      <c r="L20" s="2" t="s">
        <v>51</v>
      </c>
      <c r="M20" s="2" t="s">
        <v>3844</v>
      </c>
      <c r="N20" s="2" t="s">
        <v>3843</v>
      </c>
    </row>
    <row r="21" spans="1:14" ht="45" x14ac:dyDescent="0.25">
      <c r="A21" s="2" t="s">
        <v>2979</v>
      </c>
      <c r="B21" s="2" t="s">
        <v>4192</v>
      </c>
      <c r="C21" s="4">
        <v>45982</v>
      </c>
      <c r="D21" s="4">
        <v>46012</v>
      </c>
      <c r="E21" s="2" t="s">
        <v>1033</v>
      </c>
      <c r="F21" s="2"/>
      <c r="G21" s="2" t="s">
        <v>21</v>
      </c>
      <c r="H21" s="2">
        <v>14090.92</v>
      </c>
      <c r="I21" s="2"/>
      <c r="J21" s="2">
        <v>14090.92</v>
      </c>
      <c r="K21" s="2">
        <v>10028</v>
      </c>
      <c r="L21" s="2" t="s">
        <v>51</v>
      </c>
      <c r="M21" s="2" t="s">
        <v>3844</v>
      </c>
      <c r="N21" s="2" t="s">
        <v>3843</v>
      </c>
    </row>
    <row r="22" spans="1:14" ht="45" x14ac:dyDescent="0.25">
      <c r="A22" s="2" t="s">
        <v>3045</v>
      </c>
      <c r="B22" s="2" t="s">
        <v>4192</v>
      </c>
      <c r="C22" s="4">
        <v>45982</v>
      </c>
      <c r="D22" s="4">
        <v>46012</v>
      </c>
      <c r="E22" s="2" t="s">
        <v>922</v>
      </c>
      <c r="F22" s="2"/>
      <c r="G22" s="2" t="s">
        <v>21</v>
      </c>
      <c r="H22" s="2">
        <v>14715.63</v>
      </c>
      <c r="I22" s="2"/>
      <c r="J22" s="2">
        <v>14715.63</v>
      </c>
      <c r="K22" s="2">
        <v>10472.58</v>
      </c>
      <c r="L22" s="2" t="s">
        <v>51</v>
      </c>
      <c r="M22" s="2" t="s">
        <v>3844</v>
      </c>
      <c r="N22" s="2" t="s">
        <v>3843</v>
      </c>
    </row>
    <row r="23" spans="1:14" x14ac:dyDescent="0.25">
      <c r="A23" s="2" t="s">
        <v>3372</v>
      </c>
      <c r="B23" s="2" t="s">
        <v>3908</v>
      </c>
      <c r="C23" s="4">
        <v>45981</v>
      </c>
      <c r="D23" s="4">
        <v>46011</v>
      </c>
      <c r="E23" s="2" t="s">
        <v>169</v>
      </c>
      <c r="F23" s="2"/>
      <c r="G23" s="2" t="s">
        <v>21</v>
      </c>
      <c r="H23" s="2">
        <v>878.94</v>
      </c>
      <c r="I23" s="2">
        <v>43.95</v>
      </c>
      <c r="J23" s="2">
        <v>922.89</v>
      </c>
      <c r="K23" s="2">
        <v>922.89</v>
      </c>
      <c r="L23" s="2" t="s">
        <v>22</v>
      </c>
      <c r="M23" s="2" t="s">
        <v>3844</v>
      </c>
      <c r="N23" s="2" t="s">
        <v>3843</v>
      </c>
    </row>
    <row r="24" spans="1:14" x14ac:dyDescent="0.25">
      <c r="A24" s="2" t="s">
        <v>2980</v>
      </c>
      <c r="B24" s="2" t="s">
        <v>192</v>
      </c>
      <c r="C24" s="4">
        <v>45981</v>
      </c>
      <c r="D24" s="4">
        <v>46011</v>
      </c>
      <c r="E24" s="2" t="s">
        <v>1031</v>
      </c>
      <c r="F24" s="2"/>
      <c r="G24" s="2" t="s">
        <v>21</v>
      </c>
      <c r="H24" s="2">
        <v>5281.2</v>
      </c>
      <c r="I24" s="2"/>
      <c r="J24" s="2">
        <v>5281.2</v>
      </c>
      <c r="K24" s="2">
        <v>3773.24</v>
      </c>
      <c r="L24" s="2" t="s">
        <v>51</v>
      </c>
      <c r="M24" s="2" t="s">
        <v>3844</v>
      </c>
      <c r="N24" s="2" t="s">
        <v>3843</v>
      </c>
    </row>
    <row r="25" spans="1:14" ht="45" x14ac:dyDescent="0.25">
      <c r="A25" s="2" t="s">
        <v>3379</v>
      </c>
      <c r="B25" s="2" t="s">
        <v>4192</v>
      </c>
      <c r="C25" s="4">
        <v>45981</v>
      </c>
      <c r="D25" s="4">
        <v>46011</v>
      </c>
      <c r="E25" s="2" t="s">
        <v>142</v>
      </c>
      <c r="F25" s="2"/>
      <c r="G25" s="2" t="s">
        <v>21</v>
      </c>
      <c r="H25" s="2">
        <v>1804.83</v>
      </c>
      <c r="I25" s="2"/>
      <c r="J25" s="2">
        <v>1804.83</v>
      </c>
      <c r="K25" s="2">
        <v>1289.49</v>
      </c>
      <c r="L25" s="2" t="s">
        <v>51</v>
      </c>
      <c r="M25" s="2" t="s">
        <v>3844</v>
      </c>
      <c r="N25" s="2" t="s">
        <v>3843</v>
      </c>
    </row>
    <row r="26" spans="1:14" x14ac:dyDescent="0.25">
      <c r="A26" s="2" t="s">
        <v>3324</v>
      </c>
      <c r="B26" s="2" t="s">
        <v>313</v>
      </c>
      <c r="C26" s="4">
        <v>45981</v>
      </c>
      <c r="D26" s="4">
        <v>45981</v>
      </c>
      <c r="E26" s="2" t="s">
        <v>311</v>
      </c>
      <c r="F26" s="2"/>
      <c r="G26" s="2" t="s">
        <v>74</v>
      </c>
      <c r="H26" s="2">
        <v>1588.6</v>
      </c>
      <c r="I26" s="2"/>
      <c r="J26" s="2">
        <v>1588.6</v>
      </c>
      <c r="K26" s="2">
        <v>1135</v>
      </c>
      <c r="L26" s="2" t="s">
        <v>51</v>
      </c>
      <c r="M26" s="2" t="s">
        <v>3844</v>
      </c>
      <c r="N26" s="2" t="s">
        <v>3843</v>
      </c>
    </row>
    <row r="27" spans="1:14" x14ac:dyDescent="0.25">
      <c r="A27" s="2" t="s">
        <v>3150</v>
      </c>
      <c r="B27" s="2" t="s">
        <v>61</v>
      </c>
      <c r="C27" s="4">
        <v>45981</v>
      </c>
      <c r="D27" s="4">
        <v>46011</v>
      </c>
      <c r="E27" s="2" t="s">
        <v>707</v>
      </c>
      <c r="F27" s="2"/>
      <c r="G27" s="2" t="s">
        <v>40</v>
      </c>
      <c r="H27" s="2">
        <v>1711.77</v>
      </c>
      <c r="I27" s="2"/>
      <c r="J27" s="2">
        <v>1711.77</v>
      </c>
      <c r="K27" s="2">
        <v>1223</v>
      </c>
      <c r="L27" s="2" t="s">
        <v>51</v>
      </c>
      <c r="M27" s="2" t="s">
        <v>3844</v>
      </c>
      <c r="N27" s="2" t="s">
        <v>3843</v>
      </c>
    </row>
    <row r="28" spans="1:14" x14ac:dyDescent="0.25">
      <c r="A28" s="2" t="s">
        <v>3154</v>
      </c>
      <c r="B28" s="2" t="s">
        <v>61</v>
      </c>
      <c r="C28" s="4">
        <v>45981</v>
      </c>
      <c r="D28" s="4">
        <v>46011</v>
      </c>
      <c r="E28" s="2" t="s">
        <v>701</v>
      </c>
      <c r="F28" s="2"/>
      <c r="G28" s="2" t="s">
        <v>40</v>
      </c>
      <c r="H28" s="2">
        <v>1711.77</v>
      </c>
      <c r="I28" s="2"/>
      <c r="J28" s="2">
        <v>1711.77</v>
      </c>
      <c r="K28" s="2">
        <v>1223</v>
      </c>
      <c r="L28" s="2" t="s">
        <v>51</v>
      </c>
      <c r="M28" s="2" t="s">
        <v>3844</v>
      </c>
      <c r="N28" s="2" t="s">
        <v>3843</v>
      </c>
    </row>
    <row r="29" spans="1:14" ht="30" x14ac:dyDescent="0.25">
      <c r="A29" s="2" t="s">
        <v>3212</v>
      </c>
      <c r="B29" s="2" t="s">
        <v>4124</v>
      </c>
      <c r="C29" s="4">
        <v>45981</v>
      </c>
      <c r="D29" s="4">
        <v>46011</v>
      </c>
      <c r="E29" s="2" t="s">
        <v>582</v>
      </c>
      <c r="F29" s="2"/>
      <c r="G29" s="2" t="s">
        <v>74</v>
      </c>
      <c r="H29" s="2">
        <v>20812.96</v>
      </c>
      <c r="I29" s="2">
        <v>1295.3599999999999</v>
      </c>
      <c r="J29" s="2">
        <v>22108.32</v>
      </c>
      <c r="K29" s="2">
        <v>22108.32</v>
      </c>
      <c r="L29" s="2" t="s">
        <v>22</v>
      </c>
      <c r="M29" s="2" t="s">
        <v>3844</v>
      </c>
      <c r="N29" s="2" t="s">
        <v>3843</v>
      </c>
    </row>
    <row r="30" spans="1:14" x14ac:dyDescent="0.25">
      <c r="A30" s="2" t="s">
        <v>3373</v>
      </c>
      <c r="B30" s="2" t="s">
        <v>154</v>
      </c>
      <c r="C30" s="4">
        <v>45980</v>
      </c>
      <c r="D30" s="4">
        <v>45981</v>
      </c>
      <c r="E30" s="2" t="s">
        <v>160</v>
      </c>
      <c r="F30" s="2"/>
      <c r="G30" s="2" t="s">
        <v>36</v>
      </c>
      <c r="H30" s="2">
        <v>6453.87</v>
      </c>
      <c r="I30" s="2"/>
      <c r="J30" s="2">
        <v>6453.87</v>
      </c>
      <c r="K30" s="2">
        <v>6453.87</v>
      </c>
      <c r="L30" s="2" t="s">
        <v>22</v>
      </c>
      <c r="M30" s="2" t="s">
        <v>3844</v>
      </c>
      <c r="N30" s="2" t="s">
        <v>3843</v>
      </c>
    </row>
    <row r="31" spans="1:14" x14ac:dyDescent="0.25">
      <c r="A31" s="2" t="s">
        <v>3376</v>
      </c>
      <c r="B31" s="2" t="s">
        <v>154</v>
      </c>
      <c r="C31" s="4">
        <v>45980</v>
      </c>
      <c r="D31" s="4">
        <v>45981</v>
      </c>
      <c r="E31" s="2" t="s">
        <v>152</v>
      </c>
      <c r="F31" s="2"/>
      <c r="G31" s="2" t="s">
        <v>36</v>
      </c>
      <c r="H31" s="2">
        <v>34034.85</v>
      </c>
      <c r="I31" s="2"/>
      <c r="J31" s="2">
        <v>34034.85</v>
      </c>
      <c r="K31" s="2">
        <v>34034.85</v>
      </c>
      <c r="L31" s="2" t="s">
        <v>22</v>
      </c>
      <c r="M31" s="2" t="s">
        <v>3844</v>
      </c>
      <c r="N31" s="2" t="s">
        <v>3843</v>
      </c>
    </row>
    <row r="32" spans="1:14" ht="30" x14ac:dyDescent="0.25">
      <c r="A32" s="2" t="s">
        <v>3355</v>
      </c>
      <c r="B32" s="2" t="s">
        <v>4206</v>
      </c>
      <c r="C32" s="4">
        <v>45979</v>
      </c>
      <c r="D32" s="4">
        <v>46009</v>
      </c>
      <c r="E32" s="2" t="s">
        <v>227</v>
      </c>
      <c r="F32" s="2"/>
      <c r="G32" s="2" t="s">
        <v>21</v>
      </c>
      <c r="H32" s="2">
        <v>2952.22</v>
      </c>
      <c r="I32" s="2">
        <v>147.61000000000001</v>
      </c>
      <c r="J32" s="2">
        <v>3099.83</v>
      </c>
      <c r="K32" s="2">
        <v>3099.83</v>
      </c>
      <c r="L32" s="2" t="s">
        <v>22</v>
      </c>
      <c r="M32" s="2" t="s">
        <v>3844</v>
      </c>
      <c r="N32" s="2" t="s">
        <v>3843</v>
      </c>
    </row>
    <row r="33" spans="1:14" x14ac:dyDescent="0.25">
      <c r="A33" s="2" t="s">
        <v>3367</v>
      </c>
      <c r="B33" s="2" t="s">
        <v>192</v>
      </c>
      <c r="C33" s="4">
        <v>45978</v>
      </c>
      <c r="D33" s="4">
        <v>46008</v>
      </c>
      <c r="E33" s="2" t="s">
        <v>190</v>
      </c>
      <c r="F33" s="2"/>
      <c r="G33" s="2" t="s">
        <v>40</v>
      </c>
      <c r="H33" s="2">
        <v>4378.0200000000004</v>
      </c>
      <c r="I33" s="2"/>
      <c r="J33" s="2">
        <v>4378.0200000000004</v>
      </c>
      <c r="K33" s="2">
        <v>3121.55</v>
      </c>
      <c r="L33" s="2" t="s">
        <v>51</v>
      </c>
      <c r="M33" s="2" t="s">
        <v>3844</v>
      </c>
      <c r="N33" s="2" t="s">
        <v>3843</v>
      </c>
    </row>
    <row r="34" spans="1:14" x14ac:dyDescent="0.25">
      <c r="A34" s="2" t="s">
        <v>3359</v>
      </c>
      <c r="B34" s="2" t="s">
        <v>4222</v>
      </c>
      <c r="C34" s="4">
        <v>45978</v>
      </c>
      <c r="D34" s="4">
        <v>45978</v>
      </c>
      <c r="E34" s="2" t="s">
        <v>212</v>
      </c>
      <c r="F34" s="2"/>
      <c r="G34" s="2" t="s">
        <v>180</v>
      </c>
      <c r="H34" s="2">
        <v>5203.66</v>
      </c>
      <c r="I34" s="2"/>
      <c r="J34" s="2">
        <v>5203.66</v>
      </c>
      <c r="K34" s="2">
        <v>3710.22</v>
      </c>
      <c r="L34" s="2" t="s">
        <v>51</v>
      </c>
      <c r="M34" s="2" t="s">
        <v>3844</v>
      </c>
      <c r="N34" s="2" t="s">
        <v>3978</v>
      </c>
    </row>
    <row r="35" spans="1:14" x14ac:dyDescent="0.25">
      <c r="A35" s="2" t="s">
        <v>3357</v>
      </c>
      <c r="B35" s="2" t="s">
        <v>64</v>
      </c>
      <c r="C35" s="4">
        <v>45975</v>
      </c>
      <c r="D35" s="4">
        <v>46005</v>
      </c>
      <c r="E35" s="2" t="s">
        <v>220</v>
      </c>
      <c r="F35" s="2"/>
      <c r="G35" s="2" t="s">
        <v>21</v>
      </c>
      <c r="H35" s="2">
        <v>365.39</v>
      </c>
      <c r="I35" s="2">
        <v>47.5</v>
      </c>
      <c r="J35" s="2">
        <v>412.89</v>
      </c>
      <c r="K35" s="2">
        <v>412.89</v>
      </c>
      <c r="L35" s="2" t="s">
        <v>22</v>
      </c>
      <c r="M35" s="2" t="s">
        <v>3844</v>
      </c>
      <c r="N35" s="2" t="s">
        <v>3843</v>
      </c>
    </row>
    <row r="36" spans="1:14" ht="45" x14ac:dyDescent="0.25">
      <c r="A36" s="2" t="s">
        <v>3364</v>
      </c>
      <c r="B36" s="2" t="s">
        <v>502</v>
      </c>
      <c r="C36" s="4">
        <v>45975</v>
      </c>
      <c r="D36" s="4">
        <v>46020</v>
      </c>
      <c r="E36" s="2" t="s">
        <v>202</v>
      </c>
      <c r="F36" s="2"/>
      <c r="G36" s="2" t="s">
        <v>21</v>
      </c>
      <c r="H36" s="2">
        <v>721.12</v>
      </c>
      <c r="I36" s="2">
        <v>36.06</v>
      </c>
      <c r="J36" s="2">
        <v>757.18</v>
      </c>
      <c r="K36" s="2">
        <v>757.18</v>
      </c>
      <c r="L36" s="2" t="s">
        <v>22</v>
      </c>
      <c r="M36" s="2" t="s">
        <v>3844</v>
      </c>
      <c r="N36" s="2" t="s">
        <v>3843</v>
      </c>
    </row>
    <row r="37" spans="1:14" ht="45" x14ac:dyDescent="0.25">
      <c r="A37" s="2" t="s">
        <v>3361</v>
      </c>
      <c r="B37" s="2" t="s">
        <v>502</v>
      </c>
      <c r="C37" s="4">
        <v>45975</v>
      </c>
      <c r="D37" s="4">
        <v>46020</v>
      </c>
      <c r="E37" s="2" t="s">
        <v>208</v>
      </c>
      <c r="F37" s="2"/>
      <c r="G37" s="2" t="s">
        <v>21</v>
      </c>
      <c r="H37" s="2">
        <v>2867.55</v>
      </c>
      <c r="I37" s="2">
        <v>143.38999999999999</v>
      </c>
      <c r="J37" s="2">
        <v>3010.94</v>
      </c>
      <c r="K37" s="2">
        <v>3010.94</v>
      </c>
      <c r="L37" s="2" t="s">
        <v>22</v>
      </c>
      <c r="M37" s="2" t="s">
        <v>3844</v>
      </c>
      <c r="N37" s="2" t="s">
        <v>3843</v>
      </c>
    </row>
    <row r="38" spans="1:14" ht="45" x14ac:dyDescent="0.25">
      <c r="A38" s="2" t="s">
        <v>3363</v>
      </c>
      <c r="B38" s="2" t="s">
        <v>502</v>
      </c>
      <c r="C38" s="4">
        <v>45975</v>
      </c>
      <c r="D38" s="4">
        <v>46020</v>
      </c>
      <c r="E38" s="2" t="s">
        <v>204</v>
      </c>
      <c r="F38" s="2"/>
      <c r="G38" s="2" t="s">
        <v>180</v>
      </c>
      <c r="H38" s="2">
        <v>109.66</v>
      </c>
      <c r="I38" s="2">
        <v>5.48</v>
      </c>
      <c r="J38" s="2">
        <v>115.14</v>
      </c>
      <c r="K38" s="2">
        <v>115.14</v>
      </c>
      <c r="L38" s="2" t="s">
        <v>22</v>
      </c>
      <c r="M38" s="2" t="s">
        <v>3844</v>
      </c>
      <c r="N38" s="2" t="s">
        <v>3843</v>
      </c>
    </row>
    <row r="39" spans="1:14" ht="30" x14ac:dyDescent="0.25">
      <c r="A39" s="2" t="s">
        <v>3356</v>
      </c>
      <c r="B39" s="2" t="s">
        <v>4124</v>
      </c>
      <c r="C39" s="4">
        <v>45975</v>
      </c>
      <c r="D39" s="4">
        <v>46005</v>
      </c>
      <c r="E39" s="2" t="s">
        <v>222</v>
      </c>
      <c r="F39" s="2"/>
      <c r="G39" s="2" t="s">
        <v>21</v>
      </c>
      <c r="H39" s="2">
        <v>2147.04</v>
      </c>
      <c r="I39" s="2">
        <v>107.35</v>
      </c>
      <c r="J39" s="2">
        <v>2254.39</v>
      </c>
      <c r="K39" s="2">
        <v>2254.39</v>
      </c>
      <c r="L39" s="2" t="s">
        <v>22</v>
      </c>
      <c r="M39" s="2" t="s">
        <v>3844</v>
      </c>
      <c r="N39" s="2" t="s">
        <v>3843</v>
      </c>
    </row>
    <row r="40" spans="1:14" x14ac:dyDescent="0.25">
      <c r="A40" s="2" t="s">
        <v>3244</v>
      </c>
      <c r="B40" s="2" t="s">
        <v>89</v>
      </c>
      <c r="C40" s="4">
        <v>45975</v>
      </c>
      <c r="D40" s="4">
        <v>46005</v>
      </c>
      <c r="E40" s="2" t="s">
        <v>516</v>
      </c>
      <c r="F40" s="2"/>
      <c r="G40" s="2" t="s">
        <v>74</v>
      </c>
      <c r="H40" s="2">
        <v>753.88</v>
      </c>
      <c r="I40" s="2">
        <v>98</v>
      </c>
      <c r="J40" s="2">
        <v>851.88</v>
      </c>
      <c r="K40" s="2">
        <v>851.88</v>
      </c>
      <c r="L40" s="2" t="s">
        <v>22</v>
      </c>
      <c r="M40" s="2" t="s">
        <v>3844</v>
      </c>
      <c r="N40" s="2" t="s">
        <v>3843</v>
      </c>
    </row>
    <row r="41" spans="1:14" x14ac:dyDescent="0.25">
      <c r="A41" s="2" t="s">
        <v>3358</v>
      </c>
      <c r="B41" s="2" t="s">
        <v>3908</v>
      </c>
      <c r="C41" s="4">
        <v>45974</v>
      </c>
      <c r="D41" s="4">
        <v>46004</v>
      </c>
      <c r="E41" s="2" t="s">
        <v>218</v>
      </c>
      <c r="F41" s="2"/>
      <c r="G41" s="2" t="s">
        <v>74</v>
      </c>
      <c r="H41" s="2">
        <v>987.3</v>
      </c>
      <c r="I41" s="2">
        <v>49.37</v>
      </c>
      <c r="J41" s="2">
        <v>1036.67</v>
      </c>
      <c r="K41" s="2">
        <v>1036.67</v>
      </c>
      <c r="L41" s="2" t="s">
        <v>22</v>
      </c>
      <c r="M41" s="2" t="s">
        <v>3844</v>
      </c>
      <c r="N41" s="2" t="s">
        <v>3843</v>
      </c>
    </row>
    <row r="42" spans="1:14" ht="30" x14ac:dyDescent="0.25">
      <c r="A42" s="2" t="s">
        <v>3352</v>
      </c>
      <c r="B42" s="2" t="s">
        <v>4171</v>
      </c>
      <c r="C42" s="4">
        <v>45973</v>
      </c>
      <c r="D42" s="4">
        <v>46003</v>
      </c>
      <c r="E42" s="2" t="s">
        <v>237</v>
      </c>
      <c r="F42" s="2"/>
      <c r="G42" s="2" t="s">
        <v>180</v>
      </c>
      <c r="H42" s="2">
        <v>1642.24</v>
      </c>
      <c r="I42" s="2"/>
      <c r="J42" s="2">
        <v>1642.24</v>
      </c>
      <c r="K42" s="2">
        <v>1642.24</v>
      </c>
      <c r="L42" s="2" t="s">
        <v>22</v>
      </c>
      <c r="M42" s="2" t="s">
        <v>3844</v>
      </c>
      <c r="N42" s="2" t="s">
        <v>3843</v>
      </c>
    </row>
    <row r="43" spans="1:14" ht="30" x14ac:dyDescent="0.25">
      <c r="A43" s="2" t="s">
        <v>3156</v>
      </c>
      <c r="B43" s="2" t="s">
        <v>39</v>
      </c>
      <c r="C43" s="4">
        <v>45972</v>
      </c>
      <c r="D43" s="4">
        <v>46002</v>
      </c>
      <c r="E43" s="2" t="s">
        <v>697</v>
      </c>
      <c r="F43" s="2"/>
      <c r="G43" s="2" t="s">
        <v>36</v>
      </c>
      <c r="H43" s="2">
        <v>7857.37</v>
      </c>
      <c r="I43" s="2">
        <v>392.87</v>
      </c>
      <c r="J43" s="2">
        <v>8250.24</v>
      </c>
      <c r="K43" s="2">
        <v>8250.24</v>
      </c>
      <c r="L43" s="2" t="s">
        <v>22</v>
      </c>
      <c r="M43" s="2" t="s">
        <v>3844</v>
      </c>
      <c r="N43" s="2" t="s">
        <v>3843</v>
      </c>
    </row>
    <row r="44" spans="1:14" x14ac:dyDescent="0.25">
      <c r="A44" s="2" t="s">
        <v>3109</v>
      </c>
      <c r="B44" s="2" t="s">
        <v>245</v>
      </c>
      <c r="C44" s="4">
        <v>45972</v>
      </c>
      <c r="D44" s="4">
        <v>46002</v>
      </c>
      <c r="E44" s="2" t="s">
        <v>793</v>
      </c>
      <c r="F44" s="2"/>
      <c r="G44" s="2" t="s">
        <v>36</v>
      </c>
      <c r="H44" s="2">
        <v>3783.68</v>
      </c>
      <c r="I44" s="2">
        <v>189.18</v>
      </c>
      <c r="J44" s="2">
        <v>3972.86</v>
      </c>
      <c r="K44" s="2">
        <v>3972.86</v>
      </c>
      <c r="L44" s="2" t="s">
        <v>22</v>
      </c>
      <c r="M44" s="2" t="s">
        <v>3844</v>
      </c>
      <c r="N44" s="2" t="s">
        <v>3843</v>
      </c>
    </row>
    <row r="45" spans="1:14" ht="30" x14ac:dyDescent="0.25">
      <c r="A45" s="2" t="s">
        <v>3295</v>
      </c>
      <c r="B45" s="2" t="s">
        <v>4206</v>
      </c>
      <c r="C45" s="4">
        <v>45972</v>
      </c>
      <c r="D45" s="4">
        <v>46002</v>
      </c>
      <c r="E45" s="2" t="s">
        <v>383</v>
      </c>
      <c r="F45" s="2"/>
      <c r="G45" s="2" t="s">
        <v>40</v>
      </c>
      <c r="H45" s="2">
        <v>32</v>
      </c>
      <c r="I45" s="2">
        <v>1.6</v>
      </c>
      <c r="J45" s="2">
        <v>33.6</v>
      </c>
      <c r="K45" s="2">
        <v>33.6</v>
      </c>
      <c r="L45" s="2" t="s">
        <v>22</v>
      </c>
      <c r="M45" s="2" t="s">
        <v>3844</v>
      </c>
      <c r="N45" s="2" t="s">
        <v>3843</v>
      </c>
    </row>
    <row r="46" spans="1:14" ht="30" x14ac:dyDescent="0.25">
      <c r="A46" s="2" t="s">
        <v>3210</v>
      </c>
      <c r="B46" s="2" t="s">
        <v>4206</v>
      </c>
      <c r="C46" s="4">
        <v>45972</v>
      </c>
      <c r="D46" s="4">
        <v>46002</v>
      </c>
      <c r="E46" s="2" t="s">
        <v>584</v>
      </c>
      <c r="F46" s="2"/>
      <c r="G46" s="2" t="s">
        <v>74</v>
      </c>
      <c r="H46" s="2">
        <v>49.16</v>
      </c>
      <c r="I46" s="2">
        <v>2.46</v>
      </c>
      <c r="J46" s="2">
        <v>51.62</v>
      </c>
      <c r="K46" s="2">
        <v>51.62</v>
      </c>
      <c r="L46" s="2" t="s">
        <v>22</v>
      </c>
      <c r="M46" s="2" t="s">
        <v>3844</v>
      </c>
      <c r="N46" s="2" t="s">
        <v>3843</v>
      </c>
    </row>
    <row r="47" spans="1:14" ht="30" x14ac:dyDescent="0.25">
      <c r="A47" s="2" t="s">
        <v>3219</v>
      </c>
      <c r="B47" s="2" t="s">
        <v>104</v>
      </c>
      <c r="C47" s="4">
        <v>45972</v>
      </c>
      <c r="D47" s="4">
        <v>46002</v>
      </c>
      <c r="E47" s="2" t="s">
        <v>563</v>
      </c>
      <c r="F47" s="2"/>
      <c r="G47" s="2" t="s">
        <v>40</v>
      </c>
      <c r="H47" s="2">
        <v>50</v>
      </c>
      <c r="I47" s="2">
        <v>2.5</v>
      </c>
      <c r="J47" s="2">
        <v>52.5</v>
      </c>
      <c r="K47" s="2">
        <v>52.5</v>
      </c>
      <c r="L47" s="2" t="s">
        <v>22</v>
      </c>
      <c r="M47" s="2" t="s">
        <v>3844</v>
      </c>
      <c r="N47" s="2" t="s">
        <v>3843</v>
      </c>
    </row>
    <row r="48" spans="1:14" ht="30" x14ac:dyDescent="0.25">
      <c r="A48" s="2" t="s">
        <v>3351</v>
      </c>
      <c r="B48" s="2" t="s">
        <v>104</v>
      </c>
      <c r="C48" s="4">
        <v>45972</v>
      </c>
      <c r="D48" s="4">
        <v>46002</v>
      </c>
      <c r="E48" s="2" t="s">
        <v>240</v>
      </c>
      <c r="F48" s="2"/>
      <c r="G48" s="2" t="s">
        <v>40</v>
      </c>
      <c r="H48" s="2">
        <v>1946.57</v>
      </c>
      <c r="I48" s="2">
        <v>97.33</v>
      </c>
      <c r="J48" s="2">
        <v>2043.9</v>
      </c>
      <c r="K48" s="2">
        <v>2043.9</v>
      </c>
      <c r="L48" s="2" t="s">
        <v>22</v>
      </c>
      <c r="M48" s="2" t="s">
        <v>3844</v>
      </c>
      <c r="N48" s="2" t="s">
        <v>3843</v>
      </c>
    </row>
    <row r="49" spans="1:14" x14ac:dyDescent="0.25">
      <c r="A49" s="2" t="s">
        <v>3158</v>
      </c>
      <c r="B49" s="2" t="s">
        <v>644</v>
      </c>
      <c r="C49" s="4">
        <v>45972</v>
      </c>
      <c r="D49" s="4">
        <v>46002</v>
      </c>
      <c r="E49" s="2" t="s">
        <v>695</v>
      </c>
      <c r="F49" s="2"/>
      <c r="G49" s="2" t="s">
        <v>21</v>
      </c>
      <c r="H49" s="2">
        <v>2188.16</v>
      </c>
      <c r="I49" s="2"/>
      <c r="J49" s="2">
        <v>2188.16</v>
      </c>
      <c r="K49" s="2">
        <v>1559.55</v>
      </c>
      <c r="L49" s="2" t="s">
        <v>51</v>
      </c>
      <c r="M49" s="2" t="s">
        <v>3844</v>
      </c>
      <c r="N49" s="2" t="s">
        <v>3843</v>
      </c>
    </row>
    <row r="50" spans="1:14" x14ac:dyDescent="0.25">
      <c r="A50" s="2" t="s">
        <v>3347</v>
      </c>
      <c r="B50" s="2" t="s">
        <v>54</v>
      </c>
      <c r="C50" s="4">
        <v>45971</v>
      </c>
      <c r="D50" s="4">
        <v>46001</v>
      </c>
      <c r="E50" s="2" t="s">
        <v>253</v>
      </c>
      <c r="F50" s="2"/>
      <c r="G50" s="2" t="s">
        <v>21</v>
      </c>
      <c r="H50" s="2">
        <v>3385.4</v>
      </c>
      <c r="I50" s="2">
        <v>169.27</v>
      </c>
      <c r="J50" s="2">
        <v>3554.67</v>
      </c>
      <c r="K50" s="2">
        <v>3554.67</v>
      </c>
      <c r="L50" s="2" t="s">
        <v>22</v>
      </c>
      <c r="M50" s="2" t="s">
        <v>3844</v>
      </c>
      <c r="N50" s="2" t="s">
        <v>3843</v>
      </c>
    </row>
    <row r="51" spans="1:14" x14ac:dyDescent="0.25">
      <c r="A51" s="2" t="s">
        <v>3234</v>
      </c>
      <c r="B51" s="2" t="s">
        <v>54</v>
      </c>
      <c r="C51" s="4">
        <v>45971</v>
      </c>
      <c r="D51" s="4">
        <v>46001</v>
      </c>
      <c r="E51" s="2" t="s">
        <v>537</v>
      </c>
      <c r="F51" s="2"/>
      <c r="G51" s="2" t="s">
        <v>21</v>
      </c>
      <c r="H51" s="2">
        <v>1949.64</v>
      </c>
      <c r="I51" s="2">
        <v>97.48</v>
      </c>
      <c r="J51" s="2">
        <v>2047.12</v>
      </c>
      <c r="K51" s="2">
        <v>2047.12</v>
      </c>
      <c r="L51" s="2" t="s">
        <v>22</v>
      </c>
      <c r="M51" s="2" t="s">
        <v>3844</v>
      </c>
      <c r="N51" s="2" t="s">
        <v>3843</v>
      </c>
    </row>
    <row r="52" spans="1:14" x14ac:dyDescent="0.25">
      <c r="A52" s="2" t="s">
        <v>3348</v>
      </c>
      <c r="B52" s="2" t="s">
        <v>54</v>
      </c>
      <c r="C52" s="4">
        <v>45971</v>
      </c>
      <c r="D52" s="4">
        <v>46001</v>
      </c>
      <c r="E52" s="2" t="s">
        <v>251</v>
      </c>
      <c r="F52" s="2"/>
      <c r="G52" s="2" t="s">
        <v>21</v>
      </c>
      <c r="H52" s="2">
        <v>3683.4</v>
      </c>
      <c r="I52" s="2">
        <v>238.44</v>
      </c>
      <c r="J52" s="2">
        <v>3921.84</v>
      </c>
      <c r="K52" s="2">
        <v>3921.84</v>
      </c>
      <c r="L52" s="2" t="s">
        <v>22</v>
      </c>
      <c r="M52" s="2" t="s">
        <v>3844</v>
      </c>
      <c r="N52" s="2" t="s">
        <v>3843</v>
      </c>
    </row>
    <row r="53" spans="1:14" x14ac:dyDescent="0.25">
      <c r="A53" s="2" t="s">
        <v>3346</v>
      </c>
      <c r="B53" s="2" t="s">
        <v>248</v>
      </c>
      <c r="C53" s="4">
        <v>45971</v>
      </c>
      <c r="D53" s="4">
        <v>46001</v>
      </c>
      <c r="E53" s="2" t="s">
        <v>255</v>
      </c>
      <c r="F53" s="2"/>
      <c r="G53" s="2" t="s">
        <v>40</v>
      </c>
      <c r="H53" s="2">
        <v>1414.55</v>
      </c>
      <c r="I53" s="2">
        <v>198.05</v>
      </c>
      <c r="J53" s="2">
        <v>1612.6</v>
      </c>
      <c r="K53" s="2">
        <v>1612.6</v>
      </c>
      <c r="L53" s="2" t="s">
        <v>22</v>
      </c>
      <c r="M53" s="2" t="s">
        <v>3844</v>
      </c>
      <c r="N53" s="2" t="s">
        <v>3843</v>
      </c>
    </row>
    <row r="54" spans="1:14" x14ac:dyDescent="0.25">
      <c r="A54" s="2" t="s">
        <v>3342</v>
      </c>
      <c r="B54" s="2" t="s">
        <v>248</v>
      </c>
      <c r="C54" s="4">
        <v>45971</v>
      </c>
      <c r="D54" s="4">
        <v>46001</v>
      </c>
      <c r="E54" s="2" t="s">
        <v>265</v>
      </c>
      <c r="F54" s="2"/>
      <c r="G54" s="2" t="s">
        <v>36</v>
      </c>
      <c r="H54" s="2">
        <v>581.66</v>
      </c>
      <c r="I54" s="2">
        <v>81.430000000000007</v>
      </c>
      <c r="J54" s="2">
        <v>663.09</v>
      </c>
      <c r="K54" s="2">
        <v>663.09</v>
      </c>
      <c r="L54" s="2" t="s">
        <v>22</v>
      </c>
      <c r="M54" s="2" t="s">
        <v>3844</v>
      </c>
      <c r="N54" s="2" t="s">
        <v>3843</v>
      </c>
    </row>
    <row r="55" spans="1:14" ht="60" x14ac:dyDescent="0.25">
      <c r="A55" s="2" t="s">
        <v>2902</v>
      </c>
      <c r="B55" s="2" t="s">
        <v>3974</v>
      </c>
      <c r="C55" s="4">
        <v>45971</v>
      </c>
      <c r="D55" s="4">
        <v>46001</v>
      </c>
      <c r="E55" s="2" t="s">
        <v>1159</v>
      </c>
      <c r="F55" s="2"/>
      <c r="G55" s="2" t="s">
        <v>21</v>
      </c>
      <c r="H55" s="2">
        <v>6327.03</v>
      </c>
      <c r="I55" s="2">
        <v>822.51</v>
      </c>
      <c r="J55" s="2">
        <v>7149.54</v>
      </c>
      <c r="K55" s="2">
        <v>7149.54</v>
      </c>
      <c r="L55" s="2" t="s">
        <v>22</v>
      </c>
      <c r="M55" s="2" t="s">
        <v>3844</v>
      </c>
      <c r="N55" s="2" t="s">
        <v>3843</v>
      </c>
    </row>
    <row r="56" spans="1:14" x14ac:dyDescent="0.25">
      <c r="A56" s="2" t="s">
        <v>3350</v>
      </c>
      <c r="B56" s="2" t="s">
        <v>245</v>
      </c>
      <c r="C56" s="4">
        <v>45971</v>
      </c>
      <c r="D56" s="4">
        <v>46001</v>
      </c>
      <c r="E56" s="2" t="s">
        <v>243</v>
      </c>
      <c r="F56" s="2"/>
      <c r="G56" s="2" t="s">
        <v>40</v>
      </c>
      <c r="H56" s="2">
        <v>632.4</v>
      </c>
      <c r="I56" s="2">
        <v>31.62</v>
      </c>
      <c r="J56" s="2">
        <v>664.02</v>
      </c>
      <c r="K56" s="2">
        <v>664.02</v>
      </c>
      <c r="L56" s="2" t="s">
        <v>22</v>
      </c>
      <c r="M56" s="2" t="s">
        <v>3844</v>
      </c>
      <c r="N56" s="2" t="s">
        <v>3843</v>
      </c>
    </row>
    <row r="57" spans="1:14" x14ac:dyDescent="0.25">
      <c r="A57" s="2" t="s">
        <v>3353</v>
      </c>
      <c r="B57" s="2" t="s">
        <v>64</v>
      </c>
      <c r="C57" s="4">
        <v>45971</v>
      </c>
      <c r="D57" s="4">
        <v>46001</v>
      </c>
      <c r="E57" s="2" t="s">
        <v>235</v>
      </c>
      <c r="F57" s="2"/>
      <c r="G57" s="2" t="s">
        <v>21</v>
      </c>
      <c r="H57" s="2">
        <v>209.18</v>
      </c>
      <c r="I57" s="2">
        <v>27.19</v>
      </c>
      <c r="J57" s="2">
        <v>236.37</v>
      </c>
      <c r="K57" s="2">
        <v>236.37</v>
      </c>
      <c r="L57" s="2" t="s">
        <v>22</v>
      </c>
      <c r="M57" s="2" t="s">
        <v>3844</v>
      </c>
      <c r="N57" s="2" t="s">
        <v>3843</v>
      </c>
    </row>
    <row r="58" spans="1:14" x14ac:dyDescent="0.25">
      <c r="A58" s="2" t="s">
        <v>3343</v>
      </c>
      <c r="B58" s="2" t="s">
        <v>64</v>
      </c>
      <c r="C58" s="4">
        <v>45968</v>
      </c>
      <c r="D58" s="4">
        <v>45998</v>
      </c>
      <c r="E58" s="2" t="s">
        <v>261</v>
      </c>
      <c r="F58" s="2"/>
      <c r="G58" s="2" t="s">
        <v>21</v>
      </c>
      <c r="H58" s="2">
        <v>292.98</v>
      </c>
      <c r="I58" s="2">
        <v>14.65</v>
      </c>
      <c r="J58" s="2">
        <v>307.63</v>
      </c>
      <c r="K58" s="2">
        <v>307.63</v>
      </c>
      <c r="L58" s="2" t="s">
        <v>22</v>
      </c>
      <c r="M58" s="2" t="s">
        <v>3844</v>
      </c>
      <c r="N58" s="2" t="s">
        <v>3843</v>
      </c>
    </row>
    <row r="59" spans="1:14" x14ac:dyDescent="0.25">
      <c r="A59" s="2" t="s">
        <v>3344</v>
      </c>
      <c r="B59" s="2" t="s">
        <v>77</v>
      </c>
      <c r="C59" s="4">
        <v>45968</v>
      </c>
      <c r="D59" s="4">
        <v>45998</v>
      </c>
      <c r="E59" s="2" t="s">
        <v>259</v>
      </c>
      <c r="F59" s="2"/>
      <c r="G59" s="2" t="s">
        <v>74</v>
      </c>
      <c r="H59" s="2">
        <v>968</v>
      </c>
      <c r="I59" s="2">
        <v>48.4</v>
      </c>
      <c r="J59" s="2">
        <v>1016.4</v>
      </c>
      <c r="K59" s="2">
        <v>1016.4</v>
      </c>
      <c r="L59" s="2" t="s">
        <v>22</v>
      </c>
      <c r="M59" s="2" t="s">
        <v>3844</v>
      </c>
      <c r="N59" s="2" t="s">
        <v>3843</v>
      </c>
    </row>
    <row r="60" spans="1:14" x14ac:dyDescent="0.25">
      <c r="A60" s="2" t="s">
        <v>3331</v>
      </c>
      <c r="B60" s="2" t="s">
        <v>77</v>
      </c>
      <c r="C60" s="4">
        <v>45968</v>
      </c>
      <c r="D60" s="4">
        <v>45998</v>
      </c>
      <c r="E60" s="2" t="s">
        <v>293</v>
      </c>
      <c r="F60" s="2"/>
      <c r="G60" s="2" t="s">
        <v>21</v>
      </c>
      <c r="H60" s="2">
        <v>540.70000000000005</v>
      </c>
      <c r="I60" s="2">
        <v>27.04</v>
      </c>
      <c r="J60" s="2">
        <v>567.74</v>
      </c>
      <c r="K60" s="2">
        <v>567.74</v>
      </c>
      <c r="L60" s="2" t="s">
        <v>22</v>
      </c>
      <c r="M60" s="2" t="s">
        <v>3844</v>
      </c>
      <c r="N60" s="2" t="s">
        <v>3843</v>
      </c>
    </row>
    <row r="61" spans="1:14" x14ac:dyDescent="0.25">
      <c r="A61" s="2" t="s">
        <v>3323</v>
      </c>
      <c r="B61" s="2" t="s">
        <v>313</v>
      </c>
      <c r="C61" s="4">
        <v>45968</v>
      </c>
      <c r="D61" s="4">
        <v>45968</v>
      </c>
      <c r="E61" s="2" t="s">
        <v>311</v>
      </c>
      <c r="F61" s="2"/>
      <c r="G61" s="2" t="s">
        <v>74</v>
      </c>
      <c r="H61" s="2">
        <v>3079.93</v>
      </c>
      <c r="I61" s="2"/>
      <c r="J61" s="2">
        <v>3079.93</v>
      </c>
      <c r="K61" s="2">
        <v>2183</v>
      </c>
      <c r="L61" s="2" t="s">
        <v>51</v>
      </c>
      <c r="M61" s="2" t="s">
        <v>3844</v>
      </c>
      <c r="N61" s="2" t="s">
        <v>3843</v>
      </c>
    </row>
    <row r="62" spans="1:14" x14ac:dyDescent="0.25">
      <c r="A62" s="2" t="s">
        <v>3332</v>
      </c>
      <c r="B62" s="2" t="s">
        <v>64</v>
      </c>
      <c r="C62" s="4">
        <v>45967</v>
      </c>
      <c r="D62" s="4">
        <v>45997</v>
      </c>
      <c r="E62" s="2" t="s">
        <v>291</v>
      </c>
      <c r="F62" s="2"/>
      <c r="G62" s="2" t="s">
        <v>21</v>
      </c>
      <c r="H62" s="2">
        <v>795.76</v>
      </c>
      <c r="I62" s="2">
        <v>39.79</v>
      </c>
      <c r="J62" s="2">
        <v>835.55</v>
      </c>
      <c r="K62" s="2">
        <v>835.55</v>
      </c>
      <c r="L62" s="2" t="s">
        <v>22</v>
      </c>
      <c r="M62" s="2" t="s">
        <v>3844</v>
      </c>
      <c r="N62" s="2" t="s">
        <v>3843</v>
      </c>
    </row>
    <row r="63" spans="1:14" ht="30" x14ac:dyDescent="0.25">
      <c r="A63" s="2" t="s">
        <v>3286</v>
      </c>
      <c r="B63" s="2" t="s">
        <v>4221</v>
      </c>
      <c r="C63" s="4">
        <v>45966</v>
      </c>
      <c r="D63" s="4">
        <v>45996</v>
      </c>
      <c r="E63" s="2" t="s">
        <v>402</v>
      </c>
      <c r="F63" s="2"/>
      <c r="G63" s="2" t="s">
        <v>74</v>
      </c>
      <c r="H63" s="2">
        <v>260</v>
      </c>
      <c r="I63" s="2">
        <v>13</v>
      </c>
      <c r="J63" s="2">
        <v>273</v>
      </c>
      <c r="K63" s="2">
        <v>273</v>
      </c>
      <c r="L63" s="2" t="s">
        <v>22</v>
      </c>
      <c r="M63" s="2" t="s">
        <v>3844</v>
      </c>
      <c r="N63" s="2" t="s">
        <v>3843</v>
      </c>
    </row>
    <row r="64" spans="1:14" ht="30" x14ac:dyDescent="0.25">
      <c r="A64" s="2" t="s">
        <v>3341</v>
      </c>
      <c r="B64" s="2" t="s">
        <v>4206</v>
      </c>
      <c r="C64" s="4">
        <v>45966</v>
      </c>
      <c r="D64" s="4">
        <v>45996</v>
      </c>
      <c r="E64" s="2" t="s">
        <v>272</v>
      </c>
      <c r="F64" s="2"/>
      <c r="G64" s="2" t="s">
        <v>36</v>
      </c>
      <c r="H64" s="2">
        <v>947.91</v>
      </c>
      <c r="I64" s="2">
        <v>47.4</v>
      </c>
      <c r="J64" s="2">
        <v>995.31</v>
      </c>
      <c r="K64" s="2">
        <v>995.31</v>
      </c>
      <c r="L64" s="2" t="s">
        <v>22</v>
      </c>
      <c r="M64" s="2" t="s">
        <v>3844</v>
      </c>
      <c r="N64" s="2" t="s">
        <v>3843</v>
      </c>
    </row>
    <row r="65" spans="1:14" x14ac:dyDescent="0.25">
      <c r="A65" s="2" t="s">
        <v>3339</v>
      </c>
      <c r="B65" s="2" t="s">
        <v>64</v>
      </c>
      <c r="C65" s="4">
        <v>45966</v>
      </c>
      <c r="D65" s="4">
        <v>45996</v>
      </c>
      <c r="E65" s="2" t="s">
        <v>276</v>
      </c>
      <c r="F65" s="2"/>
      <c r="G65" s="2" t="s">
        <v>74</v>
      </c>
      <c r="H65" s="2">
        <v>429.76</v>
      </c>
      <c r="I65" s="2">
        <v>55.87</v>
      </c>
      <c r="J65" s="2">
        <v>485.63</v>
      </c>
      <c r="K65" s="2">
        <v>485.63</v>
      </c>
      <c r="L65" s="2" t="s">
        <v>22</v>
      </c>
      <c r="M65" s="2" t="s">
        <v>3844</v>
      </c>
      <c r="N65" s="2" t="s">
        <v>3843</v>
      </c>
    </row>
    <row r="66" spans="1:14" x14ac:dyDescent="0.25">
      <c r="A66" s="2" t="s">
        <v>3316</v>
      </c>
      <c r="B66" s="2" t="s">
        <v>64</v>
      </c>
      <c r="C66" s="4">
        <v>45966</v>
      </c>
      <c r="D66" s="4">
        <v>45996</v>
      </c>
      <c r="E66" s="2" t="s">
        <v>329</v>
      </c>
      <c r="F66" s="2"/>
      <c r="G66" s="2" t="s">
        <v>74</v>
      </c>
      <c r="H66" s="2">
        <v>2934</v>
      </c>
      <c r="I66" s="2">
        <v>381.42</v>
      </c>
      <c r="J66" s="2">
        <v>3315.42</v>
      </c>
      <c r="K66" s="2">
        <v>3315.42</v>
      </c>
      <c r="L66" s="2" t="s">
        <v>22</v>
      </c>
      <c r="M66" s="2" t="s">
        <v>3844</v>
      </c>
      <c r="N66" s="2" t="s">
        <v>3843</v>
      </c>
    </row>
    <row r="67" spans="1:14" x14ac:dyDescent="0.25">
      <c r="A67" s="2" t="s">
        <v>3326</v>
      </c>
      <c r="B67" s="2" t="s">
        <v>64</v>
      </c>
      <c r="C67" s="4">
        <v>45966</v>
      </c>
      <c r="D67" s="4">
        <v>45996</v>
      </c>
      <c r="E67" s="2" t="s">
        <v>308</v>
      </c>
      <c r="F67" s="2"/>
      <c r="G67" s="2" t="s">
        <v>74</v>
      </c>
      <c r="H67" s="2">
        <v>795.76</v>
      </c>
      <c r="I67" s="2">
        <v>103.45</v>
      </c>
      <c r="J67" s="2">
        <v>899.21</v>
      </c>
      <c r="K67" s="2">
        <v>899.21</v>
      </c>
      <c r="L67" s="2" t="s">
        <v>22</v>
      </c>
      <c r="M67" s="2" t="s">
        <v>3844</v>
      </c>
      <c r="N67" s="2" t="s">
        <v>3843</v>
      </c>
    </row>
    <row r="68" spans="1:14" x14ac:dyDescent="0.25">
      <c r="A68" s="2" t="s">
        <v>3264</v>
      </c>
      <c r="B68" s="2" t="s">
        <v>472</v>
      </c>
      <c r="C68" s="4">
        <v>45966</v>
      </c>
      <c r="D68" s="4">
        <v>45981</v>
      </c>
      <c r="E68" s="2" t="s">
        <v>470</v>
      </c>
      <c r="F68" s="2"/>
      <c r="G68" s="2" t="s">
        <v>36</v>
      </c>
      <c r="H68" s="2">
        <v>256.17</v>
      </c>
      <c r="I68" s="2">
        <v>15.61</v>
      </c>
      <c r="J68" s="2">
        <v>271.77999999999997</v>
      </c>
      <c r="K68" s="2">
        <v>271.77999999999997</v>
      </c>
      <c r="L68" s="2" t="s">
        <v>22</v>
      </c>
      <c r="M68" s="2" t="s">
        <v>3844</v>
      </c>
      <c r="N68" s="2" t="s">
        <v>3843</v>
      </c>
    </row>
    <row r="69" spans="1:14" ht="45" x14ac:dyDescent="0.25">
      <c r="A69" s="2" t="s">
        <v>3327</v>
      </c>
      <c r="B69" s="2" t="s">
        <v>4220</v>
      </c>
      <c r="C69" s="4">
        <v>45966</v>
      </c>
      <c r="D69" s="4">
        <v>45996</v>
      </c>
      <c r="E69" s="2" t="s">
        <v>305</v>
      </c>
      <c r="F69" s="2"/>
      <c r="G69" s="2" t="s">
        <v>180</v>
      </c>
      <c r="H69" s="2">
        <v>4248.8900000000003</v>
      </c>
      <c r="I69" s="2"/>
      <c r="J69" s="2">
        <v>4248.8900000000003</v>
      </c>
      <c r="K69" s="2">
        <v>3017.18</v>
      </c>
      <c r="L69" s="2" t="s">
        <v>51</v>
      </c>
      <c r="M69" s="2" t="s">
        <v>3844</v>
      </c>
      <c r="N69" s="2" t="s">
        <v>3843</v>
      </c>
    </row>
    <row r="70" spans="1:14" x14ac:dyDescent="0.25">
      <c r="A70" s="2" t="s">
        <v>3330</v>
      </c>
      <c r="B70" s="2" t="s">
        <v>3908</v>
      </c>
      <c r="C70" s="4">
        <v>45964</v>
      </c>
      <c r="D70" s="4">
        <v>45994</v>
      </c>
      <c r="E70" s="2" t="s">
        <v>299</v>
      </c>
      <c r="F70" s="2"/>
      <c r="G70" s="2" t="s">
        <v>74</v>
      </c>
      <c r="H70" s="2">
        <v>565.09</v>
      </c>
      <c r="I70" s="2">
        <v>28.25</v>
      </c>
      <c r="J70" s="2">
        <v>593.34</v>
      </c>
      <c r="K70" s="2">
        <v>593.34</v>
      </c>
      <c r="L70" s="2" t="s">
        <v>22</v>
      </c>
      <c r="M70" s="2" t="s">
        <v>3844</v>
      </c>
      <c r="N70" s="2" t="s">
        <v>3843</v>
      </c>
    </row>
    <row r="71" spans="1:14" ht="30" x14ac:dyDescent="0.25">
      <c r="A71" s="2" t="s">
        <v>3328</v>
      </c>
      <c r="B71" s="2" t="s">
        <v>39</v>
      </c>
      <c r="C71" s="4">
        <v>45964</v>
      </c>
      <c r="D71" s="4">
        <v>45994</v>
      </c>
      <c r="E71" s="2" t="s">
        <v>303</v>
      </c>
      <c r="F71" s="2"/>
      <c r="G71" s="2" t="s">
        <v>36</v>
      </c>
      <c r="H71" s="2">
        <v>5100.38</v>
      </c>
      <c r="I71" s="2">
        <v>255.02</v>
      </c>
      <c r="J71" s="2">
        <v>5355.4</v>
      </c>
      <c r="K71" s="2">
        <v>5355.4</v>
      </c>
      <c r="L71" s="2" t="s">
        <v>22</v>
      </c>
      <c r="M71" s="2" t="s">
        <v>3844</v>
      </c>
      <c r="N71" s="2" t="s">
        <v>3843</v>
      </c>
    </row>
    <row r="72" spans="1:14" ht="30" x14ac:dyDescent="0.25">
      <c r="A72" s="2" t="s">
        <v>3329</v>
      </c>
      <c r="B72" s="2" t="s">
        <v>20</v>
      </c>
      <c r="C72" s="4">
        <v>45964</v>
      </c>
      <c r="D72" s="4">
        <v>45994</v>
      </c>
      <c r="E72" s="2" t="s">
        <v>301</v>
      </c>
      <c r="F72" s="2"/>
      <c r="G72" s="2" t="s">
        <v>36</v>
      </c>
      <c r="H72" s="2">
        <v>475.48</v>
      </c>
      <c r="I72" s="2">
        <v>23.77</v>
      </c>
      <c r="J72" s="2">
        <v>499.25</v>
      </c>
      <c r="K72" s="2">
        <v>499.25</v>
      </c>
      <c r="L72" s="2" t="s">
        <v>22</v>
      </c>
      <c r="M72" s="2" t="s">
        <v>3844</v>
      </c>
      <c r="N72" s="2" t="s">
        <v>3843</v>
      </c>
    </row>
    <row r="73" spans="1:14" ht="30" x14ac:dyDescent="0.25">
      <c r="A73" s="2" t="s">
        <v>3321</v>
      </c>
      <c r="B73" s="2" t="s">
        <v>576</v>
      </c>
      <c r="C73" s="4">
        <v>45964</v>
      </c>
      <c r="D73" s="4">
        <v>45994</v>
      </c>
      <c r="E73" s="2" t="s">
        <v>317</v>
      </c>
      <c r="F73" s="2"/>
      <c r="G73" s="2" t="s">
        <v>36</v>
      </c>
      <c r="H73" s="2">
        <v>20.95</v>
      </c>
      <c r="I73" s="2">
        <v>1.05</v>
      </c>
      <c r="J73" s="2">
        <v>22</v>
      </c>
      <c r="K73" s="2">
        <v>22</v>
      </c>
      <c r="L73" s="2" t="s">
        <v>22</v>
      </c>
      <c r="M73" s="2" t="s">
        <v>3844</v>
      </c>
      <c r="N73" s="2" t="s">
        <v>3843</v>
      </c>
    </row>
    <row r="74" spans="1:14" ht="30" x14ac:dyDescent="0.25">
      <c r="A74" s="2" t="s">
        <v>3274</v>
      </c>
      <c r="B74" s="2" t="s">
        <v>450</v>
      </c>
      <c r="C74" s="4">
        <v>45964</v>
      </c>
      <c r="D74" s="4">
        <v>45994</v>
      </c>
      <c r="E74" s="2" t="s">
        <v>448</v>
      </c>
      <c r="F74" s="2"/>
      <c r="G74" s="2" t="s">
        <v>40</v>
      </c>
      <c r="H74" s="2">
        <v>5181.7</v>
      </c>
      <c r="I74" s="2">
        <v>673.62</v>
      </c>
      <c r="J74" s="2">
        <v>5855.32</v>
      </c>
      <c r="K74" s="2">
        <v>5855.32</v>
      </c>
      <c r="L74" s="2" t="s">
        <v>22</v>
      </c>
      <c r="M74" s="2" t="s">
        <v>3844</v>
      </c>
      <c r="N74" s="2" t="s">
        <v>3843</v>
      </c>
    </row>
    <row r="75" spans="1:14" x14ac:dyDescent="0.25">
      <c r="A75" s="2" t="s">
        <v>3261</v>
      </c>
      <c r="B75" s="2" t="s">
        <v>141</v>
      </c>
      <c r="C75" s="4">
        <v>45964</v>
      </c>
      <c r="D75" s="4">
        <v>46009</v>
      </c>
      <c r="E75" s="2" t="s">
        <v>477</v>
      </c>
      <c r="F75" s="2"/>
      <c r="G75" s="2" t="s">
        <v>21</v>
      </c>
      <c r="H75" s="2">
        <v>1025.8900000000001</v>
      </c>
      <c r="I75" s="2"/>
      <c r="J75" s="2">
        <v>1025.8900000000001</v>
      </c>
      <c r="K75" s="2">
        <v>730.93</v>
      </c>
      <c r="L75" s="2" t="s">
        <v>51</v>
      </c>
      <c r="M75" s="2" t="s">
        <v>3844</v>
      </c>
      <c r="N75" s="2" t="s">
        <v>3843</v>
      </c>
    </row>
    <row r="76" spans="1:14" x14ac:dyDescent="0.25">
      <c r="A76" s="2" t="s">
        <v>3235</v>
      </c>
      <c r="B76" s="2" t="s">
        <v>141</v>
      </c>
      <c r="C76" s="4">
        <v>45964</v>
      </c>
      <c r="D76" s="4">
        <v>46009</v>
      </c>
      <c r="E76" s="2" t="s">
        <v>535</v>
      </c>
      <c r="F76" s="2"/>
      <c r="G76" s="2" t="s">
        <v>21</v>
      </c>
      <c r="H76" s="2">
        <v>3428.55</v>
      </c>
      <c r="I76" s="2"/>
      <c r="J76" s="2">
        <v>3428.55</v>
      </c>
      <c r="K76" s="2">
        <v>2442.7800000000002</v>
      </c>
      <c r="L76" s="2" t="s">
        <v>51</v>
      </c>
      <c r="M76" s="2" t="s">
        <v>3844</v>
      </c>
      <c r="N76" s="2" t="s">
        <v>3843</v>
      </c>
    </row>
    <row r="77" spans="1:14" x14ac:dyDescent="0.25">
      <c r="A77" s="2" t="s">
        <v>3272</v>
      </c>
      <c r="B77" s="2" t="s">
        <v>141</v>
      </c>
      <c r="C77" s="4">
        <v>45964</v>
      </c>
      <c r="D77" s="4">
        <v>46009</v>
      </c>
      <c r="E77" s="2" t="s">
        <v>453</v>
      </c>
      <c r="F77" s="2"/>
      <c r="G77" s="2" t="s">
        <v>21</v>
      </c>
      <c r="H77" s="2">
        <v>39.61</v>
      </c>
      <c r="I77" s="2"/>
      <c r="J77" s="2">
        <v>39.61</v>
      </c>
      <c r="K77" s="2">
        <v>28.22</v>
      </c>
      <c r="L77" s="2" t="s">
        <v>51</v>
      </c>
      <c r="M77" s="2" t="s">
        <v>3844</v>
      </c>
      <c r="N77" s="2" t="s">
        <v>3843</v>
      </c>
    </row>
    <row r="78" spans="1:14" x14ac:dyDescent="0.25">
      <c r="A78" s="2" t="s">
        <v>3314</v>
      </c>
      <c r="B78" s="2" t="s">
        <v>141</v>
      </c>
      <c r="C78" s="4">
        <v>45964</v>
      </c>
      <c r="D78" s="4">
        <v>46009</v>
      </c>
      <c r="E78" s="2" t="s">
        <v>334</v>
      </c>
      <c r="F78" s="2"/>
      <c r="G78" s="2" t="s">
        <v>21</v>
      </c>
      <c r="H78" s="2">
        <v>259.54000000000002</v>
      </c>
      <c r="I78" s="2"/>
      <c r="J78" s="2">
        <v>259.54000000000002</v>
      </c>
      <c r="K78" s="2">
        <v>184.92</v>
      </c>
      <c r="L78" s="2" t="s">
        <v>51</v>
      </c>
      <c r="M78" s="2" t="s">
        <v>3844</v>
      </c>
      <c r="N78" s="2" t="s">
        <v>3843</v>
      </c>
    </row>
    <row r="79" spans="1:14" x14ac:dyDescent="0.25">
      <c r="A79" s="2" t="s">
        <v>3313</v>
      </c>
      <c r="B79" s="2" t="s">
        <v>141</v>
      </c>
      <c r="C79" s="4">
        <v>45964</v>
      </c>
      <c r="D79" s="4">
        <v>46009</v>
      </c>
      <c r="E79" s="2" t="s">
        <v>336</v>
      </c>
      <c r="F79" s="2"/>
      <c r="G79" s="2" t="s">
        <v>21</v>
      </c>
      <c r="H79" s="2">
        <v>1430.98</v>
      </c>
      <c r="I79" s="2"/>
      <c r="J79" s="2">
        <v>1430.98</v>
      </c>
      <c r="K79" s="2">
        <v>1019.55</v>
      </c>
      <c r="L79" s="2" t="s">
        <v>51</v>
      </c>
      <c r="M79" s="2" t="s">
        <v>3844</v>
      </c>
      <c r="N79" s="2" t="s">
        <v>3843</v>
      </c>
    </row>
    <row r="80" spans="1:14" x14ac:dyDescent="0.25">
      <c r="A80" s="2" t="s">
        <v>3318</v>
      </c>
      <c r="B80" s="2" t="s">
        <v>141</v>
      </c>
      <c r="C80" s="4">
        <v>45964</v>
      </c>
      <c r="D80" s="4">
        <v>46009</v>
      </c>
      <c r="E80" s="2" t="s">
        <v>323</v>
      </c>
      <c r="F80" s="2"/>
      <c r="G80" s="2" t="s">
        <v>21</v>
      </c>
      <c r="H80" s="2">
        <v>4151.54</v>
      </c>
      <c r="I80" s="2"/>
      <c r="J80" s="2">
        <v>4151.54</v>
      </c>
      <c r="K80" s="2">
        <v>2957.9</v>
      </c>
      <c r="L80" s="2" t="s">
        <v>51</v>
      </c>
      <c r="M80" s="2" t="s">
        <v>3844</v>
      </c>
      <c r="N80" s="2" t="s">
        <v>3843</v>
      </c>
    </row>
    <row r="81" spans="1:14" x14ac:dyDescent="0.25">
      <c r="A81" s="2" t="s">
        <v>3317</v>
      </c>
      <c r="B81" s="2" t="s">
        <v>141</v>
      </c>
      <c r="C81" s="4">
        <v>45964</v>
      </c>
      <c r="D81" s="4">
        <v>46009</v>
      </c>
      <c r="E81" s="2" t="s">
        <v>325</v>
      </c>
      <c r="F81" s="2"/>
      <c r="G81" s="2" t="s">
        <v>21</v>
      </c>
      <c r="H81" s="2">
        <v>1801.49</v>
      </c>
      <c r="I81" s="2"/>
      <c r="J81" s="2">
        <v>1801.49</v>
      </c>
      <c r="K81" s="2">
        <v>1283.53</v>
      </c>
      <c r="L81" s="2" t="s">
        <v>51</v>
      </c>
      <c r="M81" s="2" t="s">
        <v>3844</v>
      </c>
      <c r="N81" s="2" t="s">
        <v>3843</v>
      </c>
    </row>
    <row r="82" spans="1:14" x14ac:dyDescent="0.25">
      <c r="A82" s="2" t="s">
        <v>3319</v>
      </c>
      <c r="B82" s="2" t="s">
        <v>141</v>
      </c>
      <c r="C82" s="4">
        <v>45964</v>
      </c>
      <c r="D82" s="4">
        <v>46009</v>
      </c>
      <c r="E82" s="2" t="s">
        <v>321</v>
      </c>
      <c r="F82" s="2"/>
      <c r="G82" s="2" t="s">
        <v>21</v>
      </c>
      <c r="H82" s="2">
        <v>2075.77</v>
      </c>
      <c r="I82" s="2"/>
      <c r="J82" s="2">
        <v>2075.77</v>
      </c>
      <c r="K82" s="2">
        <v>1478.95</v>
      </c>
      <c r="L82" s="2" t="s">
        <v>51</v>
      </c>
      <c r="M82" s="2" t="s">
        <v>3844</v>
      </c>
      <c r="N82" s="2" t="s">
        <v>3843</v>
      </c>
    </row>
    <row r="83" spans="1:14" ht="30" x14ac:dyDescent="0.25">
      <c r="A83" s="2" t="s">
        <v>3205</v>
      </c>
      <c r="B83" s="2" t="s">
        <v>4219</v>
      </c>
      <c r="C83" s="4">
        <v>45961</v>
      </c>
      <c r="D83" s="4">
        <v>45961</v>
      </c>
      <c r="E83" s="2" t="s">
        <v>597</v>
      </c>
      <c r="F83" s="2"/>
      <c r="G83" s="2" t="s">
        <v>40</v>
      </c>
      <c r="H83" s="2">
        <v>6142.63</v>
      </c>
      <c r="I83" s="2"/>
      <c r="J83" s="2">
        <v>6142.63</v>
      </c>
      <c r="K83" s="2">
        <v>4420.59</v>
      </c>
      <c r="L83" s="2" t="s">
        <v>51</v>
      </c>
      <c r="M83" s="2" t="s">
        <v>3844</v>
      </c>
      <c r="N83" s="2" t="s">
        <v>3843</v>
      </c>
    </row>
    <row r="84" spans="1:14" ht="60" x14ac:dyDescent="0.25">
      <c r="A84" s="2" t="s">
        <v>2918</v>
      </c>
      <c r="B84" s="2" t="s">
        <v>4095</v>
      </c>
      <c r="C84" s="4">
        <v>45961</v>
      </c>
      <c r="D84" s="4">
        <v>45991</v>
      </c>
      <c r="E84" s="2" t="s">
        <v>1133</v>
      </c>
      <c r="F84" s="2"/>
      <c r="G84" s="2" t="s">
        <v>180</v>
      </c>
      <c r="H84" s="2">
        <v>17091.439999999999</v>
      </c>
      <c r="I84" s="2"/>
      <c r="J84" s="2">
        <v>17091.439999999999</v>
      </c>
      <c r="K84" s="2">
        <v>12300</v>
      </c>
      <c r="L84" s="2" t="s">
        <v>51</v>
      </c>
      <c r="M84" s="2" t="s">
        <v>3844</v>
      </c>
      <c r="N84" s="2" t="s">
        <v>3843</v>
      </c>
    </row>
    <row r="85" spans="1:14" ht="60" x14ac:dyDescent="0.25">
      <c r="A85" s="2" t="s">
        <v>2933</v>
      </c>
      <c r="B85" s="2" t="s">
        <v>4095</v>
      </c>
      <c r="C85" s="4">
        <v>45961</v>
      </c>
      <c r="D85" s="4">
        <v>45991</v>
      </c>
      <c r="E85" s="2" t="s">
        <v>1110</v>
      </c>
      <c r="F85" s="2"/>
      <c r="G85" s="2" t="s">
        <v>180</v>
      </c>
      <c r="H85" s="2">
        <v>17091.439999999999</v>
      </c>
      <c r="I85" s="2"/>
      <c r="J85" s="2">
        <v>17091.439999999999</v>
      </c>
      <c r="K85" s="2">
        <v>12300</v>
      </c>
      <c r="L85" s="2" t="s">
        <v>51</v>
      </c>
      <c r="M85" s="2" t="s">
        <v>3844</v>
      </c>
      <c r="N85" s="2" t="s">
        <v>3843</v>
      </c>
    </row>
    <row r="86" spans="1:14" ht="30" x14ac:dyDescent="0.25">
      <c r="A86" s="2" t="s">
        <v>2881</v>
      </c>
      <c r="B86" s="2" t="s">
        <v>4218</v>
      </c>
      <c r="C86" s="4">
        <v>45960</v>
      </c>
      <c r="D86" s="4">
        <v>46020</v>
      </c>
      <c r="E86" s="2" t="s">
        <v>1199</v>
      </c>
      <c r="F86" s="2"/>
      <c r="G86" s="2" t="s">
        <v>21</v>
      </c>
      <c r="H86" s="2">
        <v>43730.44</v>
      </c>
      <c r="I86" s="2">
        <v>5684.96</v>
      </c>
      <c r="J86" s="2">
        <v>49415.4</v>
      </c>
      <c r="K86" s="2">
        <v>49415.4</v>
      </c>
      <c r="L86" s="2" t="s">
        <v>22</v>
      </c>
      <c r="M86" s="2" t="s">
        <v>3844</v>
      </c>
      <c r="N86" s="2" t="s">
        <v>3843</v>
      </c>
    </row>
    <row r="87" spans="1:14" ht="30" x14ac:dyDescent="0.25">
      <c r="A87" s="2" t="s">
        <v>3157</v>
      </c>
      <c r="B87" s="2" t="s">
        <v>39</v>
      </c>
      <c r="C87" s="4">
        <v>45960</v>
      </c>
      <c r="D87" s="4">
        <v>45990</v>
      </c>
      <c r="E87" s="2" t="s">
        <v>697</v>
      </c>
      <c r="F87" s="2"/>
      <c r="G87" s="2" t="s">
        <v>36</v>
      </c>
      <c r="H87" s="2">
        <v>214.2</v>
      </c>
      <c r="I87" s="2">
        <v>10.71</v>
      </c>
      <c r="J87" s="2">
        <v>224.91</v>
      </c>
      <c r="K87" s="2">
        <v>224.91</v>
      </c>
      <c r="L87" s="2" t="s">
        <v>22</v>
      </c>
      <c r="M87" s="2" t="s">
        <v>3844</v>
      </c>
      <c r="N87" s="2" t="s">
        <v>3843</v>
      </c>
    </row>
    <row r="88" spans="1:14" ht="30" x14ac:dyDescent="0.25">
      <c r="A88" s="2" t="s">
        <v>3283</v>
      </c>
      <c r="B88" s="2" t="s">
        <v>104</v>
      </c>
      <c r="C88" s="4">
        <v>45960</v>
      </c>
      <c r="D88" s="4">
        <v>45990</v>
      </c>
      <c r="E88" s="2" t="s">
        <v>414</v>
      </c>
      <c r="F88" s="2"/>
      <c r="G88" s="2" t="s">
        <v>74</v>
      </c>
      <c r="H88" s="2">
        <v>168.59</v>
      </c>
      <c r="I88" s="2">
        <v>8.43</v>
      </c>
      <c r="J88" s="2">
        <v>177.02</v>
      </c>
      <c r="K88" s="2">
        <v>177.02</v>
      </c>
      <c r="L88" s="2" t="s">
        <v>22</v>
      </c>
      <c r="M88" s="2" t="s">
        <v>3844</v>
      </c>
      <c r="N88" s="2" t="s">
        <v>3843</v>
      </c>
    </row>
    <row r="89" spans="1:14" ht="30" x14ac:dyDescent="0.25">
      <c r="A89" s="2" t="s">
        <v>3293</v>
      </c>
      <c r="B89" s="2" t="s">
        <v>104</v>
      </c>
      <c r="C89" s="4">
        <v>45960</v>
      </c>
      <c r="D89" s="4">
        <v>45990</v>
      </c>
      <c r="E89" s="2" t="s">
        <v>388</v>
      </c>
      <c r="F89" s="2"/>
      <c r="G89" s="2" t="s">
        <v>40</v>
      </c>
      <c r="H89" s="2">
        <v>164.89</v>
      </c>
      <c r="I89" s="2">
        <v>8.24</v>
      </c>
      <c r="J89" s="2">
        <v>173.13</v>
      </c>
      <c r="K89" s="2">
        <v>173.13</v>
      </c>
      <c r="L89" s="2" t="s">
        <v>22</v>
      </c>
      <c r="M89" s="2" t="s">
        <v>3844</v>
      </c>
      <c r="N89" s="2" t="s">
        <v>3843</v>
      </c>
    </row>
    <row r="90" spans="1:14" ht="30" x14ac:dyDescent="0.25">
      <c r="A90" s="2" t="s">
        <v>3280</v>
      </c>
      <c r="B90" s="2" t="s">
        <v>80</v>
      </c>
      <c r="C90" s="4">
        <v>45960</v>
      </c>
      <c r="D90" s="4">
        <v>46020</v>
      </c>
      <c r="E90" s="2" t="s">
        <v>430</v>
      </c>
      <c r="F90" s="2"/>
      <c r="G90" s="2" t="s">
        <v>36</v>
      </c>
      <c r="H90" s="2">
        <v>1173.25</v>
      </c>
      <c r="I90" s="2">
        <v>58.66</v>
      </c>
      <c r="J90" s="2">
        <v>1231.9100000000001</v>
      </c>
      <c r="K90" s="2">
        <v>1231.9100000000001</v>
      </c>
      <c r="L90" s="2" t="s">
        <v>22</v>
      </c>
      <c r="M90" s="2" t="s">
        <v>3844</v>
      </c>
      <c r="N90" s="2" t="s">
        <v>3843</v>
      </c>
    </row>
    <row r="91" spans="1:14" x14ac:dyDescent="0.25">
      <c r="A91" s="2" t="s">
        <v>3199</v>
      </c>
      <c r="B91" s="2" t="s">
        <v>612</v>
      </c>
      <c r="C91" s="4">
        <v>45960</v>
      </c>
      <c r="D91" s="4">
        <v>45990</v>
      </c>
      <c r="E91" s="2" t="s">
        <v>610</v>
      </c>
      <c r="F91" s="2"/>
      <c r="G91" s="2" t="s">
        <v>21</v>
      </c>
      <c r="H91" s="2">
        <v>178.22</v>
      </c>
      <c r="I91" s="2">
        <v>23.17</v>
      </c>
      <c r="J91" s="2">
        <v>201.39</v>
      </c>
      <c r="K91" s="2">
        <v>201.39</v>
      </c>
      <c r="L91" s="2" t="s">
        <v>22</v>
      </c>
      <c r="M91" s="2" t="s">
        <v>3844</v>
      </c>
      <c r="N91" s="2" t="s">
        <v>3843</v>
      </c>
    </row>
    <row r="92" spans="1:14" x14ac:dyDescent="0.25">
      <c r="A92" s="2" t="s">
        <v>3153</v>
      </c>
      <c r="B92" s="2" t="s">
        <v>64</v>
      </c>
      <c r="C92" s="4">
        <v>45960</v>
      </c>
      <c r="D92" s="4">
        <v>45990</v>
      </c>
      <c r="E92" s="2" t="s">
        <v>703</v>
      </c>
      <c r="F92" s="2"/>
      <c r="G92" s="2" t="s">
        <v>36</v>
      </c>
      <c r="H92" s="2">
        <v>586.71</v>
      </c>
      <c r="I92" s="2">
        <v>76.27</v>
      </c>
      <c r="J92" s="2">
        <v>662.98</v>
      </c>
      <c r="K92" s="2">
        <v>662.98</v>
      </c>
      <c r="L92" s="2" t="s">
        <v>22</v>
      </c>
      <c r="M92" s="2" t="s">
        <v>3844</v>
      </c>
      <c r="N92" s="2" t="s">
        <v>3843</v>
      </c>
    </row>
    <row r="93" spans="1:14" ht="30" x14ac:dyDescent="0.25">
      <c r="A93" s="2" t="s">
        <v>3258</v>
      </c>
      <c r="B93" s="2" t="s">
        <v>26</v>
      </c>
      <c r="C93" s="4">
        <v>45960</v>
      </c>
      <c r="D93" s="4">
        <v>46020</v>
      </c>
      <c r="E93" s="2" t="s">
        <v>483</v>
      </c>
      <c r="F93" s="2"/>
      <c r="G93" s="2" t="s">
        <v>36</v>
      </c>
      <c r="H93" s="2">
        <v>765.02</v>
      </c>
      <c r="I93" s="2">
        <v>38.25</v>
      </c>
      <c r="J93" s="2">
        <v>803.27</v>
      </c>
      <c r="K93" s="2">
        <v>803.27</v>
      </c>
      <c r="L93" s="2" t="s">
        <v>22</v>
      </c>
      <c r="M93" s="2" t="s">
        <v>3844</v>
      </c>
      <c r="N93" s="2" t="s">
        <v>3843</v>
      </c>
    </row>
    <row r="94" spans="1:14" ht="30" x14ac:dyDescent="0.25">
      <c r="A94" s="2" t="s">
        <v>3322</v>
      </c>
      <c r="B94" s="2" t="s">
        <v>576</v>
      </c>
      <c r="C94" s="4">
        <v>45960</v>
      </c>
      <c r="D94" s="4">
        <v>45990</v>
      </c>
      <c r="E94" s="2" t="s">
        <v>317</v>
      </c>
      <c r="F94" s="2"/>
      <c r="G94" s="2" t="s">
        <v>36</v>
      </c>
      <c r="H94" s="2">
        <v>3441.47</v>
      </c>
      <c r="I94" s="2">
        <v>172.08</v>
      </c>
      <c r="J94" s="2">
        <v>3613.55</v>
      </c>
      <c r="K94" s="2">
        <v>3613.55</v>
      </c>
      <c r="L94" s="2" t="s">
        <v>22</v>
      </c>
      <c r="M94" s="2" t="s">
        <v>3844</v>
      </c>
      <c r="N94" s="2" t="s">
        <v>3843</v>
      </c>
    </row>
    <row r="95" spans="1:14" ht="30" x14ac:dyDescent="0.25">
      <c r="A95" s="2" t="s">
        <v>2993</v>
      </c>
      <c r="B95" s="2" t="s">
        <v>159</v>
      </c>
      <c r="C95" s="4">
        <v>45960</v>
      </c>
      <c r="D95" s="4">
        <v>46005</v>
      </c>
      <c r="E95" s="2" t="s">
        <v>1007</v>
      </c>
      <c r="F95" s="2"/>
      <c r="G95" s="2" t="s">
        <v>40</v>
      </c>
      <c r="H95" s="2">
        <v>2371.41</v>
      </c>
      <c r="I95" s="2"/>
      <c r="J95" s="2">
        <v>2371.41</v>
      </c>
      <c r="K95" s="2">
        <v>1701.41</v>
      </c>
      <c r="L95" s="2" t="s">
        <v>51</v>
      </c>
      <c r="M95" s="2" t="s">
        <v>3844</v>
      </c>
      <c r="N95" s="2" t="s">
        <v>3843</v>
      </c>
    </row>
    <row r="96" spans="1:14" ht="30" x14ac:dyDescent="0.25">
      <c r="A96" s="2" t="s">
        <v>3302</v>
      </c>
      <c r="B96" s="2" t="s">
        <v>159</v>
      </c>
      <c r="C96" s="4">
        <v>45960</v>
      </c>
      <c r="D96" s="4">
        <v>46005</v>
      </c>
      <c r="E96" s="2" t="s">
        <v>362</v>
      </c>
      <c r="F96" s="2"/>
      <c r="G96" s="2" t="s">
        <v>40</v>
      </c>
      <c r="H96" s="2">
        <v>7511.31</v>
      </c>
      <c r="I96" s="2"/>
      <c r="J96" s="2">
        <v>7511.31</v>
      </c>
      <c r="K96" s="2">
        <v>5389.12</v>
      </c>
      <c r="L96" s="2" t="s">
        <v>51</v>
      </c>
      <c r="M96" s="2" t="s">
        <v>3844</v>
      </c>
      <c r="N96" s="2" t="s">
        <v>3843</v>
      </c>
    </row>
    <row r="97" spans="1:14" ht="30" x14ac:dyDescent="0.25">
      <c r="A97" s="2" t="s">
        <v>2995</v>
      </c>
      <c r="B97" s="2" t="s">
        <v>159</v>
      </c>
      <c r="C97" s="4">
        <v>45960</v>
      </c>
      <c r="D97" s="4">
        <v>46005</v>
      </c>
      <c r="E97" s="2" t="s">
        <v>1005</v>
      </c>
      <c r="F97" s="2"/>
      <c r="G97" s="2" t="s">
        <v>40</v>
      </c>
      <c r="H97" s="2">
        <v>45887.66</v>
      </c>
      <c r="I97" s="2"/>
      <c r="J97" s="2">
        <v>45887.66</v>
      </c>
      <c r="K97" s="2">
        <v>32922.9</v>
      </c>
      <c r="L97" s="2" t="s">
        <v>51</v>
      </c>
      <c r="M97" s="2" t="s">
        <v>3844</v>
      </c>
      <c r="N97" s="2" t="s">
        <v>3843</v>
      </c>
    </row>
    <row r="98" spans="1:14" ht="30" x14ac:dyDescent="0.25">
      <c r="A98" s="2" t="s">
        <v>3106</v>
      </c>
      <c r="B98" s="2" t="s">
        <v>159</v>
      </c>
      <c r="C98" s="4">
        <v>45960</v>
      </c>
      <c r="D98" s="4">
        <v>46005</v>
      </c>
      <c r="E98" s="2" t="s">
        <v>795</v>
      </c>
      <c r="F98" s="2"/>
      <c r="G98" s="2" t="s">
        <v>40</v>
      </c>
      <c r="H98" s="2">
        <v>22128.67</v>
      </c>
      <c r="I98" s="2"/>
      <c r="J98" s="2">
        <v>22128.67</v>
      </c>
      <c r="K98" s="2">
        <v>15876.6</v>
      </c>
      <c r="L98" s="2" t="s">
        <v>51</v>
      </c>
      <c r="M98" s="2" t="s">
        <v>3844</v>
      </c>
      <c r="N98" s="2" t="s">
        <v>3843</v>
      </c>
    </row>
    <row r="99" spans="1:14" ht="30" x14ac:dyDescent="0.25">
      <c r="A99" s="2" t="s">
        <v>3242</v>
      </c>
      <c r="B99" s="2" t="s">
        <v>159</v>
      </c>
      <c r="C99" s="4">
        <v>45960</v>
      </c>
      <c r="D99" s="4">
        <v>46005</v>
      </c>
      <c r="E99" s="2" t="s">
        <v>519</v>
      </c>
      <c r="F99" s="2"/>
      <c r="G99" s="2" t="s">
        <v>40</v>
      </c>
      <c r="H99" s="2">
        <v>7267.56</v>
      </c>
      <c r="I99" s="2"/>
      <c r="J99" s="2">
        <v>7267.56</v>
      </c>
      <c r="K99" s="2">
        <v>5214.24</v>
      </c>
      <c r="L99" s="2" t="s">
        <v>51</v>
      </c>
      <c r="M99" s="2" t="s">
        <v>3844</v>
      </c>
      <c r="N99" s="2" t="s">
        <v>3843</v>
      </c>
    </row>
    <row r="100" spans="1:14" ht="30" x14ac:dyDescent="0.25">
      <c r="A100" s="2" t="s">
        <v>4167</v>
      </c>
      <c r="B100" s="2" t="s">
        <v>4183</v>
      </c>
      <c r="C100" s="2"/>
      <c r="D100" s="4">
        <v>45960</v>
      </c>
      <c r="E100" s="2" t="s">
        <v>827</v>
      </c>
      <c r="F100" s="2"/>
      <c r="G100" s="2" t="s">
        <v>36</v>
      </c>
      <c r="H100" s="2">
        <v>836.27</v>
      </c>
      <c r="I100" s="2"/>
      <c r="J100" s="2">
        <v>836.27</v>
      </c>
      <c r="K100" s="2">
        <v>600</v>
      </c>
      <c r="L100" s="2" t="s">
        <v>51</v>
      </c>
      <c r="M100" s="2" t="s">
        <v>3844</v>
      </c>
      <c r="N100" s="2" t="s">
        <v>4141</v>
      </c>
    </row>
    <row r="101" spans="1:14" x14ac:dyDescent="0.25">
      <c r="A101" s="2" t="s">
        <v>3320</v>
      </c>
      <c r="B101" s="2" t="s">
        <v>77</v>
      </c>
      <c r="C101" s="4">
        <v>45959</v>
      </c>
      <c r="D101" s="4">
        <v>45989</v>
      </c>
      <c r="E101" s="2" t="s">
        <v>319</v>
      </c>
      <c r="F101" s="2"/>
      <c r="G101" s="2" t="s">
        <v>36</v>
      </c>
      <c r="H101" s="2">
        <v>390.33</v>
      </c>
      <c r="I101" s="2">
        <v>19.52</v>
      </c>
      <c r="J101" s="2">
        <v>409.85</v>
      </c>
      <c r="K101" s="2">
        <v>409.85</v>
      </c>
      <c r="L101" s="2" t="s">
        <v>22</v>
      </c>
      <c r="M101" s="2" t="s">
        <v>3844</v>
      </c>
      <c r="N101" s="2" t="s">
        <v>3843</v>
      </c>
    </row>
    <row r="102" spans="1:14" x14ac:dyDescent="0.25">
      <c r="A102" s="2" t="s">
        <v>3252</v>
      </c>
      <c r="B102" s="2" t="s">
        <v>465</v>
      </c>
      <c r="C102" s="4">
        <v>45959</v>
      </c>
      <c r="D102" s="4">
        <v>45989</v>
      </c>
      <c r="E102" s="2" t="s">
        <v>496</v>
      </c>
      <c r="F102" s="2"/>
      <c r="G102" s="2" t="s">
        <v>21</v>
      </c>
      <c r="H102" s="2">
        <v>1759.61</v>
      </c>
      <c r="I102" s="2">
        <v>228.75</v>
      </c>
      <c r="J102" s="2">
        <v>1988.36</v>
      </c>
      <c r="K102" s="2">
        <v>1988.36</v>
      </c>
      <c r="L102" s="2" t="s">
        <v>22</v>
      </c>
      <c r="M102" s="2" t="s">
        <v>3844</v>
      </c>
      <c r="N102" s="2" t="s">
        <v>3843</v>
      </c>
    </row>
    <row r="103" spans="1:14" ht="30" x14ac:dyDescent="0.25">
      <c r="A103" s="2" t="s">
        <v>3311</v>
      </c>
      <c r="B103" s="2" t="s">
        <v>20</v>
      </c>
      <c r="C103" s="4">
        <v>45959</v>
      </c>
      <c r="D103" s="4">
        <v>46019</v>
      </c>
      <c r="E103" s="2" t="s">
        <v>338</v>
      </c>
      <c r="F103" s="2"/>
      <c r="G103" s="2" t="s">
        <v>21</v>
      </c>
      <c r="H103" s="2">
        <v>1306.8599999999999</v>
      </c>
      <c r="I103" s="2">
        <v>65.34</v>
      </c>
      <c r="J103" s="2">
        <v>1372.2</v>
      </c>
      <c r="K103" s="2">
        <v>1372.2</v>
      </c>
      <c r="L103" s="2" t="s">
        <v>22</v>
      </c>
      <c r="M103" s="2" t="s">
        <v>3844</v>
      </c>
      <c r="N103" s="2" t="s">
        <v>3843</v>
      </c>
    </row>
    <row r="104" spans="1:14" x14ac:dyDescent="0.25">
      <c r="A104" s="2" t="s">
        <v>4167</v>
      </c>
      <c r="B104" s="2" t="s">
        <v>714</v>
      </c>
      <c r="C104" s="2"/>
      <c r="D104" s="4">
        <v>45989</v>
      </c>
      <c r="E104" s="2" t="s">
        <v>712</v>
      </c>
      <c r="F104" s="2"/>
      <c r="G104" s="2" t="s">
        <v>21</v>
      </c>
      <c r="H104" s="2">
        <v>-1532.34</v>
      </c>
      <c r="I104" s="2"/>
      <c r="J104" s="2">
        <v>-1532.34</v>
      </c>
      <c r="K104" s="2">
        <v>-1099.4000000000001</v>
      </c>
      <c r="L104" s="2" t="s">
        <v>51</v>
      </c>
      <c r="M104" s="2" t="s">
        <v>3844</v>
      </c>
      <c r="N104" s="2" t="s">
        <v>3978</v>
      </c>
    </row>
    <row r="105" spans="1:14" x14ac:dyDescent="0.25">
      <c r="A105" s="2" t="s">
        <v>3307</v>
      </c>
      <c r="B105" s="2" t="s">
        <v>64</v>
      </c>
      <c r="C105" s="4">
        <v>45958</v>
      </c>
      <c r="D105" s="4">
        <v>45988</v>
      </c>
      <c r="E105" s="2" t="s">
        <v>349</v>
      </c>
      <c r="F105" s="2"/>
      <c r="G105" s="2" t="s">
        <v>21</v>
      </c>
      <c r="H105" s="2">
        <v>1421.52</v>
      </c>
      <c r="I105" s="2">
        <v>184.79</v>
      </c>
      <c r="J105" s="2">
        <v>1606.31</v>
      </c>
      <c r="K105" s="2">
        <v>1606.31</v>
      </c>
      <c r="L105" s="2" t="s">
        <v>22</v>
      </c>
      <c r="M105" s="2" t="s">
        <v>3844</v>
      </c>
      <c r="N105" s="2" t="s">
        <v>3843</v>
      </c>
    </row>
    <row r="106" spans="1:14" x14ac:dyDescent="0.25">
      <c r="A106" s="2" t="s">
        <v>3221</v>
      </c>
      <c r="B106" s="2" t="s">
        <v>54</v>
      </c>
      <c r="C106" s="4">
        <v>45958</v>
      </c>
      <c r="D106" s="4">
        <v>45988</v>
      </c>
      <c r="E106" s="2" t="s">
        <v>559</v>
      </c>
      <c r="F106" s="2"/>
      <c r="G106" s="2" t="s">
        <v>21</v>
      </c>
      <c r="H106" s="2">
        <v>20861.189999999999</v>
      </c>
      <c r="I106" s="2">
        <v>1043.06</v>
      </c>
      <c r="J106" s="2">
        <v>21904.25</v>
      </c>
      <c r="K106" s="2">
        <v>21904.25</v>
      </c>
      <c r="L106" s="2" t="s">
        <v>22</v>
      </c>
      <c r="M106" s="2" t="s">
        <v>3844</v>
      </c>
      <c r="N106" s="2" t="s">
        <v>3843</v>
      </c>
    </row>
    <row r="107" spans="1:14" ht="30" x14ac:dyDescent="0.25">
      <c r="A107" s="2" t="s">
        <v>3308</v>
      </c>
      <c r="B107" s="2" t="s">
        <v>104</v>
      </c>
      <c r="C107" s="4">
        <v>45958</v>
      </c>
      <c r="D107" s="4">
        <v>45988</v>
      </c>
      <c r="E107" s="2" t="s">
        <v>347</v>
      </c>
      <c r="F107" s="2"/>
      <c r="G107" s="2" t="s">
        <v>36</v>
      </c>
      <c r="H107" s="2">
        <v>2627.35</v>
      </c>
      <c r="I107" s="2">
        <v>131.37</v>
      </c>
      <c r="J107" s="2">
        <v>2758.72</v>
      </c>
      <c r="K107" s="2">
        <v>2758.72</v>
      </c>
      <c r="L107" s="2" t="s">
        <v>22</v>
      </c>
      <c r="M107" s="2" t="s">
        <v>3844</v>
      </c>
      <c r="N107" s="2" t="s">
        <v>3843</v>
      </c>
    </row>
    <row r="108" spans="1:14" ht="30" x14ac:dyDescent="0.25">
      <c r="A108" s="2" t="s">
        <v>3309</v>
      </c>
      <c r="B108" s="2" t="s">
        <v>104</v>
      </c>
      <c r="C108" s="4">
        <v>45958</v>
      </c>
      <c r="D108" s="4">
        <v>45988</v>
      </c>
      <c r="E108" s="2" t="s">
        <v>342</v>
      </c>
      <c r="F108" s="2"/>
      <c r="G108" s="2" t="s">
        <v>40</v>
      </c>
      <c r="H108" s="2">
        <v>147.72999999999999</v>
      </c>
      <c r="I108" s="2">
        <v>7.39</v>
      </c>
      <c r="J108" s="2">
        <v>155.12</v>
      </c>
      <c r="K108" s="2">
        <v>155.12</v>
      </c>
      <c r="L108" s="2" t="s">
        <v>22</v>
      </c>
      <c r="M108" s="2" t="s">
        <v>3844</v>
      </c>
      <c r="N108" s="2" t="s">
        <v>3843</v>
      </c>
    </row>
    <row r="109" spans="1:14" ht="30" x14ac:dyDescent="0.25">
      <c r="A109" s="2" t="s">
        <v>3306</v>
      </c>
      <c r="B109" s="2" t="s">
        <v>353</v>
      </c>
      <c r="C109" s="4">
        <v>45958</v>
      </c>
      <c r="D109" s="4">
        <v>45988</v>
      </c>
      <c r="E109" s="2" t="s">
        <v>351</v>
      </c>
      <c r="F109" s="2"/>
      <c r="G109" s="2" t="s">
        <v>40</v>
      </c>
      <c r="H109" s="2">
        <v>565</v>
      </c>
      <c r="I109" s="2">
        <v>28.25</v>
      </c>
      <c r="J109" s="2">
        <v>593.25</v>
      </c>
      <c r="K109" s="2">
        <v>593.25</v>
      </c>
      <c r="L109" s="2" t="s">
        <v>22</v>
      </c>
      <c r="M109" s="2" t="s">
        <v>3844</v>
      </c>
      <c r="N109" s="2" t="s">
        <v>3843</v>
      </c>
    </row>
    <row r="110" spans="1:14" x14ac:dyDescent="0.25">
      <c r="A110" s="2" t="s">
        <v>3200</v>
      </c>
      <c r="B110" s="2" t="s">
        <v>612</v>
      </c>
      <c r="C110" s="4">
        <v>45958</v>
      </c>
      <c r="D110" s="4">
        <v>45988</v>
      </c>
      <c r="E110" s="2" t="s">
        <v>610</v>
      </c>
      <c r="F110" s="2"/>
      <c r="G110" s="2" t="s">
        <v>21</v>
      </c>
      <c r="H110" s="2">
        <v>3396.62</v>
      </c>
      <c r="I110" s="2">
        <v>441.56</v>
      </c>
      <c r="J110" s="2">
        <v>3838.18</v>
      </c>
      <c r="K110" s="2">
        <v>3838.18</v>
      </c>
      <c r="L110" s="2" t="s">
        <v>22</v>
      </c>
      <c r="M110" s="2" t="s">
        <v>3844</v>
      </c>
      <c r="N110" s="2" t="s">
        <v>3843</v>
      </c>
    </row>
    <row r="111" spans="1:14" ht="30" x14ac:dyDescent="0.25">
      <c r="A111" s="2" t="s">
        <v>3303</v>
      </c>
      <c r="B111" s="2" t="s">
        <v>576</v>
      </c>
      <c r="C111" s="4">
        <v>45958</v>
      </c>
      <c r="D111" s="4">
        <v>45988</v>
      </c>
      <c r="E111" s="2" t="s">
        <v>360</v>
      </c>
      <c r="F111" s="2"/>
      <c r="G111" s="2" t="s">
        <v>74</v>
      </c>
      <c r="H111" s="2">
        <v>2239</v>
      </c>
      <c r="I111" s="2">
        <v>111.95</v>
      </c>
      <c r="J111" s="2">
        <v>2350.9499999999998</v>
      </c>
      <c r="K111" s="2">
        <v>2350.9499999999998</v>
      </c>
      <c r="L111" s="2" t="s">
        <v>22</v>
      </c>
      <c r="M111" s="2" t="s">
        <v>3844</v>
      </c>
      <c r="N111" s="2" t="s">
        <v>3843</v>
      </c>
    </row>
    <row r="112" spans="1:14" x14ac:dyDescent="0.25">
      <c r="A112" s="2" t="s">
        <v>3310</v>
      </c>
      <c r="B112" s="2" t="s">
        <v>146</v>
      </c>
      <c r="C112" s="4">
        <v>45958</v>
      </c>
      <c r="D112" s="4">
        <v>45988</v>
      </c>
      <c r="E112" s="2" t="s">
        <v>340</v>
      </c>
      <c r="F112" s="2"/>
      <c r="G112" s="2" t="s">
        <v>74</v>
      </c>
      <c r="H112" s="2">
        <v>8198</v>
      </c>
      <c r="I112" s="2">
        <v>409.9</v>
      </c>
      <c r="J112" s="2">
        <v>8607.9</v>
      </c>
      <c r="K112" s="2">
        <v>8607.9</v>
      </c>
      <c r="L112" s="2" t="s">
        <v>22</v>
      </c>
      <c r="M112" s="2" t="s">
        <v>3844</v>
      </c>
      <c r="N112" s="2" t="s">
        <v>3843</v>
      </c>
    </row>
    <row r="113" spans="1:14" ht="45" x14ac:dyDescent="0.25">
      <c r="A113" s="2" t="s">
        <v>3427</v>
      </c>
      <c r="B113" s="2" t="s">
        <v>4217</v>
      </c>
      <c r="C113" s="4">
        <v>45958</v>
      </c>
      <c r="D113" s="4">
        <v>45988</v>
      </c>
      <c r="E113" s="2" t="s">
        <v>4216</v>
      </c>
      <c r="F113" s="2"/>
      <c r="G113" s="2" t="s">
        <v>21</v>
      </c>
      <c r="H113" s="2">
        <v>11610.91</v>
      </c>
      <c r="I113" s="2">
        <v>1509.42</v>
      </c>
      <c r="J113" s="2">
        <v>13120.33</v>
      </c>
      <c r="K113" s="2">
        <v>13120.33</v>
      </c>
      <c r="L113" s="2" t="s">
        <v>22</v>
      </c>
      <c r="M113" s="2" t="s">
        <v>3844</v>
      </c>
      <c r="N113" s="2" t="s">
        <v>3843</v>
      </c>
    </row>
    <row r="114" spans="1:14" x14ac:dyDescent="0.25">
      <c r="A114" s="2" t="s">
        <v>3071</v>
      </c>
      <c r="B114" s="2" t="s">
        <v>869</v>
      </c>
      <c r="C114" s="4">
        <v>45958</v>
      </c>
      <c r="D114" s="4">
        <v>45988</v>
      </c>
      <c r="E114" s="2" t="s">
        <v>867</v>
      </c>
      <c r="F114" s="2"/>
      <c r="G114" s="2" t="s">
        <v>21</v>
      </c>
      <c r="H114" s="2">
        <v>487.85</v>
      </c>
      <c r="I114" s="2"/>
      <c r="J114" s="2">
        <v>487.85</v>
      </c>
      <c r="K114" s="2">
        <v>348.55</v>
      </c>
      <c r="L114" s="2" t="s">
        <v>51</v>
      </c>
      <c r="M114" s="2" t="s">
        <v>3844</v>
      </c>
      <c r="N114" s="2" t="s">
        <v>3843</v>
      </c>
    </row>
    <row r="115" spans="1:14" x14ac:dyDescent="0.25">
      <c r="A115" s="2" t="s">
        <v>3305</v>
      </c>
      <c r="B115" s="2" t="s">
        <v>70</v>
      </c>
      <c r="C115" s="4">
        <v>45958</v>
      </c>
      <c r="D115" s="4">
        <v>46018</v>
      </c>
      <c r="E115" s="2" t="s">
        <v>354</v>
      </c>
      <c r="F115" s="2"/>
      <c r="G115" s="2" t="s">
        <v>74</v>
      </c>
      <c r="H115" s="2">
        <v>9566.0499999999993</v>
      </c>
      <c r="I115" s="2"/>
      <c r="J115" s="2">
        <v>9566.0499999999993</v>
      </c>
      <c r="K115" s="2">
        <v>6834.6</v>
      </c>
      <c r="L115" s="2" t="s">
        <v>51</v>
      </c>
      <c r="M115" s="2" t="s">
        <v>3844</v>
      </c>
      <c r="N115" s="2" t="s">
        <v>3843</v>
      </c>
    </row>
    <row r="116" spans="1:14" x14ac:dyDescent="0.25">
      <c r="A116" s="2" t="s">
        <v>3229</v>
      </c>
      <c r="B116" s="2" t="s">
        <v>70</v>
      </c>
      <c r="C116" s="4">
        <v>45958</v>
      </c>
      <c r="D116" s="4">
        <v>46018</v>
      </c>
      <c r="E116" s="2" t="s">
        <v>544</v>
      </c>
      <c r="F116" s="2"/>
      <c r="G116" s="2" t="s">
        <v>36</v>
      </c>
      <c r="H116" s="2">
        <v>1461.35</v>
      </c>
      <c r="I116" s="2"/>
      <c r="J116" s="2">
        <v>1461.35</v>
      </c>
      <c r="K116" s="2">
        <v>1044.08</v>
      </c>
      <c r="L116" s="2" t="s">
        <v>51</v>
      </c>
      <c r="M116" s="2" t="s">
        <v>3844</v>
      </c>
      <c r="N116" s="2" t="s">
        <v>3843</v>
      </c>
    </row>
    <row r="117" spans="1:14" x14ac:dyDescent="0.25">
      <c r="A117" s="2" t="s">
        <v>3168</v>
      </c>
      <c r="B117" s="2" t="s">
        <v>70</v>
      </c>
      <c r="C117" s="4">
        <v>45958</v>
      </c>
      <c r="D117" s="4">
        <v>46018</v>
      </c>
      <c r="E117" s="2" t="s">
        <v>674</v>
      </c>
      <c r="F117" s="2"/>
      <c r="G117" s="2" t="s">
        <v>71</v>
      </c>
      <c r="H117" s="2">
        <v>452.42</v>
      </c>
      <c r="I117" s="2"/>
      <c r="J117" s="2">
        <v>452.42</v>
      </c>
      <c r="K117" s="2">
        <v>323.24</v>
      </c>
      <c r="L117" s="2" t="s">
        <v>51</v>
      </c>
      <c r="M117" s="2" t="s">
        <v>3844</v>
      </c>
      <c r="N117" s="2" t="s">
        <v>3843</v>
      </c>
    </row>
    <row r="118" spans="1:14" ht="45" x14ac:dyDescent="0.25">
      <c r="A118" s="2" t="s">
        <v>3297</v>
      </c>
      <c r="B118" s="2" t="s">
        <v>502</v>
      </c>
      <c r="C118" s="4">
        <v>45957</v>
      </c>
      <c r="D118" s="4">
        <v>45987</v>
      </c>
      <c r="E118" s="2" t="s">
        <v>379</v>
      </c>
      <c r="F118" s="2"/>
      <c r="G118" s="2" t="s">
        <v>21</v>
      </c>
      <c r="H118" s="2">
        <v>4932.2700000000004</v>
      </c>
      <c r="I118" s="2">
        <v>246.62</v>
      </c>
      <c r="J118" s="2">
        <v>5178.8900000000003</v>
      </c>
      <c r="K118" s="2">
        <v>5178.8900000000003</v>
      </c>
      <c r="L118" s="2" t="s">
        <v>22</v>
      </c>
      <c r="M118" s="2" t="s">
        <v>3844</v>
      </c>
      <c r="N118" s="2" t="s">
        <v>3843</v>
      </c>
    </row>
    <row r="119" spans="1:14" ht="30" x14ac:dyDescent="0.25">
      <c r="A119" s="2" t="s">
        <v>3304</v>
      </c>
      <c r="B119" s="2" t="s">
        <v>20</v>
      </c>
      <c r="C119" s="4">
        <v>45957</v>
      </c>
      <c r="D119" s="4">
        <v>46017</v>
      </c>
      <c r="E119" s="2" t="s">
        <v>358</v>
      </c>
      <c r="F119" s="2"/>
      <c r="G119" s="2" t="s">
        <v>21</v>
      </c>
      <c r="H119" s="2">
        <v>4223.4399999999996</v>
      </c>
      <c r="I119" s="2">
        <v>211.17</v>
      </c>
      <c r="J119" s="2">
        <v>4434.6099999999997</v>
      </c>
      <c r="K119" s="2">
        <v>4434.6099999999997</v>
      </c>
      <c r="L119" s="2" t="s">
        <v>22</v>
      </c>
      <c r="M119" s="2" t="s">
        <v>3844</v>
      </c>
      <c r="N119" s="2" t="s">
        <v>3843</v>
      </c>
    </row>
    <row r="120" spans="1:14" x14ac:dyDescent="0.25">
      <c r="A120" s="2" t="s">
        <v>3062</v>
      </c>
      <c r="B120" s="2" t="s">
        <v>54</v>
      </c>
      <c r="C120" s="4">
        <v>45957</v>
      </c>
      <c r="D120" s="4">
        <v>45987</v>
      </c>
      <c r="E120" s="2" t="s">
        <v>886</v>
      </c>
      <c r="F120" s="2"/>
      <c r="G120" s="2" t="s">
        <v>21</v>
      </c>
      <c r="H120" s="2">
        <v>9024.4699999999993</v>
      </c>
      <c r="I120" s="2">
        <v>451.22</v>
      </c>
      <c r="J120" s="2">
        <v>9475.69</v>
      </c>
      <c r="K120" s="2">
        <v>9475.69</v>
      </c>
      <c r="L120" s="2" t="s">
        <v>22</v>
      </c>
      <c r="M120" s="2" t="s">
        <v>3844</v>
      </c>
      <c r="N120" s="2" t="s">
        <v>3843</v>
      </c>
    </row>
    <row r="121" spans="1:14" ht="30" x14ac:dyDescent="0.25">
      <c r="A121" s="2" t="s">
        <v>3300</v>
      </c>
      <c r="B121" s="2" t="s">
        <v>98</v>
      </c>
      <c r="C121" s="4">
        <v>45957</v>
      </c>
      <c r="D121" s="4">
        <v>45987</v>
      </c>
      <c r="E121" s="2" t="s">
        <v>373</v>
      </c>
      <c r="F121" s="2"/>
      <c r="G121" s="2" t="s">
        <v>40</v>
      </c>
      <c r="H121" s="2">
        <v>2758.48</v>
      </c>
      <c r="I121" s="2">
        <v>358.6</v>
      </c>
      <c r="J121" s="2">
        <v>3117.08</v>
      </c>
      <c r="K121" s="2">
        <v>3117.08</v>
      </c>
      <c r="L121" s="2" t="s">
        <v>22</v>
      </c>
      <c r="M121" s="2" t="s">
        <v>3844</v>
      </c>
      <c r="N121" s="2" t="s">
        <v>3843</v>
      </c>
    </row>
    <row r="122" spans="1:14" ht="30" x14ac:dyDescent="0.25">
      <c r="A122" s="2" t="s">
        <v>3127</v>
      </c>
      <c r="B122" s="2" t="s">
        <v>4215</v>
      </c>
      <c r="C122" s="4">
        <v>45957</v>
      </c>
      <c r="D122" s="4">
        <v>45957</v>
      </c>
      <c r="E122" s="2" t="s">
        <v>755</v>
      </c>
      <c r="F122" s="2"/>
      <c r="G122" s="2" t="s">
        <v>21</v>
      </c>
      <c r="H122" s="2">
        <v>2407.84</v>
      </c>
      <c r="I122" s="2"/>
      <c r="J122" s="2">
        <v>2407.84</v>
      </c>
      <c r="K122" s="2">
        <v>1719.88</v>
      </c>
      <c r="L122" s="2" t="s">
        <v>51</v>
      </c>
      <c r="M122" s="2" t="s">
        <v>3844</v>
      </c>
      <c r="N122" s="2" t="s">
        <v>3843</v>
      </c>
    </row>
    <row r="123" spans="1:14" ht="30" x14ac:dyDescent="0.25">
      <c r="A123" s="2" t="s">
        <v>4167</v>
      </c>
      <c r="B123" s="2" t="s">
        <v>114</v>
      </c>
      <c r="C123" s="4">
        <v>45957</v>
      </c>
      <c r="D123" s="4">
        <v>45957</v>
      </c>
      <c r="E123" s="2" t="s">
        <v>427</v>
      </c>
      <c r="F123" s="2"/>
      <c r="G123" s="2" t="s">
        <v>74</v>
      </c>
      <c r="H123" s="2">
        <v>-37.72</v>
      </c>
      <c r="I123" s="2">
        <v>37.72</v>
      </c>
      <c r="J123" s="2"/>
      <c r="K123" s="2"/>
      <c r="L123" s="2" t="s">
        <v>22</v>
      </c>
      <c r="M123" s="2" t="s">
        <v>3844</v>
      </c>
      <c r="N123" s="2" t="s">
        <v>4141</v>
      </c>
    </row>
    <row r="124" spans="1:14" ht="45" x14ac:dyDescent="0.25">
      <c r="A124" s="2" t="s">
        <v>3225</v>
      </c>
      <c r="B124" s="2" t="s">
        <v>502</v>
      </c>
      <c r="C124" s="4">
        <v>45953</v>
      </c>
      <c r="D124" s="4">
        <v>45998</v>
      </c>
      <c r="E124" s="2" t="s">
        <v>550</v>
      </c>
      <c r="F124" s="2"/>
      <c r="G124" s="2" t="s">
        <v>21</v>
      </c>
      <c r="H124" s="2">
        <v>1180.7</v>
      </c>
      <c r="I124" s="2">
        <v>59.04</v>
      </c>
      <c r="J124" s="2">
        <v>1239.74</v>
      </c>
      <c r="K124" s="2">
        <v>1239.74</v>
      </c>
      <c r="L124" s="2" t="s">
        <v>22</v>
      </c>
      <c r="M124" s="2" t="s">
        <v>3844</v>
      </c>
      <c r="N124" s="2" t="s">
        <v>3843</v>
      </c>
    </row>
    <row r="125" spans="1:14" x14ac:dyDescent="0.25">
      <c r="A125" s="2" t="s">
        <v>3296</v>
      </c>
      <c r="B125" s="2" t="s">
        <v>64</v>
      </c>
      <c r="C125" s="4">
        <v>45953</v>
      </c>
      <c r="D125" s="4">
        <v>45983</v>
      </c>
      <c r="E125" s="2" t="s">
        <v>381</v>
      </c>
      <c r="F125" s="2"/>
      <c r="G125" s="2" t="s">
        <v>21</v>
      </c>
      <c r="H125" s="2">
        <v>240.42</v>
      </c>
      <c r="I125" s="2">
        <v>31.25</v>
      </c>
      <c r="J125" s="2">
        <v>271.67</v>
      </c>
      <c r="K125" s="2">
        <v>271.67</v>
      </c>
      <c r="L125" s="2" t="s">
        <v>22</v>
      </c>
      <c r="M125" s="2" t="s">
        <v>3844</v>
      </c>
      <c r="N125" s="2" t="s">
        <v>3843</v>
      </c>
    </row>
    <row r="126" spans="1:14" x14ac:dyDescent="0.25">
      <c r="A126" s="2" t="s">
        <v>3299</v>
      </c>
      <c r="B126" s="2" t="s">
        <v>77</v>
      </c>
      <c r="C126" s="4">
        <v>45953</v>
      </c>
      <c r="D126" s="4">
        <v>45983</v>
      </c>
      <c r="E126" s="2" t="s">
        <v>375</v>
      </c>
      <c r="F126" s="2"/>
      <c r="G126" s="2" t="s">
        <v>21</v>
      </c>
      <c r="H126" s="2">
        <v>131.91999999999999</v>
      </c>
      <c r="I126" s="2">
        <v>6.6</v>
      </c>
      <c r="J126" s="2">
        <v>138.52000000000001</v>
      </c>
      <c r="K126" s="2">
        <v>138.52000000000001</v>
      </c>
      <c r="L126" s="2" t="s">
        <v>22</v>
      </c>
      <c r="M126" s="2" t="s">
        <v>3844</v>
      </c>
      <c r="N126" s="2" t="s">
        <v>3843</v>
      </c>
    </row>
    <row r="127" spans="1:14" ht="30" x14ac:dyDescent="0.25">
      <c r="A127" s="2" t="s">
        <v>3290</v>
      </c>
      <c r="B127" s="2" t="s">
        <v>20</v>
      </c>
      <c r="C127" s="4">
        <v>45952</v>
      </c>
      <c r="D127" s="4">
        <v>46012</v>
      </c>
      <c r="E127" s="2" t="s">
        <v>394</v>
      </c>
      <c r="F127" s="2"/>
      <c r="G127" s="2" t="s">
        <v>21</v>
      </c>
      <c r="H127" s="2">
        <v>5073.1099999999997</v>
      </c>
      <c r="I127" s="2">
        <v>253.66</v>
      </c>
      <c r="J127" s="2">
        <v>5326.77</v>
      </c>
      <c r="K127" s="2">
        <v>5326.77</v>
      </c>
      <c r="L127" s="2" t="s">
        <v>22</v>
      </c>
      <c r="M127" s="2" t="s">
        <v>3844</v>
      </c>
      <c r="N127" s="2" t="s">
        <v>3843</v>
      </c>
    </row>
    <row r="128" spans="1:14" ht="30" x14ac:dyDescent="0.25">
      <c r="A128" s="2" t="s">
        <v>3291</v>
      </c>
      <c r="B128" s="2" t="s">
        <v>20</v>
      </c>
      <c r="C128" s="4">
        <v>45952</v>
      </c>
      <c r="D128" s="4">
        <v>46012</v>
      </c>
      <c r="E128" s="2" t="s">
        <v>392</v>
      </c>
      <c r="F128" s="2"/>
      <c r="G128" s="2" t="s">
        <v>180</v>
      </c>
      <c r="H128" s="2">
        <v>4557.97</v>
      </c>
      <c r="I128" s="2"/>
      <c r="J128" s="2">
        <v>4557.97</v>
      </c>
      <c r="K128" s="2">
        <v>4557.97</v>
      </c>
      <c r="L128" s="2" t="s">
        <v>22</v>
      </c>
      <c r="M128" s="2" t="s">
        <v>3844</v>
      </c>
      <c r="N128" s="2" t="s">
        <v>3843</v>
      </c>
    </row>
    <row r="129" spans="1:14" x14ac:dyDescent="0.25">
      <c r="A129" s="2" t="s">
        <v>3220</v>
      </c>
      <c r="B129" s="2" t="s">
        <v>3908</v>
      </c>
      <c r="C129" s="4">
        <v>45952</v>
      </c>
      <c r="D129" s="4">
        <v>45982</v>
      </c>
      <c r="E129" s="2" t="s">
        <v>561</v>
      </c>
      <c r="F129" s="2"/>
      <c r="G129" s="2" t="s">
        <v>36</v>
      </c>
      <c r="H129" s="2">
        <v>2213.92</v>
      </c>
      <c r="I129" s="2">
        <v>110.7</v>
      </c>
      <c r="J129" s="2">
        <v>2324.62</v>
      </c>
      <c r="K129" s="2">
        <v>2324.62</v>
      </c>
      <c r="L129" s="2" t="s">
        <v>22</v>
      </c>
      <c r="M129" s="2" t="s">
        <v>3844</v>
      </c>
      <c r="N129" s="2" t="s">
        <v>3843</v>
      </c>
    </row>
    <row r="130" spans="1:14" ht="30" x14ac:dyDescent="0.25">
      <c r="A130" s="2" t="s">
        <v>3298</v>
      </c>
      <c r="B130" s="2" t="s">
        <v>3934</v>
      </c>
      <c r="C130" s="4">
        <v>45952</v>
      </c>
      <c r="D130" s="4">
        <v>45982</v>
      </c>
      <c r="E130" s="2" t="s">
        <v>377</v>
      </c>
      <c r="F130" s="2"/>
      <c r="G130" s="2" t="s">
        <v>21</v>
      </c>
      <c r="H130" s="2">
        <v>273.10000000000002</v>
      </c>
      <c r="I130" s="2">
        <v>13.66</v>
      </c>
      <c r="J130" s="2">
        <v>286.76</v>
      </c>
      <c r="K130" s="2">
        <v>286.76</v>
      </c>
      <c r="L130" s="2" t="s">
        <v>22</v>
      </c>
      <c r="M130" s="2" t="s">
        <v>3844</v>
      </c>
      <c r="N130" s="2" t="s">
        <v>3843</v>
      </c>
    </row>
    <row r="131" spans="1:14" ht="45" x14ac:dyDescent="0.25">
      <c r="A131" s="2" t="s">
        <v>3294</v>
      </c>
      <c r="B131" s="2" t="s">
        <v>4214</v>
      </c>
      <c r="C131" s="4">
        <v>45952</v>
      </c>
      <c r="D131" s="4">
        <v>45982</v>
      </c>
      <c r="E131" s="2" t="s">
        <v>385</v>
      </c>
      <c r="F131" s="2"/>
      <c r="G131" s="2" t="s">
        <v>36</v>
      </c>
      <c r="H131" s="2">
        <v>196</v>
      </c>
      <c r="I131" s="2">
        <v>25.48</v>
      </c>
      <c r="J131" s="2">
        <v>221.48</v>
      </c>
      <c r="K131" s="2">
        <v>221.48</v>
      </c>
      <c r="L131" s="2" t="s">
        <v>22</v>
      </c>
      <c r="M131" s="2" t="s">
        <v>3844</v>
      </c>
      <c r="N131" s="2" t="s">
        <v>3843</v>
      </c>
    </row>
    <row r="132" spans="1:14" ht="30" x14ac:dyDescent="0.25">
      <c r="A132" s="2" t="s">
        <v>3287</v>
      </c>
      <c r="B132" s="2" t="s">
        <v>80</v>
      </c>
      <c r="C132" s="4">
        <v>45951</v>
      </c>
      <c r="D132" s="4">
        <v>46011</v>
      </c>
      <c r="E132" s="2" t="s">
        <v>400</v>
      </c>
      <c r="F132" s="2"/>
      <c r="G132" s="2" t="s">
        <v>21</v>
      </c>
      <c r="H132" s="2">
        <v>7248.11</v>
      </c>
      <c r="I132" s="2">
        <v>362.41</v>
      </c>
      <c r="J132" s="2">
        <v>7610.52</v>
      </c>
      <c r="K132" s="2">
        <v>7610.52</v>
      </c>
      <c r="L132" s="2" t="s">
        <v>22</v>
      </c>
      <c r="M132" s="2" t="s">
        <v>3844</v>
      </c>
      <c r="N132" s="2" t="s">
        <v>3843</v>
      </c>
    </row>
    <row r="133" spans="1:14" ht="45" x14ac:dyDescent="0.25">
      <c r="A133" s="2" t="s">
        <v>3248</v>
      </c>
      <c r="B133" s="2" t="s">
        <v>4102</v>
      </c>
      <c r="C133" s="4">
        <v>45951</v>
      </c>
      <c r="D133" s="4">
        <v>45981</v>
      </c>
      <c r="E133" s="2" t="s">
        <v>507</v>
      </c>
      <c r="F133" s="2"/>
      <c r="G133" s="2" t="s">
        <v>67</v>
      </c>
      <c r="H133" s="2">
        <v>7609.56</v>
      </c>
      <c r="I133" s="2">
        <v>380.48</v>
      </c>
      <c r="J133" s="2">
        <v>7990.04</v>
      </c>
      <c r="K133" s="2">
        <v>7990.04</v>
      </c>
      <c r="L133" s="2" t="s">
        <v>22</v>
      </c>
      <c r="M133" s="2" t="s">
        <v>3844</v>
      </c>
      <c r="N133" s="2" t="s">
        <v>3843</v>
      </c>
    </row>
    <row r="134" spans="1:14" ht="30" x14ac:dyDescent="0.25">
      <c r="A134" s="2" t="s">
        <v>3301</v>
      </c>
      <c r="B134" s="2" t="s">
        <v>369</v>
      </c>
      <c r="C134" s="4">
        <v>45951</v>
      </c>
      <c r="D134" s="4">
        <v>45951</v>
      </c>
      <c r="E134" s="2" t="s">
        <v>367</v>
      </c>
      <c r="F134" s="2"/>
      <c r="G134" s="2" t="s">
        <v>180</v>
      </c>
      <c r="H134" s="2">
        <v>17525.21</v>
      </c>
      <c r="I134" s="2"/>
      <c r="J134" s="2">
        <v>17525.21</v>
      </c>
      <c r="K134" s="2">
        <v>12489.11</v>
      </c>
      <c r="L134" s="2" t="s">
        <v>51</v>
      </c>
      <c r="M134" s="2" t="s">
        <v>3844</v>
      </c>
      <c r="N134" s="2" t="s">
        <v>3843</v>
      </c>
    </row>
    <row r="135" spans="1:14" ht="30" x14ac:dyDescent="0.25">
      <c r="A135" s="2" t="s">
        <v>2893</v>
      </c>
      <c r="B135" s="2" t="s">
        <v>4171</v>
      </c>
      <c r="C135" s="4">
        <v>45951</v>
      </c>
      <c r="D135" s="4">
        <v>45951</v>
      </c>
      <c r="E135" s="2" t="s">
        <v>1173</v>
      </c>
      <c r="F135" s="2"/>
      <c r="G135" s="2" t="s">
        <v>180</v>
      </c>
      <c r="H135" s="2">
        <v>9255.85</v>
      </c>
      <c r="I135" s="2"/>
      <c r="J135" s="2">
        <v>9255.85</v>
      </c>
      <c r="K135" s="2">
        <v>6597</v>
      </c>
      <c r="L135" s="2" t="s">
        <v>51</v>
      </c>
      <c r="M135" s="2" t="s">
        <v>3844</v>
      </c>
      <c r="N135" s="2" t="s">
        <v>3843</v>
      </c>
    </row>
    <row r="136" spans="1:14" ht="30" x14ac:dyDescent="0.25">
      <c r="A136" s="2" t="s">
        <v>3043</v>
      </c>
      <c r="B136" s="2" t="s">
        <v>4171</v>
      </c>
      <c r="C136" s="4">
        <v>45951</v>
      </c>
      <c r="D136" s="4">
        <v>45951</v>
      </c>
      <c r="E136" s="2" t="s">
        <v>924</v>
      </c>
      <c r="F136" s="2"/>
      <c r="G136" s="2" t="s">
        <v>180</v>
      </c>
      <c r="H136" s="2">
        <v>880.81</v>
      </c>
      <c r="I136" s="2"/>
      <c r="J136" s="2">
        <v>880.81</v>
      </c>
      <c r="K136" s="2">
        <v>627.70000000000005</v>
      </c>
      <c r="L136" s="2" t="s">
        <v>51</v>
      </c>
      <c r="M136" s="2" t="s">
        <v>3844</v>
      </c>
      <c r="N136" s="2" t="s">
        <v>3843</v>
      </c>
    </row>
    <row r="137" spans="1:14" ht="30" x14ac:dyDescent="0.25">
      <c r="A137" s="2" t="s">
        <v>4213</v>
      </c>
      <c r="B137" s="2" t="s">
        <v>576</v>
      </c>
      <c r="C137" s="4">
        <v>45950</v>
      </c>
      <c r="D137" s="4">
        <v>45980</v>
      </c>
      <c r="E137" s="2" t="s">
        <v>717</v>
      </c>
      <c r="F137" s="2"/>
      <c r="G137" s="2" t="s">
        <v>36</v>
      </c>
      <c r="H137" s="2">
        <v>-4163.13</v>
      </c>
      <c r="I137" s="2"/>
      <c r="J137" s="2">
        <v>-4163.13</v>
      </c>
      <c r="K137" s="2">
        <v>-4163.13</v>
      </c>
      <c r="L137" s="2" t="s">
        <v>22</v>
      </c>
      <c r="M137" s="2" t="s">
        <v>3844</v>
      </c>
      <c r="N137" s="2" t="s">
        <v>4141</v>
      </c>
    </row>
    <row r="138" spans="1:14" ht="30" x14ac:dyDescent="0.25">
      <c r="A138" s="2" t="s">
        <v>3187</v>
      </c>
      <c r="B138" s="2" t="s">
        <v>576</v>
      </c>
      <c r="C138" s="4">
        <v>45950</v>
      </c>
      <c r="D138" s="4">
        <v>45980</v>
      </c>
      <c r="E138" s="2" t="s">
        <v>635</v>
      </c>
      <c r="F138" s="2"/>
      <c r="G138" s="2" t="s">
        <v>36</v>
      </c>
      <c r="H138" s="2">
        <v>1401.35</v>
      </c>
      <c r="I138" s="2">
        <v>70.069999999999993</v>
      </c>
      <c r="J138" s="2">
        <v>1471.42</v>
      </c>
      <c r="K138" s="2">
        <v>1471.42</v>
      </c>
      <c r="L138" s="2" t="s">
        <v>22</v>
      </c>
      <c r="M138" s="2" t="s">
        <v>3844</v>
      </c>
      <c r="N138" s="2" t="s">
        <v>3843</v>
      </c>
    </row>
    <row r="139" spans="1:14" x14ac:dyDescent="0.25">
      <c r="A139" s="2" t="s">
        <v>3201</v>
      </c>
      <c r="B139" s="2" t="s">
        <v>612</v>
      </c>
      <c r="C139" s="4">
        <v>45950</v>
      </c>
      <c r="D139" s="4">
        <v>45980</v>
      </c>
      <c r="E139" s="2" t="s">
        <v>610</v>
      </c>
      <c r="F139" s="2"/>
      <c r="G139" s="2" t="s">
        <v>21</v>
      </c>
      <c r="H139" s="2">
        <v>3958.75</v>
      </c>
      <c r="I139" s="2">
        <v>514.62</v>
      </c>
      <c r="J139" s="2">
        <v>4473.37</v>
      </c>
      <c r="K139" s="2">
        <v>4473.37</v>
      </c>
      <c r="L139" s="2" t="s">
        <v>22</v>
      </c>
      <c r="M139" s="2" t="s">
        <v>3844</v>
      </c>
      <c r="N139" s="2" t="s">
        <v>3843</v>
      </c>
    </row>
    <row r="140" spans="1:14" x14ac:dyDescent="0.25">
      <c r="A140" s="2" t="s">
        <v>3292</v>
      </c>
      <c r="B140" s="2" t="s">
        <v>3908</v>
      </c>
      <c r="C140" s="4">
        <v>45950</v>
      </c>
      <c r="D140" s="4">
        <v>45951</v>
      </c>
      <c r="E140" s="2" t="s">
        <v>390</v>
      </c>
      <c r="F140" s="2"/>
      <c r="G140" s="2" t="s">
        <v>74</v>
      </c>
      <c r="H140" s="2">
        <v>2490.88</v>
      </c>
      <c r="I140" s="2">
        <v>124.54</v>
      </c>
      <c r="J140" s="2">
        <v>2615.42</v>
      </c>
      <c r="K140" s="2">
        <v>2615.42</v>
      </c>
      <c r="L140" s="2" t="s">
        <v>22</v>
      </c>
      <c r="M140" s="2" t="s">
        <v>3844</v>
      </c>
      <c r="N140" s="2" t="s">
        <v>3843</v>
      </c>
    </row>
    <row r="141" spans="1:14" x14ac:dyDescent="0.25">
      <c r="A141" s="2" t="s">
        <v>3284</v>
      </c>
      <c r="B141" s="2" t="s">
        <v>146</v>
      </c>
      <c r="C141" s="4">
        <v>45950</v>
      </c>
      <c r="D141" s="4">
        <v>45980</v>
      </c>
      <c r="E141" s="2" t="s">
        <v>410</v>
      </c>
      <c r="F141" s="2"/>
      <c r="G141" s="2" t="s">
        <v>74</v>
      </c>
      <c r="H141" s="2">
        <v>150</v>
      </c>
      <c r="I141" s="2">
        <v>7.5</v>
      </c>
      <c r="J141" s="2">
        <v>157.5</v>
      </c>
      <c r="K141" s="2">
        <v>157.5</v>
      </c>
      <c r="L141" s="2" t="s">
        <v>22</v>
      </c>
      <c r="M141" s="2" t="s">
        <v>3844</v>
      </c>
      <c r="N141" s="2" t="s">
        <v>3843</v>
      </c>
    </row>
    <row r="142" spans="1:14" x14ac:dyDescent="0.25">
      <c r="A142" s="2" t="s">
        <v>3167</v>
      </c>
      <c r="B142" s="2" t="s">
        <v>70</v>
      </c>
      <c r="C142" s="4">
        <v>45947</v>
      </c>
      <c r="D142" s="4">
        <v>46007</v>
      </c>
      <c r="E142" s="2" t="s">
        <v>674</v>
      </c>
      <c r="F142" s="2"/>
      <c r="G142" s="2" t="s">
        <v>71</v>
      </c>
      <c r="H142" s="2">
        <v>5236.3599999999997</v>
      </c>
      <c r="I142" s="2"/>
      <c r="J142" s="2">
        <v>5236.3599999999997</v>
      </c>
      <c r="K142" s="2">
        <v>3727.67</v>
      </c>
      <c r="L142" s="2" t="s">
        <v>51</v>
      </c>
      <c r="M142" s="2" t="s">
        <v>3844</v>
      </c>
      <c r="N142" s="2" t="s">
        <v>3843</v>
      </c>
    </row>
    <row r="143" spans="1:14" x14ac:dyDescent="0.25">
      <c r="A143" s="2" t="s">
        <v>3230</v>
      </c>
      <c r="B143" s="2" t="s">
        <v>70</v>
      </c>
      <c r="C143" s="4">
        <v>45947</v>
      </c>
      <c r="D143" s="4">
        <v>46007</v>
      </c>
      <c r="E143" s="2" t="s">
        <v>544</v>
      </c>
      <c r="F143" s="2"/>
      <c r="G143" s="2" t="s">
        <v>36</v>
      </c>
      <c r="H143" s="2">
        <v>3685.69</v>
      </c>
      <c r="I143" s="2"/>
      <c r="J143" s="2">
        <v>3685.69</v>
      </c>
      <c r="K143" s="2">
        <v>2623.78</v>
      </c>
      <c r="L143" s="2" t="s">
        <v>51</v>
      </c>
      <c r="M143" s="2" t="s">
        <v>3844</v>
      </c>
      <c r="N143" s="2" t="s">
        <v>3843</v>
      </c>
    </row>
    <row r="144" spans="1:14" x14ac:dyDescent="0.25">
      <c r="A144" s="2" t="s">
        <v>3279</v>
      </c>
      <c r="B144" s="2" t="s">
        <v>70</v>
      </c>
      <c r="C144" s="4">
        <v>45947</v>
      </c>
      <c r="D144" s="4">
        <v>46007</v>
      </c>
      <c r="E144" s="2" t="s">
        <v>432</v>
      </c>
      <c r="F144" s="2"/>
      <c r="G144" s="2" t="s">
        <v>74</v>
      </c>
      <c r="H144" s="2">
        <v>356.76</v>
      </c>
      <c r="I144" s="2"/>
      <c r="J144" s="2">
        <v>356.76</v>
      </c>
      <c r="K144" s="2">
        <v>253.97</v>
      </c>
      <c r="L144" s="2" t="s">
        <v>51</v>
      </c>
      <c r="M144" s="2" t="s">
        <v>3844</v>
      </c>
      <c r="N144" s="2" t="s">
        <v>3843</v>
      </c>
    </row>
    <row r="145" spans="1:14" ht="30" x14ac:dyDescent="0.25">
      <c r="A145" s="2" t="s">
        <v>3281</v>
      </c>
      <c r="B145" s="2" t="s">
        <v>114</v>
      </c>
      <c r="C145" s="4">
        <v>45946</v>
      </c>
      <c r="D145" s="4">
        <v>45946</v>
      </c>
      <c r="E145" s="2" t="s">
        <v>427</v>
      </c>
      <c r="F145" s="2"/>
      <c r="G145" s="2" t="s">
        <v>74</v>
      </c>
      <c r="H145" s="2">
        <v>792.08</v>
      </c>
      <c r="I145" s="2"/>
      <c r="J145" s="2">
        <v>792.08</v>
      </c>
      <c r="K145" s="2">
        <v>792.08</v>
      </c>
      <c r="L145" s="2" t="s">
        <v>22</v>
      </c>
      <c r="M145" s="2" t="s">
        <v>3844</v>
      </c>
      <c r="N145" s="2" t="s">
        <v>3843</v>
      </c>
    </row>
    <row r="146" spans="1:14" ht="30" x14ac:dyDescent="0.25">
      <c r="A146" s="2" t="s">
        <v>3079</v>
      </c>
      <c r="B146" s="2" t="s">
        <v>3868</v>
      </c>
      <c r="C146" s="4">
        <v>45945</v>
      </c>
      <c r="D146" s="4">
        <v>46005</v>
      </c>
      <c r="E146" s="2" t="s">
        <v>851</v>
      </c>
      <c r="F146" s="2"/>
      <c r="G146" s="2" t="s">
        <v>21</v>
      </c>
      <c r="H146" s="2">
        <v>4128.78</v>
      </c>
      <c r="I146" s="2">
        <v>536.74</v>
      </c>
      <c r="J146" s="2">
        <v>4665.5200000000004</v>
      </c>
      <c r="K146" s="2">
        <v>4665.5200000000004</v>
      </c>
      <c r="L146" s="2" t="s">
        <v>22</v>
      </c>
      <c r="M146" s="2" t="s">
        <v>3844</v>
      </c>
      <c r="N146" s="2" t="s">
        <v>3843</v>
      </c>
    </row>
    <row r="147" spans="1:14" ht="30" x14ac:dyDescent="0.25">
      <c r="A147" s="2" t="s">
        <v>3088</v>
      </c>
      <c r="B147" s="2" t="s">
        <v>3868</v>
      </c>
      <c r="C147" s="4">
        <v>45945</v>
      </c>
      <c r="D147" s="4">
        <v>46005</v>
      </c>
      <c r="E147" s="2" t="s">
        <v>833</v>
      </c>
      <c r="F147" s="2"/>
      <c r="G147" s="2" t="s">
        <v>21</v>
      </c>
      <c r="H147" s="2">
        <v>4128.78</v>
      </c>
      <c r="I147" s="2">
        <v>536.74</v>
      </c>
      <c r="J147" s="2">
        <v>4665.5200000000004</v>
      </c>
      <c r="K147" s="2">
        <v>4665.5200000000004</v>
      </c>
      <c r="L147" s="2" t="s">
        <v>22</v>
      </c>
      <c r="M147" s="2" t="s">
        <v>3844</v>
      </c>
      <c r="N147" s="2" t="s">
        <v>3843</v>
      </c>
    </row>
    <row r="148" spans="1:14" x14ac:dyDescent="0.25">
      <c r="A148" s="2" t="s">
        <v>3266</v>
      </c>
      <c r="B148" s="2" t="s">
        <v>3908</v>
      </c>
      <c r="C148" s="4">
        <v>45945</v>
      </c>
      <c r="D148" s="4">
        <v>45975</v>
      </c>
      <c r="E148" s="2" t="s">
        <v>466</v>
      </c>
      <c r="F148" s="2"/>
      <c r="G148" s="2" t="s">
        <v>36</v>
      </c>
      <c r="H148" s="2">
        <v>1810</v>
      </c>
      <c r="I148" s="2">
        <v>90.5</v>
      </c>
      <c r="J148" s="2">
        <v>1900.5</v>
      </c>
      <c r="K148" s="2">
        <v>1900.5</v>
      </c>
      <c r="L148" s="2" t="s">
        <v>22</v>
      </c>
      <c r="M148" s="2" t="s">
        <v>3844</v>
      </c>
      <c r="N148" s="2" t="s">
        <v>3843</v>
      </c>
    </row>
    <row r="149" spans="1:14" ht="30" x14ac:dyDescent="0.25">
      <c r="A149" s="2" t="s">
        <v>2896</v>
      </c>
      <c r="B149" s="2" t="s">
        <v>369</v>
      </c>
      <c r="C149" s="4">
        <v>45945</v>
      </c>
      <c r="D149" s="4">
        <v>45945</v>
      </c>
      <c r="E149" s="2" t="s">
        <v>1167</v>
      </c>
      <c r="F149" s="2"/>
      <c r="G149" s="2" t="s">
        <v>36</v>
      </c>
      <c r="H149" s="2">
        <v>5928.53</v>
      </c>
      <c r="I149" s="2"/>
      <c r="J149" s="2">
        <v>5928.53</v>
      </c>
      <c r="K149" s="2">
        <v>4226.24</v>
      </c>
      <c r="L149" s="2" t="s">
        <v>51</v>
      </c>
      <c r="M149" s="2" t="s">
        <v>3844</v>
      </c>
      <c r="N149" s="2" t="s">
        <v>3843</v>
      </c>
    </row>
    <row r="150" spans="1:14" x14ac:dyDescent="0.25">
      <c r="A150" s="2" t="s">
        <v>3277</v>
      </c>
      <c r="B150" s="2" t="s">
        <v>442</v>
      </c>
      <c r="C150" s="4">
        <v>45945</v>
      </c>
      <c r="D150" s="4">
        <v>46005</v>
      </c>
      <c r="E150" s="2" t="s">
        <v>440</v>
      </c>
      <c r="F150" s="2"/>
      <c r="G150" s="2" t="s">
        <v>74</v>
      </c>
      <c r="H150" s="2">
        <v>5543.35</v>
      </c>
      <c r="I150" s="2"/>
      <c r="J150" s="2">
        <v>5543.35</v>
      </c>
      <c r="K150" s="2">
        <v>3951.66</v>
      </c>
      <c r="L150" s="2" t="s">
        <v>51</v>
      </c>
      <c r="M150" s="2" t="s">
        <v>3844</v>
      </c>
      <c r="N150" s="2" t="s">
        <v>3843</v>
      </c>
    </row>
    <row r="151" spans="1:14" ht="30" x14ac:dyDescent="0.25">
      <c r="A151" s="2" t="s">
        <v>3270</v>
      </c>
      <c r="B151" s="2" t="s">
        <v>26</v>
      </c>
      <c r="C151" s="4">
        <v>45944</v>
      </c>
      <c r="D151" s="4">
        <v>46004</v>
      </c>
      <c r="E151" s="2" t="s">
        <v>457</v>
      </c>
      <c r="F151" s="2"/>
      <c r="G151" s="2" t="s">
        <v>36</v>
      </c>
      <c r="H151" s="2">
        <v>1127.0999999999999</v>
      </c>
      <c r="I151" s="2">
        <v>56.36</v>
      </c>
      <c r="J151" s="2">
        <v>1183.46</v>
      </c>
      <c r="K151" s="2">
        <v>1183.46</v>
      </c>
      <c r="L151" s="2" t="s">
        <v>22</v>
      </c>
      <c r="M151" s="2" t="s">
        <v>3844</v>
      </c>
      <c r="N151" s="2" t="s">
        <v>3843</v>
      </c>
    </row>
    <row r="152" spans="1:14" ht="30" x14ac:dyDescent="0.25">
      <c r="A152" s="2" t="s">
        <v>2930</v>
      </c>
      <c r="B152" s="2" t="s">
        <v>98</v>
      </c>
      <c r="C152" s="4">
        <v>45944</v>
      </c>
      <c r="D152" s="4">
        <v>45974</v>
      </c>
      <c r="E152" s="2" t="s">
        <v>1116</v>
      </c>
      <c r="F152" s="2"/>
      <c r="G152" s="2" t="s">
        <v>21</v>
      </c>
      <c r="H152" s="2">
        <v>3308</v>
      </c>
      <c r="I152" s="2">
        <v>430.04</v>
      </c>
      <c r="J152" s="2">
        <v>3738.04</v>
      </c>
      <c r="K152" s="2">
        <v>3738.04</v>
      </c>
      <c r="L152" s="2" t="s">
        <v>22</v>
      </c>
      <c r="M152" s="2" t="s">
        <v>3844</v>
      </c>
      <c r="N152" s="2" t="s">
        <v>3843</v>
      </c>
    </row>
    <row r="153" spans="1:14" ht="30" x14ac:dyDescent="0.25">
      <c r="A153" s="2" t="s">
        <v>3262</v>
      </c>
      <c r="B153" s="2" t="s">
        <v>98</v>
      </c>
      <c r="C153" s="4">
        <v>45944</v>
      </c>
      <c r="D153" s="4">
        <v>45974</v>
      </c>
      <c r="E153" s="2" t="s">
        <v>475</v>
      </c>
      <c r="F153" s="2"/>
      <c r="G153" s="2" t="s">
        <v>74</v>
      </c>
      <c r="H153" s="2">
        <v>2402.65</v>
      </c>
      <c r="I153" s="2">
        <v>312.33999999999997</v>
      </c>
      <c r="J153" s="2">
        <v>2714.99</v>
      </c>
      <c r="K153" s="2">
        <v>2714.99</v>
      </c>
      <c r="L153" s="2" t="s">
        <v>22</v>
      </c>
      <c r="M153" s="2" t="s">
        <v>3844</v>
      </c>
      <c r="N153" s="2" t="s">
        <v>3843</v>
      </c>
    </row>
    <row r="154" spans="1:14" ht="30" x14ac:dyDescent="0.25">
      <c r="A154" s="2" t="s">
        <v>3276</v>
      </c>
      <c r="B154" s="2" t="s">
        <v>4072</v>
      </c>
      <c r="C154" s="4">
        <v>45944</v>
      </c>
      <c r="D154" s="4">
        <v>45944</v>
      </c>
      <c r="E154" s="2" t="s">
        <v>443</v>
      </c>
      <c r="F154" s="2"/>
      <c r="G154" s="2" t="s">
        <v>74</v>
      </c>
      <c r="H154" s="2">
        <v>21156.51</v>
      </c>
      <c r="I154" s="2"/>
      <c r="J154" s="2">
        <v>21156.51</v>
      </c>
      <c r="K154" s="2">
        <v>15132</v>
      </c>
      <c r="L154" s="2" t="s">
        <v>51</v>
      </c>
      <c r="M154" s="2" t="s">
        <v>3844</v>
      </c>
      <c r="N154" s="2" t="s">
        <v>3843</v>
      </c>
    </row>
    <row r="155" spans="1:14" ht="30" x14ac:dyDescent="0.25">
      <c r="A155" s="2" t="s">
        <v>3209</v>
      </c>
      <c r="B155" s="2" t="s">
        <v>129</v>
      </c>
      <c r="C155" s="4">
        <v>45943</v>
      </c>
      <c r="D155" s="4">
        <v>46003</v>
      </c>
      <c r="E155" s="2" t="s">
        <v>586</v>
      </c>
      <c r="F155" s="2"/>
      <c r="G155" s="2" t="s">
        <v>130</v>
      </c>
      <c r="H155" s="2">
        <v>700.26</v>
      </c>
      <c r="I155" s="2"/>
      <c r="J155" s="2">
        <v>700.26</v>
      </c>
      <c r="K155" s="2">
        <v>500</v>
      </c>
      <c r="L155" s="2" t="s">
        <v>51</v>
      </c>
      <c r="M155" s="2" t="s">
        <v>3844</v>
      </c>
      <c r="N155" s="2" t="s">
        <v>3843</v>
      </c>
    </row>
    <row r="156" spans="1:14" ht="30" x14ac:dyDescent="0.25">
      <c r="A156" s="2" t="s">
        <v>3278</v>
      </c>
      <c r="B156" s="2" t="s">
        <v>39</v>
      </c>
      <c r="C156" s="4">
        <v>45940</v>
      </c>
      <c r="D156" s="4">
        <v>45970</v>
      </c>
      <c r="E156" s="2" t="s">
        <v>436</v>
      </c>
      <c r="F156" s="2"/>
      <c r="G156" s="2" t="s">
        <v>36</v>
      </c>
      <c r="H156" s="2">
        <v>624.20000000000005</v>
      </c>
      <c r="I156" s="2">
        <v>31.21</v>
      </c>
      <c r="J156" s="2">
        <v>655.41</v>
      </c>
      <c r="K156" s="2">
        <v>655.41</v>
      </c>
      <c r="L156" s="2" t="s">
        <v>22</v>
      </c>
      <c r="M156" s="2" t="s">
        <v>3844</v>
      </c>
      <c r="N156" s="2" t="s">
        <v>3843</v>
      </c>
    </row>
    <row r="157" spans="1:14" ht="30" x14ac:dyDescent="0.25">
      <c r="A157" s="2" t="s">
        <v>3273</v>
      </c>
      <c r="B157" s="2" t="s">
        <v>290</v>
      </c>
      <c r="C157" s="4">
        <v>45940</v>
      </c>
      <c r="D157" s="4">
        <v>46000</v>
      </c>
      <c r="E157" s="2" t="s">
        <v>451</v>
      </c>
      <c r="F157" s="2"/>
      <c r="G157" s="2" t="s">
        <v>36</v>
      </c>
      <c r="H157" s="2">
        <v>1127.0999999999999</v>
      </c>
      <c r="I157" s="2">
        <v>56.36</v>
      </c>
      <c r="J157" s="2">
        <v>1183.46</v>
      </c>
      <c r="K157" s="2">
        <v>1183.46</v>
      </c>
      <c r="L157" s="2" t="s">
        <v>22</v>
      </c>
      <c r="M157" s="2" t="s">
        <v>3844</v>
      </c>
      <c r="N157" s="2" t="s">
        <v>3843</v>
      </c>
    </row>
    <row r="158" spans="1:14" ht="30" x14ac:dyDescent="0.25">
      <c r="A158" s="2" t="s">
        <v>3211</v>
      </c>
      <c r="B158" s="2" t="s">
        <v>4206</v>
      </c>
      <c r="C158" s="4">
        <v>45940</v>
      </c>
      <c r="D158" s="4">
        <v>45970</v>
      </c>
      <c r="E158" s="2" t="s">
        <v>584</v>
      </c>
      <c r="F158" s="2"/>
      <c r="G158" s="2" t="s">
        <v>74</v>
      </c>
      <c r="H158" s="2">
        <v>848.91</v>
      </c>
      <c r="I158" s="2">
        <v>42.45</v>
      </c>
      <c r="J158" s="2">
        <v>891.36</v>
      </c>
      <c r="K158" s="2">
        <v>891.36</v>
      </c>
      <c r="L158" s="2" t="s">
        <v>22</v>
      </c>
      <c r="M158" s="2" t="s">
        <v>3844</v>
      </c>
      <c r="N158" s="2" t="s">
        <v>3843</v>
      </c>
    </row>
    <row r="159" spans="1:14" ht="30" x14ac:dyDescent="0.25">
      <c r="A159" s="2" t="s">
        <v>3269</v>
      </c>
      <c r="B159" s="2" t="s">
        <v>4206</v>
      </c>
      <c r="C159" s="4">
        <v>45940</v>
      </c>
      <c r="D159" s="4">
        <v>45970</v>
      </c>
      <c r="E159" s="2" t="s">
        <v>459</v>
      </c>
      <c r="F159" s="2"/>
      <c r="G159" s="2" t="s">
        <v>36</v>
      </c>
      <c r="H159" s="2">
        <v>2.5</v>
      </c>
      <c r="I159" s="2">
        <v>0.13</v>
      </c>
      <c r="J159" s="2">
        <v>2.63</v>
      </c>
      <c r="K159" s="2">
        <v>2.63</v>
      </c>
      <c r="L159" s="2" t="s">
        <v>22</v>
      </c>
      <c r="M159" s="2" t="s">
        <v>3844</v>
      </c>
      <c r="N159" s="2" t="s">
        <v>3843</v>
      </c>
    </row>
    <row r="160" spans="1:14" ht="30" x14ac:dyDescent="0.25">
      <c r="A160" s="2" t="s">
        <v>3275</v>
      </c>
      <c r="B160" s="2" t="s">
        <v>20</v>
      </c>
      <c r="C160" s="4">
        <v>45940</v>
      </c>
      <c r="D160" s="4">
        <v>46000</v>
      </c>
      <c r="E160" s="2" t="s">
        <v>446</v>
      </c>
      <c r="F160" s="2"/>
      <c r="G160" s="2" t="s">
        <v>36</v>
      </c>
      <c r="H160" s="2">
        <v>945.96</v>
      </c>
      <c r="I160" s="2">
        <v>47.3</v>
      </c>
      <c r="J160" s="2">
        <v>993.26</v>
      </c>
      <c r="K160" s="2">
        <v>993.26</v>
      </c>
      <c r="L160" s="2" t="s">
        <v>22</v>
      </c>
      <c r="M160" s="2" t="s">
        <v>3844</v>
      </c>
      <c r="N160" s="2" t="s">
        <v>3843</v>
      </c>
    </row>
    <row r="161" spans="1:14" x14ac:dyDescent="0.25">
      <c r="A161" s="2" t="s">
        <v>3268</v>
      </c>
      <c r="B161" s="2" t="s">
        <v>64</v>
      </c>
      <c r="C161" s="4">
        <v>45940</v>
      </c>
      <c r="D161" s="4">
        <v>45970</v>
      </c>
      <c r="E161" s="2" t="s">
        <v>461</v>
      </c>
      <c r="F161" s="2"/>
      <c r="G161" s="2" t="s">
        <v>40</v>
      </c>
      <c r="H161" s="2">
        <v>210</v>
      </c>
      <c r="I161" s="2">
        <v>27.3</v>
      </c>
      <c r="J161" s="2">
        <v>237.3</v>
      </c>
      <c r="K161" s="2">
        <v>237.3</v>
      </c>
      <c r="L161" s="2" t="s">
        <v>22</v>
      </c>
      <c r="M161" s="2" t="s">
        <v>3844</v>
      </c>
      <c r="N161" s="2" t="s">
        <v>3843</v>
      </c>
    </row>
    <row r="162" spans="1:14" ht="30" x14ac:dyDescent="0.25">
      <c r="A162" s="2" t="s">
        <v>3188</v>
      </c>
      <c r="B162" s="2" t="s">
        <v>576</v>
      </c>
      <c r="C162" s="4">
        <v>45940</v>
      </c>
      <c r="D162" s="4">
        <v>45970</v>
      </c>
      <c r="E162" s="2" t="s">
        <v>635</v>
      </c>
      <c r="F162" s="2"/>
      <c r="G162" s="2" t="s">
        <v>36</v>
      </c>
      <c r="H162" s="2">
        <v>5689.33</v>
      </c>
      <c r="I162" s="2">
        <v>284.48</v>
      </c>
      <c r="J162" s="2">
        <v>5973.81</v>
      </c>
      <c r="K162" s="2">
        <v>5973.81</v>
      </c>
      <c r="L162" s="2" t="s">
        <v>22</v>
      </c>
      <c r="M162" s="2" t="s">
        <v>3844</v>
      </c>
      <c r="N162" s="2" t="s">
        <v>3843</v>
      </c>
    </row>
    <row r="163" spans="1:14" ht="45" x14ac:dyDescent="0.25">
      <c r="A163" s="2" t="s">
        <v>3271</v>
      </c>
      <c r="B163" s="2" t="s">
        <v>502</v>
      </c>
      <c r="C163" s="4">
        <v>45940</v>
      </c>
      <c r="D163" s="4">
        <v>45985</v>
      </c>
      <c r="E163" s="2" t="s">
        <v>455</v>
      </c>
      <c r="F163" s="2"/>
      <c r="G163" s="2" t="s">
        <v>21</v>
      </c>
      <c r="H163" s="2">
        <v>383.15</v>
      </c>
      <c r="I163" s="2">
        <v>19.16</v>
      </c>
      <c r="J163" s="2">
        <v>402.31</v>
      </c>
      <c r="K163" s="2">
        <v>402.31</v>
      </c>
      <c r="L163" s="2" t="s">
        <v>22</v>
      </c>
      <c r="M163" s="2" t="s">
        <v>3844</v>
      </c>
      <c r="N163" s="2" t="s">
        <v>3843</v>
      </c>
    </row>
    <row r="164" spans="1:14" x14ac:dyDescent="0.25">
      <c r="A164" s="2" t="s">
        <v>3008</v>
      </c>
      <c r="B164" s="2" t="s">
        <v>54</v>
      </c>
      <c r="C164" s="4">
        <v>45940</v>
      </c>
      <c r="D164" s="4">
        <v>45970</v>
      </c>
      <c r="E164" s="2" t="s">
        <v>987</v>
      </c>
      <c r="F164" s="2"/>
      <c r="G164" s="2" t="s">
        <v>21</v>
      </c>
      <c r="H164" s="2">
        <v>18411.330000000002</v>
      </c>
      <c r="I164" s="2">
        <v>920.57</v>
      </c>
      <c r="J164" s="2">
        <v>19331.900000000001</v>
      </c>
      <c r="K164" s="2">
        <v>19331.900000000001</v>
      </c>
      <c r="L164" s="2" t="s">
        <v>22</v>
      </c>
      <c r="M164" s="2" t="s">
        <v>3844</v>
      </c>
      <c r="N164" s="2" t="s">
        <v>3843</v>
      </c>
    </row>
    <row r="165" spans="1:14" x14ac:dyDescent="0.25">
      <c r="A165" s="2" t="s">
        <v>3267</v>
      </c>
      <c r="B165" s="2" t="s">
        <v>465</v>
      </c>
      <c r="C165" s="4">
        <v>45940</v>
      </c>
      <c r="D165" s="4">
        <v>45970</v>
      </c>
      <c r="E165" s="2" t="s">
        <v>463</v>
      </c>
      <c r="F165" s="2"/>
      <c r="G165" s="2" t="s">
        <v>21</v>
      </c>
      <c r="H165" s="2">
        <v>1766.3</v>
      </c>
      <c r="I165" s="2">
        <v>229.62</v>
      </c>
      <c r="J165" s="2">
        <v>1995.92</v>
      </c>
      <c r="K165" s="2">
        <v>1995.92</v>
      </c>
      <c r="L165" s="2" t="s">
        <v>22</v>
      </c>
      <c r="M165" s="2" t="s">
        <v>3844</v>
      </c>
      <c r="N165" s="2" t="s">
        <v>3843</v>
      </c>
    </row>
    <row r="166" spans="1:14" ht="30" x14ac:dyDescent="0.25">
      <c r="A166" s="2" t="s">
        <v>3265</v>
      </c>
      <c r="B166" s="2" t="s">
        <v>450</v>
      </c>
      <c r="C166" s="4">
        <v>45938</v>
      </c>
      <c r="D166" s="4">
        <v>45968</v>
      </c>
      <c r="E166" s="2" t="s">
        <v>468</v>
      </c>
      <c r="F166" s="2"/>
      <c r="G166" s="2" t="s">
        <v>40</v>
      </c>
      <c r="H166" s="2">
        <v>3718.3</v>
      </c>
      <c r="I166" s="2">
        <v>483.38</v>
      </c>
      <c r="J166" s="2">
        <v>4201.68</v>
      </c>
      <c r="K166" s="2">
        <v>4201.68</v>
      </c>
      <c r="L166" s="2" t="s">
        <v>22</v>
      </c>
      <c r="M166" s="2" t="s">
        <v>3844</v>
      </c>
      <c r="N166" s="2" t="s">
        <v>3843</v>
      </c>
    </row>
    <row r="167" spans="1:14" ht="30" x14ac:dyDescent="0.25">
      <c r="A167" s="2" t="s">
        <v>3251</v>
      </c>
      <c r="B167" s="2" t="s">
        <v>518</v>
      </c>
      <c r="C167" s="4">
        <v>45937</v>
      </c>
      <c r="D167" s="4">
        <v>45967</v>
      </c>
      <c r="E167" s="2" t="s">
        <v>498</v>
      </c>
      <c r="F167" s="2"/>
      <c r="G167" s="2" t="s">
        <v>36</v>
      </c>
      <c r="H167" s="2">
        <v>663</v>
      </c>
      <c r="I167" s="2"/>
      <c r="J167" s="2">
        <v>663</v>
      </c>
      <c r="K167" s="2">
        <v>663</v>
      </c>
      <c r="L167" s="2" t="s">
        <v>22</v>
      </c>
      <c r="M167" s="2" t="s">
        <v>3844</v>
      </c>
      <c r="N167" s="2" t="s">
        <v>3843</v>
      </c>
    </row>
    <row r="168" spans="1:14" ht="30" x14ac:dyDescent="0.25">
      <c r="A168" s="2" t="s">
        <v>3078</v>
      </c>
      <c r="B168" s="2" t="s">
        <v>3868</v>
      </c>
      <c r="C168" s="4">
        <v>45937</v>
      </c>
      <c r="D168" s="4">
        <v>45997</v>
      </c>
      <c r="E168" s="2" t="s">
        <v>851</v>
      </c>
      <c r="F168" s="2"/>
      <c r="G168" s="2" t="s">
        <v>21</v>
      </c>
      <c r="H168" s="2">
        <v>6649.86</v>
      </c>
      <c r="I168" s="2">
        <v>864.48</v>
      </c>
      <c r="J168" s="2">
        <v>7514.34</v>
      </c>
      <c r="K168" s="2">
        <v>7514.34</v>
      </c>
      <c r="L168" s="2" t="s">
        <v>22</v>
      </c>
      <c r="M168" s="2" t="s">
        <v>3844</v>
      </c>
      <c r="N168" s="2" t="s">
        <v>3843</v>
      </c>
    </row>
    <row r="169" spans="1:14" ht="30" x14ac:dyDescent="0.25">
      <c r="A169" s="2" t="s">
        <v>3020</v>
      </c>
      <c r="B169" s="2" t="s">
        <v>684</v>
      </c>
      <c r="C169" s="4">
        <v>45937</v>
      </c>
      <c r="D169" s="4">
        <v>45997</v>
      </c>
      <c r="E169" s="2" t="s">
        <v>963</v>
      </c>
      <c r="F169" s="2"/>
      <c r="G169" s="2" t="s">
        <v>36</v>
      </c>
      <c r="H169" s="2">
        <v>9404</v>
      </c>
      <c r="I169" s="2">
        <v>470.2</v>
      </c>
      <c r="J169" s="2">
        <v>9874.2000000000007</v>
      </c>
      <c r="K169" s="2">
        <v>9874.2000000000007</v>
      </c>
      <c r="L169" s="2" t="s">
        <v>22</v>
      </c>
      <c r="M169" s="2" t="s">
        <v>3844</v>
      </c>
      <c r="N169" s="2" t="s">
        <v>3843</v>
      </c>
    </row>
    <row r="170" spans="1:14" ht="30" x14ac:dyDescent="0.25">
      <c r="A170" s="2" t="s">
        <v>2431</v>
      </c>
      <c r="B170" s="2" t="s">
        <v>104</v>
      </c>
      <c r="C170" s="4">
        <v>45937</v>
      </c>
      <c r="D170" s="4">
        <v>45967</v>
      </c>
      <c r="E170" s="2" t="s">
        <v>1989</v>
      </c>
      <c r="F170" s="2"/>
      <c r="G170" s="2" t="s">
        <v>1132</v>
      </c>
      <c r="H170" s="2">
        <v>9717.36</v>
      </c>
      <c r="I170" s="2">
        <v>485.87</v>
      </c>
      <c r="J170" s="2">
        <v>10203.23</v>
      </c>
      <c r="K170" s="2">
        <v>10203.23</v>
      </c>
      <c r="L170" s="2" t="s">
        <v>22</v>
      </c>
      <c r="M170" s="2" t="s">
        <v>3844</v>
      </c>
      <c r="N170" s="2" t="s">
        <v>3843</v>
      </c>
    </row>
    <row r="171" spans="1:14" ht="45" x14ac:dyDescent="0.25">
      <c r="A171" s="2" t="s">
        <v>3259</v>
      </c>
      <c r="B171" s="2" t="s">
        <v>502</v>
      </c>
      <c r="C171" s="4">
        <v>45937</v>
      </c>
      <c r="D171" s="4">
        <v>45982</v>
      </c>
      <c r="E171" s="2" t="s">
        <v>481</v>
      </c>
      <c r="F171" s="2"/>
      <c r="G171" s="2" t="s">
        <v>40</v>
      </c>
      <c r="H171" s="2">
        <v>1769.12</v>
      </c>
      <c r="I171" s="2">
        <v>88.46</v>
      </c>
      <c r="J171" s="2">
        <v>1857.58</v>
      </c>
      <c r="K171" s="2">
        <v>1857.58</v>
      </c>
      <c r="L171" s="2" t="s">
        <v>22</v>
      </c>
      <c r="M171" s="2" t="s">
        <v>3844</v>
      </c>
      <c r="N171" s="2" t="s">
        <v>3843</v>
      </c>
    </row>
    <row r="172" spans="1:14" ht="30" x14ac:dyDescent="0.25">
      <c r="A172" s="2" t="s">
        <v>2901</v>
      </c>
      <c r="B172" s="2" t="s">
        <v>20</v>
      </c>
      <c r="C172" s="4">
        <v>45937</v>
      </c>
      <c r="D172" s="4">
        <v>45997</v>
      </c>
      <c r="E172" s="2" t="s">
        <v>1161</v>
      </c>
      <c r="F172" s="2"/>
      <c r="G172" s="2" t="s">
        <v>21</v>
      </c>
      <c r="H172" s="2">
        <v>6197.11</v>
      </c>
      <c r="I172" s="2">
        <v>309.86</v>
      </c>
      <c r="J172" s="2">
        <v>6506.97</v>
      </c>
      <c r="K172" s="2">
        <v>6506.97</v>
      </c>
      <c r="L172" s="2" t="s">
        <v>22</v>
      </c>
      <c r="M172" s="2" t="s">
        <v>3844</v>
      </c>
      <c r="N172" s="2" t="s">
        <v>3843</v>
      </c>
    </row>
    <row r="173" spans="1:14" x14ac:dyDescent="0.25">
      <c r="A173" s="2" t="s">
        <v>2923</v>
      </c>
      <c r="B173" s="2" t="s">
        <v>146</v>
      </c>
      <c r="C173" s="4">
        <v>45937</v>
      </c>
      <c r="D173" s="4">
        <v>45967</v>
      </c>
      <c r="E173" s="2" t="s">
        <v>1124</v>
      </c>
      <c r="F173" s="2"/>
      <c r="G173" s="2" t="s">
        <v>21</v>
      </c>
      <c r="H173" s="2">
        <v>3446.95</v>
      </c>
      <c r="I173" s="2">
        <v>172.35</v>
      </c>
      <c r="J173" s="2">
        <v>3619.3</v>
      </c>
      <c r="K173" s="2">
        <v>3619.3</v>
      </c>
      <c r="L173" s="2" t="s">
        <v>22</v>
      </c>
      <c r="M173" s="2" t="s">
        <v>3844</v>
      </c>
      <c r="N173" s="2" t="s">
        <v>3843</v>
      </c>
    </row>
    <row r="174" spans="1:14" x14ac:dyDescent="0.25">
      <c r="A174" s="2" t="s">
        <v>3256</v>
      </c>
      <c r="B174" s="2" t="s">
        <v>465</v>
      </c>
      <c r="C174" s="4">
        <v>45937</v>
      </c>
      <c r="D174" s="4">
        <v>45967</v>
      </c>
      <c r="E174" s="2" t="s">
        <v>487</v>
      </c>
      <c r="F174" s="2"/>
      <c r="G174" s="2" t="s">
        <v>40</v>
      </c>
      <c r="H174" s="2">
        <v>304.68</v>
      </c>
      <c r="I174" s="2">
        <v>39.61</v>
      </c>
      <c r="J174" s="2">
        <v>344.29</v>
      </c>
      <c r="K174" s="2">
        <v>344.29</v>
      </c>
      <c r="L174" s="2" t="s">
        <v>22</v>
      </c>
      <c r="M174" s="2" t="s">
        <v>3844</v>
      </c>
      <c r="N174" s="2" t="s">
        <v>3843</v>
      </c>
    </row>
    <row r="175" spans="1:14" x14ac:dyDescent="0.25">
      <c r="A175" s="2" t="s">
        <v>3257</v>
      </c>
      <c r="B175" s="2" t="s">
        <v>64</v>
      </c>
      <c r="C175" s="4">
        <v>45937</v>
      </c>
      <c r="D175" s="4">
        <v>45967</v>
      </c>
      <c r="E175" s="2" t="s">
        <v>485</v>
      </c>
      <c r="F175" s="2"/>
      <c r="G175" s="2" t="s">
        <v>21</v>
      </c>
      <c r="H175" s="2">
        <v>1255.08</v>
      </c>
      <c r="I175" s="2">
        <v>163.16</v>
      </c>
      <c r="J175" s="2">
        <v>1418.24</v>
      </c>
      <c r="K175" s="2">
        <v>1418.24</v>
      </c>
      <c r="L175" s="2" t="s">
        <v>22</v>
      </c>
      <c r="M175" s="2" t="s">
        <v>3844</v>
      </c>
      <c r="N175" s="2" t="s">
        <v>3843</v>
      </c>
    </row>
    <row r="176" spans="1:14" x14ac:dyDescent="0.25">
      <c r="A176" s="2" t="s">
        <v>3148</v>
      </c>
      <c r="B176" s="2" t="s">
        <v>714</v>
      </c>
      <c r="C176" s="4">
        <v>45937</v>
      </c>
      <c r="D176" s="4">
        <v>45967</v>
      </c>
      <c r="E176" s="2" t="s">
        <v>712</v>
      </c>
      <c r="F176" s="2"/>
      <c r="G176" s="2" t="s">
        <v>21</v>
      </c>
      <c r="H176" s="2">
        <v>336.57</v>
      </c>
      <c r="I176" s="2"/>
      <c r="J176" s="2">
        <v>336.57</v>
      </c>
      <c r="K176" s="2">
        <v>241.39</v>
      </c>
      <c r="L176" s="2" t="s">
        <v>51</v>
      </c>
      <c r="M176" s="2" t="s">
        <v>3844</v>
      </c>
      <c r="N176" s="2" t="s">
        <v>3843</v>
      </c>
    </row>
    <row r="177" spans="1:14" ht="45" x14ac:dyDescent="0.25">
      <c r="A177" s="2" t="s">
        <v>3249</v>
      </c>
      <c r="B177" s="2" t="s">
        <v>502</v>
      </c>
      <c r="C177" s="4">
        <v>45937</v>
      </c>
      <c r="D177" s="4">
        <v>45982</v>
      </c>
      <c r="E177" s="2" t="s">
        <v>503</v>
      </c>
      <c r="F177" s="2"/>
      <c r="G177" s="2" t="s">
        <v>40</v>
      </c>
      <c r="H177" s="2">
        <v>3200.66</v>
      </c>
      <c r="I177" s="2">
        <v>160.04</v>
      </c>
      <c r="J177" s="2">
        <v>3360.7</v>
      </c>
      <c r="K177" s="2">
        <v>3360.7</v>
      </c>
      <c r="L177" s="2" t="s">
        <v>22</v>
      </c>
      <c r="M177" s="2" t="s">
        <v>3844</v>
      </c>
      <c r="N177" s="2" t="s">
        <v>3843</v>
      </c>
    </row>
    <row r="178" spans="1:14" ht="45" x14ac:dyDescent="0.25">
      <c r="A178" s="2" t="s">
        <v>3250</v>
      </c>
      <c r="B178" s="2" t="s">
        <v>502</v>
      </c>
      <c r="C178" s="4">
        <v>45937</v>
      </c>
      <c r="D178" s="4">
        <v>45982</v>
      </c>
      <c r="E178" s="2" t="s">
        <v>500</v>
      </c>
      <c r="F178" s="2"/>
      <c r="G178" s="2" t="s">
        <v>21</v>
      </c>
      <c r="H178" s="2">
        <v>1495.52</v>
      </c>
      <c r="I178" s="2">
        <v>74.78</v>
      </c>
      <c r="J178" s="2">
        <v>1570.3</v>
      </c>
      <c r="K178" s="2">
        <v>1570.3</v>
      </c>
      <c r="L178" s="2" t="s">
        <v>22</v>
      </c>
      <c r="M178" s="2" t="s">
        <v>3844</v>
      </c>
      <c r="N178" s="2" t="s">
        <v>3843</v>
      </c>
    </row>
    <row r="179" spans="1:14" ht="30" x14ac:dyDescent="0.25">
      <c r="A179" s="2" t="s">
        <v>3247</v>
      </c>
      <c r="B179" s="2" t="s">
        <v>104</v>
      </c>
      <c r="C179" s="4">
        <v>45937</v>
      </c>
      <c r="D179" s="4">
        <v>45967</v>
      </c>
      <c r="E179" s="2" t="s">
        <v>510</v>
      </c>
      <c r="F179" s="2"/>
      <c r="G179" s="2" t="s">
        <v>74</v>
      </c>
      <c r="H179" s="2">
        <v>168.59</v>
      </c>
      <c r="I179" s="2">
        <v>8.43</v>
      </c>
      <c r="J179" s="2">
        <v>177.02</v>
      </c>
      <c r="K179" s="2">
        <v>177.02</v>
      </c>
      <c r="L179" s="2" t="s">
        <v>22</v>
      </c>
      <c r="M179" s="2" t="s">
        <v>3844</v>
      </c>
      <c r="N179" s="2" t="s">
        <v>3843</v>
      </c>
    </row>
    <row r="180" spans="1:14" ht="30" x14ac:dyDescent="0.25">
      <c r="A180" s="2" t="s">
        <v>3218</v>
      </c>
      <c r="B180" s="2" t="s">
        <v>104</v>
      </c>
      <c r="C180" s="4">
        <v>45937</v>
      </c>
      <c r="D180" s="4">
        <v>45967</v>
      </c>
      <c r="E180" s="2" t="s">
        <v>563</v>
      </c>
      <c r="F180" s="2"/>
      <c r="G180" s="2" t="s">
        <v>40</v>
      </c>
      <c r="H180" s="2">
        <v>50</v>
      </c>
      <c r="I180" s="2">
        <v>2.5</v>
      </c>
      <c r="J180" s="2">
        <v>52.5</v>
      </c>
      <c r="K180" s="2">
        <v>52.5</v>
      </c>
      <c r="L180" s="2" t="s">
        <v>22</v>
      </c>
      <c r="M180" s="2" t="s">
        <v>3844</v>
      </c>
      <c r="N180" s="2" t="s">
        <v>3843</v>
      </c>
    </row>
    <row r="181" spans="1:14" ht="30" x14ac:dyDescent="0.25">
      <c r="A181" s="2" t="s">
        <v>3228</v>
      </c>
      <c r="B181" s="2" t="s">
        <v>104</v>
      </c>
      <c r="C181" s="4">
        <v>45937</v>
      </c>
      <c r="D181" s="4">
        <v>45967</v>
      </c>
      <c r="E181" s="2" t="s">
        <v>546</v>
      </c>
      <c r="F181" s="2"/>
      <c r="G181" s="2" t="s">
        <v>40</v>
      </c>
      <c r="H181" s="2">
        <v>759.21</v>
      </c>
      <c r="I181" s="2">
        <v>37.96</v>
      </c>
      <c r="J181" s="2">
        <v>797.17</v>
      </c>
      <c r="K181" s="2">
        <v>797.17</v>
      </c>
      <c r="L181" s="2" t="s">
        <v>22</v>
      </c>
      <c r="M181" s="2" t="s">
        <v>3844</v>
      </c>
      <c r="N181" s="2" t="s">
        <v>3843</v>
      </c>
    </row>
    <row r="182" spans="1:14" ht="30" x14ac:dyDescent="0.25">
      <c r="A182" s="2" t="s">
        <v>3239</v>
      </c>
      <c r="B182" s="2" t="s">
        <v>104</v>
      </c>
      <c r="C182" s="4">
        <v>45937</v>
      </c>
      <c r="D182" s="4">
        <v>45967</v>
      </c>
      <c r="E182" s="2" t="s">
        <v>525</v>
      </c>
      <c r="F182" s="2"/>
      <c r="G182" s="2" t="s">
        <v>36</v>
      </c>
      <c r="H182" s="2">
        <v>2627.35</v>
      </c>
      <c r="I182" s="2">
        <v>131.37</v>
      </c>
      <c r="J182" s="2">
        <v>2758.72</v>
      </c>
      <c r="K182" s="2">
        <v>2758.72</v>
      </c>
      <c r="L182" s="2" t="s">
        <v>22</v>
      </c>
      <c r="M182" s="2" t="s">
        <v>3844</v>
      </c>
      <c r="N182" s="2" t="s">
        <v>3843</v>
      </c>
    </row>
    <row r="183" spans="1:14" x14ac:dyDescent="0.25">
      <c r="A183" s="2" t="s">
        <v>3260</v>
      </c>
      <c r="B183" s="2" t="s">
        <v>141</v>
      </c>
      <c r="C183" s="4">
        <v>45937</v>
      </c>
      <c r="D183" s="4">
        <v>45982</v>
      </c>
      <c r="E183" s="2" t="s">
        <v>479</v>
      </c>
      <c r="F183" s="2"/>
      <c r="G183" s="2" t="s">
        <v>21</v>
      </c>
      <c r="H183" s="2">
        <v>1365.45</v>
      </c>
      <c r="I183" s="2"/>
      <c r="J183" s="2">
        <v>1365.45</v>
      </c>
      <c r="K183" s="2">
        <v>979.3</v>
      </c>
      <c r="L183" s="2" t="s">
        <v>51</v>
      </c>
      <c r="M183" s="2" t="s">
        <v>3844</v>
      </c>
      <c r="N183" s="2" t="s">
        <v>3843</v>
      </c>
    </row>
    <row r="184" spans="1:14" ht="30" x14ac:dyDescent="0.25">
      <c r="A184" s="2" t="s">
        <v>2838</v>
      </c>
      <c r="B184" s="2" t="s">
        <v>4171</v>
      </c>
      <c r="C184" s="4">
        <v>45937</v>
      </c>
      <c r="D184" s="4">
        <v>45937</v>
      </c>
      <c r="E184" s="2" t="s">
        <v>1269</v>
      </c>
      <c r="F184" s="2"/>
      <c r="G184" s="2" t="s">
        <v>180</v>
      </c>
      <c r="H184" s="2">
        <v>3708.86</v>
      </c>
      <c r="I184" s="2"/>
      <c r="J184" s="2">
        <v>3708.86</v>
      </c>
      <c r="K184" s="2">
        <v>2660</v>
      </c>
      <c r="L184" s="2" t="s">
        <v>51</v>
      </c>
      <c r="M184" s="2" t="s">
        <v>3844</v>
      </c>
      <c r="N184" s="2" t="s">
        <v>3843</v>
      </c>
    </row>
    <row r="185" spans="1:14" ht="30" x14ac:dyDescent="0.25">
      <c r="A185" s="2" t="s">
        <v>3255</v>
      </c>
      <c r="B185" s="2" t="s">
        <v>39</v>
      </c>
      <c r="C185" s="4">
        <v>45936</v>
      </c>
      <c r="D185" s="4">
        <v>45937</v>
      </c>
      <c r="E185" s="2" t="s">
        <v>489</v>
      </c>
      <c r="F185" s="2"/>
      <c r="G185" s="2" t="s">
        <v>36</v>
      </c>
      <c r="H185" s="2">
        <v>5276.54</v>
      </c>
      <c r="I185" s="2">
        <v>263.83</v>
      </c>
      <c r="J185" s="2">
        <v>5540.37</v>
      </c>
      <c r="K185" s="2">
        <v>5540.37</v>
      </c>
      <c r="L185" s="2" t="s">
        <v>22</v>
      </c>
      <c r="M185" s="2" t="s">
        <v>3844</v>
      </c>
      <c r="N185" s="2" t="s">
        <v>3843</v>
      </c>
    </row>
    <row r="186" spans="1:14" ht="30" x14ac:dyDescent="0.25">
      <c r="A186" s="2" t="s">
        <v>3003</v>
      </c>
      <c r="B186" s="2" t="s">
        <v>4124</v>
      </c>
      <c r="C186" s="4">
        <v>45936</v>
      </c>
      <c r="D186" s="4">
        <v>45966</v>
      </c>
      <c r="E186" s="2" t="s">
        <v>995</v>
      </c>
      <c r="F186" s="2"/>
      <c r="G186" s="2" t="s">
        <v>21</v>
      </c>
      <c r="H186" s="2">
        <v>1549.78</v>
      </c>
      <c r="I186" s="2">
        <v>77.489999999999995</v>
      </c>
      <c r="J186" s="2">
        <v>1627.27</v>
      </c>
      <c r="K186" s="2">
        <v>1627.27</v>
      </c>
      <c r="L186" s="2" t="s">
        <v>22</v>
      </c>
      <c r="M186" s="2" t="s">
        <v>3844</v>
      </c>
      <c r="N186" s="2" t="s">
        <v>3843</v>
      </c>
    </row>
    <row r="187" spans="1:14" ht="30" x14ac:dyDescent="0.25">
      <c r="A187" s="2" t="s">
        <v>2861</v>
      </c>
      <c r="B187" s="2" t="s">
        <v>4133</v>
      </c>
      <c r="C187" s="4">
        <v>45936</v>
      </c>
      <c r="D187" s="4">
        <v>45936</v>
      </c>
      <c r="E187" s="2" t="s">
        <v>1229</v>
      </c>
      <c r="F187" s="2"/>
      <c r="G187" s="2" t="s">
        <v>21</v>
      </c>
      <c r="H187" s="2">
        <v>9932.14</v>
      </c>
      <c r="I187" s="2">
        <v>496.61</v>
      </c>
      <c r="J187" s="2">
        <v>10428.75</v>
      </c>
      <c r="K187" s="2">
        <v>10428.75</v>
      </c>
      <c r="L187" s="2" t="s">
        <v>22</v>
      </c>
      <c r="M187" s="2" t="s">
        <v>3844</v>
      </c>
      <c r="N187" s="2" t="s">
        <v>3843</v>
      </c>
    </row>
    <row r="188" spans="1:14" ht="30" x14ac:dyDescent="0.25">
      <c r="A188" s="2" t="s">
        <v>3254</v>
      </c>
      <c r="B188" s="2" t="s">
        <v>576</v>
      </c>
      <c r="C188" s="4">
        <v>45936</v>
      </c>
      <c r="D188" s="4">
        <v>45966</v>
      </c>
      <c r="E188" s="2" t="s">
        <v>491</v>
      </c>
      <c r="F188" s="2"/>
      <c r="G188" s="2" t="s">
        <v>21</v>
      </c>
      <c r="H188" s="2">
        <v>373.11</v>
      </c>
      <c r="I188" s="2">
        <v>18.66</v>
      </c>
      <c r="J188" s="2">
        <v>391.77</v>
      </c>
      <c r="K188" s="2">
        <v>391.77</v>
      </c>
      <c r="L188" s="2" t="s">
        <v>22</v>
      </c>
      <c r="M188" s="2" t="s">
        <v>3844</v>
      </c>
      <c r="N188" s="2" t="s">
        <v>3843</v>
      </c>
    </row>
    <row r="189" spans="1:14" ht="30" x14ac:dyDescent="0.25">
      <c r="A189" s="2" t="s">
        <v>3243</v>
      </c>
      <c r="B189" s="2" t="s">
        <v>159</v>
      </c>
      <c r="C189" s="4">
        <v>45936</v>
      </c>
      <c r="D189" s="4">
        <v>45981</v>
      </c>
      <c r="E189" s="2" t="s">
        <v>519</v>
      </c>
      <c r="F189" s="2"/>
      <c r="G189" s="2" t="s">
        <v>40</v>
      </c>
      <c r="H189" s="2">
        <v>249491.24</v>
      </c>
      <c r="I189" s="2"/>
      <c r="J189" s="2">
        <v>249491.24</v>
      </c>
      <c r="K189" s="2">
        <v>178684.57</v>
      </c>
      <c r="L189" s="2" t="s">
        <v>51</v>
      </c>
      <c r="M189" s="2" t="s">
        <v>3844</v>
      </c>
      <c r="N189" s="2" t="s">
        <v>3843</v>
      </c>
    </row>
    <row r="190" spans="1:14" ht="30" x14ac:dyDescent="0.25">
      <c r="A190" s="2" t="s">
        <v>3189</v>
      </c>
      <c r="B190" s="2" t="s">
        <v>159</v>
      </c>
      <c r="C190" s="4">
        <v>45936</v>
      </c>
      <c r="D190" s="4">
        <v>45981</v>
      </c>
      <c r="E190" s="2" t="s">
        <v>633</v>
      </c>
      <c r="F190" s="2"/>
      <c r="G190" s="2" t="s">
        <v>40</v>
      </c>
      <c r="H190" s="2">
        <v>7524.65</v>
      </c>
      <c r="I190" s="2"/>
      <c r="J190" s="2">
        <v>7524.65</v>
      </c>
      <c r="K190" s="2">
        <v>5389.12</v>
      </c>
      <c r="L190" s="2" t="s">
        <v>51</v>
      </c>
      <c r="M190" s="2" t="s">
        <v>3844</v>
      </c>
      <c r="N190" s="2" t="s">
        <v>3843</v>
      </c>
    </row>
    <row r="191" spans="1:14" ht="30" x14ac:dyDescent="0.25">
      <c r="A191" s="2" t="s">
        <v>3108</v>
      </c>
      <c r="B191" s="2" t="s">
        <v>159</v>
      </c>
      <c r="C191" s="4">
        <v>45936</v>
      </c>
      <c r="D191" s="4">
        <v>45981</v>
      </c>
      <c r="E191" s="2" t="s">
        <v>795</v>
      </c>
      <c r="F191" s="2"/>
      <c r="G191" s="2" t="s">
        <v>40</v>
      </c>
      <c r="H191" s="2">
        <v>16480.689999999999</v>
      </c>
      <c r="I191" s="2"/>
      <c r="J191" s="2">
        <v>16480.689999999999</v>
      </c>
      <c r="K191" s="2">
        <v>11803.4</v>
      </c>
      <c r="L191" s="2" t="s">
        <v>51</v>
      </c>
      <c r="M191" s="2" t="s">
        <v>3844</v>
      </c>
      <c r="N191" s="2" t="s">
        <v>3843</v>
      </c>
    </row>
    <row r="192" spans="1:14" ht="30" x14ac:dyDescent="0.25">
      <c r="A192" s="2" t="s">
        <v>2812</v>
      </c>
      <c r="B192" s="2" t="s">
        <v>159</v>
      </c>
      <c r="C192" s="4">
        <v>45936</v>
      </c>
      <c r="D192" s="4">
        <v>45981</v>
      </c>
      <c r="E192" s="2" t="s">
        <v>1318</v>
      </c>
      <c r="F192" s="2"/>
      <c r="G192" s="2" t="s">
        <v>40</v>
      </c>
      <c r="H192" s="2">
        <v>7251.51</v>
      </c>
      <c r="I192" s="2"/>
      <c r="J192" s="2">
        <v>7251.51</v>
      </c>
      <c r="K192" s="2">
        <v>5193.5</v>
      </c>
      <c r="L192" s="2" t="s">
        <v>51</v>
      </c>
      <c r="M192" s="2" t="s">
        <v>3844</v>
      </c>
      <c r="N192" s="2" t="s">
        <v>3843</v>
      </c>
    </row>
    <row r="193" spans="1:14" ht="30" x14ac:dyDescent="0.25">
      <c r="A193" s="2" t="s">
        <v>2828</v>
      </c>
      <c r="B193" s="2" t="s">
        <v>159</v>
      </c>
      <c r="C193" s="4">
        <v>45936</v>
      </c>
      <c r="D193" s="4">
        <v>45981</v>
      </c>
      <c r="E193" s="2" t="s">
        <v>1289</v>
      </c>
      <c r="F193" s="2"/>
      <c r="G193" s="2" t="s">
        <v>40</v>
      </c>
      <c r="H193" s="2">
        <v>3525.85</v>
      </c>
      <c r="I193" s="2"/>
      <c r="J193" s="2">
        <v>3525.85</v>
      </c>
      <c r="K193" s="2">
        <v>2525.1999999999998</v>
      </c>
      <c r="L193" s="2" t="s">
        <v>51</v>
      </c>
      <c r="M193" s="2" t="s">
        <v>3844</v>
      </c>
      <c r="N193" s="2" t="s">
        <v>3843</v>
      </c>
    </row>
    <row r="194" spans="1:14" ht="30" x14ac:dyDescent="0.25">
      <c r="A194" s="2" t="s">
        <v>2863</v>
      </c>
      <c r="B194" s="2" t="s">
        <v>159</v>
      </c>
      <c r="C194" s="4">
        <v>45936</v>
      </c>
      <c r="D194" s="4">
        <v>45981</v>
      </c>
      <c r="E194" s="2" t="s">
        <v>1225</v>
      </c>
      <c r="F194" s="2"/>
      <c r="G194" s="2" t="s">
        <v>40</v>
      </c>
      <c r="H194" s="2">
        <v>732.06</v>
      </c>
      <c r="I194" s="2"/>
      <c r="J194" s="2">
        <v>732.06</v>
      </c>
      <c r="K194" s="2">
        <v>524.29999999999995</v>
      </c>
      <c r="L194" s="2" t="s">
        <v>51</v>
      </c>
      <c r="M194" s="2" t="s">
        <v>3844</v>
      </c>
      <c r="N194" s="2" t="s">
        <v>3843</v>
      </c>
    </row>
    <row r="195" spans="1:14" ht="30" x14ac:dyDescent="0.25">
      <c r="A195" s="2" t="s">
        <v>3240</v>
      </c>
      <c r="B195" s="2" t="s">
        <v>20</v>
      </c>
      <c r="C195" s="4">
        <v>45932</v>
      </c>
      <c r="D195" s="4">
        <v>45992</v>
      </c>
      <c r="E195" s="2" t="s">
        <v>523</v>
      </c>
      <c r="F195" s="2"/>
      <c r="G195" s="2" t="s">
        <v>36</v>
      </c>
      <c r="H195" s="2">
        <v>956.66</v>
      </c>
      <c r="I195" s="2">
        <v>47.84</v>
      </c>
      <c r="J195" s="2">
        <v>1004.5</v>
      </c>
      <c r="K195" s="2">
        <v>1004.5</v>
      </c>
      <c r="L195" s="2" t="s">
        <v>22</v>
      </c>
      <c r="M195" s="2" t="s">
        <v>3844</v>
      </c>
      <c r="N195" s="2" t="s">
        <v>3843</v>
      </c>
    </row>
    <row r="196" spans="1:14" ht="30" x14ac:dyDescent="0.25">
      <c r="A196" s="2" t="s">
        <v>3246</v>
      </c>
      <c r="B196" s="2" t="s">
        <v>20</v>
      </c>
      <c r="C196" s="4">
        <v>45932</v>
      </c>
      <c r="D196" s="4">
        <v>45992</v>
      </c>
      <c r="E196" s="2" t="s">
        <v>512</v>
      </c>
      <c r="F196" s="2"/>
      <c r="G196" s="2" t="s">
        <v>36</v>
      </c>
      <c r="H196" s="2">
        <v>1353.38</v>
      </c>
      <c r="I196" s="2">
        <v>67.67</v>
      </c>
      <c r="J196" s="2">
        <v>1421.05</v>
      </c>
      <c r="K196" s="2">
        <v>1421.05</v>
      </c>
      <c r="L196" s="2" t="s">
        <v>22</v>
      </c>
      <c r="M196" s="2" t="s">
        <v>3844</v>
      </c>
      <c r="N196" s="2" t="s">
        <v>3843</v>
      </c>
    </row>
    <row r="197" spans="1:14" ht="30" x14ac:dyDescent="0.25">
      <c r="A197" s="2" t="s">
        <v>3214</v>
      </c>
      <c r="B197" s="2" t="s">
        <v>576</v>
      </c>
      <c r="C197" s="4">
        <v>45932</v>
      </c>
      <c r="D197" s="4">
        <v>45962</v>
      </c>
      <c r="E197" s="2" t="s">
        <v>574</v>
      </c>
      <c r="F197" s="2"/>
      <c r="G197" s="2" t="s">
        <v>40</v>
      </c>
      <c r="H197" s="2">
        <v>2779.84</v>
      </c>
      <c r="I197" s="2">
        <v>138.99</v>
      </c>
      <c r="J197" s="2">
        <v>2918.83</v>
      </c>
      <c r="K197" s="2">
        <v>2918.83</v>
      </c>
      <c r="L197" s="2" t="s">
        <v>22</v>
      </c>
      <c r="M197" s="2" t="s">
        <v>3844</v>
      </c>
      <c r="N197" s="2" t="s">
        <v>3843</v>
      </c>
    </row>
    <row r="198" spans="1:14" ht="30" x14ac:dyDescent="0.25">
      <c r="A198" s="2" t="s">
        <v>3241</v>
      </c>
      <c r="B198" s="2" t="s">
        <v>129</v>
      </c>
      <c r="C198" s="4">
        <v>45932</v>
      </c>
      <c r="D198" s="4">
        <v>45992</v>
      </c>
      <c r="E198" s="2" t="s">
        <v>521</v>
      </c>
      <c r="F198" s="2"/>
      <c r="G198" s="2" t="s">
        <v>130</v>
      </c>
      <c r="H198" s="2">
        <v>1350.16</v>
      </c>
      <c r="I198" s="2"/>
      <c r="J198" s="2">
        <v>1350.16</v>
      </c>
      <c r="K198" s="2">
        <v>966</v>
      </c>
      <c r="L198" s="2" t="s">
        <v>51</v>
      </c>
      <c r="M198" s="2" t="s">
        <v>3844</v>
      </c>
      <c r="N198" s="2" t="s">
        <v>3843</v>
      </c>
    </row>
    <row r="199" spans="1:14" ht="30" x14ac:dyDescent="0.25">
      <c r="A199" s="2" t="s">
        <v>3224</v>
      </c>
      <c r="B199" s="2" t="s">
        <v>39</v>
      </c>
      <c r="C199" s="4">
        <v>45931</v>
      </c>
      <c r="D199" s="4">
        <v>45961</v>
      </c>
      <c r="E199" s="2" t="s">
        <v>552</v>
      </c>
      <c r="F199" s="2"/>
      <c r="G199" s="2" t="s">
        <v>21</v>
      </c>
      <c r="H199" s="2">
        <v>1863.92</v>
      </c>
      <c r="I199" s="2">
        <v>93.2</v>
      </c>
      <c r="J199" s="2">
        <v>1957.12</v>
      </c>
      <c r="K199" s="2">
        <v>1957.12</v>
      </c>
      <c r="L199" s="2" t="s">
        <v>22</v>
      </c>
      <c r="M199" s="2" t="s">
        <v>3844</v>
      </c>
      <c r="N199" s="2" t="s">
        <v>3843</v>
      </c>
    </row>
    <row r="200" spans="1:14" x14ac:dyDescent="0.25">
      <c r="A200" s="2" t="s">
        <v>2936</v>
      </c>
      <c r="B200" s="2" t="s">
        <v>465</v>
      </c>
      <c r="C200" s="4">
        <v>45931</v>
      </c>
      <c r="D200" s="4">
        <v>45961</v>
      </c>
      <c r="E200" s="2" t="s">
        <v>1106</v>
      </c>
      <c r="F200" s="2"/>
      <c r="G200" s="2" t="s">
        <v>21</v>
      </c>
      <c r="H200" s="2">
        <v>2274.2199999999998</v>
      </c>
      <c r="I200" s="2">
        <v>295.64999999999998</v>
      </c>
      <c r="J200" s="2">
        <v>2569.87</v>
      </c>
      <c r="K200" s="2">
        <v>2569.87</v>
      </c>
      <c r="L200" s="2" t="s">
        <v>22</v>
      </c>
      <c r="M200" s="2" t="s">
        <v>3844</v>
      </c>
      <c r="N200" s="2" t="s">
        <v>3843</v>
      </c>
    </row>
    <row r="201" spans="1:14" ht="30" x14ac:dyDescent="0.25">
      <c r="A201" s="2" t="s">
        <v>2938</v>
      </c>
      <c r="B201" s="2" t="s">
        <v>3880</v>
      </c>
      <c r="C201" s="4">
        <v>45931</v>
      </c>
      <c r="D201" s="4">
        <v>45991</v>
      </c>
      <c r="E201" s="2" t="s">
        <v>1103</v>
      </c>
      <c r="F201" s="2"/>
      <c r="G201" s="2" t="s">
        <v>21</v>
      </c>
      <c r="H201" s="2">
        <v>406</v>
      </c>
      <c r="I201" s="2">
        <v>52.78</v>
      </c>
      <c r="J201" s="2">
        <v>458.78</v>
      </c>
      <c r="K201" s="2">
        <v>458.78</v>
      </c>
      <c r="L201" s="2" t="s">
        <v>22</v>
      </c>
      <c r="M201" s="2" t="s">
        <v>3844</v>
      </c>
      <c r="N201" s="2" t="s">
        <v>3843</v>
      </c>
    </row>
    <row r="202" spans="1:14" ht="30" x14ac:dyDescent="0.25">
      <c r="A202" s="2" t="s">
        <v>3031</v>
      </c>
      <c r="B202" s="2" t="s">
        <v>39</v>
      </c>
      <c r="C202" s="4">
        <v>45931</v>
      </c>
      <c r="D202" s="4">
        <v>45961</v>
      </c>
      <c r="E202" s="2" t="s">
        <v>944</v>
      </c>
      <c r="F202" s="2"/>
      <c r="G202" s="2" t="s">
        <v>36</v>
      </c>
      <c r="H202" s="2">
        <v>242.22</v>
      </c>
      <c r="I202" s="2">
        <v>12.11</v>
      </c>
      <c r="J202" s="2">
        <v>254.33</v>
      </c>
      <c r="K202" s="2">
        <v>254.33</v>
      </c>
      <c r="L202" s="2" t="s">
        <v>22</v>
      </c>
      <c r="M202" s="2" t="s">
        <v>3844</v>
      </c>
      <c r="N202" s="2" t="s">
        <v>3843</v>
      </c>
    </row>
    <row r="203" spans="1:14" ht="30" x14ac:dyDescent="0.25">
      <c r="A203" s="2" t="s">
        <v>3198</v>
      </c>
      <c r="B203" s="2" t="s">
        <v>4124</v>
      </c>
      <c r="C203" s="4">
        <v>45931</v>
      </c>
      <c r="D203" s="4">
        <v>45961</v>
      </c>
      <c r="E203" s="2" t="s">
        <v>613</v>
      </c>
      <c r="F203" s="2"/>
      <c r="G203" s="2" t="s">
        <v>21</v>
      </c>
      <c r="H203" s="2">
        <v>5815.61</v>
      </c>
      <c r="I203" s="2">
        <v>290.77999999999997</v>
      </c>
      <c r="J203" s="2">
        <v>6106.39</v>
      </c>
      <c r="K203" s="2">
        <v>6106.39</v>
      </c>
      <c r="L203" s="2" t="s">
        <v>22</v>
      </c>
      <c r="M203" s="2" t="s">
        <v>3844</v>
      </c>
      <c r="N203" s="2" t="s">
        <v>3843</v>
      </c>
    </row>
    <row r="204" spans="1:14" ht="45" x14ac:dyDescent="0.25">
      <c r="A204" s="2" t="s">
        <v>3204</v>
      </c>
      <c r="B204" s="2" t="s">
        <v>1705</v>
      </c>
      <c r="C204" s="4">
        <v>45931</v>
      </c>
      <c r="D204" s="4">
        <v>45961</v>
      </c>
      <c r="E204" s="2" t="s">
        <v>600</v>
      </c>
      <c r="F204" s="2"/>
      <c r="G204" s="2" t="s">
        <v>67</v>
      </c>
      <c r="H204" s="2">
        <v>5988</v>
      </c>
      <c r="I204" s="2">
        <v>778.44</v>
      </c>
      <c r="J204" s="2">
        <v>6766.44</v>
      </c>
      <c r="K204" s="2">
        <v>6766.44</v>
      </c>
      <c r="L204" s="2" t="s">
        <v>22</v>
      </c>
      <c r="M204" s="2" t="s">
        <v>3844</v>
      </c>
      <c r="N204" s="2" t="s">
        <v>3843</v>
      </c>
    </row>
    <row r="205" spans="1:14" ht="30" x14ac:dyDescent="0.25">
      <c r="A205" s="2" t="s">
        <v>3035</v>
      </c>
      <c r="B205" s="2" t="s">
        <v>129</v>
      </c>
      <c r="C205" s="4">
        <v>45931</v>
      </c>
      <c r="D205" s="4">
        <v>45991</v>
      </c>
      <c r="E205" s="2" t="s">
        <v>938</v>
      </c>
      <c r="F205" s="2"/>
      <c r="G205" s="2" t="s">
        <v>130</v>
      </c>
      <c r="H205" s="2">
        <v>14211.15</v>
      </c>
      <c r="I205" s="2"/>
      <c r="J205" s="2">
        <v>14211.15</v>
      </c>
      <c r="K205" s="2">
        <v>10202</v>
      </c>
      <c r="L205" s="2" t="s">
        <v>51</v>
      </c>
      <c r="M205" s="2" t="s">
        <v>3844</v>
      </c>
      <c r="N205" s="2" t="s">
        <v>3843</v>
      </c>
    </row>
    <row r="206" spans="1:14" ht="30" x14ac:dyDescent="0.25">
      <c r="A206" s="2" t="s">
        <v>2983</v>
      </c>
      <c r="B206" s="2" t="s">
        <v>129</v>
      </c>
      <c r="C206" s="4">
        <v>45931</v>
      </c>
      <c r="D206" s="4">
        <v>45991</v>
      </c>
      <c r="E206" s="2" t="s">
        <v>1025</v>
      </c>
      <c r="F206" s="2"/>
      <c r="G206" s="2" t="s">
        <v>130</v>
      </c>
      <c r="H206" s="2">
        <v>4039.63</v>
      </c>
      <c r="I206" s="2"/>
      <c r="J206" s="2">
        <v>4039.63</v>
      </c>
      <c r="K206" s="2">
        <v>2900</v>
      </c>
      <c r="L206" s="2" t="s">
        <v>51</v>
      </c>
      <c r="M206" s="2" t="s">
        <v>3844</v>
      </c>
      <c r="N206" s="2" t="s">
        <v>3843</v>
      </c>
    </row>
    <row r="207" spans="1:14" x14ac:dyDescent="0.25">
      <c r="A207" s="2" t="s">
        <v>3232</v>
      </c>
      <c r="B207" s="2" t="s">
        <v>54</v>
      </c>
      <c r="C207" s="4">
        <v>45931</v>
      </c>
      <c r="D207" s="4">
        <v>45961</v>
      </c>
      <c r="E207" s="2" t="s">
        <v>540</v>
      </c>
      <c r="F207" s="2"/>
      <c r="G207" s="2" t="s">
        <v>21</v>
      </c>
      <c r="H207" s="2">
        <v>1761.16</v>
      </c>
      <c r="I207" s="2">
        <v>88.06</v>
      </c>
      <c r="J207" s="2">
        <v>1849.22</v>
      </c>
      <c r="K207" s="2">
        <v>1849.22</v>
      </c>
      <c r="L207" s="2" t="s">
        <v>22</v>
      </c>
      <c r="M207" s="2" t="s">
        <v>3844</v>
      </c>
      <c r="N207" s="2" t="s">
        <v>3843</v>
      </c>
    </row>
    <row r="208" spans="1:14" x14ac:dyDescent="0.25">
      <c r="A208" s="2" t="s">
        <v>3245</v>
      </c>
      <c r="B208" s="2" t="s">
        <v>54</v>
      </c>
      <c r="C208" s="4">
        <v>45931</v>
      </c>
      <c r="D208" s="4">
        <v>45961</v>
      </c>
      <c r="E208" s="2" t="s">
        <v>514</v>
      </c>
      <c r="F208" s="2"/>
      <c r="G208" s="2" t="s">
        <v>21</v>
      </c>
      <c r="H208" s="2">
        <v>463.06</v>
      </c>
      <c r="I208" s="2">
        <v>23.15</v>
      </c>
      <c r="J208" s="2">
        <v>486.21</v>
      </c>
      <c r="K208" s="2">
        <v>486.21</v>
      </c>
      <c r="L208" s="2" t="s">
        <v>22</v>
      </c>
      <c r="M208" s="2" t="s">
        <v>3844</v>
      </c>
      <c r="N208" s="2" t="s">
        <v>3843</v>
      </c>
    </row>
    <row r="209" spans="1:14" x14ac:dyDescent="0.25">
      <c r="A209" s="2" t="s">
        <v>3236</v>
      </c>
      <c r="B209" s="2" t="s">
        <v>64</v>
      </c>
      <c r="C209" s="4">
        <v>45931</v>
      </c>
      <c r="D209" s="4">
        <v>45961</v>
      </c>
      <c r="E209" s="2" t="s">
        <v>533</v>
      </c>
      <c r="F209" s="2"/>
      <c r="G209" s="2" t="s">
        <v>21</v>
      </c>
      <c r="H209" s="2">
        <v>730.78</v>
      </c>
      <c r="I209" s="2">
        <v>95</v>
      </c>
      <c r="J209" s="2">
        <v>825.78</v>
      </c>
      <c r="K209" s="2">
        <v>825.78</v>
      </c>
      <c r="L209" s="2" t="s">
        <v>22</v>
      </c>
      <c r="M209" s="2" t="s">
        <v>3844</v>
      </c>
      <c r="N209" s="2" t="s">
        <v>3843</v>
      </c>
    </row>
    <row r="210" spans="1:14" x14ac:dyDescent="0.25">
      <c r="A210" s="2" t="s">
        <v>3227</v>
      </c>
      <c r="B210" s="2" t="s">
        <v>146</v>
      </c>
      <c r="C210" s="4">
        <v>45931</v>
      </c>
      <c r="D210" s="4">
        <v>45961</v>
      </c>
      <c r="E210" s="2" t="s">
        <v>548</v>
      </c>
      <c r="F210" s="2"/>
      <c r="G210" s="2" t="s">
        <v>40</v>
      </c>
      <c r="H210" s="2">
        <v>279.5</v>
      </c>
      <c r="I210" s="2">
        <v>13.98</v>
      </c>
      <c r="J210" s="2">
        <v>293.48</v>
      </c>
      <c r="K210" s="2">
        <v>293.48</v>
      </c>
      <c r="L210" s="2" t="s">
        <v>22</v>
      </c>
      <c r="M210" s="2" t="s">
        <v>3844</v>
      </c>
      <c r="N210" s="2" t="s">
        <v>3843</v>
      </c>
    </row>
    <row r="211" spans="1:14" x14ac:dyDescent="0.25">
      <c r="A211" s="2" t="s">
        <v>3215</v>
      </c>
      <c r="B211" s="2" t="s">
        <v>146</v>
      </c>
      <c r="C211" s="4">
        <v>45931</v>
      </c>
      <c r="D211" s="4">
        <v>45961</v>
      </c>
      <c r="E211" s="2" t="s">
        <v>572</v>
      </c>
      <c r="F211" s="2"/>
      <c r="G211" s="2" t="s">
        <v>21</v>
      </c>
      <c r="H211" s="2">
        <v>958.11</v>
      </c>
      <c r="I211" s="2">
        <v>47.91</v>
      </c>
      <c r="J211" s="2">
        <v>1006.02</v>
      </c>
      <c r="K211" s="2">
        <v>1006.02</v>
      </c>
      <c r="L211" s="2" t="s">
        <v>22</v>
      </c>
      <c r="M211" s="2" t="s">
        <v>3844</v>
      </c>
      <c r="N211" s="2" t="s">
        <v>3843</v>
      </c>
    </row>
    <row r="212" spans="1:14" ht="45" x14ac:dyDescent="0.25">
      <c r="A212" s="2" t="s">
        <v>3222</v>
      </c>
      <c r="B212" s="2" t="s">
        <v>502</v>
      </c>
      <c r="C212" s="4">
        <v>45931</v>
      </c>
      <c r="D212" s="4">
        <v>45976</v>
      </c>
      <c r="E212" s="2" t="s">
        <v>557</v>
      </c>
      <c r="F212" s="2"/>
      <c r="G212" s="2" t="s">
        <v>21</v>
      </c>
      <c r="H212" s="2">
        <v>979.42</v>
      </c>
      <c r="I212" s="2">
        <v>48.97</v>
      </c>
      <c r="J212" s="2">
        <v>1028.3900000000001</v>
      </c>
      <c r="K212" s="2">
        <v>1028.3900000000001</v>
      </c>
      <c r="L212" s="2" t="s">
        <v>22</v>
      </c>
      <c r="M212" s="2" t="s">
        <v>3844</v>
      </c>
      <c r="N212" s="2" t="s">
        <v>3843</v>
      </c>
    </row>
    <row r="213" spans="1:14" x14ac:dyDescent="0.25">
      <c r="A213" s="2" t="s">
        <v>3223</v>
      </c>
      <c r="B213" s="2" t="s">
        <v>556</v>
      </c>
      <c r="C213" s="4">
        <v>45931</v>
      </c>
      <c r="D213" s="4">
        <v>45961</v>
      </c>
      <c r="E213" s="2" t="s">
        <v>554</v>
      </c>
      <c r="F213" s="2"/>
      <c r="G213" s="2" t="s">
        <v>36</v>
      </c>
      <c r="H213" s="2">
        <v>102.4</v>
      </c>
      <c r="I213" s="2">
        <v>5.12</v>
      </c>
      <c r="J213" s="2">
        <v>107.52</v>
      </c>
      <c r="K213" s="2">
        <v>107.52</v>
      </c>
      <c r="L213" s="2" t="s">
        <v>22</v>
      </c>
      <c r="M213" s="2" t="s">
        <v>3844</v>
      </c>
      <c r="N213" s="2" t="s">
        <v>3843</v>
      </c>
    </row>
    <row r="214" spans="1:14" ht="30" x14ac:dyDescent="0.25">
      <c r="A214" s="2" t="s">
        <v>3015</v>
      </c>
      <c r="B214" s="2" t="s">
        <v>20</v>
      </c>
      <c r="C214" s="4">
        <v>45931</v>
      </c>
      <c r="D214" s="4">
        <v>45961</v>
      </c>
      <c r="E214" s="2" t="s">
        <v>971</v>
      </c>
      <c r="F214" s="2"/>
      <c r="G214" s="2" t="s">
        <v>21</v>
      </c>
      <c r="H214" s="2">
        <v>3198.73</v>
      </c>
      <c r="I214" s="2">
        <v>159.94</v>
      </c>
      <c r="J214" s="2">
        <v>3358.67</v>
      </c>
      <c r="K214" s="2">
        <v>3358.67</v>
      </c>
      <c r="L214" s="2" t="s">
        <v>22</v>
      </c>
      <c r="M214" s="2" t="s">
        <v>3844</v>
      </c>
      <c r="N214" s="2" t="s">
        <v>3843</v>
      </c>
    </row>
    <row r="215" spans="1:14" ht="45" x14ac:dyDescent="0.25">
      <c r="A215" s="2" t="s">
        <v>3237</v>
      </c>
      <c r="B215" s="2" t="s">
        <v>4192</v>
      </c>
      <c r="C215" s="4">
        <v>45931</v>
      </c>
      <c r="D215" s="4">
        <v>45961</v>
      </c>
      <c r="E215" s="2" t="s">
        <v>531</v>
      </c>
      <c r="F215" s="2"/>
      <c r="G215" s="2" t="s">
        <v>21</v>
      </c>
      <c r="H215" s="2">
        <v>10942.62</v>
      </c>
      <c r="I215" s="2"/>
      <c r="J215" s="2">
        <v>10942.62</v>
      </c>
      <c r="K215" s="2">
        <v>7855.57</v>
      </c>
      <c r="L215" s="2" t="s">
        <v>51</v>
      </c>
      <c r="M215" s="2" t="s">
        <v>3844</v>
      </c>
      <c r="N215" s="2" t="s">
        <v>3843</v>
      </c>
    </row>
    <row r="216" spans="1:14" ht="30" x14ac:dyDescent="0.25">
      <c r="A216" s="2" t="s">
        <v>3052</v>
      </c>
      <c r="B216" s="2" t="s">
        <v>129</v>
      </c>
      <c r="C216" s="4">
        <v>45930</v>
      </c>
      <c r="D216" s="4">
        <v>45990</v>
      </c>
      <c r="E216" s="2" t="s">
        <v>908</v>
      </c>
      <c r="F216" s="2"/>
      <c r="G216" s="2" t="s">
        <v>328</v>
      </c>
      <c r="H216" s="2">
        <v>808.99</v>
      </c>
      <c r="I216" s="2"/>
      <c r="J216" s="2">
        <v>808.99</v>
      </c>
      <c r="K216" s="2">
        <v>581.79999999999995</v>
      </c>
      <c r="L216" s="2" t="s">
        <v>51</v>
      </c>
      <c r="M216" s="2" t="s">
        <v>3844</v>
      </c>
      <c r="N216" s="2" t="s">
        <v>3843</v>
      </c>
    </row>
    <row r="217" spans="1:14" ht="30" x14ac:dyDescent="0.25">
      <c r="A217" s="2" t="s">
        <v>2982</v>
      </c>
      <c r="B217" s="2" t="s">
        <v>129</v>
      </c>
      <c r="C217" s="4">
        <v>45930</v>
      </c>
      <c r="D217" s="4">
        <v>45990</v>
      </c>
      <c r="E217" s="2" t="s">
        <v>1027</v>
      </c>
      <c r="F217" s="2"/>
      <c r="G217" s="2" t="s">
        <v>130</v>
      </c>
      <c r="H217" s="2">
        <v>7137.39</v>
      </c>
      <c r="I217" s="2"/>
      <c r="J217" s="2">
        <v>7137.39</v>
      </c>
      <c r="K217" s="2">
        <v>5133</v>
      </c>
      <c r="L217" s="2" t="s">
        <v>51</v>
      </c>
      <c r="M217" s="2" t="s">
        <v>3844</v>
      </c>
      <c r="N217" s="2" t="s">
        <v>3843</v>
      </c>
    </row>
    <row r="218" spans="1:14" x14ac:dyDescent="0.25">
      <c r="A218" s="2" t="s">
        <v>4212</v>
      </c>
      <c r="B218" s="2" t="s">
        <v>3442</v>
      </c>
      <c r="C218" s="4">
        <v>45930</v>
      </c>
      <c r="D218" s="4">
        <v>45975</v>
      </c>
      <c r="E218" s="2" t="s">
        <v>4205</v>
      </c>
      <c r="F218" s="2"/>
      <c r="G218" s="2" t="s">
        <v>426</v>
      </c>
      <c r="H218" s="2">
        <v>92836.09</v>
      </c>
      <c r="I218" s="2"/>
      <c r="J218" s="2">
        <v>92836.09</v>
      </c>
      <c r="K218" s="2">
        <v>66765</v>
      </c>
      <c r="L218" s="2" t="s">
        <v>51</v>
      </c>
      <c r="M218" s="2" t="s">
        <v>3844</v>
      </c>
      <c r="N218" s="2" t="s">
        <v>3978</v>
      </c>
    </row>
    <row r="219" spans="1:14" x14ac:dyDescent="0.25">
      <c r="A219" s="2" t="s">
        <v>2927</v>
      </c>
      <c r="B219" s="2" t="s">
        <v>61</v>
      </c>
      <c r="C219" s="4">
        <v>45930</v>
      </c>
      <c r="D219" s="4">
        <v>45960</v>
      </c>
      <c r="E219" s="2" t="s">
        <v>1120</v>
      </c>
      <c r="F219" s="2"/>
      <c r="G219" s="2" t="s">
        <v>21</v>
      </c>
      <c r="H219" s="2">
        <v>5946.59</v>
      </c>
      <c r="I219" s="2"/>
      <c r="J219" s="2">
        <v>5946.59</v>
      </c>
      <c r="K219" s="2">
        <v>4276.6099999999997</v>
      </c>
      <c r="L219" s="2" t="s">
        <v>51</v>
      </c>
      <c r="M219" s="2" t="s">
        <v>3844</v>
      </c>
      <c r="N219" s="2" t="s">
        <v>3843</v>
      </c>
    </row>
    <row r="220" spans="1:14" x14ac:dyDescent="0.25">
      <c r="A220" s="2" t="s">
        <v>3026</v>
      </c>
      <c r="B220" s="2" t="s">
        <v>61</v>
      </c>
      <c r="C220" s="4">
        <v>45930</v>
      </c>
      <c r="D220" s="4">
        <v>45960</v>
      </c>
      <c r="E220" s="2" t="s">
        <v>953</v>
      </c>
      <c r="F220" s="2"/>
      <c r="G220" s="2" t="s">
        <v>36</v>
      </c>
      <c r="H220" s="2">
        <v>4945.8</v>
      </c>
      <c r="I220" s="2"/>
      <c r="J220" s="2">
        <v>4945.8</v>
      </c>
      <c r="K220" s="2">
        <v>3556.88</v>
      </c>
      <c r="L220" s="2" t="s">
        <v>51</v>
      </c>
      <c r="M220" s="2" t="s">
        <v>3844</v>
      </c>
      <c r="N220" s="2" t="s">
        <v>3843</v>
      </c>
    </row>
    <row r="221" spans="1:14" x14ac:dyDescent="0.25">
      <c r="A221" s="2" t="s">
        <v>3207</v>
      </c>
      <c r="B221" s="2" t="s">
        <v>442</v>
      </c>
      <c r="C221" s="4">
        <v>45930</v>
      </c>
      <c r="D221" s="4">
        <v>45990</v>
      </c>
      <c r="E221" s="2" t="s">
        <v>593</v>
      </c>
      <c r="F221" s="2"/>
      <c r="G221" s="2" t="s">
        <v>71</v>
      </c>
      <c r="H221" s="2">
        <v>7199.79</v>
      </c>
      <c r="I221" s="2"/>
      <c r="J221" s="2">
        <v>7199.79</v>
      </c>
      <c r="K221" s="2">
        <v>5177.88</v>
      </c>
      <c r="L221" s="2" t="s">
        <v>51</v>
      </c>
      <c r="M221" s="2" t="s">
        <v>3844</v>
      </c>
      <c r="N221" s="2" t="s">
        <v>3843</v>
      </c>
    </row>
    <row r="222" spans="1:14" x14ac:dyDescent="0.25">
      <c r="A222" s="2" t="s">
        <v>3197</v>
      </c>
      <c r="B222" s="2" t="s">
        <v>141</v>
      </c>
      <c r="C222" s="4">
        <v>45930</v>
      </c>
      <c r="D222" s="4">
        <v>45975</v>
      </c>
      <c r="E222" s="2" t="s">
        <v>615</v>
      </c>
      <c r="F222" s="2"/>
      <c r="G222" s="2" t="s">
        <v>40</v>
      </c>
      <c r="H222" s="2">
        <v>655.59</v>
      </c>
      <c r="I222" s="2"/>
      <c r="J222" s="2">
        <v>655.59</v>
      </c>
      <c r="K222" s="2">
        <v>471.48</v>
      </c>
      <c r="L222" s="2" t="s">
        <v>51</v>
      </c>
      <c r="M222" s="2" t="s">
        <v>3844</v>
      </c>
      <c r="N222" s="2" t="s">
        <v>3843</v>
      </c>
    </row>
    <row r="223" spans="1:14" x14ac:dyDescent="0.25">
      <c r="A223" s="2" t="s">
        <v>3111</v>
      </c>
      <c r="B223" s="2" t="s">
        <v>141</v>
      </c>
      <c r="C223" s="4">
        <v>45930</v>
      </c>
      <c r="D223" s="4">
        <v>45975</v>
      </c>
      <c r="E223" s="2" t="s">
        <v>791</v>
      </c>
      <c r="F223" s="2"/>
      <c r="G223" s="2" t="s">
        <v>21</v>
      </c>
      <c r="H223" s="2">
        <v>3427.6</v>
      </c>
      <c r="I223" s="2"/>
      <c r="J223" s="2">
        <v>3427.6</v>
      </c>
      <c r="K223" s="2">
        <v>2465.04</v>
      </c>
      <c r="L223" s="2" t="s">
        <v>51</v>
      </c>
      <c r="M223" s="2" t="s">
        <v>3844</v>
      </c>
      <c r="N223" s="2" t="s">
        <v>3843</v>
      </c>
    </row>
    <row r="224" spans="1:14" ht="30" x14ac:dyDescent="0.25">
      <c r="A224" s="2" t="s">
        <v>2990</v>
      </c>
      <c r="B224" s="2" t="s">
        <v>4080</v>
      </c>
      <c r="C224" s="4">
        <v>45929</v>
      </c>
      <c r="D224" s="4">
        <v>45959</v>
      </c>
      <c r="E224" s="2" t="s">
        <v>1011</v>
      </c>
      <c r="F224" s="2"/>
      <c r="G224" s="2" t="s">
        <v>21</v>
      </c>
      <c r="H224" s="2">
        <v>1966.09</v>
      </c>
      <c r="I224" s="2"/>
      <c r="J224" s="2">
        <v>1966.09</v>
      </c>
      <c r="K224" s="2">
        <v>1411.18</v>
      </c>
      <c r="L224" s="2" t="s">
        <v>51</v>
      </c>
      <c r="M224" s="2" t="s">
        <v>3844</v>
      </c>
      <c r="N224" s="2" t="s">
        <v>3843</v>
      </c>
    </row>
    <row r="225" spans="1:14" x14ac:dyDescent="0.25">
      <c r="A225" s="2" t="s">
        <v>3443</v>
      </c>
      <c r="B225" s="2" t="s">
        <v>3442</v>
      </c>
      <c r="C225" s="4">
        <v>45929</v>
      </c>
      <c r="D225" s="4">
        <v>45974</v>
      </c>
      <c r="E225" s="2" t="s">
        <v>4205</v>
      </c>
      <c r="F225" s="2"/>
      <c r="G225" s="2" t="s">
        <v>426</v>
      </c>
      <c r="H225" s="2">
        <v>92836.09</v>
      </c>
      <c r="I225" s="2"/>
      <c r="J225" s="2">
        <v>92836.09</v>
      </c>
      <c r="K225" s="2">
        <v>66765</v>
      </c>
      <c r="L225" s="2" t="s">
        <v>51</v>
      </c>
      <c r="M225" s="2" t="s">
        <v>3844</v>
      </c>
      <c r="N225" s="2" t="s">
        <v>3843</v>
      </c>
    </row>
    <row r="226" spans="1:14" ht="45" x14ac:dyDescent="0.25">
      <c r="A226" s="2" t="s">
        <v>3226</v>
      </c>
      <c r="B226" s="2" t="s">
        <v>502</v>
      </c>
      <c r="C226" s="4">
        <v>45926</v>
      </c>
      <c r="D226" s="4">
        <v>45971</v>
      </c>
      <c r="E226" s="2" t="s">
        <v>550</v>
      </c>
      <c r="F226" s="2"/>
      <c r="G226" s="2" t="s">
        <v>21</v>
      </c>
      <c r="H226" s="2">
        <v>7335.38</v>
      </c>
      <c r="I226" s="2">
        <v>366.77</v>
      </c>
      <c r="J226" s="2">
        <v>7702.15</v>
      </c>
      <c r="K226" s="2">
        <v>7702.15</v>
      </c>
      <c r="L226" s="2" t="s">
        <v>22</v>
      </c>
      <c r="M226" s="2" t="s">
        <v>3844</v>
      </c>
      <c r="N226" s="2" t="s">
        <v>3843</v>
      </c>
    </row>
    <row r="227" spans="1:14" ht="45" x14ac:dyDescent="0.25">
      <c r="A227" s="2" t="s">
        <v>3217</v>
      </c>
      <c r="B227" s="2" t="s">
        <v>502</v>
      </c>
      <c r="C227" s="4">
        <v>45926</v>
      </c>
      <c r="D227" s="4">
        <v>45971</v>
      </c>
      <c r="E227" s="2" t="s">
        <v>568</v>
      </c>
      <c r="F227" s="2"/>
      <c r="G227" s="2" t="s">
        <v>21</v>
      </c>
      <c r="H227" s="2">
        <v>11712.55</v>
      </c>
      <c r="I227" s="2">
        <v>585.64</v>
      </c>
      <c r="J227" s="2">
        <v>12298.19</v>
      </c>
      <c r="K227" s="2">
        <v>12298.19</v>
      </c>
      <c r="L227" s="2" t="s">
        <v>22</v>
      </c>
      <c r="M227" s="2" t="s">
        <v>3844</v>
      </c>
      <c r="N227" s="2" t="s">
        <v>3843</v>
      </c>
    </row>
    <row r="228" spans="1:14" ht="30" x14ac:dyDescent="0.25">
      <c r="A228" s="2" t="s">
        <v>3177</v>
      </c>
      <c r="B228" s="2" t="s">
        <v>39</v>
      </c>
      <c r="C228" s="4">
        <v>45926</v>
      </c>
      <c r="D228" s="4">
        <v>45956</v>
      </c>
      <c r="E228" s="2" t="s">
        <v>655</v>
      </c>
      <c r="F228" s="2"/>
      <c r="G228" s="2" t="s">
        <v>657</v>
      </c>
      <c r="H228" s="2">
        <v>5343.36</v>
      </c>
      <c r="I228" s="2">
        <v>267.17</v>
      </c>
      <c r="J228" s="2">
        <v>5610.53</v>
      </c>
      <c r="K228" s="2">
        <v>5610.53</v>
      </c>
      <c r="L228" s="2" t="s">
        <v>22</v>
      </c>
      <c r="M228" s="2" t="s">
        <v>3844</v>
      </c>
      <c r="N228" s="2" t="s">
        <v>3843</v>
      </c>
    </row>
    <row r="229" spans="1:14" x14ac:dyDescent="0.25">
      <c r="A229" s="2" t="s">
        <v>3183</v>
      </c>
      <c r="B229" s="2" t="s">
        <v>644</v>
      </c>
      <c r="C229" s="4">
        <v>45926</v>
      </c>
      <c r="D229" s="4">
        <v>45956</v>
      </c>
      <c r="E229" s="2" t="s">
        <v>642</v>
      </c>
      <c r="F229" s="2"/>
      <c r="G229" s="2" t="s">
        <v>21</v>
      </c>
      <c r="H229" s="2">
        <v>18585.18</v>
      </c>
      <c r="I229" s="2"/>
      <c r="J229" s="2">
        <v>18585.18</v>
      </c>
      <c r="K229" s="2">
        <v>13347.42</v>
      </c>
      <c r="L229" s="2" t="s">
        <v>51</v>
      </c>
      <c r="M229" s="2" t="s">
        <v>3844</v>
      </c>
      <c r="N229" s="2" t="s">
        <v>3843</v>
      </c>
    </row>
    <row r="230" spans="1:14" x14ac:dyDescent="0.25">
      <c r="A230" s="2" t="s">
        <v>3165</v>
      </c>
      <c r="B230" s="2" t="s">
        <v>3908</v>
      </c>
      <c r="C230" s="4">
        <v>45925</v>
      </c>
      <c r="D230" s="4">
        <v>45955</v>
      </c>
      <c r="E230" s="2" t="s">
        <v>676</v>
      </c>
      <c r="F230" s="2"/>
      <c r="G230" s="2" t="s">
        <v>36</v>
      </c>
      <c r="H230" s="2">
        <v>1129.78</v>
      </c>
      <c r="I230" s="2">
        <v>56.49</v>
      </c>
      <c r="J230" s="2">
        <v>1186.27</v>
      </c>
      <c r="K230" s="2">
        <v>1186.27</v>
      </c>
      <c r="L230" s="2" t="s">
        <v>22</v>
      </c>
      <c r="M230" s="2" t="s">
        <v>3844</v>
      </c>
      <c r="N230" s="2" t="s">
        <v>3843</v>
      </c>
    </row>
    <row r="231" spans="1:14" ht="30" x14ac:dyDescent="0.25">
      <c r="A231" s="2" t="s">
        <v>2808</v>
      </c>
      <c r="B231" s="2" t="s">
        <v>3934</v>
      </c>
      <c r="C231" s="4">
        <v>45925</v>
      </c>
      <c r="D231" s="4">
        <v>45955</v>
      </c>
      <c r="E231" s="2" t="s">
        <v>1327</v>
      </c>
      <c r="F231" s="2"/>
      <c r="G231" s="2" t="s">
        <v>21</v>
      </c>
      <c r="H231" s="2">
        <v>1848.24</v>
      </c>
      <c r="I231" s="2">
        <v>92.41</v>
      </c>
      <c r="J231" s="2">
        <v>1940.65</v>
      </c>
      <c r="K231" s="2">
        <v>1940.65</v>
      </c>
      <c r="L231" s="2" t="s">
        <v>22</v>
      </c>
      <c r="M231" s="2" t="s">
        <v>3844</v>
      </c>
      <c r="N231" s="2" t="s">
        <v>3843</v>
      </c>
    </row>
    <row r="232" spans="1:14" x14ac:dyDescent="0.25">
      <c r="A232" s="2" t="s">
        <v>3067</v>
      </c>
      <c r="B232" s="2" t="s">
        <v>630</v>
      </c>
      <c r="C232" s="4">
        <v>45925</v>
      </c>
      <c r="D232" s="4">
        <v>45955</v>
      </c>
      <c r="E232" s="2" t="s">
        <v>874</v>
      </c>
      <c r="F232" s="2"/>
      <c r="G232" s="2" t="s">
        <v>21</v>
      </c>
      <c r="H232" s="2">
        <v>9848.2199999999993</v>
      </c>
      <c r="I232" s="2">
        <v>492.41</v>
      </c>
      <c r="J232" s="2">
        <v>10340.629999999999</v>
      </c>
      <c r="K232" s="2">
        <v>10340.629999999999</v>
      </c>
      <c r="L232" s="2" t="s">
        <v>22</v>
      </c>
      <c r="M232" s="2" t="s">
        <v>3844</v>
      </c>
      <c r="N232" s="2" t="s">
        <v>3843</v>
      </c>
    </row>
    <row r="233" spans="1:14" x14ac:dyDescent="0.25">
      <c r="A233" s="2" t="s">
        <v>3216</v>
      </c>
      <c r="B233" s="2" t="s">
        <v>77</v>
      </c>
      <c r="C233" s="4">
        <v>45925</v>
      </c>
      <c r="D233" s="4">
        <v>45955</v>
      </c>
      <c r="E233" s="2" t="s">
        <v>570</v>
      </c>
      <c r="F233" s="2"/>
      <c r="G233" s="2" t="s">
        <v>74</v>
      </c>
      <c r="H233" s="2">
        <v>270.35000000000002</v>
      </c>
      <c r="I233" s="2"/>
      <c r="J233" s="2">
        <v>270.35000000000002</v>
      </c>
      <c r="K233" s="2">
        <v>270.35000000000002</v>
      </c>
      <c r="L233" s="2" t="s">
        <v>22</v>
      </c>
      <c r="M233" s="2" t="s">
        <v>3844</v>
      </c>
      <c r="N233" s="2" t="s">
        <v>3843</v>
      </c>
    </row>
    <row r="234" spans="1:14" ht="30" x14ac:dyDescent="0.25">
      <c r="A234" s="2" t="s">
        <v>3171</v>
      </c>
      <c r="B234" s="2" t="s">
        <v>20</v>
      </c>
      <c r="C234" s="4">
        <v>45925</v>
      </c>
      <c r="D234" s="4">
        <v>45985</v>
      </c>
      <c r="E234" s="2" t="s">
        <v>668</v>
      </c>
      <c r="F234" s="2"/>
      <c r="G234" s="2" t="s">
        <v>21</v>
      </c>
      <c r="H234" s="2">
        <v>3973.6</v>
      </c>
      <c r="I234" s="2">
        <v>198.69</v>
      </c>
      <c r="J234" s="2">
        <v>4172.29</v>
      </c>
      <c r="K234" s="2">
        <v>4172.29</v>
      </c>
      <c r="L234" s="2" t="s">
        <v>22</v>
      </c>
      <c r="M234" s="2" t="s">
        <v>3844</v>
      </c>
      <c r="N234" s="2" t="s">
        <v>3843</v>
      </c>
    </row>
    <row r="235" spans="1:14" ht="45" x14ac:dyDescent="0.25">
      <c r="A235" s="2" t="s">
        <v>2889</v>
      </c>
      <c r="B235" s="2" t="s">
        <v>4211</v>
      </c>
      <c r="C235" s="4">
        <v>45925</v>
      </c>
      <c r="D235" s="4">
        <v>45955</v>
      </c>
      <c r="E235" s="2" t="s">
        <v>1182</v>
      </c>
      <c r="F235" s="2"/>
      <c r="G235" s="2" t="s">
        <v>21</v>
      </c>
      <c r="H235" s="2">
        <v>5078.7700000000004</v>
      </c>
      <c r="I235" s="2"/>
      <c r="J235" s="2">
        <v>5078.7700000000004</v>
      </c>
      <c r="K235" s="2">
        <v>3654.99</v>
      </c>
      <c r="L235" s="2" t="s">
        <v>51</v>
      </c>
      <c r="M235" s="2" t="s">
        <v>3844</v>
      </c>
      <c r="N235" s="2" t="s">
        <v>3843</v>
      </c>
    </row>
    <row r="236" spans="1:14" x14ac:dyDescent="0.25">
      <c r="A236" s="2" t="s">
        <v>3202</v>
      </c>
      <c r="B236" s="2" t="s">
        <v>4210</v>
      </c>
      <c r="C236" s="4">
        <v>45924</v>
      </c>
      <c r="D236" s="4">
        <v>45954</v>
      </c>
      <c r="E236" s="2" t="s">
        <v>605</v>
      </c>
      <c r="F236" s="2"/>
      <c r="G236" s="2" t="s">
        <v>21</v>
      </c>
      <c r="H236" s="2">
        <v>1298.0999999999999</v>
      </c>
      <c r="I236" s="2">
        <v>64.91</v>
      </c>
      <c r="J236" s="2">
        <v>1363.01</v>
      </c>
      <c r="K236" s="2">
        <v>1363.01</v>
      </c>
      <c r="L236" s="2" t="s">
        <v>22</v>
      </c>
      <c r="M236" s="2" t="s">
        <v>3844</v>
      </c>
      <c r="N236" s="2" t="s">
        <v>3843</v>
      </c>
    </row>
    <row r="237" spans="1:14" x14ac:dyDescent="0.25">
      <c r="A237" s="2" t="s">
        <v>3213</v>
      </c>
      <c r="B237" s="2" t="s">
        <v>54</v>
      </c>
      <c r="C237" s="4">
        <v>45924</v>
      </c>
      <c r="D237" s="4">
        <v>45954</v>
      </c>
      <c r="E237" s="2" t="s">
        <v>577</v>
      </c>
      <c r="F237" s="2"/>
      <c r="G237" s="2" t="s">
        <v>21</v>
      </c>
      <c r="H237" s="2">
        <v>6175.4</v>
      </c>
      <c r="I237" s="2">
        <v>308.77</v>
      </c>
      <c r="J237" s="2">
        <v>6484.17</v>
      </c>
      <c r="K237" s="2">
        <v>6484.17</v>
      </c>
      <c r="L237" s="2" t="s">
        <v>22</v>
      </c>
      <c r="M237" s="2" t="s">
        <v>3844</v>
      </c>
      <c r="N237" s="2" t="s">
        <v>3843</v>
      </c>
    </row>
    <row r="238" spans="1:14" ht="30" x14ac:dyDescent="0.25">
      <c r="A238" s="2" t="s">
        <v>2791</v>
      </c>
      <c r="B238" s="2" t="s">
        <v>104</v>
      </c>
      <c r="C238" s="4">
        <v>45924</v>
      </c>
      <c r="D238" s="4">
        <v>45954</v>
      </c>
      <c r="E238" s="2" t="s">
        <v>1358</v>
      </c>
      <c r="F238" s="2"/>
      <c r="G238" s="2" t="s">
        <v>21</v>
      </c>
      <c r="H238" s="2">
        <v>7987.73</v>
      </c>
      <c r="I238" s="2">
        <v>399.39</v>
      </c>
      <c r="J238" s="2">
        <v>8387.1200000000008</v>
      </c>
      <c r="K238" s="2">
        <v>8387.1200000000008</v>
      </c>
      <c r="L238" s="2" t="s">
        <v>22</v>
      </c>
      <c r="M238" s="2" t="s">
        <v>3844</v>
      </c>
      <c r="N238" s="2" t="s">
        <v>3843</v>
      </c>
    </row>
    <row r="239" spans="1:14" ht="30" x14ac:dyDescent="0.25">
      <c r="A239" s="2" t="s">
        <v>3046</v>
      </c>
      <c r="B239" s="2" t="s">
        <v>104</v>
      </c>
      <c r="C239" s="4">
        <v>45924</v>
      </c>
      <c r="D239" s="4">
        <v>45924</v>
      </c>
      <c r="E239" s="2" t="s">
        <v>920</v>
      </c>
      <c r="F239" s="2"/>
      <c r="G239" s="2" t="s">
        <v>21</v>
      </c>
      <c r="H239" s="2">
        <v>1609.78</v>
      </c>
      <c r="I239" s="2">
        <v>80.489999999999995</v>
      </c>
      <c r="J239" s="2">
        <v>1690.27</v>
      </c>
      <c r="K239" s="2">
        <v>1690.27</v>
      </c>
      <c r="L239" s="2" t="s">
        <v>22</v>
      </c>
      <c r="M239" s="2" t="s">
        <v>3844</v>
      </c>
      <c r="N239" s="2" t="s">
        <v>3843</v>
      </c>
    </row>
    <row r="240" spans="1:14" ht="30" x14ac:dyDescent="0.25">
      <c r="A240" s="2" t="s">
        <v>2851</v>
      </c>
      <c r="B240" s="2" t="s">
        <v>104</v>
      </c>
      <c r="C240" s="4">
        <v>45924</v>
      </c>
      <c r="D240" s="4">
        <v>45954</v>
      </c>
      <c r="E240" s="2" t="s">
        <v>1249</v>
      </c>
      <c r="F240" s="2"/>
      <c r="G240" s="2" t="s">
        <v>21</v>
      </c>
      <c r="H240" s="2">
        <v>1609.78</v>
      </c>
      <c r="I240" s="2">
        <v>80.489999999999995</v>
      </c>
      <c r="J240" s="2">
        <v>1690.27</v>
      </c>
      <c r="K240" s="2">
        <v>1690.27</v>
      </c>
      <c r="L240" s="2" t="s">
        <v>22</v>
      </c>
      <c r="M240" s="2" t="s">
        <v>3844</v>
      </c>
      <c r="N240" s="2" t="s">
        <v>3843</v>
      </c>
    </row>
    <row r="241" spans="1:14" ht="30" x14ac:dyDescent="0.25">
      <c r="A241" s="2" t="s">
        <v>3203</v>
      </c>
      <c r="B241" s="2" t="s">
        <v>35</v>
      </c>
      <c r="C241" s="4">
        <v>45924</v>
      </c>
      <c r="D241" s="4">
        <v>45954</v>
      </c>
      <c r="E241" s="2" t="s">
        <v>603</v>
      </c>
      <c r="F241" s="2"/>
      <c r="G241" s="2" t="s">
        <v>40</v>
      </c>
      <c r="H241" s="2">
        <v>1401.44</v>
      </c>
      <c r="I241" s="2">
        <v>70.069999999999993</v>
      </c>
      <c r="J241" s="2">
        <v>1471.51</v>
      </c>
      <c r="K241" s="2">
        <v>1471.51</v>
      </c>
      <c r="L241" s="2" t="s">
        <v>22</v>
      </c>
      <c r="M241" s="2" t="s">
        <v>3844</v>
      </c>
      <c r="N241" s="2" t="s">
        <v>3843</v>
      </c>
    </row>
    <row r="242" spans="1:14" ht="30" x14ac:dyDescent="0.25">
      <c r="A242" s="2" t="s">
        <v>3065</v>
      </c>
      <c r="B242" s="2" t="s">
        <v>4171</v>
      </c>
      <c r="C242" s="4">
        <v>45924</v>
      </c>
      <c r="D242" s="4">
        <v>45954</v>
      </c>
      <c r="E242" s="2" t="s">
        <v>881</v>
      </c>
      <c r="F242" s="2"/>
      <c r="G242" s="2" t="s">
        <v>180</v>
      </c>
      <c r="H242" s="2">
        <v>2513.56</v>
      </c>
      <c r="I242" s="2"/>
      <c r="J242" s="2">
        <v>2513.56</v>
      </c>
      <c r="K242" s="2">
        <v>1816.85</v>
      </c>
      <c r="L242" s="2" t="s">
        <v>51</v>
      </c>
      <c r="M242" s="2" t="s">
        <v>3844</v>
      </c>
      <c r="N242" s="2" t="s">
        <v>3843</v>
      </c>
    </row>
    <row r="243" spans="1:14" x14ac:dyDescent="0.25">
      <c r="A243" s="2" t="s">
        <v>3056</v>
      </c>
      <c r="B243" s="2" t="s">
        <v>4209</v>
      </c>
      <c r="C243" s="4">
        <v>45924</v>
      </c>
      <c r="D243" s="4">
        <v>45954</v>
      </c>
      <c r="E243" s="2" t="s">
        <v>899</v>
      </c>
      <c r="F243" s="2"/>
      <c r="G243" s="2" t="s">
        <v>180</v>
      </c>
      <c r="H243" s="2">
        <v>77006.75</v>
      </c>
      <c r="I243" s="2"/>
      <c r="J243" s="2">
        <v>77006.75</v>
      </c>
      <c r="K243" s="2">
        <v>55662.04</v>
      </c>
      <c r="L243" s="2" t="s">
        <v>51</v>
      </c>
      <c r="M243" s="2" t="s">
        <v>3844</v>
      </c>
      <c r="N243" s="2" t="s">
        <v>3843</v>
      </c>
    </row>
    <row r="244" spans="1:14" ht="30" x14ac:dyDescent="0.25">
      <c r="A244" s="2" t="s">
        <v>3086</v>
      </c>
      <c r="B244" s="2" t="s">
        <v>4171</v>
      </c>
      <c r="C244" s="4">
        <v>45924</v>
      </c>
      <c r="D244" s="4">
        <v>45924</v>
      </c>
      <c r="E244" s="2" t="s">
        <v>837</v>
      </c>
      <c r="F244" s="2"/>
      <c r="G244" s="2" t="s">
        <v>180</v>
      </c>
      <c r="H244" s="2">
        <v>2513.56</v>
      </c>
      <c r="I244" s="2"/>
      <c r="J244" s="2">
        <v>2513.56</v>
      </c>
      <c r="K244" s="2">
        <v>1816.85</v>
      </c>
      <c r="L244" s="2" t="s">
        <v>51</v>
      </c>
      <c r="M244" s="2" t="s">
        <v>3844</v>
      </c>
      <c r="N244" s="2" t="s">
        <v>3843</v>
      </c>
    </row>
    <row r="245" spans="1:14" ht="30" x14ac:dyDescent="0.25">
      <c r="A245" s="2" t="s">
        <v>2649</v>
      </c>
      <c r="B245" s="2" t="s">
        <v>4171</v>
      </c>
      <c r="C245" s="4">
        <v>45924</v>
      </c>
      <c r="D245" s="4">
        <v>45954</v>
      </c>
      <c r="E245" s="2" t="s">
        <v>1612</v>
      </c>
      <c r="F245" s="2"/>
      <c r="G245" s="2" t="s">
        <v>180</v>
      </c>
      <c r="H245" s="2">
        <v>3132.65</v>
      </c>
      <c r="I245" s="2"/>
      <c r="J245" s="2">
        <v>3132.65</v>
      </c>
      <c r="K245" s="2">
        <v>2264.34</v>
      </c>
      <c r="L245" s="2" t="s">
        <v>51</v>
      </c>
      <c r="M245" s="2" t="s">
        <v>3844</v>
      </c>
      <c r="N245" s="2" t="s">
        <v>3843</v>
      </c>
    </row>
    <row r="246" spans="1:14" ht="30" x14ac:dyDescent="0.25">
      <c r="A246" s="2" t="s">
        <v>3101</v>
      </c>
      <c r="B246" s="2" t="s">
        <v>26</v>
      </c>
      <c r="C246" s="4">
        <v>45923</v>
      </c>
      <c r="D246" s="4">
        <v>45983</v>
      </c>
      <c r="E246" s="2" t="s">
        <v>806</v>
      </c>
      <c r="F246" s="2"/>
      <c r="G246" s="2" t="s">
        <v>36</v>
      </c>
      <c r="H246" s="2">
        <v>1086.6199999999999</v>
      </c>
      <c r="I246" s="2">
        <v>54.33</v>
      </c>
      <c r="J246" s="2">
        <v>1140.95</v>
      </c>
      <c r="K246" s="2">
        <v>1140.95</v>
      </c>
      <c r="L246" s="2" t="s">
        <v>22</v>
      </c>
      <c r="M246" s="2" t="s">
        <v>3844</v>
      </c>
      <c r="N246" s="2" t="s">
        <v>3843</v>
      </c>
    </row>
    <row r="247" spans="1:14" ht="30" x14ac:dyDescent="0.25">
      <c r="A247" s="2" t="s">
        <v>3021</v>
      </c>
      <c r="B247" s="2" t="s">
        <v>20</v>
      </c>
      <c r="C247" s="4">
        <v>45923</v>
      </c>
      <c r="D247" s="4">
        <v>45983</v>
      </c>
      <c r="E247" s="2" t="s">
        <v>961</v>
      </c>
      <c r="F247" s="2"/>
      <c r="G247" s="2" t="s">
        <v>21</v>
      </c>
      <c r="H247" s="2">
        <v>1434.48</v>
      </c>
      <c r="I247" s="2">
        <v>71.72</v>
      </c>
      <c r="J247" s="2">
        <v>1506.2</v>
      </c>
      <c r="K247" s="2">
        <v>1506.2</v>
      </c>
      <c r="L247" s="2" t="s">
        <v>22</v>
      </c>
      <c r="M247" s="2" t="s">
        <v>3844</v>
      </c>
      <c r="N247" s="2" t="s">
        <v>3843</v>
      </c>
    </row>
    <row r="248" spans="1:14" ht="30" x14ac:dyDescent="0.25">
      <c r="A248" s="2" t="s">
        <v>3135</v>
      </c>
      <c r="B248" s="2" t="s">
        <v>20</v>
      </c>
      <c r="C248" s="4">
        <v>45923</v>
      </c>
      <c r="D248" s="4">
        <v>45983</v>
      </c>
      <c r="E248" s="2" t="s">
        <v>735</v>
      </c>
      <c r="F248" s="2"/>
      <c r="G248" s="2" t="s">
        <v>36</v>
      </c>
      <c r="H248" s="2">
        <v>236.55</v>
      </c>
      <c r="I248" s="2">
        <v>11.83</v>
      </c>
      <c r="J248" s="2">
        <v>248.38</v>
      </c>
      <c r="K248" s="2">
        <v>248.38</v>
      </c>
      <c r="L248" s="2" t="s">
        <v>22</v>
      </c>
      <c r="M248" s="2" t="s">
        <v>3844</v>
      </c>
      <c r="N248" s="2" t="s">
        <v>3843</v>
      </c>
    </row>
    <row r="249" spans="1:14" ht="45" x14ac:dyDescent="0.25">
      <c r="A249" s="2" t="s">
        <v>3178</v>
      </c>
      <c r="B249" s="2" t="s">
        <v>502</v>
      </c>
      <c r="C249" s="4">
        <v>45923</v>
      </c>
      <c r="D249" s="4">
        <v>45968</v>
      </c>
      <c r="E249" s="2" t="s">
        <v>653</v>
      </c>
      <c r="F249" s="2"/>
      <c r="G249" s="2" t="s">
        <v>36</v>
      </c>
      <c r="H249" s="2">
        <v>42.52</v>
      </c>
      <c r="I249" s="2">
        <v>5.53</v>
      </c>
      <c r="J249" s="2">
        <v>48.05</v>
      </c>
      <c r="K249" s="2">
        <v>48.05</v>
      </c>
      <c r="L249" s="2" t="s">
        <v>22</v>
      </c>
      <c r="M249" s="2" t="s">
        <v>3844</v>
      </c>
      <c r="N249" s="2" t="s">
        <v>3843</v>
      </c>
    </row>
    <row r="250" spans="1:14" ht="45" x14ac:dyDescent="0.25">
      <c r="A250" s="2" t="s">
        <v>3174</v>
      </c>
      <c r="B250" s="2" t="s">
        <v>502</v>
      </c>
      <c r="C250" s="4">
        <v>45923</v>
      </c>
      <c r="D250" s="4">
        <v>45968</v>
      </c>
      <c r="E250" s="2" t="s">
        <v>662</v>
      </c>
      <c r="F250" s="2"/>
      <c r="G250" s="2" t="s">
        <v>36</v>
      </c>
      <c r="H250" s="2">
        <v>42.52</v>
      </c>
      <c r="I250" s="2">
        <v>2.13</v>
      </c>
      <c r="J250" s="2">
        <v>44.65</v>
      </c>
      <c r="K250" s="2">
        <v>44.65</v>
      </c>
      <c r="L250" s="2" t="s">
        <v>22</v>
      </c>
      <c r="M250" s="2" t="s">
        <v>3844</v>
      </c>
      <c r="N250" s="2" t="s">
        <v>3843</v>
      </c>
    </row>
    <row r="251" spans="1:14" ht="30" x14ac:dyDescent="0.25">
      <c r="A251" s="2" t="s">
        <v>3038</v>
      </c>
      <c r="B251" s="2" t="s">
        <v>80</v>
      </c>
      <c r="C251" s="4">
        <v>45923</v>
      </c>
      <c r="D251" s="4">
        <v>45983</v>
      </c>
      <c r="E251" s="2" t="s">
        <v>932</v>
      </c>
      <c r="F251" s="2"/>
      <c r="G251" s="2" t="s">
        <v>36</v>
      </c>
      <c r="H251" s="2">
        <v>7695.82</v>
      </c>
      <c r="I251" s="2">
        <v>384.79</v>
      </c>
      <c r="J251" s="2">
        <v>8080.61</v>
      </c>
      <c r="K251" s="2">
        <v>8080.61</v>
      </c>
      <c r="L251" s="2" t="s">
        <v>22</v>
      </c>
      <c r="M251" s="2" t="s">
        <v>3844</v>
      </c>
      <c r="N251" s="2" t="s">
        <v>3843</v>
      </c>
    </row>
    <row r="252" spans="1:14" ht="45" x14ac:dyDescent="0.25">
      <c r="A252" s="2" t="s">
        <v>3140</v>
      </c>
      <c r="B252" s="2" t="s">
        <v>3986</v>
      </c>
      <c r="C252" s="4">
        <v>45923</v>
      </c>
      <c r="D252" s="4">
        <v>45953</v>
      </c>
      <c r="E252" s="2" t="s">
        <v>724</v>
      </c>
      <c r="F252" s="2"/>
      <c r="G252" s="2" t="s">
        <v>21</v>
      </c>
      <c r="H252" s="2"/>
      <c r="I252" s="2"/>
      <c r="J252" s="2"/>
      <c r="K252" s="2"/>
      <c r="L252" s="2" t="s">
        <v>22</v>
      </c>
      <c r="M252" s="2" t="s">
        <v>4031</v>
      </c>
      <c r="N252" s="2" t="s">
        <v>3843</v>
      </c>
    </row>
    <row r="253" spans="1:14" x14ac:dyDescent="0.25">
      <c r="A253" s="2" t="s">
        <v>3208</v>
      </c>
      <c r="B253" s="2" t="s">
        <v>146</v>
      </c>
      <c r="C253" s="4">
        <v>45923</v>
      </c>
      <c r="D253" s="4">
        <v>45953</v>
      </c>
      <c r="E253" s="2" t="s">
        <v>591</v>
      </c>
      <c r="F253" s="2"/>
      <c r="G253" s="2" t="s">
        <v>74</v>
      </c>
      <c r="H253" s="2">
        <v>560.55999999999995</v>
      </c>
      <c r="I253" s="2">
        <v>28.03</v>
      </c>
      <c r="J253" s="2">
        <v>588.59</v>
      </c>
      <c r="K253" s="2">
        <v>588.59</v>
      </c>
      <c r="L253" s="2" t="s">
        <v>22</v>
      </c>
      <c r="M253" s="2" t="s">
        <v>3844</v>
      </c>
      <c r="N253" s="2" t="s">
        <v>3843</v>
      </c>
    </row>
    <row r="254" spans="1:14" x14ac:dyDescent="0.25">
      <c r="A254" s="2" t="s">
        <v>3206</v>
      </c>
      <c r="B254" s="2" t="s">
        <v>146</v>
      </c>
      <c r="C254" s="4">
        <v>45923</v>
      </c>
      <c r="D254" s="4">
        <v>45953</v>
      </c>
      <c r="E254" s="2" t="s">
        <v>595</v>
      </c>
      <c r="F254" s="2"/>
      <c r="G254" s="2" t="s">
        <v>21</v>
      </c>
      <c r="H254" s="2">
        <v>301.74</v>
      </c>
      <c r="I254" s="2">
        <v>15.09</v>
      </c>
      <c r="J254" s="2">
        <v>316.83</v>
      </c>
      <c r="K254" s="2">
        <v>316.83</v>
      </c>
      <c r="L254" s="2" t="s">
        <v>22</v>
      </c>
      <c r="M254" s="2" t="s">
        <v>3844</v>
      </c>
      <c r="N254" s="2" t="s">
        <v>3843</v>
      </c>
    </row>
    <row r="255" spans="1:14" x14ac:dyDescent="0.25">
      <c r="A255" s="2" t="s">
        <v>3147</v>
      </c>
      <c r="B255" s="2" t="s">
        <v>714</v>
      </c>
      <c r="C255" s="4">
        <v>45922</v>
      </c>
      <c r="D255" s="4">
        <v>45952</v>
      </c>
      <c r="E255" s="2" t="s">
        <v>712</v>
      </c>
      <c r="F255" s="2"/>
      <c r="G255" s="2" t="s">
        <v>21</v>
      </c>
      <c r="H255" s="2">
        <v>34879.370000000003</v>
      </c>
      <c r="I255" s="2"/>
      <c r="J255" s="2">
        <v>34879.370000000003</v>
      </c>
      <c r="K255" s="2">
        <v>25317.19</v>
      </c>
      <c r="L255" s="2" t="s">
        <v>51</v>
      </c>
      <c r="M255" s="2" t="s">
        <v>3844</v>
      </c>
      <c r="N255" s="2" t="s">
        <v>3843</v>
      </c>
    </row>
    <row r="256" spans="1:14" x14ac:dyDescent="0.25">
      <c r="A256" s="2" t="s">
        <v>3146</v>
      </c>
      <c r="B256" s="2" t="s">
        <v>714</v>
      </c>
      <c r="C256" s="4">
        <v>45922</v>
      </c>
      <c r="D256" s="4">
        <v>45952</v>
      </c>
      <c r="E256" s="2" t="s">
        <v>715</v>
      </c>
      <c r="F256" s="2"/>
      <c r="G256" s="2" t="s">
        <v>21</v>
      </c>
      <c r="H256" s="2">
        <v>119335.48</v>
      </c>
      <c r="I256" s="2"/>
      <c r="J256" s="2">
        <v>119335.48</v>
      </c>
      <c r="K256" s="2">
        <v>86619.66</v>
      </c>
      <c r="L256" s="2" t="s">
        <v>51</v>
      </c>
      <c r="M256" s="2" t="s">
        <v>3844</v>
      </c>
      <c r="N256" s="2" t="s">
        <v>3843</v>
      </c>
    </row>
    <row r="257" spans="1:14" x14ac:dyDescent="0.25">
      <c r="A257" s="2" t="s">
        <v>3195</v>
      </c>
      <c r="B257" s="2" t="s">
        <v>77</v>
      </c>
      <c r="C257" s="4">
        <v>45919</v>
      </c>
      <c r="D257" s="4">
        <v>45949</v>
      </c>
      <c r="E257" s="2" t="s">
        <v>619</v>
      </c>
      <c r="F257" s="2"/>
      <c r="G257" s="2" t="s">
        <v>36</v>
      </c>
      <c r="H257" s="2">
        <v>279.5</v>
      </c>
      <c r="I257" s="2"/>
      <c r="J257" s="2">
        <v>279.5</v>
      </c>
      <c r="K257" s="2">
        <v>279.5</v>
      </c>
      <c r="L257" s="2" t="s">
        <v>22</v>
      </c>
      <c r="M257" s="2" t="s">
        <v>3844</v>
      </c>
      <c r="N257" s="2" t="s">
        <v>3843</v>
      </c>
    </row>
    <row r="258" spans="1:14" ht="30" x14ac:dyDescent="0.25">
      <c r="A258" s="2" t="s">
        <v>3196</v>
      </c>
      <c r="B258" s="2" t="s">
        <v>104</v>
      </c>
      <c r="C258" s="4">
        <v>45919</v>
      </c>
      <c r="D258" s="4">
        <v>45949</v>
      </c>
      <c r="E258" s="2" t="s">
        <v>617</v>
      </c>
      <c r="F258" s="2"/>
      <c r="G258" s="2" t="s">
        <v>40</v>
      </c>
      <c r="H258" s="2">
        <v>116.98</v>
      </c>
      <c r="I258" s="2">
        <v>5.85</v>
      </c>
      <c r="J258" s="2">
        <v>122.83</v>
      </c>
      <c r="K258" s="2">
        <v>122.83</v>
      </c>
      <c r="L258" s="2" t="s">
        <v>22</v>
      </c>
      <c r="M258" s="2" t="s">
        <v>3844</v>
      </c>
      <c r="N258" s="2" t="s">
        <v>3843</v>
      </c>
    </row>
    <row r="259" spans="1:14" ht="30" x14ac:dyDescent="0.25">
      <c r="A259" s="2" t="s">
        <v>3185</v>
      </c>
      <c r="B259" s="2" t="s">
        <v>20</v>
      </c>
      <c r="C259" s="4">
        <v>45919</v>
      </c>
      <c r="D259" s="4">
        <v>45979</v>
      </c>
      <c r="E259" s="2" t="s">
        <v>639</v>
      </c>
      <c r="F259" s="2"/>
      <c r="G259" s="2" t="s">
        <v>36</v>
      </c>
      <c r="H259" s="2">
        <v>716.65</v>
      </c>
      <c r="I259" s="2">
        <v>35.840000000000003</v>
      </c>
      <c r="J259" s="2">
        <v>752.49</v>
      </c>
      <c r="K259" s="2">
        <v>752.49</v>
      </c>
      <c r="L259" s="2" t="s">
        <v>22</v>
      </c>
      <c r="M259" s="2" t="s">
        <v>3844</v>
      </c>
      <c r="N259" s="2" t="s">
        <v>3843</v>
      </c>
    </row>
    <row r="260" spans="1:14" ht="30" x14ac:dyDescent="0.25">
      <c r="A260" s="2" t="s">
        <v>3186</v>
      </c>
      <c r="B260" s="2" t="s">
        <v>20</v>
      </c>
      <c r="C260" s="4">
        <v>45919</v>
      </c>
      <c r="D260" s="4">
        <v>45979</v>
      </c>
      <c r="E260" s="2" t="s">
        <v>637</v>
      </c>
      <c r="F260" s="2"/>
      <c r="G260" s="2" t="s">
        <v>36</v>
      </c>
      <c r="H260" s="2">
        <v>103.9</v>
      </c>
      <c r="I260" s="2">
        <v>5.2</v>
      </c>
      <c r="J260" s="2">
        <v>109.1</v>
      </c>
      <c r="K260" s="2">
        <v>109.1</v>
      </c>
      <c r="L260" s="2" t="s">
        <v>22</v>
      </c>
      <c r="M260" s="2" t="s">
        <v>3844</v>
      </c>
      <c r="N260" s="2" t="s">
        <v>3843</v>
      </c>
    </row>
    <row r="261" spans="1:14" ht="45" x14ac:dyDescent="0.25">
      <c r="A261" s="2" t="s">
        <v>3139</v>
      </c>
      <c r="B261" s="2" t="s">
        <v>4208</v>
      </c>
      <c r="C261" s="4">
        <v>45919</v>
      </c>
      <c r="D261" s="4">
        <v>45949</v>
      </c>
      <c r="E261" s="2" t="s">
        <v>726</v>
      </c>
      <c r="F261" s="2"/>
      <c r="G261" s="2" t="s">
        <v>36</v>
      </c>
      <c r="H261" s="2">
        <v>2576.7199999999998</v>
      </c>
      <c r="I261" s="2">
        <v>334.97</v>
      </c>
      <c r="J261" s="2">
        <v>2911.69</v>
      </c>
      <c r="K261" s="2">
        <v>2911.69</v>
      </c>
      <c r="L261" s="2" t="s">
        <v>22</v>
      </c>
      <c r="M261" s="2" t="s">
        <v>3844</v>
      </c>
      <c r="N261" s="2" t="s">
        <v>3843</v>
      </c>
    </row>
    <row r="262" spans="1:14" x14ac:dyDescent="0.25">
      <c r="A262" s="2" t="s">
        <v>3152</v>
      </c>
      <c r="B262" s="2" t="s">
        <v>64</v>
      </c>
      <c r="C262" s="4">
        <v>45919</v>
      </c>
      <c r="D262" s="4">
        <v>45949</v>
      </c>
      <c r="E262" s="2" t="s">
        <v>703</v>
      </c>
      <c r="F262" s="2"/>
      <c r="G262" s="2" t="s">
        <v>36</v>
      </c>
      <c r="H262" s="2">
        <v>255.35</v>
      </c>
      <c r="I262" s="2">
        <v>33.200000000000003</v>
      </c>
      <c r="J262" s="2">
        <v>288.55</v>
      </c>
      <c r="K262" s="2">
        <v>288.55</v>
      </c>
      <c r="L262" s="2" t="s">
        <v>22</v>
      </c>
      <c r="M262" s="2" t="s">
        <v>3844</v>
      </c>
      <c r="N262" s="2" t="s">
        <v>3843</v>
      </c>
    </row>
    <row r="263" spans="1:14" x14ac:dyDescent="0.25">
      <c r="A263" s="2" t="s">
        <v>3190</v>
      </c>
      <c r="B263" s="2" t="s">
        <v>64</v>
      </c>
      <c r="C263" s="4">
        <v>45919</v>
      </c>
      <c r="D263" s="4">
        <v>45949</v>
      </c>
      <c r="E263" s="2" t="s">
        <v>631</v>
      </c>
      <c r="F263" s="2"/>
      <c r="G263" s="2" t="s">
        <v>74</v>
      </c>
      <c r="H263" s="2">
        <v>354.06</v>
      </c>
      <c r="I263" s="2">
        <v>46.03</v>
      </c>
      <c r="J263" s="2">
        <v>400.09</v>
      </c>
      <c r="K263" s="2">
        <v>400.09</v>
      </c>
      <c r="L263" s="2" t="s">
        <v>22</v>
      </c>
      <c r="M263" s="2" t="s">
        <v>3844</v>
      </c>
      <c r="N263" s="2" t="s">
        <v>3843</v>
      </c>
    </row>
    <row r="264" spans="1:14" ht="30" x14ac:dyDescent="0.25">
      <c r="A264" s="2" t="s">
        <v>2877</v>
      </c>
      <c r="B264" s="2" t="s">
        <v>4183</v>
      </c>
      <c r="C264" s="4">
        <v>45919</v>
      </c>
      <c r="D264" s="4">
        <v>45949</v>
      </c>
      <c r="E264" s="2" t="s">
        <v>1205</v>
      </c>
      <c r="F264" s="2"/>
      <c r="G264" s="2" t="s">
        <v>21</v>
      </c>
      <c r="H264" s="2">
        <v>2775.52</v>
      </c>
      <c r="I264" s="2"/>
      <c r="J264" s="2">
        <v>2775.52</v>
      </c>
      <c r="K264" s="2">
        <v>2011.56</v>
      </c>
      <c r="L264" s="2" t="s">
        <v>51</v>
      </c>
      <c r="M264" s="2" t="s">
        <v>3844</v>
      </c>
      <c r="N264" s="2" t="s">
        <v>3843</v>
      </c>
    </row>
    <row r="265" spans="1:14" ht="30" x14ac:dyDescent="0.25">
      <c r="A265" s="2" t="s">
        <v>3104</v>
      </c>
      <c r="B265" s="2" t="s">
        <v>4183</v>
      </c>
      <c r="C265" s="4">
        <v>45919</v>
      </c>
      <c r="D265" s="4">
        <v>45949</v>
      </c>
      <c r="E265" s="2" t="s">
        <v>800</v>
      </c>
      <c r="F265" s="2"/>
      <c r="G265" s="2" t="s">
        <v>21</v>
      </c>
      <c r="H265" s="2">
        <v>3640.01</v>
      </c>
      <c r="I265" s="2"/>
      <c r="J265" s="2">
        <v>3640.01</v>
      </c>
      <c r="K265" s="2">
        <v>2638.1</v>
      </c>
      <c r="L265" s="2" t="s">
        <v>51</v>
      </c>
      <c r="M265" s="2" t="s">
        <v>3844</v>
      </c>
      <c r="N265" s="2" t="s">
        <v>3843</v>
      </c>
    </row>
    <row r="266" spans="1:14" x14ac:dyDescent="0.25">
      <c r="A266" s="2" t="s">
        <v>3192</v>
      </c>
      <c r="B266" s="2" t="s">
        <v>54</v>
      </c>
      <c r="C266" s="4">
        <v>45918</v>
      </c>
      <c r="D266" s="4">
        <v>45948</v>
      </c>
      <c r="E266" s="2" t="s">
        <v>624</v>
      </c>
      <c r="F266" s="2"/>
      <c r="G266" s="2" t="s">
        <v>21</v>
      </c>
      <c r="H266" s="2">
        <v>2894.78</v>
      </c>
      <c r="I266" s="2">
        <v>144.74</v>
      </c>
      <c r="J266" s="2">
        <v>3039.52</v>
      </c>
      <c r="K266" s="2">
        <v>3039.52</v>
      </c>
      <c r="L266" s="2" t="s">
        <v>22</v>
      </c>
      <c r="M266" s="2" t="s">
        <v>3844</v>
      </c>
      <c r="N266" s="2" t="s">
        <v>3843</v>
      </c>
    </row>
    <row r="267" spans="1:14" x14ac:dyDescent="0.25">
      <c r="A267" s="2" t="s">
        <v>3194</v>
      </c>
      <c r="B267" s="2" t="s">
        <v>146</v>
      </c>
      <c r="C267" s="4">
        <v>45918</v>
      </c>
      <c r="D267" s="4">
        <v>45948</v>
      </c>
      <c r="E267" s="2" t="s">
        <v>621</v>
      </c>
      <c r="F267" s="2"/>
      <c r="G267" s="2" t="s">
        <v>40</v>
      </c>
      <c r="H267" s="2">
        <v>1034.78</v>
      </c>
      <c r="I267" s="2">
        <v>51.74</v>
      </c>
      <c r="J267" s="2">
        <v>1086.52</v>
      </c>
      <c r="K267" s="2">
        <v>1086.52</v>
      </c>
      <c r="L267" s="2" t="s">
        <v>22</v>
      </c>
      <c r="M267" s="2" t="s">
        <v>3844</v>
      </c>
      <c r="N267" s="2" t="s">
        <v>3843</v>
      </c>
    </row>
    <row r="268" spans="1:14" x14ac:dyDescent="0.25">
      <c r="A268" s="2" t="s">
        <v>3182</v>
      </c>
      <c r="B268" s="2" t="s">
        <v>146</v>
      </c>
      <c r="C268" s="4">
        <v>45918</v>
      </c>
      <c r="D268" s="4">
        <v>45948</v>
      </c>
      <c r="E268" s="2" t="s">
        <v>645</v>
      </c>
      <c r="F268" s="2"/>
      <c r="G268" s="2" t="s">
        <v>21</v>
      </c>
      <c r="H268" s="2">
        <v>100.58</v>
      </c>
      <c r="I268" s="2">
        <v>5.03</v>
      </c>
      <c r="J268" s="2">
        <v>105.61</v>
      </c>
      <c r="K268" s="2">
        <v>105.61</v>
      </c>
      <c r="L268" s="2" t="s">
        <v>22</v>
      </c>
      <c r="M268" s="2" t="s">
        <v>3844</v>
      </c>
      <c r="N268" s="2" t="s">
        <v>3843</v>
      </c>
    </row>
    <row r="269" spans="1:14" x14ac:dyDescent="0.25">
      <c r="A269" s="2" t="s">
        <v>3133</v>
      </c>
      <c r="B269" s="2" t="s">
        <v>742</v>
      </c>
      <c r="C269" s="4">
        <v>45918</v>
      </c>
      <c r="D269" s="4">
        <v>45918</v>
      </c>
      <c r="E269" s="2" t="s">
        <v>740</v>
      </c>
      <c r="F269" s="2"/>
      <c r="G269" s="2" t="s">
        <v>36</v>
      </c>
      <c r="H269" s="2">
        <v>2848.48</v>
      </c>
      <c r="I269" s="2"/>
      <c r="J269" s="2">
        <v>2848.48</v>
      </c>
      <c r="K269" s="2">
        <v>2069.85</v>
      </c>
      <c r="L269" s="2" t="s">
        <v>51</v>
      </c>
      <c r="M269" s="2" t="s">
        <v>3844</v>
      </c>
      <c r="N269" s="2" t="s">
        <v>3843</v>
      </c>
    </row>
    <row r="270" spans="1:14" ht="30" x14ac:dyDescent="0.25">
      <c r="A270" s="2" t="s">
        <v>3181</v>
      </c>
      <c r="B270" s="2" t="s">
        <v>104</v>
      </c>
      <c r="C270" s="4">
        <v>45917</v>
      </c>
      <c r="D270" s="4">
        <v>45947</v>
      </c>
      <c r="E270" s="2" t="s">
        <v>647</v>
      </c>
      <c r="F270" s="2"/>
      <c r="G270" s="2" t="s">
        <v>40</v>
      </c>
      <c r="H270" s="2">
        <v>147.72999999999999</v>
      </c>
      <c r="I270" s="2">
        <v>7.39</v>
      </c>
      <c r="J270" s="2">
        <v>155.12</v>
      </c>
      <c r="K270" s="2">
        <v>155.12</v>
      </c>
      <c r="L270" s="2" t="s">
        <v>22</v>
      </c>
      <c r="M270" s="2" t="s">
        <v>3844</v>
      </c>
      <c r="N270" s="2" t="s">
        <v>3843</v>
      </c>
    </row>
    <row r="271" spans="1:14" ht="30" x14ac:dyDescent="0.25">
      <c r="A271" s="2" t="s">
        <v>2971</v>
      </c>
      <c r="B271" s="2" t="s">
        <v>518</v>
      </c>
      <c r="C271" s="4">
        <v>45917</v>
      </c>
      <c r="D271" s="4">
        <v>45947</v>
      </c>
      <c r="E271" s="2" t="s">
        <v>1048</v>
      </c>
      <c r="F271" s="2"/>
      <c r="G271" s="2" t="s">
        <v>21</v>
      </c>
      <c r="H271" s="2">
        <v>6931.99</v>
      </c>
      <c r="I271" s="2">
        <v>901.16</v>
      </c>
      <c r="J271" s="2">
        <v>7833.15</v>
      </c>
      <c r="K271" s="2">
        <v>7833.15</v>
      </c>
      <c r="L271" s="2" t="s">
        <v>22</v>
      </c>
      <c r="M271" s="2" t="s">
        <v>3844</v>
      </c>
      <c r="N271" s="2" t="s">
        <v>3843</v>
      </c>
    </row>
    <row r="272" spans="1:14" x14ac:dyDescent="0.25">
      <c r="A272" s="2" t="s">
        <v>3118</v>
      </c>
      <c r="B272" s="2" t="s">
        <v>54</v>
      </c>
      <c r="C272" s="4">
        <v>45917</v>
      </c>
      <c r="D272" s="4">
        <v>45947</v>
      </c>
      <c r="E272" s="2" t="s">
        <v>775</v>
      </c>
      <c r="F272" s="2"/>
      <c r="G272" s="2" t="s">
        <v>21</v>
      </c>
      <c r="H272" s="2">
        <v>1058.6400000000001</v>
      </c>
      <c r="I272" s="2">
        <v>52.93</v>
      </c>
      <c r="J272" s="2">
        <v>1111.57</v>
      </c>
      <c r="K272" s="2">
        <v>1111.57</v>
      </c>
      <c r="L272" s="2" t="s">
        <v>22</v>
      </c>
      <c r="M272" s="2" t="s">
        <v>3844</v>
      </c>
      <c r="N272" s="2" t="s">
        <v>3843</v>
      </c>
    </row>
    <row r="273" spans="1:14" x14ac:dyDescent="0.25">
      <c r="A273" s="2" t="s">
        <v>3172</v>
      </c>
      <c r="B273" s="2" t="s">
        <v>54</v>
      </c>
      <c r="C273" s="4">
        <v>45917</v>
      </c>
      <c r="D273" s="4">
        <v>45947</v>
      </c>
      <c r="E273" s="2" t="s">
        <v>666</v>
      </c>
      <c r="F273" s="2"/>
      <c r="G273" s="2" t="s">
        <v>21</v>
      </c>
      <c r="H273" s="2">
        <v>2039.88</v>
      </c>
      <c r="I273" s="2">
        <v>101.99</v>
      </c>
      <c r="J273" s="2">
        <v>2141.87</v>
      </c>
      <c r="K273" s="2">
        <v>2141.87</v>
      </c>
      <c r="L273" s="2" t="s">
        <v>22</v>
      </c>
      <c r="M273" s="2" t="s">
        <v>3844</v>
      </c>
      <c r="N273" s="2" t="s">
        <v>3843</v>
      </c>
    </row>
    <row r="274" spans="1:14" x14ac:dyDescent="0.25">
      <c r="A274" s="2" t="s">
        <v>2989</v>
      </c>
      <c r="B274" s="2" t="s">
        <v>54</v>
      </c>
      <c r="C274" s="4">
        <v>45917</v>
      </c>
      <c r="D274" s="4">
        <v>45947</v>
      </c>
      <c r="E274" s="2" t="s">
        <v>1013</v>
      </c>
      <c r="F274" s="2"/>
      <c r="G274" s="2" t="s">
        <v>21</v>
      </c>
      <c r="H274" s="2">
        <v>1299.76</v>
      </c>
      <c r="I274" s="2">
        <v>64.989999999999995</v>
      </c>
      <c r="J274" s="2">
        <v>1364.75</v>
      </c>
      <c r="K274" s="2">
        <v>1364.75</v>
      </c>
      <c r="L274" s="2" t="s">
        <v>22</v>
      </c>
      <c r="M274" s="2" t="s">
        <v>3844</v>
      </c>
      <c r="N274" s="2" t="s">
        <v>3843</v>
      </c>
    </row>
    <row r="275" spans="1:14" x14ac:dyDescent="0.25">
      <c r="A275" s="2" t="s">
        <v>3159</v>
      </c>
      <c r="B275" s="2" t="s">
        <v>694</v>
      </c>
      <c r="C275" s="4">
        <v>45917</v>
      </c>
      <c r="D275" s="4">
        <v>45947</v>
      </c>
      <c r="E275" s="2" t="s">
        <v>692</v>
      </c>
      <c r="F275" s="2"/>
      <c r="G275" s="2" t="s">
        <v>71</v>
      </c>
      <c r="H275" s="2">
        <v>2269.66</v>
      </c>
      <c r="I275" s="2"/>
      <c r="J275" s="2">
        <v>2269.66</v>
      </c>
      <c r="K275" s="2">
        <v>1651</v>
      </c>
      <c r="L275" s="2" t="s">
        <v>51</v>
      </c>
      <c r="M275" s="2" t="s">
        <v>3844</v>
      </c>
      <c r="N275" s="2" t="s">
        <v>3843</v>
      </c>
    </row>
    <row r="276" spans="1:14" x14ac:dyDescent="0.25">
      <c r="A276" s="2" t="s">
        <v>3191</v>
      </c>
      <c r="B276" s="2" t="s">
        <v>630</v>
      </c>
      <c r="C276" s="4">
        <v>45917</v>
      </c>
      <c r="D276" s="4">
        <v>45947</v>
      </c>
      <c r="E276" s="2" t="s">
        <v>628</v>
      </c>
      <c r="F276" s="2"/>
      <c r="G276" s="2" t="s">
        <v>21</v>
      </c>
      <c r="H276" s="2">
        <v>9790.4500000000007</v>
      </c>
      <c r="I276" s="2">
        <v>489.52</v>
      </c>
      <c r="J276" s="2">
        <v>10279.969999999999</v>
      </c>
      <c r="K276" s="2">
        <v>10279.969999999999</v>
      </c>
      <c r="L276" s="2" t="s">
        <v>22</v>
      </c>
      <c r="M276" s="2" t="s">
        <v>3844</v>
      </c>
      <c r="N276" s="2" t="s">
        <v>3843</v>
      </c>
    </row>
    <row r="277" spans="1:14" x14ac:dyDescent="0.25">
      <c r="A277" s="2" t="s">
        <v>2975</v>
      </c>
      <c r="B277" s="2" t="s">
        <v>1039</v>
      </c>
      <c r="C277" s="4">
        <v>45917</v>
      </c>
      <c r="D277" s="4">
        <v>45977</v>
      </c>
      <c r="E277" s="2" t="s">
        <v>1037</v>
      </c>
      <c r="F277" s="2"/>
      <c r="G277" s="2" t="s">
        <v>21</v>
      </c>
      <c r="H277" s="2">
        <v>2068.5</v>
      </c>
      <c r="I277" s="2">
        <v>103.43</v>
      </c>
      <c r="J277" s="2">
        <v>2171.9299999999998</v>
      </c>
      <c r="K277" s="2">
        <v>2171.9299999999998</v>
      </c>
      <c r="L277" s="2" t="s">
        <v>22</v>
      </c>
      <c r="M277" s="2" t="s">
        <v>3844</v>
      </c>
      <c r="N277" s="2" t="s">
        <v>3843</v>
      </c>
    </row>
    <row r="278" spans="1:14" ht="30" x14ac:dyDescent="0.25">
      <c r="A278" s="2" t="s">
        <v>3170</v>
      </c>
      <c r="B278" s="2" t="s">
        <v>98</v>
      </c>
      <c r="C278" s="4">
        <v>45917</v>
      </c>
      <c r="D278" s="4">
        <v>45947</v>
      </c>
      <c r="E278" s="2" t="s">
        <v>670</v>
      </c>
      <c r="F278" s="2"/>
      <c r="G278" s="2" t="s">
        <v>40</v>
      </c>
      <c r="H278" s="2">
        <v>2585.3000000000002</v>
      </c>
      <c r="I278" s="2"/>
      <c r="J278" s="2">
        <v>2585.3000000000002</v>
      </c>
      <c r="K278" s="2">
        <v>2585.3000000000002</v>
      </c>
      <c r="L278" s="2" t="s">
        <v>22</v>
      </c>
      <c r="M278" s="2" t="s">
        <v>3844</v>
      </c>
      <c r="N278" s="2" t="s">
        <v>3843</v>
      </c>
    </row>
    <row r="279" spans="1:14" x14ac:dyDescent="0.25">
      <c r="A279" s="2" t="s">
        <v>3176</v>
      </c>
      <c r="B279" s="2" t="s">
        <v>146</v>
      </c>
      <c r="C279" s="4">
        <v>45915</v>
      </c>
      <c r="D279" s="4">
        <v>45945</v>
      </c>
      <c r="E279" s="2" t="s">
        <v>658</v>
      </c>
      <c r="F279" s="2"/>
      <c r="G279" s="2" t="s">
        <v>36</v>
      </c>
      <c r="H279" s="2">
        <v>102.81</v>
      </c>
      <c r="I279" s="2">
        <v>5.14</v>
      </c>
      <c r="J279" s="2">
        <v>107.95</v>
      </c>
      <c r="K279" s="2">
        <v>107.95</v>
      </c>
      <c r="L279" s="2" t="s">
        <v>22</v>
      </c>
      <c r="M279" s="2" t="s">
        <v>3844</v>
      </c>
      <c r="N279" s="2" t="s">
        <v>3843</v>
      </c>
    </row>
    <row r="280" spans="1:14" x14ac:dyDescent="0.25">
      <c r="A280" s="2" t="s">
        <v>3180</v>
      </c>
      <c r="B280" s="2" t="s">
        <v>146</v>
      </c>
      <c r="C280" s="4">
        <v>45915</v>
      </c>
      <c r="D280" s="4">
        <v>45945</v>
      </c>
      <c r="E280" s="2" t="s">
        <v>649</v>
      </c>
      <c r="F280" s="2"/>
      <c r="G280" s="2" t="s">
        <v>40</v>
      </c>
      <c r="H280" s="2">
        <v>48</v>
      </c>
      <c r="I280" s="2">
        <v>2.4</v>
      </c>
      <c r="J280" s="2">
        <v>50.4</v>
      </c>
      <c r="K280" s="2">
        <v>50.4</v>
      </c>
      <c r="L280" s="2" t="s">
        <v>22</v>
      </c>
      <c r="M280" s="2" t="s">
        <v>3844</v>
      </c>
      <c r="N280" s="2" t="s">
        <v>3843</v>
      </c>
    </row>
    <row r="281" spans="1:14" ht="30" x14ac:dyDescent="0.25">
      <c r="A281" s="2" t="s">
        <v>3161</v>
      </c>
      <c r="B281" s="2" t="s">
        <v>86</v>
      </c>
      <c r="C281" s="4">
        <v>45915</v>
      </c>
      <c r="D281" s="4">
        <v>45945</v>
      </c>
      <c r="E281" s="2" t="s">
        <v>685</v>
      </c>
      <c r="F281" s="2"/>
      <c r="G281" s="2" t="s">
        <v>21</v>
      </c>
      <c r="H281" s="2">
        <v>112.54</v>
      </c>
      <c r="I281" s="2"/>
      <c r="J281" s="2">
        <v>112.54</v>
      </c>
      <c r="K281" s="2">
        <v>112.54</v>
      </c>
      <c r="L281" s="2" t="s">
        <v>22</v>
      </c>
      <c r="M281" s="2" t="s">
        <v>3844</v>
      </c>
      <c r="N281" s="2" t="s">
        <v>3843</v>
      </c>
    </row>
    <row r="282" spans="1:14" ht="30" x14ac:dyDescent="0.25">
      <c r="A282" s="2" t="s">
        <v>3162</v>
      </c>
      <c r="B282" s="2" t="s">
        <v>684</v>
      </c>
      <c r="C282" s="4">
        <v>45915</v>
      </c>
      <c r="D282" s="4">
        <v>45975</v>
      </c>
      <c r="E282" s="2" t="s">
        <v>682</v>
      </c>
      <c r="F282" s="2"/>
      <c r="G282" s="2" t="s">
        <v>36</v>
      </c>
      <c r="H282" s="2">
        <v>9022.9</v>
      </c>
      <c r="I282" s="2">
        <v>451.15</v>
      </c>
      <c r="J282" s="2">
        <v>9474.0499999999993</v>
      </c>
      <c r="K282" s="2">
        <v>9474.0499999999993</v>
      </c>
      <c r="L282" s="2" t="s">
        <v>22</v>
      </c>
      <c r="M282" s="2" t="s">
        <v>3844</v>
      </c>
      <c r="N282" s="2" t="s">
        <v>3843</v>
      </c>
    </row>
    <row r="283" spans="1:14" x14ac:dyDescent="0.25">
      <c r="A283" s="2" t="s">
        <v>3173</v>
      </c>
      <c r="B283" s="2" t="s">
        <v>192</v>
      </c>
      <c r="C283" s="4">
        <v>45915</v>
      </c>
      <c r="D283" s="4">
        <v>45915</v>
      </c>
      <c r="E283" s="2" t="s">
        <v>664</v>
      </c>
      <c r="F283" s="2"/>
      <c r="G283" s="2" t="s">
        <v>36</v>
      </c>
      <c r="H283" s="2">
        <v>2218.54</v>
      </c>
      <c r="I283" s="2"/>
      <c r="J283" s="2">
        <v>2218.54</v>
      </c>
      <c r="K283" s="2">
        <v>1601.74</v>
      </c>
      <c r="L283" s="2" t="s">
        <v>51</v>
      </c>
      <c r="M283" s="2" t="s">
        <v>3844</v>
      </c>
      <c r="N283" s="2" t="s">
        <v>3843</v>
      </c>
    </row>
    <row r="284" spans="1:14" ht="30" x14ac:dyDescent="0.25">
      <c r="A284" s="2" t="s">
        <v>2704</v>
      </c>
      <c r="B284" s="2" t="s">
        <v>129</v>
      </c>
      <c r="C284" s="4">
        <v>45915</v>
      </c>
      <c r="D284" s="4">
        <v>45945</v>
      </c>
      <c r="E284" s="2" t="s">
        <v>1516</v>
      </c>
      <c r="F284" s="2"/>
      <c r="G284" s="2" t="s">
        <v>130</v>
      </c>
      <c r="H284" s="2">
        <v>21457.69</v>
      </c>
      <c r="I284" s="2"/>
      <c r="J284" s="2">
        <v>21457.69</v>
      </c>
      <c r="K284" s="2">
        <v>15492</v>
      </c>
      <c r="L284" s="2" t="s">
        <v>51</v>
      </c>
      <c r="M284" s="2" t="s">
        <v>3844</v>
      </c>
      <c r="N284" s="2" t="s">
        <v>3843</v>
      </c>
    </row>
    <row r="285" spans="1:14" ht="60" x14ac:dyDescent="0.25">
      <c r="A285" s="2" t="s">
        <v>3175</v>
      </c>
      <c r="B285" s="2" t="s">
        <v>4127</v>
      </c>
      <c r="C285" s="4">
        <v>45915</v>
      </c>
      <c r="D285" s="4">
        <v>45945</v>
      </c>
      <c r="E285" s="2" t="s">
        <v>660</v>
      </c>
      <c r="F285" s="2"/>
      <c r="G285" s="2" t="s">
        <v>40</v>
      </c>
      <c r="H285" s="2">
        <v>627.44000000000005</v>
      </c>
      <c r="I285" s="2"/>
      <c r="J285" s="2">
        <v>627.44000000000005</v>
      </c>
      <c r="K285" s="2">
        <v>453</v>
      </c>
      <c r="L285" s="2" t="s">
        <v>51</v>
      </c>
      <c r="M285" s="2" t="s">
        <v>3844</v>
      </c>
      <c r="N285" s="2" t="s">
        <v>3843</v>
      </c>
    </row>
    <row r="286" spans="1:14" ht="30" x14ac:dyDescent="0.25">
      <c r="A286" s="2" t="s">
        <v>3145</v>
      </c>
      <c r="B286" s="2" t="s">
        <v>576</v>
      </c>
      <c r="C286" s="4">
        <v>45912</v>
      </c>
      <c r="D286" s="4">
        <v>45942</v>
      </c>
      <c r="E286" s="2" t="s">
        <v>717</v>
      </c>
      <c r="F286" s="2"/>
      <c r="G286" s="2" t="s">
        <v>36</v>
      </c>
      <c r="H286" s="2">
        <v>7603.02</v>
      </c>
      <c r="I286" s="2"/>
      <c r="J286" s="2">
        <v>7603.02</v>
      </c>
      <c r="K286" s="2">
        <v>7603.02</v>
      </c>
      <c r="L286" s="2" t="s">
        <v>22</v>
      </c>
      <c r="M286" s="2" t="s">
        <v>3844</v>
      </c>
      <c r="N286" s="2" t="s">
        <v>3843</v>
      </c>
    </row>
    <row r="287" spans="1:14" x14ac:dyDescent="0.25">
      <c r="A287" s="2" t="s">
        <v>3163</v>
      </c>
      <c r="B287" s="2" t="s">
        <v>77</v>
      </c>
      <c r="C287" s="4">
        <v>45912</v>
      </c>
      <c r="D287" s="4">
        <v>45942</v>
      </c>
      <c r="E287" s="2" t="s">
        <v>680</v>
      </c>
      <c r="F287" s="2"/>
      <c r="G287" s="2" t="s">
        <v>40</v>
      </c>
      <c r="H287" s="2">
        <v>270.35000000000002</v>
      </c>
      <c r="I287" s="2">
        <v>13.52</v>
      </c>
      <c r="J287" s="2">
        <v>283.87</v>
      </c>
      <c r="K287" s="2">
        <v>283.87</v>
      </c>
      <c r="L287" s="2" t="s">
        <v>22</v>
      </c>
      <c r="M287" s="2" t="s">
        <v>3844</v>
      </c>
      <c r="N287" s="2" t="s">
        <v>3843</v>
      </c>
    </row>
    <row r="288" spans="1:14" ht="30" x14ac:dyDescent="0.25">
      <c r="A288" s="2" t="s">
        <v>3169</v>
      </c>
      <c r="B288" s="2" t="s">
        <v>20</v>
      </c>
      <c r="C288" s="4">
        <v>45912</v>
      </c>
      <c r="D288" s="4">
        <v>45972</v>
      </c>
      <c r="E288" s="2" t="s">
        <v>672</v>
      </c>
      <c r="F288" s="2"/>
      <c r="G288" s="2" t="s">
        <v>21</v>
      </c>
      <c r="H288" s="2">
        <v>4557.97</v>
      </c>
      <c r="I288" s="2">
        <v>227.9</v>
      </c>
      <c r="J288" s="2">
        <v>4785.87</v>
      </c>
      <c r="K288" s="2">
        <v>4785.87</v>
      </c>
      <c r="L288" s="2" t="s">
        <v>22</v>
      </c>
      <c r="M288" s="2" t="s">
        <v>3844</v>
      </c>
      <c r="N288" s="2" t="s">
        <v>3843</v>
      </c>
    </row>
    <row r="289" spans="1:14" ht="30" x14ac:dyDescent="0.25">
      <c r="A289" s="2" t="s">
        <v>3164</v>
      </c>
      <c r="B289" s="2" t="s">
        <v>98</v>
      </c>
      <c r="C289" s="4">
        <v>45912</v>
      </c>
      <c r="D289" s="4">
        <v>45942</v>
      </c>
      <c r="E289" s="2" t="s">
        <v>678</v>
      </c>
      <c r="F289" s="2"/>
      <c r="G289" s="2" t="s">
        <v>40</v>
      </c>
      <c r="H289" s="2">
        <v>1199.1099999999999</v>
      </c>
      <c r="I289" s="2">
        <v>155.88</v>
      </c>
      <c r="J289" s="2">
        <v>1354.99</v>
      </c>
      <c r="K289" s="2">
        <v>1354.99</v>
      </c>
      <c r="L289" s="2" t="s">
        <v>22</v>
      </c>
      <c r="M289" s="2" t="s">
        <v>3844</v>
      </c>
      <c r="N289" s="2" t="s">
        <v>3843</v>
      </c>
    </row>
    <row r="290" spans="1:14" ht="30" x14ac:dyDescent="0.25">
      <c r="A290" s="2" t="s">
        <v>2777</v>
      </c>
      <c r="B290" s="2" t="s">
        <v>98</v>
      </c>
      <c r="C290" s="4">
        <v>45912</v>
      </c>
      <c r="D290" s="4">
        <v>45942</v>
      </c>
      <c r="E290" s="2" t="s">
        <v>1381</v>
      </c>
      <c r="F290" s="2"/>
      <c r="G290" s="2" t="s">
        <v>21</v>
      </c>
      <c r="H290" s="2">
        <v>3248.97</v>
      </c>
      <c r="I290" s="2">
        <v>422.37</v>
      </c>
      <c r="J290" s="2">
        <v>3671.34</v>
      </c>
      <c r="K290" s="2">
        <v>3671.34</v>
      </c>
      <c r="L290" s="2" t="s">
        <v>22</v>
      </c>
      <c r="M290" s="2" t="s">
        <v>3844</v>
      </c>
      <c r="N290" s="2" t="s">
        <v>3843</v>
      </c>
    </row>
    <row r="291" spans="1:14" ht="30" x14ac:dyDescent="0.25">
      <c r="A291" s="2" t="s">
        <v>3103</v>
      </c>
      <c r="B291" s="2" t="s">
        <v>98</v>
      </c>
      <c r="C291" s="4">
        <v>45912</v>
      </c>
      <c r="D291" s="4">
        <v>45942</v>
      </c>
      <c r="E291" s="2" t="s">
        <v>802</v>
      </c>
      <c r="F291" s="2"/>
      <c r="G291" s="2" t="s">
        <v>36</v>
      </c>
      <c r="H291" s="2">
        <v>1842.22</v>
      </c>
      <c r="I291" s="2">
        <v>239.49</v>
      </c>
      <c r="J291" s="2">
        <v>2081.71</v>
      </c>
      <c r="K291" s="2">
        <v>2081.71</v>
      </c>
      <c r="L291" s="2" t="s">
        <v>22</v>
      </c>
      <c r="M291" s="2" t="s">
        <v>3844</v>
      </c>
      <c r="N291" s="2" t="s">
        <v>3843</v>
      </c>
    </row>
    <row r="292" spans="1:14" x14ac:dyDescent="0.25">
      <c r="A292" s="2" t="s">
        <v>3061</v>
      </c>
      <c r="B292" s="2" t="s">
        <v>54</v>
      </c>
      <c r="C292" s="4">
        <v>45912</v>
      </c>
      <c r="D292" s="4">
        <v>45912</v>
      </c>
      <c r="E292" s="2" t="s">
        <v>888</v>
      </c>
      <c r="F292" s="2"/>
      <c r="G292" s="2" t="s">
        <v>21</v>
      </c>
      <c r="H292" s="2">
        <v>1734.82</v>
      </c>
      <c r="I292" s="2">
        <v>86.75</v>
      </c>
      <c r="J292" s="2">
        <v>1821.57</v>
      </c>
      <c r="K292" s="2">
        <v>1821.57</v>
      </c>
      <c r="L292" s="2" t="s">
        <v>22</v>
      </c>
      <c r="M292" s="2" t="s">
        <v>3844</v>
      </c>
      <c r="N292" s="2" t="s">
        <v>3843</v>
      </c>
    </row>
    <row r="293" spans="1:14" x14ac:dyDescent="0.25">
      <c r="A293" s="2" t="s">
        <v>3105</v>
      </c>
      <c r="B293" s="2" t="s">
        <v>4207</v>
      </c>
      <c r="C293" s="4">
        <v>45912</v>
      </c>
      <c r="D293" s="4">
        <v>45942</v>
      </c>
      <c r="E293" s="2" t="s">
        <v>797</v>
      </c>
      <c r="F293" s="2"/>
      <c r="G293" s="2" t="s">
        <v>36</v>
      </c>
      <c r="H293" s="2">
        <v>389.39</v>
      </c>
      <c r="I293" s="2">
        <v>50.62</v>
      </c>
      <c r="J293" s="2">
        <v>440.01</v>
      </c>
      <c r="K293" s="2">
        <v>440.01</v>
      </c>
      <c r="L293" s="2" t="s">
        <v>22</v>
      </c>
      <c r="M293" s="2" t="s">
        <v>3844</v>
      </c>
      <c r="N293" s="2" t="s">
        <v>3843</v>
      </c>
    </row>
    <row r="294" spans="1:14" ht="45" x14ac:dyDescent="0.25">
      <c r="A294" s="2" t="s">
        <v>3126</v>
      </c>
      <c r="B294" s="2" t="s">
        <v>4192</v>
      </c>
      <c r="C294" s="4">
        <v>45911</v>
      </c>
      <c r="D294" s="4">
        <v>45941</v>
      </c>
      <c r="E294" s="2" t="s">
        <v>758</v>
      </c>
      <c r="F294" s="2"/>
      <c r="G294" s="2" t="s">
        <v>21</v>
      </c>
      <c r="H294" s="2">
        <v>18988.28</v>
      </c>
      <c r="I294" s="2"/>
      <c r="J294" s="2">
        <v>18988.28</v>
      </c>
      <c r="K294" s="2">
        <v>13714.03</v>
      </c>
      <c r="L294" s="2" t="s">
        <v>51</v>
      </c>
      <c r="M294" s="2" t="s">
        <v>3844</v>
      </c>
      <c r="N294" s="2" t="s">
        <v>3843</v>
      </c>
    </row>
    <row r="295" spans="1:14" ht="45" x14ac:dyDescent="0.25">
      <c r="A295" s="2" t="s">
        <v>3141</v>
      </c>
      <c r="B295" s="2" t="s">
        <v>3986</v>
      </c>
      <c r="C295" s="4">
        <v>45910</v>
      </c>
      <c r="D295" s="4">
        <v>45940</v>
      </c>
      <c r="E295" s="2" t="s">
        <v>724</v>
      </c>
      <c r="F295" s="2"/>
      <c r="G295" s="2" t="s">
        <v>21</v>
      </c>
      <c r="H295" s="2">
        <v>27525.7</v>
      </c>
      <c r="I295" s="2">
        <v>3578.35</v>
      </c>
      <c r="J295" s="2">
        <v>31104.05</v>
      </c>
      <c r="K295" s="2">
        <v>31104.05</v>
      </c>
      <c r="L295" s="2" t="s">
        <v>22</v>
      </c>
      <c r="M295" s="2" t="s">
        <v>3844</v>
      </c>
      <c r="N295" s="2" t="s">
        <v>3843</v>
      </c>
    </row>
    <row r="296" spans="1:14" x14ac:dyDescent="0.25">
      <c r="A296" s="2" t="s">
        <v>2965</v>
      </c>
      <c r="B296" s="2" t="s">
        <v>77</v>
      </c>
      <c r="C296" s="4">
        <v>45910</v>
      </c>
      <c r="D296" s="4">
        <v>45940</v>
      </c>
      <c r="E296" s="2" t="s">
        <v>1056</v>
      </c>
      <c r="F296" s="2"/>
      <c r="G296" s="2" t="s">
        <v>36</v>
      </c>
      <c r="H296" s="2">
        <v>3048.85</v>
      </c>
      <c r="I296" s="2">
        <v>152.44</v>
      </c>
      <c r="J296" s="2">
        <v>3201.29</v>
      </c>
      <c r="K296" s="2">
        <v>3201.29</v>
      </c>
      <c r="L296" s="2" t="s">
        <v>22</v>
      </c>
      <c r="M296" s="2" t="s">
        <v>3844</v>
      </c>
      <c r="N296" s="2" t="s">
        <v>3843</v>
      </c>
    </row>
    <row r="297" spans="1:14" ht="30" x14ac:dyDescent="0.25">
      <c r="A297" s="2" t="s">
        <v>3160</v>
      </c>
      <c r="B297" s="2" t="s">
        <v>4206</v>
      </c>
      <c r="C297" s="4">
        <v>45910</v>
      </c>
      <c r="D297" s="4">
        <v>45910</v>
      </c>
      <c r="E297" s="2" t="s">
        <v>690</v>
      </c>
      <c r="F297" s="2"/>
      <c r="G297" s="2" t="s">
        <v>36</v>
      </c>
      <c r="H297" s="2">
        <v>498.96</v>
      </c>
      <c r="I297" s="2">
        <v>24.95</v>
      </c>
      <c r="J297" s="2">
        <v>523.91</v>
      </c>
      <c r="K297" s="2">
        <v>523.91</v>
      </c>
      <c r="L297" s="2" t="s">
        <v>22</v>
      </c>
      <c r="M297" s="2" t="s">
        <v>3844</v>
      </c>
      <c r="N297" s="2" t="s">
        <v>3843</v>
      </c>
    </row>
    <row r="298" spans="1:14" ht="30" x14ac:dyDescent="0.25">
      <c r="A298" s="2" t="s">
        <v>3129</v>
      </c>
      <c r="B298" s="2" t="s">
        <v>232</v>
      </c>
      <c r="C298" s="4">
        <v>45910</v>
      </c>
      <c r="D298" s="4">
        <v>45940</v>
      </c>
      <c r="E298" s="2" t="s">
        <v>751</v>
      </c>
      <c r="F298" s="2"/>
      <c r="G298" s="2" t="s">
        <v>180</v>
      </c>
      <c r="H298" s="2">
        <v>7496.53</v>
      </c>
      <c r="I298" s="2"/>
      <c r="J298" s="2">
        <v>7496.53</v>
      </c>
      <c r="K298" s="2">
        <v>5422.32</v>
      </c>
      <c r="L298" s="2" t="s">
        <v>51</v>
      </c>
      <c r="M298" s="2" t="s">
        <v>3844</v>
      </c>
      <c r="N298" s="2" t="s">
        <v>3843</v>
      </c>
    </row>
    <row r="299" spans="1:14" ht="60" x14ac:dyDescent="0.25">
      <c r="A299" s="2" t="s">
        <v>2921</v>
      </c>
      <c r="B299" s="2" t="s">
        <v>4095</v>
      </c>
      <c r="C299" s="4">
        <v>45910</v>
      </c>
      <c r="D299" s="4">
        <v>45940</v>
      </c>
      <c r="E299" s="2" t="s">
        <v>1128</v>
      </c>
      <c r="F299" s="2"/>
      <c r="G299" s="2" t="s">
        <v>180</v>
      </c>
      <c r="H299" s="2">
        <v>17000.18</v>
      </c>
      <c r="I299" s="2"/>
      <c r="J299" s="2">
        <v>17000.18</v>
      </c>
      <c r="K299" s="2">
        <v>12300</v>
      </c>
      <c r="L299" s="2" t="s">
        <v>51</v>
      </c>
      <c r="M299" s="2" t="s">
        <v>3844</v>
      </c>
      <c r="N299" s="2" t="s">
        <v>3843</v>
      </c>
    </row>
    <row r="300" spans="1:14" ht="30" x14ac:dyDescent="0.25">
      <c r="A300" s="2" t="s">
        <v>3125</v>
      </c>
      <c r="B300" s="2" t="s">
        <v>159</v>
      </c>
      <c r="C300" s="4">
        <v>45910</v>
      </c>
      <c r="D300" s="4">
        <v>45955</v>
      </c>
      <c r="E300" s="2" t="s">
        <v>760</v>
      </c>
      <c r="F300" s="2"/>
      <c r="G300" s="2" t="s">
        <v>40</v>
      </c>
      <c r="H300" s="2">
        <v>9770.8799999999992</v>
      </c>
      <c r="I300" s="2"/>
      <c r="J300" s="2">
        <v>9770.8799999999992</v>
      </c>
      <c r="K300" s="2">
        <v>7069.44</v>
      </c>
      <c r="L300" s="2" t="s">
        <v>51</v>
      </c>
      <c r="M300" s="2" t="s">
        <v>3844</v>
      </c>
      <c r="N300" s="2" t="s">
        <v>3843</v>
      </c>
    </row>
    <row r="301" spans="1:14" ht="30" x14ac:dyDescent="0.25">
      <c r="A301" s="2" t="s">
        <v>3130</v>
      </c>
      <c r="B301" s="2" t="s">
        <v>159</v>
      </c>
      <c r="C301" s="4">
        <v>45910</v>
      </c>
      <c r="D301" s="4">
        <v>45955</v>
      </c>
      <c r="E301" s="2" t="s">
        <v>749</v>
      </c>
      <c r="F301" s="2"/>
      <c r="G301" s="2" t="s">
        <v>40</v>
      </c>
      <c r="H301" s="2">
        <v>29134.17</v>
      </c>
      <c r="I301" s="2"/>
      <c r="J301" s="2">
        <v>29134.17</v>
      </c>
      <c r="K301" s="2">
        <v>21079.200000000001</v>
      </c>
      <c r="L301" s="2" t="s">
        <v>51</v>
      </c>
      <c r="M301" s="2" t="s">
        <v>3844</v>
      </c>
      <c r="N301" s="2" t="s">
        <v>3843</v>
      </c>
    </row>
    <row r="302" spans="1:14" ht="30" x14ac:dyDescent="0.25">
      <c r="A302" s="2" t="s">
        <v>3124</v>
      </c>
      <c r="B302" s="2" t="s">
        <v>159</v>
      </c>
      <c r="C302" s="4">
        <v>45910</v>
      </c>
      <c r="D302" s="4">
        <v>45955</v>
      </c>
      <c r="E302" s="2" t="s">
        <v>762</v>
      </c>
      <c r="F302" s="2"/>
      <c r="G302" s="2" t="s">
        <v>40</v>
      </c>
      <c r="H302" s="2">
        <v>23305.65</v>
      </c>
      <c r="I302" s="2"/>
      <c r="J302" s="2">
        <v>23305.65</v>
      </c>
      <c r="K302" s="2">
        <v>16862.14</v>
      </c>
      <c r="L302" s="2" t="s">
        <v>51</v>
      </c>
      <c r="M302" s="2" t="s">
        <v>3844</v>
      </c>
      <c r="N302" s="2" t="s">
        <v>3843</v>
      </c>
    </row>
    <row r="303" spans="1:14" ht="30" x14ac:dyDescent="0.25">
      <c r="A303" s="2" t="s">
        <v>3137</v>
      </c>
      <c r="B303" s="2" t="s">
        <v>129</v>
      </c>
      <c r="C303" s="4">
        <v>45909</v>
      </c>
      <c r="D303" s="4">
        <v>45969</v>
      </c>
      <c r="E303" s="2" t="s">
        <v>731</v>
      </c>
      <c r="F303" s="2"/>
      <c r="G303" s="2" t="s">
        <v>130</v>
      </c>
      <c r="H303" s="2">
        <v>3706.34</v>
      </c>
      <c r="I303" s="2"/>
      <c r="J303" s="2">
        <v>3706.34</v>
      </c>
      <c r="K303" s="2">
        <v>2680</v>
      </c>
      <c r="L303" s="2" t="s">
        <v>51</v>
      </c>
      <c r="M303" s="2" t="s">
        <v>3844</v>
      </c>
      <c r="N303" s="2" t="s">
        <v>3843</v>
      </c>
    </row>
    <row r="304" spans="1:14" ht="30" x14ac:dyDescent="0.25">
      <c r="A304" s="2" t="s">
        <v>3009</v>
      </c>
      <c r="B304" s="2" t="s">
        <v>4151</v>
      </c>
      <c r="C304" s="4">
        <v>45909</v>
      </c>
      <c r="D304" s="4">
        <v>45909</v>
      </c>
      <c r="E304" s="2" t="s">
        <v>984</v>
      </c>
      <c r="F304" s="2"/>
      <c r="G304" s="2" t="s">
        <v>180</v>
      </c>
      <c r="H304" s="2">
        <v>8618.2800000000007</v>
      </c>
      <c r="I304" s="2"/>
      <c r="J304" s="2">
        <v>8618.2800000000007</v>
      </c>
      <c r="K304" s="2">
        <v>6231.75</v>
      </c>
      <c r="L304" s="2" t="s">
        <v>51</v>
      </c>
      <c r="M304" s="2" t="s">
        <v>3844</v>
      </c>
      <c r="N304" s="2" t="s">
        <v>3843</v>
      </c>
    </row>
    <row r="305" spans="1:14" x14ac:dyDescent="0.25">
      <c r="A305" s="2" t="s">
        <v>3155</v>
      </c>
      <c r="B305" s="2" t="s">
        <v>146</v>
      </c>
      <c r="C305" s="4">
        <v>45909</v>
      </c>
      <c r="D305" s="4">
        <v>45939</v>
      </c>
      <c r="E305" s="2" t="s">
        <v>699</v>
      </c>
      <c r="F305" s="2"/>
      <c r="G305" s="2" t="s">
        <v>21</v>
      </c>
      <c r="H305" s="2">
        <v>909.56</v>
      </c>
      <c r="I305" s="2">
        <v>45.48</v>
      </c>
      <c r="J305" s="2">
        <v>955.04</v>
      </c>
      <c r="K305" s="2">
        <v>955.04</v>
      </c>
      <c r="L305" s="2" t="s">
        <v>22</v>
      </c>
      <c r="M305" s="2" t="s">
        <v>3844</v>
      </c>
      <c r="N305" s="2" t="s">
        <v>3843</v>
      </c>
    </row>
    <row r="306" spans="1:14" x14ac:dyDescent="0.25">
      <c r="A306" s="2" t="s">
        <v>3057</v>
      </c>
      <c r="B306" s="2" t="s">
        <v>898</v>
      </c>
      <c r="C306" s="4">
        <v>45909</v>
      </c>
      <c r="D306" s="4">
        <v>45909</v>
      </c>
      <c r="E306" s="2" t="s">
        <v>896</v>
      </c>
      <c r="F306" s="2"/>
      <c r="G306" s="2" t="s">
        <v>21</v>
      </c>
      <c r="H306" s="2">
        <v>7183.59</v>
      </c>
      <c r="I306" s="2">
        <v>359.18</v>
      </c>
      <c r="J306" s="2">
        <v>7542.77</v>
      </c>
      <c r="K306" s="2">
        <v>7542.77</v>
      </c>
      <c r="L306" s="2" t="s">
        <v>22</v>
      </c>
      <c r="M306" s="2" t="s">
        <v>3844</v>
      </c>
      <c r="N306" s="2" t="s">
        <v>3843</v>
      </c>
    </row>
    <row r="307" spans="1:14" ht="30" x14ac:dyDescent="0.25">
      <c r="A307" s="2" t="s">
        <v>3006</v>
      </c>
      <c r="B307" s="2" t="s">
        <v>129</v>
      </c>
      <c r="C307" s="4">
        <v>45908</v>
      </c>
      <c r="D307" s="4">
        <v>45968</v>
      </c>
      <c r="E307" s="2" t="s">
        <v>991</v>
      </c>
      <c r="F307" s="2"/>
      <c r="G307" s="2" t="s">
        <v>130</v>
      </c>
      <c r="H307" s="2">
        <v>207.5</v>
      </c>
      <c r="I307" s="2"/>
      <c r="J307" s="2">
        <v>207.5</v>
      </c>
      <c r="K307" s="2">
        <v>150</v>
      </c>
      <c r="L307" s="2" t="s">
        <v>51</v>
      </c>
      <c r="M307" s="2" t="s">
        <v>3844</v>
      </c>
      <c r="N307" s="2" t="s">
        <v>3843</v>
      </c>
    </row>
    <row r="308" spans="1:14" ht="30" x14ac:dyDescent="0.25">
      <c r="A308" s="2" t="s">
        <v>3033</v>
      </c>
      <c r="B308" s="2" t="s">
        <v>129</v>
      </c>
      <c r="C308" s="4">
        <v>45908</v>
      </c>
      <c r="D308" s="4">
        <v>45968</v>
      </c>
      <c r="E308" s="2" t="s">
        <v>942</v>
      </c>
      <c r="F308" s="2"/>
      <c r="G308" s="2" t="s">
        <v>130</v>
      </c>
      <c r="H308" s="2">
        <v>498</v>
      </c>
      <c r="I308" s="2"/>
      <c r="J308" s="2">
        <v>498</v>
      </c>
      <c r="K308" s="2">
        <v>360</v>
      </c>
      <c r="L308" s="2" t="s">
        <v>51</v>
      </c>
      <c r="M308" s="2" t="s">
        <v>3844</v>
      </c>
      <c r="N308" s="2" t="s">
        <v>3843</v>
      </c>
    </row>
    <row r="309" spans="1:14" ht="30" x14ac:dyDescent="0.25">
      <c r="A309" s="2" t="s">
        <v>2968</v>
      </c>
      <c r="B309" s="2" t="s">
        <v>129</v>
      </c>
      <c r="C309" s="4">
        <v>45908</v>
      </c>
      <c r="D309" s="4">
        <v>45968</v>
      </c>
      <c r="E309" s="2" t="s">
        <v>1052</v>
      </c>
      <c r="F309" s="2"/>
      <c r="G309" s="2" t="s">
        <v>130</v>
      </c>
      <c r="H309" s="2">
        <v>589.29999999999995</v>
      </c>
      <c r="I309" s="2"/>
      <c r="J309" s="2">
        <v>589.29999999999995</v>
      </c>
      <c r="K309" s="2">
        <v>426</v>
      </c>
      <c r="L309" s="2" t="s">
        <v>51</v>
      </c>
      <c r="M309" s="2" t="s">
        <v>3844</v>
      </c>
      <c r="N309" s="2" t="s">
        <v>3843</v>
      </c>
    </row>
    <row r="310" spans="1:14" x14ac:dyDescent="0.25">
      <c r="A310" s="2" t="s">
        <v>3142</v>
      </c>
      <c r="B310" s="2" t="s">
        <v>723</v>
      </c>
      <c r="C310" s="4">
        <v>45908</v>
      </c>
      <c r="D310" s="4">
        <v>45968</v>
      </c>
      <c r="E310" s="2" t="s">
        <v>721</v>
      </c>
      <c r="F310" s="2"/>
      <c r="G310" s="2" t="s">
        <v>71</v>
      </c>
      <c r="H310" s="2">
        <v>8249.49</v>
      </c>
      <c r="I310" s="2">
        <v>51.86</v>
      </c>
      <c r="J310" s="2">
        <v>8301.35</v>
      </c>
      <c r="K310" s="2">
        <v>6000.9</v>
      </c>
      <c r="L310" s="2" t="s">
        <v>51</v>
      </c>
      <c r="M310" s="2" t="s">
        <v>3844</v>
      </c>
      <c r="N310" s="2" t="s">
        <v>3843</v>
      </c>
    </row>
    <row r="311" spans="1:14" ht="30" x14ac:dyDescent="0.25">
      <c r="A311" s="2" t="s">
        <v>3119</v>
      </c>
      <c r="B311" s="2" t="s">
        <v>450</v>
      </c>
      <c r="C311" s="4">
        <v>45905</v>
      </c>
      <c r="D311" s="4">
        <v>45935</v>
      </c>
      <c r="E311" s="2" t="s">
        <v>770</v>
      </c>
      <c r="F311" s="2"/>
      <c r="G311" s="2" t="s">
        <v>36</v>
      </c>
      <c r="H311" s="2">
        <v>299.25</v>
      </c>
      <c r="I311" s="2">
        <v>38.9</v>
      </c>
      <c r="J311" s="2">
        <v>338.15</v>
      </c>
      <c r="K311" s="2">
        <v>338.15</v>
      </c>
      <c r="L311" s="2" t="s">
        <v>22</v>
      </c>
      <c r="M311" s="2" t="s">
        <v>3844</v>
      </c>
      <c r="N311" s="2" t="s">
        <v>3843</v>
      </c>
    </row>
    <row r="312" spans="1:14" ht="30" x14ac:dyDescent="0.25">
      <c r="A312" s="2" t="s">
        <v>3098</v>
      </c>
      <c r="B312" s="2" t="s">
        <v>576</v>
      </c>
      <c r="C312" s="4">
        <v>45905</v>
      </c>
      <c r="D312" s="4">
        <v>45935</v>
      </c>
      <c r="E312" s="2" t="s">
        <v>812</v>
      </c>
      <c r="F312" s="2"/>
      <c r="G312" s="2" t="s">
        <v>36</v>
      </c>
      <c r="H312" s="2">
        <v>2440.75</v>
      </c>
      <c r="I312" s="2"/>
      <c r="J312" s="2">
        <v>2440.75</v>
      </c>
      <c r="K312" s="2">
        <v>2440.75</v>
      </c>
      <c r="L312" s="2" t="s">
        <v>22</v>
      </c>
      <c r="M312" s="2" t="s">
        <v>3844</v>
      </c>
      <c r="N312" s="2" t="s">
        <v>3843</v>
      </c>
    </row>
    <row r="313" spans="1:14" x14ac:dyDescent="0.25">
      <c r="A313" s="2" t="s">
        <v>3138</v>
      </c>
      <c r="B313" s="2" t="s">
        <v>146</v>
      </c>
      <c r="C313" s="4">
        <v>45905</v>
      </c>
      <c r="D313" s="4">
        <v>45935</v>
      </c>
      <c r="E313" s="2" t="s">
        <v>729</v>
      </c>
      <c r="F313" s="2"/>
      <c r="G313" s="2" t="s">
        <v>40</v>
      </c>
      <c r="H313" s="2">
        <v>2894.78</v>
      </c>
      <c r="I313" s="2">
        <v>144.74</v>
      </c>
      <c r="J313" s="2">
        <v>3039.52</v>
      </c>
      <c r="K313" s="2">
        <v>3039.52</v>
      </c>
      <c r="L313" s="2" t="s">
        <v>22</v>
      </c>
      <c r="M313" s="2" t="s">
        <v>3844</v>
      </c>
      <c r="N313" s="2" t="s">
        <v>3843</v>
      </c>
    </row>
    <row r="314" spans="1:14" ht="30" x14ac:dyDescent="0.25">
      <c r="A314" s="2" t="s">
        <v>3132</v>
      </c>
      <c r="B314" s="2" t="s">
        <v>39</v>
      </c>
      <c r="C314" s="4">
        <v>45904</v>
      </c>
      <c r="D314" s="4">
        <v>45934</v>
      </c>
      <c r="E314" s="2" t="s">
        <v>745</v>
      </c>
      <c r="F314" s="2"/>
      <c r="G314" s="2" t="s">
        <v>36</v>
      </c>
      <c r="H314" s="2">
        <v>3446.9</v>
      </c>
      <c r="I314" s="2">
        <v>172.35</v>
      </c>
      <c r="J314" s="2">
        <v>3619.25</v>
      </c>
      <c r="K314" s="2">
        <v>3619.25</v>
      </c>
      <c r="L314" s="2" t="s">
        <v>22</v>
      </c>
      <c r="M314" s="2" t="s">
        <v>3844</v>
      </c>
      <c r="N314" s="2" t="s">
        <v>3843</v>
      </c>
    </row>
    <row r="315" spans="1:14" x14ac:dyDescent="0.25">
      <c r="A315" s="2" t="s">
        <v>3050</v>
      </c>
      <c r="B315" s="2" t="s">
        <v>61</v>
      </c>
      <c r="C315" s="4">
        <v>45904</v>
      </c>
      <c r="D315" s="4">
        <v>45934</v>
      </c>
      <c r="E315" s="2" t="s">
        <v>912</v>
      </c>
      <c r="F315" s="2"/>
      <c r="G315" s="2" t="s">
        <v>40</v>
      </c>
      <c r="H315" s="2">
        <v>6796.08</v>
      </c>
      <c r="I315" s="2"/>
      <c r="J315" s="2">
        <v>6796.08</v>
      </c>
      <c r="K315" s="2">
        <v>4930</v>
      </c>
      <c r="L315" s="2" t="s">
        <v>51</v>
      </c>
      <c r="M315" s="2" t="s">
        <v>3844</v>
      </c>
      <c r="N315" s="2" t="s">
        <v>3843</v>
      </c>
    </row>
    <row r="316" spans="1:14" ht="45" x14ac:dyDescent="0.25">
      <c r="A316" s="2" t="s">
        <v>3134</v>
      </c>
      <c r="B316" s="2" t="s">
        <v>4201</v>
      </c>
      <c r="C316" s="4">
        <v>45904</v>
      </c>
      <c r="D316" s="4">
        <v>45904</v>
      </c>
      <c r="E316" s="2" t="s">
        <v>737</v>
      </c>
      <c r="F316" s="2"/>
      <c r="G316" s="2" t="s">
        <v>40</v>
      </c>
      <c r="H316" s="2">
        <v>370.54</v>
      </c>
      <c r="I316" s="2"/>
      <c r="J316" s="2">
        <v>370.54</v>
      </c>
      <c r="K316" s="2">
        <v>268.8</v>
      </c>
      <c r="L316" s="2" t="s">
        <v>51</v>
      </c>
      <c r="M316" s="2" t="s">
        <v>3844</v>
      </c>
      <c r="N316" s="2" t="s">
        <v>3843</v>
      </c>
    </row>
    <row r="317" spans="1:14" ht="30" x14ac:dyDescent="0.25">
      <c r="A317" s="2" t="s">
        <v>3151</v>
      </c>
      <c r="B317" s="2" t="s">
        <v>4117</v>
      </c>
      <c r="C317" s="4">
        <v>45904</v>
      </c>
      <c r="D317" s="4">
        <v>45934</v>
      </c>
      <c r="E317" s="2" t="s">
        <v>705</v>
      </c>
      <c r="F317" s="2"/>
      <c r="G317" s="2" t="s">
        <v>40</v>
      </c>
      <c r="H317" s="2">
        <v>2940.13</v>
      </c>
      <c r="I317" s="2">
        <v>147.02000000000001</v>
      </c>
      <c r="J317" s="2">
        <v>3087.15</v>
      </c>
      <c r="K317" s="2">
        <v>3087.15</v>
      </c>
      <c r="L317" s="2" t="s">
        <v>22</v>
      </c>
      <c r="M317" s="2" t="s">
        <v>3844</v>
      </c>
      <c r="N317" s="2" t="s">
        <v>3843</v>
      </c>
    </row>
    <row r="318" spans="1:14" x14ac:dyDescent="0.25">
      <c r="A318" s="2" t="s">
        <v>3143</v>
      </c>
      <c r="B318" s="2" t="s">
        <v>64</v>
      </c>
      <c r="C318" s="4">
        <v>45904</v>
      </c>
      <c r="D318" s="4">
        <v>45934</v>
      </c>
      <c r="E318" s="2" t="s">
        <v>719</v>
      </c>
      <c r="F318" s="2"/>
      <c r="G318" s="2" t="s">
        <v>36</v>
      </c>
      <c r="H318" s="2">
        <v>913.69</v>
      </c>
      <c r="I318" s="2">
        <v>118.78</v>
      </c>
      <c r="J318" s="2">
        <v>1032.47</v>
      </c>
      <c r="K318" s="2">
        <v>1032.47</v>
      </c>
      <c r="L318" s="2" t="s">
        <v>22</v>
      </c>
      <c r="M318" s="2" t="s">
        <v>3844</v>
      </c>
      <c r="N318" s="2" t="s">
        <v>3843</v>
      </c>
    </row>
    <row r="319" spans="1:14" x14ac:dyDescent="0.25">
      <c r="A319" s="2" t="s">
        <v>3128</v>
      </c>
      <c r="B319" s="2" t="s">
        <v>146</v>
      </c>
      <c r="C319" s="4">
        <v>45904</v>
      </c>
      <c r="D319" s="4">
        <v>45934</v>
      </c>
      <c r="E319" s="2" t="s">
        <v>753</v>
      </c>
      <c r="F319" s="2"/>
      <c r="G319" s="2" t="s">
        <v>36</v>
      </c>
      <c r="H319" s="2">
        <v>1833.18</v>
      </c>
      <c r="I319" s="2">
        <v>91.66</v>
      </c>
      <c r="J319" s="2">
        <v>1924.84</v>
      </c>
      <c r="K319" s="2">
        <v>1924.84</v>
      </c>
      <c r="L319" s="2" t="s">
        <v>22</v>
      </c>
      <c r="M319" s="2" t="s">
        <v>3844</v>
      </c>
      <c r="N319" s="2" t="s">
        <v>3843</v>
      </c>
    </row>
    <row r="320" spans="1:14" ht="30" x14ac:dyDescent="0.25">
      <c r="A320" s="2" t="s">
        <v>2928</v>
      </c>
      <c r="B320" s="2" t="s">
        <v>129</v>
      </c>
      <c r="C320" s="4">
        <v>45903</v>
      </c>
      <c r="D320" s="4">
        <v>45963</v>
      </c>
      <c r="E320" s="2" t="s">
        <v>1118</v>
      </c>
      <c r="F320" s="2"/>
      <c r="G320" s="2" t="s">
        <v>130</v>
      </c>
      <c r="H320" s="2">
        <v>1207.8599999999999</v>
      </c>
      <c r="I320" s="2"/>
      <c r="J320" s="2">
        <v>1207.8599999999999</v>
      </c>
      <c r="K320" s="2">
        <v>878</v>
      </c>
      <c r="L320" s="2" t="s">
        <v>51</v>
      </c>
      <c r="M320" s="2" t="s">
        <v>3844</v>
      </c>
      <c r="N320" s="2" t="s">
        <v>3843</v>
      </c>
    </row>
    <row r="321" spans="1:14" ht="30" x14ac:dyDescent="0.25">
      <c r="A321" s="2" t="s">
        <v>3053</v>
      </c>
      <c r="B321" s="2" t="s">
        <v>129</v>
      </c>
      <c r="C321" s="4">
        <v>45903</v>
      </c>
      <c r="D321" s="4">
        <v>45963</v>
      </c>
      <c r="E321" s="2" t="s">
        <v>906</v>
      </c>
      <c r="F321" s="2"/>
      <c r="G321" s="2" t="s">
        <v>328</v>
      </c>
      <c r="H321" s="2">
        <v>1469.24</v>
      </c>
      <c r="I321" s="2"/>
      <c r="J321" s="2">
        <v>1469.24</v>
      </c>
      <c r="K321" s="2">
        <v>1068</v>
      </c>
      <c r="L321" s="2" t="s">
        <v>51</v>
      </c>
      <c r="M321" s="2" t="s">
        <v>3844</v>
      </c>
      <c r="N321" s="2" t="s">
        <v>3843</v>
      </c>
    </row>
    <row r="322" spans="1:14" ht="30" x14ac:dyDescent="0.25">
      <c r="A322" s="2" t="s">
        <v>3005</v>
      </c>
      <c r="B322" s="2" t="s">
        <v>129</v>
      </c>
      <c r="C322" s="4">
        <v>45903</v>
      </c>
      <c r="D322" s="4">
        <v>45963</v>
      </c>
      <c r="E322" s="2" t="s">
        <v>993</v>
      </c>
      <c r="F322" s="2"/>
      <c r="G322" s="2" t="s">
        <v>130</v>
      </c>
      <c r="H322" s="2">
        <v>1224.3699999999999</v>
      </c>
      <c r="I322" s="2"/>
      <c r="J322" s="2">
        <v>1224.3699999999999</v>
      </c>
      <c r="K322" s="2">
        <v>890</v>
      </c>
      <c r="L322" s="2" t="s">
        <v>51</v>
      </c>
      <c r="M322" s="2" t="s">
        <v>3844</v>
      </c>
      <c r="N322" s="2" t="s">
        <v>3843</v>
      </c>
    </row>
    <row r="323" spans="1:14" ht="30" x14ac:dyDescent="0.25">
      <c r="A323" s="2" t="s">
        <v>2959</v>
      </c>
      <c r="B323" s="2" t="s">
        <v>129</v>
      </c>
      <c r="C323" s="4">
        <v>45903</v>
      </c>
      <c r="D323" s="4">
        <v>45963</v>
      </c>
      <c r="E323" s="2" t="s">
        <v>1067</v>
      </c>
      <c r="F323" s="2"/>
      <c r="G323" s="2" t="s">
        <v>130</v>
      </c>
      <c r="H323" s="2">
        <v>3221.87</v>
      </c>
      <c r="I323" s="2"/>
      <c r="J323" s="2">
        <v>3221.87</v>
      </c>
      <c r="K323" s="2">
        <v>2342</v>
      </c>
      <c r="L323" s="2" t="s">
        <v>51</v>
      </c>
      <c r="M323" s="2" t="s">
        <v>3844</v>
      </c>
      <c r="N323" s="2" t="s">
        <v>3843</v>
      </c>
    </row>
    <row r="324" spans="1:14" ht="30" x14ac:dyDescent="0.25">
      <c r="A324" s="2" t="s">
        <v>2885</v>
      </c>
      <c r="B324" s="2" t="s">
        <v>4171</v>
      </c>
      <c r="C324" s="4">
        <v>45903</v>
      </c>
      <c r="D324" s="4">
        <v>45933</v>
      </c>
      <c r="E324" s="2" t="s">
        <v>1190</v>
      </c>
      <c r="F324" s="2"/>
      <c r="G324" s="2" t="s">
        <v>180</v>
      </c>
      <c r="H324" s="2">
        <v>2813.09</v>
      </c>
      <c r="I324" s="2"/>
      <c r="J324" s="2">
        <v>2813.09</v>
      </c>
      <c r="K324" s="2">
        <v>2044.85</v>
      </c>
      <c r="L324" s="2" t="s">
        <v>51</v>
      </c>
      <c r="M324" s="2" t="s">
        <v>3844</v>
      </c>
      <c r="N324" s="2" t="s">
        <v>3843</v>
      </c>
    </row>
    <row r="325" spans="1:14" ht="30" x14ac:dyDescent="0.25">
      <c r="A325" s="2" t="s">
        <v>3469</v>
      </c>
      <c r="B325" s="2" t="s">
        <v>4171</v>
      </c>
      <c r="C325" s="4">
        <v>45903</v>
      </c>
      <c r="D325" s="4">
        <v>45903</v>
      </c>
      <c r="E325" s="2" t="s">
        <v>4193</v>
      </c>
      <c r="F325" s="2"/>
      <c r="G325" s="2" t="s">
        <v>426</v>
      </c>
      <c r="H325" s="2">
        <v>46095.3</v>
      </c>
      <c r="I325" s="2"/>
      <c r="J325" s="2">
        <v>46095.3</v>
      </c>
      <c r="K325" s="2">
        <v>33507</v>
      </c>
      <c r="L325" s="2" t="s">
        <v>51</v>
      </c>
      <c r="M325" s="2" t="s">
        <v>3844</v>
      </c>
      <c r="N325" s="2" t="s">
        <v>3843</v>
      </c>
    </row>
    <row r="326" spans="1:14" x14ac:dyDescent="0.25">
      <c r="A326" s="2" t="s">
        <v>2834</v>
      </c>
      <c r="B326" s="2" t="s">
        <v>135</v>
      </c>
      <c r="C326" s="4">
        <v>45901</v>
      </c>
      <c r="D326" s="4">
        <v>45961</v>
      </c>
      <c r="E326" s="2" t="s">
        <v>1278</v>
      </c>
      <c r="F326" s="2"/>
      <c r="G326" s="2" t="s">
        <v>21</v>
      </c>
      <c r="H326" s="2">
        <v>12103.08</v>
      </c>
      <c r="I326" s="2">
        <v>1573.4</v>
      </c>
      <c r="J326" s="2">
        <v>13676.48</v>
      </c>
      <c r="K326" s="2">
        <v>13676.48</v>
      </c>
      <c r="L326" s="2" t="s">
        <v>22</v>
      </c>
      <c r="M326" s="2" t="s">
        <v>3844</v>
      </c>
      <c r="N326" s="2" t="s">
        <v>3843</v>
      </c>
    </row>
    <row r="327" spans="1:14" ht="30" x14ac:dyDescent="0.25">
      <c r="A327" s="2" t="s">
        <v>3115</v>
      </c>
      <c r="B327" s="2" t="s">
        <v>20</v>
      </c>
      <c r="C327" s="4">
        <v>45898</v>
      </c>
      <c r="D327" s="4">
        <v>45958</v>
      </c>
      <c r="E327" s="2" t="s">
        <v>781</v>
      </c>
      <c r="F327" s="2"/>
      <c r="G327" s="2" t="s">
        <v>36</v>
      </c>
      <c r="H327" s="2">
        <v>7718.14</v>
      </c>
      <c r="I327" s="2">
        <v>385.91</v>
      </c>
      <c r="J327" s="2">
        <v>8104.05</v>
      </c>
      <c r="K327" s="2">
        <v>8104.05</v>
      </c>
      <c r="L327" s="2" t="s">
        <v>22</v>
      </c>
      <c r="M327" s="2" t="s">
        <v>3844</v>
      </c>
      <c r="N327" s="2" t="s">
        <v>3843</v>
      </c>
    </row>
    <row r="328" spans="1:14" x14ac:dyDescent="0.25">
      <c r="A328" s="2" t="s">
        <v>3121</v>
      </c>
      <c r="B328" s="2" t="s">
        <v>192</v>
      </c>
      <c r="C328" s="4">
        <v>45897</v>
      </c>
      <c r="D328" s="4">
        <v>45897</v>
      </c>
      <c r="E328" s="2" t="s">
        <v>768</v>
      </c>
      <c r="F328" s="2"/>
      <c r="G328" s="2" t="s">
        <v>36</v>
      </c>
      <c r="H328" s="2">
        <v>4154.03</v>
      </c>
      <c r="I328" s="2"/>
      <c r="J328" s="2">
        <v>4154.03</v>
      </c>
      <c r="K328" s="2">
        <v>3004.55</v>
      </c>
      <c r="L328" s="2" t="s">
        <v>51</v>
      </c>
      <c r="M328" s="2" t="s">
        <v>3844</v>
      </c>
      <c r="N328" s="2" t="s">
        <v>3843</v>
      </c>
    </row>
    <row r="329" spans="1:14" x14ac:dyDescent="0.25">
      <c r="A329" s="2" t="s">
        <v>2970</v>
      </c>
      <c r="B329" s="2" t="s">
        <v>714</v>
      </c>
      <c r="C329" s="4">
        <v>45897</v>
      </c>
      <c r="D329" s="4">
        <v>45927</v>
      </c>
      <c r="E329" s="2" t="s">
        <v>1050</v>
      </c>
      <c r="F329" s="2"/>
      <c r="G329" s="2" t="s">
        <v>21</v>
      </c>
      <c r="H329" s="2"/>
      <c r="I329" s="2"/>
      <c r="J329" s="2"/>
      <c r="K329" s="2"/>
      <c r="L329" s="2" t="s">
        <v>51</v>
      </c>
      <c r="M329" s="2" t="s">
        <v>4031</v>
      </c>
      <c r="N329" s="2" t="s">
        <v>3843</v>
      </c>
    </row>
    <row r="330" spans="1:14" x14ac:dyDescent="0.25">
      <c r="A330" s="2" t="s">
        <v>4167</v>
      </c>
      <c r="B330" s="2" t="s">
        <v>192</v>
      </c>
      <c r="C330" s="2"/>
      <c r="D330" s="4">
        <v>45897</v>
      </c>
      <c r="E330" s="2" t="s">
        <v>768</v>
      </c>
      <c r="F330" s="2"/>
      <c r="G330" s="2" t="s">
        <v>36</v>
      </c>
      <c r="H330" s="2">
        <v>3338.31</v>
      </c>
      <c r="I330" s="2"/>
      <c r="J330" s="2">
        <v>3338.31</v>
      </c>
      <c r="K330" s="2">
        <v>2414.5500000000002</v>
      </c>
      <c r="L330" s="2" t="s">
        <v>51</v>
      </c>
      <c r="M330" s="2" t="s">
        <v>3844</v>
      </c>
      <c r="N330" s="2" t="s">
        <v>3978</v>
      </c>
    </row>
    <row r="331" spans="1:14" x14ac:dyDescent="0.25">
      <c r="A331" s="2" t="s">
        <v>3114</v>
      </c>
      <c r="B331" s="2" t="s">
        <v>146</v>
      </c>
      <c r="C331" s="4">
        <v>45896</v>
      </c>
      <c r="D331" s="4">
        <v>45926</v>
      </c>
      <c r="E331" s="2" t="s">
        <v>785</v>
      </c>
      <c r="F331" s="2"/>
      <c r="G331" s="2" t="s">
        <v>21</v>
      </c>
      <c r="H331" s="2">
        <v>107.56</v>
      </c>
      <c r="I331" s="2">
        <v>5.38</v>
      </c>
      <c r="J331" s="2">
        <v>112.94</v>
      </c>
      <c r="K331" s="2">
        <v>112.94</v>
      </c>
      <c r="L331" s="2" t="s">
        <v>22</v>
      </c>
      <c r="M331" s="2" t="s">
        <v>3844</v>
      </c>
      <c r="N331" s="2" t="s">
        <v>3843</v>
      </c>
    </row>
    <row r="332" spans="1:14" ht="30" x14ac:dyDescent="0.25">
      <c r="A332" s="2" t="s">
        <v>2754</v>
      </c>
      <c r="B332" s="2" t="s">
        <v>129</v>
      </c>
      <c r="C332" s="4">
        <v>45896</v>
      </c>
      <c r="D332" s="4">
        <v>45926</v>
      </c>
      <c r="E332" s="2" t="s">
        <v>1426</v>
      </c>
      <c r="F332" s="2"/>
      <c r="G332" s="2" t="s">
        <v>130</v>
      </c>
      <c r="H332" s="2">
        <v>16830.330000000002</v>
      </c>
      <c r="I332" s="2"/>
      <c r="J332" s="2">
        <v>16830.330000000002</v>
      </c>
      <c r="K332" s="2">
        <v>12168</v>
      </c>
      <c r="L332" s="2" t="s">
        <v>51</v>
      </c>
      <c r="M332" s="2" t="s">
        <v>3844</v>
      </c>
      <c r="N332" s="2" t="s">
        <v>3843</v>
      </c>
    </row>
    <row r="333" spans="1:14" ht="30" x14ac:dyDescent="0.25">
      <c r="A333" s="2" t="s">
        <v>2850</v>
      </c>
      <c r="B333" s="2" t="s">
        <v>129</v>
      </c>
      <c r="C333" s="4">
        <v>45896</v>
      </c>
      <c r="D333" s="4">
        <v>45926</v>
      </c>
      <c r="E333" s="2" t="s">
        <v>1251</v>
      </c>
      <c r="F333" s="2"/>
      <c r="G333" s="2" t="s">
        <v>130</v>
      </c>
      <c r="H333" s="2">
        <v>3706.88</v>
      </c>
      <c r="I333" s="2"/>
      <c r="J333" s="2">
        <v>3706.88</v>
      </c>
      <c r="K333" s="2">
        <v>2680</v>
      </c>
      <c r="L333" s="2" t="s">
        <v>51</v>
      </c>
      <c r="M333" s="2" t="s">
        <v>3844</v>
      </c>
      <c r="N333" s="2" t="s">
        <v>3843</v>
      </c>
    </row>
    <row r="334" spans="1:14" x14ac:dyDescent="0.25">
      <c r="A334" s="2" t="s">
        <v>3479</v>
      </c>
      <c r="B334" s="2" t="s">
        <v>3442</v>
      </c>
      <c r="C334" s="4">
        <v>45896</v>
      </c>
      <c r="D334" s="4">
        <v>45941</v>
      </c>
      <c r="E334" s="2" t="s">
        <v>4205</v>
      </c>
      <c r="F334" s="2"/>
      <c r="G334" s="2" t="s">
        <v>426</v>
      </c>
      <c r="H334" s="2"/>
      <c r="I334" s="2"/>
      <c r="J334" s="2"/>
      <c r="K334" s="2"/>
      <c r="L334" s="2" t="s">
        <v>51</v>
      </c>
      <c r="M334" s="2" t="s">
        <v>4031</v>
      </c>
      <c r="N334" s="2" t="s">
        <v>3843</v>
      </c>
    </row>
    <row r="335" spans="1:14" ht="30" x14ac:dyDescent="0.25">
      <c r="A335" s="2" t="s">
        <v>3117</v>
      </c>
      <c r="B335" s="2" t="s">
        <v>20</v>
      </c>
      <c r="C335" s="4">
        <v>45895</v>
      </c>
      <c r="D335" s="4">
        <v>45955</v>
      </c>
      <c r="E335" s="2" t="s">
        <v>777</v>
      </c>
      <c r="F335" s="2"/>
      <c r="G335" s="2" t="s">
        <v>36</v>
      </c>
      <c r="H335" s="2">
        <v>630.64</v>
      </c>
      <c r="I335" s="2">
        <v>31.53</v>
      </c>
      <c r="J335" s="2">
        <v>662.17</v>
      </c>
      <c r="K335" s="2">
        <v>662.17</v>
      </c>
      <c r="L335" s="2" t="s">
        <v>22</v>
      </c>
      <c r="M335" s="2" t="s">
        <v>3844</v>
      </c>
      <c r="N335" s="2" t="s">
        <v>3843</v>
      </c>
    </row>
    <row r="336" spans="1:14" ht="30" x14ac:dyDescent="0.25">
      <c r="A336" s="2" t="s">
        <v>3116</v>
      </c>
      <c r="B336" s="2" t="s">
        <v>353</v>
      </c>
      <c r="C336" s="4">
        <v>45895</v>
      </c>
      <c r="D336" s="4">
        <v>45925</v>
      </c>
      <c r="E336" s="2" t="s">
        <v>779</v>
      </c>
      <c r="F336" s="2"/>
      <c r="G336" s="2" t="s">
        <v>40</v>
      </c>
      <c r="H336" s="2">
        <v>113.96</v>
      </c>
      <c r="I336" s="2">
        <v>5.7</v>
      </c>
      <c r="J336" s="2">
        <v>119.66</v>
      </c>
      <c r="K336" s="2">
        <v>119.66</v>
      </c>
      <c r="L336" s="2" t="s">
        <v>22</v>
      </c>
      <c r="M336" s="2" t="s">
        <v>3844</v>
      </c>
      <c r="N336" s="2" t="s">
        <v>3843</v>
      </c>
    </row>
    <row r="337" spans="1:14" x14ac:dyDescent="0.25">
      <c r="A337" s="2" t="s">
        <v>3097</v>
      </c>
      <c r="B337" s="2" t="s">
        <v>248</v>
      </c>
      <c r="C337" s="4">
        <v>45894</v>
      </c>
      <c r="D337" s="4">
        <v>45924</v>
      </c>
      <c r="E337" s="2" t="s">
        <v>814</v>
      </c>
      <c r="F337" s="2"/>
      <c r="G337" s="2" t="s">
        <v>71</v>
      </c>
      <c r="H337" s="2">
        <v>160</v>
      </c>
      <c r="I337" s="2">
        <v>8</v>
      </c>
      <c r="J337" s="2">
        <v>168</v>
      </c>
      <c r="K337" s="2">
        <v>168</v>
      </c>
      <c r="L337" s="2" t="s">
        <v>22</v>
      </c>
      <c r="M337" s="2" t="s">
        <v>3844</v>
      </c>
      <c r="N337" s="2" t="s">
        <v>3843</v>
      </c>
    </row>
    <row r="338" spans="1:14" ht="30" x14ac:dyDescent="0.25">
      <c r="A338" s="2" t="s">
        <v>3102</v>
      </c>
      <c r="B338" s="2" t="s">
        <v>35</v>
      </c>
      <c r="C338" s="4">
        <v>45894</v>
      </c>
      <c r="D338" s="4">
        <v>45924</v>
      </c>
      <c r="E338" s="2" t="s">
        <v>804</v>
      </c>
      <c r="F338" s="2"/>
      <c r="G338" s="2" t="s">
        <v>36</v>
      </c>
      <c r="H338" s="2">
        <v>1388</v>
      </c>
      <c r="I338" s="2">
        <v>69.400000000000006</v>
      </c>
      <c r="J338" s="2">
        <v>1457.4</v>
      </c>
      <c r="K338" s="2">
        <v>1457.4</v>
      </c>
      <c r="L338" s="2" t="s">
        <v>22</v>
      </c>
      <c r="M338" s="2" t="s">
        <v>3844</v>
      </c>
      <c r="N338" s="2" t="s">
        <v>3843</v>
      </c>
    </row>
    <row r="339" spans="1:14" ht="30" x14ac:dyDescent="0.25">
      <c r="A339" s="2" t="s">
        <v>3112</v>
      </c>
      <c r="B339" s="2" t="s">
        <v>26</v>
      </c>
      <c r="C339" s="4">
        <v>45894</v>
      </c>
      <c r="D339" s="4">
        <v>45924</v>
      </c>
      <c r="E339" s="2" t="s">
        <v>789</v>
      </c>
      <c r="F339" s="2"/>
      <c r="G339" s="2" t="s">
        <v>21</v>
      </c>
      <c r="H339" s="2">
        <v>569.88</v>
      </c>
      <c r="I339" s="2">
        <v>28.49</v>
      </c>
      <c r="J339" s="2">
        <v>598.37</v>
      </c>
      <c r="K339" s="2">
        <v>598.37</v>
      </c>
      <c r="L339" s="2" t="s">
        <v>22</v>
      </c>
      <c r="M339" s="2" t="s">
        <v>3844</v>
      </c>
      <c r="N339" s="2" t="s">
        <v>3843</v>
      </c>
    </row>
    <row r="340" spans="1:14" ht="30" x14ac:dyDescent="0.25">
      <c r="A340" s="2" t="s">
        <v>3063</v>
      </c>
      <c r="B340" s="2" t="s">
        <v>684</v>
      </c>
      <c r="C340" s="4">
        <v>45894</v>
      </c>
      <c r="D340" s="4">
        <v>45954</v>
      </c>
      <c r="E340" s="2" t="s">
        <v>884</v>
      </c>
      <c r="F340" s="2"/>
      <c r="G340" s="2" t="s">
        <v>36</v>
      </c>
      <c r="H340" s="2">
        <v>204.32</v>
      </c>
      <c r="I340" s="2">
        <v>10.220000000000001</v>
      </c>
      <c r="J340" s="2">
        <v>214.54</v>
      </c>
      <c r="K340" s="2">
        <v>214.54</v>
      </c>
      <c r="L340" s="2" t="s">
        <v>22</v>
      </c>
      <c r="M340" s="2" t="s">
        <v>3844</v>
      </c>
      <c r="N340" s="2" t="s">
        <v>3843</v>
      </c>
    </row>
    <row r="341" spans="1:14" x14ac:dyDescent="0.25">
      <c r="A341" s="2" t="s">
        <v>2823</v>
      </c>
      <c r="B341" s="2" t="s">
        <v>1299</v>
      </c>
      <c r="C341" s="4">
        <v>45894</v>
      </c>
      <c r="D341" s="4">
        <v>45924</v>
      </c>
      <c r="E341" s="2" t="s">
        <v>1297</v>
      </c>
      <c r="F341" s="2"/>
      <c r="G341" s="2" t="s">
        <v>21</v>
      </c>
      <c r="H341" s="2">
        <v>14091.03</v>
      </c>
      <c r="I341" s="2"/>
      <c r="J341" s="2">
        <v>14091.03</v>
      </c>
      <c r="K341" s="2">
        <v>10160.64</v>
      </c>
      <c r="L341" s="2" t="s">
        <v>51</v>
      </c>
      <c r="M341" s="2" t="s">
        <v>3844</v>
      </c>
      <c r="N341" s="2" t="s">
        <v>3843</v>
      </c>
    </row>
    <row r="342" spans="1:14" x14ac:dyDescent="0.25">
      <c r="A342" s="2" t="s">
        <v>3113</v>
      </c>
      <c r="B342" s="2" t="s">
        <v>644</v>
      </c>
      <c r="C342" s="4">
        <v>45894</v>
      </c>
      <c r="D342" s="4">
        <v>45924</v>
      </c>
      <c r="E342" s="2" t="s">
        <v>787</v>
      </c>
      <c r="F342" s="2"/>
      <c r="G342" s="2" t="s">
        <v>21</v>
      </c>
      <c r="H342" s="2">
        <v>4517.97</v>
      </c>
      <c r="I342" s="2"/>
      <c r="J342" s="2">
        <v>4517.97</v>
      </c>
      <c r="K342" s="2">
        <v>3257.78</v>
      </c>
      <c r="L342" s="2" t="s">
        <v>51</v>
      </c>
      <c r="M342" s="2" t="s">
        <v>3844</v>
      </c>
      <c r="N342" s="2" t="s">
        <v>3843</v>
      </c>
    </row>
    <row r="343" spans="1:14" x14ac:dyDescent="0.25">
      <c r="A343" s="2" t="s">
        <v>2852</v>
      </c>
      <c r="B343" s="2" t="s">
        <v>54</v>
      </c>
      <c r="C343" s="4">
        <v>45891</v>
      </c>
      <c r="D343" s="4">
        <v>45921</v>
      </c>
      <c r="E343" s="2" t="s">
        <v>1247</v>
      </c>
      <c r="F343" s="2"/>
      <c r="G343" s="2" t="s">
        <v>21</v>
      </c>
      <c r="H343" s="2">
        <v>18048.939999999999</v>
      </c>
      <c r="I343" s="2">
        <v>902.45</v>
      </c>
      <c r="J343" s="2">
        <v>18951.39</v>
      </c>
      <c r="K343" s="2">
        <v>18951.39</v>
      </c>
      <c r="L343" s="2" t="s">
        <v>22</v>
      </c>
      <c r="M343" s="2" t="s">
        <v>3844</v>
      </c>
      <c r="N343" s="2" t="s">
        <v>3843</v>
      </c>
    </row>
    <row r="344" spans="1:14" ht="30" x14ac:dyDescent="0.25">
      <c r="A344" s="2" t="s">
        <v>3099</v>
      </c>
      <c r="B344" s="2" t="s">
        <v>20</v>
      </c>
      <c r="C344" s="4">
        <v>45891</v>
      </c>
      <c r="D344" s="4">
        <v>45921</v>
      </c>
      <c r="E344" s="2" t="s">
        <v>810</v>
      </c>
      <c r="F344" s="2"/>
      <c r="G344" s="2" t="s">
        <v>36</v>
      </c>
      <c r="H344" s="2">
        <v>264.27999999999997</v>
      </c>
      <c r="I344" s="2">
        <v>13.21</v>
      </c>
      <c r="J344" s="2">
        <v>277.49</v>
      </c>
      <c r="K344" s="2">
        <v>277.49</v>
      </c>
      <c r="L344" s="2" t="s">
        <v>22</v>
      </c>
      <c r="M344" s="2" t="s">
        <v>3844</v>
      </c>
      <c r="N344" s="2" t="s">
        <v>3843</v>
      </c>
    </row>
    <row r="345" spans="1:14" ht="30" x14ac:dyDescent="0.25">
      <c r="A345" s="2" t="s">
        <v>3107</v>
      </c>
      <c r="B345" s="2" t="s">
        <v>159</v>
      </c>
      <c r="C345" s="4">
        <v>45891</v>
      </c>
      <c r="D345" s="4">
        <v>45936</v>
      </c>
      <c r="E345" s="2" t="s">
        <v>795</v>
      </c>
      <c r="F345" s="2"/>
      <c r="G345" s="2" t="s">
        <v>40</v>
      </c>
      <c r="H345" s="2">
        <v>57427.519999999997</v>
      </c>
      <c r="I345" s="2"/>
      <c r="J345" s="2">
        <v>57427.519999999997</v>
      </c>
      <c r="K345" s="2">
        <v>41311.9</v>
      </c>
      <c r="L345" s="2" t="s">
        <v>51</v>
      </c>
      <c r="M345" s="2" t="s">
        <v>3844</v>
      </c>
      <c r="N345" s="2" t="s">
        <v>3843</v>
      </c>
    </row>
    <row r="346" spans="1:14" ht="30" x14ac:dyDescent="0.25">
      <c r="A346" s="2" t="s">
        <v>3094</v>
      </c>
      <c r="B346" s="2" t="s">
        <v>159</v>
      </c>
      <c r="C346" s="4">
        <v>45891</v>
      </c>
      <c r="D346" s="4">
        <v>45936</v>
      </c>
      <c r="E346" s="2" t="s">
        <v>821</v>
      </c>
      <c r="F346" s="2"/>
      <c r="G346" s="2" t="s">
        <v>40</v>
      </c>
      <c r="H346" s="2">
        <v>15627.8</v>
      </c>
      <c r="I346" s="2"/>
      <c r="J346" s="2">
        <v>15627.8</v>
      </c>
      <c r="K346" s="2">
        <v>11242.24</v>
      </c>
      <c r="L346" s="2" t="s">
        <v>51</v>
      </c>
      <c r="M346" s="2" t="s">
        <v>3844</v>
      </c>
      <c r="N346" s="2" t="s">
        <v>3843</v>
      </c>
    </row>
    <row r="347" spans="1:14" ht="30" x14ac:dyDescent="0.25">
      <c r="A347" s="2" t="s">
        <v>3055</v>
      </c>
      <c r="B347" s="2" t="s">
        <v>159</v>
      </c>
      <c r="C347" s="4">
        <v>45891</v>
      </c>
      <c r="D347" s="4">
        <v>45936</v>
      </c>
      <c r="E347" s="2" t="s">
        <v>902</v>
      </c>
      <c r="F347" s="2"/>
      <c r="G347" s="2" t="s">
        <v>40</v>
      </c>
      <c r="H347" s="2">
        <v>8051.33</v>
      </c>
      <c r="I347" s="2"/>
      <c r="J347" s="2">
        <v>8051.33</v>
      </c>
      <c r="K347" s="2">
        <v>5791.92</v>
      </c>
      <c r="L347" s="2" t="s">
        <v>51</v>
      </c>
      <c r="M347" s="2" t="s">
        <v>3844</v>
      </c>
      <c r="N347" s="2" t="s">
        <v>3843</v>
      </c>
    </row>
    <row r="348" spans="1:14" ht="30" x14ac:dyDescent="0.25">
      <c r="A348" s="2" t="s">
        <v>3091</v>
      </c>
      <c r="B348" s="2" t="s">
        <v>4183</v>
      </c>
      <c r="C348" s="4">
        <v>45891</v>
      </c>
      <c r="D348" s="4">
        <v>45891</v>
      </c>
      <c r="E348" s="2" t="s">
        <v>827</v>
      </c>
      <c r="F348" s="2"/>
      <c r="G348" s="2" t="s">
        <v>36</v>
      </c>
      <c r="H348" s="2">
        <v>6661.82</v>
      </c>
      <c r="I348" s="2"/>
      <c r="J348" s="2">
        <v>6661.82</v>
      </c>
      <c r="K348" s="2">
        <v>4792.34</v>
      </c>
      <c r="L348" s="2" t="s">
        <v>51</v>
      </c>
      <c r="M348" s="2" t="s">
        <v>3844</v>
      </c>
      <c r="N348" s="2" t="s">
        <v>3843</v>
      </c>
    </row>
    <row r="349" spans="1:14" ht="30" x14ac:dyDescent="0.25">
      <c r="A349" s="2" t="s">
        <v>3096</v>
      </c>
      <c r="B349" s="2" t="s">
        <v>864</v>
      </c>
      <c r="C349" s="4">
        <v>45890</v>
      </c>
      <c r="D349" s="4">
        <v>45920</v>
      </c>
      <c r="E349" s="2" t="s">
        <v>816</v>
      </c>
      <c r="F349" s="2"/>
      <c r="G349" s="2" t="s">
        <v>36</v>
      </c>
      <c r="H349" s="2">
        <v>236.69</v>
      </c>
      <c r="I349" s="2">
        <v>11.83</v>
      </c>
      <c r="J349" s="2">
        <v>248.52</v>
      </c>
      <c r="K349" s="2">
        <v>248.52</v>
      </c>
      <c r="L349" s="2" t="s">
        <v>22</v>
      </c>
      <c r="M349" s="2" t="s">
        <v>3844</v>
      </c>
      <c r="N349" s="2" t="s">
        <v>3843</v>
      </c>
    </row>
    <row r="350" spans="1:14" ht="60" x14ac:dyDescent="0.25">
      <c r="A350" s="2" t="s">
        <v>3092</v>
      </c>
      <c r="B350" s="2" t="s">
        <v>4127</v>
      </c>
      <c r="C350" s="4">
        <v>45890</v>
      </c>
      <c r="D350" s="4">
        <v>45920</v>
      </c>
      <c r="E350" s="2" t="s">
        <v>825</v>
      </c>
      <c r="F350" s="2"/>
      <c r="G350" s="2" t="s">
        <v>21</v>
      </c>
      <c r="H350" s="2">
        <v>4621.71</v>
      </c>
      <c r="I350" s="2"/>
      <c r="J350" s="2">
        <v>4621.71</v>
      </c>
      <c r="K350" s="2">
        <v>3330.81</v>
      </c>
      <c r="L350" s="2" t="s">
        <v>51</v>
      </c>
      <c r="M350" s="2" t="s">
        <v>3844</v>
      </c>
      <c r="N350" s="2" t="s">
        <v>3843</v>
      </c>
    </row>
    <row r="351" spans="1:14" ht="30" x14ac:dyDescent="0.25">
      <c r="A351" s="2" t="s">
        <v>2849</v>
      </c>
      <c r="B351" s="2" t="s">
        <v>98</v>
      </c>
      <c r="C351" s="4">
        <v>45889</v>
      </c>
      <c r="D351" s="4">
        <v>45919</v>
      </c>
      <c r="E351" s="2" t="s">
        <v>1253</v>
      </c>
      <c r="F351" s="2"/>
      <c r="G351" s="2" t="s">
        <v>21</v>
      </c>
      <c r="H351" s="2">
        <v>7656.94</v>
      </c>
      <c r="I351" s="2">
        <v>995.4</v>
      </c>
      <c r="J351" s="2">
        <v>8652.34</v>
      </c>
      <c r="K351" s="2">
        <v>8652.34</v>
      </c>
      <c r="L351" s="2" t="s">
        <v>22</v>
      </c>
      <c r="M351" s="2" t="s">
        <v>3844</v>
      </c>
      <c r="N351" s="2" t="s">
        <v>3843</v>
      </c>
    </row>
    <row r="352" spans="1:14" ht="30" x14ac:dyDescent="0.25">
      <c r="A352" s="2" t="s">
        <v>2986</v>
      </c>
      <c r="B352" s="2" t="s">
        <v>98</v>
      </c>
      <c r="C352" s="4">
        <v>45889</v>
      </c>
      <c r="D352" s="4">
        <v>45919</v>
      </c>
      <c r="E352" s="2" t="s">
        <v>1019</v>
      </c>
      <c r="F352" s="2"/>
      <c r="G352" s="2" t="s">
        <v>40</v>
      </c>
      <c r="H352" s="2">
        <v>1842.22</v>
      </c>
      <c r="I352" s="2">
        <v>239.49</v>
      </c>
      <c r="J352" s="2">
        <v>2081.71</v>
      </c>
      <c r="K352" s="2">
        <v>2081.71</v>
      </c>
      <c r="L352" s="2" t="s">
        <v>22</v>
      </c>
      <c r="M352" s="2" t="s">
        <v>3844</v>
      </c>
      <c r="N352" s="2" t="s">
        <v>3843</v>
      </c>
    </row>
    <row r="353" spans="1:14" ht="30" x14ac:dyDescent="0.25">
      <c r="A353" s="2" t="s">
        <v>3022</v>
      </c>
      <c r="B353" s="2" t="s">
        <v>98</v>
      </c>
      <c r="C353" s="4">
        <v>45889</v>
      </c>
      <c r="D353" s="4">
        <v>45919</v>
      </c>
      <c r="E353" s="2" t="s">
        <v>959</v>
      </c>
      <c r="F353" s="2"/>
      <c r="G353" s="2" t="s">
        <v>40</v>
      </c>
      <c r="H353" s="2">
        <v>373.88</v>
      </c>
      <c r="I353" s="2">
        <v>48.6</v>
      </c>
      <c r="J353" s="2">
        <v>422.48</v>
      </c>
      <c r="K353" s="2">
        <v>422.48</v>
      </c>
      <c r="L353" s="2" t="s">
        <v>22</v>
      </c>
      <c r="M353" s="2" t="s">
        <v>3844</v>
      </c>
      <c r="N353" s="2" t="s">
        <v>3843</v>
      </c>
    </row>
    <row r="354" spans="1:14" ht="30" x14ac:dyDescent="0.25">
      <c r="A354" s="2" t="s">
        <v>3051</v>
      </c>
      <c r="B354" s="2" t="s">
        <v>98</v>
      </c>
      <c r="C354" s="4">
        <v>45889</v>
      </c>
      <c r="D354" s="4">
        <v>45919</v>
      </c>
      <c r="E354" s="2" t="s">
        <v>910</v>
      </c>
      <c r="F354" s="2"/>
      <c r="G354" s="2" t="s">
        <v>40</v>
      </c>
      <c r="H354" s="2">
        <v>4984.1899999999996</v>
      </c>
      <c r="I354" s="2">
        <v>647.94000000000005</v>
      </c>
      <c r="J354" s="2">
        <v>5632.13</v>
      </c>
      <c r="K354" s="2">
        <v>5632.13</v>
      </c>
      <c r="L354" s="2" t="s">
        <v>22</v>
      </c>
      <c r="M354" s="2" t="s">
        <v>3844</v>
      </c>
      <c r="N354" s="2" t="s">
        <v>3843</v>
      </c>
    </row>
    <row r="355" spans="1:14" ht="30" x14ac:dyDescent="0.25">
      <c r="A355" s="2" t="s">
        <v>2929</v>
      </c>
      <c r="B355" s="2" t="s">
        <v>98</v>
      </c>
      <c r="C355" s="4">
        <v>45889</v>
      </c>
      <c r="D355" s="4">
        <v>45919</v>
      </c>
      <c r="E355" s="2" t="s">
        <v>1116</v>
      </c>
      <c r="F355" s="2"/>
      <c r="G355" s="2" t="s">
        <v>21</v>
      </c>
      <c r="H355" s="2">
        <v>80.05</v>
      </c>
      <c r="I355" s="2">
        <v>10.41</v>
      </c>
      <c r="J355" s="2">
        <v>90.46</v>
      </c>
      <c r="K355" s="2">
        <v>90.46</v>
      </c>
      <c r="L355" s="2" t="s">
        <v>22</v>
      </c>
      <c r="M355" s="2" t="s">
        <v>3844</v>
      </c>
      <c r="N355" s="2" t="s">
        <v>3843</v>
      </c>
    </row>
    <row r="356" spans="1:14" ht="30" x14ac:dyDescent="0.25">
      <c r="A356" s="2" t="s">
        <v>3004</v>
      </c>
      <c r="B356" s="2" t="s">
        <v>4124</v>
      </c>
      <c r="C356" s="4">
        <v>45889</v>
      </c>
      <c r="D356" s="4">
        <v>45919</v>
      </c>
      <c r="E356" s="2" t="s">
        <v>995</v>
      </c>
      <c r="F356" s="2"/>
      <c r="G356" s="2" t="s">
        <v>21</v>
      </c>
      <c r="H356" s="2">
        <v>5815.61</v>
      </c>
      <c r="I356" s="2">
        <v>290.77999999999997</v>
      </c>
      <c r="J356" s="2">
        <v>6106.39</v>
      </c>
      <c r="K356" s="2">
        <v>6106.39</v>
      </c>
      <c r="L356" s="2" t="s">
        <v>22</v>
      </c>
      <c r="M356" s="2" t="s">
        <v>3844</v>
      </c>
      <c r="N356" s="2" t="s">
        <v>3843</v>
      </c>
    </row>
    <row r="357" spans="1:14" ht="30" x14ac:dyDescent="0.25">
      <c r="A357" s="2" t="s">
        <v>3095</v>
      </c>
      <c r="B357" s="2" t="s">
        <v>20</v>
      </c>
      <c r="C357" s="4">
        <v>45889</v>
      </c>
      <c r="D357" s="4">
        <v>45949</v>
      </c>
      <c r="E357" s="2" t="s">
        <v>819</v>
      </c>
      <c r="F357" s="2"/>
      <c r="G357" s="2" t="s">
        <v>36</v>
      </c>
      <c r="H357" s="2">
        <v>296.56</v>
      </c>
      <c r="I357" s="2">
        <v>14.83</v>
      </c>
      <c r="J357" s="2">
        <v>311.39</v>
      </c>
      <c r="K357" s="2">
        <v>311.39</v>
      </c>
      <c r="L357" s="2" t="s">
        <v>22</v>
      </c>
      <c r="M357" s="2" t="s">
        <v>3844</v>
      </c>
      <c r="N357" s="2" t="s">
        <v>3843</v>
      </c>
    </row>
    <row r="358" spans="1:14" ht="45" x14ac:dyDescent="0.25">
      <c r="A358" s="2" t="s">
        <v>2939</v>
      </c>
      <c r="B358" s="2" t="s">
        <v>502</v>
      </c>
      <c r="C358" s="4">
        <v>45889</v>
      </c>
      <c r="D358" s="4">
        <v>45934</v>
      </c>
      <c r="E358" s="2" t="s">
        <v>1101</v>
      </c>
      <c r="F358" s="2"/>
      <c r="G358" s="2" t="s">
        <v>21</v>
      </c>
      <c r="H358" s="2">
        <v>109.66</v>
      </c>
      <c r="I358" s="2">
        <v>5.48</v>
      </c>
      <c r="J358" s="2">
        <v>115.14</v>
      </c>
      <c r="K358" s="2">
        <v>115.14</v>
      </c>
      <c r="L358" s="2" t="s">
        <v>22</v>
      </c>
      <c r="M358" s="2" t="s">
        <v>3844</v>
      </c>
      <c r="N358" s="2" t="s">
        <v>3843</v>
      </c>
    </row>
    <row r="359" spans="1:14" ht="30" x14ac:dyDescent="0.25">
      <c r="A359" s="2" t="s">
        <v>2773</v>
      </c>
      <c r="B359" s="2" t="s">
        <v>129</v>
      </c>
      <c r="C359" s="4">
        <v>45889</v>
      </c>
      <c r="D359" s="4">
        <v>45919</v>
      </c>
      <c r="E359" s="2" t="s">
        <v>1389</v>
      </c>
      <c r="F359" s="2"/>
      <c r="G359" s="2" t="s">
        <v>130</v>
      </c>
      <c r="H359" s="2">
        <v>22270.34</v>
      </c>
      <c r="I359" s="2"/>
      <c r="J359" s="2">
        <v>22270.34</v>
      </c>
      <c r="K359" s="2">
        <v>16068</v>
      </c>
      <c r="L359" s="2" t="s">
        <v>51</v>
      </c>
      <c r="M359" s="2" t="s">
        <v>3844</v>
      </c>
      <c r="N359" s="2" t="s">
        <v>3843</v>
      </c>
    </row>
    <row r="360" spans="1:14" x14ac:dyDescent="0.25">
      <c r="A360" s="2" t="s">
        <v>3100</v>
      </c>
      <c r="B360" s="2" t="s">
        <v>141</v>
      </c>
      <c r="C360" s="4">
        <v>45889</v>
      </c>
      <c r="D360" s="4">
        <v>45934</v>
      </c>
      <c r="E360" s="2" t="s">
        <v>808</v>
      </c>
      <c r="F360" s="2"/>
      <c r="G360" s="2" t="s">
        <v>21</v>
      </c>
      <c r="H360" s="2">
        <v>12237.91</v>
      </c>
      <c r="I360" s="2"/>
      <c r="J360" s="2">
        <v>12237.91</v>
      </c>
      <c r="K360" s="2">
        <v>8829.6200000000008</v>
      </c>
      <c r="L360" s="2" t="s">
        <v>51</v>
      </c>
      <c r="M360" s="2" t="s">
        <v>3844</v>
      </c>
      <c r="N360" s="2" t="s">
        <v>3843</v>
      </c>
    </row>
    <row r="361" spans="1:14" x14ac:dyDescent="0.25">
      <c r="A361" s="2" t="s">
        <v>3090</v>
      </c>
      <c r="B361" s="2" t="s">
        <v>3908</v>
      </c>
      <c r="C361" s="4">
        <v>45888</v>
      </c>
      <c r="D361" s="4">
        <v>45918</v>
      </c>
      <c r="E361" s="2" t="s">
        <v>829</v>
      </c>
      <c r="F361" s="2"/>
      <c r="G361" s="2" t="s">
        <v>36</v>
      </c>
      <c r="H361" s="2">
        <v>113.04</v>
      </c>
      <c r="I361" s="2">
        <v>5.65</v>
      </c>
      <c r="J361" s="2">
        <v>118.69</v>
      </c>
      <c r="K361" s="2">
        <v>118.69</v>
      </c>
      <c r="L361" s="2" t="s">
        <v>22</v>
      </c>
      <c r="M361" s="2" t="s">
        <v>3844</v>
      </c>
      <c r="N361" s="2" t="s">
        <v>3843</v>
      </c>
    </row>
    <row r="362" spans="1:14" x14ac:dyDescent="0.25">
      <c r="A362" s="2" t="s">
        <v>3089</v>
      </c>
      <c r="B362" s="2" t="s">
        <v>3908</v>
      </c>
      <c r="C362" s="4">
        <v>45888</v>
      </c>
      <c r="D362" s="4">
        <v>45918</v>
      </c>
      <c r="E362" s="2" t="s">
        <v>831</v>
      </c>
      <c r="F362" s="2"/>
      <c r="G362" s="2" t="s">
        <v>40</v>
      </c>
      <c r="H362" s="2">
        <v>1662.14</v>
      </c>
      <c r="I362" s="2">
        <v>83.11</v>
      </c>
      <c r="J362" s="2">
        <v>1745.25</v>
      </c>
      <c r="K362" s="2">
        <v>1745.25</v>
      </c>
      <c r="L362" s="2" t="s">
        <v>22</v>
      </c>
      <c r="M362" s="2" t="s">
        <v>3844</v>
      </c>
      <c r="N362" s="2" t="s">
        <v>3843</v>
      </c>
    </row>
    <row r="363" spans="1:14" ht="30" x14ac:dyDescent="0.25">
      <c r="A363" s="2" t="s">
        <v>3093</v>
      </c>
      <c r="B363" s="2" t="s">
        <v>450</v>
      </c>
      <c r="C363" s="4">
        <v>45888</v>
      </c>
      <c r="D363" s="4">
        <v>45918</v>
      </c>
      <c r="E363" s="2" t="s">
        <v>823</v>
      </c>
      <c r="F363" s="2"/>
      <c r="G363" s="2" t="s">
        <v>36</v>
      </c>
      <c r="H363" s="2">
        <v>1859.15</v>
      </c>
      <c r="I363" s="2">
        <v>241.69</v>
      </c>
      <c r="J363" s="2">
        <v>2100.84</v>
      </c>
      <c r="K363" s="2">
        <v>2100.84</v>
      </c>
      <c r="L363" s="2" t="s">
        <v>22</v>
      </c>
      <c r="M363" s="2" t="s">
        <v>3844</v>
      </c>
      <c r="N363" s="2" t="s">
        <v>3843</v>
      </c>
    </row>
    <row r="364" spans="1:14" ht="30" x14ac:dyDescent="0.25">
      <c r="A364" s="2" t="s">
        <v>2981</v>
      </c>
      <c r="B364" s="2" t="s">
        <v>129</v>
      </c>
      <c r="C364" s="4">
        <v>45888</v>
      </c>
      <c r="D364" s="4">
        <v>45948</v>
      </c>
      <c r="E364" s="2" t="s">
        <v>1029</v>
      </c>
      <c r="F364" s="2"/>
      <c r="G364" s="2" t="s">
        <v>130</v>
      </c>
      <c r="H364" s="2">
        <v>1699.42</v>
      </c>
      <c r="I364" s="2"/>
      <c r="J364" s="2">
        <v>1699.42</v>
      </c>
      <c r="K364" s="2">
        <v>1230</v>
      </c>
      <c r="L364" s="2" t="s">
        <v>51</v>
      </c>
      <c r="M364" s="2" t="s">
        <v>3844</v>
      </c>
      <c r="N364" s="2" t="s">
        <v>3843</v>
      </c>
    </row>
    <row r="365" spans="1:14" ht="30" x14ac:dyDescent="0.25">
      <c r="A365" s="2" t="s">
        <v>2837</v>
      </c>
      <c r="B365" s="2" t="s">
        <v>129</v>
      </c>
      <c r="C365" s="4">
        <v>45888</v>
      </c>
      <c r="D365" s="4">
        <v>45918</v>
      </c>
      <c r="E365" s="2" t="s">
        <v>1271</v>
      </c>
      <c r="F365" s="2"/>
      <c r="G365" s="2" t="s">
        <v>130</v>
      </c>
      <c r="H365" s="2">
        <v>3495.54</v>
      </c>
      <c r="I365" s="2"/>
      <c r="J365" s="2">
        <v>3495.54</v>
      </c>
      <c r="K365" s="2">
        <v>2530</v>
      </c>
      <c r="L365" s="2" t="s">
        <v>51</v>
      </c>
      <c r="M365" s="2" t="s">
        <v>3844</v>
      </c>
      <c r="N365" s="2" t="s">
        <v>3843</v>
      </c>
    </row>
    <row r="366" spans="1:14" ht="30" x14ac:dyDescent="0.25">
      <c r="A366" s="2" t="s">
        <v>2821</v>
      </c>
      <c r="B366" s="2" t="s">
        <v>129</v>
      </c>
      <c r="C366" s="4">
        <v>45888</v>
      </c>
      <c r="D366" s="4">
        <v>45918</v>
      </c>
      <c r="E366" s="2" t="s">
        <v>1302</v>
      </c>
      <c r="F366" s="2"/>
      <c r="G366" s="2" t="s">
        <v>130</v>
      </c>
      <c r="H366" s="2">
        <v>20517.34</v>
      </c>
      <c r="I366" s="2"/>
      <c r="J366" s="2">
        <v>20517.34</v>
      </c>
      <c r="K366" s="2">
        <v>14850</v>
      </c>
      <c r="L366" s="2" t="s">
        <v>51</v>
      </c>
      <c r="M366" s="2" t="s">
        <v>3844</v>
      </c>
      <c r="N366" s="2" t="s">
        <v>3843</v>
      </c>
    </row>
    <row r="367" spans="1:14" ht="45" x14ac:dyDescent="0.25">
      <c r="A367" s="2" t="s">
        <v>3028</v>
      </c>
      <c r="B367" s="2" t="s">
        <v>43</v>
      </c>
      <c r="C367" s="4">
        <v>45887</v>
      </c>
      <c r="D367" s="4">
        <v>45917</v>
      </c>
      <c r="E367" s="2" t="s">
        <v>950</v>
      </c>
      <c r="F367" s="2"/>
      <c r="G367" s="2" t="s">
        <v>36</v>
      </c>
      <c r="H367" s="2">
        <v>961.91</v>
      </c>
      <c r="I367" s="2">
        <v>48.09</v>
      </c>
      <c r="J367" s="2">
        <v>1010</v>
      </c>
      <c r="K367" s="2">
        <v>1010</v>
      </c>
      <c r="L367" s="2" t="s">
        <v>22</v>
      </c>
      <c r="M367" s="2" t="s">
        <v>3844</v>
      </c>
      <c r="N367" s="2" t="s">
        <v>3843</v>
      </c>
    </row>
    <row r="368" spans="1:14" ht="45" x14ac:dyDescent="0.25">
      <c r="A368" s="2" t="s">
        <v>3041</v>
      </c>
      <c r="B368" s="2" t="s">
        <v>43</v>
      </c>
      <c r="C368" s="4">
        <v>45887</v>
      </c>
      <c r="D368" s="4">
        <v>45917</v>
      </c>
      <c r="E368" s="2" t="s">
        <v>928</v>
      </c>
      <c r="F368" s="2"/>
      <c r="G368" s="2" t="s">
        <v>36</v>
      </c>
      <c r="H368" s="2">
        <v>961.91</v>
      </c>
      <c r="I368" s="2">
        <v>48.09</v>
      </c>
      <c r="J368" s="2">
        <v>1010</v>
      </c>
      <c r="K368" s="2">
        <v>1010</v>
      </c>
      <c r="L368" s="2" t="s">
        <v>22</v>
      </c>
      <c r="M368" s="2" t="s">
        <v>3844</v>
      </c>
      <c r="N368" s="2" t="s">
        <v>3843</v>
      </c>
    </row>
    <row r="369" spans="1:14" ht="30" x14ac:dyDescent="0.25">
      <c r="A369" s="2" t="s">
        <v>3087</v>
      </c>
      <c r="B369" s="2" t="s">
        <v>86</v>
      </c>
      <c r="C369" s="4">
        <v>45887</v>
      </c>
      <c r="D369" s="4">
        <v>45917</v>
      </c>
      <c r="E369" s="2" t="s">
        <v>835</v>
      </c>
      <c r="F369" s="2"/>
      <c r="G369" s="2" t="s">
        <v>21</v>
      </c>
      <c r="H369" s="2">
        <v>121.61</v>
      </c>
      <c r="I369" s="2"/>
      <c r="J369" s="2">
        <v>121.61</v>
      </c>
      <c r="K369" s="2">
        <v>121.61</v>
      </c>
      <c r="L369" s="2" t="s">
        <v>22</v>
      </c>
      <c r="M369" s="2" t="s">
        <v>3844</v>
      </c>
      <c r="N369" s="2" t="s">
        <v>3843</v>
      </c>
    </row>
    <row r="370" spans="1:14" x14ac:dyDescent="0.25">
      <c r="A370" s="2" t="s">
        <v>2839</v>
      </c>
      <c r="B370" s="2" t="s">
        <v>1268</v>
      </c>
      <c r="C370" s="4">
        <v>45887</v>
      </c>
      <c r="D370" s="4">
        <v>45917</v>
      </c>
      <c r="E370" s="2" t="s">
        <v>1266</v>
      </c>
      <c r="F370" s="2"/>
      <c r="G370" s="2" t="s">
        <v>21</v>
      </c>
      <c r="H370" s="2">
        <v>2980.39</v>
      </c>
      <c r="I370" s="2">
        <v>387.45</v>
      </c>
      <c r="J370" s="2">
        <v>3367.84</v>
      </c>
      <c r="K370" s="2">
        <v>3367.84</v>
      </c>
      <c r="L370" s="2" t="s">
        <v>22</v>
      </c>
      <c r="M370" s="2" t="s">
        <v>3844</v>
      </c>
      <c r="N370" s="2" t="s">
        <v>3843</v>
      </c>
    </row>
    <row r="371" spans="1:14" x14ac:dyDescent="0.25">
      <c r="A371" s="2" t="s">
        <v>2998</v>
      </c>
      <c r="B371" s="2" t="s">
        <v>77</v>
      </c>
      <c r="C371" s="4">
        <v>45887</v>
      </c>
      <c r="D371" s="4">
        <v>45917</v>
      </c>
      <c r="E371" s="2" t="s">
        <v>1001</v>
      </c>
      <c r="F371" s="2"/>
      <c r="G371" s="2" t="s">
        <v>21</v>
      </c>
      <c r="H371" s="2">
        <v>3680.95</v>
      </c>
      <c r="I371" s="2">
        <v>184.05</v>
      </c>
      <c r="J371" s="2">
        <v>3865</v>
      </c>
      <c r="K371" s="2">
        <v>3865</v>
      </c>
      <c r="L371" s="2" t="s">
        <v>22</v>
      </c>
      <c r="M371" s="2" t="s">
        <v>3844</v>
      </c>
      <c r="N371" s="2" t="s">
        <v>3843</v>
      </c>
    </row>
    <row r="372" spans="1:14" x14ac:dyDescent="0.25">
      <c r="A372" s="2" t="s">
        <v>3083</v>
      </c>
      <c r="B372" s="2" t="s">
        <v>141</v>
      </c>
      <c r="C372" s="4">
        <v>45887</v>
      </c>
      <c r="D372" s="4">
        <v>45932</v>
      </c>
      <c r="E372" s="2" t="s">
        <v>843</v>
      </c>
      <c r="F372" s="2"/>
      <c r="G372" s="2" t="s">
        <v>40</v>
      </c>
      <c r="H372" s="2">
        <v>2108.1999999999998</v>
      </c>
      <c r="I372" s="2"/>
      <c r="J372" s="2">
        <v>2108.1999999999998</v>
      </c>
      <c r="K372" s="2">
        <v>1526.49</v>
      </c>
      <c r="L372" s="2" t="s">
        <v>51</v>
      </c>
      <c r="M372" s="2" t="s">
        <v>3844</v>
      </c>
      <c r="N372" s="2" t="s">
        <v>3843</v>
      </c>
    </row>
    <row r="373" spans="1:14" x14ac:dyDescent="0.25">
      <c r="A373" s="2" t="s">
        <v>3081</v>
      </c>
      <c r="B373" s="2" t="s">
        <v>141</v>
      </c>
      <c r="C373" s="4">
        <v>45887</v>
      </c>
      <c r="D373" s="4">
        <v>45932</v>
      </c>
      <c r="E373" s="2" t="s">
        <v>847</v>
      </c>
      <c r="F373" s="2"/>
      <c r="G373" s="2" t="s">
        <v>21</v>
      </c>
      <c r="H373" s="2">
        <v>38.97</v>
      </c>
      <c r="I373" s="2"/>
      <c r="J373" s="2">
        <v>38.97</v>
      </c>
      <c r="K373" s="2">
        <v>28.22</v>
      </c>
      <c r="L373" s="2" t="s">
        <v>51</v>
      </c>
      <c r="M373" s="2" t="s">
        <v>3844</v>
      </c>
      <c r="N373" s="2" t="s">
        <v>3843</v>
      </c>
    </row>
    <row r="374" spans="1:14" x14ac:dyDescent="0.25">
      <c r="A374" s="2" t="s">
        <v>3084</v>
      </c>
      <c r="B374" s="2" t="s">
        <v>141</v>
      </c>
      <c r="C374" s="4">
        <v>45887</v>
      </c>
      <c r="D374" s="4">
        <v>45932</v>
      </c>
      <c r="E374" s="2" t="s">
        <v>841</v>
      </c>
      <c r="F374" s="2"/>
      <c r="G374" s="2" t="s">
        <v>40</v>
      </c>
      <c r="H374" s="2">
        <v>651.15</v>
      </c>
      <c r="I374" s="2"/>
      <c r="J374" s="2">
        <v>651.15</v>
      </c>
      <c r="K374" s="2">
        <v>471.48</v>
      </c>
      <c r="L374" s="2" t="s">
        <v>51</v>
      </c>
      <c r="M374" s="2" t="s">
        <v>3844</v>
      </c>
      <c r="N374" s="2" t="s">
        <v>3843</v>
      </c>
    </row>
    <row r="375" spans="1:14" ht="30" x14ac:dyDescent="0.25">
      <c r="A375" s="2" t="s">
        <v>3086</v>
      </c>
      <c r="B375" s="2" t="s">
        <v>4171</v>
      </c>
      <c r="C375" s="4">
        <v>45887</v>
      </c>
      <c r="D375" s="4">
        <v>45887</v>
      </c>
      <c r="E375" s="2" t="s">
        <v>837</v>
      </c>
      <c r="F375" s="2"/>
      <c r="G375" s="2" t="s">
        <v>180</v>
      </c>
      <c r="H375" s="2">
        <v>2741.22</v>
      </c>
      <c r="I375" s="2"/>
      <c r="J375" s="2">
        <v>2741.22</v>
      </c>
      <c r="K375" s="2">
        <v>1984.85</v>
      </c>
      <c r="L375" s="2" t="s">
        <v>51</v>
      </c>
      <c r="M375" s="2" t="s">
        <v>3844</v>
      </c>
      <c r="N375" s="2" t="s">
        <v>3978</v>
      </c>
    </row>
    <row r="376" spans="1:14" x14ac:dyDescent="0.25">
      <c r="A376" s="2" t="s">
        <v>2757</v>
      </c>
      <c r="B376" s="2" t="s">
        <v>1423</v>
      </c>
      <c r="C376" s="4">
        <v>45887</v>
      </c>
      <c r="D376" s="4">
        <v>45947</v>
      </c>
      <c r="E376" s="2" t="s">
        <v>1421</v>
      </c>
      <c r="F376" s="2"/>
      <c r="G376" s="2" t="s">
        <v>71</v>
      </c>
      <c r="H376" s="2">
        <v>9330.74</v>
      </c>
      <c r="I376" s="2"/>
      <c r="J376" s="2">
        <v>9330.74</v>
      </c>
      <c r="K376" s="2">
        <v>6756.15</v>
      </c>
      <c r="L376" s="2" t="s">
        <v>51</v>
      </c>
      <c r="M376" s="2" t="s">
        <v>3844</v>
      </c>
      <c r="N376" s="2" t="s">
        <v>3843</v>
      </c>
    </row>
    <row r="377" spans="1:14" x14ac:dyDescent="0.25">
      <c r="A377" s="2" t="s">
        <v>2957</v>
      </c>
      <c r="B377" s="2" t="s">
        <v>64</v>
      </c>
      <c r="C377" s="4">
        <v>45884</v>
      </c>
      <c r="D377" s="4">
        <v>45914</v>
      </c>
      <c r="E377" s="2" t="s">
        <v>1071</v>
      </c>
      <c r="F377" s="2"/>
      <c r="G377" s="2" t="s">
        <v>21</v>
      </c>
      <c r="H377" s="2">
        <v>894.72</v>
      </c>
      <c r="I377" s="2">
        <v>116.31</v>
      </c>
      <c r="J377" s="2">
        <v>1011.03</v>
      </c>
      <c r="K377" s="2">
        <v>1011.03</v>
      </c>
      <c r="L377" s="2" t="s">
        <v>22</v>
      </c>
      <c r="M377" s="2" t="s">
        <v>3844</v>
      </c>
      <c r="N377" s="2" t="s">
        <v>3843</v>
      </c>
    </row>
    <row r="378" spans="1:14" x14ac:dyDescent="0.25">
      <c r="A378" s="2" t="s">
        <v>2956</v>
      </c>
      <c r="B378" s="2" t="s">
        <v>64</v>
      </c>
      <c r="C378" s="4">
        <v>45884</v>
      </c>
      <c r="D378" s="4">
        <v>45914</v>
      </c>
      <c r="E378" s="2" t="s">
        <v>1073</v>
      </c>
      <c r="F378" s="2"/>
      <c r="G378" s="2" t="s">
        <v>21</v>
      </c>
      <c r="H378" s="2">
        <v>278.64999999999998</v>
      </c>
      <c r="I378" s="2">
        <v>36.22</v>
      </c>
      <c r="J378" s="2">
        <v>314.87</v>
      </c>
      <c r="K378" s="2">
        <v>314.87</v>
      </c>
      <c r="L378" s="2" t="s">
        <v>22</v>
      </c>
      <c r="M378" s="2" t="s">
        <v>3844</v>
      </c>
      <c r="N378" s="2" t="s">
        <v>3843</v>
      </c>
    </row>
    <row r="379" spans="1:14" ht="30" x14ac:dyDescent="0.25">
      <c r="A379" s="2" t="s">
        <v>2800</v>
      </c>
      <c r="B379" s="2" t="s">
        <v>4183</v>
      </c>
      <c r="C379" s="4">
        <v>45884</v>
      </c>
      <c r="D379" s="4">
        <v>45914</v>
      </c>
      <c r="E379" s="2" t="s">
        <v>1340</v>
      </c>
      <c r="F379" s="2"/>
      <c r="G379" s="2" t="s">
        <v>21</v>
      </c>
      <c r="H379" s="2">
        <v>13867.36</v>
      </c>
      <c r="I379" s="2"/>
      <c r="J379" s="2">
        <v>13867.36</v>
      </c>
      <c r="K379" s="2">
        <v>10043.700000000001</v>
      </c>
      <c r="L379" s="2" t="s">
        <v>51</v>
      </c>
      <c r="M379" s="2" t="s">
        <v>3844</v>
      </c>
      <c r="N379" s="2" t="s">
        <v>3843</v>
      </c>
    </row>
    <row r="380" spans="1:14" x14ac:dyDescent="0.25">
      <c r="A380" s="2" t="s">
        <v>2730</v>
      </c>
      <c r="B380" s="2" t="s">
        <v>149</v>
      </c>
      <c r="C380" s="4">
        <v>45884</v>
      </c>
      <c r="D380" s="4">
        <v>45914</v>
      </c>
      <c r="E380" s="2" t="s">
        <v>1469</v>
      </c>
      <c r="F380" s="2"/>
      <c r="G380" s="2" t="s">
        <v>21</v>
      </c>
      <c r="H380" s="2">
        <v>4621.8</v>
      </c>
      <c r="I380" s="2"/>
      <c r="J380" s="2">
        <v>4621.8</v>
      </c>
      <c r="K380" s="2">
        <v>3347.42</v>
      </c>
      <c r="L380" s="2" t="s">
        <v>51</v>
      </c>
      <c r="M380" s="2" t="s">
        <v>3844</v>
      </c>
      <c r="N380" s="2" t="s">
        <v>3843</v>
      </c>
    </row>
    <row r="381" spans="1:14" ht="30" x14ac:dyDescent="0.25">
      <c r="A381" s="2" t="s">
        <v>3082</v>
      </c>
      <c r="B381" s="2" t="s">
        <v>864</v>
      </c>
      <c r="C381" s="4">
        <v>45883</v>
      </c>
      <c r="D381" s="4">
        <v>45913</v>
      </c>
      <c r="E381" s="2" t="s">
        <v>845</v>
      </c>
      <c r="F381" s="2"/>
      <c r="G381" s="2" t="s">
        <v>40</v>
      </c>
      <c r="H381" s="2">
        <v>774.75</v>
      </c>
      <c r="I381" s="2">
        <v>38.74</v>
      </c>
      <c r="J381" s="2">
        <v>813.49</v>
      </c>
      <c r="K381" s="2">
        <v>813.49</v>
      </c>
      <c r="L381" s="2" t="s">
        <v>22</v>
      </c>
      <c r="M381" s="2" t="s">
        <v>3844</v>
      </c>
      <c r="N381" s="2" t="s">
        <v>3843</v>
      </c>
    </row>
    <row r="382" spans="1:14" ht="30" x14ac:dyDescent="0.25">
      <c r="A382" s="2" t="s">
        <v>3029</v>
      </c>
      <c r="B382" s="2" t="s">
        <v>981</v>
      </c>
      <c r="C382" s="4">
        <v>45883</v>
      </c>
      <c r="D382" s="4">
        <v>45913</v>
      </c>
      <c r="E382" s="2" t="s">
        <v>948</v>
      </c>
      <c r="F382" s="2"/>
      <c r="G382" s="2" t="s">
        <v>21</v>
      </c>
      <c r="H382" s="2">
        <v>7934.6</v>
      </c>
      <c r="I382" s="2">
        <v>1031.49</v>
      </c>
      <c r="J382" s="2">
        <v>8966.09</v>
      </c>
      <c r="K382" s="2">
        <v>8966.09</v>
      </c>
      <c r="L382" s="2" t="s">
        <v>22</v>
      </c>
      <c r="M382" s="2" t="s">
        <v>3844</v>
      </c>
      <c r="N382" s="2" t="s">
        <v>3843</v>
      </c>
    </row>
    <row r="383" spans="1:14" x14ac:dyDescent="0.25">
      <c r="A383" s="2" t="s">
        <v>3080</v>
      </c>
      <c r="B383" s="2" t="s">
        <v>77</v>
      </c>
      <c r="C383" s="4">
        <v>45883</v>
      </c>
      <c r="D383" s="4">
        <v>45913</v>
      </c>
      <c r="E383" s="2" t="s">
        <v>849</v>
      </c>
      <c r="F383" s="2"/>
      <c r="G383" s="2" t="s">
        <v>40</v>
      </c>
      <c r="H383" s="2">
        <v>493.15</v>
      </c>
      <c r="I383" s="2">
        <v>24.65</v>
      </c>
      <c r="J383" s="2">
        <v>517.79999999999995</v>
      </c>
      <c r="K383" s="2">
        <v>517.79999999999995</v>
      </c>
      <c r="L383" s="2" t="s">
        <v>22</v>
      </c>
      <c r="M383" s="2" t="s">
        <v>3844</v>
      </c>
      <c r="N383" s="2" t="s">
        <v>3843</v>
      </c>
    </row>
    <row r="384" spans="1:14" x14ac:dyDescent="0.25">
      <c r="A384" s="2" t="s">
        <v>3075</v>
      </c>
      <c r="B384" s="2" t="s">
        <v>54</v>
      </c>
      <c r="C384" s="4">
        <v>45882</v>
      </c>
      <c r="D384" s="4">
        <v>45912</v>
      </c>
      <c r="E384" s="2" t="s">
        <v>858</v>
      </c>
      <c r="F384" s="2"/>
      <c r="G384" s="2" t="s">
        <v>21</v>
      </c>
      <c r="H384" s="2">
        <v>1417.8</v>
      </c>
      <c r="I384" s="2">
        <v>70.89</v>
      </c>
      <c r="J384" s="2">
        <v>1488.69</v>
      </c>
      <c r="K384" s="2">
        <v>1488.69</v>
      </c>
      <c r="L384" s="2" t="s">
        <v>22</v>
      </c>
      <c r="M384" s="2" t="s">
        <v>3844</v>
      </c>
      <c r="N384" s="2" t="s">
        <v>3843</v>
      </c>
    </row>
    <row r="385" spans="1:14" ht="30" x14ac:dyDescent="0.25">
      <c r="A385" s="2" t="s">
        <v>3076</v>
      </c>
      <c r="B385" s="2" t="s">
        <v>104</v>
      </c>
      <c r="C385" s="4">
        <v>45882</v>
      </c>
      <c r="D385" s="4">
        <v>45882</v>
      </c>
      <c r="E385" s="2" t="s">
        <v>856</v>
      </c>
      <c r="F385" s="2"/>
      <c r="G385" s="2" t="s">
        <v>21</v>
      </c>
      <c r="H385" s="2">
        <v>2582.38</v>
      </c>
      <c r="I385" s="2">
        <v>129.12</v>
      </c>
      <c r="J385" s="2">
        <v>2711.5</v>
      </c>
      <c r="K385" s="2">
        <v>2711.5</v>
      </c>
      <c r="L385" s="2" t="s">
        <v>22</v>
      </c>
      <c r="M385" s="2" t="s">
        <v>3844</v>
      </c>
      <c r="N385" s="2" t="s">
        <v>3843</v>
      </c>
    </row>
    <row r="386" spans="1:14" ht="30" x14ac:dyDescent="0.25">
      <c r="A386" s="2" t="s">
        <v>3074</v>
      </c>
      <c r="B386" s="2" t="s">
        <v>35</v>
      </c>
      <c r="C386" s="4">
        <v>45881</v>
      </c>
      <c r="D386" s="4">
        <v>45911</v>
      </c>
      <c r="E386" s="2" t="s">
        <v>860</v>
      </c>
      <c r="F386" s="2"/>
      <c r="G386" s="2" t="s">
        <v>36</v>
      </c>
      <c r="H386" s="2">
        <v>2740.17</v>
      </c>
      <c r="I386" s="2">
        <v>137.01</v>
      </c>
      <c r="J386" s="2">
        <v>2877.18</v>
      </c>
      <c r="K386" s="2">
        <v>2877.18</v>
      </c>
      <c r="L386" s="2" t="s">
        <v>22</v>
      </c>
      <c r="M386" s="2" t="s">
        <v>3844</v>
      </c>
      <c r="N386" s="2" t="s">
        <v>3843</v>
      </c>
    </row>
    <row r="387" spans="1:14" ht="60" x14ac:dyDescent="0.25">
      <c r="A387" s="2" t="s">
        <v>3073</v>
      </c>
      <c r="B387" s="2" t="s">
        <v>4204</v>
      </c>
      <c r="C387" s="4">
        <v>45881</v>
      </c>
      <c r="D387" s="4">
        <v>45911</v>
      </c>
      <c r="E387" s="2" t="s">
        <v>862</v>
      </c>
      <c r="F387" s="2"/>
      <c r="G387" s="2" t="s">
        <v>21</v>
      </c>
      <c r="H387" s="2">
        <v>1941.54</v>
      </c>
      <c r="I387" s="2">
        <v>97.08</v>
      </c>
      <c r="J387" s="2">
        <v>2038.62</v>
      </c>
      <c r="K387" s="2">
        <v>2038.62</v>
      </c>
      <c r="L387" s="2" t="s">
        <v>22</v>
      </c>
      <c r="M387" s="2" t="s">
        <v>3844</v>
      </c>
      <c r="N387" s="2" t="s">
        <v>3843</v>
      </c>
    </row>
    <row r="388" spans="1:14" ht="30" x14ac:dyDescent="0.25">
      <c r="A388" s="2" t="s">
        <v>3068</v>
      </c>
      <c r="B388" s="2" t="s">
        <v>86</v>
      </c>
      <c r="C388" s="4">
        <v>45881</v>
      </c>
      <c r="D388" s="4">
        <v>45911</v>
      </c>
      <c r="E388" s="2" t="s">
        <v>872</v>
      </c>
      <c r="F388" s="2"/>
      <c r="G388" s="2" t="s">
        <v>21</v>
      </c>
      <c r="H388" s="2">
        <v>122.96</v>
      </c>
      <c r="I388" s="2"/>
      <c r="J388" s="2">
        <v>122.96</v>
      </c>
      <c r="K388" s="2">
        <v>122.96</v>
      </c>
      <c r="L388" s="2" t="s">
        <v>22</v>
      </c>
      <c r="M388" s="2" t="s">
        <v>3844</v>
      </c>
      <c r="N388" s="2" t="s">
        <v>3843</v>
      </c>
    </row>
    <row r="389" spans="1:14" ht="30" x14ac:dyDescent="0.25">
      <c r="A389" s="2" t="s">
        <v>3072</v>
      </c>
      <c r="B389" s="2" t="s">
        <v>684</v>
      </c>
      <c r="C389" s="4">
        <v>45881</v>
      </c>
      <c r="D389" s="4">
        <v>45941</v>
      </c>
      <c r="E389" s="2" t="s">
        <v>865</v>
      </c>
      <c r="F389" s="2"/>
      <c r="G389" s="2" t="s">
        <v>36</v>
      </c>
      <c r="H389" s="2">
        <v>196.96</v>
      </c>
      <c r="I389" s="2">
        <v>9.85</v>
      </c>
      <c r="J389" s="2">
        <v>206.81</v>
      </c>
      <c r="K389" s="2">
        <v>206.81</v>
      </c>
      <c r="L389" s="2" t="s">
        <v>22</v>
      </c>
      <c r="M389" s="2" t="s">
        <v>3844</v>
      </c>
      <c r="N389" s="2" t="s">
        <v>3843</v>
      </c>
    </row>
    <row r="390" spans="1:14" x14ac:dyDescent="0.25">
      <c r="A390" s="2" t="s">
        <v>3069</v>
      </c>
      <c r="B390" s="2" t="s">
        <v>644</v>
      </c>
      <c r="C390" s="4">
        <v>45881</v>
      </c>
      <c r="D390" s="4">
        <v>45911</v>
      </c>
      <c r="E390" s="2" t="s">
        <v>870</v>
      </c>
      <c r="F390" s="2"/>
      <c r="G390" s="2" t="s">
        <v>21</v>
      </c>
      <c r="H390" s="2">
        <v>5772.28</v>
      </c>
      <c r="I390" s="2"/>
      <c r="J390" s="2">
        <v>5772.28</v>
      </c>
      <c r="K390" s="2">
        <v>4187.3</v>
      </c>
      <c r="L390" s="2" t="s">
        <v>51</v>
      </c>
      <c r="M390" s="2" t="s">
        <v>3844</v>
      </c>
      <c r="N390" s="2" t="s">
        <v>3843</v>
      </c>
    </row>
    <row r="391" spans="1:14" ht="30" x14ac:dyDescent="0.25">
      <c r="A391" s="2" t="s">
        <v>2899</v>
      </c>
      <c r="B391" s="2" t="s">
        <v>369</v>
      </c>
      <c r="C391" s="4">
        <v>45881</v>
      </c>
      <c r="D391" s="4">
        <v>45881</v>
      </c>
      <c r="E391" s="2" t="s">
        <v>1163</v>
      </c>
      <c r="F391" s="2"/>
      <c r="G391" s="2" t="s">
        <v>36</v>
      </c>
      <c r="H391" s="2">
        <v>241.96</v>
      </c>
      <c r="I391" s="2"/>
      <c r="J391" s="2">
        <v>241.96</v>
      </c>
      <c r="K391" s="2">
        <v>175.52</v>
      </c>
      <c r="L391" s="2" t="s">
        <v>51</v>
      </c>
      <c r="M391" s="2" t="s">
        <v>3844</v>
      </c>
      <c r="N391" s="2" t="s">
        <v>3843</v>
      </c>
    </row>
    <row r="392" spans="1:14" ht="30" x14ac:dyDescent="0.25">
      <c r="A392" s="2" t="s">
        <v>2897</v>
      </c>
      <c r="B392" s="2" t="s">
        <v>369</v>
      </c>
      <c r="C392" s="4">
        <v>45881</v>
      </c>
      <c r="D392" s="4">
        <v>45881</v>
      </c>
      <c r="E392" s="2" t="s">
        <v>1165</v>
      </c>
      <c r="F392" s="2"/>
      <c r="G392" s="2" t="s">
        <v>21</v>
      </c>
      <c r="H392" s="2">
        <v>302.45</v>
      </c>
      <c r="I392" s="2"/>
      <c r="J392" s="2">
        <v>302.45</v>
      </c>
      <c r="K392" s="2">
        <v>219.4</v>
      </c>
      <c r="L392" s="2" t="s">
        <v>51</v>
      </c>
      <c r="M392" s="2" t="s">
        <v>3844</v>
      </c>
      <c r="N392" s="2" t="s">
        <v>3843</v>
      </c>
    </row>
    <row r="393" spans="1:14" x14ac:dyDescent="0.25">
      <c r="A393" s="2" t="s">
        <v>3070</v>
      </c>
      <c r="B393" s="2" t="s">
        <v>869</v>
      </c>
      <c r="C393" s="4">
        <v>45881</v>
      </c>
      <c r="D393" s="4">
        <v>45911</v>
      </c>
      <c r="E393" s="2" t="s">
        <v>867</v>
      </c>
      <c r="F393" s="2"/>
      <c r="G393" s="2" t="s">
        <v>21</v>
      </c>
      <c r="H393" s="2">
        <v>3122.03</v>
      </c>
      <c r="I393" s="2"/>
      <c r="J393" s="2">
        <v>3122.03</v>
      </c>
      <c r="K393" s="2">
        <v>2264.77</v>
      </c>
      <c r="L393" s="2" t="s">
        <v>51</v>
      </c>
      <c r="M393" s="2" t="s">
        <v>3844</v>
      </c>
      <c r="N393" s="2" t="s">
        <v>3843</v>
      </c>
    </row>
    <row r="394" spans="1:14" ht="30" x14ac:dyDescent="0.25">
      <c r="A394" s="2" t="s">
        <v>2883</v>
      </c>
      <c r="B394" s="2" t="s">
        <v>4109</v>
      </c>
      <c r="C394" s="4">
        <v>45880</v>
      </c>
      <c r="D394" s="4">
        <v>45910</v>
      </c>
      <c r="E394" s="2" t="s">
        <v>1194</v>
      </c>
      <c r="F394" s="2"/>
      <c r="G394" s="2" t="s">
        <v>21</v>
      </c>
      <c r="H394" s="2">
        <v>10764.82</v>
      </c>
      <c r="I394" s="2">
        <v>1399.43</v>
      </c>
      <c r="J394" s="2">
        <v>12164.25</v>
      </c>
      <c r="K394" s="2">
        <v>12164.25</v>
      </c>
      <c r="L394" s="2" t="s">
        <v>22</v>
      </c>
      <c r="M394" s="2" t="s">
        <v>3844</v>
      </c>
      <c r="N394" s="2" t="s">
        <v>3843</v>
      </c>
    </row>
    <row r="395" spans="1:14" ht="30" x14ac:dyDescent="0.25">
      <c r="A395" s="2" t="s">
        <v>3066</v>
      </c>
      <c r="B395" s="2" t="s">
        <v>35</v>
      </c>
      <c r="C395" s="4">
        <v>45880</v>
      </c>
      <c r="D395" s="4">
        <v>45910</v>
      </c>
      <c r="E395" s="2" t="s">
        <v>879</v>
      </c>
      <c r="F395" s="2"/>
      <c r="G395" s="2" t="s">
        <v>36</v>
      </c>
      <c r="H395" s="2">
        <v>126.16</v>
      </c>
      <c r="I395" s="2">
        <v>6.31</v>
      </c>
      <c r="J395" s="2">
        <v>132.47</v>
      </c>
      <c r="K395" s="2">
        <v>132.47</v>
      </c>
      <c r="L395" s="2" t="s">
        <v>22</v>
      </c>
      <c r="M395" s="2" t="s">
        <v>3844</v>
      </c>
      <c r="N395" s="2" t="s">
        <v>3843</v>
      </c>
    </row>
    <row r="396" spans="1:14" ht="30" x14ac:dyDescent="0.25">
      <c r="A396" s="2" t="s">
        <v>3064</v>
      </c>
      <c r="B396" s="2" t="s">
        <v>129</v>
      </c>
      <c r="C396" s="4">
        <v>45880</v>
      </c>
      <c r="D396" s="4">
        <v>45940</v>
      </c>
      <c r="E396" s="2" t="s">
        <v>883</v>
      </c>
      <c r="F396" s="2"/>
      <c r="G396" s="2" t="s">
        <v>130</v>
      </c>
      <c r="H396" s="2">
        <v>110.06</v>
      </c>
      <c r="I396" s="2"/>
      <c r="J396" s="2">
        <v>110.06</v>
      </c>
      <c r="K396" s="2">
        <v>80</v>
      </c>
      <c r="L396" s="2" t="s">
        <v>51</v>
      </c>
      <c r="M396" s="2" t="s">
        <v>3844</v>
      </c>
      <c r="N396" s="2" t="s">
        <v>3843</v>
      </c>
    </row>
    <row r="397" spans="1:14" ht="30" x14ac:dyDescent="0.25">
      <c r="A397" s="2" t="s">
        <v>2868</v>
      </c>
      <c r="B397" s="2" t="s">
        <v>450</v>
      </c>
      <c r="C397" s="4">
        <v>45877</v>
      </c>
      <c r="D397" s="4">
        <v>45877</v>
      </c>
      <c r="E397" s="2" t="s">
        <v>1223</v>
      </c>
      <c r="F397" s="2"/>
      <c r="G397" s="2" t="s">
        <v>21</v>
      </c>
      <c r="H397" s="2">
        <v>2604.9299999999998</v>
      </c>
      <c r="I397" s="2">
        <v>338.63</v>
      </c>
      <c r="J397" s="2">
        <v>2943.56</v>
      </c>
      <c r="K397" s="2">
        <v>2943.56</v>
      </c>
      <c r="L397" s="2" t="s">
        <v>22</v>
      </c>
      <c r="M397" s="2" t="s">
        <v>3844</v>
      </c>
      <c r="N397" s="2" t="s">
        <v>3843</v>
      </c>
    </row>
    <row r="398" spans="1:14" ht="30" x14ac:dyDescent="0.25">
      <c r="A398" s="2" t="s">
        <v>4203</v>
      </c>
      <c r="B398" s="2" t="s">
        <v>4171</v>
      </c>
      <c r="C398" s="4">
        <v>45877</v>
      </c>
      <c r="D398" s="4">
        <v>45877</v>
      </c>
      <c r="E398" s="2" t="s">
        <v>881</v>
      </c>
      <c r="F398" s="2"/>
      <c r="G398" s="2" t="s">
        <v>180</v>
      </c>
      <c r="H398" s="2">
        <v>2727.46</v>
      </c>
      <c r="I398" s="2"/>
      <c r="J398" s="2">
        <v>2727.46</v>
      </c>
      <c r="K398" s="2">
        <v>1984.85</v>
      </c>
      <c r="L398" s="2" t="s">
        <v>51</v>
      </c>
      <c r="M398" s="2" t="s">
        <v>3844</v>
      </c>
      <c r="N398" s="2" t="s">
        <v>3843</v>
      </c>
    </row>
    <row r="399" spans="1:14" x14ac:dyDescent="0.25">
      <c r="A399" s="2" t="s">
        <v>3059</v>
      </c>
      <c r="B399" s="2" t="s">
        <v>70</v>
      </c>
      <c r="C399" s="4">
        <v>45877</v>
      </c>
      <c r="D399" s="4">
        <v>45937</v>
      </c>
      <c r="E399" s="2" t="s">
        <v>892</v>
      </c>
      <c r="F399" s="2"/>
      <c r="G399" s="2" t="s">
        <v>71</v>
      </c>
      <c r="H399" s="2">
        <v>539.47</v>
      </c>
      <c r="I399" s="2"/>
      <c r="J399" s="2">
        <v>539.47</v>
      </c>
      <c r="K399" s="2">
        <v>392.59</v>
      </c>
      <c r="L399" s="2" t="s">
        <v>51</v>
      </c>
      <c r="M399" s="2" t="s">
        <v>3844</v>
      </c>
      <c r="N399" s="2" t="s">
        <v>3843</v>
      </c>
    </row>
    <row r="400" spans="1:14" x14ac:dyDescent="0.25">
      <c r="A400" s="2" t="s">
        <v>3048</v>
      </c>
      <c r="B400" s="2" t="s">
        <v>146</v>
      </c>
      <c r="C400" s="4">
        <v>45876</v>
      </c>
      <c r="D400" s="4">
        <v>45906</v>
      </c>
      <c r="E400" s="2" t="s">
        <v>916</v>
      </c>
      <c r="F400" s="2"/>
      <c r="G400" s="2" t="s">
        <v>21</v>
      </c>
      <c r="H400" s="2">
        <v>124.22</v>
      </c>
      <c r="I400" s="2">
        <v>6.21</v>
      </c>
      <c r="J400" s="2">
        <v>130.43</v>
      </c>
      <c r="K400" s="2">
        <v>130.43</v>
      </c>
      <c r="L400" s="2" t="s">
        <v>22</v>
      </c>
      <c r="M400" s="2" t="s">
        <v>3844</v>
      </c>
      <c r="N400" s="2" t="s">
        <v>3843</v>
      </c>
    </row>
    <row r="401" spans="1:14" x14ac:dyDescent="0.25">
      <c r="A401" s="2" t="s">
        <v>3060</v>
      </c>
      <c r="B401" s="2" t="s">
        <v>146</v>
      </c>
      <c r="C401" s="4">
        <v>45876</v>
      </c>
      <c r="D401" s="4">
        <v>45906</v>
      </c>
      <c r="E401" s="2" t="s">
        <v>890</v>
      </c>
      <c r="F401" s="2"/>
      <c r="G401" s="2" t="s">
        <v>40</v>
      </c>
      <c r="H401" s="2">
        <v>362.64</v>
      </c>
      <c r="I401" s="2">
        <v>18.13</v>
      </c>
      <c r="J401" s="2">
        <v>380.77</v>
      </c>
      <c r="K401" s="2">
        <v>380.77</v>
      </c>
      <c r="L401" s="2" t="s">
        <v>22</v>
      </c>
      <c r="M401" s="2" t="s">
        <v>3844</v>
      </c>
      <c r="N401" s="2" t="s">
        <v>3843</v>
      </c>
    </row>
    <row r="402" spans="1:14" x14ac:dyDescent="0.25">
      <c r="A402" s="2" t="s">
        <v>3058</v>
      </c>
      <c r="B402" s="2" t="s">
        <v>146</v>
      </c>
      <c r="C402" s="4">
        <v>45876</v>
      </c>
      <c r="D402" s="4">
        <v>45906</v>
      </c>
      <c r="E402" s="2" t="s">
        <v>894</v>
      </c>
      <c r="F402" s="2"/>
      <c r="G402" s="2" t="s">
        <v>40</v>
      </c>
      <c r="H402" s="2">
        <v>861.5</v>
      </c>
      <c r="I402" s="2">
        <v>43.08</v>
      </c>
      <c r="J402" s="2">
        <v>904.58</v>
      </c>
      <c r="K402" s="2">
        <v>904.58</v>
      </c>
      <c r="L402" s="2" t="s">
        <v>22</v>
      </c>
      <c r="M402" s="2" t="s">
        <v>3844</v>
      </c>
      <c r="N402" s="2" t="s">
        <v>3843</v>
      </c>
    </row>
    <row r="403" spans="1:14" ht="45" x14ac:dyDescent="0.25">
      <c r="A403" s="2" t="s">
        <v>2944</v>
      </c>
      <c r="B403" s="2" t="s">
        <v>4202</v>
      </c>
      <c r="C403" s="4">
        <v>45876</v>
      </c>
      <c r="D403" s="4">
        <v>45921</v>
      </c>
      <c r="E403" s="2" t="s">
        <v>1089</v>
      </c>
      <c r="F403" s="2"/>
      <c r="G403" s="2" t="s">
        <v>40</v>
      </c>
      <c r="H403" s="2">
        <v>450</v>
      </c>
      <c r="I403" s="2">
        <v>58.5</v>
      </c>
      <c r="J403" s="2">
        <v>508.5</v>
      </c>
      <c r="K403" s="2">
        <v>508.5</v>
      </c>
      <c r="L403" s="2" t="s">
        <v>22</v>
      </c>
      <c r="M403" s="2" t="s">
        <v>3844</v>
      </c>
      <c r="N403" s="2" t="s">
        <v>3843</v>
      </c>
    </row>
    <row r="404" spans="1:14" x14ac:dyDescent="0.25">
      <c r="A404" s="2" t="s">
        <v>2946</v>
      </c>
      <c r="B404" s="2" t="s">
        <v>141</v>
      </c>
      <c r="C404" s="4">
        <v>45876</v>
      </c>
      <c r="D404" s="4">
        <v>45921</v>
      </c>
      <c r="E404" s="2" t="s">
        <v>1087</v>
      </c>
      <c r="F404" s="2"/>
      <c r="G404" s="2" t="s">
        <v>40</v>
      </c>
      <c r="H404" s="2">
        <v>254.85</v>
      </c>
      <c r="I404" s="2"/>
      <c r="J404" s="2">
        <v>254.85</v>
      </c>
      <c r="K404" s="2">
        <v>184.92</v>
      </c>
      <c r="L404" s="2" t="s">
        <v>51</v>
      </c>
      <c r="M404" s="2" t="s">
        <v>3844</v>
      </c>
      <c r="N404" s="2" t="s">
        <v>3843</v>
      </c>
    </row>
    <row r="405" spans="1:14" x14ac:dyDescent="0.25">
      <c r="A405" s="2" t="s">
        <v>2665</v>
      </c>
      <c r="B405" s="2" t="s">
        <v>714</v>
      </c>
      <c r="C405" s="4">
        <v>45876</v>
      </c>
      <c r="D405" s="4">
        <v>45906</v>
      </c>
      <c r="E405" s="2" t="s">
        <v>1585</v>
      </c>
      <c r="F405" s="2"/>
      <c r="G405" s="2" t="s">
        <v>21</v>
      </c>
      <c r="H405" s="2">
        <v>2835.6</v>
      </c>
      <c r="I405" s="2"/>
      <c r="J405" s="2">
        <v>2835.6</v>
      </c>
      <c r="K405" s="2">
        <v>2057.52</v>
      </c>
      <c r="L405" s="2" t="s">
        <v>51</v>
      </c>
      <c r="M405" s="2" t="s">
        <v>3844</v>
      </c>
      <c r="N405" s="2" t="s">
        <v>3843</v>
      </c>
    </row>
    <row r="406" spans="1:14" ht="45" x14ac:dyDescent="0.25">
      <c r="A406" s="2" t="s">
        <v>3034</v>
      </c>
      <c r="B406" s="2" t="s">
        <v>4201</v>
      </c>
      <c r="C406" s="4">
        <v>45876</v>
      </c>
      <c r="D406" s="4">
        <v>45876</v>
      </c>
      <c r="E406" s="2" t="s">
        <v>940</v>
      </c>
      <c r="F406" s="2"/>
      <c r="G406" s="2" t="s">
        <v>36</v>
      </c>
      <c r="H406" s="2">
        <v>8234.2099999999991</v>
      </c>
      <c r="I406" s="2"/>
      <c r="J406" s="2">
        <v>8234.2099999999991</v>
      </c>
      <c r="K406" s="2">
        <v>5974.76</v>
      </c>
      <c r="L406" s="2" t="s">
        <v>51</v>
      </c>
      <c r="M406" s="2" t="s">
        <v>3844</v>
      </c>
      <c r="N406" s="2" t="s">
        <v>3843</v>
      </c>
    </row>
    <row r="407" spans="1:14" ht="30" x14ac:dyDescent="0.25">
      <c r="A407" s="2" t="s">
        <v>2703</v>
      </c>
      <c r="B407" s="2" t="s">
        <v>129</v>
      </c>
      <c r="C407" s="4">
        <v>45875</v>
      </c>
      <c r="D407" s="4">
        <v>45905</v>
      </c>
      <c r="E407" s="2" t="s">
        <v>1516</v>
      </c>
      <c r="F407" s="2"/>
      <c r="G407" s="2" t="s">
        <v>130</v>
      </c>
      <c r="H407" s="2">
        <v>21341.67</v>
      </c>
      <c r="I407" s="2"/>
      <c r="J407" s="2">
        <v>21341.67</v>
      </c>
      <c r="K407" s="2">
        <v>15492</v>
      </c>
      <c r="L407" s="2" t="s">
        <v>51</v>
      </c>
      <c r="M407" s="2" t="s">
        <v>3844</v>
      </c>
      <c r="N407" s="2" t="s">
        <v>3843</v>
      </c>
    </row>
    <row r="408" spans="1:14" ht="30" x14ac:dyDescent="0.25">
      <c r="A408" s="2" t="s">
        <v>2679</v>
      </c>
      <c r="B408" s="2" t="s">
        <v>129</v>
      </c>
      <c r="C408" s="4">
        <v>45875</v>
      </c>
      <c r="D408" s="4">
        <v>45905</v>
      </c>
      <c r="E408" s="2" t="s">
        <v>1560</v>
      </c>
      <c r="F408" s="2"/>
      <c r="G408" s="2" t="s">
        <v>130</v>
      </c>
      <c r="H408" s="2">
        <v>21341.67</v>
      </c>
      <c r="I408" s="2"/>
      <c r="J408" s="2">
        <v>21341.67</v>
      </c>
      <c r="K408" s="2">
        <v>15492</v>
      </c>
      <c r="L408" s="2" t="s">
        <v>51</v>
      </c>
      <c r="M408" s="2" t="s">
        <v>3844</v>
      </c>
      <c r="N408" s="2" t="s">
        <v>3843</v>
      </c>
    </row>
    <row r="409" spans="1:14" x14ac:dyDescent="0.25">
      <c r="A409" s="2" t="s">
        <v>2961</v>
      </c>
      <c r="B409" s="2" t="s">
        <v>77</v>
      </c>
      <c r="C409" s="4">
        <v>45875</v>
      </c>
      <c r="D409" s="4">
        <v>45905</v>
      </c>
      <c r="E409" s="2" t="s">
        <v>1062</v>
      </c>
      <c r="F409" s="2"/>
      <c r="G409" s="2" t="s">
        <v>21</v>
      </c>
      <c r="H409" s="2">
        <v>2274.3200000000002</v>
      </c>
      <c r="I409" s="2">
        <v>113.72</v>
      </c>
      <c r="J409" s="2">
        <v>2388.04</v>
      </c>
      <c r="K409" s="2">
        <v>2388.04</v>
      </c>
      <c r="L409" s="2" t="s">
        <v>22</v>
      </c>
      <c r="M409" s="2" t="s">
        <v>3844</v>
      </c>
      <c r="N409" s="2" t="s">
        <v>3843</v>
      </c>
    </row>
    <row r="410" spans="1:14" x14ac:dyDescent="0.25">
      <c r="A410" s="2" t="s">
        <v>2991</v>
      </c>
      <c r="B410" s="2" t="s">
        <v>77</v>
      </c>
      <c r="C410" s="4">
        <v>45875</v>
      </c>
      <c r="D410" s="4">
        <v>45905</v>
      </c>
      <c r="E410" s="2" t="s">
        <v>1009</v>
      </c>
      <c r="F410" s="2"/>
      <c r="G410" s="2" t="s">
        <v>40</v>
      </c>
      <c r="H410" s="2">
        <v>1137.1600000000001</v>
      </c>
      <c r="I410" s="2">
        <v>56.86</v>
      </c>
      <c r="J410" s="2">
        <v>1194.02</v>
      </c>
      <c r="K410" s="2">
        <v>1194.02</v>
      </c>
      <c r="L410" s="2" t="s">
        <v>22</v>
      </c>
      <c r="M410" s="2" t="s">
        <v>3844</v>
      </c>
      <c r="N410" s="2" t="s">
        <v>3843</v>
      </c>
    </row>
    <row r="411" spans="1:14" ht="30" x14ac:dyDescent="0.25">
      <c r="A411" s="2" t="s">
        <v>2803</v>
      </c>
      <c r="B411" s="2" t="s">
        <v>86</v>
      </c>
      <c r="C411" s="4">
        <v>45875</v>
      </c>
      <c r="D411" s="4">
        <v>45905</v>
      </c>
      <c r="E411" s="2" t="s">
        <v>1334</v>
      </c>
      <c r="F411" s="2"/>
      <c r="G411" s="2" t="s">
        <v>21</v>
      </c>
      <c r="H411" s="2">
        <v>419.88</v>
      </c>
      <c r="I411" s="2">
        <v>20.99</v>
      </c>
      <c r="J411" s="2">
        <v>440.87</v>
      </c>
      <c r="K411" s="2">
        <v>440.87</v>
      </c>
      <c r="L411" s="2" t="s">
        <v>22</v>
      </c>
      <c r="M411" s="2" t="s">
        <v>3844</v>
      </c>
      <c r="N411" s="2" t="s">
        <v>3843</v>
      </c>
    </row>
    <row r="412" spans="1:14" x14ac:dyDescent="0.25">
      <c r="A412" s="2" t="s">
        <v>2943</v>
      </c>
      <c r="B412" s="2" t="s">
        <v>176</v>
      </c>
      <c r="C412" s="4">
        <v>45875</v>
      </c>
      <c r="D412" s="4">
        <v>45905</v>
      </c>
      <c r="E412" s="2" t="s">
        <v>1092</v>
      </c>
      <c r="F412" s="2"/>
      <c r="G412" s="2" t="s">
        <v>40</v>
      </c>
      <c r="H412" s="2">
        <v>133</v>
      </c>
      <c r="I412" s="2">
        <v>17.29</v>
      </c>
      <c r="J412" s="2">
        <v>150.29</v>
      </c>
      <c r="K412" s="2">
        <v>150.29</v>
      </c>
      <c r="L412" s="2" t="s">
        <v>22</v>
      </c>
      <c r="M412" s="2" t="s">
        <v>3844</v>
      </c>
      <c r="N412" s="2" t="s">
        <v>3843</v>
      </c>
    </row>
    <row r="413" spans="1:14" ht="30" x14ac:dyDescent="0.25">
      <c r="A413" s="2" t="s">
        <v>2949</v>
      </c>
      <c r="B413" s="2" t="s">
        <v>684</v>
      </c>
      <c r="C413" s="4">
        <v>45875</v>
      </c>
      <c r="D413" s="4">
        <v>45935</v>
      </c>
      <c r="E413" s="2" t="s">
        <v>1083</v>
      </c>
      <c r="F413" s="2"/>
      <c r="G413" s="2" t="s">
        <v>36</v>
      </c>
      <c r="H413" s="2">
        <v>778</v>
      </c>
      <c r="I413" s="2"/>
      <c r="J413" s="2">
        <v>778</v>
      </c>
      <c r="K413" s="2">
        <v>778</v>
      </c>
      <c r="L413" s="2" t="s">
        <v>22</v>
      </c>
      <c r="M413" s="2" t="s">
        <v>3844</v>
      </c>
      <c r="N413" s="2" t="s">
        <v>3843</v>
      </c>
    </row>
    <row r="414" spans="1:14" ht="30" x14ac:dyDescent="0.25">
      <c r="A414" s="2" t="s">
        <v>2941</v>
      </c>
      <c r="B414" s="2" t="s">
        <v>26</v>
      </c>
      <c r="C414" s="4">
        <v>45875</v>
      </c>
      <c r="D414" s="4">
        <v>45935</v>
      </c>
      <c r="E414" s="2" t="s">
        <v>1096</v>
      </c>
      <c r="F414" s="2"/>
      <c r="G414" s="2" t="s">
        <v>36</v>
      </c>
      <c r="H414" s="2">
        <v>765.02</v>
      </c>
      <c r="I414" s="2">
        <v>38.25</v>
      </c>
      <c r="J414" s="2">
        <v>803.27</v>
      </c>
      <c r="K414" s="2">
        <v>803.27</v>
      </c>
      <c r="L414" s="2" t="s">
        <v>22</v>
      </c>
      <c r="M414" s="2" t="s">
        <v>3844</v>
      </c>
      <c r="N414" s="2" t="s">
        <v>3843</v>
      </c>
    </row>
    <row r="415" spans="1:14" ht="45" x14ac:dyDescent="0.25">
      <c r="A415" s="2" t="s">
        <v>3027</v>
      </c>
      <c r="B415" s="2" t="s">
        <v>43</v>
      </c>
      <c r="C415" s="4">
        <v>45874</v>
      </c>
      <c r="D415" s="4">
        <v>45904</v>
      </c>
      <c r="E415" s="2" t="s">
        <v>950</v>
      </c>
      <c r="F415" s="2"/>
      <c r="G415" s="2" t="s">
        <v>36</v>
      </c>
      <c r="H415" s="2">
        <v>184.96</v>
      </c>
      <c r="I415" s="2">
        <v>9.26</v>
      </c>
      <c r="J415" s="2">
        <v>194.22</v>
      </c>
      <c r="K415" s="2">
        <v>194.22</v>
      </c>
      <c r="L415" s="2" t="s">
        <v>22</v>
      </c>
      <c r="M415" s="2" t="s">
        <v>3844</v>
      </c>
      <c r="N415" s="2" t="s">
        <v>3843</v>
      </c>
    </row>
    <row r="416" spans="1:14" ht="45" x14ac:dyDescent="0.25">
      <c r="A416" s="2" t="s">
        <v>3040</v>
      </c>
      <c r="B416" s="2" t="s">
        <v>43</v>
      </c>
      <c r="C416" s="4">
        <v>45874</v>
      </c>
      <c r="D416" s="4">
        <v>45904</v>
      </c>
      <c r="E416" s="2" t="s">
        <v>928</v>
      </c>
      <c r="F416" s="2"/>
      <c r="G416" s="2" t="s">
        <v>36</v>
      </c>
      <c r="H416" s="2">
        <v>1005.03</v>
      </c>
      <c r="I416" s="2">
        <v>50.25</v>
      </c>
      <c r="J416" s="2">
        <v>1055.28</v>
      </c>
      <c r="K416" s="2">
        <v>1055.28</v>
      </c>
      <c r="L416" s="2" t="s">
        <v>22</v>
      </c>
      <c r="M416" s="2" t="s">
        <v>3844</v>
      </c>
      <c r="N416" s="2" t="s">
        <v>3843</v>
      </c>
    </row>
    <row r="417" spans="1:14" ht="30" x14ac:dyDescent="0.25">
      <c r="A417" s="2" t="s">
        <v>3049</v>
      </c>
      <c r="B417" s="2" t="s">
        <v>39</v>
      </c>
      <c r="C417" s="4">
        <v>45874</v>
      </c>
      <c r="D417" s="4">
        <v>45904</v>
      </c>
      <c r="E417" s="2" t="s">
        <v>914</v>
      </c>
      <c r="F417" s="2"/>
      <c r="G417" s="2" t="s">
        <v>40</v>
      </c>
      <c r="H417" s="2">
        <v>2609.71</v>
      </c>
      <c r="I417" s="2">
        <v>130.47999999999999</v>
      </c>
      <c r="J417" s="2">
        <v>2740.19</v>
      </c>
      <c r="K417" s="2">
        <v>2740.19</v>
      </c>
      <c r="L417" s="2" t="s">
        <v>22</v>
      </c>
      <c r="M417" s="2" t="s">
        <v>3844</v>
      </c>
      <c r="N417" s="2" t="s">
        <v>3843</v>
      </c>
    </row>
    <row r="418" spans="1:14" ht="30" x14ac:dyDescent="0.25">
      <c r="A418" s="2" t="s">
        <v>3032</v>
      </c>
      <c r="B418" s="2" t="s">
        <v>39</v>
      </c>
      <c r="C418" s="4">
        <v>45874</v>
      </c>
      <c r="D418" s="4">
        <v>45904</v>
      </c>
      <c r="E418" s="2" t="s">
        <v>944</v>
      </c>
      <c r="F418" s="2"/>
      <c r="G418" s="2" t="s">
        <v>36</v>
      </c>
      <c r="H418" s="2">
        <v>14898.28</v>
      </c>
      <c r="I418" s="2">
        <v>744.91</v>
      </c>
      <c r="J418" s="2">
        <v>15643.19</v>
      </c>
      <c r="K418" s="2">
        <v>15643.19</v>
      </c>
      <c r="L418" s="2" t="s">
        <v>22</v>
      </c>
      <c r="M418" s="2" t="s">
        <v>3844</v>
      </c>
      <c r="N418" s="2" t="s">
        <v>3843</v>
      </c>
    </row>
    <row r="419" spans="1:14" ht="30" x14ac:dyDescent="0.25">
      <c r="A419" s="2" t="s">
        <v>2711</v>
      </c>
      <c r="B419" s="2" t="s">
        <v>86</v>
      </c>
      <c r="C419" s="4">
        <v>45874</v>
      </c>
      <c r="D419" s="4">
        <v>45904</v>
      </c>
      <c r="E419" s="2" t="s">
        <v>1501</v>
      </c>
      <c r="F419" s="2"/>
      <c r="G419" s="2" t="s">
        <v>21</v>
      </c>
      <c r="H419" s="2">
        <v>7398.1</v>
      </c>
      <c r="I419" s="2">
        <v>369.91</v>
      </c>
      <c r="J419" s="2">
        <v>7768.01</v>
      </c>
      <c r="K419" s="2">
        <v>7768.01</v>
      </c>
      <c r="L419" s="2" t="s">
        <v>22</v>
      </c>
      <c r="M419" s="2" t="s">
        <v>3844</v>
      </c>
      <c r="N419" s="2" t="s">
        <v>3843</v>
      </c>
    </row>
    <row r="420" spans="1:14" ht="30" x14ac:dyDescent="0.25">
      <c r="A420" s="2" t="s">
        <v>2845</v>
      </c>
      <c r="B420" s="2" t="s">
        <v>4139</v>
      </c>
      <c r="C420" s="4">
        <v>45874</v>
      </c>
      <c r="D420" s="4">
        <v>45904</v>
      </c>
      <c r="E420" s="2" t="s">
        <v>1259</v>
      </c>
      <c r="F420" s="2"/>
      <c r="G420" s="2" t="s">
        <v>21</v>
      </c>
      <c r="H420" s="2">
        <v>5710.29</v>
      </c>
      <c r="I420" s="2">
        <v>285.51</v>
      </c>
      <c r="J420" s="2">
        <v>5995.8</v>
      </c>
      <c r="K420" s="2">
        <v>5995.8</v>
      </c>
      <c r="L420" s="2" t="s">
        <v>22</v>
      </c>
      <c r="M420" s="2" t="s">
        <v>3844</v>
      </c>
      <c r="N420" s="2" t="s">
        <v>3843</v>
      </c>
    </row>
    <row r="421" spans="1:14" x14ac:dyDescent="0.25">
      <c r="A421" s="2" t="s">
        <v>2934</v>
      </c>
      <c r="B421" s="2" t="s">
        <v>77</v>
      </c>
      <c r="C421" s="4">
        <v>45874</v>
      </c>
      <c r="D421" s="4">
        <v>45904</v>
      </c>
      <c r="E421" s="2" t="s">
        <v>1108</v>
      </c>
      <c r="F421" s="2"/>
      <c r="G421" s="2" t="s">
        <v>21</v>
      </c>
      <c r="H421" s="2">
        <v>2155.7800000000002</v>
      </c>
      <c r="I421" s="2">
        <v>107.79</v>
      </c>
      <c r="J421" s="2">
        <v>2263.5700000000002</v>
      </c>
      <c r="K421" s="2">
        <v>2263.5700000000002</v>
      </c>
      <c r="L421" s="2" t="s">
        <v>22</v>
      </c>
      <c r="M421" s="2" t="s">
        <v>3844</v>
      </c>
      <c r="N421" s="2" t="s">
        <v>3843</v>
      </c>
    </row>
    <row r="422" spans="1:14" ht="30" x14ac:dyDescent="0.25">
      <c r="A422" s="2" t="s">
        <v>2875</v>
      </c>
      <c r="B422" s="2" t="s">
        <v>20</v>
      </c>
      <c r="C422" s="4">
        <v>45874</v>
      </c>
      <c r="D422" s="4">
        <v>45934</v>
      </c>
      <c r="E422" s="2" t="s">
        <v>1209</v>
      </c>
      <c r="F422" s="2"/>
      <c r="G422" s="2" t="s">
        <v>21</v>
      </c>
      <c r="H422" s="2">
        <v>1589.1</v>
      </c>
      <c r="I422" s="2">
        <v>79.459999999999994</v>
      </c>
      <c r="J422" s="2">
        <v>1668.56</v>
      </c>
      <c r="K422" s="2">
        <v>1668.56</v>
      </c>
      <c r="L422" s="2" t="s">
        <v>22</v>
      </c>
      <c r="M422" s="2" t="s">
        <v>3844</v>
      </c>
      <c r="N422" s="2" t="s">
        <v>3843</v>
      </c>
    </row>
    <row r="423" spans="1:14" ht="30" x14ac:dyDescent="0.25">
      <c r="A423" s="2" t="s">
        <v>2854</v>
      </c>
      <c r="B423" s="2" t="s">
        <v>20</v>
      </c>
      <c r="C423" s="4">
        <v>45874</v>
      </c>
      <c r="D423" s="4">
        <v>45934</v>
      </c>
      <c r="E423" s="2" t="s">
        <v>1243</v>
      </c>
      <c r="F423" s="2"/>
      <c r="G423" s="2" t="s">
        <v>21</v>
      </c>
      <c r="H423" s="2">
        <v>2251.38</v>
      </c>
      <c r="I423" s="2">
        <v>112.57</v>
      </c>
      <c r="J423" s="2">
        <v>2363.9499999999998</v>
      </c>
      <c r="K423" s="2">
        <v>2363.9499999999998</v>
      </c>
      <c r="L423" s="2" t="s">
        <v>22</v>
      </c>
      <c r="M423" s="2" t="s">
        <v>3844</v>
      </c>
      <c r="N423" s="2" t="s">
        <v>3843</v>
      </c>
    </row>
    <row r="424" spans="1:14" ht="30" x14ac:dyDescent="0.25">
      <c r="A424" s="2" t="s">
        <v>3054</v>
      </c>
      <c r="B424" s="2" t="s">
        <v>4200</v>
      </c>
      <c r="C424" s="4">
        <v>45874</v>
      </c>
      <c r="D424" s="4">
        <v>45904</v>
      </c>
      <c r="E424" s="2" t="s">
        <v>904</v>
      </c>
      <c r="F424" s="2"/>
      <c r="G424" s="2" t="s">
        <v>36</v>
      </c>
      <c r="H424" s="2">
        <v>297.88</v>
      </c>
      <c r="I424" s="2">
        <v>14.89</v>
      </c>
      <c r="J424" s="2">
        <v>312.77</v>
      </c>
      <c r="K424" s="2">
        <v>312.77</v>
      </c>
      <c r="L424" s="2" t="s">
        <v>22</v>
      </c>
      <c r="M424" s="2" t="s">
        <v>3844</v>
      </c>
      <c r="N424" s="2" t="s">
        <v>3843</v>
      </c>
    </row>
    <row r="425" spans="1:14" x14ac:dyDescent="0.25">
      <c r="A425" s="2" t="s">
        <v>3047</v>
      </c>
      <c r="B425" s="2" t="s">
        <v>146</v>
      </c>
      <c r="C425" s="4">
        <v>45874</v>
      </c>
      <c r="D425" s="4">
        <v>45904</v>
      </c>
      <c r="E425" s="2" t="s">
        <v>918</v>
      </c>
      <c r="F425" s="2"/>
      <c r="G425" s="2" t="s">
        <v>40</v>
      </c>
      <c r="H425" s="2">
        <v>124.8</v>
      </c>
      <c r="I425" s="2">
        <v>6.24</v>
      </c>
      <c r="J425" s="2">
        <v>131.04</v>
      </c>
      <c r="K425" s="2">
        <v>131.04</v>
      </c>
      <c r="L425" s="2" t="s">
        <v>22</v>
      </c>
      <c r="M425" s="2" t="s">
        <v>3844</v>
      </c>
      <c r="N425" s="2" t="s">
        <v>3843</v>
      </c>
    </row>
    <row r="426" spans="1:14" ht="45" x14ac:dyDescent="0.25">
      <c r="A426" s="2" t="s">
        <v>3044</v>
      </c>
      <c r="B426" s="2" t="s">
        <v>4192</v>
      </c>
      <c r="C426" s="4">
        <v>45873</v>
      </c>
      <c r="D426" s="4">
        <v>45903</v>
      </c>
      <c r="E426" s="2" t="s">
        <v>922</v>
      </c>
      <c r="F426" s="2"/>
      <c r="G426" s="2" t="s">
        <v>21</v>
      </c>
      <c r="H426" s="2">
        <v>12349.86</v>
      </c>
      <c r="I426" s="2"/>
      <c r="J426" s="2">
        <v>12349.86</v>
      </c>
      <c r="K426" s="2">
        <v>8960.35</v>
      </c>
      <c r="L426" s="2" t="s">
        <v>51</v>
      </c>
      <c r="M426" s="2" t="s">
        <v>3844</v>
      </c>
      <c r="N426" s="2" t="s">
        <v>3843</v>
      </c>
    </row>
    <row r="427" spans="1:14" ht="30" x14ac:dyDescent="0.25">
      <c r="A427" s="2" t="s">
        <v>2987</v>
      </c>
      <c r="B427" s="2" t="s">
        <v>159</v>
      </c>
      <c r="C427" s="4">
        <v>45870</v>
      </c>
      <c r="D427" s="4">
        <v>45915</v>
      </c>
      <c r="E427" s="2" t="s">
        <v>1017</v>
      </c>
      <c r="F427" s="2"/>
      <c r="G427" s="2" t="s">
        <v>40</v>
      </c>
      <c r="H427" s="2">
        <v>15214.84</v>
      </c>
      <c r="I427" s="2"/>
      <c r="J427" s="2">
        <v>15214.84</v>
      </c>
      <c r="K427" s="2">
        <v>11012.48</v>
      </c>
      <c r="L427" s="2" t="s">
        <v>51</v>
      </c>
      <c r="M427" s="2" t="s">
        <v>3844</v>
      </c>
      <c r="N427" s="2" t="s">
        <v>3843</v>
      </c>
    </row>
    <row r="428" spans="1:14" ht="30" x14ac:dyDescent="0.25">
      <c r="A428" s="2" t="s">
        <v>2996</v>
      </c>
      <c r="B428" s="2" t="s">
        <v>159</v>
      </c>
      <c r="C428" s="4">
        <v>45870</v>
      </c>
      <c r="D428" s="4">
        <v>45915</v>
      </c>
      <c r="E428" s="2" t="s">
        <v>1005</v>
      </c>
      <c r="F428" s="2"/>
      <c r="G428" s="2" t="s">
        <v>40</v>
      </c>
      <c r="H428" s="2">
        <v>48048.12</v>
      </c>
      <c r="I428" s="2"/>
      <c r="J428" s="2">
        <v>48048.12</v>
      </c>
      <c r="K428" s="2">
        <v>34777.160000000003</v>
      </c>
      <c r="L428" s="2" t="s">
        <v>51</v>
      </c>
      <c r="M428" s="2" t="s">
        <v>3844</v>
      </c>
      <c r="N428" s="2" t="s">
        <v>3843</v>
      </c>
    </row>
    <row r="429" spans="1:14" ht="30" x14ac:dyDescent="0.25">
      <c r="A429" s="2" t="s">
        <v>2864</v>
      </c>
      <c r="B429" s="2" t="s">
        <v>159</v>
      </c>
      <c r="C429" s="4">
        <v>45870</v>
      </c>
      <c r="D429" s="4">
        <v>45915</v>
      </c>
      <c r="E429" s="2" t="s">
        <v>1225</v>
      </c>
      <c r="F429" s="2"/>
      <c r="G429" s="2" t="s">
        <v>40</v>
      </c>
      <c r="H429" s="2">
        <v>369.58</v>
      </c>
      <c r="I429" s="2"/>
      <c r="J429" s="2">
        <v>369.58</v>
      </c>
      <c r="K429" s="2">
        <v>267.5</v>
      </c>
      <c r="L429" s="2" t="s">
        <v>51</v>
      </c>
      <c r="M429" s="2" t="s">
        <v>3844</v>
      </c>
      <c r="N429" s="2" t="s">
        <v>3843</v>
      </c>
    </row>
    <row r="430" spans="1:14" ht="30" x14ac:dyDescent="0.25">
      <c r="A430" s="2" t="s">
        <v>2827</v>
      </c>
      <c r="B430" s="2" t="s">
        <v>159</v>
      </c>
      <c r="C430" s="4">
        <v>45870</v>
      </c>
      <c r="D430" s="4">
        <v>45915</v>
      </c>
      <c r="E430" s="2" t="s">
        <v>1289</v>
      </c>
      <c r="F430" s="2"/>
      <c r="G430" s="2" t="s">
        <v>40</v>
      </c>
      <c r="H430" s="2">
        <v>6173.43</v>
      </c>
      <c r="I430" s="2"/>
      <c r="J430" s="2">
        <v>6173.43</v>
      </c>
      <c r="K430" s="2">
        <v>4468.32</v>
      </c>
      <c r="L430" s="2" t="s">
        <v>51</v>
      </c>
      <c r="M430" s="2" t="s">
        <v>3844</v>
      </c>
      <c r="N430" s="2" t="s">
        <v>3843</v>
      </c>
    </row>
    <row r="431" spans="1:14" ht="30" x14ac:dyDescent="0.25">
      <c r="A431" s="2" t="s">
        <v>2994</v>
      </c>
      <c r="B431" s="2" t="s">
        <v>159</v>
      </c>
      <c r="C431" s="4">
        <v>45870</v>
      </c>
      <c r="D431" s="4">
        <v>45915</v>
      </c>
      <c r="E431" s="2" t="s">
        <v>1007</v>
      </c>
      <c r="F431" s="2"/>
      <c r="G431" s="2" t="s">
        <v>40</v>
      </c>
      <c r="H431" s="2">
        <v>33003.14</v>
      </c>
      <c r="I431" s="2"/>
      <c r="J431" s="2">
        <v>33003.14</v>
      </c>
      <c r="K431" s="2">
        <v>23887.63</v>
      </c>
      <c r="L431" s="2" t="s">
        <v>51</v>
      </c>
      <c r="M431" s="2" t="s">
        <v>3844</v>
      </c>
      <c r="N431" s="2" t="s">
        <v>3843</v>
      </c>
    </row>
    <row r="432" spans="1:14" ht="30" x14ac:dyDescent="0.25">
      <c r="A432" s="2" t="s">
        <v>2925</v>
      </c>
      <c r="B432" s="2" t="s">
        <v>159</v>
      </c>
      <c r="C432" s="4">
        <v>45870</v>
      </c>
      <c r="D432" s="4">
        <v>45915</v>
      </c>
      <c r="E432" s="2" t="s">
        <v>1122</v>
      </c>
      <c r="F432" s="2"/>
      <c r="G432" s="2" t="s">
        <v>40</v>
      </c>
      <c r="H432" s="2">
        <v>7728.83</v>
      </c>
      <c r="I432" s="2"/>
      <c r="J432" s="2">
        <v>7728.83</v>
      </c>
      <c r="K432" s="2">
        <v>5594.11</v>
      </c>
      <c r="L432" s="2" t="s">
        <v>51</v>
      </c>
      <c r="M432" s="2" t="s">
        <v>3844</v>
      </c>
      <c r="N432" s="2" t="s">
        <v>3843</v>
      </c>
    </row>
    <row r="433" spans="1:14" ht="30" x14ac:dyDescent="0.25">
      <c r="A433" s="2" t="s">
        <v>2521</v>
      </c>
      <c r="B433" s="2" t="s">
        <v>4080</v>
      </c>
      <c r="C433" s="4">
        <v>45869</v>
      </c>
      <c r="D433" s="4">
        <v>45899</v>
      </c>
      <c r="E433" s="2" t="s">
        <v>1829</v>
      </c>
      <c r="F433" s="2"/>
      <c r="G433" s="2" t="s">
        <v>21</v>
      </c>
      <c r="H433" s="2">
        <v>568.80999999999995</v>
      </c>
      <c r="I433" s="2"/>
      <c r="J433" s="2">
        <v>568.80999999999995</v>
      </c>
      <c r="K433" s="2">
        <v>412.8</v>
      </c>
      <c r="L433" s="2" t="s">
        <v>51</v>
      </c>
      <c r="M433" s="2" t="s">
        <v>3844</v>
      </c>
      <c r="N433" s="2" t="s">
        <v>3843</v>
      </c>
    </row>
    <row r="434" spans="1:14" x14ac:dyDescent="0.25">
      <c r="A434" s="2" t="s">
        <v>3491</v>
      </c>
      <c r="B434" s="2" t="s">
        <v>3442</v>
      </c>
      <c r="C434" s="4">
        <v>45869</v>
      </c>
      <c r="D434" s="4">
        <v>45914</v>
      </c>
      <c r="E434" s="2" t="s">
        <v>4198</v>
      </c>
      <c r="F434" s="2"/>
      <c r="G434" s="2" t="s">
        <v>426</v>
      </c>
      <c r="H434" s="2">
        <v>145098.49</v>
      </c>
      <c r="I434" s="2"/>
      <c r="J434" s="2">
        <v>145098.49</v>
      </c>
      <c r="K434" s="2">
        <v>105302</v>
      </c>
      <c r="L434" s="2" t="s">
        <v>51</v>
      </c>
      <c r="M434" s="2" t="s">
        <v>3844</v>
      </c>
      <c r="N434" s="2" t="s">
        <v>3843</v>
      </c>
    </row>
    <row r="435" spans="1:14" x14ac:dyDescent="0.25">
      <c r="A435" s="2" t="s">
        <v>3495</v>
      </c>
      <c r="B435" s="2" t="s">
        <v>3493</v>
      </c>
      <c r="C435" s="4">
        <v>45869</v>
      </c>
      <c r="D435" s="4">
        <v>45959</v>
      </c>
      <c r="E435" s="2" t="s">
        <v>4179</v>
      </c>
      <c r="F435" s="2"/>
      <c r="G435" s="2" t="s">
        <v>4178</v>
      </c>
      <c r="H435" s="2">
        <v>3222.98</v>
      </c>
      <c r="I435" s="2"/>
      <c r="J435" s="2">
        <v>3222.98</v>
      </c>
      <c r="K435" s="2">
        <v>2327.8000000000002</v>
      </c>
      <c r="L435" s="2" t="s">
        <v>51</v>
      </c>
      <c r="M435" s="2" t="s">
        <v>3844</v>
      </c>
      <c r="N435" s="2" t="s">
        <v>3843</v>
      </c>
    </row>
    <row r="436" spans="1:14" x14ac:dyDescent="0.25">
      <c r="A436" s="2" t="s">
        <v>3494</v>
      </c>
      <c r="B436" s="2" t="s">
        <v>3493</v>
      </c>
      <c r="C436" s="4">
        <v>45869</v>
      </c>
      <c r="D436" s="4">
        <v>45959</v>
      </c>
      <c r="E436" s="2" t="s">
        <v>4179</v>
      </c>
      <c r="F436" s="2"/>
      <c r="G436" s="2" t="s">
        <v>4178</v>
      </c>
      <c r="H436" s="2">
        <v>28717.24</v>
      </c>
      <c r="I436" s="2"/>
      <c r="J436" s="2">
        <v>28717.24</v>
      </c>
      <c r="K436" s="2">
        <v>20741.03</v>
      </c>
      <c r="L436" s="2" t="s">
        <v>51</v>
      </c>
      <c r="M436" s="2" t="s">
        <v>3844</v>
      </c>
      <c r="N436" s="2" t="s">
        <v>3843</v>
      </c>
    </row>
    <row r="437" spans="1:14" ht="30" x14ac:dyDescent="0.25">
      <c r="A437" s="2" t="s">
        <v>3039</v>
      </c>
      <c r="B437" s="2" t="s">
        <v>104</v>
      </c>
      <c r="C437" s="4">
        <v>45868</v>
      </c>
      <c r="D437" s="4">
        <v>45898</v>
      </c>
      <c r="E437" s="2" t="s">
        <v>930</v>
      </c>
      <c r="F437" s="2"/>
      <c r="G437" s="2" t="s">
        <v>36</v>
      </c>
      <c r="H437" s="2">
        <v>262.76</v>
      </c>
      <c r="I437" s="2">
        <v>13.14</v>
      </c>
      <c r="J437" s="2">
        <v>275.89999999999998</v>
      </c>
      <c r="K437" s="2">
        <v>275.89999999999998</v>
      </c>
      <c r="L437" s="2" t="s">
        <v>22</v>
      </c>
      <c r="M437" s="2" t="s">
        <v>3844</v>
      </c>
      <c r="N437" s="2" t="s">
        <v>3843</v>
      </c>
    </row>
    <row r="438" spans="1:14" x14ac:dyDescent="0.25">
      <c r="A438" s="2" t="s">
        <v>2966</v>
      </c>
      <c r="B438" s="2" t="s">
        <v>77</v>
      </c>
      <c r="C438" s="4">
        <v>45868</v>
      </c>
      <c r="D438" s="4">
        <v>45898</v>
      </c>
      <c r="E438" s="2" t="s">
        <v>1056</v>
      </c>
      <c r="F438" s="2"/>
      <c r="G438" s="2" t="s">
        <v>36</v>
      </c>
      <c r="H438" s="2">
        <v>110.83</v>
      </c>
      <c r="I438" s="2">
        <v>5.54</v>
      </c>
      <c r="J438" s="2">
        <v>116.37</v>
      </c>
      <c r="K438" s="2">
        <v>116.37</v>
      </c>
      <c r="L438" s="2" t="s">
        <v>22</v>
      </c>
      <c r="M438" s="2" t="s">
        <v>3844</v>
      </c>
      <c r="N438" s="2" t="s">
        <v>3843</v>
      </c>
    </row>
    <row r="439" spans="1:14" x14ac:dyDescent="0.25">
      <c r="A439" s="2" t="s">
        <v>3042</v>
      </c>
      <c r="B439" s="2" t="s">
        <v>54</v>
      </c>
      <c r="C439" s="4">
        <v>45868</v>
      </c>
      <c r="D439" s="4">
        <v>45898</v>
      </c>
      <c r="E439" s="2" t="s">
        <v>926</v>
      </c>
      <c r="F439" s="2"/>
      <c r="G439" s="2" t="s">
        <v>21</v>
      </c>
      <c r="H439" s="2">
        <v>5764.56</v>
      </c>
      <c r="I439" s="2">
        <v>288.23</v>
      </c>
      <c r="J439" s="2">
        <v>6052.79</v>
      </c>
      <c r="K439" s="2">
        <v>6052.79</v>
      </c>
      <c r="L439" s="2" t="s">
        <v>22</v>
      </c>
      <c r="M439" s="2" t="s">
        <v>3844</v>
      </c>
      <c r="N439" s="2" t="s">
        <v>3843</v>
      </c>
    </row>
    <row r="440" spans="1:14" x14ac:dyDescent="0.25">
      <c r="A440" s="2" t="s">
        <v>3018</v>
      </c>
      <c r="B440" s="2" t="s">
        <v>146</v>
      </c>
      <c r="C440" s="4">
        <v>45868</v>
      </c>
      <c r="D440" s="4">
        <v>45898</v>
      </c>
      <c r="E440" s="2" t="s">
        <v>965</v>
      </c>
      <c r="F440" s="2"/>
      <c r="G440" s="2" t="s">
        <v>40</v>
      </c>
      <c r="H440" s="2">
        <v>48</v>
      </c>
      <c r="I440" s="2">
        <v>2.4</v>
      </c>
      <c r="J440" s="2">
        <v>50.4</v>
      </c>
      <c r="K440" s="2">
        <v>50.4</v>
      </c>
      <c r="L440" s="2" t="s">
        <v>22</v>
      </c>
      <c r="M440" s="2" t="s">
        <v>3844</v>
      </c>
      <c r="N440" s="2" t="s">
        <v>3843</v>
      </c>
    </row>
    <row r="441" spans="1:14" x14ac:dyDescent="0.25">
      <c r="A441" s="2" t="s">
        <v>3025</v>
      </c>
      <c r="B441" s="2" t="s">
        <v>70</v>
      </c>
      <c r="C441" s="4">
        <v>45868</v>
      </c>
      <c r="D441" s="4">
        <v>45928</v>
      </c>
      <c r="E441" s="2" t="s">
        <v>955</v>
      </c>
      <c r="F441" s="2"/>
      <c r="G441" s="2" t="s">
        <v>71</v>
      </c>
      <c r="H441" s="2">
        <v>8361.34</v>
      </c>
      <c r="I441" s="2"/>
      <c r="J441" s="2">
        <v>8361.34</v>
      </c>
      <c r="K441" s="2">
        <v>6094.44</v>
      </c>
      <c r="L441" s="2" t="s">
        <v>51</v>
      </c>
      <c r="M441" s="2" t="s">
        <v>3844</v>
      </c>
      <c r="N441" s="2" t="s">
        <v>3843</v>
      </c>
    </row>
    <row r="442" spans="1:14" x14ac:dyDescent="0.25">
      <c r="A442" s="2" t="s">
        <v>3037</v>
      </c>
      <c r="B442" s="2" t="s">
        <v>70</v>
      </c>
      <c r="C442" s="4">
        <v>45868</v>
      </c>
      <c r="D442" s="4">
        <v>45928</v>
      </c>
      <c r="E442" s="2" t="s">
        <v>934</v>
      </c>
      <c r="F442" s="2"/>
      <c r="G442" s="2" t="s">
        <v>71</v>
      </c>
      <c r="H442" s="2">
        <v>2821.94</v>
      </c>
      <c r="I442" s="2"/>
      <c r="J442" s="2">
        <v>2821.94</v>
      </c>
      <c r="K442" s="2">
        <v>2056.86</v>
      </c>
      <c r="L442" s="2" t="s">
        <v>51</v>
      </c>
      <c r="M442" s="2" t="s">
        <v>3844</v>
      </c>
      <c r="N442" s="2" t="s">
        <v>3843</v>
      </c>
    </row>
    <row r="443" spans="1:14" ht="45" x14ac:dyDescent="0.25">
      <c r="A443" s="2" t="s">
        <v>3012</v>
      </c>
      <c r="B443" s="2" t="s">
        <v>4192</v>
      </c>
      <c r="C443" s="4">
        <v>45868</v>
      </c>
      <c r="D443" s="4">
        <v>45898</v>
      </c>
      <c r="E443" s="2" t="s">
        <v>977</v>
      </c>
      <c r="F443" s="2"/>
      <c r="G443" s="2" t="s">
        <v>21</v>
      </c>
      <c r="H443" s="2">
        <v>20413.41</v>
      </c>
      <c r="I443" s="2"/>
      <c r="J443" s="2">
        <v>20413.41</v>
      </c>
      <c r="K443" s="2">
        <v>14878.98</v>
      </c>
      <c r="L443" s="2" t="s">
        <v>51</v>
      </c>
      <c r="M443" s="2" t="s">
        <v>3844</v>
      </c>
      <c r="N443" s="2" t="s">
        <v>3843</v>
      </c>
    </row>
    <row r="444" spans="1:14" ht="45" x14ac:dyDescent="0.25">
      <c r="A444" s="2" t="s">
        <v>2964</v>
      </c>
      <c r="B444" s="2" t="s">
        <v>4192</v>
      </c>
      <c r="C444" s="4">
        <v>45868</v>
      </c>
      <c r="D444" s="4">
        <v>45898</v>
      </c>
      <c r="E444" s="2" t="s">
        <v>1058</v>
      </c>
      <c r="F444" s="2"/>
      <c r="G444" s="2" t="s">
        <v>21</v>
      </c>
      <c r="H444" s="2">
        <v>31656.21</v>
      </c>
      <c r="I444" s="2"/>
      <c r="J444" s="2">
        <v>31656.21</v>
      </c>
      <c r="K444" s="2">
        <v>23073.65</v>
      </c>
      <c r="L444" s="2" t="s">
        <v>51</v>
      </c>
      <c r="M444" s="2" t="s">
        <v>3844</v>
      </c>
      <c r="N444" s="2" t="s">
        <v>3843</v>
      </c>
    </row>
    <row r="445" spans="1:14" ht="45" x14ac:dyDescent="0.25">
      <c r="A445" s="2" t="s">
        <v>2977</v>
      </c>
      <c r="B445" s="2" t="s">
        <v>4192</v>
      </c>
      <c r="C445" s="4">
        <v>45868</v>
      </c>
      <c r="D445" s="4">
        <v>45898</v>
      </c>
      <c r="E445" s="2" t="s">
        <v>1033</v>
      </c>
      <c r="F445" s="2"/>
      <c r="G445" s="2" t="s">
        <v>21</v>
      </c>
      <c r="H445" s="2">
        <v>13156.74</v>
      </c>
      <c r="I445" s="2"/>
      <c r="J445" s="2">
        <v>13156.74</v>
      </c>
      <c r="K445" s="2">
        <v>9589.7199999999993</v>
      </c>
      <c r="L445" s="2" t="s">
        <v>51</v>
      </c>
      <c r="M445" s="2" t="s">
        <v>3844</v>
      </c>
      <c r="N445" s="2" t="s">
        <v>3843</v>
      </c>
    </row>
    <row r="446" spans="1:14" ht="30" x14ac:dyDescent="0.25">
      <c r="A446" s="2" t="s">
        <v>3030</v>
      </c>
      <c r="B446" s="2" t="s">
        <v>35</v>
      </c>
      <c r="C446" s="4">
        <v>45867</v>
      </c>
      <c r="D446" s="4">
        <v>45897</v>
      </c>
      <c r="E446" s="2" t="s">
        <v>946</v>
      </c>
      <c r="F446" s="2"/>
      <c r="G446" s="2" t="s">
        <v>36</v>
      </c>
      <c r="H446" s="2">
        <v>1079.28</v>
      </c>
      <c r="I446" s="2">
        <v>53.97</v>
      </c>
      <c r="J446" s="2">
        <v>1133.25</v>
      </c>
      <c r="K446" s="2">
        <v>1133.25</v>
      </c>
      <c r="L446" s="2" t="s">
        <v>22</v>
      </c>
      <c r="M446" s="2" t="s">
        <v>3844</v>
      </c>
      <c r="N446" s="2" t="s">
        <v>3843</v>
      </c>
    </row>
    <row r="447" spans="1:14" ht="30" x14ac:dyDescent="0.25">
      <c r="A447" s="2" t="s">
        <v>3036</v>
      </c>
      <c r="B447" s="2" t="s">
        <v>576</v>
      </c>
      <c r="C447" s="4">
        <v>45867</v>
      </c>
      <c r="D447" s="4">
        <v>45897</v>
      </c>
      <c r="E447" s="2" t="s">
        <v>936</v>
      </c>
      <c r="F447" s="2"/>
      <c r="G447" s="2" t="s">
        <v>21</v>
      </c>
      <c r="H447" s="2">
        <v>1389.92</v>
      </c>
      <c r="I447" s="2">
        <v>69.5</v>
      </c>
      <c r="J447" s="2">
        <v>1459.42</v>
      </c>
      <c r="K447" s="2">
        <v>1459.42</v>
      </c>
      <c r="L447" s="2" t="s">
        <v>22</v>
      </c>
      <c r="M447" s="2" t="s">
        <v>3844</v>
      </c>
      <c r="N447" s="2" t="s">
        <v>3843</v>
      </c>
    </row>
    <row r="448" spans="1:14" ht="30" x14ac:dyDescent="0.25">
      <c r="A448" s="2" t="s">
        <v>2919</v>
      </c>
      <c r="B448" s="2" t="s">
        <v>576</v>
      </c>
      <c r="C448" s="4">
        <v>45867</v>
      </c>
      <c r="D448" s="4">
        <v>45897</v>
      </c>
      <c r="E448" s="2" t="s">
        <v>1130</v>
      </c>
      <c r="F448" s="2"/>
      <c r="G448" s="2" t="s">
        <v>1132</v>
      </c>
      <c r="H448" s="2">
        <v>2720.49</v>
      </c>
      <c r="I448" s="2"/>
      <c r="J448" s="2">
        <v>2720.49</v>
      </c>
      <c r="K448" s="2">
        <v>2720.49</v>
      </c>
      <c r="L448" s="2" t="s">
        <v>22</v>
      </c>
      <c r="M448" s="2" t="s">
        <v>3844</v>
      </c>
      <c r="N448" s="2" t="s">
        <v>3843</v>
      </c>
    </row>
    <row r="449" spans="1:14" ht="30" x14ac:dyDescent="0.25">
      <c r="A449" s="2" t="s">
        <v>3011</v>
      </c>
      <c r="B449" s="2" t="s">
        <v>981</v>
      </c>
      <c r="C449" s="4">
        <v>45866</v>
      </c>
      <c r="D449" s="4">
        <v>45896</v>
      </c>
      <c r="E449" s="2" t="s">
        <v>979</v>
      </c>
      <c r="F449" s="2"/>
      <c r="G449" s="2" t="s">
        <v>21</v>
      </c>
      <c r="H449" s="2">
        <v>1363.36</v>
      </c>
      <c r="I449" s="2">
        <v>177.24</v>
      </c>
      <c r="J449" s="2">
        <v>1540.6</v>
      </c>
      <c r="K449" s="2">
        <v>1540.6</v>
      </c>
      <c r="L449" s="2" t="s">
        <v>22</v>
      </c>
      <c r="M449" s="2" t="s">
        <v>3844</v>
      </c>
      <c r="N449" s="2" t="s">
        <v>3843</v>
      </c>
    </row>
    <row r="450" spans="1:14" ht="30" x14ac:dyDescent="0.25">
      <c r="A450" s="2" t="s">
        <v>3000</v>
      </c>
      <c r="B450" s="2" t="s">
        <v>684</v>
      </c>
      <c r="C450" s="4">
        <v>45866</v>
      </c>
      <c r="D450" s="4">
        <v>45926</v>
      </c>
      <c r="E450" s="2" t="s">
        <v>999</v>
      </c>
      <c r="F450" s="2"/>
      <c r="G450" s="2" t="s">
        <v>36</v>
      </c>
      <c r="H450" s="2">
        <v>2202.98</v>
      </c>
      <c r="I450" s="2">
        <v>110.15</v>
      </c>
      <c r="J450" s="2">
        <v>2313.13</v>
      </c>
      <c r="K450" s="2">
        <v>2313.13</v>
      </c>
      <c r="L450" s="2" t="s">
        <v>22</v>
      </c>
      <c r="M450" s="2" t="s">
        <v>3844</v>
      </c>
      <c r="N450" s="2" t="s">
        <v>3843</v>
      </c>
    </row>
    <row r="451" spans="1:14" x14ac:dyDescent="0.25">
      <c r="A451" s="2" t="s">
        <v>3024</v>
      </c>
      <c r="B451" s="2" t="s">
        <v>465</v>
      </c>
      <c r="C451" s="4">
        <v>45866</v>
      </c>
      <c r="D451" s="4">
        <v>45896</v>
      </c>
      <c r="E451" s="2" t="s">
        <v>957</v>
      </c>
      <c r="F451" s="2"/>
      <c r="G451" s="2" t="s">
        <v>21</v>
      </c>
      <c r="H451" s="2">
        <v>2476.7399999999998</v>
      </c>
      <c r="I451" s="2">
        <v>321.98</v>
      </c>
      <c r="J451" s="2">
        <v>2798.72</v>
      </c>
      <c r="K451" s="2">
        <v>2798.72</v>
      </c>
      <c r="L451" s="2" t="s">
        <v>22</v>
      </c>
      <c r="M451" s="2" t="s">
        <v>3844</v>
      </c>
      <c r="N451" s="2" t="s">
        <v>3843</v>
      </c>
    </row>
    <row r="452" spans="1:14" x14ac:dyDescent="0.25">
      <c r="A452" s="2" t="s">
        <v>2972</v>
      </c>
      <c r="B452" s="2" t="s">
        <v>192</v>
      </c>
      <c r="C452" s="4">
        <v>45866</v>
      </c>
      <c r="D452" s="4">
        <v>45896</v>
      </c>
      <c r="E452" s="2" t="s">
        <v>1044</v>
      </c>
      <c r="F452" s="2"/>
      <c r="G452" s="2" t="s">
        <v>21</v>
      </c>
      <c r="H452" s="2">
        <v>11698.26</v>
      </c>
      <c r="I452" s="2"/>
      <c r="J452" s="2">
        <v>11698.26</v>
      </c>
      <c r="K452" s="2">
        <v>8540.11</v>
      </c>
      <c r="L452" s="2" t="s">
        <v>51</v>
      </c>
      <c r="M452" s="2" t="s">
        <v>3844</v>
      </c>
      <c r="N452" s="2" t="s">
        <v>3843</v>
      </c>
    </row>
    <row r="453" spans="1:14" x14ac:dyDescent="0.25">
      <c r="A453" s="2" t="s">
        <v>4167</v>
      </c>
      <c r="B453" s="2" t="s">
        <v>465</v>
      </c>
      <c r="C453" s="2"/>
      <c r="D453" s="4">
        <v>45896</v>
      </c>
      <c r="E453" s="2" t="s">
        <v>957</v>
      </c>
      <c r="F453" s="2"/>
      <c r="G453" s="2" t="s">
        <v>21</v>
      </c>
      <c r="H453" s="2">
        <v>2476.7399999999998</v>
      </c>
      <c r="I453" s="2">
        <v>321.98</v>
      </c>
      <c r="J453" s="2">
        <v>2798.72</v>
      </c>
      <c r="K453" s="2">
        <v>2798.72</v>
      </c>
      <c r="L453" s="2" t="s">
        <v>22</v>
      </c>
      <c r="M453" s="2" t="s">
        <v>3844</v>
      </c>
      <c r="N453" s="2" t="s">
        <v>3978</v>
      </c>
    </row>
    <row r="454" spans="1:14" ht="30" x14ac:dyDescent="0.25">
      <c r="A454" s="2" t="s">
        <v>4167</v>
      </c>
      <c r="B454" s="2" t="s">
        <v>98</v>
      </c>
      <c r="C454" s="2"/>
      <c r="D454" s="4">
        <v>45896</v>
      </c>
      <c r="E454" s="2" t="s">
        <v>1140</v>
      </c>
      <c r="F454" s="2"/>
      <c r="G454" s="2" t="s">
        <v>21</v>
      </c>
      <c r="H454" s="2">
        <v>550.80999999999995</v>
      </c>
      <c r="I454" s="2">
        <v>71.61</v>
      </c>
      <c r="J454" s="2">
        <v>622.41999999999996</v>
      </c>
      <c r="K454" s="2">
        <v>622.41999999999996</v>
      </c>
      <c r="L454" s="2" t="s">
        <v>22</v>
      </c>
      <c r="M454" s="2" t="s">
        <v>3844</v>
      </c>
      <c r="N454" s="2" t="s">
        <v>3978</v>
      </c>
    </row>
    <row r="455" spans="1:14" ht="30" x14ac:dyDescent="0.25">
      <c r="A455" s="2" t="s">
        <v>2890</v>
      </c>
      <c r="B455" s="2" t="s">
        <v>450</v>
      </c>
      <c r="C455" s="4">
        <v>45863</v>
      </c>
      <c r="D455" s="4">
        <v>45893</v>
      </c>
      <c r="E455" s="2" t="s">
        <v>1180</v>
      </c>
      <c r="F455" s="2"/>
      <c r="G455" s="2" t="s">
        <v>40</v>
      </c>
      <c r="H455" s="2">
        <v>5181.7</v>
      </c>
      <c r="I455" s="2">
        <v>673.62</v>
      </c>
      <c r="J455" s="2">
        <v>5855.32</v>
      </c>
      <c r="K455" s="2">
        <v>5855.32</v>
      </c>
      <c r="L455" s="2" t="s">
        <v>22</v>
      </c>
      <c r="M455" s="2" t="s">
        <v>3844</v>
      </c>
      <c r="N455" s="2" t="s">
        <v>3843</v>
      </c>
    </row>
    <row r="456" spans="1:14" ht="30" x14ac:dyDescent="0.25">
      <c r="A456" s="2" t="s">
        <v>2906</v>
      </c>
      <c r="B456" s="2" t="s">
        <v>450</v>
      </c>
      <c r="C456" s="4">
        <v>45863</v>
      </c>
      <c r="D456" s="4">
        <v>45893</v>
      </c>
      <c r="E456" s="2" t="s">
        <v>1153</v>
      </c>
      <c r="F456" s="2"/>
      <c r="G456" s="2" t="s">
        <v>40</v>
      </c>
      <c r="H456" s="2">
        <v>240.76</v>
      </c>
      <c r="I456" s="2">
        <v>31.3</v>
      </c>
      <c r="J456" s="2">
        <v>272.06</v>
      </c>
      <c r="K456" s="2">
        <v>272.06</v>
      </c>
      <c r="L456" s="2" t="s">
        <v>22</v>
      </c>
      <c r="M456" s="2" t="s">
        <v>3844</v>
      </c>
      <c r="N456" s="2" t="s">
        <v>3843</v>
      </c>
    </row>
    <row r="457" spans="1:14" x14ac:dyDescent="0.25">
      <c r="A457" s="2" t="s">
        <v>3016</v>
      </c>
      <c r="B457" s="2" t="s">
        <v>146</v>
      </c>
      <c r="C457" s="4">
        <v>45863</v>
      </c>
      <c r="D457" s="4">
        <v>45893</v>
      </c>
      <c r="E457" s="2" t="s">
        <v>969</v>
      </c>
      <c r="F457" s="2"/>
      <c r="G457" s="2" t="s">
        <v>36</v>
      </c>
      <c r="H457" s="2">
        <v>83.62</v>
      </c>
      <c r="I457" s="2">
        <v>4.18</v>
      </c>
      <c r="J457" s="2">
        <v>87.8</v>
      </c>
      <c r="K457" s="2">
        <v>87.8</v>
      </c>
      <c r="L457" s="2" t="s">
        <v>22</v>
      </c>
      <c r="M457" s="2" t="s">
        <v>3844</v>
      </c>
      <c r="N457" s="2" t="s">
        <v>3843</v>
      </c>
    </row>
    <row r="458" spans="1:14" x14ac:dyDescent="0.25">
      <c r="A458" s="2" t="s">
        <v>3019</v>
      </c>
      <c r="B458" s="2" t="s">
        <v>146</v>
      </c>
      <c r="C458" s="4">
        <v>45863</v>
      </c>
      <c r="D458" s="4">
        <v>45893</v>
      </c>
      <c r="E458" s="2" t="s">
        <v>965</v>
      </c>
      <c r="F458" s="2"/>
      <c r="G458" s="2" t="s">
        <v>40</v>
      </c>
      <c r="H458" s="2">
        <v>315.32</v>
      </c>
      <c r="I458" s="2">
        <v>15.76</v>
      </c>
      <c r="J458" s="2">
        <v>331.08</v>
      </c>
      <c r="K458" s="2">
        <v>331.08</v>
      </c>
      <c r="L458" s="2" t="s">
        <v>22</v>
      </c>
      <c r="M458" s="2" t="s">
        <v>3844</v>
      </c>
      <c r="N458" s="2" t="s">
        <v>3843</v>
      </c>
    </row>
    <row r="459" spans="1:14" x14ac:dyDescent="0.25">
      <c r="A459" s="2" t="s">
        <v>3017</v>
      </c>
      <c r="B459" s="2" t="s">
        <v>146</v>
      </c>
      <c r="C459" s="4">
        <v>45863</v>
      </c>
      <c r="D459" s="4">
        <v>45893</v>
      </c>
      <c r="E459" s="2" t="s">
        <v>967</v>
      </c>
      <c r="F459" s="2"/>
      <c r="G459" s="2" t="s">
        <v>40</v>
      </c>
      <c r="H459" s="2">
        <v>102.81</v>
      </c>
      <c r="I459" s="2">
        <v>5.14</v>
      </c>
      <c r="J459" s="2">
        <v>107.95</v>
      </c>
      <c r="K459" s="2">
        <v>107.95</v>
      </c>
      <c r="L459" s="2" t="s">
        <v>22</v>
      </c>
      <c r="M459" s="2" t="s">
        <v>3844</v>
      </c>
      <c r="N459" s="2" t="s">
        <v>3843</v>
      </c>
    </row>
    <row r="460" spans="1:14" ht="60" x14ac:dyDescent="0.25">
      <c r="A460" s="2" t="s">
        <v>2976</v>
      </c>
      <c r="B460" s="2" t="s">
        <v>4095</v>
      </c>
      <c r="C460" s="4">
        <v>45863</v>
      </c>
      <c r="D460" s="4">
        <v>45893</v>
      </c>
      <c r="E460" s="2" t="s">
        <v>1035</v>
      </c>
      <c r="F460" s="2"/>
      <c r="G460" s="2" t="s">
        <v>180</v>
      </c>
      <c r="H460" s="2">
        <v>14859.79</v>
      </c>
      <c r="I460" s="2"/>
      <c r="J460" s="2">
        <v>14859.79</v>
      </c>
      <c r="K460" s="2">
        <v>10918.16</v>
      </c>
      <c r="L460" s="2" t="s">
        <v>51</v>
      </c>
      <c r="M460" s="2" t="s">
        <v>3844</v>
      </c>
      <c r="N460" s="2" t="s">
        <v>3843</v>
      </c>
    </row>
    <row r="461" spans="1:14" ht="30" x14ac:dyDescent="0.25">
      <c r="A461" s="2" t="s">
        <v>3010</v>
      </c>
      <c r="B461" s="2" t="s">
        <v>4171</v>
      </c>
      <c r="C461" s="4">
        <v>45862</v>
      </c>
      <c r="D461" s="4">
        <v>45862</v>
      </c>
      <c r="E461" s="2" t="s">
        <v>982</v>
      </c>
      <c r="F461" s="2"/>
      <c r="G461" s="2" t="s">
        <v>180</v>
      </c>
      <c r="H461" s="2">
        <v>2701.41</v>
      </c>
      <c r="I461" s="2"/>
      <c r="J461" s="2">
        <v>2701.41</v>
      </c>
      <c r="K461" s="2">
        <v>1984.85</v>
      </c>
      <c r="L461" s="2" t="s">
        <v>51</v>
      </c>
      <c r="M461" s="2" t="s">
        <v>3844</v>
      </c>
      <c r="N461" s="2" t="s">
        <v>3843</v>
      </c>
    </row>
    <row r="462" spans="1:14" ht="30" x14ac:dyDescent="0.25">
      <c r="A462" s="2" t="s">
        <v>2522</v>
      </c>
      <c r="B462" s="2" t="s">
        <v>4080</v>
      </c>
      <c r="C462" s="4">
        <v>45862</v>
      </c>
      <c r="D462" s="4">
        <v>45892</v>
      </c>
      <c r="E462" s="2" t="s">
        <v>1829</v>
      </c>
      <c r="F462" s="2"/>
      <c r="G462" s="2" t="s">
        <v>21</v>
      </c>
      <c r="H462" s="2">
        <v>57971.12</v>
      </c>
      <c r="I462" s="2"/>
      <c r="J462" s="2">
        <v>57971.12</v>
      </c>
      <c r="K462" s="2">
        <v>42594</v>
      </c>
      <c r="L462" s="2" t="s">
        <v>51</v>
      </c>
      <c r="M462" s="2" t="s">
        <v>3844</v>
      </c>
      <c r="N462" s="2" t="s">
        <v>3843</v>
      </c>
    </row>
    <row r="463" spans="1:14" ht="30" x14ac:dyDescent="0.25">
      <c r="A463" s="2" t="s">
        <v>3014</v>
      </c>
      <c r="B463" s="2" t="s">
        <v>4171</v>
      </c>
      <c r="C463" s="4">
        <v>45861</v>
      </c>
      <c r="D463" s="4">
        <v>45891</v>
      </c>
      <c r="E463" s="2" t="s">
        <v>973</v>
      </c>
      <c r="F463" s="2"/>
      <c r="G463" s="2" t="s">
        <v>180</v>
      </c>
      <c r="H463" s="2">
        <v>9803.7199999999993</v>
      </c>
      <c r="I463" s="2">
        <v>1274.49</v>
      </c>
      <c r="J463" s="2">
        <v>11078.21</v>
      </c>
      <c r="K463" s="2">
        <v>11078.21</v>
      </c>
      <c r="L463" s="2" t="s">
        <v>22</v>
      </c>
      <c r="M463" s="2" t="s">
        <v>3844</v>
      </c>
      <c r="N463" s="2" t="s">
        <v>3843</v>
      </c>
    </row>
    <row r="464" spans="1:14" x14ac:dyDescent="0.25">
      <c r="A464" s="2" t="s">
        <v>3013</v>
      </c>
      <c r="B464" s="2" t="s">
        <v>146</v>
      </c>
      <c r="C464" s="4">
        <v>45861</v>
      </c>
      <c r="D464" s="4">
        <v>45891</v>
      </c>
      <c r="E464" s="2" t="s">
        <v>975</v>
      </c>
      <c r="F464" s="2"/>
      <c r="G464" s="2" t="s">
        <v>40</v>
      </c>
      <c r="H464" s="2">
        <v>810.36</v>
      </c>
      <c r="I464" s="2">
        <v>40.520000000000003</v>
      </c>
      <c r="J464" s="2">
        <v>850.88</v>
      </c>
      <c r="K464" s="2">
        <v>850.88</v>
      </c>
      <c r="L464" s="2" t="s">
        <v>22</v>
      </c>
      <c r="M464" s="2" t="s">
        <v>3844</v>
      </c>
      <c r="N464" s="2" t="s">
        <v>3843</v>
      </c>
    </row>
    <row r="465" spans="1:14" x14ac:dyDescent="0.25">
      <c r="A465" s="2" t="s">
        <v>2862</v>
      </c>
      <c r="B465" s="2" t="s">
        <v>146</v>
      </c>
      <c r="C465" s="4">
        <v>45861</v>
      </c>
      <c r="D465" s="4">
        <v>45891</v>
      </c>
      <c r="E465" s="2" t="s">
        <v>1227</v>
      </c>
      <c r="F465" s="2"/>
      <c r="G465" s="2" t="s">
        <v>21</v>
      </c>
      <c r="H465" s="2">
        <v>4996.2700000000004</v>
      </c>
      <c r="I465" s="2">
        <v>249.82</v>
      </c>
      <c r="J465" s="2">
        <v>5246.09</v>
      </c>
      <c r="K465" s="2">
        <v>5246.09</v>
      </c>
      <c r="L465" s="2" t="s">
        <v>22</v>
      </c>
      <c r="M465" s="2" t="s">
        <v>3844</v>
      </c>
      <c r="N465" s="2" t="s">
        <v>3843</v>
      </c>
    </row>
    <row r="466" spans="1:14" x14ac:dyDescent="0.25">
      <c r="A466" s="2" t="s">
        <v>2997</v>
      </c>
      <c r="B466" s="2" t="s">
        <v>146</v>
      </c>
      <c r="C466" s="4">
        <v>45861</v>
      </c>
      <c r="D466" s="4">
        <v>45891</v>
      </c>
      <c r="E466" s="2" t="s">
        <v>1003</v>
      </c>
      <c r="F466" s="2"/>
      <c r="G466" s="2" t="s">
        <v>21</v>
      </c>
      <c r="H466" s="2">
        <v>1210.56</v>
      </c>
      <c r="I466" s="2">
        <v>60.54</v>
      </c>
      <c r="J466" s="2">
        <v>1271.0999999999999</v>
      </c>
      <c r="K466" s="2">
        <v>1271.0999999999999</v>
      </c>
      <c r="L466" s="2" t="s">
        <v>22</v>
      </c>
      <c r="M466" s="2" t="s">
        <v>3844</v>
      </c>
      <c r="N466" s="2" t="s">
        <v>3843</v>
      </c>
    </row>
    <row r="467" spans="1:14" ht="30" x14ac:dyDescent="0.25">
      <c r="A467" s="2" t="s">
        <v>2625</v>
      </c>
      <c r="B467" s="2" t="s">
        <v>4166</v>
      </c>
      <c r="C467" s="4">
        <v>45861</v>
      </c>
      <c r="D467" s="4">
        <v>45861</v>
      </c>
      <c r="E467" s="2" t="s">
        <v>1650</v>
      </c>
      <c r="F467" s="2"/>
      <c r="G467" s="2" t="s">
        <v>21</v>
      </c>
      <c r="H467" s="2">
        <v>11001.76</v>
      </c>
      <c r="I467" s="2"/>
      <c r="J467" s="2">
        <v>11001.76</v>
      </c>
      <c r="K467" s="2">
        <v>8036.64</v>
      </c>
      <c r="L467" s="2" t="s">
        <v>51</v>
      </c>
      <c r="M467" s="2" t="s">
        <v>3844</v>
      </c>
      <c r="N467" s="2" t="s">
        <v>3843</v>
      </c>
    </row>
    <row r="468" spans="1:14" x14ac:dyDescent="0.25">
      <c r="A468" s="2" t="s">
        <v>2574</v>
      </c>
      <c r="B468" s="2" t="s">
        <v>4172</v>
      </c>
      <c r="C468" s="4">
        <v>45861</v>
      </c>
      <c r="D468" s="4">
        <v>45861</v>
      </c>
      <c r="E468" s="2" t="s">
        <v>1740</v>
      </c>
      <c r="F468" s="2"/>
      <c r="G468" s="2" t="s">
        <v>180</v>
      </c>
      <c r="H468" s="2">
        <v>1940.83</v>
      </c>
      <c r="I468" s="2"/>
      <c r="J468" s="2">
        <v>1940.83</v>
      </c>
      <c r="K468" s="2">
        <v>1417.75</v>
      </c>
      <c r="L468" s="2" t="s">
        <v>51</v>
      </c>
      <c r="M468" s="2" t="s">
        <v>3844</v>
      </c>
      <c r="N468" s="2" t="s">
        <v>3843</v>
      </c>
    </row>
    <row r="469" spans="1:14" x14ac:dyDescent="0.25">
      <c r="A469" s="2" t="s">
        <v>2690</v>
      </c>
      <c r="B469" s="2" t="s">
        <v>4172</v>
      </c>
      <c r="C469" s="4">
        <v>45861</v>
      </c>
      <c r="D469" s="4">
        <v>45861</v>
      </c>
      <c r="E469" s="2" t="s">
        <v>1542</v>
      </c>
      <c r="F469" s="2"/>
      <c r="G469" s="2" t="s">
        <v>180</v>
      </c>
      <c r="H469" s="2">
        <v>21807.39</v>
      </c>
      <c r="I469" s="2"/>
      <c r="J469" s="2">
        <v>21807.39</v>
      </c>
      <c r="K469" s="2">
        <v>15930</v>
      </c>
      <c r="L469" s="2" t="s">
        <v>51</v>
      </c>
      <c r="M469" s="2" t="s">
        <v>3844</v>
      </c>
      <c r="N469" s="2" t="s">
        <v>3843</v>
      </c>
    </row>
    <row r="470" spans="1:14" ht="30" x14ac:dyDescent="0.25">
      <c r="A470" s="2" t="s">
        <v>2807</v>
      </c>
      <c r="B470" s="2" t="s">
        <v>3934</v>
      </c>
      <c r="C470" s="4">
        <v>45860</v>
      </c>
      <c r="D470" s="4">
        <v>45890</v>
      </c>
      <c r="E470" s="2" t="s">
        <v>1327</v>
      </c>
      <c r="F470" s="2"/>
      <c r="G470" s="2" t="s">
        <v>21</v>
      </c>
      <c r="H470" s="2">
        <v>2494.36</v>
      </c>
      <c r="I470" s="2">
        <v>124.72</v>
      </c>
      <c r="J470" s="2">
        <v>2619.08</v>
      </c>
      <c r="K470" s="2">
        <v>2619.08</v>
      </c>
      <c r="L470" s="2" t="s">
        <v>22</v>
      </c>
      <c r="M470" s="2" t="s">
        <v>3844</v>
      </c>
      <c r="N470" s="2" t="s">
        <v>3843</v>
      </c>
    </row>
    <row r="471" spans="1:14" x14ac:dyDescent="0.25">
      <c r="A471" s="2" t="s">
        <v>3007</v>
      </c>
      <c r="B471" s="2" t="s">
        <v>54</v>
      </c>
      <c r="C471" s="4">
        <v>45860</v>
      </c>
      <c r="D471" s="4">
        <v>45890</v>
      </c>
      <c r="E471" s="2" t="s">
        <v>989</v>
      </c>
      <c r="F471" s="2"/>
      <c r="G471" s="2" t="s">
        <v>21</v>
      </c>
      <c r="H471" s="2">
        <v>1557.64</v>
      </c>
      <c r="I471" s="2">
        <v>77.88</v>
      </c>
      <c r="J471" s="2">
        <v>1635.52</v>
      </c>
      <c r="K471" s="2">
        <v>1635.52</v>
      </c>
      <c r="L471" s="2" t="s">
        <v>22</v>
      </c>
      <c r="M471" s="2" t="s">
        <v>3844</v>
      </c>
      <c r="N471" s="2" t="s">
        <v>3843</v>
      </c>
    </row>
    <row r="472" spans="1:14" x14ac:dyDescent="0.25">
      <c r="A472" s="2" t="s">
        <v>3499</v>
      </c>
      <c r="B472" s="2" t="s">
        <v>54</v>
      </c>
      <c r="C472" s="4">
        <v>45860</v>
      </c>
      <c r="D472" s="4">
        <v>45890</v>
      </c>
      <c r="E472" s="2" t="s">
        <v>4199</v>
      </c>
      <c r="F472" s="2"/>
      <c r="G472" s="2" t="s">
        <v>21</v>
      </c>
      <c r="H472" s="2">
        <v>1457.95</v>
      </c>
      <c r="I472" s="2">
        <v>72.89</v>
      </c>
      <c r="J472" s="2">
        <v>1530.84</v>
      </c>
      <c r="K472" s="2">
        <v>1530.84</v>
      </c>
      <c r="L472" s="2" t="s">
        <v>22</v>
      </c>
      <c r="M472" s="2" t="s">
        <v>3844</v>
      </c>
      <c r="N472" s="2" t="s">
        <v>3843</v>
      </c>
    </row>
    <row r="473" spans="1:14" ht="30" x14ac:dyDescent="0.25">
      <c r="A473" s="2" t="s">
        <v>3001</v>
      </c>
      <c r="B473" s="2" t="s">
        <v>684</v>
      </c>
      <c r="C473" s="4">
        <v>45860</v>
      </c>
      <c r="D473" s="4">
        <v>45920</v>
      </c>
      <c r="E473" s="2" t="s">
        <v>999</v>
      </c>
      <c r="F473" s="2"/>
      <c r="G473" s="2" t="s">
        <v>36</v>
      </c>
      <c r="H473" s="2">
        <v>1566.52</v>
      </c>
      <c r="I473" s="2">
        <v>78.33</v>
      </c>
      <c r="J473" s="2">
        <v>1644.85</v>
      </c>
      <c r="K473" s="2">
        <v>1644.85</v>
      </c>
      <c r="L473" s="2" t="s">
        <v>22</v>
      </c>
      <c r="M473" s="2" t="s">
        <v>3844</v>
      </c>
      <c r="N473" s="2" t="s">
        <v>3843</v>
      </c>
    </row>
    <row r="474" spans="1:14" ht="30" x14ac:dyDescent="0.25">
      <c r="A474" s="2" t="s">
        <v>2985</v>
      </c>
      <c r="B474" s="2" t="s">
        <v>80</v>
      </c>
      <c r="C474" s="4">
        <v>45860</v>
      </c>
      <c r="D474" s="4">
        <v>45920</v>
      </c>
      <c r="E474" s="2" t="s">
        <v>1021</v>
      </c>
      <c r="F474" s="2"/>
      <c r="G474" s="2" t="s">
        <v>36</v>
      </c>
      <c r="H474" s="2">
        <v>1018.48</v>
      </c>
      <c r="I474" s="2">
        <v>50.92</v>
      </c>
      <c r="J474" s="2">
        <v>1069.4000000000001</v>
      </c>
      <c r="K474" s="2">
        <v>1069.4000000000001</v>
      </c>
      <c r="L474" s="2" t="s">
        <v>22</v>
      </c>
      <c r="M474" s="2" t="s">
        <v>3844</v>
      </c>
      <c r="N474" s="2" t="s">
        <v>3843</v>
      </c>
    </row>
    <row r="475" spans="1:14" x14ac:dyDescent="0.25">
      <c r="A475" s="2" t="s">
        <v>2999</v>
      </c>
      <c r="B475" s="2" t="s">
        <v>77</v>
      </c>
      <c r="C475" s="4">
        <v>45860</v>
      </c>
      <c r="D475" s="4">
        <v>45890</v>
      </c>
      <c r="E475" s="2" t="s">
        <v>1001</v>
      </c>
      <c r="F475" s="2"/>
      <c r="G475" s="2" t="s">
        <v>21</v>
      </c>
      <c r="H475" s="2">
        <v>180.64</v>
      </c>
      <c r="I475" s="2">
        <v>9.0299999999999994</v>
      </c>
      <c r="J475" s="2">
        <v>189.67</v>
      </c>
      <c r="K475" s="2">
        <v>189.67</v>
      </c>
      <c r="L475" s="2" t="s">
        <v>22</v>
      </c>
      <c r="M475" s="2" t="s">
        <v>3844</v>
      </c>
      <c r="N475" s="2" t="s">
        <v>3843</v>
      </c>
    </row>
    <row r="476" spans="1:14" x14ac:dyDescent="0.25">
      <c r="A476" s="2" t="s">
        <v>2529</v>
      </c>
      <c r="B476" s="2" t="s">
        <v>581</v>
      </c>
      <c r="C476" s="4">
        <v>45860</v>
      </c>
      <c r="D476" s="4">
        <v>45890</v>
      </c>
      <c r="E476" s="2" t="s">
        <v>1817</v>
      </c>
      <c r="F476" s="2"/>
      <c r="G476" s="2" t="s">
        <v>21</v>
      </c>
      <c r="H476" s="2">
        <v>15372.14</v>
      </c>
      <c r="I476" s="2"/>
      <c r="J476" s="2">
        <v>15372.14</v>
      </c>
      <c r="K476" s="2">
        <v>11200.18</v>
      </c>
      <c r="L476" s="2" t="s">
        <v>51</v>
      </c>
      <c r="M476" s="2" t="s">
        <v>3844</v>
      </c>
      <c r="N476" s="2" t="s">
        <v>3843</v>
      </c>
    </row>
    <row r="477" spans="1:14" ht="30" x14ac:dyDescent="0.25">
      <c r="A477" s="2" t="s">
        <v>2725</v>
      </c>
      <c r="B477" s="2" t="s">
        <v>129</v>
      </c>
      <c r="C477" s="4">
        <v>45860</v>
      </c>
      <c r="D477" s="4">
        <v>45890</v>
      </c>
      <c r="E477" s="2" t="s">
        <v>1479</v>
      </c>
      <c r="F477" s="2"/>
      <c r="G477" s="2" t="s">
        <v>130</v>
      </c>
      <c r="H477" s="2">
        <v>3335.15</v>
      </c>
      <c r="I477" s="2"/>
      <c r="J477" s="2">
        <v>3335.15</v>
      </c>
      <c r="K477" s="2">
        <v>2430</v>
      </c>
      <c r="L477" s="2" t="s">
        <v>51</v>
      </c>
      <c r="M477" s="2" t="s">
        <v>3844</v>
      </c>
      <c r="N477" s="2" t="s">
        <v>3843</v>
      </c>
    </row>
    <row r="478" spans="1:14" ht="30" x14ac:dyDescent="0.25">
      <c r="A478" s="2" t="s">
        <v>2767</v>
      </c>
      <c r="B478" s="2" t="s">
        <v>129</v>
      </c>
      <c r="C478" s="4">
        <v>45860</v>
      </c>
      <c r="D478" s="4">
        <v>45890</v>
      </c>
      <c r="E478" s="2" t="s">
        <v>1399</v>
      </c>
      <c r="F478" s="2"/>
      <c r="G478" s="2" t="s">
        <v>130</v>
      </c>
      <c r="H478" s="2">
        <v>658.8</v>
      </c>
      <c r="I478" s="2"/>
      <c r="J478" s="2">
        <v>658.8</v>
      </c>
      <c r="K478" s="2">
        <v>480</v>
      </c>
      <c r="L478" s="2" t="s">
        <v>51</v>
      </c>
      <c r="M478" s="2" t="s">
        <v>3844</v>
      </c>
      <c r="N478" s="2" t="s">
        <v>3843</v>
      </c>
    </row>
    <row r="479" spans="1:14" ht="30" x14ac:dyDescent="0.25">
      <c r="A479" s="2" t="s">
        <v>2644</v>
      </c>
      <c r="B479" s="2" t="s">
        <v>129</v>
      </c>
      <c r="C479" s="4">
        <v>45860</v>
      </c>
      <c r="D479" s="4">
        <v>45890</v>
      </c>
      <c r="E479" s="2" t="s">
        <v>1623</v>
      </c>
      <c r="F479" s="2"/>
      <c r="G479" s="2" t="s">
        <v>130</v>
      </c>
      <c r="H479" s="2">
        <v>7123.23</v>
      </c>
      <c r="I479" s="2"/>
      <c r="J479" s="2">
        <v>7123.23</v>
      </c>
      <c r="K479" s="2">
        <v>5190</v>
      </c>
      <c r="L479" s="2" t="s">
        <v>51</v>
      </c>
      <c r="M479" s="2" t="s">
        <v>3844</v>
      </c>
      <c r="N479" s="2" t="s">
        <v>3843</v>
      </c>
    </row>
    <row r="480" spans="1:14" x14ac:dyDescent="0.25">
      <c r="A480" s="2" t="s">
        <v>2909</v>
      </c>
      <c r="B480" s="2" t="s">
        <v>141</v>
      </c>
      <c r="C480" s="4">
        <v>45860</v>
      </c>
      <c r="D480" s="4">
        <v>45905</v>
      </c>
      <c r="E480" s="2" t="s">
        <v>1149</v>
      </c>
      <c r="F480" s="2"/>
      <c r="G480" s="2" t="s">
        <v>40</v>
      </c>
      <c r="H480" s="2">
        <v>932.88</v>
      </c>
      <c r="I480" s="2"/>
      <c r="J480" s="2">
        <v>932.88</v>
      </c>
      <c r="K480" s="2">
        <v>679.7</v>
      </c>
      <c r="L480" s="2" t="s">
        <v>51</v>
      </c>
      <c r="M480" s="2" t="s">
        <v>3844</v>
      </c>
      <c r="N480" s="2" t="s">
        <v>3843</v>
      </c>
    </row>
    <row r="481" spans="1:14" x14ac:dyDescent="0.25">
      <c r="A481" s="2" t="s">
        <v>3491</v>
      </c>
      <c r="B481" s="2" t="s">
        <v>3442</v>
      </c>
      <c r="C481" s="4">
        <v>45860</v>
      </c>
      <c r="D481" s="4">
        <v>45905</v>
      </c>
      <c r="E481" s="2" t="s">
        <v>4198</v>
      </c>
      <c r="F481" s="2"/>
      <c r="G481" s="2" t="s">
        <v>426</v>
      </c>
      <c r="H481" s="2">
        <v>144525.98000000001</v>
      </c>
      <c r="I481" s="2"/>
      <c r="J481" s="2">
        <v>144525.98000000001</v>
      </c>
      <c r="K481" s="2">
        <v>105302</v>
      </c>
      <c r="L481" s="2" t="s">
        <v>51</v>
      </c>
      <c r="M481" s="2" t="s">
        <v>3844</v>
      </c>
      <c r="N481" s="2" t="s">
        <v>3978</v>
      </c>
    </row>
    <row r="482" spans="1:14" ht="30" x14ac:dyDescent="0.25">
      <c r="A482" s="2" t="s">
        <v>2953</v>
      </c>
      <c r="B482" s="2" t="s">
        <v>104</v>
      </c>
      <c r="C482" s="4">
        <v>45859</v>
      </c>
      <c r="D482" s="4">
        <v>45889</v>
      </c>
      <c r="E482" s="2" t="s">
        <v>1077</v>
      </c>
      <c r="F482" s="2"/>
      <c r="G482" s="2" t="s">
        <v>21</v>
      </c>
      <c r="H482" s="2">
        <v>60</v>
      </c>
      <c r="I482" s="2">
        <v>3</v>
      </c>
      <c r="J482" s="2">
        <v>63</v>
      </c>
      <c r="K482" s="2">
        <v>63</v>
      </c>
      <c r="L482" s="2" t="s">
        <v>22</v>
      </c>
      <c r="M482" s="2" t="s">
        <v>3844</v>
      </c>
      <c r="N482" s="2" t="s">
        <v>3843</v>
      </c>
    </row>
    <row r="483" spans="1:14" x14ac:dyDescent="0.25">
      <c r="A483" s="2" t="s">
        <v>2988</v>
      </c>
      <c r="B483" s="2" t="s">
        <v>54</v>
      </c>
      <c r="C483" s="4">
        <v>45859</v>
      </c>
      <c r="D483" s="4">
        <v>45889</v>
      </c>
      <c r="E483" s="2" t="s">
        <v>1015</v>
      </c>
      <c r="F483" s="2"/>
      <c r="G483" s="2" t="s">
        <v>21</v>
      </c>
      <c r="H483" s="2">
        <v>1299.76</v>
      </c>
      <c r="I483" s="2">
        <v>64.989999999999995</v>
      </c>
      <c r="J483" s="2">
        <v>1364.75</v>
      </c>
      <c r="K483" s="2">
        <v>1364.75</v>
      </c>
      <c r="L483" s="2" t="s">
        <v>22</v>
      </c>
      <c r="M483" s="2" t="s">
        <v>3844</v>
      </c>
      <c r="N483" s="2" t="s">
        <v>3843</v>
      </c>
    </row>
    <row r="484" spans="1:14" x14ac:dyDescent="0.25">
      <c r="A484" s="2" t="s">
        <v>3002</v>
      </c>
      <c r="B484" s="2" t="s">
        <v>64</v>
      </c>
      <c r="C484" s="4">
        <v>45859</v>
      </c>
      <c r="D484" s="4">
        <v>45889</v>
      </c>
      <c r="E484" s="2" t="s">
        <v>997</v>
      </c>
      <c r="F484" s="2"/>
      <c r="G484" s="2" t="s">
        <v>21</v>
      </c>
      <c r="H484" s="2">
        <v>1573.14</v>
      </c>
      <c r="I484" s="2">
        <v>204.51</v>
      </c>
      <c r="J484" s="2">
        <v>1777.65</v>
      </c>
      <c r="K484" s="2">
        <v>1777.65</v>
      </c>
      <c r="L484" s="2" t="s">
        <v>22</v>
      </c>
      <c r="M484" s="2" t="s">
        <v>3844</v>
      </c>
      <c r="N484" s="2" t="s">
        <v>3843</v>
      </c>
    </row>
    <row r="485" spans="1:14" x14ac:dyDescent="0.25">
      <c r="A485" s="2" t="s">
        <v>4197</v>
      </c>
      <c r="B485" s="2" t="s">
        <v>3493</v>
      </c>
      <c r="C485" s="4">
        <v>45856</v>
      </c>
      <c r="D485" s="4">
        <v>45946</v>
      </c>
      <c r="E485" s="2" t="s">
        <v>4179</v>
      </c>
      <c r="F485" s="2"/>
      <c r="G485" s="2" t="s">
        <v>4178</v>
      </c>
      <c r="H485" s="2">
        <v>-46168.24</v>
      </c>
      <c r="I485" s="2"/>
      <c r="J485" s="2">
        <v>-46168.24</v>
      </c>
      <c r="K485" s="2">
        <v>-33578.129999999997</v>
      </c>
      <c r="L485" s="2" t="s">
        <v>51</v>
      </c>
      <c r="M485" s="2" t="s">
        <v>3844</v>
      </c>
      <c r="N485" s="2" t="s">
        <v>3978</v>
      </c>
    </row>
    <row r="486" spans="1:14" x14ac:dyDescent="0.25">
      <c r="A486" s="2" t="s">
        <v>2984</v>
      </c>
      <c r="B486" s="2" t="s">
        <v>556</v>
      </c>
      <c r="C486" s="4">
        <v>45856</v>
      </c>
      <c r="D486" s="4">
        <v>45886</v>
      </c>
      <c r="E486" s="2" t="s">
        <v>1023</v>
      </c>
      <c r="F486" s="2"/>
      <c r="G486" s="2" t="s">
        <v>36</v>
      </c>
      <c r="H486" s="2">
        <v>114.56</v>
      </c>
      <c r="I486" s="2">
        <v>14.89</v>
      </c>
      <c r="J486" s="2">
        <v>129.44999999999999</v>
      </c>
      <c r="K486" s="2">
        <v>129.44999999999999</v>
      </c>
      <c r="L486" s="2" t="s">
        <v>22</v>
      </c>
      <c r="M486" s="2" t="s">
        <v>3844</v>
      </c>
      <c r="N486" s="2" t="s">
        <v>3843</v>
      </c>
    </row>
    <row r="487" spans="1:14" ht="30" x14ac:dyDescent="0.25">
      <c r="A487" s="2" t="s">
        <v>2842</v>
      </c>
      <c r="B487" s="2" t="s">
        <v>39</v>
      </c>
      <c r="C487" s="4">
        <v>45856</v>
      </c>
      <c r="D487" s="4">
        <v>45856</v>
      </c>
      <c r="E487" s="2" t="s">
        <v>1262</v>
      </c>
      <c r="F487" s="2"/>
      <c r="G487" s="2" t="s">
        <v>21</v>
      </c>
      <c r="H487" s="2">
        <v>903.64</v>
      </c>
      <c r="I487" s="2">
        <v>45.18</v>
      </c>
      <c r="J487" s="2">
        <v>948.82</v>
      </c>
      <c r="K487" s="2">
        <v>948.82</v>
      </c>
      <c r="L487" s="2" t="s">
        <v>22</v>
      </c>
      <c r="M487" s="2" t="s">
        <v>3844</v>
      </c>
      <c r="N487" s="2" t="s">
        <v>3843</v>
      </c>
    </row>
    <row r="488" spans="1:14" x14ac:dyDescent="0.25">
      <c r="A488" s="2" t="s">
        <v>2992</v>
      </c>
      <c r="B488" s="2" t="s">
        <v>77</v>
      </c>
      <c r="C488" s="4">
        <v>45856</v>
      </c>
      <c r="D488" s="4">
        <v>45886</v>
      </c>
      <c r="E488" s="2" t="s">
        <v>1009</v>
      </c>
      <c r="F488" s="2"/>
      <c r="G488" s="2" t="s">
        <v>40</v>
      </c>
      <c r="H488" s="2">
        <v>452.68</v>
      </c>
      <c r="I488" s="2">
        <v>22.63</v>
      </c>
      <c r="J488" s="2">
        <v>475.31</v>
      </c>
      <c r="K488" s="2">
        <v>475.31</v>
      </c>
      <c r="L488" s="2" t="s">
        <v>22</v>
      </c>
      <c r="M488" s="2" t="s">
        <v>3844</v>
      </c>
      <c r="N488" s="2" t="s">
        <v>3843</v>
      </c>
    </row>
    <row r="489" spans="1:14" x14ac:dyDescent="0.25">
      <c r="A489" s="2" t="s">
        <v>3504</v>
      </c>
      <c r="B489" s="2" t="s">
        <v>3493</v>
      </c>
      <c r="C489" s="4">
        <v>45856</v>
      </c>
      <c r="D489" s="4">
        <v>45946</v>
      </c>
      <c r="E489" s="2" t="s">
        <v>4179</v>
      </c>
      <c r="F489" s="2"/>
      <c r="G489" s="2" t="s">
        <v>4178</v>
      </c>
      <c r="H489" s="2">
        <v>14412.13</v>
      </c>
      <c r="I489" s="2"/>
      <c r="J489" s="2">
        <v>14412.13</v>
      </c>
      <c r="K489" s="2">
        <v>10509.3</v>
      </c>
      <c r="L489" s="2" t="s">
        <v>51</v>
      </c>
      <c r="M489" s="2" t="s">
        <v>3844</v>
      </c>
      <c r="N489" s="2" t="s">
        <v>3843</v>
      </c>
    </row>
    <row r="490" spans="1:14" ht="60" x14ac:dyDescent="0.25">
      <c r="A490" s="2" t="s">
        <v>2920</v>
      </c>
      <c r="B490" s="2" t="s">
        <v>4095</v>
      </c>
      <c r="C490" s="4">
        <v>45856</v>
      </c>
      <c r="D490" s="4">
        <v>45886</v>
      </c>
      <c r="E490" s="2" t="s">
        <v>1128</v>
      </c>
      <c r="F490" s="2"/>
      <c r="G490" s="2" t="s">
        <v>180</v>
      </c>
      <c r="H490" s="2">
        <v>18616.82</v>
      </c>
      <c r="I490" s="2"/>
      <c r="J490" s="2">
        <v>18616.82</v>
      </c>
      <c r="K490" s="2">
        <v>13540</v>
      </c>
      <c r="L490" s="2" t="s">
        <v>51</v>
      </c>
      <c r="M490" s="2" t="s">
        <v>3844</v>
      </c>
      <c r="N490" s="2" t="s">
        <v>3843</v>
      </c>
    </row>
    <row r="491" spans="1:14" ht="30" x14ac:dyDescent="0.25">
      <c r="A491" s="2" t="s">
        <v>2489</v>
      </c>
      <c r="B491" s="2" t="s">
        <v>4196</v>
      </c>
      <c r="C491" s="4">
        <v>45855</v>
      </c>
      <c r="D491" s="4">
        <v>45885</v>
      </c>
      <c r="E491" s="2" t="s">
        <v>1882</v>
      </c>
      <c r="F491" s="2"/>
      <c r="G491" s="2" t="s">
        <v>21</v>
      </c>
      <c r="H491" s="2">
        <v>3969.02</v>
      </c>
      <c r="I491" s="2">
        <v>198.45</v>
      </c>
      <c r="J491" s="2">
        <v>4167.47</v>
      </c>
      <c r="K491" s="2">
        <v>4167.47</v>
      </c>
      <c r="L491" s="2" t="s">
        <v>22</v>
      </c>
      <c r="M491" s="2" t="s">
        <v>3844</v>
      </c>
      <c r="N491" s="2" t="s">
        <v>3843</v>
      </c>
    </row>
    <row r="492" spans="1:14" ht="30" x14ac:dyDescent="0.25">
      <c r="A492" s="2" t="s">
        <v>2557</v>
      </c>
      <c r="B492" s="2" t="s">
        <v>4196</v>
      </c>
      <c r="C492" s="4">
        <v>45855</v>
      </c>
      <c r="D492" s="4">
        <v>45885</v>
      </c>
      <c r="E492" s="2" t="s">
        <v>1767</v>
      </c>
      <c r="F492" s="2"/>
      <c r="G492" s="2" t="s">
        <v>21</v>
      </c>
      <c r="H492" s="2">
        <v>7938.04</v>
      </c>
      <c r="I492" s="2">
        <v>396.9</v>
      </c>
      <c r="J492" s="2">
        <v>8334.94</v>
      </c>
      <c r="K492" s="2">
        <v>8334.94</v>
      </c>
      <c r="L492" s="2" t="s">
        <v>22</v>
      </c>
      <c r="M492" s="2" t="s">
        <v>3844</v>
      </c>
      <c r="N492" s="2" t="s">
        <v>3843</v>
      </c>
    </row>
    <row r="493" spans="1:14" x14ac:dyDescent="0.25">
      <c r="A493" s="2" t="s">
        <v>2747</v>
      </c>
      <c r="B493" s="2" t="s">
        <v>901</v>
      </c>
      <c r="C493" s="4">
        <v>45854</v>
      </c>
      <c r="D493" s="4">
        <v>45884</v>
      </c>
      <c r="E493" s="2" t="s">
        <v>1441</v>
      </c>
      <c r="F493" s="2"/>
      <c r="G493" s="2" t="s">
        <v>180</v>
      </c>
      <c r="H493" s="2">
        <v>5418.23</v>
      </c>
      <c r="I493" s="2"/>
      <c r="J493" s="2">
        <v>5418.23</v>
      </c>
      <c r="K493" s="2">
        <v>3956.4</v>
      </c>
      <c r="L493" s="2" t="s">
        <v>51</v>
      </c>
      <c r="M493" s="2" t="s">
        <v>3844</v>
      </c>
      <c r="N493" s="2" t="s">
        <v>3843</v>
      </c>
    </row>
    <row r="494" spans="1:14" x14ac:dyDescent="0.25">
      <c r="A494" s="2" t="s">
        <v>2575</v>
      </c>
      <c r="B494" s="2" t="s">
        <v>4172</v>
      </c>
      <c r="C494" s="4">
        <v>45854</v>
      </c>
      <c r="D494" s="4">
        <v>45884</v>
      </c>
      <c r="E494" s="2" t="s">
        <v>1740</v>
      </c>
      <c r="F494" s="2"/>
      <c r="G494" s="2" t="s">
        <v>180</v>
      </c>
      <c r="H494" s="2">
        <v>32827.800000000003</v>
      </c>
      <c r="I494" s="2"/>
      <c r="J494" s="2">
        <v>32827.800000000003</v>
      </c>
      <c r="K494" s="2">
        <v>23970.9</v>
      </c>
      <c r="L494" s="2" t="s">
        <v>51</v>
      </c>
      <c r="M494" s="2" t="s">
        <v>3844</v>
      </c>
      <c r="N494" s="2" t="s">
        <v>3843</v>
      </c>
    </row>
    <row r="495" spans="1:14" x14ac:dyDescent="0.25">
      <c r="A495" s="2" t="s">
        <v>2689</v>
      </c>
      <c r="B495" s="2" t="s">
        <v>4172</v>
      </c>
      <c r="C495" s="4">
        <v>45854</v>
      </c>
      <c r="D495" s="4">
        <v>45884</v>
      </c>
      <c r="E495" s="2" t="s">
        <v>1542</v>
      </c>
      <c r="F495" s="2"/>
      <c r="G495" s="2" t="s">
        <v>180</v>
      </c>
      <c r="H495" s="2">
        <v>21815.9</v>
      </c>
      <c r="I495" s="2"/>
      <c r="J495" s="2">
        <v>21815.9</v>
      </c>
      <c r="K495" s="2">
        <v>15930</v>
      </c>
      <c r="L495" s="2" t="s">
        <v>51</v>
      </c>
      <c r="M495" s="2" t="s">
        <v>3844</v>
      </c>
      <c r="N495" s="2" t="s">
        <v>3843</v>
      </c>
    </row>
    <row r="496" spans="1:14" ht="30" x14ac:dyDescent="0.25">
      <c r="A496" s="2" t="s">
        <v>2708</v>
      </c>
      <c r="B496" s="2" t="s">
        <v>159</v>
      </c>
      <c r="C496" s="4">
        <v>45854</v>
      </c>
      <c r="D496" s="4">
        <v>45899</v>
      </c>
      <c r="E496" s="2" t="s">
        <v>1507</v>
      </c>
      <c r="F496" s="2"/>
      <c r="G496" s="2" t="s">
        <v>40</v>
      </c>
      <c r="H496" s="2">
        <v>20385.39</v>
      </c>
      <c r="I496" s="2"/>
      <c r="J496" s="2">
        <v>20385.39</v>
      </c>
      <c r="K496" s="2">
        <v>14885.44</v>
      </c>
      <c r="L496" s="2" t="s">
        <v>51</v>
      </c>
      <c r="M496" s="2" t="s">
        <v>3844</v>
      </c>
      <c r="N496" s="2" t="s">
        <v>3843</v>
      </c>
    </row>
    <row r="497" spans="1:14" ht="30" x14ac:dyDescent="0.25">
      <c r="A497" s="2" t="s">
        <v>2752</v>
      </c>
      <c r="B497" s="2" t="s">
        <v>159</v>
      </c>
      <c r="C497" s="4">
        <v>45854</v>
      </c>
      <c r="D497" s="4">
        <v>45899</v>
      </c>
      <c r="E497" s="2" t="s">
        <v>1431</v>
      </c>
      <c r="F497" s="2"/>
      <c r="G497" s="2" t="s">
        <v>426</v>
      </c>
      <c r="H497" s="2">
        <v>47638.92</v>
      </c>
      <c r="I497" s="2"/>
      <c r="J497" s="2">
        <v>47638.92</v>
      </c>
      <c r="K497" s="2">
        <v>34786</v>
      </c>
      <c r="L497" s="2" t="s">
        <v>51</v>
      </c>
      <c r="M497" s="2" t="s">
        <v>3844</v>
      </c>
      <c r="N497" s="2" t="s">
        <v>3843</v>
      </c>
    </row>
    <row r="498" spans="1:14" ht="30" x14ac:dyDescent="0.25">
      <c r="A498" s="2" t="s">
        <v>2926</v>
      </c>
      <c r="B498" s="2" t="s">
        <v>159</v>
      </c>
      <c r="C498" s="4">
        <v>45854</v>
      </c>
      <c r="D498" s="4">
        <v>45899</v>
      </c>
      <c r="E498" s="2" t="s">
        <v>1122</v>
      </c>
      <c r="F498" s="2"/>
      <c r="G498" s="2" t="s">
        <v>40</v>
      </c>
      <c r="H498" s="2">
        <v>14025.78</v>
      </c>
      <c r="I498" s="2"/>
      <c r="J498" s="2">
        <v>14025.78</v>
      </c>
      <c r="K498" s="2">
        <v>10241.64</v>
      </c>
      <c r="L498" s="2" t="s">
        <v>51</v>
      </c>
      <c r="M498" s="2" t="s">
        <v>3844</v>
      </c>
      <c r="N498" s="2" t="s">
        <v>3843</v>
      </c>
    </row>
    <row r="499" spans="1:14" ht="30" x14ac:dyDescent="0.25">
      <c r="A499" s="2" t="s">
        <v>2913</v>
      </c>
      <c r="B499" s="2" t="s">
        <v>98</v>
      </c>
      <c r="C499" s="4">
        <v>45853</v>
      </c>
      <c r="D499" s="4">
        <v>45883</v>
      </c>
      <c r="E499" s="2" t="s">
        <v>1140</v>
      </c>
      <c r="F499" s="2"/>
      <c r="G499" s="2" t="s">
        <v>21</v>
      </c>
      <c r="H499" s="2">
        <v>550.80999999999995</v>
      </c>
      <c r="I499" s="2">
        <v>71.61</v>
      </c>
      <c r="J499" s="2">
        <v>622.41999999999996</v>
      </c>
      <c r="K499" s="2">
        <v>622.41999999999996</v>
      </c>
      <c r="L499" s="2" t="s">
        <v>22</v>
      </c>
      <c r="M499" s="2" t="s">
        <v>3844</v>
      </c>
      <c r="N499" s="2" t="s">
        <v>3843</v>
      </c>
    </row>
    <row r="500" spans="1:14" ht="30" x14ac:dyDescent="0.25">
      <c r="A500" s="2" t="s">
        <v>2973</v>
      </c>
      <c r="B500" s="2" t="s">
        <v>98</v>
      </c>
      <c r="C500" s="4">
        <v>45853</v>
      </c>
      <c r="D500" s="4">
        <v>45883</v>
      </c>
      <c r="E500" s="2" t="s">
        <v>1042</v>
      </c>
      <c r="F500" s="2"/>
      <c r="G500" s="2" t="s">
        <v>21</v>
      </c>
      <c r="H500" s="2">
        <v>721.19</v>
      </c>
      <c r="I500" s="2">
        <v>93.76</v>
      </c>
      <c r="J500" s="2">
        <v>814.95</v>
      </c>
      <c r="K500" s="2">
        <v>814.95</v>
      </c>
      <c r="L500" s="2" t="s">
        <v>22</v>
      </c>
      <c r="M500" s="2" t="s">
        <v>3844</v>
      </c>
      <c r="N500" s="2" t="s">
        <v>3843</v>
      </c>
    </row>
    <row r="501" spans="1:14" x14ac:dyDescent="0.25">
      <c r="A501" s="2" t="s">
        <v>2974</v>
      </c>
      <c r="B501" s="2" t="s">
        <v>70</v>
      </c>
      <c r="C501" s="4">
        <v>45853</v>
      </c>
      <c r="D501" s="4">
        <v>45913</v>
      </c>
      <c r="E501" s="2" t="s">
        <v>1040</v>
      </c>
      <c r="F501" s="2"/>
      <c r="G501" s="2" t="s">
        <v>71</v>
      </c>
      <c r="H501" s="2">
        <v>625.47</v>
      </c>
      <c r="I501" s="2"/>
      <c r="J501" s="2">
        <v>625.47</v>
      </c>
      <c r="K501" s="2">
        <v>456.73</v>
      </c>
      <c r="L501" s="2" t="s">
        <v>51</v>
      </c>
      <c r="M501" s="2" t="s">
        <v>3844</v>
      </c>
      <c r="N501" s="2" t="s">
        <v>3843</v>
      </c>
    </row>
    <row r="502" spans="1:14" ht="30" x14ac:dyDescent="0.25">
      <c r="A502" s="2" t="s">
        <v>2947</v>
      </c>
      <c r="B502" s="2" t="s">
        <v>35</v>
      </c>
      <c r="C502" s="4">
        <v>45853</v>
      </c>
      <c r="D502" s="4">
        <v>45883</v>
      </c>
      <c r="E502" s="2" t="s">
        <v>1085</v>
      </c>
      <c r="F502" s="2"/>
      <c r="G502" s="2" t="s">
        <v>21</v>
      </c>
      <c r="H502" s="2">
        <v>126.16</v>
      </c>
      <c r="I502" s="2">
        <v>6.31</v>
      </c>
      <c r="J502" s="2">
        <v>132.47</v>
      </c>
      <c r="K502" s="2">
        <v>132.47</v>
      </c>
      <c r="L502" s="2" t="s">
        <v>22</v>
      </c>
      <c r="M502" s="2" t="s">
        <v>3844</v>
      </c>
      <c r="N502" s="2" t="s">
        <v>3843</v>
      </c>
    </row>
    <row r="503" spans="1:14" ht="30" x14ac:dyDescent="0.25">
      <c r="A503" s="2" t="s">
        <v>2967</v>
      </c>
      <c r="B503" s="2" t="s">
        <v>20</v>
      </c>
      <c r="C503" s="4">
        <v>45853</v>
      </c>
      <c r="D503" s="4">
        <v>45913</v>
      </c>
      <c r="E503" s="2" t="s">
        <v>1054</v>
      </c>
      <c r="F503" s="2"/>
      <c r="G503" s="2" t="s">
        <v>21</v>
      </c>
      <c r="H503" s="2">
        <v>398.12</v>
      </c>
      <c r="I503" s="2">
        <v>19.91</v>
      </c>
      <c r="J503" s="2">
        <v>418.03</v>
      </c>
      <c r="K503" s="2">
        <v>418.03</v>
      </c>
      <c r="L503" s="2" t="s">
        <v>22</v>
      </c>
      <c r="M503" s="2" t="s">
        <v>3844</v>
      </c>
      <c r="N503" s="2" t="s">
        <v>3843</v>
      </c>
    </row>
    <row r="504" spans="1:14" x14ac:dyDescent="0.25">
      <c r="A504" s="2" t="s">
        <v>2962</v>
      </c>
      <c r="B504" s="2" t="s">
        <v>77</v>
      </c>
      <c r="C504" s="4">
        <v>45853</v>
      </c>
      <c r="D504" s="4">
        <v>45883</v>
      </c>
      <c r="E504" s="2" t="s">
        <v>1062</v>
      </c>
      <c r="F504" s="2"/>
      <c r="G504" s="2" t="s">
        <v>21</v>
      </c>
      <c r="H504" s="2">
        <v>595.67999999999995</v>
      </c>
      <c r="I504" s="2">
        <v>29.78</v>
      </c>
      <c r="J504" s="2">
        <v>625.46</v>
      </c>
      <c r="K504" s="2">
        <v>625.46</v>
      </c>
      <c r="L504" s="2" t="s">
        <v>22</v>
      </c>
      <c r="M504" s="2" t="s">
        <v>3844</v>
      </c>
      <c r="N504" s="2" t="s">
        <v>3843</v>
      </c>
    </row>
    <row r="505" spans="1:14" x14ac:dyDescent="0.25">
      <c r="A505" s="2" t="s">
        <v>2910</v>
      </c>
      <c r="B505" s="2" t="s">
        <v>248</v>
      </c>
      <c r="C505" s="4">
        <v>45853</v>
      </c>
      <c r="D505" s="4">
        <v>45883</v>
      </c>
      <c r="E505" s="2" t="s">
        <v>1147</v>
      </c>
      <c r="F505" s="2"/>
      <c r="G505" s="2" t="s">
        <v>21</v>
      </c>
      <c r="H505" s="2">
        <v>1225.8</v>
      </c>
      <c r="I505" s="2">
        <v>171.61</v>
      </c>
      <c r="J505" s="2">
        <v>1397.41</v>
      </c>
      <c r="K505" s="2">
        <v>1397.41</v>
      </c>
      <c r="L505" s="2" t="s">
        <v>22</v>
      </c>
      <c r="M505" s="2" t="s">
        <v>3844</v>
      </c>
      <c r="N505" s="2" t="s">
        <v>3843</v>
      </c>
    </row>
    <row r="506" spans="1:14" ht="45" x14ac:dyDescent="0.25">
      <c r="A506" s="2" t="s">
        <v>2780</v>
      </c>
      <c r="B506" s="2" t="s">
        <v>1380</v>
      </c>
      <c r="C506" s="4">
        <v>45853</v>
      </c>
      <c r="D506" s="4">
        <v>45853</v>
      </c>
      <c r="E506" s="2" t="s">
        <v>1378</v>
      </c>
      <c r="F506" s="2"/>
      <c r="G506" s="2" t="s">
        <v>36</v>
      </c>
      <c r="H506" s="2">
        <v>39292.910000000003</v>
      </c>
      <c r="I506" s="2"/>
      <c r="J506" s="2">
        <v>39292.910000000003</v>
      </c>
      <c r="K506" s="2">
        <v>28692.74</v>
      </c>
      <c r="L506" s="2" t="s">
        <v>51</v>
      </c>
      <c r="M506" s="2" t="s">
        <v>3844</v>
      </c>
      <c r="N506" s="2" t="s">
        <v>3843</v>
      </c>
    </row>
    <row r="507" spans="1:14" x14ac:dyDescent="0.25">
      <c r="A507" s="2" t="s">
        <v>2663</v>
      </c>
      <c r="B507" s="2" t="s">
        <v>198</v>
      </c>
      <c r="C507" s="4">
        <v>45852</v>
      </c>
      <c r="D507" s="4">
        <v>45882</v>
      </c>
      <c r="E507" s="2" t="s">
        <v>1589</v>
      </c>
      <c r="F507" s="2"/>
      <c r="G507" s="2" t="s">
        <v>180</v>
      </c>
      <c r="H507" s="2">
        <v>38112.15</v>
      </c>
      <c r="I507" s="2"/>
      <c r="J507" s="2">
        <v>38112.15</v>
      </c>
      <c r="K507" s="2">
        <v>27833.48</v>
      </c>
      <c r="L507" s="2" t="s">
        <v>51</v>
      </c>
      <c r="M507" s="2" t="s">
        <v>3844</v>
      </c>
      <c r="N507" s="2" t="s">
        <v>3843</v>
      </c>
    </row>
    <row r="508" spans="1:14" ht="30" x14ac:dyDescent="0.25">
      <c r="A508" s="2" t="s">
        <v>2942</v>
      </c>
      <c r="B508" s="2" t="s">
        <v>4088</v>
      </c>
      <c r="C508" s="4">
        <v>45852</v>
      </c>
      <c r="D508" s="4">
        <v>45882</v>
      </c>
      <c r="E508" s="2" t="s">
        <v>1094</v>
      </c>
      <c r="F508" s="2"/>
      <c r="G508" s="2" t="s">
        <v>21</v>
      </c>
      <c r="H508" s="2">
        <v>1306.3</v>
      </c>
      <c r="I508" s="2"/>
      <c r="J508" s="2">
        <v>1306.3</v>
      </c>
      <c r="K508" s="2">
        <v>954</v>
      </c>
      <c r="L508" s="2" t="s">
        <v>51</v>
      </c>
      <c r="M508" s="2" t="s">
        <v>3844</v>
      </c>
      <c r="N508" s="2" t="s">
        <v>3843</v>
      </c>
    </row>
    <row r="509" spans="1:14" x14ac:dyDescent="0.25">
      <c r="A509" s="2" t="s">
        <v>2907</v>
      </c>
      <c r="B509" s="2" t="s">
        <v>141</v>
      </c>
      <c r="C509" s="4">
        <v>45852</v>
      </c>
      <c r="D509" s="4">
        <v>45897</v>
      </c>
      <c r="E509" s="2" t="s">
        <v>1151</v>
      </c>
      <c r="F509" s="2"/>
      <c r="G509" s="2" t="s">
        <v>40</v>
      </c>
      <c r="H509" s="2">
        <v>2291.63</v>
      </c>
      <c r="I509" s="2"/>
      <c r="J509" s="2">
        <v>2291.63</v>
      </c>
      <c r="K509" s="2">
        <v>1673.59</v>
      </c>
      <c r="L509" s="2" t="s">
        <v>51</v>
      </c>
      <c r="M509" s="2" t="s">
        <v>3844</v>
      </c>
      <c r="N509" s="2" t="s">
        <v>3843</v>
      </c>
    </row>
    <row r="510" spans="1:14" x14ac:dyDescent="0.25">
      <c r="A510" s="2" t="s">
        <v>2945</v>
      </c>
      <c r="B510" s="2" t="s">
        <v>141</v>
      </c>
      <c r="C510" s="4">
        <v>45852</v>
      </c>
      <c r="D510" s="4">
        <v>45897</v>
      </c>
      <c r="E510" s="2" t="s">
        <v>1087</v>
      </c>
      <c r="F510" s="2"/>
      <c r="G510" s="2" t="s">
        <v>40</v>
      </c>
      <c r="H510" s="2">
        <v>253.21</v>
      </c>
      <c r="I510" s="2"/>
      <c r="J510" s="2">
        <v>253.21</v>
      </c>
      <c r="K510" s="2">
        <v>184.92</v>
      </c>
      <c r="L510" s="2" t="s">
        <v>51</v>
      </c>
      <c r="M510" s="2" t="s">
        <v>3844</v>
      </c>
      <c r="N510" s="2" t="s">
        <v>3843</v>
      </c>
    </row>
    <row r="511" spans="1:14" x14ac:dyDescent="0.25">
      <c r="A511" s="2" t="s">
        <v>2911</v>
      </c>
      <c r="B511" s="2" t="s">
        <v>556</v>
      </c>
      <c r="C511" s="4">
        <v>45852</v>
      </c>
      <c r="D511" s="4">
        <v>45882</v>
      </c>
      <c r="E511" s="2" t="s">
        <v>1145</v>
      </c>
      <c r="F511" s="2"/>
      <c r="G511" s="2" t="s">
        <v>36</v>
      </c>
      <c r="H511" s="2">
        <v>105</v>
      </c>
      <c r="I511" s="2">
        <v>13.65</v>
      </c>
      <c r="J511" s="2">
        <v>118.65</v>
      </c>
      <c r="K511" s="2">
        <v>118.65</v>
      </c>
      <c r="L511" s="2" t="s">
        <v>22</v>
      </c>
      <c r="M511" s="2" t="s">
        <v>3844</v>
      </c>
      <c r="N511" s="2" t="s">
        <v>3843</v>
      </c>
    </row>
    <row r="512" spans="1:14" ht="30" x14ac:dyDescent="0.25">
      <c r="A512" s="2" t="s">
        <v>2952</v>
      </c>
      <c r="B512" s="2" t="s">
        <v>104</v>
      </c>
      <c r="C512" s="4">
        <v>45852</v>
      </c>
      <c r="D512" s="4">
        <v>45882</v>
      </c>
      <c r="E512" s="2" t="s">
        <v>1077</v>
      </c>
      <c r="F512" s="2"/>
      <c r="G512" s="2" t="s">
        <v>21</v>
      </c>
      <c r="H512" s="2">
        <v>924.36</v>
      </c>
      <c r="I512" s="2">
        <v>46.22</v>
      </c>
      <c r="J512" s="2">
        <v>970.58</v>
      </c>
      <c r="K512" s="2">
        <v>970.58</v>
      </c>
      <c r="L512" s="2" t="s">
        <v>22</v>
      </c>
      <c r="M512" s="2" t="s">
        <v>3844</v>
      </c>
      <c r="N512" s="2" t="s">
        <v>3843</v>
      </c>
    </row>
    <row r="513" spans="1:14" ht="30" x14ac:dyDescent="0.25">
      <c r="A513" s="2" t="s">
        <v>2950</v>
      </c>
      <c r="B513" s="2" t="s">
        <v>104</v>
      </c>
      <c r="C513" s="4">
        <v>45852</v>
      </c>
      <c r="D513" s="4">
        <v>45882</v>
      </c>
      <c r="E513" s="2" t="s">
        <v>1081</v>
      </c>
      <c r="F513" s="2"/>
      <c r="G513" s="2" t="s">
        <v>21</v>
      </c>
      <c r="H513" s="2">
        <v>3048.78</v>
      </c>
      <c r="I513" s="2">
        <v>152.44</v>
      </c>
      <c r="J513" s="2">
        <v>3201.22</v>
      </c>
      <c r="K513" s="2">
        <v>3201.22</v>
      </c>
      <c r="L513" s="2" t="s">
        <v>22</v>
      </c>
      <c r="M513" s="2" t="s">
        <v>3844</v>
      </c>
      <c r="N513" s="2" t="s">
        <v>3843</v>
      </c>
    </row>
    <row r="514" spans="1:14" x14ac:dyDescent="0.25">
      <c r="A514" s="2" t="s">
        <v>2958</v>
      </c>
      <c r="B514" s="2" t="s">
        <v>54</v>
      </c>
      <c r="C514" s="4">
        <v>45852</v>
      </c>
      <c r="D514" s="4">
        <v>45882</v>
      </c>
      <c r="E514" s="2" t="s">
        <v>1069</v>
      </c>
      <c r="F514" s="2"/>
      <c r="G514" s="2" t="s">
        <v>21</v>
      </c>
      <c r="H514" s="2">
        <v>3005</v>
      </c>
      <c r="I514" s="2">
        <v>150.25</v>
      </c>
      <c r="J514" s="2">
        <v>3155.25</v>
      </c>
      <c r="K514" s="2">
        <v>3155.25</v>
      </c>
      <c r="L514" s="2" t="s">
        <v>22</v>
      </c>
      <c r="M514" s="2" t="s">
        <v>3844</v>
      </c>
      <c r="N514" s="2" t="s">
        <v>3843</v>
      </c>
    </row>
    <row r="515" spans="1:14" x14ac:dyDescent="0.25">
      <c r="A515" s="2" t="s">
        <v>2963</v>
      </c>
      <c r="B515" s="2" t="s">
        <v>54</v>
      </c>
      <c r="C515" s="4">
        <v>45852</v>
      </c>
      <c r="D515" s="4">
        <v>45882</v>
      </c>
      <c r="E515" s="2" t="s">
        <v>1060</v>
      </c>
      <c r="F515" s="2"/>
      <c r="G515" s="2" t="s">
        <v>21</v>
      </c>
      <c r="H515" s="2">
        <v>786.58</v>
      </c>
      <c r="I515" s="2">
        <v>39.33</v>
      </c>
      <c r="J515" s="2">
        <v>825.91</v>
      </c>
      <c r="K515" s="2">
        <v>825.91</v>
      </c>
      <c r="L515" s="2" t="s">
        <v>22</v>
      </c>
      <c r="M515" s="2" t="s">
        <v>3844</v>
      </c>
      <c r="N515" s="2" t="s">
        <v>3843</v>
      </c>
    </row>
    <row r="516" spans="1:14" ht="30" x14ac:dyDescent="0.25">
      <c r="A516" s="2" t="s">
        <v>2867</v>
      </c>
      <c r="B516" s="2" t="s">
        <v>450</v>
      </c>
      <c r="C516" s="4">
        <v>45849</v>
      </c>
      <c r="D516" s="4">
        <v>45849</v>
      </c>
      <c r="E516" s="2" t="s">
        <v>1223</v>
      </c>
      <c r="F516" s="2"/>
      <c r="G516" s="2" t="s">
        <v>21</v>
      </c>
      <c r="H516" s="2">
        <v>1564.84</v>
      </c>
      <c r="I516" s="2">
        <v>203.43</v>
      </c>
      <c r="J516" s="2">
        <v>1768.27</v>
      </c>
      <c r="K516" s="2">
        <v>1768.27</v>
      </c>
      <c r="L516" s="2" t="s">
        <v>22</v>
      </c>
      <c r="M516" s="2" t="s">
        <v>3844</v>
      </c>
      <c r="N516" s="2" t="s">
        <v>3843</v>
      </c>
    </row>
    <row r="517" spans="1:14" ht="30" x14ac:dyDescent="0.25">
      <c r="A517" s="2" t="s">
        <v>2905</v>
      </c>
      <c r="B517" s="2" t="s">
        <v>450</v>
      </c>
      <c r="C517" s="4">
        <v>45849</v>
      </c>
      <c r="D517" s="4">
        <v>45879</v>
      </c>
      <c r="E517" s="2" t="s">
        <v>1153</v>
      </c>
      <c r="F517" s="2"/>
      <c r="G517" s="2" t="s">
        <v>40</v>
      </c>
      <c r="H517" s="2">
        <v>240.76</v>
      </c>
      <c r="I517" s="2">
        <v>31.3</v>
      </c>
      <c r="J517" s="2">
        <v>272.06</v>
      </c>
      <c r="K517" s="2">
        <v>272.06</v>
      </c>
      <c r="L517" s="2" t="s">
        <v>22</v>
      </c>
      <c r="M517" s="2" t="s">
        <v>3844</v>
      </c>
      <c r="N517" s="2" t="s">
        <v>3843</v>
      </c>
    </row>
    <row r="518" spans="1:14" x14ac:dyDescent="0.25">
      <c r="A518" s="2" t="s">
        <v>2955</v>
      </c>
      <c r="B518" s="2" t="s">
        <v>64</v>
      </c>
      <c r="C518" s="4">
        <v>45849</v>
      </c>
      <c r="D518" s="4">
        <v>45879</v>
      </c>
      <c r="E518" s="2" t="s">
        <v>1073</v>
      </c>
      <c r="F518" s="2"/>
      <c r="G518" s="2" t="s">
        <v>21</v>
      </c>
      <c r="H518" s="2">
        <v>835.95</v>
      </c>
      <c r="I518" s="2">
        <v>108.67</v>
      </c>
      <c r="J518" s="2">
        <v>944.62</v>
      </c>
      <c r="K518" s="2">
        <v>944.62</v>
      </c>
      <c r="L518" s="2" t="s">
        <v>22</v>
      </c>
      <c r="M518" s="2" t="s">
        <v>3844</v>
      </c>
      <c r="N518" s="2" t="s">
        <v>3843</v>
      </c>
    </row>
    <row r="519" spans="1:14" ht="30" x14ac:dyDescent="0.25">
      <c r="A519" s="2" t="s">
        <v>2951</v>
      </c>
      <c r="B519" s="2" t="s">
        <v>26</v>
      </c>
      <c r="C519" s="4">
        <v>45849</v>
      </c>
      <c r="D519" s="4">
        <v>45909</v>
      </c>
      <c r="E519" s="2" t="s">
        <v>1079</v>
      </c>
      <c r="F519" s="2"/>
      <c r="G519" s="2" t="s">
        <v>36</v>
      </c>
      <c r="H519" s="2">
        <v>1384.4</v>
      </c>
      <c r="I519" s="2">
        <v>69.22</v>
      </c>
      <c r="J519" s="2">
        <v>1453.62</v>
      </c>
      <c r="K519" s="2">
        <v>1061.3499999999999</v>
      </c>
      <c r="L519" s="2" t="s">
        <v>51</v>
      </c>
      <c r="M519" s="2" t="s">
        <v>3844</v>
      </c>
      <c r="N519" s="2" t="s">
        <v>3843</v>
      </c>
    </row>
    <row r="520" spans="1:14" x14ac:dyDescent="0.25">
      <c r="A520" s="2" t="s">
        <v>2954</v>
      </c>
      <c r="B520" s="2" t="s">
        <v>146</v>
      </c>
      <c r="C520" s="4">
        <v>45849</v>
      </c>
      <c r="D520" s="4">
        <v>45879</v>
      </c>
      <c r="E520" s="2" t="s">
        <v>1075</v>
      </c>
      <c r="F520" s="2"/>
      <c r="G520" s="2" t="s">
        <v>21</v>
      </c>
      <c r="H520" s="2">
        <v>213.9</v>
      </c>
      <c r="I520" s="2"/>
      <c r="J520" s="2">
        <v>213.9</v>
      </c>
      <c r="K520" s="2">
        <v>213.9</v>
      </c>
      <c r="L520" s="2" t="s">
        <v>22</v>
      </c>
      <c r="M520" s="2" t="s">
        <v>3844</v>
      </c>
      <c r="N520" s="2" t="s">
        <v>3843</v>
      </c>
    </row>
    <row r="521" spans="1:14" ht="45" x14ac:dyDescent="0.25">
      <c r="A521" s="2" t="s">
        <v>2960</v>
      </c>
      <c r="B521" s="2" t="s">
        <v>4195</v>
      </c>
      <c r="C521" s="4">
        <v>45849</v>
      </c>
      <c r="D521" s="4">
        <v>45849</v>
      </c>
      <c r="E521" s="2" t="s">
        <v>1064</v>
      </c>
      <c r="F521" s="2"/>
      <c r="G521" s="2" t="s">
        <v>21</v>
      </c>
      <c r="H521" s="2">
        <v>1528.41</v>
      </c>
      <c r="I521" s="2"/>
      <c r="J521" s="2">
        <v>1528.41</v>
      </c>
      <c r="K521" s="2">
        <v>1117.1600000000001</v>
      </c>
      <c r="L521" s="2" t="s">
        <v>51</v>
      </c>
      <c r="M521" s="2" t="s">
        <v>3844</v>
      </c>
      <c r="N521" s="2" t="s">
        <v>3843</v>
      </c>
    </row>
    <row r="522" spans="1:14" ht="30" x14ac:dyDescent="0.25">
      <c r="A522" s="2" t="s">
        <v>2848</v>
      </c>
      <c r="B522" s="2" t="s">
        <v>98</v>
      </c>
      <c r="C522" s="4">
        <v>45848</v>
      </c>
      <c r="D522" s="4">
        <v>45878</v>
      </c>
      <c r="E522" s="2" t="s">
        <v>1253</v>
      </c>
      <c r="F522" s="2"/>
      <c r="G522" s="2" t="s">
        <v>21</v>
      </c>
      <c r="H522" s="2">
        <v>830.65</v>
      </c>
      <c r="I522" s="2">
        <v>107.97</v>
      </c>
      <c r="J522" s="2">
        <v>938.62</v>
      </c>
      <c r="K522" s="2">
        <v>938.62</v>
      </c>
      <c r="L522" s="2" t="s">
        <v>22</v>
      </c>
      <c r="M522" s="2" t="s">
        <v>3844</v>
      </c>
      <c r="N522" s="2" t="s">
        <v>3843</v>
      </c>
    </row>
    <row r="523" spans="1:14" ht="30" x14ac:dyDescent="0.25">
      <c r="A523" s="2" t="s">
        <v>2778</v>
      </c>
      <c r="B523" s="2" t="s">
        <v>98</v>
      </c>
      <c r="C523" s="4">
        <v>45848</v>
      </c>
      <c r="D523" s="4">
        <v>45878</v>
      </c>
      <c r="E523" s="2" t="s">
        <v>1381</v>
      </c>
      <c r="F523" s="2"/>
      <c r="G523" s="2" t="s">
        <v>21</v>
      </c>
      <c r="H523" s="2">
        <v>1214.6099999999999</v>
      </c>
      <c r="I523" s="2">
        <v>157.9</v>
      </c>
      <c r="J523" s="2">
        <v>1372.51</v>
      </c>
      <c r="K523" s="2">
        <v>1372.51</v>
      </c>
      <c r="L523" s="2" t="s">
        <v>22</v>
      </c>
      <c r="M523" s="2" t="s">
        <v>3844</v>
      </c>
      <c r="N523" s="2" t="s">
        <v>3843</v>
      </c>
    </row>
    <row r="524" spans="1:14" ht="30" x14ac:dyDescent="0.25">
      <c r="A524" s="2" t="s">
        <v>2915</v>
      </c>
      <c r="B524" s="2" t="s">
        <v>98</v>
      </c>
      <c r="C524" s="4">
        <v>45848</v>
      </c>
      <c r="D524" s="4">
        <v>45878</v>
      </c>
      <c r="E524" s="2" t="s">
        <v>1140</v>
      </c>
      <c r="F524" s="2"/>
      <c r="G524" s="2" t="s">
        <v>21</v>
      </c>
      <c r="H524" s="2">
        <v>224.77</v>
      </c>
      <c r="I524" s="2">
        <v>29.22</v>
      </c>
      <c r="J524" s="2">
        <v>253.99</v>
      </c>
      <c r="K524" s="2">
        <v>253.99</v>
      </c>
      <c r="L524" s="2" t="s">
        <v>22</v>
      </c>
      <c r="M524" s="2" t="s">
        <v>3844</v>
      </c>
      <c r="N524" s="2" t="s">
        <v>3843</v>
      </c>
    </row>
    <row r="525" spans="1:14" ht="30" x14ac:dyDescent="0.25">
      <c r="A525" s="2" t="s">
        <v>2564</v>
      </c>
      <c r="B525" s="2" t="s">
        <v>98</v>
      </c>
      <c r="C525" s="4">
        <v>45848</v>
      </c>
      <c r="D525" s="4">
        <v>45878</v>
      </c>
      <c r="E525" s="2" t="s">
        <v>1755</v>
      </c>
      <c r="F525" s="2"/>
      <c r="G525" s="2" t="s">
        <v>21</v>
      </c>
      <c r="H525" s="2">
        <v>12346.61</v>
      </c>
      <c r="I525" s="2">
        <v>1605.06</v>
      </c>
      <c r="J525" s="2">
        <v>13951.67</v>
      </c>
      <c r="K525" s="2">
        <v>13951.67</v>
      </c>
      <c r="L525" s="2" t="s">
        <v>22</v>
      </c>
      <c r="M525" s="2" t="s">
        <v>3844</v>
      </c>
      <c r="N525" s="2" t="s">
        <v>3843</v>
      </c>
    </row>
    <row r="526" spans="1:14" x14ac:dyDescent="0.25">
      <c r="A526" s="2" t="s">
        <v>2774</v>
      </c>
      <c r="B526" s="2" t="s">
        <v>176</v>
      </c>
      <c r="C526" s="4">
        <v>45848</v>
      </c>
      <c r="D526" s="4">
        <v>45878</v>
      </c>
      <c r="E526" s="2" t="s">
        <v>1387</v>
      </c>
      <c r="F526" s="2"/>
      <c r="G526" s="2" t="s">
        <v>21</v>
      </c>
      <c r="H526" s="2">
        <v>7759.78</v>
      </c>
      <c r="I526" s="2">
        <v>1008.77</v>
      </c>
      <c r="J526" s="2">
        <v>8768.5499999999993</v>
      </c>
      <c r="K526" s="2">
        <v>8768.5499999999993</v>
      </c>
      <c r="L526" s="2" t="s">
        <v>22</v>
      </c>
      <c r="M526" s="2" t="s">
        <v>3844</v>
      </c>
      <c r="N526" s="2" t="s">
        <v>3843</v>
      </c>
    </row>
    <row r="527" spans="1:14" x14ac:dyDescent="0.25">
      <c r="A527" s="2" t="s">
        <v>2887</v>
      </c>
      <c r="B527" s="2" t="s">
        <v>77</v>
      </c>
      <c r="C527" s="4">
        <v>45848</v>
      </c>
      <c r="D527" s="4">
        <v>45878</v>
      </c>
      <c r="E527" s="2" t="s">
        <v>1185</v>
      </c>
      <c r="F527" s="2"/>
      <c r="G527" s="2" t="s">
        <v>21</v>
      </c>
      <c r="H527" s="2">
        <v>65.959999999999994</v>
      </c>
      <c r="I527" s="2">
        <v>3.3</v>
      </c>
      <c r="J527" s="2">
        <v>69.260000000000005</v>
      </c>
      <c r="K527" s="2">
        <v>69.260000000000005</v>
      </c>
      <c r="L527" s="2" t="s">
        <v>22</v>
      </c>
      <c r="M527" s="2" t="s">
        <v>3844</v>
      </c>
      <c r="N527" s="2" t="s">
        <v>3843</v>
      </c>
    </row>
    <row r="528" spans="1:14" ht="30" x14ac:dyDescent="0.25">
      <c r="A528" s="2" t="s">
        <v>2948</v>
      </c>
      <c r="B528" s="2" t="s">
        <v>684</v>
      </c>
      <c r="C528" s="4">
        <v>45848</v>
      </c>
      <c r="D528" s="4">
        <v>45908</v>
      </c>
      <c r="E528" s="2" t="s">
        <v>1083</v>
      </c>
      <c r="F528" s="2"/>
      <c r="G528" s="2" t="s">
        <v>36</v>
      </c>
      <c r="H528" s="2">
        <v>537.82000000000005</v>
      </c>
      <c r="I528" s="2">
        <v>26.89</v>
      </c>
      <c r="J528" s="2">
        <v>564.71</v>
      </c>
      <c r="K528" s="2">
        <v>564.71</v>
      </c>
      <c r="L528" s="2" t="s">
        <v>22</v>
      </c>
      <c r="M528" s="2" t="s">
        <v>3844</v>
      </c>
      <c r="N528" s="2" t="s">
        <v>3843</v>
      </c>
    </row>
    <row r="529" spans="1:14" ht="30" x14ac:dyDescent="0.25">
      <c r="A529" s="2" t="s">
        <v>2871</v>
      </c>
      <c r="B529" s="2" t="s">
        <v>864</v>
      </c>
      <c r="C529" s="4">
        <v>45848</v>
      </c>
      <c r="D529" s="4">
        <v>45878</v>
      </c>
      <c r="E529" s="2" t="s">
        <v>1217</v>
      </c>
      <c r="F529" s="2"/>
      <c r="G529" s="2" t="s">
        <v>71</v>
      </c>
      <c r="H529" s="2">
        <v>683.13</v>
      </c>
      <c r="I529" s="2">
        <v>34.15</v>
      </c>
      <c r="J529" s="2">
        <v>717.28</v>
      </c>
      <c r="K529" s="2">
        <v>717.28</v>
      </c>
      <c r="L529" s="2" t="s">
        <v>22</v>
      </c>
      <c r="M529" s="2" t="s">
        <v>3844</v>
      </c>
      <c r="N529" s="2" t="s">
        <v>3843</v>
      </c>
    </row>
    <row r="530" spans="1:14" ht="30" x14ac:dyDescent="0.25">
      <c r="A530" s="2" t="s">
        <v>2937</v>
      </c>
      <c r="B530" s="2" t="s">
        <v>3880</v>
      </c>
      <c r="C530" s="4">
        <v>45847</v>
      </c>
      <c r="D530" s="4">
        <v>45907</v>
      </c>
      <c r="E530" s="2" t="s">
        <v>1103</v>
      </c>
      <c r="F530" s="2"/>
      <c r="G530" s="2" t="s">
        <v>21</v>
      </c>
      <c r="H530" s="2">
        <v>23.43</v>
      </c>
      <c r="I530" s="2">
        <v>3.05</v>
      </c>
      <c r="J530" s="2">
        <v>26.48</v>
      </c>
      <c r="K530" s="2">
        <v>26.48</v>
      </c>
      <c r="L530" s="2" t="s">
        <v>22</v>
      </c>
      <c r="M530" s="2" t="s">
        <v>3844</v>
      </c>
      <c r="N530" s="2" t="s">
        <v>3843</v>
      </c>
    </row>
    <row r="531" spans="1:14" ht="30" x14ac:dyDescent="0.25">
      <c r="A531" s="2" t="s">
        <v>2940</v>
      </c>
      <c r="B531" s="2" t="s">
        <v>1100</v>
      </c>
      <c r="C531" s="4">
        <v>45847</v>
      </c>
      <c r="D531" s="4">
        <v>45877</v>
      </c>
      <c r="E531" s="2" t="s">
        <v>1098</v>
      </c>
      <c r="F531" s="2"/>
      <c r="G531" s="2" t="s">
        <v>21</v>
      </c>
      <c r="H531" s="2">
        <v>15247.79</v>
      </c>
      <c r="I531" s="2"/>
      <c r="J531" s="2">
        <v>15247.79</v>
      </c>
      <c r="K531" s="2">
        <v>11173.11</v>
      </c>
      <c r="L531" s="2" t="s">
        <v>51</v>
      </c>
      <c r="M531" s="2" t="s">
        <v>3844</v>
      </c>
      <c r="N531" s="2" t="s">
        <v>3843</v>
      </c>
    </row>
    <row r="532" spans="1:14" x14ac:dyDescent="0.25">
      <c r="A532" s="2" t="s">
        <v>3588</v>
      </c>
      <c r="B532" s="2" t="s">
        <v>901</v>
      </c>
      <c r="C532" s="4">
        <v>45847</v>
      </c>
      <c r="D532" s="4">
        <v>45877</v>
      </c>
      <c r="E532" s="2" t="s">
        <v>4169</v>
      </c>
      <c r="F532" s="2"/>
      <c r="G532" s="2" t="s">
        <v>180</v>
      </c>
      <c r="H532" s="2">
        <v>43330.11</v>
      </c>
      <c r="I532" s="2"/>
      <c r="J532" s="2">
        <v>43330.11</v>
      </c>
      <c r="K532" s="2">
        <v>31750.97</v>
      </c>
      <c r="L532" s="2" t="s">
        <v>51</v>
      </c>
      <c r="M532" s="2" t="s">
        <v>3844</v>
      </c>
      <c r="N532" s="2" t="s">
        <v>3843</v>
      </c>
    </row>
    <row r="533" spans="1:14" x14ac:dyDescent="0.25">
      <c r="A533" s="2" t="s">
        <v>2917</v>
      </c>
      <c r="B533" s="2" t="s">
        <v>1137</v>
      </c>
      <c r="C533" s="4">
        <v>45846</v>
      </c>
      <c r="D533" s="4">
        <v>45846</v>
      </c>
      <c r="E533" s="2" t="s">
        <v>1135</v>
      </c>
      <c r="F533" s="2"/>
      <c r="G533" s="2" t="s">
        <v>36</v>
      </c>
      <c r="H533" s="2">
        <v>1749.28</v>
      </c>
      <c r="I533" s="2">
        <v>227.41</v>
      </c>
      <c r="J533" s="2">
        <v>1976.69</v>
      </c>
      <c r="K533" s="2">
        <v>1976.69</v>
      </c>
      <c r="L533" s="2" t="s">
        <v>22</v>
      </c>
      <c r="M533" s="2" t="s">
        <v>3844</v>
      </c>
      <c r="N533" s="2" t="s">
        <v>3843</v>
      </c>
    </row>
    <row r="534" spans="1:14" x14ac:dyDescent="0.25">
      <c r="A534" s="2" t="s">
        <v>2935</v>
      </c>
      <c r="B534" s="2" t="s">
        <v>77</v>
      </c>
      <c r="C534" s="4">
        <v>45846</v>
      </c>
      <c r="D534" s="4">
        <v>45876</v>
      </c>
      <c r="E534" s="2" t="s">
        <v>1108</v>
      </c>
      <c r="F534" s="2"/>
      <c r="G534" s="2" t="s">
        <v>21</v>
      </c>
      <c r="H534" s="2">
        <v>2041</v>
      </c>
      <c r="I534" s="2">
        <v>102.05</v>
      </c>
      <c r="J534" s="2">
        <v>2143.0500000000002</v>
      </c>
      <c r="K534" s="2">
        <v>2143.0500000000002</v>
      </c>
      <c r="L534" s="2" t="s">
        <v>22</v>
      </c>
      <c r="M534" s="2" t="s">
        <v>3844</v>
      </c>
      <c r="N534" s="2" t="s">
        <v>3843</v>
      </c>
    </row>
    <row r="535" spans="1:14" ht="30" x14ac:dyDescent="0.25">
      <c r="A535" s="2" t="s">
        <v>2427</v>
      </c>
      <c r="B535" s="2" t="s">
        <v>159</v>
      </c>
      <c r="C535" s="4">
        <v>45845</v>
      </c>
      <c r="D535" s="4">
        <v>45890</v>
      </c>
      <c r="E535" s="2" t="s">
        <v>1997</v>
      </c>
      <c r="F535" s="2"/>
      <c r="G535" s="2" t="s">
        <v>426</v>
      </c>
      <c r="H535" s="2">
        <v>2419.11</v>
      </c>
      <c r="I535" s="2"/>
      <c r="J535" s="2">
        <v>2419.11</v>
      </c>
      <c r="K535" s="2">
        <v>1778.05</v>
      </c>
      <c r="L535" s="2" t="s">
        <v>51</v>
      </c>
      <c r="M535" s="2" t="s">
        <v>3844</v>
      </c>
      <c r="N535" s="2" t="s">
        <v>3843</v>
      </c>
    </row>
    <row r="536" spans="1:14" ht="30" x14ac:dyDescent="0.25">
      <c r="A536" s="2" t="s">
        <v>2416</v>
      </c>
      <c r="B536" s="2" t="s">
        <v>159</v>
      </c>
      <c r="C536" s="4">
        <v>45845</v>
      </c>
      <c r="D536" s="4">
        <v>45890</v>
      </c>
      <c r="E536" s="2" t="s">
        <v>2017</v>
      </c>
      <c r="F536" s="2"/>
      <c r="G536" s="2" t="s">
        <v>426</v>
      </c>
      <c r="H536" s="2">
        <v>38955.64</v>
      </c>
      <c r="I536" s="2"/>
      <c r="J536" s="2">
        <v>38955.64</v>
      </c>
      <c r="K536" s="2">
        <v>28632.45</v>
      </c>
      <c r="L536" s="2" t="s">
        <v>51</v>
      </c>
      <c r="M536" s="2" t="s">
        <v>3844</v>
      </c>
      <c r="N536" s="2" t="s">
        <v>3843</v>
      </c>
    </row>
    <row r="537" spans="1:14" ht="30" x14ac:dyDescent="0.25">
      <c r="A537" s="2" t="s">
        <v>2932</v>
      </c>
      <c r="B537" s="2" t="s">
        <v>684</v>
      </c>
      <c r="C537" s="4">
        <v>45842</v>
      </c>
      <c r="D537" s="4">
        <v>45902</v>
      </c>
      <c r="E537" s="2" t="s">
        <v>1112</v>
      </c>
      <c r="F537" s="2"/>
      <c r="G537" s="2" t="s">
        <v>4194</v>
      </c>
      <c r="H537" s="2">
        <v>196.96</v>
      </c>
      <c r="I537" s="2">
        <v>9.85</v>
      </c>
      <c r="J537" s="2">
        <v>206.81</v>
      </c>
      <c r="K537" s="2">
        <v>206.81</v>
      </c>
      <c r="L537" s="2" t="s">
        <v>22</v>
      </c>
      <c r="M537" s="2" t="s">
        <v>3844</v>
      </c>
      <c r="N537" s="2" t="s">
        <v>3843</v>
      </c>
    </row>
    <row r="538" spans="1:14" x14ac:dyDescent="0.25">
      <c r="A538" s="2" t="s">
        <v>2924</v>
      </c>
      <c r="B538" s="2" t="s">
        <v>146</v>
      </c>
      <c r="C538" s="4">
        <v>45842</v>
      </c>
      <c r="D538" s="4">
        <v>45872</v>
      </c>
      <c r="E538" s="2" t="s">
        <v>1124</v>
      </c>
      <c r="F538" s="2"/>
      <c r="G538" s="2" t="s">
        <v>21</v>
      </c>
      <c r="H538" s="2">
        <v>7637.48</v>
      </c>
      <c r="I538" s="2">
        <v>381.88</v>
      </c>
      <c r="J538" s="2">
        <v>8019.36</v>
      </c>
      <c r="K538" s="2">
        <v>8019.36</v>
      </c>
      <c r="L538" s="2" t="s">
        <v>22</v>
      </c>
      <c r="M538" s="2" t="s">
        <v>3844</v>
      </c>
      <c r="N538" s="2" t="s">
        <v>3843</v>
      </c>
    </row>
    <row r="539" spans="1:14" ht="30" x14ac:dyDescent="0.25">
      <c r="A539" s="2" t="s">
        <v>2900</v>
      </c>
      <c r="B539" s="2" t="s">
        <v>369</v>
      </c>
      <c r="C539" s="4">
        <v>45842</v>
      </c>
      <c r="D539" s="4">
        <v>45842</v>
      </c>
      <c r="E539" s="2" t="s">
        <v>1163</v>
      </c>
      <c r="F539" s="2"/>
      <c r="G539" s="2" t="s">
        <v>36</v>
      </c>
      <c r="H539" s="2">
        <v>8150.73</v>
      </c>
      <c r="I539" s="2"/>
      <c r="J539" s="2">
        <v>8150.73</v>
      </c>
      <c r="K539" s="2">
        <v>6010.3</v>
      </c>
      <c r="L539" s="2" t="s">
        <v>51</v>
      </c>
      <c r="M539" s="2" t="s">
        <v>3844</v>
      </c>
      <c r="N539" s="2" t="s">
        <v>3843</v>
      </c>
    </row>
    <row r="540" spans="1:14" ht="30" x14ac:dyDescent="0.25">
      <c r="A540" s="2" t="s">
        <v>2898</v>
      </c>
      <c r="B540" s="2" t="s">
        <v>369</v>
      </c>
      <c r="C540" s="4">
        <v>45842</v>
      </c>
      <c r="D540" s="4">
        <v>45842</v>
      </c>
      <c r="E540" s="2" t="s">
        <v>1165</v>
      </c>
      <c r="F540" s="2"/>
      <c r="G540" s="2" t="s">
        <v>21</v>
      </c>
      <c r="H540" s="2">
        <v>13174.29</v>
      </c>
      <c r="I540" s="2"/>
      <c r="J540" s="2">
        <v>13174.29</v>
      </c>
      <c r="K540" s="2">
        <v>9714.65</v>
      </c>
      <c r="L540" s="2" t="s">
        <v>51</v>
      </c>
      <c r="M540" s="2" t="s">
        <v>3844</v>
      </c>
      <c r="N540" s="2" t="s">
        <v>3843</v>
      </c>
    </row>
    <row r="541" spans="1:14" x14ac:dyDescent="0.25">
      <c r="A541" s="2" t="s">
        <v>2931</v>
      </c>
      <c r="B541" s="2" t="s">
        <v>714</v>
      </c>
      <c r="C541" s="4">
        <v>45842</v>
      </c>
      <c r="D541" s="4">
        <v>45872</v>
      </c>
      <c r="E541" s="2" t="s">
        <v>1114</v>
      </c>
      <c r="F541" s="2"/>
      <c r="G541" s="2" t="s">
        <v>21</v>
      </c>
      <c r="H541" s="2"/>
      <c r="I541" s="2"/>
      <c r="J541" s="2"/>
      <c r="K541" s="2"/>
      <c r="L541" s="2" t="s">
        <v>51</v>
      </c>
      <c r="M541" s="2" t="s">
        <v>4031</v>
      </c>
      <c r="N541" s="2" t="s">
        <v>3843</v>
      </c>
    </row>
    <row r="542" spans="1:14" ht="30" x14ac:dyDescent="0.25">
      <c r="A542" s="2" t="s">
        <v>2885</v>
      </c>
      <c r="B542" s="2" t="s">
        <v>4171</v>
      </c>
      <c r="C542" s="4">
        <v>45842</v>
      </c>
      <c r="D542" s="4">
        <v>45872</v>
      </c>
      <c r="E542" s="2" t="s">
        <v>1190</v>
      </c>
      <c r="F542" s="2"/>
      <c r="G542" s="2" t="s">
        <v>180</v>
      </c>
      <c r="H542" s="2">
        <v>2773.07</v>
      </c>
      <c r="I542" s="2"/>
      <c r="J542" s="2">
        <v>2773.07</v>
      </c>
      <c r="K542" s="2">
        <v>2044.85</v>
      </c>
      <c r="L542" s="2" t="s">
        <v>51</v>
      </c>
      <c r="M542" s="2" t="s">
        <v>3844</v>
      </c>
      <c r="N542" s="2" t="s">
        <v>3978</v>
      </c>
    </row>
    <row r="543" spans="1:14" ht="30" x14ac:dyDescent="0.25">
      <c r="A543" s="2" t="s">
        <v>3469</v>
      </c>
      <c r="B543" s="2" t="s">
        <v>4171</v>
      </c>
      <c r="C543" s="4">
        <v>45842</v>
      </c>
      <c r="D543" s="4">
        <v>45842</v>
      </c>
      <c r="E543" s="2" t="s">
        <v>4193</v>
      </c>
      <c r="F543" s="2"/>
      <c r="G543" s="2" t="s">
        <v>426</v>
      </c>
      <c r="H543" s="2">
        <v>45439.7</v>
      </c>
      <c r="I543" s="2"/>
      <c r="J543" s="2">
        <v>45439.7</v>
      </c>
      <c r="K543" s="2">
        <v>33507</v>
      </c>
      <c r="L543" s="2" t="s">
        <v>51</v>
      </c>
      <c r="M543" s="2" t="s">
        <v>3844</v>
      </c>
      <c r="N543" s="2" t="s">
        <v>3978</v>
      </c>
    </row>
    <row r="544" spans="1:14" ht="30" x14ac:dyDescent="0.25">
      <c r="A544" s="2" t="s">
        <v>2922</v>
      </c>
      <c r="B544" s="2" t="s">
        <v>86</v>
      </c>
      <c r="C544" s="4">
        <v>45841</v>
      </c>
      <c r="D544" s="4">
        <v>45871</v>
      </c>
      <c r="E544" s="2" t="s">
        <v>1126</v>
      </c>
      <c r="F544" s="2"/>
      <c r="G544" s="2" t="s">
        <v>40</v>
      </c>
      <c r="H544" s="2">
        <v>264.91000000000003</v>
      </c>
      <c r="I544" s="2">
        <v>13.25</v>
      </c>
      <c r="J544" s="2">
        <v>278.16000000000003</v>
      </c>
      <c r="K544" s="2">
        <v>278.16000000000003</v>
      </c>
      <c r="L544" s="2" t="s">
        <v>22</v>
      </c>
      <c r="M544" s="2" t="s">
        <v>3844</v>
      </c>
      <c r="N544" s="2" t="s">
        <v>3843</v>
      </c>
    </row>
    <row r="545" spans="1:14" ht="30" x14ac:dyDescent="0.25">
      <c r="A545" s="2" t="s">
        <v>2866</v>
      </c>
      <c r="B545" s="2" t="s">
        <v>450</v>
      </c>
      <c r="C545" s="4">
        <v>45841</v>
      </c>
      <c r="D545" s="4">
        <v>45841</v>
      </c>
      <c r="E545" s="2" t="s">
        <v>1223</v>
      </c>
      <c r="F545" s="2"/>
      <c r="G545" s="2" t="s">
        <v>21</v>
      </c>
      <c r="H545" s="2">
        <v>2775.92</v>
      </c>
      <c r="I545" s="2">
        <v>360.87</v>
      </c>
      <c r="J545" s="2">
        <v>3136.79</v>
      </c>
      <c r="K545" s="2">
        <v>3136.79</v>
      </c>
      <c r="L545" s="2" t="s">
        <v>22</v>
      </c>
      <c r="M545" s="2" t="s">
        <v>3844</v>
      </c>
      <c r="N545" s="2" t="s">
        <v>3843</v>
      </c>
    </row>
    <row r="546" spans="1:14" ht="30" x14ac:dyDescent="0.25">
      <c r="A546" s="2" t="s">
        <v>2724</v>
      </c>
      <c r="B546" s="2" t="s">
        <v>20</v>
      </c>
      <c r="C546" s="4">
        <v>45841</v>
      </c>
      <c r="D546" s="4">
        <v>45901</v>
      </c>
      <c r="E546" s="2" t="s">
        <v>1481</v>
      </c>
      <c r="F546" s="2"/>
      <c r="G546" s="2" t="s">
        <v>21</v>
      </c>
      <c r="H546" s="2">
        <v>9878.11</v>
      </c>
      <c r="I546" s="2">
        <v>493.91</v>
      </c>
      <c r="J546" s="2">
        <v>10372.02</v>
      </c>
      <c r="K546" s="2">
        <v>10372.02</v>
      </c>
      <c r="L546" s="2" t="s">
        <v>22</v>
      </c>
      <c r="M546" s="2" t="s">
        <v>3844</v>
      </c>
      <c r="N546" s="2" t="s">
        <v>3843</v>
      </c>
    </row>
    <row r="547" spans="1:14" ht="30" x14ac:dyDescent="0.25">
      <c r="A547" s="2" t="s">
        <v>2916</v>
      </c>
      <c r="B547" s="2" t="s">
        <v>39</v>
      </c>
      <c r="C547" s="4">
        <v>45840</v>
      </c>
      <c r="D547" s="4">
        <v>45870</v>
      </c>
      <c r="E547" s="2" t="s">
        <v>1138</v>
      </c>
      <c r="F547" s="2"/>
      <c r="G547" s="2" t="s">
        <v>21</v>
      </c>
      <c r="H547" s="2">
        <v>198.18</v>
      </c>
      <c r="I547" s="2">
        <v>9.91</v>
      </c>
      <c r="J547" s="2">
        <v>208.09</v>
      </c>
      <c r="K547" s="2">
        <v>208.09</v>
      </c>
      <c r="L547" s="2" t="s">
        <v>22</v>
      </c>
      <c r="M547" s="2" t="s">
        <v>3844</v>
      </c>
      <c r="N547" s="2" t="s">
        <v>3843</v>
      </c>
    </row>
    <row r="548" spans="1:14" ht="45" x14ac:dyDescent="0.25">
      <c r="A548" s="2" t="s">
        <v>2873</v>
      </c>
      <c r="B548" s="2" t="s">
        <v>4192</v>
      </c>
      <c r="C548" s="4">
        <v>45840</v>
      </c>
      <c r="D548" s="4">
        <v>45840</v>
      </c>
      <c r="E548" s="2" t="s">
        <v>1213</v>
      </c>
      <c r="F548" s="2"/>
      <c r="G548" s="2" t="s">
        <v>21</v>
      </c>
      <c r="H548" s="2">
        <v>17704.97</v>
      </c>
      <c r="I548" s="2"/>
      <c r="J548" s="2">
        <v>17704.97</v>
      </c>
      <c r="K548" s="2">
        <v>12999.32</v>
      </c>
      <c r="L548" s="2" t="s">
        <v>51</v>
      </c>
      <c r="M548" s="2" t="s">
        <v>3844</v>
      </c>
      <c r="N548" s="2" t="s">
        <v>3843</v>
      </c>
    </row>
    <row r="549" spans="1:14" x14ac:dyDescent="0.25">
      <c r="A549" s="2" t="s">
        <v>2840</v>
      </c>
      <c r="B549" s="2" t="s">
        <v>1268</v>
      </c>
      <c r="C549" s="4">
        <v>45840</v>
      </c>
      <c r="D549" s="4">
        <v>45870</v>
      </c>
      <c r="E549" s="2" t="s">
        <v>1266</v>
      </c>
      <c r="F549" s="2"/>
      <c r="G549" s="2" t="s">
        <v>21</v>
      </c>
      <c r="H549" s="2">
        <v>4798.24</v>
      </c>
      <c r="I549" s="2">
        <v>623.77</v>
      </c>
      <c r="J549" s="2">
        <v>5422.01</v>
      </c>
      <c r="K549" s="2">
        <v>5422.01</v>
      </c>
      <c r="L549" s="2" t="s">
        <v>22</v>
      </c>
      <c r="M549" s="2" t="s">
        <v>3844</v>
      </c>
      <c r="N549" s="2" t="s">
        <v>3843</v>
      </c>
    </row>
    <row r="550" spans="1:14" x14ac:dyDescent="0.25">
      <c r="A550" s="2" t="s">
        <v>4191</v>
      </c>
      <c r="B550" s="2" t="s">
        <v>1137</v>
      </c>
      <c r="C550" s="4">
        <v>45839</v>
      </c>
      <c r="D550" s="4">
        <v>45839</v>
      </c>
      <c r="E550" s="2" t="s">
        <v>1135</v>
      </c>
      <c r="F550" s="2"/>
      <c r="G550" s="2" t="s">
        <v>36</v>
      </c>
      <c r="H550" s="2"/>
      <c r="I550" s="2"/>
      <c r="J550" s="2"/>
      <c r="K550" s="2"/>
      <c r="L550" s="2" t="s">
        <v>22</v>
      </c>
      <c r="M550" s="2" t="s">
        <v>3844</v>
      </c>
      <c r="N550" s="2" t="s">
        <v>4141</v>
      </c>
    </row>
    <row r="551" spans="1:14" x14ac:dyDescent="0.25">
      <c r="A551" s="2" t="s">
        <v>2908</v>
      </c>
      <c r="B551" s="2" t="s">
        <v>141</v>
      </c>
      <c r="C551" s="4">
        <v>45838</v>
      </c>
      <c r="D551" s="4">
        <v>45883</v>
      </c>
      <c r="E551" s="2" t="s">
        <v>1149</v>
      </c>
      <c r="F551" s="2"/>
      <c r="G551" s="2" t="s">
        <v>40</v>
      </c>
      <c r="H551" s="2">
        <v>465.37</v>
      </c>
      <c r="I551" s="2"/>
      <c r="J551" s="2">
        <v>465.37</v>
      </c>
      <c r="K551" s="2">
        <v>339.85</v>
      </c>
      <c r="L551" s="2" t="s">
        <v>51</v>
      </c>
      <c r="M551" s="2" t="s">
        <v>3844</v>
      </c>
      <c r="N551" s="2" t="s">
        <v>3843</v>
      </c>
    </row>
    <row r="552" spans="1:14" x14ac:dyDescent="0.25">
      <c r="A552" s="2" t="s">
        <v>2639</v>
      </c>
      <c r="B552" s="2" t="s">
        <v>64</v>
      </c>
      <c r="C552" s="4">
        <v>45834</v>
      </c>
      <c r="D552" s="4">
        <v>45864</v>
      </c>
      <c r="E552" s="2" t="s">
        <v>1631</v>
      </c>
      <c r="F552" s="2"/>
      <c r="G552" s="2" t="s">
        <v>21</v>
      </c>
      <c r="H552" s="2">
        <v>4380</v>
      </c>
      <c r="I552" s="2">
        <v>569.4</v>
      </c>
      <c r="J552" s="2">
        <v>4949.3999999999996</v>
      </c>
      <c r="K552" s="2">
        <v>4949.3999999999996</v>
      </c>
      <c r="L552" s="2" t="s">
        <v>22</v>
      </c>
      <c r="M552" s="2" t="s">
        <v>3844</v>
      </c>
      <c r="N552" s="2" t="s">
        <v>3843</v>
      </c>
    </row>
    <row r="553" spans="1:14" ht="30" x14ac:dyDescent="0.25">
      <c r="A553" s="2" t="s">
        <v>2912</v>
      </c>
      <c r="B553" s="2" t="s">
        <v>4190</v>
      </c>
      <c r="C553" s="4">
        <v>45834</v>
      </c>
      <c r="D553" s="4">
        <v>45864</v>
      </c>
      <c r="E553" s="2" t="s">
        <v>1142</v>
      </c>
      <c r="F553" s="2"/>
      <c r="G553" s="2" t="s">
        <v>36</v>
      </c>
      <c r="H553" s="2">
        <v>126.12</v>
      </c>
      <c r="I553" s="2">
        <v>6.31</v>
      </c>
      <c r="J553" s="2">
        <v>132.43</v>
      </c>
      <c r="K553" s="2">
        <v>132.43</v>
      </c>
      <c r="L553" s="2" t="s">
        <v>22</v>
      </c>
      <c r="M553" s="2" t="s">
        <v>3844</v>
      </c>
      <c r="N553" s="2" t="s">
        <v>3843</v>
      </c>
    </row>
    <row r="554" spans="1:14" ht="30" x14ac:dyDescent="0.25">
      <c r="A554" s="2" t="s">
        <v>2824</v>
      </c>
      <c r="B554" s="2" t="s">
        <v>369</v>
      </c>
      <c r="C554" s="4">
        <v>45833</v>
      </c>
      <c r="D554" s="4">
        <v>45833</v>
      </c>
      <c r="E554" s="2" t="s">
        <v>1295</v>
      </c>
      <c r="F554" s="2"/>
      <c r="G554" s="2" t="s">
        <v>21</v>
      </c>
      <c r="H554" s="2">
        <v>28656.12</v>
      </c>
      <c r="I554" s="2"/>
      <c r="J554" s="2">
        <v>28656.12</v>
      </c>
      <c r="K554" s="2">
        <v>20808.13</v>
      </c>
      <c r="L554" s="2" t="s">
        <v>51</v>
      </c>
      <c r="M554" s="2" t="s">
        <v>3844</v>
      </c>
      <c r="N554" s="2" t="s">
        <v>3843</v>
      </c>
    </row>
    <row r="555" spans="1:14" ht="30" x14ac:dyDescent="0.25">
      <c r="A555" s="2" t="s">
        <v>2835</v>
      </c>
      <c r="B555" s="2" t="s">
        <v>26</v>
      </c>
      <c r="C555" s="4">
        <v>45833</v>
      </c>
      <c r="D555" s="4">
        <v>45893</v>
      </c>
      <c r="E555" s="2" t="s">
        <v>1276</v>
      </c>
      <c r="F555" s="2"/>
      <c r="G555" s="2" t="s">
        <v>21</v>
      </c>
      <c r="H555" s="2"/>
      <c r="I555" s="2"/>
      <c r="J555" s="2"/>
      <c r="K555" s="2"/>
      <c r="L555" s="2" t="s">
        <v>22</v>
      </c>
      <c r="M555" s="2" t="s">
        <v>4031</v>
      </c>
      <c r="N555" s="2" t="s">
        <v>3843</v>
      </c>
    </row>
    <row r="556" spans="1:14" ht="30" x14ac:dyDescent="0.25">
      <c r="A556" s="2" t="s">
        <v>2831</v>
      </c>
      <c r="B556" s="2" t="s">
        <v>26</v>
      </c>
      <c r="C556" s="4">
        <v>45833</v>
      </c>
      <c r="D556" s="4">
        <v>45893</v>
      </c>
      <c r="E556" s="2" t="s">
        <v>1284</v>
      </c>
      <c r="F556" s="2"/>
      <c r="G556" s="2" t="s">
        <v>21</v>
      </c>
      <c r="H556" s="2"/>
      <c r="I556" s="2"/>
      <c r="J556" s="2"/>
      <c r="K556" s="2"/>
      <c r="L556" s="2" t="s">
        <v>22</v>
      </c>
      <c r="M556" s="2" t="s">
        <v>4031</v>
      </c>
      <c r="N556" s="2" t="s">
        <v>3843</v>
      </c>
    </row>
    <row r="557" spans="1:14" ht="30" x14ac:dyDescent="0.25">
      <c r="A557" s="2" t="s">
        <v>2878</v>
      </c>
      <c r="B557" s="2" t="s">
        <v>4183</v>
      </c>
      <c r="C557" s="4">
        <v>45833</v>
      </c>
      <c r="D557" s="4">
        <v>45863</v>
      </c>
      <c r="E557" s="2" t="s">
        <v>1205</v>
      </c>
      <c r="F557" s="2"/>
      <c r="G557" s="2" t="s">
        <v>21</v>
      </c>
      <c r="H557" s="2">
        <v>911.88</v>
      </c>
      <c r="I557" s="2"/>
      <c r="J557" s="2">
        <v>911.88</v>
      </c>
      <c r="K557" s="2">
        <v>662.76</v>
      </c>
      <c r="L557" s="2" t="s">
        <v>51</v>
      </c>
      <c r="M557" s="2" t="s">
        <v>3844</v>
      </c>
      <c r="N557" s="2" t="s">
        <v>3843</v>
      </c>
    </row>
    <row r="558" spans="1:14" x14ac:dyDescent="0.25">
      <c r="A558" s="2" t="s">
        <v>2617</v>
      </c>
      <c r="B558" s="2" t="s">
        <v>149</v>
      </c>
      <c r="C558" s="4">
        <v>45833</v>
      </c>
      <c r="D558" s="4">
        <v>45833</v>
      </c>
      <c r="E558" s="2" t="s">
        <v>1664</v>
      </c>
      <c r="F558" s="2"/>
      <c r="G558" s="2" t="s">
        <v>21</v>
      </c>
      <c r="H558" s="2">
        <v>962.47</v>
      </c>
      <c r="I558" s="2"/>
      <c r="J558" s="2">
        <v>962.47</v>
      </c>
      <c r="K558" s="2">
        <v>698.88</v>
      </c>
      <c r="L558" s="2" t="s">
        <v>51</v>
      </c>
      <c r="M558" s="2" t="s">
        <v>3844</v>
      </c>
      <c r="N558" s="2" t="s">
        <v>3843</v>
      </c>
    </row>
    <row r="559" spans="1:14" x14ac:dyDescent="0.25">
      <c r="A559" s="2" t="s">
        <v>2904</v>
      </c>
      <c r="B559" s="2" t="s">
        <v>141</v>
      </c>
      <c r="C559" s="4">
        <v>45832</v>
      </c>
      <c r="D559" s="4">
        <v>45877</v>
      </c>
      <c r="E559" s="2" t="s">
        <v>1155</v>
      </c>
      <c r="F559" s="2"/>
      <c r="G559" s="2" t="s">
        <v>21</v>
      </c>
      <c r="H559" s="2">
        <v>271.69</v>
      </c>
      <c r="I559" s="2"/>
      <c r="J559" s="2">
        <v>271.69</v>
      </c>
      <c r="K559" s="2">
        <v>197.28</v>
      </c>
      <c r="L559" s="2" t="s">
        <v>51</v>
      </c>
      <c r="M559" s="2" t="s">
        <v>3844</v>
      </c>
      <c r="N559" s="2" t="s">
        <v>3843</v>
      </c>
    </row>
    <row r="560" spans="1:14" x14ac:dyDescent="0.25">
      <c r="A560" s="2" t="s">
        <v>2903</v>
      </c>
      <c r="B560" s="2" t="s">
        <v>141</v>
      </c>
      <c r="C560" s="4">
        <v>45832</v>
      </c>
      <c r="D560" s="4">
        <v>45877</v>
      </c>
      <c r="E560" s="2" t="s">
        <v>1157</v>
      </c>
      <c r="F560" s="2"/>
      <c r="G560" s="2" t="s">
        <v>21</v>
      </c>
      <c r="H560" s="2">
        <v>117.02</v>
      </c>
      <c r="I560" s="2"/>
      <c r="J560" s="2">
        <v>117.02</v>
      </c>
      <c r="K560" s="2">
        <v>84.97</v>
      </c>
      <c r="L560" s="2" t="s">
        <v>51</v>
      </c>
      <c r="M560" s="2" t="s">
        <v>3844</v>
      </c>
      <c r="N560" s="2" t="s">
        <v>3843</v>
      </c>
    </row>
    <row r="561" spans="1:14" ht="30" x14ac:dyDescent="0.25">
      <c r="A561" s="2" t="s">
        <v>2844</v>
      </c>
      <c r="B561" s="2" t="s">
        <v>39</v>
      </c>
      <c r="C561" s="4">
        <v>45832</v>
      </c>
      <c r="D561" s="4">
        <v>45862</v>
      </c>
      <c r="E561" s="2" t="s">
        <v>1262</v>
      </c>
      <c r="F561" s="2"/>
      <c r="G561" s="2" t="s">
        <v>21</v>
      </c>
      <c r="H561" s="2">
        <v>142.29</v>
      </c>
      <c r="I561" s="2">
        <v>7.11</v>
      </c>
      <c r="J561" s="2">
        <v>149.4</v>
      </c>
      <c r="K561" s="2">
        <v>149.4</v>
      </c>
      <c r="L561" s="2" t="s">
        <v>22</v>
      </c>
      <c r="M561" s="2" t="s">
        <v>3844</v>
      </c>
      <c r="N561" s="2" t="s">
        <v>3843</v>
      </c>
    </row>
    <row r="562" spans="1:14" ht="30" x14ac:dyDescent="0.25">
      <c r="A562" s="2" t="s">
        <v>2658</v>
      </c>
      <c r="B562" s="2" t="s">
        <v>39</v>
      </c>
      <c r="C562" s="4">
        <v>45832</v>
      </c>
      <c r="D562" s="4">
        <v>45862</v>
      </c>
      <c r="E562" s="2" t="s">
        <v>1593</v>
      </c>
      <c r="F562" s="2"/>
      <c r="G562" s="2" t="s">
        <v>21</v>
      </c>
      <c r="H562" s="2">
        <v>359.28</v>
      </c>
      <c r="I562" s="2">
        <v>17.96</v>
      </c>
      <c r="J562" s="2">
        <v>377.24</v>
      </c>
      <c r="K562" s="2">
        <v>377.24</v>
      </c>
      <c r="L562" s="2" t="s">
        <v>22</v>
      </c>
      <c r="M562" s="2" t="s">
        <v>3844</v>
      </c>
      <c r="N562" s="2" t="s">
        <v>3843</v>
      </c>
    </row>
    <row r="563" spans="1:14" x14ac:dyDescent="0.25">
      <c r="A563" s="2" t="s">
        <v>2894</v>
      </c>
      <c r="B563" s="2" t="s">
        <v>556</v>
      </c>
      <c r="C563" s="4">
        <v>45832</v>
      </c>
      <c r="D563" s="4">
        <v>45862</v>
      </c>
      <c r="E563" s="2" t="s">
        <v>1171</v>
      </c>
      <c r="F563" s="2"/>
      <c r="G563" s="2" t="s">
        <v>40</v>
      </c>
      <c r="H563" s="2">
        <v>425.21</v>
      </c>
      <c r="I563" s="2">
        <v>55.28</v>
      </c>
      <c r="J563" s="2">
        <v>480.49</v>
      </c>
      <c r="K563" s="2">
        <v>480.49</v>
      </c>
      <c r="L563" s="2" t="s">
        <v>22</v>
      </c>
      <c r="M563" s="2" t="s">
        <v>3844</v>
      </c>
      <c r="N563" s="2" t="s">
        <v>3843</v>
      </c>
    </row>
    <row r="564" spans="1:14" x14ac:dyDescent="0.25">
      <c r="A564" s="2" t="s">
        <v>2895</v>
      </c>
      <c r="B564" s="2" t="s">
        <v>192</v>
      </c>
      <c r="C564" s="4">
        <v>45832</v>
      </c>
      <c r="D564" s="4">
        <v>45862</v>
      </c>
      <c r="E564" s="2" t="s">
        <v>1169</v>
      </c>
      <c r="F564" s="2"/>
      <c r="G564" s="2" t="s">
        <v>21</v>
      </c>
      <c r="H564" s="2">
        <v>2877.96</v>
      </c>
      <c r="I564" s="2"/>
      <c r="J564" s="2">
        <v>2877.96</v>
      </c>
      <c r="K564" s="2">
        <v>2089.7800000000002</v>
      </c>
      <c r="L564" s="2" t="s">
        <v>51</v>
      </c>
      <c r="M564" s="2" t="s">
        <v>3844</v>
      </c>
      <c r="N564" s="2" t="s">
        <v>3843</v>
      </c>
    </row>
    <row r="565" spans="1:14" ht="30" x14ac:dyDescent="0.25">
      <c r="A565" s="2" t="s">
        <v>2693</v>
      </c>
      <c r="B565" s="2" t="s">
        <v>159</v>
      </c>
      <c r="C565" s="4">
        <v>45832</v>
      </c>
      <c r="D565" s="4">
        <v>45877</v>
      </c>
      <c r="E565" s="2" t="s">
        <v>1536</v>
      </c>
      <c r="F565" s="2"/>
      <c r="G565" s="2" t="s">
        <v>40</v>
      </c>
      <c r="H565" s="2">
        <v>53030.79</v>
      </c>
      <c r="I565" s="2"/>
      <c r="J565" s="2">
        <v>53030.79</v>
      </c>
      <c r="K565" s="2">
        <v>38507.360000000001</v>
      </c>
      <c r="L565" s="2" t="s">
        <v>51</v>
      </c>
      <c r="M565" s="2" t="s">
        <v>3844</v>
      </c>
      <c r="N565" s="2" t="s">
        <v>3843</v>
      </c>
    </row>
    <row r="566" spans="1:14" ht="30" x14ac:dyDescent="0.25">
      <c r="A566" s="2" t="s">
        <v>2865</v>
      </c>
      <c r="B566" s="2" t="s">
        <v>159</v>
      </c>
      <c r="C566" s="4">
        <v>45832</v>
      </c>
      <c r="D566" s="4">
        <v>45877</v>
      </c>
      <c r="E566" s="2" t="s">
        <v>1225</v>
      </c>
      <c r="F566" s="2"/>
      <c r="G566" s="2" t="s">
        <v>40</v>
      </c>
      <c r="H566" s="2">
        <v>51837.71</v>
      </c>
      <c r="I566" s="2"/>
      <c r="J566" s="2">
        <v>51837.71</v>
      </c>
      <c r="K566" s="2">
        <v>37641.019999999997</v>
      </c>
      <c r="L566" s="2" t="s">
        <v>51</v>
      </c>
      <c r="M566" s="2" t="s">
        <v>3844</v>
      </c>
      <c r="N566" s="2" t="s">
        <v>3843</v>
      </c>
    </row>
    <row r="567" spans="1:14" ht="30" x14ac:dyDescent="0.25">
      <c r="A567" s="2" t="s">
        <v>2860</v>
      </c>
      <c r="B567" s="2" t="s">
        <v>159</v>
      </c>
      <c r="C567" s="4">
        <v>45832</v>
      </c>
      <c r="D567" s="4">
        <v>45877</v>
      </c>
      <c r="E567" s="2" t="s">
        <v>1232</v>
      </c>
      <c r="F567" s="2"/>
      <c r="G567" s="2" t="s">
        <v>40</v>
      </c>
      <c r="H567" s="2">
        <v>25669.43</v>
      </c>
      <c r="I567" s="2"/>
      <c r="J567" s="2">
        <v>25669.43</v>
      </c>
      <c r="K567" s="2">
        <v>18639.400000000001</v>
      </c>
      <c r="L567" s="2" t="s">
        <v>51</v>
      </c>
      <c r="M567" s="2" t="s">
        <v>3844</v>
      </c>
      <c r="N567" s="2" t="s">
        <v>3843</v>
      </c>
    </row>
    <row r="568" spans="1:14" x14ac:dyDescent="0.25">
      <c r="A568" s="2" t="s">
        <v>3514</v>
      </c>
      <c r="B568" s="2" t="s">
        <v>714</v>
      </c>
      <c r="C568" s="4">
        <v>45832</v>
      </c>
      <c r="D568" s="4">
        <v>45862</v>
      </c>
      <c r="E568" s="2" t="s">
        <v>4146</v>
      </c>
      <c r="F568" s="2"/>
      <c r="G568" s="2" t="s">
        <v>21</v>
      </c>
      <c r="H568" s="2">
        <v>75486.36</v>
      </c>
      <c r="I568" s="2"/>
      <c r="J568" s="2">
        <v>75486.36</v>
      </c>
      <c r="K568" s="2">
        <v>54813.08</v>
      </c>
      <c r="L568" s="2" t="s">
        <v>51</v>
      </c>
      <c r="M568" s="2" t="s">
        <v>3844</v>
      </c>
      <c r="N568" s="2" t="s">
        <v>3843</v>
      </c>
    </row>
    <row r="569" spans="1:14" x14ac:dyDescent="0.25">
      <c r="A569" s="2" t="s">
        <v>2811</v>
      </c>
      <c r="B569" s="2" t="s">
        <v>77</v>
      </c>
      <c r="C569" s="4">
        <v>45831</v>
      </c>
      <c r="D569" s="4">
        <v>45861</v>
      </c>
      <c r="E569" s="2" t="s">
        <v>1320</v>
      </c>
      <c r="F569" s="2"/>
      <c r="G569" s="2" t="s">
        <v>21</v>
      </c>
      <c r="H569" s="2">
        <v>5934.85</v>
      </c>
      <c r="I569" s="2">
        <v>296.74</v>
      </c>
      <c r="J569" s="2">
        <v>6231.59</v>
      </c>
      <c r="K569" s="2">
        <v>6231.59</v>
      </c>
      <c r="L569" s="2" t="s">
        <v>22</v>
      </c>
      <c r="M569" s="2" t="s">
        <v>3844</v>
      </c>
      <c r="N569" s="2" t="s">
        <v>3843</v>
      </c>
    </row>
    <row r="570" spans="1:14" x14ac:dyDescent="0.25">
      <c r="A570" s="2" t="s">
        <v>2888</v>
      </c>
      <c r="B570" s="2" t="s">
        <v>77</v>
      </c>
      <c r="C570" s="4">
        <v>45831</v>
      </c>
      <c r="D570" s="4">
        <v>45861</v>
      </c>
      <c r="E570" s="2" t="s">
        <v>1185</v>
      </c>
      <c r="F570" s="2"/>
      <c r="G570" s="2" t="s">
        <v>21</v>
      </c>
      <c r="H570" s="2">
        <v>519.5</v>
      </c>
      <c r="I570" s="2">
        <v>25.97</v>
      </c>
      <c r="J570" s="2">
        <v>545.47</v>
      </c>
      <c r="K570" s="2">
        <v>545.47</v>
      </c>
      <c r="L570" s="2" t="s">
        <v>22</v>
      </c>
      <c r="M570" s="2" t="s">
        <v>3844</v>
      </c>
      <c r="N570" s="2" t="s">
        <v>3843</v>
      </c>
    </row>
    <row r="571" spans="1:14" ht="30" x14ac:dyDescent="0.25">
      <c r="A571" s="2" t="s">
        <v>2728</v>
      </c>
      <c r="B571" s="2" t="s">
        <v>129</v>
      </c>
      <c r="C571" s="4">
        <v>45831</v>
      </c>
      <c r="D571" s="4">
        <v>45861</v>
      </c>
      <c r="E571" s="2" t="s">
        <v>1473</v>
      </c>
      <c r="F571" s="2"/>
      <c r="G571" s="2" t="s">
        <v>130</v>
      </c>
      <c r="H571" s="2">
        <v>5685.55</v>
      </c>
      <c r="I571" s="2"/>
      <c r="J571" s="2">
        <v>5685.55</v>
      </c>
      <c r="K571" s="2">
        <v>4141.32</v>
      </c>
      <c r="L571" s="2" t="s">
        <v>51</v>
      </c>
      <c r="M571" s="2" t="s">
        <v>3844</v>
      </c>
      <c r="N571" s="2" t="s">
        <v>3843</v>
      </c>
    </row>
    <row r="572" spans="1:14" ht="30" x14ac:dyDescent="0.25">
      <c r="A572" s="2" t="s">
        <v>2592</v>
      </c>
      <c r="B572" s="2" t="s">
        <v>129</v>
      </c>
      <c r="C572" s="4">
        <v>45831</v>
      </c>
      <c r="D572" s="4">
        <v>45861</v>
      </c>
      <c r="E572" s="2" t="s">
        <v>1708</v>
      </c>
      <c r="F572" s="2"/>
      <c r="G572" s="2" t="s">
        <v>130</v>
      </c>
      <c r="H572" s="2">
        <v>3108.21</v>
      </c>
      <c r="I572" s="2"/>
      <c r="J572" s="2">
        <v>3108.21</v>
      </c>
      <c r="K572" s="2">
        <v>2264</v>
      </c>
      <c r="L572" s="2" t="s">
        <v>51</v>
      </c>
      <c r="M572" s="2" t="s">
        <v>3844</v>
      </c>
      <c r="N572" s="2" t="s">
        <v>3843</v>
      </c>
    </row>
    <row r="573" spans="1:14" ht="30" x14ac:dyDescent="0.25">
      <c r="A573" s="2" t="s">
        <v>4167</v>
      </c>
      <c r="B573" s="2" t="s">
        <v>98</v>
      </c>
      <c r="C573" s="2"/>
      <c r="D573" s="4">
        <v>45861</v>
      </c>
      <c r="E573" s="2" t="s">
        <v>1329</v>
      </c>
      <c r="F573" s="2"/>
      <c r="G573" s="2" t="s">
        <v>21</v>
      </c>
      <c r="H573" s="2">
        <v>4343.46</v>
      </c>
      <c r="I573" s="2">
        <v>564.65</v>
      </c>
      <c r="J573" s="2">
        <v>4908.1099999999997</v>
      </c>
      <c r="K573" s="2">
        <v>4908.1099999999997</v>
      </c>
      <c r="L573" s="2" t="s">
        <v>22</v>
      </c>
      <c r="M573" s="2" t="s">
        <v>3844</v>
      </c>
      <c r="N573" s="2" t="s">
        <v>3978</v>
      </c>
    </row>
    <row r="574" spans="1:14" ht="30" x14ac:dyDescent="0.25">
      <c r="A574" s="2" t="s">
        <v>2719</v>
      </c>
      <c r="B574" s="2" t="s">
        <v>98</v>
      </c>
      <c r="C574" s="4">
        <v>45828</v>
      </c>
      <c r="D574" s="4">
        <v>45858</v>
      </c>
      <c r="E574" s="2" t="s">
        <v>1489</v>
      </c>
      <c r="F574" s="2"/>
      <c r="G574" s="2" t="s">
        <v>1132</v>
      </c>
      <c r="H574" s="2">
        <v>995.06</v>
      </c>
      <c r="I574" s="2">
        <v>129.36000000000001</v>
      </c>
      <c r="J574" s="2">
        <v>1124.42</v>
      </c>
      <c r="K574" s="2">
        <v>1124.42</v>
      </c>
      <c r="L574" s="2" t="s">
        <v>22</v>
      </c>
      <c r="M574" s="2" t="s">
        <v>3844</v>
      </c>
      <c r="N574" s="2" t="s">
        <v>3843</v>
      </c>
    </row>
    <row r="575" spans="1:14" ht="30" x14ac:dyDescent="0.25">
      <c r="A575" s="2" t="s">
        <v>2876</v>
      </c>
      <c r="B575" s="2" t="s">
        <v>98</v>
      </c>
      <c r="C575" s="4">
        <v>45828</v>
      </c>
      <c r="D575" s="4">
        <v>45858</v>
      </c>
      <c r="E575" s="2" t="s">
        <v>1207</v>
      </c>
      <c r="F575" s="2"/>
      <c r="G575" s="2" t="s">
        <v>21</v>
      </c>
      <c r="H575" s="2">
        <v>3944.87</v>
      </c>
      <c r="I575" s="2">
        <v>512.83000000000004</v>
      </c>
      <c r="J575" s="2">
        <v>4457.7</v>
      </c>
      <c r="K575" s="2">
        <v>4457.7</v>
      </c>
      <c r="L575" s="2" t="s">
        <v>22</v>
      </c>
      <c r="M575" s="2" t="s">
        <v>3844</v>
      </c>
      <c r="N575" s="2" t="s">
        <v>3843</v>
      </c>
    </row>
    <row r="576" spans="1:14" ht="30" x14ac:dyDescent="0.25">
      <c r="A576" s="2" t="s">
        <v>2805</v>
      </c>
      <c r="B576" s="2" t="s">
        <v>98</v>
      </c>
      <c r="C576" s="4">
        <v>45828</v>
      </c>
      <c r="D576" s="4">
        <v>45858</v>
      </c>
      <c r="E576" s="2" t="s">
        <v>1329</v>
      </c>
      <c r="F576" s="2"/>
      <c r="G576" s="2" t="s">
        <v>21</v>
      </c>
      <c r="H576" s="2">
        <v>4343.46</v>
      </c>
      <c r="I576" s="2">
        <v>564.65</v>
      </c>
      <c r="J576" s="2">
        <v>4908.1099999999997</v>
      </c>
      <c r="K576" s="2">
        <v>4908.1099999999997</v>
      </c>
      <c r="L576" s="2" t="s">
        <v>22</v>
      </c>
      <c r="M576" s="2" t="s">
        <v>3844</v>
      </c>
      <c r="N576" s="2" t="s">
        <v>3843</v>
      </c>
    </row>
    <row r="577" spans="1:14" ht="45" x14ac:dyDescent="0.25">
      <c r="A577" s="2" t="s">
        <v>2892</v>
      </c>
      <c r="B577" s="2" t="s">
        <v>502</v>
      </c>
      <c r="C577" s="4">
        <v>45828</v>
      </c>
      <c r="D577" s="4">
        <v>45873</v>
      </c>
      <c r="E577" s="2" t="s">
        <v>1175</v>
      </c>
      <c r="F577" s="2"/>
      <c r="G577" s="2" t="s">
        <v>21</v>
      </c>
      <c r="H577" s="2">
        <v>2497.21</v>
      </c>
      <c r="I577" s="2">
        <v>124.86</v>
      </c>
      <c r="J577" s="2">
        <v>2622.07</v>
      </c>
      <c r="K577" s="2">
        <v>2622.07</v>
      </c>
      <c r="L577" s="2" t="s">
        <v>22</v>
      </c>
      <c r="M577" s="2" t="s">
        <v>3844</v>
      </c>
      <c r="N577" s="2" t="s">
        <v>3843</v>
      </c>
    </row>
    <row r="578" spans="1:14" x14ac:dyDescent="0.25">
      <c r="A578" s="2" t="s">
        <v>2891</v>
      </c>
      <c r="B578" s="2" t="s">
        <v>1179</v>
      </c>
      <c r="C578" s="4">
        <v>45828</v>
      </c>
      <c r="D578" s="4">
        <v>45858</v>
      </c>
      <c r="E578" s="2" t="s">
        <v>1177</v>
      </c>
      <c r="F578" s="2"/>
      <c r="G578" s="2" t="s">
        <v>21</v>
      </c>
      <c r="H578" s="2">
        <v>4331.1499999999996</v>
      </c>
      <c r="I578" s="2">
        <v>216.57</v>
      </c>
      <c r="J578" s="2">
        <v>4547.72</v>
      </c>
      <c r="K578" s="2">
        <v>4547.72</v>
      </c>
      <c r="L578" s="2" t="s">
        <v>22</v>
      </c>
      <c r="M578" s="2" t="s">
        <v>3844</v>
      </c>
      <c r="N578" s="2" t="s">
        <v>3843</v>
      </c>
    </row>
    <row r="579" spans="1:14" ht="30" x14ac:dyDescent="0.25">
      <c r="A579" s="2" t="s">
        <v>2715</v>
      </c>
      <c r="B579" s="2" t="s">
        <v>4151</v>
      </c>
      <c r="C579" s="4">
        <v>45828</v>
      </c>
      <c r="D579" s="4">
        <v>45828</v>
      </c>
      <c r="E579" s="2" t="s">
        <v>1497</v>
      </c>
      <c r="F579" s="2"/>
      <c r="G579" s="2" t="s">
        <v>180</v>
      </c>
      <c r="H579" s="2">
        <v>10304.81</v>
      </c>
      <c r="I579" s="2"/>
      <c r="J579" s="2">
        <v>10304.81</v>
      </c>
      <c r="K579" s="2">
        <v>7529.47</v>
      </c>
      <c r="L579" s="2" t="s">
        <v>51</v>
      </c>
      <c r="M579" s="2" t="s">
        <v>3844</v>
      </c>
      <c r="N579" s="2" t="s">
        <v>3843</v>
      </c>
    </row>
    <row r="580" spans="1:14" ht="30" x14ac:dyDescent="0.25">
      <c r="A580" s="2" t="s">
        <v>3518</v>
      </c>
      <c r="B580" s="2" t="s">
        <v>4151</v>
      </c>
      <c r="C580" s="4">
        <v>45828</v>
      </c>
      <c r="D580" s="4">
        <v>45828</v>
      </c>
      <c r="E580" s="2" t="s">
        <v>3562</v>
      </c>
      <c r="F580" s="2"/>
      <c r="G580" s="2" t="s">
        <v>180</v>
      </c>
      <c r="H580" s="2">
        <v>5688.26</v>
      </c>
      <c r="I580" s="2"/>
      <c r="J580" s="2">
        <v>5688.26</v>
      </c>
      <c r="K580" s="2">
        <v>4155.53</v>
      </c>
      <c r="L580" s="2" t="s">
        <v>51</v>
      </c>
      <c r="M580" s="2" t="s">
        <v>3844</v>
      </c>
      <c r="N580" s="2" t="s">
        <v>3843</v>
      </c>
    </row>
    <row r="581" spans="1:14" ht="45" x14ac:dyDescent="0.25">
      <c r="A581" s="2" t="s">
        <v>2880</v>
      </c>
      <c r="B581" s="2" t="s">
        <v>4102</v>
      </c>
      <c r="C581" s="4">
        <v>45827</v>
      </c>
      <c r="D581" s="4">
        <v>45857</v>
      </c>
      <c r="E581" s="2" t="s">
        <v>1201</v>
      </c>
      <c r="F581" s="2"/>
      <c r="G581" s="2" t="s">
        <v>1132</v>
      </c>
      <c r="H581" s="2">
        <v>955.55</v>
      </c>
      <c r="I581" s="2">
        <v>47.78</v>
      </c>
      <c r="J581" s="2">
        <v>1003.33</v>
      </c>
      <c r="K581" s="2">
        <v>1003.33</v>
      </c>
      <c r="L581" s="2" t="s">
        <v>22</v>
      </c>
      <c r="M581" s="2" t="s">
        <v>3844</v>
      </c>
      <c r="N581" s="2" t="s">
        <v>3843</v>
      </c>
    </row>
    <row r="582" spans="1:14" x14ac:dyDescent="0.25">
      <c r="A582" s="2" t="s">
        <v>2884</v>
      </c>
      <c r="B582" s="2" t="s">
        <v>556</v>
      </c>
      <c r="C582" s="4">
        <v>45827</v>
      </c>
      <c r="D582" s="4">
        <v>45857</v>
      </c>
      <c r="E582" s="2" t="s">
        <v>1192</v>
      </c>
      <c r="F582" s="2"/>
      <c r="G582" s="2" t="s">
        <v>36</v>
      </c>
      <c r="H582" s="2">
        <v>283.8</v>
      </c>
      <c r="I582" s="2">
        <v>36.89</v>
      </c>
      <c r="J582" s="2">
        <v>320.69</v>
      </c>
      <c r="K582" s="2">
        <v>320.69</v>
      </c>
      <c r="L582" s="2" t="s">
        <v>22</v>
      </c>
      <c r="M582" s="2" t="s">
        <v>3844</v>
      </c>
      <c r="N582" s="2" t="s">
        <v>3843</v>
      </c>
    </row>
    <row r="583" spans="1:14" ht="30" x14ac:dyDescent="0.25">
      <c r="A583" s="2" t="s">
        <v>2692</v>
      </c>
      <c r="B583" s="2" t="s">
        <v>39</v>
      </c>
      <c r="C583" s="4">
        <v>45827</v>
      </c>
      <c r="D583" s="4">
        <v>45857</v>
      </c>
      <c r="E583" s="2" t="s">
        <v>1538</v>
      </c>
      <c r="F583" s="2"/>
      <c r="G583" s="2" t="s">
        <v>21</v>
      </c>
      <c r="H583" s="2">
        <v>15825.1</v>
      </c>
      <c r="I583" s="2">
        <v>791.25</v>
      </c>
      <c r="J583" s="2">
        <v>16616.349999999999</v>
      </c>
      <c r="K583" s="2">
        <v>16616.349999999999</v>
      </c>
      <c r="L583" s="2" t="s">
        <v>22</v>
      </c>
      <c r="M583" s="2" t="s">
        <v>3844</v>
      </c>
      <c r="N583" s="2" t="s">
        <v>3843</v>
      </c>
    </row>
    <row r="584" spans="1:14" ht="45" x14ac:dyDescent="0.25">
      <c r="A584" s="2" t="s">
        <v>2886</v>
      </c>
      <c r="B584" s="2" t="s">
        <v>1189</v>
      </c>
      <c r="C584" s="4">
        <v>45827</v>
      </c>
      <c r="D584" s="4">
        <v>45857</v>
      </c>
      <c r="E584" s="2" t="s">
        <v>1187</v>
      </c>
      <c r="F584" s="2"/>
      <c r="G584" s="2" t="s">
        <v>21</v>
      </c>
      <c r="H584" s="2">
        <v>466.66</v>
      </c>
      <c r="I584" s="2"/>
      <c r="J584" s="2">
        <v>466.66</v>
      </c>
      <c r="K584" s="2">
        <v>343.4</v>
      </c>
      <c r="L584" s="2" t="s">
        <v>51</v>
      </c>
      <c r="M584" s="2" t="s">
        <v>3844</v>
      </c>
      <c r="N584" s="2" t="s">
        <v>3843</v>
      </c>
    </row>
    <row r="585" spans="1:14" ht="30" x14ac:dyDescent="0.25">
      <c r="A585" s="2" t="s">
        <v>2882</v>
      </c>
      <c r="B585" s="2" t="s">
        <v>104</v>
      </c>
      <c r="C585" s="4">
        <v>45825</v>
      </c>
      <c r="D585" s="4">
        <v>45855</v>
      </c>
      <c r="E585" s="2" t="s">
        <v>1197</v>
      </c>
      <c r="F585" s="2"/>
      <c r="G585" s="2" t="s">
        <v>21</v>
      </c>
      <c r="H585" s="2">
        <v>2627.35</v>
      </c>
      <c r="I585" s="2">
        <v>131.37</v>
      </c>
      <c r="J585" s="2">
        <v>2758.72</v>
      </c>
      <c r="K585" s="2">
        <v>2758.72</v>
      </c>
      <c r="L585" s="2" t="s">
        <v>22</v>
      </c>
      <c r="M585" s="2" t="s">
        <v>3844</v>
      </c>
      <c r="N585" s="2" t="s">
        <v>3843</v>
      </c>
    </row>
    <row r="586" spans="1:14" x14ac:dyDescent="0.25">
      <c r="A586" s="2" t="s">
        <v>2535</v>
      </c>
      <c r="B586" s="2" t="s">
        <v>192</v>
      </c>
      <c r="C586" s="4">
        <v>45825</v>
      </c>
      <c r="D586" s="4">
        <v>45855</v>
      </c>
      <c r="E586" s="2" t="s">
        <v>1808</v>
      </c>
      <c r="F586" s="2"/>
      <c r="G586" s="2" t="s">
        <v>21</v>
      </c>
      <c r="H586" s="2">
        <v>11582.47</v>
      </c>
      <c r="I586" s="2"/>
      <c r="J586" s="2">
        <v>11582.47</v>
      </c>
      <c r="K586" s="2">
        <v>8543.11</v>
      </c>
      <c r="L586" s="2" t="s">
        <v>51</v>
      </c>
      <c r="M586" s="2" t="s">
        <v>3844</v>
      </c>
      <c r="N586" s="2" t="s">
        <v>3843</v>
      </c>
    </row>
    <row r="587" spans="1:14" x14ac:dyDescent="0.25">
      <c r="A587" s="2" t="s">
        <v>2858</v>
      </c>
      <c r="B587" s="2" t="s">
        <v>146</v>
      </c>
      <c r="C587" s="4">
        <v>45824</v>
      </c>
      <c r="D587" s="4">
        <v>45854</v>
      </c>
      <c r="E587" s="2" t="s">
        <v>1237</v>
      </c>
      <c r="F587" s="2"/>
      <c r="G587" s="2" t="s">
        <v>21</v>
      </c>
      <c r="H587" s="2">
        <v>454.78</v>
      </c>
      <c r="I587" s="2">
        <v>22.74</v>
      </c>
      <c r="J587" s="2">
        <v>477.52</v>
      </c>
      <c r="K587" s="2">
        <v>477.52</v>
      </c>
      <c r="L587" s="2" t="s">
        <v>22</v>
      </c>
      <c r="M587" s="2" t="s">
        <v>3844</v>
      </c>
      <c r="N587" s="2" t="s">
        <v>3843</v>
      </c>
    </row>
    <row r="588" spans="1:14" x14ac:dyDescent="0.25">
      <c r="A588" s="2" t="s">
        <v>2879</v>
      </c>
      <c r="B588" s="2" t="s">
        <v>465</v>
      </c>
      <c r="C588" s="4">
        <v>45824</v>
      </c>
      <c r="D588" s="4">
        <v>45854</v>
      </c>
      <c r="E588" s="2" t="s">
        <v>1203</v>
      </c>
      <c r="F588" s="2"/>
      <c r="G588" s="2" t="s">
        <v>21</v>
      </c>
      <c r="H588" s="2">
        <v>235.74</v>
      </c>
      <c r="I588" s="2">
        <v>30.64</v>
      </c>
      <c r="J588" s="2">
        <v>266.38</v>
      </c>
      <c r="K588" s="2">
        <v>266.38</v>
      </c>
      <c r="L588" s="2" t="s">
        <v>22</v>
      </c>
      <c r="M588" s="2" t="s">
        <v>3844</v>
      </c>
      <c r="N588" s="2" t="s">
        <v>3843</v>
      </c>
    </row>
    <row r="589" spans="1:14" ht="30" x14ac:dyDescent="0.25">
      <c r="A589" s="2" t="s">
        <v>2422</v>
      </c>
      <c r="B589" s="2" t="s">
        <v>20</v>
      </c>
      <c r="C589" s="4">
        <v>45824</v>
      </c>
      <c r="D589" s="4">
        <v>45884</v>
      </c>
      <c r="E589" s="2" t="s">
        <v>2007</v>
      </c>
      <c r="F589" s="2"/>
      <c r="G589" s="2" t="s">
        <v>21</v>
      </c>
      <c r="H589" s="2">
        <v>5714.85</v>
      </c>
      <c r="I589" s="2">
        <v>285.74</v>
      </c>
      <c r="J589" s="2">
        <v>6000.59</v>
      </c>
      <c r="K589" s="2">
        <v>6000.59</v>
      </c>
      <c r="L589" s="2" t="s">
        <v>22</v>
      </c>
      <c r="M589" s="2" t="s">
        <v>3844</v>
      </c>
      <c r="N589" s="2" t="s">
        <v>3843</v>
      </c>
    </row>
    <row r="590" spans="1:14" ht="30" x14ac:dyDescent="0.25">
      <c r="A590" s="2" t="s">
        <v>2726</v>
      </c>
      <c r="B590" s="2" t="s">
        <v>20</v>
      </c>
      <c r="C590" s="4">
        <v>45824</v>
      </c>
      <c r="D590" s="4">
        <v>45884</v>
      </c>
      <c r="E590" s="2" t="s">
        <v>1477</v>
      </c>
      <c r="F590" s="2"/>
      <c r="G590" s="2" t="s">
        <v>21</v>
      </c>
      <c r="H590" s="2">
        <v>6197.11</v>
      </c>
      <c r="I590" s="2">
        <v>309.86</v>
      </c>
      <c r="J590" s="2">
        <v>6506.97</v>
      </c>
      <c r="K590" s="2">
        <v>6506.97</v>
      </c>
      <c r="L590" s="2" t="s">
        <v>22</v>
      </c>
      <c r="M590" s="2" t="s">
        <v>3844</v>
      </c>
      <c r="N590" s="2" t="s">
        <v>3843</v>
      </c>
    </row>
    <row r="591" spans="1:14" x14ac:dyDescent="0.25">
      <c r="A591" s="2" t="s">
        <v>2629</v>
      </c>
      <c r="B591" s="2" t="s">
        <v>135</v>
      </c>
      <c r="C591" s="4">
        <v>45824</v>
      </c>
      <c r="D591" s="4">
        <v>45884</v>
      </c>
      <c r="E591" s="2" t="s">
        <v>1646</v>
      </c>
      <c r="F591" s="2"/>
      <c r="G591" s="2" t="s">
        <v>21</v>
      </c>
      <c r="H591" s="2">
        <v>32959.279999999999</v>
      </c>
      <c r="I591" s="2">
        <v>4284.71</v>
      </c>
      <c r="J591" s="2">
        <v>37243.99</v>
      </c>
      <c r="K591" s="2">
        <v>37243.99</v>
      </c>
      <c r="L591" s="2" t="s">
        <v>22</v>
      </c>
      <c r="M591" s="2" t="s">
        <v>3844</v>
      </c>
      <c r="N591" s="2" t="s">
        <v>3843</v>
      </c>
    </row>
    <row r="592" spans="1:14" x14ac:dyDescent="0.25">
      <c r="A592" s="2" t="s">
        <v>2872</v>
      </c>
      <c r="B592" s="2" t="s">
        <v>229</v>
      </c>
      <c r="C592" s="4">
        <v>45824</v>
      </c>
      <c r="D592" s="4">
        <v>45854</v>
      </c>
      <c r="E592" s="2" t="s">
        <v>1215</v>
      </c>
      <c r="F592" s="2"/>
      <c r="G592" s="2" t="s">
        <v>21</v>
      </c>
      <c r="H592" s="2">
        <v>3048.78</v>
      </c>
      <c r="I592" s="2">
        <v>152.44</v>
      </c>
      <c r="J592" s="2">
        <v>3201.22</v>
      </c>
      <c r="K592" s="2">
        <v>3201.22</v>
      </c>
      <c r="L592" s="2" t="s">
        <v>22</v>
      </c>
      <c r="M592" s="2" t="s">
        <v>3844</v>
      </c>
      <c r="N592" s="2" t="s">
        <v>3843</v>
      </c>
    </row>
    <row r="593" spans="1:14" ht="30" x14ac:dyDescent="0.25">
      <c r="A593" s="2" t="s">
        <v>2874</v>
      </c>
      <c r="B593" s="2" t="s">
        <v>39</v>
      </c>
      <c r="C593" s="4">
        <v>45824</v>
      </c>
      <c r="D593" s="4">
        <v>45854</v>
      </c>
      <c r="E593" s="2" t="s">
        <v>1211</v>
      </c>
      <c r="F593" s="2"/>
      <c r="G593" s="2" t="s">
        <v>21</v>
      </c>
      <c r="H593" s="2">
        <v>572.4</v>
      </c>
      <c r="I593" s="2">
        <v>28.61</v>
      </c>
      <c r="J593" s="2">
        <v>601.01</v>
      </c>
      <c r="K593" s="2">
        <v>601.01</v>
      </c>
      <c r="L593" s="2" t="s">
        <v>22</v>
      </c>
      <c r="M593" s="2" t="s">
        <v>3844</v>
      </c>
      <c r="N593" s="2" t="s">
        <v>3843</v>
      </c>
    </row>
    <row r="594" spans="1:14" ht="30" x14ac:dyDescent="0.25">
      <c r="A594" s="2" t="s">
        <v>3527</v>
      </c>
      <c r="B594" s="2" t="s">
        <v>4151</v>
      </c>
      <c r="C594" s="4">
        <v>45824</v>
      </c>
      <c r="D594" s="4">
        <v>45824</v>
      </c>
      <c r="E594" s="2" t="s">
        <v>3562</v>
      </c>
      <c r="F594" s="2"/>
      <c r="G594" s="2" t="s">
        <v>180</v>
      </c>
      <c r="H594" s="2">
        <v>6825.88</v>
      </c>
      <c r="I594" s="2"/>
      <c r="J594" s="2">
        <v>6825.88</v>
      </c>
      <c r="K594" s="2">
        <v>5025</v>
      </c>
      <c r="L594" s="2" t="s">
        <v>51</v>
      </c>
      <c r="M594" s="2" t="s">
        <v>3844</v>
      </c>
      <c r="N594" s="2" t="s">
        <v>3843</v>
      </c>
    </row>
    <row r="595" spans="1:14" ht="30" x14ac:dyDescent="0.25">
      <c r="A595" s="2" t="s">
        <v>2870</v>
      </c>
      <c r="B595" s="2" t="s">
        <v>864</v>
      </c>
      <c r="C595" s="4">
        <v>45821</v>
      </c>
      <c r="D595" s="4">
        <v>45851</v>
      </c>
      <c r="E595" s="2" t="s">
        <v>1219</v>
      </c>
      <c r="F595" s="2"/>
      <c r="G595" s="2" t="s">
        <v>71</v>
      </c>
      <c r="H595" s="2">
        <v>457.66</v>
      </c>
      <c r="I595" s="2">
        <v>22.88</v>
      </c>
      <c r="J595" s="2">
        <v>480.54</v>
      </c>
      <c r="K595" s="2">
        <v>480.54</v>
      </c>
      <c r="L595" s="2" t="s">
        <v>22</v>
      </c>
      <c r="M595" s="2" t="s">
        <v>3844</v>
      </c>
      <c r="N595" s="2" t="s">
        <v>3843</v>
      </c>
    </row>
    <row r="596" spans="1:14" ht="30" x14ac:dyDescent="0.25">
      <c r="A596" s="2" t="s">
        <v>2869</v>
      </c>
      <c r="B596" s="2" t="s">
        <v>104</v>
      </c>
      <c r="C596" s="4">
        <v>45821</v>
      </c>
      <c r="D596" s="4">
        <v>45851</v>
      </c>
      <c r="E596" s="2" t="s">
        <v>1221</v>
      </c>
      <c r="F596" s="2"/>
      <c r="G596" s="2" t="s">
        <v>21</v>
      </c>
      <c r="H596" s="2">
        <v>1422.5</v>
      </c>
      <c r="I596" s="2">
        <v>71.13</v>
      </c>
      <c r="J596" s="2">
        <v>1493.63</v>
      </c>
      <c r="K596" s="2">
        <v>1493.63</v>
      </c>
      <c r="L596" s="2" t="s">
        <v>22</v>
      </c>
      <c r="M596" s="2" t="s">
        <v>3844</v>
      </c>
      <c r="N596" s="2" t="s">
        <v>3843</v>
      </c>
    </row>
    <row r="597" spans="1:14" x14ac:dyDescent="0.25">
      <c r="A597" s="2" t="s">
        <v>2504</v>
      </c>
      <c r="B597" s="2" t="s">
        <v>146</v>
      </c>
      <c r="C597" s="4">
        <v>45821</v>
      </c>
      <c r="D597" s="4">
        <v>45851</v>
      </c>
      <c r="E597" s="2" t="s">
        <v>1859</v>
      </c>
      <c r="F597" s="2"/>
      <c r="G597" s="2" t="s">
        <v>21</v>
      </c>
      <c r="H597" s="2">
        <v>537.73</v>
      </c>
      <c r="I597" s="2">
        <v>26.89</v>
      </c>
      <c r="J597" s="2">
        <v>564.62</v>
      </c>
      <c r="K597" s="2">
        <v>564.62</v>
      </c>
      <c r="L597" s="2" t="s">
        <v>22</v>
      </c>
      <c r="M597" s="2" t="s">
        <v>3844</v>
      </c>
      <c r="N597" s="2" t="s">
        <v>3843</v>
      </c>
    </row>
    <row r="598" spans="1:14" x14ac:dyDescent="0.25">
      <c r="A598" s="2" t="s">
        <v>2513</v>
      </c>
      <c r="B598" s="2" t="s">
        <v>146</v>
      </c>
      <c r="C598" s="4">
        <v>45821</v>
      </c>
      <c r="D598" s="4">
        <v>45851</v>
      </c>
      <c r="E598" s="2" t="s">
        <v>1844</v>
      </c>
      <c r="F598" s="2"/>
      <c r="G598" s="2" t="s">
        <v>21</v>
      </c>
      <c r="H598" s="2">
        <v>1185.8900000000001</v>
      </c>
      <c r="I598" s="2">
        <v>59.3</v>
      </c>
      <c r="J598" s="2">
        <v>1245.19</v>
      </c>
      <c r="K598" s="2">
        <v>1245.19</v>
      </c>
      <c r="L598" s="2" t="s">
        <v>22</v>
      </c>
      <c r="M598" s="2" t="s">
        <v>3844</v>
      </c>
      <c r="N598" s="2" t="s">
        <v>3843</v>
      </c>
    </row>
    <row r="599" spans="1:14" x14ac:dyDescent="0.25">
      <c r="A599" s="2" t="s">
        <v>2750</v>
      </c>
      <c r="B599" s="2" t="s">
        <v>146</v>
      </c>
      <c r="C599" s="4">
        <v>45821</v>
      </c>
      <c r="D599" s="4">
        <v>45851</v>
      </c>
      <c r="E599" s="2" t="s">
        <v>1435</v>
      </c>
      <c r="F599" s="2"/>
      <c r="G599" s="2" t="s">
        <v>21</v>
      </c>
      <c r="H599" s="2">
        <v>149.6</v>
      </c>
      <c r="I599" s="2">
        <v>7.48</v>
      </c>
      <c r="J599" s="2">
        <v>157.08000000000001</v>
      </c>
      <c r="K599" s="2">
        <v>157.08000000000001</v>
      </c>
      <c r="L599" s="2" t="s">
        <v>22</v>
      </c>
      <c r="M599" s="2" t="s">
        <v>3844</v>
      </c>
      <c r="N599" s="2" t="s">
        <v>3843</v>
      </c>
    </row>
    <row r="600" spans="1:14" ht="30" x14ac:dyDescent="0.25">
      <c r="A600" s="2" t="s">
        <v>2734</v>
      </c>
      <c r="B600" s="2" t="s">
        <v>20</v>
      </c>
      <c r="C600" s="4">
        <v>45821</v>
      </c>
      <c r="D600" s="4">
        <v>45881</v>
      </c>
      <c r="E600" s="2" t="s">
        <v>1463</v>
      </c>
      <c r="F600" s="2"/>
      <c r="G600" s="2" t="s">
        <v>21</v>
      </c>
      <c r="H600" s="2">
        <v>1839.56</v>
      </c>
      <c r="I600" s="2">
        <v>91.98</v>
      </c>
      <c r="J600" s="2">
        <v>1931.54</v>
      </c>
      <c r="K600" s="2">
        <v>1931.54</v>
      </c>
      <c r="L600" s="2" t="s">
        <v>22</v>
      </c>
      <c r="M600" s="2" t="s">
        <v>3844</v>
      </c>
      <c r="N600" s="2" t="s">
        <v>3843</v>
      </c>
    </row>
    <row r="601" spans="1:14" ht="30" x14ac:dyDescent="0.25">
      <c r="A601" s="2" t="s">
        <v>2832</v>
      </c>
      <c r="B601" s="2" t="s">
        <v>80</v>
      </c>
      <c r="C601" s="4">
        <v>45821</v>
      </c>
      <c r="D601" s="4">
        <v>45881</v>
      </c>
      <c r="E601" s="2" t="s">
        <v>1282</v>
      </c>
      <c r="F601" s="2"/>
      <c r="G601" s="2" t="s">
        <v>21</v>
      </c>
      <c r="H601" s="2">
        <v>147.56</v>
      </c>
      <c r="I601" s="2">
        <v>7.38</v>
      </c>
      <c r="J601" s="2">
        <v>154.94</v>
      </c>
      <c r="K601" s="2">
        <v>154.94</v>
      </c>
      <c r="L601" s="2" t="s">
        <v>22</v>
      </c>
      <c r="M601" s="2" t="s">
        <v>3844</v>
      </c>
      <c r="N601" s="2" t="s">
        <v>3843</v>
      </c>
    </row>
    <row r="602" spans="1:14" ht="45" x14ac:dyDescent="0.25">
      <c r="A602" s="2" t="s">
        <v>2751</v>
      </c>
      <c r="B602" s="2" t="s">
        <v>3951</v>
      </c>
      <c r="C602" s="4">
        <v>45821</v>
      </c>
      <c r="D602" s="4">
        <v>45851</v>
      </c>
      <c r="E602" s="2" t="s">
        <v>1433</v>
      </c>
      <c r="F602" s="2"/>
      <c r="G602" s="2" t="s">
        <v>21</v>
      </c>
      <c r="H602" s="2">
        <v>611.16999999999996</v>
      </c>
      <c r="I602" s="2"/>
      <c r="J602" s="2">
        <v>611.16999999999996</v>
      </c>
      <c r="K602" s="2">
        <v>448.78</v>
      </c>
      <c r="L602" s="2" t="s">
        <v>51</v>
      </c>
      <c r="M602" s="2" t="s">
        <v>3844</v>
      </c>
      <c r="N602" s="2" t="s">
        <v>3843</v>
      </c>
    </row>
    <row r="603" spans="1:14" ht="30" x14ac:dyDescent="0.25">
      <c r="A603" s="2" t="s">
        <v>2753</v>
      </c>
      <c r="B603" s="2" t="s">
        <v>4189</v>
      </c>
      <c r="C603" s="4">
        <v>45820</v>
      </c>
      <c r="D603" s="4">
        <v>45850</v>
      </c>
      <c r="E603" s="2" t="s">
        <v>1428</v>
      </c>
      <c r="F603" s="2"/>
      <c r="G603" s="2" t="s">
        <v>21</v>
      </c>
      <c r="H603" s="2">
        <v>5859.97</v>
      </c>
      <c r="I603" s="2">
        <v>293</v>
      </c>
      <c r="J603" s="2">
        <v>6152.97</v>
      </c>
      <c r="K603" s="2">
        <v>6152.97</v>
      </c>
      <c r="L603" s="2" t="s">
        <v>22</v>
      </c>
      <c r="M603" s="2" t="s">
        <v>3844</v>
      </c>
      <c r="N603" s="2" t="s">
        <v>3843</v>
      </c>
    </row>
    <row r="604" spans="1:14" ht="45" x14ac:dyDescent="0.25">
      <c r="A604" s="2" t="s">
        <v>2859</v>
      </c>
      <c r="B604" s="2" t="s">
        <v>3958</v>
      </c>
      <c r="C604" s="4">
        <v>45820</v>
      </c>
      <c r="D604" s="4">
        <v>45850</v>
      </c>
      <c r="E604" s="2" t="s">
        <v>1234</v>
      </c>
      <c r="F604" s="2"/>
      <c r="G604" s="2" t="s">
        <v>21</v>
      </c>
      <c r="H604" s="2">
        <v>2075.88</v>
      </c>
      <c r="I604" s="2">
        <v>103.8</v>
      </c>
      <c r="J604" s="2">
        <v>2179.6799999999998</v>
      </c>
      <c r="K604" s="2">
        <v>2179.6799999999998</v>
      </c>
      <c r="L604" s="2" t="s">
        <v>22</v>
      </c>
      <c r="M604" s="2" t="s">
        <v>3844</v>
      </c>
      <c r="N604" s="2" t="s">
        <v>3843</v>
      </c>
    </row>
    <row r="605" spans="1:14" x14ac:dyDescent="0.25">
      <c r="A605" s="2" t="s">
        <v>2495</v>
      </c>
      <c r="B605" s="2" t="s">
        <v>723</v>
      </c>
      <c r="C605" s="4">
        <v>45820</v>
      </c>
      <c r="D605" s="4">
        <v>45880</v>
      </c>
      <c r="E605" s="2" t="s">
        <v>1869</v>
      </c>
      <c r="F605" s="2"/>
      <c r="G605" s="2" t="s">
        <v>71</v>
      </c>
      <c r="H605" s="2">
        <v>4165.57</v>
      </c>
      <c r="I605" s="2">
        <v>539.72</v>
      </c>
      <c r="J605" s="2">
        <v>4705.29</v>
      </c>
      <c r="K605" s="2">
        <v>3444.97</v>
      </c>
      <c r="L605" s="2" t="s">
        <v>51</v>
      </c>
      <c r="M605" s="2" t="s">
        <v>3844</v>
      </c>
      <c r="N605" s="2" t="s">
        <v>3843</v>
      </c>
    </row>
    <row r="606" spans="1:14" ht="30" x14ac:dyDescent="0.25">
      <c r="A606" s="2" t="s">
        <v>2857</v>
      </c>
      <c r="B606" s="2" t="s">
        <v>290</v>
      </c>
      <c r="C606" s="4">
        <v>45819</v>
      </c>
      <c r="D606" s="4">
        <v>45879</v>
      </c>
      <c r="E606" s="2" t="s">
        <v>1239</v>
      </c>
      <c r="F606" s="2"/>
      <c r="G606" s="2" t="s">
        <v>21</v>
      </c>
      <c r="H606" s="2">
        <v>1879.56</v>
      </c>
      <c r="I606" s="2">
        <v>93.98</v>
      </c>
      <c r="J606" s="2">
        <v>1973.54</v>
      </c>
      <c r="K606" s="2">
        <v>1973.54</v>
      </c>
      <c r="L606" s="2" t="s">
        <v>22</v>
      </c>
      <c r="M606" s="2" t="s">
        <v>3844</v>
      </c>
      <c r="N606" s="2" t="s">
        <v>3843</v>
      </c>
    </row>
    <row r="607" spans="1:14" ht="30" x14ac:dyDescent="0.25">
      <c r="A607" s="2" t="s">
        <v>2855</v>
      </c>
      <c r="B607" s="2" t="s">
        <v>20</v>
      </c>
      <c r="C607" s="4">
        <v>45819</v>
      </c>
      <c r="D607" s="4">
        <v>45879</v>
      </c>
      <c r="E607" s="2" t="s">
        <v>1243</v>
      </c>
      <c r="F607" s="2"/>
      <c r="G607" s="2" t="s">
        <v>21</v>
      </c>
      <c r="H607" s="2">
        <v>2397.5100000000002</v>
      </c>
      <c r="I607" s="2">
        <v>119.88</v>
      </c>
      <c r="J607" s="2">
        <v>2517.39</v>
      </c>
      <c r="K607" s="2">
        <v>2517.39</v>
      </c>
      <c r="L607" s="2" t="s">
        <v>22</v>
      </c>
      <c r="M607" s="2" t="s">
        <v>3844</v>
      </c>
      <c r="N607" s="2" t="s">
        <v>3843</v>
      </c>
    </row>
    <row r="608" spans="1:14" x14ac:dyDescent="0.25">
      <c r="A608" s="2" t="s">
        <v>2856</v>
      </c>
      <c r="B608" s="2" t="s">
        <v>54</v>
      </c>
      <c r="C608" s="4">
        <v>45819</v>
      </c>
      <c r="D608" s="4">
        <v>45849</v>
      </c>
      <c r="E608" s="2" t="s">
        <v>1241</v>
      </c>
      <c r="F608" s="2"/>
      <c r="G608" s="2" t="s">
        <v>21</v>
      </c>
      <c r="H608" s="2">
        <v>314.95</v>
      </c>
      <c r="I608" s="2">
        <v>15.75</v>
      </c>
      <c r="J608" s="2">
        <v>330.7</v>
      </c>
      <c r="K608" s="2">
        <v>330.7</v>
      </c>
      <c r="L608" s="2" t="s">
        <v>22</v>
      </c>
      <c r="M608" s="2" t="s">
        <v>3844</v>
      </c>
      <c r="N608" s="2" t="s">
        <v>3843</v>
      </c>
    </row>
    <row r="609" spans="1:14" ht="30" x14ac:dyDescent="0.25">
      <c r="A609" s="2" t="s">
        <v>2853</v>
      </c>
      <c r="B609" s="2" t="s">
        <v>684</v>
      </c>
      <c r="C609" s="4">
        <v>45819</v>
      </c>
      <c r="D609" s="4">
        <v>45879</v>
      </c>
      <c r="E609" s="2" t="s">
        <v>1245</v>
      </c>
      <c r="F609" s="2"/>
      <c r="G609" s="2" t="s">
        <v>21</v>
      </c>
      <c r="H609" s="2">
        <v>1339.85</v>
      </c>
      <c r="I609" s="2">
        <v>66.989999999999995</v>
      </c>
      <c r="J609" s="2">
        <v>1406.84</v>
      </c>
      <c r="K609" s="2">
        <v>1406.84</v>
      </c>
      <c r="L609" s="2" t="s">
        <v>22</v>
      </c>
      <c r="M609" s="2" t="s">
        <v>3844</v>
      </c>
      <c r="N609" s="2" t="s">
        <v>3843</v>
      </c>
    </row>
    <row r="610" spans="1:14" x14ac:dyDescent="0.25">
      <c r="A610" s="2" t="s">
        <v>2797</v>
      </c>
      <c r="B610" s="2" t="s">
        <v>146</v>
      </c>
      <c r="C610" s="4">
        <v>45818</v>
      </c>
      <c r="D610" s="4">
        <v>45848</v>
      </c>
      <c r="E610" s="2" t="s">
        <v>1346</v>
      </c>
      <c r="F610" s="2"/>
      <c r="G610" s="2" t="s">
        <v>21</v>
      </c>
      <c r="H610" s="2">
        <v>1059.76</v>
      </c>
      <c r="I610" s="2">
        <v>52.99</v>
      </c>
      <c r="J610" s="2">
        <v>1112.75</v>
      </c>
      <c r="K610" s="2">
        <v>1112.75</v>
      </c>
      <c r="L610" s="2" t="s">
        <v>22</v>
      </c>
      <c r="M610" s="2" t="s">
        <v>3844</v>
      </c>
      <c r="N610" s="2" t="s">
        <v>3843</v>
      </c>
    </row>
    <row r="611" spans="1:14" ht="30" x14ac:dyDescent="0.25">
      <c r="A611" s="2" t="s">
        <v>2847</v>
      </c>
      <c r="B611" s="2" t="s">
        <v>864</v>
      </c>
      <c r="C611" s="4">
        <v>45818</v>
      </c>
      <c r="D611" s="4">
        <v>45848</v>
      </c>
      <c r="E611" s="2" t="s">
        <v>1255</v>
      </c>
      <c r="F611" s="2"/>
      <c r="G611" s="2" t="s">
        <v>21</v>
      </c>
      <c r="H611" s="2">
        <v>846.78</v>
      </c>
      <c r="I611" s="2">
        <v>42.34</v>
      </c>
      <c r="J611" s="2">
        <v>889.12</v>
      </c>
      <c r="K611" s="2">
        <v>889.12</v>
      </c>
      <c r="L611" s="2" t="s">
        <v>22</v>
      </c>
      <c r="M611" s="2" t="s">
        <v>3844</v>
      </c>
      <c r="N611" s="2" t="s">
        <v>3843</v>
      </c>
    </row>
    <row r="612" spans="1:14" x14ac:dyDescent="0.25">
      <c r="A612" s="2" t="s">
        <v>2385</v>
      </c>
      <c r="B612" s="2" t="s">
        <v>714</v>
      </c>
      <c r="C612" s="4">
        <v>45818</v>
      </c>
      <c r="D612" s="4">
        <v>45848</v>
      </c>
      <c r="E612" s="2" t="s">
        <v>2064</v>
      </c>
      <c r="F612" s="2"/>
      <c r="G612" s="2" t="s">
        <v>21</v>
      </c>
      <c r="H612" s="2">
        <v>12823.33</v>
      </c>
      <c r="I612" s="2"/>
      <c r="J612" s="2">
        <v>12823.33</v>
      </c>
      <c r="K612" s="2">
        <v>9375.93</v>
      </c>
      <c r="L612" s="2" t="s">
        <v>51</v>
      </c>
      <c r="M612" s="2" t="s">
        <v>3844</v>
      </c>
      <c r="N612" s="2" t="s">
        <v>3843</v>
      </c>
    </row>
    <row r="613" spans="1:14" x14ac:dyDescent="0.25">
      <c r="A613" s="2" t="s">
        <v>2816</v>
      </c>
      <c r="B613" s="2" t="s">
        <v>742</v>
      </c>
      <c r="C613" s="4">
        <v>45818</v>
      </c>
      <c r="D613" s="4">
        <v>45818</v>
      </c>
      <c r="E613" s="2" t="s">
        <v>1312</v>
      </c>
      <c r="F613" s="2"/>
      <c r="G613" s="2" t="s">
        <v>21</v>
      </c>
      <c r="H613" s="2">
        <v>2830.91</v>
      </c>
      <c r="I613" s="2"/>
      <c r="J613" s="2">
        <v>2830.91</v>
      </c>
      <c r="K613" s="2">
        <v>2069.85</v>
      </c>
      <c r="L613" s="2" t="s">
        <v>51</v>
      </c>
      <c r="M613" s="2" t="s">
        <v>3844</v>
      </c>
      <c r="N613" s="2" t="s">
        <v>3843</v>
      </c>
    </row>
    <row r="614" spans="1:14" ht="30" x14ac:dyDescent="0.25">
      <c r="A614" s="2" t="s">
        <v>2843</v>
      </c>
      <c r="B614" s="2" t="s">
        <v>39</v>
      </c>
      <c r="C614" s="4">
        <v>45817</v>
      </c>
      <c r="D614" s="4">
        <v>45847</v>
      </c>
      <c r="E614" s="2" t="s">
        <v>1262</v>
      </c>
      <c r="F614" s="2"/>
      <c r="G614" s="2" t="s">
        <v>21</v>
      </c>
      <c r="H614" s="2">
        <v>3286.82</v>
      </c>
      <c r="I614" s="2">
        <v>164.35</v>
      </c>
      <c r="J614" s="2">
        <v>3451.17</v>
      </c>
      <c r="K614" s="2">
        <v>3451.17</v>
      </c>
      <c r="L614" s="2" t="s">
        <v>22</v>
      </c>
      <c r="M614" s="2" t="s">
        <v>3844</v>
      </c>
      <c r="N614" s="2" t="s">
        <v>3843</v>
      </c>
    </row>
    <row r="615" spans="1:14" ht="30" x14ac:dyDescent="0.25">
      <c r="A615" s="2" t="s">
        <v>2817</v>
      </c>
      <c r="B615" s="2" t="s">
        <v>4188</v>
      </c>
      <c r="C615" s="4">
        <v>45817</v>
      </c>
      <c r="D615" s="4">
        <v>45847</v>
      </c>
      <c r="E615" s="2" t="s">
        <v>1310</v>
      </c>
      <c r="F615" s="2"/>
      <c r="G615" s="2" t="s">
        <v>21</v>
      </c>
      <c r="H615" s="2">
        <v>763.98</v>
      </c>
      <c r="I615" s="2">
        <v>99.31</v>
      </c>
      <c r="J615" s="2">
        <v>863.29</v>
      </c>
      <c r="K615" s="2">
        <v>863.29</v>
      </c>
      <c r="L615" s="2" t="s">
        <v>22</v>
      </c>
      <c r="M615" s="2" t="s">
        <v>3844</v>
      </c>
      <c r="N615" s="2" t="s">
        <v>3843</v>
      </c>
    </row>
    <row r="616" spans="1:14" ht="30" x14ac:dyDescent="0.25">
      <c r="A616" s="2" t="s">
        <v>2841</v>
      </c>
      <c r="B616" s="2" t="s">
        <v>20</v>
      </c>
      <c r="C616" s="4">
        <v>45817</v>
      </c>
      <c r="D616" s="4">
        <v>45877</v>
      </c>
      <c r="E616" s="2" t="s">
        <v>1264</v>
      </c>
      <c r="F616" s="2"/>
      <c r="G616" s="2" t="s">
        <v>21</v>
      </c>
      <c r="H616" s="2">
        <v>236.55</v>
      </c>
      <c r="I616" s="2">
        <v>11.83</v>
      </c>
      <c r="J616" s="2">
        <v>248.38</v>
      </c>
      <c r="K616" s="2">
        <v>248.38</v>
      </c>
      <c r="L616" s="2" t="s">
        <v>22</v>
      </c>
      <c r="M616" s="2" t="s">
        <v>3844</v>
      </c>
      <c r="N616" s="2" t="s">
        <v>3843</v>
      </c>
    </row>
    <row r="617" spans="1:14" ht="30" x14ac:dyDescent="0.25">
      <c r="A617" s="2" t="s">
        <v>2846</v>
      </c>
      <c r="B617" s="2" t="s">
        <v>159</v>
      </c>
      <c r="C617" s="4">
        <v>45817</v>
      </c>
      <c r="D617" s="4">
        <v>45862</v>
      </c>
      <c r="E617" s="2" t="s">
        <v>1257</v>
      </c>
      <c r="F617" s="2"/>
      <c r="G617" s="2" t="s">
        <v>40</v>
      </c>
      <c r="H617" s="2">
        <v>15673.36</v>
      </c>
      <c r="I617" s="2"/>
      <c r="J617" s="2">
        <v>15673.36</v>
      </c>
      <c r="K617" s="2">
        <v>11442.75</v>
      </c>
      <c r="L617" s="2" t="s">
        <v>51</v>
      </c>
      <c r="M617" s="2" t="s">
        <v>3844</v>
      </c>
      <c r="N617" s="2" t="s">
        <v>3843</v>
      </c>
    </row>
    <row r="618" spans="1:14" ht="30" x14ac:dyDescent="0.25">
      <c r="A618" s="2" t="s">
        <v>2813</v>
      </c>
      <c r="B618" s="2" t="s">
        <v>159</v>
      </c>
      <c r="C618" s="4">
        <v>45817</v>
      </c>
      <c r="D618" s="4">
        <v>45862</v>
      </c>
      <c r="E618" s="2" t="s">
        <v>1318</v>
      </c>
      <c r="F618" s="2"/>
      <c r="G618" s="2" t="s">
        <v>40</v>
      </c>
      <c r="H618" s="2">
        <v>197992.54</v>
      </c>
      <c r="I618" s="2"/>
      <c r="J618" s="2">
        <v>197992.54</v>
      </c>
      <c r="K618" s="2">
        <v>144549.6</v>
      </c>
      <c r="L618" s="2" t="s">
        <v>51</v>
      </c>
      <c r="M618" s="2" t="s">
        <v>3844</v>
      </c>
      <c r="N618" s="2" t="s">
        <v>3843</v>
      </c>
    </row>
    <row r="619" spans="1:14" ht="30" x14ac:dyDescent="0.25">
      <c r="A619" s="2" t="s">
        <v>2788</v>
      </c>
      <c r="B619" s="2" t="s">
        <v>159</v>
      </c>
      <c r="C619" s="4">
        <v>45817</v>
      </c>
      <c r="D619" s="4">
        <v>45862</v>
      </c>
      <c r="E619" s="2" t="s">
        <v>1362</v>
      </c>
      <c r="F619" s="2"/>
      <c r="G619" s="2" t="s">
        <v>40</v>
      </c>
      <c r="H619" s="2">
        <v>3530.37</v>
      </c>
      <c r="I619" s="2"/>
      <c r="J619" s="2">
        <v>3530.37</v>
      </c>
      <c r="K619" s="2">
        <v>2577.44</v>
      </c>
      <c r="L619" s="2" t="s">
        <v>51</v>
      </c>
      <c r="M619" s="2" t="s">
        <v>3844</v>
      </c>
      <c r="N619" s="2" t="s">
        <v>3843</v>
      </c>
    </row>
    <row r="620" spans="1:14" ht="30" x14ac:dyDescent="0.25">
      <c r="A620" s="2" t="s">
        <v>2771</v>
      </c>
      <c r="B620" s="2" t="s">
        <v>159</v>
      </c>
      <c r="C620" s="4">
        <v>45817</v>
      </c>
      <c r="D620" s="4">
        <v>45862</v>
      </c>
      <c r="E620" s="2" t="s">
        <v>1393</v>
      </c>
      <c r="F620" s="2"/>
      <c r="G620" s="2" t="s">
        <v>40</v>
      </c>
      <c r="H620" s="2">
        <v>1326.46</v>
      </c>
      <c r="I620" s="2"/>
      <c r="J620" s="2">
        <v>1326.46</v>
      </c>
      <c r="K620" s="2">
        <v>968.42</v>
      </c>
      <c r="L620" s="2" t="s">
        <v>51</v>
      </c>
      <c r="M620" s="2" t="s">
        <v>3844</v>
      </c>
      <c r="N620" s="2" t="s">
        <v>3843</v>
      </c>
    </row>
    <row r="621" spans="1:14" ht="30" x14ac:dyDescent="0.25">
      <c r="A621" s="2" t="s">
        <v>2745</v>
      </c>
      <c r="B621" s="2" t="s">
        <v>159</v>
      </c>
      <c r="C621" s="4">
        <v>45817</v>
      </c>
      <c r="D621" s="4">
        <v>45862</v>
      </c>
      <c r="E621" s="2" t="s">
        <v>1443</v>
      </c>
      <c r="F621" s="2"/>
      <c r="G621" s="2" t="s">
        <v>40</v>
      </c>
      <c r="H621" s="2">
        <v>6495.76</v>
      </c>
      <c r="I621" s="2"/>
      <c r="J621" s="2">
        <v>6495.76</v>
      </c>
      <c r="K621" s="2">
        <v>4742.3999999999996</v>
      </c>
      <c r="L621" s="2" t="s">
        <v>51</v>
      </c>
      <c r="M621" s="2" t="s">
        <v>3844</v>
      </c>
      <c r="N621" s="2" t="s">
        <v>3843</v>
      </c>
    </row>
    <row r="622" spans="1:14" ht="30" x14ac:dyDescent="0.25">
      <c r="A622" s="2" t="s">
        <v>2684</v>
      </c>
      <c r="B622" s="2" t="s">
        <v>159</v>
      </c>
      <c r="C622" s="4">
        <v>45817</v>
      </c>
      <c r="D622" s="4">
        <v>45862</v>
      </c>
      <c r="E622" s="2" t="s">
        <v>1552</v>
      </c>
      <c r="F622" s="2"/>
      <c r="G622" s="2" t="s">
        <v>40</v>
      </c>
      <c r="H622" s="2">
        <v>1725.85</v>
      </c>
      <c r="I622" s="2"/>
      <c r="J622" s="2">
        <v>1725.85</v>
      </c>
      <c r="K622" s="2">
        <v>1260</v>
      </c>
      <c r="L622" s="2" t="s">
        <v>51</v>
      </c>
      <c r="M622" s="2" t="s">
        <v>3844</v>
      </c>
      <c r="N622" s="2" t="s">
        <v>3843</v>
      </c>
    </row>
    <row r="623" spans="1:14" ht="30" x14ac:dyDescent="0.25">
      <c r="A623" s="2" t="s">
        <v>2741</v>
      </c>
      <c r="B623" s="2" t="s">
        <v>159</v>
      </c>
      <c r="C623" s="4">
        <v>45817</v>
      </c>
      <c r="D623" s="4">
        <v>45862</v>
      </c>
      <c r="E623" s="2" t="s">
        <v>1449</v>
      </c>
      <c r="F623" s="2"/>
      <c r="G623" s="2" t="s">
        <v>40</v>
      </c>
      <c r="H623" s="2">
        <v>1623.94</v>
      </c>
      <c r="I623" s="2"/>
      <c r="J623" s="2">
        <v>1623.94</v>
      </c>
      <c r="K623" s="2">
        <v>1185.5999999999999</v>
      </c>
      <c r="L623" s="2" t="s">
        <v>51</v>
      </c>
      <c r="M623" s="2" t="s">
        <v>3844</v>
      </c>
      <c r="N623" s="2" t="s">
        <v>3843</v>
      </c>
    </row>
    <row r="624" spans="1:14" ht="30" x14ac:dyDescent="0.25">
      <c r="A624" s="2" t="s">
        <v>2836</v>
      </c>
      <c r="B624" s="2" t="s">
        <v>4187</v>
      </c>
      <c r="C624" s="4">
        <v>45813</v>
      </c>
      <c r="D624" s="4">
        <v>45843</v>
      </c>
      <c r="E624" s="2" t="s">
        <v>1273</v>
      </c>
      <c r="F624" s="2"/>
      <c r="G624" s="2" t="s">
        <v>21</v>
      </c>
      <c r="H624" s="2">
        <v>268.29000000000002</v>
      </c>
      <c r="I624" s="2">
        <v>13.41</v>
      </c>
      <c r="J624" s="2">
        <v>281.7</v>
      </c>
      <c r="K624" s="2">
        <v>281.7</v>
      </c>
      <c r="L624" s="2" t="s">
        <v>22</v>
      </c>
      <c r="M624" s="2" t="s">
        <v>3844</v>
      </c>
      <c r="N624" s="2" t="s">
        <v>3843</v>
      </c>
    </row>
    <row r="625" spans="1:14" ht="30" x14ac:dyDescent="0.25">
      <c r="A625" s="2" t="s">
        <v>2833</v>
      </c>
      <c r="B625" s="2" t="s">
        <v>4088</v>
      </c>
      <c r="C625" s="4">
        <v>45813</v>
      </c>
      <c r="D625" s="4">
        <v>45843</v>
      </c>
      <c r="E625" s="2" t="s">
        <v>1280</v>
      </c>
      <c r="F625" s="2"/>
      <c r="G625" s="2" t="s">
        <v>21</v>
      </c>
      <c r="H625" s="2">
        <v>2990.1</v>
      </c>
      <c r="I625" s="2"/>
      <c r="J625" s="2">
        <v>2990.1</v>
      </c>
      <c r="K625" s="2">
        <v>2187.02</v>
      </c>
      <c r="L625" s="2" t="s">
        <v>51</v>
      </c>
      <c r="M625" s="2" t="s">
        <v>3844</v>
      </c>
      <c r="N625" s="2" t="s">
        <v>3843</v>
      </c>
    </row>
    <row r="626" spans="1:14" x14ac:dyDescent="0.25">
      <c r="A626" s="2" t="s">
        <v>2769</v>
      </c>
      <c r="B626" s="2" t="s">
        <v>70</v>
      </c>
      <c r="C626" s="4">
        <v>45813</v>
      </c>
      <c r="D626" s="4">
        <v>45873</v>
      </c>
      <c r="E626" s="2" t="s">
        <v>1397</v>
      </c>
      <c r="F626" s="2"/>
      <c r="G626" s="2" t="s">
        <v>71</v>
      </c>
      <c r="H626" s="2">
        <v>534.44000000000005</v>
      </c>
      <c r="I626" s="2"/>
      <c r="J626" s="2">
        <v>534.44000000000005</v>
      </c>
      <c r="K626" s="2">
        <v>390.9</v>
      </c>
      <c r="L626" s="2" t="s">
        <v>51</v>
      </c>
      <c r="M626" s="2" t="s">
        <v>3844</v>
      </c>
      <c r="N626" s="2" t="s">
        <v>3843</v>
      </c>
    </row>
    <row r="627" spans="1:14" ht="30" x14ac:dyDescent="0.25">
      <c r="A627" s="2" t="s">
        <v>3536</v>
      </c>
      <c r="B627" s="2" t="s">
        <v>4133</v>
      </c>
      <c r="C627" s="4">
        <v>45812</v>
      </c>
      <c r="D627" s="4">
        <v>45812</v>
      </c>
      <c r="E627" s="2" t="s">
        <v>3698</v>
      </c>
      <c r="F627" s="2"/>
      <c r="G627" s="2" t="s">
        <v>21</v>
      </c>
      <c r="H627" s="2">
        <v>9932.14</v>
      </c>
      <c r="I627" s="2">
        <v>496.61</v>
      </c>
      <c r="J627" s="2">
        <v>10428.75</v>
      </c>
      <c r="K627" s="2">
        <v>10428.75</v>
      </c>
      <c r="L627" s="2" t="s">
        <v>22</v>
      </c>
      <c r="M627" s="2" t="s">
        <v>3844</v>
      </c>
      <c r="N627" s="2" t="s">
        <v>3843</v>
      </c>
    </row>
    <row r="628" spans="1:14" ht="30" x14ac:dyDescent="0.25">
      <c r="A628" s="2" t="s">
        <v>2825</v>
      </c>
      <c r="B628" s="2" t="s">
        <v>1236</v>
      </c>
      <c r="C628" s="4">
        <v>45812</v>
      </c>
      <c r="D628" s="4">
        <v>45842</v>
      </c>
      <c r="E628" s="2" t="s">
        <v>1293</v>
      </c>
      <c r="F628" s="2"/>
      <c r="G628" s="2" t="s">
        <v>36</v>
      </c>
      <c r="H628" s="2">
        <v>568.13</v>
      </c>
      <c r="I628" s="2">
        <v>28.42</v>
      </c>
      <c r="J628" s="2">
        <v>596.54999999999995</v>
      </c>
      <c r="K628" s="2">
        <v>596.54999999999995</v>
      </c>
      <c r="L628" s="2" t="s">
        <v>22</v>
      </c>
      <c r="M628" s="2" t="s">
        <v>3844</v>
      </c>
      <c r="N628" s="2" t="s">
        <v>3843</v>
      </c>
    </row>
    <row r="629" spans="1:14" ht="30" x14ac:dyDescent="0.25">
      <c r="A629" s="2" t="s">
        <v>2826</v>
      </c>
      <c r="B629" s="2" t="s">
        <v>20</v>
      </c>
      <c r="C629" s="4">
        <v>45812</v>
      </c>
      <c r="D629" s="4">
        <v>45872</v>
      </c>
      <c r="E629" s="2" t="s">
        <v>1291</v>
      </c>
      <c r="F629" s="2"/>
      <c r="G629" s="2" t="s">
        <v>21</v>
      </c>
      <c r="H629" s="2">
        <v>243.55</v>
      </c>
      <c r="I629" s="2">
        <v>12.18</v>
      </c>
      <c r="J629" s="2">
        <v>255.73</v>
      </c>
      <c r="K629" s="2">
        <v>255.73</v>
      </c>
      <c r="L629" s="2" t="s">
        <v>22</v>
      </c>
      <c r="M629" s="2" t="s">
        <v>3844</v>
      </c>
      <c r="N629" s="2" t="s">
        <v>3843</v>
      </c>
    </row>
    <row r="630" spans="1:14" ht="30" x14ac:dyDescent="0.25">
      <c r="A630" s="2" t="s">
        <v>2819</v>
      </c>
      <c r="B630" s="2" t="s">
        <v>26</v>
      </c>
      <c r="C630" s="4">
        <v>45812</v>
      </c>
      <c r="D630" s="4">
        <v>45872</v>
      </c>
      <c r="E630" s="2" t="s">
        <v>1306</v>
      </c>
      <c r="F630" s="2"/>
      <c r="G630" s="2" t="s">
        <v>180</v>
      </c>
      <c r="H630" s="2">
        <v>26.73</v>
      </c>
      <c r="I630" s="2"/>
      <c r="J630" s="2">
        <v>26.73</v>
      </c>
      <c r="K630" s="2">
        <v>26.73</v>
      </c>
      <c r="L630" s="2" t="s">
        <v>22</v>
      </c>
      <c r="M630" s="2" t="s">
        <v>3844</v>
      </c>
      <c r="N630" s="2" t="s">
        <v>3843</v>
      </c>
    </row>
    <row r="631" spans="1:14" x14ac:dyDescent="0.25">
      <c r="A631" s="2" t="s">
        <v>2737</v>
      </c>
      <c r="B631" s="2" t="s">
        <v>630</v>
      </c>
      <c r="C631" s="4">
        <v>45812</v>
      </c>
      <c r="D631" s="4">
        <v>45842</v>
      </c>
      <c r="E631" s="2" t="s">
        <v>1457</v>
      </c>
      <c r="F631" s="2"/>
      <c r="G631" s="2" t="s">
        <v>21</v>
      </c>
      <c r="H631" s="2">
        <v>814.38</v>
      </c>
      <c r="I631" s="2">
        <v>40.72</v>
      </c>
      <c r="J631" s="2">
        <v>855.1</v>
      </c>
      <c r="K631" s="2">
        <v>855.1</v>
      </c>
      <c r="L631" s="2" t="s">
        <v>22</v>
      </c>
      <c r="M631" s="2" t="s">
        <v>3844</v>
      </c>
      <c r="N631" s="2" t="s">
        <v>3843</v>
      </c>
    </row>
    <row r="632" spans="1:14" x14ac:dyDescent="0.25">
      <c r="A632" s="2" t="s">
        <v>2341</v>
      </c>
      <c r="B632" s="2" t="s">
        <v>630</v>
      </c>
      <c r="C632" s="4">
        <v>45812</v>
      </c>
      <c r="D632" s="4">
        <v>45842</v>
      </c>
      <c r="E632" s="2" t="s">
        <v>2135</v>
      </c>
      <c r="F632" s="2"/>
      <c r="G632" s="2" t="s">
        <v>21</v>
      </c>
      <c r="H632" s="2">
        <v>24488</v>
      </c>
      <c r="I632" s="2">
        <v>1224.4000000000001</v>
      </c>
      <c r="J632" s="2">
        <v>25712.400000000001</v>
      </c>
      <c r="K632" s="2">
        <v>25712.400000000001</v>
      </c>
      <c r="L632" s="2" t="s">
        <v>22</v>
      </c>
      <c r="M632" s="2" t="s">
        <v>3844</v>
      </c>
      <c r="N632" s="2" t="s">
        <v>3843</v>
      </c>
    </row>
    <row r="633" spans="1:14" x14ac:dyDescent="0.25">
      <c r="A633" s="2" t="s">
        <v>2676</v>
      </c>
      <c r="B633" s="2" t="s">
        <v>630</v>
      </c>
      <c r="C633" s="4">
        <v>45812</v>
      </c>
      <c r="D633" s="4">
        <v>45842</v>
      </c>
      <c r="E633" s="2" t="s">
        <v>1566</v>
      </c>
      <c r="F633" s="2"/>
      <c r="G633" s="2" t="s">
        <v>21</v>
      </c>
      <c r="H633" s="2">
        <v>6357.14</v>
      </c>
      <c r="I633" s="2">
        <v>317.86</v>
      </c>
      <c r="J633" s="2">
        <v>6675</v>
      </c>
      <c r="K633" s="2">
        <v>6675</v>
      </c>
      <c r="L633" s="2" t="s">
        <v>22</v>
      </c>
      <c r="M633" s="2" t="s">
        <v>3844</v>
      </c>
      <c r="N633" s="2" t="s">
        <v>3843</v>
      </c>
    </row>
    <row r="634" spans="1:14" ht="60" x14ac:dyDescent="0.25">
      <c r="A634" s="2" t="s">
        <v>2787</v>
      </c>
      <c r="B634" s="2" t="s">
        <v>3974</v>
      </c>
      <c r="C634" s="4">
        <v>45812</v>
      </c>
      <c r="D634" s="4">
        <v>45842</v>
      </c>
      <c r="E634" s="2" t="s">
        <v>1364</v>
      </c>
      <c r="F634" s="2"/>
      <c r="G634" s="2" t="s">
        <v>21</v>
      </c>
      <c r="H634" s="2">
        <v>29586.69</v>
      </c>
      <c r="I634" s="2">
        <v>3846.27</v>
      </c>
      <c r="J634" s="2">
        <v>33432.959999999999</v>
      </c>
      <c r="K634" s="2">
        <v>33432.959999999999</v>
      </c>
      <c r="L634" s="2" t="s">
        <v>22</v>
      </c>
      <c r="M634" s="2" t="s">
        <v>3844</v>
      </c>
      <c r="N634" s="2" t="s">
        <v>3843</v>
      </c>
    </row>
    <row r="635" spans="1:14" ht="45" x14ac:dyDescent="0.25">
      <c r="A635" s="2" t="s">
        <v>2830</v>
      </c>
      <c r="B635" s="2" t="s">
        <v>3951</v>
      </c>
      <c r="C635" s="4">
        <v>45812</v>
      </c>
      <c r="D635" s="4">
        <v>45842</v>
      </c>
      <c r="E635" s="2" t="s">
        <v>1286</v>
      </c>
      <c r="F635" s="2"/>
      <c r="G635" s="2" t="s">
        <v>21</v>
      </c>
      <c r="H635" s="2">
        <v>227.91</v>
      </c>
      <c r="I635" s="2"/>
      <c r="J635" s="2">
        <v>227.91</v>
      </c>
      <c r="K635" s="2">
        <v>166.08</v>
      </c>
      <c r="L635" s="2" t="s">
        <v>51</v>
      </c>
      <c r="M635" s="2" t="s">
        <v>3844</v>
      </c>
      <c r="N635" s="2" t="s">
        <v>3843</v>
      </c>
    </row>
    <row r="636" spans="1:14" ht="30" x14ac:dyDescent="0.25">
      <c r="A636" s="2" t="s">
        <v>2820</v>
      </c>
      <c r="B636" s="2" t="s">
        <v>47</v>
      </c>
      <c r="C636" s="4">
        <v>45811</v>
      </c>
      <c r="D636" s="4">
        <v>45841</v>
      </c>
      <c r="E636" s="2" t="s">
        <v>1304</v>
      </c>
      <c r="F636" s="2"/>
      <c r="G636" s="2" t="s">
        <v>21</v>
      </c>
      <c r="H636" s="2">
        <v>2804.45</v>
      </c>
      <c r="I636" s="2">
        <v>364.58</v>
      </c>
      <c r="J636" s="2">
        <v>3169.03</v>
      </c>
      <c r="K636" s="2">
        <v>3169.03</v>
      </c>
      <c r="L636" s="2" t="s">
        <v>22</v>
      </c>
      <c r="M636" s="2" t="s">
        <v>3844</v>
      </c>
      <c r="N636" s="2" t="s">
        <v>3843</v>
      </c>
    </row>
    <row r="637" spans="1:14" x14ac:dyDescent="0.25">
      <c r="A637" s="2" t="s">
        <v>2437</v>
      </c>
      <c r="B637" s="2" t="s">
        <v>3908</v>
      </c>
      <c r="C637" s="4">
        <v>45811</v>
      </c>
      <c r="D637" s="4">
        <v>45841</v>
      </c>
      <c r="E637" s="2" t="s">
        <v>1977</v>
      </c>
      <c r="F637" s="2"/>
      <c r="G637" s="2" t="s">
        <v>1132</v>
      </c>
      <c r="H637" s="2">
        <v>565.09</v>
      </c>
      <c r="I637" s="2">
        <v>28.25</v>
      </c>
      <c r="J637" s="2">
        <v>593.34</v>
      </c>
      <c r="K637" s="2">
        <v>593.34</v>
      </c>
      <c r="L637" s="2" t="s">
        <v>22</v>
      </c>
      <c r="M637" s="2" t="s">
        <v>3844</v>
      </c>
      <c r="N637" s="2" t="s">
        <v>3843</v>
      </c>
    </row>
    <row r="638" spans="1:14" x14ac:dyDescent="0.25">
      <c r="A638" s="2" t="s">
        <v>2293</v>
      </c>
      <c r="B638" s="2" t="s">
        <v>54</v>
      </c>
      <c r="C638" s="4">
        <v>45811</v>
      </c>
      <c r="D638" s="4">
        <v>45841</v>
      </c>
      <c r="E638" s="2" t="s">
        <v>2226</v>
      </c>
      <c r="F638" s="2"/>
      <c r="G638" s="2" t="s">
        <v>21</v>
      </c>
      <c r="H638" s="2">
        <v>1994.78</v>
      </c>
      <c r="I638" s="2">
        <v>99.74</v>
      </c>
      <c r="J638" s="2">
        <v>2094.52</v>
      </c>
      <c r="K638" s="2">
        <v>2094.52</v>
      </c>
      <c r="L638" s="2" t="s">
        <v>22</v>
      </c>
      <c r="M638" s="2" t="s">
        <v>3844</v>
      </c>
      <c r="N638" s="2" t="s">
        <v>3843</v>
      </c>
    </row>
    <row r="639" spans="1:14" ht="30" x14ac:dyDescent="0.25">
      <c r="A639" s="2" t="s">
        <v>2349</v>
      </c>
      <c r="B639" s="2" t="s">
        <v>20</v>
      </c>
      <c r="C639" s="4">
        <v>45811</v>
      </c>
      <c r="D639" s="4">
        <v>45871</v>
      </c>
      <c r="E639" s="2" t="s">
        <v>2118</v>
      </c>
      <c r="F639" s="2"/>
      <c r="G639" s="2" t="s">
        <v>21</v>
      </c>
      <c r="H639" s="2">
        <v>796.11</v>
      </c>
      <c r="I639" s="2">
        <v>39.81</v>
      </c>
      <c r="J639" s="2">
        <v>835.92</v>
      </c>
      <c r="K639" s="2">
        <v>835.92</v>
      </c>
      <c r="L639" s="2" t="s">
        <v>22</v>
      </c>
      <c r="M639" s="2" t="s">
        <v>3844</v>
      </c>
      <c r="N639" s="2" t="s">
        <v>3843</v>
      </c>
    </row>
    <row r="640" spans="1:14" ht="30" x14ac:dyDescent="0.25">
      <c r="A640" s="2" t="s">
        <v>2798</v>
      </c>
      <c r="B640" s="2" t="s">
        <v>4171</v>
      </c>
      <c r="C640" s="4">
        <v>45811</v>
      </c>
      <c r="D640" s="4">
        <v>45841</v>
      </c>
      <c r="E640" s="2" t="s">
        <v>1344</v>
      </c>
      <c r="F640" s="2"/>
      <c r="G640" s="2" t="s">
        <v>180</v>
      </c>
      <c r="H640" s="2">
        <v>5340.54</v>
      </c>
      <c r="I640" s="2"/>
      <c r="J640" s="2">
        <v>5340.54</v>
      </c>
      <c r="K640" s="2">
        <v>3897.24</v>
      </c>
      <c r="L640" s="2" t="s">
        <v>51</v>
      </c>
      <c r="M640" s="2" t="s">
        <v>3844</v>
      </c>
      <c r="N640" s="2" t="s">
        <v>3843</v>
      </c>
    </row>
    <row r="641" spans="1:14" ht="60" x14ac:dyDescent="0.25">
      <c r="A641" s="2" t="s">
        <v>2772</v>
      </c>
      <c r="B641" s="2" t="s">
        <v>4095</v>
      </c>
      <c r="C641" s="4">
        <v>45811</v>
      </c>
      <c r="D641" s="4">
        <v>45811</v>
      </c>
      <c r="E641" s="2" t="s">
        <v>1391</v>
      </c>
      <c r="F641" s="2"/>
      <c r="G641" s="2" t="s">
        <v>180</v>
      </c>
      <c r="H641" s="2">
        <v>4175.4799999999996</v>
      </c>
      <c r="I641" s="2"/>
      <c r="J641" s="2">
        <v>4175.4799999999996</v>
      </c>
      <c r="K641" s="2">
        <v>3047.03</v>
      </c>
      <c r="L641" s="2" t="s">
        <v>51</v>
      </c>
      <c r="M641" s="2" t="s">
        <v>3844</v>
      </c>
      <c r="N641" s="2" t="s">
        <v>3843</v>
      </c>
    </row>
    <row r="642" spans="1:14" ht="30" x14ac:dyDescent="0.25">
      <c r="A642" s="2" t="s">
        <v>2822</v>
      </c>
      <c r="B642" s="2" t="s">
        <v>4171</v>
      </c>
      <c r="C642" s="4">
        <v>45811</v>
      </c>
      <c r="D642" s="4">
        <v>45841</v>
      </c>
      <c r="E642" s="2" t="s">
        <v>1300</v>
      </c>
      <c r="F642" s="2"/>
      <c r="G642" s="2" t="s">
        <v>180</v>
      </c>
      <c r="H642" s="2">
        <v>2670.27</v>
      </c>
      <c r="I642" s="2"/>
      <c r="J642" s="2">
        <v>2670.27</v>
      </c>
      <c r="K642" s="2">
        <v>1948.62</v>
      </c>
      <c r="L642" s="2" t="s">
        <v>51</v>
      </c>
      <c r="M642" s="2" t="s">
        <v>3844</v>
      </c>
      <c r="N642" s="2" t="s">
        <v>3843</v>
      </c>
    </row>
    <row r="643" spans="1:14" ht="30" x14ac:dyDescent="0.25">
      <c r="A643" s="2" t="s">
        <v>2586</v>
      </c>
      <c r="B643" s="2" t="s">
        <v>4181</v>
      </c>
      <c r="C643" s="4">
        <v>45810</v>
      </c>
      <c r="D643" s="4">
        <v>45825</v>
      </c>
      <c r="E643" s="2" t="s">
        <v>1718</v>
      </c>
      <c r="F643" s="2"/>
      <c r="G643" s="2" t="s">
        <v>21</v>
      </c>
      <c r="H643" s="2">
        <v>12281.56</v>
      </c>
      <c r="I643" s="2">
        <v>1596.6</v>
      </c>
      <c r="J643" s="2">
        <v>13878.16</v>
      </c>
      <c r="K643" s="2">
        <v>13878.16</v>
      </c>
      <c r="L643" s="2" t="s">
        <v>22</v>
      </c>
      <c r="M643" s="2" t="s">
        <v>3844</v>
      </c>
      <c r="N643" s="2" t="s">
        <v>3843</v>
      </c>
    </row>
    <row r="644" spans="1:14" ht="30" x14ac:dyDescent="0.25">
      <c r="A644" s="2" t="s">
        <v>2818</v>
      </c>
      <c r="B644" s="2" t="s">
        <v>80</v>
      </c>
      <c r="C644" s="4">
        <v>45810</v>
      </c>
      <c r="D644" s="4">
        <v>45870</v>
      </c>
      <c r="E644" s="2" t="s">
        <v>1308</v>
      </c>
      <c r="F644" s="2"/>
      <c r="G644" s="2" t="s">
        <v>21</v>
      </c>
      <c r="H644" s="2">
        <v>254.29</v>
      </c>
      <c r="I644" s="2"/>
      <c r="J644" s="2">
        <v>254.29</v>
      </c>
      <c r="K644" s="2">
        <v>254.29</v>
      </c>
      <c r="L644" s="2" t="s">
        <v>22</v>
      </c>
      <c r="M644" s="2" t="s">
        <v>3844</v>
      </c>
      <c r="N644" s="2" t="s">
        <v>3843</v>
      </c>
    </row>
    <row r="645" spans="1:14" ht="30" x14ac:dyDescent="0.25">
      <c r="A645" s="2" t="s">
        <v>2804</v>
      </c>
      <c r="B645" s="2" t="s">
        <v>3537</v>
      </c>
      <c r="C645" s="4">
        <v>45810</v>
      </c>
      <c r="D645" s="4">
        <v>45840</v>
      </c>
      <c r="E645" s="2" t="s">
        <v>1331</v>
      </c>
      <c r="F645" s="2"/>
      <c r="G645" s="2" t="s">
        <v>21</v>
      </c>
      <c r="H645" s="2">
        <v>153.41999999999999</v>
      </c>
      <c r="I645" s="2">
        <v>7.67</v>
      </c>
      <c r="J645" s="2">
        <v>161.09</v>
      </c>
      <c r="K645" s="2">
        <v>161.09</v>
      </c>
      <c r="L645" s="2" t="s">
        <v>22</v>
      </c>
      <c r="M645" s="2" t="s">
        <v>3844</v>
      </c>
      <c r="N645" s="2" t="s">
        <v>3843</v>
      </c>
    </row>
    <row r="646" spans="1:14" ht="30" x14ac:dyDescent="0.25">
      <c r="A646" s="2" t="s">
        <v>2815</v>
      </c>
      <c r="B646" s="2" t="s">
        <v>39</v>
      </c>
      <c r="C646" s="4">
        <v>45810</v>
      </c>
      <c r="D646" s="4">
        <v>45840</v>
      </c>
      <c r="E646" s="2" t="s">
        <v>1314</v>
      </c>
      <c r="F646" s="2"/>
      <c r="G646" s="2" t="s">
        <v>21</v>
      </c>
      <c r="H646" s="2">
        <v>3384.38</v>
      </c>
      <c r="I646" s="2">
        <v>169.22</v>
      </c>
      <c r="J646" s="2">
        <v>3553.6</v>
      </c>
      <c r="K646" s="2">
        <v>3553.6</v>
      </c>
      <c r="L646" s="2" t="s">
        <v>22</v>
      </c>
      <c r="M646" s="2" t="s">
        <v>3844</v>
      </c>
      <c r="N646" s="2" t="s">
        <v>3843</v>
      </c>
    </row>
    <row r="647" spans="1:14" ht="30" x14ac:dyDescent="0.25">
      <c r="A647" s="2" t="s">
        <v>2814</v>
      </c>
      <c r="B647" s="2" t="s">
        <v>104</v>
      </c>
      <c r="C647" s="4">
        <v>45807</v>
      </c>
      <c r="D647" s="4">
        <v>45837</v>
      </c>
      <c r="E647" s="2" t="s">
        <v>1316</v>
      </c>
      <c r="F647" s="2"/>
      <c r="G647" s="2" t="s">
        <v>21</v>
      </c>
      <c r="H647" s="2">
        <v>711.25</v>
      </c>
      <c r="I647" s="2">
        <v>35.56</v>
      </c>
      <c r="J647" s="2">
        <v>746.81</v>
      </c>
      <c r="K647" s="2">
        <v>746.81</v>
      </c>
      <c r="L647" s="2" t="s">
        <v>22</v>
      </c>
      <c r="M647" s="2" t="s">
        <v>3844</v>
      </c>
      <c r="N647" s="2" t="s">
        <v>3843</v>
      </c>
    </row>
    <row r="648" spans="1:14" ht="30" x14ac:dyDescent="0.25">
      <c r="A648" s="2" t="s">
        <v>2809</v>
      </c>
      <c r="B648" s="2" t="s">
        <v>104</v>
      </c>
      <c r="C648" s="4">
        <v>45807</v>
      </c>
      <c r="D648" s="4">
        <v>45837</v>
      </c>
      <c r="E648" s="2" t="s">
        <v>1325</v>
      </c>
      <c r="F648" s="2"/>
      <c r="G648" s="2" t="s">
        <v>21</v>
      </c>
      <c r="H648" s="2">
        <v>286.35000000000002</v>
      </c>
      <c r="I648" s="2">
        <v>14.32</v>
      </c>
      <c r="J648" s="2">
        <v>300.67</v>
      </c>
      <c r="K648" s="2">
        <v>300.67</v>
      </c>
      <c r="L648" s="2" t="s">
        <v>22</v>
      </c>
      <c r="M648" s="2" t="s">
        <v>3844</v>
      </c>
      <c r="N648" s="2" t="s">
        <v>3843</v>
      </c>
    </row>
    <row r="649" spans="1:14" ht="30" x14ac:dyDescent="0.25">
      <c r="A649" s="2" t="s">
        <v>2810</v>
      </c>
      <c r="B649" s="2" t="s">
        <v>20</v>
      </c>
      <c r="C649" s="4">
        <v>45807</v>
      </c>
      <c r="D649" s="4">
        <v>45867</v>
      </c>
      <c r="E649" s="2" t="s">
        <v>1323</v>
      </c>
      <c r="F649" s="2"/>
      <c r="G649" s="2" t="s">
        <v>21</v>
      </c>
      <c r="H649" s="2">
        <v>2202.98</v>
      </c>
      <c r="I649" s="2">
        <v>110.15</v>
      </c>
      <c r="J649" s="2">
        <v>2313.13</v>
      </c>
      <c r="K649" s="2">
        <v>2313.13</v>
      </c>
      <c r="L649" s="2" t="s">
        <v>22</v>
      </c>
      <c r="M649" s="2" t="s">
        <v>3844</v>
      </c>
      <c r="N649" s="2" t="s">
        <v>3843</v>
      </c>
    </row>
    <row r="650" spans="1:14" x14ac:dyDescent="0.25">
      <c r="A650" s="2" t="s">
        <v>3543</v>
      </c>
      <c r="B650" s="2" t="s">
        <v>599</v>
      </c>
      <c r="C650" s="4">
        <v>45807</v>
      </c>
      <c r="D650" s="4">
        <v>45807</v>
      </c>
      <c r="E650" s="2" t="s">
        <v>3613</v>
      </c>
      <c r="F650" s="2"/>
      <c r="G650" s="2" t="s">
        <v>21</v>
      </c>
      <c r="H650" s="2">
        <v>2494.96</v>
      </c>
      <c r="I650" s="2"/>
      <c r="J650" s="2">
        <v>2494.96</v>
      </c>
      <c r="K650" s="2">
        <v>1806.59</v>
      </c>
      <c r="L650" s="2" t="s">
        <v>51</v>
      </c>
      <c r="M650" s="2" t="s">
        <v>4186</v>
      </c>
      <c r="N650" s="2" t="s">
        <v>3843</v>
      </c>
    </row>
    <row r="651" spans="1:14" x14ac:dyDescent="0.25">
      <c r="A651" s="2" t="s">
        <v>2756</v>
      </c>
      <c r="B651" s="2" t="s">
        <v>1423</v>
      </c>
      <c r="C651" s="4">
        <v>45807</v>
      </c>
      <c r="D651" s="4">
        <v>45867</v>
      </c>
      <c r="E651" s="2" t="s">
        <v>1421</v>
      </c>
      <c r="F651" s="2"/>
      <c r="G651" s="2" t="s">
        <v>71</v>
      </c>
      <c r="H651" s="2">
        <v>5985.28</v>
      </c>
      <c r="I651" s="2"/>
      <c r="J651" s="2">
        <v>5985.28</v>
      </c>
      <c r="K651" s="2">
        <v>4353.6099999999997</v>
      </c>
      <c r="L651" s="2" t="s">
        <v>51</v>
      </c>
      <c r="M651" s="2" t="s">
        <v>3844</v>
      </c>
      <c r="N651" s="2" t="s">
        <v>3843</v>
      </c>
    </row>
    <row r="652" spans="1:14" x14ac:dyDescent="0.25">
      <c r="A652" s="2" t="s">
        <v>2534</v>
      </c>
      <c r="B652" s="2" t="s">
        <v>714</v>
      </c>
      <c r="C652" s="4">
        <v>45807</v>
      </c>
      <c r="D652" s="4">
        <v>45837</v>
      </c>
      <c r="E652" s="2" t="s">
        <v>1810</v>
      </c>
      <c r="F652" s="2"/>
      <c r="G652" s="2" t="s">
        <v>21</v>
      </c>
      <c r="H652" s="2">
        <v>2068.62</v>
      </c>
      <c r="I652" s="2"/>
      <c r="J652" s="2">
        <v>2068.62</v>
      </c>
      <c r="K652" s="2">
        <v>1497.88</v>
      </c>
      <c r="L652" s="2" t="s">
        <v>51</v>
      </c>
      <c r="M652" s="2" t="s">
        <v>3844</v>
      </c>
      <c r="N652" s="2" t="s">
        <v>3843</v>
      </c>
    </row>
    <row r="653" spans="1:14" x14ac:dyDescent="0.25">
      <c r="A653" s="2" t="s">
        <v>2405</v>
      </c>
      <c r="B653" s="2" t="s">
        <v>714</v>
      </c>
      <c r="C653" s="4">
        <v>45807</v>
      </c>
      <c r="D653" s="4">
        <v>45837</v>
      </c>
      <c r="E653" s="2" t="s">
        <v>2032</v>
      </c>
      <c r="F653" s="2"/>
      <c r="G653" s="2" t="s">
        <v>21</v>
      </c>
      <c r="H653" s="2">
        <v>1034.31</v>
      </c>
      <c r="I653" s="2"/>
      <c r="J653" s="2">
        <v>1034.31</v>
      </c>
      <c r="K653" s="2">
        <v>748.94</v>
      </c>
      <c r="L653" s="2" t="s">
        <v>51</v>
      </c>
      <c r="M653" s="2" t="s">
        <v>3844</v>
      </c>
      <c r="N653" s="2" t="s">
        <v>3843</v>
      </c>
    </row>
    <row r="654" spans="1:14" x14ac:dyDescent="0.25">
      <c r="A654" s="2" t="s">
        <v>3546</v>
      </c>
      <c r="B654" s="2" t="s">
        <v>714</v>
      </c>
      <c r="C654" s="4">
        <v>45807</v>
      </c>
      <c r="D654" s="4">
        <v>45837</v>
      </c>
      <c r="E654" s="2" t="s">
        <v>4185</v>
      </c>
      <c r="F654" s="2"/>
      <c r="G654" s="2" t="s">
        <v>21</v>
      </c>
      <c r="H654" s="2">
        <v>20434.43</v>
      </c>
      <c r="I654" s="2"/>
      <c r="J654" s="2">
        <v>20434.43</v>
      </c>
      <c r="K654" s="2">
        <v>14796.5</v>
      </c>
      <c r="L654" s="2" t="s">
        <v>51</v>
      </c>
      <c r="M654" s="2" t="s">
        <v>3844</v>
      </c>
      <c r="N654" s="2" t="s">
        <v>3843</v>
      </c>
    </row>
    <row r="655" spans="1:14" x14ac:dyDescent="0.25">
      <c r="A655" s="2" t="s">
        <v>3548</v>
      </c>
      <c r="B655" s="2" t="s">
        <v>64</v>
      </c>
      <c r="C655" s="4">
        <v>45806</v>
      </c>
      <c r="D655" s="4">
        <v>45836</v>
      </c>
      <c r="E655" s="2" t="s">
        <v>4184</v>
      </c>
      <c r="F655" s="2"/>
      <c r="G655" s="2" t="s">
        <v>21</v>
      </c>
      <c r="H655" s="2">
        <v>20297.11</v>
      </c>
      <c r="I655" s="2">
        <v>2638.62</v>
      </c>
      <c r="J655" s="2">
        <v>22935.73</v>
      </c>
      <c r="K655" s="2">
        <v>22935.73</v>
      </c>
      <c r="L655" s="2" t="s">
        <v>22</v>
      </c>
      <c r="M655" s="2" t="s">
        <v>3844</v>
      </c>
      <c r="N655" s="2" t="s">
        <v>3843</v>
      </c>
    </row>
    <row r="656" spans="1:14" x14ac:dyDescent="0.25">
      <c r="A656" s="2" t="s">
        <v>2801</v>
      </c>
      <c r="B656" s="2" t="s">
        <v>70</v>
      </c>
      <c r="C656" s="4">
        <v>45806</v>
      </c>
      <c r="D656" s="4">
        <v>45866</v>
      </c>
      <c r="E656" s="2" t="s">
        <v>1338</v>
      </c>
      <c r="F656" s="2"/>
      <c r="G656" s="2" t="s">
        <v>71</v>
      </c>
      <c r="H656" s="2">
        <v>14528.79</v>
      </c>
      <c r="I656" s="2"/>
      <c r="J656" s="2">
        <v>14528.79</v>
      </c>
      <c r="K656" s="2">
        <v>10512.11</v>
      </c>
      <c r="L656" s="2" t="s">
        <v>51</v>
      </c>
      <c r="M656" s="2" t="s">
        <v>3844</v>
      </c>
      <c r="N656" s="2" t="s">
        <v>3843</v>
      </c>
    </row>
    <row r="657" spans="1:14" ht="45" x14ac:dyDescent="0.25">
      <c r="A657" s="2" t="s">
        <v>2681</v>
      </c>
      <c r="B657" s="2" t="s">
        <v>502</v>
      </c>
      <c r="C657" s="4">
        <v>45805</v>
      </c>
      <c r="D657" s="4">
        <v>45850</v>
      </c>
      <c r="E657" s="2" t="s">
        <v>1556</v>
      </c>
      <c r="F657" s="2"/>
      <c r="G657" s="2" t="s">
        <v>21</v>
      </c>
      <c r="H657" s="2">
        <v>884.56</v>
      </c>
      <c r="I657" s="2">
        <v>44.23</v>
      </c>
      <c r="J657" s="2">
        <v>928.79</v>
      </c>
      <c r="K657" s="2">
        <v>928.79</v>
      </c>
      <c r="L657" s="2" t="s">
        <v>22</v>
      </c>
      <c r="M657" s="2" t="s">
        <v>3844</v>
      </c>
      <c r="N657" s="2" t="s">
        <v>3843</v>
      </c>
    </row>
    <row r="658" spans="1:14" ht="30" x14ac:dyDescent="0.25">
      <c r="A658" s="2" t="s">
        <v>2802</v>
      </c>
      <c r="B658" s="2" t="s">
        <v>86</v>
      </c>
      <c r="C658" s="4">
        <v>45805</v>
      </c>
      <c r="D658" s="4">
        <v>45835</v>
      </c>
      <c r="E658" s="2" t="s">
        <v>1336</v>
      </c>
      <c r="F658" s="2"/>
      <c r="G658" s="2" t="s">
        <v>1132</v>
      </c>
      <c r="H658" s="2">
        <v>126.12</v>
      </c>
      <c r="I658" s="2">
        <v>6.31</v>
      </c>
      <c r="J658" s="2">
        <v>132.43</v>
      </c>
      <c r="K658" s="2">
        <v>132.43</v>
      </c>
      <c r="L658" s="2" t="s">
        <v>22</v>
      </c>
      <c r="M658" s="2" t="s">
        <v>3844</v>
      </c>
      <c r="N658" s="2" t="s">
        <v>3843</v>
      </c>
    </row>
    <row r="659" spans="1:14" ht="30" x14ac:dyDescent="0.25">
      <c r="A659" s="2" t="s">
        <v>2392</v>
      </c>
      <c r="B659" s="2" t="s">
        <v>3934</v>
      </c>
      <c r="C659" s="4">
        <v>45805</v>
      </c>
      <c r="D659" s="4">
        <v>45835</v>
      </c>
      <c r="E659" s="2" t="s">
        <v>2054</v>
      </c>
      <c r="F659" s="2"/>
      <c r="G659" s="2" t="s">
        <v>21</v>
      </c>
      <c r="H659" s="2">
        <v>4342.6000000000004</v>
      </c>
      <c r="I659" s="2">
        <v>217.13</v>
      </c>
      <c r="J659" s="2">
        <v>4559.7299999999996</v>
      </c>
      <c r="K659" s="2">
        <v>4559.7299999999996</v>
      </c>
      <c r="L659" s="2" t="s">
        <v>22</v>
      </c>
      <c r="M659" s="2" t="s">
        <v>3844</v>
      </c>
      <c r="N659" s="2" t="s">
        <v>3843</v>
      </c>
    </row>
    <row r="660" spans="1:14" x14ac:dyDescent="0.25">
      <c r="A660" s="2" t="s">
        <v>2799</v>
      </c>
      <c r="B660" s="2" t="s">
        <v>146</v>
      </c>
      <c r="C660" s="4">
        <v>45805</v>
      </c>
      <c r="D660" s="4">
        <v>45835</v>
      </c>
      <c r="E660" s="2" t="s">
        <v>1342</v>
      </c>
      <c r="F660" s="2"/>
      <c r="G660" s="2" t="s">
        <v>21</v>
      </c>
      <c r="H660" s="2">
        <v>1034.78</v>
      </c>
      <c r="I660" s="2">
        <v>51.74</v>
      </c>
      <c r="J660" s="2">
        <v>1086.52</v>
      </c>
      <c r="K660" s="2">
        <v>1086.52</v>
      </c>
      <c r="L660" s="2" t="s">
        <v>22</v>
      </c>
      <c r="M660" s="2" t="s">
        <v>3844</v>
      </c>
      <c r="N660" s="2" t="s">
        <v>3843</v>
      </c>
    </row>
    <row r="661" spans="1:14" ht="30" x14ac:dyDescent="0.25">
      <c r="A661" s="2" t="s">
        <v>2796</v>
      </c>
      <c r="B661" s="2" t="s">
        <v>864</v>
      </c>
      <c r="C661" s="4">
        <v>45804</v>
      </c>
      <c r="D661" s="4">
        <v>45834</v>
      </c>
      <c r="E661" s="2" t="s">
        <v>1348</v>
      </c>
      <c r="F661" s="2"/>
      <c r="G661" s="2" t="s">
        <v>21</v>
      </c>
      <c r="H661" s="2">
        <v>128.94</v>
      </c>
      <c r="I661" s="2">
        <v>6.45</v>
      </c>
      <c r="J661" s="2">
        <v>135.38999999999999</v>
      </c>
      <c r="K661" s="2">
        <v>135.38999999999999</v>
      </c>
      <c r="L661" s="2" t="s">
        <v>22</v>
      </c>
      <c r="M661" s="2" t="s">
        <v>3844</v>
      </c>
      <c r="N661" s="2" t="s">
        <v>3843</v>
      </c>
    </row>
    <row r="662" spans="1:14" ht="30" x14ac:dyDescent="0.25">
      <c r="A662" s="2" t="s">
        <v>2544</v>
      </c>
      <c r="B662" s="2" t="s">
        <v>129</v>
      </c>
      <c r="C662" s="4">
        <v>45804</v>
      </c>
      <c r="D662" s="4">
        <v>45834</v>
      </c>
      <c r="E662" s="2" t="s">
        <v>1793</v>
      </c>
      <c r="F662" s="2"/>
      <c r="G662" s="2" t="s">
        <v>130</v>
      </c>
      <c r="H662" s="2">
        <v>494.34</v>
      </c>
      <c r="I662" s="2"/>
      <c r="J662" s="2">
        <v>494.34</v>
      </c>
      <c r="K662" s="2">
        <v>360</v>
      </c>
      <c r="L662" s="2" t="s">
        <v>51</v>
      </c>
      <c r="M662" s="2" t="s">
        <v>3844</v>
      </c>
      <c r="N662" s="2" t="s">
        <v>3843</v>
      </c>
    </row>
    <row r="663" spans="1:14" ht="30" x14ac:dyDescent="0.25">
      <c r="A663" s="2" t="s">
        <v>2442</v>
      </c>
      <c r="B663" s="2" t="s">
        <v>129</v>
      </c>
      <c r="C663" s="4">
        <v>45804</v>
      </c>
      <c r="D663" s="4">
        <v>45834</v>
      </c>
      <c r="E663" s="2" t="s">
        <v>1971</v>
      </c>
      <c r="F663" s="2"/>
      <c r="G663" s="2" t="s">
        <v>130</v>
      </c>
      <c r="H663" s="2">
        <v>11413.66</v>
      </c>
      <c r="I663" s="2"/>
      <c r="J663" s="2">
        <v>11413.66</v>
      </c>
      <c r="K663" s="2">
        <v>8312</v>
      </c>
      <c r="L663" s="2" t="s">
        <v>51</v>
      </c>
      <c r="M663" s="2" t="s">
        <v>3844</v>
      </c>
      <c r="N663" s="2" t="s">
        <v>3843</v>
      </c>
    </row>
    <row r="664" spans="1:14" ht="30" x14ac:dyDescent="0.25">
      <c r="A664" s="2" t="s">
        <v>2433</v>
      </c>
      <c r="B664" s="2" t="s">
        <v>129</v>
      </c>
      <c r="C664" s="4">
        <v>45804</v>
      </c>
      <c r="D664" s="4">
        <v>45834</v>
      </c>
      <c r="E664" s="2" t="s">
        <v>1985</v>
      </c>
      <c r="F664" s="2"/>
      <c r="G664" s="2" t="s">
        <v>130</v>
      </c>
      <c r="H664" s="2">
        <v>12674.21</v>
      </c>
      <c r="I664" s="2"/>
      <c r="J664" s="2">
        <v>12674.21</v>
      </c>
      <c r="K664" s="2">
        <v>9230</v>
      </c>
      <c r="L664" s="2" t="s">
        <v>51</v>
      </c>
      <c r="M664" s="2" t="s">
        <v>3844</v>
      </c>
      <c r="N664" s="2" t="s">
        <v>3843</v>
      </c>
    </row>
    <row r="665" spans="1:14" ht="30" x14ac:dyDescent="0.25">
      <c r="A665" s="2" t="s">
        <v>2408</v>
      </c>
      <c r="B665" s="2" t="s">
        <v>129</v>
      </c>
      <c r="C665" s="4">
        <v>45804</v>
      </c>
      <c r="D665" s="4">
        <v>45834</v>
      </c>
      <c r="E665" s="2" t="s">
        <v>2027</v>
      </c>
      <c r="F665" s="2"/>
      <c r="G665" s="2" t="s">
        <v>130</v>
      </c>
      <c r="H665" s="2">
        <v>17851</v>
      </c>
      <c r="I665" s="2"/>
      <c r="J665" s="2">
        <v>17851</v>
      </c>
      <c r="K665" s="2">
        <v>13000</v>
      </c>
      <c r="L665" s="2" t="s">
        <v>51</v>
      </c>
      <c r="M665" s="2" t="s">
        <v>3844</v>
      </c>
      <c r="N665" s="2" t="s">
        <v>3843</v>
      </c>
    </row>
    <row r="666" spans="1:14" x14ac:dyDescent="0.25">
      <c r="A666" s="2" t="s">
        <v>2743</v>
      </c>
      <c r="B666" s="2" t="s">
        <v>141</v>
      </c>
      <c r="C666" s="4">
        <v>45804</v>
      </c>
      <c r="D666" s="4">
        <v>45849</v>
      </c>
      <c r="E666" s="2" t="s">
        <v>1447</v>
      </c>
      <c r="F666" s="2"/>
      <c r="G666" s="2" t="s">
        <v>21</v>
      </c>
      <c r="H666" s="2">
        <v>1344.73</v>
      </c>
      <c r="I666" s="2"/>
      <c r="J666" s="2">
        <v>1344.73</v>
      </c>
      <c r="K666" s="2">
        <v>979.3</v>
      </c>
      <c r="L666" s="2" t="s">
        <v>51</v>
      </c>
      <c r="M666" s="2" t="s">
        <v>3844</v>
      </c>
      <c r="N666" s="2" t="s">
        <v>3843</v>
      </c>
    </row>
    <row r="667" spans="1:14" x14ac:dyDescent="0.25">
      <c r="A667" s="2" t="s">
        <v>2759</v>
      </c>
      <c r="B667" s="2" t="s">
        <v>141</v>
      </c>
      <c r="C667" s="4">
        <v>45804</v>
      </c>
      <c r="D667" s="4">
        <v>45849</v>
      </c>
      <c r="E667" s="2" t="s">
        <v>1416</v>
      </c>
      <c r="F667" s="2"/>
      <c r="G667" s="2" t="s">
        <v>21</v>
      </c>
      <c r="H667" s="2">
        <v>499.07</v>
      </c>
      <c r="I667" s="2"/>
      <c r="J667" s="2">
        <v>499.07</v>
      </c>
      <c r="K667" s="2">
        <v>363.45</v>
      </c>
      <c r="L667" s="2" t="s">
        <v>51</v>
      </c>
      <c r="M667" s="2" t="s">
        <v>3844</v>
      </c>
      <c r="N667" s="2" t="s">
        <v>3843</v>
      </c>
    </row>
    <row r="668" spans="1:14" x14ac:dyDescent="0.25">
      <c r="A668" s="2" t="s">
        <v>2781</v>
      </c>
      <c r="B668" s="2" t="s">
        <v>141</v>
      </c>
      <c r="C668" s="4">
        <v>45804</v>
      </c>
      <c r="D668" s="4">
        <v>45849</v>
      </c>
      <c r="E668" s="2" t="s">
        <v>1376</v>
      </c>
      <c r="F668" s="2"/>
      <c r="G668" s="2" t="s">
        <v>21</v>
      </c>
      <c r="H668" s="2">
        <v>3524.79</v>
      </c>
      <c r="I668" s="2"/>
      <c r="J668" s="2">
        <v>3524.79</v>
      </c>
      <c r="K668" s="2">
        <v>2566.9299999999998</v>
      </c>
      <c r="L668" s="2" t="s">
        <v>51</v>
      </c>
      <c r="M668" s="2" t="s">
        <v>3844</v>
      </c>
      <c r="N668" s="2" t="s">
        <v>3843</v>
      </c>
    </row>
    <row r="669" spans="1:14" x14ac:dyDescent="0.25">
      <c r="A669" s="2" t="s">
        <v>2782</v>
      </c>
      <c r="B669" s="2" t="s">
        <v>141</v>
      </c>
      <c r="C669" s="4">
        <v>45804</v>
      </c>
      <c r="D669" s="4">
        <v>45849</v>
      </c>
      <c r="E669" s="2" t="s">
        <v>1374</v>
      </c>
      <c r="F669" s="2"/>
      <c r="G669" s="2" t="s">
        <v>21</v>
      </c>
      <c r="H669" s="2">
        <v>2688.51</v>
      </c>
      <c r="I669" s="2"/>
      <c r="J669" s="2">
        <v>2688.51</v>
      </c>
      <c r="K669" s="2">
        <v>1957.91</v>
      </c>
      <c r="L669" s="2" t="s">
        <v>51</v>
      </c>
      <c r="M669" s="2" t="s">
        <v>3844</v>
      </c>
      <c r="N669" s="2" t="s">
        <v>3843</v>
      </c>
    </row>
    <row r="670" spans="1:14" x14ac:dyDescent="0.25">
      <c r="A670" s="2" t="s">
        <v>2783</v>
      </c>
      <c r="B670" s="2" t="s">
        <v>141</v>
      </c>
      <c r="C670" s="4">
        <v>45804</v>
      </c>
      <c r="D670" s="4">
        <v>45849</v>
      </c>
      <c r="E670" s="2" t="s">
        <v>1372</v>
      </c>
      <c r="F670" s="2"/>
      <c r="G670" s="2" t="s">
        <v>21</v>
      </c>
      <c r="H670" s="2">
        <v>3501.4</v>
      </c>
      <c r="I670" s="2"/>
      <c r="J670" s="2">
        <v>3501.4</v>
      </c>
      <c r="K670" s="2">
        <v>2549.9</v>
      </c>
      <c r="L670" s="2" t="s">
        <v>51</v>
      </c>
      <c r="M670" s="2" t="s">
        <v>3844</v>
      </c>
      <c r="N670" s="2" t="s">
        <v>3843</v>
      </c>
    </row>
    <row r="671" spans="1:14" x14ac:dyDescent="0.25">
      <c r="A671" s="2" t="s">
        <v>2785</v>
      </c>
      <c r="B671" s="2" t="s">
        <v>141</v>
      </c>
      <c r="C671" s="4">
        <v>45804</v>
      </c>
      <c r="D671" s="4">
        <v>45849</v>
      </c>
      <c r="E671" s="2" t="s">
        <v>1368</v>
      </c>
      <c r="F671" s="2"/>
      <c r="G671" s="2" t="s">
        <v>21</v>
      </c>
      <c r="H671" s="2">
        <v>2587.9699999999998</v>
      </c>
      <c r="I671" s="2"/>
      <c r="J671" s="2">
        <v>2587.9699999999998</v>
      </c>
      <c r="K671" s="2">
        <v>1884.69</v>
      </c>
      <c r="L671" s="2" t="s">
        <v>51</v>
      </c>
      <c r="M671" s="2" t="s">
        <v>3844</v>
      </c>
      <c r="N671" s="2" t="s">
        <v>3843</v>
      </c>
    </row>
    <row r="672" spans="1:14" x14ac:dyDescent="0.25">
      <c r="A672" s="2" t="s">
        <v>2789</v>
      </c>
      <c r="B672" s="2" t="s">
        <v>141</v>
      </c>
      <c r="C672" s="4">
        <v>45804</v>
      </c>
      <c r="D672" s="4">
        <v>45849</v>
      </c>
      <c r="E672" s="2" t="s">
        <v>1360</v>
      </c>
      <c r="F672" s="2"/>
      <c r="G672" s="2" t="s">
        <v>21</v>
      </c>
      <c r="H672" s="2">
        <v>133.79</v>
      </c>
      <c r="I672" s="2"/>
      <c r="J672" s="2">
        <v>133.79</v>
      </c>
      <c r="K672" s="2">
        <v>97.43</v>
      </c>
      <c r="L672" s="2" t="s">
        <v>51</v>
      </c>
      <c r="M672" s="2" t="s">
        <v>3844</v>
      </c>
      <c r="N672" s="2" t="s">
        <v>3843</v>
      </c>
    </row>
    <row r="673" spans="1:14" x14ac:dyDescent="0.25">
      <c r="A673" s="2" t="s">
        <v>2700</v>
      </c>
      <c r="B673" s="2" t="s">
        <v>869</v>
      </c>
      <c r="C673" s="4">
        <v>45804</v>
      </c>
      <c r="D673" s="4">
        <v>45834</v>
      </c>
      <c r="E673" s="2" t="s">
        <v>1522</v>
      </c>
      <c r="F673" s="2"/>
      <c r="G673" s="2" t="s">
        <v>180</v>
      </c>
      <c r="H673" s="2">
        <v>1976.13</v>
      </c>
      <c r="I673" s="2"/>
      <c r="J673" s="2">
        <v>1976.13</v>
      </c>
      <c r="K673" s="2">
        <v>1439.12</v>
      </c>
      <c r="L673" s="2" t="s">
        <v>51</v>
      </c>
      <c r="M673" s="2" t="s">
        <v>3844</v>
      </c>
      <c r="N673" s="2" t="s">
        <v>3843</v>
      </c>
    </row>
    <row r="674" spans="1:14" ht="30" x14ac:dyDescent="0.25">
      <c r="A674" s="2" t="s">
        <v>2795</v>
      </c>
      <c r="B674" s="2" t="s">
        <v>20</v>
      </c>
      <c r="C674" s="4">
        <v>45803</v>
      </c>
      <c r="D674" s="4">
        <v>45863</v>
      </c>
      <c r="E674" s="2" t="s">
        <v>1350</v>
      </c>
      <c r="F674" s="2"/>
      <c r="G674" s="2" t="s">
        <v>21</v>
      </c>
      <c r="H674" s="2">
        <v>525.22</v>
      </c>
      <c r="I674" s="2">
        <v>26.26</v>
      </c>
      <c r="J674" s="2">
        <v>551.48</v>
      </c>
      <c r="K674" s="2">
        <v>551.48</v>
      </c>
      <c r="L674" s="2" t="s">
        <v>22</v>
      </c>
      <c r="M674" s="2" t="s">
        <v>3844</v>
      </c>
      <c r="N674" s="2" t="s">
        <v>3843</v>
      </c>
    </row>
    <row r="675" spans="1:14" ht="30" x14ac:dyDescent="0.25">
      <c r="A675" s="2" t="s">
        <v>2790</v>
      </c>
      <c r="B675" s="2" t="s">
        <v>104</v>
      </c>
      <c r="C675" s="4">
        <v>45803</v>
      </c>
      <c r="D675" s="4">
        <v>45833</v>
      </c>
      <c r="E675" s="2" t="s">
        <v>1358</v>
      </c>
      <c r="F675" s="2"/>
      <c r="G675" s="2" t="s">
        <v>21</v>
      </c>
      <c r="H675" s="2">
        <v>5.14</v>
      </c>
      <c r="I675" s="2">
        <v>0.26</v>
      </c>
      <c r="J675" s="2">
        <v>5.4</v>
      </c>
      <c r="K675" s="2">
        <v>5.4</v>
      </c>
      <c r="L675" s="2" t="s">
        <v>22</v>
      </c>
      <c r="M675" s="2" t="s">
        <v>3844</v>
      </c>
      <c r="N675" s="2" t="s">
        <v>3843</v>
      </c>
    </row>
    <row r="676" spans="1:14" ht="30" x14ac:dyDescent="0.25">
      <c r="A676" s="2" t="s">
        <v>2792</v>
      </c>
      <c r="B676" s="2" t="s">
        <v>104</v>
      </c>
      <c r="C676" s="4">
        <v>45803</v>
      </c>
      <c r="D676" s="4">
        <v>45833</v>
      </c>
      <c r="E676" s="2" t="s">
        <v>1356</v>
      </c>
      <c r="F676" s="2"/>
      <c r="G676" s="2" t="s">
        <v>21</v>
      </c>
      <c r="H676" s="2">
        <v>373.11</v>
      </c>
      <c r="I676" s="2">
        <v>18.66</v>
      </c>
      <c r="J676" s="2">
        <v>391.77</v>
      </c>
      <c r="K676" s="2">
        <v>391.77</v>
      </c>
      <c r="L676" s="2" t="s">
        <v>22</v>
      </c>
      <c r="M676" s="2" t="s">
        <v>3844</v>
      </c>
      <c r="N676" s="2" t="s">
        <v>3843</v>
      </c>
    </row>
    <row r="677" spans="1:14" x14ac:dyDescent="0.25">
      <c r="A677" s="2" t="s">
        <v>2793</v>
      </c>
      <c r="B677" s="2" t="s">
        <v>3908</v>
      </c>
      <c r="C677" s="4">
        <v>45803</v>
      </c>
      <c r="D677" s="4">
        <v>45833</v>
      </c>
      <c r="E677" s="2" t="s">
        <v>1354</v>
      </c>
      <c r="F677" s="2"/>
      <c r="G677" s="2" t="s">
        <v>1132</v>
      </c>
      <c r="H677" s="2">
        <v>158.78</v>
      </c>
      <c r="I677" s="2">
        <v>7.94</v>
      </c>
      <c r="J677" s="2">
        <v>166.72</v>
      </c>
      <c r="K677" s="2">
        <v>166.72</v>
      </c>
      <c r="L677" s="2" t="s">
        <v>22</v>
      </c>
      <c r="M677" s="2" t="s">
        <v>3844</v>
      </c>
      <c r="N677" s="2" t="s">
        <v>3843</v>
      </c>
    </row>
    <row r="678" spans="1:14" x14ac:dyDescent="0.25">
      <c r="A678" s="2" t="s">
        <v>2794</v>
      </c>
      <c r="B678" s="2" t="s">
        <v>1179</v>
      </c>
      <c r="C678" s="4">
        <v>45803</v>
      </c>
      <c r="D678" s="4">
        <v>45833</v>
      </c>
      <c r="E678" s="2" t="s">
        <v>1352</v>
      </c>
      <c r="F678" s="2"/>
      <c r="G678" s="2" t="s">
        <v>21</v>
      </c>
      <c r="H678" s="2">
        <v>4331.1499999999996</v>
      </c>
      <c r="I678" s="2">
        <v>216.57</v>
      </c>
      <c r="J678" s="2">
        <v>4547.72</v>
      </c>
      <c r="K678" s="2">
        <v>4547.72</v>
      </c>
      <c r="L678" s="2" t="s">
        <v>22</v>
      </c>
      <c r="M678" s="2" t="s">
        <v>3844</v>
      </c>
      <c r="N678" s="2" t="s">
        <v>3843</v>
      </c>
    </row>
    <row r="679" spans="1:14" ht="30" x14ac:dyDescent="0.25">
      <c r="A679" s="2" t="s">
        <v>2627</v>
      </c>
      <c r="B679" s="2" t="s">
        <v>98</v>
      </c>
      <c r="C679" s="4">
        <v>45803</v>
      </c>
      <c r="D679" s="4">
        <v>45833</v>
      </c>
      <c r="E679" s="2" t="s">
        <v>1648</v>
      </c>
      <c r="F679" s="2"/>
      <c r="G679" s="2" t="s">
        <v>21</v>
      </c>
      <c r="H679" s="2">
        <v>1673.46</v>
      </c>
      <c r="I679" s="2">
        <v>217.55</v>
      </c>
      <c r="J679" s="2">
        <v>1891.01</v>
      </c>
      <c r="K679" s="2">
        <v>1891.01</v>
      </c>
      <c r="L679" s="2" t="s">
        <v>22</v>
      </c>
      <c r="M679" s="2" t="s">
        <v>3844</v>
      </c>
      <c r="N679" s="2" t="s">
        <v>3843</v>
      </c>
    </row>
    <row r="680" spans="1:14" ht="30" x14ac:dyDescent="0.25">
      <c r="A680" s="2" t="s">
        <v>2720</v>
      </c>
      <c r="B680" s="2" t="s">
        <v>98</v>
      </c>
      <c r="C680" s="4">
        <v>45803</v>
      </c>
      <c r="D680" s="4">
        <v>45833</v>
      </c>
      <c r="E680" s="2" t="s">
        <v>1489</v>
      </c>
      <c r="F680" s="2"/>
      <c r="G680" s="2" t="s">
        <v>1132</v>
      </c>
      <c r="H680" s="2">
        <v>15909.73</v>
      </c>
      <c r="I680" s="2">
        <v>2068.2600000000002</v>
      </c>
      <c r="J680" s="2">
        <v>17977.990000000002</v>
      </c>
      <c r="K680" s="2">
        <v>17977.990000000002</v>
      </c>
      <c r="L680" s="2" t="s">
        <v>22</v>
      </c>
      <c r="M680" s="2" t="s">
        <v>3844</v>
      </c>
      <c r="N680" s="2" t="s">
        <v>3843</v>
      </c>
    </row>
    <row r="681" spans="1:14" ht="30" x14ac:dyDescent="0.25">
      <c r="A681" s="2" t="s">
        <v>2779</v>
      </c>
      <c r="B681" s="2" t="s">
        <v>98</v>
      </c>
      <c r="C681" s="4">
        <v>45803</v>
      </c>
      <c r="D681" s="4">
        <v>45833</v>
      </c>
      <c r="E681" s="2" t="s">
        <v>1381</v>
      </c>
      <c r="F681" s="2"/>
      <c r="G681" s="2" t="s">
        <v>21</v>
      </c>
      <c r="H681" s="2">
        <v>2005.52</v>
      </c>
      <c r="I681" s="2">
        <v>260.72000000000003</v>
      </c>
      <c r="J681" s="2">
        <v>2266.2399999999998</v>
      </c>
      <c r="K681" s="2">
        <v>2266.2399999999998</v>
      </c>
      <c r="L681" s="2" t="s">
        <v>22</v>
      </c>
      <c r="M681" s="2" t="s">
        <v>3844</v>
      </c>
      <c r="N681" s="2" t="s">
        <v>3843</v>
      </c>
    </row>
    <row r="682" spans="1:14" ht="30" x14ac:dyDescent="0.25">
      <c r="A682" s="2" t="s">
        <v>2661</v>
      </c>
      <c r="B682" s="2" t="s">
        <v>98</v>
      </c>
      <c r="C682" s="4">
        <v>45803</v>
      </c>
      <c r="D682" s="4">
        <v>45833</v>
      </c>
      <c r="E682" s="2" t="s">
        <v>1591</v>
      </c>
      <c r="F682" s="2"/>
      <c r="G682" s="2" t="s">
        <v>21</v>
      </c>
      <c r="H682" s="2">
        <v>910.22</v>
      </c>
      <c r="I682" s="2">
        <v>118.33</v>
      </c>
      <c r="J682" s="2">
        <v>1028.55</v>
      </c>
      <c r="K682" s="2">
        <v>1028.55</v>
      </c>
      <c r="L682" s="2" t="s">
        <v>22</v>
      </c>
      <c r="M682" s="2" t="s">
        <v>3844</v>
      </c>
      <c r="N682" s="2" t="s">
        <v>3843</v>
      </c>
    </row>
    <row r="683" spans="1:14" ht="45" x14ac:dyDescent="0.25">
      <c r="A683" s="2" t="s">
        <v>2780</v>
      </c>
      <c r="B683" s="2" t="s">
        <v>1380</v>
      </c>
      <c r="C683" s="4">
        <v>45803</v>
      </c>
      <c r="D683" s="4">
        <v>45803</v>
      </c>
      <c r="E683" s="2" t="s">
        <v>1378</v>
      </c>
      <c r="F683" s="2"/>
      <c r="G683" s="2" t="s">
        <v>36</v>
      </c>
      <c r="H683" s="2">
        <v>39416.82</v>
      </c>
      <c r="I683" s="2"/>
      <c r="J683" s="2">
        <v>39416.82</v>
      </c>
      <c r="K683" s="2">
        <v>28692.74</v>
      </c>
      <c r="L683" s="2" t="s">
        <v>51</v>
      </c>
      <c r="M683" s="2" t="s">
        <v>3844</v>
      </c>
      <c r="N683" s="2" t="s">
        <v>3978</v>
      </c>
    </row>
    <row r="684" spans="1:14" ht="30" x14ac:dyDescent="0.25">
      <c r="A684" s="2" t="s">
        <v>2784</v>
      </c>
      <c r="B684" s="2" t="s">
        <v>104</v>
      </c>
      <c r="C684" s="4">
        <v>45800</v>
      </c>
      <c r="D684" s="4">
        <v>45830</v>
      </c>
      <c r="E684" s="2" t="s">
        <v>1370</v>
      </c>
      <c r="F684" s="2"/>
      <c r="G684" s="2" t="s">
        <v>21</v>
      </c>
      <c r="H684" s="2">
        <v>321.89999999999998</v>
      </c>
      <c r="I684" s="2">
        <v>16.100000000000001</v>
      </c>
      <c r="J684" s="2">
        <v>338</v>
      </c>
      <c r="K684" s="2">
        <v>338</v>
      </c>
      <c r="L684" s="2" t="s">
        <v>22</v>
      </c>
      <c r="M684" s="2" t="s">
        <v>3844</v>
      </c>
      <c r="N684" s="2" t="s">
        <v>3843</v>
      </c>
    </row>
    <row r="685" spans="1:14" ht="45" x14ac:dyDescent="0.25">
      <c r="A685" s="2" t="s">
        <v>2776</v>
      </c>
      <c r="B685" s="2" t="s">
        <v>43</v>
      </c>
      <c r="C685" s="4">
        <v>45800</v>
      </c>
      <c r="D685" s="4">
        <v>45830</v>
      </c>
      <c r="E685" s="2" t="s">
        <v>1383</v>
      </c>
      <c r="F685" s="2"/>
      <c r="G685" s="2" t="s">
        <v>1132</v>
      </c>
      <c r="H685" s="2">
        <v>190.55</v>
      </c>
      <c r="I685" s="2">
        <v>9.5299999999999994</v>
      </c>
      <c r="J685" s="2">
        <v>200.08</v>
      </c>
      <c r="K685" s="2">
        <v>200.08</v>
      </c>
      <c r="L685" s="2" t="s">
        <v>22</v>
      </c>
      <c r="M685" s="2" t="s">
        <v>3844</v>
      </c>
      <c r="N685" s="2" t="s">
        <v>3843</v>
      </c>
    </row>
    <row r="686" spans="1:14" x14ac:dyDescent="0.25">
      <c r="A686" s="2" t="s">
        <v>2786</v>
      </c>
      <c r="B686" s="2" t="s">
        <v>472</v>
      </c>
      <c r="C686" s="4">
        <v>45800</v>
      </c>
      <c r="D686" s="4">
        <v>45815</v>
      </c>
      <c r="E686" s="2" t="s">
        <v>1366</v>
      </c>
      <c r="F686" s="2"/>
      <c r="G686" s="2" t="s">
        <v>21</v>
      </c>
      <c r="H686" s="2">
        <v>2108.6</v>
      </c>
      <c r="I686" s="2">
        <v>105.43</v>
      </c>
      <c r="J686" s="2">
        <v>2214.0300000000002</v>
      </c>
      <c r="K686" s="2">
        <v>2214.0300000000002</v>
      </c>
      <c r="L686" s="2" t="s">
        <v>22</v>
      </c>
      <c r="M686" s="2" t="s">
        <v>3844</v>
      </c>
      <c r="N686" s="2" t="s">
        <v>3843</v>
      </c>
    </row>
    <row r="687" spans="1:14" x14ac:dyDescent="0.25">
      <c r="A687" s="2" t="s">
        <v>2648</v>
      </c>
      <c r="B687" s="2" t="s">
        <v>61</v>
      </c>
      <c r="C687" s="4">
        <v>45800</v>
      </c>
      <c r="D687" s="4">
        <v>45830</v>
      </c>
      <c r="E687" s="2" t="s">
        <v>1614</v>
      </c>
      <c r="F687" s="2"/>
      <c r="G687" s="2" t="s">
        <v>21</v>
      </c>
      <c r="H687" s="2">
        <v>7658.55</v>
      </c>
      <c r="I687" s="2"/>
      <c r="J687" s="2">
        <v>7658.55</v>
      </c>
      <c r="K687" s="2">
        <v>5539.86</v>
      </c>
      <c r="L687" s="2" t="s">
        <v>51</v>
      </c>
      <c r="M687" s="2" t="s">
        <v>3844</v>
      </c>
      <c r="N687" s="2" t="s">
        <v>3843</v>
      </c>
    </row>
    <row r="688" spans="1:14" ht="30" x14ac:dyDescent="0.25">
      <c r="A688" s="2" t="s">
        <v>2770</v>
      </c>
      <c r="B688" s="2" t="s">
        <v>20</v>
      </c>
      <c r="C688" s="4">
        <v>45799</v>
      </c>
      <c r="D688" s="4">
        <v>45859</v>
      </c>
      <c r="E688" s="2" t="s">
        <v>1395</v>
      </c>
      <c r="F688" s="2"/>
      <c r="G688" s="2" t="s">
        <v>21</v>
      </c>
      <c r="H688" s="2">
        <v>283.44</v>
      </c>
      <c r="I688" s="2">
        <v>14.17</v>
      </c>
      <c r="J688" s="2">
        <v>297.61</v>
      </c>
      <c r="K688" s="2">
        <v>297.61</v>
      </c>
      <c r="L688" s="2" t="s">
        <v>22</v>
      </c>
      <c r="M688" s="2" t="s">
        <v>3844</v>
      </c>
      <c r="N688" s="2" t="s">
        <v>3843</v>
      </c>
    </row>
    <row r="689" spans="1:14" ht="30" x14ac:dyDescent="0.25">
      <c r="A689" s="2" t="s">
        <v>2775</v>
      </c>
      <c r="B689" s="2" t="s">
        <v>4183</v>
      </c>
      <c r="C689" s="4">
        <v>45799</v>
      </c>
      <c r="D689" s="4">
        <v>45829</v>
      </c>
      <c r="E689" s="2" t="s">
        <v>1385</v>
      </c>
      <c r="F689" s="2"/>
      <c r="G689" s="2" t="s">
        <v>21</v>
      </c>
      <c r="H689" s="2">
        <v>3329.24</v>
      </c>
      <c r="I689" s="2"/>
      <c r="J689" s="2">
        <v>3329.24</v>
      </c>
      <c r="K689" s="2">
        <v>2387.6999999999998</v>
      </c>
      <c r="L689" s="2" t="s">
        <v>51</v>
      </c>
      <c r="M689" s="2" t="s">
        <v>3844</v>
      </c>
      <c r="N689" s="2" t="s">
        <v>3843</v>
      </c>
    </row>
    <row r="690" spans="1:14" x14ac:dyDescent="0.25">
      <c r="A690" s="2" t="s">
        <v>2654</v>
      </c>
      <c r="B690" s="2" t="s">
        <v>61</v>
      </c>
      <c r="C690" s="4">
        <v>45799</v>
      </c>
      <c r="D690" s="4">
        <v>45829</v>
      </c>
      <c r="E690" s="2" t="s">
        <v>1601</v>
      </c>
      <c r="F690" s="2"/>
      <c r="G690" s="2" t="s">
        <v>21</v>
      </c>
      <c r="H690" s="2">
        <v>321.02999999999997</v>
      </c>
      <c r="I690" s="2"/>
      <c r="J690" s="2">
        <v>321.02999999999997</v>
      </c>
      <c r="K690" s="2">
        <v>230.24</v>
      </c>
      <c r="L690" s="2" t="s">
        <v>51</v>
      </c>
      <c r="M690" s="2" t="s">
        <v>3844</v>
      </c>
      <c r="N690" s="2" t="s">
        <v>3843</v>
      </c>
    </row>
    <row r="691" spans="1:14" x14ac:dyDescent="0.25">
      <c r="A691" s="2" t="s">
        <v>2768</v>
      </c>
      <c r="B691" s="2" t="s">
        <v>70</v>
      </c>
      <c r="C691" s="4">
        <v>45798</v>
      </c>
      <c r="D691" s="4">
        <v>45858</v>
      </c>
      <c r="E691" s="2" t="s">
        <v>1397</v>
      </c>
      <c r="F691" s="2"/>
      <c r="G691" s="2" t="s">
        <v>71</v>
      </c>
      <c r="H691" s="2">
        <v>4117.82</v>
      </c>
      <c r="I691" s="2"/>
      <c r="J691" s="2">
        <v>4117.82</v>
      </c>
      <c r="K691" s="2">
        <v>2951.99</v>
      </c>
      <c r="L691" s="2" t="s">
        <v>51</v>
      </c>
      <c r="M691" s="2" t="s">
        <v>3844</v>
      </c>
      <c r="N691" s="2" t="s">
        <v>3843</v>
      </c>
    </row>
    <row r="692" spans="1:14" ht="30" x14ac:dyDescent="0.25">
      <c r="A692" s="2" t="s">
        <v>2766</v>
      </c>
      <c r="B692" s="2" t="s">
        <v>20</v>
      </c>
      <c r="C692" s="4">
        <v>45797</v>
      </c>
      <c r="D692" s="4">
        <v>45857</v>
      </c>
      <c r="E692" s="2" t="s">
        <v>1401</v>
      </c>
      <c r="F692" s="2"/>
      <c r="G692" s="2" t="s">
        <v>21</v>
      </c>
      <c r="H692" s="2">
        <v>7486.9</v>
      </c>
      <c r="I692" s="2">
        <v>374.34</v>
      </c>
      <c r="J692" s="2">
        <v>7861.24</v>
      </c>
      <c r="K692" s="2">
        <v>7861.24</v>
      </c>
      <c r="L692" s="2" t="s">
        <v>22</v>
      </c>
      <c r="M692" s="2" t="s">
        <v>3844</v>
      </c>
      <c r="N692" s="2" t="s">
        <v>3843</v>
      </c>
    </row>
    <row r="693" spans="1:14" ht="30" x14ac:dyDescent="0.25">
      <c r="A693" s="2" t="s">
        <v>2762</v>
      </c>
      <c r="B693" s="2" t="s">
        <v>3899</v>
      </c>
      <c r="C693" s="4">
        <v>45797</v>
      </c>
      <c r="D693" s="4">
        <v>45827</v>
      </c>
      <c r="E693" s="2" t="s">
        <v>1409</v>
      </c>
      <c r="F693" s="2"/>
      <c r="G693" s="2" t="s">
        <v>21</v>
      </c>
      <c r="H693" s="2">
        <v>2749.33</v>
      </c>
      <c r="I693" s="2">
        <v>357.41</v>
      </c>
      <c r="J693" s="2">
        <v>3106.74</v>
      </c>
      <c r="K693" s="2">
        <v>3106.74</v>
      </c>
      <c r="L693" s="2" t="s">
        <v>22</v>
      </c>
      <c r="M693" s="2" t="s">
        <v>3844</v>
      </c>
      <c r="N693" s="2" t="s">
        <v>3843</v>
      </c>
    </row>
    <row r="694" spans="1:14" ht="45" x14ac:dyDescent="0.25">
      <c r="A694" s="2" t="s">
        <v>2707</v>
      </c>
      <c r="B694" s="2" t="s">
        <v>4182</v>
      </c>
      <c r="C694" s="4">
        <v>45797</v>
      </c>
      <c r="D694" s="4">
        <v>45797</v>
      </c>
      <c r="E694" s="2" t="s">
        <v>1509</v>
      </c>
      <c r="F694" s="2"/>
      <c r="G694" s="2" t="s">
        <v>21</v>
      </c>
      <c r="H694" s="2">
        <v>186.48</v>
      </c>
      <c r="I694" s="2"/>
      <c r="J694" s="2">
        <v>186.48</v>
      </c>
      <c r="K694" s="2">
        <v>133.54</v>
      </c>
      <c r="L694" s="2" t="s">
        <v>51</v>
      </c>
      <c r="M694" s="2" t="s">
        <v>3844</v>
      </c>
      <c r="N694" s="2" t="s">
        <v>3843</v>
      </c>
    </row>
    <row r="695" spans="1:14" x14ac:dyDescent="0.25">
      <c r="A695" s="2" t="s">
        <v>2764</v>
      </c>
      <c r="B695" s="2" t="s">
        <v>89</v>
      </c>
      <c r="C695" s="4">
        <v>45793</v>
      </c>
      <c r="D695" s="4">
        <v>45823</v>
      </c>
      <c r="E695" s="2" t="s">
        <v>1405</v>
      </c>
      <c r="F695" s="2"/>
      <c r="G695" s="2" t="s">
        <v>21</v>
      </c>
      <c r="H695" s="2">
        <v>1859.15</v>
      </c>
      <c r="I695" s="2">
        <v>92.96</v>
      </c>
      <c r="J695" s="2">
        <v>1952.11</v>
      </c>
      <c r="K695" s="2">
        <v>1952.11</v>
      </c>
      <c r="L695" s="2" t="s">
        <v>22</v>
      </c>
      <c r="M695" s="2" t="s">
        <v>3844</v>
      </c>
      <c r="N695" s="2" t="s">
        <v>3843</v>
      </c>
    </row>
    <row r="696" spans="1:14" ht="30" x14ac:dyDescent="0.25">
      <c r="A696" s="2" t="s">
        <v>2763</v>
      </c>
      <c r="B696" s="2" t="s">
        <v>20</v>
      </c>
      <c r="C696" s="4">
        <v>45793</v>
      </c>
      <c r="D696" s="4">
        <v>45853</v>
      </c>
      <c r="E696" s="2" t="s">
        <v>1407</v>
      </c>
      <c r="F696" s="2"/>
      <c r="G696" s="2" t="s">
        <v>21</v>
      </c>
      <c r="H696" s="2">
        <v>408.64</v>
      </c>
      <c r="I696" s="2">
        <v>20.43</v>
      </c>
      <c r="J696" s="2">
        <v>429.07</v>
      </c>
      <c r="K696" s="2">
        <v>429.07</v>
      </c>
      <c r="L696" s="2" t="s">
        <v>22</v>
      </c>
      <c r="M696" s="2" t="s">
        <v>3844</v>
      </c>
      <c r="N696" s="2" t="s">
        <v>3843</v>
      </c>
    </row>
    <row r="697" spans="1:14" x14ac:dyDescent="0.25">
      <c r="A697" s="2" t="s">
        <v>2765</v>
      </c>
      <c r="B697" s="2" t="s">
        <v>556</v>
      </c>
      <c r="C697" s="4">
        <v>45793</v>
      </c>
      <c r="D697" s="4">
        <v>45823</v>
      </c>
      <c r="E697" s="2" t="s">
        <v>1403</v>
      </c>
      <c r="F697" s="2"/>
      <c r="G697" s="2" t="s">
        <v>21</v>
      </c>
      <c r="H697" s="2">
        <v>919.94</v>
      </c>
      <c r="I697" s="2">
        <v>119.59</v>
      </c>
      <c r="J697" s="2">
        <v>1039.53</v>
      </c>
      <c r="K697" s="2">
        <v>1039.53</v>
      </c>
      <c r="L697" s="2" t="s">
        <v>22</v>
      </c>
      <c r="M697" s="2" t="s">
        <v>3844</v>
      </c>
      <c r="N697" s="2" t="s">
        <v>3843</v>
      </c>
    </row>
    <row r="698" spans="1:14" x14ac:dyDescent="0.25">
      <c r="A698" s="2" t="s">
        <v>2761</v>
      </c>
      <c r="B698" s="2" t="s">
        <v>3908</v>
      </c>
      <c r="C698" s="4">
        <v>45792</v>
      </c>
      <c r="D698" s="4">
        <v>45822</v>
      </c>
      <c r="E698" s="2" t="s">
        <v>1412</v>
      </c>
      <c r="F698" s="2"/>
      <c r="G698" s="2" t="s">
        <v>21</v>
      </c>
      <c r="H698" s="2">
        <v>117.17</v>
      </c>
      <c r="I698" s="2">
        <v>5.86</v>
      </c>
      <c r="J698" s="2">
        <v>123.03</v>
      </c>
      <c r="K698" s="2">
        <v>123.03</v>
      </c>
      <c r="L698" s="2" t="s">
        <v>22</v>
      </c>
      <c r="M698" s="2" t="s">
        <v>3844</v>
      </c>
      <c r="N698" s="2" t="s">
        <v>3843</v>
      </c>
    </row>
    <row r="699" spans="1:14" ht="30" x14ac:dyDescent="0.25">
      <c r="A699" s="2" t="s">
        <v>2760</v>
      </c>
      <c r="B699" s="2" t="s">
        <v>576</v>
      </c>
      <c r="C699" s="4">
        <v>45792</v>
      </c>
      <c r="D699" s="4">
        <v>45822</v>
      </c>
      <c r="E699" s="2" t="s">
        <v>1414</v>
      </c>
      <c r="F699" s="2"/>
      <c r="G699" s="2" t="s">
        <v>1132</v>
      </c>
      <c r="H699" s="2">
        <v>3726.65</v>
      </c>
      <c r="I699" s="2">
        <v>186.34</v>
      </c>
      <c r="J699" s="2">
        <v>3912.99</v>
      </c>
      <c r="K699" s="2">
        <v>3912.99</v>
      </c>
      <c r="L699" s="2" t="s">
        <v>22</v>
      </c>
      <c r="M699" s="2" t="s">
        <v>3844</v>
      </c>
      <c r="N699" s="2" t="s">
        <v>3843</v>
      </c>
    </row>
    <row r="700" spans="1:14" ht="30" x14ac:dyDescent="0.25">
      <c r="A700" s="2" t="s">
        <v>2758</v>
      </c>
      <c r="B700" s="2" t="s">
        <v>4181</v>
      </c>
      <c r="C700" s="4">
        <v>45792</v>
      </c>
      <c r="D700" s="4">
        <v>45807</v>
      </c>
      <c r="E700" s="2" t="s">
        <v>1418</v>
      </c>
      <c r="F700" s="2"/>
      <c r="G700" s="2" t="s">
        <v>21</v>
      </c>
      <c r="H700" s="2">
        <v>11129.88</v>
      </c>
      <c r="I700" s="2">
        <v>1446.88</v>
      </c>
      <c r="J700" s="2">
        <v>12576.76</v>
      </c>
      <c r="K700" s="2">
        <v>12576.76</v>
      </c>
      <c r="L700" s="2" t="s">
        <v>22</v>
      </c>
      <c r="M700" s="2" t="s">
        <v>3844</v>
      </c>
      <c r="N700" s="2" t="s">
        <v>3843</v>
      </c>
    </row>
    <row r="701" spans="1:14" x14ac:dyDescent="0.25">
      <c r="A701" s="2" t="s">
        <v>2610</v>
      </c>
      <c r="B701" s="2" t="s">
        <v>901</v>
      </c>
      <c r="C701" s="4">
        <v>45792</v>
      </c>
      <c r="D701" s="4">
        <v>45822</v>
      </c>
      <c r="E701" s="2" t="s">
        <v>1677</v>
      </c>
      <c r="F701" s="2"/>
      <c r="G701" s="2" t="s">
        <v>180</v>
      </c>
      <c r="H701" s="2">
        <v>12631.68</v>
      </c>
      <c r="I701" s="2"/>
      <c r="J701" s="2">
        <v>12631.68</v>
      </c>
      <c r="K701" s="2">
        <v>9044.7999999999993</v>
      </c>
      <c r="L701" s="2" t="s">
        <v>51</v>
      </c>
      <c r="M701" s="2" t="s">
        <v>3844</v>
      </c>
      <c r="N701" s="2" t="s">
        <v>3843</v>
      </c>
    </row>
    <row r="702" spans="1:14" x14ac:dyDescent="0.25">
      <c r="A702" s="2" t="s">
        <v>2573</v>
      </c>
      <c r="B702" s="2" t="s">
        <v>4172</v>
      </c>
      <c r="C702" s="4">
        <v>45792</v>
      </c>
      <c r="D702" s="4">
        <v>45792</v>
      </c>
      <c r="E702" s="2" t="s">
        <v>1740</v>
      </c>
      <c r="F702" s="2"/>
      <c r="G702" s="2" t="s">
        <v>180</v>
      </c>
      <c r="H702" s="2">
        <v>20461.55</v>
      </c>
      <c r="I702" s="2"/>
      <c r="J702" s="2">
        <v>20461.55</v>
      </c>
      <c r="K702" s="2">
        <v>14651.3</v>
      </c>
      <c r="L702" s="2" t="s">
        <v>51</v>
      </c>
      <c r="M702" s="2" t="s">
        <v>3844</v>
      </c>
      <c r="N702" s="2" t="s">
        <v>3843</v>
      </c>
    </row>
    <row r="703" spans="1:14" ht="30" x14ac:dyDescent="0.25">
      <c r="A703" s="2" t="s">
        <v>2669</v>
      </c>
      <c r="B703" s="2" t="s">
        <v>4180</v>
      </c>
      <c r="C703" s="4">
        <v>45792</v>
      </c>
      <c r="D703" s="4">
        <v>45822</v>
      </c>
      <c r="E703" s="2" t="s">
        <v>1580</v>
      </c>
      <c r="F703" s="2"/>
      <c r="G703" s="2" t="s">
        <v>21</v>
      </c>
      <c r="H703" s="2">
        <v>145.30000000000001</v>
      </c>
      <c r="I703" s="2"/>
      <c r="J703" s="2">
        <v>145.30000000000001</v>
      </c>
      <c r="K703" s="2">
        <v>104.04</v>
      </c>
      <c r="L703" s="2" t="s">
        <v>51</v>
      </c>
      <c r="M703" s="2" t="s">
        <v>3844</v>
      </c>
      <c r="N703" s="2" t="s">
        <v>3843</v>
      </c>
    </row>
    <row r="704" spans="1:14" ht="30" x14ac:dyDescent="0.25">
      <c r="A704" s="2" t="s">
        <v>2749</v>
      </c>
      <c r="B704" s="2" t="s">
        <v>159</v>
      </c>
      <c r="C704" s="4">
        <v>45792</v>
      </c>
      <c r="D704" s="4">
        <v>45837</v>
      </c>
      <c r="E704" s="2" t="s">
        <v>1437</v>
      </c>
      <c r="F704" s="2"/>
      <c r="G704" s="2" t="s">
        <v>40</v>
      </c>
      <c r="H704" s="2">
        <v>58133.96</v>
      </c>
      <c r="I704" s="2"/>
      <c r="J704" s="2">
        <v>58133.96</v>
      </c>
      <c r="K704" s="2">
        <v>41626.28</v>
      </c>
      <c r="L704" s="2" t="s">
        <v>51</v>
      </c>
      <c r="M704" s="2" t="s">
        <v>3844</v>
      </c>
      <c r="N704" s="2" t="s">
        <v>3843</v>
      </c>
    </row>
    <row r="705" spans="1:14" ht="30" x14ac:dyDescent="0.25">
      <c r="A705" s="2" t="s">
        <v>2619</v>
      </c>
      <c r="B705" s="2" t="s">
        <v>159</v>
      </c>
      <c r="C705" s="4">
        <v>45792</v>
      </c>
      <c r="D705" s="4">
        <v>45837</v>
      </c>
      <c r="E705" s="2" t="s">
        <v>1662</v>
      </c>
      <c r="F705" s="2"/>
      <c r="G705" s="2" t="s">
        <v>40</v>
      </c>
      <c r="H705" s="2">
        <v>13021.61</v>
      </c>
      <c r="I705" s="2"/>
      <c r="J705" s="2">
        <v>13021.61</v>
      </c>
      <c r="K705" s="2">
        <v>9324</v>
      </c>
      <c r="L705" s="2" t="s">
        <v>51</v>
      </c>
      <c r="M705" s="2" t="s">
        <v>3844</v>
      </c>
      <c r="N705" s="2" t="s">
        <v>3843</v>
      </c>
    </row>
    <row r="706" spans="1:14" ht="30" x14ac:dyDescent="0.25">
      <c r="A706" s="2" t="s">
        <v>2744</v>
      </c>
      <c r="B706" s="2" t="s">
        <v>159</v>
      </c>
      <c r="C706" s="4">
        <v>45792</v>
      </c>
      <c r="D706" s="4">
        <v>45837</v>
      </c>
      <c r="E706" s="2" t="s">
        <v>1445</v>
      </c>
      <c r="F706" s="2"/>
      <c r="G706" s="2" t="s">
        <v>40</v>
      </c>
      <c r="H706" s="2">
        <v>25906</v>
      </c>
      <c r="I706" s="2"/>
      <c r="J706" s="2">
        <v>25906</v>
      </c>
      <c r="K706" s="2">
        <v>18549.75</v>
      </c>
      <c r="L706" s="2" t="s">
        <v>51</v>
      </c>
      <c r="M706" s="2" t="s">
        <v>3844</v>
      </c>
      <c r="N706" s="2" t="s">
        <v>3843</v>
      </c>
    </row>
    <row r="707" spans="1:14" ht="30" x14ac:dyDescent="0.25">
      <c r="A707" s="2" t="s">
        <v>2746</v>
      </c>
      <c r="B707" s="2" t="s">
        <v>159</v>
      </c>
      <c r="C707" s="4">
        <v>45792</v>
      </c>
      <c r="D707" s="4">
        <v>45837</v>
      </c>
      <c r="E707" s="2" t="s">
        <v>1443</v>
      </c>
      <c r="F707" s="2"/>
      <c r="G707" s="2" t="s">
        <v>40</v>
      </c>
      <c r="H707" s="2">
        <v>10494.43</v>
      </c>
      <c r="I707" s="2"/>
      <c r="J707" s="2">
        <v>10494.43</v>
      </c>
      <c r="K707" s="2">
        <v>7514.44</v>
      </c>
      <c r="L707" s="2" t="s">
        <v>51</v>
      </c>
      <c r="M707" s="2" t="s">
        <v>3844</v>
      </c>
      <c r="N707" s="2" t="s">
        <v>3843</v>
      </c>
    </row>
    <row r="708" spans="1:14" x14ac:dyDescent="0.25">
      <c r="A708" s="2" t="s">
        <v>3494</v>
      </c>
      <c r="B708" s="2" t="s">
        <v>3493</v>
      </c>
      <c r="C708" s="4">
        <v>45792</v>
      </c>
      <c r="D708" s="4">
        <v>45882</v>
      </c>
      <c r="E708" s="2" t="s">
        <v>4179</v>
      </c>
      <c r="F708" s="2"/>
      <c r="G708" s="2" t="s">
        <v>4178</v>
      </c>
      <c r="H708" s="2"/>
      <c r="I708" s="2"/>
      <c r="J708" s="2"/>
      <c r="K708" s="2"/>
      <c r="L708" s="2" t="s">
        <v>51</v>
      </c>
      <c r="M708" s="2" t="s">
        <v>3844</v>
      </c>
      <c r="N708" s="2" t="s">
        <v>4141</v>
      </c>
    </row>
    <row r="709" spans="1:14" x14ac:dyDescent="0.25">
      <c r="A709" s="2" t="s">
        <v>2755</v>
      </c>
      <c r="B709" s="2" t="s">
        <v>146</v>
      </c>
      <c r="C709" s="4">
        <v>45791</v>
      </c>
      <c r="D709" s="4">
        <v>45821</v>
      </c>
      <c r="E709" s="2" t="s">
        <v>1424</v>
      </c>
      <c r="F709" s="2"/>
      <c r="G709" s="2" t="s">
        <v>21</v>
      </c>
      <c r="H709" s="2">
        <v>2113.38</v>
      </c>
      <c r="I709" s="2">
        <v>105.67</v>
      </c>
      <c r="J709" s="2">
        <v>2219.0500000000002</v>
      </c>
      <c r="K709" s="2">
        <v>2219.0500000000002</v>
      </c>
      <c r="L709" s="2" t="s">
        <v>22</v>
      </c>
      <c r="M709" s="2" t="s">
        <v>3844</v>
      </c>
      <c r="N709" s="2" t="s">
        <v>3843</v>
      </c>
    </row>
    <row r="710" spans="1:14" ht="30" x14ac:dyDescent="0.25">
      <c r="A710" s="2" t="s">
        <v>2742</v>
      </c>
      <c r="B710" s="2" t="s">
        <v>159</v>
      </c>
      <c r="C710" s="4">
        <v>45791</v>
      </c>
      <c r="D710" s="4">
        <v>45836</v>
      </c>
      <c r="E710" s="2" t="s">
        <v>1449</v>
      </c>
      <c r="F710" s="2"/>
      <c r="G710" s="2" t="s">
        <v>40</v>
      </c>
      <c r="H710" s="2">
        <v>15186.89</v>
      </c>
      <c r="I710" s="2"/>
      <c r="J710" s="2">
        <v>15186.89</v>
      </c>
      <c r="K710" s="2">
        <v>10879.89</v>
      </c>
      <c r="L710" s="2" t="s">
        <v>51</v>
      </c>
      <c r="M710" s="2" t="s">
        <v>3844</v>
      </c>
      <c r="N710" s="2" t="s">
        <v>3843</v>
      </c>
    </row>
    <row r="711" spans="1:14" ht="30" x14ac:dyDescent="0.25">
      <c r="A711" s="2" t="s">
        <v>2748</v>
      </c>
      <c r="B711" s="2" t="s">
        <v>4139</v>
      </c>
      <c r="C711" s="4">
        <v>45790</v>
      </c>
      <c r="D711" s="4">
        <v>45820</v>
      </c>
      <c r="E711" s="2" t="s">
        <v>1439</v>
      </c>
      <c r="F711" s="2"/>
      <c r="G711" s="2" t="s">
        <v>1132</v>
      </c>
      <c r="H711" s="2">
        <v>2087.66</v>
      </c>
      <c r="I711" s="2">
        <v>104.38</v>
      </c>
      <c r="J711" s="2">
        <v>2192.04</v>
      </c>
      <c r="K711" s="2">
        <v>2192.04</v>
      </c>
      <c r="L711" s="2" t="s">
        <v>22</v>
      </c>
      <c r="M711" s="2" t="s">
        <v>3844</v>
      </c>
      <c r="N711" s="2" t="s">
        <v>3843</v>
      </c>
    </row>
    <row r="712" spans="1:14" x14ac:dyDescent="0.25">
      <c r="A712" s="2" t="s">
        <v>2366</v>
      </c>
      <c r="B712" s="2" t="s">
        <v>70</v>
      </c>
      <c r="C712" s="4">
        <v>45790</v>
      </c>
      <c r="D712" s="4">
        <v>45850</v>
      </c>
      <c r="E712" s="2" t="s">
        <v>2090</v>
      </c>
      <c r="F712" s="2"/>
      <c r="G712" s="2" t="s">
        <v>71</v>
      </c>
      <c r="H712" s="2">
        <v>8515.65</v>
      </c>
      <c r="I712" s="2"/>
      <c r="J712" s="2">
        <v>8515.65</v>
      </c>
      <c r="K712" s="2">
        <v>6080.55</v>
      </c>
      <c r="L712" s="2" t="s">
        <v>51</v>
      </c>
      <c r="M712" s="2" t="s">
        <v>3844</v>
      </c>
      <c r="N712" s="2" t="s">
        <v>3843</v>
      </c>
    </row>
    <row r="713" spans="1:14" x14ac:dyDescent="0.25">
      <c r="A713" s="2" t="s">
        <v>2738</v>
      </c>
      <c r="B713" s="2" t="s">
        <v>901</v>
      </c>
      <c r="C713" s="4">
        <v>45790</v>
      </c>
      <c r="D713" s="4">
        <v>45820</v>
      </c>
      <c r="E713" s="2" t="s">
        <v>1455</v>
      </c>
      <c r="F713" s="2"/>
      <c r="G713" s="2" t="s">
        <v>180</v>
      </c>
      <c r="H713" s="2">
        <v>6344.15</v>
      </c>
      <c r="I713" s="2"/>
      <c r="J713" s="2">
        <v>6344.15</v>
      </c>
      <c r="K713" s="2">
        <v>4530</v>
      </c>
      <c r="L713" s="2" t="s">
        <v>51</v>
      </c>
      <c r="M713" s="2" t="s">
        <v>3844</v>
      </c>
      <c r="N713" s="2" t="s">
        <v>3843</v>
      </c>
    </row>
    <row r="714" spans="1:14" x14ac:dyDescent="0.25">
      <c r="A714" s="2" t="s">
        <v>2667</v>
      </c>
      <c r="B714" s="2" t="s">
        <v>714</v>
      </c>
      <c r="C714" s="4">
        <v>45790</v>
      </c>
      <c r="D714" s="4">
        <v>45820</v>
      </c>
      <c r="E714" s="2" t="s">
        <v>1585</v>
      </c>
      <c r="F714" s="2"/>
      <c r="G714" s="2" t="s">
        <v>21</v>
      </c>
      <c r="H714" s="2">
        <v>3350.99</v>
      </c>
      <c r="I714" s="2"/>
      <c r="J714" s="2">
        <v>3350.99</v>
      </c>
      <c r="K714" s="2">
        <v>2392.75</v>
      </c>
      <c r="L714" s="2" t="s">
        <v>51</v>
      </c>
      <c r="M714" s="2" t="s">
        <v>3844</v>
      </c>
      <c r="N714" s="2" t="s">
        <v>3843</v>
      </c>
    </row>
    <row r="715" spans="1:14" ht="45" x14ac:dyDescent="0.25">
      <c r="A715" s="2" t="s">
        <v>2740</v>
      </c>
      <c r="B715" s="2" t="s">
        <v>502</v>
      </c>
      <c r="C715" s="4">
        <v>45789</v>
      </c>
      <c r="D715" s="4">
        <v>45834</v>
      </c>
      <c r="E715" s="2" t="s">
        <v>1451</v>
      </c>
      <c r="F715" s="2"/>
      <c r="G715" s="2" t="s">
        <v>21</v>
      </c>
      <c r="H715" s="2">
        <v>1072.28</v>
      </c>
      <c r="I715" s="2">
        <v>53.62</v>
      </c>
      <c r="J715" s="2">
        <v>1125.9000000000001</v>
      </c>
      <c r="K715" s="2">
        <v>1125.9000000000001</v>
      </c>
      <c r="L715" s="2" t="s">
        <v>22</v>
      </c>
      <c r="M715" s="2" t="s">
        <v>3844</v>
      </c>
      <c r="N715" s="2" t="s">
        <v>3843</v>
      </c>
    </row>
    <row r="716" spans="1:14" x14ac:dyDescent="0.25">
      <c r="A716" s="2" t="s">
        <v>2440</v>
      </c>
      <c r="B716" s="2" t="s">
        <v>192</v>
      </c>
      <c r="C716" s="4">
        <v>45789</v>
      </c>
      <c r="D716" s="4">
        <v>45819</v>
      </c>
      <c r="E716" s="2" t="s">
        <v>1973</v>
      </c>
      <c r="F716" s="2"/>
      <c r="G716" s="2" t="s">
        <v>180</v>
      </c>
      <c r="H716" s="2">
        <v>4186.67</v>
      </c>
      <c r="I716" s="2"/>
      <c r="J716" s="2">
        <v>4186.67</v>
      </c>
      <c r="K716" s="2">
        <v>3003.55</v>
      </c>
      <c r="L716" s="2" t="s">
        <v>51</v>
      </c>
      <c r="M716" s="2" t="s">
        <v>3844</v>
      </c>
      <c r="N716" s="2" t="s">
        <v>3843</v>
      </c>
    </row>
    <row r="717" spans="1:14" ht="45" x14ac:dyDescent="0.25">
      <c r="A717" s="2" t="s">
        <v>2670</v>
      </c>
      <c r="B717" s="2" t="s">
        <v>43</v>
      </c>
      <c r="C717" s="4">
        <v>45786</v>
      </c>
      <c r="D717" s="4">
        <v>45786</v>
      </c>
      <c r="E717" s="2" t="s">
        <v>1578</v>
      </c>
      <c r="F717" s="2"/>
      <c r="G717" s="2" t="s">
        <v>1132</v>
      </c>
      <c r="H717" s="2">
        <v>456.4</v>
      </c>
      <c r="I717" s="2"/>
      <c r="J717" s="2">
        <v>456.4</v>
      </c>
      <c r="K717" s="2">
        <v>456.4</v>
      </c>
      <c r="L717" s="2" t="s">
        <v>22</v>
      </c>
      <c r="M717" s="2" t="s">
        <v>3844</v>
      </c>
      <c r="N717" s="2" t="s">
        <v>3843</v>
      </c>
    </row>
    <row r="718" spans="1:14" ht="30" x14ac:dyDescent="0.25">
      <c r="A718" s="2" t="s">
        <v>2739</v>
      </c>
      <c r="B718" s="2" t="s">
        <v>104</v>
      </c>
      <c r="C718" s="4">
        <v>45786</v>
      </c>
      <c r="D718" s="4">
        <v>45816</v>
      </c>
      <c r="E718" s="2" t="s">
        <v>1453</v>
      </c>
      <c r="F718" s="2"/>
      <c r="G718" s="2" t="s">
        <v>21</v>
      </c>
      <c r="H718" s="2">
        <v>2627.35</v>
      </c>
      <c r="I718" s="2">
        <v>131.37</v>
      </c>
      <c r="J718" s="2">
        <v>2758.72</v>
      </c>
      <c r="K718" s="2">
        <v>2758.72</v>
      </c>
      <c r="L718" s="2" t="s">
        <v>22</v>
      </c>
      <c r="M718" s="2" t="s">
        <v>3844</v>
      </c>
      <c r="N718" s="2" t="s">
        <v>3843</v>
      </c>
    </row>
    <row r="719" spans="1:14" x14ac:dyDescent="0.25">
      <c r="A719" s="2" t="s">
        <v>2731</v>
      </c>
      <c r="B719" s="2" t="s">
        <v>149</v>
      </c>
      <c r="C719" s="4">
        <v>45786</v>
      </c>
      <c r="D719" s="4">
        <v>45816</v>
      </c>
      <c r="E719" s="2" t="s">
        <v>1469</v>
      </c>
      <c r="F719" s="2"/>
      <c r="G719" s="2" t="s">
        <v>21</v>
      </c>
      <c r="H719" s="2">
        <v>3867.87</v>
      </c>
      <c r="I719" s="2"/>
      <c r="J719" s="2">
        <v>3867.87</v>
      </c>
      <c r="K719" s="2">
        <v>2779.5</v>
      </c>
      <c r="L719" s="2" t="s">
        <v>51</v>
      </c>
      <c r="M719" s="2" t="s">
        <v>3844</v>
      </c>
      <c r="N719" s="2" t="s">
        <v>3843</v>
      </c>
    </row>
    <row r="720" spans="1:14" x14ac:dyDescent="0.25">
      <c r="A720" s="2" t="s">
        <v>2391</v>
      </c>
      <c r="B720" s="2" t="s">
        <v>1423</v>
      </c>
      <c r="C720" s="4">
        <v>45786</v>
      </c>
      <c r="D720" s="4">
        <v>45846</v>
      </c>
      <c r="E720" s="2" t="s">
        <v>2056</v>
      </c>
      <c r="F720" s="2"/>
      <c r="G720" s="2" t="s">
        <v>71</v>
      </c>
      <c r="H720" s="2">
        <v>870.38</v>
      </c>
      <c r="I720" s="2"/>
      <c r="J720" s="2">
        <v>870.38</v>
      </c>
      <c r="K720" s="2">
        <v>625.47</v>
      </c>
      <c r="L720" s="2" t="s">
        <v>51</v>
      </c>
      <c r="M720" s="2" t="s">
        <v>3844</v>
      </c>
      <c r="N720" s="2" t="s">
        <v>3843</v>
      </c>
    </row>
    <row r="721" spans="1:14" x14ac:dyDescent="0.25">
      <c r="A721" s="2" t="s">
        <v>2735</v>
      </c>
      <c r="B721" s="2" t="s">
        <v>146</v>
      </c>
      <c r="C721" s="4">
        <v>45785</v>
      </c>
      <c r="D721" s="4">
        <v>45815</v>
      </c>
      <c r="E721" s="2" t="s">
        <v>1461</v>
      </c>
      <c r="F721" s="2"/>
      <c r="G721" s="2" t="s">
        <v>21</v>
      </c>
      <c r="H721" s="2">
        <v>5131.7</v>
      </c>
      <c r="I721" s="2">
        <v>256.58999999999997</v>
      </c>
      <c r="J721" s="2">
        <v>5388.29</v>
      </c>
      <c r="K721" s="2">
        <v>5388.29</v>
      </c>
      <c r="L721" s="2" t="s">
        <v>22</v>
      </c>
      <c r="M721" s="2" t="s">
        <v>3844</v>
      </c>
      <c r="N721" s="2" t="s">
        <v>3843</v>
      </c>
    </row>
    <row r="722" spans="1:14" ht="30" x14ac:dyDescent="0.25">
      <c r="A722" s="2" t="s">
        <v>2736</v>
      </c>
      <c r="B722" s="2" t="s">
        <v>576</v>
      </c>
      <c r="C722" s="4">
        <v>45785</v>
      </c>
      <c r="D722" s="4">
        <v>45815</v>
      </c>
      <c r="E722" s="2" t="s">
        <v>1459</v>
      </c>
      <c r="F722" s="2"/>
      <c r="G722" s="2" t="s">
        <v>1132</v>
      </c>
      <c r="H722" s="2">
        <v>1389.92</v>
      </c>
      <c r="I722" s="2">
        <v>69.5</v>
      </c>
      <c r="J722" s="2">
        <v>1459.42</v>
      </c>
      <c r="K722" s="2">
        <v>1459.42</v>
      </c>
      <c r="L722" s="2" t="s">
        <v>22</v>
      </c>
      <c r="M722" s="2" t="s">
        <v>3844</v>
      </c>
      <c r="N722" s="2" t="s">
        <v>3843</v>
      </c>
    </row>
    <row r="723" spans="1:14" x14ac:dyDescent="0.25">
      <c r="A723" s="2" t="s">
        <v>2733</v>
      </c>
      <c r="B723" s="2" t="s">
        <v>898</v>
      </c>
      <c r="C723" s="4">
        <v>45785</v>
      </c>
      <c r="D723" s="4">
        <v>45785</v>
      </c>
      <c r="E723" s="2" t="s">
        <v>1465</v>
      </c>
      <c r="F723" s="2"/>
      <c r="G723" s="2" t="s">
        <v>21</v>
      </c>
      <c r="H723" s="2">
        <v>1237.1099999999999</v>
      </c>
      <c r="I723" s="2">
        <v>61.86</v>
      </c>
      <c r="J723" s="2">
        <v>1298.97</v>
      </c>
      <c r="K723" s="2">
        <v>1298.97</v>
      </c>
      <c r="L723" s="2" t="s">
        <v>22</v>
      </c>
      <c r="M723" s="2" t="s">
        <v>3844</v>
      </c>
      <c r="N723" s="2" t="s">
        <v>3843</v>
      </c>
    </row>
    <row r="724" spans="1:14" ht="30" x14ac:dyDescent="0.25">
      <c r="A724" s="2" t="s">
        <v>2558</v>
      </c>
      <c r="B724" s="2" t="s">
        <v>129</v>
      </c>
      <c r="C724" s="4">
        <v>45785</v>
      </c>
      <c r="D724" s="4">
        <v>45815</v>
      </c>
      <c r="E724" s="2" t="s">
        <v>1765</v>
      </c>
      <c r="F724" s="2"/>
      <c r="G724" s="2" t="s">
        <v>130</v>
      </c>
      <c r="H724" s="2">
        <v>1238.3</v>
      </c>
      <c r="I724" s="2"/>
      <c r="J724" s="2">
        <v>1238.3</v>
      </c>
      <c r="K724" s="2">
        <v>899</v>
      </c>
      <c r="L724" s="2" t="s">
        <v>51</v>
      </c>
      <c r="M724" s="2" t="s">
        <v>3844</v>
      </c>
      <c r="N724" s="2" t="s">
        <v>3843</v>
      </c>
    </row>
    <row r="725" spans="1:14" ht="30" x14ac:dyDescent="0.25">
      <c r="A725" s="2" t="s">
        <v>2732</v>
      </c>
      <c r="B725" s="2" t="s">
        <v>35</v>
      </c>
      <c r="C725" s="4">
        <v>45784</v>
      </c>
      <c r="D725" s="4">
        <v>45814</v>
      </c>
      <c r="E725" s="2" t="s">
        <v>1467</v>
      </c>
      <c r="F725" s="2"/>
      <c r="G725" s="2" t="s">
        <v>21</v>
      </c>
      <c r="H725" s="2">
        <v>112.37</v>
      </c>
      <c r="I725" s="2">
        <v>5.62</v>
      </c>
      <c r="J725" s="2">
        <v>117.99</v>
      </c>
      <c r="K725" s="2">
        <v>117.99</v>
      </c>
      <c r="L725" s="2" t="s">
        <v>22</v>
      </c>
      <c r="M725" s="2" t="s">
        <v>3844</v>
      </c>
      <c r="N725" s="2" t="s">
        <v>3843</v>
      </c>
    </row>
    <row r="726" spans="1:14" ht="45" x14ac:dyDescent="0.25">
      <c r="A726" s="2" t="s">
        <v>2698</v>
      </c>
      <c r="B726" s="2" t="s">
        <v>502</v>
      </c>
      <c r="C726" s="4">
        <v>45784</v>
      </c>
      <c r="D726" s="4">
        <v>45829</v>
      </c>
      <c r="E726" s="2" t="s">
        <v>1526</v>
      </c>
      <c r="F726" s="2"/>
      <c r="G726" s="2" t="s">
        <v>21</v>
      </c>
      <c r="H726" s="2">
        <v>152.13</v>
      </c>
      <c r="I726" s="2">
        <v>7.61</v>
      </c>
      <c r="J726" s="2">
        <v>159.74</v>
      </c>
      <c r="K726" s="2">
        <v>159.74</v>
      </c>
      <c r="L726" s="2" t="s">
        <v>22</v>
      </c>
      <c r="M726" s="2" t="s">
        <v>3844</v>
      </c>
      <c r="N726" s="2" t="s">
        <v>3843</v>
      </c>
    </row>
    <row r="727" spans="1:14" x14ac:dyDescent="0.25">
      <c r="A727" s="2" t="s">
        <v>2727</v>
      </c>
      <c r="B727" s="2" t="s">
        <v>465</v>
      </c>
      <c r="C727" s="4">
        <v>45784</v>
      </c>
      <c r="D727" s="4">
        <v>45814</v>
      </c>
      <c r="E727" s="2" t="s">
        <v>1475</v>
      </c>
      <c r="F727" s="2"/>
      <c r="G727" s="2" t="s">
        <v>21</v>
      </c>
      <c r="H727" s="2">
        <v>119.4</v>
      </c>
      <c r="I727" s="2">
        <v>15.52</v>
      </c>
      <c r="J727" s="2">
        <v>134.91999999999999</v>
      </c>
      <c r="K727" s="2">
        <v>134.91999999999999</v>
      </c>
      <c r="L727" s="2" t="s">
        <v>22</v>
      </c>
      <c r="M727" s="2" t="s">
        <v>3844</v>
      </c>
      <c r="N727" s="2" t="s">
        <v>3843</v>
      </c>
    </row>
    <row r="728" spans="1:14" ht="45" x14ac:dyDescent="0.25">
      <c r="A728" s="2" t="s">
        <v>2334</v>
      </c>
      <c r="B728" s="2" t="s">
        <v>43</v>
      </c>
      <c r="C728" s="4">
        <v>45784</v>
      </c>
      <c r="D728" s="4">
        <v>45784</v>
      </c>
      <c r="E728" s="2" t="s">
        <v>2151</v>
      </c>
      <c r="F728" s="2"/>
      <c r="G728" s="2" t="s">
        <v>1132</v>
      </c>
      <c r="H728" s="2">
        <v>847.02</v>
      </c>
      <c r="I728" s="2">
        <v>42.35</v>
      </c>
      <c r="J728" s="2">
        <v>889.37</v>
      </c>
      <c r="K728" s="2">
        <v>889.37</v>
      </c>
      <c r="L728" s="2" t="s">
        <v>22</v>
      </c>
      <c r="M728" s="2" t="s">
        <v>3844</v>
      </c>
      <c r="N728" s="2" t="s">
        <v>3843</v>
      </c>
    </row>
    <row r="729" spans="1:14" ht="45" x14ac:dyDescent="0.25">
      <c r="A729" s="2" t="s">
        <v>2287</v>
      </c>
      <c r="B729" s="2" t="s">
        <v>43</v>
      </c>
      <c r="C729" s="4">
        <v>45784</v>
      </c>
      <c r="D729" s="4">
        <v>45784</v>
      </c>
      <c r="E729" s="2" t="s">
        <v>2232</v>
      </c>
      <c r="F729" s="2"/>
      <c r="G729" s="2" t="s">
        <v>1132</v>
      </c>
      <c r="H729" s="2">
        <v>1270.56</v>
      </c>
      <c r="I729" s="2">
        <v>63.52</v>
      </c>
      <c r="J729" s="2">
        <v>1334.08</v>
      </c>
      <c r="K729" s="2">
        <v>1334.08</v>
      </c>
      <c r="L729" s="2" t="s">
        <v>22</v>
      </c>
      <c r="M729" s="2" t="s">
        <v>3844</v>
      </c>
      <c r="N729" s="2" t="s">
        <v>3843</v>
      </c>
    </row>
    <row r="730" spans="1:14" ht="30" x14ac:dyDescent="0.25">
      <c r="A730" s="2" t="s">
        <v>2456</v>
      </c>
      <c r="B730" s="2" t="s">
        <v>39</v>
      </c>
      <c r="C730" s="4">
        <v>45784</v>
      </c>
      <c r="D730" s="4">
        <v>45814</v>
      </c>
      <c r="E730" s="2" t="s">
        <v>1946</v>
      </c>
      <c r="F730" s="2"/>
      <c r="G730" s="2" t="s">
        <v>21</v>
      </c>
      <c r="H730" s="2">
        <v>22.78</v>
      </c>
      <c r="I730" s="2">
        <v>1.1399999999999999</v>
      </c>
      <c r="J730" s="2">
        <v>23.92</v>
      </c>
      <c r="K730" s="2">
        <v>23.92</v>
      </c>
      <c r="L730" s="2" t="s">
        <v>22</v>
      </c>
      <c r="M730" s="2" t="s">
        <v>3844</v>
      </c>
      <c r="N730" s="2" t="s">
        <v>3843</v>
      </c>
    </row>
    <row r="731" spans="1:14" ht="60" x14ac:dyDescent="0.25">
      <c r="A731" s="2" t="s">
        <v>2272</v>
      </c>
      <c r="B731" s="2" t="s">
        <v>4095</v>
      </c>
      <c r="C731" s="4">
        <v>45784</v>
      </c>
      <c r="D731" s="4">
        <v>45814</v>
      </c>
      <c r="E731" s="2" t="s">
        <v>2263</v>
      </c>
      <c r="F731" s="2"/>
      <c r="G731" s="2" t="s">
        <v>180</v>
      </c>
      <c r="H731" s="2">
        <v>16035.02</v>
      </c>
      <c r="I731" s="2"/>
      <c r="J731" s="2">
        <v>16035.02</v>
      </c>
      <c r="K731" s="2">
        <v>11639.6</v>
      </c>
      <c r="L731" s="2" t="s">
        <v>51</v>
      </c>
      <c r="M731" s="2" t="s">
        <v>3844</v>
      </c>
      <c r="N731" s="2" t="s">
        <v>3843</v>
      </c>
    </row>
    <row r="732" spans="1:14" ht="45" x14ac:dyDescent="0.25">
      <c r="A732" s="2" t="s">
        <v>2722</v>
      </c>
      <c r="B732" s="2" t="s">
        <v>502</v>
      </c>
      <c r="C732" s="4">
        <v>45783</v>
      </c>
      <c r="D732" s="4">
        <v>45828</v>
      </c>
      <c r="E732" s="2" t="s">
        <v>1485</v>
      </c>
      <c r="F732" s="2"/>
      <c r="G732" s="2" t="s">
        <v>21</v>
      </c>
      <c r="H732" s="2">
        <v>3038.47</v>
      </c>
      <c r="I732" s="2">
        <v>151.91999999999999</v>
      </c>
      <c r="J732" s="2">
        <v>3190.39</v>
      </c>
      <c r="K732" s="2">
        <v>3190.39</v>
      </c>
      <c r="L732" s="2" t="s">
        <v>22</v>
      </c>
      <c r="M732" s="2" t="s">
        <v>3844</v>
      </c>
      <c r="N732" s="2" t="s">
        <v>3843</v>
      </c>
    </row>
    <row r="733" spans="1:14" x14ac:dyDescent="0.25">
      <c r="A733" s="2" t="s">
        <v>2723</v>
      </c>
      <c r="B733" s="2" t="s">
        <v>3908</v>
      </c>
      <c r="C733" s="4">
        <v>45783</v>
      </c>
      <c r="D733" s="4">
        <v>45813</v>
      </c>
      <c r="E733" s="2" t="s">
        <v>1483</v>
      </c>
      <c r="F733" s="2"/>
      <c r="G733" s="2" t="s">
        <v>21</v>
      </c>
      <c r="H733" s="2">
        <v>136.80000000000001</v>
      </c>
      <c r="I733" s="2">
        <v>6.84</v>
      </c>
      <c r="J733" s="2">
        <v>143.63999999999999</v>
      </c>
      <c r="K733" s="2">
        <v>143.63999999999999</v>
      </c>
      <c r="L733" s="2" t="s">
        <v>22</v>
      </c>
      <c r="M733" s="2" t="s">
        <v>3844</v>
      </c>
      <c r="N733" s="2" t="s">
        <v>3843</v>
      </c>
    </row>
    <row r="734" spans="1:14" ht="45" x14ac:dyDescent="0.25">
      <c r="A734" s="2" t="s">
        <v>2721</v>
      </c>
      <c r="B734" s="2" t="s">
        <v>4102</v>
      </c>
      <c r="C734" s="4">
        <v>45783</v>
      </c>
      <c r="D734" s="4">
        <v>45813</v>
      </c>
      <c r="E734" s="2" t="s">
        <v>1487</v>
      </c>
      <c r="F734" s="2"/>
      <c r="G734" s="2" t="s">
        <v>21</v>
      </c>
      <c r="H734" s="2">
        <v>2084.9299999999998</v>
      </c>
      <c r="I734" s="2">
        <v>104.25</v>
      </c>
      <c r="J734" s="2">
        <v>2189.1799999999998</v>
      </c>
      <c r="K734" s="2">
        <v>2189.1799999999998</v>
      </c>
      <c r="L734" s="2" t="s">
        <v>22</v>
      </c>
      <c r="M734" s="2" t="s">
        <v>3844</v>
      </c>
      <c r="N734" s="2" t="s">
        <v>3843</v>
      </c>
    </row>
    <row r="735" spans="1:14" x14ac:dyDescent="0.25">
      <c r="A735" s="2" t="s">
        <v>2729</v>
      </c>
      <c r="B735" s="2" t="s">
        <v>146</v>
      </c>
      <c r="C735" s="4">
        <v>45783</v>
      </c>
      <c r="D735" s="4">
        <v>45813</v>
      </c>
      <c r="E735" s="2" t="s">
        <v>1471</v>
      </c>
      <c r="F735" s="2"/>
      <c r="G735" s="2" t="s">
        <v>21</v>
      </c>
      <c r="H735" s="2">
        <v>1095.73</v>
      </c>
      <c r="I735" s="2">
        <v>54.79</v>
      </c>
      <c r="J735" s="2">
        <v>1150.52</v>
      </c>
      <c r="K735" s="2">
        <v>1150.52</v>
      </c>
      <c r="L735" s="2" t="s">
        <v>22</v>
      </c>
      <c r="M735" s="2" t="s">
        <v>3844</v>
      </c>
      <c r="N735" s="2" t="s">
        <v>3843</v>
      </c>
    </row>
    <row r="736" spans="1:14" ht="30" x14ac:dyDescent="0.25">
      <c r="A736" s="2" t="s">
        <v>2508</v>
      </c>
      <c r="B736" s="2" t="s">
        <v>4132</v>
      </c>
      <c r="C736" s="4">
        <v>45783</v>
      </c>
      <c r="D736" s="4">
        <v>45783</v>
      </c>
      <c r="E736" s="2" t="s">
        <v>1850</v>
      </c>
      <c r="F736" s="2"/>
      <c r="G736" s="2" t="s">
        <v>21</v>
      </c>
      <c r="H736" s="2">
        <v>512.17999999999995</v>
      </c>
      <c r="I736" s="2"/>
      <c r="J736" s="2">
        <v>512.17999999999995</v>
      </c>
      <c r="K736" s="2">
        <v>369.88</v>
      </c>
      <c r="L736" s="2" t="s">
        <v>51</v>
      </c>
      <c r="M736" s="2" t="s">
        <v>3844</v>
      </c>
      <c r="N736" s="2" t="s">
        <v>3843</v>
      </c>
    </row>
    <row r="737" spans="1:14" x14ac:dyDescent="0.25">
      <c r="A737" s="2" t="s">
        <v>2718</v>
      </c>
      <c r="B737" s="2" t="s">
        <v>77</v>
      </c>
      <c r="C737" s="4">
        <v>45782</v>
      </c>
      <c r="D737" s="4">
        <v>45812</v>
      </c>
      <c r="E737" s="2" t="s">
        <v>1491</v>
      </c>
      <c r="F737" s="2"/>
      <c r="G737" s="2" t="s">
        <v>21</v>
      </c>
      <c r="H737" s="2">
        <v>442.49</v>
      </c>
      <c r="I737" s="2">
        <v>22.12</v>
      </c>
      <c r="J737" s="2">
        <v>464.61</v>
      </c>
      <c r="K737" s="2">
        <v>464.61</v>
      </c>
      <c r="L737" s="2" t="s">
        <v>22</v>
      </c>
      <c r="M737" s="2" t="s">
        <v>3844</v>
      </c>
      <c r="N737" s="2" t="s">
        <v>3843</v>
      </c>
    </row>
    <row r="738" spans="1:14" ht="30" x14ac:dyDescent="0.25">
      <c r="A738" s="2" t="s">
        <v>2717</v>
      </c>
      <c r="B738" s="2" t="s">
        <v>35</v>
      </c>
      <c r="C738" s="4">
        <v>45779</v>
      </c>
      <c r="D738" s="4">
        <v>45809</v>
      </c>
      <c r="E738" s="2" t="s">
        <v>1493</v>
      </c>
      <c r="F738" s="2"/>
      <c r="G738" s="2" t="s">
        <v>1132</v>
      </c>
      <c r="H738" s="2">
        <v>481.71</v>
      </c>
      <c r="I738" s="2">
        <v>24.09</v>
      </c>
      <c r="J738" s="2">
        <v>505.8</v>
      </c>
      <c r="K738" s="2">
        <v>505.8</v>
      </c>
      <c r="L738" s="2" t="s">
        <v>22</v>
      </c>
      <c r="M738" s="2" t="s">
        <v>3844</v>
      </c>
      <c r="N738" s="2" t="s">
        <v>3843</v>
      </c>
    </row>
    <row r="739" spans="1:14" ht="60" x14ac:dyDescent="0.25">
      <c r="A739" s="2" t="s">
        <v>2480</v>
      </c>
      <c r="B739" s="2" t="s">
        <v>4095</v>
      </c>
      <c r="C739" s="4">
        <v>45779</v>
      </c>
      <c r="D739" s="4">
        <v>45779</v>
      </c>
      <c r="E739" s="2" t="s">
        <v>1901</v>
      </c>
      <c r="F739" s="2"/>
      <c r="G739" s="2" t="s">
        <v>180</v>
      </c>
      <c r="H739" s="2">
        <v>59373.05</v>
      </c>
      <c r="I739" s="2"/>
      <c r="J739" s="2">
        <v>59373.05</v>
      </c>
      <c r="K739" s="2">
        <v>42873.38</v>
      </c>
      <c r="L739" s="2" t="s">
        <v>51</v>
      </c>
      <c r="M739" s="2" t="s">
        <v>3844</v>
      </c>
      <c r="N739" s="2" t="s">
        <v>3843</v>
      </c>
    </row>
    <row r="740" spans="1:14" ht="30" x14ac:dyDescent="0.25">
      <c r="A740" s="2" t="s">
        <v>2435</v>
      </c>
      <c r="B740" s="2" t="s">
        <v>129</v>
      </c>
      <c r="C740" s="4">
        <v>45779</v>
      </c>
      <c r="D740" s="4">
        <v>45809</v>
      </c>
      <c r="E740" s="2" t="s">
        <v>1981</v>
      </c>
      <c r="F740" s="2"/>
      <c r="G740" s="2" t="s">
        <v>130</v>
      </c>
      <c r="H740" s="2">
        <v>5453.94</v>
      </c>
      <c r="I740" s="2"/>
      <c r="J740" s="2">
        <v>5453.94</v>
      </c>
      <c r="K740" s="2">
        <v>3938.3</v>
      </c>
      <c r="L740" s="2" t="s">
        <v>51</v>
      </c>
      <c r="M740" s="2" t="s">
        <v>3844</v>
      </c>
      <c r="N740" s="2" t="s">
        <v>3843</v>
      </c>
    </row>
    <row r="741" spans="1:14" x14ac:dyDescent="0.25">
      <c r="A741" s="2" t="s">
        <v>2716</v>
      </c>
      <c r="B741" s="2" t="s">
        <v>146</v>
      </c>
      <c r="C741" s="4">
        <v>45779</v>
      </c>
      <c r="D741" s="4">
        <v>45809</v>
      </c>
      <c r="E741" s="2" t="s">
        <v>1495</v>
      </c>
      <c r="F741" s="2"/>
      <c r="G741" s="2" t="s">
        <v>21</v>
      </c>
      <c r="H741" s="2">
        <v>1906.8</v>
      </c>
      <c r="I741" s="2">
        <v>95.34</v>
      </c>
      <c r="J741" s="2">
        <v>2002.14</v>
      </c>
      <c r="K741" s="2">
        <v>2002.14</v>
      </c>
      <c r="L741" s="2" t="s">
        <v>22</v>
      </c>
      <c r="M741" s="2" t="s">
        <v>3844</v>
      </c>
      <c r="N741" s="2" t="s">
        <v>3843</v>
      </c>
    </row>
    <row r="742" spans="1:14" ht="30" x14ac:dyDescent="0.25">
      <c r="A742" s="2" t="s">
        <v>2712</v>
      </c>
      <c r="B742" s="2" t="s">
        <v>86</v>
      </c>
      <c r="C742" s="4">
        <v>45779</v>
      </c>
      <c r="D742" s="4">
        <v>45809</v>
      </c>
      <c r="E742" s="2" t="s">
        <v>1501</v>
      </c>
      <c r="F742" s="2"/>
      <c r="G742" s="2" t="s">
        <v>21</v>
      </c>
      <c r="H742" s="2">
        <v>92.22</v>
      </c>
      <c r="I742" s="2">
        <v>4.6100000000000003</v>
      </c>
      <c r="J742" s="2">
        <v>96.83</v>
      </c>
      <c r="K742" s="2">
        <v>96.83</v>
      </c>
      <c r="L742" s="2" t="s">
        <v>22</v>
      </c>
      <c r="M742" s="2" t="s">
        <v>3844</v>
      </c>
      <c r="N742" s="2" t="s">
        <v>3843</v>
      </c>
    </row>
    <row r="743" spans="1:14" x14ac:dyDescent="0.25">
      <c r="A743" s="2" t="s">
        <v>2710</v>
      </c>
      <c r="B743" s="2" t="s">
        <v>89</v>
      </c>
      <c r="C743" s="4">
        <v>45779</v>
      </c>
      <c r="D743" s="4">
        <v>45809</v>
      </c>
      <c r="E743" s="2" t="s">
        <v>1503</v>
      </c>
      <c r="F743" s="2"/>
      <c r="G743" s="2" t="s">
        <v>21</v>
      </c>
      <c r="H743" s="2">
        <v>997.63</v>
      </c>
      <c r="I743" s="2">
        <v>49.88</v>
      </c>
      <c r="J743" s="2">
        <v>1047.51</v>
      </c>
      <c r="K743" s="2">
        <v>1047.51</v>
      </c>
      <c r="L743" s="2" t="s">
        <v>22</v>
      </c>
      <c r="M743" s="2" t="s">
        <v>3844</v>
      </c>
      <c r="N743" s="2" t="s">
        <v>3843</v>
      </c>
    </row>
    <row r="744" spans="1:14" x14ac:dyDescent="0.25">
      <c r="A744" s="2" t="s">
        <v>2699</v>
      </c>
      <c r="B744" s="2" t="s">
        <v>64</v>
      </c>
      <c r="C744" s="4">
        <v>45779</v>
      </c>
      <c r="D744" s="4">
        <v>45809</v>
      </c>
      <c r="E744" s="2" t="s">
        <v>1524</v>
      </c>
      <c r="F744" s="2"/>
      <c r="G744" s="2" t="s">
        <v>21</v>
      </c>
      <c r="H744" s="2">
        <v>1074.54</v>
      </c>
      <c r="I744" s="2">
        <v>139.69</v>
      </c>
      <c r="J744" s="2">
        <v>1214.23</v>
      </c>
      <c r="K744" s="2">
        <v>1214.23</v>
      </c>
      <c r="L744" s="2" t="s">
        <v>22</v>
      </c>
      <c r="M744" s="2" t="s">
        <v>3844</v>
      </c>
      <c r="N744" s="2" t="s">
        <v>3843</v>
      </c>
    </row>
    <row r="745" spans="1:14" ht="30" x14ac:dyDescent="0.25">
      <c r="A745" s="2" t="s">
        <v>2714</v>
      </c>
      <c r="B745" s="2" t="s">
        <v>4151</v>
      </c>
      <c r="C745" s="4">
        <v>45779</v>
      </c>
      <c r="D745" s="4">
        <v>45779</v>
      </c>
      <c r="E745" s="2" t="s">
        <v>1497</v>
      </c>
      <c r="F745" s="2"/>
      <c r="G745" s="2" t="s">
        <v>180</v>
      </c>
      <c r="H745" s="2">
        <v>10247.870000000001</v>
      </c>
      <c r="I745" s="2"/>
      <c r="J745" s="2">
        <v>10247.870000000001</v>
      </c>
      <c r="K745" s="2">
        <v>7400</v>
      </c>
      <c r="L745" s="2" t="s">
        <v>51</v>
      </c>
      <c r="M745" s="2" t="s">
        <v>3844</v>
      </c>
      <c r="N745" s="2" t="s">
        <v>3843</v>
      </c>
    </row>
    <row r="746" spans="1:14" ht="30" x14ac:dyDescent="0.25">
      <c r="A746" s="2" t="s">
        <v>2709</v>
      </c>
      <c r="B746" s="2" t="s">
        <v>981</v>
      </c>
      <c r="C746" s="4">
        <v>45778</v>
      </c>
      <c r="D746" s="4">
        <v>45808</v>
      </c>
      <c r="E746" s="2" t="s">
        <v>1505</v>
      </c>
      <c r="F746" s="2"/>
      <c r="G746" s="2" t="s">
        <v>21</v>
      </c>
      <c r="H746" s="2">
        <v>90.56</v>
      </c>
      <c r="I746" s="2">
        <v>11.77</v>
      </c>
      <c r="J746" s="2">
        <v>102.33</v>
      </c>
      <c r="K746" s="2">
        <v>102.33</v>
      </c>
      <c r="L746" s="2" t="s">
        <v>22</v>
      </c>
      <c r="M746" s="2" t="s">
        <v>3844</v>
      </c>
      <c r="N746" s="2" t="s">
        <v>3843</v>
      </c>
    </row>
    <row r="747" spans="1:14" x14ac:dyDescent="0.25">
      <c r="A747" s="2" t="s">
        <v>2713</v>
      </c>
      <c r="B747" s="2" t="s">
        <v>64</v>
      </c>
      <c r="C747" s="4">
        <v>45778</v>
      </c>
      <c r="D747" s="4">
        <v>45808</v>
      </c>
      <c r="E747" s="2" t="s">
        <v>1499</v>
      </c>
      <c r="F747" s="2"/>
      <c r="G747" s="2" t="s">
        <v>21</v>
      </c>
      <c r="H747" s="2">
        <v>4501.3500000000004</v>
      </c>
      <c r="I747" s="2">
        <v>585.16999999999996</v>
      </c>
      <c r="J747" s="2">
        <v>5086.5200000000004</v>
      </c>
      <c r="K747" s="2">
        <v>5086.5200000000004</v>
      </c>
      <c r="L747" s="2" t="s">
        <v>22</v>
      </c>
      <c r="M747" s="2" t="s">
        <v>3844</v>
      </c>
      <c r="N747" s="2" t="s">
        <v>3843</v>
      </c>
    </row>
    <row r="748" spans="1:14" x14ac:dyDescent="0.25">
      <c r="A748" s="2" t="s">
        <v>2688</v>
      </c>
      <c r="B748" s="2" t="s">
        <v>54</v>
      </c>
      <c r="C748" s="4">
        <v>45778</v>
      </c>
      <c r="D748" s="4">
        <v>45808</v>
      </c>
      <c r="E748" s="2" t="s">
        <v>1544</v>
      </c>
      <c r="F748" s="2"/>
      <c r="G748" s="2" t="s">
        <v>21</v>
      </c>
      <c r="H748" s="2">
        <v>3521.29</v>
      </c>
      <c r="I748" s="2">
        <v>176.07</v>
      </c>
      <c r="J748" s="2">
        <v>3697.36</v>
      </c>
      <c r="K748" s="2">
        <v>3697.36</v>
      </c>
      <c r="L748" s="2" t="s">
        <v>22</v>
      </c>
      <c r="M748" s="2" t="s">
        <v>3844</v>
      </c>
      <c r="N748" s="2" t="s">
        <v>3843</v>
      </c>
    </row>
    <row r="749" spans="1:14" x14ac:dyDescent="0.25">
      <c r="A749" s="2" t="s">
        <v>2701</v>
      </c>
      <c r="B749" s="2" t="s">
        <v>556</v>
      </c>
      <c r="C749" s="4">
        <v>45777</v>
      </c>
      <c r="D749" s="4">
        <v>45807</v>
      </c>
      <c r="E749" s="2" t="s">
        <v>1520</v>
      </c>
      <c r="F749" s="2"/>
      <c r="G749" s="2" t="s">
        <v>21</v>
      </c>
      <c r="H749" s="2">
        <v>229.88</v>
      </c>
      <c r="I749" s="2">
        <v>29.88</v>
      </c>
      <c r="J749" s="2">
        <v>259.76</v>
      </c>
      <c r="K749" s="2">
        <v>259.76</v>
      </c>
      <c r="L749" s="2" t="s">
        <v>22</v>
      </c>
      <c r="M749" s="2" t="s">
        <v>3844</v>
      </c>
      <c r="N749" s="2" t="s">
        <v>3843</v>
      </c>
    </row>
    <row r="750" spans="1:14" ht="45" x14ac:dyDescent="0.25">
      <c r="A750" s="2" t="s">
        <v>2674</v>
      </c>
      <c r="B750" s="2" t="s">
        <v>502</v>
      </c>
      <c r="C750" s="4">
        <v>45777</v>
      </c>
      <c r="D750" s="4">
        <v>45822</v>
      </c>
      <c r="E750" s="2" t="s">
        <v>1570</v>
      </c>
      <c r="F750" s="2"/>
      <c r="G750" s="2" t="s">
        <v>21</v>
      </c>
      <c r="H750" s="2">
        <v>1492.52</v>
      </c>
      <c r="I750" s="2">
        <v>74.63</v>
      </c>
      <c r="J750" s="2">
        <v>1567.15</v>
      </c>
      <c r="K750" s="2">
        <v>1567.15</v>
      </c>
      <c r="L750" s="2" t="s">
        <v>22</v>
      </c>
      <c r="M750" s="2" t="s">
        <v>3844</v>
      </c>
      <c r="N750" s="2" t="s">
        <v>3843</v>
      </c>
    </row>
    <row r="751" spans="1:14" x14ac:dyDescent="0.25">
      <c r="A751" s="2" t="s">
        <v>2706</v>
      </c>
      <c r="B751" s="2" t="s">
        <v>192</v>
      </c>
      <c r="C751" s="4">
        <v>45777</v>
      </c>
      <c r="D751" s="4">
        <v>45777</v>
      </c>
      <c r="E751" s="2" t="s">
        <v>1512</v>
      </c>
      <c r="F751" s="2"/>
      <c r="G751" s="2" t="s">
        <v>21</v>
      </c>
      <c r="H751" s="2">
        <v>2607.17</v>
      </c>
      <c r="I751" s="2"/>
      <c r="J751" s="2">
        <v>2607.17</v>
      </c>
      <c r="K751" s="2">
        <v>1881.12</v>
      </c>
      <c r="L751" s="2" t="s">
        <v>51</v>
      </c>
      <c r="M751" s="2" t="s">
        <v>3844</v>
      </c>
      <c r="N751" s="2" t="s">
        <v>3843</v>
      </c>
    </row>
    <row r="752" spans="1:14" x14ac:dyDescent="0.25">
      <c r="A752" s="2" t="s">
        <v>2705</v>
      </c>
      <c r="B752" s="2" t="s">
        <v>61</v>
      </c>
      <c r="C752" s="4">
        <v>45777</v>
      </c>
      <c r="D752" s="4">
        <v>45807</v>
      </c>
      <c r="E752" s="2" t="s">
        <v>1514</v>
      </c>
      <c r="F752" s="2"/>
      <c r="G752" s="2" t="s">
        <v>21</v>
      </c>
      <c r="H752" s="2">
        <v>3536.95</v>
      </c>
      <c r="I752" s="2"/>
      <c r="J752" s="2">
        <v>3536.95</v>
      </c>
      <c r="K752" s="2">
        <v>2551.98</v>
      </c>
      <c r="L752" s="2" t="s">
        <v>51</v>
      </c>
      <c r="M752" s="2" t="s">
        <v>3844</v>
      </c>
      <c r="N752" s="2" t="s">
        <v>3843</v>
      </c>
    </row>
    <row r="753" spans="1:14" x14ac:dyDescent="0.25">
      <c r="A753" s="2" t="s">
        <v>2687</v>
      </c>
      <c r="B753" s="2" t="s">
        <v>229</v>
      </c>
      <c r="C753" s="4">
        <v>45776</v>
      </c>
      <c r="D753" s="4">
        <v>45806</v>
      </c>
      <c r="E753" s="2" t="s">
        <v>1546</v>
      </c>
      <c r="F753" s="2"/>
      <c r="G753" s="2" t="s">
        <v>21</v>
      </c>
      <c r="H753" s="2">
        <v>297.88</v>
      </c>
      <c r="I753" s="2">
        <v>14.89</v>
      </c>
      <c r="J753" s="2">
        <v>312.77</v>
      </c>
      <c r="K753" s="2">
        <v>312.77</v>
      </c>
      <c r="L753" s="2" t="s">
        <v>22</v>
      </c>
      <c r="M753" s="2" t="s">
        <v>3844</v>
      </c>
      <c r="N753" s="2" t="s">
        <v>3843</v>
      </c>
    </row>
    <row r="754" spans="1:14" x14ac:dyDescent="0.25">
      <c r="A754" s="2" t="s">
        <v>2691</v>
      </c>
      <c r="B754" s="2" t="s">
        <v>229</v>
      </c>
      <c r="C754" s="4">
        <v>45776</v>
      </c>
      <c r="D754" s="4">
        <v>45806</v>
      </c>
      <c r="E754" s="2" t="s">
        <v>1540</v>
      </c>
      <c r="F754" s="2"/>
      <c r="G754" s="2" t="s">
        <v>21</v>
      </c>
      <c r="H754" s="2">
        <v>449.67</v>
      </c>
      <c r="I754" s="2">
        <v>22.48</v>
      </c>
      <c r="J754" s="2">
        <v>472.15</v>
      </c>
      <c r="K754" s="2">
        <v>472.15</v>
      </c>
      <c r="L754" s="2" t="s">
        <v>22</v>
      </c>
      <c r="M754" s="2" t="s">
        <v>3844</v>
      </c>
      <c r="N754" s="2" t="s">
        <v>3843</v>
      </c>
    </row>
    <row r="755" spans="1:14" x14ac:dyDescent="0.25">
      <c r="A755" s="2" t="s">
        <v>2590</v>
      </c>
      <c r="B755" s="2" t="s">
        <v>146</v>
      </c>
      <c r="C755" s="4">
        <v>45776</v>
      </c>
      <c r="D755" s="4">
        <v>45806</v>
      </c>
      <c r="E755" s="2" t="s">
        <v>1712</v>
      </c>
      <c r="F755" s="2"/>
      <c r="G755" s="2" t="s">
        <v>21</v>
      </c>
      <c r="H755" s="2">
        <v>2071.7800000000002</v>
      </c>
      <c r="I755" s="2">
        <v>103.59</v>
      </c>
      <c r="J755" s="2">
        <v>2175.37</v>
      </c>
      <c r="K755" s="2">
        <v>2175.37</v>
      </c>
      <c r="L755" s="2" t="s">
        <v>22</v>
      </c>
      <c r="M755" s="2" t="s">
        <v>3844</v>
      </c>
      <c r="N755" s="2" t="s">
        <v>3843</v>
      </c>
    </row>
    <row r="756" spans="1:14" x14ac:dyDescent="0.25">
      <c r="A756" s="2" t="s">
        <v>2695</v>
      </c>
      <c r="B756" s="2" t="s">
        <v>176</v>
      </c>
      <c r="C756" s="4">
        <v>45776</v>
      </c>
      <c r="D756" s="4">
        <v>45776</v>
      </c>
      <c r="E756" s="2" t="s">
        <v>1532</v>
      </c>
      <c r="F756" s="2"/>
      <c r="G756" s="2" t="s">
        <v>21</v>
      </c>
      <c r="H756" s="2">
        <v>419.88</v>
      </c>
      <c r="I756" s="2">
        <v>54.58</v>
      </c>
      <c r="J756" s="2">
        <v>474.46</v>
      </c>
      <c r="K756" s="2">
        <v>474.46</v>
      </c>
      <c r="L756" s="2" t="s">
        <v>22</v>
      </c>
      <c r="M756" s="2" t="s">
        <v>3844</v>
      </c>
      <c r="N756" s="2" t="s">
        <v>3843</v>
      </c>
    </row>
    <row r="757" spans="1:14" ht="30" x14ac:dyDescent="0.25">
      <c r="A757" s="2" t="s">
        <v>2655</v>
      </c>
      <c r="B757" s="2" t="s">
        <v>104</v>
      </c>
      <c r="C757" s="4">
        <v>45776</v>
      </c>
      <c r="D757" s="4">
        <v>45806</v>
      </c>
      <c r="E757" s="2" t="s">
        <v>1599</v>
      </c>
      <c r="F757" s="2"/>
      <c r="G757" s="2" t="s">
        <v>21</v>
      </c>
      <c r="H757" s="2">
        <v>3281.44</v>
      </c>
      <c r="I757" s="2">
        <v>164.08</v>
      </c>
      <c r="J757" s="2">
        <v>3445.52</v>
      </c>
      <c r="K757" s="2">
        <v>3445.52</v>
      </c>
      <c r="L757" s="2" t="s">
        <v>22</v>
      </c>
      <c r="M757" s="2" t="s">
        <v>3844</v>
      </c>
      <c r="N757" s="2" t="s">
        <v>3843</v>
      </c>
    </row>
    <row r="758" spans="1:14" x14ac:dyDescent="0.25">
      <c r="A758" s="2" t="s">
        <v>2702</v>
      </c>
      <c r="B758" s="2" t="s">
        <v>556</v>
      </c>
      <c r="C758" s="4">
        <v>45776</v>
      </c>
      <c r="D758" s="4">
        <v>45806</v>
      </c>
      <c r="E758" s="2" t="s">
        <v>1518</v>
      </c>
      <c r="F758" s="2"/>
      <c r="G758" s="2" t="s">
        <v>21</v>
      </c>
      <c r="H758" s="2">
        <v>425.21</v>
      </c>
      <c r="I758" s="2">
        <v>55.28</v>
      </c>
      <c r="J758" s="2">
        <v>480.49</v>
      </c>
      <c r="K758" s="2">
        <v>480.49</v>
      </c>
      <c r="L758" s="2" t="s">
        <v>22</v>
      </c>
      <c r="M758" s="2" t="s">
        <v>3844</v>
      </c>
      <c r="N758" s="2" t="s">
        <v>3843</v>
      </c>
    </row>
    <row r="759" spans="1:14" ht="30" x14ac:dyDescent="0.25">
      <c r="A759" s="2" t="s">
        <v>2659</v>
      </c>
      <c r="B759" s="2" t="s">
        <v>39</v>
      </c>
      <c r="C759" s="4">
        <v>45776</v>
      </c>
      <c r="D759" s="4">
        <v>45806</v>
      </c>
      <c r="E759" s="2" t="s">
        <v>1593</v>
      </c>
      <c r="F759" s="2"/>
      <c r="G759" s="2" t="s">
        <v>21</v>
      </c>
      <c r="H759" s="2">
        <v>1340.49</v>
      </c>
      <c r="I759" s="2">
        <v>67.02</v>
      </c>
      <c r="J759" s="2">
        <v>1407.51</v>
      </c>
      <c r="K759" s="2">
        <v>1407.51</v>
      </c>
      <c r="L759" s="2" t="s">
        <v>22</v>
      </c>
      <c r="M759" s="2" t="s">
        <v>3844</v>
      </c>
      <c r="N759" s="2" t="s">
        <v>3843</v>
      </c>
    </row>
    <row r="760" spans="1:14" x14ac:dyDescent="0.25">
      <c r="A760" s="2" t="s">
        <v>2694</v>
      </c>
      <c r="B760" s="2" t="s">
        <v>141</v>
      </c>
      <c r="C760" s="4">
        <v>45776</v>
      </c>
      <c r="D760" s="4">
        <v>45821</v>
      </c>
      <c r="E760" s="2" t="s">
        <v>1534</v>
      </c>
      <c r="F760" s="2"/>
      <c r="G760" s="2" t="s">
        <v>21</v>
      </c>
      <c r="H760" s="2">
        <v>471.2</v>
      </c>
      <c r="I760" s="2"/>
      <c r="J760" s="2">
        <v>471.2</v>
      </c>
      <c r="K760" s="2">
        <v>339.85</v>
      </c>
      <c r="L760" s="2" t="s">
        <v>51</v>
      </c>
      <c r="M760" s="2" t="s">
        <v>3844</v>
      </c>
      <c r="N760" s="2" t="s">
        <v>3843</v>
      </c>
    </row>
    <row r="761" spans="1:14" ht="30" x14ac:dyDescent="0.25">
      <c r="A761" s="2" t="s">
        <v>2374</v>
      </c>
      <c r="B761" s="2" t="s">
        <v>4132</v>
      </c>
      <c r="C761" s="4">
        <v>45776</v>
      </c>
      <c r="D761" s="4">
        <v>45776</v>
      </c>
      <c r="E761" s="2" t="s">
        <v>2074</v>
      </c>
      <c r="F761" s="2"/>
      <c r="G761" s="2" t="s">
        <v>21</v>
      </c>
      <c r="H761" s="2">
        <v>512.84</v>
      </c>
      <c r="I761" s="2"/>
      <c r="J761" s="2">
        <v>512.84</v>
      </c>
      <c r="K761" s="2">
        <v>369.88</v>
      </c>
      <c r="L761" s="2" t="s">
        <v>51</v>
      </c>
      <c r="M761" s="2" t="s">
        <v>3844</v>
      </c>
      <c r="N761" s="2" t="s">
        <v>3843</v>
      </c>
    </row>
    <row r="762" spans="1:14" x14ac:dyDescent="0.25">
      <c r="A762" s="2" t="s">
        <v>2696</v>
      </c>
      <c r="B762" s="2" t="s">
        <v>149</v>
      </c>
      <c r="C762" s="4">
        <v>45776</v>
      </c>
      <c r="D762" s="4">
        <v>45806</v>
      </c>
      <c r="E762" s="2" t="s">
        <v>1530</v>
      </c>
      <c r="F762" s="2"/>
      <c r="G762" s="2" t="s">
        <v>21</v>
      </c>
      <c r="H762" s="2">
        <v>5724.8</v>
      </c>
      <c r="I762" s="2"/>
      <c r="J762" s="2">
        <v>5724.8</v>
      </c>
      <c r="K762" s="2">
        <v>4128.96</v>
      </c>
      <c r="L762" s="2" t="s">
        <v>51</v>
      </c>
      <c r="M762" s="2" t="s">
        <v>3844</v>
      </c>
      <c r="N762" s="2" t="s">
        <v>3843</v>
      </c>
    </row>
    <row r="763" spans="1:14" x14ac:dyDescent="0.25">
      <c r="A763" s="2" t="s">
        <v>2697</v>
      </c>
      <c r="B763" s="2" t="s">
        <v>192</v>
      </c>
      <c r="C763" s="4">
        <v>45775</v>
      </c>
      <c r="D763" s="4">
        <v>45805</v>
      </c>
      <c r="E763" s="2" t="s">
        <v>1528</v>
      </c>
      <c r="F763" s="2"/>
      <c r="G763" s="2" t="s">
        <v>21</v>
      </c>
      <c r="H763" s="2">
        <v>8455.59</v>
      </c>
      <c r="I763" s="2"/>
      <c r="J763" s="2">
        <v>8455.59</v>
      </c>
      <c r="K763" s="2">
        <v>6098.6</v>
      </c>
      <c r="L763" s="2" t="s">
        <v>51</v>
      </c>
      <c r="M763" s="2" t="s">
        <v>3844</v>
      </c>
      <c r="N763" s="2" t="s">
        <v>3843</v>
      </c>
    </row>
    <row r="764" spans="1:14" x14ac:dyDescent="0.25">
      <c r="A764" s="2" t="s">
        <v>2588</v>
      </c>
      <c r="B764" s="2" t="s">
        <v>714</v>
      </c>
      <c r="C764" s="4">
        <v>45775</v>
      </c>
      <c r="D764" s="4">
        <v>45805</v>
      </c>
      <c r="E764" s="2" t="s">
        <v>1714</v>
      </c>
      <c r="F764" s="2"/>
      <c r="G764" s="2" t="s">
        <v>21</v>
      </c>
      <c r="H764" s="2">
        <v>616.87</v>
      </c>
      <c r="I764" s="2"/>
      <c r="J764" s="2">
        <v>616.87</v>
      </c>
      <c r="K764" s="2">
        <v>444.92</v>
      </c>
      <c r="L764" s="2" t="s">
        <v>51</v>
      </c>
      <c r="M764" s="2" t="s">
        <v>3844</v>
      </c>
      <c r="N764" s="2" t="s">
        <v>3843</v>
      </c>
    </row>
    <row r="765" spans="1:14" x14ac:dyDescent="0.25">
      <c r="A765" s="2" t="s">
        <v>2616</v>
      </c>
      <c r="B765" s="2" t="s">
        <v>714</v>
      </c>
      <c r="C765" s="4">
        <v>45775</v>
      </c>
      <c r="D765" s="4">
        <v>45805</v>
      </c>
      <c r="E765" s="2" t="s">
        <v>1666</v>
      </c>
      <c r="F765" s="2"/>
      <c r="G765" s="2" t="s">
        <v>21</v>
      </c>
      <c r="H765" s="2">
        <v>262.52999999999997</v>
      </c>
      <c r="I765" s="2"/>
      <c r="J765" s="2">
        <v>262.52999999999997</v>
      </c>
      <c r="K765" s="2">
        <v>189.35</v>
      </c>
      <c r="L765" s="2" t="s">
        <v>51</v>
      </c>
      <c r="M765" s="2" t="s">
        <v>3844</v>
      </c>
      <c r="N765" s="2" t="s">
        <v>3843</v>
      </c>
    </row>
    <row r="766" spans="1:14" x14ac:dyDescent="0.25">
      <c r="A766" s="2" t="s">
        <v>2666</v>
      </c>
      <c r="B766" s="2" t="s">
        <v>714</v>
      </c>
      <c r="C766" s="4">
        <v>45775</v>
      </c>
      <c r="D766" s="4">
        <v>45805</v>
      </c>
      <c r="E766" s="2" t="s">
        <v>1585</v>
      </c>
      <c r="F766" s="2"/>
      <c r="G766" s="2" t="s">
        <v>21</v>
      </c>
      <c r="H766" s="2">
        <v>6635</v>
      </c>
      <c r="I766" s="2"/>
      <c r="J766" s="2">
        <v>6635</v>
      </c>
      <c r="K766" s="2">
        <v>4785.5</v>
      </c>
      <c r="L766" s="2" t="s">
        <v>51</v>
      </c>
      <c r="M766" s="2" t="s">
        <v>3844</v>
      </c>
      <c r="N766" s="2" t="s">
        <v>3843</v>
      </c>
    </row>
    <row r="767" spans="1:14" x14ac:dyDescent="0.25">
      <c r="A767" s="2" t="s">
        <v>2606</v>
      </c>
      <c r="B767" s="2" t="s">
        <v>54</v>
      </c>
      <c r="C767" s="4">
        <v>45772</v>
      </c>
      <c r="D767" s="4">
        <v>45802</v>
      </c>
      <c r="E767" s="2" t="s">
        <v>1683</v>
      </c>
      <c r="F767" s="2"/>
      <c r="G767" s="2" t="s">
        <v>21</v>
      </c>
      <c r="H767" s="2">
        <v>5998.85</v>
      </c>
      <c r="I767" s="2">
        <v>299.94</v>
      </c>
      <c r="J767" s="2">
        <v>6298.79</v>
      </c>
      <c r="K767" s="2">
        <v>6298.79</v>
      </c>
      <c r="L767" s="2" t="s">
        <v>22</v>
      </c>
      <c r="M767" s="2" t="s">
        <v>3844</v>
      </c>
      <c r="N767" s="2" t="s">
        <v>3843</v>
      </c>
    </row>
    <row r="768" spans="1:14" ht="45" x14ac:dyDescent="0.25">
      <c r="A768" s="2" t="s">
        <v>2682</v>
      </c>
      <c r="B768" s="2" t="s">
        <v>502</v>
      </c>
      <c r="C768" s="4">
        <v>45771</v>
      </c>
      <c r="D768" s="4">
        <v>45816</v>
      </c>
      <c r="E768" s="2" t="s">
        <v>1556</v>
      </c>
      <c r="F768" s="2"/>
      <c r="G768" s="2" t="s">
        <v>21</v>
      </c>
      <c r="H768" s="2">
        <v>7240.4</v>
      </c>
      <c r="I768" s="2">
        <v>362.03</v>
      </c>
      <c r="J768" s="2">
        <v>7602.43</v>
      </c>
      <c r="K768" s="2">
        <v>7602.43</v>
      </c>
      <c r="L768" s="2" t="s">
        <v>22</v>
      </c>
      <c r="M768" s="2" t="s">
        <v>3844</v>
      </c>
      <c r="N768" s="2" t="s">
        <v>3843</v>
      </c>
    </row>
    <row r="769" spans="1:14" x14ac:dyDescent="0.25">
      <c r="A769" s="2" t="s">
        <v>2642</v>
      </c>
      <c r="B769" s="2" t="s">
        <v>229</v>
      </c>
      <c r="C769" s="4">
        <v>45771</v>
      </c>
      <c r="D769" s="4">
        <v>45801</v>
      </c>
      <c r="E769" s="2" t="s">
        <v>1627</v>
      </c>
      <c r="F769" s="2"/>
      <c r="G769" s="2" t="s">
        <v>21</v>
      </c>
      <c r="H769" s="2">
        <v>147.72999999999999</v>
      </c>
      <c r="I769" s="2">
        <v>7.39</v>
      </c>
      <c r="J769" s="2">
        <v>155.12</v>
      </c>
      <c r="K769" s="2">
        <v>155.12</v>
      </c>
      <c r="L769" s="2" t="s">
        <v>22</v>
      </c>
      <c r="M769" s="2" t="s">
        <v>3844</v>
      </c>
      <c r="N769" s="2" t="s">
        <v>3843</v>
      </c>
    </row>
    <row r="770" spans="1:14" ht="30" x14ac:dyDescent="0.25">
      <c r="A770" s="2" t="s">
        <v>2673</v>
      </c>
      <c r="B770" s="2" t="s">
        <v>104</v>
      </c>
      <c r="C770" s="4">
        <v>45771</v>
      </c>
      <c r="D770" s="4">
        <v>45801</v>
      </c>
      <c r="E770" s="2" t="s">
        <v>1572</v>
      </c>
      <c r="F770" s="2"/>
      <c r="G770" s="2" t="s">
        <v>21</v>
      </c>
      <c r="H770" s="2">
        <v>295.45999999999998</v>
      </c>
      <c r="I770" s="2">
        <v>14.77</v>
      </c>
      <c r="J770" s="2">
        <v>310.23</v>
      </c>
      <c r="K770" s="2">
        <v>310.23</v>
      </c>
      <c r="L770" s="2" t="s">
        <v>22</v>
      </c>
      <c r="M770" s="2" t="s">
        <v>3844</v>
      </c>
      <c r="N770" s="2" t="s">
        <v>3843</v>
      </c>
    </row>
    <row r="771" spans="1:14" ht="30" x14ac:dyDescent="0.25">
      <c r="A771" s="2" t="s">
        <v>2683</v>
      </c>
      <c r="B771" s="2" t="s">
        <v>290</v>
      </c>
      <c r="C771" s="4">
        <v>45771</v>
      </c>
      <c r="D771" s="4">
        <v>45831</v>
      </c>
      <c r="E771" s="2" t="s">
        <v>1554</v>
      </c>
      <c r="F771" s="2"/>
      <c r="G771" s="2" t="s">
        <v>21</v>
      </c>
      <c r="H771" s="2">
        <v>1879.56</v>
      </c>
      <c r="I771" s="2">
        <v>93.98</v>
      </c>
      <c r="J771" s="2">
        <v>1973.54</v>
      </c>
      <c r="K771" s="2">
        <v>1973.54</v>
      </c>
      <c r="L771" s="2" t="s">
        <v>22</v>
      </c>
      <c r="M771" s="2" t="s">
        <v>3844</v>
      </c>
      <c r="N771" s="2" t="s">
        <v>3843</v>
      </c>
    </row>
    <row r="772" spans="1:14" ht="30" x14ac:dyDescent="0.25">
      <c r="A772" s="2" t="s">
        <v>2686</v>
      </c>
      <c r="B772" s="2" t="s">
        <v>159</v>
      </c>
      <c r="C772" s="4">
        <v>45771</v>
      </c>
      <c r="D772" s="4">
        <v>45816</v>
      </c>
      <c r="E772" s="2" t="s">
        <v>1548</v>
      </c>
      <c r="F772" s="2"/>
      <c r="G772" s="2" t="s">
        <v>40</v>
      </c>
      <c r="H772" s="2">
        <v>8414.58</v>
      </c>
      <c r="I772" s="2"/>
      <c r="J772" s="2">
        <v>8414.58</v>
      </c>
      <c r="K772" s="2">
        <v>6056.5</v>
      </c>
      <c r="L772" s="2" t="s">
        <v>51</v>
      </c>
      <c r="M772" s="2" t="s">
        <v>3844</v>
      </c>
      <c r="N772" s="2" t="s">
        <v>3843</v>
      </c>
    </row>
    <row r="773" spans="1:14" ht="30" x14ac:dyDescent="0.25">
      <c r="A773" s="2" t="s">
        <v>2685</v>
      </c>
      <c r="B773" s="2" t="s">
        <v>159</v>
      </c>
      <c r="C773" s="4">
        <v>45771</v>
      </c>
      <c r="D773" s="4">
        <v>45816</v>
      </c>
      <c r="E773" s="2" t="s">
        <v>1550</v>
      </c>
      <c r="F773" s="2"/>
      <c r="G773" s="2" t="s">
        <v>40</v>
      </c>
      <c r="H773" s="2">
        <v>10352.64</v>
      </c>
      <c r="I773" s="2"/>
      <c r="J773" s="2">
        <v>10352.64</v>
      </c>
      <c r="K773" s="2">
        <v>7451.44</v>
      </c>
      <c r="L773" s="2" t="s">
        <v>51</v>
      </c>
      <c r="M773" s="2" t="s">
        <v>3844</v>
      </c>
      <c r="N773" s="2" t="s">
        <v>3843</v>
      </c>
    </row>
    <row r="774" spans="1:14" ht="30" x14ac:dyDescent="0.25">
      <c r="A774" s="2" t="s">
        <v>2620</v>
      </c>
      <c r="B774" s="2" t="s">
        <v>159</v>
      </c>
      <c r="C774" s="4">
        <v>45771</v>
      </c>
      <c r="D774" s="4">
        <v>45816</v>
      </c>
      <c r="E774" s="2" t="s">
        <v>1662</v>
      </c>
      <c r="F774" s="2"/>
      <c r="G774" s="2" t="s">
        <v>40</v>
      </c>
      <c r="H774" s="2">
        <v>42432.75</v>
      </c>
      <c r="I774" s="2"/>
      <c r="J774" s="2">
        <v>42432.75</v>
      </c>
      <c r="K774" s="2">
        <v>30541.5</v>
      </c>
      <c r="L774" s="2" t="s">
        <v>51</v>
      </c>
      <c r="M774" s="2" t="s">
        <v>3844</v>
      </c>
      <c r="N774" s="2" t="s">
        <v>3843</v>
      </c>
    </row>
    <row r="775" spans="1:14" ht="30" x14ac:dyDescent="0.25">
      <c r="A775" s="2" t="s">
        <v>3568</v>
      </c>
      <c r="B775" s="2" t="s">
        <v>4171</v>
      </c>
      <c r="C775" s="4">
        <v>45771</v>
      </c>
      <c r="D775" s="4">
        <v>45771</v>
      </c>
      <c r="E775" s="2" t="s">
        <v>4177</v>
      </c>
      <c r="F775" s="2"/>
      <c r="G775" s="2" t="s">
        <v>180</v>
      </c>
      <c r="H775" s="2">
        <v>20014.939999999999</v>
      </c>
      <c r="I775" s="2"/>
      <c r="J775" s="2">
        <v>20014.939999999999</v>
      </c>
      <c r="K775" s="2">
        <v>14406</v>
      </c>
      <c r="L775" s="2" t="s">
        <v>51</v>
      </c>
      <c r="M775" s="2" t="s">
        <v>3844</v>
      </c>
      <c r="N775" s="2" t="s">
        <v>3843</v>
      </c>
    </row>
    <row r="776" spans="1:14" ht="30" x14ac:dyDescent="0.25">
      <c r="A776" s="2" t="s">
        <v>2660</v>
      </c>
      <c r="B776" s="2" t="s">
        <v>98</v>
      </c>
      <c r="C776" s="4">
        <v>45770</v>
      </c>
      <c r="D776" s="4">
        <v>45800</v>
      </c>
      <c r="E776" s="2" t="s">
        <v>1591</v>
      </c>
      <c r="F776" s="2"/>
      <c r="G776" s="2" t="s">
        <v>21</v>
      </c>
      <c r="H776" s="2">
        <v>910.22</v>
      </c>
      <c r="I776" s="2">
        <v>118.33</v>
      </c>
      <c r="J776" s="2">
        <v>1028.55</v>
      </c>
      <c r="K776" s="2">
        <v>1028.55</v>
      </c>
      <c r="L776" s="2" t="s">
        <v>22</v>
      </c>
      <c r="M776" s="2" t="s">
        <v>3844</v>
      </c>
      <c r="N776" s="2" t="s">
        <v>3978</v>
      </c>
    </row>
    <row r="777" spans="1:14" ht="30" x14ac:dyDescent="0.25">
      <c r="A777" s="2" t="s">
        <v>2614</v>
      </c>
      <c r="B777" s="2" t="s">
        <v>4176</v>
      </c>
      <c r="C777" s="4">
        <v>45770</v>
      </c>
      <c r="D777" s="4">
        <v>45770</v>
      </c>
      <c r="E777" s="2" t="s">
        <v>1668</v>
      </c>
      <c r="F777" s="2"/>
      <c r="G777" s="2" t="s">
        <v>21</v>
      </c>
      <c r="H777" s="2">
        <v>1640.55</v>
      </c>
      <c r="I777" s="2">
        <v>82.03</v>
      </c>
      <c r="J777" s="2">
        <v>1722.58</v>
      </c>
      <c r="K777" s="2">
        <v>1722.58</v>
      </c>
      <c r="L777" s="2" t="s">
        <v>22</v>
      </c>
      <c r="M777" s="2" t="s">
        <v>3844</v>
      </c>
      <c r="N777" s="2" t="s">
        <v>3843</v>
      </c>
    </row>
    <row r="778" spans="1:14" ht="45" x14ac:dyDescent="0.25">
      <c r="A778" s="2" t="s">
        <v>2680</v>
      </c>
      <c r="B778" s="2" t="s">
        <v>502</v>
      </c>
      <c r="C778" s="4">
        <v>45770</v>
      </c>
      <c r="D778" s="4">
        <v>45815</v>
      </c>
      <c r="E778" s="2" t="s">
        <v>1558</v>
      </c>
      <c r="F778" s="2"/>
      <c r="G778" s="2" t="s">
        <v>21</v>
      </c>
      <c r="H778" s="2">
        <v>519.21</v>
      </c>
      <c r="I778" s="2">
        <v>25.95</v>
      </c>
      <c r="J778" s="2">
        <v>545.16</v>
      </c>
      <c r="K778" s="2">
        <v>545.16</v>
      </c>
      <c r="L778" s="2" t="s">
        <v>22</v>
      </c>
      <c r="M778" s="2" t="s">
        <v>3844</v>
      </c>
      <c r="N778" s="2" t="s">
        <v>3843</v>
      </c>
    </row>
    <row r="779" spans="1:14" ht="30" x14ac:dyDescent="0.25">
      <c r="A779" s="2" t="s">
        <v>2525</v>
      </c>
      <c r="B779" s="2" t="s">
        <v>86</v>
      </c>
      <c r="C779" s="4">
        <v>45770</v>
      </c>
      <c r="D779" s="4">
        <v>45800</v>
      </c>
      <c r="E779" s="2" t="s">
        <v>1825</v>
      </c>
      <c r="F779" s="2"/>
      <c r="G779" s="2" t="s">
        <v>21</v>
      </c>
      <c r="H779" s="2">
        <v>30.74</v>
      </c>
      <c r="I779" s="2">
        <v>1.54</v>
      </c>
      <c r="J779" s="2">
        <v>32.28</v>
      </c>
      <c r="K779" s="2">
        <v>32.28</v>
      </c>
      <c r="L779" s="2" t="s">
        <v>22</v>
      </c>
      <c r="M779" s="2" t="s">
        <v>3844</v>
      </c>
      <c r="N779" s="2" t="s">
        <v>3843</v>
      </c>
    </row>
    <row r="780" spans="1:14" x14ac:dyDescent="0.25">
      <c r="A780" s="2" t="s">
        <v>2656</v>
      </c>
      <c r="B780" s="2" t="s">
        <v>70</v>
      </c>
      <c r="C780" s="4">
        <v>45770</v>
      </c>
      <c r="D780" s="4">
        <v>45830</v>
      </c>
      <c r="E780" s="2" t="s">
        <v>1597</v>
      </c>
      <c r="F780" s="2"/>
      <c r="G780" s="2" t="s">
        <v>71</v>
      </c>
      <c r="H780" s="2">
        <v>1239.19</v>
      </c>
      <c r="I780" s="2"/>
      <c r="J780" s="2">
        <v>1239.19</v>
      </c>
      <c r="K780" s="2">
        <v>897.52</v>
      </c>
      <c r="L780" s="2" t="s">
        <v>51</v>
      </c>
      <c r="M780" s="2" t="s">
        <v>3844</v>
      </c>
      <c r="N780" s="2" t="s">
        <v>3843</v>
      </c>
    </row>
    <row r="781" spans="1:14" ht="30" x14ac:dyDescent="0.25">
      <c r="A781" s="2" t="s">
        <v>2662</v>
      </c>
      <c r="B781" s="2" t="s">
        <v>98</v>
      </c>
      <c r="C781" s="4">
        <v>45770</v>
      </c>
      <c r="D781" s="4">
        <v>45800</v>
      </c>
      <c r="E781" s="2" t="s">
        <v>1591</v>
      </c>
      <c r="F781" s="2"/>
      <c r="G781" s="2" t="s">
        <v>21</v>
      </c>
      <c r="H781" s="2">
        <v>4285.93</v>
      </c>
      <c r="I781" s="2">
        <v>557.16</v>
      </c>
      <c r="J781" s="2">
        <v>4843.09</v>
      </c>
      <c r="K781" s="2">
        <v>4843.09</v>
      </c>
      <c r="L781" s="2" t="s">
        <v>22</v>
      </c>
      <c r="M781" s="2" t="s">
        <v>3844</v>
      </c>
      <c r="N781" s="2" t="s">
        <v>3843</v>
      </c>
    </row>
    <row r="782" spans="1:14" ht="30" x14ac:dyDescent="0.25">
      <c r="A782" s="2" t="s">
        <v>2317</v>
      </c>
      <c r="B782" s="2" t="s">
        <v>98</v>
      </c>
      <c r="C782" s="4">
        <v>45770</v>
      </c>
      <c r="D782" s="4">
        <v>45800</v>
      </c>
      <c r="E782" s="2" t="s">
        <v>2177</v>
      </c>
      <c r="F782" s="2"/>
      <c r="G782" s="2" t="s">
        <v>21</v>
      </c>
      <c r="H782" s="2">
        <v>26543.7</v>
      </c>
      <c r="I782" s="2">
        <v>3450.68</v>
      </c>
      <c r="J782" s="2">
        <v>29994.38</v>
      </c>
      <c r="K782" s="2">
        <v>29994.38</v>
      </c>
      <c r="L782" s="2" t="s">
        <v>22</v>
      </c>
      <c r="M782" s="2" t="s">
        <v>3844</v>
      </c>
      <c r="N782" s="2" t="s">
        <v>3843</v>
      </c>
    </row>
    <row r="783" spans="1:14" ht="30" x14ac:dyDescent="0.25">
      <c r="A783" s="2" t="s">
        <v>2593</v>
      </c>
      <c r="B783" s="2" t="s">
        <v>98</v>
      </c>
      <c r="C783" s="4">
        <v>45770</v>
      </c>
      <c r="D783" s="4">
        <v>45800</v>
      </c>
      <c r="E783" s="2" t="s">
        <v>1706</v>
      </c>
      <c r="F783" s="2"/>
      <c r="G783" s="2" t="s">
        <v>21</v>
      </c>
      <c r="H783" s="2">
        <v>141.78</v>
      </c>
      <c r="I783" s="2">
        <v>18.43</v>
      </c>
      <c r="J783" s="2">
        <v>160.21</v>
      </c>
      <c r="K783" s="2">
        <v>160.21</v>
      </c>
      <c r="L783" s="2" t="s">
        <v>22</v>
      </c>
      <c r="M783" s="2" t="s">
        <v>3844</v>
      </c>
      <c r="N783" s="2" t="s">
        <v>3843</v>
      </c>
    </row>
    <row r="784" spans="1:14" ht="30" x14ac:dyDescent="0.25">
      <c r="A784" s="2" t="s">
        <v>3570</v>
      </c>
      <c r="B784" s="2" t="s">
        <v>98</v>
      </c>
      <c r="C784" s="4">
        <v>45770</v>
      </c>
      <c r="D784" s="4">
        <v>45800</v>
      </c>
      <c r="E784" s="2" t="s">
        <v>4175</v>
      </c>
      <c r="F784" s="2"/>
      <c r="G784" s="2" t="s">
        <v>21</v>
      </c>
      <c r="H784" s="2">
        <v>4222.08</v>
      </c>
      <c r="I784" s="2">
        <v>548.87</v>
      </c>
      <c r="J784" s="2">
        <v>4770.95</v>
      </c>
      <c r="K784" s="2">
        <v>4770.95</v>
      </c>
      <c r="L784" s="2" t="s">
        <v>22</v>
      </c>
      <c r="M784" s="2" t="s">
        <v>3844</v>
      </c>
      <c r="N784" s="2" t="s">
        <v>3843</v>
      </c>
    </row>
    <row r="785" spans="1:14" ht="30" x14ac:dyDescent="0.25">
      <c r="A785" s="2" t="s">
        <v>3573</v>
      </c>
      <c r="B785" s="2" t="s">
        <v>159</v>
      </c>
      <c r="C785" s="4">
        <v>45770</v>
      </c>
      <c r="D785" s="4">
        <v>45800</v>
      </c>
      <c r="E785" s="2" t="s">
        <v>4174</v>
      </c>
      <c r="F785" s="2"/>
      <c r="G785" s="2" t="s">
        <v>426</v>
      </c>
      <c r="H785" s="2">
        <v>58938.59</v>
      </c>
      <c r="I785" s="2"/>
      <c r="J785" s="2">
        <v>58938.59</v>
      </c>
      <c r="K785" s="2">
        <v>42688</v>
      </c>
      <c r="L785" s="2" t="s">
        <v>51</v>
      </c>
      <c r="M785" s="2" t="s">
        <v>3844</v>
      </c>
      <c r="N785" s="2" t="s">
        <v>3843</v>
      </c>
    </row>
    <row r="786" spans="1:14" ht="30" x14ac:dyDescent="0.25">
      <c r="A786" s="2" t="s">
        <v>2424</v>
      </c>
      <c r="B786" s="2" t="s">
        <v>4109</v>
      </c>
      <c r="C786" s="4">
        <v>45769</v>
      </c>
      <c r="D786" s="4">
        <v>45799</v>
      </c>
      <c r="E786" s="2" t="s">
        <v>2003</v>
      </c>
      <c r="F786" s="2"/>
      <c r="G786" s="2" t="s">
        <v>21</v>
      </c>
      <c r="H786" s="2">
        <v>5382.41</v>
      </c>
      <c r="I786" s="2">
        <v>699.71</v>
      </c>
      <c r="J786" s="2">
        <v>6082.12</v>
      </c>
      <c r="K786" s="2">
        <v>6082.12</v>
      </c>
      <c r="L786" s="2" t="s">
        <v>22</v>
      </c>
      <c r="M786" s="2" t="s">
        <v>3844</v>
      </c>
      <c r="N786" s="2" t="s">
        <v>3843</v>
      </c>
    </row>
    <row r="787" spans="1:14" x14ac:dyDescent="0.25">
      <c r="A787" s="2" t="s">
        <v>2555</v>
      </c>
      <c r="B787" s="2" t="s">
        <v>1773</v>
      </c>
      <c r="C787" s="4">
        <v>45769</v>
      </c>
      <c r="D787" s="4">
        <v>45799</v>
      </c>
      <c r="E787" s="2" t="s">
        <v>1771</v>
      </c>
      <c r="F787" s="2"/>
      <c r="G787" s="2" t="s">
        <v>21</v>
      </c>
      <c r="H787" s="2">
        <v>10842.06</v>
      </c>
      <c r="I787" s="2">
        <v>542.1</v>
      </c>
      <c r="J787" s="2">
        <v>11384.16</v>
      </c>
      <c r="K787" s="2">
        <v>11384.16</v>
      </c>
      <c r="L787" s="2" t="s">
        <v>22</v>
      </c>
      <c r="M787" s="2" t="s">
        <v>3844</v>
      </c>
      <c r="N787" s="2" t="s">
        <v>3843</v>
      </c>
    </row>
    <row r="788" spans="1:14" ht="45" x14ac:dyDescent="0.25">
      <c r="A788" s="2" t="s">
        <v>2621</v>
      </c>
      <c r="B788" s="2" t="s">
        <v>4173</v>
      </c>
      <c r="C788" s="4">
        <v>45768</v>
      </c>
      <c r="D788" s="4">
        <v>45798</v>
      </c>
      <c r="E788" s="2" t="s">
        <v>1659</v>
      </c>
      <c r="F788" s="2"/>
      <c r="G788" s="2" t="s">
        <v>21</v>
      </c>
      <c r="H788" s="2">
        <v>201.87</v>
      </c>
      <c r="I788" s="2">
        <v>26.24</v>
      </c>
      <c r="J788" s="2">
        <v>228.11</v>
      </c>
      <c r="K788" s="2">
        <v>228.11</v>
      </c>
      <c r="L788" s="2" t="s">
        <v>22</v>
      </c>
      <c r="M788" s="2" t="s">
        <v>3844</v>
      </c>
      <c r="N788" s="2" t="s">
        <v>3843</v>
      </c>
    </row>
    <row r="789" spans="1:14" ht="45" x14ac:dyDescent="0.25">
      <c r="A789" s="2" t="s">
        <v>2597</v>
      </c>
      <c r="B789" s="2" t="s">
        <v>1705</v>
      </c>
      <c r="C789" s="4">
        <v>45768</v>
      </c>
      <c r="D789" s="4">
        <v>45798</v>
      </c>
      <c r="E789" s="2" t="s">
        <v>1699</v>
      </c>
      <c r="F789" s="2"/>
      <c r="G789" s="2" t="s">
        <v>21</v>
      </c>
      <c r="H789" s="2">
        <v>1465.07</v>
      </c>
      <c r="I789" s="2">
        <v>190.46</v>
      </c>
      <c r="J789" s="2">
        <v>1655.53</v>
      </c>
      <c r="K789" s="2">
        <v>1655.53</v>
      </c>
      <c r="L789" s="2" t="s">
        <v>22</v>
      </c>
      <c r="M789" s="2" t="s">
        <v>3844</v>
      </c>
      <c r="N789" s="2" t="s">
        <v>3843</v>
      </c>
    </row>
    <row r="790" spans="1:14" ht="30" x14ac:dyDescent="0.25">
      <c r="A790" s="2" t="s">
        <v>2678</v>
      </c>
      <c r="B790" s="2" t="s">
        <v>35</v>
      </c>
      <c r="C790" s="4">
        <v>45768</v>
      </c>
      <c r="D790" s="4">
        <v>45798</v>
      </c>
      <c r="E790" s="2" t="s">
        <v>1562</v>
      </c>
      <c r="F790" s="2"/>
      <c r="G790" s="2" t="s">
        <v>21</v>
      </c>
      <c r="H790" s="2">
        <v>124.98</v>
      </c>
      <c r="I790" s="2">
        <v>6.25</v>
      </c>
      <c r="J790" s="2">
        <v>131.22999999999999</v>
      </c>
      <c r="K790" s="2">
        <v>131.22999999999999</v>
      </c>
      <c r="L790" s="2" t="s">
        <v>22</v>
      </c>
      <c r="M790" s="2" t="s">
        <v>3844</v>
      </c>
      <c r="N790" s="2" t="s">
        <v>3843</v>
      </c>
    </row>
    <row r="791" spans="1:14" x14ac:dyDescent="0.25">
      <c r="A791" s="2" t="s">
        <v>2675</v>
      </c>
      <c r="B791" s="2" t="s">
        <v>141</v>
      </c>
      <c r="C791" s="4">
        <v>45768</v>
      </c>
      <c r="D791" s="4">
        <v>45813</v>
      </c>
      <c r="E791" s="2" t="s">
        <v>1568</v>
      </c>
      <c r="F791" s="2"/>
      <c r="G791" s="2" t="s">
        <v>21</v>
      </c>
      <c r="H791" s="2">
        <v>470.62</v>
      </c>
      <c r="I791" s="2"/>
      <c r="J791" s="2">
        <v>470.62</v>
      </c>
      <c r="K791" s="2">
        <v>339.85</v>
      </c>
      <c r="L791" s="2" t="s">
        <v>51</v>
      </c>
      <c r="M791" s="2" t="s">
        <v>3844</v>
      </c>
      <c r="N791" s="2" t="s">
        <v>3843</v>
      </c>
    </row>
    <row r="792" spans="1:14" ht="30" x14ac:dyDescent="0.25">
      <c r="A792" s="2" t="s">
        <v>2677</v>
      </c>
      <c r="B792" s="2" t="s">
        <v>86</v>
      </c>
      <c r="C792" s="4">
        <v>45768</v>
      </c>
      <c r="D792" s="4">
        <v>45798</v>
      </c>
      <c r="E792" s="2" t="s">
        <v>1564</v>
      </c>
      <c r="F792" s="2"/>
      <c r="G792" s="2" t="s">
        <v>21</v>
      </c>
      <c r="H792" s="2">
        <v>194.97</v>
      </c>
      <c r="I792" s="2">
        <v>9.75</v>
      </c>
      <c r="J792" s="2">
        <v>204.72</v>
      </c>
      <c r="K792" s="2">
        <v>204.72</v>
      </c>
      <c r="L792" s="2" t="s">
        <v>22</v>
      </c>
      <c r="M792" s="2" t="s">
        <v>3844</v>
      </c>
      <c r="N792" s="2" t="s">
        <v>3843</v>
      </c>
    </row>
    <row r="793" spans="1:14" ht="30" x14ac:dyDescent="0.25">
      <c r="A793" s="2" t="s">
        <v>2510</v>
      </c>
      <c r="B793" s="2" t="s">
        <v>129</v>
      </c>
      <c r="C793" s="4">
        <v>45768</v>
      </c>
      <c r="D793" s="4">
        <v>45798</v>
      </c>
      <c r="E793" s="2" t="s">
        <v>1848</v>
      </c>
      <c r="F793" s="2"/>
      <c r="G793" s="2" t="s">
        <v>130</v>
      </c>
      <c r="H793" s="2">
        <v>83.09</v>
      </c>
      <c r="I793" s="2"/>
      <c r="J793" s="2">
        <v>83.09</v>
      </c>
      <c r="K793" s="2">
        <v>60</v>
      </c>
      <c r="L793" s="2" t="s">
        <v>51</v>
      </c>
      <c r="M793" s="2" t="s">
        <v>3844</v>
      </c>
      <c r="N793" s="2" t="s">
        <v>3843</v>
      </c>
    </row>
    <row r="794" spans="1:14" ht="30" x14ac:dyDescent="0.25">
      <c r="A794" s="2" t="s">
        <v>2471</v>
      </c>
      <c r="B794" s="2" t="s">
        <v>129</v>
      </c>
      <c r="C794" s="4">
        <v>45768</v>
      </c>
      <c r="D794" s="4">
        <v>45798</v>
      </c>
      <c r="E794" s="2" t="s">
        <v>1919</v>
      </c>
      <c r="F794" s="2"/>
      <c r="G794" s="2" t="s">
        <v>130</v>
      </c>
      <c r="H794" s="2">
        <v>2334.73</v>
      </c>
      <c r="I794" s="2"/>
      <c r="J794" s="2">
        <v>2334.73</v>
      </c>
      <c r="K794" s="2">
        <v>1686</v>
      </c>
      <c r="L794" s="2" t="s">
        <v>51</v>
      </c>
      <c r="M794" s="2" t="s">
        <v>3844</v>
      </c>
      <c r="N794" s="2" t="s">
        <v>3843</v>
      </c>
    </row>
    <row r="795" spans="1:14" ht="30" x14ac:dyDescent="0.25">
      <c r="A795" s="2" t="s">
        <v>2470</v>
      </c>
      <c r="B795" s="2" t="s">
        <v>129</v>
      </c>
      <c r="C795" s="4">
        <v>45768</v>
      </c>
      <c r="D795" s="4">
        <v>45798</v>
      </c>
      <c r="E795" s="2" t="s">
        <v>1919</v>
      </c>
      <c r="F795" s="2"/>
      <c r="G795" s="2" t="s">
        <v>130</v>
      </c>
      <c r="H795" s="2">
        <v>2988.35</v>
      </c>
      <c r="I795" s="2"/>
      <c r="J795" s="2">
        <v>2988.35</v>
      </c>
      <c r="K795" s="2">
        <v>2158</v>
      </c>
      <c r="L795" s="2" t="s">
        <v>51</v>
      </c>
      <c r="M795" s="2" t="s">
        <v>3844</v>
      </c>
      <c r="N795" s="2" t="s">
        <v>3843</v>
      </c>
    </row>
    <row r="796" spans="1:14" x14ac:dyDescent="0.25">
      <c r="A796" s="2" t="s">
        <v>2572</v>
      </c>
      <c r="B796" s="2" t="s">
        <v>4172</v>
      </c>
      <c r="C796" s="4">
        <v>45768</v>
      </c>
      <c r="D796" s="4">
        <v>45768</v>
      </c>
      <c r="E796" s="2" t="s">
        <v>1740</v>
      </c>
      <c r="F796" s="2"/>
      <c r="G796" s="2" t="s">
        <v>180</v>
      </c>
      <c r="H796" s="2">
        <v>19364.009999999998</v>
      </c>
      <c r="I796" s="2"/>
      <c r="J796" s="2">
        <v>19364.009999999998</v>
      </c>
      <c r="K796" s="2">
        <v>13983.47</v>
      </c>
      <c r="L796" s="2" t="s">
        <v>51</v>
      </c>
      <c r="M796" s="2" t="s">
        <v>3844</v>
      </c>
      <c r="N796" s="2" t="s">
        <v>3843</v>
      </c>
    </row>
    <row r="797" spans="1:14" ht="30" x14ac:dyDescent="0.25">
      <c r="A797" s="2" t="s">
        <v>2672</v>
      </c>
      <c r="B797" s="2" t="s">
        <v>35</v>
      </c>
      <c r="C797" s="4">
        <v>45764</v>
      </c>
      <c r="D797" s="4">
        <v>45794</v>
      </c>
      <c r="E797" s="2" t="s">
        <v>1574</v>
      </c>
      <c r="F797" s="2"/>
      <c r="G797" s="2" t="s">
        <v>21</v>
      </c>
      <c r="H797" s="2">
        <v>102.2</v>
      </c>
      <c r="I797" s="2">
        <v>5.1100000000000003</v>
      </c>
      <c r="J797" s="2">
        <v>107.31</v>
      </c>
      <c r="K797" s="2">
        <v>107.31</v>
      </c>
      <c r="L797" s="2" t="s">
        <v>22</v>
      </c>
      <c r="M797" s="2" t="s">
        <v>3844</v>
      </c>
      <c r="N797" s="2" t="s">
        <v>3843</v>
      </c>
    </row>
    <row r="798" spans="1:14" x14ac:dyDescent="0.25">
      <c r="A798" s="2" t="s">
        <v>2601</v>
      </c>
      <c r="B798" s="2" t="s">
        <v>141</v>
      </c>
      <c r="C798" s="4">
        <v>45764</v>
      </c>
      <c r="D798" s="4">
        <v>45809</v>
      </c>
      <c r="E798" s="2" t="s">
        <v>1691</v>
      </c>
      <c r="F798" s="2"/>
      <c r="G798" s="2" t="s">
        <v>21</v>
      </c>
      <c r="H798" s="2">
        <v>403.72</v>
      </c>
      <c r="I798" s="2"/>
      <c r="J798" s="2">
        <v>403.72</v>
      </c>
      <c r="K798" s="2">
        <v>290.76</v>
      </c>
      <c r="L798" s="2" t="s">
        <v>51</v>
      </c>
      <c r="M798" s="2" t="s">
        <v>3844</v>
      </c>
      <c r="N798" s="2" t="s">
        <v>3843</v>
      </c>
    </row>
    <row r="799" spans="1:14" x14ac:dyDescent="0.25">
      <c r="A799" s="2" t="s">
        <v>2634</v>
      </c>
      <c r="B799" s="2" t="s">
        <v>141</v>
      </c>
      <c r="C799" s="4">
        <v>45764</v>
      </c>
      <c r="D799" s="4">
        <v>45809</v>
      </c>
      <c r="E799" s="2" t="s">
        <v>1635</v>
      </c>
      <c r="F799" s="2"/>
      <c r="G799" s="2" t="s">
        <v>21</v>
      </c>
      <c r="H799" s="2">
        <v>44.39</v>
      </c>
      <c r="I799" s="2"/>
      <c r="J799" s="2">
        <v>44.39</v>
      </c>
      <c r="K799" s="2">
        <v>31.97</v>
      </c>
      <c r="L799" s="2" t="s">
        <v>51</v>
      </c>
      <c r="M799" s="2" t="s">
        <v>3844</v>
      </c>
      <c r="N799" s="2" t="s">
        <v>3843</v>
      </c>
    </row>
    <row r="800" spans="1:14" ht="30" x14ac:dyDescent="0.25">
      <c r="A800" s="2" t="s">
        <v>2664</v>
      </c>
      <c r="B800" s="2" t="s">
        <v>20</v>
      </c>
      <c r="C800" s="4">
        <v>45763</v>
      </c>
      <c r="D800" s="4">
        <v>45823</v>
      </c>
      <c r="E800" s="2" t="s">
        <v>1587</v>
      </c>
      <c r="F800" s="2"/>
      <c r="G800" s="2" t="s">
        <v>21</v>
      </c>
      <c r="H800" s="2">
        <v>296.56</v>
      </c>
      <c r="I800" s="2">
        <v>14.83</v>
      </c>
      <c r="J800" s="2">
        <v>311.39</v>
      </c>
      <c r="K800" s="2">
        <v>311.39</v>
      </c>
      <c r="L800" s="2" t="s">
        <v>22</v>
      </c>
      <c r="M800" s="2" t="s">
        <v>3844</v>
      </c>
      <c r="N800" s="2" t="s">
        <v>3843</v>
      </c>
    </row>
    <row r="801" spans="1:14" ht="45" x14ac:dyDescent="0.25">
      <c r="A801" s="2" t="s">
        <v>2671</v>
      </c>
      <c r="B801" s="2" t="s">
        <v>502</v>
      </c>
      <c r="C801" s="4">
        <v>45763</v>
      </c>
      <c r="D801" s="4">
        <v>45808</v>
      </c>
      <c r="E801" s="2" t="s">
        <v>1576</v>
      </c>
      <c r="F801" s="2"/>
      <c r="G801" s="2" t="s">
        <v>21</v>
      </c>
      <c r="H801" s="2">
        <v>42.52</v>
      </c>
      <c r="I801" s="2">
        <v>2.13</v>
      </c>
      <c r="J801" s="2">
        <v>44.65</v>
      </c>
      <c r="K801" s="2">
        <v>44.65</v>
      </c>
      <c r="L801" s="2" t="s">
        <v>22</v>
      </c>
      <c r="M801" s="2" t="s">
        <v>3844</v>
      </c>
      <c r="N801" s="2" t="s">
        <v>3843</v>
      </c>
    </row>
    <row r="802" spans="1:14" ht="30" x14ac:dyDescent="0.25">
      <c r="A802" s="2" t="s">
        <v>2311</v>
      </c>
      <c r="B802" s="2" t="s">
        <v>4171</v>
      </c>
      <c r="C802" s="4">
        <v>45763</v>
      </c>
      <c r="D802" s="4">
        <v>45763</v>
      </c>
      <c r="E802" s="2" t="s">
        <v>2190</v>
      </c>
      <c r="F802" s="2"/>
      <c r="G802" s="2" t="s">
        <v>426</v>
      </c>
      <c r="H802" s="2">
        <v>5564.74</v>
      </c>
      <c r="I802" s="2"/>
      <c r="J802" s="2">
        <v>5564.74</v>
      </c>
      <c r="K802" s="2">
        <v>3990</v>
      </c>
      <c r="L802" s="2" t="s">
        <v>51</v>
      </c>
      <c r="M802" s="2" t="s">
        <v>3844</v>
      </c>
      <c r="N802" s="2" t="s">
        <v>3843</v>
      </c>
    </row>
    <row r="803" spans="1:14" ht="30" x14ac:dyDescent="0.25">
      <c r="A803" s="2" t="s">
        <v>2608</v>
      </c>
      <c r="B803" s="2" t="s">
        <v>4171</v>
      </c>
      <c r="C803" s="4">
        <v>45763</v>
      </c>
      <c r="D803" s="4">
        <v>45793</v>
      </c>
      <c r="E803" s="2" t="s">
        <v>1679</v>
      </c>
      <c r="F803" s="2"/>
      <c r="G803" s="2" t="s">
        <v>180</v>
      </c>
      <c r="H803" s="2">
        <v>20271.29</v>
      </c>
      <c r="I803" s="2"/>
      <c r="J803" s="2">
        <v>20271.29</v>
      </c>
      <c r="K803" s="2">
        <v>14534.8</v>
      </c>
      <c r="L803" s="2" t="s">
        <v>51</v>
      </c>
      <c r="M803" s="2" t="s">
        <v>3844</v>
      </c>
      <c r="N803" s="2" t="s">
        <v>3843</v>
      </c>
    </row>
    <row r="804" spans="1:14" x14ac:dyDescent="0.25">
      <c r="A804" s="2" t="s">
        <v>2657</v>
      </c>
      <c r="B804" s="2" t="s">
        <v>1039</v>
      </c>
      <c r="C804" s="4">
        <v>45762</v>
      </c>
      <c r="D804" s="4">
        <v>45822</v>
      </c>
      <c r="E804" s="2" t="s">
        <v>1595</v>
      </c>
      <c r="F804" s="2"/>
      <c r="G804" s="2" t="s">
        <v>21</v>
      </c>
      <c r="H804" s="2">
        <v>743.88</v>
      </c>
      <c r="I804" s="2">
        <v>37.200000000000003</v>
      </c>
      <c r="J804" s="2">
        <v>781.08</v>
      </c>
      <c r="K804" s="2">
        <v>781.08</v>
      </c>
      <c r="L804" s="2" t="s">
        <v>22</v>
      </c>
      <c r="M804" s="2" t="s">
        <v>3844</v>
      </c>
      <c r="N804" s="2" t="s">
        <v>3843</v>
      </c>
    </row>
    <row r="805" spans="1:14" ht="30" x14ac:dyDescent="0.25">
      <c r="A805" s="2" t="s">
        <v>2428</v>
      </c>
      <c r="B805" s="2" t="s">
        <v>20</v>
      </c>
      <c r="C805" s="4">
        <v>45762</v>
      </c>
      <c r="D805" s="4">
        <v>45822</v>
      </c>
      <c r="E805" s="2" t="s">
        <v>1995</v>
      </c>
      <c r="F805" s="2"/>
      <c r="G805" s="2" t="s">
        <v>180</v>
      </c>
      <c r="H805" s="2">
        <v>2429.21</v>
      </c>
      <c r="I805" s="2">
        <v>121.46</v>
      </c>
      <c r="J805" s="2">
        <v>2550.67</v>
      </c>
      <c r="K805" s="2">
        <v>2550.67</v>
      </c>
      <c r="L805" s="2" t="s">
        <v>22</v>
      </c>
      <c r="M805" s="2" t="s">
        <v>3844</v>
      </c>
      <c r="N805" s="2" t="s">
        <v>3843</v>
      </c>
    </row>
    <row r="806" spans="1:14" x14ac:dyDescent="0.25">
      <c r="A806" s="2" t="s">
        <v>2668</v>
      </c>
      <c r="B806" s="2" t="s">
        <v>146</v>
      </c>
      <c r="C806" s="4">
        <v>45762</v>
      </c>
      <c r="D806" s="4">
        <v>45792</v>
      </c>
      <c r="E806" s="2" t="s">
        <v>1583</v>
      </c>
      <c r="F806" s="2"/>
      <c r="G806" s="2" t="s">
        <v>21</v>
      </c>
      <c r="H806" s="2">
        <v>92.11</v>
      </c>
      <c r="I806" s="2">
        <v>4.6100000000000003</v>
      </c>
      <c r="J806" s="2">
        <v>96.72</v>
      </c>
      <c r="K806" s="2">
        <v>96.72</v>
      </c>
      <c r="L806" s="2" t="s">
        <v>22</v>
      </c>
      <c r="M806" s="2" t="s">
        <v>3844</v>
      </c>
      <c r="N806" s="2" t="s">
        <v>3843</v>
      </c>
    </row>
    <row r="807" spans="1:14" x14ac:dyDescent="0.25">
      <c r="A807" s="2" t="s">
        <v>2653</v>
      </c>
      <c r="B807" s="2" t="s">
        <v>146</v>
      </c>
      <c r="C807" s="4">
        <v>45762</v>
      </c>
      <c r="D807" s="4">
        <v>45792</v>
      </c>
      <c r="E807" s="2" t="s">
        <v>1603</v>
      </c>
      <c r="F807" s="2"/>
      <c r="G807" s="2" t="s">
        <v>21</v>
      </c>
      <c r="H807" s="2">
        <v>198.69</v>
      </c>
      <c r="I807" s="2">
        <v>9.94</v>
      </c>
      <c r="J807" s="2">
        <v>208.63</v>
      </c>
      <c r="K807" s="2">
        <v>208.63</v>
      </c>
      <c r="L807" s="2" t="s">
        <v>22</v>
      </c>
      <c r="M807" s="2" t="s">
        <v>3844</v>
      </c>
      <c r="N807" s="2" t="s">
        <v>3843</v>
      </c>
    </row>
    <row r="808" spans="1:14" x14ac:dyDescent="0.25">
      <c r="A808" s="2" t="s">
        <v>2652</v>
      </c>
      <c r="B808" s="2" t="s">
        <v>313</v>
      </c>
      <c r="C808" s="4">
        <v>45762</v>
      </c>
      <c r="D808" s="4">
        <v>45792</v>
      </c>
      <c r="E808" s="2" t="s">
        <v>1605</v>
      </c>
      <c r="F808" s="2"/>
      <c r="G808" s="2" t="s">
        <v>1132</v>
      </c>
      <c r="H808" s="2">
        <v>4606.49</v>
      </c>
      <c r="I808" s="2"/>
      <c r="J808" s="2">
        <v>4606.49</v>
      </c>
      <c r="K808" s="2">
        <v>3312.44</v>
      </c>
      <c r="L808" s="2" t="s">
        <v>51</v>
      </c>
      <c r="M808" s="2" t="s">
        <v>3844</v>
      </c>
      <c r="N808" s="2" t="s">
        <v>3843</v>
      </c>
    </row>
    <row r="809" spans="1:14" x14ac:dyDescent="0.25">
      <c r="A809" s="2" t="s">
        <v>2651</v>
      </c>
      <c r="B809" s="2" t="s">
        <v>869</v>
      </c>
      <c r="C809" s="4">
        <v>45762</v>
      </c>
      <c r="D809" s="4">
        <v>45792</v>
      </c>
      <c r="E809" s="2" t="s">
        <v>1608</v>
      </c>
      <c r="F809" s="2"/>
      <c r="G809" s="2" t="s">
        <v>180</v>
      </c>
      <c r="H809" s="2">
        <v>6636.55</v>
      </c>
      <c r="I809" s="2"/>
      <c r="J809" s="2">
        <v>6636.55</v>
      </c>
      <c r="K809" s="2">
        <v>4776.59</v>
      </c>
      <c r="L809" s="2" t="s">
        <v>51</v>
      </c>
      <c r="M809" s="2" t="s">
        <v>3844</v>
      </c>
      <c r="N809" s="2" t="s">
        <v>3843</v>
      </c>
    </row>
    <row r="810" spans="1:14" ht="30" x14ac:dyDescent="0.25">
      <c r="A810" s="2" t="s">
        <v>2650</v>
      </c>
      <c r="B810" s="2" t="s">
        <v>290</v>
      </c>
      <c r="C810" s="4">
        <v>45761</v>
      </c>
      <c r="D810" s="4">
        <v>45821</v>
      </c>
      <c r="E810" s="2" t="s">
        <v>1610</v>
      </c>
      <c r="F810" s="2"/>
      <c r="G810" s="2" t="s">
        <v>21</v>
      </c>
      <c r="H810" s="2">
        <v>939.78</v>
      </c>
      <c r="I810" s="2">
        <v>46.99</v>
      </c>
      <c r="J810" s="2">
        <v>986.77</v>
      </c>
      <c r="K810" s="2">
        <v>986.77</v>
      </c>
      <c r="L810" s="2" t="s">
        <v>22</v>
      </c>
      <c r="M810" s="2" t="s">
        <v>3844</v>
      </c>
      <c r="N810" s="2" t="s">
        <v>3843</v>
      </c>
    </row>
    <row r="811" spans="1:14" ht="30" x14ac:dyDescent="0.25">
      <c r="A811" s="2" t="s">
        <v>2396</v>
      </c>
      <c r="B811" s="2" t="s">
        <v>129</v>
      </c>
      <c r="C811" s="4">
        <v>45761</v>
      </c>
      <c r="D811" s="4">
        <v>45791</v>
      </c>
      <c r="E811" s="2" t="s">
        <v>2046</v>
      </c>
      <c r="F811" s="2"/>
      <c r="G811" s="2" t="s">
        <v>130</v>
      </c>
      <c r="H811" s="2">
        <v>5089.0600000000004</v>
      </c>
      <c r="I811" s="2"/>
      <c r="J811" s="2">
        <v>5089.0600000000004</v>
      </c>
      <c r="K811" s="2">
        <v>3669</v>
      </c>
      <c r="L811" s="2" t="s">
        <v>51</v>
      </c>
      <c r="M811" s="2" t="s">
        <v>3844</v>
      </c>
      <c r="N811" s="2" t="s">
        <v>3843</v>
      </c>
    </row>
    <row r="812" spans="1:14" ht="30" x14ac:dyDescent="0.25">
      <c r="A812" s="2" t="s">
        <v>2472</v>
      </c>
      <c r="B812" s="2" t="s">
        <v>129</v>
      </c>
      <c r="C812" s="4">
        <v>45761</v>
      </c>
      <c r="D812" s="4">
        <v>45791</v>
      </c>
      <c r="E812" s="2" t="s">
        <v>1917</v>
      </c>
      <c r="F812" s="2"/>
      <c r="G812" s="2" t="s">
        <v>130</v>
      </c>
      <c r="H812" s="2">
        <v>110.96</v>
      </c>
      <c r="I812" s="2"/>
      <c r="J812" s="2">
        <v>110.96</v>
      </c>
      <c r="K812" s="2">
        <v>80</v>
      </c>
      <c r="L812" s="2" t="s">
        <v>51</v>
      </c>
      <c r="M812" s="2" t="s">
        <v>3844</v>
      </c>
      <c r="N812" s="2" t="s">
        <v>3843</v>
      </c>
    </row>
    <row r="813" spans="1:14" ht="30" x14ac:dyDescent="0.25">
      <c r="A813" s="2" t="s">
        <v>2527</v>
      </c>
      <c r="B813" s="2" t="s">
        <v>129</v>
      </c>
      <c r="C813" s="4">
        <v>45761</v>
      </c>
      <c r="D813" s="4">
        <v>45791</v>
      </c>
      <c r="E813" s="2" t="s">
        <v>1821</v>
      </c>
      <c r="F813" s="2"/>
      <c r="G813" s="2" t="s">
        <v>130</v>
      </c>
      <c r="H813" s="2">
        <v>191.4</v>
      </c>
      <c r="I813" s="2"/>
      <c r="J813" s="2">
        <v>191.4</v>
      </c>
      <c r="K813" s="2">
        <v>138</v>
      </c>
      <c r="L813" s="2" t="s">
        <v>51</v>
      </c>
      <c r="M813" s="2" t="s">
        <v>3844</v>
      </c>
      <c r="N813" s="2" t="s">
        <v>3843</v>
      </c>
    </row>
    <row r="814" spans="1:14" ht="30" x14ac:dyDescent="0.25">
      <c r="A814" s="2" t="s">
        <v>2359</v>
      </c>
      <c r="B814" s="2" t="s">
        <v>129</v>
      </c>
      <c r="C814" s="4">
        <v>45761</v>
      </c>
      <c r="D814" s="4">
        <v>45791</v>
      </c>
      <c r="E814" s="2" t="s">
        <v>2102</v>
      </c>
      <c r="F814" s="2"/>
      <c r="G814" s="2" t="s">
        <v>130</v>
      </c>
      <c r="H814" s="2">
        <v>638.04</v>
      </c>
      <c r="I814" s="2"/>
      <c r="J814" s="2">
        <v>638.04</v>
      </c>
      <c r="K814" s="2">
        <v>460</v>
      </c>
      <c r="L814" s="2" t="s">
        <v>51</v>
      </c>
      <c r="M814" s="2" t="s">
        <v>3844</v>
      </c>
      <c r="N814" s="2" t="s">
        <v>3843</v>
      </c>
    </row>
    <row r="815" spans="1:14" ht="30" x14ac:dyDescent="0.25">
      <c r="A815" s="2" t="s">
        <v>2434</v>
      </c>
      <c r="B815" s="2" t="s">
        <v>129</v>
      </c>
      <c r="C815" s="4">
        <v>45761</v>
      </c>
      <c r="D815" s="4">
        <v>45791</v>
      </c>
      <c r="E815" s="2" t="s">
        <v>1983</v>
      </c>
      <c r="F815" s="2"/>
      <c r="G815" s="2" t="s">
        <v>130</v>
      </c>
      <c r="H815" s="2">
        <v>7900.59</v>
      </c>
      <c r="I815" s="2"/>
      <c r="J815" s="2">
        <v>7900.59</v>
      </c>
      <c r="K815" s="2">
        <v>5696</v>
      </c>
      <c r="L815" s="2" t="s">
        <v>51</v>
      </c>
      <c r="M815" s="2" t="s">
        <v>3844</v>
      </c>
      <c r="N815" s="2" t="s">
        <v>3843</v>
      </c>
    </row>
    <row r="816" spans="1:14" x14ac:dyDescent="0.25">
      <c r="A816" s="2" t="s">
        <v>2645</v>
      </c>
      <c r="B816" s="2" t="s">
        <v>149</v>
      </c>
      <c r="C816" s="4">
        <v>45761</v>
      </c>
      <c r="D816" s="4">
        <v>45791</v>
      </c>
      <c r="E816" s="2" t="s">
        <v>1621</v>
      </c>
      <c r="F816" s="2"/>
      <c r="G816" s="2" t="s">
        <v>21</v>
      </c>
      <c r="H816" s="2">
        <v>8469.59</v>
      </c>
      <c r="I816" s="2"/>
      <c r="J816" s="2">
        <v>8469.59</v>
      </c>
      <c r="K816" s="2">
        <v>6106.22</v>
      </c>
      <c r="L816" s="2" t="s">
        <v>51</v>
      </c>
      <c r="M816" s="2" t="s">
        <v>3844</v>
      </c>
      <c r="N816" s="2" t="s">
        <v>3843</v>
      </c>
    </row>
    <row r="817" spans="1:14" x14ac:dyDescent="0.25">
      <c r="A817" s="2" t="s">
        <v>2384</v>
      </c>
      <c r="B817" s="2" t="s">
        <v>714</v>
      </c>
      <c r="C817" s="4">
        <v>45761</v>
      </c>
      <c r="D817" s="4">
        <v>45791</v>
      </c>
      <c r="E817" s="2" t="s">
        <v>2064</v>
      </c>
      <c r="F817" s="2"/>
      <c r="G817" s="2" t="s">
        <v>21</v>
      </c>
      <c r="H817" s="2">
        <v>10072.64</v>
      </c>
      <c r="I817" s="2"/>
      <c r="J817" s="2">
        <v>10072.64</v>
      </c>
      <c r="K817" s="2">
        <v>7261.95</v>
      </c>
      <c r="L817" s="2" t="s">
        <v>51</v>
      </c>
      <c r="M817" s="2" t="s">
        <v>3844</v>
      </c>
      <c r="N817" s="2" t="s">
        <v>3843</v>
      </c>
    </row>
    <row r="818" spans="1:14" x14ac:dyDescent="0.25">
      <c r="A818" s="2" t="s">
        <v>3581</v>
      </c>
      <c r="B818" s="2" t="s">
        <v>714</v>
      </c>
      <c r="C818" s="4">
        <v>45761</v>
      </c>
      <c r="D818" s="4">
        <v>45791</v>
      </c>
      <c r="E818" s="2" t="s">
        <v>3996</v>
      </c>
      <c r="F818" s="2"/>
      <c r="G818" s="2" t="s">
        <v>21</v>
      </c>
      <c r="H818" s="2">
        <v>9958.6200000000008</v>
      </c>
      <c r="I818" s="2"/>
      <c r="J818" s="2">
        <v>9958.6200000000008</v>
      </c>
      <c r="K818" s="2">
        <v>7179.75</v>
      </c>
      <c r="L818" s="2" t="s">
        <v>51</v>
      </c>
      <c r="M818" s="2" t="s">
        <v>3844</v>
      </c>
      <c r="N818" s="2" t="s">
        <v>3843</v>
      </c>
    </row>
    <row r="819" spans="1:14" x14ac:dyDescent="0.25">
      <c r="A819" s="2" t="s">
        <v>3584</v>
      </c>
      <c r="B819" s="2" t="s">
        <v>714</v>
      </c>
      <c r="C819" s="4">
        <v>45761</v>
      </c>
      <c r="D819" s="4">
        <v>45791</v>
      </c>
      <c r="E819" s="2" t="s">
        <v>4155</v>
      </c>
      <c r="F819" s="2"/>
      <c r="G819" s="2" t="s">
        <v>21</v>
      </c>
      <c r="H819" s="2">
        <v>39834.49</v>
      </c>
      <c r="I819" s="2"/>
      <c r="J819" s="2">
        <v>39834.49</v>
      </c>
      <c r="K819" s="2">
        <v>28719</v>
      </c>
      <c r="L819" s="2" t="s">
        <v>51</v>
      </c>
      <c r="M819" s="2" t="s">
        <v>3844</v>
      </c>
      <c r="N819" s="2" t="s">
        <v>3843</v>
      </c>
    </row>
    <row r="820" spans="1:14" x14ac:dyDescent="0.25">
      <c r="A820" s="2" t="s">
        <v>2603</v>
      </c>
      <c r="B820" s="2" t="s">
        <v>61</v>
      </c>
      <c r="C820" s="4">
        <v>45761</v>
      </c>
      <c r="D820" s="4">
        <v>45791</v>
      </c>
      <c r="E820" s="2" t="s">
        <v>1687</v>
      </c>
      <c r="F820" s="2"/>
      <c r="G820" s="2" t="s">
        <v>21</v>
      </c>
      <c r="H820" s="2">
        <v>3539.71</v>
      </c>
      <c r="I820" s="2"/>
      <c r="J820" s="2">
        <v>3539.71</v>
      </c>
      <c r="K820" s="2">
        <v>2551.98</v>
      </c>
      <c r="L820" s="2" t="s">
        <v>51</v>
      </c>
      <c r="M820" s="2" t="s">
        <v>3844</v>
      </c>
      <c r="N820" s="2" t="s">
        <v>3843</v>
      </c>
    </row>
    <row r="821" spans="1:14" x14ac:dyDescent="0.25">
      <c r="A821" s="2" t="s">
        <v>2367</v>
      </c>
      <c r="B821" s="2" t="s">
        <v>61</v>
      </c>
      <c r="C821" s="4">
        <v>45761</v>
      </c>
      <c r="D821" s="4">
        <v>45791</v>
      </c>
      <c r="E821" s="2" t="s">
        <v>2088</v>
      </c>
      <c r="F821" s="2"/>
      <c r="G821" s="2" t="s">
        <v>21</v>
      </c>
      <c r="H821" s="2">
        <v>3539.71</v>
      </c>
      <c r="I821" s="2"/>
      <c r="J821" s="2">
        <v>3539.71</v>
      </c>
      <c r="K821" s="2">
        <v>2551.98</v>
      </c>
      <c r="L821" s="2" t="s">
        <v>51</v>
      </c>
      <c r="M821" s="2" t="s">
        <v>3844</v>
      </c>
      <c r="N821" s="2" t="s">
        <v>3843</v>
      </c>
    </row>
    <row r="822" spans="1:14" ht="45" x14ac:dyDescent="0.25">
      <c r="A822" s="2" t="s">
        <v>2647</v>
      </c>
      <c r="B822" s="2" t="s">
        <v>4170</v>
      </c>
      <c r="C822" s="4">
        <v>45758</v>
      </c>
      <c r="D822" s="4">
        <v>45788</v>
      </c>
      <c r="E822" s="2" t="s">
        <v>1616</v>
      </c>
      <c r="F822" s="2"/>
      <c r="G822" s="2" t="s">
        <v>21</v>
      </c>
      <c r="H822" s="2">
        <v>146.22</v>
      </c>
      <c r="I822" s="2">
        <v>7.31</v>
      </c>
      <c r="J822" s="2">
        <v>153.53</v>
      </c>
      <c r="K822" s="2">
        <v>153.53</v>
      </c>
      <c r="L822" s="2" t="s">
        <v>22</v>
      </c>
      <c r="M822" s="2" t="s">
        <v>3844</v>
      </c>
      <c r="N822" s="2" t="s">
        <v>3843</v>
      </c>
    </row>
    <row r="823" spans="1:14" ht="30" x14ac:dyDescent="0.25">
      <c r="A823" s="2" t="s">
        <v>2474</v>
      </c>
      <c r="B823" s="2" t="s">
        <v>4088</v>
      </c>
      <c r="C823" s="4">
        <v>45758</v>
      </c>
      <c r="D823" s="4">
        <v>45788</v>
      </c>
      <c r="E823" s="2" t="s">
        <v>1913</v>
      </c>
      <c r="F823" s="2"/>
      <c r="G823" s="2" t="s">
        <v>21</v>
      </c>
      <c r="H823" s="2">
        <v>6412.07</v>
      </c>
      <c r="I823" s="2"/>
      <c r="J823" s="2">
        <v>6412.07</v>
      </c>
      <c r="K823" s="2">
        <v>4518.59</v>
      </c>
      <c r="L823" s="2" t="s">
        <v>51</v>
      </c>
      <c r="M823" s="2" t="s">
        <v>3844</v>
      </c>
      <c r="N823" s="2" t="s">
        <v>3843</v>
      </c>
    </row>
    <row r="824" spans="1:14" ht="30" x14ac:dyDescent="0.25">
      <c r="A824" s="2" t="s">
        <v>2540</v>
      </c>
      <c r="B824" s="2" t="s">
        <v>4088</v>
      </c>
      <c r="C824" s="4">
        <v>45758</v>
      </c>
      <c r="D824" s="4">
        <v>45788</v>
      </c>
      <c r="E824" s="2" t="s">
        <v>1802</v>
      </c>
      <c r="F824" s="2"/>
      <c r="G824" s="2" t="s">
        <v>21</v>
      </c>
      <c r="H824" s="2">
        <v>1854.02</v>
      </c>
      <c r="I824" s="2"/>
      <c r="J824" s="2">
        <v>1854.02</v>
      </c>
      <c r="K824" s="2">
        <v>1306.53</v>
      </c>
      <c r="L824" s="2" t="s">
        <v>51</v>
      </c>
      <c r="M824" s="2" t="s">
        <v>3844</v>
      </c>
      <c r="N824" s="2" t="s">
        <v>3843</v>
      </c>
    </row>
    <row r="825" spans="1:14" x14ac:dyDescent="0.25">
      <c r="A825" s="2" t="s">
        <v>3587</v>
      </c>
      <c r="B825" s="2" t="s">
        <v>901</v>
      </c>
      <c r="C825" s="4">
        <v>45758</v>
      </c>
      <c r="D825" s="4">
        <v>45788</v>
      </c>
      <c r="E825" s="2" t="s">
        <v>4169</v>
      </c>
      <c r="F825" s="2"/>
      <c r="G825" s="2" t="s">
        <v>180</v>
      </c>
      <c r="H825" s="2">
        <v>279087.40000000002</v>
      </c>
      <c r="I825" s="2"/>
      <c r="J825" s="2">
        <v>279087.40000000002</v>
      </c>
      <c r="K825" s="2">
        <v>196673.09</v>
      </c>
      <c r="L825" s="2" t="s">
        <v>51</v>
      </c>
      <c r="M825" s="2" t="s">
        <v>3844</v>
      </c>
      <c r="N825" s="2" t="s">
        <v>3843</v>
      </c>
    </row>
    <row r="826" spans="1:14" ht="30" x14ac:dyDescent="0.25">
      <c r="A826" s="2" t="s">
        <v>2633</v>
      </c>
      <c r="B826" s="2" t="s">
        <v>20</v>
      </c>
      <c r="C826" s="4">
        <v>45757</v>
      </c>
      <c r="D826" s="4">
        <v>45817</v>
      </c>
      <c r="E826" s="2" t="s">
        <v>1637</v>
      </c>
      <c r="F826" s="2"/>
      <c r="G826" s="2" t="s">
        <v>21</v>
      </c>
      <c r="H826" s="2">
        <v>625.44000000000005</v>
      </c>
      <c r="I826" s="2">
        <v>31.27</v>
      </c>
      <c r="J826" s="2">
        <v>656.71</v>
      </c>
      <c r="K826" s="2">
        <v>656.71</v>
      </c>
      <c r="L826" s="2" t="s">
        <v>22</v>
      </c>
      <c r="M826" s="2" t="s">
        <v>3844</v>
      </c>
      <c r="N826" s="2" t="s">
        <v>3843</v>
      </c>
    </row>
    <row r="827" spans="1:14" ht="30" x14ac:dyDescent="0.25">
      <c r="A827" s="2" t="s">
        <v>2628</v>
      </c>
      <c r="B827" s="2" t="s">
        <v>98</v>
      </c>
      <c r="C827" s="4">
        <v>45757</v>
      </c>
      <c r="D827" s="4">
        <v>45787</v>
      </c>
      <c r="E827" s="2" t="s">
        <v>1648</v>
      </c>
      <c r="F827" s="2"/>
      <c r="G827" s="2" t="s">
        <v>21</v>
      </c>
      <c r="H827" s="2">
        <v>3181.34</v>
      </c>
      <c r="I827" s="2">
        <v>413.58</v>
      </c>
      <c r="J827" s="2">
        <v>3594.92</v>
      </c>
      <c r="K827" s="2">
        <v>3594.92</v>
      </c>
      <c r="L827" s="2" t="s">
        <v>22</v>
      </c>
      <c r="M827" s="2" t="s">
        <v>3844</v>
      </c>
      <c r="N827" s="2" t="s">
        <v>3843</v>
      </c>
    </row>
    <row r="828" spans="1:14" ht="30" x14ac:dyDescent="0.25">
      <c r="A828" s="2" t="s">
        <v>2412</v>
      </c>
      <c r="B828" s="2" t="s">
        <v>98</v>
      </c>
      <c r="C828" s="4">
        <v>45757</v>
      </c>
      <c r="D828" s="4">
        <v>45787</v>
      </c>
      <c r="E828" s="2" t="s">
        <v>2021</v>
      </c>
      <c r="F828" s="2"/>
      <c r="G828" s="2" t="s">
        <v>1132</v>
      </c>
      <c r="H828" s="2">
        <v>12249.7</v>
      </c>
      <c r="I828" s="2">
        <v>1592.46</v>
      </c>
      <c r="J828" s="2">
        <v>13842.16</v>
      </c>
      <c r="K828" s="2">
        <v>13842.16</v>
      </c>
      <c r="L828" s="2" t="s">
        <v>22</v>
      </c>
      <c r="M828" s="2" t="s">
        <v>3844</v>
      </c>
      <c r="N828" s="2" t="s">
        <v>3843</v>
      </c>
    </row>
    <row r="829" spans="1:14" ht="30" x14ac:dyDescent="0.25">
      <c r="A829" s="2" t="s">
        <v>2643</v>
      </c>
      <c r="B829" s="2" t="s">
        <v>26</v>
      </c>
      <c r="C829" s="4">
        <v>45757</v>
      </c>
      <c r="D829" s="4">
        <v>45817</v>
      </c>
      <c r="E829" s="2" t="s">
        <v>1625</v>
      </c>
      <c r="F829" s="2"/>
      <c r="G829" s="2" t="s">
        <v>21</v>
      </c>
      <c r="H829" s="2">
        <v>26.73</v>
      </c>
      <c r="I829" s="2">
        <v>1.34</v>
      </c>
      <c r="J829" s="2">
        <v>28.07</v>
      </c>
      <c r="K829" s="2">
        <v>28.07</v>
      </c>
      <c r="L829" s="2" t="s">
        <v>22</v>
      </c>
      <c r="M829" s="2" t="s">
        <v>3844</v>
      </c>
      <c r="N829" s="2" t="s">
        <v>3843</v>
      </c>
    </row>
    <row r="830" spans="1:14" x14ac:dyDescent="0.25">
      <c r="A830" s="2" t="s">
        <v>2646</v>
      </c>
      <c r="B830" s="2" t="s">
        <v>229</v>
      </c>
      <c r="C830" s="4">
        <v>45757</v>
      </c>
      <c r="D830" s="4">
        <v>45787</v>
      </c>
      <c r="E830" s="2" t="s">
        <v>1619</v>
      </c>
      <c r="F830" s="2"/>
      <c r="G830" s="2" t="s">
        <v>21</v>
      </c>
      <c r="H830" s="2">
        <v>798.97</v>
      </c>
      <c r="I830" s="2">
        <v>39.950000000000003</v>
      </c>
      <c r="J830" s="2">
        <v>838.92</v>
      </c>
      <c r="K830" s="2">
        <v>838.92</v>
      </c>
      <c r="L830" s="2" t="s">
        <v>22</v>
      </c>
      <c r="M830" s="2" t="s">
        <v>3844</v>
      </c>
      <c r="N830" s="2" t="s">
        <v>3843</v>
      </c>
    </row>
    <row r="831" spans="1:14" ht="30" x14ac:dyDescent="0.25">
      <c r="A831" s="2" t="s">
        <v>2499</v>
      </c>
      <c r="B831" s="2" t="s">
        <v>98</v>
      </c>
      <c r="C831" s="4">
        <v>45757</v>
      </c>
      <c r="D831" s="4">
        <v>45787</v>
      </c>
      <c r="E831" s="2" t="s">
        <v>1863</v>
      </c>
      <c r="F831" s="2"/>
      <c r="G831" s="2" t="s">
        <v>21</v>
      </c>
      <c r="H831" s="2">
        <v>1214.6099999999999</v>
      </c>
      <c r="I831" s="2">
        <v>157.9</v>
      </c>
      <c r="J831" s="2">
        <v>1372.51</v>
      </c>
      <c r="K831" s="2">
        <v>1372.51</v>
      </c>
      <c r="L831" s="2" t="s">
        <v>22</v>
      </c>
      <c r="M831" s="2" t="s">
        <v>3844</v>
      </c>
      <c r="N831" s="2" t="s">
        <v>3843</v>
      </c>
    </row>
    <row r="832" spans="1:14" ht="30" x14ac:dyDescent="0.25">
      <c r="A832" s="2" t="s">
        <v>2538</v>
      </c>
      <c r="B832" s="2" t="s">
        <v>98</v>
      </c>
      <c r="C832" s="4">
        <v>45757</v>
      </c>
      <c r="D832" s="4">
        <v>45787</v>
      </c>
      <c r="E832" s="2" t="s">
        <v>1804</v>
      </c>
      <c r="F832" s="2"/>
      <c r="G832" s="2" t="s">
        <v>21</v>
      </c>
      <c r="H832" s="2">
        <v>910.22</v>
      </c>
      <c r="I832" s="2">
        <v>118.33</v>
      </c>
      <c r="J832" s="2">
        <v>1028.55</v>
      </c>
      <c r="K832" s="2">
        <v>1028.55</v>
      </c>
      <c r="L832" s="2" t="s">
        <v>22</v>
      </c>
      <c r="M832" s="2" t="s">
        <v>3844</v>
      </c>
      <c r="N832" s="2" t="s">
        <v>3843</v>
      </c>
    </row>
    <row r="833" spans="1:14" x14ac:dyDescent="0.25">
      <c r="A833" s="2" t="s">
        <v>2641</v>
      </c>
      <c r="B833" s="2" t="s">
        <v>229</v>
      </c>
      <c r="C833" s="4">
        <v>45757</v>
      </c>
      <c r="D833" s="4">
        <v>45787</v>
      </c>
      <c r="E833" s="2" t="s">
        <v>1627</v>
      </c>
      <c r="F833" s="2"/>
      <c r="G833" s="2" t="s">
        <v>21</v>
      </c>
      <c r="H833" s="2">
        <v>1048.5899999999999</v>
      </c>
      <c r="I833" s="2">
        <v>52.43</v>
      </c>
      <c r="J833" s="2">
        <v>1101.02</v>
      </c>
      <c r="K833" s="2">
        <v>1101.02</v>
      </c>
      <c r="L833" s="2" t="s">
        <v>22</v>
      </c>
      <c r="M833" s="2" t="s">
        <v>3844</v>
      </c>
      <c r="N833" s="2" t="s">
        <v>3843</v>
      </c>
    </row>
    <row r="834" spans="1:14" ht="30" x14ac:dyDescent="0.25">
      <c r="A834" s="2" t="s">
        <v>2632</v>
      </c>
      <c r="B834" s="2" t="s">
        <v>20</v>
      </c>
      <c r="C834" s="4">
        <v>45757</v>
      </c>
      <c r="D834" s="4">
        <v>45817</v>
      </c>
      <c r="E834" s="2" t="s">
        <v>1639</v>
      </c>
      <c r="F834" s="2"/>
      <c r="G834" s="2" t="s">
        <v>21</v>
      </c>
      <c r="H834" s="2">
        <v>1796.44</v>
      </c>
      <c r="I834" s="2"/>
      <c r="J834" s="2">
        <v>1796.44</v>
      </c>
      <c r="K834" s="2">
        <v>1796.44</v>
      </c>
      <c r="L834" s="2" t="s">
        <v>22</v>
      </c>
      <c r="M834" s="2" t="s">
        <v>3844</v>
      </c>
      <c r="N834" s="2" t="s">
        <v>3843</v>
      </c>
    </row>
    <row r="835" spans="1:14" ht="45" x14ac:dyDescent="0.25">
      <c r="A835" s="2" t="s">
        <v>2640</v>
      </c>
      <c r="B835" s="2" t="s">
        <v>502</v>
      </c>
      <c r="C835" s="4">
        <v>45757</v>
      </c>
      <c r="D835" s="4">
        <v>45802</v>
      </c>
      <c r="E835" s="2" t="s">
        <v>1629</v>
      </c>
      <c r="F835" s="2"/>
      <c r="G835" s="2" t="s">
        <v>21</v>
      </c>
      <c r="H835" s="2">
        <v>1404.51</v>
      </c>
      <c r="I835" s="2"/>
      <c r="J835" s="2">
        <v>1404.51</v>
      </c>
      <c r="K835" s="2">
        <v>1404.51</v>
      </c>
      <c r="L835" s="2" t="s">
        <v>22</v>
      </c>
      <c r="M835" s="2" t="s">
        <v>3844</v>
      </c>
      <c r="N835" s="2" t="s">
        <v>3843</v>
      </c>
    </row>
    <row r="836" spans="1:14" x14ac:dyDescent="0.25">
      <c r="A836" s="2" t="s">
        <v>2507</v>
      </c>
      <c r="B836" s="2" t="s">
        <v>581</v>
      </c>
      <c r="C836" s="4">
        <v>45757</v>
      </c>
      <c r="D836" s="4">
        <v>45787</v>
      </c>
      <c r="E836" s="2" t="s">
        <v>1853</v>
      </c>
      <c r="F836" s="2"/>
      <c r="G836" s="2" t="s">
        <v>21</v>
      </c>
      <c r="H836" s="2">
        <v>1315.43</v>
      </c>
      <c r="I836" s="2"/>
      <c r="J836" s="2">
        <v>1315.43</v>
      </c>
      <c r="K836" s="2">
        <v>926.23</v>
      </c>
      <c r="L836" s="2" t="s">
        <v>51</v>
      </c>
      <c r="M836" s="2" t="s">
        <v>3844</v>
      </c>
      <c r="N836" s="2" t="s">
        <v>3843</v>
      </c>
    </row>
    <row r="837" spans="1:14" x14ac:dyDescent="0.25">
      <c r="A837" s="2" t="s">
        <v>2609</v>
      </c>
      <c r="B837" s="2" t="s">
        <v>901</v>
      </c>
      <c r="C837" s="4">
        <v>45757</v>
      </c>
      <c r="D837" s="4">
        <v>45787</v>
      </c>
      <c r="E837" s="2" t="s">
        <v>1677</v>
      </c>
      <c r="F837" s="2"/>
      <c r="G837" s="2" t="s">
        <v>180</v>
      </c>
      <c r="H837" s="2">
        <v>6902.21</v>
      </c>
      <c r="I837" s="2"/>
      <c r="J837" s="2">
        <v>6902.21</v>
      </c>
      <c r="K837" s="2">
        <v>4860</v>
      </c>
      <c r="L837" s="2" t="s">
        <v>51</v>
      </c>
      <c r="M837" s="2" t="s">
        <v>3844</v>
      </c>
      <c r="N837" s="2" t="s">
        <v>3843</v>
      </c>
    </row>
    <row r="838" spans="1:14" ht="60" x14ac:dyDescent="0.25">
      <c r="A838" s="2" t="s">
        <v>3591</v>
      </c>
      <c r="B838" s="2" t="s">
        <v>4095</v>
      </c>
      <c r="C838" s="4">
        <v>45757</v>
      </c>
      <c r="D838" s="4">
        <v>45757</v>
      </c>
      <c r="E838" s="2" t="s">
        <v>4168</v>
      </c>
      <c r="F838" s="2"/>
      <c r="G838" s="2" t="s">
        <v>180</v>
      </c>
      <c r="H838" s="2">
        <v>12053.31</v>
      </c>
      <c r="I838" s="2"/>
      <c r="J838" s="2">
        <v>12053.31</v>
      </c>
      <c r="K838" s="2">
        <v>8487</v>
      </c>
      <c r="L838" s="2" t="s">
        <v>51</v>
      </c>
      <c r="M838" s="2" t="s">
        <v>3844</v>
      </c>
      <c r="N838" s="2" t="s">
        <v>3843</v>
      </c>
    </row>
    <row r="839" spans="1:14" ht="30" x14ac:dyDescent="0.25">
      <c r="A839" s="2" t="s">
        <v>2630</v>
      </c>
      <c r="B839" s="2" t="s">
        <v>1645</v>
      </c>
      <c r="C839" s="4">
        <v>45756</v>
      </c>
      <c r="D839" s="4">
        <v>45786</v>
      </c>
      <c r="E839" s="2" t="s">
        <v>1643</v>
      </c>
      <c r="F839" s="2"/>
      <c r="G839" s="2" t="s">
        <v>21</v>
      </c>
      <c r="H839" s="2">
        <v>168.53</v>
      </c>
      <c r="I839" s="2">
        <v>21.91</v>
      </c>
      <c r="J839" s="2">
        <v>190.44</v>
      </c>
      <c r="K839" s="2">
        <v>190.44</v>
      </c>
      <c r="L839" s="2" t="s">
        <v>22</v>
      </c>
      <c r="M839" s="2" t="s">
        <v>3844</v>
      </c>
      <c r="N839" s="2" t="s">
        <v>3843</v>
      </c>
    </row>
    <row r="840" spans="1:14" x14ac:dyDescent="0.25">
      <c r="A840" s="2" t="s">
        <v>2638</v>
      </c>
      <c r="B840" s="2" t="s">
        <v>644</v>
      </c>
      <c r="C840" s="4">
        <v>45756</v>
      </c>
      <c r="D840" s="4">
        <v>45786</v>
      </c>
      <c r="E840" s="2" t="s">
        <v>1633</v>
      </c>
      <c r="F840" s="2"/>
      <c r="G840" s="2" t="s">
        <v>21</v>
      </c>
      <c r="H840" s="2">
        <v>13844.1</v>
      </c>
      <c r="I840" s="2"/>
      <c r="J840" s="2">
        <v>13844.1</v>
      </c>
      <c r="K840" s="2">
        <v>9733.5499999999993</v>
      </c>
      <c r="L840" s="2" t="s">
        <v>51</v>
      </c>
      <c r="M840" s="2" t="s">
        <v>3844</v>
      </c>
      <c r="N840" s="2" t="s">
        <v>3843</v>
      </c>
    </row>
    <row r="841" spans="1:14" x14ac:dyDescent="0.25">
      <c r="A841" s="2" t="s">
        <v>2383</v>
      </c>
      <c r="B841" s="2" t="s">
        <v>714</v>
      </c>
      <c r="C841" s="4">
        <v>45756</v>
      </c>
      <c r="D841" s="4">
        <v>45786</v>
      </c>
      <c r="E841" s="2" t="s">
        <v>2064</v>
      </c>
      <c r="F841" s="2"/>
      <c r="G841" s="2" t="s">
        <v>21</v>
      </c>
      <c r="H841" s="2">
        <v>26675.040000000001</v>
      </c>
      <c r="I841" s="2"/>
      <c r="J841" s="2">
        <v>26675.040000000001</v>
      </c>
      <c r="K841" s="2">
        <v>18751.86</v>
      </c>
      <c r="L841" s="2" t="s">
        <v>51</v>
      </c>
      <c r="M841" s="2" t="s">
        <v>3844</v>
      </c>
      <c r="N841" s="2" t="s">
        <v>3843</v>
      </c>
    </row>
    <row r="842" spans="1:14" x14ac:dyDescent="0.25">
      <c r="A842" s="2" t="s">
        <v>2637</v>
      </c>
      <c r="B842" s="2" t="s">
        <v>644</v>
      </c>
      <c r="C842" s="4">
        <v>45756</v>
      </c>
      <c r="D842" s="4">
        <v>45786</v>
      </c>
      <c r="E842" s="2" t="s">
        <v>1633</v>
      </c>
      <c r="F842" s="2"/>
      <c r="G842" s="2" t="s">
        <v>21</v>
      </c>
      <c r="H842" s="2">
        <v>5411.61</v>
      </c>
      <c r="I842" s="2"/>
      <c r="J842" s="2">
        <v>5411.61</v>
      </c>
      <c r="K842" s="2">
        <v>3804.22</v>
      </c>
      <c r="L842" s="2" t="s">
        <v>51</v>
      </c>
      <c r="M842" s="2" t="s">
        <v>3844</v>
      </c>
      <c r="N842" s="2" t="s">
        <v>3978</v>
      </c>
    </row>
    <row r="843" spans="1:14" x14ac:dyDescent="0.25">
      <c r="A843" s="2" t="s">
        <v>2636</v>
      </c>
      <c r="B843" s="2" t="s">
        <v>644</v>
      </c>
      <c r="C843" s="4">
        <v>45756</v>
      </c>
      <c r="D843" s="4">
        <v>45786</v>
      </c>
      <c r="E843" s="2" t="s">
        <v>1633</v>
      </c>
      <c r="F843" s="2"/>
      <c r="G843" s="2" t="s">
        <v>21</v>
      </c>
      <c r="H843" s="2">
        <v>5411.61</v>
      </c>
      <c r="I843" s="2"/>
      <c r="J843" s="2">
        <v>5411.61</v>
      </c>
      <c r="K843" s="2">
        <v>3804.22</v>
      </c>
      <c r="L843" s="2" t="s">
        <v>51</v>
      </c>
      <c r="M843" s="2" t="s">
        <v>3844</v>
      </c>
      <c r="N843" s="2" t="s">
        <v>3978</v>
      </c>
    </row>
    <row r="844" spans="1:14" x14ac:dyDescent="0.25">
      <c r="A844" s="2" t="s">
        <v>4167</v>
      </c>
      <c r="B844" s="2" t="s">
        <v>644</v>
      </c>
      <c r="C844" s="2"/>
      <c r="D844" s="4">
        <v>45786</v>
      </c>
      <c r="E844" s="2" t="s">
        <v>1633</v>
      </c>
      <c r="F844" s="2"/>
      <c r="G844" s="2" t="s">
        <v>21</v>
      </c>
      <c r="H844" s="2">
        <v>5411.61</v>
      </c>
      <c r="I844" s="2"/>
      <c r="J844" s="2">
        <v>5411.61</v>
      </c>
      <c r="K844" s="2">
        <v>3804.22</v>
      </c>
      <c r="L844" s="2" t="s">
        <v>51</v>
      </c>
      <c r="M844" s="2" t="s">
        <v>3844</v>
      </c>
      <c r="N844" s="2" t="s">
        <v>3978</v>
      </c>
    </row>
    <row r="845" spans="1:14" ht="30" x14ac:dyDescent="0.25">
      <c r="A845" s="2" t="s">
        <v>2631</v>
      </c>
      <c r="B845" s="2" t="s">
        <v>20</v>
      </c>
      <c r="C845" s="4">
        <v>45755</v>
      </c>
      <c r="D845" s="4">
        <v>45815</v>
      </c>
      <c r="E845" s="2" t="s">
        <v>1641</v>
      </c>
      <c r="F845" s="2"/>
      <c r="G845" s="2" t="s">
        <v>21</v>
      </c>
      <c r="H845" s="2">
        <v>2103.86</v>
      </c>
      <c r="I845" s="2">
        <v>105.19</v>
      </c>
      <c r="J845" s="2">
        <v>2209.0500000000002</v>
      </c>
      <c r="K845" s="2">
        <v>2209.0500000000002</v>
      </c>
      <c r="L845" s="2" t="s">
        <v>22</v>
      </c>
      <c r="M845" s="2" t="s">
        <v>3844</v>
      </c>
      <c r="N845" s="2" t="s">
        <v>3843</v>
      </c>
    </row>
    <row r="846" spans="1:14" ht="30" x14ac:dyDescent="0.25">
      <c r="A846" s="2" t="s">
        <v>2577</v>
      </c>
      <c r="B846" s="2" t="s">
        <v>159</v>
      </c>
      <c r="C846" s="4">
        <v>45755</v>
      </c>
      <c r="D846" s="4">
        <v>45800</v>
      </c>
      <c r="E846" s="2" t="s">
        <v>1736</v>
      </c>
      <c r="F846" s="2"/>
      <c r="G846" s="2" t="s">
        <v>426</v>
      </c>
      <c r="H846" s="2">
        <v>29551.599999999999</v>
      </c>
      <c r="I846" s="2"/>
      <c r="J846" s="2">
        <v>29551.599999999999</v>
      </c>
      <c r="K846" s="2">
        <v>20774</v>
      </c>
      <c r="L846" s="2" t="s">
        <v>51</v>
      </c>
      <c r="M846" s="2" t="s">
        <v>3844</v>
      </c>
      <c r="N846" s="2" t="s">
        <v>3843</v>
      </c>
    </row>
    <row r="847" spans="1:14" ht="30" x14ac:dyDescent="0.25">
      <c r="A847" s="2" t="s">
        <v>2585</v>
      </c>
      <c r="B847" s="2" t="s">
        <v>159</v>
      </c>
      <c r="C847" s="4">
        <v>45755</v>
      </c>
      <c r="D847" s="4">
        <v>45800</v>
      </c>
      <c r="E847" s="2" t="s">
        <v>1720</v>
      </c>
      <c r="F847" s="2"/>
      <c r="G847" s="2" t="s">
        <v>180</v>
      </c>
      <c r="H847" s="2">
        <v>19664.62</v>
      </c>
      <c r="I847" s="2"/>
      <c r="J847" s="2">
        <v>19664.62</v>
      </c>
      <c r="K847" s="2">
        <v>13823.71</v>
      </c>
      <c r="L847" s="2" t="s">
        <v>51</v>
      </c>
      <c r="M847" s="2" t="s">
        <v>3844</v>
      </c>
      <c r="N847" s="2" t="s">
        <v>3843</v>
      </c>
    </row>
    <row r="848" spans="1:14" ht="30" x14ac:dyDescent="0.25">
      <c r="A848" s="2" t="s">
        <v>2389</v>
      </c>
      <c r="B848" s="2" t="s">
        <v>4088</v>
      </c>
      <c r="C848" s="4">
        <v>45755</v>
      </c>
      <c r="D848" s="4">
        <v>45785</v>
      </c>
      <c r="E848" s="2" t="s">
        <v>2060</v>
      </c>
      <c r="F848" s="2"/>
      <c r="G848" s="2" t="s">
        <v>21</v>
      </c>
      <c r="H848" s="2">
        <v>4365.62</v>
      </c>
      <c r="I848" s="2"/>
      <c r="J848" s="2">
        <v>4365.62</v>
      </c>
      <c r="K848" s="2">
        <v>3069.9</v>
      </c>
      <c r="L848" s="2" t="s">
        <v>51</v>
      </c>
      <c r="M848" s="2" t="s">
        <v>3844</v>
      </c>
      <c r="N848" s="2" t="s">
        <v>3843</v>
      </c>
    </row>
    <row r="849" spans="1:14" ht="30" x14ac:dyDescent="0.25">
      <c r="A849" s="2" t="s">
        <v>2463</v>
      </c>
      <c r="B849" s="2" t="s">
        <v>4088</v>
      </c>
      <c r="C849" s="4">
        <v>45755</v>
      </c>
      <c r="D849" s="4">
        <v>45785</v>
      </c>
      <c r="E849" s="2" t="s">
        <v>1934</v>
      </c>
      <c r="F849" s="2"/>
      <c r="G849" s="2" t="s">
        <v>21</v>
      </c>
      <c r="H849" s="2">
        <v>5114.2</v>
      </c>
      <c r="I849" s="2"/>
      <c r="J849" s="2">
        <v>5114.2</v>
      </c>
      <c r="K849" s="2">
        <v>3596.3</v>
      </c>
      <c r="L849" s="2" t="s">
        <v>51</v>
      </c>
      <c r="M849" s="2" t="s">
        <v>3844</v>
      </c>
      <c r="N849" s="2" t="s">
        <v>3843</v>
      </c>
    </row>
    <row r="850" spans="1:14" ht="30" x14ac:dyDescent="0.25">
      <c r="A850" s="2" t="s">
        <v>2380</v>
      </c>
      <c r="B850" s="2" t="s">
        <v>4088</v>
      </c>
      <c r="C850" s="4">
        <v>45755</v>
      </c>
      <c r="D850" s="4">
        <v>45785</v>
      </c>
      <c r="E850" s="2" t="s">
        <v>2068</v>
      </c>
      <c r="F850" s="2"/>
      <c r="G850" s="2" t="s">
        <v>21</v>
      </c>
      <c r="H850" s="2">
        <v>6028.59</v>
      </c>
      <c r="I850" s="2"/>
      <c r="J850" s="2">
        <v>6028.59</v>
      </c>
      <c r="K850" s="2">
        <v>4239.3</v>
      </c>
      <c r="L850" s="2" t="s">
        <v>51</v>
      </c>
      <c r="M850" s="2" t="s">
        <v>3844</v>
      </c>
      <c r="N850" s="2" t="s">
        <v>3843</v>
      </c>
    </row>
    <row r="851" spans="1:14" ht="30" x14ac:dyDescent="0.25">
      <c r="A851" s="2" t="s">
        <v>2626</v>
      </c>
      <c r="B851" s="2" t="s">
        <v>4166</v>
      </c>
      <c r="C851" s="4">
        <v>45755</v>
      </c>
      <c r="D851" s="4">
        <v>45755</v>
      </c>
      <c r="E851" s="2" t="s">
        <v>1650</v>
      </c>
      <c r="F851" s="2"/>
      <c r="G851" s="2" t="s">
        <v>21</v>
      </c>
      <c r="H851" s="2">
        <v>15669.62</v>
      </c>
      <c r="I851" s="2"/>
      <c r="J851" s="2">
        <v>15669.62</v>
      </c>
      <c r="K851" s="2">
        <v>11018.86</v>
      </c>
      <c r="L851" s="2" t="s">
        <v>51</v>
      </c>
      <c r="M851" s="2" t="s">
        <v>3844</v>
      </c>
      <c r="N851" s="2" t="s">
        <v>3843</v>
      </c>
    </row>
    <row r="852" spans="1:14" ht="30" x14ac:dyDescent="0.25">
      <c r="A852" s="2" t="s">
        <v>2390</v>
      </c>
      <c r="B852" s="2" t="s">
        <v>80</v>
      </c>
      <c r="C852" s="4">
        <v>45755</v>
      </c>
      <c r="D852" s="4">
        <v>45815</v>
      </c>
      <c r="E852" s="2" t="s">
        <v>2058</v>
      </c>
      <c r="F852" s="2"/>
      <c r="G852" s="2" t="s">
        <v>21</v>
      </c>
      <c r="H852" s="2">
        <v>5963.04</v>
      </c>
      <c r="I852" s="2">
        <v>298.14999999999998</v>
      </c>
      <c r="J852" s="2">
        <v>6261.19</v>
      </c>
      <c r="K852" s="2">
        <v>6261.19</v>
      </c>
      <c r="L852" s="2" t="s">
        <v>22</v>
      </c>
      <c r="M852" s="2" t="s">
        <v>3844</v>
      </c>
      <c r="N852" s="2" t="s">
        <v>3843</v>
      </c>
    </row>
    <row r="853" spans="1:14" ht="30" x14ac:dyDescent="0.25">
      <c r="A853" s="2" t="s">
        <v>2624</v>
      </c>
      <c r="B853" s="2" t="s">
        <v>3537</v>
      </c>
      <c r="C853" s="4">
        <v>45755</v>
      </c>
      <c r="D853" s="4">
        <v>45785</v>
      </c>
      <c r="E853" s="2" t="s">
        <v>1653</v>
      </c>
      <c r="F853" s="2"/>
      <c r="G853" s="2" t="s">
        <v>21</v>
      </c>
      <c r="H853" s="2">
        <v>149.68</v>
      </c>
      <c r="I853" s="2">
        <v>7.48</v>
      </c>
      <c r="J853" s="2">
        <v>157.16</v>
      </c>
      <c r="K853" s="2">
        <v>157.16</v>
      </c>
      <c r="L853" s="2" t="s">
        <v>22</v>
      </c>
      <c r="M853" s="2" t="s">
        <v>3844</v>
      </c>
      <c r="N853" s="2" t="s">
        <v>3843</v>
      </c>
    </row>
    <row r="854" spans="1:14" x14ac:dyDescent="0.25">
      <c r="A854" s="2" t="s">
        <v>2568</v>
      </c>
      <c r="B854" s="2" t="s">
        <v>465</v>
      </c>
      <c r="C854" s="4">
        <v>45755</v>
      </c>
      <c r="D854" s="4">
        <v>45785</v>
      </c>
      <c r="E854" s="2" t="s">
        <v>1749</v>
      </c>
      <c r="F854" s="2"/>
      <c r="G854" s="2" t="s">
        <v>21</v>
      </c>
      <c r="H854" s="2">
        <v>1182.8900000000001</v>
      </c>
      <c r="I854" s="2">
        <v>153.78</v>
      </c>
      <c r="J854" s="2">
        <v>1336.67</v>
      </c>
      <c r="K854" s="2">
        <v>1336.67</v>
      </c>
      <c r="L854" s="2" t="s">
        <v>22</v>
      </c>
      <c r="M854" s="2" t="s">
        <v>3844</v>
      </c>
      <c r="N854" s="2" t="s">
        <v>3843</v>
      </c>
    </row>
    <row r="855" spans="1:14" x14ac:dyDescent="0.25">
      <c r="A855" s="2" t="s">
        <v>2618</v>
      </c>
      <c r="B855" s="2" t="s">
        <v>149</v>
      </c>
      <c r="C855" s="4">
        <v>45755</v>
      </c>
      <c r="D855" s="4">
        <v>45755</v>
      </c>
      <c r="E855" s="2" t="s">
        <v>1664</v>
      </c>
      <c r="F855" s="2"/>
      <c r="G855" s="2" t="s">
        <v>21</v>
      </c>
      <c r="H855" s="2">
        <v>5575.96</v>
      </c>
      <c r="I855" s="2"/>
      <c r="J855" s="2">
        <v>5575.96</v>
      </c>
      <c r="K855" s="2">
        <v>3921.01</v>
      </c>
      <c r="L855" s="2" t="s">
        <v>51</v>
      </c>
      <c r="M855" s="2" t="s">
        <v>3844</v>
      </c>
      <c r="N855" s="2" t="s">
        <v>3843</v>
      </c>
    </row>
    <row r="856" spans="1:14" x14ac:dyDescent="0.25">
      <c r="A856" s="2" t="s">
        <v>2589</v>
      </c>
      <c r="B856" s="2" t="s">
        <v>714</v>
      </c>
      <c r="C856" s="4">
        <v>45755</v>
      </c>
      <c r="D856" s="4">
        <v>45785</v>
      </c>
      <c r="E856" s="2" t="s">
        <v>1714</v>
      </c>
      <c r="F856" s="2"/>
      <c r="G856" s="2" t="s">
        <v>21</v>
      </c>
      <c r="H856" s="2">
        <v>1061.1199999999999</v>
      </c>
      <c r="I856" s="2"/>
      <c r="J856" s="2">
        <v>1061.1199999999999</v>
      </c>
      <c r="K856" s="2">
        <v>746.18</v>
      </c>
      <c r="L856" s="2" t="s">
        <v>51</v>
      </c>
      <c r="M856" s="2" t="s">
        <v>3844</v>
      </c>
      <c r="N856" s="2" t="s">
        <v>3843</v>
      </c>
    </row>
    <row r="857" spans="1:14" ht="60" x14ac:dyDescent="0.25">
      <c r="A857" s="2" t="s">
        <v>2297</v>
      </c>
      <c r="B857" s="2" t="s">
        <v>4127</v>
      </c>
      <c r="C857" s="4">
        <v>45754</v>
      </c>
      <c r="D857" s="4">
        <v>45754</v>
      </c>
      <c r="E857" s="2" t="s">
        <v>2218</v>
      </c>
      <c r="F857" s="2"/>
      <c r="G857" s="2" t="s">
        <v>21</v>
      </c>
      <c r="H857" s="2">
        <v>1874.17</v>
      </c>
      <c r="I857" s="2"/>
      <c r="J857" s="2">
        <v>1874.17</v>
      </c>
      <c r="K857" s="2">
        <v>1317.49</v>
      </c>
      <c r="L857" s="2" t="s">
        <v>51</v>
      </c>
      <c r="M857" s="2" t="s">
        <v>3844</v>
      </c>
      <c r="N857" s="2" t="s">
        <v>3843</v>
      </c>
    </row>
    <row r="858" spans="1:14" ht="60" x14ac:dyDescent="0.25">
      <c r="A858" s="2" t="s">
        <v>2443</v>
      </c>
      <c r="B858" s="2" t="s">
        <v>4127</v>
      </c>
      <c r="C858" s="4">
        <v>45754</v>
      </c>
      <c r="D858" s="4">
        <v>45754</v>
      </c>
      <c r="E858" s="2" t="s">
        <v>1969</v>
      </c>
      <c r="F858" s="2"/>
      <c r="G858" s="2" t="s">
        <v>1132</v>
      </c>
      <c r="H858" s="2">
        <v>5341.44</v>
      </c>
      <c r="I858" s="2"/>
      <c r="J858" s="2">
        <v>5341.44</v>
      </c>
      <c r="K858" s="2">
        <v>3754.89</v>
      </c>
      <c r="L858" s="2" t="s">
        <v>51</v>
      </c>
      <c r="M858" s="2" t="s">
        <v>3844</v>
      </c>
      <c r="N858" s="2" t="s">
        <v>3843</v>
      </c>
    </row>
    <row r="859" spans="1:14" x14ac:dyDescent="0.25">
      <c r="A859" s="2" t="s">
        <v>2605</v>
      </c>
      <c r="B859" s="2" t="s">
        <v>54</v>
      </c>
      <c r="C859" s="4">
        <v>45754</v>
      </c>
      <c r="D859" s="4">
        <v>45784</v>
      </c>
      <c r="E859" s="2" t="s">
        <v>1683</v>
      </c>
      <c r="F859" s="2"/>
      <c r="G859" s="2" t="s">
        <v>21</v>
      </c>
      <c r="H859" s="2">
        <v>10755.87</v>
      </c>
      <c r="I859" s="2">
        <v>537.79</v>
      </c>
      <c r="J859" s="2">
        <v>11293.66</v>
      </c>
      <c r="K859" s="2">
        <v>11293.66</v>
      </c>
      <c r="L859" s="2" t="s">
        <v>22</v>
      </c>
      <c r="M859" s="2" t="s">
        <v>3844</v>
      </c>
      <c r="N859" s="2" t="s">
        <v>3843</v>
      </c>
    </row>
    <row r="860" spans="1:14" x14ac:dyDescent="0.25">
      <c r="A860" s="2" t="s">
        <v>2482</v>
      </c>
      <c r="B860" s="2" t="s">
        <v>192</v>
      </c>
      <c r="C860" s="4">
        <v>45751</v>
      </c>
      <c r="D860" s="4">
        <v>45781</v>
      </c>
      <c r="E860" s="2" t="s">
        <v>1897</v>
      </c>
      <c r="F860" s="2"/>
      <c r="G860" s="2" t="s">
        <v>21</v>
      </c>
      <c r="H860" s="2">
        <v>12279.81</v>
      </c>
      <c r="I860" s="2"/>
      <c r="J860" s="2">
        <v>12279.81</v>
      </c>
      <c r="K860" s="2">
        <v>8581.11</v>
      </c>
      <c r="L860" s="2" t="s">
        <v>51</v>
      </c>
      <c r="M860" s="2" t="s">
        <v>3844</v>
      </c>
      <c r="N860" s="2" t="s">
        <v>3843</v>
      </c>
    </row>
    <row r="861" spans="1:14" x14ac:dyDescent="0.25">
      <c r="A861" s="2" t="s">
        <v>3595</v>
      </c>
      <c r="B861" s="2" t="s">
        <v>135</v>
      </c>
      <c r="C861" s="4">
        <v>45751</v>
      </c>
      <c r="D861" s="4">
        <v>45811</v>
      </c>
      <c r="E861" s="2" t="s">
        <v>4118</v>
      </c>
      <c r="F861" s="2"/>
      <c r="G861" s="2" t="s">
        <v>21</v>
      </c>
      <c r="H861" s="2">
        <v>12787.56</v>
      </c>
      <c r="I861" s="2">
        <v>1662.38</v>
      </c>
      <c r="J861" s="2">
        <v>14449.94</v>
      </c>
      <c r="K861" s="2">
        <v>14449.94</v>
      </c>
      <c r="L861" s="2" t="s">
        <v>22</v>
      </c>
      <c r="M861" s="2" t="s">
        <v>3844</v>
      </c>
      <c r="N861" s="2" t="s">
        <v>3843</v>
      </c>
    </row>
    <row r="862" spans="1:14" ht="60" x14ac:dyDescent="0.25">
      <c r="A862" s="2" t="s">
        <v>2622</v>
      </c>
      <c r="B862" s="2" t="s">
        <v>3974</v>
      </c>
      <c r="C862" s="4">
        <v>45751</v>
      </c>
      <c r="D862" s="4">
        <v>45781</v>
      </c>
      <c r="E862" s="2" t="s">
        <v>1657</v>
      </c>
      <c r="F862" s="2"/>
      <c r="G862" s="2" t="s">
        <v>21</v>
      </c>
      <c r="H862" s="2">
        <v>678.84</v>
      </c>
      <c r="I862" s="2">
        <v>88.25</v>
      </c>
      <c r="J862" s="2">
        <v>767.09</v>
      </c>
      <c r="K862" s="2">
        <v>767.09</v>
      </c>
      <c r="L862" s="2" t="s">
        <v>22</v>
      </c>
      <c r="M862" s="2" t="s">
        <v>3844</v>
      </c>
      <c r="N862" s="2" t="s">
        <v>3843</v>
      </c>
    </row>
    <row r="863" spans="1:14" x14ac:dyDescent="0.25">
      <c r="A863" s="2" t="s">
        <v>2615</v>
      </c>
      <c r="B863" s="2" t="s">
        <v>714</v>
      </c>
      <c r="C863" s="4">
        <v>45750</v>
      </c>
      <c r="D863" s="4">
        <v>45780</v>
      </c>
      <c r="E863" s="2" t="s">
        <v>1666</v>
      </c>
      <c r="F863" s="2"/>
      <c r="G863" s="2" t="s">
        <v>21</v>
      </c>
      <c r="H863" s="2">
        <v>7714.2</v>
      </c>
      <c r="I863" s="2"/>
      <c r="J863" s="2">
        <v>7714.2</v>
      </c>
      <c r="K863" s="2">
        <v>5390.67</v>
      </c>
      <c r="L863" s="2" t="s">
        <v>51</v>
      </c>
      <c r="M863" s="2" t="s">
        <v>3844</v>
      </c>
      <c r="N863" s="2" t="s">
        <v>3843</v>
      </c>
    </row>
    <row r="864" spans="1:14" x14ac:dyDescent="0.25">
      <c r="A864" s="2" t="s">
        <v>2403</v>
      </c>
      <c r="B864" s="2" t="s">
        <v>714</v>
      </c>
      <c r="C864" s="4">
        <v>45750</v>
      </c>
      <c r="D864" s="4">
        <v>45780</v>
      </c>
      <c r="E864" s="2" t="s">
        <v>2032</v>
      </c>
      <c r="F864" s="2"/>
      <c r="G864" s="2" t="s">
        <v>21</v>
      </c>
      <c r="H864" s="2">
        <v>20258.07</v>
      </c>
      <c r="I864" s="2"/>
      <c r="J864" s="2">
        <v>20258.07</v>
      </c>
      <c r="K864" s="2">
        <v>14156.31</v>
      </c>
      <c r="L864" s="2" t="s">
        <v>51</v>
      </c>
      <c r="M864" s="2" t="s">
        <v>3844</v>
      </c>
      <c r="N864" s="2" t="s">
        <v>3843</v>
      </c>
    </row>
    <row r="865" spans="1:14" ht="30" x14ac:dyDescent="0.25">
      <c r="A865" s="2" t="s">
        <v>2623</v>
      </c>
      <c r="B865" s="2" t="s">
        <v>39</v>
      </c>
      <c r="C865" s="4">
        <v>45750</v>
      </c>
      <c r="D865" s="4">
        <v>45780</v>
      </c>
      <c r="E865" s="2" t="s">
        <v>1655</v>
      </c>
      <c r="F865" s="2"/>
      <c r="G865" s="2" t="s">
        <v>21</v>
      </c>
      <c r="H865" s="2">
        <v>1027.3399999999999</v>
      </c>
      <c r="I865" s="2">
        <v>51.37</v>
      </c>
      <c r="J865" s="2">
        <v>1078.71</v>
      </c>
      <c r="K865" s="2">
        <v>1078.71</v>
      </c>
      <c r="L865" s="2" t="s">
        <v>22</v>
      </c>
      <c r="M865" s="2" t="s">
        <v>3844</v>
      </c>
      <c r="N865" s="2" t="s">
        <v>3843</v>
      </c>
    </row>
    <row r="866" spans="1:14" x14ac:dyDescent="0.25">
      <c r="A866" s="2" t="s">
        <v>2514</v>
      </c>
      <c r="B866" s="2" t="s">
        <v>229</v>
      </c>
      <c r="C866" s="4">
        <v>45750</v>
      </c>
      <c r="D866" s="4">
        <v>45780</v>
      </c>
      <c r="E866" s="2" t="s">
        <v>1842</v>
      </c>
      <c r="F866" s="2"/>
      <c r="G866" s="2" t="s">
        <v>21</v>
      </c>
      <c r="H866" s="2">
        <v>1496.26</v>
      </c>
      <c r="I866" s="2">
        <v>74.81</v>
      </c>
      <c r="J866" s="2">
        <v>1571.07</v>
      </c>
      <c r="K866" s="2">
        <v>1571.07</v>
      </c>
      <c r="L866" s="2" t="s">
        <v>22</v>
      </c>
      <c r="M866" s="2" t="s">
        <v>3844</v>
      </c>
      <c r="N866" s="2" t="s">
        <v>3843</v>
      </c>
    </row>
    <row r="867" spans="1:14" ht="30" x14ac:dyDescent="0.25">
      <c r="A867" s="2" t="s">
        <v>3597</v>
      </c>
      <c r="B867" s="2" t="s">
        <v>4165</v>
      </c>
      <c r="C867" s="4">
        <v>45750</v>
      </c>
      <c r="D867" s="4">
        <v>45780</v>
      </c>
      <c r="E867" s="2" t="s">
        <v>4164</v>
      </c>
      <c r="F867" s="2"/>
      <c r="G867" s="2" t="s">
        <v>21</v>
      </c>
      <c r="H867" s="2">
        <v>479.88</v>
      </c>
      <c r="I867" s="2">
        <v>23.99</v>
      </c>
      <c r="J867" s="2">
        <v>503.87</v>
      </c>
      <c r="K867" s="2">
        <v>503.87</v>
      </c>
      <c r="L867" s="2" t="s">
        <v>22</v>
      </c>
      <c r="M867" s="2" t="s">
        <v>3844</v>
      </c>
      <c r="N867" s="2" t="s">
        <v>3843</v>
      </c>
    </row>
    <row r="868" spans="1:14" ht="30" x14ac:dyDescent="0.25">
      <c r="A868" s="2" t="s">
        <v>2612</v>
      </c>
      <c r="B868" s="2" t="s">
        <v>47</v>
      </c>
      <c r="C868" s="4">
        <v>45750</v>
      </c>
      <c r="D868" s="4">
        <v>45780</v>
      </c>
      <c r="E868" s="2" t="s">
        <v>1673</v>
      </c>
      <c r="F868" s="2"/>
      <c r="G868" s="2" t="s">
        <v>21</v>
      </c>
      <c r="H868" s="2">
        <v>1904.9</v>
      </c>
      <c r="I868" s="2">
        <v>247.64</v>
      </c>
      <c r="J868" s="2">
        <v>2152.54</v>
      </c>
      <c r="K868" s="2">
        <v>2152.54</v>
      </c>
      <c r="L868" s="2" t="s">
        <v>22</v>
      </c>
      <c r="M868" s="2" t="s">
        <v>3844</v>
      </c>
      <c r="N868" s="2" t="s">
        <v>3843</v>
      </c>
    </row>
    <row r="869" spans="1:14" x14ac:dyDescent="0.25">
      <c r="A869" s="2" t="s">
        <v>2591</v>
      </c>
      <c r="B869" s="2" t="s">
        <v>77</v>
      </c>
      <c r="C869" s="4">
        <v>45750</v>
      </c>
      <c r="D869" s="4">
        <v>45780</v>
      </c>
      <c r="E869" s="2" t="s">
        <v>1710</v>
      </c>
      <c r="F869" s="2"/>
      <c r="G869" s="2" t="s">
        <v>21</v>
      </c>
      <c r="H869" s="2">
        <v>2155.7800000000002</v>
      </c>
      <c r="I869" s="2">
        <v>107.79</v>
      </c>
      <c r="J869" s="2">
        <v>2263.5700000000002</v>
      </c>
      <c r="K869" s="2">
        <v>2263.5700000000002</v>
      </c>
      <c r="L869" s="2" t="s">
        <v>22</v>
      </c>
      <c r="M869" s="2" t="s">
        <v>3844</v>
      </c>
      <c r="N869" s="2" t="s">
        <v>3843</v>
      </c>
    </row>
    <row r="870" spans="1:14" ht="45" x14ac:dyDescent="0.25">
      <c r="A870" s="2" t="s">
        <v>2560</v>
      </c>
      <c r="B870" s="2" t="s">
        <v>502</v>
      </c>
      <c r="C870" s="4">
        <v>45750</v>
      </c>
      <c r="D870" s="4">
        <v>45795</v>
      </c>
      <c r="E870" s="2" t="s">
        <v>1761</v>
      </c>
      <c r="F870" s="2"/>
      <c r="G870" s="2" t="s">
        <v>21</v>
      </c>
      <c r="H870" s="2">
        <v>1623.8</v>
      </c>
      <c r="I870" s="2">
        <v>81.19</v>
      </c>
      <c r="J870" s="2">
        <v>1704.99</v>
      </c>
      <c r="K870" s="2">
        <v>1704.99</v>
      </c>
      <c r="L870" s="2" t="s">
        <v>22</v>
      </c>
      <c r="M870" s="2" t="s">
        <v>3844</v>
      </c>
      <c r="N870" s="2" t="s">
        <v>3843</v>
      </c>
    </row>
    <row r="871" spans="1:14" ht="30" x14ac:dyDescent="0.25">
      <c r="A871" s="2" t="s">
        <v>2604</v>
      </c>
      <c r="B871" s="2" t="s">
        <v>20</v>
      </c>
      <c r="C871" s="4">
        <v>45750</v>
      </c>
      <c r="D871" s="4">
        <v>45810</v>
      </c>
      <c r="E871" s="2" t="s">
        <v>1685</v>
      </c>
      <c r="F871" s="2"/>
      <c r="G871" s="2" t="s">
        <v>21</v>
      </c>
      <c r="H871" s="2">
        <v>2306.88</v>
      </c>
      <c r="I871" s="2">
        <v>115.35</v>
      </c>
      <c r="J871" s="2">
        <v>2422.23</v>
      </c>
      <c r="K871" s="2">
        <v>2422.23</v>
      </c>
      <c r="L871" s="2" t="s">
        <v>22</v>
      </c>
      <c r="M871" s="2" t="s">
        <v>3844</v>
      </c>
      <c r="N871" s="2" t="s">
        <v>3843</v>
      </c>
    </row>
    <row r="872" spans="1:14" x14ac:dyDescent="0.25">
      <c r="A872" s="2" t="s">
        <v>2313</v>
      </c>
      <c r="B872" s="2" t="s">
        <v>146</v>
      </c>
      <c r="C872" s="4">
        <v>45750</v>
      </c>
      <c r="D872" s="4">
        <v>45780</v>
      </c>
      <c r="E872" s="2" t="s">
        <v>2185</v>
      </c>
      <c r="F872" s="2"/>
      <c r="G872" s="2" t="s">
        <v>21</v>
      </c>
      <c r="H872" s="2">
        <v>4839.1099999999997</v>
      </c>
      <c r="I872" s="2">
        <v>241.96</v>
      </c>
      <c r="J872" s="2">
        <v>5081.07</v>
      </c>
      <c r="K872" s="2">
        <v>5081.07</v>
      </c>
      <c r="L872" s="2" t="s">
        <v>22</v>
      </c>
      <c r="M872" s="2" t="s">
        <v>3844</v>
      </c>
      <c r="N872" s="2" t="s">
        <v>3843</v>
      </c>
    </row>
    <row r="873" spans="1:14" x14ac:dyDescent="0.25">
      <c r="A873" s="2" t="s">
        <v>2397</v>
      </c>
      <c r="B873" s="2" t="s">
        <v>54</v>
      </c>
      <c r="C873" s="4">
        <v>45749</v>
      </c>
      <c r="D873" s="4">
        <v>45779</v>
      </c>
      <c r="E873" s="2" t="s">
        <v>2044</v>
      </c>
      <c r="F873" s="2"/>
      <c r="G873" s="2" t="s">
        <v>21</v>
      </c>
      <c r="H873" s="2">
        <v>3356.2</v>
      </c>
      <c r="I873" s="2">
        <v>167.81</v>
      </c>
      <c r="J873" s="2">
        <v>3524.01</v>
      </c>
      <c r="K873" s="2">
        <v>3524.01</v>
      </c>
      <c r="L873" s="2" t="s">
        <v>22</v>
      </c>
      <c r="M873" s="2" t="s">
        <v>3844</v>
      </c>
      <c r="N873" s="2" t="s">
        <v>3843</v>
      </c>
    </row>
    <row r="874" spans="1:14" x14ac:dyDescent="0.25">
      <c r="A874" s="2" t="s">
        <v>2600</v>
      </c>
      <c r="B874" s="2" t="s">
        <v>77</v>
      </c>
      <c r="C874" s="4">
        <v>45749</v>
      </c>
      <c r="D874" s="4">
        <v>45779</v>
      </c>
      <c r="E874" s="2" t="s">
        <v>1693</v>
      </c>
      <c r="F874" s="2"/>
      <c r="G874" s="2" t="s">
        <v>21</v>
      </c>
      <c r="H874" s="2">
        <v>270.35000000000002</v>
      </c>
      <c r="I874" s="2">
        <v>13.52</v>
      </c>
      <c r="J874" s="2">
        <v>283.87</v>
      </c>
      <c r="K874" s="2">
        <v>283.87</v>
      </c>
      <c r="L874" s="2" t="s">
        <v>22</v>
      </c>
      <c r="M874" s="2" t="s">
        <v>3844</v>
      </c>
      <c r="N874" s="2" t="s">
        <v>3843</v>
      </c>
    </row>
    <row r="875" spans="1:14" ht="30" x14ac:dyDescent="0.25">
      <c r="A875" s="2" t="s">
        <v>2611</v>
      </c>
      <c r="B875" s="2" t="s">
        <v>26</v>
      </c>
      <c r="C875" s="4">
        <v>45749</v>
      </c>
      <c r="D875" s="4">
        <v>45809</v>
      </c>
      <c r="E875" s="2" t="s">
        <v>1675</v>
      </c>
      <c r="F875" s="2"/>
      <c r="G875" s="2" t="s">
        <v>21</v>
      </c>
      <c r="H875" s="2">
        <v>1037.54</v>
      </c>
      <c r="I875" s="2">
        <v>51.88</v>
      </c>
      <c r="J875" s="2">
        <v>1089.42</v>
      </c>
      <c r="K875" s="2">
        <v>1089.42</v>
      </c>
      <c r="L875" s="2" t="s">
        <v>22</v>
      </c>
      <c r="M875" s="2" t="s">
        <v>3844</v>
      </c>
      <c r="N875" s="2" t="s">
        <v>3843</v>
      </c>
    </row>
    <row r="876" spans="1:14" x14ac:dyDescent="0.25">
      <c r="A876" s="2" t="s">
        <v>2613</v>
      </c>
      <c r="B876" s="2" t="s">
        <v>77</v>
      </c>
      <c r="C876" s="4">
        <v>45749</v>
      </c>
      <c r="D876" s="4">
        <v>45779</v>
      </c>
      <c r="E876" s="2" t="s">
        <v>1671</v>
      </c>
      <c r="F876" s="2"/>
      <c r="G876" s="2" t="s">
        <v>1132</v>
      </c>
      <c r="H876" s="2">
        <v>2041.05</v>
      </c>
      <c r="I876" s="2">
        <v>102.05</v>
      </c>
      <c r="J876" s="2">
        <v>2143.1</v>
      </c>
      <c r="K876" s="2">
        <v>2143.1</v>
      </c>
      <c r="L876" s="2" t="s">
        <v>22</v>
      </c>
      <c r="M876" s="2" t="s">
        <v>3844</v>
      </c>
      <c r="N876" s="2" t="s">
        <v>3843</v>
      </c>
    </row>
    <row r="877" spans="1:14" ht="45" x14ac:dyDescent="0.25">
      <c r="A877" s="2" t="s">
        <v>2602</v>
      </c>
      <c r="B877" s="2" t="s">
        <v>4102</v>
      </c>
      <c r="C877" s="4">
        <v>45748</v>
      </c>
      <c r="D877" s="4">
        <v>45778</v>
      </c>
      <c r="E877" s="2" t="s">
        <v>1689</v>
      </c>
      <c r="F877" s="2"/>
      <c r="G877" s="2" t="s">
        <v>21</v>
      </c>
      <c r="H877" s="2">
        <v>861.07</v>
      </c>
      <c r="I877" s="2">
        <v>43.05</v>
      </c>
      <c r="J877" s="2">
        <v>904.12</v>
      </c>
      <c r="K877" s="2">
        <v>904.12</v>
      </c>
      <c r="L877" s="2" t="s">
        <v>22</v>
      </c>
      <c r="M877" s="2" t="s">
        <v>3844</v>
      </c>
      <c r="N877" s="2" t="s">
        <v>3843</v>
      </c>
    </row>
    <row r="878" spans="1:14" ht="30" x14ac:dyDescent="0.25">
      <c r="A878" s="2" t="s">
        <v>2599</v>
      </c>
      <c r="B878" s="2" t="s">
        <v>20</v>
      </c>
      <c r="C878" s="4">
        <v>45748</v>
      </c>
      <c r="D878" s="4">
        <v>45808</v>
      </c>
      <c r="E878" s="2" t="s">
        <v>1695</v>
      </c>
      <c r="F878" s="2"/>
      <c r="G878" s="2" t="s">
        <v>21</v>
      </c>
      <c r="H878" s="2">
        <v>301.76</v>
      </c>
      <c r="I878" s="2">
        <v>15.09</v>
      </c>
      <c r="J878" s="2">
        <v>316.85000000000002</v>
      </c>
      <c r="K878" s="2">
        <v>316.85000000000002</v>
      </c>
      <c r="L878" s="2" t="s">
        <v>22</v>
      </c>
      <c r="M878" s="2" t="s">
        <v>3844</v>
      </c>
      <c r="N878" s="2" t="s">
        <v>3843</v>
      </c>
    </row>
    <row r="879" spans="1:14" x14ac:dyDescent="0.25">
      <c r="A879" s="2" t="s">
        <v>2607</v>
      </c>
      <c r="B879" s="2" t="s">
        <v>4163</v>
      </c>
      <c r="C879" s="4">
        <v>45748</v>
      </c>
      <c r="D879" s="4">
        <v>45778</v>
      </c>
      <c r="E879" s="2" t="s">
        <v>1681</v>
      </c>
      <c r="F879" s="2"/>
      <c r="G879" s="2" t="s">
        <v>21</v>
      </c>
      <c r="H879" s="2">
        <v>625.41</v>
      </c>
      <c r="I879" s="2"/>
      <c r="J879" s="2">
        <v>625.41</v>
      </c>
      <c r="K879" s="2">
        <v>435.76</v>
      </c>
      <c r="L879" s="2" t="s">
        <v>51</v>
      </c>
      <c r="M879" s="2" t="s">
        <v>3844</v>
      </c>
      <c r="N879" s="2" t="s">
        <v>3843</v>
      </c>
    </row>
    <row r="880" spans="1:14" ht="30" x14ac:dyDescent="0.25">
      <c r="A880" s="2" t="s">
        <v>2501</v>
      </c>
      <c r="B880" s="2" t="s">
        <v>98</v>
      </c>
      <c r="C880" s="4">
        <v>45748</v>
      </c>
      <c r="D880" s="4">
        <v>45778</v>
      </c>
      <c r="E880" s="2" t="s">
        <v>1863</v>
      </c>
      <c r="F880" s="2"/>
      <c r="G880" s="2" t="s">
        <v>21</v>
      </c>
      <c r="H880" s="2">
        <v>19.89</v>
      </c>
      <c r="I880" s="2">
        <v>2.59</v>
      </c>
      <c r="J880" s="2">
        <v>22.48</v>
      </c>
      <c r="K880" s="2">
        <v>22.48</v>
      </c>
      <c r="L880" s="2" t="s">
        <v>22</v>
      </c>
      <c r="M880" s="2" t="s">
        <v>3844</v>
      </c>
      <c r="N880" s="2" t="s">
        <v>3843</v>
      </c>
    </row>
    <row r="881" spans="1:14" ht="30" x14ac:dyDescent="0.25">
      <c r="A881" s="2" t="s">
        <v>2598</v>
      </c>
      <c r="B881" s="2" t="s">
        <v>98</v>
      </c>
      <c r="C881" s="4">
        <v>45748</v>
      </c>
      <c r="D881" s="4">
        <v>45778</v>
      </c>
      <c r="E881" s="2" t="s">
        <v>1697</v>
      </c>
      <c r="F881" s="2"/>
      <c r="G881" s="2" t="s">
        <v>21</v>
      </c>
      <c r="H881" s="2">
        <v>5557.87</v>
      </c>
      <c r="I881" s="2">
        <v>722.52</v>
      </c>
      <c r="J881" s="2">
        <v>6280.39</v>
      </c>
      <c r="K881" s="2">
        <v>6280.39</v>
      </c>
      <c r="L881" s="2" t="s">
        <v>22</v>
      </c>
      <c r="M881" s="2" t="s">
        <v>3844</v>
      </c>
      <c r="N881" s="2" t="s">
        <v>3843</v>
      </c>
    </row>
    <row r="882" spans="1:14" ht="30" x14ac:dyDescent="0.25">
      <c r="A882" s="2" t="s">
        <v>2594</v>
      </c>
      <c r="B882" s="2" t="s">
        <v>98</v>
      </c>
      <c r="C882" s="4">
        <v>45748</v>
      </c>
      <c r="D882" s="4">
        <v>45778</v>
      </c>
      <c r="E882" s="2" t="s">
        <v>1706</v>
      </c>
      <c r="F882" s="2"/>
      <c r="G882" s="2" t="s">
        <v>21</v>
      </c>
      <c r="H882" s="2">
        <v>201.44</v>
      </c>
      <c r="I882" s="2">
        <v>26.19</v>
      </c>
      <c r="J882" s="2">
        <v>227.63</v>
      </c>
      <c r="K882" s="2">
        <v>227.63</v>
      </c>
      <c r="L882" s="2" t="s">
        <v>22</v>
      </c>
      <c r="M882" s="2" t="s">
        <v>3844</v>
      </c>
      <c r="N882" s="2" t="s">
        <v>3843</v>
      </c>
    </row>
    <row r="883" spans="1:14" ht="30" x14ac:dyDescent="0.25">
      <c r="A883" s="2" t="s">
        <v>2539</v>
      </c>
      <c r="B883" s="2" t="s">
        <v>98</v>
      </c>
      <c r="C883" s="4">
        <v>45748</v>
      </c>
      <c r="D883" s="4">
        <v>45778</v>
      </c>
      <c r="E883" s="2" t="s">
        <v>1804</v>
      </c>
      <c r="F883" s="2"/>
      <c r="G883" s="2" t="s">
        <v>21</v>
      </c>
      <c r="H883" s="2">
        <v>2913.34</v>
      </c>
      <c r="I883" s="2">
        <v>378.74</v>
      </c>
      <c r="J883" s="2">
        <v>3292.08</v>
      </c>
      <c r="K883" s="2">
        <v>3292.08</v>
      </c>
      <c r="L883" s="2" t="s">
        <v>22</v>
      </c>
      <c r="M883" s="2" t="s">
        <v>3844</v>
      </c>
      <c r="N883" s="2" t="s">
        <v>3843</v>
      </c>
    </row>
    <row r="884" spans="1:14" ht="30" x14ac:dyDescent="0.25">
      <c r="A884" s="2" t="s">
        <v>2509</v>
      </c>
      <c r="B884" s="2" t="s">
        <v>4132</v>
      </c>
      <c r="C884" s="4">
        <v>45748</v>
      </c>
      <c r="D884" s="4">
        <v>45748</v>
      </c>
      <c r="E884" s="2" t="s">
        <v>1850</v>
      </c>
      <c r="F884" s="2"/>
      <c r="G884" s="2" t="s">
        <v>21</v>
      </c>
      <c r="H884" s="2">
        <v>5575.08</v>
      </c>
      <c r="I884" s="2"/>
      <c r="J884" s="2">
        <v>5575.08</v>
      </c>
      <c r="K884" s="2">
        <v>3884.47</v>
      </c>
      <c r="L884" s="2" t="s">
        <v>51</v>
      </c>
      <c r="M884" s="2" t="s">
        <v>3844</v>
      </c>
      <c r="N884" s="2" t="s">
        <v>3843</v>
      </c>
    </row>
    <row r="885" spans="1:14" x14ac:dyDescent="0.25">
      <c r="A885" s="2" t="s">
        <v>2579</v>
      </c>
      <c r="B885" s="2" t="s">
        <v>70</v>
      </c>
      <c r="C885" s="4">
        <v>45747</v>
      </c>
      <c r="D885" s="4">
        <v>45807</v>
      </c>
      <c r="E885" s="2" t="s">
        <v>1732</v>
      </c>
      <c r="F885" s="2"/>
      <c r="G885" s="2" t="s">
        <v>71</v>
      </c>
      <c r="H885" s="2">
        <v>16009.27</v>
      </c>
      <c r="I885" s="2"/>
      <c r="J885" s="2">
        <v>16009.27</v>
      </c>
      <c r="K885" s="2">
        <v>11179</v>
      </c>
      <c r="L885" s="2" t="s">
        <v>51</v>
      </c>
      <c r="M885" s="2" t="s">
        <v>3844</v>
      </c>
      <c r="N885" s="2" t="s">
        <v>3843</v>
      </c>
    </row>
    <row r="886" spans="1:14" ht="30" x14ac:dyDescent="0.25">
      <c r="A886" s="2" t="s">
        <v>3527</v>
      </c>
      <c r="B886" s="2" t="s">
        <v>4151</v>
      </c>
      <c r="C886" s="4">
        <v>45747</v>
      </c>
      <c r="D886" s="4">
        <v>45747</v>
      </c>
      <c r="E886" s="2" t="s">
        <v>3562</v>
      </c>
      <c r="F886" s="2"/>
      <c r="G886" s="2" t="s">
        <v>180</v>
      </c>
      <c r="H886" s="2">
        <v>143.21</v>
      </c>
      <c r="I886" s="2"/>
      <c r="J886" s="2">
        <v>143.21</v>
      </c>
      <c r="K886" s="2">
        <v>100</v>
      </c>
      <c r="L886" s="2" t="s">
        <v>51</v>
      </c>
      <c r="M886" s="2" t="s">
        <v>3844</v>
      </c>
      <c r="N886" s="2" t="s">
        <v>3978</v>
      </c>
    </row>
    <row r="887" spans="1:14" ht="30" x14ac:dyDescent="0.25">
      <c r="A887" s="2" t="s">
        <v>3600</v>
      </c>
      <c r="B887" s="2" t="s">
        <v>4080</v>
      </c>
      <c r="C887" s="4">
        <v>45747</v>
      </c>
      <c r="D887" s="4">
        <v>45777</v>
      </c>
      <c r="E887" s="2" t="s">
        <v>4162</v>
      </c>
      <c r="F887" s="2"/>
      <c r="G887" s="2" t="s">
        <v>21</v>
      </c>
      <c r="H887" s="2">
        <v>6251.26</v>
      </c>
      <c r="I887" s="2"/>
      <c r="J887" s="2">
        <v>6251.26</v>
      </c>
      <c r="K887" s="2">
        <v>4365.1499999999996</v>
      </c>
      <c r="L887" s="2" t="s">
        <v>51</v>
      </c>
      <c r="M887" s="2" t="s">
        <v>3844</v>
      </c>
      <c r="N887" s="2" t="s">
        <v>3843</v>
      </c>
    </row>
    <row r="888" spans="1:14" ht="45" x14ac:dyDescent="0.25">
      <c r="A888" s="2" t="s">
        <v>2595</v>
      </c>
      <c r="B888" s="2" t="s">
        <v>1705</v>
      </c>
      <c r="C888" s="4">
        <v>45744</v>
      </c>
      <c r="D888" s="4">
        <v>45774</v>
      </c>
      <c r="E888" s="2" t="s">
        <v>1703</v>
      </c>
      <c r="F888" s="2"/>
      <c r="G888" s="2" t="s">
        <v>21</v>
      </c>
      <c r="H888" s="2">
        <v>546.22</v>
      </c>
      <c r="I888" s="2">
        <v>71.010000000000005</v>
      </c>
      <c r="J888" s="2">
        <v>617.23</v>
      </c>
      <c r="K888" s="2">
        <v>617.23</v>
      </c>
      <c r="L888" s="2" t="s">
        <v>22</v>
      </c>
      <c r="M888" s="2" t="s">
        <v>3844</v>
      </c>
      <c r="N888" s="2" t="s">
        <v>3843</v>
      </c>
    </row>
    <row r="889" spans="1:14" ht="30" x14ac:dyDescent="0.25">
      <c r="A889" s="2" t="s">
        <v>2596</v>
      </c>
      <c r="B889" s="2" t="s">
        <v>39</v>
      </c>
      <c r="C889" s="4">
        <v>45744</v>
      </c>
      <c r="D889" s="4">
        <v>45774</v>
      </c>
      <c r="E889" s="2" t="s">
        <v>1701</v>
      </c>
      <c r="F889" s="2"/>
      <c r="G889" s="2" t="s">
        <v>21</v>
      </c>
      <c r="H889" s="2">
        <v>264.24</v>
      </c>
      <c r="I889" s="2">
        <v>13.21</v>
      </c>
      <c r="J889" s="2">
        <v>277.45</v>
      </c>
      <c r="K889" s="2">
        <v>277.45</v>
      </c>
      <c r="L889" s="2" t="s">
        <v>22</v>
      </c>
      <c r="M889" s="2" t="s">
        <v>3844</v>
      </c>
      <c r="N889" s="2" t="s">
        <v>3843</v>
      </c>
    </row>
    <row r="890" spans="1:14" ht="30" x14ac:dyDescent="0.25">
      <c r="A890" s="2" t="s">
        <v>2549</v>
      </c>
      <c r="B890" s="2" t="s">
        <v>98</v>
      </c>
      <c r="C890" s="4">
        <v>45744</v>
      </c>
      <c r="D890" s="4">
        <v>45774</v>
      </c>
      <c r="E890" s="2" t="s">
        <v>1783</v>
      </c>
      <c r="F890" s="2"/>
      <c r="G890" s="2" t="s">
        <v>21</v>
      </c>
      <c r="H890" s="2">
        <v>2816.85</v>
      </c>
      <c r="I890" s="2">
        <v>366.19</v>
      </c>
      <c r="J890" s="2">
        <v>3183.04</v>
      </c>
      <c r="K890" s="2">
        <v>3183.04</v>
      </c>
      <c r="L890" s="2" t="s">
        <v>22</v>
      </c>
      <c r="M890" s="2" t="s">
        <v>3844</v>
      </c>
      <c r="N890" s="2" t="s">
        <v>3843</v>
      </c>
    </row>
    <row r="891" spans="1:14" ht="30" x14ac:dyDescent="0.25">
      <c r="A891" s="2" t="s">
        <v>2565</v>
      </c>
      <c r="B891" s="2" t="s">
        <v>98</v>
      </c>
      <c r="C891" s="4">
        <v>45744</v>
      </c>
      <c r="D891" s="4">
        <v>45774</v>
      </c>
      <c r="E891" s="2" t="s">
        <v>1755</v>
      </c>
      <c r="F891" s="2"/>
      <c r="G891" s="2" t="s">
        <v>21</v>
      </c>
      <c r="H891" s="2">
        <v>211.1</v>
      </c>
      <c r="I891" s="2">
        <v>27.44</v>
      </c>
      <c r="J891" s="2">
        <v>238.54</v>
      </c>
      <c r="K891" s="2">
        <v>238.54</v>
      </c>
      <c r="L891" s="2" t="s">
        <v>22</v>
      </c>
      <c r="M891" s="2" t="s">
        <v>3844</v>
      </c>
      <c r="N891" s="2" t="s">
        <v>3843</v>
      </c>
    </row>
    <row r="892" spans="1:14" ht="30" x14ac:dyDescent="0.25">
      <c r="A892" s="2" t="s">
        <v>2537</v>
      </c>
      <c r="B892" s="2" t="s">
        <v>98</v>
      </c>
      <c r="C892" s="4">
        <v>45744</v>
      </c>
      <c r="D892" s="4">
        <v>45774</v>
      </c>
      <c r="E892" s="2" t="s">
        <v>1804</v>
      </c>
      <c r="F892" s="2"/>
      <c r="G892" s="2" t="s">
        <v>21</v>
      </c>
      <c r="H892" s="2">
        <v>4672.05</v>
      </c>
      <c r="I892" s="2">
        <v>607.37</v>
      </c>
      <c r="J892" s="2">
        <v>5279.42</v>
      </c>
      <c r="K892" s="2">
        <v>5279.42</v>
      </c>
      <c r="L892" s="2" t="s">
        <v>22</v>
      </c>
      <c r="M892" s="2" t="s">
        <v>3844</v>
      </c>
      <c r="N892" s="2" t="s">
        <v>3843</v>
      </c>
    </row>
    <row r="893" spans="1:14" ht="30" x14ac:dyDescent="0.25">
      <c r="A893" s="2" t="s">
        <v>2500</v>
      </c>
      <c r="B893" s="2" t="s">
        <v>98</v>
      </c>
      <c r="C893" s="4">
        <v>45744</v>
      </c>
      <c r="D893" s="4">
        <v>45774</v>
      </c>
      <c r="E893" s="2" t="s">
        <v>1863</v>
      </c>
      <c r="F893" s="2"/>
      <c r="G893" s="2" t="s">
        <v>21</v>
      </c>
      <c r="H893" s="2">
        <v>2175.21</v>
      </c>
      <c r="I893" s="2">
        <v>282.77</v>
      </c>
      <c r="J893" s="2">
        <v>2457.98</v>
      </c>
      <c r="K893" s="2">
        <v>2457.98</v>
      </c>
      <c r="L893" s="2" t="s">
        <v>22</v>
      </c>
      <c r="M893" s="2" t="s">
        <v>3844</v>
      </c>
      <c r="N893" s="2" t="s">
        <v>3843</v>
      </c>
    </row>
    <row r="894" spans="1:14" ht="30" x14ac:dyDescent="0.25">
      <c r="A894" s="2" t="s">
        <v>2483</v>
      </c>
      <c r="B894" s="2" t="s">
        <v>98</v>
      </c>
      <c r="C894" s="4">
        <v>45744</v>
      </c>
      <c r="D894" s="4">
        <v>45774</v>
      </c>
      <c r="E894" s="2" t="s">
        <v>1895</v>
      </c>
      <c r="F894" s="2"/>
      <c r="G894" s="2" t="s">
        <v>21</v>
      </c>
      <c r="H894" s="2">
        <v>296.05</v>
      </c>
      <c r="I894" s="2">
        <v>38.49</v>
      </c>
      <c r="J894" s="2">
        <v>334.54</v>
      </c>
      <c r="K894" s="2">
        <v>334.54</v>
      </c>
      <c r="L894" s="2" t="s">
        <v>22</v>
      </c>
      <c r="M894" s="2" t="s">
        <v>3844</v>
      </c>
      <c r="N894" s="2" t="s">
        <v>3843</v>
      </c>
    </row>
    <row r="895" spans="1:14" ht="30" x14ac:dyDescent="0.25">
      <c r="A895" s="2" t="s">
        <v>2581</v>
      </c>
      <c r="B895" s="2" t="s">
        <v>47</v>
      </c>
      <c r="C895" s="4">
        <v>45744</v>
      </c>
      <c r="D895" s="4">
        <v>45774</v>
      </c>
      <c r="E895" s="2" t="s">
        <v>1728</v>
      </c>
      <c r="F895" s="2"/>
      <c r="G895" s="2" t="s">
        <v>21</v>
      </c>
      <c r="H895" s="2">
        <v>3197.94</v>
      </c>
      <c r="I895" s="2">
        <v>415.73</v>
      </c>
      <c r="J895" s="2">
        <v>3613.67</v>
      </c>
      <c r="K895" s="2">
        <v>3613.67</v>
      </c>
      <c r="L895" s="2" t="s">
        <v>22</v>
      </c>
      <c r="M895" s="2" t="s">
        <v>3844</v>
      </c>
      <c r="N895" s="2" t="s">
        <v>3843</v>
      </c>
    </row>
    <row r="896" spans="1:14" ht="30" x14ac:dyDescent="0.25">
      <c r="A896" s="2" t="s">
        <v>2587</v>
      </c>
      <c r="B896" s="2" t="s">
        <v>104</v>
      </c>
      <c r="C896" s="4">
        <v>45744</v>
      </c>
      <c r="D896" s="4">
        <v>45774</v>
      </c>
      <c r="E896" s="2" t="s">
        <v>1716</v>
      </c>
      <c r="F896" s="2"/>
      <c r="G896" s="2" t="s">
        <v>21</v>
      </c>
      <c r="H896" s="2">
        <v>2002.8</v>
      </c>
      <c r="I896" s="2">
        <v>100.14</v>
      </c>
      <c r="J896" s="2">
        <v>2102.94</v>
      </c>
      <c r="K896" s="2">
        <v>2102.94</v>
      </c>
      <c r="L896" s="2" t="s">
        <v>22</v>
      </c>
      <c r="M896" s="2" t="s">
        <v>3844</v>
      </c>
      <c r="N896" s="2" t="s">
        <v>3843</v>
      </c>
    </row>
    <row r="897" spans="1:14" ht="30" x14ac:dyDescent="0.25">
      <c r="A897" s="2" t="s">
        <v>2584</v>
      </c>
      <c r="B897" s="2" t="s">
        <v>104</v>
      </c>
      <c r="C897" s="4">
        <v>45744</v>
      </c>
      <c r="D897" s="4">
        <v>45774</v>
      </c>
      <c r="E897" s="2" t="s">
        <v>1722</v>
      </c>
      <c r="F897" s="2"/>
      <c r="G897" s="2" t="s">
        <v>21</v>
      </c>
      <c r="H897" s="2">
        <v>3099.56</v>
      </c>
      <c r="I897" s="2">
        <v>154.97999999999999</v>
      </c>
      <c r="J897" s="2">
        <v>3254.54</v>
      </c>
      <c r="K897" s="2">
        <v>3254.54</v>
      </c>
      <c r="L897" s="2" t="s">
        <v>22</v>
      </c>
      <c r="M897" s="2" t="s">
        <v>3844</v>
      </c>
      <c r="N897" s="2" t="s">
        <v>3843</v>
      </c>
    </row>
    <row r="898" spans="1:14" ht="45" x14ac:dyDescent="0.25">
      <c r="A898" s="2" t="s">
        <v>2567</v>
      </c>
      <c r="B898" s="2" t="s">
        <v>502</v>
      </c>
      <c r="C898" s="4">
        <v>45742</v>
      </c>
      <c r="D898" s="4">
        <v>45787</v>
      </c>
      <c r="E898" s="2" t="s">
        <v>1751</v>
      </c>
      <c r="F898" s="2"/>
      <c r="G898" s="2" t="s">
        <v>21</v>
      </c>
      <c r="H898" s="2">
        <v>5315.42</v>
      </c>
      <c r="I898" s="2">
        <v>265.77999999999997</v>
      </c>
      <c r="J898" s="2">
        <v>5581.2</v>
      </c>
      <c r="K898" s="2">
        <v>5581.2</v>
      </c>
      <c r="L898" s="2" t="s">
        <v>22</v>
      </c>
      <c r="M898" s="2" t="s">
        <v>3844</v>
      </c>
      <c r="N898" s="2" t="s">
        <v>3843</v>
      </c>
    </row>
    <row r="899" spans="1:14" ht="45" x14ac:dyDescent="0.25">
      <c r="A899" s="2" t="s">
        <v>2550</v>
      </c>
      <c r="B899" s="2" t="s">
        <v>502</v>
      </c>
      <c r="C899" s="4">
        <v>45742</v>
      </c>
      <c r="D899" s="4">
        <v>45787</v>
      </c>
      <c r="E899" s="2" t="s">
        <v>1781</v>
      </c>
      <c r="F899" s="2"/>
      <c r="G899" s="2" t="s">
        <v>21</v>
      </c>
      <c r="H899" s="2">
        <v>304.26</v>
      </c>
      <c r="I899" s="2">
        <v>15.21</v>
      </c>
      <c r="J899" s="2">
        <v>319.47000000000003</v>
      </c>
      <c r="K899" s="2">
        <v>319.47000000000003</v>
      </c>
      <c r="L899" s="2" t="s">
        <v>22</v>
      </c>
      <c r="M899" s="2" t="s">
        <v>3844</v>
      </c>
      <c r="N899" s="2" t="s">
        <v>3843</v>
      </c>
    </row>
    <row r="900" spans="1:14" x14ac:dyDescent="0.25">
      <c r="A900" s="2" t="s">
        <v>2580</v>
      </c>
      <c r="B900" s="2" t="s">
        <v>146</v>
      </c>
      <c r="C900" s="4">
        <v>45742</v>
      </c>
      <c r="D900" s="4">
        <v>45772</v>
      </c>
      <c r="E900" s="2" t="s">
        <v>1730</v>
      </c>
      <c r="F900" s="2"/>
      <c r="G900" s="2" t="s">
        <v>21</v>
      </c>
      <c r="H900" s="2">
        <v>516.9</v>
      </c>
      <c r="I900" s="2">
        <v>25.85</v>
      </c>
      <c r="J900" s="2">
        <v>542.75</v>
      </c>
      <c r="K900" s="2">
        <v>542.75</v>
      </c>
      <c r="L900" s="2" t="s">
        <v>22</v>
      </c>
      <c r="M900" s="2" t="s">
        <v>3844</v>
      </c>
      <c r="N900" s="2" t="s">
        <v>3843</v>
      </c>
    </row>
    <row r="901" spans="1:14" x14ac:dyDescent="0.25">
      <c r="A901" s="2" t="s">
        <v>2583</v>
      </c>
      <c r="B901" s="2" t="s">
        <v>146</v>
      </c>
      <c r="C901" s="4">
        <v>45742</v>
      </c>
      <c r="D901" s="4">
        <v>45772</v>
      </c>
      <c r="E901" s="2" t="s">
        <v>1724</v>
      </c>
      <c r="F901" s="2"/>
      <c r="G901" s="2" t="s">
        <v>21</v>
      </c>
      <c r="H901" s="2">
        <v>344.6</v>
      </c>
      <c r="I901" s="2">
        <v>17.23</v>
      </c>
      <c r="J901" s="2">
        <v>361.83</v>
      </c>
      <c r="K901" s="2">
        <v>361.83</v>
      </c>
      <c r="L901" s="2" t="s">
        <v>22</v>
      </c>
      <c r="M901" s="2" t="s">
        <v>3844</v>
      </c>
      <c r="N901" s="2" t="s">
        <v>3843</v>
      </c>
    </row>
    <row r="902" spans="1:14" ht="30" x14ac:dyDescent="0.25">
      <c r="A902" s="2" t="s">
        <v>2578</v>
      </c>
      <c r="B902" s="2" t="s">
        <v>104</v>
      </c>
      <c r="C902" s="4">
        <v>45742</v>
      </c>
      <c r="D902" s="4">
        <v>45772</v>
      </c>
      <c r="E902" s="2" t="s">
        <v>1734</v>
      </c>
      <c r="F902" s="2"/>
      <c r="G902" s="2" t="s">
        <v>21</v>
      </c>
      <c r="H902" s="2">
        <v>164.89</v>
      </c>
      <c r="I902" s="2">
        <v>8.24</v>
      </c>
      <c r="J902" s="2">
        <v>173.13</v>
      </c>
      <c r="K902" s="2">
        <v>173.13</v>
      </c>
      <c r="L902" s="2" t="s">
        <v>22</v>
      </c>
      <c r="M902" s="2" t="s">
        <v>3844</v>
      </c>
      <c r="N902" s="2" t="s">
        <v>3843</v>
      </c>
    </row>
    <row r="903" spans="1:14" x14ac:dyDescent="0.25">
      <c r="A903" s="2" t="s">
        <v>3602</v>
      </c>
      <c r="B903" s="2" t="s">
        <v>714</v>
      </c>
      <c r="C903" s="4">
        <v>45742</v>
      </c>
      <c r="D903" s="4">
        <v>45772</v>
      </c>
      <c r="E903" s="2" t="s">
        <v>3994</v>
      </c>
      <c r="F903" s="2"/>
      <c r="G903" s="2" t="s">
        <v>21</v>
      </c>
      <c r="H903" s="2">
        <v>1165.4100000000001</v>
      </c>
      <c r="I903" s="2"/>
      <c r="J903" s="2">
        <v>1165.4100000000001</v>
      </c>
      <c r="K903" s="2">
        <v>814.45</v>
      </c>
      <c r="L903" s="2" t="s">
        <v>51</v>
      </c>
      <c r="M903" s="2" t="s">
        <v>3844</v>
      </c>
      <c r="N903" s="2" t="s">
        <v>3843</v>
      </c>
    </row>
    <row r="904" spans="1:14" x14ac:dyDescent="0.25">
      <c r="A904" s="2" t="s">
        <v>2404</v>
      </c>
      <c r="B904" s="2" t="s">
        <v>714</v>
      </c>
      <c r="C904" s="4">
        <v>45742</v>
      </c>
      <c r="D904" s="4">
        <v>45772</v>
      </c>
      <c r="E904" s="2" t="s">
        <v>2032</v>
      </c>
      <c r="F904" s="2"/>
      <c r="G904" s="2" t="s">
        <v>21</v>
      </c>
      <c r="H904" s="2">
        <v>669.76</v>
      </c>
      <c r="I904" s="2"/>
      <c r="J904" s="2">
        <v>669.76</v>
      </c>
      <c r="K904" s="2">
        <v>468.06</v>
      </c>
      <c r="L904" s="2" t="s">
        <v>51</v>
      </c>
      <c r="M904" s="2" t="s">
        <v>3844</v>
      </c>
      <c r="N904" s="2" t="s">
        <v>3843</v>
      </c>
    </row>
    <row r="905" spans="1:14" x14ac:dyDescent="0.25">
      <c r="A905" s="2" t="s">
        <v>2582</v>
      </c>
      <c r="B905" s="2" t="s">
        <v>714</v>
      </c>
      <c r="C905" s="4">
        <v>45742</v>
      </c>
      <c r="D905" s="4">
        <v>45772</v>
      </c>
      <c r="E905" s="2" t="s">
        <v>1726</v>
      </c>
      <c r="F905" s="2"/>
      <c r="G905" s="2" t="s">
        <v>21</v>
      </c>
      <c r="H905" s="2">
        <v>7831.93</v>
      </c>
      <c r="I905" s="2"/>
      <c r="J905" s="2">
        <v>7831.93</v>
      </c>
      <c r="K905" s="2">
        <v>5473.35</v>
      </c>
      <c r="L905" s="2" t="s">
        <v>51</v>
      </c>
      <c r="M905" s="2" t="s">
        <v>3844</v>
      </c>
      <c r="N905" s="2" t="s">
        <v>3843</v>
      </c>
    </row>
    <row r="906" spans="1:14" x14ac:dyDescent="0.25">
      <c r="A906" s="2" t="s">
        <v>2511</v>
      </c>
      <c r="B906" s="2" t="s">
        <v>54</v>
      </c>
      <c r="C906" s="4">
        <v>45741</v>
      </c>
      <c r="D906" s="4">
        <v>45771</v>
      </c>
      <c r="E906" s="2" t="s">
        <v>1846</v>
      </c>
      <c r="F906" s="2"/>
      <c r="G906" s="2" t="s">
        <v>21</v>
      </c>
      <c r="H906" s="2">
        <v>381.72</v>
      </c>
      <c r="I906" s="2">
        <v>19.09</v>
      </c>
      <c r="J906" s="2">
        <v>400.81</v>
      </c>
      <c r="K906" s="2">
        <v>400.81</v>
      </c>
      <c r="L906" s="2" t="s">
        <v>22</v>
      </c>
      <c r="M906" s="2" t="s">
        <v>3844</v>
      </c>
      <c r="N906" s="2" t="s">
        <v>3843</v>
      </c>
    </row>
    <row r="907" spans="1:14" x14ac:dyDescent="0.25">
      <c r="A907" s="2" t="s">
        <v>2318</v>
      </c>
      <c r="B907" s="2" t="s">
        <v>54</v>
      </c>
      <c r="C907" s="4">
        <v>45741</v>
      </c>
      <c r="D907" s="4">
        <v>45771</v>
      </c>
      <c r="E907" s="2" t="s">
        <v>2175</v>
      </c>
      <c r="F907" s="2"/>
      <c r="G907" s="2" t="s">
        <v>21</v>
      </c>
      <c r="H907" s="2">
        <v>1578.98</v>
      </c>
      <c r="I907" s="2">
        <v>78.95</v>
      </c>
      <c r="J907" s="2">
        <v>1657.93</v>
      </c>
      <c r="K907" s="2">
        <v>1657.93</v>
      </c>
      <c r="L907" s="2" t="s">
        <v>22</v>
      </c>
      <c r="M907" s="2" t="s">
        <v>3844</v>
      </c>
      <c r="N907" s="2" t="s">
        <v>3843</v>
      </c>
    </row>
    <row r="908" spans="1:14" x14ac:dyDescent="0.25">
      <c r="A908" s="2" t="s">
        <v>2576</v>
      </c>
      <c r="B908" s="2" t="s">
        <v>77</v>
      </c>
      <c r="C908" s="4">
        <v>45741</v>
      </c>
      <c r="D908" s="4">
        <v>45771</v>
      </c>
      <c r="E908" s="2" t="s">
        <v>1738</v>
      </c>
      <c r="F908" s="2"/>
      <c r="G908" s="2" t="s">
        <v>21</v>
      </c>
      <c r="H908" s="2">
        <v>160.08000000000001</v>
      </c>
      <c r="I908" s="2">
        <v>8</v>
      </c>
      <c r="J908" s="2">
        <v>168.08</v>
      </c>
      <c r="K908" s="2">
        <v>168.08</v>
      </c>
      <c r="L908" s="2" t="s">
        <v>22</v>
      </c>
      <c r="M908" s="2" t="s">
        <v>3844</v>
      </c>
      <c r="N908" s="2" t="s">
        <v>3843</v>
      </c>
    </row>
    <row r="909" spans="1:14" ht="30" x14ac:dyDescent="0.25">
      <c r="A909" s="2" t="s">
        <v>2492</v>
      </c>
      <c r="B909" s="2" t="s">
        <v>39</v>
      </c>
      <c r="C909" s="4">
        <v>45741</v>
      </c>
      <c r="D909" s="4">
        <v>45771</v>
      </c>
      <c r="E909" s="2" t="s">
        <v>1875</v>
      </c>
      <c r="F909" s="2"/>
      <c r="G909" s="2" t="s">
        <v>21</v>
      </c>
      <c r="H909" s="2">
        <v>214.2</v>
      </c>
      <c r="I909" s="2">
        <v>10.71</v>
      </c>
      <c r="J909" s="2">
        <v>224.91</v>
      </c>
      <c r="K909" s="2">
        <v>224.91</v>
      </c>
      <c r="L909" s="2" t="s">
        <v>22</v>
      </c>
      <c r="M909" s="2" t="s">
        <v>3844</v>
      </c>
      <c r="N909" s="2" t="s">
        <v>3843</v>
      </c>
    </row>
    <row r="910" spans="1:14" ht="30" x14ac:dyDescent="0.25">
      <c r="A910" s="2" t="s">
        <v>2340</v>
      </c>
      <c r="B910" s="2" t="s">
        <v>86</v>
      </c>
      <c r="C910" s="4">
        <v>45741</v>
      </c>
      <c r="D910" s="4">
        <v>45771</v>
      </c>
      <c r="E910" s="2" t="s">
        <v>2137</v>
      </c>
      <c r="F910" s="2"/>
      <c r="G910" s="2" t="s">
        <v>21</v>
      </c>
      <c r="H910" s="2">
        <v>5107.37</v>
      </c>
      <c r="I910" s="2">
        <v>255.37</v>
      </c>
      <c r="J910" s="2">
        <v>5362.74</v>
      </c>
      <c r="K910" s="2">
        <v>5362.74</v>
      </c>
      <c r="L910" s="2" t="s">
        <v>22</v>
      </c>
      <c r="M910" s="2" t="s">
        <v>3844</v>
      </c>
      <c r="N910" s="2" t="s">
        <v>3843</v>
      </c>
    </row>
    <row r="911" spans="1:14" ht="30" x14ac:dyDescent="0.25">
      <c r="A911" s="2" t="s">
        <v>2497</v>
      </c>
      <c r="B911" s="2" t="s">
        <v>20</v>
      </c>
      <c r="C911" s="4">
        <v>45741</v>
      </c>
      <c r="D911" s="4">
        <v>45801</v>
      </c>
      <c r="E911" s="2" t="s">
        <v>1867</v>
      </c>
      <c r="F911" s="2"/>
      <c r="G911" s="2" t="s">
        <v>21</v>
      </c>
      <c r="H911" s="2">
        <v>1948.11</v>
      </c>
      <c r="I911" s="2">
        <v>97.41</v>
      </c>
      <c r="J911" s="2">
        <v>2045.52</v>
      </c>
      <c r="K911" s="2">
        <v>2045.52</v>
      </c>
      <c r="L911" s="2" t="s">
        <v>22</v>
      </c>
      <c r="M911" s="2" t="s">
        <v>3844</v>
      </c>
      <c r="N911" s="2" t="s">
        <v>3843</v>
      </c>
    </row>
    <row r="912" spans="1:14" ht="30" x14ac:dyDescent="0.25">
      <c r="A912" s="2" t="s">
        <v>3610</v>
      </c>
      <c r="B912" s="2" t="s">
        <v>20</v>
      </c>
      <c r="C912" s="4">
        <v>45741</v>
      </c>
      <c r="D912" s="4">
        <v>45801</v>
      </c>
      <c r="E912" s="2" t="s">
        <v>4161</v>
      </c>
      <c r="F912" s="2"/>
      <c r="G912" s="2" t="s">
        <v>21</v>
      </c>
      <c r="H912" s="2">
        <v>6344.11</v>
      </c>
      <c r="I912" s="2">
        <v>824.73</v>
      </c>
      <c r="J912" s="2">
        <v>7168.84</v>
      </c>
      <c r="K912" s="2">
        <v>7168.84</v>
      </c>
      <c r="L912" s="2" t="s">
        <v>22</v>
      </c>
      <c r="M912" s="2" t="s">
        <v>3844</v>
      </c>
      <c r="N912" s="2" t="s">
        <v>3843</v>
      </c>
    </row>
    <row r="913" spans="1:14" x14ac:dyDescent="0.25">
      <c r="A913" s="2" t="s">
        <v>3604</v>
      </c>
      <c r="B913" s="2" t="s">
        <v>141</v>
      </c>
      <c r="C913" s="4">
        <v>45741</v>
      </c>
      <c r="D913" s="4">
        <v>45786</v>
      </c>
      <c r="E913" s="2" t="s">
        <v>4160</v>
      </c>
      <c r="F913" s="2"/>
      <c r="G913" s="2" t="s">
        <v>21</v>
      </c>
      <c r="H913" s="2">
        <v>5526.16</v>
      </c>
      <c r="I913" s="2"/>
      <c r="J913" s="2">
        <v>5526.16</v>
      </c>
      <c r="K913" s="2">
        <v>3866.07</v>
      </c>
      <c r="L913" s="2" t="s">
        <v>51</v>
      </c>
      <c r="M913" s="2" t="s">
        <v>3844</v>
      </c>
      <c r="N913" s="2" t="s">
        <v>3843</v>
      </c>
    </row>
    <row r="914" spans="1:14" x14ac:dyDescent="0.25">
      <c r="A914" s="2" t="s">
        <v>2373</v>
      </c>
      <c r="B914" s="2" t="s">
        <v>141</v>
      </c>
      <c r="C914" s="4">
        <v>45741</v>
      </c>
      <c r="D914" s="4">
        <v>45786</v>
      </c>
      <c r="E914" s="2" t="s">
        <v>2076</v>
      </c>
      <c r="F914" s="2"/>
      <c r="G914" s="2" t="s">
        <v>21</v>
      </c>
      <c r="H914" s="2">
        <v>3529.19</v>
      </c>
      <c r="I914" s="2"/>
      <c r="J914" s="2">
        <v>3529.19</v>
      </c>
      <c r="K914" s="2">
        <v>2469</v>
      </c>
      <c r="L914" s="2" t="s">
        <v>51</v>
      </c>
      <c r="M914" s="2" t="s">
        <v>3844</v>
      </c>
      <c r="N914" s="2" t="s">
        <v>3843</v>
      </c>
    </row>
    <row r="915" spans="1:14" x14ac:dyDescent="0.25">
      <c r="A915" s="2" t="s">
        <v>3608</v>
      </c>
      <c r="B915" s="2" t="s">
        <v>141</v>
      </c>
      <c r="C915" s="4">
        <v>45741</v>
      </c>
      <c r="D915" s="4">
        <v>45786</v>
      </c>
      <c r="E915" s="2" t="s">
        <v>4159</v>
      </c>
      <c r="F915" s="2"/>
      <c r="G915" s="2" t="s">
        <v>21</v>
      </c>
      <c r="H915" s="2">
        <v>9286.9599999999991</v>
      </c>
      <c r="I915" s="2"/>
      <c r="J915" s="2">
        <v>9286.9599999999991</v>
      </c>
      <c r="K915" s="2">
        <v>6497.11</v>
      </c>
      <c r="L915" s="2" t="s">
        <v>51</v>
      </c>
      <c r="M915" s="2" t="s">
        <v>3844</v>
      </c>
      <c r="N915" s="2" t="s">
        <v>3843</v>
      </c>
    </row>
    <row r="916" spans="1:14" x14ac:dyDescent="0.25">
      <c r="A916" s="2" t="s">
        <v>3606</v>
      </c>
      <c r="B916" s="2" t="s">
        <v>141</v>
      </c>
      <c r="C916" s="4">
        <v>45741</v>
      </c>
      <c r="D916" s="4">
        <v>45786</v>
      </c>
      <c r="E916" s="2" t="s">
        <v>4158</v>
      </c>
      <c r="F916" s="2"/>
      <c r="G916" s="2" t="s">
        <v>21</v>
      </c>
      <c r="H916" s="2">
        <v>10949.11</v>
      </c>
      <c r="I916" s="2"/>
      <c r="J916" s="2">
        <v>10949.11</v>
      </c>
      <c r="K916" s="2">
        <v>7659.94</v>
      </c>
      <c r="L916" s="2" t="s">
        <v>51</v>
      </c>
      <c r="M916" s="2" t="s">
        <v>3844</v>
      </c>
      <c r="N916" s="2" t="s">
        <v>3843</v>
      </c>
    </row>
    <row r="917" spans="1:14" ht="45" x14ac:dyDescent="0.25">
      <c r="A917" s="2" t="s">
        <v>2561</v>
      </c>
      <c r="B917" s="2" t="s">
        <v>502</v>
      </c>
      <c r="C917" s="4">
        <v>45740</v>
      </c>
      <c r="D917" s="4">
        <v>45785</v>
      </c>
      <c r="E917" s="2" t="s">
        <v>1761</v>
      </c>
      <c r="F917" s="2"/>
      <c r="G917" s="2" t="s">
        <v>21</v>
      </c>
      <c r="H917" s="2">
        <v>1126.22</v>
      </c>
      <c r="I917" s="2">
        <v>56.31</v>
      </c>
      <c r="J917" s="2">
        <v>1182.53</v>
      </c>
      <c r="K917" s="2">
        <v>1182.53</v>
      </c>
      <c r="L917" s="2" t="s">
        <v>22</v>
      </c>
      <c r="M917" s="2" t="s">
        <v>3844</v>
      </c>
      <c r="N917" s="2" t="s">
        <v>3843</v>
      </c>
    </row>
    <row r="918" spans="1:14" x14ac:dyDescent="0.25">
      <c r="A918" s="2" t="s">
        <v>3612</v>
      </c>
      <c r="B918" s="2" t="s">
        <v>54</v>
      </c>
      <c r="C918" s="4">
        <v>45740</v>
      </c>
      <c r="D918" s="4">
        <v>45770</v>
      </c>
      <c r="E918" s="2" t="s">
        <v>4100</v>
      </c>
      <c r="F918" s="2"/>
      <c r="G918" s="2" t="s">
        <v>21</v>
      </c>
      <c r="H918" s="2">
        <v>614.88</v>
      </c>
      <c r="I918" s="2">
        <v>30.74</v>
      </c>
      <c r="J918" s="2">
        <v>645.62</v>
      </c>
      <c r="K918" s="2">
        <v>645.62</v>
      </c>
      <c r="L918" s="2" t="s">
        <v>22</v>
      </c>
      <c r="M918" s="2" t="s">
        <v>3844</v>
      </c>
      <c r="N918" s="2" t="s">
        <v>3843</v>
      </c>
    </row>
    <row r="919" spans="1:14" ht="30" x14ac:dyDescent="0.25">
      <c r="A919" s="2" t="s">
        <v>2448</v>
      </c>
      <c r="B919" s="2" t="s">
        <v>159</v>
      </c>
      <c r="C919" s="4">
        <v>45740</v>
      </c>
      <c r="D919" s="4">
        <v>45785</v>
      </c>
      <c r="E919" s="2" t="s">
        <v>1960</v>
      </c>
      <c r="F919" s="2"/>
      <c r="G919" s="2" t="s">
        <v>426</v>
      </c>
      <c r="H919" s="2">
        <v>12591.08</v>
      </c>
      <c r="I919" s="2"/>
      <c r="J919" s="2">
        <v>12591.08</v>
      </c>
      <c r="K919" s="2">
        <v>8775.27</v>
      </c>
      <c r="L919" s="2" t="s">
        <v>51</v>
      </c>
      <c r="M919" s="2" t="s">
        <v>3844</v>
      </c>
      <c r="N919" s="2" t="s">
        <v>3843</v>
      </c>
    </row>
    <row r="920" spans="1:14" x14ac:dyDescent="0.25">
      <c r="A920" s="2" t="s">
        <v>2569</v>
      </c>
      <c r="B920" s="2" t="s">
        <v>581</v>
      </c>
      <c r="C920" s="4">
        <v>45740</v>
      </c>
      <c r="D920" s="4">
        <v>45770</v>
      </c>
      <c r="E920" s="2" t="s">
        <v>1747</v>
      </c>
      <c r="F920" s="2"/>
      <c r="G920" s="2" t="s">
        <v>21</v>
      </c>
      <c r="H920" s="2">
        <v>182.28</v>
      </c>
      <c r="I920" s="2"/>
      <c r="J920" s="2">
        <v>182.28</v>
      </c>
      <c r="K920" s="2">
        <v>127.04</v>
      </c>
      <c r="L920" s="2" t="s">
        <v>51</v>
      </c>
      <c r="M920" s="2" t="s">
        <v>3844</v>
      </c>
      <c r="N920" s="2" t="s">
        <v>3843</v>
      </c>
    </row>
    <row r="921" spans="1:14" ht="30" x14ac:dyDescent="0.25">
      <c r="A921" s="2" t="s">
        <v>2465</v>
      </c>
      <c r="B921" s="2" t="s">
        <v>159</v>
      </c>
      <c r="C921" s="4">
        <v>45740</v>
      </c>
      <c r="D921" s="4">
        <v>45770</v>
      </c>
      <c r="E921" s="2" t="s">
        <v>1930</v>
      </c>
      <c r="F921" s="2"/>
      <c r="G921" s="2" t="s">
        <v>426</v>
      </c>
      <c r="H921" s="2">
        <v>252.53</v>
      </c>
      <c r="I921" s="2"/>
      <c r="J921" s="2">
        <v>252.53</v>
      </c>
      <c r="K921" s="2">
        <v>176</v>
      </c>
      <c r="L921" s="2" t="s">
        <v>51</v>
      </c>
      <c r="M921" s="2" t="s">
        <v>3844</v>
      </c>
      <c r="N921" s="2" t="s">
        <v>3843</v>
      </c>
    </row>
    <row r="922" spans="1:14" ht="30" x14ac:dyDescent="0.25">
      <c r="A922" s="2" t="s">
        <v>2415</v>
      </c>
      <c r="B922" s="2" t="s">
        <v>159</v>
      </c>
      <c r="C922" s="4">
        <v>45740</v>
      </c>
      <c r="D922" s="4">
        <v>45785</v>
      </c>
      <c r="E922" s="2" t="s">
        <v>2017</v>
      </c>
      <c r="F922" s="2"/>
      <c r="G922" s="2" t="s">
        <v>426</v>
      </c>
      <c r="H922" s="2">
        <v>4197.03</v>
      </c>
      <c r="I922" s="2"/>
      <c r="J922" s="2">
        <v>4197.03</v>
      </c>
      <c r="K922" s="2">
        <v>2925.09</v>
      </c>
      <c r="L922" s="2" t="s">
        <v>51</v>
      </c>
      <c r="M922" s="2" t="s">
        <v>3844</v>
      </c>
      <c r="N922" s="2" t="s">
        <v>3843</v>
      </c>
    </row>
    <row r="923" spans="1:14" ht="30" x14ac:dyDescent="0.25">
      <c r="A923" s="2" t="s">
        <v>2477</v>
      </c>
      <c r="B923" s="2" t="s">
        <v>159</v>
      </c>
      <c r="C923" s="4">
        <v>45740</v>
      </c>
      <c r="D923" s="4">
        <v>45785</v>
      </c>
      <c r="E923" s="2" t="s">
        <v>1907</v>
      </c>
      <c r="F923" s="2"/>
      <c r="G923" s="2" t="s">
        <v>426</v>
      </c>
      <c r="H923" s="2">
        <v>1260.69</v>
      </c>
      <c r="I923" s="2"/>
      <c r="J923" s="2">
        <v>1260.69</v>
      </c>
      <c r="K923" s="2">
        <v>878.63</v>
      </c>
      <c r="L923" s="2" t="s">
        <v>51</v>
      </c>
      <c r="M923" s="2" t="s">
        <v>3844</v>
      </c>
      <c r="N923" s="2" t="s">
        <v>3843</v>
      </c>
    </row>
    <row r="924" spans="1:14" ht="30" x14ac:dyDescent="0.25">
      <c r="A924" s="2" t="s">
        <v>2481</v>
      </c>
      <c r="B924" s="2" t="s">
        <v>159</v>
      </c>
      <c r="C924" s="4">
        <v>45740</v>
      </c>
      <c r="D924" s="4">
        <v>45785</v>
      </c>
      <c r="E924" s="2" t="s">
        <v>1899</v>
      </c>
      <c r="F924" s="2"/>
      <c r="G924" s="2" t="s">
        <v>426</v>
      </c>
      <c r="H924" s="2">
        <v>45671.199999999997</v>
      </c>
      <c r="I924" s="2"/>
      <c r="J924" s="2">
        <v>45671.199999999997</v>
      </c>
      <c r="K924" s="2">
        <v>31830.240000000002</v>
      </c>
      <c r="L924" s="2" t="s">
        <v>51</v>
      </c>
      <c r="M924" s="2" t="s">
        <v>3844</v>
      </c>
      <c r="N924" s="2" t="s">
        <v>3843</v>
      </c>
    </row>
    <row r="925" spans="1:14" ht="30" x14ac:dyDescent="0.25">
      <c r="A925" s="2" t="s">
        <v>2530</v>
      </c>
      <c r="B925" s="2" t="s">
        <v>159</v>
      </c>
      <c r="C925" s="4">
        <v>45740</v>
      </c>
      <c r="D925" s="4">
        <v>45785</v>
      </c>
      <c r="E925" s="2" t="s">
        <v>1815</v>
      </c>
      <c r="F925" s="2"/>
      <c r="G925" s="2" t="s">
        <v>426</v>
      </c>
      <c r="H925" s="2">
        <v>1260.69</v>
      </c>
      <c r="I925" s="2"/>
      <c r="J925" s="2">
        <v>1260.69</v>
      </c>
      <c r="K925" s="2">
        <v>878.63</v>
      </c>
      <c r="L925" s="2" t="s">
        <v>51</v>
      </c>
      <c r="M925" s="2" t="s">
        <v>3844</v>
      </c>
      <c r="N925" s="2" t="s">
        <v>3843</v>
      </c>
    </row>
    <row r="926" spans="1:14" ht="30" x14ac:dyDescent="0.25">
      <c r="A926" s="2" t="s">
        <v>2295</v>
      </c>
      <c r="B926" s="2" t="s">
        <v>159</v>
      </c>
      <c r="C926" s="4">
        <v>45740</v>
      </c>
      <c r="D926" s="4">
        <v>45785</v>
      </c>
      <c r="E926" s="2" t="s">
        <v>2222</v>
      </c>
      <c r="F926" s="2"/>
      <c r="G926" s="2" t="s">
        <v>426</v>
      </c>
      <c r="H926" s="2">
        <v>15697.11</v>
      </c>
      <c r="I926" s="2"/>
      <c r="J926" s="2">
        <v>15697.11</v>
      </c>
      <c r="K926" s="2">
        <v>10940</v>
      </c>
      <c r="L926" s="2" t="s">
        <v>51</v>
      </c>
      <c r="M926" s="2" t="s">
        <v>3844</v>
      </c>
      <c r="N926" s="2" t="s">
        <v>3843</v>
      </c>
    </row>
    <row r="927" spans="1:14" ht="30" x14ac:dyDescent="0.25">
      <c r="A927" s="2" t="s">
        <v>2476</v>
      </c>
      <c r="B927" s="2" t="s">
        <v>159</v>
      </c>
      <c r="C927" s="4">
        <v>45740</v>
      </c>
      <c r="D927" s="4">
        <v>45785</v>
      </c>
      <c r="E927" s="2" t="s">
        <v>1909</v>
      </c>
      <c r="F927" s="2"/>
      <c r="G927" s="2" t="s">
        <v>426</v>
      </c>
      <c r="H927" s="2">
        <v>3941.23</v>
      </c>
      <c r="I927" s="2"/>
      <c r="J927" s="2">
        <v>3941.23</v>
      </c>
      <c r="K927" s="2">
        <v>2746.82</v>
      </c>
      <c r="L927" s="2" t="s">
        <v>51</v>
      </c>
      <c r="M927" s="2" t="s">
        <v>3844</v>
      </c>
      <c r="N927" s="2" t="s">
        <v>3843</v>
      </c>
    </row>
    <row r="928" spans="1:14" ht="45" x14ac:dyDescent="0.25">
      <c r="A928" s="2" t="s">
        <v>2571</v>
      </c>
      <c r="B928" s="2" t="s">
        <v>4157</v>
      </c>
      <c r="C928" s="4">
        <v>45737</v>
      </c>
      <c r="D928" s="4">
        <v>45767</v>
      </c>
      <c r="E928" s="2" t="s">
        <v>1742</v>
      </c>
      <c r="F928" s="2"/>
      <c r="G928" s="2" t="s">
        <v>21</v>
      </c>
      <c r="H928" s="2">
        <v>171.09</v>
      </c>
      <c r="I928" s="2">
        <v>8.5500000000000007</v>
      </c>
      <c r="J928" s="2">
        <v>179.64</v>
      </c>
      <c r="K928" s="2">
        <v>179.64</v>
      </c>
      <c r="L928" s="2" t="s">
        <v>22</v>
      </c>
      <c r="M928" s="2" t="s">
        <v>3844</v>
      </c>
      <c r="N928" s="2" t="s">
        <v>3843</v>
      </c>
    </row>
    <row r="929" spans="1:14" ht="30" x14ac:dyDescent="0.25">
      <c r="A929" s="2" t="s">
        <v>2570</v>
      </c>
      <c r="B929" s="2" t="s">
        <v>20</v>
      </c>
      <c r="C929" s="4">
        <v>45737</v>
      </c>
      <c r="D929" s="4">
        <v>45797</v>
      </c>
      <c r="E929" s="2" t="s">
        <v>1745</v>
      </c>
      <c r="F929" s="2"/>
      <c r="G929" s="2" t="s">
        <v>21</v>
      </c>
      <c r="H929" s="2">
        <v>301.76</v>
      </c>
      <c r="I929" s="2">
        <v>15.09</v>
      </c>
      <c r="J929" s="2">
        <v>316.85000000000002</v>
      </c>
      <c r="K929" s="2">
        <v>316.85000000000002</v>
      </c>
      <c r="L929" s="2" t="s">
        <v>22</v>
      </c>
      <c r="M929" s="2" t="s">
        <v>3844</v>
      </c>
      <c r="N929" s="2" t="s">
        <v>3843</v>
      </c>
    </row>
    <row r="930" spans="1:14" x14ac:dyDescent="0.25">
      <c r="A930" s="2" t="s">
        <v>2395</v>
      </c>
      <c r="B930" s="2" t="s">
        <v>146</v>
      </c>
      <c r="C930" s="4">
        <v>45737</v>
      </c>
      <c r="D930" s="4">
        <v>45767</v>
      </c>
      <c r="E930" s="2" t="s">
        <v>2048</v>
      </c>
      <c r="F930" s="2"/>
      <c r="G930" s="2" t="s">
        <v>1132</v>
      </c>
      <c r="H930" s="2">
        <v>172.3</v>
      </c>
      <c r="I930" s="2">
        <v>8.6199999999999992</v>
      </c>
      <c r="J930" s="2">
        <v>180.92</v>
      </c>
      <c r="K930" s="2">
        <v>180.92</v>
      </c>
      <c r="L930" s="2" t="s">
        <v>22</v>
      </c>
      <c r="M930" s="2" t="s">
        <v>3844</v>
      </c>
      <c r="N930" s="2" t="s">
        <v>3843</v>
      </c>
    </row>
    <row r="931" spans="1:14" x14ac:dyDescent="0.25">
      <c r="A931" s="2" t="s">
        <v>2454</v>
      </c>
      <c r="B931" s="2" t="s">
        <v>77</v>
      </c>
      <c r="C931" s="4">
        <v>45737</v>
      </c>
      <c r="D931" s="4">
        <v>45767</v>
      </c>
      <c r="E931" s="2" t="s">
        <v>1948</v>
      </c>
      <c r="F931" s="2"/>
      <c r="G931" s="2" t="s">
        <v>21</v>
      </c>
      <c r="H931" s="2">
        <v>5934.85</v>
      </c>
      <c r="I931" s="2">
        <v>296.74</v>
      </c>
      <c r="J931" s="2">
        <v>6231.59</v>
      </c>
      <c r="K931" s="2">
        <v>6231.59</v>
      </c>
      <c r="L931" s="2" t="s">
        <v>22</v>
      </c>
      <c r="M931" s="2" t="s">
        <v>3844</v>
      </c>
      <c r="N931" s="2" t="s">
        <v>3843</v>
      </c>
    </row>
    <row r="932" spans="1:14" x14ac:dyDescent="0.25">
      <c r="A932" s="2" t="s">
        <v>2559</v>
      </c>
      <c r="B932" s="2" t="s">
        <v>146</v>
      </c>
      <c r="C932" s="4">
        <v>45736</v>
      </c>
      <c r="D932" s="4">
        <v>45766</v>
      </c>
      <c r="E932" s="2" t="s">
        <v>1763</v>
      </c>
      <c r="F932" s="2"/>
      <c r="G932" s="2" t="s">
        <v>21</v>
      </c>
      <c r="H932" s="2">
        <v>6571.4</v>
      </c>
      <c r="I932" s="2">
        <v>328.57</v>
      </c>
      <c r="J932" s="2">
        <v>6899.97</v>
      </c>
      <c r="K932" s="2">
        <v>6899.97</v>
      </c>
      <c r="L932" s="2" t="s">
        <v>22</v>
      </c>
      <c r="M932" s="2" t="s">
        <v>3844</v>
      </c>
      <c r="N932" s="2" t="s">
        <v>3843</v>
      </c>
    </row>
    <row r="933" spans="1:14" ht="30" x14ac:dyDescent="0.25">
      <c r="A933" s="2" t="s">
        <v>2566</v>
      </c>
      <c r="B933" s="2" t="s">
        <v>104</v>
      </c>
      <c r="C933" s="4">
        <v>45736</v>
      </c>
      <c r="D933" s="4">
        <v>45766</v>
      </c>
      <c r="E933" s="2" t="s">
        <v>1753</v>
      </c>
      <c r="F933" s="2"/>
      <c r="G933" s="2" t="s">
        <v>21</v>
      </c>
      <c r="H933" s="2">
        <v>147.72999999999999</v>
      </c>
      <c r="I933" s="2">
        <v>7.39</v>
      </c>
      <c r="J933" s="2">
        <v>155.12</v>
      </c>
      <c r="K933" s="2">
        <v>155.12</v>
      </c>
      <c r="L933" s="2" t="s">
        <v>22</v>
      </c>
      <c r="M933" s="2" t="s">
        <v>3844</v>
      </c>
      <c r="N933" s="2" t="s">
        <v>3843</v>
      </c>
    </row>
    <row r="934" spans="1:14" ht="30" x14ac:dyDescent="0.25">
      <c r="A934" s="2" t="s">
        <v>2556</v>
      </c>
      <c r="B934" s="2" t="s">
        <v>20</v>
      </c>
      <c r="C934" s="4">
        <v>45735</v>
      </c>
      <c r="D934" s="4">
        <v>45795</v>
      </c>
      <c r="E934" s="2" t="s">
        <v>1769</v>
      </c>
      <c r="F934" s="2"/>
      <c r="G934" s="2" t="s">
        <v>21</v>
      </c>
      <c r="H934" s="2">
        <v>523.41</v>
      </c>
      <c r="I934" s="2">
        <v>26.17</v>
      </c>
      <c r="J934" s="2">
        <v>549.58000000000004</v>
      </c>
      <c r="K934" s="2">
        <v>549.58000000000004</v>
      </c>
      <c r="L934" s="2" t="s">
        <v>22</v>
      </c>
      <c r="M934" s="2" t="s">
        <v>3844</v>
      </c>
      <c r="N934" s="2" t="s">
        <v>3843</v>
      </c>
    </row>
    <row r="935" spans="1:14" x14ac:dyDescent="0.25">
      <c r="A935" s="2" t="s">
        <v>2563</v>
      </c>
      <c r="B935" s="2" t="s">
        <v>89</v>
      </c>
      <c r="C935" s="4">
        <v>45735</v>
      </c>
      <c r="D935" s="4">
        <v>45765</v>
      </c>
      <c r="E935" s="2" t="s">
        <v>1757</v>
      </c>
      <c r="F935" s="2"/>
      <c r="G935" s="2" t="s">
        <v>21</v>
      </c>
      <c r="H935" s="2">
        <v>1487.32</v>
      </c>
      <c r="I935" s="2">
        <v>74.37</v>
      </c>
      <c r="J935" s="2">
        <v>1561.69</v>
      </c>
      <c r="K935" s="2">
        <v>1561.69</v>
      </c>
      <c r="L935" s="2" t="s">
        <v>22</v>
      </c>
      <c r="M935" s="2" t="s">
        <v>3844</v>
      </c>
      <c r="N935" s="2" t="s">
        <v>3843</v>
      </c>
    </row>
    <row r="936" spans="1:14" x14ac:dyDescent="0.25">
      <c r="A936" s="2" t="s">
        <v>2562</v>
      </c>
      <c r="B936" s="2" t="s">
        <v>229</v>
      </c>
      <c r="C936" s="4">
        <v>45735</v>
      </c>
      <c r="D936" s="4">
        <v>45765</v>
      </c>
      <c r="E936" s="2" t="s">
        <v>1759</v>
      </c>
      <c r="F936" s="2"/>
      <c r="G936" s="2" t="s">
        <v>21</v>
      </c>
      <c r="H936" s="2">
        <v>798.97</v>
      </c>
      <c r="I936" s="2">
        <v>39.950000000000003</v>
      </c>
      <c r="J936" s="2">
        <v>838.92</v>
      </c>
      <c r="K936" s="2">
        <v>838.92</v>
      </c>
      <c r="L936" s="2" t="s">
        <v>22</v>
      </c>
      <c r="M936" s="2" t="s">
        <v>3844</v>
      </c>
      <c r="N936" s="2" t="s">
        <v>3843</v>
      </c>
    </row>
    <row r="937" spans="1:14" x14ac:dyDescent="0.25">
      <c r="A937" s="2" t="s">
        <v>2515</v>
      </c>
      <c r="B937" s="2" t="s">
        <v>229</v>
      </c>
      <c r="C937" s="4">
        <v>45735</v>
      </c>
      <c r="D937" s="4">
        <v>45765</v>
      </c>
      <c r="E937" s="2" t="s">
        <v>1842</v>
      </c>
      <c r="F937" s="2"/>
      <c r="G937" s="2" t="s">
        <v>21</v>
      </c>
      <c r="H937" s="2">
        <v>498.96</v>
      </c>
      <c r="I937" s="2">
        <v>24.95</v>
      </c>
      <c r="J937" s="2">
        <v>523.91</v>
      </c>
      <c r="K937" s="2">
        <v>523.91</v>
      </c>
      <c r="L937" s="2" t="s">
        <v>22</v>
      </c>
      <c r="M937" s="2" t="s">
        <v>3844</v>
      </c>
      <c r="N937" s="2" t="s">
        <v>3843</v>
      </c>
    </row>
    <row r="938" spans="1:14" x14ac:dyDescent="0.25">
      <c r="A938" s="2" t="s">
        <v>2406</v>
      </c>
      <c r="B938" s="2" t="s">
        <v>714</v>
      </c>
      <c r="C938" s="4">
        <v>45735</v>
      </c>
      <c r="D938" s="4">
        <v>45765</v>
      </c>
      <c r="E938" s="2" t="s">
        <v>2032</v>
      </c>
      <c r="F938" s="2"/>
      <c r="G938" s="2" t="s">
        <v>21</v>
      </c>
      <c r="H938" s="2">
        <v>33119.800000000003</v>
      </c>
      <c r="I938" s="2"/>
      <c r="J938" s="2">
        <v>33119.800000000003</v>
      </c>
      <c r="K938" s="2">
        <v>23141.73</v>
      </c>
      <c r="L938" s="2" t="s">
        <v>51</v>
      </c>
      <c r="M938" s="2" t="s">
        <v>3844</v>
      </c>
      <c r="N938" s="2" t="s">
        <v>3843</v>
      </c>
    </row>
    <row r="939" spans="1:14" x14ac:dyDescent="0.25">
      <c r="A939" s="2" t="s">
        <v>2533</v>
      </c>
      <c r="B939" s="2" t="s">
        <v>714</v>
      </c>
      <c r="C939" s="4">
        <v>45735</v>
      </c>
      <c r="D939" s="4">
        <v>45765</v>
      </c>
      <c r="E939" s="2" t="s">
        <v>1810</v>
      </c>
      <c r="F939" s="2"/>
      <c r="G939" s="2" t="s">
        <v>21</v>
      </c>
      <c r="H939" s="2">
        <v>2451.41</v>
      </c>
      <c r="I939" s="2"/>
      <c r="J939" s="2">
        <v>2451.41</v>
      </c>
      <c r="K939" s="2">
        <v>1712.87</v>
      </c>
      <c r="L939" s="2" t="s">
        <v>51</v>
      </c>
      <c r="M939" s="2" t="s">
        <v>3844</v>
      </c>
      <c r="N939" s="2" t="s">
        <v>3843</v>
      </c>
    </row>
    <row r="940" spans="1:14" x14ac:dyDescent="0.25">
      <c r="A940" s="2" t="s">
        <v>2382</v>
      </c>
      <c r="B940" s="2" t="s">
        <v>714</v>
      </c>
      <c r="C940" s="4">
        <v>45735</v>
      </c>
      <c r="D940" s="4">
        <v>45765</v>
      </c>
      <c r="E940" s="2" t="s">
        <v>2064</v>
      </c>
      <c r="F940" s="2"/>
      <c r="G940" s="2" t="s">
        <v>21</v>
      </c>
      <c r="H940" s="2">
        <v>2078.62</v>
      </c>
      <c r="I940" s="2"/>
      <c r="J940" s="2">
        <v>2078.62</v>
      </c>
      <c r="K940" s="2">
        <v>1452.39</v>
      </c>
      <c r="L940" s="2" t="s">
        <v>51</v>
      </c>
      <c r="M940" s="2" t="s">
        <v>3844</v>
      </c>
      <c r="N940" s="2" t="s">
        <v>3843</v>
      </c>
    </row>
    <row r="941" spans="1:14" x14ac:dyDescent="0.25">
      <c r="A941" s="2" t="s">
        <v>3615</v>
      </c>
      <c r="B941" s="2" t="s">
        <v>714</v>
      </c>
      <c r="C941" s="4">
        <v>45735</v>
      </c>
      <c r="D941" s="4">
        <v>45765</v>
      </c>
      <c r="E941" s="2" t="s">
        <v>3994</v>
      </c>
      <c r="F941" s="2"/>
      <c r="G941" s="2" t="s">
        <v>21</v>
      </c>
      <c r="H941" s="2">
        <v>11413.66</v>
      </c>
      <c r="I941" s="2"/>
      <c r="J941" s="2">
        <v>11413.66</v>
      </c>
      <c r="K941" s="2">
        <v>7975.04</v>
      </c>
      <c r="L941" s="2" t="s">
        <v>51</v>
      </c>
      <c r="M941" s="2" t="s">
        <v>3844</v>
      </c>
      <c r="N941" s="2" t="s">
        <v>3843</v>
      </c>
    </row>
    <row r="942" spans="1:14" x14ac:dyDescent="0.25">
      <c r="A942" s="2" t="s">
        <v>3614</v>
      </c>
      <c r="B942" s="2" t="s">
        <v>714</v>
      </c>
      <c r="C942" s="4">
        <v>45735</v>
      </c>
      <c r="D942" s="4">
        <v>45765</v>
      </c>
      <c r="E942" s="2" t="s">
        <v>4146</v>
      </c>
      <c r="F942" s="2"/>
      <c r="G942" s="2" t="s">
        <v>21</v>
      </c>
      <c r="H942" s="2">
        <v>5048.58</v>
      </c>
      <c r="I942" s="2"/>
      <c r="J942" s="2">
        <v>5048.58</v>
      </c>
      <c r="K942" s="2">
        <v>3527.58</v>
      </c>
      <c r="L942" s="2" t="s">
        <v>51</v>
      </c>
      <c r="M942" s="2" t="s">
        <v>3844</v>
      </c>
      <c r="N942" s="2" t="s">
        <v>3843</v>
      </c>
    </row>
    <row r="943" spans="1:14" x14ac:dyDescent="0.25">
      <c r="A943" s="2" t="s">
        <v>2450</v>
      </c>
      <c r="B943" s="2" t="s">
        <v>714</v>
      </c>
      <c r="C943" s="4">
        <v>45735</v>
      </c>
      <c r="D943" s="4">
        <v>45765</v>
      </c>
      <c r="E943" s="2" t="s">
        <v>1956</v>
      </c>
      <c r="F943" s="2"/>
      <c r="G943" s="2" t="s">
        <v>21</v>
      </c>
      <c r="H943" s="2">
        <v>22043.96</v>
      </c>
      <c r="I943" s="2"/>
      <c r="J943" s="2">
        <v>22043.96</v>
      </c>
      <c r="K943" s="2">
        <v>15402.73</v>
      </c>
      <c r="L943" s="2" t="s">
        <v>51</v>
      </c>
      <c r="M943" s="2" t="s">
        <v>3844</v>
      </c>
      <c r="N943" s="2" t="s">
        <v>3843</v>
      </c>
    </row>
    <row r="944" spans="1:14" ht="30" x14ac:dyDescent="0.25">
      <c r="A944" s="2" t="s">
        <v>2399</v>
      </c>
      <c r="B944" s="2" t="s">
        <v>290</v>
      </c>
      <c r="C944" s="4">
        <v>45734</v>
      </c>
      <c r="D944" s="4">
        <v>45794</v>
      </c>
      <c r="E944" s="2" t="s">
        <v>2040</v>
      </c>
      <c r="F944" s="2"/>
      <c r="G944" s="2" t="s">
        <v>21</v>
      </c>
      <c r="H944" s="2">
        <v>7794.2</v>
      </c>
      <c r="I944" s="2">
        <v>389.71</v>
      </c>
      <c r="J944" s="2">
        <v>8183.91</v>
      </c>
      <c r="K944" s="2">
        <v>8183.91</v>
      </c>
      <c r="L944" s="2" t="s">
        <v>22</v>
      </c>
      <c r="M944" s="2" t="s">
        <v>3844</v>
      </c>
      <c r="N944" s="2" t="s">
        <v>3843</v>
      </c>
    </row>
    <row r="945" spans="1:14" ht="30" x14ac:dyDescent="0.25">
      <c r="A945" s="2" t="s">
        <v>2546</v>
      </c>
      <c r="B945" s="2" t="s">
        <v>47</v>
      </c>
      <c r="C945" s="4">
        <v>45734</v>
      </c>
      <c r="D945" s="4">
        <v>45764</v>
      </c>
      <c r="E945" s="2" t="s">
        <v>1789</v>
      </c>
      <c r="F945" s="2"/>
      <c r="G945" s="2" t="s">
        <v>21</v>
      </c>
      <c r="H945" s="2">
        <v>1904.9</v>
      </c>
      <c r="I945" s="2">
        <v>247.64</v>
      </c>
      <c r="J945" s="2">
        <v>2152.54</v>
      </c>
      <c r="K945" s="2">
        <v>2152.54</v>
      </c>
      <c r="L945" s="2" t="s">
        <v>22</v>
      </c>
      <c r="M945" s="2" t="s">
        <v>3844</v>
      </c>
      <c r="N945" s="2" t="s">
        <v>3843</v>
      </c>
    </row>
    <row r="946" spans="1:14" x14ac:dyDescent="0.25">
      <c r="A946" s="2" t="s">
        <v>2486</v>
      </c>
      <c r="B946" s="2" t="s">
        <v>54</v>
      </c>
      <c r="C946" s="4">
        <v>45734</v>
      </c>
      <c r="D946" s="4">
        <v>45764</v>
      </c>
      <c r="E946" s="2" t="s">
        <v>1889</v>
      </c>
      <c r="F946" s="2"/>
      <c r="G946" s="2" t="s">
        <v>21</v>
      </c>
      <c r="H946" s="2">
        <v>1209.1300000000001</v>
      </c>
      <c r="I946" s="2">
        <v>60.46</v>
      </c>
      <c r="J946" s="2">
        <v>1269.5899999999999</v>
      </c>
      <c r="K946" s="2">
        <v>1269.5899999999999</v>
      </c>
      <c r="L946" s="2" t="s">
        <v>22</v>
      </c>
      <c r="M946" s="2" t="s">
        <v>3844</v>
      </c>
      <c r="N946" s="2" t="s">
        <v>3843</v>
      </c>
    </row>
    <row r="947" spans="1:14" ht="45" x14ac:dyDescent="0.25">
      <c r="A947" s="2" t="s">
        <v>2542</v>
      </c>
      <c r="B947" s="2" t="s">
        <v>502</v>
      </c>
      <c r="C947" s="4">
        <v>45734</v>
      </c>
      <c r="D947" s="4">
        <v>45779</v>
      </c>
      <c r="E947" s="2" t="s">
        <v>1798</v>
      </c>
      <c r="F947" s="2"/>
      <c r="G947" s="2" t="s">
        <v>21</v>
      </c>
      <c r="H947" s="2">
        <v>1752.46</v>
      </c>
      <c r="I947" s="2">
        <v>87.63</v>
      </c>
      <c r="J947" s="2">
        <v>1840.09</v>
      </c>
      <c r="K947" s="2">
        <v>1840.09</v>
      </c>
      <c r="L947" s="2" t="s">
        <v>22</v>
      </c>
      <c r="M947" s="2" t="s">
        <v>3844</v>
      </c>
      <c r="N947" s="2" t="s">
        <v>3843</v>
      </c>
    </row>
    <row r="948" spans="1:14" ht="45" x14ac:dyDescent="0.25">
      <c r="A948" s="2" t="s">
        <v>2551</v>
      </c>
      <c r="B948" s="2" t="s">
        <v>502</v>
      </c>
      <c r="C948" s="4">
        <v>45734</v>
      </c>
      <c r="D948" s="4">
        <v>45779</v>
      </c>
      <c r="E948" s="2" t="s">
        <v>1781</v>
      </c>
      <c r="F948" s="2"/>
      <c r="G948" s="2" t="s">
        <v>21</v>
      </c>
      <c r="H948" s="2">
        <v>42.52</v>
      </c>
      <c r="I948" s="2">
        <v>2.13</v>
      </c>
      <c r="J948" s="2">
        <v>44.65</v>
      </c>
      <c r="K948" s="2">
        <v>44.65</v>
      </c>
      <c r="L948" s="2" t="s">
        <v>22</v>
      </c>
      <c r="M948" s="2" t="s">
        <v>3844</v>
      </c>
      <c r="N948" s="2" t="s">
        <v>3843</v>
      </c>
    </row>
    <row r="949" spans="1:14" ht="45" x14ac:dyDescent="0.25">
      <c r="A949" s="2" t="s">
        <v>2548</v>
      </c>
      <c r="B949" s="2" t="s">
        <v>502</v>
      </c>
      <c r="C949" s="4">
        <v>45734</v>
      </c>
      <c r="D949" s="4">
        <v>45779</v>
      </c>
      <c r="E949" s="2" t="s">
        <v>1785</v>
      </c>
      <c r="F949" s="2"/>
      <c r="G949" s="2" t="s">
        <v>21</v>
      </c>
      <c r="H949" s="2">
        <v>4082.22</v>
      </c>
      <c r="I949" s="2">
        <v>204.12</v>
      </c>
      <c r="J949" s="2">
        <v>4286.34</v>
      </c>
      <c r="K949" s="2">
        <v>4286.34</v>
      </c>
      <c r="L949" s="2" t="s">
        <v>22</v>
      </c>
      <c r="M949" s="2" t="s">
        <v>3844</v>
      </c>
      <c r="N949" s="2" t="s">
        <v>3843</v>
      </c>
    </row>
    <row r="950" spans="1:14" x14ac:dyDescent="0.25">
      <c r="A950" s="2" t="s">
        <v>2532</v>
      </c>
      <c r="B950" s="2" t="s">
        <v>3908</v>
      </c>
      <c r="C950" s="4">
        <v>45733</v>
      </c>
      <c r="D950" s="4">
        <v>45763</v>
      </c>
      <c r="E950" s="2" t="s">
        <v>1812</v>
      </c>
      <c r="F950" s="2"/>
      <c r="G950" s="2" t="s">
        <v>21</v>
      </c>
      <c r="H950" s="2">
        <v>1129.78</v>
      </c>
      <c r="I950" s="2">
        <v>56.49</v>
      </c>
      <c r="J950" s="2">
        <v>1186.27</v>
      </c>
      <c r="K950" s="2">
        <v>1186.27</v>
      </c>
      <c r="L950" s="2" t="s">
        <v>22</v>
      </c>
      <c r="M950" s="2" t="s">
        <v>3844</v>
      </c>
      <c r="N950" s="2" t="s">
        <v>3843</v>
      </c>
    </row>
    <row r="951" spans="1:14" x14ac:dyDescent="0.25">
      <c r="A951" s="2" t="s">
        <v>2531</v>
      </c>
      <c r="B951" s="2" t="s">
        <v>229</v>
      </c>
      <c r="C951" s="4">
        <v>45733</v>
      </c>
      <c r="D951" s="4">
        <v>45763</v>
      </c>
      <c r="E951" s="2" t="s">
        <v>1813</v>
      </c>
      <c r="F951" s="2"/>
      <c r="G951" s="2" t="s">
        <v>21</v>
      </c>
      <c r="H951" s="2">
        <v>1906.1</v>
      </c>
      <c r="I951" s="2">
        <v>95.3</v>
      </c>
      <c r="J951" s="2">
        <v>2001.4</v>
      </c>
      <c r="K951" s="2">
        <v>2001.4</v>
      </c>
      <c r="L951" s="2" t="s">
        <v>22</v>
      </c>
      <c r="M951" s="2" t="s">
        <v>3844</v>
      </c>
      <c r="N951" s="2" t="s">
        <v>3843</v>
      </c>
    </row>
    <row r="952" spans="1:14" ht="30" x14ac:dyDescent="0.25">
      <c r="A952" s="2" t="s">
        <v>2554</v>
      </c>
      <c r="B952" s="2" t="s">
        <v>104</v>
      </c>
      <c r="C952" s="4">
        <v>45733</v>
      </c>
      <c r="D952" s="4">
        <v>45763</v>
      </c>
      <c r="E952" s="2" t="s">
        <v>1774</v>
      </c>
      <c r="F952" s="2"/>
      <c r="G952" s="2" t="s">
        <v>21</v>
      </c>
      <c r="H952" s="2">
        <v>296.2</v>
      </c>
      <c r="I952" s="2">
        <v>14.81</v>
      </c>
      <c r="J952" s="2">
        <v>311.01</v>
      </c>
      <c r="K952" s="2">
        <v>311.01</v>
      </c>
      <c r="L952" s="2" t="s">
        <v>22</v>
      </c>
      <c r="M952" s="2" t="s">
        <v>3844</v>
      </c>
      <c r="N952" s="2" t="s">
        <v>3843</v>
      </c>
    </row>
    <row r="953" spans="1:14" x14ac:dyDescent="0.25">
      <c r="A953" s="2" t="s">
        <v>2496</v>
      </c>
      <c r="B953" s="2" t="s">
        <v>723</v>
      </c>
      <c r="C953" s="4">
        <v>45733</v>
      </c>
      <c r="D953" s="4">
        <v>45823</v>
      </c>
      <c r="E953" s="2" t="s">
        <v>1869</v>
      </c>
      <c r="F953" s="2"/>
      <c r="G953" s="2" t="s">
        <v>71</v>
      </c>
      <c r="H953" s="2">
        <v>7912.93</v>
      </c>
      <c r="I953" s="2">
        <v>1028.68</v>
      </c>
      <c r="J953" s="2">
        <v>8941.61</v>
      </c>
      <c r="K953" s="2">
        <v>6225.17</v>
      </c>
      <c r="L953" s="2" t="s">
        <v>51</v>
      </c>
      <c r="M953" s="2" t="s">
        <v>3844</v>
      </c>
      <c r="N953" s="2" t="s">
        <v>3843</v>
      </c>
    </row>
    <row r="954" spans="1:14" x14ac:dyDescent="0.25">
      <c r="A954" s="2" t="s">
        <v>2553</v>
      </c>
      <c r="B954" s="2" t="s">
        <v>1778</v>
      </c>
      <c r="C954" s="4">
        <v>45733</v>
      </c>
      <c r="D954" s="4">
        <v>45763</v>
      </c>
      <c r="E954" s="2" t="s">
        <v>1776</v>
      </c>
      <c r="F954" s="2"/>
      <c r="G954" s="2" t="s">
        <v>21</v>
      </c>
      <c r="H954" s="2">
        <v>745.47</v>
      </c>
      <c r="I954" s="2"/>
      <c r="J954" s="2">
        <v>745.47</v>
      </c>
      <c r="K954" s="2">
        <v>519</v>
      </c>
      <c r="L954" s="2" t="s">
        <v>51</v>
      </c>
      <c r="M954" s="2" t="s">
        <v>3844</v>
      </c>
      <c r="N954" s="2" t="s">
        <v>3843</v>
      </c>
    </row>
    <row r="955" spans="1:14" ht="30" x14ac:dyDescent="0.25">
      <c r="A955" s="2" t="s">
        <v>2552</v>
      </c>
      <c r="B955" s="2" t="s">
        <v>104</v>
      </c>
      <c r="C955" s="4">
        <v>45730</v>
      </c>
      <c r="D955" s="4">
        <v>45760</v>
      </c>
      <c r="E955" s="2" t="s">
        <v>1779</v>
      </c>
      <c r="F955" s="2"/>
      <c r="G955" s="2" t="s">
        <v>21</v>
      </c>
      <c r="H955" s="2">
        <v>168.59</v>
      </c>
      <c r="I955" s="2">
        <v>8.43</v>
      </c>
      <c r="J955" s="2">
        <v>177.02</v>
      </c>
      <c r="K955" s="2">
        <v>177.02</v>
      </c>
      <c r="L955" s="2" t="s">
        <v>22</v>
      </c>
      <c r="M955" s="2" t="s">
        <v>3844</v>
      </c>
      <c r="N955" s="2" t="s">
        <v>3843</v>
      </c>
    </row>
    <row r="956" spans="1:14" ht="30" x14ac:dyDescent="0.25">
      <c r="A956" s="2" t="s">
        <v>2547</v>
      </c>
      <c r="B956" s="2" t="s">
        <v>104</v>
      </c>
      <c r="C956" s="4">
        <v>45730</v>
      </c>
      <c r="D956" s="4">
        <v>45760</v>
      </c>
      <c r="E956" s="2" t="s">
        <v>1787</v>
      </c>
      <c r="F956" s="2"/>
      <c r="G956" s="2" t="s">
        <v>21</v>
      </c>
      <c r="H956" s="2">
        <v>199.07</v>
      </c>
      <c r="I956" s="2">
        <v>9.9600000000000009</v>
      </c>
      <c r="J956" s="2">
        <v>209.03</v>
      </c>
      <c r="K956" s="2">
        <v>209.03</v>
      </c>
      <c r="L956" s="2" t="s">
        <v>22</v>
      </c>
      <c r="M956" s="2" t="s">
        <v>3844</v>
      </c>
      <c r="N956" s="2" t="s">
        <v>3843</v>
      </c>
    </row>
    <row r="957" spans="1:14" ht="45" x14ac:dyDescent="0.25">
      <c r="A957" s="2" t="s">
        <v>2543</v>
      </c>
      <c r="B957" s="2" t="s">
        <v>4156</v>
      </c>
      <c r="C957" s="4">
        <v>45730</v>
      </c>
      <c r="D957" s="4">
        <v>45760</v>
      </c>
      <c r="E957" s="2" t="s">
        <v>1795</v>
      </c>
      <c r="F957" s="2"/>
      <c r="G957" s="2" t="s">
        <v>21</v>
      </c>
      <c r="H957" s="2">
        <v>2092.58</v>
      </c>
      <c r="I957" s="2">
        <v>104.63</v>
      </c>
      <c r="J957" s="2">
        <v>2197.21</v>
      </c>
      <c r="K957" s="2">
        <v>2197.21</v>
      </c>
      <c r="L957" s="2" t="s">
        <v>22</v>
      </c>
      <c r="M957" s="2" t="s">
        <v>3844</v>
      </c>
      <c r="N957" s="2" t="s">
        <v>3843</v>
      </c>
    </row>
    <row r="958" spans="1:14" ht="30" x14ac:dyDescent="0.25">
      <c r="A958" s="2" t="s">
        <v>2541</v>
      </c>
      <c r="B958" s="2" t="s">
        <v>20</v>
      </c>
      <c r="C958" s="4">
        <v>45729</v>
      </c>
      <c r="D958" s="4">
        <v>45789</v>
      </c>
      <c r="E958" s="2" t="s">
        <v>1800</v>
      </c>
      <c r="F958" s="2"/>
      <c r="G958" s="2" t="s">
        <v>21</v>
      </c>
      <c r="H958" s="2">
        <v>301.76</v>
      </c>
      <c r="I958" s="2">
        <v>15.09</v>
      </c>
      <c r="J958" s="2">
        <v>316.85000000000002</v>
      </c>
      <c r="K958" s="2">
        <v>316.85000000000002</v>
      </c>
      <c r="L958" s="2" t="s">
        <v>22</v>
      </c>
      <c r="M958" s="2" t="s">
        <v>3844</v>
      </c>
      <c r="N958" s="2" t="s">
        <v>3843</v>
      </c>
    </row>
    <row r="959" spans="1:14" ht="30" x14ac:dyDescent="0.25">
      <c r="A959" s="2" t="s">
        <v>2545</v>
      </c>
      <c r="B959" s="2" t="s">
        <v>104</v>
      </c>
      <c r="C959" s="4">
        <v>45729</v>
      </c>
      <c r="D959" s="4">
        <v>45759</v>
      </c>
      <c r="E959" s="2" t="s">
        <v>1791</v>
      </c>
      <c r="F959" s="2"/>
      <c r="G959" s="2" t="s">
        <v>21</v>
      </c>
      <c r="H959" s="2">
        <v>321.89999999999998</v>
      </c>
      <c r="I959" s="2">
        <v>16.100000000000001</v>
      </c>
      <c r="J959" s="2">
        <v>338</v>
      </c>
      <c r="K959" s="2">
        <v>338</v>
      </c>
      <c r="L959" s="2" t="s">
        <v>22</v>
      </c>
      <c r="M959" s="2" t="s">
        <v>3844</v>
      </c>
      <c r="N959" s="2" t="s">
        <v>3843</v>
      </c>
    </row>
    <row r="960" spans="1:14" ht="30" x14ac:dyDescent="0.25">
      <c r="A960" s="2" t="s">
        <v>2491</v>
      </c>
      <c r="B960" s="2" t="s">
        <v>981</v>
      </c>
      <c r="C960" s="4">
        <v>45728</v>
      </c>
      <c r="D960" s="4">
        <v>45758</v>
      </c>
      <c r="E960" s="2" t="s">
        <v>1877</v>
      </c>
      <c r="F960" s="2"/>
      <c r="G960" s="2" t="s">
        <v>21</v>
      </c>
      <c r="H960" s="2">
        <v>1232.19</v>
      </c>
      <c r="I960" s="2">
        <v>160.18</v>
      </c>
      <c r="J960" s="2">
        <v>1392.37</v>
      </c>
      <c r="K960" s="2">
        <v>1392.37</v>
      </c>
      <c r="L960" s="2" t="s">
        <v>22</v>
      </c>
      <c r="M960" s="2" t="s">
        <v>3844</v>
      </c>
      <c r="N960" s="2" t="s">
        <v>3843</v>
      </c>
    </row>
    <row r="961" spans="1:14" x14ac:dyDescent="0.25">
      <c r="A961" s="2" t="s">
        <v>2536</v>
      </c>
      <c r="B961" s="2" t="s">
        <v>465</v>
      </c>
      <c r="C961" s="4">
        <v>45728</v>
      </c>
      <c r="D961" s="4">
        <v>45758</v>
      </c>
      <c r="E961" s="2" t="s">
        <v>1806</v>
      </c>
      <c r="F961" s="2"/>
      <c r="G961" s="2" t="s">
        <v>21</v>
      </c>
      <c r="H961" s="2">
        <v>1242.28</v>
      </c>
      <c r="I961" s="2">
        <v>161.5</v>
      </c>
      <c r="J961" s="2">
        <v>1403.78</v>
      </c>
      <c r="K961" s="2">
        <v>1403.78</v>
      </c>
      <c r="L961" s="2" t="s">
        <v>22</v>
      </c>
      <c r="M961" s="2" t="s">
        <v>3844</v>
      </c>
      <c r="N961" s="2" t="s">
        <v>3843</v>
      </c>
    </row>
    <row r="962" spans="1:14" ht="30" x14ac:dyDescent="0.25">
      <c r="A962" s="2" t="s">
        <v>2528</v>
      </c>
      <c r="B962" s="2" t="s">
        <v>104</v>
      </c>
      <c r="C962" s="4">
        <v>45728</v>
      </c>
      <c r="D962" s="4">
        <v>45758</v>
      </c>
      <c r="E962" s="2" t="s">
        <v>1819</v>
      </c>
      <c r="F962" s="2"/>
      <c r="G962" s="2" t="s">
        <v>21</v>
      </c>
      <c r="H962" s="2">
        <v>711.25</v>
      </c>
      <c r="I962" s="2">
        <v>35.56</v>
      </c>
      <c r="J962" s="2">
        <v>746.81</v>
      </c>
      <c r="K962" s="2">
        <v>746.81</v>
      </c>
      <c r="L962" s="2" t="s">
        <v>22</v>
      </c>
      <c r="M962" s="2" t="s">
        <v>3844</v>
      </c>
      <c r="N962" s="2" t="s">
        <v>3843</v>
      </c>
    </row>
    <row r="963" spans="1:14" x14ac:dyDescent="0.25">
      <c r="A963" s="2" t="s">
        <v>2457</v>
      </c>
      <c r="B963" s="2" t="s">
        <v>556</v>
      </c>
      <c r="C963" s="4">
        <v>45728</v>
      </c>
      <c r="D963" s="4">
        <v>45758</v>
      </c>
      <c r="E963" s="2" t="s">
        <v>1944</v>
      </c>
      <c r="F963" s="2"/>
      <c r="G963" s="2" t="s">
        <v>1132</v>
      </c>
      <c r="H963" s="2">
        <v>19.25</v>
      </c>
      <c r="I963" s="2">
        <v>2.5</v>
      </c>
      <c r="J963" s="2">
        <v>21.75</v>
      </c>
      <c r="K963" s="2">
        <v>21.75</v>
      </c>
      <c r="L963" s="2" t="s">
        <v>22</v>
      </c>
      <c r="M963" s="2" t="s">
        <v>3844</v>
      </c>
      <c r="N963" s="2" t="s">
        <v>3843</v>
      </c>
    </row>
    <row r="964" spans="1:14" x14ac:dyDescent="0.25">
      <c r="A964" s="2" t="s">
        <v>3616</v>
      </c>
      <c r="B964" s="2" t="s">
        <v>714</v>
      </c>
      <c r="C964" s="4">
        <v>45728</v>
      </c>
      <c r="D964" s="4">
        <v>45758</v>
      </c>
      <c r="E964" s="2" t="s">
        <v>4155</v>
      </c>
      <c r="F964" s="2"/>
      <c r="G964" s="2" t="s">
        <v>21</v>
      </c>
      <c r="H964" s="2">
        <v>11536.82</v>
      </c>
      <c r="I964" s="2"/>
      <c r="J964" s="2">
        <v>11536.82</v>
      </c>
      <c r="K964" s="2">
        <v>7975.04</v>
      </c>
      <c r="L964" s="2" t="s">
        <v>51</v>
      </c>
      <c r="M964" s="2" t="s">
        <v>3844</v>
      </c>
      <c r="N964" s="2" t="s">
        <v>3843</v>
      </c>
    </row>
    <row r="965" spans="1:14" x14ac:dyDescent="0.25">
      <c r="A965" s="2" t="s">
        <v>3618</v>
      </c>
      <c r="B965" s="2" t="s">
        <v>465</v>
      </c>
      <c r="C965" s="4">
        <v>45726</v>
      </c>
      <c r="D965" s="4">
        <v>45726</v>
      </c>
      <c r="E965" s="2" t="s">
        <v>2096</v>
      </c>
      <c r="F965" s="2" t="s">
        <v>4154</v>
      </c>
      <c r="G965" s="2" t="s">
        <v>21</v>
      </c>
      <c r="H965" s="2">
        <v>-7811.79</v>
      </c>
      <c r="I965" s="2">
        <v>-1015.53</v>
      </c>
      <c r="J965" s="2">
        <v>-8827.32</v>
      </c>
      <c r="K965" s="2">
        <v>-8827.32</v>
      </c>
      <c r="L965" s="2" t="s">
        <v>22</v>
      </c>
      <c r="M965" s="2" t="s">
        <v>4031</v>
      </c>
      <c r="N965" s="2" t="s">
        <v>3843</v>
      </c>
    </row>
    <row r="966" spans="1:14" ht="30" x14ac:dyDescent="0.25">
      <c r="A966" s="2" t="s">
        <v>2523</v>
      </c>
      <c r="B966" s="2" t="s">
        <v>98</v>
      </c>
      <c r="C966" s="4">
        <v>45726</v>
      </c>
      <c r="D966" s="4">
        <v>45756</v>
      </c>
      <c r="E966" s="2" t="s">
        <v>1827</v>
      </c>
      <c r="F966" s="2"/>
      <c r="G966" s="2" t="s">
        <v>1132</v>
      </c>
      <c r="H966" s="2"/>
      <c r="I966" s="2"/>
      <c r="J966" s="2"/>
      <c r="K966" s="2"/>
      <c r="L966" s="2" t="s">
        <v>22</v>
      </c>
      <c r="M966" s="2" t="s">
        <v>4031</v>
      </c>
      <c r="N966" s="2" t="s">
        <v>3843</v>
      </c>
    </row>
    <row r="967" spans="1:14" x14ac:dyDescent="0.25">
      <c r="A967" s="2" t="s">
        <v>3620</v>
      </c>
      <c r="B967" s="2" t="s">
        <v>61</v>
      </c>
      <c r="C967" s="4">
        <v>45726</v>
      </c>
      <c r="D967" s="4">
        <v>45756</v>
      </c>
      <c r="E967" s="2" t="s">
        <v>4153</v>
      </c>
      <c r="F967" s="2"/>
      <c r="G967" s="2" t="s">
        <v>21</v>
      </c>
      <c r="H967" s="2">
        <v>2904.03</v>
      </c>
      <c r="I967" s="2"/>
      <c r="J967" s="2">
        <v>2904.03</v>
      </c>
      <c r="K967" s="2">
        <v>2020.88</v>
      </c>
      <c r="L967" s="2" t="s">
        <v>51</v>
      </c>
      <c r="M967" s="2" t="s">
        <v>3844</v>
      </c>
      <c r="N967" s="2" t="s">
        <v>3843</v>
      </c>
    </row>
    <row r="968" spans="1:14" x14ac:dyDescent="0.25">
      <c r="A968" s="2" t="s">
        <v>2526</v>
      </c>
      <c r="B968" s="2" t="s">
        <v>556</v>
      </c>
      <c r="C968" s="4">
        <v>45726</v>
      </c>
      <c r="D968" s="4">
        <v>45756</v>
      </c>
      <c r="E968" s="2" t="s">
        <v>1823</v>
      </c>
      <c r="F968" s="2"/>
      <c r="G968" s="2" t="s">
        <v>21</v>
      </c>
      <c r="H968" s="2">
        <v>836.73</v>
      </c>
      <c r="I968" s="2">
        <v>108.77</v>
      </c>
      <c r="J968" s="2">
        <v>945.5</v>
      </c>
      <c r="K968" s="2">
        <v>945.5</v>
      </c>
      <c r="L968" s="2" t="s">
        <v>22</v>
      </c>
      <c r="M968" s="2" t="s">
        <v>3844</v>
      </c>
      <c r="N968" s="2" t="s">
        <v>3843</v>
      </c>
    </row>
    <row r="969" spans="1:14" ht="45" x14ac:dyDescent="0.25">
      <c r="A969" s="2" t="s">
        <v>2520</v>
      </c>
      <c r="B969" s="2" t="s">
        <v>4102</v>
      </c>
      <c r="C969" s="4">
        <v>45726</v>
      </c>
      <c r="D969" s="4">
        <v>45756</v>
      </c>
      <c r="E969" s="2" t="s">
        <v>1831</v>
      </c>
      <c r="F969" s="2"/>
      <c r="G969" s="2" t="s">
        <v>21</v>
      </c>
      <c r="H969" s="2">
        <v>1853.06</v>
      </c>
      <c r="I969" s="2">
        <v>92.65</v>
      </c>
      <c r="J969" s="2">
        <v>1945.71</v>
      </c>
      <c r="K969" s="2">
        <v>1945.71</v>
      </c>
      <c r="L969" s="2" t="s">
        <v>22</v>
      </c>
      <c r="M969" s="2" t="s">
        <v>3844</v>
      </c>
      <c r="N969" s="2" t="s">
        <v>3843</v>
      </c>
    </row>
    <row r="970" spans="1:14" ht="30" x14ac:dyDescent="0.25">
      <c r="A970" s="2" t="s">
        <v>2518</v>
      </c>
      <c r="B970" s="2" t="s">
        <v>104</v>
      </c>
      <c r="C970" s="4">
        <v>45726</v>
      </c>
      <c r="D970" s="4">
        <v>45756</v>
      </c>
      <c r="E970" s="2" t="s">
        <v>1836</v>
      </c>
      <c r="F970" s="2"/>
      <c r="G970" s="2" t="s">
        <v>21</v>
      </c>
      <c r="H970" s="2">
        <v>1946.57</v>
      </c>
      <c r="I970" s="2">
        <v>97.33</v>
      </c>
      <c r="J970" s="2">
        <v>2043.9</v>
      </c>
      <c r="K970" s="2">
        <v>2043.9</v>
      </c>
      <c r="L970" s="2" t="s">
        <v>22</v>
      </c>
      <c r="M970" s="2" t="s">
        <v>3844</v>
      </c>
      <c r="N970" s="2" t="s">
        <v>3843</v>
      </c>
    </row>
    <row r="971" spans="1:14" ht="30" x14ac:dyDescent="0.25">
      <c r="A971" s="2" t="s">
        <v>2524</v>
      </c>
      <c r="B971" s="2" t="s">
        <v>86</v>
      </c>
      <c r="C971" s="4">
        <v>45726</v>
      </c>
      <c r="D971" s="4">
        <v>45756</v>
      </c>
      <c r="E971" s="2" t="s">
        <v>1825</v>
      </c>
      <c r="F971" s="2"/>
      <c r="G971" s="2" t="s">
        <v>21</v>
      </c>
      <c r="H971" s="2">
        <v>92.22</v>
      </c>
      <c r="I971" s="2">
        <v>4.6100000000000003</v>
      </c>
      <c r="J971" s="2">
        <v>96.83</v>
      </c>
      <c r="K971" s="2">
        <v>96.83</v>
      </c>
      <c r="L971" s="2" t="s">
        <v>22</v>
      </c>
      <c r="M971" s="2" t="s">
        <v>3844</v>
      </c>
      <c r="N971" s="2" t="s">
        <v>3843</v>
      </c>
    </row>
    <row r="972" spans="1:14" ht="30" x14ac:dyDescent="0.25">
      <c r="A972" s="2" t="s">
        <v>2484</v>
      </c>
      <c r="B972" s="2" t="s">
        <v>104</v>
      </c>
      <c r="C972" s="4">
        <v>45726</v>
      </c>
      <c r="D972" s="4">
        <v>45726</v>
      </c>
      <c r="E972" s="2" t="s">
        <v>1893</v>
      </c>
      <c r="F972" s="2"/>
      <c r="G972" s="2" t="s">
        <v>21</v>
      </c>
      <c r="H972" s="2">
        <v>1219.96</v>
      </c>
      <c r="I972" s="2">
        <v>61</v>
      </c>
      <c r="J972" s="2">
        <v>1280.96</v>
      </c>
      <c r="K972" s="2">
        <v>1280.96</v>
      </c>
      <c r="L972" s="2" t="s">
        <v>22</v>
      </c>
      <c r="M972" s="2" t="s">
        <v>3844</v>
      </c>
      <c r="N972" s="2" t="s">
        <v>3843</v>
      </c>
    </row>
    <row r="973" spans="1:14" x14ac:dyDescent="0.25">
      <c r="A973" s="2" t="s">
        <v>2517</v>
      </c>
      <c r="B973" s="2" t="s">
        <v>689</v>
      </c>
      <c r="C973" s="4">
        <v>45726</v>
      </c>
      <c r="D973" s="4">
        <v>45756</v>
      </c>
      <c r="E973" s="2" t="s">
        <v>1838</v>
      </c>
      <c r="F973" s="2"/>
      <c r="G973" s="2" t="s">
        <v>21</v>
      </c>
      <c r="H973" s="2">
        <v>298.77999999999997</v>
      </c>
      <c r="I973" s="2">
        <v>38.840000000000003</v>
      </c>
      <c r="J973" s="2">
        <v>337.62</v>
      </c>
      <c r="K973" s="2">
        <v>337.62</v>
      </c>
      <c r="L973" s="2" t="s">
        <v>22</v>
      </c>
      <c r="M973" s="2" t="s">
        <v>3844</v>
      </c>
      <c r="N973" s="2" t="s">
        <v>3843</v>
      </c>
    </row>
    <row r="974" spans="1:14" ht="30" x14ac:dyDescent="0.25">
      <c r="A974" s="2" t="s">
        <v>2469</v>
      </c>
      <c r="B974" s="2" t="s">
        <v>981</v>
      </c>
      <c r="C974" s="4">
        <v>45726</v>
      </c>
      <c r="D974" s="4">
        <v>45756</v>
      </c>
      <c r="E974" s="2" t="s">
        <v>1921</v>
      </c>
      <c r="F974" s="2"/>
      <c r="G974" s="2" t="s">
        <v>21</v>
      </c>
      <c r="H974" s="2">
        <v>1363.36</v>
      </c>
      <c r="I974" s="2">
        <v>177.24</v>
      </c>
      <c r="J974" s="2">
        <v>1540.6</v>
      </c>
      <c r="K974" s="2">
        <v>1540.6</v>
      </c>
      <c r="L974" s="2" t="s">
        <v>22</v>
      </c>
      <c r="M974" s="2" t="s">
        <v>3844</v>
      </c>
      <c r="N974" s="2" t="s">
        <v>3843</v>
      </c>
    </row>
    <row r="975" spans="1:14" x14ac:dyDescent="0.25">
      <c r="A975" s="2" t="s">
        <v>2519</v>
      </c>
      <c r="B975" s="2" t="s">
        <v>1179</v>
      </c>
      <c r="C975" s="4">
        <v>45726</v>
      </c>
      <c r="D975" s="4">
        <v>45756</v>
      </c>
      <c r="E975" s="2" t="s">
        <v>1833</v>
      </c>
      <c r="F975" s="2"/>
      <c r="G975" s="2" t="s">
        <v>21</v>
      </c>
      <c r="H975" s="2">
        <v>1421.5</v>
      </c>
      <c r="I975" s="2">
        <v>71.08</v>
      </c>
      <c r="J975" s="2">
        <v>1492.58</v>
      </c>
      <c r="K975" s="2">
        <v>1492.58</v>
      </c>
      <c r="L975" s="2" t="s">
        <v>22</v>
      </c>
      <c r="M975" s="2" t="s">
        <v>3844</v>
      </c>
      <c r="N975" s="2" t="s">
        <v>3843</v>
      </c>
    </row>
    <row r="976" spans="1:14" ht="60" x14ac:dyDescent="0.25">
      <c r="A976" s="2" t="s">
        <v>2420</v>
      </c>
      <c r="B976" s="2" t="s">
        <v>4095</v>
      </c>
      <c r="C976" s="4">
        <v>45723</v>
      </c>
      <c r="D976" s="4">
        <v>45723</v>
      </c>
      <c r="E976" s="2" t="s">
        <v>2009</v>
      </c>
      <c r="F976" s="2"/>
      <c r="G976" s="2" t="s">
        <v>180</v>
      </c>
      <c r="H976" s="2">
        <v>224.62</v>
      </c>
      <c r="I976" s="2"/>
      <c r="J976" s="2">
        <v>224.62</v>
      </c>
      <c r="K976" s="2">
        <v>157.30000000000001</v>
      </c>
      <c r="L976" s="2" t="s">
        <v>51</v>
      </c>
      <c r="M976" s="2" t="s">
        <v>3844</v>
      </c>
      <c r="N976" s="2" t="s">
        <v>3843</v>
      </c>
    </row>
    <row r="977" spans="1:14" x14ac:dyDescent="0.25">
      <c r="A977" s="2" t="s">
        <v>3626</v>
      </c>
      <c r="B977" s="2" t="s">
        <v>146</v>
      </c>
      <c r="C977" s="4">
        <v>45723</v>
      </c>
      <c r="D977" s="4">
        <v>45753</v>
      </c>
      <c r="E977" s="2" t="s">
        <v>4079</v>
      </c>
      <c r="F977" s="2"/>
      <c r="G977" s="2" t="s">
        <v>21</v>
      </c>
      <c r="H977" s="2">
        <v>2269.44</v>
      </c>
      <c r="I977" s="2">
        <v>113.47</v>
      </c>
      <c r="J977" s="2">
        <v>2382.91</v>
      </c>
      <c r="K977" s="2">
        <v>2382.91</v>
      </c>
      <c r="L977" s="2" t="s">
        <v>22</v>
      </c>
      <c r="M977" s="2" t="s">
        <v>3844</v>
      </c>
      <c r="N977" s="2" t="s">
        <v>3843</v>
      </c>
    </row>
    <row r="978" spans="1:14" x14ac:dyDescent="0.25">
      <c r="A978" s="2" t="s">
        <v>2512</v>
      </c>
      <c r="B978" s="2" t="s">
        <v>54</v>
      </c>
      <c r="C978" s="4">
        <v>45723</v>
      </c>
      <c r="D978" s="4">
        <v>45753</v>
      </c>
      <c r="E978" s="2" t="s">
        <v>1846</v>
      </c>
      <c r="F978" s="2"/>
      <c r="G978" s="2" t="s">
        <v>21</v>
      </c>
      <c r="H978" s="2">
        <v>970.83</v>
      </c>
      <c r="I978" s="2">
        <v>48.54</v>
      </c>
      <c r="J978" s="2">
        <v>1019.37</v>
      </c>
      <c r="K978" s="2">
        <v>1019.37</v>
      </c>
      <c r="L978" s="2" t="s">
        <v>22</v>
      </c>
      <c r="M978" s="2" t="s">
        <v>3844</v>
      </c>
      <c r="N978" s="2" t="s">
        <v>3843</v>
      </c>
    </row>
    <row r="979" spans="1:14" x14ac:dyDescent="0.25">
      <c r="A979" s="2" t="s">
        <v>2503</v>
      </c>
      <c r="B979" s="2" t="s">
        <v>146</v>
      </c>
      <c r="C979" s="4">
        <v>45722</v>
      </c>
      <c r="D979" s="4">
        <v>45752</v>
      </c>
      <c r="E979" s="2" t="s">
        <v>1859</v>
      </c>
      <c r="F979" s="2"/>
      <c r="G979" s="2" t="s">
        <v>21</v>
      </c>
      <c r="H979" s="2">
        <v>93.89</v>
      </c>
      <c r="I979" s="2">
        <v>4.6900000000000004</v>
      </c>
      <c r="J979" s="2">
        <v>98.58</v>
      </c>
      <c r="K979" s="2">
        <v>98.58</v>
      </c>
      <c r="L979" s="2" t="s">
        <v>22</v>
      </c>
      <c r="M979" s="2" t="s">
        <v>3844</v>
      </c>
      <c r="N979" s="2" t="s">
        <v>3843</v>
      </c>
    </row>
    <row r="980" spans="1:14" ht="45" x14ac:dyDescent="0.25">
      <c r="A980" s="2" t="s">
        <v>2488</v>
      </c>
      <c r="B980" s="2" t="s">
        <v>502</v>
      </c>
      <c r="C980" s="4">
        <v>45722</v>
      </c>
      <c r="D980" s="4">
        <v>45767</v>
      </c>
      <c r="E980" s="2" t="s">
        <v>1884</v>
      </c>
      <c r="F980" s="2"/>
      <c r="G980" s="2" t="s">
        <v>21</v>
      </c>
      <c r="H980" s="2">
        <v>3715.09</v>
      </c>
      <c r="I980" s="2">
        <v>185.76</v>
      </c>
      <c r="J980" s="2">
        <v>3900.85</v>
      </c>
      <c r="K980" s="2">
        <v>3900.85</v>
      </c>
      <c r="L980" s="2" t="s">
        <v>22</v>
      </c>
      <c r="M980" s="2" t="s">
        <v>3844</v>
      </c>
      <c r="N980" s="2" t="s">
        <v>3843</v>
      </c>
    </row>
    <row r="981" spans="1:14" x14ac:dyDescent="0.25">
      <c r="A981" s="2" t="s">
        <v>3623</v>
      </c>
      <c r="B981" s="2" t="s">
        <v>3622</v>
      </c>
      <c r="C981" s="4">
        <v>45722</v>
      </c>
      <c r="D981" s="4">
        <v>45722</v>
      </c>
      <c r="E981" s="2" t="s">
        <v>4152</v>
      </c>
      <c r="F981" s="2"/>
      <c r="G981" s="2" t="s">
        <v>130</v>
      </c>
      <c r="H981" s="2">
        <v>30639.51</v>
      </c>
      <c r="I981" s="2"/>
      <c r="J981" s="2">
        <v>30639.51</v>
      </c>
      <c r="K981" s="2">
        <v>21312</v>
      </c>
      <c r="L981" s="2" t="s">
        <v>51</v>
      </c>
      <c r="M981" s="2" t="s">
        <v>3844</v>
      </c>
      <c r="N981" s="2" t="s">
        <v>3843</v>
      </c>
    </row>
    <row r="982" spans="1:14" x14ac:dyDescent="0.25">
      <c r="A982" s="2" t="s">
        <v>2306</v>
      </c>
      <c r="B982" s="2" t="s">
        <v>3908</v>
      </c>
      <c r="C982" s="4">
        <v>45722</v>
      </c>
      <c r="D982" s="4">
        <v>45752</v>
      </c>
      <c r="E982" s="2" t="s">
        <v>2200</v>
      </c>
      <c r="F982" s="2"/>
      <c r="G982" s="2" t="s">
        <v>21</v>
      </c>
      <c r="H982" s="2">
        <v>1662.14</v>
      </c>
      <c r="I982" s="2">
        <v>83.11</v>
      </c>
      <c r="J982" s="2">
        <v>1745.25</v>
      </c>
      <c r="K982" s="2">
        <v>1745.25</v>
      </c>
      <c r="L982" s="2" t="s">
        <v>22</v>
      </c>
      <c r="M982" s="2" t="s">
        <v>3844</v>
      </c>
      <c r="N982" s="2" t="s">
        <v>3843</v>
      </c>
    </row>
    <row r="983" spans="1:14" ht="30" x14ac:dyDescent="0.25">
      <c r="A983" s="2" t="s">
        <v>2516</v>
      </c>
      <c r="B983" s="2" t="s">
        <v>4151</v>
      </c>
      <c r="C983" s="4">
        <v>45722</v>
      </c>
      <c r="D983" s="4">
        <v>45722</v>
      </c>
      <c r="E983" s="2" t="s">
        <v>1840</v>
      </c>
      <c r="F983" s="2"/>
      <c r="G983" s="2" t="s">
        <v>180</v>
      </c>
      <c r="H983" s="2">
        <v>10566.92</v>
      </c>
      <c r="I983" s="2"/>
      <c r="J983" s="2">
        <v>10566.92</v>
      </c>
      <c r="K983" s="2">
        <v>7400</v>
      </c>
      <c r="L983" s="2" t="s">
        <v>51</v>
      </c>
      <c r="M983" s="2" t="s">
        <v>3844</v>
      </c>
      <c r="N983" s="2" t="s">
        <v>3843</v>
      </c>
    </row>
    <row r="984" spans="1:14" ht="30" x14ac:dyDescent="0.25">
      <c r="A984" s="2" t="s">
        <v>2516</v>
      </c>
      <c r="B984" s="2" t="s">
        <v>4151</v>
      </c>
      <c r="C984" s="4">
        <v>45722</v>
      </c>
      <c r="D984" s="4">
        <v>45722</v>
      </c>
      <c r="E984" s="2" t="s">
        <v>1840</v>
      </c>
      <c r="F984" s="2"/>
      <c r="G984" s="2" t="s">
        <v>180</v>
      </c>
      <c r="H984" s="2">
        <v>10642.18</v>
      </c>
      <c r="I984" s="2"/>
      <c r="J984" s="2">
        <v>10642.18</v>
      </c>
      <c r="K984" s="2">
        <v>7400</v>
      </c>
      <c r="L984" s="2" t="s">
        <v>51</v>
      </c>
      <c r="M984" s="2" t="s">
        <v>3844</v>
      </c>
      <c r="N984" s="2" t="s">
        <v>3978</v>
      </c>
    </row>
    <row r="985" spans="1:14" ht="30" x14ac:dyDescent="0.25">
      <c r="A985" s="2" t="s">
        <v>3628</v>
      </c>
      <c r="B985" s="2" t="s">
        <v>80</v>
      </c>
      <c r="C985" s="4">
        <v>45721</v>
      </c>
      <c r="D985" s="4">
        <v>45781</v>
      </c>
      <c r="E985" s="2" t="s">
        <v>4150</v>
      </c>
      <c r="F985" s="2"/>
      <c r="G985" s="2" t="s">
        <v>21</v>
      </c>
      <c r="H985" s="2">
        <v>7329.88</v>
      </c>
      <c r="I985" s="2">
        <v>366.49</v>
      </c>
      <c r="J985" s="2">
        <v>7696.37</v>
      </c>
      <c r="K985" s="2">
        <v>7696.37</v>
      </c>
      <c r="L985" s="2" t="s">
        <v>22</v>
      </c>
      <c r="M985" s="2" t="s">
        <v>3844</v>
      </c>
      <c r="N985" s="2" t="s">
        <v>3843</v>
      </c>
    </row>
    <row r="986" spans="1:14" ht="30" x14ac:dyDescent="0.25">
      <c r="A986" s="2" t="s">
        <v>2309</v>
      </c>
      <c r="B986" s="2" t="s">
        <v>290</v>
      </c>
      <c r="C986" s="4">
        <v>45721</v>
      </c>
      <c r="D986" s="4">
        <v>45781</v>
      </c>
      <c r="E986" s="2" t="s">
        <v>2194</v>
      </c>
      <c r="F986" s="2"/>
      <c r="G986" s="2" t="s">
        <v>21</v>
      </c>
      <c r="H986" s="2">
        <v>7408.13</v>
      </c>
      <c r="I986" s="2">
        <v>370.41</v>
      </c>
      <c r="J986" s="2">
        <v>7778.54</v>
      </c>
      <c r="K986" s="2">
        <v>7778.54</v>
      </c>
      <c r="L986" s="2" t="s">
        <v>22</v>
      </c>
      <c r="M986" s="2" t="s">
        <v>3844</v>
      </c>
      <c r="N986" s="2" t="s">
        <v>3843</v>
      </c>
    </row>
    <row r="987" spans="1:14" x14ac:dyDescent="0.25">
      <c r="A987" s="2" t="s">
        <v>2438</v>
      </c>
      <c r="B987" s="2" t="s">
        <v>3908</v>
      </c>
      <c r="C987" s="4">
        <v>45721</v>
      </c>
      <c r="D987" s="4">
        <v>45751</v>
      </c>
      <c r="E987" s="2" t="s">
        <v>1977</v>
      </c>
      <c r="F987" s="2"/>
      <c r="G987" s="2" t="s">
        <v>1132</v>
      </c>
      <c r="H987" s="2">
        <v>622.95000000000005</v>
      </c>
      <c r="I987" s="2">
        <v>31.14</v>
      </c>
      <c r="J987" s="2">
        <v>654.09</v>
      </c>
      <c r="K987" s="2">
        <v>654.09</v>
      </c>
      <c r="L987" s="2" t="s">
        <v>22</v>
      </c>
      <c r="M987" s="2" t="s">
        <v>3844</v>
      </c>
      <c r="N987" s="2" t="s">
        <v>3843</v>
      </c>
    </row>
    <row r="988" spans="1:14" ht="30" x14ac:dyDescent="0.25">
      <c r="A988" s="2" t="s">
        <v>2494</v>
      </c>
      <c r="B988" s="2" t="s">
        <v>80</v>
      </c>
      <c r="C988" s="4">
        <v>45721</v>
      </c>
      <c r="D988" s="4">
        <v>45781</v>
      </c>
      <c r="E988" s="2" t="s">
        <v>1871</v>
      </c>
      <c r="F988" s="2"/>
      <c r="G988" s="2" t="s">
        <v>21</v>
      </c>
      <c r="H988" s="2">
        <v>221.34</v>
      </c>
      <c r="I988" s="2">
        <v>11.07</v>
      </c>
      <c r="J988" s="2">
        <v>232.41</v>
      </c>
      <c r="K988" s="2">
        <v>232.41</v>
      </c>
      <c r="L988" s="2" t="s">
        <v>22</v>
      </c>
      <c r="M988" s="2" t="s">
        <v>3844</v>
      </c>
      <c r="N988" s="2" t="s">
        <v>3843</v>
      </c>
    </row>
    <row r="989" spans="1:14" x14ac:dyDescent="0.25">
      <c r="A989" s="2" t="s">
        <v>2505</v>
      </c>
      <c r="B989" s="2" t="s">
        <v>630</v>
      </c>
      <c r="C989" s="4">
        <v>45720</v>
      </c>
      <c r="D989" s="4">
        <v>45720</v>
      </c>
      <c r="E989" s="2" t="s">
        <v>1857</v>
      </c>
      <c r="F989" s="2"/>
      <c r="G989" s="2" t="s">
        <v>21</v>
      </c>
      <c r="H989" s="2"/>
      <c r="I989" s="2"/>
      <c r="J989" s="2"/>
      <c r="K989" s="2"/>
      <c r="L989" s="2" t="s">
        <v>22</v>
      </c>
      <c r="M989" s="2" t="s">
        <v>4031</v>
      </c>
      <c r="N989" s="2" t="s">
        <v>3843</v>
      </c>
    </row>
    <row r="990" spans="1:14" ht="30" x14ac:dyDescent="0.25">
      <c r="A990" s="2" t="s">
        <v>2310</v>
      </c>
      <c r="B990" s="2" t="s">
        <v>4124</v>
      </c>
      <c r="C990" s="4">
        <v>45720</v>
      </c>
      <c r="D990" s="4">
        <v>45750</v>
      </c>
      <c r="E990" s="2" t="s">
        <v>2192</v>
      </c>
      <c r="F990" s="2"/>
      <c r="G990" s="2" t="s">
        <v>21</v>
      </c>
      <c r="H990" s="2">
        <v>5815.61</v>
      </c>
      <c r="I990" s="2">
        <v>290.77999999999997</v>
      </c>
      <c r="J990" s="2">
        <v>6106.39</v>
      </c>
      <c r="K990" s="2">
        <v>6106.39</v>
      </c>
      <c r="L990" s="2" t="s">
        <v>22</v>
      </c>
      <c r="M990" s="2" t="s">
        <v>3844</v>
      </c>
      <c r="N990" s="2" t="s">
        <v>3843</v>
      </c>
    </row>
    <row r="991" spans="1:14" ht="30" x14ac:dyDescent="0.25">
      <c r="A991" s="2" t="s">
        <v>2502</v>
      </c>
      <c r="B991" s="2" t="s">
        <v>86</v>
      </c>
      <c r="C991" s="4">
        <v>45720</v>
      </c>
      <c r="D991" s="4">
        <v>45750</v>
      </c>
      <c r="E991" s="2" t="s">
        <v>1861</v>
      </c>
      <c r="F991" s="2"/>
      <c r="G991" s="2" t="s">
        <v>21</v>
      </c>
      <c r="H991" s="2">
        <v>641.21</v>
      </c>
      <c r="I991" s="2">
        <v>32.06</v>
      </c>
      <c r="J991" s="2">
        <v>673.27</v>
      </c>
      <c r="K991" s="2">
        <v>673.27</v>
      </c>
      <c r="L991" s="2" t="s">
        <v>22</v>
      </c>
      <c r="M991" s="2" t="s">
        <v>3844</v>
      </c>
      <c r="N991" s="2" t="s">
        <v>3843</v>
      </c>
    </row>
    <row r="992" spans="1:14" x14ac:dyDescent="0.25">
      <c r="A992" s="2" t="s">
        <v>2506</v>
      </c>
      <c r="B992" s="2" t="s">
        <v>77</v>
      </c>
      <c r="C992" s="4">
        <v>45720</v>
      </c>
      <c r="D992" s="4">
        <v>45750</v>
      </c>
      <c r="E992" s="2" t="s">
        <v>1855</v>
      </c>
      <c r="F992" s="2"/>
      <c r="G992" s="2" t="s">
        <v>21</v>
      </c>
      <c r="H992" s="2">
        <v>270.35000000000002</v>
      </c>
      <c r="I992" s="2">
        <v>13.52</v>
      </c>
      <c r="J992" s="2">
        <v>283.87</v>
      </c>
      <c r="K992" s="2">
        <v>283.87</v>
      </c>
      <c r="L992" s="2" t="s">
        <v>22</v>
      </c>
      <c r="M992" s="2" t="s">
        <v>3844</v>
      </c>
      <c r="N992" s="2" t="s">
        <v>3843</v>
      </c>
    </row>
    <row r="993" spans="1:14" ht="30" x14ac:dyDescent="0.25">
      <c r="A993" s="2" t="s">
        <v>2330</v>
      </c>
      <c r="B993" s="2" t="s">
        <v>20</v>
      </c>
      <c r="C993" s="4">
        <v>45720</v>
      </c>
      <c r="D993" s="4">
        <v>45780</v>
      </c>
      <c r="E993" s="2" t="s">
        <v>2153</v>
      </c>
      <c r="F993" s="2"/>
      <c r="G993" s="2" t="s">
        <v>21</v>
      </c>
      <c r="H993" s="2">
        <v>1185.0999999999999</v>
      </c>
      <c r="I993" s="2">
        <v>59.26</v>
      </c>
      <c r="J993" s="2">
        <v>1244.3599999999999</v>
      </c>
      <c r="K993" s="2">
        <v>1244.3599999999999</v>
      </c>
      <c r="L993" s="2" t="s">
        <v>22</v>
      </c>
      <c r="M993" s="2" t="s">
        <v>3844</v>
      </c>
      <c r="N993" s="2" t="s">
        <v>3843</v>
      </c>
    </row>
    <row r="994" spans="1:14" x14ac:dyDescent="0.25">
      <c r="A994" s="2" t="s">
        <v>2376</v>
      </c>
      <c r="B994" s="2" t="s">
        <v>472</v>
      </c>
      <c r="C994" s="4">
        <v>45719</v>
      </c>
      <c r="D994" s="4">
        <v>45749</v>
      </c>
      <c r="E994" s="2" t="s">
        <v>2072</v>
      </c>
      <c r="F994" s="2"/>
      <c r="G994" s="2" t="s">
        <v>1132</v>
      </c>
      <c r="H994" s="2">
        <v>279.94</v>
      </c>
      <c r="I994" s="2">
        <v>14</v>
      </c>
      <c r="J994" s="2">
        <v>293.94</v>
      </c>
      <c r="K994" s="2">
        <v>293.94</v>
      </c>
      <c r="L994" s="2" t="s">
        <v>22</v>
      </c>
      <c r="M994" s="2" t="s">
        <v>3844</v>
      </c>
      <c r="N994" s="2" t="s">
        <v>3843</v>
      </c>
    </row>
    <row r="995" spans="1:14" x14ac:dyDescent="0.25">
      <c r="A995" s="2" t="s">
        <v>2490</v>
      </c>
      <c r="B995" s="2" t="s">
        <v>1881</v>
      </c>
      <c r="C995" s="4">
        <v>45719</v>
      </c>
      <c r="D995" s="4">
        <v>45719</v>
      </c>
      <c r="E995" s="2" t="s">
        <v>1879</v>
      </c>
      <c r="F995" s="2"/>
      <c r="G995" s="2" t="s">
        <v>21</v>
      </c>
      <c r="H995" s="2">
        <v>846.16</v>
      </c>
      <c r="I995" s="2">
        <v>110</v>
      </c>
      <c r="J995" s="2">
        <v>956.16</v>
      </c>
      <c r="K995" s="2">
        <v>956.16</v>
      </c>
      <c r="L995" s="2" t="s">
        <v>22</v>
      </c>
      <c r="M995" s="2" t="s">
        <v>3844</v>
      </c>
      <c r="N995" s="2" t="s">
        <v>3843</v>
      </c>
    </row>
    <row r="996" spans="1:14" ht="30" x14ac:dyDescent="0.25">
      <c r="A996" s="2" t="s">
        <v>2498</v>
      </c>
      <c r="B996" s="2" t="s">
        <v>20</v>
      </c>
      <c r="C996" s="4">
        <v>45719</v>
      </c>
      <c r="D996" s="4">
        <v>45779</v>
      </c>
      <c r="E996" s="2" t="s">
        <v>1865</v>
      </c>
      <c r="F996" s="2"/>
      <c r="G996" s="2" t="s">
        <v>21</v>
      </c>
      <c r="H996" s="2">
        <v>328.88</v>
      </c>
      <c r="I996" s="2">
        <v>16.440000000000001</v>
      </c>
      <c r="J996" s="2">
        <v>345.32</v>
      </c>
      <c r="K996" s="2">
        <v>345.32</v>
      </c>
      <c r="L996" s="2" t="s">
        <v>22</v>
      </c>
      <c r="M996" s="2" t="s">
        <v>3844</v>
      </c>
      <c r="N996" s="2" t="s">
        <v>3843</v>
      </c>
    </row>
    <row r="997" spans="1:14" x14ac:dyDescent="0.25">
      <c r="A997" s="2" t="s">
        <v>2451</v>
      </c>
      <c r="B997" s="2" t="s">
        <v>64</v>
      </c>
      <c r="C997" s="4">
        <v>45719</v>
      </c>
      <c r="D997" s="4">
        <v>45719</v>
      </c>
      <c r="E997" s="2" t="s">
        <v>1954</v>
      </c>
      <c r="F997" s="2"/>
      <c r="G997" s="2" t="s">
        <v>1132</v>
      </c>
      <c r="H997" s="2">
        <v>537.27</v>
      </c>
      <c r="I997" s="2">
        <v>69.84</v>
      </c>
      <c r="J997" s="2">
        <v>607.11</v>
      </c>
      <c r="K997" s="2">
        <v>607.11</v>
      </c>
      <c r="L997" s="2" t="s">
        <v>22</v>
      </c>
      <c r="M997" s="2" t="s">
        <v>3844</v>
      </c>
      <c r="N997" s="2" t="s">
        <v>3843</v>
      </c>
    </row>
    <row r="998" spans="1:14" x14ac:dyDescent="0.25">
      <c r="A998" s="2" t="s">
        <v>2464</v>
      </c>
      <c r="B998" s="2" t="s">
        <v>64</v>
      </c>
      <c r="C998" s="4">
        <v>45719</v>
      </c>
      <c r="D998" s="4">
        <v>45749</v>
      </c>
      <c r="E998" s="2" t="s">
        <v>1932</v>
      </c>
      <c r="F998" s="2"/>
      <c r="G998" s="2" t="s">
        <v>1132</v>
      </c>
      <c r="H998" s="2">
        <v>778.8</v>
      </c>
      <c r="I998" s="2">
        <v>101.24</v>
      </c>
      <c r="J998" s="2">
        <v>880.04</v>
      </c>
      <c r="K998" s="2">
        <v>880.04</v>
      </c>
      <c r="L998" s="2" t="s">
        <v>22</v>
      </c>
      <c r="M998" s="2" t="s">
        <v>3844</v>
      </c>
      <c r="N998" s="2" t="s">
        <v>3843</v>
      </c>
    </row>
    <row r="999" spans="1:14" ht="30" x14ac:dyDescent="0.25">
      <c r="A999" s="2" t="s">
        <v>3630</v>
      </c>
      <c r="B999" s="2" t="s">
        <v>129</v>
      </c>
      <c r="C999" s="4">
        <v>45719</v>
      </c>
      <c r="D999" s="4">
        <v>45749</v>
      </c>
      <c r="E999" s="2" t="s">
        <v>4149</v>
      </c>
      <c r="F999" s="2"/>
      <c r="G999" s="2" t="s">
        <v>130</v>
      </c>
      <c r="H999" s="2">
        <v>11620.46</v>
      </c>
      <c r="I999" s="2"/>
      <c r="J999" s="2">
        <v>11620.46</v>
      </c>
      <c r="K999" s="2">
        <v>8034</v>
      </c>
      <c r="L999" s="2" t="s">
        <v>51</v>
      </c>
      <c r="M999" s="2" t="s">
        <v>3844</v>
      </c>
      <c r="N999" s="2" t="s">
        <v>3843</v>
      </c>
    </row>
    <row r="1000" spans="1:14" ht="45" x14ac:dyDescent="0.25">
      <c r="A1000" s="2" t="s">
        <v>3635</v>
      </c>
      <c r="B1000" s="2" t="s">
        <v>4148</v>
      </c>
      <c r="C1000" s="4">
        <v>45719</v>
      </c>
      <c r="D1000" s="4">
        <v>45749</v>
      </c>
      <c r="E1000" s="2" t="s">
        <v>4147</v>
      </c>
      <c r="F1000" s="2"/>
      <c r="G1000" s="2" t="s">
        <v>1132</v>
      </c>
      <c r="H1000" s="2">
        <v>2423.29</v>
      </c>
      <c r="I1000" s="2"/>
      <c r="J1000" s="2">
        <v>2423.29</v>
      </c>
      <c r="K1000" s="2">
        <v>1675.38</v>
      </c>
      <c r="L1000" s="2" t="s">
        <v>51</v>
      </c>
      <c r="M1000" s="2" t="s">
        <v>3844</v>
      </c>
      <c r="N1000" s="2" t="s">
        <v>3843</v>
      </c>
    </row>
    <row r="1001" spans="1:14" ht="45" x14ac:dyDescent="0.25">
      <c r="A1001" s="2" t="s">
        <v>2493</v>
      </c>
      <c r="B1001" s="2" t="s">
        <v>3958</v>
      </c>
      <c r="C1001" s="4">
        <v>45716</v>
      </c>
      <c r="D1001" s="4">
        <v>45746</v>
      </c>
      <c r="E1001" s="2" t="s">
        <v>1873</v>
      </c>
      <c r="F1001" s="2"/>
      <c r="G1001" s="2" t="s">
        <v>21</v>
      </c>
      <c r="H1001" s="2">
        <v>1448.78</v>
      </c>
      <c r="I1001" s="2">
        <v>72.44</v>
      </c>
      <c r="J1001" s="2">
        <v>1521.22</v>
      </c>
      <c r="K1001" s="2">
        <v>1521.22</v>
      </c>
      <c r="L1001" s="2" t="s">
        <v>22</v>
      </c>
      <c r="M1001" s="2" t="s">
        <v>3844</v>
      </c>
      <c r="N1001" s="2" t="s">
        <v>3843</v>
      </c>
    </row>
    <row r="1002" spans="1:14" x14ac:dyDescent="0.25">
      <c r="A1002" s="2" t="s">
        <v>3637</v>
      </c>
      <c r="B1002" s="2" t="s">
        <v>714</v>
      </c>
      <c r="C1002" s="4">
        <v>45716</v>
      </c>
      <c r="D1002" s="4">
        <v>45746</v>
      </c>
      <c r="E1002" s="2" t="s">
        <v>4146</v>
      </c>
      <c r="F1002" s="2"/>
      <c r="G1002" s="2" t="s">
        <v>21</v>
      </c>
      <c r="H1002" s="2">
        <v>34687.78</v>
      </c>
      <c r="I1002" s="2"/>
      <c r="J1002" s="2">
        <v>34687.78</v>
      </c>
      <c r="K1002" s="2">
        <v>24174.58</v>
      </c>
      <c r="L1002" s="2" t="s">
        <v>51</v>
      </c>
      <c r="M1002" s="2" t="s">
        <v>3844</v>
      </c>
      <c r="N1002" s="2" t="s">
        <v>3843</v>
      </c>
    </row>
    <row r="1003" spans="1:14" x14ac:dyDescent="0.25">
      <c r="A1003" s="2" t="s">
        <v>2485</v>
      </c>
      <c r="B1003" s="2" t="s">
        <v>146</v>
      </c>
      <c r="C1003" s="4">
        <v>45715</v>
      </c>
      <c r="D1003" s="4">
        <v>45745</v>
      </c>
      <c r="E1003" s="2" t="s">
        <v>1891</v>
      </c>
      <c r="F1003" s="2"/>
      <c r="G1003" s="2" t="s">
        <v>21</v>
      </c>
      <c r="H1003" s="2">
        <v>454.78</v>
      </c>
      <c r="I1003" s="2">
        <v>22.74</v>
      </c>
      <c r="J1003" s="2">
        <v>477.52</v>
      </c>
      <c r="K1003" s="2">
        <v>477.52</v>
      </c>
      <c r="L1003" s="2" t="s">
        <v>22</v>
      </c>
      <c r="M1003" s="2" t="s">
        <v>3844</v>
      </c>
      <c r="N1003" s="2" t="s">
        <v>3843</v>
      </c>
    </row>
    <row r="1004" spans="1:14" x14ac:dyDescent="0.25">
      <c r="A1004" s="2" t="s">
        <v>2425</v>
      </c>
      <c r="B1004" s="2" t="s">
        <v>54</v>
      </c>
      <c r="C1004" s="4">
        <v>45715</v>
      </c>
      <c r="D1004" s="4">
        <v>45745</v>
      </c>
      <c r="E1004" s="2" t="s">
        <v>2001</v>
      </c>
      <c r="F1004" s="2"/>
      <c r="G1004" s="2" t="s">
        <v>21</v>
      </c>
      <c r="H1004" s="2">
        <v>1914.28</v>
      </c>
      <c r="I1004" s="2">
        <v>95.71</v>
      </c>
      <c r="J1004" s="2">
        <v>2009.99</v>
      </c>
      <c r="K1004" s="2">
        <v>2009.99</v>
      </c>
      <c r="L1004" s="2" t="s">
        <v>22</v>
      </c>
      <c r="M1004" s="2" t="s">
        <v>3844</v>
      </c>
      <c r="N1004" s="2" t="s">
        <v>3843</v>
      </c>
    </row>
    <row r="1005" spans="1:14" x14ac:dyDescent="0.25">
      <c r="A1005" s="2" t="s">
        <v>2273</v>
      </c>
      <c r="B1005" s="2" t="s">
        <v>54</v>
      </c>
      <c r="C1005" s="4">
        <v>45715</v>
      </c>
      <c r="D1005" s="4">
        <v>45745</v>
      </c>
      <c r="E1005" s="2" t="s">
        <v>2261</v>
      </c>
      <c r="F1005" s="2"/>
      <c r="G1005" s="2" t="s">
        <v>21</v>
      </c>
      <c r="H1005" s="2">
        <v>1081.44</v>
      </c>
      <c r="I1005" s="2">
        <v>54.07</v>
      </c>
      <c r="J1005" s="2">
        <v>1135.51</v>
      </c>
      <c r="K1005" s="2">
        <v>1135.51</v>
      </c>
      <c r="L1005" s="2" t="s">
        <v>22</v>
      </c>
      <c r="M1005" s="2" t="s">
        <v>3844</v>
      </c>
      <c r="N1005" s="2" t="s">
        <v>3843</v>
      </c>
    </row>
    <row r="1006" spans="1:14" x14ac:dyDescent="0.25">
      <c r="A1006" s="2" t="s">
        <v>2487</v>
      </c>
      <c r="B1006" s="2" t="s">
        <v>54</v>
      </c>
      <c r="C1006" s="4">
        <v>45715</v>
      </c>
      <c r="D1006" s="4">
        <v>45745</v>
      </c>
      <c r="E1006" s="2" t="s">
        <v>1887</v>
      </c>
      <c r="F1006" s="2"/>
      <c r="G1006" s="2" t="s">
        <v>21</v>
      </c>
      <c r="H1006" s="2">
        <v>1927.29</v>
      </c>
      <c r="I1006" s="2">
        <v>96.36</v>
      </c>
      <c r="J1006" s="2">
        <v>2023.65</v>
      </c>
      <c r="K1006" s="2">
        <v>2023.65</v>
      </c>
      <c r="L1006" s="2" t="s">
        <v>22</v>
      </c>
      <c r="M1006" s="2" t="s">
        <v>3844</v>
      </c>
      <c r="N1006" s="2" t="s">
        <v>3843</v>
      </c>
    </row>
    <row r="1007" spans="1:14" x14ac:dyDescent="0.25">
      <c r="A1007" s="2" t="s">
        <v>2323</v>
      </c>
      <c r="B1007" s="2" t="s">
        <v>54</v>
      </c>
      <c r="C1007" s="4">
        <v>45715</v>
      </c>
      <c r="D1007" s="4">
        <v>45745</v>
      </c>
      <c r="E1007" s="2" t="s">
        <v>2165</v>
      </c>
      <c r="F1007" s="2"/>
      <c r="G1007" s="2" t="s">
        <v>21</v>
      </c>
      <c r="H1007" s="2">
        <v>310.95</v>
      </c>
      <c r="I1007" s="2">
        <v>15.55</v>
      </c>
      <c r="J1007" s="2">
        <v>326.5</v>
      </c>
      <c r="K1007" s="2">
        <v>326.5</v>
      </c>
      <c r="L1007" s="2" t="s">
        <v>22</v>
      </c>
      <c r="M1007" s="2" t="s">
        <v>3844</v>
      </c>
      <c r="N1007" s="2" t="s">
        <v>3843</v>
      </c>
    </row>
    <row r="1008" spans="1:14" ht="30" x14ac:dyDescent="0.25">
      <c r="A1008" s="2" t="s">
        <v>3645</v>
      </c>
      <c r="B1008" s="2" t="s">
        <v>4133</v>
      </c>
      <c r="C1008" s="4">
        <v>45715</v>
      </c>
      <c r="D1008" s="4">
        <v>45715</v>
      </c>
      <c r="E1008" s="2" t="s">
        <v>3698</v>
      </c>
      <c r="F1008" s="2"/>
      <c r="G1008" s="2" t="s">
        <v>21</v>
      </c>
      <c r="H1008" s="2">
        <v>540.36</v>
      </c>
      <c r="I1008" s="2">
        <v>27.02</v>
      </c>
      <c r="J1008" s="2">
        <v>567.38</v>
      </c>
      <c r="K1008" s="2">
        <v>567.38</v>
      </c>
      <c r="L1008" s="2" t="s">
        <v>22</v>
      </c>
      <c r="M1008" s="2" t="s">
        <v>3844</v>
      </c>
      <c r="N1008" s="2" t="s">
        <v>3843</v>
      </c>
    </row>
    <row r="1009" spans="1:14" x14ac:dyDescent="0.25">
      <c r="A1009" s="2" t="s">
        <v>2467</v>
      </c>
      <c r="B1009" s="2" t="s">
        <v>1927</v>
      </c>
      <c r="C1009" s="4">
        <v>45715</v>
      </c>
      <c r="D1009" s="4">
        <v>45775</v>
      </c>
      <c r="E1009" s="2" t="s">
        <v>1925</v>
      </c>
      <c r="F1009" s="2"/>
      <c r="G1009" s="2" t="s">
        <v>71</v>
      </c>
      <c r="H1009" s="2">
        <v>9462.2099999999991</v>
      </c>
      <c r="I1009" s="2"/>
      <c r="J1009" s="2">
        <v>9462.2099999999991</v>
      </c>
      <c r="K1009" s="2">
        <v>6589.5</v>
      </c>
      <c r="L1009" s="2" t="s">
        <v>51</v>
      </c>
      <c r="M1009" s="2" t="s">
        <v>3844</v>
      </c>
      <c r="N1009" s="2" t="s">
        <v>3843</v>
      </c>
    </row>
    <row r="1010" spans="1:14" x14ac:dyDescent="0.25">
      <c r="A1010" s="2" t="s">
        <v>2441</v>
      </c>
      <c r="B1010" s="2" t="s">
        <v>192</v>
      </c>
      <c r="C1010" s="4">
        <v>45715</v>
      </c>
      <c r="D1010" s="4">
        <v>45715</v>
      </c>
      <c r="E1010" s="2" t="s">
        <v>1973</v>
      </c>
      <c r="F1010" s="2"/>
      <c r="G1010" s="2" t="s">
        <v>180</v>
      </c>
      <c r="H1010" s="2">
        <v>487.17</v>
      </c>
      <c r="I1010" s="2"/>
      <c r="J1010" s="2">
        <v>487.17</v>
      </c>
      <c r="K1010" s="2">
        <v>339.52</v>
      </c>
      <c r="L1010" s="2" t="s">
        <v>51</v>
      </c>
      <c r="M1010" s="2" t="s">
        <v>3844</v>
      </c>
      <c r="N1010" s="2" t="s">
        <v>3843</v>
      </c>
    </row>
    <row r="1011" spans="1:14" x14ac:dyDescent="0.25">
      <c r="A1011" s="2" t="s">
        <v>2325</v>
      </c>
      <c r="B1011" s="2" t="s">
        <v>77</v>
      </c>
      <c r="C1011" s="4">
        <v>45715</v>
      </c>
      <c r="D1011" s="4">
        <v>45745</v>
      </c>
      <c r="E1011" s="2" t="s">
        <v>2161</v>
      </c>
      <c r="F1011" s="2"/>
      <c r="G1011" s="2" t="s">
        <v>21</v>
      </c>
      <c r="H1011" s="2">
        <v>33.979999999999997</v>
      </c>
      <c r="I1011" s="2">
        <v>4.42</v>
      </c>
      <c r="J1011" s="2">
        <v>38.4</v>
      </c>
      <c r="K1011" s="2">
        <v>38.4</v>
      </c>
      <c r="L1011" s="2" t="s">
        <v>22</v>
      </c>
      <c r="M1011" s="2" t="s">
        <v>3844</v>
      </c>
      <c r="N1011" s="2" t="s">
        <v>3843</v>
      </c>
    </row>
    <row r="1012" spans="1:14" ht="30" x14ac:dyDescent="0.25">
      <c r="A1012" s="2" t="s">
        <v>3649</v>
      </c>
      <c r="B1012" s="2" t="s">
        <v>86</v>
      </c>
      <c r="C1012" s="4">
        <v>45714</v>
      </c>
      <c r="D1012" s="4">
        <v>45744</v>
      </c>
      <c r="E1012" s="2" t="s">
        <v>4145</v>
      </c>
      <c r="F1012" s="2"/>
      <c r="G1012" s="2" t="s">
        <v>1132</v>
      </c>
      <c r="H1012" s="2">
        <v>4310.29</v>
      </c>
      <c r="I1012" s="2">
        <v>560.34</v>
      </c>
      <c r="J1012" s="2">
        <v>4870.63</v>
      </c>
      <c r="K1012" s="2">
        <v>4870.63</v>
      </c>
      <c r="L1012" s="2" t="s">
        <v>22</v>
      </c>
      <c r="M1012" s="2" t="s">
        <v>3844</v>
      </c>
      <c r="N1012" s="2" t="s">
        <v>3843</v>
      </c>
    </row>
    <row r="1013" spans="1:14" ht="30" x14ac:dyDescent="0.25">
      <c r="A1013" s="2" t="s">
        <v>2479</v>
      </c>
      <c r="B1013" s="2" t="s">
        <v>290</v>
      </c>
      <c r="C1013" s="4">
        <v>45714</v>
      </c>
      <c r="D1013" s="4">
        <v>45774</v>
      </c>
      <c r="E1013" s="2" t="s">
        <v>1903</v>
      </c>
      <c r="F1013" s="2"/>
      <c r="G1013" s="2" t="s">
        <v>21</v>
      </c>
      <c r="H1013" s="2">
        <v>939.78</v>
      </c>
      <c r="I1013" s="2">
        <v>46.99</v>
      </c>
      <c r="J1013" s="2">
        <v>986.77</v>
      </c>
      <c r="K1013" s="2">
        <v>986.77</v>
      </c>
      <c r="L1013" s="2" t="s">
        <v>22</v>
      </c>
      <c r="M1013" s="2" t="s">
        <v>3844</v>
      </c>
      <c r="N1013" s="2" t="s">
        <v>3843</v>
      </c>
    </row>
    <row r="1014" spans="1:14" x14ac:dyDescent="0.25">
      <c r="A1014" s="2" t="s">
        <v>2377</v>
      </c>
      <c r="B1014" s="2" t="s">
        <v>77</v>
      </c>
      <c r="C1014" s="4">
        <v>45714</v>
      </c>
      <c r="D1014" s="4">
        <v>45744</v>
      </c>
      <c r="E1014" s="2" t="s">
        <v>2070</v>
      </c>
      <c r="F1014" s="2"/>
      <c r="G1014" s="2" t="s">
        <v>21</v>
      </c>
      <c r="H1014" s="2">
        <v>1229.06</v>
      </c>
      <c r="I1014" s="2">
        <v>61.46</v>
      </c>
      <c r="J1014" s="2">
        <v>1290.52</v>
      </c>
      <c r="K1014" s="2">
        <v>1290.52</v>
      </c>
      <c r="L1014" s="2" t="s">
        <v>22</v>
      </c>
      <c r="M1014" s="2" t="s">
        <v>3844</v>
      </c>
      <c r="N1014" s="2" t="s">
        <v>3843</v>
      </c>
    </row>
    <row r="1015" spans="1:14" x14ac:dyDescent="0.25">
      <c r="A1015" s="2" t="s">
        <v>2413</v>
      </c>
      <c r="B1015" s="2" t="s">
        <v>77</v>
      </c>
      <c r="C1015" s="4">
        <v>45714</v>
      </c>
      <c r="D1015" s="4">
        <v>45744</v>
      </c>
      <c r="E1015" s="2" t="s">
        <v>2019</v>
      </c>
      <c r="F1015" s="2"/>
      <c r="G1015" s="2" t="s">
        <v>1132</v>
      </c>
      <c r="H1015" s="2">
        <v>57.34</v>
      </c>
      <c r="I1015" s="2">
        <v>2.87</v>
      </c>
      <c r="J1015" s="2">
        <v>60.21</v>
      </c>
      <c r="K1015" s="2">
        <v>60.21</v>
      </c>
      <c r="L1015" s="2" t="s">
        <v>22</v>
      </c>
      <c r="M1015" s="2" t="s">
        <v>3844</v>
      </c>
      <c r="N1015" s="2" t="s">
        <v>3843</v>
      </c>
    </row>
    <row r="1016" spans="1:14" ht="30" x14ac:dyDescent="0.25">
      <c r="A1016" s="2" t="s">
        <v>3647</v>
      </c>
      <c r="B1016" s="2" t="s">
        <v>20</v>
      </c>
      <c r="C1016" s="4">
        <v>45714</v>
      </c>
      <c r="D1016" s="4">
        <v>45774</v>
      </c>
      <c r="E1016" s="2" t="s">
        <v>4144</v>
      </c>
      <c r="F1016" s="2"/>
      <c r="G1016" s="2" t="s">
        <v>21</v>
      </c>
      <c r="H1016" s="2">
        <v>786.1</v>
      </c>
      <c r="I1016" s="2">
        <v>39.31</v>
      </c>
      <c r="J1016" s="2">
        <v>825.41</v>
      </c>
      <c r="K1016" s="2">
        <v>825.41</v>
      </c>
      <c r="L1016" s="2" t="s">
        <v>22</v>
      </c>
      <c r="M1016" s="2" t="s">
        <v>3844</v>
      </c>
      <c r="N1016" s="2" t="s">
        <v>3843</v>
      </c>
    </row>
    <row r="1017" spans="1:14" x14ac:dyDescent="0.25">
      <c r="A1017" s="2" t="s">
        <v>2478</v>
      </c>
      <c r="B1017" s="2" t="s">
        <v>465</v>
      </c>
      <c r="C1017" s="4">
        <v>45714</v>
      </c>
      <c r="D1017" s="4">
        <v>45744</v>
      </c>
      <c r="E1017" s="2" t="s">
        <v>1905</v>
      </c>
      <c r="F1017" s="2"/>
      <c r="G1017" s="2" t="s">
        <v>21</v>
      </c>
      <c r="H1017" s="2">
        <v>117.4</v>
      </c>
      <c r="I1017" s="2">
        <v>15.26</v>
      </c>
      <c r="J1017" s="2">
        <v>132.66</v>
      </c>
      <c r="K1017" s="2">
        <v>132.66</v>
      </c>
      <c r="L1017" s="2" t="s">
        <v>22</v>
      </c>
      <c r="M1017" s="2" t="s">
        <v>3844</v>
      </c>
      <c r="N1017" s="2" t="s">
        <v>3843</v>
      </c>
    </row>
    <row r="1018" spans="1:14" x14ac:dyDescent="0.25">
      <c r="A1018" s="2" t="s">
        <v>2446</v>
      </c>
      <c r="B1018" s="2" t="s">
        <v>644</v>
      </c>
      <c r="C1018" s="4">
        <v>45714</v>
      </c>
      <c r="D1018" s="4">
        <v>45744</v>
      </c>
      <c r="E1018" s="2" t="s">
        <v>1965</v>
      </c>
      <c r="F1018" s="2"/>
      <c r="G1018" s="2" t="s">
        <v>1132</v>
      </c>
      <c r="H1018" s="2">
        <v>7540.08</v>
      </c>
      <c r="I1018" s="2"/>
      <c r="J1018" s="2">
        <v>7540.08</v>
      </c>
      <c r="K1018" s="2">
        <v>5272.46</v>
      </c>
      <c r="L1018" s="2" t="s">
        <v>51</v>
      </c>
      <c r="M1018" s="2" t="s">
        <v>3844</v>
      </c>
      <c r="N1018" s="2" t="s">
        <v>3843</v>
      </c>
    </row>
    <row r="1019" spans="1:14" ht="30" x14ac:dyDescent="0.25">
      <c r="A1019" s="2" t="s">
        <v>2455</v>
      </c>
      <c r="B1019" s="2" t="s">
        <v>39</v>
      </c>
      <c r="C1019" s="4">
        <v>45713</v>
      </c>
      <c r="D1019" s="4">
        <v>45743</v>
      </c>
      <c r="E1019" s="2" t="s">
        <v>1946</v>
      </c>
      <c r="F1019" s="2"/>
      <c r="G1019" s="2" t="s">
        <v>21</v>
      </c>
      <c r="H1019" s="2">
        <v>290.88</v>
      </c>
      <c r="I1019" s="2">
        <v>14.55</v>
      </c>
      <c r="J1019" s="2">
        <v>305.43</v>
      </c>
      <c r="K1019" s="2">
        <v>305.43</v>
      </c>
      <c r="L1019" s="2" t="s">
        <v>22</v>
      </c>
      <c r="M1019" s="2" t="s">
        <v>3844</v>
      </c>
      <c r="N1019" s="2" t="s">
        <v>3843</v>
      </c>
    </row>
    <row r="1020" spans="1:14" ht="30" x14ac:dyDescent="0.25">
      <c r="A1020" s="2" t="s">
        <v>2453</v>
      </c>
      <c r="B1020" s="2" t="s">
        <v>114</v>
      </c>
      <c r="C1020" s="4">
        <v>45713</v>
      </c>
      <c r="D1020" s="4">
        <v>45713</v>
      </c>
      <c r="E1020" s="2" t="s">
        <v>1950</v>
      </c>
      <c r="F1020" s="2"/>
      <c r="G1020" s="2" t="s">
        <v>1132</v>
      </c>
      <c r="H1020" s="2">
        <v>1508.72</v>
      </c>
      <c r="I1020" s="2">
        <v>75.44</v>
      </c>
      <c r="J1020" s="2">
        <v>1584.16</v>
      </c>
      <c r="K1020" s="2">
        <v>1584.16</v>
      </c>
      <c r="L1020" s="2" t="s">
        <v>22</v>
      </c>
      <c r="M1020" s="2" t="s">
        <v>3844</v>
      </c>
      <c r="N1020" s="2" t="s">
        <v>3843</v>
      </c>
    </row>
    <row r="1021" spans="1:14" ht="45" x14ac:dyDescent="0.25">
      <c r="A1021" s="2" t="s">
        <v>2468</v>
      </c>
      <c r="B1021" s="2" t="s">
        <v>502</v>
      </c>
      <c r="C1021" s="4">
        <v>45713</v>
      </c>
      <c r="D1021" s="4">
        <v>45758</v>
      </c>
      <c r="E1021" s="2" t="s">
        <v>1923</v>
      </c>
      <c r="F1021" s="2"/>
      <c r="G1021" s="2" t="s">
        <v>21</v>
      </c>
      <c r="H1021" s="2">
        <v>2985.04</v>
      </c>
      <c r="I1021" s="2">
        <v>149.25</v>
      </c>
      <c r="J1021" s="2">
        <v>3134.29</v>
      </c>
      <c r="K1021" s="2">
        <v>3134.29</v>
      </c>
      <c r="L1021" s="2" t="s">
        <v>22</v>
      </c>
      <c r="M1021" s="2" t="s">
        <v>3844</v>
      </c>
      <c r="N1021" s="2" t="s">
        <v>3843</v>
      </c>
    </row>
    <row r="1022" spans="1:14" x14ac:dyDescent="0.25">
      <c r="A1022" s="2" t="s">
        <v>2458</v>
      </c>
      <c r="B1022" s="2" t="s">
        <v>556</v>
      </c>
      <c r="C1022" s="4">
        <v>45713</v>
      </c>
      <c r="D1022" s="4">
        <v>45743</v>
      </c>
      <c r="E1022" s="2" t="s">
        <v>1944</v>
      </c>
      <c r="F1022" s="2"/>
      <c r="G1022" s="2" t="s">
        <v>1132</v>
      </c>
      <c r="H1022" s="2">
        <v>444.46</v>
      </c>
      <c r="I1022" s="2">
        <v>57.78</v>
      </c>
      <c r="J1022" s="2">
        <v>502.24</v>
      </c>
      <c r="K1022" s="2">
        <v>502.24</v>
      </c>
      <c r="L1022" s="2" t="s">
        <v>22</v>
      </c>
      <c r="M1022" s="2" t="s">
        <v>3844</v>
      </c>
      <c r="N1022" s="2" t="s">
        <v>3843</v>
      </c>
    </row>
    <row r="1023" spans="1:14" ht="30" x14ac:dyDescent="0.25">
      <c r="A1023" s="2" t="s">
        <v>2473</v>
      </c>
      <c r="B1023" s="2" t="s">
        <v>98</v>
      </c>
      <c r="C1023" s="4">
        <v>45713</v>
      </c>
      <c r="D1023" s="4">
        <v>45743</v>
      </c>
      <c r="E1023" s="2" t="s">
        <v>1915</v>
      </c>
      <c r="F1023" s="2"/>
      <c r="G1023" s="2" t="s">
        <v>21</v>
      </c>
      <c r="H1023" s="2">
        <v>451.47</v>
      </c>
      <c r="I1023" s="2">
        <v>58.69</v>
      </c>
      <c r="J1023" s="2">
        <v>510.16</v>
      </c>
      <c r="K1023" s="2">
        <v>510.16</v>
      </c>
      <c r="L1023" s="2" t="s">
        <v>22</v>
      </c>
      <c r="M1023" s="2" t="s">
        <v>3844</v>
      </c>
      <c r="N1023" s="2" t="s">
        <v>3843</v>
      </c>
    </row>
    <row r="1024" spans="1:14" ht="30" x14ac:dyDescent="0.25">
      <c r="A1024" s="2" t="s">
        <v>3656</v>
      </c>
      <c r="B1024" s="2" t="s">
        <v>98</v>
      </c>
      <c r="C1024" s="4">
        <v>45713</v>
      </c>
      <c r="D1024" s="4">
        <v>45743</v>
      </c>
      <c r="E1024" s="2" t="s">
        <v>4143</v>
      </c>
      <c r="F1024" s="2"/>
      <c r="G1024" s="2" t="s">
        <v>21</v>
      </c>
      <c r="H1024" s="2">
        <v>4222.08</v>
      </c>
      <c r="I1024" s="2">
        <v>548.87</v>
      </c>
      <c r="J1024" s="2">
        <v>4770.95</v>
      </c>
      <c r="K1024" s="2">
        <v>4770.95</v>
      </c>
      <c r="L1024" s="2" t="s">
        <v>22</v>
      </c>
      <c r="M1024" s="2" t="s">
        <v>3844</v>
      </c>
      <c r="N1024" s="2" t="s">
        <v>3843</v>
      </c>
    </row>
    <row r="1025" spans="1:14" ht="30" x14ac:dyDescent="0.25">
      <c r="A1025" s="2" t="s">
        <v>2475</v>
      </c>
      <c r="B1025" s="2" t="s">
        <v>98</v>
      </c>
      <c r="C1025" s="4">
        <v>45713</v>
      </c>
      <c r="D1025" s="4">
        <v>45743</v>
      </c>
      <c r="E1025" s="2" t="s">
        <v>1911</v>
      </c>
      <c r="F1025" s="2"/>
      <c r="G1025" s="2" t="s">
        <v>21</v>
      </c>
      <c r="H1025" s="2">
        <v>149.94</v>
      </c>
      <c r="I1025" s="2">
        <v>19.489999999999998</v>
      </c>
      <c r="J1025" s="2">
        <v>169.43</v>
      </c>
      <c r="K1025" s="2">
        <v>169.43</v>
      </c>
      <c r="L1025" s="2" t="s">
        <v>22</v>
      </c>
      <c r="M1025" s="2" t="s">
        <v>3844</v>
      </c>
      <c r="N1025" s="2" t="s">
        <v>3843</v>
      </c>
    </row>
    <row r="1026" spans="1:14" ht="30" x14ac:dyDescent="0.25">
      <c r="A1026" s="2" t="s">
        <v>2411</v>
      </c>
      <c r="B1026" s="2" t="s">
        <v>98</v>
      </c>
      <c r="C1026" s="4">
        <v>45713</v>
      </c>
      <c r="D1026" s="4">
        <v>45743</v>
      </c>
      <c r="E1026" s="2" t="s">
        <v>2021</v>
      </c>
      <c r="F1026" s="2"/>
      <c r="G1026" s="2" t="s">
        <v>1132</v>
      </c>
      <c r="H1026" s="2">
        <v>1031.46</v>
      </c>
      <c r="I1026" s="2">
        <v>134.07</v>
      </c>
      <c r="J1026" s="2">
        <v>1165.53</v>
      </c>
      <c r="K1026" s="2">
        <v>1165.53</v>
      </c>
      <c r="L1026" s="2" t="s">
        <v>22</v>
      </c>
      <c r="M1026" s="2" t="s">
        <v>3844</v>
      </c>
      <c r="N1026" s="2" t="s">
        <v>3843</v>
      </c>
    </row>
    <row r="1027" spans="1:14" ht="30" x14ac:dyDescent="0.25">
      <c r="A1027" s="2" t="s">
        <v>3653</v>
      </c>
      <c r="B1027" s="2" t="s">
        <v>98</v>
      </c>
      <c r="C1027" s="4">
        <v>45713</v>
      </c>
      <c r="D1027" s="4">
        <v>45743</v>
      </c>
      <c r="E1027" s="2" t="s">
        <v>4049</v>
      </c>
      <c r="F1027" s="2"/>
      <c r="G1027" s="2" t="s">
        <v>21</v>
      </c>
      <c r="H1027" s="2">
        <v>4225.34</v>
      </c>
      <c r="I1027" s="2">
        <v>549.29</v>
      </c>
      <c r="J1027" s="2">
        <v>4774.63</v>
      </c>
      <c r="K1027" s="2">
        <v>4774.63</v>
      </c>
      <c r="L1027" s="2" t="s">
        <v>22</v>
      </c>
      <c r="M1027" s="2" t="s">
        <v>3844</v>
      </c>
      <c r="N1027" s="2" t="s">
        <v>3843</v>
      </c>
    </row>
    <row r="1028" spans="1:14" ht="75" x14ac:dyDescent="0.25">
      <c r="A1028" s="2" t="s">
        <v>2312</v>
      </c>
      <c r="B1028" s="2" t="s">
        <v>4142</v>
      </c>
      <c r="C1028" s="4">
        <v>45713</v>
      </c>
      <c r="D1028" s="4">
        <v>45743</v>
      </c>
      <c r="E1028" s="2" t="s">
        <v>2187</v>
      </c>
      <c r="F1028" s="2"/>
      <c r="G1028" s="2" t="s">
        <v>1132</v>
      </c>
      <c r="H1028" s="2">
        <v>3073.79</v>
      </c>
      <c r="I1028" s="2"/>
      <c r="J1028" s="2">
        <v>3073.79</v>
      </c>
      <c r="K1028" s="2">
        <v>2160.83</v>
      </c>
      <c r="L1028" s="2" t="s">
        <v>51</v>
      </c>
      <c r="M1028" s="2" t="s">
        <v>3844</v>
      </c>
      <c r="N1028" s="2" t="s">
        <v>3843</v>
      </c>
    </row>
    <row r="1029" spans="1:14" x14ac:dyDescent="0.25">
      <c r="A1029" s="2" t="s">
        <v>3651</v>
      </c>
      <c r="B1029" s="2" t="s">
        <v>70</v>
      </c>
      <c r="C1029" s="4">
        <v>45713</v>
      </c>
      <c r="D1029" s="4">
        <v>45773</v>
      </c>
      <c r="E1029" s="2" t="s">
        <v>2011</v>
      </c>
      <c r="F1029" s="2"/>
      <c r="G1029" s="2" t="s">
        <v>71</v>
      </c>
      <c r="H1029" s="2">
        <v>4507.92</v>
      </c>
      <c r="I1029" s="2"/>
      <c r="J1029" s="2">
        <v>4507.92</v>
      </c>
      <c r="K1029" s="2">
        <v>3169</v>
      </c>
      <c r="L1029" s="2" t="s">
        <v>51</v>
      </c>
      <c r="M1029" s="2" t="s">
        <v>3844</v>
      </c>
      <c r="N1029" s="2" t="s">
        <v>4141</v>
      </c>
    </row>
    <row r="1030" spans="1:14" ht="30" x14ac:dyDescent="0.25">
      <c r="A1030" s="2" t="s">
        <v>3666</v>
      </c>
      <c r="B1030" s="2" t="s">
        <v>104</v>
      </c>
      <c r="C1030" s="4">
        <v>45712</v>
      </c>
      <c r="D1030" s="4">
        <v>45742</v>
      </c>
      <c r="E1030" s="2" t="s">
        <v>4140</v>
      </c>
      <c r="F1030" s="2"/>
      <c r="G1030" s="2" t="s">
        <v>21</v>
      </c>
      <c r="H1030" s="2">
        <v>5563.92</v>
      </c>
      <c r="I1030" s="2">
        <v>278.19</v>
      </c>
      <c r="J1030" s="2">
        <v>5842.11</v>
      </c>
      <c r="K1030" s="2">
        <v>5842.11</v>
      </c>
      <c r="L1030" s="2" t="s">
        <v>22</v>
      </c>
      <c r="M1030" s="2" t="s">
        <v>3844</v>
      </c>
      <c r="N1030" s="2" t="s">
        <v>3843</v>
      </c>
    </row>
    <row r="1031" spans="1:14" ht="30" x14ac:dyDescent="0.25">
      <c r="A1031" s="2" t="s">
        <v>2466</v>
      </c>
      <c r="B1031" s="2" t="s">
        <v>104</v>
      </c>
      <c r="C1031" s="4">
        <v>45712</v>
      </c>
      <c r="D1031" s="4">
        <v>45742</v>
      </c>
      <c r="E1031" s="2" t="s">
        <v>1928</v>
      </c>
      <c r="F1031" s="2"/>
      <c r="G1031" s="2" t="s">
        <v>21</v>
      </c>
      <c r="H1031" s="2">
        <v>100</v>
      </c>
      <c r="I1031" s="2">
        <v>5</v>
      </c>
      <c r="J1031" s="2">
        <v>105</v>
      </c>
      <c r="K1031" s="2">
        <v>105</v>
      </c>
      <c r="L1031" s="2" t="s">
        <v>22</v>
      </c>
      <c r="M1031" s="2" t="s">
        <v>3844</v>
      </c>
      <c r="N1031" s="2" t="s">
        <v>3843</v>
      </c>
    </row>
    <row r="1032" spans="1:14" ht="30" x14ac:dyDescent="0.25">
      <c r="A1032" s="2" t="s">
        <v>2452</v>
      </c>
      <c r="B1032" s="2" t="s">
        <v>104</v>
      </c>
      <c r="C1032" s="4">
        <v>45712</v>
      </c>
      <c r="D1032" s="4">
        <v>45742</v>
      </c>
      <c r="E1032" s="2" t="s">
        <v>1952</v>
      </c>
      <c r="F1032" s="2"/>
      <c r="G1032" s="2" t="s">
        <v>1132</v>
      </c>
      <c r="H1032" s="2">
        <v>2627.35</v>
      </c>
      <c r="I1032" s="2">
        <v>131.37</v>
      </c>
      <c r="J1032" s="2">
        <v>2758.72</v>
      </c>
      <c r="K1032" s="2">
        <v>2758.72</v>
      </c>
      <c r="L1032" s="2" t="s">
        <v>22</v>
      </c>
      <c r="M1032" s="2" t="s">
        <v>3844</v>
      </c>
      <c r="N1032" s="2" t="s">
        <v>3843</v>
      </c>
    </row>
    <row r="1033" spans="1:14" ht="30" x14ac:dyDescent="0.25">
      <c r="A1033" s="2" t="s">
        <v>2459</v>
      </c>
      <c r="B1033" s="2" t="s">
        <v>4139</v>
      </c>
      <c r="C1033" s="4">
        <v>45712</v>
      </c>
      <c r="D1033" s="4">
        <v>45712</v>
      </c>
      <c r="E1033" s="2" t="s">
        <v>1942</v>
      </c>
      <c r="F1033" s="2"/>
      <c r="G1033" s="2" t="s">
        <v>1132</v>
      </c>
      <c r="H1033" s="2">
        <v>5347.22</v>
      </c>
      <c r="I1033" s="2">
        <v>267.36</v>
      </c>
      <c r="J1033" s="2">
        <v>5614.58</v>
      </c>
      <c r="K1033" s="2">
        <v>5614.58</v>
      </c>
      <c r="L1033" s="2" t="s">
        <v>22</v>
      </c>
      <c r="M1033" s="2" t="s">
        <v>3844</v>
      </c>
      <c r="N1033" s="2" t="s">
        <v>3843</v>
      </c>
    </row>
    <row r="1034" spans="1:14" ht="45" x14ac:dyDescent="0.25">
      <c r="A1034" s="2" t="s">
        <v>3659</v>
      </c>
      <c r="B1034" s="2" t="s">
        <v>4115</v>
      </c>
      <c r="C1034" s="4">
        <v>45712</v>
      </c>
      <c r="D1034" s="4">
        <v>45742</v>
      </c>
      <c r="E1034" s="2" t="s">
        <v>4138</v>
      </c>
      <c r="F1034" s="2"/>
      <c r="G1034" s="2" t="s">
        <v>21</v>
      </c>
      <c r="H1034" s="2">
        <v>6298.29</v>
      </c>
      <c r="I1034" s="2">
        <v>314.91000000000003</v>
      </c>
      <c r="J1034" s="2">
        <v>6613.2</v>
      </c>
      <c r="K1034" s="2">
        <v>6613.2</v>
      </c>
      <c r="L1034" s="2" t="s">
        <v>22</v>
      </c>
      <c r="M1034" s="2" t="s">
        <v>3844</v>
      </c>
      <c r="N1034" s="2" t="s">
        <v>3843</v>
      </c>
    </row>
    <row r="1035" spans="1:14" ht="30" x14ac:dyDescent="0.25">
      <c r="A1035" s="2" t="s">
        <v>2436</v>
      </c>
      <c r="B1035" s="2" t="s">
        <v>35</v>
      </c>
      <c r="C1035" s="4">
        <v>45712</v>
      </c>
      <c r="D1035" s="4">
        <v>45742</v>
      </c>
      <c r="E1035" s="2" t="s">
        <v>1979</v>
      </c>
      <c r="F1035" s="2"/>
      <c r="G1035" s="2" t="s">
        <v>1132</v>
      </c>
      <c r="H1035" s="2">
        <v>2740.17</v>
      </c>
      <c r="I1035" s="2">
        <v>137.01</v>
      </c>
      <c r="J1035" s="2">
        <v>2877.18</v>
      </c>
      <c r="K1035" s="2">
        <v>2877.18</v>
      </c>
      <c r="L1035" s="2" t="s">
        <v>22</v>
      </c>
      <c r="M1035" s="2" t="s">
        <v>3844</v>
      </c>
      <c r="N1035" s="2" t="s">
        <v>3843</v>
      </c>
    </row>
    <row r="1036" spans="1:14" ht="45" x14ac:dyDescent="0.25">
      <c r="A1036" s="2" t="s">
        <v>3664</v>
      </c>
      <c r="B1036" s="2" t="s">
        <v>138</v>
      </c>
      <c r="C1036" s="4">
        <v>45712</v>
      </c>
      <c r="D1036" s="4">
        <v>45742</v>
      </c>
      <c r="E1036" s="2" t="s">
        <v>4137</v>
      </c>
      <c r="F1036" s="2"/>
      <c r="G1036" s="2" t="s">
        <v>21</v>
      </c>
      <c r="H1036" s="2">
        <v>6984.78</v>
      </c>
      <c r="I1036" s="2">
        <v>349.24</v>
      </c>
      <c r="J1036" s="2">
        <v>7334.02</v>
      </c>
      <c r="K1036" s="2">
        <v>7334.02</v>
      </c>
      <c r="L1036" s="2" t="s">
        <v>22</v>
      </c>
      <c r="M1036" s="2" t="s">
        <v>3844</v>
      </c>
      <c r="N1036" s="2" t="s">
        <v>3843</v>
      </c>
    </row>
    <row r="1037" spans="1:14" x14ac:dyDescent="0.25">
      <c r="A1037" s="2" t="s">
        <v>2324</v>
      </c>
      <c r="B1037" s="2" t="s">
        <v>89</v>
      </c>
      <c r="C1037" s="4">
        <v>45712</v>
      </c>
      <c r="D1037" s="4">
        <v>45742</v>
      </c>
      <c r="E1037" s="2" t="s">
        <v>2163</v>
      </c>
      <c r="F1037" s="2"/>
      <c r="G1037" s="2" t="s">
        <v>21</v>
      </c>
      <c r="H1037" s="2">
        <v>386.38</v>
      </c>
      <c r="I1037" s="2">
        <v>19.32</v>
      </c>
      <c r="J1037" s="2">
        <v>405.7</v>
      </c>
      <c r="K1037" s="2">
        <v>405.7</v>
      </c>
      <c r="L1037" s="2" t="s">
        <v>22</v>
      </c>
      <c r="M1037" s="2" t="s">
        <v>3844</v>
      </c>
      <c r="N1037" s="2" t="s">
        <v>3843</v>
      </c>
    </row>
    <row r="1038" spans="1:14" ht="30" x14ac:dyDescent="0.25">
      <c r="A1038" s="2" t="s">
        <v>3668</v>
      </c>
      <c r="B1038" s="2" t="s">
        <v>86</v>
      </c>
      <c r="C1038" s="4">
        <v>45712</v>
      </c>
      <c r="D1038" s="4">
        <v>45742</v>
      </c>
      <c r="E1038" s="2" t="s">
        <v>4136</v>
      </c>
      <c r="F1038" s="2"/>
      <c r="G1038" s="2" t="s">
        <v>1132</v>
      </c>
      <c r="H1038" s="2">
        <v>3257.98</v>
      </c>
      <c r="I1038" s="2">
        <v>423.54</v>
      </c>
      <c r="J1038" s="2">
        <v>3681.52</v>
      </c>
      <c r="K1038" s="2">
        <v>3681.52</v>
      </c>
      <c r="L1038" s="2" t="s">
        <v>22</v>
      </c>
      <c r="M1038" s="2" t="s">
        <v>3844</v>
      </c>
      <c r="N1038" s="2" t="s">
        <v>3843</v>
      </c>
    </row>
    <row r="1039" spans="1:14" ht="30" x14ac:dyDescent="0.25">
      <c r="A1039" s="2" t="s">
        <v>3661</v>
      </c>
      <c r="B1039" s="2" t="s">
        <v>4124</v>
      </c>
      <c r="C1039" s="4">
        <v>45712</v>
      </c>
      <c r="D1039" s="4">
        <v>45742</v>
      </c>
      <c r="E1039" s="2" t="s">
        <v>4135</v>
      </c>
      <c r="F1039" s="2"/>
      <c r="G1039" s="2" t="s">
        <v>21</v>
      </c>
      <c r="H1039" s="2">
        <v>1549.78</v>
      </c>
      <c r="I1039" s="2">
        <v>77.489999999999995</v>
      </c>
      <c r="J1039" s="2">
        <v>1627.27</v>
      </c>
      <c r="K1039" s="2">
        <v>1627.27</v>
      </c>
      <c r="L1039" s="2" t="s">
        <v>22</v>
      </c>
      <c r="M1039" s="2" t="s">
        <v>3844</v>
      </c>
      <c r="N1039" s="2" t="s">
        <v>3843</v>
      </c>
    </row>
    <row r="1040" spans="1:14" x14ac:dyDescent="0.25">
      <c r="A1040" s="2" t="s">
        <v>2460</v>
      </c>
      <c r="B1040" s="2" t="s">
        <v>4134</v>
      </c>
      <c r="C1040" s="4">
        <v>45712</v>
      </c>
      <c r="D1040" s="4">
        <v>45712</v>
      </c>
      <c r="E1040" s="2" t="s">
        <v>1940</v>
      </c>
      <c r="F1040" s="2"/>
      <c r="G1040" s="2" t="s">
        <v>21</v>
      </c>
      <c r="H1040" s="2">
        <v>29668.45</v>
      </c>
      <c r="I1040" s="2"/>
      <c r="J1040" s="2">
        <v>29668.45</v>
      </c>
      <c r="K1040" s="2">
        <v>20856</v>
      </c>
      <c r="L1040" s="2" t="s">
        <v>51</v>
      </c>
      <c r="M1040" s="2" t="s">
        <v>3844</v>
      </c>
      <c r="N1040" s="2" t="s">
        <v>3843</v>
      </c>
    </row>
    <row r="1041" spans="1:14" x14ac:dyDescent="0.25">
      <c r="A1041" s="2" t="s">
        <v>2461</v>
      </c>
      <c r="B1041" s="2" t="s">
        <v>1778</v>
      </c>
      <c r="C1041" s="4">
        <v>45712</v>
      </c>
      <c r="D1041" s="4">
        <v>45742</v>
      </c>
      <c r="E1041" s="2" t="s">
        <v>1938</v>
      </c>
      <c r="F1041" s="2"/>
      <c r="G1041" s="2" t="s">
        <v>1132</v>
      </c>
      <c r="H1041" s="2">
        <v>369.15</v>
      </c>
      <c r="I1041" s="2"/>
      <c r="J1041" s="2">
        <v>369.15</v>
      </c>
      <c r="K1041" s="2">
        <v>259.5</v>
      </c>
      <c r="L1041" s="2" t="s">
        <v>51</v>
      </c>
      <c r="M1041" s="2" t="s">
        <v>3844</v>
      </c>
      <c r="N1041" s="2" t="s">
        <v>3843</v>
      </c>
    </row>
    <row r="1042" spans="1:14" x14ac:dyDescent="0.25">
      <c r="A1042" s="2" t="s">
        <v>2462</v>
      </c>
      <c r="B1042" s="2" t="s">
        <v>556</v>
      </c>
      <c r="C1042" s="4">
        <v>45708</v>
      </c>
      <c r="D1042" s="4">
        <v>45738</v>
      </c>
      <c r="E1042" s="2" t="s">
        <v>1936</v>
      </c>
      <c r="F1042" s="2"/>
      <c r="G1042" s="2" t="s">
        <v>21</v>
      </c>
      <c r="H1042" s="2">
        <v>836.73</v>
      </c>
      <c r="I1042" s="2">
        <v>108.77</v>
      </c>
      <c r="J1042" s="2">
        <v>945.5</v>
      </c>
      <c r="K1042" s="2">
        <v>945.5</v>
      </c>
      <c r="L1042" s="2" t="s">
        <v>22</v>
      </c>
      <c r="M1042" s="2" t="s">
        <v>3844</v>
      </c>
      <c r="N1042" s="2" t="s">
        <v>3843</v>
      </c>
    </row>
    <row r="1043" spans="1:14" ht="30" x14ac:dyDescent="0.25">
      <c r="A1043" s="2" t="s">
        <v>2410</v>
      </c>
      <c r="B1043" s="2" t="s">
        <v>159</v>
      </c>
      <c r="C1043" s="4">
        <v>45708</v>
      </c>
      <c r="D1043" s="4">
        <v>45753</v>
      </c>
      <c r="E1043" s="2" t="s">
        <v>2023</v>
      </c>
      <c r="F1043" s="2"/>
      <c r="G1043" s="2" t="s">
        <v>426</v>
      </c>
      <c r="H1043" s="2">
        <v>18611.759999999998</v>
      </c>
      <c r="I1043" s="2"/>
      <c r="J1043" s="2">
        <v>18611.759999999998</v>
      </c>
      <c r="K1043" s="2">
        <v>13072.47</v>
      </c>
      <c r="L1043" s="2" t="s">
        <v>51</v>
      </c>
      <c r="M1043" s="2" t="s">
        <v>3844</v>
      </c>
      <c r="N1043" s="2" t="s">
        <v>3843</v>
      </c>
    </row>
    <row r="1044" spans="1:14" ht="30" x14ac:dyDescent="0.25">
      <c r="A1044" s="2" t="s">
        <v>2393</v>
      </c>
      <c r="B1044" s="2" t="s">
        <v>159</v>
      </c>
      <c r="C1044" s="4">
        <v>45708</v>
      </c>
      <c r="D1044" s="4">
        <v>45753</v>
      </c>
      <c r="E1044" s="2" t="s">
        <v>2052</v>
      </c>
      <c r="F1044" s="2"/>
      <c r="G1044" s="2" t="s">
        <v>426</v>
      </c>
      <c r="H1044" s="2">
        <v>29460.12</v>
      </c>
      <c r="I1044" s="2"/>
      <c r="J1044" s="2">
        <v>29460.12</v>
      </c>
      <c r="K1044" s="2">
        <v>20692.099999999999</v>
      </c>
      <c r="L1044" s="2" t="s">
        <v>51</v>
      </c>
      <c r="M1044" s="2" t="s">
        <v>3844</v>
      </c>
      <c r="N1044" s="2" t="s">
        <v>3843</v>
      </c>
    </row>
    <row r="1045" spans="1:14" ht="30" x14ac:dyDescent="0.25">
      <c r="A1045" s="2" t="s">
        <v>2402</v>
      </c>
      <c r="B1045" s="2" t="s">
        <v>159</v>
      </c>
      <c r="C1045" s="4">
        <v>45708</v>
      </c>
      <c r="D1045" s="4">
        <v>45753</v>
      </c>
      <c r="E1045" s="2" t="s">
        <v>2034</v>
      </c>
      <c r="F1045" s="2"/>
      <c r="G1045" s="2" t="s">
        <v>426</v>
      </c>
      <c r="H1045" s="2">
        <v>14085.32</v>
      </c>
      <c r="I1045" s="2"/>
      <c r="J1045" s="2">
        <v>14085.32</v>
      </c>
      <c r="K1045" s="2">
        <v>9893.2000000000007</v>
      </c>
      <c r="L1045" s="2" t="s">
        <v>51</v>
      </c>
      <c r="M1045" s="2" t="s">
        <v>3844</v>
      </c>
      <c r="N1045" s="2" t="s">
        <v>3843</v>
      </c>
    </row>
    <row r="1046" spans="1:14" ht="30" x14ac:dyDescent="0.25">
      <c r="A1046" s="2" t="s">
        <v>2381</v>
      </c>
      <c r="B1046" s="2" t="s">
        <v>159</v>
      </c>
      <c r="C1046" s="4">
        <v>45708</v>
      </c>
      <c r="D1046" s="4">
        <v>45753</v>
      </c>
      <c r="E1046" s="2" t="s">
        <v>2066</v>
      </c>
      <c r="F1046" s="2"/>
      <c r="G1046" s="2" t="s">
        <v>426</v>
      </c>
      <c r="H1046" s="2">
        <v>22182.54</v>
      </c>
      <c r="I1046" s="2"/>
      <c r="J1046" s="2">
        <v>22182.54</v>
      </c>
      <c r="K1046" s="2">
        <v>15580.5</v>
      </c>
      <c r="L1046" s="2" t="s">
        <v>51</v>
      </c>
      <c r="M1046" s="2" t="s">
        <v>3844</v>
      </c>
      <c r="N1046" s="2" t="s">
        <v>3843</v>
      </c>
    </row>
    <row r="1047" spans="1:14" x14ac:dyDescent="0.25">
      <c r="A1047" s="2" t="s">
        <v>2401</v>
      </c>
      <c r="B1047" s="2" t="s">
        <v>465</v>
      </c>
      <c r="C1047" s="4">
        <v>45707</v>
      </c>
      <c r="D1047" s="4">
        <v>45737</v>
      </c>
      <c r="E1047" s="2" t="s">
        <v>2036</v>
      </c>
      <c r="F1047" s="2"/>
      <c r="G1047" s="2" t="s">
        <v>1132</v>
      </c>
      <c r="H1047" s="2">
        <v>21498.92</v>
      </c>
      <c r="I1047" s="2">
        <v>2794.85</v>
      </c>
      <c r="J1047" s="2">
        <v>24293.77</v>
      </c>
      <c r="K1047" s="2">
        <v>24293.77</v>
      </c>
      <c r="L1047" s="2" t="s">
        <v>22</v>
      </c>
      <c r="M1047" s="2" t="s">
        <v>3844</v>
      </c>
      <c r="N1047" s="2" t="s">
        <v>3843</v>
      </c>
    </row>
    <row r="1048" spans="1:14" x14ac:dyDescent="0.25">
      <c r="A1048" s="2" t="s">
        <v>2370</v>
      </c>
      <c r="B1048" s="2" t="s">
        <v>465</v>
      </c>
      <c r="C1048" s="4">
        <v>45707</v>
      </c>
      <c r="D1048" s="4">
        <v>45737</v>
      </c>
      <c r="E1048" s="2" t="s">
        <v>2082</v>
      </c>
      <c r="F1048" s="2"/>
      <c r="G1048" s="2" t="s">
        <v>21</v>
      </c>
      <c r="H1048" s="2">
        <v>1759.61</v>
      </c>
      <c r="I1048" s="2">
        <v>228.75</v>
      </c>
      <c r="J1048" s="2">
        <v>1988.36</v>
      </c>
      <c r="K1048" s="2">
        <v>1988.36</v>
      </c>
      <c r="L1048" s="2" t="s">
        <v>22</v>
      </c>
      <c r="M1048" s="2" t="s">
        <v>3844</v>
      </c>
      <c r="N1048" s="2" t="s">
        <v>3843</v>
      </c>
    </row>
    <row r="1049" spans="1:14" x14ac:dyDescent="0.25">
      <c r="A1049" s="2" t="s">
        <v>2445</v>
      </c>
      <c r="B1049" s="2" t="s">
        <v>465</v>
      </c>
      <c r="C1049" s="4">
        <v>45707</v>
      </c>
      <c r="D1049" s="4">
        <v>45737</v>
      </c>
      <c r="E1049" s="2" t="s">
        <v>1967</v>
      </c>
      <c r="F1049" s="2"/>
      <c r="G1049" s="2" t="s">
        <v>1132</v>
      </c>
      <c r="H1049" s="2">
        <v>171.56</v>
      </c>
      <c r="I1049" s="2">
        <v>22.31</v>
      </c>
      <c r="J1049" s="2">
        <v>193.87</v>
      </c>
      <c r="K1049" s="2">
        <v>193.87</v>
      </c>
      <c r="L1049" s="2" t="s">
        <v>22</v>
      </c>
      <c r="M1049" s="2" t="s">
        <v>3844</v>
      </c>
      <c r="N1049" s="2" t="s">
        <v>3843</v>
      </c>
    </row>
    <row r="1050" spans="1:14" ht="45" x14ac:dyDescent="0.25">
      <c r="A1050" s="2" t="s">
        <v>2439</v>
      </c>
      <c r="B1050" s="2" t="s">
        <v>4102</v>
      </c>
      <c r="C1050" s="4">
        <v>45707</v>
      </c>
      <c r="D1050" s="4">
        <v>45737</v>
      </c>
      <c r="E1050" s="2" t="s">
        <v>1975</v>
      </c>
      <c r="F1050" s="2"/>
      <c r="G1050" s="2" t="s">
        <v>1132</v>
      </c>
      <c r="H1050" s="2">
        <v>2019.47</v>
      </c>
      <c r="I1050" s="2">
        <v>100.97</v>
      </c>
      <c r="J1050" s="2">
        <v>2120.44</v>
      </c>
      <c r="K1050" s="2">
        <v>2120.44</v>
      </c>
      <c r="L1050" s="2" t="s">
        <v>22</v>
      </c>
      <c r="M1050" s="2" t="s">
        <v>3844</v>
      </c>
      <c r="N1050" s="2" t="s">
        <v>3843</v>
      </c>
    </row>
    <row r="1051" spans="1:14" ht="30" x14ac:dyDescent="0.25">
      <c r="A1051" s="2" t="s">
        <v>2447</v>
      </c>
      <c r="B1051" s="2" t="s">
        <v>26</v>
      </c>
      <c r="C1051" s="4">
        <v>45707</v>
      </c>
      <c r="D1051" s="4">
        <v>45767</v>
      </c>
      <c r="E1051" s="2" t="s">
        <v>1962</v>
      </c>
      <c r="F1051" s="2"/>
      <c r="G1051" s="2" t="s">
        <v>180</v>
      </c>
      <c r="H1051" s="2">
        <v>765.02</v>
      </c>
      <c r="I1051" s="2">
        <v>38.25</v>
      </c>
      <c r="J1051" s="2">
        <v>803.27</v>
      </c>
      <c r="K1051" s="2">
        <v>803.27</v>
      </c>
      <c r="L1051" s="2" t="s">
        <v>22</v>
      </c>
      <c r="M1051" s="2" t="s">
        <v>3844</v>
      </c>
      <c r="N1051" s="2" t="s">
        <v>3843</v>
      </c>
    </row>
    <row r="1052" spans="1:14" x14ac:dyDescent="0.25">
      <c r="A1052" s="2" t="s">
        <v>2414</v>
      </c>
      <c r="B1052" s="2" t="s">
        <v>77</v>
      </c>
      <c r="C1052" s="4">
        <v>45707</v>
      </c>
      <c r="D1052" s="4">
        <v>45737</v>
      </c>
      <c r="E1052" s="2" t="s">
        <v>2019</v>
      </c>
      <c r="F1052" s="2"/>
      <c r="G1052" s="2" t="s">
        <v>1132</v>
      </c>
      <c r="H1052" s="2">
        <v>126.5</v>
      </c>
      <c r="I1052" s="2">
        <v>6.33</v>
      </c>
      <c r="J1052" s="2">
        <v>132.83000000000001</v>
      </c>
      <c r="K1052" s="2">
        <v>132.83000000000001</v>
      </c>
      <c r="L1052" s="2" t="s">
        <v>22</v>
      </c>
      <c r="M1052" s="2" t="s">
        <v>3844</v>
      </c>
      <c r="N1052" s="2" t="s">
        <v>3843</v>
      </c>
    </row>
    <row r="1053" spans="1:14" x14ac:dyDescent="0.25">
      <c r="A1053" s="2" t="s">
        <v>2449</v>
      </c>
      <c r="B1053" s="2" t="s">
        <v>77</v>
      </c>
      <c r="C1053" s="4">
        <v>45707</v>
      </c>
      <c r="D1053" s="4">
        <v>45737</v>
      </c>
      <c r="E1053" s="2" t="s">
        <v>1958</v>
      </c>
      <c r="F1053" s="2"/>
      <c r="G1053" s="2" t="s">
        <v>1132</v>
      </c>
      <c r="H1053" s="2">
        <v>279.5</v>
      </c>
      <c r="I1053" s="2">
        <v>13.98</v>
      </c>
      <c r="J1053" s="2">
        <v>293.48</v>
      </c>
      <c r="K1053" s="2">
        <v>293.48</v>
      </c>
      <c r="L1053" s="2" t="s">
        <v>22</v>
      </c>
      <c r="M1053" s="2" t="s">
        <v>3844</v>
      </c>
      <c r="N1053" s="2" t="s">
        <v>3843</v>
      </c>
    </row>
    <row r="1054" spans="1:14" x14ac:dyDescent="0.25">
      <c r="A1054" s="2" t="s">
        <v>2432</v>
      </c>
      <c r="B1054" s="2" t="s">
        <v>77</v>
      </c>
      <c r="C1054" s="4">
        <v>45707</v>
      </c>
      <c r="D1054" s="4">
        <v>45737</v>
      </c>
      <c r="E1054" s="2" t="s">
        <v>1987</v>
      </c>
      <c r="F1054" s="2"/>
      <c r="G1054" s="2" t="s">
        <v>1132</v>
      </c>
      <c r="H1054" s="2">
        <v>270.35000000000002</v>
      </c>
      <c r="I1054" s="2">
        <v>13.52</v>
      </c>
      <c r="J1054" s="2">
        <v>283.87</v>
      </c>
      <c r="K1054" s="2">
        <v>283.87</v>
      </c>
      <c r="L1054" s="2" t="s">
        <v>22</v>
      </c>
      <c r="M1054" s="2" t="s">
        <v>3844</v>
      </c>
      <c r="N1054" s="2" t="s">
        <v>3843</v>
      </c>
    </row>
    <row r="1055" spans="1:14" x14ac:dyDescent="0.25">
      <c r="A1055" s="2" t="s">
        <v>2303</v>
      </c>
      <c r="B1055" s="2" t="s">
        <v>54</v>
      </c>
      <c r="C1055" s="4">
        <v>45706</v>
      </c>
      <c r="D1055" s="4">
        <v>45736</v>
      </c>
      <c r="E1055" s="2" t="s">
        <v>2204</v>
      </c>
      <c r="F1055" s="2"/>
      <c r="G1055" s="2" t="s">
        <v>21</v>
      </c>
      <c r="H1055" s="2">
        <v>2246.1999999999998</v>
      </c>
      <c r="I1055" s="2">
        <v>112.31</v>
      </c>
      <c r="J1055" s="2">
        <v>2358.5100000000002</v>
      </c>
      <c r="K1055" s="2">
        <v>2358.5100000000002</v>
      </c>
      <c r="L1055" s="2" t="s">
        <v>22</v>
      </c>
      <c r="M1055" s="2" t="s">
        <v>3844</v>
      </c>
      <c r="N1055" s="2" t="s">
        <v>3843</v>
      </c>
    </row>
    <row r="1056" spans="1:14" x14ac:dyDescent="0.25">
      <c r="A1056" s="2" t="s">
        <v>2426</v>
      </c>
      <c r="B1056" s="2" t="s">
        <v>54</v>
      </c>
      <c r="C1056" s="4">
        <v>45706</v>
      </c>
      <c r="D1056" s="4">
        <v>45736</v>
      </c>
      <c r="E1056" s="2" t="s">
        <v>1999</v>
      </c>
      <c r="F1056" s="2"/>
      <c r="G1056" s="2" t="s">
        <v>1132</v>
      </c>
      <c r="H1056" s="2">
        <v>3005</v>
      </c>
      <c r="I1056" s="2">
        <v>150.25</v>
      </c>
      <c r="J1056" s="2">
        <v>3155.25</v>
      </c>
      <c r="K1056" s="2">
        <v>3155.25</v>
      </c>
      <c r="L1056" s="2" t="s">
        <v>22</v>
      </c>
      <c r="M1056" s="2" t="s">
        <v>3844</v>
      </c>
      <c r="N1056" s="2" t="s">
        <v>3843</v>
      </c>
    </row>
    <row r="1057" spans="1:14" x14ac:dyDescent="0.25">
      <c r="A1057" s="2" t="s">
        <v>2429</v>
      </c>
      <c r="B1057" s="2" t="s">
        <v>54</v>
      </c>
      <c r="C1057" s="4">
        <v>45706</v>
      </c>
      <c r="D1057" s="4">
        <v>45736</v>
      </c>
      <c r="E1057" s="2" t="s">
        <v>1993</v>
      </c>
      <c r="F1057" s="2"/>
      <c r="G1057" s="2" t="s">
        <v>1132</v>
      </c>
      <c r="H1057" s="2">
        <v>8679.65</v>
      </c>
      <c r="I1057" s="2">
        <v>433.98</v>
      </c>
      <c r="J1057" s="2">
        <v>9113.6299999999992</v>
      </c>
      <c r="K1057" s="2">
        <v>9113.6299999999992</v>
      </c>
      <c r="L1057" s="2" t="s">
        <v>22</v>
      </c>
      <c r="M1057" s="2" t="s">
        <v>3844</v>
      </c>
      <c r="N1057" s="2" t="s">
        <v>3843</v>
      </c>
    </row>
    <row r="1058" spans="1:14" x14ac:dyDescent="0.25">
      <c r="A1058" s="2" t="s">
        <v>2417</v>
      </c>
      <c r="B1058" s="2" t="s">
        <v>54</v>
      </c>
      <c r="C1058" s="4">
        <v>45706</v>
      </c>
      <c r="D1058" s="4">
        <v>45736</v>
      </c>
      <c r="E1058" s="2" t="s">
        <v>2015</v>
      </c>
      <c r="F1058" s="2"/>
      <c r="G1058" s="2" t="s">
        <v>1132</v>
      </c>
      <c r="H1058" s="2">
        <v>3529.3</v>
      </c>
      <c r="I1058" s="2">
        <v>176.47</v>
      </c>
      <c r="J1058" s="2">
        <v>3705.77</v>
      </c>
      <c r="K1058" s="2">
        <v>3705.77</v>
      </c>
      <c r="L1058" s="2" t="s">
        <v>22</v>
      </c>
      <c r="M1058" s="2" t="s">
        <v>3844</v>
      </c>
      <c r="N1058" s="2" t="s">
        <v>3843</v>
      </c>
    </row>
    <row r="1059" spans="1:14" x14ac:dyDescent="0.25">
      <c r="A1059" s="2" t="s">
        <v>2291</v>
      </c>
      <c r="B1059" s="2" t="s">
        <v>54</v>
      </c>
      <c r="C1059" s="4">
        <v>45706</v>
      </c>
      <c r="D1059" s="4">
        <v>45736</v>
      </c>
      <c r="E1059" s="2" t="s">
        <v>2230</v>
      </c>
      <c r="F1059" s="2"/>
      <c r="G1059" s="2" t="s">
        <v>21</v>
      </c>
      <c r="H1059" s="2">
        <v>463.06</v>
      </c>
      <c r="I1059" s="2">
        <v>23.15</v>
      </c>
      <c r="J1059" s="2">
        <v>486.21</v>
      </c>
      <c r="K1059" s="2">
        <v>486.21</v>
      </c>
      <c r="L1059" s="2" t="s">
        <v>22</v>
      </c>
      <c r="M1059" s="2" t="s">
        <v>3844</v>
      </c>
      <c r="N1059" s="2" t="s">
        <v>3843</v>
      </c>
    </row>
    <row r="1060" spans="1:14" x14ac:dyDescent="0.25">
      <c r="A1060" s="2" t="s">
        <v>3671</v>
      </c>
      <c r="B1060" s="2" t="s">
        <v>54</v>
      </c>
      <c r="C1060" s="4">
        <v>45706</v>
      </c>
      <c r="D1060" s="4">
        <v>45736</v>
      </c>
      <c r="E1060" s="2" t="s">
        <v>4100</v>
      </c>
      <c r="F1060" s="2"/>
      <c r="G1060" s="2" t="s">
        <v>21</v>
      </c>
      <c r="H1060" s="2">
        <v>369.68</v>
      </c>
      <c r="I1060" s="2">
        <v>18.48</v>
      </c>
      <c r="J1060" s="2">
        <v>388.16</v>
      </c>
      <c r="K1060" s="2">
        <v>388.16</v>
      </c>
      <c r="L1060" s="2" t="s">
        <v>22</v>
      </c>
      <c r="M1060" s="2" t="s">
        <v>3844</v>
      </c>
      <c r="N1060" s="2" t="s">
        <v>3843</v>
      </c>
    </row>
    <row r="1061" spans="1:14" ht="30" x14ac:dyDescent="0.25">
      <c r="A1061" s="2" t="s">
        <v>2430</v>
      </c>
      <c r="B1061" s="2" t="s">
        <v>39</v>
      </c>
      <c r="C1061" s="4">
        <v>45706</v>
      </c>
      <c r="D1061" s="4">
        <v>45707</v>
      </c>
      <c r="E1061" s="2" t="s">
        <v>1991</v>
      </c>
      <c r="F1061" s="2"/>
      <c r="G1061" s="2" t="s">
        <v>1132</v>
      </c>
      <c r="H1061" s="2">
        <v>3384.38</v>
      </c>
      <c r="I1061" s="2">
        <v>169.22</v>
      </c>
      <c r="J1061" s="2">
        <v>3553.6</v>
      </c>
      <c r="K1061" s="2">
        <v>3553.6</v>
      </c>
      <c r="L1061" s="2" t="s">
        <v>22</v>
      </c>
      <c r="M1061" s="2" t="s">
        <v>3844</v>
      </c>
      <c r="N1061" s="2" t="s">
        <v>3843</v>
      </c>
    </row>
    <row r="1062" spans="1:14" ht="60" x14ac:dyDescent="0.25">
      <c r="A1062" s="2" t="s">
        <v>2444</v>
      </c>
      <c r="B1062" s="2" t="s">
        <v>4127</v>
      </c>
      <c r="C1062" s="4">
        <v>45706</v>
      </c>
      <c r="D1062" s="4">
        <v>45706</v>
      </c>
      <c r="E1062" s="2" t="s">
        <v>1969</v>
      </c>
      <c r="F1062" s="2"/>
      <c r="G1062" s="2" t="s">
        <v>1132</v>
      </c>
      <c r="H1062" s="2">
        <v>1558.47</v>
      </c>
      <c r="I1062" s="2"/>
      <c r="J1062" s="2">
        <v>1558.47</v>
      </c>
      <c r="K1062" s="2">
        <v>1098.5899999999999</v>
      </c>
      <c r="L1062" s="2" t="s">
        <v>51</v>
      </c>
      <c r="M1062" s="2" t="s">
        <v>3844</v>
      </c>
      <c r="N1062" s="2" t="s">
        <v>3843</v>
      </c>
    </row>
    <row r="1063" spans="1:14" ht="30" x14ac:dyDescent="0.25">
      <c r="A1063" s="2" t="s">
        <v>3670</v>
      </c>
      <c r="B1063" s="2" t="s">
        <v>4133</v>
      </c>
      <c r="C1063" s="4">
        <v>45706</v>
      </c>
      <c r="D1063" s="4">
        <v>45706</v>
      </c>
      <c r="E1063" s="2" t="s">
        <v>3698</v>
      </c>
      <c r="F1063" s="2"/>
      <c r="G1063" s="2" t="s">
        <v>21</v>
      </c>
      <c r="H1063" s="2">
        <v>2761.94</v>
      </c>
      <c r="I1063" s="2">
        <v>138.09</v>
      </c>
      <c r="J1063" s="2">
        <v>2900.03</v>
      </c>
      <c r="K1063" s="2">
        <v>2900.03</v>
      </c>
      <c r="L1063" s="2" t="s">
        <v>22</v>
      </c>
      <c r="M1063" s="2" t="s">
        <v>3844</v>
      </c>
      <c r="N1063" s="2" t="s">
        <v>3843</v>
      </c>
    </row>
    <row r="1064" spans="1:14" x14ac:dyDescent="0.25">
      <c r="A1064" s="2" t="s">
        <v>2320</v>
      </c>
      <c r="B1064" s="2" t="s">
        <v>694</v>
      </c>
      <c r="C1064" s="4">
        <v>45706</v>
      </c>
      <c r="D1064" s="4">
        <v>45736</v>
      </c>
      <c r="E1064" s="2" t="s">
        <v>2171</v>
      </c>
      <c r="F1064" s="2"/>
      <c r="G1064" s="2" t="s">
        <v>1132</v>
      </c>
      <c r="H1064" s="2">
        <v>101.46</v>
      </c>
      <c r="I1064" s="2"/>
      <c r="J1064" s="2">
        <v>101.46</v>
      </c>
      <c r="K1064" s="2">
        <v>71.52</v>
      </c>
      <c r="L1064" s="2" t="s">
        <v>51</v>
      </c>
      <c r="M1064" s="2" t="s">
        <v>3844</v>
      </c>
      <c r="N1064" s="2" t="s">
        <v>3843</v>
      </c>
    </row>
    <row r="1065" spans="1:14" ht="30" x14ac:dyDescent="0.25">
      <c r="A1065" s="2" t="s">
        <v>2375</v>
      </c>
      <c r="B1065" s="2" t="s">
        <v>4132</v>
      </c>
      <c r="C1065" s="4">
        <v>45706</v>
      </c>
      <c r="D1065" s="4">
        <v>45706</v>
      </c>
      <c r="E1065" s="2" t="s">
        <v>2074</v>
      </c>
      <c r="F1065" s="2"/>
      <c r="G1065" s="2" t="s">
        <v>21</v>
      </c>
      <c r="H1065" s="2">
        <v>470.86</v>
      </c>
      <c r="I1065" s="2"/>
      <c r="J1065" s="2">
        <v>470.86</v>
      </c>
      <c r="K1065" s="2">
        <v>331.92</v>
      </c>
      <c r="L1065" s="2" t="s">
        <v>51</v>
      </c>
      <c r="M1065" s="2" t="s">
        <v>3844</v>
      </c>
      <c r="N1065" s="2" t="s">
        <v>3843</v>
      </c>
    </row>
    <row r="1066" spans="1:14" ht="30" x14ac:dyDescent="0.25">
      <c r="A1066" s="2" t="s">
        <v>2421</v>
      </c>
      <c r="B1066" s="2" t="s">
        <v>20</v>
      </c>
      <c r="C1066" s="4">
        <v>45706</v>
      </c>
      <c r="D1066" s="4">
        <v>45766</v>
      </c>
      <c r="E1066" s="2" t="s">
        <v>2007</v>
      </c>
      <c r="F1066" s="2"/>
      <c r="G1066" s="2" t="s">
        <v>21</v>
      </c>
      <c r="H1066" s="2">
        <v>678.09</v>
      </c>
      <c r="I1066" s="2">
        <v>33.909999999999997</v>
      </c>
      <c r="J1066" s="2">
        <v>712</v>
      </c>
      <c r="K1066" s="2">
        <v>712</v>
      </c>
      <c r="L1066" s="2" t="s">
        <v>22</v>
      </c>
      <c r="M1066" s="2" t="s">
        <v>3844</v>
      </c>
      <c r="N1066" s="2" t="s">
        <v>3843</v>
      </c>
    </row>
    <row r="1067" spans="1:14" ht="30" x14ac:dyDescent="0.25">
      <c r="A1067" s="2" t="s">
        <v>2418</v>
      </c>
      <c r="B1067" s="2" t="s">
        <v>20</v>
      </c>
      <c r="C1067" s="4">
        <v>45706</v>
      </c>
      <c r="D1067" s="4">
        <v>45766</v>
      </c>
      <c r="E1067" s="2" t="s">
        <v>2013</v>
      </c>
      <c r="F1067" s="2"/>
      <c r="G1067" s="2" t="s">
        <v>21</v>
      </c>
      <c r="H1067" s="2">
        <v>161.57</v>
      </c>
      <c r="I1067" s="2">
        <v>8.08</v>
      </c>
      <c r="J1067" s="2">
        <v>169.65</v>
      </c>
      <c r="K1067" s="2">
        <v>169.65</v>
      </c>
      <c r="L1067" s="2" t="s">
        <v>22</v>
      </c>
      <c r="M1067" s="2" t="s">
        <v>3844</v>
      </c>
      <c r="N1067" s="2" t="s">
        <v>3843</v>
      </c>
    </row>
    <row r="1068" spans="1:14" ht="30" x14ac:dyDescent="0.25">
      <c r="A1068" s="2" t="s">
        <v>2423</v>
      </c>
      <c r="B1068" s="2" t="s">
        <v>290</v>
      </c>
      <c r="C1068" s="4">
        <v>45706</v>
      </c>
      <c r="D1068" s="4">
        <v>45766</v>
      </c>
      <c r="E1068" s="2" t="s">
        <v>2005</v>
      </c>
      <c r="F1068" s="2"/>
      <c r="G1068" s="2" t="s">
        <v>21</v>
      </c>
      <c r="H1068" s="2">
        <v>939.78</v>
      </c>
      <c r="I1068" s="2">
        <v>46.99</v>
      </c>
      <c r="J1068" s="2">
        <v>986.77</v>
      </c>
      <c r="K1068" s="2">
        <v>986.77</v>
      </c>
      <c r="L1068" s="2" t="s">
        <v>22</v>
      </c>
      <c r="M1068" s="2" t="s">
        <v>3844</v>
      </c>
      <c r="N1068" s="2" t="s">
        <v>3843</v>
      </c>
    </row>
    <row r="1069" spans="1:14" ht="45" x14ac:dyDescent="0.25">
      <c r="A1069" s="2" t="s">
        <v>3674</v>
      </c>
      <c r="B1069" s="2" t="s">
        <v>3986</v>
      </c>
      <c r="C1069" s="4">
        <v>45702</v>
      </c>
      <c r="D1069" s="4">
        <v>45732</v>
      </c>
      <c r="E1069" s="2" t="s">
        <v>4125</v>
      </c>
      <c r="F1069" s="2"/>
      <c r="G1069" s="2" t="s">
        <v>21</v>
      </c>
      <c r="H1069" s="2">
        <v>4187.46</v>
      </c>
      <c r="I1069" s="2">
        <v>544.37</v>
      </c>
      <c r="J1069" s="2">
        <v>4731.83</v>
      </c>
      <c r="K1069" s="2">
        <v>4731.83</v>
      </c>
      <c r="L1069" s="2" t="s">
        <v>22</v>
      </c>
      <c r="M1069" s="2" t="s">
        <v>3844</v>
      </c>
      <c r="N1069" s="2" t="s">
        <v>3843</v>
      </c>
    </row>
    <row r="1070" spans="1:14" ht="30" x14ac:dyDescent="0.25">
      <c r="A1070" s="2" t="s">
        <v>2350</v>
      </c>
      <c r="B1070" s="2" t="s">
        <v>353</v>
      </c>
      <c r="C1070" s="4">
        <v>45702</v>
      </c>
      <c r="D1070" s="4">
        <v>45732</v>
      </c>
      <c r="E1070" s="2" t="s">
        <v>2116</v>
      </c>
      <c r="F1070" s="2"/>
      <c r="G1070" s="2" t="s">
        <v>21</v>
      </c>
      <c r="H1070" s="2">
        <v>885.98</v>
      </c>
      <c r="I1070" s="2">
        <v>44.3</v>
      </c>
      <c r="J1070" s="2">
        <v>930.28</v>
      </c>
      <c r="K1070" s="2">
        <v>930.28</v>
      </c>
      <c r="L1070" s="2" t="s">
        <v>22</v>
      </c>
      <c r="M1070" s="2" t="s">
        <v>3844</v>
      </c>
      <c r="N1070" s="2" t="s">
        <v>3843</v>
      </c>
    </row>
    <row r="1071" spans="1:14" x14ac:dyDescent="0.25">
      <c r="A1071" s="2" t="s">
        <v>2407</v>
      </c>
      <c r="B1071" s="2" t="s">
        <v>2031</v>
      </c>
      <c r="C1071" s="4">
        <v>45702</v>
      </c>
      <c r="D1071" s="4">
        <v>45762</v>
      </c>
      <c r="E1071" s="2" t="s">
        <v>2029</v>
      </c>
      <c r="F1071" s="2"/>
      <c r="G1071" s="2" t="s">
        <v>71</v>
      </c>
      <c r="H1071" s="2">
        <v>10060.57</v>
      </c>
      <c r="I1071" s="2"/>
      <c r="J1071" s="2">
        <v>10060.57</v>
      </c>
      <c r="K1071" s="2">
        <v>7041</v>
      </c>
      <c r="L1071" s="2" t="s">
        <v>51</v>
      </c>
      <c r="M1071" s="2" t="s">
        <v>3844</v>
      </c>
      <c r="N1071" s="2" t="s">
        <v>3843</v>
      </c>
    </row>
    <row r="1072" spans="1:14" x14ac:dyDescent="0.25">
      <c r="A1072" s="2" t="s">
        <v>2386</v>
      </c>
      <c r="B1072" s="2" t="s">
        <v>714</v>
      </c>
      <c r="C1072" s="4">
        <v>45702</v>
      </c>
      <c r="D1072" s="4">
        <v>45732</v>
      </c>
      <c r="E1072" s="2" t="s">
        <v>2064</v>
      </c>
      <c r="F1072" s="2"/>
      <c r="G1072" s="2" t="s">
        <v>21</v>
      </c>
      <c r="H1072" s="2">
        <v>23011.41</v>
      </c>
      <c r="I1072" s="2"/>
      <c r="J1072" s="2">
        <v>23011.41</v>
      </c>
      <c r="K1072" s="2">
        <v>16104.77</v>
      </c>
      <c r="L1072" s="2" t="s">
        <v>51</v>
      </c>
      <c r="M1072" s="2" t="s">
        <v>3844</v>
      </c>
      <c r="N1072" s="2" t="s">
        <v>3843</v>
      </c>
    </row>
    <row r="1073" spans="1:14" x14ac:dyDescent="0.25">
      <c r="A1073" s="2" t="s">
        <v>4131</v>
      </c>
      <c r="B1073" s="2" t="s">
        <v>714</v>
      </c>
      <c r="C1073" s="4">
        <v>45702</v>
      </c>
      <c r="D1073" s="4">
        <v>45732</v>
      </c>
      <c r="E1073" s="2" t="s">
        <v>3994</v>
      </c>
      <c r="F1073" s="2"/>
      <c r="G1073" s="2" t="s">
        <v>21</v>
      </c>
      <c r="H1073" s="2">
        <v>41035.32</v>
      </c>
      <c r="I1073" s="2"/>
      <c r="J1073" s="2">
        <v>41035.32</v>
      </c>
      <c r="K1073" s="2">
        <v>28719</v>
      </c>
      <c r="L1073" s="2" t="s">
        <v>51</v>
      </c>
      <c r="M1073" s="2" t="s">
        <v>3844</v>
      </c>
      <c r="N1073" s="2" t="s">
        <v>3978</v>
      </c>
    </row>
    <row r="1074" spans="1:14" x14ac:dyDescent="0.25">
      <c r="A1074" s="2" t="s">
        <v>2409</v>
      </c>
      <c r="B1074" s="2" t="s">
        <v>146</v>
      </c>
      <c r="C1074" s="4">
        <v>45700</v>
      </c>
      <c r="D1074" s="4">
        <v>45730</v>
      </c>
      <c r="E1074" s="2" t="s">
        <v>2025</v>
      </c>
      <c r="F1074" s="2"/>
      <c r="G1074" s="2" t="s">
        <v>1132</v>
      </c>
      <c r="H1074" s="2">
        <v>3998.78</v>
      </c>
      <c r="I1074" s="2">
        <v>199.94</v>
      </c>
      <c r="J1074" s="2">
        <v>4198.72</v>
      </c>
      <c r="K1074" s="2">
        <v>4198.72</v>
      </c>
      <c r="L1074" s="2" t="s">
        <v>22</v>
      </c>
      <c r="M1074" s="2" t="s">
        <v>3844</v>
      </c>
      <c r="N1074" s="2" t="s">
        <v>3843</v>
      </c>
    </row>
    <row r="1075" spans="1:14" x14ac:dyDescent="0.25">
      <c r="A1075" s="2" t="s">
        <v>2378</v>
      </c>
      <c r="B1075" s="2" t="s">
        <v>77</v>
      </c>
      <c r="C1075" s="4">
        <v>45700</v>
      </c>
      <c r="D1075" s="4">
        <v>45730</v>
      </c>
      <c r="E1075" s="2" t="s">
        <v>2070</v>
      </c>
      <c r="F1075" s="2"/>
      <c r="G1075" s="2" t="s">
        <v>21</v>
      </c>
      <c r="H1075" s="2">
        <v>158.34</v>
      </c>
      <c r="I1075" s="2">
        <v>7.91</v>
      </c>
      <c r="J1075" s="2">
        <v>166.25</v>
      </c>
      <c r="K1075" s="2">
        <v>166.25</v>
      </c>
      <c r="L1075" s="2" t="s">
        <v>22</v>
      </c>
      <c r="M1075" s="2" t="s">
        <v>3844</v>
      </c>
      <c r="N1075" s="2" t="s">
        <v>3843</v>
      </c>
    </row>
    <row r="1076" spans="1:14" x14ac:dyDescent="0.25">
      <c r="A1076" s="2" t="s">
        <v>2358</v>
      </c>
      <c r="B1076" s="2" t="s">
        <v>77</v>
      </c>
      <c r="C1076" s="4">
        <v>45700</v>
      </c>
      <c r="D1076" s="4">
        <v>45730</v>
      </c>
      <c r="E1076" s="2" t="s">
        <v>2104</v>
      </c>
      <c r="F1076" s="2"/>
      <c r="G1076" s="2" t="s">
        <v>1132</v>
      </c>
      <c r="H1076" s="2">
        <v>2041.05</v>
      </c>
      <c r="I1076" s="2">
        <v>102.05</v>
      </c>
      <c r="J1076" s="2">
        <v>2143.1</v>
      </c>
      <c r="K1076" s="2">
        <v>2143.1</v>
      </c>
      <c r="L1076" s="2" t="s">
        <v>22</v>
      </c>
      <c r="M1076" s="2" t="s">
        <v>3844</v>
      </c>
      <c r="N1076" s="2" t="s">
        <v>3843</v>
      </c>
    </row>
    <row r="1077" spans="1:14" ht="30" x14ac:dyDescent="0.25">
      <c r="A1077" s="2" t="s">
        <v>2400</v>
      </c>
      <c r="B1077" s="2" t="s">
        <v>20</v>
      </c>
      <c r="C1077" s="4">
        <v>45700</v>
      </c>
      <c r="D1077" s="4">
        <v>45760</v>
      </c>
      <c r="E1077" s="2" t="s">
        <v>2038</v>
      </c>
      <c r="F1077" s="2"/>
      <c r="G1077" s="2" t="s">
        <v>21</v>
      </c>
      <c r="H1077" s="2">
        <v>4141.92</v>
      </c>
      <c r="I1077" s="2">
        <v>207.1</v>
      </c>
      <c r="J1077" s="2">
        <v>4349.0200000000004</v>
      </c>
      <c r="K1077" s="2">
        <v>4349.0200000000004</v>
      </c>
      <c r="L1077" s="2" t="s">
        <v>22</v>
      </c>
      <c r="M1077" s="2" t="s">
        <v>3844</v>
      </c>
      <c r="N1077" s="2" t="s">
        <v>3843</v>
      </c>
    </row>
    <row r="1078" spans="1:14" ht="30" x14ac:dyDescent="0.25">
      <c r="A1078" s="2" t="s">
        <v>2398</v>
      </c>
      <c r="B1078" s="2" t="s">
        <v>20</v>
      </c>
      <c r="C1078" s="4">
        <v>45700</v>
      </c>
      <c r="D1078" s="4">
        <v>45760</v>
      </c>
      <c r="E1078" s="2" t="s">
        <v>2042</v>
      </c>
      <c r="F1078" s="2"/>
      <c r="G1078" s="2" t="s">
        <v>21</v>
      </c>
      <c r="H1078" s="2">
        <v>301.76</v>
      </c>
      <c r="I1078" s="2">
        <v>15.09</v>
      </c>
      <c r="J1078" s="2">
        <v>316.85000000000002</v>
      </c>
      <c r="K1078" s="2">
        <v>316.85000000000002</v>
      </c>
      <c r="L1078" s="2" t="s">
        <v>22</v>
      </c>
      <c r="M1078" s="2" t="s">
        <v>3844</v>
      </c>
      <c r="N1078" s="2" t="s">
        <v>3843</v>
      </c>
    </row>
    <row r="1079" spans="1:14" x14ac:dyDescent="0.25">
      <c r="A1079" s="2" t="s">
        <v>2321</v>
      </c>
      <c r="B1079" s="2" t="s">
        <v>689</v>
      </c>
      <c r="C1079" s="4">
        <v>45699</v>
      </c>
      <c r="D1079" s="4">
        <v>45729</v>
      </c>
      <c r="E1079" s="2" t="s">
        <v>2169</v>
      </c>
      <c r="F1079" s="2"/>
      <c r="G1079" s="2" t="s">
        <v>21</v>
      </c>
      <c r="H1079" s="2">
        <v>1498.47</v>
      </c>
      <c r="I1079" s="2">
        <v>194.8</v>
      </c>
      <c r="J1079" s="2">
        <v>1693.27</v>
      </c>
      <c r="K1079" s="2">
        <v>1693.27</v>
      </c>
      <c r="L1079" s="2" t="s">
        <v>22</v>
      </c>
      <c r="M1079" s="2" t="s">
        <v>3844</v>
      </c>
      <c r="N1079" s="2" t="s">
        <v>3843</v>
      </c>
    </row>
    <row r="1080" spans="1:14" x14ac:dyDescent="0.25">
      <c r="A1080" s="2" t="s">
        <v>3676</v>
      </c>
      <c r="B1080" s="2" t="s">
        <v>742</v>
      </c>
      <c r="C1080" s="4">
        <v>45699</v>
      </c>
      <c r="D1080" s="4">
        <v>45699</v>
      </c>
      <c r="E1080" s="2" t="s">
        <v>4130</v>
      </c>
      <c r="F1080" s="2"/>
      <c r="G1080" s="2" t="s">
        <v>21</v>
      </c>
      <c r="H1080" s="2">
        <v>5927.87</v>
      </c>
      <c r="I1080" s="2"/>
      <c r="J1080" s="2">
        <v>5927.87</v>
      </c>
      <c r="K1080" s="2">
        <v>4139.7</v>
      </c>
      <c r="L1080" s="2" t="s">
        <v>51</v>
      </c>
      <c r="M1080" s="2" t="s">
        <v>3844</v>
      </c>
      <c r="N1080" s="2" t="s">
        <v>3843</v>
      </c>
    </row>
    <row r="1081" spans="1:14" ht="30" x14ac:dyDescent="0.25">
      <c r="A1081" s="2" t="s">
        <v>3678</v>
      </c>
      <c r="B1081" s="2" t="s">
        <v>129</v>
      </c>
      <c r="C1081" s="4">
        <v>45698</v>
      </c>
      <c r="D1081" s="4">
        <v>45728</v>
      </c>
      <c r="E1081" s="2" t="s">
        <v>4129</v>
      </c>
      <c r="F1081" s="2"/>
      <c r="G1081" s="2" t="s">
        <v>130</v>
      </c>
      <c r="H1081" s="2">
        <v>46506.92</v>
      </c>
      <c r="I1081" s="2"/>
      <c r="J1081" s="2">
        <v>46506.92</v>
      </c>
      <c r="K1081" s="2">
        <v>32540</v>
      </c>
      <c r="L1081" s="2" t="s">
        <v>51</v>
      </c>
      <c r="M1081" s="2" t="s">
        <v>3844</v>
      </c>
      <c r="N1081" s="2" t="s">
        <v>3843</v>
      </c>
    </row>
    <row r="1082" spans="1:14" ht="30" x14ac:dyDescent="0.25">
      <c r="A1082" s="2" t="s">
        <v>2394</v>
      </c>
      <c r="B1082" s="2" t="s">
        <v>104</v>
      </c>
      <c r="C1082" s="4">
        <v>45695</v>
      </c>
      <c r="D1082" s="4">
        <v>45725</v>
      </c>
      <c r="E1082" s="2" t="s">
        <v>2050</v>
      </c>
      <c r="F1082" s="2"/>
      <c r="G1082" s="2" t="s">
        <v>21</v>
      </c>
      <c r="H1082" s="2">
        <v>711.25</v>
      </c>
      <c r="I1082" s="2">
        <v>35.56</v>
      </c>
      <c r="J1082" s="2">
        <v>746.81</v>
      </c>
      <c r="K1082" s="2">
        <v>746.81</v>
      </c>
      <c r="L1082" s="2" t="s">
        <v>22</v>
      </c>
      <c r="M1082" s="2" t="s">
        <v>3844</v>
      </c>
      <c r="N1082" s="2" t="s">
        <v>3843</v>
      </c>
    </row>
    <row r="1083" spans="1:14" ht="30" x14ac:dyDescent="0.25">
      <c r="A1083" s="2" t="s">
        <v>3680</v>
      </c>
      <c r="B1083" s="2" t="s">
        <v>518</v>
      </c>
      <c r="C1083" s="4">
        <v>45695</v>
      </c>
      <c r="D1083" s="4">
        <v>45725</v>
      </c>
      <c r="E1083" s="2" t="s">
        <v>4128</v>
      </c>
      <c r="F1083" s="2"/>
      <c r="G1083" s="2" t="s">
        <v>1132</v>
      </c>
      <c r="H1083" s="2">
        <v>342.09</v>
      </c>
      <c r="I1083" s="2">
        <v>17.100000000000001</v>
      </c>
      <c r="J1083" s="2">
        <v>359.19</v>
      </c>
      <c r="K1083" s="2">
        <v>359.19</v>
      </c>
      <c r="L1083" s="2" t="s">
        <v>22</v>
      </c>
      <c r="M1083" s="2" t="s">
        <v>3844</v>
      </c>
      <c r="N1083" s="2" t="s">
        <v>3843</v>
      </c>
    </row>
    <row r="1084" spans="1:14" x14ac:dyDescent="0.25">
      <c r="A1084" s="2" t="s">
        <v>3681</v>
      </c>
      <c r="B1084" s="2" t="s">
        <v>714</v>
      </c>
      <c r="C1084" s="4">
        <v>45694</v>
      </c>
      <c r="D1084" s="4">
        <v>45724</v>
      </c>
      <c r="E1084" s="2" t="s">
        <v>3994</v>
      </c>
      <c r="F1084" s="2"/>
      <c r="G1084" s="2" t="s">
        <v>21</v>
      </c>
      <c r="H1084" s="2">
        <v>41113.99</v>
      </c>
      <c r="I1084" s="2"/>
      <c r="J1084" s="2">
        <v>41113.99</v>
      </c>
      <c r="K1084" s="2">
        <v>28719</v>
      </c>
      <c r="L1084" s="2" t="s">
        <v>51</v>
      </c>
      <c r="M1084" s="2" t="s">
        <v>3844</v>
      </c>
      <c r="N1084" s="2" t="s">
        <v>3843</v>
      </c>
    </row>
    <row r="1085" spans="1:14" ht="30" x14ac:dyDescent="0.25">
      <c r="A1085" s="2" t="s">
        <v>2388</v>
      </c>
      <c r="B1085" s="2" t="s">
        <v>4088</v>
      </c>
      <c r="C1085" s="4">
        <v>45694</v>
      </c>
      <c r="D1085" s="4">
        <v>45724</v>
      </c>
      <c r="E1085" s="2" t="s">
        <v>2060</v>
      </c>
      <c r="F1085" s="2"/>
      <c r="G1085" s="2" t="s">
        <v>21</v>
      </c>
      <c r="H1085" s="2">
        <v>1461.67</v>
      </c>
      <c r="I1085" s="2"/>
      <c r="J1085" s="2">
        <v>1461.67</v>
      </c>
      <c r="K1085" s="2">
        <v>1023.3</v>
      </c>
      <c r="L1085" s="2" t="s">
        <v>51</v>
      </c>
      <c r="M1085" s="2" t="s">
        <v>3844</v>
      </c>
      <c r="N1085" s="2" t="s">
        <v>3843</v>
      </c>
    </row>
    <row r="1086" spans="1:14" ht="30" x14ac:dyDescent="0.25">
      <c r="A1086" s="2" t="s">
        <v>2379</v>
      </c>
      <c r="B1086" s="2" t="s">
        <v>4088</v>
      </c>
      <c r="C1086" s="4">
        <v>45694</v>
      </c>
      <c r="D1086" s="4">
        <v>45724</v>
      </c>
      <c r="E1086" s="2" t="s">
        <v>2068</v>
      </c>
      <c r="F1086" s="2"/>
      <c r="G1086" s="2" t="s">
        <v>21</v>
      </c>
      <c r="H1086" s="2">
        <v>4940.26</v>
      </c>
      <c r="I1086" s="2"/>
      <c r="J1086" s="2">
        <v>4940.26</v>
      </c>
      <c r="K1086" s="2">
        <v>3458.61</v>
      </c>
      <c r="L1086" s="2" t="s">
        <v>51</v>
      </c>
      <c r="M1086" s="2" t="s">
        <v>3844</v>
      </c>
      <c r="N1086" s="2" t="s">
        <v>3843</v>
      </c>
    </row>
    <row r="1087" spans="1:14" x14ac:dyDescent="0.25">
      <c r="A1087" s="2" t="s">
        <v>2387</v>
      </c>
      <c r="B1087" s="2" t="s">
        <v>465</v>
      </c>
      <c r="C1087" s="4">
        <v>45693</v>
      </c>
      <c r="D1087" s="4">
        <v>45723</v>
      </c>
      <c r="E1087" s="2" t="s">
        <v>2062</v>
      </c>
      <c r="F1087" s="2"/>
      <c r="G1087" s="2" t="s">
        <v>21</v>
      </c>
      <c r="H1087" s="2">
        <v>447.11</v>
      </c>
      <c r="I1087" s="2">
        <v>58.12</v>
      </c>
      <c r="J1087" s="2">
        <v>505.23</v>
      </c>
      <c r="K1087" s="2">
        <v>505.23</v>
      </c>
      <c r="L1087" s="2" t="s">
        <v>22</v>
      </c>
      <c r="M1087" s="2" t="s">
        <v>3844</v>
      </c>
      <c r="N1087" s="2" t="s">
        <v>3843</v>
      </c>
    </row>
    <row r="1088" spans="1:14" ht="60" x14ac:dyDescent="0.25">
      <c r="A1088" s="2" t="s">
        <v>2354</v>
      </c>
      <c r="B1088" s="2" t="s">
        <v>4127</v>
      </c>
      <c r="C1088" s="4">
        <v>45693</v>
      </c>
      <c r="D1088" s="4">
        <v>45693</v>
      </c>
      <c r="E1088" s="2" t="s">
        <v>2110</v>
      </c>
      <c r="F1088" s="2"/>
      <c r="G1088" s="2" t="s">
        <v>21</v>
      </c>
      <c r="H1088" s="2">
        <v>4769.82</v>
      </c>
      <c r="I1088" s="2"/>
      <c r="J1088" s="2">
        <v>4769.82</v>
      </c>
      <c r="K1088" s="2">
        <v>3330.81</v>
      </c>
      <c r="L1088" s="2" t="s">
        <v>51</v>
      </c>
      <c r="M1088" s="2" t="s">
        <v>3844</v>
      </c>
      <c r="N1088" s="2" t="s">
        <v>3843</v>
      </c>
    </row>
    <row r="1089" spans="1:14" x14ac:dyDescent="0.25">
      <c r="A1089" s="2" t="s">
        <v>3684</v>
      </c>
      <c r="B1089" s="2" t="s">
        <v>3683</v>
      </c>
      <c r="C1089" s="4">
        <v>45693</v>
      </c>
      <c r="D1089" s="4">
        <v>45693</v>
      </c>
      <c r="E1089" s="2" t="s">
        <v>4126</v>
      </c>
      <c r="F1089" s="2"/>
      <c r="G1089" s="2" t="s">
        <v>71</v>
      </c>
      <c r="H1089" s="2">
        <v>13889.26</v>
      </c>
      <c r="I1089" s="2"/>
      <c r="J1089" s="2">
        <v>13889.26</v>
      </c>
      <c r="K1089" s="2">
        <v>9699</v>
      </c>
      <c r="L1089" s="2" t="s">
        <v>51</v>
      </c>
      <c r="M1089" s="2" t="s">
        <v>3844</v>
      </c>
      <c r="N1089" s="2" t="s">
        <v>3843</v>
      </c>
    </row>
    <row r="1090" spans="1:14" x14ac:dyDescent="0.25">
      <c r="A1090" s="2" t="s">
        <v>2365</v>
      </c>
      <c r="B1090" s="2" t="s">
        <v>70</v>
      </c>
      <c r="C1090" s="4">
        <v>45692</v>
      </c>
      <c r="D1090" s="4">
        <v>45752</v>
      </c>
      <c r="E1090" s="2" t="s">
        <v>2092</v>
      </c>
      <c r="F1090" s="2"/>
      <c r="G1090" s="2" t="s">
        <v>71</v>
      </c>
      <c r="H1090" s="2">
        <v>5232.93</v>
      </c>
      <c r="I1090" s="2"/>
      <c r="J1090" s="2">
        <v>5232.93</v>
      </c>
      <c r="K1090" s="2">
        <v>3584</v>
      </c>
      <c r="L1090" s="2" t="s">
        <v>51</v>
      </c>
      <c r="M1090" s="2" t="s">
        <v>3844</v>
      </c>
      <c r="N1090" s="2" t="s">
        <v>3843</v>
      </c>
    </row>
    <row r="1091" spans="1:14" x14ac:dyDescent="0.25">
      <c r="A1091" s="2" t="s">
        <v>2343</v>
      </c>
      <c r="B1091" s="2" t="s">
        <v>70</v>
      </c>
      <c r="C1091" s="4">
        <v>45692</v>
      </c>
      <c r="D1091" s="4">
        <v>45752</v>
      </c>
      <c r="E1091" s="2" t="s">
        <v>2130</v>
      </c>
      <c r="F1091" s="2"/>
      <c r="G1091" s="2" t="s">
        <v>71</v>
      </c>
      <c r="H1091" s="2">
        <v>6906.18</v>
      </c>
      <c r="I1091" s="2"/>
      <c r="J1091" s="2">
        <v>6906.18</v>
      </c>
      <c r="K1091" s="2">
        <v>4730</v>
      </c>
      <c r="L1091" s="2" t="s">
        <v>51</v>
      </c>
      <c r="M1091" s="2" t="s">
        <v>3844</v>
      </c>
      <c r="N1091" s="2" t="s">
        <v>3843</v>
      </c>
    </row>
    <row r="1092" spans="1:14" ht="45" x14ac:dyDescent="0.25">
      <c r="A1092" s="2" t="s">
        <v>3685</v>
      </c>
      <c r="B1092" s="2" t="s">
        <v>3986</v>
      </c>
      <c r="C1092" s="4">
        <v>45691</v>
      </c>
      <c r="D1092" s="4">
        <v>45721</v>
      </c>
      <c r="E1092" s="2" t="s">
        <v>4125</v>
      </c>
      <c r="F1092" s="2"/>
      <c r="G1092" s="2" t="s">
        <v>21</v>
      </c>
      <c r="H1092" s="2">
        <v>3629.89</v>
      </c>
      <c r="I1092" s="2">
        <v>471.88</v>
      </c>
      <c r="J1092" s="2">
        <v>4101.7700000000004</v>
      </c>
      <c r="K1092" s="2">
        <v>4101.7700000000004</v>
      </c>
      <c r="L1092" s="2" t="s">
        <v>22</v>
      </c>
      <c r="M1092" s="2" t="s">
        <v>3844</v>
      </c>
      <c r="N1092" s="2" t="s">
        <v>3843</v>
      </c>
    </row>
    <row r="1093" spans="1:14" ht="30" x14ac:dyDescent="0.25">
      <c r="A1093" s="2" t="s">
        <v>2280</v>
      </c>
      <c r="B1093" s="2" t="s">
        <v>4124</v>
      </c>
      <c r="C1093" s="4">
        <v>45691</v>
      </c>
      <c r="D1093" s="4">
        <v>45721</v>
      </c>
      <c r="E1093" s="2" t="s">
        <v>2247</v>
      </c>
      <c r="F1093" s="2"/>
      <c r="G1093" s="2" t="s">
        <v>21</v>
      </c>
      <c r="H1093" s="2">
        <v>5112.25</v>
      </c>
      <c r="I1093" s="2">
        <v>255.61</v>
      </c>
      <c r="J1093" s="2">
        <v>5367.86</v>
      </c>
      <c r="K1093" s="2">
        <v>5367.86</v>
      </c>
      <c r="L1093" s="2" t="s">
        <v>22</v>
      </c>
      <c r="M1093" s="2" t="s">
        <v>3844</v>
      </c>
      <c r="N1093" s="2" t="s">
        <v>3843</v>
      </c>
    </row>
    <row r="1094" spans="1:14" ht="30" x14ac:dyDescent="0.25">
      <c r="A1094" s="2" t="s">
        <v>2351</v>
      </c>
      <c r="B1094" s="2" t="s">
        <v>353</v>
      </c>
      <c r="C1094" s="4">
        <v>45691</v>
      </c>
      <c r="D1094" s="4">
        <v>45721</v>
      </c>
      <c r="E1094" s="2" t="s">
        <v>2116</v>
      </c>
      <c r="F1094" s="2"/>
      <c r="G1094" s="2" t="s">
        <v>21</v>
      </c>
      <c r="H1094" s="2">
        <v>8614.85</v>
      </c>
      <c r="I1094" s="2">
        <v>430.74</v>
      </c>
      <c r="J1094" s="2">
        <v>9045.59</v>
      </c>
      <c r="K1094" s="2">
        <v>9045.59</v>
      </c>
      <c r="L1094" s="2" t="s">
        <v>22</v>
      </c>
      <c r="M1094" s="2" t="s">
        <v>3844</v>
      </c>
      <c r="N1094" s="2" t="s">
        <v>3843</v>
      </c>
    </row>
    <row r="1095" spans="1:14" ht="30" x14ac:dyDescent="0.25">
      <c r="A1095" s="2" t="s">
        <v>2352</v>
      </c>
      <c r="B1095" s="2" t="s">
        <v>353</v>
      </c>
      <c r="C1095" s="4">
        <v>45691</v>
      </c>
      <c r="D1095" s="4">
        <v>45721</v>
      </c>
      <c r="E1095" s="2" t="s">
        <v>2114</v>
      </c>
      <c r="F1095" s="2"/>
      <c r="G1095" s="2" t="s">
        <v>21</v>
      </c>
      <c r="H1095" s="2">
        <v>5460.46</v>
      </c>
      <c r="I1095" s="2">
        <v>273.02999999999997</v>
      </c>
      <c r="J1095" s="2">
        <v>5733.49</v>
      </c>
      <c r="K1095" s="2">
        <v>5733.49</v>
      </c>
      <c r="L1095" s="2" t="s">
        <v>22</v>
      </c>
      <c r="M1095" s="2" t="s">
        <v>3844</v>
      </c>
      <c r="N1095" s="2" t="s">
        <v>3843</v>
      </c>
    </row>
    <row r="1096" spans="1:14" ht="30" x14ac:dyDescent="0.25">
      <c r="A1096" s="2" t="s">
        <v>2356</v>
      </c>
      <c r="B1096" s="2" t="s">
        <v>98</v>
      </c>
      <c r="C1096" s="4">
        <v>45688</v>
      </c>
      <c r="D1096" s="4">
        <v>45718</v>
      </c>
      <c r="E1096" s="2" t="s">
        <v>2106</v>
      </c>
      <c r="F1096" s="2"/>
      <c r="G1096" s="2" t="s">
        <v>21</v>
      </c>
      <c r="H1096" s="2">
        <v>5089.3900000000003</v>
      </c>
      <c r="I1096" s="2">
        <v>661.62</v>
      </c>
      <c r="J1096" s="2">
        <v>5751.01</v>
      </c>
      <c r="K1096" s="2">
        <v>5751.01</v>
      </c>
      <c r="L1096" s="2" t="s">
        <v>22</v>
      </c>
      <c r="M1096" s="2" t="s">
        <v>3844</v>
      </c>
      <c r="N1096" s="2" t="s">
        <v>3843</v>
      </c>
    </row>
    <row r="1097" spans="1:14" ht="30" x14ac:dyDescent="0.25">
      <c r="A1097" s="2" t="s">
        <v>2335</v>
      </c>
      <c r="B1097" s="2" t="s">
        <v>98</v>
      </c>
      <c r="C1097" s="4">
        <v>45688</v>
      </c>
      <c r="D1097" s="4">
        <v>45718</v>
      </c>
      <c r="E1097" s="2" t="s">
        <v>2149</v>
      </c>
      <c r="F1097" s="2"/>
      <c r="G1097" s="2" t="s">
        <v>1132</v>
      </c>
      <c r="H1097" s="2">
        <v>124.57</v>
      </c>
      <c r="I1097" s="2">
        <v>16.190000000000001</v>
      </c>
      <c r="J1097" s="2">
        <v>140.76</v>
      </c>
      <c r="K1097" s="2">
        <v>140.76</v>
      </c>
      <c r="L1097" s="2" t="s">
        <v>22</v>
      </c>
      <c r="M1097" s="2" t="s">
        <v>3844</v>
      </c>
      <c r="N1097" s="2" t="s">
        <v>3843</v>
      </c>
    </row>
    <row r="1098" spans="1:14" ht="30" x14ac:dyDescent="0.25">
      <c r="A1098" s="2" t="s">
        <v>2279</v>
      </c>
      <c r="B1098" s="2" t="s">
        <v>98</v>
      </c>
      <c r="C1098" s="4">
        <v>45688</v>
      </c>
      <c r="D1098" s="4">
        <v>45718</v>
      </c>
      <c r="E1098" s="2" t="s">
        <v>2249</v>
      </c>
      <c r="F1098" s="2"/>
      <c r="G1098" s="2" t="s">
        <v>21</v>
      </c>
      <c r="H1098" s="2">
        <v>12346.61</v>
      </c>
      <c r="I1098" s="2">
        <v>1605.06</v>
      </c>
      <c r="J1098" s="2">
        <v>13951.67</v>
      </c>
      <c r="K1098" s="2">
        <v>13951.67</v>
      </c>
      <c r="L1098" s="2" t="s">
        <v>22</v>
      </c>
      <c r="M1098" s="2" t="s">
        <v>3844</v>
      </c>
      <c r="N1098" s="2" t="s">
        <v>3843</v>
      </c>
    </row>
    <row r="1099" spans="1:14" ht="30" x14ac:dyDescent="0.25">
      <c r="A1099" s="2" t="s">
        <v>2271</v>
      </c>
      <c r="B1099" s="2" t="s">
        <v>98</v>
      </c>
      <c r="C1099" s="4">
        <v>45688</v>
      </c>
      <c r="D1099" s="4">
        <v>45718</v>
      </c>
      <c r="E1099" s="2" t="s">
        <v>2265</v>
      </c>
      <c r="F1099" s="2"/>
      <c r="G1099" s="2" t="s">
        <v>21</v>
      </c>
      <c r="H1099" s="2">
        <v>2097.09</v>
      </c>
      <c r="I1099" s="2">
        <v>272.62</v>
      </c>
      <c r="J1099" s="2">
        <v>2369.71</v>
      </c>
      <c r="K1099" s="2">
        <v>2369.71</v>
      </c>
      <c r="L1099" s="2" t="s">
        <v>22</v>
      </c>
      <c r="M1099" s="2" t="s">
        <v>3844</v>
      </c>
      <c r="N1099" s="2" t="s">
        <v>3843</v>
      </c>
    </row>
    <row r="1100" spans="1:14" ht="30" x14ac:dyDescent="0.25">
      <c r="A1100" s="2" t="s">
        <v>3692</v>
      </c>
      <c r="B1100" s="2" t="s">
        <v>98</v>
      </c>
      <c r="C1100" s="4">
        <v>45688</v>
      </c>
      <c r="D1100" s="4">
        <v>45718</v>
      </c>
      <c r="E1100" s="2" t="s">
        <v>4055</v>
      </c>
      <c r="F1100" s="2"/>
      <c r="G1100" s="2" t="s">
        <v>21</v>
      </c>
      <c r="H1100" s="2">
        <v>69.73</v>
      </c>
      <c r="I1100" s="2">
        <v>9.06</v>
      </c>
      <c r="J1100" s="2">
        <v>78.790000000000006</v>
      </c>
      <c r="K1100" s="2">
        <v>78.790000000000006</v>
      </c>
      <c r="L1100" s="2" t="s">
        <v>22</v>
      </c>
      <c r="M1100" s="2" t="s">
        <v>3844</v>
      </c>
      <c r="N1100" s="2" t="s">
        <v>3843</v>
      </c>
    </row>
    <row r="1101" spans="1:14" ht="30" x14ac:dyDescent="0.25">
      <c r="A1101" s="2" t="s">
        <v>2369</v>
      </c>
      <c r="B1101" s="2" t="s">
        <v>576</v>
      </c>
      <c r="C1101" s="4">
        <v>45688</v>
      </c>
      <c r="D1101" s="4">
        <v>45688</v>
      </c>
      <c r="E1101" s="2" t="s">
        <v>2084</v>
      </c>
      <c r="F1101" s="2"/>
      <c r="G1101" s="2" t="s">
        <v>1132</v>
      </c>
      <c r="H1101" s="2">
        <v>2779.84</v>
      </c>
      <c r="I1101" s="2"/>
      <c r="J1101" s="2">
        <v>2779.84</v>
      </c>
      <c r="K1101" s="2">
        <v>2779.84</v>
      </c>
      <c r="L1101" s="2" t="s">
        <v>22</v>
      </c>
      <c r="M1101" s="2" t="s">
        <v>3844</v>
      </c>
      <c r="N1101" s="2" t="s">
        <v>3843</v>
      </c>
    </row>
    <row r="1102" spans="1:14" ht="30" x14ac:dyDescent="0.25">
      <c r="A1102" s="2" t="s">
        <v>3687</v>
      </c>
      <c r="B1102" s="2" t="s">
        <v>129</v>
      </c>
      <c r="C1102" s="4">
        <v>45688</v>
      </c>
      <c r="D1102" s="4">
        <v>45718</v>
      </c>
      <c r="E1102" s="2" t="s">
        <v>4068</v>
      </c>
      <c r="F1102" s="2"/>
      <c r="G1102" s="2" t="s">
        <v>130</v>
      </c>
      <c r="H1102" s="2">
        <v>2179.52</v>
      </c>
      <c r="I1102" s="2"/>
      <c r="J1102" s="2">
        <v>2179.52</v>
      </c>
      <c r="K1102" s="2">
        <v>1512</v>
      </c>
      <c r="L1102" s="2" t="s">
        <v>51</v>
      </c>
      <c r="M1102" s="2" t="s">
        <v>3844</v>
      </c>
      <c r="N1102" s="2" t="s">
        <v>3843</v>
      </c>
    </row>
    <row r="1103" spans="1:14" ht="45" x14ac:dyDescent="0.25">
      <c r="A1103" s="2" t="s">
        <v>2371</v>
      </c>
      <c r="B1103" s="2" t="s">
        <v>3951</v>
      </c>
      <c r="C1103" s="4">
        <v>45688</v>
      </c>
      <c r="D1103" s="4">
        <v>45718</v>
      </c>
      <c r="E1103" s="2" t="s">
        <v>2080</v>
      </c>
      <c r="F1103" s="2"/>
      <c r="G1103" s="2" t="s">
        <v>21</v>
      </c>
      <c r="H1103" s="2">
        <v>239.4</v>
      </c>
      <c r="I1103" s="2"/>
      <c r="J1103" s="2">
        <v>239.4</v>
      </c>
      <c r="K1103" s="2">
        <v>166.08</v>
      </c>
      <c r="L1103" s="2" t="s">
        <v>51</v>
      </c>
      <c r="M1103" s="2" t="s">
        <v>3844</v>
      </c>
      <c r="N1103" s="2" t="s">
        <v>3843</v>
      </c>
    </row>
    <row r="1104" spans="1:14" ht="30" x14ac:dyDescent="0.25">
      <c r="A1104" s="2" t="s">
        <v>2372</v>
      </c>
      <c r="B1104" s="2" t="s">
        <v>39</v>
      </c>
      <c r="C1104" s="4">
        <v>45688</v>
      </c>
      <c r="D1104" s="4">
        <v>45718</v>
      </c>
      <c r="E1104" s="2" t="s">
        <v>2078</v>
      </c>
      <c r="F1104" s="2"/>
      <c r="G1104" s="2" t="s">
        <v>21</v>
      </c>
      <c r="H1104" s="2">
        <v>221.6</v>
      </c>
      <c r="I1104" s="2">
        <v>11.08</v>
      </c>
      <c r="J1104" s="2">
        <v>232.68</v>
      </c>
      <c r="K1104" s="2">
        <v>232.68</v>
      </c>
      <c r="L1104" s="2" t="s">
        <v>22</v>
      </c>
      <c r="M1104" s="2" t="s">
        <v>3844</v>
      </c>
      <c r="N1104" s="2" t="s">
        <v>3843</v>
      </c>
    </row>
    <row r="1105" spans="1:14" ht="45" x14ac:dyDescent="0.25">
      <c r="A1105" s="2" t="s">
        <v>2332</v>
      </c>
      <c r="B1105" s="2" t="s">
        <v>43</v>
      </c>
      <c r="C1105" s="4">
        <v>45688</v>
      </c>
      <c r="D1105" s="4">
        <v>45688</v>
      </c>
      <c r="E1105" s="2" t="s">
        <v>2151</v>
      </c>
      <c r="F1105" s="2"/>
      <c r="G1105" s="2" t="s">
        <v>1132</v>
      </c>
      <c r="H1105" s="2">
        <v>129.88</v>
      </c>
      <c r="I1105" s="2">
        <v>6.49</v>
      </c>
      <c r="J1105" s="2">
        <v>136.37</v>
      </c>
      <c r="K1105" s="2">
        <v>136.37</v>
      </c>
      <c r="L1105" s="2" t="s">
        <v>22</v>
      </c>
      <c r="M1105" s="2" t="s">
        <v>3844</v>
      </c>
      <c r="N1105" s="2" t="s">
        <v>3843</v>
      </c>
    </row>
    <row r="1106" spans="1:14" ht="45" x14ac:dyDescent="0.25">
      <c r="A1106" s="2" t="s">
        <v>2288</v>
      </c>
      <c r="B1106" s="2" t="s">
        <v>43</v>
      </c>
      <c r="C1106" s="4">
        <v>45687</v>
      </c>
      <c r="D1106" s="4">
        <v>45717</v>
      </c>
      <c r="E1106" s="2" t="s">
        <v>2232</v>
      </c>
      <c r="F1106" s="2"/>
      <c r="G1106" s="2" t="s">
        <v>1132</v>
      </c>
      <c r="H1106" s="2">
        <v>857.76</v>
      </c>
      <c r="I1106" s="2">
        <v>42.89</v>
      </c>
      <c r="J1106" s="2">
        <v>900.65</v>
      </c>
      <c r="K1106" s="2">
        <v>900.65</v>
      </c>
      <c r="L1106" s="2" t="s">
        <v>22</v>
      </c>
      <c r="M1106" s="2" t="s">
        <v>3844</v>
      </c>
      <c r="N1106" s="2" t="s">
        <v>3843</v>
      </c>
    </row>
    <row r="1107" spans="1:14" ht="45" x14ac:dyDescent="0.25">
      <c r="A1107" s="2" t="s">
        <v>3700</v>
      </c>
      <c r="B1107" s="2" t="s">
        <v>43</v>
      </c>
      <c r="C1107" s="4">
        <v>45687</v>
      </c>
      <c r="D1107" s="4">
        <v>45687</v>
      </c>
      <c r="E1107" s="2" t="s">
        <v>4123</v>
      </c>
      <c r="F1107" s="2"/>
      <c r="G1107" s="2" t="s">
        <v>1132</v>
      </c>
      <c r="H1107" s="2">
        <v>59.76</v>
      </c>
      <c r="I1107" s="2">
        <v>2.99</v>
      </c>
      <c r="J1107" s="2">
        <v>62.75</v>
      </c>
      <c r="K1107" s="2">
        <v>62.75</v>
      </c>
      <c r="L1107" s="2" t="s">
        <v>22</v>
      </c>
      <c r="M1107" s="2" t="s">
        <v>3844</v>
      </c>
      <c r="N1107" s="2" t="s">
        <v>3843</v>
      </c>
    </row>
    <row r="1108" spans="1:14" ht="45" x14ac:dyDescent="0.25">
      <c r="A1108" s="2" t="s">
        <v>2333</v>
      </c>
      <c r="B1108" s="2" t="s">
        <v>43</v>
      </c>
      <c r="C1108" s="4">
        <v>45687</v>
      </c>
      <c r="D1108" s="4">
        <v>45687</v>
      </c>
      <c r="E1108" s="2" t="s">
        <v>2151</v>
      </c>
      <c r="F1108" s="2"/>
      <c r="G1108" s="2" t="s">
        <v>1132</v>
      </c>
      <c r="H1108" s="2">
        <v>50</v>
      </c>
      <c r="I1108" s="2">
        <v>2.5</v>
      </c>
      <c r="J1108" s="2">
        <v>52.5</v>
      </c>
      <c r="K1108" s="2">
        <v>52.5</v>
      </c>
      <c r="L1108" s="2" t="s">
        <v>22</v>
      </c>
      <c r="M1108" s="2" t="s">
        <v>3844</v>
      </c>
      <c r="N1108" s="2" t="s">
        <v>3843</v>
      </c>
    </row>
    <row r="1109" spans="1:14" x14ac:dyDescent="0.25">
      <c r="A1109" s="2" t="s">
        <v>2362</v>
      </c>
      <c r="B1109" s="2" t="s">
        <v>465</v>
      </c>
      <c r="C1109" s="4">
        <v>45687</v>
      </c>
      <c r="D1109" s="4">
        <v>45717</v>
      </c>
      <c r="E1109" s="2" t="s">
        <v>2096</v>
      </c>
      <c r="F1109" s="2"/>
      <c r="G1109" s="2" t="s">
        <v>21</v>
      </c>
      <c r="H1109" s="2">
        <v>7811.79</v>
      </c>
      <c r="I1109" s="2">
        <v>1015.53</v>
      </c>
      <c r="J1109" s="2">
        <v>8827.32</v>
      </c>
      <c r="K1109" s="2">
        <v>8827.32</v>
      </c>
      <c r="L1109" s="2" t="s">
        <v>22</v>
      </c>
      <c r="M1109" s="2" t="s">
        <v>4122</v>
      </c>
      <c r="N1109" s="2" t="s">
        <v>3843</v>
      </c>
    </row>
    <row r="1110" spans="1:14" ht="45" x14ac:dyDescent="0.25">
      <c r="A1110" s="2" t="s">
        <v>2368</v>
      </c>
      <c r="B1110" s="2" t="s">
        <v>3986</v>
      </c>
      <c r="C1110" s="4">
        <v>45687</v>
      </c>
      <c r="D1110" s="4">
        <v>45717</v>
      </c>
      <c r="E1110" s="2" t="s">
        <v>2086</v>
      </c>
      <c r="F1110" s="2"/>
      <c r="G1110" s="2" t="s">
        <v>21</v>
      </c>
      <c r="H1110" s="2">
        <v>3662.42</v>
      </c>
      <c r="I1110" s="2">
        <v>476.12</v>
      </c>
      <c r="J1110" s="2">
        <v>4138.54</v>
      </c>
      <c r="K1110" s="2">
        <v>4138.54</v>
      </c>
      <c r="L1110" s="2" t="s">
        <v>22</v>
      </c>
      <c r="M1110" s="2" t="s">
        <v>3844</v>
      </c>
      <c r="N1110" s="2" t="s">
        <v>3843</v>
      </c>
    </row>
    <row r="1111" spans="1:14" x14ac:dyDescent="0.25">
      <c r="A1111" s="2" t="s">
        <v>2364</v>
      </c>
      <c r="B1111" s="2" t="s">
        <v>472</v>
      </c>
      <c r="C1111" s="4">
        <v>45687</v>
      </c>
      <c r="D1111" s="4">
        <v>45702</v>
      </c>
      <c r="E1111" s="2" t="s">
        <v>2094</v>
      </c>
      <c r="F1111" s="2"/>
      <c r="G1111" s="2" t="s">
        <v>21</v>
      </c>
      <c r="H1111" s="2">
        <v>11636.11</v>
      </c>
      <c r="I1111" s="2">
        <v>581.80999999999995</v>
      </c>
      <c r="J1111" s="2">
        <v>12217.92</v>
      </c>
      <c r="K1111" s="2">
        <v>12217.92</v>
      </c>
      <c r="L1111" s="2" t="s">
        <v>22</v>
      </c>
      <c r="M1111" s="2" t="s">
        <v>3844</v>
      </c>
      <c r="N1111" s="2" t="s">
        <v>3843</v>
      </c>
    </row>
    <row r="1112" spans="1:14" x14ac:dyDescent="0.25">
      <c r="A1112" s="2" t="s">
        <v>2357</v>
      </c>
      <c r="B1112" s="2" t="s">
        <v>77</v>
      </c>
      <c r="C1112" s="4">
        <v>45687</v>
      </c>
      <c r="D1112" s="4">
        <v>45717</v>
      </c>
      <c r="E1112" s="2" t="s">
        <v>2104</v>
      </c>
      <c r="F1112" s="2"/>
      <c r="G1112" s="2" t="s">
        <v>1132</v>
      </c>
      <c r="H1112" s="2">
        <v>80.040000000000006</v>
      </c>
      <c r="I1112" s="2">
        <v>4</v>
      </c>
      <c r="J1112" s="2">
        <v>84.04</v>
      </c>
      <c r="K1112" s="2">
        <v>84.04</v>
      </c>
      <c r="L1112" s="2" t="s">
        <v>22</v>
      </c>
      <c r="M1112" s="2" t="s">
        <v>3844</v>
      </c>
      <c r="N1112" s="2" t="s">
        <v>3843</v>
      </c>
    </row>
    <row r="1113" spans="1:14" x14ac:dyDescent="0.25">
      <c r="A1113" s="2" t="s">
        <v>3693</v>
      </c>
      <c r="B1113" s="2" t="s">
        <v>4089</v>
      </c>
      <c r="C1113" s="4">
        <v>45687</v>
      </c>
      <c r="D1113" s="4">
        <v>45687</v>
      </c>
      <c r="E1113" s="2" t="s">
        <v>3732</v>
      </c>
      <c r="F1113" s="2"/>
      <c r="G1113" s="2" t="s">
        <v>21</v>
      </c>
      <c r="H1113" s="2">
        <v>10324.299999999999</v>
      </c>
      <c r="I1113" s="2"/>
      <c r="J1113" s="2">
        <v>10324.299999999999</v>
      </c>
      <c r="K1113" s="2">
        <v>7173</v>
      </c>
      <c r="L1113" s="2" t="s">
        <v>51</v>
      </c>
      <c r="M1113" s="2" t="s">
        <v>3844</v>
      </c>
      <c r="N1113" s="2" t="s">
        <v>3843</v>
      </c>
    </row>
    <row r="1114" spans="1:14" ht="30" x14ac:dyDescent="0.25">
      <c r="A1114" s="2" t="s">
        <v>3697</v>
      </c>
      <c r="B1114" s="2" t="s">
        <v>159</v>
      </c>
      <c r="C1114" s="4">
        <v>45687</v>
      </c>
      <c r="D1114" s="4">
        <v>45717</v>
      </c>
      <c r="E1114" s="2" t="s">
        <v>3980</v>
      </c>
      <c r="F1114" s="2"/>
      <c r="G1114" s="2" t="s">
        <v>426</v>
      </c>
      <c r="H1114" s="2">
        <v>374117.46</v>
      </c>
      <c r="I1114" s="2"/>
      <c r="J1114" s="2">
        <v>374117.46</v>
      </c>
      <c r="K1114" s="2">
        <v>259925</v>
      </c>
      <c r="L1114" s="2" t="s">
        <v>51</v>
      </c>
      <c r="M1114" s="2" t="s">
        <v>3844</v>
      </c>
      <c r="N1114" s="2" t="s">
        <v>3843</v>
      </c>
    </row>
    <row r="1115" spans="1:14" ht="30" x14ac:dyDescent="0.25">
      <c r="A1115" s="2" t="s">
        <v>3695</v>
      </c>
      <c r="B1115" s="2" t="s">
        <v>159</v>
      </c>
      <c r="C1115" s="4">
        <v>45687</v>
      </c>
      <c r="D1115" s="4">
        <v>45717</v>
      </c>
      <c r="E1115" s="2" t="s">
        <v>3979</v>
      </c>
      <c r="F1115" s="2"/>
      <c r="G1115" s="2" t="s">
        <v>426</v>
      </c>
      <c r="H1115" s="2">
        <v>13117.95</v>
      </c>
      <c r="I1115" s="2"/>
      <c r="J1115" s="2">
        <v>13117.95</v>
      </c>
      <c r="K1115" s="2">
        <v>9113.94</v>
      </c>
      <c r="L1115" s="2" t="s">
        <v>51</v>
      </c>
      <c r="M1115" s="2" t="s">
        <v>3844</v>
      </c>
      <c r="N1115" s="2" t="s">
        <v>3843</v>
      </c>
    </row>
    <row r="1116" spans="1:14" x14ac:dyDescent="0.25">
      <c r="A1116" s="2" t="s">
        <v>2360</v>
      </c>
      <c r="B1116" s="2" t="s">
        <v>245</v>
      </c>
      <c r="C1116" s="4">
        <v>45686</v>
      </c>
      <c r="D1116" s="4">
        <v>45716</v>
      </c>
      <c r="E1116" s="2" t="s">
        <v>2100</v>
      </c>
      <c r="F1116" s="2"/>
      <c r="G1116" s="2" t="s">
        <v>1132</v>
      </c>
      <c r="H1116" s="2">
        <v>1194.8699999999999</v>
      </c>
      <c r="I1116" s="2">
        <v>59.74</v>
      </c>
      <c r="J1116" s="2">
        <v>1254.6099999999999</v>
      </c>
      <c r="K1116" s="2">
        <v>1254.6099999999999</v>
      </c>
      <c r="L1116" s="2" t="s">
        <v>22</v>
      </c>
      <c r="M1116" s="2" t="s">
        <v>3844</v>
      </c>
      <c r="N1116" s="2" t="s">
        <v>3843</v>
      </c>
    </row>
    <row r="1117" spans="1:14" ht="30" x14ac:dyDescent="0.25">
      <c r="A1117" s="2" t="s">
        <v>2361</v>
      </c>
      <c r="B1117" s="2" t="s">
        <v>86</v>
      </c>
      <c r="C1117" s="4">
        <v>45686</v>
      </c>
      <c r="D1117" s="4">
        <v>45716</v>
      </c>
      <c r="E1117" s="2" t="s">
        <v>2098</v>
      </c>
      <c r="F1117" s="2"/>
      <c r="G1117" s="2" t="s">
        <v>1132</v>
      </c>
      <c r="H1117" s="2">
        <v>126.12</v>
      </c>
      <c r="I1117" s="2">
        <v>6.31</v>
      </c>
      <c r="J1117" s="2">
        <v>132.43</v>
      </c>
      <c r="K1117" s="2">
        <v>132.43</v>
      </c>
      <c r="L1117" s="2" t="s">
        <v>22</v>
      </c>
      <c r="M1117" s="2" t="s">
        <v>3844</v>
      </c>
      <c r="N1117" s="2" t="s">
        <v>3843</v>
      </c>
    </row>
    <row r="1118" spans="1:14" x14ac:dyDescent="0.25">
      <c r="A1118" s="2" t="s">
        <v>3702</v>
      </c>
      <c r="B1118" s="2" t="s">
        <v>1423</v>
      </c>
      <c r="C1118" s="4">
        <v>45686</v>
      </c>
      <c r="D1118" s="4">
        <v>45746</v>
      </c>
      <c r="E1118" s="2" t="s">
        <v>4121</v>
      </c>
      <c r="F1118" s="2"/>
      <c r="G1118" s="2" t="s">
        <v>71</v>
      </c>
      <c r="H1118" s="2">
        <v>13640.41</v>
      </c>
      <c r="I1118" s="2"/>
      <c r="J1118" s="2">
        <v>13640.41</v>
      </c>
      <c r="K1118" s="2">
        <v>9479</v>
      </c>
      <c r="L1118" s="2" t="s">
        <v>51</v>
      </c>
      <c r="M1118" s="2" t="s">
        <v>3844</v>
      </c>
      <c r="N1118" s="2" t="s">
        <v>3843</v>
      </c>
    </row>
    <row r="1119" spans="1:14" ht="30" x14ac:dyDescent="0.25">
      <c r="A1119" s="2" t="s">
        <v>2302</v>
      </c>
      <c r="B1119" s="2" t="s">
        <v>4120</v>
      </c>
      <c r="C1119" s="4">
        <v>45686</v>
      </c>
      <c r="D1119" s="4">
        <v>45686</v>
      </c>
      <c r="E1119" s="2" t="s">
        <v>2206</v>
      </c>
      <c r="F1119" s="2"/>
      <c r="G1119" s="2" t="s">
        <v>1132</v>
      </c>
      <c r="H1119" s="2">
        <v>120.88</v>
      </c>
      <c r="I1119" s="2"/>
      <c r="J1119" s="2">
        <v>120.88</v>
      </c>
      <c r="K1119" s="2">
        <v>84</v>
      </c>
      <c r="L1119" s="2" t="s">
        <v>51</v>
      </c>
      <c r="M1119" s="2" t="s">
        <v>3844</v>
      </c>
      <c r="N1119" s="2" t="s">
        <v>3843</v>
      </c>
    </row>
    <row r="1120" spans="1:14" x14ac:dyDescent="0.25">
      <c r="A1120" s="2" t="s">
        <v>2353</v>
      </c>
      <c r="B1120" s="2" t="s">
        <v>64</v>
      </c>
      <c r="C1120" s="4">
        <v>45685</v>
      </c>
      <c r="D1120" s="4">
        <v>45715</v>
      </c>
      <c r="E1120" s="2" t="s">
        <v>2112</v>
      </c>
      <c r="F1120" s="2"/>
      <c r="G1120" s="2" t="s">
        <v>21</v>
      </c>
      <c r="H1120" s="2">
        <v>818.44</v>
      </c>
      <c r="I1120" s="2">
        <v>106.4</v>
      </c>
      <c r="J1120" s="2">
        <v>924.84</v>
      </c>
      <c r="K1120" s="2">
        <v>924.84</v>
      </c>
      <c r="L1120" s="2" t="s">
        <v>22</v>
      </c>
      <c r="M1120" s="2" t="s">
        <v>3844</v>
      </c>
      <c r="N1120" s="2" t="s">
        <v>3843</v>
      </c>
    </row>
    <row r="1121" spans="1:14" ht="30" x14ac:dyDescent="0.25">
      <c r="A1121" s="2" t="s">
        <v>2344</v>
      </c>
      <c r="B1121" s="2" t="s">
        <v>39</v>
      </c>
      <c r="C1121" s="4">
        <v>45685</v>
      </c>
      <c r="D1121" s="4">
        <v>45715</v>
      </c>
      <c r="E1121" s="2" t="s">
        <v>2128</v>
      </c>
      <c r="F1121" s="2"/>
      <c r="G1121" s="2" t="s">
        <v>21</v>
      </c>
      <c r="H1121" s="2">
        <v>12059</v>
      </c>
      <c r="I1121" s="2">
        <v>602.94000000000005</v>
      </c>
      <c r="J1121" s="2">
        <v>12661.94</v>
      </c>
      <c r="K1121" s="2">
        <v>12661.94</v>
      </c>
      <c r="L1121" s="2" t="s">
        <v>22</v>
      </c>
      <c r="M1121" s="2" t="s">
        <v>3844</v>
      </c>
      <c r="N1121" s="2" t="s">
        <v>3843</v>
      </c>
    </row>
    <row r="1122" spans="1:14" ht="30" x14ac:dyDescent="0.25">
      <c r="A1122" s="2" t="s">
        <v>3704</v>
      </c>
      <c r="B1122" s="2" t="s">
        <v>80</v>
      </c>
      <c r="C1122" s="4">
        <v>45685</v>
      </c>
      <c r="D1122" s="4">
        <v>45745</v>
      </c>
      <c r="E1122" s="2" t="s">
        <v>4119</v>
      </c>
      <c r="F1122" s="2"/>
      <c r="G1122" s="2" t="s">
        <v>21</v>
      </c>
      <c r="H1122" s="2">
        <v>7156.1</v>
      </c>
      <c r="I1122" s="2">
        <v>357.81</v>
      </c>
      <c r="J1122" s="2">
        <v>7513.91</v>
      </c>
      <c r="K1122" s="2">
        <v>7513.91</v>
      </c>
      <c r="L1122" s="2" t="s">
        <v>22</v>
      </c>
      <c r="M1122" s="2" t="s">
        <v>3844</v>
      </c>
      <c r="N1122" s="2" t="s">
        <v>3843</v>
      </c>
    </row>
    <row r="1123" spans="1:14" x14ac:dyDescent="0.25">
      <c r="A1123" s="2" t="s">
        <v>2355</v>
      </c>
      <c r="B1123" s="2" t="s">
        <v>3908</v>
      </c>
      <c r="C1123" s="4">
        <v>45685</v>
      </c>
      <c r="D1123" s="4">
        <v>45715</v>
      </c>
      <c r="E1123" s="2" t="s">
        <v>2108</v>
      </c>
      <c r="F1123" s="2"/>
      <c r="G1123" s="2" t="s">
        <v>1132</v>
      </c>
      <c r="H1123" s="2">
        <v>158.78</v>
      </c>
      <c r="I1123" s="2">
        <v>7.94</v>
      </c>
      <c r="J1123" s="2">
        <v>166.72</v>
      </c>
      <c r="K1123" s="2">
        <v>166.72</v>
      </c>
      <c r="L1123" s="2" t="s">
        <v>22</v>
      </c>
      <c r="M1123" s="2" t="s">
        <v>3844</v>
      </c>
      <c r="N1123" s="2" t="s">
        <v>3843</v>
      </c>
    </row>
    <row r="1124" spans="1:14" x14ac:dyDescent="0.25">
      <c r="A1124" s="2" t="s">
        <v>3707</v>
      </c>
      <c r="B1124" s="2" t="s">
        <v>135</v>
      </c>
      <c r="C1124" s="4">
        <v>45684</v>
      </c>
      <c r="D1124" s="4">
        <v>45744</v>
      </c>
      <c r="E1124" s="2" t="s">
        <v>4118</v>
      </c>
      <c r="F1124" s="2"/>
      <c r="G1124" s="2" t="s">
        <v>21</v>
      </c>
      <c r="H1124" s="2">
        <v>16858.2</v>
      </c>
      <c r="I1124" s="2">
        <v>2191.5700000000002</v>
      </c>
      <c r="J1124" s="2">
        <v>19049.77</v>
      </c>
      <c r="K1124" s="2">
        <v>19049.77</v>
      </c>
      <c r="L1124" s="2" t="s">
        <v>22</v>
      </c>
      <c r="M1124" s="2" t="s">
        <v>3844</v>
      </c>
      <c r="N1124" s="2" t="s">
        <v>3843</v>
      </c>
    </row>
    <row r="1125" spans="1:14" x14ac:dyDescent="0.25">
      <c r="A1125" s="2" t="s">
        <v>2347</v>
      </c>
      <c r="B1125" s="2" t="s">
        <v>242</v>
      </c>
      <c r="C1125" s="4">
        <v>45684</v>
      </c>
      <c r="D1125" s="4">
        <v>45714</v>
      </c>
      <c r="E1125" s="2" t="s">
        <v>2122</v>
      </c>
      <c r="F1125" s="2"/>
      <c r="G1125" s="2" t="s">
        <v>21</v>
      </c>
      <c r="H1125" s="2">
        <v>1429.78</v>
      </c>
      <c r="I1125" s="2">
        <v>71.489999999999995</v>
      </c>
      <c r="J1125" s="2">
        <v>1501.27</v>
      </c>
      <c r="K1125" s="2">
        <v>1501.27</v>
      </c>
      <c r="L1125" s="2" t="s">
        <v>22</v>
      </c>
      <c r="M1125" s="2" t="s">
        <v>3844</v>
      </c>
      <c r="N1125" s="2" t="s">
        <v>3843</v>
      </c>
    </row>
    <row r="1126" spans="1:14" x14ac:dyDescent="0.25">
      <c r="A1126" s="2" t="s">
        <v>2346</v>
      </c>
      <c r="B1126" s="2" t="s">
        <v>245</v>
      </c>
      <c r="C1126" s="4">
        <v>45684</v>
      </c>
      <c r="D1126" s="4">
        <v>45714</v>
      </c>
      <c r="E1126" s="2" t="s">
        <v>2124</v>
      </c>
      <c r="F1126" s="2"/>
      <c r="G1126" s="2" t="s">
        <v>21</v>
      </c>
      <c r="H1126" s="2">
        <v>1194.8699999999999</v>
      </c>
      <c r="I1126" s="2">
        <v>59.74</v>
      </c>
      <c r="J1126" s="2">
        <v>1254.6099999999999</v>
      </c>
      <c r="K1126" s="2">
        <v>1254.6099999999999</v>
      </c>
      <c r="L1126" s="2" t="s">
        <v>22</v>
      </c>
      <c r="M1126" s="2" t="s">
        <v>3844</v>
      </c>
      <c r="N1126" s="2" t="s">
        <v>3843</v>
      </c>
    </row>
    <row r="1127" spans="1:14" ht="30" x14ac:dyDescent="0.25">
      <c r="A1127" s="2" t="s">
        <v>2348</v>
      </c>
      <c r="B1127" s="2" t="s">
        <v>4117</v>
      </c>
      <c r="C1127" s="4">
        <v>45684</v>
      </c>
      <c r="D1127" s="4">
        <v>45714</v>
      </c>
      <c r="E1127" s="2" t="s">
        <v>2120</v>
      </c>
      <c r="F1127" s="2"/>
      <c r="G1127" s="2" t="s">
        <v>1132</v>
      </c>
      <c r="H1127" s="2">
        <v>228.6</v>
      </c>
      <c r="I1127" s="2">
        <v>11.43</v>
      </c>
      <c r="J1127" s="2">
        <v>240.03</v>
      </c>
      <c r="K1127" s="2">
        <v>240.03</v>
      </c>
      <c r="L1127" s="2" t="s">
        <v>22</v>
      </c>
      <c r="M1127" s="2" t="s">
        <v>3844</v>
      </c>
      <c r="N1127" s="2" t="s">
        <v>3843</v>
      </c>
    </row>
    <row r="1128" spans="1:14" ht="30" x14ac:dyDescent="0.25">
      <c r="A1128" s="2" t="s">
        <v>3706</v>
      </c>
      <c r="B1128" s="2" t="s">
        <v>129</v>
      </c>
      <c r="C1128" s="4">
        <v>45684</v>
      </c>
      <c r="D1128" s="4">
        <v>45714</v>
      </c>
      <c r="E1128" s="2" t="s">
        <v>4116</v>
      </c>
      <c r="F1128" s="2"/>
      <c r="G1128" s="2" t="s">
        <v>130</v>
      </c>
      <c r="H1128" s="2">
        <v>29450.799999999999</v>
      </c>
      <c r="I1128" s="2"/>
      <c r="J1128" s="2">
        <v>29450.799999999999</v>
      </c>
      <c r="K1128" s="2">
        <v>20534</v>
      </c>
      <c r="L1128" s="2" t="s">
        <v>51</v>
      </c>
      <c r="M1128" s="2" t="s">
        <v>3844</v>
      </c>
      <c r="N1128" s="2" t="s">
        <v>3843</v>
      </c>
    </row>
    <row r="1129" spans="1:14" ht="30" x14ac:dyDescent="0.25">
      <c r="A1129" s="2" t="s">
        <v>2345</v>
      </c>
      <c r="B1129" s="2" t="s">
        <v>4088</v>
      </c>
      <c r="C1129" s="4">
        <v>45684</v>
      </c>
      <c r="D1129" s="4">
        <v>45714</v>
      </c>
      <c r="E1129" s="2" t="s">
        <v>2126</v>
      </c>
      <c r="F1129" s="2"/>
      <c r="G1129" s="2" t="s">
        <v>21</v>
      </c>
      <c r="H1129" s="2">
        <v>3297.06</v>
      </c>
      <c r="I1129" s="2"/>
      <c r="J1129" s="2">
        <v>3297.06</v>
      </c>
      <c r="K1129" s="2">
        <v>2297.15</v>
      </c>
      <c r="L1129" s="2" t="s">
        <v>51</v>
      </c>
      <c r="M1129" s="2" t="s">
        <v>3844</v>
      </c>
      <c r="N1129" s="2" t="s">
        <v>3843</v>
      </c>
    </row>
    <row r="1130" spans="1:14" ht="45" x14ac:dyDescent="0.25">
      <c r="A1130" s="2" t="s">
        <v>2338</v>
      </c>
      <c r="B1130" s="2" t="s">
        <v>4115</v>
      </c>
      <c r="C1130" s="4">
        <v>45681</v>
      </c>
      <c r="D1130" s="4">
        <v>45711</v>
      </c>
      <c r="E1130" s="2" t="s">
        <v>2142</v>
      </c>
      <c r="F1130" s="2"/>
      <c r="G1130" s="2" t="s">
        <v>21</v>
      </c>
      <c r="H1130" s="2">
        <v>498.78</v>
      </c>
      <c r="I1130" s="2">
        <v>24.94</v>
      </c>
      <c r="J1130" s="2">
        <v>523.72</v>
      </c>
      <c r="K1130" s="2">
        <v>523.72</v>
      </c>
      <c r="L1130" s="2" t="s">
        <v>22</v>
      </c>
      <c r="M1130" s="2" t="s">
        <v>3844</v>
      </c>
      <c r="N1130" s="2" t="s">
        <v>3843</v>
      </c>
    </row>
    <row r="1131" spans="1:14" ht="30" x14ac:dyDescent="0.25">
      <c r="A1131" s="2" t="s">
        <v>2339</v>
      </c>
      <c r="B1131" s="2" t="s">
        <v>86</v>
      </c>
      <c r="C1131" s="4">
        <v>45681</v>
      </c>
      <c r="D1131" s="4">
        <v>45711</v>
      </c>
      <c r="E1131" s="2" t="s">
        <v>2139</v>
      </c>
      <c r="F1131" s="2"/>
      <c r="G1131" s="2" t="s">
        <v>21</v>
      </c>
      <c r="H1131" s="2">
        <v>637.91</v>
      </c>
      <c r="I1131" s="2">
        <v>82.93</v>
      </c>
      <c r="J1131" s="2">
        <v>720.84</v>
      </c>
      <c r="K1131" s="2">
        <v>720.84</v>
      </c>
      <c r="L1131" s="2" t="s">
        <v>22</v>
      </c>
      <c r="M1131" s="2" t="s">
        <v>3844</v>
      </c>
      <c r="N1131" s="2" t="s">
        <v>3843</v>
      </c>
    </row>
    <row r="1132" spans="1:14" ht="45" x14ac:dyDescent="0.25">
      <c r="A1132" s="2" t="s">
        <v>2342</v>
      </c>
      <c r="B1132" s="2" t="s">
        <v>4114</v>
      </c>
      <c r="C1132" s="4">
        <v>45681</v>
      </c>
      <c r="D1132" s="4">
        <v>45681</v>
      </c>
      <c r="E1132" s="2" t="s">
        <v>2132</v>
      </c>
      <c r="F1132" s="2"/>
      <c r="G1132" s="2" t="s">
        <v>1132</v>
      </c>
      <c r="H1132" s="2">
        <v>2272.41</v>
      </c>
      <c r="I1132" s="2">
        <v>113.61</v>
      </c>
      <c r="J1132" s="2">
        <v>2386.02</v>
      </c>
      <c r="K1132" s="2">
        <v>2386.02</v>
      </c>
      <c r="L1132" s="2" t="s">
        <v>22</v>
      </c>
      <c r="M1132" s="2" t="s">
        <v>3844</v>
      </c>
      <c r="N1132" s="2" t="s">
        <v>3843</v>
      </c>
    </row>
    <row r="1133" spans="1:14" ht="30" x14ac:dyDescent="0.25">
      <c r="A1133" s="2" t="s">
        <v>3711</v>
      </c>
      <c r="B1133" s="2" t="s">
        <v>104</v>
      </c>
      <c r="C1133" s="4">
        <v>45681</v>
      </c>
      <c r="D1133" s="4">
        <v>45711</v>
      </c>
      <c r="E1133" s="2" t="s">
        <v>4069</v>
      </c>
      <c r="F1133" s="2"/>
      <c r="G1133" s="2" t="s">
        <v>21</v>
      </c>
      <c r="H1133" s="2">
        <v>729.89</v>
      </c>
      <c r="I1133" s="2">
        <v>36.49</v>
      </c>
      <c r="J1133" s="2">
        <v>766.38</v>
      </c>
      <c r="K1133" s="2">
        <v>766.38</v>
      </c>
      <c r="L1133" s="2" t="s">
        <v>22</v>
      </c>
      <c r="M1133" s="2" t="s">
        <v>3844</v>
      </c>
      <c r="N1133" s="2" t="s">
        <v>3843</v>
      </c>
    </row>
    <row r="1134" spans="1:14" ht="30" x14ac:dyDescent="0.25">
      <c r="A1134" s="2" t="s">
        <v>2337</v>
      </c>
      <c r="B1134" s="2" t="s">
        <v>864</v>
      </c>
      <c r="C1134" s="4">
        <v>45681</v>
      </c>
      <c r="D1134" s="4">
        <v>45711</v>
      </c>
      <c r="E1134" s="2" t="s">
        <v>2145</v>
      </c>
      <c r="F1134" s="2"/>
      <c r="G1134" s="2" t="s">
        <v>21</v>
      </c>
      <c r="H1134" s="2">
        <v>232.19</v>
      </c>
      <c r="I1134" s="2">
        <v>11.61</v>
      </c>
      <c r="J1134" s="2">
        <v>243.8</v>
      </c>
      <c r="K1134" s="2">
        <v>243.8</v>
      </c>
      <c r="L1134" s="2" t="s">
        <v>22</v>
      </c>
      <c r="M1134" s="2" t="s">
        <v>3844</v>
      </c>
      <c r="N1134" s="2" t="s">
        <v>3843</v>
      </c>
    </row>
    <row r="1135" spans="1:14" x14ac:dyDescent="0.25">
      <c r="A1135" s="2" t="s">
        <v>2329</v>
      </c>
      <c r="B1135" s="2" t="s">
        <v>141</v>
      </c>
      <c r="C1135" s="4">
        <v>45680</v>
      </c>
      <c r="D1135" s="4">
        <v>45725</v>
      </c>
      <c r="E1135" s="2" t="s">
        <v>2155</v>
      </c>
      <c r="F1135" s="2"/>
      <c r="G1135" s="2" t="s">
        <v>21</v>
      </c>
      <c r="H1135" s="2">
        <v>2701.12</v>
      </c>
      <c r="I1135" s="2"/>
      <c r="J1135" s="2">
        <v>2701.12</v>
      </c>
      <c r="K1135" s="2">
        <v>1884.69</v>
      </c>
      <c r="L1135" s="2" t="s">
        <v>51</v>
      </c>
      <c r="M1135" s="2" t="s">
        <v>3844</v>
      </c>
      <c r="N1135" s="2" t="s">
        <v>3843</v>
      </c>
    </row>
    <row r="1136" spans="1:14" x14ac:dyDescent="0.25">
      <c r="A1136" s="2" t="s">
        <v>2328</v>
      </c>
      <c r="B1136" s="2" t="s">
        <v>141</v>
      </c>
      <c r="C1136" s="4">
        <v>45680</v>
      </c>
      <c r="D1136" s="4">
        <v>45725</v>
      </c>
      <c r="E1136" s="2" t="s">
        <v>2157</v>
      </c>
      <c r="F1136" s="2"/>
      <c r="G1136" s="2" t="s">
        <v>21</v>
      </c>
      <c r="H1136" s="2">
        <v>3678.89</v>
      </c>
      <c r="I1136" s="2"/>
      <c r="J1136" s="2">
        <v>3678.89</v>
      </c>
      <c r="K1136" s="2">
        <v>2566.9299999999998</v>
      </c>
      <c r="L1136" s="2" t="s">
        <v>51</v>
      </c>
      <c r="M1136" s="2" t="s">
        <v>3844</v>
      </c>
      <c r="N1136" s="2" t="s">
        <v>3843</v>
      </c>
    </row>
    <row r="1137" spans="1:14" x14ac:dyDescent="0.25">
      <c r="A1137" s="2" t="s">
        <v>2327</v>
      </c>
      <c r="B1137" s="2" t="s">
        <v>141</v>
      </c>
      <c r="C1137" s="4">
        <v>45680</v>
      </c>
      <c r="D1137" s="4">
        <v>45725</v>
      </c>
      <c r="E1137" s="2" t="s">
        <v>2159</v>
      </c>
      <c r="F1137" s="2"/>
      <c r="G1137" s="2" t="s">
        <v>21</v>
      </c>
      <c r="H1137" s="2">
        <v>2806.05</v>
      </c>
      <c r="I1137" s="2"/>
      <c r="J1137" s="2">
        <v>2806.05</v>
      </c>
      <c r="K1137" s="2">
        <v>1957.91</v>
      </c>
      <c r="L1137" s="2" t="s">
        <v>51</v>
      </c>
      <c r="M1137" s="2" t="s">
        <v>3844</v>
      </c>
      <c r="N1137" s="2" t="s">
        <v>3843</v>
      </c>
    </row>
    <row r="1138" spans="1:14" ht="30" x14ac:dyDescent="0.25">
      <c r="A1138" s="2" t="s">
        <v>3715</v>
      </c>
      <c r="B1138" s="2" t="s">
        <v>159</v>
      </c>
      <c r="C1138" s="4">
        <v>45680</v>
      </c>
      <c r="D1138" s="4">
        <v>45725</v>
      </c>
      <c r="E1138" s="2" t="s">
        <v>4113</v>
      </c>
      <c r="F1138" s="2"/>
      <c r="G1138" s="2" t="s">
        <v>426</v>
      </c>
      <c r="H1138" s="2">
        <v>4457.79</v>
      </c>
      <c r="I1138" s="2"/>
      <c r="J1138" s="2">
        <v>4457.79</v>
      </c>
      <c r="K1138" s="2">
        <v>3110.4</v>
      </c>
      <c r="L1138" s="2" t="s">
        <v>51</v>
      </c>
      <c r="M1138" s="2" t="s">
        <v>3844</v>
      </c>
      <c r="N1138" s="2" t="s">
        <v>3843</v>
      </c>
    </row>
    <row r="1139" spans="1:14" ht="30" x14ac:dyDescent="0.25">
      <c r="A1139" s="2" t="s">
        <v>3713</v>
      </c>
      <c r="B1139" s="2" t="s">
        <v>159</v>
      </c>
      <c r="C1139" s="4">
        <v>45680</v>
      </c>
      <c r="D1139" s="4">
        <v>45710</v>
      </c>
      <c r="E1139" s="2" t="s">
        <v>4112</v>
      </c>
      <c r="F1139" s="2"/>
      <c r="G1139" s="2" t="s">
        <v>426</v>
      </c>
      <c r="H1139" s="2">
        <v>31544.33</v>
      </c>
      <c r="I1139" s="2"/>
      <c r="J1139" s="2">
        <v>31544.33</v>
      </c>
      <c r="K1139" s="2">
        <v>22009.9</v>
      </c>
      <c r="L1139" s="2" t="s">
        <v>51</v>
      </c>
      <c r="M1139" s="2" t="s">
        <v>3844</v>
      </c>
      <c r="N1139" s="2" t="s">
        <v>3843</v>
      </c>
    </row>
    <row r="1140" spans="1:14" x14ac:dyDescent="0.25">
      <c r="A1140" s="2" t="s">
        <v>2336</v>
      </c>
      <c r="B1140" s="2" t="s">
        <v>146</v>
      </c>
      <c r="C1140" s="4">
        <v>45680</v>
      </c>
      <c r="D1140" s="4">
        <v>45710</v>
      </c>
      <c r="E1140" s="2" t="s">
        <v>2147</v>
      </c>
      <c r="F1140" s="2"/>
      <c r="G1140" s="2" t="s">
        <v>21</v>
      </c>
      <c r="H1140" s="2">
        <v>1191.33</v>
      </c>
      <c r="I1140" s="2">
        <v>59.57</v>
      </c>
      <c r="J1140" s="2">
        <v>1250.9000000000001</v>
      </c>
      <c r="K1140" s="2">
        <v>1250.9000000000001</v>
      </c>
      <c r="L1140" s="2" t="s">
        <v>22</v>
      </c>
      <c r="M1140" s="2" t="s">
        <v>3844</v>
      </c>
      <c r="N1140" s="2" t="s">
        <v>3843</v>
      </c>
    </row>
    <row r="1141" spans="1:14" ht="45" x14ac:dyDescent="0.25">
      <c r="A1141" s="2" t="s">
        <v>3717</v>
      </c>
      <c r="B1141" s="2" t="s">
        <v>3958</v>
      </c>
      <c r="C1141" s="4">
        <v>45680</v>
      </c>
      <c r="D1141" s="4">
        <v>45710</v>
      </c>
      <c r="E1141" s="2" t="s">
        <v>4111</v>
      </c>
      <c r="F1141" s="2"/>
      <c r="G1141" s="2" t="s">
        <v>21</v>
      </c>
      <c r="H1141" s="2">
        <v>1489.22</v>
      </c>
      <c r="I1141" s="2">
        <v>74.459999999999994</v>
      </c>
      <c r="J1141" s="2">
        <v>1563.68</v>
      </c>
      <c r="K1141" s="2">
        <v>1563.68</v>
      </c>
      <c r="L1141" s="2" t="s">
        <v>22</v>
      </c>
      <c r="M1141" s="2" t="s">
        <v>3844</v>
      </c>
      <c r="N1141" s="2" t="s">
        <v>3843</v>
      </c>
    </row>
    <row r="1142" spans="1:14" ht="30" x14ac:dyDescent="0.25">
      <c r="A1142" s="2" t="s">
        <v>2316</v>
      </c>
      <c r="B1142" s="2" t="s">
        <v>104</v>
      </c>
      <c r="C1142" s="4">
        <v>45678</v>
      </c>
      <c r="D1142" s="4">
        <v>45708</v>
      </c>
      <c r="E1142" s="2" t="s">
        <v>2179</v>
      </c>
      <c r="F1142" s="2"/>
      <c r="G1142" s="2" t="s">
        <v>21</v>
      </c>
      <c r="H1142" s="2">
        <v>1946.57</v>
      </c>
      <c r="I1142" s="2">
        <v>97.33</v>
      </c>
      <c r="J1142" s="2">
        <v>2043.9</v>
      </c>
      <c r="K1142" s="2">
        <v>2043.9</v>
      </c>
      <c r="L1142" s="2" t="s">
        <v>22</v>
      </c>
      <c r="M1142" s="2" t="s">
        <v>3844</v>
      </c>
      <c r="N1142" s="2" t="s">
        <v>3843</v>
      </c>
    </row>
    <row r="1143" spans="1:14" x14ac:dyDescent="0.25">
      <c r="A1143" s="2" t="s">
        <v>2326</v>
      </c>
      <c r="B1143" s="2" t="s">
        <v>77</v>
      </c>
      <c r="C1143" s="4">
        <v>45678</v>
      </c>
      <c r="D1143" s="4">
        <v>45708</v>
      </c>
      <c r="E1143" s="2" t="s">
        <v>2161</v>
      </c>
      <c r="F1143" s="2"/>
      <c r="G1143" s="2" t="s">
        <v>21</v>
      </c>
      <c r="H1143" s="2">
        <v>587.29999999999995</v>
      </c>
      <c r="I1143" s="2">
        <v>76.36</v>
      </c>
      <c r="J1143" s="2">
        <v>663.66</v>
      </c>
      <c r="K1143" s="2">
        <v>663.66</v>
      </c>
      <c r="L1143" s="2" t="s">
        <v>22</v>
      </c>
      <c r="M1143" s="2" t="s">
        <v>3844</v>
      </c>
      <c r="N1143" s="2" t="s">
        <v>3843</v>
      </c>
    </row>
    <row r="1144" spans="1:14" ht="30" x14ac:dyDescent="0.25">
      <c r="A1144" s="2" t="s">
        <v>2331</v>
      </c>
      <c r="B1144" s="2" t="s">
        <v>20</v>
      </c>
      <c r="C1144" s="4">
        <v>45678</v>
      </c>
      <c r="D1144" s="4">
        <v>45738</v>
      </c>
      <c r="E1144" s="2" t="s">
        <v>2153</v>
      </c>
      <c r="F1144" s="2"/>
      <c r="G1144" s="2" t="s">
        <v>21</v>
      </c>
      <c r="H1144" s="2">
        <v>784.42</v>
      </c>
      <c r="I1144" s="2">
        <v>39.229999999999997</v>
      </c>
      <c r="J1144" s="2">
        <v>823.65</v>
      </c>
      <c r="K1144" s="2">
        <v>823.65</v>
      </c>
      <c r="L1144" s="2" t="s">
        <v>22</v>
      </c>
      <c r="M1144" s="2" t="s">
        <v>3844</v>
      </c>
      <c r="N1144" s="2" t="s">
        <v>3843</v>
      </c>
    </row>
    <row r="1145" spans="1:14" ht="45" x14ac:dyDescent="0.25">
      <c r="A1145" s="2" t="s">
        <v>3719</v>
      </c>
      <c r="B1145" s="2" t="s">
        <v>3986</v>
      </c>
      <c r="C1145" s="4">
        <v>45678</v>
      </c>
      <c r="D1145" s="4">
        <v>45708</v>
      </c>
      <c r="E1145" s="2" t="s">
        <v>4110</v>
      </c>
      <c r="F1145" s="2"/>
      <c r="G1145" s="2" t="s">
        <v>21</v>
      </c>
      <c r="H1145" s="2">
        <v>8031.6</v>
      </c>
      <c r="I1145" s="2">
        <v>1044.1099999999999</v>
      </c>
      <c r="J1145" s="2">
        <v>9075.7099999999991</v>
      </c>
      <c r="K1145" s="2">
        <v>9075.7099999999991</v>
      </c>
      <c r="L1145" s="2" t="s">
        <v>22</v>
      </c>
      <c r="M1145" s="2" t="s">
        <v>3844</v>
      </c>
      <c r="N1145" s="2" t="s">
        <v>3843</v>
      </c>
    </row>
    <row r="1146" spans="1:14" ht="30" x14ac:dyDescent="0.25">
      <c r="A1146" s="2" t="s">
        <v>3723</v>
      </c>
      <c r="B1146" s="2" t="s">
        <v>4109</v>
      </c>
      <c r="C1146" s="4">
        <v>45677</v>
      </c>
      <c r="D1146" s="4">
        <v>45707</v>
      </c>
      <c r="E1146" s="2" t="s">
        <v>4108</v>
      </c>
      <c r="F1146" s="2"/>
      <c r="G1146" s="2" t="s">
        <v>21</v>
      </c>
      <c r="H1146" s="2">
        <v>4978.7299999999996</v>
      </c>
      <c r="I1146" s="2">
        <v>647.23</v>
      </c>
      <c r="J1146" s="2">
        <v>5625.96</v>
      </c>
      <c r="K1146" s="2">
        <v>5625.96</v>
      </c>
      <c r="L1146" s="2" t="s">
        <v>22</v>
      </c>
      <c r="M1146" s="2" t="s">
        <v>3844</v>
      </c>
      <c r="N1146" s="2" t="s">
        <v>3843</v>
      </c>
    </row>
    <row r="1147" spans="1:14" ht="45" x14ac:dyDescent="0.25">
      <c r="A1147" s="2" t="s">
        <v>3721</v>
      </c>
      <c r="B1147" s="2" t="s">
        <v>3927</v>
      </c>
      <c r="C1147" s="4">
        <v>45677</v>
      </c>
      <c r="D1147" s="4">
        <v>45737</v>
      </c>
      <c r="E1147" s="2" t="s">
        <v>4107</v>
      </c>
      <c r="F1147" s="2"/>
      <c r="G1147" s="2" t="s">
        <v>21</v>
      </c>
      <c r="H1147" s="2">
        <v>2689.9</v>
      </c>
      <c r="I1147" s="2">
        <v>134.5</v>
      </c>
      <c r="J1147" s="2">
        <v>2824.4</v>
      </c>
      <c r="K1147" s="2">
        <v>2824.4</v>
      </c>
      <c r="L1147" s="2" t="s">
        <v>22</v>
      </c>
      <c r="M1147" s="2" t="s">
        <v>3844</v>
      </c>
      <c r="N1147" s="2" t="s">
        <v>3843</v>
      </c>
    </row>
    <row r="1148" spans="1:14" x14ac:dyDescent="0.25">
      <c r="A1148" s="2" t="s">
        <v>2322</v>
      </c>
      <c r="B1148" s="2" t="s">
        <v>313</v>
      </c>
      <c r="C1148" s="4">
        <v>45677</v>
      </c>
      <c r="D1148" s="4">
        <v>45707</v>
      </c>
      <c r="E1148" s="2" t="s">
        <v>2167</v>
      </c>
      <c r="F1148" s="2"/>
      <c r="G1148" s="2" t="s">
        <v>21</v>
      </c>
      <c r="H1148" s="2">
        <v>2377.04</v>
      </c>
      <c r="I1148" s="2"/>
      <c r="J1148" s="2">
        <v>2377.04</v>
      </c>
      <c r="K1148" s="2">
        <v>1641.63</v>
      </c>
      <c r="L1148" s="2" t="s">
        <v>51</v>
      </c>
      <c r="M1148" s="2" t="s">
        <v>3844</v>
      </c>
      <c r="N1148" s="2" t="s">
        <v>3843</v>
      </c>
    </row>
    <row r="1149" spans="1:14" x14ac:dyDescent="0.25">
      <c r="A1149" s="2" t="s">
        <v>2319</v>
      </c>
      <c r="B1149" s="2" t="s">
        <v>1423</v>
      </c>
      <c r="C1149" s="4">
        <v>45677</v>
      </c>
      <c r="D1149" s="4">
        <v>45737</v>
      </c>
      <c r="E1149" s="2" t="s">
        <v>2173</v>
      </c>
      <c r="F1149" s="2"/>
      <c r="G1149" s="2" t="s">
        <v>71</v>
      </c>
      <c r="H1149" s="2">
        <v>8667.57</v>
      </c>
      <c r="I1149" s="2"/>
      <c r="J1149" s="2">
        <v>8667.57</v>
      </c>
      <c r="K1149" s="2">
        <v>5986</v>
      </c>
      <c r="L1149" s="2" t="s">
        <v>51</v>
      </c>
      <c r="M1149" s="2" t="s">
        <v>3844</v>
      </c>
      <c r="N1149" s="2" t="s">
        <v>3843</v>
      </c>
    </row>
    <row r="1150" spans="1:14" ht="45" x14ac:dyDescent="0.25">
      <c r="A1150" s="2" t="s">
        <v>2282</v>
      </c>
      <c r="B1150" s="2" t="s">
        <v>3958</v>
      </c>
      <c r="C1150" s="4">
        <v>45674</v>
      </c>
      <c r="D1150" s="4">
        <v>45704</v>
      </c>
      <c r="E1150" s="2" t="s">
        <v>2243</v>
      </c>
      <c r="F1150" s="2"/>
      <c r="G1150" s="2" t="s">
        <v>21</v>
      </c>
      <c r="H1150" s="2">
        <v>987.57</v>
      </c>
      <c r="I1150" s="2">
        <v>49.37</v>
      </c>
      <c r="J1150" s="2">
        <v>1036.94</v>
      </c>
      <c r="K1150" s="2">
        <v>1036.94</v>
      </c>
      <c r="L1150" s="2" t="s">
        <v>22</v>
      </c>
      <c r="M1150" s="2" t="s">
        <v>3844</v>
      </c>
      <c r="N1150" s="2" t="s">
        <v>3843</v>
      </c>
    </row>
    <row r="1151" spans="1:14" x14ac:dyDescent="0.25">
      <c r="A1151" s="2" t="s">
        <v>3725</v>
      </c>
      <c r="B1151" s="2" t="s">
        <v>689</v>
      </c>
      <c r="C1151" s="4">
        <v>45674</v>
      </c>
      <c r="D1151" s="4">
        <v>45704</v>
      </c>
      <c r="E1151" s="2" t="s">
        <v>4106</v>
      </c>
      <c r="F1151" s="2"/>
      <c r="G1151" s="2" t="s">
        <v>21</v>
      </c>
      <c r="H1151" s="2">
        <v>3224.24</v>
      </c>
      <c r="I1151" s="2">
        <v>419.15</v>
      </c>
      <c r="J1151" s="2">
        <v>3643.39</v>
      </c>
      <c r="K1151" s="2">
        <v>3643.39</v>
      </c>
      <c r="L1151" s="2" t="s">
        <v>22</v>
      </c>
      <c r="M1151" s="2" t="s">
        <v>3844</v>
      </c>
      <c r="N1151" s="2" t="s">
        <v>3843</v>
      </c>
    </row>
    <row r="1152" spans="1:14" x14ac:dyDescent="0.25">
      <c r="A1152" s="2" t="s">
        <v>2305</v>
      </c>
      <c r="B1152" s="2" t="s">
        <v>3908</v>
      </c>
      <c r="C1152" s="4">
        <v>45674</v>
      </c>
      <c r="D1152" s="4">
        <v>45704</v>
      </c>
      <c r="E1152" s="2" t="s">
        <v>2200</v>
      </c>
      <c r="F1152" s="2"/>
      <c r="G1152" s="2" t="s">
        <v>21</v>
      </c>
      <c r="H1152" s="2">
        <v>701.83</v>
      </c>
      <c r="I1152" s="2">
        <v>35.090000000000003</v>
      </c>
      <c r="J1152" s="2">
        <v>736.92</v>
      </c>
      <c r="K1152" s="2">
        <v>736.92</v>
      </c>
      <c r="L1152" s="2" t="s">
        <v>22</v>
      </c>
      <c r="M1152" s="2" t="s">
        <v>3844</v>
      </c>
      <c r="N1152" s="2" t="s">
        <v>3843</v>
      </c>
    </row>
    <row r="1153" spans="1:14" x14ac:dyDescent="0.25">
      <c r="A1153" s="2" t="s">
        <v>3731</v>
      </c>
      <c r="B1153" s="2" t="s">
        <v>3908</v>
      </c>
      <c r="C1153" s="4">
        <v>45674</v>
      </c>
      <c r="D1153" s="4">
        <v>45704</v>
      </c>
      <c r="E1153" s="2" t="s">
        <v>4105</v>
      </c>
      <c r="F1153" s="2"/>
      <c r="G1153" s="2" t="s">
        <v>21</v>
      </c>
      <c r="H1153" s="2">
        <v>1662.14</v>
      </c>
      <c r="I1153" s="2">
        <v>83.11</v>
      </c>
      <c r="J1153" s="2">
        <v>1745.25</v>
      </c>
      <c r="K1153" s="2">
        <v>1745.25</v>
      </c>
      <c r="L1153" s="2" t="s">
        <v>22</v>
      </c>
      <c r="M1153" s="2" t="s">
        <v>3844</v>
      </c>
      <c r="N1153" s="2" t="s">
        <v>3843</v>
      </c>
    </row>
    <row r="1154" spans="1:14" ht="45" x14ac:dyDescent="0.25">
      <c r="A1154" s="2" t="s">
        <v>2301</v>
      </c>
      <c r="B1154" s="2" t="s">
        <v>502</v>
      </c>
      <c r="C1154" s="4">
        <v>45674</v>
      </c>
      <c r="D1154" s="4">
        <v>45719</v>
      </c>
      <c r="E1154" s="2" t="s">
        <v>2209</v>
      </c>
      <c r="F1154" s="2"/>
      <c r="G1154" s="2" t="s">
        <v>21</v>
      </c>
      <c r="H1154" s="2">
        <v>2336.66</v>
      </c>
      <c r="I1154" s="2">
        <v>116.83</v>
      </c>
      <c r="J1154" s="2">
        <v>2453.4899999999998</v>
      </c>
      <c r="K1154" s="2">
        <v>2453.4899999999998</v>
      </c>
      <c r="L1154" s="2" t="s">
        <v>22</v>
      </c>
      <c r="M1154" s="2" t="s">
        <v>3844</v>
      </c>
      <c r="N1154" s="2" t="s">
        <v>3843</v>
      </c>
    </row>
    <row r="1155" spans="1:14" ht="45" x14ac:dyDescent="0.25">
      <c r="A1155" s="2" t="s">
        <v>2315</v>
      </c>
      <c r="B1155" s="2" t="s">
        <v>138</v>
      </c>
      <c r="C1155" s="4">
        <v>45674</v>
      </c>
      <c r="D1155" s="4">
        <v>45704</v>
      </c>
      <c r="E1155" s="2" t="s">
        <v>2181</v>
      </c>
      <c r="F1155" s="2"/>
      <c r="G1155" s="2" t="s">
        <v>1132</v>
      </c>
      <c r="H1155" s="2">
        <v>873.41</v>
      </c>
      <c r="I1155" s="2">
        <v>43.67</v>
      </c>
      <c r="J1155" s="2">
        <v>917.08</v>
      </c>
      <c r="K1155" s="2">
        <v>917.08</v>
      </c>
      <c r="L1155" s="2" t="s">
        <v>22</v>
      </c>
      <c r="M1155" s="2" t="s">
        <v>3844</v>
      </c>
      <c r="N1155" s="2" t="s">
        <v>3843</v>
      </c>
    </row>
    <row r="1156" spans="1:14" ht="45" x14ac:dyDescent="0.25">
      <c r="A1156" s="2" t="s">
        <v>3729</v>
      </c>
      <c r="B1156" s="2" t="s">
        <v>4104</v>
      </c>
      <c r="C1156" s="4">
        <v>45674</v>
      </c>
      <c r="D1156" s="4">
        <v>45734</v>
      </c>
      <c r="E1156" s="2" t="s">
        <v>4103</v>
      </c>
      <c r="F1156" s="2"/>
      <c r="G1156" s="2" t="s">
        <v>21</v>
      </c>
      <c r="H1156" s="2">
        <v>2123.63</v>
      </c>
      <c r="I1156" s="2">
        <v>106.18</v>
      </c>
      <c r="J1156" s="2">
        <v>2229.81</v>
      </c>
      <c r="K1156" s="2">
        <v>2229.81</v>
      </c>
      <c r="L1156" s="2" t="s">
        <v>22</v>
      </c>
      <c r="M1156" s="2" t="s">
        <v>3844</v>
      </c>
      <c r="N1156" s="2" t="s">
        <v>3843</v>
      </c>
    </row>
    <row r="1157" spans="1:14" ht="45" x14ac:dyDescent="0.25">
      <c r="A1157" s="2" t="s">
        <v>2314</v>
      </c>
      <c r="B1157" s="2" t="s">
        <v>4102</v>
      </c>
      <c r="C1157" s="4">
        <v>45674</v>
      </c>
      <c r="D1157" s="4">
        <v>45704</v>
      </c>
      <c r="E1157" s="2" t="s">
        <v>2183</v>
      </c>
      <c r="F1157" s="2"/>
      <c r="G1157" s="2" t="s">
        <v>1132</v>
      </c>
      <c r="H1157" s="2">
        <v>861.07</v>
      </c>
      <c r="I1157" s="2">
        <v>43.05</v>
      </c>
      <c r="J1157" s="2">
        <v>904.12</v>
      </c>
      <c r="K1157" s="2">
        <v>904.12</v>
      </c>
      <c r="L1157" s="2" t="s">
        <v>22</v>
      </c>
      <c r="M1157" s="2" t="s">
        <v>3844</v>
      </c>
      <c r="N1157" s="2" t="s">
        <v>3843</v>
      </c>
    </row>
    <row r="1158" spans="1:14" x14ac:dyDescent="0.25">
      <c r="A1158" s="2" t="s">
        <v>2304</v>
      </c>
      <c r="B1158" s="2" t="s">
        <v>54</v>
      </c>
      <c r="C1158" s="4">
        <v>45674</v>
      </c>
      <c r="D1158" s="4">
        <v>45704</v>
      </c>
      <c r="E1158" s="2" t="s">
        <v>2202</v>
      </c>
      <c r="F1158" s="2"/>
      <c r="G1158" s="2" t="s">
        <v>21</v>
      </c>
      <c r="H1158" s="2">
        <v>2643.9</v>
      </c>
      <c r="I1158" s="2">
        <v>132.19999999999999</v>
      </c>
      <c r="J1158" s="2">
        <v>2776.1</v>
      </c>
      <c r="K1158" s="2">
        <v>2776.1</v>
      </c>
      <c r="L1158" s="2" t="s">
        <v>22</v>
      </c>
      <c r="M1158" s="2" t="s">
        <v>3844</v>
      </c>
      <c r="N1158" s="2" t="s">
        <v>3843</v>
      </c>
    </row>
    <row r="1159" spans="1:14" x14ac:dyDescent="0.25">
      <c r="A1159" s="2" t="s">
        <v>3736</v>
      </c>
      <c r="B1159" s="2" t="s">
        <v>54</v>
      </c>
      <c r="C1159" s="4">
        <v>45674</v>
      </c>
      <c r="D1159" s="4">
        <v>45704</v>
      </c>
      <c r="E1159" s="2" t="s">
        <v>4101</v>
      </c>
      <c r="F1159" s="2"/>
      <c r="G1159" s="2" t="s">
        <v>21</v>
      </c>
      <c r="H1159" s="2">
        <v>1137.6400000000001</v>
      </c>
      <c r="I1159" s="2">
        <v>56.88</v>
      </c>
      <c r="J1159" s="2">
        <v>1194.52</v>
      </c>
      <c r="K1159" s="2">
        <v>1194.52</v>
      </c>
      <c r="L1159" s="2" t="s">
        <v>22</v>
      </c>
      <c r="M1159" s="2" t="s">
        <v>3844</v>
      </c>
      <c r="N1159" s="2" t="s">
        <v>3843</v>
      </c>
    </row>
    <row r="1160" spans="1:14" x14ac:dyDescent="0.25">
      <c r="A1160" s="2" t="s">
        <v>3737</v>
      </c>
      <c r="B1160" s="2" t="s">
        <v>54</v>
      </c>
      <c r="C1160" s="4">
        <v>45674</v>
      </c>
      <c r="D1160" s="4">
        <v>45704</v>
      </c>
      <c r="E1160" s="2" t="s">
        <v>4100</v>
      </c>
      <c r="F1160" s="2"/>
      <c r="G1160" s="2" t="s">
        <v>21</v>
      </c>
      <c r="H1160" s="2">
        <v>2449.2399999999998</v>
      </c>
      <c r="I1160" s="2">
        <v>122.46</v>
      </c>
      <c r="J1160" s="2">
        <v>2571.6999999999998</v>
      </c>
      <c r="K1160" s="2">
        <v>2571.6999999999998</v>
      </c>
      <c r="L1160" s="2" t="s">
        <v>22</v>
      </c>
      <c r="M1160" s="2" t="s">
        <v>3844</v>
      </c>
      <c r="N1160" s="2" t="s">
        <v>3843</v>
      </c>
    </row>
    <row r="1161" spans="1:14" x14ac:dyDescent="0.25">
      <c r="A1161" s="2" t="s">
        <v>3727</v>
      </c>
      <c r="B1161" s="2" t="s">
        <v>54</v>
      </c>
      <c r="C1161" s="4">
        <v>45674</v>
      </c>
      <c r="D1161" s="4">
        <v>45704</v>
      </c>
      <c r="E1161" s="2" t="s">
        <v>4099</v>
      </c>
      <c r="F1161" s="2"/>
      <c r="G1161" s="2" t="s">
        <v>21</v>
      </c>
      <c r="H1161" s="2">
        <v>2623.1</v>
      </c>
      <c r="I1161" s="2">
        <v>131.16</v>
      </c>
      <c r="J1161" s="2">
        <v>2754.26</v>
      </c>
      <c r="K1161" s="2">
        <v>2754.26</v>
      </c>
      <c r="L1161" s="2" t="s">
        <v>22</v>
      </c>
      <c r="M1161" s="2" t="s">
        <v>3844</v>
      </c>
      <c r="N1161" s="2" t="s">
        <v>3843</v>
      </c>
    </row>
    <row r="1162" spans="1:14" x14ac:dyDescent="0.25">
      <c r="A1162" s="2" t="s">
        <v>3734</v>
      </c>
      <c r="B1162" s="2" t="s">
        <v>64</v>
      </c>
      <c r="C1162" s="4">
        <v>45674</v>
      </c>
      <c r="D1162" s="4">
        <v>45704</v>
      </c>
      <c r="E1162" s="2" t="s">
        <v>4098</v>
      </c>
      <c r="F1162" s="2"/>
      <c r="G1162" s="2" t="s">
        <v>21</v>
      </c>
      <c r="H1162" s="2">
        <v>11468.75</v>
      </c>
      <c r="I1162" s="2">
        <v>1490.94</v>
      </c>
      <c r="J1162" s="2">
        <v>12959.69</v>
      </c>
      <c r="K1162" s="2">
        <v>12959.69</v>
      </c>
      <c r="L1162" s="2" t="s">
        <v>22</v>
      </c>
      <c r="M1162" s="2" t="s">
        <v>3844</v>
      </c>
      <c r="N1162" s="2" t="s">
        <v>3843</v>
      </c>
    </row>
    <row r="1163" spans="1:14" ht="60" x14ac:dyDescent="0.25">
      <c r="A1163" s="2" t="s">
        <v>2300</v>
      </c>
      <c r="B1163" s="2" t="s">
        <v>4095</v>
      </c>
      <c r="C1163" s="4">
        <v>45673</v>
      </c>
      <c r="D1163" s="4">
        <v>45673</v>
      </c>
      <c r="E1163" s="2" t="s">
        <v>2211</v>
      </c>
      <c r="F1163" s="2"/>
      <c r="G1163" s="2" t="s">
        <v>180</v>
      </c>
      <c r="H1163" s="2">
        <v>5364.7</v>
      </c>
      <c r="I1163" s="2"/>
      <c r="J1163" s="2">
        <v>5364.7</v>
      </c>
      <c r="K1163" s="2">
        <v>3732.7</v>
      </c>
      <c r="L1163" s="2" t="s">
        <v>51</v>
      </c>
      <c r="M1163" s="2" t="s">
        <v>3844</v>
      </c>
      <c r="N1163" s="2" t="s">
        <v>3843</v>
      </c>
    </row>
    <row r="1164" spans="1:14" ht="60" x14ac:dyDescent="0.25">
      <c r="A1164" s="2" t="s">
        <v>3743</v>
      </c>
      <c r="B1164" s="2" t="s">
        <v>4095</v>
      </c>
      <c r="C1164" s="4">
        <v>45673</v>
      </c>
      <c r="D1164" s="4">
        <v>45673</v>
      </c>
      <c r="E1164" s="2" t="s">
        <v>4097</v>
      </c>
      <c r="F1164" s="2"/>
      <c r="G1164" s="2" t="s">
        <v>180</v>
      </c>
      <c r="H1164" s="2">
        <v>3466.47</v>
      </c>
      <c r="I1164" s="2"/>
      <c r="J1164" s="2">
        <v>3466.47</v>
      </c>
      <c r="K1164" s="2">
        <v>2412</v>
      </c>
      <c r="L1164" s="2" t="s">
        <v>51</v>
      </c>
      <c r="M1164" s="2" t="s">
        <v>3844</v>
      </c>
      <c r="N1164" s="2" t="s">
        <v>3843</v>
      </c>
    </row>
    <row r="1165" spans="1:14" ht="60" x14ac:dyDescent="0.25">
      <c r="A1165" s="2" t="s">
        <v>3739</v>
      </c>
      <c r="B1165" s="2" t="s">
        <v>4095</v>
      </c>
      <c r="C1165" s="4">
        <v>45673</v>
      </c>
      <c r="D1165" s="4">
        <v>45673</v>
      </c>
      <c r="E1165" s="2" t="s">
        <v>4096</v>
      </c>
      <c r="F1165" s="2"/>
      <c r="G1165" s="2" t="s">
        <v>180</v>
      </c>
      <c r="H1165" s="2">
        <v>3466.47</v>
      </c>
      <c r="I1165" s="2"/>
      <c r="J1165" s="2">
        <v>3466.47</v>
      </c>
      <c r="K1165" s="2">
        <v>2412</v>
      </c>
      <c r="L1165" s="2" t="s">
        <v>51</v>
      </c>
      <c r="M1165" s="2" t="s">
        <v>3844</v>
      </c>
      <c r="N1165" s="2" t="s">
        <v>3843</v>
      </c>
    </row>
    <row r="1166" spans="1:14" ht="60" x14ac:dyDescent="0.25">
      <c r="A1166" s="2" t="s">
        <v>3741</v>
      </c>
      <c r="B1166" s="2" t="s">
        <v>4095</v>
      </c>
      <c r="C1166" s="4">
        <v>45673</v>
      </c>
      <c r="D1166" s="4">
        <v>45703</v>
      </c>
      <c r="E1166" s="2" t="s">
        <v>4094</v>
      </c>
      <c r="F1166" s="2"/>
      <c r="G1166" s="2" t="s">
        <v>180</v>
      </c>
      <c r="H1166" s="2">
        <v>22047.599999999999</v>
      </c>
      <c r="I1166" s="2"/>
      <c r="J1166" s="2">
        <v>22047.599999999999</v>
      </c>
      <c r="K1166" s="2">
        <v>15340.54</v>
      </c>
      <c r="L1166" s="2" t="s">
        <v>51</v>
      </c>
      <c r="M1166" s="2" t="s">
        <v>3844</v>
      </c>
      <c r="N1166" s="2" t="s">
        <v>3843</v>
      </c>
    </row>
    <row r="1167" spans="1:14" ht="30" x14ac:dyDescent="0.25">
      <c r="A1167" s="2" t="s">
        <v>3750</v>
      </c>
      <c r="B1167" s="2" t="s">
        <v>20</v>
      </c>
      <c r="C1167" s="4">
        <v>45672</v>
      </c>
      <c r="D1167" s="4">
        <v>45732</v>
      </c>
      <c r="E1167" s="2" t="s">
        <v>4093</v>
      </c>
      <c r="F1167" s="2"/>
      <c r="G1167" s="2" t="s">
        <v>21</v>
      </c>
      <c r="H1167" s="2">
        <v>1755.24</v>
      </c>
      <c r="I1167" s="2">
        <v>87.76</v>
      </c>
      <c r="J1167" s="2">
        <v>1843</v>
      </c>
      <c r="K1167" s="2">
        <v>1843</v>
      </c>
      <c r="L1167" s="2" t="s">
        <v>22</v>
      </c>
      <c r="M1167" s="2" t="s">
        <v>3844</v>
      </c>
      <c r="N1167" s="2" t="s">
        <v>3843</v>
      </c>
    </row>
    <row r="1168" spans="1:14" ht="60" x14ac:dyDescent="0.25">
      <c r="A1168" s="2" t="s">
        <v>3748</v>
      </c>
      <c r="B1168" s="2" t="s">
        <v>3974</v>
      </c>
      <c r="C1168" s="4">
        <v>45672</v>
      </c>
      <c r="D1168" s="4">
        <v>45687</v>
      </c>
      <c r="E1168" s="2" t="s">
        <v>4092</v>
      </c>
      <c r="F1168" s="2"/>
      <c r="G1168" s="2" t="s">
        <v>21</v>
      </c>
      <c r="H1168" s="2">
        <v>196.07</v>
      </c>
      <c r="I1168" s="2">
        <v>25.49</v>
      </c>
      <c r="J1168" s="2">
        <v>221.56</v>
      </c>
      <c r="K1168" s="2">
        <v>221.56</v>
      </c>
      <c r="L1168" s="2" t="s">
        <v>22</v>
      </c>
      <c r="M1168" s="2" t="s">
        <v>3844</v>
      </c>
      <c r="N1168" s="2" t="s">
        <v>3843</v>
      </c>
    </row>
    <row r="1169" spans="1:14" ht="60" x14ac:dyDescent="0.25">
      <c r="A1169" s="2" t="s">
        <v>3756</v>
      </c>
      <c r="B1169" s="2" t="s">
        <v>3974</v>
      </c>
      <c r="C1169" s="4">
        <v>45672</v>
      </c>
      <c r="D1169" s="4">
        <v>45702</v>
      </c>
      <c r="E1169" s="2" t="s">
        <v>4091</v>
      </c>
      <c r="F1169" s="2"/>
      <c r="G1169" s="2" t="s">
        <v>21</v>
      </c>
      <c r="H1169" s="2">
        <v>4773.1899999999996</v>
      </c>
      <c r="I1169" s="2">
        <v>620.51</v>
      </c>
      <c r="J1169" s="2">
        <v>5393.7</v>
      </c>
      <c r="K1169" s="2">
        <v>5393.7</v>
      </c>
      <c r="L1169" s="2" t="s">
        <v>22</v>
      </c>
      <c r="M1169" s="2" t="s">
        <v>3844</v>
      </c>
      <c r="N1169" s="2" t="s">
        <v>3843</v>
      </c>
    </row>
    <row r="1170" spans="1:14" x14ac:dyDescent="0.25">
      <c r="A1170" s="2" t="s">
        <v>3746</v>
      </c>
      <c r="B1170" s="2" t="s">
        <v>146</v>
      </c>
      <c r="C1170" s="4">
        <v>45672</v>
      </c>
      <c r="D1170" s="4">
        <v>45702</v>
      </c>
      <c r="E1170" s="2" t="s">
        <v>4079</v>
      </c>
      <c r="F1170" s="2"/>
      <c r="G1170" s="2" t="s">
        <v>21</v>
      </c>
      <c r="H1170" s="2">
        <v>3605.74</v>
      </c>
      <c r="I1170" s="2">
        <v>180.29</v>
      </c>
      <c r="J1170" s="2">
        <v>3786.03</v>
      </c>
      <c r="K1170" s="2">
        <v>3786.03</v>
      </c>
      <c r="L1170" s="2" t="s">
        <v>22</v>
      </c>
      <c r="M1170" s="2" t="s">
        <v>3844</v>
      </c>
      <c r="N1170" s="2" t="s">
        <v>3843</v>
      </c>
    </row>
    <row r="1171" spans="1:14" ht="30" x14ac:dyDescent="0.25">
      <c r="A1171" s="2" t="s">
        <v>3754</v>
      </c>
      <c r="B1171" s="2" t="s">
        <v>80</v>
      </c>
      <c r="C1171" s="4">
        <v>45672</v>
      </c>
      <c r="D1171" s="4">
        <v>45732</v>
      </c>
      <c r="E1171" s="2" t="s">
        <v>4090</v>
      </c>
      <c r="F1171" s="2"/>
      <c r="G1171" s="2" t="s">
        <v>21</v>
      </c>
      <c r="H1171" s="2">
        <v>4367.46</v>
      </c>
      <c r="I1171" s="2">
        <v>218.37</v>
      </c>
      <c r="J1171" s="2">
        <v>4585.83</v>
      </c>
      <c r="K1171" s="2">
        <v>4585.83</v>
      </c>
      <c r="L1171" s="2" t="s">
        <v>22</v>
      </c>
      <c r="M1171" s="2" t="s">
        <v>3844</v>
      </c>
      <c r="N1171" s="2" t="s">
        <v>3843</v>
      </c>
    </row>
    <row r="1172" spans="1:14" x14ac:dyDescent="0.25">
      <c r="A1172" s="2" t="s">
        <v>3693</v>
      </c>
      <c r="B1172" s="2" t="s">
        <v>4089</v>
      </c>
      <c r="C1172" s="4">
        <v>45672</v>
      </c>
      <c r="D1172" s="4">
        <v>45672</v>
      </c>
      <c r="E1172" s="2" t="s">
        <v>3732</v>
      </c>
      <c r="F1172" s="2"/>
      <c r="G1172" s="2" t="s">
        <v>21</v>
      </c>
      <c r="H1172" s="2">
        <v>10308.700000000001</v>
      </c>
      <c r="I1172" s="2"/>
      <c r="J1172" s="2">
        <v>10308.700000000001</v>
      </c>
      <c r="K1172" s="2">
        <v>7173</v>
      </c>
      <c r="L1172" s="2" t="s">
        <v>51</v>
      </c>
      <c r="M1172" s="2" t="s">
        <v>3844</v>
      </c>
      <c r="N1172" s="2" t="s">
        <v>3978</v>
      </c>
    </row>
    <row r="1173" spans="1:14" ht="30" x14ac:dyDescent="0.25">
      <c r="A1173" s="2" t="s">
        <v>3757</v>
      </c>
      <c r="B1173" s="2" t="s">
        <v>104</v>
      </c>
      <c r="C1173" s="4">
        <v>45672</v>
      </c>
      <c r="D1173" s="4">
        <v>45702</v>
      </c>
      <c r="E1173" s="2" t="s">
        <v>4069</v>
      </c>
      <c r="F1173" s="2"/>
      <c r="G1173" s="2" t="s">
        <v>21</v>
      </c>
      <c r="H1173" s="2">
        <v>105.43</v>
      </c>
      <c r="I1173" s="2">
        <v>5.27</v>
      </c>
      <c r="J1173" s="2">
        <v>110.7</v>
      </c>
      <c r="K1173" s="2">
        <v>110.7</v>
      </c>
      <c r="L1173" s="2" t="s">
        <v>22</v>
      </c>
      <c r="M1173" s="2" t="s">
        <v>3844</v>
      </c>
      <c r="N1173" s="2" t="s">
        <v>3843</v>
      </c>
    </row>
    <row r="1174" spans="1:14" ht="30" x14ac:dyDescent="0.25">
      <c r="A1174" s="2" t="s">
        <v>2308</v>
      </c>
      <c r="B1174" s="2" t="s">
        <v>4088</v>
      </c>
      <c r="C1174" s="4">
        <v>45672</v>
      </c>
      <c r="D1174" s="4">
        <v>45702</v>
      </c>
      <c r="E1174" s="2" t="s">
        <v>2196</v>
      </c>
      <c r="F1174" s="2"/>
      <c r="G1174" s="2" t="s">
        <v>21</v>
      </c>
      <c r="H1174" s="2">
        <v>4601.8500000000004</v>
      </c>
      <c r="I1174" s="2"/>
      <c r="J1174" s="2">
        <v>4601.8500000000004</v>
      </c>
      <c r="K1174" s="2">
        <v>3202.06</v>
      </c>
      <c r="L1174" s="2" t="s">
        <v>51</v>
      </c>
      <c r="M1174" s="2" t="s">
        <v>3844</v>
      </c>
      <c r="N1174" s="2" t="s">
        <v>3843</v>
      </c>
    </row>
    <row r="1175" spans="1:14" x14ac:dyDescent="0.25">
      <c r="A1175" s="2" t="s">
        <v>3752</v>
      </c>
      <c r="B1175" s="2" t="s">
        <v>141</v>
      </c>
      <c r="C1175" s="4">
        <v>45672</v>
      </c>
      <c r="D1175" s="4">
        <v>45717</v>
      </c>
      <c r="E1175" s="2" t="s">
        <v>4087</v>
      </c>
      <c r="F1175" s="2"/>
      <c r="G1175" s="2" t="s">
        <v>21</v>
      </c>
      <c r="H1175" s="2">
        <v>1542.61</v>
      </c>
      <c r="I1175" s="2"/>
      <c r="J1175" s="2">
        <v>1542.61</v>
      </c>
      <c r="K1175" s="2">
        <v>1073.3800000000001</v>
      </c>
      <c r="L1175" s="2" t="s">
        <v>51</v>
      </c>
      <c r="M1175" s="2" t="s">
        <v>3844</v>
      </c>
      <c r="N1175" s="2" t="s">
        <v>3843</v>
      </c>
    </row>
    <row r="1176" spans="1:14" x14ac:dyDescent="0.25">
      <c r="A1176" s="2" t="s">
        <v>3745</v>
      </c>
      <c r="B1176" s="2" t="s">
        <v>141</v>
      </c>
      <c r="C1176" s="4">
        <v>45672</v>
      </c>
      <c r="D1176" s="4">
        <v>45717</v>
      </c>
      <c r="E1176" s="2" t="s">
        <v>4086</v>
      </c>
      <c r="F1176" s="2"/>
      <c r="G1176" s="2" t="s">
        <v>21</v>
      </c>
      <c r="H1176" s="2">
        <v>3300.02</v>
      </c>
      <c r="I1176" s="2"/>
      <c r="J1176" s="2">
        <v>3300.02</v>
      </c>
      <c r="K1176" s="2">
        <v>2296.2199999999998</v>
      </c>
      <c r="L1176" s="2" t="s">
        <v>51</v>
      </c>
      <c r="M1176" s="2" t="s">
        <v>3844</v>
      </c>
      <c r="N1176" s="2" t="s">
        <v>3843</v>
      </c>
    </row>
    <row r="1177" spans="1:14" ht="45" x14ac:dyDescent="0.25">
      <c r="A1177" s="2" t="s">
        <v>2307</v>
      </c>
      <c r="B1177" s="2" t="s">
        <v>3951</v>
      </c>
      <c r="C1177" s="4">
        <v>45672</v>
      </c>
      <c r="D1177" s="4">
        <v>45702</v>
      </c>
      <c r="E1177" s="2" t="s">
        <v>2198</v>
      </c>
      <c r="F1177" s="2"/>
      <c r="G1177" s="2" t="s">
        <v>21</v>
      </c>
      <c r="H1177" s="2">
        <v>477.36</v>
      </c>
      <c r="I1177" s="2"/>
      <c r="J1177" s="2">
        <v>477.36</v>
      </c>
      <c r="K1177" s="2">
        <v>332.16</v>
      </c>
      <c r="L1177" s="2" t="s">
        <v>51</v>
      </c>
      <c r="M1177" s="2" t="s">
        <v>3844</v>
      </c>
      <c r="N1177" s="2" t="s">
        <v>3843</v>
      </c>
    </row>
    <row r="1178" spans="1:14" x14ac:dyDescent="0.25">
      <c r="A1178" s="2" t="s">
        <v>2299</v>
      </c>
      <c r="B1178" s="2" t="s">
        <v>192</v>
      </c>
      <c r="C1178" s="4">
        <v>45671</v>
      </c>
      <c r="D1178" s="4">
        <v>45701</v>
      </c>
      <c r="E1178" s="2" t="s">
        <v>2213</v>
      </c>
      <c r="F1178" s="2"/>
      <c r="G1178" s="2" t="s">
        <v>21</v>
      </c>
      <c r="H1178" s="2">
        <v>4348.3900000000003</v>
      </c>
      <c r="I1178" s="2"/>
      <c r="J1178" s="2">
        <v>4348.3900000000003</v>
      </c>
      <c r="K1178" s="2">
        <v>3017.55</v>
      </c>
      <c r="L1178" s="2" t="s">
        <v>51</v>
      </c>
      <c r="M1178" s="2" t="s">
        <v>3844</v>
      </c>
      <c r="N1178" s="2" t="s">
        <v>3843</v>
      </c>
    </row>
    <row r="1179" spans="1:14" x14ac:dyDescent="0.25">
      <c r="A1179" s="2" t="s">
        <v>3759</v>
      </c>
      <c r="B1179" s="2" t="s">
        <v>198</v>
      </c>
      <c r="C1179" s="4">
        <v>45671</v>
      </c>
      <c r="D1179" s="4">
        <v>45671</v>
      </c>
      <c r="E1179" s="2" t="s">
        <v>4085</v>
      </c>
      <c r="F1179" s="2"/>
      <c r="G1179" s="2" t="s">
        <v>1132</v>
      </c>
      <c r="H1179" s="2">
        <v>348.57</v>
      </c>
      <c r="I1179" s="2"/>
      <c r="J1179" s="2">
        <v>348.57</v>
      </c>
      <c r="K1179" s="2">
        <v>241.89</v>
      </c>
      <c r="L1179" s="2" t="s">
        <v>51</v>
      </c>
      <c r="M1179" s="2" t="s">
        <v>3844</v>
      </c>
      <c r="N1179" s="2" t="s">
        <v>3843</v>
      </c>
    </row>
    <row r="1180" spans="1:14" x14ac:dyDescent="0.25">
      <c r="A1180" s="2" t="s">
        <v>2298</v>
      </c>
      <c r="B1180" s="2" t="s">
        <v>2217</v>
      </c>
      <c r="C1180" s="4">
        <v>45670</v>
      </c>
      <c r="D1180" s="4">
        <v>45670</v>
      </c>
      <c r="E1180" s="2" t="s">
        <v>2215</v>
      </c>
      <c r="F1180" s="2"/>
      <c r="G1180" s="2" t="s">
        <v>1132</v>
      </c>
      <c r="H1180" s="2">
        <v>2036.82</v>
      </c>
      <c r="I1180" s="2">
        <v>101.84</v>
      </c>
      <c r="J1180" s="2">
        <v>2138.66</v>
      </c>
      <c r="K1180" s="2">
        <v>2138.66</v>
      </c>
      <c r="L1180" s="2" t="s">
        <v>22</v>
      </c>
      <c r="M1180" s="2" t="s">
        <v>3844</v>
      </c>
      <c r="N1180" s="2" t="s">
        <v>3843</v>
      </c>
    </row>
    <row r="1181" spans="1:14" ht="30" x14ac:dyDescent="0.25">
      <c r="A1181" s="2" t="s">
        <v>3767</v>
      </c>
      <c r="B1181" s="2" t="s">
        <v>39</v>
      </c>
      <c r="C1181" s="4">
        <v>45670</v>
      </c>
      <c r="D1181" s="4">
        <v>45700</v>
      </c>
      <c r="E1181" s="2" t="s">
        <v>4084</v>
      </c>
      <c r="F1181" s="2"/>
      <c r="G1181" s="2" t="s">
        <v>21</v>
      </c>
      <c r="H1181" s="2">
        <v>10410.34</v>
      </c>
      <c r="I1181" s="2">
        <v>520.52</v>
      </c>
      <c r="J1181" s="2">
        <v>10930.86</v>
      </c>
      <c r="K1181" s="2">
        <v>10930.86</v>
      </c>
      <c r="L1181" s="2" t="s">
        <v>22</v>
      </c>
      <c r="M1181" s="2" t="s">
        <v>3844</v>
      </c>
      <c r="N1181" s="2" t="s">
        <v>3843</v>
      </c>
    </row>
    <row r="1182" spans="1:14" ht="30" x14ac:dyDescent="0.25">
      <c r="A1182" s="2" t="s">
        <v>3763</v>
      </c>
      <c r="B1182" s="2" t="s">
        <v>518</v>
      </c>
      <c r="C1182" s="4">
        <v>45670</v>
      </c>
      <c r="D1182" s="4">
        <v>45700</v>
      </c>
      <c r="E1182" s="2" t="s">
        <v>4083</v>
      </c>
      <c r="F1182" s="2"/>
      <c r="G1182" s="2" t="s">
        <v>21</v>
      </c>
      <c r="H1182" s="2">
        <v>5489.78</v>
      </c>
      <c r="I1182" s="2">
        <v>274.49</v>
      </c>
      <c r="J1182" s="2">
        <v>5764.27</v>
      </c>
      <c r="K1182" s="2">
        <v>5764.27</v>
      </c>
      <c r="L1182" s="2" t="s">
        <v>22</v>
      </c>
      <c r="M1182" s="2" t="s">
        <v>3844</v>
      </c>
      <c r="N1182" s="2" t="s">
        <v>3843</v>
      </c>
    </row>
    <row r="1183" spans="1:14" ht="30" x14ac:dyDescent="0.25">
      <c r="A1183" s="2" t="s">
        <v>3765</v>
      </c>
      <c r="B1183" s="2" t="s">
        <v>35</v>
      </c>
      <c r="C1183" s="4">
        <v>45670</v>
      </c>
      <c r="D1183" s="4">
        <v>45700</v>
      </c>
      <c r="E1183" s="2" t="s">
        <v>4082</v>
      </c>
      <c r="F1183" s="2"/>
      <c r="G1183" s="2" t="s">
        <v>21</v>
      </c>
      <c r="H1183" s="2">
        <v>1464.49</v>
      </c>
      <c r="I1183" s="2">
        <v>73.23</v>
      </c>
      <c r="J1183" s="2">
        <v>1537.72</v>
      </c>
      <c r="K1183" s="2">
        <v>1537.72</v>
      </c>
      <c r="L1183" s="2" t="s">
        <v>22</v>
      </c>
      <c r="M1183" s="2" t="s">
        <v>3844</v>
      </c>
      <c r="N1183" s="2" t="s">
        <v>3843</v>
      </c>
    </row>
    <row r="1184" spans="1:14" x14ac:dyDescent="0.25">
      <c r="A1184" s="2" t="s">
        <v>2294</v>
      </c>
      <c r="B1184" s="2" t="s">
        <v>465</v>
      </c>
      <c r="C1184" s="4">
        <v>45670</v>
      </c>
      <c r="D1184" s="4">
        <v>45700</v>
      </c>
      <c r="E1184" s="2" t="s">
        <v>2224</v>
      </c>
      <c r="F1184" s="2"/>
      <c r="G1184" s="2" t="s">
        <v>21</v>
      </c>
      <c r="H1184" s="2">
        <v>15086.8</v>
      </c>
      <c r="I1184" s="2">
        <v>1961.3</v>
      </c>
      <c r="J1184" s="2">
        <v>17048.099999999999</v>
      </c>
      <c r="K1184" s="2">
        <v>17048.099999999999</v>
      </c>
      <c r="L1184" s="2" t="s">
        <v>22</v>
      </c>
      <c r="M1184" s="2" t="s">
        <v>3844</v>
      </c>
      <c r="N1184" s="2" t="s">
        <v>3843</v>
      </c>
    </row>
    <row r="1185" spans="1:14" ht="45" x14ac:dyDescent="0.25">
      <c r="A1185" s="2" t="s">
        <v>2296</v>
      </c>
      <c r="B1185" s="2" t="s">
        <v>2141</v>
      </c>
      <c r="C1185" s="4">
        <v>45670</v>
      </c>
      <c r="D1185" s="4">
        <v>45700</v>
      </c>
      <c r="E1185" s="2" t="s">
        <v>2220</v>
      </c>
      <c r="F1185" s="2"/>
      <c r="G1185" s="2" t="s">
        <v>1132</v>
      </c>
      <c r="H1185" s="2">
        <v>540.29999999999995</v>
      </c>
      <c r="I1185" s="2"/>
      <c r="J1185" s="2">
        <v>540.29999999999995</v>
      </c>
      <c r="K1185" s="2">
        <v>540.29999999999995</v>
      </c>
      <c r="L1185" s="2" t="s">
        <v>22</v>
      </c>
      <c r="M1185" s="2" t="s">
        <v>3844</v>
      </c>
      <c r="N1185" s="2" t="s">
        <v>3843</v>
      </c>
    </row>
    <row r="1186" spans="1:14" x14ac:dyDescent="0.25">
      <c r="A1186" s="2" t="s">
        <v>3761</v>
      </c>
      <c r="B1186" s="2" t="s">
        <v>61</v>
      </c>
      <c r="C1186" s="4">
        <v>45670</v>
      </c>
      <c r="D1186" s="4">
        <v>45700</v>
      </c>
      <c r="E1186" s="2" t="s">
        <v>4081</v>
      </c>
      <c r="F1186" s="2"/>
      <c r="G1186" s="2" t="s">
        <v>21</v>
      </c>
      <c r="H1186" s="2">
        <v>2780</v>
      </c>
      <c r="I1186" s="2"/>
      <c r="J1186" s="2">
        <v>2780</v>
      </c>
      <c r="K1186" s="2">
        <v>1931.05</v>
      </c>
      <c r="L1186" s="2" t="s">
        <v>51</v>
      </c>
      <c r="M1186" s="2" t="s">
        <v>3844</v>
      </c>
      <c r="N1186" s="2" t="s">
        <v>3843</v>
      </c>
    </row>
    <row r="1187" spans="1:14" x14ac:dyDescent="0.25">
      <c r="A1187" s="2" t="s">
        <v>2290</v>
      </c>
      <c r="B1187" s="2" t="s">
        <v>54</v>
      </c>
      <c r="C1187" s="4">
        <v>45667</v>
      </c>
      <c r="D1187" s="4">
        <v>45697</v>
      </c>
      <c r="E1187" s="2" t="s">
        <v>2230</v>
      </c>
      <c r="F1187" s="2"/>
      <c r="G1187" s="2" t="s">
        <v>21</v>
      </c>
      <c r="H1187" s="2">
        <v>463.06</v>
      </c>
      <c r="I1187" s="2">
        <v>23.15</v>
      </c>
      <c r="J1187" s="2">
        <v>486.21</v>
      </c>
      <c r="K1187" s="2">
        <v>486.21</v>
      </c>
      <c r="L1187" s="2" t="s">
        <v>22</v>
      </c>
      <c r="M1187" s="2" t="s">
        <v>3844</v>
      </c>
      <c r="N1187" s="2" t="s">
        <v>3843</v>
      </c>
    </row>
    <row r="1188" spans="1:14" x14ac:dyDescent="0.25">
      <c r="A1188" s="2" t="s">
        <v>2292</v>
      </c>
      <c r="B1188" s="2" t="s">
        <v>54</v>
      </c>
      <c r="C1188" s="4">
        <v>45667</v>
      </c>
      <c r="D1188" s="4">
        <v>45697</v>
      </c>
      <c r="E1188" s="2" t="s">
        <v>2228</v>
      </c>
      <c r="F1188" s="2"/>
      <c r="G1188" s="2" t="s">
        <v>21</v>
      </c>
      <c r="H1188" s="2">
        <v>3603</v>
      </c>
      <c r="I1188" s="2">
        <v>180.15</v>
      </c>
      <c r="J1188" s="2">
        <v>3783.15</v>
      </c>
      <c r="K1188" s="2">
        <v>3783.15</v>
      </c>
      <c r="L1188" s="2" t="s">
        <v>22</v>
      </c>
      <c r="M1188" s="2" t="s">
        <v>3844</v>
      </c>
      <c r="N1188" s="2" t="s">
        <v>3843</v>
      </c>
    </row>
    <row r="1189" spans="1:14" x14ac:dyDescent="0.25">
      <c r="A1189" s="2" t="s">
        <v>2285</v>
      </c>
      <c r="B1189" s="2" t="s">
        <v>70</v>
      </c>
      <c r="C1189" s="4">
        <v>45667</v>
      </c>
      <c r="D1189" s="4">
        <v>45727</v>
      </c>
      <c r="E1189" s="2" t="s">
        <v>2236</v>
      </c>
      <c r="F1189" s="2"/>
      <c r="G1189" s="2" t="s">
        <v>71</v>
      </c>
      <c r="H1189" s="2">
        <v>5506</v>
      </c>
      <c r="I1189" s="2"/>
      <c r="J1189" s="2">
        <v>5506</v>
      </c>
      <c r="K1189" s="2">
        <v>5506</v>
      </c>
      <c r="L1189" s="2" t="s">
        <v>22</v>
      </c>
      <c r="M1189" s="2" t="s">
        <v>3844</v>
      </c>
      <c r="N1189" s="2" t="s">
        <v>3843</v>
      </c>
    </row>
    <row r="1190" spans="1:14" x14ac:dyDescent="0.25">
      <c r="A1190" s="2" t="s">
        <v>2276</v>
      </c>
      <c r="B1190" s="2" t="s">
        <v>70</v>
      </c>
      <c r="C1190" s="4">
        <v>45667</v>
      </c>
      <c r="D1190" s="4">
        <v>45727</v>
      </c>
      <c r="E1190" s="2" t="s">
        <v>2255</v>
      </c>
      <c r="F1190" s="2"/>
      <c r="G1190" s="2" t="s">
        <v>71</v>
      </c>
      <c r="H1190" s="2">
        <v>8795</v>
      </c>
      <c r="I1190" s="2"/>
      <c r="J1190" s="2">
        <v>8795</v>
      </c>
      <c r="K1190" s="2">
        <v>8795</v>
      </c>
      <c r="L1190" s="2" t="s">
        <v>22</v>
      </c>
      <c r="M1190" s="2" t="s">
        <v>3844</v>
      </c>
      <c r="N1190" s="2" t="s">
        <v>3843</v>
      </c>
    </row>
    <row r="1191" spans="1:14" ht="30" x14ac:dyDescent="0.25">
      <c r="A1191" s="2" t="s">
        <v>2277</v>
      </c>
      <c r="B1191" s="2" t="s">
        <v>4080</v>
      </c>
      <c r="C1191" s="4">
        <v>45667</v>
      </c>
      <c r="D1191" s="4">
        <v>45697</v>
      </c>
      <c r="E1191" s="2" t="s">
        <v>2253</v>
      </c>
      <c r="F1191" s="2"/>
      <c r="G1191" s="2" t="s">
        <v>21</v>
      </c>
      <c r="H1191" s="2">
        <v>144.57</v>
      </c>
      <c r="I1191" s="2"/>
      <c r="J1191" s="2">
        <v>144.57</v>
      </c>
      <c r="K1191" s="2">
        <v>100.41</v>
      </c>
      <c r="L1191" s="2" t="s">
        <v>51</v>
      </c>
      <c r="M1191" s="2" t="s">
        <v>3844</v>
      </c>
      <c r="N1191" s="2" t="s">
        <v>3843</v>
      </c>
    </row>
    <row r="1192" spans="1:14" x14ac:dyDescent="0.25">
      <c r="A1192" s="2" t="s">
        <v>2286</v>
      </c>
      <c r="B1192" s="2" t="s">
        <v>146</v>
      </c>
      <c r="C1192" s="4">
        <v>45666</v>
      </c>
      <c r="D1192" s="4">
        <v>45696</v>
      </c>
      <c r="E1192" s="2" t="s">
        <v>2234</v>
      </c>
      <c r="F1192" s="2"/>
      <c r="G1192" s="2" t="s">
        <v>1132</v>
      </c>
      <c r="H1192" s="2">
        <v>213.9</v>
      </c>
      <c r="I1192" s="2">
        <v>10.7</v>
      </c>
      <c r="J1192" s="2">
        <v>224.6</v>
      </c>
      <c r="K1192" s="2">
        <v>224.6</v>
      </c>
      <c r="L1192" s="2" t="s">
        <v>22</v>
      </c>
      <c r="M1192" s="2" t="s">
        <v>3844</v>
      </c>
      <c r="N1192" s="2" t="s">
        <v>3843</v>
      </c>
    </row>
    <row r="1193" spans="1:14" x14ac:dyDescent="0.25">
      <c r="A1193" s="2" t="s">
        <v>2284</v>
      </c>
      <c r="B1193" s="2" t="s">
        <v>146</v>
      </c>
      <c r="C1193" s="4">
        <v>45666</v>
      </c>
      <c r="D1193" s="4">
        <v>45696</v>
      </c>
      <c r="E1193" s="2" t="s">
        <v>2238</v>
      </c>
      <c r="F1193" s="2"/>
      <c r="G1193" s="2" t="s">
        <v>21</v>
      </c>
      <c r="H1193" s="2">
        <v>916.59</v>
      </c>
      <c r="I1193" s="2">
        <v>45.83</v>
      </c>
      <c r="J1193" s="2">
        <v>962.42</v>
      </c>
      <c r="K1193" s="2">
        <v>962.42</v>
      </c>
      <c r="L1193" s="2" t="s">
        <v>22</v>
      </c>
      <c r="M1193" s="2" t="s">
        <v>3844</v>
      </c>
      <c r="N1193" s="2" t="s">
        <v>3843</v>
      </c>
    </row>
    <row r="1194" spans="1:14" x14ac:dyDescent="0.25">
      <c r="A1194" s="2" t="s">
        <v>3771</v>
      </c>
      <c r="B1194" s="2" t="s">
        <v>146</v>
      </c>
      <c r="C1194" s="4">
        <v>45666</v>
      </c>
      <c r="D1194" s="4">
        <v>45696</v>
      </c>
      <c r="E1194" s="2" t="s">
        <v>4079</v>
      </c>
      <c r="F1194" s="2"/>
      <c r="G1194" s="2" t="s">
        <v>21</v>
      </c>
      <c r="H1194" s="2">
        <v>101.54</v>
      </c>
      <c r="I1194" s="2">
        <v>5.08</v>
      </c>
      <c r="J1194" s="2">
        <v>106.62</v>
      </c>
      <c r="K1194" s="2">
        <v>106.62</v>
      </c>
      <c r="L1194" s="2" t="s">
        <v>22</v>
      </c>
      <c r="M1194" s="2" t="s">
        <v>3844</v>
      </c>
      <c r="N1194" s="2" t="s">
        <v>3843</v>
      </c>
    </row>
    <row r="1195" spans="1:14" ht="30" x14ac:dyDescent="0.25">
      <c r="A1195" s="2" t="s">
        <v>3769</v>
      </c>
      <c r="B1195" s="2" t="s">
        <v>20</v>
      </c>
      <c r="C1195" s="4">
        <v>45666</v>
      </c>
      <c r="D1195" s="4">
        <v>45726</v>
      </c>
      <c r="E1195" s="2" t="s">
        <v>4078</v>
      </c>
      <c r="F1195" s="2"/>
      <c r="G1195" s="2" t="s">
        <v>21</v>
      </c>
      <c r="H1195" s="2">
        <v>2629.61</v>
      </c>
      <c r="I1195" s="2">
        <v>131.49</v>
      </c>
      <c r="J1195" s="2">
        <v>2761.1</v>
      </c>
      <c r="K1195" s="2">
        <v>1920.57</v>
      </c>
      <c r="L1195" s="2" t="s">
        <v>51</v>
      </c>
      <c r="M1195" s="2" t="s">
        <v>3844</v>
      </c>
      <c r="N1195" s="2" t="s">
        <v>3843</v>
      </c>
    </row>
    <row r="1196" spans="1:14" ht="30" x14ac:dyDescent="0.25">
      <c r="A1196" s="2" t="s">
        <v>2270</v>
      </c>
      <c r="B1196" s="2" t="s">
        <v>981</v>
      </c>
      <c r="C1196" s="4">
        <v>45666</v>
      </c>
      <c r="D1196" s="4">
        <v>45696</v>
      </c>
      <c r="E1196" s="2" t="s">
        <v>2267</v>
      </c>
      <c r="F1196" s="2"/>
      <c r="G1196" s="2" t="s">
        <v>21</v>
      </c>
      <c r="H1196" s="2">
        <v>1363.36</v>
      </c>
      <c r="I1196" s="2">
        <v>177.24</v>
      </c>
      <c r="J1196" s="2">
        <v>1540.6</v>
      </c>
      <c r="K1196" s="2">
        <v>1540.6</v>
      </c>
      <c r="L1196" s="2" t="s">
        <v>22</v>
      </c>
      <c r="M1196" s="2" t="s">
        <v>3844</v>
      </c>
      <c r="N1196" s="2" t="s">
        <v>3843</v>
      </c>
    </row>
    <row r="1197" spans="1:14" ht="45" x14ac:dyDescent="0.25">
      <c r="A1197" s="2" t="s">
        <v>2289</v>
      </c>
      <c r="B1197" s="2" t="s">
        <v>43</v>
      </c>
      <c r="C1197" s="4">
        <v>45666</v>
      </c>
      <c r="D1197" s="4">
        <v>45696</v>
      </c>
      <c r="E1197" s="2" t="s">
        <v>2232</v>
      </c>
      <c r="F1197" s="2"/>
      <c r="G1197" s="2" t="s">
        <v>1132</v>
      </c>
      <c r="H1197" s="2">
        <v>1827.63</v>
      </c>
      <c r="I1197" s="2">
        <v>91.38</v>
      </c>
      <c r="J1197" s="2">
        <v>1919.01</v>
      </c>
      <c r="K1197" s="2">
        <v>1919.01</v>
      </c>
      <c r="L1197" s="2" t="s">
        <v>22</v>
      </c>
      <c r="M1197" s="2" t="s">
        <v>3844</v>
      </c>
      <c r="N1197" s="2" t="s">
        <v>3843</v>
      </c>
    </row>
    <row r="1198" spans="1:14" x14ac:dyDescent="0.25">
      <c r="A1198" s="2" t="s">
        <v>2283</v>
      </c>
      <c r="B1198" s="2" t="s">
        <v>2242</v>
      </c>
      <c r="C1198" s="4">
        <v>45666</v>
      </c>
      <c r="D1198" s="4">
        <v>45696</v>
      </c>
      <c r="E1198" s="2" t="s">
        <v>2240</v>
      </c>
      <c r="F1198" s="2"/>
      <c r="G1198" s="2" t="s">
        <v>21</v>
      </c>
      <c r="H1198" s="2">
        <v>198.06</v>
      </c>
      <c r="I1198" s="2"/>
      <c r="J1198" s="2">
        <v>198.06</v>
      </c>
      <c r="K1198" s="2">
        <v>137.77000000000001</v>
      </c>
      <c r="L1198" s="2" t="s">
        <v>51</v>
      </c>
      <c r="M1198" s="2" t="s">
        <v>3844</v>
      </c>
      <c r="N1198" s="2" t="s">
        <v>3843</v>
      </c>
    </row>
    <row r="1199" spans="1:14" ht="30" x14ac:dyDescent="0.25">
      <c r="A1199" s="2" t="s">
        <v>2281</v>
      </c>
      <c r="B1199" s="2" t="s">
        <v>98</v>
      </c>
      <c r="C1199" s="4">
        <v>45665</v>
      </c>
      <c r="D1199" s="4">
        <v>45695</v>
      </c>
      <c r="E1199" s="2" t="s">
        <v>2245</v>
      </c>
      <c r="F1199" s="2"/>
      <c r="G1199" s="2" t="s">
        <v>1132</v>
      </c>
      <c r="H1199" s="2">
        <v>1776.49</v>
      </c>
      <c r="I1199" s="2">
        <v>230.93</v>
      </c>
      <c r="J1199" s="2">
        <v>2007.42</v>
      </c>
      <c r="K1199" s="2">
        <v>2007.42</v>
      </c>
      <c r="L1199" s="2" t="s">
        <v>22</v>
      </c>
      <c r="M1199" s="2" t="s">
        <v>3844</v>
      </c>
      <c r="N1199" s="2" t="s">
        <v>3843</v>
      </c>
    </row>
    <row r="1200" spans="1:14" ht="30" x14ac:dyDescent="0.25">
      <c r="A1200" s="2" t="s">
        <v>2278</v>
      </c>
      <c r="B1200" s="2" t="s">
        <v>35</v>
      </c>
      <c r="C1200" s="4">
        <v>45665</v>
      </c>
      <c r="D1200" s="4">
        <v>45695</v>
      </c>
      <c r="E1200" s="2" t="s">
        <v>2251</v>
      </c>
      <c r="F1200" s="2"/>
      <c r="G1200" s="2" t="s">
        <v>21</v>
      </c>
      <c r="H1200" s="2">
        <v>112.37</v>
      </c>
      <c r="I1200" s="2">
        <v>5.62</v>
      </c>
      <c r="J1200" s="2">
        <v>117.99</v>
      </c>
      <c r="K1200" s="2">
        <v>117.99</v>
      </c>
      <c r="L1200" s="2" t="s">
        <v>22</v>
      </c>
      <c r="M1200" s="2" t="s">
        <v>3844</v>
      </c>
      <c r="N1200" s="2" t="s">
        <v>3843</v>
      </c>
    </row>
    <row r="1201" spans="1:14" ht="30" x14ac:dyDescent="0.25">
      <c r="A1201" s="2" t="s">
        <v>3779</v>
      </c>
      <c r="B1201" s="2" t="s">
        <v>159</v>
      </c>
      <c r="C1201" s="4">
        <v>45665</v>
      </c>
      <c r="D1201" s="4">
        <v>45710</v>
      </c>
      <c r="E1201" s="2" t="s">
        <v>4077</v>
      </c>
      <c r="F1201" s="2"/>
      <c r="G1201" s="2" t="s">
        <v>426</v>
      </c>
      <c r="H1201" s="2">
        <v>229.51</v>
      </c>
      <c r="I1201" s="2"/>
      <c r="J1201" s="2">
        <v>229.51</v>
      </c>
      <c r="K1201" s="2">
        <v>160</v>
      </c>
      <c r="L1201" s="2" t="s">
        <v>51</v>
      </c>
      <c r="M1201" s="2" t="s">
        <v>3844</v>
      </c>
      <c r="N1201" s="2" t="s">
        <v>3843</v>
      </c>
    </row>
    <row r="1202" spans="1:14" ht="30" x14ac:dyDescent="0.25">
      <c r="A1202" s="2" t="s">
        <v>3781</v>
      </c>
      <c r="B1202" s="2" t="s">
        <v>159</v>
      </c>
      <c r="C1202" s="4">
        <v>45665</v>
      </c>
      <c r="D1202" s="4">
        <v>45710</v>
      </c>
      <c r="E1202" s="2" t="s">
        <v>4076</v>
      </c>
      <c r="F1202" s="2"/>
      <c r="G1202" s="2" t="s">
        <v>426</v>
      </c>
      <c r="H1202" s="2">
        <v>1389.13</v>
      </c>
      <c r="I1202" s="2"/>
      <c r="J1202" s="2">
        <v>1389.13</v>
      </c>
      <c r="K1202" s="2">
        <v>968.42</v>
      </c>
      <c r="L1202" s="2" t="s">
        <v>51</v>
      </c>
      <c r="M1202" s="2" t="s">
        <v>3844</v>
      </c>
      <c r="N1202" s="2" t="s">
        <v>3843</v>
      </c>
    </row>
    <row r="1203" spans="1:14" ht="30" x14ac:dyDescent="0.25">
      <c r="A1203" s="2" t="s">
        <v>3777</v>
      </c>
      <c r="B1203" s="2" t="s">
        <v>159</v>
      </c>
      <c r="C1203" s="4">
        <v>45665</v>
      </c>
      <c r="D1203" s="4">
        <v>45710</v>
      </c>
      <c r="E1203" s="2" t="s">
        <v>4075</v>
      </c>
      <c r="F1203" s="2"/>
      <c r="G1203" s="2" t="s">
        <v>426</v>
      </c>
      <c r="H1203" s="2">
        <v>29798.78</v>
      </c>
      <c r="I1203" s="2"/>
      <c r="J1203" s="2">
        <v>29798.78</v>
      </c>
      <c r="K1203" s="2">
        <v>20774</v>
      </c>
      <c r="L1203" s="2" t="s">
        <v>51</v>
      </c>
      <c r="M1203" s="2" t="s">
        <v>3844</v>
      </c>
      <c r="N1203" s="2" t="s">
        <v>3843</v>
      </c>
    </row>
    <row r="1204" spans="1:14" ht="30" x14ac:dyDescent="0.25">
      <c r="A1204" s="2" t="s">
        <v>3775</v>
      </c>
      <c r="B1204" s="2" t="s">
        <v>159</v>
      </c>
      <c r="C1204" s="4">
        <v>45665</v>
      </c>
      <c r="D1204" s="4">
        <v>45710</v>
      </c>
      <c r="E1204" s="2" t="s">
        <v>4074</v>
      </c>
      <c r="F1204" s="2"/>
      <c r="G1204" s="2" t="s">
        <v>426</v>
      </c>
      <c r="H1204" s="2">
        <v>34278.639999999999</v>
      </c>
      <c r="I1204" s="2"/>
      <c r="J1204" s="2">
        <v>34278.639999999999</v>
      </c>
      <c r="K1204" s="2">
        <v>23897.1</v>
      </c>
      <c r="L1204" s="2" t="s">
        <v>51</v>
      </c>
      <c r="M1204" s="2" t="s">
        <v>3844</v>
      </c>
      <c r="N1204" s="2" t="s">
        <v>3843</v>
      </c>
    </row>
    <row r="1205" spans="1:14" ht="30" x14ac:dyDescent="0.25">
      <c r="A1205" s="2" t="s">
        <v>3773</v>
      </c>
      <c r="B1205" s="2" t="s">
        <v>159</v>
      </c>
      <c r="C1205" s="4">
        <v>45665</v>
      </c>
      <c r="D1205" s="4">
        <v>45710</v>
      </c>
      <c r="E1205" s="2" t="s">
        <v>4073</v>
      </c>
      <c r="F1205" s="2"/>
      <c r="G1205" s="2" t="s">
        <v>426</v>
      </c>
      <c r="H1205" s="2">
        <v>1389.13</v>
      </c>
      <c r="I1205" s="2"/>
      <c r="J1205" s="2">
        <v>1389.13</v>
      </c>
      <c r="K1205" s="2">
        <v>968.42</v>
      </c>
      <c r="L1205" s="2" t="s">
        <v>51</v>
      </c>
      <c r="M1205" s="2" t="s">
        <v>3844</v>
      </c>
      <c r="N1205" s="2" t="s">
        <v>3843</v>
      </c>
    </row>
    <row r="1206" spans="1:14" ht="30" x14ac:dyDescent="0.25">
      <c r="A1206" s="2" t="s">
        <v>3782</v>
      </c>
      <c r="B1206" s="2" t="s">
        <v>159</v>
      </c>
      <c r="C1206" s="4">
        <v>45665</v>
      </c>
      <c r="D1206" s="4">
        <v>45695</v>
      </c>
      <c r="E1206" s="2" t="s">
        <v>3980</v>
      </c>
      <c r="F1206" s="2"/>
      <c r="G1206" s="2" t="s">
        <v>426</v>
      </c>
      <c r="H1206" s="2"/>
      <c r="I1206" s="2"/>
      <c r="J1206" s="2"/>
      <c r="K1206" s="2"/>
      <c r="L1206" s="2" t="s">
        <v>51</v>
      </c>
      <c r="M1206" s="2" t="s">
        <v>4031</v>
      </c>
      <c r="N1206" s="2" t="s">
        <v>3843</v>
      </c>
    </row>
    <row r="1207" spans="1:14" x14ac:dyDescent="0.25">
      <c r="A1207" s="2" t="s">
        <v>2274</v>
      </c>
      <c r="B1207" s="2" t="s">
        <v>146</v>
      </c>
      <c r="C1207" s="4">
        <v>45664</v>
      </c>
      <c r="D1207" s="4">
        <v>45694</v>
      </c>
      <c r="E1207" s="2" t="s">
        <v>2259</v>
      </c>
      <c r="F1207" s="2"/>
      <c r="G1207" s="2" t="s">
        <v>21</v>
      </c>
      <c r="H1207" s="2">
        <v>958.11</v>
      </c>
      <c r="I1207" s="2">
        <v>47.91</v>
      </c>
      <c r="J1207" s="2">
        <v>1006.02</v>
      </c>
      <c r="K1207" s="2">
        <v>1006.02</v>
      </c>
      <c r="L1207" s="2" t="s">
        <v>22</v>
      </c>
      <c r="M1207" s="2" t="s">
        <v>3844</v>
      </c>
      <c r="N1207" s="2" t="s">
        <v>3843</v>
      </c>
    </row>
    <row r="1208" spans="1:14" ht="45" x14ac:dyDescent="0.25">
      <c r="A1208" s="2" t="s">
        <v>2275</v>
      </c>
      <c r="B1208" s="2" t="s">
        <v>3986</v>
      </c>
      <c r="C1208" s="4">
        <v>45664</v>
      </c>
      <c r="D1208" s="4">
        <v>45694</v>
      </c>
      <c r="E1208" s="2" t="s">
        <v>2257</v>
      </c>
      <c r="F1208" s="2"/>
      <c r="G1208" s="2" t="s">
        <v>21</v>
      </c>
      <c r="H1208" s="2">
        <v>18278.97</v>
      </c>
      <c r="I1208" s="2">
        <v>2376.27</v>
      </c>
      <c r="J1208" s="2">
        <v>20655.240000000002</v>
      </c>
      <c r="K1208" s="2">
        <v>20655.240000000002</v>
      </c>
      <c r="L1208" s="2" t="s">
        <v>22</v>
      </c>
      <c r="M1208" s="2" t="s">
        <v>3844</v>
      </c>
      <c r="N1208" s="2" t="s">
        <v>3843</v>
      </c>
    </row>
    <row r="1209" spans="1:14" ht="30" x14ac:dyDescent="0.25">
      <c r="A1209" s="2" t="s">
        <v>3784</v>
      </c>
      <c r="B1209" s="2" t="s">
        <v>4072</v>
      </c>
      <c r="C1209" s="4">
        <v>45664</v>
      </c>
      <c r="D1209" s="4">
        <v>45694</v>
      </c>
      <c r="E1209" s="2" t="s">
        <v>4071</v>
      </c>
      <c r="F1209" s="2"/>
      <c r="G1209" s="2" t="s">
        <v>21</v>
      </c>
      <c r="H1209" s="2">
        <v>2579.61</v>
      </c>
      <c r="I1209" s="2"/>
      <c r="J1209" s="2">
        <v>2579.61</v>
      </c>
      <c r="K1209" s="2">
        <v>1796.14</v>
      </c>
      <c r="L1209" s="2" t="s">
        <v>51</v>
      </c>
      <c r="M1209" s="2" t="s">
        <v>3844</v>
      </c>
      <c r="N1209" s="2" t="s">
        <v>3843</v>
      </c>
    </row>
    <row r="1210" spans="1:14" ht="30" x14ac:dyDescent="0.25">
      <c r="A1210" s="2" t="s">
        <v>3788</v>
      </c>
      <c r="B1210" s="2" t="s">
        <v>104</v>
      </c>
      <c r="C1210" s="4">
        <v>45663</v>
      </c>
      <c r="D1210" s="4">
        <v>45693</v>
      </c>
      <c r="E1210" s="2" t="s">
        <v>4070</v>
      </c>
      <c r="F1210" s="2"/>
      <c r="G1210" s="2" t="s">
        <v>21</v>
      </c>
      <c r="H1210" s="2">
        <v>2627.35</v>
      </c>
      <c r="I1210" s="2">
        <v>131.37</v>
      </c>
      <c r="J1210" s="2">
        <v>2758.72</v>
      </c>
      <c r="K1210" s="2">
        <v>2758.72</v>
      </c>
      <c r="L1210" s="2" t="s">
        <v>22</v>
      </c>
      <c r="M1210" s="2" t="s">
        <v>3844</v>
      </c>
      <c r="N1210" s="2" t="s">
        <v>3843</v>
      </c>
    </row>
    <row r="1211" spans="1:14" ht="30" x14ac:dyDescent="0.25">
      <c r="A1211" s="2" t="s">
        <v>3792</v>
      </c>
      <c r="B1211" s="2" t="s">
        <v>104</v>
      </c>
      <c r="C1211" s="4">
        <v>45663</v>
      </c>
      <c r="D1211" s="4">
        <v>45693</v>
      </c>
      <c r="E1211" s="2" t="s">
        <v>4069</v>
      </c>
      <c r="F1211" s="2"/>
      <c r="G1211" s="2" t="s">
        <v>21</v>
      </c>
      <c r="H1211" s="2">
        <v>946.14</v>
      </c>
      <c r="I1211" s="2">
        <v>47.31</v>
      </c>
      <c r="J1211" s="2">
        <v>993.45</v>
      </c>
      <c r="K1211" s="2">
        <v>993.45</v>
      </c>
      <c r="L1211" s="2" t="s">
        <v>22</v>
      </c>
      <c r="M1211" s="2" t="s">
        <v>3844</v>
      </c>
      <c r="N1211" s="2" t="s">
        <v>3843</v>
      </c>
    </row>
    <row r="1212" spans="1:14" ht="30" x14ac:dyDescent="0.25">
      <c r="A1212" s="2" t="s">
        <v>3791</v>
      </c>
      <c r="B1212" s="2" t="s">
        <v>129</v>
      </c>
      <c r="C1212" s="4">
        <v>45663</v>
      </c>
      <c r="D1212" s="4">
        <v>45693</v>
      </c>
      <c r="E1212" s="2" t="s">
        <v>4068</v>
      </c>
      <c r="F1212" s="2"/>
      <c r="G1212" s="2" t="s">
        <v>130</v>
      </c>
      <c r="H1212" s="2">
        <v>286.04000000000002</v>
      </c>
      <c r="I1212" s="2"/>
      <c r="J1212" s="2">
        <v>286.04000000000002</v>
      </c>
      <c r="K1212" s="2">
        <v>198</v>
      </c>
      <c r="L1212" s="2" t="s">
        <v>51</v>
      </c>
      <c r="M1212" s="2" t="s">
        <v>3844</v>
      </c>
      <c r="N1212" s="2" t="s">
        <v>3843</v>
      </c>
    </row>
    <row r="1213" spans="1:14" ht="30" x14ac:dyDescent="0.25">
      <c r="A1213" s="2" t="s">
        <v>3786</v>
      </c>
      <c r="B1213" s="2" t="s">
        <v>129</v>
      </c>
      <c r="C1213" s="4">
        <v>45663</v>
      </c>
      <c r="D1213" s="4">
        <v>45693</v>
      </c>
      <c r="E1213" s="2" t="s">
        <v>4067</v>
      </c>
      <c r="F1213" s="2"/>
      <c r="G1213" s="2" t="s">
        <v>130</v>
      </c>
      <c r="H1213" s="2">
        <v>554.75</v>
      </c>
      <c r="I1213" s="2"/>
      <c r="J1213" s="2">
        <v>554.75</v>
      </c>
      <c r="K1213" s="2">
        <v>384</v>
      </c>
      <c r="L1213" s="2" t="s">
        <v>51</v>
      </c>
      <c r="M1213" s="2" t="s">
        <v>3844</v>
      </c>
      <c r="N1213" s="2" t="s">
        <v>3843</v>
      </c>
    </row>
    <row r="1214" spans="1:14" ht="30" x14ac:dyDescent="0.25">
      <c r="A1214" s="2" t="s">
        <v>3790</v>
      </c>
      <c r="B1214" s="2" t="s">
        <v>129</v>
      </c>
      <c r="C1214" s="4">
        <v>45663</v>
      </c>
      <c r="D1214" s="4">
        <v>45693</v>
      </c>
      <c r="E1214" s="2" t="s">
        <v>4066</v>
      </c>
      <c r="F1214" s="2"/>
      <c r="G1214" s="2" t="s">
        <v>130</v>
      </c>
      <c r="H1214" s="2">
        <v>2730.4</v>
      </c>
      <c r="I1214" s="2"/>
      <c r="J1214" s="2">
        <v>2730.4</v>
      </c>
      <c r="K1214" s="2">
        <v>1890</v>
      </c>
      <c r="L1214" s="2" t="s">
        <v>51</v>
      </c>
      <c r="M1214" s="2" t="s">
        <v>3844</v>
      </c>
      <c r="N1214" s="2" t="s">
        <v>3843</v>
      </c>
    </row>
    <row r="1215" spans="1:14" x14ac:dyDescent="0.25">
      <c r="A1215" s="2" t="s">
        <v>3794</v>
      </c>
      <c r="B1215" s="2" t="s">
        <v>64</v>
      </c>
      <c r="C1215" s="4">
        <v>45660</v>
      </c>
      <c r="D1215" s="4">
        <v>45690</v>
      </c>
      <c r="E1215" s="2" t="s">
        <v>4065</v>
      </c>
      <c r="F1215" s="2"/>
      <c r="G1215" s="2" t="s">
        <v>21</v>
      </c>
      <c r="H1215" s="2"/>
      <c r="I1215" s="2"/>
      <c r="J1215" s="2"/>
      <c r="K1215" s="2"/>
      <c r="L1215" s="2" t="s">
        <v>22</v>
      </c>
      <c r="M1215" s="2" t="s">
        <v>4031</v>
      </c>
      <c r="N1215" s="2" t="s">
        <v>3843</v>
      </c>
    </row>
    <row r="1216" spans="1:14" x14ac:dyDescent="0.25">
      <c r="A1216" s="2" t="s">
        <v>3796</v>
      </c>
      <c r="B1216" s="2" t="s">
        <v>77</v>
      </c>
      <c r="C1216" s="4">
        <v>45660</v>
      </c>
      <c r="D1216" s="4">
        <v>45690</v>
      </c>
      <c r="E1216" s="2" t="s">
        <v>4064</v>
      </c>
      <c r="F1216" s="2"/>
      <c r="G1216" s="2" t="s">
        <v>21</v>
      </c>
      <c r="H1216" s="2">
        <v>917.15</v>
      </c>
      <c r="I1216" s="2">
        <v>45.86</v>
      </c>
      <c r="J1216" s="2">
        <v>963.01</v>
      </c>
      <c r="K1216" s="2">
        <v>963.01</v>
      </c>
      <c r="L1216" s="2" t="s">
        <v>22</v>
      </c>
      <c r="M1216" s="2" t="s">
        <v>3844</v>
      </c>
      <c r="N1216" s="2" t="s">
        <v>3843</v>
      </c>
    </row>
    <row r="1217" spans="1:14" ht="45" x14ac:dyDescent="0.25">
      <c r="A1217" s="2" t="s">
        <v>3800</v>
      </c>
      <c r="B1217" s="2" t="s">
        <v>502</v>
      </c>
      <c r="C1217" s="4">
        <v>45659</v>
      </c>
      <c r="D1217" s="4">
        <v>45704</v>
      </c>
      <c r="E1217" s="2" t="s">
        <v>4063</v>
      </c>
      <c r="F1217" s="2"/>
      <c r="G1217" s="2" t="s">
        <v>21</v>
      </c>
      <c r="H1217" s="2">
        <v>1741.62</v>
      </c>
      <c r="I1217" s="2">
        <v>87.08</v>
      </c>
      <c r="J1217" s="2">
        <v>1828.7</v>
      </c>
      <c r="K1217" s="2">
        <v>1828.7</v>
      </c>
      <c r="L1217" s="2" t="s">
        <v>22</v>
      </c>
      <c r="M1217" s="2" t="s">
        <v>3844</v>
      </c>
      <c r="N1217" s="2" t="s">
        <v>3843</v>
      </c>
    </row>
    <row r="1218" spans="1:14" ht="45" x14ac:dyDescent="0.25">
      <c r="A1218" s="2" t="s">
        <v>3798</v>
      </c>
      <c r="B1218" s="2" t="s">
        <v>502</v>
      </c>
      <c r="C1218" s="4">
        <v>45659</v>
      </c>
      <c r="D1218" s="4">
        <v>45704</v>
      </c>
      <c r="E1218" s="2" t="s">
        <v>4062</v>
      </c>
      <c r="F1218" s="2"/>
      <c r="G1218" s="2" t="s">
        <v>21</v>
      </c>
      <c r="H1218" s="2">
        <v>3077.78</v>
      </c>
      <c r="I1218" s="2">
        <v>153.88999999999999</v>
      </c>
      <c r="J1218" s="2">
        <v>3231.67</v>
      </c>
      <c r="K1218" s="2">
        <v>3231.67</v>
      </c>
      <c r="L1218" s="2" t="s">
        <v>22</v>
      </c>
      <c r="M1218" s="2" t="s">
        <v>3844</v>
      </c>
      <c r="N1218" s="2" t="s">
        <v>3843</v>
      </c>
    </row>
    <row r="1219" spans="1:14" ht="30" x14ac:dyDescent="0.25">
      <c r="A1219" s="2" t="s">
        <v>3802</v>
      </c>
      <c r="B1219" s="2" t="s">
        <v>47</v>
      </c>
      <c r="C1219" s="4">
        <v>45659</v>
      </c>
      <c r="D1219" s="4">
        <v>45689</v>
      </c>
      <c r="E1219" s="2" t="s">
        <v>4061</v>
      </c>
      <c r="F1219" s="2"/>
      <c r="G1219" s="2" t="s">
        <v>21</v>
      </c>
      <c r="H1219" s="2">
        <v>3524.12</v>
      </c>
      <c r="I1219" s="2">
        <v>458.13</v>
      </c>
      <c r="J1219" s="2">
        <v>3982.25</v>
      </c>
      <c r="K1219" s="2">
        <v>3982.25</v>
      </c>
      <c r="L1219" s="2" t="s">
        <v>22</v>
      </c>
      <c r="M1219" s="2" t="s">
        <v>3844</v>
      </c>
      <c r="N1219" s="2" t="s">
        <v>3843</v>
      </c>
    </row>
    <row r="1220" spans="1:14" x14ac:dyDescent="0.25">
      <c r="A1220" s="2" t="s">
        <v>4060</v>
      </c>
      <c r="B1220" s="2" t="s">
        <v>2242</v>
      </c>
      <c r="C1220" s="4">
        <v>45657</v>
      </c>
      <c r="D1220" s="4">
        <v>45687</v>
      </c>
      <c r="E1220" s="2" t="s">
        <v>4059</v>
      </c>
      <c r="F1220" s="2"/>
      <c r="G1220" s="2" t="s">
        <v>21</v>
      </c>
      <c r="H1220" s="2">
        <v>3554.76</v>
      </c>
      <c r="I1220" s="2"/>
      <c r="J1220" s="2">
        <v>3554.76</v>
      </c>
      <c r="K1220" s="2">
        <v>2472.66</v>
      </c>
      <c r="L1220" s="2" t="s">
        <v>51</v>
      </c>
      <c r="M1220" s="2" t="s">
        <v>3844</v>
      </c>
      <c r="N1220" s="2" t="s">
        <v>3843</v>
      </c>
    </row>
    <row r="1221" spans="1:14" x14ac:dyDescent="0.25">
      <c r="A1221" s="2" t="s">
        <v>4058</v>
      </c>
      <c r="B1221" s="2" t="s">
        <v>192</v>
      </c>
      <c r="C1221" s="4">
        <v>45657</v>
      </c>
      <c r="D1221" s="4">
        <v>45687</v>
      </c>
      <c r="E1221" s="2" t="s">
        <v>4057</v>
      </c>
      <c r="F1221" s="2"/>
      <c r="G1221" s="2" t="s">
        <v>21</v>
      </c>
      <c r="H1221" s="2">
        <v>8179.3</v>
      </c>
      <c r="I1221" s="2"/>
      <c r="J1221" s="2">
        <v>8179.3</v>
      </c>
      <c r="K1221" s="2">
        <v>5689.45</v>
      </c>
      <c r="L1221" s="2" t="s">
        <v>51</v>
      </c>
      <c r="M1221" s="2" t="s">
        <v>3844</v>
      </c>
      <c r="N1221" s="2" t="s">
        <v>3843</v>
      </c>
    </row>
    <row r="1222" spans="1:14" ht="30" x14ac:dyDescent="0.25">
      <c r="A1222" s="2" t="s">
        <v>4056</v>
      </c>
      <c r="B1222" s="2" t="s">
        <v>98</v>
      </c>
      <c r="C1222" s="4">
        <v>45653</v>
      </c>
      <c r="D1222" s="4">
        <v>45683</v>
      </c>
      <c r="E1222" s="2" t="s">
        <v>4055</v>
      </c>
      <c r="F1222" s="2"/>
      <c r="G1222" s="2" t="s">
        <v>21</v>
      </c>
      <c r="H1222" s="2">
        <v>249.78</v>
      </c>
      <c r="I1222" s="2">
        <v>32.47</v>
      </c>
      <c r="J1222" s="2">
        <v>282.25</v>
      </c>
      <c r="K1222" s="2">
        <v>282.25</v>
      </c>
      <c r="L1222" s="2" t="s">
        <v>22</v>
      </c>
      <c r="M1222" s="2" t="s">
        <v>3844</v>
      </c>
      <c r="N1222" s="2" t="s">
        <v>3843</v>
      </c>
    </row>
    <row r="1223" spans="1:14" ht="30" x14ac:dyDescent="0.25">
      <c r="A1223" s="2" t="s">
        <v>4054</v>
      </c>
      <c r="B1223" s="2" t="s">
        <v>98</v>
      </c>
      <c r="C1223" s="4">
        <v>45653</v>
      </c>
      <c r="D1223" s="4">
        <v>45683</v>
      </c>
      <c r="E1223" s="2" t="s">
        <v>4053</v>
      </c>
      <c r="F1223" s="2"/>
      <c r="G1223" s="2" t="s">
        <v>21</v>
      </c>
      <c r="H1223" s="2">
        <v>1836.93</v>
      </c>
      <c r="I1223" s="2">
        <v>238.8</v>
      </c>
      <c r="J1223" s="2">
        <v>2075.73</v>
      </c>
      <c r="K1223" s="2">
        <v>2075.73</v>
      </c>
      <c r="L1223" s="2" t="s">
        <v>22</v>
      </c>
      <c r="M1223" s="2" t="s">
        <v>3844</v>
      </c>
      <c r="N1223" s="2" t="s">
        <v>3843</v>
      </c>
    </row>
    <row r="1224" spans="1:14" ht="30" x14ac:dyDescent="0.25">
      <c r="A1224" s="2" t="s">
        <v>4052</v>
      </c>
      <c r="B1224" s="2" t="s">
        <v>98</v>
      </c>
      <c r="C1224" s="4">
        <v>45653</v>
      </c>
      <c r="D1224" s="4">
        <v>45683</v>
      </c>
      <c r="E1224" s="2" t="s">
        <v>4051</v>
      </c>
      <c r="F1224" s="2"/>
      <c r="G1224" s="2" t="s">
        <v>21</v>
      </c>
      <c r="H1224" s="2">
        <v>2380.71</v>
      </c>
      <c r="I1224" s="2">
        <v>309.49</v>
      </c>
      <c r="J1224" s="2">
        <v>2690.2</v>
      </c>
      <c r="K1224" s="2">
        <v>2690.2</v>
      </c>
      <c r="L1224" s="2" t="s">
        <v>22</v>
      </c>
      <c r="M1224" s="2" t="s">
        <v>3844</v>
      </c>
      <c r="N1224" s="2" t="s">
        <v>3843</v>
      </c>
    </row>
    <row r="1225" spans="1:14" ht="30" x14ac:dyDescent="0.25">
      <c r="A1225" s="2" t="s">
        <v>4050</v>
      </c>
      <c r="B1225" s="2" t="s">
        <v>98</v>
      </c>
      <c r="C1225" s="4">
        <v>45653</v>
      </c>
      <c r="D1225" s="4">
        <v>45683</v>
      </c>
      <c r="E1225" s="2" t="s">
        <v>4049</v>
      </c>
      <c r="F1225" s="2"/>
      <c r="G1225" s="2" t="s">
        <v>21</v>
      </c>
      <c r="H1225" s="2">
        <v>980.76</v>
      </c>
      <c r="I1225" s="2">
        <v>127.49</v>
      </c>
      <c r="J1225" s="2">
        <v>1108.25</v>
      </c>
      <c r="K1225" s="2">
        <v>1108.25</v>
      </c>
      <c r="L1225" s="2" t="s">
        <v>22</v>
      </c>
      <c r="M1225" s="2" t="s">
        <v>3844</v>
      </c>
      <c r="N1225" s="2" t="s">
        <v>3843</v>
      </c>
    </row>
    <row r="1226" spans="1:14" ht="30" x14ac:dyDescent="0.25">
      <c r="A1226" s="2" t="s">
        <v>4048</v>
      </c>
      <c r="B1226" s="2" t="s">
        <v>98</v>
      </c>
      <c r="C1226" s="4">
        <v>45653</v>
      </c>
      <c r="D1226" s="4">
        <v>45683</v>
      </c>
      <c r="E1226" s="2" t="s">
        <v>4047</v>
      </c>
      <c r="F1226" s="2"/>
      <c r="G1226" s="2" t="s">
        <v>21</v>
      </c>
      <c r="H1226" s="2">
        <v>2818.3</v>
      </c>
      <c r="I1226" s="2">
        <v>366.38</v>
      </c>
      <c r="J1226" s="2">
        <v>3184.68</v>
      </c>
      <c r="K1226" s="2">
        <v>3184.68</v>
      </c>
      <c r="L1226" s="2" t="s">
        <v>22</v>
      </c>
      <c r="M1226" s="2" t="s">
        <v>3844</v>
      </c>
      <c r="N1226" s="2" t="s">
        <v>3843</v>
      </c>
    </row>
    <row r="1227" spans="1:14" ht="30" x14ac:dyDescent="0.25">
      <c r="A1227" s="2" t="s">
        <v>4046</v>
      </c>
      <c r="B1227" s="2" t="s">
        <v>35</v>
      </c>
      <c r="C1227" s="4">
        <v>45653</v>
      </c>
      <c r="D1227" s="4">
        <v>45683</v>
      </c>
      <c r="E1227" s="2" t="s">
        <v>4045</v>
      </c>
      <c r="F1227" s="2"/>
      <c r="G1227" s="2" t="s">
        <v>21</v>
      </c>
      <c r="H1227" s="2">
        <v>1303.67</v>
      </c>
      <c r="I1227" s="2">
        <v>65.180000000000007</v>
      </c>
      <c r="J1227" s="2">
        <v>1368.85</v>
      </c>
      <c r="K1227" s="2">
        <v>1368.85</v>
      </c>
      <c r="L1227" s="2" t="s">
        <v>22</v>
      </c>
      <c r="M1227" s="2" t="s">
        <v>3844</v>
      </c>
      <c r="N1227" s="2" t="s">
        <v>3843</v>
      </c>
    </row>
    <row r="1228" spans="1:14" ht="30" x14ac:dyDescent="0.25">
      <c r="A1228" s="2" t="s">
        <v>4044</v>
      </c>
      <c r="B1228" s="2" t="s">
        <v>20</v>
      </c>
      <c r="C1228" s="4">
        <v>45653</v>
      </c>
      <c r="D1228" s="4">
        <v>45713</v>
      </c>
      <c r="E1228" s="2" t="s">
        <v>4043</v>
      </c>
      <c r="F1228" s="2"/>
      <c r="G1228" s="2" t="s">
        <v>21</v>
      </c>
      <c r="H1228" s="2">
        <v>221.15</v>
      </c>
      <c r="I1228" s="2">
        <v>11.06</v>
      </c>
      <c r="J1228" s="2">
        <v>232.21</v>
      </c>
      <c r="K1228" s="2">
        <v>232.21</v>
      </c>
      <c r="L1228" s="2" t="s">
        <v>22</v>
      </c>
      <c r="M1228" s="2" t="s">
        <v>3844</v>
      </c>
      <c r="N1228" s="2" t="s">
        <v>3843</v>
      </c>
    </row>
    <row r="1229" spans="1:14" x14ac:dyDescent="0.25">
      <c r="A1229" s="2" t="s">
        <v>4042</v>
      </c>
      <c r="B1229" s="2" t="s">
        <v>141</v>
      </c>
      <c r="C1229" s="4">
        <v>45653</v>
      </c>
      <c r="D1229" s="4">
        <v>45698</v>
      </c>
      <c r="E1229" s="2" t="s">
        <v>4041</v>
      </c>
      <c r="F1229" s="2"/>
      <c r="G1229" s="2" t="s">
        <v>21</v>
      </c>
      <c r="H1229" s="2">
        <v>2094.3000000000002</v>
      </c>
      <c r="I1229" s="2"/>
      <c r="J1229" s="2">
        <v>2094.3000000000002</v>
      </c>
      <c r="K1229" s="2">
        <v>1453.8</v>
      </c>
      <c r="L1229" s="2" t="s">
        <v>51</v>
      </c>
      <c r="M1229" s="2" t="s">
        <v>3844</v>
      </c>
      <c r="N1229" s="2" t="s">
        <v>3843</v>
      </c>
    </row>
    <row r="1230" spans="1:14" x14ac:dyDescent="0.25">
      <c r="A1230" s="2" t="s">
        <v>4040</v>
      </c>
      <c r="B1230" s="2" t="s">
        <v>141</v>
      </c>
      <c r="C1230" s="4">
        <v>45653</v>
      </c>
      <c r="D1230" s="4">
        <v>45698</v>
      </c>
      <c r="E1230" s="2" t="s">
        <v>4039</v>
      </c>
      <c r="F1230" s="2"/>
      <c r="G1230" s="2" t="s">
        <v>21</v>
      </c>
      <c r="H1230" s="2">
        <v>6480.8</v>
      </c>
      <c r="I1230" s="2"/>
      <c r="J1230" s="2">
        <v>6480.8</v>
      </c>
      <c r="K1230" s="2">
        <v>4498.78</v>
      </c>
      <c r="L1230" s="2" t="s">
        <v>51</v>
      </c>
      <c r="M1230" s="2" t="s">
        <v>3844</v>
      </c>
      <c r="N1230" s="2" t="s">
        <v>3843</v>
      </c>
    </row>
    <row r="1231" spans="1:14" x14ac:dyDescent="0.25">
      <c r="A1231" s="2" t="s">
        <v>4038</v>
      </c>
      <c r="B1231" s="2" t="s">
        <v>141</v>
      </c>
      <c r="C1231" s="4">
        <v>45653</v>
      </c>
      <c r="D1231" s="4">
        <v>45698</v>
      </c>
      <c r="E1231" s="2" t="s">
        <v>4037</v>
      </c>
      <c r="F1231" s="2"/>
      <c r="G1231" s="2" t="s">
        <v>21</v>
      </c>
      <c r="H1231" s="2">
        <v>3488.32</v>
      </c>
      <c r="I1231" s="2"/>
      <c r="J1231" s="2">
        <v>3488.32</v>
      </c>
      <c r="K1231" s="2">
        <v>2421.4899999999998</v>
      </c>
      <c r="L1231" s="2" t="s">
        <v>51</v>
      </c>
      <c r="M1231" s="2" t="s">
        <v>3844</v>
      </c>
      <c r="N1231" s="2" t="s">
        <v>3843</v>
      </c>
    </row>
    <row r="1232" spans="1:14" ht="30" x14ac:dyDescent="0.25">
      <c r="A1232" s="2" t="s">
        <v>4036</v>
      </c>
      <c r="B1232" s="2" t="s">
        <v>80</v>
      </c>
      <c r="C1232" s="4">
        <v>45650</v>
      </c>
      <c r="D1232" s="4">
        <v>45710</v>
      </c>
      <c r="E1232" s="2" t="s">
        <v>4035</v>
      </c>
      <c r="F1232" s="2"/>
      <c r="G1232" s="2" t="s">
        <v>21</v>
      </c>
      <c r="H1232" s="2">
        <v>206.34</v>
      </c>
      <c r="I1232" s="2">
        <v>10.32</v>
      </c>
      <c r="J1232" s="2">
        <v>216.66</v>
      </c>
      <c r="K1232" s="2">
        <v>216.66</v>
      </c>
      <c r="L1232" s="2" t="s">
        <v>22</v>
      </c>
      <c r="M1232" s="2" t="s">
        <v>3844</v>
      </c>
      <c r="N1232" s="2" t="s">
        <v>3843</v>
      </c>
    </row>
    <row r="1233" spans="1:14" x14ac:dyDescent="0.25">
      <c r="A1233" s="2" t="s">
        <v>4034</v>
      </c>
      <c r="B1233" s="2" t="s">
        <v>4033</v>
      </c>
      <c r="C1233" s="4">
        <v>45649</v>
      </c>
      <c r="D1233" s="4">
        <v>45679</v>
      </c>
      <c r="E1233" s="2" t="s">
        <v>4032</v>
      </c>
      <c r="F1233" s="2"/>
      <c r="G1233" s="2" t="s">
        <v>21</v>
      </c>
      <c r="H1233" s="2"/>
      <c r="I1233" s="2"/>
      <c r="J1233" s="2"/>
      <c r="K1233" s="2"/>
      <c r="L1233" s="2" t="s">
        <v>22</v>
      </c>
      <c r="M1233" s="2" t="s">
        <v>4031</v>
      </c>
      <c r="N1233" s="2" t="s">
        <v>3843</v>
      </c>
    </row>
    <row r="1234" spans="1:14" ht="30" x14ac:dyDescent="0.25">
      <c r="A1234" s="2" t="s">
        <v>4030</v>
      </c>
      <c r="B1234" s="2" t="s">
        <v>47</v>
      </c>
      <c r="C1234" s="4">
        <v>45649</v>
      </c>
      <c r="D1234" s="4">
        <v>45679</v>
      </c>
      <c r="E1234" s="2" t="s">
        <v>4029</v>
      </c>
      <c r="F1234" s="2"/>
      <c r="G1234" s="2" t="s">
        <v>21</v>
      </c>
      <c r="H1234" s="2">
        <v>2025.42</v>
      </c>
      <c r="I1234" s="2">
        <v>263.3</v>
      </c>
      <c r="J1234" s="2">
        <v>2288.7199999999998</v>
      </c>
      <c r="K1234" s="2">
        <v>2288.7199999999998</v>
      </c>
      <c r="L1234" s="2" t="s">
        <v>22</v>
      </c>
      <c r="M1234" s="2" t="s">
        <v>3844</v>
      </c>
      <c r="N1234" s="2" t="s">
        <v>3843</v>
      </c>
    </row>
    <row r="1235" spans="1:14" ht="45" x14ac:dyDescent="0.25">
      <c r="A1235" s="2" t="s">
        <v>4028</v>
      </c>
      <c r="B1235" s="2" t="s">
        <v>502</v>
      </c>
      <c r="C1235" s="4">
        <v>45649</v>
      </c>
      <c r="D1235" s="4">
        <v>45694</v>
      </c>
      <c r="E1235" s="2" t="s">
        <v>4027</v>
      </c>
      <c r="F1235" s="2"/>
      <c r="G1235" s="2" t="s">
        <v>21</v>
      </c>
      <c r="H1235" s="2">
        <v>631.08000000000004</v>
      </c>
      <c r="I1235" s="2">
        <v>31.55</v>
      </c>
      <c r="J1235" s="2">
        <v>662.63</v>
      </c>
      <c r="K1235" s="2">
        <v>662.63</v>
      </c>
      <c r="L1235" s="2" t="s">
        <v>22</v>
      </c>
      <c r="M1235" s="2" t="s">
        <v>3844</v>
      </c>
      <c r="N1235" s="2" t="s">
        <v>3843</v>
      </c>
    </row>
    <row r="1236" spans="1:14" ht="30" x14ac:dyDescent="0.25">
      <c r="A1236" s="2" t="s">
        <v>4026</v>
      </c>
      <c r="B1236" s="2" t="s">
        <v>518</v>
      </c>
      <c r="C1236" s="4">
        <v>45649</v>
      </c>
      <c r="D1236" s="4">
        <v>45679</v>
      </c>
      <c r="E1236" s="2" t="s">
        <v>3988</v>
      </c>
      <c r="F1236" s="2"/>
      <c r="G1236" s="2" t="s">
        <v>21</v>
      </c>
      <c r="H1236" s="2">
        <v>297.3</v>
      </c>
      <c r="I1236" s="2">
        <v>14.87</v>
      </c>
      <c r="J1236" s="2">
        <v>312.17</v>
      </c>
      <c r="K1236" s="2">
        <v>312.17</v>
      </c>
      <c r="L1236" s="2" t="s">
        <v>22</v>
      </c>
      <c r="M1236" s="2" t="s">
        <v>3844</v>
      </c>
      <c r="N1236" s="2" t="s">
        <v>3843</v>
      </c>
    </row>
    <row r="1237" spans="1:14" ht="30" x14ac:dyDescent="0.25">
      <c r="A1237" s="2" t="s">
        <v>4025</v>
      </c>
      <c r="B1237" s="2" t="s">
        <v>159</v>
      </c>
      <c r="C1237" s="4">
        <v>45649</v>
      </c>
      <c r="D1237" s="4">
        <v>45694</v>
      </c>
      <c r="E1237" s="2" t="s">
        <v>4024</v>
      </c>
      <c r="F1237" s="2"/>
      <c r="G1237" s="2" t="s">
        <v>426</v>
      </c>
      <c r="H1237" s="2">
        <v>11045.63</v>
      </c>
      <c r="I1237" s="2"/>
      <c r="J1237" s="2">
        <v>11045.63</v>
      </c>
      <c r="K1237" s="2">
        <v>7734</v>
      </c>
      <c r="L1237" s="2" t="s">
        <v>51</v>
      </c>
      <c r="M1237" s="2" t="s">
        <v>3844</v>
      </c>
      <c r="N1237" s="2" t="s">
        <v>3843</v>
      </c>
    </row>
    <row r="1238" spans="1:14" x14ac:dyDescent="0.25">
      <c r="A1238" s="2" t="s">
        <v>4023</v>
      </c>
      <c r="B1238" s="2" t="s">
        <v>54</v>
      </c>
      <c r="C1238" s="4">
        <v>45646</v>
      </c>
      <c r="D1238" s="4">
        <v>45676</v>
      </c>
      <c r="E1238" s="2" t="s">
        <v>4022</v>
      </c>
      <c r="F1238" s="2"/>
      <c r="G1238" s="2" t="s">
        <v>21</v>
      </c>
      <c r="H1238" s="2">
        <v>2497.46</v>
      </c>
      <c r="I1238" s="2">
        <v>124.87</v>
      </c>
      <c r="J1238" s="2">
        <v>2622.33</v>
      </c>
      <c r="K1238" s="2">
        <v>2622.33</v>
      </c>
      <c r="L1238" s="2" t="s">
        <v>22</v>
      </c>
      <c r="M1238" s="2" t="s">
        <v>3844</v>
      </c>
      <c r="N1238" s="2" t="s">
        <v>3843</v>
      </c>
    </row>
    <row r="1239" spans="1:14" ht="45" x14ac:dyDescent="0.25">
      <c r="A1239" s="2" t="s">
        <v>4021</v>
      </c>
      <c r="B1239" s="2" t="s">
        <v>3986</v>
      </c>
      <c r="C1239" s="4">
        <v>45646</v>
      </c>
      <c r="D1239" s="4">
        <v>45676</v>
      </c>
      <c r="E1239" s="2" t="s">
        <v>4010</v>
      </c>
      <c r="F1239" s="2"/>
      <c r="G1239" s="2" t="s">
        <v>21</v>
      </c>
      <c r="H1239" s="2">
        <v>547.28</v>
      </c>
      <c r="I1239" s="2">
        <v>71.150000000000006</v>
      </c>
      <c r="J1239" s="2">
        <v>618.42999999999995</v>
      </c>
      <c r="K1239" s="2">
        <v>618.42999999999995</v>
      </c>
      <c r="L1239" s="2" t="s">
        <v>22</v>
      </c>
      <c r="M1239" s="2" t="s">
        <v>3844</v>
      </c>
      <c r="N1239" s="2" t="s">
        <v>3843</v>
      </c>
    </row>
    <row r="1240" spans="1:14" ht="30" x14ac:dyDescent="0.25">
      <c r="A1240" s="2" t="s">
        <v>4020</v>
      </c>
      <c r="B1240" s="2" t="s">
        <v>4019</v>
      </c>
      <c r="C1240" s="4">
        <v>45646</v>
      </c>
      <c r="D1240" s="4">
        <v>45676</v>
      </c>
      <c r="E1240" s="2" t="s">
        <v>4018</v>
      </c>
      <c r="F1240" s="2"/>
      <c r="G1240" s="2" t="s">
        <v>21</v>
      </c>
      <c r="H1240" s="2">
        <v>4772.2</v>
      </c>
      <c r="I1240" s="2">
        <v>238.61</v>
      </c>
      <c r="J1240" s="2">
        <v>5010.8100000000004</v>
      </c>
      <c r="K1240" s="2">
        <v>5010.8100000000004</v>
      </c>
      <c r="L1240" s="2" t="s">
        <v>22</v>
      </c>
      <c r="M1240" s="2" t="s">
        <v>3844</v>
      </c>
      <c r="N1240" s="2" t="s">
        <v>3843</v>
      </c>
    </row>
    <row r="1241" spans="1:14" ht="30" x14ac:dyDescent="0.25">
      <c r="A1241" s="2" t="s">
        <v>4017</v>
      </c>
      <c r="B1241" s="2" t="s">
        <v>159</v>
      </c>
      <c r="C1241" s="4">
        <v>45646</v>
      </c>
      <c r="D1241" s="4">
        <v>45691</v>
      </c>
      <c r="E1241" s="2" t="s">
        <v>4016</v>
      </c>
      <c r="F1241" s="2"/>
      <c r="G1241" s="2" t="s">
        <v>426</v>
      </c>
      <c r="H1241" s="2">
        <v>19521.09</v>
      </c>
      <c r="I1241" s="2"/>
      <c r="J1241" s="2">
        <v>19521.09</v>
      </c>
      <c r="K1241" s="2">
        <v>13588</v>
      </c>
      <c r="L1241" s="2" t="s">
        <v>51</v>
      </c>
      <c r="M1241" s="2" t="s">
        <v>3844</v>
      </c>
      <c r="N1241" s="2" t="s">
        <v>3843</v>
      </c>
    </row>
    <row r="1242" spans="1:14" ht="30" x14ac:dyDescent="0.25">
      <c r="A1242" s="2" t="s">
        <v>4015</v>
      </c>
      <c r="B1242" s="2" t="s">
        <v>159</v>
      </c>
      <c r="C1242" s="4">
        <v>45646</v>
      </c>
      <c r="D1242" s="4">
        <v>45691</v>
      </c>
      <c r="E1242" s="2" t="s">
        <v>4014</v>
      </c>
      <c r="F1242" s="2"/>
      <c r="G1242" s="2" t="s">
        <v>426</v>
      </c>
      <c r="H1242" s="2">
        <v>611821.16</v>
      </c>
      <c r="I1242" s="2"/>
      <c r="J1242" s="2">
        <v>611821.16</v>
      </c>
      <c r="K1242" s="2">
        <v>425868.79999999999</v>
      </c>
      <c r="L1242" s="2" t="s">
        <v>51</v>
      </c>
      <c r="M1242" s="2" t="s">
        <v>3844</v>
      </c>
      <c r="N1242" s="2" t="s">
        <v>3843</v>
      </c>
    </row>
    <row r="1243" spans="1:14" x14ac:dyDescent="0.25">
      <c r="A1243" s="2" t="s">
        <v>4013</v>
      </c>
      <c r="B1243" s="2" t="s">
        <v>54</v>
      </c>
      <c r="C1243" s="4">
        <v>45645</v>
      </c>
      <c r="D1243" s="4">
        <v>45675</v>
      </c>
      <c r="E1243" s="2" t="s">
        <v>4012</v>
      </c>
      <c r="F1243" s="2"/>
      <c r="G1243" s="2" t="s">
        <v>21</v>
      </c>
      <c r="H1243" s="2">
        <v>2048.7800000000002</v>
      </c>
      <c r="I1243" s="2">
        <v>102.44</v>
      </c>
      <c r="J1243" s="2">
        <v>2151.2199999999998</v>
      </c>
      <c r="K1243" s="2">
        <v>2151.2199999999998</v>
      </c>
      <c r="L1243" s="2" t="s">
        <v>22</v>
      </c>
      <c r="M1243" s="2" t="s">
        <v>3844</v>
      </c>
      <c r="N1243" s="2" t="s">
        <v>3843</v>
      </c>
    </row>
    <row r="1244" spans="1:14" ht="45" x14ac:dyDescent="0.25">
      <c r="A1244" s="2" t="s">
        <v>4011</v>
      </c>
      <c r="B1244" s="2" t="s">
        <v>3986</v>
      </c>
      <c r="C1244" s="4">
        <v>45645</v>
      </c>
      <c r="D1244" s="4">
        <v>45675</v>
      </c>
      <c r="E1244" s="2" t="s">
        <v>4010</v>
      </c>
      <c r="F1244" s="2"/>
      <c r="G1244" s="2" t="s">
        <v>21</v>
      </c>
      <c r="H1244" s="2">
        <v>820.92</v>
      </c>
      <c r="I1244" s="2">
        <v>106.72</v>
      </c>
      <c r="J1244" s="2">
        <v>927.64</v>
      </c>
      <c r="K1244" s="2">
        <v>927.64</v>
      </c>
      <c r="L1244" s="2" t="s">
        <v>22</v>
      </c>
      <c r="M1244" s="2" t="s">
        <v>3844</v>
      </c>
      <c r="N1244" s="2" t="s">
        <v>3843</v>
      </c>
    </row>
    <row r="1245" spans="1:14" x14ac:dyDescent="0.25">
      <c r="A1245" s="2" t="s">
        <v>4009</v>
      </c>
      <c r="B1245" s="2" t="s">
        <v>3908</v>
      </c>
      <c r="C1245" s="4">
        <v>45645</v>
      </c>
      <c r="D1245" s="4">
        <v>45675</v>
      </c>
      <c r="E1245" s="2" t="s">
        <v>4008</v>
      </c>
      <c r="F1245" s="2"/>
      <c r="G1245" s="2" t="s">
        <v>21</v>
      </c>
      <c r="H1245" s="2">
        <v>105.16</v>
      </c>
      <c r="I1245" s="2">
        <v>5.26</v>
      </c>
      <c r="J1245" s="2">
        <v>110.42</v>
      </c>
      <c r="K1245" s="2">
        <v>110.42</v>
      </c>
      <c r="L1245" s="2" t="s">
        <v>22</v>
      </c>
      <c r="M1245" s="2" t="s">
        <v>3844</v>
      </c>
      <c r="N1245" s="2" t="s">
        <v>3843</v>
      </c>
    </row>
    <row r="1246" spans="1:14" x14ac:dyDescent="0.25">
      <c r="A1246" s="2" t="s">
        <v>4007</v>
      </c>
      <c r="B1246" s="2" t="s">
        <v>70</v>
      </c>
      <c r="C1246" s="4">
        <v>45645</v>
      </c>
      <c r="D1246" s="4">
        <v>45705</v>
      </c>
      <c r="E1246" s="2" t="s">
        <v>4006</v>
      </c>
      <c r="F1246" s="2"/>
      <c r="G1246" s="2" t="s">
        <v>71</v>
      </c>
      <c r="H1246" s="2">
        <v>4613</v>
      </c>
      <c r="I1246" s="2"/>
      <c r="J1246" s="2">
        <v>4613</v>
      </c>
      <c r="K1246" s="2">
        <v>4613</v>
      </c>
      <c r="L1246" s="2" t="s">
        <v>22</v>
      </c>
      <c r="M1246" s="2" t="s">
        <v>3844</v>
      </c>
      <c r="N1246" s="2" t="s">
        <v>3843</v>
      </c>
    </row>
    <row r="1247" spans="1:14" x14ac:dyDescent="0.25">
      <c r="A1247" s="2" t="s">
        <v>4005</v>
      </c>
      <c r="B1247" s="2" t="s">
        <v>70</v>
      </c>
      <c r="C1247" s="4">
        <v>45645</v>
      </c>
      <c r="D1247" s="4">
        <v>45705</v>
      </c>
      <c r="E1247" s="2" t="s">
        <v>4004</v>
      </c>
      <c r="F1247" s="2"/>
      <c r="G1247" s="2" t="s">
        <v>71</v>
      </c>
      <c r="H1247" s="2">
        <v>3705</v>
      </c>
      <c r="I1247" s="2"/>
      <c r="J1247" s="2">
        <v>3705</v>
      </c>
      <c r="K1247" s="2">
        <v>3705</v>
      </c>
      <c r="L1247" s="2" t="s">
        <v>22</v>
      </c>
      <c r="M1247" s="2" t="s">
        <v>3844</v>
      </c>
      <c r="N1247" s="2" t="s">
        <v>3843</v>
      </c>
    </row>
    <row r="1248" spans="1:14" x14ac:dyDescent="0.25">
      <c r="A1248" s="2" t="s">
        <v>4003</v>
      </c>
      <c r="B1248" s="2" t="s">
        <v>714</v>
      </c>
      <c r="C1248" s="4">
        <v>45645</v>
      </c>
      <c r="D1248" s="4">
        <v>45675</v>
      </c>
      <c r="E1248" s="2" t="s">
        <v>3994</v>
      </c>
      <c r="F1248" s="2"/>
      <c r="G1248" s="2" t="s">
        <v>21</v>
      </c>
      <c r="H1248" s="2">
        <v>1167.6500000000001</v>
      </c>
      <c r="I1248" s="2"/>
      <c r="J1248" s="2">
        <v>1167.6500000000001</v>
      </c>
      <c r="K1248" s="2">
        <v>814.45</v>
      </c>
      <c r="L1248" s="2" t="s">
        <v>51</v>
      </c>
      <c r="M1248" s="2" t="s">
        <v>3844</v>
      </c>
      <c r="N1248" s="2" t="s">
        <v>3843</v>
      </c>
    </row>
    <row r="1249" spans="1:14" ht="30" x14ac:dyDescent="0.25">
      <c r="A1249" s="2" t="s">
        <v>4002</v>
      </c>
      <c r="B1249" s="2" t="s">
        <v>159</v>
      </c>
      <c r="C1249" s="4">
        <v>45645</v>
      </c>
      <c r="D1249" s="4">
        <v>45675</v>
      </c>
      <c r="E1249" s="2" t="s">
        <v>4001</v>
      </c>
      <c r="F1249" s="2"/>
      <c r="G1249" s="2" t="s">
        <v>426</v>
      </c>
      <c r="H1249" s="2">
        <v>28004.639999999999</v>
      </c>
      <c r="I1249" s="2"/>
      <c r="J1249" s="2">
        <v>28004.639999999999</v>
      </c>
      <c r="K1249" s="2">
        <v>19533.62</v>
      </c>
      <c r="L1249" s="2" t="s">
        <v>51</v>
      </c>
      <c r="M1249" s="2" t="s">
        <v>3844</v>
      </c>
      <c r="N1249" s="2" t="s">
        <v>3843</v>
      </c>
    </row>
    <row r="1250" spans="1:14" ht="30" x14ac:dyDescent="0.25">
      <c r="A1250" s="2" t="s">
        <v>4000</v>
      </c>
      <c r="B1250" s="2" t="s">
        <v>159</v>
      </c>
      <c r="C1250" s="4">
        <v>45645</v>
      </c>
      <c r="D1250" s="4">
        <v>45675</v>
      </c>
      <c r="E1250" s="2" t="s">
        <v>3999</v>
      </c>
      <c r="F1250" s="2"/>
      <c r="G1250" s="2" t="s">
        <v>426</v>
      </c>
      <c r="H1250" s="2">
        <v>1388.39</v>
      </c>
      <c r="I1250" s="2"/>
      <c r="J1250" s="2">
        <v>1388.39</v>
      </c>
      <c r="K1250" s="2">
        <v>968.42</v>
      </c>
      <c r="L1250" s="2" t="s">
        <v>51</v>
      </c>
      <c r="M1250" s="2" t="s">
        <v>3844</v>
      </c>
      <c r="N1250" s="2" t="s">
        <v>3843</v>
      </c>
    </row>
    <row r="1251" spans="1:14" ht="30" x14ac:dyDescent="0.25">
      <c r="A1251" s="2" t="s">
        <v>3998</v>
      </c>
      <c r="B1251" s="2" t="s">
        <v>159</v>
      </c>
      <c r="C1251" s="4">
        <v>45645</v>
      </c>
      <c r="D1251" s="4">
        <v>45675</v>
      </c>
      <c r="E1251" s="2" t="s">
        <v>3979</v>
      </c>
      <c r="F1251" s="2"/>
      <c r="G1251" s="2" t="s">
        <v>426</v>
      </c>
      <c r="H1251" s="2">
        <v>21884.87</v>
      </c>
      <c r="I1251" s="2"/>
      <c r="J1251" s="2">
        <v>21884.87</v>
      </c>
      <c r="K1251" s="2">
        <v>15265</v>
      </c>
      <c r="L1251" s="2" t="s">
        <v>51</v>
      </c>
      <c r="M1251" s="2" t="s">
        <v>3844</v>
      </c>
      <c r="N1251" s="2" t="s">
        <v>3843</v>
      </c>
    </row>
    <row r="1252" spans="1:14" x14ac:dyDescent="0.25">
      <c r="A1252" s="2" t="s">
        <v>3997</v>
      </c>
      <c r="B1252" s="2" t="s">
        <v>714</v>
      </c>
      <c r="C1252" s="4">
        <v>45644</v>
      </c>
      <c r="D1252" s="4">
        <v>45674</v>
      </c>
      <c r="E1252" s="2" t="s">
        <v>3996</v>
      </c>
      <c r="F1252" s="2"/>
      <c r="G1252" s="2" t="s">
        <v>21</v>
      </c>
      <c r="H1252" s="2">
        <v>90814.07</v>
      </c>
      <c r="I1252" s="2"/>
      <c r="J1252" s="2">
        <v>90814.07</v>
      </c>
      <c r="K1252" s="2">
        <v>63441.22</v>
      </c>
      <c r="L1252" s="2" t="s">
        <v>51</v>
      </c>
      <c r="M1252" s="2" t="s">
        <v>3844</v>
      </c>
      <c r="N1252" s="2" t="s">
        <v>3843</v>
      </c>
    </row>
    <row r="1253" spans="1:14" x14ac:dyDescent="0.25">
      <c r="A1253" s="2" t="s">
        <v>3995</v>
      </c>
      <c r="B1253" s="2" t="s">
        <v>714</v>
      </c>
      <c r="C1253" s="4">
        <v>45644</v>
      </c>
      <c r="D1253" s="4">
        <v>45674</v>
      </c>
      <c r="E1253" s="2" t="s">
        <v>3994</v>
      </c>
      <c r="F1253" s="2"/>
      <c r="G1253" s="2" t="s">
        <v>21</v>
      </c>
      <c r="H1253" s="2">
        <v>24118.12</v>
      </c>
      <c r="I1253" s="2"/>
      <c r="J1253" s="2">
        <v>24118.12</v>
      </c>
      <c r="K1253" s="2">
        <v>16848.52</v>
      </c>
      <c r="L1253" s="2" t="s">
        <v>51</v>
      </c>
      <c r="M1253" s="2" t="s">
        <v>3844</v>
      </c>
      <c r="N1253" s="2" t="s">
        <v>3843</v>
      </c>
    </row>
    <row r="1254" spans="1:14" ht="30" x14ac:dyDescent="0.25">
      <c r="A1254" s="2" t="s">
        <v>3993</v>
      </c>
      <c r="B1254" s="2" t="s">
        <v>20</v>
      </c>
      <c r="C1254" s="4">
        <v>45644</v>
      </c>
      <c r="D1254" s="4">
        <v>45704</v>
      </c>
      <c r="E1254" s="2" t="s">
        <v>3992</v>
      </c>
      <c r="F1254" s="2"/>
      <c r="G1254" s="2" t="s">
        <v>21</v>
      </c>
      <c r="H1254" s="2">
        <v>17495.82</v>
      </c>
      <c r="I1254" s="2">
        <v>874.79</v>
      </c>
      <c r="J1254" s="2">
        <v>18370.61</v>
      </c>
      <c r="K1254" s="2">
        <v>18370.61</v>
      </c>
      <c r="L1254" s="2" t="s">
        <v>22</v>
      </c>
      <c r="M1254" s="2" t="s">
        <v>3844</v>
      </c>
      <c r="N1254" s="2" t="s">
        <v>3843</v>
      </c>
    </row>
    <row r="1255" spans="1:14" x14ac:dyDescent="0.25">
      <c r="A1255" s="2" t="s">
        <v>3991</v>
      </c>
      <c r="B1255" s="2" t="s">
        <v>77</v>
      </c>
      <c r="C1255" s="4">
        <v>45644</v>
      </c>
      <c r="D1255" s="4">
        <v>45674</v>
      </c>
      <c r="E1255" s="2" t="s">
        <v>3990</v>
      </c>
      <c r="F1255" s="2"/>
      <c r="G1255" s="2" t="s">
        <v>21</v>
      </c>
      <c r="H1255" s="2">
        <v>248.73</v>
      </c>
      <c r="I1255" s="2">
        <v>32.33</v>
      </c>
      <c r="J1255" s="2">
        <v>281.06</v>
      </c>
      <c r="K1255" s="2">
        <v>281.06</v>
      </c>
      <c r="L1255" s="2" t="s">
        <v>22</v>
      </c>
      <c r="M1255" s="2" t="s">
        <v>3844</v>
      </c>
      <c r="N1255" s="2" t="s">
        <v>3843</v>
      </c>
    </row>
    <row r="1256" spans="1:14" ht="30" x14ac:dyDescent="0.25">
      <c r="A1256" s="2" t="s">
        <v>3989</v>
      </c>
      <c r="B1256" s="2" t="s">
        <v>518</v>
      </c>
      <c r="C1256" s="4">
        <v>45644</v>
      </c>
      <c r="D1256" s="4">
        <v>45674</v>
      </c>
      <c r="E1256" s="2" t="s">
        <v>3988</v>
      </c>
      <c r="F1256" s="2"/>
      <c r="G1256" s="2" t="s">
        <v>21</v>
      </c>
      <c r="H1256" s="2">
        <v>846.55</v>
      </c>
      <c r="I1256" s="2">
        <v>42.32</v>
      </c>
      <c r="J1256" s="2">
        <v>888.87</v>
      </c>
      <c r="K1256" s="2">
        <v>888.87</v>
      </c>
      <c r="L1256" s="2" t="s">
        <v>22</v>
      </c>
      <c r="M1256" s="2" t="s">
        <v>3844</v>
      </c>
      <c r="N1256" s="2" t="s">
        <v>3843</v>
      </c>
    </row>
    <row r="1257" spans="1:14" ht="45" x14ac:dyDescent="0.25">
      <c r="A1257" s="2" t="s">
        <v>3987</v>
      </c>
      <c r="B1257" s="2" t="s">
        <v>3986</v>
      </c>
      <c r="C1257" s="4">
        <v>45644</v>
      </c>
      <c r="D1257" s="4">
        <v>45674</v>
      </c>
      <c r="E1257" s="2" t="s">
        <v>3985</v>
      </c>
      <c r="F1257" s="2"/>
      <c r="G1257" s="2" t="s">
        <v>21</v>
      </c>
      <c r="H1257" s="2">
        <v>6479.76</v>
      </c>
      <c r="I1257" s="2">
        <v>842.37</v>
      </c>
      <c r="J1257" s="2">
        <v>7322.13</v>
      </c>
      <c r="K1257" s="2">
        <v>7322.13</v>
      </c>
      <c r="L1257" s="2" t="s">
        <v>22</v>
      </c>
      <c r="M1257" s="2" t="s">
        <v>3844</v>
      </c>
      <c r="N1257" s="2" t="s">
        <v>3843</v>
      </c>
    </row>
    <row r="1258" spans="1:14" ht="30" x14ac:dyDescent="0.25">
      <c r="A1258" s="2" t="s">
        <v>3984</v>
      </c>
      <c r="B1258" s="2" t="s">
        <v>39</v>
      </c>
      <c r="C1258" s="4">
        <v>45644</v>
      </c>
      <c r="D1258" s="4">
        <v>45674</v>
      </c>
      <c r="E1258" s="2" t="s">
        <v>3983</v>
      </c>
      <c r="F1258" s="2"/>
      <c r="G1258" s="2" t="s">
        <v>21</v>
      </c>
      <c r="H1258" s="2">
        <v>164.91</v>
      </c>
      <c r="I1258" s="2">
        <v>8.25</v>
      </c>
      <c r="J1258" s="2">
        <v>173.16</v>
      </c>
      <c r="K1258" s="2">
        <v>173.16</v>
      </c>
      <c r="L1258" s="2" t="s">
        <v>22</v>
      </c>
      <c r="M1258" s="2" t="s">
        <v>3844</v>
      </c>
      <c r="N1258" s="2" t="s">
        <v>3843</v>
      </c>
    </row>
    <row r="1259" spans="1:14" ht="30" x14ac:dyDescent="0.25">
      <c r="A1259" s="2" t="s">
        <v>3982</v>
      </c>
      <c r="B1259" s="2" t="s">
        <v>290</v>
      </c>
      <c r="C1259" s="4">
        <v>45644</v>
      </c>
      <c r="D1259" s="4">
        <v>45704</v>
      </c>
      <c r="E1259" s="2" t="s">
        <v>3981</v>
      </c>
      <c r="F1259" s="2"/>
      <c r="G1259" s="2" t="s">
        <v>21</v>
      </c>
      <c r="H1259" s="2">
        <v>892.73</v>
      </c>
      <c r="I1259" s="2">
        <v>44.64</v>
      </c>
      <c r="J1259" s="2">
        <v>937.37</v>
      </c>
      <c r="K1259" s="2">
        <v>937.37</v>
      </c>
      <c r="L1259" s="2" t="s">
        <v>22</v>
      </c>
      <c r="M1259" s="2" t="s">
        <v>3844</v>
      </c>
      <c r="N1259" s="2" t="s">
        <v>3843</v>
      </c>
    </row>
    <row r="1260" spans="1:14" ht="30" x14ac:dyDescent="0.25">
      <c r="A1260" s="2" t="s">
        <v>3697</v>
      </c>
      <c r="B1260" s="2" t="s">
        <v>159</v>
      </c>
      <c r="C1260" s="4">
        <v>45643</v>
      </c>
      <c r="D1260" s="4">
        <v>45673</v>
      </c>
      <c r="E1260" s="2" t="s">
        <v>3980</v>
      </c>
      <c r="F1260" s="2"/>
      <c r="G1260" s="2" t="s">
        <v>426</v>
      </c>
      <c r="H1260" s="2">
        <v>412113.72</v>
      </c>
      <c r="I1260" s="2"/>
      <c r="J1260" s="2">
        <v>412113.72</v>
      </c>
      <c r="K1260" s="2">
        <v>289575.5</v>
      </c>
      <c r="L1260" s="2" t="s">
        <v>51</v>
      </c>
      <c r="M1260" s="2" t="s">
        <v>3844</v>
      </c>
      <c r="N1260" s="2" t="s">
        <v>3978</v>
      </c>
    </row>
    <row r="1261" spans="1:14" ht="30" x14ac:dyDescent="0.25">
      <c r="A1261" s="2" t="s">
        <v>3695</v>
      </c>
      <c r="B1261" s="2" t="s">
        <v>159</v>
      </c>
      <c r="C1261" s="4">
        <v>45643</v>
      </c>
      <c r="D1261" s="4">
        <v>45673</v>
      </c>
      <c r="E1261" s="2" t="s">
        <v>3979</v>
      </c>
      <c r="F1261" s="2"/>
      <c r="G1261" s="2" t="s">
        <v>426</v>
      </c>
      <c r="H1261" s="2">
        <v>168001.01</v>
      </c>
      <c r="I1261" s="2"/>
      <c r="J1261" s="2">
        <v>168001.01</v>
      </c>
      <c r="K1261" s="2">
        <v>118047.46</v>
      </c>
      <c r="L1261" s="2" t="s">
        <v>51</v>
      </c>
      <c r="M1261" s="2" t="s">
        <v>3844</v>
      </c>
      <c r="N1261" s="2" t="s">
        <v>3978</v>
      </c>
    </row>
    <row r="1262" spans="1:14" x14ac:dyDescent="0.25">
      <c r="A1262" s="2" t="s">
        <v>3977</v>
      </c>
      <c r="B1262" s="2" t="s">
        <v>64</v>
      </c>
      <c r="C1262" s="4">
        <v>45642</v>
      </c>
      <c r="D1262" s="4">
        <v>45672</v>
      </c>
      <c r="E1262" s="2" t="s">
        <v>3976</v>
      </c>
      <c r="F1262" s="2"/>
      <c r="G1262" s="2" t="s">
        <v>21</v>
      </c>
      <c r="H1262" s="2">
        <v>203.96</v>
      </c>
      <c r="I1262" s="2">
        <v>26.51</v>
      </c>
      <c r="J1262" s="2">
        <v>230.47</v>
      </c>
      <c r="K1262" s="2">
        <v>230.47</v>
      </c>
      <c r="L1262" s="2" t="s">
        <v>22</v>
      </c>
      <c r="M1262" s="2" t="s">
        <v>3844</v>
      </c>
      <c r="N1262" s="2" t="s">
        <v>3843</v>
      </c>
    </row>
    <row r="1263" spans="1:14" ht="60" x14ac:dyDescent="0.25">
      <c r="A1263" s="2" t="s">
        <v>3975</v>
      </c>
      <c r="B1263" s="2" t="s">
        <v>3974</v>
      </c>
      <c r="C1263" s="4">
        <v>45642</v>
      </c>
      <c r="D1263" s="4">
        <v>45672</v>
      </c>
      <c r="E1263" s="2" t="s">
        <v>3973</v>
      </c>
      <c r="F1263" s="2"/>
      <c r="G1263" s="2" t="s">
        <v>21</v>
      </c>
      <c r="H1263" s="2">
        <v>2093.7800000000002</v>
      </c>
      <c r="I1263" s="2">
        <v>272.19</v>
      </c>
      <c r="J1263" s="2">
        <v>2365.9699999999998</v>
      </c>
      <c r="K1263" s="2">
        <v>2365.9699999999998</v>
      </c>
      <c r="L1263" s="2" t="s">
        <v>22</v>
      </c>
      <c r="M1263" s="2" t="s">
        <v>3844</v>
      </c>
      <c r="N1263" s="2" t="s">
        <v>3843</v>
      </c>
    </row>
    <row r="1264" spans="1:14" x14ac:dyDescent="0.25">
      <c r="A1264" s="2" t="s">
        <v>3972</v>
      </c>
      <c r="B1264" s="2" t="s">
        <v>64</v>
      </c>
      <c r="C1264" s="4">
        <v>45642</v>
      </c>
      <c r="D1264" s="4">
        <v>45672</v>
      </c>
      <c r="E1264" s="2" t="s">
        <v>3971</v>
      </c>
      <c r="F1264" s="2"/>
      <c r="G1264" s="2" t="s">
        <v>21</v>
      </c>
      <c r="H1264" s="2">
        <v>1648.88</v>
      </c>
      <c r="I1264" s="2">
        <v>214.35</v>
      </c>
      <c r="J1264" s="2">
        <v>1863.23</v>
      </c>
      <c r="K1264" s="2">
        <v>1863.23</v>
      </c>
      <c r="L1264" s="2" t="s">
        <v>22</v>
      </c>
      <c r="M1264" s="2" t="s">
        <v>3844</v>
      </c>
      <c r="N1264" s="2" t="s">
        <v>3843</v>
      </c>
    </row>
    <row r="1265" spans="1:14" x14ac:dyDescent="0.25">
      <c r="A1265" s="2" t="s">
        <v>3970</v>
      </c>
      <c r="B1265" s="2" t="s">
        <v>64</v>
      </c>
      <c r="C1265" s="4">
        <v>45642</v>
      </c>
      <c r="D1265" s="4">
        <v>45672</v>
      </c>
      <c r="E1265" s="2" t="s">
        <v>3969</v>
      </c>
      <c r="F1265" s="2"/>
      <c r="G1265" s="2" t="s">
        <v>21</v>
      </c>
      <c r="H1265" s="2">
        <v>177.73</v>
      </c>
      <c r="I1265" s="2">
        <v>23.1</v>
      </c>
      <c r="J1265" s="2">
        <v>200.83</v>
      </c>
      <c r="K1265" s="2">
        <v>200.83</v>
      </c>
      <c r="L1265" s="2" t="s">
        <v>22</v>
      </c>
      <c r="M1265" s="2" t="s">
        <v>3844</v>
      </c>
      <c r="N1265" s="2" t="s">
        <v>3843</v>
      </c>
    </row>
    <row r="1266" spans="1:14" x14ac:dyDescent="0.25">
      <c r="A1266" s="2" t="s">
        <v>3968</v>
      </c>
      <c r="B1266" s="2" t="s">
        <v>64</v>
      </c>
      <c r="C1266" s="4">
        <v>45642</v>
      </c>
      <c r="D1266" s="4">
        <v>45672</v>
      </c>
      <c r="E1266" s="2" t="s">
        <v>3967</v>
      </c>
      <c r="F1266" s="2"/>
      <c r="G1266" s="2" t="s">
        <v>21</v>
      </c>
      <c r="H1266" s="2">
        <v>314.73</v>
      </c>
      <c r="I1266" s="2">
        <v>40.909999999999997</v>
      </c>
      <c r="J1266" s="2">
        <v>355.64</v>
      </c>
      <c r="K1266" s="2">
        <v>355.64</v>
      </c>
      <c r="L1266" s="2" t="s">
        <v>22</v>
      </c>
      <c r="M1266" s="2" t="s">
        <v>3844</v>
      </c>
      <c r="N1266" s="2" t="s">
        <v>3843</v>
      </c>
    </row>
    <row r="1267" spans="1:14" x14ac:dyDescent="0.25">
      <c r="A1267" s="2" t="s">
        <v>3966</v>
      </c>
      <c r="B1267" s="2" t="s">
        <v>1039</v>
      </c>
      <c r="C1267" s="4">
        <v>45642</v>
      </c>
      <c r="D1267" s="4">
        <v>45702</v>
      </c>
      <c r="E1267" s="2" t="s">
        <v>3965</v>
      </c>
      <c r="F1267" s="2"/>
      <c r="G1267" s="2" t="s">
        <v>21</v>
      </c>
      <c r="H1267" s="2">
        <v>2538.46</v>
      </c>
      <c r="I1267" s="2">
        <v>126.92</v>
      </c>
      <c r="J1267" s="2">
        <v>2665.38</v>
      </c>
      <c r="K1267" s="2">
        <v>2665.38</v>
      </c>
      <c r="L1267" s="2" t="s">
        <v>22</v>
      </c>
      <c r="M1267" s="2" t="s">
        <v>3844</v>
      </c>
      <c r="N1267" s="2" t="s">
        <v>3843</v>
      </c>
    </row>
    <row r="1268" spans="1:14" x14ac:dyDescent="0.25">
      <c r="A1268" s="2" t="s">
        <v>3964</v>
      </c>
      <c r="B1268" s="2" t="s">
        <v>229</v>
      </c>
      <c r="C1268" s="4">
        <v>45642</v>
      </c>
      <c r="D1268" s="4">
        <v>45672</v>
      </c>
      <c r="E1268" s="2" t="s">
        <v>3888</v>
      </c>
      <c r="F1268" s="2"/>
      <c r="G1268" s="2" t="s">
        <v>21</v>
      </c>
      <c r="H1268" s="2">
        <v>712.97</v>
      </c>
      <c r="I1268" s="2">
        <v>35.65</v>
      </c>
      <c r="J1268" s="2">
        <v>748.62</v>
      </c>
      <c r="K1268" s="2">
        <v>748.62</v>
      </c>
      <c r="L1268" s="2" t="s">
        <v>22</v>
      </c>
      <c r="M1268" s="2" t="s">
        <v>3844</v>
      </c>
      <c r="N1268" s="2" t="s">
        <v>3843</v>
      </c>
    </row>
    <row r="1269" spans="1:14" x14ac:dyDescent="0.25">
      <c r="A1269" s="2" t="s">
        <v>3963</v>
      </c>
      <c r="B1269" s="2" t="s">
        <v>229</v>
      </c>
      <c r="C1269" s="4">
        <v>45642</v>
      </c>
      <c r="D1269" s="4">
        <v>45672</v>
      </c>
      <c r="E1269" s="2" t="s">
        <v>3962</v>
      </c>
      <c r="F1269" s="2"/>
      <c r="G1269" s="2" t="s">
        <v>21</v>
      </c>
      <c r="H1269" s="2">
        <v>553.4</v>
      </c>
      <c r="I1269" s="2">
        <v>27.67</v>
      </c>
      <c r="J1269" s="2">
        <v>581.07000000000005</v>
      </c>
      <c r="K1269" s="2">
        <v>581.07000000000005</v>
      </c>
      <c r="L1269" s="2" t="s">
        <v>22</v>
      </c>
      <c r="M1269" s="2" t="s">
        <v>3844</v>
      </c>
      <c r="N1269" s="2" t="s">
        <v>3843</v>
      </c>
    </row>
    <row r="1270" spans="1:14" x14ac:dyDescent="0.25">
      <c r="A1270" s="2" t="s">
        <v>3961</v>
      </c>
      <c r="B1270" s="2" t="s">
        <v>54</v>
      </c>
      <c r="C1270" s="4">
        <v>45642</v>
      </c>
      <c r="D1270" s="4">
        <v>45672</v>
      </c>
      <c r="E1270" s="2" t="s">
        <v>3960</v>
      </c>
      <c r="F1270" s="2"/>
      <c r="G1270" s="2" t="s">
        <v>21</v>
      </c>
      <c r="H1270" s="2">
        <v>1578.98</v>
      </c>
      <c r="I1270" s="2">
        <v>78.95</v>
      </c>
      <c r="J1270" s="2">
        <v>1657.93</v>
      </c>
      <c r="K1270" s="2">
        <v>1657.93</v>
      </c>
      <c r="L1270" s="2" t="s">
        <v>22</v>
      </c>
      <c r="M1270" s="2" t="s">
        <v>3844</v>
      </c>
      <c r="N1270" s="2" t="s">
        <v>3843</v>
      </c>
    </row>
    <row r="1271" spans="1:14" ht="45" x14ac:dyDescent="0.25">
      <c r="A1271" s="2" t="s">
        <v>3959</v>
      </c>
      <c r="B1271" s="2" t="s">
        <v>3958</v>
      </c>
      <c r="C1271" s="4">
        <v>45642</v>
      </c>
      <c r="D1271" s="4">
        <v>45672</v>
      </c>
      <c r="E1271" s="2" t="s">
        <v>3957</v>
      </c>
      <c r="F1271" s="2"/>
      <c r="G1271" s="2" t="s">
        <v>1132</v>
      </c>
      <c r="H1271" s="2">
        <v>637.91999999999996</v>
      </c>
      <c r="I1271" s="2">
        <v>31.89</v>
      </c>
      <c r="J1271" s="2">
        <v>669.81</v>
      </c>
      <c r="K1271" s="2">
        <v>669.81</v>
      </c>
      <c r="L1271" s="2" t="s">
        <v>22</v>
      </c>
      <c r="M1271" s="2" t="s">
        <v>3844</v>
      </c>
      <c r="N1271" s="2" t="s">
        <v>3843</v>
      </c>
    </row>
    <row r="1272" spans="1:14" ht="30" x14ac:dyDescent="0.25">
      <c r="A1272" s="2" t="s">
        <v>3956</v>
      </c>
      <c r="B1272" s="2" t="s">
        <v>3955</v>
      </c>
      <c r="C1272" s="4">
        <v>45638</v>
      </c>
      <c r="D1272" s="4">
        <v>45668</v>
      </c>
      <c r="E1272" s="2" t="s">
        <v>3954</v>
      </c>
      <c r="F1272" s="2"/>
      <c r="G1272" s="2" t="s">
        <v>21</v>
      </c>
      <c r="H1272" s="2">
        <v>173.96</v>
      </c>
      <c r="I1272" s="2">
        <v>22.62</v>
      </c>
      <c r="J1272" s="2">
        <v>196.58</v>
      </c>
      <c r="K1272" s="2">
        <v>196.58</v>
      </c>
      <c r="L1272" s="2" t="s">
        <v>22</v>
      </c>
      <c r="M1272" s="2" t="s">
        <v>3844</v>
      </c>
      <c r="N1272" s="2" t="s">
        <v>3843</v>
      </c>
    </row>
    <row r="1273" spans="1:14" ht="30" x14ac:dyDescent="0.25">
      <c r="A1273" s="2" t="s">
        <v>3953</v>
      </c>
      <c r="B1273" s="2" t="s">
        <v>20</v>
      </c>
      <c r="C1273" s="4">
        <v>45638</v>
      </c>
      <c r="D1273" s="4">
        <v>45698</v>
      </c>
      <c r="E1273" s="2" t="s">
        <v>3853</v>
      </c>
      <c r="F1273" s="2"/>
      <c r="G1273" s="2" t="s">
        <v>21</v>
      </c>
      <c r="H1273" s="2">
        <v>221.15</v>
      </c>
      <c r="I1273" s="2">
        <v>11.06</v>
      </c>
      <c r="J1273" s="2">
        <v>232.21</v>
      </c>
      <c r="K1273" s="2">
        <v>232.21</v>
      </c>
      <c r="L1273" s="2" t="s">
        <v>22</v>
      </c>
      <c r="M1273" s="2" t="s">
        <v>3844</v>
      </c>
      <c r="N1273" s="2" t="s">
        <v>3843</v>
      </c>
    </row>
    <row r="1274" spans="1:14" ht="45" x14ac:dyDescent="0.25">
      <c r="A1274" s="2" t="s">
        <v>3952</v>
      </c>
      <c r="B1274" s="2" t="s">
        <v>3951</v>
      </c>
      <c r="C1274" s="4">
        <v>45638</v>
      </c>
      <c r="D1274" s="4">
        <v>45668</v>
      </c>
      <c r="E1274" s="2" t="s">
        <v>3950</v>
      </c>
      <c r="F1274" s="2"/>
      <c r="G1274" s="2" t="s">
        <v>21</v>
      </c>
      <c r="H1274" s="2">
        <v>222.89</v>
      </c>
      <c r="I1274" s="2"/>
      <c r="J1274" s="2">
        <v>222.89</v>
      </c>
      <c r="K1274" s="2">
        <v>157.78</v>
      </c>
      <c r="L1274" s="2" t="s">
        <v>51</v>
      </c>
      <c r="M1274" s="2" t="s">
        <v>3844</v>
      </c>
      <c r="N1274" s="2" t="s">
        <v>3843</v>
      </c>
    </row>
    <row r="1275" spans="1:14" ht="30" x14ac:dyDescent="0.25">
      <c r="A1275" s="2" t="s">
        <v>3949</v>
      </c>
      <c r="B1275" s="2" t="s">
        <v>159</v>
      </c>
      <c r="C1275" s="4">
        <v>45638</v>
      </c>
      <c r="D1275" s="4">
        <v>45668</v>
      </c>
      <c r="E1275" s="2" t="s">
        <v>3948</v>
      </c>
      <c r="F1275" s="2"/>
      <c r="G1275" s="2" t="s">
        <v>426</v>
      </c>
      <c r="H1275" s="2">
        <v>338805.74</v>
      </c>
      <c r="I1275" s="2"/>
      <c r="J1275" s="2">
        <v>338805.74</v>
      </c>
      <c r="K1275" s="2">
        <v>239840</v>
      </c>
      <c r="L1275" s="2" t="s">
        <v>51</v>
      </c>
      <c r="M1275" s="2" t="s">
        <v>3844</v>
      </c>
      <c r="N1275" s="2" t="s">
        <v>3843</v>
      </c>
    </row>
    <row r="1276" spans="1:14" x14ac:dyDescent="0.25">
      <c r="A1276" s="2" t="s">
        <v>3947</v>
      </c>
      <c r="B1276" s="2" t="s">
        <v>146</v>
      </c>
      <c r="C1276" s="4">
        <v>45637</v>
      </c>
      <c r="D1276" s="4">
        <v>45667</v>
      </c>
      <c r="E1276" s="2" t="s">
        <v>3946</v>
      </c>
      <c r="F1276" s="2"/>
      <c r="G1276" s="2" t="s">
        <v>21</v>
      </c>
      <c r="H1276" s="2">
        <v>2275.67</v>
      </c>
      <c r="I1276" s="2">
        <v>113.78</v>
      </c>
      <c r="J1276" s="2">
        <v>2389.4499999999998</v>
      </c>
      <c r="K1276" s="2">
        <v>2389.4499999999998</v>
      </c>
      <c r="L1276" s="2" t="s">
        <v>22</v>
      </c>
      <c r="M1276" s="2" t="s">
        <v>3844</v>
      </c>
      <c r="N1276" s="2" t="s">
        <v>3843</v>
      </c>
    </row>
    <row r="1277" spans="1:14" ht="30" x14ac:dyDescent="0.25">
      <c r="A1277" s="2" t="s">
        <v>3945</v>
      </c>
      <c r="B1277" s="2" t="s">
        <v>20</v>
      </c>
      <c r="C1277" s="4">
        <v>45637</v>
      </c>
      <c r="D1277" s="4">
        <v>45697</v>
      </c>
      <c r="E1277" s="2" t="s">
        <v>3944</v>
      </c>
      <c r="F1277" s="2"/>
      <c r="G1277" s="2" t="s">
        <v>21</v>
      </c>
      <c r="H1277" s="2">
        <v>1002.95</v>
      </c>
      <c r="I1277" s="2">
        <v>50.14</v>
      </c>
      <c r="J1277" s="2">
        <v>1053.0899999999999</v>
      </c>
      <c r="K1277" s="2">
        <v>1053.0899999999999</v>
      </c>
      <c r="L1277" s="2" t="s">
        <v>22</v>
      </c>
      <c r="M1277" s="2" t="s">
        <v>3844</v>
      </c>
      <c r="N1277" s="2" t="s">
        <v>3843</v>
      </c>
    </row>
    <row r="1278" spans="1:14" ht="30" x14ac:dyDescent="0.25">
      <c r="A1278" s="2" t="s">
        <v>3943</v>
      </c>
      <c r="B1278" s="2" t="s">
        <v>104</v>
      </c>
      <c r="C1278" s="4">
        <v>45637</v>
      </c>
      <c r="D1278" s="4">
        <v>45667</v>
      </c>
      <c r="E1278" s="2" t="s">
        <v>3942</v>
      </c>
      <c r="F1278" s="2"/>
      <c r="G1278" s="2" t="s">
        <v>21</v>
      </c>
      <c r="H1278" s="2">
        <v>445.34</v>
      </c>
      <c r="I1278" s="2">
        <v>22.26</v>
      </c>
      <c r="J1278" s="2">
        <v>467.6</v>
      </c>
      <c r="K1278" s="2">
        <v>467.6</v>
      </c>
      <c r="L1278" s="2" t="s">
        <v>22</v>
      </c>
      <c r="M1278" s="2" t="s">
        <v>3844</v>
      </c>
      <c r="N1278" s="2" t="s">
        <v>3843</v>
      </c>
    </row>
    <row r="1279" spans="1:14" x14ac:dyDescent="0.25">
      <c r="A1279" s="2" t="s">
        <v>3941</v>
      </c>
      <c r="B1279" s="2" t="s">
        <v>61</v>
      </c>
      <c r="C1279" s="4">
        <v>45637</v>
      </c>
      <c r="D1279" s="4">
        <v>45667</v>
      </c>
      <c r="E1279" s="2" t="s">
        <v>3940</v>
      </c>
      <c r="F1279" s="2"/>
      <c r="G1279" s="2" t="s">
        <v>21</v>
      </c>
      <c r="H1279" s="2">
        <v>17099.41</v>
      </c>
      <c r="I1279" s="2"/>
      <c r="J1279" s="2">
        <v>17099.41</v>
      </c>
      <c r="K1279" s="2">
        <v>12075.98</v>
      </c>
      <c r="L1279" s="2" t="s">
        <v>51</v>
      </c>
      <c r="M1279" s="2" t="s">
        <v>3844</v>
      </c>
      <c r="N1279" s="2" t="s">
        <v>3843</v>
      </c>
    </row>
    <row r="1280" spans="1:14" x14ac:dyDescent="0.25">
      <c r="A1280" s="2" t="s">
        <v>3939</v>
      </c>
      <c r="B1280" s="2" t="s">
        <v>192</v>
      </c>
      <c r="C1280" s="4">
        <v>45637</v>
      </c>
      <c r="D1280" s="4">
        <v>45667</v>
      </c>
      <c r="E1280" s="2" t="s">
        <v>3938</v>
      </c>
      <c r="F1280" s="2"/>
      <c r="G1280" s="2" t="s">
        <v>21</v>
      </c>
      <c r="H1280" s="2">
        <v>11504.85</v>
      </c>
      <c r="I1280" s="2"/>
      <c r="J1280" s="2">
        <v>11504.85</v>
      </c>
      <c r="K1280" s="2">
        <v>8123.73</v>
      </c>
      <c r="L1280" s="2" t="s">
        <v>51</v>
      </c>
      <c r="M1280" s="2" t="s">
        <v>3844</v>
      </c>
      <c r="N1280" s="2" t="s">
        <v>3843</v>
      </c>
    </row>
    <row r="1281" spans="1:14" x14ac:dyDescent="0.25">
      <c r="A1281" s="2" t="s">
        <v>3937</v>
      </c>
      <c r="B1281" s="2" t="s">
        <v>242</v>
      </c>
      <c r="C1281" s="4">
        <v>45636</v>
      </c>
      <c r="D1281" s="4">
        <v>45666</v>
      </c>
      <c r="E1281" s="2" t="s">
        <v>3936</v>
      </c>
      <c r="F1281" s="2"/>
      <c r="G1281" s="2" t="s">
        <v>21</v>
      </c>
      <c r="H1281" s="2">
        <v>1287.73</v>
      </c>
      <c r="I1281" s="2">
        <v>64.39</v>
      </c>
      <c r="J1281" s="2">
        <v>1352.12</v>
      </c>
      <c r="K1281" s="2">
        <v>1352.12</v>
      </c>
      <c r="L1281" s="2" t="s">
        <v>22</v>
      </c>
      <c r="M1281" s="2" t="s">
        <v>3844</v>
      </c>
      <c r="N1281" s="2" t="s">
        <v>3843</v>
      </c>
    </row>
    <row r="1282" spans="1:14" ht="30" x14ac:dyDescent="0.25">
      <c r="A1282" s="2" t="s">
        <v>3935</v>
      </c>
      <c r="B1282" s="2" t="s">
        <v>3934</v>
      </c>
      <c r="C1282" s="4">
        <v>45636</v>
      </c>
      <c r="D1282" s="4">
        <v>45666</v>
      </c>
      <c r="E1282" s="2" t="s">
        <v>3933</v>
      </c>
      <c r="F1282" s="2"/>
      <c r="G1282" s="2" t="s">
        <v>21</v>
      </c>
      <c r="H1282" s="2">
        <v>5744.45</v>
      </c>
      <c r="I1282" s="2">
        <v>287.23</v>
      </c>
      <c r="J1282" s="2">
        <v>6031.68</v>
      </c>
      <c r="K1282" s="2">
        <v>6031.68</v>
      </c>
      <c r="L1282" s="2" t="s">
        <v>22</v>
      </c>
      <c r="M1282" s="2" t="s">
        <v>3844</v>
      </c>
      <c r="N1282" s="2" t="s">
        <v>3843</v>
      </c>
    </row>
    <row r="1283" spans="1:14" ht="30" x14ac:dyDescent="0.25">
      <c r="A1283" s="2" t="s">
        <v>3932</v>
      </c>
      <c r="B1283" s="2" t="s">
        <v>20</v>
      </c>
      <c r="C1283" s="4">
        <v>45636</v>
      </c>
      <c r="D1283" s="4">
        <v>45696</v>
      </c>
      <c r="E1283" s="2" t="s">
        <v>3931</v>
      </c>
      <c r="F1283" s="2"/>
      <c r="G1283" s="2" t="s">
        <v>21</v>
      </c>
      <c r="H1283" s="2">
        <v>833.09</v>
      </c>
      <c r="I1283" s="2">
        <v>41.65</v>
      </c>
      <c r="J1283" s="2">
        <v>874.74</v>
      </c>
      <c r="K1283" s="2">
        <v>874.74</v>
      </c>
      <c r="L1283" s="2" t="s">
        <v>22</v>
      </c>
      <c r="M1283" s="2" t="s">
        <v>3844</v>
      </c>
      <c r="N1283" s="2" t="s">
        <v>3843</v>
      </c>
    </row>
    <row r="1284" spans="1:14" ht="30" x14ac:dyDescent="0.25">
      <c r="A1284" s="2" t="s">
        <v>3930</v>
      </c>
      <c r="B1284" s="2" t="s">
        <v>20</v>
      </c>
      <c r="C1284" s="4">
        <v>45635</v>
      </c>
      <c r="D1284" s="4">
        <v>45695</v>
      </c>
      <c r="E1284" s="2" t="s">
        <v>3929</v>
      </c>
      <c r="F1284" s="2"/>
      <c r="G1284" s="2" t="s">
        <v>21</v>
      </c>
      <c r="H1284" s="2">
        <v>526.17999999999995</v>
      </c>
      <c r="I1284" s="2">
        <v>26.31</v>
      </c>
      <c r="J1284" s="2">
        <v>552.49</v>
      </c>
      <c r="K1284" s="2">
        <v>552.49</v>
      </c>
      <c r="L1284" s="2" t="s">
        <v>22</v>
      </c>
      <c r="M1284" s="2" t="s">
        <v>3844</v>
      </c>
      <c r="N1284" s="2" t="s">
        <v>3843</v>
      </c>
    </row>
    <row r="1285" spans="1:14" ht="45" x14ac:dyDescent="0.25">
      <c r="A1285" s="2" t="s">
        <v>3928</v>
      </c>
      <c r="B1285" s="2" t="s">
        <v>3927</v>
      </c>
      <c r="C1285" s="4">
        <v>45635</v>
      </c>
      <c r="D1285" s="4">
        <v>45695</v>
      </c>
      <c r="E1285" s="2" t="s">
        <v>3926</v>
      </c>
      <c r="F1285" s="2"/>
      <c r="G1285" s="2" t="s">
        <v>21</v>
      </c>
      <c r="H1285" s="2">
        <v>3098.78</v>
      </c>
      <c r="I1285" s="2">
        <v>154.94</v>
      </c>
      <c r="J1285" s="2">
        <v>3253.72</v>
      </c>
      <c r="K1285" s="2">
        <v>3253.72</v>
      </c>
      <c r="L1285" s="2" t="s">
        <v>22</v>
      </c>
      <c r="M1285" s="2" t="s">
        <v>3844</v>
      </c>
      <c r="N1285" s="2" t="s">
        <v>3843</v>
      </c>
    </row>
    <row r="1286" spans="1:14" ht="30" x14ac:dyDescent="0.25">
      <c r="A1286" s="2" t="s">
        <v>3925</v>
      </c>
      <c r="B1286" s="2" t="s">
        <v>129</v>
      </c>
      <c r="C1286" s="4">
        <v>45632</v>
      </c>
      <c r="D1286" s="4">
        <v>45662</v>
      </c>
      <c r="E1286" s="2" t="s">
        <v>3924</v>
      </c>
      <c r="F1286" s="2"/>
      <c r="G1286" s="2" t="s">
        <v>130</v>
      </c>
      <c r="H1286" s="2">
        <v>36112.639999999999</v>
      </c>
      <c r="I1286" s="2"/>
      <c r="J1286" s="2">
        <v>36112.639999999999</v>
      </c>
      <c r="K1286" s="2">
        <v>25728</v>
      </c>
      <c r="L1286" s="2" t="s">
        <v>51</v>
      </c>
      <c r="M1286" s="2" t="s">
        <v>3844</v>
      </c>
      <c r="N1286" s="2" t="s">
        <v>3843</v>
      </c>
    </row>
    <row r="1287" spans="1:14" ht="30" x14ac:dyDescent="0.25">
      <c r="A1287" s="2" t="s">
        <v>3923</v>
      </c>
      <c r="B1287" s="2" t="s">
        <v>129</v>
      </c>
      <c r="C1287" s="4">
        <v>45632</v>
      </c>
      <c r="D1287" s="4">
        <v>45662</v>
      </c>
      <c r="E1287" s="2" t="s">
        <v>3922</v>
      </c>
      <c r="F1287" s="2"/>
      <c r="G1287" s="2" t="s">
        <v>130</v>
      </c>
      <c r="H1287" s="2">
        <v>4605.3100000000004</v>
      </c>
      <c r="I1287" s="2"/>
      <c r="J1287" s="2">
        <v>4605.3100000000004</v>
      </c>
      <c r="K1287" s="2">
        <v>3281</v>
      </c>
      <c r="L1287" s="2" t="s">
        <v>51</v>
      </c>
      <c r="M1287" s="2" t="s">
        <v>3844</v>
      </c>
      <c r="N1287" s="2" t="s">
        <v>3843</v>
      </c>
    </row>
    <row r="1288" spans="1:14" ht="30" x14ac:dyDescent="0.25">
      <c r="A1288" s="2" t="s">
        <v>3921</v>
      </c>
      <c r="B1288" s="2" t="s">
        <v>129</v>
      </c>
      <c r="C1288" s="4">
        <v>45632</v>
      </c>
      <c r="D1288" s="4">
        <v>45662</v>
      </c>
      <c r="E1288" s="2" t="s">
        <v>3920</v>
      </c>
      <c r="F1288" s="2"/>
      <c r="G1288" s="2" t="s">
        <v>130</v>
      </c>
      <c r="H1288" s="2">
        <v>5593.47</v>
      </c>
      <c r="I1288" s="2"/>
      <c r="J1288" s="2">
        <v>5593.47</v>
      </c>
      <c r="K1288" s="2">
        <v>3985</v>
      </c>
      <c r="L1288" s="2" t="s">
        <v>51</v>
      </c>
      <c r="M1288" s="2" t="s">
        <v>3844</v>
      </c>
      <c r="N1288" s="2" t="s">
        <v>3843</v>
      </c>
    </row>
    <row r="1289" spans="1:14" x14ac:dyDescent="0.25">
      <c r="A1289" s="2" t="s">
        <v>3919</v>
      </c>
      <c r="B1289" s="2" t="s">
        <v>644</v>
      </c>
      <c r="C1289" s="4">
        <v>45632</v>
      </c>
      <c r="D1289" s="4">
        <v>45662</v>
      </c>
      <c r="E1289" s="2" t="s">
        <v>3918</v>
      </c>
      <c r="F1289" s="2"/>
      <c r="G1289" s="2" t="s">
        <v>21</v>
      </c>
      <c r="H1289" s="2">
        <v>619.97</v>
      </c>
      <c r="I1289" s="2"/>
      <c r="J1289" s="2">
        <v>619.97</v>
      </c>
      <c r="K1289" s="2">
        <v>441.69</v>
      </c>
      <c r="L1289" s="2" t="s">
        <v>51</v>
      </c>
      <c r="M1289" s="2" t="s">
        <v>3844</v>
      </c>
      <c r="N1289" s="2" t="s">
        <v>3843</v>
      </c>
    </row>
    <row r="1290" spans="1:14" ht="30" x14ac:dyDescent="0.25">
      <c r="A1290" s="2" t="s">
        <v>3917</v>
      </c>
      <c r="B1290" s="2" t="s">
        <v>35</v>
      </c>
      <c r="C1290" s="4">
        <v>45631</v>
      </c>
      <c r="D1290" s="4">
        <v>45661</v>
      </c>
      <c r="E1290" s="2" t="s">
        <v>3916</v>
      </c>
      <c r="F1290" s="2"/>
      <c r="G1290" s="2" t="s">
        <v>21</v>
      </c>
      <c r="H1290" s="2">
        <v>443.18</v>
      </c>
      <c r="I1290" s="2">
        <v>22.16</v>
      </c>
      <c r="J1290" s="2">
        <v>465.34</v>
      </c>
      <c r="K1290" s="2">
        <v>465.34</v>
      </c>
      <c r="L1290" s="2" t="s">
        <v>22</v>
      </c>
      <c r="M1290" s="2" t="s">
        <v>3844</v>
      </c>
      <c r="N1290" s="2" t="s">
        <v>3843</v>
      </c>
    </row>
    <row r="1291" spans="1:14" ht="30" x14ac:dyDescent="0.25">
      <c r="A1291" s="2" t="s">
        <v>3915</v>
      </c>
      <c r="B1291" s="2" t="s">
        <v>39</v>
      </c>
      <c r="C1291" s="4">
        <v>45631</v>
      </c>
      <c r="D1291" s="4">
        <v>45661</v>
      </c>
      <c r="E1291" s="2" t="s">
        <v>3914</v>
      </c>
      <c r="F1291" s="2"/>
      <c r="G1291" s="2" t="s">
        <v>21</v>
      </c>
      <c r="H1291" s="2">
        <v>1714.81</v>
      </c>
      <c r="I1291" s="2">
        <v>85.74</v>
      </c>
      <c r="J1291" s="2">
        <v>1800.55</v>
      </c>
      <c r="K1291" s="2">
        <v>1800.55</v>
      </c>
      <c r="L1291" s="2" t="s">
        <v>22</v>
      </c>
      <c r="M1291" s="2" t="s">
        <v>3844</v>
      </c>
      <c r="N1291" s="2" t="s">
        <v>3843</v>
      </c>
    </row>
    <row r="1292" spans="1:14" ht="30" x14ac:dyDescent="0.25">
      <c r="A1292" s="2" t="s">
        <v>3913</v>
      </c>
      <c r="B1292" s="2" t="s">
        <v>39</v>
      </c>
      <c r="C1292" s="4">
        <v>45631</v>
      </c>
      <c r="D1292" s="4">
        <v>45661</v>
      </c>
      <c r="E1292" s="2" t="s">
        <v>3912</v>
      </c>
      <c r="F1292" s="2"/>
      <c r="G1292" s="2" t="s">
        <v>21</v>
      </c>
      <c r="H1292" s="2">
        <v>2282.29</v>
      </c>
      <c r="I1292" s="2">
        <v>114.11</v>
      </c>
      <c r="J1292" s="2">
        <v>2396.4</v>
      </c>
      <c r="K1292" s="2">
        <v>2396.4</v>
      </c>
      <c r="L1292" s="2" t="s">
        <v>22</v>
      </c>
      <c r="M1292" s="2" t="s">
        <v>3844</v>
      </c>
      <c r="N1292" s="2" t="s">
        <v>3843</v>
      </c>
    </row>
    <row r="1293" spans="1:14" ht="30" x14ac:dyDescent="0.25">
      <c r="A1293" s="2" t="s">
        <v>3911</v>
      </c>
      <c r="B1293" s="2" t="s">
        <v>39</v>
      </c>
      <c r="C1293" s="4">
        <v>45631</v>
      </c>
      <c r="D1293" s="4">
        <v>45661</v>
      </c>
      <c r="E1293" s="2" t="s">
        <v>3910</v>
      </c>
      <c r="F1293" s="2"/>
      <c r="G1293" s="2" t="s">
        <v>21</v>
      </c>
      <c r="H1293" s="2">
        <v>567.48</v>
      </c>
      <c r="I1293" s="2">
        <v>28.37</v>
      </c>
      <c r="J1293" s="2">
        <v>595.85</v>
      </c>
      <c r="K1293" s="2">
        <v>595.85</v>
      </c>
      <c r="L1293" s="2" t="s">
        <v>22</v>
      </c>
      <c r="M1293" s="2" t="s">
        <v>3844</v>
      </c>
      <c r="N1293" s="2" t="s">
        <v>3843</v>
      </c>
    </row>
    <row r="1294" spans="1:14" x14ac:dyDescent="0.25">
      <c r="A1294" s="2" t="s">
        <v>3909</v>
      </c>
      <c r="B1294" s="2" t="s">
        <v>3908</v>
      </c>
      <c r="C1294" s="4">
        <v>45631</v>
      </c>
      <c r="D1294" s="4">
        <v>45661</v>
      </c>
      <c r="E1294" s="2" t="s">
        <v>3907</v>
      </c>
      <c r="F1294" s="2"/>
      <c r="G1294" s="2" t="s">
        <v>21</v>
      </c>
      <c r="H1294" s="2">
        <v>496.74</v>
      </c>
      <c r="I1294" s="2">
        <v>24.84</v>
      </c>
      <c r="J1294" s="2">
        <v>521.58000000000004</v>
      </c>
      <c r="K1294" s="2">
        <v>521.58000000000004</v>
      </c>
      <c r="L1294" s="2" t="s">
        <v>22</v>
      </c>
      <c r="M1294" s="2" t="s">
        <v>3844</v>
      </c>
      <c r="N1294" s="2" t="s">
        <v>3843</v>
      </c>
    </row>
    <row r="1295" spans="1:14" x14ac:dyDescent="0.25">
      <c r="A1295" s="2" t="s">
        <v>3906</v>
      </c>
      <c r="B1295" s="2" t="s">
        <v>141</v>
      </c>
      <c r="C1295" s="4">
        <v>45630</v>
      </c>
      <c r="D1295" s="4">
        <v>45675</v>
      </c>
      <c r="E1295" s="2" t="s">
        <v>3905</v>
      </c>
      <c r="F1295" s="2"/>
      <c r="G1295" s="2" t="s">
        <v>21</v>
      </c>
      <c r="H1295" s="2">
        <v>478.14</v>
      </c>
      <c r="I1295" s="2"/>
      <c r="J1295" s="2">
        <v>478.14</v>
      </c>
      <c r="K1295" s="2">
        <v>339.85</v>
      </c>
      <c r="L1295" s="2" t="s">
        <v>51</v>
      </c>
      <c r="M1295" s="2" t="s">
        <v>3844</v>
      </c>
      <c r="N1295" s="2" t="s">
        <v>3843</v>
      </c>
    </row>
    <row r="1296" spans="1:14" x14ac:dyDescent="0.25">
      <c r="A1296" s="2" t="s">
        <v>3904</v>
      </c>
      <c r="B1296" s="2" t="s">
        <v>141</v>
      </c>
      <c r="C1296" s="4">
        <v>45630</v>
      </c>
      <c r="D1296" s="4">
        <v>45675</v>
      </c>
      <c r="E1296" s="2" t="s">
        <v>3903</v>
      </c>
      <c r="F1296" s="2"/>
      <c r="G1296" s="2" t="s">
        <v>21</v>
      </c>
      <c r="H1296" s="2">
        <v>478.14</v>
      </c>
      <c r="I1296" s="2"/>
      <c r="J1296" s="2">
        <v>478.14</v>
      </c>
      <c r="K1296" s="2">
        <v>339.85</v>
      </c>
      <c r="L1296" s="2" t="s">
        <v>51</v>
      </c>
      <c r="M1296" s="2" t="s">
        <v>3844</v>
      </c>
      <c r="N1296" s="2" t="s">
        <v>3843</v>
      </c>
    </row>
    <row r="1297" spans="1:14" x14ac:dyDescent="0.25">
      <c r="A1297" s="2" t="s">
        <v>3902</v>
      </c>
      <c r="B1297" s="2" t="s">
        <v>581</v>
      </c>
      <c r="C1297" s="4">
        <v>45630</v>
      </c>
      <c r="D1297" s="4">
        <v>45660</v>
      </c>
      <c r="E1297" s="2" t="s">
        <v>3901</v>
      </c>
      <c r="F1297" s="2"/>
      <c r="G1297" s="2" t="s">
        <v>21</v>
      </c>
      <c r="H1297" s="2">
        <v>13440.06</v>
      </c>
      <c r="I1297" s="2"/>
      <c r="J1297" s="2">
        <v>13440.06</v>
      </c>
      <c r="K1297" s="2">
        <v>9552.86</v>
      </c>
      <c r="L1297" s="2" t="s">
        <v>51</v>
      </c>
      <c r="M1297" s="2" t="s">
        <v>3844</v>
      </c>
      <c r="N1297" s="2" t="s">
        <v>3843</v>
      </c>
    </row>
    <row r="1298" spans="1:14" ht="30" x14ac:dyDescent="0.25">
      <c r="A1298" s="2" t="s">
        <v>3900</v>
      </c>
      <c r="B1298" s="2" t="s">
        <v>3899</v>
      </c>
      <c r="C1298" s="4">
        <v>45629</v>
      </c>
      <c r="D1298" s="4">
        <v>45659</v>
      </c>
      <c r="E1298" s="2" t="s">
        <v>3898</v>
      </c>
      <c r="F1298" s="2"/>
      <c r="G1298" s="2" t="s">
        <v>21</v>
      </c>
      <c r="H1298" s="2">
        <v>2611.88</v>
      </c>
      <c r="I1298" s="2">
        <v>339.54</v>
      </c>
      <c r="J1298" s="2">
        <v>2951.42</v>
      </c>
      <c r="K1298" s="2">
        <v>2951.42</v>
      </c>
      <c r="L1298" s="2" t="s">
        <v>22</v>
      </c>
      <c r="M1298" s="2" t="s">
        <v>3844</v>
      </c>
      <c r="N1298" s="2" t="s">
        <v>3843</v>
      </c>
    </row>
    <row r="1299" spans="1:14" ht="30" x14ac:dyDescent="0.25">
      <c r="A1299" s="2" t="s">
        <v>3897</v>
      </c>
      <c r="B1299" s="2" t="s">
        <v>20</v>
      </c>
      <c r="C1299" s="4">
        <v>45629</v>
      </c>
      <c r="D1299" s="4">
        <v>45689</v>
      </c>
      <c r="E1299" s="2" t="s">
        <v>3896</v>
      </c>
      <c r="F1299" s="2"/>
      <c r="G1299" s="2" t="s">
        <v>21</v>
      </c>
      <c r="H1299" s="2">
        <v>4276.6400000000003</v>
      </c>
      <c r="I1299" s="2">
        <v>213.83</v>
      </c>
      <c r="J1299" s="2">
        <v>4490.47</v>
      </c>
      <c r="K1299" s="2">
        <v>4490.47</v>
      </c>
      <c r="L1299" s="2" t="s">
        <v>22</v>
      </c>
      <c r="M1299" s="2" t="s">
        <v>3844</v>
      </c>
      <c r="N1299" s="2" t="s">
        <v>3843</v>
      </c>
    </row>
    <row r="1300" spans="1:14" ht="30" x14ac:dyDescent="0.25">
      <c r="A1300" s="2" t="s">
        <v>3895</v>
      </c>
      <c r="B1300" s="2" t="s">
        <v>20</v>
      </c>
      <c r="C1300" s="4">
        <v>45629</v>
      </c>
      <c r="D1300" s="4">
        <v>45689</v>
      </c>
      <c r="E1300" s="2" t="s">
        <v>3894</v>
      </c>
      <c r="F1300" s="2"/>
      <c r="G1300" s="2" t="s">
        <v>21</v>
      </c>
      <c r="H1300" s="2">
        <v>3485.73</v>
      </c>
      <c r="I1300" s="2">
        <v>174.29</v>
      </c>
      <c r="J1300" s="2">
        <v>3660.02</v>
      </c>
      <c r="K1300" s="2">
        <v>3660.02</v>
      </c>
      <c r="L1300" s="2" t="s">
        <v>22</v>
      </c>
      <c r="M1300" s="2" t="s">
        <v>3844</v>
      </c>
      <c r="N1300" s="2" t="s">
        <v>3843</v>
      </c>
    </row>
    <row r="1301" spans="1:14" x14ac:dyDescent="0.25">
      <c r="A1301" s="2" t="s">
        <v>3893</v>
      </c>
      <c r="B1301" s="2" t="s">
        <v>54</v>
      </c>
      <c r="C1301" s="4">
        <v>45629</v>
      </c>
      <c r="D1301" s="4">
        <v>45659</v>
      </c>
      <c r="E1301" s="2" t="s">
        <v>3892</v>
      </c>
      <c r="F1301" s="2"/>
      <c r="G1301" s="2" t="s">
        <v>21</v>
      </c>
      <c r="H1301" s="2">
        <v>7218.94</v>
      </c>
      <c r="I1301" s="2">
        <v>360.95</v>
      </c>
      <c r="J1301" s="2">
        <v>7579.89</v>
      </c>
      <c r="K1301" s="2">
        <v>7579.89</v>
      </c>
      <c r="L1301" s="2" t="s">
        <v>22</v>
      </c>
      <c r="M1301" s="2" t="s">
        <v>3844</v>
      </c>
      <c r="N1301" s="2" t="s">
        <v>3843</v>
      </c>
    </row>
    <row r="1302" spans="1:14" x14ac:dyDescent="0.25">
      <c r="A1302" s="2" t="s">
        <v>3891</v>
      </c>
      <c r="B1302" s="2" t="s">
        <v>465</v>
      </c>
      <c r="C1302" s="4">
        <v>45629</v>
      </c>
      <c r="D1302" s="4">
        <v>45659</v>
      </c>
      <c r="E1302" s="2" t="s">
        <v>3890</v>
      </c>
      <c r="F1302" s="2"/>
      <c r="G1302" s="2" t="s">
        <v>21</v>
      </c>
      <c r="H1302" s="2">
        <v>139.88</v>
      </c>
      <c r="I1302" s="2">
        <v>18.18</v>
      </c>
      <c r="J1302" s="2">
        <v>158.06</v>
      </c>
      <c r="K1302" s="2">
        <v>158.06</v>
      </c>
      <c r="L1302" s="2" t="s">
        <v>22</v>
      </c>
      <c r="M1302" s="2" t="s">
        <v>3844</v>
      </c>
      <c r="N1302" s="2" t="s">
        <v>3843</v>
      </c>
    </row>
    <row r="1303" spans="1:14" x14ac:dyDescent="0.25">
      <c r="A1303" s="2" t="s">
        <v>3889</v>
      </c>
      <c r="B1303" s="2" t="s">
        <v>229</v>
      </c>
      <c r="C1303" s="4">
        <v>45629</v>
      </c>
      <c r="D1303" s="4">
        <v>45659</v>
      </c>
      <c r="E1303" s="2" t="s">
        <v>3888</v>
      </c>
      <c r="F1303" s="2"/>
      <c r="G1303" s="2" t="s">
        <v>21</v>
      </c>
      <c r="H1303" s="2">
        <v>759.39</v>
      </c>
      <c r="I1303" s="2">
        <v>37.97</v>
      </c>
      <c r="J1303" s="2">
        <v>797.36</v>
      </c>
      <c r="K1303" s="2">
        <v>797.36</v>
      </c>
      <c r="L1303" s="2" t="s">
        <v>22</v>
      </c>
      <c r="M1303" s="2" t="s">
        <v>3844</v>
      </c>
      <c r="N1303" s="2" t="s">
        <v>3843</v>
      </c>
    </row>
    <row r="1304" spans="1:14" x14ac:dyDescent="0.25">
      <c r="A1304" s="2" t="s">
        <v>3887</v>
      </c>
      <c r="B1304" s="2" t="s">
        <v>141</v>
      </c>
      <c r="C1304" s="4">
        <v>45625</v>
      </c>
      <c r="D1304" s="4">
        <v>45670</v>
      </c>
      <c r="E1304" s="2" t="s">
        <v>3886</v>
      </c>
      <c r="F1304" s="2"/>
      <c r="G1304" s="2" t="s">
        <v>21</v>
      </c>
      <c r="H1304" s="2">
        <v>1798</v>
      </c>
      <c r="I1304" s="2"/>
      <c r="J1304" s="2">
        <v>1798</v>
      </c>
      <c r="K1304" s="2">
        <v>1283.53</v>
      </c>
      <c r="L1304" s="2" t="s">
        <v>51</v>
      </c>
      <c r="M1304" s="2" t="s">
        <v>3844</v>
      </c>
      <c r="N1304" s="2" t="s">
        <v>3843</v>
      </c>
    </row>
    <row r="1305" spans="1:14" x14ac:dyDescent="0.25">
      <c r="A1305" s="2" t="s">
        <v>3885</v>
      </c>
      <c r="B1305" s="2" t="s">
        <v>141</v>
      </c>
      <c r="C1305" s="4">
        <v>45625</v>
      </c>
      <c r="D1305" s="4">
        <v>45670</v>
      </c>
      <c r="E1305" s="2" t="s">
        <v>3884</v>
      </c>
      <c r="F1305" s="2"/>
      <c r="G1305" s="2" t="s">
        <v>21</v>
      </c>
      <c r="H1305" s="2">
        <v>4052.17</v>
      </c>
      <c r="I1305" s="2"/>
      <c r="J1305" s="2">
        <v>4052.17</v>
      </c>
      <c r="K1305" s="2">
        <v>2892.7</v>
      </c>
      <c r="L1305" s="2" t="s">
        <v>51</v>
      </c>
      <c r="M1305" s="2" t="s">
        <v>3844</v>
      </c>
      <c r="N1305" s="2" t="s">
        <v>3843</v>
      </c>
    </row>
    <row r="1306" spans="1:14" x14ac:dyDescent="0.25">
      <c r="A1306" s="2" t="s">
        <v>3883</v>
      </c>
      <c r="B1306" s="2" t="s">
        <v>1039</v>
      </c>
      <c r="C1306" s="4">
        <v>45622</v>
      </c>
      <c r="D1306" s="4">
        <v>45682</v>
      </c>
      <c r="E1306" s="2" t="s">
        <v>3847</v>
      </c>
      <c r="F1306" s="2" t="s">
        <v>3882</v>
      </c>
      <c r="G1306" s="2" t="s">
        <v>21</v>
      </c>
      <c r="H1306" s="2">
        <v>-5471.96</v>
      </c>
      <c r="I1306" s="2">
        <v>-273.60000000000002</v>
      </c>
      <c r="J1306" s="2">
        <v>-5745.56</v>
      </c>
      <c r="K1306" s="2">
        <v>-5745.56</v>
      </c>
      <c r="L1306" s="2" t="s">
        <v>22</v>
      </c>
      <c r="M1306" s="2" t="s">
        <v>3844</v>
      </c>
      <c r="N1306" s="2" t="s">
        <v>3843</v>
      </c>
    </row>
    <row r="1307" spans="1:14" ht="30" x14ac:dyDescent="0.25">
      <c r="A1307" s="2" t="s">
        <v>3881</v>
      </c>
      <c r="B1307" s="2" t="s">
        <v>3880</v>
      </c>
      <c r="C1307" s="4">
        <v>45622</v>
      </c>
      <c r="D1307" s="4">
        <v>45682</v>
      </c>
      <c r="E1307" s="2" t="s">
        <v>3879</v>
      </c>
      <c r="F1307" s="2"/>
      <c r="G1307" s="2" t="s">
        <v>21</v>
      </c>
      <c r="H1307" s="2">
        <v>629.04</v>
      </c>
      <c r="I1307" s="2">
        <v>81.78</v>
      </c>
      <c r="J1307" s="2">
        <v>710.82</v>
      </c>
      <c r="K1307" s="2">
        <v>710.82</v>
      </c>
      <c r="L1307" s="2" t="s">
        <v>22</v>
      </c>
      <c r="M1307" s="2" t="s">
        <v>3844</v>
      </c>
      <c r="N1307" s="2" t="s">
        <v>3843</v>
      </c>
    </row>
    <row r="1308" spans="1:14" x14ac:dyDescent="0.25">
      <c r="A1308" s="2" t="s">
        <v>3878</v>
      </c>
      <c r="B1308" s="2" t="s">
        <v>3877</v>
      </c>
      <c r="C1308" s="4">
        <v>45622</v>
      </c>
      <c r="D1308" s="4">
        <v>45682</v>
      </c>
      <c r="E1308" s="2" t="s">
        <v>3876</v>
      </c>
      <c r="F1308" s="2"/>
      <c r="G1308" s="2" t="s">
        <v>71</v>
      </c>
      <c r="H1308" s="2">
        <v>24636.99</v>
      </c>
      <c r="I1308" s="2"/>
      <c r="J1308" s="2">
        <v>24636.99</v>
      </c>
      <c r="K1308" s="2">
        <v>17593</v>
      </c>
      <c r="L1308" s="2" t="s">
        <v>51</v>
      </c>
      <c r="M1308" s="2" t="s">
        <v>3844</v>
      </c>
      <c r="N1308" s="2" t="s">
        <v>3843</v>
      </c>
    </row>
    <row r="1309" spans="1:14" ht="30" x14ac:dyDescent="0.25">
      <c r="A1309" s="2" t="s">
        <v>3875</v>
      </c>
      <c r="B1309" s="2" t="s">
        <v>20</v>
      </c>
      <c r="C1309" s="4">
        <v>45618</v>
      </c>
      <c r="D1309" s="4">
        <v>45678</v>
      </c>
      <c r="E1309" s="2" t="s">
        <v>3874</v>
      </c>
      <c r="F1309" s="2"/>
      <c r="G1309" s="2" t="s">
        <v>21</v>
      </c>
      <c r="H1309" s="2">
        <v>277.62</v>
      </c>
      <c r="I1309" s="2">
        <v>13.88</v>
      </c>
      <c r="J1309" s="2">
        <v>291.5</v>
      </c>
      <c r="K1309" s="2">
        <v>291.5</v>
      </c>
      <c r="L1309" s="2" t="s">
        <v>22</v>
      </c>
      <c r="M1309" s="2" t="s">
        <v>3844</v>
      </c>
      <c r="N1309" s="2" t="s">
        <v>3843</v>
      </c>
    </row>
    <row r="1310" spans="1:14" ht="30" x14ac:dyDescent="0.25">
      <c r="A1310" s="2" t="s">
        <v>3873</v>
      </c>
      <c r="B1310" s="2" t="s">
        <v>20</v>
      </c>
      <c r="C1310" s="4">
        <v>45618</v>
      </c>
      <c r="D1310" s="4">
        <v>45678</v>
      </c>
      <c r="E1310" s="2" t="s">
        <v>3872</v>
      </c>
      <c r="F1310" s="2"/>
      <c r="G1310" s="2" t="s">
        <v>21</v>
      </c>
      <c r="H1310" s="2">
        <v>2272.09</v>
      </c>
      <c r="I1310" s="2">
        <v>113.6</v>
      </c>
      <c r="J1310" s="2">
        <v>2385.69</v>
      </c>
      <c r="K1310" s="2">
        <v>2385.69</v>
      </c>
      <c r="L1310" s="2" t="s">
        <v>22</v>
      </c>
      <c r="M1310" s="2" t="s">
        <v>3844</v>
      </c>
      <c r="N1310" s="2" t="s">
        <v>3843</v>
      </c>
    </row>
    <row r="1311" spans="1:14" x14ac:dyDescent="0.25">
      <c r="A1311" s="2" t="s">
        <v>3871</v>
      </c>
      <c r="B1311" s="2" t="s">
        <v>442</v>
      </c>
      <c r="C1311" s="4">
        <v>45617</v>
      </c>
      <c r="D1311" s="4">
        <v>45677</v>
      </c>
      <c r="E1311" s="2" t="s">
        <v>3870</v>
      </c>
      <c r="F1311" s="2"/>
      <c r="G1311" s="2" t="s">
        <v>71</v>
      </c>
      <c r="H1311" s="2">
        <v>7434</v>
      </c>
      <c r="I1311" s="2"/>
      <c r="J1311" s="2">
        <v>7434</v>
      </c>
      <c r="K1311" s="2">
        <v>7434</v>
      </c>
      <c r="L1311" s="2" t="s">
        <v>22</v>
      </c>
      <c r="M1311" s="2" t="s">
        <v>3844</v>
      </c>
      <c r="N1311" s="2" t="s">
        <v>3843</v>
      </c>
    </row>
    <row r="1312" spans="1:14" ht="30" x14ac:dyDescent="0.25">
      <c r="A1312" s="2" t="s">
        <v>3869</v>
      </c>
      <c r="B1312" s="2" t="s">
        <v>3868</v>
      </c>
      <c r="C1312" s="4">
        <v>45616</v>
      </c>
      <c r="D1312" s="4">
        <v>45676</v>
      </c>
      <c r="E1312" s="2" t="s">
        <v>3867</v>
      </c>
      <c r="F1312" s="2"/>
      <c r="G1312" s="2" t="s">
        <v>21</v>
      </c>
      <c r="H1312" s="2">
        <v>6393.78</v>
      </c>
      <c r="I1312" s="2">
        <v>831.19</v>
      </c>
      <c r="J1312" s="2">
        <v>7224.97</v>
      </c>
      <c r="K1312" s="2">
        <v>7224.97</v>
      </c>
      <c r="L1312" s="2" t="s">
        <v>22</v>
      </c>
      <c r="M1312" s="2" t="s">
        <v>3844</v>
      </c>
      <c r="N1312" s="2" t="s">
        <v>3843</v>
      </c>
    </row>
    <row r="1313" spans="1:14" ht="30" x14ac:dyDescent="0.25">
      <c r="A1313" s="2" t="s">
        <v>3866</v>
      </c>
      <c r="B1313" s="2" t="s">
        <v>20</v>
      </c>
      <c r="C1313" s="4">
        <v>45615</v>
      </c>
      <c r="D1313" s="4">
        <v>45675</v>
      </c>
      <c r="E1313" s="2" t="s">
        <v>3865</v>
      </c>
      <c r="F1313" s="2"/>
      <c r="G1313" s="2" t="s">
        <v>1132</v>
      </c>
      <c r="H1313" s="2">
        <v>274.32</v>
      </c>
      <c r="I1313" s="2">
        <v>13.72</v>
      </c>
      <c r="J1313" s="2">
        <v>288.04000000000002</v>
      </c>
      <c r="K1313" s="2">
        <v>288.04000000000002</v>
      </c>
      <c r="L1313" s="2" t="s">
        <v>22</v>
      </c>
      <c r="M1313" s="2" t="s">
        <v>3844</v>
      </c>
      <c r="N1313" s="2" t="s">
        <v>3843</v>
      </c>
    </row>
    <row r="1314" spans="1:14" x14ac:dyDescent="0.25">
      <c r="A1314" s="2" t="s">
        <v>3864</v>
      </c>
      <c r="B1314" s="2" t="s">
        <v>70</v>
      </c>
      <c r="C1314" s="4">
        <v>45615</v>
      </c>
      <c r="D1314" s="4">
        <v>45675</v>
      </c>
      <c r="E1314" s="2" t="s">
        <v>3863</v>
      </c>
      <c r="F1314" s="2"/>
      <c r="G1314" s="2" t="s">
        <v>71</v>
      </c>
      <c r="H1314" s="2">
        <v>13243.03</v>
      </c>
      <c r="I1314" s="2"/>
      <c r="J1314" s="2">
        <v>13243.03</v>
      </c>
      <c r="K1314" s="2">
        <v>9439</v>
      </c>
      <c r="L1314" s="2" t="s">
        <v>51</v>
      </c>
      <c r="M1314" s="2" t="s">
        <v>3844</v>
      </c>
      <c r="N1314" s="2" t="s">
        <v>3843</v>
      </c>
    </row>
    <row r="1315" spans="1:14" ht="30" x14ac:dyDescent="0.25">
      <c r="A1315" s="2" t="s">
        <v>3862</v>
      </c>
      <c r="B1315" s="2" t="s">
        <v>290</v>
      </c>
      <c r="C1315" s="4">
        <v>45614</v>
      </c>
      <c r="D1315" s="4">
        <v>45674</v>
      </c>
      <c r="E1315" s="2" t="s">
        <v>3861</v>
      </c>
      <c r="F1315" s="2"/>
      <c r="G1315" s="2" t="s">
        <v>21</v>
      </c>
      <c r="H1315" s="2">
        <v>1785.46</v>
      </c>
      <c r="I1315" s="2">
        <v>89.27</v>
      </c>
      <c r="J1315" s="2">
        <v>1874.73</v>
      </c>
      <c r="K1315" s="2">
        <v>1874.73</v>
      </c>
      <c r="L1315" s="2" t="s">
        <v>22</v>
      </c>
      <c r="M1315" s="2" t="s">
        <v>3844</v>
      </c>
      <c r="N1315" s="2" t="s">
        <v>3843</v>
      </c>
    </row>
    <row r="1316" spans="1:14" ht="30" x14ac:dyDescent="0.25">
      <c r="A1316" s="2" t="s">
        <v>3860</v>
      </c>
      <c r="B1316" s="2" t="s">
        <v>80</v>
      </c>
      <c r="C1316" s="4">
        <v>45614</v>
      </c>
      <c r="D1316" s="4">
        <v>45674</v>
      </c>
      <c r="E1316" s="2" t="s">
        <v>3859</v>
      </c>
      <c r="F1316" s="2"/>
      <c r="G1316" s="2" t="s">
        <v>21</v>
      </c>
      <c r="H1316" s="2">
        <v>674.31</v>
      </c>
      <c r="I1316" s="2">
        <v>33.72</v>
      </c>
      <c r="J1316" s="2">
        <v>708.03</v>
      </c>
      <c r="K1316" s="2">
        <v>708.03</v>
      </c>
      <c r="L1316" s="2" t="s">
        <v>22</v>
      </c>
      <c r="M1316" s="2" t="s">
        <v>3844</v>
      </c>
      <c r="N1316" s="2" t="s">
        <v>3843</v>
      </c>
    </row>
    <row r="1317" spans="1:14" x14ac:dyDescent="0.25">
      <c r="A1317" s="2" t="s">
        <v>3858</v>
      </c>
      <c r="B1317" s="2" t="s">
        <v>135</v>
      </c>
      <c r="C1317" s="4">
        <v>45608</v>
      </c>
      <c r="D1317" s="4">
        <v>45668</v>
      </c>
      <c r="E1317" s="2" t="s">
        <v>3857</v>
      </c>
      <c r="F1317" s="2"/>
      <c r="G1317" s="2" t="s">
        <v>21</v>
      </c>
      <c r="H1317" s="2">
        <v>11497.93</v>
      </c>
      <c r="I1317" s="2">
        <v>1494.73</v>
      </c>
      <c r="J1317" s="2">
        <v>12992.66</v>
      </c>
      <c r="K1317" s="2">
        <v>12992.66</v>
      </c>
      <c r="L1317" s="2" t="s">
        <v>22</v>
      </c>
      <c r="M1317" s="2" t="s">
        <v>3844</v>
      </c>
      <c r="N1317" s="2" t="s">
        <v>3843</v>
      </c>
    </row>
    <row r="1318" spans="1:14" ht="30" x14ac:dyDescent="0.25">
      <c r="A1318" s="2" t="s">
        <v>3856</v>
      </c>
      <c r="B1318" s="2" t="s">
        <v>20</v>
      </c>
      <c r="C1318" s="4">
        <v>45608</v>
      </c>
      <c r="D1318" s="4">
        <v>45668</v>
      </c>
      <c r="E1318" s="2" t="s">
        <v>3855</v>
      </c>
      <c r="F1318" s="2"/>
      <c r="G1318" s="2" t="s">
        <v>21</v>
      </c>
      <c r="H1318" s="2">
        <v>4330.1099999999997</v>
      </c>
      <c r="I1318" s="2">
        <v>216.51</v>
      </c>
      <c r="J1318" s="2">
        <v>4546.62</v>
      </c>
      <c r="K1318" s="2">
        <v>4546.62</v>
      </c>
      <c r="L1318" s="2" t="s">
        <v>22</v>
      </c>
      <c r="M1318" s="2" t="s">
        <v>3844</v>
      </c>
      <c r="N1318" s="2" t="s">
        <v>3843</v>
      </c>
    </row>
    <row r="1319" spans="1:14" ht="30" x14ac:dyDescent="0.25">
      <c r="A1319" s="2" t="s">
        <v>3854</v>
      </c>
      <c r="B1319" s="2" t="s">
        <v>20</v>
      </c>
      <c r="C1319" s="4">
        <v>45607</v>
      </c>
      <c r="D1319" s="4">
        <v>45667</v>
      </c>
      <c r="E1319" s="2" t="s">
        <v>3853</v>
      </c>
      <c r="F1319" s="2"/>
      <c r="G1319" s="2" t="s">
        <v>21</v>
      </c>
      <c r="H1319" s="2">
        <v>221.15</v>
      </c>
      <c r="I1319" s="2"/>
      <c r="J1319" s="2">
        <v>221.15</v>
      </c>
      <c r="K1319" s="2">
        <v>221.15</v>
      </c>
      <c r="L1319" s="2" t="s">
        <v>22</v>
      </c>
      <c r="M1319" s="2" t="s">
        <v>3844</v>
      </c>
      <c r="N1319" s="2" t="s">
        <v>3843</v>
      </c>
    </row>
    <row r="1320" spans="1:14" x14ac:dyDescent="0.25">
      <c r="A1320" s="2" t="s">
        <v>3852</v>
      </c>
      <c r="B1320" s="2" t="s">
        <v>442</v>
      </c>
      <c r="C1320" s="4">
        <v>45604</v>
      </c>
      <c r="D1320" s="4">
        <v>45664</v>
      </c>
      <c r="E1320" s="2" t="s">
        <v>3851</v>
      </c>
      <c r="F1320" s="2"/>
      <c r="G1320" s="2" t="s">
        <v>71</v>
      </c>
      <c r="H1320" s="2">
        <v>9703</v>
      </c>
      <c r="I1320" s="2"/>
      <c r="J1320" s="2">
        <v>9703</v>
      </c>
      <c r="K1320" s="2">
        <v>6995</v>
      </c>
      <c r="L1320" s="2" t="s">
        <v>51</v>
      </c>
      <c r="M1320" s="2" t="s">
        <v>3844</v>
      </c>
      <c r="N1320" s="2" t="s">
        <v>3843</v>
      </c>
    </row>
    <row r="1321" spans="1:14" ht="30" x14ac:dyDescent="0.25">
      <c r="A1321" s="2" t="s">
        <v>3850</v>
      </c>
      <c r="B1321" s="2" t="s">
        <v>80</v>
      </c>
      <c r="C1321" s="4">
        <v>45602</v>
      </c>
      <c r="D1321" s="4">
        <v>45662</v>
      </c>
      <c r="E1321" s="2" t="s">
        <v>3849</v>
      </c>
      <c r="F1321" s="2"/>
      <c r="G1321" s="2" t="s">
        <v>21</v>
      </c>
      <c r="H1321" s="2">
        <v>517.73</v>
      </c>
      <c r="I1321" s="2">
        <v>67.3</v>
      </c>
      <c r="J1321" s="2">
        <v>585.03</v>
      </c>
      <c r="K1321" s="2">
        <v>585.03</v>
      </c>
      <c r="L1321" s="2" t="s">
        <v>22</v>
      </c>
      <c r="M1321" s="2" t="s">
        <v>3844</v>
      </c>
      <c r="N1321" s="2" t="s">
        <v>3843</v>
      </c>
    </row>
    <row r="1322" spans="1:14" x14ac:dyDescent="0.25">
      <c r="A1322" s="2" t="s">
        <v>3848</v>
      </c>
      <c r="B1322" s="2" t="s">
        <v>1039</v>
      </c>
      <c r="C1322" s="4">
        <v>45602</v>
      </c>
      <c r="D1322" s="4">
        <v>45662</v>
      </c>
      <c r="E1322" s="2" t="s">
        <v>3847</v>
      </c>
      <c r="F1322" s="2"/>
      <c r="G1322" s="2" t="s">
        <v>21</v>
      </c>
      <c r="H1322" s="2">
        <v>7295.94</v>
      </c>
      <c r="I1322" s="2">
        <v>364.8</v>
      </c>
      <c r="J1322" s="2">
        <v>7660.74</v>
      </c>
      <c r="K1322" s="2">
        <v>7660.74</v>
      </c>
      <c r="L1322" s="2" t="s">
        <v>22</v>
      </c>
      <c r="M1322" s="2" t="s">
        <v>3844</v>
      </c>
      <c r="N1322" s="2" t="s">
        <v>3843</v>
      </c>
    </row>
    <row r="1323" spans="1:14" x14ac:dyDescent="0.25">
      <c r="A1323" s="2" t="s">
        <v>3846</v>
      </c>
      <c r="B1323" s="2" t="s">
        <v>442</v>
      </c>
      <c r="C1323" s="4">
        <v>45587</v>
      </c>
      <c r="D1323" s="4">
        <v>45677</v>
      </c>
      <c r="E1323" s="2" t="s">
        <v>3845</v>
      </c>
      <c r="F1323" s="2"/>
      <c r="G1323" s="2" t="s">
        <v>71</v>
      </c>
      <c r="H1323" s="2">
        <v>3604.73</v>
      </c>
      <c r="I1323" s="2"/>
      <c r="J1323" s="2">
        <v>3604.73</v>
      </c>
      <c r="K1323" s="2">
        <v>2604</v>
      </c>
      <c r="L1323" s="2" t="s">
        <v>51</v>
      </c>
      <c r="M1323" s="2" t="s">
        <v>3844</v>
      </c>
      <c r="N1323" s="2" t="s">
        <v>3843</v>
      </c>
    </row>
  </sheetData>
  <autoFilter ref="A1:N132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U3015"/>
  <sheetViews>
    <sheetView showGridLines="0" zoomScaleNormal="100" workbookViewId="0">
      <pane xSplit="3" ySplit="1" topLeftCell="E3003" activePane="bottomRight" state="frozen"/>
      <selection pane="topRight" activeCell="D1" sqref="D1"/>
      <selection pane="bottomLeft" activeCell="A2" sqref="A2"/>
      <selection pane="bottomRight" activeCell="S2781" sqref="S2781:U3014"/>
    </sheetView>
  </sheetViews>
  <sheetFormatPr defaultColWidth="9.140625" defaultRowHeight="12" x14ac:dyDescent="0.2"/>
  <cols>
    <col min="1" max="1" width="19.7109375" style="6" customWidth="1"/>
    <col min="2" max="2" width="14.28515625" style="6" customWidth="1"/>
    <col min="3" max="3" width="23.7109375" style="6" customWidth="1"/>
    <col min="4" max="4" width="45.7109375" style="6" customWidth="1"/>
    <col min="5" max="5" width="12.28515625" style="6" customWidth="1"/>
    <col min="6" max="6" width="100" style="6" customWidth="1"/>
    <col min="7" max="7" width="10.7109375" style="6" customWidth="1"/>
    <col min="8" max="8" width="25.85546875" style="6" customWidth="1"/>
    <col min="9" max="9" width="24.42578125" style="6" customWidth="1"/>
    <col min="10" max="10" width="14.85546875" style="6" customWidth="1"/>
    <col min="11" max="11" width="16.85546875" style="6" customWidth="1"/>
    <col min="12" max="12" width="24.42578125" style="6" customWidth="1"/>
    <col min="13" max="13" width="24" style="6" customWidth="1"/>
    <col min="14" max="14" width="22.42578125" style="6" customWidth="1"/>
    <col min="15" max="15" width="12.85546875" style="6" customWidth="1"/>
    <col min="16" max="16" width="14.85546875" style="6" customWidth="1"/>
    <col min="17" max="17" width="22.42578125" style="6" customWidth="1"/>
    <col min="18" max="18" width="10.140625" style="6" customWidth="1"/>
    <col min="19" max="19" width="13" style="6" bestFit="1" customWidth="1"/>
    <col min="20" max="16384" width="9.140625" style="6"/>
  </cols>
  <sheetData>
    <row r="1" spans="1:21" s="8" customFormat="1" ht="12.2" customHeight="1" x14ac:dyDescent="0.2">
      <c r="A1" s="9" t="s">
        <v>3825</v>
      </c>
      <c r="B1" s="9" t="s">
        <v>3823</v>
      </c>
      <c r="C1" s="9" t="s">
        <v>3805</v>
      </c>
      <c r="D1" s="9" t="s">
        <v>2</v>
      </c>
      <c r="E1" s="9" t="s">
        <v>5775</v>
      </c>
      <c r="F1" s="9" t="s">
        <v>5774</v>
      </c>
      <c r="G1" s="10" t="s">
        <v>5773</v>
      </c>
      <c r="H1" s="10" t="s">
        <v>5772</v>
      </c>
      <c r="I1" s="10" t="s">
        <v>5771</v>
      </c>
      <c r="J1" s="10" t="s">
        <v>3814</v>
      </c>
      <c r="K1" s="10" t="s">
        <v>3815</v>
      </c>
      <c r="L1" s="10" t="s">
        <v>5770</v>
      </c>
      <c r="M1" s="10" t="s">
        <v>5769</v>
      </c>
      <c r="N1" s="10" t="s">
        <v>5768</v>
      </c>
      <c r="O1" s="10" t="s">
        <v>3809</v>
      </c>
      <c r="P1" s="10" t="s">
        <v>3810</v>
      </c>
      <c r="Q1" s="10" t="s">
        <v>5767</v>
      </c>
      <c r="R1" s="9" t="s">
        <v>3806</v>
      </c>
      <c r="S1" s="49" t="s">
        <v>5777</v>
      </c>
      <c r="T1" s="50" t="s">
        <v>5776</v>
      </c>
      <c r="U1" s="50" t="s">
        <v>4390</v>
      </c>
    </row>
    <row r="2" spans="1:21" ht="10.9" customHeight="1" x14ac:dyDescent="0.2">
      <c r="A2" s="78" t="s">
        <v>3802</v>
      </c>
      <c r="B2" s="79">
        <v>45659</v>
      </c>
      <c r="C2" s="78" t="s">
        <v>3395</v>
      </c>
      <c r="D2" s="78" t="s">
        <v>3801</v>
      </c>
      <c r="E2" s="78"/>
      <c r="F2" s="78" t="s">
        <v>4553</v>
      </c>
      <c r="G2" s="88">
        <v>2</v>
      </c>
      <c r="H2" s="88">
        <v>832.09</v>
      </c>
      <c r="I2" s="81">
        <v>0</v>
      </c>
      <c r="J2" s="81">
        <v>216.34</v>
      </c>
      <c r="K2" s="81">
        <v>1880.52</v>
      </c>
      <c r="L2" s="81">
        <v>3982.25</v>
      </c>
      <c r="M2" s="88">
        <v>832.09</v>
      </c>
      <c r="N2" s="81">
        <v>0</v>
      </c>
      <c r="O2" s="81">
        <v>216.34</v>
      </c>
      <c r="P2" s="81">
        <v>1880.52</v>
      </c>
      <c r="Q2" s="81">
        <v>3982.25</v>
      </c>
      <c r="R2" s="78" t="s">
        <v>3399</v>
      </c>
      <c r="S2" s="7">
        <f>IF(T2=1,A2,0)</f>
        <v>0</v>
      </c>
      <c r="T2" s="6">
        <f>IFERROR(FIND("Freight",F2,1),0)</f>
        <v>0</v>
      </c>
      <c r="U2" s="25">
        <f t="shared" ref="U2:U65" si="0">IF(T2=1,K2-J2,0)</f>
        <v>0</v>
      </c>
    </row>
    <row r="3" spans="1:21" ht="10.9" customHeight="1" x14ac:dyDescent="0.2">
      <c r="A3" s="82" t="s">
        <v>3802</v>
      </c>
      <c r="B3" s="83">
        <v>45659</v>
      </c>
      <c r="C3" s="82" t="s">
        <v>3395</v>
      </c>
      <c r="D3" s="82" t="s">
        <v>3801</v>
      </c>
      <c r="E3" s="82"/>
      <c r="F3" s="82" t="s">
        <v>4554</v>
      </c>
      <c r="G3" s="89">
        <v>2</v>
      </c>
      <c r="H3" s="89">
        <v>929.97</v>
      </c>
      <c r="I3" s="85">
        <v>0</v>
      </c>
      <c r="J3" s="85">
        <v>241.79</v>
      </c>
      <c r="K3" s="85">
        <v>2101.73</v>
      </c>
      <c r="L3" s="85">
        <v>3982.25</v>
      </c>
      <c r="M3" s="89">
        <v>929.97</v>
      </c>
      <c r="N3" s="85">
        <v>0</v>
      </c>
      <c r="O3" s="85">
        <v>241.79</v>
      </c>
      <c r="P3" s="85">
        <v>2101.73</v>
      </c>
      <c r="Q3" s="85">
        <v>3982.25</v>
      </c>
      <c r="R3" s="82" t="s">
        <v>3399</v>
      </c>
      <c r="S3" s="7">
        <f t="shared" ref="S3:S66" si="1">IF(T3=1,A3,0)</f>
        <v>0</v>
      </c>
      <c r="T3" s="6">
        <f t="shared" ref="T3:T66" si="2">IFERROR(FIND("Freight",F3,1),0)</f>
        <v>0</v>
      </c>
      <c r="U3" s="25">
        <f t="shared" si="0"/>
        <v>0</v>
      </c>
    </row>
    <row r="4" spans="1:21" ht="10.9" customHeight="1" x14ac:dyDescent="0.2">
      <c r="A4" s="82" t="s">
        <v>3802</v>
      </c>
      <c r="B4" s="83">
        <v>45659</v>
      </c>
      <c r="C4" s="82" t="s">
        <v>3395</v>
      </c>
      <c r="D4" s="82" t="s">
        <v>3801</v>
      </c>
      <c r="E4" s="82"/>
      <c r="F4" s="82" t="s">
        <v>4805</v>
      </c>
      <c r="G4" s="89">
        <v>2</v>
      </c>
      <c r="H4" s="89">
        <v>29.85</v>
      </c>
      <c r="I4" s="85">
        <v>59.7</v>
      </c>
      <c r="J4" s="85">
        <v>0</v>
      </c>
      <c r="K4" s="85">
        <v>0</v>
      </c>
      <c r="L4" s="85">
        <v>3982.25</v>
      </c>
      <c r="M4" s="89">
        <v>29.85</v>
      </c>
      <c r="N4" s="85">
        <v>59.7</v>
      </c>
      <c r="O4" s="85">
        <v>0</v>
      </c>
      <c r="P4" s="85">
        <v>0</v>
      </c>
      <c r="Q4" s="85">
        <v>3982.25</v>
      </c>
      <c r="R4" s="82" t="s">
        <v>3399</v>
      </c>
      <c r="S4" s="7">
        <f t="shared" si="1"/>
        <v>0</v>
      </c>
      <c r="T4" s="6">
        <f t="shared" si="2"/>
        <v>0</v>
      </c>
      <c r="U4" s="25">
        <f t="shared" si="0"/>
        <v>0</v>
      </c>
    </row>
    <row r="5" spans="1:21" ht="10.9" customHeight="1" x14ac:dyDescent="0.2">
      <c r="A5" s="82" t="s">
        <v>3798</v>
      </c>
      <c r="B5" s="83">
        <v>45659</v>
      </c>
      <c r="C5" s="82" t="s">
        <v>3395</v>
      </c>
      <c r="D5" s="82" t="s">
        <v>3797</v>
      </c>
      <c r="E5" s="82"/>
      <c r="F5" s="82" t="s">
        <v>4443</v>
      </c>
      <c r="G5" s="89">
        <v>1</v>
      </c>
      <c r="H5" s="89">
        <v>3077.78</v>
      </c>
      <c r="I5" s="85">
        <v>0</v>
      </c>
      <c r="J5" s="85">
        <v>153.88999999999999</v>
      </c>
      <c r="K5" s="85">
        <v>3231.67</v>
      </c>
      <c r="L5" s="85">
        <v>3231.67</v>
      </c>
      <c r="M5" s="89">
        <v>3077.78</v>
      </c>
      <c r="N5" s="85">
        <v>0</v>
      </c>
      <c r="O5" s="85">
        <v>153.88999999999999</v>
      </c>
      <c r="P5" s="85">
        <v>3231.67</v>
      </c>
      <c r="Q5" s="85">
        <v>3231.67</v>
      </c>
      <c r="R5" s="82" t="s">
        <v>3399</v>
      </c>
      <c r="S5" s="7">
        <f t="shared" si="1"/>
        <v>0</v>
      </c>
      <c r="T5" s="6">
        <f t="shared" si="2"/>
        <v>0</v>
      </c>
      <c r="U5" s="25">
        <f t="shared" si="0"/>
        <v>0</v>
      </c>
    </row>
    <row r="6" spans="1:21" ht="10.9" customHeight="1" x14ac:dyDescent="0.2">
      <c r="A6" s="82" t="s">
        <v>3800</v>
      </c>
      <c r="B6" s="83">
        <v>45659</v>
      </c>
      <c r="C6" s="82" t="s">
        <v>3395</v>
      </c>
      <c r="D6" s="82" t="s">
        <v>3799</v>
      </c>
      <c r="E6" s="82"/>
      <c r="F6" s="82" t="s">
        <v>4496</v>
      </c>
      <c r="G6" s="89">
        <v>1</v>
      </c>
      <c r="H6" s="89">
        <v>1741.62</v>
      </c>
      <c r="I6" s="85">
        <v>0</v>
      </c>
      <c r="J6" s="85">
        <v>87.08</v>
      </c>
      <c r="K6" s="85">
        <v>1828.7</v>
      </c>
      <c r="L6" s="85">
        <v>1828.7</v>
      </c>
      <c r="M6" s="89">
        <v>1741.62</v>
      </c>
      <c r="N6" s="85">
        <v>0</v>
      </c>
      <c r="O6" s="85">
        <v>87.08</v>
      </c>
      <c r="P6" s="85">
        <v>1828.7</v>
      </c>
      <c r="Q6" s="85">
        <v>1828.7</v>
      </c>
      <c r="R6" s="82" t="s">
        <v>3399</v>
      </c>
      <c r="S6" s="7">
        <f t="shared" si="1"/>
        <v>0</v>
      </c>
      <c r="T6" s="6">
        <f t="shared" si="2"/>
        <v>0</v>
      </c>
      <c r="U6" s="25">
        <f t="shared" si="0"/>
        <v>0</v>
      </c>
    </row>
    <row r="7" spans="1:21" ht="10.9" customHeight="1" x14ac:dyDescent="0.2">
      <c r="A7" s="82" t="s">
        <v>3796</v>
      </c>
      <c r="B7" s="83">
        <v>45660</v>
      </c>
      <c r="C7" s="82" t="s">
        <v>3395</v>
      </c>
      <c r="D7" s="82" t="s">
        <v>3795</v>
      </c>
      <c r="E7" s="82"/>
      <c r="F7" s="82" t="s">
        <v>4593</v>
      </c>
      <c r="G7" s="89">
        <v>1</v>
      </c>
      <c r="H7" s="89">
        <v>917.15</v>
      </c>
      <c r="I7" s="85">
        <v>0</v>
      </c>
      <c r="J7" s="85">
        <v>45.86</v>
      </c>
      <c r="K7" s="85">
        <v>963.01</v>
      </c>
      <c r="L7" s="85">
        <v>963.01</v>
      </c>
      <c r="M7" s="89">
        <v>917.15</v>
      </c>
      <c r="N7" s="85">
        <v>0</v>
      </c>
      <c r="O7" s="85">
        <v>45.86</v>
      </c>
      <c r="P7" s="85">
        <v>963.01</v>
      </c>
      <c r="Q7" s="85">
        <v>963.01</v>
      </c>
      <c r="R7" s="82" t="s">
        <v>3399</v>
      </c>
      <c r="S7" s="7">
        <f t="shared" si="1"/>
        <v>0</v>
      </c>
      <c r="T7" s="6">
        <f t="shared" si="2"/>
        <v>0</v>
      </c>
      <c r="U7" s="25">
        <f t="shared" si="0"/>
        <v>0</v>
      </c>
    </row>
    <row r="8" spans="1:21" ht="10.9" customHeight="1" x14ac:dyDescent="0.2">
      <c r="A8" s="82" t="s">
        <v>3794</v>
      </c>
      <c r="B8" s="83">
        <v>45660</v>
      </c>
      <c r="C8" s="82" t="s">
        <v>3395</v>
      </c>
      <c r="D8" s="82" t="s">
        <v>3793</v>
      </c>
      <c r="E8" s="82"/>
      <c r="F8" s="82" t="s">
        <v>5347</v>
      </c>
      <c r="G8" s="89">
        <v>4</v>
      </c>
      <c r="H8" s="89">
        <v>0</v>
      </c>
      <c r="I8" s="85">
        <v>0</v>
      </c>
      <c r="J8" s="85">
        <v>0</v>
      </c>
      <c r="K8" s="85">
        <v>0</v>
      </c>
      <c r="L8" s="85">
        <v>0</v>
      </c>
      <c r="M8" s="89">
        <v>0</v>
      </c>
      <c r="N8" s="85">
        <v>0</v>
      </c>
      <c r="O8" s="85">
        <v>0</v>
      </c>
      <c r="P8" s="85">
        <v>0</v>
      </c>
      <c r="Q8" s="85">
        <v>0</v>
      </c>
      <c r="R8" s="82" t="s">
        <v>3399</v>
      </c>
      <c r="S8" s="7">
        <f t="shared" si="1"/>
        <v>0</v>
      </c>
      <c r="T8" s="6">
        <f t="shared" si="2"/>
        <v>0</v>
      </c>
      <c r="U8" s="25">
        <f t="shared" si="0"/>
        <v>0</v>
      </c>
    </row>
    <row r="9" spans="1:21" ht="10.9" customHeight="1" x14ac:dyDescent="0.2">
      <c r="A9" s="82" t="s">
        <v>3790</v>
      </c>
      <c r="B9" s="83">
        <v>45663</v>
      </c>
      <c r="C9" s="82" t="s">
        <v>3395</v>
      </c>
      <c r="D9" s="82" t="s">
        <v>3789</v>
      </c>
      <c r="E9" s="82"/>
      <c r="F9" s="82" t="s">
        <v>5766</v>
      </c>
      <c r="G9" s="89">
        <v>2</v>
      </c>
      <c r="H9" s="89">
        <v>175</v>
      </c>
      <c r="I9" s="85">
        <v>0</v>
      </c>
      <c r="J9" s="85">
        <v>0</v>
      </c>
      <c r="K9" s="85">
        <v>350</v>
      </c>
      <c r="L9" s="85">
        <v>1890</v>
      </c>
      <c r="M9" s="89">
        <v>250.661387976561</v>
      </c>
      <c r="N9" s="85">
        <v>0</v>
      </c>
      <c r="O9" s="85">
        <v>0</v>
      </c>
      <c r="P9" s="85">
        <v>501.322775953122</v>
      </c>
      <c r="Q9" s="85">
        <v>2707.1429901468591</v>
      </c>
      <c r="R9" s="82" t="s">
        <v>3396</v>
      </c>
      <c r="S9" s="7">
        <f t="shared" si="1"/>
        <v>0</v>
      </c>
      <c r="T9" s="6">
        <f t="shared" si="2"/>
        <v>0</v>
      </c>
      <c r="U9" s="25">
        <f t="shared" si="0"/>
        <v>0</v>
      </c>
    </row>
    <row r="10" spans="1:21" ht="10.9" customHeight="1" x14ac:dyDescent="0.2">
      <c r="A10" s="82" t="s">
        <v>3790</v>
      </c>
      <c r="B10" s="83">
        <v>45663</v>
      </c>
      <c r="C10" s="82" t="s">
        <v>3395</v>
      </c>
      <c r="D10" s="82" t="s">
        <v>3789</v>
      </c>
      <c r="E10" s="82"/>
      <c r="F10" s="82" t="s">
        <v>5765</v>
      </c>
      <c r="G10" s="89">
        <v>4</v>
      </c>
      <c r="H10" s="89">
        <v>385</v>
      </c>
      <c r="I10" s="85">
        <v>0</v>
      </c>
      <c r="J10" s="85">
        <v>0</v>
      </c>
      <c r="K10" s="85">
        <v>1540</v>
      </c>
      <c r="L10" s="85">
        <v>1890</v>
      </c>
      <c r="M10" s="89">
        <v>551.45505354843419</v>
      </c>
      <c r="N10" s="85">
        <v>0</v>
      </c>
      <c r="O10" s="85">
        <v>0</v>
      </c>
      <c r="P10" s="85">
        <v>2205.8202141937368</v>
      </c>
      <c r="Q10" s="85">
        <v>2707.1429901468591</v>
      </c>
      <c r="R10" s="82" t="s">
        <v>3396</v>
      </c>
      <c r="S10" s="7">
        <f t="shared" si="1"/>
        <v>0</v>
      </c>
      <c r="T10" s="6">
        <f t="shared" si="2"/>
        <v>0</v>
      </c>
      <c r="U10" s="25">
        <f t="shared" si="0"/>
        <v>0</v>
      </c>
    </row>
    <row r="11" spans="1:21" ht="10.9" customHeight="1" x14ac:dyDescent="0.2">
      <c r="A11" s="82" t="s">
        <v>3786</v>
      </c>
      <c r="B11" s="83">
        <v>45663</v>
      </c>
      <c r="C11" s="82" t="s">
        <v>3395</v>
      </c>
      <c r="D11" s="82" t="s">
        <v>3785</v>
      </c>
      <c r="E11" s="82"/>
      <c r="F11" s="82" t="s">
        <v>5310</v>
      </c>
      <c r="G11" s="89">
        <v>3</v>
      </c>
      <c r="H11" s="89">
        <v>128</v>
      </c>
      <c r="I11" s="85">
        <v>0</v>
      </c>
      <c r="J11" s="85">
        <v>0</v>
      </c>
      <c r="K11" s="85">
        <v>384</v>
      </c>
      <c r="L11" s="85">
        <v>384</v>
      </c>
      <c r="M11" s="89">
        <v>183.34090091999892</v>
      </c>
      <c r="N11" s="85">
        <v>0</v>
      </c>
      <c r="O11" s="85">
        <v>0</v>
      </c>
      <c r="P11" s="85">
        <v>550.02270275999672</v>
      </c>
      <c r="Q11" s="85">
        <v>550.02270275999672</v>
      </c>
      <c r="R11" s="82" t="s">
        <v>3396</v>
      </c>
      <c r="S11" s="7">
        <f t="shared" si="1"/>
        <v>0</v>
      </c>
      <c r="T11" s="6">
        <f t="shared" si="2"/>
        <v>0</v>
      </c>
      <c r="U11" s="25">
        <f t="shared" si="0"/>
        <v>0</v>
      </c>
    </row>
    <row r="12" spans="1:21" ht="10.9" customHeight="1" x14ac:dyDescent="0.2">
      <c r="A12" s="82" t="s">
        <v>3791</v>
      </c>
      <c r="B12" s="83">
        <v>45663</v>
      </c>
      <c r="C12" s="82" t="s">
        <v>3395</v>
      </c>
      <c r="D12" s="82" t="s">
        <v>3686</v>
      </c>
      <c r="E12" s="82"/>
      <c r="F12" s="82" t="s">
        <v>5764</v>
      </c>
      <c r="G12" s="89">
        <v>30</v>
      </c>
      <c r="H12" s="89">
        <v>1</v>
      </c>
      <c r="I12" s="85">
        <v>0</v>
      </c>
      <c r="J12" s="85">
        <v>0</v>
      </c>
      <c r="K12" s="85">
        <v>30</v>
      </c>
      <c r="L12" s="85">
        <v>198</v>
      </c>
      <c r="M12" s="89">
        <v>1.4323507884374915</v>
      </c>
      <c r="N12" s="85">
        <v>0</v>
      </c>
      <c r="O12" s="85">
        <v>0</v>
      </c>
      <c r="P12" s="85">
        <v>42.970523653124744</v>
      </c>
      <c r="Q12" s="85">
        <v>283.60545611062332</v>
      </c>
      <c r="R12" s="82" t="s">
        <v>3396</v>
      </c>
      <c r="S12" s="7">
        <f t="shared" si="1"/>
        <v>0</v>
      </c>
      <c r="T12" s="6">
        <f t="shared" si="2"/>
        <v>0</v>
      </c>
      <c r="U12" s="25">
        <f t="shared" si="0"/>
        <v>0</v>
      </c>
    </row>
    <row r="13" spans="1:21" ht="10.9" customHeight="1" x14ac:dyDescent="0.2">
      <c r="A13" s="82" t="s">
        <v>3791</v>
      </c>
      <c r="B13" s="83">
        <v>45663</v>
      </c>
      <c r="C13" s="82" t="s">
        <v>3395</v>
      </c>
      <c r="D13" s="82" t="s">
        <v>3686</v>
      </c>
      <c r="E13" s="82"/>
      <c r="F13" s="82" t="s">
        <v>5689</v>
      </c>
      <c r="G13" s="89">
        <v>1</v>
      </c>
      <c r="H13" s="89">
        <v>168</v>
      </c>
      <c r="I13" s="85">
        <v>0</v>
      </c>
      <c r="J13" s="85">
        <v>0</v>
      </c>
      <c r="K13" s="85">
        <v>168</v>
      </c>
      <c r="L13" s="85">
        <v>198</v>
      </c>
      <c r="M13" s="89">
        <v>240.63493245749856</v>
      </c>
      <c r="N13" s="85">
        <v>0</v>
      </c>
      <c r="O13" s="85">
        <v>0</v>
      </c>
      <c r="P13" s="85">
        <v>240.63493245749856</v>
      </c>
      <c r="Q13" s="85">
        <v>283.60545611062332</v>
      </c>
      <c r="R13" s="82" t="s">
        <v>3396</v>
      </c>
      <c r="S13" s="7">
        <f t="shared" si="1"/>
        <v>0</v>
      </c>
      <c r="T13" s="6">
        <f t="shared" si="2"/>
        <v>0</v>
      </c>
      <c r="U13" s="25">
        <f t="shared" si="0"/>
        <v>0</v>
      </c>
    </row>
    <row r="14" spans="1:21" ht="10.9" customHeight="1" x14ac:dyDescent="0.2">
      <c r="A14" s="82" t="s">
        <v>3792</v>
      </c>
      <c r="B14" s="83">
        <v>45663</v>
      </c>
      <c r="C14" s="82" t="s">
        <v>3395</v>
      </c>
      <c r="D14" s="82" t="s">
        <v>3710</v>
      </c>
      <c r="E14" s="82"/>
      <c r="F14" s="82" t="s">
        <v>4848</v>
      </c>
      <c r="G14" s="89">
        <v>4</v>
      </c>
      <c r="H14" s="89">
        <v>16.98</v>
      </c>
      <c r="I14" s="85">
        <v>0</v>
      </c>
      <c r="J14" s="85">
        <v>3.4</v>
      </c>
      <c r="K14" s="85">
        <v>71.319999999999993</v>
      </c>
      <c r="L14" s="85">
        <v>993.45</v>
      </c>
      <c r="M14" s="89">
        <v>16.98</v>
      </c>
      <c r="N14" s="85">
        <v>0</v>
      </c>
      <c r="O14" s="85">
        <v>3.4</v>
      </c>
      <c r="P14" s="85">
        <v>71.319999999999993</v>
      </c>
      <c r="Q14" s="85">
        <v>993.45</v>
      </c>
      <c r="R14" s="82" t="s">
        <v>3399</v>
      </c>
      <c r="S14" s="7">
        <f t="shared" si="1"/>
        <v>0</v>
      </c>
      <c r="T14" s="6">
        <f t="shared" si="2"/>
        <v>0</v>
      </c>
      <c r="U14" s="25">
        <f t="shared" si="0"/>
        <v>0</v>
      </c>
    </row>
    <row r="15" spans="1:21" ht="10.9" customHeight="1" x14ac:dyDescent="0.2">
      <c r="A15" s="82" t="s">
        <v>3792</v>
      </c>
      <c r="B15" s="83">
        <v>45663</v>
      </c>
      <c r="C15" s="82" t="s">
        <v>3395</v>
      </c>
      <c r="D15" s="82" t="s">
        <v>3710</v>
      </c>
      <c r="E15" s="82"/>
      <c r="F15" s="82" t="s">
        <v>4893</v>
      </c>
      <c r="G15" s="89">
        <v>2</v>
      </c>
      <c r="H15" s="89">
        <v>439.11</v>
      </c>
      <c r="I15" s="85">
        <v>0</v>
      </c>
      <c r="J15" s="85">
        <v>43.91</v>
      </c>
      <c r="K15" s="85">
        <v>922.13</v>
      </c>
      <c r="L15" s="85">
        <v>993.45</v>
      </c>
      <c r="M15" s="89">
        <v>439.11</v>
      </c>
      <c r="N15" s="85">
        <v>0</v>
      </c>
      <c r="O15" s="85">
        <v>43.91</v>
      </c>
      <c r="P15" s="85">
        <v>922.13</v>
      </c>
      <c r="Q15" s="85">
        <v>993.45</v>
      </c>
      <c r="R15" s="82" t="s">
        <v>3399</v>
      </c>
      <c r="S15" s="7">
        <f t="shared" si="1"/>
        <v>0</v>
      </c>
      <c r="T15" s="6">
        <f t="shared" si="2"/>
        <v>0</v>
      </c>
      <c r="U15" s="25">
        <f t="shared" si="0"/>
        <v>0</v>
      </c>
    </row>
    <row r="16" spans="1:21" ht="10.9" customHeight="1" x14ac:dyDescent="0.2">
      <c r="A16" s="82" t="s">
        <v>3788</v>
      </c>
      <c r="B16" s="83">
        <v>45663</v>
      </c>
      <c r="C16" s="82" t="s">
        <v>3395</v>
      </c>
      <c r="D16" s="82" t="s">
        <v>3787</v>
      </c>
      <c r="E16" s="82"/>
      <c r="F16" s="82" t="s">
        <v>4569</v>
      </c>
      <c r="G16" s="89">
        <v>1</v>
      </c>
      <c r="H16" s="89">
        <v>1946.57</v>
      </c>
      <c r="I16" s="85">
        <v>0</v>
      </c>
      <c r="J16" s="85">
        <v>97.33</v>
      </c>
      <c r="K16" s="85">
        <v>2043.9</v>
      </c>
      <c r="L16" s="85">
        <v>2758.72</v>
      </c>
      <c r="M16" s="89">
        <v>1946.57</v>
      </c>
      <c r="N16" s="85">
        <v>0</v>
      </c>
      <c r="O16" s="85">
        <v>97.33</v>
      </c>
      <c r="P16" s="85">
        <v>2043.9</v>
      </c>
      <c r="Q16" s="85">
        <v>2758.72</v>
      </c>
      <c r="R16" s="82" t="s">
        <v>3399</v>
      </c>
      <c r="S16" s="7">
        <f t="shared" si="1"/>
        <v>0</v>
      </c>
      <c r="T16" s="6">
        <f t="shared" si="2"/>
        <v>0</v>
      </c>
      <c r="U16" s="25">
        <f t="shared" si="0"/>
        <v>0</v>
      </c>
    </row>
    <row r="17" spans="1:21" ht="10.9" customHeight="1" x14ac:dyDescent="0.2">
      <c r="A17" s="82" t="s">
        <v>3788</v>
      </c>
      <c r="B17" s="83">
        <v>45663</v>
      </c>
      <c r="C17" s="82" t="s">
        <v>3395</v>
      </c>
      <c r="D17" s="82" t="s">
        <v>3787</v>
      </c>
      <c r="E17" s="82"/>
      <c r="F17" s="82" t="s">
        <v>4680</v>
      </c>
      <c r="G17" s="89">
        <v>1</v>
      </c>
      <c r="H17" s="89">
        <v>680.78</v>
      </c>
      <c r="I17" s="85">
        <v>0</v>
      </c>
      <c r="J17" s="85">
        <v>34.04</v>
      </c>
      <c r="K17" s="85">
        <v>714.82</v>
      </c>
      <c r="L17" s="85">
        <v>2758.72</v>
      </c>
      <c r="M17" s="89">
        <v>680.78</v>
      </c>
      <c r="N17" s="85">
        <v>0</v>
      </c>
      <c r="O17" s="85">
        <v>34.04</v>
      </c>
      <c r="P17" s="85">
        <v>714.82</v>
      </c>
      <c r="Q17" s="85">
        <v>2758.72</v>
      </c>
      <c r="R17" s="82" t="s">
        <v>3399</v>
      </c>
      <c r="S17" s="7">
        <f t="shared" si="1"/>
        <v>0</v>
      </c>
      <c r="T17" s="6">
        <f t="shared" si="2"/>
        <v>0</v>
      </c>
      <c r="U17" s="25">
        <f t="shared" si="0"/>
        <v>0</v>
      </c>
    </row>
    <row r="18" spans="1:21" ht="10.9" customHeight="1" x14ac:dyDescent="0.2">
      <c r="A18" s="82" t="s">
        <v>3784</v>
      </c>
      <c r="B18" s="83">
        <v>45664</v>
      </c>
      <c r="C18" s="82" t="s">
        <v>3395</v>
      </c>
      <c r="D18" s="82" t="s">
        <v>3783</v>
      </c>
      <c r="E18" s="82"/>
      <c r="F18" s="82" t="s">
        <v>5121</v>
      </c>
      <c r="G18" s="89">
        <v>1</v>
      </c>
      <c r="H18" s="89">
        <v>78.48</v>
      </c>
      <c r="I18" s="85">
        <v>0</v>
      </c>
      <c r="J18" s="85">
        <v>0</v>
      </c>
      <c r="K18" s="85">
        <v>78.48</v>
      </c>
      <c r="L18" s="85">
        <v>1796.14</v>
      </c>
      <c r="M18" s="89">
        <v>112.61800998465996</v>
      </c>
      <c r="N18" s="85">
        <v>0</v>
      </c>
      <c r="O18" s="85">
        <v>0</v>
      </c>
      <c r="P18" s="85">
        <v>112.61800998465996</v>
      </c>
      <c r="Q18" s="85">
        <v>2577.4428192386231</v>
      </c>
      <c r="R18" s="82" t="s">
        <v>3399</v>
      </c>
      <c r="S18" s="7">
        <f t="shared" si="1"/>
        <v>0</v>
      </c>
      <c r="T18" s="6">
        <f t="shared" si="2"/>
        <v>0</v>
      </c>
      <c r="U18" s="25">
        <f t="shared" si="0"/>
        <v>0</v>
      </c>
    </row>
    <row r="19" spans="1:21" ht="10.9" customHeight="1" x14ac:dyDescent="0.2">
      <c r="A19" s="82" t="s">
        <v>3784</v>
      </c>
      <c r="B19" s="83">
        <v>45664</v>
      </c>
      <c r="C19" s="82" t="s">
        <v>3395</v>
      </c>
      <c r="D19" s="82" t="s">
        <v>3783</v>
      </c>
      <c r="E19" s="82"/>
      <c r="F19" s="82" t="s">
        <v>5120</v>
      </c>
      <c r="G19" s="89">
        <v>1</v>
      </c>
      <c r="H19" s="89">
        <v>87.88</v>
      </c>
      <c r="I19" s="85">
        <v>0</v>
      </c>
      <c r="J19" s="85">
        <v>0</v>
      </c>
      <c r="K19" s="85">
        <v>87.88</v>
      </c>
      <c r="L19" s="85">
        <v>1796.14</v>
      </c>
      <c r="M19" s="89">
        <v>126.10691535998875</v>
      </c>
      <c r="N19" s="85">
        <v>0</v>
      </c>
      <c r="O19" s="85">
        <v>0</v>
      </c>
      <c r="P19" s="85">
        <v>126.10691535998875</v>
      </c>
      <c r="Q19" s="85">
        <v>2577.4428192386231</v>
      </c>
      <c r="R19" s="82" t="s">
        <v>3399</v>
      </c>
      <c r="S19" s="7">
        <f t="shared" si="1"/>
        <v>0</v>
      </c>
      <c r="T19" s="6">
        <f t="shared" si="2"/>
        <v>0</v>
      </c>
      <c r="U19" s="25">
        <f t="shared" si="0"/>
        <v>0</v>
      </c>
    </row>
    <row r="20" spans="1:21" ht="10.9" customHeight="1" x14ac:dyDescent="0.2">
      <c r="A20" s="82" t="s">
        <v>3784</v>
      </c>
      <c r="B20" s="83">
        <v>45664</v>
      </c>
      <c r="C20" s="82" t="s">
        <v>3395</v>
      </c>
      <c r="D20" s="82" t="s">
        <v>3783</v>
      </c>
      <c r="E20" s="82"/>
      <c r="F20" s="82" t="s">
        <v>5763</v>
      </c>
      <c r="G20" s="89">
        <v>1</v>
      </c>
      <c r="H20" s="89">
        <v>1629.78</v>
      </c>
      <c r="I20" s="85">
        <v>0</v>
      </c>
      <c r="J20" s="85">
        <v>0</v>
      </c>
      <c r="K20" s="85">
        <v>1629.78</v>
      </c>
      <c r="L20" s="85">
        <v>1796.14</v>
      </c>
      <c r="M20" s="89">
        <v>2338.7178938939742</v>
      </c>
      <c r="N20" s="85">
        <v>0</v>
      </c>
      <c r="O20" s="85">
        <v>0</v>
      </c>
      <c r="P20" s="85">
        <v>2338.7178938939742</v>
      </c>
      <c r="Q20" s="85">
        <v>2577.4428192386231</v>
      </c>
      <c r="R20" s="82" t="s">
        <v>3399</v>
      </c>
      <c r="S20" s="7">
        <f t="shared" si="1"/>
        <v>0</v>
      </c>
      <c r="T20" s="6">
        <f t="shared" si="2"/>
        <v>0</v>
      </c>
      <c r="U20" s="25">
        <f t="shared" si="0"/>
        <v>0</v>
      </c>
    </row>
    <row r="21" spans="1:21" ht="10.9" customHeight="1" x14ac:dyDescent="0.2">
      <c r="A21" s="82" t="s">
        <v>2275</v>
      </c>
      <c r="B21" s="83">
        <v>45664</v>
      </c>
      <c r="C21" s="82" t="s">
        <v>3395</v>
      </c>
      <c r="D21" s="82" t="s">
        <v>2258</v>
      </c>
      <c r="E21" s="82"/>
      <c r="F21" s="82" t="s">
        <v>4417</v>
      </c>
      <c r="G21" s="89">
        <v>3</v>
      </c>
      <c r="H21" s="89">
        <v>1769.36</v>
      </c>
      <c r="I21" s="85">
        <v>0</v>
      </c>
      <c r="J21" s="85">
        <v>690.05</v>
      </c>
      <c r="K21" s="85">
        <v>5998.13</v>
      </c>
      <c r="L21" s="85">
        <v>20655.240000000002</v>
      </c>
      <c r="M21" s="89">
        <v>1769.36</v>
      </c>
      <c r="N21" s="85">
        <v>0</v>
      </c>
      <c r="O21" s="85">
        <v>690.05</v>
      </c>
      <c r="P21" s="85">
        <v>5998.13</v>
      </c>
      <c r="Q21" s="85">
        <v>20655.240000000002</v>
      </c>
      <c r="R21" s="82" t="s">
        <v>3399</v>
      </c>
      <c r="S21" s="7">
        <f t="shared" si="1"/>
        <v>0</v>
      </c>
      <c r="T21" s="6">
        <f t="shared" si="2"/>
        <v>0</v>
      </c>
      <c r="U21" s="25">
        <f t="shared" si="0"/>
        <v>0</v>
      </c>
    </row>
    <row r="22" spans="1:21" ht="10.9" customHeight="1" x14ac:dyDescent="0.2">
      <c r="A22" s="82" t="s">
        <v>2275</v>
      </c>
      <c r="B22" s="83">
        <v>45664</v>
      </c>
      <c r="C22" s="82" t="s">
        <v>3395</v>
      </c>
      <c r="D22" s="82" t="s">
        <v>2258</v>
      </c>
      <c r="E22" s="82"/>
      <c r="F22" s="82" t="s">
        <v>4418</v>
      </c>
      <c r="G22" s="89">
        <v>3</v>
      </c>
      <c r="H22" s="89">
        <v>2165.48</v>
      </c>
      <c r="I22" s="85">
        <v>0</v>
      </c>
      <c r="J22" s="85">
        <v>844.54</v>
      </c>
      <c r="K22" s="85">
        <v>7340.98</v>
      </c>
      <c r="L22" s="85">
        <v>20655.240000000002</v>
      </c>
      <c r="M22" s="89">
        <v>2165.48</v>
      </c>
      <c r="N22" s="85">
        <v>0</v>
      </c>
      <c r="O22" s="85">
        <v>844.54</v>
      </c>
      <c r="P22" s="85">
        <v>7340.98</v>
      </c>
      <c r="Q22" s="85">
        <v>20655.240000000002</v>
      </c>
      <c r="R22" s="82" t="s">
        <v>3399</v>
      </c>
      <c r="S22" s="7">
        <f t="shared" si="1"/>
        <v>0</v>
      </c>
      <c r="T22" s="6">
        <f t="shared" si="2"/>
        <v>0</v>
      </c>
      <c r="U22" s="25">
        <f t="shared" si="0"/>
        <v>0</v>
      </c>
    </row>
    <row r="23" spans="1:21" ht="10.9" customHeight="1" x14ac:dyDescent="0.2">
      <c r="A23" s="82" t="s">
        <v>2275</v>
      </c>
      <c r="B23" s="83">
        <v>45664</v>
      </c>
      <c r="C23" s="82" t="s">
        <v>3395</v>
      </c>
      <c r="D23" s="82" t="s">
        <v>2258</v>
      </c>
      <c r="E23" s="82"/>
      <c r="F23" s="82" t="s">
        <v>4416</v>
      </c>
      <c r="G23" s="89">
        <v>3</v>
      </c>
      <c r="H23" s="89">
        <v>2158.15</v>
      </c>
      <c r="I23" s="85">
        <v>0</v>
      </c>
      <c r="J23" s="85">
        <v>841.68</v>
      </c>
      <c r="K23" s="85">
        <v>7316.13</v>
      </c>
      <c r="L23" s="85">
        <v>20655.240000000002</v>
      </c>
      <c r="M23" s="89">
        <v>2158.15</v>
      </c>
      <c r="N23" s="85">
        <v>0</v>
      </c>
      <c r="O23" s="85">
        <v>841.68</v>
      </c>
      <c r="P23" s="85">
        <v>7316.13</v>
      </c>
      <c r="Q23" s="85">
        <v>20655.240000000002</v>
      </c>
      <c r="R23" s="82" t="s">
        <v>3399</v>
      </c>
      <c r="S23" s="7">
        <f t="shared" si="1"/>
        <v>0</v>
      </c>
      <c r="T23" s="6">
        <f t="shared" si="2"/>
        <v>0</v>
      </c>
      <c r="U23" s="25">
        <f t="shared" si="0"/>
        <v>0</v>
      </c>
    </row>
    <row r="24" spans="1:21" ht="10.9" customHeight="1" x14ac:dyDescent="0.2">
      <c r="A24" s="82" t="s">
        <v>2274</v>
      </c>
      <c r="B24" s="83">
        <v>45664</v>
      </c>
      <c r="C24" s="82" t="s">
        <v>3395</v>
      </c>
      <c r="D24" s="82" t="s">
        <v>2260</v>
      </c>
      <c r="E24" s="82"/>
      <c r="F24" s="82" t="s">
        <v>4737</v>
      </c>
      <c r="G24" s="89">
        <v>1</v>
      </c>
      <c r="H24" s="89">
        <v>958.11</v>
      </c>
      <c r="I24" s="85">
        <v>0</v>
      </c>
      <c r="J24" s="85">
        <v>47.91</v>
      </c>
      <c r="K24" s="85">
        <v>1006.02</v>
      </c>
      <c r="L24" s="85">
        <v>1006.02</v>
      </c>
      <c r="M24" s="89">
        <v>958.11</v>
      </c>
      <c r="N24" s="85">
        <v>0</v>
      </c>
      <c r="O24" s="85">
        <v>47.91</v>
      </c>
      <c r="P24" s="85">
        <v>1006.02</v>
      </c>
      <c r="Q24" s="85">
        <v>1006.02</v>
      </c>
      <c r="R24" s="82" t="s">
        <v>3399</v>
      </c>
      <c r="S24" s="7">
        <f t="shared" si="1"/>
        <v>0</v>
      </c>
      <c r="T24" s="6">
        <f t="shared" si="2"/>
        <v>0</v>
      </c>
      <c r="U24" s="25">
        <f t="shared" si="0"/>
        <v>0</v>
      </c>
    </row>
    <row r="25" spans="1:21" ht="10.9" customHeight="1" x14ac:dyDescent="0.2">
      <c r="A25" s="82" t="s">
        <v>3782</v>
      </c>
      <c r="B25" s="83">
        <v>45665</v>
      </c>
      <c r="C25" s="82" t="s">
        <v>3395</v>
      </c>
      <c r="D25" s="82" t="s">
        <v>3696</v>
      </c>
      <c r="E25" s="82"/>
      <c r="F25" s="82" t="s">
        <v>5762</v>
      </c>
      <c r="G25" s="89">
        <v>5</v>
      </c>
      <c r="H25" s="89">
        <v>2009.98</v>
      </c>
      <c r="I25" s="85">
        <v>10049.9</v>
      </c>
      <c r="J25" s="85">
        <v>0</v>
      </c>
      <c r="K25" s="85">
        <v>0</v>
      </c>
      <c r="L25" s="85">
        <v>0</v>
      </c>
      <c r="M25" s="89">
        <v>2892.5819645000388</v>
      </c>
      <c r="N25" s="85">
        <v>14462.909822500194</v>
      </c>
      <c r="O25" s="85">
        <v>0</v>
      </c>
      <c r="P25" s="85">
        <v>0</v>
      </c>
      <c r="Q25" s="85">
        <v>0</v>
      </c>
      <c r="R25" s="82" t="s">
        <v>3399</v>
      </c>
      <c r="S25" s="7">
        <f t="shared" si="1"/>
        <v>0</v>
      </c>
      <c r="T25" s="6">
        <f t="shared" si="2"/>
        <v>0</v>
      </c>
      <c r="U25" s="25">
        <f t="shared" si="0"/>
        <v>0</v>
      </c>
    </row>
    <row r="26" spans="1:21" ht="10.9" customHeight="1" x14ac:dyDescent="0.2">
      <c r="A26" s="82" t="s">
        <v>3773</v>
      </c>
      <c r="B26" s="83">
        <v>45665</v>
      </c>
      <c r="C26" s="82" t="s">
        <v>3395</v>
      </c>
      <c r="D26" s="82" t="s">
        <v>3772</v>
      </c>
      <c r="E26" s="82"/>
      <c r="F26" s="82" t="s">
        <v>4634</v>
      </c>
      <c r="G26" s="89">
        <v>1</v>
      </c>
      <c r="H26" s="89">
        <v>968.42</v>
      </c>
      <c r="I26" s="85">
        <v>0</v>
      </c>
      <c r="J26" s="85">
        <v>0</v>
      </c>
      <c r="K26" s="85">
        <v>968.42</v>
      </c>
      <c r="L26" s="85">
        <v>968.42</v>
      </c>
      <c r="M26" s="89">
        <v>1392.210167064645</v>
      </c>
      <c r="N26" s="85">
        <v>0</v>
      </c>
      <c r="O26" s="85">
        <v>0</v>
      </c>
      <c r="P26" s="85">
        <v>1392.210167064645</v>
      </c>
      <c r="Q26" s="85">
        <v>1392.210167064645</v>
      </c>
      <c r="R26" s="82" t="s">
        <v>3399</v>
      </c>
      <c r="S26" s="7">
        <f t="shared" si="1"/>
        <v>0</v>
      </c>
      <c r="T26" s="6">
        <f t="shared" si="2"/>
        <v>0</v>
      </c>
      <c r="U26" s="25">
        <f t="shared" si="0"/>
        <v>0</v>
      </c>
    </row>
    <row r="27" spans="1:21" ht="10.9" customHeight="1" x14ac:dyDescent="0.2">
      <c r="A27" s="82" t="s">
        <v>3775</v>
      </c>
      <c r="B27" s="83">
        <v>45665</v>
      </c>
      <c r="C27" s="82" t="s">
        <v>3395</v>
      </c>
      <c r="D27" s="82" t="s">
        <v>3774</v>
      </c>
      <c r="E27" s="82"/>
      <c r="F27" s="82" t="s">
        <v>4546</v>
      </c>
      <c r="G27" s="89">
        <v>8</v>
      </c>
      <c r="H27" s="89">
        <v>1236.6500000000001</v>
      </c>
      <c r="I27" s="85">
        <v>0</v>
      </c>
      <c r="J27" s="85">
        <v>0</v>
      </c>
      <c r="K27" s="85">
        <v>9893.2000000000007</v>
      </c>
      <c r="L27" s="85">
        <v>23897.1</v>
      </c>
      <c r="M27" s="89">
        <v>1777.8202671366694</v>
      </c>
      <c r="N27" s="85">
        <v>0</v>
      </c>
      <c r="O27" s="85">
        <v>0</v>
      </c>
      <c r="P27" s="85">
        <v>14222.562137093355</v>
      </c>
      <c r="Q27" s="85">
        <v>34354.707237934497</v>
      </c>
      <c r="R27" s="82" t="s">
        <v>3399</v>
      </c>
      <c r="S27" s="7">
        <f t="shared" si="1"/>
        <v>0</v>
      </c>
      <c r="T27" s="6">
        <f t="shared" si="2"/>
        <v>0</v>
      </c>
      <c r="U27" s="25">
        <f t="shared" si="0"/>
        <v>0</v>
      </c>
    </row>
    <row r="28" spans="1:21" ht="10.9" customHeight="1" x14ac:dyDescent="0.2">
      <c r="A28" s="82" t="s">
        <v>3775</v>
      </c>
      <c r="B28" s="83">
        <v>45665</v>
      </c>
      <c r="C28" s="82" t="s">
        <v>3395</v>
      </c>
      <c r="D28" s="82" t="s">
        <v>3774</v>
      </c>
      <c r="E28" s="82"/>
      <c r="F28" s="82" t="s">
        <v>4631</v>
      </c>
      <c r="G28" s="89">
        <v>9</v>
      </c>
      <c r="H28" s="89">
        <v>931.43</v>
      </c>
      <c r="I28" s="85">
        <v>0</v>
      </c>
      <c r="J28" s="85">
        <v>0</v>
      </c>
      <c r="K28" s="85">
        <v>8382.8700000000008</v>
      </c>
      <c r="L28" s="85">
        <v>23897.1</v>
      </c>
      <c r="M28" s="89">
        <v>1339.0329773332048</v>
      </c>
      <c r="N28" s="85">
        <v>0</v>
      </c>
      <c r="O28" s="85">
        <v>0</v>
      </c>
      <c r="P28" s="85">
        <v>12051.296795998844</v>
      </c>
      <c r="Q28" s="85">
        <v>34354.707237934497</v>
      </c>
      <c r="R28" s="82" t="s">
        <v>3399</v>
      </c>
      <c r="S28" s="7">
        <f t="shared" si="1"/>
        <v>0</v>
      </c>
      <c r="T28" s="6">
        <f t="shared" si="2"/>
        <v>0</v>
      </c>
      <c r="U28" s="25">
        <f t="shared" si="0"/>
        <v>0</v>
      </c>
    </row>
    <row r="29" spans="1:21" ht="10.9" customHeight="1" x14ac:dyDescent="0.2">
      <c r="A29" s="82" t="s">
        <v>3775</v>
      </c>
      <c r="B29" s="83">
        <v>45665</v>
      </c>
      <c r="C29" s="82" t="s">
        <v>3395</v>
      </c>
      <c r="D29" s="82" t="s">
        <v>3774</v>
      </c>
      <c r="E29" s="82"/>
      <c r="F29" s="82" t="s">
        <v>4629</v>
      </c>
      <c r="G29" s="89">
        <v>8</v>
      </c>
      <c r="H29" s="89">
        <v>592.79999999999995</v>
      </c>
      <c r="I29" s="85">
        <v>0</v>
      </c>
      <c r="J29" s="85">
        <v>0</v>
      </c>
      <c r="K29" s="85">
        <v>4742.3999999999996</v>
      </c>
      <c r="L29" s="85">
        <v>23897.1</v>
      </c>
      <c r="M29" s="89">
        <v>852.21514119485505</v>
      </c>
      <c r="N29" s="85">
        <v>0</v>
      </c>
      <c r="O29" s="85">
        <v>0</v>
      </c>
      <c r="P29" s="85">
        <v>6817.7211295588404</v>
      </c>
      <c r="Q29" s="85">
        <v>34354.707237934497</v>
      </c>
      <c r="R29" s="82" t="s">
        <v>3399</v>
      </c>
      <c r="S29" s="7">
        <f t="shared" si="1"/>
        <v>0</v>
      </c>
      <c r="T29" s="6">
        <f t="shared" si="2"/>
        <v>0</v>
      </c>
      <c r="U29" s="25">
        <f t="shared" si="0"/>
        <v>0</v>
      </c>
    </row>
    <row r="30" spans="1:21" ht="10.9" customHeight="1" x14ac:dyDescent="0.2">
      <c r="A30" s="82" t="s">
        <v>3775</v>
      </c>
      <c r="B30" s="83">
        <v>45665</v>
      </c>
      <c r="C30" s="82" t="s">
        <v>3395</v>
      </c>
      <c r="D30" s="82" t="s">
        <v>3774</v>
      </c>
      <c r="E30" s="82"/>
      <c r="F30" s="82" t="s">
        <v>4633</v>
      </c>
      <c r="G30" s="89">
        <v>1</v>
      </c>
      <c r="H30" s="89">
        <v>878.63</v>
      </c>
      <c r="I30" s="85">
        <v>0</v>
      </c>
      <c r="J30" s="85">
        <v>0</v>
      </c>
      <c r="K30" s="85">
        <v>878.63</v>
      </c>
      <c r="L30" s="85">
        <v>23897.1</v>
      </c>
      <c r="M30" s="89">
        <v>1263.1271752834607</v>
      </c>
      <c r="N30" s="85">
        <v>0</v>
      </c>
      <c r="O30" s="85">
        <v>0</v>
      </c>
      <c r="P30" s="85">
        <v>1263.1271752834607</v>
      </c>
      <c r="Q30" s="85">
        <v>34354.707237934497</v>
      </c>
      <c r="R30" s="82" t="s">
        <v>3399</v>
      </c>
      <c r="S30" s="7">
        <f t="shared" si="1"/>
        <v>0</v>
      </c>
      <c r="T30" s="6">
        <f t="shared" si="2"/>
        <v>0</v>
      </c>
      <c r="U30" s="25">
        <f t="shared" si="0"/>
        <v>0</v>
      </c>
    </row>
    <row r="31" spans="1:21" ht="10.9" customHeight="1" x14ac:dyDescent="0.2">
      <c r="A31" s="82" t="s">
        <v>3777</v>
      </c>
      <c r="B31" s="83">
        <v>45665</v>
      </c>
      <c r="C31" s="82" t="s">
        <v>3395</v>
      </c>
      <c r="D31" s="82" t="s">
        <v>3776</v>
      </c>
      <c r="E31" s="82"/>
      <c r="F31" s="82" t="s">
        <v>4765</v>
      </c>
      <c r="G31" s="89">
        <v>4</v>
      </c>
      <c r="H31" s="89">
        <v>5193.5</v>
      </c>
      <c r="I31" s="85">
        <v>0</v>
      </c>
      <c r="J31" s="85">
        <v>0</v>
      </c>
      <c r="K31" s="85">
        <v>20774</v>
      </c>
      <c r="L31" s="85">
        <v>20774</v>
      </c>
      <c r="M31" s="89">
        <v>7466.2269497224697</v>
      </c>
      <c r="N31" s="85">
        <v>0</v>
      </c>
      <c r="O31" s="85">
        <v>0</v>
      </c>
      <c r="P31" s="85">
        <v>29864.907798889879</v>
      </c>
      <c r="Q31" s="85">
        <v>29864.907798889879</v>
      </c>
      <c r="R31" s="82" t="s">
        <v>3399</v>
      </c>
      <c r="S31" s="7">
        <f t="shared" si="1"/>
        <v>0</v>
      </c>
      <c r="T31" s="6">
        <f t="shared" si="2"/>
        <v>0</v>
      </c>
      <c r="U31" s="25">
        <f t="shared" si="0"/>
        <v>0</v>
      </c>
    </row>
    <row r="32" spans="1:21" ht="10.9" customHeight="1" x14ac:dyDescent="0.2">
      <c r="A32" s="82" t="s">
        <v>3781</v>
      </c>
      <c r="B32" s="83">
        <v>45665</v>
      </c>
      <c r="C32" s="82" t="s">
        <v>3395</v>
      </c>
      <c r="D32" s="82" t="s">
        <v>3780</v>
      </c>
      <c r="E32" s="82"/>
      <c r="F32" s="82" t="s">
        <v>4634</v>
      </c>
      <c r="G32" s="89">
        <v>1</v>
      </c>
      <c r="H32" s="89">
        <v>968.42</v>
      </c>
      <c r="I32" s="85">
        <v>0</v>
      </c>
      <c r="J32" s="85">
        <v>0</v>
      </c>
      <c r="K32" s="85">
        <v>968.42</v>
      </c>
      <c r="L32" s="85">
        <v>968.42</v>
      </c>
      <c r="M32" s="89">
        <v>1392.210167064645</v>
      </c>
      <c r="N32" s="85">
        <v>0</v>
      </c>
      <c r="O32" s="85">
        <v>0</v>
      </c>
      <c r="P32" s="85">
        <v>1392.210167064645</v>
      </c>
      <c r="Q32" s="85">
        <v>1392.210167064645</v>
      </c>
      <c r="R32" s="82" t="s">
        <v>3399</v>
      </c>
      <c r="S32" s="7">
        <f t="shared" si="1"/>
        <v>0</v>
      </c>
      <c r="T32" s="6">
        <f t="shared" si="2"/>
        <v>0</v>
      </c>
      <c r="U32" s="25">
        <f t="shared" si="0"/>
        <v>0</v>
      </c>
    </row>
    <row r="33" spans="1:21" ht="10.9" customHeight="1" x14ac:dyDescent="0.2">
      <c r="A33" s="82" t="s">
        <v>3779</v>
      </c>
      <c r="B33" s="83">
        <v>45665</v>
      </c>
      <c r="C33" s="82" t="s">
        <v>3395</v>
      </c>
      <c r="D33" s="82" t="s">
        <v>3778</v>
      </c>
      <c r="E33" s="82"/>
      <c r="F33" s="82" t="s">
        <v>5602</v>
      </c>
      <c r="G33" s="89">
        <v>1</v>
      </c>
      <c r="H33" s="89">
        <v>160</v>
      </c>
      <c r="I33" s="85">
        <v>0</v>
      </c>
      <c r="J33" s="85">
        <v>0</v>
      </c>
      <c r="K33" s="85">
        <v>160</v>
      </c>
      <c r="L33" s="85">
        <v>160</v>
      </c>
      <c r="M33" s="89">
        <v>230.01758196892175</v>
      </c>
      <c r="N33" s="85">
        <v>0</v>
      </c>
      <c r="O33" s="85">
        <v>0</v>
      </c>
      <c r="P33" s="85">
        <v>230.01758196892175</v>
      </c>
      <c r="Q33" s="85">
        <v>230.01758196892175</v>
      </c>
      <c r="R33" s="82" t="s">
        <v>3399</v>
      </c>
      <c r="S33" s="7">
        <f t="shared" si="1"/>
        <v>0</v>
      </c>
      <c r="T33" s="6">
        <f t="shared" si="2"/>
        <v>0</v>
      </c>
      <c r="U33" s="25">
        <f t="shared" si="0"/>
        <v>0</v>
      </c>
    </row>
    <row r="34" spans="1:21" ht="10.9" customHeight="1" x14ac:dyDescent="0.2">
      <c r="A34" s="82" t="s">
        <v>2278</v>
      </c>
      <c r="B34" s="83">
        <v>45665</v>
      </c>
      <c r="C34" s="82" t="s">
        <v>3395</v>
      </c>
      <c r="D34" s="82" t="s">
        <v>2252</v>
      </c>
      <c r="E34" s="82"/>
      <c r="F34" s="82" t="s">
        <v>4734</v>
      </c>
      <c r="G34" s="89">
        <v>2</v>
      </c>
      <c r="H34" s="89">
        <v>49.29</v>
      </c>
      <c r="I34" s="85">
        <v>0</v>
      </c>
      <c r="J34" s="85">
        <v>4.93</v>
      </c>
      <c r="K34" s="85">
        <v>103.51</v>
      </c>
      <c r="L34" s="85">
        <v>117.99</v>
      </c>
      <c r="M34" s="89">
        <v>49.29</v>
      </c>
      <c r="N34" s="85">
        <v>0</v>
      </c>
      <c r="O34" s="85">
        <v>4.93</v>
      </c>
      <c r="P34" s="85">
        <v>103.51</v>
      </c>
      <c r="Q34" s="85">
        <v>117.99</v>
      </c>
      <c r="R34" s="82" t="s">
        <v>3399</v>
      </c>
      <c r="S34" s="7">
        <f t="shared" si="1"/>
        <v>0</v>
      </c>
      <c r="T34" s="6">
        <f t="shared" si="2"/>
        <v>0</v>
      </c>
      <c r="U34" s="25">
        <f t="shared" si="0"/>
        <v>0</v>
      </c>
    </row>
    <row r="35" spans="1:21" ht="10.9" customHeight="1" x14ac:dyDescent="0.2">
      <c r="A35" s="82" t="s">
        <v>2278</v>
      </c>
      <c r="B35" s="83">
        <v>45665</v>
      </c>
      <c r="C35" s="82" t="s">
        <v>3395</v>
      </c>
      <c r="D35" s="82" t="s">
        <v>2252</v>
      </c>
      <c r="E35" s="82"/>
      <c r="F35" s="82" t="s">
        <v>4735</v>
      </c>
      <c r="G35" s="89">
        <v>1</v>
      </c>
      <c r="H35" s="89">
        <v>13.79</v>
      </c>
      <c r="I35" s="85">
        <v>0</v>
      </c>
      <c r="J35" s="85">
        <v>0.69</v>
      </c>
      <c r="K35" s="85">
        <v>14.48</v>
      </c>
      <c r="L35" s="85">
        <v>117.99</v>
      </c>
      <c r="M35" s="89">
        <v>13.79</v>
      </c>
      <c r="N35" s="85">
        <v>0</v>
      </c>
      <c r="O35" s="85">
        <v>0.69</v>
      </c>
      <c r="P35" s="85">
        <v>14.48</v>
      </c>
      <c r="Q35" s="85">
        <v>117.99</v>
      </c>
      <c r="R35" s="82" t="s">
        <v>3399</v>
      </c>
      <c r="S35" s="7">
        <f t="shared" si="1"/>
        <v>0</v>
      </c>
      <c r="T35" s="6">
        <f t="shared" si="2"/>
        <v>0</v>
      </c>
      <c r="U35" s="25">
        <f t="shared" si="0"/>
        <v>0</v>
      </c>
    </row>
    <row r="36" spans="1:21" ht="10.9" customHeight="1" x14ac:dyDescent="0.2">
      <c r="A36" s="82" t="s">
        <v>2281</v>
      </c>
      <c r="B36" s="83">
        <v>45665</v>
      </c>
      <c r="C36" s="82" t="s">
        <v>3395</v>
      </c>
      <c r="D36" s="82" t="s">
        <v>2246</v>
      </c>
      <c r="E36" s="82"/>
      <c r="F36" s="82" t="s">
        <v>4822</v>
      </c>
      <c r="G36" s="89">
        <v>1</v>
      </c>
      <c r="H36" s="89">
        <v>825.96</v>
      </c>
      <c r="I36" s="85">
        <v>0</v>
      </c>
      <c r="J36" s="85">
        <v>107.37</v>
      </c>
      <c r="K36" s="85">
        <v>933.33</v>
      </c>
      <c r="L36" s="85">
        <v>2007.42</v>
      </c>
      <c r="M36" s="89">
        <v>825.96</v>
      </c>
      <c r="N36" s="85">
        <v>0</v>
      </c>
      <c r="O36" s="85">
        <v>107.37</v>
      </c>
      <c r="P36" s="85">
        <v>933.33</v>
      </c>
      <c r="Q36" s="85">
        <v>2007.42</v>
      </c>
      <c r="R36" s="82" t="s">
        <v>3399</v>
      </c>
      <c r="S36" s="7">
        <f t="shared" si="1"/>
        <v>0</v>
      </c>
      <c r="T36" s="6">
        <f t="shared" si="2"/>
        <v>0</v>
      </c>
      <c r="U36" s="25">
        <f t="shared" si="0"/>
        <v>0</v>
      </c>
    </row>
    <row r="37" spans="1:21" ht="10.9" customHeight="1" x14ac:dyDescent="0.2">
      <c r="A37" s="82" t="s">
        <v>2281</v>
      </c>
      <c r="B37" s="83">
        <v>45665</v>
      </c>
      <c r="C37" s="82" t="s">
        <v>3395</v>
      </c>
      <c r="D37" s="82" t="s">
        <v>2246</v>
      </c>
      <c r="E37" s="82"/>
      <c r="F37" s="82" t="s">
        <v>5715</v>
      </c>
      <c r="G37" s="89">
        <v>1</v>
      </c>
      <c r="H37" s="89">
        <v>825.96</v>
      </c>
      <c r="I37" s="85">
        <v>0</v>
      </c>
      <c r="J37" s="85">
        <v>107.37</v>
      </c>
      <c r="K37" s="85">
        <v>933.33</v>
      </c>
      <c r="L37" s="85">
        <v>2007.42</v>
      </c>
      <c r="M37" s="89">
        <v>825.96</v>
      </c>
      <c r="N37" s="85">
        <v>0</v>
      </c>
      <c r="O37" s="85">
        <v>107.37</v>
      </c>
      <c r="P37" s="85">
        <v>933.33</v>
      </c>
      <c r="Q37" s="85">
        <v>2007.42</v>
      </c>
      <c r="R37" s="82" t="s">
        <v>3399</v>
      </c>
      <c r="S37" s="7">
        <f t="shared" si="1"/>
        <v>0</v>
      </c>
      <c r="T37" s="6">
        <f t="shared" si="2"/>
        <v>0</v>
      </c>
      <c r="U37" s="25">
        <f t="shared" si="0"/>
        <v>0</v>
      </c>
    </row>
    <row r="38" spans="1:21" ht="10.9" customHeight="1" x14ac:dyDescent="0.2">
      <c r="A38" s="82" t="s">
        <v>2281</v>
      </c>
      <c r="B38" s="83">
        <v>45665</v>
      </c>
      <c r="C38" s="82" t="s">
        <v>3395</v>
      </c>
      <c r="D38" s="82" t="s">
        <v>2246</v>
      </c>
      <c r="E38" s="82"/>
      <c r="F38" s="82" t="s">
        <v>4869</v>
      </c>
      <c r="G38" s="89">
        <v>1</v>
      </c>
      <c r="H38" s="89">
        <v>124.57</v>
      </c>
      <c r="I38" s="85">
        <v>0</v>
      </c>
      <c r="J38" s="85">
        <v>16.190000000000001</v>
      </c>
      <c r="K38" s="85">
        <v>140.76</v>
      </c>
      <c r="L38" s="85">
        <v>2007.42</v>
      </c>
      <c r="M38" s="89">
        <v>124.57</v>
      </c>
      <c r="N38" s="85">
        <v>0</v>
      </c>
      <c r="O38" s="85">
        <v>16.190000000000001</v>
      </c>
      <c r="P38" s="85">
        <v>140.76</v>
      </c>
      <c r="Q38" s="85">
        <v>2007.42</v>
      </c>
      <c r="R38" s="82" t="s">
        <v>3399</v>
      </c>
      <c r="S38" s="7">
        <f t="shared" si="1"/>
        <v>0</v>
      </c>
      <c r="T38" s="6">
        <f t="shared" si="2"/>
        <v>0</v>
      </c>
      <c r="U38" s="25">
        <f t="shared" si="0"/>
        <v>0</v>
      </c>
    </row>
    <row r="39" spans="1:21" ht="10.9" customHeight="1" x14ac:dyDescent="0.2">
      <c r="A39" s="82"/>
      <c r="B39" s="83">
        <v>45665</v>
      </c>
      <c r="C39" s="82" t="s">
        <v>3423</v>
      </c>
      <c r="D39" s="82" t="s">
        <v>2232</v>
      </c>
      <c r="E39" s="82"/>
      <c r="F39" s="82" t="s">
        <v>2232</v>
      </c>
      <c r="G39" s="89">
        <v>-1</v>
      </c>
      <c r="H39" s="89">
        <v>4153.74</v>
      </c>
      <c r="I39" s="85">
        <v>0</v>
      </c>
      <c r="J39" s="85">
        <v>0</v>
      </c>
      <c r="K39" s="85">
        <v>-4153.74</v>
      </c>
      <c r="L39" s="85">
        <v>-4153.74</v>
      </c>
      <c r="M39" s="89">
        <v>4153.74</v>
      </c>
      <c r="N39" s="85">
        <v>0</v>
      </c>
      <c r="O39" s="85">
        <v>0</v>
      </c>
      <c r="P39" s="85">
        <v>-4153.74</v>
      </c>
      <c r="Q39" s="85">
        <v>-4153.74</v>
      </c>
      <c r="R39" s="82" t="s">
        <v>3399</v>
      </c>
      <c r="S39" s="7">
        <f t="shared" si="1"/>
        <v>0</v>
      </c>
      <c r="T39" s="6">
        <f t="shared" si="2"/>
        <v>0</v>
      </c>
      <c r="U39" s="25">
        <f t="shared" si="0"/>
        <v>0</v>
      </c>
    </row>
    <row r="40" spans="1:21" ht="10.9" customHeight="1" x14ac:dyDescent="0.2">
      <c r="A40" s="82" t="s">
        <v>2283</v>
      </c>
      <c r="B40" s="83">
        <v>45666</v>
      </c>
      <c r="C40" s="82" t="s">
        <v>3395</v>
      </c>
      <c r="D40" s="82" t="s">
        <v>3770</v>
      </c>
      <c r="E40" s="82"/>
      <c r="F40" s="82" t="s">
        <v>5072</v>
      </c>
      <c r="G40" s="89">
        <v>1</v>
      </c>
      <c r="H40" s="89">
        <v>137.77000000000001</v>
      </c>
      <c r="I40" s="85">
        <v>0</v>
      </c>
      <c r="J40" s="85">
        <v>0</v>
      </c>
      <c r="K40" s="85">
        <v>137.77000000000001</v>
      </c>
      <c r="L40" s="85">
        <v>137.77000000000001</v>
      </c>
      <c r="M40" s="89">
        <v>198.54875087370385</v>
      </c>
      <c r="N40" s="85">
        <v>0</v>
      </c>
      <c r="O40" s="85">
        <v>0</v>
      </c>
      <c r="P40" s="85">
        <v>198.54875087370385</v>
      </c>
      <c r="Q40" s="85">
        <v>198.54875087370385</v>
      </c>
      <c r="R40" s="82" t="s">
        <v>3399</v>
      </c>
      <c r="S40" s="7">
        <f t="shared" si="1"/>
        <v>0</v>
      </c>
      <c r="T40" s="6">
        <f t="shared" si="2"/>
        <v>0</v>
      </c>
      <c r="U40" s="25">
        <f t="shared" si="0"/>
        <v>0</v>
      </c>
    </row>
    <row r="41" spans="1:21" ht="10.9" customHeight="1" x14ac:dyDescent="0.2">
      <c r="A41" s="82" t="s">
        <v>2289</v>
      </c>
      <c r="B41" s="83">
        <v>45666</v>
      </c>
      <c r="C41" s="82" t="s">
        <v>3395</v>
      </c>
      <c r="D41" s="82" t="s">
        <v>2233</v>
      </c>
      <c r="E41" s="82"/>
      <c r="F41" s="82" t="s">
        <v>5063</v>
      </c>
      <c r="G41" s="89">
        <v>1</v>
      </c>
      <c r="H41" s="89">
        <v>11.89</v>
      </c>
      <c r="I41" s="85">
        <v>0</v>
      </c>
      <c r="J41" s="85">
        <v>0.59</v>
      </c>
      <c r="K41" s="85">
        <v>12.48</v>
      </c>
      <c r="L41" s="85">
        <v>1919.01</v>
      </c>
      <c r="M41" s="89">
        <v>11.89</v>
      </c>
      <c r="N41" s="85">
        <v>0</v>
      </c>
      <c r="O41" s="85">
        <v>0.59</v>
      </c>
      <c r="P41" s="85">
        <v>12.48</v>
      </c>
      <c r="Q41" s="85">
        <v>1919.01</v>
      </c>
      <c r="R41" s="82" t="s">
        <v>3399</v>
      </c>
      <c r="S41" s="7">
        <f t="shared" si="1"/>
        <v>0</v>
      </c>
      <c r="T41" s="6">
        <f t="shared" si="2"/>
        <v>0</v>
      </c>
      <c r="U41" s="25">
        <f t="shared" si="0"/>
        <v>0</v>
      </c>
    </row>
    <row r="42" spans="1:21" ht="10.9" customHeight="1" x14ac:dyDescent="0.2">
      <c r="A42" s="82" t="s">
        <v>2289</v>
      </c>
      <c r="B42" s="83">
        <v>45666</v>
      </c>
      <c r="C42" s="82" t="s">
        <v>3395</v>
      </c>
      <c r="D42" s="82" t="s">
        <v>2233</v>
      </c>
      <c r="E42" s="82"/>
      <c r="F42" s="82" t="s">
        <v>5449</v>
      </c>
      <c r="G42" s="89">
        <v>1</v>
      </c>
      <c r="H42" s="89">
        <v>418.14</v>
      </c>
      <c r="I42" s="85">
        <v>0</v>
      </c>
      <c r="J42" s="85">
        <v>20.91</v>
      </c>
      <c r="K42" s="85">
        <v>439.05</v>
      </c>
      <c r="L42" s="85">
        <v>1919.01</v>
      </c>
      <c r="M42" s="89">
        <v>418.14</v>
      </c>
      <c r="N42" s="85">
        <v>0</v>
      </c>
      <c r="O42" s="85">
        <v>20.91</v>
      </c>
      <c r="P42" s="85">
        <v>439.05</v>
      </c>
      <c r="Q42" s="85">
        <v>1919.01</v>
      </c>
      <c r="R42" s="82" t="s">
        <v>3399</v>
      </c>
      <c r="S42" s="7">
        <f t="shared" si="1"/>
        <v>0</v>
      </c>
      <c r="T42" s="6">
        <f t="shared" si="2"/>
        <v>0</v>
      </c>
      <c r="U42" s="25">
        <f t="shared" si="0"/>
        <v>0</v>
      </c>
    </row>
    <row r="43" spans="1:21" ht="10.9" customHeight="1" x14ac:dyDescent="0.2">
      <c r="A43" s="82" t="s">
        <v>2289</v>
      </c>
      <c r="B43" s="83">
        <v>45666</v>
      </c>
      <c r="C43" s="82" t="s">
        <v>3395</v>
      </c>
      <c r="D43" s="82" t="s">
        <v>2233</v>
      </c>
      <c r="E43" s="82"/>
      <c r="F43" s="82" t="s">
        <v>4884</v>
      </c>
      <c r="G43" s="89">
        <v>2</v>
      </c>
      <c r="H43" s="89">
        <v>38.11</v>
      </c>
      <c r="I43" s="85">
        <v>0</v>
      </c>
      <c r="J43" s="85">
        <v>3.81</v>
      </c>
      <c r="K43" s="85">
        <v>80.03</v>
      </c>
      <c r="L43" s="85">
        <v>1919.01</v>
      </c>
      <c r="M43" s="89">
        <v>38.11</v>
      </c>
      <c r="N43" s="85">
        <v>0</v>
      </c>
      <c r="O43" s="85">
        <v>3.81</v>
      </c>
      <c r="P43" s="85">
        <v>80.03</v>
      </c>
      <c r="Q43" s="85">
        <v>1919.01</v>
      </c>
      <c r="R43" s="82" t="s">
        <v>3399</v>
      </c>
      <c r="S43" s="7">
        <f t="shared" si="1"/>
        <v>0</v>
      </c>
      <c r="T43" s="6">
        <f t="shared" si="2"/>
        <v>0</v>
      </c>
      <c r="U43" s="25">
        <f t="shared" si="0"/>
        <v>0</v>
      </c>
    </row>
    <row r="44" spans="1:21" ht="10.9" customHeight="1" x14ac:dyDescent="0.2">
      <c r="A44" s="82" t="s">
        <v>2289</v>
      </c>
      <c r="B44" s="83">
        <v>45666</v>
      </c>
      <c r="C44" s="82" t="s">
        <v>3395</v>
      </c>
      <c r="D44" s="82" t="s">
        <v>2233</v>
      </c>
      <c r="E44" s="82"/>
      <c r="F44" s="82" t="s">
        <v>5761</v>
      </c>
      <c r="G44" s="89">
        <v>1</v>
      </c>
      <c r="H44" s="89">
        <v>1321.38</v>
      </c>
      <c r="I44" s="85">
        <v>0</v>
      </c>
      <c r="J44" s="85">
        <v>66.069999999999993</v>
      </c>
      <c r="K44" s="85">
        <v>1387.45</v>
      </c>
      <c r="L44" s="85">
        <v>1919.01</v>
      </c>
      <c r="M44" s="89">
        <v>1321.38</v>
      </c>
      <c r="N44" s="85">
        <v>0</v>
      </c>
      <c r="O44" s="85">
        <v>66.069999999999993</v>
      </c>
      <c r="P44" s="85">
        <v>1387.45</v>
      </c>
      <c r="Q44" s="85">
        <v>1919.01</v>
      </c>
      <c r="R44" s="82" t="s">
        <v>3399</v>
      </c>
      <c r="S44" s="7">
        <f t="shared" si="1"/>
        <v>0</v>
      </c>
      <c r="T44" s="6">
        <f t="shared" si="2"/>
        <v>0</v>
      </c>
      <c r="U44" s="25">
        <f t="shared" si="0"/>
        <v>0</v>
      </c>
    </row>
    <row r="45" spans="1:21" ht="10.9" customHeight="1" x14ac:dyDescent="0.2">
      <c r="A45" s="82" t="s">
        <v>2270</v>
      </c>
      <c r="B45" s="83">
        <v>45666</v>
      </c>
      <c r="C45" s="82" t="s">
        <v>3395</v>
      </c>
      <c r="D45" s="82" t="s">
        <v>2268</v>
      </c>
      <c r="E45" s="82"/>
      <c r="F45" s="82" t="s">
        <v>5124</v>
      </c>
      <c r="G45" s="89">
        <v>2</v>
      </c>
      <c r="H45" s="89">
        <v>681.68</v>
      </c>
      <c r="I45" s="85">
        <v>0</v>
      </c>
      <c r="J45" s="85">
        <v>177.24</v>
      </c>
      <c r="K45" s="85">
        <v>1540.6</v>
      </c>
      <c r="L45" s="85">
        <v>1540.6</v>
      </c>
      <c r="M45" s="89">
        <v>681.68</v>
      </c>
      <c r="N45" s="85">
        <v>0</v>
      </c>
      <c r="O45" s="85">
        <v>177.24</v>
      </c>
      <c r="P45" s="85">
        <v>1540.6</v>
      </c>
      <c r="Q45" s="85">
        <v>1540.6</v>
      </c>
      <c r="R45" s="82" t="s">
        <v>3399</v>
      </c>
      <c r="S45" s="7">
        <f t="shared" si="1"/>
        <v>0</v>
      </c>
      <c r="T45" s="6">
        <f t="shared" si="2"/>
        <v>0</v>
      </c>
      <c r="U45" s="25">
        <f t="shared" si="0"/>
        <v>0</v>
      </c>
    </row>
    <row r="46" spans="1:21" ht="10.9" customHeight="1" x14ac:dyDescent="0.2">
      <c r="A46" s="82" t="s">
        <v>3769</v>
      </c>
      <c r="B46" s="83">
        <v>45666</v>
      </c>
      <c r="C46" s="82" t="s">
        <v>3395</v>
      </c>
      <c r="D46" s="82" t="s">
        <v>3768</v>
      </c>
      <c r="E46" s="82"/>
      <c r="F46" s="82" t="s">
        <v>5760</v>
      </c>
      <c r="G46" s="89">
        <v>1</v>
      </c>
      <c r="H46" s="89">
        <v>1829.11</v>
      </c>
      <c r="I46" s="85">
        <v>0</v>
      </c>
      <c r="J46" s="85">
        <v>91.46</v>
      </c>
      <c r="K46" s="85">
        <v>1920.57</v>
      </c>
      <c r="L46" s="85">
        <v>1920.57</v>
      </c>
      <c r="M46" s="89">
        <v>1829.11</v>
      </c>
      <c r="N46" s="85">
        <v>0</v>
      </c>
      <c r="O46" s="85">
        <v>91.46</v>
      </c>
      <c r="P46" s="85">
        <v>1920.57</v>
      </c>
      <c r="Q46" s="85">
        <v>1920.57</v>
      </c>
      <c r="R46" s="82" t="s">
        <v>3399</v>
      </c>
      <c r="S46" s="7">
        <f t="shared" si="1"/>
        <v>0</v>
      </c>
      <c r="T46" s="6">
        <f t="shared" si="2"/>
        <v>0</v>
      </c>
      <c r="U46" s="25">
        <f t="shared" si="0"/>
        <v>0</v>
      </c>
    </row>
    <row r="47" spans="1:21" ht="10.9" customHeight="1" x14ac:dyDescent="0.2">
      <c r="A47" s="82" t="s">
        <v>3771</v>
      </c>
      <c r="B47" s="83">
        <v>45666</v>
      </c>
      <c r="C47" s="82" t="s">
        <v>3395</v>
      </c>
      <c r="D47" s="82" t="s">
        <v>3625</v>
      </c>
      <c r="E47" s="82"/>
      <c r="F47" s="82" t="s">
        <v>5031</v>
      </c>
      <c r="G47" s="89">
        <v>1</v>
      </c>
      <c r="H47" s="89">
        <v>28.38</v>
      </c>
      <c r="I47" s="85">
        <v>0</v>
      </c>
      <c r="J47" s="85">
        <v>1.42</v>
      </c>
      <c r="K47" s="85">
        <v>29.8</v>
      </c>
      <c r="L47" s="85">
        <v>106.62</v>
      </c>
      <c r="M47" s="89">
        <v>28.38</v>
      </c>
      <c r="N47" s="85">
        <v>0</v>
      </c>
      <c r="O47" s="85">
        <v>1.42</v>
      </c>
      <c r="P47" s="85">
        <v>29.8</v>
      </c>
      <c r="Q47" s="85">
        <v>106.62</v>
      </c>
      <c r="R47" s="82" t="s">
        <v>3399</v>
      </c>
      <c r="S47" s="7">
        <f t="shared" si="1"/>
        <v>0</v>
      </c>
      <c r="T47" s="6">
        <f t="shared" si="2"/>
        <v>0</v>
      </c>
      <c r="U47" s="25">
        <f t="shared" si="0"/>
        <v>0</v>
      </c>
    </row>
    <row r="48" spans="1:21" ht="10.9" customHeight="1" x14ac:dyDescent="0.2">
      <c r="A48" s="82" t="s">
        <v>3771</v>
      </c>
      <c r="B48" s="83">
        <v>45666</v>
      </c>
      <c r="C48" s="82" t="s">
        <v>3395</v>
      </c>
      <c r="D48" s="82" t="s">
        <v>3625</v>
      </c>
      <c r="E48" s="82"/>
      <c r="F48" s="82" t="s">
        <v>4692</v>
      </c>
      <c r="G48" s="89">
        <v>2</v>
      </c>
      <c r="H48" s="89">
        <v>36.58</v>
      </c>
      <c r="I48" s="85">
        <v>0</v>
      </c>
      <c r="J48" s="85">
        <v>3.66</v>
      </c>
      <c r="K48" s="85">
        <v>76.819999999999993</v>
      </c>
      <c r="L48" s="85">
        <v>106.62</v>
      </c>
      <c r="M48" s="89">
        <v>36.58</v>
      </c>
      <c r="N48" s="85">
        <v>0</v>
      </c>
      <c r="O48" s="85">
        <v>3.66</v>
      </c>
      <c r="P48" s="85">
        <v>76.819999999999993</v>
      </c>
      <c r="Q48" s="85">
        <v>106.62</v>
      </c>
      <c r="R48" s="82" t="s">
        <v>3399</v>
      </c>
      <c r="S48" s="7">
        <f t="shared" si="1"/>
        <v>0</v>
      </c>
      <c r="T48" s="6">
        <f t="shared" si="2"/>
        <v>0</v>
      </c>
      <c r="U48" s="25">
        <f t="shared" si="0"/>
        <v>0</v>
      </c>
    </row>
    <row r="49" spans="1:21" ht="10.9" customHeight="1" x14ac:dyDescent="0.2">
      <c r="A49" s="82" t="s">
        <v>2284</v>
      </c>
      <c r="B49" s="83">
        <v>45666</v>
      </c>
      <c r="C49" s="82" t="s">
        <v>3395</v>
      </c>
      <c r="D49" s="82" t="s">
        <v>2239</v>
      </c>
      <c r="E49" s="82"/>
      <c r="F49" s="82" t="s">
        <v>4920</v>
      </c>
      <c r="G49" s="89">
        <v>1</v>
      </c>
      <c r="H49" s="89">
        <v>916.59</v>
      </c>
      <c r="I49" s="85">
        <v>0</v>
      </c>
      <c r="J49" s="85">
        <v>45.83</v>
      </c>
      <c r="K49" s="85">
        <v>962.42</v>
      </c>
      <c r="L49" s="85">
        <v>962.42</v>
      </c>
      <c r="M49" s="89">
        <v>916.59</v>
      </c>
      <c r="N49" s="85">
        <v>0</v>
      </c>
      <c r="O49" s="85">
        <v>45.83</v>
      </c>
      <c r="P49" s="85">
        <v>962.42</v>
      </c>
      <c r="Q49" s="85">
        <v>962.42</v>
      </c>
      <c r="R49" s="82" t="s">
        <v>3399</v>
      </c>
      <c r="S49" s="7">
        <f t="shared" si="1"/>
        <v>0</v>
      </c>
      <c r="T49" s="6">
        <f t="shared" si="2"/>
        <v>0</v>
      </c>
      <c r="U49" s="25">
        <f t="shared" si="0"/>
        <v>0</v>
      </c>
    </row>
    <row r="50" spans="1:21" ht="10.9" customHeight="1" x14ac:dyDescent="0.2">
      <c r="A50" s="82" t="s">
        <v>2286</v>
      </c>
      <c r="B50" s="83">
        <v>45666</v>
      </c>
      <c r="C50" s="82" t="s">
        <v>3395</v>
      </c>
      <c r="D50" s="82" t="s">
        <v>2235</v>
      </c>
      <c r="E50" s="82"/>
      <c r="F50" s="82" t="s">
        <v>4439</v>
      </c>
      <c r="G50" s="89">
        <v>2</v>
      </c>
      <c r="H50" s="89">
        <v>20.8</v>
      </c>
      <c r="I50" s="85">
        <v>0</v>
      </c>
      <c r="J50" s="85">
        <v>2.08</v>
      </c>
      <c r="K50" s="85">
        <v>43.68</v>
      </c>
      <c r="L50" s="85">
        <v>224.6</v>
      </c>
      <c r="M50" s="89">
        <v>20.8</v>
      </c>
      <c r="N50" s="85">
        <v>0</v>
      </c>
      <c r="O50" s="85">
        <v>2.08</v>
      </c>
      <c r="P50" s="85">
        <v>43.68</v>
      </c>
      <c r="Q50" s="85">
        <v>224.6</v>
      </c>
      <c r="R50" s="82" t="s">
        <v>3399</v>
      </c>
      <c r="S50" s="7">
        <f t="shared" si="1"/>
        <v>0</v>
      </c>
      <c r="T50" s="6">
        <f t="shared" si="2"/>
        <v>0</v>
      </c>
      <c r="U50" s="25">
        <f t="shared" si="0"/>
        <v>0</v>
      </c>
    </row>
    <row r="51" spans="1:21" ht="10.9" customHeight="1" x14ac:dyDescent="0.2">
      <c r="A51" s="82" t="s">
        <v>2286</v>
      </c>
      <c r="B51" s="83">
        <v>45666</v>
      </c>
      <c r="C51" s="82" t="s">
        <v>3395</v>
      </c>
      <c r="D51" s="82" t="s">
        <v>2235</v>
      </c>
      <c r="E51" s="82"/>
      <c r="F51" s="82" t="s">
        <v>4591</v>
      </c>
      <c r="G51" s="89">
        <v>1</v>
      </c>
      <c r="H51" s="89">
        <v>172.3</v>
      </c>
      <c r="I51" s="85">
        <v>0</v>
      </c>
      <c r="J51" s="85">
        <v>8.6199999999999992</v>
      </c>
      <c r="K51" s="85">
        <v>180.92</v>
      </c>
      <c r="L51" s="85">
        <v>224.6</v>
      </c>
      <c r="M51" s="89">
        <v>172.3</v>
      </c>
      <c r="N51" s="85">
        <v>0</v>
      </c>
      <c r="O51" s="85">
        <v>8.6199999999999992</v>
      </c>
      <c r="P51" s="85">
        <v>180.92</v>
      </c>
      <c r="Q51" s="85">
        <v>224.6</v>
      </c>
      <c r="R51" s="82" t="s">
        <v>3399</v>
      </c>
      <c r="S51" s="7">
        <f t="shared" si="1"/>
        <v>0</v>
      </c>
      <c r="T51" s="6">
        <f t="shared" si="2"/>
        <v>0</v>
      </c>
      <c r="U51" s="25">
        <f t="shared" si="0"/>
        <v>0</v>
      </c>
    </row>
    <row r="52" spans="1:21" ht="10.9" customHeight="1" x14ac:dyDescent="0.2">
      <c r="A52" s="82" t="s">
        <v>2277</v>
      </c>
      <c r="B52" s="83">
        <v>45667</v>
      </c>
      <c r="C52" s="82" t="s">
        <v>3395</v>
      </c>
      <c r="D52" s="82" t="s">
        <v>2254</v>
      </c>
      <c r="E52" s="82"/>
      <c r="F52" s="82" t="s">
        <v>5545</v>
      </c>
      <c r="G52" s="89">
        <v>1</v>
      </c>
      <c r="H52" s="89">
        <v>100.41</v>
      </c>
      <c r="I52" s="85">
        <v>0</v>
      </c>
      <c r="J52" s="85">
        <v>0</v>
      </c>
      <c r="K52" s="85">
        <v>100.41</v>
      </c>
      <c r="L52" s="85">
        <v>100.41</v>
      </c>
      <c r="M52" s="89">
        <v>144.94678355566398</v>
      </c>
      <c r="N52" s="85">
        <v>0</v>
      </c>
      <c r="O52" s="85">
        <v>0</v>
      </c>
      <c r="P52" s="85">
        <v>144.94678355566398</v>
      </c>
      <c r="Q52" s="85">
        <v>144.94678355566398</v>
      </c>
      <c r="R52" s="82" t="s">
        <v>3399</v>
      </c>
      <c r="S52" s="7">
        <f t="shared" si="1"/>
        <v>0</v>
      </c>
      <c r="T52" s="6">
        <f t="shared" si="2"/>
        <v>0</v>
      </c>
      <c r="U52" s="25">
        <f t="shared" si="0"/>
        <v>0</v>
      </c>
    </row>
    <row r="53" spans="1:21" ht="10.9" customHeight="1" x14ac:dyDescent="0.2">
      <c r="A53" s="82" t="s">
        <v>2276</v>
      </c>
      <c r="B53" s="83">
        <v>45667</v>
      </c>
      <c r="C53" s="82" t="s">
        <v>3395</v>
      </c>
      <c r="D53" s="82" t="s">
        <v>2256</v>
      </c>
      <c r="E53" s="82"/>
      <c r="F53" s="82" t="s">
        <v>5758</v>
      </c>
      <c r="G53" s="89">
        <v>1</v>
      </c>
      <c r="H53" s="89">
        <v>4366</v>
      </c>
      <c r="I53" s="85">
        <v>0</v>
      </c>
      <c r="J53" s="85">
        <v>0</v>
      </c>
      <c r="K53" s="85">
        <v>4366</v>
      </c>
      <c r="L53" s="85">
        <v>8795</v>
      </c>
      <c r="M53" s="89">
        <v>6296.7369749414102</v>
      </c>
      <c r="N53" s="85">
        <v>0</v>
      </c>
      <c r="O53" s="85">
        <v>0</v>
      </c>
      <c r="P53" s="85">
        <v>6296.7369749414102</v>
      </c>
      <c r="Q53" s="85">
        <v>12684.333874166216</v>
      </c>
      <c r="R53" s="82" t="s">
        <v>3399</v>
      </c>
      <c r="S53" s="7">
        <f t="shared" si="1"/>
        <v>0</v>
      </c>
      <c r="T53" s="6">
        <f t="shared" si="2"/>
        <v>0</v>
      </c>
      <c r="U53" s="25">
        <f t="shared" si="0"/>
        <v>0</v>
      </c>
    </row>
    <row r="54" spans="1:21" ht="10.9" customHeight="1" x14ac:dyDescent="0.2">
      <c r="A54" s="82" t="s">
        <v>2276</v>
      </c>
      <c r="B54" s="83">
        <v>45667</v>
      </c>
      <c r="C54" s="82" t="s">
        <v>3395</v>
      </c>
      <c r="D54" s="82" t="s">
        <v>2256</v>
      </c>
      <c r="E54" s="82"/>
      <c r="F54" s="82" t="s">
        <v>5682</v>
      </c>
      <c r="G54" s="89">
        <v>1</v>
      </c>
      <c r="H54" s="89">
        <v>3374</v>
      </c>
      <c r="I54" s="85">
        <v>0</v>
      </c>
      <c r="J54" s="85">
        <v>0</v>
      </c>
      <c r="K54" s="85">
        <v>3374</v>
      </c>
      <c r="L54" s="85">
        <v>8795</v>
      </c>
      <c r="M54" s="89">
        <v>4866.0537227330087</v>
      </c>
      <c r="N54" s="85">
        <v>0</v>
      </c>
      <c r="O54" s="85">
        <v>0</v>
      </c>
      <c r="P54" s="85">
        <v>4866.0537227330087</v>
      </c>
      <c r="Q54" s="85">
        <v>12684.333874166216</v>
      </c>
      <c r="R54" s="82" t="s">
        <v>3399</v>
      </c>
      <c r="S54" s="7">
        <f t="shared" si="1"/>
        <v>0</v>
      </c>
      <c r="T54" s="6">
        <f t="shared" si="2"/>
        <v>0</v>
      </c>
      <c r="U54" s="25">
        <f t="shared" si="0"/>
        <v>0</v>
      </c>
    </row>
    <row r="55" spans="1:21" ht="10.9" customHeight="1" x14ac:dyDescent="0.2">
      <c r="A55" s="82" t="s">
        <v>2276</v>
      </c>
      <c r="B55" s="83">
        <v>45667</v>
      </c>
      <c r="C55" s="82" t="s">
        <v>3395</v>
      </c>
      <c r="D55" s="82" t="s">
        <v>2256</v>
      </c>
      <c r="E55" s="82"/>
      <c r="F55" s="82" t="s">
        <v>5681</v>
      </c>
      <c r="G55" s="89">
        <v>6</v>
      </c>
      <c r="H55" s="89">
        <v>35</v>
      </c>
      <c r="I55" s="85">
        <v>0</v>
      </c>
      <c r="J55" s="85">
        <v>0</v>
      </c>
      <c r="K55" s="85">
        <v>210</v>
      </c>
      <c r="L55" s="85">
        <v>8795</v>
      </c>
      <c r="M55" s="89">
        <v>50.477735712998019</v>
      </c>
      <c r="N55" s="85">
        <v>0</v>
      </c>
      <c r="O55" s="85">
        <v>0</v>
      </c>
      <c r="P55" s="85">
        <v>302.8664142779881</v>
      </c>
      <c r="Q55" s="85">
        <v>12684.333874166216</v>
      </c>
      <c r="R55" s="82" t="s">
        <v>3399</v>
      </c>
      <c r="S55" s="7">
        <f t="shared" si="1"/>
        <v>0</v>
      </c>
      <c r="T55" s="6">
        <f t="shared" si="2"/>
        <v>0</v>
      </c>
      <c r="U55" s="25">
        <f t="shared" si="0"/>
        <v>0</v>
      </c>
    </row>
    <row r="56" spans="1:21" ht="10.9" customHeight="1" x14ac:dyDescent="0.2">
      <c r="A56" s="82" t="s">
        <v>2276</v>
      </c>
      <c r="B56" s="83">
        <v>45667</v>
      </c>
      <c r="C56" s="82" t="s">
        <v>3395</v>
      </c>
      <c r="D56" s="82" t="s">
        <v>2256</v>
      </c>
      <c r="E56" s="82"/>
      <c r="F56" s="82" t="s">
        <v>4459</v>
      </c>
      <c r="G56" s="89">
        <v>1</v>
      </c>
      <c r="H56" s="89">
        <v>845</v>
      </c>
      <c r="I56" s="85">
        <v>0</v>
      </c>
      <c r="J56" s="85">
        <v>0</v>
      </c>
      <c r="K56" s="85">
        <v>845</v>
      </c>
      <c r="L56" s="85">
        <v>8795</v>
      </c>
      <c r="M56" s="89">
        <v>1218.6767622138093</v>
      </c>
      <c r="N56" s="85">
        <v>0</v>
      </c>
      <c r="O56" s="85">
        <v>0</v>
      </c>
      <c r="P56" s="85">
        <v>1218.6767622138093</v>
      </c>
      <c r="Q56" s="85">
        <v>12684.333874166216</v>
      </c>
      <c r="R56" s="82" t="s">
        <v>3399</v>
      </c>
      <c r="S56" s="7" t="str">
        <f t="shared" si="1"/>
        <v>INV12503</v>
      </c>
      <c r="T56" s="6">
        <f t="shared" si="2"/>
        <v>1</v>
      </c>
      <c r="U56" s="25">
        <f t="shared" si="0"/>
        <v>845</v>
      </c>
    </row>
    <row r="57" spans="1:21" ht="10.9" customHeight="1" x14ac:dyDescent="0.2">
      <c r="A57" s="82" t="s">
        <v>2285</v>
      </c>
      <c r="B57" s="83">
        <v>45667</v>
      </c>
      <c r="C57" s="82" t="s">
        <v>3395</v>
      </c>
      <c r="D57" s="82" t="s">
        <v>2237</v>
      </c>
      <c r="E57" s="82"/>
      <c r="F57" s="82" t="s">
        <v>5757</v>
      </c>
      <c r="G57" s="89">
        <v>1</v>
      </c>
      <c r="H57" s="89">
        <v>5506</v>
      </c>
      <c r="I57" s="85">
        <v>0</v>
      </c>
      <c r="J57" s="85">
        <v>0</v>
      </c>
      <c r="K57" s="85">
        <v>5506</v>
      </c>
      <c r="L57" s="85">
        <v>5506</v>
      </c>
      <c r="M57" s="89">
        <v>7940.8689381647737</v>
      </c>
      <c r="N57" s="85">
        <v>0</v>
      </c>
      <c r="O57" s="85">
        <v>0</v>
      </c>
      <c r="P57" s="85">
        <v>7940.8689381647737</v>
      </c>
      <c r="Q57" s="85">
        <v>7940.8689381647737</v>
      </c>
      <c r="R57" s="82" t="s">
        <v>3399</v>
      </c>
      <c r="S57" s="7">
        <f t="shared" si="1"/>
        <v>0</v>
      </c>
      <c r="T57" s="6">
        <f t="shared" si="2"/>
        <v>0</v>
      </c>
      <c r="U57" s="25">
        <f t="shared" si="0"/>
        <v>0</v>
      </c>
    </row>
    <row r="58" spans="1:21" ht="10.9" customHeight="1" x14ac:dyDescent="0.2">
      <c r="A58" s="82" t="s">
        <v>2292</v>
      </c>
      <c r="B58" s="83">
        <v>45667</v>
      </c>
      <c r="C58" s="82" t="s">
        <v>3395</v>
      </c>
      <c r="D58" s="82" t="s">
        <v>2229</v>
      </c>
      <c r="E58" s="82"/>
      <c r="F58" s="82" t="s">
        <v>5379</v>
      </c>
      <c r="G58" s="89">
        <v>1</v>
      </c>
      <c r="H58" s="89">
        <v>1994.78</v>
      </c>
      <c r="I58" s="85">
        <v>0</v>
      </c>
      <c r="J58" s="85">
        <v>99.74</v>
      </c>
      <c r="K58" s="85">
        <v>2094.52</v>
      </c>
      <c r="L58" s="85">
        <v>3783.15</v>
      </c>
      <c r="M58" s="89">
        <v>1994.78</v>
      </c>
      <c r="N58" s="85">
        <v>0</v>
      </c>
      <c r="O58" s="85">
        <v>99.74</v>
      </c>
      <c r="P58" s="85">
        <v>2094.52</v>
      </c>
      <c r="Q58" s="85">
        <v>3783.15</v>
      </c>
      <c r="R58" s="82" t="s">
        <v>3399</v>
      </c>
      <c r="S58" s="7">
        <f t="shared" si="1"/>
        <v>0</v>
      </c>
      <c r="T58" s="6">
        <f t="shared" si="2"/>
        <v>0</v>
      </c>
      <c r="U58" s="25">
        <f t="shared" si="0"/>
        <v>0</v>
      </c>
    </row>
    <row r="59" spans="1:21" ht="10.9" customHeight="1" x14ac:dyDescent="0.2">
      <c r="A59" s="82" t="s">
        <v>2292</v>
      </c>
      <c r="B59" s="83">
        <v>45667</v>
      </c>
      <c r="C59" s="82" t="s">
        <v>3395</v>
      </c>
      <c r="D59" s="82" t="s">
        <v>2229</v>
      </c>
      <c r="E59" s="82"/>
      <c r="F59" s="82" t="s">
        <v>5759</v>
      </c>
      <c r="G59" s="89">
        <v>2</v>
      </c>
      <c r="H59" s="89">
        <v>804.11</v>
      </c>
      <c r="I59" s="85">
        <v>0</v>
      </c>
      <c r="J59" s="85">
        <v>80.41</v>
      </c>
      <c r="K59" s="85">
        <v>1688.63</v>
      </c>
      <c r="L59" s="85">
        <v>3783.15</v>
      </c>
      <c r="M59" s="89">
        <v>804.11</v>
      </c>
      <c r="N59" s="85">
        <v>0</v>
      </c>
      <c r="O59" s="85">
        <v>80.41</v>
      </c>
      <c r="P59" s="85">
        <v>1688.63</v>
      </c>
      <c r="Q59" s="85">
        <v>3783.15</v>
      </c>
      <c r="R59" s="82" t="s">
        <v>3399</v>
      </c>
      <c r="S59" s="7">
        <f t="shared" si="1"/>
        <v>0</v>
      </c>
      <c r="T59" s="6">
        <f t="shared" si="2"/>
        <v>0</v>
      </c>
      <c r="U59" s="25">
        <f t="shared" si="0"/>
        <v>0</v>
      </c>
    </row>
    <row r="60" spans="1:21" ht="10.9" customHeight="1" x14ac:dyDescent="0.2">
      <c r="A60" s="82" t="s">
        <v>2290</v>
      </c>
      <c r="B60" s="83">
        <v>45667</v>
      </c>
      <c r="C60" s="82" t="s">
        <v>3395</v>
      </c>
      <c r="D60" s="82" t="s">
        <v>2231</v>
      </c>
      <c r="E60" s="82"/>
      <c r="F60" s="82" t="s">
        <v>4555</v>
      </c>
      <c r="G60" s="89">
        <v>1</v>
      </c>
      <c r="H60" s="89">
        <v>463.06</v>
      </c>
      <c r="I60" s="85">
        <v>0</v>
      </c>
      <c r="J60" s="85">
        <v>23.15</v>
      </c>
      <c r="K60" s="85">
        <v>486.21</v>
      </c>
      <c r="L60" s="85">
        <v>486.21</v>
      </c>
      <c r="M60" s="89">
        <v>463.06</v>
      </c>
      <c r="N60" s="85">
        <v>0</v>
      </c>
      <c r="O60" s="85">
        <v>23.15</v>
      </c>
      <c r="P60" s="85">
        <v>486.21</v>
      </c>
      <c r="Q60" s="85">
        <v>486.21</v>
      </c>
      <c r="R60" s="82" t="s">
        <v>3399</v>
      </c>
      <c r="S60" s="7">
        <f t="shared" si="1"/>
        <v>0</v>
      </c>
      <c r="T60" s="6">
        <f t="shared" si="2"/>
        <v>0</v>
      </c>
      <c r="U60" s="25">
        <f t="shared" si="0"/>
        <v>0</v>
      </c>
    </row>
    <row r="61" spans="1:21" ht="10.9" customHeight="1" x14ac:dyDescent="0.2">
      <c r="A61" s="82" t="s">
        <v>3761</v>
      </c>
      <c r="B61" s="83">
        <v>45670</v>
      </c>
      <c r="C61" s="82" t="s">
        <v>3395</v>
      </c>
      <c r="D61" s="82" t="s">
        <v>3760</v>
      </c>
      <c r="E61" s="82"/>
      <c r="F61" s="82" t="s">
        <v>4786</v>
      </c>
      <c r="G61" s="89">
        <v>1</v>
      </c>
      <c r="H61" s="89">
        <v>1786.93</v>
      </c>
      <c r="I61" s="85">
        <v>0</v>
      </c>
      <c r="J61" s="85">
        <v>0</v>
      </c>
      <c r="K61" s="85">
        <v>1786.93</v>
      </c>
      <c r="L61" s="85">
        <v>1931.05</v>
      </c>
      <c r="M61" s="89">
        <v>2569.4253723080728</v>
      </c>
      <c r="N61" s="85">
        <v>0</v>
      </c>
      <c r="O61" s="85">
        <v>0</v>
      </c>
      <c r="P61" s="85">
        <v>2569.4253723080728</v>
      </c>
      <c r="Q61" s="85">
        <v>2776.6554175012475</v>
      </c>
      <c r="R61" s="82" t="s">
        <v>3399</v>
      </c>
      <c r="S61" s="7">
        <f t="shared" si="1"/>
        <v>0</v>
      </c>
      <c r="T61" s="6">
        <f t="shared" si="2"/>
        <v>0</v>
      </c>
      <c r="U61" s="25">
        <f t="shared" si="0"/>
        <v>0</v>
      </c>
    </row>
    <row r="62" spans="1:21" ht="10.9" customHeight="1" x14ac:dyDescent="0.2">
      <c r="A62" s="82" t="s">
        <v>3761</v>
      </c>
      <c r="B62" s="83">
        <v>45670</v>
      </c>
      <c r="C62" s="82" t="s">
        <v>3395</v>
      </c>
      <c r="D62" s="82" t="s">
        <v>3760</v>
      </c>
      <c r="E62" s="82"/>
      <c r="F62" s="82" t="s">
        <v>5754</v>
      </c>
      <c r="G62" s="89">
        <v>1</v>
      </c>
      <c r="H62" s="89">
        <v>144.12</v>
      </c>
      <c r="I62" s="85">
        <v>0</v>
      </c>
      <c r="J62" s="85">
        <v>0</v>
      </c>
      <c r="K62" s="85">
        <v>144.12</v>
      </c>
      <c r="L62" s="85">
        <v>1931.05</v>
      </c>
      <c r="M62" s="89">
        <v>207.23004519317459</v>
      </c>
      <c r="N62" s="85">
        <v>0</v>
      </c>
      <c r="O62" s="85">
        <v>0</v>
      </c>
      <c r="P62" s="85">
        <v>207.23004519317459</v>
      </c>
      <c r="Q62" s="85">
        <v>2776.6554175012475</v>
      </c>
      <c r="R62" s="82" t="s">
        <v>3399</v>
      </c>
      <c r="S62" s="7">
        <f t="shared" si="1"/>
        <v>0</v>
      </c>
      <c r="T62" s="6">
        <f t="shared" si="2"/>
        <v>0</v>
      </c>
      <c r="U62" s="25">
        <f t="shared" si="0"/>
        <v>0</v>
      </c>
    </row>
    <row r="63" spans="1:21" ht="10.9" customHeight="1" x14ac:dyDescent="0.2">
      <c r="A63" s="82" t="s">
        <v>2296</v>
      </c>
      <c r="B63" s="83">
        <v>45670</v>
      </c>
      <c r="C63" s="82" t="s">
        <v>3395</v>
      </c>
      <c r="D63" s="82" t="s">
        <v>2221</v>
      </c>
      <c r="E63" s="82"/>
      <c r="F63" s="82" t="s">
        <v>5463</v>
      </c>
      <c r="G63" s="89">
        <v>1</v>
      </c>
      <c r="H63" s="89">
        <v>540.29999999999995</v>
      </c>
      <c r="I63" s="85">
        <v>0</v>
      </c>
      <c r="J63" s="85">
        <v>27.02</v>
      </c>
      <c r="K63" s="85">
        <v>567.32000000000005</v>
      </c>
      <c r="L63" s="85">
        <v>567.32000000000005</v>
      </c>
      <c r="M63" s="89">
        <v>540.29999999999995</v>
      </c>
      <c r="N63" s="85">
        <v>0</v>
      </c>
      <c r="O63" s="85">
        <v>27.02</v>
      </c>
      <c r="P63" s="85">
        <v>567.32000000000005</v>
      </c>
      <c r="Q63" s="85">
        <v>567.32000000000005</v>
      </c>
      <c r="R63" s="82" t="s">
        <v>3399</v>
      </c>
      <c r="S63" s="7">
        <f t="shared" si="1"/>
        <v>0</v>
      </c>
      <c r="T63" s="6">
        <f t="shared" si="2"/>
        <v>0</v>
      </c>
      <c r="U63" s="25">
        <f t="shared" si="0"/>
        <v>0</v>
      </c>
    </row>
    <row r="64" spans="1:21" ht="10.9" customHeight="1" x14ac:dyDescent="0.2">
      <c r="A64" s="82" t="s">
        <v>2294</v>
      </c>
      <c r="B64" s="83">
        <v>45670</v>
      </c>
      <c r="C64" s="82" t="s">
        <v>3395</v>
      </c>
      <c r="D64" s="82" t="s">
        <v>2225</v>
      </c>
      <c r="E64" s="82"/>
      <c r="F64" s="82" t="s">
        <v>4416</v>
      </c>
      <c r="G64" s="89">
        <v>1</v>
      </c>
      <c r="H64" s="89">
        <v>2110.3200000000002</v>
      </c>
      <c r="I64" s="85">
        <v>0</v>
      </c>
      <c r="J64" s="85">
        <v>274.33999999999997</v>
      </c>
      <c r="K64" s="85">
        <v>2384.66</v>
      </c>
      <c r="L64" s="85">
        <v>17048.099999999999</v>
      </c>
      <c r="M64" s="89">
        <v>2110.3200000000002</v>
      </c>
      <c r="N64" s="85">
        <v>0</v>
      </c>
      <c r="O64" s="85">
        <v>274.33999999999997</v>
      </c>
      <c r="P64" s="85">
        <v>2384.66</v>
      </c>
      <c r="Q64" s="85">
        <v>17048.099999999999</v>
      </c>
      <c r="R64" s="82" t="s">
        <v>3399</v>
      </c>
      <c r="S64" s="7">
        <f t="shared" si="1"/>
        <v>0</v>
      </c>
      <c r="T64" s="6">
        <f t="shared" si="2"/>
        <v>0</v>
      </c>
      <c r="U64" s="25">
        <f t="shared" si="0"/>
        <v>0</v>
      </c>
    </row>
    <row r="65" spans="1:21" ht="10.9" customHeight="1" x14ac:dyDescent="0.2">
      <c r="A65" s="82" t="s">
        <v>2294</v>
      </c>
      <c r="B65" s="83">
        <v>45670</v>
      </c>
      <c r="C65" s="82" t="s">
        <v>3395</v>
      </c>
      <c r="D65" s="82" t="s">
        <v>2225</v>
      </c>
      <c r="E65" s="82"/>
      <c r="F65" s="82" t="s">
        <v>4417</v>
      </c>
      <c r="G65" s="89">
        <v>1</v>
      </c>
      <c r="H65" s="89">
        <v>1595.85</v>
      </c>
      <c r="I65" s="85">
        <v>0</v>
      </c>
      <c r="J65" s="85">
        <v>207.46</v>
      </c>
      <c r="K65" s="85">
        <v>1803.31</v>
      </c>
      <c r="L65" s="85">
        <v>17048.099999999999</v>
      </c>
      <c r="M65" s="89">
        <v>1595.85</v>
      </c>
      <c r="N65" s="85">
        <v>0</v>
      </c>
      <c r="O65" s="85">
        <v>207.46</v>
      </c>
      <c r="P65" s="85">
        <v>1803.31</v>
      </c>
      <c r="Q65" s="85">
        <v>17048.099999999999</v>
      </c>
      <c r="R65" s="82" t="s">
        <v>3399</v>
      </c>
      <c r="S65" s="7">
        <f t="shared" si="1"/>
        <v>0</v>
      </c>
      <c r="T65" s="6">
        <f t="shared" si="2"/>
        <v>0</v>
      </c>
      <c r="U65" s="25">
        <f t="shared" si="0"/>
        <v>0</v>
      </c>
    </row>
    <row r="66" spans="1:21" ht="10.9" customHeight="1" x14ac:dyDescent="0.2">
      <c r="A66" s="82" t="s">
        <v>2294</v>
      </c>
      <c r="B66" s="83">
        <v>45670</v>
      </c>
      <c r="C66" s="82" t="s">
        <v>3395</v>
      </c>
      <c r="D66" s="82" t="s">
        <v>2225</v>
      </c>
      <c r="E66" s="82"/>
      <c r="F66" s="82" t="s">
        <v>4415</v>
      </c>
      <c r="G66" s="89">
        <v>1</v>
      </c>
      <c r="H66" s="89">
        <v>2116.89</v>
      </c>
      <c r="I66" s="85">
        <v>0</v>
      </c>
      <c r="J66" s="85">
        <v>275.2</v>
      </c>
      <c r="K66" s="85">
        <v>2392.09</v>
      </c>
      <c r="L66" s="85">
        <v>17048.099999999999</v>
      </c>
      <c r="M66" s="89">
        <v>2116.89</v>
      </c>
      <c r="N66" s="85">
        <v>0</v>
      </c>
      <c r="O66" s="85">
        <v>275.2</v>
      </c>
      <c r="P66" s="85">
        <v>2392.09</v>
      </c>
      <c r="Q66" s="85">
        <v>17048.099999999999</v>
      </c>
      <c r="R66" s="82" t="s">
        <v>3399</v>
      </c>
      <c r="S66" s="7">
        <f t="shared" si="1"/>
        <v>0</v>
      </c>
      <c r="T66" s="6">
        <f t="shared" si="2"/>
        <v>0</v>
      </c>
      <c r="U66" s="25">
        <f t="shared" ref="U66:U129" si="3">IF(T66=1,K66-J66,0)</f>
        <v>0</v>
      </c>
    </row>
    <row r="67" spans="1:21" ht="10.9" customHeight="1" x14ac:dyDescent="0.2">
      <c r="A67" s="82" t="s">
        <v>2294</v>
      </c>
      <c r="B67" s="83">
        <v>45670</v>
      </c>
      <c r="C67" s="82" t="s">
        <v>3395</v>
      </c>
      <c r="D67" s="82" t="s">
        <v>2225</v>
      </c>
      <c r="E67" s="82"/>
      <c r="F67" s="82" t="s">
        <v>4751</v>
      </c>
      <c r="G67" s="89">
        <v>1</v>
      </c>
      <c r="H67" s="89">
        <v>149.88</v>
      </c>
      <c r="I67" s="85">
        <v>0</v>
      </c>
      <c r="J67" s="85">
        <v>19.48</v>
      </c>
      <c r="K67" s="85">
        <v>169.36</v>
      </c>
      <c r="L67" s="85">
        <v>17048.099999999999</v>
      </c>
      <c r="M67" s="89">
        <v>149.88</v>
      </c>
      <c r="N67" s="85">
        <v>0</v>
      </c>
      <c r="O67" s="85">
        <v>19.48</v>
      </c>
      <c r="P67" s="85">
        <v>169.36</v>
      </c>
      <c r="Q67" s="85">
        <v>17048.099999999999</v>
      </c>
      <c r="R67" s="82" t="s">
        <v>3399</v>
      </c>
      <c r="S67" s="7">
        <f t="shared" ref="S67:S130" si="4">IF(T67=1,A67,0)</f>
        <v>0</v>
      </c>
      <c r="T67" s="6">
        <f t="shared" ref="T67:T130" si="5">IFERROR(FIND("Freight",F67,1),0)</f>
        <v>0</v>
      </c>
      <c r="U67" s="25">
        <f t="shared" si="3"/>
        <v>0</v>
      </c>
    </row>
    <row r="68" spans="1:21" ht="10.9" customHeight="1" x14ac:dyDescent="0.2">
      <c r="A68" s="82" t="s">
        <v>2294</v>
      </c>
      <c r="B68" s="83">
        <v>45670</v>
      </c>
      <c r="C68" s="82" t="s">
        <v>3395</v>
      </c>
      <c r="D68" s="82" t="s">
        <v>2225</v>
      </c>
      <c r="E68" s="82"/>
      <c r="F68" s="82" t="s">
        <v>4414</v>
      </c>
      <c r="G68" s="89">
        <v>1</v>
      </c>
      <c r="H68" s="89">
        <v>1242.28</v>
      </c>
      <c r="I68" s="85">
        <v>0</v>
      </c>
      <c r="J68" s="85">
        <v>161.5</v>
      </c>
      <c r="K68" s="85">
        <v>1403.78</v>
      </c>
      <c r="L68" s="85">
        <v>17048.099999999999</v>
      </c>
      <c r="M68" s="89">
        <v>1242.28</v>
      </c>
      <c r="N68" s="85">
        <v>0</v>
      </c>
      <c r="O68" s="85">
        <v>161.5</v>
      </c>
      <c r="P68" s="85">
        <v>1403.78</v>
      </c>
      <c r="Q68" s="85">
        <v>17048.099999999999</v>
      </c>
      <c r="R68" s="82" t="s">
        <v>3399</v>
      </c>
      <c r="S68" s="7">
        <f t="shared" si="4"/>
        <v>0</v>
      </c>
      <c r="T68" s="6">
        <f t="shared" si="5"/>
        <v>0</v>
      </c>
      <c r="U68" s="25">
        <f t="shared" si="3"/>
        <v>0</v>
      </c>
    </row>
    <row r="69" spans="1:21" ht="10.9" customHeight="1" x14ac:dyDescent="0.2">
      <c r="A69" s="82" t="s">
        <v>2294</v>
      </c>
      <c r="B69" s="83">
        <v>45670</v>
      </c>
      <c r="C69" s="82" t="s">
        <v>3395</v>
      </c>
      <c r="D69" s="82" t="s">
        <v>2225</v>
      </c>
      <c r="E69" s="82"/>
      <c r="F69" s="82" t="s">
        <v>4738</v>
      </c>
      <c r="G69" s="89">
        <v>1</v>
      </c>
      <c r="H69" s="89">
        <v>836.52</v>
      </c>
      <c r="I69" s="85">
        <v>0</v>
      </c>
      <c r="J69" s="85">
        <v>108.75</v>
      </c>
      <c r="K69" s="85">
        <v>945.27</v>
      </c>
      <c r="L69" s="85">
        <v>17048.099999999999</v>
      </c>
      <c r="M69" s="89">
        <v>836.52</v>
      </c>
      <c r="N69" s="85">
        <v>0</v>
      </c>
      <c r="O69" s="85">
        <v>108.75</v>
      </c>
      <c r="P69" s="85">
        <v>945.27</v>
      </c>
      <c r="Q69" s="85">
        <v>17048.099999999999</v>
      </c>
      <c r="R69" s="82" t="s">
        <v>3399</v>
      </c>
      <c r="S69" s="7">
        <f t="shared" si="4"/>
        <v>0</v>
      </c>
      <c r="T69" s="6">
        <f t="shared" si="5"/>
        <v>0</v>
      </c>
      <c r="U69" s="25">
        <f t="shared" si="3"/>
        <v>0</v>
      </c>
    </row>
    <row r="70" spans="1:21" ht="10.9" customHeight="1" x14ac:dyDescent="0.2">
      <c r="A70" s="82" t="s">
        <v>2294</v>
      </c>
      <c r="B70" s="83">
        <v>45670</v>
      </c>
      <c r="C70" s="82" t="s">
        <v>3395</v>
      </c>
      <c r="D70" s="82" t="s">
        <v>2225</v>
      </c>
      <c r="E70" s="82"/>
      <c r="F70" s="82" t="s">
        <v>4439</v>
      </c>
      <c r="G70" s="89">
        <v>1</v>
      </c>
      <c r="H70" s="89">
        <v>19.39</v>
      </c>
      <c r="I70" s="85">
        <v>0</v>
      </c>
      <c r="J70" s="85">
        <v>2.52</v>
      </c>
      <c r="K70" s="85">
        <v>21.91</v>
      </c>
      <c r="L70" s="85">
        <v>17048.099999999999</v>
      </c>
      <c r="M70" s="89">
        <v>19.39</v>
      </c>
      <c r="N70" s="85">
        <v>0</v>
      </c>
      <c r="O70" s="85">
        <v>2.52</v>
      </c>
      <c r="P70" s="85">
        <v>21.91</v>
      </c>
      <c r="Q70" s="85">
        <v>17048.099999999999</v>
      </c>
      <c r="R70" s="82" t="s">
        <v>3399</v>
      </c>
      <c r="S70" s="7">
        <f t="shared" si="4"/>
        <v>0</v>
      </c>
      <c r="T70" s="6">
        <f t="shared" si="5"/>
        <v>0</v>
      </c>
      <c r="U70" s="25">
        <f t="shared" si="3"/>
        <v>0</v>
      </c>
    </row>
    <row r="71" spans="1:21" ht="10.9" customHeight="1" x14ac:dyDescent="0.2">
      <c r="A71" s="82" t="s">
        <v>2294</v>
      </c>
      <c r="B71" s="83">
        <v>45670</v>
      </c>
      <c r="C71" s="82" t="s">
        <v>3395</v>
      </c>
      <c r="D71" s="82" t="s">
        <v>2225</v>
      </c>
      <c r="E71" s="82"/>
      <c r="F71" s="82" t="s">
        <v>4591</v>
      </c>
      <c r="G71" s="89">
        <v>1</v>
      </c>
      <c r="H71" s="89">
        <v>172.29</v>
      </c>
      <c r="I71" s="85">
        <v>0</v>
      </c>
      <c r="J71" s="85">
        <v>22.4</v>
      </c>
      <c r="K71" s="85">
        <v>194.69</v>
      </c>
      <c r="L71" s="85">
        <v>17048.099999999999</v>
      </c>
      <c r="M71" s="89">
        <v>172.29</v>
      </c>
      <c r="N71" s="85">
        <v>0</v>
      </c>
      <c r="O71" s="85">
        <v>22.4</v>
      </c>
      <c r="P71" s="85">
        <v>194.69</v>
      </c>
      <c r="Q71" s="85">
        <v>17048.099999999999</v>
      </c>
      <c r="R71" s="82" t="s">
        <v>3399</v>
      </c>
      <c r="S71" s="7">
        <f t="shared" si="4"/>
        <v>0</v>
      </c>
      <c r="T71" s="6">
        <f t="shared" si="5"/>
        <v>0</v>
      </c>
      <c r="U71" s="25">
        <f t="shared" si="3"/>
        <v>0</v>
      </c>
    </row>
    <row r="72" spans="1:21" ht="10.9" customHeight="1" x14ac:dyDescent="0.2">
      <c r="A72" s="82" t="s">
        <v>2294</v>
      </c>
      <c r="B72" s="83">
        <v>45670</v>
      </c>
      <c r="C72" s="82" t="s">
        <v>3395</v>
      </c>
      <c r="D72" s="82" t="s">
        <v>2225</v>
      </c>
      <c r="E72" s="82"/>
      <c r="F72" s="82" t="s">
        <v>5515</v>
      </c>
      <c r="G72" s="89">
        <v>2</v>
      </c>
      <c r="H72" s="89">
        <v>717.1</v>
      </c>
      <c r="I72" s="85">
        <v>0</v>
      </c>
      <c r="J72" s="85">
        <v>186.45</v>
      </c>
      <c r="K72" s="85">
        <v>1620.65</v>
      </c>
      <c r="L72" s="85">
        <v>17048.099999999999</v>
      </c>
      <c r="M72" s="89">
        <v>717.1</v>
      </c>
      <c r="N72" s="85">
        <v>0</v>
      </c>
      <c r="O72" s="85">
        <v>186.45</v>
      </c>
      <c r="P72" s="85">
        <v>1620.65</v>
      </c>
      <c r="Q72" s="85">
        <v>17048.099999999999</v>
      </c>
      <c r="R72" s="82" t="s">
        <v>3399</v>
      </c>
      <c r="S72" s="7">
        <f t="shared" si="4"/>
        <v>0</v>
      </c>
      <c r="T72" s="6">
        <f t="shared" si="5"/>
        <v>0</v>
      </c>
      <c r="U72" s="25">
        <f t="shared" si="3"/>
        <v>0</v>
      </c>
    </row>
    <row r="73" spans="1:21" ht="10.9" customHeight="1" x14ac:dyDescent="0.2">
      <c r="A73" s="82" t="s">
        <v>2294</v>
      </c>
      <c r="B73" s="83">
        <v>45670</v>
      </c>
      <c r="C73" s="82" t="s">
        <v>3395</v>
      </c>
      <c r="D73" s="82" t="s">
        <v>2225</v>
      </c>
      <c r="E73" s="82"/>
      <c r="F73" s="82" t="s">
        <v>4791</v>
      </c>
      <c r="G73" s="89">
        <v>2</v>
      </c>
      <c r="H73" s="89">
        <v>1357.37</v>
      </c>
      <c r="I73" s="85">
        <v>0</v>
      </c>
      <c r="J73" s="85">
        <v>352.92</v>
      </c>
      <c r="K73" s="85">
        <v>3067.66</v>
      </c>
      <c r="L73" s="85">
        <v>17048.099999999999</v>
      </c>
      <c r="M73" s="89">
        <v>1357.37</v>
      </c>
      <c r="N73" s="85">
        <v>0</v>
      </c>
      <c r="O73" s="85">
        <v>352.92</v>
      </c>
      <c r="P73" s="85">
        <v>3067.66</v>
      </c>
      <c r="Q73" s="85">
        <v>17048.099999999999</v>
      </c>
      <c r="R73" s="82" t="s">
        <v>3399</v>
      </c>
      <c r="S73" s="7">
        <f t="shared" si="4"/>
        <v>0</v>
      </c>
      <c r="T73" s="6">
        <f t="shared" si="5"/>
        <v>0</v>
      </c>
      <c r="U73" s="25">
        <f t="shared" si="3"/>
        <v>0</v>
      </c>
    </row>
    <row r="74" spans="1:21" ht="10.9" customHeight="1" x14ac:dyDescent="0.2">
      <c r="A74" s="82" t="s">
        <v>2294</v>
      </c>
      <c r="B74" s="83">
        <v>45670</v>
      </c>
      <c r="C74" s="82" t="s">
        <v>3395</v>
      </c>
      <c r="D74" s="82" t="s">
        <v>2225</v>
      </c>
      <c r="E74" s="82"/>
      <c r="F74" s="82" t="s">
        <v>5756</v>
      </c>
      <c r="G74" s="89">
        <v>2</v>
      </c>
      <c r="H74" s="89">
        <v>641.85</v>
      </c>
      <c r="I74" s="85">
        <v>0</v>
      </c>
      <c r="J74" s="85">
        <v>166.88</v>
      </c>
      <c r="K74" s="85">
        <v>1450.58</v>
      </c>
      <c r="L74" s="85">
        <v>17048.099999999999</v>
      </c>
      <c r="M74" s="89">
        <v>641.85</v>
      </c>
      <c r="N74" s="85">
        <v>0</v>
      </c>
      <c r="O74" s="85">
        <v>166.88</v>
      </c>
      <c r="P74" s="85">
        <v>1450.58</v>
      </c>
      <c r="Q74" s="85">
        <v>17048.099999999999</v>
      </c>
      <c r="R74" s="82" t="s">
        <v>3399</v>
      </c>
      <c r="S74" s="7">
        <f t="shared" si="4"/>
        <v>0</v>
      </c>
      <c r="T74" s="6">
        <f t="shared" si="5"/>
        <v>0</v>
      </c>
      <c r="U74" s="25">
        <f t="shared" si="3"/>
        <v>0</v>
      </c>
    </row>
    <row r="75" spans="1:21" ht="10.9" customHeight="1" x14ac:dyDescent="0.2">
      <c r="A75" s="82" t="s">
        <v>2294</v>
      </c>
      <c r="B75" s="83">
        <v>45670</v>
      </c>
      <c r="C75" s="82" t="s">
        <v>3395</v>
      </c>
      <c r="D75" s="82" t="s">
        <v>2225</v>
      </c>
      <c r="E75" s="82"/>
      <c r="F75" s="82" t="s">
        <v>4792</v>
      </c>
      <c r="G75" s="89">
        <v>2</v>
      </c>
      <c r="H75" s="89">
        <v>705.37</v>
      </c>
      <c r="I75" s="85">
        <v>0</v>
      </c>
      <c r="J75" s="85">
        <v>183.4</v>
      </c>
      <c r="K75" s="85">
        <v>1594.14</v>
      </c>
      <c r="L75" s="85">
        <v>17048.099999999999</v>
      </c>
      <c r="M75" s="89">
        <v>705.37</v>
      </c>
      <c r="N75" s="85">
        <v>0</v>
      </c>
      <c r="O75" s="85">
        <v>183.4</v>
      </c>
      <c r="P75" s="85">
        <v>1594.14</v>
      </c>
      <c r="Q75" s="85">
        <v>17048.099999999999</v>
      </c>
      <c r="R75" s="82" t="s">
        <v>3399</v>
      </c>
      <c r="S75" s="7">
        <f t="shared" si="4"/>
        <v>0</v>
      </c>
      <c r="T75" s="6">
        <f t="shared" si="5"/>
        <v>0</v>
      </c>
      <c r="U75" s="25">
        <f t="shared" si="3"/>
        <v>0</v>
      </c>
    </row>
    <row r="76" spans="1:21" ht="10.9" customHeight="1" x14ac:dyDescent="0.2">
      <c r="A76" s="82" t="s">
        <v>3765</v>
      </c>
      <c r="B76" s="83">
        <v>45670</v>
      </c>
      <c r="C76" s="82" t="s">
        <v>3395</v>
      </c>
      <c r="D76" s="82" t="s">
        <v>3764</v>
      </c>
      <c r="E76" s="82"/>
      <c r="F76" s="82" t="s">
        <v>4849</v>
      </c>
      <c r="G76" s="89">
        <v>1</v>
      </c>
      <c r="H76" s="89">
        <v>224.71</v>
      </c>
      <c r="I76" s="85">
        <v>0</v>
      </c>
      <c r="J76" s="85">
        <v>11.24</v>
      </c>
      <c r="K76" s="85">
        <v>235.95</v>
      </c>
      <c r="L76" s="85">
        <v>1537.72</v>
      </c>
      <c r="M76" s="89">
        <v>224.71</v>
      </c>
      <c r="N76" s="85">
        <v>0</v>
      </c>
      <c r="O76" s="85">
        <v>11.24</v>
      </c>
      <c r="P76" s="85">
        <v>235.95</v>
      </c>
      <c r="Q76" s="85">
        <v>1537.72</v>
      </c>
      <c r="R76" s="82" t="s">
        <v>3399</v>
      </c>
      <c r="S76" s="7">
        <f t="shared" si="4"/>
        <v>0</v>
      </c>
      <c r="T76" s="6">
        <f t="shared" si="5"/>
        <v>0</v>
      </c>
      <c r="U76" s="25">
        <f t="shared" si="3"/>
        <v>0</v>
      </c>
    </row>
    <row r="77" spans="1:21" ht="10.9" customHeight="1" x14ac:dyDescent="0.2">
      <c r="A77" s="82" t="s">
        <v>3765</v>
      </c>
      <c r="B77" s="83">
        <v>45670</v>
      </c>
      <c r="C77" s="82" t="s">
        <v>3395</v>
      </c>
      <c r="D77" s="82" t="s">
        <v>3764</v>
      </c>
      <c r="E77" s="82"/>
      <c r="F77" s="82" t="s">
        <v>5755</v>
      </c>
      <c r="G77" s="89">
        <v>1</v>
      </c>
      <c r="H77" s="89">
        <v>1239.78</v>
      </c>
      <c r="I77" s="85">
        <v>0</v>
      </c>
      <c r="J77" s="85">
        <v>61.99</v>
      </c>
      <c r="K77" s="85">
        <v>1301.77</v>
      </c>
      <c r="L77" s="85">
        <v>1537.72</v>
      </c>
      <c r="M77" s="89">
        <v>1239.78</v>
      </c>
      <c r="N77" s="85">
        <v>0</v>
      </c>
      <c r="O77" s="85">
        <v>61.99</v>
      </c>
      <c r="P77" s="85">
        <v>1301.77</v>
      </c>
      <c r="Q77" s="85">
        <v>1537.72</v>
      </c>
      <c r="R77" s="82" t="s">
        <v>3399</v>
      </c>
      <c r="S77" s="7">
        <f t="shared" si="4"/>
        <v>0</v>
      </c>
      <c r="T77" s="6">
        <f t="shared" si="5"/>
        <v>0</v>
      </c>
      <c r="U77" s="25">
        <f t="shared" si="3"/>
        <v>0</v>
      </c>
    </row>
    <row r="78" spans="1:21" ht="10.9" customHeight="1" x14ac:dyDescent="0.2">
      <c r="A78" s="82" t="s">
        <v>3763</v>
      </c>
      <c r="B78" s="83">
        <v>45670</v>
      </c>
      <c r="C78" s="82" t="s">
        <v>3395</v>
      </c>
      <c r="D78" s="82" t="s">
        <v>3762</v>
      </c>
      <c r="E78" s="82"/>
      <c r="F78" s="82" t="s">
        <v>5753</v>
      </c>
      <c r="G78" s="89">
        <v>1</v>
      </c>
      <c r="H78" s="89">
        <v>5489.78</v>
      </c>
      <c r="I78" s="85">
        <v>0</v>
      </c>
      <c r="J78" s="85">
        <v>274.49</v>
      </c>
      <c r="K78" s="85">
        <v>5764.27</v>
      </c>
      <c r="L78" s="85">
        <v>5764.27</v>
      </c>
      <c r="M78" s="89">
        <v>5489.78</v>
      </c>
      <c r="N78" s="85">
        <v>0</v>
      </c>
      <c r="O78" s="85">
        <v>274.49</v>
      </c>
      <c r="P78" s="85">
        <v>5764.27</v>
      </c>
      <c r="Q78" s="85">
        <v>5764.27</v>
      </c>
      <c r="R78" s="82" t="s">
        <v>3399</v>
      </c>
      <c r="S78" s="7">
        <f t="shared" si="4"/>
        <v>0</v>
      </c>
      <c r="T78" s="6">
        <f t="shared" si="5"/>
        <v>0</v>
      </c>
      <c r="U78" s="25">
        <f t="shared" si="3"/>
        <v>0</v>
      </c>
    </row>
    <row r="79" spans="1:21" ht="10.9" customHeight="1" x14ac:dyDescent="0.2">
      <c r="A79" s="82" t="s">
        <v>3767</v>
      </c>
      <c r="B79" s="83">
        <v>45670</v>
      </c>
      <c r="C79" s="82" t="s">
        <v>3395</v>
      </c>
      <c r="D79" s="82" t="s">
        <v>3766</v>
      </c>
      <c r="E79" s="82"/>
      <c r="F79" s="82" t="s">
        <v>5075</v>
      </c>
      <c r="G79" s="89">
        <v>8</v>
      </c>
      <c r="H79" s="89">
        <v>24.97</v>
      </c>
      <c r="I79" s="85">
        <v>0</v>
      </c>
      <c r="J79" s="85">
        <v>9.99</v>
      </c>
      <c r="K79" s="85">
        <v>209.75</v>
      </c>
      <c r="L79" s="85">
        <v>10930.86</v>
      </c>
      <c r="M79" s="89">
        <v>24.97</v>
      </c>
      <c r="N79" s="85">
        <v>0</v>
      </c>
      <c r="O79" s="85">
        <v>9.99</v>
      </c>
      <c r="P79" s="85">
        <v>209.75</v>
      </c>
      <c r="Q79" s="85">
        <v>10930.86</v>
      </c>
      <c r="R79" s="82" t="s">
        <v>3399</v>
      </c>
      <c r="S79" s="7">
        <f t="shared" si="4"/>
        <v>0</v>
      </c>
      <c r="T79" s="6">
        <f t="shared" si="5"/>
        <v>0</v>
      </c>
      <c r="U79" s="25">
        <f t="shared" si="3"/>
        <v>0</v>
      </c>
    </row>
    <row r="80" spans="1:21" ht="10.9" customHeight="1" x14ac:dyDescent="0.2">
      <c r="A80" s="82" t="s">
        <v>3767</v>
      </c>
      <c r="B80" s="83">
        <v>45670</v>
      </c>
      <c r="C80" s="82" t="s">
        <v>3395</v>
      </c>
      <c r="D80" s="82" t="s">
        <v>3766</v>
      </c>
      <c r="E80" s="82"/>
      <c r="F80" s="82" t="s">
        <v>4957</v>
      </c>
      <c r="G80" s="89">
        <v>1</v>
      </c>
      <c r="H80" s="89">
        <v>1529.03</v>
      </c>
      <c r="I80" s="85">
        <v>0</v>
      </c>
      <c r="J80" s="85">
        <v>76.45</v>
      </c>
      <c r="K80" s="85">
        <v>1605.48</v>
      </c>
      <c r="L80" s="85">
        <v>10930.86</v>
      </c>
      <c r="M80" s="89">
        <v>1529.03</v>
      </c>
      <c r="N80" s="85">
        <v>0</v>
      </c>
      <c r="O80" s="85">
        <v>76.45</v>
      </c>
      <c r="P80" s="85">
        <v>1605.48</v>
      </c>
      <c r="Q80" s="85">
        <v>10930.86</v>
      </c>
      <c r="R80" s="82" t="s">
        <v>3399</v>
      </c>
      <c r="S80" s="7">
        <f t="shared" si="4"/>
        <v>0</v>
      </c>
      <c r="T80" s="6">
        <f t="shared" si="5"/>
        <v>0</v>
      </c>
      <c r="U80" s="25">
        <f t="shared" si="3"/>
        <v>0</v>
      </c>
    </row>
    <row r="81" spans="1:21" ht="10.9" customHeight="1" x14ac:dyDescent="0.2">
      <c r="A81" s="82" t="s">
        <v>3767</v>
      </c>
      <c r="B81" s="83">
        <v>45670</v>
      </c>
      <c r="C81" s="82" t="s">
        <v>3395</v>
      </c>
      <c r="D81" s="82" t="s">
        <v>3766</v>
      </c>
      <c r="E81" s="82"/>
      <c r="F81" s="82" t="s">
        <v>5073</v>
      </c>
      <c r="G81" s="89">
        <v>1</v>
      </c>
      <c r="H81" s="89">
        <v>2847.73</v>
      </c>
      <c r="I81" s="85">
        <v>0</v>
      </c>
      <c r="J81" s="85">
        <v>142.38999999999999</v>
      </c>
      <c r="K81" s="85">
        <v>2990.12</v>
      </c>
      <c r="L81" s="85">
        <v>10930.86</v>
      </c>
      <c r="M81" s="89">
        <v>2847.73</v>
      </c>
      <c r="N81" s="85">
        <v>0</v>
      </c>
      <c r="O81" s="85">
        <v>142.38999999999999</v>
      </c>
      <c r="P81" s="85">
        <v>2990.12</v>
      </c>
      <c r="Q81" s="85">
        <v>10930.86</v>
      </c>
      <c r="R81" s="82" t="s">
        <v>3399</v>
      </c>
      <c r="S81" s="7">
        <f t="shared" si="4"/>
        <v>0</v>
      </c>
      <c r="T81" s="6">
        <f t="shared" si="5"/>
        <v>0</v>
      </c>
      <c r="U81" s="25">
        <f t="shared" si="3"/>
        <v>0</v>
      </c>
    </row>
    <row r="82" spans="1:21" ht="10.9" customHeight="1" x14ac:dyDescent="0.2">
      <c r="A82" s="82" t="s">
        <v>3767</v>
      </c>
      <c r="B82" s="83">
        <v>45670</v>
      </c>
      <c r="C82" s="82" t="s">
        <v>3395</v>
      </c>
      <c r="D82" s="82" t="s">
        <v>3766</v>
      </c>
      <c r="E82" s="82"/>
      <c r="F82" s="82" t="s">
        <v>5072</v>
      </c>
      <c r="G82" s="89">
        <v>2</v>
      </c>
      <c r="H82" s="89">
        <v>110.8</v>
      </c>
      <c r="I82" s="85">
        <v>0</v>
      </c>
      <c r="J82" s="85">
        <v>11.08</v>
      </c>
      <c r="K82" s="85">
        <v>232.68</v>
      </c>
      <c r="L82" s="85">
        <v>10930.86</v>
      </c>
      <c r="M82" s="89">
        <v>110.8</v>
      </c>
      <c r="N82" s="85">
        <v>0</v>
      </c>
      <c r="O82" s="85">
        <v>11.08</v>
      </c>
      <c r="P82" s="85">
        <v>232.68</v>
      </c>
      <c r="Q82" s="85">
        <v>10930.86</v>
      </c>
      <c r="R82" s="82" t="s">
        <v>3399</v>
      </c>
      <c r="S82" s="7">
        <f t="shared" si="4"/>
        <v>0</v>
      </c>
      <c r="T82" s="6">
        <f t="shared" si="5"/>
        <v>0</v>
      </c>
      <c r="U82" s="25">
        <f t="shared" si="3"/>
        <v>0</v>
      </c>
    </row>
    <row r="83" spans="1:21" ht="10.9" customHeight="1" x14ac:dyDescent="0.2">
      <c r="A83" s="82" t="s">
        <v>3767</v>
      </c>
      <c r="B83" s="83">
        <v>45670</v>
      </c>
      <c r="C83" s="82" t="s">
        <v>3395</v>
      </c>
      <c r="D83" s="82" t="s">
        <v>3766</v>
      </c>
      <c r="E83" s="82"/>
      <c r="F83" s="82" t="s">
        <v>5071</v>
      </c>
      <c r="G83" s="89">
        <v>1</v>
      </c>
      <c r="H83" s="89">
        <v>1770.5</v>
      </c>
      <c r="I83" s="85">
        <v>0</v>
      </c>
      <c r="J83" s="85">
        <v>88.53</v>
      </c>
      <c r="K83" s="85">
        <v>1859.03</v>
      </c>
      <c r="L83" s="85">
        <v>10930.86</v>
      </c>
      <c r="M83" s="89">
        <v>1770.5</v>
      </c>
      <c r="N83" s="85">
        <v>0</v>
      </c>
      <c r="O83" s="85">
        <v>88.53</v>
      </c>
      <c r="P83" s="85">
        <v>1859.03</v>
      </c>
      <c r="Q83" s="85">
        <v>10930.86</v>
      </c>
      <c r="R83" s="82" t="s">
        <v>3399</v>
      </c>
      <c r="S83" s="7">
        <f t="shared" si="4"/>
        <v>0</v>
      </c>
      <c r="T83" s="6">
        <f t="shared" si="5"/>
        <v>0</v>
      </c>
      <c r="U83" s="25">
        <f t="shared" si="3"/>
        <v>0</v>
      </c>
    </row>
    <row r="84" spans="1:21" ht="10.9" customHeight="1" x14ac:dyDescent="0.2">
      <c r="A84" s="82" t="s">
        <v>3767</v>
      </c>
      <c r="B84" s="83">
        <v>45670</v>
      </c>
      <c r="C84" s="82" t="s">
        <v>3395</v>
      </c>
      <c r="D84" s="82" t="s">
        <v>3766</v>
      </c>
      <c r="E84" s="82"/>
      <c r="F84" s="82" t="s">
        <v>5068</v>
      </c>
      <c r="G84" s="89">
        <v>2</v>
      </c>
      <c r="H84" s="89">
        <v>38.53</v>
      </c>
      <c r="I84" s="85">
        <v>0</v>
      </c>
      <c r="J84" s="85">
        <v>3.85</v>
      </c>
      <c r="K84" s="85">
        <v>80.91</v>
      </c>
      <c r="L84" s="85">
        <v>10930.86</v>
      </c>
      <c r="M84" s="89">
        <v>38.53</v>
      </c>
      <c r="N84" s="85">
        <v>0</v>
      </c>
      <c r="O84" s="85">
        <v>3.85</v>
      </c>
      <c r="P84" s="85">
        <v>80.91</v>
      </c>
      <c r="Q84" s="85">
        <v>10930.86</v>
      </c>
      <c r="R84" s="82" t="s">
        <v>3399</v>
      </c>
      <c r="S84" s="7">
        <f t="shared" si="4"/>
        <v>0</v>
      </c>
      <c r="T84" s="6">
        <f t="shared" si="5"/>
        <v>0</v>
      </c>
      <c r="U84" s="25">
        <f t="shared" si="3"/>
        <v>0</v>
      </c>
    </row>
    <row r="85" spans="1:21" ht="10.9" customHeight="1" x14ac:dyDescent="0.2">
      <c r="A85" s="82" t="s">
        <v>3767</v>
      </c>
      <c r="B85" s="83">
        <v>45670</v>
      </c>
      <c r="C85" s="82" t="s">
        <v>3395</v>
      </c>
      <c r="D85" s="82" t="s">
        <v>3766</v>
      </c>
      <c r="E85" s="82"/>
      <c r="F85" s="82" t="s">
        <v>5067</v>
      </c>
      <c r="G85" s="89">
        <v>1</v>
      </c>
      <c r="H85" s="89">
        <v>285.11</v>
      </c>
      <c r="I85" s="85">
        <v>0</v>
      </c>
      <c r="J85" s="85">
        <v>14.26</v>
      </c>
      <c r="K85" s="85">
        <v>299.37</v>
      </c>
      <c r="L85" s="85">
        <v>10930.86</v>
      </c>
      <c r="M85" s="89">
        <v>285.11</v>
      </c>
      <c r="N85" s="85">
        <v>0</v>
      </c>
      <c r="O85" s="85">
        <v>14.26</v>
      </c>
      <c r="P85" s="85">
        <v>299.37</v>
      </c>
      <c r="Q85" s="85">
        <v>10930.86</v>
      </c>
      <c r="R85" s="82" t="s">
        <v>3399</v>
      </c>
      <c r="S85" s="7">
        <f t="shared" si="4"/>
        <v>0</v>
      </c>
      <c r="T85" s="6">
        <f t="shared" si="5"/>
        <v>0</v>
      </c>
      <c r="U85" s="25">
        <f t="shared" si="3"/>
        <v>0</v>
      </c>
    </row>
    <row r="86" spans="1:21" ht="10.9" customHeight="1" x14ac:dyDescent="0.2">
      <c r="A86" s="82" t="s">
        <v>3767</v>
      </c>
      <c r="B86" s="83">
        <v>45670</v>
      </c>
      <c r="C86" s="82" t="s">
        <v>3395</v>
      </c>
      <c r="D86" s="82" t="s">
        <v>3766</v>
      </c>
      <c r="E86" s="82"/>
      <c r="F86" s="82" t="s">
        <v>5343</v>
      </c>
      <c r="G86" s="89">
        <v>1</v>
      </c>
      <c r="H86" s="89">
        <v>95.07</v>
      </c>
      <c r="I86" s="85">
        <v>0</v>
      </c>
      <c r="J86" s="85">
        <v>4.75</v>
      </c>
      <c r="K86" s="85">
        <v>99.82</v>
      </c>
      <c r="L86" s="85">
        <v>10930.86</v>
      </c>
      <c r="M86" s="89">
        <v>95.07</v>
      </c>
      <c r="N86" s="85">
        <v>0</v>
      </c>
      <c r="O86" s="85">
        <v>4.75</v>
      </c>
      <c r="P86" s="85">
        <v>99.82</v>
      </c>
      <c r="Q86" s="85">
        <v>10930.86</v>
      </c>
      <c r="R86" s="82" t="s">
        <v>3399</v>
      </c>
      <c r="S86" s="7">
        <f t="shared" si="4"/>
        <v>0</v>
      </c>
      <c r="T86" s="6">
        <f t="shared" si="5"/>
        <v>0</v>
      </c>
      <c r="U86" s="25">
        <f t="shared" si="3"/>
        <v>0</v>
      </c>
    </row>
    <row r="87" spans="1:21" ht="10.9" customHeight="1" x14ac:dyDescent="0.2">
      <c r="A87" s="82" t="s">
        <v>3767</v>
      </c>
      <c r="B87" s="83">
        <v>45670</v>
      </c>
      <c r="C87" s="82" t="s">
        <v>3395</v>
      </c>
      <c r="D87" s="82" t="s">
        <v>3766</v>
      </c>
      <c r="E87" s="82"/>
      <c r="F87" s="82" t="s">
        <v>5065</v>
      </c>
      <c r="G87" s="89">
        <v>1</v>
      </c>
      <c r="H87" s="89">
        <v>1080.68</v>
      </c>
      <c r="I87" s="85">
        <v>0</v>
      </c>
      <c r="J87" s="85">
        <v>54.03</v>
      </c>
      <c r="K87" s="85">
        <v>1134.71</v>
      </c>
      <c r="L87" s="85">
        <v>10930.86</v>
      </c>
      <c r="M87" s="89">
        <v>1080.68</v>
      </c>
      <c r="N87" s="85">
        <v>0</v>
      </c>
      <c r="O87" s="85">
        <v>54.03</v>
      </c>
      <c r="P87" s="85">
        <v>1134.71</v>
      </c>
      <c r="Q87" s="85">
        <v>10930.86</v>
      </c>
      <c r="R87" s="82" t="s">
        <v>3399</v>
      </c>
      <c r="S87" s="7">
        <f t="shared" si="4"/>
        <v>0</v>
      </c>
      <c r="T87" s="6">
        <f t="shared" si="5"/>
        <v>0</v>
      </c>
      <c r="U87" s="25">
        <f t="shared" si="3"/>
        <v>0</v>
      </c>
    </row>
    <row r="88" spans="1:21" ht="10.9" customHeight="1" x14ac:dyDescent="0.2">
      <c r="A88" s="82" t="s">
        <v>3767</v>
      </c>
      <c r="B88" s="83">
        <v>45670</v>
      </c>
      <c r="C88" s="82" t="s">
        <v>3395</v>
      </c>
      <c r="D88" s="82" t="s">
        <v>3766</v>
      </c>
      <c r="E88" s="82"/>
      <c r="F88" s="82" t="s">
        <v>5700</v>
      </c>
      <c r="G88" s="89">
        <v>1</v>
      </c>
      <c r="H88" s="89">
        <v>439.88</v>
      </c>
      <c r="I88" s="85">
        <v>0</v>
      </c>
      <c r="J88" s="85">
        <v>21.99</v>
      </c>
      <c r="K88" s="85">
        <v>461.87</v>
      </c>
      <c r="L88" s="85">
        <v>10930.86</v>
      </c>
      <c r="M88" s="89">
        <v>439.88</v>
      </c>
      <c r="N88" s="85">
        <v>0</v>
      </c>
      <c r="O88" s="85">
        <v>21.99</v>
      </c>
      <c r="P88" s="85">
        <v>461.87</v>
      </c>
      <c r="Q88" s="85">
        <v>10930.86</v>
      </c>
      <c r="R88" s="82" t="s">
        <v>3399</v>
      </c>
      <c r="S88" s="7">
        <f t="shared" si="4"/>
        <v>0</v>
      </c>
      <c r="T88" s="6">
        <f t="shared" si="5"/>
        <v>0</v>
      </c>
      <c r="U88" s="25">
        <f t="shared" si="3"/>
        <v>0</v>
      </c>
    </row>
    <row r="89" spans="1:21" ht="10.9" customHeight="1" x14ac:dyDescent="0.2">
      <c r="A89" s="82" t="s">
        <v>3767</v>
      </c>
      <c r="B89" s="83">
        <v>45670</v>
      </c>
      <c r="C89" s="82" t="s">
        <v>3395</v>
      </c>
      <c r="D89" s="82" t="s">
        <v>3766</v>
      </c>
      <c r="E89" s="82"/>
      <c r="F89" s="82" t="s">
        <v>4621</v>
      </c>
      <c r="G89" s="89">
        <v>1</v>
      </c>
      <c r="H89" s="89">
        <v>1863.92</v>
      </c>
      <c r="I89" s="85">
        <v>0</v>
      </c>
      <c r="J89" s="85">
        <v>93.2</v>
      </c>
      <c r="K89" s="85">
        <v>1957.12</v>
      </c>
      <c r="L89" s="85">
        <v>10930.86</v>
      </c>
      <c r="M89" s="89">
        <v>1863.92</v>
      </c>
      <c r="N89" s="85">
        <v>0</v>
      </c>
      <c r="O89" s="85">
        <v>93.2</v>
      </c>
      <c r="P89" s="85">
        <v>1957.12</v>
      </c>
      <c r="Q89" s="85">
        <v>10930.86</v>
      </c>
      <c r="R89" s="82" t="s">
        <v>3399</v>
      </c>
      <c r="S89" s="7">
        <f t="shared" si="4"/>
        <v>0</v>
      </c>
      <c r="T89" s="6">
        <f t="shared" si="5"/>
        <v>0</v>
      </c>
      <c r="U89" s="25">
        <f t="shared" si="3"/>
        <v>0</v>
      </c>
    </row>
    <row r="90" spans="1:21" ht="10.9" customHeight="1" x14ac:dyDescent="0.2">
      <c r="A90" s="82" t="s">
        <v>2298</v>
      </c>
      <c r="B90" s="83">
        <v>45670</v>
      </c>
      <c r="C90" s="82" t="s">
        <v>3395</v>
      </c>
      <c r="D90" s="82" t="s">
        <v>2216</v>
      </c>
      <c r="E90" s="82"/>
      <c r="F90" s="82" t="s">
        <v>4448</v>
      </c>
      <c r="G90" s="89">
        <v>2</v>
      </c>
      <c r="H90" s="89">
        <v>1018.41</v>
      </c>
      <c r="I90" s="85">
        <v>0</v>
      </c>
      <c r="J90" s="85">
        <v>101.84</v>
      </c>
      <c r="K90" s="85">
        <v>2138.66</v>
      </c>
      <c r="L90" s="85">
        <v>2138.66</v>
      </c>
      <c r="M90" s="89">
        <v>1018.41</v>
      </c>
      <c r="N90" s="85">
        <v>0</v>
      </c>
      <c r="O90" s="85">
        <v>101.84</v>
      </c>
      <c r="P90" s="85">
        <v>2138.66</v>
      </c>
      <c r="Q90" s="85">
        <v>2138.66</v>
      </c>
      <c r="R90" s="82" t="s">
        <v>3399</v>
      </c>
      <c r="S90" s="7">
        <f t="shared" si="4"/>
        <v>0</v>
      </c>
      <c r="T90" s="6">
        <f t="shared" si="5"/>
        <v>0</v>
      </c>
      <c r="U90" s="25">
        <f t="shared" si="3"/>
        <v>0</v>
      </c>
    </row>
    <row r="91" spans="1:21" ht="10.9" customHeight="1" x14ac:dyDescent="0.2">
      <c r="A91" s="82" t="s">
        <v>3759</v>
      </c>
      <c r="B91" s="83">
        <v>45671</v>
      </c>
      <c r="C91" s="82" t="s">
        <v>3395</v>
      </c>
      <c r="D91" s="82" t="s">
        <v>3758</v>
      </c>
      <c r="E91" s="82"/>
      <c r="F91" s="82" t="s">
        <v>5752</v>
      </c>
      <c r="G91" s="89">
        <v>1</v>
      </c>
      <c r="H91" s="89">
        <v>102.85</v>
      </c>
      <c r="I91" s="85">
        <v>0</v>
      </c>
      <c r="J91" s="85">
        <v>0</v>
      </c>
      <c r="K91" s="85">
        <v>102.85</v>
      </c>
      <c r="L91" s="85">
        <v>241.89</v>
      </c>
      <c r="M91" s="89">
        <v>147.61752349895872</v>
      </c>
      <c r="N91" s="85">
        <v>0</v>
      </c>
      <c r="O91" s="85">
        <v>0</v>
      </c>
      <c r="P91" s="85">
        <v>147.61752349895872</v>
      </c>
      <c r="Q91" s="85">
        <v>347.17746970503765</v>
      </c>
      <c r="R91" s="82" t="s">
        <v>3399</v>
      </c>
      <c r="S91" s="7">
        <f t="shared" si="4"/>
        <v>0</v>
      </c>
      <c r="T91" s="6">
        <f t="shared" si="5"/>
        <v>0</v>
      </c>
      <c r="U91" s="25">
        <f t="shared" si="3"/>
        <v>0</v>
      </c>
    </row>
    <row r="92" spans="1:21" ht="10.9" customHeight="1" x14ac:dyDescent="0.2">
      <c r="A92" s="82" t="s">
        <v>3759</v>
      </c>
      <c r="B92" s="83">
        <v>45671</v>
      </c>
      <c r="C92" s="82" t="s">
        <v>3395</v>
      </c>
      <c r="D92" s="82" t="s">
        <v>3758</v>
      </c>
      <c r="E92" s="82"/>
      <c r="F92" s="82" t="s">
        <v>4501</v>
      </c>
      <c r="G92" s="89">
        <v>4</v>
      </c>
      <c r="H92" s="89">
        <v>19</v>
      </c>
      <c r="I92" s="85">
        <v>0</v>
      </c>
      <c r="J92" s="85">
        <v>0</v>
      </c>
      <c r="K92" s="85">
        <v>76</v>
      </c>
      <c r="L92" s="85">
        <v>241.89</v>
      </c>
      <c r="M92" s="89">
        <v>27.270130738747842</v>
      </c>
      <c r="N92" s="85">
        <v>0</v>
      </c>
      <c r="O92" s="85">
        <v>0</v>
      </c>
      <c r="P92" s="85">
        <v>109.08052295499137</v>
      </c>
      <c r="Q92" s="85">
        <v>347.17746970503765</v>
      </c>
      <c r="R92" s="82" t="s">
        <v>3399</v>
      </c>
      <c r="S92" s="7">
        <f t="shared" si="4"/>
        <v>0</v>
      </c>
      <c r="T92" s="6">
        <f t="shared" si="5"/>
        <v>0</v>
      </c>
      <c r="U92" s="25">
        <f t="shared" si="3"/>
        <v>0</v>
      </c>
    </row>
    <row r="93" spans="1:21" ht="10.9" customHeight="1" x14ac:dyDescent="0.2">
      <c r="A93" s="82" t="s">
        <v>3759</v>
      </c>
      <c r="B93" s="83">
        <v>45671</v>
      </c>
      <c r="C93" s="82" t="s">
        <v>3395</v>
      </c>
      <c r="D93" s="82" t="s">
        <v>3758</v>
      </c>
      <c r="E93" s="82"/>
      <c r="F93" s="82" t="s">
        <v>4500</v>
      </c>
      <c r="G93" s="89">
        <v>2</v>
      </c>
      <c r="H93" s="89">
        <v>17.71</v>
      </c>
      <c r="I93" s="85">
        <v>0</v>
      </c>
      <c r="J93" s="85">
        <v>0</v>
      </c>
      <c r="K93" s="85">
        <v>35.42</v>
      </c>
      <c r="L93" s="85">
        <v>241.89</v>
      </c>
      <c r="M93" s="89">
        <v>25.418632388590751</v>
      </c>
      <c r="N93" s="85">
        <v>0</v>
      </c>
      <c r="O93" s="85">
        <v>0</v>
      </c>
      <c r="P93" s="85">
        <v>50.837264777181502</v>
      </c>
      <c r="Q93" s="85">
        <v>347.17746970503765</v>
      </c>
      <c r="R93" s="82" t="s">
        <v>3399</v>
      </c>
      <c r="S93" s="7">
        <f t="shared" si="4"/>
        <v>0</v>
      </c>
      <c r="T93" s="6">
        <f t="shared" si="5"/>
        <v>0</v>
      </c>
      <c r="U93" s="25">
        <f t="shared" si="3"/>
        <v>0</v>
      </c>
    </row>
    <row r="94" spans="1:21" ht="10.9" customHeight="1" x14ac:dyDescent="0.2">
      <c r="A94" s="82" t="s">
        <v>3759</v>
      </c>
      <c r="B94" s="83">
        <v>45671</v>
      </c>
      <c r="C94" s="82" t="s">
        <v>3395</v>
      </c>
      <c r="D94" s="82" t="s">
        <v>3758</v>
      </c>
      <c r="E94" s="82"/>
      <c r="F94" s="82" t="s">
        <v>4502</v>
      </c>
      <c r="G94" s="89">
        <v>1</v>
      </c>
      <c r="H94" s="89">
        <v>27.62</v>
      </c>
      <c r="I94" s="85">
        <v>0</v>
      </c>
      <c r="J94" s="85">
        <v>0</v>
      </c>
      <c r="K94" s="85">
        <v>27.62</v>
      </c>
      <c r="L94" s="85">
        <v>241.89</v>
      </c>
      <c r="M94" s="89">
        <v>39.642158473906072</v>
      </c>
      <c r="N94" s="85">
        <v>0</v>
      </c>
      <c r="O94" s="85">
        <v>0</v>
      </c>
      <c r="P94" s="85">
        <v>39.642158473906072</v>
      </c>
      <c r="Q94" s="85">
        <v>347.17746970503765</v>
      </c>
      <c r="R94" s="82" t="s">
        <v>3399</v>
      </c>
      <c r="S94" s="7">
        <f t="shared" si="4"/>
        <v>0</v>
      </c>
      <c r="T94" s="6">
        <f t="shared" si="5"/>
        <v>0</v>
      </c>
      <c r="U94" s="25">
        <f t="shared" si="3"/>
        <v>0</v>
      </c>
    </row>
    <row r="95" spans="1:21" ht="10.9" customHeight="1" x14ac:dyDescent="0.2">
      <c r="A95" s="82" t="s">
        <v>2299</v>
      </c>
      <c r="B95" s="83">
        <v>45671</v>
      </c>
      <c r="C95" s="82" t="s">
        <v>3395</v>
      </c>
      <c r="D95" s="82" t="s">
        <v>2214</v>
      </c>
      <c r="E95" s="82"/>
      <c r="F95" s="82" t="s">
        <v>4540</v>
      </c>
      <c r="G95" s="89">
        <v>1</v>
      </c>
      <c r="H95" s="89">
        <v>2414.5500000000002</v>
      </c>
      <c r="I95" s="85">
        <v>0</v>
      </c>
      <c r="J95" s="85">
        <v>0</v>
      </c>
      <c r="K95" s="85">
        <v>2414.5500000000002</v>
      </c>
      <c r="L95" s="85">
        <v>3017.55</v>
      </c>
      <c r="M95" s="89">
        <v>3465.5312723812422</v>
      </c>
      <c r="N95" s="85">
        <v>0</v>
      </c>
      <c r="O95" s="85">
        <v>0</v>
      </c>
      <c r="P95" s="85">
        <v>3465.5312723812422</v>
      </c>
      <c r="Q95" s="85">
        <v>4330.999105826766</v>
      </c>
      <c r="R95" s="82" t="s">
        <v>3399</v>
      </c>
      <c r="S95" s="7">
        <f t="shared" si="4"/>
        <v>0</v>
      </c>
      <c r="T95" s="6">
        <f t="shared" si="5"/>
        <v>0</v>
      </c>
      <c r="U95" s="25">
        <f t="shared" si="3"/>
        <v>0</v>
      </c>
    </row>
    <row r="96" spans="1:21" ht="10.9" customHeight="1" x14ac:dyDescent="0.2">
      <c r="A96" s="82" t="s">
        <v>2299</v>
      </c>
      <c r="B96" s="83">
        <v>45671</v>
      </c>
      <c r="C96" s="82" t="s">
        <v>3395</v>
      </c>
      <c r="D96" s="82" t="s">
        <v>2214</v>
      </c>
      <c r="E96" s="82"/>
      <c r="F96" s="82" t="s">
        <v>4393</v>
      </c>
      <c r="G96" s="89">
        <v>1</v>
      </c>
      <c r="H96" s="89">
        <v>603</v>
      </c>
      <c r="I96" s="85">
        <v>0</v>
      </c>
      <c r="J96" s="85">
        <v>0</v>
      </c>
      <c r="K96" s="85">
        <v>603</v>
      </c>
      <c r="L96" s="85">
        <v>3017.55</v>
      </c>
      <c r="M96" s="89">
        <v>865.46783344552364</v>
      </c>
      <c r="N96" s="85">
        <v>0</v>
      </c>
      <c r="O96" s="85">
        <v>0</v>
      </c>
      <c r="P96" s="85">
        <v>865.46783344552364</v>
      </c>
      <c r="Q96" s="85">
        <v>4330.999105826766</v>
      </c>
      <c r="R96" s="82" t="s">
        <v>3399</v>
      </c>
      <c r="S96" s="7" t="str">
        <f t="shared" si="4"/>
        <v>INV12515</v>
      </c>
      <c r="T96" s="6">
        <f t="shared" si="5"/>
        <v>1</v>
      </c>
      <c r="U96" s="25">
        <f t="shared" si="3"/>
        <v>603</v>
      </c>
    </row>
    <row r="97" spans="1:21" ht="10.9" customHeight="1" x14ac:dyDescent="0.2">
      <c r="A97" s="82"/>
      <c r="B97" s="83">
        <v>45671</v>
      </c>
      <c r="C97" s="82" t="s">
        <v>3423</v>
      </c>
      <c r="D97" s="82" t="s">
        <v>2218</v>
      </c>
      <c r="E97" s="82"/>
      <c r="F97" s="82" t="s">
        <v>2218</v>
      </c>
      <c r="G97" s="89">
        <v>-1</v>
      </c>
      <c r="H97" s="89">
        <v>1317.49</v>
      </c>
      <c r="I97" s="85">
        <v>0</v>
      </c>
      <c r="J97" s="85">
        <v>0</v>
      </c>
      <c r="K97" s="85">
        <v>-1317.49</v>
      </c>
      <c r="L97" s="85">
        <v>-1317.49</v>
      </c>
      <c r="M97" s="89">
        <v>1890.9539235259417</v>
      </c>
      <c r="N97" s="85">
        <v>0</v>
      </c>
      <c r="O97" s="85">
        <v>0</v>
      </c>
      <c r="P97" s="85">
        <v>-1890.9539235259417</v>
      </c>
      <c r="Q97" s="85">
        <v>-1890.9539235259417</v>
      </c>
      <c r="R97" s="82" t="s">
        <v>3399</v>
      </c>
      <c r="S97" s="7">
        <f t="shared" si="4"/>
        <v>0</v>
      </c>
      <c r="T97" s="6">
        <f t="shared" si="5"/>
        <v>0</v>
      </c>
      <c r="U97" s="25">
        <f t="shared" si="3"/>
        <v>0</v>
      </c>
    </row>
    <row r="98" spans="1:21" ht="10.9" customHeight="1" x14ac:dyDescent="0.2">
      <c r="A98" s="82" t="s">
        <v>2307</v>
      </c>
      <c r="B98" s="83">
        <v>45672</v>
      </c>
      <c r="C98" s="82" t="s">
        <v>3395</v>
      </c>
      <c r="D98" s="82" t="s">
        <v>2199</v>
      </c>
      <c r="E98" s="82"/>
      <c r="F98" s="82" t="s">
        <v>4495</v>
      </c>
      <c r="G98" s="89">
        <v>2</v>
      </c>
      <c r="H98" s="89">
        <v>166.08</v>
      </c>
      <c r="I98" s="85">
        <v>0</v>
      </c>
      <c r="J98" s="85">
        <v>0</v>
      </c>
      <c r="K98" s="85">
        <v>332.16</v>
      </c>
      <c r="L98" s="85">
        <v>332.16</v>
      </c>
      <c r="M98" s="89">
        <v>238.14030318151316</v>
      </c>
      <c r="N98" s="85">
        <v>0</v>
      </c>
      <c r="O98" s="85">
        <v>0</v>
      </c>
      <c r="P98" s="85">
        <v>476.28060636302632</v>
      </c>
      <c r="Q98" s="85">
        <v>476.28060636302632</v>
      </c>
      <c r="R98" s="82" t="s">
        <v>3399</v>
      </c>
      <c r="S98" s="7">
        <f t="shared" si="4"/>
        <v>0</v>
      </c>
      <c r="T98" s="6">
        <f t="shared" si="5"/>
        <v>0</v>
      </c>
      <c r="U98" s="25">
        <f t="shared" si="3"/>
        <v>0</v>
      </c>
    </row>
    <row r="99" spans="1:21" ht="10.9" customHeight="1" x14ac:dyDescent="0.2">
      <c r="A99" s="82" t="s">
        <v>3745</v>
      </c>
      <c r="B99" s="83">
        <v>45672</v>
      </c>
      <c r="C99" s="82" t="s">
        <v>3395</v>
      </c>
      <c r="D99" s="82" t="s">
        <v>3744</v>
      </c>
      <c r="E99" s="82"/>
      <c r="F99" s="82" t="s">
        <v>4614</v>
      </c>
      <c r="G99" s="89">
        <v>2</v>
      </c>
      <c r="H99" s="89">
        <v>1148.1099999999999</v>
      </c>
      <c r="I99" s="85">
        <v>0</v>
      </c>
      <c r="J99" s="85">
        <v>0</v>
      </c>
      <c r="K99" s="85">
        <v>2296.2199999999998</v>
      </c>
      <c r="L99" s="85">
        <v>2296.2199999999998</v>
      </c>
      <c r="M99" s="89">
        <v>1647.7556503418623</v>
      </c>
      <c r="N99" s="85">
        <v>0</v>
      </c>
      <c r="O99" s="85">
        <v>0</v>
      </c>
      <c r="P99" s="85">
        <v>3295.5113006837246</v>
      </c>
      <c r="Q99" s="85">
        <v>3295.5113006837246</v>
      </c>
      <c r="R99" s="82" t="s">
        <v>3399</v>
      </c>
      <c r="S99" s="7">
        <f t="shared" si="4"/>
        <v>0</v>
      </c>
      <c r="T99" s="6">
        <f t="shared" si="5"/>
        <v>0</v>
      </c>
      <c r="U99" s="25">
        <f t="shared" si="3"/>
        <v>0</v>
      </c>
    </row>
    <row r="100" spans="1:21" ht="10.9" customHeight="1" x14ac:dyDescent="0.2">
      <c r="A100" s="82" t="s">
        <v>3752</v>
      </c>
      <c r="B100" s="83">
        <v>45672</v>
      </c>
      <c r="C100" s="82" t="s">
        <v>3395</v>
      </c>
      <c r="D100" s="82" t="s">
        <v>3751</v>
      </c>
      <c r="E100" s="82"/>
      <c r="F100" s="82" t="s">
        <v>4797</v>
      </c>
      <c r="G100" s="89">
        <v>1</v>
      </c>
      <c r="H100" s="89">
        <v>1073.3800000000001</v>
      </c>
      <c r="I100" s="85">
        <v>0</v>
      </c>
      <c r="J100" s="85">
        <v>0</v>
      </c>
      <c r="K100" s="85">
        <v>1073.3800000000001</v>
      </c>
      <c r="L100" s="85">
        <v>1073.3800000000001</v>
      </c>
      <c r="M100" s="89">
        <v>1540.503923808649</v>
      </c>
      <c r="N100" s="85">
        <v>0</v>
      </c>
      <c r="O100" s="85">
        <v>0</v>
      </c>
      <c r="P100" s="85">
        <v>1540.503923808649</v>
      </c>
      <c r="Q100" s="85">
        <v>1540.503923808649</v>
      </c>
      <c r="R100" s="82" t="s">
        <v>3399</v>
      </c>
      <c r="S100" s="7">
        <f t="shared" si="4"/>
        <v>0</v>
      </c>
      <c r="T100" s="6">
        <f t="shared" si="5"/>
        <v>0</v>
      </c>
      <c r="U100" s="25">
        <f t="shared" si="3"/>
        <v>0</v>
      </c>
    </row>
    <row r="101" spans="1:21" ht="10.9" customHeight="1" x14ac:dyDescent="0.2">
      <c r="A101" s="82" t="s">
        <v>2308</v>
      </c>
      <c r="B101" s="83">
        <v>45672</v>
      </c>
      <c r="C101" s="82" t="s">
        <v>3395</v>
      </c>
      <c r="D101" s="82" t="s">
        <v>2197</v>
      </c>
      <c r="E101" s="82"/>
      <c r="F101" s="82" t="s">
        <v>4417</v>
      </c>
      <c r="G101" s="89">
        <v>2</v>
      </c>
      <c r="H101" s="89">
        <v>1306.53</v>
      </c>
      <c r="I101" s="85">
        <v>0</v>
      </c>
      <c r="J101" s="85">
        <v>0</v>
      </c>
      <c r="K101" s="85">
        <v>2613.06</v>
      </c>
      <c r="L101" s="85">
        <v>3202.06</v>
      </c>
      <c r="M101" s="89">
        <v>1872.0742794506416</v>
      </c>
      <c r="N101" s="85">
        <v>0</v>
      </c>
      <c r="O101" s="85">
        <v>0</v>
      </c>
      <c r="P101" s="85">
        <v>3744.1485589012832</v>
      </c>
      <c r="Q101" s="85">
        <v>4588.1029653033002</v>
      </c>
      <c r="R101" s="82" t="s">
        <v>3399</v>
      </c>
      <c r="S101" s="7">
        <f t="shared" si="4"/>
        <v>0</v>
      </c>
      <c r="T101" s="6">
        <f t="shared" si="5"/>
        <v>0</v>
      </c>
      <c r="U101" s="25">
        <f t="shared" si="3"/>
        <v>0</v>
      </c>
    </row>
    <row r="102" spans="1:21" ht="10.9" customHeight="1" x14ac:dyDescent="0.2">
      <c r="A102" s="82" t="s">
        <v>2308</v>
      </c>
      <c r="B102" s="83">
        <v>45672</v>
      </c>
      <c r="C102" s="82" t="s">
        <v>3395</v>
      </c>
      <c r="D102" s="82" t="s">
        <v>2197</v>
      </c>
      <c r="E102" s="82"/>
      <c r="F102" s="82" t="s">
        <v>4393</v>
      </c>
      <c r="G102" s="89">
        <v>1</v>
      </c>
      <c r="H102" s="89">
        <v>589</v>
      </c>
      <c r="I102" s="85">
        <v>0</v>
      </c>
      <c r="J102" s="85">
        <v>0</v>
      </c>
      <c r="K102" s="85">
        <v>589</v>
      </c>
      <c r="L102" s="85">
        <v>3202.06</v>
      </c>
      <c r="M102" s="89">
        <v>843.95440640201741</v>
      </c>
      <c r="N102" s="85">
        <v>0</v>
      </c>
      <c r="O102" s="85">
        <v>0</v>
      </c>
      <c r="P102" s="85">
        <v>843.95440640201741</v>
      </c>
      <c r="Q102" s="85">
        <v>4588.1029653033002</v>
      </c>
      <c r="R102" s="82" t="s">
        <v>3399</v>
      </c>
      <c r="S102" s="7" t="str">
        <f t="shared" si="4"/>
        <v>INV12519</v>
      </c>
      <c r="T102" s="6">
        <f t="shared" si="5"/>
        <v>1</v>
      </c>
      <c r="U102" s="25">
        <f t="shared" si="3"/>
        <v>589</v>
      </c>
    </row>
    <row r="103" spans="1:21" ht="10.9" customHeight="1" x14ac:dyDescent="0.2">
      <c r="A103" s="82" t="s">
        <v>3757</v>
      </c>
      <c r="B103" s="83">
        <v>45672</v>
      </c>
      <c r="C103" s="82" t="s">
        <v>3395</v>
      </c>
      <c r="D103" s="82" t="s">
        <v>3710</v>
      </c>
      <c r="E103" s="82"/>
      <c r="F103" s="82" t="s">
        <v>5751</v>
      </c>
      <c r="G103" s="89">
        <v>1</v>
      </c>
      <c r="H103" s="89">
        <v>105.43</v>
      </c>
      <c r="I103" s="85">
        <v>0</v>
      </c>
      <c r="J103" s="85">
        <v>5.27</v>
      </c>
      <c r="K103" s="85">
        <v>110.7</v>
      </c>
      <c r="L103" s="85">
        <v>110.7</v>
      </c>
      <c r="M103" s="89">
        <v>105.43</v>
      </c>
      <c r="N103" s="85">
        <v>0</v>
      </c>
      <c r="O103" s="85">
        <v>5.27</v>
      </c>
      <c r="P103" s="85">
        <v>110.7</v>
      </c>
      <c r="Q103" s="85">
        <v>110.7</v>
      </c>
      <c r="R103" s="82" t="s">
        <v>3399</v>
      </c>
      <c r="S103" s="7">
        <f t="shared" si="4"/>
        <v>0</v>
      </c>
      <c r="T103" s="6">
        <f t="shared" si="5"/>
        <v>0</v>
      </c>
      <c r="U103" s="25">
        <f t="shared" si="3"/>
        <v>0</v>
      </c>
    </row>
    <row r="104" spans="1:21" ht="10.9" customHeight="1" x14ac:dyDescent="0.2">
      <c r="A104" s="82" t="s">
        <v>3754</v>
      </c>
      <c r="B104" s="83">
        <v>45672</v>
      </c>
      <c r="C104" s="82" t="s">
        <v>3395</v>
      </c>
      <c r="D104" s="82" t="s">
        <v>3753</v>
      </c>
      <c r="E104" s="82"/>
      <c r="F104" s="82" t="s">
        <v>5750</v>
      </c>
      <c r="G104" s="89">
        <v>1</v>
      </c>
      <c r="H104" s="89">
        <v>4367.46</v>
      </c>
      <c r="I104" s="85">
        <v>0</v>
      </c>
      <c r="J104" s="85">
        <v>218.37</v>
      </c>
      <c r="K104" s="85">
        <v>4585.83</v>
      </c>
      <c r="L104" s="85">
        <v>4585.83</v>
      </c>
      <c r="M104" s="89">
        <v>4367.46</v>
      </c>
      <c r="N104" s="85">
        <v>0</v>
      </c>
      <c r="O104" s="85">
        <v>218.37</v>
      </c>
      <c r="P104" s="85">
        <v>4585.83</v>
      </c>
      <c r="Q104" s="85">
        <v>4585.83</v>
      </c>
      <c r="R104" s="82" t="s">
        <v>3399</v>
      </c>
      <c r="S104" s="7">
        <f t="shared" si="4"/>
        <v>0</v>
      </c>
      <c r="T104" s="6">
        <f t="shared" si="5"/>
        <v>0</v>
      </c>
      <c r="U104" s="25">
        <f t="shared" si="3"/>
        <v>0</v>
      </c>
    </row>
    <row r="105" spans="1:21" ht="10.9" customHeight="1" x14ac:dyDescent="0.2">
      <c r="A105" s="82" t="s">
        <v>3746</v>
      </c>
      <c r="B105" s="83">
        <v>45672</v>
      </c>
      <c r="C105" s="82" t="s">
        <v>3395</v>
      </c>
      <c r="D105" s="82" t="s">
        <v>3625</v>
      </c>
      <c r="E105" s="82"/>
      <c r="F105" s="82" t="s">
        <v>5749</v>
      </c>
      <c r="G105" s="89">
        <v>1</v>
      </c>
      <c r="H105" s="89">
        <v>648.16999999999996</v>
      </c>
      <c r="I105" s="85">
        <v>0</v>
      </c>
      <c r="J105" s="85">
        <v>32.409999999999997</v>
      </c>
      <c r="K105" s="85">
        <v>680.58</v>
      </c>
      <c r="L105" s="85">
        <v>3786.03</v>
      </c>
      <c r="M105" s="89">
        <v>648.16999999999996</v>
      </c>
      <c r="N105" s="85">
        <v>0</v>
      </c>
      <c r="O105" s="85">
        <v>32.409999999999997</v>
      </c>
      <c r="P105" s="85">
        <v>680.58</v>
      </c>
      <c r="Q105" s="85">
        <v>3786.03</v>
      </c>
      <c r="R105" s="82" t="s">
        <v>3399</v>
      </c>
      <c r="S105" s="7">
        <f t="shared" si="4"/>
        <v>0</v>
      </c>
      <c r="T105" s="6">
        <f t="shared" si="5"/>
        <v>0</v>
      </c>
      <c r="U105" s="25">
        <f t="shared" si="3"/>
        <v>0</v>
      </c>
    </row>
    <row r="106" spans="1:21" ht="10.9" customHeight="1" x14ac:dyDescent="0.2">
      <c r="A106" s="82" t="s">
        <v>3746</v>
      </c>
      <c r="B106" s="83">
        <v>45672</v>
      </c>
      <c r="C106" s="82" t="s">
        <v>3395</v>
      </c>
      <c r="D106" s="82" t="s">
        <v>3625</v>
      </c>
      <c r="E106" s="82"/>
      <c r="F106" s="82" t="s">
        <v>5601</v>
      </c>
      <c r="G106" s="89">
        <v>1</v>
      </c>
      <c r="H106" s="89">
        <v>1959.46</v>
      </c>
      <c r="I106" s="85">
        <v>0</v>
      </c>
      <c r="J106" s="85">
        <v>97.97</v>
      </c>
      <c r="K106" s="85">
        <v>2057.4299999999998</v>
      </c>
      <c r="L106" s="85">
        <v>3786.03</v>
      </c>
      <c r="M106" s="89">
        <v>1959.46</v>
      </c>
      <c r="N106" s="85">
        <v>0</v>
      </c>
      <c r="O106" s="85">
        <v>97.97</v>
      </c>
      <c r="P106" s="85">
        <v>2057.4299999999998</v>
      </c>
      <c r="Q106" s="85">
        <v>3786.03</v>
      </c>
      <c r="R106" s="82" t="s">
        <v>3399</v>
      </c>
      <c r="S106" s="7">
        <f t="shared" si="4"/>
        <v>0</v>
      </c>
      <c r="T106" s="6">
        <f t="shared" si="5"/>
        <v>0</v>
      </c>
      <c r="U106" s="25">
        <f t="shared" si="3"/>
        <v>0</v>
      </c>
    </row>
    <row r="107" spans="1:21" ht="10.9" customHeight="1" x14ac:dyDescent="0.2">
      <c r="A107" s="82" t="s">
        <v>3746</v>
      </c>
      <c r="B107" s="83">
        <v>45672</v>
      </c>
      <c r="C107" s="82" t="s">
        <v>3395</v>
      </c>
      <c r="D107" s="82" t="s">
        <v>3625</v>
      </c>
      <c r="E107" s="82"/>
      <c r="F107" s="82" t="s">
        <v>5059</v>
      </c>
      <c r="G107" s="89">
        <v>1</v>
      </c>
      <c r="H107" s="89">
        <v>998.11</v>
      </c>
      <c r="I107" s="85">
        <v>0</v>
      </c>
      <c r="J107" s="85">
        <v>49.91</v>
      </c>
      <c r="K107" s="85">
        <v>1048.02</v>
      </c>
      <c r="L107" s="85">
        <v>3786.03</v>
      </c>
      <c r="M107" s="89">
        <v>998.11</v>
      </c>
      <c r="N107" s="85">
        <v>0</v>
      </c>
      <c r="O107" s="85">
        <v>49.91</v>
      </c>
      <c r="P107" s="85">
        <v>1048.02</v>
      </c>
      <c r="Q107" s="85">
        <v>3786.03</v>
      </c>
      <c r="R107" s="82" t="s">
        <v>3399</v>
      </c>
      <c r="S107" s="7">
        <f t="shared" si="4"/>
        <v>0</v>
      </c>
      <c r="T107" s="6">
        <f t="shared" si="5"/>
        <v>0</v>
      </c>
      <c r="U107" s="25">
        <f t="shared" si="3"/>
        <v>0</v>
      </c>
    </row>
    <row r="108" spans="1:21" ht="10.9" customHeight="1" x14ac:dyDescent="0.2">
      <c r="A108" s="82" t="s">
        <v>3756</v>
      </c>
      <c r="B108" s="83">
        <v>45672</v>
      </c>
      <c r="C108" s="82" t="s">
        <v>3395</v>
      </c>
      <c r="D108" s="82" t="s">
        <v>3755</v>
      </c>
      <c r="E108" s="82"/>
      <c r="F108" s="82" t="s">
        <v>5748</v>
      </c>
      <c r="G108" s="89">
        <v>1</v>
      </c>
      <c r="H108" s="89">
        <v>4773.1899999999996</v>
      </c>
      <c r="I108" s="85">
        <v>0</v>
      </c>
      <c r="J108" s="85">
        <v>620.51</v>
      </c>
      <c r="K108" s="85">
        <v>5393.7</v>
      </c>
      <c r="L108" s="85">
        <v>5393.7</v>
      </c>
      <c r="M108" s="89">
        <v>4773.1899999999996</v>
      </c>
      <c r="N108" s="85">
        <v>0</v>
      </c>
      <c r="O108" s="85">
        <v>620.51</v>
      </c>
      <c r="P108" s="85">
        <v>5393.7</v>
      </c>
      <c r="Q108" s="85">
        <v>5393.7</v>
      </c>
      <c r="R108" s="82" t="s">
        <v>3399</v>
      </c>
      <c r="S108" s="7">
        <f t="shared" si="4"/>
        <v>0</v>
      </c>
      <c r="T108" s="6">
        <f t="shared" si="5"/>
        <v>0</v>
      </c>
      <c r="U108" s="25">
        <f t="shared" si="3"/>
        <v>0</v>
      </c>
    </row>
    <row r="109" spans="1:21" ht="10.9" customHeight="1" x14ac:dyDescent="0.2">
      <c r="A109" s="82" t="s">
        <v>3748</v>
      </c>
      <c r="B109" s="83">
        <v>45672</v>
      </c>
      <c r="C109" s="82" t="s">
        <v>3395</v>
      </c>
      <c r="D109" s="82" t="s">
        <v>3747</v>
      </c>
      <c r="E109" s="82"/>
      <c r="F109" s="82" t="s">
        <v>5747</v>
      </c>
      <c r="G109" s="89">
        <v>1</v>
      </c>
      <c r="H109" s="89">
        <v>196.07</v>
      </c>
      <c r="I109" s="85">
        <v>0</v>
      </c>
      <c r="J109" s="85">
        <v>25.49</v>
      </c>
      <c r="K109" s="85">
        <v>221.56</v>
      </c>
      <c r="L109" s="85">
        <v>221.56</v>
      </c>
      <c r="M109" s="89">
        <v>196.07</v>
      </c>
      <c r="N109" s="85">
        <v>0</v>
      </c>
      <c r="O109" s="85">
        <v>25.49</v>
      </c>
      <c r="P109" s="85">
        <v>221.56</v>
      </c>
      <c r="Q109" s="85">
        <v>221.56</v>
      </c>
      <c r="R109" s="82" t="s">
        <v>3399</v>
      </c>
      <c r="S109" s="7">
        <f t="shared" si="4"/>
        <v>0</v>
      </c>
      <c r="T109" s="6">
        <f t="shared" si="5"/>
        <v>0</v>
      </c>
      <c r="U109" s="25">
        <f t="shared" si="3"/>
        <v>0</v>
      </c>
    </row>
    <row r="110" spans="1:21" ht="10.9" customHeight="1" x14ac:dyDescent="0.2">
      <c r="A110" s="82" t="s">
        <v>3750</v>
      </c>
      <c r="B110" s="83">
        <v>45672</v>
      </c>
      <c r="C110" s="82" t="s">
        <v>3395</v>
      </c>
      <c r="D110" s="82" t="s">
        <v>3749</v>
      </c>
      <c r="E110" s="82"/>
      <c r="F110" s="82" t="s">
        <v>5601</v>
      </c>
      <c r="G110" s="89">
        <v>1</v>
      </c>
      <c r="H110" s="89">
        <v>1755.24</v>
      </c>
      <c r="I110" s="85">
        <v>0</v>
      </c>
      <c r="J110" s="85">
        <v>87.76</v>
      </c>
      <c r="K110" s="85">
        <v>1843</v>
      </c>
      <c r="L110" s="85">
        <v>1843</v>
      </c>
      <c r="M110" s="89">
        <v>1755.24</v>
      </c>
      <c r="N110" s="85">
        <v>0</v>
      </c>
      <c r="O110" s="85">
        <v>87.76</v>
      </c>
      <c r="P110" s="85">
        <v>1843</v>
      </c>
      <c r="Q110" s="85">
        <v>1843</v>
      </c>
      <c r="R110" s="82" t="s">
        <v>3399</v>
      </c>
      <c r="S110" s="7">
        <f t="shared" si="4"/>
        <v>0</v>
      </c>
      <c r="T110" s="6">
        <f t="shared" si="5"/>
        <v>0</v>
      </c>
      <c r="U110" s="25">
        <f t="shared" si="3"/>
        <v>0</v>
      </c>
    </row>
    <row r="111" spans="1:21" ht="10.9" customHeight="1" x14ac:dyDescent="0.2">
      <c r="A111" s="82" t="s">
        <v>3741</v>
      </c>
      <c r="B111" s="83">
        <v>45673</v>
      </c>
      <c r="C111" s="82" t="s">
        <v>3395</v>
      </c>
      <c r="D111" s="82" t="s">
        <v>3740</v>
      </c>
      <c r="E111" s="82"/>
      <c r="F111" s="82" t="s">
        <v>4703</v>
      </c>
      <c r="G111" s="89">
        <v>1</v>
      </c>
      <c r="H111" s="89">
        <v>158.6</v>
      </c>
      <c r="I111" s="85">
        <v>0</v>
      </c>
      <c r="J111" s="85">
        <v>0</v>
      </c>
      <c r="K111" s="85">
        <v>158.6</v>
      </c>
      <c r="L111" s="85">
        <v>15340.54</v>
      </c>
      <c r="M111" s="89">
        <v>228.30787302281928</v>
      </c>
      <c r="N111" s="85">
        <v>0</v>
      </c>
      <c r="O111" s="85">
        <v>0</v>
      </c>
      <c r="P111" s="85">
        <v>228.30787302281928</v>
      </c>
      <c r="Q111" s="85">
        <v>22083.014239731903</v>
      </c>
      <c r="R111" s="82" t="s">
        <v>3399</v>
      </c>
      <c r="S111" s="7">
        <f t="shared" si="4"/>
        <v>0</v>
      </c>
      <c r="T111" s="6">
        <f t="shared" si="5"/>
        <v>0</v>
      </c>
      <c r="U111" s="25">
        <f t="shared" si="3"/>
        <v>0</v>
      </c>
    </row>
    <row r="112" spans="1:21" ht="10.9" customHeight="1" x14ac:dyDescent="0.2">
      <c r="A112" s="82" t="s">
        <v>3741</v>
      </c>
      <c r="B112" s="83">
        <v>45673</v>
      </c>
      <c r="C112" s="82" t="s">
        <v>3395</v>
      </c>
      <c r="D112" s="82" t="s">
        <v>3740</v>
      </c>
      <c r="E112" s="82"/>
      <c r="F112" s="82" t="s">
        <v>4702</v>
      </c>
      <c r="G112" s="89">
        <v>1</v>
      </c>
      <c r="H112" s="89">
        <v>477.1</v>
      </c>
      <c r="I112" s="85">
        <v>0</v>
      </c>
      <c r="J112" s="85">
        <v>0</v>
      </c>
      <c r="K112" s="85">
        <v>477.1</v>
      </c>
      <c r="L112" s="85">
        <v>15340.54</v>
      </c>
      <c r="M112" s="89">
        <v>686.79499507684159</v>
      </c>
      <c r="N112" s="85">
        <v>0</v>
      </c>
      <c r="O112" s="85">
        <v>0</v>
      </c>
      <c r="P112" s="85">
        <v>686.79499507684159</v>
      </c>
      <c r="Q112" s="85">
        <v>22083.014239731903</v>
      </c>
      <c r="R112" s="82" t="s">
        <v>3399</v>
      </c>
      <c r="S112" s="7">
        <f t="shared" si="4"/>
        <v>0</v>
      </c>
      <c r="T112" s="6">
        <f t="shared" si="5"/>
        <v>0</v>
      </c>
      <c r="U112" s="25">
        <f t="shared" si="3"/>
        <v>0</v>
      </c>
    </row>
    <row r="113" spans="1:21" ht="10.9" customHeight="1" x14ac:dyDescent="0.2">
      <c r="A113" s="82" t="s">
        <v>3741</v>
      </c>
      <c r="B113" s="83">
        <v>45673</v>
      </c>
      <c r="C113" s="82" t="s">
        <v>3395</v>
      </c>
      <c r="D113" s="82" t="s">
        <v>3740</v>
      </c>
      <c r="E113" s="82"/>
      <c r="F113" s="82" t="s">
        <v>4701</v>
      </c>
      <c r="G113" s="89">
        <v>1</v>
      </c>
      <c r="H113" s="89">
        <v>2674.1</v>
      </c>
      <c r="I113" s="85">
        <v>0</v>
      </c>
      <c r="J113" s="85">
        <v>0</v>
      </c>
      <c r="K113" s="85">
        <v>2674.1</v>
      </c>
      <c r="L113" s="85">
        <v>15340.54</v>
      </c>
      <c r="M113" s="89">
        <v>3849.4204492454037</v>
      </c>
      <c r="N113" s="85">
        <v>0</v>
      </c>
      <c r="O113" s="85">
        <v>0</v>
      </c>
      <c r="P113" s="85">
        <v>3849.4204492454037</v>
      </c>
      <c r="Q113" s="85">
        <v>22083.014239731903</v>
      </c>
      <c r="R113" s="82" t="s">
        <v>3399</v>
      </c>
      <c r="S113" s="7">
        <f t="shared" si="4"/>
        <v>0</v>
      </c>
      <c r="T113" s="6">
        <f t="shared" si="5"/>
        <v>0</v>
      </c>
      <c r="U113" s="25">
        <f t="shared" si="3"/>
        <v>0</v>
      </c>
    </row>
    <row r="114" spans="1:21" ht="10.9" customHeight="1" x14ac:dyDescent="0.2">
      <c r="A114" s="82" t="s">
        <v>3741</v>
      </c>
      <c r="B114" s="83">
        <v>45673</v>
      </c>
      <c r="C114" s="82" t="s">
        <v>3395</v>
      </c>
      <c r="D114" s="82" t="s">
        <v>3740</v>
      </c>
      <c r="E114" s="82"/>
      <c r="F114" s="82" t="s">
        <v>4700</v>
      </c>
      <c r="G114" s="89">
        <v>1</v>
      </c>
      <c r="H114" s="89">
        <v>1384.5</v>
      </c>
      <c r="I114" s="85">
        <v>0</v>
      </c>
      <c r="J114" s="85">
        <v>0</v>
      </c>
      <c r="K114" s="85">
        <v>1384.5</v>
      </c>
      <c r="L114" s="85">
        <v>15340.54</v>
      </c>
      <c r="M114" s="89">
        <v>1993.0154489287092</v>
      </c>
      <c r="N114" s="85">
        <v>0</v>
      </c>
      <c r="O114" s="85">
        <v>0</v>
      </c>
      <c r="P114" s="85">
        <v>1993.0154489287092</v>
      </c>
      <c r="Q114" s="85">
        <v>22083.014239731903</v>
      </c>
      <c r="R114" s="82" t="s">
        <v>3399</v>
      </c>
      <c r="S114" s="7">
        <f t="shared" si="4"/>
        <v>0</v>
      </c>
      <c r="T114" s="6">
        <f t="shared" si="5"/>
        <v>0</v>
      </c>
      <c r="U114" s="25">
        <f t="shared" si="3"/>
        <v>0</v>
      </c>
    </row>
    <row r="115" spans="1:21" ht="10.9" customHeight="1" x14ac:dyDescent="0.2">
      <c r="A115" s="82" t="s">
        <v>3741</v>
      </c>
      <c r="B115" s="83">
        <v>45673</v>
      </c>
      <c r="C115" s="82" t="s">
        <v>3395</v>
      </c>
      <c r="D115" s="82" t="s">
        <v>3740</v>
      </c>
      <c r="E115" s="82"/>
      <c r="F115" s="82" t="s">
        <v>4699</v>
      </c>
      <c r="G115" s="89">
        <v>1</v>
      </c>
      <c r="H115" s="89">
        <v>1852.5</v>
      </c>
      <c r="I115" s="85">
        <v>0</v>
      </c>
      <c r="J115" s="85">
        <v>0</v>
      </c>
      <c r="K115" s="85">
        <v>1852.5</v>
      </c>
      <c r="L115" s="85">
        <v>15340.54</v>
      </c>
      <c r="M115" s="89">
        <v>2666.7108119468644</v>
      </c>
      <c r="N115" s="85">
        <v>0</v>
      </c>
      <c r="O115" s="85">
        <v>0</v>
      </c>
      <c r="P115" s="85">
        <v>2666.7108119468644</v>
      </c>
      <c r="Q115" s="85">
        <v>22083.014239731903</v>
      </c>
      <c r="R115" s="82" t="s">
        <v>3399</v>
      </c>
      <c r="S115" s="7">
        <f t="shared" si="4"/>
        <v>0</v>
      </c>
      <c r="T115" s="6">
        <f t="shared" si="5"/>
        <v>0</v>
      </c>
      <c r="U115" s="25">
        <f t="shared" si="3"/>
        <v>0</v>
      </c>
    </row>
    <row r="116" spans="1:21" ht="10.9" customHeight="1" x14ac:dyDescent="0.2">
      <c r="A116" s="82" t="s">
        <v>3741</v>
      </c>
      <c r="B116" s="83">
        <v>45673</v>
      </c>
      <c r="C116" s="82" t="s">
        <v>3395</v>
      </c>
      <c r="D116" s="82" t="s">
        <v>3740</v>
      </c>
      <c r="E116" s="82"/>
      <c r="F116" s="82" t="s">
        <v>5745</v>
      </c>
      <c r="G116" s="89">
        <v>1</v>
      </c>
      <c r="H116" s="89">
        <v>273</v>
      </c>
      <c r="I116" s="85">
        <v>0</v>
      </c>
      <c r="J116" s="85">
        <v>0</v>
      </c>
      <c r="K116" s="85">
        <v>273</v>
      </c>
      <c r="L116" s="85">
        <v>15340.54</v>
      </c>
      <c r="M116" s="89">
        <v>392.98896176059054</v>
      </c>
      <c r="N116" s="85">
        <v>0</v>
      </c>
      <c r="O116" s="85">
        <v>0</v>
      </c>
      <c r="P116" s="85">
        <v>392.98896176059054</v>
      </c>
      <c r="Q116" s="85">
        <v>22083.014239731903</v>
      </c>
      <c r="R116" s="82" t="s">
        <v>3399</v>
      </c>
      <c r="S116" s="7">
        <f t="shared" si="4"/>
        <v>0</v>
      </c>
      <c r="T116" s="6">
        <f t="shared" si="5"/>
        <v>0</v>
      </c>
      <c r="U116" s="25">
        <f t="shared" si="3"/>
        <v>0</v>
      </c>
    </row>
    <row r="117" spans="1:21" ht="10.9" customHeight="1" x14ac:dyDescent="0.2">
      <c r="A117" s="82" t="s">
        <v>3741</v>
      </c>
      <c r="B117" s="83">
        <v>45673</v>
      </c>
      <c r="C117" s="82" t="s">
        <v>3395</v>
      </c>
      <c r="D117" s="82" t="s">
        <v>3740</v>
      </c>
      <c r="E117" s="82"/>
      <c r="F117" s="82" t="s">
        <v>5625</v>
      </c>
      <c r="G117" s="89">
        <v>1</v>
      </c>
      <c r="H117" s="89">
        <v>71.5</v>
      </c>
      <c r="I117" s="85">
        <v>0</v>
      </c>
      <c r="J117" s="85">
        <v>0</v>
      </c>
      <c r="K117" s="85">
        <v>71.5</v>
      </c>
      <c r="L117" s="85">
        <v>15340.54</v>
      </c>
      <c r="M117" s="89">
        <v>102.92568046110705</v>
      </c>
      <c r="N117" s="85">
        <v>0</v>
      </c>
      <c r="O117" s="85">
        <v>0</v>
      </c>
      <c r="P117" s="85">
        <v>102.92568046110705</v>
      </c>
      <c r="Q117" s="85">
        <v>22083.014239731903</v>
      </c>
      <c r="R117" s="82" t="s">
        <v>3399</v>
      </c>
      <c r="S117" s="7">
        <f t="shared" si="4"/>
        <v>0</v>
      </c>
      <c r="T117" s="6">
        <f t="shared" si="5"/>
        <v>0</v>
      </c>
      <c r="U117" s="25">
        <f t="shared" si="3"/>
        <v>0</v>
      </c>
    </row>
    <row r="118" spans="1:21" ht="10.9" customHeight="1" x14ac:dyDescent="0.2">
      <c r="A118" s="82" t="s">
        <v>3741</v>
      </c>
      <c r="B118" s="83">
        <v>45673</v>
      </c>
      <c r="C118" s="82" t="s">
        <v>3395</v>
      </c>
      <c r="D118" s="82" t="s">
        <v>3740</v>
      </c>
      <c r="E118" s="82"/>
      <c r="F118" s="82" t="s">
        <v>5744</v>
      </c>
      <c r="G118" s="89">
        <v>1</v>
      </c>
      <c r="H118" s="89">
        <v>2402.16</v>
      </c>
      <c r="I118" s="85">
        <v>0</v>
      </c>
      <c r="J118" s="85">
        <v>0</v>
      </c>
      <c r="K118" s="85">
        <v>2402.16</v>
      </c>
      <c r="L118" s="85">
        <v>15340.54</v>
      </c>
      <c r="M118" s="89">
        <v>3457.957378691649</v>
      </c>
      <c r="N118" s="85">
        <v>0</v>
      </c>
      <c r="O118" s="85">
        <v>0</v>
      </c>
      <c r="P118" s="85">
        <v>3457.957378691649</v>
      </c>
      <c r="Q118" s="85">
        <v>22083.014239731903</v>
      </c>
      <c r="R118" s="82" t="s">
        <v>3399</v>
      </c>
      <c r="S118" s="7">
        <f t="shared" si="4"/>
        <v>0</v>
      </c>
      <c r="T118" s="6">
        <f t="shared" si="5"/>
        <v>0</v>
      </c>
      <c r="U118" s="25">
        <f t="shared" si="3"/>
        <v>0</v>
      </c>
    </row>
    <row r="119" spans="1:21" ht="10.9" customHeight="1" x14ac:dyDescent="0.2">
      <c r="A119" s="82" t="s">
        <v>3741</v>
      </c>
      <c r="B119" s="83">
        <v>45673</v>
      </c>
      <c r="C119" s="82" t="s">
        <v>3395</v>
      </c>
      <c r="D119" s="82" t="s">
        <v>3740</v>
      </c>
      <c r="E119" s="82"/>
      <c r="F119" s="82" t="s">
        <v>5743</v>
      </c>
      <c r="G119" s="89">
        <v>1</v>
      </c>
      <c r="H119" s="89">
        <v>1212.33</v>
      </c>
      <c r="I119" s="85">
        <v>0</v>
      </c>
      <c r="J119" s="85">
        <v>0</v>
      </c>
      <c r="K119" s="85">
        <v>1212.33</v>
      </c>
      <c r="L119" s="85">
        <v>15340.54</v>
      </c>
      <c r="M119" s="89">
        <v>1745.1732894183763</v>
      </c>
      <c r="N119" s="85">
        <v>0</v>
      </c>
      <c r="O119" s="85">
        <v>0</v>
      </c>
      <c r="P119" s="85">
        <v>1745.1732894183763</v>
      </c>
      <c r="Q119" s="85">
        <v>22083.014239731903</v>
      </c>
      <c r="R119" s="82" t="s">
        <v>3399</v>
      </c>
      <c r="S119" s="7">
        <f t="shared" si="4"/>
        <v>0</v>
      </c>
      <c r="T119" s="6">
        <f t="shared" si="5"/>
        <v>0</v>
      </c>
      <c r="U119" s="25">
        <f t="shared" si="3"/>
        <v>0</v>
      </c>
    </row>
    <row r="120" spans="1:21" ht="10.9" customHeight="1" x14ac:dyDescent="0.2">
      <c r="A120" s="82" t="s">
        <v>3741</v>
      </c>
      <c r="B120" s="83">
        <v>45673</v>
      </c>
      <c r="C120" s="82" t="s">
        <v>3395</v>
      </c>
      <c r="D120" s="82" t="s">
        <v>3740</v>
      </c>
      <c r="E120" s="82"/>
      <c r="F120" s="82" t="s">
        <v>4576</v>
      </c>
      <c r="G120" s="89">
        <v>1</v>
      </c>
      <c r="H120" s="89">
        <v>21.45</v>
      </c>
      <c r="I120" s="85">
        <v>0</v>
      </c>
      <c r="J120" s="85">
        <v>0</v>
      </c>
      <c r="K120" s="85">
        <v>21.45</v>
      </c>
      <c r="L120" s="85">
        <v>15340.54</v>
      </c>
      <c r="M120" s="89">
        <v>30.877704138332113</v>
      </c>
      <c r="N120" s="85">
        <v>0</v>
      </c>
      <c r="O120" s="85">
        <v>0</v>
      </c>
      <c r="P120" s="85">
        <v>30.877704138332113</v>
      </c>
      <c r="Q120" s="85">
        <v>22083.014239731903</v>
      </c>
      <c r="R120" s="82" t="s">
        <v>3399</v>
      </c>
      <c r="S120" s="7">
        <f t="shared" si="4"/>
        <v>0</v>
      </c>
      <c r="T120" s="6">
        <f t="shared" si="5"/>
        <v>0</v>
      </c>
      <c r="U120" s="25">
        <f t="shared" si="3"/>
        <v>0</v>
      </c>
    </row>
    <row r="121" spans="1:21" ht="10.9" customHeight="1" x14ac:dyDescent="0.2">
      <c r="A121" s="82" t="s">
        <v>3741</v>
      </c>
      <c r="B121" s="83">
        <v>45673</v>
      </c>
      <c r="C121" s="82" t="s">
        <v>3395</v>
      </c>
      <c r="D121" s="82" t="s">
        <v>3740</v>
      </c>
      <c r="E121" s="82"/>
      <c r="F121" s="82" t="s">
        <v>5742</v>
      </c>
      <c r="G121" s="89">
        <v>1</v>
      </c>
      <c r="H121" s="89">
        <v>35.75</v>
      </c>
      <c r="I121" s="85">
        <v>0</v>
      </c>
      <c r="J121" s="85">
        <v>0</v>
      </c>
      <c r="K121" s="85">
        <v>35.75</v>
      </c>
      <c r="L121" s="85">
        <v>15340.54</v>
      </c>
      <c r="M121" s="89">
        <v>51.462840230553525</v>
      </c>
      <c r="N121" s="85">
        <v>0</v>
      </c>
      <c r="O121" s="85">
        <v>0</v>
      </c>
      <c r="P121" s="85">
        <v>51.462840230553525</v>
      </c>
      <c r="Q121" s="85">
        <v>22083.014239731903</v>
      </c>
      <c r="R121" s="82" t="s">
        <v>3399</v>
      </c>
      <c r="S121" s="7">
        <f t="shared" si="4"/>
        <v>0</v>
      </c>
      <c r="T121" s="6">
        <f t="shared" si="5"/>
        <v>0</v>
      </c>
      <c r="U121" s="25">
        <f t="shared" si="3"/>
        <v>0</v>
      </c>
    </row>
    <row r="122" spans="1:21" ht="10.9" customHeight="1" x14ac:dyDescent="0.2">
      <c r="A122" s="82" t="s">
        <v>3741</v>
      </c>
      <c r="B122" s="83">
        <v>45673</v>
      </c>
      <c r="C122" s="82" t="s">
        <v>3395</v>
      </c>
      <c r="D122" s="82" t="s">
        <v>3740</v>
      </c>
      <c r="E122" s="82"/>
      <c r="F122" s="82" t="s">
        <v>5741</v>
      </c>
      <c r="G122" s="89">
        <v>1</v>
      </c>
      <c r="H122" s="89">
        <v>121.55</v>
      </c>
      <c r="I122" s="85">
        <v>0</v>
      </c>
      <c r="J122" s="85">
        <v>0</v>
      </c>
      <c r="K122" s="85">
        <v>121.55</v>
      </c>
      <c r="L122" s="85">
        <v>15340.54</v>
      </c>
      <c r="M122" s="89">
        <v>174.97365678388198</v>
      </c>
      <c r="N122" s="85">
        <v>0</v>
      </c>
      <c r="O122" s="85">
        <v>0</v>
      </c>
      <c r="P122" s="85">
        <v>174.97365678388198</v>
      </c>
      <c r="Q122" s="85">
        <v>22083.014239731903</v>
      </c>
      <c r="R122" s="82" t="s">
        <v>3399</v>
      </c>
      <c r="S122" s="7">
        <f t="shared" si="4"/>
        <v>0</v>
      </c>
      <c r="T122" s="6">
        <f t="shared" si="5"/>
        <v>0</v>
      </c>
      <c r="U122" s="25">
        <f t="shared" si="3"/>
        <v>0</v>
      </c>
    </row>
    <row r="123" spans="1:21" ht="10.9" customHeight="1" x14ac:dyDescent="0.2">
      <c r="A123" s="82" t="s">
        <v>3741</v>
      </c>
      <c r="B123" s="83">
        <v>45673</v>
      </c>
      <c r="C123" s="82" t="s">
        <v>3395</v>
      </c>
      <c r="D123" s="82" t="s">
        <v>3740</v>
      </c>
      <c r="E123" s="82"/>
      <c r="F123" s="82" t="s">
        <v>4817</v>
      </c>
      <c r="G123" s="89">
        <v>1</v>
      </c>
      <c r="H123" s="89">
        <v>2362</v>
      </c>
      <c r="I123" s="85">
        <v>0</v>
      </c>
      <c r="J123" s="85">
        <v>0</v>
      </c>
      <c r="K123" s="85">
        <v>2362</v>
      </c>
      <c r="L123" s="85">
        <v>15340.54</v>
      </c>
      <c r="M123" s="89">
        <v>3400.1462552326552</v>
      </c>
      <c r="N123" s="85">
        <v>0</v>
      </c>
      <c r="O123" s="85">
        <v>0</v>
      </c>
      <c r="P123" s="85">
        <v>3400.1462552326552</v>
      </c>
      <c r="Q123" s="85">
        <v>22083.014239731903</v>
      </c>
      <c r="R123" s="82" t="s">
        <v>3399</v>
      </c>
      <c r="S123" s="7">
        <f t="shared" si="4"/>
        <v>0</v>
      </c>
      <c r="T123" s="6">
        <f t="shared" si="5"/>
        <v>0</v>
      </c>
      <c r="U123" s="25">
        <f t="shared" si="3"/>
        <v>0</v>
      </c>
    </row>
    <row r="124" spans="1:21" ht="10.9" customHeight="1" x14ac:dyDescent="0.2">
      <c r="A124" s="82" t="s">
        <v>3741</v>
      </c>
      <c r="B124" s="83">
        <v>45673</v>
      </c>
      <c r="C124" s="82" t="s">
        <v>3395</v>
      </c>
      <c r="D124" s="82" t="s">
        <v>3740</v>
      </c>
      <c r="E124" s="82"/>
      <c r="F124" s="82" t="s">
        <v>5740</v>
      </c>
      <c r="G124" s="89">
        <v>1</v>
      </c>
      <c r="H124" s="89">
        <v>1385</v>
      </c>
      <c r="I124" s="85">
        <v>0</v>
      </c>
      <c r="J124" s="85">
        <v>0</v>
      </c>
      <c r="K124" s="85">
        <v>1385</v>
      </c>
      <c r="L124" s="85">
        <v>15340.54</v>
      </c>
      <c r="M124" s="89">
        <v>1993.7352089319338</v>
      </c>
      <c r="N124" s="85">
        <v>0</v>
      </c>
      <c r="O124" s="85">
        <v>0</v>
      </c>
      <c r="P124" s="85">
        <v>1993.7352089319338</v>
      </c>
      <c r="Q124" s="85">
        <v>22083.014239731903</v>
      </c>
      <c r="R124" s="82" t="s">
        <v>3399</v>
      </c>
      <c r="S124" s="7">
        <f t="shared" si="4"/>
        <v>0</v>
      </c>
      <c r="T124" s="6">
        <f t="shared" si="5"/>
        <v>0</v>
      </c>
      <c r="U124" s="25">
        <f t="shared" si="3"/>
        <v>0</v>
      </c>
    </row>
    <row r="125" spans="1:21" ht="10.9" customHeight="1" x14ac:dyDescent="0.2">
      <c r="A125" s="82" t="s">
        <v>3741</v>
      </c>
      <c r="B125" s="83">
        <v>45673</v>
      </c>
      <c r="C125" s="82" t="s">
        <v>3395</v>
      </c>
      <c r="D125" s="82" t="s">
        <v>3740</v>
      </c>
      <c r="E125" s="82"/>
      <c r="F125" s="82" t="s">
        <v>4393</v>
      </c>
      <c r="G125" s="89">
        <v>1</v>
      </c>
      <c r="H125" s="89">
        <v>909</v>
      </c>
      <c r="I125" s="85">
        <v>0</v>
      </c>
      <c r="J125" s="85">
        <v>0</v>
      </c>
      <c r="K125" s="85">
        <v>909</v>
      </c>
      <c r="L125" s="85">
        <v>15340.54</v>
      </c>
      <c r="M125" s="89">
        <v>1308.5236858621861</v>
      </c>
      <c r="N125" s="85">
        <v>0</v>
      </c>
      <c r="O125" s="85">
        <v>0</v>
      </c>
      <c r="P125" s="85">
        <v>1308.5236858621861</v>
      </c>
      <c r="Q125" s="85">
        <v>22083.014239731903</v>
      </c>
      <c r="R125" s="82" t="s">
        <v>3399</v>
      </c>
      <c r="S125" s="7" t="str">
        <f t="shared" si="4"/>
        <v>INV12527</v>
      </c>
      <c r="T125" s="6">
        <f t="shared" si="5"/>
        <v>1</v>
      </c>
      <c r="U125" s="25">
        <f t="shared" si="3"/>
        <v>909</v>
      </c>
    </row>
    <row r="126" spans="1:21" ht="10.9" customHeight="1" x14ac:dyDescent="0.2">
      <c r="A126" s="82" t="s">
        <v>3739</v>
      </c>
      <c r="B126" s="83">
        <v>45673</v>
      </c>
      <c r="C126" s="82" t="s">
        <v>3395</v>
      </c>
      <c r="D126" s="82" t="s">
        <v>3738</v>
      </c>
      <c r="E126" s="82"/>
      <c r="F126" s="82" t="s">
        <v>4817</v>
      </c>
      <c r="G126" s="89">
        <v>1</v>
      </c>
      <c r="H126" s="89">
        <v>2362</v>
      </c>
      <c r="I126" s="85">
        <v>0</v>
      </c>
      <c r="J126" s="85">
        <v>0</v>
      </c>
      <c r="K126" s="85">
        <v>2362</v>
      </c>
      <c r="L126" s="85">
        <v>2412</v>
      </c>
      <c r="M126" s="89">
        <v>3400.1462552326552</v>
      </c>
      <c r="N126" s="85">
        <v>0</v>
      </c>
      <c r="O126" s="85">
        <v>0</v>
      </c>
      <c r="P126" s="85">
        <v>3400.1462552326552</v>
      </c>
      <c r="Q126" s="85">
        <v>3472.1222555551076</v>
      </c>
      <c r="R126" s="82" t="s">
        <v>3399</v>
      </c>
      <c r="S126" s="7">
        <f t="shared" si="4"/>
        <v>0</v>
      </c>
      <c r="T126" s="6">
        <f t="shared" si="5"/>
        <v>0</v>
      </c>
      <c r="U126" s="25">
        <f t="shared" si="3"/>
        <v>0</v>
      </c>
    </row>
    <row r="127" spans="1:21" ht="10.9" customHeight="1" x14ac:dyDescent="0.2">
      <c r="A127" s="82" t="s">
        <v>3739</v>
      </c>
      <c r="B127" s="83">
        <v>45673</v>
      </c>
      <c r="C127" s="82" t="s">
        <v>3395</v>
      </c>
      <c r="D127" s="82" t="s">
        <v>3738</v>
      </c>
      <c r="E127" s="82"/>
      <c r="F127" s="82" t="s">
        <v>4390</v>
      </c>
      <c r="G127" s="89">
        <v>1</v>
      </c>
      <c r="H127" s="89">
        <v>50</v>
      </c>
      <c r="I127" s="85">
        <v>0</v>
      </c>
      <c r="J127" s="85">
        <v>0</v>
      </c>
      <c r="K127" s="85">
        <v>50</v>
      </c>
      <c r="L127" s="85">
        <v>2412</v>
      </c>
      <c r="M127" s="89">
        <v>71.976000322452478</v>
      </c>
      <c r="N127" s="85">
        <v>0</v>
      </c>
      <c r="O127" s="85">
        <v>0</v>
      </c>
      <c r="P127" s="85">
        <v>71.976000322452478</v>
      </c>
      <c r="Q127" s="85">
        <v>3472.1222555551076</v>
      </c>
      <c r="R127" s="82" t="s">
        <v>3399</v>
      </c>
      <c r="S127" s="7" t="str">
        <f t="shared" si="4"/>
        <v>INV12528</v>
      </c>
      <c r="T127" s="6">
        <f t="shared" si="5"/>
        <v>1</v>
      </c>
      <c r="U127" s="25">
        <f t="shared" si="3"/>
        <v>50</v>
      </c>
    </row>
    <row r="128" spans="1:21" ht="10.9" customHeight="1" x14ac:dyDescent="0.2">
      <c r="A128" s="82" t="s">
        <v>3743</v>
      </c>
      <c r="B128" s="83">
        <v>45673</v>
      </c>
      <c r="C128" s="82" t="s">
        <v>3395</v>
      </c>
      <c r="D128" s="82" t="s">
        <v>3742</v>
      </c>
      <c r="E128" s="82"/>
      <c r="F128" s="82" t="s">
        <v>4817</v>
      </c>
      <c r="G128" s="89">
        <v>1</v>
      </c>
      <c r="H128" s="89">
        <v>2362</v>
      </c>
      <c r="I128" s="85">
        <v>0</v>
      </c>
      <c r="J128" s="85">
        <v>0</v>
      </c>
      <c r="K128" s="85">
        <v>2362</v>
      </c>
      <c r="L128" s="85">
        <v>2412</v>
      </c>
      <c r="M128" s="89">
        <v>3400.1462552326552</v>
      </c>
      <c r="N128" s="85">
        <v>0</v>
      </c>
      <c r="O128" s="85">
        <v>0</v>
      </c>
      <c r="P128" s="85">
        <v>3400.1462552326552</v>
      </c>
      <c r="Q128" s="85">
        <v>3472.1222555551076</v>
      </c>
      <c r="R128" s="82" t="s">
        <v>3399</v>
      </c>
      <c r="S128" s="7">
        <f t="shared" si="4"/>
        <v>0</v>
      </c>
      <c r="T128" s="6">
        <f t="shared" si="5"/>
        <v>0</v>
      </c>
      <c r="U128" s="25">
        <f t="shared" si="3"/>
        <v>0</v>
      </c>
    </row>
    <row r="129" spans="1:21" ht="10.9" customHeight="1" x14ac:dyDescent="0.2">
      <c r="A129" s="82" t="s">
        <v>3743</v>
      </c>
      <c r="B129" s="83">
        <v>45673</v>
      </c>
      <c r="C129" s="82" t="s">
        <v>3395</v>
      </c>
      <c r="D129" s="82" t="s">
        <v>3742</v>
      </c>
      <c r="E129" s="82"/>
      <c r="F129" s="82" t="s">
        <v>4390</v>
      </c>
      <c r="G129" s="89">
        <v>1</v>
      </c>
      <c r="H129" s="89">
        <v>50</v>
      </c>
      <c r="I129" s="85">
        <v>0</v>
      </c>
      <c r="J129" s="85">
        <v>0</v>
      </c>
      <c r="K129" s="85">
        <v>50</v>
      </c>
      <c r="L129" s="85">
        <v>2412</v>
      </c>
      <c r="M129" s="89">
        <v>71.976000322452478</v>
      </c>
      <c r="N129" s="85">
        <v>0</v>
      </c>
      <c r="O129" s="85">
        <v>0</v>
      </c>
      <c r="P129" s="85">
        <v>71.976000322452478</v>
      </c>
      <c r="Q129" s="85">
        <v>3472.1222555551076</v>
      </c>
      <c r="R129" s="82" t="s">
        <v>3399</v>
      </c>
      <c r="S129" s="7" t="str">
        <f t="shared" si="4"/>
        <v>INV12529</v>
      </c>
      <c r="T129" s="6">
        <f t="shared" si="5"/>
        <v>1</v>
      </c>
      <c r="U129" s="25">
        <f t="shared" si="3"/>
        <v>50</v>
      </c>
    </row>
    <row r="130" spans="1:21" ht="10.9" customHeight="1" x14ac:dyDescent="0.2">
      <c r="A130" s="82" t="s">
        <v>2300</v>
      </c>
      <c r="B130" s="83">
        <v>45673</v>
      </c>
      <c r="C130" s="82" t="s">
        <v>3395</v>
      </c>
      <c r="D130" s="82" t="s">
        <v>2212</v>
      </c>
      <c r="E130" s="82"/>
      <c r="F130" s="82" t="s">
        <v>5746</v>
      </c>
      <c r="G130" s="89">
        <v>1</v>
      </c>
      <c r="H130" s="89">
        <v>2320.5</v>
      </c>
      <c r="I130" s="85">
        <v>0</v>
      </c>
      <c r="J130" s="85">
        <v>0</v>
      </c>
      <c r="K130" s="85">
        <v>2320.5</v>
      </c>
      <c r="L130" s="85">
        <v>3732.7</v>
      </c>
      <c r="M130" s="89">
        <v>3340.4061749650195</v>
      </c>
      <c r="N130" s="85">
        <v>0</v>
      </c>
      <c r="O130" s="85">
        <v>0</v>
      </c>
      <c r="P130" s="85">
        <v>3340.4061749650195</v>
      </c>
      <c r="Q130" s="85">
        <v>5373.2963280723679</v>
      </c>
      <c r="R130" s="82" t="s">
        <v>3399</v>
      </c>
      <c r="S130" s="7">
        <f t="shared" si="4"/>
        <v>0</v>
      </c>
      <c r="T130" s="6">
        <f t="shared" si="5"/>
        <v>0</v>
      </c>
      <c r="U130" s="25">
        <f t="shared" ref="U130:U193" si="6">IF(T130=1,K130-J130,0)</f>
        <v>0</v>
      </c>
    </row>
    <row r="131" spans="1:21" ht="10.9" customHeight="1" x14ac:dyDescent="0.2">
      <c r="A131" s="82" t="s">
        <v>2300</v>
      </c>
      <c r="B131" s="83">
        <v>45673</v>
      </c>
      <c r="C131" s="82" t="s">
        <v>3395</v>
      </c>
      <c r="D131" s="82" t="s">
        <v>2212</v>
      </c>
      <c r="E131" s="82"/>
      <c r="F131" s="82" t="s">
        <v>4698</v>
      </c>
      <c r="G131" s="89">
        <v>1</v>
      </c>
      <c r="H131" s="89">
        <v>562.9</v>
      </c>
      <c r="I131" s="85">
        <v>0</v>
      </c>
      <c r="J131" s="85">
        <v>0</v>
      </c>
      <c r="K131" s="85">
        <v>562.9</v>
      </c>
      <c r="L131" s="85">
        <v>3732.7</v>
      </c>
      <c r="M131" s="89">
        <v>810.30581163017007</v>
      </c>
      <c r="N131" s="85">
        <v>0</v>
      </c>
      <c r="O131" s="85">
        <v>0</v>
      </c>
      <c r="P131" s="85">
        <v>810.30581163017007</v>
      </c>
      <c r="Q131" s="85">
        <v>5373.2963280723679</v>
      </c>
      <c r="R131" s="82" t="s">
        <v>3399</v>
      </c>
      <c r="S131" s="7">
        <f t="shared" ref="S131:S194" si="7">IF(T131=1,A131,0)</f>
        <v>0</v>
      </c>
      <c r="T131" s="6">
        <f t="shared" ref="T131:T194" si="8">IFERROR(FIND("Freight",F131,1),0)</f>
        <v>0</v>
      </c>
      <c r="U131" s="25">
        <f t="shared" si="6"/>
        <v>0</v>
      </c>
    </row>
    <row r="132" spans="1:21" ht="10.9" customHeight="1" x14ac:dyDescent="0.2">
      <c r="A132" s="82" t="s">
        <v>2300</v>
      </c>
      <c r="B132" s="83">
        <v>45673</v>
      </c>
      <c r="C132" s="82" t="s">
        <v>3395</v>
      </c>
      <c r="D132" s="82" t="s">
        <v>2212</v>
      </c>
      <c r="E132" s="82"/>
      <c r="F132" s="82" t="s">
        <v>4697</v>
      </c>
      <c r="G132" s="89">
        <v>1</v>
      </c>
      <c r="H132" s="89">
        <v>599.29999999999995</v>
      </c>
      <c r="I132" s="85">
        <v>0</v>
      </c>
      <c r="J132" s="85">
        <v>0</v>
      </c>
      <c r="K132" s="85">
        <v>599.29999999999995</v>
      </c>
      <c r="L132" s="85">
        <v>3732.7</v>
      </c>
      <c r="M132" s="89">
        <v>862.70433986491548</v>
      </c>
      <c r="N132" s="85">
        <v>0</v>
      </c>
      <c r="O132" s="85">
        <v>0</v>
      </c>
      <c r="P132" s="85">
        <v>862.70433986491548</v>
      </c>
      <c r="Q132" s="85">
        <v>5373.2963280723679</v>
      </c>
      <c r="R132" s="82" t="s">
        <v>3399</v>
      </c>
      <c r="S132" s="7">
        <f t="shared" si="7"/>
        <v>0</v>
      </c>
      <c r="T132" s="6">
        <f t="shared" si="8"/>
        <v>0</v>
      </c>
      <c r="U132" s="25">
        <f t="shared" si="6"/>
        <v>0</v>
      </c>
    </row>
    <row r="133" spans="1:21" ht="10.9" customHeight="1" x14ac:dyDescent="0.2">
      <c r="A133" s="82" t="s">
        <v>2300</v>
      </c>
      <c r="B133" s="83">
        <v>45673</v>
      </c>
      <c r="C133" s="82" t="s">
        <v>3395</v>
      </c>
      <c r="D133" s="82" t="s">
        <v>2212</v>
      </c>
      <c r="E133" s="82"/>
      <c r="F133" s="82" t="s">
        <v>4390</v>
      </c>
      <c r="G133" s="89">
        <v>1</v>
      </c>
      <c r="H133" s="89">
        <v>250</v>
      </c>
      <c r="I133" s="85">
        <v>0</v>
      </c>
      <c r="J133" s="85">
        <v>0</v>
      </c>
      <c r="K133" s="85">
        <v>250</v>
      </c>
      <c r="L133" s="85">
        <v>3732.7</v>
      </c>
      <c r="M133" s="89">
        <v>359.88000161226239</v>
      </c>
      <c r="N133" s="85">
        <v>0</v>
      </c>
      <c r="O133" s="85">
        <v>0</v>
      </c>
      <c r="P133" s="85">
        <v>359.88000161226239</v>
      </c>
      <c r="Q133" s="85">
        <v>5373.2963280723679</v>
      </c>
      <c r="R133" s="82" t="s">
        <v>3399</v>
      </c>
      <c r="S133" s="7" t="str">
        <f t="shared" si="7"/>
        <v>INV12530</v>
      </c>
      <c r="T133" s="6">
        <f t="shared" si="8"/>
        <v>1</v>
      </c>
      <c r="U133" s="25">
        <f t="shared" si="6"/>
        <v>250</v>
      </c>
    </row>
    <row r="134" spans="1:21" ht="10.9" customHeight="1" x14ac:dyDescent="0.2">
      <c r="A134" s="82" t="s">
        <v>3734</v>
      </c>
      <c r="B134" s="83">
        <v>45674</v>
      </c>
      <c r="C134" s="82" t="s">
        <v>3395</v>
      </c>
      <c r="D134" s="82" t="s">
        <v>3733</v>
      </c>
      <c r="E134" s="82"/>
      <c r="F134" s="82" t="s">
        <v>5739</v>
      </c>
      <c r="G134" s="89">
        <v>1</v>
      </c>
      <c r="H134" s="89">
        <v>1322.55</v>
      </c>
      <c r="I134" s="85">
        <v>0</v>
      </c>
      <c r="J134" s="85">
        <v>171.93</v>
      </c>
      <c r="K134" s="85">
        <v>1494.48</v>
      </c>
      <c r="L134" s="85">
        <v>12959.69</v>
      </c>
      <c r="M134" s="89">
        <v>1322.55</v>
      </c>
      <c r="N134" s="85">
        <v>0</v>
      </c>
      <c r="O134" s="85">
        <v>171.93</v>
      </c>
      <c r="P134" s="85">
        <v>1494.48</v>
      </c>
      <c r="Q134" s="85">
        <v>12959.69</v>
      </c>
      <c r="R134" s="82" t="s">
        <v>3399</v>
      </c>
      <c r="S134" s="7">
        <f t="shared" si="7"/>
        <v>0</v>
      </c>
      <c r="T134" s="6">
        <f t="shared" si="8"/>
        <v>0</v>
      </c>
      <c r="U134" s="25">
        <f t="shared" si="6"/>
        <v>0</v>
      </c>
    </row>
    <row r="135" spans="1:21" ht="10.9" customHeight="1" x14ac:dyDescent="0.2">
      <c r="A135" s="82" t="s">
        <v>3734</v>
      </c>
      <c r="B135" s="83">
        <v>45674</v>
      </c>
      <c r="C135" s="82" t="s">
        <v>3395</v>
      </c>
      <c r="D135" s="82" t="s">
        <v>3733</v>
      </c>
      <c r="E135" s="82"/>
      <c r="F135" s="82" t="s">
        <v>5738</v>
      </c>
      <c r="G135" s="89">
        <v>1</v>
      </c>
      <c r="H135" s="89">
        <v>1468.89</v>
      </c>
      <c r="I135" s="85">
        <v>0</v>
      </c>
      <c r="J135" s="85">
        <v>190.96</v>
      </c>
      <c r="K135" s="85">
        <v>1659.85</v>
      </c>
      <c r="L135" s="85">
        <v>12959.69</v>
      </c>
      <c r="M135" s="89">
        <v>1468.89</v>
      </c>
      <c r="N135" s="85">
        <v>0</v>
      </c>
      <c r="O135" s="85">
        <v>190.96</v>
      </c>
      <c r="P135" s="85">
        <v>1659.85</v>
      </c>
      <c r="Q135" s="85">
        <v>12959.69</v>
      </c>
      <c r="R135" s="82" t="s">
        <v>3399</v>
      </c>
      <c r="S135" s="7">
        <f t="shared" si="7"/>
        <v>0</v>
      </c>
      <c r="T135" s="6">
        <f t="shared" si="8"/>
        <v>0</v>
      </c>
      <c r="U135" s="25">
        <f t="shared" si="6"/>
        <v>0</v>
      </c>
    </row>
    <row r="136" spans="1:21" ht="10.9" customHeight="1" x14ac:dyDescent="0.2">
      <c r="A136" s="82" t="s">
        <v>3734</v>
      </c>
      <c r="B136" s="83">
        <v>45674</v>
      </c>
      <c r="C136" s="82" t="s">
        <v>3395</v>
      </c>
      <c r="D136" s="82" t="s">
        <v>3733</v>
      </c>
      <c r="E136" s="82"/>
      <c r="F136" s="82" t="s">
        <v>5737</v>
      </c>
      <c r="G136" s="89">
        <v>1</v>
      </c>
      <c r="H136" s="89">
        <v>2917.73</v>
      </c>
      <c r="I136" s="85">
        <v>0</v>
      </c>
      <c r="J136" s="85">
        <v>379.3</v>
      </c>
      <c r="K136" s="85">
        <v>3297.03</v>
      </c>
      <c r="L136" s="85">
        <v>12959.69</v>
      </c>
      <c r="M136" s="89">
        <v>2917.73</v>
      </c>
      <c r="N136" s="85">
        <v>0</v>
      </c>
      <c r="O136" s="85">
        <v>379.3</v>
      </c>
      <c r="P136" s="85">
        <v>3297.03</v>
      </c>
      <c r="Q136" s="85">
        <v>12959.69</v>
      </c>
      <c r="R136" s="82" t="s">
        <v>3399</v>
      </c>
      <c r="S136" s="7">
        <f t="shared" si="7"/>
        <v>0</v>
      </c>
      <c r="T136" s="6">
        <f t="shared" si="8"/>
        <v>0</v>
      </c>
      <c r="U136" s="25">
        <f t="shared" si="6"/>
        <v>0</v>
      </c>
    </row>
    <row r="137" spans="1:21" ht="10.9" customHeight="1" x14ac:dyDescent="0.2">
      <c r="A137" s="82" t="s">
        <v>3734</v>
      </c>
      <c r="B137" s="83">
        <v>45674</v>
      </c>
      <c r="C137" s="82" t="s">
        <v>3395</v>
      </c>
      <c r="D137" s="82" t="s">
        <v>3733</v>
      </c>
      <c r="E137" s="82"/>
      <c r="F137" s="82" t="s">
        <v>5736</v>
      </c>
      <c r="G137" s="89">
        <v>1</v>
      </c>
      <c r="H137" s="89">
        <v>5759.58</v>
      </c>
      <c r="I137" s="85">
        <v>0</v>
      </c>
      <c r="J137" s="85">
        <v>748.75</v>
      </c>
      <c r="K137" s="85">
        <v>6508.33</v>
      </c>
      <c r="L137" s="85">
        <v>12959.69</v>
      </c>
      <c r="M137" s="89">
        <v>5759.58</v>
      </c>
      <c r="N137" s="85">
        <v>0</v>
      </c>
      <c r="O137" s="85">
        <v>748.75</v>
      </c>
      <c r="P137" s="85">
        <v>6508.33</v>
      </c>
      <c r="Q137" s="85">
        <v>12959.69</v>
      </c>
      <c r="R137" s="82" t="s">
        <v>3399</v>
      </c>
      <c r="S137" s="7">
        <f t="shared" si="7"/>
        <v>0</v>
      </c>
      <c r="T137" s="6">
        <f t="shared" si="8"/>
        <v>0</v>
      </c>
      <c r="U137" s="25">
        <f t="shared" si="6"/>
        <v>0</v>
      </c>
    </row>
    <row r="138" spans="1:21" ht="10.9" customHeight="1" x14ac:dyDescent="0.2">
      <c r="A138" s="82" t="s">
        <v>3727</v>
      </c>
      <c r="B138" s="83">
        <v>45674</v>
      </c>
      <c r="C138" s="82" t="s">
        <v>3395</v>
      </c>
      <c r="D138" s="82" t="s">
        <v>3726</v>
      </c>
      <c r="E138" s="82"/>
      <c r="F138" s="82" t="s">
        <v>5663</v>
      </c>
      <c r="G138" s="89">
        <v>1</v>
      </c>
      <c r="H138" s="89">
        <v>1039.78</v>
      </c>
      <c r="I138" s="85">
        <v>0</v>
      </c>
      <c r="J138" s="85">
        <v>51.99</v>
      </c>
      <c r="K138" s="85">
        <v>1091.77</v>
      </c>
      <c r="L138" s="85">
        <v>2754.26</v>
      </c>
      <c r="M138" s="89">
        <v>1039.78</v>
      </c>
      <c r="N138" s="85">
        <v>0</v>
      </c>
      <c r="O138" s="85">
        <v>51.99</v>
      </c>
      <c r="P138" s="85">
        <v>1091.77</v>
      </c>
      <c r="Q138" s="85">
        <v>2754.26</v>
      </c>
      <c r="R138" s="82" t="s">
        <v>3399</v>
      </c>
      <c r="S138" s="7">
        <f t="shared" si="7"/>
        <v>0</v>
      </c>
      <c r="T138" s="6">
        <f t="shared" si="8"/>
        <v>0</v>
      </c>
      <c r="U138" s="25">
        <f t="shared" si="6"/>
        <v>0</v>
      </c>
    </row>
    <row r="139" spans="1:21" ht="10.9" customHeight="1" x14ac:dyDescent="0.2">
      <c r="A139" s="82" t="s">
        <v>3727</v>
      </c>
      <c r="B139" s="83">
        <v>45674</v>
      </c>
      <c r="C139" s="82" t="s">
        <v>3395</v>
      </c>
      <c r="D139" s="82" t="s">
        <v>3726</v>
      </c>
      <c r="E139" s="82"/>
      <c r="F139" s="82" t="s">
        <v>5731</v>
      </c>
      <c r="G139" s="89">
        <v>2</v>
      </c>
      <c r="H139" s="89">
        <v>791.66</v>
      </c>
      <c r="I139" s="85">
        <v>0</v>
      </c>
      <c r="J139" s="85">
        <v>79.17</v>
      </c>
      <c r="K139" s="85">
        <v>1662.49</v>
      </c>
      <c r="L139" s="85">
        <v>2754.26</v>
      </c>
      <c r="M139" s="89">
        <v>791.66</v>
      </c>
      <c r="N139" s="85">
        <v>0</v>
      </c>
      <c r="O139" s="85">
        <v>79.17</v>
      </c>
      <c r="P139" s="85">
        <v>1662.49</v>
      </c>
      <c r="Q139" s="85">
        <v>2754.26</v>
      </c>
      <c r="R139" s="82" t="s">
        <v>3399</v>
      </c>
      <c r="S139" s="7">
        <f t="shared" si="7"/>
        <v>0</v>
      </c>
      <c r="T139" s="6">
        <f t="shared" si="8"/>
        <v>0</v>
      </c>
      <c r="U139" s="25">
        <f t="shared" si="6"/>
        <v>0</v>
      </c>
    </row>
    <row r="140" spans="1:21" ht="10.9" customHeight="1" x14ac:dyDescent="0.2">
      <c r="A140" s="82" t="s">
        <v>3737</v>
      </c>
      <c r="B140" s="83">
        <v>45674</v>
      </c>
      <c r="C140" s="82" t="s">
        <v>3395</v>
      </c>
      <c r="D140" s="82" t="s">
        <v>3611</v>
      </c>
      <c r="E140" s="82"/>
      <c r="F140" s="82" t="s">
        <v>5663</v>
      </c>
      <c r="G140" s="89">
        <v>2</v>
      </c>
      <c r="H140" s="89">
        <v>1039.78</v>
      </c>
      <c r="I140" s="85">
        <v>0</v>
      </c>
      <c r="J140" s="85">
        <v>103.98</v>
      </c>
      <c r="K140" s="85">
        <v>2183.54</v>
      </c>
      <c r="L140" s="85">
        <v>2571.6999999999998</v>
      </c>
      <c r="M140" s="89">
        <v>1039.78</v>
      </c>
      <c r="N140" s="85">
        <v>0</v>
      </c>
      <c r="O140" s="85">
        <v>103.98</v>
      </c>
      <c r="P140" s="85">
        <v>2183.54</v>
      </c>
      <c r="Q140" s="85">
        <v>2571.6999999999998</v>
      </c>
      <c r="R140" s="82" t="s">
        <v>3399</v>
      </c>
      <c r="S140" s="7">
        <f t="shared" si="7"/>
        <v>0</v>
      </c>
      <c r="T140" s="6">
        <f t="shared" si="8"/>
        <v>0</v>
      </c>
      <c r="U140" s="25">
        <f t="shared" si="6"/>
        <v>0</v>
      </c>
    </row>
    <row r="141" spans="1:21" ht="10.9" customHeight="1" x14ac:dyDescent="0.2">
      <c r="A141" s="82" t="s">
        <v>3737</v>
      </c>
      <c r="B141" s="83">
        <v>45674</v>
      </c>
      <c r="C141" s="82" t="s">
        <v>3395</v>
      </c>
      <c r="D141" s="82" t="s">
        <v>3611</v>
      </c>
      <c r="E141" s="82"/>
      <c r="F141" s="82" t="s">
        <v>5668</v>
      </c>
      <c r="G141" s="89">
        <v>1</v>
      </c>
      <c r="H141" s="89">
        <v>369.68</v>
      </c>
      <c r="I141" s="85">
        <v>0</v>
      </c>
      <c r="J141" s="85">
        <v>18.48</v>
      </c>
      <c r="K141" s="85">
        <v>388.16</v>
      </c>
      <c r="L141" s="85">
        <v>2571.6999999999998</v>
      </c>
      <c r="M141" s="89">
        <v>369.68</v>
      </c>
      <c r="N141" s="85">
        <v>0</v>
      </c>
      <c r="O141" s="85">
        <v>18.48</v>
      </c>
      <c r="P141" s="85">
        <v>388.16</v>
      </c>
      <c r="Q141" s="85">
        <v>2571.6999999999998</v>
      </c>
      <c r="R141" s="82" t="s">
        <v>3399</v>
      </c>
      <c r="S141" s="7">
        <f t="shared" si="7"/>
        <v>0</v>
      </c>
      <c r="T141" s="6">
        <f t="shared" si="8"/>
        <v>0</v>
      </c>
      <c r="U141" s="25">
        <f t="shared" si="6"/>
        <v>0</v>
      </c>
    </row>
    <row r="142" spans="1:21" ht="10.9" customHeight="1" x14ac:dyDescent="0.2">
      <c r="A142" s="82" t="s">
        <v>3736</v>
      </c>
      <c r="B142" s="83">
        <v>45674</v>
      </c>
      <c r="C142" s="82" t="s">
        <v>3395</v>
      </c>
      <c r="D142" s="82" t="s">
        <v>3735</v>
      </c>
      <c r="E142" s="82"/>
      <c r="F142" s="82" t="s">
        <v>5730</v>
      </c>
      <c r="G142" s="89">
        <v>1</v>
      </c>
      <c r="H142" s="89">
        <v>1137.6400000000001</v>
      </c>
      <c r="I142" s="85">
        <v>0</v>
      </c>
      <c r="J142" s="85">
        <v>56.88</v>
      </c>
      <c r="K142" s="85">
        <v>1194.52</v>
      </c>
      <c r="L142" s="85">
        <v>1194.52</v>
      </c>
      <c r="M142" s="89">
        <v>1137.6400000000001</v>
      </c>
      <c r="N142" s="85">
        <v>0</v>
      </c>
      <c r="O142" s="85">
        <v>56.88</v>
      </c>
      <c r="P142" s="85">
        <v>1194.52</v>
      </c>
      <c r="Q142" s="85">
        <v>1194.52</v>
      </c>
      <c r="R142" s="82" t="s">
        <v>3399</v>
      </c>
      <c r="S142" s="7">
        <f t="shared" si="7"/>
        <v>0</v>
      </c>
      <c r="T142" s="6">
        <f t="shared" si="8"/>
        <v>0</v>
      </c>
      <c r="U142" s="25">
        <f t="shared" si="6"/>
        <v>0</v>
      </c>
    </row>
    <row r="143" spans="1:21" ht="10.9" customHeight="1" x14ac:dyDescent="0.2">
      <c r="A143" s="82" t="s">
        <v>2304</v>
      </c>
      <c r="B143" s="83">
        <v>45674</v>
      </c>
      <c r="C143" s="82" t="s">
        <v>3395</v>
      </c>
      <c r="D143" s="82" t="s">
        <v>2203</v>
      </c>
      <c r="E143" s="82"/>
      <c r="F143" s="82" t="s">
        <v>5463</v>
      </c>
      <c r="G143" s="89">
        <v>5</v>
      </c>
      <c r="H143" s="89">
        <v>528.78</v>
      </c>
      <c r="I143" s="85">
        <v>0</v>
      </c>
      <c r="J143" s="85">
        <v>132.19999999999999</v>
      </c>
      <c r="K143" s="85">
        <v>2776.1</v>
      </c>
      <c r="L143" s="85">
        <v>2776.1</v>
      </c>
      <c r="M143" s="89">
        <v>528.78</v>
      </c>
      <c r="N143" s="85">
        <v>0</v>
      </c>
      <c r="O143" s="85">
        <v>132.19999999999999</v>
      </c>
      <c r="P143" s="85">
        <v>2776.1</v>
      </c>
      <c r="Q143" s="85">
        <v>2776.1</v>
      </c>
      <c r="R143" s="82" t="s">
        <v>3399</v>
      </c>
      <c r="S143" s="7">
        <f t="shared" si="7"/>
        <v>0</v>
      </c>
      <c r="T143" s="6">
        <f t="shared" si="8"/>
        <v>0</v>
      </c>
      <c r="U143" s="25">
        <f t="shared" si="6"/>
        <v>0</v>
      </c>
    </row>
    <row r="144" spans="1:21" ht="10.9" customHeight="1" x14ac:dyDescent="0.2">
      <c r="A144" s="82" t="s">
        <v>2314</v>
      </c>
      <c r="B144" s="83">
        <v>45674</v>
      </c>
      <c r="C144" s="82" t="s">
        <v>3395</v>
      </c>
      <c r="D144" s="82" t="s">
        <v>2184</v>
      </c>
      <c r="E144" s="82"/>
      <c r="F144" s="82" t="s">
        <v>5576</v>
      </c>
      <c r="G144" s="89">
        <v>1</v>
      </c>
      <c r="H144" s="89">
        <v>861.07</v>
      </c>
      <c r="I144" s="85">
        <v>0</v>
      </c>
      <c r="J144" s="85">
        <v>43.05</v>
      </c>
      <c r="K144" s="85">
        <v>904.12</v>
      </c>
      <c r="L144" s="85">
        <v>904.12</v>
      </c>
      <c r="M144" s="89">
        <v>861.07</v>
      </c>
      <c r="N144" s="85">
        <v>0</v>
      </c>
      <c r="O144" s="85">
        <v>43.05</v>
      </c>
      <c r="P144" s="85">
        <v>904.12</v>
      </c>
      <c r="Q144" s="85">
        <v>904.12</v>
      </c>
      <c r="R144" s="82" t="s">
        <v>3399</v>
      </c>
      <c r="S144" s="7">
        <f t="shared" si="7"/>
        <v>0</v>
      </c>
      <c r="T144" s="6">
        <f t="shared" si="8"/>
        <v>0</v>
      </c>
      <c r="U144" s="25">
        <f t="shared" si="6"/>
        <v>0</v>
      </c>
    </row>
    <row r="145" spans="1:21" ht="10.9" customHeight="1" x14ac:dyDescent="0.2">
      <c r="A145" s="82" t="s">
        <v>3729</v>
      </c>
      <c r="B145" s="83">
        <v>45674</v>
      </c>
      <c r="C145" s="82" t="s">
        <v>3395</v>
      </c>
      <c r="D145" s="82" t="s">
        <v>3728</v>
      </c>
      <c r="E145" s="82"/>
      <c r="F145" s="82" t="s">
        <v>5735</v>
      </c>
      <c r="G145" s="89">
        <v>1</v>
      </c>
      <c r="H145" s="89">
        <v>2123.63</v>
      </c>
      <c r="I145" s="85">
        <v>0</v>
      </c>
      <c r="J145" s="85">
        <v>106.18</v>
      </c>
      <c r="K145" s="85">
        <v>2229.81</v>
      </c>
      <c r="L145" s="85">
        <v>2229.81</v>
      </c>
      <c r="M145" s="89">
        <v>2123.63</v>
      </c>
      <c r="N145" s="85">
        <v>0</v>
      </c>
      <c r="O145" s="85">
        <v>106.18</v>
      </c>
      <c r="P145" s="85">
        <v>2229.81</v>
      </c>
      <c r="Q145" s="85">
        <v>2229.81</v>
      </c>
      <c r="R145" s="82" t="s">
        <v>3399</v>
      </c>
      <c r="S145" s="7">
        <f t="shared" si="7"/>
        <v>0</v>
      </c>
      <c r="T145" s="6">
        <f t="shared" si="8"/>
        <v>0</v>
      </c>
      <c r="U145" s="25">
        <f t="shared" si="6"/>
        <v>0</v>
      </c>
    </row>
    <row r="146" spans="1:21" ht="10.9" customHeight="1" x14ac:dyDescent="0.2">
      <c r="A146" s="82" t="s">
        <v>2315</v>
      </c>
      <c r="B146" s="83">
        <v>45674</v>
      </c>
      <c r="C146" s="82" t="s">
        <v>3395</v>
      </c>
      <c r="D146" s="82" t="s">
        <v>2182</v>
      </c>
      <c r="E146" s="82"/>
      <c r="F146" s="82" t="s">
        <v>5715</v>
      </c>
      <c r="G146" s="89">
        <v>1</v>
      </c>
      <c r="H146" s="89">
        <v>873.41</v>
      </c>
      <c r="I146" s="85">
        <v>0</v>
      </c>
      <c r="J146" s="85">
        <v>43.67</v>
      </c>
      <c r="K146" s="85">
        <v>917.08</v>
      </c>
      <c r="L146" s="85">
        <v>917.08</v>
      </c>
      <c r="M146" s="89">
        <v>873.41</v>
      </c>
      <c r="N146" s="85">
        <v>0</v>
      </c>
      <c r="O146" s="85">
        <v>43.67</v>
      </c>
      <c r="P146" s="85">
        <v>917.08</v>
      </c>
      <c r="Q146" s="85">
        <v>917.08</v>
      </c>
      <c r="R146" s="82" t="s">
        <v>3399</v>
      </c>
      <c r="S146" s="7">
        <f t="shared" si="7"/>
        <v>0</v>
      </c>
      <c r="T146" s="6">
        <f t="shared" si="8"/>
        <v>0</v>
      </c>
      <c r="U146" s="25">
        <f t="shared" si="6"/>
        <v>0</v>
      </c>
    </row>
    <row r="147" spans="1:21" ht="10.9" customHeight="1" x14ac:dyDescent="0.2">
      <c r="A147" s="82" t="s">
        <v>2301</v>
      </c>
      <c r="B147" s="83">
        <v>45674</v>
      </c>
      <c r="C147" s="82" t="s">
        <v>3395</v>
      </c>
      <c r="D147" s="82" t="s">
        <v>2210</v>
      </c>
      <c r="E147" s="82"/>
      <c r="F147" s="82" t="s">
        <v>4827</v>
      </c>
      <c r="G147" s="89">
        <v>1</v>
      </c>
      <c r="H147" s="89">
        <v>104.94</v>
      </c>
      <c r="I147" s="85">
        <v>0</v>
      </c>
      <c r="J147" s="85">
        <v>5.25</v>
      </c>
      <c r="K147" s="85">
        <v>110.19</v>
      </c>
      <c r="L147" s="85">
        <v>2453.4899999999998</v>
      </c>
      <c r="M147" s="89">
        <v>104.94</v>
      </c>
      <c r="N147" s="85">
        <v>0</v>
      </c>
      <c r="O147" s="85">
        <v>5.25</v>
      </c>
      <c r="P147" s="85">
        <v>110.19</v>
      </c>
      <c r="Q147" s="85">
        <v>2453.4899999999998</v>
      </c>
      <c r="R147" s="82" t="s">
        <v>3399</v>
      </c>
      <c r="S147" s="7">
        <f t="shared" si="7"/>
        <v>0</v>
      </c>
      <c r="T147" s="6">
        <f t="shared" si="8"/>
        <v>0</v>
      </c>
      <c r="U147" s="25">
        <f t="shared" si="6"/>
        <v>0</v>
      </c>
    </row>
    <row r="148" spans="1:21" ht="10.9" customHeight="1" x14ac:dyDescent="0.2">
      <c r="A148" s="82" t="s">
        <v>2301</v>
      </c>
      <c r="B148" s="83">
        <v>45674</v>
      </c>
      <c r="C148" s="82" t="s">
        <v>3395</v>
      </c>
      <c r="D148" s="82" t="s">
        <v>2210</v>
      </c>
      <c r="E148" s="82"/>
      <c r="F148" s="82" t="s">
        <v>5734</v>
      </c>
      <c r="G148" s="89">
        <v>1</v>
      </c>
      <c r="H148" s="89">
        <v>11.38</v>
      </c>
      <c r="I148" s="85">
        <v>0</v>
      </c>
      <c r="J148" s="85">
        <v>0.56999999999999995</v>
      </c>
      <c r="K148" s="85">
        <v>11.95</v>
      </c>
      <c r="L148" s="85">
        <v>2453.4899999999998</v>
      </c>
      <c r="M148" s="89">
        <v>11.38</v>
      </c>
      <c r="N148" s="85">
        <v>0</v>
      </c>
      <c r="O148" s="85">
        <v>0.56999999999999995</v>
      </c>
      <c r="P148" s="85">
        <v>11.95</v>
      </c>
      <c r="Q148" s="85">
        <v>2453.4899999999998</v>
      </c>
      <c r="R148" s="82" t="s">
        <v>3399</v>
      </c>
      <c r="S148" s="7">
        <f t="shared" si="7"/>
        <v>0</v>
      </c>
      <c r="T148" s="6">
        <f t="shared" si="8"/>
        <v>0</v>
      </c>
      <c r="U148" s="25">
        <f t="shared" si="6"/>
        <v>0</v>
      </c>
    </row>
    <row r="149" spans="1:21" ht="10.9" customHeight="1" x14ac:dyDescent="0.2">
      <c r="A149" s="82" t="s">
        <v>2301</v>
      </c>
      <c r="B149" s="83">
        <v>45674</v>
      </c>
      <c r="C149" s="82" t="s">
        <v>3395</v>
      </c>
      <c r="D149" s="82" t="s">
        <v>2210</v>
      </c>
      <c r="E149" s="82"/>
      <c r="F149" s="82" t="s">
        <v>5136</v>
      </c>
      <c r="G149" s="89">
        <v>1</v>
      </c>
      <c r="H149" s="89">
        <v>553.02</v>
      </c>
      <c r="I149" s="85">
        <v>0</v>
      </c>
      <c r="J149" s="85">
        <v>27.65</v>
      </c>
      <c r="K149" s="85">
        <v>580.66999999999996</v>
      </c>
      <c r="L149" s="85">
        <v>2453.4899999999998</v>
      </c>
      <c r="M149" s="89">
        <v>553.02</v>
      </c>
      <c r="N149" s="85">
        <v>0</v>
      </c>
      <c r="O149" s="85">
        <v>27.65</v>
      </c>
      <c r="P149" s="85">
        <v>580.66999999999996</v>
      </c>
      <c r="Q149" s="85">
        <v>2453.4899999999998</v>
      </c>
      <c r="R149" s="82" t="s">
        <v>3399</v>
      </c>
      <c r="S149" s="7">
        <f t="shared" si="7"/>
        <v>0</v>
      </c>
      <c r="T149" s="6">
        <f t="shared" si="8"/>
        <v>0</v>
      </c>
      <c r="U149" s="25">
        <f t="shared" si="6"/>
        <v>0</v>
      </c>
    </row>
    <row r="150" spans="1:21" ht="10.9" customHeight="1" x14ac:dyDescent="0.2">
      <c r="A150" s="82" t="s">
        <v>2301</v>
      </c>
      <c r="B150" s="83">
        <v>45674</v>
      </c>
      <c r="C150" s="82" t="s">
        <v>3395</v>
      </c>
      <c r="D150" s="82" t="s">
        <v>2210</v>
      </c>
      <c r="E150" s="82"/>
      <c r="F150" s="82" t="s">
        <v>4639</v>
      </c>
      <c r="G150" s="89">
        <v>1</v>
      </c>
      <c r="H150" s="89">
        <v>364.21</v>
      </c>
      <c r="I150" s="85">
        <v>0</v>
      </c>
      <c r="J150" s="85">
        <v>18.21</v>
      </c>
      <c r="K150" s="85">
        <v>382.42</v>
      </c>
      <c r="L150" s="85">
        <v>2453.4899999999998</v>
      </c>
      <c r="M150" s="89">
        <v>364.21</v>
      </c>
      <c r="N150" s="85">
        <v>0</v>
      </c>
      <c r="O150" s="85">
        <v>18.21</v>
      </c>
      <c r="P150" s="85">
        <v>382.42</v>
      </c>
      <c r="Q150" s="85">
        <v>2453.4899999999998</v>
      </c>
      <c r="R150" s="82" t="s">
        <v>3399</v>
      </c>
      <c r="S150" s="7">
        <f t="shared" si="7"/>
        <v>0</v>
      </c>
      <c r="T150" s="6">
        <f t="shared" si="8"/>
        <v>0</v>
      </c>
      <c r="U150" s="25">
        <f t="shared" si="6"/>
        <v>0</v>
      </c>
    </row>
    <row r="151" spans="1:21" ht="10.9" customHeight="1" x14ac:dyDescent="0.2">
      <c r="A151" s="82" t="s">
        <v>2301</v>
      </c>
      <c r="B151" s="83">
        <v>45674</v>
      </c>
      <c r="C151" s="82" t="s">
        <v>3395</v>
      </c>
      <c r="D151" s="82" t="s">
        <v>2210</v>
      </c>
      <c r="E151" s="82"/>
      <c r="F151" s="82" t="s">
        <v>5571</v>
      </c>
      <c r="G151" s="89">
        <v>1</v>
      </c>
      <c r="H151" s="89">
        <v>162.38</v>
      </c>
      <c r="I151" s="85">
        <v>0</v>
      </c>
      <c r="J151" s="85">
        <v>8.1199999999999992</v>
      </c>
      <c r="K151" s="85">
        <v>170.5</v>
      </c>
      <c r="L151" s="85">
        <v>2453.4899999999998</v>
      </c>
      <c r="M151" s="89">
        <v>162.38</v>
      </c>
      <c r="N151" s="85">
        <v>0</v>
      </c>
      <c r="O151" s="85">
        <v>8.1199999999999992</v>
      </c>
      <c r="P151" s="85">
        <v>170.5</v>
      </c>
      <c r="Q151" s="85">
        <v>2453.4899999999998</v>
      </c>
      <c r="R151" s="82" t="s">
        <v>3399</v>
      </c>
      <c r="S151" s="7">
        <f t="shared" si="7"/>
        <v>0</v>
      </c>
      <c r="T151" s="6">
        <f t="shared" si="8"/>
        <v>0</v>
      </c>
      <c r="U151" s="25">
        <f t="shared" si="6"/>
        <v>0</v>
      </c>
    </row>
    <row r="152" spans="1:21" ht="10.9" customHeight="1" x14ac:dyDescent="0.2">
      <c r="A152" s="82" t="s">
        <v>2301</v>
      </c>
      <c r="B152" s="83">
        <v>45674</v>
      </c>
      <c r="C152" s="82" t="s">
        <v>3395</v>
      </c>
      <c r="D152" s="82" t="s">
        <v>2210</v>
      </c>
      <c r="E152" s="82"/>
      <c r="F152" s="82" t="s">
        <v>5137</v>
      </c>
      <c r="G152" s="89">
        <v>1</v>
      </c>
      <c r="H152" s="89">
        <v>553.02</v>
      </c>
      <c r="I152" s="85">
        <v>0</v>
      </c>
      <c r="J152" s="85">
        <v>27.65</v>
      </c>
      <c r="K152" s="85">
        <v>580.66999999999996</v>
      </c>
      <c r="L152" s="85">
        <v>2453.4899999999998</v>
      </c>
      <c r="M152" s="89">
        <v>553.02</v>
      </c>
      <c r="N152" s="85">
        <v>0</v>
      </c>
      <c r="O152" s="85">
        <v>27.65</v>
      </c>
      <c r="P152" s="85">
        <v>580.66999999999996</v>
      </c>
      <c r="Q152" s="85">
        <v>2453.4899999999998</v>
      </c>
      <c r="R152" s="82" t="s">
        <v>3399</v>
      </c>
      <c r="S152" s="7">
        <f t="shared" si="7"/>
        <v>0</v>
      </c>
      <c r="T152" s="6">
        <f t="shared" si="8"/>
        <v>0</v>
      </c>
      <c r="U152" s="25">
        <f t="shared" si="6"/>
        <v>0</v>
      </c>
    </row>
    <row r="153" spans="1:21" ht="10.9" customHeight="1" x14ac:dyDescent="0.2">
      <c r="A153" s="82" t="s">
        <v>2301</v>
      </c>
      <c r="B153" s="83">
        <v>45674</v>
      </c>
      <c r="C153" s="82" t="s">
        <v>3395</v>
      </c>
      <c r="D153" s="82" t="s">
        <v>2210</v>
      </c>
      <c r="E153" s="82"/>
      <c r="F153" s="82" t="s">
        <v>5733</v>
      </c>
      <c r="G153" s="89">
        <v>1</v>
      </c>
      <c r="H153" s="89">
        <v>94.44</v>
      </c>
      <c r="I153" s="85">
        <v>0</v>
      </c>
      <c r="J153" s="85">
        <v>4.72</v>
      </c>
      <c r="K153" s="85">
        <v>99.16</v>
      </c>
      <c r="L153" s="85">
        <v>2453.4899999999998</v>
      </c>
      <c r="M153" s="89">
        <v>94.44</v>
      </c>
      <c r="N153" s="85">
        <v>0</v>
      </c>
      <c r="O153" s="85">
        <v>4.72</v>
      </c>
      <c r="P153" s="85">
        <v>99.16</v>
      </c>
      <c r="Q153" s="85">
        <v>2453.4899999999998</v>
      </c>
      <c r="R153" s="82" t="s">
        <v>3399</v>
      </c>
      <c r="S153" s="7">
        <f t="shared" si="7"/>
        <v>0</v>
      </c>
      <c r="T153" s="6">
        <f t="shared" si="8"/>
        <v>0</v>
      </c>
      <c r="U153" s="25">
        <f t="shared" si="6"/>
        <v>0</v>
      </c>
    </row>
    <row r="154" spans="1:21" ht="10.9" customHeight="1" x14ac:dyDescent="0.2">
      <c r="A154" s="82" t="s">
        <v>2301</v>
      </c>
      <c r="B154" s="83">
        <v>45674</v>
      </c>
      <c r="C154" s="82" t="s">
        <v>3395</v>
      </c>
      <c r="D154" s="82" t="s">
        <v>2210</v>
      </c>
      <c r="E154" s="82"/>
      <c r="F154" s="82" t="s">
        <v>4893</v>
      </c>
      <c r="G154" s="89">
        <v>1</v>
      </c>
      <c r="H154" s="89">
        <v>493.27</v>
      </c>
      <c r="I154" s="85">
        <v>0</v>
      </c>
      <c r="J154" s="85">
        <v>24.66</v>
      </c>
      <c r="K154" s="85">
        <v>517.92999999999995</v>
      </c>
      <c r="L154" s="85">
        <v>2453.4899999999998</v>
      </c>
      <c r="M154" s="89">
        <v>493.27</v>
      </c>
      <c r="N154" s="85">
        <v>0</v>
      </c>
      <c r="O154" s="85">
        <v>24.66</v>
      </c>
      <c r="P154" s="85">
        <v>517.92999999999995</v>
      </c>
      <c r="Q154" s="85">
        <v>2453.4899999999998</v>
      </c>
      <c r="R154" s="82" t="s">
        <v>3399</v>
      </c>
      <c r="S154" s="7">
        <f t="shared" si="7"/>
        <v>0</v>
      </c>
      <c r="T154" s="6">
        <f t="shared" si="8"/>
        <v>0</v>
      </c>
      <c r="U154" s="25">
        <f t="shared" si="6"/>
        <v>0</v>
      </c>
    </row>
    <row r="155" spans="1:21" ht="10.9" customHeight="1" x14ac:dyDescent="0.2">
      <c r="A155" s="82" t="s">
        <v>3731</v>
      </c>
      <c r="B155" s="83">
        <v>45674</v>
      </c>
      <c r="C155" s="82" t="s">
        <v>3395</v>
      </c>
      <c r="D155" s="82" t="s">
        <v>3730</v>
      </c>
      <c r="E155" s="82"/>
      <c r="F155" s="82" t="s">
        <v>4968</v>
      </c>
      <c r="G155" s="89">
        <v>1</v>
      </c>
      <c r="H155" s="89">
        <v>1662.14</v>
      </c>
      <c r="I155" s="85">
        <v>0</v>
      </c>
      <c r="J155" s="85">
        <v>83.11</v>
      </c>
      <c r="K155" s="85">
        <v>1745.25</v>
      </c>
      <c r="L155" s="85">
        <v>1745.25</v>
      </c>
      <c r="M155" s="89">
        <v>1662.14</v>
      </c>
      <c r="N155" s="85">
        <v>0</v>
      </c>
      <c r="O155" s="85">
        <v>83.11</v>
      </c>
      <c r="P155" s="85">
        <v>1745.25</v>
      </c>
      <c r="Q155" s="85">
        <v>1745.25</v>
      </c>
      <c r="R155" s="82" t="s">
        <v>3399</v>
      </c>
      <c r="S155" s="7">
        <f t="shared" si="7"/>
        <v>0</v>
      </c>
      <c r="T155" s="6">
        <f t="shared" si="8"/>
        <v>0</v>
      </c>
      <c r="U155" s="25">
        <f t="shared" si="6"/>
        <v>0</v>
      </c>
    </row>
    <row r="156" spans="1:21" ht="10.9" customHeight="1" x14ac:dyDescent="0.2">
      <c r="A156" s="82" t="s">
        <v>2305</v>
      </c>
      <c r="B156" s="83">
        <v>45674</v>
      </c>
      <c r="C156" s="82" t="s">
        <v>3395</v>
      </c>
      <c r="D156" s="82" t="s">
        <v>2201</v>
      </c>
      <c r="E156" s="82"/>
      <c r="F156" s="82" t="s">
        <v>4610</v>
      </c>
      <c r="G156" s="89">
        <v>1</v>
      </c>
      <c r="H156" s="89">
        <v>565.09</v>
      </c>
      <c r="I156" s="85">
        <v>0</v>
      </c>
      <c r="J156" s="85">
        <v>28.25</v>
      </c>
      <c r="K156" s="85">
        <v>593.34</v>
      </c>
      <c r="L156" s="85">
        <v>736.92</v>
      </c>
      <c r="M156" s="89">
        <v>565.09</v>
      </c>
      <c r="N156" s="85">
        <v>0</v>
      </c>
      <c r="O156" s="85">
        <v>28.25</v>
      </c>
      <c r="P156" s="85">
        <v>593.34</v>
      </c>
      <c r="Q156" s="85">
        <v>736.92</v>
      </c>
      <c r="R156" s="82" t="s">
        <v>3399</v>
      </c>
      <c r="S156" s="7">
        <f t="shared" si="7"/>
        <v>0</v>
      </c>
      <c r="T156" s="6">
        <f t="shared" si="8"/>
        <v>0</v>
      </c>
      <c r="U156" s="25">
        <f t="shared" si="6"/>
        <v>0</v>
      </c>
    </row>
    <row r="157" spans="1:21" ht="10.9" customHeight="1" x14ac:dyDescent="0.2">
      <c r="A157" s="82" t="s">
        <v>2305</v>
      </c>
      <c r="B157" s="83">
        <v>45674</v>
      </c>
      <c r="C157" s="82" t="s">
        <v>3395</v>
      </c>
      <c r="D157" s="82" t="s">
        <v>2201</v>
      </c>
      <c r="E157" s="82"/>
      <c r="F157" s="82" t="s">
        <v>5729</v>
      </c>
      <c r="G157" s="89">
        <v>1</v>
      </c>
      <c r="H157" s="89">
        <v>28.42</v>
      </c>
      <c r="I157" s="85">
        <v>0</v>
      </c>
      <c r="J157" s="85">
        <v>1.42</v>
      </c>
      <c r="K157" s="85">
        <v>29.84</v>
      </c>
      <c r="L157" s="85">
        <v>736.92</v>
      </c>
      <c r="M157" s="89">
        <v>28.42</v>
      </c>
      <c r="N157" s="85">
        <v>0</v>
      </c>
      <c r="O157" s="85">
        <v>1.42</v>
      </c>
      <c r="P157" s="85">
        <v>29.84</v>
      </c>
      <c r="Q157" s="85">
        <v>736.92</v>
      </c>
      <c r="R157" s="82" t="s">
        <v>3399</v>
      </c>
      <c r="S157" s="7">
        <f t="shared" si="7"/>
        <v>0</v>
      </c>
      <c r="T157" s="6">
        <f t="shared" si="8"/>
        <v>0</v>
      </c>
      <c r="U157" s="25">
        <f t="shared" si="6"/>
        <v>0</v>
      </c>
    </row>
    <row r="158" spans="1:21" ht="10.9" customHeight="1" x14ac:dyDescent="0.2">
      <c r="A158" s="82" t="s">
        <v>2305</v>
      </c>
      <c r="B158" s="83">
        <v>45674</v>
      </c>
      <c r="C158" s="82" t="s">
        <v>3395</v>
      </c>
      <c r="D158" s="82" t="s">
        <v>2201</v>
      </c>
      <c r="E158" s="82"/>
      <c r="F158" s="82" t="s">
        <v>5031</v>
      </c>
      <c r="G158" s="89">
        <v>1</v>
      </c>
      <c r="H158" s="89">
        <v>28.93</v>
      </c>
      <c r="I158" s="85">
        <v>0</v>
      </c>
      <c r="J158" s="85">
        <v>1.45</v>
      </c>
      <c r="K158" s="85">
        <v>30.38</v>
      </c>
      <c r="L158" s="85">
        <v>736.92</v>
      </c>
      <c r="M158" s="89">
        <v>28.93</v>
      </c>
      <c r="N158" s="85">
        <v>0</v>
      </c>
      <c r="O158" s="85">
        <v>1.45</v>
      </c>
      <c r="P158" s="85">
        <v>30.38</v>
      </c>
      <c r="Q158" s="85">
        <v>736.92</v>
      </c>
      <c r="R158" s="82" t="s">
        <v>3399</v>
      </c>
      <c r="S158" s="7">
        <f t="shared" si="7"/>
        <v>0</v>
      </c>
      <c r="T158" s="6">
        <f t="shared" si="8"/>
        <v>0</v>
      </c>
      <c r="U158" s="25">
        <f t="shared" si="6"/>
        <v>0</v>
      </c>
    </row>
    <row r="159" spans="1:21" ht="10.9" customHeight="1" x14ac:dyDescent="0.2">
      <c r="A159" s="82" t="s">
        <v>2305</v>
      </c>
      <c r="B159" s="83">
        <v>45674</v>
      </c>
      <c r="C159" s="82" t="s">
        <v>3395</v>
      </c>
      <c r="D159" s="82" t="s">
        <v>2201</v>
      </c>
      <c r="E159" s="82"/>
      <c r="F159" s="82" t="s">
        <v>4964</v>
      </c>
      <c r="G159" s="89">
        <v>1</v>
      </c>
      <c r="H159" s="89">
        <v>79.39</v>
      </c>
      <c r="I159" s="85">
        <v>0</v>
      </c>
      <c r="J159" s="85">
        <v>3.97</v>
      </c>
      <c r="K159" s="85">
        <v>83.36</v>
      </c>
      <c r="L159" s="85">
        <v>736.92</v>
      </c>
      <c r="M159" s="89">
        <v>79.39</v>
      </c>
      <c r="N159" s="85">
        <v>0</v>
      </c>
      <c r="O159" s="85">
        <v>3.97</v>
      </c>
      <c r="P159" s="85">
        <v>83.36</v>
      </c>
      <c r="Q159" s="85">
        <v>736.92</v>
      </c>
      <c r="R159" s="82" t="s">
        <v>3399</v>
      </c>
      <c r="S159" s="7">
        <f t="shared" si="7"/>
        <v>0</v>
      </c>
      <c r="T159" s="6">
        <f t="shared" si="8"/>
        <v>0</v>
      </c>
      <c r="U159" s="25">
        <f t="shared" si="6"/>
        <v>0</v>
      </c>
    </row>
    <row r="160" spans="1:21" ht="10.9" customHeight="1" x14ac:dyDescent="0.2">
      <c r="A160" s="82" t="s">
        <v>3725</v>
      </c>
      <c r="B160" s="83">
        <v>45674</v>
      </c>
      <c r="C160" s="82" t="s">
        <v>3395</v>
      </c>
      <c r="D160" s="82" t="s">
        <v>3724</v>
      </c>
      <c r="E160" s="82"/>
      <c r="F160" s="82" t="s">
        <v>5732</v>
      </c>
      <c r="G160" s="89">
        <v>2</v>
      </c>
      <c r="H160" s="89">
        <v>1387.73</v>
      </c>
      <c r="I160" s="85">
        <v>0</v>
      </c>
      <c r="J160" s="85">
        <v>360.81</v>
      </c>
      <c r="K160" s="85">
        <v>3136.27</v>
      </c>
      <c r="L160" s="85">
        <v>3643.39</v>
      </c>
      <c r="M160" s="89">
        <v>1387.73</v>
      </c>
      <c r="N160" s="85">
        <v>0</v>
      </c>
      <c r="O160" s="85">
        <v>360.81</v>
      </c>
      <c r="P160" s="85">
        <v>3136.27</v>
      </c>
      <c r="Q160" s="85">
        <v>3643.39</v>
      </c>
      <c r="R160" s="82" t="s">
        <v>3399</v>
      </c>
      <c r="S160" s="7">
        <f t="shared" si="7"/>
        <v>0</v>
      </c>
      <c r="T160" s="6">
        <f t="shared" si="8"/>
        <v>0</v>
      </c>
      <c r="U160" s="25">
        <f t="shared" si="6"/>
        <v>0</v>
      </c>
    </row>
    <row r="161" spans="1:21" ht="10.9" customHeight="1" x14ac:dyDescent="0.2">
      <c r="A161" s="82" t="s">
        <v>3725</v>
      </c>
      <c r="B161" s="83">
        <v>45674</v>
      </c>
      <c r="C161" s="82" t="s">
        <v>3395</v>
      </c>
      <c r="D161" s="82" t="s">
        <v>3724</v>
      </c>
      <c r="E161" s="82"/>
      <c r="F161" s="82" t="s">
        <v>5686</v>
      </c>
      <c r="G161" s="89">
        <v>1</v>
      </c>
      <c r="H161" s="89">
        <v>448.78</v>
      </c>
      <c r="I161" s="85">
        <v>0</v>
      </c>
      <c r="J161" s="85">
        <v>58.34</v>
      </c>
      <c r="K161" s="85">
        <v>507.12</v>
      </c>
      <c r="L161" s="85">
        <v>3643.39</v>
      </c>
      <c r="M161" s="89">
        <v>448.78</v>
      </c>
      <c r="N161" s="85">
        <v>0</v>
      </c>
      <c r="O161" s="85">
        <v>58.34</v>
      </c>
      <c r="P161" s="85">
        <v>507.12</v>
      </c>
      <c r="Q161" s="85">
        <v>3643.39</v>
      </c>
      <c r="R161" s="82" t="s">
        <v>3399</v>
      </c>
      <c r="S161" s="7">
        <f t="shared" si="7"/>
        <v>0</v>
      </c>
      <c r="T161" s="6">
        <f t="shared" si="8"/>
        <v>0</v>
      </c>
      <c r="U161" s="25">
        <f t="shared" si="6"/>
        <v>0</v>
      </c>
    </row>
    <row r="162" spans="1:21" ht="10.9" customHeight="1" x14ac:dyDescent="0.2">
      <c r="A162" s="82" t="s">
        <v>2282</v>
      </c>
      <c r="B162" s="83">
        <v>45674</v>
      </c>
      <c r="C162" s="82" t="s">
        <v>3395</v>
      </c>
      <c r="D162" s="82" t="s">
        <v>2244</v>
      </c>
      <c r="E162" s="82"/>
      <c r="F162" s="82" t="s">
        <v>4495</v>
      </c>
      <c r="G162" s="89">
        <v>1</v>
      </c>
      <c r="H162" s="89">
        <v>209.87</v>
      </c>
      <c r="I162" s="85">
        <v>0</v>
      </c>
      <c r="J162" s="85">
        <v>10.49</v>
      </c>
      <c r="K162" s="85">
        <v>220.36</v>
      </c>
      <c r="L162" s="85">
        <v>1036.94</v>
      </c>
      <c r="M162" s="89">
        <v>209.87</v>
      </c>
      <c r="N162" s="85">
        <v>0</v>
      </c>
      <c r="O162" s="85">
        <v>10.49</v>
      </c>
      <c r="P162" s="85">
        <v>220.36</v>
      </c>
      <c r="Q162" s="85">
        <v>1036.94</v>
      </c>
      <c r="R162" s="82" t="s">
        <v>3399</v>
      </c>
      <c r="S162" s="7">
        <f t="shared" si="7"/>
        <v>0</v>
      </c>
      <c r="T162" s="6">
        <f t="shared" si="8"/>
        <v>0</v>
      </c>
      <c r="U162" s="25">
        <f t="shared" si="6"/>
        <v>0</v>
      </c>
    </row>
    <row r="163" spans="1:21" ht="10.9" customHeight="1" x14ac:dyDescent="0.2">
      <c r="A163" s="82" t="s">
        <v>2282</v>
      </c>
      <c r="B163" s="83">
        <v>45674</v>
      </c>
      <c r="C163" s="82" t="s">
        <v>3395</v>
      </c>
      <c r="D163" s="82" t="s">
        <v>2244</v>
      </c>
      <c r="E163" s="82"/>
      <c r="F163" s="82" t="s">
        <v>5728</v>
      </c>
      <c r="G163" s="89">
        <v>1</v>
      </c>
      <c r="H163" s="89">
        <v>639.04999999999995</v>
      </c>
      <c r="I163" s="85">
        <v>0</v>
      </c>
      <c r="J163" s="85">
        <v>31.95</v>
      </c>
      <c r="K163" s="85">
        <v>671</v>
      </c>
      <c r="L163" s="85">
        <v>1036.94</v>
      </c>
      <c r="M163" s="89">
        <v>639.04999999999995</v>
      </c>
      <c r="N163" s="85">
        <v>0</v>
      </c>
      <c r="O163" s="85">
        <v>31.95</v>
      </c>
      <c r="P163" s="85">
        <v>671</v>
      </c>
      <c r="Q163" s="85">
        <v>1036.94</v>
      </c>
      <c r="R163" s="82" t="s">
        <v>3399</v>
      </c>
      <c r="S163" s="7">
        <f t="shared" si="7"/>
        <v>0</v>
      </c>
      <c r="T163" s="6">
        <f t="shared" si="8"/>
        <v>0</v>
      </c>
      <c r="U163" s="25">
        <f t="shared" si="6"/>
        <v>0</v>
      </c>
    </row>
    <row r="164" spans="1:21" ht="10.9" customHeight="1" x14ac:dyDescent="0.2">
      <c r="A164" s="82" t="s">
        <v>2282</v>
      </c>
      <c r="B164" s="83">
        <v>45674</v>
      </c>
      <c r="C164" s="82" t="s">
        <v>3395</v>
      </c>
      <c r="D164" s="82" t="s">
        <v>2244</v>
      </c>
      <c r="E164" s="82"/>
      <c r="F164" s="82" t="s">
        <v>5030</v>
      </c>
      <c r="G164" s="89">
        <v>1</v>
      </c>
      <c r="H164" s="89">
        <v>138.65</v>
      </c>
      <c r="I164" s="85">
        <v>0</v>
      </c>
      <c r="J164" s="85">
        <v>6.93</v>
      </c>
      <c r="K164" s="85">
        <v>145.58000000000001</v>
      </c>
      <c r="L164" s="85">
        <v>1036.94</v>
      </c>
      <c r="M164" s="89">
        <v>138.65</v>
      </c>
      <c r="N164" s="85">
        <v>0</v>
      </c>
      <c r="O164" s="85">
        <v>6.93</v>
      </c>
      <c r="P164" s="85">
        <v>145.58000000000001</v>
      </c>
      <c r="Q164" s="85">
        <v>1036.94</v>
      </c>
      <c r="R164" s="82" t="s">
        <v>3399</v>
      </c>
      <c r="S164" s="7">
        <f t="shared" si="7"/>
        <v>0</v>
      </c>
      <c r="T164" s="6">
        <f t="shared" si="8"/>
        <v>0</v>
      </c>
      <c r="U164" s="25">
        <f t="shared" si="6"/>
        <v>0</v>
      </c>
    </row>
    <row r="165" spans="1:21" ht="10.9" customHeight="1" x14ac:dyDescent="0.2">
      <c r="A165" s="82"/>
      <c r="B165" s="83">
        <v>45674</v>
      </c>
      <c r="C165" s="82" t="s">
        <v>3423</v>
      </c>
      <c r="D165" s="82" t="s">
        <v>3732</v>
      </c>
      <c r="E165" s="82"/>
      <c r="F165" s="82" t="s">
        <v>5727</v>
      </c>
      <c r="G165" s="89">
        <v>-1</v>
      </c>
      <c r="H165" s="89">
        <v>7148</v>
      </c>
      <c r="I165" s="85">
        <v>0</v>
      </c>
      <c r="J165" s="85">
        <v>0</v>
      </c>
      <c r="K165" s="85">
        <v>-7148</v>
      </c>
      <c r="L165" s="85">
        <v>-7148</v>
      </c>
      <c r="M165" s="89">
        <v>10349.595673672095</v>
      </c>
      <c r="N165" s="85">
        <v>0</v>
      </c>
      <c r="O165" s="85">
        <v>0</v>
      </c>
      <c r="P165" s="85">
        <v>-10349.595673672095</v>
      </c>
      <c r="Q165" s="85">
        <v>-10349.595673672095</v>
      </c>
      <c r="R165" s="82" t="s">
        <v>3399</v>
      </c>
      <c r="S165" s="7">
        <f t="shared" si="7"/>
        <v>0</v>
      </c>
      <c r="T165" s="6">
        <f t="shared" si="8"/>
        <v>0</v>
      </c>
      <c r="U165" s="25">
        <f t="shared" si="6"/>
        <v>0</v>
      </c>
    </row>
    <row r="166" spans="1:21" ht="10.9" customHeight="1" x14ac:dyDescent="0.2">
      <c r="A166" s="82" t="s">
        <v>2319</v>
      </c>
      <c r="B166" s="83">
        <v>45677</v>
      </c>
      <c r="C166" s="82" t="s">
        <v>3395</v>
      </c>
      <c r="D166" s="82" t="s">
        <v>2174</v>
      </c>
      <c r="E166" s="82"/>
      <c r="F166" s="82" t="s">
        <v>5393</v>
      </c>
      <c r="G166" s="89">
        <v>30</v>
      </c>
      <c r="H166" s="89">
        <v>36</v>
      </c>
      <c r="I166" s="85">
        <v>0</v>
      </c>
      <c r="J166" s="85">
        <v>0</v>
      </c>
      <c r="K166" s="85">
        <v>1080</v>
      </c>
      <c r="L166" s="85">
        <v>5986</v>
      </c>
      <c r="M166" s="89">
        <v>51.510251970982559</v>
      </c>
      <c r="N166" s="85">
        <v>0</v>
      </c>
      <c r="O166" s="85">
        <v>0</v>
      </c>
      <c r="P166" s="85">
        <v>1545.3075591294767</v>
      </c>
      <c r="Q166" s="85">
        <v>8565.0102305083783</v>
      </c>
      <c r="R166" s="82" t="s">
        <v>3399</v>
      </c>
      <c r="S166" s="7">
        <f t="shared" si="7"/>
        <v>0</v>
      </c>
      <c r="T166" s="6">
        <f t="shared" si="8"/>
        <v>0</v>
      </c>
      <c r="U166" s="25">
        <f t="shared" si="6"/>
        <v>0</v>
      </c>
    </row>
    <row r="167" spans="1:21" ht="10.9" customHeight="1" x14ac:dyDescent="0.2">
      <c r="A167" s="82" t="s">
        <v>2319</v>
      </c>
      <c r="B167" s="83">
        <v>45677</v>
      </c>
      <c r="C167" s="82" t="s">
        <v>3395</v>
      </c>
      <c r="D167" s="82" t="s">
        <v>2174</v>
      </c>
      <c r="E167" s="82"/>
      <c r="F167" s="82" t="s">
        <v>5725</v>
      </c>
      <c r="G167" s="89">
        <v>10</v>
      </c>
      <c r="H167" s="89">
        <v>452</v>
      </c>
      <c r="I167" s="85">
        <v>0</v>
      </c>
      <c r="J167" s="85">
        <v>0</v>
      </c>
      <c r="K167" s="85">
        <v>4520</v>
      </c>
      <c r="L167" s="85">
        <v>5986</v>
      </c>
      <c r="M167" s="89">
        <v>646.7398303023366</v>
      </c>
      <c r="N167" s="85">
        <v>0</v>
      </c>
      <c r="O167" s="85">
        <v>0</v>
      </c>
      <c r="P167" s="85">
        <v>6467.3983030233658</v>
      </c>
      <c r="Q167" s="85">
        <v>8565.0102305083783</v>
      </c>
      <c r="R167" s="82" t="s">
        <v>3399</v>
      </c>
      <c r="S167" s="7">
        <f t="shared" si="7"/>
        <v>0</v>
      </c>
      <c r="T167" s="6">
        <f t="shared" si="8"/>
        <v>0</v>
      </c>
      <c r="U167" s="25">
        <f t="shared" si="6"/>
        <v>0</v>
      </c>
    </row>
    <row r="168" spans="1:21" ht="10.9" customHeight="1" x14ac:dyDescent="0.2">
      <c r="A168" s="82" t="s">
        <v>2319</v>
      </c>
      <c r="B168" s="83">
        <v>45677</v>
      </c>
      <c r="C168" s="82" t="s">
        <v>3395</v>
      </c>
      <c r="D168" s="82" t="s">
        <v>2174</v>
      </c>
      <c r="E168" s="82"/>
      <c r="F168" s="82" t="s">
        <v>4393</v>
      </c>
      <c r="G168" s="89">
        <v>1</v>
      </c>
      <c r="H168" s="89">
        <v>386</v>
      </c>
      <c r="I168" s="85">
        <v>0</v>
      </c>
      <c r="J168" s="85">
        <v>0</v>
      </c>
      <c r="K168" s="85">
        <v>386</v>
      </c>
      <c r="L168" s="85">
        <v>5986</v>
      </c>
      <c r="M168" s="89">
        <v>552.30436835553519</v>
      </c>
      <c r="N168" s="85">
        <v>0</v>
      </c>
      <c r="O168" s="85">
        <v>0</v>
      </c>
      <c r="P168" s="85">
        <v>552.30436835553519</v>
      </c>
      <c r="Q168" s="85">
        <v>8565.0102305083783</v>
      </c>
      <c r="R168" s="82" t="s">
        <v>3399</v>
      </c>
      <c r="S168" s="7" t="str">
        <f t="shared" si="7"/>
        <v>INV12544</v>
      </c>
      <c r="T168" s="6">
        <f t="shared" si="8"/>
        <v>1</v>
      </c>
      <c r="U168" s="25">
        <f t="shared" si="6"/>
        <v>386</v>
      </c>
    </row>
    <row r="169" spans="1:21" ht="10.9" customHeight="1" x14ac:dyDescent="0.2">
      <c r="A169" s="82" t="s">
        <v>2322</v>
      </c>
      <c r="B169" s="83">
        <v>45677</v>
      </c>
      <c r="C169" s="82" t="s">
        <v>3395</v>
      </c>
      <c r="D169" s="82" t="s">
        <v>2168</v>
      </c>
      <c r="E169" s="82"/>
      <c r="F169" s="82" t="s">
        <v>4518</v>
      </c>
      <c r="G169" s="89">
        <v>1</v>
      </c>
      <c r="H169" s="89">
        <v>399.73</v>
      </c>
      <c r="I169" s="85">
        <v>0</v>
      </c>
      <c r="J169" s="85">
        <v>0</v>
      </c>
      <c r="K169" s="85">
        <v>399.73</v>
      </c>
      <c r="L169" s="85">
        <v>1641.63</v>
      </c>
      <c r="M169" s="89">
        <v>576.25466901360733</v>
      </c>
      <c r="N169" s="85">
        <v>0</v>
      </c>
      <c r="O169" s="85">
        <v>0</v>
      </c>
      <c r="P169" s="85">
        <v>576.25466901360733</v>
      </c>
      <c r="Q169" s="85">
        <v>2366.5898288665053</v>
      </c>
      <c r="R169" s="82" t="s">
        <v>3399</v>
      </c>
      <c r="S169" s="7">
        <f t="shared" si="7"/>
        <v>0</v>
      </c>
      <c r="T169" s="6">
        <f t="shared" si="8"/>
        <v>0</v>
      </c>
      <c r="U169" s="25">
        <f t="shared" si="6"/>
        <v>0</v>
      </c>
    </row>
    <row r="170" spans="1:21" ht="10.9" customHeight="1" x14ac:dyDescent="0.2">
      <c r="A170" s="82" t="s">
        <v>2322</v>
      </c>
      <c r="B170" s="83">
        <v>45677</v>
      </c>
      <c r="C170" s="82" t="s">
        <v>3395</v>
      </c>
      <c r="D170" s="82" t="s">
        <v>2168</v>
      </c>
      <c r="E170" s="82"/>
      <c r="F170" s="82" t="s">
        <v>4517</v>
      </c>
      <c r="G170" s="89">
        <v>1</v>
      </c>
      <c r="H170" s="89">
        <v>734.78</v>
      </c>
      <c r="I170" s="85">
        <v>0</v>
      </c>
      <c r="J170" s="85">
        <v>0</v>
      </c>
      <c r="K170" s="85">
        <v>734.78</v>
      </c>
      <c r="L170" s="85">
        <v>1641.63</v>
      </c>
      <c r="M170" s="89">
        <v>1059.2660188072409</v>
      </c>
      <c r="N170" s="85">
        <v>0</v>
      </c>
      <c r="O170" s="85">
        <v>0</v>
      </c>
      <c r="P170" s="85">
        <v>1059.2660188072409</v>
      </c>
      <c r="Q170" s="85">
        <v>2366.5898288665053</v>
      </c>
      <c r="R170" s="82" t="s">
        <v>3399</v>
      </c>
      <c r="S170" s="7">
        <f t="shared" si="7"/>
        <v>0</v>
      </c>
      <c r="T170" s="6">
        <f t="shared" si="8"/>
        <v>0</v>
      </c>
      <c r="U170" s="25">
        <f t="shared" si="6"/>
        <v>0</v>
      </c>
    </row>
    <row r="171" spans="1:21" ht="10.9" customHeight="1" x14ac:dyDescent="0.2">
      <c r="A171" s="82" t="s">
        <v>2322</v>
      </c>
      <c r="B171" s="83">
        <v>45677</v>
      </c>
      <c r="C171" s="82" t="s">
        <v>3395</v>
      </c>
      <c r="D171" s="82" t="s">
        <v>2168</v>
      </c>
      <c r="E171" s="82"/>
      <c r="F171" s="82" t="s">
        <v>4439</v>
      </c>
      <c r="G171" s="89">
        <v>1</v>
      </c>
      <c r="H171" s="89">
        <v>14.59</v>
      </c>
      <c r="I171" s="85">
        <v>0</v>
      </c>
      <c r="J171" s="85">
        <v>0</v>
      </c>
      <c r="K171" s="85">
        <v>14.59</v>
      </c>
      <c r="L171" s="85">
        <v>1641.63</v>
      </c>
      <c r="M171" s="89">
        <v>21.033086385581594</v>
      </c>
      <c r="N171" s="85">
        <v>0</v>
      </c>
      <c r="O171" s="85">
        <v>0</v>
      </c>
      <c r="P171" s="85">
        <v>21.033086385581594</v>
      </c>
      <c r="Q171" s="85">
        <v>2366.5898288665053</v>
      </c>
      <c r="R171" s="82" t="s">
        <v>3399</v>
      </c>
      <c r="S171" s="7">
        <f t="shared" si="7"/>
        <v>0</v>
      </c>
      <c r="T171" s="6">
        <f t="shared" si="8"/>
        <v>0</v>
      </c>
      <c r="U171" s="25">
        <f t="shared" si="6"/>
        <v>0</v>
      </c>
    </row>
    <row r="172" spans="1:21" ht="10.9" customHeight="1" x14ac:dyDescent="0.2">
      <c r="A172" s="82" t="s">
        <v>2322</v>
      </c>
      <c r="B172" s="83">
        <v>45677</v>
      </c>
      <c r="C172" s="82" t="s">
        <v>3395</v>
      </c>
      <c r="D172" s="82" t="s">
        <v>2168</v>
      </c>
      <c r="E172" s="82"/>
      <c r="F172" s="82" t="s">
        <v>4591</v>
      </c>
      <c r="G172" s="89">
        <v>1</v>
      </c>
      <c r="H172" s="89">
        <v>127.76</v>
      </c>
      <c r="I172" s="85">
        <v>0</v>
      </c>
      <c r="J172" s="85">
        <v>0</v>
      </c>
      <c r="K172" s="85">
        <v>127.76</v>
      </c>
      <c r="L172" s="85">
        <v>1641.63</v>
      </c>
      <c r="M172" s="89">
        <v>184.1800628253533</v>
      </c>
      <c r="N172" s="85">
        <v>0</v>
      </c>
      <c r="O172" s="85">
        <v>0</v>
      </c>
      <c r="P172" s="85">
        <v>184.1800628253533</v>
      </c>
      <c r="Q172" s="85">
        <v>2366.5898288665053</v>
      </c>
      <c r="R172" s="82" t="s">
        <v>3399</v>
      </c>
      <c r="S172" s="7">
        <f t="shared" si="7"/>
        <v>0</v>
      </c>
      <c r="T172" s="6">
        <f t="shared" si="8"/>
        <v>0</v>
      </c>
      <c r="U172" s="25">
        <f t="shared" si="6"/>
        <v>0</v>
      </c>
    </row>
    <row r="173" spans="1:21" ht="10.9" customHeight="1" x14ac:dyDescent="0.2">
      <c r="A173" s="82" t="s">
        <v>2322</v>
      </c>
      <c r="B173" s="83">
        <v>45677</v>
      </c>
      <c r="C173" s="82" t="s">
        <v>3395</v>
      </c>
      <c r="D173" s="82" t="s">
        <v>2168</v>
      </c>
      <c r="E173" s="82"/>
      <c r="F173" s="82" t="s">
        <v>4590</v>
      </c>
      <c r="G173" s="89">
        <v>1</v>
      </c>
      <c r="H173" s="89">
        <v>129.88</v>
      </c>
      <c r="I173" s="85">
        <v>0</v>
      </c>
      <c r="J173" s="85">
        <v>0</v>
      </c>
      <c r="K173" s="85">
        <v>129.88</v>
      </c>
      <c r="L173" s="85">
        <v>1641.63</v>
      </c>
      <c r="M173" s="89">
        <v>187.23627551469073</v>
      </c>
      <c r="N173" s="85">
        <v>0</v>
      </c>
      <c r="O173" s="85">
        <v>0</v>
      </c>
      <c r="P173" s="85">
        <v>187.23627551469073</v>
      </c>
      <c r="Q173" s="85">
        <v>2366.5898288665053</v>
      </c>
      <c r="R173" s="82" t="s">
        <v>3399</v>
      </c>
      <c r="S173" s="7">
        <f t="shared" si="7"/>
        <v>0</v>
      </c>
      <c r="T173" s="6">
        <f t="shared" si="8"/>
        <v>0</v>
      </c>
      <c r="U173" s="25">
        <f t="shared" si="6"/>
        <v>0</v>
      </c>
    </row>
    <row r="174" spans="1:21" ht="10.9" customHeight="1" x14ac:dyDescent="0.2">
      <c r="A174" s="82" t="s">
        <v>2322</v>
      </c>
      <c r="B174" s="83">
        <v>45677</v>
      </c>
      <c r="C174" s="82" t="s">
        <v>3395</v>
      </c>
      <c r="D174" s="82" t="s">
        <v>2168</v>
      </c>
      <c r="E174" s="82"/>
      <c r="F174" s="82" t="s">
        <v>4589</v>
      </c>
      <c r="G174" s="89">
        <v>1</v>
      </c>
      <c r="H174" s="89">
        <v>161.5</v>
      </c>
      <c r="I174" s="85">
        <v>0</v>
      </c>
      <c r="J174" s="85">
        <v>0</v>
      </c>
      <c r="K174" s="85">
        <v>161.5</v>
      </c>
      <c r="L174" s="85">
        <v>1641.63</v>
      </c>
      <c r="M174" s="89">
        <v>232.8199760981102</v>
      </c>
      <c r="N174" s="85">
        <v>0</v>
      </c>
      <c r="O174" s="85">
        <v>0</v>
      </c>
      <c r="P174" s="85">
        <v>232.8199760981102</v>
      </c>
      <c r="Q174" s="85">
        <v>2366.5898288665053</v>
      </c>
      <c r="R174" s="82" t="s">
        <v>3399</v>
      </c>
      <c r="S174" s="7">
        <f t="shared" si="7"/>
        <v>0</v>
      </c>
      <c r="T174" s="6">
        <f t="shared" si="8"/>
        <v>0</v>
      </c>
      <c r="U174" s="25">
        <f t="shared" si="6"/>
        <v>0</v>
      </c>
    </row>
    <row r="175" spans="1:21" ht="10.9" customHeight="1" x14ac:dyDescent="0.2">
      <c r="A175" s="82" t="s">
        <v>2322</v>
      </c>
      <c r="B175" s="83">
        <v>45677</v>
      </c>
      <c r="C175" s="82" t="s">
        <v>3395</v>
      </c>
      <c r="D175" s="82" t="s">
        <v>2168</v>
      </c>
      <c r="E175" s="82"/>
      <c r="F175" s="82" t="s">
        <v>4588</v>
      </c>
      <c r="G175" s="89">
        <v>1</v>
      </c>
      <c r="H175" s="89">
        <v>35.47</v>
      </c>
      <c r="I175" s="85">
        <v>0</v>
      </c>
      <c r="J175" s="85">
        <v>0</v>
      </c>
      <c r="K175" s="85">
        <v>35.47</v>
      </c>
      <c r="L175" s="85">
        <v>1641.63</v>
      </c>
      <c r="M175" s="89">
        <v>51.133898156036956</v>
      </c>
      <c r="N175" s="85">
        <v>0</v>
      </c>
      <c r="O175" s="85">
        <v>0</v>
      </c>
      <c r="P175" s="85">
        <v>51.133898156036956</v>
      </c>
      <c r="Q175" s="85">
        <v>2366.5898288665053</v>
      </c>
      <c r="R175" s="82" t="s">
        <v>3399</v>
      </c>
      <c r="S175" s="7">
        <f t="shared" si="7"/>
        <v>0</v>
      </c>
      <c r="T175" s="6">
        <f t="shared" si="8"/>
        <v>0</v>
      </c>
      <c r="U175" s="25">
        <f t="shared" si="6"/>
        <v>0</v>
      </c>
    </row>
    <row r="176" spans="1:21" ht="10.9" customHeight="1" x14ac:dyDescent="0.2">
      <c r="A176" s="82" t="s">
        <v>2322</v>
      </c>
      <c r="B176" s="83">
        <v>45677</v>
      </c>
      <c r="C176" s="82" t="s">
        <v>3395</v>
      </c>
      <c r="D176" s="82" t="s">
        <v>2168</v>
      </c>
      <c r="E176" s="82"/>
      <c r="F176" s="82" t="s">
        <v>4587</v>
      </c>
      <c r="G176" s="89">
        <v>1</v>
      </c>
      <c r="H176" s="89">
        <v>37.92</v>
      </c>
      <c r="I176" s="85">
        <v>0</v>
      </c>
      <c r="J176" s="85">
        <v>0</v>
      </c>
      <c r="K176" s="85">
        <v>37.92</v>
      </c>
      <c r="L176" s="85">
        <v>1641.63</v>
      </c>
      <c r="M176" s="89">
        <v>54.665842065884448</v>
      </c>
      <c r="N176" s="85">
        <v>0</v>
      </c>
      <c r="O176" s="85">
        <v>0</v>
      </c>
      <c r="P176" s="85">
        <v>54.665842065884448</v>
      </c>
      <c r="Q176" s="85">
        <v>2366.5898288665053</v>
      </c>
      <c r="R176" s="82" t="s">
        <v>3399</v>
      </c>
      <c r="S176" s="7">
        <f t="shared" si="7"/>
        <v>0</v>
      </c>
      <c r="T176" s="6">
        <f t="shared" si="8"/>
        <v>0</v>
      </c>
      <c r="U176" s="25">
        <f t="shared" si="6"/>
        <v>0</v>
      </c>
    </row>
    <row r="177" spans="1:21" ht="10.9" customHeight="1" x14ac:dyDescent="0.2">
      <c r="A177" s="82" t="s">
        <v>3721</v>
      </c>
      <c r="B177" s="83">
        <v>45677</v>
      </c>
      <c r="C177" s="82" t="s">
        <v>3395</v>
      </c>
      <c r="D177" s="82" t="s">
        <v>3720</v>
      </c>
      <c r="E177" s="82"/>
      <c r="F177" s="82" t="s">
        <v>5726</v>
      </c>
      <c r="G177" s="89">
        <v>1</v>
      </c>
      <c r="H177" s="89">
        <v>2689.9</v>
      </c>
      <c r="I177" s="85">
        <v>0</v>
      </c>
      <c r="J177" s="85">
        <v>134.5</v>
      </c>
      <c r="K177" s="85">
        <v>2824.4</v>
      </c>
      <c r="L177" s="85">
        <v>2824.4</v>
      </c>
      <c r="M177" s="89">
        <v>2689.9</v>
      </c>
      <c r="N177" s="85">
        <v>0</v>
      </c>
      <c r="O177" s="85">
        <v>134.5</v>
      </c>
      <c r="P177" s="85">
        <v>2824.4</v>
      </c>
      <c r="Q177" s="85">
        <v>2824.4</v>
      </c>
      <c r="R177" s="82" t="s">
        <v>3399</v>
      </c>
      <c r="S177" s="7">
        <f t="shared" si="7"/>
        <v>0</v>
      </c>
      <c r="T177" s="6">
        <f t="shared" si="8"/>
        <v>0</v>
      </c>
      <c r="U177" s="25">
        <f t="shared" si="6"/>
        <v>0</v>
      </c>
    </row>
    <row r="178" spans="1:21" ht="10.9" customHeight="1" x14ac:dyDescent="0.2">
      <c r="A178" s="82" t="s">
        <v>3723</v>
      </c>
      <c r="B178" s="83">
        <v>45677</v>
      </c>
      <c r="C178" s="82" t="s">
        <v>3395</v>
      </c>
      <c r="D178" s="82" t="s">
        <v>3722</v>
      </c>
      <c r="E178" s="82"/>
      <c r="F178" s="82" t="s">
        <v>5043</v>
      </c>
      <c r="G178" s="89">
        <v>1</v>
      </c>
      <c r="H178" s="89">
        <v>4978.7299999999996</v>
      </c>
      <c r="I178" s="85">
        <v>0</v>
      </c>
      <c r="J178" s="85">
        <v>647.23</v>
      </c>
      <c r="K178" s="85">
        <v>5625.96</v>
      </c>
      <c r="L178" s="85">
        <v>5625.96</v>
      </c>
      <c r="M178" s="89">
        <v>4978.7299999999996</v>
      </c>
      <c r="N178" s="85">
        <v>0</v>
      </c>
      <c r="O178" s="85">
        <v>647.23</v>
      </c>
      <c r="P178" s="85">
        <v>5625.96</v>
      </c>
      <c r="Q178" s="85">
        <v>5625.96</v>
      </c>
      <c r="R178" s="82" t="s">
        <v>3399</v>
      </c>
      <c r="S178" s="7">
        <f t="shared" si="7"/>
        <v>0</v>
      </c>
      <c r="T178" s="6">
        <f t="shared" si="8"/>
        <v>0</v>
      </c>
      <c r="U178" s="25">
        <f t="shared" si="6"/>
        <v>0</v>
      </c>
    </row>
    <row r="179" spans="1:21" ht="10.9" customHeight="1" x14ac:dyDescent="0.2">
      <c r="A179" s="82" t="s">
        <v>3719</v>
      </c>
      <c r="B179" s="83">
        <v>45678</v>
      </c>
      <c r="C179" s="82" t="s">
        <v>3395</v>
      </c>
      <c r="D179" s="82" t="s">
        <v>3718</v>
      </c>
      <c r="E179" s="82"/>
      <c r="F179" s="82" t="s">
        <v>5724</v>
      </c>
      <c r="G179" s="89">
        <v>5</v>
      </c>
      <c r="H179" s="89">
        <v>220.68</v>
      </c>
      <c r="I179" s="85">
        <v>0</v>
      </c>
      <c r="J179" s="85">
        <v>143.44</v>
      </c>
      <c r="K179" s="85">
        <v>1246.8399999999999</v>
      </c>
      <c r="L179" s="85">
        <v>9075.7099999999991</v>
      </c>
      <c r="M179" s="89">
        <v>220.68</v>
      </c>
      <c r="N179" s="85">
        <v>0</v>
      </c>
      <c r="O179" s="85">
        <v>143.44</v>
      </c>
      <c r="P179" s="85">
        <v>1246.8399999999999</v>
      </c>
      <c r="Q179" s="85">
        <v>9075.7099999999991</v>
      </c>
      <c r="R179" s="82" t="s">
        <v>3399</v>
      </c>
      <c r="S179" s="7">
        <f t="shared" si="7"/>
        <v>0</v>
      </c>
      <c r="T179" s="6">
        <f t="shared" si="8"/>
        <v>0</v>
      </c>
      <c r="U179" s="25">
        <f t="shared" si="6"/>
        <v>0</v>
      </c>
    </row>
    <row r="180" spans="1:21" ht="10.9" customHeight="1" x14ac:dyDescent="0.2">
      <c r="A180" s="82" t="s">
        <v>3719</v>
      </c>
      <c r="B180" s="83">
        <v>45678</v>
      </c>
      <c r="C180" s="82" t="s">
        <v>3395</v>
      </c>
      <c r="D180" s="82" t="s">
        <v>3718</v>
      </c>
      <c r="E180" s="82"/>
      <c r="F180" s="82" t="s">
        <v>5723</v>
      </c>
      <c r="G180" s="89">
        <v>5</v>
      </c>
      <c r="H180" s="89">
        <v>337.85</v>
      </c>
      <c r="I180" s="85">
        <v>0</v>
      </c>
      <c r="J180" s="85">
        <v>219.6</v>
      </c>
      <c r="K180" s="85">
        <v>1908.85</v>
      </c>
      <c r="L180" s="85">
        <v>9075.7099999999991</v>
      </c>
      <c r="M180" s="89">
        <v>337.85</v>
      </c>
      <c r="N180" s="85">
        <v>0</v>
      </c>
      <c r="O180" s="85">
        <v>219.6</v>
      </c>
      <c r="P180" s="85">
        <v>1908.85</v>
      </c>
      <c r="Q180" s="85">
        <v>9075.7099999999991</v>
      </c>
      <c r="R180" s="82" t="s">
        <v>3399</v>
      </c>
      <c r="S180" s="7">
        <f t="shared" si="7"/>
        <v>0</v>
      </c>
      <c r="T180" s="6">
        <f t="shared" si="8"/>
        <v>0</v>
      </c>
      <c r="U180" s="25">
        <f t="shared" si="6"/>
        <v>0</v>
      </c>
    </row>
    <row r="181" spans="1:21" ht="10.9" customHeight="1" x14ac:dyDescent="0.2">
      <c r="A181" s="82" t="s">
        <v>3719</v>
      </c>
      <c r="B181" s="83">
        <v>45678</v>
      </c>
      <c r="C181" s="82" t="s">
        <v>3395</v>
      </c>
      <c r="D181" s="82" t="s">
        <v>3718</v>
      </c>
      <c r="E181" s="82"/>
      <c r="F181" s="82" t="s">
        <v>4843</v>
      </c>
      <c r="G181" s="89">
        <v>3</v>
      </c>
      <c r="H181" s="89">
        <v>1158.4000000000001</v>
      </c>
      <c r="I181" s="85">
        <v>0</v>
      </c>
      <c r="J181" s="85">
        <v>451.78</v>
      </c>
      <c r="K181" s="85">
        <v>3926.98</v>
      </c>
      <c r="L181" s="85">
        <v>9075.7099999999991</v>
      </c>
      <c r="M181" s="89">
        <v>1158.4000000000001</v>
      </c>
      <c r="N181" s="85">
        <v>0</v>
      </c>
      <c r="O181" s="85">
        <v>451.78</v>
      </c>
      <c r="P181" s="85">
        <v>3926.98</v>
      </c>
      <c r="Q181" s="85">
        <v>9075.7099999999991</v>
      </c>
      <c r="R181" s="82" t="s">
        <v>3399</v>
      </c>
      <c r="S181" s="7">
        <f t="shared" si="7"/>
        <v>0</v>
      </c>
      <c r="T181" s="6">
        <f t="shared" si="8"/>
        <v>0</v>
      </c>
      <c r="U181" s="25">
        <f t="shared" si="6"/>
        <v>0</v>
      </c>
    </row>
    <row r="182" spans="1:21" ht="10.9" customHeight="1" x14ac:dyDescent="0.2">
      <c r="A182" s="82" t="s">
        <v>3719</v>
      </c>
      <c r="B182" s="83">
        <v>45678</v>
      </c>
      <c r="C182" s="82" t="s">
        <v>3395</v>
      </c>
      <c r="D182" s="82" t="s">
        <v>3718</v>
      </c>
      <c r="E182" s="82"/>
      <c r="F182" s="82" t="s">
        <v>5502</v>
      </c>
      <c r="G182" s="89">
        <v>5</v>
      </c>
      <c r="H182" s="89">
        <v>53.07</v>
      </c>
      <c r="I182" s="85">
        <v>0</v>
      </c>
      <c r="J182" s="85">
        <v>34.5</v>
      </c>
      <c r="K182" s="85">
        <v>299.85000000000002</v>
      </c>
      <c r="L182" s="85">
        <v>9075.7099999999991</v>
      </c>
      <c r="M182" s="89">
        <v>53.07</v>
      </c>
      <c r="N182" s="85">
        <v>0</v>
      </c>
      <c r="O182" s="85">
        <v>34.5</v>
      </c>
      <c r="P182" s="85">
        <v>299.85000000000002</v>
      </c>
      <c r="Q182" s="85">
        <v>9075.7099999999991</v>
      </c>
      <c r="R182" s="82" t="s">
        <v>3399</v>
      </c>
      <c r="S182" s="7">
        <f t="shared" si="7"/>
        <v>0</v>
      </c>
      <c r="T182" s="6">
        <f t="shared" si="8"/>
        <v>0</v>
      </c>
      <c r="U182" s="25">
        <f t="shared" si="6"/>
        <v>0</v>
      </c>
    </row>
    <row r="183" spans="1:21" ht="10.9" customHeight="1" x14ac:dyDescent="0.2">
      <c r="A183" s="82" t="s">
        <v>3719</v>
      </c>
      <c r="B183" s="83">
        <v>45678</v>
      </c>
      <c r="C183" s="82" t="s">
        <v>3395</v>
      </c>
      <c r="D183" s="82" t="s">
        <v>3718</v>
      </c>
      <c r="E183" s="82"/>
      <c r="F183" s="82" t="s">
        <v>4637</v>
      </c>
      <c r="G183" s="89">
        <v>5</v>
      </c>
      <c r="H183" s="89">
        <v>51.22</v>
      </c>
      <c r="I183" s="85">
        <v>0</v>
      </c>
      <c r="J183" s="85">
        <v>33.29</v>
      </c>
      <c r="K183" s="85">
        <v>289.39</v>
      </c>
      <c r="L183" s="85">
        <v>9075.7099999999991</v>
      </c>
      <c r="M183" s="89">
        <v>51.22</v>
      </c>
      <c r="N183" s="85">
        <v>0</v>
      </c>
      <c r="O183" s="85">
        <v>33.29</v>
      </c>
      <c r="P183" s="85">
        <v>289.39</v>
      </c>
      <c r="Q183" s="85">
        <v>9075.7099999999991</v>
      </c>
      <c r="R183" s="82" t="s">
        <v>3399</v>
      </c>
      <c r="S183" s="7">
        <f t="shared" si="7"/>
        <v>0</v>
      </c>
      <c r="T183" s="6">
        <f t="shared" si="8"/>
        <v>0</v>
      </c>
      <c r="U183" s="25">
        <f t="shared" si="6"/>
        <v>0</v>
      </c>
    </row>
    <row r="184" spans="1:21" ht="10.9" customHeight="1" x14ac:dyDescent="0.2">
      <c r="A184" s="82" t="s">
        <v>3719</v>
      </c>
      <c r="B184" s="83">
        <v>45678</v>
      </c>
      <c r="C184" s="82" t="s">
        <v>3395</v>
      </c>
      <c r="D184" s="82" t="s">
        <v>3718</v>
      </c>
      <c r="E184" s="82"/>
      <c r="F184" s="82" t="s">
        <v>4552</v>
      </c>
      <c r="G184" s="89">
        <v>10</v>
      </c>
      <c r="H184" s="89">
        <v>19.09</v>
      </c>
      <c r="I184" s="85">
        <v>0</v>
      </c>
      <c r="J184" s="85">
        <v>24.82</v>
      </c>
      <c r="K184" s="85">
        <v>215.72</v>
      </c>
      <c r="L184" s="85">
        <v>9075.7099999999991</v>
      </c>
      <c r="M184" s="89">
        <v>19.09</v>
      </c>
      <c r="N184" s="85">
        <v>0</v>
      </c>
      <c r="O184" s="85">
        <v>24.82</v>
      </c>
      <c r="P184" s="85">
        <v>215.72</v>
      </c>
      <c r="Q184" s="85">
        <v>9075.7099999999991</v>
      </c>
      <c r="R184" s="82" t="s">
        <v>3399</v>
      </c>
      <c r="S184" s="7">
        <f t="shared" si="7"/>
        <v>0</v>
      </c>
      <c r="T184" s="6">
        <f t="shared" si="8"/>
        <v>0</v>
      </c>
      <c r="U184" s="25">
        <f t="shared" si="6"/>
        <v>0</v>
      </c>
    </row>
    <row r="185" spans="1:21" ht="10.9" customHeight="1" x14ac:dyDescent="0.2">
      <c r="A185" s="82" t="s">
        <v>3719</v>
      </c>
      <c r="B185" s="83">
        <v>45678</v>
      </c>
      <c r="C185" s="82" t="s">
        <v>3395</v>
      </c>
      <c r="D185" s="82" t="s">
        <v>3718</v>
      </c>
      <c r="E185" s="82"/>
      <c r="F185" s="82" t="s">
        <v>5504</v>
      </c>
      <c r="G185" s="89">
        <v>10</v>
      </c>
      <c r="H185" s="89">
        <v>105.14</v>
      </c>
      <c r="I185" s="85">
        <v>0</v>
      </c>
      <c r="J185" s="85">
        <v>136.68</v>
      </c>
      <c r="K185" s="85">
        <v>1188.08</v>
      </c>
      <c r="L185" s="85">
        <v>9075.7099999999991</v>
      </c>
      <c r="M185" s="89">
        <v>105.14</v>
      </c>
      <c r="N185" s="85">
        <v>0</v>
      </c>
      <c r="O185" s="85">
        <v>136.68</v>
      </c>
      <c r="P185" s="85">
        <v>1188.08</v>
      </c>
      <c r="Q185" s="85">
        <v>9075.7099999999991</v>
      </c>
      <c r="R185" s="82" t="s">
        <v>3399</v>
      </c>
      <c r="S185" s="7">
        <f t="shared" si="7"/>
        <v>0</v>
      </c>
      <c r="T185" s="6">
        <f t="shared" si="8"/>
        <v>0</v>
      </c>
      <c r="U185" s="25">
        <f t="shared" si="6"/>
        <v>0</v>
      </c>
    </row>
    <row r="186" spans="1:21" ht="10.9" customHeight="1" x14ac:dyDescent="0.2">
      <c r="A186" s="82" t="s">
        <v>2331</v>
      </c>
      <c r="B186" s="83">
        <v>45678</v>
      </c>
      <c r="C186" s="82" t="s">
        <v>3395</v>
      </c>
      <c r="D186" s="82" t="s">
        <v>2154</v>
      </c>
      <c r="E186" s="82"/>
      <c r="F186" s="82" t="s">
        <v>4585</v>
      </c>
      <c r="G186" s="89">
        <v>1</v>
      </c>
      <c r="H186" s="89">
        <v>103.9</v>
      </c>
      <c r="I186" s="85">
        <v>0</v>
      </c>
      <c r="J186" s="85">
        <v>5.2</v>
      </c>
      <c r="K186" s="85">
        <v>109.1</v>
      </c>
      <c r="L186" s="85">
        <v>823.65</v>
      </c>
      <c r="M186" s="89">
        <v>103.9</v>
      </c>
      <c r="N186" s="85">
        <v>0</v>
      </c>
      <c r="O186" s="85">
        <v>5.2</v>
      </c>
      <c r="P186" s="85">
        <v>109.1</v>
      </c>
      <c r="Q186" s="85">
        <v>823.65</v>
      </c>
      <c r="R186" s="82" t="s">
        <v>3399</v>
      </c>
      <c r="S186" s="7">
        <f t="shared" si="7"/>
        <v>0</v>
      </c>
      <c r="T186" s="6">
        <f t="shared" si="8"/>
        <v>0</v>
      </c>
      <c r="U186" s="25">
        <f t="shared" si="6"/>
        <v>0</v>
      </c>
    </row>
    <row r="187" spans="1:21" ht="10.9" customHeight="1" x14ac:dyDescent="0.2">
      <c r="A187" s="82" t="s">
        <v>2331</v>
      </c>
      <c r="B187" s="83">
        <v>45678</v>
      </c>
      <c r="C187" s="82" t="s">
        <v>3395</v>
      </c>
      <c r="D187" s="82" t="s">
        <v>2154</v>
      </c>
      <c r="E187" s="82"/>
      <c r="F187" s="82" t="s">
        <v>4532</v>
      </c>
      <c r="G187" s="89">
        <v>2</v>
      </c>
      <c r="H187" s="89">
        <v>98.48</v>
      </c>
      <c r="I187" s="85">
        <v>0</v>
      </c>
      <c r="J187" s="85">
        <v>9.85</v>
      </c>
      <c r="K187" s="85">
        <v>206.81</v>
      </c>
      <c r="L187" s="85">
        <v>823.65</v>
      </c>
      <c r="M187" s="89">
        <v>98.48</v>
      </c>
      <c r="N187" s="85">
        <v>0</v>
      </c>
      <c r="O187" s="85">
        <v>9.85</v>
      </c>
      <c r="P187" s="85">
        <v>206.81</v>
      </c>
      <c r="Q187" s="85">
        <v>823.65</v>
      </c>
      <c r="R187" s="82" t="s">
        <v>3399</v>
      </c>
      <c r="S187" s="7">
        <f t="shared" si="7"/>
        <v>0</v>
      </c>
      <c r="T187" s="6">
        <f t="shared" si="8"/>
        <v>0</v>
      </c>
      <c r="U187" s="25">
        <f t="shared" si="6"/>
        <v>0</v>
      </c>
    </row>
    <row r="188" spans="1:21" ht="10.9" customHeight="1" x14ac:dyDescent="0.2">
      <c r="A188" s="82" t="s">
        <v>2331</v>
      </c>
      <c r="B188" s="83">
        <v>45678</v>
      </c>
      <c r="C188" s="82" t="s">
        <v>3395</v>
      </c>
      <c r="D188" s="82" t="s">
        <v>2154</v>
      </c>
      <c r="E188" s="82"/>
      <c r="F188" s="82" t="s">
        <v>4768</v>
      </c>
      <c r="G188" s="89">
        <v>2</v>
      </c>
      <c r="H188" s="89">
        <v>241.78</v>
      </c>
      <c r="I188" s="85">
        <v>0</v>
      </c>
      <c r="J188" s="85">
        <v>24.18</v>
      </c>
      <c r="K188" s="85">
        <v>507.74</v>
      </c>
      <c r="L188" s="85">
        <v>823.65</v>
      </c>
      <c r="M188" s="89">
        <v>241.78</v>
      </c>
      <c r="N188" s="85">
        <v>0</v>
      </c>
      <c r="O188" s="85">
        <v>24.18</v>
      </c>
      <c r="P188" s="85">
        <v>507.74</v>
      </c>
      <c r="Q188" s="85">
        <v>823.65</v>
      </c>
      <c r="R188" s="82" t="s">
        <v>3399</v>
      </c>
      <c r="S188" s="7">
        <f t="shared" si="7"/>
        <v>0</v>
      </c>
      <c r="T188" s="6">
        <f t="shared" si="8"/>
        <v>0</v>
      </c>
      <c r="U188" s="25">
        <f t="shared" si="6"/>
        <v>0</v>
      </c>
    </row>
    <row r="189" spans="1:21" ht="10.9" customHeight="1" x14ac:dyDescent="0.2">
      <c r="A189" s="82" t="s">
        <v>2326</v>
      </c>
      <c r="B189" s="83">
        <v>45678</v>
      </c>
      <c r="C189" s="82" t="s">
        <v>3395</v>
      </c>
      <c r="D189" s="82" t="s">
        <v>2162</v>
      </c>
      <c r="E189" s="82"/>
      <c r="F189" s="82" t="s">
        <v>4532</v>
      </c>
      <c r="G189" s="89">
        <v>2</v>
      </c>
      <c r="H189" s="89">
        <v>110.83</v>
      </c>
      <c r="I189" s="85">
        <v>0</v>
      </c>
      <c r="J189" s="85">
        <v>28.82</v>
      </c>
      <c r="K189" s="85">
        <v>250.48</v>
      </c>
      <c r="L189" s="85">
        <v>663.66</v>
      </c>
      <c r="M189" s="89">
        <v>110.83</v>
      </c>
      <c r="N189" s="85">
        <v>0</v>
      </c>
      <c r="O189" s="85">
        <v>28.82</v>
      </c>
      <c r="P189" s="85">
        <v>250.48</v>
      </c>
      <c r="Q189" s="85">
        <v>663.66</v>
      </c>
      <c r="R189" s="82" t="s">
        <v>3399</v>
      </c>
      <c r="S189" s="7">
        <f t="shared" si="7"/>
        <v>0</v>
      </c>
      <c r="T189" s="6">
        <f t="shared" si="8"/>
        <v>0</v>
      </c>
      <c r="U189" s="25">
        <f t="shared" si="6"/>
        <v>0</v>
      </c>
    </row>
    <row r="190" spans="1:21" ht="10.9" customHeight="1" x14ac:dyDescent="0.2">
      <c r="A190" s="82" t="s">
        <v>2326</v>
      </c>
      <c r="B190" s="83">
        <v>45678</v>
      </c>
      <c r="C190" s="82" t="s">
        <v>3395</v>
      </c>
      <c r="D190" s="82" t="s">
        <v>2162</v>
      </c>
      <c r="E190" s="82"/>
      <c r="F190" s="82" t="s">
        <v>5179</v>
      </c>
      <c r="G190" s="89">
        <v>1</v>
      </c>
      <c r="H190" s="89">
        <v>297.83999999999997</v>
      </c>
      <c r="I190" s="85">
        <v>0</v>
      </c>
      <c r="J190" s="85">
        <v>38.72</v>
      </c>
      <c r="K190" s="85">
        <v>336.56</v>
      </c>
      <c r="L190" s="85">
        <v>663.66</v>
      </c>
      <c r="M190" s="89">
        <v>297.83999999999997</v>
      </c>
      <c r="N190" s="85">
        <v>0</v>
      </c>
      <c r="O190" s="85">
        <v>38.72</v>
      </c>
      <c r="P190" s="85">
        <v>336.56</v>
      </c>
      <c r="Q190" s="85">
        <v>663.66</v>
      </c>
      <c r="R190" s="82" t="s">
        <v>3399</v>
      </c>
      <c r="S190" s="7">
        <f t="shared" si="7"/>
        <v>0</v>
      </c>
      <c r="T190" s="6">
        <f t="shared" si="8"/>
        <v>0</v>
      </c>
      <c r="U190" s="25">
        <f t="shared" si="6"/>
        <v>0</v>
      </c>
    </row>
    <row r="191" spans="1:21" ht="10.9" customHeight="1" x14ac:dyDescent="0.2">
      <c r="A191" s="82" t="s">
        <v>2326</v>
      </c>
      <c r="B191" s="83">
        <v>45678</v>
      </c>
      <c r="C191" s="82" t="s">
        <v>3395</v>
      </c>
      <c r="D191" s="82" t="s">
        <v>2162</v>
      </c>
      <c r="E191" s="82"/>
      <c r="F191" s="82" t="s">
        <v>4692</v>
      </c>
      <c r="G191" s="89">
        <v>1</v>
      </c>
      <c r="H191" s="89">
        <v>33.979999999999997</v>
      </c>
      <c r="I191" s="85">
        <v>0</v>
      </c>
      <c r="J191" s="85">
        <v>4.42</v>
      </c>
      <c r="K191" s="85">
        <v>38.4</v>
      </c>
      <c r="L191" s="85">
        <v>663.66</v>
      </c>
      <c r="M191" s="89">
        <v>33.979999999999997</v>
      </c>
      <c r="N191" s="85">
        <v>0</v>
      </c>
      <c r="O191" s="85">
        <v>4.42</v>
      </c>
      <c r="P191" s="85">
        <v>38.4</v>
      </c>
      <c r="Q191" s="85">
        <v>663.66</v>
      </c>
      <c r="R191" s="82" t="s">
        <v>3399</v>
      </c>
      <c r="S191" s="7">
        <f t="shared" si="7"/>
        <v>0</v>
      </c>
      <c r="T191" s="6">
        <f t="shared" si="8"/>
        <v>0</v>
      </c>
      <c r="U191" s="25">
        <f t="shared" si="6"/>
        <v>0</v>
      </c>
    </row>
    <row r="192" spans="1:21" ht="10.9" customHeight="1" x14ac:dyDescent="0.2">
      <c r="A192" s="82" t="s">
        <v>2326</v>
      </c>
      <c r="B192" s="83">
        <v>45678</v>
      </c>
      <c r="C192" s="82" t="s">
        <v>3395</v>
      </c>
      <c r="D192" s="82" t="s">
        <v>2162</v>
      </c>
      <c r="E192" s="82"/>
      <c r="F192" s="82" t="s">
        <v>5031</v>
      </c>
      <c r="G192" s="89">
        <v>1</v>
      </c>
      <c r="H192" s="89">
        <v>33.82</v>
      </c>
      <c r="I192" s="85">
        <v>0</v>
      </c>
      <c r="J192" s="85">
        <v>4.4000000000000004</v>
      </c>
      <c r="K192" s="85">
        <v>38.22</v>
      </c>
      <c r="L192" s="85">
        <v>663.66</v>
      </c>
      <c r="M192" s="89">
        <v>33.82</v>
      </c>
      <c r="N192" s="85">
        <v>0</v>
      </c>
      <c r="O192" s="85">
        <v>4.4000000000000004</v>
      </c>
      <c r="P192" s="85">
        <v>38.22</v>
      </c>
      <c r="Q192" s="85">
        <v>663.66</v>
      </c>
      <c r="R192" s="82" t="s">
        <v>3399</v>
      </c>
      <c r="S192" s="7">
        <f t="shared" si="7"/>
        <v>0</v>
      </c>
      <c r="T192" s="6">
        <f t="shared" si="8"/>
        <v>0</v>
      </c>
      <c r="U192" s="25">
        <f t="shared" si="6"/>
        <v>0</v>
      </c>
    </row>
    <row r="193" spans="1:21" ht="10.9" customHeight="1" x14ac:dyDescent="0.2">
      <c r="A193" s="82" t="s">
        <v>2316</v>
      </c>
      <c r="B193" s="83">
        <v>45678</v>
      </c>
      <c r="C193" s="82" t="s">
        <v>3395</v>
      </c>
      <c r="D193" s="82" t="s">
        <v>2180</v>
      </c>
      <c r="E193" s="82"/>
      <c r="F193" s="82" t="s">
        <v>4569</v>
      </c>
      <c r="G193" s="89">
        <v>1</v>
      </c>
      <c r="H193" s="89">
        <v>1946.57</v>
      </c>
      <c r="I193" s="85">
        <v>0</v>
      </c>
      <c r="J193" s="85">
        <v>97.33</v>
      </c>
      <c r="K193" s="85">
        <v>2043.9</v>
      </c>
      <c r="L193" s="85">
        <v>2043.9</v>
      </c>
      <c r="M193" s="89">
        <v>1946.57</v>
      </c>
      <c r="N193" s="85">
        <v>0</v>
      </c>
      <c r="O193" s="85">
        <v>97.33</v>
      </c>
      <c r="P193" s="85">
        <v>2043.9</v>
      </c>
      <c r="Q193" s="85">
        <v>2043.9</v>
      </c>
      <c r="R193" s="82" t="s">
        <v>3399</v>
      </c>
      <c r="S193" s="7">
        <f t="shared" si="7"/>
        <v>0</v>
      </c>
      <c r="T193" s="6">
        <f t="shared" si="8"/>
        <v>0</v>
      </c>
      <c r="U193" s="25">
        <f t="shared" si="6"/>
        <v>0</v>
      </c>
    </row>
    <row r="194" spans="1:21" ht="10.9" customHeight="1" x14ac:dyDescent="0.2">
      <c r="A194" s="82" t="s">
        <v>3717</v>
      </c>
      <c r="B194" s="83">
        <v>45679</v>
      </c>
      <c r="C194" s="82" t="s">
        <v>3395</v>
      </c>
      <c r="D194" s="82" t="s">
        <v>3716</v>
      </c>
      <c r="E194" s="82"/>
      <c r="F194" s="82" t="s">
        <v>5722</v>
      </c>
      <c r="G194" s="89">
        <v>1</v>
      </c>
      <c r="H194" s="89">
        <v>1489.22</v>
      </c>
      <c r="I194" s="85">
        <v>0</v>
      </c>
      <c r="J194" s="85">
        <v>74.459999999999994</v>
      </c>
      <c r="K194" s="85">
        <v>1563.68</v>
      </c>
      <c r="L194" s="85">
        <v>1563.68</v>
      </c>
      <c r="M194" s="89">
        <v>1489.22</v>
      </c>
      <c r="N194" s="85">
        <v>0</v>
      </c>
      <c r="O194" s="85">
        <v>74.459999999999994</v>
      </c>
      <c r="P194" s="85">
        <v>1563.68</v>
      </c>
      <c r="Q194" s="85">
        <v>1563.68</v>
      </c>
      <c r="R194" s="82" t="s">
        <v>3399</v>
      </c>
      <c r="S194" s="7">
        <f t="shared" si="7"/>
        <v>0</v>
      </c>
      <c r="T194" s="6">
        <f t="shared" si="8"/>
        <v>0</v>
      </c>
      <c r="U194" s="25">
        <f t="shared" ref="U194:U257" si="9">IF(T194=1,K194-J194,0)</f>
        <v>0</v>
      </c>
    </row>
    <row r="195" spans="1:21" ht="10.9" customHeight="1" x14ac:dyDescent="0.2">
      <c r="A195" s="82" t="s">
        <v>2336</v>
      </c>
      <c r="B195" s="83">
        <v>45679</v>
      </c>
      <c r="C195" s="82" t="s">
        <v>3395</v>
      </c>
      <c r="D195" s="82" t="s">
        <v>2148</v>
      </c>
      <c r="E195" s="82"/>
      <c r="F195" s="82" t="s">
        <v>4673</v>
      </c>
      <c r="G195" s="89">
        <v>5</v>
      </c>
      <c r="H195" s="89">
        <v>143.21</v>
      </c>
      <c r="I195" s="85">
        <v>0</v>
      </c>
      <c r="J195" s="85">
        <v>35.799999999999997</v>
      </c>
      <c r="K195" s="85">
        <v>751.85</v>
      </c>
      <c r="L195" s="85">
        <v>1250.9000000000001</v>
      </c>
      <c r="M195" s="89">
        <v>143.21</v>
      </c>
      <c r="N195" s="85">
        <v>0</v>
      </c>
      <c r="O195" s="85">
        <v>35.799999999999997</v>
      </c>
      <c r="P195" s="85">
        <v>751.85</v>
      </c>
      <c r="Q195" s="85">
        <v>1250.9000000000001</v>
      </c>
      <c r="R195" s="82" t="s">
        <v>3399</v>
      </c>
      <c r="S195" s="7">
        <f t="shared" ref="S195:S258" si="10">IF(T195=1,A195,0)</f>
        <v>0</v>
      </c>
      <c r="T195" s="6">
        <f t="shared" ref="T195:T258" si="11">IFERROR(FIND("Freight",F195,1),0)</f>
        <v>0</v>
      </c>
      <c r="U195" s="25">
        <f t="shared" si="9"/>
        <v>0</v>
      </c>
    </row>
    <row r="196" spans="1:21" ht="10.9" customHeight="1" x14ac:dyDescent="0.2">
      <c r="A196" s="82" t="s">
        <v>2336</v>
      </c>
      <c r="B196" s="83">
        <v>45679</v>
      </c>
      <c r="C196" s="82" t="s">
        <v>3395</v>
      </c>
      <c r="D196" s="82" t="s">
        <v>2148</v>
      </c>
      <c r="E196" s="82"/>
      <c r="F196" s="82" t="s">
        <v>4439</v>
      </c>
      <c r="G196" s="89">
        <v>6</v>
      </c>
      <c r="H196" s="89">
        <v>20.8</v>
      </c>
      <c r="I196" s="85">
        <v>0</v>
      </c>
      <c r="J196" s="85">
        <v>6.24</v>
      </c>
      <c r="K196" s="85">
        <v>131.04</v>
      </c>
      <c r="L196" s="85">
        <v>1250.9000000000001</v>
      </c>
      <c r="M196" s="89">
        <v>20.8</v>
      </c>
      <c r="N196" s="85">
        <v>0</v>
      </c>
      <c r="O196" s="85">
        <v>6.24</v>
      </c>
      <c r="P196" s="85">
        <v>131.04</v>
      </c>
      <c r="Q196" s="85">
        <v>1250.9000000000001</v>
      </c>
      <c r="R196" s="82" t="s">
        <v>3399</v>
      </c>
      <c r="S196" s="7">
        <f t="shared" si="10"/>
        <v>0</v>
      </c>
      <c r="T196" s="6">
        <f t="shared" si="11"/>
        <v>0</v>
      </c>
      <c r="U196" s="25">
        <f t="shared" si="9"/>
        <v>0</v>
      </c>
    </row>
    <row r="197" spans="1:21" ht="10.9" customHeight="1" x14ac:dyDescent="0.2">
      <c r="A197" s="82" t="s">
        <v>2336</v>
      </c>
      <c r="B197" s="83">
        <v>45679</v>
      </c>
      <c r="C197" s="82" t="s">
        <v>3395</v>
      </c>
      <c r="D197" s="82" t="s">
        <v>2148</v>
      </c>
      <c r="E197" s="82"/>
      <c r="F197" s="82" t="s">
        <v>4671</v>
      </c>
      <c r="G197" s="89">
        <v>6</v>
      </c>
      <c r="H197" s="89">
        <v>20.79</v>
      </c>
      <c r="I197" s="85">
        <v>0</v>
      </c>
      <c r="J197" s="85">
        <v>6.24</v>
      </c>
      <c r="K197" s="85">
        <v>130.97999999999999</v>
      </c>
      <c r="L197" s="85">
        <v>1250.9000000000001</v>
      </c>
      <c r="M197" s="89">
        <v>20.79</v>
      </c>
      <c r="N197" s="85">
        <v>0</v>
      </c>
      <c r="O197" s="85">
        <v>6.24</v>
      </c>
      <c r="P197" s="85">
        <v>130.97999999999999</v>
      </c>
      <c r="Q197" s="85">
        <v>1250.9000000000001</v>
      </c>
      <c r="R197" s="82" t="s">
        <v>3399</v>
      </c>
      <c r="S197" s="7">
        <f t="shared" si="10"/>
        <v>0</v>
      </c>
      <c r="T197" s="6">
        <f t="shared" si="11"/>
        <v>0</v>
      </c>
      <c r="U197" s="25">
        <f t="shared" si="9"/>
        <v>0</v>
      </c>
    </row>
    <row r="198" spans="1:21" ht="10.9" customHeight="1" x14ac:dyDescent="0.2">
      <c r="A198" s="82" t="s">
        <v>2336</v>
      </c>
      <c r="B198" s="83">
        <v>45679</v>
      </c>
      <c r="C198" s="82" t="s">
        <v>3395</v>
      </c>
      <c r="D198" s="82" t="s">
        <v>2148</v>
      </c>
      <c r="E198" s="82"/>
      <c r="F198" s="82" t="s">
        <v>4552</v>
      </c>
      <c r="G198" s="89">
        <v>4</v>
      </c>
      <c r="H198" s="89">
        <v>18.510000000000002</v>
      </c>
      <c r="I198" s="85">
        <v>0</v>
      </c>
      <c r="J198" s="85">
        <v>3.7</v>
      </c>
      <c r="K198" s="85">
        <v>77.739999999999995</v>
      </c>
      <c r="L198" s="85">
        <v>1250.9000000000001</v>
      </c>
      <c r="M198" s="89">
        <v>18.510000000000002</v>
      </c>
      <c r="N198" s="85">
        <v>0</v>
      </c>
      <c r="O198" s="85">
        <v>3.7</v>
      </c>
      <c r="P198" s="85">
        <v>77.739999999999995</v>
      </c>
      <c r="Q198" s="85">
        <v>1250.9000000000001</v>
      </c>
      <c r="R198" s="82" t="s">
        <v>3399</v>
      </c>
      <c r="S198" s="7">
        <f t="shared" si="10"/>
        <v>0</v>
      </c>
      <c r="T198" s="6">
        <f t="shared" si="11"/>
        <v>0</v>
      </c>
      <c r="U198" s="25">
        <f t="shared" si="9"/>
        <v>0</v>
      </c>
    </row>
    <row r="199" spans="1:21" ht="10.9" customHeight="1" x14ac:dyDescent="0.2">
      <c r="A199" s="82" t="s">
        <v>2336</v>
      </c>
      <c r="B199" s="83">
        <v>45679</v>
      </c>
      <c r="C199" s="82" t="s">
        <v>3395</v>
      </c>
      <c r="D199" s="82" t="s">
        <v>2148</v>
      </c>
      <c r="E199" s="82"/>
      <c r="F199" s="82" t="s">
        <v>4826</v>
      </c>
      <c r="G199" s="89">
        <v>2</v>
      </c>
      <c r="H199" s="89">
        <v>75.849999999999994</v>
      </c>
      <c r="I199" s="85">
        <v>0</v>
      </c>
      <c r="J199" s="85">
        <v>7.59</v>
      </c>
      <c r="K199" s="85">
        <v>159.29</v>
      </c>
      <c r="L199" s="85">
        <v>1250.9000000000001</v>
      </c>
      <c r="M199" s="89">
        <v>75.849999999999994</v>
      </c>
      <c r="N199" s="85">
        <v>0</v>
      </c>
      <c r="O199" s="85">
        <v>7.59</v>
      </c>
      <c r="P199" s="85">
        <v>159.29</v>
      </c>
      <c r="Q199" s="85">
        <v>1250.9000000000001</v>
      </c>
      <c r="R199" s="82" t="s">
        <v>3399</v>
      </c>
      <c r="S199" s="7">
        <f t="shared" si="10"/>
        <v>0</v>
      </c>
      <c r="T199" s="6">
        <f t="shared" si="11"/>
        <v>0</v>
      </c>
      <c r="U199" s="25">
        <f t="shared" si="9"/>
        <v>0</v>
      </c>
    </row>
    <row r="200" spans="1:21" ht="10.9" customHeight="1" x14ac:dyDescent="0.2">
      <c r="A200" s="82"/>
      <c r="B200" s="83">
        <v>45679</v>
      </c>
      <c r="C200" s="82" t="s">
        <v>3423</v>
      </c>
      <c r="D200" s="82" t="s">
        <v>2151</v>
      </c>
      <c r="E200" s="82"/>
      <c r="F200" s="82" t="s">
        <v>2151</v>
      </c>
      <c r="G200" s="89">
        <v>-1</v>
      </c>
      <c r="H200" s="89">
        <v>1078.24</v>
      </c>
      <c r="I200" s="85">
        <v>0</v>
      </c>
      <c r="J200" s="85">
        <v>0</v>
      </c>
      <c r="K200" s="85">
        <v>-1078.24</v>
      </c>
      <c r="L200" s="85">
        <v>-1078.24</v>
      </c>
      <c r="M200" s="89">
        <v>1078.24</v>
      </c>
      <c r="N200" s="85">
        <v>0</v>
      </c>
      <c r="O200" s="85">
        <v>0</v>
      </c>
      <c r="P200" s="85">
        <v>-1078.24</v>
      </c>
      <c r="Q200" s="85">
        <v>-1078.24</v>
      </c>
      <c r="R200" s="82" t="s">
        <v>3399</v>
      </c>
      <c r="S200" s="7">
        <f t="shared" si="10"/>
        <v>0</v>
      </c>
      <c r="T200" s="6">
        <f t="shared" si="11"/>
        <v>0</v>
      </c>
      <c r="U200" s="25">
        <f t="shared" si="9"/>
        <v>0</v>
      </c>
    </row>
    <row r="201" spans="1:21" ht="10.9" customHeight="1" x14ac:dyDescent="0.2">
      <c r="A201" s="82" t="s">
        <v>3713</v>
      </c>
      <c r="B201" s="83">
        <v>45680</v>
      </c>
      <c r="C201" s="82" t="s">
        <v>3395</v>
      </c>
      <c r="D201" s="82" t="s">
        <v>3712</v>
      </c>
      <c r="E201" s="82"/>
      <c r="F201" s="82" t="s">
        <v>5721</v>
      </c>
      <c r="G201" s="89">
        <v>2</v>
      </c>
      <c r="H201" s="89">
        <v>3889.6</v>
      </c>
      <c r="I201" s="85">
        <v>0</v>
      </c>
      <c r="J201" s="85">
        <v>0</v>
      </c>
      <c r="K201" s="85">
        <v>7779.2</v>
      </c>
      <c r="L201" s="85">
        <v>22009.9</v>
      </c>
      <c r="M201" s="89">
        <v>5575.2724854225316</v>
      </c>
      <c r="N201" s="85">
        <v>0</v>
      </c>
      <c r="O201" s="85">
        <v>0</v>
      </c>
      <c r="P201" s="85">
        <v>11150.544970845063</v>
      </c>
      <c r="Q201" s="85">
        <v>31548.537092991923</v>
      </c>
      <c r="R201" s="82" t="s">
        <v>3399</v>
      </c>
      <c r="S201" s="7">
        <f t="shared" si="10"/>
        <v>0</v>
      </c>
      <c r="T201" s="6">
        <f t="shared" si="11"/>
        <v>0</v>
      </c>
      <c r="U201" s="25">
        <f t="shared" si="9"/>
        <v>0</v>
      </c>
    </row>
    <row r="202" spans="1:21" ht="10.9" customHeight="1" x14ac:dyDescent="0.2">
      <c r="A202" s="82" t="s">
        <v>3713</v>
      </c>
      <c r="B202" s="83">
        <v>45680</v>
      </c>
      <c r="C202" s="82" t="s">
        <v>3395</v>
      </c>
      <c r="D202" s="82" t="s">
        <v>3712</v>
      </c>
      <c r="E202" s="82"/>
      <c r="F202" s="82" t="s">
        <v>5720</v>
      </c>
      <c r="G202" s="89">
        <v>20</v>
      </c>
      <c r="H202" s="89">
        <v>165</v>
      </c>
      <c r="I202" s="85">
        <v>0</v>
      </c>
      <c r="J202" s="85">
        <v>0</v>
      </c>
      <c r="K202" s="85">
        <v>3300</v>
      </c>
      <c r="L202" s="85">
        <v>22009.9</v>
      </c>
      <c r="M202" s="89">
        <v>236.50759977753953</v>
      </c>
      <c r="N202" s="85">
        <v>0</v>
      </c>
      <c r="O202" s="85">
        <v>0</v>
      </c>
      <c r="P202" s="85">
        <v>4730.1519955507902</v>
      </c>
      <c r="Q202" s="85">
        <v>31548.537092991923</v>
      </c>
      <c r="R202" s="82" t="s">
        <v>3399</v>
      </c>
      <c r="S202" s="7">
        <f t="shared" si="10"/>
        <v>0</v>
      </c>
      <c r="T202" s="6">
        <f t="shared" si="11"/>
        <v>0</v>
      </c>
      <c r="U202" s="25">
        <f t="shared" si="9"/>
        <v>0</v>
      </c>
    </row>
    <row r="203" spans="1:21" ht="10.9" customHeight="1" x14ac:dyDescent="0.2">
      <c r="A203" s="82" t="s">
        <v>3713</v>
      </c>
      <c r="B203" s="83">
        <v>45680</v>
      </c>
      <c r="C203" s="82" t="s">
        <v>3395</v>
      </c>
      <c r="D203" s="82" t="s">
        <v>3712</v>
      </c>
      <c r="E203" s="82"/>
      <c r="F203" s="82" t="s">
        <v>5719</v>
      </c>
      <c r="G203" s="89">
        <v>3</v>
      </c>
      <c r="H203" s="89">
        <v>1870</v>
      </c>
      <c r="I203" s="85">
        <v>0</v>
      </c>
      <c r="J203" s="85">
        <v>0</v>
      </c>
      <c r="K203" s="85">
        <v>5610</v>
      </c>
      <c r="L203" s="85">
        <v>22009.9</v>
      </c>
      <c r="M203" s="89">
        <v>2680.4194641454478</v>
      </c>
      <c r="N203" s="85">
        <v>0</v>
      </c>
      <c r="O203" s="85">
        <v>0</v>
      </c>
      <c r="P203" s="85">
        <v>8041.2583924363435</v>
      </c>
      <c r="Q203" s="85">
        <v>31548.537092991923</v>
      </c>
      <c r="R203" s="82" t="s">
        <v>3399</v>
      </c>
      <c r="S203" s="7">
        <f t="shared" si="10"/>
        <v>0</v>
      </c>
      <c r="T203" s="6">
        <f t="shared" si="11"/>
        <v>0</v>
      </c>
      <c r="U203" s="25">
        <f t="shared" si="9"/>
        <v>0</v>
      </c>
    </row>
    <row r="204" spans="1:21" ht="10.9" customHeight="1" x14ac:dyDescent="0.2">
      <c r="A204" s="82" t="s">
        <v>3713</v>
      </c>
      <c r="B204" s="83">
        <v>45680</v>
      </c>
      <c r="C204" s="82" t="s">
        <v>3395</v>
      </c>
      <c r="D204" s="82" t="s">
        <v>3712</v>
      </c>
      <c r="E204" s="82"/>
      <c r="F204" s="82" t="s">
        <v>5718</v>
      </c>
      <c r="G204" s="89">
        <v>4</v>
      </c>
      <c r="H204" s="89">
        <v>572</v>
      </c>
      <c r="I204" s="85">
        <v>0</v>
      </c>
      <c r="J204" s="85">
        <v>0</v>
      </c>
      <c r="K204" s="85">
        <v>2288</v>
      </c>
      <c r="L204" s="85">
        <v>22009.9</v>
      </c>
      <c r="M204" s="89">
        <v>819.89301256213696</v>
      </c>
      <c r="N204" s="85">
        <v>0</v>
      </c>
      <c r="O204" s="85">
        <v>0</v>
      </c>
      <c r="P204" s="85">
        <v>3279.5720502485478</v>
      </c>
      <c r="Q204" s="85">
        <v>31548.537092991923</v>
      </c>
      <c r="R204" s="82" t="s">
        <v>3399</v>
      </c>
      <c r="S204" s="7">
        <f t="shared" si="10"/>
        <v>0</v>
      </c>
      <c r="T204" s="6">
        <f t="shared" si="11"/>
        <v>0</v>
      </c>
      <c r="U204" s="25">
        <f t="shared" si="9"/>
        <v>0</v>
      </c>
    </row>
    <row r="205" spans="1:21" ht="10.9" customHeight="1" x14ac:dyDescent="0.2">
      <c r="A205" s="82" t="s">
        <v>3713</v>
      </c>
      <c r="B205" s="83">
        <v>45680</v>
      </c>
      <c r="C205" s="82" t="s">
        <v>3395</v>
      </c>
      <c r="D205" s="82" t="s">
        <v>3712</v>
      </c>
      <c r="E205" s="82"/>
      <c r="F205" s="82" t="s">
        <v>5717</v>
      </c>
      <c r="G205" s="89">
        <v>4</v>
      </c>
      <c r="H205" s="89">
        <v>495</v>
      </c>
      <c r="I205" s="85">
        <v>0</v>
      </c>
      <c r="J205" s="85">
        <v>0</v>
      </c>
      <c r="K205" s="85">
        <v>1980</v>
      </c>
      <c r="L205" s="85">
        <v>22009.9</v>
      </c>
      <c r="M205" s="89">
        <v>709.52279933261855</v>
      </c>
      <c r="N205" s="85">
        <v>0</v>
      </c>
      <c r="O205" s="85">
        <v>0</v>
      </c>
      <c r="P205" s="85">
        <v>2838.0911973304742</v>
      </c>
      <c r="Q205" s="85">
        <v>31548.537092991923</v>
      </c>
      <c r="R205" s="82" t="s">
        <v>3399</v>
      </c>
      <c r="S205" s="7">
        <f t="shared" si="10"/>
        <v>0</v>
      </c>
      <c r="T205" s="6">
        <f t="shared" si="11"/>
        <v>0</v>
      </c>
      <c r="U205" s="25">
        <f t="shared" si="9"/>
        <v>0</v>
      </c>
    </row>
    <row r="206" spans="1:21" ht="10.9" customHeight="1" x14ac:dyDescent="0.2">
      <c r="A206" s="82" t="s">
        <v>3713</v>
      </c>
      <c r="B206" s="83">
        <v>45680</v>
      </c>
      <c r="C206" s="82" t="s">
        <v>3395</v>
      </c>
      <c r="D206" s="82" t="s">
        <v>3712</v>
      </c>
      <c r="E206" s="82"/>
      <c r="F206" s="82" t="s">
        <v>5716</v>
      </c>
      <c r="G206" s="89">
        <v>3</v>
      </c>
      <c r="H206" s="89">
        <v>350.9</v>
      </c>
      <c r="I206" s="85">
        <v>0</v>
      </c>
      <c r="J206" s="85">
        <v>0</v>
      </c>
      <c r="K206" s="85">
        <v>1052.7</v>
      </c>
      <c r="L206" s="85">
        <v>22009.9</v>
      </c>
      <c r="M206" s="89">
        <v>502.97282886023402</v>
      </c>
      <c r="N206" s="85">
        <v>0</v>
      </c>
      <c r="O206" s="85">
        <v>0</v>
      </c>
      <c r="P206" s="85">
        <v>1508.9184865807022</v>
      </c>
      <c r="Q206" s="85">
        <v>31548.537092991923</v>
      </c>
      <c r="R206" s="82" t="s">
        <v>3399</v>
      </c>
      <c r="S206" s="7">
        <f t="shared" si="10"/>
        <v>0</v>
      </c>
      <c r="T206" s="6">
        <f t="shared" si="11"/>
        <v>0</v>
      </c>
      <c r="U206" s="25">
        <f t="shared" si="9"/>
        <v>0</v>
      </c>
    </row>
    <row r="207" spans="1:21" ht="10.9" customHeight="1" x14ac:dyDescent="0.2">
      <c r="A207" s="82" t="s">
        <v>3715</v>
      </c>
      <c r="B207" s="83">
        <v>45680</v>
      </c>
      <c r="C207" s="82" t="s">
        <v>3395</v>
      </c>
      <c r="D207" s="82" t="s">
        <v>3714</v>
      </c>
      <c r="E207" s="82"/>
      <c r="F207" s="82" t="s">
        <v>4890</v>
      </c>
      <c r="G207" s="89">
        <v>96</v>
      </c>
      <c r="H207" s="89">
        <v>32.4</v>
      </c>
      <c r="I207" s="85">
        <v>0</v>
      </c>
      <c r="J207" s="85">
        <v>0</v>
      </c>
      <c r="K207" s="85">
        <v>3110.4</v>
      </c>
      <c r="L207" s="85">
        <v>3110.4</v>
      </c>
      <c r="M207" s="89">
        <v>46.441492319953213</v>
      </c>
      <c r="N207" s="85">
        <v>0</v>
      </c>
      <c r="O207" s="85">
        <v>0</v>
      </c>
      <c r="P207" s="85">
        <v>4458.3832627155089</v>
      </c>
      <c r="Q207" s="85">
        <v>4458.3832627155089</v>
      </c>
      <c r="R207" s="82" t="s">
        <v>3399</v>
      </c>
      <c r="S207" s="7">
        <f t="shared" si="10"/>
        <v>0</v>
      </c>
      <c r="T207" s="6">
        <f t="shared" si="11"/>
        <v>0</v>
      </c>
      <c r="U207" s="25">
        <f t="shared" si="9"/>
        <v>0</v>
      </c>
    </row>
    <row r="208" spans="1:21" ht="10.9" customHeight="1" x14ac:dyDescent="0.2">
      <c r="A208" s="82" t="s">
        <v>2327</v>
      </c>
      <c r="B208" s="83">
        <v>45680</v>
      </c>
      <c r="C208" s="82" t="s">
        <v>3395</v>
      </c>
      <c r="D208" s="82" t="s">
        <v>2160</v>
      </c>
      <c r="E208" s="82"/>
      <c r="F208" s="82" t="s">
        <v>5400</v>
      </c>
      <c r="G208" s="89">
        <v>1</v>
      </c>
      <c r="H208" s="89">
        <v>1957.91</v>
      </c>
      <c r="I208" s="85">
        <v>0</v>
      </c>
      <c r="J208" s="85">
        <v>0</v>
      </c>
      <c r="K208" s="85">
        <v>1957.91</v>
      </c>
      <c r="L208" s="85">
        <v>1957.91</v>
      </c>
      <c r="M208" s="89">
        <v>2806.4278465481357</v>
      </c>
      <c r="N208" s="85">
        <v>0</v>
      </c>
      <c r="O208" s="85">
        <v>0</v>
      </c>
      <c r="P208" s="85">
        <v>2806.4278465481357</v>
      </c>
      <c r="Q208" s="85">
        <v>2806.4278465481357</v>
      </c>
      <c r="R208" s="82" t="s">
        <v>3399</v>
      </c>
      <c r="S208" s="7">
        <f t="shared" si="10"/>
        <v>0</v>
      </c>
      <c r="T208" s="6">
        <f t="shared" si="11"/>
        <v>0</v>
      </c>
      <c r="U208" s="25">
        <f t="shared" si="9"/>
        <v>0</v>
      </c>
    </row>
    <row r="209" spans="1:21" ht="10.9" customHeight="1" x14ac:dyDescent="0.2">
      <c r="A209" s="82" t="s">
        <v>2328</v>
      </c>
      <c r="B209" s="83">
        <v>45680</v>
      </c>
      <c r="C209" s="82" t="s">
        <v>3395</v>
      </c>
      <c r="D209" s="82" t="s">
        <v>2158</v>
      </c>
      <c r="E209" s="82"/>
      <c r="F209" s="82" t="s">
        <v>5399</v>
      </c>
      <c r="G209" s="89">
        <v>1</v>
      </c>
      <c r="H209" s="89">
        <v>2566.9299999999998</v>
      </c>
      <c r="I209" s="85">
        <v>0</v>
      </c>
      <c r="J209" s="85">
        <v>0</v>
      </c>
      <c r="K209" s="85">
        <v>2566.9299999999998</v>
      </c>
      <c r="L209" s="85">
        <v>2566.9299999999998</v>
      </c>
      <c r="M209" s="89">
        <v>3679.3845642239971</v>
      </c>
      <c r="N209" s="85">
        <v>0</v>
      </c>
      <c r="O209" s="85">
        <v>0</v>
      </c>
      <c r="P209" s="85">
        <v>3679.3845642239971</v>
      </c>
      <c r="Q209" s="85">
        <v>3679.3845642239971</v>
      </c>
      <c r="R209" s="82" t="s">
        <v>3399</v>
      </c>
      <c r="S209" s="7">
        <f t="shared" si="10"/>
        <v>0</v>
      </c>
      <c r="T209" s="6">
        <f t="shared" si="11"/>
        <v>0</v>
      </c>
      <c r="U209" s="25">
        <f t="shared" si="9"/>
        <v>0</v>
      </c>
    </row>
    <row r="210" spans="1:21" ht="10.9" customHeight="1" x14ac:dyDescent="0.2">
      <c r="A210" s="82" t="s">
        <v>2329</v>
      </c>
      <c r="B210" s="83">
        <v>45680</v>
      </c>
      <c r="C210" s="82" t="s">
        <v>3395</v>
      </c>
      <c r="D210" s="82" t="s">
        <v>2156</v>
      </c>
      <c r="E210" s="82"/>
      <c r="F210" s="82" t="s">
        <v>5402</v>
      </c>
      <c r="G210" s="89">
        <v>1</v>
      </c>
      <c r="H210" s="89">
        <v>1884.69</v>
      </c>
      <c r="I210" s="85">
        <v>0</v>
      </c>
      <c r="J210" s="85">
        <v>0</v>
      </c>
      <c r="K210" s="85">
        <v>1884.69</v>
      </c>
      <c r="L210" s="85">
        <v>1884.69</v>
      </c>
      <c r="M210" s="89">
        <v>2701.475807422612</v>
      </c>
      <c r="N210" s="85">
        <v>0</v>
      </c>
      <c r="O210" s="85">
        <v>0</v>
      </c>
      <c r="P210" s="85">
        <v>2701.475807422612</v>
      </c>
      <c r="Q210" s="85">
        <v>2701.475807422612</v>
      </c>
      <c r="R210" s="82" t="s">
        <v>3399</v>
      </c>
      <c r="S210" s="7">
        <f t="shared" si="10"/>
        <v>0</v>
      </c>
      <c r="T210" s="6">
        <f t="shared" si="11"/>
        <v>0</v>
      </c>
      <c r="U210" s="25">
        <f t="shared" si="9"/>
        <v>0</v>
      </c>
    </row>
    <row r="211" spans="1:21" ht="10.9" customHeight="1" x14ac:dyDescent="0.2">
      <c r="A211" s="82" t="s">
        <v>3709</v>
      </c>
      <c r="B211" s="83">
        <v>45681</v>
      </c>
      <c r="C211" s="82" t="s">
        <v>3398</v>
      </c>
      <c r="D211" s="82" t="s">
        <v>3708</v>
      </c>
      <c r="E211" s="82"/>
      <c r="F211" s="82" t="s">
        <v>5713</v>
      </c>
      <c r="G211" s="89">
        <v>-1</v>
      </c>
      <c r="H211" s="89">
        <v>124.18</v>
      </c>
      <c r="I211" s="85">
        <v>0</v>
      </c>
      <c r="J211" s="85">
        <v>-16.14</v>
      </c>
      <c r="K211" s="85">
        <v>-140.32</v>
      </c>
      <c r="L211" s="85">
        <v>-693.77</v>
      </c>
      <c r="M211" s="89">
        <v>124.18</v>
      </c>
      <c r="N211" s="85">
        <v>0</v>
      </c>
      <c r="O211" s="85">
        <v>-16.14</v>
      </c>
      <c r="P211" s="85">
        <v>-140.32</v>
      </c>
      <c r="Q211" s="85">
        <v>-693.77</v>
      </c>
      <c r="R211" s="82" t="s">
        <v>3399</v>
      </c>
      <c r="S211" s="7">
        <f t="shared" si="10"/>
        <v>0</v>
      </c>
      <c r="T211" s="6">
        <f t="shared" si="11"/>
        <v>0</v>
      </c>
      <c r="U211" s="25">
        <f t="shared" si="9"/>
        <v>0</v>
      </c>
    </row>
    <row r="212" spans="1:21" ht="10.9" customHeight="1" x14ac:dyDescent="0.2">
      <c r="A212" s="82" t="s">
        <v>3709</v>
      </c>
      <c r="B212" s="83">
        <v>45681</v>
      </c>
      <c r="C212" s="82" t="s">
        <v>3398</v>
      </c>
      <c r="D212" s="82" t="s">
        <v>3708</v>
      </c>
      <c r="E212" s="82"/>
      <c r="F212" s="82" t="s">
        <v>5712</v>
      </c>
      <c r="G212" s="89">
        <v>-1</v>
      </c>
      <c r="H212" s="89">
        <v>489.78</v>
      </c>
      <c r="I212" s="85">
        <v>0</v>
      </c>
      <c r="J212" s="85">
        <v>-63.67</v>
      </c>
      <c r="K212" s="85">
        <v>-553.45000000000005</v>
      </c>
      <c r="L212" s="85">
        <v>-693.77</v>
      </c>
      <c r="M212" s="89">
        <v>489.78</v>
      </c>
      <c r="N212" s="85">
        <v>0</v>
      </c>
      <c r="O212" s="85">
        <v>-63.67</v>
      </c>
      <c r="P212" s="85">
        <v>-553.45000000000005</v>
      </c>
      <c r="Q212" s="85">
        <v>-693.77</v>
      </c>
      <c r="R212" s="82" t="s">
        <v>3399</v>
      </c>
      <c r="S212" s="7">
        <f t="shared" si="10"/>
        <v>0</v>
      </c>
      <c r="T212" s="6">
        <f t="shared" si="11"/>
        <v>0</v>
      </c>
      <c r="U212" s="25">
        <f t="shared" si="9"/>
        <v>0</v>
      </c>
    </row>
    <row r="213" spans="1:21" ht="10.9" customHeight="1" x14ac:dyDescent="0.2">
      <c r="A213" s="82" t="s">
        <v>2337</v>
      </c>
      <c r="B213" s="83">
        <v>45681</v>
      </c>
      <c r="C213" s="82" t="s">
        <v>3395</v>
      </c>
      <c r="D213" s="82" t="s">
        <v>2146</v>
      </c>
      <c r="E213" s="82"/>
      <c r="F213" s="82" t="s">
        <v>4849</v>
      </c>
      <c r="G213" s="89">
        <v>1</v>
      </c>
      <c r="H213" s="89">
        <v>232.19</v>
      </c>
      <c r="I213" s="85">
        <v>0</v>
      </c>
      <c r="J213" s="85">
        <v>11.61</v>
      </c>
      <c r="K213" s="85">
        <v>243.8</v>
      </c>
      <c r="L213" s="85">
        <v>243.8</v>
      </c>
      <c r="M213" s="89">
        <v>232.19</v>
      </c>
      <c r="N213" s="85">
        <v>0</v>
      </c>
      <c r="O213" s="85">
        <v>11.61</v>
      </c>
      <c r="P213" s="85">
        <v>243.8</v>
      </c>
      <c r="Q213" s="85">
        <v>243.8</v>
      </c>
      <c r="R213" s="82" t="s">
        <v>3399</v>
      </c>
      <c r="S213" s="7">
        <f t="shared" si="10"/>
        <v>0</v>
      </c>
      <c r="T213" s="6">
        <f t="shared" si="11"/>
        <v>0</v>
      </c>
      <c r="U213" s="25">
        <f t="shared" si="9"/>
        <v>0</v>
      </c>
    </row>
    <row r="214" spans="1:21" ht="10.9" customHeight="1" x14ac:dyDescent="0.2">
      <c r="A214" s="82" t="s">
        <v>3711</v>
      </c>
      <c r="B214" s="83">
        <v>45681</v>
      </c>
      <c r="C214" s="82" t="s">
        <v>3395</v>
      </c>
      <c r="D214" s="82" t="s">
        <v>3710</v>
      </c>
      <c r="E214" s="82"/>
      <c r="F214" s="82" t="s">
        <v>5668</v>
      </c>
      <c r="G214" s="89">
        <v>1</v>
      </c>
      <c r="H214" s="89">
        <v>729.89</v>
      </c>
      <c r="I214" s="85">
        <v>0</v>
      </c>
      <c r="J214" s="85">
        <v>36.49</v>
      </c>
      <c r="K214" s="85">
        <v>766.38</v>
      </c>
      <c r="L214" s="85">
        <v>766.38</v>
      </c>
      <c r="M214" s="89">
        <v>729.89</v>
      </c>
      <c r="N214" s="85">
        <v>0</v>
      </c>
      <c r="O214" s="85">
        <v>36.49</v>
      </c>
      <c r="P214" s="85">
        <v>766.38</v>
      </c>
      <c r="Q214" s="85">
        <v>766.38</v>
      </c>
      <c r="R214" s="82" t="s">
        <v>3399</v>
      </c>
      <c r="S214" s="7">
        <f t="shared" si="10"/>
        <v>0</v>
      </c>
      <c r="T214" s="6">
        <f t="shared" si="11"/>
        <v>0</v>
      </c>
      <c r="U214" s="25">
        <f t="shared" si="9"/>
        <v>0</v>
      </c>
    </row>
    <row r="215" spans="1:21" ht="10.9" customHeight="1" x14ac:dyDescent="0.2">
      <c r="A215" s="82" t="s">
        <v>2342</v>
      </c>
      <c r="B215" s="83">
        <v>45681</v>
      </c>
      <c r="C215" s="82" t="s">
        <v>3395</v>
      </c>
      <c r="D215" s="82" t="s">
        <v>2133</v>
      </c>
      <c r="E215" s="82"/>
      <c r="F215" s="82" t="s">
        <v>4551</v>
      </c>
      <c r="G215" s="89">
        <v>1</v>
      </c>
      <c r="H215" s="89">
        <v>660.27</v>
      </c>
      <c r="I215" s="85">
        <v>0</v>
      </c>
      <c r="J215" s="85">
        <v>33.01</v>
      </c>
      <c r="K215" s="85">
        <v>693.28</v>
      </c>
      <c r="L215" s="85">
        <v>2386.02</v>
      </c>
      <c r="M215" s="89">
        <v>660.27</v>
      </c>
      <c r="N215" s="85">
        <v>0</v>
      </c>
      <c r="O215" s="85">
        <v>33.01</v>
      </c>
      <c r="P215" s="85">
        <v>693.28</v>
      </c>
      <c r="Q215" s="85">
        <v>2386.02</v>
      </c>
      <c r="R215" s="82" t="s">
        <v>3399</v>
      </c>
      <c r="S215" s="7">
        <f t="shared" si="10"/>
        <v>0</v>
      </c>
      <c r="T215" s="6">
        <f t="shared" si="11"/>
        <v>0</v>
      </c>
      <c r="U215" s="25">
        <f t="shared" si="9"/>
        <v>0</v>
      </c>
    </row>
    <row r="216" spans="1:21" ht="10.9" customHeight="1" x14ac:dyDescent="0.2">
      <c r="A216" s="82" t="s">
        <v>2342</v>
      </c>
      <c r="B216" s="83">
        <v>45681</v>
      </c>
      <c r="C216" s="82" t="s">
        <v>3395</v>
      </c>
      <c r="D216" s="82" t="s">
        <v>2133</v>
      </c>
      <c r="E216" s="82"/>
      <c r="F216" s="82" t="s">
        <v>5715</v>
      </c>
      <c r="G216" s="89">
        <v>1</v>
      </c>
      <c r="H216" s="89">
        <v>806.07</v>
      </c>
      <c r="I216" s="85">
        <v>0</v>
      </c>
      <c r="J216" s="85">
        <v>40.299999999999997</v>
      </c>
      <c r="K216" s="85">
        <v>846.37</v>
      </c>
      <c r="L216" s="85">
        <v>2386.02</v>
      </c>
      <c r="M216" s="89">
        <v>806.07</v>
      </c>
      <c r="N216" s="85">
        <v>0</v>
      </c>
      <c r="O216" s="85">
        <v>40.299999999999997</v>
      </c>
      <c r="P216" s="85">
        <v>846.37</v>
      </c>
      <c r="Q216" s="85">
        <v>2386.02</v>
      </c>
      <c r="R216" s="82" t="s">
        <v>3399</v>
      </c>
      <c r="S216" s="7">
        <f t="shared" si="10"/>
        <v>0</v>
      </c>
      <c r="T216" s="6">
        <f t="shared" si="11"/>
        <v>0</v>
      </c>
      <c r="U216" s="25">
        <f t="shared" si="9"/>
        <v>0</v>
      </c>
    </row>
    <row r="217" spans="1:21" ht="10.9" customHeight="1" x14ac:dyDescent="0.2">
      <c r="A217" s="82" t="s">
        <v>2342</v>
      </c>
      <c r="B217" s="83">
        <v>45681</v>
      </c>
      <c r="C217" s="82" t="s">
        <v>3395</v>
      </c>
      <c r="D217" s="82" t="s">
        <v>2133</v>
      </c>
      <c r="E217" s="82"/>
      <c r="F217" s="82" t="s">
        <v>4822</v>
      </c>
      <c r="G217" s="89">
        <v>1</v>
      </c>
      <c r="H217" s="89">
        <v>806.07</v>
      </c>
      <c r="I217" s="85">
        <v>0</v>
      </c>
      <c r="J217" s="85">
        <v>40.299999999999997</v>
      </c>
      <c r="K217" s="85">
        <v>846.37</v>
      </c>
      <c r="L217" s="85">
        <v>2386.02</v>
      </c>
      <c r="M217" s="89">
        <v>806.07</v>
      </c>
      <c r="N217" s="85">
        <v>0</v>
      </c>
      <c r="O217" s="85">
        <v>40.299999999999997</v>
      </c>
      <c r="P217" s="85">
        <v>846.37</v>
      </c>
      <c r="Q217" s="85">
        <v>2386.02</v>
      </c>
      <c r="R217" s="82" t="s">
        <v>3399</v>
      </c>
      <c r="S217" s="7">
        <f t="shared" si="10"/>
        <v>0</v>
      </c>
      <c r="T217" s="6">
        <f t="shared" si="11"/>
        <v>0</v>
      </c>
      <c r="U217" s="25">
        <f t="shared" si="9"/>
        <v>0</v>
      </c>
    </row>
    <row r="218" spans="1:21" ht="10.9" customHeight="1" x14ac:dyDescent="0.2">
      <c r="A218" s="82" t="s">
        <v>2339</v>
      </c>
      <c r="B218" s="83">
        <v>45681</v>
      </c>
      <c r="C218" s="82" t="s">
        <v>3395</v>
      </c>
      <c r="D218" s="82" t="s">
        <v>2140</v>
      </c>
      <c r="E218" s="82"/>
      <c r="F218" s="82" t="s">
        <v>5161</v>
      </c>
      <c r="G218" s="89">
        <v>1</v>
      </c>
      <c r="H218" s="89">
        <v>637.91</v>
      </c>
      <c r="I218" s="85">
        <v>0</v>
      </c>
      <c r="J218" s="85">
        <v>82.93</v>
      </c>
      <c r="K218" s="85">
        <v>720.84</v>
      </c>
      <c r="L218" s="85">
        <v>720.84</v>
      </c>
      <c r="M218" s="89">
        <v>637.91</v>
      </c>
      <c r="N218" s="85">
        <v>0</v>
      </c>
      <c r="O218" s="85">
        <v>82.93</v>
      </c>
      <c r="P218" s="85">
        <v>720.84</v>
      </c>
      <c r="Q218" s="85">
        <v>720.84</v>
      </c>
      <c r="R218" s="82" t="s">
        <v>3399</v>
      </c>
      <c r="S218" s="7">
        <f t="shared" si="10"/>
        <v>0</v>
      </c>
      <c r="T218" s="6">
        <f t="shared" si="11"/>
        <v>0</v>
      </c>
      <c r="U218" s="25">
        <f t="shared" si="9"/>
        <v>0</v>
      </c>
    </row>
    <row r="219" spans="1:21" ht="10.9" customHeight="1" x14ac:dyDescent="0.2">
      <c r="A219" s="82" t="s">
        <v>2338</v>
      </c>
      <c r="B219" s="83">
        <v>45681</v>
      </c>
      <c r="C219" s="82" t="s">
        <v>3395</v>
      </c>
      <c r="D219" s="82" t="s">
        <v>2143</v>
      </c>
      <c r="E219" s="82"/>
      <c r="F219" s="82" t="s">
        <v>5714</v>
      </c>
      <c r="G219" s="89">
        <v>1</v>
      </c>
      <c r="H219" s="89">
        <v>498.78</v>
      </c>
      <c r="I219" s="85">
        <v>0</v>
      </c>
      <c r="J219" s="85">
        <v>24.94</v>
      </c>
      <c r="K219" s="85">
        <v>523.72</v>
      </c>
      <c r="L219" s="85">
        <v>523.72</v>
      </c>
      <c r="M219" s="89">
        <v>498.78</v>
      </c>
      <c r="N219" s="85">
        <v>0</v>
      </c>
      <c r="O219" s="85">
        <v>24.94</v>
      </c>
      <c r="P219" s="85">
        <v>523.72</v>
      </c>
      <c r="Q219" s="85">
        <v>523.72</v>
      </c>
      <c r="R219" s="82" t="s">
        <v>3399</v>
      </c>
      <c r="S219" s="7">
        <f t="shared" si="10"/>
        <v>0</v>
      </c>
      <c r="T219" s="6">
        <f t="shared" si="11"/>
        <v>0</v>
      </c>
      <c r="U219" s="25">
        <f t="shared" si="9"/>
        <v>0</v>
      </c>
    </row>
    <row r="220" spans="1:21" ht="10.9" customHeight="1" x14ac:dyDescent="0.2">
      <c r="A220" s="82" t="s">
        <v>2345</v>
      </c>
      <c r="B220" s="83">
        <v>45684</v>
      </c>
      <c r="C220" s="82" t="s">
        <v>3395</v>
      </c>
      <c r="D220" s="82" t="s">
        <v>2127</v>
      </c>
      <c r="E220" s="82"/>
      <c r="F220" s="82" t="s">
        <v>4421</v>
      </c>
      <c r="G220" s="89">
        <v>1</v>
      </c>
      <c r="H220" s="89">
        <v>1798.15</v>
      </c>
      <c r="I220" s="85">
        <v>0</v>
      </c>
      <c r="J220" s="85">
        <v>0</v>
      </c>
      <c r="K220" s="85">
        <v>1798.15</v>
      </c>
      <c r="L220" s="85">
        <v>2297.15</v>
      </c>
      <c r="M220" s="89">
        <v>2589.1027736221522</v>
      </c>
      <c r="N220" s="85">
        <v>0</v>
      </c>
      <c r="O220" s="85">
        <v>0</v>
      </c>
      <c r="P220" s="85">
        <v>2589.1027736221522</v>
      </c>
      <c r="Q220" s="85">
        <v>3307.5980515675146</v>
      </c>
      <c r="R220" s="82" t="s">
        <v>3399</v>
      </c>
      <c r="S220" s="7">
        <f t="shared" si="10"/>
        <v>0</v>
      </c>
      <c r="T220" s="6">
        <f t="shared" si="11"/>
        <v>0</v>
      </c>
      <c r="U220" s="25">
        <f t="shared" si="9"/>
        <v>0</v>
      </c>
    </row>
    <row r="221" spans="1:21" ht="10.9" customHeight="1" x14ac:dyDescent="0.2">
      <c r="A221" s="82" t="s">
        <v>2345</v>
      </c>
      <c r="B221" s="83">
        <v>45684</v>
      </c>
      <c r="C221" s="82" t="s">
        <v>3395</v>
      </c>
      <c r="D221" s="82" t="s">
        <v>2127</v>
      </c>
      <c r="E221" s="82"/>
      <c r="F221" s="82" t="s">
        <v>4393</v>
      </c>
      <c r="G221" s="89">
        <v>1</v>
      </c>
      <c r="H221" s="89">
        <v>499</v>
      </c>
      <c r="I221" s="85">
        <v>0</v>
      </c>
      <c r="J221" s="85">
        <v>0</v>
      </c>
      <c r="K221" s="85">
        <v>499</v>
      </c>
      <c r="L221" s="85">
        <v>2297.15</v>
      </c>
      <c r="M221" s="89">
        <v>718.49527794536266</v>
      </c>
      <c r="N221" s="85">
        <v>0</v>
      </c>
      <c r="O221" s="85">
        <v>0</v>
      </c>
      <c r="P221" s="85">
        <v>718.49527794536266</v>
      </c>
      <c r="Q221" s="85">
        <v>3307.5980515675146</v>
      </c>
      <c r="R221" s="82" t="s">
        <v>3399</v>
      </c>
      <c r="S221" s="7" t="str">
        <f t="shared" si="10"/>
        <v>INV12564</v>
      </c>
      <c r="T221" s="6">
        <f t="shared" si="11"/>
        <v>1</v>
      </c>
      <c r="U221" s="25">
        <f t="shared" si="9"/>
        <v>499</v>
      </c>
    </row>
    <row r="222" spans="1:21" ht="10.9" customHeight="1" x14ac:dyDescent="0.2">
      <c r="A222" s="82" t="s">
        <v>3706</v>
      </c>
      <c r="B222" s="83">
        <v>45684</v>
      </c>
      <c r="C222" s="82" t="s">
        <v>3395</v>
      </c>
      <c r="D222" s="82" t="s">
        <v>3705</v>
      </c>
      <c r="E222" s="82"/>
      <c r="F222" s="82" t="s">
        <v>4485</v>
      </c>
      <c r="G222" s="89">
        <v>2</v>
      </c>
      <c r="H222" s="89">
        <v>188</v>
      </c>
      <c r="I222" s="85">
        <v>0</v>
      </c>
      <c r="J222" s="85">
        <v>0</v>
      </c>
      <c r="K222" s="85">
        <v>376</v>
      </c>
      <c r="L222" s="85">
        <v>20534</v>
      </c>
      <c r="M222" s="89">
        <v>270.69561573893424</v>
      </c>
      <c r="N222" s="85">
        <v>0</v>
      </c>
      <c r="O222" s="85">
        <v>0</v>
      </c>
      <c r="P222" s="85">
        <v>541.39123147786847</v>
      </c>
      <c r="Q222" s="85">
        <v>29566.296667996146</v>
      </c>
      <c r="R222" s="82" t="s">
        <v>3396</v>
      </c>
      <c r="S222" s="7">
        <f t="shared" si="10"/>
        <v>0</v>
      </c>
      <c r="T222" s="6">
        <f t="shared" si="11"/>
        <v>0</v>
      </c>
      <c r="U222" s="25">
        <f t="shared" si="9"/>
        <v>0</v>
      </c>
    </row>
    <row r="223" spans="1:21" ht="10.9" customHeight="1" x14ac:dyDescent="0.2">
      <c r="A223" s="82" t="s">
        <v>3706</v>
      </c>
      <c r="B223" s="83">
        <v>45684</v>
      </c>
      <c r="C223" s="82" t="s">
        <v>3395</v>
      </c>
      <c r="D223" s="82" t="s">
        <v>3705</v>
      </c>
      <c r="E223" s="82"/>
      <c r="F223" s="82" t="s">
        <v>4484</v>
      </c>
      <c r="G223" s="89">
        <v>2</v>
      </c>
      <c r="H223" s="89">
        <v>188</v>
      </c>
      <c r="I223" s="85">
        <v>0</v>
      </c>
      <c r="J223" s="85">
        <v>0</v>
      </c>
      <c r="K223" s="85">
        <v>376</v>
      </c>
      <c r="L223" s="85">
        <v>20534</v>
      </c>
      <c r="M223" s="89">
        <v>270.69561573893424</v>
      </c>
      <c r="N223" s="85">
        <v>0</v>
      </c>
      <c r="O223" s="85">
        <v>0</v>
      </c>
      <c r="P223" s="85">
        <v>541.39123147786847</v>
      </c>
      <c r="Q223" s="85">
        <v>29566.296667996146</v>
      </c>
      <c r="R223" s="82" t="s">
        <v>3396</v>
      </c>
      <c r="S223" s="7">
        <f t="shared" si="10"/>
        <v>0</v>
      </c>
      <c r="T223" s="6">
        <f t="shared" si="11"/>
        <v>0</v>
      </c>
      <c r="U223" s="25">
        <f t="shared" si="9"/>
        <v>0</v>
      </c>
    </row>
    <row r="224" spans="1:21" ht="10.9" customHeight="1" x14ac:dyDescent="0.2">
      <c r="A224" s="82" t="s">
        <v>3706</v>
      </c>
      <c r="B224" s="83">
        <v>45684</v>
      </c>
      <c r="C224" s="82" t="s">
        <v>3395</v>
      </c>
      <c r="D224" s="82" t="s">
        <v>3705</v>
      </c>
      <c r="E224" s="82"/>
      <c r="F224" s="82" t="s">
        <v>4489</v>
      </c>
      <c r="G224" s="89">
        <v>2</v>
      </c>
      <c r="H224" s="89">
        <v>2230</v>
      </c>
      <c r="I224" s="85">
        <v>0</v>
      </c>
      <c r="J224" s="85">
        <v>0</v>
      </c>
      <c r="K224" s="85">
        <v>4460</v>
      </c>
      <c r="L224" s="85">
        <v>20534</v>
      </c>
      <c r="M224" s="89">
        <v>3210.9107611586346</v>
      </c>
      <c r="N224" s="85">
        <v>0</v>
      </c>
      <c r="O224" s="85">
        <v>0</v>
      </c>
      <c r="P224" s="85">
        <v>6421.8215223172692</v>
      </c>
      <c r="Q224" s="85">
        <v>29566.296667996146</v>
      </c>
      <c r="R224" s="82" t="s">
        <v>3396</v>
      </c>
      <c r="S224" s="7">
        <f t="shared" si="10"/>
        <v>0</v>
      </c>
      <c r="T224" s="6">
        <f t="shared" si="11"/>
        <v>0</v>
      </c>
      <c r="U224" s="25">
        <f t="shared" si="9"/>
        <v>0</v>
      </c>
    </row>
    <row r="225" spans="1:21" ht="10.9" customHeight="1" x14ac:dyDescent="0.2">
      <c r="A225" s="82" t="s">
        <v>3706</v>
      </c>
      <c r="B225" s="83">
        <v>45684</v>
      </c>
      <c r="C225" s="82" t="s">
        <v>3395</v>
      </c>
      <c r="D225" s="82" t="s">
        <v>3705</v>
      </c>
      <c r="E225" s="82"/>
      <c r="F225" s="82" t="s">
        <v>4474</v>
      </c>
      <c r="G225" s="89">
        <v>2</v>
      </c>
      <c r="H225" s="89">
        <v>15</v>
      </c>
      <c r="I225" s="85">
        <v>0</v>
      </c>
      <c r="J225" s="85">
        <v>0</v>
      </c>
      <c r="K225" s="85">
        <v>30</v>
      </c>
      <c r="L225" s="85">
        <v>20534</v>
      </c>
      <c r="M225" s="89">
        <v>21.598054447255389</v>
      </c>
      <c r="N225" s="85">
        <v>0</v>
      </c>
      <c r="O225" s="85">
        <v>0</v>
      </c>
      <c r="P225" s="85">
        <v>43.196108894510779</v>
      </c>
      <c r="Q225" s="85">
        <v>29566.296667996146</v>
      </c>
      <c r="R225" s="82" t="s">
        <v>3396</v>
      </c>
      <c r="S225" s="7">
        <f t="shared" si="10"/>
        <v>0</v>
      </c>
      <c r="T225" s="6">
        <f t="shared" si="11"/>
        <v>0</v>
      </c>
      <c r="U225" s="25">
        <f t="shared" si="9"/>
        <v>0</v>
      </c>
    </row>
    <row r="226" spans="1:21" ht="10.9" customHeight="1" x14ac:dyDescent="0.2">
      <c r="A226" s="82" t="s">
        <v>3706</v>
      </c>
      <c r="B226" s="83">
        <v>45684</v>
      </c>
      <c r="C226" s="82" t="s">
        <v>3395</v>
      </c>
      <c r="D226" s="82" t="s">
        <v>3705</v>
      </c>
      <c r="E226" s="82"/>
      <c r="F226" s="82" t="s">
        <v>4486</v>
      </c>
      <c r="G226" s="89">
        <v>2</v>
      </c>
      <c r="H226" s="89">
        <v>162</v>
      </c>
      <c r="I226" s="85">
        <v>0</v>
      </c>
      <c r="J226" s="85">
        <v>0</v>
      </c>
      <c r="K226" s="85">
        <v>324</v>
      </c>
      <c r="L226" s="85">
        <v>20534</v>
      </c>
      <c r="M226" s="89">
        <v>233.25898803035824</v>
      </c>
      <c r="N226" s="85">
        <v>0</v>
      </c>
      <c r="O226" s="85">
        <v>0</v>
      </c>
      <c r="P226" s="85">
        <v>466.51797606071648</v>
      </c>
      <c r="Q226" s="85">
        <v>29566.296667996146</v>
      </c>
      <c r="R226" s="82" t="s">
        <v>3396</v>
      </c>
      <c r="S226" s="7">
        <f t="shared" si="10"/>
        <v>0</v>
      </c>
      <c r="T226" s="6">
        <f t="shared" si="11"/>
        <v>0</v>
      </c>
      <c r="U226" s="25">
        <f t="shared" si="9"/>
        <v>0</v>
      </c>
    </row>
    <row r="227" spans="1:21" ht="10.9" customHeight="1" x14ac:dyDescent="0.2">
      <c r="A227" s="82" t="s">
        <v>3706</v>
      </c>
      <c r="B227" s="83">
        <v>45684</v>
      </c>
      <c r="C227" s="82" t="s">
        <v>3395</v>
      </c>
      <c r="D227" s="82" t="s">
        <v>3705</v>
      </c>
      <c r="E227" s="82"/>
      <c r="F227" s="82" t="s">
        <v>4901</v>
      </c>
      <c r="G227" s="89">
        <v>2</v>
      </c>
      <c r="H227" s="89">
        <v>162</v>
      </c>
      <c r="I227" s="85">
        <v>0</v>
      </c>
      <c r="J227" s="85">
        <v>0</v>
      </c>
      <c r="K227" s="85">
        <v>324</v>
      </c>
      <c r="L227" s="85">
        <v>20534</v>
      </c>
      <c r="M227" s="89">
        <v>233.25898803035824</v>
      </c>
      <c r="N227" s="85">
        <v>0</v>
      </c>
      <c r="O227" s="85">
        <v>0</v>
      </c>
      <c r="P227" s="85">
        <v>466.51797606071648</v>
      </c>
      <c r="Q227" s="85">
        <v>29566.296667996146</v>
      </c>
      <c r="R227" s="82" t="s">
        <v>3396</v>
      </c>
      <c r="S227" s="7">
        <f t="shared" si="10"/>
        <v>0</v>
      </c>
      <c r="T227" s="6">
        <f t="shared" si="11"/>
        <v>0</v>
      </c>
      <c r="U227" s="25">
        <f t="shared" si="9"/>
        <v>0</v>
      </c>
    </row>
    <row r="228" spans="1:21" ht="10.9" customHeight="1" x14ac:dyDescent="0.2">
      <c r="A228" s="82" t="s">
        <v>3706</v>
      </c>
      <c r="B228" s="83">
        <v>45684</v>
      </c>
      <c r="C228" s="82" t="s">
        <v>3395</v>
      </c>
      <c r="D228" s="82" t="s">
        <v>3705</v>
      </c>
      <c r="E228" s="82"/>
      <c r="F228" s="82" t="s">
        <v>4900</v>
      </c>
      <c r="G228" s="89">
        <v>2</v>
      </c>
      <c r="H228" s="89">
        <v>58</v>
      </c>
      <c r="I228" s="85">
        <v>0</v>
      </c>
      <c r="J228" s="85">
        <v>0</v>
      </c>
      <c r="K228" s="85">
        <v>116</v>
      </c>
      <c r="L228" s="85">
        <v>20534</v>
      </c>
      <c r="M228" s="89">
        <v>83.512477196054178</v>
      </c>
      <c r="N228" s="85">
        <v>0</v>
      </c>
      <c r="O228" s="85">
        <v>0</v>
      </c>
      <c r="P228" s="85">
        <v>167.02495439210836</v>
      </c>
      <c r="Q228" s="85">
        <v>29566.296667996146</v>
      </c>
      <c r="R228" s="82" t="s">
        <v>3396</v>
      </c>
      <c r="S228" s="7">
        <f t="shared" si="10"/>
        <v>0</v>
      </c>
      <c r="T228" s="6">
        <f t="shared" si="11"/>
        <v>0</v>
      </c>
      <c r="U228" s="25">
        <f t="shared" si="9"/>
        <v>0</v>
      </c>
    </row>
    <row r="229" spans="1:21" ht="10.9" customHeight="1" x14ac:dyDescent="0.2">
      <c r="A229" s="82" t="s">
        <v>3706</v>
      </c>
      <c r="B229" s="83">
        <v>45684</v>
      </c>
      <c r="C229" s="82" t="s">
        <v>3395</v>
      </c>
      <c r="D229" s="82" t="s">
        <v>3705</v>
      </c>
      <c r="E229" s="82"/>
      <c r="F229" s="82" t="s">
        <v>4475</v>
      </c>
      <c r="G229" s="89">
        <v>2</v>
      </c>
      <c r="H229" s="89">
        <v>58</v>
      </c>
      <c r="I229" s="85">
        <v>0</v>
      </c>
      <c r="J229" s="85">
        <v>0</v>
      </c>
      <c r="K229" s="85">
        <v>116</v>
      </c>
      <c r="L229" s="85">
        <v>20534</v>
      </c>
      <c r="M229" s="89">
        <v>83.512477196054178</v>
      </c>
      <c r="N229" s="85">
        <v>0</v>
      </c>
      <c r="O229" s="85">
        <v>0</v>
      </c>
      <c r="P229" s="85">
        <v>167.02495439210836</v>
      </c>
      <c r="Q229" s="85">
        <v>29566.296667996146</v>
      </c>
      <c r="R229" s="82" t="s">
        <v>3396</v>
      </c>
      <c r="S229" s="7">
        <f t="shared" si="10"/>
        <v>0</v>
      </c>
      <c r="T229" s="6">
        <f t="shared" si="11"/>
        <v>0</v>
      </c>
      <c r="U229" s="25">
        <f t="shared" si="9"/>
        <v>0</v>
      </c>
    </row>
    <row r="230" spans="1:21" ht="10.9" customHeight="1" x14ac:dyDescent="0.2">
      <c r="A230" s="82" t="s">
        <v>3706</v>
      </c>
      <c r="B230" s="83">
        <v>45684</v>
      </c>
      <c r="C230" s="82" t="s">
        <v>3395</v>
      </c>
      <c r="D230" s="82" t="s">
        <v>3705</v>
      </c>
      <c r="E230" s="82"/>
      <c r="F230" s="82" t="s">
        <v>5711</v>
      </c>
      <c r="G230" s="89">
        <v>2</v>
      </c>
      <c r="H230" s="89">
        <v>53</v>
      </c>
      <c r="I230" s="85">
        <v>0</v>
      </c>
      <c r="J230" s="85">
        <v>0</v>
      </c>
      <c r="K230" s="85">
        <v>106</v>
      </c>
      <c r="L230" s="85">
        <v>20534</v>
      </c>
      <c r="M230" s="89">
        <v>76.313125713635714</v>
      </c>
      <c r="N230" s="85">
        <v>0</v>
      </c>
      <c r="O230" s="85">
        <v>0</v>
      </c>
      <c r="P230" s="85">
        <v>152.62625142727143</v>
      </c>
      <c r="Q230" s="85">
        <v>29566.296667996146</v>
      </c>
      <c r="R230" s="82" t="s">
        <v>3396</v>
      </c>
      <c r="S230" s="7">
        <f t="shared" si="10"/>
        <v>0</v>
      </c>
      <c r="T230" s="6">
        <f t="shared" si="11"/>
        <v>0</v>
      </c>
      <c r="U230" s="25">
        <f t="shared" si="9"/>
        <v>0</v>
      </c>
    </row>
    <row r="231" spans="1:21" ht="10.9" customHeight="1" x14ac:dyDescent="0.2">
      <c r="A231" s="82" t="s">
        <v>3706</v>
      </c>
      <c r="B231" s="83">
        <v>45684</v>
      </c>
      <c r="C231" s="82" t="s">
        <v>3395</v>
      </c>
      <c r="D231" s="82" t="s">
        <v>3705</v>
      </c>
      <c r="E231" s="82"/>
      <c r="F231" s="82" t="s">
        <v>4899</v>
      </c>
      <c r="G231" s="89">
        <v>2</v>
      </c>
      <c r="H231" s="89">
        <v>36</v>
      </c>
      <c r="I231" s="85">
        <v>0</v>
      </c>
      <c r="J231" s="85">
        <v>0</v>
      </c>
      <c r="K231" s="85">
        <v>72</v>
      </c>
      <c r="L231" s="85">
        <v>20534</v>
      </c>
      <c r="M231" s="89">
        <v>51.83533067341294</v>
      </c>
      <c r="N231" s="85">
        <v>0</v>
      </c>
      <c r="O231" s="85">
        <v>0</v>
      </c>
      <c r="P231" s="85">
        <v>103.67066134682588</v>
      </c>
      <c r="Q231" s="85">
        <v>29566.296667996146</v>
      </c>
      <c r="R231" s="82" t="s">
        <v>3396</v>
      </c>
      <c r="S231" s="7">
        <f t="shared" si="10"/>
        <v>0</v>
      </c>
      <c r="T231" s="6">
        <f t="shared" si="11"/>
        <v>0</v>
      </c>
      <c r="U231" s="25">
        <f t="shared" si="9"/>
        <v>0</v>
      </c>
    </row>
    <row r="232" spans="1:21" ht="10.9" customHeight="1" x14ac:dyDescent="0.2">
      <c r="A232" s="82" t="s">
        <v>3706</v>
      </c>
      <c r="B232" s="83">
        <v>45684</v>
      </c>
      <c r="C232" s="82" t="s">
        <v>3395</v>
      </c>
      <c r="D232" s="82" t="s">
        <v>3705</v>
      </c>
      <c r="E232" s="82"/>
      <c r="F232" s="82" t="s">
        <v>4490</v>
      </c>
      <c r="G232" s="89">
        <v>2</v>
      </c>
      <c r="H232" s="89">
        <v>4213</v>
      </c>
      <c r="I232" s="85">
        <v>0</v>
      </c>
      <c r="J232" s="85">
        <v>0</v>
      </c>
      <c r="K232" s="85">
        <v>8426</v>
      </c>
      <c r="L232" s="85">
        <v>20534</v>
      </c>
      <c r="M232" s="89">
        <v>6066.1735590857979</v>
      </c>
      <c r="N232" s="85">
        <v>0</v>
      </c>
      <c r="O232" s="85">
        <v>0</v>
      </c>
      <c r="P232" s="85">
        <v>12132.347118171596</v>
      </c>
      <c r="Q232" s="85">
        <v>29566.296667996146</v>
      </c>
      <c r="R232" s="82" t="s">
        <v>3396</v>
      </c>
      <c r="S232" s="7">
        <f t="shared" si="10"/>
        <v>0</v>
      </c>
      <c r="T232" s="6">
        <f t="shared" si="11"/>
        <v>0</v>
      </c>
      <c r="U232" s="25">
        <f t="shared" si="9"/>
        <v>0</v>
      </c>
    </row>
    <row r="233" spans="1:21" ht="10.9" customHeight="1" x14ac:dyDescent="0.2">
      <c r="A233" s="82" t="s">
        <v>3706</v>
      </c>
      <c r="B233" s="83">
        <v>45684</v>
      </c>
      <c r="C233" s="82" t="s">
        <v>3395</v>
      </c>
      <c r="D233" s="82" t="s">
        <v>3705</v>
      </c>
      <c r="E233" s="82"/>
      <c r="F233" s="82" t="s">
        <v>4487</v>
      </c>
      <c r="G233" s="89">
        <v>2</v>
      </c>
      <c r="H233" s="89">
        <v>465</v>
      </c>
      <c r="I233" s="85">
        <v>0</v>
      </c>
      <c r="J233" s="85">
        <v>0</v>
      </c>
      <c r="K233" s="85">
        <v>930</v>
      </c>
      <c r="L233" s="85">
        <v>20534</v>
      </c>
      <c r="M233" s="89">
        <v>669.53968786491714</v>
      </c>
      <c r="N233" s="85">
        <v>0</v>
      </c>
      <c r="O233" s="85">
        <v>0</v>
      </c>
      <c r="P233" s="85">
        <v>1339.0793757298343</v>
      </c>
      <c r="Q233" s="85">
        <v>29566.296667996146</v>
      </c>
      <c r="R233" s="82" t="s">
        <v>3396</v>
      </c>
      <c r="S233" s="7">
        <f t="shared" si="10"/>
        <v>0</v>
      </c>
      <c r="T233" s="6">
        <f t="shared" si="11"/>
        <v>0</v>
      </c>
      <c r="U233" s="25">
        <f t="shared" si="9"/>
        <v>0</v>
      </c>
    </row>
    <row r="234" spans="1:21" ht="10.9" customHeight="1" x14ac:dyDescent="0.2">
      <c r="A234" s="82" t="s">
        <v>3706</v>
      </c>
      <c r="B234" s="83">
        <v>45684</v>
      </c>
      <c r="C234" s="82" t="s">
        <v>3395</v>
      </c>
      <c r="D234" s="82" t="s">
        <v>3705</v>
      </c>
      <c r="E234" s="82"/>
      <c r="F234" s="82" t="s">
        <v>4488</v>
      </c>
      <c r="G234" s="89">
        <v>2</v>
      </c>
      <c r="H234" s="89">
        <v>561</v>
      </c>
      <c r="I234" s="85">
        <v>0</v>
      </c>
      <c r="J234" s="85">
        <v>0</v>
      </c>
      <c r="K234" s="85">
        <v>1122</v>
      </c>
      <c r="L234" s="85">
        <v>20534</v>
      </c>
      <c r="M234" s="89">
        <v>807.76723632735161</v>
      </c>
      <c r="N234" s="85">
        <v>0</v>
      </c>
      <c r="O234" s="85">
        <v>0</v>
      </c>
      <c r="P234" s="85">
        <v>1615.5344726547032</v>
      </c>
      <c r="Q234" s="85">
        <v>29566.296667996146</v>
      </c>
      <c r="R234" s="82" t="s">
        <v>3396</v>
      </c>
      <c r="S234" s="7">
        <f t="shared" si="10"/>
        <v>0</v>
      </c>
      <c r="T234" s="6">
        <f t="shared" si="11"/>
        <v>0</v>
      </c>
      <c r="U234" s="25">
        <f t="shared" si="9"/>
        <v>0</v>
      </c>
    </row>
    <row r="235" spans="1:21" ht="10.9" customHeight="1" x14ac:dyDescent="0.2">
      <c r="A235" s="82" t="s">
        <v>3706</v>
      </c>
      <c r="B235" s="83">
        <v>45684</v>
      </c>
      <c r="C235" s="82" t="s">
        <v>3395</v>
      </c>
      <c r="D235" s="82" t="s">
        <v>3705</v>
      </c>
      <c r="E235" s="82"/>
      <c r="F235" s="82" t="s">
        <v>4470</v>
      </c>
      <c r="G235" s="89">
        <v>2</v>
      </c>
      <c r="H235" s="89">
        <v>15</v>
      </c>
      <c r="I235" s="85">
        <v>0</v>
      </c>
      <c r="J235" s="85">
        <v>0</v>
      </c>
      <c r="K235" s="85">
        <v>30</v>
      </c>
      <c r="L235" s="85">
        <v>20534</v>
      </c>
      <c r="M235" s="89">
        <v>21.598054447255389</v>
      </c>
      <c r="N235" s="85">
        <v>0</v>
      </c>
      <c r="O235" s="85">
        <v>0</v>
      </c>
      <c r="P235" s="85">
        <v>43.196108894510779</v>
      </c>
      <c r="Q235" s="85">
        <v>29566.296667996146</v>
      </c>
      <c r="R235" s="82" t="s">
        <v>3396</v>
      </c>
      <c r="S235" s="7">
        <f t="shared" si="10"/>
        <v>0</v>
      </c>
      <c r="T235" s="6">
        <f t="shared" si="11"/>
        <v>0</v>
      </c>
      <c r="U235" s="25">
        <f t="shared" si="9"/>
        <v>0</v>
      </c>
    </row>
    <row r="236" spans="1:21" ht="10.9" customHeight="1" x14ac:dyDescent="0.2">
      <c r="A236" s="82" t="s">
        <v>3706</v>
      </c>
      <c r="B236" s="83">
        <v>45684</v>
      </c>
      <c r="C236" s="82" t="s">
        <v>3395</v>
      </c>
      <c r="D236" s="82" t="s">
        <v>3705</v>
      </c>
      <c r="E236" s="82"/>
      <c r="F236" s="82" t="s">
        <v>4478</v>
      </c>
      <c r="G236" s="89">
        <v>2</v>
      </c>
      <c r="H236" s="89">
        <v>15</v>
      </c>
      <c r="I236" s="85">
        <v>0</v>
      </c>
      <c r="J236" s="85">
        <v>0</v>
      </c>
      <c r="K236" s="85">
        <v>30</v>
      </c>
      <c r="L236" s="85">
        <v>20534</v>
      </c>
      <c r="M236" s="89">
        <v>21.598054447255389</v>
      </c>
      <c r="N236" s="85">
        <v>0</v>
      </c>
      <c r="O236" s="85">
        <v>0</v>
      </c>
      <c r="P236" s="85">
        <v>43.196108894510779</v>
      </c>
      <c r="Q236" s="85">
        <v>29566.296667996146</v>
      </c>
      <c r="R236" s="82" t="s">
        <v>3396</v>
      </c>
      <c r="S236" s="7">
        <f t="shared" si="10"/>
        <v>0</v>
      </c>
      <c r="T236" s="6">
        <f t="shared" si="11"/>
        <v>0</v>
      </c>
      <c r="U236" s="25">
        <f t="shared" si="9"/>
        <v>0</v>
      </c>
    </row>
    <row r="237" spans="1:21" ht="10.9" customHeight="1" x14ac:dyDescent="0.2">
      <c r="A237" s="82" t="s">
        <v>3706</v>
      </c>
      <c r="B237" s="83">
        <v>45684</v>
      </c>
      <c r="C237" s="82" t="s">
        <v>3395</v>
      </c>
      <c r="D237" s="82" t="s">
        <v>3705</v>
      </c>
      <c r="E237" s="82"/>
      <c r="F237" s="82" t="s">
        <v>4473</v>
      </c>
      <c r="G237" s="89">
        <v>2</v>
      </c>
      <c r="H237" s="89">
        <v>186</v>
      </c>
      <c r="I237" s="85">
        <v>0</v>
      </c>
      <c r="J237" s="85">
        <v>0</v>
      </c>
      <c r="K237" s="85">
        <v>372</v>
      </c>
      <c r="L237" s="85">
        <v>20534</v>
      </c>
      <c r="M237" s="89">
        <v>267.81587514596686</v>
      </c>
      <c r="N237" s="85">
        <v>0</v>
      </c>
      <c r="O237" s="85">
        <v>0</v>
      </c>
      <c r="P237" s="85">
        <v>535.63175029193371</v>
      </c>
      <c r="Q237" s="85">
        <v>29566.296667996146</v>
      </c>
      <c r="R237" s="82" t="s">
        <v>3396</v>
      </c>
      <c r="S237" s="7">
        <f t="shared" si="10"/>
        <v>0</v>
      </c>
      <c r="T237" s="6">
        <f t="shared" si="11"/>
        <v>0</v>
      </c>
      <c r="U237" s="25">
        <f t="shared" si="9"/>
        <v>0</v>
      </c>
    </row>
    <row r="238" spans="1:21" ht="10.9" customHeight="1" x14ac:dyDescent="0.2">
      <c r="A238" s="82" t="s">
        <v>3706</v>
      </c>
      <c r="B238" s="83">
        <v>45684</v>
      </c>
      <c r="C238" s="82" t="s">
        <v>3395</v>
      </c>
      <c r="D238" s="82" t="s">
        <v>3705</v>
      </c>
      <c r="E238" s="82"/>
      <c r="F238" s="82" t="s">
        <v>4472</v>
      </c>
      <c r="G238" s="89">
        <v>2</v>
      </c>
      <c r="H238" s="89">
        <v>418</v>
      </c>
      <c r="I238" s="85">
        <v>0</v>
      </c>
      <c r="J238" s="85">
        <v>0</v>
      </c>
      <c r="K238" s="85">
        <v>836</v>
      </c>
      <c r="L238" s="85">
        <v>20534</v>
      </c>
      <c r="M238" s="89">
        <v>601.86578393018362</v>
      </c>
      <c r="N238" s="85">
        <v>0</v>
      </c>
      <c r="O238" s="85">
        <v>0</v>
      </c>
      <c r="P238" s="85">
        <v>1203.7315678603672</v>
      </c>
      <c r="Q238" s="85">
        <v>29566.296667996146</v>
      </c>
      <c r="R238" s="82" t="s">
        <v>3396</v>
      </c>
      <c r="S238" s="7">
        <f t="shared" si="10"/>
        <v>0</v>
      </c>
      <c r="T238" s="6">
        <f t="shared" si="11"/>
        <v>0</v>
      </c>
      <c r="U238" s="25">
        <f t="shared" si="9"/>
        <v>0</v>
      </c>
    </row>
    <row r="239" spans="1:21" ht="10.9" customHeight="1" x14ac:dyDescent="0.2">
      <c r="A239" s="82" t="s">
        <v>3706</v>
      </c>
      <c r="B239" s="83">
        <v>45684</v>
      </c>
      <c r="C239" s="82" t="s">
        <v>3395</v>
      </c>
      <c r="D239" s="82" t="s">
        <v>3705</v>
      </c>
      <c r="E239" s="82"/>
      <c r="F239" s="82" t="s">
        <v>5710</v>
      </c>
      <c r="G239" s="89">
        <v>2</v>
      </c>
      <c r="H239" s="89">
        <v>95</v>
      </c>
      <c r="I239" s="85">
        <v>0</v>
      </c>
      <c r="J239" s="85">
        <v>0</v>
      </c>
      <c r="K239" s="85">
        <v>190</v>
      </c>
      <c r="L239" s="85">
        <v>20534</v>
      </c>
      <c r="M239" s="89">
        <v>136.78767816595081</v>
      </c>
      <c r="N239" s="85">
        <v>0</v>
      </c>
      <c r="O239" s="85">
        <v>0</v>
      </c>
      <c r="P239" s="85">
        <v>273.57535633190162</v>
      </c>
      <c r="Q239" s="85">
        <v>29566.296667996146</v>
      </c>
      <c r="R239" s="82" t="s">
        <v>3396</v>
      </c>
      <c r="S239" s="7">
        <f t="shared" si="10"/>
        <v>0</v>
      </c>
      <c r="T239" s="6">
        <f t="shared" si="11"/>
        <v>0</v>
      </c>
      <c r="U239" s="25">
        <f t="shared" si="9"/>
        <v>0</v>
      </c>
    </row>
    <row r="240" spans="1:21" ht="10.9" customHeight="1" x14ac:dyDescent="0.2">
      <c r="A240" s="82" t="s">
        <v>3706</v>
      </c>
      <c r="B240" s="83">
        <v>45684</v>
      </c>
      <c r="C240" s="82" t="s">
        <v>3395</v>
      </c>
      <c r="D240" s="82" t="s">
        <v>3705</v>
      </c>
      <c r="E240" s="82"/>
      <c r="F240" s="82" t="s">
        <v>4482</v>
      </c>
      <c r="G240" s="89">
        <v>2</v>
      </c>
      <c r="H240" s="89">
        <v>83</v>
      </c>
      <c r="I240" s="85">
        <v>0</v>
      </c>
      <c r="J240" s="85">
        <v>0</v>
      </c>
      <c r="K240" s="85">
        <v>166</v>
      </c>
      <c r="L240" s="85">
        <v>20534</v>
      </c>
      <c r="M240" s="89">
        <v>119.5092346081465</v>
      </c>
      <c r="N240" s="85">
        <v>0</v>
      </c>
      <c r="O240" s="85">
        <v>0</v>
      </c>
      <c r="P240" s="85">
        <v>239.018469216293</v>
      </c>
      <c r="Q240" s="85">
        <v>29566.296667996146</v>
      </c>
      <c r="R240" s="82" t="s">
        <v>3396</v>
      </c>
      <c r="S240" s="7">
        <f t="shared" si="10"/>
        <v>0</v>
      </c>
      <c r="T240" s="6">
        <f t="shared" si="11"/>
        <v>0</v>
      </c>
      <c r="U240" s="25">
        <f t="shared" si="9"/>
        <v>0</v>
      </c>
    </row>
    <row r="241" spans="1:21" ht="10.9" customHeight="1" x14ac:dyDescent="0.2">
      <c r="A241" s="82" t="s">
        <v>3706</v>
      </c>
      <c r="B241" s="83">
        <v>45684</v>
      </c>
      <c r="C241" s="82" t="s">
        <v>3395</v>
      </c>
      <c r="D241" s="82" t="s">
        <v>3705</v>
      </c>
      <c r="E241" s="82"/>
      <c r="F241" s="82" t="s">
        <v>5709</v>
      </c>
      <c r="G241" s="89">
        <v>1</v>
      </c>
      <c r="H241" s="89">
        <v>560</v>
      </c>
      <c r="I241" s="85">
        <v>0</v>
      </c>
      <c r="J241" s="85">
        <v>0</v>
      </c>
      <c r="K241" s="85">
        <v>560</v>
      </c>
      <c r="L241" s="85">
        <v>20534</v>
      </c>
      <c r="M241" s="89">
        <v>806.32736603086789</v>
      </c>
      <c r="N241" s="85">
        <v>0</v>
      </c>
      <c r="O241" s="85">
        <v>0</v>
      </c>
      <c r="P241" s="85">
        <v>806.32736603086789</v>
      </c>
      <c r="Q241" s="85">
        <v>29566.296667996146</v>
      </c>
      <c r="R241" s="82" t="s">
        <v>3396</v>
      </c>
      <c r="S241" s="7">
        <f t="shared" si="10"/>
        <v>0</v>
      </c>
      <c r="T241" s="6">
        <f t="shared" si="11"/>
        <v>0</v>
      </c>
      <c r="U241" s="25">
        <f t="shared" si="9"/>
        <v>0</v>
      </c>
    </row>
    <row r="242" spans="1:21" ht="10.9" customHeight="1" x14ac:dyDescent="0.2">
      <c r="A242" s="82" t="s">
        <v>3706</v>
      </c>
      <c r="B242" s="83">
        <v>45684</v>
      </c>
      <c r="C242" s="82" t="s">
        <v>3395</v>
      </c>
      <c r="D242" s="82" t="s">
        <v>3705</v>
      </c>
      <c r="E242" s="82"/>
      <c r="F242" s="82" t="s">
        <v>5708</v>
      </c>
      <c r="G242" s="89">
        <v>1</v>
      </c>
      <c r="H242" s="89">
        <v>88</v>
      </c>
      <c r="I242" s="85">
        <v>0</v>
      </c>
      <c r="J242" s="85">
        <v>0</v>
      </c>
      <c r="K242" s="85">
        <v>88</v>
      </c>
      <c r="L242" s="85">
        <v>20534</v>
      </c>
      <c r="M242" s="89">
        <v>126.70858609056496</v>
      </c>
      <c r="N242" s="85">
        <v>0</v>
      </c>
      <c r="O242" s="85">
        <v>0</v>
      </c>
      <c r="P242" s="85">
        <v>126.70858609056496</v>
      </c>
      <c r="Q242" s="85">
        <v>29566.296667996146</v>
      </c>
      <c r="R242" s="82" t="s">
        <v>3396</v>
      </c>
      <c r="S242" s="7">
        <f t="shared" si="10"/>
        <v>0</v>
      </c>
      <c r="T242" s="6">
        <f t="shared" si="11"/>
        <v>0</v>
      </c>
      <c r="U242" s="25">
        <f t="shared" si="9"/>
        <v>0</v>
      </c>
    </row>
    <row r="243" spans="1:21" ht="10.9" customHeight="1" x14ac:dyDescent="0.2">
      <c r="A243" s="82" t="s">
        <v>3706</v>
      </c>
      <c r="B243" s="83">
        <v>45684</v>
      </c>
      <c r="C243" s="82" t="s">
        <v>3395</v>
      </c>
      <c r="D243" s="82" t="s">
        <v>3705</v>
      </c>
      <c r="E243" s="82"/>
      <c r="F243" s="82" t="s">
        <v>5707</v>
      </c>
      <c r="G243" s="89">
        <v>1</v>
      </c>
      <c r="H243" s="89">
        <v>560</v>
      </c>
      <c r="I243" s="85">
        <v>0</v>
      </c>
      <c r="J243" s="85">
        <v>0</v>
      </c>
      <c r="K243" s="85">
        <v>560</v>
      </c>
      <c r="L243" s="85">
        <v>20534</v>
      </c>
      <c r="M243" s="89">
        <v>806.32736603086789</v>
      </c>
      <c r="N243" s="85">
        <v>0</v>
      </c>
      <c r="O243" s="85">
        <v>0</v>
      </c>
      <c r="P243" s="85">
        <v>806.32736603086789</v>
      </c>
      <c r="Q243" s="85">
        <v>29566.296667996146</v>
      </c>
      <c r="R243" s="82" t="s">
        <v>3396</v>
      </c>
      <c r="S243" s="7">
        <f t="shared" si="10"/>
        <v>0</v>
      </c>
      <c r="T243" s="6">
        <f t="shared" si="11"/>
        <v>0</v>
      </c>
      <c r="U243" s="25">
        <f t="shared" si="9"/>
        <v>0</v>
      </c>
    </row>
    <row r="244" spans="1:21" ht="10.9" customHeight="1" x14ac:dyDescent="0.2">
      <c r="A244" s="82" t="s">
        <v>3706</v>
      </c>
      <c r="B244" s="83">
        <v>45684</v>
      </c>
      <c r="C244" s="82" t="s">
        <v>3395</v>
      </c>
      <c r="D244" s="82" t="s">
        <v>3705</v>
      </c>
      <c r="E244" s="82"/>
      <c r="F244" s="82" t="s">
        <v>5706</v>
      </c>
      <c r="G244" s="89">
        <v>1</v>
      </c>
      <c r="H244" s="89">
        <v>88</v>
      </c>
      <c r="I244" s="85">
        <v>0</v>
      </c>
      <c r="J244" s="85">
        <v>0</v>
      </c>
      <c r="K244" s="85">
        <v>88</v>
      </c>
      <c r="L244" s="85">
        <v>20534</v>
      </c>
      <c r="M244" s="89">
        <v>126.70858609056496</v>
      </c>
      <c r="N244" s="85">
        <v>0</v>
      </c>
      <c r="O244" s="85">
        <v>0</v>
      </c>
      <c r="P244" s="85">
        <v>126.70858609056496</v>
      </c>
      <c r="Q244" s="85">
        <v>29566.296667996146</v>
      </c>
      <c r="R244" s="82" t="s">
        <v>3396</v>
      </c>
      <c r="S244" s="7">
        <f t="shared" si="10"/>
        <v>0</v>
      </c>
      <c r="T244" s="6">
        <f t="shared" si="11"/>
        <v>0</v>
      </c>
      <c r="U244" s="25">
        <f t="shared" si="9"/>
        <v>0</v>
      </c>
    </row>
    <row r="245" spans="1:21" ht="10.9" customHeight="1" x14ac:dyDescent="0.2">
      <c r="A245" s="82" t="s">
        <v>3706</v>
      </c>
      <c r="B245" s="83">
        <v>45684</v>
      </c>
      <c r="C245" s="82" t="s">
        <v>3395</v>
      </c>
      <c r="D245" s="82" t="s">
        <v>3705</v>
      </c>
      <c r="E245" s="82"/>
      <c r="F245" s="82" t="s">
        <v>5705</v>
      </c>
      <c r="G245" s="89">
        <v>1</v>
      </c>
      <c r="H245" s="89">
        <v>340</v>
      </c>
      <c r="I245" s="85">
        <v>0</v>
      </c>
      <c r="J245" s="85">
        <v>0</v>
      </c>
      <c r="K245" s="85">
        <v>340</v>
      </c>
      <c r="L245" s="85">
        <v>20534</v>
      </c>
      <c r="M245" s="89">
        <v>489.55590080445552</v>
      </c>
      <c r="N245" s="85">
        <v>0</v>
      </c>
      <c r="O245" s="85">
        <v>0</v>
      </c>
      <c r="P245" s="85">
        <v>489.55590080445552</v>
      </c>
      <c r="Q245" s="85">
        <v>29566.296667996146</v>
      </c>
      <c r="R245" s="82" t="s">
        <v>3396</v>
      </c>
      <c r="S245" s="7">
        <f t="shared" si="10"/>
        <v>0</v>
      </c>
      <c r="T245" s="6">
        <f t="shared" si="11"/>
        <v>0</v>
      </c>
      <c r="U245" s="25">
        <f t="shared" si="9"/>
        <v>0</v>
      </c>
    </row>
    <row r="246" spans="1:21" ht="10.9" customHeight="1" x14ac:dyDescent="0.2">
      <c r="A246" s="82" t="s">
        <v>3706</v>
      </c>
      <c r="B246" s="83">
        <v>45684</v>
      </c>
      <c r="C246" s="82" t="s">
        <v>3395</v>
      </c>
      <c r="D246" s="82" t="s">
        <v>3705</v>
      </c>
      <c r="E246" s="82"/>
      <c r="F246" s="82" t="s">
        <v>5704</v>
      </c>
      <c r="G246" s="89">
        <v>1</v>
      </c>
      <c r="H246" s="89">
        <v>340</v>
      </c>
      <c r="I246" s="85">
        <v>0</v>
      </c>
      <c r="J246" s="85">
        <v>0</v>
      </c>
      <c r="K246" s="85">
        <v>340</v>
      </c>
      <c r="L246" s="85">
        <v>20534</v>
      </c>
      <c r="M246" s="89">
        <v>489.55590080445552</v>
      </c>
      <c r="N246" s="85">
        <v>0</v>
      </c>
      <c r="O246" s="85">
        <v>0</v>
      </c>
      <c r="P246" s="85">
        <v>489.55590080445552</v>
      </c>
      <c r="Q246" s="85">
        <v>29566.296667996146</v>
      </c>
      <c r="R246" s="82" t="s">
        <v>3396</v>
      </c>
      <c r="S246" s="7">
        <f t="shared" si="10"/>
        <v>0</v>
      </c>
      <c r="T246" s="6">
        <f t="shared" si="11"/>
        <v>0</v>
      </c>
      <c r="U246" s="25">
        <f t="shared" si="9"/>
        <v>0</v>
      </c>
    </row>
    <row r="247" spans="1:21" ht="10.9" customHeight="1" x14ac:dyDescent="0.2">
      <c r="A247" s="82" t="s">
        <v>3706</v>
      </c>
      <c r="B247" s="83">
        <v>45684</v>
      </c>
      <c r="C247" s="82" t="s">
        <v>3395</v>
      </c>
      <c r="D247" s="82" t="s">
        <v>3705</v>
      </c>
      <c r="E247" s="82"/>
      <c r="F247" s="82" t="s">
        <v>4469</v>
      </c>
      <c r="G247" s="89">
        <v>4</v>
      </c>
      <c r="H247" s="89">
        <v>35</v>
      </c>
      <c r="I247" s="85">
        <v>0</v>
      </c>
      <c r="J247" s="85">
        <v>0</v>
      </c>
      <c r="K247" s="85">
        <v>140</v>
      </c>
      <c r="L247" s="85">
        <v>20534</v>
      </c>
      <c r="M247" s="89">
        <v>50.395460376929243</v>
      </c>
      <c r="N247" s="85">
        <v>0</v>
      </c>
      <c r="O247" s="85">
        <v>0</v>
      </c>
      <c r="P247" s="85">
        <v>201.58184150771697</v>
      </c>
      <c r="Q247" s="85">
        <v>29566.296667996146</v>
      </c>
      <c r="R247" s="82" t="s">
        <v>3396</v>
      </c>
      <c r="S247" s="7">
        <f t="shared" si="10"/>
        <v>0</v>
      </c>
      <c r="T247" s="6">
        <f t="shared" si="11"/>
        <v>0</v>
      </c>
      <c r="U247" s="25">
        <f t="shared" si="9"/>
        <v>0</v>
      </c>
    </row>
    <row r="248" spans="1:21" ht="10.9" customHeight="1" x14ac:dyDescent="0.2">
      <c r="A248" s="82" t="s">
        <v>3706</v>
      </c>
      <c r="B248" s="83">
        <v>45684</v>
      </c>
      <c r="C248" s="82" t="s">
        <v>3395</v>
      </c>
      <c r="D248" s="82" t="s">
        <v>3705</v>
      </c>
      <c r="E248" s="82"/>
      <c r="F248" s="82" t="s">
        <v>4468</v>
      </c>
      <c r="G248" s="89">
        <v>4</v>
      </c>
      <c r="H248" s="89">
        <v>4</v>
      </c>
      <c r="I248" s="85">
        <v>0</v>
      </c>
      <c r="J248" s="85">
        <v>0</v>
      </c>
      <c r="K248" s="85">
        <v>16</v>
      </c>
      <c r="L248" s="85">
        <v>20534</v>
      </c>
      <c r="M248" s="89">
        <v>5.7594811859347708</v>
      </c>
      <c r="N248" s="85">
        <v>0</v>
      </c>
      <c r="O248" s="85">
        <v>0</v>
      </c>
      <c r="P248" s="85">
        <v>23.037924743739083</v>
      </c>
      <c r="Q248" s="85">
        <v>29566.296667996146</v>
      </c>
      <c r="R248" s="82" t="s">
        <v>3396</v>
      </c>
      <c r="S248" s="7">
        <f t="shared" si="10"/>
        <v>0</v>
      </c>
      <c r="T248" s="6">
        <f t="shared" si="11"/>
        <v>0</v>
      </c>
      <c r="U248" s="25">
        <f t="shared" si="9"/>
        <v>0</v>
      </c>
    </row>
    <row r="249" spans="1:21" ht="10.9" customHeight="1" x14ac:dyDescent="0.2">
      <c r="A249" s="82" t="s">
        <v>2348</v>
      </c>
      <c r="B249" s="83">
        <v>45684</v>
      </c>
      <c r="C249" s="82" t="s">
        <v>3395</v>
      </c>
      <c r="D249" s="82" t="s">
        <v>2121</v>
      </c>
      <c r="E249" s="82"/>
      <c r="F249" s="82" t="s">
        <v>4573</v>
      </c>
      <c r="G249" s="89">
        <v>1</v>
      </c>
      <c r="H249" s="89">
        <v>228.6</v>
      </c>
      <c r="I249" s="85">
        <v>0</v>
      </c>
      <c r="J249" s="85">
        <v>11.43</v>
      </c>
      <c r="K249" s="85">
        <v>240.03</v>
      </c>
      <c r="L249" s="85">
        <v>240.03</v>
      </c>
      <c r="M249" s="89">
        <v>228.6</v>
      </c>
      <c r="N249" s="85">
        <v>0</v>
      </c>
      <c r="O249" s="85">
        <v>11.43</v>
      </c>
      <c r="P249" s="85">
        <v>240.03</v>
      </c>
      <c r="Q249" s="85">
        <v>240.03</v>
      </c>
      <c r="R249" s="82" t="s">
        <v>3399</v>
      </c>
      <c r="S249" s="7">
        <f t="shared" si="10"/>
        <v>0</v>
      </c>
      <c r="T249" s="6">
        <f t="shared" si="11"/>
        <v>0</v>
      </c>
      <c r="U249" s="25">
        <f t="shared" si="9"/>
        <v>0</v>
      </c>
    </row>
    <row r="250" spans="1:21" ht="10.9" customHeight="1" x14ac:dyDescent="0.2">
      <c r="A250" s="82" t="s">
        <v>2346</v>
      </c>
      <c r="B250" s="83">
        <v>45684</v>
      </c>
      <c r="C250" s="82" t="s">
        <v>3395</v>
      </c>
      <c r="D250" s="82" t="s">
        <v>2125</v>
      </c>
      <c r="E250" s="82"/>
      <c r="F250" s="82" t="s">
        <v>5703</v>
      </c>
      <c r="G250" s="89">
        <v>1</v>
      </c>
      <c r="H250" s="89">
        <v>1194.8699999999999</v>
      </c>
      <c r="I250" s="85">
        <v>0</v>
      </c>
      <c r="J250" s="85">
        <v>59.74</v>
      </c>
      <c r="K250" s="85">
        <v>1254.6099999999999</v>
      </c>
      <c r="L250" s="85">
        <v>1254.6099999999999</v>
      </c>
      <c r="M250" s="89">
        <v>1194.8699999999999</v>
      </c>
      <c r="N250" s="85">
        <v>0</v>
      </c>
      <c r="O250" s="85">
        <v>59.74</v>
      </c>
      <c r="P250" s="85">
        <v>1254.6099999999999</v>
      </c>
      <c r="Q250" s="85">
        <v>1254.6099999999999</v>
      </c>
      <c r="R250" s="82" t="s">
        <v>3399</v>
      </c>
      <c r="S250" s="7">
        <f t="shared" si="10"/>
        <v>0</v>
      </c>
      <c r="T250" s="6">
        <f t="shared" si="11"/>
        <v>0</v>
      </c>
      <c r="U250" s="25">
        <f t="shared" si="9"/>
        <v>0</v>
      </c>
    </row>
    <row r="251" spans="1:21" ht="10.9" customHeight="1" x14ac:dyDescent="0.2">
      <c r="A251" s="82" t="s">
        <v>2347</v>
      </c>
      <c r="B251" s="83">
        <v>45684</v>
      </c>
      <c r="C251" s="82" t="s">
        <v>3395</v>
      </c>
      <c r="D251" s="82" t="s">
        <v>2123</v>
      </c>
      <c r="E251" s="82"/>
      <c r="F251" s="82" t="s">
        <v>4499</v>
      </c>
      <c r="G251" s="89">
        <v>1</v>
      </c>
      <c r="H251" s="89">
        <v>1429.78</v>
      </c>
      <c r="I251" s="85">
        <v>0</v>
      </c>
      <c r="J251" s="85">
        <v>71.489999999999995</v>
      </c>
      <c r="K251" s="85">
        <v>1501.27</v>
      </c>
      <c r="L251" s="85">
        <v>1501.27</v>
      </c>
      <c r="M251" s="89">
        <v>1429.78</v>
      </c>
      <c r="N251" s="85">
        <v>0</v>
      </c>
      <c r="O251" s="85">
        <v>71.489999999999995</v>
      </c>
      <c r="P251" s="85">
        <v>1501.27</v>
      </c>
      <c r="Q251" s="85">
        <v>1501.27</v>
      </c>
      <c r="R251" s="82" t="s">
        <v>3399</v>
      </c>
      <c r="S251" s="7">
        <f t="shared" si="10"/>
        <v>0</v>
      </c>
      <c r="T251" s="6">
        <f t="shared" si="11"/>
        <v>0</v>
      </c>
      <c r="U251" s="25">
        <f t="shared" si="9"/>
        <v>0</v>
      </c>
    </row>
    <row r="252" spans="1:21" ht="10.9" customHeight="1" x14ac:dyDescent="0.2">
      <c r="A252" s="82" t="s">
        <v>3707</v>
      </c>
      <c r="B252" s="83">
        <v>45684</v>
      </c>
      <c r="C252" s="82" t="s">
        <v>3395</v>
      </c>
      <c r="D252" s="82" t="s">
        <v>3594</v>
      </c>
      <c r="E252" s="82"/>
      <c r="F252" s="82" t="s">
        <v>5341</v>
      </c>
      <c r="G252" s="89">
        <v>2</v>
      </c>
      <c r="H252" s="89">
        <v>8429.1</v>
      </c>
      <c r="I252" s="85">
        <v>0</v>
      </c>
      <c r="J252" s="85">
        <v>2191.5700000000002</v>
      </c>
      <c r="K252" s="85">
        <v>19049.77</v>
      </c>
      <c r="L252" s="85">
        <v>19049.77</v>
      </c>
      <c r="M252" s="89">
        <v>8429.1</v>
      </c>
      <c r="N252" s="85">
        <v>0</v>
      </c>
      <c r="O252" s="85">
        <v>2191.5700000000002</v>
      </c>
      <c r="P252" s="85">
        <v>19049.77</v>
      </c>
      <c r="Q252" s="85">
        <v>19049.77</v>
      </c>
      <c r="R252" s="82" t="s">
        <v>3399</v>
      </c>
      <c r="S252" s="7">
        <f t="shared" si="10"/>
        <v>0</v>
      </c>
      <c r="T252" s="6">
        <f t="shared" si="11"/>
        <v>0</v>
      </c>
      <c r="U252" s="25">
        <f t="shared" si="9"/>
        <v>0</v>
      </c>
    </row>
    <row r="253" spans="1:21" ht="10.9" customHeight="1" x14ac:dyDescent="0.2">
      <c r="A253" s="82" t="s">
        <v>2355</v>
      </c>
      <c r="B253" s="83">
        <v>45685</v>
      </c>
      <c r="C253" s="82" t="s">
        <v>3395</v>
      </c>
      <c r="D253" s="82" t="s">
        <v>2109</v>
      </c>
      <c r="E253" s="82"/>
      <c r="F253" s="82" t="s">
        <v>4964</v>
      </c>
      <c r="G253" s="89">
        <v>2</v>
      </c>
      <c r="H253" s="89">
        <v>79.39</v>
      </c>
      <c r="I253" s="85">
        <v>0</v>
      </c>
      <c r="J253" s="85">
        <v>7.94</v>
      </c>
      <c r="K253" s="85">
        <v>166.72</v>
      </c>
      <c r="L253" s="85">
        <v>166.72</v>
      </c>
      <c r="M253" s="89">
        <v>79.39</v>
      </c>
      <c r="N253" s="85">
        <v>0</v>
      </c>
      <c r="O253" s="85">
        <v>7.94</v>
      </c>
      <c r="P253" s="85">
        <v>166.72</v>
      </c>
      <c r="Q253" s="85">
        <v>166.72</v>
      </c>
      <c r="R253" s="82" t="s">
        <v>3399</v>
      </c>
      <c r="S253" s="7">
        <f t="shared" si="10"/>
        <v>0</v>
      </c>
      <c r="T253" s="6">
        <f t="shared" si="11"/>
        <v>0</v>
      </c>
      <c r="U253" s="25">
        <f t="shared" si="9"/>
        <v>0</v>
      </c>
    </row>
    <row r="254" spans="1:21" ht="10.9" customHeight="1" x14ac:dyDescent="0.2">
      <c r="A254" s="82" t="s">
        <v>3704</v>
      </c>
      <c r="B254" s="83">
        <v>45685</v>
      </c>
      <c r="C254" s="82" t="s">
        <v>3395</v>
      </c>
      <c r="D254" s="82" t="s">
        <v>3703</v>
      </c>
      <c r="E254" s="82"/>
      <c r="F254" s="82" t="s">
        <v>4434</v>
      </c>
      <c r="G254" s="89">
        <v>1</v>
      </c>
      <c r="H254" s="89">
        <v>7156.1</v>
      </c>
      <c r="I254" s="85">
        <v>0</v>
      </c>
      <c r="J254" s="85">
        <v>357.81</v>
      </c>
      <c r="K254" s="85">
        <v>7513.91</v>
      </c>
      <c r="L254" s="85">
        <v>7513.91</v>
      </c>
      <c r="M254" s="89">
        <v>7156.1</v>
      </c>
      <c r="N254" s="85">
        <v>0</v>
      </c>
      <c r="O254" s="85">
        <v>357.81</v>
      </c>
      <c r="P254" s="85">
        <v>7513.91</v>
      </c>
      <c r="Q254" s="85">
        <v>7513.91</v>
      </c>
      <c r="R254" s="82" t="s">
        <v>3399</v>
      </c>
      <c r="S254" s="7">
        <f t="shared" si="10"/>
        <v>0</v>
      </c>
      <c r="T254" s="6">
        <f t="shared" si="11"/>
        <v>0</v>
      </c>
      <c r="U254" s="25">
        <f t="shared" si="9"/>
        <v>0</v>
      </c>
    </row>
    <row r="255" spans="1:21" ht="10.9" customHeight="1" x14ac:dyDescent="0.2">
      <c r="A255" s="82" t="s">
        <v>2344</v>
      </c>
      <c r="B255" s="83">
        <v>45685</v>
      </c>
      <c r="C255" s="82" t="s">
        <v>3395</v>
      </c>
      <c r="D255" s="82" t="s">
        <v>2129</v>
      </c>
      <c r="E255" s="82"/>
      <c r="F255" s="82" t="s">
        <v>5702</v>
      </c>
      <c r="G255" s="89">
        <v>1</v>
      </c>
      <c r="H255" s="89">
        <v>2453.88</v>
      </c>
      <c r="I255" s="85">
        <v>0</v>
      </c>
      <c r="J255" s="85">
        <v>122.69</v>
      </c>
      <c r="K255" s="85">
        <v>2576.5700000000002</v>
      </c>
      <c r="L255" s="85">
        <v>12661.94</v>
      </c>
      <c r="M255" s="89">
        <v>2453.88</v>
      </c>
      <c r="N255" s="85">
        <v>0</v>
      </c>
      <c r="O255" s="85">
        <v>122.69</v>
      </c>
      <c r="P255" s="85">
        <v>2576.5700000000002</v>
      </c>
      <c r="Q255" s="85">
        <v>12661.94</v>
      </c>
      <c r="R255" s="82" t="s">
        <v>3399</v>
      </c>
      <c r="S255" s="7">
        <f t="shared" si="10"/>
        <v>0</v>
      </c>
      <c r="T255" s="6">
        <f t="shared" si="11"/>
        <v>0</v>
      </c>
      <c r="U255" s="25">
        <f t="shared" si="9"/>
        <v>0</v>
      </c>
    </row>
    <row r="256" spans="1:21" ht="10.9" customHeight="1" x14ac:dyDescent="0.2">
      <c r="A256" s="82" t="s">
        <v>2344</v>
      </c>
      <c r="B256" s="83">
        <v>45685</v>
      </c>
      <c r="C256" s="82" t="s">
        <v>3395</v>
      </c>
      <c r="D256" s="82" t="s">
        <v>2129</v>
      </c>
      <c r="E256" s="82"/>
      <c r="F256" s="82" t="s">
        <v>4718</v>
      </c>
      <c r="G256" s="89">
        <v>1</v>
      </c>
      <c r="H256" s="89">
        <v>127.69</v>
      </c>
      <c r="I256" s="85">
        <v>0</v>
      </c>
      <c r="J256" s="85">
        <v>6.38</v>
      </c>
      <c r="K256" s="85">
        <v>134.07</v>
      </c>
      <c r="L256" s="85">
        <v>12661.94</v>
      </c>
      <c r="M256" s="89">
        <v>127.69</v>
      </c>
      <c r="N256" s="85">
        <v>0</v>
      </c>
      <c r="O256" s="85">
        <v>6.38</v>
      </c>
      <c r="P256" s="85">
        <v>134.07</v>
      </c>
      <c r="Q256" s="85">
        <v>12661.94</v>
      </c>
      <c r="R256" s="82" t="s">
        <v>3399</v>
      </c>
      <c r="S256" s="7">
        <f t="shared" si="10"/>
        <v>0</v>
      </c>
      <c r="T256" s="6">
        <f t="shared" si="11"/>
        <v>0</v>
      </c>
      <c r="U256" s="25">
        <f t="shared" si="9"/>
        <v>0</v>
      </c>
    </row>
    <row r="257" spans="1:21" ht="10.9" customHeight="1" x14ac:dyDescent="0.2">
      <c r="A257" s="82" t="s">
        <v>2344</v>
      </c>
      <c r="B257" s="83">
        <v>45685</v>
      </c>
      <c r="C257" s="82" t="s">
        <v>3395</v>
      </c>
      <c r="D257" s="82" t="s">
        <v>2129</v>
      </c>
      <c r="E257" s="82"/>
      <c r="F257" s="82" t="s">
        <v>5065</v>
      </c>
      <c r="G257" s="89">
        <v>1</v>
      </c>
      <c r="H257" s="89">
        <v>1924.45</v>
      </c>
      <c r="I257" s="85">
        <v>0</v>
      </c>
      <c r="J257" s="85">
        <v>96.22</v>
      </c>
      <c r="K257" s="85">
        <v>2020.67</v>
      </c>
      <c r="L257" s="85">
        <v>12661.94</v>
      </c>
      <c r="M257" s="89">
        <v>1924.45</v>
      </c>
      <c r="N257" s="85">
        <v>0</v>
      </c>
      <c r="O257" s="85">
        <v>96.22</v>
      </c>
      <c r="P257" s="85">
        <v>2020.67</v>
      </c>
      <c r="Q257" s="85">
        <v>12661.94</v>
      </c>
      <c r="R257" s="82" t="s">
        <v>3399</v>
      </c>
      <c r="S257" s="7">
        <f t="shared" si="10"/>
        <v>0</v>
      </c>
      <c r="T257" s="6">
        <f t="shared" si="11"/>
        <v>0</v>
      </c>
      <c r="U257" s="25">
        <f t="shared" si="9"/>
        <v>0</v>
      </c>
    </row>
    <row r="258" spans="1:21" ht="10.9" customHeight="1" x14ac:dyDescent="0.2">
      <c r="A258" s="82" t="s">
        <v>2344</v>
      </c>
      <c r="B258" s="83">
        <v>45685</v>
      </c>
      <c r="C258" s="82" t="s">
        <v>3395</v>
      </c>
      <c r="D258" s="82" t="s">
        <v>2129</v>
      </c>
      <c r="E258" s="82"/>
      <c r="F258" s="82" t="s">
        <v>5074</v>
      </c>
      <c r="G258" s="89">
        <v>1</v>
      </c>
      <c r="H258" s="89">
        <v>75.790000000000006</v>
      </c>
      <c r="I258" s="85">
        <v>0</v>
      </c>
      <c r="J258" s="85">
        <v>3.79</v>
      </c>
      <c r="K258" s="85">
        <v>79.58</v>
      </c>
      <c r="L258" s="85">
        <v>12661.94</v>
      </c>
      <c r="M258" s="89">
        <v>75.790000000000006</v>
      </c>
      <c r="N258" s="85">
        <v>0</v>
      </c>
      <c r="O258" s="85">
        <v>3.79</v>
      </c>
      <c r="P258" s="85">
        <v>79.58</v>
      </c>
      <c r="Q258" s="85">
        <v>12661.94</v>
      </c>
      <c r="R258" s="82" t="s">
        <v>3399</v>
      </c>
      <c r="S258" s="7">
        <f t="shared" si="10"/>
        <v>0</v>
      </c>
      <c r="T258" s="6">
        <f t="shared" si="11"/>
        <v>0</v>
      </c>
      <c r="U258" s="25">
        <f t="shared" ref="U258:U321" si="12">IF(T258=1,K258-J258,0)</f>
        <v>0</v>
      </c>
    </row>
    <row r="259" spans="1:21" ht="10.9" customHeight="1" x14ac:dyDescent="0.2">
      <c r="A259" s="82" t="s">
        <v>2344</v>
      </c>
      <c r="B259" s="83">
        <v>45685</v>
      </c>
      <c r="C259" s="82" t="s">
        <v>3395</v>
      </c>
      <c r="D259" s="82" t="s">
        <v>2129</v>
      </c>
      <c r="E259" s="82"/>
      <c r="F259" s="82" t="s">
        <v>5073</v>
      </c>
      <c r="G259" s="89">
        <v>1</v>
      </c>
      <c r="H259" s="89">
        <v>2847.76</v>
      </c>
      <c r="I259" s="85">
        <v>0</v>
      </c>
      <c r="J259" s="85">
        <v>142.38999999999999</v>
      </c>
      <c r="K259" s="85">
        <v>2990.15</v>
      </c>
      <c r="L259" s="85">
        <v>12661.94</v>
      </c>
      <c r="M259" s="89">
        <v>2847.76</v>
      </c>
      <c r="N259" s="85">
        <v>0</v>
      </c>
      <c r="O259" s="85">
        <v>142.38999999999999</v>
      </c>
      <c r="P259" s="85">
        <v>2990.15</v>
      </c>
      <c r="Q259" s="85">
        <v>12661.94</v>
      </c>
      <c r="R259" s="82" t="s">
        <v>3399</v>
      </c>
      <c r="S259" s="7">
        <f t="shared" ref="S259:S322" si="13">IF(T259=1,A259,0)</f>
        <v>0</v>
      </c>
      <c r="T259" s="6">
        <f t="shared" ref="T259:T322" si="14">IFERROR(FIND("Freight",F259,1),0)</f>
        <v>0</v>
      </c>
      <c r="U259" s="25">
        <f t="shared" si="12"/>
        <v>0</v>
      </c>
    </row>
    <row r="260" spans="1:21" ht="10.9" customHeight="1" x14ac:dyDescent="0.2">
      <c r="A260" s="82" t="s">
        <v>2344</v>
      </c>
      <c r="B260" s="83">
        <v>45685</v>
      </c>
      <c r="C260" s="82" t="s">
        <v>3395</v>
      </c>
      <c r="D260" s="82" t="s">
        <v>2129</v>
      </c>
      <c r="E260" s="82"/>
      <c r="F260" s="82" t="s">
        <v>4957</v>
      </c>
      <c r="G260" s="89">
        <v>1</v>
      </c>
      <c r="H260" s="89">
        <v>1529.03</v>
      </c>
      <c r="I260" s="85">
        <v>0</v>
      </c>
      <c r="J260" s="85">
        <v>76.45</v>
      </c>
      <c r="K260" s="85">
        <v>1605.48</v>
      </c>
      <c r="L260" s="85">
        <v>12661.94</v>
      </c>
      <c r="M260" s="89">
        <v>1529.03</v>
      </c>
      <c r="N260" s="85">
        <v>0</v>
      </c>
      <c r="O260" s="85">
        <v>76.45</v>
      </c>
      <c r="P260" s="85">
        <v>1605.48</v>
      </c>
      <c r="Q260" s="85">
        <v>12661.94</v>
      </c>
      <c r="R260" s="82" t="s">
        <v>3399</v>
      </c>
      <c r="S260" s="7">
        <f t="shared" si="13"/>
        <v>0</v>
      </c>
      <c r="T260" s="6">
        <f t="shared" si="14"/>
        <v>0</v>
      </c>
      <c r="U260" s="25">
        <f t="shared" si="12"/>
        <v>0</v>
      </c>
    </row>
    <row r="261" spans="1:21" ht="10.9" customHeight="1" x14ac:dyDescent="0.2">
      <c r="A261" s="82" t="s">
        <v>2344</v>
      </c>
      <c r="B261" s="83">
        <v>45685</v>
      </c>
      <c r="C261" s="82" t="s">
        <v>3395</v>
      </c>
      <c r="D261" s="82" t="s">
        <v>2129</v>
      </c>
      <c r="E261" s="82"/>
      <c r="F261" s="82" t="s">
        <v>5071</v>
      </c>
      <c r="G261" s="89">
        <v>1</v>
      </c>
      <c r="H261" s="89">
        <v>1770.5</v>
      </c>
      <c r="I261" s="85">
        <v>0</v>
      </c>
      <c r="J261" s="85">
        <v>88.53</v>
      </c>
      <c r="K261" s="85">
        <v>1859.03</v>
      </c>
      <c r="L261" s="85">
        <v>12661.94</v>
      </c>
      <c r="M261" s="89">
        <v>1770.5</v>
      </c>
      <c r="N261" s="85">
        <v>0</v>
      </c>
      <c r="O261" s="85">
        <v>88.53</v>
      </c>
      <c r="P261" s="85">
        <v>1859.03</v>
      </c>
      <c r="Q261" s="85">
        <v>12661.94</v>
      </c>
      <c r="R261" s="82" t="s">
        <v>3399</v>
      </c>
      <c r="S261" s="7">
        <f t="shared" si="13"/>
        <v>0</v>
      </c>
      <c r="T261" s="6">
        <f t="shared" si="14"/>
        <v>0</v>
      </c>
      <c r="U261" s="25">
        <f t="shared" si="12"/>
        <v>0</v>
      </c>
    </row>
    <row r="262" spans="1:21" ht="10.9" customHeight="1" x14ac:dyDescent="0.2">
      <c r="A262" s="82" t="s">
        <v>2344</v>
      </c>
      <c r="B262" s="83">
        <v>45685</v>
      </c>
      <c r="C262" s="82" t="s">
        <v>3395</v>
      </c>
      <c r="D262" s="82" t="s">
        <v>2129</v>
      </c>
      <c r="E262" s="82"/>
      <c r="F262" s="82" t="s">
        <v>5701</v>
      </c>
      <c r="G262" s="89">
        <v>2</v>
      </c>
      <c r="H262" s="89">
        <v>406.48</v>
      </c>
      <c r="I262" s="85">
        <v>0</v>
      </c>
      <c r="J262" s="85">
        <v>40.65</v>
      </c>
      <c r="K262" s="85">
        <v>853.61</v>
      </c>
      <c r="L262" s="85">
        <v>12661.94</v>
      </c>
      <c r="M262" s="89">
        <v>406.48</v>
      </c>
      <c r="N262" s="85">
        <v>0</v>
      </c>
      <c r="O262" s="85">
        <v>40.65</v>
      </c>
      <c r="P262" s="85">
        <v>853.61</v>
      </c>
      <c r="Q262" s="85">
        <v>12661.94</v>
      </c>
      <c r="R262" s="82" t="s">
        <v>3399</v>
      </c>
      <c r="S262" s="7">
        <f t="shared" si="13"/>
        <v>0</v>
      </c>
      <c r="T262" s="6">
        <f t="shared" si="14"/>
        <v>0</v>
      </c>
      <c r="U262" s="25">
        <f t="shared" si="12"/>
        <v>0</v>
      </c>
    </row>
    <row r="263" spans="1:21" ht="10.9" customHeight="1" x14ac:dyDescent="0.2">
      <c r="A263" s="82" t="s">
        <v>2344</v>
      </c>
      <c r="B263" s="83">
        <v>45685</v>
      </c>
      <c r="C263" s="82" t="s">
        <v>3395</v>
      </c>
      <c r="D263" s="82" t="s">
        <v>2129</v>
      </c>
      <c r="E263" s="82"/>
      <c r="F263" s="82" t="s">
        <v>5700</v>
      </c>
      <c r="G263" s="89">
        <v>1</v>
      </c>
      <c r="H263" s="89">
        <v>439.88</v>
      </c>
      <c r="I263" s="85">
        <v>0</v>
      </c>
      <c r="J263" s="85">
        <v>21.99</v>
      </c>
      <c r="K263" s="85">
        <v>461.87</v>
      </c>
      <c r="L263" s="85">
        <v>12661.94</v>
      </c>
      <c r="M263" s="89">
        <v>439.88</v>
      </c>
      <c r="N263" s="85">
        <v>0</v>
      </c>
      <c r="O263" s="85">
        <v>21.99</v>
      </c>
      <c r="P263" s="85">
        <v>461.87</v>
      </c>
      <c r="Q263" s="85">
        <v>12661.94</v>
      </c>
      <c r="R263" s="82" t="s">
        <v>3399</v>
      </c>
      <c r="S263" s="7">
        <f t="shared" si="13"/>
        <v>0</v>
      </c>
      <c r="T263" s="6">
        <f t="shared" si="14"/>
        <v>0</v>
      </c>
      <c r="U263" s="25">
        <f t="shared" si="12"/>
        <v>0</v>
      </c>
    </row>
    <row r="264" spans="1:21" ht="10.9" customHeight="1" x14ac:dyDescent="0.2">
      <c r="A264" s="82" t="s">
        <v>2344</v>
      </c>
      <c r="B264" s="83">
        <v>45685</v>
      </c>
      <c r="C264" s="82" t="s">
        <v>3395</v>
      </c>
      <c r="D264" s="82" t="s">
        <v>2129</v>
      </c>
      <c r="E264" s="82"/>
      <c r="F264" s="82" t="s">
        <v>5068</v>
      </c>
      <c r="G264" s="89">
        <v>2</v>
      </c>
      <c r="H264" s="89">
        <v>38.53</v>
      </c>
      <c r="I264" s="85">
        <v>0</v>
      </c>
      <c r="J264" s="85">
        <v>3.85</v>
      </c>
      <c r="K264" s="85">
        <v>80.91</v>
      </c>
      <c r="L264" s="85">
        <v>12661.94</v>
      </c>
      <c r="M264" s="89">
        <v>38.53</v>
      </c>
      <c r="N264" s="85">
        <v>0</v>
      </c>
      <c r="O264" s="85">
        <v>3.85</v>
      </c>
      <c r="P264" s="85">
        <v>80.91</v>
      </c>
      <c r="Q264" s="85">
        <v>12661.94</v>
      </c>
      <c r="R264" s="82" t="s">
        <v>3399</v>
      </c>
      <c r="S264" s="7">
        <f t="shared" si="13"/>
        <v>0</v>
      </c>
      <c r="T264" s="6">
        <f t="shared" si="14"/>
        <v>0</v>
      </c>
      <c r="U264" s="25">
        <f t="shared" si="12"/>
        <v>0</v>
      </c>
    </row>
    <row r="265" spans="1:21" ht="10.9" customHeight="1" x14ac:dyDescent="0.2">
      <c r="A265" s="82" t="s">
        <v>2353</v>
      </c>
      <c r="B265" s="83">
        <v>45685</v>
      </c>
      <c r="C265" s="82" t="s">
        <v>3395</v>
      </c>
      <c r="D265" s="82" t="s">
        <v>2113</v>
      </c>
      <c r="E265" s="82"/>
      <c r="F265" s="82" t="s">
        <v>5468</v>
      </c>
      <c r="G265" s="89">
        <v>2</v>
      </c>
      <c r="H265" s="89">
        <v>409.22</v>
      </c>
      <c r="I265" s="85">
        <v>0</v>
      </c>
      <c r="J265" s="85">
        <v>106.4</v>
      </c>
      <c r="K265" s="85">
        <v>924.84</v>
      </c>
      <c r="L265" s="85">
        <v>924.84</v>
      </c>
      <c r="M265" s="89">
        <v>409.22</v>
      </c>
      <c r="N265" s="85">
        <v>0</v>
      </c>
      <c r="O265" s="85">
        <v>106.4</v>
      </c>
      <c r="P265" s="85">
        <v>924.84</v>
      </c>
      <c r="Q265" s="85">
        <v>924.84</v>
      </c>
      <c r="R265" s="82" t="s">
        <v>3399</v>
      </c>
      <c r="S265" s="7">
        <f t="shared" si="13"/>
        <v>0</v>
      </c>
      <c r="T265" s="6">
        <f t="shared" si="14"/>
        <v>0</v>
      </c>
      <c r="U265" s="25">
        <f t="shared" si="12"/>
        <v>0</v>
      </c>
    </row>
    <row r="266" spans="1:21" ht="10.9" customHeight="1" x14ac:dyDescent="0.2">
      <c r="A266" s="82" t="s">
        <v>5697</v>
      </c>
      <c r="B266" s="83">
        <v>45686</v>
      </c>
      <c r="C266" s="82" t="s">
        <v>3395</v>
      </c>
      <c r="D266" s="82" t="s">
        <v>3535</v>
      </c>
      <c r="E266" s="82"/>
      <c r="F266" s="82" t="s">
        <v>5699</v>
      </c>
      <c r="G266" s="89">
        <v>41</v>
      </c>
      <c r="H266" s="89">
        <v>14.22</v>
      </c>
      <c r="I266" s="85">
        <v>0</v>
      </c>
      <c r="J266" s="85">
        <v>29.15</v>
      </c>
      <c r="K266" s="85">
        <v>612.16999999999996</v>
      </c>
      <c r="L266" s="85">
        <v>13896.16</v>
      </c>
      <c r="M266" s="89">
        <v>14.22</v>
      </c>
      <c r="N266" s="85">
        <v>0</v>
      </c>
      <c r="O266" s="85">
        <v>29.15</v>
      </c>
      <c r="P266" s="85">
        <v>612.16999999999996</v>
      </c>
      <c r="Q266" s="85">
        <v>13896.16</v>
      </c>
      <c r="R266" s="82" t="s">
        <v>4515</v>
      </c>
      <c r="S266" s="7">
        <f t="shared" si="13"/>
        <v>0</v>
      </c>
      <c r="T266" s="6">
        <f t="shared" si="14"/>
        <v>0</v>
      </c>
      <c r="U266" s="25">
        <f t="shared" si="12"/>
        <v>0</v>
      </c>
    </row>
    <row r="267" spans="1:21" ht="10.9" customHeight="1" x14ac:dyDescent="0.2">
      <c r="A267" s="82" t="s">
        <v>5697</v>
      </c>
      <c r="B267" s="83">
        <v>45686</v>
      </c>
      <c r="C267" s="82" t="s">
        <v>3395</v>
      </c>
      <c r="D267" s="82" t="s">
        <v>3535</v>
      </c>
      <c r="E267" s="82"/>
      <c r="F267" s="82" t="s">
        <v>5698</v>
      </c>
      <c r="G267" s="89">
        <v>4</v>
      </c>
      <c r="H267" s="89">
        <v>679.82</v>
      </c>
      <c r="I267" s="85">
        <v>0</v>
      </c>
      <c r="J267" s="85">
        <v>135.96</v>
      </c>
      <c r="K267" s="85">
        <v>2855.24</v>
      </c>
      <c r="L267" s="85">
        <v>13896.16</v>
      </c>
      <c r="M267" s="89">
        <v>679.82</v>
      </c>
      <c r="N267" s="85">
        <v>0</v>
      </c>
      <c r="O267" s="85">
        <v>135.96</v>
      </c>
      <c r="P267" s="85">
        <v>2855.24</v>
      </c>
      <c r="Q267" s="85">
        <v>13896.16</v>
      </c>
      <c r="R267" s="82" t="s">
        <v>4515</v>
      </c>
      <c r="S267" s="7">
        <f t="shared" si="13"/>
        <v>0</v>
      </c>
      <c r="T267" s="6">
        <f t="shared" si="14"/>
        <v>0</v>
      </c>
      <c r="U267" s="25">
        <f t="shared" si="12"/>
        <v>0</v>
      </c>
    </row>
    <row r="268" spans="1:21" ht="10.9" customHeight="1" x14ac:dyDescent="0.2">
      <c r="A268" s="82" t="s">
        <v>5697</v>
      </c>
      <c r="B268" s="83">
        <v>45686</v>
      </c>
      <c r="C268" s="82" t="s">
        <v>3395</v>
      </c>
      <c r="D268" s="82" t="s">
        <v>3535</v>
      </c>
      <c r="E268" s="82"/>
      <c r="F268" s="82" t="s">
        <v>5359</v>
      </c>
      <c r="G268" s="89">
        <v>1</v>
      </c>
      <c r="H268" s="89">
        <v>9932.14</v>
      </c>
      <c r="I268" s="85">
        <v>0</v>
      </c>
      <c r="J268" s="85">
        <v>496.61</v>
      </c>
      <c r="K268" s="85">
        <v>10428.75</v>
      </c>
      <c r="L268" s="85">
        <v>13896.16</v>
      </c>
      <c r="M268" s="89">
        <v>9932.14</v>
      </c>
      <c r="N268" s="85">
        <v>0</v>
      </c>
      <c r="O268" s="85">
        <v>496.61</v>
      </c>
      <c r="P268" s="85">
        <v>10428.75</v>
      </c>
      <c r="Q268" s="85">
        <v>13896.16</v>
      </c>
      <c r="R268" s="82" t="s">
        <v>4515</v>
      </c>
      <c r="S268" s="7">
        <f t="shared" si="13"/>
        <v>0</v>
      </c>
      <c r="T268" s="6">
        <f t="shared" si="14"/>
        <v>0</v>
      </c>
      <c r="U268" s="25">
        <f t="shared" si="12"/>
        <v>0</v>
      </c>
    </row>
    <row r="269" spans="1:21" ht="10.9" customHeight="1" x14ac:dyDescent="0.2">
      <c r="A269" s="82" t="s">
        <v>2302</v>
      </c>
      <c r="B269" s="83">
        <v>45686</v>
      </c>
      <c r="C269" s="82" t="s">
        <v>3395</v>
      </c>
      <c r="D269" s="82" t="s">
        <v>2207</v>
      </c>
      <c r="E269" s="82"/>
      <c r="F269" s="82" t="s">
        <v>5075</v>
      </c>
      <c r="G269" s="89">
        <v>4</v>
      </c>
      <c r="H269" s="89">
        <v>21</v>
      </c>
      <c r="I269" s="85">
        <v>0</v>
      </c>
      <c r="J269" s="85">
        <v>0</v>
      </c>
      <c r="K269" s="85">
        <v>84</v>
      </c>
      <c r="L269" s="85">
        <v>84</v>
      </c>
      <c r="M269" s="89">
        <v>30.287689784827599</v>
      </c>
      <c r="N269" s="85">
        <v>0</v>
      </c>
      <c r="O269" s="85">
        <v>0</v>
      </c>
      <c r="P269" s="85">
        <v>121.1507591393104</v>
      </c>
      <c r="Q269" s="85">
        <v>121.1507591393104</v>
      </c>
      <c r="R269" s="82" t="s">
        <v>3399</v>
      </c>
      <c r="S269" s="7">
        <f t="shared" si="13"/>
        <v>0</v>
      </c>
      <c r="T269" s="6">
        <f t="shared" si="14"/>
        <v>0</v>
      </c>
      <c r="U269" s="25">
        <f t="shared" si="12"/>
        <v>0</v>
      </c>
    </row>
    <row r="270" spans="1:21" ht="10.9" customHeight="1" x14ac:dyDescent="0.2">
      <c r="A270" s="82" t="s">
        <v>3702</v>
      </c>
      <c r="B270" s="83">
        <v>45686</v>
      </c>
      <c r="C270" s="82" t="s">
        <v>3395</v>
      </c>
      <c r="D270" s="82" t="s">
        <v>3701</v>
      </c>
      <c r="E270" s="82"/>
      <c r="F270" s="82" t="s">
        <v>5695</v>
      </c>
      <c r="G270" s="89">
        <v>2</v>
      </c>
      <c r="H270" s="89">
        <v>4374</v>
      </c>
      <c r="I270" s="85">
        <v>0</v>
      </c>
      <c r="J270" s="85">
        <v>0</v>
      </c>
      <c r="K270" s="85">
        <v>8748</v>
      </c>
      <c r="L270" s="85">
        <v>9479</v>
      </c>
      <c r="M270" s="89">
        <v>6305.8192591311117</v>
      </c>
      <c r="N270" s="85">
        <v>0</v>
      </c>
      <c r="O270" s="85">
        <v>0</v>
      </c>
      <c r="P270" s="85">
        <v>12611.638518262223</v>
      </c>
      <c r="Q270" s="85">
        <v>13665.491714061227</v>
      </c>
      <c r="R270" s="82" t="s">
        <v>3399</v>
      </c>
      <c r="S270" s="7">
        <f t="shared" si="13"/>
        <v>0</v>
      </c>
      <c r="T270" s="6">
        <f t="shared" si="14"/>
        <v>0</v>
      </c>
      <c r="U270" s="25">
        <f t="shared" si="12"/>
        <v>0</v>
      </c>
    </row>
    <row r="271" spans="1:21" ht="10.9" customHeight="1" x14ac:dyDescent="0.2">
      <c r="A271" s="82" t="s">
        <v>3702</v>
      </c>
      <c r="B271" s="83">
        <v>45686</v>
      </c>
      <c r="C271" s="82" t="s">
        <v>3395</v>
      </c>
      <c r="D271" s="82" t="s">
        <v>3701</v>
      </c>
      <c r="E271" s="82"/>
      <c r="F271" s="82" t="s">
        <v>4459</v>
      </c>
      <c r="G271" s="89">
        <v>1</v>
      </c>
      <c r="H271" s="89">
        <v>731</v>
      </c>
      <c r="I271" s="85">
        <v>0</v>
      </c>
      <c r="J271" s="85">
        <v>0</v>
      </c>
      <c r="K271" s="85">
        <v>731</v>
      </c>
      <c r="L271" s="85">
        <v>9479</v>
      </c>
      <c r="M271" s="89">
        <v>1053.8531957990037</v>
      </c>
      <c r="N271" s="85">
        <v>0</v>
      </c>
      <c r="O271" s="85">
        <v>0</v>
      </c>
      <c r="P271" s="85">
        <v>1053.8531957990037</v>
      </c>
      <c r="Q271" s="85">
        <v>13665.491714061227</v>
      </c>
      <c r="R271" s="82" t="s">
        <v>3399</v>
      </c>
      <c r="S271" s="7" t="str">
        <f t="shared" si="13"/>
        <v>INV12575</v>
      </c>
      <c r="T271" s="6">
        <f t="shared" si="14"/>
        <v>1</v>
      </c>
      <c r="U271" s="25">
        <f t="shared" si="12"/>
        <v>731</v>
      </c>
    </row>
    <row r="272" spans="1:21" ht="10.9" customHeight="1" x14ac:dyDescent="0.2">
      <c r="A272" s="82" t="s">
        <v>2361</v>
      </c>
      <c r="B272" s="83">
        <v>45686</v>
      </c>
      <c r="C272" s="82" t="s">
        <v>3395</v>
      </c>
      <c r="D272" s="82" t="s">
        <v>2099</v>
      </c>
      <c r="E272" s="82"/>
      <c r="F272" s="82" t="s">
        <v>4576</v>
      </c>
      <c r="G272" s="89">
        <v>4</v>
      </c>
      <c r="H272" s="89">
        <v>31.53</v>
      </c>
      <c r="I272" s="85">
        <v>0</v>
      </c>
      <c r="J272" s="85">
        <v>6.31</v>
      </c>
      <c r="K272" s="85">
        <v>132.43</v>
      </c>
      <c r="L272" s="85">
        <v>132.43</v>
      </c>
      <c r="M272" s="89">
        <v>31.53</v>
      </c>
      <c r="N272" s="85">
        <v>0</v>
      </c>
      <c r="O272" s="85">
        <v>6.31</v>
      </c>
      <c r="P272" s="85">
        <v>132.43</v>
      </c>
      <c r="Q272" s="85">
        <v>132.43</v>
      </c>
      <c r="R272" s="82" t="s">
        <v>3399</v>
      </c>
      <c r="S272" s="7">
        <f t="shared" si="13"/>
        <v>0</v>
      </c>
      <c r="T272" s="6">
        <f t="shared" si="14"/>
        <v>0</v>
      </c>
      <c r="U272" s="25">
        <f t="shared" si="12"/>
        <v>0</v>
      </c>
    </row>
    <row r="273" spans="1:21" ht="10.9" customHeight="1" x14ac:dyDescent="0.2">
      <c r="A273" s="82" t="s">
        <v>2360</v>
      </c>
      <c r="B273" s="83">
        <v>45686</v>
      </c>
      <c r="C273" s="82" t="s">
        <v>3395</v>
      </c>
      <c r="D273" s="82" t="s">
        <v>2101</v>
      </c>
      <c r="E273" s="82"/>
      <c r="F273" s="82" t="s">
        <v>5696</v>
      </c>
      <c r="G273" s="89">
        <v>1</v>
      </c>
      <c r="H273" s="89">
        <v>1194.8699999999999</v>
      </c>
      <c r="I273" s="85">
        <v>0</v>
      </c>
      <c r="J273" s="85">
        <v>59.74</v>
      </c>
      <c r="K273" s="85">
        <v>1254.6099999999999</v>
      </c>
      <c r="L273" s="85">
        <v>1254.6099999999999</v>
      </c>
      <c r="M273" s="89">
        <v>1194.8699999999999</v>
      </c>
      <c r="N273" s="85">
        <v>0</v>
      </c>
      <c r="O273" s="85">
        <v>59.74</v>
      </c>
      <c r="P273" s="85">
        <v>1254.6099999999999</v>
      </c>
      <c r="Q273" s="85">
        <v>1254.6099999999999</v>
      </c>
      <c r="R273" s="82" t="s">
        <v>3399</v>
      </c>
      <c r="S273" s="7">
        <f t="shared" si="13"/>
        <v>0</v>
      </c>
      <c r="T273" s="6">
        <f t="shared" si="14"/>
        <v>0</v>
      </c>
      <c r="U273" s="25">
        <f t="shared" si="12"/>
        <v>0</v>
      </c>
    </row>
    <row r="274" spans="1:21" ht="10.9" customHeight="1" x14ac:dyDescent="0.2">
      <c r="A274" s="82" t="s">
        <v>3695</v>
      </c>
      <c r="B274" s="83">
        <v>45687</v>
      </c>
      <c r="C274" s="82" t="s">
        <v>3395</v>
      </c>
      <c r="D274" s="82" t="s">
        <v>3694</v>
      </c>
      <c r="E274" s="82"/>
      <c r="F274" s="82" t="s">
        <v>5693</v>
      </c>
      <c r="G274" s="89">
        <v>2</v>
      </c>
      <c r="H274" s="89">
        <v>4556.97</v>
      </c>
      <c r="I274" s="85">
        <v>0</v>
      </c>
      <c r="J274" s="85">
        <v>0</v>
      </c>
      <c r="K274" s="85">
        <v>9113.94</v>
      </c>
      <c r="L274" s="85">
        <v>9113.94</v>
      </c>
      <c r="M274" s="89">
        <v>6600.2198639392727</v>
      </c>
      <c r="N274" s="85">
        <v>0</v>
      </c>
      <c r="O274" s="85">
        <v>0</v>
      </c>
      <c r="P274" s="85">
        <v>13200.439727878545</v>
      </c>
      <c r="Q274" s="85">
        <v>13200.439727878545</v>
      </c>
      <c r="R274" s="82" t="s">
        <v>3399</v>
      </c>
      <c r="S274" s="7">
        <f t="shared" si="13"/>
        <v>0</v>
      </c>
      <c r="T274" s="6">
        <f t="shared" si="14"/>
        <v>0</v>
      </c>
      <c r="U274" s="25">
        <f t="shared" si="12"/>
        <v>0</v>
      </c>
    </row>
    <row r="275" spans="1:21" ht="10.9" customHeight="1" x14ac:dyDescent="0.2">
      <c r="A275" s="82" t="s">
        <v>3697</v>
      </c>
      <c r="B275" s="83">
        <v>45687</v>
      </c>
      <c r="C275" s="82" t="s">
        <v>3395</v>
      </c>
      <c r="D275" s="82" t="s">
        <v>3696</v>
      </c>
      <c r="E275" s="82"/>
      <c r="F275" s="82" t="s">
        <v>5692</v>
      </c>
      <c r="G275" s="89">
        <v>5</v>
      </c>
      <c r="H275" s="89">
        <v>51985</v>
      </c>
      <c r="I275" s="85">
        <v>0</v>
      </c>
      <c r="J275" s="85">
        <v>0</v>
      </c>
      <c r="K275" s="85">
        <v>259925</v>
      </c>
      <c r="L275" s="85">
        <v>259925</v>
      </c>
      <c r="M275" s="89">
        <v>75293.984736981613</v>
      </c>
      <c r="N275" s="85">
        <v>0</v>
      </c>
      <c r="O275" s="85">
        <v>0</v>
      </c>
      <c r="P275" s="85">
        <v>376469.92368490802</v>
      </c>
      <c r="Q275" s="85">
        <v>376469.92368490802</v>
      </c>
      <c r="R275" s="82" t="s">
        <v>3399</v>
      </c>
      <c r="S275" s="7">
        <f t="shared" si="13"/>
        <v>0</v>
      </c>
      <c r="T275" s="6">
        <f t="shared" si="14"/>
        <v>0</v>
      </c>
      <c r="U275" s="25">
        <f t="shared" si="12"/>
        <v>0</v>
      </c>
    </row>
    <row r="276" spans="1:21" ht="10.9" customHeight="1" x14ac:dyDescent="0.2">
      <c r="A276" s="82" t="s">
        <v>3693</v>
      </c>
      <c r="B276" s="83">
        <v>45687</v>
      </c>
      <c r="C276" s="82" t="s">
        <v>3395</v>
      </c>
      <c r="D276" s="82" t="s">
        <v>3688</v>
      </c>
      <c r="E276" s="82"/>
      <c r="F276" s="82" t="s">
        <v>5691</v>
      </c>
      <c r="G276" s="89">
        <v>1</v>
      </c>
      <c r="H276" s="89">
        <v>6575</v>
      </c>
      <c r="I276" s="85">
        <v>0</v>
      </c>
      <c r="J276" s="85">
        <v>0</v>
      </c>
      <c r="K276" s="85">
        <v>6575</v>
      </c>
      <c r="L276" s="85">
        <v>7173</v>
      </c>
      <c r="M276" s="89">
        <v>9523.0922313293086</v>
      </c>
      <c r="N276" s="85">
        <v>0</v>
      </c>
      <c r="O276" s="85">
        <v>0</v>
      </c>
      <c r="P276" s="85">
        <v>9523.0922313293086</v>
      </c>
      <c r="Q276" s="85">
        <v>10389.222901190133</v>
      </c>
      <c r="R276" s="82" t="s">
        <v>3399</v>
      </c>
      <c r="S276" s="7">
        <f t="shared" si="13"/>
        <v>0</v>
      </c>
      <c r="T276" s="6">
        <f t="shared" si="14"/>
        <v>0</v>
      </c>
      <c r="U276" s="25">
        <f t="shared" si="12"/>
        <v>0</v>
      </c>
    </row>
    <row r="277" spans="1:21" ht="10.9" customHeight="1" x14ac:dyDescent="0.2">
      <c r="A277" s="82" t="s">
        <v>3693</v>
      </c>
      <c r="B277" s="83">
        <v>45687</v>
      </c>
      <c r="C277" s="82" t="s">
        <v>3395</v>
      </c>
      <c r="D277" s="82" t="s">
        <v>3688</v>
      </c>
      <c r="E277" s="82"/>
      <c r="F277" s="82" t="s">
        <v>4393</v>
      </c>
      <c r="G277" s="89">
        <v>1</v>
      </c>
      <c r="H277" s="89">
        <v>598</v>
      </c>
      <c r="I277" s="85">
        <v>0</v>
      </c>
      <c r="J277" s="85">
        <v>0</v>
      </c>
      <c r="K277" s="85">
        <v>598</v>
      </c>
      <c r="L277" s="85">
        <v>7173</v>
      </c>
      <c r="M277" s="89">
        <v>866.13066986082526</v>
      </c>
      <c r="N277" s="85">
        <v>0</v>
      </c>
      <c r="O277" s="85">
        <v>0</v>
      </c>
      <c r="P277" s="85">
        <v>866.13066986082526</v>
      </c>
      <c r="Q277" s="85">
        <v>10389.222901190133</v>
      </c>
      <c r="R277" s="82" t="s">
        <v>3399</v>
      </c>
      <c r="S277" s="7" t="str">
        <f t="shared" si="13"/>
        <v>INV12521</v>
      </c>
      <c r="T277" s="6">
        <f t="shared" si="14"/>
        <v>1</v>
      </c>
      <c r="U277" s="25">
        <f t="shared" si="12"/>
        <v>598</v>
      </c>
    </row>
    <row r="278" spans="1:21" ht="10.9" customHeight="1" x14ac:dyDescent="0.2">
      <c r="A278" s="82" t="s">
        <v>2357</v>
      </c>
      <c r="B278" s="83">
        <v>45687</v>
      </c>
      <c r="C278" s="82" t="s">
        <v>3395</v>
      </c>
      <c r="D278" s="82" t="s">
        <v>2105</v>
      </c>
      <c r="E278" s="82"/>
      <c r="F278" s="82" t="s">
        <v>5032</v>
      </c>
      <c r="G278" s="89">
        <v>1</v>
      </c>
      <c r="H278" s="89">
        <v>80.040000000000006</v>
      </c>
      <c r="I278" s="85">
        <v>0</v>
      </c>
      <c r="J278" s="85">
        <v>4</v>
      </c>
      <c r="K278" s="85">
        <v>84.04</v>
      </c>
      <c r="L278" s="85">
        <v>84.04</v>
      </c>
      <c r="M278" s="89">
        <v>80.040000000000006</v>
      </c>
      <c r="N278" s="85">
        <v>0</v>
      </c>
      <c r="O278" s="85">
        <v>4</v>
      </c>
      <c r="P278" s="85">
        <v>84.04</v>
      </c>
      <c r="Q278" s="85">
        <v>84.04</v>
      </c>
      <c r="R278" s="82" t="s">
        <v>3399</v>
      </c>
      <c r="S278" s="7">
        <f t="shared" si="13"/>
        <v>0</v>
      </c>
      <c r="T278" s="6">
        <f t="shared" si="14"/>
        <v>0</v>
      </c>
      <c r="U278" s="25">
        <f t="shared" si="12"/>
        <v>0</v>
      </c>
    </row>
    <row r="279" spans="1:21" ht="10.9" customHeight="1" x14ac:dyDescent="0.2">
      <c r="A279" s="82" t="s">
        <v>2364</v>
      </c>
      <c r="B279" s="83">
        <v>45687</v>
      </c>
      <c r="C279" s="82" t="s">
        <v>3395</v>
      </c>
      <c r="D279" s="82" t="s">
        <v>2095</v>
      </c>
      <c r="E279" s="82"/>
      <c r="F279" s="82" t="s">
        <v>5694</v>
      </c>
      <c r="G279" s="89">
        <v>1</v>
      </c>
      <c r="H279" s="89">
        <v>11636.11</v>
      </c>
      <c r="I279" s="85">
        <v>0</v>
      </c>
      <c r="J279" s="85">
        <v>581.80999999999995</v>
      </c>
      <c r="K279" s="85">
        <v>12217.92</v>
      </c>
      <c r="L279" s="85">
        <v>12217.92</v>
      </c>
      <c r="M279" s="89">
        <v>11636.11</v>
      </c>
      <c r="N279" s="85">
        <v>0</v>
      </c>
      <c r="O279" s="85">
        <v>581.80999999999995</v>
      </c>
      <c r="P279" s="85">
        <v>12217.92</v>
      </c>
      <c r="Q279" s="85">
        <v>12217.92</v>
      </c>
      <c r="R279" s="82" t="s">
        <v>3399</v>
      </c>
      <c r="S279" s="7">
        <f t="shared" si="13"/>
        <v>0</v>
      </c>
      <c r="T279" s="6">
        <f t="shared" si="14"/>
        <v>0</v>
      </c>
      <c r="U279" s="25">
        <f t="shared" si="12"/>
        <v>0</v>
      </c>
    </row>
    <row r="280" spans="1:21" ht="10.9" customHeight="1" x14ac:dyDescent="0.2">
      <c r="A280" s="82" t="s">
        <v>2368</v>
      </c>
      <c r="B280" s="83">
        <v>45687</v>
      </c>
      <c r="C280" s="82" t="s">
        <v>3395</v>
      </c>
      <c r="D280" s="82" t="s">
        <v>2087</v>
      </c>
      <c r="E280" s="82"/>
      <c r="F280" s="82" t="s">
        <v>4737</v>
      </c>
      <c r="G280" s="89">
        <v>2</v>
      </c>
      <c r="H280" s="89">
        <v>958.11</v>
      </c>
      <c r="I280" s="85">
        <v>0</v>
      </c>
      <c r="J280" s="85">
        <v>249.11</v>
      </c>
      <c r="K280" s="85">
        <v>2165.33</v>
      </c>
      <c r="L280" s="85">
        <v>4138.54</v>
      </c>
      <c r="M280" s="89">
        <v>958.11</v>
      </c>
      <c r="N280" s="85">
        <v>0</v>
      </c>
      <c r="O280" s="85">
        <v>249.11</v>
      </c>
      <c r="P280" s="85">
        <v>2165.33</v>
      </c>
      <c r="Q280" s="85">
        <v>4138.54</v>
      </c>
      <c r="R280" s="82" t="s">
        <v>3399</v>
      </c>
      <c r="S280" s="7">
        <f t="shared" si="13"/>
        <v>0</v>
      </c>
      <c r="T280" s="6">
        <f t="shared" si="14"/>
        <v>0</v>
      </c>
      <c r="U280" s="25">
        <f t="shared" si="12"/>
        <v>0</v>
      </c>
    </row>
    <row r="281" spans="1:21" ht="10.9" customHeight="1" x14ac:dyDescent="0.2">
      <c r="A281" s="82" t="s">
        <v>2368</v>
      </c>
      <c r="B281" s="83">
        <v>45687</v>
      </c>
      <c r="C281" s="82" t="s">
        <v>3395</v>
      </c>
      <c r="D281" s="82" t="s">
        <v>2087</v>
      </c>
      <c r="E281" s="82"/>
      <c r="F281" s="82" t="s">
        <v>4738</v>
      </c>
      <c r="G281" s="89">
        <v>2</v>
      </c>
      <c r="H281" s="89">
        <v>873.1</v>
      </c>
      <c r="I281" s="85">
        <v>0</v>
      </c>
      <c r="J281" s="85">
        <v>227.01</v>
      </c>
      <c r="K281" s="85">
        <v>1973.21</v>
      </c>
      <c r="L281" s="85">
        <v>4138.54</v>
      </c>
      <c r="M281" s="89">
        <v>873.1</v>
      </c>
      <c r="N281" s="85">
        <v>0</v>
      </c>
      <c r="O281" s="85">
        <v>227.01</v>
      </c>
      <c r="P281" s="85">
        <v>1973.21</v>
      </c>
      <c r="Q281" s="85">
        <v>4138.54</v>
      </c>
      <c r="R281" s="82" t="s">
        <v>3399</v>
      </c>
      <c r="S281" s="7">
        <f t="shared" si="13"/>
        <v>0</v>
      </c>
      <c r="T281" s="6">
        <f t="shared" si="14"/>
        <v>0</v>
      </c>
      <c r="U281" s="25">
        <f t="shared" si="12"/>
        <v>0</v>
      </c>
    </row>
    <row r="282" spans="1:21" ht="10.9" customHeight="1" x14ac:dyDescent="0.2">
      <c r="A282" s="82" t="s">
        <v>2362</v>
      </c>
      <c r="B282" s="83">
        <v>45687</v>
      </c>
      <c r="C282" s="82" t="s">
        <v>3395</v>
      </c>
      <c r="D282" s="82" t="s">
        <v>2097</v>
      </c>
      <c r="E282" s="82"/>
      <c r="F282" s="82" t="s">
        <v>4416</v>
      </c>
      <c r="G282" s="89">
        <v>1</v>
      </c>
      <c r="H282" s="89">
        <v>2110.3200000000002</v>
      </c>
      <c r="I282" s="85">
        <v>0</v>
      </c>
      <c r="J282" s="85">
        <v>274.33999999999997</v>
      </c>
      <c r="K282" s="85">
        <v>2384.66</v>
      </c>
      <c r="L282" s="85">
        <v>8827.32</v>
      </c>
      <c r="M282" s="89">
        <v>2110.3200000000002</v>
      </c>
      <c r="N282" s="85">
        <v>0</v>
      </c>
      <c r="O282" s="85">
        <v>274.33999999999997</v>
      </c>
      <c r="P282" s="85">
        <v>2384.66</v>
      </c>
      <c r="Q282" s="85">
        <v>8827.32</v>
      </c>
      <c r="R282" s="82" t="s">
        <v>3399</v>
      </c>
      <c r="S282" s="7">
        <f t="shared" si="13"/>
        <v>0</v>
      </c>
      <c r="T282" s="6">
        <f t="shared" si="14"/>
        <v>0</v>
      </c>
      <c r="U282" s="25">
        <f t="shared" si="12"/>
        <v>0</v>
      </c>
    </row>
    <row r="283" spans="1:21" ht="10.9" customHeight="1" x14ac:dyDescent="0.2">
      <c r="A283" s="82" t="s">
        <v>2362</v>
      </c>
      <c r="B283" s="83">
        <v>45687</v>
      </c>
      <c r="C283" s="82" t="s">
        <v>3395</v>
      </c>
      <c r="D283" s="82" t="s">
        <v>2097</v>
      </c>
      <c r="E283" s="82"/>
      <c r="F283" s="82" t="s">
        <v>4417</v>
      </c>
      <c r="G283" s="89">
        <v>1</v>
      </c>
      <c r="H283" s="89">
        <v>1595.85</v>
      </c>
      <c r="I283" s="85">
        <v>0</v>
      </c>
      <c r="J283" s="85">
        <v>207.46</v>
      </c>
      <c r="K283" s="85">
        <v>1803.31</v>
      </c>
      <c r="L283" s="85">
        <v>8827.32</v>
      </c>
      <c r="M283" s="89">
        <v>1595.85</v>
      </c>
      <c r="N283" s="85">
        <v>0</v>
      </c>
      <c r="O283" s="85">
        <v>207.46</v>
      </c>
      <c r="P283" s="85">
        <v>1803.31</v>
      </c>
      <c r="Q283" s="85">
        <v>8827.32</v>
      </c>
      <c r="R283" s="82" t="s">
        <v>3399</v>
      </c>
      <c r="S283" s="7">
        <f t="shared" si="13"/>
        <v>0</v>
      </c>
      <c r="T283" s="6">
        <f t="shared" si="14"/>
        <v>0</v>
      </c>
      <c r="U283" s="25">
        <f t="shared" si="12"/>
        <v>0</v>
      </c>
    </row>
    <row r="284" spans="1:21" ht="10.9" customHeight="1" x14ac:dyDescent="0.2">
      <c r="A284" s="82" t="s">
        <v>2362</v>
      </c>
      <c r="B284" s="83">
        <v>45687</v>
      </c>
      <c r="C284" s="82" t="s">
        <v>3395</v>
      </c>
      <c r="D284" s="82" t="s">
        <v>2097</v>
      </c>
      <c r="E284" s="82"/>
      <c r="F284" s="82" t="s">
        <v>4415</v>
      </c>
      <c r="G284" s="89">
        <v>1</v>
      </c>
      <c r="H284" s="89">
        <v>2116.89</v>
      </c>
      <c r="I284" s="85">
        <v>0</v>
      </c>
      <c r="J284" s="85">
        <v>275.2</v>
      </c>
      <c r="K284" s="85">
        <v>2392.09</v>
      </c>
      <c r="L284" s="85">
        <v>8827.32</v>
      </c>
      <c r="M284" s="89">
        <v>2116.89</v>
      </c>
      <c r="N284" s="85">
        <v>0</v>
      </c>
      <c r="O284" s="85">
        <v>275.2</v>
      </c>
      <c r="P284" s="85">
        <v>2392.09</v>
      </c>
      <c r="Q284" s="85">
        <v>8827.32</v>
      </c>
      <c r="R284" s="82" t="s">
        <v>3399</v>
      </c>
      <c r="S284" s="7">
        <f t="shared" si="13"/>
        <v>0</v>
      </c>
      <c r="T284" s="6">
        <f t="shared" si="14"/>
        <v>0</v>
      </c>
      <c r="U284" s="25">
        <f t="shared" si="12"/>
        <v>0</v>
      </c>
    </row>
    <row r="285" spans="1:21" ht="10.9" customHeight="1" x14ac:dyDescent="0.2">
      <c r="A285" s="82" t="s">
        <v>2362</v>
      </c>
      <c r="B285" s="83">
        <v>45687</v>
      </c>
      <c r="C285" s="82" t="s">
        <v>3395</v>
      </c>
      <c r="D285" s="82" t="s">
        <v>2097</v>
      </c>
      <c r="E285" s="82"/>
      <c r="F285" s="82" t="s">
        <v>4418</v>
      </c>
      <c r="G285" s="89">
        <v>1</v>
      </c>
      <c r="H285" s="89">
        <v>1988.73</v>
      </c>
      <c r="I285" s="85">
        <v>0</v>
      </c>
      <c r="J285" s="85">
        <v>258.52999999999997</v>
      </c>
      <c r="K285" s="85">
        <v>2247.2600000000002</v>
      </c>
      <c r="L285" s="85">
        <v>8827.32</v>
      </c>
      <c r="M285" s="89">
        <v>1988.73</v>
      </c>
      <c r="N285" s="85">
        <v>0</v>
      </c>
      <c r="O285" s="85">
        <v>258.52999999999997</v>
      </c>
      <c r="P285" s="85">
        <v>2247.2600000000002</v>
      </c>
      <c r="Q285" s="85">
        <v>8827.32</v>
      </c>
      <c r="R285" s="82" t="s">
        <v>3399</v>
      </c>
      <c r="S285" s="7">
        <f t="shared" si="13"/>
        <v>0</v>
      </c>
      <c r="T285" s="6">
        <f t="shared" si="14"/>
        <v>0</v>
      </c>
      <c r="U285" s="25">
        <f t="shared" si="12"/>
        <v>0</v>
      </c>
    </row>
    <row r="286" spans="1:21" ht="10.9" customHeight="1" x14ac:dyDescent="0.2">
      <c r="A286" s="82" t="s">
        <v>2333</v>
      </c>
      <c r="B286" s="83">
        <v>45687</v>
      </c>
      <c r="C286" s="82" t="s">
        <v>3395</v>
      </c>
      <c r="D286" s="82" t="s">
        <v>2152</v>
      </c>
      <c r="E286" s="82"/>
      <c r="F286" s="82" t="s">
        <v>4881</v>
      </c>
      <c r="G286" s="89">
        <v>1</v>
      </c>
      <c r="H286" s="89">
        <v>11.89</v>
      </c>
      <c r="I286" s="85">
        <v>0</v>
      </c>
      <c r="J286" s="85">
        <v>0.59</v>
      </c>
      <c r="K286" s="85">
        <v>12.48</v>
      </c>
      <c r="L286" s="85">
        <v>52.5</v>
      </c>
      <c r="M286" s="89">
        <v>11.89</v>
      </c>
      <c r="N286" s="85">
        <v>0</v>
      </c>
      <c r="O286" s="85">
        <v>0.59</v>
      </c>
      <c r="P286" s="85">
        <v>12.48</v>
      </c>
      <c r="Q286" s="85">
        <v>52.5</v>
      </c>
      <c r="R286" s="82" t="s">
        <v>3399</v>
      </c>
      <c r="S286" s="7">
        <f t="shared" si="13"/>
        <v>0</v>
      </c>
      <c r="T286" s="6">
        <f t="shared" si="14"/>
        <v>0</v>
      </c>
      <c r="U286" s="25">
        <f t="shared" si="12"/>
        <v>0</v>
      </c>
    </row>
    <row r="287" spans="1:21" ht="10.9" customHeight="1" x14ac:dyDescent="0.2">
      <c r="A287" s="82" t="s">
        <v>2333</v>
      </c>
      <c r="B287" s="83">
        <v>45687</v>
      </c>
      <c r="C287" s="82" t="s">
        <v>3395</v>
      </c>
      <c r="D287" s="82" t="s">
        <v>2152</v>
      </c>
      <c r="E287" s="82"/>
      <c r="F287" s="82" t="s">
        <v>4884</v>
      </c>
      <c r="G287" s="89">
        <v>1</v>
      </c>
      <c r="H287" s="89">
        <v>38.11</v>
      </c>
      <c r="I287" s="85">
        <v>0</v>
      </c>
      <c r="J287" s="85">
        <v>1.91</v>
      </c>
      <c r="K287" s="85">
        <v>40.020000000000003</v>
      </c>
      <c r="L287" s="85">
        <v>52.5</v>
      </c>
      <c r="M287" s="89">
        <v>38.11</v>
      </c>
      <c r="N287" s="85">
        <v>0</v>
      </c>
      <c r="O287" s="85">
        <v>1.91</v>
      </c>
      <c r="P287" s="85">
        <v>40.020000000000003</v>
      </c>
      <c r="Q287" s="85">
        <v>52.5</v>
      </c>
      <c r="R287" s="82" t="s">
        <v>3399</v>
      </c>
      <c r="S287" s="7">
        <f t="shared" si="13"/>
        <v>0</v>
      </c>
      <c r="T287" s="6">
        <f t="shared" si="14"/>
        <v>0</v>
      </c>
      <c r="U287" s="25">
        <f t="shared" si="12"/>
        <v>0</v>
      </c>
    </row>
    <row r="288" spans="1:21" ht="10.9" customHeight="1" x14ac:dyDescent="0.2">
      <c r="A288" s="82" t="s">
        <v>3700</v>
      </c>
      <c r="B288" s="83">
        <v>45687</v>
      </c>
      <c r="C288" s="82" t="s">
        <v>3395</v>
      </c>
      <c r="D288" s="82" t="s">
        <v>3699</v>
      </c>
      <c r="E288" s="82"/>
      <c r="F288" s="82" t="s">
        <v>4882</v>
      </c>
      <c r="G288" s="89">
        <v>2</v>
      </c>
      <c r="H288" s="89">
        <v>29.88</v>
      </c>
      <c r="I288" s="85">
        <v>0</v>
      </c>
      <c r="J288" s="85">
        <v>2.99</v>
      </c>
      <c r="K288" s="85">
        <v>62.75</v>
      </c>
      <c r="L288" s="85">
        <v>62.75</v>
      </c>
      <c r="M288" s="89">
        <v>29.88</v>
      </c>
      <c r="N288" s="85">
        <v>0</v>
      </c>
      <c r="O288" s="85">
        <v>2.99</v>
      </c>
      <c r="P288" s="85">
        <v>62.75</v>
      </c>
      <c r="Q288" s="85">
        <v>62.75</v>
      </c>
      <c r="R288" s="82" t="s">
        <v>3399</v>
      </c>
      <c r="S288" s="7">
        <f t="shared" si="13"/>
        <v>0</v>
      </c>
      <c r="T288" s="6">
        <f t="shared" si="14"/>
        <v>0</v>
      </c>
      <c r="U288" s="25">
        <f t="shared" si="12"/>
        <v>0</v>
      </c>
    </row>
    <row r="289" spans="1:21" ht="10.9" customHeight="1" x14ac:dyDescent="0.2">
      <c r="A289" s="82" t="s">
        <v>2288</v>
      </c>
      <c r="B289" s="83">
        <v>45687</v>
      </c>
      <c r="C289" s="82" t="s">
        <v>3395</v>
      </c>
      <c r="D289" s="82" t="s">
        <v>2233</v>
      </c>
      <c r="E289" s="82"/>
      <c r="F289" s="82" t="s">
        <v>5444</v>
      </c>
      <c r="G289" s="89">
        <v>2</v>
      </c>
      <c r="H289" s="89">
        <v>428.88</v>
      </c>
      <c r="I289" s="85">
        <v>0</v>
      </c>
      <c r="J289" s="85">
        <v>42.89</v>
      </c>
      <c r="K289" s="85">
        <v>900.65</v>
      </c>
      <c r="L289" s="85">
        <v>900.65</v>
      </c>
      <c r="M289" s="89">
        <v>428.88</v>
      </c>
      <c r="N289" s="85">
        <v>0</v>
      </c>
      <c r="O289" s="85">
        <v>42.89</v>
      </c>
      <c r="P289" s="85">
        <v>900.65</v>
      </c>
      <c r="Q289" s="85">
        <v>900.65</v>
      </c>
      <c r="R289" s="82" t="s">
        <v>3399</v>
      </c>
      <c r="S289" s="7">
        <f t="shared" si="13"/>
        <v>0</v>
      </c>
      <c r="T289" s="6">
        <f t="shared" si="14"/>
        <v>0</v>
      </c>
      <c r="U289" s="25">
        <f t="shared" si="12"/>
        <v>0</v>
      </c>
    </row>
    <row r="290" spans="1:21" ht="10.9" customHeight="1" x14ac:dyDescent="0.2">
      <c r="A290" s="82" t="s">
        <v>2332</v>
      </c>
      <c r="B290" s="83">
        <v>45687</v>
      </c>
      <c r="C290" s="82" t="s">
        <v>3395</v>
      </c>
      <c r="D290" s="82" t="s">
        <v>2152</v>
      </c>
      <c r="E290" s="82"/>
      <c r="F290" s="82" t="s">
        <v>4882</v>
      </c>
      <c r="G290" s="89">
        <v>4</v>
      </c>
      <c r="H290" s="89">
        <v>32.47</v>
      </c>
      <c r="I290" s="85">
        <v>0</v>
      </c>
      <c r="J290" s="85">
        <v>6.49</v>
      </c>
      <c r="K290" s="85">
        <v>136.37</v>
      </c>
      <c r="L290" s="85">
        <v>136.37</v>
      </c>
      <c r="M290" s="89">
        <v>32.47</v>
      </c>
      <c r="N290" s="85">
        <v>0</v>
      </c>
      <c r="O290" s="85">
        <v>6.49</v>
      </c>
      <c r="P290" s="85">
        <v>136.37</v>
      </c>
      <c r="Q290" s="85">
        <v>136.37</v>
      </c>
      <c r="R290" s="82" t="s">
        <v>3399</v>
      </c>
      <c r="S290" s="7">
        <f t="shared" si="13"/>
        <v>0</v>
      </c>
      <c r="T290" s="6">
        <f t="shared" si="14"/>
        <v>0</v>
      </c>
      <c r="U290" s="25">
        <f t="shared" si="12"/>
        <v>0</v>
      </c>
    </row>
    <row r="291" spans="1:21" ht="10.9" customHeight="1" x14ac:dyDescent="0.2">
      <c r="A291" s="82"/>
      <c r="B291" s="83">
        <v>45687</v>
      </c>
      <c r="C291" s="82" t="s">
        <v>3423</v>
      </c>
      <c r="D291" s="82" t="s">
        <v>3698</v>
      </c>
      <c r="E291" s="82"/>
      <c r="F291" s="82" t="s">
        <v>5690</v>
      </c>
      <c r="G291" s="89">
        <v>-1</v>
      </c>
      <c r="H291" s="89">
        <v>8681.7800000000007</v>
      </c>
      <c r="I291" s="85">
        <v>0</v>
      </c>
      <c r="J291" s="85">
        <v>0</v>
      </c>
      <c r="K291" s="85">
        <v>-8681.7800000000007</v>
      </c>
      <c r="L291" s="85">
        <v>-8681.7800000000007</v>
      </c>
      <c r="M291" s="89">
        <v>8681.7800000000007</v>
      </c>
      <c r="N291" s="85">
        <v>0</v>
      </c>
      <c r="O291" s="85">
        <v>0</v>
      </c>
      <c r="P291" s="85">
        <v>-8681.7800000000007</v>
      </c>
      <c r="Q291" s="85">
        <v>-8681.7800000000007</v>
      </c>
      <c r="R291" s="82" t="s">
        <v>3399</v>
      </c>
      <c r="S291" s="7">
        <f t="shared" si="13"/>
        <v>0</v>
      </c>
      <c r="T291" s="6">
        <f t="shared" si="14"/>
        <v>0</v>
      </c>
      <c r="U291" s="25">
        <f t="shared" si="12"/>
        <v>0</v>
      </c>
    </row>
    <row r="292" spans="1:21" ht="10.9" customHeight="1" x14ac:dyDescent="0.2">
      <c r="A292" s="82" t="s">
        <v>3690</v>
      </c>
      <c r="B292" s="83">
        <v>45688</v>
      </c>
      <c r="C292" s="82" t="s">
        <v>3398</v>
      </c>
      <c r="D292" s="82" t="s">
        <v>3688</v>
      </c>
      <c r="E292" s="82"/>
      <c r="F292" s="82" t="s">
        <v>5687</v>
      </c>
      <c r="G292" s="89">
        <v>-1</v>
      </c>
      <c r="H292" s="89">
        <v>25</v>
      </c>
      <c r="I292" s="85">
        <v>0</v>
      </c>
      <c r="J292" s="85">
        <v>0</v>
      </c>
      <c r="K292" s="85">
        <v>-25</v>
      </c>
      <c r="L292" s="85">
        <v>-25</v>
      </c>
      <c r="M292" s="89">
        <v>36.209476164750221</v>
      </c>
      <c r="N292" s="85">
        <v>0</v>
      </c>
      <c r="O292" s="85">
        <v>0</v>
      </c>
      <c r="P292" s="85">
        <v>-36.209476164750221</v>
      </c>
      <c r="Q292" s="85">
        <v>-36.209476164750221</v>
      </c>
      <c r="R292" s="82" t="s">
        <v>3399</v>
      </c>
      <c r="S292" s="7">
        <f t="shared" si="13"/>
        <v>0</v>
      </c>
      <c r="T292" s="6">
        <f t="shared" si="14"/>
        <v>0</v>
      </c>
      <c r="U292" s="25">
        <f t="shared" si="12"/>
        <v>0</v>
      </c>
    </row>
    <row r="293" spans="1:21" ht="10.9" customHeight="1" x14ac:dyDescent="0.2">
      <c r="A293" s="82" t="s">
        <v>2372</v>
      </c>
      <c r="B293" s="83">
        <v>45688</v>
      </c>
      <c r="C293" s="82" t="s">
        <v>3395</v>
      </c>
      <c r="D293" s="82" t="s">
        <v>2079</v>
      </c>
      <c r="E293" s="82"/>
      <c r="F293" s="82" t="s">
        <v>5072</v>
      </c>
      <c r="G293" s="89">
        <v>2</v>
      </c>
      <c r="H293" s="89">
        <v>110.8</v>
      </c>
      <c r="I293" s="85">
        <v>0</v>
      </c>
      <c r="J293" s="85">
        <v>11.08</v>
      </c>
      <c r="K293" s="85">
        <v>232.68</v>
      </c>
      <c r="L293" s="85">
        <v>232.68</v>
      </c>
      <c r="M293" s="89">
        <v>110.8</v>
      </c>
      <c r="N293" s="85">
        <v>0</v>
      </c>
      <c r="O293" s="85">
        <v>11.08</v>
      </c>
      <c r="P293" s="85">
        <v>232.68</v>
      </c>
      <c r="Q293" s="85">
        <v>232.68</v>
      </c>
      <c r="R293" s="82" t="s">
        <v>3399</v>
      </c>
      <c r="S293" s="7">
        <f t="shared" si="13"/>
        <v>0</v>
      </c>
      <c r="T293" s="6">
        <f t="shared" si="14"/>
        <v>0</v>
      </c>
      <c r="U293" s="25">
        <f t="shared" si="12"/>
        <v>0</v>
      </c>
    </row>
    <row r="294" spans="1:21" ht="10.9" customHeight="1" x14ac:dyDescent="0.2">
      <c r="A294" s="82" t="s">
        <v>2371</v>
      </c>
      <c r="B294" s="83">
        <v>45688</v>
      </c>
      <c r="C294" s="82" t="s">
        <v>3395</v>
      </c>
      <c r="D294" s="82" t="s">
        <v>2081</v>
      </c>
      <c r="E294" s="82"/>
      <c r="F294" s="82" t="s">
        <v>4495</v>
      </c>
      <c r="G294" s="89">
        <v>1</v>
      </c>
      <c r="H294" s="89">
        <v>166.08</v>
      </c>
      <c r="I294" s="85">
        <v>0</v>
      </c>
      <c r="J294" s="85">
        <v>0</v>
      </c>
      <c r="K294" s="85">
        <v>166.08</v>
      </c>
      <c r="L294" s="85">
        <v>166.08</v>
      </c>
      <c r="M294" s="89">
        <v>241.3174818590513</v>
      </c>
      <c r="N294" s="85">
        <v>0</v>
      </c>
      <c r="O294" s="85">
        <v>0</v>
      </c>
      <c r="P294" s="85">
        <v>241.3174818590513</v>
      </c>
      <c r="Q294" s="85">
        <v>241.3174818590513</v>
      </c>
      <c r="R294" s="82" t="s">
        <v>3399</v>
      </c>
      <c r="S294" s="7">
        <f t="shared" si="13"/>
        <v>0</v>
      </c>
      <c r="T294" s="6">
        <f t="shared" si="14"/>
        <v>0</v>
      </c>
      <c r="U294" s="25">
        <f t="shared" si="12"/>
        <v>0</v>
      </c>
    </row>
    <row r="295" spans="1:21" ht="10.9" customHeight="1" x14ac:dyDescent="0.2">
      <c r="A295" s="82" t="s">
        <v>3687</v>
      </c>
      <c r="B295" s="83">
        <v>45688</v>
      </c>
      <c r="C295" s="82" t="s">
        <v>3395</v>
      </c>
      <c r="D295" s="82" t="s">
        <v>3686</v>
      </c>
      <c r="E295" s="82"/>
      <c r="F295" s="82" t="s">
        <v>5689</v>
      </c>
      <c r="G295" s="89">
        <v>9</v>
      </c>
      <c r="H295" s="89">
        <v>168</v>
      </c>
      <c r="I295" s="85">
        <v>0</v>
      </c>
      <c r="J295" s="85">
        <v>0</v>
      </c>
      <c r="K295" s="85">
        <v>1512</v>
      </c>
      <c r="L295" s="85">
        <v>1512</v>
      </c>
      <c r="M295" s="89">
        <v>244.10727933719062</v>
      </c>
      <c r="N295" s="85">
        <v>0</v>
      </c>
      <c r="O295" s="85">
        <v>0</v>
      </c>
      <c r="P295" s="85">
        <v>2196.9655140347154</v>
      </c>
      <c r="Q295" s="85">
        <v>2196.9655140347154</v>
      </c>
      <c r="R295" s="82" t="s">
        <v>3396</v>
      </c>
      <c r="S295" s="7">
        <f t="shared" si="13"/>
        <v>0</v>
      </c>
      <c r="T295" s="6">
        <f t="shared" si="14"/>
        <v>0</v>
      </c>
      <c r="U295" s="25">
        <f t="shared" si="12"/>
        <v>0</v>
      </c>
    </row>
    <row r="296" spans="1:21" ht="10.9" customHeight="1" x14ac:dyDescent="0.2">
      <c r="A296" s="82" t="s">
        <v>2369</v>
      </c>
      <c r="B296" s="83">
        <v>45688</v>
      </c>
      <c r="C296" s="82" t="s">
        <v>3395</v>
      </c>
      <c r="D296" s="82" t="s">
        <v>2085</v>
      </c>
      <c r="E296" s="82"/>
      <c r="F296" s="82" t="s">
        <v>4414</v>
      </c>
      <c r="G296" s="89">
        <v>2</v>
      </c>
      <c r="H296" s="89">
        <v>1389.92</v>
      </c>
      <c r="I296" s="85">
        <v>0</v>
      </c>
      <c r="J296" s="85">
        <v>138.99</v>
      </c>
      <c r="K296" s="85">
        <v>2918.83</v>
      </c>
      <c r="L296" s="85">
        <v>2918.83</v>
      </c>
      <c r="M296" s="89">
        <v>1389.92</v>
      </c>
      <c r="N296" s="85">
        <v>0</v>
      </c>
      <c r="O296" s="85">
        <v>138.99</v>
      </c>
      <c r="P296" s="85">
        <v>2918.83</v>
      </c>
      <c r="Q296" s="85">
        <v>2918.83</v>
      </c>
      <c r="R296" s="82" t="s">
        <v>3399</v>
      </c>
      <c r="S296" s="7">
        <f t="shared" si="13"/>
        <v>0</v>
      </c>
      <c r="T296" s="6">
        <f t="shared" si="14"/>
        <v>0</v>
      </c>
      <c r="U296" s="25">
        <f t="shared" si="12"/>
        <v>0</v>
      </c>
    </row>
    <row r="297" spans="1:21" ht="10.9" customHeight="1" x14ac:dyDescent="0.2">
      <c r="A297" s="82" t="s">
        <v>3692</v>
      </c>
      <c r="B297" s="83">
        <v>45688</v>
      </c>
      <c r="C297" s="82" t="s">
        <v>3395</v>
      </c>
      <c r="D297" s="82" t="s">
        <v>3691</v>
      </c>
      <c r="E297" s="82"/>
      <c r="F297" s="82" t="s">
        <v>5202</v>
      </c>
      <c r="G297" s="89">
        <v>1</v>
      </c>
      <c r="H297" s="89">
        <v>69.73</v>
      </c>
      <c r="I297" s="85">
        <v>0</v>
      </c>
      <c r="J297" s="85">
        <v>9.06</v>
      </c>
      <c r="K297" s="85">
        <v>78.790000000000006</v>
      </c>
      <c r="L297" s="85">
        <v>78.790000000000006</v>
      </c>
      <c r="M297" s="89">
        <v>69.73</v>
      </c>
      <c r="N297" s="85">
        <v>0</v>
      </c>
      <c r="O297" s="85">
        <v>9.06</v>
      </c>
      <c r="P297" s="85">
        <v>78.790000000000006</v>
      </c>
      <c r="Q297" s="85">
        <v>78.790000000000006</v>
      </c>
      <c r="R297" s="82" t="s">
        <v>3399</v>
      </c>
      <c r="S297" s="7">
        <f t="shared" si="13"/>
        <v>0</v>
      </c>
      <c r="T297" s="6">
        <f t="shared" si="14"/>
        <v>0</v>
      </c>
      <c r="U297" s="25">
        <f t="shared" si="12"/>
        <v>0</v>
      </c>
    </row>
    <row r="298" spans="1:21" ht="10.9" customHeight="1" x14ac:dyDescent="0.2">
      <c r="A298" s="82" t="s">
        <v>2271</v>
      </c>
      <c r="B298" s="83">
        <v>45688</v>
      </c>
      <c r="C298" s="82" t="s">
        <v>3395</v>
      </c>
      <c r="D298" s="82" t="s">
        <v>2266</v>
      </c>
      <c r="E298" s="82"/>
      <c r="F298" s="82" t="s">
        <v>5688</v>
      </c>
      <c r="G298" s="89">
        <v>1</v>
      </c>
      <c r="H298" s="89">
        <v>2097.09</v>
      </c>
      <c r="I298" s="85">
        <v>0</v>
      </c>
      <c r="J298" s="85">
        <v>272.62</v>
      </c>
      <c r="K298" s="85">
        <v>2369.71</v>
      </c>
      <c r="L298" s="85">
        <v>2369.71</v>
      </c>
      <c r="M298" s="89">
        <v>2097.09</v>
      </c>
      <c r="N298" s="85">
        <v>0</v>
      </c>
      <c r="O298" s="85">
        <v>272.62</v>
      </c>
      <c r="P298" s="85">
        <v>2369.71</v>
      </c>
      <c r="Q298" s="85">
        <v>2369.71</v>
      </c>
      <c r="R298" s="82" t="s">
        <v>3399</v>
      </c>
      <c r="S298" s="7">
        <f t="shared" si="13"/>
        <v>0</v>
      </c>
      <c r="T298" s="6">
        <f t="shared" si="14"/>
        <v>0</v>
      </c>
      <c r="U298" s="25">
        <f t="shared" si="12"/>
        <v>0</v>
      </c>
    </row>
    <row r="299" spans="1:21" ht="10.9" customHeight="1" x14ac:dyDescent="0.2">
      <c r="A299" s="82" t="s">
        <v>2279</v>
      </c>
      <c r="B299" s="83">
        <v>45688</v>
      </c>
      <c r="C299" s="82" t="s">
        <v>3395</v>
      </c>
      <c r="D299" s="82" t="s">
        <v>2250</v>
      </c>
      <c r="E299" s="82"/>
      <c r="F299" s="82" t="s">
        <v>5207</v>
      </c>
      <c r="G299" s="89">
        <v>1</v>
      </c>
      <c r="H299" s="89">
        <v>12346.61</v>
      </c>
      <c r="I299" s="85">
        <v>0</v>
      </c>
      <c r="J299" s="85">
        <v>1605.06</v>
      </c>
      <c r="K299" s="85">
        <v>13951.67</v>
      </c>
      <c r="L299" s="85">
        <v>13951.67</v>
      </c>
      <c r="M299" s="89">
        <v>12346.61</v>
      </c>
      <c r="N299" s="85">
        <v>0</v>
      </c>
      <c r="O299" s="85">
        <v>1605.06</v>
      </c>
      <c r="P299" s="85">
        <v>13951.67</v>
      </c>
      <c r="Q299" s="85">
        <v>13951.67</v>
      </c>
      <c r="R299" s="82" t="s">
        <v>3399</v>
      </c>
      <c r="S299" s="7">
        <f t="shared" si="13"/>
        <v>0</v>
      </c>
      <c r="T299" s="6">
        <f t="shared" si="14"/>
        <v>0</v>
      </c>
      <c r="U299" s="25">
        <f t="shared" si="12"/>
        <v>0</v>
      </c>
    </row>
    <row r="300" spans="1:21" ht="10.9" customHeight="1" x14ac:dyDescent="0.2">
      <c r="A300" s="82" t="s">
        <v>2335</v>
      </c>
      <c r="B300" s="83">
        <v>45688</v>
      </c>
      <c r="C300" s="82" t="s">
        <v>3395</v>
      </c>
      <c r="D300" s="82" t="s">
        <v>2150</v>
      </c>
      <c r="E300" s="82"/>
      <c r="F300" s="82" t="s">
        <v>4869</v>
      </c>
      <c r="G300" s="89">
        <v>1</v>
      </c>
      <c r="H300" s="89">
        <v>124.57</v>
      </c>
      <c r="I300" s="85">
        <v>0</v>
      </c>
      <c r="J300" s="85">
        <v>16.190000000000001</v>
      </c>
      <c r="K300" s="85">
        <v>140.76</v>
      </c>
      <c r="L300" s="85">
        <v>140.76</v>
      </c>
      <c r="M300" s="89">
        <v>124.57</v>
      </c>
      <c r="N300" s="85">
        <v>0</v>
      </c>
      <c r="O300" s="85">
        <v>16.190000000000001</v>
      </c>
      <c r="P300" s="85">
        <v>140.76</v>
      </c>
      <c r="Q300" s="85">
        <v>140.76</v>
      </c>
      <c r="R300" s="82" t="s">
        <v>3399</v>
      </c>
      <c r="S300" s="7">
        <f t="shared" si="13"/>
        <v>0</v>
      </c>
      <c r="T300" s="6">
        <f t="shared" si="14"/>
        <v>0</v>
      </c>
      <c r="U300" s="25">
        <f t="shared" si="12"/>
        <v>0</v>
      </c>
    </row>
    <row r="301" spans="1:21" ht="10.9" customHeight="1" x14ac:dyDescent="0.2">
      <c r="A301" s="82" t="s">
        <v>2356</v>
      </c>
      <c r="B301" s="83">
        <v>45688</v>
      </c>
      <c r="C301" s="82" t="s">
        <v>3395</v>
      </c>
      <c r="D301" s="82" t="s">
        <v>2107</v>
      </c>
      <c r="E301" s="82"/>
      <c r="F301" s="82" t="s">
        <v>4443</v>
      </c>
      <c r="G301" s="89">
        <v>1</v>
      </c>
      <c r="H301" s="89">
        <v>2917.66</v>
      </c>
      <c r="I301" s="85">
        <v>0</v>
      </c>
      <c r="J301" s="85">
        <v>379.3</v>
      </c>
      <c r="K301" s="85">
        <v>3296.96</v>
      </c>
      <c r="L301" s="85">
        <v>5751.01</v>
      </c>
      <c r="M301" s="89">
        <v>2917.66</v>
      </c>
      <c r="N301" s="85">
        <v>0</v>
      </c>
      <c r="O301" s="85">
        <v>379.3</v>
      </c>
      <c r="P301" s="85">
        <v>3296.96</v>
      </c>
      <c r="Q301" s="85">
        <v>5751.01</v>
      </c>
      <c r="R301" s="82" t="s">
        <v>3399</v>
      </c>
      <c r="S301" s="7">
        <f t="shared" si="13"/>
        <v>0</v>
      </c>
      <c r="T301" s="6">
        <f t="shared" si="14"/>
        <v>0</v>
      </c>
      <c r="U301" s="25">
        <f t="shared" si="12"/>
        <v>0</v>
      </c>
    </row>
    <row r="302" spans="1:21" ht="10.9" customHeight="1" x14ac:dyDescent="0.2">
      <c r="A302" s="82" t="s">
        <v>2356</v>
      </c>
      <c r="B302" s="83">
        <v>45688</v>
      </c>
      <c r="C302" s="82" t="s">
        <v>3395</v>
      </c>
      <c r="D302" s="82" t="s">
        <v>2107</v>
      </c>
      <c r="E302" s="82"/>
      <c r="F302" s="82" t="s">
        <v>4445</v>
      </c>
      <c r="G302" s="89">
        <v>1</v>
      </c>
      <c r="H302" s="89">
        <v>2171.73</v>
      </c>
      <c r="I302" s="85">
        <v>0</v>
      </c>
      <c r="J302" s="85">
        <v>282.32</v>
      </c>
      <c r="K302" s="85">
        <v>2454.0500000000002</v>
      </c>
      <c r="L302" s="85">
        <v>5751.01</v>
      </c>
      <c r="M302" s="89">
        <v>2171.73</v>
      </c>
      <c r="N302" s="85">
        <v>0</v>
      </c>
      <c r="O302" s="85">
        <v>282.32</v>
      </c>
      <c r="P302" s="85">
        <v>2454.0500000000002</v>
      </c>
      <c r="Q302" s="85">
        <v>5751.01</v>
      </c>
      <c r="R302" s="82" t="s">
        <v>3399</v>
      </c>
      <c r="S302" s="7">
        <f t="shared" si="13"/>
        <v>0</v>
      </c>
      <c r="T302" s="6">
        <f t="shared" si="14"/>
        <v>0</v>
      </c>
      <c r="U302" s="25">
        <f t="shared" si="12"/>
        <v>0</v>
      </c>
    </row>
    <row r="303" spans="1:21" ht="10.9" customHeight="1" x14ac:dyDescent="0.2">
      <c r="A303" s="82"/>
      <c r="B303" s="83">
        <v>45688</v>
      </c>
      <c r="C303" s="82" t="s">
        <v>3423</v>
      </c>
      <c r="D303" s="82" t="s">
        <v>2110</v>
      </c>
      <c r="E303" s="82"/>
      <c r="F303" s="82" t="s">
        <v>2110</v>
      </c>
      <c r="G303" s="89">
        <v>-1</v>
      </c>
      <c r="H303" s="89">
        <v>3335.81</v>
      </c>
      <c r="I303" s="85">
        <v>0</v>
      </c>
      <c r="J303" s="85">
        <v>0</v>
      </c>
      <c r="K303" s="85">
        <v>-3335.81</v>
      </c>
      <c r="L303" s="85">
        <v>-3335.81</v>
      </c>
      <c r="M303" s="89">
        <v>4851.2687313849592</v>
      </c>
      <c r="N303" s="85">
        <v>0</v>
      </c>
      <c r="O303" s="85">
        <v>0</v>
      </c>
      <c r="P303" s="85">
        <v>-4851.2687313849592</v>
      </c>
      <c r="Q303" s="85">
        <v>-4851.2687313849592</v>
      </c>
      <c r="R303" s="82" t="s">
        <v>4511</v>
      </c>
      <c r="S303" s="7">
        <f t="shared" si="13"/>
        <v>0</v>
      </c>
      <c r="T303" s="6">
        <f t="shared" si="14"/>
        <v>0</v>
      </c>
      <c r="U303" s="25">
        <f t="shared" si="12"/>
        <v>0</v>
      </c>
    </row>
    <row r="304" spans="1:21" ht="10.9" customHeight="1" x14ac:dyDescent="0.2">
      <c r="A304" s="82" t="s">
        <v>2352</v>
      </c>
      <c r="B304" s="83">
        <v>45691</v>
      </c>
      <c r="C304" s="82" t="s">
        <v>3395</v>
      </c>
      <c r="D304" s="82" t="s">
        <v>2115</v>
      </c>
      <c r="E304" s="82"/>
      <c r="F304" s="82" t="s">
        <v>4706</v>
      </c>
      <c r="G304" s="89">
        <v>1</v>
      </c>
      <c r="H304" s="89">
        <v>2589.73</v>
      </c>
      <c r="I304" s="85">
        <v>0</v>
      </c>
      <c r="J304" s="85">
        <v>129.49</v>
      </c>
      <c r="K304" s="85">
        <v>2719.22</v>
      </c>
      <c r="L304" s="85">
        <v>5733.49</v>
      </c>
      <c r="M304" s="89">
        <v>2589.73</v>
      </c>
      <c r="N304" s="85">
        <v>0</v>
      </c>
      <c r="O304" s="85">
        <v>129.49</v>
      </c>
      <c r="P304" s="85">
        <v>2719.22</v>
      </c>
      <c r="Q304" s="85">
        <v>5733.49</v>
      </c>
      <c r="R304" s="82" t="s">
        <v>3399</v>
      </c>
      <c r="S304" s="7">
        <f t="shared" si="13"/>
        <v>0</v>
      </c>
      <c r="T304" s="6">
        <f t="shared" si="14"/>
        <v>0</v>
      </c>
      <c r="U304" s="25">
        <f t="shared" si="12"/>
        <v>0</v>
      </c>
    </row>
    <row r="305" spans="1:21" ht="10.9" customHeight="1" x14ac:dyDescent="0.2">
      <c r="A305" s="82" t="s">
        <v>2352</v>
      </c>
      <c r="B305" s="83">
        <v>45691</v>
      </c>
      <c r="C305" s="82" t="s">
        <v>3395</v>
      </c>
      <c r="D305" s="82" t="s">
        <v>2115</v>
      </c>
      <c r="E305" s="82"/>
      <c r="F305" s="82" t="s">
        <v>4591</v>
      </c>
      <c r="G305" s="89">
        <v>1</v>
      </c>
      <c r="H305" s="89">
        <v>172.3</v>
      </c>
      <c r="I305" s="85">
        <v>0</v>
      </c>
      <c r="J305" s="85">
        <v>8.6199999999999992</v>
      </c>
      <c r="K305" s="85">
        <v>180.92</v>
      </c>
      <c r="L305" s="85">
        <v>5733.49</v>
      </c>
      <c r="M305" s="89">
        <v>172.3</v>
      </c>
      <c r="N305" s="85">
        <v>0</v>
      </c>
      <c r="O305" s="85">
        <v>8.6199999999999992</v>
      </c>
      <c r="P305" s="85">
        <v>180.92</v>
      </c>
      <c r="Q305" s="85">
        <v>5733.49</v>
      </c>
      <c r="R305" s="82" t="s">
        <v>3399</v>
      </c>
      <c r="S305" s="7">
        <f t="shared" si="13"/>
        <v>0</v>
      </c>
      <c r="T305" s="6">
        <f t="shared" si="14"/>
        <v>0</v>
      </c>
      <c r="U305" s="25">
        <f t="shared" si="12"/>
        <v>0</v>
      </c>
    </row>
    <row r="306" spans="1:21" ht="10.9" customHeight="1" x14ac:dyDescent="0.2">
      <c r="A306" s="82" t="s">
        <v>2352</v>
      </c>
      <c r="B306" s="83">
        <v>45691</v>
      </c>
      <c r="C306" s="82" t="s">
        <v>3395</v>
      </c>
      <c r="D306" s="82" t="s">
        <v>2115</v>
      </c>
      <c r="E306" s="82"/>
      <c r="F306" s="82" t="s">
        <v>4439</v>
      </c>
      <c r="G306" s="89">
        <v>2</v>
      </c>
      <c r="H306" s="89">
        <v>20.8</v>
      </c>
      <c r="I306" s="85">
        <v>0</v>
      </c>
      <c r="J306" s="85">
        <v>2.08</v>
      </c>
      <c r="K306" s="85">
        <v>43.68</v>
      </c>
      <c r="L306" s="85">
        <v>5733.49</v>
      </c>
      <c r="M306" s="89">
        <v>20.8</v>
      </c>
      <c r="N306" s="85">
        <v>0</v>
      </c>
      <c r="O306" s="85">
        <v>2.08</v>
      </c>
      <c r="P306" s="85">
        <v>43.68</v>
      </c>
      <c r="Q306" s="85">
        <v>5733.49</v>
      </c>
      <c r="R306" s="82" t="s">
        <v>3399</v>
      </c>
      <c r="S306" s="7">
        <f t="shared" si="13"/>
        <v>0</v>
      </c>
      <c r="T306" s="6">
        <f t="shared" si="14"/>
        <v>0</v>
      </c>
      <c r="U306" s="25">
        <f t="shared" si="12"/>
        <v>0</v>
      </c>
    </row>
    <row r="307" spans="1:21" ht="10.9" customHeight="1" x14ac:dyDescent="0.2">
      <c r="A307" s="82" t="s">
        <v>2352</v>
      </c>
      <c r="B307" s="83">
        <v>45691</v>
      </c>
      <c r="C307" s="82" t="s">
        <v>3395</v>
      </c>
      <c r="D307" s="82" t="s">
        <v>2115</v>
      </c>
      <c r="E307" s="82"/>
      <c r="F307" s="82" t="s">
        <v>4444</v>
      </c>
      <c r="G307" s="89">
        <v>1</v>
      </c>
      <c r="H307" s="89">
        <v>2656.83</v>
      </c>
      <c r="I307" s="85">
        <v>0</v>
      </c>
      <c r="J307" s="85">
        <v>132.84</v>
      </c>
      <c r="K307" s="85">
        <v>2789.67</v>
      </c>
      <c r="L307" s="85">
        <v>5733.49</v>
      </c>
      <c r="M307" s="89">
        <v>2656.83</v>
      </c>
      <c r="N307" s="85">
        <v>0</v>
      </c>
      <c r="O307" s="85">
        <v>132.84</v>
      </c>
      <c r="P307" s="85">
        <v>2789.67</v>
      </c>
      <c r="Q307" s="85">
        <v>5733.49</v>
      </c>
      <c r="R307" s="82" t="s">
        <v>3399</v>
      </c>
      <c r="S307" s="7">
        <f t="shared" si="13"/>
        <v>0</v>
      </c>
      <c r="T307" s="6">
        <f t="shared" si="14"/>
        <v>0</v>
      </c>
      <c r="U307" s="25">
        <f t="shared" si="12"/>
        <v>0</v>
      </c>
    </row>
    <row r="308" spans="1:21" ht="10.9" customHeight="1" x14ac:dyDescent="0.2">
      <c r="A308" s="82" t="s">
        <v>2351</v>
      </c>
      <c r="B308" s="83">
        <v>45691</v>
      </c>
      <c r="C308" s="82" t="s">
        <v>3395</v>
      </c>
      <c r="D308" s="82" t="s">
        <v>2117</v>
      </c>
      <c r="E308" s="82"/>
      <c r="F308" s="82" t="s">
        <v>4445</v>
      </c>
      <c r="G308" s="89">
        <v>1</v>
      </c>
      <c r="H308" s="89">
        <v>2281.89</v>
      </c>
      <c r="I308" s="85">
        <v>0</v>
      </c>
      <c r="J308" s="85">
        <v>114.09</v>
      </c>
      <c r="K308" s="85">
        <v>2395.98</v>
      </c>
      <c r="L308" s="85">
        <v>9045.59</v>
      </c>
      <c r="M308" s="89">
        <v>2281.89</v>
      </c>
      <c r="N308" s="85">
        <v>0</v>
      </c>
      <c r="O308" s="85">
        <v>114.09</v>
      </c>
      <c r="P308" s="85">
        <v>2395.98</v>
      </c>
      <c r="Q308" s="85">
        <v>9045.59</v>
      </c>
      <c r="R308" s="82" t="s">
        <v>3399</v>
      </c>
      <c r="S308" s="7">
        <f t="shared" si="13"/>
        <v>0</v>
      </c>
      <c r="T308" s="6">
        <f t="shared" si="14"/>
        <v>0</v>
      </c>
      <c r="U308" s="25">
        <f t="shared" si="12"/>
        <v>0</v>
      </c>
    </row>
    <row r="309" spans="1:21" ht="10.9" customHeight="1" x14ac:dyDescent="0.2">
      <c r="A309" s="82" t="s">
        <v>2351</v>
      </c>
      <c r="B309" s="83">
        <v>45691</v>
      </c>
      <c r="C309" s="82" t="s">
        <v>3395</v>
      </c>
      <c r="D309" s="82" t="s">
        <v>2117</v>
      </c>
      <c r="E309" s="82"/>
      <c r="F309" s="82" t="s">
        <v>4446</v>
      </c>
      <c r="G309" s="89">
        <v>2</v>
      </c>
      <c r="H309" s="89">
        <v>2567.15</v>
      </c>
      <c r="I309" s="85">
        <v>0</v>
      </c>
      <c r="J309" s="85">
        <v>256.72000000000003</v>
      </c>
      <c r="K309" s="85">
        <v>5391.02</v>
      </c>
      <c r="L309" s="85">
        <v>9045.59</v>
      </c>
      <c r="M309" s="89">
        <v>2567.15</v>
      </c>
      <c r="N309" s="85">
        <v>0</v>
      </c>
      <c r="O309" s="85">
        <v>256.72000000000003</v>
      </c>
      <c r="P309" s="85">
        <v>5391.02</v>
      </c>
      <c r="Q309" s="85">
        <v>9045.59</v>
      </c>
      <c r="R309" s="82" t="s">
        <v>3399</v>
      </c>
      <c r="S309" s="7">
        <f t="shared" si="13"/>
        <v>0</v>
      </c>
      <c r="T309" s="6">
        <f t="shared" si="14"/>
        <v>0</v>
      </c>
      <c r="U309" s="25">
        <f t="shared" si="12"/>
        <v>0</v>
      </c>
    </row>
    <row r="310" spans="1:21" ht="10.9" customHeight="1" x14ac:dyDescent="0.2">
      <c r="A310" s="82" t="s">
        <v>2351</v>
      </c>
      <c r="B310" s="83">
        <v>45691</v>
      </c>
      <c r="C310" s="82" t="s">
        <v>3395</v>
      </c>
      <c r="D310" s="82" t="s">
        <v>2117</v>
      </c>
      <c r="E310" s="82"/>
      <c r="F310" s="82" t="s">
        <v>5686</v>
      </c>
      <c r="G310" s="89">
        <v>1</v>
      </c>
      <c r="H310" s="89">
        <v>448.78</v>
      </c>
      <c r="I310" s="85">
        <v>0</v>
      </c>
      <c r="J310" s="85">
        <v>22.44</v>
      </c>
      <c r="K310" s="85">
        <v>471.22</v>
      </c>
      <c r="L310" s="85">
        <v>9045.59</v>
      </c>
      <c r="M310" s="89">
        <v>448.78</v>
      </c>
      <c r="N310" s="85">
        <v>0</v>
      </c>
      <c r="O310" s="85">
        <v>22.44</v>
      </c>
      <c r="P310" s="85">
        <v>471.22</v>
      </c>
      <c r="Q310" s="85">
        <v>9045.59</v>
      </c>
      <c r="R310" s="82" t="s">
        <v>3399</v>
      </c>
      <c r="S310" s="7">
        <f t="shared" si="13"/>
        <v>0</v>
      </c>
      <c r="T310" s="6">
        <f t="shared" si="14"/>
        <v>0</v>
      </c>
      <c r="U310" s="25">
        <f t="shared" si="12"/>
        <v>0</v>
      </c>
    </row>
    <row r="311" spans="1:21" ht="10.9" customHeight="1" x14ac:dyDescent="0.2">
      <c r="A311" s="82" t="s">
        <v>2351</v>
      </c>
      <c r="B311" s="83">
        <v>45691</v>
      </c>
      <c r="C311" s="82" t="s">
        <v>3395</v>
      </c>
      <c r="D311" s="82" t="s">
        <v>2117</v>
      </c>
      <c r="E311" s="82"/>
      <c r="F311" s="82" t="s">
        <v>5576</v>
      </c>
      <c r="G311" s="89">
        <v>1</v>
      </c>
      <c r="H311" s="89">
        <v>749.88</v>
      </c>
      <c r="I311" s="85">
        <v>0</v>
      </c>
      <c r="J311" s="85">
        <v>37.49</v>
      </c>
      <c r="K311" s="85">
        <v>787.37</v>
      </c>
      <c r="L311" s="85">
        <v>9045.59</v>
      </c>
      <c r="M311" s="89">
        <v>749.88</v>
      </c>
      <c r="N311" s="85">
        <v>0</v>
      </c>
      <c r="O311" s="85">
        <v>37.49</v>
      </c>
      <c r="P311" s="85">
        <v>787.37</v>
      </c>
      <c r="Q311" s="85">
        <v>9045.59</v>
      </c>
      <c r="R311" s="82" t="s">
        <v>3399</v>
      </c>
      <c r="S311" s="7">
        <f t="shared" si="13"/>
        <v>0</v>
      </c>
      <c r="T311" s="6">
        <f t="shared" si="14"/>
        <v>0</v>
      </c>
      <c r="U311" s="25">
        <f t="shared" si="12"/>
        <v>0</v>
      </c>
    </row>
    <row r="312" spans="1:21" ht="10.9" customHeight="1" x14ac:dyDescent="0.2">
      <c r="A312" s="82" t="s">
        <v>2280</v>
      </c>
      <c r="B312" s="83">
        <v>45691</v>
      </c>
      <c r="C312" s="82" t="s">
        <v>3395</v>
      </c>
      <c r="D312" s="82" t="s">
        <v>2248</v>
      </c>
      <c r="E312" s="82"/>
      <c r="F312" s="82" t="s">
        <v>5685</v>
      </c>
      <c r="G312" s="89">
        <v>1</v>
      </c>
      <c r="H312" s="89">
        <v>1782.78</v>
      </c>
      <c r="I312" s="85">
        <v>0</v>
      </c>
      <c r="J312" s="85">
        <v>89.14</v>
      </c>
      <c r="K312" s="85">
        <v>1871.92</v>
      </c>
      <c r="L312" s="85">
        <v>5367.86</v>
      </c>
      <c r="M312" s="89">
        <v>1782.78</v>
      </c>
      <c r="N312" s="85">
        <v>0</v>
      </c>
      <c r="O312" s="85">
        <v>89.14</v>
      </c>
      <c r="P312" s="85">
        <v>1871.92</v>
      </c>
      <c r="Q312" s="85">
        <v>5367.86</v>
      </c>
      <c r="R312" s="82" t="s">
        <v>3399</v>
      </c>
      <c r="S312" s="7">
        <f t="shared" si="13"/>
        <v>0</v>
      </c>
      <c r="T312" s="6">
        <f t="shared" si="14"/>
        <v>0</v>
      </c>
      <c r="U312" s="25">
        <f t="shared" si="12"/>
        <v>0</v>
      </c>
    </row>
    <row r="313" spans="1:21" ht="10.9" customHeight="1" x14ac:dyDescent="0.2">
      <c r="A313" s="82" t="s">
        <v>2280</v>
      </c>
      <c r="B313" s="83">
        <v>45691</v>
      </c>
      <c r="C313" s="82" t="s">
        <v>3395</v>
      </c>
      <c r="D313" s="82" t="s">
        <v>2248</v>
      </c>
      <c r="E313" s="82"/>
      <c r="F313" s="82" t="s">
        <v>5684</v>
      </c>
      <c r="G313" s="89">
        <v>1</v>
      </c>
      <c r="H313" s="89">
        <v>3329.47</v>
      </c>
      <c r="I313" s="85">
        <v>0</v>
      </c>
      <c r="J313" s="85">
        <v>166.47</v>
      </c>
      <c r="K313" s="85">
        <v>3495.94</v>
      </c>
      <c r="L313" s="85">
        <v>5367.86</v>
      </c>
      <c r="M313" s="89">
        <v>3329.47</v>
      </c>
      <c r="N313" s="85">
        <v>0</v>
      </c>
      <c r="O313" s="85">
        <v>166.47</v>
      </c>
      <c r="P313" s="85">
        <v>3495.94</v>
      </c>
      <c r="Q313" s="85">
        <v>5367.86</v>
      </c>
      <c r="R313" s="82" t="s">
        <v>3399</v>
      </c>
      <c r="S313" s="7">
        <f t="shared" si="13"/>
        <v>0</v>
      </c>
      <c r="T313" s="6">
        <f t="shared" si="14"/>
        <v>0</v>
      </c>
      <c r="U313" s="25">
        <f t="shared" si="12"/>
        <v>0</v>
      </c>
    </row>
    <row r="314" spans="1:21" ht="10.9" customHeight="1" x14ac:dyDescent="0.2">
      <c r="A314" s="82" t="s">
        <v>3685</v>
      </c>
      <c r="B314" s="83">
        <v>45691</v>
      </c>
      <c r="C314" s="82" t="s">
        <v>3395</v>
      </c>
      <c r="D314" s="82" t="s">
        <v>3673</v>
      </c>
      <c r="E314" s="82"/>
      <c r="F314" s="82" t="s">
        <v>4517</v>
      </c>
      <c r="G314" s="89">
        <v>2</v>
      </c>
      <c r="H314" s="89">
        <v>888.78</v>
      </c>
      <c r="I314" s="85">
        <v>0</v>
      </c>
      <c r="J314" s="85">
        <v>231.08</v>
      </c>
      <c r="K314" s="85">
        <v>2008.64</v>
      </c>
      <c r="L314" s="85">
        <v>4101.7700000000004</v>
      </c>
      <c r="M314" s="89">
        <v>888.78</v>
      </c>
      <c r="N314" s="85">
        <v>0</v>
      </c>
      <c r="O314" s="85">
        <v>231.08</v>
      </c>
      <c r="P314" s="85">
        <v>2008.64</v>
      </c>
      <c r="Q314" s="85">
        <v>4101.7700000000004</v>
      </c>
      <c r="R314" s="82" t="s">
        <v>3399</v>
      </c>
      <c r="S314" s="7">
        <f t="shared" si="13"/>
        <v>0</v>
      </c>
      <c r="T314" s="6">
        <f t="shared" si="14"/>
        <v>0</v>
      </c>
      <c r="U314" s="25">
        <f t="shared" si="12"/>
        <v>0</v>
      </c>
    </row>
    <row r="315" spans="1:21" ht="10.9" customHeight="1" x14ac:dyDescent="0.2">
      <c r="A315" s="82" t="s">
        <v>3685</v>
      </c>
      <c r="B315" s="83">
        <v>45691</v>
      </c>
      <c r="C315" s="82" t="s">
        <v>3395</v>
      </c>
      <c r="D315" s="82" t="s">
        <v>3673</v>
      </c>
      <c r="E315" s="82"/>
      <c r="F315" s="82" t="s">
        <v>4518</v>
      </c>
      <c r="G315" s="89">
        <v>2</v>
      </c>
      <c r="H315" s="89">
        <v>507.04</v>
      </c>
      <c r="I315" s="85">
        <v>0</v>
      </c>
      <c r="J315" s="85">
        <v>131.83000000000001</v>
      </c>
      <c r="K315" s="85">
        <v>1145.9100000000001</v>
      </c>
      <c r="L315" s="85">
        <v>4101.7700000000004</v>
      </c>
      <c r="M315" s="89">
        <v>507.04</v>
      </c>
      <c r="N315" s="85">
        <v>0</v>
      </c>
      <c r="O315" s="85">
        <v>131.83000000000001</v>
      </c>
      <c r="P315" s="85">
        <v>1145.9100000000001</v>
      </c>
      <c r="Q315" s="85">
        <v>4101.7700000000004</v>
      </c>
      <c r="R315" s="82" t="s">
        <v>3399</v>
      </c>
      <c r="S315" s="7">
        <f t="shared" si="13"/>
        <v>0</v>
      </c>
      <c r="T315" s="6">
        <f t="shared" si="14"/>
        <v>0</v>
      </c>
      <c r="U315" s="25">
        <f t="shared" si="12"/>
        <v>0</v>
      </c>
    </row>
    <row r="316" spans="1:21" ht="10.9" customHeight="1" x14ac:dyDescent="0.2">
      <c r="A316" s="82" t="s">
        <v>3685</v>
      </c>
      <c r="B316" s="83">
        <v>45691</v>
      </c>
      <c r="C316" s="82" t="s">
        <v>3395</v>
      </c>
      <c r="D316" s="82" t="s">
        <v>3673</v>
      </c>
      <c r="E316" s="82"/>
      <c r="F316" s="82" t="s">
        <v>4591</v>
      </c>
      <c r="G316" s="89">
        <v>5</v>
      </c>
      <c r="H316" s="89">
        <v>167.65</v>
      </c>
      <c r="I316" s="85">
        <v>0</v>
      </c>
      <c r="J316" s="85">
        <v>108.97</v>
      </c>
      <c r="K316" s="85">
        <v>947.22</v>
      </c>
      <c r="L316" s="85">
        <v>4101.7700000000004</v>
      </c>
      <c r="M316" s="89">
        <v>167.65</v>
      </c>
      <c r="N316" s="85">
        <v>0</v>
      </c>
      <c r="O316" s="85">
        <v>108.97</v>
      </c>
      <c r="P316" s="85">
        <v>947.22</v>
      </c>
      <c r="Q316" s="85">
        <v>4101.7700000000004</v>
      </c>
      <c r="R316" s="82" t="s">
        <v>3399</v>
      </c>
      <c r="S316" s="7">
        <f t="shared" si="13"/>
        <v>0</v>
      </c>
      <c r="T316" s="6">
        <f t="shared" si="14"/>
        <v>0</v>
      </c>
      <c r="U316" s="25">
        <f t="shared" si="12"/>
        <v>0</v>
      </c>
    </row>
    <row r="317" spans="1:21" ht="10.9" customHeight="1" x14ac:dyDescent="0.2">
      <c r="A317" s="82"/>
      <c r="B317" s="83">
        <v>45691</v>
      </c>
      <c r="C317" s="82" t="s">
        <v>3423</v>
      </c>
      <c r="D317" s="82" t="s">
        <v>2074</v>
      </c>
      <c r="E317" s="82"/>
      <c r="F317" s="82" t="s">
        <v>2074</v>
      </c>
      <c r="G317" s="89">
        <v>-1</v>
      </c>
      <c r="H317" s="89">
        <v>701.8</v>
      </c>
      <c r="I317" s="85">
        <v>0</v>
      </c>
      <c r="J317" s="85">
        <v>0</v>
      </c>
      <c r="K317" s="85">
        <v>-701.8</v>
      </c>
      <c r="L317" s="85">
        <v>-701.8</v>
      </c>
      <c r="M317" s="89">
        <v>1015.4840334018716</v>
      </c>
      <c r="N317" s="85">
        <v>0</v>
      </c>
      <c r="O317" s="85">
        <v>0</v>
      </c>
      <c r="P317" s="85">
        <v>-1015.4840334018716</v>
      </c>
      <c r="Q317" s="85">
        <v>-1015.4840334018716</v>
      </c>
      <c r="R317" s="82" t="s">
        <v>3399</v>
      </c>
      <c r="S317" s="7">
        <f t="shared" si="13"/>
        <v>0</v>
      </c>
      <c r="T317" s="6">
        <f t="shared" si="14"/>
        <v>0</v>
      </c>
      <c r="U317" s="25">
        <f t="shared" si="12"/>
        <v>0</v>
      </c>
    </row>
    <row r="318" spans="1:21" ht="10.9" customHeight="1" x14ac:dyDescent="0.2">
      <c r="A318" s="82" t="s">
        <v>2343</v>
      </c>
      <c r="B318" s="83">
        <v>45692</v>
      </c>
      <c r="C318" s="82" t="s">
        <v>3395</v>
      </c>
      <c r="D318" s="82" t="s">
        <v>2131</v>
      </c>
      <c r="E318" s="82"/>
      <c r="F318" s="82" t="s">
        <v>5683</v>
      </c>
      <c r="G318" s="89">
        <v>1</v>
      </c>
      <c r="H318" s="89">
        <v>3955</v>
      </c>
      <c r="I318" s="85">
        <v>0</v>
      </c>
      <c r="J318" s="85">
        <v>0</v>
      </c>
      <c r="K318" s="85">
        <v>3955</v>
      </c>
      <c r="L318" s="85">
        <v>4730</v>
      </c>
      <c r="M318" s="89">
        <v>5666.5625528329947</v>
      </c>
      <c r="N318" s="85">
        <v>0</v>
      </c>
      <c r="O318" s="85">
        <v>0</v>
      </c>
      <c r="P318" s="85">
        <v>5666.5625528329947</v>
      </c>
      <c r="Q318" s="85">
        <v>6776.9509165360469</v>
      </c>
      <c r="R318" s="82" t="s">
        <v>3399</v>
      </c>
      <c r="S318" s="7">
        <f t="shared" si="13"/>
        <v>0</v>
      </c>
      <c r="T318" s="6">
        <f t="shared" si="14"/>
        <v>0</v>
      </c>
      <c r="U318" s="25">
        <f t="shared" si="12"/>
        <v>0</v>
      </c>
    </row>
    <row r="319" spans="1:21" ht="10.9" customHeight="1" x14ac:dyDescent="0.2">
      <c r="A319" s="82" t="s">
        <v>2343</v>
      </c>
      <c r="B319" s="83">
        <v>45692</v>
      </c>
      <c r="C319" s="82" t="s">
        <v>3395</v>
      </c>
      <c r="D319" s="82" t="s">
        <v>2131</v>
      </c>
      <c r="E319" s="82"/>
      <c r="F319" s="82" t="s">
        <v>4459</v>
      </c>
      <c r="G319" s="89">
        <v>1</v>
      </c>
      <c r="H319" s="89">
        <v>775</v>
      </c>
      <c r="I319" s="85">
        <v>0</v>
      </c>
      <c r="J319" s="85">
        <v>0</v>
      </c>
      <c r="K319" s="85">
        <v>775</v>
      </c>
      <c r="L319" s="85">
        <v>4730</v>
      </c>
      <c r="M319" s="89">
        <v>1110.3883637030522</v>
      </c>
      <c r="N319" s="85">
        <v>0</v>
      </c>
      <c r="O319" s="85">
        <v>0</v>
      </c>
      <c r="P319" s="85">
        <v>1110.3883637030522</v>
      </c>
      <c r="Q319" s="85">
        <v>6776.9509165360469</v>
      </c>
      <c r="R319" s="82" t="s">
        <v>3399</v>
      </c>
      <c r="S319" s="7" t="str">
        <f t="shared" si="13"/>
        <v>INV12599</v>
      </c>
      <c r="T319" s="6">
        <f t="shared" si="14"/>
        <v>1</v>
      </c>
      <c r="U319" s="25">
        <f t="shared" si="12"/>
        <v>775</v>
      </c>
    </row>
    <row r="320" spans="1:21" ht="10.9" customHeight="1" x14ac:dyDescent="0.2">
      <c r="A320" s="82" t="s">
        <v>2365</v>
      </c>
      <c r="B320" s="83">
        <v>45692</v>
      </c>
      <c r="C320" s="82" t="s">
        <v>3395</v>
      </c>
      <c r="D320" s="82" t="s">
        <v>2093</v>
      </c>
      <c r="E320" s="82"/>
      <c r="F320" s="82" t="s">
        <v>5682</v>
      </c>
      <c r="G320" s="89">
        <v>1</v>
      </c>
      <c r="H320" s="89">
        <v>3374</v>
      </c>
      <c r="I320" s="85">
        <v>0</v>
      </c>
      <c r="J320" s="85">
        <v>0</v>
      </c>
      <c r="K320" s="85">
        <v>3374</v>
      </c>
      <c r="L320" s="85">
        <v>3584</v>
      </c>
      <c r="M320" s="89">
        <v>4834.1294698504489</v>
      </c>
      <c r="N320" s="85">
        <v>0</v>
      </c>
      <c r="O320" s="85">
        <v>0</v>
      </c>
      <c r="P320" s="85">
        <v>4834.1294698504489</v>
      </c>
      <c r="Q320" s="85">
        <v>5135.0088974345017</v>
      </c>
      <c r="R320" s="82" t="s">
        <v>3399</v>
      </c>
      <c r="S320" s="7">
        <f t="shared" si="13"/>
        <v>0</v>
      </c>
      <c r="T320" s="6">
        <f t="shared" si="14"/>
        <v>0</v>
      </c>
      <c r="U320" s="25">
        <f t="shared" si="12"/>
        <v>0</v>
      </c>
    </row>
    <row r="321" spans="1:21" ht="10.9" customHeight="1" x14ac:dyDescent="0.2">
      <c r="A321" s="82" t="s">
        <v>2365</v>
      </c>
      <c r="B321" s="83">
        <v>45692</v>
      </c>
      <c r="C321" s="82" t="s">
        <v>3395</v>
      </c>
      <c r="D321" s="82" t="s">
        <v>2093</v>
      </c>
      <c r="E321" s="82"/>
      <c r="F321" s="82" t="s">
        <v>5681</v>
      </c>
      <c r="G321" s="89">
        <v>6</v>
      </c>
      <c r="H321" s="89">
        <v>35</v>
      </c>
      <c r="I321" s="85">
        <v>0</v>
      </c>
      <c r="J321" s="85">
        <v>0</v>
      </c>
      <c r="K321" s="85">
        <v>210</v>
      </c>
      <c r="L321" s="85">
        <v>3584</v>
      </c>
      <c r="M321" s="89">
        <v>50.146571264008806</v>
      </c>
      <c r="N321" s="85">
        <v>0</v>
      </c>
      <c r="O321" s="85">
        <v>0</v>
      </c>
      <c r="P321" s="85">
        <v>300.87942758405279</v>
      </c>
      <c r="Q321" s="85">
        <v>5135.0088974345017</v>
      </c>
      <c r="R321" s="82" t="s">
        <v>3399</v>
      </c>
      <c r="S321" s="7">
        <f t="shared" si="13"/>
        <v>0</v>
      </c>
      <c r="T321" s="6">
        <f t="shared" si="14"/>
        <v>0</v>
      </c>
      <c r="U321" s="25">
        <f t="shared" si="12"/>
        <v>0</v>
      </c>
    </row>
    <row r="322" spans="1:21" ht="10.9" customHeight="1" x14ac:dyDescent="0.2">
      <c r="A322" s="82" t="s">
        <v>3684</v>
      </c>
      <c r="B322" s="83">
        <v>45693</v>
      </c>
      <c r="C322" s="82" t="s">
        <v>3395</v>
      </c>
      <c r="D322" s="82" t="s">
        <v>3682</v>
      </c>
      <c r="E322" s="82"/>
      <c r="F322" s="82" t="s">
        <v>5680</v>
      </c>
      <c r="G322" s="89">
        <v>2</v>
      </c>
      <c r="H322" s="89">
        <v>272</v>
      </c>
      <c r="I322" s="85">
        <v>0</v>
      </c>
      <c r="J322" s="85">
        <v>0</v>
      </c>
      <c r="K322" s="85">
        <v>544</v>
      </c>
      <c r="L322" s="85">
        <v>9699</v>
      </c>
      <c r="M322" s="89">
        <v>389.87919478479245</v>
      </c>
      <c r="N322" s="85">
        <v>0</v>
      </c>
      <c r="O322" s="85">
        <v>0</v>
      </c>
      <c r="P322" s="85">
        <v>779.75838956958489</v>
      </c>
      <c r="Q322" s="85">
        <v>13902.34672874155</v>
      </c>
      <c r="R322" s="82" t="s">
        <v>3399</v>
      </c>
      <c r="S322" s="7">
        <f t="shared" si="13"/>
        <v>0</v>
      </c>
      <c r="T322" s="6">
        <f t="shared" si="14"/>
        <v>0</v>
      </c>
      <c r="U322" s="25">
        <f t="shared" ref="U322:U385" si="15">IF(T322=1,K322-J322,0)</f>
        <v>0</v>
      </c>
    </row>
    <row r="323" spans="1:21" ht="10.9" customHeight="1" x14ac:dyDescent="0.2">
      <c r="A323" s="82" t="s">
        <v>3684</v>
      </c>
      <c r="B323" s="83">
        <v>45693</v>
      </c>
      <c r="C323" s="82" t="s">
        <v>3395</v>
      </c>
      <c r="D323" s="82" t="s">
        <v>3682</v>
      </c>
      <c r="E323" s="82"/>
      <c r="F323" s="82" t="s">
        <v>5679</v>
      </c>
      <c r="G323" s="89">
        <v>3</v>
      </c>
      <c r="H323" s="89">
        <v>232</v>
      </c>
      <c r="I323" s="85">
        <v>0</v>
      </c>
      <c r="J323" s="85">
        <v>0</v>
      </c>
      <c r="K323" s="85">
        <v>696</v>
      </c>
      <c r="L323" s="85">
        <v>9699</v>
      </c>
      <c r="M323" s="89">
        <v>332.54401908114647</v>
      </c>
      <c r="N323" s="85">
        <v>0</v>
      </c>
      <c r="O323" s="85">
        <v>0</v>
      </c>
      <c r="P323" s="85">
        <v>997.63205724343948</v>
      </c>
      <c r="Q323" s="85">
        <v>13902.34672874155</v>
      </c>
      <c r="R323" s="82" t="s">
        <v>3399</v>
      </c>
      <c r="S323" s="7">
        <f t="shared" ref="S323:S386" si="16">IF(T323=1,A323,0)</f>
        <v>0</v>
      </c>
      <c r="T323" s="6">
        <f t="shared" ref="T323:T386" si="17">IFERROR(FIND("Freight",F323,1),0)</f>
        <v>0</v>
      </c>
      <c r="U323" s="25">
        <f t="shared" si="15"/>
        <v>0</v>
      </c>
    </row>
    <row r="324" spans="1:21" ht="10.9" customHeight="1" x14ac:dyDescent="0.2">
      <c r="A324" s="82" t="s">
        <v>3684</v>
      </c>
      <c r="B324" s="83">
        <v>45693</v>
      </c>
      <c r="C324" s="82" t="s">
        <v>3395</v>
      </c>
      <c r="D324" s="82" t="s">
        <v>3682</v>
      </c>
      <c r="E324" s="82"/>
      <c r="F324" s="82" t="s">
        <v>5678</v>
      </c>
      <c r="G324" s="89">
        <v>12</v>
      </c>
      <c r="H324" s="89">
        <v>87</v>
      </c>
      <c r="I324" s="85">
        <v>0</v>
      </c>
      <c r="J324" s="85">
        <v>0</v>
      </c>
      <c r="K324" s="85">
        <v>1044</v>
      </c>
      <c r="L324" s="85">
        <v>9699</v>
      </c>
      <c r="M324" s="89">
        <v>124.70400715542993</v>
      </c>
      <c r="N324" s="85">
        <v>0</v>
      </c>
      <c r="O324" s="85">
        <v>0</v>
      </c>
      <c r="P324" s="85">
        <v>1496.4480858651591</v>
      </c>
      <c r="Q324" s="85">
        <v>13902.34672874155</v>
      </c>
      <c r="R324" s="82" t="s">
        <v>3399</v>
      </c>
      <c r="S324" s="7">
        <f t="shared" si="16"/>
        <v>0</v>
      </c>
      <c r="T324" s="6">
        <f t="shared" si="17"/>
        <v>0</v>
      </c>
      <c r="U324" s="25">
        <f t="shared" si="15"/>
        <v>0</v>
      </c>
    </row>
    <row r="325" spans="1:21" ht="10.9" customHeight="1" x14ac:dyDescent="0.2">
      <c r="A325" s="82" t="s">
        <v>3684</v>
      </c>
      <c r="B325" s="83">
        <v>45693</v>
      </c>
      <c r="C325" s="82" t="s">
        <v>3395</v>
      </c>
      <c r="D325" s="82" t="s">
        <v>3682</v>
      </c>
      <c r="E325" s="82"/>
      <c r="F325" s="82" t="s">
        <v>5678</v>
      </c>
      <c r="G325" s="89">
        <v>2</v>
      </c>
      <c r="H325" s="89">
        <v>104</v>
      </c>
      <c r="I325" s="85">
        <v>0</v>
      </c>
      <c r="J325" s="85">
        <v>0</v>
      </c>
      <c r="K325" s="85">
        <v>208</v>
      </c>
      <c r="L325" s="85">
        <v>9699</v>
      </c>
      <c r="M325" s="89">
        <v>149.07145682947944</v>
      </c>
      <c r="N325" s="85">
        <v>0</v>
      </c>
      <c r="O325" s="85">
        <v>0</v>
      </c>
      <c r="P325" s="85">
        <v>298.14291365895889</v>
      </c>
      <c r="Q325" s="85">
        <v>13902.34672874155</v>
      </c>
      <c r="R325" s="82" t="s">
        <v>3399</v>
      </c>
      <c r="S325" s="7">
        <f t="shared" si="16"/>
        <v>0</v>
      </c>
      <c r="T325" s="6">
        <f t="shared" si="17"/>
        <v>0</v>
      </c>
      <c r="U325" s="25">
        <f t="shared" si="15"/>
        <v>0</v>
      </c>
    </row>
    <row r="326" spans="1:21" ht="10.9" customHeight="1" x14ac:dyDescent="0.2">
      <c r="A326" s="82" t="s">
        <v>3684</v>
      </c>
      <c r="B326" s="83">
        <v>45693</v>
      </c>
      <c r="C326" s="82" t="s">
        <v>3395</v>
      </c>
      <c r="D326" s="82" t="s">
        <v>3682</v>
      </c>
      <c r="E326" s="82"/>
      <c r="F326" s="82" t="s">
        <v>5677</v>
      </c>
      <c r="G326" s="89">
        <v>18</v>
      </c>
      <c r="H326" s="89">
        <v>40</v>
      </c>
      <c r="I326" s="85">
        <v>0</v>
      </c>
      <c r="J326" s="85">
        <v>0</v>
      </c>
      <c r="K326" s="85">
        <v>720</v>
      </c>
      <c r="L326" s="85">
        <v>9699</v>
      </c>
      <c r="M326" s="89">
        <v>57.335175703645945</v>
      </c>
      <c r="N326" s="85">
        <v>0</v>
      </c>
      <c r="O326" s="85">
        <v>0</v>
      </c>
      <c r="P326" s="85">
        <v>1032.0331626656271</v>
      </c>
      <c r="Q326" s="85">
        <v>13902.34672874155</v>
      </c>
      <c r="R326" s="82" t="s">
        <v>3399</v>
      </c>
      <c r="S326" s="7">
        <f t="shared" si="16"/>
        <v>0</v>
      </c>
      <c r="T326" s="6">
        <f t="shared" si="17"/>
        <v>0</v>
      </c>
      <c r="U326" s="25">
        <f t="shared" si="15"/>
        <v>0</v>
      </c>
    </row>
    <row r="327" spans="1:21" ht="10.9" customHeight="1" x14ac:dyDescent="0.2">
      <c r="A327" s="82" t="s">
        <v>3684</v>
      </c>
      <c r="B327" s="83">
        <v>45693</v>
      </c>
      <c r="C327" s="82" t="s">
        <v>3395</v>
      </c>
      <c r="D327" s="82" t="s">
        <v>3682</v>
      </c>
      <c r="E327" s="82"/>
      <c r="F327" s="82" t="s">
        <v>5676</v>
      </c>
      <c r="G327" s="89">
        <v>1</v>
      </c>
      <c r="H327" s="89">
        <v>20</v>
      </c>
      <c r="I327" s="85">
        <v>0</v>
      </c>
      <c r="J327" s="85">
        <v>0</v>
      </c>
      <c r="K327" s="85">
        <v>20</v>
      </c>
      <c r="L327" s="85">
        <v>9699</v>
      </c>
      <c r="M327" s="89">
        <v>28.667587851822972</v>
      </c>
      <c r="N327" s="85">
        <v>0</v>
      </c>
      <c r="O327" s="85">
        <v>0</v>
      </c>
      <c r="P327" s="85">
        <v>28.667587851822972</v>
      </c>
      <c r="Q327" s="85">
        <v>13902.34672874155</v>
      </c>
      <c r="R327" s="82" t="s">
        <v>3399</v>
      </c>
      <c r="S327" s="7">
        <f t="shared" si="16"/>
        <v>0</v>
      </c>
      <c r="T327" s="6">
        <f t="shared" si="17"/>
        <v>0</v>
      </c>
      <c r="U327" s="25">
        <f t="shared" si="15"/>
        <v>0</v>
      </c>
    </row>
    <row r="328" spans="1:21" ht="10.9" customHeight="1" x14ac:dyDescent="0.2">
      <c r="A328" s="82" t="s">
        <v>3684</v>
      </c>
      <c r="B328" s="83">
        <v>45693</v>
      </c>
      <c r="C328" s="82" t="s">
        <v>3395</v>
      </c>
      <c r="D328" s="82" t="s">
        <v>3682</v>
      </c>
      <c r="E328" s="82"/>
      <c r="F328" s="82" t="s">
        <v>5675</v>
      </c>
      <c r="G328" s="89">
        <v>2</v>
      </c>
      <c r="H328" s="89">
        <v>1447</v>
      </c>
      <c r="I328" s="85">
        <v>0</v>
      </c>
      <c r="J328" s="85">
        <v>0</v>
      </c>
      <c r="K328" s="85">
        <v>2894</v>
      </c>
      <c r="L328" s="85">
        <v>9699</v>
      </c>
      <c r="M328" s="89">
        <v>2074.0999810793919</v>
      </c>
      <c r="N328" s="85">
        <v>0</v>
      </c>
      <c r="O328" s="85">
        <v>0</v>
      </c>
      <c r="P328" s="85">
        <v>4148.1999621587838</v>
      </c>
      <c r="Q328" s="85">
        <v>13902.34672874155</v>
      </c>
      <c r="R328" s="82" t="s">
        <v>3399</v>
      </c>
      <c r="S328" s="7">
        <f t="shared" si="16"/>
        <v>0</v>
      </c>
      <c r="T328" s="6">
        <f t="shared" si="17"/>
        <v>0</v>
      </c>
      <c r="U328" s="25">
        <f t="shared" si="15"/>
        <v>0</v>
      </c>
    </row>
    <row r="329" spans="1:21" ht="10.9" customHeight="1" x14ac:dyDescent="0.2">
      <c r="A329" s="82" t="s">
        <v>3684</v>
      </c>
      <c r="B329" s="83">
        <v>45693</v>
      </c>
      <c r="C329" s="82" t="s">
        <v>3395</v>
      </c>
      <c r="D329" s="82" t="s">
        <v>3682</v>
      </c>
      <c r="E329" s="82"/>
      <c r="F329" s="82" t="s">
        <v>5674</v>
      </c>
      <c r="G329" s="89">
        <v>2</v>
      </c>
      <c r="H329" s="89">
        <v>1462</v>
      </c>
      <c r="I329" s="85">
        <v>0</v>
      </c>
      <c r="J329" s="85">
        <v>0</v>
      </c>
      <c r="K329" s="85">
        <v>2924</v>
      </c>
      <c r="L329" s="85">
        <v>9699</v>
      </c>
      <c r="M329" s="89">
        <v>2095.6006719682591</v>
      </c>
      <c r="N329" s="85">
        <v>0</v>
      </c>
      <c r="O329" s="85">
        <v>0</v>
      </c>
      <c r="P329" s="85">
        <v>4191.2013439365182</v>
      </c>
      <c r="Q329" s="85">
        <v>13902.34672874155</v>
      </c>
      <c r="R329" s="82" t="s">
        <v>3399</v>
      </c>
      <c r="S329" s="7">
        <f t="shared" si="16"/>
        <v>0</v>
      </c>
      <c r="T329" s="6">
        <f t="shared" si="17"/>
        <v>0</v>
      </c>
      <c r="U329" s="25">
        <f t="shared" si="15"/>
        <v>0</v>
      </c>
    </row>
    <row r="330" spans="1:21" ht="10.9" customHeight="1" x14ac:dyDescent="0.2">
      <c r="A330" s="82" t="s">
        <v>3684</v>
      </c>
      <c r="B330" s="83">
        <v>45693</v>
      </c>
      <c r="C330" s="82" t="s">
        <v>3395</v>
      </c>
      <c r="D330" s="82" t="s">
        <v>3682</v>
      </c>
      <c r="E330" s="82"/>
      <c r="F330" s="82" t="s">
        <v>4459</v>
      </c>
      <c r="G330" s="89">
        <v>1</v>
      </c>
      <c r="H330" s="89">
        <v>649</v>
      </c>
      <c r="I330" s="85">
        <v>0</v>
      </c>
      <c r="J330" s="85">
        <v>0</v>
      </c>
      <c r="K330" s="85">
        <v>649</v>
      </c>
      <c r="L330" s="85">
        <v>9699</v>
      </c>
      <c r="M330" s="89">
        <v>930.26322579165549</v>
      </c>
      <c r="N330" s="85">
        <v>0</v>
      </c>
      <c r="O330" s="85">
        <v>0</v>
      </c>
      <c r="P330" s="85">
        <v>930.26322579165549</v>
      </c>
      <c r="Q330" s="85">
        <v>13902.34672874155</v>
      </c>
      <c r="R330" s="82" t="s">
        <v>3399</v>
      </c>
      <c r="S330" s="7" t="str">
        <f t="shared" si="16"/>
        <v>INV12601</v>
      </c>
      <c r="T330" s="6">
        <f t="shared" si="17"/>
        <v>1</v>
      </c>
      <c r="U330" s="25">
        <f t="shared" si="15"/>
        <v>649</v>
      </c>
    </row>
    <row r="331" spans="1:21" ht="10.9" customHeight="1" x14ac:dyDescent="0.2">
      <c r="A331" s="82" t="s">
        <v>2354</v>
      </c>
      <c r="B331" s="83">
        <v>45693</v>
      </c>
      <c r="C331" s="82" t="s">
        <v>3395</v>
      </c>
      <c r="D331" s="82" t="s">
        <v>2111</v>
      </c>
      <c r="E331" s="82"/>
      <c r="F331" s="82" t="s">
        <v>4397</v>
      </c>
      <c r="G331" s="89">
        <v>3</v>
      </c>
      <c r="H331" s="89">
        <v>1110.27</v>
      </c>
      <c r="I331" s="85">
        <v>0</v>
      </c>
      <c r="J331" s="85">
        <v>0</v>
      </c>
      <c r="K331" s="85">
        <v>3330.81</v>
      </c>
      <c r="L331" s="85">
        <v>3330.81</v>
      </c>
      <c r="M331" s="89">
        <v>1591.4381382121746</v>
      </c>
      <c r="N331" s="85">
        <v>0</v>
      </c>
      <c r="O331" s="85">
        <v>0</v>
      </c>
      <c r="P331" s="85">
        <v>4774.3144146365239</v>
      </c>
      <c r="Q331" s="85">
        <v>4774.3144146365239</v>
      </c>
      <c r="R331" s="82" t="s">
        <v>3399</v>
      </c>
      <c r="S331" s="7">
        <f t="shared" si="16"/>
        <v>0</v>
      </c>
      <c r="T331" s="6">
        <f t="shared" si="17"/>
        <v>0</v>
      </c>
      <c r="U331" s="25">
        <f t="shared" si="15"/>
        <v>0</v>
      </c>
    </row>
    <row r="332" spans="1:21" ht="10.9" customHeight="1" x14ac:dyDescent="0.2">
      <c r="A332" s="82" t="s">
        <v>2387</v>
      </c>
      <c r="B332" s="83">
        <v>45693</v>
      </c>
      <c r="C332" s="82" t="s">
        <v>3395</v>
      </c>
      <c r="D332" s="82" t="s">
        <v>2063</v>
      </c>
      <c r="E332" s="82"/>
      <c r="F332" s="82" t="s">
        <v>5610</v>
      </c>
      <c r="G332" s="89">
        <v>1</v>
      </c>
      <c r="H332" s="89">
        <v>447.11</v>
      </c>
      <c r="I332" s="85">
        <v>0</v>
      </c>
      <c r="J332" s="85">
        <v>58.12</v>
      </c>
      <c r="K332" s="85">
        <v>505.23</v>
      </c>
      <c r="L332" s="85">
        <v>505.23</v>
      </c>
      <c r="M332" s="89">
        <v>447.11</v>
      </c>
      <c r="N332" s="85">
        <v>0</v>
      </c>
      <c r="O332" s="85">
        <v>58.12</v>
      </c>
      <c r="P332" s="85">
        <v>505.23</v>
      </c>
      <c r="Q332" s="85">
        <v>505.23</v>
      </c>
      <c r="R332" s="82" t="s">
        <v>3399</v>
      </c>
      <c r="S332" s="7">
        <f t="shared" si="16"/>
        <v>0</v>
      </c>
      <c r="T332" s="6">
        <f t="shared" si="17"/>
        <v>0</v>
      </c>
      <c r="U332" s="25">
        <f t="shared" si="15"/>
        <v>0</v>
      </c>
    </row>
    <row r="333" spans="1:21" ht="10.9" customHeight="1" x14ac:dyDescent="0.2">
      <c r="A333" s="82" t="s">
        <v>2379</v>
      </c>
      <c r="B333" s="83">
        <v>45694</v>
      </c>
      <c r="C333" s="82" t="s">
        <v>3395</v>
      </c>
      <c r="D333" s="82" t="s">
        <v>2069</v>
      </c>
      <c r="E333" s="82"/>
      <c r="F333" s="82" t="s">
        <v>4417</v>
      </c>
      <c r="G333" s="89">
        <v>1</v>
      </c>
      <c r="H333" s="89">
        <v>1306.53</v>
      </c>
      <c r="I333" s="85">
        <v>0</v>
      </c>
      <c r="J333" s="85">
        <v>0</v>
      </c>
      <c r="K333" s="85">
        <v>1306.53</v>
      </c>
      <c r="L333" s="85">
        <v>3458.61</v>
      </c>
      <c r="M333" s="89">
        <v>1870.6108230928153</v>
      </c>
      <c r="N333" s="85">
        <v>0</v>
      </c>
      <c r="O333" s="85">
        <v>0</v>
      </c>
      <c r="P333" s="85">
        <v>1870.6108230928153</v>
      </c>
      <c r="Q333" s="85">
        <v>4951.8291190076325</v>
      </c>
      <c r="R333" s="82" t="s">
        <v>3399</v>
      </c>
      <c r="S333" s="7">
        <f t="shared" si="16"/>
        <v>0</v>
      </c>
      <c r="T333" s="6">
        <f t="shared" si="17"/>
        <v>0</v>
      </c>
      <c r="U333" s="25">
        <f t="shared" si="15"/>
        <v>0</v>
      </c>
    </row>
    <row r="334" spans="1:21" ht="10.9" customHeight="1" x14ac:dyDescent="0.2">
      <c r="A334" s="82" t="s">
        <v>2379</v>
      </c>
      <c r="B334" s="83">
        <v>45694</v>
      </c>
      <c r="C334" s="82" t="s">
        <v>3395</v>
      </c>
      <c r="D334" s="82" t="s">
        <v>2069</v>
      </c>
      <c r="E334" s="82"/>
      <c r="F334" s="82" t="s">
        <v>4418</v>
      </c>
      <c r="G334" s="89">
        <v>1</v>
      </c>
      <c r="H334" s="89">
        <v>1547.08</v>
      </c>
      <c r="I334" s="85">
        <v>0</v>
      </c>
      <c r="J334" s="85">
        <v>0</v>
      </c>
      <c r="K334" s="85">
        <v>1547.08</v>
      </c>
      <c r="L334" s="85">
        <v>3458.61</v>
      </c>
      <c r="M334" s="89">
        <v>2215.0157992471914</v>
      </c>
      <c r="N334" s="85">
        <v>0</v>
      </c>
      <c r="O334" s="85">
        <v>0</v>
      </c>
      <c r="P334" s="85">
        <v>2215.0157992471914</v>
      </c>
      <c r="Q334" s="85">
        <v>4951.8291190076325</v>
      </c>
      <c r="R334" s="82" t="s">
        <v>3399</v>
      </c>
      <c r="S334" s="7">
        <f t="shared" si="16"/>
        <v>0</v>
      </c>
      <c r="T334" s="6">
        <f t="shared" si="17"/>
        <v>0</v>
      </c>
      <c r="U334" s="25">
        <f t="shared" si="15"/>
        <v>0</v>
      </c>
    </row>
    <row r="335" spans="1:21" ht="10.9" customHeight="1" x14ac:dyDescent="0.2">
      <c r="A335" s="82" t="s">
        <v>2379</v>
      </c>
      <c r="B335" s="83">
        <v>45694</v>
      </c>
      <c r="C335" s="82" t="s">
        <v>3395</v>
      </c>
      <c r="D335" s="82" t="s">
        <v>2069</v>
      </c>
      <c r="E335" s="82"/>
      <c r="F335" s="82" t="s">
        <v>4393</v>
      </c>
      <c r="G335" s="89">
        <v>1</v>
      </c>
      <c r="H335" s="89">
        <v>605</v>
      </c>
      <c r="I335" s="85">
        <v>0</v>
      </c>
      <c r="J335" s="85">
        <v>0</v>
      </c>
      <c r="K335" s="85">
        <v>605</v>
      </c>
      <c r="L335" s="85">
        <v>3458.61</v>
      </c>
      <c r="M335" s="89">
        <v>866.20249666762595</v>
      </c>
      <c r="N335" s="85">
        <v>0</v>
      </c>
      <c r="O335" s="85">
        <v>0</v>
      </c>
      <c r="P335" s="85">
        <v>866.20249666762595</v>
      </c>
      <c r="Q335" s="85">
        <v>4951.8291190076325</v>
      </c>
      <c r="R335" s="82" t="s">
        <v>3399</v>
      </c>
      <c r="S335" s="7" t="str">
        <f t="shared" si="16"/>
        <v>INV12604</v>
      </c>
      <c r="T335" s="6">
        <f t="shared" si="17"/>
        <v>1</v>
      </c>
      <c r="U335" s="25">
        <f t="shared" si="15"/>
        <v>605</v>
      </c>
    </row>
    <row r="336" spans="1:21" ht="10.9" customHeight="1" x14ac:dyDescent="0.2">
      <c r="A336" s="82" t="s">
        <v>2388</v>
      </c>
      <c r="B336" s="83">
        <v>45694</v>
      </c>
      <c r="C336" s="82" t="s">
        <v>3395</v>
      </c>
      <c r="D336" s="82" t="s">
        <v>2061</v>
      </c>
      <c r="E336" s="82"/>
      <c r="F336" s="82" t="s">
        <v>4425</v>
      </c>
      <c r="G336" s="89">
        <v>1</v>
      </c>
      <c r="H336" s="89">
        <v>1023.3</v>
      </c>
      <c r="I336" s="85">
        <v>0</v>
      </c>
      <c r="J336" s="85">
        <v>0</v>
      </c>
      <c r="K336" s="85">
        <v>1023.3</v>
      </c>
      <c r="L336" s="85">
        <v>1023.3</v>
      </c>
      <c r="M336" s="89">
        <v>1465.0991980826143</v>
      </c>
      <c r="N336" s="85">
        <v>0</v>
      </c>
      <c r="O336" s="85">
        <v>0</v>
      </c>
      <c r="P336" s="85">
        <v>1465.0991980826143</v>
      </c>
      <c r="Q336" s="85">
        <v>1465.0991980826143</v>
      </c>
      <c r="R336" s="82" t="s">
        <v>3399</v>
      </c>
      <c r="S336" s="7">
        <f t="shared" si="16"/>
        <v>0</v>
      </c>
      <c r="T336" s="6">
        <f t="shared" si="17"/>
        <v>0</v>
      </c>
      <c r="U336" s="25">
        <f t="shared" si="15"/>
        <v>0</v>
      </c>
    </row>
    <row r="337" spans="1:21" ht="10.9" customHeight="1" x14ac:dyDescent="0.2">
      <c r="A337" s="82" t="s">
        <v>3681</v>
      </c>
      <c r="B337" s="83">
        <v>45694</v>
      </c>
      <c r="C337" s="82" t="s">
        <v>3395</v>
      </c>
      <c r="D337" s="82" t="s">
        <v>3601</v>
      </c>
      <c r="E337" s="82"/>
      <c r="F337" s="82" t="s">
        <v>5462</v>
      </c>
      <c r="G337" s="89">
        <v>12</v>
      </c>
      <c r="H337" s="89">
        <v>2393.25</v>
      </c>
      <c r="I337" s="85">
        <v>0</v>
      </c>
      <c r="J337" s="85">
        <v>0</v>
      </c>
      <c r="K337" s="85">
        <v>28719</v>
      </c>
      <c r="L337" s="85">
        <v>28719</v>
      </c>
      <c r="M337" s="89">
        <v>3426.5109506608196</v>
      </c>
      <c r="N337" s="85">
        <v>0</v>
      </c>
      <c r="O337" s="85">
        <v>0</v>
      </c>
      <c r="P337" s="85">
        <v>41118.131407929832</v>
      </c>
      <c r="Q337" s="85">
        <v>41118.131407929832</v>
      </c>
      <c r="R337" s="82" t="s">
        <v>3399</v>
      </c>
      <c r="S337" s="7">
        <f t="shared" si="16"/>
        <v>0</v>
      </c>
      <c r="T337" s="6">
        <f t="shared" si="17"/>
        <v>0</v>
      </c>
      <c r="U337" s="25">
        <f t="shared" si="15"/>
        <v>0</v>
      </c>
    </row>
    <row r="338" spans="1:21" ht="10.9" customHeight="1" x14ac:dyDescent="0.2">
      <c r="A338" s="82" t="s">
        <v>3680</v>
      </c>
      <c r="B338" s="83">
        <v>45695</v>
      </c>
      <c r="C338" s="82" t="s">
        <v>3395</v>
      </c>
      <c r="D338" s="82" t="s">
        <v>3679</v>
      </c>
      <c r="E338" s="82"/>
      <c r="F338" s="82" t="s">
        <v>4741</v>
      </c>
      <c r="G338" s="89">
        <v>1</v>
      </c>
      <c r="H338" s="89">
        <v>342.09</v>
      </c>
      <c r="I338" s="85">
        <v>0</v>
      </c>
      <c r="J338" s="85">
        <v>17.100000000000001</v>
      </c>
      <c r="K338" s="85">
        <v>359.19</v>
      </c>
      <c r="L338" s="85">
        <v>359.19</v>
      </c>
      <c r="M338" s="89">
        <v>342.09</v>
      </c>
      <c r="N338" s="85">
        <v>0</v>
      </c>
      <c r="O338" s="85">
        <v>17.100000000000001</v>
      </c>
      <c r="P338" s="85">
        <v>359.19</v>
      </c>
      <c r="Q338" s="85">
        <v>359.19</v>
      </c>
      <c r="R338" s="82" t="s">
        <v>3399</v>
      </c>
      <c r="S338" s="7">
        <f t="shared" si="16"/>
        <v>0</v>
      </c>
      <c r="T338" s="6">
        <f t="shared" si="17"/>
        <v>0</v>
      </c>
      <c r="U338" s="25">
        <f t="shared" si="15"/>
        <v>0</v>
      </c>
    </row>
    <row r="339" spans="1:21" ht="10.9" customHeight="1" x14ac:dyDescent="0.2">
      <c r="A339" s="82" t="s">
        <v>2394</v>
      </c>
      <c r="B339" s="83">
        <v>45695</v>
      </c>
      <c r="C339" s="82" t="s">
        <v>3395</v>
      </c>
      <c r="D339" s="82" t="s">
        <v>2051</v>
      </c>
      <c r="E339" s="82"/>
      <c r="F339" s="82" t="s">
        <v>5037</v>
      </c>
      <c r="G339" s="89">
        <v>1</v>
      </c>
      <c r="H339" s="89">
        <v>711.25</v>
      </c>
      <c r="I339" s="85">
        <v>0</v>
      </c>
      <c r="J339" s="85">
        <v>35.56</v>
      </c>
      <c r="K339" s="85">
        <v>746.81</v>
      </c>
      <c r="L339" s="85">
        <v>746.81</v>
      </c>
      <c r="M339" s="89">
        <v>711.25</v>
      </c>
      <c r="N339" s="85">
        <v>0</v>
      </c>
      <c r="O339" s="85">
        <v>35.56</v>
      </c>
      <c r="P339" s="85">
        <v>746.81</v>
      </c>
      <c r="Q339" s="85">
        <v>746.81</v>
      </c>
      <c r="R339" s="82" t="s">
        <v>3399</v>
      </c>
      <c r="S339" s="7">
        <f t="shared" si="16"/>
        <v>0</v>
      </c>
      <c r="T339" s="6">
        <f t="shared" si="17"/>
        <v>0</v>
      </c>
      <c r="U339" s="25">
        <f t="shared" si="15"/>
        <v>0</v>
      </c>
    </row>
    <row r="340" spans="1:21" ht="10.9" customHeight="1" x14ac:dyDescent="0.2">
      <c r="A340" s="82" t="s">
        <v>3678</v>
      </c>
      <c r="B340" s="83">
        <v>45698</v>
      </c>
      <c r="C340" s="82" t="s">
        <v>3395</v>
      </c>
      <c r="D340" s="82" t="s">
        <v>3677</v>
      </c>
      <c r="E340" s="82"/>
      <c r="F340" s="82" t="s">
        <v>4407</v>
      </c>
      <c r="G340" s="89">
        <v>1</v>
      </c>
      <c r="H340" s="89">
        <v>28090</v>
      </c>
      <c r="I340" s="85">
        <v>0</v>
      </c>
      <c r="J340" s="85">
        <v>0</v>
      </c>
      <c r="K340" s="85">
        <v>28090</v>
      </c>
      <c r="L340" s="85">
        <v>32540</v>
      </c>
      <c r="M340" s="89">
        <v>40269.283811719237</v>
      </c>
      <c r="N340" s="85">
        <v>0</v>
      </c>
      <c r="O340" s="85">
        <v>0</v>
      </c>
      <c r="P340" s="85">
        <v>40269.283811719237</v>
      </c>
      <c r="Q340" s="85">
        <v>46648.718235434106</v>
      </c>
      <c r="R340" s="82" t="s">
        <v>3396</v>
      </c>
      <c r="S340" s="7">
        <f t="shared" si="16"/>
        <v>0</v>
      </c>
      <c r="T340" s="6">
        <f t="shared" si="17"/>
        <v>0</v>
      </c>
      <c r="U340" s="25">
        <f t="shared" si="15"/>
        <v>0</v>
      </c>
    </row>
    <row r="341" spans="1:21" ht="10.9" customHeight="1" x14ac:dyDescent="0.2">
      <c r="A341" s="82" t="s">
        <v>3678</v>
      </c>
      <c r="B341" s="83">
        <v>45698</v>
      </c>
      <c r="C341" s="82" t="s">
        <v>3395</v>
      </c>
      <c r="D341" s="82" t="s">
        <v>3677</v>
      </c>
      <c r="E341" s="82"/>
      <c r="F341" s="82" t="s">
        <v>4406</v>
      </c>
      <c r="G341" s="89">
        <v>1</v>
      </c>
      <c r="H341" s="89">
        <v>1290</v>
      </c>
      <c r="I341" s="85">
        <v>0</v>
      </c>
      <c r="J341" s="85">
        <v>0</v>
      </c>
      <c r="K341" s="85">
        <v>1290</v>
      </c>
      <c r="L341" s="85">
        <v>32540</v>
      </c>
      <c r="M341" s="89">
        <v>1849.3191924926243</v>
      </c>
      <c r="N341" s="85">
        <v>0</v>
      </c>
      <c r="O341" s="85">
        <v>0</v>
      </c>
      <c r="P341" s="85">
        <v>1849.3191924926243</v>
      </c>
      <c r="Q341" s="85">
        <v>46648.718235434106</v>
      </c>
      <c r="R341" s="82" t="s">
        <v>3396</v>
      </c>
      <c r="S341" s="7">
        <f t="shared" si="16"/>
        <v>0</v>
      </c>
      <c r="T341" s="6">
        <f t="shared" si="17"/>
        <v>0</v>
      </c>
      <c r="U341" s="25">
        <f t="shared" si="15"/>
        <v>0</v>
      </c>
    </row>
    <row r="342" spans="1:21" ht="10.9" customHeight="1" x14ac:dyDescent="0.2">
      <c r="A342" s="82" t="s">
        <v>3678</v>
      </c>
      <c r="B342" s="83">
        <v>45698</v>
      </c>
      <c r="C342" s="82" t="s">
        <v>3395</v>
      </c>
      <c r="D342" s="82" t="s">
        <v>3677</v>
      </c>
      <c r="E342" s="82"/>
      <c r="F342" s="82" t="s">
        <v>4403</v>
      </c>
      <c r="G342" s="89">
        <v>1</v>
      </c>
      <c r="H342" s="89">
        <v>1580</v>
      </c>
      <c r="I342" s="85">
        <v>0</v>
      </c>
      <c r="J342" s="85">
        <v>0</v>
      </c>
      <c r="K342" s="85">
        <v>1580</v>
      </c>
      <c r="L342" s="85">
        <v>32540</v>
      </c>
      <c r="M342" s="89">
        <v>2265.057615611121</v>
      </c>
      <c r="N342" s="85">
        <v>0</v>
      </c>
      <c r="O342" s="85">
        <v>0</v>
      </c>
      <c r="P342" s="85">
        <v>2265.057615611121</v>
      </c>
      <c r="Q342" s="85">
        <v>46648.718235434106</v>
      </c>
      <c r="R342" s="82" t="s">
        <v>3396</v>
      </c>
      <c r="S342" s="7">
        <f t="shared" si="16"/>
        <v>0</v>
      </c>
      <c r="T342" s="6">
        <f t="shared" si="17"/>
        <v>0</v>
      </c>
      <c r="U342" s="25">
        <f t="shared" si="15"/>
        <v>0</v>
      </c>
    </row>
    <row r="343" spans="1:21" ht="10.9" customHeight="1" x14ac:dyDescent="0.2">
      <c r="A343" s="82" t="s">
        <v>3678</v>
      </c>
      <c r="B343" s="83">
        <v>45698</v>
      </c>
      <c r="C343" s="82" t="s">
        <v>3395</v>
      </c>
      <c r="D343" s="82" t="s">
        <v>3677</v>
      </c>
      <c r="E343" s="82"/>
      <c r="F343" s="82" t="s">
        <v>5673</v>
      </c>
      <c r="G343" s="89">
        <v>1</v>
      </c>
      <c r="H343" s="89">
        <v>1580</v>
      </c>
      <c r="I343" s="85">
        <v>0</v>
      </c>
      <c r="J343" s="85">
        <v>0</v>
      </c>
      <c r="K343" s="85">
        <v>1580</v>
      </c>
      <c r="L343" s="85">
        <v>32540</v>
      </c>
      <c r="M343" s="89">
        <v>2265.057615611121</v>
      </c>
      <c r="N343" s="85">
        <v>0</v>
      </c>
      <c r="O343" s="85">
        <v>0</v>
      </c>
      <c r="P343" s="85">
        <v>2265.057615611121</v>
      </c>
      <c r="Q343" s="85">
        <v>46648.718235434106</v>
      </c>
      <c r="R343" s="82" t="s">
        <v>3396</v>
      </c>
      <c r="S343" s="7">
        <f t="shared" si="16"/>
        <v>0</v>
      </c>
      <c r="T343" s="6">
        <f t="shared" si="17"/>
        <v>0</v>
      </c>
      <c r="U343" s="25">
        <f t="shared" si="15"/>
        <v>0</v>
      </c>
    </row>
    <row r="344" spans="1:21" ht="10.9" customHeight="1" x14ac:dyDescent="0.2">
      <c r="A344" s="82" t="s">
        <v>3676</v>
      </c>
      <c r="B344" s="83">
        <v>45699</v>
      </c>
      <c r="C344" s="82" t="s">
        <v>3395</v>
      </c>
      <c r="D344" s="82" t="s">
        <v>3675</v>
      </c>
      <c r="E344" s="82"/>
      <c r="F344" s="82" t="s">
        <v>4855</v>
      </c>
      <c r="G344" s="89">
        <v>2</v>
      </c>
      <c r="H344" s="89">
        <v>2069.85</v>
      </c>
      <c r="I344" s="85">
        <v>0</v>
      </c>
      <c r="J344" s="85">
        <v>0</v>
      </c>
      <c r="K344" s="85">
        <v>4139.7</v>
      </c>
      <c r="L344" s="85">
        <v>4139.7</v>
      </c>
      <c r="M344" s="89">
        <v>2958.7037937047944</v>
      </c>
      <c r="N344" s="85">
        <v>0</v>
      </c>
      <c r="O344" s="85">
        <v>0</v>
      </c>
      <c r="P344" s="85">
        <v>5917.4075874095888</v>
      </c>
      <c r="Q344" s="85">
        <v>5917.4075874095888</v>
      </c>
      <c r="R344" s="82" t="s">
        <v>3399</v>
      </c>
      <c r="S344" s="7">
        <f t="shared" si="16"/>
        <v>0</v>
      </c>
      <c r="T344" s="6">
        <f t="shared" si="17"/>
        <v>0</v>
      </c>
      <c r="U344" s="25">
        <f t="shared" si="15"/>
        <v>0</v>
      </c>
    </row>
    <row r="345" spans="1:21" ht="10.9" customHeight="1" x14ac:dyDescent="0.2">
      <c r="A345" s="82" t="s">
        <v>2321</v>
      </c>
      <c r="B345" s="83">
        <v>45699</v>
      </c>
      <c r="C345" s="82" t="s">
        <v>3395</v>
      </c>
      <c r="D345" s="82" t="s">
        <v>2170</v>
      </c>
      <c r="E345" s="82"/>
      <c r="F345" s="82" t="s">
        <v>5672</v>
      </c>
      <c r="G345" s="89">
        <v>1</v>
      </c>
      <c r="H345" s="89">
        <v>1498.47</v>
      </c>
      <c r="I345" s="85">
        <v>0</v>
      </c>
      <c r="J345" s="85">
        <v>194.8</v>
      </c>
      <c r="K345" s="85">
        <v>1693.27</v>
      </c>
      <c r="L345" s="85">
        <v>1693.27</v>
      </c>
      <c r="M345" s="89">
        <v>1498.47</v>
      </c>
      <c r="N345" s="85">
        <v>0</v>
      </c>
      <c r="O345" s="85">
        <v>194.8</v>
      </c>
      <c r="P345" s="85">
        <v>1693.27</v>
      </c>
      <c r="Q345" s="85">
        <v>1693.27</v>
      </c>
      <c r="R345" s="82" t="s">
        <v>3399</v>
      </c>
      <c r="S345" s="7">
        <f t="shared" si="16"/>
        <v>0</v>
      </c>
      <c r="T345" s="6">
        <f t="shared" si="17"/>
        <v>0</v>
      </c>
      <c r="U345" s="25">
        <f t="shared" si="15"/>
        <v>0</v>
      </c>
    </row>
    <row r="346" spans="1:21" ht="10.9" customHeight="1" x14ac:dyDescent="0.2">
      <c r="A346" s="82" t="s">
        <v>2398</v>
      </c>
      <c r="B346" s="83">
        <v>45700</v>
      </c>
      <c r="C346" s="82" t="s">
        <v>3395</v>
      </c>
      <c r="D346" s="82" t="s">
        <v>2043</v>
      </c>
      <c r="E346" s="82"/>
      <c r="F346" s="82" t="s">
        <v>4740</v>
      </c>
      <c r="G346" s="89">
        <v>2</v>
      </c>
      <c r="H346" s="89">
        <v>150.88</v>
      </c>
      <c r="I346" s="85">
        <v>0</v>
      </c>
      <c r="J346" s="85">
        <v>15.09</v>
      </c>
      <c r="K346" s="85">
        <v>316.85000000000002</v>
      </c>
      <c r="L346" s="85">
        <v>316.85000000000002</v>
      </c>
      <c r="M346" s="89">
        <v>150.88</v>
      </c>
      <c r="N346" s="85">
        <v>0</v>
      </c>
      <c r="O346" s="85">
        <v>15.09</v>
      </c>
      <c r="P346" s="85">
        <v>316.85000000000002</v>
      </c>
      <c r="Q346" s="85">
        <v>316.85000000000002</v>
      </c>
      <c r="R346" s="82" t="s">
        <v>3399</v>
      </c>
      <c r="S346" s="7">
        <f t="shared" si="16"/>
        <v>0</v>
      </c>
      <c r="T346" s="6">
        <f t="shared" si="17"/>
        <v>0</v>
      </c>
      <c r="U346" s="25">
        <f t="shared" si="15"/>
        <v>0</v>
      </c>
    </row>
    <row r="347" spans="1:21" ht="10.9" customHeight="1" x14ac:dyDescent="0.2">
      <c r="A347" s="82" t="s">
        <v>2400</v>
      </c>
      <c r="B347" s="83">
        <v>45700</v>
      </c>
      <c r="C347" s="82" t="s">
        <v>3395</v>
      </c>
      <c r="D347" s="82" t="s">
        <v>2039</v>
      </c>
      <c r="E347" s="82"/>
      <c r="F347" s="82" t="s">
        <v>4594</v>
      </c>
      <c r="G347" s="89">
        <v>1</v>
      </c>
      <c r="H347" s="89">
        <v>283.44</v>
      </c>
      <c r="I347" s="85">
        <v>0</v>
      </c>
      <c r="J347" s="85">
        <v>14.17</v>
      </c>
      <c r="K347" s="85">
        <v>297.61</v>
      </c>
      <c r="L347" s="85">
        <v>4349.0200000000004</v>
      </c>
      <c r="M347" s="89">
        <v>283.44</v>
      </c>
      <c r="N347" s="85">
        <v>0</v>
      </c>
      <c r="O347" s="85">
        <v>14.17</v>
      </c>
      <c r="P347" s="85">
        <v>297.61</v>
      </c>
      <c r="Q347" s="85">
        <v>4349.0200000000004</v>
      </c>
      <c r="R347" s="82" t="s">
        <v>3399</v>
      </c>
      <c r="S347" s="7">
        <f t="shared" si="16"/>
        <v>0</v>
      </c>
      <c r="T347" s="6">
        <f t="shared" si="17"/>
        <v>0</v>
      </c>
      <c r="U347" s="25">
        <f t="shared" si="15"/>
        <v>0</v>
      </c>
    </row>
    <row r="348" spans="1:21" ht="10.9" customHeight="1" x14ac:dyDescent="0.2">
      <c r="A348" s="82" t="s">
        <v>2400</v>
      </c>
      <c r="B348" s="83">
        <v>45700</v>
      </c>
      <c r="C348" s="82" t="s">
        <v>3395</v>
      </c>
      <c r="D348" s="82" t="s">
        <v>2039</v>
      </c>
      <c r="E348" s="82"/>
      <c r="F348" s="82" t="s">
        <v>5555</v>
      </c>
      <c r="G348" s="89">
        <v>1</v>
      </c>
      <c r="H348" s="89">
        <v>1051.93</v>
      </c>
      <c r="I348" s="85">
        <v>0</v>
      </c>
      <c r="J348" s="85">
        <v>52.6</v>
      </c>
      <c r="K348" s="85">
        <v>1104.53</v>
      </c>
      <c r="L348" s="85">
        <v>4349.0200000000004</v>
      </c>
      <c r="M348" s="89">
        <v>1051.93</v>
      </c>
      <c r="N348" s="85">
        <v>0</v>
      </c>
      <c r="O348" s="85">
        <v>52.6</v>
      </c>
      <c r="P348" s="85">
        <v>1104.53</v>
      </c>
      <c r="Q348" s="85">
        <v>4349.0200000000004</v>
      </c>
      <c r="R348" s="82" t="s">
        <v>3399</v>
      </c>
      <c r="S348" s="7">
        <f t="shared" si="16"/>
        <v>0</v>
      </c>
      <c r="T348" s="6">
        <f t="shared" si="17"/>
        <v>0</v>
      </c>
      <c r="U348" s="25">
        <f t="shared" si="15"/>
        <v>0</v>
      </c>
    </row>
    <row r="349" spans="1:21" ht="10.9" customHeight="1" x14ac:dyDescent="0.2">
      <c r="A349" s="82" t="s">
        <v>2400</v>
      </c>
      <c r="B349" s="83">
        <v>45700</v>
      </c>
      <c r="C349" s="82" t="s">
        <v>3395</v>
      </c>
      <c r="D349" s="82" t="s">
        <v>2039</v>
      </c>
      <c r="E349" s="82"/>
      <c r="F349" s="82" t="s">
        <v>5671</v>
      </c>
      <c r="G349" s="89">
        <v>1</v>
      </c>
      <c r="H349" s="89">
        <v>2806.55</v>
      </c>
      <c r="I349" s="85">
        <v>0</v>
      </c>
      <c r="J349" s="85">
        <v>140.33000000000001</v>
      </c>
      <c r="K349" s="85">
        <v>2946.88</v>
      </c>
      <c r="L349" s="85">
        <v>4349.0200000000004</v>
      </c>
      <c r="M349" s="89">
        <v>2806.55</v>
      </c>
      <c r="N349" s="85">
        <v>0</v>
      </c>
      <c r="O349" s="85">
        <v>140.33000000000001</v>
      </c>
      <c r="P349" s="85">
        <v>2946.88</v>
      </c>
      <c r="Q349" s="85">
        <v>4349.0200000000004</v>
      </c>
      <c r="R349" s="82" t="s">
        <v>3399</v>
      </c>
      <c r="S349" s="7">
        <f t="shared" si="16"/>
        <v>0</v>
      </c>
      <c r="T349" s="6">
        <f t="shared" si="17"/>
        <v>0</v>
      </c>
      <c r="U349" s="25">
        <f t="shared" si="15"/>
        <v>0</v>
      </c>
    </row>
    <row r="350" spans="1:21" ht="10.9" customHeight="1" x14ac:dyDescent="0.2">
      <c r="A350" s="82" t="s">
        <v>2358</v>
      </c>
      <c r="B350" s="83">
        <v>45700</v>
      </c>
      <c r="C350" s="82" t="s">
        <v>3395</v>
      </c>
      <c r="D350" s="82" t="s">
        <v>2105</v>
      </c>
      <c r="E350" s="82"/>
      <c r="F350" s="82" t="s">
        <v>5211</v>
      </c>
      <c r="G350" s="89">
        <v>1</v>
      </c>
      <c r="H350" s="89">
        <v>2041.05</v>
      </c>
      <c r="I350" s="85">
        <v>0</v>
      </c>
      <c r="J350" s="85">
        <v>102.05</v>
      </c>
      <c r="K350" s="85">
        <v>2143.1</v>
      </c>
      <c r="L350" s="85">
        <v>2143.1</v>
      </c>
      <c r="M350" s="89">
        <v>2041.05</v>
      </c>
      <c r="N350" s="85">
        <v>0</v>
      </c>
      <c r="O350" s="85">
        <v>102.05</v>
      </c>
      <c r="P350" s="85">
        <v>2143.1</v>
      </c>
      <c r="Q350" s="85">
        <v>2143.1</v>
      </c>
      <c r="R350" s="82" t="s">
        <v>3399</v>
      </c>
      <c r="S350" s="7">
        <f t="shared" si="16"/>
        <v>0</v>
      </c>
      <c r="T350" s="6">
        <f t="shared" si="17"/>
        <v>0</v>
      </c>
      <c r="U350" s="25">
        <f t="shared" si="15"/>
        <v>0</v>
      </c>
    </row>
    <row r="351" spans="1:21" ht="10.9" customHeight="1" x14ac:dyDescent="0.2">
      <c r="A351" s="82" t="s">
        <v>2378</v>
      </c>
      <c r="B351" s="83">
        <v>45700</v>
      </c>
      <c r="C351" s="82" t="s">
        <v>3395</v>
      </c>
      <c r="D351" s="82" t="s">
        <v>2071</v>
      </c>
      <c r="E351" s="82"/>
      <c r="F351" s="82" t="s">
        <v>5034</v>
      </c>
      <c r="G351" s="89">
        <v>1</v>
      </c>
      <c r="H351" s="89">
        <v>85.68</v>
      </c>
      <c r="I351" s="85">
        <v>0</v>
      </c>
      <c r="J351" s="85">
        <v>4.28</v>
      </c>
      <c r="K351" s="85">
        <v>89.96</v>
      </c>
      <c r="L351" s="85">
        <v>166.25</v>
      </c>
      <c r="M351" s="89">
        <v>85.68</v>
      </c>
      <c r="N351" s="85">
        <v>0</v>
      </c>
      <c r="O351" s="85">
        <v>4.28</v>
      </c>
      <c r="P351" s="85">
        <v>89.96</v>
      </c>
      <c r="Q351" s="85">
        <v>166.25</v>
      </c>
      <c r="R351" s="82" t="s">
        <v>3399</v>
      </c>
      <c r="S351" s="7">
        <f t="shared" si="16"/>
        <v>0</v>
      </c>
      <c r="T351" s="6">
        <f t="shared" si="17"/>
        <v>0</v>
      </c>
      <c r="U351" s="25">
        <f t="shared" si="15"/>
        <v>0</v>
      </c>
    </row>
    <row r="352" spans="1:21" ht="10.9" customHeight="1" x14ac:dyDescent="0.2">
      <c r="A352" s="82" t="s">
        <v>2378</v>
      </c>
      <c r="B352" s="83">
        <v>45700</v>
      </c>
      <c r="C352" s="82" t="s">
        <v>3395</v>
      </c>
      <c r="D352" s="82" t="s">
        <v>2071</v>
      </c>
      <c r="E352" s="82"/>
      <c r="F352" s="82" t="s">
        <v>5384</v>
      </c>
      <c r="G352" s="89">
        <v>1</v>
      </c>
      <c r="H352" s="89">
        <v>72.66</v>
      </c>
      <c r="I352" s="85">
        <v>0</v>
      </c>
      <c r="J352" s="85">
        <v>3.63</v>
      </c>
      <c r="K352" s="85">
        <v>76.290000000000006</v>
      </c>
      <c r="L352" s="85">
        <v>166.25</v>
      </c>
      <c r="M352" s="89">
        <v>72.66</v>
      </c>
      <c r="N352" s="85">
        <v>0</v>
      </c>
      <c r="O352" s="85">
        <v>3.63</v>
      </c>
      <c r="P352" s="85">
        <v>76.290000000000006</v>
      </c>
      <c r="Q352" s="85">
        <v>166.25</v>
      </c>
      <c r="R352" s="82" t="s">
        <v>3399</v>
      </c>
      <c r="S352" s="7">
        <f t="shared" si="16"/>
        <v>0</v>
      </c>
      <c r="T352" s="6">
        <f t="shared" si="17"/>
        <v>0</v>
      </c>
      <c r="U352" s="25">
        <f t="shared" si="15"/>
        <v>0</v>
      </c>
    </row>
    <row r="353" spans="1:21" ht="10.9" customHeight="1" x14ac:dyDescent="0.2">
      <c r="A353" s="82" t="s">
        <v>2409</v>
      </c>
      <c r="B353" s="83">
        <v>45700</v>
      </c>
      <c r="C353" s="82" t="s">
        <v>3395</v>
      </c>
      <c r="D353" s="82" t="s">
        <v>2026</v>
      </c>
      <c r="E353" s="82"/>
      <c r="F353" s="82" t="s">
        <v>5670</v>
      </c>
      <c r="G353" s="89">
        <v>2</v>
      </c>
      <c r="H353" s="89">
        <v>1999.39</v>
      </c>
      <c r="I353" s="85">
        <v>0</v>
      </c>
      <c r="J353" s="85">
        <v>199.94</v>
      </c>
      <c r="K353" s="85">
        <v>4198.72</v>
      </c>
      <c r="L353" s="85">
        <v>4198.72</v>
      </c>
      <c r="M353" s="89">
        <v>1999.39</v>
      </c>
      <c r="N353" s="85">
        <v>0</v>
      </c>
      <c r="O353" s="85">
        <v>199.94</v>
      </c>
      <c r="P353" s="85">
        <v>4198.72</v>
      </c>
      <c r="Q353" s="85">
        <v>4198.72</v>
      </c>
      <c r="R353" s="82" t="s">
        <v>3399</v>
      </c>
      <c r="S353" s="7">
        <f t="shared" si="16"/>
        <v>0</v>
      </c>
      <c r="T353" s="6">
        <f t="shared" si="17"/>
        <v>0</v>
      </c>
      <c r="U353" s="25">
        <f t="shared" si="15"/>
        <v>0</v>
      </c>
    </row>
    <row r="354" spans="1:21" ht="10.9" customHeight="1" x14ac:dyDescent="0.2">
      <c r="A354" s="82" t="s">
        <v>4131</v>
      </c>
      <c r="B354" s="83">
        <v>45702</v>
      </c>
      <c r="C354" s="82" t="s">
        <v>3395</v>
      </c>
      <c r="D354" s="82" t="s">
        <v>3601</v>
      </c>
      <c r="E354" s="82"/>
      <c r="F354" s="82"/>
      <c r="G354" s="89">
        <v>0</v>
      </c>
      <c r="H354" s="89">
        <v>0</v>
      </c>
      <c r="I354" s="85">
        <v>0</v>
      </c>
      <c r="J354" s="85">
        <v>0</v>
      </c>
      <c r="K354" s="85">
        <v>0</v>
      </c>
      <c r="L354" s="85">
        <v>0</v>
      </c>
      <c r="M354" s="89">
        <v>0</v>
      </c>
      <c r="N354" s="85">
        <v>0</v>
      </c>
      <c r="O354" s="85">
        <v>0</v>
      </c>
      <c r="P354" s="85">
        <v>0</v>
      </c>
      <c r="Q354" s="85">
        <v>0</v>
      </c>
      <c r="R354" s="82" t="s">
        <v>4515</v>
      </c>
      <c r="S354" s="7">
        <f t="shared" si="16"/>
        <v>0</v>
      </c>
      <c r="T354" s="6">
        <f t="shared" si="17"/>
        <v>0</v>
      </c>
      <c r="U354" s="25">
        <f t="shared" si="15"/>
        <v>0</v>
      </c>
    </row>
    <row r="355" spans="1:21" ht="10.9" customHeight="1" x14ac:dyDescent="0.2">
      <c r="A355" s="82" t="s">
        <v>2386</v>
      </c>
      <c r="B355" s="83">
        <v>45702</v>
      </c>
      <c r="C355" s="82" t="s">
        <v>3395</v>
      </c>
      <c r="D355" s="82" t="s">
        <v>2065</v>
      </c>
      <c r="E355" s="82"/>
      <c r="F355" s="82" t="s">
        <v>4439</v>
      </c>
      <c r="G355" s="89">
        <v>8</v>
      </c>
      <c r="H355" s="89">
        <v>17.12</v>
      </c>
      <c r="I355" s="85">
        <v>0</v>
      </c>
      <c r="J355" s="85">
        <v>0</v>
      </c>
      <c r="K355" s="85">
        <v>136.96</v>
      </c>
      <c r="L355" s="85">
        <v>16104.77</v>
      </c>
      <c r="M355" s="89">
        <v>24.284549097485726</v>
      </c>
      <c r="N355" s="85">
        <v>0</v>
      </c>
      <c r="O355" s="85">
        <v>0</v>
      </c>
      <c r="P355" s="85">
        <v>194.27639277988581</v>
      </c>
      <c r="Q355" s="85">
        <v>22844.45547714458</v>
      </c>
      <c r="R355" s="82" t="s">
        <v>3399</v>
      </c>
      <c r="S355" s="7">
        <f t="shared" si="16"/>
        <v>0</v>
      </c>
      <c r="T355" s="6">
        <f t="shared" si="17"/>
        <v>0</v>
      </c>
      <c r="U355" s="25">
        <f t="shared" si="15"/>
        <v>0</v>
      </c>
    </row>
    <row r="356" spans="1:21" ht="10.9" customHeight="1" x14ac:dyDescent="0.2">
      <c r="A356" s="82" t="s">
        <v>2386</v>
      </c>
      <c r="B356" s="83">
        <v>45702</v>
      </c>
      <c r="C356" s="82" t="s">
        <v>3395</v>
      </c>
      <c r="D356" s="82" t="s">
        <v>2065</v>
      </c>
      <c r="E356" s="82"/>
      <c r="F356" s="82" t="s">
        <v>4418</v>
      </c>
      <c r="G356" s="89">
        <v>4</v>
      </c>
      <c r="H356" s="89">
        <v>1647.97</v>
      </c>
      <c r="I356" s="85">
        <v>0</v>
      </c>
      <c r="J356" s="85">
        <v>0</v>
      </c>
      <c r="K356" s="85">
        <v>6591.88</v>
      </c>
      <c r="L356" s="85">
        <v>16104.77</v>
      </c>
      <c r="M356" s="89">
        <v>2337.6289939359554</v>
      </c>
      <c r="N356" s="85">
        <v>0</v>
      </c>
      <c r="O356" s="85">
        <v>0</v>
      </c>
      <c r="P356" s="85">
        <v>9350.5159757438214</v>
      </c>
      <c r="Q356" s="85">
        <v>22844.45547714458</v>
      </c>
      <c r="R356" s="82" t="s">
        <v>3399</v>
      </c>
      <c r="S356" s="7">
        <f t="shared" si="16"/>
        <v>0</v>
      </c>
      <c r="T356" s="6">
        <f t="shared" si="17"/>
        <v>0</v>
      </c>
      <c r="U356" s="25">
        <f t="shared" si="15"/>
        <v>0</v>
      </c>
    </row>
    <row r="357" spans="1:21" ht="10.9" customHeight="1" x14ac:dyDescent="0.2">
      <c r="A357" s="82" t="s">
        <v>2386</v>
      </c>
      <c r="B357" s="83">
        <v>45702</v>
      </c>
      <c r="C357" s="82" t="s">
        <v>3395</v>
      </c>
      <c r="D357" s="82" t="s">
        <v>2065</v>
      </c>
      <c r="E357" s="82"/>
      <c r="F357" s="82" t="s">
        <v>5362</v>
      </c>
      <c r="G357" s="89">
        <v>1</v>
      </c>
      <c r="H357" s="89">
        <v>9375.93</v>
      </c>
      <c r="I357" s="85">
        <v>0</v>
      </c>
      <c r="J357" s="85">
        <v>0</v>
      </c>
      <c r="K357" s="85">
        <v>9375.93</v>
      </c>
      <c r="L357" s="85">
        <v>16104.77</v>
      </c>
      <c r="M357" s="89">
        <v>13299.663108620873</v>
      </c>
      <c r="N357" s="85">
        <v>0</v>
      </c>
      <c r="O357" s="85">
        <v>0</v>
      </c>
      <c r="P357" s="85">
        <v>13299.663108620873</v>
      </c>
      <c r="Q357" s="85">
        <v>22844.45547714458</v>
      </c>
      <c r="R357" s="82" t="s">
        <v>3399</v>
      </c>
      <c r="S357" s="7">
        <f t="shared" si="16"/>
        <v>0</v>
      </c>
      <c r="T357" s="6">
        <f t="shared" si="17"/>
        <v>0</v>
      </c>
      <c r="U357" s="25">
        <f t="shared" si="15"/>
        <v>0</v>
      </c>
    </row>
    <row r="358" spans="1:21" ht="10.9" customHeight="1" x14ac:dyDescent="0.2">
      <c r="A358" s="82" t="s">
        <v>2407</v>
      </c>
      <c r="B358" s="83">
        <v>45702</v>
      </c>
      <c r="C358" s="82" t="s">
        <v>3395</v>
      </c>
      <c r="D358" s="82" t="s">
        <v>2030</v>
      </c>
      <c r="E358" s="82"/>
      <c r="F358" s="82" t="s">
        <v>5669</v>
      </c>
      <c r="G358" s="89">
        <v>1</v>
      </c>
      <c r="H358" s="89">
        <v>6370</v>
      </c>
      <c r="I358" s="85">
        <v>0</v>
      </c>
      <c r="J358" s="85">
        <v>0</v>
      </c>
      <c r="K358" s="85">
        <v>6370</v>
      </c>
      <c r="L358" s="85">
        <v>7041</v>
      </c>
      <c r="M358" s="89">
        <v>9023.3019335647004</v>
      </c>
      <c r="N358" s="85">
        <v>0</v>
      </c>
      <c r="O358" s="85">
        <v>0</v>
      </c>
      <c r="P358" s="85">
        <v>9023.3019335647004</v>
      </c>
      <c r="Q358" s="85">
        <v>9973.7941780579367</v>
      </c>
      <c r="R358" s="82" t="s">
        <v>3399</v>
      </c>
      <c r="S358" s="7">
        <f t="shared" si="16"/>
        <v>0</v>
      </c>
      <c r="T358" s="6">
        <f t="shared" si="17"/>
        <v>0</v>
      </c>
      <c r="U358" s="25">
        <f t="shared" si="15"/>
        <v>0</v>
      </c>
    </row>
    <row r="359" spans="1:21" ht="10.9" customHeight="1" x14ac:dyDescent="0.2">
      <c r="A359" s="82" t="s">
        <v>2407</v>
      </c>
      <c r="B359" s="83">
        <v>45702</v>
      </c>
      <c r="C359" s="82" t="s">
        <v>3395</v>
      </c>
      <c r="D359" s="82" t="s">
        <v>2030</v>
      </c>
      <c r="E359" s="82"/>
      <c r="F359" s="82" t="s">
        <v>4459</v>
      </c>
      <c r="G359" s="89">
        <v>1</v>
      </c>
      <c r="H359" s="89">
        <v>671</v>
      </c>
      <c r="I359" s="85">
        <v>0</v>
      </c>
      <c r="J359" s="85">
        <v>0</v>
      </c>
      <c r="K359" s="85">
        <v>671</v>
      </c>
      <c r="L359" s="85">
        <v>7041</v>
      </c>
      <c r="M359" s="89">
        <v>950.49224449323606</v>
      </c>
      <c r="N359" s="85">
        <v>0</v>
      </c>
      <c r="O359" s="85">
        <v>0</v>
      </c>
      <c r="P359" s="85">
        <v>950.49224449323606</v>
      </c>
      <c r="Q359" s="85">
        <v>9973.7941780579367</v>
      </c>
      <c r="R359" s="82" t="s">
        <v>3399</v>
      </c>
      <c r="S359" s="7" t="str">
        <f t="shared" si="16"/>
        <v>INV12619</v>
      </c>
      <c r="T359" s="6">
        <f t="shared" si="17"/>
        <v>1</v>
      </c>
      <c r="U359" s="25">
        <f t="shared" si="15"/>
        <v>671</v>
      </c>
    </row>
    <row r="360" spans="1:21" ht="10.9" customHeight="1" x14ac:dyDescent="0.2">
      <c r="A360" s="82" t="s">
        <v>2350</v>
      </c>
      <c r="B360" s="83">
        <v>45702</v>
      </c>
      <c r="C360" s="82" t="s">
        <v>3395</v>
      </c>
      <c r="D360" s="82" t="s">
        <v>2117</v>
      </c>
      <c r="E360" s="82"/>
      <c r="F360" s="82" t="s">
        <v>4721</v>
      </c>
      <c r="G360" s="89">
        <v>1</v>
      </c>
      <c r="H360" s="89">
        <v>885.98</v>
      </c>
      <c r="I360" s="85">
        <v>0</v>
      </c>
      <c r="J360" s="85">
        <v>44.3</v>
      </c>
      <c r="K360" s="85">
        <v>930.28</v>
      </c>
      <c r="L360" s="85">
        <v>930.28</v>
      </c>
      <c r="M360" s="89">
        <v>885.98</v>
      </c>
      <c r="N360" s="85">
        <v>0</v>
      </c>
      <c r="O360" s="85">
        <v>44.3</v>
      </c>
      <c r="P360" s="85">
        <v>930.28</v>
      </c>
      <c r="Q360" s="85">
        <v>930.28</v>
      </c>
      <c r="R360" s="82" t="s">
        <v>3399</v>
      </c>
      <c r="S360" s="7">
        <f t="shared" si="16"/>
        <v>0</v>
      </c>
      <c r="T360" s="6">
        <f t="shared" si="17"/>
        <v>0</v>
      </c>
      <c r="U360" s="25">
        <f t="shared" si="15"/>
        <v>0</v>
      </c>
    </row>
    <row r="361" spans="1:21" ht="10.9" customHeight="1" x14ac:dyDescent="0.2">
      <c r="A361" s="82" t="s">
        <v>3674</v>
      </c>
      <c r="B361" s="83">
        <v>45702</v>
      </c>
      <c r="C361" s="82" t="s">
        <v>3395</v>
      </c>
      <c r="D361" s="82" t="s">
        <v>3673</v>
      </c>
      <c r="E361" s="82"/>
      <c r="F361" s="82" t="s">
        <v>4517</v>
      </c>
      <c r="G361" s="89">
        <v>3</v>
      </c>
      <c r="H361" s="89">
        <v>888.78</v>
      </c>
      <c r="I361" s="85">
        <v>0</v>
      </c>
      <c r="J361" s="85">
        <v>346.62</v>
      </c>
      <c r="K361" s="85">
        <v>3012.96</v>
      </c>
      <c r="L361" s="85">
        <v>4731.83</v>
      </c>
      <c r="M361" s="89">
        <v>888.78</v>
      </c>
      <c r="N361" s="85">
        <v>0</v>
      </c>
      <c r="O361" s="85">
        <v>346.62</v>
      </c>
      <c r="P361" s="85">
        <v>3012.96</v>
      </c>
      <c r="Q361" s="85">
        <v>4731.83</v>
      </c>
      <c r="R361" s="82" t="s">
        <v>3399</v>
      </c>
      <c r="S361" s="7">
        <f t="shared" si="16"/>
        <v>0</v>
      </c>
      <c r="T361" s="6">
        <f t="shared" si="17"/>
        <v>0</v>
      </c>
      <c r="U361" s="25">
        <f t="shared" si="15"/>
        <v>0</v>
      </c>
    </row>
    <row r="362" spans="1:21" ht="10.9" customHeight="1" x14ac:dyDescent="0.2">
      <c r="A362" s="82" t="s">
        <v>3674</v>
      </c>
      <c r="B362" s="83">
        <v>45702</v>
      </c>
      <c r="C362" s="82" t="s">
        <v>3395</v>
      </c>
      <c r="D362" s="82" t="s">
        <v>3673</v>
      </c>
      <c r="E362" s="82"/>
      <c r="F362" s="82" t="s">
        <v>4518</v>
      </c>
      <c r="G362" s="89">
        <v>3</v>
      </c>
      <c r="H362" s="89">
        <v>507.04</v>
      </c>
      <c r="I362" s="85">
        <v>0</v>
      </c>
      <c r="J362" s="85">
        <v>197.75</v>
      </c>
      <c r="K362" s="85">
        <v>1718.87</v>
      </c>
      <c r="L362" s="85">
        <v>4731.83</v>
      </c>
      <c r="M362" s="89">
        <v>507.04</v>
      </c>
      <c r="N362" s="85">
        <v>0</v>
      </c>
      <c r="O362" s="85">
        <v>197.75</v>
      </c>
      <c r="P362" s="85">
        <v>1718.87</v>
      </c>
      <c r="Q362" s="85">
        <v>4731.83</v>
      </c>
      <c r="R362" s="82" t="s">
        <v>3399</v>
      </c>
      <c r="S362" s="7">
        <f t="shared" si="16"/>
        <v>0</v>
      </c>
      <c r="T362" s="6">
        <f t="shared" si="17"/>
        <v>0</v>
      </c>
      <c r="U362" s="25">
        <f t="shared" si="15"/>
        <v>0</v>
      </c>
    </row>
    <row r="363" spans="1:21" ht="10.9" customHeight="1" x14ac:dyDescent="0.2">
      <c r="A363" s="82" t="s">
        <v>2423</v>
      </c>
      <c r="B363" s="83">
        <v>45706</v>
      </c>
      <c r="C363" s="82" t="s">
        <v>3395</v>
      </c>
      <c r="D363" s="82" t="s">
        <v>2006</v>
      </c>
      <c r="E363" s="82"/>
      <c r="F363" s="82" t="s">
        <v>4593</v>
      </c>
      <c r="G363" s="89">
        <v>1</v>
      </c>
      <c r="H363" s="89">
        <v>939.78</v>
      </c>
      <c r="I363" s="85">
        <v>0</v>
      </c>
      <c r="J363" s="85">
        <v>46.99</v>
      </c>
      <c r="K363" s="85">
        <v>986.77</v>
      </c>
      <c r="L363" s="85">
        <v>986.77</v>
      </c>
      <c r="M363" s="89">
        <v>939.78</v>
      </c>
      <c r="N363" s="85">
        <v>0</v>
      </c>
      <c r="O363" s="85">
        <v>46.99</v>
      </c>
      <c r="P363" s="85">
        <v>986.77</v>
      </c>
      <c r="Q363" s="85">
        <v>986.77</v>
      </c>
      <c r="R363" s="82" t="s">
        <v>3399</v>
      </c>
      <c r="S363" s="7">
        <f t="shared" si="16"/>
        <v>0</v>
      </c>
      <c r="T363" s="6">
        <f t="shared" si="17"/>
        <v>0</v>
      </c>
      <c r="U363" s="25">
        <f t="shared" si="15"/>
        <v>0</v>
      </c>
    </row>
    <row r="364" spans="1:21" ht="10.9" customHeight="1" x14ac:dyDescent="0.2">
      <c r="A364" s="82" t="s">
        <v>2418</v>
      </c>
      <c r="B364" s="83">
        <v>45706</v>
      </c>
      <c r="C364" s="82" t="s">
        <v>3395</v>
      </c>
      <c r="D364" s="82" t="s">
        <v>2014</v>
      </c>
      <c r="E364" s="82"/>
      <c r="F364" s="82" t="s">
        <v>5191</v>
      </c>
      <c r="G364" s="89">
        <v>1</v>
      </c>
      <c r="H364" s="89">
        <v>161.57</v>
      </c>
      <c r="I364" s="85">
        <v>0</v>
      </c>
      <c r="J364" s="85">
        <v>8.08</v>
      </c>
      <c r="K364" s="85">
        <v>169.65</v>
      </c>
      <c r="L364" s="85">
        <v>169.65</v>
      </c>
      <c r="M364" s="89">
        <v>161.57</v>
      </c>
      <c r="N364" s="85">
        <v>0</v>
      </c>
      <c r="O364" s="85">
        <v>8.08</v>
      </c>
      <c r="P364" s="85">
        <v>169.65</v>
      </c>
      <c r="Q364" s="85">
        <v>169.65</v>
      </c>
      <c r="R364" s="82" t="s">
        <v>3399</v>
      </c>
      <c r="S364" s="7">
        <f t="shared" si="16"/>
        <v>0</v>
      </c>
      <c r="T364" s="6">
        <f t="shared" si="17"/>
        <v>0</v>
      </c>
      <c r="U364" s="25">
        <f t="shared" si="15"/>
        <v>0</v>
      </c>
    </row>
    <row r="365" spans="1:21" ht="10.9" customHeight="1" x14ac:dyDescent="0.2">
      <c r="A365" s="82" t="s">
        <v>2421</v>
      </c>
      <c r="B365" s="83">
        <v>45706</v>
      </c>
      <c r="C365" s="82" t="s">
        <v>3395</v>
      </c>
      <c r="D365" s="82" t="s">
        <v>2008</v>
      </c>
      <c r="E365" s="82"/>
      <c r="F365" s="82" t="s">
        <v>4768</v>
      </c>
      <c r="G365" s="89">
        <v>2</v>
      </c>
      <c r="H365" s="89">
        <v>241.78</v>
      </c>
      <c r="I365" s="85">
        <v>0</v>
      </c>
      <c r="J365" s="85">
        <v>24.18</v>
      </c>
      <c r="K365" s="85">
        <v>507.74</v>
      </c>
      <c r="L365" s="85">
        <v>712</v>
      </c>
      <c r="M365" s="89">
        <v>241.78</v>
      </c>
      <c r="N365" s="85">
        <v>0</v>
      </c>
      <c r="O365" s="85">
        <v>24.18</v>
      </c>
      <c r="P365" s="85">
        <v>507.74</v>
      </c>
      <c r="Q365" s="85">
        <v>712</v>
      </c>
      <c r="R365" s="82" t="s">
        <v>3399</v>
      </c>
      <c r="S365" s="7">
        <f t="shared" si="16"/>
        <v>0</v>
      </c>
      <c r="T365" s="6">
        <f t="shared" si="17"/>
        <v>0</v>
      </c>
      <c r="U365" s="25">
        <f t="shared" si="15"/>
        <v>0</v>
      </c>
    </row>
    <row r="366" spans="1:21" ht="10.9" customHeight="1" x14ac:dyDescent="0.2">
      <c r="A366" s="82" t="s">
        <v>2421</v>
      </c>
      <c r="B366" s="83">
        <v>45706</v>
      </c>
      <c r="C366" s="82" t="s">
        <v>3395</v>
      </c>
      <c r="D366" s="82" t="s">
        <v>2008</v>
      </c>
      <c r="E366" s="82"/>
      <c r="F366" s="82" t="s">
        <v>5166</v>
      </c>
      <c r="G366" s="89">
        <v>1</v>
      </c>
      <c r="H366" s="89">
        <v>194.53</v>
      </c>
      <c r="I366" s="85">
        <v>0</v>
      </c>
      <c r="J366" s="85">
        <v>9.73</v>
      </c>
      <c r="K366" s="85">
        <v>204.26</v>
      </c>
      <c r="L366" s="85">
        <v>712</v>
      </c>
      <c r="M366" s="89">
        <v>194.53</v>
      </c>
      <c r="N366" s="85">
        <v>0</v>
      </c>
      <c r="O366" s="85">
        <v>9.73</v>
      </c>
      <c r="P366" s="85">
        <v>204.26</v>
      </c>
      <c r="Q366" s="85">
        <v>712</v>
      </c>
      <c r="R366" s="82" t="s">
        <v>3399</v>
      </c>
      <c r="S366" s="7">
        <f t="shared" si="16"/>
        <v>0</v>
      </c>
      <c r="T366" s="6">
        <f t="shared" si="17"/>
        <v>0</v>
      </c>
      <c r="U366" s="25">
        <f t="shared" si="15"/>
        <v>0</v>
      </c>
    </row>
    <row r="367" spans="1:21" ht="10.9" customHeight="1" x14ac:dyDescent="0.2">
      <c r="A367" s="82" t="s">
        <v>2375</v>
      </c>
      <c r="B367" s="83">
        <v>45706</v>
      </c>
      <c r="C367" s="82" t="s">
        <v>3395</v>
      </c>
      <c r="D367" s="82" t="s">
        <v>2075</v>
      </c>
      <c r="E367" s="82"/>
      <c r="F367" s="82" t="s">
        <v>5662</v>
      </c>
      <c r="G367" s="89">
        <v>2</v>
      </c>
      <c r="H367" s="89">
        <v>143.94</v>
      </c>
      <c r="I367" s="85">
        <v>0</v>
      </c>
      <c r="J367" s="85">
        <v>0</v>
      </c>
      <c r="K367" s="85">
        <v>287.88</v>
      </c>
      <c r="L367" s="85">
        <v>331.92</v>
      </c>
      <c r="M367" s="89">
        <v>204.11404521309029</v>
      </c>
      <c r="N367" s="85">
        <v>0</v>
      </c>
      <c r="O367" s="85">
        <v>0</v>
      </c>
      <c r="P367" s="85">
        <v>408.22809042618059</v>
      </c>
      <c r="Q367" s="85">
        <v>470.67899046219907</v>
      </c>
      <c r="R367" s="82" t="s">
        <v>3399</v>
      </c>
      <c r="S367" s="7">
        <f t="shared" si="16"/>
        <v>0</v>
      </c>
      <c r="T367" s="6">
        <f t="shared" si="17"/>
        <v>0</v>
      </c>
      <c r="U367" s="25">
        <f t="shared" si="15"/>
        <v>0</v>
      </c>
    </row>
    <row r="368" spans="1:21" ht="10.9" customHeight="1" x14ac:dyDescent="0.2">
      <c r="A368" s="82" t="s">
        <v>2375</v>
      </c>
      <c r="B368" s="83">
        <v>45706</v>
      </c>
      <c r="C368" s="82" t="s">
        <v>3395</v>
      </c>
      <c r="D368" s="82" t="s">
        <v>2075</v>
      </c>
      <c r="E368" s="82"/>
      <c r="F368" s="82" t="s">
        <v>5574</v>
      </c>
      <c r="G368" s="89">
        <v>2</v>
      </c>
      <c r="H368" s="89">
        <v>11.78</v>
      </c>
      <c r="I368" s="85">
        <v>0</v>
      </c>
      <c r="J368" s="85">
        <v>0</v>
      </c>
      <c r="K368" s="85">
        <v>23.56</v>
      </c>
      <c r="L368" s="85">
        <v>331.92</v>
      </c>
      <c r="M368" s="89">
        <v>16.704623124984046</v>
      </c>
      <c r="N368" s="85">
        <v>0</v>
      </c>
      <c r="O368" s="85">
        <v>0</v>
      </c>
      <c r="P368" s="85">
        <v>33.409246249968092</v>
      </c>
      <c r="Q368" s="85">
        <v>470.67899046219907</v>
      </c>
      <c r="R368" s="82" t="s">
        <v>3399</v>
      </c>
      <c r="S368" s="7">
        <f t="shared" si="16"/>
        <v>0</v>
      </c>
      <c r="T368" s="6">
        <f t="shared" si="17"/>
        <v>0</v>
      </c>
      <c r="U368" s="25">
        <f t="shared" si="15"/>
        <v>0</v>
      </c>
    </row>
    <row r="369" spans="1:21" ht="10.9" customHeight="1" x14ac:dyDescent="0.2">
      <c r="A369" s="82" t="s">
        <v>2375</v>
      </c>
      <c r="B369" s="83">
        <v>45706</v>
      </c>
      <c r="C369" s="82" t="s">
        <v>3395</v>
      </c>
      <c r="D369" s="82" t="s">
        <v>2075</v>
      </c>
      <c r="E369" s="82"/>
      <c r="F369" s="82" t="s">
        <v>4561</v>
      </c>
      <c r="G369" s="89">
        <v>2</v>
      </c>
      <c r="H369" s="89">
        <v>10.24</v>
      </c>
      <c r="I369" s="85">
        <v>0</v>
      </c>
      <c r="J369" s="85">
        <v>0</v>
      </c>
      <c r="K369" s="85">
        <v>20.48</v>
      </c>
      <c r="L369" s="85">
        <v>331.92</v>
      </c>
      <c r="M369" s="89">
        <v>14.520826893025182</v>
      </c>
      <c r="N369" s="85">
        <v>0</v>
      </c>
      <c r="O369" s="85">
        <v>0</v>
      </c>
      <c r="P369" s="85">
        <v>29.041653786050365</v>
      </c>
      <c r="Q369" s="85">
        <v>470.67899046219907</v>
      </c>
      <c r="R369" s="82" t="s">
        <v>3399</v>
      </c>
      <c r="S369" s="7">
        <f t="shared" si="16"/>
        <v>0</v>
      </c>
      <c r="T369" s="6">
        <f t="shared" si="17"/>
        <v>0</v>
      </c>
      <c r="U369" s="25">
        <f t="shared" si="15"/>
        <v>0</v>
      </c>
    </row>
    <row r="370" spans="1:21" ht="10.9" customHeight="1" x14ac:dyDescent="0.2">
      <c r="A370" s="82" t="s">
        <v>2320</v>
      </c>
      <c r="B370" s="83">
        <v>45706</v>
      </c>
      <c r="C370" s="82" t="s">
        <v>3395</v>
      </c>
      <c r="D370" s="82" t="s">
        <v>2172</v>
      </c>
      <c r="E370" s="82"/>
      <c r="F370" s="82" t="s">
        <v>4755</v>
      </c>
      <c r="G370" s="89">
        <v>4</v>
      </c>
      <c r="H370" s="89">
        <v>17.88</v>
      </c>
      <c r="I370" s="85">
        <v>0</v>
      </c>
      <c r="J370" s="85">
        <v>0</v>
      </c>
      <c r="K370" s="85">
        <v>71.52</v>
      </c>
      <c r="L370" s="85">
        <v>71.52</v>
      </c>
      <c r="M370" s="89">
        <v>25.354725082743187</v>
      </c>
      <c r="N370" s="85">
        <v>0</v>
      </c>
      <c r="O370" s="85">
        <v>0</v>
      </c>
      <c r="P370" s="85">
        <v>101.41890033097275</v>
      </c>
      <c r="Q370" s="85">
        <v>101.41890033097275</v>
      </c>
      <c r="R370" s="82" t="s">
        <v>3399</v>
      </c>
      <c r="S370" s="7">
        <f t="shared" si="16"/>
        <v>0</v>
      </c>
      <c r="T370" s="6">
        <f t="shared" si="17"/>
        <v>0</v>
      </c>
      <c r="U370" s="25">
        <f t="shared" si="15"/>
        <v>0</v>
      </c>
    </row>
    <row r="371" spans="1:21" ht="10.9" customHeight="1" x14ac:dyDescent="0.2">
      <c r="A371" s="82" t="s">
        <v>3670</v>
      </c>
      <c r="B371" s="83">
        <v>45706</v>
      </c>
      <c r="C371" s="82" t="s">
        <v>3395</v>
      </c>
      <c r="D371" s="82" t="s">
        <v>3535</v>
      </c>
      <c r="E371" s="82"/>
      <c r="F371" s="82" t="s">
        <v>5645</v>
      </c>
      <c r="G371" s="89">
        <v>3</v>
      </c>
      <c r="H371" s="89">
        <v>14.22</v>
      </c>
      <c r="I371" s="85">
        <v>0</v>
      </c>
      <c r="J371" s="85">
        <v>2.13</v>
      </c>
      <c r="K371" s="85">
        <v>44.79</v>
      </c>
      <c r="L371" s="85">
        <v>2900.03</v>
      </c>
      <c r="M371" s="89">
        <v>14.22</v>
      </c>
      <c r="N371" s="85">
        <v>0</v>
      </c>
      <c r="O371" s="85">
        <v>2.13</v>
      </c>
      <c r="P371" s="85">
        <v>44.79</v>
      </c>
      <c r="Q371" s="85">
        <v>2900.03</v>
      </c>
      <c r="R371" s="82" t="s">
        <v>3399</v>
      </c>
      <c r="S371" s="7">
        <f t="shared" si="16"/>
        <v>0</v>
      </c>
      <c r="T371" s="6">
        <f t="shared" si="17"/>
        <v>0</v>
      </c>
      <c r="U371" s="25">
        <f t="shared" si="15"/>
        <v>0</v>
      </c>
    </row>
    <row r="372" spans="1:21" ht="10.9" customHeight="1" x14ac:dyDescent="0.2">
      <c r="A372" s="82" t="s">
        <v>3670</v>
      </c>
      <c r="B372" s="83">
        <v>45706</v>
      </c>
      <c r="C372" s="82" t="s">
        <v>3395</v>
      </c>
      <c r="D372" s="82" t="s">
        <v>3535</v>
      </c>
      <c r="E372" s="82"/>
      <c r="F372" s="82" t="s">
        <v>5661</v>
      </c>
      <c r="G372" s="89">
        <v>4</v>
      </c>
      <c r="H372" s="89">
        <v>679.82</v>
      </c>
      <c r="I372" s="85">
        <v>0</v>
      </c>
      <c r="J372" s="85">
        <v>135.96</v>
      </c>
      <c r="K372" s="85">
        <v>2855.24</v>
      </c>
      <c r="L372" s="85">
        <v>2900.03</v>
      </c>
      <c r="M372" s="89">
        <v>679.82</v>
      </c>
      <c r="N372" s="85">
        <v>0</v>
      </c>
      <c r="O372" s="85">
        <v>135.96</v>
      </c>
      <c r="P372" s="85">
        <v>2855.24</v>
      </c>
      <c r="Q372" s="85">
        <v>2900.03</v>
      </c>
      <c r="R372" s="82" t="s">
        <v>3399</v>
      </c>
      <c r="S372" s="7">
        <f t="shared" si="16"/>
        <v>0</v>
      </c>
      <c r="T372" s="6">
        <f t="shared" si="17"/>
        <v>0</v>
      </c>
      <c r="U372" s="25">
        <f t="shared" si="15"/>
        <v>0</v>
      </c>
    </row>
    <row r="373" spans="1:21" ht="10.9" customHeight="1" x14ac:dyDescent="0.2">
      <c r="A373" s="82" t="s">
        <v>2444</v>
      </c>
      <c r="B373" s="83">
        <v>45706</v>
      </c>
      <c r="C373" s="82" t="s">
        <v>3395</v>
      </c>
      <c r="D373" s="82" t="s">
        <v>1970</v>
      </c>
      <c r="E373" s="82"/>
      <c r="F373" s="82" t="s">
        <v>4676</v>
      </c>
      <c r="G373" s="89">
        <v>1</v>
      </c>
      <c r="H373" s="89">
        <v>1098.5899999999999</v>
      </c>
      <c r="I373" s="85">
        <v>0</v>
      </c>
      <c r="J373" s="85">
        <v>0</v>
      </c>
      <c r="K373" s="85">
        <v>1098.5899999999999</v>
      </c>
      <c r="L373" s="85">
        <v>1098.5899999999999</v>
      </c>
      <c r="M373" s="89">
        <v>1557.855001602396</v>
      </c>
      <c r="N373" s="85">
        <v>0</v>
      </c>
      <c r="O373" s="85">
        <v>0</v>
      </c>
      <c r="P373" s="85">
        <v>1557.855001602396</v>
      </c>
      <c r="Q373" s="85">
        <v>1557.855001602396</v>
      </c>
      <c r="R373" s="82" t="s">
        <v>3399</v>
      </c>
      <c r="S373" s="7">
        <f t="shared" si="16"/>
        <v>0</v>
      </c>
      <c r="T373" s="6">
        <f t="shared" si="17"/>
        <v>0</v>
      </c>
      <c r="U373" s="25">
        <f t="shared" si="15"/>
        <v>0</v>
      </c>
    </row>
    <row r="374" spans="1:21" ht="10.9" customHeight="1" x14ac:dyDescent="0.2">
      <c r="A374" s="82" t="s">
        <v>2430</v>
      </c>
      <c r="B374" s="83">
        <v>45706</v>
      </c>
      <c r="C374" s="82" t="s">
        <v>3395</v>
      </c>
      <c r="D374" s="82" t="s">
        <v>3672</v>
      </c>
      <c r="E374" s="82"/>
      <c r="F374" s="82" t="s">
        <v>4621</v>
      </c>
      <c r="G374" s="89">
        <v>1</v>
      </c>
      <c r="H374" s="89">
        <v>1863.92</v>
      </c>
      <c r="I374" s="85">
        <v>0</v>
      </c>
      <c r="J374" s="85">
        <v>93.2</v>
      </c>
      <c r="K374" s="85">
        <v>1957.12</v>
      </c>
      <c r="L374" s="85">
        <v>3553.6</v>
      </c>
      <c r="M374" s="89">
        <v>1863.92</v>
      </c>
      <c r="N374" s="85">
        <v>0</v>
      </c>
      <c r="O374" s="85">
        <v>93.2</v>
      </c>
      <c r="P374" s="85">
        <v>1957.12</v>
      </c>
      <c r="Q374" s="85">
        <v>3553.6</v>
      </c>
      <c r="R374" s="82" t="s">
        <v>3399</v>
      </c>
      <c r="S374" s="7">
        <f t="shared" si="16"/>
        <v>0</v>
      </c>
      <c r="T374" s="6">
        <f t="shared" si="17"/>
        <v>0</v>
      </c>
      <c r="U374" s="25">
        <f t="shared" si="15"/>
        <v>0</v>
      </c>
    </row>
    <row r="375" spans="1:21" ht="10.9" customHeight="1" x14ac:dyDescent="0.2">
      <c r="A375" s="82" t="s">
        <v>2430</v>
      </c>
      <c r="B375" s="83">
        <v>45706</v>
      </c>
      <c r="C375" s="82" t="s">
        <v>3395</v>
      </c>
      <c r="D375" s="82" t="s">
        <v>3672</v>
      </c>
      <c r="E375" s="82"/>
      <c r="F375" s="82" t="s">
        <v>4620</v>
      </c>
      <c r="G375" s="89">
        <v>1</v>
      </c>
      <c r="H375" s="89">
        <v>903.64</v>
      </c>
      <c r="I375" s="85">
        <v>0</v>
      </c>
      <c r="J375" s="85">
        <v>45.18</v>
      </c>
      <c r="K375" s="85">
        <v>948.82</v>
      </c>
      <c r="L375" s="85">
        <v>3553.6</v>
      </c>
      <c r="M375" s="89">
        <v>903.64</v>
      </c>
      <c r="N375" s="85">
        <v>0</v>
      </c>
      <c r="O375" s="85">
        <v>45.18</v>
      </c>
      <c r="P375" s="85">
        <v>948.82</v>
      </c>
      <c r="Q375" s="85">
        <v>3553.6</v>
      </c>
      <c r="R375" s="82" t="s">
        <v>3399</v>
      </c>
      <c r="S375" s="7">
        <f t="shared" si="16"/>
        <v>0</v>
      </c>
      <c r="T375" s="6">
        <f t="shared" si="17"/>
        <v>0</v>
      </c>
      <c r="U375" s="25">
        <f t="shared" si="15"/>
        <v>0</v>
      </c>
    </row>
    <row r="376" spans="1:21" ht="10.9" customHeight="1" x14ac:dyDescent="0.2">
      <c r="A376" s="82" t="s">
        <v>2430</v>
      </c>
      <c r="B376" s="83">
        <v>45706</v>
      </c>
      <c r="C376" s="82" t="s">
        <v>3395</v>
      </c>
      <c r="D376" s="82" t="s">
        <v>3672</v>
      </c>
      <c r="E376" s="82"/>
      <c r="F376" s="82" t="s">
        <v>4619</v>
      </c>
      <c r="G376" s="89">
        <v>1</v>
      </c>
      <c r="H376" s="89">
        <v>616.82000000000005</v>
      </c>
      <c r="I376" s="85">
        <v>0</v>
      </c>
      <c r="J376" s="85">
        <v>30.84</v>
      </c>
      <c r="K376" s="85">
        <v>647.66</v>
      </c>
      <c r="L376" s="85">
        <v>3553.6</v>
      </c>
      <c r="M376" s="89">
        <v>616.82000000000005</v>
      </c>
      <c r="N376" s="85">
        <v>0</v>
      </c>
      <c r="O376" s="85">
        <v>30.84</v>
      </c>
      <c r="P376" s="85">
        <v>647.66</v>
      </c>
      <c r="Q376" s="85">
        <v>3553.6</v>
      </c>
      <c r="R376" s="82" t="s">
        <v>3399</v>
      </c>
      <c r="S376" s="7">
        <f t="shared" si="16"/>
        <v>0</v>
      </c>
      <c r="T376" s="6">
        <f t="shared" si="17"/>
        <v>0</v>
      </c>
      <c r="U376" s="25">
        <f t="shared" si="15"/>
        <v>0</v>
      </c>
    </row>
    <row r="377" spans="1:21" ht="10.9" customHeight="1" x14ac:dyDescent="0.2">
      <c r="A377" s="82" t="s">
        <v>3671</v>
      </c>
      <c r="B377" s="83">
        <v>45706</v>
      </c>
      <c r="C377" s="82" t="s">
        <v>3395</v>
      </c>
      <c r="D377" s="82" t="s">
        <v>3611</v>
      </c>
      <c r="E377" s="82"/>
      <c r="F377" s="82" t="s">
        <v>5668</v>
      </c>
      <c r="G377" s="89">
        <v>1</v>
      </c>
      <c r="H377" s="89">
        <v>369.68</v>
      </c>
      <c r="I377" s="85">
        <v>0</v>
      </c>
      <c r="J377" s="85">
        <v>18.48</v>
      </c>
      <c r="K377" s="85">
        <v>388.16</v>
      </c>
      <c r="L377" s="85">
        <v>388.16</v>
      </c>
      <c r="M377" s="89">
        <v>369.68</v>
      </c>
      <c r="N377" s="85">
        <v>0</v>
      </c>
      <c r="O377" s="85">
        <v>18.48</v>
      </c>
      <c r="P377" s="85">
        <v>388.16</v>
      </c>
      <c r="Q377" s="85">
        <v>388.16</v>
      </c>
      <c r="R377" s="82" t="s">
        <v>3399</v>
      </c>
      <c r="S377" s="7">
        <f t="shared" si="16"/>
        <v>0</v>
      </c>
      <c r="T377" s="6">
        <f t="shared" si="17"/>
        <v>0</v>
      </c>
      <c r="U377" s="25">
        <f t="shared" si="15"/>
        <v>0</v>
      </c>
    </row>
    <row r="378" spans="1:21" ht="10.9" customHeight="1" x14ac:dyDescent="0.2">
      <c r="A378" s="82" t="s">
        <v>2291</v>
      </c>
      <c r="B378" s="83">
        <v>45706</v>
      </c>
      <c r="C378" s="82" t="s">
        <v>3395</v>
      </c>
      <c r="D378" s="82" t="s">
        <v>2231</v>
      </c>
      <c r="E378" s="82"/>
      <c r="F378" s="82" t="s">
        <v>4555</v>
      </c>
      <c r="G378" s="89">
        <v>1</v>
      </c>
      <c r="H378" s="89">
        <v>463.06</v>
      </c>
      <c r="I378" s="85">
        <v>0</v>
      </c>
      <c r="J378" s="85">
        <v>23.15</v>
      </c>
      <c r="K378" s="85">
        <v>486.21</v>
      </c>
      <c r="L378" s="85">
        <v>486.21</v>
      </c>
      <c r="M378" s="89">
        <v>463.06</v>
      </c>
      <c r="N378" s="85">
        <v>0</v>
      </c>
      <c r="O378" s="85">
        <v>23.15</v>
      </c>
      <c r="P378" s="85">
        <v>486.21</v>
      </c>
      <c r="Q378" s="85">
        <v>486.21</v>
      </c>
      <c r="R378" s="82" t="s">
        <v>3399</v>
      </c>
      <c r="S378" s="7">
        <f t="shared" si="16"/>
        <v>0</v>
      </c>
      <c r="T378" s="6">
        <f t="shared" si="17"/>
        <v>0</v>
      </c>
      <c r="U378" s="25">
        <f t="shared" si="15"/>
        <v>0</v>
      </c>
    </row>
    <row r="379" spans="1:21" ht="10.9" customHeight="1" x14ac:dyDescent="0.2">
      <c r="A379" s="82" t="s">
        <v>2417</v>
      </c>
      <c r="B379" s="83">
        <v>45706</v>
      </c>
      <c r="C379" s="82" t="s">
        <v>3395</v>
      </c>
      <c r="D379" s="82" t="s">
        <v>2016</v>
      </c>
      <c r="E379" s="82"/>
      <c r="F379" s="82" t="s">
        <v>5667</v>
      </c>
      <c r="G379" s="89">
        <v>1</v>
      </c>
      <c r="H379" s="89">
        <v>1839.1</v>
      </c>
      <c r="I379" s="85">
        <v>0</v>
      </c>
      <c r="J379" s="85">
        <v>91.96</v>
      </c>
      <c r="K379" s="85">
        <v>1931.06</v>
      </c>
      <c r="L379" s="85">
        <v>3705.77</v>
      </c>
      <c r="M379" s="89">
        <v>1839.1</v>
      </c>
      <c r="N379" s="85">
        <v>0</v>
      </c>
      <c r="O379" s="85">
        <v>91.96</v>
      </c>
      <c r="P379" s="85">
        <v>1931.06</v>
      </c>
      <c r="Q379" s="85">
        <v>3705.77</v>
      </c>
      <c r="R379" s="82" t="s">
        <v>3399</v>
      </c>
      <c r="S379" s="7">
        <f t="shared" si="16"/>
        <v>0</v>
      </c>
      <c r="T379" s="6">
        <f t="shared" si="17"/>
        <v>0</v>
      </c>
      <c r="U379" s="25">
        <f t="shared" si="15"/>
        <v>0</v>
      </c>
    </row>
    <row r="380" spans="1:21" ht="10.9" customHeight="1" x14ac:dyDescent="0.2">
      <c r="A380" s="82" t="s">
        <v>2417</v>
      </c>
      <c r="B380" s="83">
        <v>45706</v>
      </c>
      <c r="C380" s="82" t="s">
        <v>3395</v>
      </c>
      <c r="D380" s="82" t="s">
        <v>2016</v>
      </c>
      <c r="E380" s="82"/>
      <c r="F380" s="82" t="s">
        <v>5666</v>
      </c>
      <c r="G380" s="89">
        <v>4</v>
      </c>
      <c r="H380" s="89">
        <v>422.55</v>
      </c>
      <c r="I380" s="85">
        <v>0</v>
      </c>
      <c r="J380" s="85">
        <v>84.51</v>
      </c>
      <c r="K380" s="85">
        <v>1774.71</v>
      </c>
      <c r="L380" s="85">
        <v>3705.77</v>
      </c>
      <c r="M380" s="89">
        <v>422.55</v>
      </c>
      <c r="N380" s="85">
        <v>0</v>
      </c>
      <c r="O380" s="85">
        <v>84.51</v>
      </c>
      <c r="P380" s="85">
        <v>1774.71</v>
      </c>
      <c r="Q380" s="85">
        <v>3705.77</v>
      </c>
      <c r="R380" s="82" t="s">
        <v>3399</v>
      </c>
      <c r="S380" s="7">
        <f t="shared" si="16"/>
        <v>0</v>
      </c>
      <c r="T380" s="6">
        <f t="shared" si="17"/>
        <v>0</v>
      </c>
      <c r="U380" s="25">
        <f t="shared" si="15"/>
        <v>0</v>
      </c>
    </row>
    <row r="381" spans="1:21" ht="10.9" customHeight="1" x14ac:dyDescent="0.2">
      <c r="A381" s="82" t="s">
        <v>2429</v>
      </c>
      <c r="B381" s="83">
        <v>45706</v>
      </c>
      <c r="C381" s="82" t="s">
        <v>3395</v>
      </c>
      <c r="D381" s="82" t="s">
        <v>1994</v>
      </c>
      <c r="E381" s="82"/>
      <c r="F381" s="82" t="s">
        <v>4877</v>
      </c>
      <c r="G381" s="89">
        <v>3</v>
      </c>
      <c r="H381" s="89">
        <v>1791.13</v>
      </c>
      <c r="I381" s="85">
        <v>0</v>
      </c>
      <c r="J381" s="85">
        <v>268.67</v>
      </c>
      <c r="K381" s="85">
        <v>5642.06</v>
      </c>
      <c r="L381" s="85">
        <v>9113.6299999999992</v>
      </c>
      <c r="M381" s="89">
        <v>1791.13</v>
      </c>
      <c r="N381" s="85">
        <v>0</v>
      </c>
      <c r="O381" s="85">
        <v>268.67</v>
      </c>
      <c r="P381" s="85">
        <v>5642.06</v>
      </c>
      <c r="Q381" s="85">
        <v>9113.6299999999992</v>
      </c>
      <c r="R381" s="82" t="s">
        <v>3399</v>
      </c>
      <c r="S381" s="7">
        <f t="shared" si="16"/>
        <v>0</v>
      </c>
      <c r="T381" s="6">
        <f t="shared" si="17"/>
        <v>0</v>
      </c>
      <c r="U381" s="25">
        <f t="shared" si="15"/>
        <v>0</v>
      </c>
    </row>
    <row r="382" spans="1:21" ht="10.9" customHeight="1" x14ac:dyDescent="0.2">
      <c r="A382" s="82" t="s">
        <v>2429</v>
      </c>
      <c r="B382" s="83">
        <v>45706</v>
      </c>
      <c r="C382" s="82" t="s">
        <v>3395</v>
      </c>
      <c r="D382" s="82" t="s">
        <v>1994</v>
      </c>
      <c r="E382" s="82"/>
      <c r="F382" s="82" t="s">
        <v>4678</v>
      </c>
      <c r="G382" s="89">
        <v>1</v>
      </c>
      <c r="H382" s="89">
        <v>1010.42</v>
      </c>
      <c r="I382" s="85">
        <v>0</v>
      </c>
      <c r="J382" s="85">
        <v>50.52</v>
      </c>
      <c r="K382" s="85">
        <v>1060.94</v>
      </c>
      <c r="L382" s="85">
        <v>9113.6299999999992</v>
      </c>
      <c r="M382" s="89">
        <v>1010.42</v>
      </c>
      <c r="N382" s="85">
        <v>0</v>
      </c>
      <c r="O382" s="85">
        <v>50.52</v>
      </c>
      <c r="P382" s="85">
        <v>1060.94</v>
      </c>
      <c r="Q382" s="85">
        <v>9113.6299999999992</v>
      </c>
      <c r="R382" s="82" t="s">
        <v>3399</v>
      </c>
      <c r="S382" s="7">
        <f t="shared" si="16"/>
        <v>0</v>
      </c>
      <c r="T382" s="6">
        <f t="shared" si="17"/>
        <v>0</v>
      </c>
      <c r="U382" s="25">
        <f t="shared" si="15"/>
        <v>0</v>
      </c>
    </row>
    <row r="383" spans="1:21" ht="10.9" customHeight="1" x14ac:dyDescent="0.2">
      <c r="A383" s="82" t="s">
        <v>2429</v>
      </c>
      <c r="B383" s="83">
        <v>45706</v>
      </c>
      <c r="C383" s="82" t="s">
        <v>3395</v>
      </c>
      <c r="D383" s="82" t="s">
        <v>1994</v>
      </c>
      <c r="E383" s="82"/>
      <c r="F383" s="82" t="s">
        <v>5665</v>
      </c>
      <c r="G383" s="89">
        <v>1</v>
      </c>
      <c r="H383" s="89">
        <v>631.82000000000005</v>
      </c>
      <c r="I383" s="85">
        <v>0</v>
      </c>
      <c r="J383" s="85">
        <v>31.59</v>
      </c>
      <c r="K383" s="85">
        <v>663.41</v>
      </c>
      <c r="L383" s="85">
        <v>9113.6299999999992</v>
      </c>
      <c r="M383" s="89">
        <v>631.82000000000005</v>
      </c>
      <c r="N383" s="85">
        <v>0</v>
      </c>
      <c r="O383" s="85">
        <v>31.59</v>
      </c>
      <c r="P383" s="85">
        <v>663.41</v>
      </c>
      <c r="Q383" s="85">
        <v>9113.6299999999992</v>
      </c>
      <c r="R383" s="82" t="s">
        <v>3399</v>
      </c>
      <c r="S383" s="7">
        <f t="shared" si="16"/>
        <v>0</v>
      </c>
      <c r="T383" s="6">
        <f t="shared" si="17"/>
        <v>0</v>
      </c>
      <c r="U383" s="25">
        <f t="shared" si="15"/>
        <v>0</v>
      </c>
    </row>
    <row r="384" spans="1:21" ht="10.9" customHeight="1" x14ac:dyDescent="0.2">
      <c r="A384" s="82" t="s">
        <v>2429</v>
      </c>
      <c r="B384" s="83">
        <v>45706</v>
      </c>
      <c r="C384" s="82" t="s">
        <v>3395</v>
      </c>
      <c r="D384" s="82" t="s">
        <v>1994</v>
      </c>
      <c r="E384" s="82"/>
      <c r="F384" s="82" t="s">
        <v>5664</v>
      </c>
      <c r="G384" s="89">
        <v>1</v>
      </c>
      <c r="H384" s="89">
        <v>1383.81</v>
      </c>
      <c r="I384" s="85">
        <v>0</v>
      </c>
      <c r="J384" s="85">
        <v>69.19</v>
      </c>
      <c r="K384" s="85">
        <v>1453</v>
      </c>
      <c r="L384" s="85">
        <v>9113.6299999999992</v>
      </c>
      <c r="M384" s="89">
        <v>1383.81</v>
      </c>
      <c r="N384" s="85">
        <v>0</v>
      </c>
      <c r="O384" s="85">
        <v>69.19</v>
      </c>
      <c r="P384" s="85">
        <v>1453</v>
      </c>
      <c r="Q384" s="85">
        <v>9113.6299999999992</v>
      </c>
      <c r="R384" s="82" t="s">
        <v>3399</v>
      </c>
      <c r="S384" s="7">
        <f t="shared" si="16"/>
        <v>0</v>
      </c>
      <c r="T384" s="6">
        <f t="shared" si="17"/>
        <v>0</v>
      </c>
      <c r="U384" s="25">
        <f t="shared" si="15"/>
        <v>0</v>
      </c>
    </row>
    <row r="385" spans="1:21" ht="10.9" customHeight="1" x14ac:dyDescent="0.2">
      <c r="A385" s="82" t="s">
        <v>2429</v>
      </c>
      <c r="B385" s="83">
        <v>45706</v>
      </c>
      <c r="C385" s="82" t="s">
        <v>3395</v>
      </c>
      <c r="D385" s="82" t="s">
        <v>1994</v>
      </c>
      <c r="E385" s="82"/>
      <c r="F385" s="82" t="s">
        <v>4592</v>
      </c>
      <c r="G385" s="89">
        <v>1</v>
      </c>
      <c r="H385" s="89">
        <v>280.20999999999998</v>
      </c>
      <c r="I385" s="85">
        <v>0</v>
      </c>
      <c r="J385" s="85">
        <v>14.01</v>
      </c>
      <c r="K385" s="85">
        <v>294.22000000000003</v>
      </c>
      <c r="L385" s="85">
        <v>9113.6299999999992</v>
      </c>
      <c r="M385" s="89">
        <v>280.20999999999998</v>
      </c>
      <c r="N385" s="85">
        <v>0</v>
      </c>
      <c r="O385" s="85">
        <v>14.01</v>
      </c>
      <c r="P385" s="85">
        <v>294.22000000000003</v>
      </c>
      <c r="Q385" s="85">
        <v>9113.6299999999992</v>
      </c>
      <c r="R385" s="82" t="s">
        <v>3399</v>
      </c>
      <c r="S385" s="7">
        <f t="shared" si="16"/>
        <v>0</v>
      </c>
      <c r="T385" s="6">
        <f t="shared" si="17"/>
        <v>0</v>
      </c>
      <c r="U385" s="25">
        <f t="shared" si="15"/>
        <v>0</v>
      </c>
    </row>
    <row r="386" spans="1:21" ht="10.9" customHeight="1" x14ac:dyDescent="0.2">
      <c r="A386" s="82" t="s">
        <v>2426</v>
      </c>
      <c r="B386" s="83">
        <v>45706</v>
      </c>
      <c r="C386" s="82" t="s">
        <v>3395</v>
      </c>
      <c r="D386" s="82" t="s">
        <v>2000</v>
      </c>
      <c r="E386" s="82"/>
      <c r="F386" s="82" t="s">
        <v>4577</v>
      </c>
      <c r="G386" s="89">
        <v>1</v>
      </c>
      <c r="H386" s="89">
        <v>3005</v>
      </c>
      <c r="I386" s="85">
        <v>0</v>
      </c>
      <c r="J386" s="85">
        <v>150.25</v>
      </c>
      <c r="K386" s="85">
        <v>3155.25</v>
      </c>
      <c r="L386" s="85">
        <v>3155.25</v>
      </c>
      <c r="M386" s="89">
        <v>3005</v>
      </c>
      <c r="N386" s="85">
        <v>0</v>
      </c>
      <c r="O386" s="85">
        <v>150.25</v>
      </c>
      <c r="P386" s="85">
        <v>3155.25</v>
      </c>
      <c r="Q386" s="85">
        <v>3155.25</v>
      </c>
      <c r="R386" s="82" t="s">
        <v>3399</v>
      </c>
      <c r="S386" s="7">
        <f t="shared" si="16"/>
        <v>0</v>
      </c>
      <c r="T386" s="6">
        <f t="shared" si="17"/>
        <v>0</v>
      </c>
      <c r="U386" s="25">
        <f t="shared" ref="U386:U449" si="18">IF(T386=1,K386-J386,0)</f>
        <v>0</v>
      </c>
    </row>
    <row r="387" spans="1:21" ht="10.9" customHeight="1" x14ac:dyDescent="0.2">
      <c r="A387" s="82" t="s">
        <v>2303</v>
      </c>
      <c r="B387" s="83">
        <v>45706</v>
      </c>
      <c r="C387" s="82" t="s">
        <v>3395</v>
      </c>
      <c r="D387" s="82" t="s">
        <v>2205</v>
      </c>
      <c r="E387" s="82"/>
      <c r="F387" s="82" t="s">
        <v>5663</v>
      </c>
      <c r="G387" s="89">
        <v>2</v>
      </c>
      <c r="H387" s="89">
        <v>1123.0999999999999</v>
      </c>
      <c r="I387" s="85">
        <v>0</v>
      </c>
      <c r="J387" s="85">
        <v>112.31</v>
      </c>
      <c r="K387" s="85">
        <v>2358.5100000000002</v>
      </c>
      <c r="L387" s="85">
        <v>2358.5100000000002</v>
      </c>
      <c r="M387" s="89">
        <v>1123.0999999999999</v>
      </c>
      <c r="N387" s="85">
        <v>0</v>
      </c>
      <c r="O387" s="85">
        <v>112.31</v>
      </c>
      <c r="P387" s="85">
        <v>2358.5100000000002</v>
      </c>
      <c r="Q387" s="85">
        <v>2358.5100000000002</v>
      </c>
      <c r="R387" s="82" t="s">
        <v>3399</v>
      </c>
      <c r="S387" s="7">
        <f t="shared" ref="S387:S450" si="19">IF(T387=1,A387,0)</f>
        <v>0</v>
      </c>
      <c r="T387" s="6">
        <f t="shared" ref="T387:T450" si="20">IFERROR(FIND("Freight",F387,1),0)</f>
        <v>0</v>
      </c>
      <c r="U387" s="25">
        <f t="shared" si="18"/>
        <v>0</v>
      </c>
    </row>
    <row r="388" spans="1:21" ht="10.9" customHeight="1" x14ac:dyDescent="0.2">
      <c r="A388" s="82" t="s">
        <v>2432</v>
      </c>
      <c r="B388" s="83">
        <v>45707</v>
      </c>
      <c r="C388" s="82" t="s">
        <v>3395</v>
      </c>
      <c r="D388" s="82" t="s">
        <v>1988</v>
      </c>
      <c r="E388" s="82"/>
      <c r="F388" s="82" t="s">
        <v>4594</v>
      </c>
      <c r="G388" s="89">
        <v>1</v>
      </c>
      <c r="H388" s="89">
        <v>270.35000000000002</v>
      </c>
      <c r="I388" s="85">
        <v>0</v>
      </c>
      <c r="J388" s="85">
        <v>13.52</v>
      </c>
      <c r="K388" s="85">
        <v>283.87</v>
      </c>
      <c r="L388" s="85">
        <v>283.87</v>
      </c>
      <c r="M388" s="89">
        <v>270.35000000000002</v>
      </c>
      <c r="N388" s="85">
        <v>0</v>
      </c>
      <c r="O388" s="85">
        <v>13.52</v>
      </c>
      <c r="P388" s="85">
        <v>283.87</v>
      </c>
      <c r="Q388" s="85">
        <v>283.87</v>
      </c>
      <c r="R388" s="82" t="s">
        <v>3399</v>
      </c>
      <c r="S388" s="7">
        <f t="shared" si="19"/>
        <v>0</v>
      </c>
      <c r="T388" s="6">
        <f t="shared" si="20"/>
        <v>0</v>
      </c>
      <c r="U388" s="25">
        <f t="shared" si="18"/>
        <v>0</v>
      </c>
    </row>
    <row r="389" spans="1:21" ht="10.9" customHeight="1" x14ac:dyDescent="0.2">
      <c r="A389" s="82" t="s">
        <v>2449</v>
      </c>
      <c r="B389" s="83">
        <v>45707</v>
      </c>
      <c r="C389" s="82" t="s">
        <v>3395</v>
      </c>
      <c r="D389" s="82" t="s">
        <v>3669</v>
      </c>
      <c r="E389" s="82"/>
      <c r="F389" s="82" t="s">
        <v>4648</v>
      </c>
      <c r="G389" s="89">
        <v>1</v>
      </c>
      <c r="H389" s="89">
        <v>279.5</v>
      </c>
      <c r="I389" s="85">
        <v>0</v>
      </c>
      <c r="J389" s="85">
        <v>13.98</v>
      </c>
      <c r="K389" s="85">
        <v>293.48</v>
      </c>
      <c r="L389" s="85">
        <v>293.48</v>
      </c>
      <c r="M389" s="89">
        <v>279.5</v>
      </c>
      <c r="N389" s="85">
        <v>0</v>
      </c>
      <c r="O389" s="85">
        <v>13.98</v>
      </c>
      <c r="P389" s="85">
        <v>293.48</v>
      </c>
      <c r="Q389" s="85">
        <v>293.48</v>
      </c>
      <c r="R389" s="82" t="s">
        <v>3399</v>
      </c>
      <c r="S389" s="7">
        <f t="shared" si="19"/>
        <v>0</v>
      </c>
      <c r="T389" s="6">
        <f t="shared" si="20"/>
        <v>0</v>
      </c>
      <c r="U389" s="25">
        <f t="shared" si="18"/>
        <v>0</v>
      </c>
    </row>
    <row r="390" spans="1:21" ht="10.9" customHeight="1" x14ac:dyDescent="0.2">
      <c r="A390" s="82" t="s">
        <v>2414</v>
      </c>
      <c r="B390" s="83">
        <v>45707</v>
      </c>
      <c r="C390" s="82" t="s">
        <v>3395</v>
      </c>
      <c r="D390" s="82" t="s">
        <v>2020</v>
      </c>
      <c r="E390" s="82"/>
      <c r="F390" s="82" t="s">
        <v>5035</v>
      </c>
      <c r="G390" s="89">
        <v>1</v>
      </c>
      <c r="H390" s="89">
        <v>69.16</v>
      </c>
      <c r="I390" s="85">
        <v>0</v>
      </c>
      <c r="J390" s="85">
        <v>3.46</v>
      </c>
      <c r="K390" s="85">
        <v>72.62</v>
      </c>
      <c r="L390" s="85">
        <v>132.83000000000001</v>
      </c>
      <c r="M390" s="89">
        <v>69.16</v>
      </c>
      <c r="N390" s="85">
        <v>0</v>
      </c>
      <c r="O390" s="85">
        <v>3.46</v>
      </c>
      <c r="P390" s="85">
        <v>72.62</v>
      </c>
      <c r="Q390" s="85">
        <v>132.83000000000001</v>
      </c>
      <c r="R390" s="82" t="s">
        <v>3399</v>
      </c>
      <c r="S390" s="7">
        <f t="shared" si="19"/>
        <v>0</v>
      </c>
      <c r="T390" s="6">
        <f t="shared" si="20"/>
        <v>0</v>
      </c>
      <c r="U390" s="25">
        <f t="shared" si="18"/>
        <v>0</v>
      </c>
    </row>
    <row r="391" spans="1:21" ht="10.9" customHeight="1" x14ac:dyDescent="0.2">
      <c r="A391" s="82" t="s">
        <v>2414</v>
      </c>
      <c r="B391" s="83">
        <v>45707</v>
      </c>
      <c r="C391" s="82" t="s">
        <v>3395</v>
      </c>
      <c r="D391" s="82" t="s">
        <v>2020</v>
      </c>
      <c r="E391" s="82"/>
      <c r="F391" s="82" t="s">
        <v>5167</v>
      </c>
      <c r="G391" s="89">
        <v>1</v>
      </c>
      <c r="H391" s="89">
        <v>57.34</v>
      </c>
      <c r="I391" s="85">
        <v>0</v>
      </c>
      <c r="J391" s="85">
        <v>2.87</v>
      </c>
      <c r="K391" s="85">
        <v>60.21</v>
      </c>
      <c r="L391" s="85">
        <v>132.83000000000001</v>
      </c>
      <c r="M391" s="89">
        <v>57.34</v>
      </c>
      <c r="N391" s="85">
        <v>0</v>
      </c>
      <c r="O391" s="85">
        <v>2.87</v>
      </c>
      <c r="P391" s="85">
        <v>60.21</v>
      </c>
      <c r="Q391" s="85">
        <v>132.83000000000001</v>
      </c>
      <c r="R391" s="82" t="s">
        <v>3399</v>
      </c>
      <c r="S391" s="7">
        <f t="shared" si="19"/>
        <v>0</v>
      </c>
      <c r="T391" s="6">
        <f t="shared" si="20"/>
        <v>0</v>
      </c>
      <c r="U391" s="25">
        <f t="shared" si="18"/>
        <v>0</v>
      </c>
    </row>
    <row r="392" spans="1:21" ht="10.9" customHeight="1" x14ac:dyDescent="0.2">
      <c r="A392" s="82" t="s">
        <v>2447</v>
      </c>
      <c r="B392" s="83">
        <v>45707</v>
      </c>
      <c r="C392" s="82" t="s">
        <v>3395</v>
      </c>
      <c r="D392" s="82" t="s">
        <v>1963</v>
      </c>
      <c r="E392" s="82"/>
      <c r="F392" s="82" t="s">
        <v>4636</v>
      </c>
      <c r="G392" s="89">
        <v>1</v>
      </c>
      <c r="H392" s="89">
        <v>765.02</v>
      </c>
      <c r="I392" s="85">
        <v>0</v>
      </c>
      <c r="J392" s="85">
        <v>38.25</v>
      </c>
      <c r="K392" s="85">
        <v>803.27</v>
      </c>
      <c r="L392" s="85">
        <v>803.27</v>
      </c>
      <c r="M392" s="89">
        <v>765.02</v>
      </c>
      <c r="N392" s="85">
        <v>0</v>
      </c>
      <c r="O392" s="85">
        <v>38.25</v>
      </c>
      <c r="P392" s="85">
        <v>803.27</v>
      </c>
      <c r="Q392" s="85">
        <v>803.27</v>
      </c>
      <c r="R392" s="82" t="s">
        <v>3399</v>
      </c>
      <c r="S392" s="7">
        <f t="shared" si="19"/>
        <v>0</v>
      </c>
      <c r="T392" s="6">
        <f t="shared" si="20"/>
        <v>0</v>
      </c>
      <c r="U392" s="25">
        <f t="shared" si="18"/>
        <v>0</v>
      </c>
    </row>
    <row r="393" spans="1:21" ht="10.9" customHeight="1" x14ac:dyDescent="0.2">
      <c r="A393" s="82" t="s">
        <v>2439</v>
      </c>
      <c r="B393" s="83">
        <v>45707</v>
      </c>
      <c r="C393" s="82" t="s">
        <v>3395</v>
      </c>
      <c r="D393" s="82" t="s">
        <v>1976</v>
      </c>
      <c r="E393" s="82"/>
      <c r="F393" s="82" t="s">
        <v>5576</v>
      </c>
      <c r="G393" s="89">
        <v>1</v>
      </c>
      <c r="H393" s="89">
        <v>861.07</v>
      </c>
      <c r="I393" s="85">
        <v>0</v>
      </c>
      <c r="J393" s="85">
        <v>43.05</v>
      </c>
      <c r="K393" s="85">
        <v>904.12</v>
      </c>
      <c r="L393" s="85">
        <v>2120.44</v>
      </c>
      <c r="M393" s="89">
        <v>861.07</v>
      </c>
      <c r="N393" s="85">
        <v>0</v>
      </c>
      <c r="O393" s="85">
        <v>43.05</v>
      </c>
      <c r="P393" s="85">
        <v>904.12</v>
      </c>
      <c r="Q393" s="85">
        <v>2120.44</v>
      </c>
      <c r="R393" s="82" t="s">
        <v>3399</v>
      </c>
      <c r="S393" s="7">
        <f t="shared" si="19"/>
        <v>0</v>
      </c>
      <c r="T393" s="6">
        <f t="shared" si="20"/>
        <v>0</v>
      </c>
      <c r="U393" s="25">
        <f t="shared" si="18"/>
        <v>0</v>
      </c>
    </row>
    <row r="394" spans="1:21" ht="10.9" customHeight="1" x14ac:dyDescent="0.2">
      <c r="A394" s="82" t="s">
        <v>2439</v>
      </c>
      <c r="B394" s="83">
        <v>45707</v>
      </c>
      <c r="C394" s="82" t="s">
        <v>3395</v>
      </c>
      <c r="D394" s="82" t="s">
        <v>1976</v>
      </c>
      <c r="E394" s="82"/>
      <c r="F394" s="82" t="s">
        <v>4843</v>
      </c>
      <c r="G394" s="89">
        <v>1</v>
      </c>
      <c r="H394" s="89">
        <v>1158.4000000000001</v>
      </c>
      <c r="I394" s="85">
        <v>0</v>
      </c>
      <c r="J394" s="85">
        <v>57.92</v>
      </c>
      <c r="K394" s="85">
        <v>1216.32</v>
      </c>
      <c r="L394" s="85">
        <v>2120.44</v>
      </c>
      <c r="M394" s="89">
        <v>1158.4000000000001</v>
      </c>
      <c r="N394" s="85">
        <v>0</v>
      </c>
      <c r="O394" s="85">
        <v>57.92</v>
      </c>
      <c r="P394" s="85">
        <v>1216.32</v>
      </c>
      <c r="Q394" s="85">
        <v>2120.44</v>
      </c>
      <c r="R394" s="82" t="s">
        <v>3399</v>
      </c>
      <c r="S394" s="7">
        <f t="shared" si="19"/>
        <v>0</v>
      </c>
      <c r="T394" s="6">
        <f t="shared" si="20"/>
        <v>0</v>
      </c>
      <c r="U394" s="25">
        <f t="shared" si="18"/>
        <v>0</v>
      </c>
    </row>
    <row r="395" spans="1:21" ht="10.9" customHeight="1" x14ac:dyDescent="0.2">
      <c r="A395" s="82" t="s">
        <v>2445</v>
      </c>
      <c r="B395" s="83">
        <v>45707</v>
      </c>
      <c r="C395" s="82" t="s">
        <v>3395</v>
      </c>
      <c r="D395" s="82" t="s">
        <v>1968</v>
      </c>
      <c r="E395" s="82"/>
      <c r="F395" s="82" t="s">
        <v>4439</v>
      </c>
      <c r="G395" s="89">
        <v>1</v>
      </c>
      <c r="H395" s="89">
        <v>19.52</v>
      </c>
      <c r="I395" s="85">
        <v>0</v>
      </c>
      <c r="J395" s="85">
        <v>2.54</v>
      </c>
      <c r="K395" s="85">
        <v>22.06</v>
      </c>
      <c r="L395" s="85">
        <v>193.87</v>
      </c>
      <c r="M395" s="89">
        <v>19.52</v>
      </c>
      <c r="N395" s="85">
        <v>0</v>
      </c>
      <c r="O395" s="85">
        <v>2.54</v>
      </c>
      <c r="P395" s="85">
        <v>22.06</v>
      </c>
      <c r="Q395" s="85">
        <v>193.87</v>
      </c>
      <c r="R395" s="82" t="s">
        <v>3399</v>
      </c>
      <c r="S395" s="7">
        <f t="shared" si="19"/>
        <v>0</v>
      </c>
      <c r="T395" s="6">
        <f t="shared" si="20"/>
        <v>0</v>
      </c>
      <c r="U395" s="25">
        <f t="shared" si="18"/>
        <v>0</v>
      </c>
    </row>
    <row r="396" spans="1:21" ht="10.9" customHeight="1" x14ac:dyDescent="0.2">
      <c r="A396" s="82" t="s">
        <v>2445</v>
      </c>
      <c r="B396" s="83">
        <v>45707</v>
      </c>
      <c r="C396" s="82" t="s">
        <v>3395</v>
      </c>
      <c r="D396" s="82" t="s">
        <v>1968</v>
      </c>
      <c r="E396" s="82"/>
      <c r="F396" s="82" t="s">
        <v>4751</v>
      </c>
      <c r="G396" s="89">
        <v>1</v>
      </c>
      <c r="H396" s="89">
        <v>152.04</v>
      </c>
      <c r="I396" s="85">
        <v>0</v>
      </c>
      <c r="J396" s="85">
        <v>19.77</v>
      </c>
      <c r="K396" s="85">
        <v>171.81</v>
      </c>
      <c r="L396" s="85">
        <v>193.87</v>
      </c>
      <c r="M396" s="89">
        <v>152.04</v>
      </c>
      <c r="N396" s="85">
        <v>0</v>
      </c>
      <c r="O396" s="85">
        <v>19.77</v>
      </c>
      <c r="P396" s="85">
        <v>171.81</v>
      </c>
      <c r="Q396" s="85">
        <v>193.87</v>
      </c>
      <c r="R396" s="82" t="s">
        <v>3399</v>
      </c>
      <c r="S396" s="7">
        <f t="shared" si="19"/>
        <v>0</v>
      </c>
      <c r="T396" s="6">
        <f t="shared" si="20"/>
        <v>0</v>
      </c>
      <c r="U396" s="25">
        <f t="shared" si="18"/>
        <v>0</v>
      </c>
    </row>
    <row r="397" spans="1:21" ht="10.9" customHeight="1" x14ac:dyDescent="0.2">
      <c r="A397" s="82" t="s">
        <v>2370</v>
      </c>
      <c r="B397" s="83">
        <v>45707</v>
      </c>
      <c r="C397" s="82" t="s">
        <v>3395</v>
      </c>
      <c r="D397" s="82" t="s">
        <v>2083</v>
      </c>
      <c r="E397" s="82"/>
      <c r="F397" s="82" t="s">
        <v>4646</v>
      </c>
      <c r="G397" s="89">
        <v>1</v>
      </c>
      <c r="H397" s="89">
        <v>1759.61</v>
      </c>
      <c r="I397" s="85">
        <v>0</v>
      </c>
      <c r="J397" s="85">
        <v>228.75</v>
      </c>
      <c r="K397" s="85">
        <v>1988.36</v>
      </c>
      <c r="L397" s="85">
        <v>1988.36</v>
      </c>
      <c r="M397" s="89">
        <v>1759.61</v>
      </c>
      <c r="N397" s="85">
        <v>0</v>
      </c>
      <c r="O397" s="85">
        <v>228.75</v>
      </c>
      <c r="P397" s="85">
        <v>1988.36</v>
      </c>
      <c r="Q397" s="85">
        <v>1988.36</v>
      </c>
      <c r="R397" s="82" t="s">
        <v>3399</v>
      </c>
      <c r="S397" s="7">
        <f t="shared" si="19"/>
        <v>0</v>
      </c>
      <c r="T397" s="6">
        <f t="shared" si="20"/>
        <v>0</v>
      </c>
      <c r="U397" s="25">
        <f t="shared" si="18"/>
        <v>0</v>
      </c>
    </row>
    <row r="398" spans="1:21" ht="10.9" customHeight="1" x14ac:dyDescent="0.2">
      <c r="A398" s="82" t="s">
        <v>2401</v>
      </c>
      <c r="B398" s="83">
        <v>45707</v>
      </c>
      <c r="C398" s="82" t="s">
        <v>3395</v>
      </c>
      <c r="D398" s="82" t="s">
        <v>2037</v>
      </c>
      <c r="E398" s="82"/>
      <c r="F398" s="82" t="s">
        <v>5660</v>
      </c>
      <c r="G398" s="89">
        <v>1</v>
      </c>
      <c r="H398" s="89">
        <v>11988.1</v>
      </c>
      <c r="I398" s="85">
        <v>0</v>
      </c>
      <c r="J398" s="85">
        <v>1558.45</v>
      </c>
      <c r="K398" s="85">
        <v>13546.55</v>
      </c>
      <c r="L398" s="85">
        <v>24293.77</v>
      </c>
      <c r="M398" s="89">
        <v>11988.1</v>
      </c>
      <c r="N398" s="85">
        <v>0</v>
      </c>
      <c r="O398" s="85">
        <v>1558.45</v>
      </c>
      <c r="P398" s="85">
        <v>13546.55</v>
      </c>
      <c r="Q398" s="85">
        <v>24293.77</v>
      </c>
      <c r="R398" s="82" t="s">
        <v>3399</v>
      </c>
      <c r="S398" s="7">
        <f t="shared" si="19"/>
        <v>0</v>
      </c>
      <c r="T398" s="6">
        <f t="shared" si="20"/>
        <v>0</v>
      </c>
      <c r="U398" s="25">
        <f t="shared" si="18"/>
        <v>0</v>
      </c>
    </row>
    <row r="399" spans="1:21" ht="10.9" customHeight="1" x14ac:dyDescent="0.2">
      <c r="A399" s="82" t="s">
        <v>2401</v>
      </c>
      <c r="B399" s="83">
        <v>45707</v>
      </c>
      <c r="C399" s="82" t="s">
        <v>3395</v>
      </c>
      <c r="D399" s="82" t="s">
        <v>2037</v>
      </c>
      <c r="E399" s="82"/>
      <c r="F399" s="82" t="s">
        <v>4446</v>
      </c>
      <c r="G399" s="89">
        <v>1</v>
      </c>
      <c r="H399" s="89">
        <v>1992.47</v>
      </c>
      <c r="I399" s="85">
        <v>0</v>
      </c>
      <c r="J399" s="85">
        <v>259.02</v>
      </c>
      <c r="K399" s="85">
        <v>2251.4899999999998</v>
      </c>
      <c r="L399" s="85">
        <v>24293.77</v>
      </c>
      <c r="M399" s="89">
        <v>1992.47</v>
      </c>
      <c r="N399" s="85">
        <v>0</v>
      </c>
      <c r="O399" s="85">
        <v>259.02</v>
      </c>
      <c r="P399" s="85">
        <v>2251.4899999999998</v>
      </c>
      <c r="Q399" s="85">
        <v>24293.77</v>
      </c>
      <c r="R399" s="82" t="s">
        <v>3399</v>
      </c>
      <c r="S399" s="7">
        <f t="shared" si="19"/>
        <v>0</v>
      </c>
      <c r="T399" s="6">
        <f t="shared" si="20"/>
        <v>0</v>
      </c>
      <c r="U399" s="25">
        <f t="shared" si="18"/>
        <v>0</v>
      </c>
    </row>
    <row r="400" spans="1:21" ht="10.9" customHeight="1" x14ac:dyDescent="0.2">
      <c r="A400" s="82" t="s">
        <v>2401</v>
      </c>
      <c r="B400" s="83">
        <v>45707</v>
      </c>
      <c r="C400" s="82" t="s">
        <v>3395</v>
      </c>
      <c r="D400" s="82" t="s">
        <v>2037</v>
      </c>
      <c r="E400" s="82"/>
      <c r="F400" s="82" t="s">
        <v>4444</v>
      </c>
      <c r="G400" s="89">
        <v>1</v>
      </c>
      <c r="H400" s="89">
        <v>2712.21</v>
      </c>
      <c r="I400" s="85">
        <v>0</v>
      </c>
      <c r="J400" s="85">
        <v>352.59</v>
      </c>
      <c r="K400" s="85">
        <v>3064.8</v>
      </c>
      <c r="L400" s="85">
        <v>24293.77</v>
      </c>
      <c r="M400" s="89">
        <v>2712.21</v>
      </c>
      <c r="N400" s="85">
        <v>0</v>
      </c>
      <c r="O400" s="85">
        <v>352.59</v>
      </c>
      <c r="P400" s="85">
        <v>3064.8</v>
      </c>
      <c r="Q400" s="85">
        <v>24293.77</v>
      </c>
      <c r="R400" s="82" t="s">
        <v>3399</v>
      </c>
      <c r="S400" s="7">
        <f t="shared" si="19"/>
        <v>0</v>
      </c>
      <c r="T400" s="6">
        <f t="shared" si="20"/>
        <v>0</v>
      </c>
      <c r="U400" s="25">
        <f t="shared" si="18"/>
        <v>0</v>
      </c>
    </row>
    <row r="401" spans="1:21" ht="10.9" customHeight="1" x14ac:dyDescent="0.2">
      <c r="A401" s="82" t="s">
        <v>2401</v>
      </c>
      <c r="B401" s="83">
        <v>45707</v>
      </c>
      <c r="C401" s="82" t="s">
        <v>3395</v>
      </c>
      <c r="D401" s="82" t="s">
        <v>2037</v>
      </c>
      <c r="E401" s="82"/>
      <c r="F401" s="82" t="s">
        <v>4445</v>
      </c>
      <c r="G401" s="89">
        <v>1</v>
      </c>
      <c r="H401" s="89">
        <v>2035.73</v>
      </c>
      <c r="I401" s="85">
        <v>0</v>
      </c>
      <c r="J401" s="85">
        <v>264.64</v>
      </c>
      <c r="K401" s="85">
        <v>2300.37</v>
      </c>
      <c r="L401" s="85">
        <v>24293.77</v>
      </c>
      <c r="M401" s="89">
        <v>2035.73</v>
      </c>
      <c r="N401" s="85">
        <v>0</v>
      </c>
      <c r="O401" s="85">
        <v>264.64</v>
      </c>
      <c r="P401" s="85">
        <v>2300.37</v>
      </c>
      <c r="Q401" s="85">
        <v>24293.77</v>
      </c>
      <c r="R401" s="82" t="s">
        <v>3399</v>
      </c>
      <c r="S401" s="7">
        <f t="shared" si="19"/>
        <v>0</v>
      </c>
      <c r="T401" s="6">
        <f t="shared" si="20"/>
        <v>0</v>
      </c>
      <c r="U401" s="25">
        <f t="shared" si="18"/>
        <v>0</v>
      </c>
    </row>
    <row r="402" spans="1:21" ht="10.9" customHeight="1" x14ac:dyDescent="0.2">
      <c r="A402" s="82" t="s">
        <v>2401</v>
      </c>
      <c r="B402" s="83">
        <v>45707</v>
      </c>
      <c r="C402" s="82" t="s">
        <v>3395</v>
      </c>
      <c r="D402" s="82" t="s">
        <v>2037</v>
      </c>
      <c r="E402" s="82"/>
      <c r="F402" s="82" t="s">
        <v>4443</v>
      </c>
      <c r="G402" s="89">
        <v>1</v>
      </c>
      <c r="H402" s="89">
        <v>2770.41</v>
      </c>
      <c r="I402" s="85">
        <v>0</v>
      </c>
      <c r="J402" s="85">
        <v>360.15</v>
      </c>
      <c r="K402" s="85">
        <v>3130.56</v>
      </c>
      <c r="L402" s="85">
        <v>24293.77</v>
      </c>
      <c r="M402" s="89">
        <v>2770.41</v>
      </c>
      <c r="N402" s="85">
        <v>0</v>
      </c>
      <c r="O402" s="85">
        <v>360.15</v>
      </c>
      <c r="P402" s="85">
        <v>3130.56</v>
      </c>
      <c r="Q402" s="85">
        <v>24293.77</v>
      </c>
      <c r="R402" s="82" t="s">
        <v>3399</v>
      </c>
      <c r="S402" s="7">
        <f t="shared" si="19"/>
        <v>0</v>
      </c>
      <c r="T402" s="6">
        <f t="shared" si="20"/>
        <v>0</v>
      </c>
      <c r="U402" s="25">
        <f t="shared" si="18"/>
        <v>0</v>
      </c>
    </row>
    <row r="403" spans="1:21" ht="10.9" customHeight="1" x14ac:dyDescent="0.2">
      <c r="A403" s="82" t="s">
        <v>2381</v>
      </c>
      <c r="B403" s="83">
        <v>45708</v>
      </c>
      <c r="C403" s="82" t="s">
        <v>3395</v>
      </c>
      <c r="D403" s="82" t="s">
        <v>2067</v>
      </c>
      <c r="E403" s="82"/>
      <c r="F403" s="82" t="s">
        <v>4753</v>
      </c>
      <c r="G403" s="89">
        <v>3</v>
      </c>
      <c r="H403" s="89">
        <v>5193.5</v>
      </c>
      <c r="I403" s="85">
        <v>0</v>
      </c>
      <c r="J403" s="85">
        <v>0</v>
      </c>
      <c r="K403" s="85">
        <v>15580.5</v>
      </c>
      <c r="L403" s="85">
        <v>15580.5</v>
      </c>
      <c r="M403" s="89">
        <v>7360.5381051521645</v>
      </c>
      <c r="N403" s="85">
        <v>0</v>
      </c>
      <c r="O403" s="85">
        <v>0</v>
      </c>
      <c r="P403" s="85">
        <v>22081.614315456492</v>
      </c>
      <c r="Q403" s="85">
        <v>22081.614315456492</v>
      </c>
      <c r="R403" s="82" t="s">
        <v>3399</v>
      </c>
      <c r="S403" s="7">
        <f t="shared" si="19"/>
        <v>0</v>
      </c>
      <c r="T403" s="6">
        <f t="shared" si="20"/>
        <v>0</v>
      </c>
      <c r="U403" s="25">
        <f t="shared" si="18"/>
        <v>0</v>
      </c>
    </row>
    <row r="404" spans="1:21" ht="10.9" customHeight="1" x14ac:dyDescent="0.2">
      <c r="A404" s="82" t="s">
        <v>2402</v>
      </c>
      <c r="B404" s="83">
        <v>45708</v>
      </c>
      <c r="C404" s="82" t="s">
        <v>3395</v>
      </c>
      <c r="D404" s="82" t="s">
        <v>2035</v>
      </c>
      <c r="E404" s="82"/>
      <c r="F404" s="82" t="s">
        <v>4546</v>
      </c>
      <c r="G404" s="89">
        <v>8</v>
      </c>
      <c r="H404" s="89">
        <v>1236.6500000000001</v>
      </c>
      <c r="I404" s="85">
        <v>0</v>
      </c>
      <c r="J404" s="85">
        <v>0</v>
      </c>
      <c r="K404" s="85">
        <v>9893.2000000000007</v>
      </c>
      <c r="L404" s="85">
        <v>9893.2000000000007</v>
      </c>
      <c r="M404" s="89">
        <v>1752.6541730502404</v>
      </c>
      <c r="N404" s="85">
        <v>0</v>
      </c>
      <c r="O404" s="85">
        <v>0</v>
      </c>
      <c r="P404" s="85">
        <v>14021.233384401923</v>
      </c>
      <c r="Q404" s="85">
        <v>14021.233384401923</v>
      </c>
      <c r="R404" s="82" t="s">
        <v>3399</v>
      </c>
      <c r="S404" s="7">
        <f t="shared" si="19"/>
        <v>0</v>
      </c>
      <c r="T404" s="6">
        <f t="shared" si="20"/>
        <v>0</v>
      </c>
      <c r="U404" s="25">
        <f t="shared" si="18"/>
        <v>0</v>
      </c>
    </row>
    <row r="405" spans="1:21" ht="10.9" customHeight="1" x14ac:dyDescent="0.2">
      <c r="A405" s="82" t="s">
        <v>2393</v>
      </c>
      <c r="B405" s="83">
        <v>45708</v>
      </c>
      <c r="C405" s="82" t="s">
        <v>3395</v>
      </c>
      <c r="D405" s="82" t="s">
        <v>2053</v>
      </c>
      <c r="E405" s="82"/>
      <c r="F405" s="82" t="s">
        <v>4546</v>
      </c>
      <c r="G405" s="89">
        <v>8</v>
      </c>
      <c r="H405" s="89">
        <v>1236.6500000000001</v>
      </c>
      <c r="I405" s="85">
        <v>0</v>
      </c>
      <c r="J405" s="85">
        <v>0</v>
      </c>
      <c r="K405" s="85">
        <v>9893.2000000000007</v>
      </c>
      <c r="L405" s="85">
        <v>20692.099999999999</v>
      </c>
      <c r="M405" s="89">
        <v>1752.6541730502404</v>
      </c>
      <c r="N405" s="85">
        <v>0</v>
      </c>
      <c r="O405" s="85">
        <v>0</v>
      </c>
      <c r="P405" s="85">
        <v>14021.233384401923</v>
      </c>
      <c r="Q405" s="85">
        <v>29326.078853493615</v>
      </c>
      <c r="R405" s="82" t="s">
        <v>3399</v>
      </c>
      <c r="S405" s="7">
        <f t="shared" si="19"/>
        <v>0</v>
      </c>
      <c r="T405" s="6">
        <f t="shared" si="20"/>
        <v>0</v>
      </c>
      <c r="U405" s="25">
        <f t="shared" si="18"/>
        <v>0</v>
      </c>
    </row>
    <row r="406" spans="1:21" ht="10.9" customHeight="1" x14ac:dyDescent="0.2">
      <c r="A406" s="82" t="s">
        <v>2393</v>
      </c>
      <c r="B406" s="83">
        <v>45708</v>
      </c>
      <c r="C406" s="82" t="s">
        <v>3395</v>
      </c>
      <c r="D406" s="82" t="s">
        <v>2053</v>
      </c>
      <c r="E406" s="82"/>
      <c r="F406" s="82" t="s">
        <v>4629</v>
      </c>
      <c r="G406" s="89">
        <v>8</v>
      </c>
      <c r="H406" s="89">
        <v>592.79999999999995</v>
      </c>
      <c r="I406" s="85">
        <v>0</v>
      </c>
      <c r="J406" s="85">
        <v>0</v>
      </c>
      <c r="K406" s="85">
        <v>4742.3999999999996</v>
      </c>
      <c r="L406" s="85">
        <v>20692.099999999999</v>
      </c>
      <c r="M406" s="89">
        <v>840.15153340410188</v>
      </c>
      <c r="N406" s="85">
        <v>0</v>
      </c>
      <c r="O406" s="85">
        <v>0</v>
      </c>
      <c r="P406" s="85">
        <v>6721.2122672328151</v>
      </c>
      <c r="Q406" s="85">
        <v>29326.078853493615</v>
      </c>
      <c r="R406" s="82" t="s">
        <v>3399</v>
      </c>
      <c r="S406" s="7">
        <f t="shared" si="19"/>
        <v>0</v>
      </c>
      <c r="T406" s="6">
        <f t="shared" si="20"/>
        <v>0</v>
      </c>
      <c r="U406" s="25">
        <f t="shared" si="18"/>
        <v>0</v>
      </c>
    </row>
    <row r="407" spans="1:21" ht="10.9" customHeight="1" x14ac:dyDescent="0.2">
      <c r="A407" s="82" t="s">
        <v>2393</v>
      </c>
      <c r="B407" s="83">
        <v>45708</v>
      </c>
      <c r="C407" s="82" t="s">
        <v>3395</v>
      </c>
      <c r="D407" s="82" t="s">
        <v>2053</v>
      </c>
      <c r="E407" s="82"/>
      <c r="F407" s="82" t="s">
        <v>4762</v>
      </c>
      <c r="G407" s="89">
        <v>1</v>
      </c>
      <c r="H407" s="89">
        <v>6056.5</v>
      </c>
      <c r="I407" s="85">
        <v>0</v>
      </c>
      <c r="J407" s="85">
        <v>0</v>
      </c>
      <c r="K407" s="85">
        <v>6056.5</v>
      </c>
      <c r="L407" s="85">
        <v>20692.099999999999</v>
      </c>
      <c r="M407" s="89">
        <v>8583.6332018588782</v>
      </c>
      <c r="N407" s="85">
        <v>0</v>
      </c>
      <c r="O407" s="85">
        <v>0</v>
      </c>
      <c r="P407" s="85">
        <v>8583.6332018588782</v>
      </c>
      <c r="Q407" s="85">
        <v>29326.078853493615</v>
      </c>
      <c r="R407" s="82" t="s">
        <v>3399</v>
      </c>
      <c r="S407" s="7">
        <f t="shared" si="19"/>
        <v>0</v>
      </c>
      <c r="T407" s="6">
        <f t="shared" si="20"/>
        <v>0</v>
      </c>
      <c r="U407" s="25">
        <f t="shared" si="18"/>
        <v>0</v>
      </c>
    </row>
    <row r="408" spans="1:21" ht="10.9" customHeight="1" x14ac:dyDescent="0.2">
      <c r="A408" s="82" t="s">
        <v>2410</v>
      </c>
      <c r="B408" s="83">
        <v>45708</v>
      </c>
      <c r="C408" s="82" t="s">
        <v>3395</v>
      </c>
      <c r="D408" s="82" t="s">
        <v>2024</v>
      </c>
      <c r="E408" s="82"/>
      <c r="F408" s="82" t="s">
        <v>4629</v>
      </c>
      <c r="G408" s="89">
        <v>8</v>
      </c>
      <c r="H408" s="89">
        <v>592.79999999999995</v>
      </c>
      <c r="I408" s="85">
        <v>0</v>
      </c>
      <c r="J408" s="85">
        <v>0</v>
      </c>
      <c r="K408" s="85">
        <v>4742.3999999999996</v>
      </c>
      <c r="L408" s="85">
        <v>13072.47</v>
      </c>
      <c r="M408" s="89">
        <v>840.15153340410188</v>
      </c>
      <c r="N408" s="85">
        <v>0</v>
      </c>
      <c r="O408" s="85">
        <v>0</v>
      </c>
      <c r="P408" s="85">
        <v>6721.2122672328151</v>
      </c>
      <c r="Q408" s="85">
        <v>18527.084540956679</v>
      </c>
      <c r="R408" s="82" t="s">
        <v>3399</v>
      </c>
      <c r="S408" s="7">
        <f t="shared" si="19"/>
        <v>0</v>
      </c>
      <c r="T408" s="6">
        <f t="shared" si="20"/>
        <v>0</v>
      </c>
      <c r="U408" s="25">
        <f t="shared" si="18"/>
        <v>0</v>
      </c>
    </row>
    <row r="409" spans="1:21" ht="10.9" customHeight="1" x14ac:dyDescent="0.2">
      <c r="A409" s="82" t="s">
        <v>2410</v>
      </c>
      <c r="B409" s="83">
        <v>45708</v>
      </c>
      <c r="C409" s="82" t="s">
        <v>3395</v>
      </c>
      <c r="D409" s="82" t="s">
        <v>2024</v>
      </c>
      <c r="E409" s="82"/>
      <c r="F409" s="82" t="s">
        <v>4633</v>
      </c>
      <c r="G409" s="89">
        <v>1</v>
      </c>
      <c r="H409" s="89">
        <v>878.63</v>
      </c>
      <c r="I409" s="85">
        <v>0</v>
      </c>
      <c r="J409" s="85">
        <v>0</v>
      </c>
      <c r="K409" s="85">
        <v>878.63</v>
      </c>
      <c r="L409" s="85">
        <v>13072.47</v>
      </c>
      <c r="M409" s="89">
        <v>1245.2468653759211</v>
      </c>
      <c r="N409" s="85">
        <v>0</v>
      </c>
      <c r="O409" s="85">
        <v>0</v>
      </c>
      <c r="P409" s="85">
        <v>1245.2468653759211</v>
      </c>
      <c r="Q409" s="85">
        <v>18527.084540956679</v>
      </c>
      <c r="R409" s="82" t="s">
        <v>3399</v>
      </c>
      <c r="S409" s="7">
        <f t="shared" si="19"/>
        <v>0</v>
      </c>
      <c r="T409" s="6">
        <f t="shared" si="20"/>
        <v>0</v>
      </c>
      <c r="U409" s="25">
        <f t="shared" si="18"/>
        <v>0</v>
      </c>
    </row>
    <row r="410" spans="1:21" ht="10.9" customHeight="1" x14ac:dyDescent="0.2">
      <c r="A410" s="82" t="s">
        <v>2410</v>
      </c>
      <c r="B410" s="83">
        <v>45708</v>
      </c>
      <c r="C410" s="82" t="s">
        <v>3395</v>
      </c>
      <c r="D410" s="82" t="s">
        <v>2024</v>
      </c>
      <c r="E410" s="82"/>
      <c r="F410" s="82" t="s">
        <v>4631</v>
      </c>
      <c r="G410" s="89">
        <v>8</v>
      </c>
      <c r="H410" s="89">
        <v>931.43</v>
      </c>
      <c r="I410" s="85">
        <v>0</v>
      </c>
      <c r="J410" s="85">
        <v>0</v>
      </c>
      <c r="K410" s="85">
        <v>7451.44</v>
      </c>
      <c r="L410" s="85">
        <v>13072.47</v>
      </c>
      <c r="M410" s="89">
        <v>1320.0781760434929</v>
      </c>
      <c r="N410" s="85">
        <v>0</v>
      </c>
      <c r="O410" s="85">
        <v>0</v>
      </c>
      <c r="P410" s="85">
        <v>10560.625408347943</v>
      </c>
      <c r="Q410" s="85">
        <v>18527.084540956679</v>
      </c>
      <c r="R410" s="82" t="s">
        <v>3399</v>
      </c>
      <c r="S410" s="7">
        <f t="shared" si="19"/>
        <v>0</v>
      </c>
      <c r="T410" s="6">
        <f t="shared" si="20"/>
        <v>0</v>
      </c>
      <c r="U410" s="25">
        <f t="shared" si="18"/>
        <v>0</v>
      </c>
    </row>
    <row r="411" spans="1:21" ht="10.9" customHeight="1" x14ac:dyDescent="0.2">
      <c r="A411" s="82" t="s">
        <v>2462</v>
      </c>
      <c r="B411" s="83">
        <v>45708</v>
      </c>
      <c r="C411" s="82" t="s">
        <v>3395</v>
      </c>
      <c r="D411" s="82" t="s">
        <v>1937</v>
      </c>
      <c r="E411" s="82"/>
      <c r="F411" s="82" t="s">
        <v>5429</v>
      </c>
      <c r="G411" s="89">
        <v>1</v>
      </c>
      <c r="H411" s="89">
        <v>836.73</v>
      </c>
      <c r="I411" s="85">
        <v>0</v>
      </c>
      <c r="J411" s="85">
        <v>108.77</v>
      </c>
      <c r="K411" s="85">
        <v>945.5</v>
      </c>
      <c r="L411" s="85">
        <v>945.5</v>
      </c>
      <c r="M411" s="89">
        <v>836.73</v>
      </c>
      <c r="N411" s="85">
        <v>0</v>
      </c>
      <c r="O411" s="85">
        <v>108.77</v>
      </c>
      <c r="P411" s="85">
        <v>945.5</v>
      </c>
      <c r="Q411" s="85">
        <v>945.5</v>
      </c>
      <c r="R411" s="82" t="s">
        <v>3399</v>
      </c>
      <c r="S411" s="7">
        <f t="shared" si="19"/>
        <v>0</v>
      </c>
      <c r="T411" s="6">
        <f t="shared" si="20"/>
        <v>0</v>
      </c>
      <c r="U411" s="25">
        <f t="shared" si="18"/>
        <v>0</v>
      </c>
    </row>
    <row r="412" spans="1:21" ht="10.9" customHeight="1" x14ac:dyDescent="0.2">
      <c r="A412" s="82" t="s">
        <v>2461</v>
      </c>
      <c r="B412" s="83">
        <v>45712</v>
      </c>
      <c r="C412" s="82" t="s">
        <v>3395</v>
      </c>
      <c r="D412" s="82" t="s">
        <v>1939</v>
      </c>
      <c r="E412" s="82"/>
      <c r="F412" s="82" t="s">
        <v>4683</v>
      </c>
      <c r="G412" s="89">
        <v>2</v>
      </c>
      <c r="H412" s="89">
        <v>129.75</v>
      </c>
      <c r="I412" s="85">
        <v>0</v>
      </c>
      <c r="J412" s="85">
        <v>0</v>
      </c>
      <c r="K412" s="85">
        <v>259.5</v>
      </c>
      <c r="L412" s="85">
        <v>259.5</v>
      </c>
      <c r="M412" s="89">
        <v>184.88858236412293</v>
      </c>
      <c r="N412" s="85">
        <v>0</v>
      </c>
      <c r="O412" s="85">
        <v>0</v>
      </c>
      <c r="P412" s="85">
        <v>369.77716472824585</v>
      </c>
      <c r="Q412" s="85">
        <v>369.77716472824585</v>
      </c>
      <c r="R412" s="82" t="s">
        <v>3399</v>
      </c>
      <c r="S412" s="7">
        <f t="shared" si="19"/>
        <v>0</v>
      </c>
      <c r="T412" s="6">
        <f t="shared" si="20"/>
        <v>0</v>
      </c>
      <c r="U412" s="25">
        <f t="shared" si="18"/>
        <v>0</v>
      </c>
    </row>
    <row r="413" spans="1:21" ht="10.9" customHeight="1" x14ac:dyDescent="0.2">
      <c r="A413" s="82" t="s">
        <v>2460</v>
      </c>
      <c r="B413" s="83">
        <v>45712</v>
      </c>
      <c r="C413" s="82" t="s">
        <v>3395</v>
      </c>
      <c r="D413" s="82"/>
      <c r="E413" s="82"/>
      <c r="F413" s="82" t="s">
        <v>5653</v>
      </c>
      <c r="G413" s="89">
        <v>1</v>
      </c>
      <c r="H413" s="89">
        <v>19798</v>
      </c>
      <c r="I413" s="85">
        <v>0</v>
      </c>
      <c r="J413" s="85">
        <v>0</v>
      </c>
      <c r="K413" s="85">
        <v>19798</v>
      </c>
      <c r="L413" s="85">
        <v>20856</v>
      </c>
      <c r="M413" s="89">
        <v>28211.361492446285</v>
      </c>
      <c r="N413" s="85">
        <v>0</v>
      </c>
      <c r="O413" s="85">
        <v>0</v>
      </c>
      <c r="P413" s="85">
        <v>28211.361492446285</v>
      </c>
      <c r="Q413" s="85">
        <v>29718.969354806533</v>
      </c>
      <c r="R413" s="82" t="s">
        <v>3399</v>
      </c>
      <c r="S413" s="7">
        <f t="shared" si="19"/>
        <v>0</v>
      </c>
      <c r="T413" s="6">
        <f t="shared" si="20"/>
        <v>0</v>
      </c>
      <c r="U413" s="25">
        <f t="shared" si="18"/>
        <v>0</v>
      </c>
    </row>
    <row r="414" spans="1:21" ht="10.9" customHeight="1" x14ac:dyDescent="0.2">
      <c r="A414" s="82" t="s">
        <v>2460</v>
      </c>
      <c r="B414" s="83">
        <v>45712</v>
      </c>
      <c r="C414" s="82" t="s">
        <v>3395</v>
      </c>
      <c r="D414" s="82"/>
      <c r="E414" s="82"/>
      <c r="F414" s="82" t="s">
        <v>4393</v>
      </c>
      <c r="G414" s="89">
        <v>1</v>
      </c>
      <c r="H414" s="89">
        <v>683</v>
      </c>
      <c r="I414" s="85">
        <v>0</v>
      </c>
      <c r="J414" s="85">
        <v>0</v>
      </c>
      <c r="K414" s="85">
        <v>683</v>
      </c>
      <c r="L414" s="85">
        <v>20856</v>
      </c>
      <c r="M414" s="89">
        <v>973.24779772405361</v>
      </c>
      <c r="N414" s="85">
        <v>0</v>
      </c>
      <c r="O414" s="85">
        <v>0</v>
      </c>
      <c r="P414" s="85">
        <v>973.24779772405361</v>
      </c>
      <c r="Q414" s="85">
        <v>29718.969354806533</v>
      </c>
      <c r="R414" s="82" t="s">
        <v>3399</v>
      </c>
      <c r="S414" s="7" t="str">
        <f t="shared" si="19"/>
        <v>INV12649</v>
      </c>
      <c r="T414" s="6">
        <f t="shared" si="20"/>
        <v>1</v>
      </c>
      <c r="U414" s="25">
        <f t="shared" si="18"/>
        <v>683</v>
      </c>
    </row>
    <row r="415" spans="1:21" ht="10.9" customHeight="1" x14ac:dyDescent="0.2">
      <c r="A415" s="82" t="s">
        <v>2460</v>
      </c>
      <c r="B415" s="83">
        <v>45712</v>
      </c>
      <c r="C415" s="82" t="s">
        <v>3395</v>
      </c>
      <c r="D415" s="82"/>
      <c r="E415" s="82"/>
      <c r="F415" s="82" t="s">
        <v>5652</v>
      </c>
      <c r="G415" s="89">
        <v>1</v>
      </c>
      <c r="H415" s="89">
        <v>375</v>
      </c>
      <c r="I415" s="85">
        <v>0</v>
      </c>
      <c r="J415" s="85">
        <v>0</v>
      </c>
      <c r="K415" s="85">
        <v>375</v>
      </c>
      <c r="L415" s="85">
        <v>20856</v>
      </c>
      <c r="M415" s="89">
        <v>534.36006463619344</v>
      </c>
      <c r="N415" s="85">
        <v>0</v>
      </c>
      <c r="O415" s="85">
        <v>0</v>
      </c>
      <c r="P415" s="85">
        <v>534.36006463619344</v>
      </c>
      <c r="Q415" s="85">
        <v>29718.969354806533</v>
      </c>
      <c r="R415" s="82" t="s">
        <v>3399</v>
      </c>
      <c r="S415" s="7">
        <f t="shared" si="19"/>
        <v>0</v>
      </c>
      <c r="T415" s="6">
        <f t="shared" si="20"/>
        <v>0</v>
      </c>
      <c r="U415" s="25">
        <f t="shared" si="18"/>
        <v>0</v>
      </c>
    </row>
    <row r="416" spans="1:21" ht="10.9" customHeight="1" x14ac:dyDescent="0.2">
      <c r="A416" s="82" t="s">
        <v>3661</v>
      </c>
      <c r="B416" s="83">
        <v>45712</v>
      </c>
      <c r="C416" s="82" t="s">
        <v>3395</v>
      </c>
      <c r="D416" s="82" t="s">
        <v>3660</v>
      </c>
      <c r="E416" s="82"/>
      <c r="F416" s="82" t="s">
        <v>4756</v>
      </c>
      <c r="G416" s="89">
        <v>1</v>
      </c>
      <c r="H416" s="89">
        <v>1549.78</v>
      </c>
      <c r="I416" s="85">
        <v>0</v>
      </c>
      <c r="J416" s="85">
        <v>77.489999999999995</v>
      </c>
      <c r="K416" s="85">
        <v>1627.27</v>
      </c>
      <c r="L416" s="85">
        <v>1627.27</v>
      </c>
      <c r="M416" s="89">
        <v>1549.78</v>
      </c>
      <c r="N416" s="85">
        <v>0</v>
      </c>
      <c r="O416" s="85">
        <v>77.489999999999995</v>
      </c>
      <c r="P416" s="85">
        <v>1627.27</v>
      </c>
      <c r="Q416" s="85">
        <v>1627.27</v>
      </c>
      <c r="R416" s="82" t="s">
        <v>3399</v>
      </c>
      <c r="S416" s="7">
        <f t="shared" si="19"/>
        <v>0</v>
      </c>
      <c r="T416" s="6">
        <f t="shared" si="20"/>
        <v>0</v>
      </c>
      <c r="U416" s="25">
        <f t="shared" si="18"/>
        <v>0</v>
      </c>
    </row>
    <row r="417" spans="1:21" ht="10.9" customHeight="1" x14ac:dyDescent="0.2">
      <c r="A417" s="82" t="s">
        <v>3668</v>
      </c>
      <c r="B417" s="83">
        <v>45712</v>
      </c>
      <c r="C417" s="82" t="s">
        <v>3395</v>
      </c>
      <c r="D417" s="82" t="s">
        <v>3667</v>
      </c>
      <c r="E417" s="82"/>
      <c r="F417" s="82" t="s">
        <v>5654</v>
      </c>
      <c r="G417" s="89">
        <v>1</v>
      </c>
      <c r="H417" s="89">
        <v>3257.98</v>
      </c>
      <c r="I417" s="85">
        <v>0</v>
      </c>
      <c r="J417" s="85">
        <v>162.9</v>
      </c>
      <c r="K417" s="85">
        <v>3420.88</v>
      </c>
      <c r="L417" s="85">
        <v>3420.88</v>
      </c>
      <c r="M417" s="89">
        <v>3257.98</v>
      </c>
      <c r="N417" s="85">
        <v>0</v>
      </c>
      <c r="O417" s="85">
        <v>162.9</v>
      </c>
      <c r="P417" s="85">
        <v>3420.88</v>
      </c>
      <c r="Q417" s="85">
        <v>3420.88</v>
      </c>
      <c r="R417" s="82" t="s">
        <v>3399</v>
      </c>
      <c r="S417" s="7">
        <f t="shared" si="19"/>
        <v>0</v>
      </c>
      <c r="T417" s="6">
        <f t="shared" si="20"/>
        <v>0</v>
      </c>
      <c r="U417" s="25">
        <f t="shared" si="18"/>
        <v>0</v>
      </c>
    </row>
    <row r="418" spans="1:21" ht="10.9" customHeight="1" x14ac:dyDescent="0.2">
      <c r="A418" s="82" t="s">
        <v>2324</v>
      </c>
      <c r="B418" s="83">
        <v>45712</v>
      </c>
      <c r="C418" s="82" t="s">
        <v>3395</v>
      </c>
      <c r="D418" s="82" t="s">
        <v>2164</v>
      </c>
      <c r="E418" s="82"/>
      <c r="F418" s="82" t="s">
        <v>5659</v>
      </c>
      <c r="G418" s="89">
        <v>1</v>
      </c>
      <c r="H418" s="89">
        <v>14.55</v>
      </c>
      <c r="I418" s="85">
        <v>0</v>
      </c>
      <c r="J418" s="85">
        <v>0.73</v>
      </c>
      <c r="K418" s="85">
        <v>15.28</v>
      </c>
      <c r="L418" s="85">
        <v>405.7</v>
      </c>
      <c r="M418" s="89">
        <v>14.55</v>
      </c>
      <c r="N418" s="85">
        <v>0</v>
      </c>
      <c r="O418" s="85">
        <v>0.73</v>
      </c>
      <c r="P418" s="85">
        <v>15.28</v>
      </c>
      <c r="Q418" s="85">
        <v>405.7</v>
      </c>
      <c r="R418" s="82" t="s">
        <v>3399</v>
      </c>
      <c r="S418" s="7">
        <f t="shared" si="19"/>
        <v>0</v>
      </c>
      <c r="T418" s="6">
        <f t="shared" si="20"/>
        <v>0</v>
      </c>
      <c r="U418" s="25">
        <f t="shared" si="18"/>
        <v>0</v>
      </c>
    </row>
    <row r="419" spans="1:21" ht="10.9" customHeight="1" x14ac:dyDescent="0.2">
      <c r="A419" s="82" t="s">
        <v>2324</v>
      </c>
      <c r="B419" s="83">
        <v>45712</v>
      </c>
      <c r="C419" s="82" t="s">
        <v>3395</v>
      </c>
      <c r="D419" s="82" t="s">
        <v>2164</v>
      </c>
      <c r="E419" s="82"/>
      <c r="F419" s="82" t="s">
        <v>4741</v>
      </c>
      <c r="G419" s="89">
        <v>1</v>
      </c>
      <c r="H419" s="89">
        <v>371.83</v>
      </c>
      <c r="I419" s="85">
        <v>0</v>
      </c>
      <c r="J419" s="85">
        <v>18.59</v>
      </c>
      <c r="K419" s="85">
        <v>390.42</v>
      </c>
      <c r="L419" s="85">
        <v>405.7</v>
      </c>
      <c r="M419" s="89">
        <v>371.83</v>
      </c>
      <c r="N419" s="85">
        <v>0</v>
      </c>
      <c r="O419" s="85">
        <v>18.59</v>
      </c>
      <c r="P419" s="85">
        <v>390.42</v>
      </c>
      <c r="Q419" s="85">
        <v>405.7</v>
      </c>
      <c r="R419" s="82" t="s">
        <v>3399</v>
      </c>
      <c r="S419" s="7">
        <f t="shared" si="19"/>
        <v>0</v>
      </c>
      <c r="T419" s="6">
        <f t="shared" si="20"/>
        <v>0</v>
      </c>
      <c r="U419" s="25">
        <f t="shared" si="18"/>
        <v>0</v>
      </c>
    </row>
    <row r="420" spans="1:21" ht="10.9" customHeight="1" x14ac:dyDescent="0.2">
      <c r="A420" s="82" t="s">
        <v>3664</v>
      </c>
      <c r="B420" s="83">
        <v>45712</v>
      </c>
      <c r="C420" s="82" t="s">
        <v>3395</v>
      </c>
      <c r="D420" s="82" t="s">
        <v>3663</v>
      </c>
      <c r="E420" s="82"/>
      <c r="F420" s="82" t="s">
        <v>5658</v>
      </c>
      <c r="G420" s="89">
        <v>1</v>
      </c>
      <c r="H420" s="89">
        <v>6984.78</v>
      </c>
      <c r="I420" s="85">
        <v>0</v>
      </c>
      <c r="J420" s="85">
        <v>349.24</v>
      </c>
      <c r="K420" s="85">
        <v>7334.02</v>
      </c>
      <c r="L420" s="85">
        <v>7334.02</v>
      </c>
      <c r="M420" s="89">
        <v>6984.78</v>
      </c>
      <c r="N420" s="85">
        <v>0</v>
      </c>
      <c r="O420" s="85">
        <v>349.24</v>
      </c>
      <c r="P420" s="85">
        <v>7334.02</v>
      </c>
      <c r="Q420" s="85">
        <v>7334.02</v>
      </c>
      <c r="R420" s="82" t="s">
        <v>3399</v>
      </c>
      <c r="S420" s="7">
        <f t="shared" si="19"/>
        <v>0</v>
      </c>
      <c r="T420" s="6">
        <f t="shared" si="20"/>
        <v>0</v>
      </c>
      <c r="U420" s="25">
        <f t="shared" si="18"/>
        <v>0</v>
      </c>
    </row>
    <row r="421" spans="1:21" ht="10.9" customHeight="1" x14ac:dyDescent="0.2">
      <c r="A421" s="82" t="s">
        <v>2436</v>
      </c>
      <c r="B421" s="83">
        <v>45712</v>
      </c>
      <c r="C421" s="82" t="s">
        <v>3395</v>
      </c>
      <c r="D421" s="82" t="s">
        <v>3662</v>
      </c>
      <c r="E421" s="82"/>
      <c r="F421" s="82" t="s">
        <v>4450</v>
      </c>
      <c r="G421" s="89">
        <v>1</v>
      </c>
      <c r="H421" s="89">
        <v>1351.57</v>
      </c>
      <c r="I421" s="85">
        <v>0</v>
      </c>
      <c r="J421" s="85">
        <v>67.58</v>
      </c>
      <c r="K421" s="85">
        <v>1419.15</v>
      </c>
      <c r="L421" s="85">
        <v>2877.18</v>
      </c>
      <c r="M421" s="89">
        <v>1351.57</v>
      </c>
      <c r="N421" s="85">
        <v>0</v>
      </c>
      <c r="O421" s="85">
        <v>67.58</v>
      </c>
      <c r="P421" s="85">
        <v>1419.15</v>
      </c>
      <c r="Q421" s="85">
        <v>2877.18</v>
      </c>
      <c r="R421" s="82" t="s">
        <v>3399</v>
      </c>
      <c r="S421" s="7">
        <f t="shared" si="19"/>
        <v>0</v>
      </c>
      <c r="T421" s="6">
        <f t="shared" si="20"/>
        <v>0</v>
      </c>
      <c r="U421" s="25">
        <f t="shared" si="18"/>
        <v>0</v>
      </c>
    </row>
    <row r="422" spans="1:21" ht="10.9" customHeight="1" x14ac:dyDescent="0.2">
      <c r="A422" s="82" t="s">
        <v>2436</v>
      </c>
      <c r="B422" s="83">
        <v>45712</v>
      </c>
      <c r="C422" s="82" t="s">
        <v>3395</v>
      </c>
      <c r="D422" s="82" t="s">
        <v>3662</v>
      </c>
      <c r="E422" s="82"/>
      <c r="F422" s="82" t="s">
        <v>4449</v>
      </c>
      <c r="G422" s="89">
        <v>1</v>
      </c>
      <c r="H422" s="89">
        <v>1388.6</v>
      </c>
      <c r="I422" s="85">
        <v>0</v>
      </c>
      <c r="J422" s="85">
        <v>69.430000000000007</v>
      </c>
      <c r="K422" s="85">
        <v>1458.03</v>
      </c>
      <c r="L422" s="85">
        <v>2877.18</v>
      </c>
      <c r="M422" s="89">
        <v>1388.6</v>
      </c>
      <c r="N422" s="85">
        <v>0</v>
      </c>
      <c r="O422" s="85">
        <v>69.430000000000007</v>
      </c>
      <c r="P422" s="85">
        <v>1458.03</v>
      </c>
      <c r="Q422" s="85">
        <v>2877.18</v>
      </c>
      <c r="R422" s="82" t="s">
        <v>3399</v>
      </c>
      <c r="S422" s="7">
        <f t="shared" si="19"/>
        <v>0</v>
      </c>
      <c r="T422" s="6">
        <f t="shared" si="20"/>
        <v>0</v>
      </c>
      <c r="U422" s="25">
        <f t="shared" si="18"/>
        <v>0</v>
      </c>
    </row>
    <row r="423" spans="1:21" ht="10.9" customHeight="1" x14ac:dyDescent="0.2">
      <c r="A423" s="82" t="s">
        <v>3659</v>
      </c>
      <c r="B423" s="83">
        <v>45712</v>
      </c>
      <c r="C423" s="82" t="s">
        <v>3395</v>
      </c>
      <c r="D423" s="82" t="s">
        <v>3657</v>
      </c>
      <c r="E423" s="82"/>
      <c r="F423" s="82" t="s">
        <v>5657</v>
      </c>
      <c r="G423" s="89">
        <v>1</v>
      </c>
      <c r="H423" s="89">
        <v>6298.29</v>
      </c>
      <c r="I423" s="85">
        <v>0</v>
      </c>
      <c r="J423" s="85">
        <v>314.91000000000003</v>
      </c>
      <c r="K423" s="85">
        <v>6613.2</v>
      </c>
      <c r="L423" s="85">
        <v>6613.2</v>
      </c>
      <c r="M423" s="89">
        <v>6298.29</v>
      </c>
      <c r="N423" s="85">
        <v>0</v>
      </c>
      <c r="O423" s="85">
        <v>314.91000000000003</v>
      </c>
      <c r="P423" s="85">
        <v>6613.2</v>
      </c>
      <c r="Q423" s="85">
        <v>6613.2</v>
      </c>
      <c r="R423" s="82" t="s">
        <v>3399</v>
      </c>
      <c r="S423" s="7">
        <f t="shared" si="19"/>
        <v>0</v>
      </c>
      <c r="T423" s="6">
        <f t="shared" si="20"/>
        <v>0</v>
      </c>
      <c r="U423" s="25">
        <f t="shared" si="18"/>
        <v>0</v>
      </c>
    </row>
    <row r="424" spans="1:21" ht="10.9" customHeight="1" x14ac:dyDescent="0.2">
      <c r="A424" s="82" t="s">
        <v>2459</v>
      </c>
      <c r="B424" s="83">
        <v>45712</v>
      </c>
      <c r="C424" s="82" t="s">
        <v>3395</v>
      </c>
      <c r="D424" s="82" t="s">
        <v>1943</v>
      </c>
      <c r="E424" s="82"/>
      <c r="F424" s="82" t="s">
        <v>4399</v>
      </c>
      <c r="G424" s="89">
        <v>2</v>
      </c>
      <c r="H424" s="89">
        <v>2673.61</v>
      </c>
      <c r="I424" s="85">
        <v>0</v>
      </c>
      <c r="J424" s="85">
        <v>267.36</v>
      </c>
      <c r="K424" s="85">
        <v>5614.58</v>
      </c>
      <c r="L424" s="85">
        <v>5614.58</v>
      </c>
      <c r="M424" s="89">
        <v>2673.61</v>
      </c>
      <c r="N424" s="85">
        <v>0</v>
      </c>
      <c r="O424" s="85">
        <v>267.36</v>
      </c>
      <c r="P424" s="85">
        <v>5614.58</v>
      </c>
      <c r="Q424" s="85">
        <v>5614.58</v>
      </c>
      <c r="R424" s="82" t="s">
        <v>3399</v>
      </c>
      <c r="S424" s="7">
        <f t="shared" si="19"/>
        <v>0</v>
      </c>
      <c r="T424" s="6">
        <f t="shared" si="20"/>
        <v>0</v>
      </c>
      <c r="U424" s="25">
        <f t="shared" si="18"/>
        <v>0</v>
      </c>
    </row>
    <row r="425" spans="1:21" ht="10.9" customHeight="1" x14ac:dyDescent="0.2">
      <c r="A425" s="82" t="s">
        <v>2452</v>
      </c>
      <c r="B425" s="83">
        <v>45712</v>
      </c>
      <c r="C425" s="82" t="s">
        <v>3395</v>
      </c>
      <c r="D425" s="82" t="s">
        <v>1953</v>
      </c>
      <c r="E425" s="82"/>
      <c r="F425" s="82" t="s">
        <v>4569</v>
      </c>
      <c r="G425" s="89">
        <v>1</v>
      </c>
      <c r="H425" s="89">
        <v>1946.57</v>
      </c>
      <c r="I425" s="85">
        <v>0</v>
      </c>
      <c r="J425" s="85">
        <v>97.33</v>
      </c>
      <c r="K425" s="85">
        <v>2043.9</v>
      </c>
      <c r="L425" s="85">
        <v>2758.72</v>
      </c>
      <c r="M425" s="89">
        <v>1946.57</v>
      </c>
      <c r="N425" s="85">
        <v>0</v>
      </c>
      <c r="O425" s="85">
        <v>97.33</v>
      </c>
      <c r="P425" s="85">
        <v>2043.9</v>
      </c>
      <c r="Q425" s="85">
        <v>2758.72</v>
      </c>
      <c r="R425" s="82" t="s">
        <v>3399</v>
      </c>
      <c r="S425" s="7">
        <f t="shared" si="19"/>
        <v>0</v>
      </c>
      <c r="T425" s="6">
        <f t="shared" si="20"/>
        <v>0</v>
      </c>
      <c r="U425" s="25">
        <f t="shared" si="18"/>
        <v>0</v>
      </c>
    </row>
    <row r="426" spans="1:21" ht="10.9" customHeight="1" x14ac:dyDescent="0.2">
      <c r="A426" s="82" t="s">
        <v>2452</v>
      </c>
      <c r="B426" s="83">
        <v>45712</v>
      </c>
      <c r="C426" s="82" t="s">
        <v>3395</v>
      </c>
      <c r="D426" s="82" t="s">
        <v>1953</v>
      </c>
      <c r="E426" s="82"/>
      <c r="F426" s="82" t="s">
        <v>4680</v>
      </c>
      <c r="G426" s="89">
        <v>1</v>
      </c>
      <c r="H426" s="89">
        <v>680.78</v>
      </c>
      <c r="I426" s="85">
        <v>0</v>
      </c>
      <c r="J426" s="85">
        <v>34.04</v>
      </c>
      <c r="K426" s="85">
        <v>714.82</v>
      </c>
      <c r="L426" s="85">
        <v>2758.72</v>
      </c>
      <c r="M426" s="89">
        <v>680.78</v>
      </c>
      <c r="N426" s="85">
        <v>0</v>
      </c>
      <c r="O426" s="85">
        <v>34.04</v>
      </c>
      <c r="P426" s="85">
        <v>714.82</v>
      </c>
      <c r="Q426" s="85">
        <v>2758.72</v>
      </c>
      <c r="R426" s="82" t="s">
        <v>3399</v>
      </c>
      <c r="S426" s="7">
        <f t="shared" si="19"/>
        <v>0</v>
      </c>
      <c r="T426" s="6">
        <f t="shared" si="20"/>
        <v>0</v>
      </c>
      <c r="U426" s="25">
        <f t="shared" si="18"/>
        <v>0</v>
      </c>
    </row>
    <row r="427" spans="1:21" ht="10.9" customHeight="1" x14ac:dyDescent="0.2">
      <c r="A427" s="82" t="s">
        <v>2466</v>
      </c>
      <c r="B427" s="83">
        <v>45712</v>
      </c>
      <c r="C427" s="82" t="s">
        <v>3395</v>
      </c>
      <c r="D427" s="82" t="s">
        <v>1929</v>
      </c>
      <c r="E427" s="82"/>
      <c r="F427" s="82" t="s">
        <v>4568</v>
      </c>
      <c r="G427" s="89">
        <v>2</v>
      </c>
      <c r="H427" s="89">
        <v>50</v>
      </c>
      <c r="I427" s="85">
        <v>0</v>
      </c>
      <c r="J427" s="85">
        <v>5</v>
      </c>
      <c r="K427" s="85">
        <v>105</v>
      </c>
      <c r="L427" s="85">
        <v>105</v>
      </c>
      <c r="M427" s="89">
        <v>50</v>
      </c>
      <c r="N427" s="85">
        <v>0</v>
      </c>
      <c r="O427" s="85">
        <v>5</v>
      </c>
      <c r="P427" s="85">
        <v>105</v>
      </c>
      <c r="Q427" s="85">
        <v>105</v>
      </c>
      <c r="R427" s="82" t="s">
        <v>3399</v>
      </c>
      <c r="S427" s="7">
        <f t="shared" si="19"/>
        <v>0</v>
      </c>
      <c r="T427" s="6">
        <f t="shared" si="20"/>
        <v>0</v>
      </c>
      <c r="U427" s="25">
        <f t="shared" si="18"/>
        <v>0</v>
      </c>
    </row>
    <row r="428" spans="1:21" ht="10.9" customHeight="1" x14ac:dyDescent="0.2">
      <c r="A428" s="82" t="s">
        <v>3666</v>
      </c>
      <c r="B428" s="83">
        <v>45712</v>
      </c>
      <c r="C428" s="82" t="s">
        <v>3395</v>
      </c>
      <c r="D428" s="82" t="s">
        <v>3665</v>
      </c>
      <c r="E428" s="82"/>
      <c r="F428" s="82" t="s">
        <v>5656</v>
      </c>
      <c r="G428" s="89">
        <v>1</v>
      </c>
      <c r="H428" s="89">
        <v>3227.63</v>
      </c>
      <c r="I428" s="85">
        <v>0</v>
      </c>
      <c r="J428" s="85">
        <v>161.38</v>
      </c>
      <c r="K428" s="85">
        <v>3389.01</v>
      </c>
      <c r="L428" s="85">
        <v>5842.11</v>
      </c>
      <c r="M428" s="89">
        <v>3227.63</v>
      </c>
      <c r="N428" s="85">
        <v>0</v>
      </c>
      <c r="O428" s="85">
        <v>161.38</v>
      </c>
      <c r="P428" s="85">
        <v>3389.01</v>
      </c>
      <c r="Q428" s="85">
        <v>5842.11</v>
      </c>
      <c r="R428" s="82" t="s">
        <v>3399</v>
      </c>
      <c r="S428" s="7">
        <f t="shared" si="19"/>
        <v>0</v>
      </c>
      <c r="T428" s="6">
        <f t="shared" si="20"/>
        <v>0</v>
      </c>
      <c r="U428" s="25">
        <f t="shared" si="18"/>
        <v>0</v>
      </c>
    </row>
    <row r="429" spans="1:21" ht="10.9" customHeight="1" x14ac:dyDescent="0.2">
      <c r="A429" s="82" t="s">
        <v>3666</v>
      </c>
      <c r="B429" s="83">
        <v>45712</v>
      </c>
      <c r="C429" s="82" t="s">
        <v>3395</v>
      </c>
      <c r="D429" s="82" t="s">
        <v>3665</v>
      </c>
      <c r="E429" s="82"/>
      <c r="F429" s="82" t="s">
        <v>5655</v>
      </c>
      <c r="G429" s="89">
        <v>1</v>
      </c>
      <c r="H429" s="89">
        <v>2336.29</v>
      </c>
      <c r="I429" s="85">
        <v>0</v>
      </c>
      <c r="J429" s="85">
        <v>116.81</v>
      </c>
      <c r="K429" s="85">
        <v>2453.1</v>
      </c>
      <c r="L429" s="85">
        <v>5842.11</v>
      </c>
      <c r="M429" s="89">
        <v>2336.29</v>
      </c>
      <c r="N429" s="85">
        <v>0</v>
      </c>
      <c r="O429" s="85">
        <v>116.81</v>
      </c>
      <c r="P429" s="85">
        <v>2453.1</v>
      </c>
      <c r="Q429" s="85">
        <v>5842.11</v>
      </c>
      <c r="R429" s="82" t="s">
        <v>3399</v>
      </c>
      <c r="S429" s="7">
        <f t="shared" si="19"/>
        <v>0</v>
      </c>
      <c r="T429" s="6">
        <f t="shared" si="20"/>
        <v>0</v>
      </c>
      <c r="U429" s="25">
        <f t="shared" si="18"/>
        <v>0</v>
      </c>
    </row>
    <row r="430" spans="1:21" ht="10.9" customHeight="1" x14ac:dyDescent="0.2">
      <c r="A430" s="82" t="s">
        <v>3651</v>
      </c>
      <c r="B430" s="83">
        <v>45713</v>
      </c>
      <c r="C430" s="82" t="s">
        <v>3395</v>
      </c>
      <c r="D430" s="82" t="s">
        <v>2012</v>
      </c>
      <c r="E430" s="82"/>
      <c r="F430" s="82" t="s">
        <v>5649</v>
      </c>
      <c r="G430" s="89">
        <v>1</v>
      </c>
      <c r="H430" s="89">
        <v>2528</v>
      </c>
      <c r="I430" s="85">
        <v>0</v>
      </c>
      <c r="J430" s="85">
        <v>0</v>
      </c>
      <c r="K430" s="85">
        <v>2528</v>
      </c>
      <c r="L430" s="85">
        <v>3169</v>
      </c>
      <c r="M430" s="89">
        <v>3621.3873867421121</v>
      </c>
      <c r="N430" s="85">
        <v>0</v>
      </c>
      <c r="O430" s="85">
        <v>0</v>
      </c>
      <c r="P430" s="85">
        <v>3621.3873867421121</v>
      </c>
      <c r="Q430" s="85">
        <v>4539.6268309279085</v>
      </c>
      <c r="R430" s="82" t="s">
        <v>3399</v>
      </c>
      <c r="S430" s="7">
        <f t="shared" si="19"/>
        <v>0</v>
      </c>
      <c r="T430" s="6">
        <f t="shared" si="20"/>
        <v>0</v>
      </c>
      <c r="U430" s="25">
        <f t="shared" si="18"/>
        <v>0</v>
      </c>
    </row>
    <row r="431" spans="1:21" ht="10.9" customHeight="1" x14ac:dyDescent="0.2">
      <c r="A431" s="82" t="s">
        <v>3651</v>
      </c>
      <c r="B431" s="83">
        <v>45713</v>
      </c>
      <c r="C431" s="82" t="s">
        <v>3395</v>
      </c>
      <c r="D431" s="82" t="s">
        <v>2012</v>
      </c>
      <c r="E431" s="82"/>
      <c r="F431" s="82" t="s">
        <v>4459</v>
      </c>
      <c r="G431" s="89">
        <v>1</v>
      </c>
      <c r="H431" s="89">
        <v>641</v>
      </c>
      <c r="I431" s="85">
        <v>0</v>
      </c>
      <c r="J431" s="85">
        <v>0</v>
      </c>
      <c r="K431" s="85">
        <v>641</v>
      </c>
      <c r="L431" s="85">
        <v>3169</v>
      </c>
      <c r="M431" s="89">
        <v>918.23944418579663</v>
      </c>
      <c r="N431" s="85">
        <v>0</v>
      </c>
      <c r="O431" s="85">
        <v>0</v>
      </c>
      <c r="P431" s="85">
        <v>918.23944418579663</v>
      </c>
      <c r="Q431" s="85">
        <v>4539.6268309279085</v>
      </c>
      <c r="R431" s="82" t="s">
        <v>3399</v>
      </c>
      <c r="S431" s="7" t="str">
        <f t="shared" si="19"/>
        <v>INV12661</v>
      </c>
      <c r="T431" s="6">
        <f t="shared" si="20"/>
        <v>1</v>
      </c>
      <c r="U431" s="25">
        <f t="shared" si="18"/>
        <v>641</v>
      </c>
    </row>
    <row r="432" spans="1:21" ht="10.9" customHeight="1" x14ac:dyDescent="0.2">
      <c r="A432" s="82" t="s">
        <v>2312</v>
      </c>
      <c r="B432" s="83">
        <v>45713</v>
      </c>
      <c r="C432" s="82" t="s">
        <v>3395</v>
      </c>
      <c r="D432" s="82" t="s">
        <v>2188</v>
      </c>
      <c r="E432" s="82"/>
      <c r="F432" s="82" t="s">
        <v>5648</v>
      </c>
      <c r="G432" s="89">
        <v>1</v>
      </c>
      <c r="H432" s="89">
        <v>2160.83</v>
      </c>
      <c r="I432" s="85">
        <v>0</v>
      </c>
      <c r="J432" s="85">
        <v>0</v>
      </c>
      <c r="K432" s="85">
        <v>2160.83</v>
      </c>
      <c r="L432" s="85">
        <v>2160.83</v>
      </c>
      <c r="M432" s="89">
        <v>3092.2982692643445</v>
      </c>
      <c r="N432" s="85">
        <v>0</v>
      </c>
      <c r="O432" s="85">
        <v>0</v>
      </c>
      <c r="P432" s="85">
        <v>3092.2982692643445</v>
      </c>
      <c r="Q432" s="85">
        <v>3092.2982692643445</v>
      </c>
      <c r="R432" s="82" t="s">
        <v>3399</v>
      </c>
      <c r="S432" s="7">
        <f t="shared" si="19"/>
        <v>0</v>
      </c>
      <c r="T432" s="6">
        <f t="shared" si="20"/>
        <v>0</v>
      </c>
      <c r="U432" s="25">
        <f t="shared" si="18"/>
        <v>0</v>
      </c>
    </row>
    <row r="433" spans="1:21" ht="10.9" customHeight="1" x14ac:dyDescent="0.2">
      <c r="A433" s="82" t="s">
        <v>3653</v>
      </c>
      <c r="B433" s="83">
        <v>45713</v>
      </c>
      <c r="C433" s="82" t="s">
        <v>3395</v>
      </c>
      <c r="D433" s="82" t="s">
        <v>3652</v>
      </c>
      <c r="E433" s="82"/>
      <c r="F433" s="82" t="s">
        <v>5549</v>
      </c>
      <c r="G433" s="89">
        <v>1</v>
      </c>
      <c r="H433" s="89">
        <v>4225.34</v>
      </c>
      <c r="I433" s="85">
        <v>0</v>
      </c>
      <c r="J433" s="85">
        <v>549.29</v>
      </c>
      <c r="K433" s="85">
        <v>4774.63</v>
      </c>
      <c r="L433" s="85">
        <v>4774.63</v>
      </c>
      <c r="M433" s="89">
        <v>4225.34</v>
      </c>
      <c r="N433" s="85">
        <v>0</v>
      </c>
      <c r="O433" s="85">
        <v>549.29</v>
      </c>
      <c r="P433" s="85">
        <v>4774.63</v>
      </c>
      <c r="Q433" s="85">
        <v>4774.63</v>
      </c>
      <c r="R433" s="82" t="s">
        <v>3399</v>
      </c>
      <c r="S433" s="7">
        <f t="shared" si="19"/>
        <v>0</v>
      </c>
      <c r="T433" s="6">
        <f t="shared" si="20"/>
        <v>0</v>
      </c>
      <c r="U433" s="25">
        <f t="shared" si="18"/>
        <v>0</v>
      </c>
    </row>
    <row r="434" spans="1:21" ht="10.9" customHeight="1" x14ac:dyDescent="0.2">
      <c r="A434" s="82" t="s">
        <v>2411</v>
      </c>
      <c r="B434" s="83">
        <v>45713</v>
      </c>
      <c r="C434" s="82" t="s">
        <v>3395</v>
      </c>
      <c r="D434" s="82" t="s">
        <v>2022</v>
      </c>
      <c r="E434" s="82"/>
      <c r="F434" s="82" t="s">
        <v>5204</v>
      </c>
      <c r="G434" s="89">
        <v>1</v>
      </c>
      <c r="H434" s="89">
        <v>170.02</v>
      </c>
      <c r="I434" s="85">
        <v>0</v>
      </c>
      <c r="J434" s="85">
        <v>22.1</v>
      </c>
      <c r="K434" s="85">
        <v>192.12</v>
      </c>
      <c r="L434" s="85">
        <v>1165.53</v>
      </c>
      <c r="M434" s="89">
        <v>170.02</v>
      </c>
      <c r="N434" s="85">
        <v>0</v>
      </c>
      <c r="O434" s="85">
        <v>22.1</v>
      </c>
      <c r="P434" s="85">
        <v>192.12</v>
      </c>
      <c r="Q434" s="85">
        <v>1165.53</v>
      </c>
      <c r="R434" s="82" t="s">
        <v>3399</v>
      </c>
      <c r="S434" s="7">
        <f t="shared" si="19"/>
        <v>0</v>
      </c>
      <c r="T434" s="6">
        <f t="shared" si="20"/>
        <v>0</v>
      </c>
      <c r="U434" s="25">
        <f t="shared" si="18"/>
        <v>0</v>
      </c>
    </row>
    <row r="435" spans="1:21" ht="10.9" customHeight="1" x14ac:dyDescent="0.2">
      <c r="A435" s="82" t="s">
        <v>2411</v>
      </c>
      <c r="B435" s="83">
        <v>45713</v>
      </c>
      <c r="C435" s="82" t="s">
        <v>3395</v>
      </c>
      <c r="D435" s="82" t="s">
        <v>2022</v>
      </c>
      <c r="E435" s="82"/>
      <c r="F435" s="82" t="s">
        <v>5203</v>
      </c>
      <c r="G435" s="89">
        <v>1</v>
      </c>
      <c r="H435" s="89">
        <v>415.85</v>
      </c>
      <c r="I435" s="85">
        <v>0</v>
      </c>
      <c r="J435" s="85">
        <v>54.06</v>
      </c>
      <c r="K435" s="85">
        <v>469.91</v>
      </c>
      <c r="L435" s="85">
        <v>1165.53</v>
      </c>
      <c r="M435" s="89">
        <v>415.85</v>
      </c>
      <c r="N435" s="85">
        <v>0</v>
      </c>
      <c r="O435" s="85">
        <v>54.06</v>
      </c>
      <c r="P435" s="85">
        <v>469.91</v>
      </c>
      <c r="Q435" s="85">
        <v>1165.53</v>
      </c>
      <c r="R435" s="82" t="s">
        <v>3399</v>
      </c>
      <c r="S435" s="7">
        <f t="shared" si="19"/>
        <v>0</v>
      </c>
      <c r="T435" s="6">
        <f t="shared" si="20"/>
        <v>0</v>
      </c>
      <c r="U435" s="25">
        <f t="shared" si="18"/>
        <v>0</v>
      </c>
    </row>
    <row r="436" spans="1:21" ht="10.9" customHeight="1" x14ac:dyDescent="0.2">
      <c r="A436" s="82" t="s">
        <v>2411</v>
      </c>
      <c r="B436" s="83">
        <v>45713</v>
      </c>
      <c r="C436" s="82" t="s">
        <v>3395</v>
      </c>
      <c r="D436" s="82" t="s">
        <v>2022</v>
      </c>
      <c r="E436" s="82"/>
      <c r="F436" s="82" t="s">
        <v>5651</v>
      </c>
      <c r="G436" s="89">
        <v>2</v>
      </c>
      <c r="H436" s="89">
        <v>69.78</v>
      </c>
      <c r="I436" s="85">
        <v>0</v>
      </c>
      <c r="J436" s="85">
        <v>18.14</v>
      </c>
      <c r="K436" s="85">
        <v>157.69999999999999</v>
      </c>
      <c r="L436" s="85">
        <v>1165.53</v>
      </c>
      <c r="M436" s="89">
        <v>69.78</v>
      </c>
      <c r="N436" s="85">
        <v>0</v>
      </c>
      <c r="O436" s="85">
        <v>18.14</v>
      </c>
      <c r="P436" s="85">
        <v>157.69999999999999</v>
      </c>
      <c r="Q436" s="85">
        <v>1165.53</v>
      </c>
      <c r="R436" s="82" t="s">
        <v>3399</v>
      </c>
      <c r="S436" s="7">
        <f t="shared" si="19"/>
        <v>0</v>
      </c>
      <c r="T436" s="6">
        <f t="shared" si="20"/>
        <v>0</v>
      </c>
      <c r="U436" s="25">
        <f t="shared" si="18"/>
        <v>0</v>
      </c>
    </row>
    <row r="437" spans="1:21" ht="10.9" customHeight="1" x14ac:dyDescent="0.2">
      <c r="A437" s="82" t="s">
        <v>2411</v>
      </c>
      <c r="B437" s="83">
        <v>45713</v>
      </c>
      <c r="C437" s="82" t="s">
        <v>3395</v>
      </c>
      <c r="D437" s="82" t="s">
        <v>2022</v>
      </c>
      <c r="E437" s="82"/>
      <c r="F437" s="82" t="s">
        <v>5202</v>
      </c>
      <c r="G437" s="89">
        <v>1</v>
      </c>
      <c r="H437" s="89">
        <v>75.790000000000006</v>
      </c>
      <c r="I437" s="85">
        <v>0</v>
      </c>
      <c r="J437" s="85">
        <v>9.85</v>
      </c>
      <c r="K437" s="85">
        <v>85.64</v>
      </c>
      <c r="L437" s="85">
        <v>1165.53</v>
      </c>
      <c r="M437" s="89">
        <v>75.790000000000006</v>
      </c>
      <c r="N437" s="85">
        <v>0</v>
      </c>
      <c r="O437" s="85">
        <v>9.85</v>
      </c>
      <c r="P437" s="85">
        <v>85.64</v>
      </c>
      <c r="Q437" s="85">
        <v>1165.53</v>
      </c>
      <c r="R437" s="82" t="s">
        <v>3399</v>
      </c>
      <c r="S437" s="7">
        <f t="shared" si="19"/>
        <v>0</v>
      </c>
      <c r="T437" s="6">
        <f t="shared" si="20"/>
        <v>0</v>
      </c>
      <c r="U437" s="25">
        <f t="shared" si="18"/>
        <v>0</v>
      </c>
    </row>
    <row r="438" spans="1:21" ht="10.9" customHeight="1" x14ac:dyDescent="0.2">
      <c r="A438" s="82" t="s">
        <v>2411</v>
      </c>
      <c r="B438" s="83">
        <v>45713</v>
      </c>
      <c r="C438" s="82" t="s">
        <v>3395</v>
      </c>
      <c r="D438" s="82" t="s">
        <v>2022</v>
      </c>
      <c r="E438" s="82"/>
      <c r="F438" s="82" t="s">
        <v>5201</v>
      </c>
      <c r="G438" s="89">
        <v>1</v>
      </c>
      <c r="H438" s="89">
        <v>25.72</v>
      </c>
      <c r="I438" s="85">
        <v>0</v>
      </c>
      <c r="J438" s="85">
        <v>3.34</v>
      </c>
      <c r="K438" s="85">
        <v>29.06</v>
      </c>
      <c r="L438" s="85">
        <v>1165.53</v>
      </c>
      <c r="M438" s="89">
        <v>25.72</v>
      </c>
      <c r="N438" s="85">
        <v>0</v>
      </c>
      <c r="O438" s="85">
        <v>3.34</v>
      </c>
      <c r="P438" s="85">
        <v>29.06</v>
      </c>
      <c r="Q438" s="85">
        <v>1165.53</v>
      </c>
      <c r="R438" s="82" t="s">
        <v>3399</v>
      </c>
      <c r="S438" s="7">
        <f t="shared" si="19"/>
        <v>0</v>
      </c>
      <c r="T438" s="6">
        <f t="shared" si="20"/>
        <v>0</v>
      </c>
      <c r="U438" s="25">
        <f t="shared" si="18"/>
        <v>0</v>
      </c>
    </row>
    <row r="439" spans="1:21" ht="10.9" customHeight="1" x14ac:dyDescent="0.2">
      <c r="A439" s="82" t="s">
        <v>2411</v>
      </c>
      <c r="B439" s="83">
        <v>45713</v>
      </c>
      <c r="C439" s="82" t="s">
        <v>3395</v>
      </c>
      <c r="D439" s="82" t="s">
        <v>2022</v>
      </c>
      <c r="E439" s="82"/>
      <c r="F439" s="82" t="s">
        <v>5200</v>
      </c>
      <c r="G439" s="89">
        <v>1</v>
      </c>
      <c r="H439" s="89">
        <v>12.96</v>
      </c>
      <c r="I439" s="85">
        <v>0</v>
      </c>
      <c r="J439" s="85">
        <v>1.68</v>
      </c>
      <c r="K439" s="85">
        <v>14.64</v>
      </c>
      <c r="L439" s="85">
        <v>1165.53</v>
      </c>
      <c r="M439" s="89">
        <v>12.96</v>
      </c>
      <c r="N439" s="85">
        <v>0</v>
      </c>
      <c r="O439" s="85">
        <v>1.68</v>
      </c>
      <c r="P439" s="85">
        <v>14.64</v>
      </c>
      <c r="Q439" s="85">
        <v>1165.53</v>
      </c>
      <c r="R439" s="82" t="s">
        <v>3399</v>
      </c>
      <c r="S439" s="7">
        <f t="shared" si="19"/>
        <v>0</v>
      </c>
      <c r="T439" s="6">
        <f t="shared" si="20"/>
        <v>0</v>
      </c>
      <c r="U439" s="25">
        <f t="shared" si="18"/>
        <v>0</v>
      </c>
    </row>
    <row r="440" spans="1:21" ht="10.9" customHeight="1" x14ac:dyDescent="0.2">
      <c r="A440" s="82" t="s">
        <v>2411</v>
      </c>
      <c r="B440" s="83">
        <v>45713</v>
      </c>
      <c r="C440" s="82" t="s">
        <v>3395</v>
      </c>
      <c r="D440" s="82" t="s">
        <v>2022</v>
      </c>
      <c r="E440" s="82"/>
      <c r="F440" s="82" t="s">
        <v>5650</v>
      </c>
      <c r="G440" s="89">
        <v>1</v>
      </c>
      <c r="H440" s="89">
        <v>191.56</v>
      </c>
      <c r="I440" s="85">
        <v>0</v>
      </c>
      <c r="J440" s="85">
        <v>24.9</v>
      </c>
      <c r="K440" s="85">
        <v>216.46</v>
      </c>
      <c r="L440" s="85">
        <v>1165.53</v>
      </c>
      <c r="M440" s="89">
        <v>191.56</v>
      </c>
      <c r="N440" s="85">
        <v>0</v>
      </c>
      <c r="O440" s="85">
        <v>24.9</v>
      </c>
      <c r="P440" s="85">
        <v>216.46</v>
      </c>
      <c r="Q440" s="85">
        <v>1165.53</v>
      </c>
      <c r="R440" s="82" t="s">
        <v>3399</v>
      </c>
      <c r="S440" s="7">
        <f t="shared" si="19"/>
        <v>0</v>
      </c>
      <c r="T440" s="6">
        <f t="shared" si="20"/>
        <v>0</v>
      </c>
      <c r="U440" s="25">
        <f t="shared" si="18"/>
        <v>0</v>
      </c>
    </row>
    <row r="441" spans="1:21" ht="10.9" customHeight="1" x14ac:dyDescent="0.2">
      <c r="A441" s="82" t="s">
        <v>2475</v>
      </c>
      <c r="B441" s="83">
        <v>45713</v>
      </c>
      <c r="C441" s="82" t="s">
        <v>3395</v>
      </c>
      <c r="D441" s="82" t="s">
        <v>1912</v>
      </c>
      <c r="E441" s="82"/>
      <c r="F441" s="82" t="s">
        <v>4683</v>
      </c>
      <c r="G441" s="89">
        <v>1</v>
      </c>
      <c r="H441" s="89">
        <v>149.94</v>
      </c>
      <c r="I441" s="85">
        <v>0</v>
      </c>
      <c r="J441" s="85">
        <v>19.489999999999998</v>
      </c>
      <c r="K441" s="85">
        <v>169.43</v>
      </c>
      <c r="L441" s="85">
        <v>169.43</v>
      </c>
      <c r="M441" s="89">
        <v>149.94</v>
      </c>
      <c r="N441" s="85">
        <v>0</v>
      </c>
      <c r="O441" s="85">
        <v>19.489999999999998</v>
      </c>
      <c r="P441" s="85">
        <v>169.43</v>
      </c>
      <c r="Q441" s="85">
        <v>169.43</v>
      </c>
      <c r="R441" s="82" t="s">
        <v>3399</v>
      </c>
      <c r="S441" s="7">
        <f t="shared" si="19"/>
        <v>0</v>
      </c>
      <c r="T441" s="6">
        <f t="shared" si="20"/>
        <v>0</v>
      </c>
      <c r="U441" s="25">
        <f t="shared" si="18"/>
        <v>0</v>
      </c>
    </row>
    <row r="442" spans="1:21" ht="10.9" customHeight="1" x14ac:dyDescent="0.2">
      <c r="A442" s="82" t="s">
        <v>3656</v>
      </c>
      <c r="B442" s="83">
        <v>45713</v>
      </c>
      <c r="C442" s="82" t="s">
        <v>3395</v>
      </c>
      <c r="D442" s="82" t="s">
        <v>3655</v>
      </c>
      <c r="E442" s="82"/>
      <c r="F442" s="82" t="s">
        <v>5491</v>
      </c>
      <c r="G442" s="89">
        <v>1</v>
      </c>
      <c r="H442" s="89">
        <v>4222.08</v>
      </c>
      <c r="I442" s="85">
        <v>0</v>
      </c>
      <c r="J442" s="85">
        <v>548.87</v>
      </c>
      <c r="K442" s="85">
        <v>4770.95</v>
      </c>
      <c r="L442" s="85">
        <v>4770.95</v>
      </c>
      <c r="M442" s="89">
        <v>4222.08</v>
      </c>
      <c r="N442" s="85">
        <v>0</v>
      </c>
      <c r="O442" s="85">
        <v>548.87</v>
      </c>
      <c r="P442" s="85">
        <v>4770.95</v>
      </c>
      <c r="Q442" s="85">
        <v>4770.95</v>
      </c>
      <c r="R442" s="82" t="s">
        <v>3399</v>
      </c>
      <c r="S442" s="7">
        <f t="shared" si="19"/>
        <v>0</v>
      </c>
      <c r="T442" s="6">
        <f t="shared" si="20"/>
        <v>0</v>
      </c>
      <c r="U442" s="25">
        <f t="shared" si="18"/>
        <v>0</v>
      </c>
    </row>
    <row r="443" spans="1:21" ht="10.9" customHeight="1" x14ac:dyDescent="0.2">
      <c r="A443" s="82" t="s">
        <v>2473</v>
      </c>
      <c r="B443" s="83">
        <v>45713</v>
      </c>
      <c r="C443" s="82" t="s">
        <v>3395</v>
      </c>
      <c r="D443" s="82" t="s">
        <v>1916</v>
      </c>
      <c r="E443" s="82"/>
      <c r="F443" s="82" t="s">
        <v>4671</v>
      </c>
      <c r="G443" s="89">
        <v>1</v>
      </c>
      <c r="H443" s="89">
        <v>21.59</v>
      </c>
      <c r="I443" s="85">
        <v>0</v>
      </c>
      <c r="J443" s="85">
        <v>2.81</v>
      </c>
      <c r="K443" s="85">
        <v>24.4</v>
      </c>
      <c r="L443" s="85">
        <v>510.16</v>
      </c>
      <c r="M443" s="89">
        <v>21.59</v>
      </c>
      <c r="N443" s="85">
        <v>0</v>
      </c>
      <c r="O443" s="85">
        <v>2.81</v>
      </c>
      <c r="P443" s="85">
        <v>24.4</v>
      </c>
      <c r="Q443" s="85">
        <v>510.16</v>
      </c>
      <c r="R443" s="82" t="s">
        <v>3399</v>
      </c>
      <c r="S443" s="7">
        <f t="shared" si="19"/>
        <v>0</v>
      </c>
      <c r="T443" s="6">
        <f t="shared" si="20"/>
        <v>0</v>
      </c>
      <c r="U443" s="25">
        <f t="shared" si="18"/>
        <v>0</v>
      </c>
    </row>
    <row r="444" spans="1:21" ht="10.9" customHeight="1" x14ac:dyDescent="0.2">
      <c r="A444" s="82" t="s">
        <v>2473</v>
      </c>
      <c r="B444" s="83">
        <v>45713</v>
      </c>
      <c r="C444" s="82" t="s">
        <v>3395</v>
      </c>
      <c r="D444" s="82" t="s">
        <v>1916</v>
      </c>
      <c r="E444" s="82"/>
      <c r="F444" s="82" t="s">
        <v>5364</v>
      </c>
      <c r="G444" s="89">
        <v>1</v>
      </c>
      <c r="H444" s="89">
        <v>429.88</v>
      </c>
      <c r="I444" s="85">
        <v>0</v>
      </c>
      <c r="J444" s="85">
        <v>55.88</v>
      </c>
      <c r="K444" s="85">
        <v>485.76</v>
      </c>
      <c r="L444" s="85">
        <v>510.16</v>
      </c>
      <c r="M444" s="89">
        <v>429.88</v>
      </c>
      <c r="N444" s="85">
        <v>0</v>
      </c>
      <c r="O444" s="85">
        <v>55.88</v>
      </c>
      <c r="P444" s="85">
        <v>485.76</v>
      </c>
      <c r="Q444" s="85">
        <v>510.16</v>
      </c>
      <c r="R444" s="82" t="s">
        <v>3399</v>
      </c>
      <c r="S444" s="7">
        <f t="shared" si="19"/>
        <v>0</v>
      </c>
      <c r="T444" s="6">
        <f t="shared" si="20"/>
        <v>0</v>
      </c>
      <c r="U444" s="25">
        <f t="shared" si="18"/>
        <v>0</v>
      </c>
    </row>
    <row r="445" spans="1:21" ht="10.9" customHeight="1" x14ac:dyDescent="0.2">
      <c r="A445" s="82" t="s">
        <v>2458</v>
      </c>
      <c r="B445" s="83">
        <v>45713</v>
      </c>
      <c r="C445" s="82" t="s">
        <v>3395</v>
      </c>
      <c r="D445" s="82" t="s">
        <v>1945</v>
      </c>
      <c r="E445" s="82"/>
      <c r="F445" s="82" t="s">
        <v>5266</v>
      </c>
      <c r="G445" s="89">
        <v>1</v>
      </c>
      <c r="H445" s="89">
        <v>425.21</v>
      </c>
      <c r="I445" s="85">
        <v>0</v>
      </c>
      <c r="J445" s="85">
        <v>55.28</v>
      </c>
      <c r="K445" s="85">
        <v>480.49</v>
      </c>
      <c r="L445" s="85">
        <v>502.24</v>
      </c>
      <c r="M445" s="89">
        <v>425.21</v>
      </c>
      <c r="N445" s="85">
        <v>0</v>
      </c>
      <c r="O445" s="85">
        <v>55.28</v>
      </c>
      <c r="P445" s="85">
        <v>480.49</v>
      </c>
      <c r="Q445" s="85">
        <v>502.24</v>
      </c>
      <c r="R445" s="82" t="s">
        <v>3399</v>
      </c>
      <c r="S445" s="7">
        <f t="shared" si="19"/>
        <v>0</v>
      </c>
      <c r="T445" s="6">
        <f t="shared" si="20"/>
        <v>0</v>
      </c>
      <c r="U445" s="25">
        <f t="shared" si="18"/>
        <v>0</v>
      </c>
    </row>
    <row r="446" spans="1:21" ht="10.9" customHeight="1" x14ac:dyDescent="0.2">
      <c r="A446" s="82" t="s">
        <v>2458</v>
      </c>
      <c r="B446" s="83">
        <v>45713</v>
      </c>
      <c r="C446" s="82" t="s">
        <v>3395</v>
      </c>
      <c r="D446" s="82" t="s">
        <v>1945</v>
      </c>
      <c r="E446" s="82"/>
      <c r="F446" s="82" t="s">
        <v>5195</v>
      </c>
      <c r="G446" s="89">
        <v>1</v>
      </c>
      <c r="H446" s="89">
        <v>19.25</v>
      </c>
      <c r="I446" s="85">
        <v>0</v>
      </c>
      <c r="J446" s="85">
        <v>2.5</v>
      </c>
      <c r="K446" s="85">
        <v>21.75</v>
      </c>
      <c r="L446" s="85">
        <v>502.24</v>
      </c>
      <c r="M446" s="89">
        <v>19.25</v>
      </c>
      <c r="N446" s="85">
        <v>0</v>
      </c>
      <c r="O446" s="85">
        <v>2.5</v>
      </c>
      <c r="P446" s="85">
        <v>21.75</v>
      </c>
      <c r="Q446" s="85">
        <v>502.24</v>
      </c>
      <c r="R446" s="82" t="s">
        <v>3399</v>
      </c>
      <c r="S446" s="7">
        <f t="shared" si="19"/>
        <v>0</v>
      </c>
      <c r="T446" s="6">
        <f t="shared" si="20"/>
        <v>0</v>
      </c>
      <c r="U446" s="25">
        <f t="shared" si="18"/>
        <v>0</v>
      </c>
    </row>
    <row r="447" spans="1:21" ht="10.9" customHeight="1" x14ac:dyDescent="0.2">
      <c r="A447" s="82" t="s">
        <v>2468</v>
      </c>
      <c r="B447" s="83">
        <v>45713</v>
      </c>
      <c r="C447" s="82" t="s">
        <v>3395</v>
      </c>
      <c r="D447" s="82" t="s">
        <v>1924</v>
      </c>
      <c r="E447" s="82"/>
      <c r="F447" s="82" t="s">
        <v>4397</v>
      </c>
      <c r="G447" s="89">
        <v>2</v>
      </c>
      <c r="H447" s="89">
        <v>1492.52</v>
      </c>
      <c r="I447" s="85">
        <v>0</v>
      </c>
      <c r="J447" s="85">
        <v>149.25</v>
      </c>
      <c r="K447" s="85">
        <v>3134.29</v>
      </c>
      <c r="L447" s="85">
        <v>3134.29</v>
      </c>
      <c r="M447" s="89">
        <v>1492.52</v>
      </c>
      <c r="N447" s="85">
        <v>0</v>
      </c>
      <c r="O447" s="85">
        <v>149.25</v>
      </c>
      <c r="P447" s="85">
        <v>3134.29</v>
      </c>
      <c r="Q447" s="85">
        <v>3134.29</v>
      </c>
      <c r="R447" s="82" t="s">
        <v>3399</v>
      </c>
      <c r="S447" s="7">
        <f t="shared" si="19"/>
        <v>0</v>
      </c>
      <c r="T447" s="6">
        <f t="shared" si="20"/>
        <v>0</v>
      </c>
      <c r="U447" s="25">
        <f t="shared" si="18"/>
        <v>0</v>
      </c>
    </row>
    <row r="448" spans="1:21" ht="10.9" customHeight="1" x14ac:dyDescent="0.2">
      <c r="A448" s="82" t="s">
        <v>2453</v>
      </c>
      <c r="B448" s="83">
        <v>45713</v>
      </c>
      <c r="C448" s="82" t="s">
        <v>3395</v>
      </c>
      <c r="D448" s="82" t="s">
        <v>1951</v>
      </c>
      <c r="E448" s="82"/>
      <c r="F448" s="82" t="s">
        <v>4498</v>
      </c>
      <c r="G448" s="89">
        <v>2</v>
      </c>
      <c r="H448" s="89">
        <v>754.36</v>
      </c>
      <c r="I448" s="85">
        <v>0</v>
      </c>
      <c r="J448" s="85">
        <v>75.44</v>
      </c>
      <c r="K448" s="85">
        <v>1584.16</v>
      </c>
      <c r="L448" s="85">
        <v>1584.16</v>
      </c>
      <c r="M448" s="89">
        <v>754.36</v>
      </c>
      <c r="N448" s="85">
        <v>0</v>
      </c>
      <c r="O448" s="85">
        <v>75.44</v>
      </c>
      <c r="P448" s="85">
        <v>1584.16</v>
      </c>
      <c r="Q448" s="85">
        <v>1584.16</v>
      </c>
      <c r="R448" s="82" t="s">
        <v>3399</v>
      </c>
      <c r="S448" s="7">
        <f t="shared" si="19"/>
        <v>0</v>
      </c>
      <c r="T448" s="6">
        <f t="shared" si="20"/>
        <v>0</v>
      </c>
      <c r="U448" s="25">
        <f t="shared" si="18"/>
        <v>0</v>
      </c>
    </row>
    <row r="449" spans="1:21" ht="10.9" customHeight="1" x14ac:dyDescent="0.2">
      <c r="A449" s="82" t="s">
        <v>2455</v>
      </c>
      <c r="B449" s="83">
        <v>45713</v>
      </c>
      <c r="C449" s="82" t="s">
        <v>3395</v>
      </c>
      <c r="D449" s="82" t="s">
        <v>1947</v>
      </c>
      <c r="E449" s="82"/>
      <c r="F449" s="82" t="s">
        <v>5450</v>
      </c>
      <c r="G449" s="89">
        <v>4</v>
      </c>
      <c r="H449" s="89">
        <v>22.78</v>
      </c>
      <c r="I449" s="85">
        <v>0</v>
      </c>
      <c r="J449" s="85">
        <v>4.5599999999999996</v>
      </c>
      <c r="K449" s="85">
        <v>95.68</v>
      </c>
      <c r="L449" s="85">
        <v>305.43</v>
      </c>
      <c r="M449" s="89">
        <v>22.78</v>
      </c>
      <c r="N449" s="85">
        <v>0</v>
      </c>
      <c r="O449" s="85">
        <v>4.5599999999999996</v>
      </c>
      <c r="P449" s="85">
        <v>95.68</v>
      </c>
      <c r="Q449" s="85">
        <v>305.43</v>
      </c>
      <c r="R449" s="82" t="s">
        <v>3399</v>
      </c>
      <c r="S449" s="7">
        <f t="shared" si="19"/>
        <v>0</v>
      </c>
      <c r="T449" s="6">
        <f t="shared" si="20"/>
        <v>0</v>
      </c>
      <c r="U449" s="25">
        <f t="shared" si="18"/>
        <v>0</v>
      </c>
    </row>
    <row r="450" spans="1:21" ht="10.9" customHeight="1" x14ac:dyDescent="0.2">
      <c r="A450" s="82" t="s">
        <v>2455</v>
      </c>
      <c r="B450" s="83">
        <v>45713</v>
      </c>
      <c r="C450" s="82" t="s">
        <v>3395</v>
      </c>
      <c r="D450" s="82" t="s">
        <v>1947</v>
      </c>
      <c r="E450" s="82"/>
      <c r="F450" s="82" t="s">
        <v>5075</v>
      </c>
      <c r="G450" s="89">
        <v>8</v>
      </c>
      <c r="H450" s="89">
        <v>24.97</v>
      </c>
      <c r="I450" s="85">
        <v>0</v>
      </c>
      <c r="J450" s="85">
        <v>9.99</v>
      </c>
      <c r="K450" s="85">
        <v>209.75</v>
      </c>
      <c r="L450" s="85">
        <v>305.43</v>
      </c>
      <c r="M450" s="89">
        <v>24.97</v>
      </c>
      <c r="N450" s="85">
        <v>0</v>
      </c>
      <c r="O450" s="85">
        <v>9.99</v>
      </c>
      <c r="P450" s="85">
        <v>209.75</v>
      </c>
      <c r="Q450" s="85">
        <v>305.43</v>
      </c>
      <c r="R450" s="82" t="s">
        <v>3399</v>
      </c>
      <c r="S450" s="7">
        <f t="shared" si="19"/>
        <v>0</v>
      </c>
      <c r="T450" s="6">
        <f t="shared" si="20"/>
        <v>0</v>
      </c>
      <c r="U450" s="25">
        <f t="shared" ref="U450:U513" si="21">IF(T450=1,K450-J450,0)</f>
        <v>0</v>
      </c>
    </row>
    <row r="451" spans="1:21" ht="10.9" customHeight="1" x14ac:dyDescent="0.2">
      <c r="A451" s="82" t="s">
        <v>2446</v>
      </c>
      <c r="B451" s="83">
        <v>45714</v>
      </c>
      <c r="C451" s="82" t="s">
        <v>3395</v>
      </c>
      <c r="D451" s="82" t="s">
        <v>1966</v>
      </c>
      <c r="E451" s="82"/>
      <c r="F451" s="82" t="s">
        <v>4553</v>
      </c>
      <c r="G451" s="89">
        <v>2</v>
      </c>
      <c r="H451" s="89">
        <v>693.99</v>
      </c>
      <c r="I451" s="85">
        <v>0</v>
      </c>
      <c r="J451" s="85">
        <v>0</v>
      </c>
      <c r="K451" s="85">
        <v>1387.98</v>
      </c>
      <c r="L451" s="85">
        <v>5272.46</v>
      </c>
      <c r="M451" s="89">
        <v>996.40341998147869</v>
      </c>
      <c r="N451" s="85">
        <v>0</v>
      </c>
      <c r="O451" s="85">
        <v>0</v>
      </c>
      <c r="P451" s="85">
        <v>1992.8068399629574</v>
      </c>
      <c r="Q451" s="85">
        <v>7569.9897343125222</v>
      </c>
      <c r="R451" s="82" t="s">
        <v>3399</v>
      </c>
      <c r="S451" s="7">
        <f t="shared" ref="S451:S514" si="22">IF(T451=1,A451,0)</f>
        <v>0</v>
      </c>
      <c r="T451" s="6">
        <f t="shared" ref="T451:T514" si="23">IFERROR(FIND("Freight",F451,1),0)</f>
        <v>0</v>
      </c>
      <c r="U451" s="25">
        <f t="shared" si="21"/>
        <v>0</v>
      </c>
    </row>
    <row r="452" spans="1:21" ht="10.9" customHeight="1" x14ac:dyDescent="0.2">
      <c r="A452" s="82" t="s">
        <v>2446</v>
      </c>
      <c r="B452" s="83">
        <v>45714</v>
      </c>
      <c r="C452" s="82" t="s">
        <v>3395</v>
      </c>
      <c r="D452" s="82" t="s">
        <v>1966</v>
      </c>
      <c r="E452" s="82"/>
      <c r="F452" s="82" t="s">
        <v>4685</v>
      </c>
      <c r="G452" s="89">
        <v>2</v>
      </c>
      <c r="H452" s="89">
        <v>889.26</v>
      </c>
      <c r="I452" s="85">
        <v>0</v>
      </c>
      <c r="J452" s="85">
        <v>0</v>
      </c>
      <c r="K452" s="85">
        <v>1778.52</v>
      </c>
      <c r="L452" s="85">
        <v>5272.46</v>
      </c>
      <c r="M452" s="89">
        <v>1276.7643701677687</v>
      </c>
      <c r="N452" s="85">
        <v>0</v>
      </c>
      <c r="O452" s="85">
        <v>0</v>
      </c>
      <c r="P452" s="85">
        <v>2553.5287403355373</v>
      </c>
      <c r="Q452" s="85">
        <v>7569.9897343125222</v>
      </c>
      <c r="R452" s="82" t="s">
        <v>3399</v>
      </c>
      <c r="S452" s="7">
        <f t="shared" si="22"/>
        <v>0</v>
      </c>
      <c r="T452" s="6">
        <f t="shared" si="23"/>
        <v>0</v>
      </c>
      <c r="U452" s="25">
        <f t="shared" si="21"/>
        <v>0</v>
      </c>
    </row>
    <row r="453" spans="1:21" ht="10.9" customHeight="1" x14ac:dyDescent="0.2">
      <c r="A453" s="82" t="s">
        <v>2446</v>
      </c>
      <c r="B453" s="83">
        <v>45714</v>
      </c>
      <c r="C453" s="82" t="s">
        <v>3395</v>
      </c>
      <c r="D453" s="82" t="s">
        <v>1966</v>
      </c>
      <c r="E453" s="82"/>
      <c r="F453" s="82" t="s">
        <v>4448</v>
      </c>
      <c r="G453" s="89">
        <v>2</v>
      </c>
      <c r="H453" s="89">
        <v>757.98</v>
      </c>
      <c r="I453" s="85">
        <v>0</v>
      </c>
      <c r="J453" s="85">
        <v>0</v>
      </c>
      <c r="K453" s="85">
        <v>1515.96</v>
      </c>
      <c r="L453" s="85">
        <v>5272.46</v>
      </c>
      <c r="M453" s="89">
        <v>1088.2777335084961</v>
      </c>
      <c r="N453" s="85">
        <v>0</v>
      </c>
      <c r="O453" s="85">
        <v>0</v>
      </c>
      <c r="P453" s="85">
        <v>2176.5554670169922</v>
      </c>
      <c r="Q453" s="85">
        <v>7569.9897343125222</v>
      </c>
      <c r="R453" s="82" t="s">
        <v>3399</v>
      </c>
      <c r="S453" s="7">
        <f t="shared" si="22"/>
        <v>0</v>
      </c>
      <c r="T453" s="6">
        <f t="shared" si="23"/>
        <v>0</v>
      </c>
      <c r="U453" s="25">
        <f t="shared" si="21"/>
        <v>0</v>
      </c>
    </row>
    <row r="454" spans="1:21" ht="10.9" customHeight="1" x14ac:dyDescent="0.2">
      <c r="A454" s="82" t="s">
        <v>2446</v>
      </c>
      <c r="B454" s="83">
        <v>45714</v>
      </c>
      <c r="C454" s="82" t="s">
        <v>3395</v>
      </c>
      <c r="D454" s="82" t="s">
        <v>1966</v>
      </c>
      <c r="E454" s="82"/>
      <c r="F454" s="82" t="s">
        <v>4393</v>
      </c>
      <c r="G454" s="89">
        <v>1</v>
      </c>
      <c r="H454" s="89">
        <v>590</v>
      </c>
      <c r="I454" s="85">
        <v>0</v>
      </c>
      <c r="J454" s="85">
        <v>0</v>
      </c>
      <c r="K454" s="85">
        <v>590</v>
      </c>
      <c r="L454" s="85">
        <v>5272.46</v>
      </c>
      <c r="M454" s="89">
        <v>847.0986869970352</v>
      </c>
      <c r="N454" s="85">
        <v>0</v>
      </c>
      <c r="O454" s="85">
        <v>0</v>
      </c>
      <c r="P454" s="85">
        <v>847.0986869970352</v>
      </c>
      <c r="Q454" s="85">
        <v>7569.9897343125222</v>
      </c>
      <c r="R454" s="82" t="s">
        <v>3399</v>
      </c>
      <c r="S454" s="7" t="str">
        <f t="shared" si="22"/>
        <v>INV12672</v>
      </c>
      <c r="T454" s="6">
        <f t="shared" si="23"/>
        <v>1</v>
      </c>
      <c r="U454" s="25">
        <f t="shared" si="21"/>
        <v>590</v>
      </c>
    </row>
    <row r="455" spans="1:21" ht="10.9" customHeight="1" x14ac:dyDescent="0.2">
      <c r="A455" s="82" t="s">
        <v>2478</v>
      </c>
      <c r="B455" s="83">
        <v>45714</v>
      </c>
      <c r="C455" s="82" t="s">
        <v>3395</v>
      </c>
      <c r="D455" s="82" t="s">
        <v>1906</v>
      </c>
      <c r="E455" s="82"/>
      <c r="F455" s="82" t="s">
        <v>4587</v>
      </c>
      <c r="G455" s="89">
        <v>1</v>
      </c>
      <c r="H455" s="89">
        <v>48.94</v>
      </c>
      <c r="I455" s="85">
        <v>0</v>
      </c>
      <c r="J455" s="85">
        <v>6.36</v>
      </c>
      <c r="K455" s="85">
        <v>55.3</v>
      </c>
      <c r="L455" s="85">
        <v>132.66</v>
      </c>
      <c r="M455" s="89">
        <v>48.94</v>
      </c>
      <c r="N455" s="85">
        <v>0</v>
      </c>
      <c r="O455" s="85">
        <v>6.36</v>
      </c>
      <c r="P455" s="85">
        <v>55.3</v>
      </c>
      <c r="Q455" s="85">
        <v>132.66</v>
      </c>
      <c r="R455" s="82" t="s">
        <v>3399</v>
      </c>
      <c r="S455" s="7">
        <f t="shared" si="22"/>
        <v>0</v>
      </c>
      <c r="T455" s="6">
        <f t="shared" si="23"/>
        <v>0</v>
      </c>
      <c r="U455" s="25">
        <f t="shared" si="21"/>
        <v>0</v>
      </c>
    </row>
    <row r="456" spans="1:21" ht="10.9" customHeight="1" x14ac:dyDescent="0.2">
      <c r="A456" s="82" t="s">
        <v>2478</v>
      </c>
      <c r="B456" s="83">
        <v>45714</v>
      </c>
      <c r="C456" s="82" t="s">
        <v>3395</v>
      </c>
      <c r="D456" s="82" t="s">
        <v>1906</v>
      </c>
      <c r="E456" s="82"/>
      <c r="F456" s="82" t="s">
        <v>4588</v>
      </c>
      <c r="G456" s="89">
        <v>1</v>
      </c>
      <c r="H456" s="89">
        <v>48.94</v>
      </c>
      <c r="I456" s="85">
        <v>0</v>
      </c>
      <c r="J456" s="85">
        <v>6.36</v>
      </c>
      <c r="K456" s="85">
        <v>55.3</v>
      </c>
      <c r="L456" s="85">
        <v>132.66</v>
      </c>
      <c r="M456" s="89">
        <v>48.94</v>
      </c>
      <c r="N456" s="85">
        <v>0</v>
      </c>
      <c r="O456" s="85">
        <v>6.36</v>
      </c>
      <c r="P456" s="85">
        <v>55.3</v>
      </c>
      <c r="Q456" s="85">
        <v>132.66</v>
      </c>
      <c r="R456" s="82" t="s">
        <v>3399</v>
      </c>
      <c r="S456" s="7">
        <f t="shared" si="22"/>
        <v>0</v>
      </c>
      <c r="T456" s="6">
        <f t="shared" si="23"/>
        <v>0</v>
      </c>
      <c r="U456" s="25">
        <f t="shared" si="21"/>
        <v>0</v>
      </c>
    </row>
    <row r="457" spans="1:21" ht="10.9" customHeight="1" x14ac:dyDescent="0.2">
      <c r="A457" s="82" t="s">
        <v>2478</v>
      </c>
      <c r="B457" s="83">
        <v>45714</v>
      </c>
      <c r="C457" s="82" t="s">
        <v>3395</v>
      </c>
      <c r="D457" s="82" t="s">
        <v>1906</v>
      </c>
      <c r="E457" s="82"/>
      <c r="F457" s="82" t="s">
        <v>4439</v>
      </c>
      <c r="G457" s="89">
        <v>1</v>
      </c>
      <c r="H457" s="89">
        <v>19.52</v>
      </c>
      <c r="I457" s="85">
        <v>0</v>
      </c>
      <c r="J457" s="85">
        <v>2.54</v>
      </c>
      <c r="K457" s="85">
        <v>22.06</v>
      </c>
      <c r="L457" s="85">
        <v>132.66</v>
      </c>
      <c r="M457" s="89">
        <v>19.52</v>
      </c>
      <c r="N457" s="85">
        <v>0</v>
      </c>
      <c r="O457" s="85">
        <v>2.54</v>
      </c>
      <c r="P457" s="85">
        <v>22.06</v>
      </c>
      <c r="Q457" s="85">
        <v>132.66</v>
      </c>
      <c r="R457" s="82" t="s">
        <v>3399</v>
      </c>
      <c r="S457" s="7">
        <f t="shared" si="22"/>
        <v>0</v>
      </c>
      <c r="T457" s="6">
        <f t="shared" si="23"/>
        <v>0</v>
      </c>
      <c r="U457" s="25">
        <f t="shared" si="21"/>
        <v>0</v>
      </c>
    </row>
    <row r="458" spans="1:21" ht="10.9" customHeight="1" x14ac:dyDescent="0.2">
      <c r="A458" s="82" t="s">
        <v>3647</v>
      </c>
      <c r="B458" s="83">
        <v>45714</v>
      </c>
      <c r="C458" s="82" t="s">
        <v>3395</v>
      </c>
      <c r="D458" s="82" t="s">
        <v>3646</v>
      </c>
      <c r="E458" s="82"/>
      <c r="F458" s="82" t="s">
        <v>5647</v>
      </c>
      <c r="G458" s="89">
        <v>1</v>
      </c>
      <c r="H458" s="89">
        <v>786.1</v>
      </c>
      <c r="I458" s="85">
        <v>0</v>
      </c>
      <c r="J458" s="85">
        <v>39.31</v>
      </c>
      <c r="K458" s="85">
        <v>825.41</v>
      </c>
      <c r="L458" s="85">
        <v>825.41</v>
      </c>
      <c r="M458" s="89">
        <v>786.1</v>
      </c>
      <c r="N458" s="85">
        <v>0</v>
      </c>
      <c r="O458" s="85">
        <v>39.31</v>
      </c>
      <c r="P458" s="85">
        <v>825.41</v>
      </c>
      <c r="Q458" s="85">
        <v>825.41</v>
      </c>
      <c r="R458" s="82" t="s">
        <v>3399</v>
      </c>
      <c r="S458" s="7">
        <f t="shared" si="22"/>
        <v>0</v>
      </c>
      <c r="T458" s="6">
        <f t="shared" si="23"/>
        <v>0</v>
      </c>
      <c r="U458" s="25">
        <f t="shared" si="21"/>
        <v>0</v>
      </c>
    </row>
    <row r="459" spans="1:21" ht="10.9" customHeight="1" x14ac:dyDescent="0.2">
      <c r="A459" s="82" t="s">
        <v>2413</v>
      </c>
      <c r="B459" s="83">
        <v>45714</v>
      </c>
      <c r="C459" s="82" t="s">
        <v>3395</v>
      </c>
      <c r="D459" s="82" t="s">
        <v>3650</v>
      </c>
      <c r="E459" s="82"/>
      <c r="F459" s="82" t="s">
        <v>5167</v>
      </c>
      <c r="G459" s="89">
        <v>1</v>
      </c>
      <c r="H459" s="89">
        <v>57.34</v>
      </c>
      <c r="I459" s="85">
        <v>0</v>
      </c>
      <c r="J459" s="85">
        <v>2.87</v>
      </c>
      <c r="K459" s="85">
        <v>60.21</v>
      </c>
      <c r="L459" s="85">
        <v>60.21</v>
      </c>
      <c r="M459" s="89">
        <v>57.34</v>
      </c>
      <c r="N459" s="85">
        <v>0</v>
      </c>
      <c r="O459" s="85">
        <v>2.87</v>
      </c>
      <c r="P459" s="85">
        <v>60.21</v>
      </c>
      <c r="Q459" s="85">
        <v>60.21</v>
      </c>
      <c r="R459" s="82" t="s">
        <v>3399</v>
      </c>
      <c r="S459" s="7">
        <f t="shared" si="22"/>
        <v>0</v>
      </c>
      <c r="T459" s="6">
        <f t="shared" si="23"/>
        <v>0</v>
      </c>
      <c r="U459" s="25">
        <f t="shared" si="21"/>
        <v>0</v>
      </c>
    </row>
    <row r="460" spans="1:21" ht="10.9" customHeight="1" x14ac:dyDescent="0.2">
      <c r="A460" s="82" t="s">
        <v>2377</v>
      </c>
      <c r="B460" s="83">
        <v>45714</v>
      </c>
      <c r="C460" s="82" t="s">
        <v>3395</v>
      </c>
      <c r="D460" s="82" t="s">
        <v>2071</v>
      </c>
      <c r="E460" s="82"/>
      <c r="F460" s="82" t="s">
        <v>5059</v>
      </c>
      <c r="G460" s="89">
        <v>1</v>
      </c>
      <c r="H460" s="89">
        <v>1137.1600000000001</v>
      </c>
      <c r="I460" s="85">
        <v>0</v>
      </c>
      <c r="J460" s="85">
        <v>56.86</v>
      </c>
      <c r="K460" s="85">
        <v>1194.02</v>
      </c>
      <c r="L460" s="85">
        <v>1290.52</v>
      </c>
      <c r="M460" s="89">
        <v>1137.1600000000001</v>
      </c>
      <c r="N460" s="85">
        <v>0</v>
      </c>
      <c r="O460" s="85">
        <v>56.86</v>
      </c>
      <c r="P460" s="85">
        <v>1194.02</v>
      </c>
      <c r="Q460" s="85">
        <v>1290.52</v>
      </c>
      <c r="R460" s="82" t="s">
        <v>3399</v>
      </c>
      <c r="S460" s="7">
        <f t="shared" si="22"/>
        <v>0</v>
      </c>
      <c r="T460" s="6">
        <f t="shared" si="23"/>
        <v>0</v>
      </c>
      <c r="U460" s="25">
        <f t="shared" si="21"/>
        <v>0</v>
      </c>
    </row>
    <row r="461" spans="1:21" ht="10.9" customHeight="1" x14ac:dyDescent="0.2">
      <c r="A461" s="82" t="s">
        <v>2377</v>
      </c>
      <c r="B461" s="83">
        <v>45714</v>
      </c>
      <c r="C461" s="82" t="s">
        <v>3395</v>
      </c>
      <c r="D461" s="82" t="s">
        <v>2071</v>
      </c>
      <c r="E461" s="82"/>
      <c r="F461" s="82" t="s">
        <v>4887</v>
      </c>
      <c r="G461" s="89">
        <v>1</v>
      </c>
      <c r="H461" s="89">
        <v>91.9</v>
      </c>
      <c r="I461" s="85">
        <v>0</v>
      </c>
      <c r="J461" s="85">
        <v>4.5999999999999996</v>
      </c>
      <c r="K461" s="85">
        <v>96.5</v>
      </c>
      <c r="L461" s="85">
        <v>1290.52</v>
      </c>
      <c r="M461" s="89">
        <v>91.9</v>
      </c>
      <c r="N461" s="85">
        <v>0</v>
      </c>
      <c r="O461" s="85">
        <v>4.5999999999999996</v>
      </c>
      <c r="P461" s="85">
        <v>96.5</v>
      </c>
      <c r="Q461" s="85">
        <v>1290.52</v>
      </c>
      <c r="R461" s="82" t="s">
        <v>3399</v>
      </c>
      <c r="S461" s="7">
        <f t="shared" si="22"/>
        <v>0</v>
      </c>
      <c r="T461" s="6">
        <f t="shared" si="23"/>
        <v>0</v>
      </c>
      <c r="U461" s="25">
        <f t="shared" si="21"/>
        <v>0</v>
      </c>
    </row>
    <row r="462" spans="1:21" ht="10.9" customHeight="1" x14ac:dyDescent="0.2">
      <c r="A462" s="82" t="s">
        <v>2325</v>
      </c>
      <c r="B462" s="83">
        <v>45714</v>
      </c>
      <c r="C462" s="82" t="s">
        <v>3395</v>
      </c>
      <c r="D462" s="82" t="s">
        <v>2162</v>
      </c>
      <c r="E462" s="82"/>
      <c r="F462" s="82" t="s">
        <v>4692</v>
      </c>
      <c r="G462" s="89">
        <v>1</v>
      </c>
      <c r="H462" s="89">
        <v>33.979999999999997</v>
      </c>
      <c r="I462" s="85">
        <v>0</v>
      </c>
      <c r="J462" s="85">
        <v>4.42</v>
      </c>
      <c r="K462" s="85">
        <v>38.4</v>
      </c>
      <c r="L462" s="85">
        <v>38.4</v>
      </c>
      <c r="M462" s="89">
        <v>33.979999999999997</v>
      </c>
      <c r="N462" s="85">
        <v>0</v>
      </c>
      <c r="O462" s="85">
        <v>4.42</v>
      </c>
      <c r="P462" s="85">
        <v>38.4</v>
      </c>
      <c r="Q462" s="85">
        <v>38.4</v>
      </c>
      <c r="R462" s="82" t="s">
        <v>3399</v>
      </c>
      <c r="S462" s="7">
        <f t="shared" si="22"/>
        <v>0</v>
      </c>
      <c r="T462" s="6">
        <f t="shared" si="23"/>
        <v>0</v>
      </c>
      <c r="U462" s="25">
        <f t="shared" si="21"/>
        <v>0</v>
      </c>
    </row>
    <row r="463" spans="1:21" ht="10.9" customHeight="1" x14ac:dyDescent="0.2">
      <c r="A463" s="82" t="s">
        <v>2479</v>
      </c>
      <c r="B463" s="83">
        <v>45714</v>
      </c>
      <c r="C463" s="82" t="s">
        <v>3395</v>
      </c>
      <c r="D463" s="82" t="s">
        <v>1904</v>
      </c>
      <c r="E463" s="82"/>
      <c r="F463" s="82" t="s">
        <v>4593</v>
      </c>
      <c r="G463" s="89">
        <v>1</v>
      </c>
      <c r="H463" s="89">
        <v>939.78</v>
      </c>
      <c r="I463" s="85">
        <v>0</v>
      </c>
      <c r="J463" s="85">
        <v>46.99</v>
      </c>
      <c r="K463" s="85">
        <v>986.77</v>
      </c>
      <c r="L463" s="85">
        <v>986.77</v>
      </c>
      <c r="M463" s="89">
        <v>939.78</v>
      </c>
      <c r="N463" s="85">
        <v>0</v>
      </c>
      <c r="O463" s="85">
        <v>46.99</v>
      </c>
      <c r="P463" s="85">
        <v>986.77</v>
      </c>
      <c r="Q463" s="85">
        <v>986.77</v>
      </c>
      <c r="R463" s="82" t="s">
        <v>3399</v>
      </c>
      <c r="S463" s="7">
        <f t="shared" si="22"/>
        <v>0</v>
      </c>
      <c r="T463" s="6">
        <f t="shared" si="23"/>
        <v>0</v>
      </c>
      <c r="U463" s="25">
        <f t="shared" si="21"/>
        <v>0</v>
      </c>
    </row>
    <row r="464" spans="1:21" ht="10.9" customHeight="1" x14ac:dyDescent="0.2">
      <c r="A464" s="82" t="s">
        <v>3649</v>
      </c>
      <c r="B464" s="83">
        <v>45714</v>
      </c>
      <c r="C464" s="82" t="s">
        <v>3395</v>
      </c>
      <c r="D464" s="82" t="s">
        <v>3648</v>
      </c>
      <c r="E464" s="82"/>
      <c r="F464" s="82" t="s">
        <v>5646</v>
      </c>
      <c r="G464" s="89">
        <v>1</v>
      </c>
      <c r="H464" s="89">
        <v>4310.29</v>
      </c>
      <c r="I464" s="85">
        <v>0</v>
      </c>
      <c r="J464" s="85">
        <v>560.34</v>
      </c>
      <c r="K464" s="85">
        <v>4870.63</v>
      </c>
      <c r="L464" s="85">
        <v>4870.63</v>
      </c>
      <c r="M464" s="89">
        <v>4310.29</v>
      </c>
      <c r="N464" s="85">
        <v>0</v>
      </c>
      <c r="O464" s="85">
        <v>560.34</v>
      </c>
      <c r="P464" s="85">
        <v>4870.63</v>
      </c>
      <c r="Q464" s="85">
        <v>4870.63</v>
      </c>
      <c r="R464" s="82" t="s">
        <v>3399</v>
      </c>
      <c r="S464" s="7">
        <f t="shared" si="22"/>
        <v>0</v>
      </c>
      <c r="T464" s="6">
        <f t="shared" si="23"/>
        <v>0</v>
      </c>
      <c r="U464" s="25">
        <f t="shared" si="21"/>
        <v>0</v>
      </c>
    </row>
    <row r="465" spans="1:21" ht="10.9" customHeight="1" x14ac:dyDescent="0.2">
      <c r="A465" s="82" t="s">
        <v>2441</v>
      </c>
      <c r="B465" s="83">
        <v>45715</v>
      </c>
      <c r="C465" s="82" t="s">
        <v>3395</v>
      </c>
      <c r="D465" s="82" t="s">
        <v>1974</v>
      </c>
      <c r="E465" s="82"/>
      <c r="F465" s="82" t="s">
        <v>5608</v>
      </c>
      <c r="G465" s="89">
        <v>1</v>
      </c>
      <c r="H465" s="89">
        <v>339.52</v>
      </c>
      <c r="I465" s="85">
        <v>0</v>
      </c>
      <c r="J465" s="85">
        <v>0</v>
      </c>
      <c r="K465" s="85">
        <v>339.52</v>
      </c>
      <c r="L465" s="85">
        <v>339.52</v>
      </c>
      <c r="M465" s="89">
        <v>490.31415805237606</v>
      </c>
      <c r="N465" s="85">
        <v>0</v>
      </c>
      <c r="O465" s="85">
        <v>0</v>
      </c>
      <c r="P465" s="85">
        <v>490.31415805237606</v>
      </c>
      <c r="Q465" s="85">
        <v>490.31415805237606</v>
      </c>
      <c r="R465" s="82" t="s">
        <v>3399</v>
      </c>
      <c r="S465" s="7">
        <f t="shared" si="22"/>
        <v>0</v>
      </c>
      <c r="T465" s="6">
        <f t="shared" si="23"/>
        <v>0</v>
      </c>
      <c r="U465" s="25">
        <f t="shared" si="21"/>
        <v>0</v>
      </c>
    </row>
    <row r="466" spans="1:21" ht="10.9" customHeight="1" x14ac:dyDescent="0.2">
      <c r="A466" s="82" t="s">
        <v>2467</v>
      </c>
      <c r="B466" s="83">
        <v>45715</v>
      </c>
      <c r="C466" s="82" t="s">
        <v>3395</v>
      </c>
      <c r="D466" s="82" t="s">
        <v>1926</v>
      </c>
      <c r="E466" s="82"/>
      <c r="F466" s="82" t="s">
        <v>5643</v>
      </c>
      <c r="G466" s="89">
        <v>1</v>
      </c>
      <c r="H466" s="89">
        <v>1850</v>
      </c>
      <c r="I466" s="85">
        <v>0</v>
      </c>
      <c r="J466" s="85">
        <v>0</v>
      </c>
      <c r="K466" s="85">
        <v>1850</v>
      </c>
      <c r="L466" s="85">
        <v>6589.5</v>
      </c>
      <c r="M466" s="89">
        <v>2672.5646074435981</v>
      </c>
      <c r="N466" s="85">
        <v>0</v>
      </c>
      <c r="O466" s="85">
        <v>0</v>
      </c>
      <c r="P466" s="85">
        <v>2672.5646074435981</v>
      </c>
      <c r="Q466" s="85">
        <v>9519.3862058105897</v>
      </c>
      <c r="R466" s="82" t="s">
        <v>3399</v>
      </c>
      <c r="S466" s="7">
        <f t="shared" si="22"/>
        <v>0</v>
      </c>
      <c r="T466" s="6">
        <f t="shared" si="23"/>
        <v>0</v>
      </c>
      <c r="U466" s="25">
        <f t="shared" si="21"/>
        <v>0</v>
      </c>
    </row>
    <row r="467" spans="1:21" ht="10.9" customHeight="1" x14ac:dyDescent="0.2">
      <c r="A467" s="82" t="s">
        <v>2467</v>
      </c>
      <c r="B467" s="83">
        <v>45715</v>
      </c>
      <c r="C467" s="82" t="s">
        <v>3395</v>
      </c>
      <c r="D467" s="82" t="s">
        <v>1926</v>
      </c>
      <c r="E467" s="82"/>
      <c r="F467" s="82" t="s">
        <v>4781</v>
      </c>
      <c r="G467" s="89">
        <v>2</v>
      </c>
      <c r="H467" s="89">
        <v>1560</v>
      </c>
      <c r="I467" s="85">
        <v>0</v>
      </c>
      <c r="J467" s="85">
        <v>0</v>
      </c>
      <c r="K467" s="85">
        <v>3120</v>
      </c>
      <c r="L467" s="85">
        <v>6589.5</v>
      </c>
      <c r="M467" s="89">
        <v>2253.6220473578446</v>
      </c>
      <c r="N467" s="85">
        <v>0</v>
      </c>
      <c r="O467" s="85">
        <v>0</v>
      </c>
      <c r="P467" s="85">
        <v>4507.2440947156892</v>
      </c>
      <c r="Q467" s="85">
        <v>9519.3862058105897</v>
      </c>
      <c r="R467" s="82" t="s">
        <v>3399</v>
      </c>
      <c r="S467" s="7">
        <f t="shared" si="22"/>
        <v>0</v>
      </c>
      <c r="T467" s="6">
        <f t="shared" si="23"/>
        <v>0</v>
      </c>
      <c r="U467" s="25">
        <f t="shared" si="21"/>
        <v>0</v>
      </c>
    </row>
    <row r="468" spans="1:21" ht="10.9" customHeight="1" x14ac:dyDescent="0.2">
      <c r="A468" s="82" t="s">
        <v>2467</v>
      </c>
      <c r="B468" s="83">
        <v>45715</v>
      </c>
      <c r="C468" s="82" t="s">
        <v>3395</v>
      </c>
      <c r="D468" s="82" t="s">
        <v>1926</v>
      </c>
      <c r="E468" s="82"/>
      <c r="F468" s="82" t="s">
        <v>4459</v>
      </c>
      <c r="G468" s="89">
        <v>1</v>
      </c>
      <c r="H468" s="89">
        <v>637</v>
      </c>
      <c r="I468" s="85">
        <v>0</v>
      </c>
      <c r="J468" s="85">
        <v>0</v>
      </c>
      <c r="K468" s="85">
        <v>637</v>
      </c>
      <c r="L468" s="85">
        <v>6589.5</v>
      </c>
      <c r="M468" s="89">
        <v>920.22900267111993</v>
      </c>
      <c r="N468" s="85">
        <v>0</v>
      </c>
      <c r="O468" s="85">
        <v>0</v>
      </c>
      <c r="P468" s="85">
        <v>920.22900267111993</v>
      </c>
      <c r="Q468" s="85">
        <v>9519.3862058105897</v>
      </c>
      <c r="R468" s="82" t="s">
        <v>3399</v>
      </c>
      <c r="S468" s="7" t="str">
        <f t="shared" si="22"/>
        <v>INV12681</v>
      </c>
      <c r="T468" s="6">
        <f t="shared" si="23"/>
        <v>1</v>
      </c>
      <c r="U468" s="25">
        <f t="shared" si="21"/>
        <v>637</v>
      </c>
    </row>
    <row r="469" spans="1:21" ht="10.9" customHeight="1" x14ac:dyDescent="0.2">
      <c r="A469" s="82" t="s">
        <v>2467</v>
      </c>
      <c r="B469" s="83">
        <v>45715</v>
      </c>
      <c r="C469" s="82" t="s">
        <v>3395</v>
      </c>
      <c r="D469" s="82" t="s">
        <v>1926</v>
      </c>
      <c r="E469" s="82"/>
      <c r="F469" s="82" t="s">
        <v>5637</v>
      </c>
      <c r="G469" s="89">
        <v>1</v>
      </c>
      <c r="H469" s="89">
        <v>982.5</v>
      </c>
      <c r="I469" s="85">
        <v>0</v>
      </c>
      <c r="J469" s="85">
        <v>0</v>
      </c>
      <c r="K469" s="85">
        <v>982.5</v>
      </c>
      <c r="L469" s="85">
        <v>6589.5</v>
      </c>
      <c r="M469" s="89">
        <v>1419.3485009801811</v>
      </c>
      <c r="N469" s="85">
        <v>0</v>
      </c>
      <c r="O469" s="85">
        <v>0</v>
      </c>
      <c r="P469" s="85">
        <v>1419.3485009801811</v>
      </c>
      <c r="Q469" s="85">
        <v>9519.3862058105897</v>
      </c>
      <c r="R469" s="82" t="s">
        <v>3399</v>
      </c>
      <c r="S469" s="7">
        <f t="shared" si="22"/>
        <v>0</v>
      </c>
      <c r="T469" s="6">
        <f t="shared" si="23"/>
        <v>0</v>
      </c>
      <c r="U469" s="25">
        <f t="shared" si="21"/>
        <v>0</v>
      </c>
    </row>
    <row r="470" spans="1:21" ht="10.9" customHeight="1" x14ac:dyDescent="0.2">
      <c r="A470" s="82" t="s">
        <v>3645</v>
      </c>
      <c r="B470" s="83">
        <v>45715</v>
      </c>
      <c r="C470" s="82" t="s">
        <v>3395</v>
      </c>
      <c r="D470" s="82" t="s">
        <v>3535</v>
      </c>
      <c r="E470" s="82"/>
      <c r="F470" s="82" t="s">
        <v>5645</v>
      </c>
      <c r="G470" s="89">
        <v>38</v>
      </c>
      <c r="H470" s="89">
        <v>14.22</v>
      </c>
      <c r="I470" s="85">
        <v>0</v>
      </c>
      <c r="J470" s="85">
        <v>27.02</v>
      </c>
      <c r="K470" s="85">
        <v>567.38</v>
      </c>
      <c r="L470" s="85">
        <v>567.38</v>
      </c>
      <c r="M470" s="89">
        <v>14.22</v>
      </c>
      <c r="N470" s="85">
        <v>0</v>
      </c>
      <c r="O470" s="85">
        <v>27.02</v>
      </c>
      <c r="P470" s="85">
        <v>567.38</v>
      </c>
      <c r="Q470" s="85">
        <v>567.38</v>
      </c>
      <c r="R470" s="82" t="s">
        <v>3399</v>
      </c>
      <c r="S470" s="7">
        <f t="shared" si="22"/>
        <v>0</v>
      </c>
      <c r="T470" s="6">
        <f t="shared" si="23"/>
        <v>0</v>
      </c>
      <c r="U470" s="25">
        <f t="shared" si="21"/>
        <v>0</v>
      </c>
    </row>
    <row r="471" spans="1:21" ht="10.9" customHeight="1" x14ac:dyDescent="0.2">
      <c r="A471" s="82" t="s">
        <v>2323</v>
      </c>
      <c r="B471" s="83">
        <v>45715</v>
      </c>
      <c r="C471" s="82" t="s">
        <v>3395</v>
      </c>
      <c r="D471" s="82" t="s">
        <v>2166</v>
      </c>
      <c r="E471" s="82"/>
      <c r="F471" s="82" t="s">
        <v>5644</v>
      </c>
      <c r="G471" s="89">
        <v>3</v>
      </c>
      <c r="H471" s="89">
        <v>103.65</v>
      </c>
      <c r="I471" s="85">
        <v>0</v>
      </c>
      <c r="J471" s="85">
        <v>15.55</v>
      </c>
      <c r="K471" s="85">
        <v>326.5</v>
      </c>
      <c r="L471" s="85">
        <v>326.5</v>
      </c>
      <c r="M471" s="89">
        <v>103.65</v>
      </c>
      <c r="N471" s="85">
        <v>0</v>
      </c>
      <c r="O471" s="85">
        <v>15.55</v>
      </c>
      <c r="P471" s="85">
        <v>326.5</v>
      </c>
      <c r="Q471" s="85">
        <v>326.5</v>
      </c>
      <c r="R471" s="82" t="s">
        <v>3399</v>
      </c>
      <c r="S471" s="7">
        <f t="shared" si="22"/>
        <v>0</v>
      </c>
      <c r="T471" s="6">
        <f t="shared" si="23"/>
        <v>0</v>
      </c>
      <c r="U471" s="25">
        <f t="shared" si="21"/>
        <v>0</v>
      </c>
    </row>
    <row r="472" spans="1:21" ht="10.9" customHeight="1" x14ac:dyDescent="0.2">
      <c r="A472" s="82" t="s">
        <v>2487</v>
      </c>
      <c r="B472" s="83">
        <v>45715</v>
      </c>
      <c r="C472" s="82" t="s">
        <v>3395</v>
      </c>
      <c r="D472" s="82" t="s">
        <v>1888</v>
      </c>
      <c r="E472" s="82"/>
      <c r="F472" s="82" t="s">
        <v>4819</v>
      </c>
      <c r="G472" s="89">
        <v>1</v>
      </c>
      <c r="H472" s="89">
        <v>1927.29</v>
      </c>
      <c r="I472" s="85">
        <v>0</v>
      </c>
      <c r="J472" s="85">
        <v>96.36</v>
      </c>
      <c r="K472" s="85">
        <v>2023.65</v>
      </c>
      <c r="L472" s="85">
        <v>2023.65</v>
      </c>
      <c r="M472" s="89">
        <v>1927.29</v>
      </c>
      <c r="N472" s="85">
        <v>0</v>
      </c>
      <c r="O472" s="85">
        <v>96.36</v>
      </c>
      <c r="P472" s="85">
        <v>2023.65</v>
      </c>
      <c r="Q472" s="85">
        <v>2023.65</v>
      </c>
      <c r="R472" s="82" t="s">
        <v>3399</v>
      </c>
      <c r="S472" s="7">
        <f t="shared" si="22"/>
        <v>0</v>
      </c>
      <c r="T472" s="6">
        <f t="shared" si="23"/>
        <v>0</v>
      </c>
      <c r="U472" s="25">
        <f t="shared" si="21"/>
        <v>0</v>
      </c>
    </row>
    <row r="473" spans="1:21" ht="10.9" customHeight="1" x14ac:dyDescent="0.2">
      <c r="A473" s="82" t="s">
        <v>2273</v>
      </c>
      <c r="B473" s="83">
        <v>45715</v>
      </c>
      <c r="C473" s="82" t="s">
        <v>3395</v>
      </c>
      <c r="D473" s="82" t="s">
        <v>2262</v>
      </c>
      <c r="E473" s="82"/>
      <c r="F473" s="82" t="s">
        <v>5640</v>
      </c>
      <c r="G473" s="89">
        <v>4</v>
      </c>
      <c r="H473" s="89">
        <v>42.48</v>
      </c>
      <c r="I473" s="85">
        <v>0</v>
      </c>
      <c r="J473" s="85">
        <v>8.5</v>
      </c>
      <c r="K473" s="85">
        <v>178.42</v>
      </c>
      <c r="L473" s="85">
        <v>1135.51</v>
      </c>
      <c r="M473" s="89">
        <v>42.48</v>
      </c>
      <c r="N473" s="85">
        <v>0</v>
      </c>
      <c r="O473" s="85">
        <v>8.5</v>
      </c>
      <c r="P473" s="85">
        <v>178.42</v>
      </c>
      <c r="Q473" s="85">
        <v>1135.51</v>
      </c>
      <c r="R473" s="82" t="s">
        <v>3399</v>
      </c>
      <c r="S473" s="7">
        <f t="shared" si="22"/>
        <v>0</v>
      </c>
      <c r="T473" s="6">
        <f t="shared" si="23"/>
        <v>0</v>
      </c>
      <c r="U473" s="25">
        <f t="shared" si="21"/>
        <v>0</v>
      </c>
    </row>
    <row r="474" spans="1:21" ht="10.9" customHeight="1" x14ac:dyDescent="0.2">
      <c r="A474" s="82" t="s">
        <v>2273</v>
      </c>
      <c r="B474" s="83">
        <v>45715</v>
      </c>
      <c r="C474" s="82" t="s">
        <v>3395</v>
      </c>
      <c r="D474" s="82" t="s">
        <v>2262</v>
      </c>
      <c r="E474" s="82"/>
      <c r="F474" s="82" t="s">
        <v>5639</v>
      </c>
      <c r="G474" s="89">
        <v>4</v>
      </c>
      <c r="H474" s="89">
        <v>103.77</v>
      </c>
      <c r="I474" s="85">
        <v>0</v>
      </c>
      <c r="J474" s="85">
        <v>20.75</v>
      </c>
      <c r="K474" s="85">
        <v>435.83</v>
      </c>
      <c r="L474" s="85">
        <v>1135.51</v>
      </c>
      <c r="M474" s="89">
        <v>103.77</v>
      </c>
      <c r="N474" s="85">
        <v>0</v>
      </c>
      <c r="O474" s="85">
        <v>20.75</v>
      </c>
      <c r="P474" s="85">
        <v>435.83</v>
      </c>
      <c r="Q474" s="85">
        <v>1135.51</v>
      </c>
      <c r="R474" s="82" t="s">
        <v>3399</v>
      </c>
      <c r="S474" s="7">
        <f t="shared" si="22"/>
        <v>0</v>
      </c>
      <c r="T474" s="6">
        <f t="shared" si="23"/>
        <v>0</v>
      </c>
      <c r="U474" s="25">
        <f t="shared" si="21"/>
        <v>0</v>
      </c>
    </row>
    <row r="475" spans="1:21" ht="10.9" customHeight="1" x14ac:dyDescent="0.2">
      <c r="A475" s="82" t="s">
        <v>2273</v>
      </c>
      <c r="B475" s="83">
        <v>45715</v>
      </c>
      <c r="C475" s="82" t="s">
        <v>3395</v>
      </c>
      <c r="D475" s="82" t="s">
        <v>2262</v>
      </c>
      <c r="E475" s="82"/>
      <c r="F475" s="82" t="s">
        <v>5638</v>
      </c>
      <c r="G475" s="89">
        <v>4</v>
      </c>
      <c r="H475" s="89">
        <v>124.11</v>
      </c>
      <c r="I475" s="85">
        <v>0</v>
      </c>
      <c r="J475" s="85">
        <v>24.82</v>
      </c>
      <c r="K475" s="85">
        <v>521.26</v>
      </c>
      <c r="L475" s="85">
        <v>1135.51</v>
      </c>
      <c r="M475" s="89">
        <v>124.11</v>
      </c>
      <c r="N475" s="85">
        <v>0</v>
      </c>
      <c r="O475" s="85">
        <v>24.82</v>
      </c>
      <c r="P475" s="85">
        <v>521.26</v>
      </c>
      <c r="Q475" s="85">
        <v>1135.51</v>
      </c>
      <c r="R475" s="82" t="s">
        <v>3399</v>
      </c>
      <c r="S475" s="7">
        <f t="shared" si="22"/>
        <v>0</v>
      </c>
      <c r="T475" s="6">
        <f t="shared" si="23"/>
        <v>0</v>
      </c>
      <c r="U475" s="25">
        <f t="shared" si="21"/>
        <v>0</v>
      </c>
    </row>
    <row r="476" spans="1:21" ht="10.9" customHeight="1" x14ac:dyDescent="0.2">
      <c r="A476" s="82" t="s">
        <v>2425</v>
      </c>
      <c r="B476" s="83">
        <v>45715</v>
      </c>
      <c r="C476" s="82" t="s">
        <v>3395</v>
      </c>
      <c r="D476" s="82" t="s">
        <v>2002</v>
      </c>
      <c r="E476" s="82"/>
      <c r="F476" s="82" t="s">
        <v>5642</v>
      </c>
      <c r="G476" s="89">
        <v>1</v>
      </c>
      <c r="H476" s="89">
        <v>1244.8900000000001</v>
      </c>
      <c r="I476" s="85">
        <v>0</v>
      </c>
      <c r="J476" s="85">
        <v>62.24</v>
      </c>
      <c r="K476" s="85">
        <v>1307.1300000000001</v>
      </c>
      <c r="L476" s="85">
        <v>2009.99</v>
      </c>
      <c r="M476" s="89">
        <v>1244.8900000000001</v>
      </c>
      <c r="N476" s="85">
        <v>0</v>
      </c>
      <c r="O476" s="85">
        <v>62.24</v>
      </c>
      <c r="P476" s="85">
        <v>1307.1300000000001</v>
      </c>
      <c r="Q476" s="85">
        <v>2009.99</v>
      </c>
      <c r="R476" s="82" t="s">
        <v>3399</v>
      </c>
      <c r="S476" s="7">
        <f t="shared" si="22"/>
        <v>0</v>
      </c>
      <c r="T476" s="6">
        <f t="shared" si="23"/>
        <v>0</v>
      </c>
      <c r="U476" s="25">
        <f t="shared" si="21"/>
        <v>0</v>
      </c>
    </row>
    <row r="477" spans="1:21" ht="10.9" customHeight="1" x14ac:dyDescent="0.2">
      <c r="A477" s="82" t="s">
        <v>2425</v>
      </c>
      <c r="B477" s="83">
        <v>45715</v>
      </c>
      <c r="C477" s="82" t="s">
        <v>3395</v>
      </c>
      <c r="D477" s="82" t="s">
        <v>2002</v>
      </c>
      <c r="E477" s="82"/>
      <c r="F477" s="82" t="s">
        <v>5641</v>
      </c>
      <c r="G477" s="89">
        <v>1</v>
      </c>
      <c r="H477" s="89">
        <v>669.39</v>
      </c>
      <c r="I477" s="85">
        <v>0</v>
      </c>
      <c r="J477" s="85">
        <v>33.47</v>
      </c>
      <c r="K477" s="85">
        <v>702.86</v>
      </c>
      <c r="L477" s="85">
        <v>2009.99</v>
      </c>
      <c r="M477" s="89">
        <v>669.39</v>
      </c>
      <c r="N477" s="85">
        <v>0</v>
      </c>
      <c r="O477" s="85">
        <v>33.47</v>
      </c>
      <c r="P477" s="85">
        <v>702.86</v>
      </c>
      <c r="Q477" s="85">
        <v>2009.99</v>
      </c>
      <c r="R477" s="82" t="s">
        <v>3399</v>
      </c>
      <c r="S477" s="7">
        <f t="shared" si="22"/>
        <v>0</v>
      </c>
      <c r="T477" s="6">
        <f t="shared" si="23"/>
        <v>0</v>
      </c>
      <c r="U477" s="25">
        <f t="shared" si="21"/>
        <v>0</v>
      </c>
    </row>
    <row r="478" spans="1:21" ht="10.9" customHeight="1" x14ac:dyDescent="0.2">
      <c r="A478" s="82" t="s">
        <v>2485</v>
      </c>
      <c r="B478" s="83">
        <v>45715</v>
      </c>
      <c r="C478" s="82" t="s">
        <v>3395</v>
      </c>
      <c r="D478" s="82" t="s">
        <v>1892</v>
      </c>
      <c r="E478" s="82"/>
      <c r="F478" s="82" t="s">
        <v>4893</v>
      </c>
      <c r="G478" s="89">
        <v>1</v>
      </c>
      <c r="H478" s="89">
        <v>454.78</v>
      </c>
      <c r="I478" s="85">
        <v>0</v>
      </c>
      <c r="J478" s="85">
        <v>22.74</v>
      </c>
      <c r="K478" s="85">
        <v>477.52</v>
      </c>
      <c r="L478" s="85">
        <v>477.52</v>
      </c>
      <c r="M478" s="89">
        <v>454.78</v>
      </c>
      <c r="N478" s="85">
        <v>0</v>
      </c>
      <c r="O478" s="85">
        <v>22.74</v>
      </c>
      <c r="P478" s="85">
        <v>477.52</v>
      </c>
      <c r="Q478" s="85">
        <v>477.52</v>
      </c>
      <c r="R478" s="82" t="s">
        <v>3399</v>
      </c>
      <c r="S478" s="7">
        <f t="shared" si="22"/>
        <v>0</v>
      </c>
      <c r="T478" s="6">
        <f t="shared" si="23"/>
        <v>0</v>
      </c>
      <c r="U478" s="25">
        <f t="shared" si="21"/>
        <v>0</v>
      </c>
    </row>
    <row r="479" spans="1:21" ht="10.9" customHeight="1" x14ac:dyDescent="0.2">
      <c r="A479" s="82" t="s">
        <v>3639</v>
      </c>
      <c r="B479" s="83">
        <v>45716</v>
      </c>
      <c r="C479" s="82" t="s">
        <v>3395</v>
      </c>
      <c r="D479" s="82" t="s">
        <v>3638</v>
      </c>
      <c r="E479" s="82"/>
      <c r="F479" s="82" t="s">
        <v>5636</v>
      </c>
      <c r="G479" s="89">
        <v>1</v>
      </c>
      <c r="H479" s="89">
        <v>7722.12</v>
      </c>
      <c r="I479" s="85">
        <v>0</v>
      </c>
      <c r="J479" s="85">
        <v>0</v>
      </c>
      <c r="K479" s="85">
        <v>7722.12</v>
      </c>
      <c r="L479" s="85">
        <v>7722.12</v>
      </c>
      <c r="M479" s="89">
        <v>11161.003867700367</v>
      </c>
      <c r="N479" s="85">
        <v>0</v>
      </c>
      <c r="O479" s="85">
        <v>0</v>
      </c>
      <c r="P479" s="85">
        <v>11161.003867700367</v>
      </c>
      <c r="Q479" s="85">
        <v>11161.003867700367</v>
      </c>
      <c r="R479" s="82" t="s">
        <v>3396</v>
      </c>
      <c r="S479" s="7">
        <f t="shared" si="22"/>
        <v>0</v>
      </c>
      <c r="T479" s="6">
        <f t="shared" si="23"/>
        <v>0</v>
      </c>
      <c r="U479" s="25">
        <f t="shared" si="21"/>
        <v>0</v>
      </c>
    </row>
    <row r="480" spans="1:21" ht="10.9" customHeight="1" x14ac:dyDescent="0.2">
      <c r="A480" s="82" t="s">
        <v>3644</v>
      </c>
      <c r="B480" s="83">
        <v>45716</v>
      </c>
      <c r="C480" s="82" t="s">
        <v>3395</v>
      </c>
      <c r="D480" s="82" t="s">
        <v>3643</v>
      </c>
      <c r="E480" s="82"/>
      <c r="F480" s="82" t="s">
        <v>4789</v>
      </c>
      <c r="G480" s="89">
        <v>1</v>
      </c>
      <c r="H480" s="89">
        <v>4676.43</v>
      </c>
      <c r="I480" s="85">
        <v>0</v>
      </c>
      <c r="J480" s="85">
        <v>0</v>
      </c>
      <c r="K480" s="85">
        <v>4676.43</v>
      </c>
      <c r="L480" s="85">
        <v>4419.04</v>
      </c>
      <c r="M480" s="89">
        <v>4676.43</v>
      </c>
      <c r="N480" s="85">
        <v>0</v>
      </c>
      <c r="O480" s="85">
        <v>0</v>
      </c>
      <c r="P480" s="85">
        <v>4676.43</v>
      </c>
      <c r="Q480" s="85">
        <v>4419.04</v>
      </c>
      <c r="R480" s="82" t="s">
        <v>3399</v>
      </c>
      <c r="S480" s="7">
        <f t="shared" si="22"/>
        <v>0</v>
      </c>
      <c r="T480" s="6">
        <f t="shared" si="23"/>
        <v>0</v>
      </c>
      <c r="U480" s="25">
        <f t="shared" si="21"/>
        <v>0</v>
      </c>
    </row>
    <row r="481" spans="1:21" ht="10.9" customHeight="1" x14ac:dyDescent="0.2">
      <c r="A481" s="82" t="s">
        <v>3644</v>
      </c>
      <c r="B481" s="83">
        <v>45716</v>
      </c>
      <c r="C481" s="82" t="s">
        <v>3395</v>
      </c>
      <c r="D481" s="82" t="s">
        <v>3643</v>
      </c>
      <c r="E481" s="82"/>
      <c r="F481" s="82" t="s">
        <v>4788</v>
      </c>
      <c r="G481" s="89">
        <v>1</v>
      </c>
      <c r="H481" s="89">
        <v>228.27</v>
      </c>
      <c r="I481" s="85">
        <v>0</v>
      </c>
      <c r="J481" s="85">
        <v>0</v>
      </c>
      <c r="K481" s="85">
        <v>-228.27</v>
      </c>
      <c r="L481" s="85">
        <v>4419.04</v>
      </c>
      <c r="M481" s="89">
        <v>228.27</v>
      </c>
      <c r="N481" s="85">
        <v>0</v>
      </c>
      <c r="O481" s="85">
        <v>0</v>
      </c>
      <c r="P481" s="85">
        <v>-228.27</v>
      </c>
      <c r="Q481" s="85">
        <v>4419.04</v>
      </c>
      <c r="R481" s="82" t="s">
        <v>3399</v>
      </c>
      <c r="S481" s="7">
        <f t="shared" si="22"/>
        <v>0</v>
      </c>
      <c r="T481" s="6">
        <f t="shared" si="23"/>
        <v>0</v>
      </c>
      <c r="U481" s="25">
        <f t="shared" si="21"/>
        <v>0</v>
      </c>
    </row>
    <row r="482" spans="1:21" ht="10.9" customHeight="1" x14ac:dyDescent="0.2">
      <c r="A482" s="82" t="s">
        <v>3644</v>
      </c>
      <c r="B482" s="83">
        <v>45716</v>
      </c>
      <c r="C482" s="82" t="s">
        <v>3395</v>
      </c>
      <c r="D482" s="82" t="s">
        <v>3643</v>
      </c>
      <c r="E482" s="82"/>
      <c r="F482" s="82" t="s">
        <v>4787</v>
      </c>
      <c r="G482" s="89">
        <v>1</v>
      </c>
      <c r="H482" s="89">
        <v>29.12</v>
      </c>
      <c r="I482" s="85">
        <v>0</v>
      </c>
      <c r="J482" s="85">
        <v>0</v>
      </c>
      <c r="K482" s="85">
        <v>-29.12</v>
      </c>
      <c r="L482" s="85">
        <v>4419.04</v>
      </c>
      <c r="M482" s="89">
        <v>29.12</v>
      </c>
      <c r="N482" s="85">
        <v>0</v>
      </c>
      <c r="O482" s="85">
        <v>0</v>
      </c>
      <c r="P482" s="85">
        <v>-29.12</v>
      </c>
      <c r="Q482" s="85">
        <v>4419.04</v>
      </c>
      <c r="R482" s="82" t="s">
        <v>3399</v>
      </c>
      <c r="S482" s="7">
        <f t="shared" si="22"/>
        <v>0</v>
      </c>
      <c r="T482" s="6">
        <f t="shared" si="23"/>
        <v>0</v>
      </c>
      <c r="U482" s="25">
        <f t="shared" si="21"/>
        <v>0</v>
      </c>
    </row>
    <row r="483" spans="1:21" ht="10.9" customHeight="1" x14ac:dyDescent="0.2">
      <c r="A483" s="82" t="s">
        <v>3642</v>
      </c>
      <c r="B483" s="83">
        <v>45716</v>
      </c>
      <c r="C483" s="82" t="s">
        <v>3395</v>
      </c>
      <c r="D483" s="82" t="s">
        <v>3640</v>
      </c>
      <c r="E483" s="82"/>
      <c r="F483" s="82" t="s">
        <v>5634</v>
      </c>
      <c r="G483" s="89">
        <v>1</v>
      </c>
      <c r="H483" s="89">
        <v>6504.83</v>
      </c>
      <c r="I483" s="85">
        <v>0</v>
      </c>
      <c r="J483" s="85">
        <v>0</v>
      </c>
      <c r="K483" s="85">
        <v>6504.83</v>
      </c>
      <c r="L483" s="85">
        <v>6504.83</v>
      </c>
      <c r="M483" s="89">
        <v>8758.4254080415358</v>
      </c>
      <c r="N483" s="85">
        <v>0</v>
      </c>
      <c r="O483" s="85">
        <v>0</v>
      </c>
      <c r="P483" s="85">
        <v>8758.4254080415358</v>
      </c>
      <c r="Q483" s="85">
        <v>8758.4254080415358</v>
      </c>
      <c r="R483" s="82" t="s">
        <v>3399</v>
      </c>
      <c r="S483" s="7">
        <f t="shared" si="22"/>
        <v>0</v>
      </c>
      <c r="T483" s="6">
        <f t="shared" si="23"/>
        <v>0</v>
      </c>
      <c r="U483" s="25">
        <f t="shared" si="21"/>
        <v>0</v>
      </c>
    </row>
    <row r="484" spans="1:21" ht="10.9" customHeight="1" x14ac:dyDescent="0.2">
      <c r="A484" s="82" t="s">
        <v>3637</v>
      </c>
      <c r="B484" s="83">
        <v>45716</v>
      </c>
      <c r="C484" s="82" t="s">
        <v>3395</v>
      </c>
      <c r="D484" s="82" t="s">
        <v>3513</v>
      </c>
      <c r="E484" s="82"/>
      <c r="F484" s="82" t="s">
        <v>5251</v>
      </c>
      <c r="G484" s="89">
        <v>1</v>
      </c>
      <c r="H484" s="89">
        <v>3527.58</v>
      </c>
      <c r="I484" s="85">
        <v>0</v>
      </c>
      <c r="J484" s="85">
        <v>0</v>
      </c>
      <c r="K484" s="85">
        <v>3527.58</v>
      </c>
      <c r="L484" s="85">
        <v>24174.58</v>
      </c>
      <c r="M484" s="89">
        <v>5098.5136236710196</v>
      </c>
      <c r="N484" s="85">
        <v>0</v>
      </c>
      <c r="O484" s="85">
        <v>0</v>
      </c>
      <c r="P484" s="85">
        <v>5098.5136236710196</v>
      </c>
      <c r="Q484" s="85">
        <v>34940.221193147983</v>
      </c>
      <c r="R484" s="82" t="s">
        <v>3399</v>
      </c>
      <c r="S484" s="7">
        <f t="shared" si="22"/>
        <v>0</v>
      </c>
      <c r="T484" s="6">
        <f t="shared" si="23"/>
        <v>0</v>
      </c>
      <c r="U484" s="25">
        <f t="shared" si="21"/>
        <v>0</v>
      </c>
    </row>
    <row r="485" spans="1:21" ht="10.9" customHeight="1" x14ac:dyDescent="0.2">
      <c r="A485" s="82" t="s">
        <v>3637</v>
      </c>
      <c r="B485" s="83">
        <v>45716</v>
      </c>
      <c r="C485" s="82" t="s">
        <v>3395</v>
      </c>
      <c r="D485" s="82" t="s">
        <v>3513</v>
      </c>
      <c r="E485" s="82"/>
      <c r="F485" s="82" t="s">
        <v>5250</v>
      </c>
      <c r="G485" s="89">
        <v>1</v>
      </c>
      <c r="H485" s="89">
        <v>9991.5</v>
      </c>
      <c r="I485" s="85">
        <v>0</v>
      </c>
      <c r="J485" s="85">
        <v>0</v>
      </c>
      <c r="K485" s="85">
        <v>9991.5</v>
      </c>
      <c r="L485" s="85">
        <v>24174.58</v>
      </c>
      <c r="M485" s="89">
        <v>14441.00456145828</v>
      </c>
      <c r="N485" s="85">
        <v>0</v>
      </c>
      <c r="O485" s="85">
        <v>0</v>
      </c>
      <c r="P485" s="85">
        <v>14441.00456145828</v>
      </c>
      <c r="Q485" s="85">
        <v>34940.221193147983</v>
      </c>
      <c r="R485" s="82" t="s">
        <v>3399</v>
      </c>
      <c r="S485" s="7">
        <f t="shared" si="22"/>
        <v>0</v>
      </c>
      <c r="T485" s="6">
        <f t="shared" si="23"/>
        <v>0</v>
      </c>
      <c r="U485" s="25">
        <f t="shared" si="21"/>
        <v>0</v>
      </c>
    </row>
    <row r="486" spans="1:21" ht="10.9" customHeight="1" x14ac:dyDescent="0.2">
      <c r="A486" s="82" t="s">
        <v>3637</v>
      </c>
      <c r="B486" s="83">
        <v>45716</v>
      </c>
      <c r="C486" s="82" t="s">
        <v>3395</v>
      </c>
      <c r="D486" s="82" t="s">
        <v>3513</v>
      </c>
      <c r="E486" s="82"/>
      <c r="F486" s="82" t="s">
        <v>5249</v>
      </c>
      <c r="G486" s="89">
        <v>1</v>
      </c>
      <c r="H486" s="89">
        <v>10655.5</v>
      </c>
      <c r="I486" s="85">
        <v>0</v>
      </c>
      <c r="J486" s="85">
        <v>0</v>
      </c>
      <c r="K486" s="85">
        <v>10655.5</v>
      </c>
      <c r="L486" s="85">
        <v>24174.58</v>
      </c>
      <c r="M486" s="89">
        <v>15400.703008018685</v>
      </c>
      <c r="N486" s="85">
        <v>0</v>
      </c>
      <c r="O486" s="85">
        <v>0</v>
      </c>
      <c r="P486" s="85">
        <v>15400.703008018685</v>
      </c>
      <c r="Q486" s="85">
        <v>34940.221193147983</v>
      </c>
      <c r="R486" s="82" t="s">
        <v>3399</v>
      </c>
      <c r="S486" s="7">
        <f t="shared" si="22"/>
        <v>0</v>
      </c>
      <c r="T486" s="6">
        <f t="shared" si="23"/>
        <v>0</v>
      </c>
      <c r="U486" s="25">
        <f t="shared" si="21"/>
        <v>0</v>
      </c>
    </row>
    <row r="487" spans="1:21" ht="10.9" customHeight="1" x14ac:dyDescent="0.2">
      <c r="A487" s="82" t="s">
        <v>2493</v>
      </c>
      <c r="B487" s="83">
        <v>45716</v>
      </c>
      <c r="C487" s="82" t="s">
        <v>3395</v>
      </c>
      <c r="D487" s="82" t="s">
        <v>1874</v>
      </c>
      <c r="E487" s="82"/>
      <c r="F487" s="82" t="s">
        <v>5635</v>
      </c>
      <c r="G487" s="89">
        <v>1</v>
      </c>
      <c r="H487" s="89">
        <v>1448.78</v>
      </c>
      <c r="I487" s="85">
        <v>0</v>
      </c>
      <c r="J487" s="85">
        <v>72.44</v>
      </c>
      <c r="K487" s="85">
        <v>1521.22</v>
      </c>
      <c r="L487" s="85">
        <v>1521.22</v>
      </c>
      <c r="M487" s="89">
        <v>1448.78</v>
      </c>
      <c r="N487" s="85">
        <v>0</v>
      </c>
      <c r="O487" s="85">
        <v>72.44</v>
      </c>
      <c r="P487" s="85">
        <v>1521.22</v>
      </c>
      <c r="Q487" s="85">
        <v>1521.22</v>
      </c>
      <c r="R487" s="82" t="s">
        <v>3399</v>
      </c>
      <c r="S487" s="7">
        <f t="shared" si="22"/>
        <v>0</v>
      </c>
      <c r="T487" s="6">
        <f t="shared" si="23"/>
        <v>0</v>
      </c>
      <c r="U487" s="25">
        <f t="shared" si="21"/>
        <v>0</v>
      </c>
    </row>
    <row r="488" spans="1:21" ht="21.4" customHeight="1" x14ac:dyDescent="0.2">
      <c r="A488" s="82" t="s">
        <v>3636</v>
      </c>
      <c r="B488" s="83">
        <v>45717</v>
      </c>
      <c r="C488" s="82" t="s">
        <v>3395</v>
      </c>
      <c r="D488" s="82" t="s">
        <v>3549</v>
      </c>
      <c r="E488" s="82"/>
      <c r="F488" s="90" t="s">
        <v>5633</v>
      </c>
      <c r="G488" s="89">
        <v>1</v>
      </c>
      <c r="H488" s="89">
        <v>153.49</v>
      </c>
      <c r="I488" s="85">
        <v>0</v>
      </c>
      <c r="J488" s="85">
        <v>7.67</v>
      </c>
      <c r="K488" s="85">
        <v>161.16</v>
      </c>
      <c r="L488" s="85">
        <v>161.16</v>
      </c>
      <c r="M488" s="89">
        <v>153.49</v>
      </c>
      <c r="N488" s="85">
        <v>0</v>
      </c>
      <c r="O488" s="85">
        <v>7.67</v>
      </c>
      <c r="P488" s="85">
        <v>161.16</v>
      </c>
      <c r="Q488" s="85">
        <v>161.16</v>
      </c>
      <c r="R488" s="82" t="s">
        <v>3399</v>
      </c>
      <c r="S488" s="7">
        <f t="shared" si="22"/>
        <v>0</v>
      </c>
      <c r="T488" s="6">
        <f t="shared" si="23"/>
        <v>0</v>
      </c>
      <c r="U488" s="25">
        <f t="shared" si="21"/>
        <v>0</v>
      </c>
    </row>
    <row r="489" spans="1:21" ht="10.9" customHeight="1" x14ac:dyDescent="0.2">
      <c r="A489" s="82" t="s">
        <v>3635</v>
      </c>
      <c r="B489" s="83">
        <v>45719</v>
      </c>
      <c r="C489" s="82" t="s">
        <v>3395</v>
      </c>
      <c r="D489" s="82" t="s">
        <v>3633</v>
      </c>
      <c r="E489" s="82"/>
      <c r="F489" s="82" t="s">
        <v>5632</v>
      </c>
      <c r="G489" s="89">
        <v>1</v>
      </c>
      <c r="H489" s="89">
        <v>1675.38</v>
      </c>
      <c r="I489" s="85">
        <v>0</v>
      </c>
      <c r="J489" s="85">
        <v>0</v>
      </c>
      <c r="K489" s="85">
        <v>1675.38</v>
      </c>
      <c r="L489" s="85">
        <v>1675.38</v>
      </c>
      <c r="M489" s="89">
        <v>2430.0204075416527</v>
      </c>
      <c r="N489" s="85">
        <v>0</v>
      </c>
      <c r="O489" s="85">
        <v>0</v>
      </c>
      <c r="P489" s="85">
        <v>2430.0204075416527</v>
      </c>
      <c r="Q489" s="85">
        <v>2430.0204075416527</v>
      </c>
      <c r="R489" s="82" t="s">
        <v>3399</v>
      </c>
      <c r="S489" s="7">
        <f t="shared" si="22"/>
        <v>0</v>
      </c>
      <c r="T489" s="6">
        <f t="shared" si="23"/>
        <v>0</v>
      </c>
      <c r="U489" s="25">
        <f t="shared" si="21"/>
        <v>0</v>
      </c>
    </row>
    <row r="490" spans="1:21" ht="10.9" customHeight="1" x14ac:dyDescent="0.2">
      <c r="A490" s="82" t="s">
        <v>3630</v>
      </c>
      <c r="B490" s="83">
        <v>45719</v>
      </c>
      <c r="C490" s="82" t="s">
        <v>3395</v>
      </c>
      <c r="D490" s="82" t="s">
        <v>3629</v>
      </c>
      <c r="E490" s="82"/>
      <c r="F490" s="82" t="s">
        <v>4451</v>
      </c>
      <c r="G490" s="89">
        <v>1</v>
      </c>
      <c r="H490" s="89">
        <v>8034</v>
      </c>
      <c r="I490" s="85">
        <v>0</v>
      </c>
      <c r="J490" s="85">
        <v>0</v>
      </c>
      <c r="K490" s="85">
        <v>8034</v>
      </c>
      <c r="L490" s="85">
        <v>8034</v>
      </c>
      <c r="M490" s="89">
        <v>11652.749796577276</v>
      </c>
      <c r="N490" s="85">
        <v>0</v>
      </c>
      <c r="O490" s="85">
        <v>0</v>
      </c>
      <c r="P490" s="85">
        <v>11652.749796577276</v>
      </c>
      <c r="Q490" s="85">
        <v>11652.749796577276</v>
      </c>
      <c r="R490" s="82" t="s">
        <v>3396</v>
      </c>
      <c r="S490" s="7">
        <f t="shared" si="22"/>
        <v>0</v>
      </c>
      <c r="T490" s="6">
        <f t="shared" si="23"/>
        <v>0</v>
      </c>
      <c r="U490" s="25">
        <f t="shared" si="21"/>
        <v>0</v>
      </c>
    </row>
    <row r="491" spans="1:21" ht="10.9" customHeight="1" x14ac:dyDescent="0.2">
      <c r="A491" s="82" t="s">
        <v>2464</v>
      </c>
      <c r="B491" s="83">
        <v>45719</v>
      </c>
      <c r="C491" s="82" t="s">
        <v>3395</v>
      </c>
      <c r="D491" s="82" t="s">
        <v>1933</v>
      </c>
      <c r="E491" s="82"/>
      <c r="F491" s="82" t="s">
        <v>4854</v>
      </c>
      <c r="G491" s="89">
        <v>10</v>
      </c>
      <c r="H491" s="89">
        <v>50.58</v>
      </c>
      <c r="I491" s="85">
        <v>0</v>
      </c>
      <c r="J491" s="85">
        <v>65.75</v>
      </c>
      <c r="K491" s="85">
        <v>571.54999999999995</v>
      </c>
      <c r="L491" s="85">
        <v>880.04</v>
      </c>
      <c r="M491" s="89">
        <v>50.58</v>
      </c>
      <c r="N491" s="85">
        <v>0</v>
      </c>
      <c r="O491" s="85">
        <v>65.75</v>
      </c>
      <c r="P491" s="85">
        <v>571.54999999999995</v>
      </c>
      <c r="Q491" s="85">
        <v>880.04</v>
      </c>
      <c r="R491" s="82" t="s">
        <v>3399</v>
      </c>
      <c r="S491" s="7">
        <f t="shared" si="22"/>
        <v>0</v>
      </c>
      <c r="T491" s="6">
        <f t="shared" si="23"/>
        <v>0</v>
      </c>
      <c r="U491" s="25">
        <f t="shared" si="21"/>
        <v>0</v>
      </c>
    </row>
    <row r="492" spans="1:21" ht="10.9" customHeight="1" x14ac:dyDescent="0.2">
      <c r="A492" s="82" t="s">
        <v>2464</v>
      </c>
      <c r="B492" s="83">
        <v>45719</v>
      </c>
      <c r="C492" s="82" t="s">
        <v>3395</v>
      </c>
      <c r="D492" s="82" t="s">
        <v>1933</v>
      </c>
      <c r="E492" s="82"/>
      <c r="F492" s="82" t="s">
        <v>5023</v>
      </c>
      <c r="G492" s="89">
        <v>5</v>
      </c>
      <c r="H492" s="89">
        <v>54.6</v>
      </c>
      <c r="I492" s="85">
        <v>0</v>
      </c>
      <c r="J492" s="85">
        <v>35.49</v>
      </c>
      <c r="K492" s="85">
        <v>308.49</v>
      </c>
      <c r="L492" s="85">
        <v>880.04</v>
      </c>
      <c r="M492" s="89">
        <v>54.6</v>
      </c>
      <c r="N492" s="85">
        <v>0</v>
      </c>
      <c r="O492" s="85">
        <v>35.49</v>
      </c>
      <c r="P492" s="85">
        <v>308.49</v>
      </c>
      <c r="Q492" s="85">
        <v>880.04</v>
      </c>
      <c r="R492" s="82" t="s">
        <v>3399</v>
      </c>
      <c r="S492" s="7">
        <f t="shared" si="22"/>
        <v>0</v>
      </c>
      <c r="T492" s="6">
        <f t="shared" si="23"/>
        <v>0</v>
      </c>
      <c r="U492" s="25">
        <f t="shared" si="21"/>
        <v>0</v>
      </c>
    </row>
    <row r="493" spans="1:21" ht="10.9" customHeight="1" x14ac:dyDescent="0.2">
      <c r="A493" s="82" t="s">
        <v>2451</v>
      </c>
      <c r="B493" s="83">
        <v>45719</v>
      </c>
      <c r="C493" s="82" t="s">
        <v>3395</v>
      </c>
      <c r="D493" s="82" t="s">
        <v>1955</v>
      </c>
      <c r="E493" s="82"/>
      <c r="F493" s="82" t="s">
        <v>5460</v>
      </c>
      <c r="G493" s="89">
        <v>1</v>
      </c>
      <c r="H493" s="89">
        <v>296.85000000000002</v>
      </c>
      <c r="I493" s="85">
        <v>0</v>
      </c>
      <c r="J493" s="85">
        <v>38.590000000000003</v>
      </c>
      <c r="K493" s="85">
        <v>335.44</v>
      </c>
      <c r="L493" s="85">
        <v>607.11</v>
      </c>
      <c r="M493" s="89">
        <v>296.85000000000002</v>
      </c>
      <c r="N493" s="85">
        <v>0</v>
      </c>
      <c r="O493" s="85">
        <v>38.590000000000003</v>
      </c>
      <c r="P493" s="85">
        <v>335.44</v>
      </c>
      <c r="Q493" s="85">
        <v>607.11</v>
      </c>
      <c r="R493" s="82" t="s">
        <v>3399</v>
      </c>
      <c r="S493" s="7">
        <f t="shared" si="22"/>
        <v>0</v>
      </c>
      <c r="T493" s="6">
        <f t="shared" si="23"/>
        <v>0</v>
      </c>
      <c r="U493" s="25">
        <f t="shared" si="21"/>
        <v>0</v>
      </c>
    </row>
    <row r="494" spans="1:21" ht="10.9" customHeight="1" x14ac:dyDescent="0.2">
      <c r="A494" s="82" t="s">
        <v>2451</v>
      </c>
      <c r="B494" s="83">
        <v>45719</v>
      </c>
      <c r="C494" s="82" t="s">
        <v>3395</v>
      </c>
      <c r="D494" s="82" t="s">
        <v>1955</v>
      </c>
      <c r="E494" s="82"/>
      <c r="F494" s="82" t="s">
        <v>4691</v>
      </c>
      <c r="G494" s="89">
        <v>1</v>
      </c>
      <c r="H494" s="89">
        <v>240.42</v>
      </c>
      <c r="I494" s="85">
        <v>0</v>
      </c>
      <c r="J494" s="85">
        <v>31.25</v>
      </c>
      <c r="K494" s="85">
        <v>271.67</v>
      </c>
      <c r="L494" s="85">
        <v>607.11</v>
      </c>
      <c r="M494" s="89">
        <v>240.42</v>
      </c>
      <c r="N494" s="85">
        <v>0</v>
      </c>
      <c r="O494" s="85">
        <v>31.25</v>
      </c>
      <c r="P494" s="85">
        <v>271.67</v>
      </c>
      <c r="Q494" s="85">
        <v>607.11</v>
      </c>
      <c r="R494" s="82" t="s">
        <v>3399</v>
      </c>
      <c r="S494" s="7">
        <f t="shared" si="22"/>
        <v>0</v>
      </c>
      <c r="T494" s="6">
        <f t="shared" si="23"/>
        <v>0</v>
      </c>
      <c r="U494" s="25">
        <f t="shared" si="21"/>
        <v>0</v>
      </c>
    </row>
    <row r="495" spans="1:21" ht="10.9" customHeight="1" x14ac:dyDescent="0.2">
      <c r="A495" s="82" t="s">
        <v>2498</v>
      </c>
      <c r="B495" s="83">
        <v>45719</v>
      </c>
      <c r="C495" s="82" t="s">
        <v>3395</v>
      </c>
      <c r="D495" s="82" t="s">
        <v>1866</v>
      </c>
      <c r="E495" s="82"/>
      <c r="F495" s="82" t="s">
        <v>4739</v>
      </c>
      <c r="G495" s="89">
        <v>2</v>
      </c>
      <c r="H495" s="89">
        <v>164.44</v>
      </c>
      <c r="I495" s="85">
        <v>0</v>
      </c>
      <c r="J495" s="85">
        <v>16.440000000000001</v>
      </c>
      <c r="K495" s="85">
        <v>345.32</v>
      </c>
      <c r="L495" s="85">
        <v>345.32</v>
      </c>
      <c r="M495" s="89">
        <v>164.44</v>
      </c>
      <c r="N495" s="85">
        <v>0</v>
      </c>
      <c r="O495" s="85">
        <v>16.440000000000001</v>
      </c>
      <c r="P495" s="85">
        <v>345.32</v>
      </c>
      <c r="Q495" s="85">
        <v>345.32</v>
      </c>
      <c r="R495" s="82" t="s">
        <v>3399</v>
      </c>
      <c r="S495" s="7">
        <f t="shared" si="22"/>
        <v>0</v>
      </c>
      <c r="T495" s="6">
        <f t="shared" si="23"/>
        <v>0</v>
      </c>
      <c r="U495" s="25">
        <f t="shared" si="21"/>
        <v>0</v>
      </c>
    </row>
    <row r="496" spans="1:21" ht="10.9" customHeight="1" x14ac:dyDescent="0.2">
      <c r="A496" s="82" t="s">
        <v>2490</v>
      </c>
      <c r="B496" s="83">
        <v>45719</v>
      </c>
      <c r="C496" s="82" t="s">
        <v>3395</v>
      </c>
      <c r="D496" s="82" t="s">
        <v>3631</v>
      </c>
      <c r="E496" s="82"/>
      <c r="F496" s="82" t="s">
        <v>4736</v>
      </c>
      <c r="G496" s="89">
        <v>2</v>
      </c>
      <c r="H496" s="89">
        <v>423.08</v>
      </c>
      <c r="I496" s="85">
        <v>0</v>
      </c>
      <c r="J496" s="85">
        <v>110</v>
      </c>
      <c r="K496" s="85">
        <v>956.16</v>
      </c>
      <c r="L496" s="85">
        <v>956.16</v>
      </c>
      <c r="M496" s="89">
        <v>423.08</v>
      </c>
      <c r="N496" s="85">
        <v>0</v>
      </c>
      <c r="O496" s="85">
        <v>110</v>
      </c>
      <c r="P496" s="85">
        <v>956.16</v>
      </c>
      <c r="Q496" s="85">
        <v>956.16</v>
      </c>
      <c r="R496" s="82" t="s">
        <v>3399</v>
      </c>
      <c r="S496" s="7">
        <f t="shared" si="22"/>
        <v>0</v>
      </c>
      <c r="T496" s="6">
        <f t="shared" si="23"/>
        <v>0</v>
      </c>
      <c r="U496" s="25">
        <f t="shared" si="21"/>
        <v>0</v>
      </c>
    </row>
    <row r="497" spans="1:21" ht="10.9" customHeight="1" x14ac:dyDescent="0.2">
      <c r="A497" s="82" t="s">
        <v>2376</v>
      </c>
      <c r="B497" s="83">
        <v>45719</v>
      </c>
      <c r="C497" s="82" t="s">
        <v>3395</v>
      </c>
      <c r="D497" s="82" t="s">
        <v>2073</v>
      </c>
      <c r="E497" s="82"/>
      <c r="F497" s="82" t="s">
        <v>4686</v>
      </c>
      <c r="G497" s="89">
        <v>2</v>
      </c>
      <c r="H497" s="89">
        <v>139.97</v>
      </c>
      <c r="I497" s="85">
        <v>0</v>
      </c>
      <c r="J497" s="85">
        <v>14</v>
      </c>
      <c r="K497" s="85">
        <v>293.94</v>
      </c>
      <c r="L497" s="85">
        <v>293.94</v>
      </c>
      <c r="M497" s="89">
        <v>139.97</v>
      </c>
      <c r="N497" s="85">
        <v>0</v>
      </c>
      <c r="O497" s="85">
        <v>14</v>
      </c>
      <c r="P497" s="85">
        <v>293.94</v>
      </c>
      <c r="Q497" s="85">
        <v>293.94</v>
      </c>
      <c r="R497" s="82" t="s">
        <v>3399</v>
      </c>
      <c r="S497" s="7">
        <f t="shared" si="22"/>
        <v>0</v>
      </c>
      <c r="T497" s="6">
        <f t="shared" si="23"/>
        <v>0</v>
      </c>
      <c r="U497" s="25">
        <f t="shared" si="21"/>
        <v>0</v>
      </c>
    </row>
    <row r="498" spans="1:21" ht="10.9" customHeight="1" x14ac:dyDescent="0.2">
      <c r="A498" s="82" t="s">
        <v>2330</v>
      </c>
      <c r="B498" s="83">
        <v>45720</v>
      </c>
      <c r="C498" s="82" t="s">
        <v>3395</v>
      </c>
      <c r="D498" s="82" t="s">
        <v>2154</v>
      </c>
      <c r="E498" s="82"/>
      <c r="F498" s="82" t="s">
        <v>5631</v>
      </c>
      <c r="G498" s="89">
        <v>1</v>
      </c>
      <c r="H498" s="89">
        <v>1185.0999999999999</v>
      </c>
      <c r="I498" s="85">
        <v>0</v>
      </c>
      <c r="J498" s="85">
        <v>59.26</v>
      </c>
      <c r="K498" s="85">
        <v>1244.3599999999999</v>
      </c>
      <c r="L498" s="85">
        <v>1244.3599999999999</v>
      </c>
      <c r="M498" s="89">
        <v>1185.0999999999999</v>
      </c>
      <c r="N498" s="85">
        <v>0</v>
      </c>
      <c r="O498" s="85">
        <v>59.26</v>
      </c>
      <c r="P498" s="85">
        <v>1244.3599999999999</v>
      </c>
      <c r="Q498" s="85">
        <v>1244.3599999999999</v>
      </c>
      <c r="R498" s="82" t="s">
        <v>3399</v>
      </c>
      <c r="S498" s="7">
        <f t="shared" si="22"/>
        <v>0</v>
      </c>
      <c r="T498" s="6">
        <f t="shared" si="23"/>
        <v>0</v>
      </c>
      <c r="U498" s="25">
        <f t="shared" si="21"/>
        <v>0</v>
      </c>
    </row>
    <row r="499" spans="1:21" ht="10.9" customHeight="1" x14ac:dyDescent="0.2">
      <c r="A499" s="82" t="s">
        <v>2506</v>
      </c>
      <c r="B499" s="83">
        <v>45720</v>
      </c>
      <c r="C499" s="82" t="s">
        <v>3395</v>
      </c>
      <c r="D499" s="82" t="s">
        <v>1856</v>
      </c>
      <c r="E499" s="82"/>
      <c r="F499" s="82" t="s">
        <v>4594</v>
      </c>
      <c r="G499" s="89">
        <v>1</v>
      </c>
      <c r="H499" s="89">
        <v>270.35000000000002</v>
      </c>
      <c r="I499" s="85">
        <v>0</v>
      </c>
      <c r="J499" s="85">
        <v>13.52</v>
      </c>
      <c r="K499" s="85">
        <v>283.87</v>
      </c>
      <c r="L499" s="85">
        <v>283.87</v>
      </c>
      <c r="M499" s="89">
        <v>270.35000000000002</v>
      </c>
      <c r="N499" s="85">
        <v>0</v>
      </c>
      <c r="O499" s="85">
        <v>13.52</v>
      </c>
      <c r="P499" s="85">
        <v>283.87</v>
      </c>
      <c r="Q499" s="85">
        <v>283.87</v>
      </c>
      <c r="R499" s="82" t="s">
        <v>3399</v>
      </c>
      <c r="S499" s="7">
        <f t="shared" si="22"/>
        <v>0</v>
      </c>
      <c r="T499" s="6">
        <f t="shared" si="23"/>
        <v>0</v>
      </c>
      <c r="U499" s="25">
        <f t="shared" si="21"/>
        <v>0</v>
      </c>
    </row>
    <row r="500" spans="1:21" ht="10.9" customHeight="1" x14ac:dyDescent="0.2">
      <c r="A500" s="82" t="s">
        <v>2502</v>
      </c>
      <c r="B500" s="83">
        <v>45720</v>
      </c>
      <c r="C500" s="82" t="s">
        <v>3395</v>
      </c>
      <c r="D500" s="82" t="s">
        <v>1862</v>
      </c>
      <c r="E500" s="82"/>
      <c r="F500" s="82" t="s">
        <v>5630</v>
      </c>
      <c r="G500" s="89">
        <v>1</v>
      </c>
      <c r="H500" s="89">
        <v>641.21</v>
      </c>
      <c r="I500" s="85">
        <v>0</v>
      </c>
      <c r="J500" s="85">
        <v>32.06</v>
      </c>
      <c r="K500" s="85">
        <v>673.27</v>
      </c>
      <c r="L500" s="85">
        <v>673.27</v>
      </c>
      <c r="M500" s="89">
        <v>641.21</v>
      </c>
      <c r="N500" s="85">
        <v>0</v>
      </c>
      <c r="O500" s="85">
        <v>32.06</v>
      </c>
      <c r="P500" s="85">
        <v>673.27</v>
      </c>
      <c r="Q500" s="85">
        <v>673.27</v>
      </c>
      <c r="R500" s="82" t="s">
        <v>3399</v>
      </c>
      <c r="S500" s="7">
        <f t="shared" si="22"/>
        <v>0</v>
      </c>
      <c r="T500" s="6">
        <f t="shared" si="23"/>
        <v>0</v>
      </c>
      <c r="U500" s="25">
        <f t="shared" si="21"/>
        <v>0</v>
      </c>
    </row>
    <row r="501" spans="1:21" ht="10.9" customHeight="1" x14ac:dyDescent="0.2">
      <c r="A501" s="82" t="s">
        <v>2310</v>
      </c>
      <c r="B501" s="83">
        <v>45720</v>
      </c>
      <c r="C501" s="82" t="s">
        <v>3395</v>
      </c>
      <c r="D501" s="82" t="s">
        <v>2193</v>
      </c>
      <c r="E501" s="82"/>
      <c r="F501" s="82" t="s">
        <v>4776</v>
      </c>
      <c r="G501" s="89">
        <v>1</v>
      </c>
      <c r="H501" s="89">
        <v>1569.98</v>
      </c>
      <c r="I501" s="85">
        <v>0</v>
      </c>
      <c r="J501" s="85">
        <v>78.5</v>
      </c>
      <c r="K501" s="85">
        <v>1648.48</v>
      </c>
      <c r="L501" s="85">
        <v>6106.39</v>
      </c>
      <c r="M501" s="89">
        <v>1569.98</v>
      </c>
      <c r="N501" s="85">
        <v>0</v>
      </c>
      <c r="O501" s="85">
        <v>78.5</v>
      </c>
      <c r="P501" s="85">
        <v>1648.48</v>
      </c>
      <c r="Q501" s="85">
        <v>6106.39</v>
      </c>
      <c r="R501" s="82" t="s">
        <v>3399</v>
      </c>
      <c r="S501" s="7">
        <f t="shared" si="22"/>
        <v>0</v>
      </c>
      <c r="T501" s="6">
        <f t="shared" si="23"/>
        <v>0</v>
      </c>
      <c r="U501" s="25">
        <f t="shared" si="21"/>
        <v>0</v>
      </c>
    </row>
    <row r="502" spans="1:21" ht="10.9" customHeight="1" x14ac:dyDescent="0.2">
      <c r="A502" s="82" t="s">
        <v>2310</v>
      </c>
      <c r="B502" s="83">
        <v>45720</v>
      </c>
      <c r="C502" s="82" t="s">
        <v>3395</v>
      </c>
      <c r="D502" s="82" t="s">
        <v>2193</v>
      </c>
      <c r="E502" s="82"/>
      <c r="F502" s="82" t="s">
        <v>4775</v>
      </c>
      <c r="G502" s="89">
        <v>1</v>
      </c>
      <c r="H502" s="89">
        <v>1626.36</v>
      </c>
      <c r="I502" s="85">
        <v>0</v>
      </c>
      <c r="J502" s="85">
        <v>81.319999999999993</v>
      </c>
      <c r="K502" s="85">
        <v>1707.68</v>
      </c>
      <c r="L502" s="85">
        <v>6106.39</v>
      </c>
      <c r="M502" s="89">
        <v>1626.36</v>
      </c>
      <c r="N502" s="85">
        <v>0</v>
      </c>
      <c r="O502" s="85">
        <v>81.319999999999993</v>
      </c>
      <c r="P502" s="85">
        <v>1707.68</v>
      </c>
      <c r="Q502" s="85">
        <v>6106.39</v>
      </c>
      <c r="R502" s="82" t="s">
        <v>3399</v>
      </c>
      <c r="S502" s="7">
        <f t="shared" si="22"/>
        <v>0</v>
      </c>
      <c r="T502" s="6">
        <f t="shared" si="23"/>
        <v>0</v>
      </c>
      <c r="U502" s="25">
        <f t="shared" si="21"/>
        <v>0</v>
      </c>
    </row>
    <row r="503" spans="1:21" ht="10.9" customHeight="1" x14ac:dyDescent="0.2">
      <c r="A503" s="82" t="s">
        <v>2310</v>
      </c>
      <c r="B503" s="83">
        <v>45720</v>
      </c>
      <c r="C503" s="82" t="s">
        <v>3395</v>
      </c>
      <c r="D503" s="82" t="s">
        <v>2193</v>
      </c>
      <c r="E503" s="82"/>
      <c r="F503" s="82" t="s">
        <v>4774</v>
      </c>
      <c r="G503" s="89">
        <v>1</v>
      </c>
      <c r="H503" s="89">
        <v>2619.27</v>
      </c>
      <c r="I503" s="85">
        <v>0</v>
      </c>
      <c r="J503" s="85">
        <v>130.96</v>
      </c>
      <c r="K503" s="85">
        <v>2750.23</v>
      </c>
      <c r="L503" s="85">
        <v>6106.39</v>
      </c>
      <c r="M503" s="89">
        <v>2619.27</v>
      </c>
      <c r="N503" s="85">
        <v>0</v>
      </c>
      <c r="O503" s="85">
        <v>130.96</v>
      </c>
      <c r="P503" s="85">
        <v>2750.23</v>
      </c>
      <c r="Q503" s="85">
        <v>6106.39</v>
      </c>
      <c r="R503" s="82" t="s">
        <v>3399</v>
      </c>
      <c r="S503" s="7">
        <f t="shared" si="22"/>
        <v>0</v>
      </c>
      <c r="T503" s="6">
        <f t="shared" si="23"/>
        <v>0</v>
      </c>
      <c r="U503" s="25">
        <f t="shared" si="21"/>
        <v>0</v>
      </c>
    </row>
    <row r="504" spans="1:21" ht="10.9" customHeight="1" x14ac:dyDescent="0.2">
      <c r="A504" s="82" t="s">
        <v>2505</v>
      </c>
      <c r="B504" s="83">
        <v>45720</v>
      </c>
      <c r="C504" s="82" t="s">
        <v>3395</v>
      </c>
      <c r="D504" s="82" t="s">
        <v>1858</v>
      </c>
      <c r="E504" s="82"/>
      <c r="F504" s="82" t="s">
        <v>5596</v>
      </c>
      <c r="G504" s="89">
        <v>1</v>
      </c>
      <c r="H504" s="89">
        <v>7620.95</v>
      </c>
      <c r="I504" s="85">
        <v>7620.95</v>
      </c>
      <c r="J504" s="85">
        <v>0</v>
      </c>
      <c r="K504" s="85">
        <v>0</v>
      </c>
      <c r="L504" s="85">
        <v>0</v>
      </c>
      <c r="M504" s="89">
        <v>7620.95</v>
      </c>
      <c r="N504" s="85">
        <v>7620.95</v>
      </c>
      <c r="O504" s="85">
        <v>0</v>
      </c>
      <c r="P504" s="85">
        <v>0</v>
      </c>
      <c r="Q504" s="85">
        <v>0</v>
      </c>
      <c r="R504" s="82" t="s">
        <v>3399</v>
      </c>
      <c r="S504" s="7">
        <f t="shared" si="22"/>
        <v>0</v>
      </c>
      <c r="T504" s="6">
        <f t="shared" si="23"/>
        <v>0</v>
      </c>
      <c r="U504" s="25">
        <f t="shared" si="21"/>
        <v>0</v>
      </c>
    </row>
    <row r="505" spans="1:21" ht="10.9" customHeight="1" x14ac:dyDescent="0.2">
      <c r="A505" s="82" t="s">
        <v>2494</v>
      </c>
      <c r="B505" s="83">
        <v>45721</v>
      </c>
      <c r="C505" s="82" t="s">
        <v>3395</v>
      </c>
      <c r="D505" s="82" t="s">
        <v>1872</v>
      </c>
      <c r="E505" s="82"/>
      <c r="F505" s="82" t="s">
        <v>5349</v>
      </c>
      <c r="G505" s="89">
        <v>3</v>
      </c>
      <c r="H505" s="89">
        <v>73.78</v>
      </c>
      <c r="I505" s="85">
        <v>0</v>
      </c>
      <c r="J505" s="85">
        <v>11.07</v>
      </c>
      <c r="K505" s="85">
        <v>232.41</v>
      </c>
      <c r="L505" s="85">
        <v>232.41</v>
      </c>
      <c r="M505" s="89">
        <v>73.78</v>
      </c>
      <c r="N505" s="85">
        <v>0</v>
      </c>
      <c r="O505" s="85">
        <v>11.07</v>
      </c>
      <c r="P505" s="85">
        <v>232.41</v>
      </c>
      <c r="Q505" s="85">
        <v>232.41</v>
      </c>
      <c r="R505" s="82" t="s">
        <v>3399</v>
      </c>
      <c r="S505" s="7">
        <f t="shared" si="22"/>
        <v>0</v>
      </c>
      <c r="T505" s="6">
        <f t="shared" si="23"/>
        <v>0</v>
      </c>
      <c r="U505" s="25">
        <f t="shared" si="21"/>
        <v>0</v>
      </c>
    </row>
    <row r="506" spans="1:21" ht="10.9" customHeight="1" x14ac:dyDescent="0.2">
      <c r="A506" s="82" t="s">
        <v>2438</v>
      </c>
      <c r="B506" s="83">
        <v>45721</v>
      </c>
      <c r="C506" s="82" t="s">
        <v>3395</v>
      </c>
      <c r="D506" s="82" t="s">
        <v>1978</v>
      </c>
      <c r="E506" s="82"/>
      <c r="F506" s="82" t="s">
        <v>5031</v>
      </c>
      <c r="G506" s="89">
        <v>2</v>
      </c>
      <c r="H506" s="89">
        <v>28.93</v>
      </c>
      <c r="I506" s="85">
        <v>0</v>
      </c>
      <c r="J506" s="85">
        <v>2.89</v>
      </c>
      <c r="K506" s="85">
        <v>60.75</v>
      </c>
      <c r="L506" s="85">
        <v>654.09</v>
      </c>
      <c r="M506" s="89">
        <v>28.93</v>
      </c>
      <c r="N506" s="85">
        <v>0</v>
      </c>
      <c r="O506" s="85">
        <v>2.89</v>
      </c>
      <c r="P506" s="85">
        <v>60.75</v>
      </c>
      <c r="Q506" s="85">
        <v>654.09</v>
      </c>
      <c r="R506" s="82" t="s">
        <v>3399</v>
      </c>
      <c r="S506" s="7">
        <f t="shared" si="22"/>
        <v>0</v>
      </c>
      <c r="T506" s="6">
        <f t="shared" si="23"/>
        <v>0</v>
      </c>
      <c r="U506" s="25">
        <f t="shared" si="21"/>
        <v>0</v>
      </c>
    </row>
    <row r="507" spans="1:21" ht="10.9" customHeight="1" x14ac:dyDescent="0.2">
      <c r="A507" s="82" t="s">
        <v>2438</v>
      </c>
      <c r="B507" s="83">
        <v>45721</v>
      </c>
      <c r="C507" s="82" t="s">
        <v>3395</v>
      </c>
      <c r="D507" s="82" t="s">
        <v>1978</v>
      </c>
      <c r="E507" s="82"/>
      <c r="F507" s="82" t="s">
        <v>4610</v>
      </c>
      <c r="G507" s="89">
        <v>1</v>
      </c>
      <c r="H507" s="89">
        <v>565.09</v>
      </c>
      <c r="I507" s="85">
        <v>0</v>
      </c>
      <c r="J507" s="85">
        <v>28.25</v>
      </c>
      <c r="K507" s="85">
        <v>593.34</v>
      </c>
      <c r="L507" s="85">
        <v>654.09</v>
      </c>
      <c r="M507" s="89">
        <v>565.09</v>
      </c>
      <c r="N507" s="85">
        <v>0</v>
      </c>
      <c r="O507" s="85">
        <v>28.25</v>
      </c>
      <c r="P507" s="85">
        <v>593.34</v>
      </c>
      <c r="Q507" s="85">
        <v>654.09</v>
      </c>
      <c r="R507" s="82" t="s">
        <v>3399</v>
      </c>
      <c r="S507" s="7">
        <f t="shared" si="22"/>
        <v>0</v>
      </c>
      <c r="T507" s="6">
        <f t="shared" si="23"/>
        <v>0</v>
      </c>
      <c r="U507" s="25">
        <f t="shared" si="21"/>
        <v>0</v>
      </c>
    </row>
    <row r="508" spans="1:21" ht="10.9" customHeight="1" x14ac:dyDescent="0.2">
      <c r="A508" s="82" t="s">
        <v>2309</v>
      </c>
      <c r="B508" s="83">
        <v>45721</v>
      </c>
      <c r="C508" s="82" t="s">
        <v>3395</v>
      </c>
      <c r="D508" s="82" t="s">
        <v>2195</v>
      </c>
      <c r="E508" s="82"/>
      <c r="F508" s="82" t="s">
        <v>5629</v>
      </c>
      <c r="G508" s="89">
        <v>1</v>
      </c>
      <c r="H508" s="89">
        <v>3110.02</v>
      </c>
      <c r="I508" s="85">
        <v>0</v>
      </c>
      <c r="J508" s="85">
        <v>155.5</v>
      </c>
      <c r="K508" s="85">
        <v>3265.52</v>
      </c>
      <c r="L508" s="85">
        <v>7778.54</v>
      </c>
      <c r="M508" s="89">
        <v>3110.02</v>
      </c>
      <c r="N508" s="85">
        <v>0</v>
      </c>
      <c r="O508" s="85">
        <v>155.5</v>
      </c>
      <c r="P508" s="85">
        <v>3265.52</v>
      </c>
      <c r="Q508" s="85">
        <v>7778.54</v>
      </c>
      <c r="R508" s="82" t="s">
        <v>3399</v>
      </c>
      <c r="S508" s="7">
        <f t="shared" si="22"/>
        <v>0</v>
      </c>
      <c r="T508" s="6">
        <f t="shared" si="23"/>
        <v>0</v>
      </c>
      <c r="U508" s="25">
        <f t="shared" si="21"/>
        <v>0</v>
      </c>
    </row>
    <row r="509" spans="1:21" ht="10.9" customHeight="1" x14ac:dyDescent="0.2">
      <c r="A509" s="82" t="s">
        <v>2309</v>
      </c>
      <c r="B509" s="83">
        <v>45721</v>
      </c>
      <c r="C509" s="82" t="s">
        <v>3395</v>
      </c>
      <c r="D509" s="82" t="s">
        <v>2195</v>
      </c>
      <c r="E509" s="82"/>
      <c r="F509" s="82" t="s">
        <v>5628</v>
      </c>
      <c r="G509" s="89">
        <v>1</v>
      </c>
      <c r="H509" s="89">
        <v>4298.1099999999997</v>
      </c>
      <c r="I509" s="85">
        <v>0</v>
      </c>
      <c r="J509" s="85">
        <v>214.91</v>
      </c>
      <c r="K509" s="85">
        <v>4513.0200000000004</v>
      </c>
      <c r="L509" s="85">
        <v>7778.54</v>
      </c>
      <c r="M509" s="89">
        <v>4298.1099999999997</v>
      </c>
      <c r="N509" s="85">
        <v>0</v>
      </c>
      <c r="O509" s="85">
        <v>214.91</v>
      </c>
      <c r="P509" s="85">
        <v>4513.0200000000004</v>
      </c>
      <c r="Q509" s="85">
        <v>7778.54</v>
      </c>
      <c r="R509" s="82" t="s">
        <v>3399</v>
      </c>
      <c r="S509" s="7">
        <f t="shared" si="22"/>
        <v>0</v>
      </c>
      <c r="T509" s="6">
        <f t="shared" si="23"/>
        <v>0</v>
      </c>
      <c r="U509" s="25">
        <f t="shared" si="21"/>
        <v>0</v>
      </c>
    </row>
    <row r="510" spans="1:21" ht="10.9" customHeight="1" x14ac:dyDescent="0.2">
      <c r="A510" s="82" t="s">
        <v>3628</v>
      </c>
      <c r="B510" s="83">
        <v>45721</v>
      </c>
      <c r="C510" s="82" t="s">
        <v>3395</v>
      </c>
      <c r="D510" s="82" t="s">
        <v>3627</v>
      </c>
      <c r="E510" s="82"/>
      <c r="F510" s="82" t="s">
        <v>5627</v>
      </c>
      <c r="G510" s="89">
        <v>1</v>
      </c>
      <c r="H510" s="89">
        <v>7329.88</v>
      </c>
      <c r="I510" s="85">
        <v>0</v>
      </c>
      <c r="J510" s="85">
        <v>366.49</v>
      </c>
      <c r="K510" s="85">
        <v>7696.37</v>
      </c>
      <c r="L510" s="85">
        <v>7696.37</v>
      </c>
      <c r="M510" s="89">
        <v>7329.88</v>
      </c>
      <c r="N510" s="85">
        <v>0</v>
      </c>
      <c r="O510" s="85">
        <v>366.49</v>
      </c>
      <c r="P510" s="85">
        <v>7696.37</v>
      </c>
      <c r="Q510" s="85">
        <v>7696.37</v>
      </c>
      <c r="R510" s="82" t="s">
        <v>3399</v>
      </c>
      <c r="S510" s="7">
        <f t="shared" si="22"/>
        <v>0</v>
      </c>
      <c r="T510" s="6">
        <f t="shared" si="23"/>
        <v>0</v>
      </c>
      <c r="U510" s="25">
        <f t="shared" si="21"/>
        <v>0</v>
      </c>
    </row>
    <row r="511" spans="1:21" ht="10.9" customHeight="1" x14ac:dyDescent="0.2">
      <c r="A511" s="82"/>
      <c r="B511" s="83">
        <v>45721</v>
      </c>
      <c r="C511" s="82" t="s">
        <v>3423</v>
      </c>
      <c r="D511" s="82" t="s">
        <v>1850</v>
      </c>
      <c r="E511" s="82"/>
      <c r="F511" s="82" t="s">
        <v>1850</v>
      </c>
      <c r="G511" s="89">
        <v>-1</v>
      </c>
      <c r="H511" s="89">
        <v>4254.3500000000004</v>
      </c>
      <c r="I511" s="85">
        <v>0</v>
      </c>
      <c r="J511" s="85">
        <v>0</v>
      </c>
      <c r="K511" s="85">
        <v>-4254.3500000000004</v>
      </c>
      <c r="L511" s="85">
        <v>-4254.3500000000004</v>
      </c>
      <c r="M511" s="89">
        <v>6095.1184324198093</v>
      </c>
      <c r="N511" s="85">
        <v>0</v>
      </c>
      <c r="O511" s="85">
        <v>0</v>
      </c>
      <c r="P511" s="85">
        <v>-6095.1184324198093</v>
      </c>
      <c r="Q511" s="85">
        <v>-6095.1184324198093</v>
      </c>
      <c r="R511" s="82" t="s">
        <v>3399</v>
      </c>
      <c r="S511" s="7">
        <f t="shared" si="22"/>
        <v>0</v>
      </c>
      <c r="T511" s="6">
        <f t="shared" si="23"/>
        <v>0</v>
      </c>
      <c r="U511" s="25">
        <f t="shared" si="21"/>
        <v>0</v>
      </c>
    </row>
    <row r="512" spans="1:21" ht="10.9" customHeight="1" x14ac:dyDescent="0.2">
      <c r="A512" s="82" t="s">
        <v>2306</v>
      </c>
      <c r="B512" s="83">
        <v>45722</v>
      </c>
      <c r="C512" s="82" t="s">
        <v>3395</v>
      </c>
      <c r="D512" s="82" t="s">
        <v>3624</v>
      </c>
      <c r="E512" s="82"/>
      <c r="F512" s="82" t="s">
        <v>4968</v>
      </c>
      <c r="G512" s="89">
        <v>1</v>
      </c>
      <c r="H512" s="89">
        <v>1662.14</v>
      </c>
      <c r="I512" s="85">
        <v>0</v>
      </c>
      <c r="J512" s="85">
        <v>83.11</v>
      </c>
      <c r="K512" s="85">
        <v>1745.25</v>
      </c>
      <c r="L512" s="85">
        <v>1745.25</v>
      </c>
      <c r="M512" s="89">
        <v>1662.14</v>
      </c>
      <c r="N512" s="85">
        <v>0</v>
      </c>
      <c r="O512" s="85">
        <v>83.11</v>
      </c>
      <c r="P512" s="85">
        <v>1745.25</v>
      </c>
      <c r="Q512" s="85">
        <v>1745.25</v>
      </c>
      <c r="R512" s="82" t="s">
        <v>3399</v>
      </c>
      <c r="S512" s="7">
        <f t="shared" si="22"/>
        <v>0</v>
      </c>
      <c r="T512" s="6">
        <f t="shared" si="23"/>
        <v>0</v>
      </c>
      <c r="U512" s="25">
        <f t="shared" si="21"/>
        <v>0</v>
      </c>
    </row>
    <row r="513" spans="1:21" ht="10.9" customHeight="1" x14ac:dyDescent="0.2">
      <c r="A513" s="82" t="s">
        <v>3623</v>
      </c>
      <c r="B513" s="83">
        <v>45722</v>
      </c>
      <c r="C513" s="82" t="s">
        <v>3395</v>
      </c>
      <c r="D513" s="82" t="s">
        <v>3621</v>
      </c>
      <c r="E513" s="82"/>
      <c r="F513" s="82" t="s">
        <v>5374</v>
      </c>
      <c r="G513" s="89">
        <v>1</v>
      </c>
      <c r="H513" s="89">
        <v>20332</v>
      </c>
      <c r="I513" s="85">
        <v>0</v>
      </c>
      <c r="J513" s="85">
        <v>0</v>
      </c>
      <c r="K513" s="85">
        <v>20332</v>
      </c>
      <c r="L513" s="85">
        <v>21312</v>
      </c>
      <c r="M513" s="89">
        <v>29092.844694118758</v>
      </c>
      <c r="N513" s="85">
        <v>0</v>
      </c>
      <c r="O513" s="85">
        <v>0</v>
      </c>
      <c r="P513" s="85">
        <v>29092.844694118758</v>
      </c>
      <c r="Q513" s="85">
        <v>30495.116374240555</v>
      </c>
      <c r="R513" s="82" t="s">
        <v>3399</v>
      </c>
      <c r="S513" s="7">
        <f t="shared" si="22"/>
        <v>0</v>
      </c>
      <c r="T513" s="6">
        <f t="shared" si="23"/>
        <v>0</v>
      </c>
      <c r="U513" s="25">
        <f t="shared" si="21"/>
        <v>0</v>
      </c>
    </row>
    <row r="514" spans="1:21" ht="10.9" customHeight="1" x14ac:dyDescent="0.2">
      <c r="A514" s="82" t="s">
        <v>3623</v>
      </c>
      <c r="B514" s="83">
        <v>45722</v>
      </c>
      <c r="C514" s="82" t="s">
        <v>3395</v>
      </c>
      <c r="D514" s="82" t="s">
        <v>3621</v>
      </c>
      <c r="E514" s="82"/>
      <c r="F514" s="82" t="s">
        <v>4459</v>
      </c>
      <c r="G514" s="89">
        <v>1</v>
      </c>
      <c r="H514" s="89">
        <v>980</v>
      </c>
      <c r="I514" s="85">
        <v>0</v>
      </c>
      <c r="J514" s="85">
        <v>0</v>
      </c>
      <c r="K514" s="85">
        <v>980</v>
      </c>
      <c r="L514" s="85">
        <v>21312</v>
      </c>
      <c r="M514" s="89">
        <v>1402.2716801217973</v>
      </c>
      <c r="N514" s="85">
        <v>0</v>
      </c>
      <c r="O514" s="85">
        <v>0</v>
      </c>
      <c r="P514" s="85">
        <v>1402.2716801217973</v>
      </c>
      <c r="Q514" s="85">
        <v>30495.116374240555</v>
      </c>
      <c r="R514" s="82" t="s">
        <v>3399</v>
      </c>
      <c r="S514" s="7" t="str">
        <f t="shared" si="22"/>
        <v>INV12708</v>
      </c>
      <c r="T514" s="6">
        <f t="shared" si="23"/>
        <v>1</v>
      </c>
      <c r="U514" s="25">
        <f t="shared" ref="U514:U577" si="24">IF(T514=1,K514-J514,0)</f>
        <v>980</v>
      </c>
    </row>
    <row r="515" spans="1:21" ht="10.9" customHeight="1" x14ac:dyDescent="0.2">
      <c r="A515" s="82" t="s">
        <v>2488</v>
      </c>
      <c r="B515" s="83">
        <v>45722</v>
      </c>
      <c r="C515" s="82" t="s">
        <v>3395</v>
      </c>
      <c r="D515" s="82" t="s">
        <v>1885</v>
      </c>
      <c r="E515" s="82"/>
      <c r="F515" s="82" t="s">
        <v>4425</v>
      </c>
      <c r="G515" s="89">
        <v>1</v>
      </c>
      <c r="H515" s="89">
        <v>1149.06</v>
      </c>
      <c r="I515" s="85">
        <v>0</v>
      </c>
      <c r="J515" s="85">
        <v>57.45</v>
      </c>
      <c r="K515" s="85">
        <v>1206.51</v>
      </c>
      <c r="L515" s="85">
        <v>3900.85</v>
      </c>
      <c r="M515" s="89">
        <v>1149.06</v>
      </c>
      <c r="N515" s="85">
        <v>0</v>
      </c>
      <c r="O515" s="85">
        <v>57.45</v>
      </c>
      <c r="P515" s="85">
        <v>1206.51</v>
      </c>
      <c r="Q515" s="85">
        <v>3900.85</v>
      </c>
      <c r="R515" s="82" t="s">
        <v>3399</v>
      </c>
      <c r="S515" s="7">
        <f t="shared" ref="S515:S578" si="25">IF(T515=1,A515,0)</f>
        <v>0</v>
      </c>
      <c r="T515" s="6">
        <f t="shared" ref="T515:T578" si="26">IFERROR(FIND("Freight",F515,1),0)</f>
        <v>0</v>
      </c>
      <c r="U515" s="25">
        <f t="shared" si="24"/>
        <v>0</v>
      </c>
    </row>
    <row r="516" spans="1:21" ht="10.9" customHeight="1" x14ac:dyDescent="0.2">
      <c r="A516" s="82" t="s">
        <v>2488</v>
      </c>
      <c r="B516" s="83">
        <v>45722</v>
      </c>
      <c r="C516" s="82" t="s">
        <v>3395</v>
      </c>
      <c r="D516" s="82" t="s">
        <v>1885</v>
      </c>
      <c r="E516" s="82"/>
      <c r="F516" s="82" t="s">
        <v>4806</v>
      </c>
      <c r="G516" s="89">
        <v>1</v>
      </c>
      <c r="H516" s="89">
        <v>40</v>
      </c>
      <c r="I516" s="85">
        <v>40</v>
      </c>
      <c r="J516" s="85">
        <v>0</v>
      </c>
      <c r="K516" s="85">
        <v>0</v>
      </c>
      <c r="L516" s="85">
        <v>3900.85</v>
      </c>
      <c r="M516" s="89">
        <v>40</v>
      </c>
      <c r="N516" s="85">
        <v>40</v>
      </c>
      <c r="O516" s="85">
        <v>0</v>
      </c>
      <c r="P516" s="85">
        <v>0</v>
      </c>
      <c r="Q516" s="85">
        <v>3900.85</v>
      </c>
      <c r="R516" s="82" t="s">
        <v>3399</v>
      </c>
      <c r="S516" s="7">
        <f t="shared" si="25"/>
        <v>0</v>
      </c>
      <c r="T516" s="6">
        <f t="shared" si="26"/>
        <v>0</v>
      </c>
      <c r="U516" s="25">
        <f t="shared" si="24"/>
        <v>0</v>
      </c>
    </row>
    <row r="517" spans="1:21" ht="10.9" customHeight="1" x14ac:dyDescent="0.2">
      <c r="A517" s="82" t="s">
        <v>2488</v>
      </c>
      <c r="B517" s="83">
        <v>45722</v>
      </c>
      <c r="C517" s="82" t="s">
        <v>3395</v>
      </c>
      <c r="D517" s="82" t="s">
        <v>1885</v>
      </c>
      <c r="E517" s="82"/>
      <c r="F517" s="82" t="s">
        <v>4424</v>
      </c>
      <c r="G517" s="89">
        <v>1</v>
      </c>
      <c r="H517" s="89">
        <v>1233.2</v>
      </c>
      <c r="I517" s="85">
        <v>0</v>
      </c>
      <c r="J517" s="85">
        <v>61.66</v>
      </c>
      <c r="K517" s="85">
        <v>1294.8599999999999</v>
      </c>
      <c r="L517" s="85">
        <v>3900.85</v>
      </c>
      <c r="M517" s="89">
        <v>1233.2</v>
      </c>
      <c r="N517" s="85">
        <v>0</v>
      </c>
      <c r="O517" s="85">
        <v>61.66</v>
      </c>
      <c r="P517" s="85">
        <v>1294.8599999999999</v>
      </c>
      <c r="Q517" s="85">
        <v>3900.85</v>
      </c>
      <c r="R517" s="82" t="s">
        <v>3399</v>
      </c>
      <c r="S517" s="7">
        <f t="shared" si="25"/>
        <v>0</v>
      </c>
      <c r="T517" s="6">
        <f t="shared" si="26"/>
        <v>0</v>
      </c>
      <c r="U517" s="25">
        <f t="shared" si="24"/>
        <v>0</v>
      </c>
    </row>
    <row r="518" spans="1:21" ht="10.9" customHeight="1" x14ac:dyDescent="0.2">
      <c r="A518" s="82" t="s">
        <v>2488</v>
      </c>
      <c r="B518" s="83">
        <v>45722</v>
      </c>
      <c r="C518" s="82" t="s">
        <v>3395</v>
      </c>
      <c r="D518" s="82" t="s">
        <v>1885</v>
      </c>
      <c r="E518" s="82"/>
      <c r="F518" s="82" t="s">
        <v>4805</v>
      </c>
      <c r="G518" s="89">
        <v>1</v>
      </c>
      <c r="H518" s="89">
        <v>40</v>
      </c>
      <c r="I518" s="85">
        <v>40</v>
      </c>
      <c r="J518" s="85">
        <v>0</v>
      </c>
      <c r="K518" s="85">
        <v>0</v>
      </c>
      <c r="L518" s="85">
        <v>3900.85</v>
      </c>
      <c r="M518" s="89">
        <v>40</v>
      </c>
      <c r="N518" s="85">
        <v>40</v>
      </c>
      <c r="O518" s="85">
        <v>0</v>
      </c>
      <c r="P518" s="85">
        <v>0</v>
      </c>
      <c r="Q518" s="85">
        <v>3900.85</v>
      </c>
      <c r="R518" s="82" t="s">
        <v>3399</v>
      </c>
      <c r="S518" s="7">
        <f t="shared" si="25"/>
        <v>0</v>
      </c>
      <c r="T518" s="6">
        <f t="shared" si="26"/>
        <v>0</v>
      </c>
      <c r="U518" s="25">
        <f t="shared" si="24"/>
        <v>0</v>
      </c>
    </row>
    <row r="519" spans="1:21" ht="10.9" customHeight="1" x14ac:dyDescent="0.2">
      <c r="A519" s="82" t="s">
        <v>2488</v>
      </c>
      <c r="B519" s="83">
        <v>45722</v>
      </c>
      <c r="C519" s="82" t="s">
        <v>3395</v>
      </c>
      <c r="D519" s="82" t="s">
        <v>1885</v>
      </c>
      <c r="E519" s="82"/>
      <c r="F519" s="82" t="s">
        <v>4686</v>
      </c>
      <c r="G519" s="89">
        <v>1</v>
      </c>
      <c r="H519" s="89">
        <v>152.13</v>
      </c>
      <c r="I519" s="85">
        <v>0</v>
      </c>
      <c r="J519" s="85">
        <v>7.61</v>
      </c>
      <c r="K519" s="85">
        <v>159.74</v>
      </c>
      <c r="L519" s="85">
        <v>3900.85</v>
      </c>
      <c r="M519" s="89">
        <v>152.13</v>
      </c>
      <c r="N519" s="85">
        <v>0</v>
      </c>
      <c r="O519" s="85">
        <v>7.61</v>
      </c>
      <c r="P519" s="85">
        <v>159.74</v>
      </c>
      <c r="Q519" s="85">
        <v>3900.85</v>
      </c>
      <c r="R519" s="82" t="s">
        <v>3399</v>
      </c>
      <c r="S519" s="7">
        <f t="shared" si="25"/>
        <v>0</v>
      </c>
      <c r="T519" s="6">
        <f t="shared" si="26"/>
        <v>0</v>
      </c>
      <c r="U519" s="25">
        <f t="shared" si="24"/>
        <v>0</v>
      </c>
    </row>
    <row r="520" spans="1:21" ht="10.9" customHeight="1" x14ac:dyDescent="0.2">
      <c r="A520" s="82" t="s">
        <v>2488</v>
      </c>
      <c r="B520" s="83">
        <v>45722</v>
      </c>
      <c r="C520" s="82" t="s">
        <v>3395</v>
      </c>
      <c r="D520" s="82" t="s">
        <v>1885</v>
      </c>
      <c r="E520" s="82"/>
      <c r="F520" s="82" t="s">
        <v>4685</v>
      </c>
      <c r="G520" s="89">
        <v>1</v>
      </c>
      <c r="H520" s="89">
        <v>1180.7</v>
      </c>
      <c r="I520" s="85">
        <v>0</v>
      </c>
      <c r="J520" s="85">
        <v>59.04</v>
      </c>
      <c r="K520" s="85">
        <v>1239.74</v>
      </c>
      <c r="L520" s="85">
        <v>3900.85</v>
      </c>
      <c r="M520" s="89">
        <v>1180.7</v>
      </c>
      <c r="N520" s="85">
        <v>0</v>
      </c>
      <c r="O520" s="85">
        <v>59.04</v>
      </c>
      <c r="P520" s="85">
        <v>1239.74</v>
      </c>
      <c r="Q520" s="85">
        <v>3900.85</v>
      </c>
      <c r="R520" s="82" t="s">
        <v>3399</v>
      </c>
      <c r="S520" s="7">
        <f t="shared" si="25"/>
        <v>0</v>
      </c>
      <c r="T520" s="6">
        <f t="shared" si="26"/>
        <v>0</v>
      </c>
      <c r="U520" s="25">
        <f t="shared" si="24"/>
        <v>0</v>
      </c>
    </row>
    <row r="521" spans="1:21" ht="10.9" customHeight="1" x14ac:dyDescent="0.2">
      <c r="A521" s="82" t="s">
        <v>2512</v>
      </c>
      <c r="B521" s="83">
        <v>45722</v>
      </c>
      <c r="C521" s="82" t="s">
        <v>3395</v>
      </c>
      <c r="D521" s="82" t="s">
        <v>1847</v>
      </c>
      <c r="E521" s="82"/>
      <c r="F521" s="82" t="s">
        <v>4874</v>
      </c>
      <c r="G521" s="89">
        <v>1</v>
      </c>
      <c r="H521" s="89">
        <v>716.35</v>
      </c>
      <c r="I521" s="85">
        <v>0</v>
      </c>
      <c r="J521" s="85">
        <v>35.82</v>
      </c>
      <c r="K521" s="85">
        <v>752.17</v>
      </c>
      <c r="L521" s="85">
        <v>1019.37</v>
      </c>
      <c r="M521" s="89">
        <v>716.35</v>
      </c>
      <c r="N521" s="85">
        <v>0</v>
      </c>
      <c r="O521" s="85">
        <v>35.82</v>
      </c>
      <c r="P521" s="85">
        <v>752.17</v>
      </c>
      <c r="Q521" s="85">
        <v>1019.37</v>
      </c>
      <c r="R521" s="82" t="s">
        <v>3399</v>
      </c>
      <c r="S521" s="7">
        <f t="shared" si="25"/>
        <v>0</v>
      </c>
      <c r="T521" s="6">
        <f t="shared" si="26"/>
        <v>0</v>
      </c>
      <c r="U521" s="25">
        <f t="shared" si="24"/>
        <v>0</v>
      </c>
    </row>
    <row r="522" spans="1:21" ht="10.9" customHeight="1" x14ac:dyDescent="0.2">
      <c r="A522" s="82" t="s">
        <v>2512</v>
      </c>
      <c r="B522" s="83">
        <v>45722</v>
      </c>
      <c r="C522" s="82" t="s">
        <v>3395</v>
      </c>
      <c r="D522" s="82" t="s">
        <v>1847</v>
      </c>
      <c r="E522" s="82"/>
      <c r="F522" s="82" t="s">
        <v>4576</v>
      </c>
      <c r="G522" s="89">
        <v>8</v>
      </c>
      <c r="H522" s="89">
        <v>31.81</v>
      </c>
      <c r="I522" s="85">
        <v>0</v>
      </c>
      <c r="J522" s="85">
        <v>12.72</v>
      </c>
      <c r="K522" s="85">
        <v>267.2</v>
      </c>
      <c r="L522" s="85">
        <v>1019.37</v>
      </c>
      <c r="M522" s="89">
        <v>31.81</v>
      </c>
      <c r="N522" s="85">
        <v>0</v>
      </c>
      <c r="O522" s="85">
        <v>12.72</v>
      </c>
      <c r="P522" s="85">
        <v>267.2</v>
      </c>
      <c r="Q522" s="85">
        <v>1019.37</v>
      </c>
      <c r="R522" s="82" t="s">
        <v>3399</v>
      </c>
      <c r="S522" s="7">
        <f t="shared" si="25"/>
        <v>0</v>
      </c>
      <c r="T522" s="6">
        <f t="shared" si="26"/>
        <v>0</v>
      </c>
      <c r="U522" s="25">
        <f t="shared" si="24"/>
        <v>0</v>
      </c>
    </row>
    <row r="523" spans="1:21" ht="10.9" customHeight="1" x14ac:dyDescent="0.2">
      <c r="A523" s="82" t="s">
        <v>3626</v>
      </c>
      <c r="B523" s="83">
        <v>45722</v>
      </c>
      <c r="C523" s="82" t="s">
        <v>3395</v>
      </c>
      <c r="D523" s="82" t="s">
        <v>3625</v>
      </c>
      <c r="E523" s="82"/>
      <c r="F523" s="82" t="s">
        <v>5626</v>
      </c>
      <c r="G523" s="89">
        <v>1</v>
      </c>
      <c r="H523" s="89">
        <v>2269.44</v>
      </c>
      <c r="I523" s="85">
        <v>0</v>
      </c>
      <c r="J523" s="85">
        <v>113.47</v>
      </c>
      <c r="K523" s="85">
        <v>2382.91</v>
      </c>
      <c r="L523" s="85">
        <v>2382.91</v>
      </c>
      <c r="M523" s="89">
        <v>2269.44</v>
      </c>
      <c r="N523" s="85">
        <v>0</v>
      </c>
      <c r="O523" s="85">
        <v>113.47</v>
      </c>
      <c r="P523" s="85">
        <v>2382.91</v>
      </c>
      <c r="Q523" s="85">
        <v>2382.91</v>
      </c>
      <c r="R523" s="82" t="s">
        <v>3399</v>
      </c>
      <c r="S523" s="7">
        <f t="shared" si="25"/>
        <v>0</v>
      </c>
      <c r="T523" s="6">
        <f t="shared" si="26"/>
        <v>0</v>
      </c>
      <c r="U523" s="25">
        <f t="shared" si="24"/>
        <v>0</v>
      </c>
    </row>
    <row r="524" spans="1:21" ht="10.9" customHeight="1" x14ac:dyDescent="0.2">
      <c r="A524" s="82" t="s">
        <v>2503</v>
      </c>
      <c r="B524" s="83">
        <v>45722</v>
      </c>
      <c r="C524" s="82" t="s">
        <v>3395</v>
      </c>
      <c r="D524" s="82" t="s">
        <v>1860</v>
      </c>
      <c r="E524" s="82"/>
      <c r="F524" s="82" t="s">
        <v>4532</v>
      </c>
      <c r="G524" s="89">
        <v>1</v>
      </c>
      <c r="H524" s="89">
        <v>93.89</v>
      </c>
      <c r="I524" s="85">
        <v>0</v>
      </c>
      <c r="J524" s="85">
        <v>4.6900000000000004</v>
      </c>
      <c r="K524" s="85">
        <v>98.58</v>
      </c>
      <c r="L524" s="85">
        <v>98.58</v>
      </c>
      <c r="M524" s="89">
        <v>93.89</v>
      </c>
      <c r="N524" s="85">
        <v>0</v>
      </c>
      <c r="O524" s="85">
        <v>4.6900000000000004</v>
      </c>
      <c r="P524" s="85">
        <v>98.58</v>
      </c>
      <c r="Q524" s="85">
        <v>98.58</v>
      </c>
      <c r="R524" s="82" t="s">
        <v>3399</v>
      </c>
      <c r="S524" s="7">
        <f t="shared" si="25"/>
        <v>0</v>
      </c>
      <c r="T524" s="6">
        <f t="shared" si="26"/>
        <v>0</v>
      </c>
      <c r="U524" s="25">
        <f t="shared" si="24"/>
        <v>0</v>
      </c>
    </row>
    <row r="525" spans="1:21" ht="10.9" customHeight="1" x14ac:dyDescent="0.2">
      <c r="A525" s="82" t="s">
        <v>2420</v>
      </c>
      <c r="B525" s="83">
        <v>45723</v>
      </c>
      <c r="C525" s="82" t="s">
        <v>3395</v>
      </c>
      <c r="D525" s="82" t="s">
        <v>2010</v>
      </c>
      <c r="E525" s="82"/>
      <c r="F525" s="82" t="s">
        <v>5625</v>
      </c>
      <c r="G525" s="89">
        <v>2</v>
      </c>
      <c r="H525" s="89">
        <v>78.650000000000006</v>
      </c>
      <c r="I525" s="85">
        <v>0</v>
      </c>
      <c r="J525" s="85">
        <v>0</v>
      </c>
      <c r="K525" s="85">
        <v>157.30000000000001</v>
      </c>
      <c r="L525" s="85">
        <v>157.30000000000001</v>
      </c>
      <c r="M525" s="89">
        <v>113.12152113567392</v>
      </c>
      <c r="N525" s="85">
        <v>0</v>
      </c>
      <c r="O525" s="85">
        <v>0</v>
      </c>
      <c r="P525" s="85">
        <v>226.24304227134783</v>
      </c>
      <c r="Q525" s="85">
        <v>226.24304227134783</v>
      </c>
      <c r="R525" s="82" t="s">
        <v>3399</v>
      </c>
      <c r="S525" s="7">
        <f t="shared" si="25"/>
        <v>0</v>
      </c>
      <c r="T525" s="6">
        <f t="shared" si="26"/>
        <v>0</v>
      </c>
      <c r="U525" s="25">
        <f t="shared" si="24"/>
        <v>0</v>
      </c>
    </row>
    <row r="526" spans="1:21" ht="10.9" customHeight="1" x14ac:dyDescent="0.2">
      <c r="A526" s="82" t="s">
        <v>2518</v>
      </c>
      <c r="B526" s="83">
        <v>45723</v>
      </c>
      <c r="C526" s="82" t="s">
        <v>3395</v>
      </c>
      <c r="D526" s="82" t="s">
        <v>1837</v>
      </c>
      <c r="E526" s="82"/>
      <c r="F526" s="82" t="s">
        <v>4569</v>
      </c>
      <c r="G526" s="89">
        <v>1</v>
      </c>
      <c r="H526" s="89">
        <v>1946.57</v>
      </c>
      <c r="I526" s="85">
        <v>0</v>
      </c>
      <c r="J526" s="85">
        <v>97.33</v>
      </c>
      <c r="K526" s="85">
        <v>2043.9</v>
      </c>
      <c r="L526" s="85">
        <v>2043.9</v>
      </c>
      <c r="M526" s="89">
        <v>1946.57</v>
      </c>
      <c r="N526" s="85">
        <v>0</v>
      </c>
      <c r="O526" s="85">
        <v>97.33</v>
      </c>
      <c r="P526" s="85">
        <v>2043.9</v>
      </c>
      <c r="Q526" s="85">
        <v>2043.9</v>
      </c>
      <c r="R526" s="82" t="s">
        <v>3399</v>
      </c>
      <c r="S526" s="7">
        <f t="shared" si="25"/>
        <v>0</v>
      </c>
      <c r="T526" s="6">
        <f t="shared" si="26"/>
        <v>0</v>
      </c>
      <c r="U526" s="25">
        <f t="shared" si="24"/>
        <v>0</v>
      </c>
    </row>
    <row r="527" spans="1:21" ht="10.9" customHeight="1" x14ac:dyDescent="0.2">
      <c r="A527" s="82" t="s">
        <v>2520</v>
      </c>
      <c r="B527" s="83">
        <v>45723</v>
      </c>
      <c r="C527" s="82" t="s">
        <v>3395</v>
      </c>
      <c r="D527" s="82" t="s">
        <v>1832</v>
      </c>
      <c r="E527" s="82"/>
      <c r="F527" s="82" t="s">
        <v>4554</v>
      </c>
      <c r="G527" s="89">
        <v>2</v>
      </c>
      <c r="H527" s="89">
        <v>926.53</v>
      </c>
      <c r="I527" s="85">
        <v>0</v>
      </c>
      <c r="J527" s="85">
        <v>92.65</v>
      </c>
      <c r="K527" s="85">
        <v>1945.71</v>
      </c>
      <c r="L527" s="85">
        <v>1945.71</v>
      </c>
      <c r="M527" s="89">
        <v>926.53</v>
      </c>
      <c r="N527" s="85">
        <v>0</v>
      </c>
      <c r="O527" s="85">
        <v>92.65</v>
      </c>
      <c r="P527" s="85">
        <v>1945.71</v>
      </c>
      <c r="Q527" s="85">
        <v>1945.71</v>
      </c>
      <c r="R527" s="82" t="s">
        <v>3399</v>
      </c>
      <c r="S527" s="7">
        <f t="shared" si="25"/>
        <v>0</v>
      </c>
      <c r="T527" s="6">
        <f t="shared" si="26"/>
        <v>0</v>
      </c>
      <c r="U527" s="25">
        <f t="shared" si="24"/>
        <v>0</v>
      </c>
    </row>
    <row r="528" spans="1:21" ht="10.9" customHeight="1" x14ac:dyDescent="0.2">
      <c r="A528" s="82" t="s">
        <v>2520</v>
      </c>
      <c r="B528" s="83">
        <v>45723</v>
      </c>
      <c r="C528" s="82" t="s">
        <v>3395</v>
      </c>
      <c r="D528" s="82" t="s">
        <v>1832</v>
      </c>
      <c r="E528" s="82"/>
      <c r="F528" s="82" t="s">
        <v>4805</v>
      </c>
      <c r="G528" s="89">
        <v>2</v>
      </c>
      <c r="H528" s="89">
        <v>29.85</v>
      </c>
      <c r="I528" s="85">
        <v>59.7</v>
      </c>
      <c r="J528" s="85">
        <v>0</v>
      </c>
      <c r="K528" s="85">
        <v>0</v>
      </c>
      <c r="L528" s="85">
        <v>1945.71</v>
      </c>
      <c r="M528" s="89">
        <v>29.85</v>
      </c>
      <c r="N528" s="85">
        <v>59.7</v>
      </c>
      <c r="O528" s="85">
        <v>0</v>
      </c>
      <c r="P528" s="85">
        <v>0</v>
      </c>
      <c r="Q528" s="85">
        <v>1945.71</v>
      </c>
      <c r="R528" s="82" t="s">
        <v>3399</v>
      </c>
      <c r="S528" s="7">
        <f t="shared" si="25"/>
        <v>0</v>
      </c>
      <c r="T528" s="6">
        <f t="shared" si="26"/>
        <v>0</v>
      </c>
      <c r="U528" s="25">
        <f t="shared" si="24"/>
        <v>0</v>
      </c>
    </row>
    <row r="529" spans="1:21" ht="10.9" customHeight="1" x14ac:dyDescent="0.2">
      <c r="A529" s="82" t="s">
        <v>2519</v>
      </c>
      <c r="B529" s="83">
        <v>45726</v>
      </c>
      <c r="C529" s="82" t="s">
        <v>3395</v>
      </c>
      <c r="D529" s="82" t="s">
        <v>1834</v>
      </c>
      <c r="E529" s="82"/>
      <c r="F529" s="82" t="s">
        <v>5322</v>
      </c>
      <c r="G529" s="89">
        <v>1</v>
      </c>
      <c r="H529" s="89">
        <v>1421.5</v>
      </c>
      <c r="I529" s="85">
        <v>0</v>
      </c>
      <c r="J529" s="85">
        <v>71.08</v>
      </c>
      <c r="K529" s="85">
        <v>1492.58</v>
      </c>
      <c r="L529" s="85">
        <v>1492.58</v>
      </c>
      <c r="M529" s="89">
        <v>1421.5</v>
      </c>
      <c r="N529" s="85">
        <v>0</v>
      </c>
      <c r="O529" s="85">
        <v>71.08</v>
      </c>
      <c r="P529" s="85">
        <v>1492.58</v>
      </c>
      <c r="Q529" s="85">
        <v>1492.58</v>
      </c>
      <c r="R529" s="82" t="s">
        <v>3399</v>
      </c>
      <c r="S529" s="7">
        <f t="shared" si="25"/>
        <v>0</v>
      </c>
      <c r="T529" s="6">
        <f t="shared" si="26"/>
        <v>0</v>
      </c>
      <c r="U529" s="25">
        <f t="shared" si="24"/>
        <v>0</v>
      </c>
    </row>
    <row r="530" spans="1:21" ht="10.9" customHeight="1" x14ac:dyDescent="0.2">
      <c r="A530" s="82" t="s">
        <v>2469</v>
      </c>
      <c r="B530" s="83">
        <v>45726</v>
      </c>
      <c r="C530" s="82" t="s">
        <v>3395</v>
      </c>
      <c r="D530" s="82" t="s">
        <v>1922</v>
      </c>
      <c r="E530" s="82"/>
      <c r="F530" s="82" t="s">
        <v>5124</v>
      </c>
      <c r="G530" s="89">
        <v>2</v>
      </c>
      <c r="H530" s="89">
        <v>681.68</v>
      </c>
      <c r="I530" s="85">
        <v>0</v>
      </c>
      <c r="J530" s="85">
        <v>177.24</v>
      </c>
      <c r="K530" s="85">
        <v>1540.6</v>
      </c>
      <c r="L530" s="85">
        <v>1540.6</v>
      </c>
      <c r="M530" s="89">
        <v>681.68</v>
      </c>
      <c r="N530" s="85">
        <v>0</v>
      </c>
      <c r="O530" s="85">
        <v>177.24</v>
      </c>
      <c r="P530" s="85">
        <v>1540.6</v>
      </c>
      <c r="Q530" s="85">
        <v>1540.6</v>
      </c>
      <c r="R530" s="82" t="s">
        <v>3399</v>
      </c>
      <c r="S530" s="7">
        <f t="shared" si="25"/>
        <v>0</v>
      </c>
      <c r="T530" s="6">
        <f t="shared" si="26"/>
        <v>0</v>
      </c>
      <c r="U530" s="25">
        <f t="shared" si="24"/>
        <v>0</v>
      </c>
    </row>
    <row r="531" spans="1:21" ht="10.9" customHeight="1" x14ac:dyDescent="0.2">
      <c r="A531" s="82" t="s">
        <v>2517</v>
      </c>
      <c r="B531" s="83">
        <v>45726</v>
      </c>
      <c r="C531" s="82" t="s">
        <v>3395</v>
      </c>
      <c r="D531" s="82" t="s">
        <v>1839</v>
      </c>
      <c r="E531" s="82"/>
      <c r="F531" s="82" t="s">
        <v>5624</v>
      </c>
      <c r="G531" s="89">
        <v>1</v>
      </c>
      <c r="H531" s="89">
        <v>298.77999999999997</v>
      </c>
      <c r="I531" s="85">
        <v>0</v>
      </c>
      <c r="J531" s="85">
        <v>38.840000000000003</v>
      </c>
      <c r="K531" s="85">
        <v>337.62</v>
      </c>
      <c r="L531" s="85">
        <v>337.62</v>
      </c>
      <c r="M531" s="89">
        <v>298.77999999999997</v>
      </c>
      <c r="N531" s="85">
        <v>0</v>
      </c>
      <c r="O531" s="85">
        <v>38.840000000000003</v>
      </c>
      <c r="P531" s="85">
        <v>337.62</v>
      </c>
      <c r="Q531" s="85">
        <v>337.62</v>
      </c>
      <c r="R531" s="82" t="s">
        <v>3399</v>
      </c>
      <c r="S531" s="7">
        <f t="shared" si="25"/>
        <v>0</v>
      </c>
      <c r="T531" s="6">
        <f t="shared" si="26"/>
        <v>0</v>
      </c>
      <c r="U531" s="25">
        <f t="shared" si="24"/>
        <v>0</v>
      </c>
    </row>
    <row r="532" spans="1:21" ht="10.9" customHeight="1" x14ac:dyDescent="0.2">
      <c r="A532" s="82" t="s">
        <v>2484</v>
      </c>
      <c r="B532" s="83">
        <v>45726</v>
      </c>
      <c r="C532" s="82" t="s">
        <v>3395</v>
      </c>
      <c r="D532" s="82" t="s">
        <v>1894</v>
      </c>
      <c r="E532" s="82"/>
      <c r="F532" s="82" t="s">
        <v>5363</v>
      </c>
      <c r="G532" s="89">
        <v>2</v>
      </c>
      <c r="H532" s="89">
        <v>609.98</v>
      </c>
      <c r="I532" s="85">
        <v>0</v>
      </c>
      <c r="J532" s="85">
        <v>61</v>
      </c>
      <c r="K532" s="85">
        <v>1280.96</v>
      </c>
      <c r="L532" s="85">
        <v>1280.96</v>
      </c>
      <c r="M532" s="89">
        <v>609.98</v>
      </c>
      <c r="N532" s="85">
        <v>0</v>
      </c>
      <c r="O532" s="85">
        <v>61</v>
      </c>
      <c r="P532" s="85">
        <v>1280.96</v>
      </c>
      <c r="Q532" s="85">
        <v>1280.96</v>
      </c>
      <c r="R532" s="82" t="s">
        <v>3399</v>
      </c>
      <c r="S532" s="7">
        <f t="shared" si="25"/>
        <v>0</v>
      </c>
      <c r="T532" s="6">
        <f t="shared" si="26"/>
        <v>0</v>
      </c>
      <c r="U532" s="25">
        <f t="shared" si="24"/>
        <v>0</v>
      </c>
    </row>
    <row r="533" spans="1:21" ht="10.9" customHeight="1" x14ac:dyDescent="0.2">
      <c r="A533" s="82" t="s">
        <v>2524</v>
      </c>
      <c r="B533" s="83">
        <v>45726</v>
      </c>
      <c r="C533" s="82" t="s">
        <v>3395</v>
      </c>
      <c r="D533" s="82" t="s">
        <v>1826</v>
      </c>
      <c r="E533" s="82"/>
      <c r="F533" s="82" t="s">
        <v>5006</v>
      </c>
      <c r="G533" s="89">
        <v>3</v>
      </c>
      <c r="H533" s="89">
        <v>30.74</v>
      </c>
      <c r="I533" s="85">
        <v>0</v>
      </c>
      <c r="J533" s="85">
        <v>4.6100000000000003</v>
      </c>
      <c r="K533" s="85">
        <v>96.83</v>
      </c>
      <c r="L533" s="85">
        <v>96.83</v>
      </c>
      <c r="M533" s="89">
        <v>30.74</v>
      </c>
      <c r="N533" s="85">
        <v>0</v>
      </c>
      <c r="O533" s="85">
        <v>4.6100000000000003</v>
      </c>
      <c r="P533" s="85">
        <v>96.83</v>
      </c>
      <c r="Q533" s="85">
        <v>96.83</v>
      </c>
      <c r="R533" s="82" t="s">
        <v>3399</v>
      </c>
      <c r="S533" s="7">
        <f t="shared" si="25"/>
        <v>0</v>
      </c>
      <c r="T533" s="6">
        <f t="shared" si="26"/>
        <v>0</v>
      </c>
      <c r="U533" s="25">
        <f t="shared" si="24"/>
        <v>0</v>
      </c>
    </row>
    <row r="534" spans="1:21" ht="10.9" customHeight="1" x14ac:dyDescent="0.2">
      <c r="A534" s="82" t="s">
        <v>2526</v>
      </c>
      <c r="B534" s="83">
        <v>45726</v>
      </c>
      <c r="C534" s="82" t="s">
        <v>3395</v>
      </c>
      <c r="D534" s="82" t="s">
        <v>1824</v>
      </c>
      <c r="E534" s="82"/>
      <c r="F534" s="82" t="s">
        <v>5429</v>
      </c>
      <c r="G534" s="89">
        <v>1</v>
      </c>
      <c r="H534" s="89">
        <v>836.73</v>
      </c>
      <c r="I534" s="85">
        <v>0</v>
      </c>
      <c r="J534" s="85">
        <v>108.77</v>
      </c>
      <c r="K534" s="85">
        <v>945.5</v>
      </c>
      <c r="L534" s="85">
        <v>945.5</v>
      </c>
      <c r="M534" s="89">
        <v>836.73</v>
      </c>
      <c r="N534" s="85">
        <v>0</v>
      </c>
      <c r="O534" s="85">
        <v>108.77</v>
      </c>
      <c r="P534" s="85">
        <v>945.5</v>
      </c>
      <c r="Q534" s="85">
        <v>945.5</v>
      </c>
      <c r="R534" s="82" t="s">
        <v>3399</v>
      </c>
      <c r="S534" s="7">
        <f t="shared" si="25"/>
        <v>0</v>
      </c>
      <c r="T534" s="6">
        <f t="shared" si="26"/>
        <v>0</v>
      </c>
      <c r="U534" s="25">
        <f t="shared" si="24"/>
        <v>0</v>
      </c>
    </row>
    <row r="535" spans="1:21" ht="10.9" customHeight="1" x14ac:dyDescent="0.2">
      <c r="A535" s="82" t="s">
        <v>3620</v>
      </c>
      <c r="B535" s="83">
        <v>45726</v>
      </c>
      <c r="C535" s="82" t="s">
        <v>3395</v>
      </c>
      <c r="D535" s="82" t="s">
        <v>3619</v>
      </c>
      <c r="E535" s="82"/>
      <c r="F535" s="82" t="s">
        <v>5623</v>
      </c>
      <c r="G535" s="89">
        <v>2</v>
      </c>
      <c r="H535" s="89">
        <v>1010.44</v>
      </c>
      <c r="I535" s="85">
        <v>0</v>
      </c>
      <c r="J535" s="85">
        <v>0</v>
      </c>
      <c r="K535" s="85">
        <v>2020.88</v>
      </c>
      <c r="L535" s="85">
        <v>2020.88</v>
      </c>
      <c r="M535" s="89">
        <v>1457.0046358714069</v>
      </c>
      <c r="N535" s="85">
        <v>0</v>
      </c>
      <c r="O535" s="85">
        <v>0</v>
      </c>
      <c r="P535" s="85">
        <v>2914.0092717428138</v>
      </c>
      <c r="Q535" s="85">
        <v>2914.0092717428138</v>
      </c>
      <c r="R535" s="82" t="s">
        <v>3399</v>
      </c>
      <c r="S535" s="7">
        <f t="shared" si="25"/>
        <v>0</v>
      </c>
      <c r="T535" s="6">
        <f t="shared" si="26"/>
        <v>0</v>
      </c>
      <c r="U535" s="25">
        <f t="shared" si="24"/>
        <v>0</v>
      </c>
    </row>
    <row r="536" spans="1:21" ht="10.9" customHeight="1" x14ac:dyDescent="0.2">
      <c r="A536" s="82" t="s">
        <v>3618</v>
      </c>
      <c r="B536" s="83">
        <v>45726</v>
      </c>
      <c r="C536" s="82" t="s">
        <v>3398</v>
      </c>
      <c r="D536" s="82" t="s">
        <v>3617</v>
      </c>
      <c r="E536" s="82"/>
      <c r="F536" s="82" t="s">
        <v>4416</v>
      </c>
      <c r="G536" s="89">
        <v>-1</v>
      </c>
      <c r="H536" s="89">
        <v>2110.3200000000002</v>
      </c>
      <c r="I536" s="85">
        <v>0</v>
      </c>
      <c r="J536" s="85">
        <v>-274.33999999999997</v>
      </c>
      <c r="K536" s="85">
        <v>-2384.66</v>
      </c>
      <c r="L536" s="85">
        <v>-8827.32</v>
      </c>
      <c r="M536" s="89">
        <v>2110.3200000000002</v>
      </c>
      <c r="N536" s="85">
        <v>0</v>
      </c>
      <c r="O536" s="85">
        <v>-274.33999999999997</v>
      </c>
      <c r="P536" s="85">
        <v>-2384.66</v>
      </c>
      <c r="Q536" s="85">
        <v>-8827.32</v>
      </c>
      <c r="R536" s="82" t="s">
        <v>3399</v>
      </c>
      <c r="S536" s="7">
        <f t="shared" si="25"/>
        <v>0</v>
      </c>
      <c r="T536" s="6">
        <f t="shared" si="26"/>
        <v>0</v>
      </c>
      <c r="U536" s="25">
        <f t="shared" si="24"/>
        <v>0</v>
      </c>
    </row>
    <row r="537" spans="1:21" ht="10.9" customHeight="1" x14ac:dyDescent="0.2">
      <c r="A537" s="82" t="s">
        <v>3618</v>
      </c>
      <c r="B537" s="83">
        <v>45726</v>
      </c>
      <c r="C537" s="82" t="s">
        <v>3398</v>
      </c>
      <c r="D537" s="82" t="s">
        <v>3617</v>
      </c>
      <c r="E537" s="82"/>
      <c r="F537" s="82" t="s">
        <v>4417</v>
      </c>
      <c r="G537" s="89">
        <v>-1</v>
      </c>
      <c r="H537" s="89">
        <v>1595.85</v>
      </c>
      <c r="I537" s="85">
        <v>0</v>
      </c>
      <c r="J537" s="85">
        <v>-207.46</v>
      </c>
      <c r="K537" s="85">
        <v>-1803.31</v>
      </c>
      <c r="L537" s="85">
        <v>-8827.32</v>
      </c>
      <c r="M537" s="89">
        <v>1595.85</v>
      </c>
      <c r="N537" s="85">
        <v>0</v>
      </c>
      <c r="O537" s="85">
        <v>-207.46</v>
      </c>
      <c r="P537" s="85">
        <v>-1803.31</v>
      </c>
      <c r="Q537" s="85">
        <v>-8827.32</v>
      </c>
      <c r="R537" s="82" t="s">
        <v>3399</v>
      </c>
      <c r="S537" s="7">
        <f t="shared" si="25"/>
        <v>0</v>
      </c>
      <c r="T537" s="6">
        <f t="shared" si="26"/>
        <v>0</v>
      </c>
      <c r="U537" s="25">
        <f t="shared" si="24"/>
        <v>0</v>
      </c>
    </row>
    <row r="538" spans="1:21" ht="10.9" customHeight="1" x14ac:dyDescent="0.2">
      <c r="A538" s="82" t="s">
        <v>3618</v>
      </c>
      <c r="B538" s="83">
        <v>45726</v>
      </c>
      <c r="C538" s="82" t="s">
        <v>3398</v>
      </c>
      <c r="D538" s="82" t="s">
        <v>3617</v>
      </c>
      <c r="E538" s="82"/>
      <c r="F538" s="82" t="s">
        <v>4415</v>
      </c>
      <c r="G538" s="89">
        <v>-1</v>
      </c>
      <c r="H538" s="89">
        <v>2116.89</v>
      </c>
      <c r="I538" s="85">
        <v>0</v>
      </c>
      <c r="J538" s="85">
        <v>-275.2</v>
      </c>
      <c r="K538" s="85">
        <v>-2392.09</v>
      </c>
      <c r="L538" s="85">
        <v>-8827.32</v>
      </c>
      <c r="M538" s="89">
        <v>2116.89</v>
      </c>
      <c r="N538" s="85">
        <v>0</v>
      </c>
      <c r="O538" s="85">
        <v>-275.2</v>
      </c>
      <c r="P538" s="85">
        <v>-2392.09</v>
      </c>
      <c r="Q538" s="85">
        <v>-8827.32</v>
      </c>
      <c r="R538" s="82" t="s">
        <v>3399</v>
      </c>
      <c r="S538" s="7">
        <f t="shared" si="25"/>
        <v>0</v>
      </c>
      <c r="T538" s="6">
        <f t="shared" si="26"/>
        <v>0</v>
      </c>
      <c r="U538" s="25">
        <f t="shared" si="24"/>
        <v>0</v>
      </c>
    </row>
    <row r="539" spans="1:21" ht="10.9" customHeight="1" x14ac:dyDescent="0.2">
      <c r="A539" s="82" t="s">
        <v>3618</v>
      </c>
      <c r="B539" s="83">
        <v>45726</v>
      </c>
      <c r="C539" s="82" t="s">
        <v>3398</v>
      </c>
      <c r="D539" s="82" t="s">
        <v>3617</v>
      </c>
      <c r="E539" s="82"/>
      <c r="F539" s="82" t="s">
        <v>4418</v>
      </c>
      <c r="G539" s="89">
        <v>-1</v>
      </c>
      <c r="H539" s="89">
        <v>1988.73</v>
      </c>
      <c r="I539" s="85">
        <v>0</v>
      </c>
      <c r="J539" s="85">
        <v>-258.52999999999997</v>
      </c>
      <c r="K539" s="85">
        <v>-2247.2600000000002</v>
      </c>
      <c r="L539" s="85">
        <v>-8827.32</v>
      </c>
      <c r="M539" s="89">
        <v>1988.73</v>
      </c>
      <c r="N539" s="85">
        <v>0</v>
      </c>
      <c r="O539" s="85">
        <v>-258.52999999999997</v>
      </c>
      <c r="P539" s="85">
        <v>-2247.2600000000002</v>
      </c>
      <c r="Q539" s="85">
        <v>-8827.32</v>
      </c>
      <c r="R539" s="82" t="s">
        <v>3399</v>
      </c>
      <c r="S539" s="7">
        <f t="shared" si="25"/>
        <v>0</v>
      </c>
      <c r="T539" s="6">
        <f t="shared" si="26"/>
        <v>0</v>
      </c>
      <c r="U539" s="25">
        <f t="shared" si="24"/>
        <v>0</v>
      </c>
    </row>
    <row r="540" spans="1:21" ht="10.9" customHeight="1" x14ac:dyDescent="0.2">
      <c r="A540" s="82" t="s">
        <v>3616</v>
      </c>
      <c r="B540" s="83">
        <v>45728</v>
      </c>
      <c r="C540" s="82" t="s">
        <v>3395</v>
      </c>
      <c r="D540" s="82" t="s">
        <v>3583</v>
      </c>
      <c r="E540" s="82"/>
      <c r="F540" s="82" t="s">
        <v>4741</v>
      </c>
      <c r="G540" s="89">
        <v>16</v>
      </c>
      <c r="H540" s="89">
        <v>498.44</v>
      </c>
      <c r="I540" s="85">
        <v>0</v>
      </c>
      <c r="J540" s="85">
        <v>0</v>
      </c>
      <c r="K540" s="85">
        <v>7975.04</v>
      </c>
      <c r="L540" s="85">
        <v>7975.04</v>
      </c>
      <c r="M540" s="89">
        <v>717.5494715263402</v>
      </c>
      <c r="N540" s="85">
        <v>0</v>
      </c>
      <c r="O540" s="85">
        <v>0</v>
      </c>
      <c r="P540" s="85">
        <v>11480.791544421443</v>
      </c>
      <c r="Q540" s="85">
        <v>11480.791544421443</v>
      </c>
      <c r="R540" s="82" t="s">
        <v>3399</v>
      </c>
      <c r="S540" s="7">
        <f t="shared" si="25"/>
        <v>0</v>
      </c>
      <c r="T540" s="6">
        <f t="shared" si="26"/>
        <v>0</v>
      </c>
      <c r="U540" s="25">
        <f t="shared" si="24"/>
        <v>0</v>
      </c>
    </row>
    <row r="541" spans="1:21" ht="10.9" customHeight="1" x14ac:dyDescent="0.2">
      <c r="A541" s="82" t="s">
        <v>2457</v>
      </c>
      <c r="B541" s="83">
        <v>45728</v>
      </c>
      <c r="C541" s="82" t="s">
        <v>3395</v>
      </c>
      <c r="D541" s="82" t="s">
        <v>1945</v>
      </c>
      <c r="E541" s="82"/>
      <c r="F541" s="82" t="s">
        <v>5195</v>
      </c>
      <c r="G541" s="89">
        <v>1</v>
      </c>
      <c r="H541" s="89">
        <v>19.25</v>
      </c>
      <c r="I541" s="85">
        <v>0</v>
      </c>
      <c r="J541" s="85">
        <v>2.5</v>
      </c>
      <c r="K541" s="85">
        <v>21.75</v>
      </c>
      <c r="L541" s="85">
        <v>21.75</v>
      </c>
      <c r="M541" s="89">
        <v>19.25</v>
      </c>
      <c r="N541" s="85">
        <v>0</v>
      </c>
      <c r="O541" s="85">
        <v>2.5</v>
      </c>
      <c r="P541" s="85">
        <v>21.75</v>
      </c>
      <c r="Q541" s="85">
        <v>21.75</v>
      </c>
      <c r="R541" s="82" t="s">
        <v>3399</v>
      </c>
      <c r="S541" s="7">
        <f t="shared" si="25"/>
        <v>0</v>
      </c>
      <c r="T541" s="6">
        <f t="shared" si="26"/>
        <v>0</v>
      </c>
      <c r="U541" s="25">
        <f t="shared" si="24"/>
        <v>0</v>
      </c>
    </row>
    <row r="542" spans="1:21" ht="10.9" customHeight="1" x14ac:dyDescent="0.2">
      <c r="A542" s="82" t="s">
        <v>2528</v>
      </c>
      <c r="B542" s="83">
        <v>45728</v>
      </c>
      <c r="C542" s="82" t="s">
        <v>3395</v>
      </c>
      <c r="D542" s="82" t="s">
        <v>1820</v>
      </c>
      <c r="E542" s="82"/>
      <c r="F542" s="82" t="s">
        <v>5037</v>
      </c>
      <c r="G542" s="89">
        <v>1</v>
      </c>
      <c r="H542" s="89">
        <v>711.25</v>
      </c>
      <c r="I542" s="85">
        <v>0</v>
      </c>
      <c r="J542" s="85">
        <v>35.56</v>
      </c>
      <c r="K542" s="85">
        <v>746.81</v>
      </c>
      <c r="L542" s="85">
        <v>746.81</v>
      </c>
      <c r="M542" s="89">
        <v>711.25</v>
      </c>
      <c r="N542" s="85">
        <v>0</v>
      </c>
      <c r="O542" s="85">
        <v>35.56</v>
      </c>
      <c r="P542" s="85">
        <v>746.81</v>
      </c>
      <c r="Q542" s="85">
        <v>746.81</v>
      </c>
      <c r="R542" s="82" t="s">
        <v>3399</v>
      </c>
      <c r="S542" s="7">
        <f t="shared" si="25"/>
        <v>0</v>
      </c>
      <c r="T542" s="6">
        <f t="shared" si="26"/>
        <v>0</v>
      </c>
      <c r="U542" s="25">
        <f t="shared" si="24"/>
        <v>0</v>
      </c>
    </row>
    <row r="543" spans="1:21" ht="10.9" customHeight="1" x14ac:dyDescent="0.2">
      <c r="A543" s="82" t="s">
        <v>2536</v>
      </c>
      <c r="B543" s="83">
        <v>45728</v>
      </c>
      <c r="C543" s="82" t="s">
        <v>3395</v>
      </c>
      <c r="D543" s="82" t="s">
        <v>1807</v>
      </c>
      <c r="E543" s="82"/>
      <c r="F543" s="82" t="s">
        <v>4414</v>
      </c>
      <c r="G543" s="89">
        <v>1</v>
      </c>
      <c r="H543" s="89">
        <v>1242.28</v>
      </c>
      <c r="I543" s="85">
        <v>0</v>
      </c>
      <c r="J543" s="85">
        <v>161.5</v>
      </c>
      <c r="K543" s="85">
        <v>1403.78</v>
      </c>
      <c r="L543" s="85">
        <v>1403.78</v>
      </c>
      <c r="M543" s="89">
        <v>1242.28</v>
      </c>
      <c r="N543" s="85">
        <v>0</v>
      </c>
      <c r="O543" s="85">
        <v>161.5</v>
      </c>
      <c r="P543" s="85">
        <v>1403.78</v>
      </c>
      <c r="Q543" s="85">
        <v>1403.78</v>
      </c>
      <c r="R543" s="82" t="s">
        <v>3399</v>
      </c>
      <c r="S543" s="7">
        <f t="shared" si="25"/>
        <v>0</v>
      </c>
      <c r="T543" s="6">
        <f t="shared" si="26"/>
        <v>0</v>
      </c>
      <c r="U543" s="25">
        <f t="shared" si="24"/>
        <v>0</v>
      </c>
    </row>
    <row r="544" spans="1:21" ht="10.9" customHeight="1" x14ac:dyDescent="0.2">
      <c r="A544" s="82" t="s">
        <v>2491</v>
      </c>
      <c r="B544" s="83">
        <v>45728</v>
      </c>
      <c r="C544" s="82" t="s">
        <v>3395</v>
      </c>
      <c r="D544" s="82" t="s">
        <v>1878</v>
      </c>
      <c r="E544" s="82"/>
      <c r="F544" s="82" t="s">
        <v>5622</v>
      </c>
      <c r="G544" s="89">
        <v>1</v>
      </c>
      <c r="H544" s="89">
        <v>1232.19</v>
      </c>
      <c r="I544" s="85">
        <v>0</v>
      </c>
      <c r="J544" s="85">
        <v>160.18</v>
      </c>
      <c r="K544" s="85">
        <v>1392.37</v>
      </c>
      <c r="L544" s="85">
        <v>1392.37</v>
      </c>
      <c r="M544" s="89">
        <v>1232.19</v>
      </c>
      <c r="N544" s="85">
        <v>0</v>
      </c>
      <c r="O544" s="85">
        <v>160.18</v>
      </c>
      <c r="P544" s="85">
        <v>1392.37</v>
      </c>
      <c r="Q544" s="85">
        <v>1392.37</v>
      </c>
      <c r="R544" s="82" t="s">
        <v>3399</v>
      </c>
      <c r="S544" s="7">
        <f t="shared" si="25"/>
        <v>0</v>
      </c>
      <c r="T544" s="6">
        <f t="shared" si="26"/>
        <v>0</v>
      </c>
      <c r="U544" s="25">
        <f t="shared" si="24"/>
        <v>0</v>
      </c>
    </row>
    <row r="545" spans="1:21" ht="10.9" customHeight="1" x14ac:dyDescent="0.2">
      <c r="A545" s="82" t="s">
        <v>2545</v>
      </c>
      <c r="B545" s="83">
        <v>45729</v>
      </c>
      <c r="C545" s="82" t="s">
        <v>3395</v>
      </c>
      <c r="D545" s="82" t="s">
        <v>1792</v>
      </c>
      <c r="E545" s="82"/>
      <c r="F545" s="82" t="s">
        <v>4599</v>
      </c>
      <c r="G545" s="89">
        <v>2</v>
      </c>
      <c r="H545" s="89">
        <v>160.94999999999999</v>
      </c>
      <c r="I545" s="85">
        <v>0</v>
      </c>
      <c r="J545" s="85">
        <v>16.100000000000001</v>
      </c>
      <c r="K545" s="85">
        <v>338</v>
      </c>
      <c r="L545" s="85">
        <v>338</v>
      </c>
      <c r="M545" s="89">
        <v>160.94999999999999</v>
      </c>
      <c r="N545" s="85">
        <v>0</v>
      </c>
      <c r="O545" s="85">
        <v>16.100000000000001</v>
      </c>
      <c r="P545" s="85">
        <v>338</v>
      </c>
      <c r="Q545" s="85">
        <v>338</v>
      </c>
      <c r="R545" s="82" t="s">
        <v>3399</v>
      </c>
      <c r="S545" s="7">
        <f t="shared" si="25"/>
        <v>0</v>
      </c>
      <c r="T545" s="6">
        <f t="shared" si="26"/>
        <v>0</v>
      </c>
      <c r="U545" s="25">
        <f t="shared" si="24"/>
        <v>0</v>
      </c>
    </row>
    <row r="546" spans="1:21" ht="10.9" customHeight="1" x14ac:dyDescent="0.2">
      <c r="A546" s="82" t="s">
        <v>2541</v>
      </c>
      <c r="B546" s="83">
        <v>45729</v>
      </c>
      <c r="C546" s="82" t="s">
        <v>3395</v>
      </c>
      <c r="D546" s="82" t="s">
        <v>1801</v>
      </c>
      <c r="E546" s="82"/>
      <c r="F546" s="82" t="s">
        <v>4740</v>
      </c>
      <c r="G546" s="89">
        <v>2</v>
      </c>
      <c r="H546" s="89">
        <v>150.88</v>
      </c>
      <c r="I546" s="85">
        <v>0</v>
      </c>
      <c r="J546" s="85">
        <v>15.09</v>
      </c>
      <c r="K546" s="85">
        <v>316.85000000000002</v>
      </c>
      <c r="L546" s="85">
        <v>316.85000000000002</v>
      </c>
      <c r="M546" s="89">
        <v>150.88</v>
      </c>
      <c r="N546" s="85">
        <v>0</v>
      </c>
      <c r="O546" s="85">
        <v>15.09</v>
      </c>
      <c r="P546" s="85">
        <v>316.85000000000002</v>
      </c>
      <c r="Q546" s="85">
        <v>316.85000000000002</v>
      </c>
      <c r="R546" s="82" t="s">
        <v>3399</v>
      </c>
      <c r="S546" s="7">
        <f t="shared" si="25"/>
        <v>0</v>
      </c>
      <c r="T546" s="6">
        <f t="shared" si="26"/>
        <v>0</v>
      </c>
      <c r="U546" s="25">
        <f t="shared" si="24"/>
        <v>0</v>
      </c>
    </row>
    <row r="547" spans="1:21" ht="10.9" customHeight="1" x14ac:dyDescent="0.2">
      <c r="A547" s="82" t="s">
        <v>2543</v>
      </c>
      <c r="B547" s="83">
        <v>45730</v>
      </c>
      <c r="C547" s="82" t="s">
        <v>3395</v>
      </c>
      <c r="D547" s="82" t="s">
        <v>1796</v>
      </c>
      <c r="E547" s="82"/>
      <c r="F547" s="82" t="s">
        <v>5137</v>
      </c>
      <c r="G547" s="89">
        <v>2</v>
      </c>
      <c r="H547" s="89">
        <v>553.02</v>
      </c>
      <c r="I547" s="85">
        <v>0</v>
      </c>
      <c r="J547" s="85">
        <v>55.3</v>
      </c>
      <c r="K547" s="85">
        <v>1161.3399999999999</v>
      </c>
      <c r="L547" s="85">
        <v>2197.21</v>
      </c>
      <c r="M547" s="89">
        <v>553.02</v>
      </c>
      <c r="N547" s="85">
        <v>0</v>
      </c>
      <c r="O547" s="85">
        <v>55.3</v>
      </c>
      <c r="P547" s="85">
        <v>1161.3399999999999</v>
      </c>
      <c r="Q547" s="85">
        <v>2197.21</v>
      </c>
      <c r="R547" s="82" t="s">
        <v>3399</v>
      </c>
      <c r="S547" s="7">
        <f t="shared" si="25"/>
        <v>0</v>
      </c>
      <c r="T547" s="6">
        <f t="shared" si="26"/>
        <v>0</v>
      </c>
      <c r="U547" s="25">
        <f t="shared" si="24"/>
        <v>0</v>
      </c>
    </row>
    <row r="548" spans="1:21" ht="10.9" customHeight="1" x14ac:dyDescent="0.2">
      <c r="A548" s="82" t="s">
        <v>2543</v>
      </c>
      <c r="B548" s="83">
        <v>45730</v>
      </c>
      <c r="C548" s="82" t="s">
        <v>3395</v>
      </c>
      <c r="D548" s="82" t="s">
        <v>1796</v>
      </c>
      <c r="E548" s="82"/>
      <c r="F548" s="82" t="s">
        <v>4893</v>
      </c>
      <c r="G548" s="89">
        <v>2</v>
      </c>
      <c r="H548" s="89">
        <v>493.27</v>
      </c>
      <c r="I548" s="85">
        <v>0</v>
      </c>
      <c r="J548" s="85">
        <v>49.33</v>
      </c>
      <c r="K548" s="85">
        <v>1035.8699999999999</v>
      </c>
      <c r="L548" s="85">
        <v>2197.21</v>
      </c>
      <c r="M548" s="89">
        <v>493.27</v>
      </c>
      <c r="N548" s="85">
        <v>0</v>
      </c>
      <c r="O548" s="85">
        <v>49.33</v>
      </c>
      <c r="P548" s="85">
        <v>1035.8699999999999</v>
      </c>
      <c r="Q548" s="85">
        <v>2197.21</v>
      </c>
      <c r="R548" s="82" t="s">
        <v>3399</v>
      </c>
      <c r="S548" s="7">
        <f t="shared" si="25"/>
        <v>0</v>
      </c>
      <c r="T548" s="6">
        <f t="shared" si="26"/>
        <v>0</v>
      </c>
      <c r="U548" s="25">
        <f t="shared" si="24"/>
        <v>0</v>
      </c>
    </row>
    <row r="549" spans="1:21" ht="10.9" customHeight="1" x14ac:dyDescent="0.2">
      <c r="A549" s="82" t="s">
        <v>2547</v>
      </c>
      <c r="B549" s="83">
        <v>45730</v>
      </c>
      <c r="C549" s="82" t="s">
        <v>3395</v>
      </c>
      <c r="D549" s="82" t="s">
        <v>1788</v>
      </c>
      <c r="E549" s="82"/>
      <c r="F549" s="82" t="s">
        <v>4673</v>
      </c>
      <c r="G549" s="89">
        <v>1</v>
      </c>
      <c r="H549" s="89">
        <v>154.97</v>
      </c>
      <c r="I549" s="85">
        <v>0</v>
      </c>
      <c r="J549" s="85">
        <v>7.75</v>
      </c>
      <c r="K549" s="85">
        <v>162.72</v>
      </c>
      <c r="L549" s="85">
        <v>209.03</v>
      </c>
      <c r="M549" s="89">
        <v>154.97</v>
      </c>
      <c r="N549" s="85">
        <v>0</v>
      </c>
      <c r="O549" s="85">
        <v>7.75</v>
      </c>
      <c r="P549" s="85">
        <v>162.72</v>
      </c>
      <c r="Q549" s="85">
        <v>209.03</v>
      </c>
      <c r="R549" s="82" t="s">
        <v>3399</v>
      </c>
      <c r="S549" s="7">
        <f t="shared" si="25"/>
        <v>0</v>
      </c>
      <c r="T549" s="6">
        <f t="shared" si="26"/>
        <v>0</v>
      </c>
      <c r="U549" s="25">
        <f t="shared" si="24"/>
        <v>0</v>
      </c>
    </row>
    <row r="550" spans="1:21" ht="10.9" customHeight="1" x14ac:dyDescent="0.2">
      <c r="A550" s="82" t="s">
        <v>2547</v>
      </c>
      <c r="B550" s="83">
        <v>45730</v>
      </c>
      <c r="C550" s="82" t="s">
        <v>3395</v>
      </c>
      <c r="D550" s="82" t="s">
        <v>1788</v>
      </c>
      <c r="E550" s="82"/>
      <c r="F550" s="82" t="s">
        <v>4672</v>
      </c>
      <c r="G550" s="89">
        <v>1</v>
      </c>
      <c r="H550" s="89">
        <v>44.1</v>
      </c>
      <c r="I550" s="85">
        <v>0</v>
      </c>
      <c r="J550" s="85">
        <v>2.21</v>
      </c>
      <c r="K550" s="85">
        <v>46.31</v>
      </c>
      <c r="L550" s="85">
        <v>209.03</v>
      </c>
      <c r="M550" s="89">
        <v>44.1</v>
      </c>
      <c r="N550" s="85">
        <v>0</v>
      </c>
      <c r="O550" s="85">
        <v>2.21</v>
      </c>
      <c r="P550" s="85">
        <v>46.31</v>
      </c>
      <c r="Q550" s="85">
        <v>209.03</v>
      </c>
      <c r="R550" s="82" t="s">
        <v>3399</v>
      </c>
      <c r="S550" s="7">
        <f t="shared" si="25"/>
        <v>0</v>
      </c>
      <c r="T550" s="6">
        <f t="shared" si="26"/>
        <v>0</v>
      </c>
      <c r="U550" s="25">
        <f t="shared" si="24"/>
        <v>0</v>
      </c>
    </row>
    <row r="551" spans="1:21" ht="10.9" customHeight="1" x14ac:dyDescent="0.2">
      <c r="A551" s="82" t="s">
        <v>2552</v>
      </c>
      <c r="B551" s="83">
        <v>45730</v>
      </c>
      <c r="C551" s="82" t="s">
        <v>3395</v>
      </c>
      <c r="D551" s="82" t="s">
        <v>1780</v>
      </c>
      <c r="E551" s="82"/>
      <c r="F551" s="82" t="s">
        <v>4641</v>
      </c>
      <c r="G551" s="89">
        <v>1</v>
      </c>
      <c r="H551" s="89">
        <v>168.59</v>
      </c>
      <c r="I551" s="85">
        <v>0</v>
      </c>
      <c r="J551" s="85">
        <v>8.43</v>
      </c>
      <c r="K551" s="85">
        <v>177.02</v>
      </c>
      <c r="L551" s="85">
        <v>177.02</v>
      </c>
      <c r="M551" s="89">
        <v>168.59</v>
      </c>
      <c r="N551" s="85">
        <v>0</v>
      </c>
      <c r="O551" s="85">
        <v>8.43</v>
      </c>
      <c r="P551" s="85">
        <v>177.02</v>
      </c>
      <c r="Q551" s="85">
        <v>177.02</v>
      </c>
      <c r="R551" s="82" t="s">
        <v>3399</v>
      </c>
      <c r="S551" s="7">
        <f t="shared" si="25"/>
        <v>0</v>
      </c>
      <c r="T551" s="6">
        <f t="shared" si="26"/>
        <v>0</v>
      </c>
      <c r="U551" s="25">
        <f t="shared" si="24"/>
        <v>0</v>
      </c>
    </row>
    <row r="552" spans="1:21" ht="10.9" customHeight="1" x14ac:dyDescent="0.2">
      <c r="A552" s="82"/>
      <c r="B552" s="83">
        <v>45730</v>
      </c>
      <c r="C552" s="82" t="s">
        <v>3423</v>
      </c>
      <c r="D552" s="82" t="s">
        <v>1771</v>
      </c>
      <c r="E552" s="82"/>
      <c r="F552" s="82" t="s">
        <v>1771</v>
      </c>
      <c r="G552" s="89">
        <v>-1</v>
      </c>
      <c r="H552" s="89">
        <v>11384.16</v>
      </c>
      <c r="I552" s="85">
        <v>0</v>
      </c>
      <c r="J552" s="85">
        <v>0</v>
      </c>
      <c r="K552" s="85">
        <v>-11384.16</v>
      </c>
      <c r="L552" s="85">
        <v>-11384.16</v>
      </c>
      <c r="M552" s="89">
        <v>11384.16</v>
      </c>
      <c r="N552" s="85">
        <v>0</v>
      </c>
      <c r="O552" s="85">
        <v>0</v>
      </c>
      <c r="P552" s="85">
        <v>-11384.16</v>
      </c>
      <c r="Q552" s="85">
        <v>-11384.16</v>
      </c>
      <c r="R552" s="82" t="s">
        <v>3399</v>
      </c>
      <c r="S552" s="7">
        <f t="shared" si="25"/>
        <v>0</v>
      </c>
      <c r="T552" s="6">
        <f t="shared" si="26"/>
        <v>0</v>
      </c>
      <c r="U552" s="25">
        <f t="shared" si="24"/>
        <v>0</v>
      </c>
    </row>
    <row r="553" spans="1:21" ht="10.9" customHeight="1" x14ac:dyDescent="0.2">
      <c r="A553" s="82" t="s">
        <v>2553</v>
      </c>
      <c r="B553" s="83">
        <v>45733</v>
      </c>
      <c r="C553" s="82" t="s">
        <v>3395</v>
      </c>
      <c r="D553" s="82" t="s">
        <v>1777</v>
      </c>
      <c r="E553" s="82"/>
      <c r="F553" s="82" t="s">
        <v>4683</v>
      </c>
      <c r="G553" s="89">
        <v>4</v>
      </c>
      <c r="H553" s="89">
        <v>129.75</v>
      </c>
      <c r="I553" s="85">
        <v>0</v>
      </c>
      <c r="J553" s="85">
        <v>0</v>
      </c>
      <c r="K553" s="85">
        <v>519</v>
      </c>
      <c r="L553" s="85">
        <v>519</v>
      </c>
      <c r="M553" s="89">
        <v>185.58541291502834</v>
      </c>
      <c r="N553" s="85">
        <v>0</v>
      </c>
      <c r="O553" s="85">
        <v>0</v>
      </c>
      <c r="P553" s="85">
        <v>742.34165166011337</v>
      </c>
      <c r="Q553" s="85">
        <v>742.34165166011337</v>
      </c>
      <c r="R553" s="82" t="s">
        <v>3399</v>
      </c>
      <c r="S553" s="7">
        <f t="shared" si="25"/>
        <v>0</v>
      </c>
      <c r="T553" s="6">
        <f t="shared" si="26"/>
        <v>0</v>
      </c>
      <c r="U553" s="25">
        <f t="shared" si="24"/>
        <v>0</v>
      </c>
    </row>
    <row r="554" spans="1:21" ht="10.9" customHeight="1" x14ac:dyDescent="0.2">
      <c r="A554" s="82" t="s">
        <v>2496</v>
      </c>
      <c r="B554" s="83">
        <v>45733</v>
      </c>
      <c r="C554" s="82" t="s">
        <v>3395</v>
      </c>
      <c r="D554" s="82" t="s">
        <v>1870</v>
      </c>
      <c r="E554" s="82"/>
      <c r="F554" s="82" t="s">
        <v>5621</v>
      </c>
      <c r="G554" s="89">
        <v>2</v>
      </c>
      <c r="H554" s="89">
        <v>20</v>
      </c>
      <c r="I554" s="85">
        <v>0</v>
      </c>
      <c r="J554" s="85">
        <v>5.2</v>
      </c>
      <c r="K554" s="85">
        <v>45.2</v>
      </c>
      <c r="L554" s="85">
        <v>6225.17</v>
      </c>
      <c r="M554" s="89">
        <v>28.606614707518819</v>
      </c>
      <c r="N554" s="85">
        <v>0</v>
      </c>
      <c r="O554" s="85">
        <v>7.4377198239548932</v>
      </c>
      <c r="P554" s="85">
        <v>64.650949238992538</v>
      </c>
      <c r="Q554" s="85">
        <v>8904.0519839402459</v>
      </c>
      <c r="R554" s="82" t="s">
        <v>3399</v>
      </c>
      <c r="S554" s="7">
        <f t="shared" si="25"/>
        <v>0</v>
      </c>
      <c r="T554" s="6">
        <f t="shared" si="26"/>
        <v>0</v>
      </c>
      <c r="U554" s="25">
        <f t="shared" si="24"/>
        <v>0</v>
      </c>
    </row>
    <row r="555" spans="1:21" ht="10.9" customHeight="1" x14ac:dyDescent="0.2">
      <c r="A555" s="82" t="s">
        <v>2496</v>
      </c>
      <c r="B555" s="83">
        <v>45733</v>
      </c>
      <c r="C555" s="82" t="s">
        <v>3395</v>
      </c>
      <c r="D555" s="82" t="s">
        <v>1870</v>
      </c>
      <c r="E555" s="82"/>
      <c r="F555" s="82" t="s">
        <v>5620</v>
      </c>
      <c r="G555" s="89">
        <v>1</v>
      </c>
      <c r="H555" s="89">
        <v>1431</v>
      </c>
      <c r="I555" s="85">
        <v>0</v>
      </c>
      <c r="J555" s="85">
        <v>186.03</v>
      </c>
      <c r="K555" s="85">
        <v>1617.03</v>
      </c>
      <c r="L555" s="85">
        <v>6225.17</v>
      </c>
      <c r="M555" s="89">
        <v>2046.8032823229717</v>
      </c>
      <c r="N555" s="85">
        <v>0</v>
      </c>
      <c r="O555" s="85">
        <v>266.08442670198627</v>
      </c>
      <c r="P555" s="85">
        <v>2312.887709024958</v>
      </c>
      <c r="Q555" s="85">
        <v>8904.0519839402459</v>
      </c>
      <c r="R555" s="82" t="s">
        <v>3399</v>
      </c>
      <c r="S555" s="7">
        <f t="shared" si="25"/>
        <v>0</v>
      </c>
      <c r="T555" s="6">
        <f t="shared" si="26"/>
        <v>0</v>
      </c>
      <c r="U555" s="25">
        <f t="shared" si="24"/>
        <v>0</v>
      </c>
    </row>
    <row r="556" spans="1:21" ht="10.9" customHeight="1" x14ac:dyDescent="0.2">
      <c r="A556" s="82" t="s">
        <v>2496</v>
      </c>
      <c r="B556" s="83">
        <v>45733</v>
      </c>
      <c r="C556" s="82" t="s">
        <v>3395</v>
      </c>
      <c r="D556" s="82" t="s">
        <v>1870</v>
      </c>
      <c r="E556" s="82"/>
      <c r="F556" s="82" t="s">
        <v>5619</v>
      </c>
      <c r="G556" s="89">
        <v>1</v>
      </c>
      <c r="H556" s="89">
        <v>1335</v>
      </c>
      <c r="I556" s="85">
        <v>0</v>
      </c>
      <c r="J556" s="85">
        <v>173.55</v>
      </c>
      <c r="K556" s="85">
        <v>1508.55</v>
      </c>
      <c r="L556" s="85">
        <v>6225.17</v>
      </c>
      <c r="M556" s="89">
        <v>1909.4915317268812</v>
      </c>
      <c r="N556" s="85">
        <v>0</v>
      </c>
      <c r="O556" s="85">
        <v>248.23389912449457</v>
      </c>
      <c r="P556" s="85">
        <v>2157.7254308513757</v>
      </c>
      <c r="Q556" s="85">
        <v>8904.0519839402459</v>
      </c>
      <c r="R556" s="82" t="s">
        <v>3399</v>
      </c>
      <c r="S556" s="7">
        <f t="shared" si="25"/>
        <v>0</v>
      </c>
      <c r="T556" s="6">
        <f t="shared" si="26"/>
        <v>0</v>
      </c>
      <c r="U556" s="25">
        <f t="shared" si="24"/>
        <v>0</v>
      </c>
    </row>
    <row r="557" spans="1:21" ht="10.9" customHeight="1" x14ac:dyDescent="0.2">
      <c r="A557" s="82" t="s">
        <v>2496</v>
      </c>
      <c r="B557" s="83">
        <v>45733</v>
      </c>
      <c r="C557" s="82" t="s">
        <v>3395</v>
      </c>
      <c r="D557" s="82" t="s">
        <v>1870</v>
      </c>
      <c r="E557" s="82"/>
      <c r="F557" s="82" t="s">
        <v>5618</v>
      </c>
      <c r="G557" s="89">
        <v>2</v>
      </c>
      <c r="H557" s="89">
        <v>229</v>
      </c>
      <c r="I557" s="85">
        <v>0</v>
      </c>
      <c r="J557" s="85">
        <v>59.54</v>
      </c>
      <c r="K557" s="85">
        <v>517.54</v>
      </c>
      <c r="L557" s="85">
        <v>6225.17</v>
      </c>
      <c r="M557" s="89">
        <v>327.54573840109049</v>
      </c>
      <c r="N557" s="85">
        <v>0</v>
      </c>
      <c r="O557" s="85">
        <v>85.161891984283528</v>
      </c>
      <c r="P557" s="85">
        <v>740.25336878646453</v>
      </c>
      <c r="Q557" s="85">
        <v>8904.0519839402459</v>
      </c>
      <c r="R557" s="82" t="s">
        <v>3399</v>
      </c>
      <c r="S557" s="7">
        <f t="shared" si="25"/>
        <v>0</v>
      </c>
      <c r="T557" s="6">
        <f t="shared" si="26"/>
        <v>0</v>
      </c>
      <c r="U557" s="25">
        <f t="shared" si="24"/>
        <v>0</v>
      </c>
    </row>
    <row r="558" spans="1:21" ht="10.9" customHeight="1" x14ac:dyDescent="0.2">
      <c r="A558" s="82" t="s">
        <v>2496</v>
      </c>
      <c r="B558" s="83">
        <v>45733</v>
      </c>
      <c r="C558" s="82" t="s">
        <v>3395</v>
      </c>
      <c r="D558" s="82" t="s">
        <v>1870</v>
      </c>
      <c r="E558" s="82"/>
      <c r="F558" s="82" t="s">
        <v>5617</v>
      </c>
      <c r="G558" s="89">
        <v>2</v>
      </c>
      <c r="H558" s="89">
        <v>221</v>
      </c>
      <c r="I558" s="85">
        <v>0</v>
      </c>
      <c r="J558" s="85">
        <v>57.46</v>
      </c>
      <c r="K558" s="85">
        <v>499.46</v>
      </c>
      <c r="L558" s="85">
        <v>6225.17</v>
      </c>
      <c r="M558" s="89">
        <v>316.10309251808297</v>
      </c>
      <c r="N558" s="85">
        <v>0</v>
      </c>
      <c r="O558" s="85">
        <v>82.186804054701568</v>
      </c>
      <c r="P558" s="85">
        <v>714.39298909086745</v>
      </c>
      <c r="Q558" s="85">
        <v>8904.0519839402459</v>
      </c>
      <c r="R558" s="82" t="s">
        <v>3399</v>
      </c>
      <c r="S558" s="7">
        <f t="shared" si="25"/>
        <v>0</v>
      </c>
      <c r="T558" s="6">
        <f t="shared" si="26"/>
        <v>0</v>
      </c>
      <c r="U558" s="25">
        <f t="shared" si="24"/>
        <v>0</v>
      </c>
    </row>
    <row r="559" spans="1:21" ht="10.9" customHeight="1" x14ac:dyDescent="0.2">
      <c r="A559" s="82" t="s">
        <v>2496</v>
      </c>
      <c r="B559" s="83">
        <v>45733</v>
      </c>
      <c r="C559" s="82" t="s">
        <v>3395</v>
      </c>
      <c r="D559" s="82" t="s">
        <v>1870</v>
      </c>
      <c r="E559" s="82"/>
      <c r="F559" s="82" t="s">
        <v>5616</v>
      </c>
      <c r="G559" s="89">
        <v>2</v>
      </c>
      <c r="H559" s="89">
        <v>684</v>
      </c>
      <c r="I559" s="85">
        <v>0</v>
      </c>
      <c r="J559" s="85">
        <v>177.84</v>
      </c>
      <c r="K559" s="85">
        <v>1545.84</v>
      </c>
      <c r="L559" s="85">
        <v>6225.17</v>
      </c>
      <c r="M559" s="89">
        <v>978.34622299714363</v>
      </c>
      <c r="N559" s="85">
        <v>0</v>
      </c>
      <c r="O559" s="85">
        <v>254.37001797925734</v>
      </c>
      <c r="P559" s="85">
        <v>2211.0624639735447</v>
      </c>
      <c r="Q559" s="85">
        <v>8904.0519839402459</v>
      </c>
      <c r="R559" s="82" t="s">
        <v>3399</v>
      </c>
      <c r="S559" s="7">
        <f t="shared" si="25"/>
        <v>0</v>
      </c>
      <c r="T559" s="6">
        <f t="shared" si="26"/>
        <v>0</v>
      </c>
      <c r="U559" s="25">
        <f t="shared" si="24"/>
        <v>0</v>
      </c>
    </row>
    <row r="560" spans="1:21" ht="10.9" customHeight="1" x14ac:dyDescent="0.2">
      <c r="A560" s="82" t="s">
        <v>2496</v>
      </c>
      <c r="B560" s="83">
        <v>45733</v>
      </c>
      <c r="C560" s="82" t="s">
        <v>3395</v>
      </c>
      <c r="D560" s="82" t="s">
        <v>1870</v>
      </c>
      <c r="E560" s="82"/>
      <c r="F560" s="82" t="s">
        <v>5615</v>
      </c>
      <c r="G560" s="89">
        <v>2</v>
      </c>
      <c r="H560" s="89">
        <v>20</v>
      </c>
      <c r="I560" s="85">
        <v>0</v>
      </c>
      <c r="J560" s="85">
        <v>5.2</v>
      </c>
      <c r="K560" s="85">
        <v>45.2</v>
      </c>
      <c r="L560" s="85">
        <v>6225.17</v>
      </c>
      <c r="M560" s="89">
        <v>28.606614707518819</v>
      </c>
      <c r="N560" s="85">
        <v>0</v>
      </c>
      <c r="O560" s="85">
        <v>7.4377198239548932</v>
      </c>
      <c r="P560" s="85">
        <v>64.650949238992538</v>
      </c>
      <c r="Q560" s="85">
        <v>8904.0519839402459</v>
      </c>
      <c r="R560" s="82" t="s">
        <v>3399</v>
      </c>
      <c r="S560" s="7">
        <f t="shared" si="25"/>
        <v>0</v>
      </c>
      <c r="T560" s="6">
        <f t="shared" si="26"/>
        <v>0</v>
      </c>
      <c r="U560" s="25">
        <f t="shared" si="24"/>
        <v>0</v>
      </c>
    </row>
    <row r="561" spans="1:21" ht="10.9" customHeight="1" x14ac:dyDescent="0.2">
      <c r="A561" s="82" t="s">
        <v>2496</v>
      </c>
      <c r="B561" s="83">
        <v>45733</v>
      </c>
      <c r="C561" s="82" t="s">
        <v>3395</v>
      </c>
      <c r="D561" s="82" t="s">
        <v>1870</v>
      </c>
      <c r="E561" s="82"/>
      <c r="F561" s="82" t="s">
        <v>4459</v>
      </c>
      <c r="G561" s="89">
        <v>1</v>
      </c>
      <c r="H561" s="89">
        <v>395</v>
      </c>
      <c r="I561" s="85">
        <v>0</v>
      </c>
      <c r="J561" s="85">
        <v>51.35</v>
      </c>
      <c r="K561" s="85">
        <v>446.35</v>
      </c>
      <c r="L561" s="85">
        <v>6225.17</v>
      </c>
      <c r="M561" s="89">
        <v>564.98064047349669</v>
      </c>
      <c r="N561" s="85">
        <v>0</v>
      </c>
      <c r="O561" s="85">
        <v>73.447483261554567</v>
      </c>
      <c r="P561" s="85">
        <v>638.42812373505126</v>
      </c>
      <c r="Q561" s="85">
        <v>8904.0519839402459</v>
      </c>
      <c r="R561" s="82" t="s">
        <v>3399</v>
      </c>
      <c r="S561" s="7" t="str">
        <f t="shared" si="25"/>
        <v>INV12734</v>
      </c>
      <c r="T561" s="6">
        <f t="shared" si="26"/>
        <v>1</v>
      </c>
      <c r="U561" s="25">
        <f t="shared" si="24"/>
        <v>395</v>
      </c>
    </row>
    <row r="562" spans="1:21" ht="10.9" customHeight="1" x14ac:dyDescent="0.2">
      <c r="A562" s="82" t="s">
        <v>2554</v>
      </c>
      <c r="B562" s="83">
        <v>45733</v>
      </c>
      <c r="C562" s="82" t="s">
        <v>3395</v>
      </c>
      <c r="D562" s="82" t="s">
        <v>1775</v>
      </c>
      <c r="E562" s="82"/>
      <c r="F562" s="82" t="s">
        <v>4911</v>
      </c>
      <c r="G562" s="89">
        <v>2</v>
      </c>
      <c r="H562" s="89">
        <v>148.1</v>
      </c>
      <c r="I562" s="85">
        <v>0</v>
      </c>
      <c r="J562" s="85">
        <v>14.81</v>
      </c>
      <c r="K562" s="85">
        <v>311.01</v>
      </c>
      <c r="L562" s="85">
        <v>311.01</v>
      </c>
      <c r="M562" s="89">
        <v>148.1</v>
      </c>
      <c r="N562" s="85">
        <v>0</v>
      </c>
      <c r="O562" s="85">
        <v>14.81</v>
      </c>
      <c r="P562" s="85">
        <v>311.01</v>
      </c>
      <c r="Q562" s="85">
        <v>311.01</v>
      </c>
      <c r="R562" s="82" t="s">
        <v>3399</v>
      </c>
      <c r="S562" s="7">
        <f t="shared" si="25"/>
        <v>0</v>
      </c>
      <c r="T562" s="6">
        <f t="shared" si="26"/>
        <v>0</v>
      </c>
      <c r="U562" s="25">
        <f t="shared" si="24"/>
        <v>0</v>
      </c>
    </row>
    <row r="563" spans="1:21" ht="10.9" customHeight="1" x14ac:dyDescent="0.2">
      <c r="A563" s="82" t="s">
        <v>2531</v>
      </c>
      <c r="B563" s="83">
        <v>45733</v>
      </c>
      <c r="C563" s="82" t="s">
        <v>3395</v>
      </c>
      <c r="D563" s="82" t="s">
        <v>1814</v>
      </c>
      <c r="E563" s="82"/>
      <c r="F563" s="82" t="s">
        <v>4736</v>
      </c>
      <c r="G563" s="89">
        <v>2</v>
      </c>
      <c r="H563" s="89">
        <v>373.11</v>
      </c>
      <c r="I563" s="85">
        <v>0</v>
      </c>
      <c r="J563" s="85">
        <v>37.31</v>
      </c>
      <c r="K563" s="85">
        <v>783.53</v>
      </c>
      <c r="L563" s="85">
        <v>2001.4</v>
      </c>
      <c r="M563" s="89">
        <v>373.11</v>
      </c>
      <c r="N563" s="85">
        <v>0</v>
      </c>
      <c r="O563" s="85">
        <v>37.31</v>
      </c>
      <c r="P563" s="85">
        <v>783.53</v>
      </c>
      <c r="Q563" s="85">
        <v>2001.4</v>
      </c>
      <c r="R563" s="82" t="s">
        <v>3399</v>
      </c>
      <c r="S563" s="7">
        <f t="shared" si="25"/>
        <v>0</v>
      </c>
      <c r="T563" s="6">
        <f t="shared" si="26"/>
        <v>0</v>
      </c>
      <c r="U563" s="25">
        <f t="shared" si="24"/>
        <v>0</v>
      </c>
    </row>
    <row r="564" spans="1:21" ht="10.9" customHeight="1" x14ac:dyDescent="0.2">
      <c r="A564" s="82" t="s">
        <v>2531</v>
      </c>
      <c r="B564" s="83">
        <v>45733</v>
      </c>
      <c r="C564" s="82" t="s">
        <v>3395</v>
      </c>
      <c r="D564" s="82" t="s">
        <v>1814</v>
      </c>
      <c r="E564" s="82"/>
      <c r="F564" s="82" t="s">
        <v>4424</v>
      </c>
      <c r="G564" s="89">
        <v>1</v>
      </c>
      <c r="H564" s="89">
        <v>1159.8800000000001</v>
      </c>
      <c r="I564" s="85">
        <v>0</v>
      </c>
      <c r="J564" s="85">
        <v>57.99</v>
      </c>
      <c r="K564" s="85">
        <v>1217.8699999999999</v>
      </c>
      <c r="L564" s="85">
        <v>2001.4</v>
      </c>
      <c r="M564" s="89">
        <v>1159.8800000000001</v>
      </c>
      <c r="N564" s="85">
        <v>0</v>
      </c>
      <c r="O564" s="85">
        <v>57.99</v>
      </c>
      <c r="P564" s="85">
        <v>1217.8699999999999</v>
      </c>
      <c r="Q564" s="85">
        <v>2001.4</v>
      </c>
      <c r="R564" s="82" t="s">
        <v>3399</v>
      </c>
      <c r="S564" s="7">
        <f t="shared" si="25"/>
        <v>0</v>
      </c>
      <c r="T564" s="6">
        <f t="shared" si="26"/>
        <v>0</v>
      </c>
      <c r="U564" s="25">
        <f t="shared" si="24"/>
        <v>0</v>
      </c>
    </row>
    <row r="565" spans="1:21" ht="10.9" customHeight="1" x14ac:dyDescent="0.2">
      <c r="A565" s="82" t="s">
        <v>2531</v>
      </c>
      <c r="B565" s="83">
        <v>45733</v>
      </c>
      <c r="C565" s="82" t="s">
        <v>3395</v>
      </c>
      <c r="D565" s="82" t="s">
        <v>1814</v>
      </c>
      <c r="E565" s="82"/>
      <c r="F565" s="82" t="s">
        <v>4805</v>
      </c>
      <c r="G565" s="89">
        <v>1</v>
      </c>
      <c r="H565" s="89">
        <v>40</v>
      </c>
      <c r="I565" s="85">
        <v>40</v>
      </c>
      <c r="J565" s="85">
        <v>0</v>
      </c>
      <c r="K565" s="85">
        <v>0</v>
      </c>
      <c r="L565" s="85">
        <v>2001.4</v>
      </c>
      <c r="M565" s="89">
        <v>40</v>
      </c>
      <c r="N565" s="85">
        <v>40</v>
      </c>
      <c r="O565" s="85">
        <v>0</v>
      </c>
      <c r="P565" s="85">
        <v>0</v>
      </c>
      <c r="Q565" s="85">
        <v>2001.4</v>
      </c>
      <c r="R565" s="82" t="s">
        <v>3399</v>
      </c>
      <c r="S565" s="7">
        <f t="shared" si="25"/>
        <v>0</v>
      </c>
      <c r="T565" s="6">
        <f t="shared" si="26"/>
        <v>0</v>
      </c>
      <c r="U565" s="25">
        <f t="shared" si="24"/>
        <v>0</v>
      </c>
    </row>
    <row r="566" spans="1:21" ht="10.9" customHeight="1" x14ac:dyDescent="0.2">
      <c r="A566" s="82" t="s">
        <v>2532</v>
      </c>
      <c r="B566" s="83">
        <v>45733</v>
      </c>
      <c r="C566" s="82" t="s">
        <v>3395</v>
      </c>
      <c r="D566" s="82" t="s">
        <v>1484</v>
      </c>
      <c r="E566" s="82"/>
      <c r="F566" s="82" t="s">
        <v>4425</v>
      </c>
      <c r="G566" s="89">
        <v>1</v>
      </c>
      <c r="H566" s="89">
        <v>1129.78</v>
      </c>
      <c r="I566" s="85">
        <v>0</v>
      </c>
      <c r="J566" s="85">
        <v>56.49</v>
      </c>
      <c r="K566" s="85">
        <v>1186.27</v>
      </c>
      <c r="L566" s="85">
        <v>1186.27</v>
      </c>
      <c r="M566" s="89">
        <v>1129.78</v>
      </c>
      <c r="N566" s="85">
        <v>0</v>
      </c>
      <c r="O566" s="85">
        <v>56.49</v>
      </c>
      <c r="P566" s="85">
        <v>1186.27</v>
      </c>
      <c r="Q566" s="85">
        <v>1186.27</v>
      </c>
      <c r="R566" s="82" t="s">
        <v>3399</v>
      </c>
      <c r="S566" s="7">
        <f t="shared" si="25"/>
        <v>0</v>
      </c>
      <c r="T566" s="6">
        <f t="shared" si="26"/>
        <v>0</v>
      </c>
      <c r="U566" s="25">
        <f t="shared" si="24"/>
        <v>0</v>
      </c>
    </row>
    <row r="567" spans="1:21" ht="10.9" customHeight="1" x14ac:dyDescent="0.2">
      <c r="A567" s="82" t="s">
        <v>2532</v>
      </c>
      <c r="B567" s="83">
        <v>45733</v>
      </c>
      <c r="C567" s="82" t="s">
        <v>3395</v>
      </c>
      <c r="D567" s="82" t="s">
        <v>1484</v>
      </c>
      <c r="E567" s="82"/>
      <c r="F567" s="82" t="s">
        <v>4806</v>
      </c>
      <c r="G567" s="89">
        <v>1</v>
      </c>
      <c r="H567" s="89">
        <v>29.95</v>
      </c>
      <c r="I567" s="85">
        <v>29.95</v>
      </c>
      <c r="J567" s="85">
        <v>0</v>
      </c>
      <c r="K567" s="85">
        <v>0</v>
      </c>
      <c r="L567" s="85">
        <v>1186.27</v>
      </c>
      <c r="M567" s="89">
        <v>29.95</v>
      </c>
      <c r="N567" s="85">
        <v>29.95</v>
      </c>
      <c r="O567" s="85">
        <v>0</v>
      </c>
      <c r="P567" s="85">
        <v>0</v>
      </c>
      <c r="Q567" s="85">
        <v>1186.27</v>
      </c>
      <c r="R567" s="82" t="s">
        <v>3399</v>
      </c>
      <c r="S567" s="7">
        <f t="shared" si="25"/>
        <v>0</v>
      </c>
      <c r="T567" s="6">
        <f t="shared" si="26"/>
        <v>0</v>
      </c>
      <c r="U567" s="25">
        <f t="shared" si="24"/>
        <v>0</v>
      </c>
    </row>
    <row r="568" spans="1:21" ht="10.9" customHeight="1" x14ac:dyDescent="0.2">
      <c r="A568" s="82" t="s">
        <v>2548</v>
      </c>
      <c r="B568" s="83">
        <v>45734</v>
      </c>
      <c r="C568" s="82" t="s">
        <v>3395</v>
      </c>
      <c r="D568" s="82" t="s">
        <v>1786</v>
      </c>
      <c r="E568" s="82"/>
      <c r="F568" s="82" t="s">
        <v>4676</v>
      </c>
      <c r="G568" s="89">
        <v>1</v>
      </c>
      <c r="H568" s="89">
        <v>1217.18</v>
      </c>
      <c r="I568" s="85">
        <v>0</v>
      </c>
      <c r="J568" s="85">
        <v>60.86</v>
      </c>
      <c r="K568" s="85">
        <v>1278.04</v>
      </c>
      <c r="L568" s="85">
        <v>4286.34</v>
      </c>
      <c r="M568" s="89">
        <v>1217.18</v>
      </c>
      <c r="N568" s="85">
        <v>0</v>
      </c>
      <c r="O568" s="85">
        <v>60.86</v>
      </c>
      <c r="P568" s="85">
        <v>1278.04</v>
      </c>
      <c r="Q568" s="85">
        <v>4286.34</v>
      </c>
      <c r="R568" s="82" t="s">
        <v>3399</v>
      </c>
      <c r="S568" s="7">
        <f t="shared" si="25"/>
        <v>0</v>
      </c>
      <c r="T568" s="6">
        <f t="shared" si="26"/>
        <v>0</v>
      </c>
      <c r="U568" s="25">
        <f t="shared" si="24"/>
        <v>0</v>
      </c>
    </row>
    <row r="569" spans="1:21" ht="10.9" customHeight="1" x14ac:dyDescent="0.2">
      <c r="A569" s="82" t="s">
        <v>2548</v>
      </c>
      <c r="B569" s="83">
        <v>45734</v>
      </c>
      <c r="C569" s="82" t="s">
        <v>3395</v>
      </c>
      <c r="D569" s="82" t="s">
        <v>1786</v>
      </c>
      <c r="E569" s="82"/>
      <c r="F569" s="82" t="s">
        <v>4425</v>
      </c>
      <c r="G569" s="89">
        <v>1</v>
      </c>
      <c r="H569" s="89">
        <v>1149.06</v>
      </c>
      <c r="I569" s="85">
        <v>0</v>
      </c>
      <c r="J569" s="85">
        <v>57.45</v>
      </c>
      <c r="K569" s="85">
        <v>1206.51</v>
      </c>
      <c r="L569" s="85">
        <v>4286.34</v>
      </c>
      <c r="M569" s="89">
        <v>1149.06</v>
      </c>
      <c r="N569" s="85">
        <v>0</v>
      </c>
      <c r="O569" s="85">
        <v>57.45</v>
      </c>
      <c r="P569" s="85">
        <v>1206.51</v>
      </c>
      <c r="Q569" s="85">
        <v>4286.34</v>
      </c>
      <c r="R569" s="82" t="s">
        <v>3399</v>
      </c>
      <c r="S569" s="7">
        <f t="shared" si="25"/>
        <v>0</v>
      </c>
      <c r="T569" s="6">
        <f t="shared" si="26"/>
        <v>0</v>
      </c>
      <c r="U569" s="25">
        <f t="shared" si="24"/>
        <v>0</v>
      </c>
    </row>
    <row r="570" spans="1:21" ht="10.9" customHeight="1" x14ac:dyDescent="0.2">
      <c r="A570" s="82" t="s">
        <v>2548</v>
      </c>
      <c r="B570" s="83">
        <v>45734</v>
      </c>
      <c r="C570" s="82" t="s">
        <v>3395</v>
      </c>
      <c r="D570" s="82" t="s">
        <v>1786</v>
      </c>
      <c r="E570" s="82"/>
      <c r="F570" s="82" t="s">
        <v>4806</v>
      </c>
      <c r="G570" s="89">
        <v>1</v>
      </c>
      <c r="H570" s="89">
        <v>40</v>
      </c>
      <c r="I570" s="85">
        <v>40</v>
      </c>
      <c r="J570" s="85">
        <v>0</v>
      </c>
      <c r="K570" s="85">
        <v>0</v>
      </c>
      <c r="L570" s="85">
        <v>4286.34</v>
      </c>
      <c r="M570" s="89">
        <v>40</v>
      </c>
      <c r="N570" s="85">
        <v>40</v>
      </c>
      <c r="O570" s="85">
        <v>0</v>
      </c>
      <c r="P570" s="85">
        <v>0</v>
      </c>
      <c r="Q570" s="85">
        <v>4286.34</v>
      </c>
      <c r="R570" s="82" t="s">
        <v>3399</v>
      </c>
      <c r="S570" s="7">
        <f t="shared" si="25"/>
        <v>0</v>
      </c>
      <c r="T570" s="6">
        <f t="shared" si="26"/>
        <v>0</v>
      </c>
      <c r="U570" s="25">
        <f t="shared" si="24"/>
        <v>0</v>
      </c>
    </row>
    <row r="571" spans="1:21" ht="10.9" customHeight="1" x14ac:dyDescent="0.2">
      <c r="A571" s="82" t="s">
        <v>2548</v>
      </c>
      <c r="B571" s="83">
        <v>45734</v>
      </c>
      <c r="C571" s="82" t="s">
        <v>3395</v>
      </c>
      <c r="D571" s="82" t="s">
        <v>1786</v>
      </c>
      <c r="E571" s="82"/>
      <c r="F571" s="82" t="s">
        <v>4736</v>
      </c>
      <c r="G571" s="89">
        <v>1</v>
      </c>
      <c r="H571" s="89">
        <v>383.15</v>
      </c>
      <c r="I571" s="85">
        <v>0</v>
      </c>
      <c r="J571" s="85">
        <v>19.16</v>
      </c>
      <c r="K571" s="85">
        <v>402.31</v>
      </c>
      <c r="L571" s="85">
        <v>4286.34</v>
      </c>
      <c r="M571" s="89">
        <v>383.15</v>
      </c>
      <c r="N571" s="85">
        <v>0</v>
      </c>
      <c r="O571" s="85">
        <v>19.16</v>
      </c>
      <c r="P571" s="85">
        <v>402.31</v>
      </c>
      <c r="Q571" s="85">
        <v>4286.34</v>
      </c>
      <c r="R571" s="82" t="s">
        <v>3399</v>
      </c>
      <c r="S571" s="7">
        <f t="shared" si="25"/>
        <v>0</v>
      </c>
      <c r="T571" s="6">
        <f t="shared" si="26"/>
        <v>0</v>
      </c>
      <c r="U571" s="25">
        <f t="shared" si="24"/>
        <v>0</v>
      </c>
    </row>
    <row r="572" spans="1:21" ht="10.9" customHeight="1" x14ac:dyDescent="0.2">
      <c r="A572" s="82" t="s">
        <v>2548</v>
      </c>
      <c r="B572" s="83">
        <v>45734</v>
      </c>
      <c r="C572" s="82" t="s">
        <v>3395</v>
      </c>
      <c r="D572" s="82" t="s">
        <v>1786</v>
      </c>
      <c r="E572" s="82"/>
      <c r="F572" s="82" t="s">
        <v>4686</v>
      </c>
      <c r="G572" s="89">
        <v>1</v>
      </c>
      <c r="H572" s="89">
        <v>152.13</v>
      </c>
      <c r="I572" s="85">
        <v>0</v>
      </c>
      <c r="J572" s="85">
        <v>7.61</v>
      </c>
      <c r="K572" s="85">
        <v>159.74</v>
      </c>
      <c r="L572" s="85">
        <v>4286.34</v>
      </c>
      <c r="M572" s="89">
        <v>152.13</v>
      </c>
      <c r="N572" s="85">
        <v>0</v>
      </c>
      <c r="O572" s="85">
        <v>7.61</v>
      </c>
      <c r="P572" s="85">
        <v>159.74</v>
      </c>
      <c r="Q572" s="85">
        <v>4286.34</v>
      </c>
      <c r="R572" s="82" t="s">
        <v>3399</v>
      </c>
      <c r="S572" s="7">
        <f t="shared" si="25"/>
        <v>0</v>
      </c>
      <c r="T572" s="6">
        <f t="shared" si="26"/>
        <v>0</v>
      </c>
      <c r="U572" s="25">
        <f t="shared" si="24"/>
        <v>0</v>
      </c>
    </row>
    <row r="573" spans="1:21" ht="10.9" customHeight="1" x14ac:dyDescent="0.2">
      <c r="A573" s="82" t="s">
        <v>2548</v>
      </c>
      <c r="B573" s="83">
        <v>45734</v>
      </c>
      <c r="C573" s="82" t="s">
        <v>3395</v>
      </c>
      <c r="D573" s="82" t="s">
        <v>1786</v>
      </c>
      <c r="E573" s="82"/>
      <c r="F573" s="82" t="s">
        <v>4685</v>
      </c>
      <c r="G573" s="89">
        <v>1</v>
      </c>
      <c r="H573" s="89">
        <v>1180.7</v>
      </c>
      <c r="I573" s="85">
        <v>0</v>
      </c>
      <c r="J573" s="85">
        <v>59.04</v>
      </c>
      <c r="K573" s="85">
        <v>1239.74</v>
      </c>
      <c r="L573" s="85">
        <v>4286.34</v>
      </c>
      <c r="M573" s="89">
        <v>1180.7</v>
      </c>
      <c r="N573" s="85">
        <v>0</v>
      </c>
      <c r="O573" s="85">
        <v>59.04</v>
      </c>
      <c r="P573" s="85">
        <v>1239.74</v>
      </c>
      <c r="Q573" s="85">
        <v>4286.34</v>
      </c>
      <c r="R573" s="82" t="s">
        <v>3399</v>
      </c>
      <c r="S573" s="7">
        <f t="shared" si="25"/>
        <v>0</v>
      </c>
      <c r="T573" s="6">
        <f t="shared" si="26"/>
        <v>0</v>
      </c>
      <c r="U573" s="25">
        <f t="shared" si="24"/>
        <v>0</v>
      </c>
    </row>
    <row r="574" spans="1:21" ht="10.9" customHeight="1" x14ac:dyDescent="0.2">
      <c r="A574" s="82" t="s">
        <v>2551</v>
      </c>
      <c r="B574" s="83">
        <v>45734</v>
      </c>
      <c r="C574" s="82" t="s">
        <v>3395</v>
      </c>
      <c r="D574" s="82" t="s">
        <v>1782</v>
      </c>
      <c r="E574" s="82"/>
      <c r="F574" s="82" t="s">
        <v>4671</v>
      </c>
      <c r="G574" s="89">
        <v>2</v>
      </c>
      <c r="H574" s="89">
        <v>21.26</v>
      </c>
      <c r="I574" s="85">
        <v>0</v>
      </c>
      <c r="J574" s="85">
        <v>2.13</v>
      </c>
      <c r="K574" s="85">
        <v>44.65</v>
      </c>
      <c r="L574" s="85">
        <v>44.65</v>
      </c>
      <c r="M574" s="89">
        <v>21.26</v>
      </c>
      <c r="N574" s="85">
        <v>0</v>
      </c>
      <c r="O574" s="85">
        <v>2.13</v>
      </c>
      <c r="P574" s="85">
        <v>44.65</v>
      </c>
      <c r="Q574" s="85">
        <v>44.65</v>
      </c>
      <c r="R574" s="82" t="s">
        <v>3399</v>
      </c>
      <c r="S574" s="7">
        <f t="shared" si="25"/>
        <v>0</v>
      </c>
      <c r="T574" s="6">
        <f t="shared" si="26"/>
        <v>0</v>
      </c>
      <c r="U574" s="25">
        <f t="shared" si="24"/>
        <v>0</v>
      </c>
    </row>
    <row r="575" spans="1:21" ht="10.9" customHeight="1" x14ac:dyDescent="0.2">
      <c r="A575" s="82" t="s">
        <v>2542</v>
      </c>
      <c r="B575" s="83">
        <v>45734</v>
      </c>
      <c r="C575" s="82" t="s">
        <v>3395</v>
      </c>
      <c r="D575" s="82" t="s">
        <v>1799</v>
      </c>
      <c r="E575" s="82"/>
      <c r="F575" s="82" t="s">
        <v>4676</v>
      </c>
      <c r="G575" s="89">
        <v>1</v>
      </c>
      <c r="H575" s="89">
        <v>1217.18</v>
      </c>
      <c r="I575" s="85">
        <v>0</v>
      </c>
      <c r="J575" s="85">
        <v>60.86</v>
      </c>
      <c r="K575" s="85">
        <v>1278.04</v>
      </c>
      <c r="L575" s="85">
        <v>1840.09</v>
      </c>
      <c r="M575" s="89">
        <v>1217.18</v>
      </c>
      <c r="N575" s="85">
        <v>0</v>
      </c>
      <c r="O575" s="85">
        <v>60.86</v>
      </c>
      <c r="P575" s="85">
        <v>1278.04</v>
      </c>
      <c r="Q575" s="85">
        <v>1840.09</v>
      </c>
      <c r="R575" s="82" t="s">
        <v>3399</v>
      </c>
      <c r="S575" s="7">
        <f t="shared" si="25"/>
        <v>0</v>
      </c>
      <c r="T575" s="6">
        <f t="shared" si="26"/>
        <v>0</v>
      </c>
      <c r="U575" s="25">
        <f t="shared" si="24"/>
        <v>0</v>
      </c>
    </row>
    <row r="576" spans="1:21" ht="10.9" customHeight="1" x14ac:dyDescent="0.2">
      <c r="A576" s="82" t="s">
        <v>2542</v>
      </c>
      <c r="B576" s="83">
        <v>45734</v>
      </c>
      <c r="C576" s="82" t="s">
        <v>3395</v>
      </c>
      <c r="D576" s="82" t="s">
        <v>1799</v>
      </c>
      <c r="E576" s="82"/>
      <c r="F576" s="82" t="s">
        <v>4736</v>
      </c>
      <c r="G576" s="89">
        <v>1</v>
      </c>
      <c r="H576" s="89">
        <v>383.15</v>
      </c>
      <c r="I576" s="85">
        <v>0</v>
      </c>
      <c r="J576" s="85">
        <v>19.16</v>
      </c>
      <c r="K576" s="85">
        <v>402.31</v>
      </c>
      <c r="L576" s="85">
        <v>1840.09</v>
      </c>
      <c r="M576" s="89">
        <v>383.15</v>
      </c>
      <c r="N576" s="85">
        <v>0</v>
      </c>
      <c r="O576" s="85">
        <v>19.16</v>
      </c>
      <c r="P576" s="85">
        <v>402.31</v>
      </c>
      <c r="Q576" s="85">
        <v>1840.09</v>
      </c>
      <c r="R576" s="82" t="s">
        <v>3399</v>
      </c>
      <c r="S576" s="7">
        <f t="shared" si="25"/>
        <v>0</v>
      </c>
      <c r="T576" s="6">
        <f t="shared" si="26"/>
        <v>0</v>
      </c>
      <c r="U576" s="25">
        <f t="shared" si="24"/>
        <v>0</v>
      </c>
    </row>
    <row r="577" spans="1:21" ht="10.9" customHeight="1" x14ac:dyDescent="0.2">
      <c r="A577" s="82" t="s">
        <v>2542</v>
      </c>
      <c r="B577" s="83">
        <v>45734</v>
      </c>
      <c r="C577" s="82" t="s">
        <v>3395</v>
      </c>
      <c r="D577" s="82" t="s">
        <v>1799</v>
      </c>
      <c r="E577" s="82"/>
      <c r="F577" s="82" t="s">
        <v>4686</v>
      </c>
      <c r="G577" s="89">
        <v>1</v>
      </c>
      <c r="H577" s="89">
        <v>152.13</v>
      </c>
      <c r="I577" s="85">
        <v>0</v>
      </c>
      <c r="J577" s="85">
        <v>7.61</v>
      </c>
      <c r="K577" s="85">
        <v>159.74</v>
      </c>
      <c r="L577" s="85">
        <v>1840.09</v>
      </c>
      <c r="M577" s="89">
        <v>152.13</v>
      </c>
      <c r="N577" s="85">
        <v>0</v>
      </c>
      <c r="O577" s="85">
        <v>7.61</v>
      </c>
      <c r="P577" s="85">
        <v>159.74</v>
      </c>
      <c r="Q577" s="85">
        <v>1840.09</v>
      </c>
      <c r="R577" s="82" t="s">
        <v>3399</v>
      </c>
      <c r="S577" s="7">
        <f t="shared" si="25"/>
        <v>0</v>
      </c>
      <c r="T577" s="6">
        <f t="shared" si="26"/>
        <v>0</v>
      </c>
      <c r="U577" s="25">
        <f t="shared" si="24"/>
        <v>0</v>
      </c>
    </row>
    <row r="578" spans="1:21" ht="10.9" customHeight="1" x14ac:dyDescent="0.2">
      <c r="A578" s="82" t="s">
        <v>2486</v>
      </c>
      <c r="B578" s="83">
        <v>45734</v>
      </c>
      <c r="C578" s="82" t="s">
        <v>3395</v>
      </c>
      <c r="D578" s="82" t="s">
        <v>1890</v>
      </c>
      <c r="E578" s="82"/>
      <c r="F578" s="82" t="s">
        <v>4870</v>
      </c>
      <c r="G578" s="89">
        <v>1</v>
      </c>
      <c r="H578" s="89">
        <v>1209.1300000000001</v>
      </c>
      <c r="I578" s="85">
        <v>0</v>
      </c>
      <c r="J578" s="85">
        <v>60.46</v>
      </c>
      <c r="K578" s="85">
        <v>1269.5899999999999</v>
      </c>
      <c r="L578" s="85">
        <v>1269.5899999999999</v>
      </c>
      <c r="M578" s="89">
        <v>1209.1300000000001</v>
      </c>
      <c r="N578" s="85">
        <v>0</v>
      </c>
      <c r="O578" s="85">
        <v>60.46</v>
      </c>
      <c r="P578" s="85">
        <v>1269.5899999999999</v>
      </c>
      <c r="Q578" s="85">
        <v>1269.5899999999999</v>
      </c>
      <c r="R578" s="82" t="s">
        <v>3399</v>
      </c>
      <c r="S578" s="7">
        <f t="shared" si="25"/>
        <v>0</v>
      </c>
      <c r="T578" s="6">
        <f t="shared" si="26"/>
        <v>0</v>
      </c>
      <c r="U578" s="25">
        <f t="shared" ref="U578:U641" si="27">IF(T578=1,K578-J578,0)</f>
        <v>0</v>
      </c>
    </row>
    <row r="579" spans="1:21" ht="10.9" customHeight="1" x14ac:dyDescent="0.2">
      <c r="A579" s="82" t="s">
        <v>2546</v>
      </c>
      <c r="B579" s="83">
        <v>45734</v>
      </c>
      <c r="C579" s="82" t="s">
        <v>3395</v>
      </c>
      <c r="D579" s="82" t="s">
        <v>1790</v>
      </c>
      <c r="E579" s="82"/>
      <c r="F579" s="82" t="s">
        <v>4553</v>
      </c>
      <c r="G579" s="89">
        <v>1</v>
      </c>
      <c r="H579" s="89">
        <v>899.55</v>
      </c>
      <c r="I579" s="85">
        <v>0</v>
      </c>
      <c r="J579" s="85">
        <v>116.94</v>
      </c>
      <c r="K579" s="85">
        <v>1016.49</v>
      </c>
      <c r="L579" s="85">
        <v>2152.54</v>
      </c>
      <c r="M579" s="89">
        <v>899.55</v>
      </c>
      <c r="N579" s="85">
        <v>0</v>
      </c>
      <c r="O579" s="85">
        <v>116.94</v>
      </c>
      <c r="P579" s="85">
        <v>1016.49</v>
      </c>
      <c r="Q579" s="85">
        <v>2152.54</v>
      </c>
      <c r="R579" s="82" t="s">
        <v>3399</v>
      </c>
      <c r="S579" s="7">
        <f t="shared" ref="S579:S642" si="28">IF(T579=1,A579,0)</f>
        <v>0</v>
      </c>
      <c r="T579" s="6">
        <f t="shared" ref="T579:T642" si="29">IFERROR(FIND("Freight",F579,1),0)</f>
        <v>0</v>
      </c>
      <c r="U579" s="25">
        <f t="shared" si="27"/>
        <v>0</v>
      </c>
    </row>
    <row r="580" spans="1:21" ht="10.9" customHeight="1" x14ac:dyDescent="0.2">
      <c r="A580" s="82" t="s">
        <v>2546</v>
      </c>
      <c r="B580" s="83">
        <v>45734</v>
      </c>
      <c r="C580" s="82" t="s">
        <v>3395</v>
      </c>
      <c r="D580" s="82" t="s">
        <v>1790</v>
      </c>
      <c r="E580" s="82"/>
      <c r="F580" s="82" t="s">
        <v>4554</v>
      </c>
      <c r="G580" s="89">
        <v>1</v>
      </c>
      <c r="H580" s="89">
        <v>1005.35</v>
      </c>
      <c r="I580" s="85">
        <v>0</v>
      </c>
      <c r="J580" s="85">
        <v>130.69999999999999</v>
      </c>
      <c r="K580" s="85">
        <v>1136.05</v>
      </c>
      <c r="L580" s="85">
        <v>2152.54</v>
      </c>
      <c r="M580" s="89">
        <v>1005.35</v>
      </c>
      <c r="N580" s="85">
        <v>0</v>
      </c>
      <c r="O580" s="85">
        <v>130.69999999999999</v>
      </c>
      <c r="P580" s="85">
        <v>1136.05</v>
      </c>
      <c r="Q580" s="85">
        <v>2152.54</v>
      </c>
      <c r="R580" s="82" t="s">
        <v>3399</v>
      </c>
      <c r="S580" s="7">
        <f t="shared" si="28"/>
        <v>0</v>
      </c>
      <c r="T580" s="6">
        <f t="shared" si="29"/>
        <v>0</v>
      </c>
      <c r="U580" s="25">
        <f t="shared" si="27"/>
        <v>0</v>
      </c>
    </row>
    <row r="581" spans="1:21" ht="10.9" customHeight="1" x14ac:dyDescent="0.2">
      <c r="A581" s="82" t="s">
        <v>2546</v>
      </c>
      <c r="B581" s="83">
        <v>45734</v>
      </c>
      <c r="C581" s="82" t="s">
        <v>3395</v>
      </c>
      <c r="D581" s="82" t="s">
        <v>1790</v>
      </c>
      <c r="E581" s="82"/>
      <c r="F581" s="82" t="s">
        <v>4805</v>
      </c>
      <c r="G581" s="89">
        <v>1</v>
      </c>
      <c r="H581" s="89">
        <v>29.85</v>
      </c>
      <c r="I581" s="85">
        <v>29.85</v>
      </c>
      <c r="J581" s="85">
        <v>0</v>
      </c>
      <c r="K581" s="85">
        <v>0</v>
      </c>
      <c r="L581" s="85">
        <v>2152.54</v>
      </c>
      <c r="M581" s="89">
        <v>29.85</v>
      </c>
      <c r="N581" s="85">
        <v>29.85</v>
      </c>
      <c r="O581" s="85">
        <v>0</v>
      </c>
      <c r="P581" s="85">
        <v>0</v>
      </c>
      <c r="Q581" s="85">
        <v>2152.54</v>
      </c>
      <c r="R581" s="82" t="s">
        <v>3399</v>
      </c>
      <c r="S581" s="7">
        <f t="shared" si="28"/>
        <v>0</v>
      </c>
      <c r="T581" s="6">
        <f t="shared" si="29"/>
        <v>0</v>
      </c>
      <c r="U581" s="25">
        <f t="shared" si="27"/>
        <v>0</v>
      </c>
    </row>
    <row r="582" spans="1:21" ht="10.9" customHeight="1" x14ac:dyDescent="0.2">
      <c r="A582" s="82" t="s">
        <v>2399</v>
      </c>
      <c r="B582" s="83">
        <v>45734</v>
      </c>
      <c r="C582" s="82" t="s">
        <v>3395</v>
      </c>
      <c r="D582" s="82" t="s">
        <v>2041</v>
      </c>
      <c r="E582" s="82"/>
      <c r="F582" s="82" t="s">
        <v>5614</v>
      </c>
      <c r="G582" s="89">
        <v>2</v>
      </c>
      <c r="H582" s="89">
        <v>3897.1</v>
      </c>
      <c r="I582" s="85">
        <v>0</v>
      </c>
      <c r="J582" s="85">
        <v>389.71</v>
      </c>
      <c r="K582" s="85">
        <v>8183.91</v>
      </c>
      <c r="L582" s="85">
        <v>8183.91</v>
      </c>
      <c r="M582" s="89">
        <v>3897.1</v>
      </c>
      <c r="N582" s="85">
        <v>0</v>
      </c>
      <c r="O582" s="85">
        <v>389.71</v>
      </c>
      <c r="P582" s="85">
        <v>8183.91</v>
      </c>
      <c r="Q582" s="85">
        <v>8183.91</v>
      </c>
      <c r="R582" s="82" t="s">
        <v>3399</v>
      </c>
      <c r="S582" s="7">
        <f t="shared" si="28"/>
        <v>0</v>
      </c>
      <c r="T582" s="6">
        <f t="shared" si="29"/>
        <v>0</v>
      </c>
      <c r="U582" s="25">
        <f t="shared" si="27"/>
        <v>0</v>
      </c>
    </row>
    <row r="583" spans="1:21" ht="10.9" customHeight="1" x14ac:dyDescent="0.2">
      <c r="A583" s="82" t="s">
        <v>2450</v>
      </c>
      <c r="B583" s="83">
        <v>45735</v>
      </c>
      <c r="C583" s="82" t="s">
        <v>3395</v>
      </c>
      <c r="D583" s="82" t="s">
        <v>1957</v>
      </c>
      <c r="E583" s="82"/>
      <c r="F583" s="82" t="s">
        <v>4741</v>
      </c>
      <c r="G583" s="89">
        <v>5</v>
      </c>
      <c r="H583" s="89">
        <v>524.66999999999996</v>
      </c>
      <c r="I583" s="85">
        <v>0</v>
      </c>
      <c r="J583" s="85">
        <v>0</v>
      </c>
      <c r="K583" s="85">
        <v>2623.35</v>
      </c>
      <c r="L583" s="85">
        <v>15402.73</v>
      </c>
      <c r="M583" s="89">
        <v>751.78392319816589</v>
      </c>
      <c r="N583" s="85">
        <v>0</v>
      </c>
      <c r="O583" s="85">
        <v>0</v>
      </c>
      <c r="P583" s="85">
        <v>3758.9196159908297</v>
      </c>
      <c r="Q583" s="85">
        <v>22070.110330992979</v>
      </c>
      <c r="R583" s="82" t="s">
        <v>3399</v>
      </c>
      <c r="S583" s="7">
        <f t="shared" si="28"/>
        <v>0</v>
      </c>
      <c r="T583" s="6">
        <f t="shared" si="29"/>
        <v>0</v>
      </c>
      <c r="U583" s="25">
        <f t="shared" si="27"/>
        <v>0</v>
      </c>
    </row>
    <row r="584" spans="1:21" ht="10.9" customHeight="1" x14ac:dyDescent="0.2">
      <c r="A584" s="82" t="s">
        <v>2450</v>
      </c>
      <c r="B584" s="83">
        <v>45735</v>
      </c>
      <c r="C584" s="82" t="s">
        <v>3395</v>
      </c>
      <c r="D584" s="82" t="s">
        <v>1957</v>
      </c>
      <c r="E584" s="82"/>
      <c r="F584" s="82" t="s">
        <v>5613</v>
      </c>
      <c r="G584" s="89">
        <v>4</v>
      </c>
      <c r="H584" s="89">
        <v>2894.1</v>
      </c>
      <c r="I584" s="85">
        <v>0</v>
      </c>
      <c r="J584" s="85">
        <v>0</v>
      </c>
      <c r="K584" s="85">
        <v>11576.4</v>
      </c>
      <c r="L584" s="85">
        <v>15402.73</v>
      </c>
      <c r="M584" s="89">
        <v>4146.8691789654677</v>
      </c>
      <c r="N584" s="85">
        <v>0</v>
      </c>
      <c r="O584" s="85">
        <v>0</v>
      </c>
      <c r="P584" s="85">
        <v>16587.476715861871</v>
      </c>
      <c r="Q584" s="85">
        <v>22070.110330992979</v>
      </c>
      <c r="R584" s="82" t="s">
        <v>3399</v>
      </c>
      <c r="S584" s="7">
        <f t="shared" si="28"/>
        <v>0</v>
      </c>
      <c r="T584" s="6">
        <f t="shared" si="29"/>
        <v>0</v>
      </c>
      <c r="U584" s="25">
        <f t="shared" si="27"/>
        <v>0</v>
      </c>
    </row>
    <row r="585" spans="1:21" ht="10.9" customHeight="1" x14ac:dyDescent="0.2">
      <c r="A585" s="82" t="s">
        <v>2450</v>
      </c>
      <c r="B585" s="83">
        <v>45735</v>
      </c>
      <c r="C585" s="82" t="s">
        <v>3395</v>
      </c>
      <c r="D585" s="82" t="s">
        <v>1957</v>
      </c>
      <c r="E585" s="82"/>
      <c r="F585" s="82" t="s">
        <v>4908</v>
      </c>
      <c r="G585" s="89">
        <v>3</v>
      </c>
      <c r="H585" s="89">
        <v>314.29000000000002</v>
      </c>
      <c r="I585" s="85">
        <v>0</v>
      </c>
      <c r="J585" s="85">
        <v>0</v>
      </c>
      <c r="K585" s="85">
        <v>942.87</v>
      </c>
      <c r="L585" s="85">
        <v>15402.73</v>
      </c>
      <c r="M585" s="89">
        <v>450.33672445909156</v>
      </c>
      <c r="N585" s="85">
        <v>0</v>
      </c>
      <c r="O585" s="85">
        <v>0</v>
      </c>
      <c r="P585" s="85">
        <v>1351.0101733772747</v>
      </c>
      <c r="Q585" s="85">
        <v>22070.110330992979</v>
      </c>
      <c r="R585" s="82" t="s">
        <v>3399</v>
      </c>
      <c r="S585" s="7">
        <f t="shared" si="28"/>
        <v>0</v>
      </c>
      <c r="T585" s="6">
        <f t="shared" si="29"/>
        <v>0</v>
      </c>
      <c r="U585" s="25">
        <f t="shared" si="27"/>
        <v>0</v>
      </c>
    </row>
    <row r="586" spans="1:21" ht="10.9" customHeight="1" x14ac:dyDescent="0.2">
      <c r="A586" s="82" t="s">
        <v>2450</v>
      </c>
      <c r="B586" s="83">
        <v>45735</v>
      </c>
      <c r="C586" s="82" t="s">
        <v>3395</v>
      </c>
      <c r="D586" s="82" t="s">
        <v>1957</v>
      </c>
      <c r="E586" s="82"/>
      <c r="F586" s="82" t="s">
        <v>5612</v>
      </c>
      <c r="G586" s="89">
        <v>1</v>
      </c>
      <c r="H586" s="89">
        <v>260.11</v>
      </c>
      <c r="I586" s="85">
        <v>0</v>
      </c>
      <c r="J586" s="85">
        <v>0</v>
      </c>
      <c r="K586" s="85">
        <v>260.11</v>
      </c>
      <c r="L586" s="85">
        <v>15402.73</v>
      </c>
      <c r="M586" s="89">
        <v>372.70382576300329</v>
      </c>
      <c r="N586" s="85">
        <v>0</v>
      </c>
      <c r="O586" s="85">
        <v>0</v>
      </c>
      <c r="P586" s="85">
        <v>372.70382576300329</v>
      </c>
      <c r="Q586" s="85">
        <v>22070.110330992979</v>
      </c>
      <c r="R586" s="82" t="s">
        <v>3399</v>
      </c>
      <c r="S586" s="7">
        <f t="shared" si="28"/>
        <v>0</v>
      </c>
      <c r="T586" s="6">
        <f t="shared" si="29"/>
        <v>0</v>
      </c>
      <c r="U586" s="25">
        <f t="shared" si="27"/>
        <v>0</v>
      </c>
    </row>
    <row r="587" spans="1:21" ht="10.9" customHeight="1" x14ac:dyDescent="0.2">
      <c r="A587" s="82" t="s">
        <v>3614</v>
      </c>
      <c r="B587" s="83">
        <v>45735</v>
      </c>
      <c r="C587" s="82" t="s">
        <v>3395</v>
      </c>
      <c r="D587" s="82" t="s">
        <v>3513</v>
      </c>
      <c r="E587" s="82"/>
      <c r="F587" s="82" t="s">
        <v>5251</v>
      </c>
      <c r="G587" s="89">
        <v>1</v>
      </c>
      <c r="H587" s="89">
        <v>3527.58</v>
      </c>
      <c r="I587" s="85">
        <v>0</v>
      </c>
      <c r="J587" s="85">
        <v>0</v>
      </c>
      <c r="K587" s="85">
        <v>3527.58</v>
      </c>
      <c r="L587" s="85">
        <v>3527.58</v>
      </c>
      <c r="M587" s="89">
        <v>5054.5636910732201</v>
      </c>
      <c r="N587" s="85">
        <v>0</v>
      </c>
      <c r="O587" s="85">
        <v>0</v>
      </c>
      <c r="P587" s="85">
        <v>5054.5636910732201</v>
      </c>
      <c r="Q587" s="85">
        <v>5054.5636910732201</v>
      </c>
      <c r="R587" s="82" t="s">
        <v>3399</v>
      </c>
      <c r="S587" s="7">
        <f t="shared" si="28"/>
        <v>0</v>
      </c>
      <c r="T587" s="6">
        <f t="shared" si="29"/>
        <v>0</v>
      </c>
      <c r="U587" s="25">
        <f t="shared" si="27"/>
        <v>0</v>
      </c>
    </row>
    <row r="588" spans="1:21" ht="10.9" customHeight="1" x14ac:dyDescent="0.2">
      <c r="A588" s="82" t="s">
        <v>3615</v>
      </c>
      <c r="B588" s="83">
        <v>45735</v>
      </c>
      <c r="C588" s="82" t="s">
        <v>3395</v>
      </c>
      <c r="D588" s="82" t="s">
        <v>3601</v>
      </c>
      <c r="E588" s="82"/>
      <c r="F588" s="82" t="s">
        <v>4741</v>
      </c>
      <c r="G588" s="89">
        <v>16</v>
      </c>
      <c r="H588" s="89">
        <v>498.44</v>
      </c>
      <c r="I588" s="85">
        <v>0</v>
      </c>
      <c r="J588" s="85">
        <v>0</v>
      </c>
      <c r="K588" s="85">
        <v>7975.04</v>
      </c>
      <c r="L588" s="85">
        <v>7975.04</v>
      </c>
      <c r="M588" s="89">
        <v>714.19974208339306</v>
      </c>
      <c r="N588" s="85">
        <v>0</v>
      </c>
      <c r="O588" s="85">
        <v>0</v>
      </c>
      <c r="P588" s="85">
        <v>11427.195873334289</v>
      </c>
      <c r="Q588" s="85">
        <v>11427.195873334289</v>
      </c>
      <c r="R588" s="82" t="s">
        <v>3399</v>
      </c>
      <c r="S588" s="7">
        <f t="shared" si="28"/>
        <v>0</v>
      </c>
      <c r="T588" s="6">
        <f t="shared" si="29"/>
        <v>0</v>
      </c>
      <c r="U588" s="25">
        <f t="shared" si="27"/>
        <v>0</v>
      </c>
    </row>
    <row r="589" spans="1:21" ht="10.9" customHeight="1" x14ac:dyDescent="0.2">
      <c r="A589" s="82" t="s">
        <v>2382</v>
      </c>
      <c r="B589" s="83">
        <v>45735</v>
      </c>
      <c r="C589" s="82" t="s">
        <v>3395</v>
      </c>
      <c r="D589" s="82" t="s">
        <v>2065</v>
      </c>
      <c r="E589" s="82"/>
      <c r="F589" s="82" t="s">
        <v>4417</v>
      </c>
      <c r="G589" s="89">
        <v>1</v>
      </c>
      <c r="H589" s="89">
        <v>1452.39</v>
      </c>
      <c r="I589" s="85">
        <v>0</v>
      </c>
      <c r="J589" s="85">
        <v>0</v>
      </c>
      <c r="K589" s="85">
        <v>1452.39</v>
      </c>
      <c r="L589" s="85">
        <v>1452.39</v>
      </c>
      <c r="M589" s="89">
        <v>2081.086115489325</v>
      </c>
      <c r="N589" s="85">
        <v>0</v>
      </c>
      <c r="O589" s="85">
        <v>0</v>
      </c>
      <c r="P589" s="85">
        <v>2081.086115489325</v>
      </c>
      <c r="Q589" s="85">
        <v>2081.086115489325</v>
      </c>
      <c r="R589" s="82" t="s">
        <v>3399</v>
      </c>
      <c r="S589" s="7">
        <f t="shared" si="28"/>
        <v>0</v>
      </c>
      <c r="T589" s="6">
        <f t="shared" si="29"/>
        <v>0</v>
      </c>
      <c r="U589" s="25">
        <f t="shared" si="27"/>
        <v>0</v>
      </c>
    </row>
    <row r="590" spans="1:21" ht="10.9" customHeight="1" x14ac:dyDescent="0.2">
      <c r="A590" s="82" t="s">
        <v>2533</v>
      </c>
      <c r="B590" s="83">
        <v>45735</v>
      </c>
      <c r="C590" s="82" t="s">
        <v>3395</v>
      </c>
      <c r="D590" s="82" t="s">
        <v>1811</v>
      </c>
      <c r="E590" s="82"/>
      <c r="F590" s="82" t="s">
        <v>4734</v>
      </c>
      <c r="G590" s="89">
        <v>1</v>
      </c>
      <c r="H590" s="89">
        <v>42.14</v>
      </c>
      <c r="I590" s="85">
        <v>0</v>
      </c>
      <c r="J590" s="85">
        <v>0</v>
      </c>
      <c r="K590" s="85">
        <v>42.14</v>
      </c>
      <c r="L590" s="85">
        <v>1712.87</v>
      </c>
      <c r="M590" s="89">
        <v>60.381143430290869</v>
      </c>
      <c r="N590" s="85">
        <v>0</v>
      </c>
      <c r="O590" s="85">
        <v>0</v>
      </c>
      <c r="P590" s="85">
        <v>60.381143430290869</v>
      </c>
      <c r="Q590" s="85">
        <v>2454.3201031666426</v>
      </c>
      <c r="R590" s="82" t="s">
        <v>3399</v>
      </c>
      <c r="S590" s="7">
        <f t="shared" si="28"/>
        <v>0</v>
      </c>
      <c r="T590" s="6">
        <f t="shared" si="29"/>
        <v>0</v>
      </c>
      <c r="U590" s="25">
        <f t="shared" si="27"/>
        <v>0</v>
      </c>
    </row>
    <row r="591" spans="1:21" ht="10.9" customHeight="1" x14ac:dyDescent="0.2">
      <c r="A591" s="82" t="s">
        <v>2533</v>
      </c>
      <c r="B591" s="83">
        <v>45735</v>
      </c>
      <c r="C591" s="82" t="s">
        <v>3395</v>
      </c>
      <c r="D591" s="82" t="s">
        <v>1811</v>
      </c>
      <c r="E591" s="82"/>
      <c r="F591" s="82" t="s">
        <v>4413</v>
      </c>
      <c r="G591" s="89">
        <v>2</v>
      </c>
      <c r="H591" s="89">
        <v>665.44</v>
      </c>
      <c r="I591" s="85">
        <v>0</v>
      </c>
      <c r="J591" s="85">
        <v>0</v>
      </c>
      <c r="K591" s="85">
        <v>1330.88</v>
      </c>
      <c r="L591" s="85">
        <v>1712.87</v>
      </c>
      <c r="M591" s="89">
        <v>953.48903854420405</v>
      </c>
      <c r="N591" s="85">
        <v>0</v>
      </c>
      <c r="O591" s="85">
        <v>0</v>
      </c>
      <c r="P591" s="85">
        <v>1906.9780770884081</v>
      </c>
      <c r="Q591" s="85">
        <v>2454.3201031666426</v>
      </c>
      <c r="R591" s="82" t="s">
        <v>3399</v>
      </c>
      <c r="S591" s="7">
        <f t="shared" si="28"/>
        <v>0</v>
      </c>
      <c r="T591" s="6">
        <f t="shared" si="29"/>
        <v>0</v>
      </c>
      <c r="U591" s="25">
        <f t="shared" si="27"/>
        <v>0</v>
      </c>
    </row>
    <row r="592" spans="1:21" ht="10.9" customHeight="1" x14ac:dyDescent="0.2">
      <c r="A592" s="82" t="s">
        <v>2533</v>
      </c>
      <c r="B592" s="83">
        <v>45735</v>
      </c>
      <c r="C592" s="82" t="s">
        <v>3395</v>
      </c>
      <c r="D592" s="82" t="s">
        <v>1811</v>
      </c>
      <c r="E592" s="82"/>
      <c r="F592" s="82" t="s">
        <v>5608</v>
      </c>
      <c r="G592" s="89">
        <v>1</v>
      </c>
      <c r="H592" s="89">
        <v>339.85</v>
      </c>
      <c r="I592" s="85">
        <v>0</v>
      </c>
      <c r="J592" s="85">
        <v>0</v>
      </c>
      <c r="K592" s="85">
        <v>339.85</v>
      </c>
      <c r="L592" s="85">
        <v>1712.87</v>
      </c>
      <c r="M592" s="89">
        <v>486.96088264794383</v>
      </c>
      <c r="N592" s="85">
        <v>0</v>
      </c>
      <c r="O592" s="85">
        <v>0</v>
      </c>
      <c r="P592" s="85">
        <v>486.96088264794383</v>
      </c>
      <c r="Q592" s="85">
        <v>2454.3201031666426</v>
      </c>
      <c r="R592" s="82" t="s">
        <v>3399</v>
      </c>
      <c r="S592" s="7">
        <f t="shared" si="28"/>
        <v>0</v>
      </c>
      <c r="T592" s="6">
        <f t="shared" si="29"/>
        <v>0</v>
      </c>
      <c r="U592" s="25">
        <f t="shared" si="27"/>
        <v>0</v>
      </c>
    </row>
    <row r="593" spans="1:21" ht="10.9" customHeight="1" x14ac:dyDescent="0.2">
      <c r="A593" s="82" t="s">
        <v>2406</v>
      </c>
      <c r="B593" s="83">
        <v>45735</v>
      </c>
      <c r="C593" s="82" t="s">
        <v>3395</v>
      </c>
      <c r="D593" s="82" t="s">
        <v>2033</v>
      </c>
      <c r="E593" s="82"/>
      <c r="F593" s="82" t="s">
        <v>5611</v>
      </c>
      <c r="G593" s="89">
        <v>3</v>
      </c>
      <c r="H593" s="89">
        <v>1698.89</v>
      </c>
      <c r="I593" s="85">
        <v>0</v>
      </c>
      <c r="J593" s="85">
        <v>0</v>
      </c>
      <c r="K593" s="85">
        <v>5096.67</v>
      </c>
      <c r="L593" s="85">
        <v>23141.73</v>
      </c>
      <c r="M593" s="89">
        <v>2434.2885800257918</v>
      </c>
      <c r="N593" s="85">
        <v>0</v>
      </c>
      <c r="O593" s="85">
        <v>0</v>
      </c>
      <c r="P593" s="85">
        <v>7302.8657400773745</v>
      </c>
      <c r="Q593" s="85">
        <v>33159.091560395471</v>
      </c>
      <c r="R593" s="82" t="s">
        <v>3399</v>
      </c>
      <c r="S593" s="7">
        <f t="shared" si="28"/>
        <v>0</v>
      </c>
      <c r="T593" s="6">
        <f t="shared" si="29"/>
        <v>0</v>
      </c>
      <c r="U593" s="25">
        <f t="shared" si="27"/>
        <v>0</v>
      </c>
    </row>
    <row r="594" spans="1:21" ht="10.9" customHeight="1" x14ac:dyDescent="0.2">
      <c r="A594" s="82" t="s">
        <v>2406</v>
      </c>
      <c r="B594" s="83">
        <v>45735</v>
      </c>
      <c r="C594" s="82" t="s">
        <v>3395</v>
      </c>
      <c r="D594" s="82" t="s">
        <v>2033</v>
      </c>
      <c r="E594" s="82"/>
      <c r="F594" s="82" t="s">
        <v>4443</v>
      </c>
      <c r="G594" s="89">
        <v>3</v>
      </c>
      <c r="H594" s="89">
        <v>2265.4299999999998</v>
      </c>
      <c r="I594" s="85">
        <v>0</v>
      </c>
      <c r="J594" s="85">
        <v>0</v>
      </c>
      <c r="K594" s="85">
        <v>6796.29</v>
      </c>
      <c r="L594" s="85">
        <v>23141.73</v>
      </c>
      <c r="M594" s="89">
        <v>3246.0667717438027</v>
      </c>
      <c r="N594" s="85">
        <v>0</v>
      </c>
      <c r="O594" s="85">
        <v>0</v>
      </c>
      <c r="P594" s="85">
        <v>9738.2003152314082</v>
      </c>
      <c r="Q594" s="85">
        <v>33159.091560395471</v>
      </c>
      <c r="R594" s="82" t="s">
        <v>3399</v>
      </c>
      <c r="S594" s="7">
        <f t="shared" si="28"/>
        <v>0</v>
      </c>
      <c r="T594" s="6">
        <f t="shared" si="29"/>
        <v>0</v>
      </c>
      <c r="U594" s="25">
        <f t="shared" si="27"/>
        <v>0</v>
      </c>
    </row>
    <row r="595" spans="1:21" ht="10.9" customHeight="1" x14ac:dyDescent="0.2">
      <c r="A595" s="82" t="s">
        <v>2406</v>
      </c>
      <c r="B595" s="83">
        <v>45735</v>
      </c>
      <c r="C595" s="82" t="s">
        <v>3395</v>
      </c>
      <c r="D595" s="82" t="s">
        <v>2033</v>
      </c>
      <c r="E595" s="82"/>
      <c r="F595" s="82" t="s">
        <v>4837</v>
      </c>
      <c r="G595" s="89">
        <v>3</v>
      </c>
      <c r="H595" s="89">
        <v>2624.26</v>
      </c>
      <c r="I595" s="85">
        <v>0</v>
      </c>
      <c r="J595" s="85">
        <v>0</v>
      </c>
      <c r="K595" s="85">
        <v>7872.78</v>
      </c>
      <c r="L595" s="85">
        <v>23141.73</v>
      </c>
      <c r="M595" s="89">
        <v>3760.2235277260352</v>
      </c>
      <c r="N595" s="85">
        <v>0</v>
      </c>
      <c r="O595" s="85">
        <v>0</v>
      </c>
      <c r="P595" s="85">
        <v>11280.670583178106</v>
      </c>
      <c r="Q595" s="85">
        <v>33159.091560395471</v>
      </c>
      <c r="R595" s="82" t="s">
        <v>3399</v>
      </c>
      <c r="S595" s="7">
        <f t="shared" si="28"/>
        <v>0</v>
      </c>
      <c r="T595" s="6">
        <f t="shared" si="29"/>
        <v>0</v>
      </c>
      <c r="U595" s="25">
        <f t="shared" si="27"/>
        <v>0</v>
      </c>
    </row>
    <row r="596" spans="1:21" ht="10.9" customHeight="1" x14ac:dyDescent="0.2">
      <c r="A596" s="82" t="s">
        <v>2406</v>
      </c>
      <c r="B596" s="83">
        <v>45735</v>
      </c>
      <c r="C596" s="82" t="s">
        <v>3395</v>
      </c>
      <c r="D596" s="82" t="s">
        <v>2033</v>
      </c>
      <c r="E596" s="82"/>
      <c r="F596" s="82" t="s">
        <v>5610</v>
      </c>
      <c r="G596" s="89">
        <v>1</v>
      </c>
      <c r="H596" s="89">
        <v>383.73</v>
      </c>
      <c r="I596" s="85">
        <v>0</v>
      </c>
      <c r="J596" s="85">
        <v>0</v>
      </c>
      <c r="K596" s="85">
        <v>383.73</v>
      </c>
      <c r="L596" s="85">
        <v>23141.73</v>
      </c>
      <c r="M596" s="89">
        <v>549.83521994555099</v>
      </c>
      <c r="N596" s="85">
        <v>0</v>
      </c>
      <c r="O596" s="85">
        <v>0</v>
      </c>
      <c r="P596" s="85">
        <v>549.83521994555099</v>
      </c>
      <c r="Q596" s="85">
        <v>33159.091560395471</v>
      </c>
      <c r="R596" s="82" t="s">
        <v>3399</v>
      </c>
      <c r="S596" s="7">
        <f t="shared" si="28"/>
        <v>0</v>
      </c>
      <c r="T596" s="6">
        <f t="shared" si="29"/>
        <v>0</v>
      </c>
      <c r="U596" s="25">
        <f t="shared" si="27"/>
        <v>0</v>
      </c>
    </row>
    <row r="597" spans="1:21" ht="10.9" customHeight="1" x14ac:dyDescent="0.2">
      <c r="A597" s="82" t="s">
        <v>2406</v>
      </c>
      <c r="B597" s="83">
        <v>45735</v>
      </c>
      <c r="C597" s="82" t="s">
        <v>3395</v>
      </c>
      <c r="D597" s="82" t="s">
        <v>2033</v>
      </c>
      <c r="E597" s="82"/>
      <c r="F597" s="82" t="s">
        <v>5609</v>
      </c>
      <c r="G597" s="89">
        <v>1</v>
      </c>
      <c r="H597" s="89">
        <v>969.93</v>
      </c>
      <c r="I597" s="85">
        <v>0</v>
      </c>
      <c r="J597" s="85">
        <v>0</v>
      </c>
      <c r="K597" s="85">
        <v>969.93</v>
      </c>
      <c r="L597" s="85">
        <v>23141.73</v>
      </c>
      <c r="M597" s="89">
        <v>1389.7836366241581</v>
      </c>
      <c r="N597" s="85">
        <v>0</v>
      </c>
      <c r="O597" s="85">
        <v>0</v>
      </c>
      <c r="P597" s="85">
        <v>1389.7836366241581</v>
      </c>
      <c r="Q597" s="85">
        <v>33159.091560395471</v>
      </c>
      <c r="R597" s="82" t="s">
        <v>3399</v>
      </c>
      <c r="S597" s="7">
        <f t="shared" si="28"/>
        <v>0</v>
      </c>
      <c r="T597" s="6">
        <f t="shared" si="29"/>
        <v>0</v>
      </c>
      <c r="U597" s="25">
        <f t="shared" si="27"/>
        <v>0</v>
      </c>
    </row>
    <row r="598" spans="1:21" ht="10.9" customHeight="1" x14ac:dyDescent="0.2">
      <c r="A598" s="82" t="s">
        <v>2406</v>
      </c>
      <c r="B598" s="83">
        <v>45735</v>
      </c>
      <c r="C598" s="82" t="s">
        <v>3395</v>
      </c>
      <c r="D598" s="82" t="s">
        <v>2033</v>
      </c>
      <c r="E598" s="82"/>
      <c r="F598" s="82" t="s">
        <v>4706</v>
      </c>
      <c r="G598" s="89">
        <v>1</v>
      </c>
      <c r="H598" s="89">
        <v>2022.33</v>
      </c>
      <c r="I598" s="85">
        <v>0</v>
      </c>
      <c r="J598" s="85">
        <v>0</v>
      </c>
      <c r="K598" s="85">
        <v>2022.33</v>
      </c>
      <c r="L598" s="85">
        <v>23141.73</v>
      </c>
      <c r="M598" s="89">
        <v>2897.7360653388737</v>
      </c>
      <c r="N598" s="85">
        <v>0</v>
      </c>
      <c r="O598" s="85">
        <v>0</v>
      </c>
      <c r="P598" s="85">
        <v>2897.7360653388737</v>
      </c>
      <c r="Q598" s="85">
        <v>33159.091560395471</v>
      </c>
      <c r="R598" s="82" t="s">
        <v>3399</v>
      </c>
      <c r="S598" s="7">
        <f t="shared" si="28"/>
        <v>0</v>
      </c>
      <c r="T598" s="6">
        <f t="shared" si="29"/>
        <v>0</v>
      </c>
      <c r="U598" s="25">
        <f t="shared" si="27"/>
        <v>0</v>
      </c>
    </row>
    <row r="599" spans="1:21" ht="10.9" customHeight="1" x14ac:dyDescent="0.2">
      <c r="A599" s="82" t="s">
        <v>2515</v>
      </c>
      <c r="B599" s="83">
        <v>45735</v>
      </c>
      <c r="C599" s="82" t="s">
        <v>3395</v>
      </c>
      <c r="D599" s="82" t="s">
        <v>1843</v>
      </c>
      <c r="E599" s="82"/>
      <c r="F599" s="82" t="s">
        <v>4891</v>
      </c>
      <c r="G599" s="89">
        <v>1</v>
      </c>
      <c r="H599" s="89">
        <v>498.96</v>
      </c>
      <c r="I599" s="85">
        <v>0</v>
      </c>
      <c r="J599" s="85">
        <v>24.95</v>
      </c>
      <c r="K599" s="85">
        <v>523.91</v>
      </c>
      <c r="L599" s="85">
        <v>523.91</v>
      </c>
      <c r="M599" s="89">
        <v>498.96</v>
      </c>
      <c r="N599" s="85">
        <v>0</v>
      </c>
      <c r="O599" s="85">
        <v>24.95</v>
      </c>
      <c r="P599" s="85">
        <v>523.91</v>
      </c>
      <c r="Q599" s="85">
        <v>523.91</v>
      </c>
      <c r="R599" s="82" t="s">
        <v>3399</v>
      </c>
      <c r="S599" s="7">
        <f t="shared" si="28"/>
        <v>0</v>
      </c>
      <c r="T599" s="6">
        <f t="shared" si="29"/>
        <v>0</v>
      </c>
      <c r="U599" s="25">
        <f t="shared" si="27"/>
        <v>0</v>
      </c>
    </row>
    <row r="600" spans="1:21" ht="10.9" customHeight="1" x14ac:dyDescent="0.2">
      <c r="A600" s="82" t="s">
        <v>2562</v>
      </c>
      <c r="B600" s="83">
        <v>45735</v>
      </c>
      <c r="C600" s="82" t="s">
        <v>3395</v>
      </c>
      <c r="D600" s="82" t="s">
        <v>1760</v>
      </c>
      <c r="E600" s="82"/>
      <c r="F600" s="82" t="s">
        <v>4605</v>
      </c>
      <c r="G600" s="89">
        <v>1</v>
      </c>
      <c r="H600" s="89">
        <v>798.97</v>
      </c>
      <c r="I600" s="85">
        <v>0</v>
      </c>
      <c r="J600" s="85">
        <v>39.950000000000003</v>
      </c>
      <c r="K600" s="85">
        <v>838.92</v>
      </c>
      <c r="L600" s="85">
        <v>838.92</v>
      </c>
      <c r="M600" s="89">
        <v>798.97</v>
      </c>
      <c r="N600" s="85">
        <v>0</v>
      </c>
      <c r="O600" s="85">
        <v>39.950000000000003</v>
      </c>
      <c r="P600" s="85">
        <v>838.92</v>
      </c>
      <c r="Q600" s="85">
        <v>838.92</v>
      </c>
      <c r="R600" s="82" t="s">
        <v>3399</v>
      </c>
      <c r="S600" s="7">
        <f t="shared" si="28"/>
        <v>0</v>
      </c>
      <c r="T600" s="6">
        <f t="shared" si="29"/>
        <v>0</v>
      </c>
      <c r="U600" s="25">
        <f t="shared" si="27"/>
        <v>0</v>
      </c>
    </row>
    <row r="601" spans="1:21" ht="10.9" customHeight="1" x14ac:dyDescent="0.2">
      <c r="A601" s="82" t="s">
        <v>2563</v>
      </c>
      <c r="B601" s="83">
        <v>45735</v>
      </c>
      <c r="C601" s="82" t="s">
        <v>3395</v>
      </c>
      <c r="D601" s="82" t="s">
        <v>1758</v>
      </c>
      <c r="E601" s="82"/>
      <c r="F601" s="82" t="s">
        <v>4741</v>
      </c>
      <c r="G601" s="89">
        <v>4</v>
      </c>
      <c r="H601" s="89">
        <v>371.83</v>
      </c>
      <c r="I601" s="85">
        <v>0</v>
      </c>
      <c r="J601" s="85">
        <v>74.37</v>
      </c>
      <c r="K601" s="85">
        <v>1561.69</v>
      </c>
      <c r="L601" s="85">
        <v>1561.69</v>
      </c>
      <c r="M601" s="89">
        <v>371.83</v>
      </c>
      <c r="N601" s="85">
        <v>0</v>
      </c>
      <c r="O601" s="85">
        <v>74.37</v>
      </c>
      <c r="P601" s="85">
        <v>1561.69</v>
      </c>
      <c r="Q601" s="85">
        <v>1561.69</v>
      </c>
      <c r="R601" s="82" t="s">
        <v>3399</v>
      </c>
      <c r="S601" s="7">
        <f t="shared" si="28"/>
        <v>0</v>
      </c>
      <c r="T601" s="6">
        <f t="shared" si="29"/>
        <v>0</v>
      </c>
      <c r="U601" s="25">
        <f t="shared" si="27"/>
        <v>0</v>
      </c>
    </row>
    <row r="602" spans="1:21" ht="10.9" customHeight="1" x14ac:dyDescent="0.2">
      <c r="A602" s="82" t="s">
        <v>2556</v>
      </c>
      <c r="B602" s="83">
        <v>45735</v>
      </c>
      <c r="C602" s="82" t="s">
        <v>3395</v>
      </c>
      <c r="D602" s="82" t="s">
        <v>1770</v>
      </c>
      <c r="E602" s="82"/>
      <c r="F602" s="82" t="s">
        <v>4739</v>
      </c>
      <c r="G602" s="89">
        <v>2</v>
      </c>
      <c r="H602" s="89">
        <v>164.44</v>
      </c>
      <c r="I602" s="85">
        <v>0</v>
      </c>
      <c r="J602" s="85">
        <v>16.440000000000001</v>
      </c>
      <c r="K602" s="85">
        <v>345.32</v>
      </c>
      <c r="L602" s="85">
        <v>549.58000000000004</v>
      </c>
      <c r="M602" s="89">
        <v>164.44</v>
      </c>
      <c r="N602" s="85">
        <v>0</v>
      </c>
      <c r="O602" s="85">
        <v>16.440000000000001</v>
      </c>
      <c r="P602" s="85">
        <v>345.32</v>
      </c>
      <c r="Q602" s="85">
        <v>549.58000000000004</v>
      </c>
      <c r="R602" s="82" t="s">
        <v>3399</v>
      </c>
      <c r="S602" s="7">
        <f t="shared" si="28"/>
        <v>0</v>
      </c>
      <c r="T602" s="6">
        <f t="shared" si="29"/>
        <v>0</v>
      </c>
      <c r="U602" s="25">
        <f t="shared" si="27"/>
        <v>0</v>
      </c>
    </row>
    <row r="603" spans="1:21" ht="10.9" customHeight="1" x14ac:dyDescent="0.2">
      <c r="A603" s="82" t="s">
        <v>2556</v>
      </c>
      <c r="B603" s="83">
        <v>45735</v>
      </c>
      <c r="C603" s="82" t="s">
        <v>3395</v>
      </c>
      <c r="D603" s="82" t="s">
        <v>1770</v>
      </c>
      <c r="E603" s="82"/>
      <c r="F603" s="82" t="s">
        <v>5166</v>
      </c>
      <c r="G603" s="89">
        <v>1</v>
      </c>
      <c r="H603" s="89">
        <v>194.53</v>
      </c>
      <c r="I603" s="85">
        <v>0</v>
      </c>
      <c r="J603" s="85">
        <v>9.73</v>
      </c>
      <c r="K603" s="85">
        <v>204.26</v>
      </c>
      <c r="L603" s="85">
        <v>549.58000000000004</v>
      </c>
      <c r="M603" s="89">
        <v>194.53</v>
      </c>
      <c r="N603" s="85">
        <v>0</v>
      </c>
      <c r="O603" s="85">
        <v>9.73</v>
      </c>
      <c r="P603" s="85">
        <v>204.26</v>
      </c>
      <c r="Q603" s="85">
        <v>549.58000000000004</v>
      </c>
      <c r="R603" s="82" t="s">
        <v>3399</v>
      </c>
      <c r="S603" s="7">
        <f t="shared" si="28"/>
        <v>0</v>
      </c>
      <c r="T603" s="6">
        <f t="shared" si="29"/>
        <v>0</v>
      </c>
      <c r="U603" s="25">
        <f t="shared" si="27"/>
        <v>0</v>
      </c>
    </row>
    <row r="604" spans="1:21" ht="10.9" customHeight="1" x14ac:dyDescent="0.2">
      <c r="A604" s="82" t="s">
        <v>2566</v>
      </c>
      <c r="B604" s="83">
        <v>45736</v>
      </c>
      <c r="C604" s="82" t="s">
        <v>3395</v>
      </c>
      <c r="D604" s="82" t="s">
        <v>1754</v>
      </c>
      <c r="E604" s="82"/>
      <c r="F604" s="82" t="s">
        <v>4670</v>
      </c>
      <c r="G604" s="89">
        <v>1</v>
      </c>
      <c r="H604" s="89">
        <v>147.72999999999999</v>
      </c>
      <c r="I604" s="85">
        <v>0</v>
      </c>
      <c r="J604" s="85">
        <v>7.39</v>
      </c>
      <c r="K604" s="85">
        <v>155.12</v>
      </c>
      <c r="L604" s="85">
        <v>155.12</v>
      </c>
      <c r="M604" s="89">
        <v>147.72999999999999</v>
      </c>
      <c r="N604" s="85">
        <v>0</v>
      </c>
      <c r="O604" s="85">
        <v>7.39</v>
      </c>
      <c r="P604" s="85">
        <v>155.12</v>
      </c>
      <c r="Q604" s="85">
        <v>155.12</v>
      </c>
      <c r="R604" s="82" t="s">
        <v>3399</v>
      </c>
      <c r="S604" s="7">
        <f t="shared" si="28"/>
        <v>0</v>
      </c>
      <c r="T604" s="6">
        <f t="shared" si="29"/>
        <v>0</v>
      </c>
      <c r="U604" s="25">
        <f t="shared" si="27"/>
        <v>0</v>
      </c>
    </row>
    <row r="605" spans="1:21" ht="10.9" customHeight="1" x14ac:dyDescent="0.2">
      <c r="A605" s="82" t="s">
        <v>2559</v>
      </c>
      <c r="B605" s="83">
        <v>45736</v>
      </c>
      <c r="C605" s="82" t="s">
        <v>3395</v>
      </c>
      <c r="D605" s="82" t="s">
        <v>1764</v>
      </c>
      <c r="E605" s="82"/>
      <c r="F605" s="82" t="s">
        <v>5607</v>
      </c>
      <c r="G605" s="89">
        <v>1</v>
      </c>
      <c r="H605" s="89">
        <v>3112.23</v>
      </c>
      <c r="I605" s="85">
        <v>0</v>
      </c>
      <c r="J605" s="85">
        <v>155.61000000000001</v>
      </c>
      <c r="K605" s="85">
        <v>3267.84</v>
      </c>
      <c r="L605" s="85">
        <v>6899.97</v>
      </c>
      <c r="M605" s="89">
        <v>3112.23</v>
      </c>
      <c r="N605" s="85">
        <v>0</v>
      </c>
      <c r="O605" s="85">
        <v>155.61000000000001</v>
      </c>
      <c r="P605" s="85">
        <v>3267.84</v>
      </c>
      <c r="Q605" s="85">
        <v>6899.97</v>
      </c>
      <c r="R605" s="82" t="s">
        <v>3399</v>
      </c>
      <c r="S605" s="7">
        <f t="shared" si="28"/>
        <v>0</v>
      </c>
      <c r="T605" s="6">
        <f t="shared" si="29"/>
        <v>0</v>
      </c>
      <c r="U605" s="25">
        <f t="shared" si="27"/>
        <v>0</v>
      </c>
    </row>
    <row r="606" spans="1:21" ht="10.9" customHeight="1" x14ac:dyDescent="0.2">
      <c r="A606" s="82" t="s">
        <v>2559</v>
      </c>
      <c r="B606" s="83">
        <v>45736</v>
      </c>
      <c r="C606" s="82" t="s">
        <v>3395</v>
      </c>
      <c r="D606" s="82" t="s">
        <v>1764</v>
      </c>
      <c r="E606" s="82"/>
      <c r="F606" s="82" t="s">
        <v>5606</v>
      </c>
      <c r="G606" s="89">
        <v>1</v>
      </c>
      <c r="H606" s="89">
        <v>3459.17</v>
      </c>
      <c r="I606" s="85">
        <v>0</v>
      </c>
      <c r="J606" s="85">
        <v>172.96</v>
      </c>
      <c r="K606" s="85">
        <v>3632.13</v>
      </c>
      <c r="L606" s="85">
        <v>6899.97</v>
      </c>
      <c r="M606" s="89">
        <v>3459.17</v>
      </c>
      <c r="N606" s="85">
        <v>0</v>
      </c>
      <c r="O606" s="85">
        <v>172.96</v>
      </c>
      <c r="P606" s="85">
        <v>3632.13</v>
      </c>
      <c r="Q606" s="85">
        <v>6899.97</v>
      </c>
      <c r="R606" s="82" t="s">
        <v>3399</v>
      </c>
      <c r="S606" s="7">
        <f t="shared" si="28"/>
        <v>0</v>
      </c>
      <c r="T606" s="6">
        <f t="shared" si="29"/>
        <v>0</v>
      </c>
      <c r="U606" s="25">
        <f t="shared" si="27"/>
        <v>0</v>
      </c>
    </row>
    <row r="607" spans="1:21" ht="10.9" customHeight="1" x14ac:dyDescent="0.2">
      <c r="A607" s="82"/>
      <c r="B607" s="83">
        <v>45736</v>
      </c>
      <c r="C607" s="82" t="s">
        <v>3423</v>
      </c>
      <c r="D607" s="82" t="s">
        <v>3613</v>
      </c>
      <c r="E607" s="82"/>
      <c r="F607" s="82" t="s">
        <v>3613</v>
      </c>
      <c r="G607" s="89">
        <v>-1</v>
      </c>
      <c r="H607" s="89">
        <v>1806.59</v>
      </c>
      <c r="I607" s="85">
        <v>0</v>
      </c>
      <c r="J607" s="85">
        <v>0</v>
      </c>
      <c r="K607" s="85">
        <v>-1806.59</v>
      </c>
      <c r="L607" s="85">
        <v>-1806.59</v>
      </c>
      <c r="M607" s="89">
        <v>2587.0925335345814</v>
      </c>
      <c r="N607" s="85">
        <v>0</v>
      </c>
      <c r="O607" s="85">
        <v>0</v>
      </c>
      <c r="P607" s="85">
        <v>-2587.0925335345814</v>
      </c>
      <c r="Q607" s="85">
        <v>-2587.0925335345814</v>
      </c>
      <c r="R607" s="82" t="s">
        <v>3399</v>
      </c>
      <c r="S607" s="7">
        <f t="shared" si="28"/>
        <v>0</v>
      </c>
      <c r="T607" s="6">
        <f t="shared" si="29"/>
        <v>0</v>
      </c>
      <c r="U607" s="25">
        <f t="shared" si="27"/>
        <v>0</v>
      </c>
    </row>
    <row r="608" spans="1:21" ht="10.9" customHeight="1" x14ac:dyDescent="0.2">
      <c r="A608" s="82"/>
      <c r="B608" s="83">
        <v>45736</v>
      </c>
      <c r="C608" s="82" t="s">
        <v>3423</v>
      </c>
      <c r="D608" s="82" t="s">
        <v>1840</v>
      </c>
      <c r="E608" s="82"/>
      <c r="F608" s="82" t="s">
        <v>5605</v>
      </c>
      <c r="G608" s="89">
        <v>-1</v>
      </c>
      <c r="H608" s="89">
        <v>7365</v>
      </c>
      <c r="I608" s="85">
        <v>0</v>
      </c>
      <c r="J608" s="85">
        <v>0</v>
      </c>
      <c r="K608" s="85">
        <v>-7365</v>
      </c>
      <c r="L608" s="85">
        <v>-7365</v>
      </c>
      <c r="M608" s="89">
        <v>10546.906885060911</v>
      </c>
      <c r="N608" s="85">
        <v>0</v>
      </c>
      <c r="O608" s="85">
        <v>0</v>
      </c>
      <c r="P608" s="85">
        <v>-10546.906885060911</v>
      </c>
      <c r="Q608" s="85">
        <v>-10546.906885060911</v>
      </c>
      <c r="R608" s="82" t="s">
        <v>4511</v>
      </c>
      <c r="S608" s="7">
        <f t="shared" si="28"/>
        <v>0</v>
      </c>
      <c r="T608" s="6">
        <f t="shared" si="29"/>
        <v>0</v>
      </c>
      <c r="U608" s="25">
        <f t="shared" si="27"/>
        <v>0</v>
      </c>
    </row>
    <row r="609" spans="1:21" ht="10.9" customHeight="1" x14ac:dyDescent="0.2">
      <c r="A609" s="82" t="s">
        <v>2454</v>
      </c>
      <c r="B609" s="83">
        <v>45737</v>
      </c>
      <c r="C609" s="82" t="s">
        <v>3395</v>
      </c>
      <c r="D609" s="82" t="s">
        <v>1949</v>
      </c>
      <c r="E609" s="82"/>
      <c r="F609" s="82" t="s">
        <v>5293</v>
      </c>
      <c r="G609" s="89">
        <v>1</v>
      </c>
      <c r="H609" s="89">
        <v>5934.85</v>
      </c>
      <c r="I609" s="85">
        <v>0</v>
      </c>
      <c r="J609" s="85">
        <v>296.74</v>
      </c>
      <c r="K609" s="85">
        <v>6231.59</v>
      </c>
      <c r="L609" s="85">
        <v>6231.59</v>
      </c>
      <c r="M609" s="89">
        <v>5934.85</v>
      </c>
      <c r="N609" s="85">
        <v>0</v>
      </c>
      <c r="O609" s="85">
        <v>296.74</v>
      </c>
      <c r="P609" s="85">
        <v>6231.59</v>
      </c>
      <c r="Q609" s="85">
        <v>6231.59</v>
      </c>
      <c r="R609" s="82" t="s">
        <v>3399</v>
      </c>
      <c r="S609" s="7">
        <f t="shared" si="28"/>
        <v>0</v>
      </c>
      <c r="T609" s="6">
        <f t="shared" si="29"/>
        <v>0</v>
      </c>
      <c r="U609" s="25">
        <f t="shared" si="27"/>
        <v>0</v>
      </c>
    </row>
    <row r="610" spans="1:21" ht="10.9" customHeight="1" x14ac:dyDescent="0.2">
      <c r="A610" s="82" t="s">
        <v>2395</v>
      </c>
      <c r="B610" s="83">
        <v>45737</v>
      </c>
      <c r="C610" s="82" t="s">
        <v>3395</v>
      </c>
      <c r="D610" s="82" t="s">
        <v>2049</v>
      </c>
      <c r="E610" s="82"/>
      <c r="F610" s="82" t="s">
        <v>4591</v>
      </c>
      <c r="G610" s="89">
        <v>1</v>
      </c>
      <c r="H610" s="89">
        <v>172.3</v>
      </c>
      <c r="I610" s="85">
        <v>0</v>
      </c>
      <c r="J610" s="85">
        <v>8.6199999999999992</v>
      </c>
      <c r="K610" s="85">
        <v>180.92</v>
      </c>
      <c r="L610" s="85">
        <v>180.92</v>
      </c>
      <c r="M610" s="89">
        <v>172.3</v>
      </c>
      <c r="N610" s="85">
        <v>0</v>
      </c>
      <c r="O610" s="85">
        <v>8.6199999999999992</v>
      </c>
      <c r="P610" s="85">
        <v>180.92</v>
      </c>
      <c r="Q610" s="85">
        <v>180.92</v>
      </c>
      <c r="R610" s="82" t="s">
        <v>3399</v>
      </c>
      <c r="S610" s="7">
        <f t="shared" si="28"/>
        <v>0</v>
      </c>
      <c r="T610" s="6">
        <f t="shared" si="29"/>
        <v>0</v>
      </c>
      <c r="U610" s="25">
        <f t="shared" si="27"/>
        <v>0</v>
      </c>
    </row>
    <row r="611" spans="1:21" ht="10.9" customHeight="1" x14ac:dyDescent="0.2">
      <c r="A611" s="82" t="s">
        <v>2570</v>
      </c>
      <c r="B611" s="83">
        <v>45737</v>
      </c>
      <c r="C611" s="82" t="s">
        <v>3395</v>
      </c>
      <c r="D611" s="82" t="s">
        <v>1746</v>
      </c>
      <c r="E611" s="82"/>
      <c r="F611" s="82" t="s">
        <v>4740</v>
      </c>
      <c r="G611" s="89">
        <v>2</v>
      </c>
      <c r="H611" s="89">
        <v>150.88</v>
      </c>
      <c r="I611" s="85">
        <v>0</v>
      </c>
      <c r="J611" s="85">
        <v>15.09</v>
      </c>
      <c r="K611" s="85">
        <v>316.85000000000002</v>
      </c>
      <c r="L611" s="85">
        <v>316.85000000000002</v>
      </c>
      <c r="M611" s="89">
        <v>150.88</v>
      </c>
      <c r="N611" s="85">
        <v>0</v>
      </c>
      <c r="O611" s="85">
        <v>15.09</v>
      </c>
      <c r="P611" s="85">
        <v>316.85000000000002</v>
      </c>
      <c r="Q611" s="85">
        <v>316.85000000000002</v>
      </c>
      <c r="R611" s="82" t="s">
        <v>3399</v>
      </c>
      <c r="S611" s="7">
        <f t="shared" si="28"/>
        <v>0</v>
      </c>
      <c r="T611" s="6">
        <f t="shared" si="29"/>
        <v>0</v>
      </c>
      <c r="U611" s="25">
        <f t="shared" si="27"/>
        <v>0</v>
      </c>
    </row>
    <row r="612" spans="1:21" ht="10.9" customHeight="1" x14ac:dyDescent="0.2">
      <c r="A612" s="82" t="s">
        <v>2571</v>
      </c>
      <c r="B612" s="83">
        <v>45737</v>
      </c>
      <c r="C612" s="82" t="s">
        <v>3395</v>
      </c>
      <c r="D612" s="82" t="s">
        <v>1743</v>
      </c>
      <c r="E612" s="82"/>
      <c r="F612" s="82" t="s">
        <v>5191</v>
      </c>
      <c r="G612" s="89">
        <v>1</v>
      </c>
      <c r="H612" s="89">
        <v>171.09</v>
      </c>
      <c r="I612" s="85">
        <v>0</v>
      </c>
      <c r="J612" s="85">
        <v>8.5500000000000007</v>
      </c>
      <c r="K612" s="85">
        <v>179.64</v>
      </c>
      <c r="L612" s="85">
        <v>179.64</v>
      </c>
      <c r="M612" s="89">
        <v>171.09</v>
      </c>
      <c r="N612" s="85">
        <v>0</v>
      </c>
      <c r="O612" s="85">
        <v>8.5500000000000007</v>
      </c>
      <c r="P612" s="85">
        <v>179.64</v>
      </c>
      <c r="Q612" s="85">
        <v>179.64</v>
      </c>
      <c r="R612" s="82" t="s">
        <v>3399</v>
      </c>
      <c r="S612" s="7">
        <f t="shared" si="28"/>
        <v>0</v>
      </c>
      <c r="T612" s="6">
        <f t="shared" si="29"/>
        <v>0</v>
      </c>
      <c r="U612" s="25">
        <f t="shared" si="27"/>
        <v>0</v>
      </c>
    </row>
    <row r="613" spans="1:21" ht="10.9" customHeight="1" x14ac:dyDescent="0.2">
      <c r="A613" s="82" t="s">
        <v>2476</v>
      </c>
      <c r="B613" s="83">
        <v>45740</v>
      </c>
      <c r="C613" s="82" t="s">
        <v>3395</v>
      </c>
      <c r="D613" s="82" t="s">
        <v>1910</v>
      </c>
      <c r="E613" s="82"/>
      <c r="F613" s="82" t="s">
        <v>4629</v>
      </c>
      <c r="G613" s="89">
        <v>3</v>
      </c>
      <c r="H613" s="89">
        <v>592.79999999999995</v>
      </c>
      <c r="I613" s="85">
        <v>0</v>
      </c>
      <c r="J613" s="85">
        <v>0</v>
      </c>
      <c r="K613" s="85">
        <v>1778.4</v>
      </c>
      <c r="L613" s="85">
        <v>2746.82</v>
      </c>
      <c r="M613" s="89">
        <v>848.94919623357555</v>
      </c>
      <c r="N613" s="85">
        <v>0</v>
      </c>
      <c r="O613" s="85">
        <v>0</v>
      </c>
      <c r="P613" s="85">
        <v>2546.8475887007266</v>
      </c>
      <c r="Q613" s="85">
        <v>3933.7223873115895</v>
      </c>
      <c r="R613" s="82" t="s">
        <v>3399</v>
      </c>
      <c r="S613" s="7">
        <f t="shared" si="28"/>
        <v>0</v>
      </c>
      <c r="T613" s="6">
        <f t="shared" si="29"/>
        <v>0</v>
      </c>
      <c r="U613" s="25">
        <f t="shared" si="27"/>
        <v>0</v>
      </c>
    </row>
    <row r="614" spans="1:21" ht="10.9" customHeight="1" x14ac:dyDescent="0.2">
      <c r="A614" s="82" t="s">
        <v>2476</v>
      </c>
      <c r="B614" s="83">
        <v>45740</v>
      </c>
      <c r="C614" s="82" t="s">
        <v>3395</v>
      </c>
      <c r="D614" s="82" t="s">
        <v>1910</v>
      </c>
      <c r="E614" s="82"/>
      <c r="F614" s="82" t="s">
        <v>4634</v>
      </c>
      <c r="G614" s="89">
        <v>1</v>
      </c>
      <c r="H614" s="89">
        <v>968.42</v>
      </c>
      <c r="I614" s="85">
        <v>0</v>
      </c>
      <c r="J614" s="85">
        <v>0</v>
      </c>
      <c r="K614" s="85">
        <v>968.42</v>
      </c>
      <c r="L614" s="85">
        <v>2746.82</v>
      </c>
      <c r="M614" s="89">
        <v>1386.8747986108624</v>
      </c>
      <c r="N614" s="85">
        <v>0</v>
      </c>
      <c r="O614" s="85">
        <v>0</v>
      </c>
      <c r="P614" s="85">
        <v>1386.8747986108624</v>
      </c>
      <c r="Q614" s="85">
        <v>3933.7223873115895</v>
      </c>
      <c r="R614" s="82" t="s">
        <v>3399</v>
      </c>
      <c r="S614" s="7">
        <f t="shared" si="28"/>
        <v>0</v>
      </c>
      <c r="T614" s="6">
        <f t="shared" si="29"/>
        <v>0</v>
      </c>
      <c r="U614" s="25">
        <f t="shared" si="27"/>
        <v>0</v>
      </c>
    </row>
    <row r="615" spans="1:21" ht="10.9" customHeight="1" x14ac:dyDescent="0.2">
      <c r="A615" s="82" t="s">
        <v>2295</v>
      </c>
      <c r="B615" s="83">
        <v>45740</v>
      </c>
      <c r="C615" s="82" t="s">
        <v>3395</v>
      </c>
      <c r="D615" s="82" t="s">
        <v>2223</v>
      </c>
      <c r="E615" s="82"/>
      <c r="F615" s="82" t="s">
        <v>5604</v>
      </c>
      <c r="G615" s="89">
        <v>1</v>
      </c>
      <c r="H615" s="89">
        <v>10940</v>
      </c>
      <c r="I615" s="85">
        <v>0</v>
      </c>
      <c r="J615" s="85">
        <v>0</v>
      </c>
      <c r="K615" s="85">
        <v>10940</v>
      </c>
      <c r="L615" s="85">
        <v>10940</v>
      </c>
      <c r="M615" s="89">
        <v>15667.179836024488</v>
      </c>
      <c r="N615" s="85">
        <v>0</v>
      </c>
      <c r="O615" s="85">
        <v>0</v>
      </c>
      <c r="P615" s="85">
        <v>15667.179836024488</v>
      </c>
      <c r="Q615" s="85">
        <v>15667.179836024488</v>
      </c>
      <c r="R615" s="82" t="s">
        <v>3399</v>
      </c>
      <c r="S615" s="7">
        <f t="shared" si="28"/>
        <v>0</v>
      </c>
      <c r="T615" s="6">
        <f t="shared" si="29"/>
        <v>0</v>
      </c>
      <c r="U615" s="25">
        <f t="shared" si="27"/>
        <v>0</v>
      </c>
    </row>
    <row r="616" spans="1:21" ht="10.9" customHeight="1" x14ac:dyDescent="0.2">
      <c r="A616" s="82" t="s">
        <v>2530</v>
      </c>
      <c r="B616" s="83">
        <v>45740</v>
      </c>
      <c r="C616" s="82" t="s">
        <v>3395</v>
      </c>
      <c r="D616" s="82" t="s">
        <v>1816</v>
      </c>
      <c r="E616" s="82"/>
      <c r="F616" s="82" t="s">
        <v>4633</v>
      </c>
      <c r="G616" s="89">
        <v>1</v>
      </c>
      <c r="H616" s="89">
        <v>878.63</v>
      </c>
      <c r="I616" s="85">
        <v>0</v>
      </c>
      <c r="J616" s="85">
        <v>0</v>
      </c>
      <c r="K616" s="85">
        <v>878.63</v>
      </c>
      <c r="L616" s="85">
        <v>878.63</v>
      </c>
      <c r="M616" s="89">
        <v>1258.2864917117181</v>
      </c>
      <c r="N616" s="85">
        <v>0</v>
      </c>
      <c r="O616" s="85">
        <v>0</v>
      </c>
      <c r="P616" s="85">
        <v>1258.2864917117181</v>
      </c>
      <c r="Q616" s="85">
        <v>1258.2864917117181</v>
      </c>
      <c r="R616" s="82" t="s">
        <v>3399</v>
      </c>
      <c r="S616" s="7">
        <f t="shared" si="28"/>
        <v>0</v>
      </c>
      <c r="T616" s="6">
        <f t="shared" si="29"/>
        <v>0</v>
      </c>
      <c r="U616" s="25">
        <f t="shared" si="27"/>
        <v>0</v>
      </c>
    </row>
    <row r="617" spans="1:21" ht="10.9" customHeight="1" x14ac:dyDescent="0.2">
      <c r="A617" s="82" t="s">
        <v>2481</v>
      </c>
      <c r="B617" s="83">
        <v>45740</v>
      </c>
      <c r="C617" s="82" t="s">
        <v>3395</v>
      </c>
      <c r="D617" s="82" t="s">
        <v>1900</v>
      </c>
      <c r="E617" s="82"/>
      <c r="F617" s="82" t="s">
        <v>5603</v>
      </c>
      <c r="G617" s="89">
        <v>2</v>
      </c>
      <c r="H617" s="89">
        <v>15915.12</v>
      </c>
      <c r="I617" s="85">
        <v>0</v>
      </c>
      <c r="J617" s="85">
        <v>0</v>
      </c>
      <c r="K617" s="85">
        <v>31830.240000000002</v>
      </c>
      <c r="L617" s="85">
        <v>31830.240000000002</v>
      </c>
      <c r="M617" s="89">
        <v>22792.051842039313</v>
      </c>
      <c r="N617" s="85">
        <v>0</v>
      </c>
      <c r="O617" s="85">
        <v>0</v>
      </c>
      <c r="P617" s="85">
        <v>45584.103684078626</v>
      </c>
      <c r="Q617" s="85">
        <v>45584.103684078626</v>
      </c>
      <c r="R617" s="82" t="s">
        <v>3399</v>
      </c>
      <c r="S617" s="7">
        <f t="shared" si="28"/>
        <v>0</v>
      </c>
      <c r="T617" s="6">
        <f t="shared" si="29"/>
        <v>0</v>
      </c>
      <c r="U617" s="25">
        <f t="shared" si="27"/>
        <v>0</v>
      </c>
    </row>
    <row r="618" spans="1:21" ht="10.9" customHeight="1" x14ac:dyDescent="0.2">
      <c r="A618" s="82" t="s">
        <v>2477</v>
      </c>
      <c r="B618" s="83">
        <v>45740</v>
      </c>
      <c r="C618" s="82" t="s">
        <v>3395</v>
      </c>
      <c r="D618" s="82" t="s">
        <v>1908</v>
      </c>
      <c r="E618" s="82"/>
      <c r="F618" s="82" t="s">
        <v>4633</v>
      </c>
      <c r="G618" s="89">
        <v>1</v>
      </c>
      <c r="H618" s="89">
        <v>878.63</v>
      </c>
      <c r="I618" s="85">
        <v>0</v>
      </c>
      <c r="J618" s="85">
        <v>0</v>
      </c>
      <c r="K618" s="85">
        <v>878.63</v>
      </c>
      <c r="L618" s="85">
        <v>878.63</v>
      </c>
      <c r="M618" s="89">
        <v>1258.2864917117181</v>
      </c>
      <c r="N618" s="85">
        <v>0</v>
      </c>
      <c r="O618" s="85">
        <v>0</v>
      </c>
      <c r="P618" s="85">
        <v>1258.2864917117181</v>
      </c>
      <c r="Q618" s="85">
        <v>1258.2864917117181</v>
      </c>
      <c r="R618" s="82" t="s">
        <v>3399</v>
      </c>
      <c r="S618" s="7">
        <f t="shared" si="28"/>
        <v>0</v>
      </c>
      <c r="T618" s="6">
        <f t="shared" si="29"/>
        <v>0</v>
      </c>
      <c r="U618" s="25">
        <f t="shared" si="27"/>
        <v>0</v>
      </c>
    </row>
    <row r="619" spans="1:21" ht="10.9" customHeight="1" x14ac:dyDescent="0.2">
      <c r="A619" s="82" t="s">
        <v>2415</v>
      </c>
      <c r="B619" s="83">
        <v>45740</v>
      </c>
      <c r="C619" s="82" t="s">
        <v>3395</v>
      </c>
      <c r="D619" s="82" t="s">
        <v>2018</v>
      </c>
      <c r="E619" s="82"/>
      <c r="F619" s="82" t="s">
        <v>5182</v>
      </c>
      <c r="G619" s="89">
        <v>1</v>
      </c>
      <c r="H619" s="89">
        <v>2925.09</v>
      </c>
      <c r="I619" s="85">
        <v>0</v>
      </c>
      <c r="J619" s="85">
        <v>0</v>
      </c>
      <c r="K619" s="85">
        <v>2925.09</v>
      </c>
      <c r="L619" s="85">
        <v>2925.09</v>
      </c>
      <c r="M619" s="89">
        <v>4189.022949411049</v>
      </c>
      <c r="N619" s="85">
        <v>0</v>
      </c>
      <c r="O619" s="85">
        <v>0</v>
      </c>
      <c r="P619" s="85">
        <v>4189.022949411049</v>
      </c>
      <c r="Q619" s="85">
        <v>4189.022949411049</v>
      </c>
      <c r="R619" s="82" t="s">
        <v>3399</v>
      </c>
      <c r="S619" s="7">
        <f t="shared" si="28"/>
        <v>0</v>
      </c>
      <c r="T619" s="6">
        <f t="shared" si="29"/>
        <v>0</v>
      </c>
      <c r="U619" s="25">
        <f t="shared" si="27"/>
        <v>0</v>
      </c>
    </row>
    <row r="620" spans="1:21" ht="10.9" customHeight="1" x14ac:dyDescent="0.2">
      <c r="A620" s="82" t="s">
        <v>2465</v>
      </c>
      <c r="B620" s="83">
        <v>45740</v>
      </c>
      <c r="C620" s="82" t="s">
        <v>3395</v>
      </c>
      <c r="D620" s="82" t="s">
        <v>1931</v>
      </c>
      <c r="E620" s="82"/>
      <c r="F620" s="82" t="s">
        <v>5602</v>
      </c>
      <c r="G620" s="89">
        <v>1</v>
      </c>
      <c r="H620" s="89">
        <v>176</v>
      </c>
      <c r="I620" s="85">
        <v>0</v>
      </c>
      <c r="J620" s="85">
        <v>0</v>
      </c>
      <c r="K620" s="85">
        <v>176</v>
      </c>
      <c r="L620" s="85">
        <v>176</v>
      </c>
      <c r="M620" s="89">
        <v>252.04969388851097</v>
      </c>
      <c r="N620" s="85">
        <v>0</v>
      </c>
      <c r="O620" s="85">
        <v>0</v>
      </c>
      <c r="P620" s="85">
        <v>252.04969388851097</v>
      </c>
      <c r="Q620" s="85">
        <v>252.04969388851097</v>
      </c>
      <c r="R620" s="82" t="s">
        <v>3399</v>
      </c>
      <c r="S620" s="7">
        <f t="shared" si="28"/>
        <v>0</v>
      </c>
      <c r="T620" s="6">
        <f t="shared" si="29"/>
        <v>0</v>
      </c>
      <c r="U620" s="25">
        <f t="shared" si="27"/>
        <v>0</v>
      </c>
    </row>
    <row r="621" spans="1:21" ht="10.9" customHeight="1" x14ac:dyDescent="0.2">
      <c r="A621" s="82" t="s">
        <v>2569</v>
      </c>
      <c r="B621" s="83">
        <v>45740</v>
      </c>
      <c r="C621" s="82" t="s">
        <v>3395</v>
      </c>
      <c r="D621" s="82" t="s">
        <v>1748</v>
      </c>
      <c r="E621" s="82"/>
      <c r="F621" s="82" t="s">
        <v>5017</v>
      </c>
      <c r="G621" s="89">
        <v>8</v>
      </c>
      <c r="H621" s="89">
        <v>15.88</v>
      </c>
      <c r="I621" s="85">
        <v>0</v>
      </c>
      <c r="J621" s="85">
        <v>0</v>
      </c>
      <c r="K621" s="85">
        <v>127.04</v>
      </c>
      <c r="L621" s="85">
        <v>127.04</v>
      </c>
      <c r="M621" s="89">
        <v>22.738890806070767</v>
      </c>
      <c r="N621" s="85">
        <v>0</v>
      </c>
      <c r="O621" s="85">
        <v>0</v>
      </c>
      <c r="P621" s="85">
        <v>181.91112644856614</v>
      </c>
      <c r="Q621" s="85">
        <v>181.91112644856614</v>
      </c>
      <c r="R621" s="82" t="s">
        <v>3399</v>
      </c>
      <c r="S621" s="7">
        <f t="shared" si="28"/>
        <v>0</v>
      </c>
      <c r="T621" s="6">
        <f t="shared" si="29"/>
        <v>0</v>
      </c>
      <c r="U621" s="25">
        <f t="shared" si="27"/>
        <v>0</v>
      </c>
    </row>
    <row r="622" spans="1:21" ht="10.9" customHeight="1" x14ac:dyDescent="0.2">
      <c r="A622" s="82" t="s">
        <v>2448</v>
      </c>
      <c r="B622" s="83">
        <v>45740</v>
      </c>
      <c r="C622" s="82" t="s">
        <v>3395</v>
      </c>
      <c r="D622" s="82" t="s">
        <v>1961</v>
      </c>
      <c r="E622" s="82"/>
      <c r="F622" s="82" t="s">
        <v>5182</v>
      </c>
      <c r="G622" s="89">
        <v>3</v>
      </c>
      <c r="H622" s="89">
        <v>2925.09</v>
      </c>
      <c r="I622" s="85">
        <v>0</v>
      </c>
      <c r="J622" s="85">
        <v>0</v>
      </c>
      <c r="K622" s="85">
        <v>8775.27</v>
      </c>
      <c r="L622" s="85">
        <v>8775.27</v>
      </c>
      <c r="M622" s="89">
        <v>4189.022949411049</v>
      </c>
      <c r="N622" s="85">
        <v>0</v>
      </c>
      <c r="O622" s="85">
        <v>0</v>
      </c>
      <c r="P622" s="85">
        <v>12567.068848233146</v>
      </c>
      <c r="Q622" s="85">
        <v>12567.068848233146</v>
      </c>
      <c r="R622" s="82" t="s">
        <v>3399</v>
      </c>
      <c r="S622" s="7">
        <f t="shared" si="28"/>
        <v>0</v>
      </c>
      <c r="T622" s="6">
        <f t="shared" si="29"/>
        <v>0</v>
      </c>
      <c r="U622" s="25">
        <f t="shared" si="27"/>
        <v>0</v>
      </c>
    </row>
    <row r="623" spans="1:21" ht="10.9" customHeight="1" x14ac:dyDescent="0.2">
      <c r="A623" s="82" t="s">
        <v>3612</v>
      </c>
      <c r="B623" s="83">
        <v>45740</v>
      </c>
      <c r="C623" s="82" t="s">
        <v>3395</v>
      </c>
      <c r="D623" s="82" t="s">
        <v>3611</v>
      </c>
      <c r="E623" s="82"/>
      <c r="F623" s="82" t="s">
        <v>4575</v>
      </c>
      <c r="G623" s="89">
        <v>1</v>
      </c>
      <c r="H623" s="89">
        <v>614.88</v>
      </c>
      <c r="I623" s="85">
        <v>0</v>
      </c>
      <c r="J623" s="85">
        <v>30.74</v>
      </c>
      <c r="K623" s="85">
        <v>645.62</v>
      </c>
      <c r="L623" s="85">
        <v>645.62</v>
      </c>
      <c r="M623" s="89">
        <v>614.88</v>
      </c>
      <c r="N623" s="85">
        <v>0</v>
      </c>
      <c r="O623" s="85">
        <v>30.74</v>
      </c>
      <c r="P623" s="85">
        <v>645.62</v>
      </c>
      <c r="Q623" s="85">
        <v>645.62</v>
      </c>
      <c r="R623" s="82" t="s">
        <v>3399</v>
      </c>
      <c r="S623" s="7">
        <f t="shared" si="28"/>
        <v>0</v>
      </c>
      <c r="T623" s="6">
        <f t="shared" si="29"/>
        <v>0</v>
      </c>
      <c r="U623" s="25">
        <f t="shared" si="27"/>
        <v>0</v>
      </c>
    </row>
    <row r="624" spans="1:21" ht="10.9" customHeight="1" x14ac:dyDescent="0.2">
      <c r="A624" s="82" t="s">
        <v>2561</v>
      </c>
      <c r="B624" s="83">
        <v>45740</v>
      </c>
      <c r="C624" s="82" t="s">
        <v>3395</v>
      </c>
      <c r="D624" s="82" t="s">
        <v>1762</v>
      </c>
      <c r="E624" s="82"/>
      <c r="F624" s="82" t="s">
        <v>4556</v>
      </c>
      <c r="G624" s="89">
        <v>1</v>
      </c>
      <c r="H624" s="89">
        <v>109.66</v>
      </c>
      <c r="I624" s="85">
        <v>0</v>
      </c>
      <c r="J624" s="85">
        <v>5.48</v>
      </c>
      <c r="K624" s="85">
        <v>115.14</v>
      </c>
      <c r="L624" s="85">
        <v>1182.53</v>
      </c>
      <c r="M624" s="89">
        <v>109.66</v>
      </c>
      <c r="N624" s="85">
        <v>0</v>
      </c>
      <c r="O624" s="85">
        <v>5.48</v>
      </c>
      <c r="P624" s="85">
        <v>115.14</v>
      </c>
      <c r="Q624" s="85">
        <v>1182.53</v>
      </c>
      <c r="R624" s="82" t="s">
        <v>3399</v>
      </c>
      <c r="S624" s="7">
        <f t="shared" si="28"/>
        <v>0</v>
      </c>
      <c r="T624" s="6">
        <f t="shared" si="29"/>
        <v>0</v>
      </c>
      <c r="U624" s="25">
        <f t="shared" si="27"/>
        <v>0</v>
      </c>
    </row>
    <row r="625" spans="1:21" ht="10.9" customHeight="1" x14ac:dyDescent="0.2">
      <c r="A625" s="82" t="s">
        <v>2561</v>
      </c>
      <c r="B625" s="83">
        <v>45740</v>
      </c>
      <c r="C625" s="82" t="s">
        <v>3395</v>
      </c>
      <c r="D625" s="82" t="s">
        <v>1762</v>
      </c>
      <c r="E625" s="82"/>
      <c r="F625" s="82" t="s">
        <v>5192</v>
      </c>
      <c r="G625" s="89">
        <v>2</v>
      </c>
      <c r="H625" s="89">
        <v>345.57</v>
      </c>
      <c r="I625" s="85">
        <v>0</v>
      </c>
      <c r="J625" s="85">
        <v>34.56</v>
      </c>
      <c r="K625" s="85">
        <v>725.7</v>
      </c>
      <c r="L625" s="85">
        <v>1182.53</v>
      </c>
      <c r="M625" s="89">
        <v>345.57</v>
      </c>
      <c r="N625" s="85">
        <v>0</v>
      </c>
      <c r="O625" s="85">
        <v>34.56</v>
      </c>
      <c r="P625" s="85">
        <v>725.7</v>
      </c>
      <c r="Q625" s="85">
        <v>1182.53</v>
      </c>
      <c r="R625" s="82" t="s">
        <v>3399</v>
      </c>
      <c r="S625" s="7">
        <f t="shared" si="28"/>
        <v>0</v>
      </c>
      <c r="T625" s="6">
        <f t="shared" si="29"/>
        <v>0</v>
      </c>
      <c r="U625" s="25">
        <f t="shared" si="27"/>
        <v>0</v>
      </c>
    </row>
    <row r="626" spans="1:21" ht="10.9" customHeight="1" x14ac:dyDescent="0.2">
      <c r="A626" s="82" t="s">
        <v>2561</v>
      </c>
      <c r="B626" s="83">
        <v>45740</v>
      </c>
      <c r="C626" s="82" t="s">
        <v>3395</v>
      </c>
      <c r="D626" s="82" t="s">
        <v>1762</v>
      </c>
      <c r="E626" s="82"/>
      <c r="F626" s="82" t="s">
        <v>4673</v>
      </c>
      <c r="G626" s="89">
        <v>2</v>
      </c>
      <c r="H626" s="89">
        <v>162.71</v>
      </c>
      <c r="I626" s="85">
        <v>0</v>
      </c>
      <c r="J626" s="85">
        <v>16.27</v>
      </c>
      <c r="K626" s="85">
        <v>341.69</v>
      </c>
      <c r="L626" s="85">
        <v>1182.53</v>
      </c>
      <c r="M626" s="89">
        <v>162.71</v>
      </c>
      <c r="N626" s="85">
        <v>0</v>
      </c>
      <c r="O626" s="85">
        <v>16.27</v>
      </c>
      <c r="P626" s="85">
        <v>341.69</v>
      </c>
      <c r="Q626" s="85">
        <v>1182.53</v>
      </c>
      <c r="R626" s="82" t="s">
        <v>3399</v>
      </c>
      <c r="S626" s="7">
        <f t="shared" si="28"/>
        <v>0</v>
      </c>
      <c r="T626" s="6">
        <f t="shared" si="29"/>
        <v>0</v>
      </c>
      <c r="U626" s="25">
        <f t="shared" si="27"/>
        <v>0</v>
      </c>
    </row>
    <row r="627" spans="1:21" ht="10.9" customHeight="1" x14ac:dyDescent="0.2">
      <c r="A627" s="82" t="s">
        <v>3606</v>
      </c>
      <c r="B627" s="83">
        <v>45741</v>
      </c>
      <c r="C627" s="82" t="s">
        <v>3395</v>
      </c>
      <c r="D627" s="82" t="s">
        <v>3605</v>
      </c>
      <c r="E627" s="82"/>
      <c r="F627" s="82" t="s">
        <v>5597</v>
      </c>
      <c r="G627" s="89">
        <v>1</v>
      </c>
      <c r="H627" s="89">
        <v>7659.94</v>
      </c>
      <c r="I627" s="85">
        <v>0</v>
      </c>
      <c r="J627" s="85">
        <v>0</v>
      </c>
      <c r="K627" s="85">
        <v>7659.94</v>
      </c>
      <c r="L627" s="85">
        <v>7659.94</v>
      </c>
      <c r="M627" s="89">
        <v>10932.884976870915</v>
      </c>
      <c r="N627" s="85">
        <v>0</v>
      </c>
      <c r="O627" s="85">
        <v>0</v>
      </c>
      <c r="P627" s="85">
        <v>10932.884976870915</v>
      </c>
      <c r="Q627" s="85">
        <v>10932.884976870915</v>
      </c>
      <c r="R627" s="82" t="s">
        <v>3399</v>
      </c>
      <c r="S627" s="7">
        <f t="shared" si="28"/>
        <v>0</v>
      </c>
      <c r="T627" s="6">
        <f t="shared" si="29"/>
        <v>0</v>
      </c>
      <c r="U627" s="25">
        <f t="shared" si="27"/>
        <v>0</v>
      </c>
    </row>
    <row r="628" spans="1:21" ht="10.9" customHeight="1" x14ac:dyDescent="0.2">
      <c r="A628" s="82" t="s">
        <v>3608</v>
      </c>
      <c r="B628" s="83">
        <v>45741</v>
      </c>
      <c r="C628" s="82" t="s">
        <v>3395</v>
      </c>
      <c r="D628" s="82" t="s">
        <v>3607</v>
      </c>
      <c r="E628" s="82"/>
      <c r="F628" s="82" t="s">
        <v>5596</v>
      </c>
      <c r="G628" s="89">
        <v>1</v>
      </c>
      <c r="H628" s="89">
        <v>6497.11</v>
      </c>
      <c r="I628" s="85">
        <v>0</v>
      </c>
      <c r="J628" s="85">
        <v>0</v>
      </c>
      <c r="K628" s="85">
        <v>6497.11</v>
      </c>
      <c r="L628" s="85">
        <v>6497.11</v>
      </c>
      <c r="M628" s="89">
        <v>9273.2000919168804</v>
      </c>
      <c r="N628" s="85">
        <v>0</v>
      </c>
      <c r="O628" s="85">
        <v>0</v>
      </c>
      <c r="P628" s="85">
        <v>9273.2000919168804</v>
      </c>
      <c r="Q628" s="85">
        <v>9273.2000919168804</v>
      </c>
      <c r="R628" s="82" t="s">
        <v>3399</v>
      </c>
      <c r="S628" s="7">
        <f t="shared" si="28"/>
        <v>0</v>
      </c>
      <c r="T628" s="6">
        <f t="shared" si="29"/>
        <v>0</v>
      </c>
      <c r="U628" s="25">
        <f t="shared" si="27"/>
        <v>0</v>
      </c>
    </row>
    <row r="629" spans="1:21" ht="10.9" customHeight="1" x14ac:dyDescent="0.2">
      <c r="A629" s="82" t="s">
        <v>2373</v>
      </c>
      <c r="B629" s="83">
        <v>45741</v>
      </c>
      <c r="C629" s="82" t="s">
        <v>3395</v>
      </c>
      <c r="D629" s="82" t="s">
        <v>2077</v>
      </c>
      <c r="E629" s="82"/>
      <c r="F629" s="82" t="s">
        <v>4706</v>
      </c>
      <c r="G629" s="89">
        <v>1</v>
      </c>
      <c r="H629" s="89">
        <v>2469</v>
      </c>
      <c r="I629" s="85">
        <v>0</v>
      </c>
      <c r="J629" s="85">
        <v>0</v>
      </c>
      <c r="K629" s="85">
        <v>2469</v>
      </c>
      <c r="L629" s="85">
        <v>2469</v>
      </c>
      <c r="M629" s="89">
        <v>3523.9561938989455</v>
      </c>
      <c r="N629" s="85">
        <v>0</v>
      </c>
      <c r="O629" s="85">
        <v>0</v>
      </c>
      <c r="P629" s="85">
        <v>3523.9561938989455</v>
      </c>
      <c r="Q629" s="85">
        <v>3523.9561938989455</v>
      </c>
      <c r="R629" s="82" t="s">
        <v>3399</v>
      </c>
      <c r="S629" s="7">
        <f t="shared" si="28"/>
        <v>0</v>
      </c>
      <c r="T629" s="6">
        <f t="shared" si="29"/>
        <v>0</v>
      </c>
      <c r="U629" s="25">
        <f t="shared" si="27"/>
        <v>0</v>
      </c>
    </row>
    <row r="630" spans="1:21" ht="10.9" customHeight="1" x14ac:dyDescent="0.2">
      <c r="A630" s="82" t="s">
        <v>3604</v>
      </c>
      <c r="B630" s="83">
        <v>45741</v>
      </c>
      <c r="C630" s="82" t="s">
        <v>3395</v>
      </c>
      <c r="D630" s="82" t="s">
        <v>3603</v>
      </c>
      <c r="E630" s="82"/>
      <c r="F630" s="82" t="s">
        <v>5595</v>
      </c>
      <c r="G630" s="89">
        <v>1</v>
      </c>
      <c r="H630" s="89">
        <v>3866.07</v>
      </c>
      <c r="I630" s="85">
        <v>0</v>
      </c>
      <c r="J630" s="85">
        <v>0</v>
      </c>
      <c r="K630" s="85">
        <v>3866.07</v>
      </c>
      <c r="L630" s="85">
        <v>3866.07</v>
      </c>
      <c r="M630" s="89">
        <v>5517.9673238343039</v>
      </c>
      <c r="N630" s="85">
        <v>0</v>
      </c>
      <c r="O630" s="85">
        <v>0</v>
      </c>
      <c r="P630" s="85">
        <v>5517.9673238343039</v>
      </c>
      <c r="Q630" s="85">
        <v>5517.9673238343039</v>
      </c>
      <c r="R630" s="82" t="s">
        <v>3399</v>
      </c>
      <c r="S630" s="7">
        <f t="shared" si="28"/>
        <v>0</v>
      </c>
      <c r="T630" s="6">
        <f t="shared" si="29"/>
        <v>0</v>
      </c>
      <c r="U630" s="25">
        <f t="shared" si="27"/>
        <v>0</v>
      </c>
    </row>
    <row r="631" spans="1:21" ht="10.9" customHeight="1" x14ac:dyDescent="0.2">
      <c r="A631" s="82" t="s">
        <v>3610</v>
      </c>
      <c r="B631" s="83">
        <v>45741</v>
      </c>
      <c r="C631" s="82" t="s">
        <v>3395</v>
      </c>
      <c r="D631" s="82" t="s">
        <v>3609</v>
      </c>
      <c r="E631" s="82"/>
      <c r="F631" s="82" t="s">
        <v>4608</v>
      </c>
      <c r="G631" s="89">
        <v>1</v>
      </c>
      <c r="H631" s="89">
        <v>6344.11</v>
      </c>
      <c r="I631" s="85">
        <v>0</v>
      </c>
      <c r="J631" s="85">
        <v>317.20999999999998</v>
      </c>
      <c r="K631" s="85">
        <v>6661.32</v>
      </c>
      <c r="L631" s="85">
        <v>6661.32</v>
      </c>
      <c r="M631" s="89">
        <v>6344.11</v>
      </c>
      <c r="N631" s="85">
        <v>0</v>
      </c>
      <c r="O631" s="85">
        <v>317.20999999999998</v>
      </c>
      <c r="P631" s="85">
        <v>6661.32</v>
      </c>
      <c r="Q631" s="85">
        <v>6661.32</v>
      </c>
      <c r="R631" s="82" t="s">
        <v>3399</v>
      </c>
      <c r="S631" s="7">
        <f t="shared" si="28"/>
        <v>0</v>
      </c>
      <c r="T631" s="6">
        <f t="shared" si="29"/>
        <v>0</v>
      </c>
      <c r="U631" s="25">
        <f t="shared" si="27"/>
        <v>0</v>
      </c>
    </row>
    <row r="632" spans="1:21" ht="10.9" customHeight="1" x14ac:dyDescent="0.2">
      <c r="A632" s="82" t="s">
        <v>2497</v>
      </c>
      <c r="B632" s="83">
        <v>45741</v>
      </c>
      <c r="C632" s="82" t="s">
        <v>3395</v>
      </c>
      <c r="D632" s="82" t="s">
        <v>1868</v>
      </c>
      <c r="E632" s="82"/>
      <c r="F632" s="82" t="s">
        <v>5601</v>
      </c>
      <c r="G632" s="89">
        <v>1</v>
      </c>
      <c r="H632" s="89">
        <v>1948.11</v>
      </c>
      <c r="I632" s="85">
        <v>0</v>
      </c>
      <c r="J632" s="85">
        <v>97.41</v>
      </c>
      <c r="K632" s="85">
        <v>2045.52</v>
      </c>
      <c r="L632" s="85">
        <v>2045.52</v>
      </c>
      <c r="M632" s="89">
        <v>1948.11</v>
      </c>
      <c r="N632" s="85">
        <v>0</v>
      </c>
      <c r="O632" s="85">
        <v>97.41</v>
      </c>
      <c r="P632" s="85">
        <v>2045.52</v>
      </c>
      <c r="Q632" s="85">
        <v>2045.52</v>
      </c>
      <c r="R632" s="82" t="s">
        <v>3399</v>
      </c>
      <c r="S632" s="7">
        <f t="shared" si="28"/>
        <v>0</v>
      </c>
      <c r="T632" s="6">
        <f t="shared" si="29"/>
        <v>0</v>
      </c>
      <c r="U632" s="25">
        <f t="shared" si="27"/>
        <v>0</v>
      </c>
    </row>
    <row r="633" spans="1:21" ht="10.9" customHeight="1" x14ac:dyDescent="0.2">
      <c r="A633" s="82" t="s">
        <v>2340</v>
      </c>
      <c r="B633" s="83">
        <v>45741</v>
      </c>
      <c r="C633" s="82" t="s">
        <v>3395</v>
      </c>
      <c r="D633" s="82" t="s">
        <v>2138</v>
      </c>
      <c r="E633" s="82"/>
      <c r="F633" s="82" t="s">
        <v>5600</v>
      </c>
      <c r="G633" s="89">
        <v>1</v>
      </c>
      <c r="H633" s="89">
        <v>5107.37</v>
      </c>
      <c r="I633" s="85">
        <v>0</v>
      </c>
      <c r="J633" s="85">
        <v>255.37</v>
      </c>
      <c r="K633" s="85">
        <v>5362.74</v>
      </c>
      <c r="L633" s="85">
        <v>5362.74</v>
      </c>
      <c r="M633" s="89">
        <v>5107.37</v>
      </c>
      <c r="N633" s="85">
        <v>0</v>
      </c>
      <c r="O633" s="85">
        <v>255.37</v>
      </c>
      <c r="P633" s="85">
        <v>5362.74</v>
      </c>
      <c r="Q633" s="85">
        <v>5362.74</v>
      </c>
      <c r="R633" s="82" t="s">
        <v>3399</v>
      </c>
      <c r="S633" s="7">
        <f t="shared" si="28"/>
        <v>0</v>
      </c>
      <c r="T633" s="6">
        <f t="shared" si="29"/>
        <v>0</v>
      </c>
      <c r="U633" s="25">
        <f t="shared" si="27"/>
        <v>0</v>
      </c>
    </row>
    <row r="634" spans="1:21" ht="10.9" customHeight="1" x14ac:dyDescent="0.2">
      <c r="A634" s="82" t="s">
        <v>2492</v>
      </c>
      <c r="B634" s="83">
        <v>45741</v>
      </c>
      <c r="C634" s="82" t="s">
        <v>3395</v>
      </c>
      <c r="D634" s="82" t="s">
        <v>1876</v>
      </c>
      <c r="E634" s="82"/>
      <c r="F634" s="82" t="s">
        <v>5599</v>
      </c>
      <c r="G634" s="89">
        <v>1</v>
      </c>
      <c r="H634" s="89">
        <v>214.2</v>
      </c>
      <c r="I634" s="85">
        <v>0</v>
      </c>
      <c r="J634" s="85">
        <v>10.71</v>
      </c>
      <c r="K634" s="85">
        <v>224.91</v>
      </c>
      <c r="L634" s="85">
        <v>224.91</v>
      </c>
      <c r="M634" s="89">
        <v>214.2</v>
      </c>
      <c r="N634" s="85">
        <v>0</v>
      </c>
      <c r="O634" s="85">
        <v>10.71</v>
      </c>
      <c r="P634" s="85">
        <v>224.91</v>
      </c>
      <c r="Q634" s="85">
        <v>224.91</v>
      </c>
      <c r="R634" s="82" t="s">
        <v>3399</v>
      </c>
      <c r="S634" s="7">
        <f t="shared" si="28"/>
        <v>0</v>
      </c>
      <c r="T634" s="6">
        <f t="shared" si="29"/>
        <v>0</v>
      </c>
      <c r="U634" s="25">
        <f t="shared" si="27"/>
        <v>0</v>
      </c>
    </row>
    <row r="635" spans="1:21" ht="10.9" customHeight="1" x14ac:dyDescent="0.2">
      <c r="A635" s="82" t="s">
        <v>2576</v>
      </c>
      <c r="B635" s="83">
        <v>45741</v>
      </c>
      <c r="C635" s="82" t="s">
        <v>3395</v>
      </c>
      <c r="D635" s="82" t="s">
        <v>1739</v>
      </c>
      <c r="E635" s="82"/>
      <c r="F635" s="82" t="s">
        <v>5032</v>
      </c>
      <c r="G635" s="89">
        <v>2</v>
      </c>
      <c r="H635" s="89">
        <v>80.040000000000006</v>
      </c>
      <c r="I635" s="85">
        <v>0</v>
      </c>
      <c r="J635" s="85">
        <v>8</v>
      </c>
      <c r="K635" s="85">
        <v>168.08</v>
      </c>
      <c r="L635" s="85">
        <v>168.08</v>
      </c>
      <c r="M635" s="89">
        <v>80.040000000000006</v>
      </c>
      <c r="N635" s="85">
        <v>0</v>
      </c>
      <c r="O635" s="85">
        <v>8</v>
      </c>
      <c r="P635" s="85">
        <v>168.08</v>
      </c>
      <c r="Q635" s="85">
        <v>168.08</v>
      </c>
      <c r="R635" s="82" t="s">
        <v>3399</v>
      </c>
      <c r="S635" s="7">
        <f t="shared" si="28"/>
        <v>0</v>
      </c>
      <c r="T635" s="6">
        <f t="shared" si="29"/>
        <v>0</v>
      </c>
      <c r="U635" s="25">
        <f t="shared" si="27"/>
        <v>0</v>
      </c>
    </row>
    <row r="636" spans="1:21" ht="10.9" customHeight="1" x14ac:dyDescent="0.2">
      <c r="A636" s="82" t="s">
        <v>2318</v>
      </c>
      <c r="B636" s="83">
        <v>45741</v>
      </c>
      <c r="C636" s="82" t="s">
        <v>3395</v>
      </c>
      <c r="D636" s="82" t="s">
        <v>2176</v>
      </c>
      <c r="E636" s="82"/>
      <c r="F636" s="82" t="s">
        <v>5598</v>
      </c>
      <c r="G636" s="89">
        <v>1</v>
      </c>
      <c r="H636" s="89">
        <v>1578.98</v>
      </c>
      <c r="I636" s="85">
        <v>0</v>
      </c>
      <c r="J636" s="85">
        <v>78.95</v>
      </c>
      <c r="K636" s="85">
        <v>1657.93</v>
      </c>
      <c r="L636" s="85">
        <v>1657.93</v>
      </c>
      <c r="M636" s="89">
        <v>1578.98</v>
      </c>
      <c r="N636" s="85">
        <v>0</v>
      </c>
      <c r="O636" s="85">
        <v>78.95</v>
      </c>
      <c r="P636" s="85">
        <v>1657.93</v>
      </c>
      <c r="Q636" s="85">
        <v>1657.93</v>
      </c>
      <c r="R636" s="82" t="s">
        <v>3399</v>
      </c>
      <c r="S636" s="7">
        <f t="shared" si="28"/>
        <v>0</v>
      </c>
      <c r="T636" s="6">
        <f t="shared" si="29"/>
        <v>0</v>
      </c>
      <c r="U636" s="25">
        <f t="shared" si="27"/>
        <v>0</v>
      </c>
    </row>
    <row r="637" spans="1:21" ht="10.9" customHeight="1" x14ac:dyDescent="0.2">
      <c r="A637" s="82" t="s">
        <v>2511</v>
      </c>
      <c r="B637" s="83">
        <v>45741</v>
      </c>
      <c r="C637" s="82" t="s">
        <v>3395</v>
      </c>
      <c r="D637" s="82" t="s">
        <v>1847</v>
      </c>
      <c r="E637" s="82"/>
      <c r="F637" s="82" t="s">
        <v>4576</v>
      </c>
      <c r="G637" s="89">
        <v>12</v>
      </c>
      <c r="H637" s="89">
        <v>31.81</v>
      </c>
      <c r="I637" s="85">
        <v>0</v>
      </c>
      <c r="J637" s="85">
        <v>19.09</v>
      </c>
      <c r="K637" s="85">
        <v>400.81</v>
      </c>
      <c r="L637" s="85">
        <v>400.81</v>
      </c>
      <c r="M637" s="89">
        <v>31.81</v>
      </c>
      <c r="N637" s="85">
        <v>0</v>
      </c>
      <c r="O637" s="85">
        <v>19.09</v>
      </c>
      <c r="P637" s="85">
        <v>400.81</v>
      </c>
      <c r="Q637" s="85">
        <v>400.81</v>
      </c>
      <c r="R637" s="82" t="s">
        <v>3399</v>
      </c>
      <c r="S637" s="7">
        <f t="shared" si="28"/>
        <v>0</v>
      </c>
      <c r="T637" s="6">
        <f t="shared" si="29"/>
        <v>0</v>
      </c>
      <c r="U637" s="25">
        <f t="shared" si="27"/>
        <v>0</v>
      </c>
    </row>
    <row r="638" spans="1:21" ht="10.9" customHeight="1" x14ac:dyDescent="0.2">
      <c r="A638" s="82" t="s">
        <v>2582</v>
      </c>
      <c r="B638" s="83">
        <v>45742</v>
      </c>
      <c r="C638" s="82" t="s">
        <v>3395</v>
      </c>
      <c r="D638" s="82" t="s">
        <v>1727</v>
      </c>
      <c r="E638" s="82"/>
      <c r="F638" s="82" t="s">
        <v>4414</v>
      </c>
      <c r="G638" s="89">
        <v>5</v>
      </c>
      <c r="H638" s="89">
        <v>1094.67</v>
      </c>
      <c r="I638" s="85">
        <v>0</v>
      </c>
      <c r="J638" s="85">
        <v>0</v>
      </c>
      <c r="K638" s="85">
        <v>5473.35</v>
      </c>
      <c r="L638" s="85">
        <v>5473.35</v>
      </c>
      <c r="M638" s="89">
        <v>1561.9087570307083</v>
      </c>
      <c r="N638" s="85">
        <v>0</v>
      </c>
      <c r="O638" s="85">
        <v>0</v>
      </c>
      <c r="P638" s="85">
        <v>7809.5437851535416</v>
      </c>
      <c r="Q638" s="85">
        <v>7809.5437851535416</v>
      </c>
      <c r="R638" s="82" t="s">
        <v>3399</v>
      </c>
      <c r="S638" s="7">
        <f t="shared" si="28"/>
        <v>0</v>
      </c>
      <c r="T638" s="6">
        <f t="shared" si="29"/>
        <v>0</v>
      </c>
      <c r="U638" s="25">
        <f t="shared" si="27"/>
        <v>0</v>
      </c>
    </row>
    <row r="639" spans="1:21" ht="10.9" customHeight="1" x14ac:dyDescent="0.2">
      <c r="A639" s="82" t="s">
        <v>2404</v>
      </c>
      <c r="B639" s="83">
        <v>45742</v>
      </c>
      <c r="C639" s="82" t="s">
        <v>3395</v>
      </c>
      <c r="D639" s="82" t="s">
        <v>2033</v>
      </c>
      <c r="E639" s="82"/>
      <c r="F639" s="82" t="s">
        <v>4591</v>
      </c>
      <c r="G639" s="89">
        <v>3</v>
      </c>
      <c r="H639" s="89">
        <v>156.02000000000001</v>
      </c>
      <c r="I639" s="85">
        <v>0</v>
      </c>
      <c r="J639" s="85">
        <v>0</v>
      </c>
      <c r="K639" s="85">
        <v>468.06</v>
      </c>
      <c r="L639" s="85">
        <v>468.06</v>
      </c>
      <c r="M639" s="89">
        <v>222.595386303293</v>
      </c>
      <c r="N639" s="85">
        <v>0</v>
      </c>
      <c r="O639" s="85">
        <v>0</v>
      </c>
      <c r="P639" s="85">
        <v>667.78615890987896</v>
      </c>
      <c r="Q639" s="85">
        <v>667.78615890987896</v>
      </c>
      <c r="R639" s="82" t="s">
        <v>3399</v>
      </c>
      <c r="S639" s="7">
        <f t="shared" si="28"/>
        <v>0</v>
      </c>
      <c r="T639" s="6">
        <f t="shared" si="29"/>
        <v>0</v>
      </c>
      <c r="U639" s="25">
        <f t="shared" si="27"/>
        <v>0</v>
      </c>
    </row>
    <row r="640" spans="1:21" ht="10.9" customHeight="1" x14ac:dyDescent="0.2">
      <c r="A640" s="82" t="s">
        <v>3602</v>
      </c>
      <c r="B640" s="83">
        <v>45742</v>
      </c>
      <c r="C640" s="82" t="s">
        <v>3395</v>
      </c>
      <c r="D640" s="82" t="s">
        <v>3601</v>
      </c>
      <c r="E640" s="82"/>
      <c r="F640" s="82" t="s">
        <v>5050</v>
      </c>
      <c r="G640" s="89">
        <v>5</v>
      </c>
      <c r="H640" s="89">
        <v>162.88999999999999</v>
      </c>
      <c r="I640" s="85">
        <v>0</v>
      </c>
      <c r="J640" s="85">
        <v>0</v>
      </c>
      <c r="K640" s="85">
        <v>814.45</v>
      </c>
      <c r="L640" s="85">
        <v>814.45</v>
      </c>
      <c r="M640" s="89">
        <v>232.41645192864706</v>
      </c>
      <c r="N640" s="85">
        <v>0</v>
      </c>
      <c r="O640" s="85">
        <v>0</v>
      </c>
      <c r="P640" s="85">
        <v>1162.0822596432351</v>
      </c>
      <c r="Q640" s="85">
        <v>1162.0822596432351</v>
      </c>
      <c r="R640" s="82" t="s">
        <v>3399</v>
      </c>
      <c r="S640" s="7">
        <f t="shared" si="28"/>
        <v>0</v>
      </c>
      <c r="T640" s="6">
        <f t="shared" si="29"/>
        <v>0</v>
      </c>
      <c r="U640" s="25">
        <f t="shared" si="27"/>
        <v>0</v>
      </c>
    </row>
    <row r="641" spans="1:21" ht="10.9" customHeight="1" x14ac:dyDescent="0.2">
      <c r="A641" s="82" t="s">
        <v>2578</v>
      </c>
      <c r="B641" s="83">
        <v>45742</v>
      </c>
      <c r="C641" s="82" t="s">
        <v>3395</v>
      </c>
      <c r="D641" s="82" t="s">
        <v>1735</v>
      </c>
      <c r="E641" s="82"/>
      <c r="F641" s="82" t="s">
        <v>4642</v>
      </c>
      <c r="G641" s="89">
        <v>1</v>
      </c>
      <c r="H641" s="89">
        <v>164.89</v>
      </c>
      <c r="I641" s="85">
        <v>0</v>
      </c>
      <c r="J641" s="85">
        <v>8.24</v>
      </c>
      <c r="K641" s="85">
        <v>173.13</v>
      </c>
      <c r="L641" s="85">
        <v>173.13</v>
      </c>
      <c r="M641" s="89">
        <v>164.89</v>
      </c>
      <c r="N641" s="85">
        <v>0</v>
      </c>
      <c r="O641" s="85">
        <v>8.24</v>
      </c>
      <c r="P641" s="85">
        <v>173.13</v>
      </c>
      <c r="Q641" s="85">
        <v>173.13</v>
      </c>
      <c r="R641" s="82" t="s">
        <v>3399</v>
      </c>
      <c r="S641" s="7">
        <f t="shared" si="28"/>
        <v>0</v>
      </c>
      <c r="T641" s="6">
        <f t="shared" si="29"/>
        <v>0</v>
      </c>
      <c r="U641" s="25">
        <f t="shared" si="27"/>
        <v>0</v>
      </c>
    </row>
    <row r="642" spans="1:21" ht="10.9" customHeight="1" x14ac:dyDescent="0.2">
      <c r="A642" s="82" t="s">
        <v>2583</v>
      </c>
      <c r="B642" s="83">
        <v>45742</v>
      </c>
      <c r="C642" s="82" t="s">
        <v>3395</v>
      </c>
      <c r="D642" s="82" t="s">
        <v>1725</v>
      </c>
      <c r="E642" s="82"/>
      <c r="F642" s="82" t="s">
        <v>4591</v>
      </c>
      <c r="G642" s="89">
        <v>2</v>
      </c>
      <c r="H642" s="89">
        <v>172.3</v>
      </c>
      <c r="I642" s="85">
        <v>0</v>
      </c>
      <c r="J642" s="85">
        <v>17.23</v>
      </c>
      <c r="K642" s="85">
        <v>361.83</v>
      </c>
      <c r="L642" s="85">
        <v>361.83</v>
      </c>
      <c r="M642" s="89">
        <v>172.3</v>
      </c>
      <c r="N642" s="85">
        <v>0</v>
      </c>
      <c r="O642" s="85">
        <v>17.23</v>
      </c>
      <c r="P642" s="85">
        <v>361.83</v>
      </c>
      <c r="Q642" s="85">
        <v>361.83</v>
      </c>
      <c r="R642" s="82" t="s">
        <v>3399</v>
      </c>
      <c r="S642" s="7">
        <f t="shared" si="28"/>
        <v>0</v>
      </c>
      <c r="T642" s="6">
        <f t="shared" si="29"/>
        <v>0</v>
      </c>
      <c r="U642" s="25">
        <f t="shared" ref="U642:U705" si="30">IF(T642=1,K642-J642,0)</f>
        <v>0</v>
      </c>
    </row>
    <row r="643" spans="1:21" ht="10.9" customHeight="1" x14ac:dyDescent="0.2">
      <c r="A643" s="82" t="s">
        <v>2580</v>
      </c>
      <c r="B643" s="83">
        <v>45742</v>
      </c>
      <c r="C643" s="82" t="s">
        <v>3395</v>
      </c>
      <c r="D643" s="82" t="s">
        <v>1731</v>
      </c>
      <c r="E643" s="82"/>
      <c r="F643" s="82" t="s">
        <v>4591</v>
      </c>
      <c r="G643" s="89">
        <v>3</v>
      </c>
      <c r="H643" s="89">
        <v>172.3</v>
      </c>
      <c r="I643" s="85">
        <v>0</v>
      </c>
      <c r="J643" s="85">
        <v>25.85</v>
      </c>
      <c r="K643" s="85">
        <v>542.75</v>
      </c>
      <c r="L643" s="85">
        <v>542.75</v>
      </c>
      <c r="M643" s="89">
        <v>172.3</v>
      </c>
      <c r="N643" s="85">
        <v>0</v>
      </c>
      <c r="O643" s="85">
        <v>25.85</v>
      </c>
      <c r="P643" s="85">
        <v>542.75</v>
      </c>
      <c r="Q643" s="85">
        <v>542.75</v>
      </c>
      <c r="R643" s="82" t="s">
        <v>3399</v>
      </c>
      <c r="S643" s="7">
        <f t="shared" ref="S643:S706" si="31">IF(T643=1,A643,0)</f>
        <v>0</v>
      </c>
      <c r="T643" s="6">
        <f t="shared" ref="T643:T706" si="32">IFERROR(FIND("Freight",F643,1),0)</f>
        <v>0</v>
      </c>
      <c r="U643" s="25">
        <f t="shared" si="30"/>
        <v>0</v>
      </c>
    </row>
    <row r="644" spans="1:21" ht="10.9" customHeight="1" x14ac:dyDescent="0.2">
      <c r="A644" s="82" t="s">
        <v>2550</v>
      </c>
      <c r="B644" s="83">
        <v>45742</v>
      </c>
      <c r="C644" s="82" t="s">
        <v>3395</v>
      </c>
      <c r="D644" s="82" t="s">
        <v>1782</v>
      </c>
      <c r="E644" s="82"/>
      <c r="F644" s="82" t="s">
        <v>4686</v>
      </c>
      <c r="G644" s="89">
        <v>2</v>
      </c>
      <c r="H644" s="89">
        <v>152.13</v>
      </c>
      <c r="I644" s="85">
        <v>0</v>
      </c>
      <c r="J644" s="85">
        <v>15.21</v>
      </c>
      <c r="K644" s="85">
        <v>319.47000000000003</v>
      </c>
      <c r="L644" s="85">
        <v>319.47000000000003</v>
      </c>
      <c r="M644" s="89">
        <v>152.13</v>
      </c>
      <c r="N644" s="85">
        <v>0</v>
      </c>
      <c r="O644" s="85">
        <v>15.21</v>
      </c>
      <c r="P644" s="85">
        <v>319.47000000000003</v>
      </c>
      <c r="Q644" s="85">
        <v>319.47000000000003</v>
      </c>
      <c r="R644" s="82" t="s">
        <v>3399</v>
      </c>
      <c r="S644" s="7">
        <f t="shared" si="31"/>
        <v>0</v>
      </c>
      <c r="T644" s="6">
        <f t="shared" si="32"/>
        <v>0</v>
      </c>
      <c r="U644" s="25">
        <f t="shared" si="30"/>
        <v>0</v>
      </c>
    </row>
    <row r="645" spans="1:21" ht="10.9" customHeight="1" x14ac:dyDescent="0.2">
      <c r="A645" s="82" t="s">
        <v>2567</v>
      </c>
      <c r="B645" s="83">
        <v>45742</v>
      </c>
      <c r="C645" s="82" t="s">
        <v>3395</v>
      </c>
      <c r="D645" s="82" t="s">
        <v>1752</v>
      </c>
      <c r="E645" s="82"/>
      <c r="F645" s="82" t="s">
        <v>4676</v>
      </c>
      <c r="G645" s="89">
        <v>1</v>
      </c>
      <c r="H645" s="89">
        <v>1217.18</v>
      </c>
      <c r="I645" s="85">
        <v>0</v>
      </c>
      <c r="J645" s="85">
        <v>60.86</v>
      </c>
      <c r="K645" s="85">
        <v>1278.04</v>
      </c>
      <c r="L645" s="85">
        <v>5581.2</v>
      </c>
      <c r="M645" s="89">
        <v>1217.18</v>
      </c>
      <c r="N645" s="85">
        <v>0</v>
      </c>
      <c r="O645" s="85">
        <v>60.86</v>
      </c>
      <c r="P645" s="85">
        <v>1278.04</v>
      </c>
      <c r="Q645" s="85">
        <v>5581.2</v>
      </c>
      <c r="R645" s="82" t="s">
        <v>3399</v>
      </c>
      <c r="S645" s="7">
        <f t="shared" si="31"/>
        <v>0</v>
      </c>
      <c r="T645" s="6">
        <f t="shared" si="32"/>
        <v>0</v>
      </c>
      <c r="U645" s="25">
        <f t="shared" si="30"/>
        <v>0</v>
      </c>
    </row>
    <row r="646" spans="1:21" ht="10.9" customHeight="1" x14ac:dyDescent="0.2">
      <c r="A646" s="82" t="s">
        <v>2567</v>
      </c>
      <c r="B646" s="83">
        <v>45742</v>
      </c>
      <c r="C646" s="82" t="s">
        <v>3395</v>
      </c>
      <c r="D646" s="82" t="s">
        <v>1752</v>
      </c>
      <c r="E646" s="82"/>
      <c r="F646" s="82" t="s">
        <v>4425</v>
      </c>
      <c r="G646" s="89">
        <v>1</v>
      </c>
      <c r="H646" s="89">
        <v>1149.06</v>
      </c>
      <c r="I646" s="85">
        <v>0</v>
      </c>
      <c r="J646" s="85">
        <v>57.45</v>
      </c>
      <c r="K646" s="85">
        <v>1206.51</v>
      </c>
      <c r="L646" s="85">
        <v>5581.2</v>
      </c>
      <c r="M646" s="89">
        <v>1149.06</v>
      </c>
      <c r="N646" s="85">
        <v>0</v>
      </c>
      <c r="O646" s="85">
        <v>57.45</v>
      </c>
      <c r="P646" s="85">
        <v>1206.51</v>
      </c>
      <c r="Q646" s="85">
        <v>5581.2</v>
      </c>
      <c r="R646" s="82" t="s">
        <v>3399</v>
      </c>
      <c r="S646" s="7">
        <f t="shared" si="31"/>
        <v>0</v>
      </c>
      <c r="T646" s="6">
        <f t="shared" si="32"/>
        <v>0</v>
      </c>
      <c r="U646" s="25">
        <f t="shared" si="30"/>
        <v>0</v>
      </c>
    </row>
    <row r="647" spans="1:21" ht="10.9" customHeight="1" x14ac:dyDescent="0.2">
      <c r="A647" s="82" t="s">
        <v>2567</v>
      </c>
      <c r="B647" s="83">
        <v>45742</v>
      </c>
      <c r="C647" s="82" t="s">
        <v>3395</v>
      </c>
      <c r="D647" s="82" t="s">
        <v>1752</v>
      </c>
      <c r="E647" s="82"/>
      <c r="F647" s="82" t="s">
        <v>4806</v>
      </c>
      <c r="G647" s="89">
        <v>1</v>
      </c>
      <c r="H647" s="89">
        <v>40</v>
      </c>
      <c r="I647" s="85">
        <v>40</v>
      </c>
      <c r="J647" s="85">
        <v>0</v>
      </c>
      <c r="K647" s="85">
        <v>0</v>
      </c>
      <c r="L647" s="85">
        <v>5581.2</v>
      </c>
      <c r="M647" s="89">
        <v>40</v>
      </c>
      <c r="N647" s="85">
        <v>40</v>
      </c>
      <c r="O647" s="85">
        <v>0</v>
      </c>
      <c r="P647" s="85">
        <v>0</v>
      </c>
      <c r="Q647" s="85">
        <v>5581.2</v>
      </c>
      <c r="R647" s="82" t="s">
        <v>3399</v>
      </c>
      <c r="S647" s="7">
        <f t="shared" si="31"/>
        <v>0</v>
      </c>
      <c r="T647" s="6">
        <f t="shared" si="32"/>
        <v>0</v>
      </c>
      <c r="U647" s="25">
        <f t="shared" si="30"/>
        <v>0</v>
      </c>
    </row>
    <row r="648" spans="1:21" ht="10.9" customHeight="1" x14ac:dyDescent="0.2">
      <c r="A648" s="82" t="s">
        <v>2567</v>
      </c>
      <c r="B648" s="83">
        <v>45742</v>
      </c>
      <c r="C648" s="82" t="s">
        <v>3395</v>
      </c>
      <c r="D648" s="82" t="s">
        <v>1752</v>
      </c>
      <c r="E648" s="82"/>
      <c r="F648" s="82" t="s">
        <v>4424</v>
      </c>
      <c r="G648" s="89">
        <v>1</v>
      </c>
      <c r="H648" s="89">
        <v>1233.2</v>
      </c>
      <c r="I648" s="85">
        <v>0</v>
      </c>
      <c r="J648" s="85">
        <v>61.66</v>
      </c>
      <c r="K648" s="85">
        <v>1294.8599999999999</v>
      </c>
      <c r="L648" s="85">
        <v>5581.2</v>
      </c>
      <c r="M648" s="89">
        <v>1233.2</v>
      </c>
      <c r="N648" s="85">
        <v>0</v>
      </c>
      <c r="O648" s="85">
        <v>61.66</v>
      </c>
      <c r="P648" s="85">
        <v>1294.8599999999999</v>
      </c>
      <c r="Q648" s="85">
        <v>5581.2</v>
      </c>
      <c r="R648" s="82" t="s">
        <v>3399</v>
      </c>
      <c r="S648" s="7">
        <f t="shared" si="31"/>
        <v>0</v>
      </c>
      <c r="T648" s="6">
        <f t="shared" si="32"/>
        <v>0</v>
      </c>
      <c r="U648" s="25">
        <f t="shared" si="30"/>
        <v>0</v>
      </c>
    </row>
    <row r="649" spans="1:21" ht="10.9" customHeight="1" x14ac:dyDescent="0.2">
      <c r="A649" s="82" t="s">
        <v>2567</v>
      </c>
      <c r="B649" s="83">
        <v>45742</v>
      </c>
      <c r="C649" s="82" t="s">
        <v>3395</v>
      </c>
      <c r="D649" s="82" t="s">
        <v>1752</v>
      </c>
      <c r="E649" s="82"/>
      <c r="F649" s="82" t="s">
        <v>4805</v>
      </c>
      <c r="G649" s="89">
        <v>1</v>
      </c>
      <c r="H649" s="89">
        <v>40</v>
      </c>
      <c r="I649" s="85">
        <v>40</v>
      </c>
      <c r="J649" s="85">
        <v>0</v>
      </c>
      <c r="K649" s="85">
        <v>0</v>
      </c>
      <c r="L649" s="85">
        <v>5581.2</v>
      </c>
      <c r="M649" s="89">
        <v>40</v>
      </c>
      <c r="N649" s="85">
        <v>40</v>
      </c>
      <c r="O649" s="85">
        <v>0</v>
      </c>
      <c r="P649" s="85">
        <v>0</v>
      </c>
      <c r="Q649" s="85">
        <v>5581.2</v>
      </c>
      <c r="R649" s="82" t="s">
        <v>3399</v>
      </c>
      <c r="S649" s="7">
        <f t="shared" si="31"/>
        <v>0</v>
      </c>
      <c r="T649" s="6">
        <f t="shared" si="32"/>
        <v>0</v>
      </c>
      <c r="U649" s="25">
        <f t="shared" si="30"/>
        <v>0</v>
      </c>
    </row>
    <row r="650" spans="1:21" ht="10.9" customHeight="1" x14ac:dyDescent="0.2">
      <c r="A650" s="82" t="s">
        <v>2567</v>
      </c>
      <c r="B650" s="83">
        <v>45742</v>
      </c>
      <c r="C650" s="82" t="s">
        <v>3395</v>
      </c>
      <c r="D650" s="82" t="s">
        <v>1752</v>
      </c>
      <c r="E650" s="82"/>
      <c r="F650" s="82" t="s">
        <v>4736</v>
      </c>
      <c r="G650" s="89">
        <v>1</v>
      </c>
      <c r="H650" s="89">
        <v>383.15</v>
      </c>
      <c r="I650" s="85">
        <v>0</v>
      </c>
      <c r="J650" s="85">
        <v>19.16</v>
      </c>
      <c r="K650" s="85">
        <v>402.31</v>
      </c>
      <c r="L650" s="85">
        <v>5581.2</v>
      </c>
      <c r="M650" s="89">
        <v>383.15</v>
      </c>
      <c r="N650" s="85">
        <v>0</v>
      </c>
      <c r="O650" s="85">
        <v>19.16</v>
      </c>
      <c r="P650" s="85">
        <v>402.31</v>
      </c>
      <c r="Q650" s="85">
        <v>5581.2</v>
      </c>
      <c r="R650" s="82" t="s">
        <v>3399</v>
      </c>
      <c r="S650" s="7">
        <f t="shared" si="31"/>
        <v>0</v>
      </c>
      <c r="T650" s="6">
        <f t="shared" si="32"/>
        <v>0</v>
      </c>
      <c r="U650" s="25">
        <f t="shared" si="30"/>
        <v>0</v>
      </c>
    </row>
    <row r="651" spans="1:21" ht="10.9" customHeight="1" x14ac:dyDescent="0.2">
      <c r="A651" s="82" t="s">
        <v>2567</v>
      </c>
      <c r="B651" s="83">
        <v>45742</v>
      </c>
      <c r="C651" s="82" t="s">
        <v>3395</v>
      </c>
      <c r="D651" s="82" t="s">
        <v>1752</v>
      </c>
      <c r="E651" s="82"/>
      <c r="F651" s="82" t="s">
        <v>4686</v>
      </c>
      <c r="G651" s="89">
        <v>1</v>
      </c>
      <c r="H651" s="89">
        <v>152.13</v>
      </c>
      <c r="I651" s="85">
        <v>0</v>
      </c>
      <c r="J651" s="85">
        <v>7.61</v>
      </c>
      <c r="K651" s="85">
        <v>159.74</v>
      </c>
      <c r="L651" s="85">
        <v>5581.2</v>
      </c>
      <c r="M651" s="89">
        <v>152.13</v>
      </c>
      <c r="N651" s="85">
        <v>0</v>
      </c>
      <c r="O651" s="85">
        <v>7.61</v>
      </c>
      <c r="P651" s="85">
        <v>159.74</v>
      </c>
      <c r="Q651" s="85">
        <v>5581.2</v>
      </c>
      <c r="R651" s="82" t="s">
        <v>3399</v>
      </c>
      <c r="S651" s="7">
        <f t="shared" si="31"/>
        <v>0</v>
      </c>
      <c r="T651" s="6">
        <f t="shared" si="32"/>
        <v>0</v>
      </c>
      <c r="U651" s="25">
        <f t="shared" si="30"/>
        <v>0</v>
      </c>
    </row>
    <row r="652" spans="1:21" ht="10.9" customHeight="1" x14ac:dyDescent="0.2">
      <c r="A652" s="82" t="s">
        <v>2567</v>
      </c>
      <c r="B652" s="83">
        <v>45742</v>
      </c>
      <c r="C652" s="82" t="s">
        <v>3395</v>
      </c>
      <c r="D652" s="82" t="s">
        <v>1752</v>
      </c>
      <c r="E652" s="82"/>
      <c r="F652" s="82" t="s">
        <v>4685</v>
      </c>
      <c r="G652" s="89">
        <v>1</v>
      </c>
      <c r="H652" s="89">
        <v>1180.7</v>
      </c>
      <c r="I652" s="85">
        <v>0</v>
      </c>
      <c r="J652" s="85">
        <v>59.04</v>
      </c>
      <c r="K652" s="85">
        <v>1239.74</v>
      </c>
      <c r="L652" s="85">
        <v>5581.2</v>
      </c>
      <c r="M652" s="89">
        <v>1180.7</v>
      </c>
      <c r="N652" s="85">
        <v>0</v>
      </c>
      <c r="O652" s="85">
        <v>59.04</v>
      </c>
      <c r="P652" s="85">
        <v>1239.74</v>
      </c>
      <c r="Q652" s="85">
        <v>5581.2</v>
      </c>
      <c r="R652" s="82" t="s">
        <v>3399</v>
      </c>
      <c r="S652" s="7">
        <f t="shared" si="31"/>
        <v>0</v>
      </c>
      <c r="T652" s="6">
        <f t="shared" si="32"/>
        <v>0</v>
      </c>
      <c r="U652" s="25">
        <f t="shared" si="30"/>
        <v>0</v>
      </c>
    </row>
    <row r="653" spans="1:21" ht="10.9" customHeight="1" x14ac:dyDescent="0.2">
      <c r="A653" s="82" t="s">
        <v>2584</v>
      </c>
      <c r="B653" s="83">
        <v>45744</v>
      </c>
      <c r="C653" s="82" t="s">
        <v>3395</v>
      </c>
      <c r="D653" s="82" t="s">
        <v>1723</v>
      </c>
      <c r="E653" s="82"/>
      <c r="F653" s="82" t="s">
        <v>4414</v>
      </c>
      <c r="G653" s="89">
        <v>2</v>
      </c>
      <c r="H653" s="89">
        <v>1549.78</v>
      </c>
      <c r="I653" s="85">
        <v>0</v>
      </c>
      <c r="J653" s="85">
        <v>154.97999999999999</v>
      </c>
      <c r="K653" s="85">
        <v>3254.54</v>
      </c>
      <c r="L653" s="85">
        <v>3254.54</v>
      </c>
      <c r="M653" s="89">
        <v>1549.78</v>
      </c>
      <c r="N653" s="85">
        <v>0</v>
      </c>
      <c r="O653" s="85">
        <v>154.97999999999999</v>
      </c>
      <c r="P653" s="85">
        <v>3254.54</v>
      </c>
      <c r="Q653" s="85">
        <v>3254.54</v>
      </c>
      <c r="R653" s="82" t="s">
        <v>3399</v>
      </c>
      <c r="S653" s="7">
        <f t="shared" si="31"/>
        <v>0</v>
      </c>
      <c r="T653" s="6">
        <f t="shared" si="32"/>
        <v>0</v>
      </c>
      <c r="U653" s="25">
        <f t="shared" si="30"/>
        <v>0</v>
      </c>
    </row>
    <row r="654" spans="1:21" ht="10.9" customHeight="1" x14ac:dyDescent="0.2">
      <c r="A654" s="82" t="s">
        <v>2587</v>
      </c>
      <c r="B654" s="83">
        <v>45744</v>
      </c>
      <c r="C654" s="82" t="s">
        <v>3395</v>
      </c>
      <c r="D654" s="82" t="s">
        <v>1717</v>
      </c>
      <c r="E654" s="82"/>
      <c r="F654" s="82" t="s">
        <v>5037</v>
      </c>
      <c r="G654" s="89">
        <v>1</v>
      </c>
      <c r="H654" s="89">
        <v>711.25</v>
      </c>
      <c r="I654" s="85">
        <v>0</v>
      </c>
      <c r="J654" s="85">
        <v>35.56</v>
      </c>
      <c r="K654" s="85">
        <v>746.81</v>
      </c>
      <c r="L654" s="85">
        <v>2102.94</v>
      </c>
      <c r="M654" s="89">
        <v>711.25</v>
      </c>
      <c r="N654" s="85">
        <v>0</v>
      </c>
      <c r="O654" s="85">
        <v>35.56</v>
      </c>
      <c r="P654" s="85">
        <v>746.81</v>
      </c>
      <c r="Q654" s="85">
        <v>2102.94</v>
      </c>
      <c r="R654" s="82" t="s">
        <v>3399</v>
      </c>
      <c r="S654" s="7">
        <f t="shared" si="31"/>
        <v>0</v>
      </c>
      <c r="T654" s="6">
        <f t="shared" si="32"/>
        <v>0</v>
      </c>
      <c r="U654" s="25">
        <f t="shared" si="30"/>
        <v>0</v>
      </c>
    </row>
    <row r="655" spans="1:21" ht="10.9" customHeight="1" x14ac:dyDescent="0.2">
      <c r="A655" s="82" t="s">
        <v>2587</v>
      </c>
      <c r="B655" s="83">
        <v>45744</v>
      </c>
      <c r="C655" s="82" t="s">
        <v>3395</v>
      </c>
      <c r="D655" s="82" t="s">
        <v>1717</v>
      </c>
      <c r="E655" s="82"/>
      <c r="F655" s="82" t="s">
        <v>4893</v>
      </c>
      <c r="G655" s="89">
        <v>2</v>
      </c>
      <c r="H655" s="89">
        <v>459.22</v>
      </c>
      <c r="I655" s="85">
        <v>0</v>
      </c>
      <c r="J655" s="85">
        <v>45.92</v>
      </c>
      <c r="K655" s="85">
        <v>964.36</v>
      </c>
      <c r="L655" s="85">
        <v>2102.94</v>
      </c>
      <c r="M655" s="89">
        <v>459.22</v>
      </c>
      <c r="N655" s="85">
        <v>0</v>
      </c>
      <c r="O655" s="85">
        <v>45.92</v>
      </c>
      <c r="P655" s="85">
        <v>964.36</v>
      </c>
      <c r="Q655" s="85">
        <v>2102.94</v>
      </c>
      <c r="R655" s="82" t="s">
        <v>3399</v>
      </c>
      <c r="S655" s="7">
        <f t="shared" si="31"/>
        <v>0</v>
      </c>
      <c r="T655" s="6">
        <f t="shared" si="32"/>
        <v>0</v>
      </c>
      <c r="U655" s="25">
        <f t="shared" si="30"/>
        <v>0</v>
      </c>
    </row>
    <row r="656" spans="1:21" ht="10.9" customHeight="1" x14ac:dyDescent="0.2">
      <c r="A656" s="82" t="s">
        <v>2587</v>
      </c>
      <c r="B656" s="83">
        <v>45744</v>
      </c>
      <c r="C656" s="82" t="s">
        <v>3395</v>
      </c>
      <c r="D656" s="82" t="s">
        <v>1717</v>
      </c>
      <c r="E656" s="82"/>
      <c r="F656" s="82" t="s">
        <v>4736</v>
      </c>
      <c r="G656" s="89">
        <v>1</v>
      </c>
      <c r="H656" s="89">
        <v>373.11</v>
      </c>
      <c r="I656" s="85">
        <v>0</v>
      </c>
      <c r="J656" s="85">
        <v>18.66</v>
      </c>
      <c r="K656" s="85">
        <v>391.77</v>
      </c>
      <c r="L656" s="85">
        <v>2102.94</v>
      </c>
      <c r="M656" s="89">
        <v>373.11</v>
      </c>
      <c r="N656" s="85">
        <v>0</v>
      </c>
      <c r="O656" s="85">
        <v>18.66</v>
      </c>
      <c r="P656" s="85">
        <v>391.77</v>
      </c>
      <c r="Q656" s="85">
        <v>2102.94</v>
      </c>
      <c r="R656" s="82" t="s">
        <v>3399</v>
      </c>
      <c r="S656" s="7">
        <f t="shared" si="31"/>
        <v>0</v>
      </c>
      <c r="T656" s="6">
        <f t="shared" si="32"/>
        <v>0</v>
      </c>
      <c r="U656" s="25">
        <f t="shared" si="30"/>
        <v>0</v>
      </c>
    </row>
    <row r="657" spans="1:21" ht="10.9" customHeight="1" x14ac:dyDescent="0.2">
      <c r="A657" s="82" t="s">
        <v>2581</v>
      </c>
      <c r="B657" s="83">
        <v>45744</v>
      </c>
      <c r="C657" s="82" t="s">
        <v>3395</v>
      </c>
      <c r="D657" s="82" t="s">
        <v>1729</v>
      </c>
      <c r="E657" s="82"/>
      <c r="F657" s="82" t="s">
        <v>4685</v>
      </c>
      <c r="G657" s="89">
        <v>3</v>
      </c>
      <c r="H657" s="89">
        <v>1065.98</v>
      </c>
      <c r="I657" s="85">
        <v>0</v>
      </c>
      <c r="J657" s="85">
        <v>415.73</v>
      </c>
      <c r="K657" s="85">
        <v>3613.67</v>
      </c>
      <c r="L657" s="85">
        <v>3613.67</v>
      </c>
      <c r="M657" s="89">
        <v>1065.98</v>
      </c>
      <c r="N657" s="85">
        <v>0</v>
      </c>
      <c r="O657" s="85">
        <v>415.73</v>
      </c>
      <c r="P657" s="85">
        <v>3613.67</v>
      </c>
      <c r="Q657" s="85">
        <v>3613.67</v>
      </c>
      <c r="R657" s="82" t="s">
        <v>3399</v>
      </c>
      <c r="S657" s="7">
        <f t="shared" si="31"/>
        <v>0</v>
      </c>
      <c r="T657" s="6">
        <f t="shared" si="32"/>
        <v>0</v>
      </c>
      <c r="U657" s="25">
        <f t="shared" si="30"/>
        <v>0</v>
      </c>
    </row>
    <row r="658" spans="1:21" ht="10.9" customHeight="1" x14ac:dyDescent="0.2">
      <c r="A658" s="82" t="s">
        <v>2483</v>
      </c>
      <c r="B658" s="83">
        <v>45744</v>
      </c>
      <c r="C658" s="82" t="s">
        <v>3395</v>
      </c>
      <c r="D658" s="82" t="s">
        <v>1896</v>
      </c>
      <c r="E658" s="82"/>
      <c r="F658" s="82" t="s">
        <v>4670</v>
      </c>
      <c r="G658" s="89">
        <v>1</v>
      </c>
      <c r="H658" s="89">
        <v>139.44</v>
      </c>
      <c r="I658" s="85">
        <v>0</v>
      </c>
      <c r="J658" s="85">
        <v>18.13</v>
      </c>
      <c r="K658" s="85">
        <v>157.57</v>
      </c>
      <c r="L658" s="85">
        <v>334.54</v>
      </c>
      <c r="M658" s="89">
        <v>139.44</v>
      </c>
      <c r="N658" s="85">
        <v>0</v>
      </c>
      <c r="O658" s="85">
        <v>18.13</v>
      </c>
      <c r="P658" s="85">
        <v>157.57</v>
      </c>
      <c r="Q658" s="85">
        <v>334.54</v>
      </c>
      <c r="R658" s="82" t="s">
        <v>3399</v>
      </c>
      <c r="S658" s="7">
        <f t="shared" si="31"/>
        <v>0</v>
      </c>
      <c r="T658" s="6">
        <f t="shared" si="32"/>
        <v>0</v>
      </c>
      <c r="U658" s="25">
        <f t="shared" si="30"/>
        <v>0</v>
      </c>
    </row>
    <row r="659" spans="1:21" ht="10.9" customHeight="1" x14ac:dyDescent="0.2">
      <c r="A659" s="82" t="s">
        <v>2483</v>
      </c>
      <c r="B659" s="83">
        <v>45744</v>
      </c>
      <c r="C659" s="82" t="s">
        <v>3395</v>
      </c>
      <c r="D659" s="82" t="s">
        <v>1896</v>
      </c>
      <c r="E659" s="82"/>
      <c r="F659" s="82" t="s">
        <v>4426</v>
      </c>
      <c r="G659" s="89">
        <v>1</v>
      </c>
      <c r="H659" s="89">
        <v>156.61000000000001</v>
      </c>
      <c r="I659" s="85">
        <v>0</v>
      </c>
      <c r="J659" s="85">
        <v>20.36</v>
      </c>
      <c r="K659" s="85">
        <v>176.97</v>
      </c>
      <c r="L659" s="85">
        <v>334.54</v>
      </c>
      <c r="M659" s="89">
        <v>156.61000000000001</v>
      </c>
      <c r="N659" s="85">
        <v>0</v>
      </c>
      <c r="O659" s="85">
        <v>20.36</v>
      </c>
      <c r="P659" s="85">
        <v>176.97</v>
      </c>
      <c r="Q659" s="85">
        <v>334.54</v>
      </c>
      <c r="R659" s="82" t="s">
        <v>3399</v>
      </c>
      <c r="S659" s="7">
        <f t="shared" si="31"/>
        <v>0</v>
      </c>
      <c r="T659" s="6">
        <f t="shared" si="32"/>
        <v>0</v>
      </c>
      <c r="U659" s="25">
        <f t="shared" si="30"/>
        <v>0</v>
      </c>
    </row>
    <row r="660" spans="1:21" ht="10.9" customHeight="1" x14ac:dyDescent="0.2">
      <c r="A660" s="82" t="s">
        <v>2500</v>
      </c>
      <c r="B660" s="83">
        <v>45744</v>
      </c>
      <c r="C660" s="82" t="s">
        <v>3395</v>
      </c>
      <c r="D660" s="82" t="s">
        <v>1864</v>
      </c>
      <c r="E660" s="82"/>
      <c r="F660" s="82" t="s">
        <v>4685</v>
      </c>
      <c r="G660" s="89">
        <v>1</v>
      </c>
      <c r="H660" s="89">
        <v>1078.1099999999999</v>
      </c>
      <c r="I660" s="85">
        <v>0</v>
      </c>
      <c r="J660" s="85">
        <v>140.15</v>
      </c>
      <c r="K660" s="85">
        <v>1218.26</v>
      </c>
      <c r="L660" s="85">
        <v>2457.98</v>
      </c>
      <c r="M660" s="89">
        <v>1078.1099999999999</v>
      </c>
      <c r="N660" s="85">
        <v>0</v>
      </c>
      <c r="O660" s="85">
        <v>140.15</v>
      </c>
      <c r="P660" s="85">
        <v>1218.26</v>
      </c>
      <c r="Q660" s="85">
        <v>2457.98</v>
      </c>
      <c r="R660" s="82" t="s">
        <v>3399</v>
      </c>
      <c r="S660" s="7">
        <f t="shared" si="31"/>
        <v>0</v>
      </c>
      <c r="T660" s="6">
        <f t="shared" si="32"/>
        <v>0</v>
      </c>
      <c r="U660" s="25">
        <f t="shared" si="30"/>
        <v>0</v>
      </c>
    </row>
    <row r="661" spans="1:21" ht="10.9" customHeight="1" x14ac:dyDescent="0.2">
      <c r="A661" s="82" t="s">
        <v>2500</v>
      </c>
      <c r="B661" s="83">
        <v>45744</v>
      </c>
      <c r="C661" s="82" t="s">
        <v>3395</v>
      </c>
      <c r="D661" s="82" t="s">
        <v>1864</v>
      </c>
      <c r="E661" s="82"/>
      <c r="F661" s="82" t="s">
        <v>4425</v>
      </c>
      <c r="G661" s="89">
        <v>1</v>
      </c>
      <c r="H661" s="89">
        <v>1097.0999999999999</v>
      </c>
      <c r="I661" s="85">
        <v>0</v>
      </c>
      <c r="J661" s="85">
        <v>142.62</v>
      </c>
      <c r="K661" s="85">
        <v>1239.72</v>
      </c>
      <c r="L661" s="85">
        <v>2457.98</v>
      </c>
      <c r="M661" s="89">
        <v>1097.0999999999999</v>
      </c>
      <c r="N661" s="85">
        <v>0</v>
      </c>
      <c r="O661" s="85">
        <v>142.62</v>
      </c>
      <c r="P661" s="85">
        <v>1239.72</v>
      </c>
      <c r="Q661" s="85">
        <v>2457.98</v>
      </c>
      <c r="R661" s="82" t="s">
        <v>3399</v>
      </c>
      <c r="S661" s="7">
        <f t="shared" si="31"/>
        <v>0</v>
      </c>
      <c r="T661" s="6">
        <f t="shared" si="32"/>
        <v>0</v>
      </c>
      <c r="U661" s="25">
        <f t="shared" si="30"/>
        <v>0</v>
      </c>
    </row>
    <row r="662" spans="1:21" ht="10.9" customHeight="1" x14ac:dyDescent="0.2">
      <c r="A662" s="82" t="s">
        <v>2500</v>
      </c>
      <c r="B662" s="83">
        <v>45744</v>
      </c>
      <c r="C662" s="82" t="s">
        <v>3395</v>
      </c>
      <c r="D662" s="82" t="s">
        <v>1864</v>
      </c>
      <c r="E662" s="82"/>
      <c r="F662" s="82" t="s">
        <v>4806</v>
      </c>
      <c r="G662" s="89">
        <v>1</v>
      </c>
      <c r="H662" s="89">
        <v>40</v>
      </c>
      <c r="I662" s="85">
        <v>40</v>
      </c>
      <c r="J662" s="85">
        <v>0</v>
      </c>
      <c r="K662" s="85">
        <v>0</v>
      </c>
      <c r="L662" s="85">
        <v>2457.98</v>
      </c>
      <c r="M662" s="89">
        <v>40</v>
      </c>
      <c r="N662" s="85">
        <v>40</v>
      </c>
      <c r="O662" s="85">
        <v>0</v>
      </c>
      <c r="P662" s="85">
        <v>0</v>
      </c>
      <c r="Q662" s="85">
        <v>2457.98</v>
      </c>
      <c r="R662" s="82" t="s">
        <v>3399</v>
      </c>
      <c r="S662" s="7">
        <f t="shared" si="31"/>
        <v>0</v>
      </c>
      <c r="T662" s="6">
        <f t="shared" si="32"/>
        <v>0</v>
      </c>
      <c r="U662" s="25">
        <f t="shared" si="30"/>
        <v>0</v>
      </c>
    </row>
    <row r="663" spans="1:21" ht="10.9" customHeight="1" x14ac:dyDescent="0.2">
      <c r="A663" s="82" t="s">
        <v>2537</v>
      </c>
      <c r="B663" s="83">
        <v>45744</v>
      </c>
      <c r="C663" s="82" t="s">
        <v>3395</v>
      </c>
      <c r="D663" s="82" t="s">
        <v>1805</v>
      </c>
      <c r="E663" s="82"/>
      <c r="F663" s="82" t="s">
        <v>5594</v>
      </c>
      <c r="G663" s="89">
        <v>1</v>
      </c>
      <c r="H663" s="89">
        <v>316.93</v>
      </c>
      <c r="I663" s="85">
        <v>0</v>
      </c>
      <c r="J663" s="85">
        <v>41.2</v>
      </c>
      <c r="K663" s="85">
        <v>358.13</v>
      </c>
      <c r="L663" s="85">
        <v>5279.42</v>
      </c>
      <c r="M663" s="89">
        <v>316.93</v>
      </c>
      <c r="N663" s="85">
        <v>0</v>
      </c>
      <c r="O663" s="85">
        <v>41.2</v>
      </c>
      <c r="P663" s="85">
        <v>358.13</v>
      </c>
      <c r="Q663" s="85">
        <v>5279.42</v>
      </c>
      <c r="R663" s="82" t="s">
        <v>3399</v>
      </c>
      <c r="S663" s="7">
        <f t="shared" si="31"/>
        <v>0</v>
      </c>
      <c r="T663" s="6">
        <f t="shared" si="32"/>
        <v>0</v>
      </c>
      <c r="U663" s="25">
        <f t="shared" si="30"/>
        <v>0</v>
      </c>
    </row>
    <row r="664" spans="1:21" ht="10.9" customHeight="1" x14ac:dyDescent="0.2">
      <c r="A664" s="82" t="s">
        <v>2537</v>
      </c>
      <c r="B664" s="83">
        <v>45744</v>
      </c>
      <c r="C664" s="82" t="s">
        <v>3395</v>
      </c>
      <c r="D664" s="82" t="s">
        <v>1805</v>
      </c>
      <c r="E664" s="82"/>
      <c r="F664" s="82" t="s">
        <v>4843</v>
      </c>
      <c r="G664" s="89">
        <v>4</v>
      </c>
      <c r="H664" s="89">
        <v>1088.78</v>
      </c>
      <c r="I664" s="85">
        <v>0</v>
      </c>
      <c r="J664" s="85">
        <v>566.16999999999996</v>
      </c>
      <c r="K664" s="85">
        <v>4921.29</v>
      </c>
      <c r="L664" s="85">
        <v>5279.42</v>
      </c>
      <c r="M664" s="89">
        <v>1088.78</v>
      </c>
      <c r="N664" s="85">
        <v>0</v>
      </c>
      <c r="O664" s="85">
        <v>566.16999999999996</v>
      </c>
      <c r="P664" s="85">
        <v>4921.29</v>
      </c>
      <c r="Q664" s="85">
        <v>5279.42</v>
      </c>
      <c r="R664" s="82" t="s">
        <v>3399</v>
      </c>
      <c r="S664" s="7">
        <f t="shared" si="31"/>
        <v>0</v>
      </c>
      <c r="T664" s="6">
        <f t="shared" si="32"/>
        <v>0</v>
      </c>
      <c r="U664" s="25">
        <f t="shared" si="30"/>
        <v>0</v>
      </c>
    </row>
    <row r="665" spans="1:21" ht="10.9" customHeight="1" x14ac:dyDescent="0.2">
      <c r="A665" s="82" t="s">
        <v>2565</v>
      </c>
      <c r="B665" s="83">
        <v>45744</v>
      </c>
      <c r="C665" s="82" t="s">
        <v>3395</v>
      </c>
      <c r="D665" s="82" t="s">
        <v>1756</v>
      </c>
      <c r="E665" s="82"/>
      <c r="F665" s="82" t="s">
        <v>4495</v>
      </c>
      <c r="G665" s="89">
        <v>1</v>
      </c>
      <c r="H665" s="89">
        <v>211.1</v>
      </c>
      <c r="I665" s="85">
        <v>0</v>
      </c>
      <c r="J665" s="85">
        <v>27.44</v>
      </c>
      <c r="K665" s="85">
        <v>238.54</v>
      </c>
      <c r="L665" s="85">
        <v>238.54</v>
      </c>
      <c r="M665" s="89">
        <v>211.1</v>
      </c>
      <c r="N665" s="85">
        <v>0</v>
      </c>
      <c r="O665" s="85">
        <v>27.44</v>
      </c>
      <c r="P665" s="85">
        <v>238.54</v>
      </c>
      <c r="Q665" s="85">
        <v>238.54</v>
      </c>
      <c r="R665" s="82" t="s">
        <v>3399</v>
      </c>
      <c r="S665" s="7">
        <f t="shared" si="31"/>
        <v>0</v>
      </c>
      <c r="T665" s="6">
        <f t="shared" si="32"/>
        <v>0</v>
      </c>
      <c r="U665" s="25">
        <f t="shared" si="30"/>
        <v>0</v>
      </c>
    </row>
    <row r="666" spans="1:21" ht="10.9" customHeight="1" x14ac:dyDescent="0.2">
      <c r="A666" s="82" t="s">
        <v>2549</v>
      </c>
      <c r="B666" s="83">
        <v>45744</v>
      </c>
      <c r="C666" s="82" t="s">
        <v>3395</v>
      </c>
      <c r="D666" s="82" t="s">
        <v>1784</v>
      </c>
      <c r="E666" s="82"/>
      <c r="F666" s="82" t="s">
        <v>5205</v>
      </c>
      <c r="G666" s="89">
        <v>1</v>
      </c>
      <c r="H666" s="89">
        <v>130.31</v>
      </c>
      <c r="I666" s="85">
        <v>0</v>
      </c>
      <c r="J666" s="85">
        <v>16.940000000000001</v>
      </c>
      <c r="K666" s="85">
        <v>147.25</v>
      </c>
      <c r="L666" s="85">
        <v>3183.04</v>
      </c>
      <c r="M666" s="89">
        <v>130.31</v>
      </c>
      <c r="N666" s="85">
        <v>0</v>
      </c>
      <c r="O666" s="85">
        <v>16.940000000000001</v>
      </c>
      <c r="P666" s="85">
        <v>147.25</v>
      </c>
      <c r="Q666" s="85">
        <v>3183.04</v>
      </c>
      <c r="R666" s="82" t="s">
        <v>3399</v>
      </c>
      <c r="S666" s="7">
        <f t="shared" si="31"/>
        <v>0</v>
      </c>
      <c r="T666" s="6">
        <f t="shared" si="32"/>
        <v>0</v>
      </c>
      <c r="U666" s="25">
        <f t="shared" si="30"/>
        <v>0</v>
      </c>
    </row>
    <row r="667" spans="1:21" ht="10.9" customHeight="1" x14ac:dyDescent="0.2">
      <c r="A667" s="82" t="s">
        <v>2549</v>
      </c>
      <c r="B667" s="83">
        <v>45744</v>
      </c>
      <c r="C667" s="82" t="s">
        <v>3395</v>
      </c>
      <c r="D667" s="82" t="s">
        <v>1784</v>
      </c>
      <c r="E667" s="82"/>
      <c r="F667" s="82" t="s">
        <v>4444</v>
      </c>
      <c r="G667" s="89">
        <v>1</v>
      </c>
      <c r="H667" s="89">
        <v>2686.54</v>
      </c>
      <c r="I667" s="85">
        <v>0</v>
      </c>
      <c r="J667" s="85">
        <v>349.25</v>
      </c>
      <c r="K667" s="85">
        <v>3035.79</v>
      </c>
      <c r="L667" s="85">
        <v>3183.04</v>
      </c>
      <c r="M667" s="89">
        <v>2686.54</v>
      </c>
      <c r="N667" s="85">
        <v>0</v>
      </c>
      <c r="O667" s="85">
        <v>349.25</v>
      </c>
      <c r="P667" s="85">
        <v>3035.79</v>
      </c>
      <c r="Q667" s="85">
        <v>3183.04</v>
      </c>
      <c r="R667" s="82" t="s">
        <v>3399</v>
      </c>
      <c r="S667" s="7">
        <f t="shared" si="31"/>
        <v>0</v>
      </c>
      <c r="T667" s="6">
        <f t="shared" si="32"/>
        <v>0</v>
      </c>
      <c r="U667" s="25">
        <f t="shared" si="30"/>
        <v>0</v>
      </c>
    </row>
    <row r="668" spans="1:21" ht="10.9" customHeight="1" x14ac:dyDescent="0.2">
      <c r="A668" s="82" t="s">
        <v>2596</v>
      </c>
      <c r="B668" s="83">
        <v>45744</v>
      </c>
      <c r="C668" s="82" t="s">
        <v>3395</v>
      </c>
      <c r="D668" s="82" t="s">
        <v>1702</v>
      </c>
      <c r="E668" s="82"/>
      <c r="F668" s="82" t="s">
        <v>4755</v>
      </c>
      <c r="G668" s="89">
        <v>12</v>
      </c>
      <c r="H668" s="89">
        <v>22.02</v>
      </c>
      <c r="I668" s="85">
        <v>0</v>
      </c>
      <c r="J668" s="85">
        <v>13.21</v>
      </c>
      <c r="K668" s="85">
        <v>277.45</v>
      </c>
      <c r="L668" s="85">
        <v>277.45</v>
      </c>
      <c r="M668" s="89">
        <v>22.02</v>
      </c>
      <c r="N668" s="85">
        <v>0</v>
      </c>
      <c r="O668" s="85">
        <v>13.21</v>
      </c>
      <c r="P668" s="85">
        <v>277.45</v>
      </c>
      <c r="Q668" s="85">
        <v>277.45</v>
      </c>
      <c r="R668" s="82" t="s">
        <v>3399</v>
      </c>
      <c r="S668" s="7">
        <f t="shared" si="31"/>
        <v>0</v>
      </c>
      <c r="T668" s="6">
        <f t="shared" si="32"/>
        <v>0</v>
      </c>
      <c r="U668" s="25">
        <f t="shared" si="30"/>
        <v>0</v>
      </c>
    </row>
    <row r="669" spans="1:21" ht="10.9" customHeight="1" x14ac:dyDescent="0.2">
      <c r="A669" s="82" t="s">
        <v>2595</v>
      </c>
      <c r="B669" s="83">
        <v>45744</v>
      </c>
      <c r="C669" s="82" t="s">
        <v>3395</v>
      </c>
      <c r="D669" s="82" t="s">
        <v>1704</v>
      </c>
      <c r="E669" s="82"/>
      <c r="F669" s="82" t="s">
        <v>4558</v>
      </c>
      <c r="G669" s="89">
        <v>2</v>
      </c>
      <c r="H669" s="89">
        <v>273.11</v>
      </c>
      <c r="I669" s="85">
        <v>0</v>
      </c>
      <c r="J669" s="85">
        <v>71.010000000000005</v>
      </c>
      <c r="K669" s="85">
        <v>617.23</v>
      </c>
      <c r="L669" s="85">
        <v>617.23</v>
      </c>
      <c r="M669" s="89">
        <v>273.11</v>
      </c>
      <c r="N669" s="85">
        <v>0</v>
      </c>
      <c r="O669" s="85">
        <v>71.010000000000005</v>
      </c>
      <c r="P669" s="85">
        <v>617.23</v>
      </c>
      <c r="Q669" s="85">
        <v>617.23</v>
      </c>
      <c r="R669" s="82" t="s">
        <v>3399</v>
      </c>
      <c r="S669" s="7">
        <f t="shared" si="31"/>
        <v>0</v>
      </c>
      <c r="T669" s="6">
        <f t="shared" si="32"/>
        <v>0</v>
      </c>
      <c r="U669" s="25">
        <f t="shared" si="30"/>
        <v>0</v>
      </c>
    </row>
    <row r="670" spans="1:21" ht="10.9" customHeight="1" x14ac:dyDescent="0.2">
      <c r="A670" s="82" t="s">
        <v>3600</v>
      </c>
      <c r="B670" s="83">
        <v>45747</v>
      </c>
      <c r="C670" s="82" t="s">
        <v>3395</v>
      </c>
      <c r="D670" s="82" t="s">
        <v>3599</v>
      </c>
      <c r="E670" s="82"/>
      <c r="F670" s="82" t="s">
        <v>5593</v>
      </c>
      <c r="G670" s="89">
        <v>1</v>
      </c>
      <c r="H670" s="89">
        <v>197.02</v>
      </c>
      <c r="I670" s="85">
        <v>0</v>
      </c>
      <c r="J670" s="85">
        <v>0</v>
      </c>
      <c r="K670" s="85">
        <v>197.02</v>
      </c>
      <c r="L670" s="85">
        <v>4365.1499999999996</v>
      </c>
      <c r="M670" s="89">
        <v>283.35603307306536</v>
      </c>
      <c r="N670" s="85">
        <v>0</v>
      </c>
      <c r="O670" s="85">
        <v>0</v>
      </c>
      <c r="P670" s="85">
        <v>283.35603307306536</v>
      </c>
      <c r="Q670" s="85">
        <v>6278.0001409445294</v>
      </c>
      <c r="R670" s="82" t="s">
        <v>3399</v>
      </c>
      <c r="S670" s="7">
        <f t="shared" si="31"/>
        <v>0</v>
      </c>
      <c r="T670" s="6">
        <f t="shared" si="32"/>
        <v>0</v>
      </c>
      <c r="U670" s="25">
        <f t="shared" si="30"/>
        <v>0</v>
      </c>
    </row>
    <row r="671" spans="1:21" ht="10.9" customHeight="1" x14ac:dyDescent="0.2">
      <c r="A671" s="82" t="s">
        <v>3600</v>
      </c>
      <c r="B671" s="83">
        <v>45747</v>
      </c>
      <c r="C671" s="82" t="s">
        <v>3395</v>
      </c>
      <c r="D671" s="82" t="s">
        <v>3599</v>
      </c>
      <c r="E671" s="82"/>
      <c r="F671" s="82" t="s">
        <v>5592</v>
      </c>
      <c r="G671" s="89">
        <v>1</v>
      </c>
      <c r="H671" s="89">
        <v>588.29</v>
      </c>
      <c r="I671" s="85">
        <v>0</v>
      </c>
      <c r="J671" s="85">
        <v>0</v>
      </c>
      <c r="K671" s="85">
        <v>588.29</v>
      </c>
      <c r="L671" s="85">
        <v>4365.1499999999996</v>
      </c>
      <c r="M671" s="89">
        <v>846.08425894098878</v>
      </c>
      <c r="N671" s="85">
        <v>0</v>
      </c>
      <c r="O671" s="85">
        <v>0</v>
      </c>
      <c r="P671" s="85">
        <v>846.08425894098878</v>
      </c>
      <c r="Q671" s="85">
        <v>6278.0001409445294</v>
      </c>
      <c r="R671" s="82" t="s">
        <v>3399</v>
      </c>
      <c r="S671" s="7">
        <f t="shared" si="31"/>
        <v>0</v>
      </c>
      <c r="T671" s="6">
        <f t="shared" si="32"/>
        <v>0</v>
      </c>
      <c r="U671" s="25">
        <f t="shared" si="30"/>
        <v>0</v>
      </c>
    </row>
    <row r="672" spans="1:21" ht="10.9" customHeight="1" x14ac:dyDescent="0.2">
      <c r="A672" s="82" t="s">
        <v>3600</v>
      </c>
      <c r="B672" s="83">
        <v>45747</v>
      </c>
      <c r="C672" s="82" t="s">
        <v>3395</v>
      </c>
      <c r="D672" s="82" t="s">
        <v>3599</v>
      </c>
      <c r="E672" s="82"/>
      <c r="F672" s="82" t="s">
        <v>5591</v>
      </c>
      <c r="G672" s="89">
        <v>1</v>
      </c>
      <c r="H672" s="89">
        <v>197.02</v>
      </c>
      <c r="I672" s="85">
        <v>0</v>
      </c>
      <c r="J672" s="85">
        <v>0</v>
      </c>
      <c r="K672" s="85">
        <v>197.02</v>
      </c>
      <c r="L672" s="85">
        <v>4365.1499999999996</v>
      </c>
      <c r="M672" s="89">
        <v>283.35603307306536</v>
      </c>
      <c r="N672" s="85">
        <v>0</v>
      </c>
      <c r="O672" s="85">
        <v>0</v>
      </c>
      <c r="P672" s="85">
        <v>283.35603307306536</v>
      </c>
      <c r="Q672" s="85">
        <v>6278.0001409445294</v>
      </c>
      <c r="R672" s="82" t="s">
        <v>3399</v>
      </c>
      <c r="S672" s="7">
        <f t="shared" si="31"/>
        <v>0</v>
      </c>
      <c r="T672" s="6">
        <f t="shared" si="32"/>
        <v>0</v>
      </c>
      <c r="U672" s="25">
        <f t="shared" si="30"/>
        <v>0</v>
      </c>
    </row>
    <row r="673" spans="1:21" ht="10.9" customHeight="1" x14ac:dyDescent="0.2">
      <c r="A673" s="82" t="s">
        <v>3600</v>
      </c>
      <c r="B673" s="83">
        <v>45747</v>
      </c>
      <c r="C673" s="82" t="s">
        <v>3395</v>
      </c>
      <c r="D673" s="82" t="s">
        <v>3599</v>
      </c>
      <c r="E673" s="82"/>
      <c r="F673" s="82" t="s">
        <v>5144</v>
      </c>
      <c r="G673" s="89">
        <v>11</v>
      </c>
      <c r="H673" s="89">
        <v>29.92</v>
      </c>
      <c r="I673" s="85">
        <v>0</v>
      </c>
      <c r="J673" s="85">
        <v>0</v>
      </c>
      <c r="K673" s="85">
        <v>329.12</v>
      </c>
      <c r="L673" s="85">
        <v>4365.1499999999996</v>
      </c>
      <c r="M673" s="89">
        <v>43.031227842585096</v>
      </c>
      <c r="N673" s="85">
        <v>0</v>
      </c>
      <c r="O673" s="85">
        <v>0</v>
      </c>
      <c r="P673" s="85">
        <v>473.34350626843604</v>
      </c>
      <c r="Q673" s="85">
        <v>6278.0001409445294</v>
      </c>
      <c r="R673" s="82" t="s">
        <v>3399</v>
      </c>
      <c r="S673" s="7">
        <f t="shared" si="31"/>
        <v>0</v>
      </c>
      <c r="T673" s="6">
        <f t="shared" si="32"/>
        <v>0</v>
      </c>
      <c r="U673" s="25">
        <f t="shared" si="30"/>
        <v>0</v>
      </c>
    </row>
    <row r="674" spans="1:21" ht="10.9" customHeight="1" x14ac:dyDescent="0.2">
      <c r="A674" s="82" t="s">
        <v>3600</v>
      </c>
      <c r="B674" s="83">
        <v>45747</v>
      </c>
      <c r="C674" s="82" t="s">
        <v>3395</v>
      </c>
      <c r="D674" s="82" t="s">
        <v>3599</v>
      </c>
      <c r="E674" s="82"/>
      <c r="F674" s="82" t="s">
        <v>5590</v>
      </c>
      <c r="G674" s="89">
        <v>1</v>
      </c>
      <c r="H674" s="89">
        <v>1109.6300000000001</v>
      </c>
      <c r="I674" s="85">
        <v>0</v>
      </c>
      <c r="J674" s="85">
        <v>0</v>
      </c>
      <c r="K674" s="85">
        <v>1109.6300000000001</v>
      </c>
      <c r="L674" s="85">
        <v>4365.1499999999996</v>
      </c>
      <c r="M674" s="89">
        <v>1595.8803927462466</v>
      </c>
      <c r="N674" s="85">
        <v>0</v>
      </c>
      <c r="O674" s="85">
        <v>0</v>
      </c>
      <c r="P674" s="85">
        <v>1595.8803927462466</v>
      </c>
      <c r="Q674" s="85">
        <v>6278.0001409445294</v>
      </c>
      <c r="R674" s="82" t="s">
        <v>3399</v>
      </c>
      <c r="S674" s="7">
        <f t="shared" si="31"/>
        <v>0</v>
      </c>
      <c r="T674" s="6">
        <f t="shared" si="32"/>
        <v>0</v>
      </c>
      <c r="U674" s="25">
        <f t="shared" si="30"/>
        <v>0</v>
      </c>
    </row>
    <row r="675" spans="1:21" ht="10.9" customHeight="1" x14ac:dyDescent="0.2">
      <c r="A675" s="82" t="s">
        <v>3600</v>
      </c>
      <c r="B675" s="83">
        <v>45747</v>
      </c>
      <c r="C675" s="82" t="s">
        <v>3395</v>
      </c>
      <c r="D675" s="82" t="s">
        <v>3599</v>
      </c>
      <c r="E675" s="82"/>
      <c r="F675" s="82" t="s">
        <v>5589</v>
      </c>
      <c r="G675" s="89">
        <v>1</v>
      </c>
      <c r="H675" s="89">
        <v>1178.0999999999999</v>
      </c>
      <c r="I675" s="85">
        <v>0</v>
      </c>
      <c r="J675" s="85">
        <v>0</v>
      </c>
      <c r="K675" s="85">
        <v>1178.0999999999999</v>
      </c>
      <c r="L675" s="85">
        <v>4365.1499999999996</v>
      </c>
      <c r="M675" s="89">
        <v>1694.3545963017882</v>
      </c>
      <c r="N675" s="85">
        <v>0</v>
      </c>
      <c r="O675" s="85">
        <v>0</v>
      </c>
      <c r="P675" s="85">
        <v>1694.3545963017882</v>
      </c>
      <c r="Q675" s="85">
        <v>6278.0001409445294</v>
      </c>
      <c r="R675" s="82" t="s">
        <v>3399</v>
      </c>
      <c r="S675" s="7">
        <f t="shared" si="31"/>
        <v>0</v>
      </c>
      <c r="T675" s="6">
        <f t="shared" si="32"/>
        <v>0</v>
      </c>
      <c r="U675" s="25">
        <f t="shared" si="30"/>
        <v>0</v>
      </c>
    </row>
    <row r="676" spans="1:21" ht="10.9" customHeight="1" x14ac:dyDescent="0.2">
      <c r="A676" s="82" t="s">
        <v>3600</v>
      </c>
      <c r="B676" s="83">
        <v>45747</v>
      </c>
      <c r="C676" s="82" t="s">
        <v>3395</v>
      </c>
      <c r="D676" s="82" t="s">
        <v>3599</v>
      </c>
      <c r="E676" s="82"/>
      <c r="F676" s="82" t="s">
        <v>4799</v>
      </c>
      <c r="G676" s="89">
        <v>3</v>
      </c>
      <c r="H676" s="89">
        <v>26.73</v>
      </c>
      <c r="I676" s="85">
        <v>0</v>
      </c>
      <c r="J676" s="85">
        <v>0</v>
      </c>
      <c r="K676" s="85">
        <v>80.19</v>
      </c>
      <c r="L676" s="85">
        <v>4365.1499999999996</v>
      </c>
      <c r="M676" s="89">
        <v>38.443339579956536</v>
      </c>
      <c r="N676" s="85">
        <v>0</v>
      </c>
      <c r="O676" s="85">
        <v>0</v>
      </c>
      <c r="P676" s="85">
        <v>115.33001873986962</v>
      </c>
      <c r="Q676" s="85">
        <v>6278.0001409445294</v>
      </c>
      <c r="R676" s="82" t="s">
        <v>3399</v>
      </c>
      <c r="S676" s="7">
        <f t="shared" si="31"/>
        <v>0</v>
      </c>
      <c r="T676" s="6">
        <f t="shared" si="32"/>
        <v>0</v>
      </c>
      <c r="U676" s="25">
        <f t="shared" si="30"/>
        <v>0</v>
      </c>
    </row>
    <row r="677" spans="1:21" ht="10.9" customHeight="1" x14ac:dyDescent="0.2">
      <c r="A677" s="82" t="s">
        <v>3600</v>
      </c>
      <c r="B677" s="83">
        <v>45747</v>
      </c>
      <c r="C677" s="82" t="s">
        <v>3395</v>
      </c>
      <c r="D677" s="82" t="s">
        <v>3599</v>
      </c>
      <c r="E677" s="82"/>
      <c r="F677" s="82" t="s">
        <v>5588</v>
      </c>
      <c r="G677" s="89">
        <v>1</v>
      </c>
      <c r="H677" s="89">
        <v>685.78</v>
      </c>
      <c r="I677" s="85">
        <v>0</v>
      </c>
      <c r="J677" s="85">
        <v>0</v>
      </c>
      <c r="K677" s="85">
        <v>685.78</v>
      </c>
      <c r="L677" s="85">
        <v>4365.1499999999996</v>
      </c>
      <c r="M677" s="89">
        <v>986.29530180106974</v>
      </c>
      <c r="N677" s="85">
        <v>0</v>
      </c>
      <c r="O677" s="85">
        <v>0</v>
      </c>
      <c r="P677" s="85">
        <v>986.29530180106974</v>
      </c>
      <c r="Q677" s="85">
        <v>6278.0001409445294</v>
      </c>
      <c r="R677" s="82" t="s">
        <v>3399</v>
      </c>
      <c r="S677" s="7">
        <f t="shared" si="31"/>
        <v>0</v>
      </c>
      <c r="T677" s="6">
        <f t="shared" si="32"/>
        <v>0</v>
      </c>
      <c r="U677" s="25">
        <f t="shared" si="30"/>
        <v>0</v>
      </c>
    </row>
    <row r="678" spans="1:21" ht="10.9" customHeight="1" x14ac:dyDescent="0.2">
      <c r="A678" s="82" t="s">
        <v>2579</v>
      </c>
      <c r="B678" s="83">
        <v>45747</v>
      </c>
      <c r="C678" s="82" t="s">
        <v>3395</v>
      </c>
      <c r="D678" s="82" t="s">
        <v>1733</v>
      </c>
      <c r="E678" s="82"/>
      <c r="F678" s="82" t="s">
        <v>5587</v>
      </c>
      <c r="G678" s="89">
        <v>1</v>
      </c>
      <c r="H678" s="89">
        <v>275</v>
      </c>
      <c r="I678" s="85">
        <v>0</v>
      </c>
      <c r="J678" s="85">
        <v>0</v>
      </c>
      <c r="K678" s="85">
        <v>275</v>
      </c>
      <c r="L678" s="85">
        <v>11179</v>
      </c>
      <c r="M678" s="89">
        <v>395.50760884728948</v>
      </c>
      <c r="N678" s="85">
        <v>0</v>
      </c>
      <c r="O678" s="85">
        <v>0</v>
      </c>
      <c r="P678" s="85">
        <v>395.50760884728948</v>
      </c>
      <c r="Q678" s="85">
        <v>16077.743852013997</v>
      </c>
      <c r="R678" s="82" t="s">
        <v>3399</v>
      </c>
      <c r="S678" s="7">
        <f t="shared" si="31"/>
        <v>0</v>
      </c>
      <c r="T678" s="6">
        <f t="shared" si="32"/>
        <v>0</v>
      </c>
      <c r="U678" s="25">
        <f t="shared" si="30"/>
        <v>0</v>
      </c>
    </row>
    <row r="679" spans="1:21" ht="10.9" customHeight="1" x14ac:dyDescent="0.2">
      <c r="A679" s="82" t="s">
        <v>2579</v>
      </c>
      <c r="B679" s="83">
        <v>45747</v>
      </c>
      <c r="C679" s="82" t="s">
        <v>3395</v>
      </c>
      <c r="D679" s="82" t="s">
        <v>1733</v>
      </c>
      <c r="E679" s="82"/>
      <c r="F679" s="82" t="s">
        <v>5586</v>
      </c>
      <c r="G679" s="89">
        <v>1</v>
      </c>
      <c r="H679" s="89">
        <v>440</v>
      </c>
      <c r="I679" s="85">
        <v>0</v>
      </c>
      <c r="J679" s="85">
        <v>0</v>
      </c>
      <c r="K679" s="85">
        <v>440</v>
      </c>
      <c r="L679" s="85">
        <v>11179</v>
      </c>
      <c r="M679" s="89">
        <v>632.81217415566312</v>
      </c>
      <c r="N679" s="85">
        <v>0</v>
      </c>
      <c r="O679" s="85">
        <v>0</v>
      </c>
      <c r="P679" s="85">
        <v>632.81217415566312</v>
      </c>
      <c r="Q679" s="85">
        <v>16077.743852013997</v>
      </c>
      <c r="R679" s="82" t="s">
        <v>3399</v>
      </c>
      <c r="S679" s="7">
        <f t="shared" si="31"/>
        <v>0</v>
      </c>
      <c r="T679" s="6">
        <f t="shared" si="32"/>
        <v>0</v>
      </c>
      <c r="U679" s="25">
        <f t="shared" si="30"/>
        <v>0</v>
      </c>
    </row>
    <row r="680" spans="1:21" ht="10.9" customHeight="1" x14ac:dyDescent="0.2">
      <c r="A680" s="82" t="s">
        <v>2579</v>
      </c>
      <c r="B680" s="83">
        <v>45747</v>
      </c>
      <c r="C680" s="82" t="s">
        <v>3395</v>
      </c>
      <c r="D680" s="82" t="s">
        <v>1733</v>
      </c>
      <c r="E680" s="82"/>
      <c r="F680" s="82" t="s">
        <v>5585</v>
      </c>
      <c r="G680" s="89">
        <v>1</v>
      </c>
      <c r="H680" s="89">
        <v>89</v>
      </c>
      <c r="I680" s="85">
        <v>0</v>
      </c>
      <c r="J680" s="85">
        <v>0</v>
      </c>
      <c r="K680" s="85">
        <v>89</v>
      </c>
      <c r="L680" s="85">
        <v>11179</v>
      </c>
      <c r="M680" s="89">
        <v>128.00064431785006</v>
      </c>
      <c r="N680" s="85">
        <v>0</v>
      </c>
      <c r="O680" s="85">
        <v>0</v>
      </c>
      <c r="P680" s="85">
        <v>128.00064431785006</v>
      </c>
      <c r="Q680" s="85">
        <v>16077.743852013997</v>
      </c>
      <c r="R680" s="82" t="s">
        <v>3399</v>
      </c>
      <c r="S680" s="7">
        <f t="shared" si="31"/>
        <v>0</v>
      </c>
      <c r="T680" s="6">
        <f t="shared" si="32"/>
        <v>0</v>
      </c>
      <c r="U680" s="25">
        <f t="shared" si="30"/>
        <v>0</v>
      </c>
    </row>
    <row r="681" spans="1:21" ht="10.9" customHeight="1" x14ac:dyDescent="0.2">
      <c r="A681" s="82" t="s">
        <v>2579</v>
      </c>
      <c r="B681" s="83">
        <v>45747</v>
      </c>
      <c r="C681" s="82" t="s">
        <v>3395</v>
      </c>
      <c r="D681" s="82" t="s">
        <v>1733</v>
      </c>
      <c r="E681" s="82"/>
      <c r="F681" s="82" t="s">
        <v>5584</v>
      </c>
      <c r="G681" s="89">
        <v>8</v>
      </c>
      <c r="H681" s="89">
        <v>30</v>
      </c>
      <c r="I681" s="85">
        <v>0</v>
      </c>
      <c r="J681" s="85">
        <v>0</v>
      </c>
      <c r="K681" s="85">
        <v>240</v>
      </c>
      <c r="L681" s="85">
        <v>11179</v>
      </c>
      <c r="M681" s="89">
        <v>43.146284601522488</v>
      </c>
      <c r="N681" s="85">
        <v>0</v>
      </c>
      <c r="O681" s="85">
        <v>0</v>
      </c>
      <c r="P681" s="85">
        <v>345.17027681217991</v>
      </c>
      <c r="Q681" s="85">
        <v>16077.743852013997</v>
      </c>
      <c r="R681" s="82" t="s">
        <v>3399</v>
      </c>
      <c r="S681" s="7">
        <f t="shared" si="31"/>
        <v>0</v>
      </c>
      <c r="T681" s="6">
        <f t="shared" si="32"/>
        <v>0</v>
      </c>
      <c r="U681" s="25">
        <f t="shared" si="30"/>
        <v>0</v>
      </c>
    </row>
    <row r="682" spans="1:21" ht="10.9" customHeight="1" x14ac:dyDescent="0.2">
      <c r="A682" s="82" t="s">
        <v>2579</v>
      </c>
      <c r="B682" s="83">
        <v>45747</v>
      </c>
      <c r="C682" s="82" t="s">
        <v>3395</v>
      </c>
      <c r="D682" s="82" t="s">
        <v>1733</v>
      </c>
      <c r="E682" s="82"/>
      <c r="F682" s="82" t="s">
        <v>5583</v>
      </c>
      <c r="G682" s="89">
        <v>1</v>
      </c>
      <c r="H682" s="89">
        <v>45</v>
      </c>
      <c r="I682" s="85">
        <v>0</v>
      </c>
      <c r="J682" s="85">
        <v>0</v>
      </c>
      <c r="K682" s="85">
        <v>45</v>
      </c>
      <c r="L682" s="85">
        <v>11179</v>
      </c>
      <c r="M682" s="89">
        <v>64.719426902283729</v>
      </c>
      <c r="N682" s="85">
        <v>0</v>
      </c>
      <c r="O682" s="85">
        <v>0</v>
      </c>
      <c r="P682" s="85">
        <v>64.719426902283729</v>
      </c>
      <c r="Q682" s="85">
        <v>16077.743852013997</v>
      </c>
      <c r="R682" s="82" t="s">
        <v>3399</v>
      </c>
      <c r="S682" s="7">
        <f t="shared" si="31"/>
        <v>0</v>
      </c>
      <c r="T682" s="6">
        <f t="shared" si="32"/>
        <v>0</v>
      </c>
      <c r="U682" s="25">
        <f t="shared" si="30"/>
        <v>0</v>
      </c>
    </row>
    <row r="683" spans="1:21" ht="10.9" customHeight="1" x14ac:dyDescent="0.2">
      <c r="A683" s="82" t="s">
        <v>2579</v>
      </c>
      <c r="B683" s="83">
        <v>45747</v>
      </c>
      <c r="C683" s="82" t="s">
        <v>3395</v>
      </c>
      <c r="D683" s="82" t="s">
        <v>1733</v>
      </c>
      <c r="E683" s="82"/>
      <c r="F683" s="82" t="s">
        <v>5582</v>
      </c>
      <c r="G683" s="89">
        <v>1</v>
      </c>
      <c r="H683" s="89">
        <v>1927</v>
      </c>
      <c r="I683" s="85">
        <v>0</v>
      </c>
      <c r="J683" s="85">
        <v>0</v>
      </c>
      <c r="K683" s="85">
        <v>1927</v>
      </c>
      <c r="L683" s="85">
        <v>11179</v>
      </c>
      <c r="M683" s="89">
        <v>2771.4296809044613</v>
      </c>
      <c r="N683" s="85">
        <v>0</v>
      </c>
      <c r="O683" s="85">
        <v>0</v>
      </c>
      <c r="P683" s="85">
        <v>2771.4296809044613</v>
      </c>
      <c r="Q683" s="85">
        <v>16077.743852013997</v>
      </c>
      <c r="R683" s="82" t="s">
        <v>3399</v>
      </c>
      <c r="S683" s="7">
        <f t="shared" si="31"/>
        <v>0</v>
      </c>
      <c r="T683" s="6">
        <f t="shared" si="32"/>
        <v>0</v>
      </c>
      <c r="U683" s="25">
        <f t="shared" si="30"/>
        <v>0</v>
      </c>
    </row>
    <row r="684" spans="1:21" ht="10.9" customHeight="1" x14ac:dyDescent="0.2">
      <c r="A684" s="82" t="s">
        <v>2579</v>
      </c>
      <c r="B684" s="83">
        <v>45747</v>
      </c>
      <c r="C684" s="82" t="s">
        <v>3395</v>
      </c>
      <c r="D684" s="82" t="s">
        <v>1733</v>
      </c>
      <c r="E684" s="82"/>
      <c r="F684" s="82" t="s">
        <v>5581</v>
      </c>
      <c r="G684" s="89">
        <v>1</v>
      </c>
      <c r="H684" s="89">
        <v>1554</v>
      </c>
      <c r="I684" s="85">
        <v>0</v>
      </c>
      <c r="J684" s="85">
        <v>0</v>
      </c>
      <c r="K684" s="85">
        <v>1554</v>
      </c>
      <c r="L684" s="85">
        <v>11179</v>
      </c>
      <c r="M684" s="89">
        <v>2234.9775423588649</v>
      </c>
      <c r="N684" s="85">
        <v>0</v>
      </c>
      <c r="O684" s="85">
        <v>0</v>
      </c>
      <c r="P684" s="85">
        <v>2234.9775423588649</v>
      </c>
      <c r="Q684" s="85">
        <v>16077.743852013997</v>
      </c>
      <c r="R684" s="82" t="s">
        <v>3399</v>
      </c>
      <c r="S684" s="7">
        <f t="shared" si="31"/>
        <v>0</v>
      </c>
      <c r="T684" s="6">
        <f t="shared" si="32"/>
        <v>0</v>
      </c>
      <c r="U684" s="25">
        <f t="shared" si="30"/>
        <v>0</v>
      </c>
    </row>
    <row r="685" spans="1:21" ht="10.9" customHeight="1" x14ac:dyDescent="0.2">
      <c r="A685" s="82" t="s">
        <v>2579</v>
      </c>
      <c r="B685" s="83">
        <v>45747</v>
      </c>
      <c r="C685" s="82" t="s">
        <v>3395</v>
      </c>
      <c r="D685" s="82" t="s">
        <v>1733</v>
      </c>
      <c r="E685" s="82"/>
      <c r="F685" s="82" t="s">
        <v>5580</v>
      </c>
      <c r="G685" s="89">
        <v>1</v>
      </c>
      <c r="H685" s="89">
        <v>2275</v>
      </c>
      <c r="I685" s="85">
        <v>0</v>
      </c>
      <c r="J685" s="85">
        <v>0</v>
      </c>
      <c r="K685" s="85">
        <v>2275</v>
      </c>
      <c r="L685" s="85">
        <v>11179</v>
      </c>
      <c r="M685" s="89">
        <v>3271.9265822821221</v>
      </c>
      <c r="N685" s="85">
        <v>0</v>
      </c>
      <c r="O685" s="85">
        <v>0</v>
      </c>
      <c r="P685" s="85">
        <v>3271.9265822821221</v>
      </c>
      <c r="Q685" s="85">
        <v>16077.743852013997</v>
      </c>
      <c r="R685" s="82" t="s">
        <v>3399</v>
      </c>
      <c r="S685" s="7">
        <f t="shared" si="31"/>
        <v>0</v>
      </c>
      <c r="T685" s="6">
        <f t="shared" si="32"/>
        <v>0</v>
      </c>
      <c r="U685" s="25">
        <f t="shared" si="30"/>
        <v>0</v>
      </c>
    </row>
    <row r="686" spans="1:21" ht="10.9" customHeight="1" x14ac:dyDescent="0.2">
      <c r="A686" s="82" t="s">
        <v>2579</v>
      </c>
      <c r="B686" s="83">
        <v>45747</v>
      </c>
      <c r="C686" s="82" t="s">
        <v>3395</v>
      </c>
      <c r="D686" s="82" t="s">
        <v>1733</v>
      </c>
      <c r="E686" s="82"/>
      <c r="F686" s="82" t="s">
        <v>5579</v>
      </c>
      <c r="G686" s="89">
        <v>1</v>
      </c>
      <c r="H686" s="89">
        <v>3585</v>
      </c>
      <c r="I686" s="85">
        <v>0</v>
      </c>
      <c r="J686" s="85">
        <v>0</v>
      </c>
      <c r="K686" s="85">
        <v>3585</v>
      </c>
      <c r="L686" s="85">
        <v>11179</v>
      </c>
      <c r="M686" s="89">
        <v>5155.9810098819371</v>
      </c>
      <c r="N686" s="85">
        <v>0</v>
      </c>
      <c r="O686" s="85">
        <v>0</v>
      </c>
      <c r="P686" s="85">
        <v>5155.9810098819371</v>
      </c>
      <c r="Q686" s="85">
        <v>16077.743852013997</v>
      </c>
      <c r="R686" s="82" t="s">
        <v>3399</v>
      </c>
      <c r="S686" s="7">
        <f t="shared" si="31"/>
        <v>0</v>
      </c>
      <c r="T686" s="6">
        <f t="shared" si="32"/>
        <v>0</v>
      </c>
      <c r="U686" s="25">
        <f t="shared" si="30"/>
        <v>0</v>
      </c>
    </row>
    <row r="687" spans="1:21" ht="10.9" customHeight="1" x14ac:dyDescent="0.2">
      <c r="A687" s="82" t="s">
        <v>2579</v>
      </c>
      <c r="B687" s="83">
        <v>45747</v>
      </c>
      <c r="C687" s="82" t="s">
        <v>3395</v>
      </c>
      <c r="D687" s="82" t="s">
        <v>1733</v>
      </c>
      <c r="E687" s="82"/>
      <c r="F687" s="82" t="s">
        <v>5369</v>
      </c>
      <c r="G687" s="89">
        <v>1</v>
      </c>
      <c r="H687" s="89">
        <v>749</v>
      </c>
      <c r="I687" s="85">
        <v>0</v>
      </c>
      <c r="J687" s="85">
        <v>0</v>
      </c>
      <c r="K687" s="85">
        <v>749</v>
      </c>
      <c r="L687" s="85">
        <v>11179</v>
      </c>
      <c r="M687" s="89">
        <v>1077.2189055513447</v>
      </c>
      <c r="N687" s="85">
        <v>0</v>
      </c>
      <c r="O687" s="85">
        <v>0</v>
      </c>
      <c r="P687" s="85">
        <v>1077.2189055513447</v>
      </c>
      <c r="Q687" s="85">
        <v>16077.743852013997</v>
      </c>
      <c r="R687" s="82" t="s">
        <v>3399</v>
      </c>
      <c r="S687" s="7" t="str">
        <f t="shared" si="31"/>
        <v>INV12802</v>
      </c>
      <c r="T687" s="6">
        <f t="shared" si="32"/>
        <v>1</v>
      </c>
      <c r="U687" s="25">
        <f t="shared" si="30"/>
        <v>749</v>
      </c>
    </row>
    <row r="688" spans="1:21" ht="10.9" customHeight="1" x14ac:dyDescent="0.2">
      <c r="A688" s="82" t="s">
        <v>2509</v>
      </c>
      <c r="B688" s="83">
        <v>45748</v>
      </c>
      <c r="C688" s="82" t="s">
        <v>3395</v>
      </c>
      <c r="D688" s="82" t="s">
        <v>3598</v>
      </c>
      <c r="E688" s="82"/>
      <c r="F688" s="82" t="s">
        <v>5575</v>
      </c>
      <c r="G688" s="89">
        <v>2</v>
      </c>
      <c r="H688" s="89">
        <v>143.94</v>
      </c>
      <c r="I688" s="85">
        <v>0</v>
      </c>
      <c r="J688" s="85">
        <v>0</v>
      </c>
      <c r="K688" s="85">
        <v>287.88</v>
      </c>
      <c r="L688" s="85">
        <v>3884.47</v>
      </c>
      <c r="M688" s="89">
        <v>207.28806041509455</v>
      </c>
      <c r="N688" s="85">
        <v>0</v>
      </c>
      <c r="O688" s="85">
        <v>0</v>
      </c>
      <c r="P688" s="85">
        <v>414.5761208301891</v>
      </c>
      <c r="Q688" s="85">
        <v>5594.0270393262635</v>
      </c>
      <c r="R688" s="82" t="s">
        <v>3399</v>
      </c>
      <c r="S688" s="7">
        <f t="shared" si="31"/>
        <v>0</v>
      </c>
      <c r="T688" s="6">
        <f t="shared" si="32"/>
        <v>0</v>
      </c>
      <c r="U688" s="25">
        <f t="shared" si="30"/>
        <v>0</v>
      </c>
    </row>
    <row r="689" spans="1:21" ht="10.9" customHeight="1" x14ac:dyDescent="0.2">
      <c r="A689" s="82" t="s">
        <v>2509</v>
      </c>
      <c r="B689" s="83">
        <v>45748</v>
      </c>
      <c r="C689" s="82" t="s">
        <v>3395</v>
      </c>
      <c r="D689" s="82" t="s">
        <v>3598</v>
      </c>
      <c r="E689" s="82"/>
      <c r="F689" s="82" t="s">
        <v>5574</v>
      </c>
      <c r="G689" s="89">
        <v>2</v>
      </c>
      <c r="H689" s="89">
        <v>11.78</v>
      </c>
      <c r="I689" s="85">
        <v>0</v>
      </c>
      <c r="J689" s="85">
        <v>0</v>
      </c>
      <c r="K689" s="85">
        <v>23.56</v>
      </c>
      <c r="L689" s="85">
        <v>3884.47</v>
      </c>
      <c r="M689" s="89">
        <v>16.964383435388452</v>
      </c>
      <c r="N689" s="85">
        <v>0</v>
      </c>
      <c r="O689" s="85">
        <v>0</v>
      </c>
      <c r="P689" s="85">
        <v>33.928766870776904</v>
      </c>
      <c r="Q689" s="85">
        <v>5594.0270393262635</v>
      </c>
      <c r="R689" s="82" t="s">
        <v>3399</v>
      </c>
      <c r="S689" s="7">
        <f t="shared" si="31"/>
        <v>0</v>
      </c>
      <c r="T689" s="6">
        <f t="shared" si="32"/>
        <v>0</v>
      </c>
      <c r="U689" s="25">
        <f t="shared" si="30"/>
        <v>0</v>
      </c>
    </row>
    <row r="690" spans="1:21" ht="10.9" customHeight="1" x14ac:dyDescent="0.2">
      <c r="A690" s="82" t="s">
        <v>2509</v>
      </c>
      <c r="B690" s="83">
        <v>45748</v>
      </c>
      <c r="C690" s="82" t="s">
        <v>3395</v>
      </c>
      <c r="D690" s="82" t="s">
        <v>3598</v>
      </c>
      <c r="E690" s="82"/>
      <c r="F690" s="82" t="s">
        <v>4561</v>
      </c>
      <c r="G690" s="89">
        <v>2</v>
      </c>
      <c r="H690" s="89">
        <v>10.24</v>
      </c>
      <c r="I690" s="85">
        <v>0</v>
      </c>
      <c r="J690" s="85">
        <v>0</v>
      </c>
      <c r="K690" s="85">
        <v>20.48</v>
      </c>
      <c r="L690" s="85">
        <v>3884.47</v>
      </c>
      <c r="M690" s="89">
        <v>14.746628724819843</v>
      </c>
      <c r="N690" s="85">
        <v>0</v>
      </c>
      <c r="O690" s="85">
        <v>0</v>
      </c>
      <c r="P690" s="85">
        <v>29.493257449639685</v>
      </c>
      <c r="Q690" s="85">
        <v>5594.0270393262635</v>
      </c>
      <c r="R690" s="82" t="s">
        <v>3399</v>
      </c>
      <c r="S690" s="7">
        <f t="shared" si="31"/>
        <v>0</v>
      </c>
      <c r="T690" s="6">
        <f t="shared" si="32"/>
        <v>0</v>
      </c>
      <c r="U690" s="25">
        <f t="shared" si="30"/>
        <v>0</v>
      </c>
    </row>
    <row r="691" spans="1:21" ht="10.9" customHeight="1" x14ac:dyDescent="0.2">
      <c r="A691" s="82" t="s">
        <v>2509</v>
      </c>
      <c r="B691" s="83">
        <v>45748</v>
      </c>
      <c r="C691" s="82" t="s">
        <v>3395</v>
      </c>
      <c r="D691" s="82" t="s">
        <v>3598</v>
      </c>
      <c r="E691" s="82"/>
      <c r="F691" s="82" t="s">
        <v>4444</v>
      </c>
      <c r="G691" s="89">
        <v>1</v>
      </c>
      <c r="H691" s="89">
        <v>2042.44</v>
      </c>
      <c r="I691" s="85">
        <v>0</v>
      </c>
      <c r="J691" s="85">
        <v>0</v>
      </c>
      <c r="K691" s="85">
        <v>2042.44</v>
      </c>
      <c r="L691" s="85">
        <v>3884.47</v>
      </c>
      <c r="M691" s="89">
        <v>2941.318786398539</v>
      </c>
      <c r="N691" s="85">
        <v>0</v>
      </c>
      <c r="O691" s="85">
        <v>0</v>
      </c>
      <c r="P691" s="85">
        <v>2941.318786398539</v>
      </c>
      <c r="Q691" s="85">
        <v>5594.0270393262635</v>
      </c>
      <c r="R691" s="82" t="s">
        <v>3399</v>
      </c>
      <c r="S691" s="7">
        <f t="shared" si="31"/>
        <v>0</v>
      </c>
      <c r="T691" s="6">
        <f t="shared" si="32"/>
        <v>0</v>
      </c>
      <c r="U691" s="25">
        <f t="shared" si="30"/>
        <v>0</v>
      </c>
    </row>
    <row r="692" spans="1:21" ht="10.9" customHeight="1" x14ac:dyDescent="0.2">
      <c r="A692" s="82" t="s">
        <v>2509</v>
      </c>
      <c r="B692" s="83">
        <v>45748</v>
      </c>
      <c r="C692" s="82" t="s">
        <v>3395</v>
      </c>
      <c r="D692" s="82" t="s">
        <v>3598</v>
      </c>
      <c r="E692" s="82"/>
      <c r="F692" s="82" t="s">
        <v>4446</v>
      </c>
      <c r="G692" s="89">
        <v>1</v>
      </c>
      <c r="H692" s="89">
        <v>1510.11</v>
      </c>
      <c r="I692" s="85">
        <v>0</v>
      </c>
      <c r="J692" s="85">
        <v>0</v>
      </c>
      <c r="K692" s="85">
        <v>1510.11</v>
      </c>
      <c r="L692" s="85">
        <v>3884.47</v>
      </c>
      <c r="M692" s="89">
        <v>2174.7101077771185</v>
      </c>
      <c r="N692" s="85">
        <v>0</v>
      </c>
      <c r="O692" s="85">
        <v>0</v>
      </c>
      <c r="P692" s="85">
        <v>2174.7101077771185</v>
      </c>
      <c r="Q692" s="85">
        <v>5594.0270393262635</v>
      </c>
      <c r="R692" s="82" t="s">
        <v>3399</v>
      </c>
      <c r="S692" s="7">
        <f t="shared" si="31"/>
        <v>0</v>
      </c>
      <c r="T692" s="6">
        <f t="shared" si="32"/>
        <v>0</v>
      </c>
      <c r="U692" s="25">
        <f t="shared" si="30"/>
        <v>0</v>
      </c>
    </row>
    <row r="693" spans="1:21" ht="10.9" customHeight="1" x14ac:dyDescent="0.2">
      <c r="A693" s="82" t="s">
        <v>2539</v>
      </c>
      <c r="B693" s="83">
        <v>45748</v>
      </c>
      <c r="C693" s="82" t="s">
        <v>3395</v>
      </c>
      <c r="D693" s="82" t="s">
        <v>1805</v>
      </c>
      <c r="E693" s="82"/>
      <c r="F693" s="82" t="s">
        <v>4439</v>
      </c>
      <c r="G693" s="89">
        <v>1</v>
      </c>
      <c r="H693" s="89">
        <v>19.89</v>
      </c>
      <c r="I693" s="85">
        <v>0</v>
      </c>
      <c r="J693" s="85">
        <v>2.59</v>
      </c>
      <c r="K693" s="85">
        <v>22.48</v>
      </c>
      <c r="L693" s="85">
        <v>3292.08</v>
      </c>
      <c r="M693" s="89">
        <v>19.89</v>
      </c>
      <c r="N693" s="85">
        <v>0</v>
      </c>
      <c r="O693" s="85">
        <v>2.59</v>
      </c>
      <c r="P693" s="85">
        <v>22.48</v>
      </c>
      <c r="Q693" s="85">
        <v>3292.08</v>
      </c>
      <c r="R693" s="82" t="s">
        <v>3399</v>
      </c>
      <c r="S693" s="7">
        <f t="shared" si="31"/>
        <v>0</v>
      </c>
      <c r="T693" s="6">
        <f t="shared" si="32"/>
        <v>0</v>
      </c>
      <c r="U693" s="25">
        <f t="shared" si="30"/>
        <v>0</v>
      </c>
    </row>
    <row r="694" spans="1:21" ht="10.9" customHeight="1" x14ac:dyDescent="0.2">
      <c r="A694" s="82" t="s">
        <v>2539</v>
      </c>
      <c r="B694" s="83">
        <v>45748</v>
      </c>
      <c r="C694" s="82" t="s">
        <v>3395</v>
      </c>
      <c r="D694" s="82" t="s">
        <v>1805</v>
      </c>
      <c r="E694" s="82"/>
      <c r="F694" s="82" t="s">
        <v>4837</v>
      </c>
      <c r="G694" s="89">
        <v>1</v>
      </c>
      <c r="H694" s="89">
        <v>2893.45</v>
      </c>
      <c r="I694" s="85">
        <v>0</v>
      </c>
      <c r="J694" s="85">
        <v>376.15</v>
      </c>
      <c r="K694" s="85">
        <v>3269.6</v>
      </c>
      <c r="L694" s="85">
        <v>3292.08</v>
      </c>
      <c r="M694" s="89">
        <v>2893.45</v>
      </c>
      <c r="N694" s="85">
        <v>0</v>
      </c>
      <c r="O694" s="85">
        <v>376.15</v>
      </c>
      <c r="P694" s="85">
        <v>3269.6</v>
      </c>
      <c r="Q694" s="85">
        <v>3292.08</v>
      </c>
      <c r="R694" s="82" t="s">
        <v>3399</v>
      </c>
      <c r="S694" s="7">
        <f t="shared" si="31"/>
        <v>0</v>
      </c>
      <c r="T694" s="6">
        <f t="shared" si="32"/>
        <v>0</v>
      </c>
      <c r="U694" s="25">
        <f t="shared" si="30"/>
        <v>0</v>
      </c>
    </row>
    <row r="695" spans="1:21" ht="10.9" customHeight="1" x14ac:dyDescent="0.2">
      <c r="A695" s="82" t="s">
        <v>2594</v>
      </c>
      <c r="B695" s="83">
        <v>45748</v>
      </c>
      <c r="C695" s="82" t="s">
        <v>3395</v>
      </c>
      <c r="D695" s="82" t="s">
        <v>1707</v>
      </c>
      <c r="E695" s="82"/>
      <c r="F695" s="82" t="s">
        <v>4671</v>
      </c>
      <c r="G695" s="89">
        <v>1</v>
      </c>
      <c r="H695" s="89">
        <v>21.59</v>
      </c>
      <c r="I695" s="85">
        <v>0</v>
      </c>
      <c r="J695" s="85">
        <v>2.81</v>
      </c>
      <c r="K695" s="85">
        <v>24.4</v>
      </c>
      <c r="L695" s="85">
        <v>227.63</v>
      </c>
      <c r="M695" s="89">
        <v>21.59</v>
      </c>
      <c r="N695" s="85">
        <v>0</v>
      </c>
      <c r="O695" s="85">
        <v>2.81</v>
      </c>
      <c r="P695" s="85">
        <v>24.4</v>
      </c>
      <c r="Q695" s="85">
        <v>227.63</v>
      </c>
      <c r="R695" s="82" t="s">
        <v>3399</v>
      </c>
      <c r="S695" s="7">
        <f t="shared" si="31"/>
        <v>0</v>
      </c>
      <c r="T695" s="6">
        <f t="shared" si="32"/>
        <v>0</v>
      </c>
      <c r="U695" s="25">
        <f t="shared" si="30"/>
        <v>0</v>
      </c>
    </row>
    <row r="696" spans="1:21" ht="10.9" customHeight="1" x14ac:dyDescent="0.2">
      <c r="A696" s="82" t="s">
        <v>2594</v>
      </c>
      <c r="B696" s="83">
        <v>45748</v>
      </c>
      <c r="C696" s="82" t="s">
        <v>3395</v>
      </c>
      <c r="D696" s="82" t="s">
        <v>1707</v>
      </c>
      <c r="E696" s="82"/>
      <c r="F696" s="82" t="s">
        <v>4426</v>
      </c>
      <c r="G696" s="89">
        <v>1</v>
      </c>
      <c r="H696" s="89">
        <v>156.61000000000001</v>
      </c>
      <c r="I696" s="85">
        <v>0</v>
      </c>
      <c r="J696" s="85">
        <v>20.36</v>
      </c>
      <c r="K696" s="85">
        <v>176.97</v>
      </c>
      <c r="L696" s="85">
        <v>227.63</v>
      </c>
      <c r="M696" s="89">
        <v>156.61000000000001</v>
      </c>
      <c r="N696" s="85">
        <v>0</v>
      </c>
      <c r="O696" s="85">
        <v>20.36</v>
      </c>
      <c r="P696" s="85">
        <v>176.97</v>
      </c>
      <c r="Q696" s="85">
        <v>227.63</v>
      </c>
      <c r="R696" s="82" t="s">
        <v>3399</v>
      </c>
      <c r="S696" s="7">
        <f t="shared" si="31"/>
        <v>0</v>
      </c>
      <c r="T696" s="6">
        <f t="shared" si="32"/>
        <v>0</v>
      </c>
      <c r="U696" s="25">
        <f t="shared" si="30"/>
        <v>0</v>
      </c>
    </row>
    <row r="697" spans="1:21" ht="10.9" customHeight="1" x14ac:dyDescent="0.2">
      <c r="A697" s="82" t="s">
        <v>2594</v>
      </c>
      <c r="B697" s="83">
        <v>45748</v>
      </c>
      <c r="C697" s="82" t="s">
        <v>3395</v>
      </c>
      <c r="D697" s="82" t="s">
        <v>1707</v>
      </c>
      <c r="E697" s="82"/>
      <c r="F697" s="82" t="s">
        <v>4684</v>
      </c>
      <c r="G697" s="89">
        <v>1</v>
      </c>
      <c r="H697" s="89">
        <v>23.24</v>
      </c>
      <c r="I697" s="85">
        <v>0</v>
      </c>
      <c r="J697" s="85">
        <v>3.02</v>
      </c>
      <c r="K697" s="85">
        <v>26.26</v>
      </c>
      <c r="L697" s="85">
        <v>227.63</v>
      </c>
      <c r="M697" s="89">
        <v>23.24</v>
      </c>
      <c r="N697" s="85">
        <v>0</v>
      </c>
      <c r="O697" s="85">
        <v>3.02</v>
      </c>
      <c r="P697" s="85">
        <v>26.26</v>
      </c>
      <c r="Q697" s="85">
        <v>227.63</v>
      </c>
      <c r="R697" s="82" t="s">
        <v>3399</v>
      </c>
      <c r="S697" s="7">
        <f t="shared" si="31"/>
        <v>0</v>
      </c>
      <c r="T697" s="6">
        <f t="shared" si="32"/>
        <v>0</v>
      </c>
      <c r="U697" s="25">
        <f t="shared" si="30"/>
        <v>0</v>
      </c>
    </row>
    <row r="698" spans="1:21" ht="10.9" customHeight="1" x14ac:dyDescent="0.2">
      <c r="A698" s="82" t="s">
        <v>2598</v>
      </c>
      <c r="B698" s="83">
        <v>45748</v>
      </c>
      <c r="C698" s="82" t="s">
        <v>3395</v>
      </c>
      <c r="D698" s="82" t="s">
        <v>1698</v>
      </c>
      <c r="E698" s="82"/>
      <c r="F698" s="82" t="s">
        <v>4425</v>
      </c>
      <c r="G698" s="89">
        <v>1</v>
      </c>
      <c r="H698" s="89">
        <v>1097.0999999999999</v>
      </c>
      <c r="I698" s="85">
        <v>0</v>
      </c>
      <c r="J698" s="85">
        <v>142.62</v>
      </c>
      <c r="K698" s="85">
        <v>1239.72</v>
      </c>
      <c r="L698" s="85">
        <v>6280.39</v>
      </c>
      <c r="M698" s="89">
        <v>1097.0999999999999</v>
      </c>
      <c r="N698" s="85">
        <v>0</v>
      </c>
      <c r="O698" s="85">
        <v>142.62</v>
      </c>
      <c r="P698" s="85">
        <v>1239.72</v>
      </c>
      <c r="Q698" s="85">
        <v>6280.39</v>
      </c>
      <c r="R698" s="82" t="s">
        <v>3399</v>
      </c>
      <c r="S698" s="7">
        <f t="shared" si="31"/>
        <v>0</v>
      </c>
      <c r="T698" s="6">
        <f t="shared" si="32"/>
        <v>0</v>
      </c>
      <c r="U698" s="25">
        <f t="shared" si="30"/>
        <v>0</v>
      </c>
    </row>
    <row r="699" spans="1:21" ht="10.9" customHeight="1" x14ac:dyDescent="0.2">
      <c r="A699" s="82" t="s">
        <v>2598</v>
      </c>
      <c r="B699" s="83">
        <v>45748</v>
      </c>
      <c r="C699" s="82" t="s">
        <v>3395</v>
      </c>
      <c r="D699" s="82" t="s">
        <v>1698</v>
      </c>
      <c r="E699" s="82"/>
      <c r="F699" s="82" t="s">
        <v>4806</v>
      </c>
      <c r="G699" s="89">
        <v>1</v>
      </c>
      <c r="H699" s="89">
        <v>40</v>
      </c>
      <c r="I699" s="85">
        <v>40</v>
      </c>
      <c r="J699" s="85">
        <v>0</v>
      </c>
      <c r="K699" s="85">
        <v>0</v>
      </c>
      <c r="L699" s="85">
        <v>6280.39</v>
      </c>
      <c r="M699" s="89">
        <v>40</v>
      </c>
      <c r="N699" s="85">
        <v>40</v>
      </c>
      <c r="O699" s="85">
        <v>0</v>
      </c>
      <c r="P699" s="85">
        <v>0</v>
      </c>
      <c r="Q699" s="85">
        <v>6280.39</v>
      </c>
      <c r="R699" s="82" t="s">
        <v>3399</v>
      </c>
      <c r="S699" s="7">
        <f t="shared" si="31"/>
        <v>0</v>
      </c>
      <c r="T699" s="6">
        <f t="shared" si="32"/>
        <v>0</v>
      </c>
      <c r="U699" s="25">
        <f t="shared" si="30"/>
        <v>0</v>
      </c>
    </row>
    <row r="700" spans="1:21" ht="10.9" customHeight="1" x14ac:dyDescent="0.2">
      <c r="A700" s="82" t="s">
        <v>2598</v>
      </c>
      <c r="B700" s="83">
        <v>45748</v>
      </c>
      <c r="C700" s="82" t="s">
        <v>3395</v>
      </c>
      <c r="D700" s="82" t="s">
        <v>1698</v>
      </c>
      <c r="E700" s="82"/>
      <c r="F700" s="82" t="s">
        <v>4424</v>
      </c>
      <c r="G700" s="89">
        <v>1</v>
      </c>
      <c r="H700" s="89">
        <v>1148.94</v>
      </c>
      <c r="I700" s="85">
        <v>0</v>
      </c>
      <c r="J700" s="85">
        <v>149.36000000000001</v>
      </c>
      <c r="K700" s="85">
        <v>1298.3</v>
      </c>
      <c r="L700" s="85">
        <v>6280.39</v>
      </c>
      <c r="M700" s="89">
        <v>1148.94</v>
      </c>
      <c r="N700" s="85">
        <v>0</v>
      </c>
      <c r="O700" s="85">
        <v>149.36000000000001</v>
      </c>
      <c r="P700" s="85">
        <v>1298.3</v>
      </c>
      <c r="Q700" s="85">
        <v>6280.39</v>
      </c>
      <c r="R700" s="82" t="s">
        <v>3399</v>
      </c>
      <c r="S700" s="7">
        <f t="shared" si="31"/>
        <v>0</v>
      </c>
      <c r="T700" s="6">
        <f t="shared" si="32"/>
        <v>0</v>
      </c>
      <c r="U700" s="25">
        <f t="shared" si="30"/>
        <v>0</v>
      </c>
    </row>
    <row r="701" spans="1:21" ht="10.9" customHeight="1" x14ac:dyDescent="0.2">
      <c r="A701" s="82" t="s">
        <v>2598</v>
      </c>
      <c r="B701" s="83">
        <v>45748</v>
      </c>
      <c r="C701" s="82" t="s">
        <v>3395</v>
      </c>
      <c r="D701" s="82" t="s">
        <v>1698</v>
      </c>
      <c r="E701" s="82"/>
      <c r="F701" s="82" t="s">
        <v>5578</v>
      </c>
      <c r="G701" s="89">
        <v>1</v>
      </c>
      <c r="H701" s="89">
        <v>40</v>
      </c>
      <c r="I701" s="85">
        <v>40</v>
      </c>
      <c r="J701" s="85">
        <v>0</v>
      </c>
      <c r="K701" s="85">
        <v>0</v>
      </c>
      <c r="L701" s="85">
        <v>6280.39</v>
      </c>
      <c r="M701" s="89">
        <v>40</v>
      </c>
      <c r="N701" s="85">
        <v>40</v>
      </c>
      <c r="O701" s="85">
        <v>0</v>
      </c>
      <c r="P701" s="85">
        <v>0</v>
      </c>
      <c r="Q701" s="85">
        <v>6280.39</v>
      </c>
      <c r="R701" s="82" t="s">
        <v>3399</v>
      </c>
      <c r="S701" s="7">
        <f t="shared" si="31"/>
        <v>0</v>
      </c>
      <c r="T701" s="6">
        <f t="shared" si="32"/>
        <v>0</v>
      </c>
      <c r="U701" s="25">
        <f t="shared" si="30"/>
        <v>0</v>
      </c>
    </row>
    <row r="702" spans="1:21" ht="10.9" customHeight="1" x14ac:dyDescent="0.2">
      <c r="A702" s="82" t="s">
        <v>2598</v>
      </c>
      <c r="B702" s="83">
        <v>45748</v>
      </c>
      <c r="C702" s="82" t="s">
        <v>3395</v>
      </c>
      <c r="D702" s="82" t="s">
        <v>1698</v>
      </c>
      <c r="E702" s="82"/>
      <c r="F702" s="82" t="s">
        <v>4416</v>
      </c>
      <c r="G702" s="89">
        <v>1</v>
      </c>
      <c r="H702" s="89">
        <v>2094.2800000000002</v>
      </c>
      <c r="I702" s="85">
        <v>0</v>
      </c>
      <c r="J702" s="85">
        <v>272.26</v>
      </c>
      <c r="K702" s="85">
        <v>2366.54</v>
      </c>
      <c r="L702" s="85">
        <v>6280.39</v>
      </c>
      <c r="M702" s="89">
        <v>2094.2800000000002</v>
      </c>
      <c r="N702" s="85">
        <v>0</v>
      </c>
      <c r="O702" s="85">
        <v>272.26</v>
      </c>
      <c r="P702" s="85">
        <v>2366.54</v>
      </c>
      <c r="Q702" s="85">
        <v>6280.39</v>
      </c>
      <c r="R702" s="82" t="s">
        <v>3399</v>
      </c>
      <c r="S702" s="7">
        <f t="shared" si="31"/>
        <v>0</v>
      </c>
      <c r="T702" s="6">
        <f t="shared" si="32"/>
        <v>0</v>
      </c>
      <c r="U702" s="25">
        <f t="shared" si="30"/>
        <v>0</v>
      </c>
    </row>
    <row r="703" spans="1:21" ht="10.9" customHeight="1" x14ac:dyDescent="0.2">
      <c r="A703" s="82" t="s">
        <v>2598</v>
      </c>
      <c r="B703" s="83">
        <v>45748</v>
      </c>
      <c r="C703" s="82" t="s">
        <v>3395</v>
      </c>
      <c r="D703" s="82" t="s">
        <v>1698</v>
      </c>
      <c r="E703" s="82"/>
      <c r="F703" s="82" t="s">
        <v>4685</v>
      </c>
      <c r="G703" s="89">
        <v>1</v>
      </c>
      <c r="H703" s="89">
        <v>1078.1099999999999</v>
      </c>
      <c r="I703" s="85">
        <v>0</v>
      </c>
      <c r="J703" s="85">
        <v>140.15</v>
      </c>
      <c r="K703" s="85">
        <v>1218.26</v>
      </c>
      <c r="L703" s="85">
        <v>6280.39</v>
      </c>
      <c r="M703" s="89">
        <v>1078.1099999999999</v>
      </c>
      <c r="N703" s="85">
        <v>0</v>
      </c>
      <c r="O703" s="85">
        <v>140.15</v>
      </c>
      <c r="P703" s="85">
        <v>1218.26</v>
      </c>
      <c r="Q703" s="85">
        <v>6280.39</v>
      </c>
      <c r="R703" s="82" t="s">
        <v>3399</v>
      </c>
      <c r="S703" s="7">
        <f t="shared" si="31"/>
        <v>0</v>
      </c>
      <c r="T703" s="6">
        <f t="shared" si="32"/>
        <v>0</v>
      </c>
      <c r="U703" s="25">
        <f t="shared" si="30"/>
        <v>0</v>
      </c>
    </row>
    <row r="704" spans="1:21" ht="10.9" customHeight="1" x14ac:dyDescent="0.2">
      <c r="A704" s="82" t="s">
        <v>2598</v>
      </c>
      <c r="B704" s="83">
        <v>45748</v>
      </c>
      <c r="C704" s="82" t="s">
        <v>3395</v>
      </c>
      <c r="D704" s="82" t="s">
        <v>1698</v>
      </c>
      <c r="E704" s="82"/>
      <c r="F704" s="82" t="s">
        <v>4670</v>
      </c>
      <c r="G704" s="89">
        <v>1</v>
      </c>
      <c r="H704" s="89">
        <v>139.44</v>
      </c>
      <c r="I704" s="85">
        <v>0</v>
      </c>
      <c r="J704" s="85">
        <v>18.13</v>
      </c>
      <c r="K704" s="85">
        <v>157.57</v>
      </c>
      <c r="L704" s="85">
        <v>6280.39</v>
      </c>
      <c r="M704" s="89">
        <v>139.44</v>
      </c>
      <c r="N704" s="85">
        <v>0</v>
      </c>
      <c r="O704" s="85">
        <v>18.13</v>
      </c>
      <c r="P704" s="85">
        <v>157.57</v>
      </c>
      <c r="Q704" s="85">
        <v>6280.39</v>
      </c>
      <c r="R704" s="82" t="s">
        <v>3399</v>
      </c>
      <c r="S704" s="7">
        <f t="shared" si="31"/>
        <v>0</v>
      </c>
      <c r="T704" s="6">
        <f t="shared" si="32"/>
        <v>0</v>
      </c>
      <c r="U704" s="25">
        <f t="shared" si="30"/>
        <v>0</v>
      </c>
    </row>
    <row r="705" spans="1:21" ht="10.9" customHeight="1" x14ac:dyDescent="0.2">
      <c r="A705" s="82" t="s">
        <v>2501</v>
      </c>
      <c r="B705" s="83">
        <v>45748</v>
      </c>
      <c r="C705" s="82" t="s">
        <v>3395</v>
      </c>
      <c r="D705" s="82" t="s">
        <v>1864</v>
      </c>
      <c r="E705" s="82"/>
      <c r="F705" s="82" t="s">
        <v>4439</v>
      </c>
      <c r="G705" s="89">
        <v>1</v>
      </c>
      <c r="H705" s="89">
        <v>19.89</v>
      </c>
      <c r="I705" s="85">
        <v>0</v>
      </c>
      <c r="J705" s="85">
        <v>2.59</v>
      </c>
      <c r="K705" s="85">
        <v>22.48</v>
      </c>
      <c r="L705" s="85">
        <v>22.48</v>
      </c>
      <c r="M705" s="89">
        <v>19.89</v>
      </c>
      <c r="N705" s="85">
        <v>0</v>
      </c>
      <c r="O705" s="85">
        <v>2.59</v>
      </c>
      <c r="P705" s="85">
        <v>22.48</v>
      </c>
      <c r="Q705" s="85">
        <v>22.48</v>
      </c>
      <c r="R705" s="82" t="s">
        <v>3399</v>
      </c>
      <c r="S705" s="7">
        <f t="shared" si="31"/>
        <v>0</v>
      </c>
      <c r="T705" s="6">
        <f t="shared" si="32"/>
        <v>0</v>
      </c>
      <c r="U705" s="25">
        <f t="shared" si="30"/>
        <v>0</v>
      </c>
    </row>
    <row r="706" spans="1:21" ht="10.9" customHeight="1" x14ac:dyDescent="0.2">
      <c r="A706" s="82" t="s">
        <v>2607</v>
      </c>
      <c r="B706" s="83">
        <v>45748</v>
      </c>
      <c r="C706" s="82" t="s">
        <v>3395</v>
      </c>
      <c r="D706" s="82" t="s">
        <v>1682</v>
      </c>
      <c r="E706" s="82"/>
      <c r="F706" s="82" t="s">
        <v>5577</v>
      </c>
      <c r="G706" s="89">
        <v>2</v>
      </c>
      <c r="H706" s="89">
        <v>217.88</v>
      </c>
      <c r="I706" s="85">
        <v>0</v>
      </c>
      <c r="J706" s="85">
        <v>0</v>
      </c>
      <c r="K706" s="85">
        <v>435.76</v>
      </c>
      <c r="L706" s="85">
        <v>435.76</v>
      </c>
      <c r="M706" s="89">
        <v>311.61416365607454</v>
      </c>
      <c r="N706" s="85">
        <v>0</v>
      </c>
      <c r="O706" s="85">
        <v>0</v>
      </c>
      <c r="P706" s="85">
        <v>623.22832731214908</v>
      </c>
      <c r="Q706" s="85">
        <v>623.22832731214908</v>
      </c>
      <c r="R706" s="82" t="s">
        <v>3399</v>
      </c>
      <c r="S706" s="7">
        <f t="shared" si="31"/>
        <v>0</v>
      </c>
      <c r="T706" s="6">
        <f t="shared" si="32"/>
        <v>0</v>
      </c>
      <c r="U706" s="25">
        <f t="shared" ref="U706:U769" si="33">IF(T706=1,K706-J706,0)</f>
        <v>0</v>
      </c>
    </row>
    <row r="707" spans="1:21" ht="10.9" customHeight="1" x14ac:dyDescent="0.2">
      <c r="A707" s="82" t="s">
        <v>2599</v>
      </c>
      <c r="B707" s="83">
        <v>45748</v>
      </c>
      <c r="C707" s="82" t="s">
        <v>3395</v>
      </c>
      <c r="D707" s="82" t="s">
        <v>1696</v>
      </c>
      <c r="E707" s="82"/>
      <c r="F707" s="82" t="s">
        <v>4740</v>
      </c>
      <c r="G707" s="89">
        <v>2</v>
      </c>
      <c r="H707" s="89">
        <v>150.88</v>
      </c>
      <c r="I707" s="85">
        <v>0</v>
      </c>
      <c r="J707" s="85">
        <v>15.09</v>
      </c>
      <c r="K707" s="85">
        <v>316.85000000000002</v>
      </c>
      <c r="L707" s="85">
        <v>316.85000000000002</v>
      </c>
      <c r="M707" s="89">
        <v>150.88</v>
      </c>
      <c r="N707" s="85">
        <v>0</v>
      </c>
      <c r="O707" s="85">
        <v>15.09</v>
      </c>
      <c r="P707" s="85">
        <v>316.85000000000002</v>
      </c>
      <c r="Q707" s="85">
        <v>316.85000000000002</v>
      </c>
      <c r="R707" s="82" t="s">
        <v>3399</v>
      </c>
      <c r="S707" s="7">
        <f t="shared" ref="S707:S770" si="34">IF(T707=1,A707,0)</f>
        <v>0</v>
      </c>
      <c r="T707" s="6">
        <f t="shared" ref="T707:T770" si="35">IFERROR(FIND("Freight",F707,1),0)</f>
        <v>0</v>
      </c>
      <c r="U707" s="25">
        <f t="shared" si="33"/>
        <v>0</v>
      </c>
    </row>
    <row r="708" spans="1:21" ht="10.9" customHeight="1" x14ac:dyDescent="0.2">
      <c r="A708" s="82" t="s">
        <v>2602</v>
      </c>
      <c r="B708" s="83">
        <v>45748</v>
      </c>
      <c r="C708" s="82" t="s">
        <v>3395</v>
      </c>
      <c r="D708" s="82" t="s">
        <v>1690</v>
      </c>
      <c r="E708" s="82"/>
      <c r="F708" s="82" t="s">
        <v>5576</v>
      </c>
      <c r="G708" s="89">
        <v>1</v>
      </c>
      <c r="H708" s="89">
        <v>861.07</v>
      </c>
      <c r="I708" s="85">
        <v>0</v>
      </c>
      <c r="J708" s="85">
        <v>43.05</v>
      </c>
      <c r="K708" s="85">
        <v>904.12</v>
      </c>
      <c r="L708" s="85">
        <v>904.12</v>
      </c>
      <c r="M708" s="89">
        <v>861.07</v>
      </c>
      <c r="N708" s="85">
        <v>0</v>
      </c>
      <c r="O708" s="85">
        <v>43.05</v>
      </c>
      <c r="P708" s="85">
        <v>904.12</v>
      </c>
      <c r="Q708" s="85">
        <v>904.12</v>
      </c>
      <c r="R708" s="82" t="s">
        <v>3399</v>
      </c>
      <c r="S708" s="7">
        <f t="shared" si="34"/>
        <v>0</v>
      </c>
      <c r="T708" s="6">
        <f t="shared" si="35"/>
        <v>0</v>
      </c>
      <c r="U708" s="25">
        <f t="shared" si="33"/>
        <v>0</v>
      </c>
    </row>
    <row r="709" spans="1:21" ht="10.9" customHeight="1" x14ac:dyDescent="0.2">
      <c r="A709" s="82" t="s">
        <v>2516</v>
      </c>
      <c r="B709" s="83">
        <v>45749</v>
      </c>
      <c r="C709" s="82" t="s">
        <v>3395</v>
      </c>
      <c r="D709" s="82" t="s">
        <v>1841</v>
      </c>
      <c r="E709" s="82"/>
      <c r="F709" s="82" t="s">
        <v>5315</v>
      </c>
      <c r="G709" s="89">
        <v>1</v>
      </c>
      <c r="H709" s="89">
        <v>7400</v>
      </c>
      <c r="I709" s="85">
        <v>0</v>
      </c>
      <c r="J709" s="85">
        <v>0</v>
      </c>
      <c r="K709" s="85">
        <v>7400</v>
      </c>
      <c r="L709" s="85">
        <v>7400</v>
      </c>
      <c r="M709" s="89">
        <v>10538.263151823618</v>
      </c>
      <c r="N709" s="85">
        <v>0</v>
      </c>
      <c r="O709" s="85">
        <v>0</v>
      </c>
      <c r="P709" s="85">
        <v>10538.263151823618</v>
      </c>
      <c r="Q709" s="85">
        <v>10538.263151823618</v>
      </c>
      <c r="R709" s="82" t="s">
        <v>3399</v>
      </c>
      <c r="S709" s="7">
        <f t="shared" si="34"/>
        <v>0</v>
      </c>
      <c r="T709" s="6">
        <f t="shared" si="35"/>
        <v>0</v>
      </c>
      <c r="U709" s="25">
        <f t="shared" si="33"/>
        <v>0</v>
      </c>
    </row>
    <row r="710" spans="1:21" ht="10.9" customHeight="1" x14ac:dyDescent="0.2">
      <c r="A710" s="82" t="s">
        <v>2613</v>
      </c>
      <c r="B710" s="83">
        <v>45749</v>
      </c>
      <c r="C710" s="82" t="s">
        <v>3395</v>
      </c>
      <c r="D710" s="82" t="s">
        <v>1672</v>
      </c>
      <c r="E710" s="82"/>
      <c r="F710" s="82" t="s">
        <v>5211</v>
      </c>
      <c r="G710" s="89">
        <v>1</v>
      </c>
      <c r="H710" s="89">
        <v>2041.05</v>
      </c>
      <c r="I710" s="85">
        <v>0</v>
      </c>
      <c r="J710" s="85">
        <v>102.05</v>
      </c>
      <c r="K710" s="85">
        <v>2143.1</v>
      </c>
      <c r="L710" s="85">
        <v>2143.1</v>
      </c>
      <c r="M710" s="89">
        <v>2041.05</v>
      </c>
      <c r="N710" s="85">
        <v>0</v>
      </c>
      <c r="O710" s="85">
        <v>102.05</v>
      </c>
      <c r="P710" s="85">
        <v>2143.1</v>
      </c>
      <c r="Q710" s="85">
        <v>2143.1</v>
      </c>
      <c r="R710" s="82" t="s">
        <v>3399</v>
      </c>
      <c r="S710" s="7">
        <f t="shared" si="34"/>
        <v>0</v>
      </c>
      <c r="T710" s="6">
        <f t="shared" si="35"/>
        <v>0</v>
      </c>
      <c r="U710" s="25">
        <f t="shared" si="33"/>
        <v>0</v>
      </c>
    </row>
    <row r="711" spans="1:21" ht="10.9" customHeight="1" x14ac:dyDescent="0.2">
      <c r="A711" s="82" t="s">
        <v>2611</v>
      </c>
      <c r="B711" s="83">
        <v>45749</v>
      </c>
      <c r="C711" s="82" t="s">
        <v>3395</v>
      </c>
      <c r="D711" s="82" t="s">
        <v>1676</v>
      </c>
      <c r="E711" s="82"/>
      <c r="F711" s="82" t="s">
        <v>4824</v>
      </c>
      <c r="G711" s="89">
        <v>1</v>
      </c>
      <c r="H711" s="89">
        <v>1010.81</v>
      </c>
      <c r="I711" s="85">
        <v>0</v>
      </c>
      <c r="J711" s="85">
        <v>50.54</v>
      </c>
      <c r="K711" s="85">
        <v>1061.3499999999999</v>
      </c>
      <c r="L711" s="85">
        <v>1089.42</v>
      </c>
      <c r="M711" s="89">
        <v>1010.81</v>
      </c>
      <c r="N711" s="85">
        <v>0</v>
      </c>
      <c r="O711" s="85">
        <v>50.54</v>
      </c>
      <c r="P711" s="85">
        <v>1061.3499999999999</v>
      </c>
      <c r="Q711" s="85">
        <v>1089.42</v>
      </c>
      <c r="R711" s="82" t="s">
        <v>3399</v>
      </c>
      <c r="S711" s="7">
        <f t="shared" si="34"/>
        <v>0</v>
      </c>
      <c r="T711" s="6">
        <f t="shared" si="35"/>
        <v>0</v>
      </c>
      <c r="U711" s="25">
        <f t="shared" si="33"/>
        <v>0</v>
      </c>
    </row>
    <row r="712" spans="1:21" ht="10.9" customHeight="1" x14ac:dyDescent="0.2">
      <c r="A712" s="82" t="s">
        <v>2611</v>
      </c>
      <c r="B712" s="83">
        <v>45749</v>
      </c>
      <c r="C712" s="82" t="s">
        <v>3395</v>
      </c>
      <c r="D712" s="82" t="s">
        <v>1676</v>
      </c>
      <c r="E712" s="82"/>
      <c r="F712" s="82" t="s">
        <v>5381</v>
      </c>
      <c r="G712" s="89">
        <v>1</v>
      </c>
      <c r="H712" s="89">
        <v>26.73</v>
      </c>
      <c r="I712" s="85">
        <v>0</v>
      </c>
      <c r="J712" s="85">
        <v>1.34</v>
      </c>
      <c r="K712" s="85">
        <v>28.07</v>
      </c>
      <c r="L712" s="85">
        <v>1089.42</v>
      </c>
      <c r="M712" s="89">
        <v>26.73</v>
      </c>
      <c r="N712" s="85">
        <v>0</v>
      </c>
      <c r="O712" s="85">
        <v>1.34</v>
      </c>
      <c r="P712" s="85">
        <v>28.07</v>
      </c>
      <c r="Q712" s="85">
        <v>1089.42</v>
      </c>
      <c r="R712" s="82" t="s">
        <v>3399</v>
      </c>
      <c r="S712" s="7">
        <f t="shared" si="34"/>
        <v>0</v>
      </c>
      <c r="T712" s="6">
        <f t="shared" si="35"/>
        <v>0</v>
      </c>
      <c r="U712" s="25">
        <f t="shared" si="33"/>
        <v>0</v>
      </c>
    </row>
    <row r="713" spans="1:21" ht="10.9" customHeight="1" x14ac:dyDescent="0.2">
      <c r="A713" s="82" t="s">
        <v>2600</v>
      </c>
      <c r="B713" s="83">
        <v>45749</v>
      </c>
      <c r="C713" s="82" t="s">
        <v>3395</v>
      </c>
      <c r="D713" s="82" t="s">
        <v>1694</v>
      </c>
      <c r="E713" s="82"/>
      <c r="F713" s="82" t="s">
        <v>4594</v>
      </c>
      <c r="G713" s="89">
        <v>1</v>
      </c>
      <c r="H713" s="89">
        <v>270.35000000000002</v>
      </c>
      <c r="I713" s="85">
        <v>0</v>
      </c>
      <c r="J713" s="85">
        <v>13.52</v>
      </c>
      <c r="K713" s="85">
        <v>283.87</v>
      </c>
      <c r="L713" s="85">
        <v>283.87</v>
      </c>
      <c r="M713" s="89">
        <v>270.35000000000002</v>
      </c>
      <c r="N713" s="85">
        <v>0</v>
      </c>
      <c r="O713" s="85">
        <v>13.52</v>
      </c>
      <c r="P713" s="85">
        <v>283.87</v>
      </c>
      <c r="Q713" s="85">
        <v>283.87</v>
      </c>
      <c r="R713" s="82" t="s">
        <v>3399</v>
      </c>
      <c r="S713" s="7">
        <f t="shared" si="34"/>
        <v>0</v>
      </c>
      <c r="T713" s="6">
        <f t="shared" si="35"/>
        <v>0</v>
      </c>
      <c r="U713" s="25">
        <f t="shared" si="33"/>
        <v>0</v>
      </c>
    </row>
    <row r="714" spans="1:21" ht="10.9" customHeight="1" x14ac:dyDescent="0.2">
      <c r="A714" s="82" t="s">
        <v>2397</v>
      </c>
      <c r="B714" s="83">
        <v>45749</v>
      </c>
      <c r="C714" s="82" t="s">
        <v>3395</v>
      </c>
      <c r="D714" s="82" t="s">
        <v>2045</v>
      </c>
      <c r="E714" s="82"/>
      <c r="F714" s="82" t="s">
        <v>5573</v>
      </c>
      <c r="G714" s="89">
        <v>2</v>
      </c>
      <c r="H714" s="89">
        <v>1678.1</v>
      </c>
      <c r="I714" s="85">
        <v>0</v>
      </c>
      <c r="J714" s="85">
        <v>167.81</v>
      </c>
      <c r="K714" s="85">
        <v>3524.01</v>
      </c>
      <c r="L714" s="85">
        <v>3524.01</v>
      </c>
      <c r="M714" s="89">
        <v>1678.1</v>
      </c>
      <c r="N714" s="85">
        <v>0</v>
      </c>
      <c r="O714" s="85">
        <v>167.81</v>
      </c>
      <c r="P714" s="85">
        <v>3524.01</v>
      </c>
      <c r="Q714" s="85">
        <v>3524.01</v>
      </c>
      <c r="R714" s="82" t="s">
        <v>3399</v>
      </c>
      <c r="S714" s="7">
        <f t="shared" si="34"/>
        <v>0</v>
      </c>
      <c r="T714" s="6">
        <f t="shared" si="35"/>
        <v>0</v>
      </c>
      <c r="U714" s="25">
        <f t="shared" si="33"/>
        <v>0</v>
      </c>
    </row>
    <row r="715" spans="1:21" ht="10.9" customHeight="1" x14ac:dyDescent="0.2">
      <c r="A715" s="82"/>
      <c r="B715" s="83">
        <v>45749</v>
      </c>
      <c r="C715" s="82" t="s">
        <v>3423</v>
      </c>
      <c r="D715" s="82" t="s">
        <v>1668</v>
      </c>
      <c r="E715" s="82"/>
      <c r="F715" s="82" t="s">
        <v>5572</v>
      </c>
      <c r="G715" s="89">
        <v>-1</v>
      </c>
      <c r="H715" s="89">
        <v>1722.58</v>
      </c>
      <c r="I715" s="85">
        <v>0</v>
      </c>
      <c r="J715" s="85">
        <v>0</v>
      </c>
      <c r="K715" s="85">
        <v>-1722.58</v>
      </c>
      <c r="L715" s="85">
        <v>-1722.58</v>
      </c>
      <c r="M715" s="89">
        <v>1722.58</v>
      </c>
      <c r="N715" s="85">
        <v>0</v>
      </c>
      <c r="O715" s="85">
        <v>0</v>
      </c>
      <c r="P715" s="85">
        <v>-1722.58</v>
      </c>
      <c r="Q715" s="85">
        <v>-1722.58</v>
      </c>
      <c r="R715" s="82" t="s">
        <v>3399</v>
      </c>
      <c r="S715" s="7">
        <f t="shared" si="34"/>
        <v>0</v>
      </c>
      <c r="T715" s="6">
        <f t="shared" si="35"/>
        <v>0</v>
      </c>
      <c r="U715" s="25">
        <f t="shared" si="33"/>
        <v>0</v>
      </c>
    </row>
    <row r="716" spans="1:21" ht="10.9" customHeight="1" x14ac:dyDescent="0.2">
      <c r="A716" s="82"/>
      <c r="B716" s="83">
        <v>45749</v>
      </c>
      <c r="C716" s="82" t="s">
        <v>3423</v>
      </c>
      <c r="D716" s="82" t="s">
        <v>1664</v>
      </c>
      <c r="E716" s="82"/>
      <c r="F716" s="82" t="s">
        <v>1664</v>
      </c>
      <c r="G716" s="89">
        <v>-1</v>
      </c>
      <c r="H716" s="89">
        <v>3974.89</v>
      </c>
      <c r="I716" s="85">
        <v>0</v>
      </c>
      <c r="J716" s="85">
        <v>0</v>
      </c>
      <c r="K716" s="85">
        <v>-3974.89</v>
      </c>
      <c r="L716" s="85">
        <v>-3974.89</v>
      </c>
      <c r="M716" s="89">
        <v>5660.5995702097543</v>
      </c>
      <c r="N716" s="85">
        <v>0</v>
      </c>
      <c r="O716" s="85">
        <v>0</v>
      </c>
      <c r="P716" s="85">
        <v>-5660.5995702097543</v>
      </c>
      <c r="Q716" s="85">
        <v>-5660.5995702097543</v>
      </c>
      <c r="R716" s="82" t="s">
        <v>3399</v>
      </c>
      <c r="S716" s="7">
        <f t="shared" si="34"/>
        <v>0</v>
      </c>
      <c r="T716" s="6">
        <f t="shared" si="35"/>
        <v>0</v>
      </c>
      <c r="U716" s="25">
        <f t="shared" si="33"/>
        <v>0</v>
      </c>
    </row>
    <row r="717" spans="1:21" ht="10.9" customHeight="1" x14ac:dyDescent="0.2">
      <c r="A717" s="82" t="s">
        <v>5568</v>
      </c>
      <c r="B717" s="83">
        <v>45750</v>
      </c>
      <c r="C717" s="82" t="s">
        <v>3398</v>
      </c>
      <c r="D717" s="82" t="s">
        <v>1841</v>
      </c>
      <c r="E717" s="82"/>
      <c r="F717" s="82" t="s">
        <v>5567</v>
      </c>
      <c r="G717" s="89">
        <v>-1</v>
      </c>
      <c r="H717" s="89">
        <v>35</v>
      </c>
      <c r="I717" s="85">
        <v>0</v>
      </c>
      <c r="J717" s="85">
        <v>0</v>
      </c>
      <c r="K717" s="85">
        <v>-35</v>
      </c>
      <c r="L717" s="85">
        <v>-35</v>
      </c>
      <c r="M717" s="89">
        <v>49.843136528895492</v>
      </c>
      <c r="N717" s="85">
        <v>0</v>
      </c>
      <c r="O717" s="85">
        <v>0</v>
      </c>
      <c r="P717" s="85">
        <v>-49.843136528895492</v>
      </c>
      <c r="Q717" s="85">
        <v>-49.843136528895492</v>
      </c>
      <c r="R717" s="82" t="s">
        <v>4511</v>
      </c>
      <c r="S717" s="7">
        <f t="shared" si="34"/>
        <v>0</v>
      </c>
      <c r="T717" s="6">
        <f t="shared" si="35"/>
        <v>0</v>
      </c>
      <c r="U717" s="25">
        <f t="shared" si="33"/>
        <v>0</v>
      </c>
    </row>
    <row r="718" spans="1:21" ht="10.9" customHeight="1" x14ac:dyDescent="0.2">
      <c r="A718" s="82" t="s">
        <v>2313</v>
      </c>
      <c r="B718" s="83">
        <v>45750</v>
      </c>
      <c r="C718" s="82" t="s">
        <v>3395</v>
      </c>
      <c r="D718" s="82" t="s">
        <v>2186</v>
      </c>
      <c r="E718" s="82"/>
      <c r="F718" s="82" t="s">
        <v>5135</v>
      </c>
      <c r="G718" s="89">
        <v>1</v>
      </c>
      <c r="H718" s="89">
        <v>4839.1099999999997</v>
      </c>
      <c r="I718" s="85">
        <v>0</v>
      </c>
      <c r="J718" s="85">
        <v>241.96</v>
      </c>
      <c r="K718" s="85">
        <v>5081.07</v>
      </c>
      <c r="L718" s="85">
        <v>5081.07</v>
      </c>
      <c r="M718" s="89">
        <v>4839.1099999999997</v>
      </c>
      <c r="N718" s="85">
        <v>0</v>
      </c>
      <c r="O718" s="85">
        <v>241.96</v>
      </c>
      <c r="P718" s="85">
        <v>5081.07</v>
      </c>
      <c r="Q718" s="85">
        <v>5081.07</v>
      </c>
      <c r="R718" s="82" t="s">
        <v>3399</v>
      </c>
      <c r="S718" s="7">
        <f t="shared" si="34"/>
        <v>0</v>
      </c>
      <c r="T718" s="6">
        <f t="shared" si="35"/>
        <v>0</v>
      </c>
      <c r="U718" s="25">
        <f t="shared" si="33"/>
        <v>0</v>
      </c>
    </row>
    <row r="719" spans="1:21" ht="10.9" customHeight="1" x14ac:dyDescent="0.2">
      <c r="A719" s="82" t="s">
        <v>2604</v>
      </c>
      <c r="B719" s="83">
        <v>45750</v>
      </c>
      <c r="C719" s="82" t="s">
        <v>3395</v>
      </c>
      <c r="D719" s="82" t="s">
        <v>1686</v>
      </c>
      <c r="E719" s="82"/>
      <c r="F719" s="82" t="s">
        <v>4585</v>
      </c>
      <c r="G719" s="89">
        <v>1</v>
      </c>
      <c r="H719" s="89">
        <v>103.9</v>
      </c>
      <c r="I719" s="85">
        <v>0</v>
      </c>
      <c r="J719" s="85">
        <v>5.2</v>
      </c>
      <c r="K719" s="85">
        <v>109.1</v>
      </c>
      <c r="L719" s="85">
        <v>2422.23</v>
      </c>
      <c r="M719" s="89">
        <v>103.9</v>
      </c>
      <c r="N719" s="85">
        <v>0</v>
      </c>
      <c r="O719" s="85">
        <v>5.2</v>
      </c>
      <c r="P719" s="85">
        <v>109.1</v>
      </c>
      <c r="Q719" s="85">
        <v>2422.23</v>
      </c>
      <c r="R719" s="82" t="s">
        <v>3399</v>
      </c>
      <c r="S719" s="7">
        <f t="shared" si="34"/>
        <v>0</v>
      </c>
      <c r="T719" s="6">
        <f t="shared" si="35"/>
        <v>0</v>
      </c>
      <c r="U719" s="25">
        <f t="shared" si="33"/>
        <v>0</v>
      </c>
    </row>
    <row r="720" spans="1:21" ht="10.9" customHeight="1" x14ac:dyDescent="0.2">
      <c r="A720" s="82" t="s">
        <v>2604</v>
      </c>
      <c r="B720" s="83">
        <v>45750</v>
      </c>
      <c r="C720" s="82" t="s">
        <v>3395</v>
      </c>
      <c r="D720" s="82" t="s">
        <v>1686</v>
      </c>
      <c r="E720" s="82"/>
      <c r="F720" s="82" t="s">
        <v>4867</v>
      </c>
      <c r="G720" s="89">
        <v>1</v>
      </c>
      <c r="H720" s="89">
        <v>2202.98</v>
      </c>
      <c r="I720" s="85">
        <v>0</v>
      </c>
      <c r="J720" s="85">
        <v>110.15</v>
      </c>
      <c r="K720" s="85">
        <v>2313.13</v>
      </c>
      <c r="L720" s="85">
        <v>2422.23</v>
      </c>
      <c r="M720" s="89">
        <v>2202.98</v>
      </c>
      <c r="N720" s="85">
        <v>0</v>
      </c>
      <c r="O720" s="85">
        <v>110.15</v>
      </c>
      <c r="P720" s="85">
        <v>2313.13</v>
      </c>
      <c r="Q720" s="85">
        <v>2422.23</v>
      </c>
      <c r="R720" s="82" t="s">
        <v>3399</v>
      </c>
      <c r="S720" s="7">
        <f t="shared" si="34"/>
        <v>0</v>
      </c>
      <c r="T720" s="6">
        <f t="shared" si="35"/>
        <v>0</v>
      </c>
      <c r="U720" s="25">
        <f t="shared" si="33"/>
        <v>0</v>
      </c>
    </row>
    <row r="721" spans="1:21" ht="10.9" customHeight="1" x14ac:dyDescent="0.2">
      <c r="A721" s="82" t="s">
        <v>2560</v>
      </c>
      <c r="B721" s="83">
        <v>45750</v>
      </c>
      <c r="C721" s="82" t="s">
        <v>3395</v>
      </c>
      <c r="D721" s="82" t="s">
        <v>1762</v>
      </c>
      <c r="E721" s="82"/>
      <c r="F721" s="82" t="s">
        <v>5571</v>
      </c>
      <c r="G721" s="89">
        <v>10</v>
      </c>
      <c r="H721" s="89">
        <v>162.38</v>
      </c>
      <c r="I721" s="85">
        <v>0</v>
      </c>
      <c r="J721" s="85">
        <v>81.19</v>
      </c>
      <c r="K721" s="85">
        <v>1704.99</v>
      </c>
      <c r="L721" s="85">
        <v>1704.99</v>
      </c>
      <c r="M721" s="89">
        <v>162.38</v>
      </c>
      <c r="N721" s="85">
        <v>0</v>
      </c>
      <c r="O721" s="85">
        <v>81.19</v>
      </c>
      <c r="P721" s="85">
        <v>1704.99</v>
      </c>
      <c r="Q721" s="85">
        <v>1704.99</v>
      </c>
      <c r="R721" s="82" t="s">
        <v>3399</v>
      </c>
      <c r="S721" s="7">
        <f t="shared" si="34"/>
        <v>0</v>
      </c>
      <c r="T721" s="6">
        <f t="shared" si="35"/>
        <v>0</v>
      </c>
      <c r="U721" s="25">
        <f t="shared" si="33"/>
        <v>0</v>
      </c>
    </row>
    <row r="722" spans="1:21" ht="10.9" customHeight="1" x14ac:dyDescent="0.2">
      <c r="A722" s="82" t="s">
        <v>2591</v>
      </c>
      <c r="B722" s="83">
        <v>45750</v>
      </c>
      <c r="C722" s="82" t="s">
        <v>3395</v>
      </c>
      <c r="D722" s="82" t="s">
        <v>1711</v>
      </c>
      <c r="E722" s="82"/>
      <c r="F722" s="82" t="s">
        <v>5078</v>
      </c>
      <c r="G722" s="89">
        <v>1</v>
      </c>
      <c r="H722" s="89">
        <v>2155.7800000000002</v>
      </c>
      <c r="I722" s="85">
        <v>0</v>
      </c>
      <c r="J722" s="85">
        <v>107.79</v>
      </c>
      <c r="K722" s="85">
        <v>2263.5700000000002</v>
      </c>
      <c r="L722" s="85">
        <v>2263.5700000000002</v>
      </c>
      <c r="M722" s="89">
        <v>2155.7800000000002</v>
      </c>
      <c r="N722" s="85">
        <v>0</v>
      </c>
      <c r="O722" s="85">
        <v>107.79</v>
      </c>
      <c r="P722" s="85">
        <v>2263.5700000000002</v>
      </c>
      <c r="Q722" s="85">
        <v>2263.5700000000002</v>
      </c>
      <c r="R722" s="82" t="s">
        <v>3399</v>
      </c>
      <c r="S722" s="7">
        <f t="shared" si="34"/>
        <v>0</v>
      </c>
      <c r="T722" s="6">
        <f t="shared" si="35"/>
        <v>0</v>
      </c>
      <c r="U722" s="25">
        <f t="shared" si="33"/>
        <v>0</v>
      </c>
    </row>
    <row r="723" spans="1:21" ht="10.9" customHeight="1" x14ac:dyDescent="0.2">
      <c r="A723" s="82" t="s">
        <v>2612</v>
      </c>
      <c r="B723" s="83">
        <v>45750</v>
      </c>
      <c r="C723" s="82" t="s">
        <v>3395</v>
      </c>
      <c r="D723" s="82" t="s">
        <v>1674</v>
      </c>
      <c r="E723" s="82"/>
      <c r="F723" s="82" t="s">
        <v>4553</v>
      </c>
      <c r="G723" s="89">
        <v>1</v>
      </c>
      <c r="H723" s="89">
        <v>899.55</v>
      </c>
      <c r="I723" s="85">
        <v>0</v>
      </c>
      <c r="J723" s="85">
        <v>116.94</v>
      </c>
      <c r="K723" s="85">
        <v>1016.49</v>
      </c>
      <c r="L723" s="85">
        <v>2152.54</v>
      </c>
      <c r="M723" s="89">
        <v>899.55</v>
      </c>
      <c r="N723" s="85">
        <v>0</v>
      </c>
      <c r="O723" s="85">
        <v>116.94</v>
      </c>
      <c r="P723" s="85">
        <v>1016.49</v>
      </c>
      <c r="Q723" s="85">
        <v>2152.54</v>
      </c>
      <c r="R723" s="82" t="s">
        <v>3399</v>
      </c>
      <c r="S723" s="7">
        <f t="shared" si="34"/>
        <v>0</v>
      </c>
      <c r="T723" s="6">
        <f t="shared" si="35"/>
        <v>0</v>
      </c>
      <c r="U723" s="25">
        <f t="shared" si="33"/>
        <v>0</v>
      </c>
    </row>
    <row r="724" spans="1:21" ht="10.9" customHeight="1" x14ac:dyDescent="0.2">
      <c r="A724" s="82" t="s">
        <v>2612</v>
      </c>
      <c r="B724" s="83">
        <v>45750</v>
      </c>
      <c r="C724" s="82" t="s">
        <v>3395</v>
      </c>
      <c r="D724" s="82" t="s">
        <v>1674</v>
      </c>
      <c r="E724" s="82"/>
      <c r="F724" s="82" t="s">
        <v>4554</v>
      </c>
      <c r="G724" s="89">
        <v>1</v>
      </c>
      <c r="H724" s="89">
        <v>1005.35</v>
      </c>
      <c r="I724" s="85">
        <v>0</v>
      </c>
      <c r="J724" s="85">
        <v>130.69999999999999</v>
      </c>
      <c r="K724" s="85">
        <v>1136.05</v>
      </c>
      <c r="L724" s="85">
        <v>2152.54</v>
      </c>
      <c r="M724" s="89">
        <v>1005.35</v>
      </c>
      <c r="N724" s="85">
        <v>0</v>
      </c>
      <c r="O724" s="85">
        <v>130.69999999999999</v>
      </c>
      <c r="P724" s="85">
        <v>1136.05</v>
      </c>
      <c r="Q724" s="85">
        <v>2152.54</v>
      </c>
      <c r="R724" s="82" t="s">
        <v>3399</v>
      </c>
      <c r="S724" s="7">
        <f t="shared" si="34"/>
        <v>0</v>
      </c>
      <c r="T724" s="6">
        <f t="shared" si="35"/>
        <v>0</v>
      </c>
      <c r="U724" s="25">
        <f t="shared" si="33"/>
        <v>0</v>
      </c>
    </row>
    <row r="725" spans="1:21" ht="10.9" customHeight="1" x14ac:dyDescent="0.2">
      <c r="A725" s="82" t="s">
        <v>2612</v>
      </c>
      <c r="B725" s="83">
        <v>45750</v>
      </c>
      <c r="C725" s="82" t="s">
        <v>3395</v>
      </c>
      <c r="D725" s="82" t="s">
        <v>1674</v>
      </c>
      <c r="E725" s="82"/>
      <c r="F725" s="82" t="s">
        <v>4805</v>
      </c>
      <c r="G725" s="89">
        <v>1</v>
      </c>
      <c r="H725" s="89">
        <v>29.85</v>
      </c>
      <c r="I725" s="85">
        <v>29.85</v>
      </c>
      <c r="J725" s="85">
        <v>0</v>
      </c>
      <c r="K725" s="85">
        <v>0</v>
      </c>
      <c r="L725" s="85">
        <v>2152.54</v>
      </c>
      <c r="M725" s="89">
        <v>29.85</v>
      </c>
      <c r="N725" s="85">
        <v>29.85</v>
      </c>
      <c r="O725" s="85">
        <v>0</v>
      </c>
      <c r="P725" s="85">
        <v>0</v>
      </c>
      <c r="Q725" s="85">
        <v>2152.54</v>
      </c>
      <c r="R725" s="82" t="s">
        <v>3399</v>
      </c>
      <c r="S725" s="7">
        <f t="shared" si="34"/>
        <v>0</v>
      </c>
      <c r="T725" s="6">
        <f t="shared" si="35"/>
        <v>0</v>
      </c>
      <c r="U725" s="25">
        <f t="shared" si="33"/>
        <v>0</v>
      </c>
    </row>
    <row r="726" spans="1:21" ht="10.9" customHeight="1" x14ac:dyDescent="0.2">
      <c r="A726" s="82" t="s">
        <v>3597</v>
      </c>
      <c r="B726" s="83">
        <v>45750</v>
      </c>
      <c r="C726" s="82" t="s">
        <v>3395</v>
      </c>
      <c r="D726" s="82" t="s">
        <v>3596</v>
      </c>
      <c r="E726" s="82"/>
      <c r="F726" s="82" t="s">
        <v>5570</v>
      </c>
      <c r="G726" s="89">
        <v>1</v>
      </c>
      <c r="H726" s="89">
        <v>479.88</v>
      </c>
      <c r="I726" s="85">
        <v>0</v>
      </c>
      <c r="J726" s="85">
        <v>23.99</v>
      </c>
      <c r="K726" s="85">
        <v>503.87</v>
      </c>
      <c r="L726" s="85">
        <v>503.87</v>
      </c>
      <c r="M726" s="89">
        <v>479.88</v>
      </c>
      <c r="N726" s="85">
        <v>0</v>
      </c>
      <c r="O726" s="85">
        <v>23.99</v>
      </c>
      <c r="P726" s="85">
        <v>503.87</v>
      </c>
      <c r="Q726" s="85">
        <v>503.87</v>
      </c>
      <c r="R726" s="82" t="s">
        <v>3399</v>
      </c>
      <c r="S726" s="7">
        <f t="shared" si="34"/>
        <v>0</v>
      </c>
      <c r="T726" s="6">
        <f t="shared" si="35"/>
        <v>0</v>
      </c>
      <c r="U726" s="25">
        <f t="shared" si="33"/>
        <v>0</v>
      </c>
    </row>
    <row r="727" spans="1:21" ht="10.9" customHeight="1" x14ac:dyDescent="0.2">
      <c r="A727" s="82" t="s">
        <v>2514</v>
      </c>
      <c r="B727" s="83">
        <v>45750</v>
      </c>
      <c r="C727" s="82" t="s">
        <v>3395</v>
      </c>
      <c r="D727" s="82" t="s">
        <v>1843</v>
      </c>
      <c r="E727" s="82"/>
      <c r="F727" s="82" t="s">
        <v>4397</v>
      </c>
      <c r="G727" s="89">
        <v>1</v>
      </c>
      <c r="H727" s="89">
        <v>1496.26</v>
      </c>
      <c r="I727" s="85">
        <v>0</v>
      </c>
      <c r="J727" s="85">
        <v>74.81</v>
      </c>
      <c r="K727" s="85">
        <v>1571.07</v>
      </c>
      <c r="L727" s="85">
        <v>1571.07</v>
      </c>
      <c r="M727" s="89">
        <v>1496.26</v>
      </c>
      <c r="N727" s="85">
        <v>0</v>
      </c>
      <c r="O727" s="85">
        <v>74.81</v>
      </c>
      <c r="P727" s="85">
        <v>1571.07</v>
      </c>
      <c r="Q727" s="85">
        <v>1571.07</v>
      </c>
      <c r="R727" s="82" t="s">
        <v>3399</v>
      </c>
      <c r="S727" s="7">
        <f t="shared" si="34"/>
        <v>0</v>
      </c>
      <c r="T727" s="6">
        <f t="shared" si="35"/>
        <v>0</v>
      </c>
      <c r="U727" s="25">
        <f t="shared" si="33"/>
        <v>0</v>
      </c>
    </row>
    <row r="728" spans="1:21" ht="10.9" customHeight="1" x14ac:dyDescent="0.2">
      <c r="A728" s="82" t="s">
        <v>2623</v>
      </c>
      <c r="B728" s="83">
        <v>45750</v>
      </c>
      <c r="C728" s="82" t="s">
        <v>3395</v>
      </c>
      <c r="D728" s="82" t="s">
        <v>1656</v>
      </c>
      <c r="E728" s="82"/>
      <c r="F728" s="82" t="s">
        <v>4728</v>
      </c>
      <c r="G728" s="89">
        <v>8</v>
      </c>
      <c r="H728" s="89">
        <v>124.84</v>
      </c>
      <c r="I728" s="85">
        <v>0</v>
      </c>
      <c r="J728" s="85">
        <v>49.94</v>
      </c>
      <c r="K728" s="85">
        <v>1048.6600000000001</v>
      </c>
      <c r="L728" s="85">
        <v>1078.71</v>
      </c>
      <c r="M728" s="89">
        <v>124.84</v>
      </c>
      <c r="N728" s="85">
        <v>0</v>
      </c>
      <c r="O728" s="85">
        <v>49.94</v>
      </c>
      <c r="P728" s="85">
        <v>1048.6600000000001</v>
      </c>
      <c r="Q728" s="85">
        <v>1078.71</v>
      </c>
      <c r="R728" s="82" t="s">
        <v>3399</v>
      </c>
      <c r="S728" s="7">
        <f t="shared" si="34"/>
        <v>0</v>
      </c>
      <c r="T728" s="6">
        <f t="shared" si="35"/>
        <v>0</v>
      </c>
      <c r="U728" s="25">
        <f t="shared" si="33"/>
        <v>0</v>
      </c>
    </row>
    <row r="729" spans="1:21" ht="10.9" customHeight="1" x14ac:dyDescent="0.2">
      <c r="A729" s="82" t="s">
        <v>2623</v>
      </c>
      <c r="B729" s="83">
        <v>45750</v>
      </c>
      <c r="C729" s="82" t="s">
        <v>3395</v>
      </c>
      <c r="D729" s="82" t="s">
        <v>1656</v>
      </c>
      <c r="E729" s="82"/>
      <c r="F729" s="82" t="s">
        <v>5569</v>
      </c>
      <c r="G729" s="89">
        <v>1</v>
      </c>
      <c r="H729" s="89">
        <v>28.62</v>
      </c>
      <c r="I729" s="85">
        <v>0</v>
      </c>
      <c r="J729" s="85">
        <v>1.43</v>
      </c>
      <c r="K729" s="85">
        <v>30.05</v>
      </c>
      <c r="L729" s="85">
        <v>1078.71</v>
      </c>
      <c r="M729" s="89">
        <v>28.62</v>
      </c>
      <c r="N729" s="85">
        <v>0</v>
      </c>
      <c r="O729" s="85">
        <v>1.43</v>
      </c>
      <c r="P729" s="85">
        <v>30.05</v>
      </c>
      <c r="Q729" s="85">
        <v>1078.71</v>
      </c>
      <c r="R729" s="82" t="s">
        <v>3399</v>
      </c>
      <c r="S729" s="7">
        <f t="shared" si="34"/>
        <v>0</v>
      </c>
      <c r="T729" s="6">
        <f t="shared" si="35"/>
        <v>0</v>
      </c>
      <c r="U729" s="25">
        <f t="shared" si="33"/>
        <v>0</v>
      </c>
    </row>
    <row r="730" spans="1:21" ht="10.9" customHeight="1" x14ac:dyDescent="0.2">
      <c r="A730" s="82" t="s">
        <v>2622</v>
      </c>
      <c r="B730" s="83">
        <v>45750</v>
      </c>
      <c r="C730" s="82" t="s">
        <v>3395</v>
      </c>
      <c r="D730" s="82" t="s">
        <v>1658</v>
      </c>
      <c r="E730" s="82"/>
      <c r="F730" s="82" t="s">
        <v>4495</v>
      </c>
      <c r="G730" s="89">
        <v>3</v>
      </c>
      <c r="H730" s="89">
        <v>226.28</v>
      </c>
      <c r="I730" s="85">
        <v>0</v>
      </c>
      <c r="J730" s="85">
        <v>88.25</v>
      </c>
      <c r="K730" s="85">
        <v>767.09</v>
      </c>
      <c r="L730" s="85">
        <v>767.09</v>
      </c>
      <c r="M730" s="89">
        <v>226.28</v>
      </c>
      <c r="N730" s="85">
        <v>0</v>
      </c>
      <c r="O730" s="85">
        <v>88.25</v>
      </c>
      <c r="P730" s="85">
        <v>767.09</v>
      </c>
      <c r="Q730" s="85">
        <v>767.09</v>
      </c>
      <c r="R730" s="82" t="s">
        <v>3399</v>
      </c>
      <c r="S730" s="7">
        <f t="shared" si="34"/>
        <v>0</v>
      </c>
      <c r="T730" s="6">
        <f t="shared" si="35"/>
        <v>0</v>
      </c>
      <c r="U730" s="25">
        <f t="shared" si="33"/>
        <v>0</v>
      </c>
    </row>
    <row r="731" spans="1:21" ht="10.9" customHeight="1" x14ac:dyDescent="0.2">
      <c r="A731" s="82" t="s">
        <v>2403</v>
      </c>
      <c r="B731" s="83">
        <v>45750</v>
      </c>
      <c r="C731" s="82" t="s">
        <v>3395</v>
      </c>
      <c r="D731" s="82" t="s">
        <v>2033</v>
      </c>
      <c r="E731" s="82"/>
      <c r="F731" s="82" t="s">
        <v>4706</v>
      </c>
      <c r="G731" s="89">
        <v>7</v>
      </c>
      <c r="H731" s="89">
        <v>2022.33</v>
      </c>
      <c r="I731" s="85">
        <v>0</v>
      </c>
      <c r="J731" s="85">
        <v>0</v>
      </c>
      <c r="K731" s="85">
        <v>14156.31</v>
      </c>
      <c r="L731" s="85">
        <v>14156.31</v>
      </c>
      <c r="M731" s="89">
        <v>2849.3634360364522</v>
      </c>
      <c r="N731" s="85">
        <v>0</v>
      </c>
      <c r="O731" s="85">
        <v>0</v>
      </c>
      <c r="P731" s="85">
        <v>19945.544052255165</v>
      </c>
      <c r="Q731" s="85">
        <v>19945.544052255165</v>
      </c>
      <c r="R731" s="82" t="s">
        <v>3399</v>
      </c>
      <c r="S731" s="7">
        <f t="shared" si="34"/>
        <v>0</v>
      </c>
      <c r="T731" s="6">
        <f t="shared" si="35"/>
        <v>0</v>
      </c>
      <c r="U731" s="25">
        <f t="shared" si="33"/>
        <v>0</v>
      </c>
    </row>
    <row r="732" spans="1:21" ht="10.9" customHeight="1" x14ac:dyDescent="0.2">
      <c r="A732" s="82" t="s">
        <v>2615</v>
      </c>
      <c r="B732" s="83">
        <v>45750</v>
      </c>
      <c r="C732" s="82" t="s">
        <v>3395</v>
      </c>
      <c r="D732" s="82" t="s">
        <v>1667</v>
      </c>
      <c r="E732" s="82"/>
      <c r="F732" s="82" t="s">
        <v>4733</v>
      </c>
      <c r="G732" s="89">
        <v>2</v>
      </c>
      <c r="H732" s="89">
        <v>189.35</v>
      </c>
      <c r="I732" s="85">
        <v>0</v>
      </c>
      <c r="J732" s="85">
        <v>0</v>
      </c>
      <c r="K732" s="85">
        <v>378.7</v>
      </c>
      <c r="L732" s="85">
        <v>5390.67</v>
      </c>
      <c r="M732" s="89">
        <v>266.78483067229496</v>
      </c>
      <c r="N732" s="85">
        <v>0</v>
      </c>
      <c r="O732" s="85">
        <v>0</v>
      </c>
      <c r="P732" s="85">
        <v>533.56966134458992</v>
      </c>
      <c r="Q732" s="85">
        <v>7595.1887148678125</v>
      </c>
      <c r="R732" s="82" t="s">
        <v>3399</v>
      </c>
      <c r="S732" s="7">
        <f t="shared" si="34"/>
        <v>0</v>
      </c>
      <c r="T732" s="6">
        <f t="shared" si="35"/>
        <v>0</v>
      </c>
      <c r="U732" s="25">
        <f t="shared" si="33"/>
        <v>0</v>
      </c>
    </row>
    <row r="733" spans="1:21" ht="10.9" customHeight="1" x14ac:dyDescent="0.2">
      <c r="A733" s="82" t="s">
        <v>2615</v>
      </c>
      <c r="B733" s="83">
        <v>45750</v>
      </c>
      <c r="C733" s="82" t="s">
        <v>3395</v>
      </c>
      <c r="D733" s="82" t="s">
        <v>1667</v>
      </c>
      <c r="E733" s="82"/>
      <c r="F733" s="82" t="s">
        <v>5445</v>
      </c>
      <c r="G733" s="89">
        <v>1</v>
      </c>
      <c r="H733" s="89">
        <v>5011.97</v>
      </c>
      <c r="I733" s="85">
        <v>0</v>
      </c>
      <c r="J733" s="85">
        <v>0</v>
      </c>
      <c r="K733" s="85">
        <v>5011.97</v>
      </c>
      <c r="L733" s="85">
        <v>5390.67</v>
      </c>
      <c r="M733" s="89">
        <v>7061.6190535232226</v>
      </c>
      <c r="N733" s="85">
        <v>0</v>
      </c>
      <c r="O733" s="85">
        <v>0</v>
      </c>
      <c r="P733" s="85">
        <v>7061.6190535232226</v>
      </c>
      <c r="Q733" s="85">
        <v>7595.1887148678125</v>
      </c>
      <c r="R733" s="82" t="s">
        <v>3399</v>
      </c>
      <c r="S733" s="7">
        <f t="shared" si="34"/>
        <v>0</v>
      </c>
      <c r="T733" s="6">
        <f t="shared" si="35"/>
        <v>0</v>
      </c>
      <c r="U733" s="25">
        <f t="shared" si="33"/>
        <v>0</v>
      </c>
    </row>
    <row r="734" spans="1:21" ht="10.9" customHeight="1" x14ac:dyDescent="0.2">
      <c r="A734" s="82" t="s">
        <v>2589</v>
      </c>
      <c r="B734" s="83">
        <v>45750</v>
      </c>
      <c r="C734" s="82" t="s">
        <v>3395</v>
      </c>
      <c r="D734" s="82" t="s">
        <v>1715</v>
      </c>
      <c r="E734" s="82"/>
      <c r="F734" s="82" t="s">
        <v>5551</v>
      </c>
      <c r="G734" s="89">
        <v>2</v>
      </c>
      <c r="H734" s="89">
        <v>373.09</v>
      </c>
      <c r="I734" s="85">
        <v>0</v>
      </c>
      <c r="J734" s="85">
        <v>0</v>
      </c>
      <c r="K734" s="85">
        <v>746.18</v>
      </c>
      <c r="L734" s="85">
        <v>1191.0999999999999</v>
      </c>
      <c r="M734" s="89">
        <v>525.66544745458953</v>
      </c>
      <c r="N734" s="85">
        <v>0</v>
      </c>
      <c r="O734" s="85">
        <v>0</v>
      </c>
      <c r="P734" s="85">
        <v>1051.3308949091791</v>
      </c>
      <c r="Q734" s="85">
        <v>1678.2012770729893</v>
      </c>
      <c r="R734" s="82" t="s">
        <v>4511</v>
      </c>
      <c r="S734" s="7">
        <f t="shared" si="34"/>
        <v>0</v>
      </c>
      <c r="T734" s="6">
        <f t="shared" si="35"/>
        <v>0</v>
      </c>
      <c r="U734" s="25">
        <f t="shared" si="33"/>
        <v>0</v>
      </c>
    </row>
    <row r="735" spans="1:21" ht="10.9" customHeight="1" x14ac:dyDescent="0.2">
      <c r="A735" s="82" t="s">
        <v>2589</v>
      </c>
      <c r="B735" s="83">
        <v>45750</v>
      </c>
      <c r="C735" s="82" t="s">
        <v>3395</v>
      </c>
      <c r="D735" s="82" t="s">
        <v>1715</v>
      </c>
      <c r="E735" s="82"/>
      <c r="F735" s="82" t="s">
        <v>5469</v>
      </c>
      <c r="G735" s="89">
        <v>1</v>
      </c>
      <c r="H735" s="89">
        <v>444.92</v>
      </c>
      <c r="I735" s="85">
        <v>0</v>
      </c>
      <c r="J735" s="85">
        <v>0</v>
      </c>
      <c r="K735" s="85">
        <v>444.92</v>
      </c>
      <c r="L735" s="85">
        <v>1191.0999999999999</v>
      </c>
      <c r="M735" s="89">
        <v>626.87038216381029</v>
      </c>
      <c r="N735" s="85">
        <v>0</v>
      </c>
      <c r="O735" s="85">
        <v>0</v>
      </c>
      <c r="P735" s="85">
        <v>626.87038216381029</v>
      </c>
      <c r="Q735" s="85">
        <v>1678.2012770729893</v>
      </c>
      <c r="R735" s="82" t="s">
        <v>4511</v>
      </c>
      <c r="S735" s="7">
        <f t="shared" si="34"/>
        <v>0</v>
      </c>
      <c r="T735" s="6">
        <f t="shared" si="35"/>
        <v>0</v>
      </c>
      <c r="U735" s="25">
        <f t="shared" si="33"/>
        <v>0</v>
      </c>
    </row>
    <row r="736" spans="1:21" ht="10.9" customHeight="1" x14ac:dyDescent="0.2">
      <c r="A736" s="82" t="s">
        <v>5563</v>
      </c>
      <c r="B736" s="83">
        <v>45751</v>
      </c>
      <c r="C736" s="82" t="s">
        <v>3395</v>
      </c>
      <c r="D736" s="82" t="s">
        <v>1651</v>
      </c>
      <c r="E736" s="82"/>
      <c r="F736" s="82" t="s">
        <v>5565</v>
      </c>
      <c r="G736" s="89">
        <v>1</v>
      </c>
      <c r="H736" s="89">
        <v>2929.22</v>
      </c>
      <c r="I736" s="85">
        <v>0</v>
      </c>
      <c r="J736" s="85">
        <v>0</v>
      </c>
      <c r="K736" s="85">
        <v>2929.22</v>
      </c>
      <c r="L736" s="85">
        <v>10275.86</v>
      </c>
      <c r="M736" s="89">
        <v>4164.5625049760583</v>
      </c>
      <c r="N736" s="85">
        <v>0</v>
      </c>
      <c r="O736" s="85">
        <v>0</v>
      </c>
      <c r="P736" s="85">
        <v>4164.5625049760583</v>
      </c>
      <c r="Q736" s="85">
        <v>14609.507398687458</v>
      </c>
      <c r="R736" s="82" t="s">
        <v>4515</v>
      </c>
      <c r="S736" s="7">
        <f t="shared" si="34"/>
        <v>0</v>
      </c>
      <c r="T736" s="6">
        <f t="shared" si="35"/>
        <v>0</v>
      </c>
      <c r="U736" s="25">
        <f t="shared" si="33"/>
        <v>0</v>
      </c>
    </row>
    <row r="737" spans="1:21" ht="10.9" customHeight="1" x14ac:dyDescent="0.2">
      <c r="A737" s="82" t="s">
        <v>5563</v>
      </c>
      <c r="B737" s="83">
        <v>45751</v>
      </c>
      <c r="C737" s="82" t="s">
        <v>3395</v>
      </c>
      <c r="D737" s="82" t="s">
        <v>1651</v>
      </c>
      <c r="E737" s="82"/>
      <c r="F737" s="82" t="s">
        <v>5564</v>
      </c>
      <c r="G737" s="89">
        <v>1</v>
      </c>
      <c r="H737" s="89">
        <v>3218.11</v>
      </c>
      <c r="I737" s="85">
        <v>0</v>
      </c>
      <c r="J737" s="85">
        <v>0</v>
      </c>
      <c r="K737" s="85">
        <v>3218.11</v>
      </c>
      <c r="L737" s="85">
        <v>10275.86</v>
      </c>
      <c r="M737" s="89">
        <v>4575.2863365976273</v>
      </c>
      <c r="N737" s="85">
        <v>0</v>
      </c>
      <c r="O737" s="85">
        <v>0</v>
      </c>
      <c r="P737" s="85">
        <v>4575.2863365976273</v>
      </c>
      <c r="Q737" s="85">
        <v>14609.507398687458</v>
      </c>
      <c r="R737" s="82" t="s">
        <v>4515</v>
      </c>
      <c r="S737" s="7">
        <f t="shared" si="34"/>
        <v>0</v>
      </c>
      <c r="T737" s="6">
        <f t="shared" si="35"/>
        <v>0</v>
      </c>
      <c r="U737" s="25">
        <f t="shared" si="33"/>
        <v>0</v>
      </c>
    </row>
    <row r="738" spans="1:21" ht="10.9" customHeight="1" x14ac:dyDescent="0.2">
      <c r="A738" s="82" t="s">
        <v>5563</v>
      </c>
      <c r="B738" s="83">
        <v>45751</v>
      </c>
      <c r="C738" s="82" t="s">
        <v>3395</v>
      </c>
      <c r="D738" s="82" t="s">
        <v>1651</v>
      </c>
      <c r="E738" s="82"/>
      <c r="F738" s="82" t="s">
        <v>5562</v>
      </c>
      <c r="G738" s="89">
        <v>1</v>
      </c>
      <c r="H738" s="89">
        <v>4128.53</v>
      </c>
      <c r="I738" s="85">
        <v>0</v>
      </c>
      <c r="J738" s="85">
        <v>0</v>
      </c>
      <c r="K738" s="85">
        <v>4128.53</v>
      </c>
      <c r="L738" s="85">
        <v>10275.86</v>
      </c>
      <c r="M738" s="89">
        <v>5869.658557113773</v>
      </c>
      <c r="N738" s="85">
        <v>0</v>
      </c>
      <c r="O738" s="85">
        <v>0</v>
      </c>
      <c r="P738" s="85">
        <v>5869.658557113773</v>
      </c>
      <c r="Q738" s="85">
        <v>14609.507398687458</v>
      </c>
      <c r="R738" s="82" t="s">
        <v>4515</v>
      </c>
      <c r="S738" s="7">
        <f t="shared" si="34"/>
        <v>0</v>
      </c>
      <c r="T738" s="6">
        <f t="shared" si="35"/>
        <v>0</v>
      </c>
      <c r="U738" s="25">
        <f t="shared" si="33"/>
        <v>0</v>
      </c>
    </row>
    <row r="739" spans="1:21" ht="10.9" customHeight="1" x14ac:dyDescent="0.2">
      <c r="A739" s="82" t="s">
        <v>3595</v>
      </c>
      <c r="B739" s="83">
        <v>45751</v>
      </c>
      <c r="C739" s="82" t="s">
        <v>3395</v>
      </c>
      <c r="D739" s="82" t="s">
        <v>3594</v>
      </c>
      <c r="E739" s="82"/>
      <c r="F739" s="82" t="s">
        <v>5566</v>
      </c>
      <c r="G739" s="89">
        <v>2</v>
      </c>
      <c r="H739" s="89">
        <v>6393.78</v>
      </c>
      <c r="I739" s="85">
        <v>0</v>
      </c>
      <c r="J739" s="85">
        <v>1662.38</v>
      </c>
      <c r="K739" s="85">
        <v>14449.94</v>
      </c>
      <c r="L739" s="85">
        <v>14449.94</v>
      </c>
      <c r="M739" s="89">
        <v>6393.78</v>
      </c>
      <c r="N739" s="85">
        <v>0</v>
      </c>
      <c r="O739" s="85">
        <v>1662.38</v>
      </c>
      <c r="P739" s="85">
        <v>14449.94</v>
      </c>
      <c r="Q739" s="85">
        <v>14449.94</v>
      </c>
      <c r="R739" s="82" t="s">
        <v>3399</v>
      </c>
      <c r="S739" s="7">
        <f t="shared" si="34"/>
        <v>0</v>
      </c>
      <c r="T739" s="6">
        <f t="shared" si="35"/>
        <v>0</v>
      </c>
      <c r="U739" s="25">
        <f t="shared" si="33"/>
        <v>0</v>
      </c>
    </row>
    <row r="740" spans="1:21" ht="10.9" customHeight="1" x14ac:dyDescent="0.2">
      <c r="A740" s="82" t="s">
        <v>2482</v>
      </c>
      <c r="B740" s="83">
        <v>45751</v>
      </c>
      <c r="C740" s="82" t="s">
        <v>3395</v>
      </c>
      <c r="D740" s="82" t="s">
        <v>1898</v>
      </c>
      <c r="E740" s="82"/>
      <c r="F740" s="82" t="s">
        <v>4507</v>
      </c>
      <c r="G740" s="89">
        <v>1</v>
      </c>
      <c r="H740" s="89">
        <v>7968.11</v>
      </c>
      <c r="I740" s="85">
        <v>0</v>
      </c>
      <c r="J740" s="85">
        <v>0</v>
      </c>
      <c r="K740" s="85">
        <v>7968.11</v>
      </c>
      <c r="L740" s="85">
        <v>8581.11</v>
      </c>
      <c r="M740" s="89">
        <v>11338.228283992516</v>
      </c>
      <c r="N740" s="85">
        <v>0</v>
      </c>
      <c r="O740" s="85">
        <v>0</v>
      </c>
      <c r="P740" s="85">
        <v>11338.228283992516</v>
      </c>
      <c r="Q740" s="85">
        <v>12210.497107852554</v>
      </c>
      <c r="R740" s="82" t="s">
        <v>3399</v>
      </c>
      <c r="S740" s="7">
        <f t="shared" si="34"/>
        <v>0</v>
      </c>
      <c r="T740" s="6">
        <f t="shared" si="35"/>
        <v>0</v>
      </c>
      <c r="U740" s="25">
        <f t="shared" si="33"/>
        <v>0</v>
      </c>
    </row>
    <row r="741" spans="1:21" ht="10.9" customHeight="1" x14ac:dyDescent="0.2">
      <c r="A741" s="82" t="s">
        <v>2482</v>
      </c>
      <c r="B741" s="83">
        <v>45751</v>
      </c>
      <c r="C741" s="82" t="s">
        <v>3395</v>
      </c>
      <c r="D741" s="82" t="s">
        <v>1898</v>
      </c>
      <c r="E741" s="82"/>
      <c r="F741" s="82" t="s">
        <v>4393</v>
      </c>
      <c r="G741" s="89">
        <v>1</v>
      </c>
      <c r="H741" s="89">
        <v>613</v>
      </c>
      <c r="I741" s="85">
        <v>0</v>
      </c>
      <c r="J741" s="85">
        <v>0</v>
      </c>
      <c r="K741" s="85">
        <v>613</v>
      </c>
      <c r="L741" s="85">
        <v>8581.11</v>
      </c>
      <c r="M741" s="89">
        <v>872.26882386003854</v>
      </c>
      <c r="N741" s="85">
        <v>0</v>
      </c>
      <c r="O741" s="85">
        <v>0</v>
      </c>
      <c r="P741" s="85">
        <v>872.26882386003854</v>
      </c>
      <c r="Q741" s="85">
        <v>12210.497107852554</v>
      </c>
      <c r="R741" s="82" t="s">
        <v>3399</v>
      </c>
      <c r="S741" s="7" t="str">
        <f t="shared" si="34"/>
        <v>INV12821</v>
      </c>
      <c r="T741" s="6">
        <f t="shared" si="35"/>
        <v>1</v>
      </c>
      <c r="U741" s="25">
        <f t="shared" si="33"/>
        <v>613</v>
      </c>
    </row>
    <row r="742" spans="1:21" ht="10.9" customHeight="1" x14ac:dyDescent="0.2">
      <c r="A742" s="82" t="s">
        <v>2618</v>
      </c>
      <c r="B742" s="83">
        <v>45754</v>
      </c>
      <c r="C742" s="82" t="s">
        <v>3395</v>
      </c>
      <c r="D742" s="82" t="s">
        <v>3511</v>
      </c>
      <c r="E742" s="82"/>
      <c r="F742" s="82" t="s">
        <v>5559</v>
      </c>
      <c r="G742" s="89">
        <v>12</v>
      </c>
      <c r="H742" s="89">
        <v>148.94</v>
      </c>
      <c r="I742" s="85">
        <v>0</v>
      </c>
      <c r="J742" s="85">
        <v>0</v>
      </c>
      <c r="K742" s="85">
        <v>1787.28</v>
      </c>
      <c r="L742" s="85">
        <v>3921.01</v>
      </c>
      <c r="M742" s="89">
        <v>211.02863352796405</v>
      </c>
      <c r="N742" s="85">
        <v>0</v>
      </c>
      <c r="O742" s="85">
        <v>0</v>
      </c>
      <c r="P742" s="85">
        <v>2532.3436023355689</v>
      </c>
      <c r="Q742" s="85">
        <v>5555.5618527560246</v>
      </c>
      <c r="R742" s="82" t="s">
        <v>3399</v>
      </c>
      <c r="S742" s="7">
        <f t="shared" si="34"/>
        <v>0</v>
      </c>
      <c r="T742" s="6">
        <f t="shared" si="35"/>
        <v>0</v>
      </c>
      <c r="U742" s="25">
        <f t="shared" si="33"/>
        <v>0</v>
      </c>
    </row>
    <row r="743" spans="1:21" ht="10.9" customHeight="1" x14ac:dyDescent="0.2">
      <c r="A743" s="82" t="s">
        <v>2618</v>
      </c>
      <c r="B743" s="83">
        <v>45754</v>
      </c>
      <c r="C743" s="82" t="s">
        <v>3395</v>
      </c>
      <c r="D743" s="82" t="s">
        <v>3511</v>
      </c>
      <c r="E743" s="82"/>
      <c r="F743" s="82" t="s">
        <v>5558</v>
      </c>
      <c r="G743" s="89">
        <v>1</v>
      </c>
      <c r="H743" s="89">
        <v>1488.73</v>
      </c>
      <c r="I743" s="85">
        <v>0</v>
      </c>
      <c r="J743" s="85">
        <v>0</v>
      </c>
      <c r="K743" s="85">
        <v>1488.73</v>
      </c>
      <c r="L743" s="85">
        <v>3921.01</v>
      </c>
      <c r="M743" s="89">
        <v>2109.3370323088889</v>
      </c>
      <c r="N743" s="85">
        <v>0</v>
      </c>
      <c r="O743" s="85">
        <v>0</v>
      </c>
      <c r="P743" s="85">
        <v>2109.3370323088889</v>
      </c>
      <c r="Q743" s="85">
        <v>5555.5618527560246</v>
      </c>
      <c r="R743" s="82" t="s">
        <v>3399</v>
      </c>
      <c r="S743" s="7">
        <f t="shared" si="34"/>
        <v>0</v>
      </c>
      <c r="T743" s="6">
        <f t="shared" si="35"/>
        <v>0</v>
      </c>
      <c r="U743" s="25">
        <f t="shared" si="33"/>
        <v>0</v>
      </c>
    </row>
    <row r="744" spans="1:21" ht="10.9" customHeight="1" x14ac:dyDescent="0.2">
      <c r="A744" s="82" t="s">
        <v>2618</v>
      </c>
      <c r="B744" s="83">
        <v>45754</v>
      </c>
      <c r="C744" s="82" t="s">
        <v>3395</v>
      </c>
      <c r="D744" s="82" t="s">
        <v>3511</v>
      </c>
      <c r="E744" s="82"/>
      <c r="F744" s="82" t="s">
        <v>4393</v>
      </c>
      <c r="G744" s="89">
        <v>1</v>
      </c>
      <c r="H744" s="89">
        <v>645</v>
      </c>
      <c r="I744" s="85">
        <v>0</v>
      </c>
      <c r="J744" s="85">
        <v>0</v>
      </c>
      <c r="K744" s="85">
        <v>645</v>
      </c>
      <c r="L744" s="85">
        <v>3921.01</v>
      </c>
      <c r="M744" s="89">
        <v>913.88121811156714</v>
      </c>
      <c r="N744" s="85">
        <v>0</v>
      </c>
      <c r="O744" s="85">
        <v>0</v>
      </c>
      <c r="P744" s="85">
        <v>913.88121811156714</v>
      </c>
      <c r="Q744" s="85">
        <v>5555.5618527560246</v>
      </c>
      <c r="R744" s="82" t="s">
        <v>3399</v>
      </c>
      <c r="S744" s="7" t="str">
        <f t="shared" si="34"/>
        <v>INV12825</v>
      </c>
      <c r="T744" s="6">
        <f t="shared" si="35"/>
        <v>1</v>
      </c>
      <c r="U744" s="25">
        <f t="shared" si="33"/>
        <v>645</v>
      </c>
    </row>
    <row r="745" spans="1:21" ht="10.9" customHeight="1" x14ac:dyDescent="0.2">
      <c r="A745" s="82" t="s">
        <v>2568</v>
      </c>
      <c r="B745" s="83">
        <v>45754</v>
      </c>
      <c r="C745" s="82" t="s">
        <v>3395</v>
      </c>
      <c r="D745" s="82" t="s">
        <v>1750</v>
      </c>
      <c r="E745" s="82"/>
      <c r="F745" s="82" t="s">
        <v>5561</v>
      </c>
      <c r="G745" s="89">
        <v>1</v>
      </c>
      <c r="H745" s="89">
        <v>1182.8900000000001</v>
      </c>
      <c r="I745" s="85">
        <v>0</v>
      </c>
      <c r="J745" s="85">
        <v>153.78</v>
      </c>
      <c r="K745" s="85">
        <v>1336.67</v>
      </c>
      <c r="L745" s="85">
        <v>1336.67</v>
      </c>
      <c r="M745" s="89">
        <v>1182.8900000000001</v>
      </c>
      <c r="N745" s="85">
        <v>0</v>
      </c>
      <c r="O745" s="85">
        <v>153.78</v>
      </c>
      <c r="P745" s="85">
        <v>1336.67</v>
      </c>
      <c r="Q745" s="85">
        <v>1336.67</v>
      </c>
      <c r="R745" s="82" t="s">
        <v>3399</v>
      </c>
      <c r="S745" s="7">
        <f t="shared" si="34"/>
        <v>0</v>
      </c>
      <c r="T745" s="6">
        <f t="shared" si="35"/>
        <v>0</v>
      </c>
      <c r="U745" s="25">
        <f t="shared" si="33"/>
        <v>0</v>
      </c>
    </row>
    <row r="746" spans="1:21" ht="10.9" customHeight="1" x14ac:dyDescent="0.2">
      <c r="A746" s="82" t="s">
        <v>2624</v>
      </c>
      <c r="B746" s="83">
        <v>45754</v>
      </c>
      <c r="C746" s="82" t="s">
        <v>3395</v>
      </c>
      <c r="D746" s="82" t="s">
        <v>1654</v>
      </c>
      <c r="E746" s="82"/>
      <c r="F746" s="82" t="s">
        <v>5384</v>
      </c>
      <c r="G746" s="89">
        <v>2</v>
      </c>
      <c r="H746" s="89">
        <v>74.84</v>
      </c>
      <c r="I746" s="85">
        <v>0</v>
      </c>
      <c r="J746" s="85">
        <v>7.48</v>
      </c>
      <c r="K746" s="85">
        <v>157.16</v>
      </c>
      <c r="L746" s="85">
        <v>157.16</v>
      </c>
      <c r="M746" s="89">
        <v>74.84</v>
      </c>
      <c r="N746" s="85">
        <v>0</v>
      </c>
      <c r="O746" s="85">
        <v>7.48</v>
      </c>
      <c r="P746" s="85">
        <v>157.16</v>
      </c>
      <c r="Q746" s="85">
        <v>157.16</v>
      </c>
      <c r="R746" s="82" t="s">
        <v>3399</v>
      </c>
      <c r="S746" s="7">
        <f t="shared" si="34"/>
        <v>0</v>
      </c>
      <c r="T746" s="6">
        <f t="shared" si="35"/>
        <v>0</v>
      </c>
      <c r="U746" s="25">
        <f t="shared" si="33"/>
        <v>0</v>
      </c>
    </row>
    <row r="747" spans="1:21" ht="10.9" customHeight="1" x14ac:dyDescent="0.2">
      <c r="A747" s="82" t="s">
        <v>2390</v>
      </c>
      <c r="B747" s="83">
        <v>45754</v>
      </c>
      <c r="C747" s="82" t="s">
        <v>3395</v>
      </c>
      <c r="D747" s="82" t="s">
        <v>2059</v>
      </c>
      <c r="E747" s="82"/>
      <c r="F747" s="82" t="s">
        <v>5557</v>
      </c>
      <c r="G747" s="89">
        <v>1</v>
      </c>
      <c r="H747" s="89">
        <v>5963.04</v>
      </c>
      <c r="I747" s="85">
        <v>0</v>
      </c>
      <c r="J747" s="85">
        <v>298.14999999999998</v>
      </c>
      <c r="K747" s="85">
        <v>6261.19</v>
      </c>
      <c r="L747" s="85">
        <v>6261.19</v>
      </c>
      <c r="M747" s="89">
        <v>5963.04</v>
      </c>
      <c r="N747" s="85">
        <v>0</v>
      </c>
      <c r="O747" s="85">
        <v>298.14999999999998</v>
      </c>
      <c r="P747" s="85">
        <v>6261.19</v>
      </c>
      <c r="Q747" s="85">
        <v>6261.19</v>
      </c>
      <c r="R747" s="82" t="s">
        <v>3399</v>
      </c>
      <c r="S747" s="7">
        <f t="shared" si="34"/>
        <v>0</v>
      </c>
      <c r="T747" s="6">
        <f t="shared" si="35"/>
        <v>0</v>
      </c>
      <c r="U747" s="25">
        <f t="shared" si="33"/>
        <v>0</v>
      </c>
    </row>
    <row r="748" spans="1:21" ht="10.9" customHeight="1" x14ac:dyDescent="0.2">
      <c r="A748" s="82" t="s">
        <v>2605</v>
      </c>
      <c r="B748" s="83">
        <v>45754</v>
      </c>
      <c r="C748" s="82" t="s">
        <v>3395</v>
      </c>
      <c r="D748" s="82" t="s">
        <v>1684</v>
      </c>
      <c r="E748" s="82"/>
      <c r="F748" s="82" t="s">
        <v>5470</v>
      </c>
      <c r="G748" s="89">
        <v>1</v>
      </c>
      <c r="H748" s="89">
        <v>5998.85</v>
      </c>
      <c r="I748" s="85">
        <v>0</v>
      </c>
      <c r="J748" s="85">
        <v>299.94</v>
      </c>
      <c r="K748" s="85">
        <v>6298.79</v>
      </c>
      <c r="L748" s="85">
        <v>11293.66</v>
      </c>
      <c r="M748" s="89">
        <v>5998.85</v>
      </c>
      <c r="N748" s="85">
        <v>0</v>
      </c>
      <c r="O748" s="85">
        <v>299.94</v>
      </c>
      <c r="P748" s="85">
        <v>6298.79</v>
      </c>
      <c r="Q748" s="85">
        <v>11293.66</v>
      </c>
      <c r="R748" s="82" t="s">
        <v>3399</v>
      </c>
      <c r="S748" s="7">
        <f t="shared" si="34"/>
        <v>0</v>
      </c>
      <c r="T748" s="6">
        <f t="shared" si="35"/>
        <v>0</v>
      </c>
      <c r="U748" s="25">
        <f t="shared" si="33"/>
        <v>0</v>
      </c>
    </row>
    <row r="749" spans="1:21" ht="10.9" customHeight="1" x14ac:dyDescent="0.2">
      <c r="A749" s="82" t="s">
        <v>2605</v>
      </c>
      <c r="B749" s="83">
        <v>45754</v>
      </c>
      <c r="C749" s="82" t="s">
        <v>3395</v>
      </c>
      <c r="D749" s="82" t="s">
        <v>1684</v>
      </c>
      <c r="E749" s="82"/>
      <c r="F749" s="82" t="s">
        <v>5560</v>
      </c>
      <c r="G749" s="89">
        <v>2</v>
      </c>
      <c r="H749" s="89">
        <v>429.78</v>
      </c>
      <c r="I749" s="85">
        <v>0</v>
      </c>
      <c r="J749" s="85">
        <v>42.98</v>
      </c>
      <c r="K749" s="85">
        <v>902.54</v>
      </c>
      <c r="L749" s="85">
        <v>11293.66</v>
      </c>
      <c r="M749" s="89">
        <v>429.78</v>
      </c>
      <c r="N749" s="85">
        <v>0</v>
      </c>
      <c r="O749" s="85">
        <v>42.98</v>
      </c>
      <c r="P749" s="85">
        <v>902.54</v>
      </c>
      <c r="Q749" s="85">
        <v>11293.66</v>
      </c>
      <c r="R749" s="82" t="s">
        <v>3399</v>
      </c>
      <c r="S749" s="7">
        <f t="shared" si="34"/>
        <v>0</v>
      </c>
      <c r="T749" s="6">
        <f t="shared" si="35"/>
        <v>0</v>
      </c>
      <c r="U749" s="25">
        <f t="shared" si="33"/>
        <v>0</v>
      </c>
    </row>
    <row r="750" spans="1:21" ht="10.9" customHeight="1" x14ac:dyDescent="0.2">
      <c r="A750" s="82" t="s">
        <v>2605</v>
      </c>
      <c r="B750" s="83">
        <v>45754</v>
      </c>
      <c r="C750" s="82" t="s">
        <v>3395</v>
      </c>
      <c r="D750" s="82" t="s">
        <v>1684</v>
      </c>
      <c r="E750" s="82"/>
      <c r="F750" s="82" t="s">
        <v>4867</v>
      </c>
      <c r="G750" s="89">
        <v>2</v>
      </c>
      <c r="H750" s="89">
        <v>1948.73</v>
      </c>
      <c r="I750" s="85">
        <v>0</v>
      </c>
      <c r="J750" s="85">
        <v>194.87</v>
      </c>
      <c r="K750" s="85">
        <v>4092.33</v>
      </c>
      <c r="L750" s="85">
        <v>11293.66</v>
      </c>
      <c r="M750" s="89">
        <v>1948.73</v>
      </c>
      <c r="N750" s="85">
        <v>0</v>
      </c>
      <c r="O750" s="85">
        <v>194.87</v>
      </c>
      <c r="P750" s="85">
        <v>4092.33</v>
      </c>
      <c r="Q750" s="85">
        <v>11293.66</v>
      </c>
      <c r="R750" s="82" t="s">
        <v>3399</v>
      </c>
      <c r="S750" s="7">
        <f t="shared" si="34"/>
        <v>0</v>
      </c>
      <c r="T750" s="6">
        <f t="shared" si="35"/>
        <v>0</v>
      </c>
      <c r="U750" s="25">
        <f t="shared" si="33"/>
        <v>0</v>
      </c>
    </row>
    <row r="751" spans="1:21" ht="10.9" customHeight="1" x14ac:dyDescent="0.2">
      <c r="A751" s="82" t="s">
        <v>2443</v>
      </c>
      <c r="B751" s="83">
        <v>45754</v>
      </c>
      <c r="C751" s="82" t="s">
        <v>3395</v>
      </c>
      <c r="D751" s="82" t="s">
        <v>1970</v>
      </c>
      <c r="E751" s="82"/>
      <c r="F751" s="82" t="s">
        <v>5556</v>
      </c>
      <c r="G751" s="89">
        <v>3</v>
      </c>
      <c r="H751" s="89">
        <v>1251.6300000000001</v>
      </c>
      <c r="I751" s="85">
        <v>0</v>
      </c>
      <c r="J751" s="85">
        <v>0</v>
      </c>
      <c r="K751" s="85">
        <v>3754.89</v>
      </c>
      <c r="L751" s="85">
        <v>3754.89</v>
      </c>
      <c r="M751" s="89">
        <v>1773.397130271288</v>
      </c>
      <c r="N751" s="85">
        <v>0</v>
      </c>
      <c r="O751" s="85">
        <v>0</v>
      </c>
      <c r="P751" s="85">
        <v>5320.191390813864</v>
      </c>
      <c r="Q751" s="85">
        <v>5320.191390813864</v>
      </c>
      <c r="R751" s="82" t="s">
        <v>3399</v>
      </c>
      <c r="S751" s="7">
        <f t="shared" si="34"/>
        <v>0</v>
      </c>
      <c r="T751" s="6">
        <f t="shared" si="35"/>
        <v>0</v>
      </c>
      <c r="U751" s="25">
        <f t="shared" si="33"/>
        <v>0</v>
      </c>
    </row>
    <row r="752" spans="1:21" ht="10.9" customHeight="1" x14ac:dyDescent="0.2">
      <c r="A752" s="82" t="s">
        <v>2297</v>
      </c>
      <c r="B752" s="83">
        <v>45754</v>
      </c>
      <c r="C752" s="82" t="s">
        <v>3395</v>
      </c>
      <c r="D752" s="82" t="s">
        <v>3593</v>
      </c>
      <c r="E752" s="82"/>
      <c r="F752" s="82" t="s">
        <v>5556</v>
      </c>
      <c r="G752" s="89">
        <v>1</v>
      </c>
      <c r="H752" s="89">
        <v>1317.49</v>
      </c>
      <c r="I752" s="85">
        <v>0</v>
      </c>
      <c r="J752" s="85">
        <v>0</v>
      </c>
      <c r="K752" s="85">
        <v>1317.49</v>
      </c>
      <c r="L752" s="85">
        <v>1317.49</v>
      </c>
      <c r="M752" s="89">
        <v>1866.7121954260599</v>
      </c>
      <c r="N752" s="85">
        <v>0</v>
      </c>
      <c r="O752" s="85">
        <v>0</v>
      </c>
      <c r="P752" s="85">
        <v>1866.7121954260599</v>
      </c>
      <c r="Q752" s="85">
        <v>1866.7121954260599</v>
      </c>
      <c r="R752" s="82" t="s">
        <v>3399</v>
      </c>
      <c r="S752" s="7">
        <f t="shared" si="34"/>
        <v>0</v>
      </c>
      <c r="T752" s="6">
        <f t="shared" si="35"/>
        <v>0</v>
      </c>
      <c r="U752" s="25">
        <f t="shared" si="33"/>
        <v>0</v>
      </c>
    </row>
    <row r="753" spans="1:21" ht="10.9" customHeight="1" x14ac:dyDescent="0.2">
      <c r="A753" s="82" t="s">
        <v>2626</v>
      </c>
      <c r="B753" s="83">
        <v>45755</v>
      </c>
      <c r="C753" s="82" t="s">
        <v>3395</v>
      </c>
      <c r="D753" s="82" t="s">
        <v>1651</v>
      </c>
      <c r="E753" s="82"/>
      <c r="F753" s="82" t="s">
        <v>5554</v>
      </c>
      <c r="G753" s="89">
        <v>1</v>
      </c>
      <c r="H753" s="89">
        <v>2929.22</v>
      </c>
      <c r="I753" s="85">
        <v>0</v>
      </c>
      <c r="J753" s="85">
        <v>0</v>
      </c>
      <c r="K753" s="85">
        <v>2929.22</v>
      </c>
      <c r="L753" s="85">
        <v>11018.86</v>
      </c>
      <c r="M753" s="89">
        <v>4170.2127659574471</v>
      </c>
      <c r="N753" s="85">
        <v>0</v>
      </c>
      <c r="O753" s="85">
        <v>0</v>
      </c>
      <c r="P753" s="85">
        <v>4170.2127659574471</v>
      </c>
      <c r="Q753" s="85">
        <v>15687.108048660692</v>
      </c>
      <c r="R753" s="82" t="s">
        <v>3399</v>
      </c>
      <c r="S753" s="7">
        <f t="shared" si="34"/>
        <v>0</v>
      </c>
      <c r="T753" s="6">
        <f t="shared" si="35"/>
        <v>0</v>
      </c>
      <c r="U753" s="25">
        <f t="shared" si="33"/>
        <v>0</v>
      </c>
    </row>
    <row r="754" spans="1:21" ht="10.9" customHeight="1" x14ac:dyDescent="0.2">
      <c r="A754" s="82" t="s">
        <v>2626</v>
      </c>
      <c r="B754" s="83">
        <v>45755</v>
      </c>
      <c r="C754" s="82" t="s">
        <v>3395</v>
      </c>
      <c r="D754" s="82" t="s">
        <v>1651</v>
      </c>
      <c r="E754" s="82"/>
      <c r="F754" s="82" t="s">
        <v>5131</v>
      </c>
      <c r="G754" s="89">
        <v>1</v>
      </c>
      <c r="H754" s="89">
        <v>3218.11</v>
      </c>
      <c r="I754" s="85">
        <v>0</v>
      </c>
      <c r="J754" s="85">
        <v>0</v>
      </c>
      <c r="K754" s="85">
        <v>3218.11</v>
      </c>
      <c r="L754" s="85">
        <v>11018.86</v>
      </c>
      <c r="M754" s="89">
        <v>4581.4938462305045</v>
      </c>
      <c r="N754" s="85">
        <v>0</v>
      </c>
      <c r="O754" s="85">
        <v>0</v>
      </c>
      <c r="P754" s="85">
        <v>4581.4938462305045</v>
      </c>
      <c r="Q754" s="85">
        <v>15687.108048660692</v>
      </c>
      <c r="R754" s="82" t="s">
        <v>3399</v>
      </c>
      <c r="S754" s="7">
        <f t="shared" si="34"/>
        <v>0</v>
      </c>
      <c r="T754" s="6">
        <f t="shared" si="35"/>
        <v>0</v>
      </c>
      <c r="U754" s="25">
        <f t="shared" si="33"/>
        <v>0</v>
      </c>
    </row>
    <row r="755" spans="1:21" ht="10.9" customHeight="1" x14ac:dyDescent="0.2">
      <c r="A755" s="82" t="s">
        <v>2626</v>
      </c>
      <c r="B755" s="83">
        <v>45755</v>
      </c>
      <c r="C755" s="82" t="s">
        <v>3395</v>
      </c>
      <c r="D755" s="82" t="s">
        <v>1651</v>
      </c>
      <c r="E755" s="82"/>
      <c r="F755" s="82" t="s">
        <v>5130</v>
      </c>
      <c r="G755" s="89">
        <v>1</v>
      </c>
      <c r="H755" s="89">
        <v>4128.53</v>
      </c>
      <c r="I755" s="85">
        <v>0</v>
      </c>
      <c r="J755" s="85">
        <v>0</v>
      </c>
      <c r="K755" s="85">
        <v>4128.53</v>
      </c>
      <c r="L755" s="85">
        <v>11018.86</v>
      </c>
      <c r="M755" s="89">
        <v>5877.6222033982758</v>
      </c>
      <c r="N755" s="85">
        <v>0</v>
      </c>
      <c r="O755" s="85">
        <v>0</v>
      </c>
      <c r="P755" s="85">
        <v>5877.6222033982758</v>
      </c>
      <c r="Q755" s="85">
        <v>15687.108048660692</v>
      </c>
      <c r="R755" s="82" t="s">
        <v>3399</v>
      </c>
      <c r="S755" s="7">
        <f t="shared" si="34"/>
        <v>0</v>
      </c>
      <c r="T755" s="6">
        <f t="shared" si="35"/>
        <v>0</v>
      </c>
      <c r="U755" s="25">
        <f t="shared" si="33"/>
        <v>0</v>
      </c>
    </row>
    <row r="756" spans="1:21" ht="10.9" customHeight="1" x14ac:dyDescent="0.2">
      <c r="A756" s="82" t="s">
        <v>2626</v>
      </c>
      <c r="B756" s="83">
        <v>45755</v>
      </c>
      <c r="C756" s="82" t="s">
        <v>3395</v>
      </c>
      <c r="D756" s="82" t="s">
        <v>1651</v>
      </c>
      <c r="E756" s="82"/>
      <c r="F756" s="82" t="s">
        <v>4393</v>
      </c>
      <c r="G756" s="89">
        <v>1</v>
      </c>
      <c r="H756" s="89">
        <v>743</v>
      </c>
      <c r="I756" s="85">
        <v>0</v>
      </c>
      <c r="J756" s="85">
        <v>0</v>
      </c>
      <c r="K756" s="85">
        <v>743</v>
      </c>
      <c r="L756" s="85">
        <v>11018.86</v>
      </c>
      <c r="M756" s="89">
        <v>1057.7792330744646</v>
      </c>
      <c r="N756" s="85">
        <v>0</v>
      </c>
      <c r="O756" s="85">
        <v>0</v>
      </c>
      <c r="P756" s="85">
        <v>1057.7792330744646</v>
      </c>
      <c r="Q756" s="85">
        <v>15687.108048660692</v>
      </c>
      <c r="R756" s="82" t="s">
        <v>3399</v>
      </c>
      <c r="S756" s="7" t="str">
        <f t="shared" si="34"/>
        <v>INV12829</v>
      </c>
      <c r="T756" s="6">
        <f t="shared" si="35"/>
        <v>1</v>
      </c>
      <c r="U756" s="25">
        <f t="shared" si="33"/>
        <v>743</v>
      </c>
    </row>
    <row r="757" spans="1:21" ht="10.9" customHeight="1" x14ac:dyDescent="0.2">
      <c r="A757" s="82" t="s">
        <v>2380</v>
      </c>
      <c r="B757" s="83">
        <v>45755</v>
      </c>
      <c r="C757" s="82" t="s">
        <v>3395</v>
      </c>
      <c r="D757" s="82" t="s">
        <v>2069</v>
      </c>
      <c r="E757" s="82"/>
      <c r="F757" s="82" t="s">
        <v>4421</v>
      </c>
      <c r="G757" s="89">
        <v>2</v>
      </c>
      <c r="H757" s="89">
        <v>1798.15</v>
      </c>
      <c r="I757" s="85">
        <v>0</v>
      </c>
      <c r="J757" s="85">
        <v>0</v>
      </c>
      <c r="K757" s="85">
        <v>3596.3</v>
      </c>
      <c r="L757" s="85">
        <v>4239.3</v>
      </c>
      <c r="M757" s="89">
        <v>2559.953873422407</v>
      </c>
      <c r="N757" s="85">
        <v>0</v>
      </c>
      <c r="O757" s="85">
        <v>0</v>
      </c>
      <c r="P757" s="85">
        <v>5119.907746844814</v>
      </c>
      <c r="Q757" s="85">
        <v>6035.3209996939131</v>
      </c>
      <c r="R757" s="82" t="s">
        <v>3399</v>
      </c>
      <c r="S757" s="7">
        <f t="shared" si="34"/>
        <v>0</v>
      </c>
      <c r="T757" s="6">
        <f t="shared" si="35"/>
        <v>0</v>
      </c>
      <c r="U757" s="25">
        <f t="shared" si="33"/>
        <v>0</v>
      </c>
    </row>
    <row r="758" spans="1:21" ht="10.9" customHeight="1" x14ac:dyDescent="0.2">
      <c r="A758" s="82" t="s">
        <v>2380</v>
      </c>
      <c r="B758" s="83">
        <v>45755</v>
      </c>
      <c r="C758" s="82" t="s">
        <v>3395</v>
      </c>
      <c r="D758" s="82" t="s">
        <v>2069</v>
      </c>
      <c r="E758" s="82"/>
      <c r="F758" s="82" t="s">
        <v>4393</v>
      </c>
      <c r="G758" s="89">
        <v>1</v>
      </c>
      <c r="H758" s="89">
        <v>643</v>
      </c>
      <c r="I758" s="85">
        <v>0</v>
      </c>
      <c r="J758" s="85">
        <v>0</v>
      </c>
      <c r="K758" s="85">
        <v>643</v>
      </c>
      <c r="L758" s="85">
        <v>4239.3</v>
      </c>
      <c r="M758" s="89">
        <v>915.41325284909919</v>
      </c>
      <c r="N758" s="85">
        <v>0</v>
      </c>
      <c r="O758" s="85">
        <v>0</v>
      </c>
      <c r="P758" s="85">
        <v>915.41325284909919</v>
      </c>
      <c r="Q758" s="85">
        <v>6035.3209996939131</v>
      </c>
      <c r="R758" s="82" t="s">
        <v>3399</v>
      </c>
      <c r="S758" s="7" t="str">
        <f t="shared" si="34"/>
        <v>INV12830</v>
      </c>
      <c r="T758" s="6">
        <f t="shared" si="35"/>
        <v>1</v>
      </c>
      <c r="U758" s="25">
        <f t="shared" si="33"/>
        <v>643</v>
      </c>
    </row>
    <row r="759" spans="1:21" ht="10.9" customHeight="1" x14ac:dyDescent="0.2">
      <c r="A759" s="82" t="s">
        <v>2463</v>
      </c>
      <c r="B759" s="83">
        <v>45755</v>
      </c>
      <c r="C759" s="82" t="s">
        <v>3395</v>
      </c>
      <c r="D759" s="82" t="s">
        <v>1935</v>
      </c>
      <c r="E759" s="82"/>
      <c r="F759" s="82" t="s">
        <v>4421</v>
      </c>
      <c r="G759" s="89">
        <v>2</v>
      </c>
      <c r="H759" s="89">
        <v>1798.15</v>
      </c>
      <c r="I759" s="85">
        <v>0</v>
      </c>
      <c r="J759" s="85">
        <v>0</v>
      </c>
      <c r="K759" s="85">
        <v>3596.3</v>
      </c>
      <c r="L759" s="85">
        <v>3596.3</v>
      </c>
      <c r="M759" s="89">
        <v>2559.953873422407</v>
      </c>
      <c r="N759" s="85">
        <v>0</v>
      </c>
      <c r="O759" s="85">
        <v>0</v>
      </c>
      <c r="P759" s="85">
        <v>5119.907746844814</v>
      </c>
      <c r="Q759" s="85">
        <v>5119.907746844814</v>
      </c>
      <c r="R759" s="82" t="s">
        <v>3399</v>
      </c>
      <c r="S759" s="7">
        <f t="shared" si="34"/>
        <v>0</v>
      </c>
      <c r="T759" s="6">
        <f t="shared" si="35"/>
        <v>0</v>
      </c>
      <c r="U759" s="25">
        <f t="shared" si="33"/>
        <v>0</v>
      </c>
    </row>
    <row r="760" spans="1:21" ht="10.9" customHeight="1" x14ac:dyDescent="0.2">
      <c r="A760" s="82" t="s">
        <v>2389</v>
      </c>
      <c r="B760" s="83">
        <v>45755</v>
      </c>
      <c r="C760" s="82" t="s">
        <v>3395</v>
      </c>
      <c r="D760" s="82" t="s">
        <v>2061</v>
      </c>
      <c r="E760" s="82"/>
      <c r="F760" s="82" t="s">
        <v>4425</v>
      </c>
      <c r="G760" s="89">
        <v>3</v>
      </c>
      <c r="H760" s="89">
        <v>1023.3</v>
      </c>
      <c r="I760" s="85">
        <v>0</v>
      </c>
      <c r="J760" s="85">
        <v>0</v>
      </c>
      <c r="K760" s="85">
        <v>3069.9</v>
      </c>
      <c r="L760" s="85">
        <v>3069.9</v>
      </c>
      <c r="M760" s="89">
        <v>1456.8310756461635</v>
      </c>
      <c r="N760" s="85">
        <v>0</v>
      </c>
      <c r="O760" s="85">
        <v>0</v>
      </c>
      <c r="P760" s="85">
        <v>4370.4932269384908</v>
      </c>
      <c r="Q760" s="85">
        <v>4370.4932269384908</v>
      </c>
      <c r="R760" s="82" t="s">
        <v>3399</v>
      </c>
      <c r="S760" s="7">
        <f t="shared" si="34"/>
        <v>0</v>
      </c>
      <c r="T760" s="6">
        <f t="shared" si="35"/>
        <v>0</v>
      </c>
      <c r="U760" s="25">
        <f t="shared" si="33"/>
        <v>0</v>
      </c>
    </row>
    <row r="761" spans="1:21" ht="10.9" customHeight="1" x14ac:dyDescent="0.2">
      <c r="A761" s="82" t="s">
        <v>2585</v>
      </c>
      <c r="B761" s="83">
        <v>45755</v>
      </c>
      <c r="C761" s="82" t="s">
        <v>3395</v>
      </c>
      <c r="D761" s="82" t="s">
        <v>1721</v>
      </c>
      <c r="E761" s="82"/>
      <c r="F761" s="82" t="s">
        <v>4629</v>
      </c>
      <c r="G761" s="89">
        <v>6</v>
      </c>
      <c r="H761" s="89">
        <v>592.79999999999995</v>
      </c>
      <c r="I761" s="85">
        <v>0</v>
      </c>
      <c r="J761" s="85">
        <v>0</v>
      </c>
      <c r="K761" s="85">
        <v>3556.8</v>
      </c>
      <c r="L761" s="85">
        <v>13823.71</v>
      </c>
      <c r="M761" s="89">
        <v>843.94553077596572</v>
      </c>
      <c r="N761" s="85">
        <v>0</v>
      </c>
      <c r="O761" s="85">
        <v>0</v>
      </c>
      <c r="P761" s="85">
        <v>5063.673184655795</v>
      </c>
      <c r="Q761" s="85">
        <v>19680.26024501185</v>
      </c>
      <c r="R761" s="82" t="s">
        <v>3399</v>
      </c>
      <c r="S761" s="7">
        <f t="shared" si="34"/>
        <v>0</v>
      </c>
      <c r="T761" s="6">
        <f t="shared" si="35"/>
        <v>0</v>
      </c>
      <c r="U761" s="25">
        <f t="shared" si="33"/>
        <v>0</v>
      </c>
    </row>
    <row r="762" spans="1:21" ht="10.9" customHeight="1" x14ac:dyDescent="0.2">
      <c r="A762" s="82" t="s">
        <v>2585</v>
      </c>
      <c r="B762" s="83">
        <v>45755</v>
      </c>
      <c r="C762" s="82" t="s">
        <v>3395</v>
      </c>
      <c r="D762" s="82" t="s">
        <v>1721</v>
      </c>
      <c r="E762" s="82"/>
      <c r="F762" s="82" t="s">
        <v>4634</v>
      </c>
      <c r="G762" s="89">
        <v>2</v>
      </c>
      <c r="H762" s="89">
        <v>968.42</v>
      </c>
      <c r="I762" s="85">
        <v>0</v>
      </c>
      <c r="J762" s="85">
        <v>0</v>
      </c>
      <c r="K762" s="85">
        <v>1936.84</v>
      </c>
      <c r="L762" s="85">
        <v>13823.71</v>
      </c>
      <c r="M762" s="89">
        <v>1378.700625698483</v>
      </c>
      <c r="N762" s="85">
        <v>0</v>
      </c>
      <c r="O762" s="85">
        <v>0</v>
      </c>
      <c r="P762" s="85">
        <v>2757.401251396966</v>
      </c>
      <c r="Q762" s="85">
        <v>19680.26024501185</v>
      </c>
      <c r="R762" s="82" t="s">
        <v>3399</v>
      </c>
      <c r="S762" s="7">
        <f t="shared" si="34"/>
        <v>0</v>
      </c>
      <c r="T762" s="6">
        <f t="shared" si="35"/>
        <v>0</v>
      </c>
      <c r="U762" s="25">
        <f t="shared" si="33"/>
        <v>0</v>
      </c>
    </row>
    <row r="763" spans="1:21" ht="10.9" customHeight="1" x14ac:dyDescent="0.2">
      <c r="A763" s="82" t="s">
        <v>2585</v>
      </c>
      <c r="B763" s="83">
        <v>45755</v>
      </c>
      <c r="C763" s="82" t="s">
        <v>3395</v>
      </c>
      <c r="D763" s="82" t="s">
        <v>1721</v>
      </c>
      <c r="E763" s="82"/>
      <c r="F763" s="82" t="s">
        <v>4631</v>
      </c>
      <c r="G763" s="89">
        <v>8</v>
      </c>
      <c r="H763" s="89">
        <v>931.43</v>
      </c>
      <c r="I763" s="85">
        <v>0</v>
      </c>
      <c r="J763" s="85">
        <v>0</v>
      </c>
      <c r="K763" s="85">
        <v>7451.44</v>
      </c>
      <c r="L763" s="85">
        <v>13823.71</v>
      </c>
      <c r="M763" s="89">
        <v>1326.0394496131205</v>
      </c>
      <c r="N763" s="85">
        <v>0</v>
      </c>
      <c r="O763" s="85">
        <v>0</v>
      </c>
      <c r="P763" s="85">
        <v>10608.315596904964</v>
      </c>
      <c r="Q763" s="85">
        <v>19680.26024501185</v>
      </c>
      <c r="R763" s="82" t="s">
        <v>3399</v>
      </c>
      <c r="S763" s="7">
        <f t="shared" si="34"/>
        <v>0</v>
      </c>
      <c r="T763" s="6">
        <f t="shared" si="35"/>
        <v>0</v>
      </c>
      <c r="U763" s="25">
        <f t="shared" si="33"/>
        <v>0</v>
      </c>
    </row>
    <row r="764" spans="1:21" ht="10.9" customHeight="1" x14ac:dyDescent="0.2">
      <c r="A764" s="82" t="s">
        <v>2585</v>
      </c>
      <c r="B764" s="83">
        <v>45755</v>
      </c>
      <c r="C764" s="82" t="s">
        <v>3395</v>
      </c>
      <c r="D764" s="82" t="s">
        <v>1721</v>
      </c>
      <c r="E764" s="82"/>
      <c r="F764" s="82" t="s">
        <v>4633</v>
      </c>
      <c r="G764" s="89">
        <v>1</v>
      </c>
      <c r="H764" s="89">
        <v>878.63</v>
      </c>
      <c r="I764" s="85">
        <v>0</v>
      </c>
      <c r="J764" s="85">
        <v>0</v>
      </c>
      <c r="K764" s="85">
        <v>878.63</v>
      </c>
      <c r="L764" s="85">
        <v>13823.71</v>
      </c>
      <c r="M764" s="89">
        <v>1250.8702120541275</v>
      </c>
      <c r="N764" s="85">
        <v>0</v>
      </c>
      <c r="O764" s="85">
        <v>0</v>
      </c>
      <c r="P764" s="85">
        <v>1250.8702120541275</v>
      </c>
      <c r="Q764" s="85">
        <v>19680.26024501185</v>
      </c>
      <c r="R764" s="82" t="s">
        <v>3399</v>
      </c>
      <c r="S764" s="7">
        <f t="shared" si="34"/>
        <v>0</v>
      </c>
      <c r="T764" s="6">
        <f t="shared" si="35"/>
        <v>0</v>
      </c>
      <c r="U764" s="25">
        <f t="shared" si="33"/>
        <v>0</v>
      </c>
    </row>
    <row r="765" spans="1:21" ht="10.9" customHeight="1" x14ac:dyDescent="0.2">
      <c r="A765" s="82" t="s">
        <v>2577</v>
      </c>
      <c r="B765" s="83">
        <v>45755</v>
      </c>
      <c r="C765" s="82" t="s">
        <v>3395</v>
      </c>
      <c r="D765" s="82" t="s">
        <v>1737</v>
      </c>
      <c r="E765" s="82"/>
      <c r="F765" s="82" t="s">
        <v>4765</v>
      </c>
      <c r="G765" s="89">
        <v>4</v>
      </c>
      <c r="H765" s="89">
        <v>5193.5</v>
      </c>
      <c r="I765" s="85">
        <v>0</v>
      </c>
      <c r="J765" s="85">
        <v>0</v>
      </c>
      <c r="K765" s="85">
        <v>20774</v>
      </c>
      <c r="L765" s="85">
        <v>20774</v>
      </c>
      <c r="M765" s="89">
        <v>7393.7771830043494</v>
      </c>
      <c r="N765" s="85">
        <v>0</v>
      </c>
      <c r="O765" s="85">
        <v>0</v>
      </c>
      <c r="P765" s="85">
        <v>29575.108732017397</v>
      </c>
      <c r="Q765" s="85">
        <v>29575.108732017397</v>
      </c>
      <c r="R765" s="82" t="s">
        <v>3399</v>
      </c>
      <c r="S765" s="7">
        <f t="shared" si="34"/>
        <v>0</v>
      </c>
      <c r="T765" s="6">
        <f t="shared" si="35"/>
        <v>0</v>
      </c>
      <c r="U765" s="25">
        <f t="shared" si="33"/>
        <v>0</v>
      </c>
    </row>
    <row r="766" spans="1:21" ht="10.9" customHeight="1" x14ac:dyDescent="0.2">
      <c r="A766" s="82" t="s">
        <v>2631</v>
      </c>
      <c r="B766" s="83">
        <v>45755</v>
      </c>
      <c r="C766" s="82" t="s">
        <v>3395</v>
      </c>
      <c r="D766" s="82" t="s">
        <v>1642</v>
      </c>
      <c r="E766" s="82"/>
      <c r="F766" s="82" t="s">
        <v>5555</v>
      </c>
      <c r="G766" s="89">
        <v>2</v>
      </c>
      <c r="H766" s="89">
        <v>1051.93</v>
      </c>
      <c r="I766" s="85">
        <v>0</v>
      </c>
      <c r="J766" s="85">
        <v>105.19</v>
      </c>
      <c r="K766" s="85">
        <v>2209.0500000000002</v>
      </c>
      <c r="L766" s="85">
        <v>2209.0500000000002</v>
      </c>
      <c r="M766" s="89">
        <v>1051.93</v>
      </c>
      <c r="N766" s="85">
        <v>0</v>
      </c>
      <c r="O766" s="85">
        <v>105.19</v>
      </c>
      <c r="P766" s="85">
        <v>2209.0500000000002</v>
      </c>
      <c r="Q766" s="85">
        <v>2209.0500000000002</v>
      </c>
      <c r="R766" s="82" t="s">
        <v>3399</v>
      </c>
      <c r="S766" s="7">
        <f t="shared" si="34"/>
        <v>0</v>
      </c>
      <c r="T766" s="6">
        <f t="shared" si="35"/>
        <v>0</v>
      </c>
      <c r="U766" s="25">
        <f t="shared" si="33"/>
        <v>0</v>
      </c>
    </row>
    <row r="767" spans="1:21" ht="10.9" customHeight="1" x14ac:dyDescent="0.2">
      <c r="A767" s="82"/>
      <c r="B767" s="83">
        <v>45755</v>
      </c>
      <c r="C767" s="82" t="s">
        <v>3423</v>
      </c>
      <c r="D767" s="82" t="s">
        <v>5553</v>
      </c>
      <c r="E767" s="82"/>
      <c r="F767" s="82" t="s">
        <v>5552</v>
      </c>
      <c r="G767" s="89">
        <v>-1</v>
      </c>
      <c r="H767" s="89">
        <v>645</v>
      </c>
      <c r="I767" s="85">
        <v>0</v>
      </c>
      <c r="J767" s="85">
        <v>0</v>
      </c>
      <c r="K767" s="85">
        <v>-645</v>
      </c>
      <c r="L767" s="85">
        <v>-645</v>
      </c>
      <c r="M767" s="89">
        <v>918.26057245360653</v>
      </c>
      <c r="N767" s="85">
        <v>0</v>
      </c>
      <c r="O767" s="85">
        <v>0</v>
      </c>
      <c r="P767" s="85">
        <v>-918.26057245360653</v>
      </c>
      <c r="Q767" s="85">
        <v>-918.26057245360653</v>
      </c>
      <c r="R767" s="82" t="s">
        <v>4511</v>
      </c>
      <c r="S767" s="7">
        <f t="shared" si="34"/>
        <v>0</v>
      </c>
      <c r="T767" s="6">
        <f t="shared" si="35"/>
        <v>0</v>
      </c>
      <c r="U767" s="25">
        <f t="shared" si="33"/>
        <v>0</v>
      </c>
    </row>
    <row r="768" spans="1:21" ht="10.9" customHeight="1" x14ac:dyDescent="0.2">
      <c r="A768" s="82"/>
      <c r="B768" s="83">
        <v>45755</v>
      </c>
      <c r="C768" s="82" t="s">
        <v>3423</v>
      </c>
      <c r="D768" s="82" t="s">
        <v>1664</v>
      </c>
      <c r="E768" s="82"/>
      <c r="F768" s="82" t="s">
        <v>1664</v>
      </c>
      <c r="G768" s="89">
        <v>-1</v>
      </c>
      <c r="H768" s="89">
        <v>645</v>
      </c>
      <c r="I768" s="85">
        <v>0</v>
      </c>
      <c r="J768" s="85">
        <v>0</v>
      </c>
      <c r="K768" s="85">
        <v>-645</v>
      </c>
      <c r="L768" s="85">
        <v>-645</v>
      </c>
      <c r="M768" s="89">
        <v>918.26057245360653</v>
      </c>
      <c r="N768" s="85">
        <v>0</v>
      </c>
      <c r="O768" s="85">
        <v>0</v>
      </c>
      <c r="P768" s="85">
        <v>-918.26057245360653</v>
      </c>
      <c r="Q768" s="85">
        <v>-918.26057245360653</v>
      </c>
      <c r="R768" s="82" t="s">
        <v>3399</v>
      </c>
      <c r="S768" s="7">
        <f t="shared" si="34"/>
        <v>0</v>
      </c>
      <c r="T768" s="6">
        <f t="shared" si="35"/>
        <v>0</v>
      </c>
      <c r="U768" s="25">
        <f t="shared" si="33"/>
        <v>0</v>
      </c>
    </row>
    <row r="769" spans="1:21" ht="10.9" customHeight="1" x14ac:dyDescent="0.2">
      <c r="A769" s="82" t="s">
        <v>3592</v>
      </c>
      <c r="B769" s="83">
        <v>45756</v>
      </c>
      <c r="C769" s="82" t="s">
        <v>3395</v>
      </c>
      <c r="D769" s="82" t="s">
        <v>1715</v>
      </c>
      <c r="E769" s="82"/>
      <c r="F769" s="82" t="s">
        <v>5551</v>
      </c>
      <c r="G769" s="89">
        <v>2</v>
      </c>
      <c r="H769" s="89">
        <v>373.09</v>
      </c>
      <c r="I769" s="85">
        <v>0</v>
      </c>
      <c r="J769" s="85">
        <v>0</v>
      </c>
      <c r="K769" s="85">
        <v>746.18</v>
      </c>
      <c r="L769" s="85">
        <v>746.18</v>
      </c>
      <c r="M769" s="89">
        <v>525.76989798578654</v>
      </c>
      <c r="N769" s="85">
        <v>0</v>
      </c>
      <c r="O769" s="85">
        <v>0</v>
      </c>
      <c r="P769" s="85">
        <v>1051.5397959715731</v>
      </c>
      <c r="Q769" s="85">
        <v>1051.5397959715731</v>
      </c>
      <c r="R769" s="82" t="s">
        <v>3399</v>
      </c>
      <c r="S769" s="7">
        <f t="shared" si="34"/>
        <v>0</v>
      </c>
      <c r="T769" s="6">
        <f t="shared" si="35"/>
        <v>0</v>
      </c>
      <c r="U769" s="25">
        <f t="shared" si="33"/>
        <v>0</v>
      </c>
    </row>
    <row r="770" spans="1:21" ht="10.9" customHeight="1" x14ac:dyDescent="0.2">
      <c r="A770" s="82" t="s">
        <v>2383</v>
      </c>
      <c r="B770" s="83">
        <v>45756</v>
      </c>
      <c r="C770" s="82" t="s">
        <v>3395</v>
      </c>
      <c r="D770" s="82" t="s">
        <v>2065</v>
      </c>
      <c r="E770" s="82"/>
      <c r="F770" s="82" t="s">
        <v>5362</v>
      </c>
      <c r="G770" s="89">
        <v>2</v>
      </c>
      <c r="H770" s="89">
        <v>9375.93</v>
      </c>
      <c r="I770" s="85">
        <v>0</v>
      </c>
      <c r="J770" s="85">
        <v>0</v>
      </c>
      <c r="K770" s="85">
        <v>18751.86</v>
      </c>
      <c r="L770" s="85">
        <v>18751.86</v>
      </c>
      <c r="M770" s="89">
        <v>13212.848802224329</v>
      </c>
      <c r="N770" s="85">
        <v>0</v>
      </c>
      <c r="O770" s="85">
        <v>0</v>
      </c>
      <c r="P770" s="85">
        <v>26425.697604448658</v>
      </c>
      <c r="Q770" s="85">
        <v>26425.697604448658</v>
      </c>
      <c r="R770" s="82" t="s">
        <v>3399</v>
      </c>
      <c r="S770" s="7">
        <f t="shared" si="34"/>
        <v>0</v>
      </c>
      <c r="T770" s="6">
        <f t="shared" si="35"/>
        <v>0</v>
      </c>
      <c r="U770" s="25">
        <f t="shared" ref="U770:U833" si="36">IF(T770=1,K770-J770,0)</f>
        <v>0</v>
      </c>
    </row>
    <row r="771" spans="1:21" ht="10.9" customHeight="1" x14ac:dyDescent="0.2">
      <c r="A771" s="82" t="s">
        <v>2638</v>
      </c>
      <c r="B771" s="83">
        <v>45756</v>
      </c>
      <c r="C771" s="82" t="s">
        <v>3395</v>
      </c>
      <c r="D771" s="82" t="s">
        <v>1634</v>
      </c>
      <c r="E771" s="82"/>
      <c r="F771" s="82" t="s">
        <v>5550</v>
      </c>
      <c r="G771" s="89">
        <v>2</v>
      </c>
      <c r="H771" s="89">
        <v>2294.11</v>
      </c>
      <c r="I771" s="85">
        <v>0</v>
      </c>
      <c r="J771" s="85">
        <v>0</v>
      </c>
      <c r="K771" s="85">
        <v>4588.22</v>
      </c>
      <c r="L771" s="85">
        <v>9733.5499999999993</v>
      </c>
      <c r="M771" s="89">
        <v>3232.9303403151321</v>
      </c>
      <c r="N771" s="85">
        <v>0</v>
      </c>
      <c r="O771" s="85">
        <v>0</v>
      </c>
      <c r="P771" s="85">
        <v>6465.8606806302641</v>
      </c>
      <c r="Q771" s="85">
        <v>13716.817900612592</v>
      </c>
      <c r="R771" s="82" t="s">
        <v>3399</v>
      </c>
      <c r="S771" s="7">
        <f t="shared" ref="S771:S834" si="37">IF(T771=1,A771,0)</f>
        <v>0</v>
      </c>
      <c r="T771" s="6">
        <f t="shared" ref="T771:T834" si="38">IFERROR(FIND("Freight",F771,1),0)</f>
        <v>0</v>
      </c>
      <c r="U771" s="25">
        <f t="shared" si="36"/>
        <v>0</v>
      </c>
    </row>
    <row r="772" spans="1:21" ht="10.9" customHeight="1" x14ac:dyDescent="0.2">
      <c r="A772" s="82" t="s">
        <v>2638</v>
      </c>
      <c r="B772" s="83">
        <v>45756</v>
      </c>
      <c r="C772" s="82" t="s">
        <v>3395</v>
      </c>
      <c r="D772" s="82" t="s">
        <v>1634</v>
      </c>
      <c r="E772" s="82"/>
      <c r="F772" s="82" t="s">
        <v>4445</v>
      </c>
      <c r="G772" s="89">
        <v>3</v>
      </c>
      <c r="H772" s="89">
        <v>1510.11</v>
      </c>
      <c r="I772" s="85">
        <v>0</v>
      </c>
      <c r="J772" s="85">
        <v>0</v>
      </c>
      <c r="K772" s="85">
        <v>4530.33</v>
      </c>
      <c r="L772" s="85">
        <v>9733.5499999999993</v>
      </c>
      <c r="M772" s="89">
        <v>2128.0934376351979</v>
      </c>
      <c r="N772" s="85">
        <v>0</v>
      </c>
      <c r="O772" s="85">
        <v>0</v>
      </c>
      <c r="P772" s="85">
        <v>6384.2803129055947</v>
      </c>
      <c r="Q772" s="85">
        <v>13716.817900612592</v>
      </c>
      <c r="R772" s="82" t="s">
        <v>3399</v>
      </c>
      <c r="S772" s="7">
        <f t="shared" si="37"/>
        <v>0</v>
      </c>
      <c r="T772" s="6">
        <f t="shared" si="38"/>
        <v>0</v>
      </c>
      <c r="U772" s="25">
        <f t="shared" si="36"/>
        <v>0</v>
      </c>
    </row>
    <row r="773" spans="1:21" ht="10.9" customHeight="1" x14ac:dyDescent="0.2">
      <c r="A773" s="82" t="s">
        <v>2638</v>
      </c>
      <c r="B773" s="83">
        <v>45756</v>
      </c>
      <c r="C773" s="82" t="s">
        <v>3395</v>
      </c>
      <c r="D773" s="82" t="s">
        <v>1634</v>
      </c>
      <c r="E773" s="82"/>
      <c r="F773" s="82" t="s">
        <v>4885</v>
      </c>
      <c r="G773" s="89">
        <v>1</v>
      </c>
      <c r="H773" s="89">
        <v>615</v>
      </c>
      <c r="I773" s="85">
        <v>0</v>
      </c>
      <c r="J773" s="85">
        <v>0</v>
      </c>
      <c r="K773" s="85">
        <v>615</v>
      </c>
      <c r="L773" s="85">
        <v>9733.5499999999993</v>
      </c>
      <c r="M773" s="89">
        <v>866.67690707673398</v>
      </c>
      <c r="N773" s="85">
        <v>0</v>
      </c>
      <c r="O773" s="85">
        <v>0</v>
      </c>
      <c r="P773" s="85">
        <v>866.67690707673398</v>
      </c>
      <c r="Q773" s="85">
        <v>13716.817900612592</v>
      </c>
      <c r="R773" s="82" t="s">
        <v>3399</v>
      </c>
      <c r="S773" s="7" t="str">
        <f t="shared" si="37"/>
        <v>INV12841</v>
      </c>
      <c r="T773" s="6">
        <f t="shared" si="38"/>
        <v>1</v>
      </c>
      <c r="U773" s="25">
        <f t="shared" si="36"/>
        <v>615</v>
      </c>
    </row>
    <row r="774" spans="1:21" ht="10.9" customHeight="1" x14ac:dyDescent="0.2">
      <c r="A774" s="82" t="s">
        <v>2630</v>
      </c>
      <c r="B774" s="83">
        <v>45756</v>
      </c>
      <c r="C774" s="82" t="s">
        <v>3395</v>
      </c>
      <c r="D774" s="82" t="s">
        <v>1644</v>
      </c>
      <c r="E774" s="82"/>
      <c r="F774" s="82" t="s">
        <v>4599</v>
      </c>
      <c r="G774" s="89">
        <v>1</v>
      </c>
      <c r="H774" s="89">
        <v>168.53</v>
      </c>
      <c r="I774" s="85">
        <v>0</v>
      </c>
      <c r="J774" s="85">
        <v>21.91</v>
      </c>
      <c r="K774" s="85">
        <v>190.44</v>
      </c>
      <c r="L774" s="85">
        <v>190.44</v>
      </c>
      <c r="M774" s="89">
        <v>168.53</v>
      </c>
      <c r="N774" s="85">
        <v>0</v>
      </c>
      <c r="O774" s="85">
        <v>21.91</v>
      </c>
      <c r="P774" s="85">
        <v>190.44</v>
      </c>
      <c r="Q774" s="85">
        <v>190.44</v>
      </c>
      <c r="R774" s="82" t="s">
        <v>3399</v>
      </c>
      <c r="S774" s="7">
        <f t="shared" si="37"/>
        <v>0</v>
      </c>
      <c r="T774" s="6">
        <f t="shared" si="38"/>
        <v>0</v>
      </c>
      <c r="U774" s="25">
        <f t="shared" si="36"/>
        <v>0</v>
      </c>
    </row>
    <row r="775" spans="1:21" ht="10.9" customHeight="1" x14ac:dyDescent="0.2">
      <c r="A775" s="82" t="s">
        <v>3591</v>
      </c>
      <c r="B775" s="83">
        <v>45757</v>
      </c>
      <c r="C775" s="82" t="s">
        <v>3395</v>
      </c>
      <c r="D775" s="82" t="s">
        <v>3590</v>
      </c>
      <c r="E775" s="82"/>
      <c r="F775" s="82" t="s">
        <v>5544</v>
      </c>
      <c r="G775" s="89">
        <v>2</v>
      </c>
      <c r="H775" s="89">
        <v>2875</v>
      </c>
      <c r="I775" s="85">
        <v>0</v>
      </c>
      <c r="J775" s="85">
        <v>0</v>
      </c>
      <c r="K775" s="85">
        <v>5750</v>
      </c>
      <c r="L775" s="85">
        <v>8487</v>
      </c>
      <c r="M775" s="89">
        <v>4005.221415605457</v>
      </c>
      <c r="N775" s="85">
        <v>0</v>
      </c>
      <c r="O775" s="85">
        <v>0</v>
      </c>
      <c r="P775" s="85">
        <v>8010.4428312109139</v>
      </c>
      <c r="Q775" s="85">
        <v>11823.413618867309</v>
      </c>
      <c r="R775" s="82" t="s">
        <v>3399</v>
      </c>
      <c r="S775" s="7">
        <f t="shared" si="37"/>
        <v>0</v>
      </c>
      <c r="T775" s="6">
        <f t="shared" si="38"/>
        <v>0</v>
      </c>
      <c r="U775" s="25">
        <f t="shared" si="36"/>
        <v>0</v>
      </c>
    </row>
    <row r="776" spans="1:21" ht="10.9" customHeight="1" x14ac:dyDescent="0.2">
      <c r="A776" s="82" t="s">
        <v>3591</v>
      </c>
      <c r="B776" s="83">
        <v>45757</v>
      </c>
      <c r="C776" s="82" t="s">
        <v>3395</v>
      </c>
      <c r="D776" s="82" t="s">
        <v>3590</v>
      </c>
      <c r="E776" s="82"/>
      <c r="F776" s="82" t="s">
        <v>5543</v>
      </c>
      <c r="G776" s="89">
        <v>2</v>
      </c>
      <c r="H776" s="89">
        <v>1368.5</v>
      </c>
      <c r="I776" s="85">
        <v>0</v>
      </c>
      <c r="J776" s="85">
        <v>0</v>
      </c>
      <c r="K776" s="85">
        <v>2737</v>
      </c>
      <c r="L776" s="85">
        <v>8487</v>
      </c>
      <c r="M776" s="89">
        <v>1906.4853938281976</v>
      </c>
      <c r="N776" s="85">
        <v>0</v>
      </c>
      <c r="O776" s="85">
        <v>0</v>
      </c>
      <c r="P776" s="85">
        <v>3812.9707876563953</v>
      </c>
      <c r="Q776" s="85">
        <v>11823.413618867309</v>
      </c>
      <c r="R776" s="82" t="s">
        <v>3399</v>
      </c>
      <c r="S776" s="7">
        <f t="shared" si="37"/>
        <v>0</v>
      </c>
      <c r="T776" s="6">
        <f t="shared" si="38"/>
        <v>0</v>
      </c>
      <c r="U776" s="25">
        <f t="shared" si="36"/>
        <v>0</v>
      </c>
    </row>
    <row r="777" spans="1:21" ht="10.9" customHeight="1" x14ac:dyDescent="0.2">
      <c r="A777" s="82" t="s">
        <v>2609</v>
      </c>
      <c r="B777" s="83">
        <v>45757</v>
      </c>
      <c r="C777" s="82" t="s">
        <v>3395</v>
      </c>
      <c r="D777" s="82" t="s">
        <v>1678</v>
      </c>
      <c r="E777" s="82"/>
      <c r="F777" s="82" t="s">
        <v>5187</v>
      </c>
      <c r="G777" s="89">
        <v>4</v>
      </c>
      <c r="H777" s="89">
        <v>1215</v>
      </c>
      <c r="I777" s="85">
        <v>0</v>
      </c>
      <c r="J777" s="85">
        <v>0</v>
      </c>
      <c r="K777" s="85">
        <v>4860</v>
      </c>
      <c r="L777" s="85">
        <v>4860</v>
      </c>
      <c r="M777" s="89">
        <v>1692.6413982471759</v>
      </c>
      <c r="N777" s="85">
        <v>0</v>
      </c>
      <c r="O777" s="85">
        <v>0</v>
      </c>
      <c r="P777" s="85">
        <v>6770.5655929887034</v>
      </c>
      <c r="Q777" s="85">
        <v>6770.5655929887034</v>
      </c>
      <c r="R777" s="82" t="s">
        <v>3399</v>
      </c>
      <c r="S777" s="7">
        <f t="shared" si="37"/>
        <v>0</v>
      </c>
      <c r="T777" s="6">
        <f t="shared" si="38"/>
        <v>0</v>
      </c>
      <c r="U777" s="25">
        <f t="shared" si="36"/>
        <v>0</v>
      </c>
    </row>
    <row r="778" spans="1:21" ht="10.9" customHeight="1" x14ac:dyDescent="0.2">
      <c r="A778" s="82" t="s">
        <v>2507</v>
      </c>
      <c r="B778" s="83">
        <v>45757</v>
      </c>
      <c r="C778" s="82" t="s">
        <v>3395</v>
      </c>
      <c r="D778" s="82" t="s">
        <v>1854</v>
      </c>
      <c r="E778" s="82"/>
      <c r="F778" s="82" t="s">
        <v>5547</v>
      </c>
      <c r="G778" s="89">
        <v>1</v>
      </c>
      <c r="H778" s="89">
        <v>271.08999999999997</v>
      </c>
      <c r="I778" s="85">
        <v>0</v>
      </c>
      <c r="J778" s="85">
        <v>0</v>
      </c>
      <c r="K778" s="85">
        <v>271.08999999999997</v>
      </c>
      <c r="L778" s="85">
        <v>926.23</v>
      </c>
      <c r="M778" s="89">
        <v>379.81085814360773</v>
      </c>
      <c r="N778" s="85">
        <v>0</v>
      </c>
      <c r="O778" s="85">
        <v>0</v>
      </c>
      <c r="P778" s="85">
        <v>379.81085814360773</v>
      </c>
      <c r="Q778" s="85">
        <v>1297.6952714535903</v>
      </c>
      <c r="R778" s="82" t="s">
        <v>3399</v>
      </c>
      <c r="S778" s="7">
        <f t="shared" si="37"/>
        <v>0</v>
      </c>
      <c r="T778" s="6">
        <f t="shared" si="38"/>
        <v>0</v>
      </c>
      <c r="U778" s="25">
        <f t="shared" si="36"/>
        <v>0</v>
      </c>
    </row>
    <row r="779" spans="1:21" ht="10.9" customHeight="1" x14ac:dyDescent="0.2">
      <c r="A779" s="82" t="s">
        <v>2507</v>
      </c>
      <c r="B779" s="83">
        <v>45757</v>
      </c>
      <c r="C779" s="82" t="s">
        <v>3395</v>
      </c>
      <c r="D779" s="82" t="s">
        <v>1854</v>
      </c>
      <c r="E779" s="82"/>
      <c r="F779" s="82" t="s">
        <v>5546</v>
      </c>
      <c r="G779" s="89">
        <v>1</v>
      </c>
      <c r="H779" s="89">
        <v>554.73</v>
      </c>
      <c r="I779" s="85">
        <v>0</v>
      </c>
      <c r="J779" s="85">
        <v>0</v>
      </c>
      <c r="K779" s="85">
        <v>554.73</v>
      </c>
      <c r="L779" s="85">
        <v>926.23</v>
      </c>
      <c r="M779" s="89">
        <v>777.20490367775835</v>
      </c>
      <c r="N779" s="85">
        <v>0</v>
      </c>
      <c r="O779" s="85">
        <v>0</v>
      </c>
      <c r="P779" s="85">
        <v>777.20490367775835</v>
      </c>
      <c r="Q779" s="85">
        <v>1297.6952714535903</v>
      </c>
      <c r="R779" s="82" t="s">
        <v>3399</v>
      </c>
      <c r="S779" s="7">
        <f t="shared" si="37"/>
        <v>0</v>
      </c>
      <c r="T779" s="6">
        <f t="shared" si="38"/>
        <v>0</v>
      </c>
      <c r="U779" s="25">
        <f t="shared" si="36"/>
        <v>0</v>
      </c>
    </row>
    <row r="780" spans="1:21" ht="10.9" customHeight="1" x14ac:dyDescent="0.2">
      <c r="A780" s="82" t="s">
        <v>2507</v>
      </c>
      <c r="B780" s="83">
        <v>45757</v>
      </c>
      <c r="C780" s="82" t="s">
        <v>3395</v>
      </c>
      <c r="D780" s="82" t="s">
        <v>1854</v>
      </c>
      <c r="E780" s="82"/>
      <c r="F780" s="82" t="s">
        <v>5545</v>
      </c>
      <c r="G780" s="89">
        <v>1</v>
      </c>
      <c r="H780" s="89">
        <v>100.41</v>
      </c>
      <c r="I780" s="85">
        <v>0</v>
      </c>
      <c r="J780" s="85">
        <v>0</v>
      </c>
      <c r="K780" s="85">
        <v>100.41</v>
      </c>
      <c r="L780" s="85">
        <v>926.23</v>
      </c>
      <c r="M780" s="89">
        <v>140.67950963222418</v>
      </c>
      <c r="N780" s="85">
        <v>0</v>
      </c>
      <c r="O780" s="85">
        <v>0</v>
      </c>
      <c r="P780" s="85">
        <v>140.67950963222418</v>
      </c>
      <c r="Q780" s="85">
        <v>1297.6952714535903</v>
      </c>
      <c r="R780" s="82" t="s">
        <v>3399</v>
      </c>
      <c r="S780" s="7">
        <f t="shared" si="37"/>
        <v>0</v>
      </c>
      <c r="T780" s="6">
        <f t="shared" si="38"/>
        <v>0</v>
      </c>
      <c r="U780" s="25">
        <f t="shared" si="36"/>
        <v>0</v>
      </c>
    </row>
    <row r="781" spans="1:21" ht="10.9" customHeight="1" x14ac:dyDescent="0.2">
      <c r="A781" s="82" t="s">
        <v>2640</v>
      </c>
      <c r="B781" s="83">
        <v>45757</v>
      </c>
      <c r="C781" s="82" t="s">
        <v>3395</v>
      </c>
      <c r="D781" s="82" t="s">
        <v>1630</v>
      </c>
      <c r="E781" s="82"/>
      <c r="F781" s="82" t="s">
        <v>4426</v>
      </c>
      <c r="G781" s="89">
        <v>1</v>
      </c>
      <c r="H781" s="89">
        <v>187.33</v>
      </c>
      <c r="I781" s="85">
        <v>0</v>
      </c>
      <c r="J781" s="85">
        <v>9.3699999999999992</v>
      </c>
      <c r="K781" s="85">
        <v>196.7</v>
      </c>
      <c r="L781" s="85">
        <v>1474.74</v>
      </c>
      <c r="M781" s="89">
        <v>187.33</v>
      </c>
      <c r="N781" s="85">
        <v>0</v>
      </c>
      <c r="O781" s="85">
        <v>9.3699999999999992</v>
      </c>
      <c r="P781" s="85">
        <v>196.7</v>
      </c>
      <c r="Q781" s="85">
        <v>1474.74</v>
      </c>
      <c r="R781" s="82" t="s">
        <v>3399</v>
      </c>
      <c r="S781" s="7">
        <f t="shared" si="37"/>
        <v>0</v>
      </c>
      <c r="T781" s="6">
        <f t="shared" si="38"/>
        <v>0</v>
      </c>
      <c r="U781" s="25">
        <f t="shared" si="36"/>
        <v>0</v>
      </c>
    </row>
    <row r="782" spans="1:21" ht="10.9" customHeight="1" x14ac:dyDescent="0.2">
      <c r="A782" s="82" t="s">
        <v>2640</v>
      </c>
      <c r="B782" s="83">
        <v>45757</v>
      </c>
      <c r="C782" s="82" t="s">
        <v>3395</v>
      </c>
      <c r="D782" s="82" t="s">
        <v>1630</v>
      </c>
      <c r="E782" s="82"/>
      <c r="F782" s="82" t="s">
        <v>4676</v>
      </c>
      <c r="G782" s="89">
        <v>1</v>
      </c>
      <c r="H782" s="89">
        <v>1217.18</v>
      </c>
      <c r="I782" s="85">
        <v>0</v>
      </c>
      <c r="J782" s="85">
        <v>60.86</v>
      </c>
      <c r="K782" s="85">
        <v>1278.04</v>
      </c>
      <c r="L782" s="85">
        <v>1474.74</v>
      </c>
      <c r="M782" s="89">
        <v>1217.18</v>
      </c>
      <c r="N782" s="85">
        <v>0</v>
      </c>
      <c r="O782" s="85">
        <v>60.86</v>
      </c>
      <c r="P782" s="85">
        <v>1278.04</v>
      </c>
      <c r="Q782" s="85">
        <v>1474.74</v>
      </c>
      <c r="R782" s="82" t="s">
        <v>3399</v>
      </c>
      <c r="S782" s="7">
        <f t="shared" si="37"/>
        <v>0</v>
      </c>
      <c r="T782" s="6">
        <f t="shared" si="38"/>
        <v>0</v>
      </c>
      <c r="U782" s="25">
        <f t="shared" si="36"/>
        <v>0</v>
      </c>
    </row>
    <row r="783" spans="1:21" ht="10.9" customHeight="1" x14ac:dyDescent="0.2">
      <c r="A783" s="82" t="s">
        <v>2632</v>
      </c>
      <c r="B783" s="83">
        <v>45757</v>
      </c>
      <c r="C783" s="82" t="s">
        <v>3395</v>
      </c>
      <c r="D783" s="82" t="s">
        <v>1640</v>
      </c>
      <c r="E783" s="82"/>
      <c r="F783" s="82" t="s">
        <v>4647</v>
      </c>
      <c r="G783" s="89">
        <v>2</v>
      </c>
      <c r="H783" s="89">
        <v>898.22</v>
      </c>
      <c r="I783" s="85">
        <v>0</v>
      </c>
      <c r="J783" s="85">
        <v>89.82</v>
      </c>
      <c r="K783" s="85">
        <v>1886.26</v>
      </c>
      <c r="L783" s="85">
        <v>1886.26</v>
      </c>
      <c r="M783" s="89">
        <v>898.22</v>
      </c>
      <c r="N783" s="85">
        <v>0</v>
      </c>
      <c r="O783" s="85">
        <v>89.82</v>
      </c>
      <c r="P783" s="85">
        <v>1886.26</v>
      </c>
      <c r="Q783" s="85">
        <v>1886.26</v>
      </c>
      <c r="R783" s="82" t="s">
        <v>3399</v>
      </c>
      <c r="S783" s="7">
        <f t="shared" si="37"/>
        <v>0</v>
      </c>
      <c r="T783" s="6">
        <f t="shared" si="38"/>
        <v>0</v>
      </c>
      <c r="U783" s="25">
        <f t="shared" si="36"/>
        <v>0</v>
      </c>
    </row>
    <row r="784" spans="1:21" ht="10.9" customHeight="1" x14ac:dyDescent="0.2">
      <c r="A784" s="82" t="s">
        <v>2641</v>
      </c>
      <c r="B784" s="83">
        <v>45757</v>
      </c>
      <c r="C784" s="82" t="s">
        <v>3395</v>
      </c>
      <c r="D784" s="82" t="s">
        <v>1628</v>
      </c>
      <c r="E784" s="82"/>
      <c r="F784" s="82" t="s">
        <v>4670</v>
      </c>
      <c r="G784" s="89">
        <v>5</v>
      </c>
      <c r="H784" s="89">
        <v>147.72999999999999</v>
      </c>
      <c r="I784" s="85">
        <v>0</v>
      </c>
      <c r="J784" s="85">
        <v>36.93</v>
      </c>
      <c r="K784" s="85">
        <v>775.58</v>
      </c>
      <c r="L784" s="85">
        <v>1101.02</v>
      </c>
      <c r="M784" s="89">
        <v>147.72999999999999</v>
      </c>
      <c r="N784" s="85">
        <v>0</v>
      </c>
      <c r="O784" s="85">
        <v>36.93</v>
      </c>
      <c r="P784" s="85">
        <v>775.58</v>
      </c>
      <c r="Q784" s="85">
        <v>1101.02</v>
      </c>
      <c r="R784" s="82" t="s">
        <v>3399</v>
      </c>
      <c r="S784" s="7">
        <f t="shared" si="37"/>
        <v>0</v>
      </c>
      <c r="T784" s="6">
        <f t="shared" si="38"/>
        <v>0</v>
      </c>
      <c r="U784" s="25">
        <f t="shared" si="36"/>
        <v>0</v>
      </c>
    </row>
    <row r="785" spans="1:21" ht="10.9" customHeight="1" x14ac:dyDescent="0.2">
      <c r="A785" s="82" t="s">
        <v>2641</v>
      </c>
      <c r="B785" s="83">
        <v>45757</v>
      </c>
      <c r="C785" s="82" t="s">
        <v>3395</v>
      </c>
      <c r="D785" s="82" t="s">
        <v>1628</v>
      </c>
      <c r="E785" s="82"/>
      <c r="F785" s="82" t="s">
        <v>4673</v>
      </c>
      <c r="G785" s="89">
        <v>2</v>
      </c>
      <c r="H785" s="89">
        <v>154.97</v>
      </c>
      <c r="I785" s="85">
        <v>0</v>
      </c>
      <c r="J785" s="85">
        <v>15.5</v>
      </c>
      <c r="K785" s="85">
        <v>325.44</v>
      </c>
      <c r="L785" s="85">
        <v>1101.02</v>
      </c>
      <c r="M785" s="89">
        <v>154.97</v>
      </c>
      <c r="N785" s="85">
        <v>0</v>
      </c>
      <c r="O785" s="85">
        <v>15.5</v>
      </c>
      <c r="P785" s="85">
        <v>325.44</v>
      </c>
      <c r="Q785" s="85">
        <v>1101.02</v>
      </c>
      <c r="R785" s="82" t="s">
        <v>3399</v>
      </c>
      <c r="S785" s="7">
        <f t="shared" si="37"/>
        <v>0</v>
      </c>
      <c r="T785" s="6">
        <f t="shared" si="38"/>
        <v>0</v>
      </c>
      <c r="U785" s="25">
        <f t="shared" si="36"/>
        <v>0</v>
      </c>
    </row>
    <row r="786" spans="1:21" ht="10.9" customHeight="1" x14ac:dyDescent="0.2">
      <c r="A786" s="82" t="s">
        <v>2538</v>
      </c>
      <c r="B786" s="83">
        <v>45757</v>
      </c>
      <c r="C786" s="82" t="s">
        <v>3395</v>
      </c>
      <c r="D786" s="82" t="s">
        <v>1805</v>
      </c>
      <c r="E786" s="82"/>
      <c r="F786" s="82" t="s">
        <v>5419</v>
      </c>
      <c r="G786" s="89">
        <v>1</v>
      </c>
      <c r="H786" s="89">
        <v>910.22</v>
      </c>
      <c r="I786" s="85">
        <v>0</v>
      </c>
      <c r="J786" s="85">
        <v>118.33</v>
      </c>
      <c r="K786" s="85">
        <v>1028.55</v>
      </c>
      <c r="L786" s="85">
        <v>1028.55</v>
      </c>
      <c r="M786" s="89">
        <v>910.22</v>
      </c>
      <c r="N786" s="85">
        <v>0</v>
      </c>
      <c r="O786" s="85">
        <v>118.33</v>
      </c>
      <c r="P786" s="85">
        <v>1028.55</v>
      </c>
      <c r="Q786" s="85">
        <v>1028.55</v>
      </c>
      <c r="R786" s="82" t="s">
        <v>3399</v>
      </c>
      <c r="S786" s="7">
        <f t="shared" si="37"/>
        <v>0</v>
      </c>
      <c r="T786" s="6">
        <f t="shared" si="38"/>
        <v>0</v>
      </c>
      <c r="U786" s="25">
        <f t="shared" si="36"/>
        <v>0</v>
      </c>
    </row>
    <row r="787" spans="1:21" ht="10.9" customHeight="1" x14ac:dyDescent="0.2">
      <c r="A787" s="82" t="s">
        <v>2499</v>
      </c>
      <c r="B787" s="83">
        <v>45757</v>
      </c>
      <c r="C787" s="82" t="s">
        <v>3395</v>
      </c>
      <c r="D787" s="82" t="s">
        <v>1864</v>
      </c>
      <c r="E787" s="82"/>
      <c r="F787" s="82" t="s">
        <v>4397</v>
      </c>
      <c r="G787" s="89">
        <v>1</v>
      </c>
      <c r="H787" s="89">
        <v>1214.6099999999999</v>
      </c>
      <c r="I787" s="85">
        <v>0</v>
      </c>
      <c r="J787" s="85">
        <v>157.9</v>
      </c>
      <c r="K787" s="85">
        <v>1372.51</v>
      </c>
      <c r="L787" s="85">
        <v>1372.51</v>
      </c>
      <c r="M787" s="89">
        <v>1214.6099999999999</v>
      </c>
      <c r="N787" s="85">
        <v>0</v>
      </c>
      <c r="O787" s="85">
        <v>157.9</v>
      </c>
      <c r="P787" s="85">
        <v>1372.51</v>
      </c>
      <c r="Q787" s="85">
        <v>1372.51</v>
      </c>
      <c r="R787" s="82" t="s">
        <v>3399</v>
      </c>
      <c r="S787" s="7">
        <f t="shared" si="37"/>
        <v>0</v>
      </c>
      <c r="T787" s="6">
        <f t="shared" si="38"/>
        <v>0</v>
      </c>
      <c r="U787" s="25">
        <f t="shared" si="36"/>
        <v>0</v>
      </c>
    </row>
    <row r="788" spans="1:21" ht="10.9" customHeight="1" x14ac:dyDescent="0.2">
      <c r="A788" s="82" t="s">
        <v>2643</v>
      </c>
      <c r="B788" s="83">
        <v>45757</v>
      </c>
      <c r="C788" s="82" t="s">
        <v>3395</v>
      </c>
      <c r="D788" s="82" t="s">
        <v>1626</v>
      </c>
      <c r="E788" s="82"/>
      <c r="F788" s="82" t="s">
        <v>5381</v>
      </c>
      <c r="G788" s="89">
        <v>1</v>
      </c>
      <c r="H788" s="89">
        <v>26.73</v>
      </c>
      <c r="I788" s="85">
        <v>0</v>
      </c>
      <c r="J788" s="85">
        <v>1.34</v>
      </c>
      <c r="K788" s="85">
        <v>28.07</v>
      </c>
      <c r="L788" s="85">
        <v>28.07</v>
      </c>
      <c r="M788" s="89">
        <v>26.73</v>
      </c>
      <c r="N788" s="85">
        <v>0</v>
      </c>
      <c r="O788" s="85">
        <v>1.34</v>
      </c>
      <c r="P788" s="85">
        <v>28.07</v>
      </c>
      <c r="Q788" s="85">
        <v>28.07</v>
      </c>
      <c r="R788" s="82" t="s">
        <v>3399</v>
      </c>
      <c r="S788" s="7">
        <f t="shared" si="37"/>
        <v>0</v>
      </c>
      <c r="T788" s="6">
        <f t="shared" si="38"/>
        <v>0</v>
      </c>
      <c r="U788" s="25">
        <f t="shared" si="36"/>
        <v>0</v>
      </c>
    </row>
    <row r="789" spans="1:21" ht="10.9" customHeight="1" x14ac:dyDescent="0.2">
      <c r="A789" s="82" t="s">
        <v>2412</v>
      </c>
      <c r="B789" s="83">
        <v>45757</v>
      </c>
      <c r="C789" s="82" t="s">
        <v>3395</v>
      </c>
      <c r="D789" s="82" t="s">
        <v>3589</v>
      </c>
      <c r="E789" s="82"/>
      <c r="F789" s="82" t="s">
        <v>4961</v>
      </c>
      <c r="G789" s="89">
        <v>1</v>
      </c>
      <c r="H789" s="89">
        <v>7656.94</v>
      </c>
      <c r="I789" s="85">
        <v>0</v>
      </c>
      <c r="J789" s="85">
        <v>995.4</v>
      </c>
      <c r="K789" s="85">
        <v>8652.34</v>
      </c>
      <c r="L789" s="85">
        <v>13842.16</v>
      </c>
      <c r="M789" s="89">
        <v>7656.94</v>
      </c>
      <c r="N789" s="85">
        <v>0</v>
      </c>
      <c r="O789" s="85">
        <v>995.4</v>
      </c>
      <c r="P789" s="85">
        <v>8652.34</v>
      </c>
      <c r="Q789" s="85">
        <v>13842.16</v>
      </c>
      <c r="R789" s="82" t="s">
        <v>3399</v>
      </c>
      <c r="S789" s="7">
        <f t="shared" si="37"/>
        <v>0</v>
      </c>
      <c r="T789" s="6">
        <f t="shared" si="38"/>
        <v>0</v>
      </c>
      <c r="U789" s="25">
        <f t="shared" si="36"/>
        <v>0</v>
      </c>
    </row>
    <row r="790" spans="1:21" ht="10.9" customHeight="1" x14ac:dyDescent="0.2">
      <c r="A790" s="82" t="s">
        <v>2412</v>
      </c>
      <c r="B790" s="83">
        <v>45757</v>
      </c>
      <c r="C790" s="82" t="s">
        <v>3395</v>
      </c>
      <c r="D790" s="82" t="s">
        <v>3589</v>
      </c>
      <c r="E790" s="82"/>
      <c r="F790" s="82" t="s">
        <v>5549</v>
      </c>
      <c r="G790" s="89">
        <v>1</v>
      </c>
      <c r="H790" s="89">
        <v>4592.76</v>
      </c>
      <c r="I790" s="85">
        <v>0</v>
      </c>
      <c r="J790" s="85">
        <v>597.05999999999995</v>
      </c>
      <c r="K790" s="85">
        <v>5189.82</v>
      </c>
      <c r="L790" s="85">
        <v>13842.16</v>
      </c>
      <c r="M790" s="89">
        <v>4592.76</v>
      </c>
      <c r="N790" s="85">
        <v>0</v>
      </c>
      <c r="O790" s="85">
        <v>597.05999999999995</v>
      </c>
      <c r="P790" s="85">
        <v>5189.82</v>
      </c>
      <c r="Q790" s="85">
        <v>13842.16</v>
      </c>
      <c r="R790" s="82" t="s">
        <v>3399</v>
      </c>
      <c r="S790" s="7">
        <f t="shared" si="37"/>
        <v>0</v>
      </c>
      <c r="T790" s="6">
        <f t="shared" si="38"/>
        <v>0</v>
      </c>
      <c r="U790" s="25">
        <f t="shared" si="36"/>
        <v>0</v>
      </c>
    </row>
    <row r="791" spans="1:21" ht="10.9" customHeight="1" x14ac:dyDescent="0.2">
      <c r="A791" s="82" t="s">
        <v>2628</v>
      </c>
      <c r="B791" s="83">
        <v>45757</v>
      </c>
      <c r="C791" s="82" t="s">
        <v>3395</v>
      </c>
      <c r="D791" s="82" t="s">
        <v>1649</v>
      </c>
      <c r="E791" s="82"/>
      <c r="F791" s="82" t="s">
        <v>4439</v>
      </c>
      <c r="G791" s="89">
        <v>1</v>
      </c>
      <c r="H791" s="89">
        <v>19.89</v>
      </c>
      <c r="I791" s="85">
        <v>0</v>
      </c>
      <c r="J791" s="85">
        <v>2.59</v>
      </c>
      <c r="K791" s="85">
        <v>22.48</v>
      </c>
      <c r="L791" s="85">
        <v>3594.92</v>
      </c>
      <c r="M791" s="89">
        <v>19.89</v>
      </c>
      <c r="N791" s="85">
        <v>0</v>
      </c>
      <c r="O791" s="85">
        <v>2.59</v>
      </c>
      <c r="P791" s="85">
        <v>22.48</v>
      </c>
      <c r="Q791" s="85">
        <v>3594.92</v>
      </c>
      <c r="R791" s="82" t="s">
        <v>3399</v>
      </c>
      <c r="S791" s="7">
        <f t="shared" si="37"/>
        <v>0</v>
      </c>
      <c r="T791" s="6">
        <f t="shared" si="38"/>
        <v>0</v>
      </c>
      <c r="U791" s="25">
        <f t="shared" si="36"/>
        <v>0</v>
      </c>
    </row>
    <row r="792" spans="1:21" ht="10.9" customHeight="1" x14ac:dyDescent="0.2">
      <c r="A792" s="82" t="s">
        <v>2628</v>
      </c>
      <c r="B792" s="83">
        <v>45757</v>
      </c>
      <c r="C792" s="82" t="s">
        <v>3395</v>
      </c>
      <c r="D792" s="82" t="s">
        <v>1649</v>
      </c>
      <c r="E792" s="82"/>
      <c r="F792" s="82" t="s">
        <v>4684</v>
      </c>
      <c r="G792" s="89">
        <v>1</v>
      </c>
      <c r="H792" s="89">
        <v>23.24</v>
      </c>
      <c r="I792" s="85">
        <v>0</v>
      </c>
      <c r="J792" s="85">
        <v>3.02</v>
      </c>
      <c r="K792" s="85">
        <v>26.26</v>
      </c>
      <c r="L792" s="85">
        <v>3594.92</v>
      </c>
      <c r="M792" s="89">
        <v>23.24</v>
      </c>
      <c r="N792" s="85">
        <v>0</v>
      </c>
      <c r="O792" s="85">
        <v>3.02</v>
      </c>
      <c r="P792" s="85">
        <v>26.26</v>
      </c>
      <c r="Q792" s="85">
        <v>3594.92</v>
      </c>
      <c r="R792" s="82" t="s">
        <v>3399</v>
      </c>
      <c r="S792" s="7">
        <f t="shared" si="37"/>
        <v>0</v>
      </c>
      <c r="T792" s="6">
        <f t="shared" si="38"/>
        <v>0</v>
      </c>
      <c r="U792" s="25">
        <f t="shared" si="36"/>
        <v>0</v>
      </c>
    </row>
    <row r="793" spans="1:21" ht="10.9" customHeight="1" x14ac:dyDescent="0.2">
      <c r="A793" s="82" t="s">
        <v>2628</v>
      </c>
      <c r="B793" s="83">
        <v>45757</v>
      </c>
      <c r="C793" s="82" t="s">
        <v>3395</v>
      </c>
      <c r="D793" s="82" t="s">
        <v>1649</v>
      </c>
      <c r="E793" s="82"/>
      <c r="F793" s="82" t="s">
        <v>4683</v>
      </c>
      <c r="G793" s="89">
        <v>1</v>
      </c>
      <c r="H793" s="89">
        <v>149.94</v>
      </c>
      <c r="I793" s="85">
        <v>0</v>
      </c>
      <c r="J793" s="85">
        <v>19.489999999999998</v>
      </c>
      <c r="K793" s="85">
        <v>169.43</v>
      </c>
      <c r="L793" s="85">
        <v>3594.92</v>
      </c>
      <c r="M793" s="89">
        <v>149.94</v>
      </c>
      <c r="N793" s="85">
        <v>0</v>
      </c>
      <c r="O793" s="85">
        <v>19.489999999999998</v>
      </c>
      <c r="P793" s="85">
        <v>169.43</v>
      </c>
      <c r="Q793" s="85">
        <v>3594.92</v>
      </c>
      <c r="R793" s="82" t="s">
        <v>3399</v>
      </c>
      <c r="S793" s="7">
        <f t="shared" si="37"/>
        <v>0</v>
      </c>
      <c r="T793" s="6">
        <f t="shared" si="38"/>
        <v>0</v>
      </c>
      <c r="U793" s="25">
        <f t="shared" si="36"/>
        <v>0</v>
      </c>
    </row>
    <row r="794" spans="1:21" ht="10.9" customHeight="1" x14ac:dyDescent="0.2">
      <c r="A794" s="82" t="s">
        <v>2628</v>
      </c>
      <c r="B794" s="83">
        <v>45757</v>
      </c>
      <c r="C794" s="82" t="s">
        <v>3395</v>
      </c>
      <c r="D794" s="82" t="s">
        <v>1649</v>
      </c>
      <c r="E794" s="82"/>
      <c r="F794" s="82" t="s">
        <v>4837</v>
      </c>
      <c r="G794" s="89">
        <v>1</v>
      </c>
      <c r="H794" s="89">
        <v>2893.45</v>
      </c>
      <c r="I794" s="85">
        <v>0</v>
      </c>
      <c r="J794" s="85">
        <v>376.15</v>
      </c>
      <c r="K794" s="85">
        <v>3269.6</v>
      </c>
      <c r="L794" s="85">
        <v>3594.92</v>
      </c>
      <c r="M794" s="89">
        <v>2893.45</v>
      </c>
      <c r="N794" s="85">
        <v>0</v>
      </c>
      <c r="O794" s="85">
        <v>376.15</v>
      </c>
      <c r="P794" s="85">
        <v>3269.6</v>
      </c>
      <c r="Q794" s="85">
        <v>3594.92</v>
      </c>
      <c r="R794" s="82" t="s">
        <v>3399</v>
      </c>
      <c r="S794" s="7">
        <f t="shared" si="37"/>
        <v>0</v>
      </c>
      <c r="T794" s="6">
        <f t="shared" si="38"/>
        <v>0</v>
      </c>
      <c r="U794" s="25">
        <f t="shared" si="36"/>
        <v>0</v>
      </c>
    </row>
    <row r="795" spans="1:21" ht="10.9" customHeight="1" x14ac:dyDescent="0.2">
      <c r="A795" s="82" t="s">
        <v>2628</v>
      </c>
      <c r="B795" s="83">
        <v>45757</v>
      </c>
      <c r="C795" s="82" t="s">
        <v>3395</v>
      </c>
      <c r="D795" s="82" t="s">
        <v>1649</v>
      </c>
      <c r="E795" s="82"/>
      <c r="F795" s="82" t="s">
        <v>5548</v>
      </c>
      <c r="G795" s="89">
        <v>1</v>
      </c>
      <c r="H795" s="89">
        <v>94.82</v>
      </c>
      <c r="I795" s="85">
        <v>0</v>
      </c>
      <c r="J795" s="85">
        <v>12.33</v>
      </c>
      <c r="K795" s="85">
        <v>107.15</v>
      </c>
      <c r="L795" s="85">
        <v>3594.92</v>
      </c>
      <c r="M795" s="89">
        <v>94.82</v>
      </c>
      <c r="N795" s="85">
        <v>0</v>
      </c>
      <c r="O795" s="85">
        <v>12.33</v>
      </c>
      <c r="P795" s="85">
        <v>107.15</v>
      </c>
      <c r="Q795" s="85">
        <v>3594.92</v>
      </c>
      <c r="R795" s="82" t="s">
        <v>3399</v>
      </c>
      <c r="S795" s="7">
        <f t="shared" si="37"/>
        <v>0</v>
      </c>
      <c r="T795" s="6">
        <f t="shared" si="38"/>
        <v>0</v>
      </c>
      <c r="U795" s="25">
        <f t="shared" si="36"/>
        <v>0</v>
      </c>
    </row>
    <row r="796" spans="1:21" ht="10.9" customHeight="1" x14ac:dyDescent="0.2">
      <c r="A796" s="82" t="s">
        <v>2633</v>
      </c>
      <c r="B796" s="83">
        <v>45757</v>
      </c>
      <c r="C796" s="82" t="s">
        <v>3395</v>
      </c>
      <c r="D796" s="82" t="s">
        <v>1638</v>
      </c>
      <c r="E796" s="82"/>
      <c r="F796" s="82" t="s">
        <v>4739</v>
      </c>
      <c r="G796" s="89">
        <v>2</v>
      </c>
      <c r="H796" s="89">
        <v>164.44</v>
      </c>
      <c r="I796" s="85">
        <v>0</v>
      </c>
      <c r="J796" s="85">
        <v>16.440000000000001</v>
      </c>
      <c r="K796" s="85">
        <v>345.32</v>
      </c>
      <c r="L796" s="85">
        <v>656.71</v>
      </c>
      <c r="M796" s="89">
        <v>164.44</v>
      </c>
      <c r="N796" s="85">
        <v>0</v>
      </c>
      <c r="O796" s="85">
        <v>16.440000000000001</v>
      </c>
      <c r="P796" s="85">
        <v>345.32</v>
      </c>
      <c r="Q796" s="85">
        <v>656.71</v>
      </c>
      <c r="R796" s="82" t="s">
        <v>3399</v>
      </c>
      <c r="S796" s="7">
        <f t="shared" si="37"/>
        <v>0</v>
      </c>
      <c r="T796" s="6">
        <f t="shared" si="38"/>
        <v>0</v>
      </c>
      <c r="U796" s="25">
        <f t="shared" si="36"/>
        <v>0</v>
      </c>
    </row>
    <row r="797" spans="1:21" ht="10.9" customHeight="1" x14ac:dyDescent="0.2">
      <c r="A797" s="82" t="s">
        <v>2633</v>
      </c>
      <c r="B797" s="83">
        <v>45757</v>
      </c>
      <c r="C797" s="82" t="s">
        <v>3395</v>
      </c>
      <c r="D797" s="82" t="s">
        <v>1638</v>
      </c>
      <c r="E797" s="82"/>
      <c r="F797" s="82" t="s">
        <v>4673</v>
      </c>
      <c r="G797" s="89">
        <v>2</v>
      </c>
      <c r="H797" s="89">
        <v>148.28</v>
      </c>
      <c r="I797" s="85">
        <v>0</v>
      </c>
      <c r="J797" s="85">
        <v>14.83</v>
      </c>
      <c r="K797" s="85">
        <v>311.39</v>
      </c>
      <c r="L797" s="85">
        <v>656.71</v>
      </c>
      <c r="M797" s="89">
        <v>148.28</v>
      </c>
      <c r="N797" s="85">
        <v>0</v>
      </c>
      <c r="O797" s="85">
        <v>14.83</v>
      </c>
      <c r="P797" s="85">
        <v>311.39</v>
      </c>
      <c r="Q797" s="85">
        <v>656.71</v>
      </c>
      <c r="R797" s="82" t="s">
        <v>3399</v>
      </c>
      <c r="S797" s="7">
        <f t="shared" si="37"/>
        <v>0</v>
      </c>
      <c r="T797" s="6">
        <f t="shared" si="38"/>
        <v>0</v>
      </c>
      <c r="U797" s="25">
        <f t="shared" si="36"/>
        <v>0</v>
      </c>
    </row>
    <row r="798" spans="1:21" ht="10.9" customHeight="1" x14ac:dyDescent="0.2">
      <c r="A798" s="82" t="s">
        <v>3587</v>
      </c>
      <c r="B798" s="83">
        <v>45758</v>
      </c>
      <c r="C798" s="82" t="s">
        <v>3395</v>
      </c>
      <c r="D798" s="82" t="s">
        <v>3586</v>
      </c>
      <c r="E798" s="82"/>
      <c r="F798" s="82" t="s">
        <v>5542</v>
      </c>
      <c r="G798" s="89">
        <v>4</v>
      </c>
      <c r="H798" s="89">
        <v>329</v>
      </c>
      <c r="I798" s="85">
        <v>0</v>
      </c>
      <c r="J798" s="85">
        <v>0</v>
      </c>
      <c r="K798" s="85">
        <v>1316</v>
      </c>
      <c r="L798" s="85">
        <v>196673.09</v>
      </c>
      <c r="M798" s="89">
        <v>456.39233649293703</v>
      </c>
      <c r="N798" s="85">
        <v>0</v>
      </c>
      <c r="O798" s="85">
        <v>0</v>
      </c>
      <c r="P798" s="85">
        <v>1825.5693459717481</v>
      </c>
      <c r="Q798" s="85">
        <v>272827.02453004767</v>
      </c>
      <c r="R798" s="82" t="s">
        <v>3399</v>
      </c>
      <c r="S798" s="7">
        <f t="shared" si="37"/>
        <v>0</v>
      </c>
      <c r="T798" s="6">
        <f t="shared" si="38"/>
        <v>0</v>
      </c>
      <c r="U798" s="25">
        <f t="shared" si="36"/>
        <v>0</v>
      </c>
    </row>
    <row r="799" spans="1:21" ht="10.9" customHeight="1" x14ac:dyDescent="0.2">
      <c r="A799" s="82" t="s">
        <v>3587</v>
      </c>
      <c r="B799" s="83">
        <v>45758</v>
      </c>
      <c r="C799" s="82" t="s">
        <v>3395</v>
      </c>
      <c r="D799" s="82" t="s">
        <v>3586</v>
      </c>
      <c r="E799" s="82"/>
      <c r="F799" s="82" t="s">
        <v>5541</v>
      </c>
      <c r="G799" s="89">
        <v>4</v>
      </c>
      <c r="H799" s="89">
        <v>200</v>
      </c>
      <c r="I799" s="85">
        <v>0</v>
      </c>
      <c r="J799" s="85">
        <v>0</v>
      </c>
      <c r="K799" s="85">
        <v>800</v>
      </c>
      <c r="L799" s="85">
        <v>196673.09</v>
      </c>
      <c r="M799" s="89">
        <v>277.4421498437307</v>
      </c>
      <c r="N799" s="85">
        <v>0</v>
      </c>
      <c r="O799" s="85">
        <v>0</v>
      </c>
      <c r="P799" s="85">
        <v>1109.7685993749228</v>
      </c>
      <c r="Q799" s="85">
        <v>272827.02453004767</v>
      </c>
      <c r="R799" s="82" t="s">
        <v>3399</v>
      </c>
      <c r="S799" s="7">
        <f t="shared" si="37"/>
        <v>0</v>
      </c>
      <c r="T799" s="6">
        <f t="shared" si="38"/>
        <v>0</v>
      </c>
      <c r="U799" s="25">
        <f t="shared" si="36"/>
        <v>0</v>
      </c>
    </row>
    <row r="800" spans="1:21" ht="10.9" customHeight="1" x14ac:dyDescent="0.2">
      <c r="A800" s="82" t="s">
        <v>3587</v>
      </c>
      <c r="B800" s="83">
        <v>45758</v>
      </c>
      <c r="C800" s="82" t="s">
        <v>3395</v>
      </c>
      <c r="D800" s="82" t="s">
        <v>3586</v>
      </c>
      <c r="E800" s="82"/>
      <c r="F800" s="82" t="s">
        <v>5540</v>
      </c>
      <c r="G800" s="89">
        <v>4</v>
      </c>
      <c r="H800" s="89">
        <v>89</v>
      </c>
      <c r="I800" s="85">
        <v>0</v>
      </c>
      <c r="J800" s="85">
        <v>0</v>
      </c>
      <c r="K800" s="85">
        <v>356</v>
      </c>
      <c r="L800" s="85">
        <v>196673.09</v>
      </c>
      <c r="M800" s="89">
        <v>123.46175668046017</v>
      </c>
      <c r="N800" s="85">
        <v>0</v>
      </c>
      <c r="O800" s="85">
        <v>0</v>
      </c>
      <c r="P800" s="85">
        <v>493.84702672184068</v>
      </c>
      <c r="Q800" s="85">
        <v>272827.02453004767</v>
      </c>
      <c r="R800" s="82" t="s">
        <v>3399</v>
      </c>
      <c r="S800" s="7">
        <f t="shared" si="37"/>
        <v>0</v>
      </c>
      <c r="T800" s="6">
        <f t="shared" si="38"/>
        <v>0</v>
      </c>
      <c r="U800" s="25">
        <f t="shared" si="36"/>
        <v>0</v>
      </c>
    </row>
    <row r="801" spans="1:21" ht="10.9" customHeight="1" x14ac:dyDescent="0.2">
      <c r="A801" s="82" t="s">
        <v>3587</v>
      </c>
      <c r="B801" s="83">
        <v>45758</v>
      </c>
      <c r="C801" s="82" t="s">
        <v>3395</v>
      </c>
      <c r="D801" s="82" t="s">
        <v>3586</v>
      </c>
      <c r="E801" s="82"/>
      <c r="F801" s="82" t="s">
        <v>5539</v>
      </c>
      <c r="G801" s="89">
        <v>4</v>
      </c>
      <c r="H801" s="89">
        <v>89</v>
      </c>
      <c r="I801" s="85">
        <v>0</v>
      </c>
      <c r="J801" s="85">
        <v>0</v>
      </c>
      <c r="K801" s="85">
        <v>356</v>
      </c>
      <c r="L801" s="85">
        <v>196673.09</v>
      </c>
      <c r="M801" s="89">
        <v>123.46175668046017</v>
      </c>
      <c r="N801" s="85">
        <v>0</v>
      </c>
      <c r="O801" s="85">
        <v>0</v>
      </c>
      <c r="P801" s="85">
        <v>493.84702672184068</v>
      </c>
      <c r="Q801" s="85">
        <v>272827.02453004767</v>
      </c>
      <c r="R801" s="82" t="s">
        <v>3399</v>
      </c>
      <c r="S801" s="7">
        <f t="shared" si="37"/>
        <v>0</v>
      </c>
      <c r="T801" s="6">
        <f t="shared" si="38"/>
        <v>0</v>
      </c>
      <c r="U801" s="25">
        <f t="shared" si="36"/>
        <v>0</v>
      </c>
    </row>
    <row r="802" spans="1:21" ht="10.9" customHeight="1" x14ac:dyDescent="0.2">
      <c r="A802" s="82" t="s">
        <v>3587</v>
      </c>
      <c r="B802" s="83">
        <v>45758</v>
      </c>
      <c r="C802" s="82" t="s">
        <v>3395</v>
      </c>
      <c r="D802" s="82" t="s">
        <v>3586</v>
      </c>
      <c r="E802" s="82"/>
      <c r="F802" s="82" t="s">
        <v>5538</v>
      </c>
      <c r="G802" s="89">
        <v>3</v>
      </c>
      <c r="H802" s="89">
        <v>489</v>
      </c>
      <c r="I802" s="85">
        <v>0</v>
      </c>
      <c r="J802" s="85">
        <v>0</v>
      </c>
      <c r="K802" s="85">
        <v>1467</v>
      </c>
      <c r="L802" s="85">
        <v>196673.09</v>
      </c>
      <c r="M802" s="89">
        <v>678.34605636792162</v>
      </c>
      <c r="N802" s="85">
        <v>0</v>
      </c>
      <c r="O802" s="85">
        <v>0</v>
      </c>
      <c r="P802" s="85">
        <v>2035.0381691037649</v>
      </c>
      <c r="Q802" s="85">
        <v>272827.02453004767</v>
      </c>
      <c r="R802" s="82" t="s">
        <v>3399</v>
      </c>
      <c r="S802" s="7">
        <f t="shared" si="37"/>
        <v>0</v>
      </c>
      <c r="T802" s="6">
        <f t="shared" si="38"/>
        <v>0</v>
      </c>
      <c r="U802" s="25">
        <f t="shared" si="36"/>
        <v>0</v>
      </c>
    </row>
    <row r="803" spans="1:21" ht="10.9" customHeight="1" x14ac:dyDescent="0.2">
      <c r="A803" s="82" t="s">
        <v>3587</v>
      </c>
      <c r="B803" s="83">
        <v>45758</v>
      </c>
      <c r="C803" s="82" t="s">
        <v>3395</v>
      </c>
      <c r="D803" s="82" t="s">
        <v>3586</v>
      </c>
      <c r="E803" s="82"/>
      <c r="F803" s="82" t="s">
        <v>5537</v>
      </c>
      <c r="G803" s="89">
        <v>2</v>
      </c>
      <c r="H803" s="89">
        <v>5467</v>
      </c>
      <c r="I803" s="85">
        <v>0</v>
      </c>
      <c r="J803" s="85">
        <v>0</v>
      </c>
      <c r="K803" s="85">
        <v>10934</v>
      </c>
      <c r="L803" s="85">
        <v>196673.09</v>
      </c>
      <c r="M803" s="89">
        <v>7583.8811659783787</v>
      </c>
      <c r="N803" s="85">
        <v>0</v>
      </c>
      <c r="O803" s="85">
        <v>0</v>
      </c>
      <c r="P803" s="85">
        <v>15167.762331956757</v>
      </c>
      <c r="Q803" s="85">
        <v>272827.02453004767</v>
      </c>
      <c r="R803" s="82" t="s">
        <v>3399</v>
      </c>
      <c r="S803" s="7">
        <f t="shared" si="37"/>
        <v>0</v>
      </c>
      <c r="T803" s="6">
        <f t="shared" si="38"/>
        <v>0</v>
      </c>
      <c r="U803" s="25">
        <f t="shared" si="36"/>
        <v>0</v>
      </c>
    </row>
    <row r="804" spans="1:21" ht="10.9" customHeight="1" x14ac:dyDescent="0.2">
      <c r="A804" s="82" t="s">
        <v>3587</v>
      </c>
      <c r="B804" s="83">
        <v>45758</v>
      </c>
      <c r="C804" s="82" t="s">
        <v>3395</v>
      </c>
      <c r="D804" s="82" t="s">
        <v>3586</v>
      </c>
      <c r="E804" s="82"/>
      <c r="F804" s="82" t="s">
        <v>5536</v>
      </c>
      <c r="G804" s="89">
        <v>4</v>
      </c>
      <c r="H804" s="89">
        <v>222</v>
      </c>
      <c r="I804" s="85">
        <v>0</v>
      </c>
      <c r="J804" s="85">
        <v>0</v>
      </c>
      <c r="K804" s="85">
        <v>888</v>
      </c>
      <c r="L804" s="85">
        <v>196673.09</v>
      </c>
      <c r="M804" s="89">
        <v>307.9607863265411</v>
      </c>
      <c r="N804" s="85">
        <v>0</v>
      </c>
      <c r="O804" s="85">
        <v>0</v>
      </c>
      <c r="P804" s="85">
        <v>1231.8431453061644</v>
      </c>
      <c r="Q804" s="85">
        <v>272827.02453004767</v>
      </c>
      <c r="R804" s="82" t="s">
        <v>3399</v>
      </c>
      <c r="S804" s="7">
        <f t="shared" si="37"/>
        <v>0</v>
      </c>
      <c r="T804" s="6">
        <f t="shared" si="38"/>
        <v>0</v>
      </c>
      <c r="U804" s="25">
        <f t="shared" si="36"/>
        <v>0</v>
      </c>
    </row>
    <row r="805" spans="1:21" ht="10.9" customHeight="1" x14ac:dyDescent="0.2">
      <c r="A805" s="82" t="s">
        <v>3587</v>
      </c>
      <c r="B805" s="83">
        <v>45758</v>
      </c>
      <c r="C805" s="82" t="s">
        <v>3395</v>
      </c>
      <c r="D805" s="82" t="s">
        <v>3586</v>
      </c>
      <c r="E805" s="82"/>
      <c r="F805" s="82" t="s">
        <v>5535</v>
      </c>
      <c r="G805" s="89">
        <v>3</v>
      </c>
      <c r="H805" s="89">
        <v>160</v>
      </c>
      <c r="I805" s="85">
        <v>0</v>
      </c>
      <c r="J805" s="85">
        <v>0</v>
      </c>
      <c r="K805" s="85">
        <v>480</v>
      </c>
      <c r="L805" s="85">
        <v>196673.09</v>
      </c>
      <c r="M805" s="89">
        <v>221.95371987498456</v>
      </c>
      <c r="N805" s="85">
        <v>0</v>
      </c>
      <c r="O805" s="85">
        <v>0</v>
      </c>
      <c r="P805" s="85">
        <v>665.86115962495376</v>
      </c>
      <c r="Q805" s="85">
        <v>272827.02453004767</v>
      </c>
      <c r="R805" s="82" t="s">
        <v>3399</v>
      </c>
      <c r="S805" s="7">
        <f t="shared" si="37"/>
        <v>0</v>
      </c>
      <c r="T805" s="6">
        <f t="shared" si="38"/>
        <v>0</v>
      </c>
      <c r="U805" s="25">
        <f t="shared" si="36"/>
        <v>0</v>
      </c>
    </row>
    <row r="806" spans="1:21" ht="10.9" customHeight="1" x14ac:dyDescent="0.2">
      <c r="A806" s="82" t="s">
        <v>3587</v>
      </c>
      <c r="B806" s="83">
        <v>45758</v>
      </c>
      <c r="C806" s="82" t="s">
        <v>3395</v>
      </c>
      <c r="D806" s="82" t="s">
        <v>3586</v>
      </c>
      <c r="E806" s="82"/>
      <c r="F806" s="82" t="s">
        <v>5534</v>
      </c>
      <c r="G806" s="89">
        <v>3</v>
      </c>
      <c r="H806" s="89">
        <v>907</v>
      </c>
      <c r="I806" s="85">
        <v>0</v>
      </c>
      <c r="J806" s="85">
        <v>0</v>
      </c>
      <c r="K806" s="85">
        <v>2721</v>
      </c>
      <c r="L806" s="85">
        <v>196673.09</v>
      </c>
      <c r="M806" s="89">
        <v>1258.2001495413188</v>
      </c>
      <c r="N806" s="85">
        <v>0</v>
      </c>
      <c r="O806" s="85">
        <v>0</v>
      </c>
      <c r="P806" s="85">
        <v>3774.6004486239563</v>
      </c>
      <c r="Q806" s="85">
        <v>272827.02453004767</v>
      </c>
      <c r="R806" s="82" t="s">
        <v>3399</v>
      </c>
      <c r="S806" s="7">
        <f t="shared" si="37"/>
        <v>0</v>
      </c>
      <c r="T806" s="6">
        <f t="shared" si="38"/>
        <v>0</v>
      </c>
      <c r="U806" s="25">
        <f t="shared" si="36"/>
        <v>0</v>
      </c>
    </row>
    <row r="807" spans="1:21" ht="10.9" customHeight="1" x14ac:dyDescent="0.2">
      <c r="A807" s="82" t="s">
        <v>3587</v>
      </c>
      <c r="B807" s="83">
        <v>45758</v>
      </c>
      <c r="C807" s="82" t="s">
        <v>3395</v>
      </c>
      <c r="D807" s="82" t="s">
        <v>3586</v>
      </c>
      <c r="E807" s="82"/>
      <c r="F807" s="82" t="s">
        <v>5533</v>
      </c>
      <c r="G807" s="89">
        <v>3</v>
      </c>
      <c r="H807" s="89">
        <v>868</v>
      </c>
      <c r="I807" s="85">
        <v>0</v>
      </c>
      <c r="J807" s="85">
        <v>0</v>
      </c>
      <c r="K807" s="85">
        <v>2604</v>
      </c>
      <c r="L807" s="85">
        <v>196673.09</v>
      </c>
      <c r="M807" s="89">
        <v>1204.0989303217914</v>
      </c>
      <c r="N807" s="85">
        <v>0</v>
      </c>
      <c r="O807" s="85">
        <v>0</v>
      </c>
      <c r="P807" s="85">
        <v>3612.2967909653739</v>
      </c>
      <c r="Q807" s="85">
        <v>272827.02453004767</v>
      </c>
      <c r="R807" s="82" t="s">
        <v>3399</v>
      </c>
      <c r="S807" s="7">
        <f t="shared" si="37"/>
        <v>0</v>
      </c>
      <c r="T807" s="6">
        <f t="shared" si="38"/>
        <v>0</v>
      </c>
      <c r="U807" s="25">
        <f t="shared" si="36"/>
        <v>0</v>
      </c>
    </row>
    <row r="808" spans="1:21" ht="10.9" customHeight="1" x14ac:dyDescent="0.2">
      <c r="A808" s="82" t="s">
        <v>3587</v>
      </c>
      <c r="B808" s="83">
        <v>45758</v>
      </c>
      <c r="C808" s="82" t="s">
        <v>3395</v>
      </c>
      <c r="D808" s="82" t="s">
        <v>3586</v>
      </c>
      <c r="E808" s="82"/>
      <c r="F808" s="82" t="s">
        <v>5532</v>
      </c>
      <c r="G808" s="89">
        <v>1</v>
      </c>
      <c r="H808" s="89">
        <v>5400</v>
      </c>
      <c r="I808" s="85">
        <v>0</v>
      </c>
      <c r="J808" s="85">
        <v>0</v>
      </c>
      <c r="K808" s="85">
        <v>5400</v>
      </c>
      <c r="L808" s="85">
        <v>196673.09</v>
      </c>
      <c r="M808" s="89">
        <v>7490.9380457807292</v>
      </c>
      <c r="N808" s="85">
        <v>0</v>
      </c>
      <c r="O808" s="85">
        <v>0</v>
      </c>
      <c r="P808" s="85">
        <v>7490.9380457807292</v>
      </c>
      <c r="Q808" s="85">
        <v>272827.02453004767</v>
      </c>
      <c r="R808" s="82" t="s">
        <v>3399</v>
      </c>
      <c r="S808" s="7">
        <f t="shared" si="37"/>
        <v>0</v>
      </c>
      <c r="T808" s="6">
        <f t="shared" si="38"/>
        <v>0</v>
      </c>
      <c r="U808" s="25">
        <f t="shared" si="36"/>
        <v>0</v>
      </c>
    </row>
    <row r="809" spans="1:21" ht="10.9" customHeight="1" x14ac:dyDescent="0.2">
      <c r="A809" s="82" t="s">
        <v>3587</v>
      </c>
      <c r="B809" s="83">
        <v>45758</v>
      </c>
      <c r="C809" s="82" t="s">
        <v>3395</v>
      </c>
      <c r="D809" s="82" t="s">
        <v>3586</v>
      </c>
      <c r="E809" s="82"/>
      <c r="F809" s="82" t="s">
        <v>5531</v>
      </c>
      <c r="G809" s="89">
        <v>1</v>
      </c>
      <c r="H809" s="89">
        <v>5711</v>
      </c>
      <c r="I809" s="85">
        <v>0</v>
      </c>
      <c r="J809" s="85">
        <v>0</v>
      </c>
      <c r="K809" s="85">
        <v>5711</v>
      </c>
      <c r="L809" s="85">
        <v>196673.09</v>
      </c>
      <c r="M809" s="89">
        <v>7922.3605887877302</v>
      </c>
      <c r="N809" s="85">
        <v>0</v>
      </c>
      <c r="O809" s="85">
        <v>0</v>
      </c>
      <c r="P809" s="85">
        <v>7922.3605887877302</v>
      </c>
      <c r="Q809" s="85">
        <v>272827.02453004767</v>
      </c>
      <c r="R809" s="82" t="s">
        <v>3399</v>
      </c>
      <c r="S809" s="7">
        <f t="shared" si="37"/>
        <v>0</v>
      </c>
      <c r="T809" s="6">
        <f t="shared" si="38"/>
        <v>0</v>
      </c>
      <c r="U809" s="25">
        <f t="shared" si="36"/>
        <v>0</v>
      </c>
    </row>
    <row r="810" spans="1:21" ht="10.9" customHeight="1" x14ac:dyDescent="0.2">
      <c r="A810" s="82" t="s">
        <v>3587</v>
      </c>
      <c r="B810" s="83">
        <v>45758</v>
      </c>
      <c r="C810" s="82" t="s">
        <v>3395</v>
      </c>
      <c r="D810" s="82" t="s">
        <v>3586</v>
      </c>
      <c r="E810" s="82"/>
      <c r="F810" s="82" t="s">
        <v>5530</v>
      </c>
      <c r="G810" s="89">
        <v>8</v>
      </c>
      <c r="H810" s="89">
        <v>26.85</v>
      </c>
      <c r="I810" s="85">
        <v>0</v>
      </c>
      <c r="J810" s="85">
        <v>0</v>
      </c>
      <c r="K810" s="85">
        <v>214.8</v>
      </c>
      <c r="L810" s="85">
        <v>196673.09</v>
      </c>
      <c r="M810" s="89">
        <v>37.246608616520845</v>
      </c>
      <c r="N810" s="85">
        <v>0</v>
      </c>
      <c r="O810" s="85">
        <v>0</v>
      </c>
      <c r="P810" s="85">
        <v>297.97286893216676</v>
      </c>
      <c r="Q810" s="85">
        <v>272827.02453004767</v>
      </c>
      <c r="R810" s="82" t="s">
        <v>3399</v>
      </c>
      <c r="S810" s="7">
        <f t="shared" si="37"/>
        <v>0</v>
      </c>
      <c r="T810" s="6">
        <f t="shared" si="38"/>
        <v>0</v>
      </c>
      <c r="U810" s="25">
        <f t="shared" si="36"/>
        <v>0</v>
      </c>
    </row>
    <row r="811" spans="1:21" ht="10.9" customHeight="1" x14ac:dyDescent="0.2">
      <c r="A811" s="82" t="s">
        <v>3587</v>
      </c>
      <c r="B811" s="83">
        <v>45758</v>
      </c>
      <c r="C811" s="82" t="s">
        <v>3395</v>
      </c>
      <c r="D811" s="82" t="s">
        <v>3586</v>
      </c>
      <c r="E811" s="82"/>
      <c r="F811" s="82" t="s">
        <v>5529</v>
      </c>
      <c r="G811" s="89">
        <v>8</v>
      </c>
      <c r="H811" s="89">
        <v>22.65</v>
      </c>
      <c r="I811" s="85">
        <v>0</v>
      </c>
      <c r="J811" s="85">
        <v>0</v>
      </c>
      <c r="K811" s="85">
        <v>181.2</v>
      </c>
      <c r="L811" s="85">
        <v>196673.09</v>
      </c>
      <c r="M811" s="89">
        <v>31.420323469802504</v>
      </c>
      <c r="N811" s="85">
        <v>0</v>
      </c>
      <c r="O811" s="85">
        <v>0</v>
      </c>
      <c r="P811" s="85">
        <v>251.36258775842003</v>
      </c>
      <c r="Q811" s="85">
        <v>272827.02453004767</v>
      </c>
      <c r="R811" s="82" t="s">
        <v>3399</v>
      </c>
      <c r="S811" s="7">
        <f t="shared" si="37"/>
        <v>0</v>
      </c>
      <c r="T811" s="6">
        <f t="shared" si="38"/>
        <v>0</v>
      </c>
      <c r="U811" s="25">
        <f t="shared" si="36"/>
        <v>0</v>
      </c>
    </row>
    <row r="812" spans="1:21" ht="10.9" customHeight="1" x14ac:dyDescent="0.2">
      <c r="A812" s="82" t="s">
        <v>3587</v>
      </c>
      <c r="B812" s="83">
        <v>45758</v>
      </c>
      <c r="C812" s="82" t="s">
        <v>3395</v>
      </c>
      <c r="D812" s="82" t="s">
        <v>3586</v>
      </c>
      <c r="E812" s="82"/>
      <c r="F812" s="82" t="s">
        <v>5528</v>
      </c>
      <c r="G812" s="89">
        <v>4</v>
      </c>
      <c r="H812" s="89">
        <v>795</v>
      </c>
      <c r="I812" s="85">
        <v>0</v>
      </c>
      <c r="J812" s="85">
        <v>0</v>
      </c>
      <c r="K812" s="85">
        <v>3180</v>
      </c>
      <c r="L812" s="85">
        <v>196673.09</v>
      </c>
      <c r="M812" s="89">
        <v>1102.8325456288296</v>
      </c>
      <c r="N812" s="85">
        <v>0</v>
      </c>
      <c r="O812" s="85">
        <v>0</v>
      </c>
      <c r="P812" s="85">
        <v>4411.3301825153185</v>
      </c>
      <c r="Q812" s="85">
        <v>272827.02453004767</v>
      </c>
      <c r="R812" s="82" t="s">
        <v>3399</v>
      </c>
      <c r="S812" s="7">
        <f t="shared" si="37"/>
        <v>0</v>
      </c>
      <c r="T812" s="6">
        <f t="shared" si="38"/>
        <v>0</v>
      </c>
      <c r="U812" s="25">
        <f t="shared" si="36"/>
        <v>0</v>
      </c>
    </row>
    <row r="813" spans="1:21" ht="10.9" customHeight="1" x14ac:dyDescent="0.2">
      <c r="A813" s="82" t="s">
        <v>3587</v>
      </c>
      <c r="B813" s="83">
        <v>45758</v>
      </c>
      <c r="C813" s="82" t="s">
        <v>3395</v>
      </c>
      <c r="D813" s="82" t="s">
        <v>3586</v>
      </c>
      <c r="E813" s="82"/>
      <c r="F813" s="82" t="s">
        <v>5527</v>
      </c>
      <c r="G813" s="89">
        <v>4</v>
      </c>
      <c r="H813" s="89">
        <v>1425</v>
      </c>
      <c r="I813" s="85">
        <v>0</v>
      </c>
      <c r="J813" s="85">
        <v>0</v>
      </c>
      <c r="K813" s="85">
        <v>5700</v>
      </c>
      <c r="L813" s="85">
        <v>196673.09</v>
      </c>
      <c r="M813" s="89">
        <v>1976.7753176365813</v>
      </c>
      <c r="N813" s="85">
        <v>0</v>
      </c>
      <c r="O813" s="85">
        <v>0</v>
      </c>
      <c r="P813" s="85">
        <v>7907.1012705463254</v>
      </c>
      <c r="Q813" s="85">
        <v>272827.02453004767</v>
      </c>
      <c r="R813" s="82" t="s">
        <v>3399</v>
      </c>
      <c r="S813" s="7">
        <f t="shared" si="37"/>
        <v>0</v>
      </c>
      <c r="T813" s="6">
        <f t="shared" si="38"/>
        <v>0</v>
      </c>
      <c r="U813" s="25">
        <f t="shared" si="36"/>
        <v>0</v>
      </c>
    </row>
    <row r="814" spans="1:21" ht="10.9" customHeight="1" x14ac:dyDescent="0.2">
      <c r="A814" s="82" t="s">
        <v>3587</v>
      </c>
      <c r="B814" s="83">
        <v>45758</v>
      </c>
      <c r="C814" s="82" t="s">
        <v>3395</v>
      </c>
      <c r="D814" s="82" t="s">
        <v>3586</v>
      </c>
      <c r="E814" s="82"/>
      <c r="F814" s="82" t="s">
        <v>5526</v>
      </c>
      <c r="G814" s="89">
        <v>4</v>
      </c>
      <c r="H814" s="89">
        <v>1425</v>
      </c>
      <c r="I814" s="85">
        <v>0</v>
      </c>
      <c r="J814" s="85">
        <v>0</v>
      </c>
      <c r="K814" s="85">
        <v>5700</v>
      </c>
      <c r="L814" s="85">
        <v>196673.09</v>
      </c>
      <c r="M814" s="89">
        <v>1976.7753176365813</v>
      </c>
      <c r="N814" s="85">
        <v>0</v>
      </c>
      <c r="O814" s="85">
        <v>0</v>
      </c>
      <c r="P814" s="85">
        <v>7907.1012705463254</v>
      </c>
      <c r="Q814" s="85">
        <v>272827.02453004767</v>
      </c>
      <c r="R814" s="82" t="s">
        <v>3399</v>
      </c>
      <c r="S814" s="7">
        <f t="shared" si="37"/>
        <v>0</v>
      </c>
      <c r="T814" s="6">
        <f t="shared" si="38"/>
        <v>0</v>
      </c>
      <c r="U814" s="25">
        <f t="shared" si="36"/>
        <v>0</v>
      </c>
    </row>
    <row r="815" spans="1:21" ht="10.9" customHeight="1" x14ac:dyDescent="0.2">
      <c r="A815" s="82" t="s">
        <v>3587</v>
      </c>
      <c r="B815" s="83">
        <v>45758</v>
      </c>
      <c r="C815" s="82" t="s">
        <v>3395</v>
      </c>
      <c r="D815" s="82" t="s">
        <v>3586</v>
      </c>
      <c r="E815" s="82"/>
      <c r="F815" s="82" t="s">
        <v>5525</v>
      </c>
      <c r="G815" s="89">
        <v>4</v>
      </c>
      <c r="H815" s="89">
        <v>1492</v>
      </c>
      <c r="I815" s="85">
        <v>0</v>
      </c>
      <c r="J815" s="85">
        <v>0</v>
      </c>
      <c r="K815" s="85">
        <v>5968</v>
      </c>
      <c r="L815" s="85">
        <v>196673.09</v>
      </c>
      <c r="M815" s="89">
        <v>2069.7184378342313</v>
      </c>
      <c r="N815" s="85">
        <v>0</v>
      </c>
      <c r="O815" s="85">
        <v>0</v>
      </c>
      <c r="P815" s="85">
        <v>8278.8737513369251</v>
      </c>
      <c r="Q815" s="85">
        <v>272827.02453004767</v>
      </c>
      <c r="R815" s="82" t="s">
        <v>3399</v>
      </c>
      <c r="S815" s="7">
        <f t="shared" si="37"/>
        <v>0</v>
      </c>
      <c r="T815" s="6">
        <f t="shared" si="38"/>
        <v>0</v>
      </c>
      <c r="U815" s="25">
        <f t="shared" si="36"/>
        <v>0</v>
      </c>
    </row>
    <row r="816" spans="1:21" ht="10.9" customHeight="1" x14ac:dyDescent="0.2">
      <c r="A816" s="82" t="s">
        <v>3587</v>
      </c>
      <c r="B816" s="83">
        <v>45758</v>
      </c>
      <c r="C816" s="82" t="s">
        <v>3395</v>
      </c>
      <c r="D816" s="82" t="s">
        <v>3586</v>
      </c>
      <c r="E816" s="82"/>
      <c r="F816" s="82" t="s">
        <v>5521</v>
      </c>
      <c r="G816" s="89">
        <v>1</v>
      </c>
      <c r="H816" s="89">
        <v>5027.45</v>
      </c>
      <c r="I816" s="85">
        <v>0</v>
      </c>
      <c r="J816" s="85">
        <v>0</v>
      </c>
      <c r="K816" s="85">
        <v>5027.45</v>
      </c>
      <c r="L816" s="85">
        <v>196673.09</v>
      </c>
      <c r="M816" s="89">
        <v>6974.1326811593199</v>
      </c>
      <c r="N816" s="85">
        <v>0</v>
      </c>
      <c r="O816" s="85">
        <v>0</v>
      </c>
      <c r="P816" s="85">
        <v>6974.1326811593199</v>
      </c>
      <c r="Q816" s="85">
        <v>272827.02453004767</v>
      </c>
      <c r="R816" s="82" t="s">
        <v>3399</v>
      </c>
      <c r="S816" s="7">
        <f t="shared" si="37"/>
        <v>0</v>
      </c>
      <c r="T816" s="6">
        <f t="shared" si="38"/>
        <v>0</v>
      </c>
      <c r="U816" s="25">
        <f t="shared" si="36"/>
        <v>0</v>
      </c>
    </row>
    <row r="817" spans="1:21" ht="10.9" customHeight="1" x14ac:dyDescent="0.2">
      <c r="A817" s="82" t="s">
        <v>3587</v>
      </c>
      <c r="B817" s="83">
        <v>45758</v>
      </c>
      <c r="C817" s="82" t="s">
        <v>3395</v>
      </c>
      <c r="D817" s="82" t="s">
        <v>3586</v>
      </c>
      <c r="E817" s="82"/>
      <c r="F817" s="82" t="s">
        <v>5524</v>
      </c>
      <c r="G817" s="89">
        <v>4</v>
      </c>
      <c r="H817" s="89">
        <v>12162.75</v>
      </c>
      <c r="I817" s="85">
        <v>0</v>
      </c>
      <c r="J817" s="85">
        <v>0</v>
      </c>
      <c r="K817" s="85">
        <v>48651</v>
      </c>
      <c r="L817" s="85">
        <v>196673.09</v>
      </c>
      <c r="M817" s="89">
        <v>16872.297540059179</v>
      </c>
      <c r="N817" s="85">
        <v>0</v>
      </c>
      <c r="O817" s="85">
        <v>0</v>
      </c>
      <c r="P817" s="85">
        <v>67489.190160236714</v>
      </c>
      <c r="Q817" s="85">
        <v>272827.02453004767</v>
      </c>
      <c r="R817" s="82" t="s">
        <v>3399</v>
      </c>
      <c r="S817" s="7">
        <f t="shared" si="37"/>
        <v>0</v>
      </c>
      <c r="T817" s="6">
        <f t="shared" si="38"/>
        <v>0</v>
      </c>
      <c r="U817" s="25">
        <f t="shared" si="36"/>
        <v>0</v>
      </c>
    </row>
    <row r="818" spans="1:21" ht="10.9" customHeight="1" x14ac:dyDescent="0.2">
      <c r="A818" s="82" t="s">
        <v>3587</v>
      </c>
      <c r="B818" s="83">
        <v>45758</v>
      </c>
      <c r="C818" s="82" t="s">
        <v>3395</v>
      </c>
      <c r="D818" s="82" t="s">
        <v>3586</v>
      </c>
      <c r="E818" s="82"/>
      <c r="F818" s="82" t="s">
        <v>5523</v>
      </c>
      <c r="G818" s="89">
        <v>4</v>
      </c>
      <c r="H818" s="89">
        <v>11084.31</v>
      </c>
      <c r="I818" s="85">
        <v>0</v>
      </c>
      <c r="J818" s="85">
        <v>0</v>
      </c>
      <c r="K818" s="85">
        <v>44337.24</v>
      </c>
      <c r="L818" s="85">
        <v>196673.09</v>
      </c>
      <c r="M818" s="89">
        <v>15376.273979671814</v>
      </c>
      <c r="N818" s="85">
        <v>0</v>
      </c>
      <c r="O818" s="85">
        <v>0</v>
      </c>
      <c r="P818" s="85">
        <v>61505.095918687257</v>
      </c>
      <c r="Q818" s="85">
        <v>272827.02453004767</v>
      </c>
      <c r="R818" s="82" t="s">
        <v>3399</v>
      </c>
      <c r="S818" s="7">
        <f t="shared" si="37"/>
        <v>0</v>
      </c>
      <c r="T818" s="6">
        <f t="shared" si="38"/>
        <v>0</v>
      </c>
      <c r="U818" s="25">
        <f t="shared" si="36"/>
        <v>0</v>
      </c>
    </row>
    <row r="819" spans="1:21" ht="10.9" customHeight="1" x14ac:dyDescent="0.2">
      <c r="A819" s="82" t="s">
        <v>3587</v>
      </c>
      <c r="B819" s="83">
        <v>45758</v>
      </c>
      <c r="C819" s="82" t="s">
        <v>3395</v>
      </c>
      <c r="D819" s="82" t="s">
        <v>3586</v>
      </c>
      <c r="E819" s="82"/>
      <c r="F819" s="82" t="s">
        <v>5520</v>
      </c>
      <c r="G819" s="89">
        <v>1</v>
      </c>
      <c r="H819" s="89">
        <v>8907.84</v>
      </c>
      <c r="I819" s="85">
        <v>0</v>
      </c>
      <c r="J819" s="85">
        <v>0</v>
      </c>
      <c r="K819" s="85">
        <v>8907.84</v>
      </c>
      <c r="L819" s="85">
        <v>196673.09</v>
      </c>
      <c r="M819" s="89">
        <v>12357.051400319891</v>
      </c>
      <c r="N819" s="85">
        <v>0</v>
      </c>
      <c r="O819" s="85">
        <v>0</v>
      </c>
      <c r="P819" s="85">
        <v>12357.051400319891</v>
      </c>
      <c r="Q819" s="85">
        <v>272827.02453004767</v>
      </c>
      <c r="R819" s="82" t="s">
        <v>3399</v>
      </c>
      <c r="S819" s="7">
        <f t="shared" si="37"/>
        <v>0</v>
      </c>
      <c r="T819" s="6">
        <f t="shared" si="38"/>
        <v>0</v>
      </c>
      <c r="U819" s="25">
        <f t="shared" si="36"/>
        <v>0</v>
      </c>
    </row>
    <row r="820" spans="1:21" ht="10.9" customHeight="1" x14ac:dyDescent="0.2">
      <c r="A820" s="82" t="s">
        <v>3587</v>
      </c>
      <c r="B820" s="83">
        <v>45758</v>
      </c>
      <c r="C820" s="82" t="s">
        <v>3395</v>
      </c>
      <c r="D820" s="82" t="s">
        <v>3586</v>
      </c>
      <c r="E820" s="82"/>
      <c r="F820" s="82" t="s">
        <v>5522</v>
      </c>
      <c r="G820" s="89">
        <v>4</v>
      </c>
      <c r="H820" s="89">
        <v>8943.14</v>
      </c>
      <c r="I820" s="85">
        <v>0</v>
      </c>
      <c r="J820" s="85">
        <v>0</v>
      </c>
      <c r="K820" s="85">
        <v>35772.559999999998</v>
      </c>
      <c r="L820" s="85">
        <v>196673.09</v>
      </c>
      <c r="M820" s="89">
        <v>12406.01993976731</v>
      </c>
      <c r="N820" s="85">
        <v>0</v>
      </c>
      <c r="O820" s="85">
        <v>0</v>
      </c>
      <c r="P820" s="85">
        <v>49624.079759069238</v>
      </c>
      <c r="Q820" s="85">
        <v>272827.02453004767</v>
      </c>
      <c r="R820" s="82" t="s">
        <v>3399</v>
      </c>
      <c r="S820" s="7">
        <f t="shared" si="37"/>
        <v>0</v>
      </c>
      <c r="T820" s="6">
        <f t="shared" si="38"/>
        <v>0</v>
      </c>
      <c r="U820" s="25">
        <f t="shared" si="36"/>
        <v>0</v>
      </c>
    </row>
    <row r="821" spans="1:21" ht="10.9" customHeight="1" x14ac:dyDescent="0.2">
      <c r="A821" s="82" t="s">
        <v>3588</v>
      </c>
      <c r="B821" s="83">
        <v>45758</v>
      </c>
      <c r="C821" s="82" t="s">
        <v>3395</v>
      </c>
      <c r="D821" s="82" t="s">
        <v>3586</v>
      </c>
      <c r="E821" s="82"/>
      <c r="F821" s="82" t="s">
        <v>5521</v>
      </c>
      <c r="G821" s="89">
        <v>1</v>
      </c>
      <c r="H821" s="89">
        <v>5027.45</v>
      </c>
      <c r="I821" s="85">
        <v>0</v>
      </c>
      <c r="J821" s="85">
        <v>0</v>
      </c>
      <c r="K821" s="85">
        <v>5027.45</v>
      </c>
      <c r="L821" s="85">
        <v>31750.97</v>
      </c>
      <c r="M821" s="89">
        <v>6974.1326811593199</v>
      </c>
      <c r="N821" s="85">
        <v>0</v>
      </c>
      <c r="O821" s="85">
        <v>0</v>
      </c>
      <c r="P821" s="85">
        <v>6974.1326811593199</v>
      </c>
      <c r="Q821" s="85">
        <v>44045.286882118991</v>
      </c>
      <c r="R821" s="82" t="s">
        <v>3399</v>
      </c>
      <c r="S821" s="7">
        <f t="shared" si="37"/>
        <v>0</v>
      </c>
      <c r="T821" s="6">
        <f t="shared" si="38"/>
        <v>0</v>
      </c>
      <c r="U821" s="25">
        <f t="shared" si="36"/>
        <v>0</v>
      </c>
    </row>
    <row r="822" spans="1:21" ht="10.9" customHeight="1" x14ac:dyDescent="0.2">
      <c r="A822" s="82" t="s">
        <v>3588</v>
      </c>
      <c r="B822" s="83">
        <v>45758</v>
      </c>
      <c r="C822" s="82" t="s">
        <v>3395</v>
      </c>
      <c r="D822" s="82" t="s">
        <v>3586</v>
      </c>
      <c r="E822" s="82"/>
      <c r="F822" s="82" t="s">
        <v>5520</v>
      </c>
      <c r="G822" s="89">
        <v>3</v>
      </c>
      <c r="H822" s="89">
        <v>8907.84</v>
      </c>
      <c r="I822" s="85">
        <v>0</v>
      </c>
      <c r="J822" s="85">
        <v>0</v>
      </c>
      <c r="K822" s="85">
        <v>26723.52</v>
      </c>
      <c r="L822" s="85">
        <v>31750.97</v>
      </c>
      <c r="M822" s="89">
        <v>12357.051400319891</v>
      </c>
      <c r="N822" s="85">
        <v>0</v>
      </c>
      <c r="O822" s="85">
        <v>0</v>
      </c>
      <c r="P822" s="85">
        <v>37071.154200959674</v>
      </c>
      <c r="Q822" s="85">
        <v>44045.286882118991</v>
      </c>
      <c r="R822" s="82" t="s">
        <v>3399</v>
      </c>
      <c r="S822" s="7">
        <f t="shared" si="37"/>
        <v>0</v>
      </c>
      <c r="T822" s="6">
        <f t="shared" si="38"/>
        <v>0</v>
      </c>
      <c r="U822" s="25">
        <f t="shared" si="36"/>
        <v>0</v>
      </c>
    </row>
    <row r="823" spans="1:21" ht="10.9" customHeight="1" x14ac:dyDescent="0.2">
      <c r="A823" s="82" t="s">
        <v>2540</v>
      </c>
      <c r="B823" s="83">
        <v>45758</v>
      </c>
      <c r="C823" s="82" t="s">
        <v>3395</v>
      </c>
      <c r="D823" s="82" t="s">
        <v>1803</v>
      </c>
      <c r="E823" s="82"/>
      <c r="F823" s="82" t="s">
        <v>4417</v>
      </c>
      <c r="G823" s="89">
        <v>1</v>
      </c>
      <c r="H823" s="89">
        <v>1306.53</v>
      </c>
      <c r="I823" s="85">
        <v>0</v>
      </c>
      <c r="J823" s="85">
        <v>0</v>
      </c>
      <c r="K823" s="85">
        <v>1306.53</v>
      </c>
      <c r="L823" s="85">
        <v>1306.53</v>
      </c>
      <c r="M823" s="89">
        <v>1815.0308610675443</v>
      </c>
      <c r="N823" s="85">
        <v>0</v>
      </c>
      <c r="O823" s="85">
        <v>0</v>
      </c>
      <c r="P823" s="85">
        <v>1815.0308610675443</v>
      </c>
      <c r="Q823" s="85">
        <v>1815.0308610675443</v>
      </c>
      <c r="R823" s="82" t="s">
        <v>3399</v>
      </c>
      <c r="S823" s="7">
        <f t="shared" si="37"/>
        <v>0</v>
      </c>
      <c r="T823" s="6">
        <f t="shared" si="38"/>
        <v>0</v>
      </c>
      <c r="U823" s="25">
        <f t="shared" si="36"/>
        <v>0</v>
      </c>
    </row>
    <row r="824" spans="1:21" ht="10.9" customHeight="1" x14ac:dyDescent="0.2">
      <c r="A824" s="82" t="s">
        <v>2474</v>
      </c>
      <c r="B824" s="83">
        <v>45758</v>
      </c>
      <c r="C824" s="82" t="s">
        <v>3395</v>
      </c>
      <c r="D824" s="82" t="s">
        <v>1914</v>
      </c>
      <c r="E824" s="82"/>
      <c r="F824" s="82" t="s">
        <v>4417</v>
      </c>
      <c r="G824" s="89">
        <v>3</v>
      </c>
      <c r="H824" s="89">
        <v>1306.53</v>
      </c>
      <c r="I824" s="85">
        <v>0</v>
      </c>
      <c r="J824" s="85">
        <v>0</v>
      </c>
      <c r="K824" s="85">
        <v>3919.59</v>
      </c>
      <c r="L824" s="85">
        <v>4518.59</v>
      </c>
      <c r="M824" s="89">
        <v>1812.4324601766475</v>
      </c>
      <c r="N824" s="85">
        <v>0</v>
      </c>
      <c r="O824" s="85">
        <v>0</v>
      </c>
      <c r="P824" s="85">
        <v>5437.2973805299425</v>
      </c>
      <c r="Q824" s="85">
        <v>6268.236619311916</v>
      </c>
      <c r="R824" s="82" t="s">
        <v>3399</v>
      </c>
      <c r="S824" s="7">
        <f t="shared" si="37"/>
        <v>0</v>
      </c>
      <c r="T824" s="6">
        <f t="shared" si="38"/>
        <v>0</v>
      </c>
      <c r="U824" s="25">
        <f t="shared" si="36"/>
        <v>0</v>
      </c>
    </row>
    <row r="825" spans="1:21" ht="10.9" customHeight="1" x14ac:dyDescent="0.2">
      <c r="A825" s="82" t="s">
        <v>2474</v>
      </c>
      <c r="B825" s="83">
        <v>45758</v>
      </c>
      <c r="C825" s="82" t="s">
        <v>3395</v>
      </c>
      <c r="D825" s="82" t="s">
        <v>1914</v>
      </c>
      <c r="E825" s="82"/>
      <c r="F825" s="82" t="s">
        <v>4393</v>
      </c>
      <c r="G825" s="89">
        <v>1</v>
      </c>
      <c r="H825" s="89">
        <v>599</v>
      </c>
      <c r="I825" s="85">
        <v>0</v>
      </c>
      <c r="J825" s="85">
        <v>0</v>
      </c>
      <c r="K825" s="85">
        <v>599</v>
      </c>
      <c r="L825" s="85">
        <v>4518.59</v>
      </c>
      <c r="M825" s="89">
        <v>830.93923878197347</v>
      </c>
      <c r="N825" s="85">
        <v>0</v>
      </c>
      <c r="O825" s="85">
        <v>0</v>
      </c>
      <c r="P825" s="85">
        <v>830.93923878197347</v>
      </c>
      <c r="Q825" s="85">
        <v>6268.236619311916</v>
      </c>
      <c r="R825" s="82" t="s">
        <v>3399</v>
      </c>
      <c r="S825" s="7" t="str">
        <f t="shared" si="37"/>
        <v>INV12855</v>
      </c>
      <c r="T825" s="6">
        <f t="shared" si="38"/>
        <v>1</v>
      </c>
      <c r="U825" s="25">
        <f t="shared" si="36"/>
        <v>599</v>
      </c>
    </row>
    <row r="826" spans="1:21" ht="10.9" customHeight="1" x14ac:dyDescent="0.2">
      <c r="A826" s="82" t="s">
        <v>2647</v>
      </c>
      <c r="B826" s="83">
        <v>45758</v>
      </c>
      <c r="C826" s="82" t="s">
        <v>3395</v>
      </c>
      <c r="D826" s="82" t="s">
        <v>1617</v>
      </c>
      <c r="E826" s="82"/>
      <c r="F826" s="82" t="s">
        <v>5349</v>
      </c>
      <c r="G826" s="89">
        <v>2</v>
      </c>
      <c r="H826" s="89">
        <v>73.11</v>
      </c>
      <c r="I826" s="85">
        <v>0</v>
      </c>
      <c r="J826" s="85">
        <v>7.31</v>
      </c>
      <c r="K826" s="85">
        <v>153.53</v>
      </c>
      <c r="L826" s="85">
        <v>153.53</v>
      </c>
      <c r="M826" s="89">
        <v>73.11</v>
      </c>
      <c r="N826" s="85">
        <v>0</v>
      </c>
      <c r="O826" s="85">
        <v>7.31</v>
      </c>
      <c r="P826" s="85">
        <v>153.53</v>
      </c>
      <c r="Q826" s="85">
        <v>153.53</v>
      </c>
      <c r="R826" s="82" t="s">
        <v>3399</v>
      </c>
      <c r="S826" s="7">
        <f t="shared" si="37"/>
        <v>0</v>
      </c>
      <c r="T826" s="6">
        <f t="shared" si="38"/>
        <v>0</v>
      </c>
      <c r="U826" s="25">
        <f t="shared" si="36"/>
        <v>0</v>
      </c>
    </row>
    <row r="827" spans="1:21" ht="10.9" customHeight="1" x14ac:dyDescent="0.2">
      <c r="A827" s="82" t="s">
        <v>2646</v>
      </c>
      <c r="B827" s="83">
        <v>45758</v>
      </c>
      <c r="C827" s="82" t="s">
        <v>3395</v>
      </c>
      <c r="D827" s="82" t="s">
        <v>1620</v>
      </c>
      <c r="E827" s="82"/>
      <c r="F827" s="82" t="s">
        <v>4605</v>
      </c>
      <c r="G827" s="89">
        <v>1</v>
      </c>
      <c r="H827" s="89">
        <v>798.97</v>
      </c>
      <c r="I827" s="85">
        <v>0</v>
      </c>
      <c r="J827" s="85">
        <v>39.950000000000003</v>
      </c>
      <c r="K827" s="85">
        <v>838.92</v>
      </c>
      <c r="L827" s="85">
        <v>838.92</v>
      </c>
      <c r="M827" s="89">
        <v>798.97</v>
      </c>
      <c r="N827" s="85">
        <v>0</v>
      </c>
      <c r="O827" s="85">
        <v>39.950000000000003</v>
      </c>
      <c r="P827" s="85">
        <v>838.92</v>
      </c>
      <c r="Q827" s="85">
        <v>838.92</v>
      </c>
      <c r="R827" s="82" t="s">
        <v>3399</v>
      </c>
      <c r="S827" s="7">
        <f t="shared" si="37"/>
        <v>0</v>
      </c>
      <c r="T827" s="6">
        <f t="shared" si="38"/>
        <v>0</v>
      </c>
      <c r="U827" s="25">
        <f t="shared" si="36"/>
        <v>0</v>
      </c>
    </row>
    <row r="828" spans="1:21" ht="10.9" customHeight="1" x14ac:dyDescent="0.2">
      <c r="A828" s="82" t="s">
        <v>2367</v>
      </c>
      <c r="B828" s="83">
        <v>45761</v>
      </c>
      <c r="C828" s="82" t="s">
        <v>3395</v>
      </c>
      <c r="D828" s="82" t="s">
        <v>2089</v>
      </c>
      <c r="E828" s="82"/>
      <c r="F828" s="82" t="s">
        <v>5462</v>
      </c>
      <c r="G828" s="89">
        <v>1</v>
      </c>
      <c r="H828" s="89">
        <v>2551.98</v>
      </c>
      <c r="I828" s="85">
        <v>0</v>
      </c>
      <c r="J828" s="85">
        <v>0</v>
      </c>
      <c r="K828" s="85">
        <v>2551.98</v>
      </c>
      <c r="L828" s="85">
        <v>2551.98</v>
      </c>
      <c r="M828" s="89">
        <v>3541.7898392025913</v>
      </c>
      <c r="N828" s="85">
        <v>0</v>
      </c>
      <c r="O828" s="85">
        <v>0</v>
      </c>
      <c r="P828" s="85">
        <v>3541.7898392025913</v>
      </c>
      <c r="Q828" s="85">
        <v>3541.7898392025913</v>
      </c>
      <c r="R828" s="82" t="s">
        <v>3399</v>
      </c>
      <c r="S828" s="7">
        <f t="shared" si="37"/>
        <v>0</v>
      </c>
      <c r="T828" s="6">
        <f t="shared" si="38"/>
        <v>0</v>
      </c>
      <c r="U828" s="25">
        <f t="shared" si="36"/>
        <v>0</v>
      </c>
    </row>
    <row r="829" spans="1:21" ht="10.9" customHeight="1" x14ac:dyDescent="0.2">
      <c r="A829" s="82" t="s">
        <v>2603</v>
      </c>
      <c r="B829" s="83">
        <v>45761</v>
      </c>
      <c r="C829" s="82" t="s">
        <v>3395</v>
      </c>
      <c r="D829" s="82" t="s">
        <v>1688</v>
      </c>
      <c r="E829" s="82"/>
      <c r="F829" s="82" t="s">
        <v>5462</v>
      </c>
      <c r="G829" s="89">
        <v>1</v>
      </c>
      <c r="H829" s="89">
        <v>2551.98</v>
      </c>
      <c r="I829" s="85">
        <v>0</v>
      </c>
      <c r="J829" s="85">
        <v>0</v>
      </c>
      <c r="K829" s="85">
        <v>2551.98</v>
      </c>
      <c r="L829" s="85">
        <v>2551.98</v>
      </c>
      <c r="M829" s="89">
        <v>3542.6355082583477</v>
      </c>
      <c r="N829" s="85">
        <v>0</v>
      </c>
      <c r="O829" s="85">
        <v>0</v>
      </c>
      <c r="P829" s="85">
        <v>3542.6355082583477</v>
      </c>
      <c r="Q829" s="85">
        <v>3542.6355082583477</v>
      </c>
      <c r="R829" s="82" t="s">
        <v>3399</v>
      </c>
      <c r="S829" s="7">
        <f t="shared" si="37"/>
        <v>0</v>
      </c>
      <c r="T829" s="6">
        <f t="shared" si="38"/>
        <v>0</v>
      </c>
      <c r="U829" s="25">
        <f t="shared" si="36"/>
        <v>0</v>
      </c>
    </row>
    <row r="830" spans="1:21" ht="10.9" customHeight="1" x14ac:dyDescent="0.2">
      <c r="A830" s="82" t="s">
        <v>3584</v>
      </c>
      <c r="B830" s="83">
        <v>45761</v>
      </c>
      <c r="C830" s="82" t="s">
        <v>3395</v>
      </c>
      <c r="D830" s="82" t="s">
        <v>3583</v>
      </c>
      <c r="E830" s="82"/>
      <c r="F830" s="82" t="s">
        <v>5462</v>
      </c>
      <c r="G830" s="89">
        <v>12</v>
      </c>
      <c r="H830" s="89">
        <v>2393.25</v>
      </c>
      <c r="I830" s="85">
        <v>0</v>
      </c>
      <c r="J830" s="85">
        <v>0</v>
      </c>
      <c r="K830" s="85">
        <v>28719</v>
      </c>
      <c r="L830" s="85">
        <v>28719</v>
      </c>
      <c r="M830" s="89">
        <v>3322.287960775277</v>
      </c>
      <c r="N830" s="85">
        <v>0</v>
      </c>
      <c r="O830" s="85">
        <v>0</v>
      </c>
      <c r="P830" s="85">
        <v>39867.455529303319</v>
      </c>
      <c r="Q830" s="85">
        <v>39867.455529303319</v>
      </c>
      <c r="R830" s="82" t="s">
        <v>3399</v>
      </c>
      <c r="S830" s="7">
        <f t="shared" si="37"/>
        <v>0</v>
      </c>
      <c r="T830" s="6">
        <f t="shared" si="38"/>
        <v>0</v>
      </c>
      <c r="U830" s="25">
        <f t="shared" si="36"/>
        <v>0</v>
      </c>
    </row>
    <row r="831" spans="1:21" ht="10.9" customHeight="1" x14ac:dyDescent="0.2">
      <c r="A831" s="82" t="s">
        <v>3581</v>
      </c>
      <c r="B831" s="83">
        <v>45761</v>
      </c>
      <c r="C831" s="82" t="s">
        <v>3395</v>
      </c>
      <c r="D831" s="82" t="s">
        <v>3580</v>
      </c>
      <c r="E831" s="82"/>
      <c r="F831" s="82" t="s">
        <v>5462</v>
      </c>
      <c r="G831" s="89">
        <v>3</v>
      </c>
      <c r="H831" s="89">
        <v>2393.25</v>
      </c>
      <c r="I831" s="85">
        <v>0</v>
      </c>
      <c r="J831" s="85">
        <v>0</v>
      </c>
      <c r="K831" s="85">
        <v>7179.75</v>
      </c>
      <c r="L831" s="85">
        <v>7179.75</v>
      </c>
      <c r="M831" s="89">
        <v>3322.287960775277</v>
      </c>
      <c r="N831" s="85">
        <v>0</v>
      </c>
      <c r="O831" s="85">
        <v>0</v>
      </c>
      <c r="P831" s="85">
        <v>9966.8638823258298</v>
      </c>
      <c r="Q831" s="85">
        <v>9966.8638823258298</v>
      </c>
      <c r="R831" s="82" t="s">
        <v>3399</v>
      </c>
      <c r="S831" s="7">
        <f t="shared" si="37"/>
        <v>0</v>
      </c>
      <c r="T831" s="6">
        <f t="shared" si="38"/>
        <v>0</v>
      </c>
      <c r="U831" s="25">
        <f t="shared" si="36"/>
        <v>0</v>
      </c>
    </row>
    <row r="832" spans="1:21" ht="10.9" customHeight="1" x14ac:dyDescent="0.2">
      <c r="A832" s="82" t="s">
        <v>2384</v>
      </c>
      <c r="B832" s="83">
        <v>45761</v>
      </c>
      <c r="C832" s="82" t="s">
        <v>3395</v>
      </c>
      <c r="D832" s="82" t="s">
        <v>2065</v>
      </c>
      <c r="E832" s="82"/>
      <c r="F832" s="82" t="s">
        <v>4417</v>
      </c>
      <c r="G832" s="89">
        <v>5</v>
      </c>
      <c r="H832" s="89">
        <v>1452.39</v>
      </c>
      <c r="I832" s="85">
        <v>0</v>
      </c>
      <c r="J832" s="85">
        <v>0</v>
      </c>
      <c r="K832" s="85">
        <v>7261.95</v>
      </c>
      <c r="L832" s="85">
        <v>7261.95</v>
      </c>
      <c r="M832" s="89">
        <v>2016.1946354749418</v>
      </c>
      <c r="N832" s="85">
        <v>0</v>
      </c>
      <c r="O832" s="85">
        <v>0</v>
      </c>
      <c r="P832" s="85">
        <v>10080.973177374708</v>
      </c>
      <c r="Q832" s="85">
        <v>10080.973177374708</v>
      </c>
      <c r="R832" s="82" t="s">
        <v>3399</v>
      </c>
      <c r="S832" s="7">
        <f t="shared" si="37"/>
        <v>0</v>
      </c>
      <c r="T832" s="6">
        <f t="shared" si="38"/>
        <v>0</v>
      </c>
      <c r="U832" s="25">
        <f t="shared" si="36"/>
        <v>0</v>
      </c>
    </row>
    <row r="833" spans="1:21" ht="10.9" customHeight="1" x14ac:dyDescent="0.2">
      <c r="A833" s="82" t="s">
        <v>2645</v>
      </c>
      <c r="B833" s="83">
        <v>45761</v>
      </c>
      <c r="C833" s="82" t="s">
        <v>3395</v>
      </c>
      <c r="D833" s="82" t="s">
        <v>1622</v>
      </c>
      <c r="E833" s="82"/>
      <c r="F833" s="82" t="s">
        <v>4545</v>
      </c>
      <c r="G833" s="89">
        <v>1</v>
      </c>
      <c r="H833" s="89">
        <v>5498.22</v>
      </c>
      <c r="I833" s="85">
        <v>0</v>
      </c>
      <c r="J833" s="85">
        <v>0</v>
      </c>
      <c r="K833" s="85">
        <v>5498.22</v>
      </c>
      <c r="L833" s="85">
        <v>6106.22</v>
      </c>
      <c r="M833" s="89">
        <v>7630.75718841859</v>
      </c>
      <c r="N833" s="85">
        <v>0</v>
      </c>
      <c r="O833" s="85">
        <v>0</v>
      </c>
      <c r="P833" s="85">
        <v>7630.75718841859</v>
      </c>
      <c r="Q833" s="85">
        <v>8474.5758007255736</v>
      </c>
      <c r="R833" s="82" t="s">
        <v>3399</v>
      </c>
      <c r="S833" s="7">
        <f t="shared" si="37"/>
        <v>0</v>
      </c>
      <c r="T833" s="6">
        <f t="shared" si="38"/>
        <v>0</v>
      </c>
      <c r="U833" s="25">
        <f t="shared" si="36"/>
        <v>0</v>
      </c>
    </row>
    <row r="834" spans="1:21" ht="10.9" customHeight="1" x14ac:dyDescent="0.2">
      <c r="A834" s="82" t="s">
        <v>2645</v>
      </c>
      <c r="B834" s="83">
        <v>45761</v>
      </c>
      <c r="C834" s="82" t="s">
        <v>3395</v>
      </c>
      <c r="D834" s="82" t="s">
        <v>1622</v>
      </c>
      <c r="E834" s="82"/>
      <c r="F834" s="82" t="s">
        <v>4393</v>
      </c>
      <c r="G834" s="89">
        <v>1</v>
      </c>
      <c r="H834" s="89">
        <v>608</v>
      </c>
      <c r="I834" s="85">
        <v>0</v>
      </c>
      <c r="J834" s="85">
        <v>0</v>
      </c>
      <c r="K834" s="85">
        <v>608</v>
      </c>
      <c r="L834" s="85">
        <v>6106.22</v>
      </c>
      <c r="M834" s="89">
        <v>843.81861230698348</v>
      </c>
      <c r="N834" s="85">
        <v>0</v>
      </c>
      <c r="O834" s="85">
        <v>0</v>
      </c>
      <c r="P834" s="85">
        <v>843.81861230698348</v>
      </c>
      <c r="Q834" s="85">
        <v>8474.5758007255736</v>
      </c>
      <c r="R834" s="82" t="s">
        <v>3399</v>
      </c>
      <c r="S834" s="7" t="str">
        <f t="shared" si="37"/>
        <v>INV12862</v>
      </c>
      <c r="T834" s="6">
        <f t="shared" si="38"/>
        <v>1</v>
      </c>
      <c r="U834" s="25">
        <f t="shared" ref="U834:U897" si="39">IF(T834=1,K834-J834,0)</f>
        <v>608</v>
      </c>
    </row>
    <row r="835" spans="1:21" ht="10.9" customHeight="1" x14ac:dyDescent="0.2">
      <c r="A835" s="82" t="s">
        <v>2434</v>
      </c>
      <c r="B835" s="83">
        <v>45761</v>
      </c>
      <c r="C835" s="82" t="s">
        <v>3395</v>
      </c>
      <c r="D835" s="82" t="s">
        <v>3578</v>
      </c>
      <c r="E835" s="82"/>
      <c r="F835" s="82" t="s">
        <v>5518</v>
      </c>
      <c r="G835" s="89">
        <v>4</v>
      </c>
      <c r="H835" s="89">
        <v>408</v>
      </c>
      <c r="I835" s="85">
        <v>0</v>
      </c>
      <c r="J835" s="85">
        <v>0</v>
      </c>
      <c r="K835" s="85">
        <v>1632</v>
      </c>
      <c r="L835" s="85">
        <v>5696</v>
      </c>
      <c r="M835" s="89">
        <v>566.24670036389682</v>
      </c>
      <c r="N835" s="85">
        <v>0</v>
      </c>
      <c r="O835" s="85">
        <v>0</v>
      </c>
      <c r="P835" s="85">
        <v>2264.9868014555873</v>
      </c>
      <c r="Q835" s="85">
        <v>7905.248052139108</v>
      </c>
      <c r="R835" s="82" t="s">
        <v>3396</v>
      </c>
      <c r="S835" s="7">
        <f t="shared" ref="S835:S898" si="40">IF(T835=1,A835,0)</f>
        <v>0</v>
      </c>
      <c r="T835" s="6">
        <f t="shared" ref="T835:T898" si="41">IFERROR(FIND("Freight",F835,1),0)</f>
        <v>0</v>
      </c>
      <c r="U835" s="25">
        <f t="shared" si="39"/>
        <v>0</v>
      </c>
    </row>
    <row r="836" spans="1:21" ht="10.9" customHeight="1" x14ac:dyDescent="0.2">
      <c r="A836" s="82" t="s">
        <v>2434</v>
      </c>
      <c r="B836" s="83">
        <v>45761</v>
      </c>
      <c r="C836" s="82" t="s">
        <v>3395</v>
      </c>
      <c r="D836" s="82" t="s">
        <v>3578</v>
      </c>
      <c r="E836" s="82"/>
      <c r="F836" s="82" t="s">
        <v>5517</v>
      </c>
      <c r="G836" s="89">
        <v>12</v>
      </c>
      <c r="H836" s="89">
        <v>52</v>
      </c>
      <c r="I836" s="85">
        <v>0</v>
      </c>
      <c r="J836" s="85">
        <v>0</v>
      </c>
      <c r="K836" s="85">
        <v>624</v>
      </c>
      <c r="L836" s="85">
        <v>5696</v>
      </c>
      <c r="M836" s="89">
        <v>72.168697105202526</v>
      </c>
      <c r="N836" s="85">
        <v>0</v>
      </c>
      <c r="O836" s="85">
        <v>0</v>
      </c>
      <c r="P836" s="85">
        <v>866.02436526243036</v>
      </c>
      <c r="Q836" s="85">
        <v>7905.248052139108</v>
      </c>
      <c r="R836" s="82" t="s">
        <v>3396</v>
      </c>
      <c r="S836" s="7">
        <f t="shared" si="40"/>
        <v>0</v>
      </c>
      <c r="T836" s="6">
        <f t="shared" si="41"/>
        <v>0</v>
      </c>
      <c r="U836" s="25">
        <f t="shared" si="39"/>
        <v>0</v>
      </c>
    </row>
    <row r="837" spans="1:21" ht="10.9" customHeight="1" x14ac:dyDescent="0.2">
      <c r="A837" s="82" t="s">
        <v>2434</v>
      </c>
      <c r="B837" s="83">
        <v>45761</v>
      </c>
      <c r="C837" s="82" t="s">
        <v>3395</v>
      </c>
      <c r="D837" s="82" t="s">
        <v>3578</v>
      </c>
      <c r="E837" s="82"/>
      <c r="F837" s="82" t="s">
        <v>5516</v>
      </c>
      <c r="G837" s="89">
        <v>5</v>
      </c>
      <c r="H837" s="89">
        <v>525</v>
      </c>
      <c r="I837" s="85">
        <v>0</v>
      </c>
      <c r="J837" s="85">
        <v>0</v>
      </c>
      <c r="K837" s="85">
        <v>2625</v>
      </c>
      <c r="L837" s="85">
        <v>5696</v>
      </c>
      <c r="M837" s="89">
        <v>728.62626885060251</v>
      </c>
      <c r="N837" s="85">
        <v>0</v>
      </c>
      <c r="O837" s="85">
        <v>0</v>
      </c>
      <c r="P837" s="85">
        <v>3643.1313442530122</v>
      </c>
      <c r="Q837" s="85">
        <v>7905.248052139108</v>
      </c>
      <c r="R837" s="82" t="s">
        <v>3396</v>
      </c>
      <c r="S837" s="7">
        <f t="shared" si="40"/>
        <v>0</v>
      </c>
      <c r="T837" s="6">
        <f t="shared" si="41"/>
        <v>0</v>
      </c>
      <c r="U837" s="25">
        <f t="shared" si="39"/>
        <v>0</v>
      </c>
    </row>
    <row r="838" spans="1:21" ht="10.9" customHeight="1" x14ac:dyDescent="0.2">
      <c r="A838" s="82" t="s">
        <v>2434</v>
      </c>
      <c r="B838" s="83">
        <v>45761</v>
      </c>
      <c r="C838" s="82" t="s">
        <v>3395</v>
      </c>
      <c r="D838" s="82" t="s">
        <v>3578</v>
      </c>
      <c r="E838" s="82"/>
      <c r="F838" s="82" t="s">
        <v>5515</v>
      </c>
      <c r="G838" s="89">
        <v>2</v>
      </c>
      <c r="H838" s="89">
        <v>117</v>
      </c>
      <c r="I838" s="85">
        <v>0</v>
      </c>
      <c r="J838" s="85">
        <v>0</v>
      </c>
      <c r="K838" s="85">
        <v>234</v>
      </c>
      <c r="L838" s="85">
        <v>5696</v>
      </c>
      <c r="M838" s="89">
        <v>162.37956848670569</v>
      </c>
      <c r="N838" s="85">
        <v>0</v>
      </c>
      <c r="O838" s="85">
        <v>0</v>
      </c>
      <c r="P838" s="85">
        <v>324.75913697341139</v>
      </c>
      <c r="Q838" s="85">
        <v>7905.248052139108</v>
      </c>
      <c r="R838" s="82" t="s">
        <v>3396</v>
      </c>
      <c r="S838" s="7">
        <f t="shared" si="40"/>
        <v>0</v>
      </c>
      <c r="T838" s="6">
        <f t="shared" si="41"/>
        <v>0</v>
      </c>
      <c r="U838" s="25">
        <f t="shared" si="39"/>
        <v>0</v>
      </c>
    </row>
    <row r="839" spans="1:21" ht="10.9" customHeight="1" x14ac:dyDescent="0.2">
      <c r="A839" s="82" t="s">
        <v>2434</v>
      </c>
      <c r="B839" s="83">
        <v>45761</v>
      </c>
      <c r="C839" s="82" t="s">
        <v>3395</v>
      </c>
      <c r="D839" s="82" t="s">
        <v>3578</v>
      </c>
      <c r="E839" s="82"/>
      <c r="F839" s="82" t="s">
        <v>5239</v>
      </c>
      <c r="G839" s="89">
        <v>1</v>
      </c>
      <c r="H839" s="89">
        <v>544</v>
      </c>
      <c r="I839" s="85">
        <v>0</v>
      </c>
      <c r="J839" s="85">
        <v>0</v>
      </c>
      <c r="K839" s="85">
        <v>544</v>
      </c>
      <c r="L839" s="85">
        <v>5696</v>
      </c>
      <c r="M839" s="89">
        <v>754.99560048519572</v>
      </c>
      <c r="N839" s="85">
        <v>0</v>
      </c>
      <c r="O839" s="85">
        <v>0</v>
      </c>
      <c r="P839" s="85">
        <v>754.99560048519572</v>
      </c>
      <c r="Q839" s="85">
        <v>7905.248052139108</v>
      </c>
      <c r="R839" s="82" t="s">
        <v>3396</v>
      </c>
      <c r="S839" s="7">
        <f t="shared" si="40"/>
        <v>0</v>
      </c>
      <c r="T839" s="6">
        <f t="shared" si="41"/>
        <v>0</v>
      </c>
      <c r="U839" s="25">
        <f t="shared" si="39"/>
        <v>0</v>
      </c>
    </row>
    <row r="840" spans="1:21" ht="10.9" customHeight="1" x14ac:dyDescent="0.2">
      <c r="A840" s="82" t="s">
        <v>2434</v>
      </c>
      <c r="B840" s="83">
        <v>45761</v>
      </c>
      <c r="C840" s="82" t="s">
        <v>3395</v>
      </c>
      <c r="D840" s="82" t="s">
        <v>3578</v>
      </c>
      <c r="E840" s="82"/>
      <c r="F840" s="82" t="s">
        <v>5072</v>
      </c>
      <c r="G840" s="89">
        <v>10</v>
      </c>
      <c r="H840" s="89">
        <v>3.7</v>
      </c>
      <c r="I840" s="85">
        <v>0</v>
      </c>
      <c r="J840" s="85">
        <v>0</v>
      </c>
      <c r="K840" s="85">
        <v>37</v>
      </c>
      <c r="L840" s="85">
        <v>5696</v>
      </c>
      <c r="M840" s="89">
        <v>5.1350803709471027</v>
      </c>
      <c r="N840" s="85">
        <v>0</v>
      </c>
      <c r="O840" s="85">
        <v>0</v>
      </c>
      <c r="P840" s="85">
        <v>51.35080370947103</v>
      </c>
      <c r="Q840" s="85">
        <v>7905.248052139108</v>
      </c>
      <c r="R840" s="82" t="s">
        <v>3396</v>
      </c>
      <c r="S840" s="7">
        <f t="shared" si="40"/>
        <v>0</v>
      </c>
      <c r="T840" s="6">
        <f t="shared" si="41"/>
        <v>0</v>
      </c>
      <c r="U840" s="25">
        <f t="shared" si="39"/>
        <v>0</v>
      </c>
    </row>
    <row r="841" spans="1:21" ht="10.9" customHeight="1" x14ac:dyDescent="0.2">
      <c r="A841" s="82" t="s">
        <v>2359</v>
      </c>
      <c r="B841" s="83">
        <v>45761</v>
      </c>
      <c r="C841" s="82" t="s">
        <v>3395</v>
      </c>
      <c r="D841" s="82" t="s">
        <v>3585</v>
      </c>
      <c r="E841" s="82"/>
      <c r="F841" s="82" t="s">
        <v>5519</v>
      </c>
      <c r="G841" s="89">
        <v>10</v>
      </c>
      <c r="H841" s="89">
        <v>46</v>
      </c>
      <c r="I841" s="85">
        <v>0</v>
      </c>
      <c r="J841" s="85">
        <v>0</v>
      </c>
      <c r="K841" s="85">
        <v>460</v>
      </c>
      <c r="L841" s="85">
        <v>460</v>
      </c>
      <c r="M841" s="89">
        <v>63.84153974690993</v>
      </c>
      <c r="N841" s="85">
        <v>0</v>
      </c>
      <c r="O841" s="85">
        <v>0</v>
      </c>
      <c r="P841" s="85">
        <v>638.41539746909928</v>
      </c>
      <c r="Q841" s="85">
        <v>638.41539746909928</v>
      </c>
      <c r="R841" s="82" t="s">
        <v>3396</v>
      </c>
      <c r="S841" s="7">
        <f t="shared" si="40"/>
        <v>0</v>
      </c>
      <c r="T841" s="6">
        <f t="shared" si="41"/>
        <v>0</v>
      </c>
      <c r="U841" s="25">
        <f t="shared" si="39"/>
        <v>0</v>
      </c>
    </row>
    <row r="842" spans="1:21" ht="10.9" customHeight="1" x14ac:dyDescent="0.2">
      <c r="A842" s="82" t="s">
        <v>2527</v>
      </c>
      <c r="B842" s="83">
        <v>45761</v>
      </c>
      <c r="C842" s="82" t="s">
        <v>3395</v>
      </c>
      <c r="D842" s="82" t="s">
        <v>3582</v>
      </c>
      <c r="E842" s="82"/>
      <c r="F842" s="82" t="s">
        <v>5514</v>
      </c>
      <c r="G842" s="89">
        <v>2</v>
      </c>
      <c r="H842" s="89">
        <v>9</v>
      </c>
      <c r="I842" s="85">
        <v>0</v>
      </c>
      <c r="J842" s="85">
        <v>0</v>
      </c>
      <c r="K842" s="85">
        <v>18</v>
      </c>
      <c r="L842" s="85">
        <v>138</v>
      </c>
      <c r="M842" s="89">
        <v>12.4907360374389</v>
      </c>
      <c r="N842" s="85">
        <v>0</v>
      </c>
      <c r="O842" s="85">
        <v>0</v>
      </c>
      <c r="P842" s="85">
        <v>24.9814720748778</v>
      </c>
      <c r="Q842" s="85">
        <v>191.52461924072981</v>
      </c>
      <c r="R842" s="82" t="s">
        <v>3396</v>
      </c>
      <c r="S842" s="7">
        <f t="shared" si="40"/>
        <v>0</v>
      </c>
      <c r="T842" s="6">
        <f t="shared" si="41"/>
        <v>0</v>
      </c>
      <c r="U842" s="25">
        <f t="shared" si="39"/>
        <v>0</v>
      </c>
    </row>
    <row r="843" spans="1:21" ht="10.9" customHeight="1" x14ac:dyDescent="0.2">
      <c r="A843" s="82" t="s">
        <v>2527</v>
      </c>
      <c r="B843" s="83">
        <v>45761</v>
      </c>
      <c r="C843" s="82" t="s">
        <v>3395</v>
      </c>
      <c r="D843" s="82" t="s">
        <v>3582</v>
      </c>
      <c r="E843" s="82"/>
      <c r="F843" s="82" t="s">
        <v>5513</v>
      </c>
      <c r="G843" s="89">
        <v>2</v>
      </c>
      <c r="H843" s="89">
        <v>13</v>
      </c>
      <c r="I843" s="85">
        <v>0</v>
      </c>
      <c r="J843" s="85">
        <v>0</v>
      </c>
      <c r="K843" s="85">
        <v>26</v>
      </c>
      <c r="L843" s="85">
        <v>138</v>
      </c>
      <c r="M843" s="89">
        <v>18.042174276300631</v>
      </c>
      <c r="N843" s="85">
        <v>0</v>
      </c>
      <c r="O843" s="85">
        <v>0</v>
      </c>
      <c r="P843" s="85">
        <v>36.084348552601263</v>
      </c>
      <c r="Q843" s="85">
        <v>191.52461924072981</v>
      </c>
      <c r="R843" s="82" t="s">
        <v>3396</v>
      </c>
      <c r="S843" s="7">
        <f t="shared" si="40"/>
        <v>0</v>
      </c>
      <c r="T843" s="6">
        <f t="shared" si="41"/>
        <v>0</v>
      </c>
      <c r="U843" s="25">
        <f t="shared" si="39"/>
        <v>0</v>
      </c>
    </row>
    <row r="844" spans="1:21" ht="10.9" customHeight="1" x14ac:dyDescent="0.2">
      <c r="A844" s="82" t="s">
        <v>2527</v>
      </c>
      <c r="B844" s="83">
        <v>45761</v>
      </c>
      <c r="C844" s="82" t="s">
        <v>3395</v>
      </c>
      <c r="D844" s="82" t="s">
        <v>3582</v>
      </c>
      <c r="E844" s="82"/>
      <c r="F844" s="82" t="s">
        <v>5512</v>
      </c>
      <c r="G844" s="89">
        <v>2</v>
      </c>
      <c r="H844" s="89">
        <v>1</v>
      </c>
      <c r="I844" s="85">
        <v>0</v>
      </c>
      <c r="J844" s="85">
        <v>0</v>
      </c>
      <c r="K844" s="85">
        <v>2</v>
      </c>
      <c r="L844" s="85">
        <v>138</v>
      </c>
      <c r="M844" s="89">
        <v>1.3878595597154333</v>
      </c>
      <c r="N844" s="85">
        <v>0</v>
      </c>
      <c r="O844" s="85">
        <v>0</v>
      </c>
      <c r="P844" s="85">
        <v>2.7757191194308666</v>
      </c>
      <c r="Q844" s="85">
        <v>191.52461924072981</v>
      </c>
      <c r="R844" s="82" t="s">
        <v>3396</v>
      </c>
      <c r="S844" s="7">
        <f t="shared" si="40"/>
        <v>0</v>
      </c>
      <c r="T844" s="6">
        <f t="shared" si="41"/>
        <v>0</v>
      </c>
      <c r="U844" s="25">
        <f t="shared" si="39"/>
        <v>0</v>
      </c>
    </row>
    <row r="845" spans="1:21" ht="10.9" customHeight="1" x14ac:dyDescent="0.2">
      <c r="A845" s="82" t="s">
        <v>2527</v>
      </c>
      <c r="B845" s="83">
        <v>45761</v>
      </c>
      <c r="C845" s="82" t="s">
        <v>3395</v>
      </c>
      <c r="D845" s="82" t="s">
        <v>3582</v>
      </c>
      <c r="E845" s="82"/>
      <c r="F845" s="82" t="s">
        <v>5511</v>
      </c>
      <c r="G845" s="89">
        <v>2</v>
      </c>
      <c r="H845" s="89">
        <v>10</v>
      </c>
      <c r="I845" s="85">
        <v>0</v>
      </c>
      <c r="J845" s="85">
        <v>0</v>
      </c>
      <c r="K845" s="85">
        <v>20</v>
      </c>
      <c r="L845" s="85">
        <v>138</v>
      </c>
      <c r="M845" s="89">
        <v>13.878595597154332</v>
      </c>
      <c r="N845" s="85">
        <v>0</v>
      </c>
      <c r="O845" s="85">
        <v>0</v>
      </c>
      <c r="P845" s="85">
        <v>27.757191194308664</v>
      </c>
      <c r="Q845" s="85">
        <v>191.52461924072981</v>
      </c>
      <c r="R845" s="82" t="s">
        <v>3396</v>
      </c>
      <c r="S845" s="7">
        <f t="shared" si="40"/>
        <v>0</v>
      </c>
      <c r="T845" s="6">
        <f t="shared" si="41"/>
        <v>0</v>
      </c>
      <c r="U845" s="25">
        <f t="shared" si="39"/>
        <v>0</v>
      </c>
    </row>
    <row r="846" spans="1:21" ht="10.9" customHeight="1" x14ac:dyDescent="0.2">
      <c r="A846" s="82" t="s">
        <v>2527</v>
      </c>
      <c r="B846" s="83">
        <v>45761</v>
      </c>
      <c r="C846" s="82" t="s">
        <v>3395</v>
      </c>
      <c r="D846" s="82" t="s">
        <v>3582</v>
      </c>
      <c r="E846" s="82"/>
      <c r="F846" s="82" t="s">
        <v>5510</v>
      </c>
      <c r="G846" s="89">
        <v>2</v>
      </c>
      <c r="H846" s="89">
        <v>15</v>
      </c>
      <c r="I846" s="85">
        <v>0</v>
      </c>
      <c r="J846" s="85">
        <v>0</v>
      </c>
      <c r="K846" s="85">
        <v>30</v>
      </c>
      <c r="L846" s="85">
        <v>138</v>
      </c>
      <c r="M846" s="89">
        <v>20.817893395731499</v>
      </c>
      <c r="N846" s="85">
        <v>0</v>
      </c>
      <c r="O846" s="85">
        <v>0</v>
      </c>
      <c r="P846" s="85">
        <v>41.635786791462998</v>
      </c>
      <c r="Q846" s="85">
        <v>191.52461924072981</v>
      </c>
      <c r="R846" s="82" t="s">
        <v>3396</v>
      </c>
      <c r="S846" s="7">
        <f t="shared" si="40"/>
        <v>0</v>
      </c>
      <c r="T846" s="6">
        <f t="shared" si="41"/>
        <v>0</v>
      </c>
      <c r="U846" s="25">
        <f t="shared" si="39"/>
        <v>0</v>
      </c>
    </row>
    <row r="847" spans="1:21" ht="10.9" customHeight="1" x14ac:dyDescent="0.2">
      <c r="A847" s="82" t="s">
        <v>2527</v>
      </c>
      <c r="B847" s="83">
        <v>45761</v>
      </c>
      <c r="C847" s="82" t="s">
        <v>3395</v>
      </c>
      <c r="D847" s="82" t="s">
        <v>3582</v>
      </c>
      <c r="E847" s="82"/>
      <c r="F847" s="82" t="s">
        <v>5509</v>
      </c>
      <c r="G847" s="89">
        <v>4</v>
      </c>
      <c r="H847" s="89">
        <v>10</v>
      </c>
      <c r="I847" s="85">
        <v>0</v>
      </c>
      <c r="J847" s="85">
        <v>0</v>
      </c>
      <c r="K847" s="85">
        <v>40</v>
      </c>
      <c r="L847" s="85">
        <v>138</v>
      </c>
      <c r="M847" s="89">
        <v>13.878595597154332</v>
      </c>
      <c r="N847" s="85">
        <v>0</v>
      </c>
      <c r="O847" s="85">
        <v>0</v>
      </c>
      <c r="P847" s="85">
        <v>55.514382388617328</v>
      </c>
      <c r="Q847" s="85">
        <v>191.52461924072981</v>
      </c>
      <c r="R847" s="82" t="s">
        <v>3396</v>
      </c>
      <c r="S847" s="7">
        <f t="shared" si="40"/>
        <v>0</v>
      </c>
      <c r="T847" s="6">
        <f t="shared" si="41"/>
        <v>0</v>
      </c>
      <c r="U847" s="25">
        <f t="shared" si="39"/>
        <v>0</v>
      </c>
    </row>
    <row r="848" spans="1:21" ht="10.9" customHeight="1" x14ac:dyDescent="0.2">
      <c r="A848" s="82" t="s">
        <v>2527</v>
      </c>
      <c r="B848" s="83">
        <v>45761</v>
      </c>
      <c r="C848" s="82" t="s">
        <v>3395</v>
      </c>
      <c r="D848" s="82" t="s">
        <v>3582</v>
      </c>
      <c r="E848" s="82"/>
      <c r="F848" s="82" t="s">
        <v>4500</v>
      </c>
      <c r="G848" s="89">
        <v>2</v>
      </c>
      <c r="H848" s="89">
        <v>1</v>
      </c>
      <c r="I848" s="85">
        <v>0</v>
      </c>
      <c r="J848" s="85">
        <v>0</v>
      </c>
      <c r="K848" s="85">
        <v>2</v>
      </c>
      <c r="L848" s="85">
        <v>138</v>
      </c>
      <c r="M848" s="89">
        <v>1.3878595597154333</v>
      </c>
      <c r="N848" s="85">
        <v>0</v>
      </c>
      <c r="O848" s="85">
        <v>0</v>
      </c>
      <c r="P848" s="85">
        <v>2.7757191194308666</v>
      </c>
      <c r="Q848" s="85">
        <v>191.52461924072981</v>
      </c>
      <c r="R848" s="82" t="s">
        <v>3396</v>
      </c>
      <c r="S848" s="7">
        <f t="shared" si="40"/>
        <v>0</v>
      </c>
      <c r="T848" s="6">
        <f t="shared" si="41"/>
        <v>0</v>
      </c>
      <c r="U848" s="25">
        <f t="shared" si="39"/>
        <v>0</v>
      </c>
    </row>
    <row r="849" spans="1:21" ht="10.9" customHeight="1" x14ac:dyDescent="0.2">
      <c r="A849" s="82" t="s">
        <v>2472</v>
      </c>
      <c r="B849" s="83">
        <v>45761</v>
      </c>
      <c r="C849" s="82" t="s">
        <v>3395</v>
      </c>
      <c r="D849" s="82" t="s">
        <v>3579</v>
      </c>
      <c r="E849" s="82"/>
      <c r="F849" s="82" t="s">
        <v>5508</v>
      </c>
      <c r="G849" s="89">
        <v>4</v>
      </c>
      <c r="H849" s="89">
        <v>20</v>
      </c>
      <c r="I849" s="85">
        <v>0</v>
      </c>
      <c r="J849" s="85">
        <v>0</v>
      </c>
      <c r="K849" s="85">
        <v>80</v>
      </c>
      <c r="L849" s="85">
        <v>80</v>
      </c>
      <c r="M849" s="89">
        <v>27.757191194308664</v>
      </c>
      <c r="N849" s="85">
        <v>0</v>
      </c>
      <c r="O849" s="85">
        <v>0</v>
      </c>
      <c r="P849" s="85">
        <v>111.02876477723466</v>
      </c>
      <c r="Q849" s="85">
        <v>111.02876477723466</v>
      </c>
      <c r="R849" s="82" t="s">
        <v>3396</v>
      </c>
      <c r="S849" s="7">
        <f t="shared" si="40"/>
        <v>0</v>
      </c>
      <c r="T849" s="6">
        <f t="shared" si="41"/>
        <v>0</v>
      </c>
      <c r="U849" s="25">
        <f t="shared" si="39"/>
        <v>0</v>
      </c>
    </row>
    <row r="850" spans="1:21" ht="10.9" customHeight="1" x14ac:dyDescent="0.2">
      <c r="A850" s="82" t="s">
        <v>2396</v>
      </c>
      <c r="B850" s="83">
        <v>45761</v>
      </c>
      <c r="C850" s="82" t="s">
        <v>3395</v>
      </c>
      <c r="D850" s="82" t="s">
        <v>2046</v>
      </c>
      <c r="E850" s="82"/>
      <c r="F850" s="82" t="s">
        <v>5507</v>
      </c>
      <c r="G850" s="89">
        <v>3</v>
      </c>
      <c r="H850" s="89">
        <v>457</v>
      </c>
      <c r="I850" s="85">
        <v>0</v>
      </c>
      <c r="J850" s="85">
        <v>0</v>
      </c>
      <c r="K850" s="85">
        <v>1371</v>
      </c>
      <c r="L850" s="85">
        <v>3669</v>
      </c>
      <c r="M850" s="89">
        <v>634.25181878995306</v>
      </c>
      <c r="N850" s="85">
        <v>0</v>
      </c>
      <c r="O850" s="85">
        <v>0</v>
      </c>
      <c r="P850" s="85">
        <v>1902.7554563698591</v>
      </c>
      <c r="Q850" s="85">
        <v>5092.0567245959246</v>
      </c>
      <c r="R850" s="82" t="s">
        <v>3396</v>
      </c>
      <c r="S850" s="7">
        <f t="shared" si="40"/>
        <v>0</v>
      </c>
      <c r="T850" s="6">
        <f t="shared" si="41"/>
        <v>0</v>
      </c>
      <c r="U850" s="25">
        <f t="shared" si="39"/>
        <v>0</v>
      </c>
    </row>
    <row r="851" spans="1:21" ht="10.9" customHeight="1" x14ac:dyDescent="0.2">
      <c r="A851" s="82" t="s">
        <v>2396</v>
      </c>
      <c r="B851" s="83">
        <v>45761</v>
      </c>
      <c r="C851" s="82" t="s">
        <v>3395</v>
      </c>
      <c r="D851" s="82" t="s">
        <v>2046</v>
      </c>
      <c r="E851" s="82"/>
      <c r="F851" s="82" t="s">
        <v>5506</v>
      </c>
      <c r="G851" s="89">
        <v>2</v>
      </c>
      <c r="H851" s="89">
        <v>285</v>
      </c>
      <c r="I851" s="85">
        <v>0</v>
      </c>
      <c r="J851" s="85">
        <v>0</v>
      </c>
      <c r="K851" s="85">
        <v>570</v>
      </c>
      <c r="L851" s="85">
        <v>3669</v>
      </c>
      <c r="M851" s="89">
        <v>395.53997451889848</v>
      </c>
      <c r="N851" s="85">
        <v>0</v>
      </c>
      <c r="O851" s="85">
        <v>0</v>
      </c>
      <c r="P851" s="85">
        <v>791.07994903779695</v>
      </c>
      <c r="Q851" s="85">
        <v>5092.0567245959246</v>
      </c>
      <c r="R851" s="82" t="s">
        <v>3396</v>
      </c>
      <c r="S851" s="7">
        <f t="shared" si="40"/>
        <v>0</v>
      </c>
      <c r="T851" s="6">
        <f t="shared" si="41"/>
        <v>0</v>
      </c>
      <c r="U851" s="25">
        <f t="shared" si="39"/>
        <v>0</v>
      </c>
    </row>
    <row r="852" spans="1:21" ht="10.9" customHeight="1" x14ac:dyDescent="0.2">
      <c r="A852" s="82" t="s">
        <v>2396</v>
      </c>
      <c r="B852" s="83">
        <v>45761</v>
      </c>
      <c r="C852" s="82" t="s">
        <v>3395</v>
      </c>
      <c r="D852" s="82" t="s">
        <v>2046</v>
      </c>
      <c r="E852" s="82"/>
      <c r="F852" s="82" t="s">
        <v>5505</v>
      </c>
      <c r="G852" s="89">
        <v>2</v>
      </c>
      <c r="H852" s="89">
        <v>864</v>
      </c>
      <c r="I852" s="85">
        <v>0</v>
      </c>
      <c r="J852" s="85">
        <v>0</v>
      </c>
      <c r="K852" s="85">
        <v>1728</v>
      </c>
      <c r="L852" s="85">
        <v>3669</v>
      </c>
      <c r="M852" s="89">
        <v>1199.1106595941344</v>
      </c>
      <c r="N852" s="85">
        <v>0</v>
      </c>
      <c r="O852" s="85">
        <v>0</v>
      </c>
      <c r="P852" s="85">
        <v>2398.2213191882688</v>
      </c>
      <c r="Q852" s="85">
        <v>5092.0567245959246</v>
      </c>
      <c r="R852" s="82" t="s">
        <v>3396</v>
      </c>
      <c r="S852" s="7">
        <f t="shared" si="40"/>
        <v>0</v>
      </c>
      <c r="T852" s="6">
        <f t="shared" si="41"/>
        <v>0</v>
      </c>
      <c r="U852" s="25">
        <f t="shared" si="39"/>
        <v>0</v>
      </c>
    </row>
    <row r="853" spans="1:21" ht="10.9" customHeight="1" x14ac:dyDescent="0.2">
      <c r="A853" s="82" t="s">
        <v>2651</v>
      </c>
      <c r="B853" s="83">
        <v>45761</v>
      </c>
      <c r="C853" s="82" t="s">
        <v>3395</v>
      </c>
      <c r="D853" s="82" t="s">
        <v>1609</v>
      </c>
      <c r="E853" s="82"/>
      <c r="F853" s="82" t="s">
        <v>4443</v>
      </c>
      <c r="G853" s="89">
        <v>1</v>
      </c>
      <c r="H853" s="89">
        <v>2191.15</v>
      </c>
      <c r="I853" s="85">
        <v>0</v>
      </c>
      <c r="J853" s="85">
        <v>0</v>
      </c>
      <c r="K853" s="85">
        <v>2191.15</v>
      </c>
      <c r="L853" s="85">
        <v>4776.59</v>
      </c>
      <c r="M853" s="89">
        <v>3041.0084742704717</v>
      </c>
      <c r="N853" s="85">
        <v>0</v>
      </c>
      <c r="O853" s="85">
        <v>0</v>
      </c>
      <c r="P853" s="85">
        <v>3041.0084742704717</v>
      </c>
      <c r="Q853" s="85">
        <v>6629.2360943411413</v>
      </c>
      <c r="R853" s="82" t="s">
        <v>3399</v>
      </c>
      <c r="S853" s="7">
        <f t="shared" si="40"/>
        <v>0</v>
      </c>
      <c r="T853" s="6">
        <f t="shared" si="41"/>
        <v>0</v>
      </c>
      <c r="U853" s="25">
        <f t="shared" si="39"/>
        <v>0</v>
      </c>
    </row>
    <row r="854" spans="1:21" ht="10.9" customHeight="1" x14ac:dyDescent="0.2">
      <c r="A854" s="82" t="s">
        <v>2651</v>
      </c>
      <c r="B854" s="83">
        <v>45761</v>
      </c>
      <c r="C854" s="82" t="s">
        <v>3395</v>
      </c>
      <c r="D854" s="82" t="s">
        <v>1609</v>
      </c>
      <c r="E854" s="82"/>
      <c r="F854" s="82" t="s">
        <v>4444</v>
      </c>
      <c r="G854" s="89">
        <v>1</v>
      </c>
      <c r="H854" s="89">
        <v>2042.44</v>
      </c>
      <c r="I854" s="85">
        <v>0</v>
      </c>
      <c r="J854" s="85">
        <v>0</v>
      </c>
      <c r="K854" s="85">
        <v>2042.44</v>
      </c>
      <c r="L854" s="85">
        <v>4776.59</v>
      </c>
      <c r="M854" s="89">
        <v>2834.6198791451893</v>
      </c>
      <c r="N854" s="85">
        <v>0</v>
      </c>
      <c r="O854" s="85">
        <v>0</v>
      </c>
      <c r="P854" s="85">
        <v>2834.6198791451893</v>
      </c>
      <c r="Q854" s="85">
        <v>6629.2360943411413</v>
      </c>
      <c r="R854" s="82" t="s">
        <v>3399</v>
      </c>
      <c r="S854" s="7">
        <f t="shared" si="40"/>
        <v>0</v>
      </c>
      <c r="T854" s="6">
        <f t="shared" si="41"/>
        <v>0</v>
      </c>
      <c r="U854" s="25">
        <f t="shared" si="39"/>
        <v>0</v>
      </c>
    </row>
    <row r="855" spans="1:21" ht="10.9" customHeight="1" x14ac:dyDescent="0.2">
      <c r="A855" s="82" t="s">
        <v>2651</v>
      </c>
      <c r="B855" s="83">
        <v>45761</v>
      </c>
      <c r="C855" s="82" t="s">
        <v>3395</v>
      </c>
      <c r="D855" s="82" t="s">
        <v>1609</v>
      </c>
      <c r="E855" s="82"/>
      <c r="F855" s="82" t="s">
        <v>4393</v>
      </c>
      <c r="G855" s="89">
        <v>1</v>
      </c>
      <c r="H855" s="89">
        <v>543</v>
      </c>
      <c r="I855" s="85">
        <v>0</v>
      </c>
      <c r="J855" s="85">
        <v>0</v>
      </c>
      <c r="K855" s="85">
        <v>543</v>
      </c>
      <c r="L855" s="85">
        <v>4776.59</v>
      </c>
      <c r="M855" s="89">
        <v>753.60774092548024</v>
      </c>
      <c r="N855" s="85">
        <v>0</v>
      </c>
      <c r="O855" s="85">
        <v>0</v>
      </c>
      <c r="P855" s="85">
        <v>753.60774092548024</v>
      </c>
      <c r="Q855" s="85">
        <v>6629.2360943411413</v>
      </c>
      <c r="R855" s="82" t="s">
        <v>3399</v>
      </c>
      <c r="S855" s="7" t="str">
        <f t="shared" si="40"/>
        <v>INV12869</v>
      </c>
      <c r="T855" s="6">
        <f t="shared" si="41"/>
        <v>1</v>
      </c>
      <c r="U855" s="25">
        <f t="shared" si="39"/>
        <v>543</v>
      </c>
    </row>
    <row r="856" spans="1:21" ht="10.9" customHeight="1" x14ac:dyDescent="0.2">
      <c r="A856" s="82" t="s">
        <v>2650</v>
      </c>
      <c r="B856" s="83">
        <v>45761</v>
      </c>
      <c r="C856" s="82" t="s">
        <v>3395</v>
      </c>
      <c r="D856" s="82" t="s">
        <v>1611</v>
      </c>
      <c r="E856" s="82"/>
      <c r="F856" s="82" t="s">
        <v>4593</v>
      </c>
      <c r="G856" s="89">
        <v>1</v>
      </c>
      <c r="H856" s="89">
        <v>939.78</v>
      </c>
      <c r="I856" s="85">
        <v>0</v>
      </c>
      <c r="J856" s="85">
        <v>46.99</v>
      </c>
      <c r="K856" s="85">
        <v>986.77</v>
      </c>
      <c r="L856" s="85">
        <v>986.77</v>
      </c>
      <c r="M856" s="89">
        <v>939.78</v>
      </c>
      <c r="N856" s="85">
        <v>0</v>
      </c>
      <c r="O856" s="85">
        <v>46.99</v>
      </c>
      <c r="P856" s="85">
        <v>986.77</v>
      </c>
      <c r="Q856" s="85">
        <v>986.77</v>
      </c>
      <c r="R856" s="82" t="s">
        <v>3399</v>
      </c>
      <c r="S856" s="7">
        <f t="shared" si="40"/>
        <v>0</v>
      </c>
      <c r="T856" s="6">
        <f t="shared" si="41"/>
        <v>0</v>
      </c>
      <c r="U856" s="25">
        <f t="shared" si="39"/>
        <v>0</v>
      </c>
    </row>
    <row r="857" spans="1:21" ht="10.9" customHeight="1" x14ac:dyDescent="0.2">
      <c r="A857" s="82" t="s">
        <v>2652</v>
      </c>
      <c r="B857" s="83">
        <v>45762</v>
      </c>
      <c r="C857" s="82" t="s">
        <v>3395</v>
      </c>
      <c r="D857" s="82" t="s">
        <v>1606</v>
      </c>
      <c r="E857" s="82"/>
      <c r="F857" s="82" t="s">
        <v>4518</v>
      </c>
      <c r="G857" s="89">
        <v>2</v>
      </c>
      <c r="H857" s="89">
        <v>399.73</v>
      </c>
      <c r="I857" s="85">
        <v>0</v>
      </c>
      <c r="J857" s="85">
        <v>0</v>
      </c>
      <c r="K857" s="85">
        <v>799.46</v>
      </c>
      <c r="L857" s="85">
        <v>3312.44</v>
      </c>
      <c r="M857" s="89">
        <v>558.31097417045294</v>
      </c>
      <c r="N857" s="85">
        <v>0</v>
      </c>
      <c r="O857" s="85">
        <v>0</v>
      </c>
      <c r="P857" s="85">
        <v>1116.6219483409059</v>
      </c>
      <c r="Q857" s="85">
        <v>4626.5519307561981</v>
      </c>
      <c r="R857" s="82" t="s">
        <v>3399</v>
      </c>
      <c r="S857" s="7">
        <f t="shared" si="40"/>
        <v>0</v>
      </c>
      <c r="T857" s="6">
        <f t="shared" si="41"/>
        <v>0</v>
      </c>
      <c r="U857" s="25">
        <f t="shared" si="39"/>
        <v>0</v>
      </c>
    </row>
    <row r="858" spans="1:21" ht="10.9" customHeight="1" x14ac:dyDescent="0.2">
      <c r="A858" s="82" t="s">
        <v>2652</v>
      </c>
      <c r="B858" s="83">
        <v>45762</v>
      </c>
      <c r="C858" s="82" t="s">
        <v>3395</v>
      </c>
      <c r="D858" s="82" t="s">
        <v>1606</v>
      </c>
      <c r="E858" s="82"/>
      <c r="F858" s="82" t="s">
        <v>4517</v>
      </c>
      <c r="G858" s="89">
        <v>2</v>
      </c>
      <c r="H858" s="89">
        <v>734.78</v>
      </c>
      <c r="I858" s="85">
        <v>0</v>
      </c>
      <c r="J858" s="85">
        <v>0</v>
      </c>
      <c r="K858" s="85">
        <v>1469.56</v>
      </c>
      <c r="L858" s="85">
        <v>3312.44</v>
      </c>
      <c r="M858" s="89">
        <v>1026.2820844093899</v>
      </c>
      <c r="N858" s="85">
        <v>0</v>
      </c>
      <c r="O858" s="85">
        <v>0</v>
      </c>
      <c r="P858" s="85">
        <v>2052.5641688187798</v>
      </c>
      <c r="Q858" s="85">
        <v>4626.5519307561981</v>
      </c>
      <c r="R858" s="82" t="s">
        <v>3399</v>
      </c>
      <c r="S858" s="7">
        <f t="shared" si="40"/>
        <v>0</v>
      </c>
      <c r="T858" s="6">
        <f t="shared" si="41"/>
        <v>0</v>
      </c>
      <c r="U858" s="25">
        <f t="shared" si="39"/>
        <v>0</v>
      </c>
    </row>
    <row r="859" spans="1:21" ht="10.9" customHeight="1" x14ac:dyDescent="0.2">
      <c r="A859" s="82" t="s">
        <v>2652</v>
      </c>
      <c r="B859" s="83">
        <v>45762</v>
      </c>
      <c r="C859" s="82" t="s">
        <v>3395</v>
      </c>
      <c r="D859" s="82" t="s">
        <v>1606</v>
      </c>
      <c r="E859" s="82"/>
      <c r="F859" s="82" t="s">
        <v>4439</v>
      </c>
      <c r="G859" s="89">
        <v>4</v>
      </c>
      <c r="H859" s="89">
        <v>14.59</v>
      </c>
      <c r="I859" s="85">
        <v>0</v>
      </c>
      <c r="J859" s="85">
        <v>0</v>
      </c>
      <c r="K859" s="85">
        <v>58.36</v>
      </c>
      <c r="L859" s="85">
        <v>3312.44</v>
      </c>
      <c r="M859" s="89">
        <v>20.378148032789404</v>
      </c>
      <c r="N859" s="85">
        <v>0</v>
      </c>
      <c r="O859" s="85">
        <v>0</v>
      </c>
      <c r="P859" s="85">
        <v>81.512592131157618</v>
      </c>
      <c r="Q859" s="85">
        <v>4626.5519307561981</v>
      </c>
      <c r="R859" s="82" t="s">
        <v>3399</v>
      </c>
      <c r="S859" s="7">
        <f t="shared" si="40"/>
        <v>0</v>
      </c>
      <c r="T859" s="6">
        <f t="shared" si="41"/>
        <v>0</v>
      </c>
      <c r="U859" s="25">
        <f t="shared" si="39"/>
        <v>0</v>
      </c>
    </row>
    <row r="860" spans="1:21" ht="10.9" customHeight="1" x14ac:dyDescent="0.2">
      <c r="A860" s="82" t="s">
        <v>2652</v>
      </c>
      <c r="B860" s="83">
        <v>45762</v>
      </c>
      <c r="C860" s="82" t="s">
        <v>3395</v>
      </c>
      <c r="D860" s="82" t="s">
        <v>1606</v>
      </c>
      <c r="E860" s="82"/>
      <c r="F860" s="82" t="s">
        <v>4591</v>
      </c>
      <c r="G860" s="89">
        <v>2</v>
      </c>
      <c r="H860" s="89">
        <v>127.76</v>
      </c>
      <c r="I860" s="85">
        <v>0</v>
      </c>
      <c r="J860" s="85">
        <v>0</v>
      </c>
      <c r="K860" s="85">
        <v>255.52</v>
      </c>
      <c r="L860" s="85">
        <v>3312.44</v>
      </c>
      <c r="M860" s="89">
        <v>178.44497550851091</v>
      </c>
      <c r="N860" s="85">
        <v>0</v>
      </c>
      <c r="O860" s="85">
        <v>0</v>
      </c>
      <c r="P860" s="85">
        <v>356.88995101702182</v>
      </c>
      <c r="Q860" s="85">
        <v>4626.5519307561981</v>
      </c>
      <c r="R860" s="82" t="s">
        <v>3399</v>
      </c>
      <c r="S860" s="7">
        <f t="shared" si="40"/>
        <v>0</v>
      </c>
      <c r="T860" s="6">
        <f t="shared" si="41"/>
        <v>0</v>
      </c>
      <c r="U860" s="25">
        <f t="shared" si="39"/>
        <v>0</v>
      </c>
    </row>
    <row r="861" spans="1:21" ht="10.9" customHeight="1" x14ac:dyDescent="0.2">
      <c r="A861" s="82" t="s">
        <v>2652</v>
      </c>
      <c r="B861" s="83">
        <v>45762</v>
      </c>
      <c r="C861" s="82" t="s">
        <v>3395</v>
      </c>
      <c r="D861" s="82" t="s">
        <v>1606</v>
      </c>
      <c r="E861" s="82"/>
      <c r="F861" s="82" t="s">
        <v>4590</v>
      </c>
      <c r="G861" s="89">
        <v>2</v>
      </c>
      <c r="H861" s="89">
        <v>129.88</v>
      </c>
      <c r="I861" s="85">
        <v>0</v>
      </c>
      <c r="J861" s="85">
        <v>0</v>
      </c>
      <c r="K861" s="85">
        <v>259.76</v>
      </c>
      <c r="L861" s="85">
        <v>3312.44</v>
      </c>
      <c r="M861" s="89">
        <v>181.40602237825138</v>
      </c>
      <c r="N861" s="85">
        <v>0</v>
      </c>
      <c r="O861" s="85">
        <v>0</v>
      </c>
      <c r="P861" s="85">
        <v>362.81204475650276</v>
      </c>
      <c r="Q861" s="85">
        <v>4626.5519307561981</v>
      </c>
      <c r="R861" s="82" t="s">
        <v>3399</v>
      </c>
      <c r="S861" s="7">
        <f t="shared" si="40"/>
        <v>0</v>
      </c>
      <c r="T861" s="6">
        <f t="shared" si="41"/>
        <v>0</v>
      </c>
      <c r="U861" s="25">
        <f t="shared" si="39"/>
        <v>0</v>
      </c>
    </row>
    <row r="862" spans="1:21" ht="10.9" customHeight="1" x14ac:dyDescent="0.2">
      <c r="A862" s="82" t="s">
        <v>2652</v>
      </c>
      <c r="B862" s="83">
        <v>45762</v>
      </c>
      <c r="C862" s="82" t="s">
        <v>3395</v>
      </c>
      <c r="D862" s="82" t="s">
        <v>1606</v>
      </c>
      <c r="E862" s="82"/>
      <c r="F862" s="82" t="s">
        <v>4589</v>
      </c>
      <c r="G862" s="89">
        <v>2</v>
      </c>
      <c r="H862" s="89">
        <v>161.5</v>
      </c>
      <c r="I862" s="85">
        <v>0</v>
      </c>
      <c r="J862" s="85">
        <v>0</v>
      </c>
      <c r="K862" s="85">
        <v>323</v>
      </c>
      <c r="L862" s="85">
        <v>3312.44</v>
      </c>
      <c r="M862" s="89">
        <v>225.5703157844749</v>
      </c>
      <c r="N862" s="85">
        <v>0</v>
      </c>
      <c r="O862" s="85">
        <v>0</v>
      </c>
      <c r="P862" s="85">
        <v>451.1406315689498</v>
      </c>
      <c r="Q862" s="85">
        <v>4626.5519307561981</v>
      </c>
      <c r="R862" s="82" t="s">
        <v>3399</v>
      </c>
      <c r="S862" s="7">
        <f t="shared" si="40"/>
        <v>0</v>
      </c>
      <c r="T862" s="6">
        <f t="shared" si="41"/>
        <v>0</v>
      </c>
      <c r="U862" s="25">
        <f t="shared" si="39"/>
        <v>0</v>
      </c>
    </row>
    <row r="863" spans="1:21" ht="10.9" customHeight="1" x14ac:dyDescent="0.2">
      <c r="A863" s="82" t="s">
        <v>2652</v>
      </c>
      <c r="B863" s="83">
        <v>45762</v>
      </c>
      <c r="C863" s="82" t="s">
        <v>3395</v>
      </c>
      <c r="D863" s="82" t="s">
        <v>1606</v>
      </c>
      <c r="E863" s="82"/>
      <c r="F863" s="82" t="s">
        <v>4588</v>
      </c>
      <c r="G863" s="89">
        <v>2</v>
      </c>
      <c r="H863" s="89">
        <v>35.47</v>
      </c>
      <c r="I863" s="85">
        <v>0</v>
      </c>
      <c r="J863" s="85">
        <v>0</v>
      </c>
      <c r="K863" s="85">
        <v>70.94</v>
      </c>
      <c r="L863" s="85">
        <v>3312.44</v>
      </c>
      <c r="M863" s="89">
        <v>49.541666259289933</v>
      </c>
      <c r="N863" s="85">
        <v>0</v>
      </c>
      <c r="O863" s="85">
        <v>0</v>
      </c>
      <c r="P863" s="85">
        <v>99.083332518579866</v>
      </c>
      <c r="Q863" s="85">
        <v>4626.5519307561981</v>
      </c>
      <c r="R863" s="82" t="s">
        <v>3399</v>
      </c>
      <c r="S863" s="7">
        <f t="shared" si="40"/>
        <v>0</v>
      </c>
      <c r="T863" s="6">
        <f t="shared" si="41"/>
        <v>0</v>
      </c>
      <c r="U863" s="25">
        <f t="shared" si="39"/>
        <v>0</v>
      </c>
    </row>
    <row r="864" spans="1:21" ht="10.9" customHeight="1" x14ac:dyDescent="0.2">
      <c r="A864" s="82" t="s">
        <v>2652</v>
      </c>
      <c r="B864" s="83">
        <v>45762</v>
      </c>
      <c r="C864" s="82" t="s">
        <v>3395</v>
      </c>
      <c r="D864" s="82" t="s">
        <v>1606</v>
      </c>
      <c r="E864" s="82"/>
      <c r="F864" s="82" t="s">
        <v>4587</v>
      </c>
      <c r="G864" s="89">
        <v>2</v>
      </c>
      <c r="H864" s="89">
        <v>37.92</v>
      </c>
      <c r="I864" s="85">
        <v>0</v>
      </c>
      <c r="J864" s="85">
        <v>0</v>
      </c>
      <c r="K864" s="85">
        <v>75.84</v>
      </c>
      <c r="L864" s="85">
        <v>3312.44</v>
      </c>
      <c r="M864" s="89">
        <v>52.963630802150391</v>
      </c>
      <c r="N864" s="85">
        <v>0</v>
      </c>
      <c r="O864" s="85">
        <v>0</v>
      </c>
      <c r="P864" s="85">
        <v>105.92726160430078</v>
      </c>
      <c r="Q864" s="85">
        <v>4626.5519307561981</v>
      </c>
      <c r="R864" s="82" t="s">
        <v>3399</v>
      </c>
      <c r="S864" s="7">
        <f t="shared" si="40"/>
        <v>0</v>
      </c>
      <c r="T864" s="6">
        <f t="shared" si="41"/>
        <v>0</v>
      </c>
      <c r="U864" s="25">
        <f t="shared" si="39"/>
        <v>0</v>
      </c>
    </row>
    <row r="865" spans="1:21" ht="10.9" customHeight="1" x14ac:dyDescent="0.2">
      <c r="A865" s="82" t="s">
        <v>2653</v>
      </c>
      <c r="B865" s="83">
        <v>45762</v>
      </c>
      <c r="C865" s="82" t="s">
        <v>3395</v>
      </c>
      <c r="D865" s="82" t="s">
        <v>1604</v>
      </c>
      <c r="E865" s="82"/>
      <c r="F865" s="82" t="s">
        <v>4591</v>
      </c>
      <c r="G865" s="89">
        <v>1</v>
      </c>
      <c r="H865" s="89">
        <v>172.3</v>
      </c>
      <c r="I865" s="85">
        <v>0</v>
      </c>
      <c r="J865" s="85">
        <v>8.6199999999999992</v>
      </c>
      <c r="K865" s="85">
        <v>180.92</v>
      </c>
      <c r="L865" s="85">
        <v>208.63</v>
      </c>
      <c r="M865" s="89">
        <v>172.3</v>
      </c>
      <c r="N865" s="85">
        <v>0</v>
      </c>
      <c r="O865" s="85">
        <v>8.6199999999999992</v>
      </c>
      <c r="P865" s="85">
        <v>180.92</v>
      </c>
      <c r="Q865" s="85">
        <v>208.63</v>
      </c>
      <c r="R865" s="82" t="s">
        <v>3399</v>
      </c>
      <c r="S865" s="7">
        <f t="shared" si="40"/>
        <v>0</v>
      </c>
      <c r="T865" s="6">
        <f t="shared" si="41"/>
        <v>0</v>
      </c>
      <c r="U865" s="25">
        <f t="shared" si="39"/>
        <v>0</v>
      </c>
    </row>
    <row r="866" spans="1:21" ht="10.9" customHeight="1" x14ac:dyDescent="0.2">
      <c r="A866" s="82" t="s">
        <v>2653</v>
      </c>
      <c r="B866" s="83">
        <v>45762</v>
      </c>
      <c r="C866" s="82" t="s">
        <v>3395</v>
      </c>
      <c r="D866" s="82" t="s">
        <v>1604</v>
      </c>
      <c r="E866" s="82"/>
      <c r="F866" s="82" t="s">
        <v>4954</v>
      </c>
      <c r="G866" s="89">
        <v>1</v>
      </c>
      <c r="H866" s="89">
        <v>26.39</v>
      </c>
      <c r="I866" s="85">
        <v>0</v>
      </c>
      <c r="J866" s="85">
        <v>1.32</v>
      </c>
      <c r="K866" s="85">
        <v>27.71</v>
      </c>
      <c r="L866" s="85">
        <v>208.63</v>
      </c>
      <c r="M866" s="89">
        <v>26.39</v>
      </c>
      <c r="N866" s="85">
        <v>0</v>
      </c>
      <c r="O866" s="85">
        <v>1.32</v>
      </c>
      <c r="P866" s="85">
        <v>27.71</v>
      </c>
      <c r="Q866" s="85">
        <v>208.63</v>
      </c>
      <c r="R866" s="82" t="s">
        <v>3399</v>
      </c>
      <c r="S866" s="7">
        <f t="shared" si="40"/>
        <v>0</v>
      </c>
      <c r="T866" s="6">
        <f t="shared" si="41"/>
        <v>0</v>
      </c>
      <c r="U866" s="25">
        <f t="shared" si="39"/>
        <v>0</v>
      </c>
    </row>
    <row r="867" spans="1:21" ht="10.9" customHeight="1" x14ac:dyDescent="0.2">
      <c r="A867" s="82" t="s">
        <v>2668</v>
      </c>
      <c r="B867" s="83">
        <v>45762</v>
      </c>
      <c r="C867" s="82" t="s">
        <v>3395</v>
      </c>
      <c r="D867" s="82" t="s">
        <v>1584</v>
      </c>
      <c r="E867" s="82"/>
      <c r="F867" s="82" t="s">
        <v>5504</v>
      </c>
      <c r="G867" s="89">
        <v>1</v>
      </c>
      <c r="H867" s="89">
        <v>92.11</v>
      </c>
      <c r="I867" s="85">
        <v>0</v>
      </c>
      <c r="J867" s="85">
        <v>4.6100000000000003</v>
      </c>
      <c r="K867" s="85">
        <v>96.72</v>
      </c>
      <c r="L867" s="85">
        <v>96.72</v>
      </c>
      <c r="M867" s="89">
        <v>92.11</v>
      </c>
      <c r="N867" s="85">
        <v>0</v>
      </c>
      <c r="O867" s="85">
        <v>4.6100000000000003</v>
      </c>
      <c r="P867" s="85">
        <v>96.72</v>
      </c>
      <c r="Q867" s="85">
        <v>96.72</v>
      </c>
      <c r="R867" s="82" t="s">
        <v>3399</v>
      </c>
      <c r="S867" s="7">
        <f t="shared" si="40"/>
        <v>0</v>
      </c>
      <c r="T867" s="6">
        <f t="shared" si="41"/>
        <v>0</v>
      </c>
      <c r="U867" s="25">
        <f t="shared" si="39"/>
        <v>0</v>
      </c>
    </row>
    <row r="868" spans="1:21" ht="10.9" customHeight="1" x14ac:dyDescent="0.2">
      <c r="A868" s="82" t="s">
        <v>2428</v>
      </c>
      <c r="B868" s="83">
        <v>45762</v>
      </c>
      <c r="C868" s="82" t="s">
        <v>3395</v>
      </c>
      <c r="D868" s="82" t="s">
        <v>1996</v>
      </c>
      <c r="E868" s="82"/>
      <c r="F868" s="82" t="s">
        <v>5503</v>
      </c>
      <c r="G868" s="89">
        <v>1</v>
      </c>
      <c r="H868" s="89">
        <v>2429.21</v>
      </c>
      <c r="I868" s="85">
        <v>0</v>
      </c>
      <c r="J868" s="85">
        <v>121.46</v>
      </c>
      <c r="K868" s="85">
        <v>2550.67</v>
      </c>
      <c r="L868" s="85">
        <v>2550.67</v>
      </c>
      <c r="M868" s="89">
        <v>2429.21</v>
      </c>
      <c r="N868" s="85">
        <v>0</v>
      </c>
      <c r="O868" s="85">
        <v>121.46</v>
      </c>
      <c r="P868" s="85">
        <v>2550.67</v>
      </c>
      <c r="Q868" s="85">
        <v>2550.67</v>
      </c>
      <c r="R868" s="82" t="s">
        <v>3399</v>
      </c>
      <c r="S868" s="7">
        <f t="shared" si="40"/>
        <v>0</v>
      </c>
      <c r="T868" s="6">
        <f t="shared" si="41"/>
        <v>0</v>
      </c>
      <c r="U868" s="25">
        <f t="shared" si="39"/>
        <v>0</v>
      </c>
    </row>
    <row r="869" spans="1:21" ht="10.9" customHeight="1" x14ac:dyDescent="0.2">
      <c r="A869" s="82" t="s">
        <v>2657</v>
      </c>
      <c r="B869" s="83">
        <v>45762</v>
      </c>
      <c r="C869" s="82" t="s">
        <v>3395</v>
      </c>
      <c r="D869" s="82" t="s">
        <v>1596</v>
      </c>
      <c r="E869" s="82"/>
      <c r="F869" s="82" t="s">
        <v>4495</v>
      </c>
      <c r="G869" s="89">
        <v>1</v>
      </c>
      <c r="H869" s="89">
        <v>314.77999999999997</v>
      </c>
      <c r="I869" s="85">
        <v>0</v>
      </c>
      <c r="J869" s="85">
        <v>15.74</v>
      </c>
      <c r="K869" s="85">
        <v>330.52</v>
      </c>
      <c r="L869" s="85">
        <v>781.08</v>
      </c>
      <c r="M869" s="89">
        <v>314.77999999999997</v>
      </c>
      <c r="N869" s="85">
        <v>0</v>
      </c>
      <c r="O869" s="85">
        <v>15.74</v>
      </c>
      <c r="P869" s="85">
        <v>330.52</v>
      </c>
      <c r="Q869" s="85">
        <v>781.08</v>
      </c>
      <c r="R869" s="82" t="s">
        <v>3399</v>
      </c>
      <c r="S869" s="7">
        <f t="shared" si="40"/>
        <v>0</v>
      </c>
      <c r="T869" s="6">
        <f t="shared" si="41"/>
        <v>0</v>
      </c>
      <c r="U869" s="25">
        <f t="shared" si="39"/>
        <v>0</v>
      </c>
    </row>
    <row r="870" spans="1:21" ht="10.9" customHeight="1" x14ac:dyDescent="0.2">
      <c r="A870" s="82" t="s">
        <v>2657</v>
      </c>
      <c r="B870" s="83">
        <v>45762</v>
      </c>
      <c r="C870" s="82" t="s">
        <v>3395</v>
      </c>
      <c r="D870" s="82" t="s">
        <v>1596</v>
      </c>
      <c r="E870" s="82"/>
      <c r="F870" s="82" t="s">
        <v>4550</v>
      </c>
      <c r="G870" s="89">
        <v>1</v>
      </c>
      <c r="H870" s="89">
        <v>429.1</v>
      </c>
      <c r="I870" s="85">
        <v>0</v>
      </c>
      <c r="J870" s="85">
        <v>21.46</v>
      </c>
      <c r="K870" s="85">
        <v>450.56</v>
      </c>
      <c r="L870" s="85">
        <v>781.08</v>
      </c>
      <c r="M870" s="89">
        <v>429.1</v>
      </c>
      <c r="N870" s="85">
        <v>0</v>
      </c>
      <c r="O870" s="85">
        <v>21.46</v>
      </c>
      <c r="P870" s="85">
        <v>450.56</v>
      </c>
      <c r="Q870" s="85">
        <v>781.08</v>
      </c>
      <c r="R870" s="82" t="s">
        <v>3399</v>
      </c>
      <c r="S870" s="7">
        <f t="shared" si="40"/>
        <v>0</v>
      </c>
      <c r="T870" s="6">
        <f t="shared" si="41"/>
        <v>0</v>
      </c>
      <c r="U870" s="25">
        <f t="shared" si="39"/>
        <v>0</v>
      </c>
    </row>
    <row r="871" spans="1:21" ht="10.9" customHeight="1" x14ac:dyDescent="0.2">
      <c r="A871" s="82" t="s">
        <v>2608</v>
      </c>
      <c r="B871" s="83">
        <v>45763</v>
      </c>
      <c r="C871" s="82" t="s">
        <v>3395</v>
      </c>
      <c r="D871" s="82" t="s">
        <v>1680</v>
      </c>
      <c r="E871" s="82"/>
      <c r="F871" s="82" t="s">
        <v>4817</v>
      </c>
      <c r="G871" s="89">
        <v>8</v>
      </c>
      <c r="H871" s="89">
        <v>1816.85</v>
      </c>
      <c r="I871" s="85">
        <v>0</v>
      </c>
      <c r="J871" s="85">
        <v>0</v>
      </c>
      <c r="K871" s="85">
        <v>14534.8</v>
      </c>
      <c r="L871" s="85">
        <v>14534.8</v>
      </c>
      <c r="M871" s="89">
        <v>2520.3713311489237</v>
      </c>
      <c r="N871" s="85">
        <v>0</v>
      </c>
      <c r="O871" s="85">
        <v>0</v>
      </c>
      <c r="P871" s="85">
        <v>20162.970649191389</v>
      </c>
      <c r="Q871" s="85">
        <v>20162.970649191389</v>
      </c>
      <c r="R871" s="82" t="s">
        <v>3399</v>
      </c>
      <c r="S871" s="7">
        <f t="shared" si="40"/>
        <v>0</v>
      </c>
      <c r="T871" s="6">
        <f t="shared" si="41"/>
        <v>0</v>
      </c>
      <c r="U871" s="25">
        <f t="shared" si="39"/>
        <v>0</v>
      </c>
    </row>
    <row r="872" spans="1:21" ht="10.9" customHeight="1" x14ac:dyDescent="0.2">
      <c r="A872" s="82" t="s">
        <v>2311</v>
      </c>
      <c r="B872" s="83">
        <v>45763</v>
      </c>
      <c r="C872" s="82" t="s">
        <v>3395</v>
      </c>
      <c r="D872" s="82" t="s">
        <v>2191</v>
      </c>
      <c r="E872" s="82"/>
      <c r="F872" s="82" t="s">
        <v>4743</v>
      </c>
      <c r="G872" s="89">
        <v>3</v>
      </c>
      <c r="H872" s="89">
        <v>1330</v>
      </c>
      <c r="I872" s="85">
        <v>0</v>
      </c>
      <c r="J872" s="85">
        <v>0</v>
      </c>
      <c r="K872" s="85">
        <v>3990</v>
      </c>
      <c r="L872" s="85">
        <v>3990</v>
      </c>
      <c r="M872" s="89">
        <v>1845.0030935014274</v>
      </c>
      <c r="N872" s="85">
        <v>0</v>
      </c>
      <c r="O872" s="85">
        <v>0</v>
      </c>
      <c r="P872" s="85">
        <v>5535.0092805042823</v>
      </c>
      <c r="Q872" s="85">
        <v>5535.0092805042823</v>
      </c>
      <c r="R872" s="82" t="s">
        <v>3399</v>
      </c>
      <c r="S872" s="7">
        <f t="shared" si="40"/>
        <v>0</v>
      </c>
      <c r="T872" s="6">
        <f t="shared" si="41"/>
        <v>0</v>
      </c>
      <c r="U872" s="25">
        <f t="shared" si="39"/>
        <v>0</v>
      </c>
    </row>
    <row r="873" spans="1:21" ht="10.9" customHeight="1" x14ac:dyDescent="0.2">
      <c r="A873" s="82" t="s">
        <v>2671</v>
      </c>
      <c r="B873" s="83">
        <v>45763</v>
      </c>
      <c r="C873" s="82" t="s">
        <v>3395</v>
      </c>
      <c r="D873" s="82" t="s">
        <v>1577</v>
      </c>
      <c r="E873" s="82"/>
      <c r="F873" s="82" t="s">
        <v>4671</v>
      </c>
      <c r="G873" s="89">
        <v>2</v>
      </c>
      <c r="H873" s="89">
        <v>21.26</v>
      </c>
      <c r="I873" s="85">
        <v>0</v>
      </c>
      <c r="J873" s="85">
        <v>2.13</v>
      </c>
      <c r="K873" s="85">
        <v>44.65</v>
      </c>
      <c r="L873" s="85">
        <v>44.65</v>
      </c>
      <c r="M873" s="89">
        <v>21.26</v>
      </c>
      <c r="N873" s="85">
        <v>0</v>
      </c>
      <c r="O873" s="85">
        <v>2.13</v>
      </c>
      <c r="P873" s="85">
        <v>44.65</v>
      </c>
      <c r="Q873" s="85">
        <v>44.65</v>
      </c>
      <c r="R873" s="82" t="s">
        <v>3399</v>
      </c>
      <c r="S873" s="7">
        <f t="shared" si="40"/>
        <v>0</v>
      </c>
      <c r="T873" s="6">
        <f t="shared" si="41"/>
        <v>0</v>
      </c>
      <c r="U873" s="25">
        <f t="shared" si="39"/>
        <v>0</v>
      </c>
    </row>
    <row r="874" spans="1:21" ht="10.9" customHeight="1" x14ac:dyDescent="0.2">
      <c r="A874" s="82" t="s">
        <v>2664</v>
      </c>
      <c r="B874" s="83">
        <v>45763</v>
      </c>
      <c r="C874" s="82" t="s">
        <v>3395</v>
      </c>
      <c r="D874" s="82" t="s">
        <v>1588</v>
      </c>
      <c r="E874" s="82"/>
      <c r="F874" s="82" t="s">
        <v>4673</v>
      </c>
      <c r="G874" s="89">
        <v>2</v>
      </c>
      <c r="H874" s="89">
        <v>148.28</v>
      </c>
      <c r="I874" s="85">
        <v>0</v>
      </c>
      <c r="J874" s="85">
        <v>14.83</v>
      </c>
      <c r="K874" s="85">
        <v>311.39</v>
      </c>
      <c r="L874" s="85">
        <v>311.39</v>
      </c>
      <c r="M874" s="89">
        <v>148.28</v>
      </c>
      <c r="N874" s="85">
        <v>0</v>
      </c>
      <c r="O874" s="85">
        <v>14.83</v>
      </c>
      <c r="P874" s="85">
        <v>311.39</v>
      </c>
      <c r="Q874" s="85">
        <v>311.39</v>
      </c>
      <c r="R874" s="82" t="s">
        <v>3399</v>
      </c>
      <c r="S874" s="7">
        <f t="shared" si="40"/>
        <v>0</v>
      </c>
      <c r="T874" s="6">
        <f t="shared" si="41"/>
        <v>0</v>
      </c>
      <c r="U874" s="25">
        <f t="shared" si="39"/>
        <v>0</v>
      </c>
    </row>
    <row r="875" spans="1:21" ht="10.9" customHeight="1" x14ac:dyDescent="0.2">
      <c r="A875" s="82" t="s">
        <v>2634</v>
      </c>
      <c r="B875" s="83">
        <v>45764</v>
      </c>
      <c r="C875" s="82" t="s">
        <v>3395</v>
      </c>
      <c r="D875" s="82" t="s">
        <v>1636</v>
      </c>
      <c r="E875" s="82"/>
      <c r="F875" s="82" t="s">
        <v>5500</v>
      </c>
      <c r="G875" s="89">
        <v>1</v>
      </c>
      <c r="H875" s="89">
        <v>31.97</v>
      </c>
      <c r="I875" s="85">
        <v>0</v>
      </c>
      <c r="J875" s="85">
        <v>0</v>
      </c>
      <c r="K875" s="85">
        <v>31.97</v>
      </c>
      <c r="L875" s="85">
        <v>31.97</v>
      </c>
      <c r="M875" s="89">
        <v>44.305613106811592</v>
      </c>
      <c r="N875" s="85">
        <v>0</v>
      </c>
      <c r="O875" s="85">
        <v>0</v>
      </c>
      <c r="P875" s="85">
        <v>44.305613106811592</v>
      </c>
      <c r="Q875" s="85">
        <v>44.305613106811592</v>
      </c>
      <c r="R875" s="82" t="s">
        <v>3399</v>
      </c>
      <c r="S875" s="7">
        <f t="shared" si="40"/>
        <v>0</v>
      </c>
      <c r="T875" s="6">
        <f t="shared" si="41"/>
        <v>0</v>
      </c>
      <c r="U875" s="25">
        <f t="shared" si="39"/>
        <v>0</v>
      </c>
    </row>
    <row r="876" spans="1:21" ht="10.9" customHeight="1" x14ac:dyDescent="0.2">
      <c r="A876" s="82" t="s">
        <v>2601</v>
      </c>
      <c r="B876" s="83">
        <v>45764</v>
      </c>
      <c r="C876" s="82" t="s">
        <v>3395</v>
      </c>
      <c r="D876" s="82" t="s">
        <v>1692</v>
      </c>
      <c r="E876" s="82"/>
      <c r="F876" s="82" t="s">
        <v>4423</v>
      </c>
      <c r="G876" s="89">
        <v>4</v>
      </c>
      <c r="H876" s="89">
        <v>72.69</v>
      </c>
      <c r="I876" s="85">
        <v>0</v>
      </c>
      <c r="J876" s="85">
        <v>0</v>
      </c>
      <c r="K876" s="85">
        <v>290.76</v>
      </c>
      <c r="L876" s="85">
        <v>290.76</v>
      </c>
      <c r="M876" s="89">
        <v>100.73741059537487</v>
      </c>
      <c r="N876" s="85">
        <v>0</v>
      </c>
      <c r="O876" s="85">
        <v>0</v>
      </c>
      <c r="P876" s="85">
        <v>402.94964238149947</v>
      </c>
      <c r="Q876" s="85">
        <v>402.94964238149947</v>
      </c>
      <c r="R876" s="82" t="s">
        <v>3399</v>
      </c>
      <c r="S876" s="7">
        <f t="shared" si="40"/>
        <v>0</v>
      </c>
      <c r="T876" s="6">
        <f t="shared" si="41"/>
        <v>0</v>
      </c>
      <c r="U876" s="25">
        <f t="shared" si="39"/>
        <v>0</v>
      </c>
    </row>
    <row r="877" spans="1:21" ht="10.9" customHeight="1" x14ac:dyDescent="0.2">
      <c r="A877" s="82" t="s">
        <v>2672</v>
      </c>
      <c r="B877" s="83">
        <v>45764</v>
      </c>
      <c r="C877" s="82" t="s">
        <v>3395</v>
      </c>
      <c r="D877" s="82" t="s">
        <v>1575</v>
      </c>
      <c r="E877" s="82"/>
      <c r="F877" s="82" t="s">
        <v>5502</v>
      </c>
      <c r="G877" s="89">
        <v>1</v>
      </c>
      <c r="H877" s="89">
        <v>22.11</v>
      </c>
      <c r="I877" s="85">
        <v>0</v>
      </c>
      <c r="J877" s="85">
        <v>1.1100000000000001</v>
      </c>
      <c r="K877" s="85">
        <v>23.22</v>
      </c>
      <c r="L877" s="85">
        <v>107.31</v>
      </c>
      <c r="M877" s="89">
        <v>22.11</v>
      </c>
      <c r="N877" s="85">
        <v>0</v>
      </c>
      <c r="O877" s="85">
        <v>1.1100000000000001</v>
      </c>
      <c r="P877" s="85">
        <v>23.22</v>
      </c>
      <c r="Q877" s="85">
        <v>107.31</v>
      </c>
      <c r="R877" s="82" t="s">
        <v>3399</v>
      </c>
      <c r="S877" s="7">
        <f t="shared" si="40"/>
        <v>0</v>
      </c>
      <c r="T877" s="6">
        <f t="shared" si="41"/>
        <v>0</v>
      </c>
      <c r="U877" s="25">
        <f t="shared" si="39"/>
        <v>0</v>
      </c>
    </row>
    <row r="878" spans="1:21" ht="10.9" customHeight="1" x14ac:dyDescent="0.2">
      <c r="A878" s="82" t="s">
        <v>2672</v>
      </c>
      <c r="B878" s="83">
        <v>45764</v>
      </c>
      <c r="C878" s="82" t="s">
        <v>3395</v>
      </c>
      <c r="D878" s="82" t="s">
        <v>1575</v>
      </c>
      <c r="E878" s="82"/>
      <c r="F878" s="82" t="s">
        <v>4637</v>
      </c>
      <c r="G878" s="89">
        <v>2</v>
      </c>
      <c r="H878" s="89">
        <v>18.5</v>
      </c>
      <c r="I878" s="85">
        <v>0</v>
      </c>
      <c r="J878" s="85">
        <v>1.85</v>
      </c>
      <c r="K878" s="85">
        <v>38.85</v>
      </c>
      <c r="L878" s="85">
        <v>107.31</v>
      </c>
      <c r="M878" s="89">
        <v>18.5</v>
      </c>
      <c r="N878" s="85">
        <v>0</v>
      </c>
      <c r="O878" s="85">
        <v>1.85</v>
      </c>
      <c r="P878" s="85">
        <v>38.85</v>
      </c>
      <c r="Q878" s="85">
        <v>107.31</v>
      </c>
      <c r="R878" s="82" t="s">
        <v>3399</v>
      </c>
      <c r="S878" s="7">
        <f t="shared" si="40"/>
        <v>0</v>
      </c>
      <c r="T878" s="6">
        <f t="shared" si="41"/>
        <v>0</v>
      </c>
      <c r="U878" s="25">
        <f t="shared" si="39"/>
        <v>0</v>
      </c>
    </row>
    <row r="879" spans="1:21" ht="10.9" customHeight="1" x14ac:dyDescent="0.2">
      <c r="A879" s="82" t="s">
        <v>2672</v>
      </c>
      <c r="B879" s="83">
        <v>45764</v>
      </c>
      <c r="C879" s="82" t="s">
        <v>3395</v>
      </c>
      <c r="D879" s="82" t="s">
        <v>1575</v>
      </c>
      <c r="E879" s="82"/>
      <c r="F879" s="82" t="s">
        <v>4552</v>
      </c>
      <c r="G879" s="89">
        <v>2</v>
      </c>
      <c r="H879" s="89">
        <v>18.510000000000002</v>
      </c>
      <c r="I879" s="85">
        <v>0</v>
      </c>
      <c r="J879" s="85">
        <v>1.85</v>
      </c>
      <c r="K879" s="85">
        <v>38.869999999999997</v>
      </c>
      <c r="L879" s="85">
        <v>107.31</v>
      </c>
      <c r="M879" s="89">
        <v>18.510000000000002</v>
      </c>
      <c r="N879" s="85">
        <v>0</v>
      </c>
      <c r="O879" s="85">
        <v>1.85</v>
      </c>
      <c r="P879" s="85">
        <v>38.869999999999997</v>
      </c>
      <c r="Q879" s="85">
        <v>107.31</v>
      </c>
      <c r="R879" s="82" t="s">
        <v>3399</v>
      </c>
      <c r="S879" s="7">
        <f t="shared" si="40"/>
        <v>0</v>
      </c>
      <c r="T879" s="6">
        <f t="shared" si="41"/>
        <v>0</v>
      </c>
      <c r="U879" s="25">
        <f t="shared" si="39"/>
        <v>0</v>
      </c>
    </row>
    <row r="880" spans="1:21" ht="10.9" customHeight="1" x14ac:dyDescent="0.2">
      <c r="A880" s="82" t="s">
        <v>2672</v>
      </c>
      <c r="B880" s="83">
        <v>45764</v>
      </c>
      <c r="C880" s="82" t="s">
        <v>3395</v>
      </c>
      <c r="D880" s="82" t="s">
        <v>1575</v>
      </c>
      <c r="E880" s="82"/>
      <c r="F880" s="82" t="s">
        <v>5501</v>
      </c>
      <c r="G880" s="89">
        <v>1</v>
      </c>
      <c r="H880" s="89">
        <v>6.07</v>
      </c>
      <c r="I880" s="85">
        <v>0</v>
      </c>
      <c r="J880" s="85">
        <v>0.3</v>
      </c>
      <c r="K880" s="85">
        <v>6.37</v>
      </c>
      <c r="L880" s="85">
        <v>107.31</v>
      </c>
      <c r="M880" s="89">
        <v>6.07</v>
      </c>
      <c r="N880" s="85">
        <v>0</v>
      </c>
      <c r="O880" s="85">
        <v>0.3</v>
      </c>
      <c r="P880" s="85">
        <v>6.37</v>
      </c>
      <c r="Q880" s="85">
        <v>107.31</v>
      </c>
      <c r="R880" s="82" t="s">
        <v>3399</v>
      </c>
      <c r="S880" s="7">
        <f t="shared" si="40"/>
        <v>0</v>
      </c>
      <c r="T880" s="6">
        <f t="shared" si="41"/>
        <v>0</v>
      </c>
      <c r="U880" s="25">
        <f t="shared" si="39"/>
        <v>0</v>
      </c>
    </row>
    <row r="881" spans="1:21" ht="10.9" customHeight="1" x14ac:dyDescent="0.2">
      <c r="A881" s="82" t="s">
        <v>2572</v>
      </c>
      <c r="B881" s="83">
        <v>45768</v>
      </c>
      <c r="C881" s="82" t="s">
        <v>3395</v>
      </c>
      <c r="D881" s="82" t="s">
        <v>1741</v>
      </c>
      <c r="E881" s="82"/>
      <c r="F881" s="82" t="s">
        <v>5429</v>
      </c>
      <c r="G881" s="89">
        <v>7</v>
      </c>
      <c r="H881" s="89">
        <v>540.76</v>
      </c>
      <c r="I881" s="85">
        <v>0</v>
      </c>
      <c r="J881" s="85">
        <v>0</v>
      </c>
      <c r="K881" s="85">
        <v>3785.32</v>
      </c>
      <c r="L881" s="85">
        <v>13983.47</v>
      </c>
      <c r="M881" s="89">
        <v>747.34064974246076</v>
      </c>
      <c r="N881" s="85">
        <v>0</v>
      </c>
      <c r="O881" s="85">
        <v>0</v>
      </c>
      <c r="P881" s="85">
        <v>5231.3845481972248</v>
      </c>
      <c r="Q881" s="85">
        <v>19325.422655991952</v>
      </c>
      <c r="R881" s="82" t="s">
        <v>3399</v>
      </c>
      <c r="S881" s="7">
        <f t="shared" si="40"/>
        <v>0</v>
      </c>
      <c r="T881" s="6">
        <f t="shared" si="41"/>
        <v>0</v>
      </c>
      <c r="U881" s="25">
        <f t="shared" si="39"/>
        <v>0</v>
      </c>
    </row>
    <row r="882" spans="1:21" ht="10.9" customHeight="1" x14ac:dyDescent="0.2">
      <c r="A882" s="82" t="s">
        <v>2572</v>
      </c>
      <c r="B882" s="83">
        <v>45768</v>
      </c>
      <c r="C882" s="82" t="s">
        <v>3395</v>
      </c>
      <c r="D882" s="82" t="s">
        <v>1741</v>
      </c>
      <c r="E882" s="82"/>
      <c r="F882" s="82" t="s">
        <v>5134</v>
      </c>
      <c r="G882" s="89">
        <v>3</v>
      </c>
      <c r="H882" s="89">
        <v>1327.5</v>
      </c>
      <c r="I882" s="85">
        <v>0</v>
      </c>
      <c r="J882" s="85">
        <v>0</v>
      </c>
      <c r="K882" s="85">
        <v>3982.5</v>
      </c>
      <c r="L882" s="85">
        <v>13983.47</v>
      </c>
      <c r="M882" s="89">
        <v>1834.6303582608118</v>
      </c>
      <c r="N882" s="85">
        <v>0</v>
      </c>
      <c r="O882" s="85">
        <v>0</v>
      </c>
      <c r="P882" s="85">
        <v>5503.8910747824357</v>
      </c>
      <c r="Q882" s="85">
        <v>19325.422655991952</v>
      </c>
      <c r="R882" s="82" t="s">
        <v>3399</v>
      </c>
      <c r="S882" s="7">
        <f t="shared" si="40"/>
        <v>0</v>
      </c>
      <c r="T882" s="6">
        <f t="shared" si="41"/>
        <v>0</v>
      </c>
      <c r="U882" s="25">
        <f t="shared" si="39"/>
        <v>0</v>
      </c>
    </row>
    <row r="883" spans="1:21" ht="10.9" customHeight="1" x14ac:dyDescent="0.2">
      <c r="A883" s="82" t="s">
        <v>2572</v>
      </c>
      <c r="B883" s="83">
        <v>45768</v>
      </c>
      <c r="C883" s="82" t="s">
        <v>3395</v>
      </c>
      <c r="D883" s="82" t="s">
        <v>1741</v>
      </c>
      <c r="E883" s="82"/>
      <c r="F883" s="82" t="s">
        <v>5495</v>
      </c>
      <c r="G883" s="89">
        <v>4</v>
      </c>
      <c r="H883" s="89">
        <v>490.6</v>
      </c>
      <c r="I883" s="85">
        <v>0</v>
      </c>
      <c r="J883" s="85">
        <v>0</v>
      </c>
      <c r="K883" s="85">
        <v>1962.4</v>
      </c>
      <c r="L883" s="85">
        <v>13983.47</v>
      </c>
      <c r="M883" s="89">
        <v>678.01857157269626</v>
      </c>
      <c r="N883" s="85">
        <v>0</v>
      </c>
      <c r="O883" s="85">
        <v>0</v>
      </c>
      <c r="P883" s="85">
        <v>2712.074286290785</v>
      </c>
      <c r="Q883" s="85">
        <v>19325.422655991952</v>
      </c>
      <c r="R883" s="82" t="s">
        <v>3399</v>
      </c>
      <c r="S883" s="7">
        <f t="shared" si="40"/>
        <v>0</v>
      </c>
      <c r="T883" s="6">
        <f t="shared" si="41"/>
        <v>0</v>
      </c>
      <c r="U883" s="25">
        <f t="shared" si="39"/>
        <v>0</v>
      </c>
    </row>
    <row r="884" spans="1:21" ht="10.9" customHeight="1" x14ac:dyDescent="0.2">
      <c r="A884" s="82" t="s">
        <v>2572</v>
      </c>
      <c r="B884" s="83">
        <v>45768</v>
      </c>
      <c r="C884" s="82" t="s">
        <v>3395</v>
      </c>
      <c r="D884" s="82" t="s">
        <v>1741</v>
      </c>
      <c r="E884" s="82"/>
      <c r="F884" s="82" t="s">
        <v>5133</v>
      </c>
      <c r="G884" s="89">
        <v>3</v>
      </c>
      <c r="H884" s="89">
        <v>604</v>
      </c>
      <c r="I884" s="85">
        <v>0</v>
      </c>
      <c r="J884" s="85">
        <v>0</v>
      </c>
      <c r="K884" s="85">
        <v>1812</v>
      </c>
      <c r="L884" s="85">
        <v>13983.47</v>
      </c>
      <c r="M884" s="89">
        <v>834.73953776989106</v>
      </c>
      <c r="N884" s="85">
        <v>0</v>
      </c>
      <c r="O884" s="85">
        <v>0</v>
      </c>
      <c r="P884" s="85">
        <v>2504.2186133096729</v>
      </c>
      <c r="Q884" s="85">
        <v>19325.422655991952</v>
      </c>
      <c r="R884" s="82" t="s">
        <v>3399</v>
      </c>
      <c r="S884" s="7">
        <f t="shared" si="40"/>
        <v>0</v>
      </c>
      <c r="T884" s="6">
        <f t="shared" si="41"/>
        <v>0</v>
      </c>
      <c r="U884" s="25">
        <f t="shared" si="39"/>
        <v>0</v>
      </c>
    </row>
    <row r="885" spans="1:21" ht="10.9" customHeight="1" x14ac:dyDescent="0.2">
      <c r="A885" s="82" t="s">
        <v>2572</v>
      </c>
      <c r="B885" s="83">
        <v>45768</v>
      </c>
      <c r="C885" s="82" t="s">
        <v>3395</v>
      </c>
      <c r="D885" s="82" t="s">
        <v>1741</v>
      </c>
      <c r="E885" s="82"/>
      <c r="F885" s="82" t="s">
        <v>5132</v>
      </c>
      <c r="G885" s="89">
        <v>3</v>
      </c>
      <c r="H885" s="89">
        <v>813.75</v>
      </c>
      <c r="I885" s="85">
        <v>0</v>
      </c>
      <c r="J885" s="85">
        <v>0</v>
      </c>
      <c r="K885" s="85">
        <v>2441.25</v>
      </c>
      <c r="L885" s="85">
        <v>13983.47</v>
      </c>
      <c r="M885" s="89">
        <v>1124.6180444706106</v>
      </c>
      <c r="N885" s="85">
        <v>0</v>
      </c>
      <c r="O885" s="85">
        <v>0</v>
      </c>
      <c r="P885" s="85">
        <v>3373.8541334118322</v>
      </c>
      <c r="Q885" s="85">
        <v>19325.422655991952</v>
      </c>
      <c r="R885" s="82" t="s">
        <v>3399</v>
      </c>
      <c r="S885" s="7">
        <f t="shared" si="40"/>
        <v>0</v>
      </c>
      <c r="T885" s="6">
        <f t="shared" si="41"/>
        <v>0</v>
      </c>
      <c r="U885" s="25">
        <f t="shared" si="39"/>
        <v>0</v>
      </c>
    </row>
    <row r="886" spans="1:21" ht="10.9" customHeight="1" x14ac:dyDescent="0.2">
      <c r="A886" s="82" t="s">
        <v>2470</v>
      </c>
      <c r="B886" s="83">
        <v>45768</v>
      </c>
      <c r="C886" s="82" t="s">
        <v>3395</v>
      </c>
      <c r="D886" s="82" t="s">
        <v>3576</v>
      </c>
      <c r="E886" s="82"/>
      <c r="F886" s="82" t="s">
        <v>4898</v>
      </c>
      <c r="G886" s="89">
        <v>2</v>
      </c>
      <c r="H886" s="89">
        <v>53</v>
      </c>
      <c r="I886" s="85">
        <v>0</v>
      </c>
      <c r="J886" s="85">
        <v>0</v>
      </c>
      <c r="K886" s="85">
        <v>106</v>
      </c>
      <c r="L886" s="85">
        <v>2158</v>
      </c>
      <c r="M886" s="89">
        <v>73.340870376238669</v>
      </c>
      <c r="N886" s="85">
        <v>0</v>
      </c>
      <c r="O886" s="85">
        <v>0</v>
      </c>
      <c r="P886" s="85">
        <v>146.68174075247734</v>
      </c>
      <c r="Q886" s="85">
        <v>2986.2188353193028</v>
      </c>
      <c r="R886" s="82" t="s">
        <v>3396</v>
      </c>
      <c r="S886" s="7">
        <f t="shared" si="40"/>
        <v>0</v>
      </c>
      <c r="T886" s="6">
        <f t="shared" si="41"/>
        <v>0</v>
      </c>
      <c r="U886" s="25">
        <f t="shared" si="39"/>
        <v>0</v>
      </c>
    </row>
    <row r="887" spans="1:21" ht="10.9" customHeight="1" x14ac:dyDescent="0.2">
      <c r="A887" s="82" t="s">
        <v>2470</v>
      </c>
      <c r="B887" s="83">
        <v>45768</v>
      </c>
      <c r="C887" s="82" t="s">
        <v>3395</v>
      </c>
      <c r="D887" s="82" t="s">
        <v>3576</v>
      </c>
      <c r="E887" s="82"/>
      <c r="F887" s="82" t="s">
        <v>4487</v>
      </c>
      <c r="G887" s="89">
        <v>2</v>
      </c>
      <c r="H887" s="89">
        <v>465</v>
      </c>
      <c r="I887" s="85">
        <v>0</v>
      </c>
      <c r="J887" s="85">
        <v>0</v>
      </c>
      <c r="K887" s="85">
        <v>930</v>
      </c>
      <c r="L887" s="85">
        <v>2158</v>
      </c>
      <c r="M887" s="89">
        <v>643.46235330096192</v>
      </c>
      <c r="N887" s="85">
        <v>0</v>
      </c>
      <c r="O887" s="85">
        <v>0</v>
      </c>
      <c r="P887" s="85">
        <v>1286.9247066019238</v>
      </c>
      <c r="Q887" s="85">
        <v>2986.2188353193028</v>
      </c>
      <c r="R887" s="82" t="s">
        <v>3396</v>
      </c>
      <c r="S887" s="7">
        <f t="shared" si="40"/>
        <v>0</v>
      </c>
      <c r="T887" s="6">
        <f t="shared" si="41"/>
        <v>0</v>
      </c>
      <c r="U887" s="25">
        <f t="shared" si="39"/>
        <v>0</v>
      </c>
    </row>
    <row r="888" spans="1:21" ht="10.9" customHeight="1" x14ac:dyDescent="0.2">
      <c r="A888" s="82" t="s">
        <v>2470</v>
      </c>
      <c r="B888" s="83">
        <v>45768</v>
      </c>
      <c r="C888" s="82" t="s">
        <v>3395</v>
      </c>
      <c r="D888" s="82" t="s">
        <v>3576</v>
      </c>
      <c r="E888" s="82"/>
      <c r="F888" s="82" t="s">
        <v>4488</v>
      </c>
      <c r="G888" s="89">
        <v>2</v>
      </c>
      <c r="H888" s="89">
        <v>561</v>
      </c>
      <c r="I888" s="85">
        <v>0</v>
      </c>
      <c r="J888" s="85">
        <v>0</v>
      </c>
      <c r="K888" s="85">
        <v>1122</v>
      </c>
      <c r="L888" s="85">
        <v>2158</v>
      </c>
      <c r="M888" s="89">
        <v>776.30619398245074</v>
      </c>
      <c r="N888" s="85">
        <v>0</v>
      </c>
      <c r="O888" s="85">
        <v>0</v>
      </c>
      <c r="P888" s="85">
        <v>1552.6123879649015</v>
      </c>
      <c r="Q888" s="85">
        <v>2986.2188353193028</v>
      </c>
      <c r="R888" s="82" t="s">
        <v>3396</v>
      </c>
      <c r="S888" s="7">
        <f t="shared" si="40"/>
        <v>0</v>
      </c>
      <c r="T888" s="6">
        <f t="shared" si="41"/>
        <v>0</v>
      </c>
      <c r="U888" s="25">
        <f t="shared" si="39"/>
        <v>0</v>
      </c>
    </row>
    <row r="889" spans="1:21" ht="10.9" customHeight="1" x14ac:dyDescent="0.2">
      <c r="A889" s="82" t="s">
        <v>2471</v>
      </c>
      <c r="B889" s="83">
        <v>45768</v>
      </c>
      <c r="C889" s="82" t="s">
        <v>3395</v>
      </c>
      <c r="D889" s="82" t="s">
        <v>3576</v>
      </c>
      <c r="E889" s="82"/>
      <c r="F889" s="82" t="s">
        <v>4486</v>
      </c>
      <c r="G889" s="89">
        <v>2</v>
      </c>
      <c r="H889" s="89">
        <v>162</v>
      </c>
      <c r="I889" s="85">
        <v>0</v>
      </c>
      <c r="J889" s="85">
        <v>0</v>
      </c>
      <c r="K889" s="85">
        <v>324</v>
      </c>
      <c r="L889" s="85">
        <v>1686</v>
      </c>
      <c r="M889" s="89">
        <v>224.17398115001254</v>
      </c>
      <c r="N889" s="85">
        <v>0</v>
      </c>
      <c r="O889" s="85">
        <v>0</v>
      </c>
      <c r="P889" s="85">
        <v>448.34796230002507</v>
      </c>
      <c r="Q889" s="85">
        <v>2333.0699519686486</v>
      </c>
      <c r="R889" s="82" t="s">
        <v>3396</v>
      </c>
      <c r="S889" s="7">
        <f t="shared" si="40"/>
        <v>0</v>
      </c>
      <c r="T889" s="6">
        <f t="shared" si="41"/>
        <v>0</v>
      </c>
      <c r="U889" s="25">
        <f t="shared" si="39"/>
        <v>0</v>
      </c>
    </row>
    <row r="890" spans="1:21" ht="10.9" customHeight="1" x14ac:dyDescent="0.2">
      <c r="A890" s="82" t="s">
        <v>2471</v>
      </c>
      <c r="B890" s="83">
        <v>45768</v>
      </c>
      <c r="C890" s="82" t="s">
        <v>3395</v>
      </c>
      <c r="D890" s="82" t="s">
        <v>3576</v>
      </c>
      <c r="E890" s="82"/>
      <c r="F890" s="82" t="s">
        <v>4901</v>
      </c>
      <c r="G890" s="89">
        <v>2</v>
      </c>
      <c r="H890" s="89">
        <v>162</v>
      </c>
      <c r="I890" s="85">
        <v>0</v>
      </c>
      <c r="J890" s="85">
        <v>0</v>
      </c>
      <c r="K890" s="85">
        <v>324</v>
      </c>
      <c r="L890" s="85">
        <v>1686</v>
      </c>
      <c r="M890" s="89">
        <v>224.17398115001254</v>
      </c>
      <c r="N890" s="85">
        <v>0</v>
      </c>
      <c r="O890" s="85">
        <v>0</v>
      </c>
      <c r="P890" s="85">
        <v>448.34796230002507</v>
      </c>
      <c r="Q890" s="85">
        <v>2333.0699519686486</v>
      </c>
      <c r="R890" s="82" t="s">
        <v>3396</v>
      </c>
      <c r="S890" s="7">
        <f t="shared" si="40"/>
        <v>0</v>
      </c>
      <c r="T890" s="6">
        <f t="shared" si="41"/>
        <v>0</v>
      </c>
      <c r="U890" s="25">
        <f t="shared" si="39"/>
        <v>0</v>
      </c>
    </row>
    <row r="891" spans="1:21" ht="10.9" customHeight="1" x14ac:dyDescent="0.2">
      <c r="A891" s="82" t="s">
        <v>2471</v>
      </c>
      <c r="B891" s="83">
        <v>45768</v>
      </c>
      <c r="C891" s="82" t="s">
        <v>3395</v>
      </c>
      <c r="D891" s="82" t="s">
        <v>3576</v>
      </c>
      <c r="E891" s="82"/>
      <c r="F891" s="82" t="s">
        <v>4899</v>
      </c>
      <c r="G891" s="89">
        <v>2</v>
      </c>
      <c r="H891" s="89">
        <v>36</v>
      </c>
      <c r="I891" s="85">
        <v>0</v>
      </c>
      <c r="J891" s="85">
        <v>0</v>
      </c>
      <c r="K891" s="85">
        <v>72</v>
      </c>
      <c r="L891" s="85">
        <v>1686</v>
      </c>
      <c r="M891" s="89">
        <v>49.816440255558341</v>
      </c>
      <c r="N891" s="85">
        <v>0</v>
      </c>
      <c r="O891" s="85">
        <v>0</v>
      </c>
      <c r="P891" s="85">
        <v>99.632880511116682</v>
      </c>
      <c r="Q891" s="85">
        <v>2333.0699519686486</v>
      </c>
      <c r="R891" s="82" t="s">
        <v>3396</v>
      </c>
      <c r="S891" s="7">
        <f t="shared" si="40"/>
        <v>0</v>
      </c>
      <c r="T891" s="6">
        <f t="shared" si="41"/>
        <v>0</v>
      </c>
      <c r="U891" s="25">
        <f t="shared" si="39"/>
        <v>0</v>
      </c>
    </row>
    <row r="892" spans="1:21" ht="10.9" customHeight="1" x14ac:dyDescent="0.2">
      <c r="A892" s="82" t="s">
        <v>2471</v>
      </c>
      <c r="B892" s="83">
        <v>45768</v>
      </c>
      <c r="C892" s="82" t="s">
        <v>3395</v>
      </c>
      <c r="D892" s="82" t="s">
        <v>3576</v>
      </c>
      <c r="E892" s="82"/>
      <c r="F892" s="82" t="s">
        <v>4470</v>
      </c>
      <c r="G892" s="89">
        <v>6</v>
      </c>
      <c r="H892" s="89">
        <v>15</v>
      </c>
      <c r="I892" s="85">
        <v>0</v>
      </c>
      <c r="J892" s="85">
        <v>0</v>
      </c>
      <c r="K892" s="85">
        <v>90</v>
      </c>
      <c r="L892" s="85">
        <v>1686</v>
      </c>
      <c r="M892" s="89">
        <v>20.756850106482641</v>
      </c>
      <c r="N892" s="85">
        <v>0</v>
      </c>
      <c r="O892" s="85">
        <v>0</v>
      </c>
      <c r="P892" s="85">
        <v>124.54110063889584</v>
      </c>
      <c r="Q892" s="85">
        <v>2333.0699519686486</v>
      </c>
      <c r="R892" s="82" t="s">
        <v>3396</v>
      </c>
      <c r="S892" s="7">
        <f t="shared" si="40"/>
        <v>0</v>
      </c>
      <c r="T892" s="6">
        <f t="shared" si="41"/>
        <v>0</v>
      </c>
      <c r="U892" s="25">
        <f t="shared" si="39"/>
        <v>0</v>
      </c>
    </row>
    <row r="893" spans="1:21" ht="10.9" customHeight="1" x14ac:dyDescent="0.2">
      <c r="A893" s="82" t="s">
        <v>2471</v>
      </c>
      <c r="B893" s="83">
        <v>45768</v>
      </c>
      <c r="C893" s="82" t="s">
        <v>3395</v>
      </c>
      <c r="D893" s="82" t="s">
        <v>3576</v>
      </c>
      <c r="E893" s="82"/>
      <c r="F893" s="82" t="s">
        <v>4478</v>
      </c>
      <c r="G893" s="89">
        <v>6</v>
      </c>
      <c r="H893" s="89">
        <v>15</v>
      </c>
      <c r="I893" s="85">
        <v>0</v>
      </c>
      <c r="J893" s="85">
        <v>0</v>
      </c>
      <c r="K893" s="85">
        <v>90</v>
      </c>
      <c r="L893" s="85">
        <v>1686</v>
      </c>
      <c r="M893" s="89">
        <v>20.756850106482641</v>
      </c>
      <c r="N893" s="85">
        <v>0</v>
      </c>
      <c r="O893" s="85">
        <v>0</v>
      </c>
      <c r="P893" s="85">
        <v>124.54110063889584</v>
      </c>
      <c r="Q893" s="85">
        <v>2333.0699519686486</v>
      </c>
      <c r="R893" s="82" t="s">
        <v>3396</v>
      </c>
      <c r="S893" s="7">
        <f t="shared" si="40"/>
        <v>0</v>
      </c>
      <c r="T893" s="6">
        <f t="shared" si="41"/>
        <v>0</v>
      </c>
      <c r="U893" s="25">
        <f t="shared" si="39"/>
        <v>0</v>
      </c>
    </row>
    <row r="894" spans="1:21" ht="10.9" customHeight="1" x14ac:dyDescent="0.2">
      <c r="A894" s="82" t="s">
        <v>2471</v>
      </c>
      <c r="B894" s="83">
        <v>45768</v>
      </c>
      <c r="C894" s="82" t="s">
        <v>3395</v>
      </c>
      <c r="D894" s="82" t="s">
        <v>3576</v>
      </c>
      <c r="E894" s="82"/>
      <c r="F894" s="82" t="s">
        <v>4482</v>
      </c>
      <c r="G894" s="89">
        <v>2</v>
      </c>
      <c r="H894" s="89">
        <v>83</v>
      </c>
      <c r="I894" s="85">
        <v>0</v>
      </c>
      <c r="J894" s="85">
        <v>0</v>
      </c>
      <c r="K894" s="85">
        <v>166</v>
      </c>
      <c r="L894" s="85">
        <v>1686</v>
      </c>
      <c r="M894" s="89">
        <v>114.85457058920395</v>
      </c>
      <c r="N894" s="85">
        <v>0</v>
      </c>
      <c r="O894" s="85">
        <v>0</v>
      </c>
      <c r="P894" s="85">
        <v>229.70914117840789</v>
      </c>
      <c r="Q894" s="85">
        <v>2333.0699519686486</v>
      </c>
      <c r="R894" s="82" t="s">
        <v>3396</v>
      </c>
      <c r="S894" s="7">
        <f t="shared" si="40"/>
        <v>0</v>
      </c>
      <c r="T894" s="6">
        <f t="shared" si="41"/>
        <v>0</v>
      </c>
      <c r="U894" s="25">
        <f t="shared" si="39"/>
        <v>0</v>
      </c>
    </row>
    <row r="895" spans="1:21" ht="10.9" customHeight="1" x14ac:dyDescent="0.2">
      <c r="A895" s="82" t="s">
        <v>2471</v>
      </c>
      <c r="B895" s="83">
        <v>45768</v>
      </c>
      <c r="C895" s="82" t="s">
        <v>3395</v>
      </c>
      <c r="D895" s="82" t="s">
        <v>3576</v>
      </c>
      <c r="E895" s="82"/>
      <c r="F895" s="82" t="s">
        <v>4483</v>
      </c>
      <c r="G895" s="89">
        <v>4</v>
      </c>
      <c r="H895" s="89">
        <v>135</v>
      </c>
      <c r="I895" s="85">
        <v>0</v>
      </c>
      <c r="J895" s="85">
        <v>0</v>
      </c>
      <c r="K895" s="85">
        <v>540</v>
      </c>
      <c r="L895" s="85">
        <v>1686</v>
      </c>
      <c r="M895" s="89">
        <v>186.81165095834376</v>
      </c>
      <c r="N895" s="85">
        <v>0</v>
      </c>
      <c r="O895" s="85">
        <v>0</v>
      </c>
      <c r="P895" s="85">
        <v>747.24660383337505</v>
      </c>
      <c r="Q895" s="85">
        <v>2333.0699519686486</v>
      </c>
      <c r="R895" s="82" t="s">
        <v>3396</v>
      </c>
      <c r="S895" s="7">
        <f t="shared" si="40"/>
        <v>0</v>
      </c>
      <c r="T895" s="6">
        <f t="shared" si="41"/>
        <v>0</v>
      </c>
      <c r="U895" s="25">
        <f t="shared" si="39"/>
        <v>0</v>
      </c>
    </row>
    <row r="896" spans="1:21" ht="10.9" customHeight="1" x14ac:dyDescent="0.2">
      <c r="A896" s="82" t="s">
        <v>2471</v>
      </c>
      <c r="B896" s="83">
        <v>45768</v>
      </c>
      <c r="C896" s="82" t="s">
        <v>3395</v>
      </c>
      <c r="D896" s="82" t="s">
        <v>3576</v>
      </c>
      <c r="E896" s="82"/>
      <c r="F896" s="82" t="s">
        <v>4903</v>
      </c>
      <c r="G896" s="89">
        <v>4</v>
      </c>
      <c r="H896" s="89">
        <v>12</v>
      </c>
      <c r="I896" s="85">
        <v>0</v>
      </c>
      <c r="J896" s="85">
        <v>0</v>
      </c>
      <c r="K896" s="85">
        <v>48</v>
      </c>
      <c r="L896" s="85">
        <v>1686</v>
      </c>
      <c r="M896" s="89">
        <v>16.605480085186112</v>
      </c>
      <c r="N896" s="85">
        <v>0</v>
      </c>
      <c r="O896" s="85">
        <v>0</v>
      </c>
      <c r="P896" s="85">
        <v>66.42192034074445</v>
      </c>
      <c r="Q896" s="85">
        <v>2333.0699519686486</v>
      </c>
      <c r="R896" s="82" t="s">
        <v>3396</v>
      </c>
      <c r="S896" s="7">
        <f t="shared" si="40"/>
        <v>0</v>
      </c>
      <c r="T896" s="6">
        <f t="shared" si="41"/>
        <v>0</v>
      </c>
      <c r="U896" s="25">
        <f t="shared" si="39"/>
        <v>0</v>
      </c>
    </row>
    <row r="897" spans="1:21" ht="10.9" customHeight="1" x14ac:dyDescent="0.2">
      <c r="A897" s="82" t="s">
        <v>2471</v>
      </c>
      <c r="B897" s="83">
        <v>45768</v>
      </c>
      <c r="C897" s="82" t="s">
        <v>3395</v>
      </c>
      <c r="D897" s="82" t="s">
        <v>3576</v>
      </c>
      <c r="E897" s="82"/>
      <c r="F897" s="82" t="s">
        <v>4902</v>
      </c>
      <c r="G897" s="89">
        <v>4</v>
      </c>
      <c r="H897" s="89">
        <v>8</v>
      </c>
      <c r="I897" s="85">
        <v>0</v>
      </c>
      <c r="J897" s="85">
        <v>0</v>
      </c>
      <c r="K897" s="85">
        <v>32</v>
      </c>
      <c r="L897" s="85">
        <v>1686</v>
      </c>
      <c r="M897" s="89">
        <v>11.070320056790742</v>
      </c>
      <c r="N897" s="85">
        <v>0</v>
      </c>
      <c r="O897" s="85">
        <v>0</v>
      </c>
      <c r="P897" s="85">
        <v>44.281280227162966</v>
      </c>
      <c r="Q897" s="85">
        <v>2333.0699519686486</v>
      </c>
      <c r="R897" s="82" t="s">
        <v>3396</v>
      </c>
      <c r="S897" s="7">
        <f t="shared" si="40"/>
        <v>0</v>
      </c>
      <c r="T897" s="6">
        <f t="shared" si="41"/>
        <v>0</v>
      </c>
      <c r="U897" s="25">
        <f t="shared" si="39"/>
        <v>0</v>
      </c>
    </row>
    <row r="898" spans="1:21" ht="10.9" customHeight="1" x14ac:dyDescent="0.2">
      <c r="A898" s="82" t="s">
        <v>2510</v>
      </c>
      <c r="B898" s="83">
        <v>45768</v>
      </c>
      <c r="C898" s="82" t="s">
        <v>3395</v>
      </c>
      <c r="D898" s="82" t="s">
        <v>3577</v>
      </c>
      <c r="E898" s="82"/>
      <c r="F898" s="82" t="s">
        <v>5499</v>
      </c>
      <c r="G898" s="89">
        <v>1</v>
      </c>
      <c r="H898" s="89">
        <v>60</v>
      </c>
      <c r="I898" s="85">
        <v>0</v>
      </c>
      <c r="J898" s="85">
        <v>0</v>
      </c>
      <c r="K898" s="85">
        <v>60</v>
      </c>
      <c r="L898" s="85">
        <v>60</v>
      </c>
      <c r="M898" s="89">
        <v>83.027400425930566</v>
      </c>
      <c r="N898" s="85">
        <v>0</v>
      </c>
      <c r="O898" s="85">
        <v>0</v>
      </c>
      <c r="P898" s="85">
        <v>83.027400425930566</v>
      </c>
      <c r="Q898" s="85">
        <v>83.027400425930566</v>
      </c>
      <c r="R898" s="82" t="s">
        <v>3396</v>
      </c>
      <c r="S898" s="7">
        <f t="shared" si="40"/>
        <v>0</v>
      </c>
      <c r="T898" s="6">
        <f t="shared" si="41"/>
        <v>0</v>
      </c>
      <c r="U898" s="25">
        <f t="shared" ref="U898:U961" si="42">IF(T898=1,K898-J898,0)</f>
        <v>0</v>
      </c>
    </row>
    <row r="899" spans="1:21" ht="10.9" customHeight="1" x14ac:dyDescent="0.2">
      <c r="A899" s="82" t="s">
        <v>2677</v>
      </c>
      <c r="B899" s="83">
        <v>45768</v>
      </c>
      <c r="C899" s="82" t="s">
        <v>3395</v>
      </c>
      <c r="D899" s="82" t="s">
        <v>1565</v>
      </c>
      <c r="E899" s="82"/>
      <c r="F899" s="82" t="s">
        <v>5498</v>
      </c>
      <c r="G899" s="89">
        <v>1</v>
      </c>
      <c r="H899" s="89">
        <v>194.97</v>
      </c>
      <c r="I899" s="85">
        <v>0</v>
      </c>
      <c r="J899" s="85">
        <v>9.75</v>
      </c>
      <c r="K899" s="85">
        <v>204.72</v>
      </c>
      <c r="L899" s="85">
        <v>204.72</v>
      </c>
      <c r="M899" s="89">
        <v>194.97</v>
      </c>
      <c r="N899" s="85">
        <v>0</v>
      </c>
      <c r="O899" s="85">
        <v>9.75</v>
      </c>
      <c r="P899" s="85">
        <v>204.72</v>
      </c>
      <c r="Q899" s="85">
        <v>204.72</v>
      </c>
      <c r="R899" s="82" t="s">
        <v>3399</v>
      </c>
      <c r="S899" s="7">
        <f t="shared" ref="S899:S962" si="43">IF(T899=1,A899,0)</f>
        <v>0</v>
      </c>
      <c r="T899" s="6">
        <f t="shared" ref="T899:T962" si="44">IFERROR(FIND("Freight",F899,1),0)</f>
        <v>0</v>
      </c>
      <c r="U899" s="25">
        <f t="shared" si="42"/>
        <v>0</v>
      </c>
    </row>
    <row r="900" spans="1:21" ht="10.9" customHeight="1" x14ac:dyDescent="0.2">
      <c r="A900" s="82" t="s">
        <v>2675</v>
      </c>
      <c r="B900" s="83">
        <v>45768</v>
      </c>
      <c r="C900" s="82" t="s">
        <v>3395</v>
      </c>
      <c r="D900" s="82" t="s">
        <v>1569</v>
      </c>
      <c r="E900" s="82"/>
      <c r="F900" s="82" t="s">
        <v>4613</v>
      </c>
      <c r="G900" s="89">
        <v>1</v>
      </c>
      <c r="H900" s="89">
        <v>339.85</v>
      </c>
      <c r="I900" s="85">
        <v>0</v>
      </c>
      <c r="J900" s="85">
        <v>0</v>
      </c>
      <c r="K900" s="85">
        <v>339.85</v>
      </c>
      <c r="L900" s="85">
        <v>339.85</v>
      </c>
      <c r="M900" s="89">
        <v>469.6791919057905</v>
      </c>
      <c r="N900" s="85">
        <v>0</v>
      </c>
      <c r="O900" s="85">
        <v>0</v>
      </c>
      <c r="P900" s="85">
        <v>469.6791919057905</v>
      </c>
      <c r="Q900" s="85">
        <v>469.6791919057905</v>
      </c>
      <c r="R900" s="82" t="s">
        <v>3399</v>
      </c>
      <c r="S900" s="7">
        <f t="shared" si="43"/>
        <v>0</v>
      </c>
      <c r="T900" s="6">
        <f t="shared" si="44"/>
        <v>0</v>
      </c>
      <c r="U900" s="25">
        <f t="shared" si="42"/>
        <v>0</v>
      </c>
    </row>
    <row r="901" spans="1:21" ht="10.9" customHeight="1" x14ac:dyDescent="0.2">
      <c r="A901" s="82" t="s">
        <v>2678</v>
      </c>
      <c r="B901" s="83">
        <v>45768</v>
      </c>
      <c r="C901" s="82" t="s">
        <v>3395</v>
      </c>
      <c r="D901" s="82" t="s">
        <v>1563</v>
      </c>
      <c r="E901" s="82"/>
      <c r="F901" s="82" t="s">
        <v>4869</v>
      </c>
      <c r="G901" s="89">
        <v>1</v>
      </c>
      <c r="H901" s="89">
        <v>124.98</v>
      </c>
      <c r="I901" s="85">
        <v>0</v>
      </c>
      <c r="J901" s="85">
        <v>6.25</v>
      </c>
      <c r="K901" s="85">
        <v>131.22999999999999</v>
      </c>
      <c r="L901" s="85">
        <v>131.22999999999999</v>
      </c>
      <c r="M901" s="89">
        <v>124.98</v>
      </c>
      <c r="N901" s="85">
        <v>0</v>
      </c>
      <c r="O901" s="85">
        <v>6.25</v>
      </c>
      <c r="P901" s="85">
        <v>131.22999999999999</v>
      </c>
      <c r="Q901" s="85">
        <v>131.22999999999999</v>
      </c>
      <c r="R901" s="82" t="s">
        <v>3399</v>
      </c>
      <c r="S901" s="7">
        <f t="shared" si="43"/>
        <v>0</v>
      </c>
      <c r="T901" s="6">
        <f t="shared" si="44"/>
        <v>0</v>
      </c>
      <c r="U901" s="25">
        <f t="shared" si="42"/>
        <v>0</v>
      </c>
    </row>
    <row r="902" spans="1:21" ht="10.9" customHeight="1" x14ac:dyDescent="0.2">
      <c r="A902" s="82" t="s">
        <v>2597</v>
      </c>
      <c r="B902" s="83">
        <v>45768</v>
      </c>
      <c r="C902" s="82" t="s">
        <v>3395</v>
      </c>
      <c r="D902" s="82" t="s">
        <v>1700</v>
      </c>
      <c r="E902" s="82"/>
      <c r="F902" s="82" t="s">
        <v>5497</v>
      </c>
      <c r="G902" s="89">
        <v>1</v>
      </c>
      <c r="H902" s="89">
        <v>1465.07</v>
      </c>
      <c r="I902" s="85">
        <v>0</v>
      </c>
      <c r="J902" s="85">
        <v>190.46</v>
      </c>
      <c r="K902" s="85">
        <v>1655.53</v>
      </c>
      <c r="L902" s="85">
        <v>1655.53</v>
      </c>
      <c r="M902" s="89">
        <v>1465.07</v>
      </c>
      <c r="N902" s="85">
        <v>0</v>
      </c>
      <c r="O902" s="85">
        <v>190.46</v>
      </c>
      <c r="P902" s="85">
        <v>1655.53</v>
      </c>
      <c r="Q902" s="85">
        <v>1655.53</v>
      </c>
      <c r="R902" s="82" t="s">
        <v>3399</v>
      </c>
      <c r="S902" s="7">
        <f t="shared" si="43"/>
        <v>0</v>
      </c>
      <c r="T902" s="6">
        <f t="shared" si="44"/>
        <v>0</v>
      </c>
      <c r="U902" s="25">
        <f t="shared" si="42"/>
        <v>0</v>
      </c>
    </row>
    <row r="903" spans="1:21" ht="10.9" customHeight="1" x14ac:dyDescent="0.2">
      <c r="A903" s="82" t="s">
        <v>2621</v>
      </c>
      <c r="B903" s="83">
        <v>45768</v>
      </c>
      <c r="C903" s="82" t="s">
        <v>3395</v>
      </c>
      <c r="D903" s="82" t="s">
        <v>1660</v>
      </c>
      <c r="E903" s="82"/>
      <c r="F903" s="82" t="s">
        <v>5496</v>
      </c>
      <c r="G903" s="89">
        <v>3</v>
      </c>
      <c r="H903" s="89">
        <v>67.290000000000006</v>
      </c>
      <c r="I903" s="85">
        <v>0</v>
      </c>
      <c r="J903" s="85">
        <v>26.24</v>
      </c>
      <c r="K903" s="85">
        <v>228.11</v>
      </c>
      <c r="L903" s="85">
        <v>228.11</v>
      </c>
      <c r="M903" s="89">
        <v>67.290000000000006</v>
      </c>
      <c r="N903" s="85">
        <v>0</v>
      </c>
      <c r="O903" s="85">
        <v>26.24</v>
      </c>
      <c r="P903" s="85">
        <v>228.11</v>
      </c>
      <c r="Q903" s="85">
        <v>228.11</v>
      </c>
      <c r="R903" s="82" t="s">
        <v>3399</v>
      </c>
      <c r="S903" s="7">
        <f t="shared" si="43"/>
        <v>0</v>
      </c>
      <c r="T903" s="6">
        <f t="shared" si="44"/>
        <v>0</v>
      </c>
      <c r="U903" s="25">
        <f t="shared" si="42"/>
        <v>0</v>
      </c>
    </row>
    <row r="904" spans="1:21" ht="10.9" customHeight="1" x14ac:dyDescent="0.2">
      <c r="A904" s="82" t="s">
        <v>2555</v>
      </c>
      <c r="B904" s="83">
        <v>45769</v>
      </c>
      <c r="C904" s="82" t="s">
        <v>3395</v>
      </c>
      <c r="D904" s="82" t="s">
        <v>3575</v>
      </c>
      <c r="E904" s="82"/>
      <c r="F904" s="82" t="s">
        <v>5494</v>
      </c>
      <c r="G904" s="89">
        <v>1</v>
      </c>
      <c r="H904" s="89">
        <v>7439.88</v>
      </c>
      <c r="I904" s="85">
        <v>0</v>
      </c>
      <c r="J904" s="85">
        <v>371.99</v>
      </c>
      <c r="K904" s="85">
        <v>7811.87</v>
      </c>
      <c r="L904" s="85">
        <v>11384.16</v>
      </c>
      <c r="M904" s="89">
        <v>7439.88</v>
      </c>
      <c r="N904" s="85">
        <v>0</v>
      </c>
      <c r="O904" s="85">
        <v>371.99</v>
      </c>
      <c r="P904" s="85">
        <v>7811.87</v>
      </c>
      <c r="Q904" s="85">
        <v>11384.16</v>
      </c>
      <c r="R904" s="82" t="s">
        <v>3399</v>
      </c>
      <c r="S904" s="7">
        <f t="shared" si="43"/>
        <v>0</v>
      </c>
      <c r="T904" s="6">
        <f t="shared" si="44"/>
        <v>0</v>
      </c>
      <c r="U904" s="25">
        <f t="shared" si="42"/>
        <v>0</v>
      </c>
    </row>
    <row r="905" spans="1:21" ht="10.9" customHeight="1" x14ac:dyDescent="0.2">
      <c r="A905" s="82" t="s">
        <v>2555</v>
      </c>
      <c r="B905" s="83">
        <v>45769</v>
      </c>
      <c r="C905" s="82" t="s">
        <v>3395</v>
      </c>
      <c r="D905" s="82" t="s">
        <v>3575</v>
      </c>
      <c r="E905" s="82"/>
      <c r="F905" s="82" t="s">
        <v>5493</v>
      </c>
      <c r="G905" s="89">
        <v>1</v>
      </c>
      <c r="H905" s="89">
        <v>1542.88</v>
      </c>
      <c r="I905" s="85">
        <v>0</v>
      </c>
      <c r="J905" s="85">
        <v>77.14</v>
      </c>
      <c r="K905" s="85">
        <v>1620.02</v>
      </c>
      <c r="L905" s="85">
        <v>11384.16</v>
      </c>
      <c r="M905" s="89">
        <v>1542.88</v>
      </c>
      <c r="N905" s="85">
        <v>0</v>
      </c>
      <c r="O905" s="85">
        <v>77.14</v>
      </c>
      <c r="P905" s="85">
        <v>1620.02</v>
      </c>
      <c r="Q905" s="85">
        <v>11384.16</v>
      </c>
      <c r="R905" s="82" t="s">
        <v>3399</v>
      </c>
      <c r="S905" s="7">
        <f t="shared" si="43"/>
        <v>0</v>
      </c>
      <c r="T905" s="6">
        <f t="shared" si="44"/>
        <v>0</v>
      </c>
      <c r="U905" s="25">
        <f t="shared" si="42"/>
        <v>0</v>
      </c>
    </row>
    <row r="906" spans="1:21" ht="10.9" customHeight="1" x14ac:dyDescent="0.2">
      <c r="A906" s="82" t="s">
        <v>2555</v>
      </c>
      <c r="B906" s="83">
        <v>45769</v>
      </c>
      <c r="C906" s="82" t="s">
        <v>3395</v>
      </c>
      <c r="D906" s="82" t="s">
        <v>3575</v>
      </c>
      <c r="E906" s="82"/>
      <c r="F906" s="82" t="s">
        <v>5492</v>
      </c>
      <c r="G906" s="89">
        <v>1</v>
      </c>
      <c r="H906" s="89">
        <v>1378.29</v>
      </c>
      <c r="I906" s="85">
        <v>0</v>
      </c>
      <c r="J906" s="85">
        <v>68.91</v>
      </c>
      <c r="K906" s="85">
        <v>1447.2</v>
      </c>
      <c r="L906" s="85">
        <v>11384.16</v>
      </c>
      <c r="M906" s="89">
        <v>1378.29</v>
      </c>
      <c r="N906" s="85">
        <v>0</v>
      </c>
      <c r="O906" s="85">
        <v>68.91</v>
      </c>
      <c r="P906" s="85">
        <v>1447.2</v>
      </c>
      <c r="Q906" s="85">
        <v>11384.16</v>
      </c>
      <c r="R906" s="82" t="s">
        <v>3399</v>
      </c>
      <c r="S906" s="7">
        <f t="shared" si="43"/>
        <v>0</v>
      </c>
      <c r="T906" s="6">
        <f t="shared" si="44"/>
        <v>0</v>
      </c>
      <c r="U906" s="25">
        <f t="shared" si="42"/>
        <v>0</v>
      </c>
    </row>
    <row r="907" spans="1:21" ht="10.9" customHeight="1" x14ac:dyDescent="0.2">
      <c r="A907" s="82" t="s">
        <v>2555</v>
      </c>
      <c r="B907" s="83">
        <v>45769</v>
      </c>
      <c r="C907" s="82" t="s">
        <v>3395</v>
      </c>
      <c r="D907" s="82" t="s">
        <v>3575</v>
      </c>
      <c r="E907" s="82"/>
      <c r="F907" s="82" t="s">
        <v>4963</v>
      </c>
      <c r="G907" s="89">
        <v>1</v>
      </c>
      <c r="H907" s="89">
        <v>29.11</v>
      </c>
      <c r="I907" s="85">
        <v>0</v>
      </c>
      <c r="J907" s="85">
        <v>1.46</v>
      </c>
      <c r="K907" s="85">
        <v>30.57</v>
      </c>
      <c r="L907" s="85">
        <v>11384.16</v>
      </c>
      <c r="M907" s="89">
        <v>29.11</v>
      </c>
      <c r="N907" s="85">
        <v>0</v>
      </c>
      <c r="O907" s="85">
        <v>1.46</v>
      </c>
      <c r="P907" s="85">
        <v>30.57</v>
      </c>
      <c r="Q907" s="85">
        <v>11384.16</v>
      </c>
      <c r="R907" s="82" t="s">
        <v>3399</v>
      </c>
      <c r="S907" s="7">
        <f t="shared" si="43"/>
        <v>0</v>
      </c>
      <c r="T907" s="6">
        <f t="shared" si="44"/>
        <v>0</v>
      </c>
      <c r="U907" s="25">
        <f t="shared" si="42"/>
        <v>0</v>
      </c>
    </row>
    <row r="908" spans="1:21" ht="10.9" customHeight="1" x14ac:dyDescent="0.2">
      <c r="A908" s="82" t="s">
        <v>2555</v>
      </c>
      <c r="B908" s="83">
        <v>45769</v>
      </c>
      <c r="C908" s="82" t="s">
        <v>3395</v>
      </c>
      <c r="D908" s="82" t="s">
        <v>3575</v>
      </c>
      <c r="E908" s="82"/>
      <c r="F908" s="82" t="s">
        <v>4615</v>
      </c>
      <c r="G908" s="89">
        <v>1</v>
      </c>
      <c r="H908" s="89">
        <v>11.39</v>
      </c>
      <c r="I908" s="85">
        <v>0</v>
      </c>
      <c r="J908" s="85">
        <v>0.56999999999999995</v>
      </c>
      <c r="K908" s="85">
        <v>11.96</v>
      </c>
      <c r="L908" s="85">
        <v>11384.16</v>
      </c>
      <c r="M908" s="89">
        <v>11.39</v>
      </c>
      <c r="N908" s="85">
        <v>0</v>
      </c>
      <c r="O908" s="85">
        <v>0.56999999999999995</v>
      </c>
      <c r="P908" s="85">
        <v>11.96</v>
      </c>
      <c r="Q908" s="85">
        <v>11384.16</v>
      </c>
      <c r="R908" s="82" t="s">
        <v>3399</v>
      </c>
      <c r="S908" s="7">
        <f t="shared" si="43"/>
        <v>0</v>
      </c>
      <c r="T908" s="6">
        <f t="shared" si="44"/>
        <v>0</v>
      </c>
      <c r="U908" s="25">
        <f t="shared" si="42"/>
        <v>0</v>
      </c>
    </row>
    <row r="909" spans="1:21" ht="10.9" customHeight="1" x14ac:dyDescent="0.2">
      <c r="A909" s="82" t="s">
        <v>2555</v>
      </c>
      <c r="B909" s="83">
        <v>45769</v>
      </c>
      <c r="C909" s="82" t="s">
        <v>3395</v>
      </c>
      <c r="D909" s="82" t="s">
        <v>3575</v>
      </c>
      <c r="E909" s="82"/>
      <c r="F909" s="82" t="s">
        <v>4850</v>
      </c>
      <c r="G909" s="89">
        <v>1</v>
      </c>
      <c r="H909" s="89">
        <v>214.73</v>
      </c>
      <c r="I909" s="85">
        <v>0</v>
      </c>
      <c r="J909" s="85">
        <v>10.74</v>
      </c>
      <c r="K909" s="85">
        <v>225.47</v>
      </c>
      <c r="L909" s="85">
        <v>11384.16</v>
      </c>
      <c r="M909" s="89">
        <v>214.73</v>
      </c>
      <c r="N909" s="85">
        <v>0</v>
      </c>
      <c r="O909" s="85">
        <v>10.74</v>
      </c>
      <c r="P909" s="85">
        <v>225.47</v>
      </c>
      <c r="Q909" s="85">
        <v>11384.16</v>
      </c>
      <c r="R909" s="82" t="s">
        <v>3399</v>
      </c>
      <c r="S909" s="7">
        <f t="shared" si="43"/>
        <v>0</v>
      </c>
      <c r="T909" s="6">
        <f t="shared" si="44"/>
        <v>0</v>
      </c>
      <c r="U909" s="25">
        <f t="shared" si="42"/>
        <v>0</v>
      </c>
    </row>
    <row r="910" spans="1:21" ht="10.9" customHeight="1" x14ac:dyDescent="0.2">
      <c r="A910" s="82" t="s">
        <v>2555</v>
      </c>
      <c r="B910" s="83">
        <v>45769</v>
      </c>
      <c r="C910" s="82" t="s">
        <v>3395</v>
      </c>
      <c r="D910" s="82" t="s">
        <v>3575</v>
      </c>
      <c r="E910" s="82"/>
      <c r="F910" s="82" t="s">
        <v>4849</v>
      </c>
      <c r="G910" s="89">
        <v>1</v>
      </c>
      <c r="H910" s="89">
        <v>225.78</v>
      </c>
      <c r="I910" s="85">
        <v>0</v>
      </c>
      <c r="J910" s="85">
        <v>11.29</v>
      </c>
      <c r="K910" s="85">
        <v>237.07</v>
      </c>
      <c r="L910" s="85">
        <v>11384.16</v>
      </c>
      <c r="M910" s="89">
        <v>225.78</v>
      </c>
      <c r="N910" s="85">
        <v>0</v>
      </c>
      <c r="O910" s="85">
        <v>11.29</v>
      </c>
      <c r="P910" s="85">
        <v>237.07</v>
      </c>
      <c r="Q910" s="85">
        <v>11384.16</v>
      </c>
      <c r="R910" s="82" t="s">
        <v>3399</v>
      </c>
      <c r="S910" s="7">
        <f t="shared" si="43"/>
        <v>0</v>
      </c>
      <c r="T910" s="6">
        <f t="shared" si="44"/>
        <v>0</v>
      </c>
      <c r="U910" s="25">
        <f t="shared" si="42"/>
        <v>0</v>
      </c>
    </row>
    <row r="911" spans="1:21" ht="10.9" customHeight="1" x14ac:dyDescent="0.2">
      <c r="A911" s="82" t="s">
        <v>2424</v>
      </c>
      <c r="B911" s="83">
        <v>45769</v>
      </c>
      <c r="C911" s="82" t="s">
        <v>3395</v>
      </c>
      <c r="D911" s="82" t="s">
        <v>2004</v>
      </c>
      <c r="E911" s="82"/>
      <c r="F911" s="82" t="s">
        <v>5043</v>
      </c>
      <c r="G911" s="89">
        <v>1</v>
      </c>
      <c r="H911" s="89">
        <v>5382.41</v>
      </c>
      <c r="I911" s="85">
        <v>0</v>
      </c>
      <c r="J911" s="85">
        <v>699.71</v>
      </c>
      <c r="K911" s="85">
        <v>6082.12</v>
      </c>
      <c r="L911" s="85">
        <v>6082.12</v>
      </c>
      <c r="M911" s="89">
        <v>5382.41</v>
      </c>
      <c r="N911" s="85">
        <v>0</v>
      </c>
      <c r="O911" s="85">
        <v>699.71</v>
      </c>
      <c r="P911" s="85">
        <v>6082.12</v>
      </c>
      <c r="Q911" s="85">
        <v>6082.12</v>
      </c>
      <c r="R911" s="82" t="s">
        <v>3399</v>
      </c>
      <c r="S911" s="7">
        <f t="shared" si="43"/>
        <v>0</v>
      </c>
      <c r="T911" s="6">
        <f t="shared" si="44"/>
        <v>0</v>
      </c>
      <c r="U911" s="25">
        <f t="shared" si="42"/>
        <v>0</v>
      </c>
    </row>
    <row r="912" spans="1:21" ht="10.9" customHeight="1" x14ac:dyDescent="0.2">
      <c r="A912" s="82" t="s">
        <v>3573</v>
      </c>
      <c r="B912" s="83">
        <v>45770</v>
      </c>
      <c r="C912" s="82" t="s">
        <v>3395</v>
      </c>
      <c r="D912" s="82" t="s">
        <v>3572</v>
      </c>
      <c r="E912" s="82"/>
      <c r="F912" s="82" t="s">
        <v>5484</v>
      </c>
      <c r="G912" s="89">
        <v>1</v>
      </c>
      <c r="H912" s="89">
        <v>42688</v>
      </c>
      <c r="I912" s="85">
        <v>0</v>
      </c>
      <c r="J912" s="85">
        <v>0</v>
      </c>
      <c r="K912" s="85">
        <v>42688</v>
      </c>
      <c r="L912" s="85">
        <v>42688</v>
      </c>
      <c r="M912" s="89">
        <v>59181.376055720997</v>
      </c>
      <c r="N912" s="85">
        <v>0</v>
      </c>
      <c r="O912" s="85">
        <v>0</v>
      </c>
      <c r="P912" s="85">
        <v>59181.376055720997</v>
      </c>
      <c r="Q912" s="85">
        <v>59181.376055720997</v>
      </c>
      <c r="R912" s="82" t="s">
        <v>3399</v>
      </c>
      <c r="S912" s="7">
        <f t="shared" si="43"/>
        <v>0</v>
      </c>
      <c r="T912" s="6">
        <f t="shared" si="44"/>
        <v>0</v>
      </c>
      <c r="U912" s="25">
        <f t="shared" si="42"/>
        <v>0</v>
      </c>
    </row>
    <row r="913" spans="1:21" ht="10.9" customHeight="1" x14ac:dyDescent="0.2">
      <c r="A913" s="82" t="s">
        <v>3570</v>
      </c>
      <c r="B913" s="83">
        <v>45770</v>
      </c>
      <c r="C913" s="82" t="s">
        <v>3395</v>
      </c>
      <c r="D913" s="82" t="s">
        <v>3569</v>
      </c>
      <c r="E913" s="82"/>
      <c r="F913" s="82" t="s">
        <v>5491</v>
      </c>
      <c r="G913" s="89">
        <v>1</v>
      </c>
      <c r="H913" s="89">
        <v>4222.08</v>
      </c>
      <c r="I913" s="85">
        <v>0</v>
      </c>
      <c r="J913" s="85">
        <v>548.87</v>
      </c>
      <c r="K913" s="85">
        <v>4770.95</v>
      </c>
      <c r="L913" s="85">
        <v>4770.95</v>
      </c>
      <c r="M913" s="89">
        <v>4222.08</v>
      </c>
      <c r="N913" s="85">
        <v>0</v>
      </c>
      <c r="O913" s="85">
        <v>548.87</v>
      </c>
      <c r="P913" s="85">
        <v>4770.95</v>
      </c>
      <c r="Q913" s="85">
        <v>4770.95</v>
      </c>
      <c r="R913" s="82" t="s">
        <v>3399</v>
      </c>
      <c r="S913" s="7">
        <f t="shared" si="43"/>
        <v>0</v>
      </c>
      <c r="T913" s="6">
        <f t="shared" si="44"/>
        <v>0</v>
      </c>
      <c r="U913" s="25">
        <f t="shared" si="42"/>
        <v>0</v>
      </c>
    </row>
    <row r="914" spans="1:21" ht="10.9" customHeight="1" x14ac:dyDescent="0.2">
      <c r="A914" s="82" t="s">
        <v>2593</v>
      </c>
      <c r="B914" s="83">
        <v>45770</v>
      </c>
      <c r="C914" s="82" t="s">
        <v>3395</v>
      </c>
      <c r="D914" s="82" t="s">
        <v>1707</v>
      </c>
      <c r="E914" s="82"/>
      <c r="F914" s="82" t="s">
        <v>5490</v>
      </c>
      <c r="G914" s="89">
        <v>2</v>
      </c>
      <c r="H914" s="89">
        <v>70.89</v>
      </c>
      <c r="I914" s="85">
        <v>0</v>
      </c>
      <c r="J914" s="85">
        <v>18.43</v>
      </c>
      <c r="K914" s="85">
        <v>160.21</v>
      </c>
      <c r="L914" s="85">
        <v>160.21</v>
      </c>
      <c r="M914" s="89">
        <v>70.89</v>
      </c>
      <c r="N914" s="85">
        <v>0</v>
      </c>
      <c r="O914" s="85">
        <v>18.43</v>
      </c>
      <c r="P914" s="85">
        <v>160.21</v>
      </c>
      <c r="Q914" s="85">
        <v>160.21</v>
      </c>
      <c r="R914" s="82" t="s">
        <v>3399</v>
      </c>
      <c r="S914" s="7">
        <f t="shared" si="43"/>
        <v>0</v>
      </c>
      <c r="T914" s="6">
        <f t="shared" si="44"/>
        <v>0</v>
      </c>
      <c r="U914" s="25">
        <f t="shared" si="42"/>
        <v>0</v>
      </c>
    </row>
    <row r="915" spans="1:21" ht="10.9" customHeight="1" x14ac:dyDescent="0.2">
      <c r="A915" s="82" t="s">
        <v>2317</v>
      </c>
      <c r="B915" s="83">
        <v>45770</v>
      </c>
      <c r="C915" s="82" t="s">
        <v>3395</v>
      </c>
      <c r="D915" s="82" t="s">
        <v>3574</v>
      </c>
      <c r="E915" s="82"/>
      <c r="F915" s="82" t="s">
        <v>5489</v>
      </c>
      <c r="G915" s="89">
        <v>2</v>
      </c>
      <c r="H915" s="89">
        <v>13271.85</v>
      </c>
      <c r="I915" s="85">
        <v>0</v>
      </c>
      <c r="J915" s="85">
        <v>3450.68</v>
      </c>
      <c r="K915" s="85">
        <v>29994.38</v>
      </c>
      <c r="L915" s="85">
        <v>29994.38</v>
      </c>
      <c r="M915" s="89">
        <v>13271.85</v>
      </c>
      <c r="N915" s="85">
        <v>0</v>
      </c>
      <c r="O915" s="85">
        <v>3450.68</v>
      </c>
      <c r="P915" s="85">
        <v>29994.38</v>
      </c>
      <c r="Q915" s="85">
        <v>29994.38</v>
      </c>
      <c r="R915" s="82" t="s">
        <v>3399</v>
      </c>
      <c r="S915" s="7">
        <f t="shared" si="43"/>
        <v>0</v>
      </c>
      <c r="T915" s="6">
        <f t="shared" si="44"/>
        <v>0</v>
      </c>
      <c r="U915" s="25">
        <f t="shared" si="42"/>
        <v>0</v>
      </c>
    </row>
    <row r="916" spans="1:21" ht="10.9" customHeight="1" x14ac:dyDescent="0.2">
      <c r="A916" s="82" t="s">
        <v>2662</v>
      </c>
      <c r="B916" s="83">
        <v>45770</v>
      </c>
      <c r="C916" s="82" t="s">
        <v>3395</v>
      </c>
      <c r="D916" s="82" t="s">
        <v>1592</v>
      </c>
      <c r="E916" s="82"/>
      <c r="F916" s="82" t="s">
        <v>5318</v>
      </c>
      <c r="G916" s="89">
        <v>1</v>
      </c>
      <c r="H916" s="89">
        <v>3834.03</v>
      </c>
      <c r="I916" s="85">
        <v>0</v>
      </c>
      <c r="J916" s="85">
        <v>498.42</v>
      </c>
      <c r="K916" s="85">
        <v>4332.45</v>
      </c>
      <c r="L916" s="85">
        <v>4843.09</v>
      </c>
      <c r="M916" s="89">
        <v>3834.03</v>
      </c>
      <c r="N916" s="85">
        <v>0</v>
      </c>
      <c r="O916" s="85">
        <v>498.42</v>
      </c>
      <c r="P916" s="85">
        <v>4332.45</v>
      </c>
      <c r="Q916" s="85">
        <v>4843.09</v>
      </c>
      <c r="R916" s="82" t="s">
        <v>3399</v>
      </c>
      <c r="S916" s="7">
        <f t="shared" si="43"/>
        <v>0</v>
      </c>
      <c r="T916" s="6">
        <f t="shared" si="44"/>
        <v>0</v>
      </c>
      <c r="U916" s="25">
        <f t="shared" si="42"/>
        <v>0</v>
      </c>
    </row>
    <row r="917" spans="1:21" ht="10.9" customHeight="1" x14ac:dyDescent="0.2">
      <c r="A917" s="82" t="s">
        <v>2662</v>
      </c>
      <c r="B917" s="83">
        <v>45770</v>
      </c>
      <c r="C917" s="82" t="s">
        <v>3395</v>
      </c>
      <c r="D917" s="82" t="s">
        <v>1592</v>
      </c>
      <c r="E917" s="82"/>
      <c r="F917" s="82" t="s">
        <v>5488</v>
      </c>
      <c r="G917" s="89">
        <v>1</v>
      </c>
      <c r="H917" s="89">
        <v>88.85</v>
      </c>
      <c r="I917" s="85">
        <v>0</v>
      </c>
      <c r="J917" s="85">
        <v>11.55</v>
      </c>
      <c r="K917" s="85">
        <v>100.4</v>
      </c>
      <c r="L917" s="85">
        <v>4843.09</v>
      </c>
      <c r="M917" s="89">
        <v>88.85</v>
      </c>
      <c r="N917" s="85">
        <v>0</v>
      </c>
      <c r="O917" s="85">
        <v>11.55</v>
      </c>
      <c r="P917" s="85">
        <v>100.4</v>
      </c>
      <c r="Q917" s="85">
        <v>4843.09</v>
      </c>
      <c r="R917" s="82" t="s">
        <v>3399</v>
      </c>
      <c r="S917" s="7">
        <f t="shared" si="43"/>
        <v>0</v>
      </c>
      <c r="T917" s="6">
        <f t="shared" si="44"/>
        <v>0</v>
      </c>
      <c r="U917" s="25">
        <f t="shared" si="42"/>
        <v>0</v>
      </c>
    </row>
    <row r="918" spans="1:21" ht="10.9" customHeight="1" x14ac:dyDescent="0.2">
      <c r="A918" s="82" t="s">
        <v>2662</v>
      </c>
      <c r="B918" s="83">
        <v>45770</v>
      </c>
      <c r="C918" s="82" t="s">
        <v>3395</v>
      </c>
      <c r="D918" s="82" t="s">
        <v>1592</v>
      </c>
      <c r="E918" s="82"/>
      <c r="F918" s="82" t="s">
        <v>5487</v>
      </c>
      <c r="G918" s="89">
        <v>1</v>
      </c>
      <c r="H918" s="89">
        <v>73.11</v>
      </c>
      <c r="I918" s="85">
        <v>0</v>
      </c>
      <c r="J918" s="85">
        <v>9.5</v>
      </c>
      <c r="K918" s="85">
        <v>82.61</v>
      </c>
      <c r="L918" s="85">
        <v>4843.09</v>
      </c>
      <c r="M918" s="89">
        <v>73.11</v>
      </c>
      <c r="N918" s="85">
        <v>0</v>
      </c>
      <c r="O918" s="85">
        <v>9.5</v>
      </c>
      <c r="P918" s="85">
        <v>82.61</v>
      </c>
      <c r="Q918" s="85">
        <v>4843.09</v>
      </c>
      <c r="R918" s="82" t="s">
        <v>3399</v>
      </c>
      <c r="S918" s="7">
        <f t="shared" si="43"/>
        <v>0</v>
      </c>
      <c r="T918" s="6">
        <f t="shared" si="44"/>
        <v>0</v>
      </c>
      <c r="U918" s="25">
        <f t="shared" si="42"/>
        <v>0</v>
      </c>
    </row>
    <row r="919" spans="1:21" ht="10.9" customHeight="1" x14ac:dyDescent="0.2">
      <c r="A919" s="82" t="s">
        <v>2662</v>
      </c>
      <c r="B919" s="83">
        <v>45770</v>
      </c>
      <c r="C919" s="82" t="s">
        <v>3395</v>
      </c>
      <c r="D919" s="82" t="s">
        <v>1592</v>
      </c>
      <c r="E919" s="82"/>
      <c r="F919" s="82" t="s">
        <v>5486</v>
      </c>
      <c r="G919" s="89">
        <v>1</v>
      </c>
      <c r="H919" s="89">
        <v>289.94</v>
      </c>
      <c r="I919" s="85">
        <v>0</v>
      </c>
      <c r="J919" s="85">
        <v>37.69</v>
      </c>
      <c r="K919" s="85">
        <v>327.63</v>
      </c>
      <c r="L919" s="85">
        <v>4843.09</v>
      </c>
      <c r="M919" s="89">
        <v>289.94</v>
      </c>
      <c r="N919" s="85">
        <v>0</v>
      </c>
      <c r="O919" s="85">
        <v>37.69</v>
      </c>
      <c r="P919" s="85">
        <v>327.63</v>
      </c>
      <c r="Q919" s="85">
        <v>4843.09</v>
      </c>
      <c r="R919" s="82" t="s">
        <v>3399</v>
      </c>
      <c r="S919" s="7">
        <f t="shared" si="43"/>
        <v>0</v>
      </c>
      <c r="T919" s="6">
        <f t="shared" si="44"/>
        <v>0</v>
      </c>
      <c r="U919" s="25">
        <f t="shared" si="42"/>
        <v>0</v>
      </c>
    </row>
    <row r="920" spans="1:21" ht="10.9" customHeight="1" x14ac:dyDescent="0.2">
      <c r="A920" s="82" t="s">
        <v>2656</v>
      </c>
      <c r="B920" s="83">
        <v>45770</v>
      </c>
      <c r="C920" s="82" t="s">
        <v>3395</v>
      </c>
      <c r="D920" s="82" t="s">
        <v>1598</v>
      </c>
      <c r="E920" s="82"/>
      <c r="F920" s="82" t="s">
        <v>5485</v>
      </c>
      <c r="G920" s="89">
        <v>1</v>
      </c>
      <c r="H920" s="89">
        <v>897.52</v>
      </c>
      <c r="I920" s="85">
        <v>0</v>
      </c>
      <c r="J920" s="85">
        <v>0</v>
      </c>
      <c r="K920" s="85">
        <v>897.52</v>
      </c>
      <c r="L920" s="85">
        <v>1069.02</v>
      </c>
      <c r="M920" s="89">
        <v>1244.2950861490515</v>
      </c>
      <c r="N920" s="85">
        <v>0</v>
      </c>
      <c r="O920" s="85">
        <v>0</v>
      </c>
      <c r="P920" s="85">
        <v>1244.2950861490515</v>
      </c>
      <c r="Q920" s="85">
        <v>1482.057595368414</v>
      </c>
      <c r="R920" s="82" t="s">
        <v>3399</v>
      </c>
      <c r="S920" s="7">
        <f t="shared" si="43"/>
        <v>0</v>
      </c>
      <c r="T920" s="6">
        <f t="shared" si="44"/>
        <v>0</v>
      </c>
      <c r="U920" s="25">
        <f t="shared" si="42"/>
        <v>0</v>
      </c>
    </row>
    <row r="921" spans="1:21" ht="10.9" customHeight="1" x14ac:dyDescent="0.2">
      <c r="A921" s="82" t="s">
        <v>2656</v>
      </c>
      <c r="B921" s="83">
        <v>45770</v>
      </c>
      <c r="C921" s="82" t="s">
        <v>3395</v>
      </c>
      <c r="D921" s="82" t="s">
        <v>1598</v>
      </c>
      <c r="E921" s="82"/>
      <c r="F921" s="82" t="s">
        <v>4393</v>
      </c>
      <c r="G921" s="89">
        <v>1</v>
      </c>
      <c r="H921" s="89">
        <v>171.5</v>
      </c>
      <c r="I921" s="85">
        <v>0</v>
      </c>
      <c r="J921" s="85">
        <v>0</v>
      </c>
      <c r="K921" s="85">
        <v>171.5</v>
      </c>
      <c r="L921" s="85">
        <v>1069.02</v>
      </c>
      <c r="M921" s="89">
        <v>237.76250921936261</v>
      </c>
      <c r="N921" s="85">
        <v>0</v>
      </c>
      <c r="O921" s="85">
        <v>0</v>
      </c>
      <c r="P921" s="85">
        <v>237.76250921936261</v>
      </c>
      <c r="Q921" s="85">
        <v>1482.057595368414</v>
      </c>
      <c r="R921" s="82" t="s">
        <v>3399</v>
      </c>
      <c r="S921" s="7" t="str">
        <f t="shared" si="43"/>
        <v>INV12903</v>
      </c>
      <c r="T921" s="6">
        <f t="shared" si="44"/>
        <v>1</v>
      </c>
      <c r="U921" s="25">
        <f t="shared" si="42"/>
        <v>171.5</v>
      </c>
    </row>
    <row r="922" spans="1:21" ht="10.9" customHeight="1" x14ac:dyDescent="0.2">
      <c r="A922" s="82" t="s">
        <v>2525</v>
      </c>
      <c r="B922" s="83">
        <v>45770</v>
      </c>
      <c r="C922" s="82" t="s">
        <v>3395</v>
      </c>
      <c r="D922" s="82" t="s">
        <v>1826</v>
      </c>
      <c r="E922" s="82"/>
      <c r="F922" s="82" t="s">
        <v>5006</v>
      </c>
      <c r="G922" s="89">
        <v>1</v>
      </c>
      <c r="H922" s="89">
        <v>30.74</v>
      </c>
      <c r="I922" s="85">
        <v>0</v>
      </c>
      <c r="J922" s="85">
        <v>1.54</v>
      </c>
      <c r="K922" s="85">
        <v>32.28</v>
      </c>
      <c r="L922" s="85">
        <v>32.28</v>
      </c>
      <c r="M922" s="89">
        <v>30.74</v>
      </c>
      <c r="N922" s="85">
        <v>0</v>
      </c>
      <c r="O922" s="85">
        <v>1.54</v>
      </c>
      <c r="P922" s="85">
        <v>32.28</v>
      </c>
      <c r="Q922" s="85">
        <v>32.28</v>
      </c>
      <c r="R922" s="82" t="s">
        <v>3399</v>
      </c>
      <c r="S922" s="7">
        <f t="shared" si="43"/>
        <v>0</v>
      </c>
      <c r="T922" s="6">
        <f t="shared" si="44"/>
        <v>0</v>
      </c>
      <c r="U922" s="25">
        <f t="shared" si="42"/>
        <v>0</v>
      </c>
    </row>
    <row r="923" spans="1:21" ht="10.9" customHeight="1" x14ac:dyDescent="0.2">
      <c r="A923" s="82" t="s">
        <v>2680</v>
      </c>
      <c r="B923" s="83">
        <v>45770</v>
      </c>
      <c r="C923" s="82" t="s">
        <v>3395</v>
      </c>
      <c r="D923" s="82" t="s">
        <v>1559</v>
      </c>
      <c r="E923" s="82"/>
      <c r="F923" s="82" t="s">
        <v>4671</v>
      </c>
      <c r="G923" s="89">
        <v>4</v>
      </c>
      <c r="H923" s="89">
        <v>21.26</v>
      </c>
      <c r="I923" s="85">
        <v>0</v>
      </c>
      <c r="J923" s="85">
        <v>4.25</v>
      </c>
      <c r="K923" s="85">
        <v>89.29</v>
      </c>
      <c r="L923" s="85">
        <v>545.16</v>
      </c>
      <c r="M923" s="89">
        <v>21.26</v>
      </c>
      <c r="N923" s="85">
        <v>0</v>
      </c>
      <c r="O923" s="85">
        <v>4.25</v>
      </c>
      <c r="P923" s="85">
        <v>89.29</v>
      </c>
      <c r="Q923" s="85">
        <v>545.16</v>
      </c>
      <c r="R923" s="82" t="s">
        <v>3399</v>
      </c>
      <c r="S923" s="7">
        <f t="shared" si="43"/>
        <v>0</v>
      </c>
      <c r="T923" s="6">
        <f t="shared" si="44"/>
        <v>0</v>
      </c>
      <c r="U923" s="25">
        <f t="shared" si="42"/>
        <v>0</v>
      </c>
    </row>
    <row r="924" spans="1:21" ht="10.9" customHeight="1" x14ac:dyDescent="0.2">
      <c r="A924" s="82" t="s">
        <v>2680</v>
      </c>
      <c r="B924" s="83">
        <v>45770</v>
      </c>
      <c r="C924" s="82" t="s">
        <v>3395</v>
      </c>
      <c r="D924" s="82" t="s">
        <v>1559</v>
      </c>
      <c r="E924" s="82"/>
      <c r="F924" s="82" t="s">
        <v>4552</v>
      </c>
      <c r="G924" s="89">
        <v>1</v>
      </c>
      <c r="H924" s="89">
        <v>20.25</v>
      </c>
      <c r="I924" s="85">
        <v>0</v>
      </c>
      <c r="J924" s="85">
        <v>1.01</v>
      </c>
      <c r="K924" s="85">
        <v>21.26</v>
      </c>
      <c r="L924" s="85">
        <v>545.16</v>
      </c>
      <c r="M924" s="89">
        <v>20.25</v>
      </c>
      <c r="N924" s="85">
        <v>0</v>
      </c>
      <c r="O924" s="85">
        <v>1.01</v>
      </c>
      <c r="P924" s="85">
        <v>21.26</v>
      </c>
      <c r="Q924" s="85">
        <v>545.16</v>
      </c>
      <c r="R924" s="82" t="s">
        <v>3399</v>
      </c>
      <c r="S924" s="7">
        <f t="shared" si="43"/>
        <v>0</v>
      </c>
      <c r="T924" s="6">
        <f t="shared" si="44"/>
        <v>0</v>
      </c>
      <c r="U924" s="25">
        <f t="shared" si="42"/>
        <v>0</v>
      </c>
    </row>
    <row r="925" spans="1:21" ht="10.9" customHeight="1" x14ac:dyDescent="0.2">
      <c r="A925" s="82" t="s">
        <v>2680</v>
      </c>
      <c r="B925" s="83">
        <v>45770</v>
      </c>
      <c r="C925" s="82" t="s">
        <v>3395</v>
      </c>
      <c r="D925" s="82" t="s">
        <v>1559</v>
      </c>
      <c r="E925" s="82"/>
      <c r="F925" s="82" t="s">
        <v>4686</v>
      </c>
      <c r="G925" s="89">
        <v>2</v>
      </c>
      <c r="H925" s="89">
        <v>152.13</v>
      </c>
      <c r="I925" s="85">
        <v>0</v>
      </c>
      <c r="J925" s="85">
        <v>15.21</v>
      </c>
      <c r="K925" s="85">
        <v>319.47000000000003</v>
      </c>
      <c r="L925" s="85">
        <v>545.16</v>
      </c>
      <c r="M925" s="89">
        <v>152.13</v>
      </c>
      <c r="N925" s="85">
        <v>0</v>
      </c>
      <c r="O925" s="85">
        <v>15.21</v>
      </c>
      <c r="P925" s="85">
        <v>319.47000000000003</v>
      </c>
      <c r="Q925" s="85">
        <v>545.16</v>
      </c>
      <c r="R925" s="82" t="s">
        <v>3399</v>
      </c>
      <c r="S925" s="7">
        <f t="shared" si="43"/>
        <v>0</v>
      </c>
      <c r="T925" s="6">
        <f t="shared" si="44"/>
        <v>0</v>
      </c>
      <c r="U925" s="25">
        <f t="shared" si="42"/>
        <v>0</v>
      </c>
    </row>
    <row r="926" spans="1:21" ht="10.9" customHeight="1" x14ac:dyDescent="0.2">
      <c r="A926" s="82" t="s">
        <v>2680</v>
      </c>
      <c r="B926" s="83">
        <v>45770</v>
      </c>
      <c r="C926" s="82" t="s">
        <v>3395</v>
      </c>
      <c r="D926" s="82" t="s">
        <v>1559</v>
      </c>
      <c r="E926" s="82"/>
      <c r="F926" s="82" t="s">
        <v>4671</v>
      </c>
      <c r="G926" s="89">
        <v>1</v>
      </c>
      <c r="H926" s="89">
        <v>109.66</v>
      </c>
      <c r="I926" s="85">
        <v>0</v>
      </c>
      <c r="J926" s="85">
        <v>5.48</v>
      </c>
      <c r="K926" s="85">
        <v>115.14</v>
      </c>
      <c r="L926" s="85">
        <v>545.16</v>
      </c>
      <c r="M926" s="89">
        <v>109.66</v>
      </c>
      <c r="N926" s="85">
        <v>0</v>
      </c>
      <c r="O926" s="85">
        <v>5.48</v>
      </c>
      <c r="P926" s="85">
        <v>115.14</v>
      </c>
      <c r="Q926" s="85">
        <v>545.16</v>
      </c>
      <c r="R926" s="82" t="s">
        <v>3399</v>
      </c>
      <c r="S926" s="7">
        <f t="shared" si="43"/>
        <v>0</v>
      </c>
      <c r="T926" s="6">
        <f t="shared" si="44"/>
        <v>0</v>
      </c>
      <c r="U926" s="25">
        <f t="shared" si="42"/>
        <v>0</v>
      </c>
    </row>
    <row r="927" spans="1:21" ht="10.9" customHeight="1" x14ac:dyDescent="0.2">
      <c r="A927" s="82" t="s">
        <v>2614</v>
      </c>
      <c r="B927" s="83">
        <v>45770</v>
      </c>
      <c r="C927" s="82" t="s">
        <v>3395</v>
      </c>
      <c r="D927" s="82" t="s">
        <v>3571</v>
      </c>
      <c r="E927" s="82"/>
      <c r="F927" s="82" t="s">
        <v>4639</v>
      </c>
      <c r="G927" s="89">
        <v>4</v>
      </c>
      <c r="H927" s="89">
        <v>335.91</v>
      </c>
      <c r="I927" s="85">
        <v>0</v>
      </c>
      <c r="J927" s="85">
        <v>67.180000000000007</v>
      </c>
      <c r="K927" s="85">
        <v>1410.82</v>
      </c>
      <c r="L927" s="85">
        <v>1722.58</v>
      </c>
      <c r="M927" s="89">
        <v>335.91</v>
      </c>
      <c r="N927" s="85">
        <v>0</v>
      </c>
      <c r="O927" s="85">
        <v>67.180000000000007</v>
      </c>
      <c r="P927" s="85">
        <v>1410.82</v>
      </c>
      <c r="Q927" s="85">
        <v>1722.58</v>
      </c>
      <c r="R927" s="82" t="s">
        <v>3399</v>
      </c>
      <c r="S927" s="7">
        <f t="shared" si="43"/>
        <v>0</v>
      </c>
      <c r="T927" s="6">
        <f t="shared" si="44"/>
        <v>0</v>
      </c>
      <c r="U927" s="25">
        <f t="shared" si="42"/>
        <v>0</v>
      </c>
    </row>
    <row r="928" spans="1:21" ht="10.9" customHeight="1" x14ac:dyDescent="0.2">
      <c r="A928" s="82" t="s">
        <v>2614</v>
      </c>
      <c r="B928" s="83">
        <v>45770</v>
      </c>
      <c r="C928" s="82" t="s">
        <v>3395</v>
      </c>
      <c r="D928" s="82" t="s">
        <v>3571</v>
      </c>
      <c r="E928" s="82"/>
      <c r="F928" s="82" t="s">
        <v>4827</v>
      </c>
      <c r="G928" s="89">
        <v>3</v>
      </c>
      <c r="H928" s="89">
        <v>98.97</v>
      </c>
      <c r="I928" s="85">
        <v>0</v>
      </c>
      <c r="J928" s="85">
        <v>14.85</v>
      </c>
      <c r="K928" s="85">
        <v>311.76</v>
      </c>
      <c r="L928" s="85">
        <v>1722.58</v>
      </c>
      <c r="M928" s="89">
        <v>98.97</v>
      </c>
      <c r="N928" s="85">
        <v>0</v>
      </c>
      <c r="O928" s="85">
        <v>14.85</v>
      </c>
      <c r="P928" s="85">
        <v>311.76</v>
      </c>
      <c r="Q928" s="85">
        <v>1722.58</v>
      </c>
      <c r="R928" s="82" t="s">
        <v>3399</v>
      </c>
      <c r="S928" s="7">
        <f t="shared" si="43"/>
        <v>0</v>
      </c>
      <c r="T928" s="6">
        <f t="shared" si="44"/>
        <v>0</v>
      </c>
      <c r="U928" s="25">
        <f t="shared" si="42"/>
        <v>0</v>
      </c>
    </row>
    <row r="929" spans="1:21" ht="10.9" customHeight="1" x14ac:dyDescent="0.2">
      <c r="A929" s="82" t="s">
        <v>5482</v>
      </c>
      <c r="B929" s="83">
        <v>45771</v>
      </c>
      <c r="C929" s="82" t="s">
        <v>3395</v>
      </c>
      <c r="D929" s="82" t="s">
        <v>1532</v>
      </c>
      <c r="E929" s="82"/>
      <c r="F929" s="82" t="s">
        <v>5468</v>
      </c>
      <c r="G929" s="89">
        <v>1</v>
      </c>
      <c r="H929" s="89">
        <v>419.88</v>
      </c>
      <c r="I929" s="85">
        <v>0</v>
      </c>
      <c r="J929" s="85">
        <v>54.58</v>
      </c>
      <c r="K929" s="85">
        <v>474.46</v>
      </c>
      <c r="L929" s="85">
        <v>474.46</v>
      </c>
      <c r="M929" s="89">
        <v>419.88</v>
      </c>
      <c r="N929" s="85">
        <v>0</v>
      </c>
      <c r="O929" s="85">
        <v>54.58</v>
      </c>
      <c r="P929" s="85">
        <v>474.46</v>
      </c>
      <c r="Q929" s="85">
        <v>474.46</v>
      </c>
      <c r="R929" s="82" t="s">
        <v>4511</v>
      </c>
      <c r="S929" s="7">
        <f t="shared" si="43"/>
        <v>0</v>
      </c>
      <c r="T929" s="6">
        <f t="shared" si="44"/>
        <v>0</v>
      </c>
      <c r="U929" s="25">
        <f t="shared" si="42"/>
        <v>0</v>
      </c>
    </row>
    <row r="930" spans="1:21" ht="10.9" customHeight="1" x14ac:dyDescent="0.2">
      <c r="A930" s="82" t="s">
        <v>3568</v>
      </c>
      <c r="B930" s="83">
        <v>45771</v>
      </c>
      <c r="C930" s="82" t="s">
        <v>3395</v>
      </c>
      <c r="D930" s="82" t="s">
        <v>3567</v>
      </c>
      <c r="E930" s="82"/>
      <c r="F930" s="82" t="s">
        <v>5483</v>
      </c>
      <c r="G930" s="89">
        <v>1</v>
      </c>
      <c r="H930" s="89">
        <v>13856</v>
      </c>
      <c r="I930" s="85">
        <v>0</v>
      </c>
      <c r="J930" s="85">
        <v>0</v>
      </c>
      <c r="K930" s="85">
        <v>13856</v>
      </c>
      <c r="L930" s="85">
        <v>14406</v>
      </c>
      <c r="M930" s="89">
        <v>19214.661718780335</v>
      </c>
      <c r="N930" s="85">
        <v>0</v>
      </c>
      <c r="O930" s="85">
        <v>0</v>
      </c>
      <c r="P930" s="85">
        <v>19214.661718780335</v>
      </c>
      <c r="Q930" s="85">
        <v>19977.368412294276</v>
      </c>
      <c r="R930" s="82" t="s">
        <v>3399</v>
      </c>
      <c r="S930" s="7">
        <f t="shared" si="43"/>
        <v>0</v>
      </c>
      <c r="T930" s="6">
        <f t="shared" si="44"/>
        <v>0</v>
      </c>
      <c r="U930" s="25">
        <f t="shared" si="42"/>
        <v>0</v>
      </c>
    </row>
    <row r="931" spans="1:21" ht="10.9" customHeight="1" x14ac:dyDescent="0.2">
      <c r="A931" s="82" t="s">
        <v>3568</v>
      </c>
      <c r="B931" s="83">
        <v>45771</v>
      </c>
      <c r="C931" s="82" t="s">
        <v>3395</v>
      </c>
      <c r="D931" s="82" t="s">
        <v>3567</v>
      </c>
      <c r="E931" s="82"/>
      <c r="F931" s="82" t="s">
        <v>4393</v>
      </c>
      <c r="G931" s="89">
        <v>1</v>
      </c>
      <c r="H931" s="89">
        <v>550</v>
      </c>
      <c r="I931" s="85">
        <v>0</v>
      </c>
      <c r="J931" s="85">
        <v>0</v>
      </c>
      <c r="K931" s="85">
        <v>550</v>
      </c>
      <c r="L931" s="85">
        <v>14406</v>
      </c>
      <c r="M931" s="89">
        <v>762.70669351394224</v>
      </c>
      <c r="N931" s="85">
        <v>0</v>
      </c>
      <c r="O931" s="85">
        <v>0</v>
      </c>
      <c r="P931" s="85">
        <v>762.70669351394224</v>
      </c>
      <c r="Q931" s="85">
        <v>19977.368412294276</v>
      </c>
      <c r="R931" s="82" t="s">
        <v>3399</v>
      </c>
      <c r="S931" s="7" t="str">
        <f t="shared" si="43"/>
        <v>INV12907</v>
      </c>
      <c r="T931" s="6">
        <f t="shared" si="44"/>
        <v>1</v>
      </c>
      <c r="U931" s="25">
        <f t="shared" si="42"/>
        <v>550</v>
      </c>
    </row>
    <row r="932" spans="1:21" ht="10.9" customHeight="1" x14ac:dyDescent="0.2">
      <c r="A932" s="82" t="s">
        <v>2620</v>
      </c>
      <c r="B932" s="83">
        <v>45771</v>
      </c>
      <c r="C932" s="82" t="s">
        <v>3395</v>
      </c>
      <c r="D932" s="82" t="s">
        <v>1663</v>
      </c>
      <c r="E932" s="82"/>
      <c r="F932" s="82" t="s">
        <v>5481</v>
      </c>
      <c r="G932" s="89">
        <v>1</v>
      </c>
      <c r="H932" s="89">
        <v>2737.5</v>
      </c>
      <c r="I932" s="85">
        <v>0</v>
      </c>
      <c r="J932" s="85">
        <v>0</v>
      </c>
      <c r="K932" s="85">
        <v>2737.5</v>
      </c>
      <c r="L932" s="85">
        <v>30541.5</v>
      </c>
      <c r="M932" s="89">
        <v>3796.1992245353035</v>
      </c>
      <c r="N932" s="85">
        <v>0</v>
      </c>
      <c r="O932" s="85">
        <v>0</v>
      </c>
      <c r="P932" s="85">
        <v>3796.1992245353035</v>
      </c>
      <c r="Q932" s="85">
        <v>42353.102690829211</v>
      </c>
      <c r="R932" s="82" t="s">
        <v>3399</v>
      </c>
      <c r="S932" s="7">
        <f t="shared" si="43"/>
        <v>0</v>
      </c>
      <c r="T932" s="6">
        <f t="shared" si="44"/>
        <v>0</v>
      </c>
      <c r="U932" s="25">
        <f t="shared" si="42"/>
        <v>0</v>
      </c>
    </row>
    <row r="933" spans="1:21" ht="10.9" customHeight="1" x14ac:dyDescent="0.2">
      <c r="A933" s="82" t="s">
        <v>2620</v>
      </c>
      <c r="B933" s="83">
        <v>45771</v>
      </c>
      <c r="C933" s="82" t="s">
        <v>3395</v>
      </c>
      <c r="D933" s="82" t="s">
        <v>1663</v>
      </c>
      <c r="E933" s="82"/>
      <c r="F933" s="82" t="s">
        <v>5480</v>
      </c>
      <c r="G933" s="89">
        <v>1</v>
      </c>
      <c r="H933" s="89">
        <v>3532.5</v>
      </c>
      <c r="I933" s="85">
        <v>0</v>
      </c>
      <c r="J933" s="85">
        <v>0</v>
      </c>
      <c r="K933" s="85">
        <v>3532.5</v>
      </c>
      <c r="L933" s="85">
        <v>30541.5</v>
      </c>
      <c r="M933" s="89">
        <v>4898.6570815236382</v>
      </c>
      <c r="N933" s="85">
        <v>0</v>
      </c>
      <c r="O933" s="85">
        <v>0</v>
      </c>
      <c r="P933" s="85">
        <v>4898.6570815236382</v>
      </c>
      <c r="Q933" s="85">
        <v>42353.102690829211</v>
      </c>
      <c r="R933" s="82" t="s">
        <v>3399</v>
      </c>
      <c r="S933" s="7">
        <f t="shared" si="43"/>
        <v>0</v>
      </c>
      <c r="T933" s="6">
        <f t="shared" si="44"/>
        <v>0</v>
      </c>
      <c r="U933" s="25">
        <f t="shared" si="42"/>
        <v>0</v>
      </c>
    </row>
    <row r="934" spans="1:21" ht="10.9" customHeight="1" x14ac:dyDescent="0.2">
      <c r="A934" s="82" t="s">
        <v>2620</v>
      </c>
      <c r="B934" s="83">
        <v>45771</v>
      </c>
      <c r="C934" s="82" t="s">
        <v>3395</v>
      </c>
      <c r="D934" s="82" t="s">
        <v>1663</v>
      </c>
      <c r="E934" s="82"/>
      <c r="F934" s="82" t="s">
        <v>5475</v>
      </c>
      <c r="G934" s="89">
        <v>1</v>
      </c>
      <c r="H934" s="89">
        <v>655</v>
      </c>
      <c r="I934" s="85">
        <v>0</v>
      </c>
      <c r="J934" s="85">
        <v>0</v>
      </c>
      <c r="K934" s="85">
        <v>655</v>
      </c>
      <c r="L934" s="85">
        <v>30541.5</v>
      </c>
      <c r="M934" s="89">
        <v>908.3143350029676</v>
      </c>
      <c r="N934" s="85">
        <v>0</v>
      </c>
      <c r="O934" s="85">
        <v>0</v>
      </c>
      <c r="P934" s="85">
        <v>908.3143350029676</v>
      </c>
      <c r="Q934" s="85">
        <v>42353.102690829211</v>
      </c>
      <c r="R934" s="82" t="s">
        <v>3399</v>
      </c>
      <c r="S934" s="7">
        <f t="shared" si="43"/>
        <v>0</v>
      </c>
      <c r="T934" s="6">
        <f t="shared" si="44"/>
        <v>0</v>
      </c>
      <c r="U934" s="25">
        <f t="shared" si="42"/>
        <v>0</v>
      </c>
    </row>
    <row r="935" spans="1:21" ht="10.9" customHeight="1" x14ac:dyDescent="0.2">
      <c r="A935" s="82" t="s">
        <v>2620</v>
      </c>
      <c r="B935" s="83">
        <v>45771</v>
      </c>
      <c r="C935" s="82" t="s">
        <v>3395</v>
      </c>
      <c r="D935" s="82" t="s">
        <v>1663</v>
      </c>
      <c r="E935" s="82"/>
      <c r="F935" s="82" t="s">
        <v>5479</v>
      </c>
      <c r="G935" s="89">
        <v>2</v>
      </c>
      <c r="H935" s="89">
        <v>1244.25</v>
      </c>
      <c r="I935" s="85">
        <v>0</v>
      </c>
      <c r="J935" s="85">
        <v>0</v>
      </c>
      <c r="K935" s="85">
        <v>2488.5</v>
      </c>
      <c r="L935" s="85">
        <v>30541.5</v>
      </c>
      <c r="M935" s="89">
        <v>1725.4505516449503</v>
      </c>
      <c r="N935" s="85">
        <v>0</v>
      </c>
      <c r="O935" s="85">
        <v>0</v>
      </c>
      <c r="P935" s="85">
        <v>3450.9011032899007</v>
      </c>
      <c r="Q935" s="85">
        <v>42353.102690829211</v>
      </c>
      <c r="R935" s="82" t="s">
        <v>3399</v>
      </c>
      <c r="S935" s="7">
        <f t="shared" si="43"/>
        <v>0</v>
      </c>
      <c r="T935" s="6">
        <f t="shared" si="44"/>
        <v>0</v>
      </c>
      <c r="U935" s="25">
        <f t="shared" si="42"/>
        <v>0</v>
      </c>
    </row>
    <row r="936" spans="1:21" ht="10.9" customHeight="1" x14ac:dyDescent="0.2">
      <c r="A936" s="82" t="s">
        <v>2620</v>
      </c>
      <c r="B936" s="83">
        <v>45771</v>
      </c>
      <c r="C936" s="82" t="s">
        <v>3395</v>
      </c>
      <c r="D936" s="82" t="s">
        <v>1663</v>
      </c>
      <c r="E936" s="82"/>
      <c r="F936" s="82" t="s">
        <v>5478</v>
      </c>
      <c r="G936" s="89">
        <v>2</v>
      </c>
      <c r="H936" s="89">
        <v>55</v>
      </c>
      <c r="I936" s="85">
        <v>0</v>
      </c>
      <c r="J936" s="85">
        <v>0</v>
      </c>
      <c r="K936" s="85">
        <v>110</v>
      </c>
      <c r="L936" s="85">
        <v>30541.5</v>
      </c>
      <c r="M936" s="89">
        <v>76.270669351394233</v>
      </c>
      <c r="N936" s="85">
        <v>0</v>
      </c>
      <c r="O936" s="85">
        <v>0</v>
      </c>
      <c r="P936" s="85">
        <v>152.54133870278847</v>
      </c>
      <c r="Q936" s="85">
        <v>42353.102690829211</v>
      </c>
      <c r="R936" s="82" t="s">
        <v>3399</v>
      </c>
      <c r="S936" s="7">
        <f t="shared" si="43"/>
        <v>0</v>
      </c>
      <c r="T936" s="6">
        <f t="shared" si="44"/>
        <v>0</v>
      </c>
      <c r="U936" s="25">
        <f t="shared" si="42"/>
        <v>0</v>
      </c>
    </row>
    <row r="937" spans="1:21" ht="10.9" customHeight="1" x14ac:dyDescent="0.2">
      <c r="A937" s="82" t="s">
        <v>2620</v>
      </c>
      <c r="B937" s="83">
        <v>45771</v>
      </c>
      <c r="C937" s="82" t="s">
        <v>3395</v>
      </c>
      <c r="D937" s="82" t="s">
        <v>1663</v>
      </c>
      <c r="E937" s="82"/>
      <c r="F937" s="82" t="s">
        <v>5477</v>
      </c>
      <c r="G937" s="89">
        <v>1</v>
      </c>
      <c r="H937" s="89">
        <v>2906</v>
      </c>
      <c r="I937" s="85">
        <v>0</v>
      </c>
      <c r="J937" s="85">
        <v>0</v>
      </c>
      <c r="K937" s="85">
        <v>2906</v>
      </c>
      <c r="L937" s="85">
        <v>30541.5</v>
      </c>
      <c r="M937" s="89">
        <v>4029.8648206391204</v>
      </c>
      <c r="N937" s="85">
        <v>0</v>
      </c>
      <c r="O937" s="85">
        <v>0</v>
      </c>
      <c r="P937" s="85">
        <v>4029.8648206391204</v>
      </c>
      <c r="Q937" s="85">
        <v>42353.102690829211</v>
      </c>
      <c r="R937" s="82" t="s">
        <v>3399</v>
      </c>
      <c r="S937" s="7">
        <f t="shared" si="43"/>
        <v>0</v>
      </c>
      <c r="T937" s="6">
        <f t="shared" si="44"/>
        <v>0</v>
      </c>
      <c r="U937" s="25">
        <f t="shared" si="42"/>
        <v>0</v>
      </c>
    </row>
    <row r="938" spans="1:21" ht="10.9" customHeight="1" x14ac:dyDescent="0.2">
      <c r="A938" s="82" t="s">
        <v>2620</v>
      </c>
      <c r="B938" s="83">
        <v>45771</v>
      </c>
      <c r="C938" s="82" t="s">
        <v>3395</v>
      </c>
      <c r="D938" s="82" t="s">
        <v>1663</v>
      </c>
      <c r="E938" s="82"/>
      <c r="F938" s="82" t="s">
        <v>5476</v>
      </c>
      <c r="G938" s="89">
        <v>1</v>
      </c>
      <c r="H938" s="89">
        <v>97</v>
      </c>
      <c r="I938" s="85">
        <v>0</v>
      </c>
      <c r="J938" s="85">
        <v>0</v>
      </c>
      <c r="K938" s="85">
        <v>97</v>
      </c>
      <c r="L938" s="85">
        <v>30541.5</v>
      </c>
      <c r="M938" s="89">
        <v>134.51372594700436</v>
      </c>
      <c r="N938" s="85">
        <v>0</v>
      </c>
      <c r="O938" s="85">
        <v>0</v>
      </c>
      <c r="P938" s="85">
        <v>134.51372594700436</v>
      </c>
      <c r="Q938" s="85">
        <v>42353.102690829211</v>
      </c>
      <c r="R938" s="82" t="s">
        <v>3399</v>
      </c>
      <c r="S938" s="7">
        <f t="shared" si="43"/>
        <v>0</v>
      </c>
      <c r="T938" s="6">
        <f t="shared" si="44"/>
        <v>0</v>
      </c>
      <c r="U938" s="25">
        <f t="shared" si="42"/>
        <v>0</v>
      </c>
    </row>
    <row r="939" spans="1:21" ht="10.9" customHeight="1" x14ac:dyDescent="0.2">
      <c r="A939" s="82" t="s">
        <v>2620</v>
      </c>
      <c r="B939" s="83">
        <v>45771</v>
      </c>
      <c r="C939" s="82" t="s">
        <v>3395</v>
      </c>
      <c r="D939" s="82" t="s">
        <v>1663</v>
      </c>
      <c r="E939" s="82"/>
      <c r="F939" s="82" t="s">
        <v>5475</v>
      </c>
      <c r="G939" s="89">
        <v>1</v>
      </c>
      <c r="H939" s="89">
        <v>655</v>
      </c>
      <c r="I939" s="85">
        <v>0</v>
      </c>
      <c r="J939" s="85">
        <v>0</v>
      </c>
      <c r="K939" s="85">
        <v>655</v>
      </c>
      <c r="L939" s="85">
        <v>30541.5</v>
      </c>
      <c r="M939" s="89">
        <v>908.3143350029676</v>
      </c>
      <c r="N939" s="85">
        <v>0</v>
      </c>
      <c r="O939" s="85">
        <v>0</v>
      </c>
      <c r="P939" s="85">
        <v>908.3143350029676</v>
      </c>
      <c r="Q939" s="85">
        <v>42353.102690829211</v>
      </c>
      <c r="R939" s="82" t="s">
        <v>3399</v>
      </c>
      <c r="S939" s="7">
        <f t="shared" si="43"/>
        <v>0</v>
      </c>
      <c r="T939" s="6">
        <f t="shared" si="44"/>
        <v>0</v>
      </c>
      <c r="U939" s="25">
        <f t="shared" si="42"/>
        <v>0</v>
      </c>
    </row>
    <row r="940" spans="1:21" ht="10.9" customHeight="1" x14ac:dyDescent="0.2">
      <c r="A940" s="82" t="s">
        <v>2620</v>
      </c>
      <c r="B940" s="83">
        <v>45771</v>
      </c>
      <c r="C940" s="82" t="s">
        <v>3395</v>
      </c>
      <c r="D940" s="82" t="s">
        <v>1663</v>
      </c>
      <c r="E940" s="82"/>
      <c r="F940" s="82" t="s">
        <v>5474</v>
      </c>
      <c r="G940" s="89">
        <v>1</v>
      </c>
      <c r="H940" s="89">
        <v>248</v>
      </c>
      <c r="I940" s="85">
        <v>0</v>
      </c>
      <c r="J940" s="85">
        <v>0</v>
      </c>
      <c r="K940" s="85">
        <v>248</v>
      </c>
      <c r="L940" s="85">
        <v>30541.5</v>
      </c>
      <c r="M940" s="89">
        <v>343.91138180265034</v>
      </c>
      <c r="N940" s="85">
        <v>0</v>
      </c>
      <c r="O940" s="85">
        <v>0</v>
      </c>
      <c r="P940" s="85">
        <v>343.91138180265034</v>
      </c>
      <c r="Q940" s="85">
        <v>42353.102690829211</v>
      </c>
      <c r="R940" s="82" t="s">
        <v>3399</v>
      </c>
      <c r="S940" s="7">
        <f t="shared" si="43"/>
        <v>0</v>
      </c>
      <c r="T940" s="6">
        <f t="shared" si="44"/>
        <v>0</v>
      </c>
      <c r="U940" s="25">
        <f t="shared" si="42"/>
        <v>0</v>
      </c>
    </row>
    <row r="941" spans="1:21" ht="10.9" customHeight="1" x14ac:dyDescent="0.2">
      <c r="A941" s="82" t="s">
        <v>2620</v>
      </c>
      <c r="B941" s="83">
        <v>45771</v>
      </c>
      <c r="C941" s="82" t="s">
        <v>3395</v>
      </c>
      <c r="D941" s="82" t="s">
        <v>1663</v>
      </c>
      <c r="E941" s="82"/>
      <c r="F941" s="82" t="s">
        <v>5473</v>
      </c>
      <c r="G941" s="89">
        <v>1</v>
      </c>
      <c r="H941" s="89">
        <v>56</v>
      </c>
      <c r="I941" s="85">
        <v>0</v>
      </c>
      <c r="J941" s="85">
        <v>0</v>
      </c>
      <c r="K941" s="85">
        <v>56</v>
      </c>
      <c r="L941" s="85">
        <v>30541.5</v>
      </c>
      <c r="M941" s="89">
        <v>77.657408794146846</v>
      </c>
      <c r="N941" s="85">
        <v>0</v>
      </c>
      <c r="O941" s="85">
        <v>0</v>
      </c>
      <c r="P941" s="85">
        <v>77.657408794146846</v>
      </c>
      <c r="Q941" s="85">
        <v>42353.102690829211</v>
      </c>
      <c r="R941" s="82" t="s">
        <v>3399</v>
      </c>
      <c r="S941" s="7">
        <f t="shared" si="43"/>
        <v>0</v>
      </c>
      <c r="T941" s="6">
        <f t="shared" si="44"/>
        <v>0</v>
      </c>
      <c r="U941" s="25">
        <f t="shared" si="42"/>
        <v>0</v>
      </c>
    </row>
    <row r="942" spans="1:21" ht="10.9" customHeight="1" x14ac:dyDescent="0.2">
      <c r="A942" s="82" t="s">
        <v>2620</v>
      </c>
      <c r="B942" s="83">
        <v>45771</v>
      </c>
      <c r="C942" s="82" t="s">
        <v>3395</v>
      </c>
      <c r="D942" s="82" t="s">
        <v>1663</v>
      </c>
      <c r="E942" s="82"/>
      <c r="F942" s="82" t="s">
        <v>5472</v>
      </c>
      <c r="G942" s="89">
        <v>1</v>
      </c>
      <c r="H942" s="89">
        <v>198</v>
      </c>
      <c r="I942" s="85">
        <v>0</v>
      </c>
      <c r="J942" s="85">
        <v>0</v>
      </c>
      <c r="K942" s="85">
        <v>198</v>
      </c>
      <c r="L942" s="85">
        <v>30541.5</v>
      </c>
      <c r="M942" s="89">
        <v>274.57440966501923</v>
      </c>
      <c r="N942" s="85">
        <v>0</v>
      </c>
      <c r="O942" s="85">
        <v>0</v>
      </c>
      <c r="P942" s="85">
        <v>274.57440966501923</v>
      </c>
      <c r="Q942" s="85">
        <v>42353.102690829211</v>
      </c>
      <c r="R942" s="82" t="s">
        <v>3399</v>
      </c>
      <c r="S942" s="7">
        <f t="shared" si="43"/>
        <v>0</v>
      </c>
      <c r="T942" s="6">
        <f t="shared" si="44"/>
        <v>0</v>
      </c>
      <c r="U942" s="25">
        <f t="shared" si="42"/>
        <v>0</v>
      </c>
    </row>
    <row r="943" spans="1:21" ht="10.9" customHeight="1" x14ac:dyDescent="0.2">
      <c r="A943" s="82" t="s">
        <v>2620</v>
      </c>
      <c r="B943" s="83">
        <v>45771</v>
      </c>
      <c r="C943" s="82" t="s">
        <v>3395</v>
      </c>
      <c r="D943" s="82" t="s">
        <v>1663</v>
      </c>
      <c r="E943" s="82"/>
      <c r="F943" s="82" t="s">
        <v>5471</v>
      </c>
      <c r="G943" s="89">
        <v>1</v>
      </c>
      <c r="H943" s="89">
        <v>16858</v>
      </c>
      <c r="I943" s="85">
        <v>0</v>
      </c>
      <c r="J943" s="85">
        <v>0</v>
      </c>
      <c r="K943" s="85">
        <v>16858</v>
      </c>
      <c r="L943" s="85">
        <v>30541.5</v>
      </c>
      <c r="M943" s="89">
        <v>23377.653525923706</v>
      </c>
      <c r="N943" s="85">
        <v>0</v>
      </c>
      <c r="O943" s="85">
        <v>0</v>
      </c>
      <c r="P943" s="85">
        <v>23377.653525923706</v>
      </c>
      <c r="Q943" s="85">
        <v>42353.102690829211</v>
      </c>
      <c r="R943" s="82" t="s">
        <v>3399</v>
      </c>
      <c r="S943" s="7">
        <f t="shared" si="43"/>
        <v>0</v>
      </c>
      <c r="T943" s="6">
        <f t="shared" si="44"/>
        <v>0</v>
      </c>
      <c r="U943" s="25">
        <f t="shared" si="42"/>
        <v>0</v>
      </c>
    </row>
    <row r="944" spans="1:21" ht="10.9" customHeight="1" x14ac:dyDescent="0.2">
      <c r="A944" s="82" t="s">
        <v>2685</v>
      </c>
      <c r="B944" s="83">
        <v>45771</v>
      </c>
      <c r="C944" s="82" t="s">
        <v>3395</v>
      </c>
      <c r="D944" s="82" t="s">
        <v>1551</v>
      </c>
      <c r="E944" s="82"/>
      <c r="F944" s="82" t="s">
        <v>4631</v>
      </c>
      <c r="G944" s="89">
        <v>8</v>
      </c>
      <c r="H944" s="89">
        <v>931.43</v>
      </c>
      <c r="I944" s="85">
        <v>0</v>
      </c>
      <c r="J944" s="85">
        <v>0</v>
      </c>
      <c r="K944" s="85">
        <v>7451.44</v>
      </c>
      <c r="L944" s="85">
        <v>7451.44</v>
      </c>
      <c r="M944" s="89">
        <v>1291.6507191630751</v>
      </c>
      <c r="N944" s="85">
        <v>0</v>
      </c>
      <c r="O944" s="85">
        <v>0</v>
      </c>
      <c r="P944" s="85">
        <v>10333.205753304601</v>
      </c>
      <c r="Q944" s="85">
        <v>10333.205753304601</v>
      </c>
      <c r="R944" s="82" t="s">
        <v>3399</v>
      </c>
      <c r="S944" s="7">
        <f t="shared" si="43"/>
        <v>0</v>
      </c>
      <c r="T944" s="6">
        <f t="shared" si="44"/>
        <v>0</v>
      </c>
      <c r="U944" s="25">
        <f t="shared" si="42"/>
        <v>0</v>
      </c>
    </row>
    <row r="945" spans="1:21" ht="10.9" customHeight="1" x14ac:dyDescent="0.2">
      <c r="A945" s="82" t="s">
        <v>2686</v>
      </c>
      <c r="B945" s="83">
        <v>45771</v>
      </c>
      <c r="C945" s="82" t="s">
        <v>3395</v>
      </c>
      <c r="D945" s="82" t="s">
        <v>1549</v>
      </c>
      <c r="E945" s="82"/>
      <c r="F945" s="82" t="s">
        <v>4762</v>
      </c>
      <c r="G945" s="89">
        <v>1</v>
      </c>
      <c r="H945" s="89">
        <v>6056.5</v>
      </c>
      <c r="I945" s="85">
        <v>0</v>
      </c>
      <c r="J945" s="85">
        <v>0</v>
      </c>
      <c r="K945" s="85">
        <v>6056.5</v>
      </c>
      <c r="L945" s="85">
        <v>6056.5</v>
      </c>
      <c r="M945" s="89">
        <v>8398.7874350312577</v>
      </c>
      <c r="N945" s="85">
        <v>0</v>
      </c>
      <c r="O945" s="85">
        <v>0</v>
      </c>
      <c r="P945" s="85">
        <v>8398.7874350312577</v>
      </c>
      <c r="Q945" s="85">
        <v>8398.7874350312577</v>
      </c>
      <c r="R945" s="82" t="s">
        <v>3399</v>
      </c>
      <c r="S945" s="7">
        <f t="shared" si="43"/>
        <v>0</v>
      </c>
      <c r="T945" s="6">
        <f t="shared" si="44"/>
        <v>0</v>
      </c>
      <c r="U945" s="25">
        <f t="shared" si="42"/>
        <v>0</v>
      </c>
    </row>
    <row r="946" spans="1:21" ht="10.9" customHeight="1" x14ac:dyDescent="0.2">
      <c r="A946" s="82" t="s">
        <v>2683</v>
      </c>
      <c r="B946" s="83">
        <v>45771</v>
      </c>
      <c r="C946" s="82" t="s">
        <v>3395</v>
      </c>
      <c r="D946" s="82" t="s">
        <v>1555</v>
      </c>
      <c r="E946" s="82"/>
      <c r="F946" s="82" t="s">
        <v>4593</v>
      </c>
      <c r="G946" s="89">
        <v>2</v>
      </c>
      <c r="H946" s="89">
        <v>939.78</v>
      </c>
      <c r="I946" s="85">
        <v>0</v>
      </c>
      <c r="J946" s="85">
        <v>93.98</v>
      </c>
      <c r="K946" s="85">
        <v>1973.54</v>
      </c>
      <c r="L946" s="85">
        <v>1973.54</v>
      </c>
      <c r="M946" s="89">
        <v>939.78</v>
      </c>
      <c r="N946" s="85">
        <v>0</v>
      </c>
      <c r="O946" s="85">
        <v>93.98</v>
      </c>
      <c r="P946" s="85">
        <v>1973.54</v>
      </c>
      <c r="Q946" s="85">
        <v>1973.54</v>
      </c>
      <c r="R946" s="82" t="s">
        <v>3399</v>
      </c>
      <c r="S946" s="7">
        <f t="shared" si="43"/>
        <v>0</v>
      </c>
      <c r="T946" s="6">
        <f t="shared" si="44"/>
        <v>0</v>
      </c>
      <c r="U946" s="25">
        <f t="shared" si="42"/>
        <v>0</v>
      </c>
    </row>
    <row r="947" spans="1:21" ht="10.9" customHeight="1" x14ac:dyDescent="0.2">
      <c r="A947" s="82" t="s">
        <v>2673</v>
      </c>
      <c r="B947" s="83">
        <v>45771</v>
      </c>
      <c r="C947" s="82" t="s">
        <v>3395</v>
      </c>
      <c r="D947" s="82" t="s">
        <v>1573</v>
      </c>
      <c r="E947" s="82"/>
      <c r="F947" s="82" t="s">
        <v>4670</v>
      </c>
      <c r="G947" s="89">
        <v>2</v>
      </c>
      <c r="H947" s="89">
        <v>147.72999999999999</v>
      </c>
      <c r="I947" s="85">
        <v>0</v>
      </c>
      <c r="J947" s="85">
        <v>14.77</v>
      </c>
      <c r="K947" s="85">
        <v>310.23</v>
      </c>
      <c r="L947" s="85">
        <v>310.23</v>
      </c>
      <c r="M947" s="89">
        <v>147.72999999999999</v>
      </c>
      <c r="N947" s="85">
        <v>0</v>
      </c>
      <c r="O947" s="85">
        <v>14.77</v>
      </c>
      <c r="P947" s="85">
        <v>310.23</v>
      </c>
      <c r="Q947" s="85">
        <v>310.23</v>
      </c>
      <c r="R947" s="82" t="s">
        <v>3399</v>
      </c>
      <c r="S947" s="7">
        <f t="shared" si="43"/>
        <v>0</v>
      </c>
      <c r="T947" s="6">
        <f t="shared" si="44"/>
        <v>0</v>
      </c>
      <c r="U947" s="25">
        <f t="shared" si="42"/>
        <v>0</v>
      </c>
    </row>
    <row r="948" spans="1:21" ht="10.9" customHeight="1" x14ac:dyDescent="0.2">
      <c r="A948" s="82" t="s">
        <v>2642</v>
      </c>
      <c r="B948" s="83">
        <v>45771</v>
      </c>
      <c r="C948" s="82" t="s">
        <v>3395</v>
      </c>
      <c r="D948" s="82" t="s">
        <v>1628</v>
      </c>
      <c r="E948" s="82"/>
      <c r="F948" s="82" t="s">
        <v>4670</v>
      </c>
      <c r="G948" s="89">
        <v>1</v>
      </c>
      <c r="H948" s="89">
        <v>147.72999999999999</v>
      </c>
      <c r="I948" s="85">
        <v>0</v>
      </c>
      <c r="J948" s="85">
        <v>7.39</v>
      </c>
      <c r="K948" s="85">
        <v>155.12</v>
      </c>
      <c r="L948" s="85">
        <v>155.12</v>
      </c>
      <c r="M948" s="89">
        <v>147.72999999999999</v>
      </c>
      <c r="N948" s="85">
        <v>0</v>
      </c>
      <c r="O948" s="85">
        <v>7.39</v>
      </c>
      <c r="P948" s="85">
        <v>155.12</v>
      </c>
      <c r="Q948" s="85">
        <v>155.12</v>
      </c>
      <c r="R948" s="82" t="s">
        <v>3399</v>
      </c>
      <c r="S948" s="7">
        <f t="shared" si="43"/>
        <v>0</v>
      </c>
      <c r="T948" s="6">
        <f t="shared" si="44"/>
        <v>0</v>
      </c>
      <c r="U948" s="25">
        <f t="shared" si="42"/>
        <v>0</v>
      </c>
    </row>
    <row r="949" spans="1:21" ht="10.9" customHeight="1" x14ac:dyDescent="0.2">
      <c r="A949" s="82" t="s">
        <v>2682</v>
      </c>
      <c r="B949" s="83">
        <v>45771</v>
      </c>
      <c r="C949" s="82" t="s">
        <v>3395</v>
      </c>
      <c r="D949" s="82" t="s">
        <v>1557</v>
      </c>
      <c r="E949" s="82"/>
      <c r="F949" s="82" t="s">
        <v>4676</v>
      </c>
      <c r="G949" s="89">
        <v>1</v>
      </c>
      <c r="H949" s="89">
        <v>1217.18</v>
      </c>
      <c r="I949" s="85">
        <v>0</v>
      </c>
      <c r="J949" s="85">
        <v>60.86</v>
      </c>
      <c r="K949" s="85">
        <v>1278.04</v>
      </c>
      <c r="L949" s="85">
        <v>7602.43</v>
      </c>
      <c r="M949" s="89">
        <v>1217.18</v>
      </c>
      <c r="N949" s="85">
        <v>0</v>
      </c>
      <c r="O949" s="85">
        <v>60.86</v>
      </c>
      <c r="P949" s="85">
        <v>1278.04</v>
      </c>
      <c r="Q949" s="85">
        <v>7602.43</v>
      </c>
      <c r="R949" s="82" t="s">
        <v>3399</v>
      </c>
      <c r="S949" s="7">
        <f t="shared" si="43"/>
        <v>0</v>
      </c>
      <c r="T949" s="6">
        <f t="shared" si="44"/>
        <v>0</v>
      </c>
      <c r="U949" s="25">
        <f t="shared" si="42"/>
        <v>0</v>
      </c>
    </row>
    <row r="950" spans="1:21" ht="10.9" customHeight="1" x14ac:dyDescent="0.2">
      <c r="A950" s="82" t="s">
        <v>2682</v>
      </c>
      <c r="B950" s="83">
        <v>45771</v>
      </c>
      <c r="C950" s="82" t="s">
        <v>3395</v>
      </c>
      <c r="D950" s="82" t="s">
        <v>1557</v>
      </c>
      <c r="E950" s="82"/>
      <c r="F950" s="82" t="s">
        <v>4425</v>
      </c>
      <c r="G950" s="89">
        <v>1</v>
      </c>
      <c r="H950" s="89">
        <v>1149.06</v>
      </c>
      <c r="I950" s="85">
        <v>0</v>
      </c>
      <c r="J950" s="85">
        <v>57.45</v>
      </c>
      <c r="K950" s="85">
        <v>1206.51</v>
      </c>
      <c r="L950" s="85">
        <v>7602.43</v>
      </c>
      <c r="M950" s="89">
        <v>1149.06</v>
      </c>
      <c r="N950" s="85">
        <v>0</v>
      </c>
      <c r="O950" s="85">
        <v>57.45</v>
      </c>
      <c r="P950" s="85">
        <v>1206.51</v>
      </c>
      <c r="Q950" s="85">
        <v>7602.43</v>
      </c>
      <c r="R950" s="82" t="s">
        <v>3399</v>
      </c>
      <c r="S950" s="7">
        <f t="shared" si="43"/>
        <v>0</v>
      </c>
      <c r="T950" s="6">
        <f t="shared" si="44"/>
        <v>0</v>
      </c>
      <c r="U950" s="25">
        <f t="shared" si="42"/>
        <v>0</v>
      </c>
    </row>
    <row r="951" spans="1:21" ht="10.9" customHeight="1" x14ac:dyDescent="0.2">
      <c r="A951" s="82" t="s">
        <v>2682</v>
      </c>
      <c r="B951" s="83">
        <v>45771</v>
      </c>
      <c r="C951" s="82" t="s">
        <v>3395</v>
      </c>
      <c r="D951" s="82" t="s">
        <v>1557</v>
      </c>
      <c r="E951" s="82"/>
      <c r="F951" s="82" t="s">
        <v>4806</v>
      </c>
      <c r="G951" s="89">
        <v>1</v>
      </c>
      <c r="H951" s="89">
        <v>40</v>
      </c>
      <c r="I951" s="85">
        <v>40</v>
      </c>
      <c r="J951" s="85">
        <v>0</v>
      </c>
      <c r="K951" s="85">
        <v>0</v>
      </c>
      <c r="L951" s="85">
        <v>7602.43</v>
      </c>
      <c r="M951" s="89">
        <v>40</v>
      </c>
      <c r="N951" s="85">
        <v>40</v>
      </c>
      <c r="O951" s="85">
        <v>0</v>
      </c>
      <c r="P951" s="85">
        <v>0</v>
      </c>
      <c r="Q951" s="85">
        <v>7602.43</v>
      </c>
      <c r="R951" s="82" t="s">
        <v>3399</v>
      </c>
      <c r="S951" s="7">
        <f t="shared" si="43"/>
        <v>0</v>
      </c>
      <c r="T951" s="6">
        <f t="shared" si="44"/>
        <v>0</v>
      </c>
      <c r="U951" s="25">
        <f t="shared" si="42"/>
        <v>0</v>
      </c>
    </row>
    <row r="952" spans="1:21" ht="10.9" customHeight="1" x14ac:dyDescent="0.2">
      <c r="A952" s="82" t="s">
        <v>2682</v>
      </c>
      <c r="B952" s="83">
        <v>45771</v>
      </c>
      <c r="C952" s="82" t="s">
        <v>3395</v>
      </c>
      <c r="D952" s="82" t="s">
        <v>1557</v>
      </c>
      <c r="E952" s="82"/>
      <c r="F952" s="82" t="s">
        <v>4424</v>
      </c>
      <c r="G952" s="89">
        <v>1</v>
      </c>
      <c r="H952" s="89">
        <v>1233.2</v>
      </c>
      <c r="I952" s="85">
        <v>0</v>
      </c>
      <c r="J952" s="85">
        <v>61.66</v>
      </c>
      <c r="K952" s="85">
        <v>1294.8599999999999</v>
      </c>
      <c r="L952" s="85">
        <v>7602.43</v>
      </c>
      <c r="M952" s="89">
        <v>1233.2</v>
      </c>
      <c r="N952" s="85">
        <v>0</v>
      </c>
      <c r="O952" s="85">
        <v>61.66</v>
      </c>
      <c r="P952" s="85">
        <v>1294.8599999999999</v>
      </c>
      <c r="Q952" s="85">
        <v>7602.43</v>
      </c>
      <c r="R952" s="82" t="s">
        <v>3399</v>
      </c>
      <c r="S952" s="7">
        <f t="shared" si="43"/>
        <v>0</v>
      </c>
      <c r="T952" s="6">
        <f t="shared" si="44"/>
        <v>0</v>
      </c>
      <c r="U952" s="25">
        <f t="shared" si="42"/>
        <v>0</v>
      </c>
    </row>
    <row r="953" spans="1:21" ht="10.9" customHeight="1" x14ac:dyDescent="0.2">
      <c r="A953" s="82" t="s">
        <v>2682</v>
      </c>
      <c r="B953" s="83">
        <v>45771</v>
      </c>
      <c r="C953" s="82" t="s">
        <v>3395</v>
      </c>
      <c r="D953" s="82" t="s">
        <v>1557</v>
      </c>
      <c r="E953" s="82"/>
      <c r="F953" s="82" t="s">
        <v>4805</v>
      </c>
      <c r="G953" s="89">
        <v>1</v>
      </c>
      <c r="H953" s="89">
        <v>40</v>
      </c>
      <c r="I953" s="85">
        <v>40</v>
      </c>
      <c r="J953" s="85">
        <v>0</v>
      </c>
      <c r="K953" s="85">
        <v>0</v>
      </c>
      <c r="L953" s="85">
        <v>7602.43</v>
      </c>
      <c r="M953" s="89">
        <v>40</v>
      </c>
      <c r="N953" s="85">
        <v>40</v>
      </c>
      <c r="O953" s="85">
        <v>0</v>
      </c>
      <c r="P953" s="85">
        <v>0</v>
      </c>
      <c r="Q953" s="85">
        <v>7602.43</v>
      </c>
      <c r="R953" s="82" t="s">
        <v>3399</v>
      </c>
      <c r="S953" s="7">
        <f t="shared" si="43"/>
        <v>0</v>
      </c>
      <c r="T953" s="6">
        <f t="shared" si="44"/>
        <v>0</v>
      </c>
      <c r="U953" s="25">
        <f t="shared" si="42"/>
        <v>0</v>
      </c>
    </row>
    <row r="954" spans="1:21" ht="10.9" customHeight="1" x14ac:dyDescent="0.2">
      <c r="A954" s="82" t="s">
        <v>2682</v>
      </c>
      <c r="B954" s="83">
        <v>45771</v>
      </c>
      <c r="C954" s="82" t="s">
        <v>3395</v>
      </c>
      <c r="D954" s="82" t="s">
        <v>1557</v>
      </c>
      <c r="E954" s="82"/>
      <c r="F954" s="82" t="s">
        <v>5192</v>
      </c>
      <c r="G954" s="89">
        <v>2</v>
      </c>
      <c r="H954" s="89">
        <v>345.57</v>
      </c>
      <c r="I954" s="85">
        <v>0</v>
      </c>
      <c r="J954" s="85">
        <v>34.56</v>
      </c>
      <c r="K954" s="85">
        <v>725.7</v>
      </c>
      <c r="L954" s="85">
        <v>7602.43</v>
      </c>
      <c r="M954" s="89">
        <v>345.57</v>
      </c>
      <c r="N954" s="85">
        <v>0</v>
      </c>
      <c r="O954" s="85">
        <v>34.56</v>
      </c>
      <c r="P954" s="85">
        <v>725.7</v>
      </c>
      <c r="Q954" s="85">
        <v>7602.43</v>
      </c>
      <c r="R954" s="82" t="s">
        <v>3399</v>
      </c>
      <c r="S954" s="7">
        <f t="shared" si="43"/>
        <v>0</v>
      </c>
      <c r="T954" s="6">
        <f t="shared" si="44"/>
        <v>0</v>
      </c>
      <c r="U954" s="25">
        <f t="shared" si="42"/>
        <v>0</v>
      </c>
    </row>
    <row r="955" spans="1:21" ht="10.9" customHeight="1" x14ac:dyDescent="0.2">
      <c r="A955" s="82" t="s">
        <v>2682</v>
      </c>
      <c r="B955" s="83">
        <v>45771</v>
      </c>
      <c r="C955" s="82" t="s">
        <v>3395</v>
      </c>
      <c r="D955" s="82" t="s">
        <v>1557</v>
      </c>
      <c r="E955" s="82"/>
      <c r="F955" s="82" t="s">
        <v>4752</v>
      </c>
      <c r="G955" s="89">
        <v>2</v>
      </c>
      <c r="H955" s="89">
        <v>884.56</v>
      </c>
      <c r="I955" s="85">
        <v>0</v>
      </c>
      <c r="J955" s="85">
        <v>88.46</v>
      </c>
      <c r="K955" s="85">
        <v>1857.58</v>
      </c>
      <c r="L955" s="85">
        <v>7602.43</v>
      </c>
      <c r="M955" s="89">
        <v>884.56</v>
      </c>
      <c r="N955" s="85">
        <v>0</v>
      </c>
      <c r="O955" s="85">
        <v>88.46</v>
      </c>
      <c r="P955" s="85">
        <v>1857.58</v>
      </c>
      <c r="Q955" s="85">
        <v>7602.43</v>
      </c>
      <c r="R955" s="82" t="s">
        <v>3399</v>
      </c>
      <c r="S955" s="7">
        <f t="shared" si="43"/>
        <v>0</v>
      </c>
      <c r="T955" s="6">
        <f t="shared" si="44"/>
        <v>0</v>
      </c>
      <c r="U955" s="25">
        <f t="shared" si="42"/>
        <v>0</v>
      </c>
    </row>
    <row r="956" spans="1:21" ht="10.9" customHeight="1" x14ac:dyDescent="0.2">
      <c r="A956" s="82" t="s">
        <v>2682</v>
      </c>
      <c r="B956" s="83">
        <v>45771</v>
      </c>
      <c r="C956" s="82" t="s">
        <v>3395</v>
      </c>
      <c r="D956" s="82" t="s">
        <v>1557</v>
      </c>
      <c r="E956" s="82"/>
      <c r="F956" s="82" t="s">
        <v>4685</v>
      </c>
      <c r="G956" s="89">
        <v>1</v>
      </c>
      <c r="H956" s="89">
        <v>1180.7</v>
      </c>
      <c r="I956" s="85">
        <v>0</v>
      </c>
      <c r="J956" s="85">
        <v>59.04</v>
      </c>
      <c r="K956" s="85">
        <v>1239.74</v>
      </c>
      <c r="L956" s="85">
        <v>7602.43</v>
      </c>
      <c r="M956" s="89">
        <v>1180.7</v>
      </c>
      <c r="N956" s="85">
        <v>0</v>
      </c>
      <c r="O956" s="85">
        <v>59.04</v>
      </c>
      <c r="P956" s="85">
        <v>1239.74</v>
      </c>
      <c r="Q956" s="85">
        <v>7602.43</v>
      </c>
      <c r="R956" s="82" t="s">
        <v>3399</v>
      </c>
      <c r="S956" s="7">
        <f t="shared" si="43"/>
        <v>0</v>
      </c>
      <c r="T956" s="6">
        <f t="shared" si="44"/>
        <v>0</v>
      </c>
      <c r="U956" s="25">
        <f t="shared" si="42"/>
        <v>0</v>
      </c>
    </row>
    <row r="957" spans="1:21" ht="10.9" customHeight="1" x14ac:dyDescent="0.2">
      <c r="A957" s="82" t="s">
        <v>2606</v>
      </c>
      <c r="B957" s="83">
        <v>45772</v>
      </c>
      <c r="C957" s="82" t="s">
        <v>3395</v>
      </c>
      <c r="D957" s="82" t="s">
        <v>1684</v>
      </c>
      <c r="E957" s="82"/>
      <c r="F957" s="82" t="s">
        <v>5470</v>
      </c>
      <c r="G957" s="89">
        <v>1</v>
      </c>
      <c r="H957" s="89">
        <v>5998.85</v>
      </c>
      <c r="I957" s="85">
        <v>0</v>
      </c>
      <c r="J957" s="85">
        <v>299.94</v>
      </c>
      <c r="K957" s="85">
        <v>6298.79</v>
      </c>
      <c r="L957" s="85">
        <v>6298.79</v>
      </c>
      <c r="M957" s="89">
        <v>5998.85</v>
      </c>
      <c r="N957" s="85">
        <v>0</v>
      </c>
      <c r="O957" s="85">
        <v>299.94</v>
      </c>
      <c r="P957" s="85">
        <v>6298.79</v>
      </c>
      <c r="Q957" s="85">
        <v>6298.79</v>
      </c>
      <c r="R957" s="82" t="s">
        <v>3399</v>
      </c>
      <c r="S957" s="7">
        <f t="shared" si="43"/>
        <v>0</v>
      </c>
      <c r="T957" s="6">
        <f t="shared" si="44"/>
        <v>0</v>
      </c>
      <c r="U957" s="25">
        <f t="shared" si="42"/>
        <v>0</v>
      </c>
    </row>
    <row r="958" spans="1:21" ht="10.9" customHeight="1" x14ac:dyDescent="0.2">
      <c r="A958" s="82" t="s">
        <v>2666</v>
      </c>
      <c r="B958" s="83">
        <v>45775</v>
      </c>
      <c r="C958" s="82" t="s">
        <v>3395</v>
      </c>
      <c r="D958" s="82" t="s">
        <v>1586</v>
      </c>
      <c r="E958" s="82"/>
      <c r="F958" s="82" t="s">
        <v>4830</v>
      </c>
      <c r="G958" s="89">
        <v>2</v>
      </c>
      <c r="H958" s="89">
        <v>2392.75</v>
      </c>
      <c r="I958" s="85">
        <v>0</v>
      </c>
      <c r="J958" s="85">
        <v>0</v>
      </c>
      <c r="K958" s="85">
        <v>4785.5</v>
      </c>
      <c r="L958" s="85">
        <v>4785.5</v>
      </c>
      <c r="M958" s="89">
        <v>3311.182671004543</v>
      </c>
      <c r="N958" s="85">
        <v>0</v>
      </c>
      <c r="O958" s="85">
        <v>0</v>
      </c>
      <c r="P958" s="85">
        <v>6622.3653420090859</v>
      </c>
      <c r="Q958" s="85">
        <v>6622.3653420090859</v>
      </c>
      <c r="R958" s="82" t="s">
        <v>3399</v>
      </c>
      <c r="S958" s="7">
        <f t="shared" si="43"/>
        <v>0</v>
      </c>
      <c r="T958" s="6">
        <f t="shared" si="44"/>
        <v>0</v>
      </c>
      <c r="U958" s="25">
        <f t="shared" si="42"/>
        <v>0</v>
      </c>
    </row>
    <row r="959" spans="1:21" ht="10.9" customHeight="1" x14ac:dyDescent="0.2">
      <c r="A959" s="82" t="s">
        <v>2616</v>
      </c>
      <c r="B959" s="83">
        <v>45775</v>
      </c>
      <c r="C959" s="82" t="s">
        <v>3395</v>
      </c>
      <c r="D959" s="82" t="s">
        <v>1667</v>
      </c>
      <c r="E959" s="82"/>
      <c r="F959" s="82" t="s">
        <v>4733</v>
      </c>
      <c r="G959" s="89">
        <v>1</v>
      </c>
      <c r="H959" s="89">
        <v>189.35</v>
      </c>
      <c r="I959" s="85">
        <v>0</v>
      </c>
      <c r="J959" s="85">
        <v>0</v>
      </c>
      <c r="K959" s="85">
        <v>189.35</v>
      </c>
      <c r="L959" s="85">
        <v>189.35</v>
      </c>
      <c r="M959" s="89">
        <v>261.63614129871564</v>
      </c>
      <c r="N959" s="85">
        <v>0</v>
      </c>
      <c r="O959" s="85">
        <v>0</v>
      </c>
      <c r="P959" s="85">
        <v>261.63614129871564</v>
      </c>
      <c r="Q959" s="85">
        <v>261.63614129871564</v>
      </c>
      <c r="R959" s="82" t="s">
        <v>3399</v>
      </c>
      <c r="S959" s="7">
        <f t="shared" si="43"/>
        <v>0</v>
      </c>
      <c r="T959" s="6">
        <f t="shared" si="44"/>
        <v>0</v>
      </c>
      <c r="U959" s="25">
        <f t="shared" si="42"/>
        <v>0</v>
      </c>
    </row>
    <row r="960" spans="1:21" ht="10.9" customHeight="1" x14ac:dyDescent="0.2">
      <c r="A960" s="82" t="s">
        <v>2588</v>
      </c>
      <c r="B960" s="83">
        <v>45775</v>
      </c>
      <c r="C960" s="82" t="s">
        <v>3395</v>
      </c>
      <c r="D960" s="82" t="s">
        <v>1715</v>
      </c>
      <c r="E960" s="82"/>
      <c r="F960" s="82" t="s">
        <v>5469</v>
      </c>
      <c r="G960" s="89">
        <v>1</v>
      </c>
      <c r="H960" s="89">
        <v>444.92</v>
      </c>
      <c r="I960" s="85">
        <v>0</v>
      </c>
      <c r="J960" s="85">
        <v>0</v>
      </c>
      <c r="K960" s="85">
        <v>444.92</v>
      </c>
      <c r="L960" s="85">
        <v>444.92</v>
      </c>
      <c r="M960" s="89">
        <v>614.77238968378435</v>
      </c>
      <c r="N960" s="85">
        <v>0</v>
      </c>
      <c r="O960" s="85">
        <v>0</v>
      </c>
      <c r="P960" s="85">
        <v>614.77238968378435</v>
      </c>
      <c r="Q960" s="85">
        <v>614.77238968378435</v>
      </c>
      <c r="R960" s="82" t="s">
        <v>3399</v>
      </c>
      <c r="S960" s="7">
        <f t="shared" si="43"/>
        <v>0</v>
      </c>
      <c r="T960" s="6">
        <f t="shared" si="44"/>
        <v>0</v>
      </c>
      <c r="U960" s="25">
        <f t="shared" si="42"/>
        <v>0</v>
      </c>
    </row>
    <row r="961" spans="1:21" ht="10.9" customHeight="1" x14ac:dyDescent="0.2">
      <c r="A961" s="82" t="s">
        <v>2697</v>
      </c>
      <c r="B961" s="83">
        <v>45775</v>
      </c>
      <c r="C961" s="82" t="s">
        <v>3395</v>
      </c>
      <c r="D961" s="82" t="s">
        <v>1529</v>
      </c>
      <c r="E961" s="82"/>
      <c r="F961" s="82" t="s">
        <v>4458</v>
      </c>
      <c r="G961" s="89">
        <v>2</v>
      </c>
      <c r="H961" s="89">
        <v>2768.3</v>
      </c>
      <c r="I961" s="85">
        <v>0</v>
      </c>
      <c r="J961" s="85">
        <v>0</v>
      </c>
      <c r="K961" s="85">
        <v>5536.6</v>
      </c>
      <c r="L961" s="85">
        <v>6098.6</v>
      </c>
      <c r="M961" s="89">
        <v>3825.1245310654058</v>
      </c>
      <c r="N961" s="85">
        <v>0</v>
      </c>
      <c r="O961" s="85">
        <v>0</v>
      </c>
      <c r="P961" s="85">
        <v>7650.2490621308116</v>
      </c>
      <c r="Q961" s="85">
        <v>8426.7978416918268</v>
      </c>
      <c r="R961" s="82" t="s">
        <v>3399</v>
      </c>
      <c r="S961" s="7">
        <f t="shared" si="43"/>
        <v>0</v>
      </c>
      <c r="T961" s="6">
        <f t="shared" si="44"/>
        <v>0</v>
      </c>
      <c r="U961" s="25">
        <f t="shared" si="42"/>
        <v>0</v>
      </c>
    </row>
    <row r="962" spans="1:21" ht="10.9" customHeight="1" x14ac:dyDescent="0.2">
      <c r="A962" s="82" t="s">
        <v>2697</v>
      </c>
      <c r="B962" s="83">
        <v>45775</v>
      </c>
      <c r="C962" s="82" t="s">
        <v>3395</v>
      </c>
      <c r="D962" s="82" t="s">
        <v>1529</v>
      </c>
      <c r="E962" s="82"/>
      <c r="F962" s="82" t="s">
        <v>4393</v>
      </c>
      <c r="G962" s="89">
        <v>1</v>
      </c>
      <c r="H962" s="89">
        <v>562</v>
      </c>
      <c r="I962" s="85">
        <v>0</v>
      </c>
      <c r="J962" s="85">
        <v>0</v>
      </c>
      <c r="K962" s="85">
        <v>562</v>
      </c>
      <c r="L962" s="85">
        <v>6098.6</v>
      </c>
      <c r="M962" s="89">
        <v>776.54877956101507</v>
      </c>
      <c r="N962" s="85">
        <v>0</v>
      </c>
      <c r="O962" s="85">
        <v>0</v>
      </c>
      <c r="P962" s="85">
        <v>776.54877956101507</v>
      </c>
      <c r="Q962" s="85">
        <v>8426.7978416918268</v>
      </c>
      <c r="R962" s="82" t="s">
        <v>3399</v>
      </c>
      <c r="S962" s="7" t="str">
        <f t="shared" si="43"/>
        <v>INV12919</v>
      </c>
      <c r="T962" s="6">
        <f t="shared" si="44"/>
        <v>1</v>
      </c>
      <c r="U962" s="25">
        <f t="shared" ref="U962:U1025" si="45">IF(T962=1,K962-J962,0)</f>
        <v>562</v>
      </c>
    </row>
    <row r="963" spans="1:21" ht="10.9" customHeight="1" x14ac:dyDescent="0.2">
      <c r="A963" s="82" t="s">
        <v>2696</v>
      </c>
      <c r="B963" s="83">
        <v>45776</v>
      </c>
      <c r="C963" s="82" t="s">
        <v>3395</v>
      </c>
      <c r="D963" s="82" t="s">
        <v>1531</v>
      </c>
      <c r="E963" s="82"/>
      <c r="F963" s="82" t="s">
        <v>5466</v>
      </c>
      <c r="G963" s="89">
        <v>1</v>
      </c>
      <c r="H963" s="89">
        <v>2298.7800000000002</v>
      </c>
      <c r="I963" s="85">
        <v>0</v>
      </c>
      <c r="J963" s="85">
        <v>0</v>
      </c>
      <c r="K963" s="85">
        <v>2298.7800000000002</v>
      </c>
      <c r="L963" s="85">
        <v>4128.96</v>
      </c>
      <c r="M963" s="89">
        <v>3182.4556400199908</v>
      </c>
      <c r="N963" s="85">
        <v>0</v>
      </c>
      <c r="O963" s="85">
        <v>0</v>
      </c>
      <c r="P963" s="85">
        <v>3182.4556400199908</v>
      </c>
      <c r="Q963" s="85">
        <v>5716.1764237625794</v>
      </c>
      <c r="R963" s="82" t="s">
        <v>3399</v>
      </c>
      <c r="S963" s="7">
        <f t="shared" ref="S963:S1026" si="46">IF(T963=1,A963,0)</f>
        <v>0</v>
      </c>
      <c r="T963" s="6">
        <f t="shared" ref="T963:T1026" si="47">IFERROR(FIND("Freight",F963,1),0)</f>
        <v>0</v>
      </c>
      <c r="U963" s="25">
        <f t="shared" si="45"/>
        <v>0</v>
      </c>
    </row>
    <row r="964" spans="1:21" ht="10.9" customHeight="1" x14ac:dyDescent="0.2">
      <c r="A964" s="82" t="s">
        <v>2696</v>
      </c>
      <c r="B964" s="83">
        <v>45776</v>
      </c>
      <c r="C964" s="82" t="s">
        <v>3395</v>
      </c>
      <c r="D964" s="82" t="s">
        <v>1531</v>
      </c>
      <c r="E964" s="82"/>
      <c r="F964" s="82" t="s">
        <v>5017</v>
      </c>
      <c r="G964" s="89">
        <v>2</v>
      </c>
      <c r="H964" s="89">
        <v>14.97</v>
      </c>
      <c r="I964" s="85">
        <v>0</v>
      </c>
      <c r="J964" s="85">
        <v>0</v>
      </c>
      <c r="K964" s="85">
        <v>29.94</v>
      </c>
      <c r="L964" s="85">
        <v>4128.96</v>
      </c>
      <c r="M964" s="89">
        <v>20.72462825111549</v>
      </c>
      <c r="N964" s="85">
        <v>0</v>
      </c>
      <c r="O964" s="85">
        <v>0</v>
      </c>
      <c r="P964" s="85">
        <v>41.44925650223098</v>
      </c>
      <c r="Q964" s="85">
        <v>5716.1764237625794</v>
      </c>
      <c r="R964" s="82" t="s">
        <v>3399</v>
      </c>
      <c r="S964" s="7">
        <f t="shared" si="46"/>
        <v>0</v>
      </c>
      <c r="T964" s="6">
        <f t="shared" si="47"/>
        <v>0</v>
      </c>
      <c r="U964" s="25">
        <f t="shared" si="45"/>
        <v>0</v>
      </c>
    </row>
    <row r="965" spans="1:21" ht="10.9" customHeight="1" x14ac:dyDescent="0.2">
      <c r="A965" s="82" t="s">
        <v>2696</v>
      </c>
      <c r="B965" s="83">
        <v>45776</v>
      </c>
      <c r="C965" s="82" t="s">
        <v>3395</v>
      </c>
      <c r="D965" s="82" t="s">
        <v>1531</v>
      </c>
      <c r="E965" s="82"/>
      <c r="F965" s="82" t="s">
        <v>5465</v>
      </c>
      <c r="G965" s="89">
        <v>1</v>
      </c>
      <c r="H965" s="89">
        <v>1148.24</v>
      </c>
      <c r="I965" s="85">
        <v>0</v>
      </c>
      <c r="J965" s="85">
        <v>0</v>
      </c>
      <c r="K965" s="85">
        <v>1148.24</v>
      </c>
      <c r="L965" s="85">
        <v>4128.96</v>
      </c>
      <c r="M965" s="89">
        <v>1589.6357476994556</v>
      </c>
      <c r="N965" s="85">
        <v>0</v>
      </c>
      <c r="O965" s="85">
        <v>0</v>
      </c>
      <c r="P965" s="85">
        <v>1589.6357476994556</v>
      </c>
      <c r="Q965" s="85">
        <v>5716.1764237625794</v>
      </c>
      <c r="R965" s="82" t="s">
        <v>3399</v>
      </c>
      <c r="S965" s="7">
        <f t="shared" si="46"/>
        <v>0</v>
      </c>
      <c r="T965" s="6">
        <f t="shared" si="47"/>
        <v>0</v>
      </c>
      <c r="U965" s="25">
        <f t="shared" si="45"/>
        <v>0</v>
      </c>
    </row>
    <row r="966" spans="1:21" ht="10.9" customHeight="1" x14ac:dyDescent="0.2">
      <c r="A966" s="82" t="s">
        <v>2696</v>
      </c>
      <c r="B966" s="83">
        <v>45776</v>
      </c>
      <c r="C966" s="82" t="s">
        <v>3395</v>
      </c>
      <c r="D966" s="82" t="s">
        <v>1531</v>
      </c>
      <c r="E966" s="82"/>
      <c r="F966" s="82" t="s">
        <v>4393</v>
      </c>
      <c r="G966" s="89">
        <v>1</v>
      </c>
      <c r="H966" s="89">
        <v>652</v>
      </c>
      <c r="I966" s="85">
        <v>0</v>
      </c>
      <c r="J966" s="85">
        <v>0</v>
      </c>
      <c r="K966" s="85">
        <v>652</v>
      </c>
      <c r="L966" s="85">
        <v>4128.96</v>
      </c>
      <c r="M966" s="89">
        <v>902.63577954090169</v>
      </c>
      <c r="N966" s="85">
        <v>0</v>
      </c>
      <c r="O966" s="85">
        <v>0</v>
      </c>
      <c r="P966" s="85">
        <v>902.63577954090169</v>
      </c>
      <c r="Q966" s="85">
        <v>5716.1764237625794</v>
      </c>
      <c r="R966" s="82" t="s">
        <v>3399</v>
      </c>
      <c r="S966" s="7" t="str">
        <f t="shared" si="46"/>
        <v>INV12920</v>
      </c>
      <c r="T966" s="6">
        <f t="shared" si="47"/>
        <v>1</v>
      </c>
      <c r="U966" s="25">
        <f t="shared" si="45"/>
        <v>652</v>
      </c>
    </row>
    <row r="967" spans="1:21" ht="10.9" customHeight="1" x14ac:dyDescent="0.2">
      <c r="A967" s="82" t="s">
        <v>2374</v>
      </c>
      <c r="B967" s="83">
        <v>45776</v>
      </c>
      <c r="C967" s="82" t="s">
        <v>3395</v>
      </c>
      <c r="D967" s="82" t="s">
        <v>2075</v>
      </c>
      <c r="E967" s="82"/>
      <c r="F967" s="82" t="s">
        <v>5451</v>
      </c>
      <c r="G967" s="89">
        <v>1</v>
      </c>
      <c r="H967" s="89">
        <v>369.88</v>
      </c>
      <c r="I967" s="85">
        <v>0</v>
      </c>
      <c r="J967" s="85">
        <v>0</v>
      </c>
      <c r="K967" s="85">
        <v>369.88</v>
      </c>
      <c r="L967" s="85">
        <v>369.88</v>
      </c>
      <c r="M967" s="89">
        <v>512.06583149783546</v>
      </c>
      <c r="N967" s="85">
        <v>0</v>
      </c>
      <c r="O967" s="85">
        <v>0</v>
      </c>
      <c r="P967" s="85">
        <v>512.06583149783546</v>
      </c>
      <c r="Q967" s="85">
        <v>512.06583149783546</v>
      </c>
      <c r="R967" s="82" t="s">
        <v>3399</v>
      </c>
      <c r="S967" s="7">
        <f t="shared" si="46"/>
        <v>0</v>
      </c>
      <c r="T967" s="6">
        <f t="shared" si="47"/>
        <v>0</v>
      </c>
      <c r="U967" s="25">
        <f t="shared" si="45"/>
        <v>0</v>
      </c>
    </row>
    <row r="968" spans="1:21" ht="10.9" customHeight="1" x14ac:dyDescent="0.2">
      <c r="A968" s="82" t="s">
        <v>2694</v>
      </c>
      <c r="B968" s="83">
        <v>45776</v>
      </c>
      <c r="C968" s="82" t="s">
        <v>3395</v>
      </c>
      <c r="D968" s="82" t="s">
        <v>1535</v>
      </c>
      <c r="E968" s="82"/>
      <c r="F968" s="82" t="s">
        <v>4613</v>
      </c>
      <c r="G968" s="89">
        <v>1</v>
      </c>
      <c r="H968" s="89">
        <v>339.85</v>
      </c>
      <c r="I968" s="85">
        <v>0</v>
      </c>
      <c r="J968" s="85">
        <v>0</v>
      </c>
      <c r="K968" s="85">
        <v>339.85</v>
      </c>
      <c r="L968" s="85">
        <v>339.85</v>
      </c>
      <c r="M968" s="89">
        <v>470.49197803217095</v>
      </c>
      <c r="N968" s="85">
        <v>0</v>
      </c>
      <c r="O968" s="85">
        <v>0</v>
      </c>
      <c r="P968" s="85">
        <v>470.49197803217095</v>
      </c>
      <c r="Q968" s="85">
        <v>470.49197803217095</v>
      </c>
      <c r="R968" s="82" t="s">
        <v>3399</v>
      </c>
      <c r="S968" s="7">
        <f t="shared" si="46"/>
        <v>0</v>
      </c>
      <c r="T968" s="6">
        <f t="shared" si="47"/>
        <v>0</v>
      </c>
      <c r="U968" s="25">
        <f t="shared" si="45"/>
        <v>0</v>
      </c>
    </row>
    <row r="969" spans="1:21" ht="10.9" customHeight="1" x14ac:dyDescent="0.2">
      <c r="A969" s="82" t="s">
        <v>2659</v>
      </c>
      <c r="B969" s="83">
        <v>45776</v>
      </c>
      <c r="C969" s="82" t="s">
        <v>3395</v>
      </c>
      <c r="D969" s="82" t="s">
        <v>1594</v>
      </c>
      <c r="E969" s="82"/>
      <c r="F969" s="82" t="s">
        <v>4622</v>
      </c>
      <c r="G969" s="89">
        <v>9</v>
      </c>
      <c r="H969" s="89">
        <v>142.29</v>
      </c>
      <c r="I969" s="85">
        <v>0</v>
      </c>
      <c r="J969" s="85">
        <v>64.03</v>
      </c>
      <c r="K969" s="85">
        <v>1344.64</v>
      </c>
      <c r="L969" s="85">
        <v>1407.51</v>
      </c>
      <c r="M969" s="89">
        <v>142.29</v>
      </c>
      <c r="N969" s="85">
        <v>0</v>
      </c>
      <c r="O969" s="85">
        <v>64.03</v>
      </c>
      <c r="P969" s="85">
        <v>1344.64</v>
      </c>
      <c r="Q969" s="85">
        <v>1407.51</v>
      </c>
      <c r="R969" s="82" t="s">
        <v>3399</v>
      </c>
      <c r="S969" s="7">
        <f t="shared" si="46"/>
        <v>0</v>
      </c>
      <c r="T969" s="6">
        <f t="shared" si="47"/>
        <v>0</v>
      </c>
      <c r="U969" s="25">
        <f t="shared" si="45"/>
        <v>0</v>
      </c>
    </row>
    <row r="970" spans="1:21" ht="10.9" customHeight="1" x14ac:dyDescent="0.2">
      <c r="A970" s="82" t="s">
        <v>2659</v>
      </c>
      <c r="B970" s="83">
        <v>45776</v>
      </c>
      <c r="C970" s="82" t="s">
        <v>3395</v>
      </c>
      <c r="D970" s="82" t="s">
        <v>1594</v>
      </c>
      <c r="E970" s="82"/>
      <c r="F970" s="82" t="s">
        <v>5265</v>
      </c>
      <c r="G970" s="89">
        <v>1</v>
      </c>
      <c r="H970" s="89">
        <v>59.88</v>
      </c>
      <c r="I970" s="85">
        <v>0</v>
      </c>
      <c r="J970" s="85">
        <v>2.99</v>
      </c>
      <c r="K970" s="85">
        <v>62.87</v>
      </c>
      <c r="L970" s="85">
        <v>1407.51</v>
      </c>
      <c r="M970" s="89">
        <v>59.88</v>
      </c>
      <c r="N970" s="85">
        <v>0</v>
      </c>
      <c r="O970" s="85">
        <v>2.99</v>
      </c>
      <c r="P970" s="85">
        <v>62.87</v>
      </c>
      <c r="Q970" s="85">
        <v>1407.51</v>
      </c>
      <c r="R970" s="82" t="s">
        <v>3399</v>
      </c>
      <c r="S970" s="7">
        <f t="shared" si="46"/>
        <v>0</v>
      </c>
      <c r="T970" s="6">
        <f t="shared" si="47"/>
        <v>0</v>
      </c>
      <c r="U970" s="25">
        <f t="shared" si="45"/>
        <v>0</v>
      </c>
    </row>
    <row r="971" spans="1:21" ht="10.9" customHeight="1" x14ac:dyDescent="0.2">
      <c r="A971" s="82" t="s">
        <v>2702</v>
      </c>
      <c r="B971" s="83">
        <v>45776</v>
      </c>
      <c r="C971" s="82" t="s">
        <v>3395</v>
      </c>
      <c r="D971" s="82" t="s">
        <v>3565</v>
      </c>
      <c r="E971" s="82"/>
      <c r="F971" s="82" t="s">
        <v>5266</v>
      </c>
      <c r="G971" s="89">
        <v>1</v>
      </c>
      <c r="H971" s="89">
        <v>425.21</v>
      </c>
      <c r="I971" s="85">
        <v>0</v>
      </c>
      <c r="J971" s="85">
        <v>55.28</v>
      </c>
      <c r="K971" s="85">
        <v>480.49</v>
      </c>
      <c r="L971" s="85">
        <v>480.49</v>
      </c>
      <c r="M971" s="89">
        <v>425.21</v>
      </c>
      <c r="N971" s="85">
        <v>0</v>
      </c>
      <c r="O971" s="85">
        <v>55.28</v>
      </c>
      <c r="P971" s="85">
        <v>480.49</v>
      </c>
      <c r="Q971" s="85">
        <v>480.49</v>
      </c>
      <c r="R971" s="82" t="s">
        <v>3399</v>
      </c>
      <c r="S971" s="7">
        <f t="shared" si="46"/>
        <v>0</v>
      </c>
      <c r="T971" s="6">
        <f t="shared" si="47"/>
        <v>0</v>
      </c>
      <c r="U971" s="25">
        <f t="shared" si="45"/>
        <v>0</v>
      </c>
    </row>
    <row r="972" spans="1:21" ht="10.9" customHeight="1" x14ac:dyDescent="0.2">
      <c r="A972" s="82" t="s">
        <v>2655</v>
      </c>
      <c r="B972" s="83">
        <v>45776</v>
      </c>
      <c r="C972" s="82" t="s">
        <v>3395</v>
      </c>
      <c r="D972" s="82" t="s">
        <v>1600</v>
      </c>
      <c r="E972" s="82"/>
      <c r="F972" s="82" t="s">
        <v>4671</v>
      </c>
      <c r="G972" s="89">
        <v>2</v>
      </c>
      <c r="H972" s="89">
        <v>21.59</v>
      </c>
      <c r="I972" s="85">
        <v>0</v>
      </c>
      <c r="J972" s="85">
        <v>2.16</v>
      </c>
      <c r="K972" s="85">
        <v>45.34</v>
      </c>
      <c r="L972" s="85">
        <v>3445.52</v>
      </c>
      <c r="M972" s="89">
        <v>21.59</v>
      </c>
      <c r="N972" s="85">
        <v>0</v>
      </c>
      <c r="O972" s="85">
        <v>2.16</v>
      </c>
      <c r="P972" s="85">
        <v>45.34</v>
      </c>
      <c r="Q972" s="85">
        <v>3445.52</v>
      </c>
      <c r="R972" s="82" t="s">
        <v>3399</v>
      </c>
      <c r="S972" s="7">
        <f t="shared" si="46"/>
        <v>0</v>
      </c>
      <c r="T972" s="6">
        <f t="shared" si="47"/>
        <v>0</v>
      </c>
      <c r="U972" s="25">
        <f t="shared" si="45"/>
        <v>0</v>
      </c>
    </row>
    <row r="973" spans="1:21" ht="10.9" customHeight="1" x14ac:dyDescent="0.2">
      <c r="A973" s="82" t="s">
        <v>2655</v>
      </c>
      <c r="B973" s="83">
        <v>45776</v>
      </c>
      <c r="C973" s="82" t="s">
        <v>3395</v>
      </c>
      <c r="D973" s="82" t="s">
        <v>1600</v>
      </c>
      <c r="E973" s="82"/>
      <c r="F973" s="82" t="s">
        <v>4673</v>
      </c>
      <c r="G973" s="89">
        <v>1</v>
      </c>
      <c r="H973" s="89">
        <v>154.97</v>
      </c>
      <c r="I973" s="85">
        <v>0</v>
      </c>
      <c r="J973" s="85">
        <v>7.75</v>
      </c>
      <c r="K973" s="85">
        <v>162.72</v>
      </c>
      <c r="L973" s="85">
        <v>3445.52</v>
      </c>
      <c r="M973" s="89">
        <v>154.97</v>
      </c>
      <c r="N973" s="85">
        <v>0</v>
      </c>
      <c r="O973" s="85">
        <v>7.75</v>
      </c>
      <c r="P973" s="85">
        <v>162.72</v>
      </c>
      <c r="Q973" s="85">
        <v>3445.52</v>
      </c>
      <c r="R973" s="82" t="s">
        <v>3399</v>
      </c>
      <c r="S973" s="7">
        <f t="shared" si="46"/>
        <v>0</v>
      </c>
      <c r="T973" s="6">
        <f t="shared" si="47"/>
        <v>0</v>
      </c>
      <c r="U973" s="25">
        <f t="shared" si="45"/>
        <v>0</v>
      </c>
    </row>
    <row r="974" spans="1:21" ht="10.9" customHeight="1" x14ac:dyDescent="0.2">
      <c r="A974" s="82" t="s">
        <v>2655</v>
      </c>
      <c r="B974" s="83">
        <v>45776</v>
      </c>
      <c r="C974" s="82" t="s">
        <v>3395</v>
      </c>
      <c r="D974" s="82" t="s">
        <v>1600</v>
      </c>
      <c r="E974" s="82"/>
      <c r="F974" s="82" t="s">
        <v>4672</v>
      </c>
      <c r="G974" s="89">
        <v>2</v>
      </c>
      <c r="H974" s="89">
        <v>44.1</v>
      </c>
      <c r="I974" s="85">
        <v>0</v>
      </c>
      <c r="J974" s="85">
        <v>4.41</v>
      </c>
      <c r="K974" s="85">
        <v>92.61</v>
      </c>
      <c r="L974" s="85">
        <v>3445.52</v>
      </c>
      <c r="M974" s="89">
        <v>44.1</v>
      </c>
      <c r="N974" s="85">
        <v>0</v>
      </c>
      <c r="O974" s="85">
        <v>4.41</v>
      </c>
      <c r="P974" s="85">
        <v>92.61</v>
      </c>
      <c r="Q974" s="85">
        <v>3445.52</v>
      </c>
      <c r="R974" s="82" t="s">
        <v>3399</v>
      </c>
      <c r="S974" s="7">
        <f t="shared" si="46"/>
        <v>0</v>
      </c>
      <c r="T974" s="6">
        <f t="shared" si="47"/>
        <v>0</v>
      </c>
      <c r="U974" s="25">
        <f t="shared" si="45"/>
        <v>0</v>
      </c>
    </row>
    <row r="975" spans="1:21" ht="10.9" customHeight="1" x14ac:dyDescent="0.2">
      <c r="A975" s="82" t="s">
        <v>2655</v>
      </c>
      <c r="B975" s="83">
        <v>45776</v>
      </c>
      <c r="C975" s="82" t="s">
        <v>3395</v>
      </c>
      <c r="D975" s="82" t="s">
        <v>1600</v>
      </c>
      <c r="E975" s="82"/>
      <c r="F975" s="82" t="s">
        <v>4397</v>
      </c>
      <c r="G975" s="89">
        <v>2</v>
      </c>
      <c r="H975" s="89">
        <v>1496.26</v>
      </c>
      <c r="I975" s="85">
        <v>0</v>
      </c>
      <c r="J975" s="85">
        <v>149.63</v>
      </c>
      <c r="K975" s="85">
        <v>3142.15</v>
      </c>
      <c r="L975" s="85">
        <v>3445.52</v>
      </c>
      <c r="M975" s="89">
        <v>1496.26</v>
      </c>
      <c r="N975" s="85">
        <v>0</v>
      </c>
      <c r="O975" s="85">
        <v>149.63</v>
      </c>
      <c r="P975" s="85">
        <v>3142.15</v>
      </c>
      <c r="Q975" s="85">
        <v>3445.52</v>
      </c>
      <c r="R975" s="82" t="s">
        <v>3399</v>
      </c>
      <c r="S975" s="7">
        <f t="shared" si="46"/>
        <v>0</v>
      </c>
      <c r="T975" s="6">
        <f t="shared" si="47"/>
        <v>0</v>
      </c>
      <c r="U975" s="25">
        <f t="shared" si="45"/>
        <v>0</v>
      </c>
    </row>
    <row r="976" spans="1:21" ht="10.9" customHeight="1" x14ac:dyDescent="0.2">
      <c r="A976" s="82" t="s">
        <v>2655</v>
      </c>
      <c r="B976" s="83">
        <v>45776</v>
      </c>
      <c r="C976" s="82" t="s">
        <v>3395</v>
      </c>
      <c r="D976" s="82" t="s">
        <v>1600</v>
      </c>
      <c r="E976" s="82"/>
      <c r="F976" s="82" t="s">
        <v>4746</v>
      </c>
      <c r="G976" s="89">
        <v>1</v>
      </c>
      <c r="H976" s="89">
        <v>2.57</v>
      </c>
      <c r="I976" s="85">
        <v>0</v>
      </c>
      <c r="J976" s="85">
        <v>0.13</v>
      </c>
      <c r="K976" s="85">
        <v>2.7</v>
      </c>
      <c r="L976" s="85">
        <v>3445.52</v>
      </c>
      <c r="M976" s="89">
        <v>2.57</v>
      </c>
      <c r="N976" s="85">
        <v>0</v>
      </c>
      <c r="O976" s="85">
        <v>0.13</v>
      </c>
      <c r="P976" s="85">
        <v>2.7</v>
      </c>
      <c r="Q976" s="85">
        <v>3445.52</v>
      </c>
      <c r="R976" s="82" t="s">
        <v>3399</v>
      </c>
      <c r="S976" s="7">
        <f t="shared" si="46"/>
        <v>0</v>
      </c>
      <c r="T976" s="6">
        <f t="shared" si="47"/>
        <v>0</v>
      </c>
      <c r="U976" s="25">
        <f t="shared" si="45"/>
        <v>0</v>
      </c>
    </row>
    <row r="977" spans="1:21" ht="10.9" customHeight="1" x14ac:dyDescent="0.2">
      <c r="A977" s="82" t="s">
        <v>2695</v>
      </c>
      <c r="B977" s="83">
        <v>45776</v>
      </c>
      <c r="C977" s="82" t="s">
        <v>3395</v>
      </c>
      <c r="D977" s="82" t="s">
        <v>3564</v>
      </c>
      <c r="E977" s="82"/>
      <c r="F977" s="82" t="s">
        <v>5468</v>
      </c>
      <c r="G977" s="89">
        <v>1</v>
      </c>
      <c r="H977" s="89">
        <v>419.88</v>
      </c>
      <c r="I977" s="85">
        <v>0</v>
      </c>
      <c r="J977" s="85">
        <v>54.58</v>
      </c>
      <c r="K977" s="85">
        <v>474.46</v>
      </c>
      <c r="L977" s="85">
        <v>474.46</v>
      </c>
      <c r="M977" s="89">
        <v>419.88</v>
      </c>
      <c r="N977" s="85">
        <v>0</v>
      </c>
      <c r="O977" s="85">
        <v>54.58</v>
      </c>
      <c r="P977" s="85">
        <v>474.46</v>
      </c>
      <c r="Q977" s="85">
        <v>474.46</v>
      </c>
      <c r="R977" s="82" t="s">
        <v>3399</v>
      </c>
      <c r="S977" s="7">
        <f t="shared" si="46"/>
        <v>0</v>
      </c>
      <c r="T977" s="6">
        <f t="shared" si="47"/>
        <v>0</v>
      </c>
      <c r="U977" s="25">
        <f t="shared" si="45"/>
        <v>0</v>
      </c>
    </row>
    <row r="978" spans="1:21" ht="10.9" customHeight="1" x14ac:dyDescent="0.2">
      <c r="A978" s="82" t="s">
        <v>2590</v>
      </c>
      <c r="B978" s="83">
        <v>45776</v>
      </c>
      <c r="C978" s="82" t="s">
        <v>3395</v>
      </c>
      <c r="D978" s="82" t="s">
        <v>3566</v>
      </c>
      <c r="E978" s="82"/>
      <c r="F978" s="82" t="s">
        <v>4706</v>
      </c>
      <c r="G978" s="89">
        <v>1</v>
      </c>
      <c r="H978" s="89">
        <v>2071.7800000000002</v>
      </c>
      <c r="I978" s="85">
        <v>0</v>
      </c>
      <c r="J978" s="85">
        <v>103.59</v>
      </c>
      <c r="K978" s="85">
        <v>2175.37</v>
      </c>
      <c r="L978" s="85">
        <v>2175.37</v>
      </c>
      <c r="M978" s="89">
        <v>2071.7800000000002</v>
      </c>
      <c r="N978" s="85">
        <v>0</v>
      </c>
      <c r="O978" s="85">
        <v>103.59</v>
      </c>
      <c r="P978" s="85">
        <v>2175.37</v>
      </c>
      <c r="Q978" s="85">
        <v>2175.37</v>
      </c>
      <c r="R978" s="82" t="s">
        <v>3399</v>
      </c>
      <c r="S978" s="7">
        <f t="shared" si="46"/>
        <v>0</v>
      </c>
      <c r="T978" s="6">
        <f t="shared" si="47"/>
        <v>0</v>
      </c>
      <c r="U978" s="25">
        <f t="shared" si="45"/>
        <v>0</v>
      </c>
    </row>
    <row r="979" spans="1:21" ht="10.9" customHeight="1" x14ac:dyDescent="0.2">
      <c r="A979" s="82" t="s">
        <v>2691</v>
      </c>
      <c r="B979" s="83">
        <v>45776</v>
      </c>
      <c r="C979" s="82" t="s">
        <v>3395</v>
      </c>
      <c r="D979" s="82" t="s">
        <v>1541</v>
      </c>
      <c r="E979" s="82"/>
      <c r="F979" s="82" t="s">
        <v>5467</v>
      </c>
      <c r="G979" s="89">
        <v>3</v>
      </c>
      <c r="H979" s="89">
        <v>149.88999999999999</v>
      </c>
      <c r="I979" s="85">
        <v>0</v>
      </c>
      <c r="J979" s="85">
        <v>22.48</v>
      </c>
      <c r="K979" s="85">
        <v>472.15</v>
      </c>
      <c r="L979" s="85">
        <v>472.15</v>
      </c>
      <c r="M979" s="89">
        <v>149.88999999999999</v>
      </c>
      <c r="N979" s="85">
        <v>0</v>
      </c>
      <c r="O979" s="85">
        <v>22.48</v>
      </c>
      <c r="P979" s="85">
        <v>472.15</v>
      </c>
      <c r="Q979" s="85">
        <v>472.15</v>
      </c>
      <c r="R979" s="82" t="s">
        <v>3399</v>
      </c>
      <c r="S979" s="7">
        <f t="shared" si="46"/>
        <v>0</v>
      </c>
      <c r="T979" s="6">
        <f t="shared" si="47"/>
        <v>0</v>
      </c>
      <c r="U979" s="25">
        <f t="shared" si="45"/>
        <v>0</v>
      </c>
    </row>
    <row r="980" spans="1:21" ht="10.9" customHeight="1" x14ac:dyDescent="0.2">
      <c r="A980" s="82" t="s">
        <v>2687</v>
      </c>
      <c r="B980" s="83">
        <v>45776</v>
      </c>
      <c r="C980" s="82" t="s">
        <v>3395</v>
      </c>
      <c r="D980" s="82" t="s">
        <v>1547</v>
      </c>
      <c r="E980" s="82"/>
      <c r="F980" s="82" t="s">
        <v>4429</v>
      </c>
      <c r="G980" s="89">
        <v>1</v>
      </c>
      <c r="H980" s="89">
        <v>297.88</v>
      </c>
      <c r="I980" s="85">
        <v>0</v>
      </c>
      <c r="J980" s="85">
        <v>14.89</v>
      </c>
      <c r="K980" s="85">
        <v>312.77</v>
      </c>
      <c r="L980" s="85">
        <v>312.77</v>
      </c>
      <c r="M980" s="89">
        <v>297.88</v>
      </c>
      <c r="N980" s="85">
        <v>0</v>
      </c>
      <c r="O980" s="85">
        <v>14.89</v>
      </c>
      <c r="P980" s="85">
        <v>312.77</v>
      </c>
      <c r="Q980" s="85">
        <v>312.77</v>
      </c>
      <c r="R980" s="82" t="s">
        <v>3399</v>
      </c>
      <c r="S980" s="7">
        <f t="shared" si="46"/>
        <v>0</v>
      </c>
      <c r="T980" s="6">
        <f t="shared" si="47"/>
        <v>0</v>
      </c>
      <c r="U980" s="25">
        <f t="shared" si="45"/>
        <v>0</v>
      </c>
    </row>
    <row r="981" spans="1:21" ht="10.9" customHeight="1" x14ac:dyDescent="0.2">
      <c r="A981" s="82" t="s">
        <v>2705</v>
      </c>
      <c r="B981" s="83">
        <v>45777</v>
      </c>
      <c r="C981" s="82" t="s">
        <v>3395</v>
      </c>
      <c r="D981" s="82" t="s">
        <v>1515</v>
      </c>
      <c r="E981" s="82"/>
      <c r="F981" s="82" t="s">
        <v>5462</v>
      </c>
      <c r="G981" s="89">
        <v>1</v>
      </c>
      <c r="H981" s="89">
        <v>2551.98</v>
      </c>
      <c r="I981" s="85">
        <v>0</v>
      </c>
      <c r="J981" s="85">
        <v>0</v>
      </c>
      <c r="K981" s="85">
        <v>2551.98</v>
      </c>
      <c r="L981" s="85">
        <v>2551.98</v>
      </c>
      <c r="M981" s="89">
        <v>3517.750166101966</v>
      </c>
      <c r="N981" s="85">
        <v>0</v>
      </c>
      <c r="O981" s="85">
        <v>0</v>
      </c>
      <c r="P981" s="85">
        <v>3517.750166101966</v>
      </c>
      <c r="Q981" s="85">
        <v>3517.750166101966</v>
      </c>
      <c r="R981" s="82" t="s">
        <v>3399</v>
      </c>
      <c r="S981" s="7">
        <f t="shared" si="46"/>
        <v>0</v>
      </c>
      <c r="T981" s="6">
        <f t="shared" si="47"/>
        <v>0</v>
      </c>
      <c r="U981" s="25">
        <f t="shared" si="45"/>
        <v>0</v>
      </c>
    </row>
    <row r="982" spans="1:21" ht="10.9" customHeight="1" x14ac:dyDescent="0.2">
      <c r="A982" s="82" t="s">
        <v>2706</v>
      </c>
      <c r="B982" s="83">
        <v>45777</v>
      </c>
      <c r="C982" s="82" t="s">
        <v>3395</v>
      </c>
      <c r="D982" s="82" t="s">
        <v>3563</v>
      </c>
      <c r="E982" s="82"/>
      <c r="F982" s="82" t="s">
        <v>5298</v>
      </c>
      <c r="G982" s="89">
        <v>1</v>
      </c>
      <c r="H982" s="89">
        <v>711.28</v>
      </c>
      <c r="I982" s="85">
        <v>0</v>
      </c>
      <c r="J982" s="85">
        <v>0</v>
      </c>
      <c r="K982" s="85">
        <v>711.28</v>
      </c>
      <c r="L982" s="85">
        <v>1881.12</v>
      </c>
      <c r="M982" s="89">
        <v>980.45648404180531</v>
      </c>
      <c r="N982" s="85">
        <v>0</v>
      </c>
      <c r="O982" s="85">
        <v>0</v>
      </c>
      <c r="P982" s="85">
        <v>980.45648404180531</v>
      </c>
      <c r="Q982" s="85">
        <v>2593.0102087233167</v>
      </c>
      <c r="R982" s="82" t="s">
        <v>3399</v>
      </c>
      <c r="S982" s="7">
        <f t="shared" si="46"/>
        <v>0</v>
      </c>
      <c r="T982" s="6">
        <f t="shared" si="47"/>
        <v>0</v>
      </c>
      <c r="U982" s="25">
        <f t="shared" si="45"/>
        <v>0</v>
      </c>
    </row>
    <row r="983" spans="1:21" ht="10.9" customHeight="1" x14ac:dyDescent="0.2">
      <c r="A983" s="82" t="s">
        <v>2706</v>
      </c>
      <c r="B983" s="83">
        <v>45777</v>
      </c>
      <c r="C983" s="82" t="s">
        <v>3395</v>
      </c>
      <c r="D983" s="82" t="s">
        <v>3563</v>
      </c>
      <c r="E983" s="82"/>
      <c r="F983" s="82" t="s">
        <v>5297</v>
      </c>
      <c r="G983" s="89">
        <v>1</v>
      </c>
      <c r="H983" s="89">
        <v>498.1</v>
      </c>
      <c r="I983" s="85">
        <v>0</v>
      </c>
      <c r="J983" s="85">
        <v>0</v>
      </c>
      <c r="K983" s="85">
        <v>498.1</v>
      </c>
      <c r="L983" s="85">
        <v>1881.12</v>
      </c>
      <c r="M983" s="89">
        <v>686.60074049772697</v>
      </c>
      <c r="N983" s="85">
        <v>0</v>
      </c>
      <c r="O983" s="85">
        <v>0</v>
      </c>
      <c r="P983" s="85">
        <v>686.60074049772697</v>
      </c>
      <c r="Q983" s="85">
        <v>2593.0102087233167</v>
      </c>
      <c r="R983" s="82" t="s">
        <v>3399</v>
      </c>
      <c r="S983" s="7">
        <f t="shared" si="46"/>
        <v>0</v>
      </c>
      <c r="T983" s="6">
        <f t="shared" si="47"/>
        <v>0</v>
      </c>
      <c r="U983" s="25">
        <f t="shared" si="45"/>
        <v>0</v>
      </c>
    </row>
    <row r="984" spans="1:21" ht="10.9" customHeight="1" x14ac:dyDescent="0.2">
      <c r="A984" s="82" t="s">
        <v>2706</v>
      </c>
      <c r="B984" s="83">
        <v>45777</v>
      </c>
      <c r="C984" s="82" t="s">
        <v>3395</v>
      </c>
      <c r="D984" s="82" t="s">
        <v>3563</v>
      </c>
      <c r="E984" s="82"/>
      <c r="F984" s="82" t="s">
        <v>5461</v>
      </c>
      <c r="G984" s="89">
        <v>2</v>
      </c>
      <c r="H984" s="89">
        <v>54.87</v>
      </c>
      <c r="I984" s="85">
        <v>0</v>
      </c>
      <c r="J984" s="85">
        <v>0</v>
      </c>
      <c r="K984" s="85">
        <v>109.74</v>
      </c>
      <c r="L984" s="85">
        <v>1881.12</v>
      </c>
      <c r="M984" s="89">
        <v>75.634978179301896</v>
      </c>
      <c r="N984" s="85">
        <v>0</v>
      </c>
      <c r="O984" s="85">
        <v>0</v>
      </c>
      <c r="P984" s="85">
        <v>151.26995635860379</v>
      </c>
      <c r="Q984" s="85">
        <v>2593.0102087233167</v>
      </c>
      <c r="R984" s="82" t="s">
        <v>3399</v>
      </c>
      <c r="S984" s="7">
        <f t="shared" si="46"/>
        <v>0</v>
      </c>
      <c r="T984" s="6">
        <f t="shared" si="47"/>
        <v>0</v>
      </c>
      <c r="U984" s="25">
        <f t="shared" si="45"/>
        <v>0</v>
      </c>
    </row>
    <row r="985" spans="1:21" ht="10.9" customHeight="1" x14ac:dyDescent="0.2">
      <c r="A985" s="82" t="s">
        <v>2706</v>
      </c>
      <c r="B985" s="83">
        <v>45777</v>
      </c>
      <c r="C985" s="82" t="s">
        <v>3395</v>
      </c>
      <c r="D985" s="82" t="s">
        <v>3563</v>
      </c>
      <c r="E985" s="82"/>
      <c r="F985" s="82" t="s">
        <v>4393</v>
      </c>
      <c r="G985" s="89">
        <v>1</v>
      </c>
      <c r="H985" s="89">
        <v>562</v>
      </c>
      <c r="I985" s="85">
        <v>0</v>
      </c>
      <c r="J985" s="85">
        <v>0</v>
      </c>
      <c r="K985" s="85">
        <v>562</v>
      </c>
      <c r="L985" s="85">
        <v>1881.12</v>
      </c>
      <c r="M985" s="89">
        <v>774.68302782518083</v>
      </c>
      <c r="N985" s="85">
        <v>0</v>
      </c>
      <c r="O985" s="85">
        <v>0</v>
      </c>
      <c r="P985" s="85">
        <v>774.68302782518083</v>
      </c>
      <c r="Q985" s="85">
        <v>2593.0102087233167</v>
      </c>
      <c r="R985" s="82" t="s">
        <v>3399</v>
      </c>
      <c r="S985" s="7" t="str">
        <f t="shared" si="46"/>
        <v>INV12929</v>
      </c>
      <c r="T985" s="6">
        <f t="shared" si="47"/>
        <v>1</v>
      </c>
      <c r="U985" s="25">
        <f t="shared" si="45"/>
        <v>562</v>
      </c>
    </row>
    <row r="986" spans="1:21" ht="10.9" customHeight="1" x14ac:dyDescent="0.2">
      <c r="A986" s="82" t="s">
        <v>2674</v>
      </c>
      <c r="B986" s="83">
        <v>45777</v>
      </c>
      <c r="C986" s="82" t="s">
        <v>3395</v>
      </c>
      <c r="D986" s="82" t="s">
        <v>1571</v>
      </c>
      <c r="E986" s="82"/>
      <c r="F986" s="82" t="s">
        <v>4397</v>
      </c>
      <c r="G986" s="89">
        <v>1</v>
      </c>
      <c r="H986" s="89">
        <v>1492.52</v>
      </c>
      <c r="I986" s="85">
        <v>0</v>
      </c>
      <c r="J986" s="85">
        <v>74.63</v>
      </c>
      <c r="K986" s="85">
        <v>1567.15</v>
      </c>
      <c r="L986" s="85">
        <v>1567.15</v>
      </c>
      <c r="M986" s="89">
        <v>1492.52</v>
      </c>
      <c r="N986" s="85">
        <v>0</v>
      </c>
      <c r="O986" s="85">
        <v>74.63</v>
      </c>
      <c r="P986" s="85">
        <v>1567.15</v>
      </c>
      <c r="Q986" s="85">
        <v>1567.15</v>
      </c>
      <c r="R986" s="82" t="s">
        <v>3399</v>
      </c>
      <c r="S986" s="7">
        <f t="shared" si="46"/>
        <v>0</v>
      </c>
      <c r="T986" s="6">
        <f t="shared" si="47"/>
        <v>0</v>
      </c>
      <c r="U986" s="25">
        <f t="shared" si="45"/>
        <v>0</v>
      </c>
    </row>
    <row r="987" spans="1:21" ht="10.9" customHeight="1" x14ac:dyDescent="0.2">
      <c r="A987" s="82" t="s">
        <v>2688</v>
      </c>
      <c r="B987" s="83">
        <v>45777</v>
      </c>
      <c r="C987" s="82" t="s">
        <v>3395</v>
      </c>
      <c r="D987" s="82" t="s">
        <v>1545</v>
      </c>
      <c r="E987" s="82"/>
      <c r="F987" s="82" t="s">
        <v>5464</v>
      </c>
      <c r="G987" s="89">
        <v>1</v>
      </c>
      <c r="H987" s="89">
        <v>2463.73</v>
      </c>
      <c r="I987" s="85">
        <v>0</v>
      </c>
      <c r="J987" s="85">
        <v>123.19</v>
      </c>
      <c r="K987" s="85">
        <v>2586.92</v>
      </c>
      <c r="L987" s="85">
        <v>3697.36</v>
      </c>
      <c r="M987" s="89">
        <v>2463.73</v>
      </c>
      <c r="N987" s="85">
        <v>0</v>
      </c>
      <c r="O987" s="85">
        <v>123.19</v>
      </c>
      <c r="P987" s="85">
        <v>2586.92</v>
      </c>
      <c r="Q987" s="85">
        <v>3697.36</v>
      </c>
      <c r="R987" s="82" t="s">
        <v>3399</v>
      </c>
      <c r="S987" s="7">
        <f t="shared" si="46"/>
        <v>0</v>
      </c>
      <c r="T987" s="6">
        <f t="shared" si="47"/>
        <v>0</v>
      </c>
      <c r="U987" s="25">
        <f t="shared" si="45"/>
        <v>0</v>
      </c>
    </row>
    <row r="988" spans="1:21" ht="10.9" customHeight="1" x14ac:dyDescent="0.2">
      <c r="A988" s="82" t="s">
        <v>2688</v>
      </c>
      <c r="B988" s="83">
        <v>45777</v>
      </c>
      <c r="C988" s="82" t="s">
        <v>3395</v>
      </c>
      <c r="D988" s="82" t="s">
        <v>1545</v>
      </c>
      <c r="E988" s="82"/>
      <c r="F988" s="82" t="s">
        <v>5463</v>
      </c>
      <c r="G988" s="89">
        <v>2</v>
      </c>
      <c r="H988" s="89">
        <v>528.78</v>
      </c>
      <c r="I988" s="85">
        <v>0</v>
      </c>
      <c r="J988" s="85">
        <v>52.88</v>
      </c>
      <c r="K988" s="85">
        <v>1110.44</v>
      </c>
      <c r="L988" s="85">
        <v>3697.36</v>
      </c>
      <c r="M988" s="89">
        <v>528.78</v>
      </c>
      <c r="N988" s="85">
        <v>0</v>
      </c>
      <c r="O988" s="85">
        <v>52.88</v>
      </c>
      <c r="P988" s="85">
        <v>1110.44</v>
      </c>
      <c r="Q988" s="85">
        <v>3697.36</v>
      </c>
      <c r="R988" s="82" t="s">
        <v>3399</v>
      </c>
      <c r="S988" s="7">
        <f t="shared" si="46"/>
        <v>0</v>
      </c>
      <c r="T988" s="6">
        <f t="shared" si="47"/>
        <v>0</v>
      </c>
      <c r="U988" s="25">
        <f t="shared" si="45"/>
        <v>0</v>
      </c>
    </row>
    <row r="989" spans="1:21" ht="10.9" customHeight="1" x14ac:dyDescent="0.2">
      <c r="A989" s="82" t="s">
        <v>2701</v>
      </c>
      <c r="B989" s="83">
        <v>45777</v>
      </c>
      <c r="C989" s="82" t="s">
        <v>3395</v>
      </c>
      <c r="D989" s="82" t="s">
        <v>1521</v>
      </c>
      <c r="E989" s="82"/>
      <c r="F989" s="82" t="s">
        <v>4495</v>
      </c>
      <c r="G989" s="89">
        <v>1</v>
      </c>
      <c r="H989" s="89">
        <v>229.88</v>
      </c>
      <c r="I989" s="85">
        <v>0</v>
      </c>
      <c r="J989" s="85">
        <v>29.88</v>
      </c>
      <c r="K989" s="85">
        <v>259.76</v>
      </c>
      <c r="L989" s="85">
        <v>259.76</v>
      </c>
      <c r="M989" s="89">
        <v>229.88</v>
      </c>
      <c r="N989" s="85">
        <v>0</v>
      </c>
      <c r="O989" s="85">
        <v>29.88</v>
      </c>
      <c r="P989" s="85">
        <v>259.76</v>
      </c>
      <c r="Q989" s="85">
        <v>259.76</v>
      </c>
      <c r="R989" s="82" t="s">
        <v>3399</v>
      </c>
      <c r="S989" s="7">
        <f t="shared" si="46"/>
        <v>0</v>
      </c>
      <c r="T989" s="6">
        <f t="shared" si="47"/>
        <v>0</v>
      </c>
      <c r="U989" s="25">
        <f t="shared" si="45"/>
        <v>0</v>
      </c>
    </row>
    <row r="990" spans="1:21" ht="10.9" customHeight="1" x14ac:dyDescent="0.2">
      <c r="A990" s="82" t="s">
        <v>2699</v>
      </c>
      <c r="B990" s="83">
        <v>45778</v>
      </c>
      <c r="C990" s="82" t="s">
        <v>3395</v>
      </c>
      <c r="D990" s="82" t="s">
        <v>1525</v>
      </c>
      <c r="E990" s="82"/>
      <c r="F990" s="82" t="s">
        <v>5460</v>
      </c>
      <c r="G990" s="89">
        <v>2</v>
      </c>
      <c r="H990" s="89">
        <v>296.85000000000002</v>
      </c>
      <c r="I990" s="85">
        <v>0</v>
      </c>
      <c r="J990" s="85">
        <v>77.180000000000007</v>
      </c>
      <c r="K990" s="85">
        <v>670.88</v>
      </c>
      <c r="L990" s="85">
        <v>1214.23</v>
      </c>
      <c r="M990" s="89">
        <v>296.85000000000002</v>
      </c>
      <c r="N990" s="85">
        <v>0</v>
      </c>
      <c r="O990" s="85">
        <v>77.180000000000007</v>
      </c>
      <c r="P990" s="85">
        <v>670.88</v>
      </c>
      <c r="Q990" s="85">
        <v>1214.23</v>
      </c>
      <c r="R990" s="82" t="s">
        <v>3399</v>
      </c>
      <c r="S990" s="7">
        <f t="shared" si="46"/>
        <v>0</v>
      </c>
      <c r="T990" s="6">
        <f t="shared" si="47"/>
        <v>0</v>
      </c>
      <c r="U990" s="25">
        <f t="shared" si="45"/>
        <v>0</v>
      </c>
    </row>
    <row r="991" spans="1:21" ht="10.9" customHeight="1" x14ac:dyDescent="0.2">
      <c r="A991" s="82" t="s">
        <v>2699</v>
      </c>
      <c r="B991" s="83">
        <v>45778</v>
      </c>
      <c r="C991" s="82" t="s">
        <v>3395</v>
      </c>
      <c r="D991" s="82" t="s">
        <v>1525</v>
      </c>
      <c r="E991" s="82"/>
      <c r="F991" s="82" t="s">
        <v>4691</v>
      </c>
      <c r="G991" s="89">
        <v>2</v>
      </c>
      <c r="H991" s="89">
        <v>240.42</v>
      </c>
      <c r="I991" s="85">
        <v>0</v>
      </c>
      <c r="J991" s="85">
        <v>62.51</v>
      </c>
      <c r="K991" s="85">
        <v>543.35</v>
      </c>
      <c r="L991" s="85">
        <v>1214.23</v>
      </c>
      <c r="M991" s="89">
        <v>240.42</v>
      </c>
      <c r="N991" s="85">
        <v>0</v>
      </c>
      <c r="O991" s="85">
        <v>62.51</v>
      </c>
      <c r="P991" s="85">
        <v>543.35</v>
      </c>
      <c r="Q991" s="85">
        <v>1214.23</v>
      </c>
      <c r="R991" s="82" t="s">
        <v>3399</v>
      </c>
      <c r="S991" s="7">
        <f t="shared" si="46"/>
        <v>0</v>
      </c>
      <c r="T991" s="6">
        <f t="shared" si="47"/>
        <v>0</v>
      </c>
      <c r="U991" s="25">
        <f t="shared" si="45"/>
        <v>0</v>
      </c>
    </row>
    <row r="992" spans="1:21" ht="10.9" customHeight="1" x14ac:dyDescent="0.2">
      <c r="A992" s="82" t="s">
        <v>2713</v>
      </c>
      <c r="B992" s="83">
        <v>45778</v>
      </c>
      <c r="C992" s="82" t="s">
        <v>3395</v>
      </c>
      <c r="D992" s="82" t="s">
        <v>1500</v>
      </c>
      <c r="E992" s="82"/>
      <c r="F992" s="82" t="s">
        <v>4602</v>
      </c>
      <c r="G992" s="89">
        <v>5</v>
      </c>
      <c r="H992" s="89">
        <v>214.88</v>
      </c>
      <c r="I992" s="85">
        <v>0</v>
      </c>
      <c r="J992" s="85">
        <v>139.66999999999999</v>
      </c>
      <c r="K992" s="85">
        <v>1214.07</v>
      </c>
      <c r="L992" s="85">
        <v>5086.5200000000004</v>
      </c>
      <c r="M992" s="89">
        <v>214.88</v>
      </c>
      <c r="N992" s="85">
        <v>0</v>
      </c>
      <c r="O992" s="85">
        <v>139.66999999999999</v>
      </c>
      <c r="P992" s="85">
        <v>1214.07</v>
      </c>
      <c r="Q992" s="85">
        <v>5086.5200000000004</v>
      </c>
      <c r="R992" s="82" t="s">
        <v>3399</v>
      </c>
      <c r="S992" s="7">
        <f t="shared" si="46"/>
        <v>0</v>
      </c>
      <c r="T992" s="6">
        <f t="shared" si="47"/>
        <v>0</v>
      </c>
      <c r="U992" s="25">
        <f t="shared" si="45"/>
        <v>0</v>
      </c>
    </row>
    <row r="993" spans="1:21" ht="10.9" customHeight="1" x14ac:dyDescent="0.2">
      <c r="A993" s="82" t="s">
        <v>2713</v>
      </c>
      <c r="B993" s="83">
        <v>45778</v>
      </c>
      <c r="C993" s="82" t="s">
        <v>3395</v>
      </c>
      <c r="D993" s="82" t="s">
        <v>1500</v>
      </c>
      <c r="E993" s="82"/>
      <c r="F993" s="82" t="s">
        <v>5459</v>
      </c>
      <c r="G993" s="89">
        <v>5</v>
      </c>
      <c r="H993" s="89">
        <v>685.39</v>
      </c>
      <c r="I993" s="85">
        <v>0</v>
      </c>
      <c r="J993" s="85">
        <v>445.5</v>
      </c>
      <c r="K993" s="85">
        <v>3872.45</v>
      </c>
      <c r="L993" s="85">
        <v>5086.5200000000004</v>
      </c>
      <c r="M993" s="89">
        <v>685.39</v>
      </c>
      <c r="N993" s="85">
        <v>0</v>
      </c>
      <c r="O993" s="85">
        <v>445.5</v>
      </c>
      <c r="P993" s="85">
        <v>3872.45</v>
      </c>
      <c r="Q993" s="85">
        <v>5086.5200000000004</v>
      </c>
      <c r="R993" s="82" t="s">
        <v>3399</v>
      </c>
      <c r="S993" s="7">
        <f t="shared" si="46"/>
        <v>0</v>
      </c>
      <c r="T993" s="6">
        <f t="shared" si="47"/>
        <v>0</v>
      </c>
      <c r="U993" s="25">
        <f t="shared" si="45"/>
        <v>0</v>
      </c>
    </row>
    <row r="994" spans="1:21" ht="10.9" customHeight="1" x14ac:dyDescent="0.2">
      <c r="A994" s="82" t="s">
        <v>2709</v>
      </c>
      <c r="B994" s="83">
        <v>45778</v>
      </c>
      <c r="C994" s="82" t="s">
        <v>3395</v>
      </c>
      <c r="D994" s="82" t="s">
        <v>1506</v>
      </c>
      <c r="E994" s="82"/>
      <c r="F994" s="82" t="s">
        <v>5430</v>
      </c>
      <c r="G994" s="89">
        <v>8</v>
      </c>
      <c r="H994" s="89">
        <v>11.32</v>
      </c>
      <c r="I994" s="85">
        <v>0</v>
      </c>
      <c r="J994" s="85">
        <v>11.77</v>
      </c>
      <c r="K994" s="85">
        <v>102.33</v>
      </c>
      <c r="L994" s="85">
        <v>102.33</v>
      </c>
      <c r="M994" s="89">
        <v>11.32</v>
      </c>
      <c r="N994" s="85">
        <v>0</v>
      </c>
      <c r="O994" s="85">
        <v>11.77</v>
      </c>
      <c r="P994" s="85">
        <v>102.33</v>
      </c>
      <c r="Q994" s="85">
        <v>102.33</v>
      </c>
      <c r="R994" s="82" t="s">
        <v>3399</v>
      </c>
      <c r="S994" s="7">
        <f t="shared" si="46"/>
        <v>0</v>
      </c>
      <c r="T994" s="6">
        <f t="shared" si="47"/>
        <v>0</v>
      </c>
      <c r="U994" s="25">
        <f t="shared" si="45"/>
        <v>0</v>
      </c>
    </row>
    <row r="995" spans="1:21" ht="10.9" customHeight="1" x14ac:dyDescent="0.2">
      <c r="A995" s="82" t="s">
        <v>2714</v>
      </c>
      <c r="B995" s="83">
        <v>45779</v>
      </c>
      <c r="C995" s="82" t="s">
        <v>3395</v>
      </c>
      <c r="D995" s="82" t="s">
        <v>1498</v>
      </c>
      <c r="E995" s="82"/>
      <c r="F995" s="82" t="s">
        <v>4512</v>
      </c>
      <c r="G995" s="89">
        <v>1</v>
      </c>
      <c r="H995" s="89">
        <v>7400</v>
      </c>
      <c r="I995" s="85">
        <v>0</v>
      </c>
      <c r="J995" s="85">
        <v>0</v>
      </c>
      <c r="K995" s="85">
        <v>7400</v>
      </c>
      <c r="L995" s="85">
        <v>7400</v>
      </c>
      <c r="M995" s="89">
        <v>10206.44606031182</v>
      </c>
      <c r="N995" s="85">
        <v>0</v>
      </c>
      <c r="O995" s="85">
        <v>0</v>
      </c>
      <c r="P995" s="85">
        <v>10206.44606031182</v>
      </c>
      <c r="Q995" s="85">
        <v>10206.44606031182</v>
      </c>
      <c r="R995" s="82" t="s">
        <v>4511</v>
      </c>
      <c r="S995" s="7">
        <f t="shared" si="46"/>
        <v>0</v>
      </c>
      <c r="T995" s="6">
        <f t="shared" si="47"/>
        <v>0</v>
      </c>
      <c r="U995" s="25">
        <f t="shared" si="45"/>
        <v>0</v>
      </c>
    </row>
    <row r="996" spans="1:21" ht="10.9" customHeight="1" x14ac:dyDescent="0.2">
      <c r="A996" s="82" t="s">
        <v>2710</v>
      </c>
      <c r="B996" s="83">
        <v>45779</v>
      </c>
      <c r="C996" s="82" t="s">
        <v>3395</v>
      </c>
      <c r="D996" s="82" t="s">
        <v>1504</v>
      </c>
      <c r="E996" s="82"/>
      <c r="F996" s="82" t="s">
        <v>4620</v>
      </c>
      <c r="G996" s="89">
        <v>1</v>
      </c>
      <c r="H996" s="89">
        <v>997.63</v>
      </c>
      <c r="I996" s="85">
        <v>0</v>
      </c>
      <c r="J996" s="85">
        <v>49.88</v>
      </c>
      <c r="K996" s="85">
        <v>1047.51</v>
      </c>
      <c r="L996" s="85">
        <v>1047.51</v>
      </c>
      <c r="M996" s="89">
        <v>997.63</v>
      </c>
      <c r="N996" s="85">
        <v>0</v>
      </c>
      <c r="O996" s="85">
        <v>49.88</v>
      </c>
      <c r="P996" s="85">
        <v>1047.51</v>
      </c>
      <c r="Q996" s="85">
        <v>1047.51</v>
      </c>
      <c r="R996" s="82" t="s">
        <v>3399</v>
      </c>
      <c r="S996" s="7">
        <f t="shared" si="46"/>
        <v>0</v>
      </c>
      <c r="T996" s="6">
        <f t="shared" si="47"/>
        <v>0</v>
      </c>
      <c r="U996" s="25">
        <f t="shared" si="45"/>
        <v>0</v>
      </c>
    </row>
    <row r="997" spans="1:21" ht="10.9" customHeight="1" x14ac:dyDescent="0.2">
      <c r="A997" s="82" t="s">
        <v>2712</v>
      </c>
      <c r="B997" s="83">
        <v>45779</v>
      </c>
      <c r="C997" s="82" t="s">
        <v>3395</v>
      </c>
      <c r="D997" s="82" t="s">
        <v>1502</v>
      </c>
      <c r="E997" s="82"/>
      <c r="F997" s="82" t="s">
        <v>5006</v>
      </c>
      <c r="G997" s="89">
        <v>3</v>
      </c>
      <c r="H997" s="89">
        <v>30.74</v>
      </c>
      <c r="I997" s="85">
        <v>0</v>
      </c>
      <c r="J997" s="85">
        <v>4.6100000000000003</v>
      </c>
      <c r="K997" s="85">
        <v>96.83</v>
      </c>
      <c r="L997" s="85">
        <v>96.83</v>
      </c>
      <c r="M997" s="89">
        <v>30.74</v>
      </c>
      <c r="N997" s="85">
        <v>0</v>
      </c>
      <c r="O997" s="85">
        <v>4.6100000000000003</v>
      </c>
      <c r="P997" s="85">
        <v>96.83</v>
      </c>
      <c r="Q997" s="85">
        <v>96.83</v>
      </c>
      <c r="R997" s="82" t="s">
        <v>3399</v>
      </c>
      <c r="S997" s="7">
        <f t="shared" si="46"/>
        <v>0</v>
      </c>
      <c r="T997" s="6">
        <f t="shared" si="47"/>
        <v>0</v>
      </c>
      <c r="U997" s="25">
        <f t="shared" si="45"/>
        <v>0</v>
      </c>
    </row>
    <row r="998" spans="1:21" ht="10.9" customHeight="1" x14ac:dyDescent="0.2">
      <c r="A998" s="82" t="s">
        <v>2716</v>
      </c>
      <c r="B998" s="83">
        <v>45779</v>
      </c>
      <c r="C998" s="82" t="s">
        <v>3395</v>
      </c>
      <c r="D998" s="82" t="s">
        <v>1496</v>
      </c>
      <c r="E998" s="82"/>
      <c r="F998" s="82" t="s">
        <v>5136</v>
      </c>
      <c r="G998" s="89">
        <v>2</v>
      </c>
      <c r="H998" s="89">
        <v>476.7</v>
      </c>
      <c r="I998" s="85">
        <v>0</v>
      </c>
      <c r="J998" s="85">
        <v>47.67</v>
      </c>
      <c r="K998" s="85">
        <v>1001.07</v>
      </c>
      <c r="L998" s="85">
        <v>2002.14</v>
      </c>
      <c r="M998" s="89">
        <v>476.7</v>
      </c>
      <c r="N998" s="85">
        <v>0</v>
      </c>
      <c r="O998" s="85">
        <v>47.67</v>
      </c>
      <c r="P998" s="85">
        <v>1001.07</v>
      </c>
      <c r="Q998" s="85">
        <v>2002.14</v>
      </c>
      <c r="R998" s="82" t="s">
        <v>3399</v>
      </c>
      <c r="S998" s="7">
        <f t="shared" si="46"/>
        <v>0</v>
      </c>
      <c r="T998" s="6">
        <f t="shared" si="47"/>
        <v>0</v>
      </c>
      <c r="U998" s="25">
        <f t="shared" si="45"/>
        <v>0</v>
      </c>
    </row>
    <row r="999" spans="1:21" ht="10.9" customHeight="1" x14ac:dyDescent="0.2">
      <c r="A999" s="82" t="s">
        <v>2716</v>
      </c>
      <c r="B999" s="83">
        <v>45779</v>
      </c>
      <c r="C999" s="82" t="s">
        <v>3395</v>
      </c>
      <c r="D999" s="82" t="s">
        <v>1496</v>
      </c>
      <c r="E999" s="82"/>
      <c r="F999" s="82" t="s">
        <v>5137</v>
      </c>
      <c r="G999" s="89">
        <v>2</v>
      </c>
      <c r="H999" s="89">
        <v>476.7</v>
      </c>
      <c r="I999" s="85">
        <v>0</v>
      </c>
      <c r="J999" s="85">
        <v>47.67</v>
      </c>
      <c r="K999" s="85">
        <v>1001.07</v>
      </c>
      <c r="L999" s="85">
        <v>2002.14</v>
      </c>
      <c r="M999" s="89">
        <v>476.7</v>
      </c>
      <c r="N999" s="85">
        <v>0</v>
      </c>
      <c r="O999" s="85">
        <v>47.67</v>
      </c>
      <c r="P999" s="85">
        <v>1001.07</v>
      </c>
      <c r="Q999" s="85">
        <v>2002.14</v>
      </c>
      <c r="R999" s="82" t="s">
        <v>3399</v>
      </c>
      <c r="S999" s="7">
        <f t="shared" si="46"/>
        <v>0</v>
      </c>
      <c r="T999" s="6">
        <f t="shared" si="47"/>
        <v>0</v>
      </c>
      <c r="U999" s="25">
        <f t="shared" si="45"/>
        <v>0</v>
      </c>
    </row>
    <row r="1000" spans="1:21" ht="10.9" customHeight="1" x14ac:dyDescent="0.2">
      <c r="A1000" s="82" t="s">
        <v>2435</v>
      </c>
      <c r="B1000" s="83">
        <v>45779</v>
      </c>
      <c r="C1000" s="82" t="s">
        <v>3395</v>
      </c>
      <c r="D1000" s="82" t="s">
        <v>3561</v>
      </c>
      <c r="E1000" s="82"/>
      <c r="F1000" s="82" t="s">
        <v>5458</v>
      </c>
      <c r="G1000" s="89">
        <v>2</v>
      </c>
      <c r="H1000" s="89">
        <v>95</v>
      </c>
      <c r="I1000" s="85">
        <v>0</v>
      </c>
      <c r="J1000" s="85">
        <v>0</v>
      </c>
      <c r="K1000" s="85">
        <v>190</v>
      </c>
      <c r="L1000" s="85">
        <v>3938.3</v>
      </c>
      <c r="M1000" s="89">
        <v>131.2881858598478</v>
      </c>
      <c r="N1000" s="85">
        <v>0</v>
      </c>
      <c r="O1000" s="85">
        <v>0</v>
      </c>
      <c r="P1000" s="85">
        <v>262.5763717196956</v>
      </c>
      <c r="Q1000" s="85">
        <v>5442.655393387774</v>
      </c>
      <c r="R1000" s="82" t="s">
        <v>3396</v>
      </c>
      <c r="S1000" s="7">
        <f t="shared" si="46"/>
        <v>0</v>
      </c>
      <c r="T1000" s="6">
        <f t="shared" si="47"/>
        <v>0</v>
      </c>
      <c r="U1000" s="25">
        <f t="shared" si="45"/>
        <v>0</v>
      </c>
    </row>
    <row r="1001" spans="1:21" ht="10.9" customHeight="1" x14ac:dyDescent="0.2">
      <c r="A1001" s="82" t="s">
        <v>2435</v>
      </c>
      <c r="B1001" s="83">
        <v>45779</v>
      </c>
      <c r="C1001" s="82" t="s">
        <v>3395</v>
      </c>
      <c r="D1001" s="82" t="s">
        <v>3561</v>
      </c>
      <c r="E1001" s="82"/>
      <c r="F1001" s="82" t="s">
        <v>5457</v>
      </c>
      <c r="G1001" s="89">
        <v>1</v>
      </c>
      <c r="H1001" s="89">
        <v>958.3</v>
      </c>
      <c r="I1001" s="85">
        <v>0</v>
      </c>
      <c r="J1001" s="85">
        <v>0</v>
      </c>
      <c r="K1001" s="85">
        <v>958.3</v>
      </c>
      <c r="L1001" s="85">
        <v>3938.3</v>
      </c>
      <c r="M1001" s="89">
        <v>1324.3523000999173</v>
      </c>
      <c r="N1001" s="85">
        <v>0</v>
      </c>
      <c r="O1001" s="85">
        <v>0</v>
      </c>
      <c r="P1001" s="85">
        <v>1324.3523000999173</v>
      </c>
      <c r="Q1001" s="85">
        <v>5442.655393387774</v>
      </c>
      <c r="R1001" s="82" t="s">
        <v>3396</v>
      </c>
      <c r="S1001" s="7">
        <f t="shared" si="46"/>
        <v>0</v>
      </c>
      <c r="T1001" s="6">
        <f t="shared" si="47"/>
        <v>0</v>
      </c>
      <c r="U1001" s="25">
        <f t="shared" si="45"/>
        <v>0</v>
      </c>
    </row>
    <row r="1002" spans="1:21" ht="10.9" customHeight="1" x14ac:dyDescent="0.2">
      <c r="A1002" s="82" t="s">
        <v>2435</v>
      </c>
      <c r="B1002" s="83">
        <v>45779</v>
      </c>
      <c r="C1002" s="82" t="s">
        <v>3395</v>
      </c>
      <c r="D1002" s="82" t="s">
        <v>3561</v>
      </c>
      <c r="E1002" s="82"/>
      <c r="F1002" s="82" t="s">
        <v>5456</v>
      </c>
      <c r="G1002" s="89">
        <v>1</v>
      </c>
      <c r="H1002" s="89">
        <v>1263</v>
      </c>
      <c r="I1002" s="85">
        <v>0</v>
      </c>
      <c r="J1002" s="85">
        <v>0</v>
      </c>
      <c r="K1002" s="85">
        <v>1263</v>
      </c>
      <c r="L1002" s="85">
        <v>3938.3</v>
      </c>
      <c r="M1002" s="89">
        <v>1745.4418814840817</v>
      </c>
      <c r="N1002" s="85">
        <v>0</v>
      </c>
      <c r="O1002" s="85">
        <v>0</v>
      </c>
      <c r="P1002" s="85">
        <v>1745.4418814840817</v>
      </c>
      <c r="Q1002" s="85">
        <v>5442.655393387774</v>
      </c>
      <c r="R1002" s="82" t="s">
        <v>3396</v>
      </c>
      <c r="S1002" s="7">
        <f t="shared" si="46"/>
        <v>0</v>
      </c>
      <c r="T1002" s="6">
        <f t="shared" si="47"/>
        <v>0</v>
      </c>
      <c r="U1002" s="25">
        <f t="shared" si="45"/>
        <v>0</v>
      </c>
    </row>
    <row r="1003" spans="1:21" ht="10.9" customHeight="1" x14ac:dyDescent="0.2">
      <c r="A1003" s="82" t="s">
        <v>2435</v>
      </c>
      <c r="B1003" s="83">
        <v>45779</v>
      </c>
      <c r="C1003" s="82" t="s">
        <v>3395</v>
      </c>
      <c r="D1003" s="82" t="s">
        <v>3561</v>
      </c>
      <c r="E1003" s="82"/>
      <c r="F1003" s="82" t="s">
        <v>5455</v>
      </c>
      <c r="G1003" s="89">
        <v>3</v>
      </c>
      <c r="H1003" s="89">
        <v>509</v>
      </c>
      <c r="I1003" s="85">
        <v>0</v>
      </c>
      <c r="J1003" s="85">
        <v>0</v>
      </c>
      <c r="K1003" s="85">
        <v>1527</v>
      </c>
      <c r="L1003" s="85">
        <v>3938.3</v>
      </c>
      <c r="M1003" s="89">
        <v>703.42828002802662</v>
      </c>
      <c r="N1003" s="85">
        <v>0</v>
      </c>
      <c r="O1003" s="85">
        <v>0</v>
      </c>
      <c r="P1003" s="85">
        <v>2110.2848400840799</v>
      </c>
      <c r="Q1003" s="85">
        <v>5442.655393387774</v>
      </c>
      <c r="R1003" s="82" t="s">
        <v>3396</v>
      </c>
      <c r="S1003" s="7">
        <f t="shared" si="46"/>
        <v>0</v>
      </c>
      <c r="T1003" s="6">
        <f t="shared" si="47"/>
        <v>0</v>
      </c>
      <c r="U1003" s="25">
        <f t="shared" si="45"/>
        <v>0</v>
      </c>
    </row>
    <row r="1004" spans="1:21" ht="10.9" customHeight="1" x14ac:dyDescent="0.2">
      <c r="A1004" s="82" t="s">
        <v>2480</v>
      </c>
      <c r="B1004" s="83">
        <v>45779</v>
      </c>
      <c r="C1004" s="82" t="s">
        <v>3395</v>
      </c>
      <c r="D1004" s="82" t="s">
        <v>1902</v>
      </c>
      <c r="E1004" s="82"/>
      <c r="F1004" s="82" t="s">
        <v>5454</v>
      </c>
      <c r="G1004" s="89">
        <v>2</v>
      </c>
      <c r="H1004" s="89">
        <v>9548.2999999999993</v>
      </c>
      <c r="I1004" s="85">
        <v>0</v>
      </c>
      <c r="J1004" s="85">
        <v>0</v>
      </c>
      <c r="K1004" s="85">
        <v>19096.599999999999</v>
      </c>
      <c r="L1004" s="85">
        <v>42873.38</v>
      </c>
      <c r="M1004" s="89">
        <v>13195.568263637733</v>
      </c>
      <c r="N1004" s="85">
        <v>0</v>
      </c>
      <c r="O1004" s="85">
        <v>0</v>
      </c>
      <c r="P1004" s="85">
        <v>26391.136527275467</v>
      </c>
      <c r="Q1004" s="85">
        <v>59250.192440840852</v>
      </c>
      <c r="R1004" s="82" t="s">
        <v>3399</v>
      </c>
      <c r="S1004" s="7">
        <f t="shared" si="46"/>
        <v>0</v>
      </c>
      <c r="T1004" s="6">
        <f t="shared" si="47"/>
        <v>0</v>
      </c>
      <c r="U1004" s="25">
        <f t="shared" si="45"/>
        <v>0</v>
      </c>
    </row>
    <row r="1005" spans="1:21" ht="10.9" customHeight="1" x14ac:dyDescent="0.2">
      <c r="A1005" s="82" t="s">
        <v>2480</v>
      </c>
      <c r="B1005" s="83">
        <v>45779</v>
      </c>
      <c r="C1005" s="82" t="s">
        <v>3395</v>
      </c>
      <c r="D1005" s="82" t="s">
        <v>1902</v>
      </c>
      <c r="E1005" s="82"/>
      <c r="F1005" s="82" t="s">
        <v>5453</v>
      </c>
      <c r="G1005" s="89">
        <v>2</v>
      </c>
      <c r="H1005" s="89">
        <v>8523.44</v>
      </c>
      <c r="I1005" s="85">
        <v>0</v>
      </c>
      <c r="J1005" s="85">
        <v>0</v>
      </c>
      <c r="K1005" s="85">
        <v>17046.88</v>
      </c>
      <c r="L1005" s="85">
        <v>42873.38</v>
      </c>
      <c r="M1005" s="89">
        <v>11779.231314581695</v>
      </c>
      <c r="N1005" s="85">
        <v>0</v>
      </c>
      <c r="O1005" s="85">
        <v>0</v>
      </c>
      <c r="P1005" s="85">
        <v>23558.46262916339</v>
      </c>
      <c r="Q1005" s="85">
        <v>59250.192440840852</v>
      </c>
      <c r="R1005" s="82" t="s">
        <v>3399</v>
      </c>
      <c r="S1005" s="7">
        <f t="shared" si="46"/>
        <v>0</v>
      </c>
      <c r="T1005" s="6">
        <f t="shared" si="47"/>
        <v>0</v>
      </c>
      <c r="U1005" s="25">
        <f t="shared" si="45"/>
        <v>0</v>
      </c>
    </row>
    <row r="1006" spans="1:21" ht="10.9" customHeight="1" x14ac:dyDescent="0.2">
      <c r="A1006" s="82" t="s">
        <v>2480</v>
      </c>
      <c r="B1006" s="83">
        <v>45779</v>
      </c>
      <c r="C1006" s="82" t="s">
        <v>3395</v>
      </c>
      <c r="D1006" s="82" t="s">
        <v>1902</v>
      </c>
      <c r="E1006" s="82"/>
      <c r="F1006" s="82" t="s">
        <v>5452</v>
      </c>
      <c r="G1006" s="89">
        <v>2</v>
      </c>
      <c r="H1006" s="89">
        <v>3364.95</v>
      </c>
      <c r="I1006" s="85">
        <v>0</v>
      </c>
      <c r="J1006" s="85">
        <v>0</v>
      </c>
      <c r="K1006" s="85">
        <v>6729.9</v>
      </c>
      <c r="L1006" s="85">
        <v>42873.38</v>
      </c>
      <c r="M1006" s="89">
        <v>4650.2966422009977</v>
      </c>
      <c r="N1006" s="85">
        <v>0</v>
      </c>
      <c r="O1006" s="85">
        <v>0</v>
      </c>
      <c r="P1006" s="85">
        <v>9300.5932844019953</v>
      </c>
      <c r="Q1006" s="85">
        <v>59250.192440840852</v>
      </c>
      <c r="R1006" s="82" t="s">
        <v>3399</v>
      </c>
      <c r="S1006" s="7">
        <f t="shared" si="46"/>
        <v>0</v>
      </c>
      <c r="T1006" s="6">
        <f t="shared" si="47"/>
        <v>0</v>
      </c>
      <c r="U1006" s="25">
        <f t="shared" si="45"/>
        <v>0</v>
      </c>
    </row>
    <row r="1007" spans="1:21" ht="10.9" customHeight="1" x14ac:dyDescent="0.2">
      <c r="A1007" s="82"/>
      <c r="B1007" s="83">
        <v>45779</v>
      </c>
      <c r="C1007" s="82" t="s">
        <v>3423</v>
      </c>
      <c r="D1007" s="82" t="s">
        <v>3562</v>
      </c>
      <c r="E1007" s="82"/>
      <c r="F1007" s="82" t="s">
        <v>3562</v>
      </c>
      <c r="G1007" s="89">
        <v>-1</v>
      </c>
      <c r="H1007" s="89">
        <v>8950</v>
      </c>
      <c r="I1007" s="85">
        <v>0</v>
      </c>
      <c r="J1007" s="85">
        <v>0</v>
      </c>
      <c r="K1007" s="85">
        <v>-8950</v>
      </c>
      <c r="L1007" s="85">
        <v>-8950</v>
      </c>
      <c r="M1007" s="89">
        <v>12368.729088901449</v>
      </c>
      <c r="N1007" s="85">
        <v>0</v>
      </c>
      <c r="O1007" s="85">
        <v>0</v>
      </c>
      <c r="P1007" s="85">
        <v>-12368.729088901449</v>
      </c>
      <c r="Q1007" s="85">
        <v>-12368.729088901449</v>
      </c>
      <c r="R1007" s="82" t="s">
        <v>3399</v>
      </c>
      <c r="S1007" s="7">
        <f t="shared" si="46"/>
        <v>0</v>
      </c>
      <c r="T1007" s="6">
        <f t="shared" si="47"/>
        <v>0</v>
      </c>
      <c r="U1007" s="25">
        <f t="shared" si="45"/>
        <v>0</v>
      </c>
    </row>
    <row r="1008" spans="1:21" ht="10.9" customHeight="1" x14ac:dyDescent="0.2">
      <c r="A1008" s="82" t="s">
        <v>2717</v>
      </c>
      <c r="B1008" s="83">
        <v>45782</v>
      </c>
      <c r="C1008" s="82" t="s">
        <v>3395</v>
      </c>
      <c r="D1008" s="82" t="s">
        <v>1494</v>
      </c>
      <c r="E1008" s="82"/>
      <c r="F1008" s="82" t="s">
        <v>4732</v>
      </c>
      <c r="G1008" s="89">
        <v>1</v>
      </c>
      <c r="H1008" s="89">
        <v>481.71</v>
      </c>
      <c r="I1008" s="85">
        <v>0</v>
      </c>
      <c r="J1008" s="85">
        <v>24.09</v>
      </c>
      <c r="K1008" s="85">
        <v>505.8</v>
      </c>
      <c r="L1008" s="85">
        <v>505.8</v>
      </c>
      <c r="M1008" s="89">
        <v>481.71</v>
      </c>
      <c r="N1008" s="85">
        <v>0</v>
      </c>
      <c r="O1008" s="85">
        <v>24.09</v>
      </c>
      <c r="P1008" s="85">
        <v>505.8</v>
      </c>
      <c r="Q1008" s="85">
        <v>505.8</v>
      </c>
      <c r="R1008" s="82" t="s">
        <v>3399</v>
      </c>
      <c r="S1008" s="7">
        <f t="shared" si="46"/>
        <v>0</v>
      </c>
      <c r="T1008" s="6">
        <f t="shared" si="47"/>
        <v>0</v>
      </c>
      <c r="U1008" s="25">
        <f t="shared" si="45"/>
        <v>0</v>
      </c>
    </row>
    <row r="1009" spans="1:21" ht="10.9" customHeight="1" x14ac:dyDescent="0.2">
      <c r="A1009" s="82" t="s">
        <v>2718</v>
      </c>
      <c r="B1009" s="83">
        <v>45782</v>
      </c>
      <c r="C1009" s="82" t="s">
        <v>3395</v>
      </c>
      <c r="D1009" s="82" t="s">
        <v>1492</v>
      </c>
      <c r="E1009" s="82"/>
      <c r="F1009" s="82" t="s">
        <v>4532</v>
      </c>
      <c r="G1009" s="89">
        <v>1</v>
      </c>
      <c r="H1009" s="89">
        <v>110.83</v>
      </c>
      <c r="I1009" s="85">
        <v>0</v>
      </c>
      <c r="J1009" s="85">
        <v>5.54</v>
      </c>
      <c r="K1009" s="85">
        <v>116.37</v>
      </c>
      <c r="L1009" s="85">
        <v>464.61</v>
      </c>
      <c r="M1009" s="89">
        <v>110.83</v>
      </c>
      <c r="N1009" s="85">
        <v>0</v>
      </c>
      <c r="O1009" s="85">
        <v>5.54</v>
      </c>
      <c r="P1009" s="85">
        <v>116.37</v>
      </c>
      <c r="Q1009" s="85">
        <v>464.61</v>
      </c>
      <c r="R1009" s="82" t="s">
        <v>3399</v>
      </c>
      <c r="S1009" s="7">
        <f t="shared" si="46"/>
        <v>0</v>
      </c>
      <c r="T1009" s="6">
        <f t="shared" si="47"/>
        <v>0</v>
      </c>
      <c r="U1009" s="25">
        <f t="shared" si="45"/>
        <v>0</v>
      </c>
    </row>
    <row r="1010" spans="1:21" ht="10.9" customHeight="1" x14ac:dyDescent="0.2">
      <c r="A1010" s="82" t="s">
        <v>2718</v>
      </c>
      <c r="B1010" s="83">
        <v>45782</v>
      </c>
      <c r="C1010" s="82" t="s">
        <v>3395</v>
      </c>
      <c r="D1010" s="82" t="s">
        <v>1492</v>
      </c>
      <c r="E1010" s="82"/>
      <c r="F1010" s="82" t="s">
        <v>5179</v>
      </c>
      <c r="G1010" s="89">
        <v>1</v>
      </c>
      <c r="H1010" s="89">
        <v>297.83999999999997</v>
      </c>
      <c r="I1010" s="85">
        <v>0</v>
      </c>
      <c r="J1010" s="85">
        <v>14.89</v>
      </c>
      <c r="K1010" s="85">
        <v>312.73</v>
      </c>
      <c r="L1010" s="85">
        <v>464.61</v>
      </c>
      <c r="M1010" s="89">
        <v>297.83999999999997</v>
      </c>
      <c r="N1010" s="85">
        <v>0</v>
      </c>
      <c r="O1010" s="85">
        <v>14.89</v>
      </c>
      <c r="P1010" s="85">
        <v>312.73</v>
      </c>
      <c r="Q1010" s="85">
        <v>464.61</v>
      </c>
      <c r="R1010" s="82" t="s">
        <v>3399</v>
      </c>
      <c r="S1010" s="7">
        <f t="shared" si="46"/>
        <v>0</v>
      </c>
      <c r="T1010" s="6">
        <f t="shared" si="47"/>
        <v>0</v>
      </c>
      <c r="U1010" s="25">
        <f t="shared" si="45"/>
        <v>0</v>
      </c>
    </row>
    <row r="1011" spans="1:21" ht="10.9" customHeight="1" x14ac:dyDescent="0.2">
      <c r="A1011" s="82" t="s">
        <v>2718</v>
      </c>
      <c r="B1011" s="83">
        <v>45782</v>
      </c>
      <c r="C1011" s="82" t="s">
        <v>3395</v>
      </c>
      <c r="D1011" s="82" t="s">
        <v>1492</v>
      </c>
      <c r="E1011" s="82"/>
      <c r="F1011" s="82" t="s">
        <v>5031</v>
      </c>
      <c r="G1011" s="89">
        <v>1</v>
      </c>
      <c r="H1011" s="89">
        <v>33.82</v>
      </c>
      <c r="I1011" s="85">
        <v>0</v>
      </c>
      <c r="J1011" s="85">
        <v>1.69</v>
      </c>
      <c r="K1011" s="85">
        <v>35.51</v>
      </c>
      <c r="L1011" s="85">
        <v>464.61</v>
      </c>
      <c r="M1011" s="89">
        <v>33.82</v>
      </c>
      <c r="N1011" s="85">
        <v>0</v>
      </c>
      <c r="O1011" s="85">
        <v>1.69</v>
      </c>
      <c r="P1011" s="85">
        <v>35.51</v>
      </c>
      <c r="Q1011" s="85">
        <v>464.61</v>
      </c>
      <c r="R1011" s="82" t="s">
        <v>3399</v>
      </c>
      <c r="S1011" s="7">
        <f t="shared" si="46"/>
        <v>0</v>
      </c>
      <c r="T1011" s="6">
        <f t="shared" si="47"/>
        <v>0</v>
      </c>
      <c r="U1011" s="25">
        <f t="shared" si="45"/>
        <v>0</v>
      </c>
    </row>
    <row r="1012" spans="1:21" ht="10.9" customHeight="1" x14ac:dyDescent="0.2">
      <c r="A1012" s="82" t="s">
        <v>2508</v>
      </c>
      <c r="B1012" s="83">
        <v>45783</v>
      </c>
      <c r="C1012" s="82" t="s">
        <v>3395</v>
      </c>
      <c r="D1012" s="82" t="s">
        <v>2075</v>
      </c>
      <c r="E1012" s="82"/>
      <c r="F1012" s="82" t="s">
        <v>5451</v>
      </c>
      <c r="G1012" s="89">
        <v>1</v>
      </c>
      <c r="H1012" s="89">
        <v>369.88</v>
      </c>
      <c r="I1012" s="85">
        <v>0</v>
      </c>
      <c r="J1012" s="85">
        <v>0</v>
      </c>
      <c r="K1012" s="85">
        <v>369.88</v>
      </c>
      <c r="L1012" s="85">
        <v>369.88</v>
      </c>
      <c r="M1012" s="89">
        <v>509.55800100291509</v>
      </c>
      <c r="N1012" s="85">
        <v>0</v>
      </c>
      <c r="O1012" s="85">
        <v>0</v>
      </c>
      <c r="P1012" s="85">
        <v>509.55800100291509</v>
      </c>
      <c r="Q1012" s="85">
        <v>509.55800100291509</v>
      </c>
      <c r="R1012" s="82" t="s">
        <v>3399</v>
      </c>
      <c r="S1012" s="7">
        <f t="shared" si="46"/>
        <v>0</v>
      </c>
      <c r="T1012" s="6">
        <f t="shared" si="47"/>
        <v>0</v>
      </c>
      <c r="U1012" s="25">
        <f t="shared" si="45"/>
        <v>0</v>
      </c>
    </row>
    <row r="1013" spans="1:21" ht="10.9" customHeight="1" x14ac:dyDescent="0.2">
      <c r="A1013" s="82" t="s">
        <v>2729</v>
      </c>
      <c r="B1013" s="83">
        <v>45783</v>
      </c>
      <c r="C1013" s="82" t="s">
        <v>3395</v>
      </c>
      <c r="D1013" s="82" t="s">
        <v>1472</v>
      </c>
      <c r="E1013" s="82"/>
      <c r="F1013" s="82" t="s">
        <v>4813</v>
      </c>
      <c r="G1013" s="89">
        <v>1</v>
      </c>
      <c r="H1013" s="89">
        <v>1095.73</v>
      </c>
      <c r="I1013" s="85">
        <v>0</v>
      </c>
      <c r="J1013" s="85">
        <v>54.79</v>
      </c>
      <c r="K1013" s="85">
        <v>1150.52</v>
      </c>
      <c r="L1013" s="85">
        <v>1150.52</v>
      </c>
      <c r="M1013" s="89">
        <v>1095.73</v>
      </c>
      <c r="N1013" s="85">
        <v>0</v>
      </c>
      <c r="O1013" s="85">
        <v>54.79</v>
      </c>
      <c r="P1013" s="85">
        <v>1150.52</v>
      </c>
      <c r="Q1013" s="85">
        <v>1150.52</v>
      </c>
      <c r="R1013" s="82" t="s">
        <v>3399</v>
      </c>
      <c r="S1013" s="7">
        <f t="shared" si="46"/>
        <v>0</v>
      </c>
      <c r="T1013" s="6">
        <f t="shared" si="47"/>
        <v>0</v>
      </c>
      <c r="U1013" s="25">
        <f t="shared" si="45"/>
        <v>0</v>
      </c>
    </row>
    <row r="1014" spans="1:21" ht="10.9" customHeight="1" x14ac:dyDescent="0.2">
      <c r="A1014" s="82" t="s">
        <v>2721</v>
      </c>
      <c r="B1014" s="83">
        <v>45783</v>
      </c>
      <c r="C1014" s="82" t="s">
        <v>3395</v>
      </c>
      <c r="D1014" s="82" t="s">
        <v>1488</v>
      </c>
      <c r="E1014" s="82"/>
      <c r="F1014" s="82" t="s">
        <v>4843</v>
      </c>
      <c r="G1014" s="89">
        <v>1</v>
      </c>
      <c r="H1014" s="89">
        <v>1158.4000000000001</v>
      </c>
      <c r="I1014" s="85">
        <v>0</v>
      </c>
      <c r="J1014" s="85">
        <v>57.92</v>
      </c>
      <c r="K1014" s="85">
        <v>1216.32</v>
      </c>
      <c r="L1014" s="85">
        <v>2189.1799999999998</v>
      </c>
      <c r="M1014" s="89">
        <v>1158.4000000000001</v>
      </c>
      <c r="N1014" s="85">
        <v>0</v>
      </c>
      <c r="O1014" s="85">
        <v>57.92</v>
      </c>
      <c r="P1014" s="85">
        <v>1216.32</v>
      </c>
      <c r="Q1014" s="85">
        <v>2189.1799999999998</v>
      </c>
      <c r="R1014" s="82" t="s">
        <v>3399</v>
      </c>
      <c r="S1014" s="7">
        <f t="shared" si="46"/>
        <v>0</v>
      </c>
      <c r="T1014" s="6">
        <f t="shared" si="47"/>
        <v>0</v>
      </c>
      <c r="U1014" s="25">
        <f t="shared" si="45"/>
        <v>0</v>
      </c>
    </row>
    <row r="1015" spans="1:21" ht="10.9" customHeight="1" x14ac:dyDescent="0.2">
      <c r="A1015" s="82" t="s">
        <v>2721</v>
      </c>
      <c r="B1015" s="83">
        <v>45783</v>
      </c>
      <c r="C1015" s="82" t="s">
        <v>3395</v>
      </c>
      <c r="D1015" s="82" t="s">
        <v>1488</v>
      </c>
      <c r="E1015" s="82"/>
      <c r="F1015" s="82" t="s">
        <v>4554</v>
      </c>
      <c r="G1015" s="89">
        <v>1</v>
      </c>
      <c r="H1015" s="89">
        <v>926.53</v>
      </c>
      <c r="I1015" s="85">
        <v>0</v>
      </c>
      <c r="J1015" s="85">
        <v>46.33</v>
      </c>
      <c r="K1015" s="85">
        <v>972.86</v>
      </c>
      <c r="L1015" s="85">
        <v>2189.1799999999998</v>
      </c>
      <c r="M1015" s="89">
        <v>926.53</v>
      </c>
      <c r="N1015" s="85">
        <v>0</v>
      </c>
      <c r="O1015" s="85">
        <v>46.33</v>
      </c>
      <c r="P1015" s="85">
        <v>972.86</v>
      </c>
      <c r="Q1015" s="85">
        <v>2189.1799999999998</v>
      </c>
      <c r="R1015" s="82" t="s">
        <v>3399</v>
      </c>
      <c r="S1015" s="7">
        <f t="shared" si="46"/>
        <v>0</v>
      </c>
      <c r="T1015" s="6">
        <f t="shared" si="47"/>
        <v>0</v>
      </c>
      <c r="U1015" s="25">
        <f t="shared" si="45"/>
        <v>0</v>
      </c>
    </row>
    <row r="1016" spans="1:21" ht="10.9" customHeight="1" x14ac:dyDescent="0.2">
      <c r="A1016" s="82" t="s">
        <v>2721</v>
      </c>
      <c r="B1016" s="83">
        <v>45783</v>
      </c>
      <c r="C1016" s="82" t="s">
        <v>3395</v>
      </c>
      <c r="D1016" s="82" t="s">
        <v>1488</v>
      </c>
      <c r="E1016" s="82"/>
      <c r="F1016" s="82" t="s">
        <v>4805</v>
      </c>
      <c r="G1016" s="89">
        <v>1</v>
      </c>
      <c r="H1016" s="89">
        <v>29.85</v>
      </c>
      <c r="I1016" s="85">
        <v>29.85</v>
      </c>
      <c r="J1016" s="85">
        <v>0</v>
      </c>
      <c r="K1016" s="85">
        <v>0</v>
      </c>
      <c r="L1016" s="85">
        <v>2189.1799999999998</v>
      </c>
      <c r="M1016" s="89">
        <v>29.85</v>
      </c>
      <c r="N1016" s="85">
        <v>29.85</v>
      </c>
      <c r="O1016" s="85">
        <v>0</v>
      </c>
      <c r="P1016" s="85">
        <v>0</v>
      </c>
      <c r="Q1016" s="85">
        <v>2189.1799999999998</v>
      </c>
      <c r="R1016" s="82" t="s">
        <v>3399</v>
      </c>
      <c r="S1016" s="7">
        <f t="shared" si="46"/>
        <v>0</v>
      </c>
      <c r="T1016" s="6">
        <f t="shared" si="47"/>
        <v>0</v>
      </c>
      <c r="U1016" s="25">
        <f t="shared" si="45"/>
        <v>0</v>
      </c>
    </row>
    <row r="1017" spans="1:21" ht="10.9" customHeight="1" x14ac:dyDescent="0.2">
      <c r="A1017" s="82" t="s">
        <v>2723</v>
      </c>
      <c r="B1017" s="83">
        <v>45783</v>
      </c>
      <c r="C1017" s="82" t="s">
        <v>3395</v>
      </c>
      <c r="D1017" s="82" t="s">
        <v>1484</v>
      </c>
      <c r="E1017" s="82"/>
      <c r="F1017" s="82" t="s">
        <v>4963</v>
      </c>
      <c r="G1017" s="89">
        <v>4</v>
      </c>
      <c r="H1017" s="89">
        <v>34.200000000000003</v>
      </c>
      <c r="I1017" s="85">
        <v>0</v>
      </c>
      <c r="J1017" s="85">
        <v>6.84</v>
      </c>
      <c r="K1017" s="85">
        <v>143.63999999999999</v>
      </c>
      <c r="L1017" s="85">
        <v>143.63999999999999</v>
      </c>
      <c r="M1017" s="89">
        <v>34.200000000000003</v>
      </c>
      <c r="N1017" s="85">
        <v>0</v>
      </c>
      <c r="O1017" s="85">
        <v>6.84</v>
      </c>
      <c r="P1017" s="85">
        <v>143.63999999999999</v>
      </c>
      <c r="Q1017" s="85">
        <v>143.63999999999999</v>
      </c>
      <c r="R1017" s="82" t="s">
        <v>3399</v>
      </c>
      <c r="S1017" s="7">
        <f t="shared" si="46"/>
        <v>0</v>
      </c>
      <c r="T1017" s="6">
        <f t="shared" si="47"/>
        <v>0</v>
      </c>
      <c r="U1017" s="25">
        <f t="shared" si="45"/>
        <v>0</v>
      </c>
    </row>
    <row r="1018" spans="1:21" ht="10.9" customHeight="1" x14ac:dyDescent="0.2">
      <c r="A1018" s="82" t="s">
        <v>2722</v>
      </c>
      <c r="B1018" s="83">
        <v>45783</v>
      </c>
      <c r="C1018" s="82" t="s">
        <v>3395</v>
      </c>
      <c r="D1018" s="82" t="s">
        <v>1486</v>
      </c>
      <c r="E1018" s="82"/>
      <c r="F1018" s="82" t="s">
        <v>4399</v>
      </c>
      <c r="G1018" s="89">
        <v>1</v>
      </c>
      <c r="H1018" s="89">
        <v>3038.47</v>
      </c>
      <c r="I1018" s="85">
        <v>0</v>
      </c>
      <c r="J1018" s="85">
        <v>151.91999999999999</v>
      </c>
      <c r="K1018" s="85">
        <v>3190.39</v>
      </c>
      <c r="L1018" s="85">
        <v>3190.39</v>
      </c>
      <c r="M1018" s="89">
        <v>3038.47</v>
      </c>
      <c r="N1018" s="85">
        <v>0</v>
      </c>
      <c r="O1018" s="85">
        <v>151.91999999999999</v>
      </c>
      <c r="P1018" s="85">
        <v>3190.39</v>
      </c>
      <c r="Q1018" s="85">
        <v>3190.39</v>
      </c>
      <c r="R1018" s="82" t="s">
        <v>3399</v>
      </c>
      <c r="S1018" s="7">
        <f t="shared" si="46"/>
        <v>0</v>
      </c>
      <c r="T1018" s="6">
        <f t="shared" si="47"/>
        <v>0</v>
      </c>
      <c r="U1018" s="25">
        <f t="shared" si="45"/>
        <v>0</v>
      </c>
    </row>
    <row r="1019" spans="1:21" ht="10.9" customHeight="1" x14ac:dyDescent="0.2">
      <c r="A1019" s="82" t="s">
        <v>2272</v>
      </c>
      <c r="B1019" s="83">
        <v>45784</v>
      </c>
      <c r="C1019" s="82" t="s">
        <v>3395</v>
      </c>
      <c r="D1019" s="82" t="s">
        <v>2264</v>
      </c>
      <c r="E1019" s="82"/>
      <c r="F1019" s="82" t="s">
        <v>5448</v>
      </c>
      <c r="G1019" s="89">
        <v>1</v>
      </c>
      <c r="H1019" s="89">
        <v>11639.6</v>
      </c>
      <c r="I1019" s="85">
        <v>0</v>
      </c>
      <c r="J1019" s="85">
        <v>0</v>
      </c>
      <c r="K1019" s="85">
        <v>11639.6</v>
      </c>
      <c r="L1019" s="85">
        <v>11639.6</v>
      </c>
      <c r="M1019" s="89">
        <v>16091.509087038148</v>
      </c>
      <c r="N1019" s="85">
        <v>0</v>
      </c>
      <c r="O1019" s="85">
        <v>0</v>
      </c>
      <c r="P1019" s="85">
        <v>16091.509087038148</v>
      </c>
      <c r="Q1019" s="85">
        <v>16091.509087038148</v>
      </c>
      <c r="R1019" s="82" t="s">
        <v>3399</v>
      </c>
      <c r="S1019" s="7">
        <f t="shared" si="46"/>
        <v>0</v>
      </c>
      <c r="T1019" s="6">
        <f t="shared" si="47"/>
        <v>0</v>
      </c>
      <c r="U1019" s="25">
        <f t="shared" si="45"/>
        <v>0</v>
      </c>
    </row>
    <row r="1020" spans="1:21" ht="10.9" customHeight="1" x14ac:dyDescent="0.2">
      <c r="A1020" s="82" t="s">
        <v>2456</v>
      </c>
      <c r="B1020" s="83">
        <v>45784</v>
      </c>
      <c r="C1020" s="82" t="s">
        <v>3395</v>
      </c>
      <c r="D1020" s="82" t="s">
        <v>1947</v>
      </c>
      <c r="E1020" s="82"/>
      <c r="F1020" s="82" t="s">
        <v>5450</v>
      </c>
      <c r="G1020" s="89">
        <v>1</v>
      </c>
      <c r="H1020" s="89">
        <v>22.78</v>
      </c>
      <c r="I1020" s="85">
        <v>0</v>
      </c>
      <c r="J1020" s="85">
        <v>1.1399999999999999</v>
      </c>
      <c r="K1020" s="85">
        <v>23.92</v>
      </c>
      <c r="L1020" s="85">
        <v>23.92</v>
      </c>
      <c r="M1020" s="89">
        <v>22.78</v>
      </c>
      <c r="N1020" s="85">
        <v>0</v>
      </c>
      <c r="O1020" s="85">
        <v>1.1399999999999999</v>
      </c>
      <c r="P1020" s="85">
        <v>23.92</v>
      </c>
      <c r="Q1020" s="85">
        <v>23.92</v>
      </c>
      <c r="R1020" s="82" t="s">
        <v>3399</v>
      </c>
      <c r="S1020" s="7">
        <f t="shared" si="46"/>
        <v>0</v>
      </c>
      <c r="T1020" s="6">
        <f t="shared" si="47"/>
        <v>0</v>
      </c>
      <c r="U1020" s="25">
        <f t="shared" si="45"/>
        <v>0</v>
      </c>
    </row>
    <row r="1021" spans="1:21" ht="10.9" customHeight="1" x14ac:dyDescent="0.2">
      <c r="A1021" s="82" t="s">
        <v>2287</v>
      </c>
      <c r="B1021" s="83">
        <v>45784</v>
      </c>
      <c r="C1021" s="82" t="s">
        <v>3395</v>
      </c>
      <c r="D1021" s="82" t="s">
        <v>2233</v>
      </c>
      <c r="E1021" s="82"/>
      <c r="F1021" s="82" t="s">
        <v>5064</v>
      </c>
      <c r="G1021" s="89">
        <v>1</v>
      </c>
      <c r="H1021" s="89">
        <v>841.68</v>
      </c>
      <c r="I1021" s="85">
        <v>0</v>
      </c>
      <c r="J1021" s="85">
        <v>42.08</v>
      </c>
      <c r="K1021" s="85">
        <v>883.76</v>
      </c>
      <c r="L1021" s="85">
        <v>1334.08</v>
      </c>
      <c r="M1021" s="89">
        <v>841.68</v>
      </c>
      <c r="N1021" s="85">
        <v>0</v>
      </c>
      <c r="O1021" s="85">
        <v>42.08</v>
      </c>
      <c r="P1021" s="85">
        <v>883.76</v>
      </c>
      <c r="Q1021" s="85">
        <v>1334.08</v>
      </c>
      <c r="R1021" s="82" t="s">
        <v>3399</v>
      </c>
      <c r="S1021" s="7">
        <f t="shared" si="46"/>
        <v>0</v>
      </c>
      <c r="T1021" s="6">
        <f t="shared" si="47"/>
        <v>0</v>
      </c>
      <c r="U1021" s="25">
        <f t="shared" si="45"/>
        <v>0</v>
      </c>
    </row>
    <row r="1022" spans="1:21" ht="10.9" customHeight="1" x14ac:dyDescent="0.2">
      <c r="A1022" s="82" t="s">
        <v>2287</v>
      </c>
      <c r="B1022" s="83">
        <v>45784</v>
      </c>
      <c r="C1022" s="82" t="s">
        <v>3395</v>
      </c>
      <c r="D1022" s="82" t="s">
        <v>2233</v>
      </c>
      <c r="E1022" s="82"/>
      <c r="F1022" s="82" t="s">
        <v>5444</v>
      </c>
      <c r="G1022" s="89">
        <v>1</v>
      </c>
      <c r="H1022" s="89">
        <v>428.88</v>
      </c>
      <c r="I1022" s="85">
        <v>0</v>
      </c>
      <c r="J1022" s="85">
        <v>21.44</v>
      </c>
      <c r="K1022" s="85">
        <v>450.32</v>
      </c>
      <c r="L1022" s="85">
        <v>1334.08</v>
      </c>
      <c r="M1022" s="89">
        <v>428.88</v>
      </c>
      <c r="N1022" s="85">
        <v>0</v>
      </c>
      <c r="O1022" s="85">
        <v>21.44</v>
      </c>
      <c r="P1022" s="85">
        <v>450.32</v>
      </c>
      <c r="Q1022" s="85">
        <v>1334.08</v>
      </c>
      <c r="R1022" s="82" t="s">
        <v>3399</v>
      </c>
      <c r="S1022" s="7">
        <f t="shared" si="46"/>
        <v>0</v>
      </c>
      <c r="T1022" s="6">
        <f t="shared" si="47"/>
        <v>0</v>
      </c>
      <c r="U1022" s="25">
        <f t="shared" si="45"/>
        <v>0</v>
      </c>
    </row>
    <row r="1023" spans="1:21" ht="10.9" customHeight="1" x14ac:dyDescent="0.2">
      <c r="A1023" s="82" t="s">
        <v>2334</v>
      </c>
      <c r="B1023" s="83">
        <v>45784</v>
      </c>
      <c r="C1023" s="82" t="s">
        <v>3395</v>
      </c>
      <c r="D1023" s="82" t="s">
        <v>3560</v>
      </c>
      <c r="E1023" s="82"/>
      <c r="F1023" s="82" t="s">
        <v>5449</v>
      </c>
      <c r="G1023" s="89">
        <v>1</v>
      </c>
      <c r="H1023" s="89">
        <v>418.14</v>
      </c>
      <c r="I1023" s="85">
        <v>0</v>
      </c>
      <c r="J1023" s="85">
        <v>20.91</v>
      </c>
      <c r="K1023" s="85">
        <v>439.05</v>
      </c>
      <c r="L1023" s="85">
        <v>889.37</v>
      </c>
      <c r="M1023" s="89">
        <v>418.14</v>
      </c>
      <c r="N1023" s="85">
        <v>0</v>
      </c>
      <c r="O1023" s="85">
        <v>20.91</v>
      </c>
      <c r="P1023" s="85">
        <v>439.05</v>
      </c>
      <c r="Q1023" s="85">
        <v>889.37</v>
      </c>
      <c r="R1023" s="82" t="s">
        <v>3399</v>
      </c>
      <c r="S1023" s="7">
        <f t="shared" si="46"/>
        <v>0</v>
      </c>
      <c r="T1023" s="6">
        <f t="shared" si="47"/>
        <v>0</v>
      </c>
      <c r="U1023" s="25">
        <f t="shared" si="45"/>
        <v>0</v>
      </c>
    </row>
    <row r="1024" spans="1:21" ht="10.9" customHeight="1" x14ac:dyDescent="0.2">
      <c r="A1024" s="82" t="s">
        <v>2334</v>
      </c>
      <c r="B1024" s="83">
        <v>45784</v>
      </c>
      <c r="C1024" s="82" t="s">
        <v>3395</v>
      </c>
      <c r="D1024" s="82" t="s">
        <v>3560</v>
      </c>
      <c r="E1024" s="82"/>
      <c r="F1024" s="82" t="s">
        <v>5444</v>
      </c>
      <c r="G1024" s="89">
        <v>1</v>
      </c>
      <c r="H1024" s="89">
        <v>428.88</v>
      </c>
      <c r="I1024" s="85">
        <v>0</v>
      </c>
      <c r="J1024" s="85">
        <v>21.44</v>
      </c>
      <c r="K1024" s="85">
        <v>450.32</v>
      </c>
      <c r="L1024" s="85">
        <v>889.37</v>
      </c>
      <c r="M1024" s="89">
        <v>428.88</v>
      </c>
      <c r="N1024" s="85">
        <v>0</v>
      </c>
      <c r="O1024" s="85">
        <v>21.44</v>
      </c>
      <c r="P1024" s="85">
        <v>450.32</v>
      </c>
      <c r="Q1024" s="85">
        <v>889.37</v>
      </c>
      <c r="R1024" s="82" t="s">
        <v>3399</v>
      </c>
      <c r="S1024" s="7">
        <f t="shared" si="46"/>
        <v>0</v>
      </c>
      <c r="T1024" s="6">
        <f t="shared" si="47"/>
        <v>0</v>
      </c>
      <c r="U1024" s="25">
        <f t="shared" si="45"/>
        <v>0</v>
      </c>
    </row>
    <row r="1025" spans="1:21" ht="10.9" customHeight="1" x14ac:dyDescent="0.2">
      <c r="A1025" s="82" t="s">
        <v>2727</v>
      </c>
      <c r="B1025" s="83">
        <v>45784</v>
      </c>
      <c r="C1025" s="82" t="s">
        <v>3395</v>
      </c>
      <c r="D1025" s="82" t="s">
        <v>1476</v>
      </c>
      <c r="E1025" s="82"/>
      <c r="F1025" s="82" t="s">
        <v>5338</v>
      </c>
      <c r="G1025" s="89">
        <v>1</v>
      </c>
      <c r="H1025" s="89">
        <v>119.4</v>
      </c>
      <c r="I1025" s="85">
        <v>0</v>
      </c>
      <c r="J1025" s="85">
        <v>15.52</v>
      </c>
      <c r="K1025" s="85">
        <v>134.91999999999999</v>
      </c>
      <c r="L1025" s="85">
        <v>134.91999999999999</v>
      </c>
      <c r="M1025" s="89">
        <v>119.4</v>
      </c>
      <c r="N1025" s="85">
        <v>0</v>
      </c>
      <c r="O1025" s="85">
        <v>15.52</v>
      </c>
      <c r="P1025" s="85">
        <v>134.91999999999999</v>
      </c>
      <c r="Q1025" s="85">
        <v>134.91999999999999</v>
      </c>
      <c r="R1025" s="82" t="s">
        <v>3399</v>
      </c>
      <c r="S1025" s="7">
        <f t="shared" si="46"/>
        <v>0</v>
      </c>
      <c r="T1025" s="6">
        <f t="shared" si="47"/>
        <v>0</v>
      </c>
      <c r="U1025" s="25">
        <f t="shared" si="45"/>
        <v>0</v>
      </c>
    </row>
    <row r="1026" spans="1:21" ht="10.9" customHeight="1" x14ac:dyDescent="0.2">
      <c r="A1026" s="82" t="s">
        <v>2698</v>
      </c>
      <c r="B1026" s="83">
        <v>45784</v>
      </c>
      <c r="C1026" s="82" t="s">
        <v>3395</v>
      </c>
      <c r="D1026" s="82" t="s">
        <v>1527</v>
      </c>
      <c r="E1026" s="82"/>
      <c r="F1026" s="82" t="s">
        <v>4686</v>
      </c>
      <c r="G1026" s="89">
        <v>1</v>
      </c>
      <c r="H1026" s="89">
        <v>152.13</v>
      </c>
      <c r="I1026" s="85">
        <v>0</v>
      </c>
      <c r="J1026" s="85">
        <v>7.61</v>
      </c>
      <c r="K1026" s="85">
        <v>159.74</v>
      </c>
      <c r="L1026" s="85">
        <v>159.74</v>
      </c>
      <c r="M1026" s="89">
        <v>152.13</v>
      </c>
      <c r="N1026" s="85">
        <v>0</v>
      </c>
      <c r="O1026" s="85">
        <v>7.61</v>
      </c>
      <c r="P1026" s="85">
        <v>159.74</v>
      </c>
      <c r="Q1026" s="85">
        <v>159.74</v>
      </c>
      <c r="R1026" s="82" t="s">
        <v>3399</v>
      </c>
      <c r="S1026" s="7">
        <f t="shared" si="46"/>
        <v>0</v>
      </c>
      <c r="T1026" s="6">
        <f t="shared" si="47"/>
        <v>0</v>
      </c>
      <c r="U1026" s="25">
        <f t="shared" ref="U1026:U1089" si="48">IF(T1026=1,K1026-J1026,0)</f>
        <v>0</v>
      </c>
    </row>
    <row r="1027" spans="1:21" ht="10.9" customHeight="1" x14ac:dyDescent="0.2">
      <c r="A1027" s="82" t="s">
        <v>2732</v>
      </c>
      <c r="B1027" s="83">
        <v>45784</v>
      </c>
      <c r="C1027" s="82" t="s">
        <v>3395</v>
      </c>
      <c r="D1027" s="82" t="s">
        <v>1468</v>
      </c>
      <c r="E1027" s="82"/>
      <c r="F1027" s="82" t="s">
        <v>4734</v>
      </c>
      <c r="G1027" s="89">
        <v>2</v>
      </c>
      <c r="H1027" s="89">
        <v>49.29</v>
      </c>
      <c r="I1027" s="85">
        <v>0</v>
      </c>
      <c r="J1027" s="85">
        <v>4.93</v>
      </c>
      <c r="K1027" s="85">
        <v>103.51</v>
      </c>
      <c r="L1027" s="85">
        <v>117.99</v>
      </c>
      <c r="M1027" s="89">
        <v>49.29</v>
      </c>
      <c r="N1027" s="85">
        <v>0</v>
      </c>
      <c r="O1027" s="85">
        <v>4.93</v>
      </c>
      <c r="P1027" s="85">
        <v>103.51</v>
      </c>
      <c r="Q1027" s="85">
        <v>117.99</v>
      </c>
      <c r="R1027" s="82" t="s">
        <v>3399</v>
      </c>
      <c r="S1027" s="7">
        <f t="shared" ref="S1027:S1090" si="49">IF(T1027=1,A1027,0)</f>
        <v>0</v>
      </c>
      <c r="T1027" s="6">
        <f t="shared" ref="T1027:T1090" si="50">IFERROR(FIND("Freight",F1027,1),0)</f>
        <v>0</v>
      </c>
      <c r="U1027" s="25">
        <f t="shared" si="48"/>
        <v>0</v>
      </c>
    </row>
    <row r="1028" spans="1:21" ht="10.9" customHeight="1" x14ac:dyDescent="0.2">
      <c r="A1028" s="82" t="s">
        <v>2732</v>
      </c>
      <c r="B1028" s="83">
        <v>45784</v>
      </c>
      <c r="C1028" s="82" t="s">
        <v>3395</v>
      </c>
      <c r="D1028" s="82" t="s">
        <v>1468</v>
      </c>
      <c r="E1028" s="82"/>
      <c r="F1028" s="82" t="s">
        <v>4735</v>
      </c>
      <c r="G1028" s="89">
        <v>1</v>
      </c>
      <c r="H1028" s="89">
        <v>13.79</v>
      </c>
      <c r="I1028" s="85">
        <v>0</v>
      </c>
      <c r="J1028" s="85">
        <v>0.69</v>
      </c>
      <c r="K1028" s="85">
        <v>14.48</v>
      </c>
      <c r="L1028" s="85">
        <v>117.99</v>
      </c>
      <c r="M1028" s="89">
        <v>13.79</v>
      </c>
      <c r="N1028" s="85">
        <v>0</v>
      </c>
      <c r="O1028" s="85">
        <v>0.69</v>
      </c>
      <c r="P1028" s="85">
        <v>14.48</v>
      </c>
      <c r="Q1028" s="85">
        <v>117.99</v>
      </c>
      <c r="R1028" s="82" t="s">
        <v>3399</v>
      </c>
      <c r="S1028" s="7">
        <f t="shared" si="49"/>
        <v>0</v>
      </c>
      <c r="T1028" s="6">
        <f t="shared" si="50"/>
        <v>0</v>
      </c>
      <c r="U1028" s="25">
        <f t="shared" si="48"/>
        <v>0</v>
      </c>
    </row>
    <row r="1029" spans="1:21" ht="10.9" customHeight="1" x14ac:dyDescent="0.2">
      <c r="A1029" s="82" t="s">
        <v>2558</v>
      </c>
      <c r="B1029" s="83">
        <v>45785</v>
      </c>
      <c r="C1029" s="82" t="s">
        <v>3395</v>
      </c>
      <c r="D1029" s="82" t="s">
        <v>3557</v>
      </c>
      <c r="E1029" s="82"/>
      <c r="F1029" s="82" t="s">
        <v>5447</v>
      </c>
      <c r="G1029" s="89">
        <v>1</v>
      </c>
      <c r="H1029" s="89">
        <v>345</v>
      </c>
      <c r="I1029" s="85">
        <v>0</v>
      </c>
      <c r="J1029" s="85">
        <v>0</v>
      </c>
      <c r="K1029" s="85">
        <v>345</v>
      </c>
      <c r="L1029" s="85">
        <v>899</v>
      </c>
      <c r="M1029" s="89">
        <v>480.41240271648843</v>
      </c>
      <c r="N1029" s="85">
        <v>0</v>
      </c>
      <c r="O1029" s="85">
        <v>0</v>
      </c>
      <c r="P1029" s="85">
        <v>480.41240271648843</v>
      </c>
      <c r="Q1029" s="85">
        <v>1251.8572464989077</v>
      </c>
      <c r="R1029" s="82" t="s">
        <v>3396</v>
      </c>
      <c r="S1029" s="7">
        <f t="shared" si="49"/>
        <v>0</v>
      </c>
      <c r="T1029" s="6">
        <f t="shared" si="50"/>
        <v>0</v>
      </c>
      <c r="U1029" s="25">
        <f t="shared" si="48"/>
        <v>0</v>
      </c>
    </row>
    <row r="1030" spans="1:21" ht="10.9" customHeight="1" x14ac:dyDescent="0.2">
      <c r="A1030" s="82" t="s">
        <v>2558</v>
      </c>
      <c r="B1030" s="83">
        <v>45785</v>
      </c>
      <c r="C1030" s="82" t="s">
        <v>3395</v>
      </c>
      <c r="D1030" s="82" t="s">
        <v>3557</v>
      </c>
      <c r="E1030" s="82"/>
      <c r="F1030" s="82" t="s">
        <v>5447</v>
      </c>
      <c r="G1030" s="89">
        <v>1</v>
      </c>
      <c r="H1030" s="89">
        <v>345</v>
      </c>
      <c r="I1030" s="85">
        <v>0</v>
      </c>
      <c r="J1030" s="85">
        <v>0</v>
      </c>
      <c r="K1030" s="85">
        <v>345</v>
      </c>
      <c r="L1030" s="85">
        <v>899</v>
      </c>
      <c r="M1030" s="89">
        <v>480.41240271648843</v>
      </c>
      <c r="N1030" s="85">
        <v>0</v>
      </c>
      <c r="O1030" s="85">
        <v>0</v>
      </c>
      <c r="P1030" s="85">
        <v>480.41240271648843</v>
      </c>
      <c r="Q1030" s="85">
        <v>1251.8572464989077</v>
      </c>
      <c r="R1030" s="82" t="s">
        <v>3396</v>
      </c>
      <c r="S1030" s="7">
        <f t="shared" si="49"/>
        <v>0</v>
      </c>
      <c r="T1030" s="6">
        <f t="shared" si="50"/>
        <v>0</v>
      </c>
      <c r="U1030" s="25">
        <f t="shared" si="48"/>
        <v>0</v>
      </c>
    </row>
    <row r="1031" spans="1:21" ht="10.9" customHeight="1" x14ac:dyDescent="0.2">
      <c r="A1031" s="82" t="s">
        <v>2558</v>
      </c>
      <c r="B1031" s="83">
        <v>45785</v>
      </c>
      <c r="C1031" s="82" t="s">
        <v>3395</v>
      </c>
      <c r="D1031" s="82" t="s">
        <v>3557</v>
      </c>
      <c r="E1031" s="82"/>
      <c r="F1031" s="82" t="s">
        <v>5446</v>
      </c>
      <c r="G1031" s="89">
        <v>1</v>
      </c>
      <c r="H1031" s="89">
        <v>209</v>
      </c>
      <c r="I1031" s="85">
        <v>0</v>
      </c>
      <c r="J1031" s="85">
        <v>0</v>
      </c>
      <c r="K1031" s="85">
        <v>209</v>
      </c>
      <c r="L1031" s="85">
        <v>899</v>
      </c>
      <c r="M1031" s="89">
        <v>291.0324410659307</v>
      </c>
      <c r="N1031" s="85">
        <v>0</v>
      </c>
      <c r="O1031" s="85">
        <v>0</v>
      </c>
      <c r="P1031" s="85">
        <v>291.0324410659307</v>
      </c>
      <c r="Q1031" s="85">
        <v>1251.8572464989077</v>
      </c>
      <c r="R1031" s="82" t="s">
        <v>3396</v>
      </c>
      <c r="S1031" s="7">
        <f t="shared" si="49"/>
        <v>0</v>
      </c>
      <c r="T1031" s="6">
        <f t="shared" si="50"/>
        <v>0</v>
      </c>
      <c r="U1031" s="25">
        <f t="shared" si="48"/>
        <v>0</v>
      </c>
    </row>
    <row r="1032" spans="1:21" ht="10.9" customHeight="1" x14ac:dyDescent="0.2">
      <c r="A1032" s="82" t="s">
        <v>2733</v>
      </c>
      <c r="B1032" s="83">
        <v>45785</v>
      </c>
      <c r="C1032" s="82" t="s">
        <v>3395</v>
      </c>
      <c r="D1032" s="82" t="s">
        <v>3558</v>
      </c>
      <c r="E1032" s="82"/>
      <c r="F1032" s="82" t="s">
        <v>4676</v>
      </c>
      <c r="G1032" s="89">
        <v>1</v>
      </c>
      <c r="H1032" s="89">
        <v>1237.1099999999999</v>
      </c>
      <c r="I1032" s="85">
        <v>0</v>
      </c>
      <c r="J1032" s="85">
        <v>61.86</v>
      </c>
      <c r="K1032" s="85">
        <v>1298.97</v>
      </c>
      <c r="L1032" s="85">
        <v>1298.97</v>
      </c>
      <c r="M1032" s="89">
        <v>1237.1099999999999</v>
      </c>
      <c r="N1032" s="85">
        <v>0</v>
      </c>
      <c r="O1032" s="85">
        <v>61.86</v>
      </c>
      <c r="P1032" s="85">
        <v>1298.97</v>
      </c>
      <c r="Q1032" s="85">
        <v>1298.97</v>
      </c>
      <c r="R1032" s="82" t="s">
        <v>3399</v>
      </c>
      <c r="S1032" s="7">
        <f t="shared" si="49"/>
        <v>0</v>
      </c>
      <c r="T1032" s="6">
        <f t="shared" si="50"/>
        <v>0</v>
      </c>
      <c r="U1032" s="25">
        <f t="shared" si="48"/>
        <v>0</v>
      </c>
    </row>
    <row r="1033" spans="1:21" ht="10.9" customHeight="1" x14ac:dyDescent="0.2">
      <c r="A1033" s="82" t="s">
        <v>2736</v>
      </c>
      <c r="B1033" s="83">
        <v>45785</v>
      </c>
      <c r="C1033" s="82" t="s">
        <v>3395</v>
      </c>
      <c r="D1033" s="82" t="s">
        <v>1460</v>
      </c>
      <c r="E1033" s="82"/>
      <c r="F1033" s="82" t="s">
        <v>4414</v>
      </c>
      <c r="G1033" s="89">
        <v>1</v>
      </c>
      <c r="H1033" s="89">
        <v>1389.92</v>
      </c>
      <c r="I1033" s="85">
        <v>0</v>
      </c>
      <c r="J1033" s="85">
        <v>69.5</v>
      </c>
      <c r="K1033" s="85">
        <v>1459.42</v>
      </c>
      <c r="L1033" s="85">
        <v>1459.42</v>
      </c>
      <c r="M1033" s="89">
        <v>1389.92</v>
      </c>
      <c r="N1033" s="85">
        <v>0</v>
      </c>
      <c r="O1033" s="85">
        <v>69.5</v>
      </c>
      <c r="P1033" s="85">
        <v>1459.42</v>
      </c>
      <c r="Q1033" s="85">
        <v>1459.42</v>
      </c>
      <c r="R1033" s="82" t="s">
        <v>3399</v>
      </c>
      <c r="S1033" s="7">
        <f t="shared" si="49"/>
        <v>0</v>
      </c>
      <c r="T1033" s="6">
        <f t="shared" si="50"/>
        <v>0</v>
      </c>
      <c r="U1033" s="25">
        <f t="shared" si="48"/>
        <v>0</v>
      </c>
    </row>
    <row r="1034" spans="1:21" ht="10.9" customHeight="1" x14ac:dyDescent="0.2">
      <c r="A1034" s="82" t="s">
        <v>2735</v>
      </c>
      <c r="B1034" s="83">
        <v>45785</v>
      </c>
      <c r="C1034" s="82" t="s">
        <v>3395</v>
      </c>
      <c r="D1034" s="82" t="s">
        <v>3559</v>
      </c>
      <c r="E1034" s="82"/>
      <c r="F1034" s="82" t="s">
        <v>5445</v>
      </c>
      <c r="G1034" s="89">
        <v>1</v>
      </c>
      <c r="H1034" s="89">
        <v>5131.7</v>
      </c>
      <c r="I1034" s="85">
        <v>0</v>
      </c>
      <c r="J1034" s="85">
        <v>256.58999999999997</v>
      </c>
      <c r="K1034" s="85">
        <v>5388.29</v>
      </c>
      <c r="L1034" s="85">
        <v>5388.29</v>
      </c>
      <c r="M1034" s="89">
        <v>5131.7</v>
      </c>
      <c r="N1034" s="85">
        <v>0</v>
      </c>
      <c r="O1034" s="85">
        <v>256.58999999999997</v>
      </c>
      <c r="P1034" s="85">
        <v>5388.29</v>
      </c>
      <c r="Q1034" s="85">
        <v>5388.29</v>
      </c>
      <c r="R1034" s="82" t="s">
        <v>3399</v>
      </c>
      <c r="S1034" s="7">
        <f t="shared" si="49"/>
        <v>0</v>
      </c>
      <c r="T1034" s="6">
        <f t="shared" si="50"/>
        <v>0</v>
      </c>
      <c r="U1034" s="25">
        <f t="shared" si="48"/>
        <v>0</v>
      </c>
    </row>
    <row r="1035" spans="1:21" ht="10.9" customHeight="1" x14ac:dyDescent="0.2">
      <c r="A1035" s="82" t="s">
        <v>2391</v>
      </c>
      <c r="B1035" s="83">
        <v>45786</v>
      </c>
      <c r="C1035" s="82" t="s">
        <v>3395</v>
      </c>
      <c r="D1035" s="82" t="s">
        <v>2057</v>
      </c>
      <c r="E1035" s="82"/>
      <c r="F1035" s="82" t="s">
        <v>5442</v>
      </c>
      <c r="G1035" s="89">
        <v>5</v>
      </c>
      <c r="H1035" s="89">
        <v>83</v>
      </c>
      <c r="I1035" s="85">
        <v>0</v>
      </c>
      <c r="J1035" s="85">
        <v>0</v>
      </c>
      <c r="K1035" s="85">
        <v>415</v>
      </c>
      <c r="L1035" s="85">
        <v>625.47</v>
      </c>
      <c r="M1035" s="89">
        <v>115.65800346416623</v>
      </c>
      <c r="N1035" s="85">
        <v>0</v>
      </c>
      <c r="O1035" s="85">
        <v>0</v>
      </c>
      <c r="P1035" s="85">
        <v>578.29001732083111</v>
      </c>
      <c r="Q1035" s="85">
        <v>871.5736316473741</v>
      </c>
      <c r="R1035" s="82" t="s">
        <v>3399</v>
      </c>
      <c r="S1035" s="7">
        <f t="shared" si="49"/>
        <v>0</v>
      </c>
      <c r="T1035" s="6">
        <f t="shared" si="50"/>
        <v>0</v>
      </c>
      <c r="U1035" s="25">
        <f t="shared" si="48"/>
        <v>0</v>
      </c>
    </row>
    <row r="1036" spans="1:21" ht="10.9" customHeight="1" x14ac:dyDescent="0.2">
      <c r="A1036" s="82" t="s">
        <v>2391</v>
      </c>
      <c r="B1036" s="83">
        <v>45786</v>
      </c>
      <c r="C1036" s="82" t="s">
        <v>3395</v>
      </c>
      <c r="D1036" s="82" t="s">
        <v>2057</v>
      </c>
      <c r="E1036" s="82"/>
      <c r="F1036" s="82" t="s">
        <v>5369</v>
      </c>
      <c r="G1036" s="89">
        <v>1</v>
      </c>
      <c r="H1036" s="89">
        <v>210.47</v>
      </c>
      <c r="I1036" s="85">
        <v>0</v>
      </c>
      <c r="J1036" s="85">
        <v>0</v>
      </c>
      <c r="K1036" s="85">
        <v>210.47</v>
      </c>
      <c r="L1036" s="85">
        <v>625.47</v>
      </c>
      <c r="M1036" s="89">
        <v>293.28361432654293</v>
      </c>
      <c r="N1036" s="85">
        <v>0</v>
      </c>
      <c r="O1036" s="85">
        <v>0</v>
      </c>
      <c r="P1036" s="85">
        <v>293.28361432654293</v>
      </c>
      <c r="Q1036" s="85">
        <v>871.5736316473741</v>
      </c>
      <c r="R1036" s="82" t="s">
        <v>3399</v>
      </c>
      <c r="S1036" s="7" t="str">
        <f t="shared" si="49"/>
        <v>INV12962</v>
      </c>
      <c r="T1036" s="6">
        <f t="shared" si="50"/>
        <v>1</v>
      </c>
      <c r="U1036" s="25">
        <f t="shared" si="48"/>
        <v>210.47</v>
      </c>
    </row>
    <row r="1037" spans="1:21" ht="10.9" customHeight="1" x14ac:dyDescent="0.2">
      <c r="A1037" s="82" t="s">
        <v>2731</v>
      </c>
      <c r="B1037" s="83">
        <v>45786</v>
      </c>
      <c r="C1037" s="82" t="s">
        <v>3395</v>
      </c>
      <c r="D1037" s="82" t="s">
        <v>1470</v>
      </c>
      <c r="E1037" s="82"/>
      <c r="F1037" s="82" t="s">
        <v>5441</v>
      </c>
      <c r="G1037" s="89">
        <v>1</v>
      </c>
      <c r="H1037" s="89">
        <v>9.1</v>
      </c>
      <c r="I1037" s="85">
        <v>0</v>
      </c>
      <c r="J1037" s="85">
        <v>0</v>
      </c>
      <c r="K1037" s="85">
        <v>9.1</v>
      </c>
      <c r="L1037" s="85">
        <v>2779.5</v>
      </c>
      <c r="M1037" s="89">
        <v>12.680576283420635</v>
      </c>
      <c r="N1037" s="85">
        <v>0</v>
      </c>
      <c r="O1037" s="85">
        <v>0</v>
      </c>
      <c r="P1037" s="85">
        <v>12.680576283420635</v>
      </c>
      <c r="Q1037" s="85">
        <v>3873.1496461283136</v>
      </c>
      <c r="R1037" s="82" t="s">
        <v>3399</v>
      </c>
      <c r="S1037" s="7">
        <f t="shared" si="49"/>
        <v>0</v>
      </c>
      <c r="T1037" s="6">
        <f t="shared" si="50"/>
        <v>0</v>
      </c>
      <c r="U1037" s="25">
        <f t="shared" si="48"/>
        <v>0</v>
      </c>
    </row>
    <row r="1038" spans="1:21" ht="10.9" customHeight="1" x14ac:dyDescent="0.2">
      <c r="A1038" s="82" t="s">
        <v>2731</v>
      </c>
      <c r="B1038" s="83">
        <v>45786</v>
      </c>
      <c r="C1038" s="82" t="s">
        <v>3395</v>
      </c>
      <c r="D1038" s="82" t="s">
        <v>1470</v>
      </c>
      <c r="E1038" s="82"/>
      <c r="F1038" s="82" t="s">
        <v>5440</v>
      </c>
      <c r="G1038" s="89">
        <v>1</v>
      </c>
      <c r="H1038" s="89">
        <v>10.24</v>
      </c>
      <c r="I1038" s="85">
        <v>0</v>
      </c>
      <c r="J1038" s="85">
        <v>0</v>
      </c>
      <c r="K1038" s="85">
        <v>10.24</v>
      </c>
      <c r="L1038" s="85">
        <v>2779.5</v>
      </c>
      <c r="M1038" s="89">
        <v>14.269131993651351</v>
      </c>
      <c r="N1038" s="85">
        <v>0</v>
      </c>
      <c r="O1038" s="85">
        <v>0</v>
      </c>
      <c r="P1038" s="85">
        <v>14.269131993651351</v>
      </c>
      <c r="Q1038" s="85">
        <v>3873.1496461283136</v>
      </c>
      <c r="R1038" s="82" t="s">
        <v>3399</v>
      </c>
      <c r="S1038" s="7">
        <f t="shared" si="49"/>
        <v>0</v>
      </c>
      <c r="T1038" s="6">
        <f t="shared" si="50"/>
        <v>0</v>
      </c>
      <c r="U1038" s="25">
        <f t="shared" si="48"/>
        <v>0</v>
      </c>
    </row>
    <row r="1039" spans="1:21" ht="10.9" customHeight="1" x14ac:dyDescent="0.2">
      <c r="A1039" s="82" t="s">
        <v>2731</v>
      </c>
      <c r="B1039" s="83">
        <v>45786</v>
      </c>
      <c r="C1039" s="82" t="s">
        <v>3395</v>
      </c>
      <c r="D1039" s="82" t="s">
        <v>1470</v>
      </c>
      <c r="E1039" s="82"/>
      <c r="F1039" s="82" t="s">
        <v>5439</v>
      </c>
      <c r="G1039" s="89">
        <v>1</v>
      </c>
      <c r="H1039" s="89">
        <v>232.44</v>
      </c>
      <c r="I1039" s="85">
        <v>0</v>
      </c>
      <c r="J1039" s="85">
        <v>0</v>
      </c>
      <c r="K1039" s="85">
        <v>232.44</v>
      </c>
      <c r="L1039" s="85">
        <v>2779.5</v>
      </c>
      <c r="M1039" s="89">
        <v>323.8981484965156</v>
      </c>
      <c r="N1039" s="85">
        <v>0</v>
      </c>
      <c r="O1039" s="85">
        <v>0</v>
      </c>
      <c r="P1039" s="85">
        <v>323.8981484965156</v>
      </c>
      <c r="Q1039" s="85">
        <v>3873.1496461283136</v>
      </c>
      <c r="R1039" s="82" t="s">
        <v>3399</v>
      </c>
      <c r="S1039" s="7">
        <f t="shared" si="49"/>
        <v>0</v>
      </c>
      <c r="T1039" s="6">
        <f t="shared" si="50"/>
        <v>0</v>
      </c>
      <c r="U1039" s="25">
        <f t="shared" si="48"/>
        <v>0</v>
      </c>
    </row>
    <row r="1040" spans="1:21" ht="10.9" customHeight="1" x14ac:dyDescent="0.2">
      <c r="A1040" s="82" t="s">
        <v>2731</v>
      </c>
      <c r="B1040" s="83">
        <v>45786</v>
      </c>
      <c r="C1040" s="82" t="s">
        <v>3395</v>
      </c>
      <c r="D1040" s="82" t="s">
        <v>1470</v>
      </c>
      <c r="E1040" s="82"/>
      <c r="F1040" s="82" t="s">
        <v>4880</v>
      </c>
      <c r="G1040" s="89">
        <v>1</v>
      </c>
      <c r="H1040" s="89">
        <v>10.11</v>
      </c>
      <c r="I1040" s="85">
        <v>0</v>
      </c>
      <c r="J1040" s="85">
        <v>0</v>
      </c>
      <c r="K1040" s="85">
        <v>10.11</v>
      </c>
      <c r="L1040" s="85">
        <v>2779.5</v>
      </c>
      <c r="M1040" s="89">
        <v>14.0879809038882</v>
      </c>
      <c r="N1040" s="85">
        <v>0</v>
      </c>
      <c r="O1040" s="85">
        <v>0</v>
      </c>
      <c r="P1040" s="85">
        <v>14.0879809038882</v>
      </c>
      <c r="Q1040" s="85">
        <v>3873.1496461283136</v>
      </c>
      <c r="R1040" s="82" t="s">
        <v>3399</v>
      </c>
      <c r="S1040" s="7">
        <f t="shared" si="49"/>
        <v>0</v>
      </c>
      <c r="T1040" s="6">
        <f t="shared" si="50"/>
        <v>0</v>
      </c>
      <c r="U1040" s="25">
        <f t="shared" si="48"/>
        <v>0</v>
      </c>
    </row>
    <row r="1041" spans="1:21" ht="10.9" customHeight="1" x14ac:dyDescent="0.2">
      <c r="A1041" s="82" t="s">
        <v>2731</v>
      </c>
      <c r="B1041" s="83">
        <v>45786</v>
      </c>
      <c r="C1041" s="82" t="s">
        <v>3395</v>
      </c>
      <c r="D1041" s="82" t="s">
        <v>1470</v>
      </c>
      <c r="E1041" s="82"/>
      <c r="F1041" s="82" t="s">
        <v>5438</v>
      </c>
      <c r="G1041" s="89">
        <v>1</v>
      </c>
      <c r="H1041" s="89">
        <v>9.89</v>
      </c>
      <c r="I1041" s="85">
        <v>0</v>
      </c>
      <c r="J1041" s="85">
        <v>0</v>
      </c>
      <c r="K1041" s="85">
        <v>9.89</v>
      </c>
      <c r="L1041" s="85">
        <v>2779.5</v>
      </c>
      <c r="M1041" s="89">
        <v>13.781417521212095</v>
      </c>
      <c r="N1041" s="85">
        <v>0</v>
      </c>
      <c r="O1041" s="85">
        <v>0</v>
      </c>
      <c r="P1041" s="85">
        <v>13.781417521212095</v>
      </c>
      <c r="Q1041" s="85">
        <v>3873.1496461283136</v>
      </c>
      <c r="R1041" s="82" t="s">
        <v>3399</v>
      </c>
      <c r="S1041" s="7">
        <f t="shared" si="49"/>
        <v>0</v>
      </c>
      <c r="T1041" s="6">
        <f t="shared" si="50"/>
        <v>0</v>
      </c>
      <c r="U1041" s="25">
        <f t="shared" si="48"/>
        <v>0</v>
      </c>
    </row>
    <row r="1042" spans="1:21" ht="10.9" customHeight="1" x14ac:dyDescent="0.2">
      <c r="A1042" s="82" t="s">
        <v>2731</v>
      </c>
      <c r="B1042" s="83">
        <v>45786</v>
      </c>
      <c r="C1042" s="82" t="s">
        <v>3395</v>
      </c>
      <c r="D1042" s="82" t="s">
        <v>1470</v>
      </c>
      <c r="E1042" s="82"/>
      <c r="F1042" s="82" t="s">
        <v>5437</v>
      </c>
      <c r="G1042" s="89">
        <v>1</v>
      </c>
      <c r="H1042" s="89">
        <v>73.11</v>
      </c>
      <c r="I1042" s="85">
        <v>0</v>
      </c>
      <c r="J1042" s="85">
        <v>0</v>
      </c>
      <c r="K1042" s="85">
        <v>73.11</v>
      </c>
      <c r="L1042" s="85">
        <v>2779.5</v>
      </c>
      <c r="M1042" s="89">
        <v>101.87658594295412</v>
      </c>
      <c r="N1042" s="85">
        <v>0</v>
      </c>
      <c r="O1042" s="85">
        <v>0</v>
      </c>
      <c r="P1042" s="85">
        <v>101.87658594295412</v>
      </c>
      <c r="Q1042" s="85">
        <v>3873.1496461283136</v>
      </c>
      <c r="R1042" s="82" t="s">
        <v>3399</v>
      </c>
      <c r="S1042" s="7">
        <f t="shared" si="49"/>
        <v>0</v>
      </c>
      <c r="T1042" s="6">
        <f t="shared" si="50"/>
        <v>0</v>
      </c>
      <c r="U1042" s="25">
        <f t="shared" si="48"/>
        <v>0</v>
      </c>
    </row>
    <row r="1043" spans="1:21" ht="10.9" customHeight="1" x14ac:dyDescent="0.2">
      <c r="A1043" s="82" t="s">
        <v>2731</v>
      </c>
      <c r="B1043" s="83">
        <v>45786</v>
      </c>
      <c r="C1043" s="82" t="s">
        <v>3395</v>
      </c>
      <c r="D1043" s="82" t="s">
        <v>1470</v>
      </c>
      <c r="E1043" s="82"/>
      <c r="F1043" s="82" t="s">
        <v>5436</v>
      </c>
      <c r="G1043" s="89">
        <v>1</v>
      </c>
      <c r="H1043" s="89">
        <v>1515.68</v>
      </c>
      <c r="I1043" s="85">
        <v>0</v>
      </c>
      <c r="J1043" s="85">
        <v>0</v>
      </c>
      <c r="K1043" s="85">
        <v>1515.68</v>
      </c>
      <c r="L1043" s="85">
        <v>2779.5</v>
      </c>
      <c r="M1043" s="89">
        <v>2112.0544902478009</v>
      </c>
      <c r="N1043" s="85">
        <v>0</v>
      </c>
      <c r="O1043" s="85">
        <v>0</v>
      </c>
      <c r="P1043" s="85">
        <v>2112.0544902478009</v>
      </c>
      <c r="Q1043" s="85">
        <v>3873.1496461283136</v>
      </c>
      <c r="R1043" s="82" t="s">
        <v>3399</v>
      </c>
      <c r="S1043" s="7">
        <f t="shared" si="49"/>
        <v>0</v>
      </c>
      <c r="T1043" s="6">
        <f t="shared" si="50"/>
        <v>0</v>
      </c>
      <c r="U1043" s="25">
        <f t="shared" si="48"/>
        <v>0</v>
      </c>
    </row>
    <row r="1044" spans="1:21" ht="10.9" customHeight="1" x14ac:dyDescent="0.2">
      <c r="A1044" s="82" t="s">
        <v>2731</v>
      </c>
      <c r="B1044" s="83">
        <v>45786</v>
      </c>
      <c r="C1044" s="82" t="s">
        <v>3395</v>
      </c>
      <c r="D1044" s="82" t="s">
        <v>1470</v>
      </c>
      <c r="E1044" s="82"/>
      <c r="F1044" s="82" t="s">
        <v>5435</v>
      </c>
      <c r="G1044" s="89">
        <v>1</v>
      </c>
      <c r="H1044" s="89">
        <v>223.93</v>
      </c>
      <c r="I1044" s="85">
        <v>0</v>
      </c>
      <c r="J1044" s="85">
        <v>0</v>
      </c>
      <c r="K1044" s="85">
        <v>223.93</v>
      </c>
      <c r="L1044" s="85">
        <v>2779.5</v>
      </c>
      <c r="M1044" s="89">
        <v>312.03971946663546</v>
      </c>
      <c r="N1044" s="85">
        <v>0</v>
      </c>
      <c r="O1044" s="85">
        <v>0</v>
      </c>
      <c r="P1044" s="85">
        <v>312.03971946663546</v>
      </c>
      <c r="Q1044" s="85">
        <v>3873.1496461283136</v>
      </c>
      <c r="R1044" s="82" t="s">
        <v>3399</v>
      </c>
      <c r="S1044" s="7">
        <f t="shared" si="49"/>
        <v>0</v>
      </c>
      <c r="T1044" s="6">
        <f t="shared" si="50"/>
        <v>0</v>
      </c>
      <c r="U1044" s="25">
        <f t="shared" si="48"/>
        <v>0</v>
      </c>
    </row>
    <row r="1045" spans="1:21" ht="10.9" customHeight="1" x14ac:dyDescent="0.2">
      <c r="A1045" s="82" t="s">
        <v>2731</v>
      </c>
      <c r="B1045" s="83">
        <v>45786</v>
      </c>
      <c r="C1045" s="82" t="s">
        <v>3395</v>
      </c>
      <c r="D1045" s="82" t="s">
        <v>1470</v>
      </c>
      <c r="E1045" s="82"/>
      <c r="F1045" s="82" t="s">
        <v>4393</v>
      </c>
      <c r="G1045" s="89">
        <v>1</v>
      </c>
      <c r="H1045" s="89">
        <v>695</v>
      </c>
      <c r="I1045" s="85">
        <v>0</v>
      </c>
      <c r="J1045" s="85">
        <v>0</v>
      </c>
      <c r="K1045" s="85">
        <v>695</v>
      </c>
      <c r="L1045" s="85">
        <v>2779.5</v>
      </c>
      <c r="M1045" s="89">
        <v>968.46159527223529</v>
      </c>
      <c r="N1045" s="85">
        <v>0</v>
      </c>
      <c r="O1045" s="85">
        <v>0</v>
      </c>
      <c r="P1045" s="85">
        <v>968.46159527223529</v>
      </c>
      <c r="Q1045" s="85">
        <v>3873.1496461283136</v>
      </c>
      <c r="R1045" s="82" t="s">
        <v>3399</v>
      </c>
      <c r="S1045" s="7" t="str">
        <f t="shared" si="49"/>
        <v>INV12963</v>
      </c>
      <c r="T1045" s="6">
        <f t="shared" si="50"/>
        <v>1</v>
      </c>
      <c r="U1045" s="25">
        <f t="shared" si="48"/>
        <v>695</v>
      </c>
    </row>
    <row r="1046" spans="1:21" ht="10.9" customHeight="1" x14ac:dyDescent="0.2">
      <c r="A1046" s="82" t="s">
        <v>2739</v>
      </c>
      <c r="B1046" s="83">
        <v>45786</v>
      </c>
      <c r="C1046" s="82" t="s">
        <v>3395</v>
      </c>
      <c r="D1046" s="82" t="s">
        <v>1454</v>
      </c>
      <c r="E1046" s="82"/>
      <c r="F1046" s="82" t="s">
        <v>4569</v>
      </c>
      <c r="G1046" s="89">
        <v>1</v>
      </c>
      <c r="H1046" s="89">
        <v>1946.57</v>
      </c>
      <c r="I1046" s="85">
        <v>0</v>
      </c>
      <c r="J1046" s="85">
        <v>97.33</v>
      </c>
      <c r="K1046" s="85">
        <v>2043.9</v>
      </c>
      <c r="L1046" s="85">
        <v>2758.72</v>
      </c>
      <c r="M1046" s="89">
        <v>1946.57</v>
      </c>
      <c r="N1046" s="85">
        <v>0</v>
      </c>
      <c r="O1046" s="85">
        <v>97.33</v>
      </c>
      <c r="P1046" s="85">
        <v>2043.9</v>
      </c>
      <c r="Q1046" s="85">
        <v>2758.72</v>
      </c>
      <c r="R1046" s="82" t="s">
        <v>3399</v>
      </c>
      <c r="S1046" s="7">
        <f t="shared" si="49"/>
        <v>0</v>
      </c>
      <c r="T1046" s="6">
        <f t="shared" si="50"/>
        <v>0</v>
      </c>
      <c r="U1046" s="25">
        <f t="shared" si="48"/>
        <v>0</v>
      </c>
    </row>
    <row r="1047" spans="1:21" ht="10.9" customHeight="1" x14ac:dyDescent="0.2">
      <c r="A1047" s="82" t="s">
        <v>2739</v>
      </c>
      <c r="B1047" s="83">
        <v>45786</v>
      </c>
      <c r="C1047" s="82" t="s">
        <v>3395</v>
      </c>
      <c r="D1047" s="82" t="s">
        <v>1454</v>
      </c>
      <c r="E1047" s="82"/>
      <c r="F1047" s="82" t="s">
        <v>4680</v>
      </c>
      <c r="G1047" s="89">
        <v>1</v>
      </c>
      <c r="H1047" s="89">
        <v>680.78</v>
      </c>
      <c r="I1047" s="85">
        <v>0</v>
      </c>
      <c r="J1047" s="85">
        <v>34.04</v>
      </c>
      <c r="K1047" s="85">
        <v>714.82</v>
      </c>
      <c r="L1047" s="85">
        <v>2758.72</v>
      </c>
      <c r="M1047" s="89">
        <v>680.78</v>
      </c>
      <c r="N1047" s="85">
        <v>0</v>
      </c>
      <c r="O1047" s="85">
        <v>34.04</v>
      </c>
      <c r="P1047" s="85">
        <v>714.82</v>
      </c>
      <c r="Q1047" s="85">
        <v>2758.72</v>
      </c>
      <c r="R1047" s="82" t="s">
        <v>3399</v>
      </c>
      <c r="S1047" s="7">
        <f t="shared" si="49"/>
        <v>0</v>
      </c>
      <c r="T1047" s="6">
        <f t="shared" si="50"/>
        <v>0</v>
      </c>
      <c r="U1047" s="25">
        <f t="shared" si="48"/>
        <v>0</v>
      </c>
    </row>
    <row r="1048" spans="1:21" ht="10.9" customHeight="1" x14ac:dyDescent="0.2">
      <c r="A1048" s="82" t="s">
        <v>2670</v>
      </c>
      <c r="B1048" s="83">
        <v>45786</v>
      </c>
      <c r="C1048" s="82" t="s">
        <v>3395</v>
      </c>
      <c r="D1048" s="82" t="s">
        <v>1579</v>
      </c>
      <c r="E1048" s="82"/>
      <c r="F1048" s="82" t="s">
        <v>5444</v>
      </c>
      <c r="G1048" s="89">
        <v>1</v>
      </c>
      <c r="H1048" s="89">
        <v>418.14</v>
      </c>
      <c r="I1048" s="85">
        <v>0</v>
      </c>
      <c r="J1048" s="85">
        <v>20.91</v>
      </c>
      <c r="K1048" s="85">
        <v>439.05</v>
      </c>
      <c r="L1048" s="85">
        <v>479.22</v>
      </c>
      <c r="M1048" s="89">
        <v>418.14</v>
      </c>
      <c r="N1048" s="85">
        <v>0</v>
      </c>
      <c r="O1048" s="85">
        <v>20.91</v>
      </c>
      <c r="P1048" s="85">
        <v>439.05</v>
      </c>
      <c r="Q1048" s="85">
        <v>479.22</v>
      </c>
      <c r="R1048" s="82" t="s">
        <v>3399</v>
      </c>
      <c r="S1048" s="7">
        <f t="shared" si="49"/>
        <v>0</v>
      </c>
      <c r="T1048" s="6">
        <f t="shared" si="50"/>
        <v>0</v>
      </c>
      <c r="U1048" s="25">
        <f t="shared" si="48"/>
        <v>0</v>
      </c>
    </row>
    <row r="1049" spans="1:21" ht="10.9" customHeight="1" x14ac:dyDescent="0.2">
      <c r="A1049" s="82" t="s">
        <v>2670</v>
      </c>
      <c r="B1049" s="83">
        <v>45786</v>
      </c>
      <c r="C1049" s="82" t="s">
        <v>3395</v>
      </c>
      <c r="D1049" s="82" t="s">
        <v>1579</v>
      </c>
      <c r="E1049" s="82"/>
      <c r="F1049" s="82" t="s">
        <v>5443</v>
      </c>
      <c r="G1049" s="89">
        <v>1</v>
      </c>
      <c r="H1049" s="89">
        <v>26.37</v>
      </c>
      <c r="I1049" s="85">
        <v>0</v>
      </c>
      <c r="J1049" s="85">
        <v>1.32</v>
      </c>
      <c r="K1049" s="85">
        <v>27.69</v>
      </c>
      <c r="L1049" s="85">
        <v>479.22</v>
      </c>
      <c r="M1049" s="89">
        <v>26.37</v>
      </c>
      <c r="N1049" s="85">
        <v>0</v>
      </c>
      <c r="O1049" s="85">
        <v>1.32</v>
      </c>
      <c r="P1049" s="85">
        <v>27.69</v>
      </c>
      <c r="Q1049" s="85">
        <v>479.22</v>
      </c>
      <c r="R1049" s="82" t="s">
        <v>3399</v>
      </c>
      <c r="S1049" s="7">
        <f t="shared" si="49"/>
        <v>0</v>
      </c>
      <c r="T1049" s="6">
        <f t="shared" si="50"/>
        <v>0</v>
      </c>
      <c r="U1049" s="25">
        <f t="shared" si="48"/>
        <v>0</v>
      </c>
    </row>
    <row r="1050" spans="1:21" ht="10.9" customHeight="1" x14ac:dyDescent="0.2">
      <c r="A1050" s="82" t="s">
        <v>2670</v>
      </c>
      <c r="B1050" s="83">
        <v>45786</v>
      </c>
      <c r="C1050" s="82" t="s">
        <v>3395</v>
      </c>
      <c r="D1050" s="82" t="s">
        <v>1579</v>
      </c>
      <c r="E1050" s="82"/>
      <c r="F1050" s="82" t="s">
        <v>5063</v>
      </c>
      <c r="G1050" s="89">
        <v>1</v>
      </c>
      <c r="H1050" s="89">
        <v>11.89</v>
      </c>
      <c r="I1050" s="85">
        <v>0</v>
      </c>
      <c r="J1050" s="85">
        <v>0.59</v>
      </c>
      <c r="K1050" s="85">
        <v>12.48</v>
      </c>
      <c r="L1050" s="85">
        <v>479.22</v>
      </c>
      <c r="M1050" s="89">
        <v>11.89</v>
      </c>
      <c r="N1050" s="85">
        <v>0</v>
      </c>
      <c r="O1050" s="85">
        <v>0.59</v>
      </c>
      <c r="P1050" s="85">
        <v>12.48</v>
      </c>
      <c r="Q1050" s="85">
        <v>479.22</v>
      </c>
      <c r="R1050" s="82" t="s">
        <v>3399</v>
      </c>
      <c r="S1050" s="7">
        <f t="shared" si="49"/>
        <v>0</v>
      </c>
      <c r="T1050" s="6">
        <f t="shared" si="50"/>
        <v>0</v>
      </c>
      <c r="U1050" s="25">
        <f t="shared" si="48"/>
        <v>0</v>
      </c>
    </row>
    <row r="1051" spans="1:21" ht="10.9" customHeight="1" x14ac:dyDescent="0.2">
      <c r="A1051" s="82" t="s">
        <v>2440</v>
      </c>
      <c r="B1051" s="83">
        <v>45789</v>
      </c>
      <c r="C1051" s="82" t="s">
        <v>3395</v>
      </c>
      <c r="D1051" s="82" t="s">
        <v>1974</v>
      </c>
      <c r="E1051" s="82"/>
      <c r="F1051" s="82" t="s">
        <v>4540</v>
      </c>
      <c r="G1051" s="89">
        <v>1</v>
      </c>
      <c r="H1051" s="89">
        <v>2414.5500000000002</v>
      </c>
      <c r="I1051" s="85">
        <v>0</v>
      </c>
      <c r="J1051" s="85">
        <v>0</v>
      </c>
      <c r="K1051" s="85">
        <v>2414.5500000000002</v>
      </c>
      <c r="L1051" s="85">
        <v>3003.55</v>
      </c>
      <c r="M1051" s="89">
        <v>3374.2841411230706</v>
      </c>
      <c r="N1051" s="85">
        <v>0</v>
      </c>
      <c r="O1051" s="85">
        <v>0</v>
      </c>
      <c r="P1051" s="85">
        <v>3374.2841411230706</v>
      </c>
      <c r="Q1051" s="85">
        <v>4197.3995701353042</v>
      </c>
      <c r="R1051" s="82" t="s">
        <v>3399</v>
      </c>
      <c r="S1051" s="7">
        <f t="shared" si="49"/>
        <v>0</v>
      </c>
      <c r="T1051" s="6">
        <f t="shared" si="50"/>
        <v>0</v>
      </c>
      <c r="U1051" s="25">
        <f t="shared" si="48"/>
        <v>0</v>
      </c>
    </row>
    <row r="1052" spans="1:21" ht="10.9" customHeight="1" x14ac:dyDescent="0.2">
      <c r="A1052" s="82" t="s">
        <v>2440</v>
      </c>
      <c r="B1052" s="83">
        <v>45789</v>
      </c>
      <c r="C1052" s="82" t="s">
        <v>3395</v>
      </c>
      <c r="D1052" s="82" t="s">
        <v>1974</v>
      </c>
      <c r="E1052" s="82"/>
      <c r="F1052" s="82" t="s">
        <v>4393</v>
      </c>
      <c r="G1052" s="89">
        <v>1</v>
      </c>
      <c r="H1052" s="89">
        <v>589</v>
      </c>
      <c r="I1052" s="85">
        <v>0</v>
      </c>
      <c r="J1052" s="85">
        <v>0</v>
      </c>
      <c r="K1052" s="85">
        <v>589</v>
      </c>
      <c r="L1052" s="85">
        <v>3003.55</v>
      </c>
      <c r="M1052" s="89">
        <v>823.11542901223356</v>
      </c>
      <c r="N1052" s="85">
        <v>0</v>
      </c>
      <c r="O1052" s="85">
        <v>0</v>
      </c>
      <c r="P1052" s="85">
        <v>823.11542901223356</v>
      </c>
      <c r="Q1052" s="85">
        <v>4197.3995701353042</v>
      </c>
      <c r="R1052" s="82" t="s">
        <v>3399</v>
      </c>
      <c r="S1052" s="7" t="str">
        <f t="shared" si="49"/>
        <v>INV12965</v>
      </c>
      <c r="T1052" s="6">
        <f t="shared" si="50"/>
        <v>1</v>
      </c>
      <c r="U1052" s="25">
        <f t="shared" si="48"/>
        <v>589</v>
      </c>
    </row>
    <row r="1053" spans="1:21" ht="10.9" customHeight="1" x14ac:dyDescent="0.2">
      <c r="A1053" s="82" t="s">
        <v>2740</v>
      </c>
      <c r="B1053" s="83">
        <v>45789</v>
      </c>
      <c r="C1053" s="82" t="s">
        <v>3395</v>
      </c>
      <c r="D1053" s="82" t="s">
        <v>1452</v>
      </c>
      <c r="E1053" s="82"/>
      <c r="F1053" s="82" t="s">
        <v>4552</v>
      </c>
      <c r="G1053" s="89">
        <v>2</v>
      </c>
      <c r="H1053" s="89">
        <v>20.25</v>
      </c>
      <c r="I1053" s="85">
        <v>0</v>
      </c>
      <c r="J1053" s="85">
        <v>2.0299999999999998</v>
      </c>
      <c r="K1053" s="85">
        <v>42.53</v>
      </c>
      <c r="L1053" s="85">
        <v>1125.9000000000001</v>
      </c>
      <c r="M1053" s="89">
        <v>20.25</v>
      </c>
      <c r="N1053" s="85">
        <v>0</v>
      </c>
      <c r="O1053" s="85">
        <v>2.0299999999999998</v>
      </c>
      <c r="P1053" s="85">
        <v>42.53</v>
      </c>
      <c r="Q1053" s="85">
        <v>1125.9000000000001</v>
      </c>
      <c r="R1053" s="82" t="s">
        <v>3399</v>
      </c>
      <c r="S1053" s="7">
        <f t="shared" si="49"/>
        <v>0</v>
      </c>
      <c r="T1053" s="6">
        <f t="shared" si="50"/>
        <v>0</v>
      </c>
      <c r="U1053" s="25">
        <f t="shared" si="48"/>
        <v>0</v>
      </c>
    </row>
    <row r="1054" spans="1:21" ht="10.9" customHeight="1" x14ac:dyDescent="0.2">
      <c r="A1054" s="82" t="s">
        <v>2740</v>
      </c>
      <c r="B1054" s="83">
        <v>45789</v>
      </c>
      <c r="C1054" s="82" t="s">
        <v>3395</v>
      </c>
      <c r="D1054" s="82" t="s">
        <v>1452</v>
      </c>
      <c r="E1054" s="82"/>
      <c r="F1054" s="82" t="s">
        <v>4869</v>
      </c>
      <c r="G1054" s="89">
        <v>2</v>
      </c>
      <c r="H1054" s="89">
        <v>137.27000000000001</v>
      </c>
      <c r="I1054" s="85">
        <v>0</v>
      </c>
      <c r="J1054" s="85">
        <v>13.73</v>
      </c>
      <c r="K1054" s="85">
        <v>288.27</v>
      </c>
      <c r="L1054" s="85">
        <v>1125.9000000000001</v>
      </c>
      <c r="M1054" s="89">
        <v>137.27000000000001</v>
      </c>
      <c r="N1054" s="85">
        <v>0</v>
      </c>
      <c r="O1054" s="85">
        <v>13.73</v>
      </c>
      <c r="P1054" s="85">
        <v>288.27</v>
      </c>
      <c r="Q1054" s="85">
        <v>1125.9000000000001</v>
      </c>
      <c r="R1054" s="82" t="s">
        <v>3399</v>
      </c>
      <c r="S1054" s="7">
        <f t="shared" si="49"/>
        <v>0</v>
      </c>
      <c r="T1054" s="6">
        <f t="shared" si="50"/>
        <v>0</v>
      </c>
      <c r="U1054" s="25">
        <f t="shared" si="48"/>
        <v>0</v>
      </c>
    </row>
    <row r="1055" spans="1:21" ht="10.9" customHeight="1" x14ac:dyDescent="0.2">
      <c r="A1055" s="82" t="s">
        <v>2740</v>
      </c>
      <c r="B1055" s="83">
        <v>45789</v>
      </c>
      <c r="C1055" s="82" t="s">
        <v>3395</v>
      </c>
      <c r="D1055" s="82" t="s">
        <v>1452</v>
      </c>
      <c r="E1055" s="82"/>
      <c r="F1055" s="82" t="s">
        <v>4673</v>
      </c>
      <c r="G1055" s="89">
        <v>2</v>
      </c>
      <c r="H1055" s="89">
        <v>162.71</v>
      </c>
      <c r="I1055" s="85">
        <v>0</v>
      </c>
      <c r="J1055" s="85">
        <v>16.27</v>
      </c>
      <c r="K1055" s="85">
        <v>341.69</v>
      </c>
      <c r="L1055" s="85">
        <v>1125.9000000000001</v>
      </c>
      <c r="M1055" s="89">
        <v>162.71</v>
      </c>
      <c r="N1055" s="85">
        <v>0</v>
      </c>
      <c r="O1055" s="85">
        <v>16.27</v>
      </c>
      <c r="P1055" s="85">
        <v>341.69</v>
      </c>
      <c r="Q1055" s="85">
        <v>1125.9000000000001</v>
      </c>
      <c r="R1055" s="82" t="s">
        <v>3399</v>
      </c>
      <c r="S1055" s="7">
        <f t="shared" si="49"/>
        <v>0</v>
      </c>
      <c r="T1055" s="6">
        <f t="shared" si="50"/>
        <v>0</v>
      </c>
      <c r="U1055" s="25">
        <f t="shared" si="48"/>
        <v>0</v>
      </c>
    </row>
    <row r="1056" spans="1:21" ht="10.9" customHeight="1" x14ac:dyDescent="0.2">
      <c r="A1056" s="82" t="s">
        <v>2740</v>
      </c>
      <c r="B1056" s="83">
        <v>45789</v>
      </c>
      <c r="C1056" s="82" t="s">
        <v>3395</v>
      </c>
      <c r="D1056" s="82" t="s">
        <v>1452</v>
      </c>
      <c r="E1056" s="82"/>
      <c r="F1056" s="82" t="s">
        <v>4671</v>
      </c>
      <c r="G1056" s="89">
        <v>6</v>
      </c>
      <c r="H1056" s="89">
        <v>21.26</v>
      </c>
      <c r="I1056" s="85">
        <v>0</v>
      </c>
      <c r="J1056" s="85">
        <v>6.38</v>
      </c>
      <c r="K1056" s="85">
        <v>133.94</v>
      </c>
      <c r="L1056" s="85">
        <v>1125.9000000000001</v>
      </c>
      <c r="M1056" s="89">
        <v>21.26</v>
      </c>
      <c r="N1056" s="85">
        <v>0</v>
      </c>
      <c r="O1056" s="85">
        <v>6.38</v>
      </c>
      <c r="P1056" s="85">
        <v>133.94</v>
      </c>
      <c r="Q1056" s="85">
        <v>1125.9000000000001</v>
      </c>
      <c r="R1056" s="82" t="s">
        <v>3399</v>
      </c>
      <c r="S1056" s="7">
        <f t="shared" si="49"/>
        <v>0</v>
      </c>
      <c r="T1056" s="6">
        <f t="shared" si="50"/>
        <v>0</v>
      </c>
      <c r="U1056" s="25">
        <f t="shared" si="48"/>
        <v>0</v>
      </c>
    </row>
    <row r="1057" spans="1:21" ht="10.9" customHeight="1" x14ac:dyDescent="0.2">
      <c r="A1057" s="82" t="s">
        <v>2740</v>
      </c>
      <c r="B1057" s="83">
        <v>45789</v>
      </c>
      <c r="C1057" s="82" t="s">
        <v>3395</v>
      </c>
      <c r="D1057" s="82" t="s">
        <v>1452</v>
      </c>
      <c r="E1057" s="82"/>
      <c r="F1057" s="82" t="s">
        <v>4686</v>
      </c>
      <c r="G1057" s="89">
        <v>2</v>
      </c>
      <c r="H1057" s="89">
        <v>152.13</v>
      </c>
      <c r="I1057" s="85">
        <v>0</v>
      </c>
      <c r="J1057" s="85">
        <v>15.21</v>
      </c>
      <c r="K1057" s="85">
        <v>319.47000000000003</v>
      </c>
      <c r="L1057" s="85">
        <v>1125.9000000000001</v>
      </c>
      <c r="M1057" s="89">
        <v>152.13</v>
      </c>
      <c r="N1057" s="85">
        <v>0</v>
      </c>
      <c r="O1057" s="85">
        <v>15.21</v>
      </c>
      <c r="P1057" s="85">
        <v>319.47000000000003</v>
      </c>
      <c r="Q1057" s="85">
        <v>1125.9000000000001</v>
      </c>
      <c r="R1057" s="82" t="s">
        <v>3399</v>
      </c>
      <c r="S1057" s="7">
        <f t="shared" si="49"/>
        <v>0</v>
      </c>
      <c r="T1057" s="6">
        <f t="shared" si="50"/>
        <v>0</v>
      </c>
      <c r="U1057" s="25">
        <f t="shared" si="48"/>
        <v>0</v>
      </c>
    </row>
    <row r="1058" spans="1:21" ht="10.9" customHeight="1" x14ac:dyDescent="0.2">
      <c r="A1058" s="82" t="s">
        <v>2667</v>
      </c>
      <c r="B1058" s="83">
        <v>45790</v>
      </c>
      <c r="C1058" s="82" t="s">
        <v>3395</v>
      </c>
      <c r="D1058" s="82" t="s">
        <v>1586</v>
      </c>
      <c r="E1058" s="82"/>
      <c r="F1058" s="82" t="s">
        <v>4830</v>
      </c>
      <c r="G1058" s="89">
        <v>1</v>
      </c>
      <c r="H1058" s="89">
        <v>2392.75</v>
      </c>
      <c r="I1058" s="85">
        <v>0</v>
      </c>
      <c r="J1058" s="85">
        <v>0</v>
      </c>
      <c r="K1058" s="85">
        <v>2392.75</v>
      </c>
      <c r="L1058" s="85">
        <v>2392.75</v>
      </c>
      <c r="M1058" s="89">
        <v>3331.9037002895006</v>
      </c>
      <c r="N1058" s="85">
        <v>0</v>
      </c>
      <c r="O1058" s="85">
        <v>0</v>
      </c>
      <c r="P1058" s="85">
        <v>3331.9037002895006</v>
      </c>
      <c r="Q1058" s="85">
        <v>3331.9037002895006</v>
      </c>
      <c r="R1058" s="82" t="s">
        <v>3399</v>
      </c>
      <c r="S1058" s="7">
        <f t="shared" si="49"/>
        <v>0</v>
      </c>
      <c r="T1058" s="6">
        <f t="shared" si="50"/>
        <v>0</v>
      </c>
      <c r="U1058" s="25">
        <f t="shared" si="48"/>
        <v>0</v>
      </c>
    </row>
    <row r="1059" spans="1:21" ht="10.9" customHeight="1" x14ac:dyDescent="0.2">
      <c r="A1059" s="82" t="s">
        <v>2738</v>
      </c>
      <c r="B1059" s="83">
        <v>45790</v>
      </c>
      <c r="C1059" s="82" t="s">
        <v>3395</v>
      </c>
      <c r="D1059" s="82" t="s">
        <v>1456</v>
      </c>
      <c r="E1059" s="82"/>
      <c r="F1059" s="82" t="s">
        <v>5434</v>
      </c>
      <c r="G1059" s="89">
        <v>3</v>
      </c>
      <c r="H1059" s="89">
        <v>1510</v>
      </c>
      <c r="I1059" s="85">
        <v>0</v>
      </c>
      <c r="J1059" s="85">
        <v>0</v>
      </c>
      <c r="K1059" s="85">
        <v>4530</v>
      </c>
      <c r="L1059" s="85">
        <v>4530</v>
      </c>
      <c r="M1059" s="89">
        <v>2102.6745742083986</v>
      </c>
      <c r="N1059" s="85">
        <v>0</v>
      </c>
      <c r="O1059" s="85">
        <v>0</v>
      </c>
      <c r="P1059" s="85">
        <v>6308.0237226251966</v>
      </c>
      <c r="Q1059" s="85">
        <v>6308.0237226251966</v>
      </c>
      <c r="R1059" s="82" t="s">
        <v>3399</v>
      </c>
      <c r="S1059" s="7">
        <f t="shared" si="49"/>
        <v>0</v>
      </c>
      <c r="T1059" s="6">
        <f t="shared" si="50"/>
        <v>0</v>
      </c>
      <c r="U1059" s="25">
        <f t="shared" si="48"/>
        <v>0</v>
      </c>
    </row>
    <row r="1060" spans="1:21" ht="10.9" customHeight="1" x14ac:dyDescent="0.2">
      <c r="A1060" s="82" t="s">
        <v>2366</v>
      </c>
      <c r="B1060" s="83">
        <v>45790</v>
      </c>
      <c r="C1060" s="82" t="s">
        <v>3395</v>
      </c>
      <c r="D1060" s="82" t="s">
        <v>2091</v>
      </c>
      <c r="E1060" s="82"/>
      <c r="F1060" s="82" t="s">
        <v>5433</v>
      </c>
      <c r="G1060" s="89">
        <v>1</v>
      </c>
      <c r="H1060" s="89">
        <v>5506</v>
      </c>
      <c r="I1060" s="85">
        <v>0</v>
      </c>
      <c r="J1060" s="85">
        <v>0</v>
      </c>
      <c r="K1060" s="85">
        <v>5506</v>
      </c>
      <c r="L1060" s="85">
        <v>6080.55</v>
      </c>
      <c r="M1060" s="89">
        <v>7667.1034474115522</v>
      </c>
      <c r="N1060" s="85">
        <v>0</v>
      </c>
      <c r="O1060" s="85">
        <v>0</v>
      </c>
      <c r="P1060" s="85">
        <v>7667.1034474115522</v>
      </c>
      <c r="Q1060" s="85">
        <v>8467.1641603992575</v>
      </c>
      <c r="R1060" s="82" t="s">
        <v>3399</v>
      </c>
      <c r="S1060" s="7">
        <f t="shared" si="49"/>
        <v>0</v>
      </c>
      <c r="T1060" s="6">
        <f t="shared" si="50"/>
        <v>0</v>
      </c>
      <c r="U1060" s="25">
        <f t="shared" si="48"/>
        <v>0</v>
      </c>
    </row>
    <row r="1061" spans="1:21" ht="10.9" customHeight="1" x14ac:dyDescent="0.2">
      <c r="A1061" s="82" t="s">
        <v>2366</v>
      </c>
      <c r="B1061" s="83">
        <v>45790</v>
      </c>
      <c r="C1061" s="82" t="s">
        <v>3395</v>
      </c>
      <c r="D1061" s="82" t="s">
        <v>2091</v>
      </c>
      <c r="E1061" s="82"/>
      <c r="F1061" s="82" t="s">
        <v>5369</v>
      </c>
      <c r="G1061" s="89">
        <v>1</v>
      </c>
      <c r="H1061" s="89">
        <v>574.54999999999995</v>
      </c>
      <c r="I1061" s="85">
        <v>0</v>
      </c>
      <c r="J1061" s="85">
        <v>0</v>
      </c>
      <c r="K1061" s="85">
        <v>574.54999999999995</v>
      </c>
      <c r="L1061" s="85">
        <v>6080.55</v>
      </c>
      <c r="M1061" s="89">
        <v>800.06071298770564</v>
      </c>
      <c r="N1061" s="85">
        <v>0</v>
      </c>
      <c r="O1061" s="85">
        <v>0</v>
      </c>
      <c r="P1061" s="85">
        <v>800.06071298770564</v>
      </c>
      <c r="Q1061" s="85">
        <v>8467.1641603992575</v>
      </c>
      <c r="R1061" s="82" t="s">
        <v>3399</v>
      </c>
      <c r="S1061" s="7" t="str">
        <f t="shared" si="49"/>
        <v>INV12970</v>
      </c>
      <c r="T1061" s="6">
        <f t="shared" si="50"/>
        <v>1</v>
      </c>
      <c r="U1061" s="25">
        <f t="shared" si="48"/>
        <v>574.54999999999995</v>
      </c>
    </row>
    <row r="1062" spans="1:21" ht="10.9" customHeight="1" x14ac:dyDescent="0.2">
      <c r="A1062" s="82" t="s">
        <v>2748</v>
      </c>
      <c r="B1062" s="83">
        <v>45790</v>
      </c>
      <c r="C1062" s="82" t="s">
        <v>3395</v>
      </c>
      <c r="D1062" s="82" t="s">
        <v>1440</v>
      </c>
      <c r="E1062" s="82"/>
      <c r="F1062" s="82" t="s">
        <v>4685</v>
      </c>
      <c r="G1062" s="89">
        <v>2</v>
      </c>
      <c r="H1062" s="89">
        <v>1043.83</v>
      </c>
      <c r="I1062" s="85">
        <v>0</v>
      </c>
      <c r="J1062" s="85">
        <v>104.38</v>
      </c>
      <c r="K1062" s="85">
        <v>2192.04</v>
      </c>
      <c r="L1062" s="85">
        <v>2192.04</v>
      </c>
      <c r="M1062" s="89">
        <v>1043.83</v>
      </c>
      <c r="N1062" s="85">
        <v>0</v>
      </c>
      <c r="O1062" s="85">
        <v>104.38</v>
      </c>
      <c r="P1062" s="85">
        <v>2192.04</v>
      </c>
      <c r="Q1062" s="85">
        <v>2192.04</v>
      </c>
      <c r="R1062" s="82" t="s">
        <v>3399</v>
      </c>
      <c r="S1062" s="7">
        <f t="shared" si="49"/>
        <v>0</v>
      </c>
      <c r="T1062" s="6">
        <f t="shared" si="50"/>
        <v>0</v>
      </c>
      <c r="U1062" s="25">
        <f t="shared" si="48"/>
        <v>0</v>
      </c>
    </row>
    <row r="1063" spans="1:21" ht="10.9" customHeight="1" x14ac:dyDescent="0.2">
      <c r="A1063" s="82"/>
      <c r="B1063" s="83">
        <v>45790</v>
      </c>
      <c r="C1063" s="82" t="s">
        <v>3423</v>
      </c>
      <c r="D1063" s="82" t="s">
        <v>1497</v>
      </c>
      <c r="E1063" s="82"/>
      <c r="F1063" s="82" t="s">
        <v>1497</v>
      </c>
      <c r="G1063" s="89">
        <v>-1</v>
      </c>
      <c r="H1063" s="89">
        <v>7365</v>
      </c>
      <c r="I1063" s="85">
        <v>0</v>
      </c>
      <c r="J1063" s="85">
        <v>0</v>
      </c>
      <c r="K1063" s="85">
        <v>-7365</v>
      </c>
      <c r="L1063" s="85">
        <v>-7365</v>
      </c>
      <c r="M1063" s="89">
        <v>10255.760423208514</v>
      </c>
      <c r="N1063" s="85">
        <v>0</v>
      </c>
      <c r="O1063" s="85">
        <v>0</v>
      </c>
      <c r="P1063" s="85">
        <v>-10255.760423208514</v>
      </c>
      <c r="Q1063" s="85">
        <v>-10255.760423208514</v>
      </c>
      <c r="R1063" s="82" t="s">
        <v>3399</v>
      </c>
      <c r="S1063" s="7">
        <f t="shared" si="49"/>
        <v>0</v>
      </c>
      <c r="T1063" s="6">
        <f t="shared" si="50"/>
        <v>0</v>
      </c>
      <c r="U1063" s="25">
        <f t="shared" si="48"/>
        <v>0</v>
      </c>
    </row>
    <row r="1064" spans="1:21" ht="10.9" customHeight="1" x14ac:dyDescent="0.2">
      <c r="A1064" s="82" t="s">
        <v>2755</v>
      </c>
      <c r="B1064" s="83">
        <v>45791</v>
      </c>
      <c r="C1064" s="82" t="s">
        <v>3395</v>
      </c>
      <c r="D1064" s="82" t="s">
        <v>1425</v>
      </c>
      <c r="E1064" s="82"/>
      <c r="F1064" s="82" t="s">
        <v>4706</v>
      </c>
      <c r="G1064" s="89">
        <v>1</v>
      </c>
      <c r="H1064" s="89">
        <v>2071.7800000000002</v>
      </c>
      <c r="I1064" s="85">
        <v>0</v>
      </c>
      <c r="J1064" s="85">
        <v>103.59</v>
      </c>
      <c r="K1064" s="85">
        <v>2175.37</v>
      </c>
      <c r="L1064" s="85">
        <v>2219.0500000000002</v>
      </c>
      <c r="M1064" s="89">
        <v>2071.7800000000002</v>
      </c>
      <c r="N1064" s="85">
        <v>0</v>
      </c>
      <c r="O1064" s="85">
        <v>103.59</v>
      </c>
      <c r="P1064" s="85">
        <v>2175.37</v>
      </c>
      <c r="Q1064" s="85">
        <v>2219.0500000000002</v>
      </c>
      <c r="R1064" s="82" t="s">
        <v>3399</v>
      </c>
      <c r="S1064" s="7">
        <f t="shared" si="49"/>
        <v>0</v>
      </c>
      <c r="T1064" s="6">
        <f t="shared" si="50"/>
        <v>0</v>
      </c>
      <c r="U1064" s="25">
        <f t="shared" si="48"/>
        <v>0</v>
      </c>
    </row>
    <row r="1065" spans="1:21" ht="10.9" customHeight="1" x14ac:dyDescent="0.2">
      <c r="A1065" s="82" t="s">
        <v>2755</v>
      </c>
      <c r="B1065" s="83">
        <v>45791</v>
      </c>
      <c r="C1065" s="82" t="s">
        <v>3395</v>
      </c>
      <c r="D1065" s="82" t="s">
        <v>1425</v>
      </c>
      <c r="E1065" s="82"/>
      <c r="F1065" s="82" t="s">
        <v>4439</v>
      </c>
      <c r="G1065" s="89">
        <v>2</v>
      </c>
      <c r="H1065" s="89">
        <v>20.8</v>
      </c>
      <c r="I1065" s="85">
        <v>0</v>
      </c>
      <c r="J1065" s="85">
        <v>2.08</v>
      </c>
      <c r="K1065" s="85">
        <v>43.68</v>
      </c>
      <c r="L1065" s="85">
        <v>2219.0500000000002</v>
      </c>
      <c r="M1065" s="89">
        <v>20.8</v>
      </c>
      <c r="N1065" s="85">
        <v>0</v>
      </c>
      <c r="O1065" s="85">
        <v>2.08</v>
      </c>
      <c r="P1065" s="85">
        <v>43.68</v>
      </c>
      <c r="Q1065" s="85">
        <v>2219.0500000000002</v>
      </c>
      <c r="R1065" s="82" t="s">
        <v>3399</v>
      </c>
      <c r="S1065" s="7">
        <f t="shared" si="49"/>
        <v>0</v>
      </c>
      <c r="T1065" s="6">
        <f t="shared" si="50"/>
        <v>0</v>
      </c>
      <c r="U1065" s="25">
        <f t="shared" si="48"/>
        <v>0</v>
      </c>
    </row>
    <row r="1066" spans="1:21" ht="10.9" customHeight="1" x14ac:dyDescent="0.2">
      <c r="A1066" s="82" t="s">
        <v>2742</v>
      </c>
      <c r="B1066" s="83">
        <v>45792</v>
      </c>
      <c r="C1066" s="82" t="s">
        <v>3395</v>
      </c>
      <c r="D1066" s="82" t="s">
        <v>1450</v>
      </c>
      <c r="E1066" s="82"/>
      <c r="F1066" s="82" t="s">
        <v>4546</v>
      </c>
      <c r="G1066" s="89">
        <v>1</v>
      </c>
      <c r="H1066" s="89">
        <v>1236.6500000000001</v>
      </c>
      <c r="I1066" s="85">
        <v>0</v>
      </c>
      <c r="J1066" s="85">
        <v>0</v>
      </c>
      <c r="K1066" s="85">
        <v>1236.6500000000001</v>
      </c>
      <c r="L1066" s="85">
        <v>10879.89</v>
      </c>
      <c r="M1066" s="89">
        <v>1724.7198454704574</v>
      </c>
      <c r="N1066" s="85">
        <v>0</v>
      </c>
      <c r="O1066" s="85">
        <v>0</v>
      </c>
      <c r="P1066" s="85">
        <v>1724.7198454704574</v>
      </c>
      <c r="Q1066" s="85">
        <v>15173.866655509299</v>
      </c>
      <c r="R1066" s="82" t="s">
        <v>3399</v>
      </c>
      <c r="S1066" s="7">
        <f t="shared" si="49"/>
        <v>0</v>
      </c>
      <c r="T1066" s="6">
        <f t="shared" si="50"/>
        <v>0</v>
      </c>
      <c r="U1066" s="25">
        <f t="shared" si="48"/>
        <v>0</v>
      </c>
    </row>
    <row r="1067" spans="1:21" ht="10.9" customHeight="1" x14ac:dyDescent="0.2">
      <c r="A1067" s="82" t="s">
        <v>2742</v>
      </c>
      <c r="B1067" s="83">
        <v>45792</v>
      </c>
      <c r="C1067" s="82" t="s">
        <v>3395</v>
      </c>
      <c r="D1067" s="82" t="s">
        <v>1450</v>
      </c>
      <c r="E1067" s="82"/>
      <c r="F1067" s="82" t="s">
        <v>4629</v>
      </c>
      <c r="G1067" s="89">
        <v>13</v>
      </c>
      <c r="H1067" s="89">
        <v>592.79999999999995</v>
      </c>
      <c r="I1067" s="85">
        <v>0</v>
      </c>
      <c r="J1067" s="85">
        <v>0</v>
      </c>
      <c r="K1067" s="85">
        <v>7706.4</v>
      </c>
      <c r="L1067" s="85">
        <v>10879.89</v>
      </c>
      <c r="M1067" s="89">
        <v>826.76094642371504</v>
      </c>
      <c r="N1067" s="85">
        <v>0</v>
      </c>
      <c r="O1067" s="85">
        <v>0</v>
      </c>
      <c r="P1067" s="85">
        <v>10747.892303508295</v>
      </c>
      <c r="Q1067" s="85">
        <v>15173.866655509299</v>
      </c>
      <c r="R1067" s="82" t="s">
        <v>3399</v>
      </c>
      <c r="S1067" s="7">
        <f t="shared" si="49"/>
        <v>0</v>
      </c>
      <c r="T1067" s="6">
        <f t="shared" si="50"/>
        <v>0</v>
      </c>
      <c r="U1067" s="25">
        <f t="shared" si="48"/>
        <v>0</v>
      </c>
    </row>
    <row r="1068" spans="1:21" ht="10.9" customHeight="1" x14ac:dyDescent="0.2">
      <c r="A1068" s="82" t="s">
        <v>2742</v>
      </c>
      <c r="B1068" s="83">
        <v>45792</v>
      </c>
      <c r="C1068" s="82" t="s">
        <v>3395</v>
      </c>
      <c r="D1068" s="82" t="s">
        <v>1450</v>
      </c>
      <c r="E1068" s="82"/>
      <c r="F1068" s="82" t="s">
        <v>4634</v>
      </c>
      <c r="G1068" s="89">
        <v>2</v>
      </c>
      <c r="H1068" s="89">
        <v>968.42</v>
      </c>
      <c r="I1068" s="85">
        <v>0</v>
      </c>
      <c r="J1068" s="85">
        <v>0</v>
      </c>
      <c r="K1068" s="85">
        <v>1936.84</v>
      </c>
      <c r="L1068" s="85">
        <v>10879.89</v>
      </c>
      <c r="M1068" s="89">
        <v>1350.6272532652733</v>
      </c>
      <c r="N1068" s="85">
        <v>0</v>
      </c>
      <c r="O1068" s="85">
        <v>0</v>
      </c>
      <c r="P1068" s="85">
        <v>2701.2545065305467</v>
      </c>
      <c r="Q1068" s="85">
        <v>15173.866655509299</v>
      </c>
      <c r="R1068" s="82" t="s">
        <v>3399</v>
      </c>
      <c r="S1068" s="7">
        <f t="shared" si="49"/>
        <v>0</v>
      </c>
      <c r="T1068" s="6">
        <f t="shared" si="50"/>
        <v>0</v>
      </c>
      <c r="U1068" s="25">
        <f t="shared" si="48"/>
        <v>0</v>
      </c>
    </row>
    <row r="1069" spans="1:21" ht="10.9" customHeight="1" x14ac:dyDescent="0.2">
      <c r="A1069" s="82" t="s">
        <v>2746</v>
      </c>
      <c r="B1069" s="83">
        <v>45792</v>
      </c>
      <c r="C1069" s="82" t="s">
        <v>3395</v>
      </c>
      <c r="D1069" s="82" t="s">
        <v>1444</v>
      </c>
      <c r="E1069" s="82"/>
      <c r="F1069" s="82" t="s">
        <v>5432</v>
      </c>
      <c r="G1069" s="89">
        <v>9</v>
      </c>
      <c r="H1069" s="89">
        <v>7</v>
      </c>
      <c r="I1069" s="85">
        <v>0</v>
      </c>
      <c r="J1069" s="85">
        <v>0</v>
      </c>
      <c r="K1069" s="85">
        <v>63</v>
      </c>
      <c r="L1069" s="85">
        <v>7514.44</v>
      </c>
      <c r="M1069" s="89">
        <v>9.7626967357726127</v>
      </c>
      <c r="N1069" s="85">
        <v>0</v>
      </c>
      <c r="O1069" s="85">
        <v>0</v>
      </c>
      <c r="P1069" s="85">
        <v>87.864270621953509</v>
      </c>
      <c r="Q1069" s="85">
        <v>10480.171265594165</v>
      </c>
      <c r="R1069" s="82" t="s">
        <v>3399</v>
      </c>
      <c r="S1069" s="7">
        <f t="shared" si="49"/>
        <v>0</v>
      </c>
      <c r="T1069" s="6">
        <f t="shared" si="50"/>
        <v>0</v>
      </c>
      <c r="U1069" s="25">
        <f t="shared" si="48"/>
        <v>0</v>
      </c>
    </row>
    <row r="1070" spans="1:21" ht="10.9" customHeight="1" x14ac:dyDescent="0.2">
      <c r="A1070" s="82" t="s">
        <v>2746</v>
      </c>
      <c r="B1070" s="83">
        <v>45792</v>
      </c>
      <c r="C1070" s="82" t="s">
        <v>3395</v>
      </c>
      <c r="D1070" s="82" t="s">
        <v>1444</v>
      </c>
      <c r="E1070" s="82"/>
      <c r="F1070" s="82" t="s">
        <v>4631</v>
      </c>
      <c r="G1070" s="89">
        <v>8</v>
      </c>
      <c r="H1070" s="89">
        <v>931.43</v>
      </c>
      <c r="I1070" s="85">
        <v>0</v>
      </c>
      <c r="J1070" s="85">
        <v>0</v>
      </c>
      <c r="K1070" s="85">
        <v>7451.44</v>
      </c>
      <c r="L1070" s="85">
        <v>7514.44</v>
      </c>
      <c r="M1070" s="89">
        <v>1299.0383743715263</v>
      </c>
      <c r="N1070" s="85">
        <v>0</v>
      </c>
      <c r="O1070" s="85">
        <v>0</v>
      </c>
      <c r="P1070" s="85">
        <v>10392.30699497221</v>
      </c>
      <c r="Q1070" s="85">
        <v>10480.171265594165</v>
      </c>
      <c r="R1070" s="82" t="s">
        <v>3399</v>
      </c>
      <c r="S1070" s="7">
        <f t="shared" si="49"/>
        <v>0</v>
      </c>
      <c r="T1070" s="6">
        <f t="shared" si="50"/>
        <v>0</v>
      </c>
      <c r="U1070" s="25">
        <f t="shared" si="48"/>
        <v>0</v>
      </c>
    </row>
    <row r="1071" spans="1:21" ht="10.9" customHeight="1" x14ac:dyDescent="0.2">
      <c r="A1071" s="82" t="s">
        <v>2744</v>
      </c>
      <c r="B1071" s="83">
        <v>45792</v>
      </c>
      <c r="C1071" s="82" t="s">
        <v>3395</v>
      </c>
      <c r="D1071" s="82" t="s">
        <v>1446</v>
      </c>
      <c r="E1071" s="82"/>
      <c r="F1071" s="82" t="s">
        <v>4546</v>
      </c>
      <c r="G1071" s="89">
        <v>15</v>
      </c>
      <c r="H1071" s="89">
        <v>1236.6500000000001</v>
      </c>
      <c r="I1071" s="85">
        <v>0</v>
      </c>
      <c r="J1071" s="85">
        <v>0</v>
      </c>
      <c r="K1071" s="85">
        <v>18549.75</v>
      </c>
      <c r="L1071" s="85">
        <v>18549.75</v>
      </c>
      <c r="M1071" s="89">
        <v>1724.7198454704574</v>
      </c>
      <c r="N1071" s="85">
        <v>0</v>
      </c>
      <c r="O1071" s="85">
        <v>0</v>
      </c>
      <c r="P1071" s="85">
        <v>25870.797682056862</v>
      </c>
      <c r="Q1071" s="85">
        <v>25870.797682056862</v>
      </c>
      <c r="R1071" s="82" t="s">
        <v>3399</v>
      </c>
      <c r="S1071" s="7">
        <f t="shared" si="49"/>
        <v>0</v>
      </c>
      <c r="T1071" s="6">
        <f t="shared" si="50"/>
        <v>0</v>
      </c>
      <c r="U1071" s="25">
        <f t="shared" si="48"/>
        <v>0</v>
      </c>
    </row>
    <row r="1072" spans="1:21" ht="10.9" customHeight="1" x14ac:dyDescent="0.2">
      <c r="A1072" s="82" t="s">
        <v>2619</v>
      </c>
      <c r="B1072" s="83">
        <v>45792</v>
      </c>
      <c r="C1072" s="82" t="s">
        <v>3395</v>
      </c>
      <c r="D1072" s="82" t="s">
        <v>1663</v>
      </c>
      <c r="E1072" s="82"/>
      <c r="F1072" s="82" t="s">
        <v>5431</v>
      </c>
      <c r="G1072" s="89">
        <v>1</v>
      </c>
      <c r="H1072" s="89">
        <v>9324</v>
      </c>
      <c r="I1072" s="85">
        <v>0</v>
      </c>
      <c r="J1072" s="85">
        <v>0</v>
      </c>
      <c r="K1072" s="85">
        <v>9324</v>
      </c>
      <c r="L1072" s="85">
        <v>9324</v>
      </c>
      <c r="M1072" s="89">
        <v>13003.91205204912</v>
      </c>
      <c r="N1072" s="85">
        <v>0</v>
      </c>
      <c r="O1072" s="85">
        <v>0</v>
      </c>
      <c r="P1072" s="85">
        <v>13003.91205204912</v>
      </c>
      <c r="Q1072" s="85">
        <v>13003.91205204912</v>
      </c>
      <c r="R1072" s="82" t="s">
        <v>3399</v>
      </c>
      <c r="S1072" s="7">
        <f t="shared" si="49"/>
        <v>0</v>
      </c>
      <c r="T1072" s="6">
        <f t="shared" si="50"/>
        <v>0</v>
      </c>
      <c r="U1072" s="25">
        <f t="shared" si="48"/>
        <v>0</v>
      </c>
    </row>
    <row r="1073" spans="1:21" ht="10.9" customHeight="1" x14ac:dyDescent="0.2">
      <c r="A1073" s="82" t="s">
        <v>2749</v>
      </c>
      <c r="B1073" s="83">
        <v>45792</v>
      </c>
      <c r="C1073" s="82" t="s">
        <v>3395</v>
      </c>
      <c r="D1073" s="82" t="s">
        <v>1438</v>
      </c>
      <c r="E1073" s="82"/>
      <c r="F1073" s="82" t="s">
        <v>4753</v>
      </c>
      <c r="G1073" s="89">
        <v>3</v>
      </c>
      <c r="H1073" s="89">
        <v>5193.5</v>
      </c>
      <c r="I1073" s="85">
        <v>0</v>
      </c>
      <c r="J1073" s="85">
        <v>0</v>
      </c>
      <c r="K1073" s="85">
        <v>15580.5</v>
      </c>
      <c r="L1073" s="85">
        <v>41626.28</v>
      </c>
      <c r="M1073" s="89">
        <v>7243.2236424621524</v>
      </c>
      <c r="N1073" s="85">
        <v>0</v>
      </c>
      <c r="O1073" s="85">
        <v>0</v>
      </c>
      <c r="P1073" s="85">
        <v>21729.670927386458</v>
      </c>
      <c r="Q1073" s="85">
        <v>58054.963982622401</v>
      </c>
      <c r="R1073" s="82" t="s">
        <v>3399</v>
      </c>
      <c r="S1073" s="7">
        <f t="shared" si="49"/>
        <v>0</v>
      </c>
      <c r="T1073" s="6">
        <f t="shared" si="50"/>
        <v>0</v>
      </c>
      <c r="U1073" s="25">
        <f t="shared" si="48"/>
        <v>0</v>
      </c>
    </row>
    <row r="1074" spans="1:21" ht="10.9" customHeight="1" x14ac:dyDescent="0.2">
      <c r="A1074" s="82" t="s">
        <v>2749</v>
      </c>
      <c r="B1074" s="83">
        <v>45792</v>
      </c>
      <c r="C1074" s="82" t="s">
        <v>3395</v>
      </c>
      <c r="D1074" s="82" t="s">
        <v>1438</v>
      </c>
      <c r="E1074" s="82"/>
      <c r="F1074" s="82" t="s">
        <v>4765</v>
      </c>
      <c r="G1074" s="89">
        <v>4</v>
      </c>
      <c r="H1074" s="89">
        <v>5193.5</v>
      </c>
      <c r="I1074" s="85">
        <v>0</v>
      </c>
      <c r="J1074" s="85">
        <v>0</v>
      </c>
      <c r="K1074" s="85">
        <v>20774</v>
      </c>
      <c r="L1074" s="85">
        <v>41626.28</v>
      </c>
      <c r="M1074" s="89">
        <v>7243.2236424621524</v>
      </c>
      <c r="N1074" s="85">
        <v>0</v>
      </c>
      <c r="O1074" s="85">
        <v>0</v>
      </c>
      <c r="P1074" s="85">
        <v>28972.89456984861</v>
      </c>
      <c r="Q1074" s="85">
        <v>58054.963982622401</v>
      </c>
      <c r="R1074" s="82" t="s">
        <v>3399</v>
      </c>
      <c r="S1074" s="7">
        <f t="shared" si="49"/>
        <v>0</v>
      </c>
      <c r="T1074" s="6">
        <f t="shared" si="50"/>
        <v>0</v>
      </c>
      <c r="U1074" s="25">
        <f t="shared" si="48"/>
        <v>0</v>
      </c>
    </row>
    <row r="1075" spans="1:21" ht="10.9" customHeight="1" x14ac:dyDescent="0.2">
      <c r="A1075" s="82" t="s">
        <v>2749</v>
      </c>
      <c r="B1075" s="83">
        <v>45792</v>
      </c>
      <c r="C1075" s="82" t="s">
        <v>3395</v>
      </c>
      <c r="D1075" s="82" t="s">
        <v>1438</v>
      </c>
      <c r="E1075" s="82"/>
      <c r="F1075" s="82" t="s">
        <v>4633</v>
      </c>
      <c r="G1075" s="89">
        <v>6</v>
      </c>
      <c r="H1075" s="89">
        <v>878.63</v>
      </c>
      <c r="I1075" s="85">
        <v>0</v>
      </c>
      <c r="J1075" s="85">
        <v>0</v>
      </c>
      <c r="K1075" s="85">
        <v>5271.78</v>
      </c>
      <c r="L1075" s="85">
        <v>41626.28</v>
      </c>
      <c r="M1075" s="89">
        <v>1225.3997475645558</v>
      </c>
      <c r="N1075" s="85">
        <v>0</v>
      </c>
      <c r="O1075" s="85">
        <v>0</v>
      </c>
      <c r="P1075" s="85">
        <v>7352.3984853873353</v>
      </c>
      <c r="Q1075" s="85">
        <v>58054.963982622401</v>
      </c>
      <c r="R1075" s="82" t="s">
        <v>3399</v>
      </c>
      <c r="S1075" s="7">
        <f t="shared" si="49"/>
        <v>0</v>
      </c>
      <c r="T1075" s="6">
        <f t="shared" si="50"/>
        <v>0</v>
      </c>
      <c r="U1075" s="25">
        <f t="shared" si="48"/>
        <v>0</v>
      </c>
    </row>
    <row r="1076" spans="1:21" ht="10.9" customHeight="1" x14ac:dyDescent="0.2">
      <c r="A1076" s="82" t="s">
        <v>2669</v>
      </c>
      <c r="B1076" s="83">
        <v>45792</v>
      </c>
      <c r="C1076" s="82" t="s">
        <v>3395</v>
      </c>
      <c r="D1076" s="82" t="s">
        <v>1581</v>
      </c>
      <c r="E1076" s="82"/>
      <c r="F1076" s="82" t="s">
        <v>5430</v>
      </c>
      <c r="G1076" s="89">
        <v>9</v>
      </c>
      <c r="H1076" s="89">
        <v>11.56</v>
      </c>
      <c r="I1076" s="85">
        <v>0</v>
      </c>
      <c r="J1076" s="85">
        <v>0</v>
      </c>
      <c r="K1076" s="85">
        <v>104.04</v>
      </c>
      <c r="L1076" s="85">
        <v>104.04</v>
      </c>
      <c r="M1076" s="89">
        <v>16.122396323647344</v>
      </c>
      <c r="N1076" s="85">
        <v>0</v>
      </c>
      <c r="O1076" s="85">
        <v>0</v>
      </c>
      <c r="P1076" s="85">
        <v>145.10156691282609</v>
      </c>
      <c r="Q1076" s="85">
        <v>145.10156691282609</v>
      </c>
      <c r="R1076" s="82" t="s">
        <v>3399</v>
      </c>
      <c r="S1076" s="7">
        <f t="shared" si="49"/>
        <v>0</v>
      </c>
      <c r="T1076" s="6">
        <f t="shared" si="50"/>
        <v>0</v>
      </c>
      <c r="U1076" s="25">
        <f t="shared" si="48"/>
        <v>0</v>
      </c>
    </row>
    <row r="1077" spans="1:21" ht="10.9" customHeight="1" x14ac:dyDescent="0.2">
      <c r="A1077" s="82" t="s">
        <v>2573</v>
      </c>
      <c r="B1077" s="83">
        <v>45792</v>
      </c>
      <c r="C1077" s="82" t="s">
        <v>3395</v>
      </c>
      <c r="D1077" s="82" t="s">
        <v>1741</v>
      </c>
      <c r="E1077" s="82"/>
      <c r="F1077" s="82" t="s">
        <v>5429</v>
      </c>
      <c r="G1077" s="89">
        <v>5</v>
      </c>
      <c r="H1077" s="89">
        <v>540.76</v>
      </c>
      <c r="I1077" s="85">
        <v>0</v>
      </c>
      <c r="J1077" s="85">
        <v>0</v>
      </c>
      <c r="K1077" s="85">
        <v>2703.8</v>
      </c>
      <c r="L1077" s="85">
        <v>14651.3</v>
      </c>
      <c r="M1077" s="89">
        <v>754.18226954805687</v>
      </c>
      <c r="N1077" s="85">
        <v>0</v>
      </c>
      <c r="O1077" s="85">
        <v>0</v>
      </c>
      <c r="P1077" s="85">
        <v>3770.9113477402843</v>
      </c>
      <c r="Q1077" s="85">
        <v>20433.742669260755</v>
      </c>
      <c r="R1077" s="82" t="s">
        <v>3399</v>
      </c>
      <c r="S1077" s="7">
        <f t="shared" si="49"/>
        <v>0</v>
      </c>
      <c r="T1077" s="6">
        <f t="shared" si="50"/>
        <v>0</v>
      </c>
      <c r="U1077" s="25">
        <f t="shared" si="48"/>
        <v>0</v>
      </c>
    </row>
    <row r="1078" spans="1:21" ht="10.9" customHeight="1" x14ac:dyDescent="0.2">
      <c r="A1078" s="82" t="s">
        <v>2573</v>
      </c>
      <c r="B1078" s="83">
        <v>45792</v>
      </c>
      <c r="C1078" s="82" t="s">
        <v>3395</v>
      </c>
      <c r="D1078" s="82" t="s">
        <v>1741</v>
      </c>
      <c r="E1078" s="82"/>
      <c r="F1078" s="82" t="s">
        <v>5134</v>
      </c>
      <c r="G1078" s="89">
        <v>9</v>
      </c>
      <c r="H1078" s="89">
        <v>1327.5</v>
      </c>
      <c r="I1078" s="85">
        <v>0</v>
      </c>
      <c r="J1078" s="85">
        <v>0</v>
      </c>
      <c r="K1078" s="85">
        <v>11947.5</v>
      </c>
      <c r="L1078" s="85">
        <v>14651.3</v>
      </c>
      <c r="M1078" s="89">
        <v>1851.4257023911634</v>
      </c>
      <c r="N1078" s="85">
        <v>0</v>
      </c>
      <c r="O1078" s="85">
        <v>0</v>
      </c>
      <c r="P1078" s="85">
        <v>16662.831321520469</v>
      </c>
      <c r="Q1078" s="85">
        <v>20433.742669260755</v>
      </c>
      <c r="R1078" s="82" t="s">
        <v>3399</v>
      </c>
      <c r="S1078" s="7">
        <f t="shared" si="49"/>
        <v>0</v>
      </c>
      <c r="T1078" s="6">
        <f t="shared" si="50"/>
        <v>0</v>
      </c>
      <c r="U1078" s="25">
        <f t="shared" si="48"/>
        <v>0</v>
      </c>
    </row>
    <row r="1079" spans="1:21" ht="10.9" customHeight="1" x14ac:dyDescent="0.2">
      <c r="A1079" s="82" t="s">
        <v>2610</v>
      </c>
      <c r="B1079" s="83">
        <v>45792</v>
      </c>
      <c r="C1079" s="82" t="s">
        <v>3395</v>
      </c>
      <c r="D1079" s="82" t="s">
        <v>1678</v>
      </c>
      <c r="E1079" s="82"/>
      <c r="F1079" s="82" t="s">
        <v>5187</v>
      </c>
      <c r="G1079" s="89">
        <v>2</v>
      </c>
      <c r="H1079" s="89">
        <v>1215</v>
      </c>
      <c r="I1079" s="85">
        <v>0</v>
      </c>
      <c r="J1079" s="85">
        <v>0</v>
      </c>
      <c r="K1079" s="85">
        <v>2430</v>
      </c>
      <c r="L1079" s="85">
        <v>9044.7999999999993</v>
      </c>
      <c r="M1079" s="89">
        <v>1694.5252191376749</v>
      </c>
      <c r="N1079" s="85">
        <v>0</v>
      </c>
      <c r="O1079" s="85">
        <v>0</v>
      </c>
      <c r="P1079" s="85">
        <v>3389.0504382753497</v>
      </c>
      <c r="Q1079" s="85">
        <v>12614.519919388018</v>
      </c>
      <c r="R1079" s="82" t="s">
        <v>3399</v>
      </c>
      <c r="S1079" s="7">
        <f t="shared" si="49"/>
        <v>0</v>
      </c>
      <c r="T1079" s="6">
        <f t="shared" si="50"/>
        <v>0</v>
      </c>
      <c r="U1079" s="25">
        <f t="shared" si="48"/>
        <v>0</v>
      </c>
    </row>
    <row r="1080" spans="1:21" ht="10.9" customHeight="1" x14ac:dyDescent="0.2">
      <c r="A1080" s="82" t="s">
        <v>2610</v>
      </c>
      <c r="B1080" s="83">
        <v>45792</v>
      </c>
      <c r="C1080" s="82" t="s">
        <v>3395</v>
      </c>
      <c r="D1080" s="82" t="s">
        <v>1678</v>
      </c>
      <c r="E1080" s="82"/>
      <c r="F1080" s="82" t="s">
        <v>5186</v>
      </c>
      <c r="G1080" s="89">
        <v>10</v>
      </c>
      <c r="H1080" s="89">
        <v>325.87</v>
      </c>
      <c r="I1080" s="85">
        <v>0</v>
      </c>
      <c r="J1080" s="85">
        <v>0</v>
      </c>
      <c r="K1080" s="85">
        <v>3258.7</v>
      </c>
      <c r="L1080" s="85">
        <v>9044.7999999999993</v>
      </c>
      <c r="M1080" s="89">
        <v>454.48142646946019</v>
      </c>
      <c r="N1080" s="85">
        <v>0</v>
      </c>
      <c r="O1080" s="85">
        <v>0</v>
      </c>
      <c r="P1080" s="85">
        <v>4544.8142646946017</v>
      </c>
      <c r="Q1080" s="85">
        <v>12614.519919388018</v>
      </c>
      <c r="R1080" s="82" t="s">
        <v>3399</v>
      </c>
      <c r="S1080" s="7">
        <f t="shared" si="49"/>
        <v>0</v>
      </c>
      <c r="T1080" s="6">
        <f t="shared" si="50"/>
        <v>0</v>
      </c>
      <c r="U1080" s="25">
        <f t="shared" si="48"/>
        <v>0</v>
      </c>
    </row>
    <row r="1081" spans="1:21" ht="10.9" customHeight="1" x14ac:dyDescent="0.2">
      <c r="A1081" s="82" t="s">
        <v>2610</v>
      </c>
      <c r="B1081" s="83">
        <v>45792</v>
      </c>
      <c r="C1081" s="82" t="s">
        <v>3395</v>
      </c>
      <c r="D1081" s="82" t="s">
        <v>1678</v>
      </c>
      <c r="E1081" s="82"/>
      <c r="F1081" s="82" t="s">
        <v>5184</v>
      </c>
      <c r="G1081" s="89">
        <v>30</v>
      </c>
      <c r="H1081" s="89">
        <v>111.87</v>
      </c>
      <c r="I1081" s="85">
        <v>0</v>
      </c>
      <c r="J1081" s="85">
        <v>0</v>
      </c>
      <c r="K1081" s="85">
        <v>3356.1</v>
      </c>
      <c r="L1081" s="85">
        <v>9044.7999999999993</v>
      </c>
      <c r="M1081" s="89">
        <v>156.02184054726888</v>
      </c>
      <c r="N1081" s="85">
        <v>0</v>
      </c>
      <c r="O1081" s="85">
        <v>0</v>
      </c>
      <c r="P1081" s="85">
        <v>4680.6552164180666</v>
      </c>
      <c r="Q1081" s="85">
        <v>12614.519919388018</v>
      </c>
      <c r="R1081" s="82" t="s">
        <v>3399</v>
      </c>
      <c r="S1081" s="7">
        <f t="shared" si="49"/>
        <v>0</v>
      </c>
      <c r="T1081" s="6">
        <f t="shared" si="50"/>
        <v>0</v>
      </c>
      <c r="U1081" s="25">
        <f t="shared" si="48"/>
        <v>0</v>
      </c>
    </row>
    <row r="1082" spans="1:21" ht="10.9" customHeight="1" x14ac:dyDescent="0.2">
      <c r="A1082" s="82" t="s">
        <v>2758</v>
      </c>
      <c r="B1082" s="83">
        <v>45792</v>
      </c>
      <c r="C1082" s="82" t="s">
        <v>3395</v>
      </c>
      <c r="D1082" s="82" t="s">
        <v>1419</v>
      </c>
      <c r="E1082" s="82"/>
      <c r="F1082" s="82" t="s">
        <v>4494</v>
      </c>
      <c r="G1082" s="89">
        <v>1</v>
      </c>
      <c r="H1082" s="89">
        <v>11129.88</v>
      </c>
      <c r="I1082" s="85">
        <v>0</v>
      </c>
      <c r="J1082" s="85">
        <v>1446.88</v>
      </c>
      <c r="K1082" s="85">
        <v>12576.76</v>
      </c>
      <c r="L1082" s="85">
        <v>12576.76</v>
      </c>
      <c r="M1082" s="89">
        <v>11129.88</v>
      </c>
      <c r="N1082" s="85">
        <v>0</v>
      </c>
      <c r="O1082" s="85">
        <v>1446.88</v>
      </c>
      <c r="P1082" s="85">
        <v>12576.76</v>
      </c>
      <c r="Q1082" s="85">
        <v>12576.76</v>
      </c>
      <c r="R1082" s="82" t="s">
        <v>3399</v>
      </c>
      <c r="S1082" s="7">
        <f t="shared" si="49"/>
        <v>0</v>
      </c>
      <c r="T1082" s="6">
        <f t="shared" si="50"/>
        <v>0</v>
      </c>
      <c r="U1082" s="25">
        <f t="shared" si="48"/>
        <v>0</v>
      </c>
    </row>
    <row r="1083" spans="1:21" ht="10.9" customHeight="1" x14ac:dyDescent="0.2">
      <c r="A1083" s="82" t="s">
        <v>2760</v>
      </c>
      <c r="B1083" s="83">
        <v>45792</v>
      </c>
      <c r="C1083" s="82" t="s">
        <v>3395</v>
      </c>
      <c r="D1083" s="82" t="s">
        <v>1415</v>
      </c>
      <c r="E1083" s="82"/>
      <c r="F1083" s="82" t="s">
        <v>4414</v>
      </c>
      <c r="G1083" s="89">
        <v>1</v>
      </c>
      <c r="H1083" s="89">
        <v>1389.92</v>
      </c>
      <c r="I1083" s="85">
        <v>0</v>
      </c>
      <c r="J1083" s="85">
        <v>69.5</v>
      </c>
      <c r="K1083" s="85">
        <v>1459.42</v>
      </c>
      <c r="L1083" s="85">
        <v>3912.99</v>
      </c>
      <c r="M1083" s="89">
        <v>1389.92</v>
      </c>
      <c r="N1083" s="85">
        <v>0</v>
      </c>
      <c r="O1083" s="85">
        <v>69.5</v>
      </c>
      <c r="P1083" s="85">
        <v>1459.42</v>
      </c>
      <c r="Q1083" s="85">
        <v>3912.99</v>
      </c>
      <c r="R1083" s="82" t="s">
        <v>3399</v>
      </c>
      <c r="S1083" s="7">
        <f t="shared" si="49"/>
        <v>0</v>
      </c>
      <c r="T1083" s="6">
        <f t="shared" si="50"/>
        <v>0</v>
      </c>
      <c r="U1083" s="25">
        <f t="shared" si="48"/>
        <v>0</v>
      </c>
    </row>
    <row r="1084" spans="1:21" ht="10.9" customHeight="1" x14ac:dyDescent="0.2">
      <c r="A1084" s="82" t="s">
        <v>2760</v>
      </c>
      <c r="B1084" s="83">
        <v>45792</v>
      </c>
      <c r="C1084" s="82" t="s">
        <v>3395</v>
      </c>
      <c r="D1084" s="82" t="s">
        <v>1415</v>
      </c>
      <c r="E1084" s="82"/>
      <c r="F1084" s="82" t="s">
        <v>4518</v>
      </c>
      <c r="G1084" s="89">
        <v>1</v>
      </c>
      <c r="H1084" s="89">
        <v>496.56</v>
      </c>
      <c r="I1084" s="85">
        <v>0</v>
      </c>
      <c r="J1084" s="85">
        <v>24.83</v>
      </c>
      <c r="K1084" s="85">
        <v>521.39</v>
      </c>
      <c r="L1084" s="85">
        <v>3912.99</v>
      </c>
      <c r="M1084" s="89">
        <v>496.56</v>
      </c>
      <c r="N1084" s="85">
        <v>0</v>
      </c>
      <c r="O1084" s="85">
        <v>24.83</v>
      </c>
      <c r="P1084" s="85">
        <v>521.39</v>
      </c>
      <c r="Q1084" s="85">
        <v>3912.99</v>
      </c>
      <c r="R1084" s="82" t="s">
        <v>3399</v>
      </c>
      <c r="S1084" s="7">
        <f t="shared" si="49"/>
        <v>0</v>
      </c>
      <c r="T1084" s="6">
        <f t="shared" si="50"/>
        <v>0</v>
      </c>
      <c r="U1084" s="25">
        <f t="shared" si="48"/>
        <v>0</v>
      </c>
    </row>
    <row r="1085" spans="1:21" ht="10.9" customHeight="1" x14ac:dyDescent="0.2">
      <c r="A1085" s="82" t="s">
        <v>2760</v>
      </c>
      <c r="B1085" s="83">
        <v>45792</v>
      </c>
      <c r="C1085" s="82" t="s">
        <v>3395</v>
      </c>
      <c r="D1085" s="82" t="s">
        <v>1415</v>
      </c>
      <c r="E1085" s="82"/>
      <c r="F1085" s="82" t="s">
        <v>4517</v>
      </c>
      <c r="G1085" s="89">
        <v>1</v>
      </c>
      <c r="H1085" s="89">
        <v>904.79</v>
      </c>
      <c r="I1085" s="85">
        <v>0</v>
      </c>
      <c r="J1085" s="85">
        <v>45.24</v>
      </c>
      <c r="K1085" s="85">
        <v>950.03</v>
      </c>
      <c r="L1085" s="85">
        <v>3912.99</v>
      </c>
      <c r="M1085" s="89">
        <v>904.79</v>
      </c>
      <c r="N1085" s="85">
        <v>0</v>
      </c>
      <c r="O1085" s="85">
        <v>45.24</v>
      </c>
      <c r="P1085" s="85">
        <v>950.03</v>
      </c>
      <c r="Q1085" s="85">
        <v>3912.99</v>
      </c>
      <c r="R1085" s="82" t="s">
        <v>3399</v>
      </c>
      <c r="S1085" s="7">
        <f t="shared" si="49"/>
        <v>0</v>
      </c>
      <c r="T1085" s="6">
        <f t="shared" si="50"/>
        <v>0</v>
      </c>
      <c r="U1085" s="25">
        <f t="shared" si="48"/>
        <v>0</v>
      </c>
    </row>
    <row r="1086" spans="1:21" ht="10.9" customHeight="1" x14ac:dyDescent="0.2">
      <c r="A1086" s="82" t="s">
        <v>2760</v>
      </c>
      <c r="B1086" s="83">
        <v>45792</v>
      </c>
      <c r="C1086" s="82" t="s">
        <v>3395</v>
      </c>
      <c r="D1086" s="82" t="s">
        <v>1415</v>
      </c>
      <c r="E1086" s="82"/>
      <c r="F1086" s="82" t="s">
        <v>4587</v>
      </c>
      <c r="G1086" s="89">
        <v>1</v>
      </c>
      <c r="H1086" s="89">
        <v>48.49</v>
      </c>
      <c r="I1086" s="85">
        <v>0</v>
      </c>
      <c r="J1086" s="85">
        <v>2.42</v>
      </c>
      <c r="K1086" s="85">
        <v>50.91</v>
      </c>
      <c r="L1086" s="85">
        <v>3912.99</v>
      </c>
      <c r="M1086" s="89">
        <v>48.49</v>
      </c>
      <c r="N1086" s="85">
        <v>0</v>
      </c>
      <c r="O1086" s="85">
        <v>2.42</v>
      </c>
      <c r="P1086" s="85">
        <v>50.91</v>
      </c>
      <c r="Q1086" s="85">
        <v>3912.99</v>
      </c>
      <c r="R1086" s="82" t="s">
        <v>3399</v>
      </c>
      <c r="S1086" s="7">
        <f t="shared" si="49"/>
        <v>0</v>
      </c>
      <c r="T1086" s="6">
        <f t="shared" si="50"/>
        <v>0</v>
      </c>
      <c r="U1086" s="25">
        <f t="shared" si="48"/>
        <v>0</v>
      </c>
    </row>
    <row r="1087" spans="1:21" ht="10.9" customHeight="1" x14ac:dyDescent="0.2">
      <c r="A1087" s="82" t="s">
        <v>2760</v>
      </c>
      <c r="B1087" s="83">
        <v>45792</v>
      </c>
      <c r="C1087" s="82" t="s">
        <v>3395</v>
      </c>
      <c r="D1087" s="82" t="s">
        <v>1415</v>
      </c>
      <c r="E1087" s="82"/>
      <c r="F1087" s="82" t="s">
        <v>4588</v>
      </c>
      <c r="G1087" s="89">
        <v>1</v>
      </c>
      <c r="H1087" s="89">
        <v>48.49</v>
      </c>
      <c r="I1087" s="85">
        <v>0</v>
      </c>
      <c r="J1087" s="85">
        <v>2.42</v>
      </c>
      <c r="K1087" s="85">
        <v>50.91</v>
      </c>
      <c r="L1087" s="85">
        <v>3912.99</v>
      </c>
      <c r="M1087" s="89">
        <v>48.49</v>
      </c>
      <c r="N1087" s="85">
        <v>0</v>
      </c>
      <c r="O1087" s="85">
        <v>2.42</v>
      </c>
      <c r="P1087" s="85">
        <v>50.91</v>
      </c>
      <c r="Q1087" s="85">
        <v>3912.99</v>
      </c>
      <c r="R1087" s="82" t="s">
        <v>3399</v>
      </c>
      <c r="S1087" s="7">
        <f t="shared" si="49"/>
        <v>0</v>
      </c>
      <c r="T1087" s="6">
        <f t="shared" si="50"/>
        <v>0</v>
      </c>
      <c r="U1087" s="25">
        <f t="shared" si="48"/>
        <v>0</v>
      </c>
    </row>
    <row r="1088" spans="1:21" ht="10.9" customHeight="1" x14ac:dyDescent="0.2">
      <c r="A1088" s="82" t="s">
        <v>2760</v>
      </c>
      <c r="B1088" s="83">
        <v>45792</v>
      </c>
      <c r="C1088" s="82" t="s">
        <v>3395</v>
      </c>
      <c r="D1088" s="82" t="s">
        <v>1415</v>
      </c>
      <c r="E1088" s="82"/>
      <c r="F1088" s="82" t="s">
        <v>4439</v>
      </c>
      <c r="G1088" s="89">
        <v>1</v>
      </c>
      <c r="H1088" s="89">
        <v>20.149999999999999</v>
      </c>
      <c r="I1088" s="85">
        <v>0</v>
      </c>
      <c r="J1088" s="85">
        <v>1.01</v>
      </c>
      <c r="K1088" s="85">
        <v>21.16</v>
      </c>
      <c r="L1088" s="85">
        <v>3912.99</v>
      </c>
      <c r="M1088" s="89">
        <v>20.149999999999999</v>
      </c>
      <c r="N1088" s="85">
        <v>0</v>
      </c>
      <c r="O1088" s="85">
        <v>1.01</v>
      </c>
      <c r="P1088" s="85">
        <v>21.16</v>
      </c>
      <c r="Q1088" s="85">
        <v>3912.99</v>
      </c>
      <c r="R1088" s="82" t="s">
        <v>3399</v>
      </c>
      <c r="S1088" s="7">
        <f t="shared" si="49"/>
        <v>0</v>
      </c>
      <c r="T1088" s="6">
        <f t="shared" si="50"/>
        <v>0</v>
      </c>
      <c r="U1088" s="25">
        <f t="shared" si="48"/>
        <v>0</v>
      </c>
    </row>
    <row r="1089" spans="1:21" ht="10.9" customHeight="1" x14ac:dyDescent="0.2">
      <c r="A1089" s="82" t="s">
        <v>2760</v>
      </c>
      <c r="B1089" s="83">
        <v>45792</v>
      </c>
      <c r="C1089" s="82" t="s">
        <v>3395</v>
      </c>
      <c r="D1089" s="82" t="s">
        <v>1415</v>
      </c>
      <c r="E1089" s="82"/>
      <c r="F1089" s="82" t="s">
        <v>4439</v>
      </c>
      <c r="G1089" s="89">
        <v>1</v>
      </c>
      <c r="H1089" s="89">
        <v>20.149999999999999</v>
      </c>
      <c r="I1089" s="85">
        <v>0</v>
      </c>
      <c r="J1089" s="85">
        <v>1.01</v>
      </c>
      <c r="K1089" s="85">
        <v>21.16</v>
      </c>
      <c r="L1089" s="85">
        <v>3912.99</v>
      </c>
      <c r="M1089" s="89">
        <v>20.149999999999999</v>
      </c>
      <c r="N1089" s="85">
        <v>0</v>
      </c>
      <c r="O1089" s="85">
        <v>1.01</v>
      </c>
      <c r="P1089" s="85">
        <v>21.16</v>
      </c>
      <c r="Q1089" s="85">
        <v>3912.99</v>
      </c>
      <c r="R1089" s="82" t="s">
        <v>3399</v>
      </c>
      <c r="S1089" s="7">
        <f t="shared" si="49"/>
        <v>0</v>
      </c>
      <c r="T1089" s="6">
        <f t="shared" si="50"/>
        <v>0</v>
      </c>
      <c r="U1089" s="25">
        <f t="shared" si="48"/>
        <v>0</v>
      </c>
    </row>
    <row r="1090" spans="1:21" ht="10.9" customHeight="1" x14ac:dyDescent="0.2">
      <c r="A1090" s="82" t="s">
        <v>2760</v>
      </c>
      <c r="B1090" s="83">
        <v>45792</v>
      </c>
      <c r="C1090" s="82" t="s">
        <v>3395</v>
      </c>
      <c r="D1090" s="82" t="s">
        <v>1415</v>
      </c>
      <c r="E1090" s="82"/>
      <c r="F1090" s="82" t="s">
        <v>4738</v>
      </c>
      <c r="G1090" s="89">
        <v>1</v>
      </c>
      <c r="H1090" s="89">
        <v>798.1</v>
      </c>
      <c r="I1090" s="85">
        <v>0</v>
      </c>
      <c r="J1090" s="85">
        <v>39.909999999999997</v>
      </c>
      <c r="K1090" s="85">
        <v>838.01</v>
      </c>
      <c r="L1090" s="85">
        <v>3912.99</v>
      </c>
      <c r="M1090" s="89">
        <v>798.1</v>
      </c>
      <c r="N1090" s="85">
        <v>0</v>
      </c>
      <c r="O1090" s="85">
        <v>39.909999999999997</v>
      </c>
      <c r="P1090" s="85">
        <v>838.01</v>
      </c>
      <c r="Q1090" s="85">
        <v>3912.99</v>
      </c>
      <c r="R1090" s="82" t="s">
        <v>3399</v>
      </c>
      <c r="S1090" s="7">
        <f t="shared" si="49"/>
        <v>0</v>
      </c>
      <c r="T1090" s="6">
        <f t="shared" si="50"/>
        <v>0</v>
      </c>
      <c r="U1090" s="25">
        <f t="shared" ref="U1090:U1153" si="51">IF(T1090=1,K1090-J1090,0)</f>
        <v>0</v>
      </c>
    </row>
    <row r="1091" spans="1:21" ht="10.9" customHeight="1" x14ac:dyDescent="0.2">
      <c r="A1091" s="82" t="s">
        <v>2761</v>
      </c>
      <c r="B1091" s="83">
        <v>45792</v>
      </c>
      <c r="C1091" s="82" t="s">
        <v>3395</v>
      </c>
      <c r="D1091" s="82" t="s">
        <v>1413</v>
      </c>
      <c r="E1091" s="82"/>
      <c r="F1091" s="82" t="s">
        <v>4964</v>
      </c>
      <c r="G1091" s="89">
        <v>1</v>
      </c>
      <c r="H1091" s="89">
        <v>79.39</v>
      </c>
      <c r="I1091" s="85">
        <v>0</v>
      </c>
      <c r="J1091" s="85">
        <v>3.97</v>
      </c>
      <c r="K1091" s="85">
        <v>83.36</v>
      </c>
      <c r="L1091" s="85">
        <v>123.03</v>
      </c>
      <c r="M1091" s="89">
        <v>79.39</v>
      </c>
      <c r="N1091" s="85">
        <v>0</v>
      </c>
      <c r="O1091" s="85">
        <v>3.97</v>
      </c>
      <c r="P1091" s="85">
        <v>83.36</v>
      </c>
      <c r="Q1091" s="85">
        <v>123.03</v>
      </c>
      <c r="R1091" s="82" t="s">
        <v>3399</v>
      </c>
      <c r="S1091" s="7">
        <f t="shared" ref="S1091:S1154" si="52">IF(T1091=1,A1091,0)</f>
        <v>0</v>
      </c>
      <c r="T1091" s="6">
        <f t="shared" ref="T1091:T1154" si="53">IFERROR(FIND("Freight",F1091,1),0)</f>
        <v>0</v>
      </c>
      <c r="U1091" s="25">
        <f t="shared" si="51"/>
        <v>0</v>
      </c>
    </row>
    <row r="1092" spans="1:21" ht="10.9" customHeight="1" x14ac:dyDescent="0.2">
      <c r="A1092" s="82" t="s">
        <v>2761</v>
      </c>
      <c r="B1092" s="83">
        <v>45792</v>
      </c>
      <c r="C1092" s="82" t="s">
        <v>3395</v>
      </c>
      <c r="D1092" s="82" t="s">
        <v>1413</v>
      </c>
      <c r="E1092" s="82"/>
      <c r="F1092" s="82" t="s">
        <v>5355</v>
      </c>
      <c r="G1092" s="89">
        <v>1</v>
      </c>
      <c r="H1092" s="89">
        <v>37.78</v>
      </c>
      <c r="I1092" s="85">
        <v>0</v>
      </c>
      <c r="J1092" s="85">
        <v>1.89</v>
      </c>
      <c r="K1092" s="85">
        <v>39.67</v>
      </c>
      <c r="L1092" s="85">
        <v>123.03</v>
      </c>
      <c r="M1092" s="89">
        <v>37.78</v>
      </c>
      <c r="N1092" s="85">
        <v>0</v>
      </c>
      <c r="O1092" s="85">
        <v>1.89</v>
      </c>
      <c r="P1092" s="85">
        <v>39.67</v>
      </c>
      <c r="Q1092" s="85">
        <v>123.03</v>
      </c>
      <c r="R1092" s="82" t="s">
        <v>3399</v>
      </c>
      <c r="S1092" s="7">
        <f t="shared" si="52"/>
        <v>0</v>
      </c>
      <c r="T1092" s="6">
        <f t="shared" si="53"/>
        <v>0</v>
      </c>
      <c r="U1092" s="25">
        <f t="shared" si="51"/>
        <v>0</v>
      </c>
    </row>
    <row r="1093" spans="1:21" ht="10.9" customHeight="1" x14ac:dyDescent="0.2">
      <c r="A1093" s="82" t="s">
        <v>2765</v>
      </c>
      <c r="B1093" s="83">
        <v>45793</v>
      </c>
      <c r="C1093" s="82" t="s">
        <v>3395</v>
      </c>
      <c r="D1093" s="82" t="s">
        <v>1404</v>
      </c>
      <c r="E1093" s="82"/>
      <c r="F1093" s="82" t="s">
        <v>5428</v>
      </c>
      <c r="G1093" s="89">
        <v>1</v>
      </c>
      <c r="H1093" s="89">
        <v>919.94</v>
      </c>
      <c r="I1093" s="85">
        <v>0</v>
      </c>
      <c r="J1093" s="85">
        <v>119.59</v>
      </c>
      <c r="K1093" s="85">
        <v>1039.53</v>
      </c>
      <c r="L1093" s="85">
        <v>1039.53</v>
      </c>
      <c r="M1093" s="89">
        <v>919.94</v>
      </c>
      <c r="N1093" s="85">
        <v>0</v>
      </c>
      <c r="O1093" s="85">
        <v>119.59</v>
      </c>
      <c r="P1093" s="85">
        <v>1039.53</v>
      </c>
      <c r="Q1093" s="85">
        <v>1039.53</v>
      </c>
      <c r="R1093" s="82" t="s">
        <v>3399</v>
      </c>
      <c r="S1093" s="7">
        <f t="shared" si="52"/>
        <v>0</v>
      </c>
      <c r="T1093" s="6">
        <f t="shared" si="53"/>
        <v>0</v>
      </c>
      <c r="U1093" s="25">
        <f t="shared" si="51"/>
        <v>0</v>
      </c>
    </row>
    <row r="1094" spans="1:21" ht="10.9" customHeight="1" x14ac:dyDescent="0.2">
      <c r="A1094" s="82" t="s">
        <v>2763</v>
      </c>
      <c r="B1094" s="83">
        <v>45793</v>
      </c>
      <c r="C1094" s="82" t="s">
        <v>3395</v>
      </c>
      <c r="D1094" s="82" t="s">
        <v>1408</v>
      </c>
      <c r="E1094" s="82"/>
      <c r="F1094" s="82" t="s">
        <v>4428</v>
      </c>
      <c r="G1094" s="89">
        <v>2</v>
      </c>
      <c r="H1094" s="89">
        <v>204.32</v>
      </c>
      <c r="I1094" s="85">
        <v>0</v>
      </c>
      <c r="J1094" s="85">
        <v>20.43</v>
      </c>
      <c r="K1094" s="85">
        <v>429.07</v>
      </c>
      <c r="L1094" s="85">
        <v>429.07</v>
      </c>
      <c r="M1094" s="89">
        <v>204.32</v>
      </c>
      <c r="N1094" s="85">
        <v>0</v>
      </c>
      <c r="O1094" s="85">
        <v>20.43</v>
      </c>
      <c r="P1094" s="85">
        <v>429.07</v>
      </c>
      <c r="Q1094" s="85">
        <v>429.07</v>
      </c>
      <c r="R1094" s="82" t="s">
        <v>3399</v>
      </c>
      <c r="S1094" s="7">
        <f t="shared" si="52"/>
        <v>0</v>
      </c>
      <c r="T1094" s="6">
        <f t="shared" si="53"/>
        <v>0</v>
      </c>
      <c r="U1094" s="25">
        <f t="shared" si="51"/>
        <v>0</v>
      </c>
    </row>
    <row r="1095" spans="1:21" ht="10.9" customHeight="1" x14ac:dyDescent="0.2">
      <c r="A1095" s="82" t="s">
        <v>2764</v>
      </c>
      <c r="B1095" s="83">
        <v>45793</v>
      </c>
      <c r="C1095" s="82" t="s">
        <v>3395</v>
      </c>
      <c r="D1095" s="82" t="s">
        <v>1406</v>
      </c>
      <c r="E1095" s="82"/>
      <c r="F1095" s="82" t="s">
        <v>4741</v>
      </c>
      <c r="G1095" s="89">
        <v>5</v>
      </c>
      <c r="H1095" s="89">
        <v>371.83</v>
      </c>
      <c r="I1095" s="85">
        <v>0</v>
      </c>
      <c r="J1095" s="85">
        <v>92.96</v>
      </c>
      <c r="K1095" s="85">
        <v>1952.11</v>
      </c>
      <c r="L1095" s="85">
        <v>1952.11</v>
      </c>
      <c r="M1095" s="89">
        <v>371.83</v>
      </c>
      <c r="N1095" s="85">
        <v>0</v>
      </c>
      <c r="O1095" s="85">
        <v>92.96</v>
      </c>
      <c r="P1095" s="85">
        <v>1952.11</v>
      </c>
      <c r="Q1095" s="85">
        <v>1952.11</v>
      </c>
      <c r="R1095" s="82" t="s">
        <v>3399</v>
      </c>
      <c r="S1095" s="7">
        <f t="shared" si="52"/>
        <v>0</v>
      </c>
      <c r="T1095" s="6">
        <f t="shared" si="53"/>
        <v>0</v>
      </c>
      <c r="U1095" s="25">
        <f t="shared" si="51"/>
        <v>0</v>
      </c>
    </row>
    <row r="1096" spans="1:21" ht="10.9" customHeight="1" x14ac:dyDescent="0.2">
      <c r="A1096" s="82" t="s">
        <v>2707</v>
      </c>
      <c r="B1096" s="83">
        <v>45797</v>
      </c>
      <c r="C1096" s="82" t="s">
        <v>3395</v>
      </c>
      <c r="D1096" s="82" t="s">
        <v>1510</v>
      </c>
      <c r="E1096" s="82"/>
      <c r="F1096" s="82" t="s">
        <v>5426</v>
      </c>
      <c r="G1096" s="89">
        <v>1</v>
      </c>
      <c r="H1096" s="89">
        <v>133.54</v>
      </c>
      <c r="I1096" s="85">
        <v>0</v>
      </c>
      <c r="J1096" s="85">
        <v>0</v>
      </c>
      <c r="K1096" s="85">
        <v>133.54</v>
      </c>
      <c r="L1096" s="85">
        <v>133.54</v>
      </c>
      <c r="M1096" s="89">
        <v>185.8796083638864</v>
      </c>
      <c r="N1096" s="85">
        <v>0</v>
      </c>
      <c r="O1096" s="85">
        <v>0</v>
      </c>
      <c r="P1096" s="85">
        <v>185.8796083638864</v>
      </c>
      <c r="Q1096" s="85">
        <v>185.8796083638864</v>
      </c>
      <c r="R1096" s="82" t="s">
        <v>3399</v>
      </c>
      <c r="S1096" s="7">
        <f t="shared" si="52"/>
        <v>0</v>
      </c>
      <c r="T1096" s="6">
        <f t="shared" si="53"/>
        <v>0</v>
      </c>
      <c r="U1096" s="25">
        <f t="shared" si="51"/>
        <v>0</v>
      </c>
    </row>
    <row r="1097" spans="1:21" ht="10.9" customHeight="1" x14ac:dyDescent="0.2">
      <c r="A1097" s="82" t="s">
        <v>2762</v>
      </c>
      <c r="B1097" s="83">
        <v>45797</v>
      </c>
      <c r="C1097" s="82" t="s">
        <v>3395</v>
      </c>
      <c r="D1097" s="82" t="s">
        <v>1410</v>
      </c>
      <c r="E1097" s="82"/>
      <c r="F1097" s="82" t="s">
        <v>4449</v>
      </c>
      <c r="G1097" s="89">
        <v>1</v>
      </c>
      <c r="H1097" s="89">
        <v>1427.22</v>
      </c>
      <c r="I1097" s="85">
        <v>0</v>
      </c>
      <c r="J1097" s="85">
        <v>185.54</v>
      </c>
      <c r="K1097" s="85">
        <v>1612.76</v>
      </c>
      <c r="L1097" s="85">
        <v>3106.74</v>
      </c>
      <c r="M1097" s="89">
        <v>1427.22</v>
      </c>
      <c r="N1097" s="85">
        <v>0</v>
      </c>
      <c r="O1097" s="85">
        <v>185.54</v>
      </c>
      <c r="P1097" s="85">
        <v>1612.76</v>
      </c>
      <c r="Q1097" s="85">
        <v>3106.74</v>
      </c>
      <c r="R1097" s="82" t="s">
        <v>3399</v>
      </c>
      <c r="S1097" s="7">
        <f t="shared" si="52"/>
        <v>0</v>
      </c>
      <c r="T1097" s="6">
        <f t="shared" si="53"/>
        <v>0</v>
      </c>
      <c r="U1097" s="25">
        <f t="shared" si="51"/>
        <v>0</v>
      </c>
    </row>
    <row r="1098" spans="1:21" ht="10.9" customHeight="1" x14ac:dyDescent="0.2">
      <c r="A1098" s="82" t="s">
        <v>2762</v>
      </c>
      <c r="B1098" s="83">
        <v>45797</v>
      </c>
      <c r="C1098" s="82" t="s">
        <v>3395</v>
      </c>
      <c r="D1098" s="82" t="s">
        <v>1410</v>
      </c>
      <c r="E1098" s="82"/>
      <c r="F1098" s="82" t="s">
        <v>4805</v>
      </c>
      <c r="G1098" s="89">
        <v>1</v>
      </c>
      <c r="H1098" s="89">
        <v>29.85</v>
      </c>
      <c r="I1098" s="85">
        <v>29.85</v>
      </c>
      <c r="J1098" s="85">
        <v>0</v>
      </c>
      <c r="K1098" s="85">
        <v>0</v>
      </c>
      <c r="L1098" s="85">
        <v>3106.74</v>
      </c>
      <c r="M1098" s="89">
        <v>29.85</v>
      </c>
      <c r="N1098" s="85">
        <v>29.85</v>
      </c>
      <c r="O1098" s="85">
        <v>0</v>
      </c>
      <c r="P1098" s="85">
        <v>0</v>
      </c>
      <c r="Q1098" s="85">
        <v>3106.74</v>
      </c>
      <c r="R1098" s="82" t="s">
        <v>3399</v>
      </c>
      <c r="S1098" s="7">
        <f t="shared" si="52"/>
        <v>0</v>
      </c>
      <c r="T1098" s="6">
        <f t="shared" si="53"/>
        <v>0</v>
      </c>
      <c r="U1098" s="25">
        <f t="shared" si="51"/>
        <v>0</v>
      </c>
    </row>
    <row r="1099" spans="1:21" ht="10.9" customHeight="1" x14ac:dyDescent="0.2">
      <c r="A1099" s="82" t="s">
        <v>2762</v>
      </c>
      <c r="B1099" s="83">
        <v>45797</v>
      </c>
      <c r="C1099" s="82" t="s">
        <v>3395</v>
      </c>
      <c r="D1099" s="82" t="s">
        <v>1410</v>
      </c>
      <c r="E1099" s="82"/>
      <c r="F1099" s="82" t="s">
        <v>4450</v>
      </c>
      <c r="G1099" s="89">
        <v>1</v>
      </c>
      <c r="H1099" s="89">
        <v>1322.11</v>
      </c>
      <c r="I1099" s="85">
        <v>0</v>
      </c>
      <c r="J1099" s="85">
        <v>171.87</v>
      </c>
      <c r="K1099" s="85">
        <v>1493.98</v>
      </c>
      <c r="L1099" s="85">
        <v>3106.74</v>
      </c>
      <c r="M1099" s="89">
        <v>1322.11</v>
      </c>
      <c r="N1099" s="85">
        <v>0</v>
      </c>
      <c r="O1099" s="85">
        <v>171.87</v>
      </c>
      <c r="P1099" s="85">
        <v>1493.98</v>
      </c>
      <c r="Q1099" s="85">
        <v>3106.74</v>
      </c>
      <c r="R1099" s="82" t="s">
        <v>3399</v>
      </c>
      <c r="S1099" s="7">
        <f t="shared" si="52"/>
        <v>0</v>
      </c>
      <c r="T1099" s="6">
        <f t="shared" si="53"/>
        <v>0</v>
      </c>
      <c r="U1099" s="25">
        <f t="shared" si="51"/>
        <v>0</v>
      </c>
    </row>
    <row r="1100" spans="1:21" ht="10.9" customHeight="1" x14ac:dyDescent="0.2">
      <c r="A1100" s="82" t="s">
        <v>2762</v>
      </c>
      <c r="B1100" s="83">
        <v>45797</v>
      </c>
      <c r="C1100" s="82" t="s">
        <v>3395</v>
      </c>
      <c r="D1100" s="82" t="s">
        <v>1410</v>
      </c>
      <c r="E1100" s="82"/>
      <c r="F1100" s="82" t="s">
        <v>4806</v>
      </c>
      <c r="G1100" s="89">
        <v>1</v>
      </c>
      <c r="H1100" s="89">
        <v>40</v>
      </c>
      <c r="I1100" s="85">
        <v>40</v>
      </c>
      <c r="J1100" s="85">
        <v>0</v>
      </c>
      <c r="K1100" s="85">
        <v>0</v>
      </c>
      <c r="L1100" s="85">
        <v>3106.74</v>
      </c>
      <c r="M1100" s="89">
        <v>40</v>
      </c>
      <c r="N1100" s="85">
        <v>40</v>
      </c>
      <c r="O1100" s="85">
        <v>0</v>
      </c>
      <c r="P1100" s="85">
        <v>0</v>
      </c>
      <c r="Q1100" s="85">
        <v>3106.74</v>
      </c>
      <c r="R1100" s="82" t="s">
        <v>3399</v>
      </c>
      <c r="S1100" s="7">
        <f t="shared" si="52"/>
        <v>0</v>
      </c>
      <c r="T1100" s="6">
        <f t="shared" si="53"/>
        <v>0</v>
      </c>
      <c r="U1100" s="25">
        <f t="shared" si="51"/>
        <v>0</v>
      </c>
    </row>
    <row r="1101" spans="1:21" ht="10.9" customHeight="1" x14ac:dyDescent="0.2">
      <c r="A1101" s="82" t="s">
        <v>2766</v>
      </c>
      <c r="B1101" s="83">
        <v>45797</v>
      </c>
      <c r="C1101" s="82" t="s">
        <v>3395</v>
      </c>
      <c r="D1101" s="82" t="s">
        <v>1402</v>
      </c>
      <c r="E1101" s="82"/>
      <c r="F1101" s="82" t="s">
        <v>4739</v>
      </c>
      <c r="G1101" s="89">
        <v>2</v>
      </c>
      <c r="H1101" s="89">
        <v>164.44</v>
      </c>
      <c r="I1101" s="85">
        <v>0</v>
      </c>
      <c r="J1101" s="85">
        <v>16.440000000000001</v>
      </c>
      <c r="K1101" s="85">
        <v>345.32</v>
      </c>
      <c r="L1101" s="85">
        <v>7861.24</v>
      </c>
      <c r="M1101" s="89">
        <v>164.44</v>
      </c>
      <c r="N1101" s="85">
        <v>0</v>
      </c>
      <c r="O1101" s="85">
        <v>16.440000000000001</v>
      </c>
      <c r="P1101" s="85">
        <v>345.32</v>
      </c>
      <c r="Q1101" s="85">
        <v>7861.24</v>
      </c>
      <c r="R1101" s="82" t="s">
        <v>3399</v>
      </c>
      <c r="S1101" s="7">
        <f t="shared" si="52"/>
        <v>0</v>
      </c>
      <c r="T1101" s="6">
        <f t="shared" si="53"/>
        <v>0</v>
      </c>
      <c r="U1101" s="25">
        <f t="shared" si="51"/>
        <v>0</v>
      </c>
    </row>
    <row r="1102" spans="1:21" ht="10.9" customHeight="1" x14ac:dyDescent="0.2">
      <c r="A1102" s="82" t="s">
        <v>2766</v>
      </c>
      <c r="B1102" s="83">
        <v>45797</v>
      </c>
      <c r="C1102" s="82" t="s">
        <v>3395</v>
      </c>
      <c r="D1102" s="82" t="s">
        <v>1402</v>
      </c>
      <c r="E1102" s="82"/>
      <c r="F1102" s="82" t="s">
        <v>4609</v>
      </c>
      <c r="G1102" s="89">
        <v>1</v>
      </c>
      <c r="H1102" s="89">
        <v>559.73</v>
      </c>
      <c r="I1102" s="85">
        <v>0</v>
      </c>
      <c r="J1102" s="85">
        <v>27.99</v>
      </c>
      <c r="K1102" s="85">
        <v>587.72</v>
      </c>
      <c r="L1102" s="85">
        <v>7861.24</v>
      </c>
      <c r="M1102" s="89">
        <v>559.73</v>
      </c>
      <c r="N1102" s="85">
        <v>0</v>
      </c>
      <c r="O1102" s="85">
        <v>27.99</v>
      </c>
      <c r="P1102" s="85">
        <v>587.72</v>
      </c>
      <c r="Q1102" s="85">
        <v>7861.24</v>
      </c>
      <c r="R1102" s="82" t="s">
        <v>3399</v>
      </c>
      <c r="S1102" s="7">
        <f t="shared" si="52"/>
        <v>0</v>
      </c>
      <c r="T1102" s="6">
        <f t="shared" si="53"/>
        <v>0</v>
      </c>
      <c r="U1102" s="25">
        <f t="shared" si="51"/>
        <v>0</v>
      </c>
    </row>
    <row r="1103" spans="1:21" ht="10.9" customHeight="1" x14ac:dyDescent="0.2">
      <c r="A1103" s="82" t="s">
        <v>2766</v>
      </c>
      <c r="B1103" s="83">
        <v>45797</v>
      </c>
      <c r="C1103" s="82" t="s">
        <v>3395</v>
      </c>
      <c r="D1103" s="82" t="s">
        <v>1402</v>
      </c>
      <c r="E1103" s="82"/>
      <c r="F1103" s="82" t="s">
        <v>5427</v>
      </c>
      <c r="G1103" s="89">
        <v>1</v>
      </c>
      <c r="H1103" s="89">
        <v>6598.29</v>
      </c>
      <c r="I1103" s="85">
        <v>0</v>
      </c>
      <c r="J1103" s="85">
        <v>329.91</v>
      </c>
      <c r="K1103" s="85">
        <v>6928.2</v>
      </c>
      <c r="L1103" s="85">
        <v>7861.24</v>
      </c>
      <c r="M1103" s="89">
        <v>6598.29</v>
      </c>
      <c r="N1103" s="85">
        <v>0</v>
      </c>
      <c r="O1103" s="85">
        <v>329.91</v>
      </c>
      <c r="P1103" s="85">
        <v>6928.2</v>
      </c>
      <c r="Q1103" s="85">
        <v>7861.24</v>
      </c>
      <c r="R1103" s="82" t="s">
        <v>3399</v>
      </c>
      <c r="S1103" s="7">
        <f t="shared" si="52"/>
        <v>0</v>
      </c>
      <c r="T1103" s="6">
        <f t="shared" si="53"/>
        <v>0</v>
      </c>
      <c r="U1103" s="25">
        <f t="shared" si="51"/>
        <v>0</v>
      </c>
    </row>
    <row r="1104" spans="1:21" ht="10.9" customHeight="1" x14ac:dyDescent="0.2">
      <c r="A1104" s="82" t="s">
        <v>2768</v>
      </c>
      <c r="B1104" s="83">
        <v>45798</v>
      </c>
      <c r="C1104" s="82" t="s">
        <v>3395</v>
      </c>
      <c r="D1104" s="82" t="s">
        <v>1398</v>
      </c>
      <c r="E1104" s="82"/>
      <c r="F1104" s="82" t="s">
        <v>5425</v>
      </c>
      <c r="G1104" s="89">
        <v>1</v>
      </c>
      <c r="H1104" s="89">
        <v>2434.46</v>
      </c>
      <c r="I1104" s="85">
        <v>0</v>
      </c>
      <c r="J1104" s="85">
        <v>0</v>
      </c>
      <c r="K1104" s="85">
        <v>2434.46</v>
      </c>
      <c r="L1104" s="85">
        <v>2951.99</v>
      </c>
      <c r="M1104" s="89">
        <v>3371.823584731877</v>
      </c>
      <c r="N1104" s="85">
        <v>0</v>
      </c>
      <c r="O1104" s="85">
        <v>0</v>
      </c>
      <c r="P1104" s="85">
        <v>3371.823584731877</v>
      </c>
      <c r="Q1104" s="85">
        <v>4088.6231459513215</v>
      </c>
      <c r="R1104" s="82" t="s">
        <v>3399</v>
      </c>
      <c r="S1104" s="7">
        <f t="shared" si="52"/>
        <v>0</v>
      </c>
      <c r="T1104" s="6">
        <f t="shared" si="53"/>
        <v>0</v>
      </c>
      <c r="U1104" s="25">
        <f t="shared" si="51"/>
        <v>0</v>
      </c>
    </row>
    <row r="1105" spans="1:21" ht="10.9" customHeight="1" x14ac:dyDescent="0.2">
      <c r="A1105" s="82" t="s">
        <v>2768</v>
      </c>
      <c r="B1105" s="83">
        <v>45798</v>
      </c>
      <c r="C1105" s="82" t="s">
        <v>3395</v>
      </c>
      <c r="D1105" s="82" t="s">
        <v>1398</v>
      </c>
      <c r="E1105" s="82"/>
      <c r="F1105" s="82" t="s">
        <v>5369</v>
      </c>
      <c r="G1105" s="89">
        <v>1</v>
      </c>
      <c r="H1105" s="89">
        <v>517.53</v>
      </c>
      <c r="I1105" s="85">
        <v>0</v>
      </c>
      <c r="J1105" s="85">
        <v>0</v>
      </c>
      <c r="K1105" s="85">
        <v>517.53</v>
      </c>
      <c r="L1105" s="85">
        <v>2951.99</v>
      </c>
      <c r="M1105" s="89">
        <v>716.79956121944429</v>
      </c>
      <c r="N1105" s="85">
        <v>0</v>
      </c>
      <c r="O1105" s="85">
        <v>0</v>
      </c>
      <c r="P1105" s="85">
        <v>716.79956121944429</v>
      </c>
      <c r="Q1105" s="85">
        <v>4088.6231459513215</v>
      </c>
      <c r="R1105" s="82" t="s">
        <v>3399</v>
      </c>
      <c r="S1105" s="7" t="str">
        <f t="shared" si="52"/>
        <v>INV12996</v>
      </c>
      <c r="T1105" s="6">
        <f t="shared" si="53"/>
        <v>1</v>
      </c>
      <c r="U1105" s="25">
        <f t="shared" si="51"/>
        <v>517.53</v>
      </c>
    </row>
    <row r="1106" spans="1:21" ht="10.9" customHeight="1" x14ac:dyDescent="0.2">
      <c r="A1106" s="82" t="s">
        <v>2654</v>
      </c>
      <c r="B1106" s="83">
        <v>45799</v>
      </c>
      <c r="C1106" s="82" t="s">
        <v>3395</v>
      </c>
      <c r="D1106" s="82" t="s">
        <v>1602</v>
      </c>
      <c r="E1106" s="82"/>
      <c r="F1106" s="82" t="s">
        <v>5424</v>
      </c>
      <c r="G1106" s="89">
        <v>2</v>
      </c>
      <c r="H1106" s="89">
        <v>57.03</v>
      </c>
      <c r="I1106" s="85">
        <v>0</v>
      </c>
      <c r="J1106" s="85">
        <v>0</v>
      </c>
      <c r="K1106" s="85">
        <v>114.06</v>
      </c>
      <c r="L1106" s="85">
        <v>230.24</v>
      </c>
      <c r="M1106" s="89">
        <v>78.89527250894713</v>
      </c>
      <c r="N1106" s="85">
        <v>0</v>
      </c>
      <c r="O1106" s="85">
        <v>0</v>
      </c>
      <c r="P1106" s="85">
        <v>157.79054501789426</v>
      </c>
      <c r="Q1106" s="85">
        <v>318.51389693950534</v>
      </c>
      <c r="R1106" s="82" t="s">
        <v>3399</v>
      </c>
      <c r="S1106" s="7">
        <f t="shared" si="52"/>
        <v>0</v>
      </c>
      <c r="T1106" s="6">
        <f t="shared" si="53"/>
        <v>0</v>
      </c>
      <c r="U1106" s="25">
        <f t="shared" si="51"/>
        <v>0</v>
      </c>
    </row>
    <row r="1107" spans="1:21" ht="10.9" customHeight="1" x14ac:dyDescent="0.2">
      <c r="A1107" s="82" t="s">
        <v>2654</v>
      </c>
      <c r="B1107" s="83">
        <v>45799</v>
      </c>
      <c r="C1107" s="82" t="s">
        <v>3395</v>
      </c>
      <c r="D1107" s="82" t="s">
        <v>1602</v>
      </c>
      <c r="E1107" s="82"/>
      <c r="F1107" s="82" t="s">
        <v>5423</v>
      </c>
      <c r="G1107" s="89">
        <v>2</v>
      </c>
      <c r="H1107" s="89">
        <v>58.09</v>
      </c>
      <c r="I1107" s="85">
        <v>0</v>
      </c>
      <c r="J1107" s="85">
        <v>0</v>
      </c>
      <c r="K1107" s="85">
        <v>116.18</v>
      </c>
      <c r="L1107" s="85">
        <v>230.24</v>
      </c>
      <c r="M1107" s="89">
        <v>80.361675960805528</v>
      </c>
      <c r="N1107" s="85">
        <v>0</v>
      </c>
      <c r="O1107" s="85">
        <v>0</v>
      </c>
      <c r="P1107" s="85">
        <v>160.72335192161106</v>
      </c>
      <c r="Q1107" s="85">
        <v>318.51389693950534</v>
      </c>
      <c r="R1107" s="82" t="s">
        <v>3399</v>
      </c>
      <c r="S1107" s="7">
        <f t="shared" si="52"/>
        <v>0</v>
      </c>
      <c r="T1107" s="6">
        <f t="shared" si="53"/>
        <v>0</v>
      </c>
      <c r="U1107" s="25">
        <f t="shared" si="51"/>
        <v>0</v>
      </c>
    </row>
    <row r="1108" spans="1:21" ht="10.9" customHeight="1" x14ac:dyDescent="0.2">
      <c r="A1108" s="82" t="s">
        <v>2775</v>
      </c>
      <c r="B1108" s="83">
        <v>45799</v>
      </c>
      <c r="C1108" s="82" t="s">
        <v>3395</v>
      </c>
      <c r="D1108" s="82" t="s">
        <v>1386</v>
      </c>
      <c r="E1108" s="82"/>
      <c r="F1108" s="82" t="s">
        <v>5066</v>
      </c>
      <c r="G1108" s="89">
        <v>1</v>
      </c>
      <c r="H1108" s="89">
        <v>1278.73</v>
      </c>
      <c r="I1108" s="85">
        <v>0</v>
      </c>
      <c r="J1108" s="85">
        <v>0</v>
      </c>
      <c r="K1108" s="85">
        <v>1278.73</v>
      </c>
      <c r="L1108" s="85">
        <v>2387.6999999999998</v>
      </c>
      <c r="M1108" s="89">
        <v>1768.9944207498854</v>
      </c>
      <c r="N1108" s="85">
        <v>0</v>
      </c>
      <c r="O1108" s="85">
        <v>0</v>
      </c>
      <c r="P1108" s="85">
        <v>1768.9944207498854</v>
      </c>
      <c r="Q1108" s="85">
        <v>3303.1429452851671</v>
      </c>
      <c r="R1108" s="82" t="s">
        <v>3399</v>
      </c>
      <c r="S1108" s="7">
        <f t="shared" si="52"/>
        <v>0</v>
      </c>
      <c r="T1108" s="6">
        <f t="shared" si="53"/>
        <v>0</v>
      </c>
      <c r="U1108" s="25">
        <f t="shared" si="51"/>
        <v>0</v>
      </c>
    </row>
    <row r="1109" spans="1:21" ht="10.9" customHeight="1" x14ac:dyDescent="0.2">
      <c r="A1109" s="82" t="s">
        <v>2775</v>
      </c>
      <c r="B1109" s="83">
        <v>45799</v>
      </c>
      <c r="C1109" s="82" t="s">
        <v>3395</v>
      </c>
      <c r="D1109" s="82" t="s">
        <v>1386</v>
      </c>
      <c r="E1109" s="82"/>
      <c r="F1109" s="82" t="s">
        <v>5422</v>
      </c>
      <c r="G1109" s="89">
        <v>1</v>
      </c>
      <c r="H1109" s="89">
        <v>464.97</v>
      </c>
      <c r="I1109" s="85">
        <v>0</v>
      </c>
      <c r="J1109" s="85">
        <v>0</v>
      </c>
      <c r="K1109" s="85">
        <v>464.97</v>
      </c>
      <c r="L1109" s="85">
        <v>2387.6999999999998</v>
      </c>
      <c r="M1109" s="89">
        <v>643.2392575571655</v>
      </c>
      <c r="N1109" s="85">
        <v>0</v>
      </c>
      <c r="O1109" s="85">
        <v>0</v>
      </c>
      <c r="P1109" s="85">
        <v>643.2392575571655</v>
      </c>
      <c r="Q1109" s="85">
        <v>3303.1429452851671</v>
      </c>
      <c r="R1109" s="82" t="s">
        <v>3399</v>
      </c>
      <c r="S1109" s="7">
        <f t="shared" si="52"/>
        <v>0</v>
      </c>
      <c r="T1109" s="6">
        <f t="shared" si="53"/>
        <v>0</v>
      </c>
      <c r="U1109" s="25">
        <f t="shared" si="51"/>
        <v>0</v>
      </c>
    </row>
    <row r="1110" spans="1:21" ht="10.9" customHeight="1" x14ac:dyDescent="0.2">
      <c r="A1110" s="82" t="s">
        <v>2775</v>
      </c>
      <c r="B1110" s="83">
        <v>45799</v>
      </c>
      <c r="C1110" s="82" t="s">
        <v>3395</v>
      </c>
      <c r="D1110" s="82" t="s">
        <v>1386</v>
      </c>
      <c r="E1110" s="82"/>
      <c r="F1110" s="82" t="s">
        <v>4393</v>
      </c>
      <c r="G1110" s="89">
        <v>1</v>
      </c>
      <c r="H1110" s="89">
        <v>644</v>
      </c>
      <c r="I1110" s="85">
        <v>0</v>
      </c>
      <c r="J1110" s="85">
        <v>0</v>
      </c>
      <c r="K1110" s="85">
        <v>644</v>
      </c>
      <c r="L1110" s="85">
        <v>2387.6999999999998</v>
      </c>
      <c r="M1110" s="89">
        <v>890.90926697811597</v>
      </c>
      <c r="N1110" s="85">
        <v>0</v>
      </c>
      <c r="O1110" s="85">
        <v>0</v>
      </c>
      <c r="P1110" s="85">
        <v>890.90926697811597</v>
      </c>
      <c r="Q1110" s="85">
        <v>3303.1429452851671</v>
      </c>
      <c r="R1110" s="82" t="s">
        <v>3399</v>
      </c>
      <c r="S1110" s="7" t="str">
        <f t="shared" si="52"/>
        <v>INV13000</v>
      </c>
      <c r="T1110" s="6">
        <f t="shared" si="53"/>
        <v>1</v>
      </c>
      <c r="U1110" s="25">
        <f t="shared" si="51"/>
        <v>644</v>
      </c>
    </row>
    <row r="1111" spans="1:21" ht="10.9" customHeight="1" x14ac:dyDescent="0.2">
      <c r="A1111" s="82" t="s">
        <v>2770</v>
      </c>
      <c r="B1111" s="83">
        <v>45799</v>
      </c>
      <c r="C1111" s="82" t="s">
        <v>3395</v>
      </c>
      <c r="D1111" s="82" t="s">
        <v>1396</v>
      </c>
      <c r="E1111" s="82"/>
      <c r="F1111" s="82" t="s">
        <v>4648</v>
      </c>
      <c r="G1111" s="89">
        <v>1</v>
      </c>
      <c r="H1111" s="89">
        <v>283.44</v>
      </c>
      <c r="I1111" s="85">
        <v>0</v>
      </c>
      <c r="J1111" s="85">
        <v>14.17</v>
      </c>
      <c r="K1111" s="85">
        <v>297.61</v>
      </c>
      <c r="L1111" s="85">
        <v>297.61</v>
      </c>
      <c r="M1111" s="89">
        <v>283.44</v>
      </c>
      <c r="N1111" s="85">
        <v>0</v>
      </c>
      <c r="O1111" s="85">
        <v>14.17</v>
      </c>
      <c r="P1111" s="85">
        <v>297.61</v>
      </c>
      <c r="Q1111" s="85">
        <v>297.61</v>
      </c>
      <c r="R1111" s="82" t="s">
        <v>3399</v>
      </c>
      <c r="S1111" s="7">
        <f t="shared" si="52"/>
        <v>0</v>
      </c>
      <c r="T1111" s="6">
        <f t="shared" si="53"/>
        <v>0</v>
      </c>
      <c r="U1111" s="25">
        <f t="shared" si="51"/>
        <v>0</v>
      </c>
    </row>
    <row r="1112" spans="1:21" ht="10.9" customHeight="1" x14ac:dyDescent="0.2">
      <c r="A1112" s="82" t="s">
        <v>2648</v>
      </c>
      <c r="B1112" s="83">
        <v>45800</v>
      </c>
      <c r="C1112" s="82" t="s">
        <v>3395</v>
      </c>
      <c r="D1112" s="82" t="s">
        <v>1615</v>
      </c>
      <c r="E1112" s="82"/>
      <c r="F1112" s="82" t="s">
        <v>5421</v>
      </c>
      <c r="G1112" s="89">
        <v>1</v>
      </c>
      <c r="H1112" s="89">
        <v>5539.86</v>
      </c>
      <c r="I1112" s="85">
        <v>0</v>
      </c>
      <c r="J1112" s="85">
        <v>0</v>
      </c>
      <c r="K1112" s="85">
        <v>5539.86</v>
      </c>
      <c r="L1112" s="85">
        <v>5539.86</v>
      </c>
      <c r="M1112" s="89">
        <v>7606.448344182636</v>
      </c>
      <c r="N1112" s="85">
        <v>0</v>
      </c>
      <c r="O1112" s="85">
        <v>0</v>
      </c>
      <c r="P1112" s="85">
        <v>7606.448344182636</v>
      </c>
      <c r="Q1112" s="85">
        <v>7606.448344182636</v>
      </c>
      <c r="R1112" s="82" t="s">
        <v>3399</v>
      </c>
      <c r="S1112" s="7">
        <f t="shared" si="52"/>
        <v>0</v>
      </c>
      <c r="T1112" s="6">
        <f t="shared" si="53"/>
        <v>0</v>
      </c>
      <c r="U1112" s="25">
        <f t="shared" si="51"/>
        <v>0</v>
      </c>
    </row>
    <row r="1113" spans="1:21" ht="10.9" customHeight="1" x14ac:dyDescent="0.2">
      <c r="A1113" s="82" t="s">
        <v>2786</v>
      </c>
      <c r="B1113" s="83">
        <v>45800</v>
      </c>
      <c r="C1113" s="82" t="s">
        <v>3395</v>
      </c>
      <c r="D1113" s="82" t="s">
        <v>1367</v>
      </c>
      <c r="E1113" s="82"/>
      <c r="F1113" s="82" t="s">
        <v>4867</v>
      </c>
      <c r="G1113" s="89">
        <v>1</v>
      </c>
      <c r="H1113" s="89">
        <v>2063.6</v>
      </c>
      <c r="I1113" s="85">
        <v>0</v>
      </c>
      <c r="J1113" s="85">
        <v>103.18</v>
      </c>
      <c r="K1113" s="85">
        <v>2166.7800000000002</v>
      </c>
      <c r="L1113" s="85">
        <v>2214.0300000000002</v>
      </c>
      <c r="M1113" s="89">
        <v>2063.6</v>
      </c>
      <c r="N1113" s="85">
        <v>0</v>
      </c>
      <c r="O1113" s="85">
        <v>103.18</v>
      </c>
      <c r="P1113" s="85">
        <v>2166.7800000000002</v>
      </c>
      <c r="Q1113" s="85">
        <v>2214.0300000000002</v>
      </c>
      <c r="R1113" s="82" t="s">
        <v>3399</v>
      </c>
      <c r="S1113" s="7">
        <f t="shared" si="52"/>
        <v>0</v>
      </c>
      <c r="T1113" s="6">
        <f t="shared" si="53"/>
        <v>0</v>
      </c>
      <c r="U1113" s="25">
        <f t="shared" si="51"/>
        <v>0</v>
      </c>
    </row>
    <row r="1114" spans="1:21" ht="10.9" customHeight="1" x14ac:dyDescent="0.2">
      <c r="A1114" s="82" t="s">
        <v>2786</v>
      </c>
      <c r="B1114" s="83">
        <v>45800</v>
      </c>
      <c r="C1114" s="82" t="s">
        <v>3395</v>
      </c>
      <c r="D1114" s="82" t="s">
        <v>1367</v>
      </c>
      <c r="E1114" s="82"/>
      <c r="F1114" s="82" t="s">
        <v>4393</v>
      </c>
      <c r="G1114" s="89">
        <v>1</v>
      </c>
      <c r="H1114" s="89">
        <v>45</v>
      </c>
      <c r="I1114" s="85">
        <v>0</v>
      </c>
      <c r="J1114" s="85">
        <v>2.25</v>
      </c>
      <c r="K1114" s="85">
        <v>47.25</v>
      </c>
      <c r="L1114" s="85">
        <v>2214.0300000000002</v>
      </c>
      <c r="M1114" s="89">
        <v>45</v>
      </c>
      <c r="N1114" s="85">
        <v>0</v>
      </c>
      <c r="O1114" s="85">
        <v>2.25</v>
      </c>
      <c r="P1114" s="85">
        <v>47.25</v>
      </c>
      <c r="Q1114" s="85">
        <v>2214.0300000000002</v>
      </c>
      <c r="R1114" s="82" t="s">
        <v>3399</v>
      </c>
      <c r="S1114" s="7" t="str">
        <f t="shared" si="52"/>
        <v>INV13002</v>
      </c>
      <c r="T1114" s="6">
        <f t="shared" si="53"/>
        <v>1</v>
      </c>
      <c r="U1114" s="25">
        <f t="shared" si="51"/>
        <v>45</v>
      </c>
    </row>
    <row r="1115" spans="1:21" ht="10.9" customHeight="1" x14ac:dyDescent="0.2">
      <c r="A1115" s="82" t="s">
        <v>2776</v>
      </c>
      <c r="B1115" s="83">
        <v>45800</v>
      </c>
      <c r="C1115" s="82" t="s">
        <v>3395</v>
      </c>
      <c r="D1115" s="82" t="s">
        <v>1384</v>
      </c>
      <c r="E1115" s="82"/>
      <c r="F1115" s="82" t="s">
        <v>4884</v>
      </c>
      <c r="G1115" s="89">
        <v>5</v>
      </c>
      <c r="H1115" s="89">
        <v>38.11</v>
      </c>
      <c r="I1115" s="85">
        <v>0</v>
      </c>
      <c r="J1115" s="85">
        <v>9.5299999999999994</v>
      </c>
      <c r="K1115" s="85">
        <v>200.08</v>
      </c>
      <c r="L1115" s="85">
        <v>200.08</v>
      </c>
      <c r="M1115" s="89">
        <v>38.11</v>
      </c>
      <c r="N1115" s="85">
        <v>0</v>
      </c>
      <c r="O1115" s="85">
        <v>9.5299999999999994</v>
      </c>
      <c r="P1115" s="85">
        <v>200.08</v>
      </c>
      <c r="Q1115" s="85">
        <v>200.08</v>
      </c>
      <c r="R1115" s="82" t="s">
        <v>3399</v>
      </c>
      <c r="S1115" s="7">
        <f t="shared" si="52"/>
        <v>0</v>
      </c>
      <c r="T1115" s="6">
        <f t="shared" si="53"/>
        <v>0</v>
      </c>
      <c r="U1115" s="25">
        <f t="shared" si="51"/>
        <v>0</v>
      </c>
    </row>
    <row r="1116" spans="1:21" ht="10.9" customHeight="1" x14ac:dyDescent="0.2">
      <c r="A1116" s="82" t="s">
        <v>2784</v>
      </c>
      <c r="B1116" s="83">
        <v>45800</v>
      </c>
      <c r="C1116" s="82" t="s">
        <v>3395</v>
      </c>
      <c r="D1116" s="82" t="s">
        <v>1371</v>
      </c>
      <c r="E1116" s="82"/>
      <c r="F1116" s="82" t="s">
        <v>4599</v>
      </c>
      <c r="G1116" s="89">
        <v>2</v>
      </c>
      <c r="H1116" s="89">
        <v>160.94999999999999</v>
      </c>
      <c r="I1116" s="85">
        <v>0</v>
      </c>
      <c r="J1116" s="85">
        <v>16.100000000000001</v>
      </c>
      <c r="K1116" s="85">
        <v>338</v>
      </c>
      <c r="L1116" s="85">
        <v>338</v>
      </c>
      <c r="M1116" s="89">
        <v>160.94999999999999</v>
      </c>
      <c r="N1116" s="85">
        <v>0</v>
      </c>
      <c r="O1116" s="85">
        <v>16.100000000000001</v>
      </c>
      <c r="P1116" s="85">
        <v>338</v>
      </c>
      <c r="Q1116" s="85">
        <v>338</v>
      </c>
      <c r="R1116" s="82" t="s">
        <v>3399</v>
      </c>
      <c r="S1116" s="7">
        <f t="shared" si="52"/>
        <v>0</v>
      </c>
      <c r="T1116" s="6">
        <f t="shared" si="53"/>
        <v>0</v>
      </c>
      <c r="U1116" s="25">
        <f t="shared" si="51"/>
        <v>0</v>
      </c>
    </row>
    <row r="1117" spans="1:21" ht="10.9" customHeight="1" x14ac:dyDescent="0.2">
      <c r="A1117" s="82" t="s">
        <v>2660</v>
      </c>
      <c r="B1117" s="83">
        <v>45803</v>
      </c>
      <c r="C1117" s="82" t="s">
        <v>3395</v>
      </c>
      <c r="D1117" s="82" t="s">
        <v>1592</v>
      </c>
      <c r="E1117" s="82"/>
      <c r="F1117" s="82" t="s">
        <v>5419</v>
      </c>
      <c r="G1117" s="89">
        <v>1</v>
      </c>
      <c r="H1117" s="89">
        <v>910.22</v>
      </c>
      <c r="I1117" s="85">
        <v>0</v>
      </c>
      <c r="J1117" s="85">
        <v>118.33</v>
      </c>
      <c r="K1117" s="85">
        <v>1028.55</v>
      </c>
      <c r="L1117" s="85">
        <v>1028.55</v>
      </c>
      <c r="M1117" s="89">
        <v>910.22</v>
      </c>
      <c r="N1117" s="85">
        <v>0</v>
      </c>
      <c r="O1117" s="85">
        <v>118.33</v>
      </c>
      <c r="P1117" s="85">
        <v>1028.55</v>
      </c>
      <c r="Q1117" s="85">
        <v>1028.55</v>
      </c>
      <c r="R1117" s="82" t="s">
        <v>4511</v>
      </c>
      <c r="S1117" s="7">
        <f t="shared" si="52"/>
        <v>0</v>
      </c>
      <c r="T1117" s="6">
        <f t="shared" si="53"/>
        <v>0</v>
      </c>
      <c r="U1117" s="25">
        <f t="shared" si="51"/>
        <v>0</v>
      </c>
    </row>
    <row r="1118" spans="1:21" ht="10.9" customHeight="1" x14ac:dyDescent="0.2">
      <c r="A1118" s="82" t="s">
        <v>2661</v>
      </c>
      <c r="B1118" s="83">
        <v>45803</v>
      </c>
      <c r="C1118" s="82" t="s">
        <v>3395</v>
      </c>
      <c r="D1118" s="82" t="s">
        <v>1592</v>
      </c>
      <c r="E1118" s="82"/>
      <c r="F1118" s="82" t="s">
        <v>5419</v>
      </c>
      <c r="G1118" s="89">
        <v>1</v>
      </c>
      <c r="H1118" s="89">
        <v>910.22</v>
      </c>
      <c r="I1118" s="85">
        <v>0</v>
      </c>
      <c r="J1118" s="85">
        <v>118.33</v>
      </c>
      <c r="K1118" s="85">
        <v>1028.55</v>
      </c>
      <c r="L1118" s="85">
        <v>1028.55</v>
      </c>
      <c r="M1118" s="89">
        <v>910.22</v>
      </c>
      <c r="N1118" s="85">
        <v>0</v>
      </c>
      <c r="O1118" s="85">
        <v>118.33</v>
      </c>
      <c r="P1118" s="85">
        <v>1028.55</v>
      </c>
      <c r="Q1118" s="85">
        <v>1028.55</v>
      </c>
      <c r="R1118" s="82" t="s">
        <v>3399</v>
      </c>
      <c r="S1118" s="7">
        <f t="shared" si="52"/>
        <v>0</v>
      </c>
      <c r="T1118" s="6">
        <f t="shared" si="53"/>
        <v>0</v>
      </c>
      <c r="U1118" s="25">
        <f t="shared" si="51"/>
        <v>0</v>
      </c>
    </row>
    <row r="1119" spans="1:21" ht="10.9" customHeight="1" x14ac:dyDescent="0.2">
      <c r="A1119" s="82" t="s">
        <v>2779</v>
      </c>
      <c r="B1119" s="83">
        <v>45803</v>
      </c>
      <c r="C1119" s="82" t="s">
        <v>3395</v>
      </c>
      <c r="D1119" s="82" t="s">
        <v>1382</v>
      </c>
      <c r="E1119" s="82"/>
      <c r="F1119" s="82" t="s">
        <v>4497</v>
      </c>
      <c r="G1119" s="89">
        <v>2</v>
      </c>
      <c r="H1119" s="89">
        <v>55.42</v>
      </c>
      <c r="I1119" s="85">
        <v>0</v>
      </c>
      <c r="J1119" s="85">
        <v>14.41</v>
      </c>
      <c r="K1119" s="85">
        <v>125.25</v>
      </c>
      <c r="L1119" s="85">
        <v>2266.2399999999998</v>
      </c>
      <c r="M1119" s="89">
        <v>55.42</v>
      </c>
      <c r="N1119" s="85">
        <v>0</v>
      </c>
      <c r="O1119" s="85">
        <v>14.41</v>
      </c>
      <c r="P1119" s="85">
        <v>125.25</v>
      </c>
      <c r="Q1119" s="85">
        <v>2266.2399999999998</v>
      </c>
      <c r="R1119" s="82" t="s">
        <v>3399</v>
      </c>
      <c r="S1119" s="7">
        <f t="shared" si="52"/>
        <v>0</v>
      </c>
      <c r="T1119" s="6">
        <f t="shared" si="53"/>
        <v>0</v>
      </c>
      <c r="U1119" s="25">
        <f t="shared" si="51"/>
        <v>0</v>
      </c>
    </row>
    <row r="1120" spans="1:21" ht="10.9" customHeight="1" x14ac:dyDescent="0.2">
      <c r="A1120" s="82" t="s">
        <v>2779</v>
      </c>
      <c r="B1120" s="83">
        <v>45803</v>
      </c>
      <c r="C1120" s="82" t="s">
        <v>3395</v>
      </c>
      <c r="D1120" s="82" t="s">
        <v>1382</v>
      </c>
      <c r="E1120" s="82"/>
      <c r="F1120" s="82" t="s">
        <v>4559</v>
      </c>
      <c r="G1120" s="89">
        <v>1</v>
      </c>
      <c r="H1120" s="89">
        <v>1894.68</v>
      </c>
      <c r="I1120" s="85">
        <v>0</v>
      </c>
      <c r="J1120" s="85">
        <v>246.31</v>
      </c>
      <c r="K1120" s="85">
        <v>2140.9899999999998</v>
      </c>
      <c r="L1120" s="85">
        <v>2266.2399999999998</v>
      </c>
      <c r="M1120" s="89">
        <v>1894.68</v>
      </c>
      <c r="N1120" s="85">
        <v>0</v>
      </c>
      <c r="O1120" s="85">
        <v>246.31</v>
      </c>
      <c r="P1120" s="85">
        <v>2140.9899999999998</v>
      </c>
      <c r="Q1120" s="85">
        <v>2266.2399999999998</v>
      </c>
      <c r="R1120" s="82" t="s">
        <v>3399</v>
      </c>
      <c r="S1120" s="7">
        <f t="shared" si="52"/>
        <v>0</v>
      </c>
      <c r="T1120" s="6">
        <f t="shared" si="53"/>
        <v>0</v>
      </c>
      <c r="U1120" s="25">
        <f t="shared" si="51"/>
        <v>0</v>
      </c>
    </row>
    <row r="1121" spans="1:21" ht="10.9" customHeight="1" x14ac:dyDescent="0.2">
      <c r="A1121" s="82" t="s">
        <v>2720</v>
      </c>
      <c r="B1121" s="83">
        <v>45803</v>
      </c>
      <c r="C1121" s="82" t="s">
        <v>3395</v>
      </c>
      <c r="D1121" s="82" t="s">
        <v>1490</v>
      </c>
      <c r="E1121" s="82"/>
      <c r="F1121" s="82" t="s">
        <v>4673</v>
      </c>
      <c r="G1121" s="89">
        <v>1</v>
      </c>
      <c r="H1121" s="89">
        <v>164.77</v>
      </c>
      <c r="I1121" s="85">
        <v>0</v>
      </c>
      <c r="J1121" s="85">
        <v>21.42</v>
      </c>
      <c r="K1121" s="85">
        <v>186.19</v>
      </c>
      <c r="L1121" s="85">
        <v>17977.990000000002</v>
      </c>
      <c r="M1121" s="89">
        <v>164.77</v>
      </c>
      <c r="N1121" s="85">
        <v>0</v>
      </c>
      <c r="O1121" s="85">
        <v>21.42</v>
      </c>
      <c r="P1121" s="85">
        <v>186.19</v>
      </c>
      <c r="Q1121" s="85">
        <v>17977.990000000002</v>
      </c>
      <c r="R1121" s="82" t="s">
        <v>3399</v>
      </c>
      <c r="S1121" s="7">
        <f t="shared" si="52"/>
        <v>0</v>
      </c>
      <c r="T1121" s="6">
        <f t="shared" si="53"/>
        <v>0</v>
      </c>
      <c r="U1121" s="25">
        <f t="shared" si="51"/>
        <v>0</v>
      </c>
    </row>
    <row r="1122" spans="1:21" ht="10.9" customHeight="1" x14ac:dyDescent="0.2">
      <c r="A1122" s="82" t="s">
        <v>2720</v>
      </c>
      <c r="B1122" s="83">
        <v>45803</v>
      </c>
      <c r="C1122" s="82" t="s">
        <v>3395</v>
      </c>
      <c r="D1122" s="82" t="s">
        <v>1490</v>
      </c>
      <c r="E1122" s="82"/>
      <c r="F1122" s="82" t="s">
        <v>4443</v>
      </c>
      <c r="G1122" s="89">
        <v>1</v>
      </c>
      <c r="H1122" s="89">
        <v>2917.66</v>
      </c>
      <c r="I1122" s="85">
        <v>0</v>
      </c>
      <c r="J1122" s="85">
        <v>379.3</v>
      </c>
      <c r="K1122" s="85">
        <v>3296.96</v>
      </c>
      <c r="L1122" s="85">
        <v>17977.990000000002</v>
      </c>
      <c r="M1122" s="89">
        <v>2917.66</v>
      </c>
      <c r="N1122" s="85">
        <v>0</v>
      </c>
      <c r="O1122" s="85">
        <v>379.3</v>
      </c>
      <c r="P1122" s="85">
        <v>3296.96</v>
      </c>
      <c r="Q1122" s="85">
        <v>17977.990000000002</v>
      </c>
      <c r="R1122" s="82" t="s">
        <v>3399</v>
      </c>
      <c r="S1122" s="7">
        <f t="shared" si="52"/>
        <v>0</v>
      </c>
      <c r="T1122" s="6">
        <f t="shared" si="53"/>
        <v>0</v>
      </c>
      <c r="U1122" s="25">
        <f t="shared" si="51"/>
        <v>0</v>
      </c>
    </row>
    <row r="1123" spans="1:21" ht="10.9" customHeight="1" x14ac:dyDescent="0.2">
      <c r="A1123" s="82" t="s">
        <v>2720</v>
      </c>
      <c r="B1123" s="83">
        <v>45803</v>
      </c>
      <c r="C1123" s="82" t="s">
        <v>3395</v>
      </c>
      <c r="D1123" s="82" t="s">
        <v>1490</v>
      </c>
      <c r="E1123" s="82"/>
      <c r="F1123" s="82" t="s">
        <v>4676</v>
      </c>
      <c r="G1123" s="89">
        <v>1</v>
      </c>
      <c r="H1123" s="89">
        <v>1306.57</v>
      </c>
      <c r="I1123" s="85">
        <v>0</v>
      </c>
      <c r="J1123" s="85">
        <v>169.85</v>
      </c>
      <c r="K1123" s="85">
        <v>1476.42</v>
      </c>
      <c r="L1123" s="85">
        <v>17977.990000000002</v>
      </c>
      <c r="M1123" s="89">
        <v>1306.57</v>
      </c>
      <c r="N1123" s="85">
        <v>0</v>
      </c>
      <c r="O1123" s="85">
        <v>169.85</v>
      </c>
      <c r="P1123" s="85">
        <v>1476.42</v>
      </c>
      <c r="Q1123" s="85">
        <v>17977.990000000002</v>
      </c>
      <c r="R1123" s="82" t="s">
        <v>3399</v>
      </c>
      <c r="S1123" s="7">
        <f t="shared" si="52"/>
        <v>0</v>
      </c>
      <c r="T1123" s="6">
        <f t="shared" si="53"/>
        <v>0</v>
      </c>
      <c r="U1123" s="25">
        <f t="shared" si="51"/>
        <v>0</v>
      </c>
    </row>
    <row r="1124" spans="1:21" ht="10.9" customHeight="1" x14ac:dyDescent="0.2">
      <c r="A1124" s="82" t="s">
        <v>2720</v>
      </c>
      <c r="B1124" s="83">
        <v>45803</v>
      </c>
      <c r="C1124" s="82" t="s">
        <v>3395</v>
      </c>
      <c r="D1124" s="82" t="s">
        <v>1490</v>
      </c>
      <c r="E1124" s="82"/>
      <c r="F1124" s="82" t="s">
        <v>4870</v>
      </c>
      <c r="G1124" s="89">
        <v>1</v>
      </c>
      <c r="H1124" s="89">
        <v>1063.71</v>
      </c>
      <c r="I1124" s="85">
        <v>0</v>
      </c>
      <c r="J1124" s="85">
        <v>138.28</v>
      </c>
      <c r="K1124" s="85">
        <v>1201.99</v>
      </c>
      <c r="L1124" s="85">
        <v>17977.990000000002</v>
      </c>
      <c r="M1124" s="89">
        <v>1063.71</v>
      </c>
      <c r="N1124" s="85">
        <v>0</v>
      </c>
      <c r="O1124" s="85">
        <v>138.28</v>
      </c>
      <c r="P1124" s="85">
        <v>1201.99</v>
      </c>
      <c r="Q1124" s="85">
        <v>17977.990000000002</v>
      </c>
      <c r="R1124" s="82" t="s">
        <v>3399</v>
      </c>
      <c r="S1124" s="7">
        <f t="shared" si="52"/>
        <v>0</v>
      </c>
      <c r="T1124" s="6">
        <f t="shared" si="53"/>
        <v>0</v>
      </c>
      <c r="U1124" s="25">
        <f t="shared" si="51"/>
        <v>0</v>
      </c>
    </row>
    <row r="1125" spans="1:21" ht="10.9" customHeight="1" x14ac:dyDescent="0.2">
      <c r="A1125" s="82" t="s">
        <v>2720</v>
      </c>
      <c r="B1125" s="83">
        <v>45803</v>
      </c>
      <c r="C1125" s="82" t="s">
        <v>3395</v>
      </c>
      <c r="D1125" s="82" t="s">
        <v>1490</v>
      </c>
      <c r="E1125" s="82"/>
      <c r="F1125" s="82" t="s">
        <v>4869</v>
      </c>
      <c r="G1125" s="89">
        <v>1</v>
      </c>
      <c r="H1125" s="89">
        <v>135.4</v>
      </c>
      <c r="I1125" s="85">
        <v>0</v>
      </c>
      <c r="J1125" s="85">
        <v>17.600000000000001</v>
      </c>
      <c r="K1125" s="85">
        <v>153</v>
      </c>
      <c r="L1125" s="85">
        <v>17977.990000000002</v>
      </c>
      <c r="M1125" s="89">
        <v>135.4</v>
      </c>
      <c r="N1125" s="85">
        <v>0</v>
      </c>
      <c r="O1125" s="85">
        <v>17.600000000000001</v>
      </c>
      <c r="P1125" s="85">
        <v>153</v>
      </c>
      <c r="Q1125" s="85">
        <v>17977.990000000002</v>
      </c>
      <c r="R1125" s="82" t="s">
        <v>3399</v>
      </c>
      <c r="S1125" s="7">
        <f t="shared" si="52"/>
        <v>0</v>
      </c>
      <c r="T1125" s="6">
        <f t="shared" si="53"/>
        <v>0</v>
      </c>
      <c r="U1125" s="25">
        <f t="shared" si="51"/>
        <v>0</v>
      </c>
    </row>
    <row r="1126" spans="1:21" ht="10.9" customHeight="1" x14ac:dyDescent="0.2">
      <c r="A1126" s="82" t="s">
        <v>2720</v>
      </c>
      <c r="B1126" s="83">
        <v>45803</v>
      </c>
      <c r="C1126" s="82" t="s">
        <v>3395</v>
      </c>
      <c r="D1126" s="82" t="s">
        <v>1490</v>
      </c>
      <c r="E1126" s="82"/>
      <c r="F1126" s="82" t="s">
        <v>4416</v>
      </c>
      <c r="G1126" s="89">
        <v>1</v>
      </c>
      <c r="H1126" s="89">
        <v>2094.2800000000002</v>
      </c>
      <c r="I1126" s="85">
        <v>0</v>
      </c>
      <c r="J1126" s="85">
        <v>272.26</v>
      </c>
      <c r="K1126" s="85">
        <v>2366.54</v>
      </c>
      <c r="L1126" s="85">
        <v>17977.990000000002</v>
      </c>
      <c r="M1126" s="89">
        <v>2094.2800000000002</v>
      </c>
      <c r="N1126" s="85">
        <v>0</v>
      </c>
      <c r="O1126" s="85">
        <v>272.26</v>
      </c>
      <c r="P1126" s="85">
        <v>2366.54</v>
      </c>
      <c r="Q1126" s="85">
        <v>17977.990000000002</v>
      </c>
      <c r="R1126" s="82" t="s">
        <v>3399</v>
      </c>
      <c r="S1126" s="7">
        <f t="shared" si="52"/>
        <v>0</v>
      </c>
      <c r="T1126" s="6">
        <f t="shared" si="53"/>
        <v>0</v>
      </c>
      <c r="U1126" s="25">
        <f t="shared" si="51"/>
        <v>0</v>
      </c>
    </row>
    <row r="1127" spans="1:21" ht="10.9" customHeight="1" x14ac:dyDescent="0.2">
      <c r="A1127" s="82" t="s">
        <v>2720</v>
      </c>
      <c r="B1127" s="83">
        <v>45803</v>
      </c>
      <c r="C1127" s="82" t="s">
        <v>3395</v>
      </c>
      <c r="D1127" s="82" t="s">
        <v>1490</v>
      </c>
      <c r="E1127" s="82"/>
      <c r="F1127" s="82" t="s">
        <v>4684</v>
      </c>
      <c r="G1127" s="89">
        <v>1</v>
      </c>
      <c r="H1127" s="89">
        <v>23.24</v>
      </c>
      <c r="I1127" s="85">
        <v>0</v>
      </c>
      <c r="J1127" s="85">
        <v>3.02</v>
      </c>
      <c r="K1127" s="85">
        <v>26.26</v>
      </c>
      <c r="L1127" s="85">
        <v>17977.990000000002</v>
      </c>
      <c r="M1127" s="89">
        <v>23.24</v>
      </c>
      <c r="N1127" s="85">
        <v>0</v>
      </c>
      <c r="O1127" s="85">
        <v>3.02</v>
      </c>
      <c r="P1127" s="85">
        <v>26.26</v>
      </c>
      <c r="Q1127" s="85">
        <v>17977.990000000002</v>
      </c>
      <c r="R1127" s="82" t="s">
        <v>3399</v>
      </c>
      <c r="S1127" s="7">
        <f t="shared" si="52"/>
        <v>0</v>
      </c>
      <c r="T1127" s="6">
        <f t="shared" si="53"/>
        <v>0</v>
      </c>
      <c r="U1127" s="25">
        <f t="shared" si="51"/>
        <v>0</v>
      </c>
    </row>
    <row r="1128" spans="1:21" ht="10.9" customHeight="1" x14ac:dyDescent="0.2">
      <c r="A1128" s="82" t="s">
        <v>2720</v>
      </c>
      <c r="B1128" s="83">
        <v>45803</v>
      </c>
      <c r="C1128" s="82" t="s">
        <v>3395</v>
      </c>
      <c r="D1128" s="82" t="s">
        <v>1490</v>
      </c>
      <c r="E1128" s="82"/>
      <c r="F1128" s="82" t="s">
        <v>5119</v>
      </c>
      <c r="G1128" s="89">
        <v>3</v>
      </c>
      <c r="H1128" s="89">
        <v>24.44</v>
      </c>
      <c r="I1128" s="85">
        <v>0</v>
      </c>
      <c r="J1128" s="85">
        <v>9.5299999999999994</v>
      </c>
      <c r="K1128" s="85">
        <v>82.85</v>
      </c>
      <c r="L1128" s="85">
        <v>17977.990000000002</v>
      </c>
      <c r="M1128" s="89">
        <v>24.44</v>
      </c>
      <c r="N1128" s="85">
        <v>0</v>
      </c>
      <c r="O1128" s="85">
        <v>9.5299999999999994</v>
      </c>
      <c r="P1128" s="85">
        <v>82.85</v>
      </c>
      <c r="Q1128" s="85">
        <v>17977.990000000002</v>
      </c>
      <c r="R1128" s="82" t="s">
        <v>3399</v>
      </c>
      <c r="S1128" s="7">
        <f t="shared" si="52"/>
        <v>0</v>
      </c>
      <c r="T1128" s="6">
        <f t="shared" si="53"/>
        <v>0</v>
      </c>
      <c r="U1128" s="25">
        <f t="shared" si="51"/>
        <v>0</v>
      </c>
    </row>
    <row r="1129" spans="1:21" ht="10.9" customHeight="1" x14ac:dyDescent="0.2">
      <c r="A1129" s="82" t="s">
        <v>2720</v>
      </c>
      <c r="B1129" s="83">
        <v>45803</v>
      </c>
      <c r="C1129" s="82" t="s">
        <v>3395</v>
      </c>
      <c r="D1129" s="82" t="s">
        <v>1490</v>
      </c>
      <c r="E1129" s="82"/>
      <c r="F1129" s="82" t="s">
        <v>4683</v>
      </c>
      <c r="G1129" s="89">
        <v>1</v>
      </c>
      <c r="H1129" s="89">
        <v>149.94</v>
      </c>
      <c r="I1129" s="85">
        <v>0</v>
      </c>
      <c r="J1129" s="85">
        <v>19.489999999999998</v>
      </c>
      <c r="K1129" s="85">
        <v>169.43</v>
      </c>
      <c r="L1129" s="85">
        <v>17977.990000000002</v>
      </c>
      <c r="M1129" s="89">
        <v>149.94</v>
      </c>
      <c r="N1129" s="85">
        <v>0</v>
      </c>
      <c r="O1129" s="85">
        <v>19.489999999999998</v>
      </c>
      <c r="P1129" s="85">
        <v>169.43</v>
      </c>
      <c r="Q1129" s="85">
        <v>17977.990000000002</v>
      </c>
      <c r="R1129" s="82" t="s">
        <v>3399</v>
      </c>
      <c r="S1129" s="7">
        <f t="shared" si="52"/>
        <v>0</v>
      </c>
      <c r="T1129" s="6">
        <f t="shared" si="53"/>
        <v>0</v>
      </c>
      <c r="U1129" s="25">
        <f t="shared" si="51"/>
        <v>0</v>
      </c>
    </row>
    <row r="1130" spans="1:21" ht="10.9" customHeight="1" x14ac:dyDescent="0.2">
      <c r="A1130" s="82" t="s">
        <v>2720</v>
      </c>
      <c r="B1130" s="83">
        <v>45803</v>
      </c>
      <c r="C1130" s="82" t="s">
        <v>3395</v>
      </c>
      <c r="D1130" s="82" t="s">
        <v>1490</v>
      </c>
      <c r="E1130" s="82"/>
      <c r="F1130" s="82" t="s">
        <v>4872</v>
      </c>
      <c r="G1130" s="89">
        <v>1</v>
      </c>
      <c r="H1130" s="89">
        <v>1842.22</v>
      </c>
      <c r="I1130" s="85">
        <v>0</v>
      </c>
      <c r="J1130" s="85">
        <v>239.49</v>
      </c>
      <c r="K1130" s="85">
        <v>2081.71</v>
      </c>
      <c r="L1130" s="85">
        <v>17977.990000000002</v>
      </c>
      <c r="M1130" s="89">
        <v>1842.22</v>
      </c>
      <c r="N1130" s="85">
        <v>0</v>
      </c>
      <c r="O1130" s="85">
        <v>239.49</v>
      </c>
      <c r="P1130" s="85">
        <v>2081.71</v>
      </c>
      <c r="Q1130" s="85">
        <v>17977.990000000002</v>
      </c>
      <c r="R1130" s="82" t="s">
        <v>3399</v>
      </c>
      <c r="S1130" s="7">
        <f t="shared" si="52"/>
        <v>0</v>
      </c>
      <c r="T1130" s="6">
        <f t="shared" si="53"/>
        <v>0</v>
      </c>
      <c r="U1130" s="25">
        <f t="shared" si="51"/>
        <v>0</v>
      </c>
    </row>
    <row r="1131" spans="1:21" ht="10.9" customHeight="1" x14ac:dyDescent="0.2">
      <c r="A1131" s="82" t="s">
        <v>2720</v>
      </c>
      <c r="B1131" s="83">
        <v>45803</v>
      </c>
      <c r="C1131" s="82" t="s">
        <v>3395</v>
      </c>
      <c r="D1131" s="82" t="s">
        <v>1490</v>
      </c>
      <c r="E1131" s="82"/>
      <c r="F1131" s="82" t="s">
        <v>4670</v>
      </c>
      <c r="G1131" s="89">
        <v>1</v>
      </c>
      <c r="H1131" s="89">
        <v>139.44</v>
      </c>
      <c r="I1131" s="85">
        <v>0</v>
      </c>
      <c r="J1131" s="85">
        <v>18.13</v>
      </c>
      <c r="K1131" s="85">
        <v>157.57</v>
      </c>
      <c r="L1131" s="85">
        <v>17977.990000000002</v>
      </c>
      <c r="M1131" s="89">
        <v>139.44</v>
      </c>
      <c r="N1131" s="85">
        <v>0</v>
      </c>
      <c r="O1131" s="85">
        <v>18.13</v>
      </c>
      <c r="P1131" s="85">
        <v>157.57</v>
      </c>
      <c r="Q1131" s="85">
        <v>17977.990000000002</v>
      </c>
      <c r="R1131" s="82" t="s">
        <v>3399</v>
      </c>
      <c r="S1131" s="7">
        <f t="shared" si="52"/>
        <v>0</v>
      </c>
      <c r="T1131" s="6">
        <f t="shared" si="53"/>
        <v>0</v>
      </c>
      <c r="U1131" s="25">
        <f t="shared" si="51"/>
        <v>0</v>
      </c>
    </row>
    <row r="1132" spans="1:21" ht="10.9" customHeight="1" x14ac:dyDescent="0.2">
      <c r="A1132" s="82" t="s">
        <v>2720</v>
      </c>
      <c r="B1132" s="83">
        <v>45803</v>
      </c>
      <c r="C1132" s="82" t="s">
        <v>3395</v>
      </c>
      <c r="D1132" s="82" t="s">
        <v>1490</v>
      </c>
      <c r="E1132" s="82"/>
      <c r="F1132" s="82" t="s">
        <v>4435</v>
      </c>
      <c r="G1132" s="89">
        <v>1</v>
      </c>
      <c r="H1132" s="89">
        <v>869.42</v>
      </c>
      <c r="I1132" s="85">
        <v>0</v>
      </c>
      <c r="J1132" s="85">
        <v>113.02</v>
      </c>
      <c r="K1132" s="85">
        <v>982.44</v>
      </c>
      <c r="L1132" s="85">
        <v>17977.990000000002</v>
      </c>
      <c r="M1132" s="89">
        <v>869.42</v>
      </c>
      <c r="N1132" s="85">
        <v>0</v>
      </c>
      <c r="O1132" s="85">
        <v>113.02</v>
      </c>
      <c r="P1132" s="85">
        <v>982.44</v>
      </c>
      <c r="Q1132" s="85">
        <v>17977.990000000002</v>
      </c>
      <c r="R1132" s="82" t="s">
        <v>3399</v>
      </c>
      <c r="S1132" s="7">
        <f t="shared" si="52"/>
        <v>0</v>
      </c>
      <c r="T1132" s="6">
        <f t="shared" si="53"/>
        <v>0</v>
      </c>
      <c r="U1132" s="25">
        <f t="shared" si="51"/>
        <v>0</v>
      </c>
    </row>
    <row r="1133" spans="1:21" ht="10.9" customHeight="1" x14ac:dyDescent="0.2">
      <c r="A1133" s="82" t="s">
        <v>2720</v>
      </c>
      <c r="B1133" s="83">
        <v>45803</v>
      </c>
      <c r="C1133" s="82" t="s">
        <v>3395</v>
      </c>
      <c r="D1133" s="82" t="s">
        <v>1490</v>
      </c>
      <c r="E1133" s="82"/>
      <c r="F1133" s="82" t="s">
        <v>4446</v>
      </c>
      <c r="G1133" s="89">
        <v>1</v>
      </c>
      <c r="H1133" s="89">
        <v>2443.2199999999998</v>
      </c>
      <c r="I1133" s="85">
        <v>0</v>
      </c>
      <c r="J1133" s="85">
        <v>317.62</v>
      </c>
      <c r="K1133" s="85">
        <v>2760.84</v>
      </c>
      <c r="L1133" s="85">
        <v>17977.990000000002</v>
      </c>
      <c r="M1133" s="89">
        <v>2443.2199999999998</v>
      </c>
      <c r="N1133" s="85">
        <v>0</v>
      </c>
      <c r="O1133" s="85">
        <v>317.62</v>
      </c>
      <c r="P1133" s="85">
        <v>2760.84</v>
      </c>
      <c r="Q1133" s="85">
        <v>17977.990000000002</v>
      </c>
      <c r="R1133" s="82" t="s">
        <v>3399</v>
      </c>
      <c r="S1133" s="7">
        <f t="shared" si="52"/>
        <v>0</v>
      </c>
      <c r="T1133" s="6">
        <f t="shared" si="53"/>
        <v>0</v>
      </c>
      <c r="U1133" s="25">
        <f t="shared" si="51"/>
        <v>0</v>
      </c>
    </row>
    <row r="1134" spans="1:21" ht="10.9" customHeight="1" x14ac:dyDescent="0.2">
      <c r="A1134" s="82" t="s">
        <v>2720</v>
      </c>
      <c r="B1134" s="83">
        <v>45803</v>
      </c>
      <c r="C1134" s="82" t="s">
        <v>3395</v>
      </c>
      <c r="D1134" s="82" t="s">
        <v>1490</v>
      </c>
      <c r="E1134" s="82"/>
      <c r="F1134" s="82" t="s">
        <v>4444</v>
      </c>
      <c r="G1134" s="89">
        <v>1</v>
      </c>
      <c r="H1134" s="89">
        <v>2686.54</v>
      </c>
      <c r="I1134" s="85">
        <v>0</v>
      </c>
      <c r="J1134" s="85">
        <v>349.25</v>
      </c>
      <c r="K1134" s="85">
        <v>3035.79</v>
      </c>
      <c r="L1134" s="85">
        <v>17977.990000000002</v>
      </c>
      <c r="M1134" s="89">
        <v>2686.54</v>
      </c>
      <c r="N1134" s="85">
        <v>0</v>
      </c>
      <c r="O1134" s="85">
        <v>349.25</v>
      </c>
      <c r="P1134" s="85">
        <v>3035.79</v>
      </c>
      <c r="Q1134" s="85">
        <v>17977.990000000002</v>
      </c>
      <c r="R1134" s="82" t="s">
        <v>3399</v>
      </c>
      <c r="S1134" s="7">
        <f t="shared" si="52"/>
        <v>0</v>
      </c>
      <c r="T1134" s="6">
        <f t="shared" si="53"/>
        <v>0</v>
      </c>
      <c r="U1134" s="25">
        <f t="shared" si="51"/>
        <v>0</v>
      </c>
    </row>
    <row r="1135" spans="1:21" ht="10.9" customHeight="1" x14ac:dyDescent="0.2">
      <c r="A1135" s="82" t="s">
        <v>2627</v>
      </c>
      <c r="B1135" s="83">
        <v>45803</v>
      </c>
      <c r="C1135" s="82" t="s">
        <v>3395</v>
      </c>
      <c r="D1135" s="82" t="s">
        <v>1649</v>
      </c>
      <c r="E1135" s="82"/>
      <c r="F1135" s="82" t="s">
        <v>5420</v>
      </c>
      <c r="G1135" s="89">
        <v>2</v>
      </c>
      <c r="H1135" s="89">
        <v>836.73</v>
      </c>
      <c r="I1135" s="85">
        <v>0</v>
      </c>
      <c r="J1135" s="85">
        <v>217.55</v>
      </c>
      <c r="K1135" s="85">
        <v>1891.01</v>
      </c>
      <c r="L1135" s="85">
        <v>1891.01</v>
      </c>
      <c r="M1135" s="89">
        <v>836.73</v>
      </c>
      <c r="N1135" s="85">
        <v>0</v>
      </c>
      <c r="O1135" s="85">
        <v>217.55</v>
      </c>
      <c r="P1135" s="85">
        <v>1891.01</v>
      </c>
      <c r="Q1135" s="85">
        <v>1891.01</v>
      </c>
      <c r="R1135" s="82" t="s">
        <v>3399</v>
      </c>
      <c r="S1135" s="7">
        <f t="shared" si="52"/>
        <v>0</v>
      </c>
      <c r="T1135" s="6">
        <f t="shared" si="53"/>
        <v>0</v>
      </c>
      <c r="U1135" s="25">
        <f t="shared" si="51"/>
        <v>0</v>
      </c>
    </row>
    <row r="1136" spans="1:21" ht="10.9" customHeight="1" x14ac:dyDescent="0.2">
      <c r="A1136" s="82" t="s">
        <v>2794</v>
      </c>
      <c r="B1136" s="83">
        <v>45803</v>
      </c>
      <c r="C1136" s="82" t="s">
        <v>3395</v>
      </c>
      <c r="D1136" s="82" t="s">
        <v>1353</v>
      </c>
      <c r="E1136" s="82"/>
      <c r="F1136" s="82" t="s">
        <v>5321</v>
      </c>
      <c r="G1136" s="89">
        <v>1</v>
      </c>
      <c r="H1136" s="89">
        <v>1473.1</v>
      </c>
      <c r="I1136" s="85">
        <v>0</v>
      </c>
      <c r="J1136" s="85">
        <v>73.66</v>
      </c>
      <c r="K1136" s="85">
        <v>1546.76</v>
      </c>
      <c r="L1136" s="85">
        <v>4547.72</v>
      </c>
      <c r="M1136" s="89">
        <v>1473.1</v>
      </c>
      <c r="N1136" s="85">
        <v>0</v>
      </c>
      <c r="O1136" s="85">
        <v>73.66</v>
      </c>
      <c r="P1136" s="85">
        <v>1546.76</v>
      </c>
      <c r="Q1136" s="85">
        <v>4547.72</v>
      </c>
      <c r="R1136" s="82" t="s">
        <v>3399</v>
      </c>
      <c r="S1136" s="7">
        <f t="shared" si="52"/>
        <v>0</v>
      </c>
      <c r="T1136" s="6">
        <f t="shared" si="53"/>
        <v>0</v>
      </c>
      <c r="U1136" s="25">
        <f t="shared" si="51"/>
        <v>0</v>
      </c>
    </row>
    <row r="1137" spans="1:21" ht="10.9" customHeight="1" x14ac:dyDescent="0.2">
      <c r="A1137" s="82" t="s">
        <v>2794</v>
      </c>
      <c r="B1137" s="83">
        <v>45803</v>
      </c>
      <c r="C1137" s="82" t="s">
        <v>3395</v>
      </c>
      <c r="D1137" s="82" t="s">
        <v>1353</v>
      </c>
      <c r="E1137" s="82"/>
      <c r="F1137" s="82" t="s">
        <v>5320</v>
      </c>
      <c r="G1137" s="89">
        <v>1</v>
      </c>
      <c r="H1137" s="89">
        <v>1436.55</v>
      </c>
      <c r="I1137" s="85">
        <v>0</v>
      </c>
      <c r="J1137" s="85">
        <v>71.83</v>
      </c>
      <c r="K1137" s="85">
        <v>1508.38</v>
      </c>
      <c r="L1137" s="85">
        <v>4547.72</v>
      </c>
      <c r="M1137" s="89">
        <v>1436.55</v>
      </c>
      <c r="N1137" s="85">
        <v>0</v>
      </c>
      <c r="O1137" s="85">
        <v>71.83</v>
      </c>
      <c r="P1137" s="85">
        <v>1508.38</v>
      </c>
      <c r="Q1137" s="85">
        <v>4547.72</v>
      </c>
      <c r="R1137" s="82" t="s">
        <v>3399</v>
      </c>
      <c r="S1137" s="7">
        <f t="shared" si="52"/>
        <v>0</v>
      </c>
      <c r="T1137" s="6">
        <f t="shared" si="53"/>
        <v>0</v>
      </c>
      <c r="U1137" s="25">
        <f t="shared" si="51"/>
        <v>0</v>
      </c>
    </row>
    <row r="1138" spans="1:21" ht="10.9" customHeight="1" x14ac:dyDescent="0.2">
      <c r="A1138" s="82" t="s">
        <v>2794</v>
      </c>
      <c r="B1138" s="83">
        <v>45803</v>
      </c>
      <c r="C1138" s="82" t="s">
        <v>3395</v>
      </c>
      <c r="D1138" s="82" t="s">
        <v>1353</v>
      </c>
      <c r="E1138" s="82"/>
      <c r="F1138" s="82" t="s">
        <v>5322</v>
      </c>
      <c r="G1138" s="89">
        <v>1</v>
      </c>
      <c r="H1138" s="89">
        <v>1421.5</v>
      </c>
      <c r="I1138" s="85">
        <v>0</v>
      </c>
      <c r="J1138" s="85">
        <v>71.08</v>
      </c>
      <c r="K1138" s="85">
        <v>1492.58</v>
      </c>
      <c r="L1138" s="85">
        <v>4547.72</v>
      </c>
      <c r="M1138" s="89">
        <v>1421.5</v>
      </c>
      <c r="N1138" s="85">
        <v>0</v>
      </c>
      <c r="O1138" s="85">
        <v>71.08</v>
      </c>
      <c r="P1138" s="85">
        <v>1492.58</v>
      </c>
      <c r="Q1138" s="85">
        <v>4547.72</v>
      </c>
      <c r="R1138" s="82" t="s">
        <v>3399</v>
      </c>
      <c r="S1138" s="7">
        <f t="shared" si="52"/>
        <v>0</v>
      </c>
      <c r="T1138" s="6">
        <f t="shared" si="53"/>
        <v>0</v>
      </c>
      <c r="U1138" s="25">
        <f t="shared" si="51"/>
        <v>0</v>
      </c>
    </row>
    <row r="1139" spans="1:21" ht="10.9" customHeight="1" x14ac:dyDescent="0.2">
      <c r="A1139" s="82" t="s">
        <v>2793</v>
      </c>
      <c r="B1139" s="83">
        <v>45803</v>
      </c>
      <c r="C1139" s="82" t="s">
        <v>3395</v>
      </c>
      <c r="D1139" s="82" t="s">
        <v>1355</v>
      </c>
      <c r="E1139" s="82"/>
      <c r="F1139" s="82" t="s">
        <v>4964</v>
      </c>
      <c r="G1139" s="89">
        <v>2</v>
      </c>
      <c r="H1139" s="89">
        <v>79.39</v>
      </c>
      <c r="I1139" s="85">
        <v>0</v>
      </c>
      <c r="J1139" s="85">
        <v>7.94</v>
      </c>
      <c r="K1139" s="85">
        <v>166.72</v>
      </c>
      <c r="L1139" s="85">
        <v>166.72</v>
      </c>
      <c r="M1139" s="89">
        <v>79.39</v>
      </c>
      <c r="N1139" s="85">
        <v>0</v>
      </c>
      <c r="O1139" s="85">
        <v>7.94</v>
      </c>
      <c r="P1139" s="85">
        <v>166.72</v>
      </c>
      <c r="Q1139" s="85">
        <v>166.72</v>
      </c>
      <c r="R1139" s="82" t="s">
        <v>3399</v>
      </c>
      <c r="S1139" s="7">
        <f t="shared" si="52"/>
        <v>0</v>
      </c>
      <c r="T1139" s="6">
        <f t="shared" si="53"/>
        <v>0</v>
      </c>
      <c r="U1139" s="25">
        <f t="shared" si="51"/>
        <v>0</v>
      </c>
    </row>
    <row r="1140" spans="1:21" ht="10.9" customHeight="1" x14ac:dyDescent="0.2">
      <c r="A1140" s="82" t="s">
        <v>2792</v>
      </c>
      <c r="B1140" s="83">
        <v>45803</v>
      </c>
      <c r="C1140" s="82" t="s">
        <v>3395</v>
      </c>
      <c r="D1140" s="82" t="s">
        <v>1357</v>
      </c>
      <c r="E1140" s="82"/>
      <c r="F1140" s="82" t="s">
        <v>4736</v>
      </c>
      <c r="G1140" s="89">
        <v>1</v>
      </c>
      <c r="H1140" s="89">
        <v>373.11</v>
      </c>
      <c r="I1140" s="85">
        <v>0</v>
      </c>
      <c r="J1140" s="85">
        <v>18.66</v>
      </c>
      <c r="K1140" s="85">
        <v>391.77</v>
      </c>
      <c r="L1140" s="85">
        <v>391.77</v>
      </c>
      <c r="M1140" s="89">
        <v>373.11</v>
      </c>
      <c r="N1140" s="85">
        <v>0</v>
      </c>
      <c r="O1140" s="85">
        <v>18.66</v>
      </c>
      <c r="P1140" s="85">
        <v>391.77</v>
      </c>
      <c r="Q1140" s="85">
        <v>391.77</v>
      </c>
      <c r="R1140" s="82" t="s">
        <v>3399</v>
      </c>
      <c r="S1140" s="7">
        <f t="shared" si="52"/>
        <v>0</v>
      </c>
      <c r="T1140" s="6">
        <f t="shared" si="53"/>
        <v>0</v>
      </c>
      <c r="U1140" s="25">
        <f t="shared" si="51"/>
        <v>0</v>
      </c>
    </row>
    <row r="1141" spans="1:21" ht="10.9" customHeight="1" x14ac:dyDescent="0.2">
      <c r="A1141" s="82" t="s">
        <v>2790</v>
      </c>
      <c r="B1141" s="83">
        <v>45803</v>
      </c>
      <c r="C1141" s="82" t="s">
        <v>3395</v>
      </c>
      <c r="D1141" s="82" t="s">
        <v>1359</v>
      </c>
      <c r="E1141" s="82"/>
      <c r="F1141" s="82" t="s">
        <v>4746</v>
      </c>
      <c r="G1141" s="89">
        <v>2</v>
      </c>
      <c r="H1141" s="89">
        <v>2.57</v>
      </c>
      <c r="I1141" s="85">
        <v>0</v>
      </c>
      <c r="J1141" s="85">
        <v>0.26</v>
      </c>
      <c r="K1141" s="85">
        <v>5.4</v>
      </c>
      <c r="L1141" s="85">
        <v>5.4</v>
      </c>
      <c r="M1141" s="89">
        <v>2.57</v>
      </c>
      <c r="N1141" s="85">
        <v>0</v>
      </c>
      <c r="O1141" s="85">
        <v>0.26</v>
      </c>
      <c r="P1141" s="85">
        <v>5.4</v>
      </c>
      <c r="Q1141" s="85">
        <v>5.4</v>
      </c>
      <c r="R1141" s="82" t="s">
        <v>3399</v>
      </c>
      <c r="S1141" s="7">
        <f t="shared" si="52"/>
        <v>0</v>
      </c>
      <c r="T1141" s="6">
        <f t="shared" si="53"/>
        <v>0</v>
      </c>
      <c r="U1141" s="25">
        <f t="shared" si="51"/>
        <v>0</v>
      </c>
    </row>
    <row r="1142" spans="1:21" ht="10.9" customHeight="1" x14ac:dyDescent="0.2">
      <c r="A1142" s="82" t="s">
        <v>2795</v>
      </c>
      <c r="B1142" s="83">
        <v>45803</v>
      </c>
      <c r="C1142" s="82" t="s">
        <v>3395</v>
      </c>
      <c r="D1142" s="82" t="s">
        <v>1351</v>
      </c>
      <c r="E1142" s="82"/>
      <c r="F1142" s="82" t="s">
        <v>4648</v>
      </c>
      <c r="G1142" s="89">
        <v>1</v>
      </c>
      <c r="H1142" s="89">
        <v>283.44</v>
      </c>
      <c r="I1142" s="85">
        <v>0</v>
      </c>
      <c r="J1142" s="85">
        <v>14.17</v>
      </c>
      <c r="K1142" s="85">
        <v>297.61</v>
      </c>
      <c r="L1142" s="85">
        <v>551.48</v>
      </c>
      <c r="M1142" s="89">
        <v>283.44</v>
      </c>
      <c r="N1142" s="85">
        <v>0</v>
      </c>
      <c r="O1142" s="85">
        <v>14.17</v>
      </c>
      <c r="P1142" s="85">
        <v>297.61</v>
      </c>
      <c r="Q1142" s="85">
        <v>551.48</v>
      </c>
      <c r="R1142" s="82" t="s">
        <v>3399</v>
      </c>
      <c r="S1142" s="7">
        <f t="shared" si="52"/>
        <v>0</v>
      </c>
      <c r="T1142" s="6">
        <f t="shared" si="53"/>
        <v>0</v>
      </c>
      <c r="U1142" s="25">
        <f t="shared" si="51"/>
        <v>0</v>
      </c>
    </row>
    <row r="1143" spans="1:21" ht="10.9" customHeight="1" x14ac:dyDescent="0.2">
      <c r="A1143" s="82" t="s">
        <v>2795</v>
      </c>
      <c r="B1143" s="83">
        <v>45803</v>
      </c>
      <c r="C1143" s="82" t="s">
        <v>3395</v>
      </c>
      <c r="D1143" s="82" t="s">
        <v>1351</v>
      </c>
      <c r="E1143" s="82"/>
      <c r="F1143" s="82" t="s">
        <v>4768</v>
      </c>
      <c r="G1143" s="89">
        <v>1</v>
      </c>
      <c r="H1143" s="89">
        <v>241.78</v>
      </c>
      <c r="I1143" s="85">
        <v>0</v>
      </c>
      <c r="J1143" s="85">
        <v>12.09</v>
      </c>
      <c r="K1143" s="85">
        <v>253.87</v>
      </c>
      <c r="L1143" s="85">
        <v>551.48</v>
      </c>
      <c r="M1143" s="89">
        <v>241.78</v>
      </c>
      <c r="N1143" s="85">
        <v>0</v>
      </c>
      <c r="O1143" s="85">
        <v>12.09</v>
      </c>
      <c r="P1143" s="85">
        <v>253.87</v>
      </c>
      <c r="Q1143" s="85">
        <v>551.48</v>
      </c>
      <c r="R1143" s="82" t="s">
        <v>3399</v>
      </c>
      <c r="S1143" s="7">
        <f t="shared" si="52"/>
        <v>0</v>
      </c>
      <c r="T1143" s="6">
        <f t="shared" si="53"/>
        <v>0</v>
      </c>
      <c r="U1143" s="25">
        <f t="shared" si="51"/>
        <v>0</v>
      </c>
    </row>
    <row r="1144" spans="1:21" ht="10.9" customHeight="1" x14ac:dyDescent="0.2">
      <c r="A1144" s="82" t="s">
        <v>2700</v>
      </c>
      <c r="B1144" s="83">
        <v>45804</v>
      </c>
      <c r="C1144" s="82" t="s">
        <v>3395</v>
      </c>
      <c r="D1144" s="82" t="s">
        <v>1523</v>
      </c>
      <c r="E1144" s="82"/>
      <c r="F1144" s="82" t="s">
        <v>4721</v>
      </c>
      <c r="G1144" s="89">
        <v>2</v>
      </c>
      <c r="H1144" s="89">
        <v>719.56</v>
      </c>
      <c r="I1144" s="85">
        <v>0</v>
      </c>
      <c r="J1144" s="85">
        <v>0</v>
      </c>
      <c r="K1144" s="85">
        <v>1439.12</v>
      </c>
      <c r="L1144" s="85">
        <v>1439.12</v>
      </c>
      <c r="M1144" s="89">
        <v>992.64031342470287</v>
      </c>
      <c r="N1144" s="85">
        <v>0</v>
      </c>
      <c r="O1144" s="85">
        <v>0</v>
      </c>
      <c r="P1144" s="85">
        <v>1985.2806268494057</v>
      </c>
      <c r="Q1144" s="85">
        <v>1985.2806268494057</v>
      </c>
      <c r="R1144" s="82" t="s">
        <v>3399</v>
      </c>
      <c r="S1144" s="7">
        <f t="shared" si="52"/>
        <v>0</v>
      </c>
      <c r="T1144" s="6">
        <f t="shared" si="53"/>
        <v>0</v>
      </c>
      <c r="U1144" s="25">
        <f t="shared" si="51"/>
        <v>0</v>
      </c>
    </row>
    <row r="1145" spans="1:21" ht="10.9" customHeight="1" x14ac:dyDescent="0.2">
      <c r="A1145" s="82" t="s">
        <v>2789</v>
      </c>
      <c r="B1145" s="83">
        <v>45804</v>
      </c>
      <c r="C1145" s="82" t="s">
        <v>3395</v>
      </c>
      <c r="D1145" s="82" t="s">
        <v>1361</v>
      </c>
      <c r="E1145" s="82"/>
      <c r="F1145" s="82" t="s">
        <v>4591</v>
      </c>
      <c r="G1145" s="89">
        <v>1</v>
      </c>
      <c r="H1145" s="89">
        <v>97.43</v>
      </c>
      <c r="I1145" s="85">
        <v>0</v>
      </c>
      <c r="J1145" s="85">
        <v>0</v>
      </c>
      <c r="K1145" s="85">
        <v>97.43</v>
      </c>
      <c r="L1145" s="85">
        <v>97.43</v>
      </c>
      <c r="M1145" s="89">
        <v>134.7057847583232</v>
      </c>
      <c r="N1145" s="85">
        <v>0</v>
      </c>
      <c r="O1145" s="85">
        <v>0</v>
      </c>
      <c r="P1145" s="85">
        <v>134.7057847583232</v>
      </c>
      <c r="Q1145" s="85">
        <v>134.7057847583232</v>
      </c>
      <c r="R1145" s="82" t="s">
        <v>3399</v>
      </c>
      <c r="S1145" s="7">
        <f t="shared" si="52"/>
        <v>0</v>
      </c>
      <c r="T1145" s="6">
        <f t="shared" si="53"/>
        <v>0</v>
      </c>
      <c r="U1145" s="25">
        <f t="shared" si="51"/>
        <v>0</v>
      </c>
    </row>
    <row r="1146" spans="1:21" ht="10.9" customHeight="1" x14ac:dyDescent="0.2">
      <c r="A1146" s="82" t="s">
        <v>2785</v>
      </c>
      <c r="B1146" s="83">
        <v>45804</v>
      </c>
      <c r="C1146" s="82" t="s">
        <v>3395</v>
      </c>
      <c r="D1146" s="82" t="s">
        <v>1369</v>
      </c>
      <c r="E1146" s="82"/>
      <c r="F1146" s="82" t="s">
        <v>5402</v>
      </c>
      <c r="G1146" s="89">
        <v>1</v>
      </c>
      <c r="H1146" s="89">
        <v>1884.69</v>
      </c>
      <c r="I1146" s="85">
        <v>0</v>
      </c>
      <c r="J1146" s="85">
        <v>0</v>
      </c>
      <c r="K1146" s="85">
        <v>1884.69</v>
      </c>
      <c r="L1146" s="85">
        <v>1884.69</v>
      </c>
      <c r="M1146" s="89">
        <v>2605.7543413339231</v>
      </c>
      <c r="N1146" s="85">
        <v>0</v>
      </c>
      <c r="O1146" s="85">
        <v>0</v>
      </c>
      <c r="P1146" s="85">
        <v>2605.7543413339231</v>
      </c>
      <c r="Q1146" s="85">
        <v>2605.7543413339231</v>
      </c>
      <c r="R1146" s="82" t="s">
        <v>3399</v>
      </c>
      <c r="S1146" s="7">
        <f t="shared" si="52"/>
        <v>0</v>
      </c>
      <c r="T1146" s="6">
        <f t="shared" si="53"/>
        <v>0</v>
      </c>
      <c r="U1146" s="25">
        <f t="shared" si="51"/>
        <v>0</v>
      </c>
    </row>
    <row r="1147" spans="1:21" ht="10.9" customHeight="1" x14ac:dyDescent="0.2">
      <c r="A1147" s="82" t="s">
        <v>2783</v>
      </c>
      <c r="B1147" s="83">
        <v>45804</v>
      </c>
      <c r="C1147" s="82" t="s">
        <v>3395</v>
      </c>
      <c r="D1147" s="82" t="s">
        <v>1373</v>
      </c>
      <c r="E1147" s="82"/>
      <c r="F1147" s="82" t="s">
        <v>5401</v>
      </c>
      <c r="G1147" s="89">
        <v>1</v>
      </c>
      <c r="H1147" s="89">
        <v>2549.9</v>
      </c>
      <c r="I1147" s="85">
        <v>0</v>
      </c>
      <c r="J1147" s="85">
        <v>0</v>
      </c>
      <c r="K1147" s="85">
        <v>2549.9</v>
      </c>
      <c r="L1147" s="85">
        <v>2549.9</v>
      </c>
      <c r="M1147" s="89">
        <v>3525.4673155624378</v>
      </c>
      <c r="N1147" s="85">
        <v>0</v>
      </c>
      <c r="O1147" s="85">
        <v>0</v>
      </c>
      <c r="P1147" s="85">
        <v>3525.4673155624378</v>
      </c>
      <c r="Q1147" s="85">
        <v>3525.4673155624378</v>
      </c>
      <c r="R1147" s="82" t="s">
        <v>3399</v>
      </c>
      <c r="S1147" s="7">
        <f t="shared" si="52"/>
        <v>0</v>
      </c>
      <c r="T1147" s="6">
        <f t="shared" si="53"/>
        <v>0</v>
      </c>
      <c r="U1147" s="25">
        <f t="shared" si="51"/>
        <v>0</v>
      </c>
    </row>
    <row r="1148" spans="1:21" ht="10.9" customHeight="1" x14ac:dyDescent="0.2">
      <c r="A1148" s="82" t="s">
        <v>2782</v>
      </c>
      <c r="B1148" s="83">
        <v>45804</v>
      </c>
      <c r="C1148" s="82" t="s">
        <v>3395</v>
      </c>
      <c r="D1148" s="82" t="s">
        <v>1375</v>
      </c>
      <c r="E1148" s="82"/>
      <c r="F1148" s="82" t="s">
        <v>5400</v>
      </c>
      <c r="G1148" s="89">
        <v>1</v>
      </c>
      <c r="H1148" s="89">
        <v>1957.91</v>
      </c>
      <c r="I1148" s="85">
        <v>0</v>
      </c>
      <c r="J1148" s="85">
        <v>0</v>
      </c>
      <c r="K1148" s="85">
        <v>1957.91</v>
      </c>
      <c r="L1148" s="85">
        <v>1957.91</v>
      </c>
      <c r="M1148" s="89">
        <v>2706.987611989824</v>
      </c>
      <c r="N1148" s="85">
        <v>0</v>
      </c>
      <c r="O1148" s="85">
        <v>0</v>
      </c>
      <c r="P1148" s="85">
        <v>2706.987611989824</v>
      </c>
      <c r="Q1148" s="85">
        <v>2706.987611989824</v>
      </c>
      <c r="R1148" s="82" t="s">
        <v>3399</v>
      </c>
      <c r="S1148" s="7">
        <f t="shared" si="52"/>
        <v>0</v>
      </c>
      <c r="T1148" s="6">
        <f t="shared" si="53"/>
        <v>0</v>
      </c>
      <c r="U1148" s="25">
        <f t="shared" si="51"/>
        <v>0</v>
      </c>
    </row>
    <row r="1149" spans="1:21" ht="10.9" customHeight="1" x14ac:dyDescent="0.2">
      <c r="A1149" s="82" t="s">
        <v>2781</v>
      </c>
      <c r="B1149" s="83">
        <v>45804</v>
      </c>
      <c r="C1149" s="82" t="s">
        <v>3395</v>
      </c>
      <c r="D1149" s="82" t="s">
        <v>1377</v>
      </c>
      <c r="E1149" s="82"/>
      <c r="F1149" s="82" t="s">
        <v>5399</v>
      </c>
      <c r="G1149" s="89">
        <v>1</v>
      </c>
      <c r="H1149" s="89">
        <v>2566.9299999999998</v>
      </c>
      <c r="I1149" s="85">
        <v>0</v>
      </c>
      <c r="J1149" s="85">
        <v>0</v>
      </c>
      <c r="K1149" s="85">
        <v>2566.9299999999998</v>
      </c>
      <c r="L1149" s="85">
        <v>2566.9299999999998</v>
      </c>
      <c r="M1149" s="89">
        <v>3549.0128304391105</v>
      </c>
      <c r="N1149" s="85">
        <v>0</v>
      </c>
      <c r="O1149" s="85">
        <v>0</v>
      </c>
      <c r="P1149" s="85">
        <v>3549.0128304391105</v>
      </c>
      <c r="Q1149" s="85">
        <v>3549.0128304391105</v>
      </c>
      <c r="R1149" s="82" t="s">
        <v>3399</v>
      </c>
      <c r="S1149" s="7">
        <f t="shared" si="52"/>
        <v>0</v>
      </c>
      <c r="T1149" s="6">
        <f t="shared" si="53"/>
        <v>0</v>
      </c>
      <c r="U1149" s="25">
        <f t="shared" si="51"/>
        <v>0</v>
      </c>
    </row>
    <row r="1150" spans="1:21" ht="10.9" customHeight="1" x14ac:dyDescent="0.2">
      <c r="A1150" s="82" t="s">
        <v>2759</v>
      </c>
      <c r="B1150" s="83">
        <v>45804</v>
      </c>
      <c r="C1150" s="82" t="s">
        <v>3395</v>
      </c>
      <c r="D1150" s="82" t="s">
        <v>1417</v>
      </c>
      <c r="E1150" s="82"/>
      <c r="F1150" s="82" t="s">
        <v>4423</v>
      </c>
      <c r="G1150" s="89">
        <v>5</v>
      </c>
      <c r="H1150" s="89">
        <v>72.69</v>
      </c>
      <c r="I1150" s="85">
        <v>0</v>
      </c>
      <c r="J1150" s="85">
        <v>0</v>
      </c>
      <c r="K1150" s="85">
        <v>363.45</v>
      </c>
      <c r="L1150" s="85">
        <v>363.45</v>
      </c>
      <c r="M1150" s="89">
        <v>100.50049773255171</v>
      </c>
      <c r="N1150" s="85">
        <v>0</v>
      </c>
      <c r="O1150" s="85">
        <v>0</v>
      </c>
      <c r="P1150" s="85">
        <v>502.50248866275854</v>
      </c>
      <c r="Q1150" s="85">
        <v>502.50248866275854</v>
      </c>
      <c r="R1150" s="82" t="s">
        <v>3399</v>
      </c>
      <c r="S1150" s="7">
        <f t="shared" si="52"/>
        <v>0</v>
      </c>
      <c r="T1150" s="6">
        <f t="shared" si="53"/>
        <v>0</v>
      </c>
      <c r="U1150" s="25">
        <f t="shared" si="51"/>
        <v>0</v>
      </c>
    </row>
    <row r="1151" spans="1:21" ht="10.9" customHeight="1" x14ac:dyDescent="0.2">
      <c r="A1151" s="82" t="s">
        <v>2743</v>
      </c>
      <c r="B1151" s="83">
        <v>45804</v>
      </c>
      <c r="C1151" s="82" t="s">
        <v>3395</v>
      </c>
      <c r="D1151" s="82" t="s">
        <v>1448</v>
      </c>
      <c r="E1151" s="82"/>
      <c r="F1151" s="82" t="s">
        <v>4747</v>
      </c>
      <c r="G1151" s="89">
        <v>10</v>
      </c>
      <c r="H1151" s="89">
        <v>97.93</v>
      </c>
      <c r="I1151" s="85">
        <v>0</v>
      </c>
      <c r="J1151" s="85">
        <v>0</v>
      </c>
      <c r="K1151" s="85">
        <v>979.3</v>
      </c>
      <c r="L1151" s="85">
        <v>979.3</v>
      </c>
      <c r="M1151" s="89">
        <v>135.39707996902999</v>
      </c>
      <c r="N1151" s="85">
        <v>0</v>
      </c>
      <c r="O1151" s="85">
        <v>0</v>
      </c>
      <c r="P1151" s="85">
        <v>1353.9707996902998</v>
      </c>
      <c r="Q1151" s="85">
        <v>1353.9707996902998</v>
      </c>
      <c r="R1151" s="82" t="s">
        <v>3399</v>
      </c>
      <c r="S1151" s="7">
        <f t="shared" si="52"/>
        <v>0</v>
      </c>
      <c r="T1151" s="6">
        <f t="shared" si="53"/>
        <v>0</v>
      </c>
      <c r="U1151" s="25">
        <f t="shared" si="51"/>
        <v>0</v>
      </c>
    </row>
    <row r="1152" spans="1:21" ht="10.9" customHeight="1" x14ac:dyDescent="0.2">
      <c r="A1152" s="82" t="s">
        <v>2408</v>
      </c>
      <c r="B1152" s="83">
        <v>45804</v>
      </c>
      <c r="C1152" s="82" t="s">
        <v>3395</v>
      </c>
      <c r="D1152" s="82" t="s">
        <v>3553</v>
      </c>
      <c r="E1152" s="82"/>
      <c r="F1152" s="82" t="s">
        <v>5418</v>
      </c>
      <c r="G1152" s="89">
        <v>4</v>
      </c>
      <c r="H1152" s="89">
        <v>2390</v>
      </c>
      <c r="I1152" s="85">
        <v>0</v>
      </c>
      <c r="J1152" s="85">
        <v>0</v>
      </c>
      <c r="K1152" s="85">
        <v>9560</v>
      </c>
      <c r="L1152" s="85">
        <v>13000</v>
      </c>
      <c r="M1152" s="89">
        <v>3300.4485295742284</v>
      </c>
      <c r="N1152" s="85">
        <v>0</v>
      </c>
      <c r="O1152" s="85">
        <v>0</v>
      </c>
      <c r="P1152" s="85">
        <v>13201.794118296913</v>
      </c>
      <c r="Q1152" s="85">
        <v>17952.230495592037</v>
      </c>
      <c r="R1152" s="82" t="s">
        <v>3396</v>
      </c>
      <c r="S1152" s="7">
        <f t="shared" si="52"/>
        <v>0</v>
      </c>
      <c r="T1152" s="6">
        <f t="shared" si="53"/>
        <v>0</v>
      </c>
      <c r="U1152" s="25">
        <f t="shared" si="51"/>
        <v>0</v>
      </c>
    </row>
    <row r="1153" spans="1:21" ht="10.9" customHeight="1" x14ac:dyDescent="0.2">
      <c r="A1153" s="82" t="s">
        <v>2408</v>
      </c>
      <c r="B1153" s="83">
        <v>45804</v>
      </c>
      <c r="C1153" s="82" t="s">
        <v>3395</v>
      </c>
      <c r="D1153" s="82" t="s">
        <v>3553</v>
      </c>
      <c r="E1153" s="82"/>
      <c r="F1153" s="82" t="s">
        <v>5417</v>
      </c>
      <c r="G1153" s="89">
        <v>2</v>
      </c>
      <c r="H1153" s="89">
        <v>1720</v>
      </c>
      <c r="I1153" s="85">
        <v>0</v>
      </c>
      <c r="J1153" s="85">
        <v>0</v>
      </c>
      <c r="K1153" s="85">
        <v>3440</v>
      </c>
      <c r="L1153" s="85">
        <v>13000</v>
      </c>
      <c r="M1153" s="89">
        <v>2375.2181886475619</v>
      </c>
      <c r="N1153" s="85">
        <v>0</v>
      </c>
      <c r="O1153" s="85">
        <v>0</v>
      </c>
      <c r="P1153" s="85">
        <v>4750.4363772951237</v>
      </c>
      <c r="Q1153" s="85">
        <v>17952.230495592037</v>
      </c>
      <c r="R1153" s="82" t="s">
        <v>3396</v>
      </c>
      <c r="S1153" s="7">
        <f t="shared" si="52"/>
        <v>0</v>
      </c>
      <c r="T1153" s="6">
        <f t="shared" si="53"/>
        <v>0</v>
      </c>
      <c r="U1153" s="25">
        <f t="shared" si="51"/>
        <v>0</v>
      </c>
    </row>
    <row r="1154" spans="1:21" ht="10.9" customHeight="1" x14ac:dyDescent="0.2">
      <c r="A1154" s="82" t="s">
        <v>2433</v>
      </c>
      <c r="B1154" s="83">
        <v>45804</v>
      </c>
      <c r="C1154" s="82" t="s">
        <v>3395</v>
      </c>
      <c r="D1154" s="82" t="s">
        <v>3552</v>
      </c>
      <c r="E1154" s="82"/>
      <c r="F1154" s="82" t="s">
        <v>5416</v>
      </c>
      <c r="G1154" s="89">
        <v>4</v>
      </c>
      <c r="H1154" s="89">
        <v>35</v>
      </c>
      <c r="I1154" s="85">
        <v>0</v>
      </c>
      <c r="J1154" s="85">
        <v>0</v>
      </c>
      <c r="K1154" s="85">
        <v>140</v>
      </c>
      <c r="L1154" s="85">
        <v>9230</v>
      </c>
      <c r="M1154" s="89">
        <v>48.390664749474617</v>
      </c>
      <c r="N1154" s="85">
        <v>0</v>
      </c>
      <c r="O1154" s="85">
        <v>0</v>
      </c>
      <c r="P1154" s="85">
        <v>193.56265899789847</v>
      </c>
      <c r="Q1154" s="85">
        <v>12761.309589647162</v>
      </c>
      <c r="R1154" s="82" t="s">
        <v>3396</v>
      </c>
      <c r="S1154" s="7">
        <f t="shared" si="52"/>
        <v>0</v>
      </c>
      <c r="T1154" s="6">
        <f t="shared" si="53"/>
        <v>0</v>
      </c>
      <c r="U1154" s="25">
        <f t="shared" ref="U1154:U1217" si="54">IF(T1154=1,K1154-J1154,0)</f>
        <v>0</v>
      </c>
    </row>
    <row r="1155" spans="1:21" ht="10.9" customHeight="1" x14ac:dyDescent="0.2">
      <c r="A1155" s="82" t="s">
        <v>2433</v>
      </c>
      <c r="B1155" s="83">
        <v>45804</v>
      </c>
      <c r="C1155" s="82" t="s">
        <v>3395</v>
      </c>
      <c r="D1155" s="82" t="s">
        <v>3552</v>
      </c>
      <c r="E1155" s="82"/>
      <c r="F1155" s="82" t="s">
        <v>5415</v>
      </c>
      <c r="G1155" s="89">
        <v>2</v>
      </c>
      <c r="H1155" s="89">
        <v>350</v>
      </c>
      <c r="I1155" s="85">
        <v>0</v>
      </c>
      <c r="J1155" s="85">
        <v>0</v>
      </c>
      <c r="K1155" s="85">
        <v>700</v>
      </c>
      <c r="L1155" s="85">
        <v>9230</v>
      </c>
      <c r="M1155" s="89">
        <v>483.90664749474615</v>
      </c>
      <c r="N1155" s="85">
        <v>0</v>
      </c>
      <c r="O1155" s="85">
        <v>0</v>
      </c>
      <c r="P1155" s="85">
        <v>967.81329498949231</v>
      </c>
      <c r="Q1155" s="85">
        <v>12761.309589647162</v>
      </c>
      <c r="R1155" s="82" t="s">
        <v>3396</v>
      </c>
      <c r="S1155" s="7">
        <f t="shared" ref="S1155:S1218" si="55">IF(T1155=1,A1155,0)</f>
        <v>0</v>
      </c>
      <c r="T1155" s="6">
        <f t="shared" ref="T1155:T1218" si="56">IFERROR(FIND("Freight",F1155,1),0)</f>
        <v>0</v>
      </c>
      <c r="U1155" s="25">
        <f t="shared" si="54"/>
        <v>0</v>
      </c>
    </row>
    <row r="1156" spans="1:21" ht="10.9" customHeight="1" x14ac:dyDescent="0.2">
      <c r="A1156" s="82" t="s">
        <v>2433</v>
      </c>
      <c r="B1156" s="83">
        <v>45804</v>
      </c>
      <c r="C1156" s="82" t="s">
        <v>3395</v>
      </c>
      <c r="D1156" s="82" t="s">
        <v>3552</v>
      </c>
      <c r="E1156" s="82"/>
      <c r="F1156" s="82" t="s">
        <v>5414</v>
      </c>
      <c r="G1156" s="89">
        <v>4</v>
      </c>
      <c r="H1156" s="89">
        <v>90</v>
      </c>
      <c r="I1156" s="85">
        <v>0</v>
      </c>
      <c r="J1156" s="85">
        <v>0</v>
      </c>
      <c r="K1156" s="85">
        <v>360</v>
      </c>
      <c r="L1156" s="85">
        <v>9230</v>
      </c>
      <c r="M1156" s="89">
        <v>124.43313792722044</v>
      </c>
      <c r="N1156" s="85">
        <v>0</v>
      </c>
      <c r="O1156" s="85">
        <v>0</v>
      </c>
      <c r="P1156" s="85">
        <v>497.73255170888177</v>
      </c>
      <c r="Q1156" s="85">
        <v>12761.309589647162</v>
      </c>
      <c r="R1156" s="82" t="s">
        <v>3396</v>
      </c>
      <c r="S1156" s="7">
        <f t="shared" si="55"/>
        <v>0</v>
      </c>
      <c r="T1156" s="6">
        <f t="shared" si="56"/>
        <v>0</v>
      </c>
      <c r="U1156" s="25">
        <f t="shared" si="54"/>
        <v>0</v>
      </c>
    </row>
    <row r="1157" spans="1:21" ht="10.9" customHeight="1" x14ac:dyDescent="0.2">
      <c r="A1157" s="82" t="s">
        <v>2433</v>
      </c>
      <c r="B1157" s="83">
        <v>45804</v>
      </c>
      <c r="C1157" s="82" t="s">
        <v>3395</v>
      </c>
      <c r="D1157" s="82" t="s">
        <v>3552</v>
      </c>
      <c r="E1157" s="82"/>
      <c r="F1157" s="82" t="s">
        <v>5413</v>
      </c>
      <c r="G1157" s="89">
        <v>1</v>
      </c>
      <c r="H1157" s="89">
        <v>1200</v>
      </c>
      <c r="I1157" s="85">
        <v>0</v>
      </c>
      <c r="J1157" s="85">
        <v>0</v>
      </c>
      <c r="K1157" s="85">
        <v>1200</v>
      </c>
      <c r="L1157" s="85">
        <v>9230</v>
      </c>
      <c r="M1157" s="89">
        <v>1659.1085056962725</v>
      </c>
      <c r="N1157" s="85">
        <v>0</v>
      </c>
      <c r="O1157" s="85">
        <v>0</v>
      </c>
      <c r="P1157" s="85">
        <v>1659.1085056962725</v>
      </c>
      <c r="Q1157" s="85">
        <v>12761.309589647162</v>
      </c>
      <c r="R1157" s="82" t="s">
        <v>3396</v>
      </c>
      <c r="S1157" s="7">
        <f t="shared" si="55"/>
        <v>0</v>
      </c>
      <c r="T1157" s="6">
        <f t="shared" si="56"/>
        <v>0</v>
      </c>
      <c r="U1157" s="25">
        <f t="shared" si="54"/>
        <v>0</v>
      </c>
    </row>
    <row r="1158" spans="1:21" ht="10.9" customHeight="1" x14ac:dyDescent="0.2">
      <c r="A1158" s="82" t="s">
        <v>2433</v>
      </c>
      <c r="B1158" s="83">
        <v>45804</v>
      </c>
      <c r="C1158" s="82" t="s">
        <v>3395</v>
      </c>
      <c r="D1158" s="82" t="s">
        <v>3552</v>
      </c>
      <c r="E1158" s="82"/>
      <c r="F1158" s="82" t="s">
        <v>5412</v>
      </c>
      <c r="G1158" s="89">
        <v>2</v>
      </c>
      <c r="H1158" s="89">
        <v>800</v>
      </c>
      <c r="I1158" s="85">
        <v>0</v>
      </c>
      <c r="J1158" s="85">
        <v>0</v>
      </c>
      <c r="K1158" s="85">
        <v>1600</v>
      </c>
      <c r="L1158" s="85">
        <v>9230</v>
      </c>
      <c r="M1158" s="89">
        <v>1106.0723371308484</v>
      </c>
      <c r="N1158" s="85">
        <v>0</v>
      </c>
      <c r="O1158" s="85">
        <v>0</v>
      </c>
      <c r="P1158" s="85">
        <v>2212.1446742616968</v>
      </c>
      <c r="Q1158" s="85">
        <v>12761.309589647162</v>
      </c>
      <c r="R1158" s="82" t="s">
        <v>3396</v>
      </c>
      <c r="S1158" s="7">
        <f t="shared" si="55"/>
        <v>0</v>
      </c>
      <c r="T1158" s="6">
        <f t="shared" si="56"/>
        <v>0</v>
      </c>
      <c r="U1158" s="25">
        <f t="shared" si="54"/>
        <v>0</v>
      </c>
    </row>
    <row r="1159" spans="1:21" ht="10.9" customHeight="1" x14ac:dyDescent="0.2">
      <c r="A1159" s="82" t="s">
        <v>2433</v>
      </c>
      <c r="B1159" s="83">
        <v>45804</v>
      </c>
      <c r="C1159" s="82" t="s">
        <v>3395</v>
      </c>
      <c r="D1159" s="82" t="s">
        <v>3552</v>
      </c>
      <c r="E1159" s="82"/>
      <c r="F1159" s="82" t="s">
        <v>5411</v>
      </c>
      <c r="G1159" s="89">
        <v>1</v>
      </c>
      <c r="H1159" s="89">
        <v>10</v>
      </c>
      <c r="I1159" s="85">
        <v>0</v>
      </c>
      <c r="J1159" s="85">
        <v>0</v>
      </c>
      <c r="K1159" s="85">
        <v>10</v>
      </c>
      <c r="L1159" s="85">
        <v>9230</v>
      </c>
      <c r="M1159" s="89">
        <v>13.825904214135605</v>
      </c>
      <c r="N1159" s="85">
        <v>0</v>
      </c>
      <c r="O1159" s="85">
        <v>0</v>
      </c>
      <c r="P1159" s="85">
        <v>13.825904214135605</v>
      </c>
      <c r="Q1159" s="85">
        <v>12761.309589647162</v>
      </c>
      <c r="R1159" s="82" t="s">
        <v>3396</v>
      </c>
      <c r="S1159" s="7">
        <f t="shared" si="55"/>
        <v>0</v>
      </c>
      <c r="T1159" s="6">
        <f t="shared" si="56"/>
        <v>0</v>
      </c>
      <c r="U1159" s="25">
        <f t="shared" si="54"/>
        <v>0</v>
      </c>
    </row>
    <row r="1160" spans="1:21" ht="10.9" customHeight="1" x14ac:dyDescent="0.2">
      <c r="A1160" s="82" t="s">
        <v>2433</v>
      </c>
      <c r="B1160" s="83">
        <v>45804</v>
      </c>
      <c r="C1160" s="82" t="s">
        <v>3395</v>
      </c>
      <c r="D1160" s="82" t="s">
        <v>3552</v>
      </c>
      <c r="E1160" s="82"/>
      <c r="F1160" s="82" t="s">
        <v>4453</v>
      </c>
      <c r="G1160" s="89">
        <v>2</v>
      </c>
      <c r="H1160" s="89">
        <v>110</v>
      </c>
      <c r="I1160" s="85">
        <v>0</v>
      </c>
      <c r="J1160" s="85">
        <v>0</v>
      </c>
      <c r="K1160" s="85">
        <v>220</v>
      </c>
      <c r="L1160" s="85">
        <v>9230</v>
      </c>
      <c r="M1160" s="89">
        <v>152.08494635549164</v>
      </c>
      <c r="N1160" s="85">
        <v>0</v>
      </c>
      <c r="O1160" s="85">
        <v>0</v>
      </c>
      <c r="P1160" s="85">
        <v>304.16989271098328</v>
      </c>
      <c r="Q1160" s="85">
        <v>12761.309589647162</v>
      </c>
      <c r="R1160" s="82" t="s">
        <v>3396</v>
      </c>
      <c r="S1160" s="7">
        <f t="shared" si="55"/>
        <v>0</v>
      </c>
      <c r="T1160" s="6">
        <f t="shared" si="56"/>
        <v>0</v>
      </c>
      <c r="U1160" s="25">
        <f t="shared" si="54"/>
        <v>0</v>
      </c>
    </row>
    <row r="1161" spans="1:21" ht="10.9" customHeight="1" x14ac:dyDescent="0.2">
      <c r="A1161" s="82" t="s">
        <v>2433</v>
      </c>
      <c r="B1161" s="83">
        <v>45804</v>
      </c>
      <c r="C1161" s="82" t="s">
        <v>3395</v>
      </c>
      <c r="D1161" s="82" t="s">
        <v>3552</v>
      </c>
      <c r="E1161" s="82"/>
      <c r="F1161" s="82" t="s">
        <v>5000</v>
      </c>
      <c r="G1161" s="89">
        <v>4</v>
      </c>
      <c r="H1161" s="89">
        <v>500</v>
      </c>
      <c r="I1161" s="85">
        <v>0</v>
      </c>
      <c r="J1161" s="85">
        <v>0</v>
      </c>
      <c r="K1161" s="85">
        <v>2000</v>
      </c>
      <c r="L1161" s="85">
        <v>9230</v>
      </c>
      <c r="M1161" s="89">
        <v>691.29521070678027</v>
      </c>
      <c r="N1161" s="85">
        <v>0</v>
      </c>
      <c r="O1161" s="85">
        <v>0</v>
      </c>
      <c r="P1161" s="85">
        <v>2765.1808428271211</v>
      </c>
      <c r="Q1161" s="85">
        <v>12761.309589647162</v>
      </c>
      <c r="R1161" s="82" t="s">
        <v>3396</v>
      </c>
      <c r="S1161" s="7">
        <f t="shared" si="55"/>
        <v>0</v>
      </c>
      <c r="T1161" s="6">
        <f t="shared" si="56"/>
        <v>0</v>
      </c>
      <c r="U1161" s="25">
        <f t="shared" si="54"/>
        <v>0</v>
      </c>
    </row>
    <row r="1162" spans="1:21" ht="10.9" customHeight="1" x14ac:dyDescent="0.2">
      <c r="A1162" s="82" t="s">
        <v>2433</v>
      </c>
      <c r="B1162" s="83">
        <v>45804</v>
      </c>
      <c r="C1162" s="82" t="s">
        <v>3395</v>
      </c>
      <c r="D1162" s="82" t="s">
        <v>3552</v>
      </c>
      <c r="E1162" s="82"/>
      <c r="F1162" s="82" t="s">
        <v>4506</v>
      </c>
      <c r="G1162" s="89">
        <v>4</v>
      </c>
      <c r="H1162" s="89">
        <v>750</v>
      </c>
      <c r="I1162" s="85">
        <v>0</v>
      </c>
      <c r="J1162" s="85">
        <v>0</v>
      </c>
      <c r="K1162" s="85">
        <v>3000</v>
      </c>
      <c r="L1162" s="85">
        <v>9230</v>
      </c>
      <c r="M1162" s="89">
        <v>1036.9428160601703</v>
      </c>
      <c r="N1162" s="85">
        <v>0</v>
      </c>
      <c r="O1162" s="85">
        <v>0</v>
      </c>
      <c r="P1162" s="85">
        <v>4147.7712642406814</v>
      </c>
      <c r="Q1162" s="85">
        <v>12761.309589647162</v>
      </c>
      <c r="R1162" s="82" t="s">
        <v>3396</v>
      </c>
      <c r="S1162" s="7">
        <f t="shared" si="55"/>
        <v>0</v>
      </c>
      <c r="T1162" s="6">
        <f t="shared" si="56"/>
        <v>0</v>
      </c>
      <c r="U1162" s="25">
        <f t="shared" si="54"/>
        <v>0</v>
      </c>
    </row>
    <row r="1163" spans="1:21" ht="10.9" customHeight="1" x14ac:dyDescent="0.2">
      <c r="A1163" s="82" t="s">
        <v>2442</v>
      </c>
      <c r="B1163" s="83">
        <v>45804</v>
      </c>
      <c r="C1163" s="82" t="s">
        <v>3395</v>
      </c>
      <c r="D1163" s="82" t="s">
        <v>3551</v>
      </c>
      <c r="E1163" s="82"/>
      <c r="F1163" s="82" t="s">
        <v>5410</v>
      </c>
      <c r="G1163" s="89">
        <v>2</v>
      </c>
      <c r="H1163" s="89">
        <v>370</v>
      </c>
      <c r="I1163" s="85">
        <v>0</v>
      </c>
      <c r="J1163" s="85">
        <v>0</v>
      </c>
      <c r="K1163" s="85">
        <v>740</v>
      </c>
      <c r="L1163" s="85">
        <v>8312</v>
      </c>
      <c r="M1163" s="89">
        <v>511.55845592301739</v>
      </c>
      <c r="N1163" s="85">
        <v>0</v>
      </c>
      <c r="O1163" s="85">
        <v>0</v>
      </c>
      <c r="P1163" s="85">
        <v>1023.1169118460348</v>
      </c>
      <c r="Q1163" s="85">
        <v>11492.091582789515</v>
      </c>
      <c r="R1163" s="82" t="s">
        <v>3396</v>
      </c>
      <c r="S1163" s="7">
        <f t="shared" si="55"/>
        <v>0</v>
      </c>
      <c r="T1163" s="6">
        <f t="shared" si="56"/>
        <v>0</v>
      </c>
      <c r="U1163" s="25">
        <f t="shared" si="54"/>
        <v>0</v>
      </c>
    </row>
    <row r="1164" spans="1:21" ht="10.9" customHeight="1" x14ac:dyDescent="0.2">
      <c r="A1164" s="82" t="s">
        <v>2442</v>
      </c>
      <c r="B1164" s="83">
        <v>45804</v>
      </c>
      <c r="C1164" s="82" t="s">
        <v>3395</v>
      </c>
      <c r="D1164" s="82" t="s">
        <v>3551</v>
      </c>
      <c r="E1164" s="82"/>
      <c r="F1164" s="82" t="s">
        <v>5409</v>
      </c>
      <c r="G1164" s="89">
        <v>12</v>
      </c>
      <c r="H1164" s="89">
        <v>2</v>
      </c>
      <c r="I1164" s="85">
        <v>0</v>
      </c>
      <c r="J1164" s="85">
        <v>0</v>
      </c>
      <c r="K1164" s="85">
        <v>24</v>
      </c>
      <c r="L1164" s="85">
        <v>8312</v>
      </c>
      <c r="M1164" s="89">
        <v>2.765180842827121</v>
      </c>
      <c r="N1164" s="85">
        <v>0</v>
      </c>
      <c r="O1164" s="85">
        <v>0</v>
      </c>
      <c r="P1164" s="85">
        <v>33.182170113925451</v>
      </c>
      <c r="Q1164" s="85">
        <v>11492.091582789515</v>
      </c>
      <c r="R1164" s="82" t="s">
        <v>3396</v>
      </c>
      <c r="S1164" s="7">
        <f t="shared" si="55"/>
        <v>0</v>
      </c>
      <c r="T1164" s="6">
        <f t="shared" si="56"/>
        <v>0</v>
      </c>
      <c r="U1164" s="25">
        <f t="shared" si="54"/>
        <v>0</v>
      </c>
    </row>
    <row r="1165" spans="1:21" ht="10.9" customHeight="1" x14ac:dyDescent="0.2">
      <c r="A1165" s="82" t="s">
        <v>2442</v>
      </c>
      <c r="B1165" s="83">
        <v>45804</v>
      </c>
      <c r="C1165" s="82" t="s">
        <v>3395</v>
      </c>
      <c r="D1165" s="82" t="s">
        <v>3551</v>
      </c>
      <c r="E1165" s="82"/>
      <c r="F1165" s="82" t="s">
        <v>5408</v>
      </c>
      <c r="G1165" s="89">
        <v>12</v>
      </c>
      <c r="H1165" s="89">
        <v>14</v>
      </c>
      <c r="I1165" s="85">
        <v>0</v>
      </c>
      <c r="J1165" s="85">
        <v>0</v>
      </c>
      <c r="K1165" s="85">
        <v>168</v>
      </c>
      <c r="L1165" s="85">
        <v>8312</v>
      </c>
      <c r="M1165" s="89">
        <v>19.356265899789847</v>
      </c>
      <c r="N1165" s="85">
        <v>0</v>
      </c>
      <c r="O1165" s="85">
        <v>0</v>
      </c>
      <c r="P1165" s="85">
        <v>232.27519079747816</v>
      </c>
      <c r="Q1165" s="85">
        <v>11492.091582789515</v>
      </c>
      <c r="R1165" s="82" t="s">
        <v>3396</v>
      </c>
      <c r="S1165" s="7">
        <f t="shared" si="55"/>
        <v>0</v>
      </c>
      <c r="T1165" s="6">
        <f t="shared" si="56"/>
        <v>0</v>
      </c>
      <c r="U1165" s="25">
        <f t="shared" si="54"/>
        <v>0</v>
      </c>
    </row>
    <row r="1166" spans="1:21" ht="10.9" customHeight="1" x14ac:dyDescent="0.2">
      <c r="A1166" s="82" t="s">
        <v>2442</v>
      </c>
      <c r="B1166" s="83">
        <v>45804</v>
      </c>
      <c r="C1166" s="82" t="s">
        <v>3395</v>
      </c>
      <c r="D1166" s="82" t="s">
        <v>3551</v>
      </c>
      <c r="E1166" s="82"/>
      <c r="F1166" s="82" t="s">
        <v>5407</v>
      </c>
      <c r="G1166" s="89">
        <v>1</v>
      </c>
      <c r="H1166" s="89">
        <v>560</v>
      </c>
      <c r="I1166" s="85">
        <v>0</v>
      </c>
      <c r="J1166" s="85">
        <v>0</v>
      </c>
      <c r="K1166" s="85">
        <v>560</v>
      </c>
      <c r="L1166" s="85">
        <v>8312</v>
      </c>
      <c r="M1166" s="89">
        <v>774.25063599159387</v>
      </c>
      <c r="N1166" s="85">
        <v>0</v>
      </c>
      <c r="O1166" s="85">
        <v>0</v>
      </c>
      <c r="P1166" s="85">
        <v>774.25063599159387</v>
      </c>
      <c r="Q1166" s="85">
        <v>11492.091582789515</v>
      </c>
      <c r="R1166" s="82" t="s">
        <v>3396</v>
      </c>
      <c r="S1166" s="7">
        <f t="shared" si="55"/>
        <v>0</v>
      </c>
      <c r="T1166" s="6">
        <f t="shared" si="56"/>
        <v>0</v>
      </c>
      <c r="U1166" s="25">
        <f t="shared" si="54"/>
        <v>0</v>
      </c>
    </row>
    <row r="1167" spans="1:21" ht="10.9" customHeight="1" x14ac:dyDescent="0.2">
      <c r="A1167" s="82" t="s">
        <v>2442</v>
      </c>
      <c r="B1167" s="83">
        <v>45804</v>
      </c>
      <c r="C1167" s="82" t="s">
        <v>3395</v>
      </c>
      <c r="D1167" s="82" t="s">
        <v>3551</v>
      </c>
      <c r="E1167" s="82"/>
      <c r="F1167" s="82" t="s">
        <v>5406</v>
      </c>
      <c r="G1167" s="89">
        <v>4</v>
      </c>
      <c r="H1167" s="89">
        <v>160</v>
      </c>
      <c r="I1167" s="85">
        <v>0</v>
      </c>
      <c r="J1167" s="85">
        <v>0</v>
      </c>
      <c r="K1167" s="85">
        <v>640</v>
      </c>
      <c r="L1167" s="85">
        <v>8312</v>
      </c>
      <c r="M1167" s="89">
        <v>221.21446742616968</v>
      </c>
      <c r="N1167" s="85">
        <v>0</v>
      </c>
      <c r="O1167" s="85">
        <v>0</v>
      </c>
      <c r="P1167" s="85">
        <v>884.85786970467871</v>
      </c>
      <c r="Q1167" s="85">
        <v>11492.091582789515</v>
      </c>
      <c r="R1167" s="82" t="s">
        <v>3396</v>
      </c>
      <c r="S1167" s="7">
        <f t="shared" si="55"/>
        <v>0</v>
      </c>
      <c r="T1167" s="6">
        <f t="shared" si="56"/>
        <v>0</v>
      </c>
      <c r="U1167" s="25">
        <f t="shared" si="54"/>
        <v>0</v>
      </c>
    </row>
    <row r="1168" spans="1:21" ht="10.9" customHeight="1" x14ac:dyDescent="0.2">
      <c r="A1168" s="82" t="s">
        <v>2442</v>
      </c>
      <c r="B1168" s="83">
        <v>45804</v>
      </c>
      <c r="C1168" s="82" t="s">
        <v>3395</v>
      </c>
      <c r="D1168" s="82" t="s">
        <v>3551</v>
      </c>
      <c r="E1168" s="82"/>
      <c r="F1168" s="82" t="s">
        <v>5405</v>
      </c>
      <c r="G1168" s="89">
        <v>3</v>
      </c>
      <c r="H1168" s="89">
        <v>2060</v>
      </c>
      <c r="I1168" s="85">
        <v>0</v>
      </c>
      <c r="J1168" s="85">
        <v>0</v>
      </c>
      <c r="K1168" s="85">
        <v>6180</v>
      </c>
      <c r="L1168" s="85">
        <v>8312</v>
      </c>
      <c r="M1168" s="89">
        <v>2848.1362681119344</v>
      </c>
      <c r="N1168" s="85">
        <v>0</v>
      </c>
      <c r="O1168" s="85">
        <v>0</v>
      </c>
      <c r="P1168" s="85">
        <v>8544.4088043358042</v>
      </c>
      <c r="Q1168" s="85">
        <v>11492.091582789515</v>
      </c>
      <c r="R1168" s="82" t="s">
        <v>3396</v>
      </c>
      <c r="S1168" s="7">
        <f t="shared" si="55"/>
        <v>0</v>
      </c>
      <c r="T1168" s="6">
        <f t="shared" si="56"/>
        <v>0</v>
      </c>
      <c r="U1168" s="25">
        <f t="shared" si="54"/>
        <v>0</v>
      </c>
    </row>
    <row r="1169" spans="1:21" ht="10.9" customHeight="1" x14ac:dyDescent="0.2">
      <c r="A1169" s="82" t="s">
        <v>2544</v>
      </c>
      <c r="B1169" s="83">
        <v>45804</v>
      </c>
      <c r="C1169" s="82" t="s">
        <v>3395</v>
      </c>
      <c r="D1169" s="82" t="s">
        <v>3554</v>
      </c>
      <c r="E1169" s="82"/>
      <c r="F1169" s="82" t="s">
        <v>5404</v>
      </c>
      <c r="G1169" s="89">
        <v>10</v>
      </c>
      <c r="H1169" s="89">
        <v>25</v>
      </c>
      <c r="I1169" s="85">
        <v>0</v>
      </c>
      <c r="J1169" s="85">
        <v>0</v>
      </c>
      <c r="K1169" s="85">
        <v>250</v>
      </c>
      <c r="L1169" s="85">
        <v>360</v>
      </c>
      <c r="M1169" s="89">
        <v>34.564760535339012</v>
      </c>
      <c r="N1169" s="85">
        <v>0</v>
      </c>
      <c r="O1169" s="85">
        <v>0</v>
      </c>
      <c r="P1169" s="85">
        <v>345.64760535339013</v>
      </c>
      <c r="Q1169" s="85">
        <v>497.73255170888177</v>
      </c>
      <c r="R1169" s="82" t="s">
        <v>3396</v>
      </c>
      <c r="S1169" s="7">
        <f t="shared" si="55"/>
        <v>0</v>
      </c>
      <c r="T1169" s="6">
        <f t="shared" si="56"/>
        <v>0</v>
      </c>
      <c r="U1169" s="25">
        <f t="shared" si="54"/>
        <v>0</v>
      </c>
    </row>
    <row r="1170" spans="1:21" ht="10.9" customHeight="1" x14ac:dyDescent="0.2">
      <c r="A1170" s="82" t="s">
        <v>2544</v>
      </c>
      <c r="B1170" s="83">
        <v>45804</v>
      </c>
      <c r="C1170" s="82" t="s">
        <v>3395</v>
      </c>
      <c r="D1170" s="82" t="s">
        <v>3554</v>
      </c>
      <c r="E1170" s="82"/>
      <c r="F1170" s="82" t="s">
        <v>4453</v>
      </c>
      <c r="G1170" s="89">
        <v>1</v>
      </c>
      <c r="H1170" s="89">
        <v>110</v>
      </c>
      <c r="I1170" s="85">
        <v>0</v>
      </c>
      <c r="J1170" s="85">
        <v>0</v>
      </c>
      <c r="K1170" s="85">
        <v>110</v>
      </c>
      <c r="L1170" s="85">
        <v>360</v>
      </c>
      <c r="M1170" s="89">
        <v>152.08494635549164</v>
      </c>
      <c r="N1170" s="85">
        <v>0</v>
      </c>
      <c r="O1170" s="85">
        <v>0</v>
      </c>
      <c r="P1170" s="85">
        <v>152.08494635549164</v>
      </c>
      <c r="Q1170" s="85">
        <v>497.73255170888177</v>
      </c>
      <c r="R1170" s="82" t="s">
        <v>3396</v>
      </c>
      <c r="S1170" s="7">
        <f t="shared" si="55"/>
        <v>0</v>
      </c>
      <c r="T1170" s="6">
        <f t="shared" si="56"/>
        <v>0</v>
      </c>
      <c r="U1170" s="25">
        <f t="shared" si="54"/>
        <v>0</v>
      </c>
    </row>
    <row r="1171" spans="1:21" ht="10.9" customHeight="1" x14ac:dyDescent="0.2">
      <c r="A1171" s="82" t="s">
        <v>2796</v>
      </c>
      <c r="B1171" s="83">
        <v>45804</v>
      </c>
      <c r="C1171" s="82" t="s">
        <v>3395</v>
      </c>
      <c r="D1171" s="82" t="s">
        <v>1349</v>
      </c>
      <c r="E1171" s="82"/>
      <c r="F1171" s="82" t="s">
        <v>5403</v>
      </c>
      <c r="G1171" s="89">
        <v>3</v>
      </c>
      <c r="H1171" s="89">
        <v>42.98</v>
      </c>
      <c r="I1171" s="85">
        <v>0</v>
      </c>
      <c r="J1171" s="85">
        <v>6.45</v>
      </c>
      <c r="K1171" s="85">
        <v>135.38999999999999</v>
      </c>
      <c r="L1171" s="85">
        <v>135.38999999999999</v>
      </c>
      <c r="M1171" s="89">
        <v>42.98</v>
      </c>
      <c r="N1171" s="85">
        <v>0</v>
      </c>
      <c r="O1171" s="85">
        <v>6.45</v>
      </c>
      <c r="P1171" s="85">
        <v>135.38999999999999</v>
      </c>
      <c r="Q1171" s="85">
        <v>135.38999999999999</v>
      </c>
      <c r="R1171" s="82" t="s">
        <v>3399</v>
      </c>
      <c r="S1171" s="7">
        <f t="shared" si="55"/>
        <v>0</v>
      </c>
      <c r="T1171" s="6">
        <f t="shared" si="56"/>
        <v>0</v>
      </c>
      <c r="U1171" s="25">
        <f t="shared" si="54"/>
        <v>0</v>
      </c>
    </row>
    <row r="1172" spans="1:21" ht="10.9" customHeight="1" x14ac:dyDescent="0.2">
      <c r="A1172" s="82" t="s">
        <v>3550</v>
      </c>
      <c r="B1172" s="83">
        <v>45805</v>
      </c>
      <c r="C1172" s="82" t="s">
        <v>3398</v>
      </c>
      <c r="D1172" s="82" t="s">
        <v>3549</v>
      </c>
      <c r="E1172" s="82"/>
      <c r="F1172" s="82" t="s">
        <v>5398</v>
      </c>
      <c r="G1172" s="89">
        <v>-1</v>
      </c>
      <c r="H1172" s="89">
        <v>153.49</v>
      </c>
      <c r="I1172" s="85">
        <v>0</v>
      </c>
      <c r="J1172" s="85">
        <v>-7.67</v>
      </c>
      <c r="K1172" s="85">
        <v>-161.16</v>
      </c>
      <c r="L1172" s="85">
        <v>-161.16</v>
      </c>
      <c r="M1172" s="89">
        <v>153.49</v>
      </c>
      <c r="N1172" s="85">
        <v>0</v>
      </c>
      <c r="O1172" s="85">
        <v>-7.67</v>
      </c>
      <c r="P1172" s="85">
        <v>-161.16</v>
      </c>
      <c r="Q1172" s="85">
        <v>-161.16</v>
      </c>
      <c r="R1172" s="82" t="s">
        <v>3399</v>
      </c>
      <c r="S1172" s="7">
        <f t="shared" si="55"/>
        <v>0</v>
      </c>
      <c r="T1172" s="6">
        <f t="shared" si="56"/>
        <v>0</v>
      </c>
      <c r="U1172" s="25">
        <f t="shared" si="54"/>
        <v>0</v>
      </c>
    </row>
    <row r="1173" spans="1:21" ht="10.9" customHeight="1" x14ac:dyDescent="0.2">
      <c r="A1173" s="82" t="s">
        <v>2799</v>
      </c>
      <c r="B1173" s="83">
        <v>45805</v>
      </c>
      <c r="C1173" s="82" t="s">
        <v>3395</v>
      </c>
      <c r="D1173" s="82" t="s">
        <v>1343</v>
      </c>
      <c r="E1173" s="82"/>
      <c r="F1173" s="82" t="s">
        <v>4685</v>
      </c>
      <c r="G1173" s="89">
        <v>1</v>
      </c>
      <c r="H1173" s="89">
        <v>1034.78</v>
      </c>
      <c r="I1173" s="85">
        <v>0</v>
      </c>
      <c r="J1173" s="85">
        <v>51.74</v>
      </c>
      <c r="K1173" s="85">
        <v>1086.52</v>
      </c>
      <c r="L1173" s="85">
        <v>1086.52</v>
      </c>
      <c r="M1173" s="89">
        <v>1034.78</v>
      </c>
      <c r="N1173" s="85">
        <v>0</v>
      </c>
      <c r="O1173" s="85">
        <v>51.74</v>
      </c>
      <c r="P1173" s="85">
        <v>1086.52</v>
      </c>
      <c r="Q1173" s="85">
        <v>1086.52</v>
      </c>
      <c r="R1173" s="82" t="s">
        <v>3399</v>
      </c>
      <c r="S1173" s="7">
        <f t="shared" si="55"/>
        <v>0</v>
      </c>
      <c r="T1173" s="6">
        <f t="shared" si="56"/>
        <v>0</v>
      </c>
      <c r="U1173" s="25">
        <f t="shared" si="54"/>
        <v>0</v>
      </c>
    </row>
    <row r="1174" spans="1:21" ht="10.9" customHeight="1" x14ac:dyDescent="0.2">
      <c r="A1174" s="82" t="s">
        <v>2392</v>
      </c>
      <c r="B1174" s="83">
        <v>45805</v>
      </c>
      <c r="C1174" s="82" t="s">
        <v>3395</v>
      </c>
      <c r="D1174" s="82" t="s">
        <v>2055</v>
      </c>
      <c r="E1174" s="82"/>
      <c r="F1174" s="82" t="s">
        <v>4565</v>
      </c>
      <c r="G1174" s="89">
        <v>6</v>
      </c>
      <c r="H1174" s="89">
        <v>308.04000000000002</v>
      </c>
      <c r="I1174" s="85">
        <v>0</v>
      </c>
      <c r="J1174" s="85">
        <v>92.41</v>
      </c>
      <c r="K1174" s="85">
        <v>1940.65</v>
      </c>
      <c r="L1174" s="85">
        <v>4559.7299999999996</v>
      </c>
      <c r="M1174" s="89">
        <v>308.04000000000002</v>
      </c>
      <c r="N1174" s="85">
        <v>0</v>
      </c>
      <c r="O1174" s="85">
        <v>92.41</v>
      </c>
      <c r="P1174" s="85">
        <v>1940.65</v>
      </c>
      <c r="Q1174" s="85">
        <v>4559.7299999999996</v>
      </c>
      <c r="R1174" s="82" t="s">
        <v>3399</v>
      </c>
      <c r="S1174" s="7">
        <f t="shared" si="55"/>
        <v>0</v>
      </c>
      <c r="T1174" s="6">
        <f t="shared" si="56"/>
        <v>0</v>
      </c>
      <c r="U1174" s="25">
        <f t="shared" si="54"/>
        <v>0</v>
      </c>
    </row>
    <row r="1175" spans="1:21" ht="10.9" customHeight="1" x14ac:dyDescent="0.2">
      <c r="A1175" s="82" t="s">
        <v>2392</v>
      </c>
      <c r="B1175" s="83">
        <v>45805</v>
      </c>
      <c r="C1175" s="82" t="s">
        <v>3395</v>
      </c>
      <c r="D1175" s="82" t="s">
        <v>2055</v>
      </c>
      <c r="E1175" s="82"/>
      <c r="F1175" s="82" t="s">
        <v>5159</v>
      </c>
      <c r="G1175" s="89">
        <v>4</v>
      </c>
      <c r="H1175" s="89">
        <v>623.59</v>
      </c>
      <c r="I1175" s="85">
        <v>0</v>
      </c>
      <c r="J1175" s="85">
        <v>124.72</v>
      </c>
      <c r="K1175" s="85">
        <v>2619.08</v>
      </c>
      <c r="L1175" s="85">
        <v>4559.7299999999996</v>
      </c>
      <c r="M1175" s="89">
        <v>623.59</v>
      </c>
      <c r="N1175" s="85">
        <v>0</v>
      </c>
      <c r="O1175" s="85">
        <v>124.72</v>
      </c>
      <c r="P1175" s="85">
        <v>2619.08</v>
      </c>
      <c r="Q1175" s="85">
        <v>4559.7299999999996</v>
      </c>
      <c r="R1175" s="82" t="s">
        <v>3399</v>
      </c>
      <c r="S1175" s="7">
        <f t="shared" si="55"/>
        <v>0</v>
      </c>
      <c r="T1175" s="6">
        <f t="shared" si="56"/>
        <v>0</v>
      </c>
      <c r="U1175" s="25">
        <f t="shared" si="54"/>
        <v>0</v>
      </c>
    </row>
    <row r="1176" spans="1:21" ht="10.9" customHeight="1" x14ac:dyDescent="0.2">
      <c r="A1176" s="82" t="s">
        <v>2802</v>
      </c>
      <c r="B1176" s="83">
        <v>45805</v>
      </c>
      <c r="C1176" s="82" t="s">
        <v>3395</v>
      </c>
      <c r="D1176" s="82" t="s">
        <v>1337</v>
      </c>
      <c r="E1176" s="82"/>
      <c r="F1176" s="82" t="s">
        <v>4576</v>
      </c>
      <c r="G1176" s="89">
        <v>4</v>
      </c>
      <c r="H1176" s="89">
        <v>31.53</v>
      </c>
      <c r="I1176" s="85">
        <v>0</v>
      </c>
      <c r="J1176" s="85">
        <v>6.31</v>
      </c>
      <c r="K1176" s="85">
        <v>132.43</v>
      </c>
      <c r="L1176" s="85">
        <v>132.43</v>
      </c>
      <c r="M1176" s="89">
        <v>31.53</v>
      </c>
      <c r="N1176" s="85">
        <v>0</v>
      </c>
      <c r="O1176" s="85">
        <v>6.31</v>
      </c>
      <c r="P1176" s="85">
        <v>132.43</v>
      </c>
      <c r="Q1176" s="85">
        <v>132.43</v>
      </c>
      <c r="R1176" s="82" t="s">
        <v>3399</v>
      </c>
      <c r="S1176" s="7">
        <f t="shared" si="55"/>
        <v>0</v>
      </c>
      <c r="T1176" s="6">
        <f t="shared" si="56"/>
        <v>0</v>
      </c>
      <c r="U1176" s="25">
        <f t="shared" si="54"/>
        <v>0</v>
      </c>
    </row>
    <row r="1177" spans="1:21" ht="10.9" customHeight="1" x14ac:dyDescent="0.2">
      <c r="A1177" s="82" t="s">
        <v>2681</v>
      </c>
      <c r="B1177" s="83">
        <v>45805</v>
      </c>
      <c r="C1177" s="82" t="s">
        <v>3395</v>
      </c>
      <c r="D1177" s="82" t="s">
        <v>1557</v>
      </c>
      <c r="E1177" s="82"/>
      <c r="F1177" s="82" t="s">
        <v>4752</v>
      </c>
      <c r="G1177" s="89">
        <v>1</v>
      </c>
      <c r="H1177" s="89">
        <v>884.56</v>
      </c>
      <c r="I1177" s="85">
        <v>0</v>
      </c>
      <c r="J1177" s="85">
        <v>44.23</v>
      </c>
      <c r="K1177" s="85">
        <v>928.79</v>
      </c>
      <c r="L1177" s="85">
        <v>928.79</v>
      </c>
      <c r="M1177" s="89">
        <v>884.56</v>
      </c>
      <c r="N1177" s="85">
        <v>0</v>
      </c>
      <c r="O1177" s="85">
        <v>44.23</v>
      </c>
      <c r="P1177" s="85">
        <v>928.79</v>
      </c>
      <c r="Q1177" s="85">
        <v>928.79</v>
      </c>
      <c r="R1177" s="82" t="s">
        <v>3399</v>
      </c>
      <c r="S1177" s="7">
        <f t="shared" si="55"/>
        <v>0</v>
      </c>
      <c r="T1177" s="6">
        <f t="shared" si="56"/>
        <v>0</v>
      </c>
      <c r="U1177" s="25">
        <f t="shared" si="54"/>
        <v>0</v>
      </c>
    </row>
    <row r="1178" spans="1:21" ht="10.9" customHeight="1" x14ac:dyDescent="0.2">
      <c r="A1178" s="82" t="s">
        <v>2801</v>
      </c>
      <c r="B1178" s="83">
        <v>45806</v>
      </c>
      <c r="C1178" s="82" t="s">
        <v>3395</v>
      </c>
      <c r="D1178" s="82" t="s">
        <v>1339</v>
      </c>
      <c r="E1178" s="82"/>
      <c r="F1178" s="82" t="s">
        <v>5396</v>
      </c>
      <c r="G1178" s="89">
        <v>1</v>
      </c>
      <c r="H1178" s="89">
        <v>9853.42</v>
      </c>
      <c r="I1178" s="85">
        <v>0</v>
      </c>
      <c r="J1178" s="85">
        <v>0</v>
      </c>
      <c r="K1178" s="85">
        <v>9853.42</v>
      </c>
      <c r="L1178" s="85">
        <v>10512.11</v>
      </c>
      <c r="M1178" s="89">
        <v>13621.869267148957</v>
      </c>
      <c r="N1178" s="85">
        <v>0</v>
      </c>
      <c r="O1178" s="85">
        <v>0</v>
      </c>
      <c r="P1178" s="85">
        <v>13621.869267148957</v>
      </c>
      <c r="Q1178" s="85">
        <v>14532.475845126792</v>
      </c>
      <c r="R1178" s="82" t="s">
        <v>3399</v>
      </c>
      <c r="S1178" s="7">
        <f t="shared" si="55"/>
        <v>0</v>
      </c>
      <c r="T1178" s="6">
        <f t="shared" si="56"/>
        <v>0</v>
      </c>
      <c r="U1178" s="25">
        <f t="shared" si="54"/>
        <v>0</v>
      </c>
    </row>
    <row r="1179" spans="1:21" ht="10.9" customHeight="1" x14ac:dyDescent="0.2">
      <c r="A1179" s="82" t="s">
        <v>2801</v>
      </c>
      <c r="B1179" s="83">
        <v>45806</v>
      </c>
      <c r="C1179" s="82" t="s">
        <v>3395</v>
      </c>
      <c r="D1179" s="82" t="s">
        <v>1339</v>
      </c>
      <c r="E1179" s="82"/>
      <c r="F1179" s="82" t="s">
        <v>5369</v>
      </c>
      <c r="G1179" s="89">
        <v>1</v>
      </c>
      <c r="H1179" s="89">
        <v>658.69</v>
      </c>
      <c r="I1179" s="85">
        <v>0</v>
      </c>
      <c r="J1179" s="85">
        <v>0</v>
      </c>
      <c r="K1179" s="85">
        <v>658.69</v>
      </c>
      <c r="L1179" s="85">
        <v>10512.11</v>
      </c>
      <c r="M1179" s="89">
        <v>910.60657797783381</v>
      </c>
      <c r="N1179" s="85">
        <v>0</v>
      </c>
      <c r="O1179" s="85">
        <v>0</v>
      </c>
      <c r="P1179" s="85">
        <v>910.60657797783381</v>
      </c>
      <c r="Q1179" s="85">
        <v>14532.475845126792</v>
      </c>
      <c r="R1179" s="82" t="s">
        <v>3399</v>
      </c>
      <c r="S1179" s="7" t="str">
        <f t="shared" si="55"/>
        <v>INV13033</v>
      </c>
      <c r="T1179" s="6">
        <f t="shared" si="56"/>
        <v>1</v>
      </c>
      <c r="U1179" s="25">
        <f t="shared" si="54"/>
        <v>658.69</v>
      </c>
    </row>
    <row r="1180" spans="1:21" ht="10.9" customHeight="1" x14ac:dyDescent="0.2">
      <c r="A1180" s="82" t="s">
        <v>3548</v>
      </c>
      <c r="B1180" s="83">
        <v>45806</v>
      </c>
      <c r="C1180" s="82" t="s">
        <v>3395</v>
      </c>
      <c r="D1180" s="82" t="s">
        <v>3547</v>
      </c>
      <c r="E1180" s="82"/>
      <c r="F1180" s="82" t="s">
        <v>5397</v>
      </c>
      <c r="G1180" s="89">
        <v>1</v>
      </c>
      <c r="H1180" s="89">
        <v>20297.11</v>
      </c>
      <c r="I1180" s="85">
        <v>0</v>
      </c>
      <c r="J1180" s="85">
        <v>2638.62</v>
      </c>
      <c r="K1180" s="85">
        <v>22935.73</v>
      </c>
      <c r="L1180" s="85">
        <v>22935.73</v>
      </c>
      <c r="M1180" s="89">
        <v>20297.11</v>
      </c>
      <c r="N1180" s="85">
        <v>0</v>
      </c>
      <c r="O1180" s="85">
        <v>2638.62</v>
      </c>
      <c r="P1180" s="85">
        <v>22935.73</v>
      </c>
      <c r="Q1180" s="85">
        <v>22935.73</v>
      </c>
      <c r="R1180" s="82" t="s">
        <v>3399</v>
      </c>
      <c r="S1180" s="7">
        <f t="shared" si="55"/>
        <v>0</v>
      </c>
      <c r="T1180" s="6">
        <f t="shared" si="56"/>
        <v>0</v>
      </c>
      <c r="U1180" s="25">
        <f t="shared" si="54"/>
        <v>0</v>
      </c>
    </row>
    <row r="1181" spans="1:21" ht="10.9" customHeight="1" x14ac:dyDescent="0.2">
      <c r="A1181" s="82" t="s">
        <v>3546</v>
      </c>
      <c r="B1181" s="83">
        <v>45807</v>
      </c>
      <c r="C1181" s="82" t="s">
        <v>3395</v>
      </c>
      <c r="D1181" s="82" t="s">
        <v>3545</v>
      </c>
      <c r="E1181" s="82"/>
      <c r="F1181" s="82" t="s">
        <v>5395</v>
      </c>
      <c r="G1181" s="89">
        <v>1</v>
      </c>
      <c r="H1181" s="89">
        <v>14796.5</v>
      </c>
      <c r="I1181" s="85">
        <v>0</v>
      </c>
      <c r="J1181" s="85">
        <v>0</v>
      </c>
      <c r="K1181" s="85">
        <v>14796.5</v>
      </c>
      <c r="L1181" s="85">
        <v>14796.5</v>
      </c>
      <c r="M1181" s="89">
        <v>20330.699335386122</v>
      </c>
      <c r="N1181" s="85">
        <v>0</v>
      </c>
      <c r="O1181" s="85">
        <v>0</v>
      </c>
      <c r="P1181" s="85">
        <v>20330.699335386122</v>
      </c>
      <c r="Q1181" s="85">
        <v>20330.699335386122</v>
      </c>
      <c r="R1181" s="82" t="s">
        <v>3399</v>
      </c>
      <c r="S1181" s="7">
        <f t="shared" si="55"/>
        <v>0</v>
      </c>
      <c r="T1181" s="6">
        <f t="shared" si="56"/>
        <v>0</v>
      </c>
      <c r="U1181" s="25">
        <f t="shared" si="54"/>
        <v>0</v>
      </c>
    </row>
    <row r="1182" spans="1:21" ht="10.9" customHeight="1" x14ac:dyDescent="0.2">
      <c r="A1182" s="82" t="s">
        <v>2405</v>
      </c>
      <c r="B1182" s="83">
        <v>45807</v>
      </c>
      <c r="C1182" s="82" t="s">
        <v>3395</v>
      </c>
      <c r="D1182" s="82" t="s">
        <v>2033</v>
      </c>
      <c r="E1182" s="82"/>
      <c r="F1182" s="82" t="s">
        <v>4737</v>
      </c>
      <c r="G1182" s="89">
        <v>1</v>
      </c>
      <c r="H1182" s="89">
        <v>748.94</v>
      </c>
      <c r="I1182" s="85">
        <v>0</v>
      </c>
      <c r="J1182" s="85">
        <v>0</v>
      </c>
      <c r="K1182" s="85">
        <v>748.94</v>
      </c>
      <c r="L1182" s="85">
        <v>748.94</v>
      </c>
      <c r="M1182" s="89">
        <v>1029.0591667113224</v>
      </c>
      <c r="N1182" s="85">
        <v>0</v>
      </c>
      <c r="O1182" s="85">
        <v>0</v>
      </c>
      <c r="P1182" s="85">
        <v>1029.0591667113224</v>
      </c>
      <c r="Q1182" s="85">
        <v>1029.0591667113224</v>
      </c>
      <c r="R1182" s="82" t="s">
        <v>3399</v>
      </c>
      <c r="S1182" s="7">
        <f t="shared" si="55"/>
        <v>0</v>
      </c>
      <c r="T1182" s="6">
        <f t="shared" si="56"/>
        <v>0</v>
      </c>
      <c r="U1182" s="25">
        <f t="shared" si="54"/>
        <v>0</v>
      </c>
    </row>
    <row r="1183" spans="1:21" ht="10.9" customHeight="1" x14ac:dyDescent="0.2">
      <c r="A1183" s="82" t="s">
        <v>2534</v>
      </c>
      <c r="B1183" s="83">
        <v>45807</v>
      </c>
      <c r="C1183" s="82" t="s">
        <v>3395</v>
      </c>
      <c r="D1183" s="82" t="s">
        <v>1811</v>
      </c>
      <c r="E1183" s="82"/>
      <c r="F1183" s="82" t="s">
        <v>4737</v>
      </c>
      <c r="G1183" s="89">
        <v>2</v>
      </c>
      <c r="H1183" s="89">
        <v>748.94</v>
      </c>
      <c r="I1183" s="85">
        <v>0</v>
      </c>
      <c r="J1183" s="85">
        <v>0</v>
      </c>
      <c r="K1183" s="85">
        <v>1497.88</v>
      </c>
      <c r="L1183" s="85">
        <v>1497.88</v>
      </c>
      <c r="M1183" s="89">
        <v>1029.0591667113224</v>
      </c>
      <c r="N1183" s="85">
        <v>0</v>
      </c>
      <c r="O1183" s="85">
        <v>0</v>
      </c>
      <c r="P1183" s="85">
        <v>2058.1183334226448</v>
      </c>
      <c r="Q1183" s="85">
        <v>2058.1183334226448</v>
      </c>
      <c r="R1183" s="82" t="s">
        <v>3399</v>
      </c>
      <c r="S1183" s="7">
        <f t="shared" si="55"/>
        <v>0</v>
      </c>
      <c r="T1183" s="6">
        <f t="shared" si="56"/>
        <v>0</v>
      </c>
      <c r="U1183" s="25">
        <f t="shared" si="54"/>
        <v>0</v>
      </c>
    </row>
    <row r="1184" spans="1:21" ht="10.9" customHeight="1" x14ac:dyDescent="0.2">
      <c r="A1184" s="82" t="s">
        <v>2756</v>
      </c>
      <c r="B1184" s="83">
        <v>45807</v>
      </c>
      <c r="C1184" s="82" t="s">
        <v>3395</v>
      </c>
      <c r="D1184" s="82" t="s">
        <v>3544</v>
      </c>
      <c r="E1184" s="82"/>
      <c r="F1184" s="82" t="s">
        <v>5394</v>
      </c>
      <c r="G1184" s="89">
        <v>3</v>
      </c>
      <c r="H1184" s="89">
        <v>887.89</v>
      </c>
      <c r="I1184" s="85">
        <v>0</v>
      </c>
      <c r="J1184" s="85">
        <v>0</v>
      </c>
      <c r="K1184" s="85">
        <v>2663.67</v>
      </c>
      <c r="L1184" s="85">
        <v>4353.6099999999997</v>
      </c>
      <c r="M1184" s="89">
        <v>1222.0026259795811</v>
      </c>
      <c r="N1184" s="85">
        <v>0</v>
      </c>
      <c r="O1184" s="85">
        <v>0</v>
      </c>
      <c r="P1184" s="85">
        <v>3666.0078779387436</v>
      </c>
      <c r="Q1184" s="85">
        <v>5991.8715747344431</v>
      </c>
      <c r="R1184" s="82" t="s">
        <v>3399</v>
      </c>
      <c r="S1184" s="7">
        <f t="shared" si="55"/>
        <v>0</v>
      </c>
      <c r="T1184" s="6">
        <f t="shared" si="56"/>
        <v>0</v>
      </c>
      <c r="U1184" s="25">
        <f t="shared" si="54"/>
        <v>0</v>
      </c>
    </row>
    <row r="1185" spans="1:21" ht="10.9" customHeight="1" x14ac:dyDescent="0.2">
      <c r="A1185" s="82" t="s">
        <v>2756</v>
      </c>
      <c r="B1185" s="83">
        <v>45807</v>
      </c>
      <c r="C1185" s="82" t="s">
        <v>3395</v>
      </c>
      <c r="D1185" s="82" t="s">
        <v>3544</v>
      </c>
      <c r="E1185" s="82"/>
      <c r="F1185" s="82" t="s">
        <v>5393</v>
      </c>
      <c r="G1185" s="89">
        <v>30</v>
      </c>
      <c r="H1185" s="89">
        <v>39</v>
      </c>
      <c r="I1185" s="85">
        <v>0</v>
      </c>
      <c r="J1185" s="85">
        <v>0</v>
      </c>
      <c r="K1185" s="85">
        <v>1170</v>
      </c>
      <c r="L1185" s="85">
        <v>4353.6099999999997</v>
      </c>
      <c r="M1185" s="89">
        <v>53.675683263921961</v>
      </c>
      <c r="N1185" s="85">
        <v>0</v>
      </c>
      <c r="O1185" s="85">
        <v>0</v>
      </c>
      <c r="P1185" s="85">
        <v>1610.2704979176588</v>
      </c>
      <c r="Q1185" s="85">
        <v>5991.8715747344431</v>
      </c>
      <c r="R1185" s="82" t="s">
        <v>3399</v>
      </c>
      <c r="S1185" s="7">
        <f t="shared" si="55"/>
        <v>0</v>
      </c>
      <c r="T1185" s="6">
        <f t="shared" si="56"/>
        <v>0</v>
      </c>
      <c r="U1185" s="25">
        <f t="shared" si="54"/>
        <v>0</v>
      </c>
    </row>
    <row r="1186" spans="1:21" ht="10.9" customHeight="1" x14ac:dyDescent="0.2">
      <c r="A1186" s="82" t="s">
        <v>2756</v>
      </c>
      <c r="B1186" s="83">
        <v>45807</v>
      </c>
      <c r="C1186" s="82" t="s">
        <v>3395</v>
      </c>
      <c r="D1186" s="82" t="s">
        <v>3544</v>
      </c>
      <c r="E1186" s="82"/>
      <c r="F1186" s="82" t="s">
        <v>5369</v>
      </c>
      <c r="G1186" s="89">
        <v>1</v>
      </c>
      <c r="H1186" s="89">
        <v>519.94000000000005</v>
      </c>
      <c r="I1186" s="85">
        <v>0</v>
      </c>
      <c r="J1186" s="85">
        <v>0</v>
      </c>
      <c r="K1186" s="85">
        <v>519.94000000000005</v>
      </c>
      <c r="L1186" s="85">
        <v>4353.6099999999997</v>
      </c>
      <c r="M1186" s="89">
        <v>715.59319887804054</v>
      </c>
      <c r="N1186" s="85">
        <v>0</v>
      </c>
      <c r="O1186" s="85">
        <v>0</v>
      </c>
      <c r="P1186" s="85">
        <v>715.59319887804054</v>
      </c>
      <c r="Q1186" s="85">
        <v>5991.8715747344431</v>
      </c>
      <c r="R1186" s="82" t="s">
        <v>3399</v>
      </c>
      <c r="S1186" s="7" t="str">
        <f t="shared" si="55"/>
        <v>INV13037</v>
      </c>
      <c r="T1186" s="6">
        <f t="shared" si="56"/>
        <v>1</v>
      </c>
      <c r="U1186" s="25">
        <f t="shared" si="54"/>
        <v>519.94000000000005</v>
      </c>
    </row>
    <row r="1187" spans="1:21" ht="10.9" customHeight="1" x14ac:dyDescent="0.2">
      <c r="A1187" s="82" t="s">
        <v>3543</v>
      </c>
      <c r="B1187" s="83">
        <v>45807</v>
      </c>
      <c r="C1187" s="82" t="s">
        <v>3395</v>
      </c>
      <c r="D1187" s="82" t="s">
        <v>3542</v>
      </c>
      <c r="E1187" s="82"/>
      <c r="F1187" s="82" t="s">
        <v>4623</v>
      </c>
      <c r="G1187" s="89">
        <v>1</v>
      </c>
      <c r="H1187" s="89">
        <v>890.97</v>
      </c>
      <c r="I1187" s="85">
        <v>0</v>
      </c>
      <c r="J1187" s="85">
        <v>0</v>
      </c>
      <c r="K1187" s="85">
        <v>890.97</v>
      </c>
      <c r="L1187" s="85">
        <v>1806.59</v>
      </c>
      <c r="M1187" s="89">
        <v>1224.2113463892792</v>
      </c>
      <c r="N1187" s="85">
        <v>0</v>
      </c>
      <c r="O1187" s="85">
        <v>0</v>
      </c>
      <c r="P1187" s="85">
        <v>1224.2113463892792</v>
      </c>
      <c r="Q1187" s="85">
        <v>2482.2923064451197</v>
      </c>
      <c r="R1187" s="82" t="s">
        <v>3399</v>
      </c>
      <c r="S1187" s="7">
        <f t="shared" si="55"/>
        <v>0</v>
      </c>
      <c r="T1187" s="6">
        <f t="shared" si="56"/>
        <v>0</v>
      </c>
      <c r="U1187" s="25">
        <f t="shared" si="54"/>
        <v>0</v>
      </c>
    </row>
    <row r="1188" spans="1:21" ht="10.9" customHeight="1" x14ac:dyDescent="0.2">
      <c r="A1188" s="82" t="s">
        <v>3543</v>
      </c>
      <c r="B1188" s="83">
        <v>45807</v>
      </c>
      <c r="C1188" s="82" t="s">
        <v>3395</v>
      </c>
      <c r="D1188" s="82" t="s">
        <v>3542</v>
      </c>
      <c r="E1188" s="82"/>
      <c r="F1188" s="82" t="s">
        <v>4624</v>
      </c>
      <c r="G1188" s="89">
        <v>1</v>
      </c>
      <c r="H1188" s="89">
        <v>915.62</v>
      </c>
      <c r="I1188" s="85">
        <v>0</v>
      </c>
      <c r="J1188" s="85">
        <v>0</v>
      </c>
      <c r="K1188" s="85">
        <v>915.62</v>
      </c>
      <c r="L1188" s="85">
        <v>1806.59</v>
      </c>
      <c r="M1188" s="89">
        <v>1258.0809600558403</v>
      </c>
      <c r="N1188" s="85">
        <v>0</v>
      </c>
      <c r="O1188" s="85">
        <v>0</v>
      </c>
      <c r="P1188" s="85">
        <v>1258.0809600558403</v>
      </c>
      <c r="Q1188" s="85">
        <v>2482.2923064451197</v>
      </c>
      <c r="R1188" s="82" t="s">
        <v>3399</v>
      </c>
      <c r="S1188" s="7">
        <f t="shared" si="55"/>
        <v>0</v>
      </c>
      <c r="T1188" s="6">
        <f t="shared" si="56"/>
        <v>0</v>
      </c>
      <c r="U1188" s="25">
        <f t="shared" si="54"/>
        <v>0</v>
      </c>
    </row>
    <row r="1189" spans="1:21" ht="10.9" customHeight="1" x14ac:dyDescent="0.2">
      <c r="A1189" s="82" t="s">
        <v>2810</v>
      </c>
      <c r="B1189" s="83">
        <v>45807</v>
      </c>
      <c r="C1189" s="82" t="s">
        <v>3395</v>
      </c>
      <c r="D1189" s="82" t="s">
        <v>1324</v>
      </c>
      <c r="E1189" s="82"/>
      <c r="F1189" s="82" t="s">
        <v>4867</v>
      </c>
      <c r="G1189" s="89">
        <v>1</v>
      </c>
      <c r="H1189" s="89">
        <v>2202.98</v>
      </c>
      <c r="I1189" s="85">
        <v>0</v>
      </c>
      <c r="J1189" s="85">
        <v>110.15</v>
      </c>
      <c r="K1189" s="85">
        <v>2313.13</v>
      </c>
      <c r="L1189" s="85">
        <v>2313.13</v>
      </c>
      <c r="M1189" s="89">
        <v>2202.98</v>
      </c>
      <c r="N1189" s="85">
        <v>0</v>
      </c>
      <c r="O1189" s="85">
        <v>110.15</v>
      </c>
      <c r="P1189" s="85">
        <v>2313.13</v>
      </c>
      <c r="Q1189" s="85">
        <v>2313.13</v>
      </c>
      <c r="R1189" s="82" t="s">
        <v>3399</v>
      </c>
      <c r="S1189" s="7">
        <f t="shared" si="55"/>
        <v>0</v>
      </c>
      <c r="T1189" s="6">
        <f t="shared" si="56"/>
        <v>0</v>
      </c>
      <c r="U1189" s="25">
        <f t="shared" si="54"/>
        <v>0</v>
      </c>
    </row>
    <row r="1190" spans="1:21" ht="10.9" customHeight="1" x14ac:dyDescent="0.2">
      <c r="A1190" s="82" t="s">
        <v>2809</v>
      </c>
      <c r="B1190" s="83">
        <v>45807</v>
      </c>
      <c r="C1190" s="82" t="s">
        <v>3395</v>
      </c>
      <c r="D1190" s="82" t="s">
        <v>1326</v>
      </c>
      <c r="E1190" s="82"/>
      <c r="F1190" s="82" t="s">
        <v>4672</v>
      </c>
      <c r="G1190" s="89">
        <v>2</v>
      </c>
      <c r="H1190" s="89">
        <v>44.1</v>
      </c>
      <c r="I1190" s="85">
        <v>0</v>
      </c>
      <c r="J1190" s="85">
        <v>4.41</v>
      </c>
      <c r="K1190" s="85">
        <v>92.61</v>
      </c>
      <c r="L1190" s="85">
        <v>300.67</v>
      </c>
      <c r="M1190" s="89">
        <v>44.1</v>
      </c>
      <c r="N1190" s="85">
        <v>0</v>
      </c>
      <c r="O1190" s="85">
        <v>4.41</v>
      </c>
      <c r="P1190" s="85">
        <v>92.61</v>
      </c>
      <c r="Q1190" s="85">
        <v>300.67</v>
      </c>
      <c r="R1190" s="82" t="s">
        <v>3399</v>
      </c>
      <c r="S1190" s="7">
        <f t="shared" si="55"/>
        <v>0</v>
      </c>
      <c r="T1190" s="6">
        <f t="shared" si="56"/>
        <v>0</v>
      </c>
      <c r="U1190" s="25">
        <f t="shared" si="54"/>
        <v>0</v>
      </c>
    </row>
    <row r="1191" spans="1:21" ht="10.9" customHeight="1" x14ac:dyDescent="0.2">
      <c r="A1191" s="82" t="s">
        <v>2809</v>
      </c>
      <c r="B1191" s="83">
        <v>45807</v>
      </c>
      <c r="C1191" s="82" t="s">
        <v>3395</v>
      </c>
      <c r="D1191" s="82" t="s">
        <v>1326</v>
      </c>
      <c r="E1191" s="82"/>
      <c r="F1191" s="82" t="s">
        <v>4673</v>
      </c>
      <c r="G1191" s="89">
        <v>1</v>
      </c>
      <c r="H1191" s="89">
        <v>154.97</v>
      </c>
      <c r="I1191" s="85">
        <v>0</v>
      </c>
      <c r="J1191" s="85">
        <v>7.75</v>
      </c>
      <c r="K1191" s="85">
        <v>162.72</v>
      </c>
      <c r="L1191" s="85">
        <v>300.67</v>
      </c>
      <c r="M1191" s="89">
        <v>154.97</v>
      </c>
      <c r="N1191" s="85">
        <v>0</v>
      </c>
      <c r="O1191" s="85">
        <v>7.75</v>
      </c>
      <c r="P1191" s="85">
        <v>162.72</v>
      </c>
      <c r="Q1191" s="85">
        <v>300.67</v>
      </c>
      <c r="R1191" s="82" t="s">
        <v>3399</v>
      </c>
      <c r="S1191" s="7">
        <f t="shared" si="55"/>
        <v>0</v>
      </c>
      <c r="T1191" s="6">
        <f t="shared" si="56"/>
        <v>0</v>
      </c>
      <c r="U1191" s="25">
        <f t="shared" si="54"/>
        <v>0</v>
      </c>
    </row>
    <row r="1192" spans="1:21" ht="10.9" customHeight="1" x14ac:dyDescent="0.2">
      <c r="A1192" s="82" t="s">
        <v>2809</v>
      </c>
      <c r="B1192" s="83">
        <v>45807</v>
      </c>
      <c r="C1192" s="82" t="s">
        <v>3395</v>
      </c>
      <c r="D1192" s="82" t="s">
        <v>1326</v>
      </c>
      <c r="E1192" s="82"/>
      <c r="F1192" s="82" t="s">
        <v>4671</v>
      </c>
      <c r="G1192" s="89">
        <v>2</v>
      </c>
      <c r="H1192" s="89">
        <v>21.59</v>
      </c>
      <c r="I1192" s="85">
        <v>0</v>
      </c>
      <c r="J1192" s="85">
        <v>2.16</v>
      </c>
      <c r="K1192" s="85">
        <v>45.34</v>
      </c>
      <c r="L1192" s="85">
        <v>300.67</v>
      </c>
      <c r="M1192" s="89">
        <v>21.59</v>
      </c>
      <c r="N1192" s="85">
        <v>0</v>
      </c>
      <c r="O1192" s="85">
        <v>2.16</v>
      </c>
      <c r="P1192" s="85">
        <v>45.34</v>
      </c>
      <c r="Q1192" s="85">
        <v>300.67</v>
      </c>
      <c r="R1192" s="82" t="s">
        <v>3399</v>
      </c>
      <c r="S1192" s="7">
        <f t="shared" si="55"/>
        <v>0</v>
      </c>
      <c r="T1192" s="6">
        <f t="shared" si="56"/>
        <v>0</v>
      </c>
      <c r="U1192" s="25">
        <f t="shared" si="54"/>
        <v>0</v>
      </c>
    </row>
    <row r="1193" spans="1:21" ht="10.9" customHeight="1" x14ac:dyDescent="0.2">
      <c r="A1193" s="82" t="s">
        <v>2814</v>
      </c>
      <c r="B1193" s="83">
        <v>45807</v>
      </c>
      <c r="C1193" s="82" t="s">
        <v>3395</v>
      </c>
      <c r="D1193" s="82" t="s">
        <v>1317</v>
      </c>
      <c r="E1193" s="82"/>
      <c r="F1193" s="82" t="s">
        <v>5037</v>
      </c>
      <c r="G1193" s="89">
        <v>1</v>
      </c>
      <c r="H1193" s="89">
        <v>711.25</v>
      </c>
      <c r="I1193" s="85">
        <v>0</v>
      </c>
      <c r="J1193" s="85">
        <v>35.56</v>
      </c>
      <c r="K1193" s="85">
        <v>746.81</v>
      </c>
      <c r="L1193" s="85">
        <v>746.81</v>
      </c>
      <c r="M1193" s="89">
        <v>711.25</v>
      </c>
      <c r="N1193" s="85">
        <v>0</v>
      </c>
      <c r="O1193" s="85">
        <v>35.56</v>
      </c>
      <c r="P1193" s="85">
        <v>746.81</v>
      </c>
      <c r="Q1193" s="85">
        <v>746.81</v>
      </c>
      <c r="R1193" s="82" t="s">
        <v>3399</v>
      </c>
      <c r="S1193" s="7">
        <f t="shared" si="55"/>
        <v>0</v>
      </c>
      <c r="T1193" s="6">
        <f t="shared" si="56"/>
        <v>0</v>
      </c>
      <c r="U1193" s="25">
        <f t="shared" si="54"/>
        <v>0</v>
      </c>
    </row>
    <row r="1194" spans="1:21" ht="10.9" customHeight="1" x14ac:dyDescent="0.2">
      <c r="A1194" s="82" t="s">
        <v>3539</v>
      </c>
      <c r="B1194" s="83">
        <v>45808</v>
      </c>
      <c r="C1194" s="82" t="s">
        <v>3395</v>
      </c>
      <c r="D1194" s="82" t="s">
        <v>3538</v>
      </c>
      <c r="E1194" s="82"/>
      <c r="F1194" s="82" t="s">
        <v>5392</v>
      </c>
      <c r="G1194" s="89">
        <v>1</v>
      </c>
      <c r="H1194" s="89">
        <v>7347.27</v>
      </c>
      <c r="I1194" s="85">
        <v>0</v>
      </c>
      <c r="J1194" s="85">
        <v>0</v>
      </c>
      <c r="K1194" s="85">
        <v>7347.27</v>
      </c>
      <c r="L1194" s="85">
        <v>7347.27</v>
      </c>
      <c r="M1194" s="89">
        <v>10094.996929156254</v>
      </c>
      <c r="N1194" s="85">
        <v>0</v>
      </c>
      <c r="O1194" s="85">
        <v>0</v>
      </c>
      <c r="P1194" s="85">
        <v>10094.996929156254</v>
      </c>
      <c r="Q1194" s="85">
        <v>10094.996929156254</v>
      </c>
      <c r="R1194" s="82" t="s">
        <v>3396</v>
      </c>
      <c r="S1194" s="7">
        <f t="shared" si="55"/>
        <v>0</v>
      </c>
      <c r="T1194" s="6">
        <f t="shared" si="56"/>
        <v>0</v>
      </c>
      <c r="U1194" s="25">
        <f t="shared" si="54"/>
        <v>0</v>
      </c>
    </row>
    <row r="1195" spans="1:21" ht="10.9" customHeight="1" x14ac:dyDescent="0.2">
      <c r="A1195" s="82" t="s">
        <v>3541</v>
      </c>
      <c r="B1195" s="83">
        <v>45808</v>
      </c>
      <c r="C1195" s="82" t="s">
        <v>3395</v>
      </c>
      <c r="D1195" s="82" t="s">
        <v>3540</v>
      </c>
      <c r="E1195" s="82"/>
      <c r="F1195" s="82" t="s">
        <v>4789</v>
      </c>
      <c r="G1195" s="89">
        <v>1</v>
      </c>
      <c r="H1195" s="89">
        <v>10950.53</v>
      </c>
      <c r="I1195" s="85">
        <v>0</v>
      </c>
      <c r="J1195" s="85">
        <v>0</v>
      </c>
      <c r="K1195" s="85">
        <v>10950.53</v>
      </c>
      <c r="L1195" s="85">
        <v>10710.57</v>
      </c>
      <c r="M1195" s="89">
        <v>10950.53</v>
      </c>
      <c r="N1195" s="85">
        <v>0</v>
      </c>
      <c r="O1195" s="85">
        <v>0</v>
      </c>
      <c r="P1195" s="85">
        <v>10950.53</v>
      </c>
      <c r="Q1195" s="85">
        <v>10710.57</v>
      </c>
      <c r="R1195" s="82" t="s">
        <v>3399</v>
      </c>
      <c r="S1195" s="7">
        <f t="shared" si="55"/>
        <v>0</v>
      </c>
      <c r="T1195" s="6">
        <f t="shared" si="56"/>
        <v>0</v>
      </c>
      <c r="U1195" s="25">
        <f t="shared" si="54"/>
        <v>0</v>
      </c>
    </row>
    <row r="1196" spans="1:21" ht="10.9" customHeight="1" x14ac:dyDescent="0.2">
      <c r="A1196" s="82" t="s">
        <v>3541</v>
      </c>
      <c r="B1196" s="83">
        <v>45808</v>
      </c>
      <c r="C1196" s="82" t="s">
        <v>3395</v>
      </c>
      <c r="D1196" s="82" t="s">
        <v>3540</v>
      </c>
      <c r="E1196" s="82"/>
      <c r="F1196" s="82" t="s">
        <v>4788</v>
      </c>
      <c r="G1196" s="89">
        <v>1</v>
      </c>
      <c r="H1196" s="89">
        <v>228.27</v>
      </c>
      <c r="I1196" s="85">
        <v>0</v>
      </c>
      <c r="J1196" s="85">
        <v>0</v>
      </c>
      <c r="K1196" s="85">
        <v>-228.27</v>
      </c>
      <c r="L1196" s="85">
        <v>10710.57</v>
      </c>
      <c r="M1196" s="89">
        <v>228.27</v>
      </c>
      <c r="N1196" s="85">
        <v>0</v>
      </c>
      <c r="O1196" s="85">
        <v>0</v>
      </c>
      <c r="P1196" s="85">
        <v>-228.27</v>
      </c>
      <c r="Q1196" s="85">
        <v>10710.57</v>
      </c>
      <c r="R1196" s="82" t="s">
        <v>3399</v>
      </c>
      <c r="S1196" s="7">
        <f t="shared" si="55"/>
        <v>0</v>
      </c>
      <c r="T1196" s="6">
        <f t="shared" si="56"/>
        <v>0</v>
      </c>
      <c r="U1196" s="25">
        <f t="shared" si="54"/>
        <v>0</v>
      </c>
    </row>
    <row r="1197" spans="1:21" ht="10.9" customHeight="1" x14ac:dyDescent="0.2">
      <c r="A1197" s="82" t="s">
        <v>3541</v>
      </c>
      <c r="B1197" s="83">
        <v>45808</v>
      </c>
      <c r="C1197" s="82" t="s">
        <v>3395</v>
      </c>
      <c r="D1197" s="82" t="s">
        <v>3540</v>
      </c>
      <c r="E1197" s="82"/>
      <c r="F1197" s="82" t="s">
        <v>4787</v>
      </c>
      <c r="G1197" s="89">
        <v>1</v>
      </c>
      <c r="H1197" s="89">
        <v>11.69</v>
      </c>
      <c r="I1197" s="85">
        <v>0</v>
      </c>
      <c r="J1197" s="85">
        <v>0</v>
      </c>
      <c r="K1197" s="85">
        <v>-11.69</v>
      </c>
      <c r="L1197" s="85">
        <v>10710.57</v>
      </c>
      <c r="M1197" s="89">
        <v>11.69</v>
      </c>
      <c r="N1197" s="85">
        <v>0</v>
      </c>
      <c r="O1197" s="85">
        <v>0</v>
      </c>
      <c r="P1197" s="85">
        <v>-11.69</v>
      </c>
      <c r="Q1197" s="85">
        <v>10710.57</v>
      </c>
      <c r="R1197" s="82" t="s">
        <v>3399</v>
      </c>
      <c r="S1197" s="7">
        <f t="shared" si="55"/>
        <v>0</v>
      </c>
      <c r="T1197" s="6">
        <f t="shared" si="56"/>
        <v>0</v>
      </c>
      <c r="U1197" s="25">
        <f t="shared" si="54"/>
        <v>0</v>
      </c>
    </row>
    <row r="1198" spans="1:21" ht="31.7" customHeight="1" x14ac:dyDescent="0.2">
      <c r="A1198" s="82" t="s">
        <v>5385</v>
      </c>
      <c r="B1198" s="83">
        <v>45810</v>
      </c>
      <c r="C1198" s="82" t="s">
        <v>3395</v>
      </c>
      <c r="D1198" s="82" t="s">
        <v>3512</v>
      </c>
      <c r="E1198" s="82"/>
      <c r="F1198" s="90" t="s">
        <v>5280</v>
      </c>
      <c r="G1198" s="89">
        <v>2</v>
      </c>
      <c r="H1198" s="89">
        <v>4226.24</v>
      </c>
      <c r="I1198" s="85">
        <v>0</v>
      </c>
      <c r="J1198" s="85">
        <v>0</v>
      </c>
      <c r="K1198" s="85">
        <v>8452.48</v>
      </c>
      <c r="L1198" s="85">
        <v>20808.13</v>
      </c>
      <c r="M1198" s="89">
        <v>5797.3431952987394</v>
      </c>
      <c r="N1198" s="85">
        <v>0</v>
      </c>
      <c r="O1198" s="85">
        <v>0</v>
      </c>
      <c r="P1198" s="85">
        <v>11594.686390597479</v>
      </c>
      <c r="Q1198" s="85">
        <v>28543.544820547711</v>
      </c>
      <c r="R1198" s="82" t="s">
        <v>4515</v>
      </c>
      <c r="S1198" s="7">
        <f t="shared" si="55"/>
        <v>0</v>
      </c>
      <c r="T1198" s="6">
        <f t="shared" si="56"/>
        <v>0</v>
      </c>
      <c r="U1198" s="25">
        <f t="shared" si="54"/>
        <v>0</v>
      </c>
    </row>
    <row r="1199" spans="1:21" ht="31.7" customHeight="1" x14ac:dyDescent="0.2">
      <c r="A1199" s="82" t="s">
        <v>5385</v>
      </c>
      <c r="B1199" s="83">
        <v>45810</v>
      </c>
      <c r="C1199" s="82" t="s">
        <v>3395</v>
      </c>
      <c r="D1199" s="82" t="s">
        <v>3512</v>
      </c>
      <c r="E1199" s="82"/>
      <c r="F1199" s="90" t="s">
        <v>5286</v>
      </c>
      <c r="G1199" s="89">
        <v>2</v>
      </c>
      <c r="H1199" s="89">
        <v>1316.97</v>
      </c>
      <c r="I1199" s="85">
        <v>0</v>
      </c>
      <c r="J1199" s="85">
        <v>0</v>
      </c>
      <c r="K1199" s="85">
        <v>2633.94</v>
      </c>
      <c r="L1199" s="85">
        <v>20808.13</v>
      </c>
      <c r="M1199" s="89">
        <v>1806.5531223765288</v>
      </c>
      <c r="N1199" s="85">
        <v>0</v>
      </c>
      <c r="O1199" s="85">
        <v>0</v>
      </c>
      <c r="P1199" s="85">
        <v>3613.1062447530576</v>
      </c>
      <c r="Q1199" s="85">
        <v>28543.544820547711</v>
      </c>
      <c r="R1199" s="82" t="s">
        <v>4515</v>
      </c>
      <c r="S1199" s="7">
        <f t="shared" si="55"/>
        <v>0</v>
      </c>
      <c r="T1199" s="6">
        <f t="shared" si="56"/>
        <v>0</v>
      </c>
      <c r="U1199" s="25">
        <f t="shared" si="54"/>
        <v>0</v>
      </c>
    </row>
    <row r="1200" spans="1:21" ht="31.7" customHeight="1" x14ac:dyDescent="0.2">
      <c r="A1200" s="82" t="s">
        <v>5385</v>
      </c>
      <c r="B1200" s="83">
        <v>45810</v>
      </c>
      <c r="C1200" s="82" t="s">
        <v>3395</v>
      </c>
      <c r="D1200" s="82" t="s">
        <v>3512</v>
      </c>
      <c r="E1200" s="82"/>
      <c r="F1200" s="90" t="s">
        <v>5391</v>
      </c>
      <c r="G1200" s="89">
        <v>2</v>
      </c>
      <c r="H1200" s="89">
        <v>1996.17</v>
      </c>
      <c r="I1200" s="85">
        <v>0</v>
      </c>
      <c r="J1200" s="85">
        <v>0</v>
      </c>
      <c r="K1200" s="85">
        <v>3992.34</v>
      </c>
      <c r="L1200" s="85">
        <v>20808.13</v>
      </c>
      <c r="M1200" s="89">
        <v>2738.2454773414393</v>
      </c>
      <c r="N1200" s="85">
        <v>0</v>
      </c>
      <c r="O1200" s="85">
        <v>0</v>
      </c>
      <c r="P1200" s="85">
        <v>5476.4909546828785</v>
      </c>
      <c r="Q1200" s="85">
        <v>28543.544820547711</v>
      </c>
      <c r="R1200" s="82" t="s">
        <v>4515</v>
      </c>
      <c r="S1200" s="7">
        <f t="shared" si="55"/>
        <v>0</v>
      </c>
      <c r="T1200" s="6">
        <f t="shared" si="56"/>
        <v>0</v>
      </c>
      <c r="U1200" s="25">
        <f t="shared" si="54"/>
        <v>0</v>
      </c>
    </row>
    <row r="1201" spans="1:21" ht="21.4" customHeight="1" x14ac:dyDescent="0.2">
      <c r="A1201" s="82" t="s">
        <v>5385</v>
      </c>
      <c r="B1201" s="83">
        <v>45810</v>
      </c>
      <c r="C1201" s="82" t="s">
        <v>3395</v>
      </c>
      <c r="D1201" s="82" t="s">
        <v>3512</v>
      </c>
      <c r="E1201" s="82"/>
      <c r="F1201" s="90" t="s">
        <v>5390</v>
      </c>
      <c r="G1201" s="89">
        <v>3</v>
      </c>
      <c r="H1201" s="89">
        <v>116.45</v>
      </c>
      <c r="I1201" s="85">
        <v>0</v>
      </c>
      <c r="J1201" s="85">
        <v>0</v>
      </c>
      <c r="K1201" s="85">
        <v>349.35</v>
      </c>
      <c r="L1201" s="85">
        <v>20808.13</v>
      </c>
      <c r="M1201" s="89">
        <v>159.74024548831542</v>
      </c>
      <c r="N1201" s="85">
        <v>0</v>
      </c>
      <c r="O1201" s="85">
        <v>0</v>
      </c>
      <c r="P1201" s="85">
        <v>479.2207364649463</v>
      </c>
      <c r="Q1201" s="85">
        <v>28543.544820547711</v>
      </c>
      <c r="R1201" s="82" t="s">
        <v>4515</v>
      </c>
      <c r="S1201" s="7">
        <f t="shared" si="55"/>
        <v>0</v>
      </c>
      <c r="T1201" s="6">
        <f t="shared" si="56"/>
        <v>0</v>
      </c>
      <c r="U1201" s="25">
        <f t="shared" si="54"/>
        <v>0</v>
      </c>
    </row>
    <row r="1202" spans="1:21" ht="21.4" customHeight="1" x14ac:dyDescent="0.2">
      <c r="A1202" s="82" t="s">
        <v>5385</v>
      </c>
      <c r="B1202" s="83">
        <v>45810</v>
      </c>
      <c r="C1202" s="82" t="s">
        <v>3395</v>
      </c>
      <c r="D1202" s="82" t="s">
        <v>3512</v>
      </c>
      <c r="E1202" s="82"/>
      <c r="F1202" s="90" t="s">
        <v>5284</v>
      </c>
      <c r="G1202" s="89">
        <v>3</v>
      </c>
      <c r="H1202" s="89">
        <v>91.82</v>
      </c>
      <c r="I1202" s="85">
        <v>0</v>
      </c>
      <c r="J1202" s="85">
        <v>0</v>
      </c>
      <c r="K1202" s="85">
        <v>275.45999999999998</v>
      </c>
      <c r="L1202" s="85">
        <v>20808.13</v>
      </c>
      <c r="M1202" s="89">
        <v>125.95405187408436</v>
      </c>
      <c r="N1202" s="85">
        <v>0</v>
      </c>
      <c r="O1202" s="85">
        <v>0</v>
      </c>
      <c r="P1202" s="85">
        <v>377.86215562225306</v>
      </c>
      <c r="Q1202" s="85">
        <v>28543.544820547711</v>
      </c>
      <c r="R1202" s="82" t="s">
        <v>4515</v>
      </c>
      <c r="S1202" s="7">
        <f t="shared" si="55"/>
        <v>0</v>
      </c>
      <c r="T1202" s="6">
        <f t="shared" si="56"/>
        <v>0</v>
      </c>
      <c r="U1202" s="25">
        <f t="shared" si="54"/>
        <v>0</v>
      </c>
    </row>
    <row r="1203" spans="1:21" ht="10.9" customHeight="1" x14ac:dyDescent="0.2">
      <c r="A1203" s="82" t="s">
        <v>5385</v>
      </c>
      <c r="B1203" s="83">
        <v>45810</v>
      </c>
      <c r="C1203" s="82" t="s">
        <v>3395</v>
      </c>
      <c r="D1203" s="82" t="s">
        <v>3512</v>
      </c>
      <c r="E1203" s="82"/>
      <c r="F1203" s="82" t="s">
        <v>5273</v>
      </c>
      <c r="G1203" s="89">
        <v>1</v>
      </c>
      <c r="H1203" s="89">
        <v>259.88</v>
      </c>
      <c r="I1203" s="85">
        <v>0</v>
      </c>
      <c r="J1203" s="85">
        <v>0</v>
      </c>
      <c r="K1203" s="85">
        <v>259.88</v>
      </c>
      <c r="L1203" s="85">
        <v>20808.13</v>
      </c>
      <c r="M1203" s="89">
        <v>356.49029624305211</v>
      </c>
      <c r="N1203" s="85">
        <v>0</v>
      </c>
      <c r="O1203" s="85">
        <v>0</v>
      </c>
      <c r="P1203" s="85">
        <v>356.49029624305211</v>
      </c>
      <c r="Q1203" s="85">
        <v>28543.544820547711</v>
      </c>
      <c r="R1203" s="82" t="s">
        <v>4515</v>
      </c>
      <c r="S1203" s="7">
        <f t="shared" si="55"/>
        <v>0</v>
      </c>
      <c r="T1203" s="6">
        <f t="shared" si="56"/>
        <v>0</v>
      </c>
      <c r="U1203" s="25">
        <f t="shared" si="54"/>
        <v>0</v>
      </c>
    </row>
    <row r="1204" spans="1:21" ht="21.4" customHeight="1" x14ac:dyDescent="0.2">
      <c r="A1204" s="82" t="s">
        <v>5385</v>
      </c>
      <c r="B1204" s="83">
        <v>45810</v>
      </c>
      <c r="C1204" s="82" t="s">
        <v>3395</v>
      </c>
      <c r="D1204" s="82" t="s">
        <v>3512</v>
      </c>
      <c r="E1204" s="82"/>
      <c r="F1204" s="90" t="s">
        <v>5389</v>
      </c>
      <c r="G1204" s="89">
        <v>3</v>
      </c>
      <c r="H1204" s="89">
        <v>474.58</v>
      </c>
      <c r="I1204" s="85">
        <v>0</v>
      </c>
      <c r="J1204" s="85">
        <v>0</v>
      </c>
      <c r="K1204" s="85">
        <v>1423.74</v>
      </c>
      <c r="L1204" s="85">
        <v>20808.13</v>
      </c>
      <c r="M1204" s="89">
        <v>651.00494378569977</v>
      </c>
      <c r="N1204" s="85">
        <v>0</v>
      </c>
      <c r="O1204" s="85">
        <v>0</v>
      </c>
      <c r="P1204" s="85">
        <v>1953.0148313570994</v>
      </c>
      <c r="Q1204" s="85">
        <v>28543.544820547711</v>
      </c>
      <c r="R1204" s="82" t="s">
        <v>4515</v>
      </c>
      <c r="S1204" s="7">
        <f t="shared" si="55"/>
        <v>0</v>
      </c>
      <c r="T1204" s="6">
        <f t="shared" si="56"/>
        <v>0</v>
      </c>
      <c r="U1204" s="25">
        <f t="shared" si="54"/>
        <v>0</v>
      </c>
    </row>
    <row r="1205" spans="1:21" ht="21.4" customHeight="1" x14ac:dyDescent="0.2">
      <c r="A1205" s="82" t="s">
        <v>5385</v>
      </c>
      <c r="B1205" s="83">
        <v>45810</v>
      </c>
      <c r="C1205" s="82" t="s">
        <v>3395</v>
      </c>
      <c r="D1205" s="82" t="s">
        <v>3512</v>
      </c>
      <c r="E1205" s="82"/>
      <c r="F1205" s="90" t="s">
        <v>5287</v>
      </c>
      <c r="G1205" s="89">
        <v>1</v>
      </c>
      <c r="H1205" s="89">
        <v>24.49</v>
      </c>
      <c r="I1205" s="85">
        <v>0</v>
      </c>
      <c r="J1205" s="85">
        <v>0</v>
      </c>
      <c r="K1205" s="85">
        <v>24.49</v>
      </c>
      <c r="L1205" s="85">
        <v>20808.13</v>
      </c>
      <c r="M1205" s="89">
        <v>33.594148664738903</v>
      </c>
      <c r="N1205" s="85">
        <v>0</v>
      </c>
      <c r="O1205" s="85">
        <v>0</v>
      </c>
      <c r="P1205" s="85">
        <v>33.594148664738903</v>
      </c>
      <c r="Q1205" s="85">
        <v>28543.544820547711</v>
      </c>
      <c r="R1205" s="82" t="s">
        <v>4515</v>
      </c>
      <c r="S1205" s="7">
        <f t="shared" si="55"/>
        <v>0</v>
      </c>
      <c r="T1205" s="6">
        <f t="shared" si="56"/>
        <v>0</v>
      </c>
      <c r="U1205" s="25">
        <f t="shared" si="54"/>
        <v>0</v>
      </c>
    </row>
    <row r="1206" spans="1:21" ht="21.4" customHeight="1" x14ac:dyDescent="0.2">
      <c r="A1206" s="82" t="s">
        <v>5385</v>
      </c>
      <c r="B1206" s="83">
        <v>45810</v>
      </c>
      <c r="C1206" s="82" t="s">
        <v>3395</v>
      </c>
      <c r="D1206" s="82" t="s">
        <v>3512</v>
      </c>
      <c r="E1206" s="82"/>
      <c r="F1206" s="90" t="s">
        <v>5388</v>
      </c>
      <c r="G1206" s="89">
        <v>2</v>
      </c>
      <c r="H1206" s="89">
        <v>648.91999999999996</v>
      </c>
      <c r="I1206" s="85">
        <v>0</v>
      </c>
      <c r="J1206" s="85">
        <v>0</v>
      </c>
      <c r="K1206" s="85">
        <v>1297.8399999999999</v>
      </c>
      <c r="L1206" s="85">
        <v>20808.13</v>
      </c>
      <c r="M1206" s="89">
        <v>890.15577588903091</v>
      </c>
      <c r="N1206" s="85">
        <v>0</v>
      </c>
      <c r="O1206" s="85">
        <v>0</v>
      </c>
      <c r="P1206" s="85">
        <v>1780.3115517780618</v>
      </c>
      <c r="Q1206" s="85">
        <v>28543.544820547711</v>
      </c>
      <c r="R1206" s="82" t="s">
        <v>4515</v>
      </c>
      <c r="S1206" s="7">
        <f t="shared" si="55"/>
        <v>0</v>
      </c>
      <c r="T1206" s="6">
        <f t="shared" si="56"/>
        <v>0</v>
      </c>
      <c r="U1206" s="25">
        <f t="shared" si="54"/>
        <v>0</v>
      </c>
    </row>
    <row r="1207" spans="1:21" ht="10.9" customHeight="1" x14ac:dyDescent="0.2">
      <c r="A1207" s="82" t="s">
        <v>5385</v>
      </c>
      <c r="B1207" s="83">
        <v>45810</v>
      </c>
      <c r="C1207" s="82" t="s">
        <v>3395</v>
      </c>
      <c r="D1207" s="82" t="s">
        <v>3512</v>
      </c>
      <c r="E1207" s="82"/>
      <c r="F1207" s="82" t="s">
        <v>5277</v>
      </c>
      <c r="G1207" s="89">
        <v>1</v>
      </c>
      <c r="H1207" s="89">
        <v>371.92</v>
      </c>
      <c r="I1207" s="85">
        <v>0</v>
      </c>
      <c r="J1207" s="85">
        <v>0</v>
      </c>
      <c r="K1207" s="85">
        <v>371.92</v>
      </c>
      <c r="L1207" s="85">
        <v>20808.13</v>
      </c>
      <c r="M1207" s="89">
        <v>510.18112582236392</v>
      </c>
      <c r="N1207" s="85">
        <v>0</v>
      </c>
      <c r="O1207" s="85">
        <v>0</v>
      </c>
      <c r="P1207" s="85">
        <v>510.18112582236392</v>
      </c>
      <c r="Q1207" s="85">
        <v>28543.544820547711</v>
      </c>
      <c r="R1207" s="82" t="s">
        <v>4515</v>
      </c>
      <c r="S1207" s="7">
        <f t="shared" si="55"/>
        <v>0</v>
      </c>
      <c r="T1207" s="6">
        <f t="shared" si="56"/>
        <v>0</v>
      </c>
      <c r="U1207" s="25">
        <f t="shared" si="54"/>
        <v>0</v>
      </c>
    </row>
    <row r="1208" spans="1:21" ht="10.9" customHeight="1" x14ac:dyDescent="0.2">
      <c r="A1208" s="82" t="s">
        <v>5385</v>
      </c>
      <c r="B1208" s="83">
        <v>45810</v>
      </c>
      <c r="C1208" s="82" t="s">
        <v>3395</v>
      </c>
      <c r="D1208" s="82" t="s">
        <v>3512</v>
      </c>
      <c r="E1208" s="82"/>
      <c r="F1208" s="82" t="s">
        <v>5387</v>
      </c>
      <c r="G1208" s="89">
        <v>3</v>
      </c>
      <c r="H1208" s="89">
        <v>14.25</v>
      </c>
      <c r="I1208" s="85">
        <v>0</v>
      </c>
      <c r="J1208" s="85">
        <v>0</v>
      </c>
      <c r="K1208" s="85">
        <v>42.75</v>
      </c>
      <c r="L1208" s="85">
        <v>20808.13</v>
      </c>
      <c r="M1208" s="89">
        <v>19.54743235902529</v>
      </c>
      <c r="N1208" s="85">
        <v>0</v>
      </c>
      <c r="O1208" s="85">
        <v>0</v>
      </c>
      <c r="P1208" s="85">
        <v>58.642297077075867</v>
      </c>
      <c r="Q1208" s="85">
        <v>28543.544820547711</v>
      </c>
      <c r="R1208" s="82" t="s">
        <v>4515</v>
      </c>
      <c r="S1208" s="7">
        <f t="shared" si="55"/>
        <v>0</v>
      </c>
      <c r="T1208" s="6">
        <f t="shared" si="56"/>
        <v>0</v>
      </c>
      <c r="U1208" s="25">
        <f t="shared" si="54"/>
        <v>0</v>
      </c>
    </row>
    <row r="1209" spans="1:21" ht="21.4" customHeight="1" x14ac:dyDescent="0.2">
      <c r="A1209" s="82" t="s">
        <v>5385</v>
      </c>
      <c r="B1209" s="83">
        <v>45810</v>
      </c>
      <c r="C1209" s="82" t="s">
        <v>3395</v>
      </c>
      <c r="D1209" s="82" t="s">
        <v>3512</v>
      </c>
      <c r="E1209" s="82"/>
      <c r="F1209" s="90" t="s">
        <v>5386</v>
      </c>
      <c r="G1209" s="89">
        <v>3</v>
      </c>
      <c r="H1209" s="89">
        <v>224.89</v>
      </c>
      <c r="I1209" s="85">
        <v>0</v>
      </c>
      <c r="J1209" s="85">
        <v>0</v>
      </c>
      <c r="K1209" s="85">
        <v>674.67</v>
      </c>
      <c r="L1209" s="85">
        <v>20808.13</v>
      </c>
      <c r="M1209" s="89">
        <v>308.49277636639982</v>
      </c>
      <c r="N1209" s="85">
        <v>0</v>
      </c>
      <c r="O1209" s="85">
        <v>0</v>
      </c>
      <c r="P1209" s="85">
        <v>925.47832909919941</v>
      </c>
      <c r="Q1209" s="85">
        <v>28543.544820547711</v>
      </c>
      <c r="R1209" s="82" t="s">
        <v>4515</v>
      </c>
      <c r="S1209" s="7">
        <f t="shared" si="55"/>
        <v>0</v>
      </c>
      <c r="T1209" s="6">
        <f t="shared" si="56"/>
        <v>0</v>
      </c>
      <c r="U1209" s="25">
        <f t="shared" si="54"/>
        <v>0</v>
      </c>
    </row>
    <row r="1210" spans="1:21" ht="21.4" customHeight="1" x14ac:dyDescent="0.2">
      <c r="A1210" s="82" t="s">
        <v>5385</v>
      </c>
      <c r="B1210" s="83">
        <v>45810</v>
      </c>
      <c r="C1210" s="82" t="s">
        <v>3395</v>
      </c>
      <c r="D1210" s="82" t="s">
        <v>3512</v>
      </c>
      <c r="E1210" s="82"/>
      <c r="F1210" s="90" t="s">
        <v>5282</v>
      </c>
      <c r="G1210" s="89">
        <v>8</v>
      </c>
      <c r="H1210" s="89">
        <v>43.88</v>
      </c>
      <c r="I1210" s="85">
        <v>0</v>
      </c>
      <c r="J1210" s="85">
        <v>0</v>
      </c>
      <c r="K1210" s="85">
        <v>351.04</v>
      </c>
      <c r="L1210" s="85">
        <v>20808.13</v>
      </c>
      <c r="M1210" s="89">
        <v>60.192374169405596</v>
      </c>
      <c r="N1210" s="85">
        <v>0</v>
      </c>
      <c r="O1210" s="85">
        <v>0</v>
      </c>
      <c r="P1210" s="85">
        <v>481.53899335524477</v>
      </c>
      <c r="Q1210" s="85">
        <v>28543.544820547711</v>
      </c>
      <c r="R1210" s="82" t="s">
        <v>4515</v>
      </c>
      <c r="S1210" s="7">
        <f t="shared" si="55"/>
        <v>0</v>
      </c>
      <c r="T1210" s="6">
        <f t="shared" si="56"/>
        <v>0</v>
      </c>
      <c r="U1210" s="25">
        <f t="shared" si="54"/>
        <v>0</v>
      </c>
    </row>
    <row r="1211" spans="1:21" ht="21.4" customHeight="1" x14ac:dyDescent="0.2">
      <c r="A1211" s="82" t="s">
        <v>5385</v>
      </c>
      <c r="B1211" s="83">
        <v>45810</v>
      </c>
      <c r="C1211" s="82" t="s">
        <v>3395</v>
      </c>
      <c r="D1211" s="82" t="s">
        <v>3512</v>
      </c>
      <c r="E1211" s="82"/>
      <c r="F1211" s="90" t="s">
        <v>5272</v>
      </c>
      <c r="G1211" s="89">
        <v>4</v>
      </c>
      <c r="H1211" s="89">
        <v>27.39</v>
      </c>
      <c r="I1211" s="85">
        <v>0</v>
      </c>
      <c r="J1211" s="85">
        <v>0</v>
      </c>
      <c r="K1211" s="85">
        <v>109.56</v>
      </c>
      <c r="L1211" s="85">
        <v>20808.13</v>
      </c>
      <c r="M1211" s="89">
        <v>37.57222261850545</v>
      </c>
      <c r="N1211" s="85">
        <v>0</v>
      </c>
      <c r="O1211" s="85">
        <v>0</v>
      </c>
      <c r="P1211" s="85">
        <v>150.2888904740218</v>
      </c>
      <c r="Q1211" s="85">
        <v>28543.544820547711</v>
      </c>
      <c r="R1211" s="82" t="s">
        <v>4515</v>
      </c>
      <c r="S1211" s="7">
        <f t="shared" si="55"/>
        <v>0</v>
      </c>
      <c r="T1211" s="6">
        <f t="shared" si="56"/>
        <v>0</v>
      </c>
      <c r="U1211" s="25">
        <f t="shared" si="54"/>
        <v>0</v>
      </c>
    </row>
    <row r="1212" spans="1:21" ht="21.4" customHeight="1" x14ac:dyDescent="0.2">
      <c r="A1212" s="82" t="s">
        <v>5385</v>
      </c>
      <c r="B1212" s="83">
        <v>45810</v>
      </c>
      <c r="C1212" s="82" t="s">
        <v>3395</v>
      </c>
      <c r="D1212" s="82" t="s">
        <v>3512</v>
      </c>
      <c r="E1212" s="82"/>
      <c r="F1212" s="90" t="s">
        <v>5285</v>
      </c>
      <c r="G1212" s="89">
        <v>4</v>
      </c>
      <c r="H1212" s="89">
        <v>8.52</v>
      </c>
      <c r="I1212" s="85">
        <v>0</v>
      </c>
      <c r="J1212" s="85">
        <v>0</v>
      </c>
      <c r="K1212" s="85">
        <v>34.08</v>
      </c>
      <c r="L1212" s="85">
        <v>20808.13</v>
      </c>
      <c r="M1212" s="89">
        <v>11.687306926238278</v>
      </c>
      <c r="N1212" s="85">
        <v>0</v>
      </c>
      <c r="O1212" s="85">
        <v>0</v>
      </c>
      <c r="P1212" s="85">
        <v>46.749227704953114</v>
      </c>
      <c r="Q1212" s="85">
        <v>28543.544820547711</v>
      </c>
      <c r="R1212" s="82" t="s">
        <v>4515</v>
      </c>
      <c r="S1212" s="7">
        <f t="shared" si="55"/>
        <v>0</v>
      </c>
      <c r="T1212" s="6">
        <f t="shared" si="56"/>
        <v>0</v>
      </c>
      <c r="U1212" s="25">
        <f t="shared" si="54"/>
        <v>0</v>
      </c>
    </row>
    <row r="1213" spans="1:21" ht="21.4" customHeight="1" x14ac:dyDescent="0.2">
      <c r="A1213" s="82" t="s">
        <v>5385</v>
      </c>
      <c r="B1213" s="83">
        <v>45810</v>
      </c>
      <c r="C1213" s="82" t="s">
        <v>3395</v>
      </c>
      <c r="D1213" s="82" t="s">
        <v>3512</v>
      </c>
      <c r="E1213" s="82"/>
      <c r="F1213" s="90" t="s">
        <v>5289</v>
      </c>
      <c r="G1213" s="89">
        <v>3</v>
      </c>
      <c r="H1213" s="89">
        <v>9.1</v>
      </c>
      <c r="I1213" s="85">
        <v>0</v>
      </c>
      <c r="J1213" s="85">
        <v>0</v>
      </c>
      <c r="K1213" s="85">
        <v>27.3</v>
      </c>
      <c r="L1213" s="85">
        <v>20808.13</v>
      </c>
      <c r="M1213" s="89">
        <v>12.482921716991589</v>
      </c>
      <c r="N1213" s="85">
        <v>0</v>
      </c>
      <c r="O1213" s="85">
        <v>0</v>
      </c>
      <c r="P1213" s="85">
        <v>37.448765150974765</v>
      </c>
      <c r="Q1213" s="85">
        <v>28543.544820547711</v>
      </c>
      <c r="R1213" s="82" t="s">
        <v>4515</v>
      </c>
      <c r="S1213" s="7">
        <f t="shared" si="55"/>
        <v>0</v>
      </c>
      <c r="T1213" s="6">
        <f t="shared" si="56"/>
        <v>0</v>
      </c>
      <c r="U1213" s="25">
        <f t="shared" si="54"/>
        <v>0</v>
      </c>
    </row>
    <row r="1214" spans="1:21" ht="21.4" customHeight="1" x14ac:dyDescent="0.2">
      <c r="A1214" s="82" t="s">
        <v>5385</v>
      </c>
      <c r="B1214" s="83">
        <v>45810</v>
      </c>
      <c r="C1214" s="82" t="s">
        <v>3395</v>
      </c>
      <c r="D1214" s="82" t="s">
        <v>3512</v>
      </c>
      <c r="E1214" s="82"/>
      <c r="F1214" s="90" t="s">
        <v>5291</v>
      </c>
      <c r="G1214" s="89">
        <v>1</v>
      </c>
      <c r="H1214" s="89">
        <v>487.29</v>
      </c>
      <c r="I1214" s="85">
        <v>0</v>
      </c>
      <c r="J1214" s="85">
        <v>0</v>
      </c>
      <c r="K1214" s="85">
        <v>487.29</v>
      </c>
      <c r="L1214" s="85">
        <v>20808.13</v>
      </c>
      <c r="M1214" s="89">
        <v>668.43988170031116</v>
      </c>
      <c r="N1214" s="85">
        <v>0</v>
      </c>
      <c r="O1214" s="85">
        <v>0</v>
      </c>
      <c r="P1214" s="85">
        <v>668.43988170031116</v>
      </c>
      <c r="Q1214" s="85">
        <v>28543.544820547711</v>
      </c>
      <c r="R1214" s="82" t="s">
        <v>4515</v>
      </c>
      <c r="S1214" s="7">
        <f t="shared" si="55"/>
        <v>0</v>
      </c>
      <c r="T1214" s="6">
        <f t="shared" si="56"/>
        <v>0</v>
      </c>
      <c r="U1214" s="25">
        <f t="shared" si="54"/>
        <v>0</v>
      </c>
    </row>
    <row r="1215" spans="1:21" ht="10.9" customHeight="1" x14ac:dyDescent="0.2">
      <c r="A1215" s="82" t="s">
        <v>2815</v>
      </c>
      <c r="B1215" s="83">
        <v>45810</v>
      </c>
      <c r="C1215" s="82" t="s">
        <v>3395</v>
      </c>
      <c r="D1215" s="82" t="s">
        <v>1315</v>
      </c>
      <c r="E1215" s="82"/>
      <c r="F1215" s="82" t="s">
        <v>4621</v>
      </c>
      <c r="G1215" s="89">
        <v>1</v>
      </c>
      <c r="H1215" s="89">
        <v>1863.92</v>
      </c>
      <c r="I1215" s="85">
        <v>0</v>
      </c>
      <c r="J1215" s="85">
        <v>93.2</v>
      </c>
      <c r="K1215" s="85">
        <v>1957.12</v>
      </c>
      <c r="L1215" s="85">
        <v>3553.6</v>
      </c>
      <c r="M1215" s="89">
        <v>1863.92</v>
      </c>
      <c r="N1215" s="85">
        <v>0</v>
      </c>
      <c r="O1215" s="85">
        <v>93.2</v>
      </c>
      <c r="P1215" s="85">
        <v>1957.12</v>
      </c>
      <c r="Q1215" s="85">
        <v>3553.6</v>
      </c>
      <c r="R1215" s="82" t="s">
        <v>3399</v>
      </c>
      <c r="S1215" s="7">
        <f t="shared" si="55"/>
        <v>0</v>
      </c>
      <c r="T1215" s="6">
        <f t="shared" si="56"/>
        <v>0</v>
      </c>
      <c r="U1215" s="25">
        <f t="shared" si="54"/>
        <v>0</v>
      </c>
    </row>
    <row r="1216" spans="1:21" ht="10.9" customHeight="1" x14ac:dyDescent="0.2">
      <c r="A1216" s="82" t="s">
        <v>2815</v>
      </c>
      <c r="B1216" s="83">
        <v>45810</v>
      </c>
      <c r="C1216" s="82" t="s">
        <v>3395</v>
      </c>
      <c r="D1216" s="82" t="s">
        <v>1315</v>
      </c>
      <c r="E1216" s="82"/>
      <c r="F1216" s="82" t="s">
        <v>4620</v>
      </c>
      <c r="G1216" s="89">
        <v>1</v>
      </c>
      <c r="H1216" s="89">
        <v>903.64</v>
      </c>
      <c r="I1216" s="85">
        <v>0</v>
      </c>
      <c r="J1216" s="85">
        <v>45.18</v>
      </c>
      <c r="K1216" s="85">
        <v>948.82</v>
      </c>
      <c r="L1216" s="85">
        <v>3553.6</v>
      </c>
      <c r="M1216" s="89">
        <v>903.64</v>
      </c>
      <c r="N1216" s="85">
        <v>0</v>
      </c>
      <c r="O1216" s="85">
        <v>45.18</v>
      </c>
      <c r="P1216" s="85">
        <v>948.82</v>
      </c>
      <c r="Q1216" s="85">
        <v>3553.6</v>
      </c>
      <c r="R1216" s="82" t="s">
        <v>3399</v>
      </c>
      <c r="S1216" s="7">
        <f t="shared" si="55"/>
        <v>0</v>
      </c>
      <c r="T1216" s="6">
        <f t="shared" si="56"/>
        <v>0</v>
      </c>
      <c r="U1216" s="25">
        <f t="shared" si="54"/>
        <v>0</v>
      </c>
    </row>
    <row r="1217" spans="1:21" ht="10.9" customHeight="1" x14ac:dyDescent="0.2">
      <c r="A1217" s="82" t="s">
        <v>2815</v>
      </c>
      <c r="B1217" s="83">
        <v>45810</v>
      </c>
      <c r="C1217" s="82" t="s">
        <v>3395</v>
      </c>
      <c r="D1217" s="82" t="s">
        <v>1315</v>
      </c>
      <c r="E1217" s="82"/>
      <c r="F1217" s="82" t="s">
        <v>4619</v>
      </c>
      <c r="G1217" s="89">
        <v>1</v>
      </c>
      <c r="H1217" s="89">
        <v>616.82000000000005</v>
      </c>
      <c r="I1217" s="85">
        <v>0</v>
      </c>
      <c r="J1217" s="85">
        <v>30.84</v>
      </c>
      <c r="K1217" s="85">
        <v>647.66</v>
      </c>
      <c r="L1217" s="85">
        <v>3553.6</v>
      </c>
      <c r="M1217" s="89">
        <v>616.82000000000005</v>
      </c>
      <c r="N1217" s="85">
        <v>0</v>
      </c>
      <c r="O1217" s="85">
        <v>30.84</v>
      </c>
      <c r="P1217" s="85">
        <v>647.66</v>
      </c>
      <c r="Q1217" s="85">
        <v>3553.6</v>
      </c>
      <c r="R1217" s="82" t="s">
        <v>3399</v>
      </c>
      <c r="S1217" s="7">
        <f t="shared" si="55"/>
        <v>0</v>
      </c>
      <c r="T1217" s="6">
        <f t="shared" si="56"/>
        <v>0</v>
      </c>
      <c r="U1217" s="25">
        <f t="shared" si="54"/>
        <v>0</v>
      </c>
    </row>
    <row r="1218" spans="1:21" ht="10.9" customHeight="1" x14ac:dyDescent="0.2">
      <c r="A1218" s="82" t="s">
        <v>2804</v>
      </c>
      <c r="B1218" s="83">
        <v>45810</v>
      </c>
      <c r="C1218" s="82" t="s">
        <v>3395</v>
      </c>
      <c r="D1218" s="82" t="s">
        <v>1332</v>
      </c>
      <c r="E1218" s="82"/>
      <c r="F1218" s="82" t="s">
        <v>5384</v>
      </c>
      <c r="G1218" s="89">
        <v>2</v>
      </c>
      <c r="H1218" s="89">
        <v>76.709999999999994</v>
      </c>
      <c r="I1218" s="85">
        <v>0</v>
      </c>
      <c r="J1218" s="85">
        <v>7.67</v>
      </c>
      <c r="K1218" s="85">
        <v>161.09</v>
      </c>
      <c r="L1218" s="85">
        <v>161.09</v>
      </c>
      <c r="M1218" s="89">
        <v>76.709999999999994</v>
      </c>
      <c r="N1218" s="85">
        <v>0</v>
      </c>
      <c r="O1218" s="85">
        <v>7.67</v>
      </c>
      <c r="P1218" s="85">
        <v>161.09</v>
      </c>
      <c r="Q1218" s="85">
        <v>161.09</v>
      </c>
      <c r="R1218" s="82" t="s">
        <v>3399</v>
      </c>
      <c r="S1218" s="7">
        <f t="shared" si="55"/>
        <v>0</v>
      </c>
      <c r="T1218" s="6">
        <f t="shared" si="56"/>
        <v>0</v>
      </c>
      <c r="U1218" s="25">
        <f t="shared" ref="U1218:U1281" si="57">IF(T1218=1,K1218-J1218,0)</f>
        <v>0</v>
      </c>
    </row>
    <row r="1219" spans="1:21" ht="10.9" customHeight="1" x14ac:dyDescent="0.2">
      <c r="A1219" s="82" t="s">
        <v>2818</v>
      </c>
      <c r="B1219" s="83">
        <v>45810</v>
      </c>
      <c r="C1219" s="82" t="s">
        <v>3395</v>
      </c>
      <c r="D1219" s="82" t="s">
        <v>1309</v>
      </c>
      <c r="E1219" s="82"/>
      <c r="F1219" s="82" t="s">
        <v>4612</v>
      </c>
      <c r="G1219" s="89">
        <v>1</v>
      </c>
      <c r="H1219" s="89">
        <v>254.29</v>
      </c>
      <c r="I1219" s="85">
        <v>0</v>
      </c>
      <c r="J1219" s="85">
        <v>12.71</v>
      </c>
      <c r="K1219" s="85">
        <v>267</v>
      </c>
      <c r="L1219" s="85">
        <v>267</v>
      </c>
      <c r="M1219" s="89">
        <v>254.29</v>
      </c>
      <c r="N1219" s="85">
        <v>0</v>
      </c>
      <c r="O1219" s="85">
        <v>12.71</v>
      </c>
      <c r="P1219" s="85">
        <v>267</v>
      </c>
      <c r="Q1219" s="85">
        <v>267</v>
      </c>
      <c r="R1219" s="82" t="s">
        <v>3399</v>
      </c>
      <c r="S1219" s="7">
        <f t="shared" ref="S1219:S1282" si="58">IF(T1219=1,A1219,0)</f>
        <v>0</v>
      </c>
      <c r="T1219" s="6">
        <f t="shared" ref="T1219:T1282" si="59">IFERROR(FIND("Freight",F1219,1),0)</f>
        <v>0</v>
      </c>
      <c r="U1219" s="25">
        <f t="shared" si="57"/>
        <v>0</v>
      </c>
    </row>
    <row r="1220" spans="1:21" ht="10.9" customHeight="1" x14ac:dyDescent="0.2">
      <c r="A1220" s="82" t="s">
        <v>2586</v>
      </c>
      <c r="B1220" s="83">
        <v>45810</v>
      </c>
      <c r="C1220" s="82" t="s">
        <v>3395</v>
      </c>
      <c r="D1220" s="82" t="s">
        <v>1719</v>
      </c>
      <c r="E1220" s="82"/>
      <c r="F1220" s="82" t="s">
        <v>5383</v>
      </c>
      <c r="G1220" s="89">
        <v>1</v>
      </c>
      <c r="H1220" s="89">
        <v>6140.78</v>
      </c>
      <c r="I1220" s="85">
        <v>0</v>
      </c>
      <c r="J1220" s="85">
        <v>798.3</v>
      </c>
      <c r="K1220" s="85">
        <v>6939.08</v>
      </c>
      <c r="L1220" s="85">
        <v>13878.16</v>
      </c>
      <c r="M1220" s="89">
        <v>6140.78</v>
      </c>
      <c r="N1220" s="85">
        <v>0</v>
      </c>
      <c r="O1220" s="85">
        <v>798.3</v>
      </c>
      <c r="P1220" s="85">
        <v>6939.08</v>
      </c>
      <c r="Q1220" s="85">
        <v>13878.16</v>
      </c>
      <c r="R1220" s="82" t="s">
        <v>3399</v>
      </c>
      <c r="S1220" s="7">
        <f t="shared" si="58"/>
        <v>0</v>
      </c>
      <c r="T1220" s="6">
        <f t="shared" si="59"/>
        <v>0</v>
      </c>
      <c r="U1220" s="25">
        <f t="shared" si="57"/>
        <v>0</v>
      </c>
    </row>
    <row r="1221" spans="1:21" ht="10.9" customHeight="1" x14ac:dyDescent="0.2">
      <c r="A1221" s="82" t="s">
        <v>2586</v>
      </c>
      <c r="B1221" s="83">
        <v>45810</v>
      </c>
      <c r="C1221" s="82" t="s">
        <v>3395</v>
      </c>
      <c r="D1221" s="82" t="s">
        <v>1719</v>
      </c>
      <c r="E1221" s="82"/>
      <c r="F1221" s="82" t="s">
        <v>5383</v>
      </c>
      <c r="G1221" s="89">
        <v>1</v>
      </c>
      <c r="H1221" s="89">
        <v>6140.78</v>
      </c>
      <c r="I1221" s="85">
        <v>0</v>
      </c>
      <c r="J1221" s="85">
        <v>798.3</v>
      </c>
      <c r="K1221" s="85">
        <v>6939.08</v>
      </c>
      <c r="L1221" s="85">
        <v>13878.16</v>
      </c>
      <c r="M1221" s="89">
        <v>6140.78</v>
      </c>
      <c r="N1221" s="85">
        <v>0</v>
      </c>
      <c r="O1221" s="85">
        <v>798.3</v>
      </c>
      <c r="P1221" s="85">
        <v>6939.08</v>
      </c>
      <c r="Q1221" s="85">
        <v>13878.16</v>
      </c>
      <c r="R1221" s="82" t="s">
        <v>3399</v>
      </c>
      <c r="S1221" s="7">
        <f t="shared" si="58"/>
        <v>0</v>
      </c>
      <c r="T1221" s="6">
        <f t="shared" si="59"/>
        <v>0</v>
      </c>
      <c r="U1221" s="25">
        <f t="shared" si="57"/>
        <v>0</v>
      </c>
    </row>
    <row r="1222" spans="1:21" ht="10.9" customHeight="1" x14ac:dyDescent="0.2">
      <c r="A1222" s="82" t="s">
        <v>2822</v>
      </c>
      <c r="B1222" s="83">
        <v>45811</v>
      </c>
      <c r="C1222" s="82" t="s">
        <v>3395</v>
      </c>
      <c r="D1222" s="82" t="s">
        <v>3534</v>
      </c>
      <c r="E1222" s="82"/>
      <c r="F1222" s="82" t="s">
        <v>4817</v>
      </c>
      <c r="G1222" s="89">
        <v>1</v>
      </c>
      <c r="H1222" s="89">
        <v>1816.85</v>
      </c>
      <c r="I1222" s="85">
        <v>0</v>
      </c>
      <c r="J1222" s="85">
        <v>0</v>
      </c>
      <c r="K1222" s="85">
        <v>1816.85</v>
      </c>
      <c r="L1222" s="85">
        <v>1948.62</v>
      </c>
      <c r="M1222" s="89">
        <v>2492.2633320347436</v>
      </c>
      <c r="N1222" s="85">
        <v>0</v>
      </c>
      <c r="O1222" s="85">
        <v>0</v>
      </c>
      <c r="P1222" s="85">
        <v>2492.2633320347436</v>
      </c>
      <c r="Q1222" s="85">
        <v>2673.0187819960602</v>
      </c>
      <c r="R1222" s="82" t="s">
        <v>3399</v>
      </c>
      <c r="S1222" s="7">
        <f t="shared" si="58"/>
        <v>0</v>
      </c>
      <c r="T1222" s="6">
        <f t="shared" si="59"/>
        <v>0</v>
      </c>
      <c r="U1222" s="25">
        <f t="shared" si="57"/>
        <v>0</v>
      </c>
    </row>
    <row r="1223" spans="1:21" ht="10.9" customHeight="1" x14ac:dyDescent="0.2">
      <c r="A1223" s="82" t="s">
        <v>2822</v>
      </c>
      <c r="B1223" s="83">
        <v>45811</v>
      </c>
      <c r="C1223" s="82" t="s">
        <v>3395</v>
      </c>
      <c r="D1223" s="82" t="s">
        <v>3534</v>
      </c>
      <c r="E1223" s="82"/>
      <c r="F1223" s="82" t="s">
        <v>5377</v>
      </c>
      <c r="G1223" s="89">
        <v>1</v>
      </c>
      <c r="H1223" s="89">
        <v>131.77000000000001</v>
      </c>
      <c r="I1223" s="85">
        <v>0</v>
      </c>
      <c r="J1223" s="85">
        <v>0</v>
      </c>
      <c r="K1223" s="85">
        <v>131.77000000000001</v>
      </c>
      <c r="L1223" s="85">
        <v>1948.62</v>
      </c>
      <c r="M1223" s="89">
        <v>180.75544996131666</v>
      </c>
      <c r="N1223" s="85">
        <v>0</v>
      </c>
      <c r="O1223" s="85">
        <v>0</v>
      </c>
      <c r="P1223" s="85">
        <v>180.75544996131666</v>
      </c>
      <c r="Q1223" s="85">
        <v>2673.0187819960602</v>
      </c>
      <c r="R1223" s="82" t="s">
        <v>3399</v>
      </c>
      <c r="S1223" s="7" t="str">
        <f t="shared" si="58"/>
        <v>INV13043</v>
      </c>
      <c r="T1223" s="6">
        <f t="shared" si="59"/>
        <v>1</v>
      </c>
      <c r="U1223" s="25">
        <f t="shared" si="57"/>
        <v>131.77000000000001</v>
      </c>
    </row>
    <row r="1224" spans="1:21" ht="10.9" customHeight="1" x14ac:dyDescent="0.2">
      <c r="A1224" s="82" t="s">
        <v>2772</v>
      </c>
      <c r="B1224" s="83">
        <v>45811</v>
      </c>
      <c r="C1224" s="82" t="s">
        <v>3395</v>
      </c>
      <c r="D1224" s="82" t="s">
        <v>1392</v>
      </c>
      <c r="E1224" s="82"/>
      <c r="F1224" s="82" t="s">
        <v>5380</v>
      </c>
      <c r="G1224" s="89">
        <v>3</v>
      </c>
      <c r="H1224" s="89">
        <v>944.11</v>
      </c>
      <c r="I1224" s="85">
        <v>0</v>
      </c>
      <c r="J1224" s="85">
        <v>0</v>
      </c>
      <c r="K1224" s="85">
        <v>2832.33</v>
      </c>
      <c r="L1224" s="85">
        <v>3047.03</v>
      </c>
      <c r="M1224" s="89">
        <v>1295.0825518932888</v>
      </c>
      <c r="N1224" s="85">
        <v>0</v>
      </c>
      <c r="O1224" s="85">
        <v>0</v>
      </c>
      <c r="P1224" s="85">
        <v>3885.2476556798665</v>
      </c>
      <c r="Q1224" s="85">
        <v>4179.7623032225147</v>
      </c>
      <c r="R1224" s="82" t="s">
        <v>3399</v>
      </c>
      <c r="S1224" s="7">
        <f t="shared" si="58"/>
        <v>0</v>
      </c>
      <c r="T1224" s="6">
        <f t="shared" si="59"/>
        <v>0</v>
      </c>
      <c r="U1224" s="25">
        <f t="shared" si="57"/>
        <v>0</v>
      </c>
    </row>
    <row r="1225" spans="1:21" ht="10.9" customHeight="1" x14ac:dyDescent="0.2">
      <c r="A1225" s="82" t="s">
        <v>2772</v>
      </c>
      <c r="B1225" s="83">
        <v>45811</v>
      </c>
      <c r="C1225" s="82" t="s">
        <v>3395</v>
      </c>
      <c r="D1225" s="82" t="s">
        <v>1392</v>
      </c>
      <c r="E1225" s="82"/>
      <c r="F1225" s="82" t="s">
        <v>5378</v>
      </c>
      <c r="G1225" s="89">
        <v>1</v>
      </c>
      <c r="H1225" s="89">
        <v>214.7</v>
      </c>
      <c r="I1225" s="85">
        <v>0</v>
      </c>
      <c r="J1225" s="85">
        <v>0</v>
      </c>
      <c r="K1225" s="85">
        <v>214.7</v>
      </c>
      <c r="L1225" s="85">
        <v>3047.03</v>
      </c>
      <c r="M1225" s="89">
        <v>294.51464754264771</v>
      </c>
      <c r="N1225" s="85">
        <v>0</v>
      </c>
      <c r="O1225" s="85">
        <v>0</v>
      </c>
      <c r="P1225" s="85">
        <v>294.51464754264771</v>
      </c>
      <c r="Q1225" s="85">
        <v>4179.7623032225147</v>
      </c>
      <c r="R1225" s="82" t="s">
        <v>3399</v>
      </c>
      <c r="S1225" s="7" t="str">
        <f t="shared" si="58"/>
        <v>INV13044</v>
      </c>
      <c r="T1225" s="6">
        <f t="shared" si="59"/>
        <v>1</v>
      </c>
      <c r="U1225" s="25">
        <f t="shared" si="57"/>
        <v>214.7</v>
      </c>
    </row>
    <row r="1226" spans="1:21" ht="10.9" customHeight="1" x14ac:dyDescent="0.2">
      <c r="A1226" s="82" t="s">
        <v>2798</v>
      </c>
      <c r="B1226" s="83">
        <v>45811</v>
      </c>
      <c r="C1226" s="82" t="s">
        <v>3395</v>
      </c>
      <c r="D1226" s="82" t="s">
        <v>3533</v>
      </c>
      <c r="E1226" s="82"/>
      <c r="F1226" s="82" t="s">
        <v>4817</v>
      </c>
      <c r="G1226" s="89">
        <v>2</v>
      </c>
      <c r="H1226" s="89">
        <v>1816.85</v>
      </c>
      <c r="I1226" s="85">
        <v>0</v>
      </c>
      <c r="J1226" s="85">
        <v>0</v>
      </c>
      <c r="K1226" s="85">
        <v>3633.7</v>
      </c>
      <c r="L1226" s="85">
        <v>3897.24</v>
      </c>
      <c r="M1226" s="89">
        <v>2492.2633320347436</v>
      </c>
      <c r="N1226" s="85">
        <v>0</v>
      </c>
      <c r="O1226" s="85">
        <v>0</v>
      </c>
      <c r="P1226" s="85">
        <v>4984.5266640694872</v>
      </c>
      <c r="Q1226" s="85">
        <v>5346.0375639921203</v>
      </c>
      <c r="R1226" s="82" t="s">
        <v>3399</v>
      </c>
      <c r="S1226" s="7">
        <f t="shared" si="58"/>
        <v>0</v>
      </c>
      <c r="T1226" s="6">
        <f t="shared" si="59"/>
        <v>0</v>
      </c>
      <c r="U1226" s="25">
        <f t="shared" si="57"/>
        <v>0</v>
      </c>
    </row>
    <row r="1227" spans="1:21" ht="10.9" customHeight="1" x14ac:dyDescent="0.2">
      <c r="A1227" s="82" t="s">
        <v>2798</v>
      </c>
      <c r="B1227" s="83">
        <v>45811</v>
      </c>
      <c r="C1227" s="82" t="s">
        <v>3395</v>
      </c>
      <c r="D1227" s="82" t="s">
        <v>3533</v>
      </c>
      <c r="E1227" s="82"/>
      <c r="F1227" s="82" t="s">
        <v>4885</v>
      </c>
      <c r="G1227" s="89">
        <v>1</v>
      </c>
      <c r="H1227" s="89">
        <v>263.54000000000002</v>
      </c>
      <c r="I1227" s="85">
        <v>0</v>
      </c>
      <c r="J1227" s="85">
        <v>0</v>
      </c>
      <c r="K1227" s="85">
        <v>263.54000000000002</v>
      </c>
      <c r="L1227" s="85">
        <v>3897.24</v>
      </c>
      <c r="M1227" s="89">
        <v>361.51089992263331</v>
      </c>
      <c r="N1227" s="85">
        <v>0</v>
      </c>
      <c r="O1227" s="85">
        <v>0</v>
      </c>
      <c r="P1227" s="85">
        <v>361.51089992263331</v>
      </c>
      <c r="Q1227" s="85">
        <v>5346.0375639921203</v>
      </c>
      <c r="R1227" s="82" t="s">
        <v>3399</v>
      </c>
      <c r="S1227" s="7" t="str">
        <f t="shared" si="58"/>
        <v>INV13045</v>
      </c>
      <c r="T1227" s="6">
        <f t="shared" si="59"/>
        <v>1</v>
      </c>
      <c r="U1227" s="25">
        <f t="shared" si="57"/>
        <v>263.54000000000002</v>
      </c>
    </row>
    <row r="1228" spans="1:21" ht="10.9" customHeight="1" x14ac:dyDescent="0.2">
      <c r="A1228" s="82" t="s">
        <v>2349</v>
      </c>
      <c r="B1228" s="83">
        <v>45811</v>
      </c>
      <c r="C1228" s="82" t="s">
        <v>3395</v>
      </c>
      <c r="D1228" s="82" t="s">
        <v>2119</v>
      </c>
      <c r="E1228" s="82"/>
      <c r="F1228" s="82" t="s">
        <v>5382</v>
      </c>
      <c r="G1228" s="89">
        <v>1</v>
      </c>
      <c r="H1228" s="89">
        <v>796.11</v>
      </c>
      <c r="I1228" s="85">
        <v>0</v>
      </c>
      <c r="J1228" s="85">
        <v>39.81</v>
      </c>
      <c r="K1228" s="85">
        <v>835.92</v>
      </c>
      <c r="L1228" s="85">
        <v>835.92</v>
      </c>
      <c r="M1228" s="89">
        <v>796.11</v>
      </c>
      <c r="N1228" s="85">
        <v>0</v>
      </c>
      <c r="O1228" s="85">
        <v>39.81</v>
      </c>
      <c r="P1228" s="85">
        <v>835.92</v>
      </c>
      <c r="Q1228" s="85">
        <v>835.92</v>
      </c>
      <c r="R1228" s="82" t="s">
        <v>3399</v>
      </c>
      <c r="S1228" s="7">
        <f t="shared" si="58"/>
        <v>0</v>
      </c>
      <c r="T1228" s="6">
        <f t="shared" si="59"/>
        <v>0</v>
      </c>
      <c r="U1228" s="25">
        <f t="shared" si="57"/>
        <v>0</v>
      </c>
    </row>
    <row r="1229" spans="1:21" ht="10.9" customHeight="1" x14ac:dyDescent="0.2">
      <c r="A1229" s="82" t="s">
        <v>2293</v>
      </c>
      <c r="B1229" s="83">
        <v>45811</v>
      </c>
      <c r="C1229" s="82" t="s">
        <v>3395</v>
      </c>
      <c r="D1229" s="82" t="s">
        <v>2227</v>
      </c>
      <c r="E1229" s="82"/>
      <c r="F1229" s="82" t="s">
        <v>5379</v>
      </c>
      <c r="G1229" s="89">
        <v>1</v>
      </c>
      <c r="H1229" s="89">
        <v>1994.78</v>
      </c>
      <c r="I1229" s="85">
        <v>0</v>
      </c>
      <c r="J1229" s="85">
        <v>99.74</v>
      </c>
      <c r="K1229" s="85">
        <v>2094.52</v>
      </c>
      <c r="L1229" s="85">
        <v>2094.52</v>
      </c>
      <c r="M1229" s="89">
        <v>1994.78</v>
      </c>
      <c r="N1229" s="85">
        <v>0</v>
      </c>
      <c r="O1229" s="85">
        <v>99.74</v>
      </c>
      <c r="P1229" s="85">
        <v>2094.52</v>
      </c>
      <c r="Q1229" s="85">
        <v>2094.52</v>
      </c>
      <c r="R1229" s="82" t="s">
        <v>3399</v>
      </c>
      <c r="S1229" s="7">
        <f t="shared" si="58"/>
        <v>0</v>
      </c>
      <c r="T1229" s="6">
        <f t="shared" si="59"/>
        <v>0</v>
      </c>
      <c r="U1229" s="25">
        <f t="shared" si="57"/>
        <v>0</v>
      </c>
    </row>
    <row r="1230" spans="1:21" ht="10.9" customHeight="1" x14ac:dyDescent="0.2">
      <c r="A1230" s="82" t="s">
        <v>2437</v>
      </c>
      <c r="B1230" s="83">
        <v>45811</v>
      </c>
      <c r="C1230" s="82" t="s">
        <v>3395</v>
      </c>
      <c r="D1230" s="82" t="s">
        <v>1978</v>
      </c>
      <c r="E1230" s="82"/>
      <c r="F1230" s="82" t="s">
        <v>4610</v>
      </c>
      <c r="G1230" s="89">
        <v>1</v>
      </c>
      <c r="H1230" s="89">
        <v>565.09</v>
      </c>
      <c r="I1230" s="85">
        <v>0</v>
      </c>
      <c r="J1230" s="85">
        <v>28.25</v>
      </c>
      <c r="K1230" s="85">
        <v>593.34</v>
      </c>
      <c r="L1230" s="85">
        <v>593.34</v>
      </c>
      <c r="M1230" s="89">
        <v>565.09</v>
      </c>
      <c r="N1230" s="85">
        <v>0</v>
      </c>
      <c r="O1230" s="85">
        <v>28.25</v>
      </c>
      <c r="P1230" s="85">
        <v>593.34</v>
      </c>
      <c r="Q1230" s="85">
        <v>593.34</v>
      </c>
      <c r="R1230" s="82" t="s">
        <v>3399</v>
      </c>
      <c r="S1230" s="7">
        <f t="shared" si="58"/>
        <v>0</v>
      </c>
      <c r="T1230" s="6">
        <f t="shared" si="59"/>
        <v>0</v>
      </c>
      <c r="U1230" s="25">
        <f t="shared" si="57"/>
        <v>0</v>
      </c>
    </row>
    <row r="1231" spans="1:21" ht="10.9" customHeight="1" x14ac:dyDescent="0.2">
      <c r="A1231" s="82" t="s">
        <v>2820</v>
      </c>
      <c r="B1231" s="83">
        <v>45811</v>
      </c>
      <c r="C1231" s="82" t="s">
        <v>3395</v>
      </c>
      <c r="D1231" s="82" t="s">
        <v>1305</v>
      </c>
      <c r="E1231" s="82"/>
      <c r="F1231" s="82" t="s">
        <v>4553</v>
      </c>
      <c r="G1231" s="89">
        <v>2</v>
      </c>
      <c r="H1231" s="89">
        <v>899.55</v>
      </c>
      <c r="I1231" s="85">
        <v>0</v>
      </c>
      <c r="J1231" s="85">
        <v>233.88</v>
      </c>
      <c r="K1231" s="85">
        <v>2032.98</v>
      </c>
      <c r="L1231" s="85">
        <v>3169.03</v>
      </c>
      <c r="M1231" s="89">
        <v>899.55</v>
      </c>
      <c r="N1231" s="85">
        <v>0</v>
      </c>
      <c r="O1231" s="85">
        <v>233.88</v>
      </c>
      <c r="P1231" s="85">
        <v>2032.98</v>
      </c>
      <c r="Q1231" s="85">
        <v>3169.03</v>
      </c>
      <c r="R1231" s="82" t="s">
        <v>3399</v>
      </c>
      <c r="S1231" s="7">
        <f t="shared" si="58"/>
        <v>0</v>
      </c>
      <c r="T1231" s="6">
        <f t="shared" si="59"/>
        <v>0</v>
      </c>
      <c r="U1231" s="25">
        <f t="shared" si="57"/>
        <v>0</v>
      </c>
    </row>
    <row r="1232" spans="1:21" ht="10.9" customHeight="1" x14ac:dyDescent="0.2">
      <c r="A1232" s="82" t="s">
        <v>2820</v>
      </c>
      <c r="B1232" s="83">
        <v>45811</v>
      </c>
      <c r="C1232" s="82" t="s">
        <v>3395</v>
      </c>
      <c r="D1232" s="82" t="s">
        <v>1305</v>
      </c>
      <c r="E1232" s="82"/>
      <c r="F1232" s="82" t="s">
        <v>4554</v>
      </c>
      <c r="G1232" s="89">
        <v>1</v>
      </c>
      <c r="H1232" s="89">
        <v>1005.35</v>
      </c>
      <c r="I1232" s="85">
        <v>0</v>
      </c>
      <c r="J1232" s="85">
        <v>130.69999999999999</v>
      </c>
      <c r="K1232" s="85">
        <v>1136.05</v>
      </c>
      <c r="L1232" s="85">
        <v>3169.03</v>
      </c>
      <c r="M1232" s="89">
        <v>1005.35</v>
      </c>
      <c r="N1232" s="85">
        <v>0</v>
      </c>
      <c r="O1232" s="85">
        <v>130.69999999999999</v>
      </c>
      <c r="P1232" s="85">
        <v>1136.05</v>
      </c>
      <c r="Q1232" s="85">
        <v>3169.03</v>
      </c>
      <c r="R1232" s="82" t="s">
        <v>3399</v>
      </c>
      <c r="S1232" s="7">
        <f t="shared" si="58"/>
        <v>0</v>
      </c>
      <c r="T1232" s="6">
        <f t="shared" si="59"/>
        <v>0</v>
      </c>
      <c r="U1232" s="25">
        <f t="shared" si="57"/>
        <v>0</v>
      </c>
    </row>
    <row r="1233" spans="1:21" ht="10.9" customHeight="1" x14ac:dyDescent="0.2">
      <c r="A1233" s="82" t="s">
        <v>2820</v>
      </c>
      <c r="B1233" s="83">
        <v>45811</v>
      </c>
      <c r="C1233" s="82" t="s">
        <v>3395</v>
      </c>
      <c r="D1233" s="82" t="s">
        <v>1305</v>
      </c>
      <c r="E1233" s="82"/>
      <c r="F1233" s="82" t="s">
        <v>4805</v>
      </c>
      <c r="G1233" s="89">
        <v>1</v>
      </c>
      <c r="H1233" s="89">
        <v>29.85</v>
      </c>
      <c r="I1233" s="85">
        <v>29.85</v>
      </c>
      <c r="J1233" s="85">
        <v>0</v>
      </c>
      <c r="K1233" s="85">
        <v>0</v>
      </c>
      <c r="L1233" s="85">
        <v>3169.03</v>
      </c>
      <c r="M1233" s="89">
        <v>29.85</v>
      </c>
      <c r="N1233" s="85">
        <v>29.85</v>
      </c>
      <c r="O1233" s="85">
        <v>0</v>
      </c>
      <c r="P1233" s="85">
        <v>0</v>
      </c>
      <c r="Q1233" s="85">
        <v>3169.03</v>
      </c>
      <c r="R1233" s="82" t="s">
        <v>3399</v>
      </c>
      <c r="S1233" s="7">
        <f t="shared" si="58"/>
        <v>0</v>
      </c>
      <c r="T1233" s="6">
        <f t="shared" si="59"/>
        <v>0</v>
      </c>
      <c r="U1233" s="25">
        <f t="shared" si="57"/>
        <v>0</v>
      </c>
    </row>
    <row r="1234" spans="1:21" ht="10.9" customHeight="1" x14ac:dyDescent="0.2">
      <c r="A1234" s="82" t="s">
        <v>2819</v>
      </c>
      <c r="B1234" s="83">
        <v>45811</v>
      </c>
      <c r="C1234" s="82" t="s">
        <v>3395</v>
      </c>
      <c r="D1234" s="82" t="s">
        <v>1307</v>
      </c>
      <c r="E1234" s="82"/>
      <c r="F1234" s="82" t="s">
        <v>5381</v>
      </c>
      <c r="G1234" s="89">
        <v>1</v>
      </c>
      <c r="H1234" s="89">
        <v>26.73</v>
      </c>
      <c r="I1234" s="85">
        <v>0</v>
      </c>
      <c r="J1234" s="85">
        <v>1.34</v>
      </c>
      <c r="K1234" s="85">
        <v>28.07</v>
      </c>
      <c r="L1234" s="85">
        <v>28.07</v>
      </c>
      <c r="M1234" s="89">
        <v>26.73</v>
      </c>
      <c r="N1234" s="85">
        <v>0</v>
      </c>
      <c r="O1234" s="85">
        <v>1.34</v>
      </c>
      <c r="P1234" s="85">
        <v>28.07</v>
      </c>
      <c r="Q1234" s="85">
        <v>28.07</v>
      </c>
      <c r="R1234" s="82" t="s">
        <v>3399</v>
      </c>
      <c r="S1234" s="7">
        <f t="shared" si="58"/>
        <v>0</v>
      </c>
      <c r="T1234" s="6">
        <f t="shared" si="59"/>
        <v>0</v>
      </c>
      <c r="U1234" s="25">
        <f t="shared" si="57"/>
        <v>0</v>
      </c>
    </row>
    <row r="1235" spans="1:21" ht="10.9" customHeight="1" x14ac:dyDescent="0.2">
      <c r="A1235" s="82" t="s">
        <v>2826</v>
      </c>
      <c r="B1235" s="83">
        <v>45811</v>
      </c>
      <c r="C1235" s="82" t="s">
        <v>3395</v>
      </c>
      <c r="D1235" s="82" t="s">
        <v>1292</v>
      </c>
      <c r="E1235" s="82"/>
      <c r="F1235" s="82" t="s">
        <v>4849</v>
      </c>
      <c r="G1235" s="89">
        <v>1</v>
      </c>
      <c r="H1235" s="89">
        <v>243.55</v>
      </c>
      <c r="I1235" s="85">
        <v>0</v>
      </c>
      <c r="J1235" s="85">
        <v>12.18</v>
      </c>
      <c r="K1235" s="85">
        <v>255.73</v>
      </c>
      <c r="L1235" s="85">
        <v>255.73</v>
      </c>
      <c r="M1235" s="89">
        <v>243.55</v>
      </c>
      <c r="N1235" s="85">
        <v>0</v>
      </c>
      <c r="O1235" s="85">
        <v>12.18</v>
      </c>
      <c r="P1235" s="85">
        <v>255.73</v>
      </c>
      <c r="Q1235" s="85">
        <v>255.73</v>
      </c>
      <c r="R1235" s="82" t="s">
        <v>3399</v>
      </c>
      <c r="S1235" s="7">
        <f t="shared" si="58"/>
        <v>0</v>
      </c>
      <c r="T1235" s="6">
        <f t="shared" si="59"/>
        <v>0</v>
      </c>
      <c r="U1235" s="25">
        <f t="shared" si="57"/>
        <v>0</v>
      </c>
    </row>
    <row r="1236" spans="1:21" ht="10.9" customHeight="1" x14ac:dyDescent="0.2">
      <c r="A1236" s="82" t="s">
        <v>3536</v>
      </c>
      <c r="B1236" s="83">
        <v>45811</v>
      </c>
      <c r="C1236" s="82" t="s">
        <v>3395</v>
      </c>
      <c r="D1236" s="82" t="s">
        <v>3535</v>
      </c>
      <c r="E1236" s="82"/>
      <c r="F1236" s="82" t="s">
        <v>4757</v>
      </c>
      <c r="G1236" s="89">
        <v>1</v>
      </c>
      <c r="H1236" s="89">
        <v>9932.14</v>
      </c>
      <c r="I1236" s="85">
        <v>0</v>
      </c>
      <c r="J1236" s="85">
        <v>496.61</v>
      </c>
      <c r="K1236" s="85">
        <v>10428.75</v>
      </c>
      <c r="L1236" s="85">
        <v>10428.75</v>
      </c>
      <c r="M1236" s="89">
        <v>9932.14</v>
      </c>
      <c r="N1236" s="85">
        <v>0</v>
      </c>
      <c r="O1236" s="85">
        <v>496.61</v>
      </c>
      <c r="P1236" s="85">
        <v>10428.75</v>
      </c>
      <c r="Q1236" s="85">
        <v>10428.75</v>
      </c>
      <c r="R1236" s="82" t="s">
        <v>3399</v>
      </c>
      <c r="S1236" s="7">
        <f t="shared" si="58"/>
        <v>0</v>
      </c>
      <c r="T1236" s="6">
        <f t="shared" si="59"/>
        <v>0</v>
      </c>
      <c r="U1236" s="25">
        <f t="shared" si="57"/>
        <v>0</v>
      </c>
    </row>
    <row r="1237" spans="1:21" ht="10.9" customHeight="1" x14ac:dyDescent="0.2">
      <c r="A1237" s="82"/>
      <c r="B1237" s="83">
        <v>45811</v>
      </c>
      <c r="C1237" s="82" t="s">
        <v>3423</v>
      </c>
      <c r="D1237" s="82" t="s">
        <v>1312</v>
      </c>
      <c r="E1237" s="82"/>
      <c r="F1237" s="82" t="s">
        <v>1312</v>
      </c>
      <c r="G1237" s="89">
        <v>-1</v>
      </c>
      <c r="H1237" s="89">
        <v>2069.85</v>
      </c>
      <c r="I1237" s="85">
        <v>0</v>
      </c>
      <c r="J1237" s="85">
        <v>0</v>
      </c>
      <c r="K1237" s="85">
        <v>-2069.85</v>
      </c>
      <c r="L1237" s="85">
        <v>-2069.85</v>
      </c>
      <c r="M1237" s="89">
        <v>2839.3159907598942</v>
      </c>
      <c r="N1237" s="85">
        <v>0</v>
      </c>
      <c r="O1237" s="85">
        <v>0</v>
      </c>
      <c r="P1237" s="85">
        <v>-2839.3159907598942</v>
      </c>
      <c r="Q1237" s="85">
        <v>-2839.3159907598942</v>
      </c>
      <c r="R1237" s="82" t="s">
        <v>3399</v>
      </c>
      <c r="S1237" s="7">
        <f t="shared" si="58"/>
        <v>0</v>
      </c>
      <c r="T1237" s="6">
        <f t="shared" si="59"/>
        <v>0</v>
      </c>
      <c r="U1237" s="25">
        <f t="shared" si="57"/>
        <v>0</v>
      </c>
    </row>
    <row r="1238" spans="1:21" ht="10.9" customHeight="1" x14ac:dyDescent="0.2">
      <c r="A1238" s="82" t="s">
        <v>2830</v>
      </c>
      <c r="B1238" s="83">
        <v>45812</v>
      </c>
      <c r="C1238" s="82" t="s">
        <v>3395</v>
      </c>
      <c r="D1238" s="82" t="s">
        <v>1287</v>
      </c>
      <c r="E1238" s="82"/>
      <c r="F1238" s="82" t="s">
        <v>4495</v>
      </c>
      <c r="G1238" s="89">
        <v>1</v>
      </c>
      <c r="H1238" s="89">
        <v>166.08</v>
      </c>
      <c r="I1238" s="85">
        <v>0</v>
      </c>
      <c r="J1238" s="85">
        <v>0</v>
      </c>
      <c r="K1238" s="85">
        <v>166.08</v>
      </c>
      <c r="L1238" s="85">
        <v>166.08</v>
      </c>
      <c r="M1238" s="89">
        <v>227.14932250471517</v>
      </c>
      <c r="N1238" s="85">
        <v>0</v>
      </c>
      <c r="O1238" s="85">
        <v>0</v>
      </c>
      <c r="P1238" s="85">
        <v>227.14932250471517</v>
      </c>
      <c r="Q1238" s="85">
        <v>227.14932250471517</v>
      </c>
      <c r="R1238" s="82" t="s">
        <v>3399</v>
      </c>
      <c r="S1238" s="7">
        <f t="shared" si="58"/>
        <v>0</v>
      </c>
      <c r="T1238" s="6">
        <f t="shared" si="59"/>
        <v>0</v>
      </c>
      <c r="U1238" s="25">
        <f t="shared" si="57"/>
        <v>0</v>
      </c>
    </row>
    <row r="1239" spans="1:21" ht="10.9" customHeight="1" x14ac:dyDescent="0.2">
      <c r="A1239" s="82" t="s">
        <v>2787</v>
      </c>
      <c r="B1239" s="83">
        <v>45812</v>
      </c>
      <c r="C1239" s="82" t="s">
        <v>3395</v>
      </c>
      <c r="D1239" s="82" t="s">
        <v>1365</v>
      </c>
      <c r="E1239" s="82"/>
      <c r="F1239" s="82" t="s">
        <v>5376</v>
      </c>
      <c r="G1239" s="89">
        <v>1</v>
      </c>
      <c r="H1239" s="89">
        <v>29586.69</v>
      </c>
      <c r="I1239" s="85">
        <v>0</v>
      </c>
      <c r="J1239" s="85">
        <v>3846.27</v>
      </c>
      <c r="K1239" s="85">
        <v>33432.959999999999</v>
      </c>
      <c r="L1239" s="85">
        <v>33432.959999999999</v>
      </c>
      <c r="M1239" s="89">
        <v>29586.69</v>
      </c>
      <c r="N1239" s="85">
        <v>0</v>
      </c>
      <c r="O1239" s="85">
        <v>3846.27</v>
      </c>
      <c r="P1239" s="85">
        <v>33432.959999999999</v>
      </c>
      <c r="Q1239" s="85">
        <v>33432.959999999999</v>
      </c>
      <c r="R1239" s="82" t="s">
        <v>3399</v>
      </c>
      <c r="S1239" s="7">
        <f t="shared" si="58"/>
        <v>0</v>
      </c>
      <c r="T1239" s="6">
        <f t="shared" si="59"/>
        <v>0</v>
      </c>
      <c r="U1239" s="25">
        <f t="shared" si="57"/>
        <v>0</v>
      </c>
    </row>
    <row r="1240" spans="1:21" ht="10.9" customHeight="1" x14ac:dyDescent="0.2">
      <c r="A1240" s="82" t="s">
        <v>2676</v>
      </c>
      <c r="B1240" s="83">
        <v>45812</v>
      </c>
      <c r="C1240" s="82" t="s">
        <v>3395</v>
      </c>
      <c r="D1240" s="82" t="s">
        <v>1567</v>
      </c>
      <c r="E1240" s="82"/>
      <c r="F1240" s="82" t="s">
        <v>5375</v>
      </c>
      <c r="G1240" s="89">
        <v>1</v>
      </c>
      <c r="H1240" s="89">
        <v>6357.14</v>
      </c>
      <c r="I1240" s="85">
        <v>0</v>
      </c>
      <c r="J1240" s="85">
        <v>317.86</v>
      </c>
      <c r="K1240" s="85">
        <v>6675</v>
      </c>
      <c r="L1240" s="85">
        <v>6675</v>
      </c>
      <c r="M1240" s="89">
        <v>6357.14</v>
      </c>
      <c r="N1240" s="85">
        <v>0</v>
      </c>
      <c r="O1240" s="85">
        <v>317.86</v>
      </c>
      <c r="P1240" s="85">
        <v>6675</v>
      </c>
      <c r="Q1240" s="85">
        <v>6675</v>
      </c>
      <c r="R1240" s="82" t="s">
        <v>3399</v>
      </c>
      <c r="S1240" s="7">
        <f t="shared" si="58"/>
        <v>0</v>
      </c>
      <c r="T1240" s="6">
        <f t="shared" si="59"/>
        <v>0</v>
      </c>
      <c r="U1240" s="25">
        <f t="shared" si="57"/>
        <v>0</v>
      </c>
    </row>
    <row r="1241" spans="1:21" ht="10.9" customHeight="1" x14ac:dyDescent="0.2">
      <c r="A1241" s="82" t="s">
        <v>2341</v>
      </c>
      <c r="B1241" s="83">
        <v>45812</v>
      </c>
      <c r="C1241" s="82" t="s">
        <v>3395</v>
      </c>
      <c r="D1241" s="82" t="s">
        <v>2136</v>
      </c>
      <c r="E1241" s="82"/>
      <c r="F1241" s="82" t="s">
        <v>5374</v>
      </c>
      <c r="G1241" s="89">
        <v>1</v>
      </c>
      <c r="H1241" s="89">
        <v>24488</v>
      </c>
      <c r="I1241" s="85">
        <v>0</v>
      </c>
      <c r="J1241" s="85">
        <v>1224.4000000000001</v>
      </c>
      <c r="K1241" s="85">
        <v>25712.400000000001</v>
      </c>
      <c r="L1241" s="85">
        <v>25712.400000000001</v>
      </c>
      <c r="M1241" s="89">
        <v>24488</v>
      </c>
      <c r="N1241" s="85">
        <v>0</v>
      </c>
      <c r="O1241" s="85">
        <v>1224.4000000000001</v>
      </c>
      <c r="P1241" s="85">
        <v>25712.400000000001</v>
      </c>
      <c r="Q1241" s="85">
        <v>25712.400000000001</v>
      </c>
      <c r="R1241" s="82" t="s">
        <v>3399</v>
      </c>
      <c r="S1241" s="7">
        <f t="shared" si="58"/>
        <v>0</v>
      </c>
      <c r="T1241" s="6">
        <f t="shared" si="59"/>
        <v>0</v>
      </c>
      <c r="U1241" s="25">
        <f t="shared" si="57"/>
        <v>0</v>
      </c>
    </row>
    <row r="1242" spans="1:21" ht="10.9" customHeight="1" x14ac:dyDescent="0.2">
      <c r="A1242" s="82" t="s">
        <v>2737</v>
      </c>
      <c r="B1242" s="83">
        <v>45812</v>
      </c>
      <c r="C1242" s="82" t="s">
        <v>3395</v>
      </c>
      <c r="D1242" s="82" t="s">
        <v>1458</v>
      </c>
      <c r="E1242" s="82"/>
      <c r="F1242" s="82" t="s">
        <v>5371</v>
      </c>
      <c r="G1242" s="89">
        <v>2</v>
      </c>
      <c r="H1242" s="89">
        <v>407.19</v>
      </c>
      <c r="I1242" s="85">
        <v>0</v>
      </c>
      <c r="J1242" s="85">
        <v>40.72</v>
      </c>
      <c r="K1242" s="85">
        <v>855.1</v>
      </c>
      <c r="L1242" s="85">
        <v>855.1</v>
      </c>
      <c r="M1242" s="89">
        <v>407.19</v>
      </c>
      <c r="N1242" s="85">
        <v>0</v>
      </c>
      <c r="O1242" s="85">
        <v>40.72</v>
      </c>
      <c r="P1242" s="85">
        <v>855.1</v>
      </c>
      <c r="Q1242" s="85">
        <v>855.1</v>
      </c>
      <c r="R1242" s="82" t="s">
        <v>3399</v>
      </c>
      <c r="S1242" s="7">
        <f t="shared" si="58"/>
        <v>0</v>
      </c>
      <c r="T1242" s="6">
        <f t="shared" si="59"/>
        <v>0</v>
      </c>
      <c r="U1242" s="25">
        <f t="shared" si="57"/>
        <v>0</v>
      </c>
    </row>
    <row r="1243" spans="1:21" ht="10.9" customHeight="1" x14ac:dyDescent="0.2">
      <c r="A1243" s="82" t="s">
        <v>2825</v>
      </c>
      <c r="B1243" s="83">
        <v>45812</v>
      </c>
      <c r="C1243" s="82" t="s">
        <v>3395</v>
      </c>
      <c r="D1243" s="82" t="s">
        <v>1294</v>
      </c>
      <c r="E1243" s="82"/>
      <c r="F1243" s="82" t="s">
        <v>4558</v>
      </c>
      <c r="G1243" s="89">
        <v>1</v>
      </c>
      <c r="H1243" s="89">
        <v>264.91000000000003</v>
      </c>
      <c r="I1243" s="85">
        <v>0</v>
      </c>
      <c r="J1243" s="85">
        <v>13.25</v>
      </c>
      <c r="K1243" s="85">
        <v>278.16000000000003</v>
      </c>
      <c r="L1243" s="85">
        <v>596.54999999999995</v>
      </c>
      <c r="M1243" s="89">
        <v>264.91000000000003</v>
      </c>
      <c r="N1243" s="85">
        <v>0</v>
      </c>
      <c r="O1243" s="85">
        <v>13.25</v>
      </c>
      <c r="P1243" s="85">
        <v>278.16000000000003</v>
      </c>
      <c r="Q1243" s="85">
        <v>596.54999999999995</v>
      </c>
      <c r="R1243" s="82" t="s">
        <v>3399</v>
      </c>
      <c r="S1243" s="7">
        <f t="shared" si="58"/>
        <v>0</v>
      </c>
      <c r="T1243" s="6">
        <f t="shared" si="59"/>
        <v>0</v>
      </c>
      <c r="U1243" s="25">
        <f t="shared" si="57"/>
        <v>0</v>
      </c>
    </row>
    <row r="1244" spans="1:21" ht="10.9" customHeight="1" x14ac:dyDescent="0.2">
      <c r="A1244" s="82" t="s">
        <v>2825</v>
      </c>
      <c r="B1244" s="83">
        <v>45812</v>
      </c>
      <c r="C1244" s="82" t="s">
        <v>3395</v>
      </c>
      <c r="D1244" s="82" t="s">
        <v>1294</v>
      </c>
      <c r="E1244" s="82"/>
      <c r="F1244" s="82" t="s">
        <v>4917</v>
      </c>
      <c r="G1244" s="89">
        <v>1</v>
      </c>
      <c r="H1244" s="89">
        <v>274.81</v>
      </c>
      <c r="I1244" s="85">
        <v>0</v>
      </c>
      <c r="J1244" s="85">
        <v>13.74</v>
      </c>
      <c r="K1244" s="85">
        <v>288.55</v>
      </c>
      <c r="L1244" s="85">
        <v>596.54999999999995</v>
      </c>
      <c r="M1244" s="89">
        <v>274.81</v>
      </c>
      <c r="N1244" s="85">
        <v>0</v>
      </c>
      <c r="O1244" s="85">
        <v>13.74</v>
      </c>
      <c r="P1244" s="85">
        <v>288.55</v>
      </c>
      <c r="Q1244" s="85">
        <v>596.54999999999995</v>
      </c>
      <c r="R1244" s="82" t="s">
        <v>3399</v>
      </c>
      <c r="S1244" s="7">
        <f t="shared" si="58"/>
        <v>0</v>
      </c>
      <c r="T1244" s="6">
        <f t="shared" si="59"/>
        <v>0</v>
      </c>
      <c r="U1244" s="25">
        <f t="shared" si="57"/>
        <v>0</v>
      </c>
    </row>
    <row r="1245" spans="1:21" ht="10.9" customHeight="1" x14ac:dyDescent="0.2">
      <c r="A1245" s="82" t="s">
        <v>2825</v>
      </c>
      <c r="B1245" s="83">
        <v>45812</v>
      </c>
      <c r="C1245" s="82" t="s">
        <v>3395</v>
      </c>
      <c r="D1245" s="82" t="s">
        <v>1294</v>
      </c>
      <c r="E1245" s="82"/>
      <c r="F1245" s="82" t="s">
        <v>5373</v>
      </c>
      <c r="G1245" s="89">
        <v>1</v>
      </c>
      <c r="H1245" s="89">
        <v>12.51</v>
      </c>
      <c r="I1245" s="85">
        <v>0</v>
      </c>
      <c r="J1245" s="85">
        <v>0.63</v>
      </c>
      <c r="K1245" s="85">
        <v>13.14</v>
      </c>
      <c r="L1245" s="85">
        <v>596.54999999999995</v>
      </c>
      <c r="M1245" s="89">
        <v>12.51</v>
      </c>
      <c r="N1245" s="85">
        <v>0</v>
      </c>
      <c r="O1245" s="85">
        <v>0.63</v>
      </c>
      <c r="P1245" s="85">
        <v>13.14</v>
      </c>
      <c r="Q1245" s="85">
        <v>596.54999999999995</v>
      </c>
      <c r="R1245" s="82" t="s">
        <v>3399</v>
      </c>
      <c r="S1245" s="7">
        <f t="shared" si="58"/>
        <v>0</v>
      </c>
      <c r="T1245" s="6">
        <f t="shared" si="59"/>
        <v>0</v>
      </c>
      <c r="U1245" s="25">
        <f t="shared" si="57"/>
        <v>0</v>
      </c>
    </row>
    <row r="1246" spans="1:21" ht="10.9" customHeight="1" x14ac:dyDescent="0.2">
      <c r="A1246" s="82" t="s">
        <v>2825</v>
      </c>
      <c r="B1246" s="83">
        <v>45812</v>
      </c>
      <c r="C1246" s="82" t="s">
        <v>3395</v>
      </c>
      <c r="D1246" s="82" t="s">
        <v>1294</v>
      </c>
      <c r="E1246" s="82"/>
      <c r="F1246" s="82" t="s">
        <v>5372</v>
      </c>
      <c r="G1246" s="89">
        <v>1</v>
      </c>
      <c r="H1246" s="89">
        <v>15.9</v>
      </c>
      <c r="I1246" s="85">
        <v>0</v>
      </c>
      <c r="J1246" s="85">
        <v>0.8</v>
      </c>
      <c r="K1246" s="85">
        <v>16.7</v>
      </c>
      <c r="L1246" s="85">
        <v>596.54999999999995</v>
      </c>
      <c r="M1246" s="89">
        <v>15.9</v>
      </c>
      <c r="N1246" s="85">
        <v>0</v>
      </c>
      <c r="O1246" s="85">
        <v>0.8</v>
      </c>
      <c r="P1246" s="85">
        <v>16.7</v>
      </c>
      <c r="Q1246" s="85">
        <v>596.54999999999995</v>
      </c>
      <c r="R1246" s="82" t="s">
        <v>3399</v>
      </c>
      <c r="S1246" s="7">
        <f t="shared" si="58"/>
        <v>0</v>
      </c>
      <c r="T1246" s="6">
        <f t="shared" si="59"/>
        <v>0</v>
      </c>
      <c r="U1246" s="25">
        <f t="shared" si="57"/>
        <v>0</v>
      </c>
    </row>
    <row r="1247" spans="1:21" ht="10.9" customHeight="1" x14ac:dyDescent="0.2">
      <c r="A1247" s="82" t="s">
        <v>2769</v>
      </c>
      <c r="B1247" s="83">
        <v>45813</v>
      </c>
      <c r="C1247" s="82" t="s">
        <v>3395</v>
      </c>
      <c r="D1247" s="82" t="s">
        <v>1398</v>
      </c>
      <c r="E1247" s="82"/>
      <c r="F1247" s="82" t="s">
        <v>5370</v>
      </c>
      <c r="G1247" s="89">
        <v>1</v>
      </c>
      <c r="H1247" s="89">
        <v>206.08</v>
      </c>
      <c r="I1247" s="85">
        <v>0</v>
      </c>
      <c r="J1247" s="85">
        <v>0</v>
      </c>
      <c r="K1247" s="85">
        <v>206.08</v>
      </c>
      <c r="L1247" s="85">
        <v>390.9</v>
      </c>
      <c r="M1247" s="89">
        <v>281.66203562598321</v>
      </c>
      <c r="N1247" s="85">
        <v>0</v>
      </c>
      <c r="O1247" s="85">
        <v>0</v>
      </c>
      <c r="P1247" s="85">
        <v>281.66203562598321</v>
      </c>
      <c r="Q1247" s="85">
        <v>534.266739742803</v>
      </c>
      <c r="R1247" s="82" t="s">
        <v>3399</v>
      </c>
      <c r="S1247" s="7">
        <f t="shared" si="58"/>
        <v>0</v>
      </c>
      <c r="T1247" s="6">
        <f t="shared" si="59"/>
        <v>0</v>
      </c>
      <c r="U1247" s="25">
        <f t="shared" si="57"/>
        <v>0</v>
      </c>
    </row>
    <row r="1248" spans="1:21" ht="10.9" customHeight="1" x14ac:dyDescent="0.2">
      <c r="A1248" s="82" t="s">
        <v>2769</v>
      </c>
      <c r="B1248" s="83">
        <v>45813</v>
      </c>
      <c r="C1248" s="82" t="s">
        <v>3395</v>
      </c>
      <c r="D1248" s="82" t="s">
        <v>1398</v>
      </c>
      <c r="E1248" s="82"/>
      <c r="F1248" s="82" t="s">
        <v>5369</v>
      </c>
      <c r="G1248" s="89">
        <v>1</v>
      </c>
      <c r="H1248" s="89">
        <v>184.82</v>
      </c>
      <c r="I1248" s="85">
        <v>0</v>
      </c>
      <c r="J1248" s="85">
        <v>0</v>
      </c>
      <c r="K1248" s="85">
        <v>184.82</v>
      </c>
      <c r="L1248" s="85">
        <v>390.9</v>
      </c>
      <c r="M1248" s="89">
        <v>252.60470411681976</v>
      </c>
      <c r="N1248" s="85">
        <v>0</v>
      </c>
      <c r="O1248" s="85">
        <v>0</v>
      </c>
      <c r="P1248" s="85">
        <v>252.60470411681976</v>
      </c>
      <c r="Q1248" s="85">
        <v>534.266739742803</v>
      </c>
      <c r="R1248" s="82" t="s">
        <v>3399</v>
      </c>
      <c r="S1248" s="7" t="str">
        <f t="shared" si="58"/>
        <v>INV13063</v>
      </c>
      <c r="T1248" s="6">
        <f t="shared" si="59"/>
        <v>1</v>
      </c>
      <c r="U1248" s="25">
        <f t="shared" si="57"/>
        <v>184.82</v>
      </c>
    </row>
    <row r="1249" spans="1:21" ht="10.9" customHeight="1" x14ac:dyDescent="0.2">
      <c r="A1249" s="82" t="s">
        <v>2833</v>
      </c>
      <c r="B1249" s="83">
        <v>45813</v>
      </c>
      <c r="C1249" s="82" t="s">
        <v>3395</v>
      </c>
      <c r="D1249" s="82" t="s">
        <v>1281</v>
      </c>
      <c r="E1249" s="82"/>
      <c r="F1249" s="82" t="s">
        <v>4415</v>
      </c>
      <c r="G1249" s="89">
        <v>1</v>
      </c>
      <c r="H1249" s="89">
        <v>1598.02</v>
      </c>
      <c r="I1249" s="85">
        <v>0</v>
      </c>
      <c r="J1249" s="85">
        <v>0</v>
      </c>
      <c r="K1249" s="85">
        <v>1598.02</v>
      </c>
      <c r="L1249" s="85">
        <v>2187.02</v>
      </c>
      <c r="M1249" s="89">
        <v>2184.1108606901867</v>
      </c>
      <c r="N1249" s="85">
        <v>0</v>
      </c>
      <c r="O1249" s="85">
        <v>0</v>
      </c>
      <c r="P1249" s="85">
        <v>2184.1108606901867</v>
      </c>
      <c r="Q1249" s="85">
        <v>2989.13288603813</v>
      </c>
      <c r="R1249" s="82" t="s">
        <v>3399</v>
      </c>
      <c r="S1249" s="7">
        <f t="shared" si="58"/>
        <v>0</v>
      </c>
      <c r="T1249" s="6">
        <f t="shared" si="59"/>
        <v>0</v>
      </c>
      <c r="U1249" s="25">
        <f t="shared" si="57"/>
        <v>0</v>
      </c>
    </row>
    <row r="1250" spans="1:21" ht="10.9" customHeight="1" x14ac:dyDescent="0.2">
      <c r="A1250" s="82" t="s">
        <v>2833</v>
      </c>
      <c r="B1250" s="83">
        <v>45813</v>
      </c>
      <c r="C1250" s="82" t="s">
        <v>3395</v>
      </c>
      <c r="D1250" s="82" t="s">
        <v>1281</v>
      </c>
      <c r="E1250" s="82"/>
      <c r="F1250" s="82" t="s">
        <v>4393</v>
      </c>
      <c r="G1250" s="89">
        <v>1</v>
      </c>
      <c r="H1250" s="89">
        <v>589</v>
      </c>
      <c r="I1250" s="85">
        <v>0</v>
      </c>
      <c r="J1250" s="85">
        <v>0</v>
      </c>
      <c r="K1250" s="85">
        <v>589</v>
      </c>
      <c r="L1250" s="85">
        <v>2187.02</v>
      </c>
      <c r="M1250" s="89">
        <v>805.0220253479431</v>
      </c>
      <c r="N1250" s="85">
        <v>0</v>
      </c>
      <c r="O1250" s="85">
        <v>0</v>
      </c>
      <c r="P1250" s="85">
        <v>805.0220253479431</v>
      </c>
      <c r="Q1250" s="85">
        <v>2989.13288603813</v>
      </c>
      <c r="R1250" s="82" t="s">
        <v>3399</v>
      </c>
      <c r="S1250" s="7" t="str">
        <f t="shared" si="58"/>
        <v>INV13064</v>
      </c>
      <c r="T1250" s="6">
        <f t="shared" si="59"/>
        <v>1</v>
      </c>
      <c r="U1250" s="25">
        <f t="shared" si="57"/>
        <v>589</v>
      </c>
    </row>
    <row r="1251" spans="1:21" ht="10.9" customHeight="1" x14ac:dyDescent="0.2">
      <c r="A1251" s="82" t="s">
        <v>2836</v>
      </c>
      <c r="B1251" s="83">
        <v>45813</v>
      </c>
      <c r="C1251" s="82" t="s">
        <v>3395</v>
      </c>
      <c r="D1251" s="82" t="s">
        <v>1274</v>
      </c>
      <c r="E1251" s="82"/>
      <c r="F1251" s="82" t="s">
        <v>4558</v>
      </c>
      <c r="G1251" s="89">
        <v>1</v>
      </c>
      <c r="H1251" s="89">
        <v>268.29000000000002</v>
      </c>
      <c r="I1251" s="85">
        <v>0</v>
      </c>
      <c r="J1251" s="85">
        <v>13.41</v>
      </c>
      <c r="K1251" s="85">
        <v>281.7</v>
      </c>
      <c r="L1251" s="85">
        <v>281.7</v>
      </c>
      <c r="M1251" s="89">
        <v>268.29000000000002</v>
      </c>
      <c r="N1251" s="85">
        <v>0</v>
      </c>
      <c r="O1251" s="85">
        <v>13.41</v>
      </c>
      <c r="P1251" s="85">
        <v>281.7</v>
      </c>
      <c r="Q1251" s="85">
        <v>281.7</v>
      </c>
      <c r="R1251" s="82" t="s">
        <v>3399</v>
      </c>
      <c r="S1251" s="7">
        <f t="shared" si="58"/>
        <v>0</v>
      </c>
      <c r="T1251" s="6">
        <f t="shared" si="59"/>
        <v>0</v>
      </c>
      <c r="U1251" s="25">
        <f t="shared" si="57"/>
        <v>0</v>
      </c>
    </row>
    <row r="1252" spans="1:21" ht="10.9" customHeight="1" x14ac:dyDescent="0.2">
      <c r="A1252" s="82"/>
      <c r="B1252" s="83">
        <v>45813</v>
      </c>
      <c r="C1252" s="82" t="s">
        <v>3423</v>
      </c>
      <c r="D1252" s="82" t="s">
        <v>1295</v>
      </c>
      <c r="E1252" s="82"/>
      <c r="F1252" s="82" t="s">
        <v>1295</v>
      </c>
      <c r="G1252" s="89">
        <v>-1</v>
      </c>
      <c r="H1252" s="89">
        <v>20808.13</v>
      </c>
      <c r="I1252" s="85">
        <v>0</v>
      </c>
      <c r="J1252" s="85">
        <v>0</v>
      </c>
      <c r="K1252" s="85">
        <v>-20808.13</v>
      </c>
      <c r="L1252" s="85">
        <v>-20808.13</v>
      </c>
      <c r="M1252" s="89">
        <v>28439.733372331571</v>
      </c>
      <c r="N1252" s="85">
        <v>0</v>
      </c>
      <c r="O1252" s="85">
        <v>0</v>
      </c>
      <c r="P1252" s="85">
        <v>-28439.733372331571</v>
      </c>
      <c r="Q1252" s="85">
        <v>-28439.733372331571</v>
      </c>
      <c r="R1252" s="82" t="s">
        <v>3399</v>
      </c>
      <c r="S1252" s="7">
        <f t="shared" si="58"/>
        <v>0</v>
      </c>
      <c r="T1252" s="6">
        <f t="shared" si="59"/>
        <v>0</v>
      </c>
      <c r="U1252" s="25">
        <f t="shared" si="57"/>
        <v>0</v>
      </c>
    </row>
    <row r="1253" spans="1:21" ht="10.9" customHeight="1" x14ac:dyDescent="0.2">
      <c r="A1253" s="82" t="s">
        <v>2741</v>
      </c>
      <c r="B1253" s="83">
        <v>45817</v>
      </c>
      <c r="C1253" s="82" t="s">
        <v>3395</v>
      </c>
      <c r="D1253" s="82" t="s">
        <v>1450</v>
      </c>
      <c r="E1253" s="82"/>
      <c r="F1253" s="82" t="s">
        <v>4629</v>
      </c>
      <c r="G1253" s="89">
        <v>2</v>
      </c>
      <c r="H1253" s="89">
        <v>592.79999999999995</v>
      </c>
      <c r="I1253" s="85">
        <v>0</v>
      </c>
      <c r="J1253" s="85">
        <v>0</v>
      </c>
      <c r="K1253" s="85">
        <v>1185.5999999999999</v>
      </c>
      <c r="L1253" s="85">
        <v>1185.5999999999999</v>
      </c>
      <c r="M1253" s="89">
        <v>812.47438745763225</v>
      </c>
      <c r="N1253" s="85">
        <v>0</v>
      </c>
      <c r="O1253" s="85">
        <v>0</v>
      </c>
      <c r="P1253" s="85">
        <v>1624.9487749152645</v>
      </c>
      <c r="Q1253" s="85">
        <v>1624.9487749152645</v>
      </c>
      <c r="R1253" s="82" t="s">
        <v>3399</v>
      </c>
      <c r="S1253" s="7">
        <f t="shared" si="58"/>
        <v>0</v>
      </c>
      <c r="T1253" s="6">
        <f t="shared" si="59"/>
        <v>0</v>
      </c>
      <c r="U1253" s="25">
        <f t="shared" si="57"/>
        <v>0</v>
      </c>
    </row>
    <row r="1254" spans="1:21" ht="10.9" customHeight="1" x14ac:dyDescent="0.2">
      <c r="A1254" s="82" t="s">
        <v>2684</v>
      </c>
      <c r="B1254" s="83">
        <v>45817</v>
      </c>
      <c r="C1254" s="82" t="s">
        <v>3395</v>
      </c>
      <c r="D1254" s="82" t="s">
        <v>1553</v>
      </c>
      <c r="E1254" s="82"/>
      <c r="F1254" s="82" t="s">
        <v>5366</v>
      </c>
      <c r="G1254" s="89">
        <v>4</v>
      </c>
      <c r="H1254" s="89">
        <v>315</v>
      </c>
      <c r="I1254" s="85">
        <v>0</v>
      </c>
      <c r="J1254" s="85">
        <v>0</v>
      </c>
      <c r="K1254" s="85">
        <v>1260</v>
      </c>
      <c r="L1254" s="85">
        <v>1260</v>
      </c>
      <c r="M1254" s="89">
        <v>431.72981114904547</v>
      </c>
      <c r="N1254" s="85">
        <v>0</v>
      </c>
      <c r="O1254" s="85">
        <v>0</v>
      </c>
      <c r="P1254" s="85">
        <v>1726.9192445961819</v>
      </c>
      <c r="Q1254" s="85">
        <v>1726.9192445961819</v>
      </c>
      <c r="R1254" s="82" t="s">
        <v>3399</v>
      </c>
      <c r="S1254" s="7">
        <f t="shared" si="58"/>
        <v>0</v>
      </c>
      <c r="T1254" s="6">
        <f t="shared" si="59"/>
        <v>0</v>
      </c>
      <c r="U1254" s="25">
        <f t="shared" si="57"/>
        <v>0</v>
      </c>
    </row>
    <row r="1255" spans="1:21" ht="10.9" customHeight="1" x14ac:dyDescent="0.2">
      <c r="A1255" s="82" t="s">
        <v>2745</v>
      </c>
      <c r="B1255" s="83">
        <v>45817</v>
      </c>
      <c r="C1255" s="82" t="s">
        <v>3395</v>
      </c>
      <c r="D1255" s="82" t="s">
        <v>1444</v>
      </c>
      <c r="E1255" s="82"/>
      <c r="F1255" s="82" t="s">
        <v>4629</v>
      </c>
      <c r="G1255" s="89">
        <v>8</v>
      </c>
      <c r="H1255" s="89">
        <v>592.79999999999995</v>
      </c>
      <c r="I1255" s="85">
        <v>0</v>
      </c>
      <c r="J1255" s="85">
        <v>0</v>
      </c>
      <c r="K1255" s="85">
        <v>4742.3999999999996</v>
      </c>
      <c r="L1255" s="85">
        <v>4742.3999999999996</v>
      </c>
      <c r="M1255" s="89">
        <v>812.47438745763225</v>
      </c>
      <c r="N1255" s="85">
        <v>0</v>
      </c>
      <c r="O1255" s="85">
        <v>0</v>
      </c>
      <c r="P1255" s="85">
        <v>6499.795099661058</v>
      </c>
      <c r="Q1255" s="85">
        <v>6499.795099661058</v>
      </c>
      <c r="R1255" s="82" t="s">
        <v>3399</v>
      </c>
      <c r="S1255" s="7">
        <f t="shared" si="58"/>
        <v>0</v>
      </c>
      <c r="T1255" s="6">
        <f t="shared" si="59"/>
        <v>0</v>
      </c>
      <c r="U1255" s="25">
        <f t="shared" si="57"/>
        <v>0</v>
      </c>
    </row>
    <row r="1256" spans="1:21" ht="10.9" customHeight="1" x14ac:dyDescent="0.2">
      <c r="A1256" s="82" t="s">
        <v>2771</v>
      </c>
      <c r="B1256" s="83">
        <v>45817</v>
      </c>
      <c r="C1256" s="82" t="s">
        <v>3395</v>
      </c>
      <c r="D1256" s="82" t="s">
        <v>1394</v>
      </c>
      <c r="E1256" s="82"/>
      <c r="F1256" s="82" t="s">
        <v>4634</v>
      </c>
      <c r="G1256" s="89">
        <v>1</v>
      </c>
      <c r="H1256" s="89">
        <v>968.42</v>
      </c>
      <c r="I1256" s="85">
        <v>0</v>
      </c>
      <c r="J1256" s="85">
        <v>0</v>
      </c>
      <c r="K1256" s="85">
        <v>968.42</v>
      </c>
      <c r="L1256" s="85">
        <v>968.42</v>
      </c>
      <c r="M1256" s="89">
        <v>1327.2882022633607</v>
      </c>
      <c r="N1256" s="85">
        <v>0</v>
      </c>
      <c r="O1256" s="85">
        <v>0</v>
      </c>
      <c r="P1256" s="85">
        <v>1327.2882022633607</v>
      </c>
      <c r="Q1256" s="85">
        <v>1327.2882022633607</v>
      </c>
      <c r="R1256" s="82" t="s">
        <v>3399</v>
      </c>
      <c r="S1256" s="7">
        <f t="shared" si="58"/>
        <v>0</v>
      </c>
      <c r="T1256" s="6">
        <f t="shared" si="59"/>
        <v>0</v>
      </c>
      <c r="U1256" s="25">
        <f t="shared" si="57"/>
        <v>0</v>
      </c>
    </row>
    <row r="1257" spans="1:21" ht="10.9" customHeight="1" x14ac:dyDescent="0.2">
      <c r="A1257" s="82" t="s">
        <v>2788</v>
      </c>
      <c r="B1257" s="83">
        <v>45817</v>
      </c>
      <c r="C1257" s="82" t="s">
        <v>3395</v>
      </c>
      <c r="D1257" s="82" t="s">
        <v>1363</v>
      </c>
      <c r="E1257" s="82"/>
      <c r="F1257" s="82" t="s">
        <v>4850</v>
      </c>
      <c r="G1257" s="89">
        <v>4</v>
      </c>
      <c r="H1257" s="89">
        <v>329.2</v>
      </c>
      <c r="I1257" s="85">
        <v>0</v>
      </c>
      <c r="J1257" s="85">
        <v>0</v>
      </c>
      <c r="K1257" s="85">
        <v>1316.8</v>
      </c>
      <c r="L1257" s="85">
        <v>2577.44</v>
      </c>
      <c r="M1257" s="89">
        <v>451.19191692147865</v>
      </c>
      <c r="N1257" s="85">
        <v>0</v>
      </c>
      <c r="O1257" s="85">
        <v>0</v>
      </c>
      <c r="P1257" s="85">
        <v>1804.7676676859146</v>
      </c>
      <c r="Q1257" s="85">
        <v>3532.5640776126847</v>
      </c>
      <c r="R1257" s="82" t="s">
        <v>3399</v>
      </c>
      <c r="S1257" s="7">
        <f t="shared" si="58"/>
        <v>0</v>
      </c>
      <c r="T1257" s="6">
        <f t="shared" si="59"/>
        <v>0</v>
      </c>
      <c r="U1257" s="25">
        <f t="shared" si="57"/>
        <v>0</v>
      </c>
    </row>
    <row r="1258" spans="1:21" ht="10.9" customHeight="1" x14ac:dyDescent="0.2">
      <c r="A1258" s="82" t="s">
        <v>2788</v>
      </c>
      <c r="B1258" s="83">
        <v>45817</v>
      </c>
      <c r="C1258" s="82" t="s">
        <v>3395</v>
      </c>
      <c r="D1258" s="82" t="s">
        <v>1363</v>
      </c>
      <c r="E1258" s="82"/>
      <c r="F1258" s="82" t="s">
        <v>4849</v>
      </c>
      <c r="G1258" s="89">
        <v>4</v>
      </c>
      <c r="H1258" s="89">
        <v>315.16000000000003</v>
      </c>
      <c r="I1258" s="85">
        <v>0</v>
      </c>
      <c r="J1258" s="85">
        <v>0</v>
      </c>
      <c r="K1258" s="85">
        <v>1260.6400000000001</v>
      </c>
      <c r="L1258" s="85">
        <v>2577.44</v>
      </c>
      <c r="M1258" s="89">
        <v>431.94910248169259</v>
      </c>
      <c r="N1258" s="85">
        <v>0</v>
      </c>
      <c r="O1258" s="85">
        <v>0</v>
      </c>
      <c r="P1258" s="85">
        <v>1727.7964099267704</v>
      </c>
      <c r="Q1258" s="85">
        <v>3532.5640776126847</v>
      </c>
      <c r="R1258" s="82" t="s">
        <v>3399</v>
      </c>
      <c r="S1258" s="7">
        <f t="shared" si="58"/>
        <v>0</v>
      </c>
      <c r="T1258" s="6">
        <f t="shared" si="59"/>
        <v>0</v>
      </c>
      <c r="U1258" s="25">
        <f t="shared" si="57"/>
        <v>0</v>
      </c>
    </row>
    <row r="1259" spans="1:21" ht="10.9" customHeight="1" x14ac:dyDescent="0.2">
      <c r="A1259" s="82" t="s">
        <v>2813</v>
      </c>
      <c r="B1259" s="83">
        <v>45817</v>
      </c>
      <c r="C1259" s="82" t="s">
        <v>3395</v>
      </c>
      <c r="D1259" s="82" t="s">
        <v>1319</v>
      </c>
      <c r="E1259" s="82"/>
      <c r="F1259" s="82" t="s">
        <v>4767</v>
      </c>
      <c r="G1259" s="89">
        <v>16</v>
      </c>
      <c r="H1259" s="89">
        <v>5548.2</v>
      </c>
      <c r="I1259" s="85">
        <v>0</v>
      </c>
      <c r="J1259" s="85">
        <v>0</v>
      </c>
      <c r="K1259" s="85">
        <v>88771.199999999997</v>
      </c>
      <c r="L1259" s="85">
        <v>144549.6</v>
      </c>
      <c r="M1259" s="89">
        <v>7604.2010737051878</v>
      </c>
      <c r="N1259" s="85">
        <v>0</v>
      </c>
      <c r="O1259" s="85">
        <v>0</v>
      </c>
      <c r="P1259" s="85">
        <v>121667.217179283</v>
      </c>
      <c r="Q1259" s="85">
        <v>198115.4651100637</v>
      </c>
      <c r="R1259" s="82" t="s">
        <v>3399</v>
      </c>
      <c r="S1259" s="7">
        <f t="shared" si="58"/>
        <v>0</v>
      </c>
      <c r="T1259" s="6">
        <f t="shared" si="59"/>
        <v>0</v>
      </c>
      <c r="U1259" s="25">
        <f t="shared" si="57"/>
        <v>0</v>
      </c>
    </row>
    <row r="1260" spans="1:21" ht="10.9" customHeight="1" x14ac:dyDescent="0.2">
      <c r="A1260" s="82" t="s">
        <v>2813</v>
      </c>
      <c r="B1260" s="83">
        <v>45817</v>
      </c>
      <c r="C1260" s="82" t="s">
        <v>3395</v>
      </c>
      <c r="D1260" s="82" t="s">
        <v>1319</v>
      </c>
      <c r="E1260" s="82"/>
      <c r="F1260" s="82" t="s">
        <v>4766</v>
      </c>
      <c r="G1260" s="89">
        <v>2</v>
      </c>
      <c r="H1260" s="89">
        <v>6200</v>
      </c>
      <c r="I1260" s="85">
        <v>0</v>
      </c>
      <c r="J1260" s="85">
        <v>0</v>
      </c>
      <c r="K1260" s="85">
        <v>12400</v>
      </c>
      <c r="L1260" s="85">
        <v>144549.6</v>
      </c>
      <c r="M1260" s="89">
        <v>8497.5391400764511</v>
      </c>
      <c r="N1260" s="85">
        <v>0</v>
      </c>
      <c r="O1260" s="85">
        <v>0</v>
      </c>
      <c r="P1260" s="85">
        <v>16995.078280152902</v>
      </c>
      <c r="Q1260" s="85">
        <v>198115.4651100637</v>
      </c>
      <c r="R1260" s="82" t="s">
        <v>3399</v>
      </c>
      <c r="S1260" s="7">
        <f t="shared" si="58"/>
        <v>0</v>
      </c>
      <c r="T1260" s="6">
        <f t="shared" si="59"/>
        <v>0</v>
      </c>
      <c r="U1260" s="25">
        <f t="shared" si="57"/>
        <v>0</v>
      </c>
    </row>
    <row r="1261" spans="1:21" ht="10.9" customHeight="1" x14ac:dyDescent="0.2">
      <c r="A1261" s="82" t="s">
        <v>2813</v>
      </c>
      <c r="B1261" s="83">
        <v>45817</v>
      </c>
      <c r="C1261" s="82" t="s">
        <v>3395</v>
      </c>
      <c r="D1261" s="82" t="s">
        <v>1319</v>
      </c>
      <c r="E1261" s="82"/>
      <c r="F1261" s="82" t="s">
        <v>4753</v>
      </c>
      <c r="G1261" s="89">
        <v>4</v>
      </c>
      <c r="H1261" s="89">
        <v>5193.5</v>
      </c>
      <c r="I1261" s="85">
        <v>0</v>
      </c>
      <c r="J1261" s="85">
        <v>0</v>
      </c>
      <c r="K1261" s="85">
        <v>20774</v>
      </c>
      <c r="L1261" s="85">
        <v>144549.6</v>
      </c>
      <c r="M1261" s="89">
        <v>7118.0596006430715</v>
      </c>
      <c r="N1261" s="85">
        <v>0</v>
      </c>
      <c r="O1261" s="85">
        <v>0</v>
      </c>
      <c r="P1261" s="85">
        <v>28472.238402572286</v>
      </c>
      <c r="Q1261" s="85">
        <v>198115.4651100637</v>
      </c>
      <c r="R1261" s="82" t="s">
        <v>3399</v>
      </c>
      <c r="S1261" s="7">
        <f t="shared" si="58"/>
        <v>0</v>
      </c>
      <c r="T1261" s="6">
        <f t="shared" si="59"/>
        <v>0</v>
      </c>
      <c r="U1261" s="25">
        <f t="shared" si="57"/>
        <v>0</v>
      </c>
    </row>
    <row r="1262" spans="1:21" ht="10.9" customHeight="1" x14ac:dyDescent="0.2">
      <c r="A1262" s="82" t="s">
        <v>2813</v>
      </c>
      <c r="B1262" s="83">
        <v>45817</v>
      </c>
      <c r="C1262" s="82" t="s">
        <v>3395</v>
      </c>
      <c r="D1262" s="82" t="s">
        <v>1319</v>
      </c>
      <c r="E1262" s="82"/>
      <c r="F1262" s="82" t="s">
        <v>4765</v>
      </c>
      <c r="G1262" s="89">
        <v>4</v>
      </c>
      <c r="H1262" s="89">
        <v>5193.5</v>
      </c>
      <c r="I1262" s="85">
        <v>0</v>
      </c>
      <c r="J1262" s="85">
        <v>0</v>
      </c>
      <c r="K1262" s="85">
        <v>20774</v>
      </c>
      <c r="L1262" s="85">
        <v>144549.6</v>
      </c>
      <c r="M1262" s="89">
        <v>7118.0596006430715</v>
      </c>
      <c r="N1262" s="85">
        <v>0</v>
      </c>
      <c r="O1262" s="85">
        <v>0</v>
      </c>
      <c r="P1262" s="85">
        <v>28472.238402572286</v>
      </c>
      <c r="Q1262" s="85">
        <v>198115.4651100637</v>
      </c>
      <c r="R1262" s="82" t="s">
        <v>3399</v>
      </c>
      <c r="S1262" s="7">
        <f t="shared" si="58"/>
        <v>0</v>
      </c>
      <c r="T1262" s="6">
        <f t="shared" si="59"/>
        <v>0</v>
      </c>
      <c r="U1262" s="25">
        <f t="shared" si="57"/>
        <v>0</v>
      </c>
    </row>
    <row r="1263" spans="1:21" ht="10.9" customHeight="1" x14ac:dyDescent="0.2">
      <c r="A1263" s="82" t="s">
        <v>2813</v>
      </c>
      <c r="B1263" s="83">
        <v>45817</v>
      </c>
      <c r="C1263" s="82" t="s">
        <v>3395</v>
      </c>
      <c r="D1263" s="82" t="s">
        <v>1319</v>
      </c>
      <c r="E1263" s="82"/>
      <c r="F1263" s="82" t="s">
        <v>4761</v>
      </c>
      <c r="G1263" s="89">
        <v>64</v>
      </c>
      <c r="H1263" s="89">
        <v>28.6</v>
      </c>
      <c r="I1263" s="85">
        <v>0</v>
      </c>
      <c r="J1263" s="85">
        <v>0</v>
      </c>
      <c r="K1263" s="85">
        <v>1830.4</v>
      </c>
      <c r="L1263" s="85">
        <v>144549.6</v>
      </c>
      <c r="M1263" s="89">
        <v>39.198325710675242</v>
      </c>
      <c r="N1263" s="85">
        <v>0</v>
      </c>
      <c r="O1263" s="85">
        <v>0</v>
      </c>
      <c r="P1263" s="85">
        <v>2508.6928454832155</v>
      </c>
      <c r="Q1263" s="85">
        <v>198115.4651100637</v>
      </c>
      <c r="R1263" s="82" t="s">
        <v>3399</v>
      </c>
      <c r="S1263" s="7">
        <f t="shared" si="58"/>
        <v>0</v>
      </c>
      <c r="T1263" s="6">
        <f t="shared" si="59"/>
        <v>0</v>
      </c>
      <c r="U1263" s="25">
        <f t="shared" si="57"/>
        <v>0</v>
      </c>
    </row>
    <row r="1264" spans="1:21" ht="10.9" customHeight="1" x14ac:dyDescent="0.2">
      <c r="A1264" s="82" t="s">
        <v>2846</v>
      </c>
      <c r="B1264" s="83">
        <v>45817</v>
      </c>
      <c r="C1264" s="82" t="s">
        <v>3395</v>
      </c>
      <c r="D1264" s="82" t="s">
        <v>1258</v>
      </c>
      <c r="E1264" s="82"/>
      <c r="F1264" s="82" t="s">
        <v>4762</v>
      </c>
      <c r="G1264" s="89">
        <v>1</v>
      </c>
      <c r="H1264" s="89">
        <v>6056.5</v>
      </c>
      <c r="I1264" s="85">
        <v>0</v>
      </c>
      <c r="J1264" s="85">
        <v>0</v>
      </c>
      <c r="K1264" s="85">
        <v>6056.5</v>
      </c>
      <c r="L1264" s="85">
        <v>11442.75</v>
      </c>
      <c r="M1264" s="89">
        <v>8300.8622261085511</v>
      </c>
      <c r="N1264" s="85">
        <v>0</v>
      </c>
      <c r="O1264" s="85">
        <v>0</v>
      </c>
      <c r="P1264" s="85">
        <v>8300.8622261085511</v>
      </c>
      <c r="Q1264" s="85">
        <v>15683.099354049968</v>
      </c>
      <c r="R1264" s="82" t="s">
        <v>3399</v>
      </c>
      <c r="S1264" s="7">
        <f t="shared" si="58"/>
        <v>0</v>
      </c>
      <c r="T1264" s="6">
        <f t="shared" si="59"/>
        <v>0</v>
      </c>
      <c r="U1264" s="25">
        <f t="shared" si="57"/>
        <v>0</v>
      </c>
    </row>
    <row r="1265" spans="1:21" ht="10.9" customHeight="1" x14ac:dyDescent="0.2">
      <c r="A1265" s="82" t="s">
        <v>2846</v>
      </c>
      <c r="B1265" s="83">
        <v>45817</v>
      </c>
      <c r="C1265" s="82" t="s">
        <v>3395</v>
      </c>
      <c r="D1265" s="82" t="s">
        <v>1258</v>
      </c>
      <c r="E1265" s="82"/>
      <c r="F1265" s="82" t="s">
        <v>4546</v>
      </c>
      <c r="G1265" s="89">
        <v>1</v>
      </c>
      <c r="H1265" s="89">
        <v>1236.6500000000001</v>
      </c>
      <c r="I1265" s="85">
        <v>0</v>
      </c>
      <c r="J1265" s="85">
        <v>0</v>
      </c>
      <c r="K1265" s="85">
        <v>1236.6500000000001</v>
      </c>
      <c r="L1265" s="85">
        <v>11442.75</v>
      </c>
      <c r="M1265" s="89">
        <v>1694.9164157379907</v>
      </c>
      <c r="N1265" s="85">
        <v>0</v>
      </c>
      <c r="O1265" s="85">
        <v>0</v>
      </c>
      <c r="P1265" s="85">
        <v>1694.9164157379907</v>
      </c>
      <c r="Q1265" s="85">
        <v>15683.099354049968</v>
      </c>
      <c r="R1265" s="82" t="s">
        <v>3399</v>
      </c>
      <c r="S1265" s="7">
        <f t="shared" si="58"/>
        <v>0</v>
      </c>
      <c r="T1265" s="6">
        <f t="shared" si="59"/>
        <v>0</v>
      </c>
      <c r="U1265" s="25">
        <f t="shared" si="57"/>
        <v>0</v>
      </c>
    </row>
    <row r="1266" spans="1:21" ht="10.9" customHeight="1" x14ac:dyDescent="0.2">
      <c r="A1266" s="82" t="s">
        <v>2846</v>
      </c>
      <c r="B1266" s="83">
        <v>45817</v>
      </c>
      <c r="C1266" s="82" t="s">
        <v>3395</v>
      </c>
      <c r="D1266" s="82" t="s">
        <v>1258</v>
      </c>
      <c r="E1266" s="82"/>
      <c r="F1266" s="82" t="s">
        <v>4629</v>
      </c>
      <c r="G1266" s="89">
        <v>7</v>
      </c>
      <c r="H1266" s="89">
        <v>592.79999999999995</v>
      </c>
      <c r="I1266" s="85">
        <v>0</v>
      </c>
      <c r="J1266" s="85">
        <v>0</v>
      </c>
      <c r="K1266" s="85">
        <v>4149.6000000000004</v>
      </c>
      <c r="L1266" s="85">
        <v>11442.75</v>
      </c>
      <c r="M1266" s="89">
        <v>812.47438745763225</v>
      </c>
      <c r="N1266" s="85">
        <v>0</v>
      </c>
      <c r="O1266" s="85">
        <v>0</v>
      </c>
      <c r="P1266" s="85">
        <v>5687.3207122034255</v>
      </c>
      <c r="Q1266" s="85">
        <v>15683.099354049968</v>
      </c>
      <c r="R1266" s="82" t="s">
        <v>3399</v>
      </c>
      <c r="S1266" s="7">
        <f t="shared" si="58"/>
        <v>0</v>
      </c>
      <c r="T1266" s="6">
        <f t="shared" si="59"/>
        <v>0</v>
      </c>
      <c r="U1266" s="25">
        <f t="shared" si="57"/>
        <v>0</v>
      </c>
    </row>
    <row r="1267" spans="1:21" ht="10.9" customHeight="1" x14ac:dyDescent="0.2">
      <c r="A1267" s="82" t="s">
        <v>2841</v>
      </c>
      <c r="B1267" s="83">
        <v>45817</v>
      </c>
      <c r="C1267" s="82" t="s">
        <v>3395</v>
      </c>
      <c r="D1267" s="82" t="s">
        <v>1265</v>
      </c>
      <c r="E1267" s="82"/>
      <c r="F1267" s="82" t="s">
        <v>4769</v>
      </c>
      <c r="G1267" s="89">
        <v>1</v>
      </c>
      <c r="H1267" s="89">
        <v>236.55</v>
      </c>
      <c r="I1267" s="85">
        <v>0</v>
      </c>
      <c r="J1267" s="85">
        <v>11.83</v>
      </c>
      <c r="K1267" s="85">
        <v>248.38</v>
      </c>
      <c r="L1267" s="85">
        <v>248.38</v>
      </c>
      <c r="M1267" s="89">
        <v>236.55</v>
      </c>
      <c r="N1267" s="85">
        <v>0</v>
      </c>
      <c r="O1267" s="85">
        <v>11.83</v>
      </c>
      <c r="P1267" s="85">
        <v>248.38</v>
      </c>
      <c r="Q1267" s="85">
        <v>248.38</v>
      </c>
      <c r="R1267" s="82" t="s">
        <v>3399</v>
      </c>
      <c r="S1267" s="7">
        <f t="shared" si="58"/>
        <v>0</v>
      </c>
      <c r="T1267" s="6">
        <f t="shared" si="59"/>
        <v>0</v>
      </c>
      <c r="U1267" s="25">
        <f t="shared" si="57"/>
        <v>0</v>
      </c>
    </row>
    <row r="1268" spans="1:21" ht="10.9" customHeight="1" x14ac:dyDescent="0.2">
      <c r="A1268" s="82" t="s">
        <v>2817</v>
      </c>
      <c r="B1268" s="83">
        <v>45817</v>
      </c>
      <c r="C1268" s="82" t="s">
        <v>3395</v>
      </c>
      <c r="D1268" s="82" t="s">
        <v>3531</v>
      </c>
      <c r="E1268" s="82"/>
      <c r="F1268" s="82" t="s">
        <v>5368</v>
      </c>
      <c r="G1268" s="89">
        <v>3</v>
      </c>
      <c r="H1268" s="89">
        <v>124.88</v>
      </c>
      <c r="I1268" s="85">
        <v>0</v>
      </c>
      <c r="J1268" s="85">
        <v>48.7</v>
      </c>
      <c r="K1268" s="85">
        <v>423.34</v>
      </c>
      <c r="L1268" s="85">
        <v>863.29</v>
      </c>
      <c r="M1268" s="89">
        <v>124.88</v>
      </c>
      <c r="N1268" s="85">
        <v>0</v>
      </c>
      <c r="O1268" s="85">
        <v>48.7</v>
      </c>
      <c r="P1268" s="85">
        <v>423.34</v>
      </c>
      <c r="Q1268" s="85">
        <v>863.29</v>
      </c>
      <c r="R1268" s="82" t="s">
        <v>3399</v>
      </c>
      <c r="S1268" s="7">
        <f t="shared" si="58"/>
        <v>0</v>
      </c>
      <c r="T1268" s="6">
        <f t="shared" si="59"/>
        <v>0</v>
      </c>
      <c r="U1268" s="25">
        <f t="shared" si="57"/>
        <v>0</v>
      </c>
    </row>
    <row r="1269" spans="1:21" ht="10.9" customHeight="1" x14ac:dyDescent="0.2">
      <c r="A1269" s="82" t="s">
        <v>2817</v>
      </c>
      <c r="B1269" s="83">
        <v>45817</v>
      </c>
      <c r="C1269" s="82" t="s">
        <v>3395</v>
      </c>
      <c r="D1269" s="82" t="s">
        <v>3531</v>
      </c>
      <c r="E1269" s="82"/>
      <c r="F1269" s="82" t="s">
        <v>5367</v>
      </c>
      <c r="G1269" s="89">
        <v>3</v>
      </c>
      <c r="H1269" s="89">
        <v>129.78</v>
      </c>
      <c r="I1269" s="85">
        <v>0</v>
      </c>
      <c r="J1269" s="85">
        <v>50.61</v>
      </c>
      <c r="K1269" s="85">
        <v>439.95</v>
      </c>
      <c r="L1269" s="85">
        <v>863.29</v>
      </c>
      <c r="M1269" s="89">
        <v>129.78</v>
      </c>
      <c r="N1269" s="85">
        <v>0</v>
      </c>
      <c r="O1269" s="85">
        <v>50.61</v>
      </c>
      <c r="P1269" s="85">
        <v>439.95</v>
      </c>
      <c r="Q1269" s="85">
        <v>863.29</v>
      </c>
      <c r="R1269" s="82" t="s">
        <v>3399</v>
      </c>
      <c r="S1269" s="7">
        <f t="shared" si="58"/>
        <v>0</v>
      </c>
      <c r="T1269" s="6">
        <f t="shared" si="59"/>
        <v>0</v>
      </c>
      <c r="U1269" s="25">
        <f t="shared" si="57"/>
        <v>0</v>
      </c>
    </row>
    <row r="1270" spans="1:21" ht="10.9" customHeight="1" x14ac:dyDescent="0.2">
      <c r="A1270" s="82" t="s">
        <v>2843</v>
      </c>
      <c r="B1270" s="83">
        <v>45817</v>
      </c>
      <c r="C1270" s="82" t="s">
        <v>3395</v>
      </c>
      <c r="D1270" s="82" t="s">
        <v>1263</v>
      </c>
      <c r="E1270" s="82"/>
      <c r="F1270" s="82" t="s">
        <v>4622</v>
      </c>
      <c r="G1270" s="89">
        <v>10</v>
      </c>
      <c r="H1270" s="89">
        <v>142.29</v>
      </c>
      <c r="I1270" s="85">
        <v>0</v>
      </c>
      <c r="J1270" s="85">
        <v>71.150000000000006</v>
      </c>
      <c r="K1270" s="85">
        <v>1494.05</v>
      </c>
      <c r="L1270" s="85">
        <v>3451.17</v>
      </c>
      <c r="M1270" s="89">
        <v>142.29</v>
      </c>
      <c r="N1270" s="85">
        <v>0</v>
      </c>
      <c r="O1270" s="85">
        <v>71.150000000000006</v>
      </c>
      <c r="P1270" s="85">
        <v>1494.05</v>
      </c>
      <c r="Q1270" s="85">
        <v>3451.17</v>
      </c>
      <c r="R1270" s="82" t="s">
        <v>3399</v>
      </c>
      <c r="S1270" s="7">
        <f t="shared" si="58"/>
        <v>0</v>
      </c>
      <c r="T1270" s="6">
        <f t="shared" si="59"/>
        <v>0</v>
      </c>
      <c r="U1270" s="25">
        <f t="shared" si="57"/>
        <v>0</v>
      </c>
    </row>
    <row r="1271" spans="1:21" ht="10.9" customHeight="1" x14ac:dyDescent="0.2">
      <c r="A1271" s="82" t="s">
        <v>2843</v>
      </c>
      <c r="B1271" s="83">
        <v>45817</v>
      </c>
      <c r="C1271" s="82" t="s">
        <v>3395</v>
      </c>
      <c r="D1271" s="82" t="s">
        <v>1263</v>
      </c>
      <c r="E1271" s="82"/>
      <c r="F1271" s="82" t="s">
        <v>4621</v>
      </c>
      <c r="G1271" s="89">
        <v>1</v>
      </c>
      <c r="H1271" s="89">
        <v>1863.92</v>
      </c>
      <c r="I1271" s="85">
        <v>0</v>
      </c>
      <c r="J1271" s="85">
        <v>93.2</v>
      </c>
      <c r="K1271" s="85">
        <v>1957.12</v>
      </c>
      <c r="L1271" s="85">
        <v>3451.17</v>
      </c>
      <c r="M1271" s="89">
        <v>1863.92</v>
      </c>
      <c r="N1271" s="85">
        <v>0</v>
      </c>
      <c r="O1271" s="85">
        <v>93.2</v>
      </c>
      <c r="P1271" s="85">
        <v>1957.12</v>
      </c>
      <c r="Q1271" s="85">
        <v>3451.17</v>
      </c>
      <c r="R1271" s="82" t="s">
        <v>3399</v>
      </c>
      <c r="S1271" s="7">
        <f t="shared" si="58"/>
        <v>0</v>
      </c>
      <c r="T1271" s="6">
        <f t="shared" si="59"/>
        <v>0</v>
      </c>
      <c r="U1271" s="25">
        <f t="shared" si="57"/>
        <v>0</v>
      </c>
    </row>
    <row r="1272" spans="1:21" ht="10.9" customHeight="1" x14ac:dyDescent="0.2">
      <c r="A1272" s="82" t="s">
        <v>2816</v>
      </c>
      <c r="B1272" s="83">
        <v>45818</v>
      </c>
      <c r="C1272" s="82" t="s">
        <v>3395</v>
      </c>
      <c r="D1272" s="82" t="s">
        <v>3530</v>
      </c>
      <c r="E1272" s="82"/>
      <c r="F1272" s="82" t="s">
        <v>4855</v>
      </c>
      <c r="G1272" s="89">
        <v>1</v>
      </c>
      <c r="H1272" s="89">
        <v>2069.85</v>
      </c>
      <c r="I1272" s="85">
        <v>0</v>
      </c>
      <c r="J1272" s="85">
        <v>0</v>
      </c>
      <c r="K1272" s="85">
        <v>2069.85</v>
      </c>
      <c r="L1272" s="85">
        <v>2069.85</v>
      </c>
      <c r="M1272" s="89">
        <v>2829.6934276632833</v>
      </c>
      <c r="N1272" s="85">
        <v>0</v>
      </c>
      <c r="O1272" s="85">
        <v>0</v>
      </c>
      <c r="P1272" s="85">
        <v>2829.6934276632833</v>
      </c>
      <c r="Q1272" s="85">
        <v>2829.6934276632833</v>
      </c>
      <c r="R1272" s="82" t="s">
        <v>3399</v>
      </c>
      <c r="S1272" s="7">
        <f t="shared" si="58"/>
        <v>0</v>
      </c>
      <c r="T1272" s="6">
        <f t="shared" si="59"/>
        <v>0</v>
      </c>
      <c r="U1272" s="25">
        <f t="shared" si="57"/>
        <v>0</v>
      </c>
    </row>
    <row r="1273" spans="1:21" ht="10.9" customHeight="1" x14ac:dyDescent="0.2">
      <c r="A1273" s="82" t="s">
        <v>2385</v>
      </c>
      <c r="B1273" s="83">
        <v>45818</v>
      </c>
      <c r="C1273" s="82" t="s">
        <v>3395</v>
      </c>
      <c r="D1273" s="82" t="s">
        <v>2065</v>
      </c>
      <c r="E1273" s="82"/>
      <c r="F1273" s="82" t="s">
        <v>5362</v>
      </c>
      <c r="G1273" s="89">
        <v>1</v>
      </c>
      <c r="H1273" s="89">
        <v>9375.93</v>
      </c>
      <c r="I1273" s="85">
        <v>0</v>
      </c>
      <c r="J1273" s="85">
        <v>0</v>
      </c>
      <c r="K1273" s="85">
        <v>9375.93</v>
      </c>
      <c r="L1273" s="85">
        <v>9375.93</v>
      </c>
      <c r="M1273" s="89">
        <v>12827.310225943484</v>
      </c>
      <c r="N1273" s="85">
        <v>0</v>
      </c>
      <c r="O1273" s="85">
        <v>0</v>
      </c>
      <c r="P1273" s="85">
        <v>12827.310225943484</v>
      </c>
      <c r="Q1273" s="85">
        <v>12827.310225943484</v>
      </c>
      <c r="R1273" s="82" t="s">
        <v>3399</v>
      </c>
      <c r="S1273" s="7">
        <f t="shared" si="58"/>
        <v>0</v>
      </c>
      <c r="T1273" s="6">
        <f t="shared" si="59"/>
        <v>0</v>
      </c>
      <c r="U1273" s="25">
        <f t="shared" si="57"/>
        <v>0</v>
      </c>
    </row>
    <row r="1274" spans="1:21" ht="10.9" customHeight="1" x14ac:dyDescent="0.2">
      <c r="A1274" s="82" t="s">
        <v>2847</v>
      </c>
      <c r="B1274" s="83">
        <v>45818</v>
      </c>
      <c r="C1274" s="82" t="s">
        <v>3395</v>
      </c>
      <c r="D1274" s="82" t="s">
        <v>1256</v>
      </c>
      <c r="E1274" s="82"/>
      <c r="F1274" s="82" t="s">
        <v>5365</v>
      </c>
      <c r="G1274" s="89">
        <v>1</v>
      </c>
      <c r="H1274" s="89">
        <v>423.39</v>
      </c>
      <c r="I1274" s="85">
        <v>0</v>
      </c>
      <c r="J1274" s="85">
        <v>21.17</v>
      </c>
      <c r="K1274" s="85">
        <v>444.56</v>
      </c>
      <c r="L1274" s="85">
        <v>889.12</v>
      </c>
      <c r="M1274" s="89">
        <v>423.39</v>
      </c>
      <c r="N1274" s="85">
        <v>0</v>
      </c>
      <c r="O1274" s="85">
        <v>21.17</v>
      </c>
      <c r="P1274" s="85">
        <v>444.56</v>
      </c>
      <c r="Q1274" s="85">
        <v>889.12</v>
      </c>
      <c r="R1274" s="82" t="s">
        <v>3399</v>
      </c>
      <c r="S1274" s="7">
        <f t="shared" si="58"/>
        <v>0</v>
      </c>
      <c r="T1274" s="6">
        <f t="shared" si="59"/>
        <v>0</v>
      </c>
      <c r="U1274" s="25">
        <f t="shared" si="57"/>
        <v>0</v>
      </c>
    </row>
    <row r="1275" spans="1:21" ht="10.9" customHeight="1" x14ac:dyDescent="0.2">
      <c r="A1275" s="82" t="s">
        <v>2847</v>
      </c>
      <c r="B1275" s="83">
        <v>45818</v>
      </c>
      <c r="C1275" s="82" t="s">
        <v>3395</v>
      </c>
      <c r="D1275" s="82" t="s">
        <v>1256</v>
      </c>
      <c r="E1275" s="82"/>
      <c r="F1275" s="82" t="s">
        <v>5364</v>
      </c>
      <c r="G1275" s="89">
        <v>1</v>
      </c>
      <c r="H1275" s="89">
        <v>423.39</v>
      </c>
      <c r="I1275" s="85">
        <v>0</v>
      </c>
      <c r="J1275" s="85">
        <v>21.17</v>
      </c>
      <c r="K1275" s="85">
        <v>444.56</v>
      </c>
      <c r="L1275" s="85">
        <v>889.12</v>
      </c>
      <c r="M1275" s="89">
        <v>423.39</v>
      </c>
      <c r="N1275" s="85">
        <v>0</v>
      </c>
      <c r="O1275" s="85">
        <v>21.17</v>
      </c>
      <c r="P1275" s="85">
        <v>444.56</v>
      </c>
      <c r="Q1275" s="85">
        <v>889.12</v>
      </c>
      <c r="R1275" s="82" t="s">
        <v>3399</v>
      </c>
      <c r="S1275" s="7">
        <f t="shared" si="58"/>
        <v>0</v>
      </c>
      <c r="T1275" s="6">
        <f t="shared" si="59"/>
        <v>0</v>
      </c>
      <c r="U1275" s="25">
        <f t="shared" si="57"/>
        <v>0</v>
      </c>
    </row>
    <row r="1276" spans="1:21" ht="10.9" customHeight="1" x14ac:dyDescent="0.2">
      <c r="A1276" s="82" t="s">
        <v>2797</v>
      </c>
      <c r="B1276" s="83">
        <v>45818</v>
      </c>
      <c r="C1276" s="82" t="s">
        <v>3395</v>
      </c>
      <c r="D1276" s="82" t="s">
        <v>1347</v>
      </c>
      <c r="E1276" s="82"/>
      <c r="F1276" s="82" t="s">
        <v>5363</v>
      </c>
      <c r="G1276" s="89">
        <v>2</v>
      </c>
      <c r="H1276" s="89">
        <v>529.88</v>
      </c>
      <c r="I1276" s="85">
        <v>0</v>
      </c>
      <c r="J1276" s="85">
        <v>52.99</v>
      </c>
      <c r="K1276" s="85">
        <v>1112.75</v>
      </c>
      <c r="L1276" s="85">
        <v>1112.75</v>
      </c>
      <c r="M1276" s="89">
        <v>529.88</v>
      </c>
      <c r="N1276" s="85">
        <v>0</v>
      </c>
      <c r="O1276" s="85">
        <v>52.99</v>
      </c>
      <c r="P1276" s="85">
        <v>1112.75</v>
      </c>
      <c r="Q1276" s="85">
        <v>1112.75</v>
      </c>
      <c r="R1276" s="82" t="s">
        <v>3399</v>
      </c>
      <c r="S1276" s="7">
        <f t="shared" si="58"/>
        <v>0</v>
      </c>
      <c r="T1276" s="6">
        <f t="shared" si="59"/>
        <v>0</v>
      </c>
      <c r="U1276" s="25">
        <f t="shared" si="57"/>
        <v>0</v>
      </c>
    </row>
    <row r="1277" spans="1:21" ht="10.9" customHeight="1" x14ac:dyDescent="0.2">
      <c r="A1277" s="82" t="s">
        <v>5361</v>
      </c>
      <c r="B1277" s="83">
        <v>45819</v>
      </c>
      <c r="C1277" s="82" t="s">
        <v>3395</v>
      </c>
      <c r="D1277" s="82"/>
      <c r="E1277" s="82"/>
      <c r="F1277" s="82"/>
      <c r="G1277" s="89">
        <v>0</v>
      </c>
      <c r="H1277" s="89">
        <v>0</v>
      </c>
      <c r="I1277" s="85">
        <v>0</v>
      </c>
      <c r="J1277" s="85">
        <v>0</v>
      </c>
      <c r="K1277" s="85">
        <v>0</v>
      </c>
      <c r="L1277" s="85">
        <v>0</v>
      </c>
      <c r="M1277" s="89">
        <v>0</v>
      </c>
      <c r="N1277" s="85">
        <v>0</v>
      </c>
      <c r="O1277" s="85">
        <v>0</v>
      </c>
      <c r="P1277" s="85">
        <v>0</v>
      </c>
      <c r="Q1277" s="85">
        <v>0</v>
      </c>
      <c r="R1277" s="82" t="s">
        <v>4515</v>
      </c>
      <c r="S1277" s="7">
        <f t="shared" si="58"/>
        <v>0</v>
      </c>
      <c r="T1277" s="6">
        <f t="shared" si="59"/>
        <v>0</v>
      </c>
      <c r="U1277" s="25">
        <f t="shared" si="57"/>
        <v>0</v>
      </c>
    </row>
    <row r="1278" spans="1:21" ht="10.9" customHeight="1" x14ac:dyDescent="0.2">
      <c r="A1278" s="82" t="s">
        <v>5360</v>
      </c>
      <c r="B1278" s="83">
        <v>45819</v>
      </c>
      <c r="C1278" s="82" t="s">
        <v>3395</v>
      </c>
      <c r="D1278" s="82" t="s">
        <v>1230</v>
      </c>
      <c r="E1278" s="82"/>
      <c r="F1278" s="82" t="s">
        <v>5359</v>
      </c>
      <c r="G1278" s="89">
        <v>1</v>
      </c>
      <c r="H1278" s="89">
        <v>9932.14</v>
      </c>
      <c r="I1278" s="85">
        <v>0</v>
      </c>
      <c r="J1278" s="85">
        <v>496.61</v>
      </c>
      <c r="K1278" s="85">
        <v>10428.75</v>
      </c>
      <c r="L1278" s="85">
        <v>10428.75</v>
      </c>
      <c r="M1278" s="89">
        <v>9932.14</v>
      </c>
      <c r="N1278" s="85">
        <v>0</v>
      </c>
      <c r="O1278" s="85">
        <v>496.61</v>
      </c>
      <c r="P1278" s="85">
        <v>10428.75</v>
      </c>
      <c r="Q1278" s="85">
        <v>10428.75</v>
      </c>
      <c r="R1278" s="82" t="s">
        <v>4515</v>
      </c>
      <c r="S1278" s="7">
        <f t="shared" si="58"/>
        <v>0</v>
      </c>
      <c r="T1278" s="6">
        <f t="shared" si="59"/>
        <v>0</v>
      </c>
      <c r="U1278" s="25">
        <f t="shared" si="57"/>
        <v>0</v>
      </c>
    </row>
    <row r="1279" spans="1:21" ht="10.9" customHeight="1" x14ac:dyDescent="0.2">
      <c r="A1279" s="82" t="s">
        <v>2853</v>
      </c>
      <c r="B1279" s="83">
        <v>45819</v>
      </c>
      <c r="C1279" s="82" t="s">
        <v>3395</v>
      </c>
      <c r="D1279" s="82" t="s">
        <v>3529</v>
      </c>
      <c r="E1279" s="82"/>
      <c r="F1279" s="82" t="s">
        <v>5358</v>
      </c>
      <c r="G1279" s="89">
        <v>1</v>
      </c>
      <c r="H1279" s="89">
        <v>1339.85</v>
      </c>
      <c r="I1279" s="85">
        <v>0</v>
      </c>
      <c r="J1279" s="85">
        <v>66.989999999999995</v>
      </c>
      <c r="K1279" s="85">
        <v>1406.84</v>
      </c>
      <c r="L1279" s="85">
        <v>1406.84</v>
      </c>
      <c r="M1279" s="89">
        <v>1339.85</v>
      </c>
      <c r="N1279" s="85">
        <v>0</v>
      </c>
      <c r="O1279" s="85">
        <v>66.989999999999995</v>
      </c>
      <c r="P1279" s="85">
        <v>1406.84</v>
      </c>
      <c r="Q1279" s="85">
        <v>1406.84</v>
      </c>
      <c r="R1279" s="82" t="s">
        <v>3399</v>
      </c>
      <c r="S1279" s="7">
        <f t="shared" si="58"/>
        <v>0</v>
      </c>
      <c r="T1279" s="6">
        <f t="shared" si="59"/>
        <v>0</v>
      </c>
      <c r="U1279" s="25">
        <f t="shared" si="57"/>
        <v>0</v>
      </c>
    </row>
    <row r="1280" spans="1:21" ht="10.9" customHeight="1" x14ac:dyDescent="0.2">
      <c r="A1280" s="82" t="s">
        <v>2856</v>
      </c>
      <c r="B1280" s="83">
        <v>45819</v>
      </c>
      <c r="C1280" s="82" t="s">
        <v>3395</v>
      </c>
      <c r="D1280" s="82" t="s">
        <v>1242</v>
      </c>
      <c r="E1280" s="82"/>
      <c r="F1280" s="82" t="s">
        <v>4574</v>
      </c>
      <c r="G1280" s="89">
        <v>1</v>
      </c>
      <c r="H1280" s="89">
        <v>86.35</v>
      </c>
      <c r="I1280" s="85">
        <v>0</v>
      </c>
      <c r="J1280" s="85">
        <v>4.32</v>
      </c>
      <c r="K1280" s="85">
        <v>90.67</v>
      </c>
      <c r="L1280" s="85">
        <v>330.7</v>
      </c>
      <c r="M1280" s="89">
        <v>86.35</v>
      </c>
      <c r="N1280" s="85">
        <v>0</v>
      </c>
      <c r="O1280" s="85">
        <v>4.32</v>
      </c>
      <c r="P1280" s="85">
        <v>90.67</v>
      </c>
      <c r="Q1280" s="85">
        <v>330.7</v>
      </c>
      <c r="R1280" s="82" t="s">
        <v>3399</v>
      </c>
      <c r="S1280" s="7">
        <f t="shared" si="58"/>
        <v>0</v>
      </c>
      <c r="T1280" s="6">
        <f t="shared" si="59"/>
        <v>0</v>
      </c>
      <c r="U1280" s="25">
        <f t="shared" si="57"/>
        <v>0</v>
      </c>
    </row>
    <row r="1281" spans="1:21" ht="10.9" customHeight="1" x14ac:dyDescent="0.2">
      <c r="A1281" s="82" t="s">
        <v>2856</v>
      </c>
      <c r="B1281" s="83">
        <v>45819</v>
      </c>
      <c r="C1281" s="82" t="s">
        <v>3395</v>
      </c>
      <c r="D1281" s="82" t="s">
        <v>1242</v>
      </c>
      <c r="E1281" s="82"/>
      <c r="F1281" s="82" t="s">
        <v>4573</v>
      </c>
      <c r="G1281" s="89">
        <v>1</v>
      </c>
      <c r="H1281" s="89">
        <v>228.6</v>
      </c>
      <c r="I1281" s="85">
        <v>0</v>
      </c>
      <c r="J1281" s="85">
        <v>11.43</v>
      </c>
      <c r="K1281" s="85">
        <v>240.03</v>
      </c>
      <c r="L1281" s="85">
        <v>330.7</v>
      </c>
      <c r="M1281" s="89">
        <v>228.6</v>
      </c>
      <c r="N1281" s="85">
        <v>0</v>
      </c>
      <c r="O1281" s="85">
        <v>11.43</v>
      </c>
      <c r="P1281" s="85">
        <v>240.03</v>
      </c>
      <c r="Q1281" s="85">
        <v>330.7</v>
      </c>
      <c r="R1281" s="82" t="s">
        <v>3399</v>
      </c>
      <c r="S1281" s="7">
        <f t="shared" si="58"/>
        <v>0</v>
      </c>
      <c r="T1281" s="6">
        <f t="shared" si="59"/>
        <v>0</v>
      </c>
      <c r="U1281" s="25">
        <f t="shared" si="57"/>
        <v>0</v>
      </c>
    </row>
    <row r="1282" spans="1:21" ht="10.9" customHeight="1" x14ac:dyDescent="0.2">
      <c r="A1282" s="82" t="s">
        <v>2855</v>
      </c>
      <c r="B1282" s="83">
        <v>45819</v>
      </c>
      <c r="C1282" s="82" t="s">
        <v>3395</v>
      </c>
      <c r="D1282" s="82" t="s">
        <v>1244</v>
      </c>
      <c r="E1282" s="82"/>
      <c r="F1282" s="82" t="s">
        <v>4867</v>
      </c>
      <c r="G1282" s="89">
        <v>1</v>
      </c>
      <c r="H1282" s="89">
        <v>2202.98</v>
      </c>
      <c r="I1282" s="85">
        <v>0</v>
      </c>
      <c r="J1282" s="85">
        <v>110.15</v>
      </c>
      <c r="K1282" s="85">
        <v>2313.13</v>
      </c>
      <c r="L1282" s="85">
        <v>2517.39</v>
      </c>
      <c r="M1282" s="89">
        <v>2202.98</v>
      </c>
      <c r="N1282" s="85">
        <v>0</v>
      </c>
      <c r="O1282" s="85">
        <v>110.15</v>
      </c>
      <c r="P1282" s="85">
        <v>2313.13</v>
      </c>
      <c r="Q1282" s="85">
        <v>2517.39</v>
      </c>
      <c r="R1282" s="82" t="s">
        <v>3399</v>
      </c>
      <c r="S1282" s="7">
        <f t="shared" si="58"/>
        <v>0</v>
      </c>
      <c r="T1282" s="6">
        <f t="shared" si="59"/>
        <v>0</v>
      </c>
      <c r="U1282" s="25">
        <f t="shared" ref="U1282:U1345" si="60">IF(T1282=1,K1282-J1282,0)</f>
        <v>0</v>
      </c>
    </row>
    <row r="1283" spans="1:21" ht="10.9" customHeight="1" x14ac:dyDescent="0.2">
      <c r="A1283" s="82" t="s">
        <v>2855</v>
      </c>
      <c r="B1283" s="83">
        <v>45819</v>
      </c>
      <c r="C1283" s="82" t="s">
        <v>3395</v>
      </c>
      <c r="D1283" s="82" t="s">
        <v>1244</v>
      </c>
      <c r="E1283" s="82"/>
      <c r="F1283" s="82" t="s">
        <v>5166</v>
      </c>
      <c r="G1283" s="89">
        <v>1</v>
      </c>
      <c r="H1283" s="89">
        <v>194.53</v>
      </c>
      <c r="I1283" s="85">
        <v>0</v>
      </c>
      <c r="J1283" s="85">
        <v>9.73</v>
      </c>
      <c r="K1283" s="85">
        <v>204.26</v>
      </c>
      <c r="L1283" s="85">
        <v>2517.39</v>
      </c>
      <c r="M1283" s="89">
        <v>194.53</v>
      </c>
      <c r="N1283" s="85">
        <v>0</v>
      </c>
      <c r="O1283" s="85">
        <v>9.73</v>
      </c>
      <c r="P1283" s="85">
        <v>204.26</v>
      </c>
      <c r="Q1283" s="85">
        <v>2517.39</v>
      </c>
      <c r="R1283" s="82" t="s">
        <v>3399</v>
      </c>
      <c r="S1283" s="7">
        <f t="shared" ref="S1283:S1346" si="61">IF(T1283=1,A1283,0)</f>
        <v>0</v>
      </c>
      <c r="T1283" s="6">
        <f t="shared" ref="T1283:T1346" si="62">IFERROR(FIND("Freight",F1283,1),0)</f>
        <v>0</v>
      </c>
      <c r="U1283" s="25">
        <f t="shared" si="60"/>
        <v>0</v>
      </c>
    </row>
    <row r="1284" spans="1:21" ht="10.9" customHeight="1" x14ac:dyDescent="0.2">
      <c r="A1284" s="82" t="s">
        <v>2857</v>
      </c>
      <c r="B1284" s="83">
        <v>45819</v>
      </c>
      <c r="C1284" s="82" t="s">
        <v>3395</v>
      </c>
      <c r="D1284" s="82" t="s">
        <v>1240</v>
      </c>
      <c r="E1284" s="82"/>
      <c r="F1284" s="82" t="s">
        <v>4593</v>
      </c>
      <c r="G1284" s="89">
        <v>2</v>
      </c>
      <c r="H1284" s="89">
        <v>939.78</v>
      </c>
      <c r="I1284" s="85">
        <v>0</v>
      </c>
      <c r="J1284" s="85">
        <v>93.98</v>
      </c>
      <c r="K1284" s="85">
        <v>1973.54</v>
      </c>
      <c r="L1284" s="85">
        <v>1973.54</v>
      </c>
      <c r="M1284" s="89">
        <v>939.78</v>
      </c>
      <c r="N1284" s="85">
        <v>0</v>
      </c>
      <c r="O1284" s="85">
        <v>93.98</v>
      </c>
      <c r="P1284" s="85">
        <v>1973.54</v>
      </c>
      <c r="Q1284" s="85">
        <v>1973.54</v>
      </c>
      <c r="R1284" s="82" t="s">
        <v>3399</v>
      </c>
      <c r="S1284" s="7">
        <f t="shared" si="61"/>
        <v>0</v>
      </c>
      <c r="T1284" s="6">
        <f t="shared" si="62"/>
        <v>0</v>
      </c>
      <c r="U1284" s="25">
        <f t="shared" si="60"/>
        <v>0</v>
      </c>
    </row>
    <row r="1285" spans="1:21" ht="10.9" customHeight="1" x14ac:dyDescent="0.2">
      <c r="A1285" s="82" t="s">
        <v>2495</v>
      </c>
      <c r="B1285" s="83">
        <v>45820</v>
      </c>
      <c r="C1285" s="82" t="s">
        <v>3395</v>
      </c>
      <c r="D1285" s="82" t="s">
        <v>1870</v>
      </c>
      <c r="E1285" s="82"/>
      <c r="F1285" s="82" t="s">
        <v>5357</v>
      </c>
      <c r="G1285" s="89">
        <v>1</v>
      </c>
      <c r="H1285" s="89">
        <v>1431</v>
      </c>
      <c r="I1285" s="85">
        <v>0</v>
      </c>
      <c r="J1285" s="85">
        <v>186.03</v>
      </c>
      <c r="K1285" s="85">
        <v>1617.03</v>
      </c>
      <c r="L1285" s="85">
        <v>3444.97</v>
      </c>
      <c r="M1285" s="89">
        <v>1949.7506608169606</v>
      </c>
      <c r="N1285" s="85">
        <v>0</v>
      </c>
      <c r="O1285" s="85">
        <v>253.46758590620487</v>
      </c>
      <c r="P1285" s="85">
        <v>2203.2182467231655</v>
      </c>
      <c r="Q1285" s="85">
        <v>4693.8033081723306</v>
      </c>
      <c r="R1285" s="82" t="s">
        <v>3399</v>
      </c>
      <c r="S1285" s="7">
        <f t="shared" si="61"/>
        <v>0</v>
      </c>
      <c r="T1285" s="6">
        <f t="shared" si="62"/>
        <v>0</v>
      </c>
      <c r="U1285" s="25">
        <f t="shared" si="60"/>
        <v>0</v>
      </c>
    </row>
    <row r="1286" spans="1:21" ht="10.9" customHeight="1" x14ac:dyDescent="0.2">
      <c r="A1286" s="82" t="s">
        <v>2495</v>
      </c>
      <c r="B1286" s="83">
        <v>45820</v>
      </c>
      <c r="C1286" s="82" t="s">
        <v>3395</v>
      </c>
      <c r="D1286" s="82" t="s">
        <v>1870</v>
      </c>
      <c r="E1286" s="82"/>
      <c r="F1286" s="82" t="s">
        <v>5356</v>
      </c>
      <c r="G1286" s="89">
        <v>1</v>
      </c>
      <c r="H1286" s="89">
        <v>1335</v>
      </c>
      <c r="I1286" s="85">
        <v>0</v>
      </c>
      <c r="J1286" s="85">
        <v>173.55</v>
      </c>
      <c r="K1286" s="85">
        <v>1508.55</v>
      </c>
      <c r="L1286" s="85">
        <v>3444.97</v>
      </c>
      <c r="M1286" s="89">
        <v>1818.9497779110009</v>
      </c>
      <c r="N1286" s="85">
        <v>0</v>
      </c>
      <c r="O1286" s="85">
        <v>236.46347112843011</v>
      </c>
      <c r="P1286" s="85">
        <v>2055.4132490394309</v>
      </c>
      <c r="Q1286" s="85">
        <v>4693.8033081723306</v>
      </c>
      <c r="R1286" s="82" t="s">
        <v>3399</v>
      </c>
      <c r="S1286" s="7">
        <f t="shared" si="61"/>
        <v>0</v>
      </c>
      <c r="T1286" s="6">
        <f t="shared" si="62"/>
        <v>0</v>
      </c>
      <c r="U1286" s="25">
        <f t="shared" si="60"/>
        <v>0</v>
      </c>
    </row>
    <row r="1287" spans="1:21" ht="10.9" customHeight="1" x14ac:dyDescent="0.2">
      <c r="A1287" s="82" t="s">
        <v>2495</v>
      </c>
      <c r="B1287" s="83">
        <v>45820</v>
      </c>
      <c r="C1287" s="82" t="s">
        <v>3395</v>
      </c>
      <c r="D1287" s="82" t="s">
        <v>1870</v>
      </c>
      <c r="E1287" s="82"/>
      <c r="F1287" s="82" t="s">
        <v>4459</v>
      </c>
      <c r="G1287" s="89">
        <v>1</v>
      </c>
      <c r="H1287" s="89">
        <v>282.64999999999998</v>
      </c>
      <c r="I1287" s="85">
        <v>0</v>
      </c>
      <c r="J1287" s="85">
        <v>36.74</v>
      </c>
      <c r="K1287" s="85">
        <v>319.39</v>
      </c>
      <c r="L1287" s="85">
        <v>3444.97</v>
      </c>
      <c r="M1287" s="89">
        <v>385.11322451426548</v>
      </c>
      <c r="N1287" s="85">
        <v>0</v>
      </c>
      <c r="O1287" s="85">
        <v>50.058587895468293</v>
      </c>
      <c r="P1287" s="85">
        <v>435.17181240973377</v>
      </c>
      <c r="Q1287" s="85">
        <v>4693.8033081723306</v>
      </c>
      <c r="R1287" s="82" t="s">
        <v>3399</v>
      </c>
      <c r="S1287" s="7" t="str">
        <f t="shared" si="61"/>
        <v>INV13075</v>
      </c>
      <c r="T1287" s="6">
        <f t="shared" si="62"/>
        <v>1</v>
      </c>
      <c r="U1287" s="25">
        <f t="shared" si="60"/>
        <v>282.64999999999998</v>
      </c>
    </row>
    <row r="1288" spans="1:21" ht="10.9" customHeight="1" x14ac:dyDescent="0.2">
      <c r="A1288" s="82" t="s">
        <v>2859</v>
      </c>
      <c r="B1288" s="83">
        <v>45820</v>
      </c>
      <c r="C1288" s="82" t="s">
        <v>3395</v>
      </c>
      <c r="D1288" s="82" t="s">
        <v>1235</v>
      </c>
      <c r="E1288" s="82"/>
      <c r="F1288" s="82" t="s">
        <v>5355</v>
      </c>
      <c r="G1288" s="89">
        <v>1</v>
      </c>
      <c r="H1288" s="89">
        <v>37.78</v>
      </c>
      <c r="I1288" s="85">
        <v>0</v>
      </c>
      <c r="J1288" s="85">
        <v>1.89</v>
      </c>
      <c r="K1288" s="85">
        <v>39.67</v>
      </c>
      <c r="L1288" s="85">
        <v>2179.6799999999998</v>
      </c>
      <c r="M1288" s="89">
        <v>37.78</v>
      </c>
      <c r="N1288" s="85">
        <v>0</v>
      </c>
      <c r="O1288" s="85">
        <v>1.89</v>
      </c>
      <c r="P1288" s="85">
        <v>39.67</v>
      </c>
      <c r="Q1288" s="85">
        <v>2179.6799999999998</v>
      </c>
      <c r="R1288" s="82" t="s">
        <v>3399</v>
      </c>
      <c r="S1288" s="7">
        <f t="shared" si="61"/>
        <v>0</v>
      </c>
      <c r="T1288" s="6">
        <f t="shared" si="62"/>
        <v>0</v>
      </c>
      <c r="U1288" s="25">
        <f t="shared" si="60"/>
        <v>0</v>
      </c>
    </row>
    <row r="1289" spans="1:21" ht="10.9" customHeight="1" x14ac:dyDescent="0.2">
      <c r="A1289" s="82" t="s">
        <v>2859</v>
      </c>
      <c r="B1289" s="83">
        <v>45820</v>
      </c>
      <c r="C1289" s="82" t="s">
        <v>3395</v>
      </c>
      <c r="D1289" s="82" t="s">
        <v>1235</v>
      </c>
      <c r="E1289" s="82"/>
      <c r="F1289" s="82" t="s">
        <v>5354</v>
      </c>
      <c r="G1289" s="89">
        <v>1</v>
      </c>
      <c r="H1289" s="89">
        <v>2038.1</v>
      </c>
      <c r="I1289" s="85">
        <v>0</v>
      </c>
      <c r="J1289" s="85">
        <v>101.91</v>
      </c>
      <c r="K1289" s="85">
        <v>2140.0100000000002</v>
      </c>
      <c r="L1289" s="85">
        <v>2179.6799999999998</v>
      </c>
      <c r="M1289" s="89">
        <v>2038.1</v>
      </c>
      <c r="N1289" s="85">
        <v>0</v>
      </c>
      <c r="O1289" s="85">
        <v>101.91</v>
      </c>
      <c r="P1289" s="85">
        <v>2140.0100000000002</v>
      </c>
      <c r="Q1289" s="85">
        <v>2179.6799999999998</v>
      </c>
      <c r="R1289" s="82" t="s">
        <v>3399</v>
      </c>
      <c r="S1289" s="7">
        <f t="shared" si="61"/>
        <v>0</v>
      </c>
      <c r="T1289" s="6">
        <f t="shared" si="62"/>
        <v>0</v>
      </c>
      <c r="U1289" s="25">
        <f t="shared" si="60"/>
        <v>0</v>
      </c>
    </row>
    <row r="1290" spans="1:21" ht="10.9" customHeight="1" x14ac:dyDescent="0.2">
      <c r="A1290" s="82" t="s">
        <v>2753</v>
      </c>
      <c r="B1290" s="83">
        <v>45820</v>
      </c>
      <c r="C1290" s="82" t="s">
        <v>3395</v>
      </c>
      <c r="D1290" s="82" t="s">
        <v>1429</v>
      </c>
      <c r="E1290" s="82"/>
      <c r="F1290" s="82" t="s">
        <v>5353</v>
      </c>
      <c r="G1290" s="89">
        <v>1</v>
      </c>
      <c r="H1290" s="89">
        <v>910.95</v>
      </c>
      <c r="I1290" s="85">
        <v>0</v>
      </c>
      <c r="J1290" s="85">
        <v>45.55</v>
      </c>
      <c r="K1290" s="85">
        <v>956.5</v>
      </c>
      <c r="L1290" s="85">
        <v>6152.97</v>
      </c>
      <c r="M1290" s="89">
        <v>910.95</v>
      </c>
      <c r="N1290" s="85">
        <v>0</v>
      </c>
      <c r="O1290" s="85">
        <v>45.55</v>
      </c>
      <c r="P1290" s="85">
        <v>956.5</v>
      </c>
      <c r="Q1290" s="85">
        <v>6152.97</v>
      </c>
      <c r="R1290" s="82" t="s">
        <v>3399</v>
      </c>
      <c r="S1290" s="7">
        <f t="shared" si="61"/>
        <v>0</v>
      </c>
      <c r="T1290" s="6">
        <f t="shared" si="62"/>
        <v>0</v>
      </c>
      <c r="U1290" s="25">
        <f t="shared" si="60"/>
        <v>0</v>
      </c>
    </row>
    <row r="1291" spans="1:21" ht="10.9" customHeight="1" x14ac:dyDescent="0.2">
      <c r="A1291" s="82" t="s">
        <v>2753</v>
      </c>
      <c r="B1291" s="83">
        <v>45820</v>
      </c>
      <c r="C1291" s="82" t="s">
        <v>3395</v>
      </c>
      <c r="D1291" s="82" t="s">
        <v>1429</v>
      </c>
      <c r="E1291" s="82"/>
      <c r="F1291" s="82" t="s">
        <v>5352</v>
      </c>
      <c r="G1291" s="89">
        <v>1</v>
      </c>
      <c r="H1291" s="89">
        <v>2434.9699999999998</v>
      </c>
      <c r="I1291" s="85">
        <v>0</v>
      </c>
      <c r="J1291" s="85">
        <v>121.75</v>
      </c>
      <c r="K1291" s="85">
        <v>2556.7199999999998</v>
      </c>
      <c r="L1291" s="85">
        <v>6152.97</v>
      </c>
      <c r="M1291" s="89">
        <v>2434.9699999999998</v>
      </c>
      <c r="N1291" s="85">
        <v>0</v>
      </c>
      <c r="O1291" s="85">
        <v>121.75</v>
      </c>
      <c r="P1291" s="85">
        <v>2556.7199999999998</v>
      </c>
      <c r="Q1291" s="85">
        <v>6152.97</v>
      </c>
      <c r="R1291" s="82" t="s">
        <v>3399</v>
      </c>
      <c r="S1291" s="7">
        <f t="shared" si="61"/>
        <v>0</v>
      </c>
      <c r="T1291" s="6">
        <f t="shared" si="62"/>
        <v>0</v>
      </c>
      <c r="U1291" s="25">
        <f t="shared" si="60"/>
        <v>0</v>
      </c>
    </row>
    <row r="1292" spans="1:21" ht="10.9" customHeight="1" x14ac:dyDescent="0.2">
      <c r="A1292" s="82" t="s">
        <v>2753</v>
      </c>
      <c r="B1292" s="83">
        <v>45820</v>
      </c>
      <c r="C1292" s="82" t="s">
        <v>3395</v>
      </c>
      <c r="D1292" s="82" t="s">
        <v>1429</v>
      </c>
      <c r="E1292" s="82"/>
      <c r="F1292" s="82" t="s">
        <v>5351</v>
      </c>
      <c r="G1292" s="89">
        <v>1</v>
      </c>
      <c r="H1292" s="89">
        <v>2514.0500000000002</v>
      </c>
      <c r="I1292" s="85">
        <v>0</v>
      </c>
      <c r="J1292" s="85">
        <v>125.7</v>
      </c>
      <c r="K1292" s="85">
        <v>2639.75</v>
      </c>
      <c r="L1292" s="85">
        <v>6152.97</v>
      </c>
      <c r="M1292" s="89">
        <v>2514.0500000000002</v>
      </c>
      <c r="N1292" s="85">
        <v>0</v>
      </c>
      <c r="O1292" s="85">
        <v>125.7</v>
      </c>
      <c r="P1292" s="85">
        <v>2639.75</v>
      </c>
      <c r="Q1292" s="85">
        <v>6152.97</v>
      </c>
      <c r="R1292" s="82" t="s">
        <v>3399</v>
      </c>
      <c r="S1292" s="7">
        <f t="shared" si="61"/>
        <v>0</v>
      </c>
      <c r="T1292" s="6">
        <f t="shared" si="62"/>
        <v>0</v>
      </c>
      <c r="U1292" s="25">
        <f t="shared" si="60"/>
        <v>0</v>
      </c>
    </row>
    <row r="1293" spans="1:21" ht="21.4" customHeight="1" x14ac:dyDescent="0.2">
      <c r="A1293" s="82" t="s">
        <v>5350</v>
      </c>
      <c r="B1293" s="83">
        <v>45821</v>
      </c>
      <c r="C1293" s="82" t="s">
        <v>3395</v>
      </c>
      <c r="D1293" s="82" t="s">
        <v>3509</v>
      </c>
      <c r="E1293" s="82"/>
      <c r="F1293" s="90" t="s">
        <v>5334</v>
      </c>
      <c r="G1293" s="89">
        <v>1</v>
      </c>
      <c r="H1293" s="89">
        <v>8973</v>
      </c>
      <c r="I1293" s="85">
        <v>0</v>
      </c>
      <c r="J1293" s="85">
        <v>0</v>
      </c>
      <c r="K1293" s="85">
        <v>8973</v>
      </c>
      <c r="L1293" s="85">
        <v>12371.32</v>
      </c>
      <c r="M1293" s="89">
        <v>12189.456181533646</v>
      </c>
      <c r="N1293" s="85">
        <v>0</v>
      </c>
      <c r="O1293" s="85">
        <v>0</v>
      </c>
      <c r="P1293" s="85">
        <v>12189.456181533646</v>
      </c>
      <c r="Q1293" s="85">
        <v>16805.935924187099</v>
      </c>
      <c r="R1293" s="82" t="s">
        <v>4515</v>
      </c>
      <c r="S1293" s="7">
        <f t="shared" si="61"/>
        <v>0</v>
      </c>
      <c r="T1293" s="6">
        <f t="shared" si="62"/>
        <v>0</v>
      </c>
      <c r="U1293" s="25">
        <f t="shared" si="60"/>
        <v>0</v>
      </c>
    </row>
    <row r="1294" spans="1:21" ht="10.9" customHeight="1" x14ac:dyDescent="0.2">
      <c r="A1294" s="82" t="s">
        <v>5350</v>
      </c>
      <c r="B1294" s="83">
        <v>45821</v>
      </c>
      <c r="C1294" s="82" t="s">
        <v>3395</v>
      </c>
      <c r="D1294" s="82" t="s">
        <v>3509</v>
      </c>
      <c r="E1294" s="82"/>
      <c r="F1294" s="82" t="s">
        <v>5333</v>
      </c>
      <c r="G1294" s="89">
        <v>1</v>
      </c>
      <c r="H1294" s="89">
        <v>1638.44</v>
      </c>
      <c r="I1294" s="85">
        <v>0</v>
      </c>
      <c r="J1294" s="85">
        <v>0</v>
      </c>
      <c r="K1294" s="85">
        <v>1638.44</v>
      </c>
      <c r="L1294" s="85">
        <v>12371.32</v>
      </c>
      <c r="M1294" s="89">
        <v>2225.7542166579724</v>
      </c>
      <c r="N1294" s="85">
        <v>0</v>
      </c>
      <c r="O1294" s="85">
        <v>0</v>
      </c>
      <c r="P1294" s="85">
        <v>2225.7542166579724</v>
      </c>
      <c r="Q1294" s="85">
        <v>16805.935924187099</v>
      </c>
      <c r="R1294" s="82" t="s">
        <v>4515</v>
      </c>
      <c r="S1294" s="7">
        <f t="shared" si="61"/>
        <v>0</v>
      </c>
      <c r="T1294" s="6">
        <f t="shared" si="62"/>
        <v>0</v>
      </c>
      <c r="U1294" s="25">
        <f t="shared" si="60"/>
        <v>0</v>
      </c>
    </row>
    <row r="1295" spans="1:21" ht="10.9" customHeight="1" x14ac:dyDescent="0.2">
      <c r="A1295" s="82" t="s">
        <v>5350</v>
      </c>
      <c r="B1295" s="83">
        <v>45821</v>
      </c>
      <c r="C1295" s="82" t="s">
        <v>3395</v>
      </c>
      <c r="D1295" s="82" t="s">
        <v>3509</v>
      </c>
      <c r="E1295" s="82"/>
      <c r="F1295" s="82" t="s">
        <v>5331</v>
      </c>
      <c r="G1295" s="89">
        <v>1</v>
      </c>
      <c r="H1295" s="89">
        <v>1759.88</v>
      </c>
      <c r="I1295" s="85">
        <v>0</v>
      </c>
      <c r="J1295" s="85">
        <v>0</v>
      </c>
      <c r="K1295" s="85">
        <v>1759.88</v>
      </c>
      <c r="L1295" s="85">
        <v>12371.32</v>
      </c>
      <c r="M1295" s="89">
        <v>2390.7255259954791</v>
      </c>
      <c r="N1295" s="85">
        <v>0</v>
      </c>
      <c r="O1295" s="85">
        <v>0</v>
      </c>
      <c r="P1295" s="85">
        <v>2390.7255259954791</v>
      </c>
      <c r="Q1295" s="85">
        <v>16805.935924187099</v>
      </c>
      <c r="R1295" s="82" t="s">
        <v>4515</v>
      </c>
      <c r="S1295" s="7">
        <f t="shared" si="61"/>
        <v>0</v>
      </c>
      <c r="T1295" s="6">
        <f t="shared" si="62"/>
        <v>0</v>
      </c>
      <c r="U1295" s="25">
        <f t="shared" si="60"/>
        <v>0</v>
      </c>
    </row>
    <row r="1296" spans="1:21" ht="10.9" customHeight="1" x14ac:dyDescent="0.2">
      <c r="A1296" s="82" t="s">
        <v>2751</v>
      </c>
      <c r="B1296" s="83">
        <v>45821</v>
      </c>
      <c r="C1296" s="82" t="s">
        <v>3395</v>
      </c>
      <c r="D1296" s="82" t="s">
        <v>1434</v>
      </c>
      <c r="E1296" s="82"/>
      <c r="F1296" s="82" t="s">
        <v>5344</v>
      </c>
      <c r="G1296" s="89">
        <v>1</v>
      </c>
      <c r="H1296" s="89">
        <v>448.78</v>
      </c>
      <c r="I1296" s="85">
        <v>0</v>
      </c>
      <c r="J1296" s="85">
        <v>0</v>
      </c>
      <c r="K1296" s="85">
        <v>448.78</v>
      </c>
      <c r="L1296" s="85">
        <v>448.78</v>
      </c>
      <c r="M1296" s="89">
        <v>609.64526790675052</v>
      </c>
      <c r="N1296" s="85">
        <v>0</v>
      </c>
      <c r="O1296" s="85">
        <v>0</v>
      </c>
      <c r="P1296" s="85">
        <v>609.64526790675052</v>
      </c>
      <c r="Q1296" s="85">
        <v>609.64526790675052</v>
      </c>
      <c r="R1296" s="82" t="s">
        <v>3399</v>
      </c>
      <c r="S1296" s="7">
        <f t="shared" si="61"/>
        <v>0</v>
      </c>
      <c r="T1296" s="6">
        <f t="shared" si="62"/>
        <v>0</v>
      </c>
      <c r="U1296" s="25">
        <f t="shared" si="60"/>
        <v>0</v>
      </c>
    </row>
    <row r="1297" spans="1:21" ht="10.9" customHeight="1" x14ac:dyDescent="0.2">
      <c r="A1297" s="82" t="s">
        <v>2832</v>
      </c>
      <c r="B1297" s="83">
        <v>45821</v>
      </c>
      <c r="C1297" s="82" t="s">
        <v>3395</v>
      </c>
      <c r="D1297" s="82" t="s">
        <v>1283</v>
      </c>
      <c r="E1297" s="82"/>
      <c r="F1297" s="82" t="s">
        <v>5349</v>
      </c>
      <c r="G1297" s="89">
        <v>2</v>
      </c>
      <c r="H1297" s="89">
        <v>73.78</v>
      </c>
      <c r="I1297" s="85">
        <v>0</v>
      </c>
      <c r="J1297" s="85">
        <v>7.38</v>
      </c>
      <c r="K1297" s="85">
        <v>154.94</v>
      </c>
      <c r="L1297" s="85">
        <v>154.94</v>
      </c>
      <c r="M1297" s="89">
        <v>73.78</v>
      </c>
      <c r="N1297" s="85">
        <v>0</v>
      </c>
      <c r="O1297" s="85">
        <v>7.38</v>
      </c>
      <c r="P1297" s="85">
        <v>154.94</v>
      </c>
      <c r="Q1297" s="85">
        <v>154.94</v>
      </c>
      <c r="R1297" s="82" t="s">
        <v>3399</v>
      </c>
      <c r="S1297" s="7">
        <f t="shared" si="61"/>
        <v>0</v>
      </c>
      <c r="T1297" s="6">
        <f t="shared" si="62"/>
        <v>0</v>
      </c>
      <c r="U1297" s="25">
        <f t="shared" si="60"/>
        <v>0</v>
      </c>
    </row>
    <row r="1298" spans="1:21" ht="10.9" customHeight="1" x14ac:dyDescent="0.2">
      <c r="A1298" s="82" t="s">
        <v>2734</v>
      </c>
      <c r="B1298" s="83">
        <v>45821</v>
      </c>
      <c r="C1298" s="82" t="s">
        <v>3395</v>
      </c>
      <c r="D1298" s="82" t="s">
        <v>1464</v>
      </c>
      <c r="E1298" s="82"/>
      <c r="F1298" s="82" t="s">
        <v>5348</v>
      </c>
      <c r="G1298" s="89">
        <v>2</v>
      </c>
      <c r="H1298" s="89">
        <v>919.78</v>
      </c>
      <c r="I1298" s="85">
        <v>0</v>
      </c>
      <c r="J1298" s="85">
        <v>91.98</v>
      </c>
      <c r="K1298" s="85">
        <v>1931.54</v>
      </c>
      <c r="L1298" s="85">
        <v>1931.54</v>
      </c>
      <c r="M1298" s="89">
        <v>919.78</v>
      </c>
      <c r="N1298" s="85">
        <v>0</v>
      </c>
      <c r="O1298" s="85">
        <v>91.98</v>
      </c>
      <c r="P1298" s="85">
        <v>1931.54</v>
      </c>
      <c r="Q1298" s="85">
        <v>1931.54</v>
      </c>
      <c r="R1298" s="82" t="s">
        <v>3399</v>
      </c>
      <c r="S1298" s="7">
        <f t="shared" si="61"/>
        <v>0</v>
      </c>
      <c r="T1298" s="6">
        <f t="shared" si="62"/>
        <v>0</v>
      </c>
      <c r="U1298" s="25">
        <f t="shared" si="60"/>
        <v>0</v>
      </c>
    </row>
    <row r="1299" spans="1:21" ht="10.9" customHeight="1" x14ac:dyDescent="0.2">
      <c r="A1299" s="82" t="s">
        <v>2750</v>
      </c>
      <c r="B1299" s="83">
        <v>45821</v>
      </c>
      <c r="C1299" s="82" t="s">
        <v>3395</v>
      </c>
      <c r="D1299" s="82" t="s">
        <v>1436</v>
      </c>
      <c r="E1299" s="82"/>
      <c r="F1299" s="82" t="s">
        <v>5347</v>
      </c>
      <c r="G1299" s="89">
        <v>2</v>
      </c>
      <c r="H1299" s="89">
        <v>74.8</v>
      </c>
      <c r="I1299" s="85">
        <v>0</v>
      </c>
      <c r="J1299" s="85">
        <v>7.48</v>
      </c>
      <c r="K1299" s="85">
        <v>157.08000000000001</v>
      </c>
      <c r="L1299" s="85">
        <v>157.08000000000001</v>
      </c>
      <c r="M1299" s="89">
        <v>74.8</v>
      </c>
      <c r="N1299" s="85">
        <v>0</v>
      </c>
      <c r="O1299" s="85">
        <v>7.48</v>
      </c>
      <c r="P1299" s="85">
        <v>157.08000000000001</v>
      </c>
      <c r="Q1299" s="85">
        <v>157.08000000000001</v>
      </c>
      <c r="R1299" s="82" t="s">
        <v>3399</v>
      </c>
      <c r="S1299" s="7">
        <f t="shared" si="61"/>
        <v>0</v>
      </c>
      <c r="T1299" s="6">
        <f t="shared" si="62"/>
        <v>0</v>
      </c>
      <c r="U1299" s="25">
        <f t="shared" si="60"/>
        <v>0</v>
      </c>
    </row>
    <row r="1300" spans="1:21" ht="10.9" customHeight="1" x14ac:dyDescent="0.2">
      <c r="A1300" s="82" t="s">
        <v>2513</v>
      </c>
      <c r="B1300" s="83">
        <v>45821</v>
      </c>
      <c r="C1300" s="82" t="s">
        <v>3395</v>
      </c>
      <c r="D1300" s="82" t="s">
        <v>1845</v>
      </c>
      <c r="E1300" s="82"/>
      <c r="F1300" s="82" t="s">
        <v>5059</v>
      </c>
      <c r="G1300" s="89">
        <v>1</v>
      </c>
      <c r="H1300" s="89">
        <v>998.11</v>
      </c>
      <c r="I1300" s="85">
        <v>0</v>
      </c>
      <c r="J1300" s="85">
        <v>49.91</v>
      </c>
      <c r="K1300" s="85">
        <v>1048.02</v>
      </c>
      <c r="L1300" s="85">
        <v>1245.19</v>
      </c>
      <c r="M1300" s="89">
        <v>998.11</v>
      </c>
      <c r="N1300" s="85">
        <v>0</v>
      </c>
      <c r="O1300" s="85">
        <v>49.91</v>
      </c>
      <c r="P1300" s="85">
        <v>1048.02</v>
      </c>
      <c r="Q1300" s="85">
        <v>1245.19</v>
      </c>
      <c r="R1300" s="82" t="s">
        <v>3399</v>
      </c>
      <c r="S1300" s="7">
        <f t="shared" si="61"/>
        <v>0</v>
      </c>
      <c r="T1300" s="6">
        <f t="shared" si="62"/>
        <v>0</v>
      </c>
      <c r="U1300" s="25">
        <f t="shared" si="60"/>
        <v>0</v>
      </c>
    </row>
    <row r="1301" spans="1:21" ht="10.9" customHeight="1" x14ac:dyDescent="0.2">
      <c r="A1301" s="82" t="s">
        <v>2513</v>
      </c>
      <c r="B1301" s="83">
        <v>45821</v>
      </c>
      <c r="C1301" s="82" t="s">
        <v>3395</v>
      </c>
      <c r="D1301" s="82" t="s">
        <v>1845</v>
      </c>
      <c r="E1301" s="82"/>
      <c r="F1301" s="82" t="s">
        <v>4768</v>
      </c>
      <c r="G1301" s="89">
        <v>1</v>
      </c>
      <c r="H1301" s="89">
        <v>187.78</v>
      </c>
      <c r="I1301" s="85">
        <v>0</v>
      </c>
      <c r="J1301" s="85">
        <v>9.39</v>
      </c>
      <c r="K1301" s="85">
        <v>197.17</v>
      </c>
      <c r="L1301" s="85">
        <v>1245.19</v>
      </c>
      <c r="M1301" s="89">
        <v>187.78</v>
      </c>
      <c r="N1301" s="85">
        <v>0</v>
      </c>
      <c r="O1301" s="85">
        <v>9.39</v>
      </c>
      <c r="P1301" s="85">
        <v>197.17</v>
      </c>
      <c r="Q1301" s="85">
        <v>1245.19</v>
      </c>
      <c r="R1301" s="82" t="s">
        <v>3399</v>
      </c>
      <c r="S1301" s="7">
        <f t="shared" si="61"/>
        <v>0</v>
      </c>
      <c r="T1301" s="6">
        <f t="shared" si="62"/>
        <v>0</v>
      </c>
      <c r="U1301" s="25">
        <f t="shared" si="60"/>
        <v>0</v>
      </c>
    </row>
    <row r="1302" spans="1:21" ht="10.9" customHeight="1" x14ac:dyDescent="0.2">
      <c r="A1302" s="82" t="s">
        <v>2504</v>
      </c>
      <c r="B1302" s="83">
        <v>45821</v>
      </c>
      <c r="C1302" s="82" t="s">
        <v>3395</v>
      </c>
      <c r="D1302" s="82" t="s">
        <v>1860</v>
      </c>
      <c r="E1302" s="82"/>
      <c r="F1302" s="82" t="s">
        <v>5346</v>
      </c>
      <c r="G1302" s="89">
        <v>2</v>
      </c>
      <c r="H1302" s="89">
        <v>144.07</v>
      </c>
      <c r="I1302" s="85">
        <v>0</v>
      </c>
      <c r="J1302" s="85">
        <v>14.41</v>
      </c>
      <c r="K1302" s="85">
        <v>302.55</v>
      </c>
      <c r="L1302" s="85">
        <v>564.62</v>
      </c>
      <c r="M1302" s="89">
        <v>144.07</v>
      </c>
      <c r="N1302" s="85">
        <v>0</v>
      </c>
      <c r="O1302" s="85">
        <v>14.41</v>
      </c>
      <c r="P1302" s="85">
        <v>302.55</v>
      </c>
      <c r="Q1302" s="85">
        <v>564.62</v>
      </c>
      <c r="R1302" s="82" t="s">
        <v>3399</v>
      </c>
      <c r="S1302" s="7">
        <f t="shared" si="61"/>
        <v>0</v>
      </c>
      <c r="T1302" s="6">
        <f t="shared" si="62"/>
        <v>0</v>
      </c>
      <c r="U1302" s="25">
        <f t="shared" si="60"/>
        <v>0</v>
      </c>
    </row>
    <row r="1303" spans="1:21" ht="10.9" customHeight="1" x14ac:dyDescent="0.2">
      <c r="A1303" s="82" t="s">
        <v>2504</v>
      </c>
      <c r="B1303" s="83">
        <v>45821</v>
      </c>
      <c r="C1303" s="82" t="s">
        <v>3395</v>
      </c>
      <c r="D1303" s="82" t="s">
        <v>1860</v>
      </c>
      <c r="E1303" s="82"/>
      <c r="F1303" s="82" t="s">
        <v>5345</v>
      </c>
      <c r="G1303" s="89">
        <v>1</v>
      </c>
      <c r="H1303" s="89">
        <v>249.59</v>
      </c>
      <c r="I1303" s="85">
        <v>0</v>
      </c>
      <c r="J1303" s="85">
        <v>12.48</v>
      </c>
      <c r="K1303" s="85">
        <v>262.07</v>
      </c>
      <c r="L1303" s="85">
        <v>564.62</v>
      </c>
      <c r="M1303" s="89">
        <v>249.59</v>
      </c>
      <c r="N1303" s="85">
        <v>0</v>
      </c>
      <c r="O1303" s="85">
        <v>12.48</v>
      </c>
      <c r="P1303" s="85">
        <v>262.07</v>
      </c>
      <c r="Q1303" s="85">
        <v>564.62</v>
      </c>
      <c r="R1303" s="82" t="s">
        <v>3399</v>
      </c>
      <c r="S1303" s="7">
        <f t="shared" si="61"/>
        <v>0</v>
      </c>
      <c r="T1303" s="6">
        <f t="shared" si="62"/>
        <v>0</v>
      </c>
      <c r="U1303" s="25">
        <f t="shared" si="60"/>
        <v>0</v>
      </c>
    </row>
    <row r="1304" spans="1:21" ht="10.9" customHeight="1" x14ac:dyDescent="0.2">
      <c r="A1304" s="82" t="s">
        <v>2869</v>
      </c>
      <c r="B1304" s="83">
        <v>45821</v>
      </c>
      <c r="C1304" s="82" t="s">
        <v>3395</v>
      </c>
      <c r="D1304" s="82" t="s">
        <v>1222</v>
      </c>
      <c r="E1304" s="82"/>
      <c r="F1304" s="82" t="s">
        <v>5037</v>
      </c>
      <c r="G1304" s="89">
        <v>2</v>
      </c>
      <c r="H1304" s="89">
        <v>711.25</v>
      </c>
      <c r="I1304" s="85">
        <v>0</v>
      </c>
      <c r="J1304" s="85">
        <v>71.13</v>
      </c>
      <c r="K1304" s="85">
        <v>1493.63</v>
      </c>
      <c r="L1304" s="85">
        <v>1493.63</v>
      </c>
      <c r="M1304" s="89">
        <v>711.25</v>
      </c>
      <c r="N1304" s="85">
        <v>0</v>
      </c>
      <c r="O1304" s="85">
        <v>71.13</v>
      </c>
      <c r="P1304" s="85">
        <v>1493.63</v>
      </c>
      <c r="Q1304" s="85">
        <v>1493.63</v>
      </c>
      <c r="R1304" s="82" t="s">
        <v>3399</v>
      </c>
      <c r="S1304" s="7">
        <f t="shared" si="61"/>
        <v>0</v>
      </c>
      <c r="T1304" s="6">
        <f t="shared" si="62"/>
        <v>0</v>
      </c>
      <c r="U1304" s="25">
        <f t="shared" si="60"/>
        <v>0</v>
      </c>
    </row>
    <row r="1305" spans="1:21" ht="10.9" customHeight="1" x14ac:dyDescent="0.2">
      <c r="A1305" s="82" t="s">
        <v>2870</v>
      </c>
      <c r="B1305" s="83">
        <v>45821</v>
      </c>
      <c r="C1305" s="82" t="s">
        <v>3395</v>
      </c>
      <c r="D1305" s="82" t="s">
        <v>1220</v>
      </c>
      <c r="E1305" s="82"/>
      <c r="F1305" s="82" t="s">
        <v>4849</v>
      </c>
      <c r="G1305" s="89">
        <v>1</v>
      </c>
      <c r="H1305" s="89">
        <v>232.19</v>
      </c>
      <c r="I1305" s="85">
        <v>0</v>
      </c>
      <c r="J1305" s="85">
        <v>11.61</v>
      </c>
      <c r="K1305" s="85">
        <v>243.8</v>
      </c>
      <c r="L1305" s="85">
        <v>480.54</v>
      </c>
      <c r="M1305" s="89">
        <v>232.19</v>
      </c>
      <c r="N1305" s="85">
        <v>0</v>
      </c>
      <c r="O1305" s="85">
        <v>11.61</v>
      </c>
      <c r="P1305" s="85">
        <v>243.8</v>
      </c>
      <c r="Q1305" s="85">
        <v>480.54</v>
      </c>
      <c r="R1305" s="82" t="s">
        <v>3399</v>
      </c>
      <c r="S1305" s="7">
        <f t="shared" si="61"/>
        <v>0</v>
      </c>
      <c r="T1305" s="6">
        <f t="shared" si="62"/>
        <v>0</v>
      </c>
      <c r="U1305" s="25">
        <f t="shared" si="60"/>
        <v>0</v>
      </c>
    </row>
    <row r="1306" spans="1:21" ht="10.9" customHeight="1" x14ac:dyDescent="0.2">
      <c r="A1306" s="82" t="s">
        <v>2870</v>
      </c>
      <c r="B1306" s="83">
        <v>45821</v>
      </c>
      <c r="C1306" s="82" t="s">
        <v>3395</v>
      </c>
      <c r="D1306" s="82" t="s">
        <v>1220</v>
      </c>
      <c r="E1306" s="82"/>
      <c r="F1306" s="82" t="s">
        <v>4850</v>
      </c>
      <c r="G1306" s="89">
        <v>1</v>
      </c>
      <c r="H1306" s="89">
        <v>225.47</v>
      </c>
      <c r="I1306" s="85">
        <v>0</v>
      </c>
      <c r="J1306" s="85">
        <v>11.27</v>
      </c>
      <c r="K1306" s="85">
        <v>236.74</v>
      </c>
      <c r="L1306" s="85">
        <v>480.54</v>
      </c>
      <c r="M1306" s="89">
        <v>225.47</v>
      </c>
      <c r="N1306" s="85">
        <v>0</v>
      </c>
      <c r="O1306" s="85">
        <v>11.27</v>
      </c>
      <c r="P1306" s="85">
        <v>236.74</v>
      </c>
      <c r="Q1306" s="85">
        <v>480.54</v>
      </c>
      <c r="R1306" s="82" t="s">
        <v>3399</v>
      </c>
      <c r="S1306" s="7">
        <f t="shared" si="61"/>
        <v>0</v>
      </c>
      <c r="T1306" s="6">
        <f t="shared" si="62"/>
        <v>0</v>
      </c>
      <c r="U1306" s="25">
        <f t="shared" si="60"/>
        <v>0</v>
      </c>
    </row>
    <row r="1307" spans="1:21" ht="10.9" customHeight="1" x14ac:dyDescent="0.2">
      <c r="A1307" s="82" t="s">
        <v>3527</v>
      </c>
      <c r="B1307" s="83">
        <v>45824</v>
      </c>
      <c r="C1307" s="82" t="s">
        <v>3395</v>
      </c>
      <c r="D1307" s="82" t="s">
        <v>3520</v>
      </c>
      <c r="E1307" s="82"/>
      <c r="F1307" s="82" t="s">
        <v>5337</v>
      </c>
      <c r="G1307" s="89">
        <v>6</v>
      </c>
      <c r="H1307" s="89">
        <v>16.5</v>
      </c>
      <c r="I1307" s="85">
        <v>0</v>
      </c>
      <c r="J1307" s="85">
        <v>0</v>
      </c>
      <c r="K1307" s="85">
        <v>99</v>
      </c>
      <c r="L1307" s="85">
        <v>5025</v>
      </c>
      <c r="M1307" s="89">
        <v>22.395930184420305</v>
      </c>
      <c r="N1307" s="85">
        <v>0</v>
      </c>
      <c r="O1307" s="85">
        <v>0</v>
      </c>
      <c r="P1307" s="85">
        <v>134.37558110652182</v>
      </c>
      <c r="Q1307" s="85">
        <v>6820.5787379825479</v>
      </c>
      <c r="R1307" s="82" t="s">
        <v>3399</v>
      </c>
      <c r="S1307" s="7">
        <f t="shared" si="61"/>
        <v>0</v>
      </c>
      <c r="T1307" s="6">
        <f t="shared" si="62"/>
        <v>0</v>
      </c>
      <c r="U1307" s="25">
        <f t="shared" si="60"/>
        <v>0</v>
      </c>
    </row>
    <row r="1308" spans="1:21" ht="10.9" customHeight="1" x14ac:dyDescent="0.2">
      <c r="A1308" s="82" t="s">
        <v>3527</v>
      </c>
      <c r="B1308" s="83">
        <v>45824</v>
      </c>
      <c r="C1308" s="82" t="s">
        <v>3395</v>
      </c>
      <c r="D1308" s="82" t="s">
        <v>3520</v>
      </c>
      <c r="E1308" s="82"/>
      <c r="F1308" s="82" t="s">
        <v>5336</v>
      </c>
      <c r="G1308" s="89">
        <v>4</v>
      </c>
      <c r="H1308" s="89">
        <v>16.5</v>
      </c>
      <c r="I1308" s="85">
        <v>0</v>
      </c>
      <c r="J1308" s="85">
        <v>0</v>
      </c>
      <c r="K1308" s="85">
        <v>66</v>
      </c>
      <c r="L1308" s="85">
        <v>5025</v>
      </c>
      <c r="M1308" s="89">
        <v>22.395930184420305</v>
      </c>
      <c r="N1308" s="85">
        <v>0</v>
      </c>
      <c r="O1308" s="85">
        <v>0</v>
      </c>
      <c r="P1308" s="85">
        <v>89.583720737681219</v>
      </c>
      <c r="Q1308" s="85">
        <v>6820.5787379825479</v>
      </c>
      <c r="R1308" s="82" t="s">
        <v>3399</v>
      </c>
      <c r="S1308" s="7">
        <f t="shared" si="61"/>
        <v>0</v>
      </c>
      <c r="T1308" s="6">
        <f t="shared" si="62"/>
        <v>0</v>
      </c>
      <c r="U1308" s="25">
        <f t="shared" si="60"/>
        <v>0</v>
      </c>
    </row>
    <row r="1309" spans="1:21" ht="10.9" customHeight="1" x14ac:dyDescent="0.2">
      <c r="A1309" s="82" t="s">
        <v>3527</v>
      </c>
      <c r="B1309" s="83">
        <v>45824</v>
      </c>
      <c r="C1309" s="82" t="s">
        <v>3395</v>
      </c>
      <c r="D1309" s="82" t="s">
        <v>3520</v>
      </c>
      <c r="E1309" s="82"/>
      <c r="F1309" s="82" t="s">
        <v>5335</v>
      </c>
      <c r="G1309" s="89">
        <v>4</v>
      </c>
      <c r="H1309" s="89">
        <v>1215</v>
      </c>
      <c r="I1309" s="85">
        <v>0</v>
      </c>
      <c r="J1309" s="85">
        <v>0</v>
      </c>
      <c r="K1309" s="85">
        <v>4860</v>
      </c>
      <c r="L1309" s="85">
        <v>5025</v>
      </c>
      <c r="M1309" s="89">
        <v>1649.154859034586</v>
      </c>
      <c r="N1309" s="85">
        <v>0</v>
      </c>
      <c r="O1309" s="85">
        <v>0</v>
      </c>
      <c r="P1309" s="85">
        <v>6596.6194361383441</v>
      </c>
      <c r="Q1309" s="85">
        <v>6820.5787379825479</v>
      </c>
      <c r="R1309" s="82" t="s">
        <v>3399</v>
      </c>
      <c r="S1309" s="7">
        <f t="shared" si="61"/>
        <v>0</v>
      </c>
      <c r="T1309" s="6">
        <f t="shared" si="62"/>
        <v>0</v>
      </c>
      <c r="U1309" s="25">
        <f t="shared" si="60"/>
        <v>0</v>
      </c>
    </row>
    <row r="1310" spans="1:21" ht="10.9" customHeight="1" x14ac:dyDescent="0.2">
      <c r="A1310" s="82" t="s">
        <v>2874</v>
      </c>
      <c r="B1310" s="83">
        <v>45824</v>
      </c>
      <c r="C1310" s="82" t="s">
        <v>3395</v>
      </c>
      <c r="D1310" s="82" t="s">
        <v>1212</v>
      </c>
      <c r="E1310" s="82"/>
      <c r="F1310" s="82" t="s">
        <v>5072</v>
      </c>
      <c r="G1310" s="89">
        <v>2</v>
      </c>
      <c r="H1310" s="89">
        <v>110.8</v>
      </c>
      <c r="I1310" s="85">
        <v>0</v>
      </c>
      <c r="J1310" s="85">
        <v>11.08</v>
      </c>
      <c r="K1310" s="85">
        <v>232.68</v>
      </c>
      <c r="L1310" s="85">
        <v>601.01</v>
      </c>
      <c r="M1310" s="89">
        <v>110.8</v>
      </c>
      <c r="N1310" s="85">
        <v>0</v>
      </c>
      <c r="O1310" s="85">
        <v>11.08</v>
      </c>
      <c r="P1310" s="85">
        <v>232.68</v>
      </c>
      <c r="Q1310" s="85">
        <v>601.01</v>
      </c>
      <c r="R1310" s="82" t="s">
        <v>3399</v>
      </c>
      <c r="S1310" s="7">
        <f t="shared" si="61"/>
        <v>0</v>
      </c>
      <c r="T1310" s="6">
        <f t="shared" si="62"/>
        <v>0</v>
      </c>
      <c r="U1310" s="25">
        <f t="shared" si="60"/>
        <v>0</v>
      </c>
    </row>
    <row r="1311" spans="1:21" ht="10.9" customHeight="1" x14ac:dyDescent="0.2">
      <c r="A1311" s="82" t="s">
        <v>2874</v>
      </c>
      <c r="B1311" s="83">
        <v>45824</v>
      </c>
      <c r="C1311" s="82" t="s">
        <v>3395</v>
      </c>
      <c r="D1311" s="82" t="s">
        <v>1212</v>
      </c>
      <c r="E1311" s="82"/>
      <c r="F1311" s="82" t="s">
        <v>4718</v>
      </c>
      <c r="G1311" s="89">
        <v>1</v>
      </c>
      <c r="H1311" s="89">
        <v>127.69</v>
      </c>
      <c r="I1311" s="85">
        <v>0</v>
      </c>
      <c r="J1311" s="85">
        <v>6.38</v>
      </c>
      <c r="K1311" s="85">
        <v>134.07</v>
      </c>
      <c r="L1311" s="85">
        <v>601.01</v>
      </c>
      <c r="M1311" s="89">
        <v>127.69</v>
      </c>
      <c r="N1311" s="85">
        <v>0</v>
      </c>
      <c r="O1311" s="85">
        <v>6.38</v>
      </c>
      <c r="P1311" s="85">
        <v>134.07</v>
      </c>
      <c r="Q1311" s="85">
        <v>601.01</v>
      </c>
      <c r="R1311" s="82" t="s">
        <v>3399</v>
      </c>
      <c r="S1311" s="7">
        <f t="shared" si="61"/>
        <v>0</v>
      </c>
      <c r="T1311" s="6">
        <f t="shared" si="62"/>
        <v>0</v>
      </c>
      <c r="U1311" s="25">
        <f t="shared" si="60"/>
        <v>0</v>
      </c>
    </row>
    <row r="1312" spans="1:21" ht="10.9" customHeight="1" x14ac:dyDescent="0.2">
      <c r="A1312" s="82" t="s">
        <v>2874</v>
      </c>
      <c r="B1312" s="83">
        <v>45824</v>
      </c>
      <c r="C1312" s="82" t="s">
        <v>3395</v>
      </c>
      <c r="D1312" s="82" t="s">
        <v>1212</v>
      </c>
      <c r="E1312" s="82"/>
      <c r="F1312" s="82" t="s">
        <v>5343</v>
      </c>
      <c r="G1312" s="89">
        <v>1</v>
      </c>
      <c r="H1312" s="89">
        <v>95.07</v>
      </c>
      <c r="I1312" s="85">
        <v>0</v>
      </c>
      <c r="J1312" s="85">
        <v>4.75</v>
      </c>
      <c r="K1312" s="85">
        <v>99.82</v>
      </c>
      <c r="L1312" s="85">
        <v>601.01</v>
      </c>
      <c r="M1312" s="89">
        <v>95.07</v>
      </c>
      <c r="N1312" s="85">
        <v>0</v>
      </c>
      <c r="O1312" s="85">
        <v>4.75</v>
      </c>
      <c r="P1312" s="85">
        <v>99.82</v>
      </c>
      <c r="Q1312" s="85">
        <v>601.01</v>
      </c>
      <c r="R1312" s="82" t="s">
        <v>3399</v>
      </c>
      <c r="S1312" s="7">
        <f t="shared" si="61"/>
        <v>0</v>
      </c>
      <c r="T1312" s="6">
        <f t="shared" si="62"/>
        <v>0</v>
      </c>
      <c r="U1312" s="25">
        <f t="shared" si="60"/>
        <v>0</v>
      </c>
    </row>
    <row r="1313" spans="1:21" ht="10.9" customHeight="1" x14ac:dyDescent="0.2">
      <c r="A1313" s="82" t="s">
        <v>2874</v>
      </c>
      <c r="B1313" s="83">
        <v>45824</v>
      </c>
      <c r="C1313" s="82" t="s">
        <v>3395</v>
      </c>
      <c r="D1313" s="82" t="s">
        <v>1212</v>
      </c>
      <c r="E1313" s="82"/>
      <c r="F1313" s="82" t="s">
        <v>5342</v>
      </c>
      <c r="G1313" s="89">
        <v>2</v>
      </c>
      <c r="H1313" s="89">
        <v>64.02</v>
      </c>
      <c r="I1313" s="85">
        <v>0</v>
      </c>
      <c r="J1313" s="85">
        <v>6.4</v>
      </c>
      <c r="K1313" s="85">
        <v>134.44</v>
      </c>
      <c r="L1313" s="85">
        <v>601.01</v>
      </c>
      <c r="M1313" s="89">
        <v>64.02</v>
      </c>
      <c r="N1313" s="85">
        <v>0</v>
      </c>
      <c r="O1313" s="85">
        <v>6.4</v>
      </c>
      <c r="P1313" s="85">
        <v>134.44</v>
      </c>
      <c r="Q1313" s="85">
        <v>601.01</v>
      </c>
      <c r="R1313" s="82" t="s">
        <v>3399</v>
      </c>
      <c r="S1313" s="7">
        <f t="shared" si="61"/>
        <v>0</v>
      </c>
      <c r="T1313" s="6">
        <f t="shared" si="62"/>
        <v>0</v>
      </c>
      <c r="U1313" s="25">
        <f t="shared" si="60"/>
        <v>0</v>
      </c>
    </row>
    <row r="1314" spans="1:21" ht="10.9" customHeight="1" x14ac:dyDescent="0.2">
      <c r="A1314" s="82" t="s">
        <v>2872</v>
      </c>
      <c r="B1314" s="83">
        <v>45824</v>
      </c>
      <c r="C1314" s="82" t="s">
        <v>3395</v>
      </c>
      <c r="D1314" s="82" t="s">
        <v>1216</v>
      </c>
      <c r="E1314" s="82"/>
      <c r="F1314" s="82" t="s">
        <v>4959</v>
      </c>
      <c r="G1314" s="89">
        <v>1</v>
      </c>
      <c r="H1314" s="89">
        <v>3048.78</v>
      </c>
      <c r="I1314" s="85">
        <v>0</v>
      </c>
      <c r="J1314" s="85">
        <v>152.44</v>
      </c>
      <c r="K1314" s="85">
        <v>3201.22</v>
      </c>
      <c r="L1314" s="85">
        <v>3201.22</v>
      </c>
      <c r="M1314" s="89">
        <v>3048.78</v>
      </c>
      <c r="N1314" s="85">
        <v>0</v>
      </c>
      <c r="O1314" s="85">
        <v>152.44</v>
      </c>
      <c r="P1314" s="85">
        <v>3201.22</v>
      </c>
      <c r="Q1314" s="85">
        <v>3201.22</v>
      </c>
      <c r="R1314" s="82" t="s">
        <v>3399</v>
      </c>
      <c r="S1314" s="7">
        <f t="shared" si="61"/>
        <v>0</v>
      </c>
      <c r="T1314" s="6">
        <f t="shared" si="62"/>
        <v>0</v>
      </c>
      <c r="U1314" s="25">
        <f t="shared" si="60"/>
        <v>0</v>
      </c>
    </row>
    <row r="1315" spans="1:21" ht="10.9" customHeight="1" x14ac:dyDescent="0.2">
      <c r="A1315" s="82" t="s">
        <v>2629</v>
      </c>
      <c r="B1315" s="83">
        <v>45824</v>
      </c>
      <c r="C1315" s="82" t="s">
        <v>3395</v>
      </c>
      <c r="D1315" s="82" t="s">
        <v>3526</v>
      </c>
      <c r="E1315" s="82"/>
      <c r="F1315" s="82" t="s">
        <v>5341</v>
      </c>
      <c r="G1315" s="89">
        <v>3</v>
      </c>
      <c r="H1315" s="89">
        <v>8978.1</v>
      </c>
      <c r="I1315" s="85">
        <v>0</v>
      </c>
      <c r="J1315" s="85">
        <v>3501.46</v>
      </c>
      <c r="K1315" s="85">
        <v>30435.759999999998</v>
      </c>
      <c r="L1315" s="85">
        <v>37243.99</v>
      </c>
      <c r="M1315" s="89">
        <v>8978.1</v>
      </c>
      <c r="N1315" s="85">
        <v>0</v>
      </c>
      <c r="O1315" s="85">
        <v>3501.46</v>
      </c>
      <c r="P1315" s="85">
        <v>30435.759999999998</v>
      </c>
      <c r="Q1315" s="85">
        <v>37243.99</v>
      </c>
      <c r="R1315" s="82" t="s">
        <v>3399</v>
      </c>
      <c r="S1315" s="7">
        <f t="shared" si="61"/>
        <v>0</v>
      </c>
      <c r="T1315" s="6">
        <f t="shared" si="62"/>
        <v>0</v>
      </c>
      <c r="U1315" s="25">
        <f t="shared" si="60"/>
        <v>0</v>
      </c>
    </row>
    <row r="1316" spans="1:21" ht="10.9" customHeight="1" x14ac:dyDescent="0.2">
      <c r="A1316" s="82" t="s">
        <v>2629</v>
      </c>
      <c r="B1316" s="83">
        <v>45824</v>
      </c>
      <c r="C1316" s="82" t="s">
        <v>3395</v>
      </c>
      <c r="D1316" s="82" t="s">
        <v>3526</v>
      </c>
      <c r="E1316" s="82"/>
      <c r="F1316" s="82" t="s">
        <v>5340</v>
      </c>
      <c r="G1316" s="89">
        <v>1</v>
      </c>
      <c r="H1316" s="89">
        <v>6024.98</v>
      </c>
      <c r="I1316" s="85">
        <v>0</v>
      </c>
      <c r="J1316" s="85">
        <v>783.25</v>
      </c>
      <c r="K1316" s="85">
        <v>6808.23</v>
      </c>
      <c r="L1316" s="85">
        <v>37243.99</v>
      </c>
      <c r="M1316" s="89">
        <v>6024.98</v>
      </c>
      <c r="N1316" s="85">
        <v>0</v>
      </c>
      <c r="O1316" s="85">
        <v>783.25</v>
      </c>
      <c r="P1316" s="85">
        <v>6808.23</v>
      </c>
      <c r="Q1316" s="85">
        <v>37243.99</v>
      </c>
      <c r="R1316" s="82" t="s">
        <v>3399</v>
      </c>
      <c r="S1316" s="7">
        <f t="shared" si="61"/>
        <v>0</v>
      </c>
      <c r="T1316" s="6">
        <f t="shared" si="62"/>
        <v>0</v>
      </c>
      <c r="U1316" s="25">
        <f t="shared" si="60"/>
        <v>0</v>
      </c>
    </row>
    <row r="1317" spans="1:21" ht="10.9" customHeight="1" x14ac:dyDescent="0.2">
      <c r="A1317" s="82" t="s">
        <v>2726</v>
      </c>
      <c r="B1317" s="83">
        <v>45824</v>
      </c>
      <c r="C1317" s="82" t="s">
        <v>3395</v>
      </c>
      <c r="D1317" s="82" t="s">
        <v>1478</v>
      </c>
      <c r="E1317" s="82"/>
      <c r="F1317" s="82" t="s">
        <v>4750</v>
      </c>
      <c r="G1317" s="89">
        <v>1</v>
      </c>
      <c r="H1317" s="89">
        <v>6197.11</v>
      </c>
      <c r="I1317" s="85">
        <v>0</v>
      </c>
      <c r="J1317" s="85">
        <v>309.86</v>
      </c>
      <c r="K1317" s="85">
        <v>6506.97</v>
      </c>
      <c r="L1317" s="85">
        <v>6506.97</v>
      </c>
      <c r="M1317" s="89">
        <v>6197.11</v>
      </c>
      <c r="N1317" s="85">
        <v>0</v>
      </c>
      <c r="O1317" s="85">
        <v>309.86</v>
      </c>
      <c r="P1317" s="85">
        <v>6506.97</v>
      </c>
      <c r="Q1317" s="85">
        <v>6506.97</v>
      </c>
      <c r="R1317" s="82" t="s">
        <v>3399</v>
      </c>
      <c r="S1317" s="7">
        <f t="shared" si="61"/>
        <v>0</v>
      </c>
      <c r="T1317" s="6">
        <f t="shared" si="62"/>
        <v>0</v>
      </c>
      <c r="U1317" s="25">
        <f t="shared" si="60"/>
        <v>0</v>
      </c>
    </row>
    <row r="1318" spans="1:21" ht="10.9" customHeight="1" x14ac:dyDescent="0.2">
      <c r="A1318" s="82" t="s">
        <v>2422</v>
      </c>
      <c r="B1318" s="83">
        <v>45824</v>
      </c>
      <c r="C1318" s="82" t="s">
        <v>3395</v>
      </c>
      <c r="D1318" s="82" t="s">
        <v>2008</v>
      </c>
      <c r="E1318" s="82"/>
      <c r="F1318" s="82" t="s">
        <v>5339</v>
      </c>
      <c r="G1318" s="89">
        <v>1</v>
      </c>
      <c r="H1318" s="89">
        <v>5714.85</v>
      </c>
      <c r="I1318" s="85">
        <v>0</v>
      </c>
      <c r="J1318" s="85">
        <v>285.74</v>
      </c>
      <c r="K1318" s="85">
        <v>6000.59</v>
      </c>
      <c r="L1318" s="85">
        <v>6000.59</v>
      </c>
      <c r="M1318" s="89">
        <v>5714.85</v>
      </c>
      <c r="N1318" s="85">
        <v>0</v>
      </c>
      <c r="O1318" s="85">
        <v>285.74</v>
      </c>
      <c r="P1318" s="85">
        <v>6000.59</v>
      </c>
      <c r="Q1318" s="85">
        <v>6000.59</v>
      </c>
      <c r="R1318" s="82" t="s">
        <v>3399</v>
      </c>
      <c r="S1318" s="7">
        <f t="shared" si="61"/>
        <v>0</v>
      </c>
      <c r="T1318" s="6">
        <f t="shared" si="62"/>
        <v>0</v>
      </c>
      <c r="U1318" s="25">
        <f t="shared" si="60"/>
        <v>0</v>
      </c>
    </row>
    <row r="1319" spans="1:21" ht="10.9" customHeight="1" x14ac:dyDescent="0.2">
      <c r="A1319" s="82" t="s">
        <v>2879</v>
      </c>
      <c r="B1319" s="83">
        <v>45824</v>
      </c>
      <c r="C1319" s="82" t="s">
        <v>3395</v>
      </c>
      <c r="D1319" s="82" t="s">
        <v>1204</v>
      </c>
      <c r="E1319" s="82"/>
      <c r="F1319" s="82" t="s">
        <v>5338</v>
      </c>
      <c r="G1319" s="89">
        <v>1</v>
      </c>
      <c r="H1319" s="89">
        <v>119.4</v>
      </c>
      <c r="I1319" s="85">
        <v>0</v>
      </c>
      <c r="J1319" s="85">
        <v>15.52</v>
      </c>
      <c r="K1319" s="85">
        <v>134.91999999999999</v>
      </c>
      <c r="L1319" s="85">
        <v>266.38</v>
      </c>
      <c r="M1319" s="89">
        <v>119.4</v>
      </c>
      <c r="N1319" s="85">
        <v>0</v>
      </c>
      <c r="O1319" s="85">
        <v>15.52</v>
      </c>
      <c r="P1319" s="85">
        <v>134.91999999999999</v>
      </c>
      <c r="Q1319" s="85">
        <v>266.38</v>
      </c>
      <c r="R1319" s="82" t="s">
        <v>3399</v>
      </c>
      <c r="S1319" s="7">
        <f t="shared" si="61"/>
        <v>0</v>
      </c>
      <c r="T1319" s="6">
        <f t="shared" si="62"/>
        <v>0</v>
      </c>
      <c r="U1319" s="25">
        <f t="shared" si="60"/>
        <v>0</v>
      </c>
    </row>
    <row r="1320" spans="1:21" ht="10.9" customHeight="1" x14ac:dyDescent="0.2">
      <c r="A1320" s="82" t="s">
        <v>2879</v>
      </c>
      <c r="B1320" s="83">
        <v>45824</v>
      </c>
      <c r="C1320" s="82" t="s">
        <v>3395</v>
      </c>
      <c r="D1320" s="82" t="s">
        <v>1204</v>
      </c>
      <c r="E1320" s="82"/>
      <c r="F1320" s="82" t="s">
        <v>4873</v>
      </c>
      <c r="G1320" s="89">
        <v>1</v>
      </c>
      <c r="H1320" s="89">
        <v>116.34</v>
      </c>
      <c r="I1320" s="85">
        <v>0</v>
      </c>
      <c r="J1320" s="85">
        <v>15.12</v>
      </c>
      <c r="K1320" s="85">
        <v>131.46</v>
      </c>
      <c r="L1320" s="85">
        <v>266.38</v>
      </c>
      <c r="M1320" s="89">
        <v>116.34</v>
      </c>
      <c r="N1320" s="85">
        <v>0</v>
      </c>
      <c r="O1320" s="85">
        <v>15.12</v>
      </c>
      <c r="P1320" s="85">
        <v>131.46</v>
      </c>
      <c r="Q1320" s="85">
        <v>266.38</v>
      </c>
      <c r="R1320" s="82" t="s">
        <v>3399</v>
      </c>
      <c r="S1320" s="7">
        <f t="shared" si="61"/>
        <v>0</v>
      </c>
      <c r="T1320" s="6">
        <f t="shared" si="62"/>
        <v>0</v>
      </c>
      <c r="U1320" s="25">
        <f t="shared" si="60"/>
        <v>0</v>
      </c>
    </row>
    <row r="1321" spans="1:21" ht="10.9" customHeight="1" x14ac:dyDescent="0.2">
      <c r="A1321" s="82" t="s">
        <v>2858</v>
      </c>
      <c r="B1321" s="83">
        <v>45824</v>
      </c>
      <c r="C1321" s="82" t="s">
        <v>3395</v>
      </c>
      <c r="D1321" s="82" t="s">
        <v>3524</v>
      </c>
      <c r="E1321" s="82"/>
      <c r="F1321" s="82" t="s">
        <v>4893</v>
      </c>
      <c r="G1321" s="89">
        <v>1</v>
      </c>
      <c r="H1321" s="89">
        <v>454.78</v>
      </c>
      <c r="I1321" s="85">
        <v>0</v>
      </c>
      <c r="J1321" s="85">
        <v>22.74</v>
      </c>
      <c r="K1321" s="85">
        <v>477.52</v>
      </c>
      <c r="L1321" s="85">
        <v>477.52</v>
      </c>
      <c r="M1321" s="89">
        <v>454.78</v>
      </c>
      <c r="N1321" s="85">
        <v>0</v>
      </c>
      <c r="O1321" s="85">
        <v>22.74</v>
      </c>
      <c r="P1321" s="85">
        <v>477.52</v>
      </c>
      <c r="Q1321" s="85">
        <v>477.52</v>
      </c>
      <c r="R1321" s="82" t="s">
        <v>3399</v>
      </c>
      <c r="S1321" s="7">
        <f t="shared" si="61"/>
        <v>0</v>
      </c>
      <c r="T1321" s="6">
        <f t="shared" si="62"/>
        <v>0</v>
      </c>
      <c r="U1321" s="25">
        <f t="shared" si="60"/>
        <v>0</v>
      </c>
    </row>
    <row r="1322" spans="1:21" ht="10.9" customHeight="1" x14ac:dyDescent="0.2">
      <c r="A1322" s="82"/>
      <c r="B1322" s="83">
        <v>45824</v>
      </c>
      <c r="C1322" s="82" t="s">
        <v>3423</v>
      </c>
      <c r="D1322" s="82" t="s">
        <v>3525</v>
      </c>
      <c r="E1322" s="82"/>
      <c r="F1322" s="82" t="s">
        <v>1223</v>
      </c>
      <c r="G1322" s="89">
        <v>-1</v>
      </c>
      <c r="H1322" s="89">
        <v>7848.62</v>
      </c>
      <c r="I1322" s="85">
        <v>0</v>
      </c>
      <c r="J1322" s="85">
        <v>0</v>
      </c>
      <c r="K1322" s="85">
        <v>-7848.62</v>
      </c>
      <c r="L1322" s="85">
        <v>-7848.62</v>
      </c>
      <c r="M1322" s="89">
        <v>7848.62</v>
      </c>
      <c r="N1322" s="85">
        <v>0</v>
      </c>
      <c r="O1322" s="85">
        <v>0</v>
      </c>
      <c r="P1322" s="85">
        <v>-7848.62</v>
      </c>
      <c r="Q1322" s="85">
        <v>-7848.62</v>
      </c>
      <c r="R1322" s="82" t="s">
        <v>3399</v>
      </c>
      <c r="S1322" s="7">
        <f t="shared" si="61"/>
        <v>0</v>
      </c>
      <c r="T1322" s="6">
        <f t="shared" si="62"/>
        <v>0</v>
      </c>
      <c r="U1322" s="25">
        <f t="shared" si="60"/>
        <v>0</v>
      </c>
    </row>
    <row r="1323" spans="1:21" ht="21.4" customHeight="1" x14ac:dyDescent="0.2">
      <c r="A1323" s="82" t="s">
        <v>5332</v>
      </c>
      <c r="B1323" s="83">
        <v>45825</v>
      </c>
      <c r="C1323" s="82" t="s">
        <v>3395</v>
      </c>
      <c r="D1323" s="82" t="s">
        <v>3509</v>
      </c>
      <c r="E1323" s="82"/>
      <c r="F1323" s="90" t="s">
        <v>5334</v>
      </c>
      <c r="G1323" s="89">
        <v>1</v>
      </c>
      <c r="H1323" s="89">
        <v>5</v>
      </c>
      <c r="I1323" s="85">
        <v>0</v>
      </c>
      <c r="J1323" s="85">
        <v>0</v>
      </c>
      <c r="K1323" s="85">
        <v>5</v>
      </c>
      <c r="L1323" s="85">
        <v>9</v>
      </c>
      <c r="M1323" s="89">
        <v>6.8072499935331123</v>
      </c>
      <c r="N1323" s="85">
        <v>0</v>
      </c>
      <c r="O1323" s="85">
        <v>0</v>
      </c>
      <c r="P1323" s="85">
        <v>6.8072499935331123</v>
      </c>
      <c r="Q1323" s="85">
        <v>12.253049988359603</v>
      </c>
      <c r="R1323" s="82" t="s">
        <v>4515</v>
      </c>
      <c r="S1323" s="7">
        <f t="shared" si="61"/>
        <v>0</v>
      </c>
      <c r="T1323" s="6">
        <f t="shared" si="62"/>
        <v>0</v>
      </c>
      <c r="U1323" s="25">
        <f t="shared" si="60"/>
        <v>0</v>
      </c>
    </row>
    <row r="1324" spans="1:21" ht="10.9" customHeight="1" x14ac:dyDescent="0.2">
      <c r="A1324" s="82" t="s">
        <v>5332</v>
      </c>
      <c r="B1324" s="83">
        <v>45825</v>
      </c>
      <c r="C1324" s="82" t="s">
        <v>3395</v>
      </c>
      <c r="D1324" s="82" t="s">
        <v>3509</v>
      </c>
      <c r="E1324" s="82"/>
      <c r="F1324" s="82" t="s">
        <v>5333</v>
      </c>
      <c r="G1324" s="89">
        <v>1</v>
      </c>
      <c r="H1324" s="89">
        <v>2</v>
      </c>
      <c r="I1324" s="85">
        <v>0</v>
      </c>
      <c r="J1324" s="85">
        <v>0</v>
      </c>
      <c r="K1324" s="85">
        <v>2</v>
      </c>
      <c r="L1324" s="85">
        <v>9</v>
      </c>
      <c r="M1324" s="89">
        <v>2.7228999974132448</v>
      </c>
      <c r="N1324" s="85">
        <v>0</v>
      </c>
      <c r="O1324" s="85">
        <v>0</v>
      </c>
      <c r="P1324" s="85">
        <v>2.7228999974132448</v>
      </c>
      <c r="Q1324" s="85">
        <v>12.253049988359603</v>
      </c>
      <c r="R1324" s="82" t="s">
        <v>4515</v>
      </c>
      <c r="S1324" s="7">
        <f t="shared" si="61"/>
        <v>0</v>
      </c>
      <c r="T1324" s="6">
        <f t="shared" si="62"/>
        <v>0</v>
      </c>
      <c r="U1324" s="25">
        <f t="shared" si="60"/>
        <v>0</v>
      </c>
    </row>
    <row r="1325" spans="1:21" ht="10.9" customHeight="1" x14ac:dyDescent="0.2">
      <c r="A1325" s="82" t="s">
        <v>5332</v>
      </c>
      <c r="B1325" s="83">
        <v>45825</v>
      </c>
      <c r="C1325" s="82" t="s">
        <v>3395</v>
      </c>
      <c r="D1325" s="82" t="s">
        <v>3509</v>
      </c>
      <c r="E1325" s="82"/>
      <c r="F1325" s="82" t="s">
        <v>5331</v>
      </c>
      <c r="G1325" s="89">
        <v>1</v>
      </c>
      <c r="H1325" s="89">
        <v>2</v>
      </c>
      <c r="I1325" s="85">
        <v>0</v>
      </c>
      <c r="J1325" s="85">
        <v>0</v>
      </c>
      <c r="K1325" s="85">
        <v>2</v>
      </c>
      <c r="L1325" s="85">
        <v>9</v>
      </c>
      <c r="M1325" s="89">
        <v>2.7228999974132448</v>
      </c>
      <c r="N1325" s="85">
        <v>0</v>
      </c>
      <c r="O1325" s="85">
        <v>0</v>
      </c>
      <c r="P1325" s="85">
        <v>2.7228999974132448</v>
      </c>
      <c r="Q1325" s="85">
        <v>12.253049988359603</v>
      </c>
      <c r="R1325" s="82" t="s">
        <v>4515</v>
      </c>
      <c r="S1325" s="7">
        <f t="shared" si="61"/>
        <v>0</v>
      </c>
      <c r="T1325" s="6">
        <f t="shared" si="62"/>
        <v>0</v>
      </c>
      <c r="U1325" s="25">
        <f t="shared" si="60"/>
        <v>0</v>
      </c>
    </row>
    <row r="1326" spans="1:21" ht="10.9" customHeight="1" x14ac:dyDescent="0.2">
      <c r="A1326" s="82" t="s">
        <v>2535</v>
      </c>
      <c r="B1326" s="83">
        <v>45825</v>
      </c>
      <c r="C1326" s="82" t="s">
        <v>3395</v>
      </c>
      <c r="D1326" s="82" t="s">
        <v>1809</v>
      </c>
      <c r="E1326" s="82"/>
      <c r="F1326" s="82" t="s">
        <v>4507</v>
      </c>
      <c r="G1326" s="89">
        <v>1</v>
      </c>
      <c r="H1326" s="89">
        <v>7968.11</v>
      </c>
      <c r="I1326" s="85">
        <v>0</v>
      </c>
      <c r="J1326" s="85">
        <v>0</v>
      </c>
      <c r="K1326" s="85">
        <v>7968.11</v>
      </c>
      <c r="L1326" s="85">
        <v>8543.11</v>
      </c>
      <c r="M1326" s="89">
        <v>10891.124430198943</v>
      </c>
      <c r="N1326" s="85">
        <v>0</v>
      </c>
      <c r="O1326" s="85">
        <v>0</v>
      </c>
      <c r="P1326" s="85">
        <v>10891.124430198943</v>
      </c>
      <c r="Q1326" s="85">
        <v>11677.056922014994</v>
      </c>
      <c r="R1326" s="82" t="s">
        <v>3399</v>
      </c>
      <c r="S1326" s="7">
        <f t="shared" si="61"/>
        <v>0</v>
      </c>
      <c r="T1326" s="6">
        <f t="shared" si="62"/>
        <v>0</v>
      </c>
      <c r="U1326" s="25">
        <f t="shared" si="60"/>
        <v>0</v>
      </c>
    </row>
    <row r="1327" spans="1:21" ht="10.9" customHeight="1" x14ac:dyDescent="0.2">
      <c r="A1327" s="82" t="s">
        <v>2535</v>
      </c>
      <c r="B1327" s="83">
        <v>45825</v>
      </c>
      <c r="C1327" s="82" t="s">
        <v>3395</v>
      </c>
      <c r="D1327" s="82" t="s">
        <v>1809</v>
      </c>
      <c r="E1327" s="82"/>
      <c r="F1327" s="82" t="s">
        <v>4393</v>
      </c>
      <c r="G1327" s="89">
        <v>1</v>
      </c>
      <c r="H1327" s="89">
        <v>575</v>
      </c>
      <c r="I1327" s="85">
        <v>0</v>
      </c>
      <c r="J1327" s="85">
        <v>0</v>
      </c>
      <c r="K1327" s="85">
        <v>575</v>
      </c>
      <c r="L1327" s="85">
        <v>8543.11</v>
      </c>
      <c r="M1327" s="89">
        <v>785.93249181605074</v>
      </c>
      <c r="N1327" s="85">
        <v>0</v>
      </c>
      <c r="O1327" s="85">
        <v>0</v>
      </c>
      <c r="P1327" s="85">
        <v>785.93249181605074</v>
      </c>
      <c r="Q1327" s="85">
        <v>11677.056922014994</v>
      </c>
      <c r="R1327" s="82" t="s">
        <v>3399</v>
      </c>
      <c r="S1327" s="7" t="str">
        <f t="shared" si="61"/>
        <v>INV13095</v>
      </c>
      <c r="T1327" s="6">
        <f t="shared" si="62"/>
        <v>1</v>
      </c>
      <c r="U1327" s="25">
        <f t="shared" si="60"/>
        <v>575</v>
      </c>
    </row>
    <row r="1328" spans="1:21" ht="10.9" customHeight="1" x14ac:dyDescent="0.2">
      <c r="A1328" s="82" t="s">
        <v>2882</v>
      </c>
      <c r="B1328" s="83">
        <v>45825</v>
      </c>
      <c r="C1328" s="82" t="s">
        <v>3395</v>
      </c>
      <c r="D1328" s="82" t="s">
        <v>1198</v>
      </c>
      <c r="E1328" s="82"/>
      <c r="F1328" s="82" t="s">
        <v>4569</v>
      </c>
      <c r="G1328" s="89">
        <v>1</v>
      </c>
      <c r="H1328" s="89">
        <v>1946.57</v>
      </c>
      <c r="I1328" s="85">
        <v>0</v>
      </c>
      <c r="J1328" s="85">
        <v>97.33</v>
      </c>
      <c r="K1328" s="85">
        <v>2043.9</v>
      </c>
      <c r="L1328" s="85">
        <v>2758.72</v>
      </c>
      <c r="M1328" s="89">
        <v>1946.57</v>
      </c>
      <c r="N1328" s="85">
        <v>0</v>
      </c>
      <c r="O1328" s="85">
        <v>97.33</v>
      </c>
      <c r="P1328" s="85">
        <v>2043.9</v>
      </c>
      <c r="Q1328" s="85">
        <v>2758.72</v>
      </c>
      <c r="R1328" s="82" t="s">
        <v>3399</v>
      </c>
      <c r="S1328" s="7">
        <f t="shared" si="61"/>
        <v>0</v>
      </c>
      <c r="T1328" s="6">
        <f t="shared" si="62"/>
        <v>0</v>
      </c>
      <c r="U1328" s="25">
        <f t="shared" si="60"/>
        <v>0</v>
      </c>
    </row>
    <row r="1329" spans="1:21" ht="10.9" customHeight="1" x14ac:dyDescent="0.2">
      <c r="A1329" s="82" t="s">
        <v>2882</v>
      </c>
      <c r="B1329" s="83">
        <v>45825</v>
      </c>
      <c r="C1329" s="82" t="s">
        <v>3395</v>
      </c>
      <c r="D1329" s="82" t="s">
        <v>1198</v>
      </c>
      <c r="E1329" s="82"/>
      <c r="F1329" s="82" t="s">
        <v>4680</v>
      </c>
      <c r="G1329" s="89">
        <v>1</v>
      </c>
      <c r="H1329" s="89">
        <v>680.78</v>
      </c>
      <c r="I1329" s="85">
        <v>0</v>
      </c>
      <c r="J1329" s="85">
        <v>34.04</v>
      </c>
      <c r="K1329" s="85">
        <v>714.82</v>
      </c>
      <c r="L1329" s="85">
        <v>2758.72</v>
      </c>
      <c r="M1329" s="89">
        <v>680.78</v>
      </c>
      <c r="N1329" s="85">
        <v>0</v>
      </c>
      <c r="O1329" s="85">
        <v>34.04</v>
      </c>
      <c r="P1329" s="85">
        <v>714.82</v>
      </c>
      <c r="Q1329" s="85">
        <v>2758.72</v>
      </c>
      <c r="R1329" s="82" t="s">
        <v>3399</v>
      </c>
      <c r="S1329" s="7">
        <f t="shared" si="61"/>
        <v>0</v>
      </c>
      <c r="T1329" s="6">
        <f t="shared" si="62"/>
        <v>0</v>
      </c>
      <c r="U1329" s="25">
        <f t="shared" si="60"/>
        <v>0</v>
      </c>
    </row>
    <row r="1330" spans="1:21" ht="10.9" customHeight="1" x14ac:dyDescent="0.2">
      <c r="A1330" s="82" t="s">
        <v>2886</v>
      </c>
      <c r="B1330" s="83">
        <v>45827</v>
      </c>
      <c r="C1330" s="82" t="s">
        <v>3395</v>
      </c>
      <c r="D1330" s="82" t="s">
        <v>1188</v>
      </c>
      <c r="E1330" s="82"/>
      <c r="F1330" s="82" t="s">
        <v>5062</v>
      </c>
      <c r="G1330" s="89">
        <v>4</v>
      </c>
      <c r="H1330" s="89">
        <v>85.85</v>
      </c>
      <c r="I1330" s="85">
        <v>0</v>
      </c>
      <c r="J1330" s="85">
        <v>0</v>
      </c>
      <c r="K1330" s="85">
        <v>343.4</v>
      </c>
      <c r="L1330" s="85">
        <v>343.4</v>
      </c>
      <c r="M1330" s="89">
        <v>117.58437723424014</v>
      </c>
      <c r="N1330" s="85">
        <v>0</v>
      </c>
      <c r="O1330" s="85">
        <v>0</v>
      </c>
      <c r="P1330" s="85">
        <v>470.33750893696055</v>
      </c>
      <c r="Q1330" s="85">
        <v>470.33750893696055</v>
      </c>
      <c r="R1330" s="82" t="s">
        <v>3399</v>
      </c>
      <c r="S1330" s="7">
        <f t="shared" si="61"/>
        <v>0</v>
      </c>
      <c r="T1330" s="6">
        <f t="shared" si="62"/>
        <v>0</v>
      </c>
      <c r="U1330" s="25">
        <f t="shared" si="60"/>
        <v>0</v>
      </c>
    </row>
    <row r="1331" spans="1:21" ht="10.9" customHeight="1" x14ac:dyDescent="0.2">
      <c r="A1331" s="82" t="s">
        <v>2692</v>
      </c>
      <c r="B1331" s="83">
        <v>45827</v>
      </c>
      <c r="C1331" s="82" t="s">
        <v>3395</v>
      </c>
      <c r="D1331" s="82" t="s">
        <v>1539</v>
      </c>
      <c r="E1331" s="82"/>
      <c r="F1331" s="82" t="s">
        <v>5330</v>
      </c>
      <c r="G1331" s="89">
        <v>1</v>
      </c>
      <c r="H1331" s="89">
        <v>6215.39</v>
      </c>
      <c r="I1331" s="85">
        <v>0</v>
      </c>
      <c r="J1331" s="85">
        <v>310.77</v>
      </c>
      <c r="K1331" s="85">
        <v>6526.16</v>
      </c>
      <c r="L1331" s="85">
        <v>16616.349999999999</v>
      </c>
      <c r="M1331" s="89">
        <v>6215.39</v>
      </c>
      <c r="N1331" s="85">
        <v>0</v>
      </c>
      <c r="O1331" s="85">
        <v>310.77</v>
      </c>
      <c r="P1331" s="85">
        <v>6526.16</v>
      </c>
      <c r="Q1331" s="85">
        <v>16616.349999999999</v>
      </c>
      <c r="R1331" s="82" t="s">
        <v>3399</v>
      </c>
      <c r="S1331" s="7">
        <f t="shared" si="61"/>
        <v>0</v>
      </c>
      <c r="T1331" s="6">
        <f t="shared" si="62"/>
        <v>0</v>
      </c>
      <c r="U1331" s="25">
        <f t="shared" si="60"/>
        <v>0</v>
      </c>
    </row>
    <row r="1332" spans="1:21" ht="10.9" customHeight="1" x14ac:dyDescent="0.2">
      <c r="A1332" s="82" t="s">
        <v>2692</v>
      </c>
      <c r="B1332" s="83">
        <v>45827</v>
      </c>
      <c r="C1332" s="82" t="s">
        <v>3395</v>
      </c>
      <c r="D1332" s="82" t="s">
        <v>1539</v>
      </c>
      <c r="E1332" s="82"/>
      <c r="F1332" s="82" t="s">
        <v>5329</v>
      </c>
      <c r="G1332" s="89">
        <v>1</v>
      </c>
      <c r="H1332" s="89">
        <v>4486.47</v>
      </c>
      <c r="I1332" s="85">
        <v>0</v>
      </c>
      <c r="J1332" s="85">
        <v>224.32</v>
      </c>
      <c r="K1332" s="85">
        <v>4710.79</v>
      </c>
      <c r="L1332" s="85">
        <v>16616.349999999999</v>
      </c>
      <c r="M1332" s="89">
        <v>4486.47</v>
      </c>
      <c r="N1332" s="85">
        <v>0</v>
      </c>
      <c r="O1332" s="85">
        <v>224.32</v>
      </c>
      <c r="P1332" s="85">
        <v>4710.79</v>
      </c>
      <c r="Q1332" s="85">
        <v>16616.349999999999</v>
      </c>
      <c r="R1332" s="82" t="s">
        <v>3399</v>
      </c>
      <c r="S1332" s="7">
        <f t="shared" si="61"/>
        <v>0</v>
      </c>
      <c r="T1332" s="6">
        <f t="shared" si="62"/>
        <v>0</v>
      </c>
      <c r="U1332" s="25">
        <f t="shared" si="60"/>
        <v>0</v>
      </c>
    </row>
    <row r="1333" spans="1:21" ht="10.9" customHeight="1" x14ac:dyDescent="0.2">
      <c r="A1333" s="82" t="s">
        <v>2692</v>
      </c>
      <c r="B1333" s="83">
        <v>45827</v>
      </c>
      <c r="C1333" s="82" t="s">
        <v>3395</v>
      </c>
      <c r="D1333" s="82" t="s">
        <v>1539</v>
      </c>
      <c r="E1333" s="82"/>
      <c r="F1333" s="82" t="s">
        <v>5328</v>
      </c>
      <c r="G1333" s="89">
        <v>1</v>
      </c>
      <c r="H1333" s="89">
        <v>5123.24</v>
      </c>
      <c r="I1333" s="85">
        <v>0</v>
      </c>
      <c r="J1333" s="85">
        <v>256.16000000000003</v>
      </c>
      <c r="K1333" s="85">
        <v>5379.4</v>
      </c>
      <c r="L1333" s="85">
        <v>16616.349999999999</v>
      </c>
      <c r="M1333" s="89">
        <v>5123.24</v>
      </c>
      <c r="N1333" s="85">
        <v>0</v>
      </c>
      <c r="O1333" s="85">
        <v>256.16000000000003</v>
      </c>
      <c r="P1333" s="85">
        <v>5379.4</v>
      </c>
      <c r="Q1333" s="85">
        <v>16616.349999999999</v>
      </c>
      <c r="R1333" s="82" t="s">
        <v>3399</v>
      </c>
      <c r="S1333" s="7">
        <f t="shared" si="61"/>
        <v>0</v>
      </c>
      <c r="T1333" s="6">
        <f t="shared" si="62"/>
        <v>0</v>
      </c>
      <c r="U1333" s="25">
        <f t="shared" si="60"/>
        <v>0</v>
      </c>
    </row>
    <row r="1334" spans="1:21" ht="10.9" customHeight="1" x14ac:dyDescent="0.2">
      <c r="A1334" s="82" t="s">
        <v>2884</v>
      </c>
      <c r="B1334" s="83">
        <v>45827</v>
      </c>
      <c r="C1334" s="82" t="s">
        <v>3395</v>
      </c>
      <c r="D1334" s="82" t="s">
        <v>1193</v>
      </c>
      <c r="E1334" s="82"/>
      <c r="F1334" s="82" t="s">
        <v>5327</v>
      </c>
      <c r="G1334" s="89">
        <v>1</v>
      </c>
      <c r="H1334" s="89">
        <v>283.8</v>
      </c>
      <c r="I1334" s="85">
        <v>0</v>
      </c>
      <c r="J1334" s="85">
        <v>36.89</v>
      </c>
      <c r="K1334" s="85">
        <v>320.69</v>
      </c>
      <c r="L1334" s="85">
        <v>320.69</v>
      </c>
      <c r="M1334" s="89">
        <v>283.8</v>
      </c>
      <c r="N1334" s="85">
        <v>0</v>
      </c>
      <c r="O1334" s="85">
        <v>36.89</v>
      </c>
      <c r="P1334" s="85">
        <v>320.69</v>
      </c>
      <c r="Q1334" s="85">
        <v>320.69</v>
      </c>
      <c r="R1334" s="82" t="s">
        <v>3399</v>
      </c>
      <c r="S1334" s="7">
        <f t="shared" si="61"/>
        <v>0</v>
      </c>
      <c r="T1334" s="6">
        <f t="shared" si="62"/>
        <v>0</v>
      </c>
      <c r="U1334" s="25">
        <f t="shared" si="60"/>
        <v>0</v>
      </c>
    </row>
    <row r="1335" spans="1:21" ht="10.9" customHeight="1" x14ac:dyDescent="0.2">
      <c r="A1335" s="82" t="s">
        <v>2880</v>
      </c>
      <c r="B1335" s="83">
        <v>45827</v>
      </c>
      <c r="C1335" s="82" t="s">
        <v>3395</v>
      </c>
      <c r="D1335" s="82" t="s">
        <v>1202</v>
      </c>
      <c r="E1335" s="82"/>
      <c r="F1335" s="82" t="s">
        <v>5326</v>
      </c>
      <c r="G1335" s="89">
        <v>1</v>
      </c>
      <c r="H1335" s="89">
        <v>955.55</v>
      </c>
      <c r="I1335" s="85">
        <v>0</v>
      </c>
      <c r="J1335" s="85">
        <v>47.78</v>
      </c>
      <c r="K1335" s="85">
        <v>1003.33</v>
      </c>
      <c r="L1335" s="85">
        <v>1003.33</v>
      </c>
      <c r="M1335" s="89">
        <v>955.55</v>
      </c>
      <c r="N1335" s="85">
        <v>0</v>
      </c>
      <c r="O1335" s="85">
        <v>47.78</v>
      </c>
      <c r="P1335" s="85">
        <v>1003.33</v>
      </c>
      <c r="Q1335" s="85">
        <v>1003.33</v>
      </c>
      <c r="R1335" s="82" t="s">
        <v>3399</v>
      </c>
      <c r="S1335" s="7">
        <f t="shared" si="61"/>
        <v>0</v>
      </c>
      <c r="T1335" s="6">
        <f t="shared" si="62"/>
        <v>0</v>
      </c>
      <c r="U1335" s="25">
        <f t="shared" si="60"/>
        <v>0</v>
      </c>
    </row>
    <row r="1336" spans="1:21" ht="10.9" customHeight="1" x14ac:dyDescent="0.2">
      <c r="A1336" s="82" t="s">
        <v>2880</v>
      </c>
      <c r="B1336" s="83">
        <v>45827</v>
      </c>
      <c r="C1336" s="82" t="s">
        <v>3395</v>
      </c>
      <c r="D1336" s="82" t="s">
        <v>1202</v>
      </c>
      <c r="E1336" s="82"/>
      <c r="F1336" s="82" t="s">
        <v>4805</v>
      </c>
      <c r="G1336" s="89">
        <v>1</v>
      </c>
      <c r="H1336" s="89">
        <v>29.85</v>
      </c>
      <c r="I1336" s="85">
        <v>29.85</v>
      </c>
      <c r="J1336" s="85">
        <v>0</v>
      </c>
      <c r="K1336" s="85">
        <v>0</v>
      </c>
      <c r="L1336" s="85">
        <v>1003.33</v>
      </c>
      <c r="M1336" s="89">
        <v>29.85</v>
      </c>
      <c r="N1336" s="85">
        <v>29.85</v>
      </c>
      <c r="O1336" s="85">
        <v>0</v>
      </c>
      <c r="P1336" s="85">
        <v>0</v>
      </c>
      <c r="Q1336" s="85">
        <v>1003.33</v>
      </c>
      <c r="R1336" s="82" t="s">
        <v>3399</v>
      </c>
      <c r="S1336" s="7">
        <f t="shared" si="61"/>
        <v>0</v>
      </c>
      <c r="T1336" s="6">
        <f t="shared" si="62"/>
        <v>0</v>
      </c>
      <c r="U1336" s="25">
        <f t="shared" si="60"/>
        <v>0</v>
      </c>
    </row>
    <row r="1337" spans="1:21" ht="31.7" customHeight="1" x14ac:dyDescent="0.2">
      <c r="A1337" s="82" t="s">
        <v>3521</v>
      </c>
      <c r="B1337" s="83">
        <v>45828</v>
      </c>
      <c r="C1337" s="82" t="s">
        <v>3398</v>
      </c>
      <c r="D1337" s="82" t="s">
        <v>3520</v>
      </c>
      <c r="E1337" s="82"/>
      <c r="F1337" s="82" t="s">
        <v>5314</v>
      </c>
      <c r="G1337" s="89">
        <v>-1</v>
      </c>
      <c r="H1337" s="89">
        <v>35</v>
      </c>
      <c r="I1337" s="85">
        <v>0</v>
      </c>
      <c r="J1337" s="85">
        <v>0</v>
      </c>
      <c r="K1337" s="85">
        <v>-35</v>
      </c>
      <c r="L1337" s="85">
        <v>-35</v>
      </c>
      <c r="M1337" s="89">
        <v>48.060616796224359</v>
      </c>
      <c r="N1337" s="85">
        <v>0</v>
      </c>
      <c r="O1337" s="85">
        <v>0</v>
      </c>
      <c r="P1337" s="85">
        <v>-48.060616796224359</v>
      </c>
      <c r="Q1337" s="85">
        <v>-48.060616796224359</v>
      </c>
      <c r="R1337" s="82" t="s">
        <v>3399</v>
      </c>
      <c r="S1337" s="7">
        <f t="shared" si="61"/>
        <v>0</v>
      </c>
      <c r="T1337" s="6">
        <f t="shared" si="62"/>
        <v>0</v>
      </c>
      <c r="U1337" s="25">
        <f t="shared" si="60"/>
        <v>0</v>
      </c>
    </row>
    <row r="1338" spans="1:21" ht="10.9" customHeight="1" x14ac:dyDescent="0.2">
      <c r="A1338" s="82" t="s">
        <v>3519</v>
      </c>
      <c r="B1338" s="83">
        <v>45828</v>
      </c>
      <c r="C1338" s="82" t="s">
        <v>3398</v>
      </c>
      <c r="D1338" s="82" t="s">
        <v>1498</v>
      </c>
      <c r="E1338" s="82"/>
      <c r="F1338" s="82" t="s">
        <v>5314</v>
      </c>
      <c r="G1338" s="89">
        <v>-1</v>
      </c>
      <c r="H1338" s="89">
        <v>35</v>
      </c>
      <c r="I1338" s="85">
        <v>0</v>
      </c>
      <c r="J1338" s="85">
        <v>0</v>
      </c>
      <c r="K1338" s="85">
        <v>-35</v>
      </c>
      <c r="L1338" s="85">
        <v>-35</v>
      </c>
      <c r="M1338" s="89">
        <v>48.060616796224359</v>
      </c>
      <c r="N1338" s="85">
        <v>0</v>
      </c>
      <c r="O1338" s="85">
        <v>0</v>
      </c>
      <c r="P1338" s="85">
        <v>-48.060616796224359</v>
      </c>
      <c r="Q1338" s="85">
        <v>-48.060616796224359</v>
      </c>
      <c r="R1338" s="82" t="s">
        <v>3399</v>
      </c>
      <c r="S1338" s="7">
        <f t="shared" si="61"/>
        <v>0</v>
      </c>
      <c r="T1338" s="6">
        <f t="shared" si="62"/>
        <v>0</v>
      </c>
      <c r="U1338" s="25">
        <f t="shared" si="60"/>
        <v>0</v>
      </c>
    </row>
    <row r="1339" spans="1:21" ht="10.9" customHeight="1" x14ac:dyDescent="0.2">
      <c r="A1339" s="82" t="s">
        <v>5325</v>
      </c>
      <c r="B1339" s="83">
        <v>45828</v>
      </c>
      <c r="C1339" s="82" t="s">
        <v>3395</v>
      </c>
      <c r="D1339" s="82" t="s">
        <v>5324</v>
      </c>
      <c r="E1339" s="82"/>
      <c r="F1339" s="90" t="s">
        <v>5323</v>
      </c>
      <c r="G1339" s="89">
        <v>1</v>
      </c>
      <c r="H1339" s="89">
        <v>5181.7</v>
      </c>
      <c r="I1339" s="85">
        <v>0</v>
      </c>
      <c r="J1339" s="85">
        <v>673.62</v>
      </c>
      <c r="K1339" s="85">
        <v>5855.32</v>
      </c>
      <c r="L1339" s="85">
        <v>5855.32</v>
      </c>
      <c r="M1339" s="89">
        <v>5181.7</v>
      </c>
      <c r="N1339" s="85">
        <v>0</v>
      </c>
      <c r="O1339" s="85">
        <v>673.62</v>
      </c>
      <c r="P1339" s="85">
        <v>5855.32</v>
      </c>
      <c r="Q1339" s="85">
        <v>5855.32</v>
      </c>
      <c r="R1339" s="82" t="s">
        <v>4515</v>
      </c>
      <c r="S1339" s="7">
        <f t="shared" si="61"/>
        <v>0</v>
      </c>
      <c r="T1339" s="6">
        <f t="shared" si="62"/>
        <v>0</v>
      </c>
      <c r="U1339" s="25">
        <f t="shared" si="60"/>
        <v>0</v>
      </c>
    </row>
    <row r="1340" spans="1:21" ht="10.9" customHeight="1" x14ac:dyDescent="0.2">
      <c r="A1340" s="82" t="s">
        <v>3518</v>
      </c>
      <c r="B1340" s="83">
        <v>45828</v>
      </c>
      <c r="C1340" s="82" t="s">
        <v>3395</v>
      </c>
      <c r="D1340" s="82" t="s">
        <v>3517</v>
      </c>
      <c r="E1340" s="82"/>
      <c r="F1340" s="82" t="s">
        <v>5316</v>
      </c>
      <c r="G1340" s="89">
        <v>2</v>
      </c>
      <c r="H1340" s="89">
        <v>1980</v>
      </c>
      <c r="I1340" s="85">
        <v>0</v>
      </c>
      <c r="J1340" s="85">
        <v>0</v>
      </c>
      <c r="K1340" s="85">
        <v>3960</v>
      </c>
      <c r="L1340" s="85">
        <v>4155.53</v>
      </c>
      <c r="M1340" s="89">
        <v>2718.8577501864065</v>
      </c>
      <c r="N1340" s="85">
        <v>0</v>
      </c>
      <c r="O1340" s="85">
        <v>0</v>
      </c>
      <c r="P1340" s="85">
        <v>5437.715500372813</v>
      </c>
      <c r="Q1340" s="85">
        <v>5706.2095690061205</v>
      </c>
      <c r="R1340" s="82" t="s">
        <v>3399</v>
      </c>
      <c r="S1340" s="7">
        <f t="shared" si="61"/>
        <v>0</v>
      </c>
      <c r="T1340" s="6">
        <f t="shared" si="62"/>
        <v>0</v>
      </c>
      <c r="U1340" s="25">
        <f t="shared" si="60"/>
        <v>0</v>
      </c>
    </row>
    <row r="1341" spans="1:21" ht="10.9" customHeight="1" x14ac:dyDescent="0.2">
      <c r="A1341" s="82" t="s">
        <v>3518</v>
      </c>
      <c r="B1341" s="83">
        <v>45828</v>
      </c>
      <c r="C1341" s="82" t="s">
        <v>3395</v>
      </c>
      <c r="D1341" s="82" t="s">
        <v>3517</v>
      </c>
      <c r="E1341" s="82"/>
      <c r="F1341" s="82" t="s">
        <v>4393</v>
      </c>
      <c r="G1341" s="89">
        <v>1</v>
      </c>
      <c r="H1341" s="89">
        <v>195.53</v>
      </c>
      <c r="I1341" s="85">
        <v>0</v>
      </c>
      <c r="J1341" s="85">
        <v>0</v>
      </c>
      <c r="K1341" s="85">
        <v>195.53</v>
      </c>
      <c r="L1341" s="85">
        <v>4155.53</v>
      </c>
      <c r="M1341" s="89">
        <v>268.49406863330711</v>
      </c>
      <c r="N1341" s="85">
        <v>0</v>
      </c>
      <c r="O1341" s="85">
        <v>0</v>
      </c>
      <c r="P1341" s="85">
        <v>268.49406863330711</v>
      </c>
      <c r="Q1341" s="85">
        <v>5706.2095690061205</v>
      </c>
      <c r="R1341" s="82" t="s">
        <v>3399</v>
      </c>
      <c r="S1341" s="7" t="str">
        <f t="shared" si="61"/>
        <v>INV13108</v>
      </c>
      <c r="T1341" s="6">
        <f t="shared" si="62"/>
        <v>1</v>
      </c>
      <c r="U1341" s="25">
        <f t="shared" si="60"/>
        <v>195.53</v>
      </c>
    </row>
    <row r="1342" spans="1:21" ht="10.9" customHeight="1" x14ac:dyDescent="0.2">
      <c r="A1342" s="82" t="s">
        <v>2715</v>
      </c>
      <c r="B1342" s="83">
        <v>45828</v>
      </c>
      <c r="C1342" s="82" t="s">
        <v>3395</v>
      </c>
      <c r="D1342" s="82" t="s">
        <v>3522</v>
      </c>
      <c r="E1342" s="82"/>
      <c r="F1342" s="82" t="s">
        <v>5315</v>
      </c>
      <c r="G1342" s="89">
        <v>4</v>
      </c>
      <c r="H1342" s="89">
        <v>1850</v>
      </c>
      <c r="I1342" s="85">
        <v>0</v>
      </c>
      <c r="J1342" s="85">
        <v>0</v>
      </c>
      <c r="K1342" s="85">
        <v>7400</v>
      </c>
      <c r="L1342" s="85">
        <v>7529.47</v>
      </c>
      <c r="M1342" s="89">
        <v>2540.3468878004305</v>
      </c>
      <c r="N1342" s="85">
        <v>0</v>
      </c>
      <c r="O1342" s="85">
        <v>0</v>
      </c>
      <c r="P1342" s="85">
        <v>10161.387551201722</v>
      </c>
      <c r="Q1342" s="85">
        <v>10339.170638533355</v>
      </c>
      <c r="R1342" s="82" t="s">
        <v>3396</v>
      </c>
      <c r="S1342" s="7">
        <f t="shared" si="61"/>
        <v>0</v>
      </c>
      <c r="T1342" s="6">
        <f t="shared" si="62"/>
        <v>0</v>
      </c>
      <c r="U1342" s="25">
        <f t="shared" si="60"/>
        <v>0</v>
      </c>
    </row>
    <row r="1343" spans="1:21" ht="10.9" customHeight="1" x14ac:dyDescent="0.2">
      <c r="A1343" s="82" t="s">
        <v>2715</v>
      </c>
      <c r="B1343" s="83">
        <v>45828</v>
      </c>
      <c r="C1343" s="82" t="s">
        <v>3395</v>
      </c>
      <c r="D1343" s="82" t="s">
        <v>3522</v>
      </c>
      <c r="E1343" s="82"/>
      <c r="F1343" s="82" t="s">
        <v>4393</v>
      </c>
      <c r="G1343" s="89">
        <v>1</v>
      </c>
      <c r="H1343" s="89">
        <v>129.47</v>
      </c>
      <c r="I1343" s="85">
        <v>0</v>
      </c>
      <c r="J1343" s="85">
        <v>0</v>
      </c>
      <c r="K1343" s="85">
        <v>129.47</v>
      </c>
      <c r="L1343" s="85">
        <v>7529.47</v>
      </c>
      <c r="M1343" s="89">
        <v>177.78308733163337</v>
      </c>
      <c r="N1343" s="85">
        <v>0</v>
      </c>
      <c r="O1343" s="85">
        <v>0</v>
      </c>
      <c r="P1343" s="85">
        <v>177.78308733163337</v>
      </c>
      <c r="Q1343" s="85">
        <v>10339.170638533355</v>
      </c>
      <c r="R1343" s="82" t="s">
        <v>3396</v>
      </c>
      <c r="S1343" s="7" t="str">
        <f t="shared" si="61"/>
        <v>INV13109</v>
      </c>
      <c r="T1343" s="6">
        <f t="shared" si="62"/>
        <v>1</v>
      </c>
      <c r="U1343" s="25">
        <f t="shared" si="60"/>
        <v>129.47</v>
      </c>
    </row>
    <row r="1344" spans="1:21" ht="10.9" customHeight="1" x14ac:dyDescent="0.2">
      <c r="A1344" s="82" t="s">
        <v>2891</v>
      </c>
      <c r="B1344" s="83">
        <v>45828</v>
      </c>
      <c r="C1344" s="82" t="s">
        <v>3395</v>
      </c>
      <c r="D1344" s="82" t="s">
        <v>1178</v>
      </c>
      <c r="E1344" s="82"/>
      <c r="F1344" s="82" t="s">
        <v>5322</v>
      </c>
      <c r="G1344" s="89">
        <v>1</v>
      </c>
      <c r="H1344" s="89">
        <v>1421.5</v>
      </c>
      <c r="I1344" s="85">
        <v>0</v>
      </c>
      <c r="J1344" s="85">
        <v>71.08</v>
      </c>
      <c r="K1344" s="85">
        <v>1492.58</v>
      </c>
      <c r="L1344" s="85">
        <v>4547.72</v>
      </c>
      <c r="M1344" s="89">
        <v>1421.5</v>
      </c>
      <c r="N1344" s="85">
        <v>0</v>
      </c>
      <c r="O1344" s="85">
        <v>71.08</v>
      </c>
      <c r="P1344" s="85">
        <v>1492.58</v>
      </c>
      <c r="Q1344" s="85">
        <v>4547.72</v>
      </c>
      <c r="R1344" s="82" t="s">
        <v>3399</v>
      </c>
      <c r="S1344" s="7">
        <f t="shared" si="61"/>
        <v>0</v>
      </c>
      <c r="T1344" s="6">
        <f t="shared" si="62"/>
        <v>0</v>
      </c>
      <c r="U1344" s="25">
        <f t="shared" si="60"/>
        <v>0</v>
      </c>
    </row>
    <row r="1345" spans="1:21" ht="10.9" customHeight="1" x14ac:dyDescent="0.2">
      <c r="A1345" s="82" t="s">
        <v>2891</v>
      </c>
      <c r="B1345" s="83">
        <v>45828</v>
      </c>
      <c r="C1345" s="82" t="s">
        <v>3395</v>
      </c>
      <c r="D1345" s="82" t="s">
        <v>1178</v>
      </c>
      <c r="E1345" s="82"/>
      <c r="F1345" s="82" t="s">
        <v>5321</v>
      </c>
      <c r="G1345" s="89">
        <v>1</v>
      </c>
      <c r="H1345" s="89">
        <v>1473.1</v>
      </c>
      <c r="I1345" s="85">
        <v>0</v>
      </c>
      <c r="J1345" s="85">
        <v>73.66</v>
      </c>
      <c r="K1345" s="85">
        <v>1546.76</v>
      </c>
      <c r="L1345" s="85">
        <v>4547.72</v>
      </c>
      <c r="M1345" s="89">
        <v>1473.1</v>
      </c>
      <c r="N1345" s="85">
        <v>0</v>
      </c>
      <c r="O1345" s="85">
        <v>73.66</v>
      </c>
      <c r="P1345" s="85">
        <v>1546.76</v>
      </c>
      <c r="Q1345" s="85">
        <v>4547.72</v>
      </c>
      <c r="R1345" s="82" t="s">
        <v>3399</v>
      </c>
      <c r="S1345" s="7">
        <f t="shared" si="61"/>
        <v>0</v>
      </c>
      <c r="T1345" s="6">
        <f t="shared" si="62"/>
        <v>0</v>
      </c>
      <c r="U1345" s="25">
        <f t="shared" si="60"/>
        <v>0</v>
      </c>
    </row>
    <row r="1346" spans="1:21" ht="10.9" customHeight="1" x14ac:dyDescent="0.2">
      <c r="A1346" s="82" t="s">
        <v>2891</v>
      </c>
      <c r="B1346" s="83">
        <v>45828</v>
      </c>
      <c r="C1346" s="82" t="s">
        <v>3395</v>
      </c>
      <c r="D1346" s="82" t="s">
        <v>1178</v>
      </c>
      <c r="E1346" s="82"/>
      <c r="F1346" s="82" t="s">
        <v>5320</v>
      </c>
      <c r="G1346" s="89">
        <v>1</v>
      </c>
      <c r="H1346" s="89">
        <v>1436.55</v>
      </c>
      <c r="I1346" s="85">
        <v>0</v>
      </c>
      <c r="J1346" s="85">
        <v>71.83</v>
      </c>
      <c r="K1346" s="85">
        <v>1508.38</v>
      </c>
      <c r="L1346" s="85">
        <v>4547.72</v>
      </c>
      <c r="M1346" s="89">
        <v>1436.55</v>
      </c>
      <c r="N1346" s="85">
        <v>0</v>
      </c>
      <c r="O1346" s="85">
        <v>71.83</v>
      </c>
      <c r="P1346" s="85">
        <v>1508.38</v>
      </c>
      <c r="Q1346" s="85">
        <v>4547.72</v>
      </c>
      <c r="R1346" s="82" t="s">
        <v>3399</v>
      </c>
      <c r="S1346" s="7">
        <f t="shared" si="61"/>
        <v>0</v>
      </c>
      <c r="T1346" s="6">
        <f t="shared" si="62"/>
        <v>0</v>
      </c>
      <c r="U1346" s="25">
        <f t="shared" ref="U1346:U1409" si="63">IF(T1346=1,K1346-J1346,0)</f>
        <v>0</v>
      </c>
    </row>
    <row r="1347" spans="1:21" ht="10.9" customHeight="1" x14ac:dyDescent="0.2">
      <c r="A1347" s="82" t="s">
        <v>2892</v>
      </c>
      <c r="B1347" s="83">
        <v>45828</v>
      </c>
      <c r="C1347" s="82" t="s">
        <v>3395</v>
      </c>
      <c r="D1347" s="82" t="s">
        <v>1176</v>
      </c>
      <c r="E1347" s="82"/>
      <c r="F1347" s="82" t="s">
        <v>5319</v>
      </c>
      <c r="G1347" s="89">
        <v>1</v>
      </c>
      <c r="H1347" s="89">
        <v>2387.5500000000002</v>
      </c>
      <c r="I1347" s="85">
        <v>0</v>
      </c>
      <c r="J1347" s="85">
        <v>119.38</v>
      </c>
      <c r="K1347" s="85">
        <v>2506.9299999999998</v>
      </c>
      <c r="L1347" s="85">
        <v>2622.07</v>
      </c>
      <c r="M1347" s="89">
        <v>2387.5500000000002</v>
      </c>
      <c r="N1347" s="85">
        <v>0</v>
      </c>
      <c r="O1347" s="85">
        <v>119.38</v>
      </c>
      <c r="P1347" s="85">
        <v>2506.9299999999998</v>
      </c>
      <c r="Q1347" s="85">
        <v>2622.07</v>
      </c>
      <c r="R1347" s="82" t="s">
        <v>3399</v>
      </c>
      <c r="S1347" s="7">
        <f t="shared" ref="S1347:S1410" si="64">IF(T1347=1,A1347,0)</f>
        <v>0</v>
      </c>
      <c r="T1347" s="6">
        <f t="shared" ref="T1347:T1410" si="65">IFERROR(FIND("Freight",F1347,1),0)</f>
        <v>0</v>
      </c>
      <c r="U1347" s="25">
        <f t="shared" si="63"/>
        <v>0</v>
      </c>
    </row>
    <row r="1348" spans="1:21" ht="10.9" customHeight="1" x14ac:dyDescent="0.2">
      <c r="A1348" s="82" t="s">
        <v>2892</v>
      </c>
      <c r="B1348" s="83">
        <v>45828</v>
      </c>
      <c r="C1348" s="82" t="s">
        <v>3395</v>
      </c>
      <c r="D1348" s="82" t="s">
        <v>1176</v>
      </c>
      <c r="E1348" s="82"/>
      <c r="F1348" s="82" t="s">
        <v>4556</v>
      </c>
      <c r="G1348" s="89">
        <v>1</v>
      </c>
      <c r="H1348" s="89">
        <v>109.66</v>
      </c>
      <c r="I1348" s="85">
        <v>0</v>
      </c>
      <c r="J1348" s="85">
        <v>5.48</v>
      </c>
      <c r="K1348" s="85">
        <v>115.14</v>
      </c>
      <c r="L1348" s="85">
        <v>2622.07</v>
      </c>
      <c r="M1348" s="89">
        <v>109.66</v>
      </c>
      <c r="N1348" s="85">
        <v>0</v>
      </c>
      <c r="O1348" s="85">
        <v>5.48</v>
      </c>
      <c r="P1348" s="85">
        <v>115.14</v>
      </c>
      <c r="Q1348" s="85">
        <v>2622.07</v>
      </c>
      <c r="R1348" s="82" t="s">
        <v>3399</v>
      </c>
      <c r="S1348" s="7">
        <f t="shared" si="64"/>
        <v>0</v>
      </c>
      <c r="T1348" s="6">
        <f t="shared" si="65"/>
        <v>0</v>
      </c>
      <c r="U1348" s="25">
        <f t="shared" si="63"/>
        <v>0</v>
      </c>
    </row>
    <row r="1349" spans="1:21" ht="10.9" customHeight="1" x14ac:dyDescent="0.2">
      <c r="A1349" s="82" t="s">
        <v>2805</v>
      </c>
      <c r="B1349" s="83">
        <v>45828</v>
      </c>
      <c r="C1349" s="82" t="s">
        <v>3395</v>
      </c>
      <c r="D1349" s="82" t="s">
        <v>1330</v>
      </c>
      <c r="E1349" s="82"/>
      <c r="F1349" s="82" t="s">
        <v>4445</v>
      </c>
      <c r="G1349" s="89">
        <v>2</v>
      </c>
      <c r="H1349" s="89">
        <v>2171.73</v>
      </c>
      <c r="I1349" s="85">
        <v>0</v>
      </c>
      <c r="J1349" s="85">
        <v>564.65</v>
      </c>
      <c r="K1349" s="85">
        <v>4908.1099999999997</v>
      </c>
      <c r="L1349" s="85">
        <v>4908.1099999999997</v>
      </c>
      <c r="M1349" s="89">
        <v>2171.73</v>
      </c>
      <c r="N1349" s="85">
        <v>0</v>
      </c>
      <c r="O1349" s="85">
        <v>564.65</v>
      </c>
      <c r="P1349" s="85">
        <v>4908.1099999999997</v>
      </c>
      <c r="Q1349" s="85">
        <v>4908.1099999999997</v>
      </c>
      <c r="R1349" s="82" t="s">
        <v>3399</v>
      </c>
      <c r="S1349" s="7">
        <f t="shared" si="64"/>
        <v>0</v>
      </c>
      <c r="T1349" s="6">
        <f t="shared" si="65"/>
        <v>0</v>
      </c>
      <c r="U1349" s="25">
        <f t="shared" si="63"/>
        <v>0</v>
      </c>
    </row>
    <row r="1350" spans="1:21" ht="10.9" customHeight="1" x14ac:dyDescent="0.2">
      <c r="A1350" s="82" t="s">
        <v>2876</v>
      </c>
      <c r="B1350" s="83">
        <v>45828</v>
      </c>
      <c r="C1350" s="82" t="s">
        <v>3395</v>
      </c>
      <c r="D1350" s="82" t="s">
        <v>1208</v>
      </c>
      <c r="E1350" s="82"/>
      <c r="F1350" s="82" t="s">
        <v>4497</v>
      </c>
      <c r="G1350" s="89">
        <v>2</v>
      </c>
      <c r="H1350" s="89">
        <v>55.42</v>
      </c>
      <c r="I1350" s="85">
        <v>0</v>
      </c>
      <c r="J1350" s="85">
        <v>14.41</v>
      </c>
      <c r="K1350" s="85">
        <v>125.25</v>
      </c>
      <c r="L1350" s="85">
        <v>4457.7</v>
      </c>
      <c r="M1350" s="89">
        <v>55.42</v>
      </c>
      <c r="N1350" s="85">
        <v>0</v>
      </c>
      <c r="O1350" s="85">
        <v>14.41</v>
      </c>
      <c r="P1350" s="85">
        <v>125.25</v>
      </c>
      <c r="Q1350" s="85">
        <v>4457.7</v>
      </c>
      <c r="R1350" s="82" t="s">
        <v>3399</v>
      </c>
      <c r="S1350" s="7">
        <f t="shared" si="64"/>
        <v>0</v>
      </c>
      <c r="T1350" s="6">
        <f t="shared" si="65"/>
        <v>0</v>
      </c>
      <c r="U1350" s="25">
        <f t="shared" si="63"/>
        <v>0</v>
      </c>
    </row>
    <row r="1351" spans="1:21" ht="10.9" customHeight="1" x14ac:dyDescent="0.2">
      <c r="A1351" s="82" t="s">
        <v>2876</v>
      </c>
      <c r="B1351" s="83">
        <v>45828</v>
      </c>
      <c r="C1351" s="82" t="s">
        <v>3395</v>
      </c>
      <c r="D1351" s="82" t="s">
        <v>1208</v>
      </c>
      <c r="E1351" s="82"/>
      <c r="F1351" s="82" t="s">
        <v>5318</v>
      </c>
      <c r="G1351" s="89">
        <v>1</v>
      </c>
      <c r="H1351" s="89">
        <v>3834.03</v>
      </c>
      <c r="I1351" s="85">
        <v>0</v>
      </c>
      <c r="J1351" s="85">
        <v>498.42</v>
      </c>
      <c r="K1351" s="85">
        <v>4332.45</v>
      </c>
      <c r="L1351" s="85">
        <v>4457.7</v>
      </c>
      <c r="M1351" s="89">
        <v>3834.03</v>
      </c>
      <c r="N1351" s="85">
        <v>0</v>
      </c>
      <c r="O1351" s="85">
        <v>498.42</v>
      </c>
      <c r="P1351" s="85">
        <v>4332.45</v>
      </c>
      <c r="Q1351" s="85">
        <v>4457.7</v>
      </c>
      <c r="R1351" s="82" t="s">
        <v>3399</v>
      </c>
      <c r="S1351" s="7">
        <f t="shared" si="64"/>
        <v>0</v>
      </c>
      <c r="T1351" s="6">
        <f t="shared" si="65"/>
        <v>0</v>
      </c>
      <c r="U1351" s="25">
        <f t="shared" si="63"/>
        <v>0</v>
      </c>
    </row>
    <row r="1352" spans="1:21" ht="10.9" customHeight="1" x14ac:dyDescent="0.2">
      <c r="A1352" s="82" t="s">
        <v>2719</v>
      </c>
      <c r="B1352" s="83">
        <v>45828</v>
      </c>
      <c r="C1352" s="82" t="s">
        <v>3395</v>
      </c>
      <c r="D1352" s="82" t="s">
        <v>1490</v>
      </c>
      <c r="E1352" s="82"/>
      <c r="F1352" s="82" t="s">
        <v>5317</v>
      </c>
      <c r="G1352" s="89">
        <v>1</v>
      </c>
      <c r="H1352" s="89">
        <v>995.06</v>
      </c>
      <c r="I1352" s="85">
        <v>0</v>
      </c>
      <c r="J1352" s="85">
        <v>129.36000000000001</v>
      </c>
      <c r="K1352" s="85">
        <v>1124.42</v>
      </c>
      <c r="L1352" s="85">
        <v>1124.42</v>
      </c>
      <c r="M1352" s="89">
        <v>995.06</v>
      </c>
      <c r="N1352" s="85">
        <v>0</v>
      </c>
      <c r="O1352" s="85">
        <v>129.36000000000001</v>
      </c>
      <c r="P1352" s="85">
        <v>1124.42</v>
      </c>
      <c r="Q1352" s="85">
        <v>1124.42</v>
      </c>
      <c r="R1352" s="82" t="s">
        <v>3399</v>
      </c>
      <c r="S1352" s="7">
        <f t="shared" si="64"/>
        <v>0</v>
      </c>
      <c r="T1352" s="6">
        <f t="shared" si="65"/>
        <v>0</v>
      </c>
      <c r="U1352" s="25">
        <f t="shared" si="63"/>
        <v>0</v>
      </c>
    </row>
    <row r="1353" spans="1:21" ht="10.9" customHeight="1" x14ac:dyDescent="0.2">
      <c r="A1353" s="82" t="s">
        <v>2592</v>
      </c>
      <c r="B1353" s="83">
        <v>45831</v>
      </c>
      <c r="C1353" s="82" t="s">
        <v>3395</v>
      </c>
      <c r="D1353" s="82" t="s">
        <v>3516</v>
      </c>
      <c r="E1353" s="82"/>
      <c r="F1353" s="82" t="s">
        <v>5313</v>
      </c>
      <c r="G1353" s="89">
        <v>12</v>
      </c>
      <c r="H1353" s="89">
        <v>9</v>
      </c>
      <c r="I1353" s="85">
        <v>0</v>
      </c>
      <c r="J1353" s="85">
        <v>0</v>
      </c>
      <c r="K1353" s="85">
        <v>108</v>
      </c>
      <c r="L1353" s="85">
        <v>2264</v>
      </c>
      <c r="M1353" s="89">
        <v>12.361686463678618</v>
      </c>
      <c r="N1353" s="85">
        <v>0</v>
      </c>
      <c r="O1353" s="85">
        <v>0</v>
      </c>
      <c r="P1353" s="85">
        <v>148.34023756414342</v>
      </c>
      <c r="Q1353" s="85">
        <v>3109.6509059742657</v>
      </c>
      <c r="R1353" s="82" t="s">
        <v>3396</v>
      </c>
      <c r="S1353" s="7">
        <f t="shared" si="64"/>
        <v>0</v>
      </c>
      <c r="T1353" s="6">
        <f t="shared" si="65"/>
        <v>0</v>
      </c>
      <c r="U1353" s="25">
        <f t="shared" si="63"/>
        <v>0</v>
      </c>
    </row>
    <row r="1354" spans="1:21" ht="10.9" customHeight="1" x14ac:dyDescent="0.2">
      <c r="A1354" s="82" t="s">
        <v>2592</v>
      </c>
      <c r="B1354" s="83">
        <v>45831</v>
      </c>
      <c r="C1354" s="82" t="s">
        <v>3395</v>
      </c>
      <c r="D1354" s="82" t="s">
        <v>3516</v>
      </c>
      <c r="E1354" s="82"/>
      <c r="F1354" s="82" t="s">
        <v>5312</v>
      </c>
      <c r="G1354" s="89">
        <v>3</v>
      </c>
      <c r="H1354" s="89">
        <v>588</v>
      </c>
      <c r="I1354" s="85">
        <v>0</v>
      </c>
      <c r="J1354" s="85">
        <v>0</v>
      </c>
      <c r="K1354" s="85">
        <v>1764</v>
      </c>
      <c r="L1354" s="85">
        <v>2264</v>
      </c>
      <c r="M1354" s="89">
        <v>807.63018229366969</v>
      </c>
      <c r="N1354" s="85">
        <v>0</v>
      </c>
      <c r="O1354" s="85">
        <v>0</v>
      </c>
      <c r="P1354" s="85">
        <v>2422.890546881009</v>
      </c>
      <c r="Q1354" s="85">
        <v>3109.6509059742657</v>
      </c>
      <c r="R1354" s="82" t="s">
        <v>3396</v>
      </c>
      <c r="S1354" s="7">
        <f t="shared" si="64"/>
        <v>0</v>
      </c>
      <c r="T1354" s="6">
        <f t="shared" si="65"/>
        <v>0</v>
      </c>
      <c r="U1354" s="25">
        <f t="shared" si="63"/>
        <v>0</v>
      </c>
    </row>
    <row r="1355" spans="1:21" ht="10.9" customHeight="1" x14ac:dyDescent="0.2">
      <c r="A1355" s="82" t="s">
        <v>2592</v>
      </c>
      <c r="B1355" s="83">
        <v>45831</v>
      </c>
      <c r="C1355" s="82" t="s">
        <v>3395</v>
      </c>
      <c r="D1355" s="82" t="s">
        <v>3516</v>
      </c>
      <c r="E1355" s="82"/>
      <c r="F1355" s="82" t="s">
        <v>5311</v>
      </c>
      <c r="G1355" s="89">
        <v>3</v>
      </c>
      <c r="H1355" s="89">
        <v>88</v>
      </c>
      <c r="I1355" s="85">
        <v>0</v>
      </c>
      <c r="J1355" s="85">
        <v>0</v>
      </c>
      <c r="K1355" s="85">
        <v>264</v>
      </c>
      <c r="L1355" s="85">
        <v>2264</v>
      </c>
      <c r="M1355" s="89">
        <v>120.86982320041315</v>
      </c>
      <c r="N1355" s="85">
        <v>0</v>
      </c>
      <c r="O1355" s="85">
        <v>0</v>
      </c>
      <c r="P1355" s="85">
        <v>362.60946960123948</v>
      </c>
      <c r="Q1355" s="85">
        <v>3109.6509059742657</v>
      </c>
      <c r="R1355" s="82" t="s">
        <v>3396</v>
      </c>
      <c r="S1355" s="7">
        <f t="shared" si="64"/>
        <v>0</v>
      </c>
      <c r="T1355" s="6">
        <f t="shared" si="65"/>
        <v>0</v>
      </c>
      <c r="U1355" s="25">
        <f t="shared" si="63"/>
        <v>0</v>
      </c>
    </row>
    <row r="1356" spans="1:21" ht="10.9" customHeight="1" x14ac:dyDescent="0.2">
      <c r="A1356" s="82" t="s">
        <v>2592</v>
      </c>
      <c r="B1356" s="83">
        <v>45831</v>
      </c>
      <c r="C1356" s="82" t="s">
        <v>3395</v>
      </c>
      <c r="D1356" s="82" t="s">
        <v>3516</v>
      </c>
      <c r="E1356" s="82"/>
      <c r="F1356" s="82" t="s">
        <v>5310</v>
      </c>
      <c r="G1356" s="89">
        <v>1</v>
      </c>
      <c r="H1356" s="89">
        <v>128</v>
      </c>
      <c r="I1356" s="85">
        <v>0</v>
      </c>
      <c r="J1356" s="85">
        <v>0</v>
      </c>
      <c r="K1356" s="85">
        <v>128</v>
      </c>
      <c r="L1356" s="85">
        <v>2264</v>
      </c>
      <c r="M1356" s="89">
        <v>175.81065192787369</v>
      </c>
      <c r="N1356" s="85">
        <v>0</v>
      </c>
      <c r="O1356" s="85">
        <v>0</v>
      </c>
      <c r="P1356" s="85">
        <v>175.81065192787369</v>
      </c>
      <c r="Q1356" s="85">
        <v>3109.6509059742657</v>
      </c>
      <c r="R1356" s="82" t="s">
        <v>3396</v>
      </c>
      <c r="S1356" s="7">
        <f t="shared" si="64"/>
        <v>0</v>
      </c>
      <c r="T1356" s="6">
        <f t="shared" si="65"/>
        <v>0</v>
      </c>
      <c r="U1356" s="25">
        <f t="shared" si="63"/>
        <v>0</v>
      </c>
    </row>
    <row r="1357" spans="1:21" ht="10.9" customHeight="1" x14ac:dyDescent="0.2">
      <c r="A1357" s="82" t="s">
        <v>2728</v>
      </c>
      <c r="B1357" s="83">
        <v>45831</v>
      </c>
      <c r="C1357" s="82" t="s">
        <v>3395</v>
      </c>
      <c r="D1357" s="82" t="s">
        <v>3515</v>
      </c>
      <c r="E1357" s="82"/>
      <c r="F1357" s="82" t="s">
        <v>5309</v>
      </c>
      <c r="G1357" s="89">
        <v>1</v>
      </c>
      <c r="H1357" s="89">
        <v>85</v>
      </c>
      <c r="I1357" s="85">
        <v>0</v>
      </c>
      <c r="J1357" s="85">
        <v>0</v>
      </c>
      <c r="K1357" s="85">
        <v>85</v>
      </c>
      <c r="L1357" s="85">
        <v>4141.32</v>
      </c>
      <c r="M1357" s="89">
        <v>116.74926104585361</v>
      </c>
      <c r="N1357" s="85">
        <v>0</v>
      </c>
      <c r="O1357" s="85">
        <v>0</v>
      </c>
      <c r="P1357" s="85">
        <v>116.74926104585361</v>
      </c>
      <c r="Q1357" s="85">
        <v>5688.1888206401709</v>
      </c>
      <c r="R1357" s="82" t="s">
        <v>3396</v>
      </c>
      <c r="S1357" s="7">
        <f t="shared" si="64"/>
        <v>0</v>
      </c>
      <c r="T1357" s="6">
        <f t="shared" si="65"/>
        <v>0</v>
      </c>
      <c r="U1357" s="25">
        <f t="shared" si="63"/>
        <v>0</v>
      </c>
    </row>
    <row r="1358" spans="1:21" ht="10.9" customHeight="1" x14ac:dyDescent="0.2">
      <c r="A1358" s="82" t="s">
        <v>2728</v>
      </c>
      <c r="B1358" s="83">
        <v>45831</v>
      </c>
      <c r="C1358" s="82" t="s">
        <v>3395</v>
      </c>
      <c r="D1358" s="82" t="s">
        <v>3515</v>
      </c>
      <c r="E1358" s="82"/>
      <c r="F1358" s="82" t="s">
        <v>4545</v>
      </c>
      <c r="G1358" s="89">
        <v>1</v>
      </c>
      <c r="H1358" s="89">
        <v>1443</v>
      </c>
      <c r="I1358" s="85">
        <v>0</v>
      </c>
      <c r="J1358" s="85">
        <v>0</v>
      </c>
      <c r="K1358" s="85">
        <v>1443</v>
      </c>
      <c r="L1358" s="85">
        <v>4141.32</v>
      </c>
      <c r="M1358" s="89">
        <v>1981.9903963431384</v>
      </c>
      <c r="N1358" s="85">
        <v>0</v>
      </c>
      <c r="O1358" s="85">
        <v>0</v>
      </c>
      <c r="P1358" s="85">
        <v>1981.9903963431384</v>
      </c>
      <c r="Q1358" s="85">
        <v>5688.1888206401709</v>
      </c>
      <c r="R1358" s="82" t="s">
        <v>3396</v>
      </c>
      <c r="S1358" s="7">
        <f t="shared" si="64"/>
        <v>0</v>
      </c>
      <c r="T1358" s="6">
        <f t="shared" si="65"/>
        <v>0</v>
      </c>
      <c r="U1358" s="25">
        <f t="shared" si="63"/>
        <v>0</v>
      </c>
    </row>
    <row r="1359" spans="1:21" ht="10.9" customHeight="1" x14ac:dyDescent="0.2">
      <c r="A1359" s="82" t="s">
        <v>2728</v>
      </c>
      <c r="B1359" s="83">
        <v>45831</v>
      </c>
      <c r="C1359" s="82" t="s">
        <v>3395</v>
      </c>
      <c r="D1359" s="82" t="s">
        <v>3515</v>
      </c>
      <c r="E1359" s="82"/>
      <c r="F1359" s="82" t="s">
        <v>4543</v>
      </c>
      <c r="G1359" s="89">
        <v>5</v>
      </c>
      <c r="H1359" s="89">
        <v>1.5</v>
      </c>
      <c r="I1359" s="85">
        <v>0</v>
      </c>
      <c r="J1359" s="85">
        <v>0</v>
      </c>
      <c r="K1359" s="85">
        <v>7.5</v>
      </c>
      <c r="L1359" s="85">
        <v>4141.32</v>
      </c>
      <c r="M1359" s="89">
        <v>2.0602810772797695</v>
      </c>
      <c r="N1359" s="85">
        <v>0</v>
      </c>
      <c r="O1359" s="85">
        <v>0</v>
      </c>
      <c r="P1359" s="85">
        <v>10.301405386398848</v>
      </c>
      <c r="Q1359" s="85">
        <v>5688.1888206401709</v>
      </c>
      <c r="R1359" s="82" t="s">
        <v>3396</v>
      </c>
      <c r="S1359" s="7">
        <f t="shared" si="64"/>
        <v>0</v>
      </c>
      <c r="T1359" s="6">
        <f t="shared" si="65"/>
        <v>0</v>
      </c>
      <c r="U1359" s="25">
        <f t="shared" si="63"/>
        <v>0</v>
      </c>
    </row>
    <row r="1360" spans="1:21" ht="10.9" customHeight="1" x14ac:dyDescent="0.2">
      <c r="A1360" s="82" t="s">
        <v>2728</v>
      </c>
      <c r="B1360" s="83">
        <v>45831</v>
      </c>
      <c r="C1360" s="82" t="s">
        <v>3395</v>
      </c>
      <c r="D1360" s="82" t="s">
        <v>3515</v>
      </c>
      <c r="E1360" s="82"/>
      <c r="F1360" s="82" t="s">
        <v>4544</v>
      </c>
      <c r="G1360" s="89">
        <v>1</v>
      </c>
      <c r="H1360" s="89">
        <v>521.32000000000005</v>
      </c>
      <c r="I1360" s="85">
        <v>0</v>
      </c>
      <c r="J1360" s="85">
        <v>0</v>
      </c>
      <c r="K1360" s="85">
        <v>521.32000000000005</v>
      </c>
      <c r="L1360" s="85">
        <v>4141.32</v>
      </c>
      <c r="M1360" s="89">
        <v>716.04382080499306</v>
      </c>
      <c r="N1360" s="85">
        <v>0</v>
      </c>
      <c r="O1360" s="85">
        <v>0</v>
      </c>
      <c r="P1360" s="85">
        <v>716.04382080499306</v>
      </c>
      <c r="Q1360" s="85">
        <v>5688.1888206401709</v>
      </c>
      <c r="R1360" s="82" t="s">
        <v>3396</v>
      </c>
      <c r="S1360" s="7">
        <f t="shared" si="64"/>
        <v>0</v>
      </c>
      <c r="T1360" s="6">
        <f t="shared" si="65"/>
        <v>0</v>
      </c>
      <c r="U1360" s="25">
        <f t="shared" si="63"/>
        <v>0</v>
      </c>
    </row>
    <row r="1361" spans="1:21" ht="10.9" customHeight="1" x14ac:dyDescent="0.2">
      <c r="A1361" s="82" t="s">
        <v>2728</v>
      </c>
      <c r="B1361" s="83">
        <v>45831</v>
      </c>
      <c r="C1361" s="82" t="s">
        <v>3395</v>
      </c>
      <c r="D1361" s="82" t="s">
        <v>3515</v>
      </c>
      <c r="E1361" s="82"/>
      <c r="F1361" s="82" t="s">
        <v>4542</v>
      </c>
      <c r="G1361" s="89">
        <v>5</v>
      </c>
      <c r="H1361" s="89">
        <v>5.5</v>
      </c>
      <c r="I1361" s="85">
        <v>0</v>
      </c>
      <c r="J1361" s="85">
        <v>0</v>
      </c>
      <c r="K1361" s="85">
        <v>27.5</v>
      </c>
      <c r="L1361" s="85">
        <v>4141.32</v>
      </c>
      <c r="M1361" s="89">
        <v>7.5543639500258219</v>
      </c>
      <c r="N1361" s="85">
        <v>0</v>
      </c>
      <c r="O1361" s="85">
        <v>0</v>
      </c>
      <c r="P1361" s="85">
        <v>37.771819750129112</v>
      </c>
      <c r="Q1361" s="85">
        <v>5688.1888206401709</v>
      </c>
      <c r="R1361" s="82" t="s">
        <v>3396</v>
      </c>
      <c r="S1361" s="7">
        <f t="shared" si="64"/>
        <v>0</v>
      </c>
      <c r="T1361" s="6">
        <f t="shared" si="65"/>
        <v>0</v>
      </c>
      <c r="U1361" s="25">
        <f t="shared" si="63"/>
        <v>0</v>
      </c>
    </row>
    <row r="1362" spans="1:21" ht="10.9" customHeight="1" x14ac:dyDescent="0.2">
      <c r="A1362" s="82" t="s">
        <v>2728</v>
      </c>
      <c r="B1362" s="83">
        <v>45831</v>
      </c>
      <c r="C1362" s="82" t="s">
        <v>3395</v>
      </c>
      <c r="D1362" s="82" t="s">
        <v>3515</v>
      </c>
      <c r="E1362" s="82"/>
      <c r="F1362" s="82" t="s">
        <v>5086</v>
      </c>
      <c r="G1362" s="89">
        <v>1</v>
      </c>
      <c r="H1362" s="89">
        <v>395.2</v>
      </c>
      <c r="I1362" s="85">
        <v>0</v>
      </c>
      <c r="J1362" s="85">
        <v>0</v>
      </c>
      <c r="K1362" s="85">
        <v>395.2</v>
      </c>
      <c r="L1362" s="85">
        <v>4141.32</v>
      </c>
      <c r="M1362" s="89">
        <v>542.81538782731002</v>
      </c>
      <c r="N1362" s="85">
        <v>0</v>
      </c>
      <c r="O1362" s="85">
        <v>0</v>
      </c>
      <c r="P1362" s="85">
        <v>542.81538782731002</v>
      </c>
      <c r="Q1362" s="85">
        <v>5688.1888206401709</v>
      </c>
      <c r="R1362" s="82" t="s">
        <v>3396</v>
      </c>
      <c r="S1362" s="7">
        <f t="shared" si="64"/>
        <v>0</v>
      </c>
      <c r="T1362" s="6">
        <f t="shared" si="65"/>
        <v>0</v>
      </c>
      <c r="U1362" s="25">
        <f t="shared" si="63"/>
        <v>0</v>
      </c>
    </row>
    <row r="1363" spans="1:21" ht="10.9" customHeight="1" x14ac:dyDescent="0.2">
      <c r="A1363" s="82" t="s">
        <v>2728</v>
      </c>
      <c r="B1363" s="83">
        <v>45831</v>
      </c>
      <c r="C1363" s="82" t="s">
        <v>3395</v>
      </c>
      <c r="D1363" s="82" t="s">
        <v>3515</v>
      </c>
      <c r="E1363" s="82"/>
      <c r="F1363" s="82" t="s">
        <v>5308</v>
      </c>
      <c r="G1363" s="89">
        <v>3</v>
      </c>
      <c r="H1363" s="89">
        <v>16.5</v>
      </c>
      <c r="I1363" s="85">
        <v>0</v>
      </c>
      <c r="J1363" s="85">
        <v>0</v>
      </c>
      <c r="K1363" s="85">
        <v>49.5</v>
      </c>
      <c r="L1363" s="85">
        <v>4141.32</v>
      </c>
      <c r="M1363" s="89">
        <v>22.663091850077468</v>
      </c>
      <c r="N1363" s="85">
        <v>0</v>
      </c>
      <c r="O1363" s="85">
        <v>0</v>
      </c>
      <c r="P1363" s="85">
        <v>67.989275550232406</v>
      </c>
      <c r="Q1363" s="85">
        <v>5688.1888206401709</v>
      </c>
      <c r="R1363" s="82" t="s">
        <v>3396</v>
      </c>
      <c r="S1363" s="7">
        <f t="shared" si="64"/>
        <v>0</v>
      </c>
      <c r="T1363" s="6">
        <f t="shared" si="65"/>
        <v>0</v>
      </c>
      <c r="U1363" s="25">
        <f t="shared" si="63"/>
        <v>0</v>
      </c>
    </row>
    <row r="1364" spans="1:21" ht="10.9" customHeight="1" x14ac:dyDescent="0.2">
      <c r="A1364" s="82" t="s">
        <v>2728</v>
      </c>
      <c r="B1364" s="83">
        <v>45831</v>
      </c>
      <c r="C1364" s="82" t="s">
        <v>3395</v>
      </c>
      <c r="D1364" s="82" t="s">
        <v>3515</v>
      </c>
      <c r="E1364" s="82"/>
      <c r="F1364" s="82" t="s">
        <v>5307</v>
      </c>
      <c r="G1364" s="89">
        <v>2</v>
      </c>
      <c r="H1364" s="89">
        <v>5.5</v>
      </c>
      <c r="I1364" s="85">
        <v>0</v>
      </c>
      <c r="J1364" s="85">
        <v>0</v>
      </c>
      <c r="K1364" s="85">
        <v>11</v>
      </c>
      <c r="L1364" s="85">
        <v>4141.32</v>
      </c>
      <c r="M1364" s="89">
        <v>7.5543639500258219</v>
      </c>
      <c r="N1364" s="85">
        <v>0</v>
      </c>
      <c r="O1364" s="85">
        <v>0</v>
      </c>
      <c r="P1364" s="85">
        <v>15.108727900051644</v>
      </c>
      <c r="Q1364" s="85">
        <v>5688.1888206401709</v>
      </c>
      <c r="R1364" s="82" t="s">
        <v>3396</v>
      </c>
      <c r="S1364" s="7">
        <f t="shared" si="64"/>
        <v>0</v>
      </c>
      <c r="T1364" s="6">
        <f t="shared" si="65"/>
        <v>0</v>
      </c>
      <c r="U1364" s="25">
        <f t="shared" si="63"/>
        <v>0</v>
      </c>
    </row>
    <row r="1365" spans="1:21" ht="10.9" customHeight="1" x14ac:dyDescent="0.2">
      <c r="A1365" s="82" t="s">
        <v>2728</v>
      </c>
      <c r="B1365" s="83">
        <v>45831</v>
      </c>
      <c r="C1365" s="82" t="s">
        <v>3395</v>
      </c>
      <c r="D1365" s="82" t="s">
        <v>3515</v>
      </c>
      <c r="E1365" s="82"/>
      <c r="F1365" s="82" t="s">
        <v>5306</v>
      </c>
      <c r="G1365" s="89">
        <v>1</v>
      </c>
      <c r="H1365" s="89">
        <v>44</v>
      </c>
      <c r="I1365" s="85">
        <v>0</v>
      </c>
      <c r="J1365" s="85">
        <v>0</v>
      </c>
      <c r="K1365" s="85">
        <v>44</v>
      </c>
      <c r="L1365" s="85">
        <v>4141.32</v>
      </c>
      <c r="M1365" s="89">
        <v>60.434911600206576</v>
      </c>
      <c r="N1365" s="85">
        <v>0</v>
      </c>
      <c r="O1365" s="85">
        <v>0</v>
      </c>
      <c r="P1365" s="85">
        <v>60.434911600206576</v>
      </c>
      <c r="Q1365" s="85">
        <v>5688.1888206401709</v>
      </c>
      <c r="R1365" s="82" t="s">
        <v>3396</v>
      </c>
      <c r="S1365" s="7">
        <f t="shared" si="64"/>
        <v>0</v>
      </c>
      <c r="T1365" s="6">
        <f t="shared" si="65"/>
        <v>0</v>
      </c>
      <c r="U1365" s="25">
        <f t="shared" si="63"/>
        <v>0</v>
      </c>
    </row>
    <row r="1366" spans="1:21" ht="10.9" customHeight="1" x14ac:dyDescent="0.2">
      <c r="A1366" s="82" t="s">
        <v>2728</v>
      </c>
      <c r="B1366" s="83">
        <v>45831</v>
      </c>
      <c r="C1366" s="82" t="s">
        <v>3395</v>
      </c>
      <c r="D1366" s="82" t="s">
        <v>3515</v>
      </c>
      <c r="E1366" s="82"/>
      <c r="F1366" s="82" t="s">
        <v>5305</v>
      </c>
      <c r="G1366" s="89">
        <v>5</v>
      </c>
      <c r="H1366" s="89">
        <v>1.2</v>
      </c>
      <c r="I1366" s="85">
        <v>0</v>
      </c>
      <c r="J1366" s="85">
        <v>0</v>
      </c>
      <c r="K1366" s="85">
        <v>6</v>
      </c>
      <c r="L1366" s="85">
        <v>4141.32</v>
      </c>
      <c r="M1366" s="89">
        <v>1.6482248618238158</v>
      </c>
      <c r="N1366" s="85">
        <v>0</v>
      </c>
      <c r="O1366" s="85">
        <v>0</v>
      </c>
      <c r="P1366" s="85">
        <v>8.241124309119078</v>
      </c>
      <c r="Q1366" s="85">
        <v>5688.1888206401709</v>
      </c>
      <c r="R1366" s="82" t="s">
        <v>3396</v>
      </c>
      <c r="S1366" s="7">
        <f t="shared" si="64"/>
        <v>0</v>
      </c>
      <c r="T1366" s="6">
        <f t="shared" si="65"/>
        <v>0</v>
      </c>
      <c r="U1366" s="25">
        <f t="shared" si="63"/>
        <v>0</v>
      </c>
    </row>
    <row r="1367" spans="1:21" ht="10.9" customHeight="1" x14ac:dyDescent="0.2">
      <c r="A1367" s="82" t="s">
        <v>2728</v>
      </c>
      <c r="B1367" s="83">
        <v>45831</v>
      </c>
      <c r="C1367" s="82" t="s">
        <v>3395</v>
      </c>
      <c r="D1367" s="82" t="s">
        <v>3515</v>
      </c>
      <c r="E1367" s="82"/>
      <c r="F1367" s="82" t="s">
        <v>5304</v>
      </c>
      <c r="G1367" s="89">
        <v>5</v>
      </c>
      <c r="H1367" s="89">
        <v>1.46</v>
      </c>
      <c r="I1367" s="85">
        <v>0</v>
      </c>
      <c r="J1367" s="85">
        <v>0</v>
      </c>
      <c r="K1367" s="85">
        <v>7.3</v>
      </c>
      <c r="L1367" s="85">
        <v>4141.32</v>
      </c>
      <c r="M1367" s="89">
        <v>2.0053402485523093</v>
      </c>
      <c r="N1367" s="85">
        <v>0</v>
      </c>
      <c r="O1367" s="85">
        <v>0</v>
      </c>
      <c r="P1367" s="85">
        <v>10.026701242761545</v>
      </c>
      <c r="Q1367" s="85">
        <v>5688.1888206401709</v>
      </c>
      <c r="R1367" s="82" t="s">
        <v>3396</v>
      </c>
      <c r="S1367" s="7">
        <f t="shared" si="64"/>
        <v>0</v>
      </c>
      <c r="T1367" s="6">
        <f t="shared" si="65"/>
        <v>0</v>
      </c>
      <c r="U1367" s="25">
        <f t="shared" si="63"/>
        <v>0</v>
      </c>
    </row>
    <row r="1368" spans="1:21" ht="10.9" customHeight="1" x14ac:dyDescent="0.2">
      <c r="A1368" s="82" t="s">
        <v>2728</v>
      </c>
      <c r="B1368" s="83">
        <v>45831</v>
      </c>
      <c r="C1368" s="82" t="s">
        <v>3395</v>
      </c>
      <c r="D1368" s="82" t="s">
        <v>3515</v>
      </c>
      <c r="E1368" s="82"/>
      <c r="F1368" s="82" t="s">
        <v>5303</v>
      </c>
      <c r="G1368" s="89">
        <v>1</v>
      </c>
      <c r="H1368" s="89">
        <v>135</v>
      </c>
      <c r="I1368" s="85">
        <v>0</v>
      </c>
      <c r="J1368" s="85">
        <v>0</v>
      </c>
      <c r="K1368" s="85">
        <v>135</v>
      </c>
      <c r="L1368" s="85">
        <v>4141.32</v>
      </c>
      <c r="M1368" s="89">
        <v>185.42529695517928</v>
      </c>
      <c r="N1368" s="85">
        <v>0</v>
      </c>
      <c r="O1368" s="85">
        <v>0</v>
      </c>
      <c r="P1368" s="85">
        <v>185.42529695517928</v>
      </c>
      <c r="Q1368" s="85">
        <v>5688.1888206401709</v>
      </c>
      <c r="R1368" s="82" t="s">
        <v>3396</v>
      </c>
      <c r="S1368" s="7">
        <f t="shared" si="64"/>
        <v>0</v>
      </c>
      <c r="T1368" s="6">
        <f t="shared" si="65"/>
        <v>0</v>
      </c>
      <c r="U1368" s="25">
        <f t="shared" si="63"/>
        <v>0</v>
      </c>
    </row>
    <row r="1369" spans="1:21" ht="10.9" customHeight="1" x14ac:dyDescent="0.2">
      <c r="A1369" s="82" t="s">
        <v>2728</v>
      </c>
      <c r="B1369" s="83">
        <v>45831</v>
      </c>
      <c r="C1369" s="82" t="s">
        <v>3395</v>
      </c>
      <c r="D1369" s="82" t="s">
        <v>3515</v>
      </c>
      <c r="E1369" s="82"/>
      <c r="F1369" s="82" t="s">
        <v>5302</v>
      </c>
      <c r="G1369" s="89">
        <v>1</v>
      </c>
      <c r="H1369" s="89">
        <v>145</v>
      </c>
      <c r="I1369" s="85">
        <v>0</v>
      </c>
      <c r="J1369" s="85">
        <v>0</v>
      </c>
      <c r="K1369" s="85">
        <v>145</v>
      </c>
      <c r="L1369" s="85">
        <v>4141.32</v>
      </c>
      <c r="M1369" s="89">
        <v>199.1605041370444</v>
      </c>
      <c r="N1369" s="85">
        <v>0</v>
      </c>
      <c r="O1369" s="85">
        <v>0</v>
      </c>
      <c r="P1369" s="85">
        <v>199.1605041370444</v>
      </c>
      <c r="Q1369" s="85">
        <v>5688.1888206401709</v>
      </c>
      <c r="R1369" s="82" t="s">
        <v>3396</v>
      </c>
      <c r="S1369" s="7">
        <f t="shared" si="64"/>
        <v>0</v>
      </c>
      <c r="T1369" s="6">
        <f t="shared" si="65"/>
        <v>0</v>
      </c>
      <c r="U1369" s="25">
        <f t="shared" si="63"/>
        <v>0</v>
      </c>
    </row>
    <row r="1370" spans="1:21" ht="10.9" customHeight="1" x14ac:dyDescent="0.2">
      <c r="A1370" s="82" t="s">
        <v>2728</v>
      </c>
      <c r="B1370" s="83">
        <v>45831</v>
      </c>
      <c r="C1370" s="82" t="s">
        <v>3395</v>
      </c>
      <c r="D1370" s="82" t="s">
        <v>3515</v>
      </c>
      <c r="E1370" s="82"/>
      <c r="F1370" s="82" t="s">
        <v>5301</v>
      </c>
      <c r="G1370" s="89">
        <v>5</v>
      </c>
      <c r="H1370" s="89">
        <v>3.8</v>
      </c>
      <c r="I1370" s="85">
        <v>0</v>
      </c>
      <c r="J1370" s="85">
        <v>0</v>
      </c>
      <c r="K1370" s="85">
        <v>19</v>
      </c>
      <c r="L1370" s="85">
        <v>4141.32</v>
      </c>
      <c r="M1370" s="89">
        <v>5.2193787291087501</v>
      </c>
      <c r="N1370" s="85">
        <v>0</v>
      </c>
      <c r="O1370" s="85">
        <v>0</v>
      </c>
      <c r="P1370" s="85">
        <v>26.096893645543748</v>
      </c>
      <c r="Q1370" s="85">
        <v>5688.1888206401709</v>
      </c>
      <c r="R1370" s="82" t="s">
        <v>3396</v>
      </c>
      <c r="S1370" s="7">
        <f t="shared" si="64"/>
        <v>0</v>
      </c>
      <c r="T1370" s="6">
        <f t="shared" si="65"/>
        <v>0</v>
      </c>
      <c r="U1370" s="25">
        <f t="shared" si="63"/>
        <v>0</v>
      </c>
    </row>
    <row r="1371" spans="1:21" ht="10.9" customHeight="1" x14ac:dyDescent="0.2">
      <c r="A1371" s="82" t="s">
        <v>2728</v>
      </c>
      <c r="B1371" s="83">
        <v>45831</v>
      </c>
      <c r="C1371" s="82" t="s">
        <v>3395</v>
      </c>
      <c r="D1371" s="82" t="s">
        <v>3515</v>
      </c>
      <c r="E1371" s="82"/>
      <c r="F1371" s="82" t="s">
        <v>5300</v>
      </c>
      <c r="G1371" s="89">
        <v>1</v>
      </c>
      <c r="H1371" s="89">
        <v>18</v>
      </c>
      <c r="I1371" s="85">
        <v>0</v>
      </c>
      <c r="J1371" s="85">
        <v>0</v>
      </c>
      <c r="K1371" s="85">
        <v>18</v>
      </c>
      <c r="L1371" s="85">
        <v>4141.32</v>
      </c>
      <c r="M1371" s="89">
        <v>24.723372927357236</v>
      </c>
      <c r="N1371" s="85">
        <v>0</v>
      </c>
      <c r="O1371" s="85">
        <v>0</v>
      </c>
      <c r="P1371" s="85">
        <v>24.723372927357236</v>
      </c>
      <c r="Q1371" s="85">
        <v>5688.1888206401709</v>
      </c>
      <c r="R1371" s="82" t="s">
        <v>3396</v>
      </c>
      <c r="S1371" s="7">
        <f t="shared" si="64"/>
        <v>0</v>
      </c>
      <c r="T1371" s="6">
        <f t="shared" si="65"/>
        <v>0</v>
      </c>
      <c r="U1371" s="25">
        <f t="shared" si="63"/>
        <v>0</v>
      </c>
    </row>
    <row r="1372" spans="1:21" ht="10.9" customHeight="1" x14ac:dyDescent="0.2">
      <c r="A1372" s="82" t="s">
        <v>2728</v>
      </c>
      <c r="B1372" s="83">
        <v>45831</v>
      </c>
      <c r="C1372" s="82" t="s">
        <v>3395</v>
      </c>
      <c r="D1372" s="82" t="s">
        <v>3515</v>
      </c>
      <c r="E1372" s="82"/>
      <c r="F1372" s="82" t="s">
        <v>5299</v>
      </c>
      <c r="G1372" s="89">
        <v>1</v>
      </c>
      <c r="H1372" s="89">
        <v>30</v>
      </c>
      <c r="I1372" s="85">
        <v>0</v>
      </c>
      <c r="J1372" s="85">
        <v>0</v>
      </c>
      <c r="K1372" s="85">
        <v>30</v>
      </c>
      <c r="L1372" s="85">
        <v>4141.32</v>
      </c>
      <c r="M1372" s="89">
        <v>41.205621545595392</v>
      </c>
      <c r="N1372" s="85">
        <v>0</v>
      </c>
      <c r="O1372" s="85">
        <v>0</v>
      </c>
      <c r="P1372" s="85">
        <v>41.205621545595392</v>
      </c>
      <c r="Q1372" s="85">
        <v>5688.1888206401709</v>
      </c>
      <c r="R1372" s="82" t="s">
        <v>3396</v>
      </c>
      <c r="S1372" s="7">
        <f t="shared" si="64"/>
        <v>0</v>
      </c>
      <c r="T1372" s="6">
        <f t="shared" si="65"/>
        <v>0</v>
      </c>
      <c r="U1372" s="25">
        <f t="shared" si="63"/>
        <v>0</v>
      </c>
    </row>
    <row r="1373" spans="1:21" ht="10.9" customHeight="1" x14ac:dyDescent="0.2">
      <c r="A1373" s="82" t="s">
        <v>2728</v>
      </c>
      <c r="B1373" s="83">
        <v>45831</v>
      </c>
      <c r="C1373" s="82" t="s">
        <v>3395</v>
      </c>
      <c r="D1373" s="82" t="s">
        <v>3515</v>
      </c>
      <c r="E1373" s="82"/>
      <c r="F1373" s="82" t="s">
        <v>5298</v>
      </c>
      <c r="G1373" s="89">
        <v>1</v>
      </c>
      <c r="H1373" s="89">
        <v>225</v>
      </c>
      <c r="I1373" s="85">
        <v>0</v>
      </c>
      <c r="J1373" s="85">
        <v>0</v>
      </c>
      <c r="K1373" s="85">
        <v>225</v>
      </c>
      <c r="L1373" s="85">
        <v>4141.32</v>
      </c>
      <c r="M1373" s="89">
        <v>309.04216159196545</v>
      </c>
      <c r="N1373" s="85">
        <v>0</v>
      </c>
      <c r="O1373" s="85">
        <v>0</v>
      </c>
      <c r="P1373" s="85">
        <v>309.04216159196545</v>
      </c>
      <c r="Q1373" s="85">
        <v>5688.1888206401709</v>
      </c>
      <c r="R1373" s="82" t="s">
        <v>3396</v>
      </c>
      <c r="S1373" s="7">
        <f t="shared" si="64"/>
        <v>0</v>
      </c>
      <c r="T1373" s="6">
        <f t="shared" si="65"/>
        <v>0</v>
      </c>
      <c r="U1373" s="25">
        <f t="shared" si="63"/>
        <v>0</v>
      </c>
    </row>
    <row r="1374" spans="1:21" ht="10.9" customHeight="1" x14ac:dyDescent="0.2">
      <c r="A1374" s="82" t="s">
        <v>2728</v>
      </c>
      <c r="B1374" s="83">
        <v>45831</v>
      </c>
      <c r="C1374" s="82" t="s">
        <v>3395</v>
      </c>
      <c r="D1374" s="82" t="s">
        <v>3515</v>
      </c>
      <c r="E1374" s="82"/>
      <c r="F1374" s="82" t="s">
        <v>5297</v>
      </c>
      <c r="G1374" s="89">
        <v>1</v>
      </c>
      <c r="H1374" s="89">
        <v>170</v>
      </c>
      <c r="I1374" s="85">
        <v>0</v>
      </c>
      <c r="J1374" s="85">
        <v>0</v>
      </c>
      <c r="K1374" s="85">
        <v>170</v>
      </c>
      <c r="L1374" s="85">
        <v>4141.32</v>
      </c>
      <c r="M1374" s="89">
        <v>233.49852209170723</v>
      </c>
      <c r="N1374" s="85">
        <v>0</v>
      </c>
      <c r="O1374" s="85">
        <v>0</v>
      </c>
      <c r="P1374" s="85">
        <v>233.49852209170723</v>
      </c>
      <c r="Q1374" s="85">
        <v>5688.1888206401709</v>
      </c>
      <c r="R1374" s="82" t="s">
        <v>3396</v>
      </c>
      <c r="S1374" s="7">
        <f t="shared" si="64"/>
        <v>0</v>
      </c>
      <c r="T1374" s="6">
        <f t="shared" si="65"/>
        <v>0</v>
      </c>
      <c r="U1374" s="25">
        <f t="shared" si="63"/>
        <v>0</v>
      </c>
    </row>
    <row r="1375" spans="1:21" ht="10.9" customHeight="1" x14ac:dyDescent="0.2">
      <c r="A1375" s="82" t="s">
        <v>2728</v>
      </c>
      <c r="B1375" s="83">
        <v>45831</v>
      </c>
      <c r="C1375" s="82" t="s">
        <v>3395</v>
      </c>
      <c r="D1375" s="82" t="s">
        <v>3515</v>
      </c>
      <c r="E1375" s="82"/>
      <c r="F1375" s="82" t="s">
        <v>5296</v>
      </c>
      <c r="G1375" s="89">
        <v>1</v>
      </c>
      <c r="H1375" s="89">
        <v>20</v>
      </c>
      <c r="I1375" s="85">
        <v>0</v>
      </c>
      <c r="J1375" s="85">
        <v>0</v>
      </c>
      <c r="K1375" s="85">
        <v>20</v>
      </c>
      <c r="L1375" s="85">
        <v>4141.32</v>
      </c>
      <c r="M1375" s="89">
        <v>27.470414363730264</v>
      </c>
      <c r="N1375" s="85">
        <v>0</v>
      </c>
      <c r="O1375" s="85">
        <v>0</v>
      </c>
      <c r="P1375" s="85">
        <v>27.470414363730264</v>
      </c>
      <c r="Q1375" s="85">
        <v>5688.1888206401709</v>
      </c>
      <c r="R1375" s="82" t="s">
        <v>3396</v>
      </c>
      <c r="S1375" s="7">
        <f t="shared" si="64"/>
        <v>0</v>
      </c>
      <c r="T1375" s="6">
        <f t="shared" si="65"/>
        <v>0</v>
      </c>
      <c r="U1375" s="25">
        <f t="shared" si="63"/>
        <v>0</v>
      </c>
    </row>
    <row r="1376" spans="1:21" ht="10.9" customHeight="1" x14ac:dyDescent="0.2">
      <c r="A1376" s="82" t="s">
        <v>2728</v>
      </c>
      <c r="B1376" s="83">
        <v>45831</v>
      </c>
      <c r="C1376" s="82" t="s">
        <v>3395</v>
      </c>
      <c r="D1376" s="82" t="s">
        <v>3515</v>
      </c>
      <c r="E1376" s="82"/>
      <c r="F1376" s="82" t="s">
        <v>5295</v>
      </c>
      <c r="G1376" s="89">
        <v>1</v>
      </c>
      <c r="H1376" s="89">
        <v>750</v>
      </c>
      <c r="I1376" s="85">
        <v>0</v>
      </c>
      <c r="J1376" s="85">
        <v>0</v>
      </c>
      <c r="K1376" s="85">
        <v>750</v>
      </c>
      <c r="L1376" s="85">
        <v>4141.32</v>
      </c>
      <c r="M1376" s="89">
        <v>1030.1405386398849</v>
      </c>
      <c r="N1376" s="85">
        <v>0</v>
      </c>
      <c r="O1376" s="85">
        <v>0</v>
      </c>
      <c r="P1376" s="85">
        <v>1030.1405386398849</v>
      </c>
      <c r="Q1376" s="85">
        <v>5688.1888206401709</v>
      </c>
      <c r="R1376" s="82" t="s">
        <v>3396</v>
      </c>
      <c r="S1376" s="7">
        <f t="shared" si="64"/>
        <v>0</v>
      </c>
      <c r="T1376" s="6">
        <f t="shared" si="65"/>
        <v>0</v>
      </c>
      <c r="U1376" s="25">
        <f t="shared" si="63"/>
        <v>0</v>
      </c>
    </row>
    <row r="1377" spans="1:21" ht="10.9" customHeight="1" x14ac:dyDescent="0.2">
      <c r="A1377" s="82" t="s">
        <v>2728</v>
      </c>
      <c r="B1377" s="83">
        <v>45831</v>
      </c>
      <c r="C1377" s="82" t="s">
        <v>3395</v>
      </c>
      <c r="D1377" s="82" t="s">
        <v>3515</v>
      </c>
      <c r="E1377" s="82"/>
      <c r="F1377" s="82" t="s">
        <v>5294</v>
      </c>
      <c r="G1377" s="89">
        <v>4</v>
      </c>
      <c r="H1377" s="89">
        <v>8</v>
      </c>
      <c r="I1377" s="85">
        <v>0</v>
      </c>
      <c r="J1377" s="85">
        <v>0</v>
      </c>
      <c r="K1377" s="85">
        <v>32</v>
      </c>
      <c r="L1377" s="85">
        <v>4141.32</v>
      </c>
      <c r="M1377" s="89">
        <v>10.988165745492106</v>
      </c>
      <c r="N1377" s="85">
        <v>0</v>
      </c>
      <c r="O1377" s="85">
        <v>0</v>
      </c>
      <c r="P1377" s="85">
        <v>43.952662981968423</v>
      </c>
      <c r="Q1377" s="85">
        <v>5688.1888206401709</v>
      </c>
      <c r="R1377" s="82" t="s">
        <v>3396</v>
      </c>
      <c r="S1377" s="7">
        <f t="shared" si="64"/>
        <v>0</v>
      </c>
      <c r="T1377" s="6">
        <f t="shared" si="65"/>
        <v>0</v>
      </c>
      <c r="U1377" s="25">
        <f t="shared" si="63"/>
        <v>0</v>
      </c>
    </row>
    <row r="1378" spans="1:21" ht="10.9" customHeight="1" x14ac:dyDescent="0.2">
      <c r="A1378" s="82" t="s">
        <v>2888</v>
      </c>
      <c r="B1378" s="83">
        <v>45831</v>
      </c>
      <c r="C1378" s="82" t="s">
        <v>3395</v>
      </c>
      <c r="D1378" s="82" t="s">
        <v>1186</v>
      </c>
      <c r="E1378" s="82"/>
      <c r="F1378" s="82" t="s">
        <v>4532</v>
      </c>
      <c r="G1378" s="89">
        <v>2</v>
      </c>
      <c r="H1378" s="89">
        <v>110.83</v>
      </c>
      <c r="I1378" s="85">
        <v>0</v>
      </c>
      <c r="J1378" s="85">
        <v>11.08</v>
      </c>
      <c r="K1378" s="85">
        <v>232.74</v>
      </c>
      <c r="L1378" s="85">
        <v>545.47</v>
      </c>
      <c r="M1378" s="89">
        <v>110.83</v>
      </c>
      <c r="N1378" s="85">
        <v>0</v>
      </c>
      <c r="O1378" s="85">
        <v>11.08</v>
      </c>
      <c r="P1378" s="85">
        <v>232.74</v>
      </c>
      <c r="Q1378" s="85">
        <v>545.47</v>
      </c>
      <c r="R1378" s="82" t="s">
        <v>3399</v>
      </c>
      <c r="S1378" s="7">
        <f t="shared" si="64"/>
        <v>0</v>
      </c>
      <c r="T1378" s="6">
        <f t="shared" si="65"/>
        <v>0</v>
      </c>
      <c r="U1378" s="25">
        <f t="shared" si="63"/>
        <v>0</v>
      </c>
    </row>
    <row r="1379" spans="1:21" ht="10.9" customHeight="1" x14ac:dyDescent="0.2">
      <c r="A1379" s="82" t="s">
        <v>2888</v>
      </c>
      <c r="B1379" s="83">
        <v>45831</v>
      </c>
      <c r="C1379" s="82" t="s">
        <v>3395</v>
      </c>
      <c r="D1379" s="82" t="s">
        <v>1186</v>
      </c>
      <c r="E1379" s="82"/>
      <c r="F1379" s="82" t="s">
        <v>5179</v>
      </c>
      <c r="G1379" s="89">
        <v>1</v>
      </c>
      <c r="H1379" s="89">
        <v>297.83999999999997</v>
      </c>
      <c r="I1379" s="85">
        <v>0</v>
      </c>
      <c r="J1379" s="85">
        <v>14.89</v>
      </c>
      <c r="K1379" s="85">
        <v>312.73</v>
      </c>
      <c r="L1379" s="85">
        <v>545.47</v>
      </c>
      <c r="M1379" s="89">
        <v>297.83999999999997</v>
      </c>
      <c r="N1379" s="85">
        <v>0</v>
      </c>
      <c r="O1379" s="85">
        <v>14.89</v>
      </c>
      <c r="P1379" s="85">
        <v>312.73</v>
      </c>
      <c r="Q1379" s="85">
        <v>545.47</v>
      </c>
      <c r="R1379" s="82" t="s">
        <v>3399</v>
      </c>
      <c r="S1379" s="7">
        <f t="shared" si="64"/>
        <v>0</v>
      </c>
      <c r="T1379" s="6">
        <f t="shared" si="65"/>
        <v>0</v>
      </c>
      <c r="U1379" s="25">
        <f t="shared" si="63"/>
        <v>0</v>
      </c>
    </row>
    <row r="1380" spans="1:21" ht="10.9" customHeight="1" x14ac:dyDescent="0.2">
      <c r="A1380" s="82" t="s">
        <v>2811</v>
      </c>
      <c r="B1380" s="83">
        <v>45831</v>
      </c>
      <c r="C1380" s="82" t="s">
        <v>3395</v>
      </c>
      <c r="D1380" s="82" t="s">
        <v>1321</v>
      </c>
      <c r="E1380" s="82"/>
      <c r="F1380" s="82" t="s">
        <v>5293</v>
      </c>
      <c r="G1380" s="89">
        <v>1</v>
      </c>
      <c r="H1380" s="89">
        <v>5934.85</v>
      </c>
      <c r="I1380" s="85">
        <v>0</v>
      </c>
      <c r="J1380" s="85">
        <v>296.74</v>
      </c>
      <c r="K1380" s="85">
        <v>6231.59</v>
      </c>
      <c r="L1380" s="85">
        <v>6231.59</v>
      </c>
      <c r="M1380" s="89">
        <v>5934.85</v>
      </c>
      <c r="N1380" s="85">
        <v>0</v>
      </c>
      <c r="O1380" s="85">
        <v>296.74</v>
      </c>
      <c r="P1380" s="85">
        <v>6231.59</v>
      </c>
      <c r="Q1380" s="85">
        <v>6231.59</v>
      </c>
      <c r="R1380" s="82" t="s">
        <v>3399</v>
      </c>
      <c r="S1380" s="7">
        <f t="shared" si="64"/>
        <v>0</v>
      </c>
      <c r="T1380" s="6">
        <f t="shared" si="65"/>
        <v>0</v>
      </c>
      <c r="U1380" s="25">
        <f t="shared" si="63"/>
        <v>0</v>
      </c>
    </row>
    <row r="1381" spans="1:21" ht="10.9" customHeight="1" x14ac:dyDescent="0.2">
      <c r="A1381" s="82" t="s">
        <v>5283</v>
      </c>
      <c r="B1381" s="83">
        <v>45832</v>
      </c>
      <c r="C1381" s="82" t="s">
        <v>3395</v>
      </c>
      <c r="D1381" s="82" t="s">
        <v>1164</v>
      </c>
      <c r="E1381" s="82"/>
      <c r="F1381" s="82" t="s">
        <v>5292</v>
      </c>
      <c r="G1381" s="89">
        <v>1</v>
      </c>
      <c r="H1381" s="89">
        <v>648.91999999999996</v>
      </c>
      <c r="I1381" s="85">
        <v>0</v>
      </c>
      <c r="J1381" s="85">
        <v>0</v>
      </c>
      <c r="K1381" s="85">
        <v>648.91999999999996</v>
      </c>
      <c r="L1381" s="85">
        <v>6185.82</v>
      </c>
      <c r="M1381" s="89">
        <v>889.96166795811587</v>
      </c>
      <c r="N1381" s="85">
        <v>0</v>
      </c>
      <c r="O1381" s="85">
        <v>0</v>
      </c>
      <c r="P1381" s="85">
        <v>889.96166795811587</v>
      </c>
      <c r="Q1381" s="85">
        <v>8483.5460224506442</v>
      </c>
      <c r="R1381" s="82" t="s">
        <v>4515</v>
      </c>
      <c r="S1381" s="7">
        <f t="shared" si="64"/>
        <v>0</v>
      </c>
      <c r="T1381" s="6">
        <f t="shared" si="65"/>
        <v>0</v>
      </c>
      <c r="U1381" s="25">
        <f t="shared" si="63"/>
        <v>0</v>
      </c>
    </row>
    <row r="1382" spans="1:21" ht="10.9" customHeight="1" x14ac:dyDescent="0.2">
      <c r="A1382" s="82" t="s">
        <v>5283</v>
      </c>
      <c r="B1382" s="83">
        <v>45832</v>
      </c>
      <c r="C1382" s="82" t="s">
        <v>3395</v>
      </c>
      <c r="D1382" s="82" t="s">
        <v>1164</v>
      </c>
      <c r="E1382" s="82"/>
      <c r="F1382" s="82" t="s">
        <v>5277</v>
      </c>
      <c r="G1382" s="89">
        <v>1</v>
      </c>
      <c r="H1382" s="89">
        <v>371.92</v>
      </c>
      <c r="I1382" s="85">
        <v>0</v>
      </c>
      <c r="J1382" s="85">
        <v>0</v>
      </c>
      <c r="K1382" s="85">
        <v>371.92</v>
      </c>
      <c r="L1382" s="85">
        <v>6185.82</v>
      </c>
      <c r="M1382" s="89">
        <v>510.06987540372074</v>
      </c>
      <c r="N1382" s="85">
        <v>0</v>
      </c>
      <c r="O1382" s="85">
        <v>0</v>
      </c>
      <c r="P1382" s="85">
        <v>510.06987540372074</v>
      </c>
      <c r="Q1382" s="85">
        <v>8483.5460224506442</v>
      </c>
      <c r="R1382" s="82" t="s">
        <v>4515</v>
      </c>
      <c r="S1382" s="7">
        <f t="shared" si="64"/>
        <v>0</v>
      </c>
      <c r="T1382" s="6">
        <f t="shared" si="65"/>
        <v>0</v>
      </c>
      <c r="U1382" s="25">
        <f t="shared" si="63"/>
        <v>0</v>
      </c>
    </row>
    <row r="1383" spans="1:21" ht="10.9" customHeight="1" x14ac:dyDescent="0.2">
      <c r="A1383" s="82" t="s">
        <v>5283</v>
      </c>
      <c r="B1383" s="83">
        <v>45832</v>
      </c>
      <c r="C1383" s="82" t="s">
        <v>3395</v>
      </c>
      <c r="D1383" s="82" t="s">
        <v>1164</v>
      </c>
      <c r="E1383" s="82"/>
      <c r="F1383" s="90" t="s">
        <v>5291</v>
      </c>
      <c r="G1383" s="89">
        <v>1</v>
      </c>
      <c r="H1383" s="89">
        <v>487.29</v>
      </c>
      <c r="I1383" s="85">
        <v>0</v>
      </c>
      <c r="J1383" s="85">
        <v>0</v>
      </c>
      <c r="K1383" s="85">
        <v>487.29</v>
      </c>
      <c r="L1383" s="85">
        <v>6185.82</v>
      </c>
      <c r="M1383" s="89">
        <v>668.29412127736896</v>
      </c>
      <c r="N1383" s="85">
        <v>0</v>
      </c>
      <c r="O1383" s="85">
        <v>0</v>
      </c>
      <c r="P1383" s="85">
        <v>668.29412127736896</v>
      </c>
      <c r="Q1383" s="85">
        <v>8483.5460224506442</v>
      </c>
      <c r="R1383" s="82" t="s">
        <v>4515</v>
      </c>
      <c r="S1383" s="7">
        <f t="shared" si="64"/>
        <v>0</v>
      </c>
      <c r="T1383" s="6">
        <f t="shared" si="65"/>
        <v>0</v>
      </c>
      <c r="U1383" s="25">
        <f t="shared" si="63"/>
        <v>0</v>
      </c>
    </row>
    <row r="1384" spans="1:21" ht="21.4" customHeight="1" x14ac:dyDescent="0.2">
      <c r="A1384" s="82" t="s">
        <v>5283</v>
      </c>
      <c r="B1384" s="83">
        <v>45832</v>
      </c>
      <c r="C1384" s="82" t="s">
        <v>3395</v>
      </c>
      <c r="D1384" s="82" t="s">
        <v>1164</v>
      </c>
      <c r="E1384" s="82"/>
      <c r="F1384" s="90" t="s">
        <v>5290</v>
      </c>
      <c r="G1384" s="89">
        <v>1</v>
      </c>
      <c r="H1384" s="89">
        <v>474.58</v>
      </c>
      <c r="I1384" s="85">
        <v>0</v>
      </c>
      <c r="J1384" s="85">
        <v>0</v>
      </c>
      <c r="K1384" s="85">
        <v>474.58</v>
      </c>
      <c r="L1384" s="85">
        <v>6185.82</v>
      </c>
      <c r="M1384" s="89">
        <v>650.86298523633525</v>
      </c>
      <c r="N1384" s="85">
        <v>0</v>
      </c>
      <c r="O1384" s="85">
        <v>0</v>
      </c>
      <c r="P1384" s="85">
        <v>650.86298523633525</v>
      </c>
      <c r="Q1384" s="85">
        <v>8483.5460224506442</v>
      </c>
      <c r="R1384" s="82" t="s">
        <v>4515</v>
      </c>
      <c r="S1384" s="7">
        <f t="shared" si="64"/>
        <v>0</v>
      </c>
      <c r="T1384" s="6">
        <f t="shared" si="65"/>
        <v>0</v>
      </c>
      <c r="U1384" s="25">
        <f t="shared" si="63"/>
        <v>0</v>
      </c>
    </row>
    <row r="1385" spans="1:21" ht="21.4" customHeight="1" x14ac:dyDescent="0.2">
      <c r="A1385" s="82" t="s">
        <v>5283</v>
      </c>
      <c r="B1385" s="83">
        <v>45832</v>
      </c>
      <c r="C1385" s="82" t="s">
        <v>3395</v>
      </c>
      <c r="D1385" s="82" t="s">
        <v>1164</v>
      </c>
      <c r="E1385" s="82"/>
      <c r="F1385" s="82" t="s">
        <v>5275</v>
      </c>
      <c r="G1385" s="89">
        <v>1</v>
      </c>
      <c r="H1385" s="89">
        <v>14.25</v>
      </c>
      <c r="I1385" s="85">
        <v>0</v>
      </c>
      <c r="J1385" s="85">
        <v>0</v>
      </c>
      <c r="K1385" s="85">
        <v>14.25</v>
      </c>
      <c r="L1385" s="85">
        <v>6185.82</v>
      </c>
      <c r="M1385" s="89">
        <v>19.543169833574481</v>
      </c>
      <c r="N1385" s="85">
        <v>0</v>
      </c>
      <c r="O1385" s="85">
        <v>0</v>
      </c>
      <c r="P1385" s="85">
        <v>19.543169833574481</v>
      </c>
      <c r="Q1385" s="85">
        <v>8483.5460224506442</v>
      </c>
      <c r="R1385" s="82" t="s">
        <v>4515</v>
      </c>
      <c r="S1385" s="7">
        <f t="shared" si="64"/>
        <v>0</v>
      </c>
      <c r="T1385" s="6">
        <f t="shared" si="65"/>
        <v>0</v>
      </c>
      <c r="U1385" s="25">
        <f t="shared" si="63"/>
        <v>0</v>
      </c>
    </row>
    <row r="1386" spans="1:21" ht="10.9" customHeight="1" x14ac:dyDescent="0.2">
      <c r="A1386" s="82" t="s">
        <v>5283</v>
      </c>
      <c r="B1386" s="83">
        <v>45832</v>
      </c>
      <c r="C1386" s="82" t="s">
        <v>3395</v>
      </c>
      <c r="D1386" s="82" t="s">
        <v>1164</v>
      </c>
      <c r="E1386" s="82"/>
      <c r="F1386" s="90" t="s">
        <v>5274</v>
      </c>
      <c r="G1386" s="89">
        <v>1</v>
      </c>
      <c r="H1386" s="89">
        <v>1996.17</v>
      </c>
      <c r="I1386" s="85">
        <v>0</v>
      </c>
      <c r="J1386" s="85">
        <v>0</v>
      </c>
      <c r="K1386" s="85">
        <v>1996.17</v>
      </c>
      <c r="L1386" s="85">
        <v>6185.82</v>
      </c>
      <c r="M1386" s="89">
        <v>2737.6483738025522</v>
      </c>
      <c r="N1386" s="85">
        <v>0</v>
      </c>
      <c r="O1386" s="85">
        <v>0</v>
      </c>
      <c r="P1386" s="85">
        <v>2737.6483738025522</v>
      </c>
      <c r="Q1386" s="85">
        <v>8483.5460224506442</v>
      </c>
      <c r="R1386" s="82" t="s">
        <v>4515</v>
      </c>
      <c r="S1386" s="7">
        <f t="shared" si="64"/>
        <v>0</v>
      </c>
      <c r="T1386" s="6">
        <f t="shared" si="65"/>
        <v>0</v>
      </c>
      <c r="U1386" s="25">
        <f t="shared" si="63"/>
        <v>0</v>
      </c>
    </row>
    <row r="1387" spans="1:21" ht="31.7" customHeight="1" x14ac:dyDescent="0.2">
      <c r="A1387" s="82" t="s">
        <v>5283</v>
      </c>
      <c r="B1387" s="83">
        <v>45832</v>
      </c>
      <c r="C1387" s="82" t="s">
        <v>3395</v>
      </c>
      <c r="D1387" s="82" t="s">
        <v>1164</v>
      </c>
      <c r="E1387" s="82"/>
      <c r="F1387" s="90" t="s">
        <v>5289</v>
      </c>
      <c r="G1387" s="89">
        <v>3</v>
      </c>
      <c r="H1387" s="89">
        <v>9.1</v>
      </c>
      <c r="I1387" s="85">
        <v>0</v>
      </c>
      <c r="J1387" s="85">
        <v>0</v>
      </c>
      <c r="K1387" s="85">
        <v>27.3</v>
      </c>
      <c r="L1387" s="85">
        <v>6185.82</v>
      </c>
      <c r="M1387" s="89">
        <v>12.480199683194931</v>
      </c>
      <c r="N1387" s="85">
        <v>0</v>
      </c>
      <c r="O1387" s="85">
        <v>0</v>
      </c>
      <c r="P1387" s="85">
        <v>37.44059904958479</v>
      </c>
      <c r="Q1387" s="85">
        <v>8483.5460224506442</v>
      </c>
      <c r="R1387" s="82" t="s">
        <v>4515</v>
      </c>
      <c r="S1387" s="7">
        <f t="shared" si="64"/>
        <v>0</v>
      </c>
      <c r="T1387" s="6">
        <f t="shared" si="65"/>
        <v>0</v>
      </c>
      <c r="U1387" s="25">
        <f t="shared" si="63"/>
        <v>0</v>
      </c>
    </row>
    <row r="1388" spans="1:21" ht="21.4" customHeight="1" x14ac:dyDescent="0.2">
      <c r="A1388" s="82" t="s">
        <v>5283</v>
      </c>
      <c r="B1388" s="83">
        <v>45832</v>
      </c>
      <c r="C1388" s="82" t="s">
        <v>3395</v>
      </c>
      <c r="D1388" s="82" t="s">
        <v>1164</v>
      </c>
      <c r="E1388" s="82"/>
      <c r="F1388" s="90" t="s">
        <v>5288</v>
      </c>
      <c r="G1388" s="89">
        <v>1</v>
      </c>
      <c r="H1388" s="89">
        <v>224.89</v>
      </c>
      <c r="I1388" s="85">
        <v>0</v>
      </c>
      <c r="J1388" s="85">
        <v>0</v>
      </c>
      <c r="K1388" s="85">
        <v>224.89</v>
      </c>
      <c r="L1388" s="85">
        <v>6185.82</v>
      </c>
      <c r="M1388" s="89">
        <v>308.4255062366712</v>
      </c>
      <c r="N1388" s="85">
        <v>0</v>
      </c>
      <c r="O1388" s="85">
        <v>0</v>
      </c>
      <c r="P1388" s="85">
        <v>308.4255062366712</v>
      </c>
      <c r="Q1388" s="85">
        <v>8483.5460224506442</v>
      </c>
      <c r="R1388" s="82" t="s">
        <v>4515</v>
      </c>
      <c r="S1388" s="7">
        <f t="shared" si="64"/>
        <v>0</v>
      </c>
      <c r="T1388" s="6">
        <f t="shared" si="65"/>
        <v>0</v>
      </c>
      <c r="U1388" s="25">
        <f t="shared" si="63"/>
        <v>0</v>
      </c>
    </row>
    <row r="1389" spans="1:21" ht="21.4" customHeight="1" x14ac:dyDescent="0.2">
      <c r="A1389" s="82" t="s">
        <v>5283</v>
      </c>
      <c r="B1389" s="83">
        <v>45832</v>
      </c>
      <c r="C1389" s="82" t="s">
        <v>3395</v>
      </c>
      <c r="D1389" s="82" t="s">
        <v>1164</v>
      </c>
      <c r="E1389" s="82"/>
      <c r="F1389" s="90" t="s">
        <v>5287</v>
      </c>
      <c r="G1389" s="89">
        <v>1</v>
      </c>
      <c r="H1389" s="89">
        <v>24.49</v>
      </c>
      <c r="I1389" s="85">
        <v>0</v>
      </c>
      <c r="J1389" s="85">
        <v>0</v>
      </c>
      <c r="K1389" s="85">
        <v>24.49</v>
      </c>
      <c r="L1389" s="85">
        <v>6185.82</v>
      </c>
      <c r="M1389" s="89">
        <v>33.586823103455373</v>
      </c>
      <c r="N1389" s="85">
        <v>0</v>
      </c>
      <c r="O1389" s="85">
        <v>0</v>
      </c>
      <c r="P1389" s="85">
        <v>33.586823103455373</v>
      </c>
      <c r="Q1389" s="85">
        <v>8483.5460224506442</v>
      </c>
      <c r="R1389" s="82" t="s">
        <v>4515</v>
      </c>
      <c r="S1389" s="7">
        <f t="shared" si="64"/>
        <v>0</v>
      </c>
      <c r="T1389" s="6">
        <f t="shared" si="65"/>
        <v>0</v>
      </c>
      <c r="U1389" s="25">
        <f t="shared" si="63"/>
        <v>0</v>
      </c>
    </row>
    <row r="1390" spans="1:21" ht="21.4" customHeight="1" x14ac:dyDescent="0.2">
      <c r="A1390" s="82" t="s">
        <v>5283</v>
      </c>
      <c r="B1390" s="83">
        <v>45832</v>
      </c>
      <c r="C1390" s="82" t="s">
        <v>3395</v>
      </c>
      <c r="D1390" s="82" t="s">
        <v>1164</v>
      </c>
      <c r="E1390" s="82"/>
      <c r="F1390" s="90" t="s">
        <v>5286</v>
      </c>
      <c r="G1390" s="89">
        <v>1</v>
      </c>
      <c r="H1390" s="89">
        <v>1316.97</v>
      </c>
      <c r="I1390" s="85">
        <v>0</v>
      </c>
      <c r="J1390" s="85">
        <v>0</v>
      </c>
      <c r="K1390" s="85">
        <v>1316.97</v>
      </c>
      <c r="L1390" s="85">
        <v>6185.82</v>
      </c>
      <c r="M1390" s="89">
        <v>1806.1591842612338</v>
      </c>
      <c r="N1390" s="85">
        <v>0</v>
      </c>
      <c r="O1390" s="85">
        <v>0</v>
      </c>
      <c r="P1390" s="85">
        <v>1806.1591842612338</v>
      </c>
      <c r="Q1390" s="85">
        <v>8483.5460224506442</v>
      </c>
      <c r="R1390" s="82" t="s">
        <v>4515</v>
      </c>
      <c r="S1390" s="7">
        <f t="shared" si="64"/>
        <v>0</v>
      </c>
      <c r="T1390" s="6">
        <f t="shared" si="65"/>
        <v>0</v>
      </c>
      <c r="U1390" s="25">
        <f t="shared" si="63"/>
        <v>0</v>
      </c>
    </row>
    <row r="1391" spans="1:21" ht="31.7" customHeight="1" x14ac:dyDescent="0.2">
      <c r="A1391" s="82" t="s">
        <v>5283</v>
      </c>
      <c r="B1391" s="83">
        <v>45832</v>
      </c>
      <c r="C1391" s="82" t="s">
        <v>3395</v>
      </c>
      <c r="D1391" s="82" t="s">
        <v>1164</v>
      </c>
      <c r="E1391" s="82"/>
      <c r="F1391" s="82" t="s">
        <v>5273</v>
      </c>
      <c r="G1391" s="89">
        <v>1</v>
      </c>
      <c r="H1391" s="89">
        <v>259.88</v>
      </c>
      <c r="I1391" s="85">
        <v>0</v>
      </c>
      <c r="J1391" s="85">
        <v>0</v>
      </c>
      <c r="K1391" s="85">
        <v>259.88</v>
      </c>
      <c r="L1391" s="85">
        <v>6185.82</v>
      </c>
      <c r="M1391" s="89">
        <v>356.41255974381306</v>
      </c>
      <c r="N1391" s="85">
        <v>0</v>
      </c>
      <c r="O1391" s="85">
        <v>0</v>
      </c>
      <c r="P1391" s="85">
        <v>356.41255974381306</v>
      </c>
      <c r="Q1391" s="85">
        <v>8483.5460224506442</v>
      </c>
      <c r="R1391" s="82" t="s">
        <v>4515</v>
      </c>
      <c r="S1391" s="7">
        <f t="shared" si="64"/>
        <v>0</v>
      </c>
      <c r="T1391" s="6">
        <f t="shared" si="65"/>
        <v>0</v>
      </c>
      <c r="U1391" s="25">
        <f t="shared" si="63"/>
        <v>0</v>
      </c>
    </row>
    <row r="1392" spans="1:21" ht="10.9" customHeight="1" x14ac:dyDescent="0.2">
      <c r="A1392" s="82" t="s">
        <v>5283</v>
      </c>
      <c r="B1392" s="83">
        <v>45832</v>
      </c>
      <c r="C1392" s="82" t="s">
        <v>3395</v>
      </c>
      <c r="D1392" s="82" t="s">
        <v>1164</v>
      </c>
      <c r="E1392" s="82"/>
      <c r="F1392" s="90" t="s">
        <v>5272</v>
      </c>
      <c r="G1392" s="89">
        <v>2</v>
      </c>
      <c r="H1392" s="89">
        <v>27.39</v>
      </c>
      <c r="I1392" s="85">
        <v>0</v>
      </c>
      <c r="J1392" s="85">
        <v>0</v>
      </c>
      <c r="K1392" s="85">
        <v>54.78</v>
      </c>
      <c r="L1392" s="85">
        <v>6185.82</v>
      </c>
      <c r="M1392" s="89">
        <v>37.564029595902106</v>
      </c>
      <c r="N1392" s="85">
        <v>0</v>
      </c>
      <c r="O1392" s="85">
        <v>0</v>
      </c>
      <c r="P1392" s="85">
        <v>75.128059191804212</v>
      </c>
      <c r="Q1392" s="85">
        <v>8483.5460224506442</v>
      </c>
      <c r="R1392" s="82" t="s">
        <v>4515</v>
      </c>
      <c r="S1392" s="7">
        <f t="shared" si="64"/>
        <v>0</v>
      </c>
      <c r="T1392" s="6">
        <f t="shared" si="65"/>
        <v>0</v>
      </c>
      <c r="U1392" s="25">
        <f t="shared" si="63"/>
        <v>0</v>
      </c>
    </row>
    <row r="1393" spans="1:21" ht="21.4" customHeight="1" x14ac:dyDescent="0.2">
      <c r="A1393" s="82" t="s">
        <v>5283</v>
      </c>
      <c r="B1393" s="83">
        <v>45832</v>
      </c>
      <c r="C1393" s="82" t="s">
        <v>3395</v>
      </c>
      <c r="D1393" s="82" t="s">
        <v>1164</v>
      </c>
      <c r="E1393" s="82"/>
      <c r="F1393" s="90" t="s">
        <v>5285</v>
      </c>
      <c r="G1393" s="89">
        <v>2</v>
      </c>
      <c r="H1393" s="89">
        <v>8.52</v>
      </c>
      <c r="I1393" s="85">
        <v>0</v>
      </c>
      <c r="J1393" s="85">
        <v>0</v>
      </c>
      <c r="K1393" s="85">
        <v>17.04</v>
      </c>
      <c r="L1393" s="85">
        <v>6185.82</v>
      </c>
      <c r="M1393" s="89">
        <v>11.684758384705583</v>
      </c>
      <c r="N1393" s="85">
        <v>0</v>
      </c>
      <c r="O1393" s="85">
        <v>0</v>
      </c>
      <c r="P1393" s="85">
        <v>23.369516769411167</v>
      </c>
      <c r="Q1393" s="85">
        <v>8483.5460224506442</v>
      </c>
      <c r="R1393" s="82" t="s">
        <v>4515</v>
      </c>
      <c r="S1393" s="7">
        <f t="shared" si="64"/>
        <v>0</v>
      </c>
      <c r="T1393" s="6">
        <f t="shared" si="65"/>
        <v>0</v>
      </c>
      <c r="U1393" s="25">
        <f t="shared" si="63"/>
        <v>0</v>
      </c>
    </row>
    <row r="1394" spans="1:21" ht="21.4" customHeight="1" x14ac:dyDescent="0.2">
      <c r="A1394" s="82" t="s">
        <v>5283</v>
      </c>
      <c r="B1394" s="83">
        <v>45832</v>
      </c>
      <c r="C1394" s="82" t="s">
        <v>3395</v>
      </c>
      <c r="D1394" s="82" t="s">
        <v>1164</v>
      </c>
      <c r="E1394" s="82"/>
      <c r="F1394" s="90" t="s">
        <v>5284</v>
      </c>
      <c r="G1394" s="89">
        <v>1</v>
      </c>
      <c r="H1394" s="89">
        <v>91.82</v>
      </c>
      <c r="I1394" s="85">
        <v>0</v>
      </c>
      <c r="J1394" s="85">
        <v>0</v>
      </c>
      <c r="K1394" s="85">
        <v>91.82</v>
      </c>
      <c r="L1394" s="85">
        <v>6185.82</v>
      </c>
      <c r="M1394" s="89">
        <v>125.9265862539515</v>
      </c>
      <c r="N1394" s="85">
        <v>0</v>
      </c>
      <c r="O1394" s="85">
        <v>0</v>
      </c>
      <c r="P1394" s="85">
        <v>125.9265862539515</v>
      </c>
      <c r="Q1394" s="85">
        <v>8483.5460224506442</v>
      </c>
      <c r="R1394" s="82" t="s">
        <v>4515</v>
      </c>
      <c r="S1394" s="7">
        <f t="shared" si="64"/>
        <v>0</v>
      </c>
      <c r="T1394" s="6">
        <f t="shared" si="65"/>
        <v>0</v>
      </c>
      <c r="U1394" s="25">
        <f t="shared" si="63"/>
        <v>0</v>
      </c>
    </row>
    <row r="1395" spans="1:21" ht="21.4" customHeight="1" x14ac:dyDescent="0.2">
      <c r="A1395" s="82" t="s">
        <v>5283</v>
      </c>
      <c r="B1395" s="83">
        <v>45832</v>
      </c>
      <c r="C1395" s="82" t="s">
        <v>3395</v>
      </c>
      <c r="D1395" s="82" t="s">
        <v>1164</v>
      </c>
      <c r="E1395" s="82"/>
      <c r="F1395" s="90" t="s">
        <v>5282</v>
      </c>
      <c r="G1395" s="89">
        <v>4</v>
      </c>
      <c r="H1395" s="89">
        <v>43.88</v>
      </c>
      <c r="I1395" s="85">
        <v>0</v>
      </c>
      <c r="J1395" s="85">
        <v>0</v>
      </c>
      <c r="K1395" s="85">
        <v>175.52</v>
      </c>
      <c r="L1395" s="85">
        <v>6185.82</v>
      </c>
      <c r="M1395" s="89">
        <v>60.179248582263028</v>
      </c>
      <c r="N1395" s="85">
        <v>0</v>
      </c>
      <c r="O1395" s="85">
        <v>0</v>
      </c>
      <c r="P1395" s="85">
        <v>240.71699432905211</v>
      </c>
      <c r="Q1395" s="85">
        <v>8483.5460224506442</v>
      </c>
      <c r="R1395" s="82" t="s">
        <v>4515</v>
      </c>
      <c r="S1395" s="7">
        <f t="shared" si="64"/>
        <v>0</v>
      </c>
      <c r="T1395" s="6">
        <f t="shared" si="65"/>
        <v>0</v>
      </c>
      <c r="U1395" s="25">
        <f t="shared" si="63"/>
        <v>0</v>
      </c>
    </row>
    <row r="1396" spans="1:21" ht="21.4" customHeight="1" x14ac:dyDescent="0.2">
      <c r="A1396" s="82" t="s">
        <v>5281</v>
      </c>
      <c r="B1396" s="83">
        <v>45832</v>
      </c>
      <c r="C1396" s="82" t="s">
        <v>3395</v>
      </c>
      <c r="D1396" s="82" t="s">
        <v>1168</v>
      </c>
      <c r="E1396" s="82"/>
      <c r="F1396" s="90" t="s">
        <v>5280</v>
      </c>
      <c r="G1396" s="89">
        <v>1</v>
      </c>
      <c r="H1396" s="89">
        <v>4226.24</v>
      </c>
      <c r="I1396" s="85">
        <v>0</v>
      </c>
      <c r="J1396" s="85">
        <v>0</v>
      </c>
      <c r="K1396" s="85">
        <v>4226.24</v>
      </c>
      <c r="L1396" s="85">
        <v>4226.24</v>
      </c>
      <c r="M1396" s="89">
        <v>5796.0790229786535</v>
      </c>
      <c r="N1396" s="85">
        <v>0</v>
      </c>
      <c r="O1396" s="85">
        <v>0</v>
      </c>
      <c r="P1396" s="85">
        <v>5796.0790229786535</v>
      </c>
      <c r="Q1396" s="85">
        <v>5796.0790229786535</v>
      </c>
      <c r="R1396" s="82" t="s">
        <v>4515</v>
      </c>
      <c r="S1396" s="7">
        <f t="shared" si="64"/>
        <v>0</v>
      </c>
      <c r="T1396" s="6">
        <f t="shared" si="65"/>
        <v>0</v>
      </c>
      <c r="U1396" s="25">
        <f t="shared" si="63"/>
        <v>0</v>
      </c>
    </row>
    <row r="1397" spans="1:21" ht="31.7" customHeight="1" x14ac:dyDescent="0.2">
      <c r="A1397" s="82" t="s">
        <v>5270</v>
      </c>
      <c r="B1397" s="83">
        <v>45832</v>
      </c>
      <c r="C1397" s="82" t="s">
        <v>3395</v>
      </c>
      <c r="D1397" s="82" t="s">
        <v>1166</v>
      </c>
      <c r="E1397" s="82"/>
      <c r="F1397" s="82" t="s">
        <v>5279</v>
      </c>
      <c r="G1397" s="89">
        <v>1</v>
      </c>
      <c r="H1397" s="89">
        <v>648.91999999999996</v>
      </c>
      <c r="I1397" s="85">
        <v>0</v>
      </c>
      <c r="J1397" s="85">
        <v>0</v>
      </c>
      <c r="K1397" s="85">
        <v>648.91999999999996</v>
      </c>
      <c r="L1397" s="85">
        <v>9934.0499999999993</v>
      </c>
      <c r="M1397" s="89">
        <v>889.48103554387706</v>
      </c>
      <c r="N1397" s="85">
        <v>0</v>
      </c>
      <c r="O1397" s="85">
        <v>0</v>
      </c>
      <c r="P1397" s="85">
        <v>889.48103554387706</v>
      </c>
      <c r="Q1397" s="85">
        <v>13616.700180522486</v>
      </c>
      <c r="R1397" s="82" t="s">
        <v>4515</v>
      </c>
      <c r="S1397" s="7">
        <f t="shared" si="64"/>
        <v>0</v>
      </c>
      <c r="T1397" s="6">
        <f t="shared" si="65"/>
        <v>0</v>
      </c>
      <c r="U1397" s="25">
        <f t="shared" si="63"/>
        <v>0</v>
      </c>
    </row>
    <row r="1398" spans="1:21" ht="10.9" customHeight="1" x14ac:dyDescent="0.2">
      <c r="A1398" s="82" t="s">
        <v>5270</v>
      </c>
      <c r="B1398" s="83">
        <v>45832</v>
      </c>
      <c r="C1398" s="82" t="s">
        <v>3395</v>
      </c>
      <c r="D1398" s="82" t="s">
        <v>1166</v>
      </c>
      <c r="E1398" s="82"/>
      <c r="F1398" s="90" t="s">
        <v>5278</v>
      </c>
      <c r="G1398" s="89">
        <v>1</v>
      </c>
      <c r="H1398" s="89">
        <v>4226.24</v>
      </c>
      <c r="I1398" s="85">
        <v>0</v>
      </c>
      <c r="J1398" s="85">
        <v>0</v>
      </c>
      <c r="K1398" s="85">
        <v>4226.24</v>
      </c>
      <c r="L1398" s="85">
        <v>9934.0499999999993</v>
      </c>
      <c r="M1398" s="89">
        <v>5792.9487943921522</v>
      </c>
      <c r="N1398" s="85">
        <v>0</v>
      </c>
      <c r="O1398" s="85">
        <v>0</v>
      </c>
      <c r="P1398" s="85">
        <v>5792.9487943921522</v>
      </c>
      <c r="Q1398" s="85">
        <v>13616.700180522486</v>
      </c>
      <c r="R1398" s="82" t="s">
        <v>4515</v>
      </c>
      <c r="S1398" s="7">
        <f t="shared" si="64"/>
        <v>0</v>
      </c>
      <c r="T1398" s="6">
        <f t="shared" si="65"/>
        <v>0</v>
      </c>
      <c r="U1398" s="25">
        <f t="shared" si="63"/>
        <v>0</v>
      </c>
    </row>
    <row r="1399" spans="1:21" ht="21.4" customHeight="1" x14ac:dyDescent="0.2">
      <c r="A1399" s="82" t="s">
        <v>5270</v>
      </c>
      <c r="B1399" s="83">
        <v>45832</v>
      </c>
      <c r="C1399" s="82" t="s">
        <v>3395</v>
      </c>
      <c r="D1399" s="82" t="s">
        <v>1166</v>
      </c>
      <c r="E1399" s="82"/>
      <c r="F1399" s="82" t="s">
        <v>5277</v>
      </c>
      <c r="G1399" s="89">
        <v>1</v>
      </c>
      <c r="H1399" s="89">
        <v>371.92</v>
      </c>
      <c r="I1399" s="85">
        <v>0</v>
      </c>
      <c r="J1399" s="85">
        <v>0</v>
      </c>
      <c r="K1399" s="85">
        <v>371.92</v>
      </c>
      <c r="L1399" s="85">
        <v>9934.0499999999993</v>
      </c>
      <c r="M1399" s="89">
        <v>509.794407229672</v>
      </c>
      <c r="N1399" s="85">
        <v>0</v>
      </c>
      <c r="O1399" s="85">
        <v>0</v>
      </c>
      <c r="P1399" s="85">
        <v>509.794407229672</v>
      </c>
      <c r="Q1399" s="85">
        <v>13616.700180522486</v>
      </c>
      <c r="R1399" s="82" t="s">
        <v>4515</v>
      </c>
      <c r="S1399" s="7">
        <f t="shared" si="64"/>
        <v>0</v>
      </c>
      <c r="T1399" s="6">
        <f t="shared" si="65"/>
        <v>0</v>
      </c>
      <c r="U1399" s="25">
        <f t="shared" si="63"/>
        <v>0</v>
      </c>
    </row>
    <row r="1400" spans="1:21" ht="10.9" customHeight="1" x14ac:dyDescent="0.2">
      <c r="A1400" s="82" t="s">
        <v>5270</v>
      </c>
      <c r="B1400" s="83">
        <v>45832</v>
      </c>
      <c r="C1400" s="82" t="s">
        <v>3395</v>
      </c>
      <c r="D1400" s="82" t="s">
        <v>1166</v>
      </c>
      <c r="E1400" s="82"/>
      <c r="F1400" s="82" t="s">
        <v>5277</v>
      </c>
      <c r="G1400" s="89">
        <v>2</v>
      </c>
      <c r="H1400" s="89">
        <v>371.92</v>
      </c>
      <c r="I1400" s="85">
        <v>0</v>
      </c>
      <c r="J1400" s="85">
        <v>0</v>
      </c>
      <c r="K1400" s="85">
        <v>743.84</v>
      </c>
      <c r="L1400" s="85">
        <v>9934.0499999999993</v>
      </c>
      <c r="M1400" s="89">
        <v>509.794407229672</v>
      </c>
      <c r="N1400" s="85">
        <v>0</v>
      </c>
      <c r="O1400" s="85">
        <v>0</v>
      </c>
      <c r="P1400" s="85">
        <v>1019.588814459344</v>
      </c>
      <c r="Q1400" s="85">
        <v>13616.700180522486</v>
      </c>
      <c r="R1400" s="82" t="s">
        <v>4515</v>
      </c>
      <c r="S1400" s="7">
        <f t="shared" si="64"/>
        <v>0</v>
      </c>
      <c r="T1400" s="6">
        <f t="shared" si="65"/>
        <v>0</v>
      </c>
      <c r="U1400" s="25">
        <f t="shared" si="63"/>
        <v>0</v>
      </c>
    </row>
    <row r="1401" spans="1:21" ht="10.9" customHeight="1" x14ac:dyDescent="0.2">
      <c r="A1401" s="82" t="s">
        <v>5270</v>
      </c>
      <c r="B1401" s="83">
        <v>45832</v>
      </c>
      <c r="C1401" s="82" t="s">
        <v>3395</v>
      </c>
      <c r="D1401" s="82" t="s">
        <v>1166</v>
      </c>
      <c r="E1401" s="82"/>
      <c r="F1401" s="82" t="s">
        <v>5276</v>
      </c>
      <c r="G1401" s="89">
        <v>2</v>
      </c>
      <c r="H1401" s="89">
        <v>487.92</v>
      </c>
      <c r="I1401" s="85">
        <v>0</v>
      </c>
      <c r="J1401" s="85">
        <v>0</v>
      </c>
      <c r="K1401" s="85">
        <v>975.84</v>
      </c>
      <c r="L1401" s="85">
        <v>9934.0499999999993</v>
      </c>
      <c r="M1401" s="89">
        <v>668.79674977280479</v>
      </c>
      <c r="N1401" s="85">
        <v>0</v>
      </c>
      <c r="O1401" s="85">
        <v>0</v>
      </c>
      <c r="P1401" s="85">
        <v>1337.5934995456096</v>
      </c>
      <c r="Q1401" s="85">
        <v>13616.700180522486</v>
      </c>
      <c r="R1401" s="82" t="s">
        <v>4515</v>
      </c>
      <c r="S1401" s="7">
        <f t="shared" si="64"/>
        <v>0</v>
      </c>
      <c r="T1401" s="6">
        <f t="shared" si="65"/>
        <v>0</v>
      </c>
      <c r="U1401" s="25">
        <f t="shared" si="63"/>
        <v>0</v>
      </c>
    </row>
    <row r="1402" spans="1:21" ht="10.9" customHeight="1" x14ac:dyDescent="0.2">
      <c r="A1402" s="82" t="s">
        <v>5270</v>
      </c>
      <c r="B1402" s="83">
        <v>45832</v>
      </c>
      <c r="C1402" s="82" t="s">
        <v>3395</v>
      </c>
      <c r="D1402" s="82" t="s">
        <v>1166</v>
      </c>
      <c r="E1402" s="82"/>
      <c r="F1402" s="82" t="s">
        <v>5275</v>
      </c>
      <c r="G1402" s="89">
        <v>2</v>
      </c>
      <c r="H1402" s="89">
        <v>14.25</v>
      </c>
      <c r="I1402" s="85">
        <v>0</v>
      </c>
      <c r="J1402" s="85">
        <v>0</v>
      </c>
      <c r="K1402" s="85">
        <v>28.5</v>
      </c>
      <c r="L1402" s="85">
        <v>9934.0499999999993</v>
      </c>
      <c r="M1402" s="89">
        <v>19.53261535551416</v>
      </c>
      <c r="N1402" s="85">
        <v>0</v>
      </c>
      <c r="O1402" s="85">
        <v>0</v>
      </c>
      <c r="P1402" s="85">
        <v>39.06523071102832</v>
      </c>
      <c r="Q1402" s="85">
        <v>13616.700180522486</v>
      </c>
      <c r="R1402" s="82" t="s">
        <v>4515</v>
      </c>
      <c r="S1402" s="7">
        <f t="shared" si="64"/>
        <v>0</v>
      </c>
      <c r="T1402" s="6">
        <f t="shared" si="65"/>
        <v>0</v>
      </c>
      <c r="U1402" s="25">
        <f t="shared" si="63"/>
        <v>0</v>
      </c>
    </row>
    <row r="1403" spans="1:21" ht="10.9" customHeight="1" x14ac:dyDescent="0.2">
      <c r="A1403" s="82" t="s">
        <v>5270</v>
      </c>
      <c r="B1403" s="83">
        <v>45832</v>
      </c>
      <c r="C1403" s="82" t="s">
        <v>3395</v>
      </c>
      <c r="D1403" s="82" t="s">
        <v>1166</v>
      </c>
      <c r="E1403" s="82"/>
      <c r="F1403" s="90" t="s">
        <v>5274</v>
      </c>
      <c r="G1403" s="89">
        <v>1</v>
      </c>
      <c r="H1403" s="89">
        <v>1996.17</v>
      </c>
      <c r="I1403" s="85">
        <v>0</v>
      </c>
      <c r="J1403" s="85">
        <v>0</v>
      </c>
      <c r="K1403" s="85">
        <v>1996.17</v>
      </c>
      <c r="L1403" s="85">
        <v>9934.0499999999993</v>
      </c>
      <c r="M1403" s="89">
        <v>2736.169880295909</v>
      </c>
      <c r="N1403" s="85">
        <v>0</v>
      </c>
      <c r="O1403" s="85">
        <v>0</v>
      </c>
      <c r="P1403" s="85">
        <v>2736.169880295909</v>
      </c>
      <c r="Q1403" s="85">
        <v>13616.700180522486</v>
      </c>
      <c r="R1403" s="82" t="s">
        <v>4515</v>
      </c>
      <c r="S1403" s="7">
        <f t="shared" si="64"/>
        <v>0</v>
      </c>
      <c r="T1403" s="6">
        <f t="shared" si="65"/>
        <v>0</v>
      </c>
      <c r="U1403" s="25">
        <f t="shared" si="63"/>
        <v>0</v>
      </c>
    </row>
    <row r="1404" spans="1:21" ht="31.7" customHeight="1" x14ac:dyDescent="0.2">
      <c r="A1404" s="82" t="s">
        <v>5270</v>
      </c>
      <c r="B1404" s="83">
        <v>45832</v>
      </c>
      <c r="C1404" s="82" t="s">
        <v>3395</v>
      </c>
      <c r="D1404" s="82" t="s">
        <v>1166</v>
      </c>
      <c r="E1404" s="82"/>
      <c r="F1404" s="82" t="s">
        <v>5273</v>
      </c>
      <c r="G1404" s="89">
        <v>2</v>
      </c>
      <c r="H1404" s="89">
        <v>259.88</v>
      </c>
      <c r="I1404" s="85">
        <v>0</v>
      </c>
      <c r="J1404" s="85">
        <v>0</v>
      </c>
      <c r="K1404" s="85">
        <v>519.76</v>
      </c>
      <c r="L1404" s="85">
        <v>9934.0499999999993</v>
      </c>
      <c r="M1404" s="89">
        <v>356.22007569059787</v>
      </c>
      <c r="N1404" s="85">
        <v>0</v>
      </c>
      <c r="O1404" s="85">
        <v>0</v>
      </c>
      <c r="P1404" s="85">
        <v>712.44015138119573</v>
      </c>
      <c r="Q1404" s="85">
        <v>13616.700180522486</v>
      </c>
      <c r="R1404" s="82" t="s">
        <v>4515</v>
      </c>
      <c r="S1404" s="7">
        <f t="shared" si="64"/>
        <v>0</v>
      </c>
      <c r="T1404" s="6">
        <f t="shared" si="65"/>
        <v>0</v>
      </c>
      <c r="U1404" s="25">
        <f t="shared" si="63"/>
        <v>0</v>
      </c>
    </row>
    <row r="1405" spans="1:21" ht="10.9" customHeight="1" x14ac:dyDescent="0.2">
      <c r="A1405" s="82" t="s">
        <v>5270</v>
      </c>
      <c r="B1405" s="83">
        <v>45832</v>
      </c>
      <c r="C1405" s="82" t="s">
        <v>3395</v>
      </c>
      <c r="D1405" s="82" t="s">
        <v>1166</v>
      </c>
      <c r="E1405" s="82"/>
      <c r="F1405" s="90" t="s">
        <v>5272</v>
      </c>
      <c r="G1405" s="89">
        <v>2</v>
      </c>
      <c r="H1405" s="89">
        <v>27.39</v>
      </c>
      <c r="I1405" s="85">
        <v>0</v>
      </c>
      <c r="J1405" s="85">
        <v>0</v>
      </c>
      <c r="K1405" s="85">
        <v>54.78</v>
      </c>
      <c r="L1405" s="85">
        <v>9934.0499999999993</v>
      </c>
      <c r="M1405" s="89">
        <v>37.543742778072478</v>
      </c>
      <c r="N1405" s="85">
        <v>0</v>
      </c>
      <c r="O1405" s="85">
        <v>0</v>
      </c>
      <c r="P1405" s="85">
        <v>75.087485556144955</v>
      </c>
      <c r="Q1405" s="85">
        <v>13616.700180522486</v>
      </c>
      <c r="R1405" s="82" t="s">
        <v>4515</v>
      </c>
      <c r="S1405" s="7">
        <f t="shared" si="64"/>
        <v>0</v>
      </c>
      <c r="T1405" s="6">
        <f t="shared" si="65"/>
        <v>0</v>
      </c>
      <c r="U1405" s="25">
        <f t="shared" si="63"/>
        <v>0</v>
      </c>
    </row>
    <row r="1406" spans="1:21" ht="21.4" customHeight="1" x14ac:dyDescent="0.2">
      <c r="A1406" s="82" t="s">
        <v>5270</v>
      </c>
      <c r="B1406" s="83">
        <v>45832</v>
      </c>
      <c r="C1406" s="82" t="s">
        <v>3395</v>
      </c>
      <c r="D1406" s="82" t="s">
        <v>1166</v>
      </c>
      <c r="E1406" s="82"/>
      <c r="F1406" s="82" t="s">
        <v>5271</v>
      </c>
      <c r="G1406" s="89">
        <v>2</v>
      </c>
      <c r="H1406" s="89">
        <v>8.52</v>
      </c>
      <c r="I1406" s="85">
        <v>0</v>
      </c>
      <c r="J1406" s="85">
        <v>0</v>
      </c>
      <c r="K1406" s="85">
        <v>17.04</v>
      </c>
      <c r="L1406" s="85">
        <v>9934.0499999999993</v>
      </c>
      <c r="M1406" s="89">
        <v>11.678447917823203</v>
      </c>
      <c r="N1406" s="85">
        <v>0</v>
      </c>
      <c r="O1406" s="85">
        <v>0</v>
      </c>
      <c r="P1406" s="85">
        <v>23.356895835646405</v>
      </c>
      <c r="Q1406" s="85">
        <v>13616.700180522486</v>
      </c>
      <c r="R1406" s="82" t="s">
        <v>4515</v>
      </c>
      <c r="S1406" s="7">
        <f t="shared" si="64"/>
        <v>0</v>
      </c>
      <c r="T1406" s="6">
        <f t="shared" si="65"/>
        <v>0</v>
      </c>
      <c r="U1406" s="25">
        <f t="shared" si="63"/>
        <v>0</v>
      </c>
    </row>
    <row r="1407" spans="1:21" ht="10.9" customHeight="1" x14ac:dyDescent="0.2">
      <c r="A1407" s="82" t="s">
        <v>5270</v>
      </c>
      <c r="B1407" s="83">
        <v>45832</v>
      </c>
      <c r="C1407" s="82" t="s">
        <v>3395</v>
      </c>
      <c r="D1407" s="82" t="s">
        <v>1166</v>
      </c>
      <c r="E1407" s="82"/>
      <c r="F1407" s="82" t="s">
        <v>5269</v>
      </c>
      <c r="G1407" s="89">
        <v>8</v>
      </c>
      <c r="H1407" s="89">
        <v>43.88</v>
      </c>
      <c r="I1407" s="85">
        <v>0</v>
      </c>
      <c r="J1407" s="85">
        <v>0</v>
      </c>
      <c r="K1407" s="85">
        <v>351.04</v>
      </c>
      <c r="L1407" s="85">
        <v>9934.0499999999993</v>
      </c>
      <c r="M1407" s="89">
        <v>60.146748196488517</v>
      </c>
      <c r="N1407" s="85">
        <v>0</v>
      </c>
      <c r="O1407" s="85">
        <v>0</v>
      </c>
      <c r="P1407" s="85">
        <v>481.17398557190813</v>
      </c>
      <c r="Q1407" s="85">
        <v>13616.700180522486</v>
      </c>
      <c r="R1407" s="82" t="s">
        <v>4515</v>
      </c>
      <c r="S1407" s="7">
        <f t="shared" si="64"/>
        <v>0</v>
      </c>
      <c r="T1407" s="6">
        <f t="shared" si="65"/>
        <v>0</v>
      </c>
      <c r="U1407" s="25">
        <f t="shared" si="63"/>
        <v>0</v>
      </c>
    </row>
    <row r="1408" spans="1:21" ht="10.9" customHeight="1" x14ac:dyDescent="0.2">
      <c r="A1408" s="82" t="s">
        <v>5268</v>
      </c>
      <c r="B1408" s="83">
        <v>45832</v>
      </c>
      <c r="C1408" s="82" t="s">
        <v>3395</v>
      </c>
      <c r="D1408" s="82" t="s">
        <v>1154</v>
      </c>
      <c r="E1408" s="82"/>
      <c r="F1408" s="82" t="s">
        <v>5267</v>
      </c>
      <c r="G1408" s="89">
        <v>2</v>
      </c>
      <c r="H1408" s="89">
        <v>240.76</v>
      </c>
      <c r="I1408" s="85">
        <v>0</v>
      </c>
      <c r="J1408" s="85">
        <v>62.6</v>
      </c>
      <c r="K1408" s="85">
        <v>544.12</v>
      </c>
      <c r="L1408" s="85">
        <v>544.12</v>
      </c>
      <c r="M1408" s="89">
        <v>240.76</v>
      </c>
      <c r="N1408" s="85">
        <v>0</v>
      </c>
      <c r="O1408" s="85">
        <v>62.6</v>
      </c>
      <c r="P1408" s="85">
        <v>544.12</v>
      </c>
      <c r="Q1408" s="85">
        <v>544.12</v>
      </c>
      <c r="R1408" s="82" t="s">
        <v>4515</v>
      </c>
      <c r="S1408" s="7">
        <f t="shared" si="64"/>
        <v>0</v>
      </c>
      <c r="T1408" s="6">
        <f t="shared" si="65"/>
        <v>0</v>
      </c>
      <c r="U1408" s="25">
        <f t="shared" si="63"/>
        <v>0</v>
      </c>
    </row>
    <row r="1409" spans="1:21" ht="10.9" customHeight="1" x14ac:dyDescent="0.2">
      <c r="A1409" s="82" t="s">
        <v>3514</v>
      </c>
      <c r="B1409" s="83">
        <v>45832</v>
      </c>
      <c r="C1409" s="82" t="s">
        <v>3395</v>
      </c>
      <c r="D1409" s="82" t="s">
        <v>3513</v>
      </c>
      <c r="E1409" s="82"/>
      <c r="F1409" s="82" t="s">
        <v>5251</v>
      </c>
      <c r="G1409" s="89">
        <v>1</v>
      </c>
      <c r="H1409" s="89">
        <v>3527.58</v>
      </c>
      <c r="I1409" s="85">
        <v>0</v>
      </c>
      <c r="J1409" s="85">
        <v>0</v>
      </c>
      <c r="K1409" s="85">
        <v>3527.58</v>
      </c>
      <c r="L1409" s="85">
        <v>54813.08</v>
      </c>
      <c r="M1409" s="89">
        <v>4842.4838530334337</v>
      </c>
      <c r="N1409" s="85">
        <v>0</v>
      </c>
      <c r="O1409" s="85">
        <v>0</v>
      </c>
      <c r="P1409" s="85">
        <v>4842.4838530334337</v>
      </c>
      <c r="Q1409" s="85">
        <v>75244.63083332761</v>
      </c>
      <c r="R1409" s="82" t="s">
        <v>3399</v>
      </c>
      <c r="S1409" s="7">
        <f t="shared" si="64"/>
        <v>0</v>
      </c>
      <c r="T1409" s="6">
        <f t="shared" si="65"/>
        <v>0</v>
      </c>
      <c r="U1409" s="25">
        <f t="shared" si="63"/>
        <v>0</v>
      </c>
    </row>
    <row r="1410" spans="1:21" ht="10.9" customHeight="1" x14ac:dyDescent="0.2">
      <c r="A1410" s="82" t="s">
        <v>3514</v>
      </c>
      <c r="B1410" s="83">
        <v>45832</v>
      </c>
      <c r="C1410" s="82" t="s">
        <v>3395</v>
      </c>
      <c r="D1410" s="82" t="s">
        <v>3513</v>
      </c>
      <c r="E1410" s="82"/>
      <c r="F1410" s="82" t="s">
        <v>5250</v>
      </c>
      <c r="G1410" s="89">
        <v>3</v>
      </c>
      <c r="H1410" s="89">
        <v>9991.5</v>
      </c>
      <c r="I1410" s="85">
        <v>0</v>
      </c>
      <c r="J1410" s="85">
        <v>0</v>
      </c>
      <c r="K1410" s="85">
        <v>29974.5</v>
      </c>
      <c r="L1410" s="85">
        <v>54813.08</v>
      </c>
      <c r="M1410" s="89">
        <v>13715.827115921835</v>
      </c>
      <c r="N1410" s="85">
        <v>0</v>
      </c>
      <c r="O1410" s="85">
        <v>0</v>
      </c>
      <c r="P1410" s="85">
        <v>41147.481347765504</v>
      </c>
      <c r="Q1410" s="85">
        <v>75244.63083332761</v>
      </c>
      <c r="R1410" s="82" t="s">
        <v>3399</v>
      </c>
      <c r="S1410" s="7">
        <f t="shared" si="64"/>
        <v>0</v>
      </c>
      <c r="T1410" s="6">
        <f t="shared" si="65"/>
        <v>0</v>
      </c>
      <c r="U1410" s="25">
        <f t="shared" ref="U1410:U1473" si="66">IF(T1410=1,K1410-J1410,0)</f>
        <v>0</v>
      </c>
    </row>
    <row r="1411" spans="1:21" ht="10.9" customHeight="1" x14ac:dyDescent="0.2">
      <c r="A1411" s="82" t="s">
        <v>3514</v>
      </c>
      <c r="B1411" s="83">
        <v>45832</v>
      </c>
      <c r="C1411" s="82" t="s">
        <v>3395</v>
      </c>
      <c r="D1411" s="82" t="s">
        <v>3513</v>
      </c>
      <c r="E1411" s="82"/>
      <c r="F1411" s="82" t="s">
        <v>5249</v>
      </c>
      <c r="G1411" s="89">
        <v>2</v>
      </c>
      <c r="H1411" s="89">
        <v>10655.5</v>
      </c>
      <c r="I1411" s="85">
        <v>0</v>
      </c>
      <c r="J1411" s="85">
        <v>0</v>
      </c>
      <c r="K1411" s="85">
        <v>21311</v>
      </c>
      <c r="L1411" s="85">
        <v>54813.08</v>
      </c>
      <c r="M1411" s="89">
        <v>14627.332816264337</v>
      </c>
      <c r="N1411" s="85">
        <v>0</v>
      </c>
      <c r="O1411" s="85">
        <v>0</v>
      </c>
      <c r="P1411" s="85">
        <v>29254.665632528675</v>
      </c>
      <c r="Q1411" s="85">
        <v>75244.63083332761</v>
      </c>
      <c r="R1411" s="82" t="s">
        <v>3399</v>
      </c>
      <c r="S1411" s="7">
        <f t="shared" ref="S1411:S1474" si="67">IF(T1411=1,A1411,0)</f>
        <v>0</v>
      </c>
      <c r="T1411" s="6">
        <f t="shared" ref="T1411:T1474" si="68">IFERROR(FIND("Freight",F1411,1),0)</f>
        <v>0</v>
      </c>
      <c r="U1411" s="25">
        <f t="shared" si="66"/>
        <v>0</v>
      </c>
    </row>
    <row r="1412" spans="1:21" ht="10.9" customHeight="1" x14ac:dyDescent="0.2">
      <c r="A1412" s="82" t="s">
        <v>2860</v>
      </c>
      <c r="B1412" s="83">
        <v>45832</v>
      </c>
      <c r="C1412" s="82" t="s">
        <v>3395</v>
      </c>
      <c r="D1412" s="82" t="s">
        <v>1233</v>
      </c>
      <c r="E1412" s="82"/>
      <c r="F1412" s="82" t="s">
        <v>5264</v>
      </c>
      <c r="G1412" s="89">
        <v>2</v>
      </c>
      <c r="H1412" s="89">
        <v>9319.7000000000007</v>
      </c>
      <c r="I1412" s="85">
        <v>0</v>
      </c>
      <c r="J1412" s="85">
        <v>0</v>
      </c>
      <c r="K1412" s="85">
        <v>18639.400000000001</v>
      </c>
      <c r="L1412" s="85">
        <v>18639.400000000001</v>
      </c>
      <c r="M1412" s="89">
        <v>12793.613969099408</v>
      </c>
      <c r="N1412" s="85">
        <v>0</v>
      </c>
      <c r="O1412" s="85">
        <v>0</v>
      </c>
      <c r="P1412" s="85">
        <v>25587.227938198816</v>
      </c>
      <c r="Q1412" s="85">
        <v>25587.227938198816</v>
      </c>
      <c r="R1412" s="82" t="s">
        <v>3399</v>
      </c>
      <c r="S1412" s="7">
        <f t="shared" si="67"/>
        <v>0</v>
      </c>
      <c r="T1412" s="6">
        <f t="shared" si="68"/>
        <v>0</v>
      </c>
      <c r="U1412" s="25">
        <f t="shared" si="66"/>
        <v>0</v>
      </c>
    </row>
    <row r="1413" spans="1:21" ht="10.9" customHeight="1" x14ac:dyDescent="0.2">
      <c r="A1413" s="82" t="s">
        <v>2865</v>
      </c>
      <c r="B1413" s="83">
        <v>45832</v>
      </c>
      <c r="C1413" s="82" t="s">
        <v>3395</v>
      </c>
      <c r="D1413" s="82" t="s">
        <v>1226</v>
      </c>
      <c r="E1413" s="82"/>
      <c r="F1413" s="82" t="s">
        <v>5263</v>
      </c>
      <c r="G1413" s="89">
        <v>2</v>
      </c>
      <c r="H1413" s="89">
        <v>1900.05</v>
      </c>
      <c r="I1413" s="85">
        <v>0</v>
      </c>
      <c r="J1413" s="85">
        <v>0</v>
      </c>
      <c r="K1413" s="85">
        <v>3800.1</v>
      </c>
      <c r="L1413" s="85">
        <v>37641.019999999997</v>
      </c>
      <c r="M1413" s="89">
        <v>2608.2927800237485</v>
      </c>
      <c r="N1413" s="85">
        <v>0</v>
      </c>
      <c r="O1413" s="85">
        <v>0</v>
      </c>
      <c r="P1413" s="85">
        <v>5216.585560047497</v>
      </c>
      <c r="Q1413" s="85">
        <v>51671.693217930857</v>
      </c>
      <c r="R1413" s="82" t="s">
        <v>3399</v>
      </c>
      <c r="S1413" s="7">
        <f t="shared" si="67"/>
        <v>0</v>
      </c>
      <c r="T1413" s="6">
        <f t="shared" si="68"/>
        <v>0</v>
      </c>
      <c r="U1413" s="25">
        <f t="shared" si="66"/>
        <v>0</v>
      </c>
    </row>
    <row r="1414" spans="1:21" ht="10.9" customHeight="1" x14ac:dyDescent="0.2">
      <c r="A1414" s="82" t="s">
        <v>2865</v>
      </c>
      <c r="B1414" s="83">
        <v>45832</v>
      </c>
      <c r="C1414" s="82" t="s">
        <v>3395</v>
      </c>
      <c r="D1414" s="82" t="s">
        <v>1226</v>
      </c>
      <c r="E1414" s="82"/>
      <c r="F1414" s="82" t="s">
        <v>5262</v>
      </c>
      <c r="G1414" s="89">
        <v>2</v>
      </c>
      <c r="H1414" s="89">
        <v>601.88</v>
      </c>
      <c r="I1414" s="85">
        <v>0</v>
      </c>
      <c r="J1414" s="85">
        <v>0</v>
      </c>
      <c r="K1414" s="85">
        <v>1203.76</v>
      </c>
      <c r="L1414" s="85">
        <v>37641.019999999997</v>
      </c>
      <c r="M1414" s="89">
        <v>826.23049837672363</v>
      </c>
      <c r="N1414" s="85">
        <v>0</v>
      </c>
      <c r="O1414" s="85">
        <v>0</v>
      </c>
      <c r="P1414" s="85">
        <v>1652.4609967534473</v>
      </c>
      <c r="Q1414" s="85">
        <v>51671.693217930857</v>
      </c>
      <c r="R1414" s="82" t="s">
        <v>3399</v>
      </c>
      <c r="S1414" s="7">
        <f t="shared" si="67"/>
        <v>0</v>
      </c>
      <c r="T1414" s="6">
        <f t="shared" si="68"/>
        <v>0</v>
      </c>
      <c r="U1414" s="25">
        <f t="shared" si="66"/>
        <v>0</v>
      </c>
    </row>
    <row r="1415" spans="1:21" ht="10.9" customHeight="1" x14ac:dyDescent="0.2">
      <c r="A1415" s="82" t="s">
        <v>2865</v>
      </c>
      <c r="B1415" s="83">
        <v>45832</v>
      </c>
      <c r="C1415" s="82" t="s">
        <v>3395</v>
      </c>
      <c r="D1415" s="82" t="s">
        <v>1226</v>
      </c>
      <c r="E1415" s="82"/>
      <c r="F1415" s="82" t="s">
        <v>5093</v>
      </c>
      <c r="G1415" s="89">
        <v>1</v>
      </c>
      <c r="H1415" s="89">
        <v>267.5</v>
      </c>
      <c r="I1415" s="85">
        <v>0</v>
      </c>
      <c r="J1415" s="85">
        <v>0</v>
      </c>
      <c r="K1415" s="85">
        <v>267.5</v>
      </c>
      <c r="L1415" s="85">
        <v>37641.019999999997</v>
      </c>
      <c r="M1415" s="89">
        <v>367.21050427954674</v>
      </c>
      <c r="N1415" s="85">
        <v>0</v>
      </c>
      <c r="O1415" s="85">
        <v>0</v>
      </c>
      <c r="P1415" s="85">
        <v>367.21050427954674</v>
      </c>
      <c r="Q1415" s="85">
        <v>51671.693217930857</v>
      </c>
      <c r="R1415" s="82" t="s">
        <v>3399</v>
      </c>
      <c r="S1415" s="7">
        <f t="shared" si="67"/>
        <v>0</v>
      </c>
      <c r="T1415" s="6">
        <f t="shared" si="68"/>
        <v>0</v>
      </c>
      <c r="U1415" s="25">
        <f t="shared" si="66"/>
        <v>0</v>
      </c>
    </row>
    <row r="1416" spans="1:21" ht="10.9" customHeight="1" x14ac:dyDescent="0.2">
      <c r="A1416" s="82" t="s">
        <v>2865</v>
      </c>
      <c r="B1416" s="83">
        <v>45832</v>
      </c>
      <c r="C1416" s="82" t="s">
        <v>3395</v>
      </c>
      <c r="D1416" s="82" t="s">
        <v>1226</v>
      </c>
      <c r="E1416" s="82"/>
      <c r="F1416" s="82" t="s">
        <v>5261</v>
      </c>
      <c r="G1416" s="89">
        <v>2</v>
      </c>
      <c r="H1416" s="89">
        <v>722.25</v>
      </c>
      <c r="I1416" s="85">
        <v>0</v>
      </c>
      <c r="J1416" s="85">
        <v>0</v>
      </c>
      <c r="K1416" s="85">
        <v>1444.5</v>
      </c>
      <c r="L1416" s="85">
        <v>37641.019999999997</v>
      </c>
      <c r="M1416" s="89">
        <v>991.46836155477615</v>
      </c>
      <c r="N1416" s="85">
        <v>0</v>
      </c>
      <c r="O1416" s="85">
        <v>0</v>
      </c>
      <c r="P1416" s="85">
        <v>1982.9367231095523</v>
      </c>
      <c r="Q1416" s="85">
        <v>51671.693217930857</v>
      </c>
      <c r="R1416" s="82" t="s">
        <v>3399</v>
      </c>
      <c r="S1416" s="7">
        <f t="shared" si="67"/>
        <v>0</v>
      </c>
      <c r="T1416" s="6">
        <f t="shared" si="68"/>
        <v>0</v>
      </c>
      <c r="U1416" s="25">
        <f t="shared" si="66"/>
        <v>0</v>
      </c>
    </row>
    <row r="1417" spans="1:21" ht="10.9" customHeight="1" x14ac:dyDescent="0.2">
      <c r="A1417" s="82" t="s">
        <v>2865</v>
      </c>
      <c r="B1417" s="83">
        <v>45832</v>
      </c>
      <c r="C1417" s="82" t="s">
        <v>3395</v>
      </c>
      <c r="D1417" s="82" t="s">
        <v>1226</v>
      </c>
      <c r="E1417" s="82"/>
      <c r="F1417" s="82" t="s">
        <v>5260</v>
      </c>
      <c r="G1417" s="89">
        <v>4</v>
      </c>
      <c r="H1417" s="89">
        <v>2140</v>
      </c>
      <c r="I1417" s="85">
        <v>0</v>
      </c>
      <c r="J1417" s="85">
        <v>0</v>
      </c>
      <c r="K1417" s="85">
        <v>8560</v>
      </c>
      <c r="L1417" s="85">
        <v>37641.019999999997</v>
      </c>
      <c r="M1417" s="89">
        <v>2937.6840342363739</v>
      </c>
      <c r="N1417" s="85">
        <v>0</v>
      </c>
      <c r="O1417" s="85">
        <v>0</v>
      </c>
      <c r="P1417" s="85">
        <v>11750.736136945496</v>
      </c>
      <c r="Q1417" s="85">
        <v>51671.693217930857</v>
      </c>
      <c r="R1417" s="82" t="s">
        <v>3399</v>
      </c>
      <c r="S1417" s="7">
        <f t="shared" si="67"/>
        <v>0</v>
      </c>
      <c r="T1417" s="6">
        <f t="shared" si="68"/>
        <v>0</v>
      </c>
      <c r="U1417" s="25">
        <f t="shared" si="66"/>
        <v>0</v>
      </c>
    </row>
    <row r="1418" spans="1:21" ht="10.9" customHeight="1" x14ac:dyDescent="0.2">
      <c r="A1418" s="82" t="s">
        <v>2865</v>
      </c>
      <c r="B1418" s="83">
        <v>45832</v>
      </c>
      <c r="C1418" s="82" t="s">
        <v>3395</v>
      </c>
      <c r="D1418" s="82" t="s">
        <v>1226</v>
      </c>
      <c r="E1418" s="82"/>
      <c r="F1418" s="82" t="s">
        <v>5259</v>
      </c>
      <c r="G1418" s="89">
        <v>2</v>
      </c>
      <c r="H1418" s="89">
        <v>7257.28</v>
      </c>
      <c r="I1418" s="85">
        <v>0</v>
      </c>
      <c r="J1418" s="85">
        <v>0</v>
      </c>
      <c r="K1418" s="85">
        <v>14514.56</v>
      </c>
      <c r="L1418" s="85">
        <v>37641.019999999997</v>
      </c>
      <c r="M1418" s="89">
        <v>9962.4278448518453</v>
      </c>
      <c r="N1418" s="85">
        <v>0</v>
      </c>
      <c r="O1418" s="85">
        <v>0</v>
      </c>
      <c r="P1418" s="85">
        <v>19924.855689703691</v>
      </c>
      <c r="Q1418" s="85">
        <v>51671.693217930857</v>
      </c>
      <c r="R1418" s="82" t="s">
        <v>3399</v>
      </c>
      <c r="S1418" s="7">
        <f t="shared" si="67"/>
        <v>0</v>
      </c>
      <c r="T1418" s="6">
        <f t="shared" si="68"/>
        <v>0</v>
      </c>
      <c r="U1418" s="25">
        <f t="shared" si="66"/>
        <v>0</v>
      </c>
    </row>
    <row r="1419" spans="1:21" ht="10.9" customHeight="1" x14ac:dyDescent="0.2">
      <c r="A1419" s="82" t="s">
        <v>2865</v>
      </c>
      <c r="B1419" s="83">
        <v>45832</v>
      </c>
      <c r="C1419" s="82" t="s">
        <v>3395</v>
      </c>
      <c r="D1419" s="82" t="s">
        <v>1226</v>
      </c>
      <c r="E1419" s="82"/>
      <c r="F1419" s="82" t="s">
        <v>5258</v>
      </c>
      <c r="G1419" s="89">
        <v>2</v>
      </c>
      <c r="H1419" s="89">
        <v>40.130000000000003</v>
      </c>
      <c r="I1419" s="85">
        <v>0</v>
      </c>
      <c r="J1419" s="85">
        <v>0</v>
      </c>
      <c r="K1419" s="85">
        <v>80.260000000000005</v>
      </c>
      <c r="L1419" s="85">
        <v>37641.019999999997</v>
      </c>
      <c r="M1419" s="89">
        <v>55.08843938967555</v>
      </c>
      <c r="N1419" s="85">
        <v>0</v>
      </c>
      <c r="O1419" s="85">
        <v>0</v>
      </c>
      <c r="P1419" s="85">
        <v>110.1768787793511</v>
      </c>
      <c r="Q1419" s="85">
        <v>51671.693217930857</v>
      </c>
      <c r="R1419" s="82" t="s">
        <v>3399</v>
      </c>
      <c r="S1419" s="7">
        <f t="shared" si="67"/>
        <v>0</v>
      </c>
      <c r="T1419" s="6">
        <f t="shared" si="68"/>
        <v>0</v>
      </c>
      <c r="U1419" s="25">
        <f t="shared" si="66"/>
        <v>0</v>
      </c>
    </row>
    <row r="1420" spans="1:21" ht="10.9" customHeight="1" x14ac:dyDescent="0.2">
      <c r="A1420" s="82" t="s">
        <v>2865</v>
      </c>
      <c r="B1420" s="83">
        <v>45832</v>
      </c>
      <c r="C1420" s="82" t="s">
        <v>3395</v>
      </c>
      <c r="D1420" s="82" t="s">
        <v>1226</v>
      </c>
      <c r="E1420" s="82"/>
      <c r="F1420" s="82" t="s">
        <v>5257</v>
      </c>
      <c r="G1420" s="89">
        <v>2</v>
      </c>
      <c r="H1420" s="89">
        <v>2487.75</v>
      </c>
      <c r="I1420" s="85">
        <v>0</v>
      </c>
      <c r="J1420" s="85">
        <v>0</v>
      </c>
      <c r="K1420" s="85">
        <v>4975.5</v>
      </c>
      <c r="L1420" s="85">
        <v>37641.019999999997</v>
      </c>
      <c r="M1420" s="89">
        <v>3415.0576897997844</v>
      </c>
      <c r="N1420" s="85">
        <v>0</v>
      </c>
      <c r="O1420" s="85">
        <v>0</v>
      </c>
      <c r="P1420" s="85">
        <v>6830.1153795995688</v>
      </c>
      <c r="Q1420" s="85">
        <v>51671.693217930857</v>
      </c>
      <c r="R1420" s="82" t="s">
        <v>3399</v>
      </c>
      <c r="S1420" s="7">
        <f t="shared" si="67"/>
        <v>0</v>
      </c>
      <c r="T1420" s="6">
        <f t="shared" si="68"/>
        <v>0</v>
      </c>
      <c r="U1420" s="25">
        <f t="shared" si="66"/>
        <v>0</v>
      </c>
    </row>
    <row r="1421" spans="1:21" ht="10.9" customHeight="1" x14ac:dyDescent="0.2">
      <c r="A1421" s="82" t="s">
        <v>2865</v>
      </c>
      <c r="B1421" s="83">
        <v>45832</v>
      </c>
      <c r="C1421" s="82" t="s">
        <v>3395</v>
      </c>
      <c r="D1421" s="82" t="s">
        <v>1226</v>
      </c>
      <c r="E1421" s="82"/>
      <c r="F1421" s="82" t="s">
        <v>4760</v>
      </c>
      <c r="G1421" s="89">
        <v>2</v>
      </c>
      <c r="H1421" s="89">
        <v>85.6</v>
      </c>
      <c r="I1421" s="85">
        <v>0</v>
      </c>
      <c r="J1421" s="85">
        <v>0</v>
      </c>
      <c r="K1421" s="85">
        <v>171.2</v>
      </c>
      <c r="L1421" s="85">
        <v>37641.019999999997</v>
      </c>
      <c r="M1421" s="89">
        <v>117.50736136945496</v>
      </c>
      <c r="N1421" s="85">
        <v>0</v>
      </c>
      <c r="O1421" s="85">
        <v>0</v>
      </c>
      <c r="P1421" s="85">
        <v>235.01472273890991</v>
      </c>
      <c r="Q1421" s="85">
        <v>51671.693217930857</v>
      </c>
      <c r="R1421" s="82" t="s">
        <v>3399</v>
      </c>
      <c r="S1421" s="7">
        <f t="shared" si="67"/>
        <v>0</v>
      </c>
      <c r="T1421" s="6">
        <f t="shared" si="68"/>
        <v>0</v>
      </c>
      <c r="U1421" s="25">
        <f t="shared" si="66"/>
        <v>0</v>
      </c>
    </row>
    <row r="1422" spans="1:21" ht="10.9" customHeight="1" x14ac:dyDescent="0.2">
      <c r="A1422" s="82" t="s">
        <v>2865</v>
      </c>
      <c r="B1422" s="83">
        <v>45832</v>
      </c>
      <c r="C1422" s="82" t="s">
        <v>3395</v>
      </c>
      <c r="D1422" s="82" t="s">
        <v>1226</v>
      </c>
      <c r="E1422" s="82"/>
      <c r="F1422" s="82" t="s">
        <v>4759</v>
      </c>
      <c r="G1422" s="89">
        <v>2</v>
      </c>
      <c r="H1422" s="89">
        <v>176.55</v>
      </c>
      <c r="I1422" s="85">
        <v>0</v>
      </c>
      <c r="J1422" s="85">
        <v>0</v>
      </c>
      <c r="K1422" s="85">
        <v>353.1</v>
      </c>
      <c r="L1422" s="85">
        <v>37641.019999999997</v>
      </c>
      <c r="M1422" s="89">
        <v>242.35893282450084</v>
      </c>
      <c r="N1422" s="85">
        <v>0</v>
      </c>
      <c r="O1422" s="85">
        <v>0</v>
      </c>
      <c r="P1422" s="85">
        <v>484.71786564900168</v>
      </c>
      <c r="Q1422" s="85">
        <v>51671.693217930857</v>
      </c>
      <c r="R1422" s="82" t="s">
        <v>3399</v>
      </c>
      <c r="S1422" s="7">
        <f t="shared" si="67"/>
        <v>0</v>
      </c>
      <c r="T1422" s="6">
        <f t="shared" si="68"/>
        <v>0</v>
      </c>
      <c r="U1422" s="25">
        <f t="shared" si="66"/>
        <v>0</v>
      </c>
    </row>
    <row r="1423" spans="1:21" ht="10.9" customHeight="1" x14ac:dyDescent="0.2">
      <c r="A1423" s="82" t="s">
        <v>2865</v>
      </c>
      <c r="B1423" s="83">
        <v>45832</v>
      </c>
      <c r="C1423" s="82" t="s">
        <v>3395</v>
      </c>
      <c r="D1423" s="82" t="s">
        <v>1226</v>
      </c>
      <c r="E1423" s="82"/>
      <c r="F1423" s="82" t="s">
        <v>5256</v>
      </c>
      <c r="G1423" s="89">
        <v>2</v>
      </c>
      <c r="H1423" s="89">
        <v>119.84</v>
      </c>
      <c r="I1423" s="85">
        <v>0</v>
      </c>
      <c r="J1423" s="85">
        <v>0</v>
      </c>
      <c r="K1423" s="85">
        <v>239.68</v>
      </c>
      <c r="L1423" s="85">
        <v>37641.019999999997</v>
      </c>
      <c r="M1423" s="89">
        <v>164.51030591723693</v>
      </c>
      <c r="N1423" s="85">
        <v>0</v>
      </c>
      <c r="O1423" s="85">
        <v>0</v>
      </c>
      <c r="P1423" s="85">
        <v>329.02061183447387</v>
      </c>
      <c r="Q1423" s="85">
        <v>51671.693217930857</v>
      </c>
      <c r="R1423" s="82" t="s">
        <v>3399</v>
      </c>
      <c r="S1423" s="7">
        <f t="shared" si="67"/>
        <v>0</v>
      </c>
      <c r="T1423" s="6">
        <f t="shared" si="68"/>
        <v>0</v>
      </c>
      <c r="U1423" s="25">
        <f t="shared" si="66"/>
        <v>0</v>
      </c>
    </row>
    <row r="1424" spans="1:21" ht="10.9" customHeight="1" x14ac:dyDescent="0.2">
      <c r="A1424" s="82" t="s">
        <v>2865</v>
      </c>
      <c r="B1424" s="83">
        <v>45832</v>
      </c>
      <c r="C1424" s="82" t="s">
        <v>3395</v>
      </c>
      <c r="D1424" s="82" t="s">
        <v>1226</v>
      </c>
      <c r="E1424" s="82"/>
      <c r="F1424" s="82" t="s">
        <v>5255</v>
      </c>
      <c r="G1424" s="89">
        <v>2</v>
      </c>
      <c r="H1424" s="89">
        <v>64.2</v>
      </c>
      <c r="I1424" s="85">
        <v>0</v>
      </c>
      <c r="J1424" s="85">
        <v>0</v>
      </c>
      <c r="K1424" s="85">
        <v>128.4</v>
      </c>
      <c r="L1424" s="85">
        <v>37641.019999999997</v>
      </c>
      <c r="M1424" s="89">
        <v>88.130521027091206</v>
      </c>
      <c r="N1424" s="85">
        <v>0</v>
      </c>
      <c r="O1424" s="85">
        <v>0</v>
      </c>
      <c r="P1424" s="85">
        <v>176.26104205418241</v>
      </c>
      <c r="Q1424" s="85">
        <v>51671.693217930857</v>
      </c>
      <c r="R1424" s="82" t="s">
        <v>3399</v>
      </c>
      <c r="S1424" s="7">
        <f t="shared" si="67"/>
        <v>0</v>
      </c>
      <c r="T1424" s="6">
        <f t="shared" si="68"/>
        <v>0</v>
      </c>
      <c r="U1424" s="25">
        <f t="shared" si="66"/>
        <v>0</v>
      </c>
    </row>
    <row r="1425" spans="1:21" ht="10.9" customHeight="1" x14ac:dyDescent="0.2">
      <c r="A1425" s="82" t="s">
        <v>2865</v>
      </c>
      <c r="B1425" s="83">
        <v>45832</v>
      </c>
      <c r="C1425" s="82" t="s">
        <v>3395</v>
      </c>
      <c r="D1425" s="82" t="s">
        <v>1226</v>
      </c>
      <c r="E1425" s="82"/>
      <c r="F1425" s="82" t="s">
        <v>5254</v>
      </c>
      <c r="G1425" s="89">
        <v>2</v>
      </c>
      <c r="H1425" s="89">
        <v>206.51</v>
      </c>
      <c r="I1425" s="85">
        <v>0</v>
      </c>
      <c r="J1425" s="85">
        <v>0</v>
      </c>
      <c r="K1425" s="85">
        <v>413.02</v>
      </c>
      <c r="L1425" s="85">
        <v>37641.019999999997</v>
      </c>
      <c r="M1425" s="89">
        <v>283.48650930381007</v>
      </c>
      <c r="N1425" s="85">
        <v>0</v>
      </c>
      <c r="O1425" s="85">
        <v>0</v>
      </c>
      <c r="P1425" s="85">
        <v>566.97301860762013</v>
      </c>
      <c r="Q1425" s="85">
        <v>51671.693217930857</v>
      </c>
      <c r="R1425" s="82" t="s">
        <v>3399</v>
      </c>
      <c r="S1425" s="7">
        <f t="shared" si="67"/>
        <v>0</v>
      </c>
      <c r="T1425" s="6">
        <f t="shared" si="68"/>
        <v>0</v>
      </c>
      <c r="U1425" s="25">
        <f t="shared" si="66"/>
        <v>0</v>
      </c>
    </row>
    <row r="1426" spans="1:21" ht="10.9" customHeight="1" x14ac:dyDescent="0.2">
      <c r="A1426" s="82" t="s">
        <v>2865</v>
      </c>
      <c r="B1426" s="83">
        <v>45832</v>
      </c>
      <c r="C1426" s="82" t="s">
        <v>3395</v>
      </c>
      <c r="D1426" s="82" t="s">
        <v>1226</v>
      </c>
      <c r="E1426" s="82"/>
      <c r="F1426" s="82" t="s">
        <v>5253</v>
      </c>
      <c r="G1426" s="89">
        <v>2</v>
      </c>
      <c r="H1426" s="89">
        <v>744.72</v>
      </c>
      <c r="I1426" s="85">
        <v>0</v>
      </c>
      <c r="J1426" s="85">
        <v>0</v>
      </c>
      <c r="K1426" s="85">
        <v>1489.44</v>
      </c>
      <c r="L1426" s="85">
        <v>37641.019999999997</v>
      </c>
      <c r="M1426" s="89">
        <v>1022.314043914258</v>
      </c>
      <c r="N1426" s="85">
        <v>0</v>
      </c>
      <c r="O1426" s="85">
        <v>0</v>
      </c>
      <c r="P1426" s="85">
        <v>2044.6280878285161</v>
      </c>
      <c r="Q1426" s="85">
        <v>51671.693217930857</v>
      </c>
      <c r="R1426" s="82" t="s">
        <v>3399</v>
      </c>
      <c r="S1426" s="7">
        <f t="shared" si="67"/>
        <v>0</v>
      </c>
      <c r="T1426" s="6">
        <f t="shared" si="68"/>
        <v>0</v>
      </c>
      <c r="U1426" s="25">
        <f t="shared" si="66"/>
        <v>0</v>
      </c>
    </row>
    <row r="1427" spans="1:21" ht="10.9" customHeight="1" x14ac:dyDescent="0.2">
      <c r="A1427" s="82" t="s">
        <v>2693</v>
      </c>
      <c r="B1427" s="83">
        <v>45832</v>
      </c>
      <c r="C1427" s="82" t="s">
        <v>3395</v>
      </c>
      <c r="D1427" s="82" t="s">
        <v>1537</v>
      </c>
      <c r="E1427" s="82"/>
      <c r="F1427" s="82" t="s">
        <v>5183</v>
      </c>
      <c r="G1427" s="89">
        <v>2</v>
      </c>
      <c r="H1427" s="89">
        <v>17393</v>
      </c>
      <c r="I1427" s="85">
        <v>0</v>
      </c>
      <c r="J1427" s="85">
        <v>0</v>
      </c>
      <c r="K1427" s="85">
        <v>34786</v>
      </c>
      <c r="L1427" s="85">
        <v>38507.360000000001</v>
      </c>
      <c r="M1427" s="89">
        <v>23876.232900688436</v>
      </c>
      <c r="N1427" s="85">
        <v>0</v>
      </c>
      <c r="O1427" s="85">
        <v>0</v>
      </c>
      <c r="P1427" s="85">
        <v>47752.465801376871</v>
      </c>
      <c r="Q1427" s="85">
        <v>52860.961061959053</v>
      </c>
      <c r="R1427" s="82" t="s">
        <v>3399</v>
      </c>
      <c r="S1427" s="7">
        <f t="shared" si="67"/>
        <v>0</v>
      </c>
      <c r="T1427" s="6">
        <f t="shared" si="68"/>
        <v>0</v>
      </c>
      <c r="U1427" s="25">
        <f t="shared" si="66"/>
        <v>0</v>
      </c>
    </row>
    <row r="1428" spans="1:21" ht="10.9" customHeight="1" x14ac:dyDescent="0.2">
      <c r="A1428" s="82" t="s">
        <v>2693</v>
      </c>
      <c r="B1428" s="83">
        <v>45832</v>
      </c>
      <c r="C1428" s="82" t="s">
        <v>3395</v>
      </c>
      <c r="D1428" s="82" t="s">
        <v>1537</v>
      </c>
      <c r="E1428" s="82"/>
      <c r="F1428" s="82" t="s">
        <v>5182</v>
      </c>
      <c r="G1428" s="89">
        <v>1</v>
      </c>
      <c r="H1428" s="89">
        <v>3721.36</v>
      </c>
      <c r="I1428" s="85">
        <v>0</v>
      </c>
      <c r="J1428" s="85">
        <v>0</v>
      </c>
      <c r="K1428" s="85">
        <v>3721.36</v>
      </c>
      <c r="L1428" s="85">
        <v>38507.360000000001</v>
      </c>
      <c r="M1428" s="89">
        <v>5108.4952605821827</v>
      </c>
      <c r="N1428" s="85">
        <v>0</v>
      </c>
      <c r="O1428" s="85">
        <v>0</v>
      </c>
      <c r="P1428" s="85">
        <v>5108.4952605821827</v>
      </c>
      <c r="Q1428" s="85">
        <v>52860.961061959053</v>
      </c>
      <c r="R1428" s="82" t="s">
        <v>3399</v>
      </c>
      <c r="S1428" s="7">
        <f t="shared" si="67"/>
        <v>0</v>
      </c>
      <c r="T1428" s="6">
        <f t="shared" si="68"/>
        <v>0</v>
      </c>
      <c r="U1428" s="25">
        <f t="shared" si="66"/>
        <v>0</v>
      </c>
    </row>
    <row r="1429" spans="1:21" ht="10.9" customHeight="1" x14ac:dyDescent="0.2">
      <c r="A1429" s="82" t="s">
        <v>2895</v>
      </c>
      <c r="B1429" s="83">
        <v>45832</v>
      </c>
      <c r="C1429" s="82" t="s">
        <v>3395</v>
      </c>
      <c r="D1429" s="82" t="s">
        <v>1170</v>
      </c>
      <c r="E1429" s="82"/>
      <c r="F1429" s="82" t="s">
        <v>4559</v>
      </c>
      <c r="G1429" s="89">
        <v>1</v>
      </c>
      <c r="H1429" s="89">
        <v>1494.78</v>
      </c>
      <c r="I1429" s="85">
        <v>0</v>
      </c>
      <c r="J1429" s="85">
        <v>0</v>
      </c>
      <c r="K1429" s="85">
        <v>1494.78</v>
      </c>
      <c r="L1429" s="85">
        <v>2089.7800000000002</v>
      </c>
      <c r="M1429" s="89">
        <v>2051.9585704186202</v>
      </c>
      <c r="N1429" s="85">
        <v>0</v>
      </c>
      <c r="O1429" s="85">
        <v>0</v>
      </c>
      <c r="P1429" s="85">
        <v>2051.9585704186202</v>
      </c>
      <c r="Q1429" s="85">
        <v>2868.7445519002285</v>
      </c>
      <c r="R1429" s="82" t="s">
        <v>3399</v>
      </c>
      <c r="S1429" s="7">
        <f t="shared" si="67"/>
        <v>0</v>
      </c>
      <c r="T1429" s="6">
        <f t="shared" si="68"/>
        <v>0</v>
      </c>
      <c r="U1429" s="25">
        <f t="shared" si="66"/>
        <v>0</v>
      </c>
    </row>
    <row r="1430" spans="1:21" ht="10.9" customHeight="1" x14ac:dyDescent="0.2">
      <c r="A1430" s="82" t="s">
        <v>2895</v>
      </c>
      <c r="B1430" s="83">
        <v>45832</v>
      </c>
      <c r="C1430" s="82" t="s">
        <v>3395</v>
      </c>
      <c r="D1430" s="82" t="s">
        <v>1170</v>
      </c>
      <c r="E1430" s="82"/>
      <c r="F1430" s="82" t="s">
        <v>4393</v>
      </c>
      <c r="G1430" s="89">
        <v>1</v>
      </c>
      <c r="H1430" s="89">
        <v>595</v>
      </c>
      <c r="I1430" s="85">
        <v>0</v>
      </c>
      <c r="J1430" s="85">
        <v>0</v>
      </c>
      <c r="K1430" s="85">
        <v>595</v>
      </c>
      <c r="L1430" s="85">
        <v>2089.7800000000002</v>
      </c>
      <c r="M1430" s="89">
        <v>816.78598148160859</v>
      </c>
      <c r="N1430" s="85">
        <v>0</v>
      </c>
      <c r="O1430" s="85">
        <v>0</v>
      </c>
      <c r="P1430" s="85">
        <v>816.78598148160859</v>
      </c>
      <c r="Q1430" s="85">
        <v>2868.7445519002285</v>
      </c>
      <c r="R1430" s="82" t="s">
        <v>3399</v>
      </c>
      <c r="S1430" s="7" t="str">
        <f t="shared" si="67"/>
        <v>INV13123</v>
      </c>
      <c r="T1430" s="6">
        <f t="shared" si="68"/>
        <v>1</v>
      </c>
      <c r="U1430" s="25">
        <f t="shared" si="66"/>
        <v>595</v>
      </c>
    </row>
    <row r="1431" spans="1:21" ht="10.9" customHeight="1" x14ac:dyDescent="0.2">
      <c r="A1431" s="82" t="s">
        <v>2894</v>
      </c>
      <c r="B1431" s="83">
        <v>45832</v>
      </c>
      <c r="C1431" s="82" t="s">
        <v>3395</v>
      </c>
      <c r="D1431" s="82" t="s">
        <v>1172</v>
      </c>
      <c r="E1431" s="82"/>
      <c r="F1431" s="82" t="s">
        <v>5266</v>
      </c>
      <c r="G1431" s="89">
        <v>1</v>
      </c>
      <c r="H1431" s="89">
        <v>425.21</v>
      </c>
      <c r="I1431" s="85">
        <v>0</v>
      </c>
      <c r="J1431" s="85">
        <v>55.28</v>
      </c>
      <c r="K1431" s="85">
        <v>480.49</v>
      </c>
      <c r="L1431" s="85">
        <v>480.49</v>
      </c>
      <c r="M1431" s="89">
        <v>425.21</v>
      </c>
      <c r="N1431" s="85">
        <v>0</v>
      </c>
      <c r="O1431" s="85">
        <v>55.28</v>
      </c>
      <c r="P1431" s="85">
        <v>480.49</v>
      </c>
      <c r="Q1431" s="85">
        <v>480.49</v>
      </c>
      <c r="R1431" s="82" t="s">
        <v>3399</v>
      </c>
      <c r="S1431" s="7">
        <f t="shared" si="67"/>
        <v>0</v>
      </c>
      <c r="T1431" s="6">
        <f t="shared" si="68"/>
        <v>0</v>
      </c>
      <c r="U1431" s="25">
        <f t="shared" si="66"/>
        <v>0</v>
      </c>
    </row>
    <row r="1432" spans="1:21" ht="10.9" customHeight="1" x14ac:dyDescent="0.2">
      <c r="A1432" s="82" t="s">
        <v>2658</v>
      </c>
      <c r="B1432" s="83">
        <v>45832</v>
      </c>
      <c r="C1432" s="82" t="s">
        <v>3395</v>
      </c>
      <c r="D1432" s="82" t="s">
        <v>1594</v>
      </c>
      <c r="E1432" s="82"/>
      <c r="F1432" s="82" t="s">
        <v>5265</v>
      </c>
      <c r="G1432" s="89">
        <v>6</v>
      </c>
      <c r="H1432" s="89">
        <v>59.88</v>
      </c>
      <c r="I1432" s="85">
        <v>0</v>
      </c>
      <c r="J1432" s="85">
        <v>17.96</v>
      </c>
      <c r="K1432" s="85">
        <v>377.24</v>
      </c>
      <c r="L1432" s="85">
        <v>377.24</v>
      </c>
      <c r="M1432" s="89">
        <v>59.88</v>
      </c>
      <c r="N1432" s="85">
        <v>0</v>
      </c>
      <c r="O1432" s="85">
        <v>17.96</v>
      </c>
      <c r="P1432" s="85">
        <v>377.24</v>
      </c>
      <c r="Q1432" s="85">
        <v>377.24</v>
      </c>
      <c r="R1432" s="82" t="s">
        <v>3399</v>
      </c>
      <c r="S1432" s="7">
        <f t="shared" si="67"/>
        <v>0</v>
      </c>
      <c r="T1432" s="6">
        <f t="shared" si="68"/>
        <v>0</v>
      </c>
      <c r="U1432" s="25">
        <f t="shared" si="66"/>
        <v>0</v>
      </c>
    </row>
    <row r="1433" spans="1:21" ht="10.9" customHeight="1" x14ac:dyDescent="0.2">
      <c r="A1433" s="82" t="s">
        <v>2844</v>
      </c>
      <c r="B1433" s="83">
        <v>45832</v>
      </c>
      <c r="C1433" s="82" t="s">
        <v>3395</v>
      </c>
      <c r="D1433" s="82" t="s">
        <v>1263</v>
      </c>
      <c r="E1433" s="82"/>
      <c r="F1433" s="82" t="s">
        <v>4622</v>
      </c>
      <c r="G1433" s="89">
        <v>1</v>
      </c>
      <c r="H1433" s="89">
        <v>142.29</v>
      </c>
      <c r="I1433" s="85">
        <v>0</v>
      </c>
      <c r="J1433" s="85">
        <v>7.11</v>
      </c>
      <c r="K1433" s="85">
        <v>149.4</v>
      </c>
      <c r="L1433" s="85">
        <v>149.4</v>
      </c>
      <c r="M1433" s="89">
        <v>142.29</v>
      </c>
      <c r="N1433" s="85">
        <v>0</v>
      </c>
      <c r="O1433" s="85">
        <v>7.11</v>
      </c>
      <c r="P1433" s="85">
        <v>149.4</v>
      </c>
      <c r="Q1433" s="85">
        <v>149.4</v>
      </c>
      <c r="R1433" s="82" t="s">
        <v>3399</v>
      </c>
      <c r="S1433" s="7">
        <f t="shared" si="67"/>
        <v>0</v>
      </c>
      <c r="T1433" s="6">
        <f t="shared" si="68"/>
        <v>0</v>
      </c>
      <c r="U1433" s="25">
        <f t="shared" si="66"/>
        <v>0</v>
      </c>
    </row>
    <row r="1434" spans="1:21" ht="10.9" customHeight="1" x14ac:dyDescent="0.2">
      <c r="A1434" s="82" t="s">
        <v>2903</v>
      </c>
      <c r="B1434" s="83">
        <v>45832</v>
      </c>
      <c r="C1434" s="82" t="s">
        <v>3395</v>
      </c>
      <c r="D1434" s="82"/>
      <c r="E1434" s="82"/>
      <c r="F1434" s="82" t="s">
        <v>4512</v>
      </c>
      <c r="G1434" s="89">
        <v>1</v>
      </c>
      <c r="H1434" s="89">
        <v>4949.3999999999996</v>
      </c>
      <c r="I1434" s="85">
        <v>0</v>
      </c>
      <c r="J1434" s="85">
        <v>742.41</v>
      </c>
      <c r="K1434" s="85">
        <v>5691.81</v>
      </c>
      <c r="L1434" s="85">
        <v>5691.81</v>
      </c>
      <c r="M1434" s="89">
        <v>4949.3999999999996</v>
      </c>
      <c r="N1434" s="85">
        <v>0</v>
      </c>
      <c r="O1434" s="85">
        <v>742.41</v>
      </c>
      <c r="P1434" s="85">
        <v>5691.81</v>
      </c>
      <c r="Q1434" s="85">
        <v>5691.81</v>
      </c>
      <c r="R1434" s="82" t="s">
        <v>4515</v>
      </c>
      <c r="S1434" s="7">
        <f t="shared" si="67"/>
        <v>0</v>
      </c>
      <c r="T1434" s="6">
        <f t="shared" si="68"/>
        <v>0</v>
      </c>
      <c r="U1434" s="25">
        <f t="shared" si="66"/>
        <v>0</v>
      </c>
    </row>
    <row r="1435" spans="1:21" ht="10.9" customHeight="1" x14ac:dyDescent="0.2">
      <c r="A1435" s="82" t="s">
        <v>2903</v>
      </c>
      <c r="B1435" s="83">
        <v>45832</v>
      </c>
      <c r="C1435" s="82" t="s">
        <v>3395</v>
      </c>
      <c r="D1435" s="82" t="s">
        <v>1158</v>
      </c>
      <c r="E1435" s="82"/>
      <c r="F1435" s="82" t="s">
        <v>5252</v>
      </c>
      <c r="G1435" s="89">
        <v>1</v>
      </c>
      <c r="H1435" s="89">
        <v>84.97</v>
      </c>
      <c r="I1435" s="85">
        <v>0</v>
      </c>
      <c r="J1435" s="85">
        <v>0</v>
      </c>
      <c r="K1435" s="85">
        <v>84.97</v>
      </c>
      <c r="L1435" s="85">
        <v>84.97</v>
      </c>
      <c r="M1435" s="89">
        <v>116.64252915376854</v>
      </c>
      <c r="N1435" s="85">
        <v>0</v>
      </c>
      <c r="O1435" s="85">
        <v>0</v>
      </c>
      <c r="P1435" s="85">
        <v>116.64252915376854</v>
      </c>
      <c r="Q1435" s="85">
        <v>116.64252915376854</v>
      </c>
      <c r="R1435" s="82" t="s">
        <v>3399</v>
      </c>
      <c r="S1435" s="7">
        <f t="shared" si="67"/>
        <v>0</v>
      </c>
      <c r="T1435" s="6">
        <f t="shared" si="68"/>
        <v>0</v>
      </c>
      <c r="U1435" s="25">
        <f t="shared" si="66"/>
        <v>0</v>
      </c>
    </row>
    <row r="1436" spans="1:21" ht="10.9" customHeight="1" x14ac:dyDescent="0.2">
      <c r="A1436" s="82" t="s">
        <v>2904</v>
      </c>
      <c r="B1436" s="83">
        <v>45832</v>
      </c>
      <c r="C1436" s="82" t="s">
        <v>3395</v>
      </c>
      <c r="D1436" s="82" t="s">
        <v>1156</v>
      </c>
      <c r="E1436" s="82"/>
      <c r="F1436" s="82" t="s">
        <v>4585</v>
      </c>
      <c r="G1436" s="89">
        <v>2</v>
      </c>
      <c r="H1436" s="89">
        <v>98.64</v>
      </c>
      <c r="I1436" s="85">
        <v>0</v>
      </c>
      <c r="J1436" s="85">
        <v>0</v>
      </c>
      <c r="K1436" s="85">
        <v>197.28</v>
      </c>
      <c r="L1436" s="85">
        <v>197.28</v>
      </c>
      <c r="M1436" s="89">
        <v>135.40801548461491</v>
      </c>
      <c r="N1436" s="85">
        <v>0</v>
      </c>
      <c r="O1436" s="85">
        <v>0</v>
      </c>
      <c r="P1436" s="85">
        <v>270.81603096922981</v>
      </c>
      <c r="Q1436" s="85">
        <v>270.81603096922981</v>
      </c>
      <c r="R1436" s="82" t="s">
        <v>3399</v>
      </c>
      <c r="S1436" s="7">
        <f t="shared" si="67"/>
        <v>0</v>
      </c>
      <c r="T1436" s="6">
        <f t="shared" si="68"/>
        <v>0</v>
      </c>
      <c r="U1436" s="25">
        <f t="shared" si="66"/>
        <v>0</v>
      </c>
    </row>
    <row r="1437" spans="1:21" ht="10.9" customHeight="1" x14ac:dyDescent="0.2">
      <c r="A1437" s="82"/>
      <c r="B1437" s="83">
        <v>45832</v>
      </c>
      <c r="C1437" s="82" t="s">
        <v>3423</v>
      </c>
      <c r="D1437" s="82" t="s">
        <v>1213</v>
      </c>
      <c r="E1437" s="82"/>
      <c r="F1437" s="82" t="s">
        <v>1213</v>
      </c>
      <c r="G1437" s="89">
        <v>-1</v>
      </c>
      <c r="H1437" s="89">
        <v>12349.82</v>
      </c>
      <c r="I1437" s="85">
        <v>0</v>
      </c>
      <c r="J1437" s="85">
        <v>0</v>
      </c>
      <c r="K1437" s="85">
        <v>-12349.82</v>
      </c>
      <c r="L1437" s="85">
        <v>-12349.82</v>
      </c>
      <c r="M1437" s="89">
        <v>16953.209831632266</v>
      </c>
      <c r="N1437" s="85">
        <v>0</v>
      </c>
      <c r="O1437" s="85">
        <v>0</v>
      </c>
      <c r="P1437" s="85">
        <v>-16953.209831632266</v>
      </c>
      <c r="Q1437" s="85">
        <v>-16953.209831632266</v>
      </c>
      <c r="R1437" s="82" t="s">
        <v>4511</v>
      </c>
      <c r="S1437" s="7">
        <f t="shared" si="67"/>
        <v>0</v>
      </c>
      <c r="T1437" s="6">
        <f t="shared" si="68"/>
        <v>0</v>
      </c>
      <c r="U1437" s="25">
        <f t="shared" si="66"/>
        <v>0</v>
      </c>
    </row>
    <row r="1438" spans="1:21" ht="10.9" customHeight="1" x14ac:dyDescent="0.2">
      <c r="A1438" s="82" t="s">
        <v>2617</v>
      </c>
      <c r="B1438" s="83">
        <v>45833</v>
      </c>
      <c r="C1438" s="82" t="s">
        <v>3395</v>
      </c>
      <c r="D1438" s="82" t="s">
        <v>3511</v>
      </c>
      <c r="E1438" s="82"/>
      <c r="F1438" s="82" t="s">
        <v>5243</v>
      </c>
      <c r="G1438" s="89">
        <v>1</v>
      </c>
      <c r="H1438" s="89">
        <v>698.88</v>
      </c>
      <c r="I1438" s="85">
        <v>0</v>
      </c>
      <c r="J1438" s="85">
        <v>0</v>
      </c>
      <c r="K1438" s="85">
        <v>698.88</v>
      </c>
      <c r="L1438" s="85">
        <v>698.88</v>
      </c>
      <c r="M1438" s="89">
        <v>958.07332507155934</v>
      </c>
      <c r="N1438" s="85">
        <v>0</v>
      </c>
      <c r="O1438" s="85">
        <v>0</v>
      </c>
      <c r="P1438" s="85">
        <v>958.07332507155934</v>
      </c>
      <c r="Q1438" s="85">
        <v>958.07332507155934</v>
      </c>
      <c r="R1438" s="82" t="s">
        <v>3399</v>
      </c>
      <c r="S1438" s="7">
        <f t="shared" si="67"/>
        <v>0</v>
      </c>
      <c r="T1438" s="6">
        <f t="shared" si="68"/>
        <v>0</v>
      </c>
      <c r="U1438" s="25">
        <f t="shared" si="66"/>
        <v>0</v>
      </c>
    </row>
    <row r="1439" spans="1:21" ht="10.9" customHeight="1" x14ac:dyDescent="0.2">
      <c r="A1439" s="82" t="s">
        <v>2878</v>
      </c>
      <c r="B1439" s="83">
        <v>45833</v>
      </c>
      <c r="C1439" s="82" t="s">
        <v>3395</v>
      </c>
      <c r="D1439" s="82" t="s">
        <v>1206</v>
      </c>
      <c r="E1439" s="82"/>
      <c r="F1439" s="82" t="s">
        <v>5242</v>
      </c>
      <c r="G1439" s="89">
        <v>2</v>
      </c>
      <c r="H1439" s="89">
        <v>259.88</v>
      </c>
      <c r="I1439" s="85">
        <v>0</v>
      </c>
      <c r="J1439" s="85">
        <v>0</v>
      </c>
      <c r="K1439" s="85">
        <v>519.76</v>
      </c>
      <c r="L1439" s="85">
        <v>662.76</v>
      </c>
      <c r="M1439" s="89">
        <v>356.2615838478664</v>
      </c>
      <c r="N1439" s="85">
        <v>0</v>
      </c>
      <c r="O1439" s="85">
        <v>0</v>
      </c>
      <c r="P1439" s="85">
        <v>712.52316769573281</v>
      </c>
      <c r="Q1439" s="85">
        <v>908.55751620367835</v>
      </c>
      <c r="R1439" s="82" t="s">
        <v>3399</v>
      </c>
      <c r="S1439" s="7">
        <f t="shared" si="67"/>
        <v>0</v>
      </c>
      <c r="T1439" s="6">
        <f t="shared" si="68"/>
        <v>0</v>
      </c>
      <c r="U1439" s="25">
        <f t="shared" si="66"/>
        <v>0</v>
      </c>
    </row>
    <row r="1440" spans="1:21" ht="10.9" customHeight="1" x14ac:dyDescent="0.2">
      <c r="A1440" s="82" t="s">
        <v>2878</v>
      </c>
      <c r="B1440" s="83">
        <v>45833</v>
      </c>
      <c r="C1440" s="82" t="s">
        <v>3395</v>
      </c>
      <c r="D1440" s="82" t="s">
        <v>1206</v>
      </c>
      <c r="E1440" s="82"/>
      <c r="F1440" s="82" t="s">
        <v>4885</v>
      </c>
      <c r="G1440" s="89">
        <v>1</v>
      </c>
      <c r="H1440" s="89">
        <v>143</v>
      </c>
      <c r="I1440" s="85">
        <v>0</v>
      </c>
      <c r="J1440" s="85">
        <v>0</v>
      </c>
      <c r="K1440" s="85">
        <v>143</v>
      </c>
      <c r="L1440" s="85">
        <v>662.76</v>
      </c>
      <c r="M1440" s="89">
        <v>196.03434850794557</v>
      </c>
      <c r="N1440" s="85">
        <v>0</v>
      </c>
      <c r="O1440" s="85">
        <v>0</v>
      </c>
      <c r="P1440" s="85">
        <v>196.03434850794557</v>
      </c>
      <c r="Q1440" s="85">
        <v>908.55751620367835</v>
      </c>
      <c r="R1440" s="82" t="s">
        <v>3399</v>
      </c>
      <c r="S1440" s="7" t="str">
        <f t="shared" si="67"/>
        <v>INV13130</v>
      </c>
      <c r="T1440" s="6">
        <f t="shared" si="68"/>
        <v>1</v>
      </c>
      <c r="U1440" s="25">
        <f t="shared" si="66"/>
        <v>143</v>
      </c>
    </row>
    <row r="1441" spans="1:21" ht="10.9" customHeight="1" x14ac:dyDescent="0.2">
      <c r="A1441" s="82" t="s">
        <v>2824</v>
      </c>
      <c r="B1441" s="83">
        <v>45833</v>
      </c>
      <c r="C1441" s="82" t="s">
        <v>3395</v>
      </c>
      <c r="D1441" s="82" t="s">
        <v>3512</v>
      </c>
      <c r="E1441" s="82"/>
      <c r="F1441" s="82" t="s">
        <v>4720</v>
      </c>
      <c r="G1441" s="89">
        <v>2</v>
      </c>
      <c r="H1441" s="89">
        <v>4226.24</v>
      </c>
      <c r="I1441" s="85">
        <v>0</v>
      </c>
      <c r="J1441" s="85">
        <v>0</v>
      </c>
      <c r="K1441" s="85">
        <v>8452.48</v>
      </c>
      <c r="L1441" s="85">
        <v>20808.13</v>
      </c>
      <c r="M1441" s="89">
        <v>5803.3455911633773</v>
      </c>
      <c r="N1441" s="85">
        <v>0</v>
      </c>
      <c r="O1441" s="85">
        <v>0</v>
      </c>
      <c r="P1441" s="85">
        <v>11606.691182326755</v>
      </c>
      <c r="Q1441" s="85">
        <v>28573.097953702203</v>
      </c>
      <c r="R1441" s="82" t="s">
        <v>3399</v>
      </c>
      <c r="S1441" s="7">
        <f t="shared" si="67"/>
        <v>0</v>
      </c>
      <c r="T1441" s="6">
        <f t="shared" si="68"/>
        <v>0</v>
      </c>
      <c r="U1441" s="25">
        <f t="shared" si="66"/>
        <v>0</v>
      </c>
    </row>
    <row r="1442" spans="1:21" ht="10.9" customHeight="1" x14ac:dyDescent="0.2">
      <c r="A1442" s="82" t="s">
        <v>2824</v>
      </c>
      <c r="B1442" s="83">
        <v>45833</v>
      </c>
      <c r="C1442" s="82" t="s">
        <v>3395</v>
      </c>
      <c r="D1442" s="82" t="s">
        <v>3512</v>
      </c>
      <c r="E1442" s="82"/>
      <c r="F1442" s="82" t="s">
        <v>5248</v>
      </c>
      <c r="G1442" s="89">
        <v>2</v>
      </c>
      <c r="H1442" s="89">
        <v>1316.97</v>
      </c>
      <c r="I1442" s="85">
        <v>0</v>
      </c>
      <c r="J1442" s="85">
        <v>0</v>
      </c>
      <c r="K1442" s="85">
        <v>2633.94</v>
      </c>
      <c r="L1442" s="85">
        <v>20808.13</v>
      </c>
      <c r="M1442" s="89">
        <v>1808.4235734824413</v>
      </c>
      <c r="N1442" s="85">
        <v>0</v>
      </c>
      <c r="O1442" s="85">
        <v>0</v>
      </c>
      <c r="P1442" s="85">
        <v>3616.8471469648825</v>
      </c>
      <c r="Q1442" s="85">
        <v>28573.097953702203</v>
      </c>
      <c r="R1442" s="82" t="s">
        <v>3399</v>
      </c>
      <c r="S1442" s="7">
        <f t="shared" si="67"/>
        <v>0</v>
      </c>
      <c r="T1442" s="6">
        <f t="shared" si="68"/>
        <v>0</v>
      </c>
      <c r="U1442" s="25">
        <f t="shared" si="66"/>
        <v>0</v>
      </c>
    </row>
    <row r="1443" spans="1:21" ht="10.9" customHeight="1" x14ac:dyDescent="0.2">
      <c r="A1443" s="82" t="s">
        <v>2824</v>
      </c>
      <c r="B1443" s="83">
        <v>45833</v>
      </c>
      <c r="C1443" s="82" t="s">
        <v>3395</v>
      </c>
      <c r="D1443" s="82" t="s">
        <v>3512</v>
      </c>
      <c r="E1443" s="82"/>
      <c r="F1443" s="82" t="s">
        <v>5229</v>
      </c>
      <c r="G1443" s="89">
        <v>2</v>
      </c>
      <c r="H1443" s="89">
        <v>1996.17</v>
      </c>
      <c r="I1443" s="85">
        <v>0</v>
      </c>
      <c r="J1443" s="85">
        <v>0</v>
      </c>
      <c r="K1443" s="85">
        <v>3992.34</v>
      </c>
      <c r="L1443" s="85">
        <v>20808.13</v>
      </c>
      <c r="M1443" s="89">
        <v>2741.0805748638504</v>
      </c>
      <c r="N1443" s="85">
        <v>0</v>
      </c>
      <c r="O1443" s="85">
        <v>0</v>
      </c>
      <c r="P1443" s="85">
        <v>5482.1611497277008</v>
      </c>
      <c r="Q1443" s="85">
        <v>28573.097953702203</v>
      </c>
      <c r="R1443" s="82" t="s">
        <v>3399</v>
      </c>
      <c r="S1443" s="7">
        <f t="shared" si="67"/>
        <v>0</v>
      </c>
      <c r="T1443" s="6">
        <f t="shared" si="68"/>
        <v>0</v>
      </c>
      <c r="U1443" s="25">
        <f t="shared" si="66"/>
        <v>0</v>
      </c>
    </row>
    <row r="1444" spans="1:21" ht="10.9" customHeight="1" x14ac:dyDescent="0.2">
      <c r="A1444" s="82" t="s">
        <v>2824</v>
      </c>
      <c r="B1444" s="83">
        <v>45833</v>
      </c>
      <c r="C1444" s="82" t="s">
        <v>3395</v>
      </c>
      <c r="D1444" s="82" t="s">
        <v>3512</v>
      </c>
      <c r="E1444" s="82"/>
      <c r="F1444" s="82" t="s">
        <v>5247</v>
      </c>
      <c r="G1444" s="89">
        <v>3</v>
      </c>
      <c r="H1444" s="89">
        <v>116.45</v>
      </c>
      <c r="I1444" s="85">
        <v>0</v>
      </c>
      <c r="J1444" s="85">
        <v>0</v>
      </c>
      <c r="K1444" s="85">
        <v>349.35</v>
      </c>
      <c r="L1444" s="85">
        <v>20808.13</v>
      </c>
      <c r="M1444" s="89">
        <v>159.90563576393561</v>
      </c>
      <c r="N1444" s="85">
        <v>0</v>
      </c>
      <c r="O1444" s="85">
        <v>0</v>
      </c>
      <c r="P1444" s="85">
        <v>479.71690729180682</v>
      </c>
      <c r="Q1444" s="85">
        <v>28573.097953702203</v>
      </c>
      <c r="R1444" s="82" t="s">
        <v>3399</v>
      </c>
      <c r="S1444" s="7">
        <f t="shared" si="67"/>
        <v>0</v>
      </c>
      <c r="T1444" s="6">
        <f t="shared" si="68"/>
        <v>0</v>
      </c>
      <c r="U1444" s="25">
        <f t="shared" si="66"/>
        <v>0</v>
      </c>
    </row>
    <row r="1445" spans="1:21" ht="10.9" customHeight="1" x14ac:dyDescent="0.2">
      <c r="A1445" s="82" t="s">
        <v>2824</v>
      </c>
      <c r="B1445" s="83">
        <v>45833</v>
      </c>
      <c r="C1445" s="82" t="s">
        <v>3395</v>
      </c>
      <c r="D1445" s="82" t="s">
        <v>3512</v>
      </c>
      <c r="E1445" s="82"/>
      <c r="F1445" s="82" t="s">
        <v>5216</v>
      </c>
      <c r="G1445" s="89">
        <v>3</v>
      </c>
      <c r="H1445" s="89">
        <v>91.82</v>
      </c>
      <c r="I1445" s="85">
        <v>0</v>
      </c>
      <c r="J1445" s="85">
        <v>0</v>
      </c>
      <c r="K1445" s="85">
        <v>275.45999999999998</v>
      </c>
      <c r="L1445" s="85">
        <v>20808.13</v>
      </c>
      <c r="M1445" s="89">
        <v>126.08446093468929</v>
      </c>
      <c r="N1445" s="85">
        <v>0</v>
      </c>
      <c r="O1445" s="85">
        <v>0</v>
      </c>
      <c r="P1445" s="85">
        <v>378.25338280406788</v>
      </c>
      <c r="Q1445" s="85">
        <v>28573.097953702203</v>
      </c>
      <c r="R1445" s="82" t="s">
        <v>3399</v>
      </c>
      <c r="S1445" s="7">
        <f t="shared" si="67"/>
        <v>0</v>
      </c>
      <c r="T1445" s="6">
        <f t="shared" si="68"/>
        <v>0</v>
      </c>
      <c r="U1445" s="25">
        <f t="shared" si="66"/>
        <v>0</v>
      </c>
    </row>
    <row r="1446" spans="1:21" ht="10.9" customHeight="1" x14ac:dyDescent="0.2">
      <c r="A1446" s="82" t="s">
        <v>2824</v>
      </c>
      <c r="B1446" s="83">
        <v>45833</v>
      </c>
      <c r="C1446" s="82" t="s">
        <v>3395</v>
      </c>
      <c r="D1446" s="82" t="s">
        <v>3512</v>
      </c>
      <c r="E1446" s="82"/>
      <c r="F1446" s="82" t="s">
        <v>5228</v>
      </c>
      <c r="G1446" s="89">
        <v>1</v>
      </c>
      <c r="H1446" s="89">
        <v>259.88</v>
      </c>
      <c r="I1446" s="85">
        <v>0</v>
      </c>
      <c r="J1446" s="85">
        <v>0</v>
      </c>
      <c r="K1446" s="85">
        <v>259.88</v>
      </c>
      <c r="L1446" s="85">
        <v>20808.13</v>
      </c>
      <c r="M1446" s="89">
        <v>356.85939564046015</v>
      </c>
      <c r="N1446" s="85">
        <v>0</v>
      </c>
      <c r="O1446" s="85">
        <v>0</v>
      </c>
      <c r="P1446" s="85">
        <v>356.85939564046015</v>
      </c>
      <c r="Q1446" s="85">
        <v>28573.097953702203</v>
      </c>
      <c r="R1446" s="82" t="s">
        <v>3399</v>
      </c>
      <c r="S1446" s="7">
        <f t="shared" si="67"/>
        <v>0</v>
      </c>
      <c r="T1446" s="6">
        <f t="shared" si="68"/>
        <v>0</v>
      </c>
      <c r="U1446" s="25">
        <f t="shared" si="66"/>
        <v>0</v>
      </c>
    </row>
    <row r="1447" spans="1:21" ht="10.9" customHeight="1" x14ac:dyDescent="0.2">
      <c r="A1447" s="82" t="s">
        <v>2824</v>
      </c>
      <c r="B1447" s="83">
        <v>45833</v>
      </c>
      <c r="C1447" s="82" t="s">
        <v>3395</v>
      </c>
      <c r="D1447" s="82" t="s">
        <v>3512</v>
      </c>
      <c r="E1447" s="82"/>
      <c r="F1447" s="82" t="s">
        <v>5246</v>
      </c>
      <c r="G1447" s="89">
        <v>3</v>
      </c>
      <c r="H1447" s="89">
        <v>474.58</v>
      </c>
      <c r="I1447" s="85">
        <v>0</v>
      </c>
      <c r="J1447" s="85">
        <v>0</v>
      </c>
      <c r="K1447" s="85">
        <v>1423.74</v>
      </c>
      <c r="L1447" s="85">
        <v>20808.13</v>
      </c>
      <c r="M1447" s="89">
        <v>651.6789748462736</v>
      </c>
      <c r="N1447" s="85">
        <v>0</v>
      </c>
      <c r="O1447" s="85">
        <v>0</v>
      </c>
      <c r="P1447" s="85">
        <v>1955.0369245388208</v>
      </c>
      <c r="Q1447" s="85">
        <v>28573.097953702203</v>
      </c>
      <c r="R1447" s="82" t="s">
        <v>3399</v>
      </c>
      <c r="S1447" s="7">
        <f t="shared" si="67"/>
        <v>0</v>
      </c>
      <c r="T1447" s="6">
        <f t="shared" si="68"/>
        <v>0</v>
      </c>
      <c r="U1447" s="25">
        <f t="shared" si="66"/>
        <v>0</v>
      </c>
    </row>
    <row r="1448" spans="1:21" ht="10.9" customHeight="1" x14ac:dyDescent="0.2">
      <c r="A1448" s="82" t="s">
        <v>2824</v>
      </c>
      <c r="B1448" s="83">
        <v>45833</v>
      </c>
      <c r="C1448" s="82" t="s">
        <v>3395</v>
      </c>
      <c r="D1448" s="82" t="s">
        <v>3512</v>
      </c>
      <c r="E1448" s="82"/>
      <c r="F1448" s="82" t="s">
        <v>5219</v>
      </c>
      <c r="G1448" s="89">
        <v>1</v>
      </c>
      <c r="H1448" s="89">
        <v>24.49</v>
      </c>
      <c r="I1448" s="85">
        <v>0</v>
      </c>
      <c r="J1448" s="85">
        <v>0</v>
      </c>
      <c r="K1448" s="85">
        <v>24.49</v>
      </c>
      <c r="L1448" s="85">
        <v>20808.13</v>
      </c>
      <c r="M1448" s="89">
        <v>33.628931042153567</v>
      </c>
      <c r="N1448" s="85">
        <v>0</v>
      </c>
      <c r="O1448" s="85">
        <v>0</v>
      </c>
      <c r="P1448" s="85">
        <v>33.628931042153567</v>
      </c>
      <c r="Q1448" s="85">
        <v>28573.097953702203</v>
      </c>
      <c r="R1448" s="82" t="s">
        <v>3399</v>
      </c>
      <c r="S1448" s="7">
        <f t="shared" si="67"/>
        <v>0</v>
      </c>
      <c r="T1448" s="6">
        <f t="shared" si="68"/>
        <v>0</v>
      </c>
      <c r="U1448" s="25">
        <f t="shared" si="66"/>
        <v>0</v>
      </c>
    </row>
    <row r="1449" spans="1:21" ht="10.9" customHeight="1" x14ac:dyDescent="0.2">
      <c r="A1449" s="82" t="s">
        <v>2824</v>
      </c>
      <c r="B1449" s="83">
        <v>45833</v>
      </c>
      <c r="C1449" s="82" t="s">
        <v>3395</v>
      </c>
      <c r="D1449" s="82" t="s">
        <v>3512</v>
      </c>
      <c r="E1449" s="82"/>
      <c r="F1449" s="82" t="s">
        <v>5227</v>
      </c>
      <c r="G1449" s="89">
        <v>2</v>
      </c>
      <c r="H1449" s="89">
        <v>648.91999999999996</v>
      </c>
      <c r="I1449" s="85">
        <v>0</v>
      </c>
      <c r="J1449" s="85">
        <v>0</v>
      </c>
      <c r="K1449" s="85">
        <v>1297.8399999999999</v>
      </c>
      <c r="L1449" s="85">
        <v>20808.13</v>
      </c>
      <c r="M1449" s="89">
        <v>891.07741657306224</v>
      </c>
      <c r="N1449" s="85">
        <v>0</v>
      </c>
      <c r="O1449" s="85">
        <v>0</v>
      </c>
      <c r="P1449" s="85">
        <v>1782.1548331461245</v>
      </c>
      <c r="Q1449" s="85">
        <v>28573.097953702203</v>
      </c>
      <c r="R1449" s="82" t="s">
        <v>3399</v>
      </c>
      <c r="S1449" s="7">
        <f t="shared" si="67"/>
        <v>0</v>
      </c>
      <c r="T1449" s="6">
        <f t="shared" si="68"/>
        <v>0</v>
      </c>
      <c r="U1449" s="25">
        <f t="shared" si="66"/>
        <v>0</v>
      </c>
    </row>
    <row r="1450" spans="1:21" ht="10.9" customHeight="1" x14ac:dyDescent="0.2">
      <c r="A1450" s="82" t="s">
        <v>2824</v>
      </c>
      <c r="B1450" s="83">
        <v>45833</v>
      </c>
      <c r="C1450" s="82" t="s">
        <v>3395</v>
      </c>
      <c r="D1450" s="82" t="s">
        <v>3512</v>
      </c>
      <c r="E1450" s="82"/>
      <c r="F1450" s="82" t="s">
        <v>5231</v>
      </c>
      <c r="G1450" s="89">
        <v>1</v>
      </c>
      <c r="H1450" s="89">
        <v>371.92</v>
      </c>
      <c r="I1450" s="85">
        <v>0</v>
      </c>
      <c r="J1450" s="85">
        <v>0</v>
      </c>
      <c r="K1450" s="85">
        <v>371.92</v>
      </c>
      <c r="L1450" s="85">
        <v>20808.13</v>
      </c>
      <c r="M1450" s="89">
        <v>510.70935211097412</v>
      </c>
      <c r="N1450" s="85">
        <v>0</v>
      </c>
      <c r="O1450" s="85">
        <v>0</v>
      </c>
      <c r="P1450" s="85">
        <v>510.70935211097412</v>
      </c>
      <c r="Q1450" s="85">
        <v>28573.097953702203</v>
      </c>
      <c r="R1450" s="82" t="s">
        <v>3399</v>
      </c>
      <c r="S1450" s="7">
        <f t="shared" si="67"/>
        <v>0</v>
      </c>
      <c r="T1450" s="6">
        <f t="shared" si="68"/>
        <v>0</v>
      </c>
      <c r="U1450" s="25">
        <f t="shared" si="66"/>
        <v>0</v>
      </c>
    </row>
    <row r="1451" spans="1:21" ht="10.9" customHeight="1" x14ac:dyDescent="0.2">
      <c r="A1451" s="82" t="s">
        <v>2824</v>
      </c>
      <c r="B1451" s="83">
        <v>45833</v>
      </c>
      <c r="C1451" s="82" t="s">
        <v>3395</v>
      </c>
      <c r="D1451" s="82" t="s">
        <v>3512</v>
      </c>
      <c r="E1451" s="82"/>
      <c r="F1451" s="82" t="s">
        <v>5230</v>
      </c>
      <c r="G1451" s="89">
        <v>3</v>
      </c>
      <c r="H1451" s="89">
        <v>14.25</v>
      </c>
      <c r="I1451" s="85">
        <v>0</v>
      </c>
      <c r="J1451" s="85">
        <v>0</v>
      </c>
      <c r="K1451" s="85">
        <v>42.75</v>
      </c>
      <c r="L1451" s="85">
        <v>20808.13</v>
      </c>
      <c r="M1451" s="89">
        <v>19.567671186226555</v>
      </c>
      <c r="N1451" s="85">
        <v>0</v>
      </c>
      <c r="O1451" s="85">
        <v>0</v>
      </c>
      <c r="P1451" s="85">
        <v>58.703013558679672</v>
      </c>
      <c r="Q1451" s="85">
        <v>28573.097953702203</v>
      </c>
      <c r="R1451" s="82" t="s">
        <v>3399</v>
      </c>
      <c r="S1451" s="7">
        <f t="shared" si="67"/>
        <v>0</v>
      </c>
      <c r="T1451" s="6">
        <f t="shared" si="68"/>
        <v>0</v>
      </c>
      <c r="U1451" s="25">
        <f t="shared" si="66"/>
        <v>0</v>
      </c>
    </row>
    <row r="1452" spans="1:21" ht="10.9" customHeight="1" x14ac:dyDescent="0.2">
      <c r="A1452" s="82" t="s">
        <v>2824</v>
      </c>
      <c r="B1452" s="83">
        <v>45833</v>
      </c>
      <c r="C1452" s="82" t="s">
        <v>3395</v>
      </c>
      <c r="D1452" s="82" t="s">
        <v>3512</v>
      </c>
      <c r="E1452" s="82"/>
      <c r="F1452" s="82" t="s">
        <v>5245</v>
      </c>
      <c r="G1452" s="89">
        <v>3</v>
      </c>
      <c r="H1452" s="89">
        <v>224.89</v>
      </c>
      <c r="I1452" s="85">
        <v>0</v>
      </c>
      <c r="J1452" s="85">
        <v>0</v>
      </c>
      <c r="K1452" s="85">
        <v>674.67</v>
      </c>
      <c r="L1452" s="85">
        <v>20808.13</v>
      </c>
      <c r="M1452" s="89">
        <v>308.81218056635021</v>
      </c>
      <c r="N1452" s="85">
        <v>0</v>
      </c>
      <c r="O1452" s="85">
        <v>0</v>
      </c>
      <c r="P1452" s="85">
        <v>926.43654169905062</v>
      </c>
      <c r="Q1452" s="85">
        <v>28573.097953702203</v>
      </c>
      <c r="R1452" s="82" t="s">
        <v>3399</v>
      </c>
      <c r="S1452" s="7">
        <f t="shared" si="67"/>
        <v>0</v>
      </c>
      <c r="T1452" s="6">
        <f t="shared" si="68"/>
        <v>0</v>
      </c>
      <c r="U1452" s="25">
        <f t="shared" si="66"/>
        <v>0</v>
      </c>
    </row>
    <row r="1453" spans="1:21" ht="10.9" customHeight="1" x14ac:dyDescent="0.2">
      <c r="A1453" s="82" t="s">
        <v>2824</v>
      </c>
      <c r="B1453" s="83">
        <v>45833</v>
      </c>
      <c r="C1453" s="82" t="s">
        <v>3395</v>
      </c>
      <c r="D1453" s="82" t="s">
        <v>3512</v>
      </c>
      <c r="E1453" s="82"/>
      <c r="F1453" s="82" t="s">
        <v>5038</v>
      </c>
      <c r="G1453" s="89">
        <v>8</v>
      </c>
      <c r="H1453" s="89">
        <v>43.88</v>
      </c>
      <c r="I1453" s="85">
        <v>0</v>
      </c>
      <c r="J1453" s="85">
        <v>0</v>
      </c>
      <c r="K1453" s="85">
        <v>351.04</v>
      </c>
      <c r="L1453" s="85">
        <v>20808.13</v>
      </c>
      <c r="M1453" s="89">
        <v>60.25469555449974</v>
      </c>
      <c r="N1453" s="85">
        <v>0</v>
      </c>
      <c r="O1453" s="85">
        <v>0</v>
      </c>
      <c r="P1453" s="85">
        <v>482.03756443599792</v>
      </c>
      <c r="Q1453" s="85">
        <v>28573.097953702203</v>
      </c>
      <c r="R1453" s="82" t="s">
        <v>3399</v>
      </c>
      <c r="S1453" s="7">
        <f t="shared" si="67"/>
        <v>0</v>
      </c>
      <c r="T1453" s="6">
        <f t="shared" si="68"/>
        <v>0</v>
      </c>
      <c r="U1453" s="25">
        <f t="shared" si="66"/>
        <v>0</v>
      </c>
    </row>
    <row r="1454" spans="1:21" ht="10.9" customHeight="1" x14ac:dyDescent="0.2">
      <c r="A1454" s="82" t="s">
        <v>2824</v>
      </c>
      <c r="B1454" s="83">
        <v>45833</v>
      </c>
      <c r="C1454" s="82" t="s">
        <v>3395</v>
      </c>
      <c r="D1454" s="82" t="s">
        <v>3512</v>
      </c>
      <c r="E1454" s="82"/>
      <c r="F1454" s="82" t="s">
        <v>5041</v>
      </c>
      <c r="G1454" s="89">
        <v>4</v>
      </c>
      <c r="H1454" s="89">
        <v>27.39</v>
      </c>
      <c r="I1454" s="85">
        <v>0</v>
      </c>
      <c r="J1454" s="85">
        <v>0</v>
      </c>
      <c r="K1454" s="85">
        <v>109.56</v>
      </c>
      <c r="L1454" s="85">
        <v>20808.13</v>
      </c>
      <c r="M1454" s="89">
        <v>37.611123774789149</v>
      </c>
      <c r="N1454" s="85">
        <v>0</v>
      </c>
      <c r="O1454" s="85">
        <v>0</v>
      </c>
      <c r="P1454" s="85">
        <v>150.4444950991566</v>
      </c>
      <c r="Q1454" s="85">
        <v>28573.097953702203</v>
      </c>
      <c r="R1454" s="82" t="s">
        <v>3399</v>
      </c>
      <c r="S1454" s="7">
        <f t="shared" si="67"/>
        <v>0</v>
      </c>
      <c r="T1454" s="6">
        <f t="shared" si="68"/>
        <v>0</v>
      </c>
      <c r="U1454" s="25">
        <f t="shared" si="66"/>
        <v>0</v>
      </c>
    </row>
    <row r="1455" spans="1:21" ht="10.9" customHeight="1" x14ac:dyDescent="0.2">
      <c r="A1455" s="82" t="s">
        <v>2824</v>
      </c>
      <c r="B1455" s="83">
        <v>45833</v>
      </c>
      <c r="C1455" s="82" t="s">
        <v>3395</v>
      </c>
      <c r="D1455" s="82" t="s">
        <v>3512</v>
      </c>
      <c r="E1455" s="82"/>
      <c r="F1455" s="82" t="s">
        <v>5217</v>
      </c>
      <c r="G1455" s="89">
        <v>4</v>
      </c>
      <c r="H1455" s="89">
        <v>8.52</v>
      </c>
      <c r="I1455" s="85">
        <v>0</v>
      </c>
      <c r="J1455" s="85">
        <v>0</v>
      </c>
      <c r="K1455" s="85">
        <v>34.08</v>
      </c>
      <c r="L1455" s="85">
        <v>20808.13</v>
      </c>
      <c r="M1455" s="89">
        <v>11.699407614501773</v>
      </c>
      <c r="N1455" s="85">
        <v>0</v>
      </c>
      <c r="O1455" s="85">
        <v>0</v>
      </c>
      <c r="P1455" s="85">
        <v>46.797630458007092</v>
      </c>
      <c r="Q1455" s="85">
        <v>28573.097953702203</v>
      </c>
      <c r="R1455" s="82" t="s">
        <v>3399</v>
      </c>
      <c r="S1455" s="7">
        <f t="shared" si="67"/>
        <v>0</v>
      </c>
      <c r="T1455" s="6">
        <f t="shared" si="68"/>
        <v>0</v>
      </c>
      <c r="U1455" s="25">
        <f t="shared" si="66"/>
        <v>0</v>
      </c>
    </row>
    <row r="1456" spans="1:21" ht="10.9" customHeight="1" x14ac:dyDescent="0.2">
      <c r="A1456" s="82" t="s">
        <v>2824</v>
      </c>
      <c r="B1456" s="83">
        <v>45833</v>
      </c>
      <c r="C1456" s="82" t="s">
        <v>3395</v>
      </c>
      <c r="D1456" s="82" t="s">
        <v>3512</v>
      </c>
      <c r="E1456" s="82"/>
      <c r="F1456" s="82" t="s">
        <v>5221</v>
      </c>
      <c r="G1456" s="89">
        <v>3</v>
      </c>
      <c r="H1456" s="89">
        <v>9.1</v>
      </c>
      <c r="I1456" s="85">
        <v>0</v>
      </c>
      <c r="J1456" s="85">
        <v>0</v>
      </c>
      <c r="K1456" s="85">
        <v>27.3</v>
      </c>
      <c r="L1456" s="85">
        <v>20808.13</v>
      </c>
      <c r="M1456" s="89">
        <v>12.495846161028888</v>
      </c>
      <c r="N1456" s="85">
        <v>0</v>
      </c>
      <c r="O1456" s="85">
        <v>0</v>
      </c>
      <c r="P1456" s="85">
        <v>37.487538483086666</v>
      </c>
      <c r="Q1456" s="85">
        <v>28573.097953702203</v>
      </c>
      <c r="R1456" s="82" t="s">
        <v>3399</v>
      </c>
      <c r="S1456" s="7">
        <f t="shared" si="67"/>
        <v>0</v>
      </c>
      <c r="T1456" s="6">
        <f t="shared" si="68"/>
        <v>0</v>
      </c>
      <c r="U1456" s="25">
        <f t="shared" si="66"/>
        <v>0</v>
      </c>
    </row>
    <row r="1457" spans="1:21" ht="10.9" customHeight="1" x14ac:dyDescent="0.2">
      <c r="A1457" s="82" t="s">
        <v>2824</v>
      </c>
      <c r="B1457" s="83">
        <v>45833</v>
      </c>
      <c r="C1457" s="82" t="s">
        <v>3395</v>
      </c>
      <c r="D1457" s="82" t="s">
        <v>3512</v>
      </c>
      <c r="E1457" s="82"/>
      <c r="F1457" s="82" t="s">
        <v>5225</v>
      </c>
      <c r="G1457" s="89">
        <v>1</v>
      </c>
      <c r="H1457" s="89">
        <v>487.29</v>
      </c>
      <c r="I1457" s="85">
        <v>0</v>
      </c>
      <c r="J1457" s="85">
        <v>0</v>
      </c>
      <c r="K1457" s="85">
        <v>487.29</v>
      </c>
      <c r="L1457" s="85">
        <v>20808.13</v>
      </c>
      <c r="M1457" s="89">
        <v>669.13196437447994</v>
      </c>
      <c r="N1457" s="85">
        <v>0</v>
      </c>
      <c r="O1457" s="85">
        <v>0</v>
      </c>
      <c r="P1457" s="85">
        <v>669.13196437447994</v>
      </c>
      <c r="Q1457" s="85">
        <v>28573.097953702203</v>
      </c>
      <c r="R1457" s="82" t="s">
        <v>3399</v>
      </c>
      <c r="S1457" s="7">
        <f t="shared" si="67"/>
        <v>0</v>
      </c>
      <c r="T1457" s="6">
        <f t="shared" si="68"/>
        <v>0</v>
      </c>
      <c r="U1457" s="25">
        <f t="shared" si="66"/>
        <v>0</v>
      </c>
    </row>
    <row r="1458" spans="1:21" ht="10.9" customHeight="1" x14ac:dyDescent="0.2">
      <c r="A1458" s="82"/>
      <c r="B1458" s="83">
        <v>45833</v>
      </c>
      <c r="C1458" s="82" t="s">
        <v>3423</v>
      </c>
      <c r="D1458" s="82" t="s">
        <v>1229</v>
      </c>
      <c r="E1458" s="82"/>
      <c r="F1458" s="82" t="s">
        <v>5244</v>
      </c>
      <c r="G1458" s="89">
        <v>-1</v>
      </c>
      <c r="H1458" s="89">
        <v>5214.38</v>
      </c>
      <c r="I1458" s="85">
        <v>0</v>
      </c>
      <c r="J1458" s="85">
        <v>0</v>
      </c>
      <c r="K1458" s="85">
        <v>-5214.38</v>
      </c>
      <c r="L1458" s="85">
        <v>-5214.38</v>
      </c>
      <c r="M1458" s="89">
        <v>5214.38</v>
      </c>
      <c r="N1458" s="85">
        <v>0</v>
      </c>
      <c r="O1458" s="85">
        <v>0</v>
      </c>
      <c r="P1458" s="85">
        <v>-5214.38</v>
      </c>
      <c r="Q1458" s="85">
        <v>-5214.38</v>
      </c>
      <c r="R1458" s="82" t="s">
        <v>3399</v>
      </c>
      <c r="S1458" s="7">
        <f t="shared" si="67"/>
        <v>0</v>
      </c>
      <c r="T1458" s="6">
        <f t="shared" si="68"/>
        <v>0</v>
      </c>
      <c r="U1458" s="25">
        <f t="shared" si="66"/>
        <v>0</v>
      </c>
    </row>
    <row r="1459" spans="1:21" ht="10.9" customHeight="1" x14ac:dyDescent="0.2">
      <c r="A1459" s="82"/>
      <c r="B1459" s="83">
        <v>45833</v>
      </c>
      <c r="C1459" s="82" t="s">
        <v>3423</v>
      </c>
      <c r="D1459" s="82" t="s">
        <v>1378</v>
      </c>
      <c r="E1459" s="82"/>
      <c r="F1459" s="82" t="s">
        <v>1378</v>
      </c>
      <c r="G1459" s="89">
        <v>-1</v>
      </c>
      <c r="H1459" s="89">
        <v>28692.74</v>
      </c>
      <c r="I1459" s="85">
        <v>0</v>
      </c>
      <c r="J1459" s="85">
        <v>0</v>
      </c>
      <c r="K1459" s="85">
        <v>-28692.74</v>
      </c>
      <c r="L1459" s="85">
        <v>-28692.74</v>
      </c>
      <c r="M1459" s="89">
        <v>39334.004145509578</v>
      </c>
      <c r="N1459" s="85">
        <v>0</v>
      </c>
      <c r="O1459" s="85">
        <v>0</v>
      </c>
      <c r="P1459" s="85">
        <v>-39334.004145509578</v>
      </c>
      <c r="Q1459" s="85">
        <v>-39334.004145509578</v>
      </c>
      <c r="R1459" s="82" t="s">
        <v>3399</v>
      </c>
      <c r="S1459" s="7">
        <f t="shared" si="67"/>
        <v>0</v>
      </c>
      <c r="T1459" s="6">
        <f t="shared" si="68"/>
        <v>0</v>
      </c>
      <c r="U1459" s="25">
        <f t="shared" si="66"/>
        <v>0</v>
      </c>
    </row>
    <row r="1460" spans="1:21" ht="10.9" customHeight="1" x14ac:dyDescent="0.2">
      <c r="A1460" s="82" t="s">
        <v>2912</v>
      </c>
      <c r="B1460" s="83">
        <v>45834</v>
      </c>
      <c r="C1460" s="82" t="s">
        <v>3395</v>
      </c>
      <c r="D1460" s="82" t="s">
        <v>1143</v>
      </c>
      <c r="E1460" s="82"/>
      <c r="F1460" s="82" t="s">
        <v>4576</v>
      </c>
      <c r="G1460" s="89">
        <v>4</v>
      </c>
      <c r="H1460" s="89">
        <v>31.53</v>
      </c>
      <c r="I1460" s="85">
        <v>0</v>
      </c>
      <c r="J1460" s="85">
        <v>6.31</v>
      </c>
      <c r="K1460" s="85">
        <v>132.43</v>
      </c>
      <c r="L1460" s="85">
        <v>132.43</v>
      </c>
      <c r="M1460" s="89">
        <v>31.53</v>
      </c>
      <c r="N1460" s="85">
        <v>0</v>
      </c>
      <c r="O1460" s="85">
        <v>6.31</v>
      </c>
      <c r="P1460" s="85">
        <v>132.43</v>
      </c>
      <c r="Q1460" s="85">
        <v>132.43</v>
      </c>
      <c r="R1460" s="82" t="s">
        <v>3399</v>
      </c>
      <c r="S1460" s="7">
        <f t="shared" si="67"/>
        <v>0</v>
      </c>
      <c r="T1460" s="6">
        <f t="shared" si="68"/>
        <v>0</v>
      </c>
      <c r="U1460" s="25">
        <f t="shared" si="66"/>
        <v>0</v>
      </c>
    </row>
    <row r="1461" spans="1:21" ht="10.9" customHeight="1" x14ac:dyDescent="0.2">
      <c r="A1461" s="82" t="s">
        <v>2639</v>
      </c>
      <c r="B1461" s="83">
        <v>45834</v>
      </c>
      <c r="C1461" s="82" t="s">
        <v>3395</v>
      </c>
      <c r="D1461" s="82" t="s">
        <v>1632</v>
      </c>
      <c r="E1461" s="82"/>
      <c r="F1461" s="82" t="s">
        <v>5241</v>
      </c>
      <c r="G1461" s="89">
        <v>1</v>
      </c>
      <c r="H1461" s="89">
        <v>4380</v>
      </c>
      <c r="I1461" s="85">
        <v>0</v>
      </c>
      <c r="J1461" s="85">
        <v>569.4</v>
      </c>
      <c r="K1461" s="85">
        <v>4949.3999999999996</v>
      </c>
      <c r="L1461" s="85">
        <v>4949.3999999999996</v>
      </c>
      <c r="M1461" s="89">
        <v>4380</v>
      </c>
      <c r="N1461" s="85">
        <v>0</v>
      </c>
      <c r="O1461" s="85">
        <v>569.4</v>
      </c>
      <c r="P1461" s="85">
        <v>4949.3999999999996</v>
      </c>
      <c r="Q1461" s="85">
        <v>4949.3999999999996</v>
      </c>
      <c r="R1461" s="82" t="s">
        <v>3399</v>
      </c>
      <c r="S1461" s="7">
        <f t="shared" si="67"/>
        <v>0</v>
      </c>
      <c r="T1461" s="6">
        <f t="shared" si="68"/>
        <v>0</v>
      </c>
      <c r="U1461" s="25">
        <f t="shared" si="66"/>
        <v>0</v>
      </c>
    </row>
    <row r="1462" spans="1:21" ht="10.9" customHeight="1" x14ac:dyDescent="0.2">
      <c r="A1462" s="82" t="s">
        <v>2908</v>
      </c>
      <c r="B1462" s="83">
        <v>45838</v>
      </c>
      <c r="C1462" s="82" t="s">
        <v>3395</v>
      </c>
      <c r="D1462" s="82" t="s">
        <v>1150</v>
      </c>
      <c r="E1462" s="82"/>
      <c r="F1462" s="82" t="s">
        <v>4613</v>
      </c>
      <c r="G1462" s="89">
        <v>1</v>
      </c>
      <c r="H1462" s="89">
        <v>339.85</v>
      </c>
      <c r="I1462" s="85">
        <v>0</v>
      </c>
      <c r="J1462" s="85">
        <v>0</v>
      </c>
      <c r="K1462" s="85">
        <v>339.85</v>
      </c>
      <c r="L1462" s="85">
        <v>339.85</v>
      </c>
      <c r="M1462" s="89">
        <v>462.59053421482116</v>
      </c>
      <c r="N1462" s="85">
        <v>0</v>
      </c>
      <c r="O1462" s="85">
        <v>0</v>
      </c>
      <c r="P1462" s="85">
        <v>462.59053421482116</v>
      </c>
      <c r="Q1462" s="85">
        <v>462.59053421482116</v>
      </c>
      <c r="R1462" s="82" t="s">
        <v>3399</v>
      </c>
      <c r="S1462" s="7">
        <f t="shared" si="67"/>
        <v>0</v>
      </c>
      <c r="T1462" s="6">
        <f t="shared" si="68"/>
        <v>0</v>
      </c>
      <c r="U1462" s="25">
        <f t="shared" si="66"/>
        <v>0</v>
      </c>
    </row>
    <row r="1463" spans="1:21" ht="10.9" customHeight="1" x14ac:dyDescent="0.2">
      <c r="A1463" s="82" t="s">
        <v>4191</v>
      </c>
      <c r="B1463" s="83">
        <v>45839</v>
      </c>
      <c r="C1463" s="82" t="s">
        <v>3395</v>
      </c>
      <c r="D1463" s="82" t="s">
        <v>1136</v>
      </c>
      <c r="E1463" s="82"/>
      <c r="F1463" s="82" t="s">
        <v>4512</v>
      </c>
      <c r="G1463" s="89">
        <v>1</v>
      </c>
      <c r="H1463" s="89">
        <v>1749.2762</v>
      </c>
      <c r="I1463" s="85">
        <v>-3.8E-3</v>
      </c>
      <c r="J1463" s="85">
        <v>87.46</v>
      </c>
      <c r="K1463" s="85">
        <v>1836.74</v>
      </c>
      <c r="L1463" s="85">
        <v>1836.74</v>
      </c>
      <c r="M1463" s="89">
        <v>1749.2762</v>
      </c>
      <c r="N1463" s="85">
        <v>-3.8E-3</v>
      </c>
      <c r="O1463" s="85">
        <v>87.46</v>
      </c>
      <c r="P1463" s="85">
        <v>1836.74</v>
      </c>
      <c r="Q1463" s="85">
        <v>1836.74</v>
      </c>
      <c r="R1463" s="82" t="s">
        <v>4515</v>
      </c>
      <c r="S1463" s="7">
        <f t="shared" si="67"/>
        <v>0</v>
      </c>
      <c r="T1463" s="6">
        <f t="shared" si="68"/>
        <v>0</v>
      </c>
      <c r="U1463" s="25">
        <f t="shared" si="66"/>
        <v>0</v>
      </c>
    </row>
    <row r="1464" spans="1:21" ht="10.9" customHeight="1" x14ac:dyDescent="0.2">
      <c r="A1464" s="82" t="s">
        <v>2840</v>
      </c>
      <c r="B1464" s="83">
        <v>45840</v>
      </c>
      <c r="C1464" s="82" t="s">
        <v>3395</v>
      </c>
      <c r="D1464" s="82" t="s">
        <v>1267</v>
      </c>
      <c r="E1464" s="82"/>
      <c r="F1464" s="82" t="s">
        <v>5240</v>
      </c>
      <c r="G1464" s="89">
        <v>1</v>
      </c>
      <c r="H1464" s="89">
        <v>17.27</v>
      </c>
      <c r="I1464" s="85">
        <v>0</v>
      </c>
      <c r="J1464" s="85">
        <v>2.25</v>
      </c>
      <c r="K1464" s="85">
        <v>19.52</v>
      </c>
      <c r="L1464" s="85">
        <v>5422.01</v>
      </c>
      <c r="M1464" s="89">
        <v>17.27</v>
      </c>
      <c r="N1464" s="85">
        <v>0</v>
      </c>
      <c r="O1464" s="85">
        <v>2.25</v>
      </c>
      <c r="P1464" s="85">
        <v>19.52</v>
      </c>
      <c r="Q1464" s="85">
        <v>5422.01</v>
      </c>
      <c r="R1464" s="82" t="s">
        <v>3399</v>
      </c>
      <c r="S1464" s="7">
        <f t="shared" si="67"/>
        <v>0</v>
      </c>
      <c r="T1464" s="6">
        <f t="shared" si="68"/>
        <v>0</v>
      </c>
      <c r="U1464" s="25">
        <f t="shared" si="66"/>
        <v>0</v>
      </c>
    </row>
    <row r="1465" spans="1:21" ht="10.9" customHeight="1" x14ac:dyDescent="0.2">
      <c r="A1465" s="82" t="s">
        <v>2840</v>
      </c>
      <c r="B1465" s="83">
        <v>45840</v>
      </c>
      <c r="C1465" s="82" t="s">
        <v>3395</v>
      </c>
      <c r="D1465" s="82" t="s">
        <v>1267</v>
      </c>
      <c r="E1465" s="82"/>
      <c r="F1465" s="82" t="s">
        <v>5240</v>
      </c>
      <c r="G1465" s="89">
        <v>1</v>
      </c>
      <c r="H1465" s="89">
        <v>17.27</v>
      </c>
      <c r="I1465" s="85">
        <v>0</v>
      </c>
      <c r="J1465" s="85">
        <v>2.25</v>
      </c>
      <c r="K1465" s="85">
        <v>19.52</v>
      </c>
      <c r="L1465" s="85">
        <v>5422.01</v>
      </c>
      <c r="M1465" s="89">
        <v>17.27</v>
      </c>
      <c r="N1465" s="85">
        <v>0</v>
      </c>
      <c r="O1465" s="85">
        <v>2.25</v>
      </c>
      <c r="P1465" s="85">
        <v>19.52</v>
      </c>
      <c r="Q1465" s="85">
        <v>5422.01</v>
      </c>
      <c r="R1465" s="82" t="s">
        <v>3399</v>
      </c>
      <c r="S1465" s="7">
        <f t="shared" si="67"/>
        <v>0</v>
      </c>
      <c r="T1465" s="6">
        <f t="shared" si="68"/>
        <v>0</v>
      </c>
      <c r="U1465" s="25">
        <f t="shared" si="66"/>
        <v>0</v>
      </c>
    </row>
    <row r="1466" spans="1:21" ht="10.9" customHeight="1" x14ac:dyDescent="0.2">
      <c r="A1466" s="82" t="s">
        <v>2840</v>
      </c>
      <c r="B1466" s="83">
        <v>45840</v>
      </c>
      <c r="C1466" s="82" t="s">
        <v>3395</v>
      </c>
      <c r="D1466" s="82" t="s">
        <v>1267</v>
      </c>
      <c r="E1466" s="82"/>
      <c r="F1466" s="82" t="s">
        <v>5239</v>
      </c>
      <c r="G1466" s="89">
        <v>1</v>
      </c>
      <c r="H1466" s="89">
        <v>2215.11</v>
      </c>
      <c r="I1466" s="85">
        <v>0</v>
      </c>
      <c r="J1466" s="85">
        <v>287.95999999999998</v>
      </c>
      <c r="K1466" s="85">
        <v>2503.0700000000002</v>
      </c>
      <c r="L1466" s="85">
        <v>5422.01</v>
      </c>
      <c r="M1466" s="89">
        <v>2215.11</v>
      </c>
      <c r="N1466" s="85">
        <v>0</v>
      </c>
      <c r="O1466" s="85">
        <v>287.95999999999998</v>
      </c>
      <c r="P1466" s="85">
        <v>2503.0700000000002</v>
      </c>
      <c r="Q1466" s="85">
        <v>5422.01</v>
      </c>
      <c r="R1466" s="82" t="s">
        <v>3399</v>
      </c>
      <c r="S1466" s="7">
        <f t="shared" si="67"/>
        <v>0</v>
      </c>
      <c r="T1466" s="6">
        <f t="shared" si="68"/>
        <v>0</v>
      </c>
      <c r="U1466" s="25">
        <f t="shared" si="66"/>
        <v>0</v>
      </c>
    </row>
    <row r="1467" spans="1:21" ht="10.9" customHeight="1" x14ac:dyDescent="0.2">
      <c r="A1467" s="82" t="s">
        <v>2840</v>
      </c>
      <c r="B1467" s="83">
        <v>45840</v>
      </c>
      <c r="C1467" s="82" t="s">
        <v>3395</v>
      </c>
      <c r="D1467" s="82" t="s">
        <v>1267</v>
      </c>
      <c r="E1467" s="82"/>
      <c r="F1467" s="82" t="s">
        <v>5238</v>
      </c>
      <c r="G1467" s="89">
        <v>1</v>
      </c>
      <c r="H1467" s="89">
        <v>1978.22</v>
      </c>
      <c r="I1467" s="85">
        <v>0</v>
      </c>
      <c r="J1467" s="85">
        <v>257.17</v>
      </c>
      <c r="K1467" s="85">
        <v>2235.39</v>
      </c>
      <c r="L1467" s="85">
        <v>5422.01</v>
      </c>
      <c r="M1467" s="89">
        <v>1978.22</v>
      </c>
      <c r="N1467" s="85">
        <v>0</v>
      </c>
      <c r="O1467" s="85">
        <v>257.17</v>
      </c>
      <c r="P1467" s="85">
        <v>2235.39</v>
      </c>
      <c r="Q1467" s="85">
        <v>5422.01</v>
      </c>
      <c r="R1467" s="82" t="s">
        <v>3399</v>
      </c>
      <c r="S1467" s="7">
        <f t="shared" si="67"/>
        <v>0</v>
      </c>
      <c r="T1467" s="6">
        <f t="shared" si="68"/>
        <v>0</v>
      </c>
      <c r="U1467" s="25">
        <f t="shared" si="66"/>
        <v>0</v>
      </c>
    </row>
    <row r="1468" spans="1:21" ht="10.9" customHeight="1" x14ac:dyDescent="0.2">
      <c r="A1468" s="82" t="s">
        <v>2840</v>
      </c>
      <c r="B1468" s="83">
        <v>45840</v>
      </c>
      <c r="C1468" s="82" t="s">
        <v>3395</v>
      </c>
      <c r="D1468" s="82" t="s">
        <v>1267</v>
      </c>
      <c r="E1468" s="82"/>
      <c r="F1468" s="82" t="s">
        <v>5237</v>
      </c>
      <c r="G1468" s="89">
        <v>2</v>
      </c>
      <c r="H1468" s="89">
        <v>33.92</v>
      </c>
      <c r="I1468" s="85">
        <v>0</v>
      </c>
      <c r="J1468" s="85">
        <v>8.82</v>
      </c>
      <c r="K1468" s="85">
        <v>76.66</v>
      </c>
      <c r="L1468" s="85">
        <v>5422.01</v>
      </c>
      <c r="M1468" s="89">
        <v>33.92</v>
      </c>
      <c r="N1468" s="85">
        <v>0</v>
      </c>
      <c r="O1468" s="85">
        <v>8.82</v>
      </c>
      <c r="P1468" s="85">
        <v>76.66</v>
      </c>
      <c r="Q1468" s="85">
        <v>5422.01</v>
      </c>
      <c r="R1468" s="82" t="s">
        <v>3399</v>
      </c>
      <c r="S1468" s="7">
        <f t="shared" si="67"/>
        <v>0</v>
      </c>
      <c r="T1468" s="6">
        <f t="shared" si="68"/>
        <v>0</v>
      </c>
      <c r="U1468" s="25">
        <f t="shared" si="66"/>
        <v>0</v>
      </c>
    </row>
    <row r="1469" spans="1:21" ht="10.9" customHeight="1" x14ac:dyDescent="0.2">
      <c r="A1469" s="82" t="s">
        <v>2840</v>
      </c>
      <c r="B1469" s="83">
        <v>45840</v>
      </c>
      <c r="C1469" s="82" t="s">
        <v>3395</v>
      </c>
      <c r="D1469" s="82" t="s">
        <v>1267</v>
      </c>
      <c r="E1469" s="82"/>
      <c r="F1469" s="82" t="s">
        <v>5236</v>
      </c>
      <c r="G1469" s="89">
        <v>1</v>
      </c>
      <c r="H1469" s="89">
        <v>18.47</v>
      </c>
      <c r="I1469" s="85">
        <v>0</v>
      </c>
      <c r="J1469" s="85">
        <v>2.4</v>
      </c>
      <c r="K1469" s="85">
        <v>20.87</v>
      </c>
      <c r="L1469" s="85">
        <v>5422.01</v>
      </c>
      <c r="M1469" s="89">
        <v>18.47</v>
      </c>
      <c r="N1469" s="85">
        <v>0</v>
      </c>
      <c r="O1469" s="85">
        <v>2.4</v>
      </c>
      <c r="P1469" s="85">
        <v>20.87</v>
      </c>
      <c r="Q1469" s="85">
        <v>5422.01</v>
      </c>
      <c r="R1469" s="82" t="s">
        <v>3399</v>
      </c>
      <c r="S1469" s="7">
        <f t="shared" si="67"/>
        <v>0</v>
      </c>
      <c r="T1469" s="6">
        <f t="shared" si="68"/>
        <v>0</v>
      </c>
      <c r="U1469" s="25">
        <f t="shared" si="66"/>
        <v>0</v>
      </c>
    </row>
    <row r="1470" spans="1:21" ht="10.9" customHeight="1" x14ac:dyDescent="0.2">
      <c r="A1470" s="82" t="s">
        <v>2840</v>
      </c>
      <c r="B1470" s="83">
        <v>45840</v>
      </c>
      <c r="C1470" s="82" t="s">
        <v>3395</v>
      </c>
      <c r="D1470" s="82" t="s">
        <v>1267</v>
      </c>
      <c r="E1470" s="82"/>
      <c r="F1470" s="82" t="s">
        <v>5235</v>
      </c>
      <c r="G1470" s="89">
        <v>2</v>
      </c>
      <c r="H1470" s="89">
        <v>29.94</v>
      </c>
      <c r="I1470" s="85">
        <v>0</v>
      </c>
      <c r="J1470" s="85">
        <v>7.78</v>
      </c>
      <c r="K1470" s="85">
        <v>67.66</v>
      </c>
      <c r="L1470" s="85">
        <v>5422.01</v>
      </c>
      <c r="M1470" s="89">
        <v>29.94</v>
      </c>
      <c r="N1470" s="85">
        <v>0</v>
      </c>
      <c r="O1470" s="85">
        <v>7.78</v>
      </c>
      <c r="P1470" s="85">
        <v>67.66</v>
      </c>
      <c r="Q1470" s="85">
        <v>5422.01</v>
      </c>
      <c r="R1470" s="82" t="s">
        <v>3399</v>
      </c>
      <c r="S1470" s="7">
        <f t="shared" si="67"/>
        <v>0</v>
      </c>
      <c r="T1470" s="6">
        <f t="shared" si="68"/>
        <v>0</v>
      </c>
      <c r="U1470" s="25">
        <f t="shared" si="66"/>
        <v>0</v>
      </c>
    </row>
    <row r="1471" spans="1:21" ht="10.9" customHeight="1" x14ac:dyDescent="0.2">
      <c r="A1471" s="82" t="s">
        <v>2840</v>
      </c>
      <c r="B1471" s="83">
        <v>45840</v>
      </c>
      <c r="C1471" s="82" t="s">
        <v>3395</v>
      </c>
      <c r="D1471" s="82" t="s">
        <v>1267</v>
      </c>
      <c r="E1471" s="82"/>
      <c r="F1471" s="82" t="s">
        <v>4668</v>
      </c>
      <c r="G1471" s="89">
        <v>1</v>
      </c>
      <c r="H1471" s="89">
        <v>424.18</v>
      </c>
      <c r="I1471" s="85">
        <v>0</v>
      </c>
      <c r="J1471" s="85">
        <v>55.14</v>
      </c>
      <c r="K1471" s="85">
        <v>479.32</v>
      </c>
      <c r="L1471" s="85">
        <v>5422.01</v>
      </c>
      <c r="M1471" s="89">
        <v>424.18</v>
      </c>
      <c r="N1471" s="85">
        <v>0</v>
      </c>
      <c r="O1471" s="85">
        <v>55.14</v>
      </c>
      <c r="P1471" s="85">
        <v>479.32</v>
      </c>
      <c r="Q1471" s="85">
        <v>5422.01</v>
      </c>
      <c r="R1471" s="82" t="s">
        <v>3399</v>
      </c>
      <c r="S1471" s="7">
        <f t="shared" si="67"/>
        <v>0</v>
      </c>
      <c r="T1471" s="6">
        <f t="shared" si="68"/>
        <v>0</v>
      </c>
      <c r="U1471" s="25">
        <f t="shared" si="66"/>
        <v>0</v>
      </c>
    </row>
    <row r="1472" spans="1:21" ht="10.9" customHeight="1" x14ac:dyDescent="0.2">
      <c r="A1472" s="82" t="s">
        <v>2873</v>
      </c>
      <c r="B1472" s="83">
        <v>45840</v>
      </c>
      <c r="C1472" s="82" t="s">
        <v>3395</v>
      </c>
      <c r="D1472" s="82" t="s">
        <v>3509</v>
      </c>
      <c r="E1472" s="82"/>
      <c r="F1472" s="82" t="s">
        <v>4507</v>
      </c>
      <c r="G1472" s="89">
        <v>1</v>
      </c>
      <c r="H1472" s="89">
        <v>8973</v>
      </c>
      <c r="I1472" s="85">
        <v>0</v>
      </c>
      <c r="J1472" s="85">
        <v>0</v>
      </c>
      <c r="K1472" s="85">
        <v>8973</v>
      </c>
      <c r="L1472" s="85">
        <v>12999.32</v>
      </c>
      <c r="M1472" s="89">
        <v>12194.6578890861</v>
      </c>
      <c r="N1472" s="85">
        <v>0</v>
      </c>
      <c r="O1472" s="85">
        <v>0</v>
      </c>
      <c r="P1472" s="85">
        <v>12194.6578890861</v>
      </c>
      <c r="Q1472" s="85">
        <v>17666.584218294298</v>
      </c>
      <c r="R1472" s="82" t="s">
        <v>3399</v>
      </c>
      <c r="S1472" s="7">
        <f t="shared" si="67"/>
        <v>0</v>
      </c>
      <c r="T1472" s="6">
        <f t="shared" si="68"/>
        <v>0</v>
      </c>
      <c r="U1472" s="25">
        <f t="shared" si="66"/>
        <v>0</v>
      </c>
    </row>
    <row r="1473" spans="1:21" ht="10.9" customHeight="1" x14ac:dyDescent="0.2">
      <c r="A1473" s="82" t="s">
        <v>2873</v>
      </c>
      <c r="B1473" s="83">
        <v>45840</v>
      </c>
      <c r="C1473" s="82" t="s">
        <v>3395</v>
      </c>
      <c r="D1473" s="82" t="s">
        <v>3509</v>
      </c>
      <c r="E1473" s="82"/>
      <c r="F1473" s="82" t="s">
        <v>4508</v>
      </c>
      <c r="G1473" s="89">
        <v>1</v>
      </c>
      <c r="H1473" s="89">
        <v>1638.44</v>
      </c>
      <c r="I1473" s="85">
        <v>0</v>
      </c>
      <c r="J1473" s="85">
        <v>0</v>
      </c>
      <c r="K1473" s="85">
        <v>1638.44</v>
      </c>
      <c r="L1473" s="85">
        <v>12999.32</v>
      </c>
      <c r="M1473" s="89">
        <v>2226.7040311817932</v>
      </c>
      <c r="N1473" s="85">
        <v>0</v>
      </c>
      <c r="O1473" s="85">
        <v>0</v>
      </c>
      <c r="P1473" s="85">
        <v>2226.7040311817932</v>
      </c>
      <c r="Q1473" s="85">
        <v>17666.584218294298</v>
      </c>
      <c r="R1473" s="82" t="s">
        <v>3399</v>
      </c>
      <c r="S1473" s="7">
        <f t="shared" si="67"/>
        <v>0</v>
      </c>
      <c r="T1473" s="6">
        <f t="shared" si="68"/>
        <v>0</v>
      </c>
      <c r="U1473" s="25">
        <f t="shared" si="66"/>
        <v>0</v>
      </c>
    </row>
    <row r="1474" spans="1:21" ht="10.9" customHeight="1" x14ac:dyDescent="0.2">
      <c r="A1474" s="82" t="s">
        <v>2873</v>
      </c>
      <c r="B1474" s="83">
        <v>45840</v>
      </c>
      <c r="C1474" s="82" t="s">
        <v>3395</v>
      </c>
      <c r="D1474" s="82" t="s">
        <v>3509</v>
      </c>
      <c r="E1474" s="82"/>
      <c r="F1474" s="82" t="s">
        <v>5085</v>
      </c>
      <c r="G1474" s="89">
        <v>1</v>
      </c>
      <c r="H1474" s="89">
        <v>1759.88</v>
      </c>
      <c r="I1474" s="85">
        <v>0</v>
      </c>
      <c r="J1474" s="85">
        <v>0</v>
      </c>
      <c r="K1474" s="85">
        <v>1759.88</v>
      </c>
      <c r="L1474" s="85">
        <v>12999.32</v>
      </c>
      <c r="M1474" s="89">
        <v>2391.7457400919252</v>
      </c>
      <c r="N1474" s="85">
        <v>0</v>
      </c>
      <c r="O1474" s="85">
        <v>0</v>
      </c>
      <c r="P1474" s="85">
        <v>2391.7457400919252</v>
      </c>
      <c r="Q1474" s="85">
        <v>17666.584218294298</v>
      </c>
      <c r="R1474" s="82" t="s">
        <v>3399</v>
      </c>
      <c r="S1474" s="7">
        <f t="shared" si="67"/>
        <v>0</v>
      </c>
      <c r="T1474" s="6">
        <f t="shared" si="68"/>
        <v>0</v>
      </c>
      <c r="U1474" s="25">
        <f t="shared" ref="U1474:U1537" si="69">IF(T1474=1,K1474-J1474,0)</f>
        <v>0</v>
      </c>
    </row>
    <row r="1475" spans="1:21" ht="10.9" customHeight="1" x14ac:dyDescent="0.2">
      <c r="A1475" s="82" t="s">
        <v>2873</v>
      </c>
      <c r="B1475" s="83">
        <v>45840</v>
      </c>
      <c r="C1475" s="82" t="s">
        <v>3395</v>
      </c>
      <c r="D1475" s="82" t="s">
        <v>3509</v>
      </c>
      <c r="E1475" s="82"/>
      <c r="F1475" s="82" t="s">
        <v>4393</v>
      </c>
      <c r="G1475" s="89">
        <v>1</v>
      </c>
      <c r="H1475" s="89">
        <v>628</v>
      </c>
      <c r="I1475" s="85">
        <v>0</v>
      </c>
      <c r="J1475" s="85">
        <v>0</v>
      </c>
      <c r="K1475" s="85">
        <v>628</v>
      </c>
      <c r="L1475" s="85">
        <v>12999.32</v>
      </c>
      <c r="M1475" s="89">
        <v>853.47655793447802</v>
      </c>
      <c r="N1475" s="85">
        <v>0</v>
      </c>
      <c r="O1475" s="85">
        <v>0</v>
      </c>
      <c r="P1475" s="85">
        <v>853.47655793447802</v>
      </c>
      <c r="Q1475" s="85">
        <v>17666.584218294298</v>
      </c>
      <c r="R1475" s="82" t="s">
        <v>3399</v>
      </c>
      <c r="S1475" s="7" t="str">
        <f t="shared" ref="S1475:S1538" si="70">IF(T1475=1,A1475,0)</f>
        <v>INV13139</v>
      </c>
      <c r="T1475" s="6">
        <f t="shared" ref="T1475:T1538" si="71">IFERROR(FIND("Freight",F1475,1),0)</f>
        <v>1</v>
      </c>
      <c r="U1475" s="25">
        <f t="shared" si="69"/>
        <v>628</v>
      </c>
    </row>
    <row r="1476" spans="1:21" ht="10.9" customHeight="1" x14ac:dyDescent="0.2">
      <c r="A1476" s="82" t="s">
        <v>2916</v>
      </c>
      <c r="B1476" s="83">
        <v>45840</v>
      </c>
      <c r="C1476" s="82" t="s">
        <v>3395</v>
      </c>
      <c r="D1476" s="82" t="s">
        <v>1139</v>
      </c>
      <c r="E1476" s="82"/>
      <c r="F1476" s="82" t="s">
        <v>4755</v>
      </c>
      <c r="G1476" s="89">
        <v>9</v>
      </c>
      <c r="H1476" s="89">
        <v>22.02</v>
      </c>
      <c r="I1476" s="85">
        <v>0</v>
      </c>
      <c r="J1476" s="85">
        <v>9.91</v>
      </c>
      <c r="K1476" s="85">
        <v>208.09</v>
      </c>
      <c r="L1476" s="85">
        <v>208.09</v>
      </c>
      <c r="M1476" s="89">
        <v>22.02</v>
      </c>
      <c r="N1476" s="85">
        <v>0</v>
      </c>
      <c r="O1476" s="85">
        <v>9.91</v>
      </c>
      <c r="P1476" s="85">
        <v>208.09</v>
      </c>
      <c r="Q1476" s="85">
        <v>208.09</v>
      </c>
      <c r="R1476" s="82" t="s">
        <v>3399</v>
      </c>
      <c r="S1476" s="7">
        <f t="shared" si="70"/>
        <v>0</v>
      </c>
      <c r="T1476" s="6">
        <f t="shared" si="71"/>
        <v>0</v>
      </c>
      <c r="U1476" s="25">
        <f t="shared" si="69"/>
        <v>0</v>
      </c>
    </row>
    <row r="1477" spans="1:21" ht="10.9" customHeight="1" x14ac:dyDescent="0.2">
      <c r="A1477" s="82"/>
      <c r="B1477" s="83">
        <v>45840</v>
      </c>
      <c r="C1477" s="82" t="s">
        <v>3423</v>
      </c>
      <c r="D1477" s="82" t="s">
        <v>5234</v>
      </c>
      <c r="E1477" s="82"/>
      <c r="F1477" s="82" t="s">
        <v>5234</v>
      </c>
      <c r="G1477" s="89">
        <v>-1</v>
      </c>
      <c r="H1477" s="89">
        <v>20346.11</v>
      </c>
      <c r="I1477" s="85">
        <v>0</v>
      </c>
      <c r="J1477" s="85">
        <v>0</v>
      </c>
      <c r="K1477" s="85">
        <v>-20346.11</v>
      </c>
      <c r="L1477" s="85">
        <v>-20346.11</v>
      </c>
      <c r="M1477" s="89">
        <v>27651.159124452646</v>
      </c>
      <c r="N1477" s="85">
        <v>0</v>
      </c>
      <c r="O1477" s="85">
        <v>0</v>
      </c>
      <c r="P1477" s="85">
        <v>-27651.159124452646</v>
      </c>
      <c r="Q1477" s="85">
        <v>-27651.159124452646</v>
      </c>
      <c r="R1477" s="82" t="s">
        <v>4511</v>
      </c>
      <c r="S1477" s="7">
        <f t="shared" si="70"/>
        <v>0</v>
      </c>
      <c r="T1477" s="6">
        <f t="shared" si="71"/>
        <v>0</v>
      </c>
      <c r="U1477" s="25">
        <f t="shared" si="69"/>
        <v>0</v>
      </c>
    </row>
    <row r="1478" spans="1:21" ht="10.9" customHeight="1" x14ac:dyDescent="0.2">
      <c r="A1478" s="82"/>
      <c r="B1478" s="83">
        <v>45840</v>
      </c>
      <c r="C1478" s="82" t="s">
        <v>3423</v>
      </c>
      <c r="D1478" s="82" t="s">
        <v>3510</v>
      </c>
      <c r="E1478" s="82"/>
      <c r="F1478" s="82" t="s">
        <v>3510</v>
      </c>
      <c r="G1478" s="89">
        <v>-1</v>
      </c>
      <c r="H1478" s="89">
        <v>20346.11</v>
      </c>
      <c r="I1478" s="85">
        <v>0</v>
      </c>
      <c r="J1478" s="85">
        <v>0</v>
      </c>
      <c r="K1478" s="85">
        <v>-20346.11</v>
      </c>
      <c r="L1478" s="85">
        <v>-20346.11</v>
      </c>
      <c r="M1478" s="89">
        <v>27651.159124452646</v>
      </c>
      <c r="N1478" s="85">
        <v>0</v>
      </c>
      <c r="O1478" s="85">
        <v>0</v>
      </c>
      <c r="P1478" s="85">
        <v>-27651.159124452646</v>
      </c>
      <c r="Q1478" s="85">
        <v>-27651.159124452646</v>
      </c>
      <c r="R1478" s="82" t="s">
        <v>3399</v>
      </c>
      <c r="S1478" s="7">
        <f t="shared" si="70"/>
        <v>0</v>
      </c>
      <c r="T1478" s="6">
        <f t="shared" si="71"/>
        <v>0</v>
      </c>
      <c r="U1478" s="25">
        <f t="shared" si="69"/>
        <v>0</v>
      </c>
    </row>
    <row r="1479" spans="1:21" ht="10.9" customHeight="1" x14ac:dyDescent="0.2">
      <c r="A1479" s="82" t="s">
        <v>2724</v>
      </c>
      <c r="B1479" s="83">
        <v>45841</v>
      </c>
      <c r="C1479" s="82" t="s">
        <v>3395</v>
      </c>
      <c r="D1479" s="82" t="s">
        <v>1482</v>
      </c>
      <c r="E1479" s="82"/>
      <c r="F1479" s="82" t="s">
        <v>5233</v>
      </c>
      <c r="G1479" s="89">
        <v>1</v>
      </c>
      <c r="H1479" s="89">
        <v>9878.11</v>
      </c>
      <c r="I1479" s="85">
        <v>0</v>
      </c>
      <c r="J1479" s="85">
        <v>493.91</v>
      </c>
      <c r="K1479" s="85">
        <v>10372.02</v>
      </c>
      <c r="L1479" s="85">
        <v>10372.02</v>
      </c>
      <c r="M1479" s="89">
        <v>9878.11</v>
      </c>
      <c r="N1479" s="85">
        <v>0</v>
      </c>
      <c r="O1479" s="85">
        <v>493.91</v>
      </c>
      <c r="P1479" s="85">
        <v>10372.02</v>
      </c>
      <c r="Q1479" s="85">
        <v>10372.02</v>
      </c>
      <c r="R1479" s="82" t="s">
        <v>3399</v>
      </c>
      <c r="S1479" s="7">
        <f t="shared" si="70"/>
        <v>0</v>
      </c>
      <c r="T1479" s="6">
        <f t="shared" si="71"/>
        <v>0</v>
      </c>
      <c r="U1479" s="25">
        <f t="shared" si="69"/>
        <v>0</v>
      </c>
    </row>
    <row r="1480" spans="1:21" ht="10.9" customHeight="1" x14ac:dyDescent="0.2">
      <c r="A1480" s="82" t="s">
        <v>2866</v>
      </c>
      <c r="B1480" s="83">
        <v>45841</v>
      </c>
      <c r="C1480" s="82" t="s">
        <v>3395</v>
      </c>
      <c r="D1480" s="82" t="s">
        <v>1224</v>
      </c>
      <c r="E1480" s="82"/>
      <c r="F1480" s="82" t="s">
        <v>5232</v>
      </c>
      <c r="G1480" s="89">
        <v>1</v>
      </c>
      <c r="H1480" s="89">
        <v>173.11</v>
      </c>
      <c r="I1480" s="85">
        <v>0</v>
      </c>
      <c r="J1480" s="85">
        <v>22.5</v>
      </c>
      <c r="K1480" s="85">
        <v>195.61</v>
      </c>
      <c r="L1480" s="85">
        <v>3136.79</v>
      </c>
      <c r="M1480" s="89">
        <v>173.11</v>
      </c>
      <c r="N1480" s="85">
        <v>0</v>
      </c>
      <c r="O1480" s="85">
        <v>22.5</v>
      </c>
      <c r="P1480" s="85">
        <v>195.61</v>
      </c>
      <c r="Q1480" s="85">
        <v>3136.79</v>
      </c>
      <c r="R1480" s="82" t="s">
        <v>3399</v>
      </c>
      <c r="S1480" s="7">
        <f t="shared" si="70"/>
        <v>0</v>
      </c>
      <c r="T1480" s="6">
        <f t="shared" si="71"/>
        <v>0</v>
      </c>
      <c r="U1480" s="25">
        <f t="shared" si="69"/>
        <v>0</v>
      </c>
    </row>
    <row r="1481" spans="1:21" ht="10.9" customHeight="1" x14ac:dyDescent="0.2">
      <c r="A1481" s="82" t="s">
        <v>2866</v>
      </c>
      <c r="B1481" s="83">
        <v>45841</v>
      </c>
      <c r="C1481" s="82" t="s">
        <v>3395</v>
      </c>
      <c r="D1481" s="82" t="s">
        <v>1224</v>
      </c>
      <c r="E1481" s="82"/>
      <c r="F1481" s="82" t="s">
        <v>4741</v>
      </c>
      <c r="G1481" s="89">
        <v>7</v>
      </c>
      <c r="H1481" s="89">
        <v>371.83</v>
      </c>
      <c r="I1481" s="85">
        <v>0</v>
      </c>
      <c r="J1481" s="85">
        <v>338.37</v>
      </c>
      <c r="K1481" s="85">
        <v>2941.18</v>
      </c>
      <c r="L1481" s="85">
        <v>3136.79</v>
      </c>
      <c r="M1481" s="89">
        <v>371.83</v>
      </c>
      <c r="N1481" s="85">
        <v>0</v>
      </c>
      <c r="O1481" s="85">
        <v>338.37</v>
      </c>
      <c r="P1481" s="85">
        <v>2941.18</v>
      </c>
      <c r="Q1481" s="85">
        <v>3136.79</v>
      </c>
      <c r="R1481" s="82" t="s">
        <v>3399</v>
      </c>
      <c r="S1481" s="7">
        <f t="shared" si="70"/>
        <v>0</v>
      </c>
      <c r="T1481" s="6">
        <f t="shared" si="71"/>
        <v>0</v>
      </c>
      <c r="U1481" s="25">
        <f t="shared" si="69"/>
        <v>0</v>
      </c>
    </row>
    <row r="1482" spans="1:21" ht="10.9" customHeight="1" x14ac:dyDescent="0.2">
      <c r="A1482" s="82" t="s">
        <v>2922</v>
      </c>
      <c r="B1482" s="83">
        <v>45841</v>
      </c>
      <c r="C1482" s="82" t="s">
        <v>3395</v>
      </c>
      <c r="D1482" s="82" t="s">
        <v>1127</v>
      </c>
      <c r="E1482" s="82"/>
      <c r="F1482" s="82" t="s">
        <v>4558</v>
      </c>
      <c r="G1482" s="89">
        <v>1</v>
      </c>
      <c r="H1482" s="89">
        <v>264.91000000000003</v>
      </c>
      <c r="I1482" s="85">
        <v>0</v>
      </c>
      <c r="J1482" s="85">
        <v>13.25</v>
      </c>
      <c r="K1482" s="85">
        <v>278.16000000000003</v>
      </c>
      <c r="L1482" s="85">
        <v>278.16000000000003</v>
      </c>
      <c r="M1482" s="89">
        <v>264.91000000000003</v>
      </c>
      <c r="N1482" s="85">
        <v>0</v>
      </c>
      <c r="O1482" s="85">
        <v>13.25</v>
      </c>
      <c r="P1482" s="85">
        <v>278.16000000000003</v>
      </c>
      <c r="Q1482" s="85">
        <v>278.16000000000003</v>
      </c>
      <c r="R1482" s="82" t="s">
        <v>3399</v>
      </c>
      <c r="S1482" s="7">
        <f t="shared" si="70"/>
        <v>0</v>
      </c>
      <c r="T1482" s="6">
        <f t="shared" si="71"/>
        <v>0</v>
      </c>
      <c r="U1482" s="25">
        <f t="shared" si="69"/>
        <v>0</v>
      </c>
    </row>
    <row r="1483" spans="1:21" ht="10.9" customHeight="1" x14ac:dyDescent="0.2">
      <c r="A1483" s="82" t="s">
        <v>2931</v>
      </c>
      <c r="B1483" s="83">
        <v>45842</v>
      </c>
      <c r="C1483" s="82" t="s">
        <v>3395</v>
      </c>
      <c r="D1483" s="82" t="s">
        <v>3508</v>
      </c>
      <c r="E1483" s="82"/>
      <c r="F1483" s="82" t="s">
        <v>4830</v>
      </c>
      <c r="G1483" s="89">
        <v>4</v>
      </c>
      <c r="H1483" s="89">
        <v>2273.11</v>
      </c>
      <c r="I1483" s="85">
        <v>9092.44</v>
      </c>
      <c r="J1483" s="85">
        <v>0</v>
      </c>
      <c r="K1483" s="85">
        <v>0</v>
      </c>
      <c r="L1483" s="85">
        <v>0</v>
      </c>
      <c r="M1483" s="89">
        <v>3092.6330053550437</v>
      </c>
      <c r="N1483" s="85">
        <v>12370.532021420175</v>
      </c>
      <c r="O1483" s="85">
        <v>0</v>
      </c>
      <c r="P1483" s="85">
        <v>0</v>
      </c>
      <c r="Q1483" s="85">
        <v>0</v>
      </c>
      <c r="R1483" s="82" t="s">
        <v>3399</v>
      </c>
      <c r="S1483" s="7">
        <f t="shared" si="70"/>
        <v>0</v>
      </c>
      <c r="T1483" s="6">
        <f t="shared" si="71"/>
        <v>0</v>
      </c>
      <c r="U1483" s="25">
        <f t="shared" si="69"/>
        <v>0</v>
      </c>
    </row>
    <row r="1484" spans="1:21" ht="10.9" customHeight="1" x14ac:dyDescent="0.2">
      <c r="A1484" s="82" t="s">
        <v>2898</v>
      </c>
      <c r="B1484" s="83">
        <v>45842</v>
      </c>
      <c r="C1484" s="82" t="s">
        <v>3395</v>
      </c>
      <c r="D1484" s="82" t="s">
        <v>3507</v>
      </c>
      <c r="E1484" s="82"/>
      <c r="F1484" s="82" t="s">
        <v>5227</v>
      </c>
      <c r="G1484" s="89">
        <v>1</v>
      </c>
      <c r="H1484" s="89">
        <v>648.91999999999996</v>
      </c>
      <c r="I1484" s="85">
        <v>0</v>
      </c>
      <c r="J1484" s="85">
        <v>0</v>
      </c>
      <c r="K1484" s="85">
        <v>648.91999999999996</v>
      </c>
      <c r="L1484" s="85">
        <v>9714.65</v>
      </c>
      <c r="M1484" s="89">
        <v>882.87474422047103</v>
      </c>
      <c r="N1484" s="85">
        <v>0</v>
      </c>
      <c r="O1484" s="85">
        <v>0</v>
      </c>
      <c r="P1484" s="85">
        <v>882.87474422047103</v>
      </c>
      <c r="Q1484" s="85">
        <v>13217.067025120816</v>
      </c>
      <c r="R1484" s="82" t="s">
        <v>3399</v>
      </c>
      <c r="S1484" s="7">
        <f t="shared" si="70"/>
        <v>0</v>
      </c>
      <c r="T1484" s="6">
        <f t="shared" si="71"/>
        <v>0</v>
      </c>
      <c r="U1484" s="25">
        <f t="shared" si="69"/>
        <v>0</v>
      </c>
    </row>
    <row r="1485" spans="1:21" ht="10.9" customHeight="1" x14ac:dyDescent="0.2">
      <c r="A1485" s="82" t="s">
        <v>2898</v>
      </c>
      <c r="B1485" s="83">
        <v>45842</v>
      </c>
      <c r="C1485" s="82" t="s">
        <v>3395</v>
      </c>
      <c r="D1485" s="82" t="s">
        <v>3507</v>
      </c>
      <c r="E1485" s="82"/>
      <c r="F1485" s="82" t="s">
        <v>4720</v>
      </c>
      <c r="G1485" s="89">
        <v>1</v>
      </c>
      <c r="H1485" s="89">
        <v>4226.24</v>
      </c>
      <c r="I1485" s="85">
        <v>0</v>
      </c>
      <c r="J1485" s="85">
        <v>0</v>
      </c>
      <c r="K1485" s="85">
        <v>4226.24</v>
      </c>
      <c r="L1485" s="85">
        <v>9714.65</v>
      </c>
      <c r="M1485" s="89">
        <v>5749.9238103530843</v>
      </c>
      <c r="N1485" s="85">
        <v>0</v>
      </c>
      <c r="O1485" s="85">
        <v>0</v>
      </c>
      <c r="P1485" s="85">
        <v>5749.9238103530843</v>
      </c>
      <c r="Q1485" s="85">
        <v>13217.067025120816</v>
      </c>
      <c r="R1485" s="82" t="s">
        <v>3399</v>
      </c>
      <c r="S1485" s="7">
        <f t="shared" si="70"/>
        <v>0</v>
      </c>
      <c r="T1485" s="6">
        <f t="shared" si="71"/>
        <v>0</v>
      </c>
      <c r="U1485" s="25">
        <f t="shared" si="69"/>
        <v>0</v>
      </c>
    </row>
    <row r="1486" spans="1:21" ht="10.9" customHeight="1" x14ac:dyDescent="0.2">
      <c r="A1486" s="82" t="s">
        <v>2898</v>
      </c>
      <c r="B1486" s="83">
        <v>45842</v>
      </c>
      <c r="C1486" s="82" t="s">
        <v>3395</v>
      </c>
      <c r="D1486" s="82" t="s">
        <v>3507</v>
      </c>
      <c r="E1486" s="82"/>
      <c r="F1486" s="82" t="s">
        <v>5226</v>
      </c>
      <c r="G1486" s="89">
        <v>1</v>
      </c>
      <c r="H1486" s="89">
        <v>371.92</v>
      </c>
      <c r="I1486" s="85">
        <v>0</v>
      </c>
      <c r="J1486" s="85">
        <v>0</v>
      </c>
      <c r="K1486" s="85">
        <v>371.92</v>
      </c>
      <c r="L1486" s="85">
        <v>9714.65</v>
      </c>
      <c r="M1486" s="89">
        <v>506.00809787104356</v>
      </c>
      <c r="N1486" s="85">
        <v>0</v>
      </c>
      <c r="O1486" s="85">
        <v>0</v>
      </c>
      <c r="P1486" s="85">
        <v>506.00809787104356</v>
      </c>
      <c r="Q1486" s="85">
        <v>13217.067025120816</v>
      </c>
      <c r="R1486" s="82" t="s">
        <v>3399</v>
      </c>
      <c r="S1486" s="7">
        <f t="shared" si="70"/>
        <v>0</v>
      </c>
      <c r="T1486" s="6">
        <f t="shared" si="71"/>
        <v>0</v>
      </c>
      <c r="U1486" s="25">
        <f t="shared" si="69"/>
        <v>0</v>
      </c>
    </row>
    <row r="1487" spans="1:21" ht="10.9" customHeight="1" x14ac:dyDescent="0.2">
      <c r="A1487" s="82" t="s">
        <v>2898</v>
      </c>
      <c r="B1487" s="83">
        <v>45842</v>
      </c>
      <c r="C1487" s="82" t="s">
        <v>3395</v>
      </c>
      <c r="D1487" s="82" t="s">
        <v>3507</v>
      </c>
      <c r="E1487" s="82"/>
      <c r="F1487" s="82" t="s">
        <v>5231</v>
      </c>
      <c r="G1487" s="89">
        <v>2</v>
      </c>
      <c r="H1487" s="89">
        <v>371.92</v>
      </c>
      <c r="I1487" s="85">
        <v>0</v>
      </c>
      <c r="J1487" s="85">
        <v>0</v>
      </c>
      <c r="K1487" s="85">
        <v>743.84</v>
      </c>
      <c r="L1487" s="85">
        <v>9714.65</v>
      </c>
      <c r="M1487" s="89">
        <v>506.00809787104356</v>
      </c>
      <c r="N1487" s="85">
        <v>0</v>
      </c>
      <c r="O1487" s="85">
        <v>0</v>
      </c>
      <c r="P1487" s="85">
        <v>1012.0161957420871</v>
      </c>
      <c r="Q1487" s="85">
        <v>13217.067025120816</v>
      </c>
      <c r="R1487" s="82" t="s">
        <v>3399</v>
      </c>
      <c r="S1487" s="7">
        <f t="shared" si="70"/>
        <v>0</v>
      </c>
      <c r="T1487" s="6">
        <f t="shared" si="71"/>
        <v>0</v>
      </c>
      <c r="U1487" s="25">
        <f t="shared" si="69"/>
        <v>0</v>
      </c>
    </row>
    <row r="1488" spans="1:21" ht="10.9" customHeight="1" x14ac:dyDescent="0.2">
      <c r="A1488" s="82" t="s">
        <v>2898</v>
      </c>
      <c r="B1488" s="83">
        <v>45842</v>
      </c>
      <c r="C1488" s="82" t="s">
        <v>3395</v>
      </c>
      <c r="D1488" s="82" t="s">
        <v>3507</v>
      </c>
      <c r="E1488" s="82"/>
      <c r="F1488" s="82" t="s">
        <v>5225</v>
      </c>
      <c r="G1488" s="89">
        <v>2</v>
      </c>
      <c r="H1488" s="89">
        <v>487.92</v>
      </c>
      <c r="I1488" s="85">
        <v>0</v>
      </c>
      <c r="J1488" s="85">
        <v>0</v>
      </c>
      <c r="K1488" s="85">
        <v>975.84</v>
      </c>
      <c r="L1488" s="85">
        <v>9714.65</v>
      </c>
      <c r="M1488" s="89">
        <v>663.82950933867392</v>
      </c>
      <c r="N1488" s="85">
        <v>0</v>
      </c>
      <c r="O1488" s="85">
        <v>0</v>
      </c>
      <c r="P1488" s="85">
        <v>1327.6590186773478</v>
      </c>
      <c r="Q1488" s="85">
        <v>13217.067025120816</v>
      </c>
      <c r="R1488" s="82" t="s">
        <v>3399</v>
      </c>
      <c r="S1488" s="7">
        <f t="shared" si="70"/>
        <v>0</v>
      </c>
      <c r="T1488" s="6">
        <f t="shared" si="71"/>
        <v>0</v>
      </c>
      <c r="U1488" s="25">
        <f t="shared" si="69"/>
        <v>0</v>
      </c>
    </row>
    <row r="1489" spans="1:21" ht="10.9" customHeight="1" x14ac:dyDescent="0.2">
      <c r="A1489" s="82" t="s">
        <v>2898</v>
      </c>
      <c r="B1489" s="83">
        <v>45842</v>
      </c>
      <c r="C1489" s="82" t="s">
        <v>3395</v>
      </c>
      <c r="D1489" s="82" t="s">
        <v>3507</v>
      </c>
      <c r="E1489" s="82"/>
      <c r="F1489" s="82" t="s">
        <v>5230</v>
      </c>
      <c r="G1489" s="89">
        <v>2</v>
      </c>
      <c r="H1489" s="89">
        <v>14.25</v>
      </c>
      <c r="I1489" s="85">
        <v>0</v>
      </c>
      <c r="J1489" s="85">
        <v>0</v>
      </c>
      <c r="K1489" s="85">
        <v>28.5</v>
      </c>
      <c r="L1489" s="85">
        <v>9714.65</v>
      </c>
      <c r="M1489" s="89">
        <v>19.387544081152857</v>
      </c>
      <c r="N1489" s="85">
        <v>0</v>
      </c>
      <c r="O1489" s="85">
        <v>0</v>
      </c>
      <c r="P1489" s="85">
        <v>38.775088162305714</v>
      </c>
      <c r="Q1489" s="85">
        <v>13217.067025120816</v>
      </c>
      <c r="R1489" s="82" t="s">
        <v>3399</v>
      </c>
      <c r="S1489" s="7">
        <f t="shared" si="70"/>
        <v>0</v>
      </c>
      <c r="T1489" s="6">
        <f t="shared" si="71"/>
        <v>0</v>
      </c>
      <c r="U1489" s="25">
        <f t="shared" si="69"/>
        <v>0</v>
      </c>
    </row>
    <row r="1490" spans="1:21" ht="10.9" customHeight="1" x14ac:dyDescent="0.2">
      <c r="A1490" s="82" t="s">
        <v>2898</v>
      </c>
      <c r="B1490" s="83">
        <v>45842</v>
      </c>
      <c r="C1490" s="82" t="s">
        <v>3395</v>
      </c>
      <c r="D1490" s="82" t="s">
        <v>3507</v>
      </c>
      <c r="E1490" s="82"/>
      <c r="F1490" s="82" t="s">
        <v>5229</v>
      </c>
      <c r="G1490" s="89">
        <v>1</v>
      </c>
      <c r="H1490" s="89">
        <v>1996.17</v>
      </c>
      <c r="I1490" s="85">
        <v>0</v>
      </c>
      <c r="J1490" s="85">
        <v>0</v>
      </c>
      <c r="K1490" s="85">
        <v>1996.17</v>
      </c>
      <c r="L1490" s="85">
        <v>9714.65</v>
      </c>
      <c r="M1490" s="89">
        <v>2715.8479907701685</v>
      </c>
      <c r="N1490" s="85">
        <v>0</v>
      </c>
      <c r="O1490" s="85">
        <v>0</v>
      </c>
      <c r="P1490" s="85">
        <v>2715.8479907701685</v>
      </c>
      <c r="Q1490" s="85">
        <v>13217.067025120816</v>
      </c>
      <c r="R1490" s="82" t="s">
        <v>3399</v>
      </c>
      <c r="S1490" s="7">
        <f t="shared" si="70"/>
        <v>0</v>
      </c>
      <c r="T1490" s="6">
        <f t="shared" si="71"/>
        <v>0</v>
      </c>
      <c r="U1490" s="25">
        <f t="shared" si="69"/>
        <v>0</v>
      </c>
    </row>
    <row r="1491" spans="1:21" ht="10.9" customHeight="1" x14ac:dyDescent="0.2">
      <c r="A1491" s="82" t="s">
        <v>2898</v>
      </c>
      <c r="B1491" s="83">
        <v>45842</v>
      </c>
      <c r="C1491" s="82" t="s">
        <v>3395</v>
      </c>
      <c r="D1491" s="82" t="s">
        <v>3507</v>
      </c>
      <c r="E1491" s="82"/>
      <c r="F1491" s="82" t="s">
        <v>5228</v>
      </c>
      <c r="G1491" s="89">
        <v>2</v>
      </c>
      <c r="H1491" s="89">
        <v>259.88</v>
      </c>
      <c r="I1491" s="85">
        <v>0</v>
      </c>
      <c r="J1491" s="85">
        <v>0</v>
      </c>
      <c r="K1491" s="85">
        <v>519.76</v>
      </c>
      <c r="L1491" s="85">
        <v>9714.65</v>
      </c>
      <c r="M1491" s="89">
        <v>353.57438286385997</v>
      </c>
      <c r="N1491" s="85">
        <v>0</v>
      </c>
      <c r="O1491" s="85">
        <v>0</v>
      </c>
      <c r="P1491" s="85">
        <v>707.14876572771993</v>
      </c>
      <c r="Q1491" s="85">
        <v>13217.067025120816</v>
      </c>
      <c r="R1491" s="82" t="s">
        <v>3399</v>
      </c>
      <c r="S1491" s="7">
        <f t="shared" si="70"/>
        <v>0</v>
      </c>
      <c r="T1491" s="6">
        <f t="shared" si="71"/>
        <v>0</v>
      </c>
      <c r="U1491" s="25">
        <f t="shared" si="69"/>
        <v>0</v>
      </c>
    </row>
    <row r="1492" spans="1:21" ht="10.9" customHeight="1" x14ac:dyDescent="0.2">
      <c r="A1492" s="82" t="s">
        <v>2898</v>
      </c>
      <c r="B1492" s="83">
        <v>45842</v>
      </c>
      <c r="C1492" s="82" t="s">
        <v>3395</v>
      </c>
      <c r="D1492" s="82" t="s">
        <v>3507</v>
      </c>
      <c r="E1492" s="82"/>
      <c r="F1492" s="82" t="s">
        <v>5041</v>
      </c>
      <c r="G1492" s="89">
        <v>2</v>
      </c>
      <c r="H1492" s="89">
        <v>27.39</v>
      </c>
      <c r="I1492" s="85">
        <v>0</v>
      </c>
      <c r="J1492" s="85">
        <v>0</v>
      </c>
      <c r="K1492" s="85">
        <v>54.78</v>
      </c>
      <c r="L1492" s="85">
        <v>9714.65</v>
      </c>
      <c r="M1492" s="89">
        <v>37.264900518089597</v>
      </c>
      <c r="N1492" s="85">
        <v>0</v>
      </c>
      <c r="O1492" s="85">
        <v>0</v>
      </c>
      <c r="P1492" s="85">
        <v>74.529801036179194</v>
      </c>
      <c r="Q1492" s="85">
        <v>13217.067025120816</v>
      </c>
      <c r="R1492" s="82" t="s">
        <v>3399</v>
      </c>
      <c r="S1492" s="7">
        <f t="shared" si="70"/>
        <v>0</v>
      </c>
      <c r="T1492" s="6">
        <f t="shared" si="71"/>
        <v>0</v>
      </c>
      <c r="U1492" s="25">
        <f t="shared" si="69"/>
        <v>0</v>
      </c>
    </row>
    <row r="1493" spans="1:21" ht="10.9" customHeight="1" x14ac:dyDescent="0.2">
      <c r="A1493" s="82" t="s">
        <v>2898</v>
      </c>
      <c r="B1493" s="83">
        <v>45842</v>
      </c>
      <c r="C1493" s="82" t="s">
        <v>3395</v>
      </c>
      <c r="D1493" s="82" t="s">
        <v>3507</v>
      </c>
      <c r="E1493" s="82"/>
      <c r="F1493" s="82" t="s">
        <v>5217</v>
      </c>
      <c r="G1493" s="89">
        <v>2</v>
      </c>
      <c r="H1493" s="89">
        <v>8.52</v>
      </c>
      <c r="I1493" s="85">
        <v>0</v>
      </c>
      <c r="J1493" s="85">
        <v>0</v>
      </c>
      <c r="K1493" s="85">
        <v>17.04</v>
      </c>
      <c r="L1493" s="85">
        <v>9714.65</v>
      </c>
      <c r="M1493" s="89">
        <v>11.591710566415603</v>
      </c>
      <c r="N1493" s="85">
        <v>0</v>
      </c>
      <c r="O1493" s="85">
        <v>0</v>
      </c>
      <c r="P1493" s="85">
        <v>23.183421132831207</v>
      </c>
      <c r="Q1493" s="85">
        <v>13217.067025120816</v>
      </c>
      <c r="R1493" s="82" t="s">
        <v>3399</v>
      </c>
      <c r="S1493" s="7">
        <f t="shared" si="70"/>
        <v>0</v>
      </c>
      <c r="T1493" s="6">
        <f t="shared" si="71"/>
        <v>0</v>
      </c>
      <c r="U1493" s="25">
        <f t="shared" si="69"/>
        <v>0</v>
      </c>
    </row>
    <row r="1494" spans="1:21" ht="10.9" customHeight="1" x14ac:dyDescent="0.2">
      <c r="A1494" s="82" t="s">
        <v>2898</v>
      </c>
      <c r="B1494" s="83">
        <v>45842</v>
      </c>
      <c r="C1494" s="82" t="s">
        <v>3395</v>
      </c>
      <c r="D1494" s="82" t="s">
        <v>3507</v>
      </c>
      <c r="E1494" s="82"/>
      <c r="F1494" s="82" t="s">
        <v>5038</v>
      </c>
      <c r="G1494" s="89">
        <v>3</v>
      </c>
      <c r="H1494" s="89">
        <v>43.88</v>
      </c>
      <c r="I1494" s="85">
        <v>0</v>
      </c>
      <c r="J1494" s="85">
        <v>0</v>
      </c>
      <c r="K1494" s="85">
        <v>131.63999999999999</v>
      </c>
      <c r="L1494" s="85">
        <v>9714.65</v>
      </c>
      <c r="M1494" s="89">
        <v>59.700030475858767</v>
      </c>
      <c r="N1494" s="85">
        <v>0</v>
      </c>
      <c r="O1494" s="85">
        <v>0</v>
      </c>
      <c r="P1494" s="85">
        <v>179.1000914275763</v>
      </c>
      <c r="Q1494" s="85">
        <v>13217.067025120816</v>
      </c>
      <c r="R1494" s="82" t="s">
        <v>3399</v>
      </c>
      <c r="S1494" s="7">
        <f t="shared" si="70"/>
        <v>0</v>
      </c>
      <c r="T1494" s="6">
        <f t="shared" si="71"/>
        <v>0</v>
      </c>
      <c r="U1494" s="25">
        <f t="shared" si="69"/>
        <v>0</v>
      </c>
    </row>
    <row r="1495" spans="1:21" ht="10.9" customHeight="1" x14ac:dyDescent="0.2">
      <c r="A1495" s="82" t="s">
        <v>2900</v>
      </c>
      <c r="B1495" s="83">
        <v>45842</v>
      </c>
      <c r="C1495" s="82" t="s">
        <v>3395</v>
      </c>
      <c r="D1495" s="82" t="s">
        <v>1164</v>
      </c>
      <c r="E1495" s="82"/>
      <c r="F1495" s="82" t="s">
        <v>5227</v>
      </c>
      <c r="G1495" s="89">
        <v>1</v>
      </c>
      <c r="H1495" s="89">
        <v>648.91999999999996</v>
      </c>
      <c r="I1495" s="85">
        <v>0</v>
      </c>
      <c r="J1495" s="85">
        <v>0</v>
      </c>
      <c r="K1495" s="85">
        <v>648.91999999999996</v>
      </c>
      <c r="L1495" s="85">
        <v>6010.3</v>
      </c>
      <c r="M1495" s="89">
        <v>882.87474422047103</v>
      </c>
      <c r="N1495" s="85">
        <v>0</v>
      </c>
      <c r="O1495" s="85">
        <v>0</v>
      </c>
      <c r="P1495" s="85">
        <v>882.87474422047103</v>
      </c>
      <c r="Q1495" s="85">
        <v>8177.1899081370539</v>
      </c>
      <c r="R1495" s="82" t="s">
        <v>3399</v>
      </c>
      <c r="S1495" s="7">
        <f t="shared" si="70"/>
        <v>0</v>
      </c>
      <c r="T1495" s="6">
        <f t="shared" si="71"/>
        <v>0</v>
      </c>
      <c r="U1495" s="25">
        <f t="shared" si="69"/>
        <v>0</v>
      </c>
    </row>
    <row r="1496" spans="1:21" ht="10.9" customHeight="1" x14ac:dyDescent="0.2">
      <c r="A1496" s="82" t="s">
        <v>2900</v>
      </c>
      <c r="B1496" s="83">
        <v>45842</v>
      </c>
      <c r="C1496" s="82" t="s">
        <v>3395</v>
      </c>
      <c r="D1496" s="82" t="s">
        <v>1164</v>
      </c>
      <c r="E1496" s="82"/>
      <c r="F1496" s="82" t="s">
        <v>5226</v>
      </c>
      <c r="G1496" s="89">
        <v>1</v>
      </c>
      <c r="H1496" s="89">
        <v>371.92</v>
      </c>
      <c r="I1496" s="85">
        <v>0</v>
      </c>
      <c r="J1496" s="85">
        <v>0</v>
      </c>
      <c r="K1496" s="85">
        <v>371.92</v>
      </c>
      <c r="L1496" s="85">
        <v>6010.3</v>
      </c>
      <c r="M1496" s="89">
        <v>506.00809787104356</v>
      </c>
      <c r="N1496" s="85">
        <v>0</v>
      </c>
      <c r="O1496" s="85">
        <v>0</v>
      </c>
      <c r="P1496" s="85">
        <v>506.00809787104356</v>
      </c>
      <c r="Q1496" s="85">
        <v>8177.1899081370539</v>
      </c>
      <c r="R1496" s="82" t="s">
        <v>3399</v>
      </c>
      <c r="S1496" s="7">
        <f t="shared" si="70"/>
        <v>0</v>
      </c>
      <c r="T1496" s="6">
        <f t="shared" si="71"/>
        <v>0</v>
      </c>
      <c r="U1496" s="25">
        <f t="shared" si="69"/>
        <v>0</v>
      </c>
    </row>
    <row r="1497" spans="1:21" ht="10.9" customHeight="1" x14ac:dyDescent="0.2">
      <c r="A1497" s="82" t="s">
        <v>2900</v>
      </c>
      <c r="B1497" s="83">
        <v>45842</v>
      </c>
      <c r="C1497" s="82" t="s">
        <v>3395</v>
      </c>
      <c r="D1497" s="82" t="s">
        <v>1164</v>
      </c>
      <c r="E1497" s="82"/>
      <c r="F1497" s="82" t="s">
        <v>5225</v>
      </c>
      <c r="G1497" s="89">
        <v>1</v>
      </c>
      <c r="H1497" s="89">
        <v>487.29</v>
      </c>
      <c r="I1497" s="85">
        <v>0</v>
      </c>
      <c r="J1497" s="85">
        <v>0</v>
      </c>
      <c r="K1497" s="85">
        <v>487.29</v>
      </c>
      <c r="L1497" s="85">
        <v>6010.3</v>
      </c>
      <c r="M1497" s="89">
        <v>662.97237581087552</v>
      </c>
      <c r="N1497" s="85">
        <v>0</v>
      </c>
      <c r="O1497" s="85">
        <v>0</v>
      </c>
      <c r="P1497" s="85">
        <v>662.97237581087552</v>
      </c>
      <c r="Q1497" s="85">
        <v>8177.1899081370539</v>
      </c>
      <c r="R1497" s="82" t="s">
        <v>3399</v>
      </c>
      <c r="S1497" s="7">
        <f t="shared" si="70"/>
        <v>0</v>
      </c>
      <c r="T1497" s="6">
        <f t="shared" si="71"/>
        <v>0</v>
      </c>
      <c r="U1497" s="25">
        <f t="shared" si="69"/>
        <v>0</v>
      </c>
    </row>
    <row r="1498" spans="1:21" ht="10.9" customHeight="1" x14ac:dyDescent="0.2">
      <c r="A1498" s="82" t="s">
        <v>2900</v>
      </c>
      <c r="B1498" s="83">
        <v>45842</v>
      </c>
      <c r="C1498" s="82" t="s">
        <v>3395</v>
      </c>
      <c r="D1498" s="82" t="s">
        <v>1164</v>
      </c>
      <c r="E1498" s="82"/>
      <c r="F1498" s="82" t="s">
        <v>5224</v>
      </c>
      <c r="G1498" s="89">
        <v>1</v>
      </c>
      <c r="H1498" s="89">
        <v>474.58</v>
      </c>
      <c r="I1498" s="85">
        <v>0</v>
      </c>
      <c r="J1498" s="85">
        <v>0</v>
      </c>
      <c r="K1498" s="85">
        <v>474.58</v>
      </c>
      <c r="L1498" s="85">
        <v>6010.3</v>
      </c>
      <c r="M1498" s="89">
        <v>645.68004701989639</v>
      </c>
      <c r="N1498" s="85">
        <v>0</v>
      </c>
      <c r="O1498" s="85">
        <v>0</v>
      </c>
      <c r="P1498" s="85">
        <v>645.68004701989639</v>
      </c>
      <c r="Q1498" s="85">
        <v>8177.1899081370539</v>
      </c>
      <c r="R1498" s="82" t="s">
        <v>3399</v>
      </c>
      <c r="S1498" s="7">
        <f t="shared" si="70"/>
        <v>0</v>
      </c>
      <c r="T1498" s="6">
        <f t="shared" si="71"/>
        <v>0</v>
      </c>
      <c r="U1498" s="25">
        <f t="shared" si="69"/>
        <v>0</v>
      </c>
    </row>
    <row r="1499" spans="1:21" ht="10.9" customHeight="1" x14ac:dyDescent="0.2">
      <c r="A1499" s="82" t="s">
        <v>2900</v>
      </c>
      <c r="B1499" s="83">
        <v>45842</v>
      </c>
      <c r="C1499" s="82" t="s">
        <v>3395</v>
      </c>
      <c r="D1499" s="82" t="s">
        <v>1164</v>
      </c>
      <c r="E1499" s="82"/>
      <c r="F1499" s="82" t="s">
        <v>5223</v>
      </c>
      <c r="G1499" s="89">
        <v>1</v>
      </c>
      <c r="H1499" s="89">
        <v>14.25</v>
      </c>
      <c r="I1499" s="85">
        <v>0</v>
      </c>
      <c r="J1499" s="85">
        <v>0</v>
      </c>
      <c r="K1499" s="85">
        <v>14.25</v>
      </c>
      <c r="L1499" s="85">
        <v>6010.3</v>
      </c>
      <c r="M1499" s="89">
        <v>19.387544081152857</v>
      </c>
      <c r="N1499" s="85">
        <v>0</v>
      </c>
      <c r="O1499" s="85">
        <v>0</v>
      </c>
      <c r="P1499" s="85">
        <v>19.387544081152857</v>
      </c>
      <c r="Q1499" s="85">
        <v>8177.1899081370539</v>
      </c>
      <c r="R1499" s="82" t="s">
        <v>3399</v>
      </c>
      <c r="S1499" s="7">
        <f t="shared" si="70"/>
        <v>0</v>
      </c>
      <c r="T1499" s="6">
        <f t="shared" si="71"/>
        <v>0</v>
      </c>
      <c r="U1499" s="25">
        <f t="shared" si="69"/>
        <v>0</v>
      </c>
    </row>
    <row r="1500" spans="1:21" ht="10.9" customHeight="1" x14ac:dyDescent="0.2">
      <c r="A1500" s="82" t="s">
        <v>2900</v>
      </c>
      <c r="B1500" s="83">
        <v>45842</v>
      </c>
      <c r="C1500" s="82" t="s">
        <v>3395</v>
      </c>
      <c r="D1500" s="82" t="s">
        <v>1164</v>
      </c>
      <c r="E1500" s="82"/>
      <c r="F1500" s="82" t="s">
        <v>5222</v>
      </c>
      <c r="G1500" s="89">
        <v>1</v>
      </c>
      <c r="H1500" s="89">
        <v>1996.17</v>
      </c>
      <c r="I1500" s="85">
        <v>0</v>
      </c>
      <c r="J1500" s="85">
        <v>0</v>
      </c>
      <c r="K1500" s="85">
        <v>1996.17</v>
      </c>
      <c r="L1500" s="85">
        <v>6010.3</v>
      </c>
      <c r="M1500" s="89">
        <v>2715.8479907701685</v>
      </c>
      <c r="N1500" s="85">
        <v>0</v>
      </c>
      <c r="O1500" s="85">
        <v>0</v>
      </c>
      <c r="P1500" s="85">
        <v>2715.8479907701685</v>
      </c>
      <c r="Q1500" s="85">
        <v>8177.1899081370539</v>
      </c>
      <c r="R1500" s="82" t="s">
        <v>3399</v>
      </c>
      <c r="S1500" s="7">
        <f t="shared" si="70"/>
        <v>0</v>
      </c>
      <c r="T1500" s="6">
        <f t="shared" si="71"/>
        <v>0</v>
      </c>
      <c r="U1500" s="25">
        <f t="shared" si="69"/>
        <v>0</v>
      </c>
    </row>
    <row r="1501" spans="1:21" ht="10.9" customHeight="1" x14ac:dyDescent="0.2">
      <c r="A1501" s="82" t="s">
        <v>2900</v>
      </c>
      <c r="B1501" s="83">
        <v>45842</v>
      </c>
      <c r="C1501" s="82" t="s">
        <v>3395</v>
      </c>
      <c r="D1501" s="82" t="s">
        <v>1164</v>
      </c>
      <c r="E1501" s="82"/>
      <c r="F1501" s="82" t="s">
        <v>5221</v>
      </c>
      <c r="G1501" s="89">
        <v>3</v>
      </c>
      <c r="H1501" s="89">
        <v>9.1</v>
      </c>
      <c r="I1501" s="85">
        <v>0</v>
      </c>
      <c r="J1501" s="85">
        <v>0</v>
      </c>
      <c r="K1501" s="85">
        <v>27.3</v>
      </c>
      <c r="L1501" s="85">
        <v>6010.3</v>
      </c>
      <c r="M1501" s="89">
        <v>12.380817623753755</v>
      </c>
      <c r="N1501" s="85">
        <v>0</v>
      </c>
      <c r="O1501" s="85">
        <v>0</v>
      </c>
      <c r="P1501" s="85">
        <v>37.142452871261263</v>
      </c>
      <c r="Q1501" s="85">
        <v>8177.1899081370539</v>
      </c>
      <c r="R1501" s="82" t="s">
        <v>3399</v>
      </c>
      <c r="S1501" s="7">
        <f t="shared" si="70"/>
        <v>0</v>
      </c>
      <c r="T1501" s="6">
        <f t="shared" si="71"/>
        <v>0</v>
      </c>
      <c r="U1501" s="25">
        <f t="shared" si="69"/>
        <v>0</v>
      </c>
    </row>
    <row r="1502" spans="1:21" ht="10.9" customHeight="1" x14ac:dyDescent="0.2">
      <c r="A1502" s="82" t="s">
        <v>2900</v>
      </c>
      <c r="B1502" s="83">
        <v>45842</v>
      </c>
      <c r="C1502" s="82" t="s">
        <v>3395</v>
      </c>
      <c r="D1502" s="82" t="s">
        <v>1164</v>
      </c>
      <c r="E1502" s="82"/>
      <c r="F1502" s="82" t="s">
        <v>5220</v>
      </c>
      <c r="G1502" s="89">
        <v>1</v>
      </c>
      <c r="H1502" s="89">
        <v>224.89</v>
      </c>
      <c r="I1502" s="85">
        <v>0</v>
      </c>
      <c r="J1502" s="85">
        <v>0</v>
      </c>
      <c r="K1502" s="85">
        <v>224.89</v>
      </c>
      <c r="L1502" s="85">
        <v>6010.3</v>
      </c>
      <c r="M1502" s="89">
        <v>305.96945883582219</v>
      </c>
      <c r="N1502" s="85">
        <v>0</v>
      </c>
      <c r="O1502" s="85">
        <v>0</v>
      </c>
      <c r="P1502" s="85">
        <v>305.96945883582219</v>
      </c>
      <c r="Q1502" s="85">
        <v>8177.1899081370539</v>
      </c>
      <c r="R1502" s="82" t="s">
        <v>3399</v>
      </c>
      <c r="S1502" s="7">
        <f t="shared" si="70"/>
        <v>0</v>
      </c>
      <c r="T1502" s="6">
        <f t="shared" si="71"/>
        <v>0</v>
      </c>
      <c r="U1502" s="25">
        <f t="shared" si="69"/>
        <v>0</v>
      </c>
    </row>
    <row r="1503" spans="1:21" ht="10.9" customHeight="1" x14ac:dyDescent="0.2">
      <c r="A1503" s="82" t="s">
        <v>2900</v>
      </c>
      <c r="B1503" s="83">
        <v>45842</v>
      </c>
      <c r="C1503" s="82" t="s">
        <v>3395</v>
      </c>
      <c r="D1503" s="82" t="s">
        <v>1164</v>
      </c>
      <c r="E1503" s="82"/>
      <c r="F1503" s="82" t="s">
        <v>5219</v>
      </c>
      <c r="G1503" s="89">
        <v>1</v>
      </c>
      <c r="H1503" s="89">
        <v>24.49</v>
      </c>
      <c r="I1503" s="85">
        <v>0</v>
      </c>
      <c r="J1503" s="85">
        <v>0</v>
      </c>
      <c r="K1503" s="85">
        <v>24.49</v>
      </c>
      <c r="L1503" s="85">
        <v>6010.3</v>
      </c>
      <c r="M1503" s="89">
        <v>33.319365231398841</v>
      </c>
      <c r="N1503" s="85">
        <v>0</v>
      </c>
      <c r="O1503" s="85">
        <v>0</v>
      </c>
      <c r="P1503" s="85">
        <v>33.319365231398841</v>
      </c>
      <c r="Q1503" s="85">
        <v>8177.1899081370539</v>
      </c>
      <c r="R1503" s="82" t="s">
        <v>3399</v>
      </c>
      <c r="S1503" s="7">
        <f t="shared" si="70"/>
        <v>0</v>
      </c>
      <c r="T1503" s="6">
        <f t="shared" si="71"/>
        <v>0</v>
      </c>
      <c r="U1503" s="25">
        <f t="shared" si="69"/>
        <v>0</v>
      </c>
    </row>
    <row r="1504" spans="1:21" ht="10.9" customHeight="1" x14ac:dyDescent="0.2">
      <c r="A1504" s="82" t="s">
        <v>2900</v>
      </c>
      <c r="B1504" s="83">
        <v>45842</v>
      </c>
      <c r="C1504" s="82" t="s">
        <v>3395</v>
      </c>
      <c r="D1504" s="82" t="s">
        <v>1164</v>
      </c>
      <c r="E1504" s="82"/>
      <c r="F1504" s="82" t="s">
        <v>5042</v>
      </c>
      <c r="G1504" s="89">
        <v>1</v>
      </c>
      <c r="H1504" s="89">
        <v>1316.97</v>
      </c>
      <c r="I1504" s="85">
        <v>0</v>
      </c>
      <c r="J1504" s="85">
        <v>0</v>
      </c>
      <c r="K1504" s="85">
        <v>1316.97</v>
      </c>
      <c r="L1504" s="85">
        <v>6010.3</v>
      </c>
      <c r="M1504" s="89">
        <v>1791.7764160390091</v>
      </c>
      <c r="N1504" s="85">
        <v>0</v>
      </c>
      <c r="O1504" s="85">
        <v>0</v>
      </c>
      <c r="P1504" s="85">
        <v>1791.7764160390091</v>
      </c>
      <c r="Q1504" s="85">
        <v>8177.1899081370539</v>
      </c>
      <c r="R1504" s="82" t="s">
        <v>3399</v>
      </c>
      <c r="S1504" s="7">
        <f t="shared" si="70"/>
        <v>0</v>
      </c>
      <c r="T1504" s="6">
        <f t="shared" si="71"/>
        <v>0</v>
      </c>
      <c r="U1504" s="25">
        <f t="shared" si="69"/>
        <v>0</v>
      </c>
    </row>
    <row r="1505" spans="1:21" ht="10.9" customHeight="1" x14ac:dyDescent="0.2">
      <c r="A1505" s="82" t="s">
        <v>2900</v>
      </c>
      <c r="B1505" s="83">
        <v>45842</v>
      </c>
      <c r="C1505" s="82" t="s">
        <v>3395</v>
      </c>
      <c r="D1505" s="82" t="s">
        <v>1164</v>
      </c>
      <c r="E1505" s="82"/>
      <c r="F1505" s="82" t="s">
        <v>5218</v>
      </c>
      <c r="G1505" s="89">
        <v>1</v>
      </c>
      <c r="H1505" s="89">
        <v>259.88</v>
      </c>
      <c r="I1505" s="85">
        <v>0</v>
      </c>
      <c r="J1505" s="85">
        <v>0</v>
      </c>
      <c r="K1505" s="85">
        <v>259.88</v>
      </c>
      <c r="L1505" s="85">
        <v>6010.3</v>
      </c>
      <c r="M1505" s="89">
        <v>353.57438286385997</v>
      </c>
      <c r="N1505" s="85">
        <v>0</v>
      </c>
      <c r="O1505" s="85">
        <v>0</v>
      </c>
      <c r="P1505" s="85">
        <v>353.57438286385997</v>
      </c>
      <c r="Q1505" s="85">
        <v>8177.1899081370539</v>
      </c>
      <c r="R1505" s="82" t="s">
        <v>3399</v>
      </c>
      <c r="S1505" s="7">
        <f t="shared" si="70"/>
        <v>0</v>
      </c>
      <c r="T1505" s="6">
        <f t="shared" si="71"/>
        <v>0</v>
      </c>
      <c r="U1505" s="25">
        <f t="shared" si="69"/>
        <v>0</v>
      </c>
    </row>
    <row r="1506" spans="1:21" ht="10.9" customHeight="1" x14ac:dyDescent="0.2">
      <c r="A1506" s="82" t="s">
        <v>2900</v>
      </c>
      <c r="B1506" s="83">
        <v>45842</v>
      </c>
      <c r="C1506" s="82" t="s">
        <v>3395</v>
      </c>
      <c r="D1506" s="82" t="s">
        <v>1164</v>
      </c>
      <c r="E1506" s="82"/>
      <c r="F1506" s="82" t="s">
        <v>5041</v>
      </c>
      <c r="G1506" s="89">
        <v>2</v>
      </c>
      <c r="H1506" s="89">
        <v>27.39</v>
      </c>
      <c r="I1506" s="85">
        <v>0</v>
      </c>
      <c r="J1506" s="85">
        <v>0</v>
      </c>
      <c r="K1506" s="85">
        <v>54.78</v>
      </c>
      <c r="L1506" s="85">
        <v>6010.3</v>
      </c>
      <c r="M1506" s="89">
        <v>37.264900518089597</v>
      </c>
      <c r="N1506" s="85">
        <v>0</v>
      </c>
      <c r="O1506" s="85">
        <v>0</v>
      </c>
      <c r="P1506" s="85">
        <v>74.529801036179194</v>
      </c>
      <c r="Q1506" s="85">
        <v>8177.1899081370539</v>
      </c>
      <c r="R1506" s="82" t="s">
        <v>3399</v>
      </c>
      <c r="S1506" s="7">
        <f t="shared" si="70"/>
        <v>0</v>
      </c>
      <c r="T1506" s="6">
        <f t="shared" si="71"/>
        <v>0</v>
      </c>
      <c r="U1506" s="25">
        <f t="shared" si="69"/>
        <v>0</v>
      </c>
    </row>
    <row r="1507" spans="1:21" ht="10.9" customHeight="1" x14ac:dyDescent="0.2">
      <c r="A1507" s="82" t="s">
        <v>2900</v>
      </c>
      <c r="B1507" s="83">
        <v>45842</v>
      </c>
      <c r="C1507" s="82" t="s">
        <v>3395</v>
      </c>
      <c r="D1507" s="82" t="s">
        <v>1164</v>
      </c>
      <c r="E1507" s="82"/>
      <c r="F1507" s="82" t="s">
        <v>5217</v>
      </c>
      <c r="G1507" s="89">
        <v>2</v>
      </c>
      <c r="H1507" s="89">
        <v>8.52</v>
      </c>
      <c r="I1507" s="85">
        <v>0</v>
      </c>
      <c r="J1507" s="85">
        <v>0</v>
      </c>
      <c r="K1507" s="85">
        <v>17.04</v>
      </c>
      <c r="L1507" s="85">
        <v>6010.3</v>
      </c>
      <c r="M1507" s="89">
        <v>11.591710566415603</v>
      </c>
      <c r="N1507" s="85">
        <v>0</v>
      </c>
      <c r="O1507" s="85">
        <v>0</v>
      </c>
      <c r="P1507" s="85">
        <v>23.183421132831207</v>
      </c>
      <c r="Q1507" s="85">
        <v>8177.1899081370539</v>
      </c>
      <c r="R1507" s="82" t="s">
        <v>3399</v>
      </c>
      <c r="S1507" s="7">
        <f t="shared" si="70"/>
        <v>0</v>
      </c>
      <c r="T1507" s="6">
        <f t="shared" si="71"/>
        <v>0</v>
      </c>
      <c r="U1507" s="25">
        <f t="shared" si="69"/>
        <v>0</v>
      </c>
    </row>
    <row r="1508" spans="1:21" ht="10.9" customHeight="1" x14ac:dyDescent="0.2">
      <c r="A1508" s="82" t="s">
        <v>2900</v>
      </c>
      <c r="B1508" s="83">
        <v>45842</v>
      </c>
      <c r="C1508" s="82" t="s">
        <v>3395</v>
      </c>
      <c r="D1508" s="82" t="s">
        <v>1164</v>
      </c>
      <c r="E1508" s="82"/>
      <c r="F1508" s="82" t="s">
        <v>5216</v>
      </c>
      <c r="G1508" s="89">
        <v>1</v>
      </c>
      <c r="H1508" s="89">
        <v>91.82</v>
      </c>
      <c r="I1508" s="85">
        <v>0</v>
      </c>
      <c r="J1508" s="85">
        <v>0</v>
      </c>
      <c r="K1508" s="85">
        <v>91.82</v>
      </c>
      <c r="L1508" s="85">
        <v>6010.3</v>
      </c>
      <c r="M1508" s="89">
        <v>124.92381035308459</v>
      </c>
      <c r="N1508" s="85">
        <v>0</v>
      </c>
      <c r="O1508" s="85">
        <v>0</v>
      </c>
      <c r="P1508" s="85">
        <v>124.92381035308459</v>
      </c>
      <c r="Q1508" s="85">
        <v>8177.1899081370539</v>
      </c>
      <c r="R1508" s="82" t="s">
        <v>3399</v>
      </c>
      <c r="S1508" s="7">
        <f t="shared" si="70"/>
        <v>0</v>
      </c>
      <c r="T1508" s="6">
        <f t="shared" si="71"/>
        <v>0</v>
      </c>
      <c r="U1508" s="25">
        <f t="shared" si="69"/>
        <v>0</v>
      </c>
    </row>
    <row r="1509" spans="1:21" ht="10.9" customHeight="1" x14ac:dyDescent="0.2">
      <c r="A1509" s="82" t="s">
        <v>2924</v>
      </c>
      <c r="B1509" s="83">
        <v>45842</v>
      </c>
      <c r="C1509" s="82" t="s">
        <v>3395</v>
      </c>
      <c r="D1509" s="82" t="s">
        <v>1125</v>
      </c>
      <c r="E1509" s="82"/>
      <c r="F1509" s="82" t="s">
        <v>4745</v>
      </c>
      <c r="G1509" s="89">
        <v>1</v>
      </c>
      <c r="H1509" s="89">
        <v>3446.95</v>
      </c>
      <c r="I1509" s="85">
        <v>0</v>
      </c>
      <c r="J1509" s="85">
        <v>172.35</v>
      </c>
      <c r="K1509" s="85">
        <v>3619.3</v>
      </c>
      <c r="L1509" s="85">
        <v>8019.36</v>
      </c>
      <c r="M1509" s="89">
        <v>3446.95</v>
      </c>
      <c r="N1509" s="85">
        <v>0</v>
      </c>
      <c r="O1509" s="85">
        <v>172.35</v>
      </c>
      <c r="P1509" s="85">
        <v>3619.3</v>
      </c>
      <c r="Q1509" s="85">
        <v>8019.36</v>
      </c>
      <c r="R1509" s="82" t="s">
        <v>3399</v>
      </c>
      <c r="S1509" s="7">
        <f t="shared" si="70"/>
        <v>0</v>
      </c>
      <c r="T1509" s="6">
        <f t="shared" si="71"/>
        <v>0</v>
      </c>
      <c r="U1509" s="25">
        <f t="shared" si="69"/>
        <v>0</v>
      </c>
    </row>
    <row r="1510" spans="1:21" ht="10.9" customHeight="1" x14ac:dyDescent="0.2">
      <c r="A1510" s="82" t="s">
        <v>2924</v>
      </c>
      <c r="B1510" s="83">
        <v>45842</v>
      </c>
      <c r="C1510" s="82" t="s">
        <v>3395</v>
      </c>
      <c r="D1510" s="82" t="s">
        <v>1125</v>
      </c>
      <c r="E1510" s="82"/>
      <c r="F1510" s="82" t="s">
        <v>5215</v>
      </c>
      <c r="G1510" s="89">
        <v>1</v>
      </c>
      <c r="H1510" s="89">
        <v>4190.53</v>
      </c>
      <c r="I1510" s="85">
        <v>0</v>
      </c>
      <c r="J1510" s="85">
        <v>209.53</v>
      </c>
      <c r="K1510" s="85">
        <v>4400.0600000000004</v>
      </c>
      <c r="L1510" s="85">
        <v>8019.36</v>
      </c>
      <c r="M1510" s="89">
        <v>4190.53</v>
      </c>
      <c r="N1510" s="85">
        <v>0</v>
      </c>
      <c r="O1510" s="85">
        <v>209.53</v>
      </c>
      <c r="P1510" s="85">
        <v>4400.0600000000004</v>
      </c>
      <c r="Q1510" s="85">
        <v>8019.36</v>
      </c>
      <c r="R1510" s="82" t="s">
        <v>3399</v>
      </c>
      <c r="S1510" s="7">
        <f t="shared" si="70"/>
        <v>0</v>
      </c>
      <c r="T1510" s="6">
        <f t="shared" si="71"/>
        <v>0</v>
      </c>
      <c r="U1510" s="25">
        <f t="shared" si="69"/>
        <v>0</v>
      </c>
    </row>
    <row r="1511" spans="1:21" ht="10.9" customHeight="1" x14ac:dyDescent="0.2">
      <c r="A1511" s="82" t="s">
        <v>2932</v>
      </c>
      <c r="B1511" s="83">
        <v>45842</v>
      </c>
      <c r="C1511" s="82" t="s">
        <v>3395</v>
      </c>
      <c r="D1511" s="82" t="s">
        <v>1113</v>
      </c>
      <c r="E1511" s="82"/>
      <c r="F1511" s="82" t="s">
        <v>4532</v>
      </c>
      <c r="G1511" s="89">
        <v>2</v>
      </c>
      <c r="H1511" s="89">
        <v>98.48</v>
      </c>
      <c r="I1511" s="85">
        <v>0</v>
      </c>
      <c r="J1511" s="85">
        <v>9.85</v>
      </c>
      <c r="K1511" s="85">
        <v>206.81</v>
      </c>
      <c r="L1511" s="85">
        <v>206.81</v>
      </c>
      <c r="M1511" s="89">
        <v>98.48</v>
      </c>
      <c r="N1511" s="85">
        <v>0</v>
      </c>
      <c r="O1511" s="85">
        <v>9.85</v>
      </c>
      <c r="P1511" s="85">
        <v>206.81</v>
      </c>
      <c r="Q1511" s="85">
        <v>206.81</v>
      </c>
      <c r="R1511" s="82" t="s">
        <v>3399</v>
      </c>
      <c r="S1511" s="7">
        <f t="shared" si="70"/>
        <v>0</v>
      </c>
      <c r="T1511" s="6">
        <f t="shared" si="71"/>
        <v>0</v>
      </c>
      <c r="U1511" s="25">
        <f t="shared" si="69"/>
        <v>0</v>
      </c>
    </row>
    <row r="1512" spans="1:21" ht="10.9" customHeight="1" x14ac:dyDescent="0.2">
      <c r="A1512" s="82"/>
      <c r="B1512" s="83">
        <v>45842</v>
      </c>
      <c r="C1512" s="82" t="s">
        <v>3423</v>
      </c>
      <c r="D1512" s="82" t="s">
        <v>1135</v>
      </c>
      <c r="E1512" s="82"/>
      <c r="F1512" s="82" t="s">
        <v>1135</v>
      </c>
      <c r="G1512" s="89">
        <v>-1</v>
      </c>
      <c r="H1512" s="89">
        <v>1976.69</v>
      </c>
      <c r="I1512" s="85">
        <v>0</v>
      </c>
      <c r="J1512" s="85">
        <v>0</v>
      </c>
      <c r="K1512" s="85">
        <v>-1976.69</v>
      </c>
      <c r="L1512" s="85">
        <v>-1976.69</v>
      </c>
      <c r="M1512" s="89">
        <v>1976.69</v>
      </c>
      <c r="N1512" s="85">
        <v>0</v>
      </c>
      <c r="O1512" s="85">
        <v>0</v>
      </c>
      <c r="P1512" s="85">
        <v>-1976.69</v>
      </c>
      <c r="Q1512" s="85">
        <v>-1976.69</v>
      </c>
      <c r="R1512" s="82" t="s">
        <v>3399</v>
      </c>
      <c r="S1512" s="7">
        <f t="shared" si="70"/>
        <v>0</v>
      </c>
      <c r="T1512" s="6">
        <f t="shared" si="71"/>
        <v>0</v>
      </c>
      <c r="U1512" s="25">
        <f t="shared" si="69"/>
        <v>0</v>
      </c>
    </row>
    <row r="1513" spans="1:21" ht="10.9" customHeight="1" x14ac:dyDescent="0.2">
      <c r="A1513" s="82" t="s">
        <v>2416</v>
      </c>
      <c r="B1513" s="83">
        <v>45845</v>
      </c>
      <c r="C1513" s="82" t="s">
        <v>3395</v>
      </c>
      <c r="D1513" s="82" t="s">
        <v>2018</v>
      </c>
      <c r="E1513" s="82"/>
      <c r="F1513" s="82" t="s">
        <v>5214</v>
      </c>
      <c r="G1513" s="89">
        <v>1</v>
      </c>
      <c r="H1513" s="89">
        <v>28632.45</v>
      </c>
      <c r="I1513" s="85">
        <v>0</v>
      </c>
      <c r="J1513" s="85">
        <v>0</v>
      </c>
      <c r="K1513" s="85">
        <v>28632.45</v>
      </c>
      <c r="L1513" s="85">
        <v>28632.45</v>
      </c>
      <c r="M1513" s="89">
        <v>39094.166142133297</v>
      </c>
      <c r="N1513" s="85">
        <v>0</v>
      </c>
      <c r="O1513" s="85">
        <v>0</v>
      </c>
      <c r="P1513" s="85">
        <v>39094.166142133297</v>
      </c>
      <c r="Q1513" s="85">
        <v>39094.166142133297</v>
      </c>
      <c r="R1513" s="82" t="s">
        <v>3399</v>
      </c>
      <c r="S1513" s="7">
        <f t="shared" si="70"/>
        <v>0</v>
      </c>
      <c r="T1513" s="6">
        <f t="shared" si="71"/>
        <v>0</v>
      </c>
      <c r="U1513" s="25">
        <f t="shared" si="69"/>
        <v>0</v>
      </c>
    </row>
    <row r="1514" spans="1:21" ht="10.9" customHeight="1" x14ac:dyDescent="0.2">
      <c r="A1514" s="82" t="s">
        <v>2427</v>
      </c>
      <c r="B1514" s="83">
        <v>45845</v>
      </c>
      <c r="C1514" s="82" t="s">
        <v>3395</v>
      </c>
      <c r="D1514" s="82" t="s">
        <v>1998</v>
      </c>
      <c r="E1514" s="82"/>
      <c r="F1514" s="82" t="s">
        <v>5213</v>
      </c>
      <c r="G1514" s="89">
        <v>1</v>
      </c>
      <c r="H1514" s="89">
        <v>1778.05</v>
      </c>
      <c r="I1514" s="85">
        <v>0</v>
      </c>
      <c r="J1514" s="85">
        <v>0</v>
      </c>
      <c r="K1514" s="85">
        <v>1778.05</v>
      </c>
      <c r="L1514" s="85">
        <v>1778.05</v>
      </c>
      <c r="M1514" s="89">
        <v>2427.7133849537886</v>
      </c>
      <c r="N1514" s="85">
        <v>0</v>
      </c>
      <c r="O1514" s="85">
        <v>0</v>
      </c>
      <c r="P1514" s="85">
        <v>2427.7133849537886</v>
      </c>
      <c r="Q1514" s="85">
        <v>2427.7133849537886</v>
      </c>
      <c r="R1514" s="82" t="s">
        <v>3399</v>
      </c>
      <c r="S1514" s="7">
        <f t="shared" si="70"/>
        <v>0</v>
      </c>
      <c r="T1514" s="6">
        <f t="shared" si="71"/>
        <v>0</v>
      </c>
      <c r="U1514" s="25">
        <f t="shared" si="69"/>
        <v>0</v>
      </c>
    </row>
    <row r="1515" spans="1:21" ht="10.9" customHeight="1" x14ac:dyDescent="0.2">
      <c r="A1515" s="82" t="s">
        <v>2935</v>
      </c>
      <c r="B1515" s="83">
        <v>45846</v>
      </c>
      <c r="C1515" s="82" t="s">
        <v>3395</v>
      </c>
      <c r="D1515" s="82" t="s">
        <v>1109</v>
      </c>
      <c r="E1515" s="82"/>
      <c r="F1515" s="82" t="s">
        <v>5211</v>
      </c>
      <c r="G1515" s="89">
        <v>1</v>
      </c>
      <c r="H1515" s="89">
        <v>2041</v>
      </c>
      <c r="I1515" s="85">
        <v>0</v>
      </c>
      <c r="J1515" s="85">
        <v>102.05</v>
      </c>
      <c r="K1515" s="85">
        <v>2143.0500000000002</v>
      </c>
      <c r="L1515" s="85">
        <v>2143.0500000000002</v>
      </c>
      <c r="M1515" s="89">
        <v>2041</v>
      </c>
      <c r="N1515" s="85">
        <v>0</v>
      </c>
      <c r="O1515" s="85">
        <v>102.05</v>
      </c>
      <c r="P1515" s="85">
        <v>2143.0500000000002</v>
      </c>
      <c r="Q1515" s="85">
        <v>2143.0500000000002</v>
      </c>
      <c r="R1515" s="82" t="s">
        <v>3399</v>
      </c>
      <c r="S1515" s="7">
        <f t="shared" si="70"/>
        <v>0</v>
      </c>
      <c r="T1515" s="6">
        <f t="shared" si="71"/>
        <v>0</v>
      </c>
      <c r="U1515" s="25">
        <f t="shared" si="69"/>
        <v>0</v>
      </c>
    </row>
    <row r="1516" spans="1:21" ht="10.9" customHeight="1" x14ac:dyDescent="0.2">
      <c r="A1516" s="82" t="s">
        <v>2917</v>
      </c>
      <c r="B1516" s="83">
        <v>45846</v>
      </c>
      <c r="C1516" s="82" t="s">
        <v>3395</v>
      </c>
      <c r="D1516" s="82" t="s">
        <v>1136</v>
      </c>
      <c r="E1516" s="82"/>
      <c r="F1516" s="82" t="s">
        <v>5212</v>
      </c>
      <c r="G1516" s="89">
        <v>1</v>
      </c>
      <c r="H1516" s="89">
        <v>1749.28</v>
      </c>
      <c r="I1516" s="85">
        <v>0</v>
      </c>
      <c r="J1516" s="85">
        <v>227.41</v>
      </c>
      <c r="K1516" s="85">
        <v>1976.69</v>
      </c>
      <c r="L1516" s="85">
        <v>1976.69</v>
      </c>
      <c r="M1516" s="89">
        <v>1749.28</v>
      </c>
      <c r="N1516" s="85">
        <v>0</v>
      </c>
      <c r="O1516" s="85">
        <v>227.41</v>
      </c>
      <c r="P1516" s="85">
        <v>1976.69</v>
      </c>
      <c r="Q1516" s="85">
        <v>1976.69</v>
      </c>
      <c r="R1516" s="82" t="s">
        <v>3399</v>
      </c>
      <c r="S1516" s="7">
        <f t="shared" si="70"/>
        <v>0</v>
      </c>
      <c r="T1516" s="6">
        <f t="shared" si="71"/>
        <v>0</v>
      </c>
      <c r="U1516" s="25">
        <f t="shared" si="69"/>
        <v>0</v>
      </c>
    </row>
    <row r="1517" spans="1:21" ht="10.9" customHeight="1" x14ac:dyDescent="0.2">
      <c r="A1517" s="82" t="s">
        <v>2940</v>
      </c>
      <c r="B1517" s="83">
        <v>45847</v>
      </c>
      <c r="C1517" s="82" t="s">
        <v>3395</v>
      </c>
      <c r="D1517" s="82" t="s">
        <v>1099</v>
      </c>
      <c r="E1517" s="82"/>
      <c r="F1517" s="82" t="s">
        <v>5209</v>
      </c>
      <c r="G1517" s="89">
        <v>1</v>
      </c>
      <c r="H1517" s="89">
        <v>11173.11</v>
      </c>
      <c r="I1517" s="85">
        <v>0</v>
      </c>
      <c r="J1517" s="85">
        <v>0</v>
      </c>
      <c r="K1517" s="85">
        <v>11173.11</v>
      </c>
      <c r="L1517" s="85">
        <v>11173.11</v>
      </c>
      <c r="M1517" s="89">
        <v>15284.817659242073</v>
      </c>
      <c r="N1517" s="85">
        <v>0</v>
      </c>
      <c r="O1517" s="85">
        <v>0</v>
      </c>
      <c r="P1517" s="85">
        <v>15284.817659242073</v>
      </c>
      <c r="Q1517" s="85">
        <v>15284.817659242073</v>
      </c>
      <c r="R1517" s="82" t="s">
        <v>3399</v>
      </c>
      <c r="S1517" s="7">
        <f t="shared" si="70"/>
        <v>0</v>
      </c>
      <c r="T1517" s="6">
        <f t="shared" si="71"/>
        <v>0</v>
      </c>
      <c r="U1517" s="25">
        <f t="shared" si="69"/>
        <v>0</v>
      </c>
    </row>
    <row r="1518" spans="1:21" ht="10.9" customHeight="1" x14ac:dyDescent="0.2">
      <c r="A1518" s="82" t="s">
        <v>2937</v>
      </c>
      <c r="B1518" s="83">
        <v>45847</v>
      </c>
      <c r="C1518" s="82" t="s">
        <v>3395</v>
      </c>
      <c r="D1518" s="82" t="s">
        <v>3506</v>
      </c>
      <c r="E1518" s="82"/>
      <c r="F1518" s="82" t="s">
        <v>5210</v>
      </c>
      <c r="G1518" s="89">
        <v>1</v>
      </c>
      <c r="H1518" s="89">
        <v>23.43</v>
      </c>
      <c r="I1518" s="85">
        <v>0</v>
      </c>
      <c r="J1518" s="85">
        <v>3.05</v>
      </c>
      <c r="K1518" s="85">
        <v>26.48</v>
      </c>
      <c r="L1518" s="85">
        <v>26.48</v>
      </c>
      <c r="M1518" s="89">
        <v>23.43</v>
      </c>
      <c r="N1518" s="85">
        <v>0</v>
      </c>
      <c r="O1518" s="85">
        <v>3.05</v>
      </c>
      <c r="P1518" s="85">
        <v>26.48</v>
      </c>
      <c r="Q1518" s="85">
        <v>26.48</v>
      </c>
      <c r="R1518" s="82" t="s">
        <v>3399</v>
      </c>
      <c r="S1518" s="7">
        <f t="shared" si="70"/>
        <v>0</v>
      </c>
      <c r="T1518" s="6">
        <f t="shared" si="71"/>
        <v>0</v>
      </c>
      <c r="U1518" s="25">
        <f t="shared" si="69"/>
        <v>0</v>
      </c>
    </row>
    <row r="1519" spans="1:21" ht="10.9" customHeight="1" x14ac:dyDescent="0.2">
      <c r="A1519" s="82" t="s">
        <v>2871</v>
      </c>
      <c r="B1519" s="83">
        <v>45848</v>
      </c>
      <c r="C1519" s="82" t="s">
        <v>3395</v>
      </c>
      <c r="D1519" s="82" t="s">
        <v>1218</v>
      </c>
      <c r="E1519" s="82"/>
      <c r="F1519" s="82" t="s">
        <v>4850</v>
      </c>
      <c r="G1519" s="89">
        <v>1</v>
      </c>
      <c r="H1519" s="89">
        <v>225.47</v>
      </c>
      <c r="I1519" s="85">
        <v>0</v>
      </c>
      <c r="J1519" s="85">
        <v>11.27</v>
      </c>
      <c r="K1519" s="85">
        <v>236.74</v>
      </c>
      <c r="L1519" s="85">
        <v>717.28</v>
      </c>
      <c r="M1519" s="89">
        <v>225.47</v>
      </c>
      <c r="N1519" s="85">
        <v>0</v>
      </c>
      <c r="O1519" s="85">
        <v>11.27</v>
      </c>
      <c r="P1519" s="85">
        <v>236.74</v>
      </c>
      <c r="Q1519" s="85">
        <v>717.28</v>
      </c>
      <c r="R1519" s="82" t="s">
        <v>3399</v>
      </c>
      <c r="S1519" s="7">
        <f t="shared" si="70"/>
        <v>0</v>
      </c>
      <c r="T1519" s="6">
        <f t="shared" si="71"/>
        <v>0</v>
      </c>
      <c r="U1519" s="25">
        <f t="shared" si="69"/>
        <v>0</v>
      </c>
    </row>
    <row r="1520" spans="1:21" ht="10.9" customHeight="1" x14ac:dyDescent="0.2">
      <c r="A1520" s="82" t="s">
        <v>2871</v>
      </c>
      <c r="B1520" s="83">
        <v>45848</v>
      </c>
      <c r="C1520" s="82" t="s">
        <v>3395</v>
      </c>
      <c r="D1520" s="82" t="s">
        <v>1218</v>
      </c>
      <c r="E1520" s="82"/>
      <c r="F1520" s="82" t="s">
        <v>4849</v>
      </c>
      <c r="G1520" s="89">
        <v>1</v>
      </c>
      <c r="H1520" s="89">
        <v>232.19</v>
      </c>
      <c r="I1520" s="85">
        <v>0</v>
      </c>
      <c r="J1520" s="85">
        <v>11.61</v>
      </c>
      <c r="K1520" s="85">
        <v>243.8</v>
      </c>
      <c r="L1520" s="85">
        <v>717.28</v>
      </c>
      <c r="M1520" s="89">
        <v>232.19</v>
      </c>
      <c r="N1520" s="85">
        <v>0</v>
      </c>
      <c r="O1520" s="85">
        <v>11.61</v>
      </c>
      <c r="P1520" s="85">
        <v>243.8</v>
      </c>
      <c r="Q1520" s="85">
        <v>717.28</v>
      </c>
      <c r="R1520" s="82" t="s">
        <v>3399</v>
      </c>
      <c r="S1520" s="7">
        <f t="shared" si="70"/>
        <v>0</v>
      </c>
      <c r="T1520" s="6">
        <f t="shared" si="71"/>
        <v>0</v>
      </c>
      <c r="U1520" s="25">
        <f t="shared" si="69"/>
        <v>0</v>
      </c>
    </row>
    <row r="1521" spans="1:21" ht="10.9" customHeight="1" x14ac:dyDescent="0.2">
      <c r="A1521" s="82" t="s">
        <v>2871</v>
      </c>
      <c r="B1521" s="83">
        <v>45848</v>
      </c>
      <c r="C1521" s="82" t="s">
        <v>3395</v>
      </c>
      <c r="D1521" s="82" t="s">
        <v>1218</v>
      </c>
      <c r="E1521" s="82"/>
      <c r="F1521" s="82" t="s">
        <v>4850</v>
      </c>
      <c r="G1521" s="89">
        <v>1</v>
      </c>
      <c r="H1521" s="89">
        <v>225.47</v>
      </c>
      <c r="I1521" s="85">
        <v>0</v>
      </c>
      <c r="J1521" s="85">
        <v>11.27</v>
      </c>
      <c r="K1521" s="85">
        <v>236.74</v>
      </c>
      <c r="L1521" s="85">
        <v>717.28</v>
      </c>
      <c r="M1521" s="89">
        <v>225.47</v>
      </c>
      <c r="N1521" s="85">
        <v>0</v>
      </c>
      <c r="O1521" s="85">
        <v>11.27</v>
      </c>
      <c r="P1521" s="85">
        <v>236.74</v>
      </c>
      <c r="Q1521" s="85">
        <v>717.28</v>
      </c>
      <c r="R1521" s="82" t="s">
        <v>3399</v>
      </c>
      <c r="S1521" s="7">
        <f t="shared" si="70"/>
        <v>0</v>
      </c>
      <c r="T1521" s="6">
        <f t="shared" si="71"/>
        <v>0</v>
      </c>
      <c r="U1521" s="25">
        <f t="shared" si="69"/>
        <v>0</v>
      </c>
    </row>
    <row r="1522" spans="1:21" ht="10.9" customHeight="1" x14ac:dyDescent="0.2">
      <c r="A1522" s="82" t="s">
        <v>2948</v>
      </c>
      <c r="B1522" s="83">
        <v>45848</v>
      </c>
      <c r="C1522" s="82" t="s">
        <v>3395</v>
      </c>
      <c r="D1522" s="82" t="s">
        <v>1084</v>
      </c>
      <c r="E1522" s="82"/>
      <c r="F1522" s="82" t="s">
        <v>5208</v>
      </c>
      <c r="G1522" s="89">
        <v>1</v>
      </c>
      <c r="H1522" s="89">
        <v>537.82000000000005</v>
      </c>
      <c r="I1522" s="85">
        <v>0</v>
      </c>
      <c r="J1522" s="85">
        <v>26.89</v>
      </c>
      <c r="K1522" s="85">
        <v>564.71</v>
      </c>
      <c r="L1522" s="85">
        <v>564.71</v>
      </c>
      <c r="M1522" s="89">
        <v>537.82000000000005</v>
      </c>
      <c r="N1522" s="85">
        <v>0</v>
      </c>
      <c r="O1522" s="85">
        <v>26.89</v>
      </c>
      <c r="P1522" s="85">
        <v>564.71</v>
      </c>
      <c r="Q1522" s="85">
        <v>564.71</v>
      </c>
      <c r="R1522" s="82" t="s">
        <v>3399</v>
      </c>
      <c r="S1522" s="7">
        <f t="shared" si="70"/>
        <v>0</v>
      </c>
      <c r="T1522" s="6">
        <f t="shared" si="71"/>
        <v>0</v>
      </c>
      <c r="U1522" s="25">
        <f t="shared" si="69"/>
        <v>0</v>
      </c>
    </row>
    <row r="1523" spans="1:21" ht="10.9" customHeight="1" x14ac:dyDescent="0.2">
      <c r="A1523" s="82" t="s">
        <v>2887</v>
      </c>
      <c r="B1523" s="83">
        <v>45848</v>
      </c>
      <c r="C1523" s="82" t="s">
        <v>3395</v>
      </c>
      <c r="D1523" s="82" t="s">
        <v>1186</v>
      </c>
      <c r="E1523" s="82"/>
      <c r="F1523" s="82" t="s">
        <v>4692</v>
      </c>
      <c r="G1523" s="89">
        <v>2</v>
      </c>
      <c r="H1523" s="89">
        <v>32.979999999999997</v>
      </c>
      <c r="I1523" s="85">
        <v>0</v>
      </c>
      <c r="J1523" s="85">
        <v>3.3</v>
      </c>
      <c r="K1523" s="85">
        <v>69.260000000000005</v>
      </c>
      <c r="L1523" s="85">
        <v>69.260000000000005</v>
      </c>
      <c r="M1523" s="89">
        <v>32.979999999999997</v>
      </c>
      <c r="N1523" s="85">
        <v>0</v>
      </c>
      <c r="O1523" s="85">
        <v>3.3</v>
      </c>
      <c r="P1523" s="85">
        <v>69.260000000000005</v>
      </c>
      <c r="Q1523" s="85">
        <v>69.260000000000005</v>
      </c>
      <c r="R1523" s="82" t="s">
        <v>3399</v>
      </c>
      <c r="S1523" s="7">
        <f t="shared" si="70"/>
        <v>0</v>
      </c>
      <c r="T1523" s="6">
        <f t="shared" si="71"/>
        <v>0</v>
      </c>
      <c r="U1523" s="25">
        <f t="shared" si="69"/>
        <v>0</v>
      </c>
    </row>
    <row r="1524" spans="1:21" ht="10.9" customHeight="1" x14ac:dyDescent="0.2">
      <c r="A1524" s="82" t="s">
        <v>2774</v>
      </c>
      <c r="B1524" s="83">
        <v>45848</v>
      </c>
      <c r="C1524" s="82" t="s">
        <v>3395</v>
      </c>
      <c r="D1524" s="82" t="s">
        <v>1388</v>
      </c>
      <c r="E1524" s="82"/>
      <c r="F1524" s="82" t="s">
        <v>5199</v>
      </c>
      <c r="G1524" s="89">
        <v>1</v>
      </c>
      <c r="H1524" s="89">
        <v>7759.78</v>
      </c>
      <c r="I1524" s="85">
        <v>0</v>
      </c>
      <c r="J1524" s="85">
        <v>1008.77</v>
      </c>
      <c r="K1524" s="85">
        <v>8768.5499999999993</v>
      </c>
      <c r="L1524" s="85">
        <v>8768.5499999999993</v>
      </c>
      <c r="M1524" s="89">
        <v>7759.78</v>
      </c>
      <c r="N1524" s="85">
        <v>0</v>
      </c>
      <c r="O1524" s="85">
        <v>1008.77</v>
      </c>
      <c r="P1524" s="85">
        <v>8768.5499999999993</v>
      </c>
      <c r="Q1524" s="85">
        <v>8768.5499999999993</v>
      </c>
      <c r="R1524" s="82" t="s">
        <v>3399</v>
      </c>
      <c r="S1524" s="7">
        <f t="shared" si="70"/>
        <v>0</v>
      </c>
      <c r="T1524" s="6">
        <f t="shared" si="71"/>
        <v>0</v>
      </c>
      <c r="U1524" s="25">
        <f t="shared" si="69"/>
        <v>0</v>
      </c>
    </row>
    <row r="1525" spans="1:21" ht="10.9" customHeight="1" x14ac:dyDescent="0.2">
      <c r="A1525" s="82" t="s">
        <v>2564</v>
      </c>
      <c r="B1525" s="83">
        <v>45848</v>
      </c>
      <c r="C1525" s="82" t="s">
        <v>3395</v>
      </c>
      <c r="D1525" s="82" t="s">
        <v>1756</v>
      </c>
      <c r="E1525" s="82"/>
      <c r="F1525" s="82" t="s">
        <v>5207</v>
      </c>
      <c r="G1525" s="89">
        <v>1</v>
      </c>
      <c r="H1525" s="89">
        <v>12346.61</v>
      </c>
      <c r="I1525" s="85">
        <v>0</v>
      </c>
      <c r="J1525" s="85">
        <v>1605.06</v>
      </c>
      <c r="K1525" s="85">
        <v>13951.67</v>
      </c>
      <c r="L1525" s="85">
        <v>13951.67</v>
      </c>
      <c r="M1525" s="89">
        <v>12346.61</v>
      </c>
      <c r="N1525" s="85">
        <v>0</v>
      </c>
      <c r="O1525" s="85">
        <v>1605.06</v>
      </c>
      <c r="P1525" s="85">
        <v>13951.67</v>
      </c>
      <c r="Q1525" s="85">
        <v>13951.67</v>
      </c>
      <c r="R1525" s="82" t="s">
        <v>3399</v>
      </c>
      <c r="S1525" s="7">
        <f t="shared" si="70"/>
        <v>0</v>
      </c>
      <c r="T1525" s="6">
        <f t="shared" si="71"/>
        <v>0</v>
      </c>
      <c r="U1525" s="25">
        <f t="shared" si="69"/>
        <v>0</v>
      </c>
    </row>
    <row r="1526" spans="1:21" ht="10.9" customHeight="1" x14ac:dyDescent="0.2">
      <c r="A1526" s="82" t="s">
        <v>2915</v>
      </c>
      <c r="B1526" s="83">
        <v>45848</v>
      </c>
      <c r="C1526" s="82" t="s">
        <v>3395</v>
      </c>
      <c r="D1526" s="82" t="s">
        <v>1141</v>
      </c>
      <c r="E1526" s="82"/>
      <c r="F1526" s="82" t="s">
        <v>5166</v>
      </c>
      <c r="G1526" s="89">
        <v>1</v>
      </c>
      <c r="H1526" s="89">
        <v>194.53</v>
      </c>
      <c r="I1526" s="85">
        <v>0</v>
      </c>
      <c r="J1526" s="85">
        <v>25.29</v>
      </c>
      <c r="K1526" s="85">
        <v>219.82</v>
      </c>
      <c r="L1526" s="85">
        <v>253.99</v>
      </c>
      <c r="M1526" s="89">
        <v>194.53</v>
      </c>
      <c r="N1526" s="85">
        <v>0</v>
      </c>
      <c r="O1526" s="85">
        <v>25.29</v>
      </c>
      <c r="P1526" s="85">
        <v>219.82</v>
      </c>
      <c r="Q1526" s="85">
        <v>253.99</v>
      </c>
      <c r="R1526" s="82" t="s">
        <v>3399</v>
      </c>
      <c r="S1526" s="7">
        <f t="shared" si="70"/>
        <v>0</v>
      </c>
      <c r="T1526" s="6">
        <f t="shared" si="71"/>
        <v>0</v>
      </c>
      <c r="U1526" s="25">
        <f t="shared" si="69"/>
        <v>0</v>
      </c>
    </row>
    <row r="1527" spans="1:21" ht="10.9" customHeight="1" x14ac:dyDescent="0.2">
      <c r="A1527" s="82" t="s">
        <v>2915</v>
      </c>
      <c r="B1527" s="83">
        <v>45848</v>
      </c>
      <c r="C1527" s="82" t="s">
        <v>3395</v>
      </c>
      <c r="D1527" s="82" t="s">
        <v>1141</v>
      </c>
      <c r="E1527" s="82"/>
      <c r="F1527" s="82" t="s">
        <v>5206</v>
      </c>
      <c r="G1527" s="89">
        <v>1</v>
      </c>
      <c r="H1527" s="89">
        <v>30.24</v>
      </c>
      <c r="I1527" s="85">
        <v>0</v>
      </c>
      <c r="J1527" s="85">
        <v>3.93</v>
      </c>
      <c r="K1527" s="85">
        <v>34.17</v>
      </c>
      <c r="L1527" s="85">
        <v>253.99</v>
      </c>
      <c r="M1527" s="89">
        <v>30.24</v>
      </c>
      <c r="N1527" s="85">
        <v>0</v>
      </c>
      <c r="O1527" s="85">
        <v>3.93</v>
      </c>
      <c r="P1527" s="85">
        <v>34.17</v>
      </c>
      <c r="Q1527" s="85">
        <v>253.99</v>
      </c>
      <c r="R1527" s="82" t="s">
        <v>3399</v>
      </c>
      <c r="S1527" s="7">
        <f t="shared" si="70"/>
        <v>0</v>
      </c>
      <c r="T1527" s="6">
        <f t="shared" si="71"/>
        <v>0</v>
      </c>
      <c r="U1527" s="25">
        <f t="shared" si="69"/>
        <v>0</v>
      </c>
    </row>
    <row r="1528" spans="1:21" ht="10.9" customHeight="1" x14ac:dyDescent="0.2">
      <c r="A1528" s="82" t="s">
        <v>2778</v>
      </c>
      <c r="B1528" s="83">
        <v>45848</v>
      </c>
      <c r="C1528" s="82" t="s">
        <v>3395</v>
      </c>
      <c r="D1528" s="82" t="s">
        <v>1382</v>
      </c>
      <c r="E1528" s="82"/>
      <c r="F1528" s="82" t="s">
        <v>4397</v>
      </c>
      <c r="G1528" s="89">
        <v>1</v>
      </c>
      <c r="H1528" s="89">
        <v>1214.6099999999999</v>
      </c>
      <c r="I1528" s="85">
        <v>0</v>
      </c>
      <c r="J1528" s="85">
        <v>157.9</v>
      </c>
      <c r="K1528" s="85">
        <v>1372.51</v>
      </c>
      <c r="L1528" s="85">
        <v>1372.51</v>
      </c>
      <c r="M1528" s="89">
        <v>1214.6099999999999</v>
      </c>
      <c r="N1528" s="85">
        <v>0</v>
      </c>
      <c r="O1528" s="85">
        <v>157.9</v>
      </c>
      <c r="P1528" s="85">
        <v>1372.51</v>
      </c>
      <c r="Q1528" s="85">
        <v>1372.51</v>
      </c>
      <c r="R1528" s="82" t="s">
        <v>3399</v>
      </c>
      <c r="S1528" s="7">
        <f t="shared" si="70"/>
        <v>0</v>
      </c>
      <c r="T1528" s="6">
        <f t="shared" si="71"/>
        <v>0</v>
      </c>
      <c r="U1528" s="25">
        <f t="shared" si="69"/>
        <v>0</v>
      </c>
    </row>
    <row r="1529" spans="1:21" ht="10.9" customHeight="1" x14ac:dyDescent="0.2">
      <c r="A1529" s="82" t="s">
        <v>2848</v>
      </c>
      <c r="B1529" s="83">
        <v>45848</v>
      </c>
      <c r="C1529" s="82" t="s">
        <v>3395</v>
      </c>
      <c r="D1529" s="82" t="s">
        <v>1254</v>
      </c>
      <c r="E1529" s="82"/>
      <c r="F1529" s="82" t="s">
        <v>5205</v>
      </c>
      <c r="G1529" s="89">
        <v>1</v>
      </c>
      <c r="H1529" s="89">
        <v>130.31</v>
      </c>
      <c r="I1529" s="85">
        <v>0</v>
      </c>
      <c r="J1529" s="85">
        <v>16.940000000000001</v>
      </c>
      <c r="K1529" s="85">
        <v>147.25</v>
      </c>
      <c r="L1529" s="85">
        <v>938.62</v>
      </c>
      <c r="M1529" s="89">
        <v>130.31</v>
      </c>
      <c r="N1529" s="85">
        <v>0</v>
      </c>
      <c r="O1529" s="85">
        <v>16.940000000000001</v>
      </c>
      <c r="P1529" s="85">
        <v>147.25</v>
      </c>
      <c r="Q1529" s="85">
        <v>938.62</v>
      </c>
      <c r="R1529" s="82" t="s">
        <v>3399</v>
      </c>
      <c r="S1529" s="7">
        <f t="shared" si="70"/>
        <v>0</v>
      </c>
      <c r="T1529" s="6">
        <f t="shared" si="71"/>
        <v>0</v>
      </c>
      <c r="U1529" s="25">
        <f t="shared" si="69"/>
        <v>0</v>
      </c>
    </row>
    <row r="1530" spans="1:21" ht="10.9" customHeight="1" x14ac:dyDescent="0.2">
      <c r="A1530" s="82" t="s">
        <v>2848</v>
      </c>
      <c r="B1530" s="83">
        <v>45848</v>
      </c>
      <c r="C1530" s="82" t="s">
        <v>3395</v>
      </c>
      <c r="D1530" s="82" t="s">
        <v>1254</v>
      </c>
      <c r="E1530" s="82"/>
      <c r="F1530" s="82" t="s">
        <v>5204</v>
      </c>
      <c r="G1530" s="89">
        <v>1</v>
      </c>
      <c r="H1530" s="89">
        <v>170.02</v>
      </c>
      <c r="I1530" s="85">
        <v>0</v>
      </c>
      <c r="J1530" s="85">
        <v>22.1</v>
      </c>
      <c r="K1530" s="85">
        <v>192.12</v>
      </c>
      <c r="L1530" s="85">
        <v>938.62</v>
      </c>
      <c r="M1530" s="89">
        <v>170.02</v>
      </c>
      <c r="N1530" s="85">
        <v>0</v>
      </c>
      <c r="O1530" s="85">
        <v>22.1</v>
      </c>
      <c r="P1530" s="85">
        <v>192.12</v>
      </c>
      <c r="Q1530" s="85">
        <v>938.62</v>
      </c>
      <c r="R1530" s="82" t="s">
        <v>3399</v>
      </c>
      <c r="S1530" s="7">
        <f t="shared" si="70"/>
        <v>0</v>
      </c>
      <c r="T1530" s="6">
        <f t="shared" si="71"/>
        <v>0</v>
      </c>
      <c r="U1530" s="25">
        <f t="shared" si="69"/>
        <v>0</v>
      </c>
    </row>
    <row r="1531" spans="1:21" ht="10.9" customHeight="1" x14ac:dyDescent="0.2">
      <c r="A1531" s="82" t="s">
        <v>2848</v>
      </c>
      <c r="B1531" s="83">
        <v>45848</v>
      </c>
      <c r="C1531" s="82" t="s">
        <v>3395</v>
      </c>
      <c r="D1531" s="82" t="s">
        <v>1254</v>
      </c>
      <c r="E1531" s="82"/>
      <c r="F1531" s="82" t="s">
        <v>5203</v>
      </c>
      <c r="G1531" s="89">
        <v>1</v>
      </c>
      <c r="H1531" s="89">
        <v>415.85</v>
      </c>
      <c r="I1531" s="85">
        <v>0</v>
      </c>
      <c r="J1531" s="85">
        <v>54.06</v>
      </c>
      <c r="K1531" s="85">
        <v>469.91</v>
      </c>
      <c r="L1531" s="85">
        <v>938.62</v>
      </c>
      <c r="M1531" s="89">
        <v>415.85</v>
      </c>
      <c r="N1531" s="85">
        <v>0</v>
      </c>
      <c r="O1531" s="85">
        <v>54.06</v>
      </c>
      <c r="P1531" s="85">
        <v>469.91</v>
      </c>
      <c r="Q1531" s="85">
        <v>938.62</v>
      </c>
      <c r="R1531" s="82" t="s">
        <v>3399</v>
      </c>
      <c r="S1531" s="7">
        <f t="shared" si="70"/>
        <v>0</v>
      </c>
      <c r="T1531" s="6">
        <f t="shared" si="71"/>
        <v>0</v>
      </c>
      <c r="U1531" s="25">
        <f t="shared" si="69"/>
        <v>0</v>
      </c>
    </row>
    <row r="1532" spans="1:21" ht="10.9" customHeight="1" x14ac:dyDescent="0.2">
      <c r="A1532" s="82" t="s">
        <v>2848</v>
      </c>
      <c r="B1532" s="83">
        <v>45848</v>
      </c>
      <c r="C1532" s="82" t="s">
        <v>3395</v>
      </c>
      <c r="D1532" s="82" t="s">
        <v>1254</v>
      </c>
      <c r="E1532" s="82"/>
      <c r="F1532" s="82" t="s">
        <v>5202</v>
      </c>
      <c r="G1532" s="89">
        <v>1</v>
      </c>
      <c r="H1532" s="89">
        <v>75.790000000000006</v>
      </c>
      <c r="I1532" s="85">
        <v>0</v>
      </c>
      <c r="J1532" s="85">
        <v>9.85</v>
      </c>
      <c r="K1532" s="85">
        <v>85.64</v>
      </c>
      <c r="L1532" s="85">
        <v>938.62</v>
      </c>
      <c r="M1532" s="89">
        <v>75.790000000000006</v>
      </c>
      <c r="N1532" s="85">
        <v>0</v>
      </c>
      <c r="O1532" s="85">
        <v>9.85</v>
      </c>
      <c r="P1532" s="85">
        <v>85.64</v>
      </c>
      <c r="Q1532" s="85">
        <v>938.62</v>
      </c>
      <c r="R1532" s="82" t="s">
        <v>3399</v>
      </c>
      <c r="S1532" s="7">
        <f t="shared" si="70"/>
        <v>0</v>
      </c>
      <c r="T1532" s="6">
        <f t="shared" si="71"/>
        <v>0</v>
      </c>
      <c r="U1532" s="25">
        <f t="shared" si="69"/>
        <v>0</v>
      </c>
    </row>
    <row r="1533" spans="1:21" ht="10.9" customHeight="1" x14ac:dyDescent="0.2">
      <c r="A1533" s="82" t="s">
        <v>2848</v>
      </c>
      <c r="B1533" s="83">
        <v>45848</v>
      </c>
      <c r="C1533" s="82" t="s">
        <v>3395</v>
      </c>
      <c r="D1533" s="82" t="s">
        <v>1254</v>
      </c>
      <c r="E1533" s="82"/>
      <c r="F1533" s="82" t="s">
        <v>5201</v>
      </c>
      <c r="G1533" s="89">
        <v>1</v>
      </c>
      <c r="H1533" s="89">
        <v>25.72</v>
      </c>
      <c r="I1533" s="85">
        <v>0</v>
      </c>
      <c r="J1533" s="85">
        <v>3.34</v>
      </c>
      <c r="K1533" s="85">
        <v>29.06</v>
      </c>
      <c r="L1533" s="85">
        <v>938.62</v>
      </c>
      <c r="M1533" s="89">
        <v>25.72</v>
      </c>
      <c r="N1533" s="85">
        <v>0</v>
      </c>
      <c r="O1533" s="85">
        <v>3.34</v>
      </c>
      <c r="P1533" s="85">
        <v>29.06</v>
      </c>
      <c r="Q1533" s="85">
        <v>938.62</v>
      </c>
      <c r="R1533" s="82" t="s">
        <v>3399</v>
      </c>
      <c r="S1533" s="7">
        <f t="shared" si="70"/>
        <v>0</v>
      </c>
      <c r="T1533" s="6">
        <f t="shared" si="71"/>
        <v>0</v>
      </c>
      <c r="U1533" s="25">
        <f t="shared" si="69"/>
        <v>0</v>
      </c>
    </row>
    <row r="1534" spans="1:21" ht="10.9" customHeight="1" x14ac:dyDescent="0.2">
      <c r="A1534" s="82" t="s">
        <v>2848</v>
      </c>
      <c r="B1534" s="83">
        <v>45848</v>
      </c>
      <c r="C1534" s="82" t="s">
        <v>3395</v>
      </c>
      <c r="D1534" s="82" t="s">
        <v>1254</v>
      </c>
      <c r="E1534" s="82"/>
      <c r="F1534" s="82" t="s">
        <v>5200</v>
      </c>
      <c r="G1534" s="89">
        <v>1</v>
      </c>
      <c r="H1534" s="89">
        <v>12.96</v>
      </c>
      <c r="I1534" s="85">
        <v>0</v>
      </c>
      <c r="J1534" s="85">
        <v>1.68</v>
      </c>
      <c r="K1534" s="85">
        <v>14.64</v>
      </c>
      <c r="L1534" s="85">
        <v>938.62</v>
      </c>
      <c r="M1534" s="89">
        <v>12.96</v>
      </c>
      <c r="N1534" s="85">
        <v>0</v>
      </c>
      <c r="O1534" s="85">
        <v>1.68</v>
      </c>
      <c r="P1534" s="85">
        <v>14.64</v>
      </c>
      <c r="Q1534" s="85">
        <v>938.62</v>
      </c>
      <c r="R1534" s="82" t="s">
        <v>3399</v>
      </c>
      <c r="S1534" s="7">
        <f t="shared" si="70"/>
        <v>0</v>
      </c>
      <c r="T1534" s="6">
        <f t="shared" si="71"/>
        <v>0</v>
      </c>
      <c r="U1534" s="25">
        <f t="shared" si="69"/>
        <v>0</v>
      </c>
    </row>
    <row r="1535" spans="1:21" ht="10.9" customHeight="1" x14ac:dyDescent="0.2">
      <c r="A1535" s="82" t="s">
        <v>2960</v>
      </c>
      <c r="B1535" s="83">
        <v>45849</v>
      </c>
      <c r="C1535" s="82" t="s">
        <v>3395</v>
      </c>
      <c r="D1535" s="82" t="s">
        <v>3505</v>
      </c>
      <c r="E1535" s="82"/>
      <c r="F1535" s="82" t="s">
        <v>4893</v>
      </c>
      <c r="G1535" s="89">
        <v>2</v>
      </c>
      <c r="H1535" s="89">
        <v>369.78</v>
      </c>
      <c r="I1535" s="85">
        <v>0</v>
      </c>
      <c r="J1535" s="85">
        <v>0</v>
      </c>
      <c r="K1535" s="85">
        <v>739.56</v>
      </c>
      <c r="L1535" s="85">
        <v>1117.1600000000001</v>
      </c>
      <c r="M1535" s="89">
        <v>506.28786582235153</v>
      </c>
      <c r="N1535" s="85">
        <v>0</v>
      </c>
      <c r="O1535" s="85">
        <v>0</v>
      </c>
      <c r="P1535" s="85">
        <v>1012.5757316447031</v>
      </c>
      <c r="Q1535" s="85">
        <v>1529.5704261509497</v>
      </c>
      <c r="R1535" s="82" t="s">
        <v>3399</v>
      </c>
      <c r="S1535" s="7">
        <f t="shared" si="70"/>
        <v>0</v>
      </c>
      <c r="T1535" s="6">
        <f t="shared" si="71"/>
        <v>0</v>
      </c>
      <c r="U1535" s="25">
        <f t="shared" si="69"/>
        <v>0</v>
      </c>
    </row>
    <row r="1536" spans="1:21" ht="10.9" customHeight="1" x14ac:dyDescent="0.2">
      <c r="A1536" s="82" t="s">
        <v>2960</v>
      </c>
      <c r="B1536" s="83">
        <v>45849</v>
      </c>
      <c r="C1536" s="82" t="s">
        <v>3395</v>
      </c>
      <c r="D1536" s="82" t="s">
        <v>3505</v>
      </c>
      <c r="E1536" s="82"/>
      <c r="F1536" s="82" t="s">
        <v>4390</v>
      </c>
      <c r="G1536" s="89">
        <v>1</v>
      </c>
      <c r="H1536" s="89">
        <v>377.6</v>
      </c>
      <c r="I1536" s="85">
        <v>0</v>
      </c>
      <c r="J1536" s="85">
        <v>0</v>
      </c>
      <c r="K1536" s="85">
        <v>377.6</v>
      </c>
      <c r="L1536" s="85">
        <v>1117.1600000000001</v>
      </c>
      <c r="M1536" s="89">
        <v>516.99469450624679</v>
      </c>
      <c r="N1536" s="85">
        <v>0</v>
      </c>
      <c r="O1536" s="85">
        <v>0</v>
      </c>
      <c r="P1536" s="85">
        <v>516.99469450624679</v>
      </c>
      <c r="Q1536" s="85">
        <v>1529.5704261509497</v>
      </c>
      <c r="R1536" s="82" t="s">
        <v>3399</v>
      </c>
      <c r="S1536" s="7" t="str">
        <f t="shared" si="70"/>
        <v>INV13165</v>
      </c>
      <c r="T1536" s="6">
        <f t="shared" si="71"/>
        <v>1</v>
      </c>
      <c r="U1536" s="25">
        <f t="shared" si="69"/>
        <v>377.6</v>
      </c>
    </row>
    <row r="1537" spans="1:21" ht="10.9" customHeight="1" x14ac:dyDescent="0.2">
      <c r="A1537" s="82" t="s">
        <v>2954</v>
      </c>
      <c r="B1537" s="83">
        <v>45849</v>
      </c>
      <c r="C1537" s="82" t="s">
        <v>3395</v>
      </c>
      <c r="D1537" s="82" t="s">
        <v>1076</v>
      </c>
      <c r="E1537" s="82"/>
      <c r="F1537" s="82" t="s">
        <v>4591</v>
      </c>
      <c r="G1537" s="89">
        <v>1</v>
      </c>
      <c r="H1537" s="89">
        <v>172.3</v>
      </c>
      <c r="I1537" s="85">
        <v>0</v>
      </c>
      <c r="J1537" s="85">
        <v>8.6199999999999992</v>
      </c>
      <c r="K1537" s="85">
        <v>180.92</v>
      </c>
      <c r="L1537" s="85">
        <v>224.6</v>
      </c>
      <c r="M1537" s="89">
        <v>172.3</v>
      </c>
      <c r="N1537" s="85">
        <v>0</v>
      </c>
      <c r="O1537" s="85">
        <v>8.6199999999999992</v>
      </c>
      <c r="P1537" s="85">
        <v>180.92</v>
      </c>
      <c r="Q1537" s="85">
        <v>224.6</v>
      </c>
      <c r="R1537" s="82" t="s">
        <v>3399</v>
      </c>
      <c r="S1537" s="7">
        <f t="shared" si="70"/>
        <v>0</v>
      </c>
      <c r="T1537" s="6">
        <f t="shared" si="71"/>
        <v>0</v>
      </c>
      <c r="U1537" s="25">
        <f t="shared" si="69"/>
        <v>0</v>
      </c>
    </row>
    <row r="1538" spans="1:21" ht="10.9" customHeight="1" x14ac:dyDescent="0.2">
      <c r="A1538" s="82" t="s">
        <v>2954</v>
      </c>
      <c r="B1538" s="83">
        <v>45849</v>
      </c>
      <c r="C1538" s="82" t="s">
        <v>3395</v>
      </c>
      <c r="D1538" s="82" t="s">
        <v>1076</v>
      </c>
      <c r="E1538" s="82"/>
      <c r="F1538" s="82" t="s">
        <v>4439</v>
      </c>
      <c r="G1538" s="89">
        <v>2</v>
      </c>
      <c r="H1538" s="89">
        <v>20.8</v>
      </c>
      <c r="I1538" s="85">
        <v>0</v>
      </c>
      <c r="J1538" s="85">
        <v>2.08</v>
      </c>
      <c r="K1538" s="85">
        <v>43.68</v>
      </c>
      <c r="L1538" s="85">
        <v>224.6</v>
      </c>
      <c r="M1538" s="89">
        <v>20.8</v>
      </c>
      <c r="N1538" s="85">
        <v>0</v>
      </c>
      <c r="O1538" s="85">
        <v>2.08</v>
      </c>
      <c r="P1538" s="85">
        <v>43.68</v>
      </c>
      <c r="Q1538" s="85">
        <v>224.6</v>
      </c>
      <c r="R1538" s="82" t="s">
        <v>3399</v>
      </c>
      <c r="S1538" s="7">
        <f t="shared" si="70"/>
        <v>0</v>
      </c>
      <c r="T1538" s="6">
        <f t="shared" si="71"/>
        <v>0</v>
      </c>
      <c r="U1538" s="25">
        <f t="shared" ref="U1538:U1601" si="72">IF(T1538=1,K1538-J1538,0)</f>
        <v>0</v>
      </c>
    </row>
    <row r="1539" spans="1:21" ht="10.9" customHeight="1" x14ac:dyDescent="0.2">
      <c r="A1539" s="82" t="s">
        <v>2951</v>
      </c>
      <c r="B1539" s="83">
        <v>45849</v>
      </c>
      <c r="C1539" s="82" t="s">
        <v>3395</v>
      </c>
      <c r="D1539" s="82" t="s">
        <v>1080</v>
      </c>
      <c r="E1539" s="82"/>
      <c r="F1539" s="82" t="s">
        <v>4824</v>
      </c>
      <c r="G1539" s="89">
        <v>1</v>
      </c>
      <c r="H1539" s="89">
        <v>1010.81</v>
      </c>
      <c r="I1539" s="85">
        <v>0</v>
      </c>
      <c r="J1539" s="85">
        <v>50.54</v>
      </c>
      <c r="K1539" s="85">
        <v>1061.3499999999999</v>
      </c>
      <c r="L1539" s="85">
        <v>1061.3499999999999</v>
      </c>
      <c r="M1539" s="89">
        <v>1010.81</v>
      </c>
      <c r="N1539" s="85">
        <v>0</v>
      </c>
      <c r="O1539" s="85">
        <v>50.54</v>
      </c>
      <c r="P1539" s="85">
        <v>1061.3499999999999</v>
      </c>
      <c r="Q1539" s="85">
        <v>1061.3499999999999</v>
      </c>
      <c r="R1539" s="82" t="s">
        <v>3399</v>
      </c>
      <c r="S1539" s="7">
        <f t="shared" ref="S1539:S1602" si="73">IF(T1539=1,A1539,0)</f>
        <v>0</v>
      </c>
      <c r="T1539" s="6">
        <f t="shared" ref="T1539:T1602" si="74">IFERROR(FIND("Freight",F1539,1),0)</f>
        <v>0</v>
      </c>
      <c r="U1539" s="25">
        <f t="shared" si="72"/>
        <v>0</v>
      </c>
    </row>
    <row r="1540" spans="1:21" ht="10.9" customHeight="1" x14ac:dyDescent="0.2">
      <c r="A1540" s="82" t="s">
        <v>2955</v>
      </c>
      <c r="B1540" s="83">
        <v>45849</v>
      </c>
      <c r="C1540" s="82" t="s">
        <v>3395</v>
      </c>
      <c r="D1540" s="82" t="s">
        <v>1074</v>
      </c>
      <c r="E1540" s="82"/>
      <c r="F1540" s="82" t="s">
        <v>5023</v>
      </c>
      <c r="G1540" s="89">
        <v>15</v>
      </c>
      <c r="H1540" s="89">
        <v>55.73</v>
      </c>
      <c r="I1540" s="85">
        <v>0</v>
      </c>
      <c r="J1540" s="85">
        <v>108.67</v>
      </c>
      <c r="K1540" s="85">
        <v>944.62</v>
      </c>
      <c r="L1540" s="85">
        <v>944.62</v>
      </c>
      <c r="M1540" s="89">
        <v>55.73</v>
      </c>
      <c r="N1540" s="85">
        <v>0</v>
      </c>
      <c r="O1540" s="85">
        <v>108.67</v>
      </c>
      <c r="P1540" s="85">
        <v>944.62</v>
      </c>
      <c r="Q1540" s="85">
        <v>944.62</v>
      </c>
      <c r="R1540" s="82" t="s">
        <v>3399</v>
      </c>
      <c r="S1540" s="7">
        <f t="shared" si="73"/>
        <v>0</v>
      </c>
      <c r="T1540" s="6">
        <f t="shared" si="74"/>
        <v>0</v>
      </c>
      <c r="U1540" s="25">
        <f t="shared" si="72"/>
        <v>0</v>
      </c>
    </row>
    <row r="1541" spans="1:21" ht="10.9" customHeight="1" x14ac:dyDescent="0.2">
      <c r="A1541" s="82" t="s">
        <v>2905</v>
      </c>
      <c r="B1541" s="83">
        <v>45849</v>
      </c>
      <c r="C1541" s="82" t="s">
        <v>3395</v>
      </c>
      <c r="D1541" s="82" t="s">
        <v>1154</v>
      </c>
      <c r="E1541" s="82"/>
      <c r="F1541" s="82" t="s">
        <v>5125</v>
      </c>
      <c r="G1541" s="89">
        <v>1</v>
      </c>
      <c r="H1541" s="89">
        <v>240.76</v>
      </c>
      <c r="I1541" s="85">
        <v>0</v>
      </c>
      <c r="J1541" s="85">
        <v>31.3</v>
      </c>
      <c r="K1541" s="85">
        <v>272.06</v>
      </c>
      <c r="L1541" s="85">
        <v>272.06</v>
      </c>
      <c r="M1541" s="89">
        <v>240.76</v>
      </c>
      <c r="N1541" s="85">
        <v>0</v>
      </c>
      <c r="O1541" s="85">
        <v>31.3</v>
      </c>
      <c r="P1541" s="85">
        <v>272.06</v>
      </c>
      <c r="Q1541" s="85">
        <v>272.06</v>
      </c>
      <c r="R1541" s="82" t="s">
        <v>3399</v>
      </c>
      <c r="S1541" s="7">
        <f t="shared" si="73"/>
        <v>0</v>
      </c>
      <c r="T1541" s="6">
        <f t="shared" si="74"/>
        <v>0</v>
      </c>
      <c r="U1541" s="25">
        <f t="shared" si="72"/>
        <v>0</v>
      </c>
    </row>
    <row r="1542" spans="1:21" ht="10.9" customHeight="1" x14ac:dyDescent="0.2">
      <c r="A1542" s="82" t="s">
        <v>2867</v>
      </c>
      <c r="B1542" s="83">
        <v>45849</v>
      </c>
      <c r="C1542" s="82" t="s">
        <v>3395</v>
      </c>
      <c r="D1542" s="82" t="s">
        <v>1224</v>
      </c>
      <c r="E1542" s="82"/>
      <c r="F1542" s="82" t="s">
        <v>5198</v>
      </c>
      <c r="G1542" s="89">
        <v>1</v>
      </c>
      <c r="H1542" s="89">
        <v>784.07</v>
      </c>
      <c r="I1542" s="85">
        <v>0</v>
      </c>
      <c r="J1542" s="85">
        <v>101.93</v>
      </c>
      <c r="K1542" s="85">
        <v>886</v>
      </c>
      <c r="L1542" s="85">
        <v>1768.27</v>
      </c>
      <c r="M1542" s="89">
        <v>784.07</v>
      </c>
      <c r="N1542" s="85">
        <v>0</v>
      </c>
      <c r="O1542" s="85">
        <v>101.93</v>
      </c>
      <c r="P1542" s="85">
        <v>886</v>
      </c>
      <c r="Q1542" s="85">
        <v>1768.27</v>
      </c>
      <c r="R1542" s="82" t="s">
        <v>3399</v>
      </c>
      <c r="S1542" s="7">
        <f t="shared" si="73"/>
        <v>0</v>
      </c>
      <c r="T1542" s="6">
        <f t="shared" si="74"/>
        <v>0</v>
      </c>
      <c r="U1542" s="25">
        <f t="shared" si="72"/>
        <v>0</v>
      </c>
    </row>
    <row r="1543" spans="1:21" ht="10.9" customHeight="1" x14ac:dyDescent="0.2">
      <c r="A1543" s="82" t="s">
        <v>2867</v>
      </c>
      <c r="B1543" s="83">
        <v>45849</v>
      </c>
      <c r="C1543" s="82" t="s">
        <v>3395</v>
      </c>
      <c r="D1543" s="82" t="s">
        <v>1224</v>
      </c>
      <c r="E1543" s="82"/>
      <c r="F1543" s="82" t="s">
        <v>4914</v>
      </c>
      <c r="G1543" s="89">
        <v>1</v>
      </c>
      <c r="H1543" s="89">
        <v>299.25</v>
      </c>
      <c r="I1543" s="85">
        <v>0</v>
      </c>
      <c r="J1543" s="85">
        <v>38.9</v>
      </c>
      <c r="K1543" s="85">
        <v>338.15</v>
      </c>
      <c r="L1543" s="85">
        <v>1768.27</v>
      </c>
      <c r="M1543" s="89">
        <v>299.25</v>
      </c>
      <c r="N1543" s="85">
        <v>0</v>
      </c>
      <c r="O1543" s="85">
        <v>38.9</v>
      </c>
      <c r="P1543" s="85">
        <v>338.15</v>
      </c>
      <c r="Q1543" s="85">
        <v>1768.27</v>
      </c>
      <c r="R1543" s="82" t="s">
        <v>3399</v>
      </c>
      <c r="S1543" s="7">
        <f t="shared" si="73"/>
        <v>0</v>
      </c>
      <c r="T1543" s="6">
        <f t="shared" si="74"/>
        <v>0</v>
      </c>
      <c r="U1543" s="25">
        <f t="shared" si="72"/>
        <v>0</v>
      </c>
    </row>
    <row r="1544" spans="1:21" ht="10.9" customHeight="1" x14ac:dyDescent="0.2">
      <c r="A1544" s="82" t="s">
        <v>2867</v>
      </c>
      <c r="B1544" s="83">
        <v>45849</v>
      </c>
      <c r="C1544" s="82" t="s">
        <v>3395</v>
      </c>
      <c r="D1544" s="82" t="s">
        <v>1224</v>
      </c>
      <c r="E1544" s="82"/>
      <c r="F1544" s="82" t="s">
        <v>5125</v>
      </c>
      <c r="G1544" s="89">
        <v>2</v>
      </c>
      <c r="H1544" s="89">
        <v>240.76</v>
      </c>
      <c r="I1544" s="85">
        <v>0</v>
      </c>
      <c r="J1544" s="85">
        <v>62.6</v>
      </c>
      <c r="K1544" s="85">
        <v>544.12</v>
      </c>
      <c r="L1544" s="85">
        <v>1768.27</v>
      </c>
      <c r="M1544" s="89">
        <v>240.76</v>
      </c>
      <c r="N1544" s="85">
        <v>0</v>
      </c>
      <c r="O1544" s="85">
        <v>62.6</v>
      </c>
      <c r="P1544" s="85">
        <v>544.12</v>
      </c>
      <c r="Q1544" s="85">
        <v>1768.27</v>
      </c>
      <c r="R1544" s="82" t="s">
        <v>3399</v>
      </c>
      <c r="S1544" s="7">
        <f t="shared" si="73"/>
        <v>0</v>
      </c>
      <c r="T1544" s="6">
        <f t="shared" si="74"/>
        <v>0</v>
      </c>
      <c r="U1544" s="25">
        <f t="shared" si="72"/>
        <v>0</v>
      </c>
    </row>
    <row r="1545" spans="1:21" ht="10.9" customHeight="1" x14ac:dyDescent="0.2">
      <c r="A1545" s="82" t="s">
        <v>2963</v>
      </c>
      <c r="B1545" s="83">
        <v>45852</v>
      </c>
      <c r="C1545" s="82" t="s">
        <v>3395</v>
      </c>
      <c r="D1545" s="82" t="s">
        <v>1061</v>
      </c>
      <c r="E1545" s="82"/>
      <c r="F1545" s="82" t="s">
        <v>5197</v>
      </c>
      <c r="G1545" s="89">
        <v>2</v>
      </c>
      <c r="H1545" s="89">
        <v>393.29</v>
      </c>
      <c r="I1545" s="85">
        <v>0</v>
      </c>
      <c r="J1545" s="85">
        <v>39.33</v>
      </c>
      <c r="K1545" s="85">
        <v>825.91</v>
      </c>
      <c r="L1545" s="85">
        <v>825.91</v>
      </c>
      <c r="M1545" s="89">
        <v>393.29</v>
      </c>
      <c r="N1545" s="85">
        <v>0</v>
      </c>
      <c r="O1545" s="85">
        <v>39.33</v>
      </c>
      <c r="P1545" s="85">
        <v>825.91</v>
      </c>
      <c r="Q1545" s="85">
        <v>825.91</v>
      </c>
      <c r="R1545" s="82" t="s">
        <v>3399</v>
      </c>
      <c r="S1545" s="7">
        <f t="shared" si="73"/>
        <v>0</v>
      </c>
      <c r="T1545" s="6">
        <f t="shared" si="74"/>
        <v>0</v>
      </c>
      <c r="U1545" s="25">
        <f t="shared" si="72"/>
        <v>0</v>
      </c>
    </row>
    <row r="1546" spans="1:21" ht="10.9" customHeight="1" x14ac:dyDescent="0.2">
      <c r="A1546" s="82" t="s">
        <v>2958</v>
      </c>
      <c r="B1546" s="83">
        <v>45852</v>
      </c>
      <c r="C1546" s="82" t="s">
        <v>3395</v>
      </c>
      <c r="D1546" s="82" t="s">
        <v>1070</v>
      </c>
      <c r="E1546" s="82"/>
      <c r="F1546" s="82" t="s">
        <v>4577</v>
      </c>
      <c r="G1546" s="89">
        <v>1</v>
      </c>
      <c r="H1546" s="89">
        <v>3005</v>
      </c>
      <c r="I1546" s="85">
        <v>0</v>
      </c>
      <c r="J1546" s="85">
        <v>150.25</v>
      </c>
      <c r="K1546" s="85">
        <v>3155.25</v>
      </c>
      <c r="L1546" s="85">
        <v>3155.25</v>
      </c>
      <c r="M1546" s="89">
        <v>3005</v>
      </c>
      <c r="N1546" s="85">
        <v>0</v>
      </c>
      <c r="O1546" s="85">
        <v>150.25</v>
      </c>
      <c r="P1546" s="85">
        <v>3155.25</v>
      </c>
      <c r="Q1546" s="85">
        <v>3155.25</v>
      </c>
      <c r="R1546" s="82" t="s">
        <v>3399</v>
      </c>
      <c r="S1546" s="7">
        <f t="shared" si="73"/>
        <v>0</v>
      </c>
      <c r="T1546" s="6">
        <f t="shared" si="74"/>
        <v>0</v>
      </c>
      <c r="U1546" s="25">
        <f t="shared" si="72"/>
        <v>0</v>
      </c>
    </row>
    <row r="1547" spans="1:21" ht="10.9" customHeight="1" x14ac:dyDescent="0.2">
      <c r="A1547" s="82" t="s">
        <v>2950</v>
      </c>
      <c r="B1547" s="83">
        <v>45852</v>
      </c>
      <c r="C1547" s="82" t="s">
        <v>3395</v>
      </c>
      <c r="D1547" s="82" t="s">
        <v>1082</v>
      </c>
      <c r="E1547" s="82"/>
      <c r="F1547" s="82" t="s">
        <v>4959</v>
      </c>
      <c r="G1547" s="89">
        <v>1</v>
      </c>
      <c r="H1547" s="89">
        <v>3048.78</v>
      </c>
      <c r="I1547" s="85">
        <v>0</v>
      </c>
      <c r="J1547" s="85">
        <v>152.44</v>
      </c>
      <c r="K1547" s="85">
        <v>3201.22</v>
      </c>
      <c r="L1547" s="85">
        <v>3201.22</v>
      </c>
      <c r="M1547" s="89">
        <v>3048.78</v>
      </c>
      <c r="N1547" s="85">
        <v>0</v>
      </c>
      <c r="O1547" s="85">
        <v>152.44</v>
      </c>
      <c r="P1547" s="85">
        <v>3201.22</v>
      </c>
      <c r="Q1547" s="85">
        <v>3201.22</v>
      </c>
      <c r="R1547" s="82" t="s">
        <v>3399</v>
      </c>
      <c r="S1547" s="7">
        <f t="shared" si="73"/>
        <v>0</v>
      </c>
      <c r="T1547" s="6">
        <f t="shared" si="74"/>
        <v>0</v>
      </c>
      <c r="U1547" s="25">
        <f t="shared" si="72"/>
        <v>0</v>
      </c>
    </row>
    <row r="1548" spans="1:21" ht="10.9" customHeight="1" x14ac:dyDescent="0.2">
      <c r="A1548" s="82" t="s">
        <v>2952</v>
      </c>
      <c r="B1548" s="83">
        <v>45852</v>
      </c>
      <c r="C1548" s="82" t="s">
        <v>3395</v>
      </c>
      <c r="D1548" s="82" t="s">
        <v>1078</v>
      </c>
      <c r="E1548" s="82"/>
      <c r="F1548" s="82" t="s">
        <v>4736</v>
      </c>
      <c r="G1548" s="89">
        <v>1</v>
      </c>
      <c r="H1548" s="89">
        <v>373.11</v>
      </c>
      <c r="I1548" s="85">
        <v>0</v>
      </c>
      <c r="J1548" s="85">
        <v>18.66</v>
      </c>
      <c r="K1548" s="85">
        <v>391.77</v>
      </c>
      <c r="L1548" s="85">
        <v>970.58</v>
      </c>
      <c r="M1548" s="89">
        <v>373.11</v>
      </c>
      <c r="N1548" s="85">
        <v>0</v>
      </c>
      <c r="O1548" s="85">
        <v>18.66</v>
      </c>
      <c r="P1548" s="85">
        <v>391.77</v>
      </c>
      <c r="Q1548" s="85">
        <v>970.58</v>
      </c>
      <c r="R1548" s="82" t="s">
        <v>3399</v>
      </c>
      <c r="S1548" s="7">
        <f t="shared" si="73"/>
        <v>0</v>
      </c>
      <c r="T1548" s="6">
        <f t="shared" si="74"/>
        <v>0</v>
      </c>
      <c r="U1548" s="25">
        <f t="shared" si="72"/>
        <v>0</v>
      </c>
    </row>
    <row r="1549" spans="1:21" ht="10.9" customHeight="1" x14ac:dyDescent="0.2">
      <c r="A1549" s="82" t="s">
        <v>2952</v>
      </c>
      <c r="B1549" s="83">
        <v>45852</v>
      </c>
      <c r="C1549" s="82" t="s">
        <v>3395</v>
      </c>
      <c r="D1549" s="82" t="s">
        <v>1078</v>
      </c>
      <c r="E1549" s="82"/>
      <c r="F1549" s="82" t="s">
        <v>4673</v>
      </c>
      <c r="G1549" s="89">
        <v>1</v>
      </c>
      <c r="H1549" s="89">
        <v>154.97</v>
      </c>
      <c r="I1549" s="85">
        <v>0</v>
      </c>
      <c r="J1549" s="85">
        <v>7.75</v>
      </c>
      <c r="K1549" s="85">
        <v>162.72</v>
      </c>
      <c r="L1549" s="85">
        <v>970.58</v>
      </c>
      <c r="M1549" s="89">
        <v>154.97</v>
      </c>
      <c r="N1549" s="85">
        <v>0</v>
      </c>
      <c r="O1549" s="85">
        <v>7.75</v>
      </c>
      <c r="P1549" s="85">
        <v>162.72</v>
      </c>
      <c r="Q1549" s="85">
        <v>970.58</v>
      </c>
      <c r="R1549" s="82" t="s">
        <v>3399</v>
      </c>
      <c r="S1549" s="7">
        <f t="shared" si="73"/>
        <v>0</v>
      </c>
      <c r="T1549" s="6">
        <f t="shared" si="74"/>
        <v>0</v>
      </c>
      <c r="U1549" s="25">
        <f t="shared" si="72"/>
        <v>0</v>
      </c>
    </row>
    <row r="1550" spans="1:21" ht="10.9" customHeight="1" x14ac:dyDescent="0.2">
      <c r="A1550" s="82" t="s">
        <v>2952</v>
      </c>
      <c r="B1550" s="83">
        <v>45852</v>
      </c>
      <c r="C1550" s="82" t="s">
        <v>3395</v>
      </c>
      <c r="D1550" s="82" t="s">
        <v>1078</v>
      </c>
      <c r="E1550" s="82"/>
      <c r="F1550" s="82" t="s">
        <v>5196</v>
      </c>
      <c r="G1550" s="89">
        <v>1</v>
      </c>
      <c r="H1550" s="89">
        <v>396.28</v>
      </c>
      <c r="I1550" s="85">
        <v>0</v>
      </c>
      <c r="J1550" s="85">
        <v>19.809999999999999</v>
      </c>
      <c r="K1550" s="85">
        <v>416.09</v>
      </c>
      <c r="L1550" s="85">
        <v>970.58</v>
      </c>
      <c r="M1550" s="89">
        <v>396.28</v>
      </c>
      <c r="N1550" s="85">
        <v>0</v>
      </c>
      <c r="O1550" s="85">
        <v>19.809999999999999</v>
      </c>
      <c r="P1550" s="85">
        <v>416.09</v>
      </c>
      <c r="Q1550" s="85">
        <v>970.58</v>
      </c>
      <c r="R1550" s="82" t="s">
        <v>3399</v>
      </c>
      <c r="S1550" s="7">
        <f t="shared" si="73"/>
        <v>0</v>
      </c>
      <c r="T1550" s="6">
        <f t="shared" si="74"/>
        <v>0</v>
      </c>
      <c r="U1550" s="25">
        <f t="shared" si="72"/>
        <v>0</v>
      </c>
    </row>
    <row r="1551" spans="1:21" ht="10.9" customHeight="1" x14ac:dyDescent="0.2">
      <c r="A1551" s="82" t="s">
        <v>2911</v>
      </c>
      <c r="B1551" s="83">
        <v>45852</v>
      </c>
      <c r="C1551" s="82" t="s">
        <v>3395</v>
      </c>
      <c r="D1551" s="82" t="s">
        <v>1146</v>
      </c>
      <c r="E1551" s="82"/>
      <c r="F1551" s="82" t="s">
        <v>5195</v>
      </c>
      <c r="G1551" s="89">
        <v>5</v>
      </c>
      <c r="H1551" s="89">
        <v>21</v>
      </c>
      <c r="I1551" s="85">
        <v>0</v>
      </c>
      <c r="J1551" s="85">
        <v>13.65</v>
      </c>
      <c r="K1551" s="85">
        <v>118.65</v>
      </c>
      <c r="L1551" s="85">
        <v>118.65</v>
      </c>
      <c r="M1551" s="89">
        <v>21</v>
      </c>
      <c r="N1551" s="85">
        <v>0</v>
      </c>
      <c r="O1551" s="85">
        <v>13.65</v>
      </c>
      <c r="P1551" s="85">
        <v>118.65</v>
      </c>
      <c r="Q1551" s="85">
        <v>118.65</v>
      </c>
      <c r="R1551" s="82" t="s">
        <v>3399</v>
      </c>
      <c r="S1551" s="7">
        <f t="shared" si="73"/>
        <v>0</v>
      </c>
      <c r="T1551" s="6">
        <f t="shared" si="74"/>
        <v>0</v>
      </c>
      <c r="U1551" s="25">
        <f t="shared" si="72"/>
        <v>0</v>
      </c>
    </row>
    <row r="1552" spans="1:21" ht="10.9" customHeight="1" x14ac:dyDescent="0.2">
      <c r="A1552" s="82" t="s">
        <v>2945</v>
      </c>
      <c r="B1552" s="83">
        <v>45852</v>
      </c>
      <c r="C1552" s="82" t="s">
        <v>3395</v>
      </c>
      <c r="D1552" s="82" t="s">
        <v>1088</v>
      </c>
      <c r="E1552" s="82"/>
      <c r="F1552" s="82" t="s">
        <v>4612</v>
      </c>
      <c r="G1552" s="89">
        <v>1</v>
      </c>
      <c r="H1552" s="89">
        <v>184.92</v>
      </c>
      <c r="I1552" s="85">
        <v>0</v>
      </c>
      <c r="J1552" s="85">
        <v>0</v>
      </c>
      <c r="K1552" s="85">
        <v>184.92</v>
      </c>
      <c r="L1552" s="85">
        <v>184.92</v>
      </c>
      <c r="M1552" s="89">
        <v>253.32547912927927</v>
      </c>
      <c r="N1552" s="85">
        <v>0</v>
      </c>
      <c r="O1552" s="85">
        <v>0</v>
      </c>
      <c r="P1552" s="85">
        <v>253.32547912927927</v>
      </c>
      <c r="Q1552" s="85">
        <v>253.32547912927927</v>
      </c>
      <c r="R1552" s="82" t="s">
        <v>3399</v>
      </c>
      <c r="S1552" s="7">
        <f t="shared" si="73"/>
        <v>0</v>
      </c>
      <c r="T1552" s="6">
        <f t="shared" si="74"/>
        <v>0</v>
      </c>
      <c r="U1552" s="25">
        <f t="shared" si="72"/>
        <v>0</v>
      </c>
    </row>
    <row r="1553" spans="1:21" ht="10.9" customHeight="1" x14ac:dyDescent="0.2">
      <c r="A1553" s="82" t="s">
        <v>2907</v>
      </c>
      <c r="B1553" s="83">
        <v>45852</v>
      </c>
      <c r="C1553" s="82" t="s">
        <v>3395</v>
      </c>
      <c r="D1553" s="82" t="s">
        <v>1152</v>
      </c>
      <c r="E1553" s="82"/>
      <c r="F1553" s="82" t="s">
        <v>5194</v>
      </c>
      <c r="G1553" s="89">
        <v>1</v>
      </c>
      <c r="H1553" s="89">
        <v>1673.59</v>
      </c>
      <c r="I1553" s="85">
        <v>0</v>
      </c>
      <c r="J1553" s="85">
        <v>0</v>
      </c>
      <c r="K1553" s="85">
        <v>1673.59</v>
      </c>
      <c r="L1553" s="85">
        <v>1673.59</v>
      </c>
      <c r="M1553" s="89">
        <v>2292.6832609559297</v>
      </c>
      <c r="N1553" s="85">
        <v>0</v>
      </c>
      <c r="O1553" s="85">
        <v>0</v>
      </c>
      <c r="P1553" s="85">
        <v>2292.6832609559297</v>
      </c>
      <c r="Q1553" s="85">
        <v>2292.6832609559297</v>
      </c>
      <c r="R1553" s="82" t="s">
        <v>3399</v>
      </c>
      <c r="S1553" s="7">
        <f t="shared" si="73"/>
        <v>0</v>
      </c>
      <c r="T1553" s="6">
        <f t="shared" si="74"/>
        <v>0</v>
      </c>
      <c r="U1553" s="25">
        <f t="shared" si="72"/>
        <v>0</v>
      </c>
    </row>
    <row r="1554" spans="1:21" ht="10.9" customHeight="1" x14ac:dyDescent="0.2">
      <c r="A1554" s="82" t="s">
        <v>2942</v>
      </c>
      <c r="B1554" s="83">
        <v>45852</v>
      </c>
      <c r="C1554" s="82" t="s">
        <v>3395</v>
      </c>
      <c r="D1554" s="82" t="s">
        <v>1095</v>
      </c>
      <c r="E1554" s="82"/>
      <c r="F1554" s="82" t="s">
        <v>4425</v>
      </c>
      <c r="G1554" s="89">
        <v>1</v>
      </c>
      <c r="H1554" s="89">
        <v>954</v>
      </c>
      <c r="I1554" s="85">
        <v>0</v>
      </c>
      <c r="J1554" s="85">
        <v>0</v>
      </c>
      <c r="K1554" s="85">
        <v>954</v>
      </c>
      <c r="L1554" s="85">
        <v>954</v>
      </c>
      <c r="M1554" s="89">
        <v>1306.9030234119211</v>
      </c>
      <c r="N1554" s="85">
        <v>0</v>
      </c>
      <c r="O1554" s="85">
        <v>0</v>
      </c>
      <c r="P1554" s="85">
        <v>1306.9030234119211</v>
      </c>
      <c r="Q1554" s="85">
        <v>1306.9030234119211</v>
      </c>
      <c r="R1554" s="82" t="s">
        <v>3399</v>
      </c>
      <c r="S1554" s="7">
        <f t="shared" si="73"/>
        <v>0</v>
      </c>
      <c r="T1554" s="6">
        <f t="shared" si="74"/>
        <v>0</v>
      </c>
      <c r="U1554" s="25">
        <f t="shared" si="72"/>
        <v>0</v>
      </c>
    </row>
    <row r="1555" spans="1:21" ht="10.9" customHeight="1" x14ac:dyDescent="0.2">
      <c r="A1555" s="82" t="s">
        <v>2663</v>
      </c>
      <c r="B1555" s="83">
        <v>45852</v>
      </c>
      <c r="C1555" s="82" t="s">
        <v>3395</v>
      </c>
      <c r="D1555" s="82" t="s">
        <v>1590</v>
      </c>
      <c r="E1555" s="82"/>
      <c r="F1555" s="82" t="s">
        <v>5193</v>
      </c>
      <c r="G1555" s="89">
        <v>2</v>
      </c>
      <c r="H1555" s="89">
        <v>13291.74</v>
      </c>
      <c r="I1555" s="85">
        <v>0</v>
      </c>
      <c r="J1555" s="85">
        <v>0</v>
      </c>
      <c r="K1555" s="85">
        <v>26583.48</v>
      </c>
      <c r="L1555" s="85">
        <v>27833.48</v>
      </c>
      <c r="M1555" s="89">
        <v>18208.611312793677</v>
      </c>
      <c r="N1555" s="85">
        <v>0</v>
      </c>
      <c r="O1555" s="85">
        <v>0</v>
      </c>
      <c r="P1555" s="85">
        <v>36417.222625587354</v>
      </c>
      <c r="Q1555" s="85">
        <v>38129.621765278025</v>
      </c>
      <c r="R1555" s="82" t="s">
        <v>3399</v>
      </c>
      <c r="S1555" s="7">
        <f t="shared" si="73"/>
        <v>0</v>
      </c>
      <c r="T1555" s="6">
        <f t="shared" si="74"/>
        <v>0</v>
      </c>
      <c r="U1555" s="25">
        <f t="shared" si="72"/>
        <v>0</v>
      </c>
    </row>
    <row r="1556" spans="1:21" ht="10.9" customHeight="1" x14ac:dyDescent="0.2">
      <c r="A1556" s="82" t="s">
        <v>2663</v>
      </c>
      <c r="B1556" s="83">
        <v>45852</v>
      </c>
      <c r="C1556" s="82" t="s">
        <v>3395</v>
      </c>
      <c r="D1556" s="82" t="s">
        <v>1590</v>
      </c>
      <c r="E1556" s="82"/>
      <c r="F1556" s="82" t="s">
        <v>4885</v>
      </c>
      <c r="G1556" s="89">
        <v>1</v>
      </c>
      <c r="H1556" s="89">
        <v>1250</v>
      </c>
      <c r="I1556" s="85">
        <v>0</v>
      </c>
      <c r="J1556" s="85">
        <v>0</v>
      </c>
      <c r="K1556" s="85">
        <v>1250</v>
      </c>
      <c r="L1556" s="85">
        <v>27833.48</v>
      </c>
      <c r="M1556" s="89">
        <v>1712.3991396906722</v>
      </c>
      <c r="N1556" s="85">
        <v>0</v>
      </c>
      <c r="O1556" s="85">
        <v>0</v>
      </c>
      <c r="P1556" s="85">
        <v>1712.3991396906722</v>
      </c>
      <c r="Q1556" s="85">
        <v>38129.621765278025</v>
      </c>
      <c r="R1556" s="82" t="s">
        <v>3399</v>
      </c>
      <c r="S1556" s="7" t="str">
        <f t="shared" si="73"/>
        <v>INV13179</v>
      </c>
      <c r="T1556" s="6">
        <f t="shared" si="74"/>
        <v>1</v>
      </c>
      <c r="U1556" s="25">
        <f t="shared" si="72"/>
        <v>1250</v>
      </c>
    </row>
    <row r="1557" spans="1:21" ht="10.9" customHeight="1" x14ac:dyDescent="0.2">
      <c r="A1557" s="82" t="s">
        <v>2780</v>
      </c>
      <c r="B1557" s="83">
        <v>45853</v>
      </c>
      <c r="C1557" s="82" t="s">
        <v>3395</v>
      </c>
      <c r="D1557" s="82" t="s">
        <v>1379</v>
      </c>
      <c r="E1557" s="82"/>
      <c r="F1557" s="82" t="s">
        <v>4445</v>
      </c>
      <c r="G1557" s="89">
        <v>2</v>
      </c>
      <c r="H1557" s="89">
        <v>1935</v>
      </c>
      <c r="I1557" s="85">
        <v>0</v>
      </c>
      <c r="J1557" s="85">
        <v>0</v>
      </c>
      <c r="K1557" s="85">
        <v>3870</v>
      </c>
      <c r="L1557" s="85">
        <v>28692.74</v>
      </c>
      <c r="M1557" s="89">
        <v>2654.9546805410346</v>
      </c>
      <c r="N1557" s="85">
        <v>0</v>
      </c>
      <c r="O1557" s="85">
        <v>0</v>
      </c>
      <c r="P1557" s="85">
        <v>5309.9093610820692</v>
      </c>
      <c r="Q1557" s="85">
        <v>39368.436362039771</v>
      </c>
      <c r="R1557" s="82" t="s">
        <v>3399</v>
      </c>
      <c r="S1557" s="7">
        <f t="shared" si="73"/>
        <v>0</v>
      </c>
      <c r="T1557" s="6">
        <f t="shared" si="74"/>
        <v>0</v>
      </c>
      <c r="U1557" s="25">
        <f t="shared" si="72"/>
        <v>0</v>
      </c>
    </row>
    <row r="1558" spans="1:21" ht="10.9" customHeight="1" x14ac:dyDescent="0.2">
      <c r="A1558" s="82" t="s">
        <v>2780</v>
      </c>
      <c r="B1558" s="83">
        <v>45853</v>
      </c>
      <c r="C1558" s="82" t="s">
        <v>3395</v>
      </c>
      <c r="D1558" s="82" t="s">
        <v>1379</v>
      </c>
      <c r="E1558" s="82"/>
      <c r="F1558" s="82" t="s">
        <v>4446</v>
      </c>
      <c r="G1558" s="89">
        <v>2</v>
      </c>
      <c r="H1558" s="89">
        <v>2631</v>
      </c>
      <c r="I1558" s="85">
        <v>0</v>
      </c>
      <c r="J1558" s="85">
        <v>0</v>
      </c>
      <c r="K1558" s="85">
        <v>5262</v>
      </c>
      <c r="L1558" s="85">
        <v>28692.74</v>
      </c>
      <c r="M1558" s="89">
        <v>3609.915123774399</v>
      </c>
      <c r="N1558" s="85">
        <v>0</v>
      </c>
      <c r="O1558" s="85">
        <v>0</v>
      </c>
      <c r="P1558" s="85">
        <v>7219.8302475487981</v>
      </c>
      <c r="Q1558" s="85">
        <v>39368.436362039771</v>
      </c>
      <c r="R1558" s="82" t="s">
        <v>3399</v>
      </c>
      <c r="S1558" s="7">
        <f t="shared" si="73"/>
        <v>0</v>
      </c>
      <c r="T1558" s="6">
        <f t="shared" si="74"/>
        <v>0</v>
      </c>
      <c r="U1558" s="25">
        <f t="shared" si="72"/>
        <v>0</v>
      </c>
    </row>
    <row r="1559" spans="1:21" ht="10.9" customHeight="1" x14ac:dyDescent="0.2">
      <c r="A1559" s="82" t="s">
        <v>2780</v>
      </c>
      <c r="B1559" s="83">
        <v>45853</v>
      </c>
      <c r="C1559" s="82" t="s">
        <v>3395</v>
      </c>
      <c r="D1559" s="82" t="s">
        <v>1379</v>
      </c>
      <c r="E1559" s="82"/>
      <c r="F1559" s="82" t="s">
        <v>4444</v>
      </c>
      <c r="G1559" s="89">
        <v>2</v>
      </c>
      <c r="H1559" s="89">
        <v>2932</v>
      </c>
      <c r="I1559" s="85">
        <v>0</v>
      </c>
      <c r="J1559" s="85">
        <v>0</v>
      </c>
      <c r="K1559" s="85">
        <v>5864</v>
      </c>
      <c r="L1559" s="85">
        <v>28692.74</v>
      </c>
      <c r="M1559" s="89">
        <v>4022.9080740807822</v>
      </c>
      <c r="N1559" s="85">
        <v>0</v>
      </c>
      <c r="O1559" s="85">
        <v>0</v>
      </c>
      <c r="P1559" s="85">
        <v>8045.8161481615643</v>
      </c>
      <c r="Q1559" s="85">
        <v>39368.436362039771</v>
      </c>
      <c r="R1559" s="82" t="s">
        <v>3399</v>
      </c>
      <c r="S1559" s="7">
        <f t="shared" si="73"/>
        <v>0</v>
      </c>
      <c r="T1559" s="6">
        <f t="shared" si="74"/>
        <v>0</v>
      </c>
      <c r="U1559" s="25">
        <f t="shared" si="72"/>
        <v>0</v>
      </c>
    </row>
    <row r="1560" spans="1:21" ht="10.9" customHeight="1" x14ac:dyDescent="0.2">
      <c r="A1560" s="82" t="s">
        <v>2780</v>
      </c>
      <c r="B1560" s="83">
        <v>45853</v>
      </c>
      <c r="C1560" s="82" t="s">
        <v>3395</v>
      </c>
      <c r="D1560" s="82" t="s">
        <v>1379</v>
      </c>
      <c r="E1560" s="82"/>
      <c r="F1560" s="82" t="s">
        <v>4414</v>
      </c>
      <c r="G1560" s="89">
        <v>2</v>
      </c>
      <c r="H1560" s="89">
        <v>1356</v>
      </c>
      <c r="I1560" s="85">
        <v>0</v>
      </c>
      <c r="J1560" s="85">
        <v>0</v>
      </c>
      <c r="K1560" s="85">
        <v>2712</v>
      </c>
      <c r="L1560" s="85">
        <v>28692.74</v>
      </c>
      <c r="M1560" s="89">
        <v>1860.5263807822444</v>
      </c>
      <c r="N1560" s="85">
        <v>0</v>
      </c>
      <c r="O1560" s="85">
        <v>0</v>
      </c>
      <c r="P1560" s="85">
        <v>3721.0527615644887</v>
      </c>
      <c r="Q1560" s="85">
        <v>39368.436362039771</v>
      </c>
      <c r="R1560" s="82" t="s">
        <v>3399</v>
      </c>
      <c r="S1560" s="7">
        <f t="shared" si="73"/>
        <v>0</v>
      </c>
      <c r="T1560" s="6">
        <f t="shared" si="74"/>
        <v>0</v>
      </c>
      <c r="U1560" s="25">
        <f t="shared" si="72"/>
        <v>0</v>
      </c>
    </row>
    <row r="1561" spans="1:21" ht="10.9" customHeight="1" x14ac:dyDescent="0.2">
      <c r="A1561" s="82" t="s">
        <v>2780</v>
      </c>
      <c r="B1561" s="83">
        <v>45853</v>
      </c>
      <c r="C1561" s="82" t="s">
        <v>3395</v>
      </c>
      <c r="D1561" s="82" t="s">
        <v>1379</v>
      </c>
      <c r="E1561" s="82"/>
      <c r="F1561" s="82" t="s">
        <v>4751</v>
      </c>
      <c r="G1561" s="89">
        <v>3</v>
      </c>
      <c r="H1561" s="89">
        <v>211</v>
      </c>
      <c r="I1561" s="85">
        <v>0</v>
      </c>
      <c r="J1561" s="85">
        <v>0</v>
      </c>
      <c r="K1561" s="85">
        <v>633</v>
      </c>
      <c r="L1561" s="85">
        <v>28692.74</v>
      </c>
      <c r="M1561" s="89">
        <v>289.50668609517226</v>
      </c>
      <c r="N1561" s="85">
        <v>0</v>
      </c>
      <c r="O1561" s="85">
        <v>0</v>
      </c>
      <c r="P1561" s="85">
        <v>868.52005828551671</v>
      </c>
      <c r="Q1561" s="85">
        <v>39368.436362039771</v>
      </c>
      <c r="R1561" s="82" t="s">
        <v>3399</v>
      </c>
      <c r="S1561" s="7">
        <f t="shared" si="73"/>
        <v>0</v>
      </c>
      <c r="T1561" s="6">
        <f t="shared" si="74"/>
        <v>0</v>
      </c>
      <c r="U1561" s="25">
        <f t="shared" si="72"/>
        <v>0</v>
      </c>
    </row>
    <row r="1562" spans="1:21" ht="10.9" customHeight="1" x14ac:dyDescent="0.2">
      <c r="A1562" s="82" t="s">
        <v>2780</v>
      </c>
      <c r="B1562" s="83">
        <v>45853</v>
      </c>
      <c r="C1562" s="82" t="s">
        <v>3395</v>
      </c>
      <c r="D1562" s="82" t="s">
        <v>1379</v>
      </c>
      <c r="E1562" s="82"/>
      <c r="F1562" s="82" t="s">
        <v>4732</v>
      </c>
      <c r="G1562" s="89">
        <v>2</v>
      </c>
      <c r="H1562" s="89">
        <v>605</v>
      </c>
      <c r="I1562" s="85">
        <v>0</v>
      </c>
      <c r="J1562" s="85">
        <v>0</v>
      </c>
      <c r="K1562" s="85">
        <v>1210</v>
      </c>
      <c r="L1562" s="85">
        <v>28692.74</v>
      </c>
      <c r="M1562" s="89">
        <v>830.10210941980665</v>
      </c>
      <c r="N1562" s="85">
        <v>0</v>
      </c>
      <c r="O1562" s="85">
        <v>0</v>
      </c>
      <c r="P1562" s="85">
        <v>1660.2042188396133</v>
      </c>
      <c r="Q1562" s="85">
        <v>39368.436362039771</v>
      </c>
      <c r="R1562" s="82" t="s">
        <v>3399</v>
      </c>
      <c r="S1562" s="7">
        <f t="shared" si="73"/>
        <v>0</v>
      </c>
      <c r="T1562" s="6">
        <f t="shared" si="74"/>
        <v>0</v>
      </c>
      <c r="U1562" s="25">
        <f t="shared" si="72"/>
        <v>0</v>
      </c>
    </row>
    <row r="1563" spans="1:21" ht="10.9" customHeight="1" x14ac:dyDescent="0.2">
      <c r="A1563" s="82" t="s">
        <v>2780</v>
      </c>
      <c r="B1563" s="83">
        <v>45853</v>
      </c>
      <c r="C1563" s="82" t="s">
        <v>3395</v>
      </c>
      <c r="D1563" s="82" t="s">
        <v>1379</v>
      </c>
      <c r="E1563" s="82"/>
      <c r="F1563" s="82" t="s">
        <v>4733</v>
      </c>
      <c r="G1563" s="89">
        <v>2</v>
      </c>
      <c r="H1563" s="89">
        <v>101.37</v>
      </c>
      <c r="I1563" s="85">
        <v>0</v>
      </c>
      <c r="J1563" s="85">
        <v>0</v>
      </c>
      <c r="K1563" s="85">
        <v>202.74</v>
      </c>
      <c r="L1563" s="85">
        <v>28692.74</v>
      </c>
      <c r="M1563" s="89">
        <v>139.08669558989388</v>
      </c>
      <c r="N1563" s="85">
        <v>0</v>
      </c>
      <c r="O1563" s="85">
        <v>0</v>
      </c>
      <c r="P1563" s="85">
        <v>278.17339117978776</v>
      </c>
      <c r="Q1563" s="85">
        <v>39368.436362039771</v>
      </c>
      <c r="R1563" s="82" t="s">
        <v>3399</v>
      </c>
      <c r="S1563" s="7">
        <f t="shared" si="73"/>
        <v>0</v>
      </c>
      <c r="T1563" s="6">
        <f t="shared" si="74"/>
        <v>0</v>
      </c>
      <c r="U1563" s="25">
        <f t="shared" si="72"/>
        <v>0</v>
      </c>
    </row>
    <row r="1564" spans="1:21" ht="10.9" customHeight="1" x14ac:dyDescent="0.2">
      <c r="A1564" s="82" t="s">
        <v>2780</v>
      </c>
      <c r="B1564" s="83">
        <v>45853</v>
      </c>
      <c r="C1564" s="82" t="s">
        <v>3395</v>
      </c>
      <c r="D1564" s="82" t="s">
        <v>1379</v>
      </c>
      <c r="E1564" s="82"/>
      <c r="F1564" s="82" t="s">
        <v>5189</v>
      </c>
      <c r="G1564" s="89">
        <v>1</v>
      </c>
      <c r="H1564" s="89">
        <v>8939</v>
      </c>
      <c r="I1564" s="85">
        <v>0</v>
      </c>
      <c r="J1564" s="85">
        <v>0</v>
      </c>
      <c r="K1564" s="85">
        <v>8939</v>
      </c>
      <c r="L1564" s="85">
        <v>28692.74</v>
      </c>
      <c r="M1564" s="89">
        <v>12264.930175377936</v>
      </c>
      <c r="N1564" s="85">
        <v>0</v>
      </c>
      <c r="O1564" s="85">
        <v>0</v>
      </c>
      <c r="P1564" s="85">
        <v>12264.930175377936</v>
      </c>
      <c r="Q1564" s="85">
        <v>39368.436362039771</v>
      </c>
      <c r="R1564" s="82" t="s">
        <v>3399</v>
      </c>
      <c r="S1564" s="7">
        <f t="shared" si="73"/>
        <v>0</v>
      </c>
      <c r="T1564" s="6">
        <f t="shared" si="74"/>
        <v>0</v>
      </c>
      <c r="U1564" s="25">
        <f t="shared" si="72"/>
        <v>0</v>
      </c>
    </row>
    <row r="1565" spans="1:21" ht="10.9" customHeight="1" x14ac:dyDescent="0.2">
      <c r="A1565" s="82" t="s">
        <v>2910</v>
      </c>
      <c r="B1565" s="83">
        <v>45853</v>
      </c>
      <c r="C1565" s="82" t="s">
        <v>3395</v>
      </c>
      <c r="D1565" s="82" t="s">
        <v>1148</v>
      </c>
      <c r="E1565" s="82"/>
      <c r="F1565" s="82" t="s">
        <v>5192</v>
      </c>
      <c r="G1565" s="89">
        <v>4</v>
      </c>
      <c r="H1565" s="89">
        <v>306.45</v>
      </c>
      <c r="I1565" s="85">
        <v>0</v>
      </c>
      <c r="J1565" s="85">
        <v>171.61</v>
      </c>
      <c r="K1565" s="85">
        <v>1397.41</v>
      </c>
      <c r="L1565" s="85">
        <v>1397.41</v>
      </c>
      <c r="M1565" s="89">
        <v>306.45</v>
      </c>
      <c r="N1565" s="85">
        <v>0</v>
      </c>
      <c r="O1565" s="85">
        <v>171.61</v>
      </c>
      <c r="P1565" s="85">
        <v>1397.41</v>
      </c>
      <c r="Q1565" s="85">
        <v>1397.41</v>
      </c>
      <c r="R1565" s="82" t="s">
        <v>3399</v>
      </c>
      <c r="S1565" s="7">
        <f t="shared" si="73"/>
        <v>0</v>
      </c>
      <c r="T1565" s="6">
        <f t="shared" si="74"/>
        <v>0</v>
      </c>
      <c r="U1565" s="25">
        <f t="shared" si="72"/>
        <v>0</v>
      </c>
    </row>
    <row r="1566" spans="1:21" ht="10.9" customHeight="1" x14ac:dyDescent="0.2">
      <c r="A1566" s="82" t="s">
        <v>2962</v>
      </c>
      <c r="B1566" s="83">
        <v>45853</v>
      </c>
      <c r="C1566" s="82" t="s">
        <v>3395</v>
      </c>
      <c r="D1566" s="82" t="s">
        <v>1063</v>
      </c>
      <c r="E1566" s="82"/>
      <c r="F1566" s="82" t="s">
        <v>5179</v>
      </c>
      <c r="G1566" s="89">
        <v>2</v>
      </c>
      <c r="H1566" s="89">
        <v>297.83999999999997</v>
      </c>
      <c r="I1566" s="85">
        <v>0</v>
      </c>
      <c r="J1566" s="85">
        <v>29.78</v>
      </c>
      <c r="K1566" s="85">
        <v>625.46</v>
      </c>
      <c r="L1566" s="85">
        <v>625.46</v>
      </c>
      <c r="M1566" s="89">
        <v>297.83999999999997</v>
      </c>
      <c r="N1566" s="85">
        <v>0</v>
      </c>
      <c r="O1566" s="85">
        <v>29.78</v>
      </c>
      <c r="P1566" s="85">
        <v>625.46</v>
      </c>
      <c r="Q1566" s="85">
        <v>625.46</v>
      </c>
      <c r="R1566" s="82" t="s">
        <v>3399</v>
      </c>
      <c r="S1566" s="7">
        <f t="shared" si="73"/>
        <v>0</v>
      </c>
      <c r="T1566" s="6">
        <f t="shared" si="74"/>
        <v>0</v>
      </c>
      <c r="U1566" s="25">
        <f t="shared" si="72"/>
        <v>0</v>
      </c>
    </row>
    <row r="1567" spans="1:21" ht="10.9" customHeight="1" x14ac:dyDescent="0.2">
      <c r="A1567" s="82" t="s">
        <v>2967</v>
      </c>
      <c r="B1567" s="83">
        <v>45853</v>
      </c>
      <c r="C1567" s="82" t="s">
        <v>3395</v>
      </c>
      <c r="D1567" s="82" t="s">
        <v>1055</v>
      </c>
      <c r="E1567" s="82"/>
      <c r="F1567" s="82" t="s">
        <v>5191</v>
      </c>
      <c r="G1567" s="89">
        <v>1</v>
      </c>
      <c r="H1567" s="89">
        <v>161.57</v>
      </c>
      <c r="I1567" s="85">
        <v>0</v>
      </c>
      <c r="J1567" s="85">
        <v>8.08</v>
      </c>
      <c r="K1567" s="85">
        <v>169.65</v>
      </c>
      <c r="L1567" s="85">
        <v>418.03</v>
      </c>
      <c r="M1567" s="89">
        <v>161.57</v>
      </c>
      <c r="N1567" s="85">
        <v>0</v>
      </c>
      <c r="O1567" s="85">
        <v>8.08</v>
      </c>
      <c r="P1567" s="85">
        <v>169.65</v>
      </c>
      <c r="Q1567" s="85">
        <v>418.03</v>
      </c>
      <c r="R1567" s="82" t="s">
        <v>3399</v>
      </c>
      <c r="S1567" s="7">
        <f t="shared" si="73"/>
        <v>0</v>
      </c>
      <c r="T1567" s="6">
        <f t="shared" si="74"/>
        <v>0</v>
      </c>
      <c r="U1567" s="25">
        <f t="shared" si="72"/>
        <v>0</v>
      </c>
    </row>
    <row r="1568" spans="1:21" ht="10.9" customHeight="1" x14ac:dyDescent="0.2">
      <c r="A1568" s="82" t="s">
        <v>2967</v>
      </c>
      <c r="B1568" s="83">
        <v>45853</v>
      </c>
      <c r="C1568" s="82" t="s">
        <v>3395</v>
      </c>
      <c r="D1568" s="82" t="s">
        <v>1055</v>
      </c>
      <c r="E1568" s="82"/>
      <c r="F1568" s="82" t="s">
        <v>4850</v>
      </c>
      <c r="G1568" s="89">
        <v>1</v>
      </c>
      <c r="H1568" s="89">
        <v>236.55</v>
      </c>
      <c r="I1568" s="85">
        <v>0</v>
      </c>
      <c r="J1568" s="85">
        <v>11.83</v>
      </c>
      <c r="K1568" s="85">
        <v>248.38</v>
      </c>
      <c r="L1568" s="85">
        <v>418.03</v>
      </c>
      <c r="M1568" s="89">
        <v>236.55</v>
      </c>
      <c r="N1568" s="85">
        <v>0</v>
      </c>
      <c r="O1568" s="85">
        <v>11.83</v>
      </c>
      <c r="P1568" s="85">
        <v>248.38</v>
      </c>
      <c r="Q1568" s="85">
        <v>418.03</v>
      </c>
      <c r="R1568" s="82" t="s">
        <v>3399</v>
      </c>
      <c r="S1568" s="7">
        <f t="shared" si="73"/>
        <v>0</v>
      </c>
      <c r="T1568" s="6">
        <f t="shared" si="74"/>
        <v>0</v>
      </c>
      <c r="U1568" s="25">
        <f t="shared" si="72"/>
        <v>0</v>
      </c>
    </row>
    <row r="1569" spans="1:21" ht="10.9" customHeight="1" x14ac:dyDescent="0.2">
      <c r="A1569" s="82" t="s">
        <v>2947</v>
      </c>
      <c r="B1569" s="83">
        <v>45853</v>
      </c>
      <c r="C1569" s="82" t="s">
        <v>3395</v>
      </c>
      <c r="D1569" s="82" t="s">
        <v>1086</v>
      </c>
      <c r="E1569" s="82"/>
      <c r="F1569" s="82" t="s">
        <v>4735</v>
      </c>
      <c r="G1569" s="89">
        <v>2</v>
      </c>
      <c r="H1569" s="89">
        <v>13.79</v>
      </c>
      <c r="I1569" s="85">
        <v>0</v>
      </c>
      <c r="J1569" s="85">
        <v>1.38</v>
      </c>
      <c r="K1569" s="85">
        <v>28.96</v>
      </c>
      <c r="L1569" s="85">
        <v>132.47</v>
      </c>
      <c r="M1569" s="89">
        <v>13.79</v>
      </c>
      <c r="N1569" s="85">
        <v>0</v>
      </c>
      <c r="O1569" s="85">
        <v>1.38</v>
      </c>
      <c r="P1569" s="85">
        <v>28.96</v>
      </c>
      <c r="Q1569" s="85">
        <v>132.47</v>
      </c>
      <c r="R1569" s="82" t="s">
        <v>3399</v>
      </c>
      <c r="S1569" s="7">
        <f t="shared" si="73"/>
        <v>0</v>
      </c>
      <c r="T1569" s="6">
        <f t="shared" si="74"/>
        <v>0</v>
      </c>
      <c r="U1569" s="25">
        <f t="shared" si="72"/>
        <v>0</v>
      </c>
    </row>
    <row r="1570" spans="1:21" ht="10.9" customHeight="1" x14ac:dyDescent="0.2">
      <c r="A1570" s="82" t="s">
        <v>2947</v>
      </c>
      <c r="B1570" s="83">
        <v>45853</v>
      </c>
      <c r="C1570" s="82" t="s">
        <v>3395</v>
      </c>
      <c r="D1570" s="82" t="s">
        <v>1086</v>
      </c>
      <c r="E1570" s="82"/>
      <c r="F1570" s="82" t="s">
        <v>4734</v>
      </c>
      <c r="G1570" s="89">
        <v>2</v>
      </c>
      <c r="H1570" s="89">
        <v>49.29</v>
      </c>
      <c r="I1570" s="85">
        <v>0</v>
      </c>
      <c r="J1570" s="85">
        <v>4.93</v>
      </c>
      <c r="K1570" s="85">
        <v>103.51</v>
      </c>
      <c r="L1570" s="85">
        <v>132.47</v>
      </c>
      <c r="M1570" s="89">
        <v>49.29</v>
      </c>
      <c r="N1570" s="85">
        <v>0</v>
      </c>
      <c r="O1570" s="85">
        <v>4.93</v>
      </c>
      <c r="P1570" s="85">
        <v>103.51</v>
      </c>
      <c r="Q1570" s="85">
        <v>132.47</v>
      </c>
      <c r="R1570" s="82" t="s">
        <v>3399</v>
      </c>
      <c r="S1570" s="7">
        <f t="shared" si="73"/>
        <v>0</v>
      </c>
      <c r="T1570" s="6">
        <f t="shared" si="74"/>
        <v>0</v>
      </c>
      <c r="U1570" s="25">
        <f t="shared" si="72"/>
        <v>0</v>
      </c>
    </row>
    <row r="1571" spans="1:21" ht="10.9" customHeight="1" x14ac:dyDescent="0.2">
      <c r="A1571" s="82" t="s">
        <v>2974</v>
      </c>
      <c r="B1571" s="83">
        <v>45853</v>
      </c>
      <c r="C1571" s="82" t="s">
        <v>3395</v>
      </c>
      <c r="D1571" s="82" t="s">
        <v>1041</v>
      </c>
      <c r="E1571" s="82"/>
      <c r="F1571" s="82" t="s">
        <v>5188</v>
      </c>
      <c r="G1571" s="89">
        <v>1</v>
      </c>
      <c r="H1571" s="89">
        <v>283.12</v>
      </c>
      <c r="I1571" s="85">
        <v>0</v>
      </c>
      <c r="J1571" s="85">
        <v>0</v>
      </c>
      <c r="K1571" s="85">
        <v>283.12</v>
      </c>
      <c r="L1571" s="85">
        <v>456.73</v>
      </c>
      <c r="M1571" s="89">
        <v>388.4603458164226</v>
      </c>
      <c r="N1571" s="85">
        <v>0</v>
      </c>
      <c r="O1571" s="85">
        <v>0</v>
      </c>
      <c r="P1571" s="85">
        <v>388.4603458164226</v>
      </c>
      <c r="Q1571" s="85">
        <v>626.66534947984837</v>
      </c>
      <c r="R1571" s="82" t="s">
        <v>3399</v>
      </c>
      <c r="S1571" s="7">
        <f t="shared" si="73"/>
        <v>0</v>
      </c>
      <c r="T1571" s="6">
        <f t="shared" si="74"/>
        <v>0</v>
      </c>
      <c r="U1571" s="25">
        <f t="shared" si="72"/>
        <v>0</v>
      </c>
    </row>
    <row r="1572" spans="1:21" ht="10.9" customHeight="1" x14ac:dyDescent="0.2">
      <c r="A1572" s="82" t="s">
        <v>2974</v>
      </c>
      <c r="B1572" s="83">
        <v>45853</v>
      </c>
      <c r="C1572" s="82" t="s">
        <v>3395</v>
      </c>
      <c r="D1572" s="82" t="s">
        <v>1041</v>
      </c>
      <c r="E1572" s="82"/>
      <c r="F1572" s="82" t="s">
        <v>4459</v>
      </c>
      <c r="G1572" s="89">
        <v>1</v>
      </c>
      <c r="H1572" s="89">
        <v>173.61</v>
      </c>
      <c r="I1572" s="85">
        <v>0</v>
      </c>
      <c r="J1572" s="85">
        <v>0</v>
      </c>
      <c r="K1572" s="85">
        <v>173.61</v>
      </c>
      <c r="L1572" s="85">
        <v>456.73</v>
      </c>
      <c r="M1572" s="89">
        <v>238.20500366342583</v>
      </c>
      <c r="N1572" s="85">
        <v>0</v>
      </c>
      <c r="O1572" s="85">
        <v>0</v>
      </c>
      <c r="P1572" s="85">
        <v>238.20500366342583</v>
      </c>
      <c r="Q1572" s="85">
        <v>626.66534947984837</v>
      </c>
      <c r="R1572" s="82" t="s">
        <v>3399</v>
      </c>
      <c r="S1572" s="7" t="str">
        <f t="shared" si="73"/>
        <v>INV13184</v>
      </c>
      <c r="T1572" s="6">
        <f t="shared" si="74"/>
        <v>1</v>
      </c>
      <c r="U1572" s="25">
        <f t="shared" si="72"/>
        <v>173.61</v>
      </c>
    </row>
    <row r="1573" spans="1:21" ht="10.9" customHeight="1" x14ac:dyDescent="0.2">
      <c r="A1573" s="82" t="s">
        <v>2973</v>
      </c>
      <c r="B1573" s="83">
        <v>45853</v>
      </c>
      <c r="C1573" s="82" t="s">
        <v>3395</v>
      </c>
      <c r="D1573" s="82" t="s">
        <v>1043</v>
      </c>
      <c r="E1573" s="82"/>
      <c r="F1573" s="82" t="s">
        <v>4671</v>
      </c>
      <c r="G1573" s="89">
        <v>2</v>
      </c>
      <c r="H1573" s="89">
        <v>21.59</v>
      </c>
      <c r="I1573" s="85">
        <v>0</v>
      </c>
      <c r="J1573" s="85">
        <v>5.61</v>
      </c>
      <c r="K1573" s="85">
        <v>48.79</v>
      </c>
      <c r="L1573" s="85">
        <v>814.95</v>
      </c>
      <c r="M1573" s="89">
        <v>21.59</v>
      </c>
      <c r="N1573" s="85">
        <v>0</v>
      </c>
      <c r="O1573" s="85">
        <v>5.61</v>
      </c>
      <c r="P1573" s="85">
        <v>48.79</v>
      </c>
      <c r="Q1573" s="85">
        <v>814.95</v>
      </c>
      <c r="R1573" s="82" t="s">
        <v>3399</v>
      </c>
      <c r="S1573" s="7">
        <f t="shared" si="73"/>
        <v>0</v>
      </c>
      <c r="T1573" s="6">
        <f t="shared" si="74"/>
        <v>0</v>
      </c>
      <c r="U1573" s="25">
        <f t="shared" si="72"/>
        <v>0</v>
      </c>
    </row>
    <row r="1574" spans="1:21" ht="10.9" customHeight="1" x14ac:dyDescent="0.2">
      <c r="A1574" s="82" t="s">
        <v>2973</v>
      </c>
      <c r="B1574" s="83">
        <v>45853</v>
      </c>
      <c r="C1574" s="82" t="s">
        <v>3395</v>
      </c>
      <c r="D1574" s="82" t="s">
        <v>1043</v>
      </c>
      <c r="E1574" s="82"/>
      <c r="F1574" s="82" t="s">
        <v>4615</v>
      </c>
      <c r="G1574" s="89">
        <v>1</v>
      </c>
      <c r="H1574" s="89">
        <v>10.78</v>
      </c>
      <c r="I1574" s="85">
        <v>0</v>
      </c>
      <c r="J1574" s="85">
        <v>1.4</v>
      </c>
      <c r="K1574" s="85">
        <v>12.18</v>
      </c>
      <c r="L1574" s="85">
        <v>814.95</v>
      </c>
      <c r="M1574" s="89">
        <v>10.78</v>
      </c>
      <c r="N1574" s="85">
        <v>0</v>
      </c>
      <c r="O1574" s="85">
        <v>1.4</v>
      </c>
      <c r="P1574" s="85">
        <v>12.18</v>
      </c>
      <c r="Q1574" s="85">
        <v>814.95</v>
      </c>
      <c r="R1574" s="82" t="s">
        <v>3399</v>
      </c>
      <c r="S1574" s="7">
        <f t="shared" si="73"/>
        <v>0</v>
      </c>
      <c r="T1574" s="6">
        <f t="shared" si="74"/>
        <v>0</v>
      </c>
      <c r="U1574" s="25">
        <f t="shared" si="72"/>
        <v>0</v>
      </c>
    </row>
    <row r="1575" spans="1:21" ht="10.9" customHeight="1" x14ac:dyDescent="0.2">
      <c r="A1575" s="82" t="s">
        <v>2973</v>
      </c>
      <c r="B1575" s="83">
        <v>45853</v>
      </c>
      <c r="C1575" s="82" t="s">
        <v>3395</v>
      </c>
      <c r="D1575" s="82" t="s">
        <v>1043</v>
      </c>
      <c r="E1575" s="82"/>
      <c r="F1575" s="82" t="s">
        <v>4426</v>
      </c>
      <c r="G1575" s="89">
        <v>1</v>
      </c>
      <c r="H1575" s="89">
        <v>156.61000000000001</v>
      </c>
      <c r="I1575" s="85">
        <v>0</v>
      </c>
      <c r="J1575" s="85">
        <v>20.36</v>
      </c>
      <c r="K1575" s="85">
        <v>176.97</v>
      </c>
      <c r="L1575" s="85">
        <v>814.95</v>
      </c>
      <c r="M1575" s="89">
        <v>156.61000000000001</v>
      </c>
      <c r="N1575" s="85">
        <v>0</v>
      </c>
      <c r="O1575" s="85">
        <v>20.36</v>
      </c>
      <c r="P1575" s="85">
        <v>176.97</v>
      </c>
      <c r="Q1575" s="85">
        <v>814.95</v>
      </c>
      <c r="R1575" s="82" t="s">
        <v>3399</v>
      </c>
      <c r="S1575" s="7">
        <f t="shared" si="73"/>
        <v>0</v>
      </c>
      <c r="T1575" s="6">
        <f t="shared" si="74"/>
        <v>0</v>
      </c>
      <c r="U1575" s="25">
        <f t="shared" si="72"/>
        <v>0</v>
      </c>
    </row>
    <row r="1576" spans="1:21" ht="10.9" customHeight="1" x14ac:dyDescent="0.2">
      <c r="A1576" s="82" t="s">
        <v>2973</v>
      </c>
      <c r="B1576" s="83">
        <v>45853</v>
      </c>
      <c r="C1576" s="82" t="s">
        <v>3395</v>
      </c>
      <c r="D1576" s="82" t="s">
        <v>1043</v>
      </c>
      <c r="E1576" s="82"/>
      <c r="F1576" s="82" t="s">
        <v>4437</v>
      </c>
      <c r="G1576" s="89">
        <v>1</v>
      </c>
      <c r="H1576" s="89">
        <v>106.84</v>
      </c>
      <c r="I1576" s="85">
        <v>0</v>
      </c>
      <c r="J1576" s="85">
        <v>13.89</v>
      </c>
      <c r="K1576" s="85">
        <v>120.73</v>
      </c>
      <c r="L1576" s="85">
        <v>814.95</v>
      </c>
      <c r="M1576" s="89">
        <v>106.84</v>
      </c>
      <c r="N1576" s="85">
        <v>0</v>
      </c>
      <c r="O1576" s="85">
        <v>13.89</v>
      </c>
      <c r="P1576" s="85">
        <v>120.73</v>
      </c>
      <c r="Q1576" s="85">
        <v>814.95</v>
      </c>
      <c r="R1576" s="82" t="s">
        <v>3399</v>
      </c>
      <c r="S1576" s="7">
        <f t="shared" si="73"/>
        <v>0</v>
      </c>
      <c r="T1576" s="6">
        <f t="shared" si="74"/>
        <v>0</v>
      </c>
      <c r="U1576" s="25">
        <f t="shared" si="72"/>
        <v>0</v>
      </c>
    </row>
    <row r="1577" spans="1:21" ht="10.9" customHeight="1" x14ac:dyDescent="0.2">
      <c r="A1577" s="82" t="s">
        <v>2973</v>
      </c>
      <c r="B1577" s="83">
        <v>45853</v>
      </c>
      <c r="C1577" s="82" t="s">
        <v>3395</v>
      </c>
      <c r="D1577" s="82" t="s">
        <v>1043</v>
      </c>
      <c r="E1577" s="82"/>
      <c r="F1577" s="82" t="s">
        <v>4436</v>
      </c>
      <c r="G1577" s="89">
        <v>1</v>
      </c>
      <c r="H1577" s="89">
        <v>269.97000000000003</v>
      </c>
      <c r="I1577" s="85">
        <v>0</v>
      </c>
      <c r="J1577" s="85">
        <v>35.1</v>
      </c>
      <c r="K1577" s="85">
        <v>305.07</v>
      </c>
      <c r="L1577" s="85">
        <v>814.95</v>
      </c>
      <c r="M1577" s="89">
        <v>269.97000000000003</v>
      </c>
      <c r="N1577" s="85">
        <v>0</v>
      </c>
      <c r="O1577" s="85">
        <v>35.1</v>
      </c>
      <c r="P1577" s="85">
        <v>305.07</v>
      </c>
      <c r="Q1577" s="85">
        <v>814.95</v>
      </c>
      <c r="R1577" s="82" t="s">
        <v>3399</v>
      </c>
      <c r="S1577" s="7">
        <f t="shared" si="73"/>
        <v>0</v>
      </c>
      <c r="T1577" s="6">
        <f t="shared" si="74"/>
        <v>0</v>
      </c>
      <c r="U1577" s="25">
        <f t="shared" si="72"/>
        <v>0</v>
      </c>
    </row>
    <row r="1578" spans="1:21" ht="10.9" customHeight="1" x14ac:dyDescent="0.2">
      <c r="A1578" s="82" t="s">
        <v>2973</v>
      </c>
      <c r="B1578" s="83">
        <v>45853</v>
      </c>
      <c r="C1578" s="82" t="s">
        <v>3395</v>
      </c>
      <c r="D1578" s="82" t="s">
        <v>1043</v>
      </c>
      <c r="E1578" s="82"/>
      <c r="F1578" s="82" t="s">
        <v>4433</v>
      </c>
      <c r="G1578" s="89">
        <v>1</v>
      </c>
      <c r="H1578" s="89">
        <v>133.81</v>
      </c>
      <c r="I1578" s="85">
        <v>0</v>
      </c>
      <c r="J1578" s="85">
        <v>17.399999999999999</v>
      </c>
      <c r="K1578" s="85">
        <v>151.21</v>
      </c>
      <c r="L1578" s="85">
        <v>814.95</v>
      </c>
      <c r="M1578" s="89">
        <v>133.81</v>
      </c>
      <c r="N1578" s="85">
        <v>0</v>
      </c>
      <c r="O1578" s="85">
        <v>17.399999999999999</v>
      </c>
      <c r="P1578" s="85">
        <v>151.21</v>
      </c>
      <c r="Q1578" s="85">
        <v>814.95</v>
      </c>
      <c r="R1578" s="82" t="s">
        <v>3399</v>
      </c>
      <c r="S1578" s="7">
        <f t="shared" si="73"/>
        <v>0</v>
      </c>
      <c r="T1578" s="6">
        <f t="shared" si="74"/>
        <v>0</v>
      </c>
      <c r="U1578" s="25">
        <f t="shared" si="72"/>
        <v>0</v>
      </c>
    </row>
    <row r="1579" spans="1:21" ht="10.9" customHeight="1" x14ac:dyDescent="0.2">
      <c r="A1579" s="82" t="s">
        <v>2913</v>
      </c>
      <c r="B1579" s="83">
        <v>45853</v>
      </c>
      <c r="C1579" s="82" t="s">
        <v>3395</v>
      </c>
      <c r="D1579" s="82" t="s">
        <v>1141</v>
      </c>
      <c r="E1579" s="82"/>
      <c r="F1579" s="82" t="s">
        <v>5190</v>
      </c>
      <c r="G1579" s="89">
        <v>1</v>
      </c>
      <c r="H1579" s="89">
        <v>550.80999999999995</v>
      </c>
      <c r="I1579" s="85">
        <v>0</v>
      </c>
      <c r="J1579" s="85">
        <v>71.61</v>
      </c>
      <c r="K1579" s="85">
        <v>622.41999999999996</v>
      </c>
      <c r="L1579" s="85">
        <v>622.41999999999996</v>
      </c>
      <c r="M1579" s="89">
        <v>550.80999999999995</v>
      </c>
      <c r="N1579" s="85">
        <v>0</v>
      </c>
      <c r="O1579" s="85">
        <v>71.61</v>
      </c>
      <c r="P1579" s="85">
        <v>622.41999999999996</v>
      </c>
      <c r="Q1579" s="85">
        <v>622.41999999999996</v>
      </c>
      <c r="R1579" s="82" t="s">
        <v>3399</v>
      </c>
      <c r="S1579" s="7">
        <f t="shared" si="73"/>
        <v>0</v>
      </c>
      <c r="T1579" s="6">
        <f t="shared" si="74"/>
        <v>0</v>
      </c>
      <c r="U1579" s="25">
        <f t="shared" si="72"/>
        <v>0</v>
      </c>
    </row>
    <row r="1580" spans="1:21" ht="10.9" customHeight="1" x14ac:dyDescent="0.2">
      <c r="A1580" s="82" t="s">
        <v>5185</v>
      </c>
      <c r="B1580" s="83">
        <v>45854</v>
      </c>
      <c r="C1580" s="82" t="s">
        <v>3395</v>
      </c>
      <c r="D1580" s="82" t="s">
        <v>1678</v>
      </c>
      <c r="E1580" s="82"/>
      <c r="F1580" s="82" t="s">
        <v>5187</v>
      </c>
      <c r="G1580" s="89">
        <v>2</v>
      </c>
      <c r="H1580" s="89">
        <v>1215</v>
      </c>
      <c r="I1580" s="85">
        <v>0</v>
      </c>
      <c r="J1580" s="85">
        <v>0</v>
      </c>
      <c r="K1580" s="85">
        <v>2430</v>
      </c>
      <c r="L1580" s="85">
        <v>9044.7999999999993</v>
      </c>
      <c r="M1580" s="89">
        <v>1694.5252191376749</v>
      </c>
      <c r="N1580" s="85">
        <v>0</v>
      </c>
      <c r="O1580" s="85">
        <v>0</v>
      </c>
      <c r="P1580" s="85">
        <v>3389.0504382753497</v>
      </c>
      <c r="Q1580" s="85">
        <v>12614.519919388018</v>
      </c>
      <c r="R1580" s="82" t="s">
        <v>4511</v>
      </c>
      <c r="S1580" s="7">
        <f t="shared" si="73"/>
        <v>0</v>
      </c>
      <c r="T1580" s="6">
        <f t="shared" si="74"/>
        <v>0</v>
      </c>
      <c r="U1580" s="25">
        <f t="shared" si="72"/>
        <v>0</v>
      </c>
    </row>
    <row r="1581" spans="1:21" ht="10.9" customHeight="1" x14ac:dyDescent="0.2">
      <c r="A1581" s="82" t="s">
        <v>5185</v>
      </c>
      <c r="B1581" s="83">
        <v>45854</v>
      </c>
      <c r="C1581" s="82" t="s">
        <v>3395</v>
      </c>
      <c r="D1581" s="82" t="s">
        <v>1678</v>
      </c>
      <c r="E1581" s="82"/>
      <c r="F1581" s="82" t="s">
        <v>5186</v>
      </c>
      <c r="G1581" s="89">
        <v>10</v>
      </c>
      <c r="H1581" s="89">
        <v>325.87</v>
      </c>
      <c r="I1581" s="85">
        <v>0</v>
      </c>
      <c r="J1581" s="85">
        <v>0</v>
      </c>
      <c r="K1581" s="85">
        <v>3258.7</v>
      </c>
      <c r="L1581" s="85">
        <v>9044.7999999999993</v>
      </c>
      <c r="M1581" s="89">
        <v>454.48142646946019</v>
      </c>
      <c r="N1581" s="85">
        <v>0</v>
      </c>
      <c r="O1581" s="85">
        <v>0</v>
      </c>
      <c r="P1581" s="85">
        <v>4544.8142646946017</v>
      </c>
      <c r="Q1581" s="85">
        <v>12614.519919388018</v>
      </c>
      <c r="R1581" s="82" t="s">
        <v>4511</v>
      </c>
      <c r="S1581" s="7">
        <f t="shared" si="73"/>
        <v>0</v>
      </c>
      <c r="T1581" s="6">
        <f t="shared" si="74"/>
        <v>0</v>
      </c>
      <c r="U1581" s="25">
        <f t="shared" si="72"/>
        <v>0</v>
      </c>
    </row>
    <row r="1582" spans="1:21" ht="10.9" customHeight="1" x14ac:dyDescent="0.2">
      <c r="A1582" s="82" t="s">
        <v>5185</v>
      </c>
      <c r="B1582" s="83">
        <v>45854</v>
      </c>
      <c r="C1582" s="82" t="s">
        <v>3395</v>
      </c>
      <c r="D1582" s="82" t="s">
        <v>1678</v>
      </c>
      <c r="E1582" s="82"/>
      <c r="F1582" s="82" t="s">
        <v>5184</v>
      </c>
      <c r="G1582" s="89">
        <v>30</v>
      </c>
      <c r="H1582" s="89">
        <v>111.87</v>
      </c>
      <c r="I1582" s="85">
        <v>0</v>
      </c>
      <c r="J1582" s="85">
        <v>0</v>
      </c>
      <c r="K1582" s="85">
        <v>3356.1</v>
      </c>
      <c r="L1582" s="85">
        <v>9044.7999999999993</v>
      </c>
      <c r="M1582" s="89">
        <v>156.02184054726888</v>
      </c>
      <c r="N1582" s="85">
        <v>0</v>
      </c>
      <c r="O1582" s="85">
        <v>0</v>
      </c>
      <c r="P1582" s="85">
        <v>4680.6552164180666</v>
      </c>
      <c r="Q1582" s="85">
        <v>12614.519919388018</v>
      </c>
      <c r="R1582" s="82" t="s">
        <v>4511</v>
      </c>
      <c r="S1582" s="7">
        <f t="shared" si="73"/>
        <v>0</v>
      </c>
      <c r="T1582" s="6">
        <f t="shared" si="74"/>
        <v>0</v>
      </c>
      <c r="U1582" s="25">
        <f t="shared" si="72"/>
        <v>0</v>
      </c>
    </row>
    <row r="1583" spans="1:21" ht="10.9" customHeight="1" x14ac:dyDescent="0.2">
      <c r="A1583" s="82" t="s">
        <v>2926</v>
      </c>
      <c r="B1583" s="83">
        <v>45854</v>
      </c>
      <c r="C1583" s="82" t="s">
        <v>3395</v>
      </c>
      <c r="D1583" s="82" t="s">
        <v>1123</v>
      </c>
      <c r="E1583" s="82"/>
      <c r="F1583" s="82" t="s">
        <v>4631</v>
      </c>
      <c r="G1583" s="89">
        <v>8</v>
      </c>
      <c r="H1583" s="89">
        <v>1058.44</v>
      </c>
      <c r="I1583" s="85">
        <v>0</v>
      </c>
      <c r="J1583" s="85">
        <v>0</v>
      </c>
      <c r="K1583" s="85">
        <v>8467.52</v>
      </c>
      <c r="L1583" s="85">
        <v>10241.64</v>
      </c>
      <c r="M1583" s="89">
        <v>1448.8024288150766</v>
      </c>
      <c r="N1583" s="85">
        <v>0</v>
      </c>
      <c r="O1583" s="85">
        <v>0</v>
      </c>
      <c r="P1583" s="85">
        <v>11590.419430520613</v>
      </c>
      <c r="Q1583" s="85">
        <v>14018.851240551794</v>
      </c>
      <c r="R1583" s="82" t="s">
        <v>3399</v>
      </c>
      <c r="S1583" s="7">
        <f t="shared" si="73"/>
        <v>0</v>
      </c>
      <c r="T1583" s="6">
        <f t="shared" si="74"/>
        <v>0</v>
      </c>
      <c r="U1583" s="25">
        <f t="shared" si="72"/>
        <v>0</v>
      </c>
    </row>
    <row r="1584" spans="1:21" ht="10.9" customHeight="1" x14ac:dyDescent="0.2">
      <c r="A1584" s="82" t="s">
        <v>2926</v>
      </c>
      <c r="B1584" s="83">
        <v>45854</v>
      </c>
      <c r="C1584" s="82" t="s">
        <v>3395</v>
      </c>
      <c r="D1584" s="82" t="s">
        <v>1123</v>
      </c>
      <c r="E1584" s="82"/>
      <c r="F1584" s="82" t="s">
        <v>4629</v>
      </c>
      <c r="G1584" s="89">
        <v>1</v>
      </c>
      <c r="H1584" s="89">
        <v>673.64</v>
      </c>
      <c r="I1584" s="85">
        <v>0</v>
      </c>
      <c r="J1584" s="85">
        <v>0</v>
      </c>
      <c r="K1584" s="85">
        <v>673.64</v>
      </c>
      <c r="L1584" s="85">
        <v>10241.64</v>
      </c>
      <c r="M1584" s="89">
        <v>922.08464168681098</v>
      </c>
      <c r="N1584" s="85">
        <v>0</v>
      </c>
      <c r="O1584" s="85">
        <v>0</v>
      </c>
      <c r="P1584" s="85">
        <v>922.08464168681098</v>
      </c>
      <c r="Q1584" s="85">
        <v>14018.851240551794</v>
      </c>
      <c r="R1584" s="82" t="s">
        <v>3399</v>
      </c>
      <c r="S1584" s="7">
        <f t="shared" si="73"/>
        <v>0</v>
      </c>
      <c r="T1584" s="6">
        <f t="shared" si="74"/>
        <v>0</v>
      </c>
      <c r="U1584" s="25">
        <f t="shared" si="72"/>
        <v>0</v>
      </c>
    </row>
    <row r="1585" spans="1:21" ht="10.9" customHeight="1" x14ac:dyDescent="0.2">
      <c r="A1585" s="82" t="s">
        <v>2926</v>
      </c>
      <c r="B1585" s="83">
        <v>45854</v>
      </c>
      <c r="C1585" s="82" t="s">
        <v>3395</v>
      </c>
      <c r="D1585" s="82" t="s">
        <v>1123</v>
      </c>
      <c r="E1585" s="82"/>
      <c r="F1585" s="82" t="s">
        <v>4634</v>
      </c>
      <c r="G1585" s="89">
        <v>1</v>
      </c>
      <c r="H1585" s="89">
        <v>1100.48</v>
      </c>
      <c r="I1585" s="85">
        <v>0</v>
      </c>
      <c r="J1585" s="85">
        <v>0</v>
      </c>
      <c r="K1585" s="85">
        <v>1100.48</v>
      </c>
      <c r="L1585" s="85">
        <v>10241.64</v>
      </c>
      <c r="M1585" s="89">
        <v>1506.3471683443704</v>
      </c>
      <c r="N1585" s="85">
        <v>0</v>
      </c>
      <c r="O1585" s="85">
        <v>0</v>
      </c>
      <c r="P1585" s="85">
        <v>1506.3471683443704</v>
      </c>
      <c r="Q1585" s="85">
        <v>14018.851240551794</v>
      </c>
      <c r="R1585" s="82" t="s">
        <v>3399</v>
      </c>
      <c r="S1585" s="7">
        <f t="shared" si="73"/>
        <v>0</v>
      </c>
      <c r="T1585" s="6">
        <f t="shared" si="74"/>
        <v>0</v>
      </c>
      <c r="U1585" s="25">
        <f t="shared" si="72"/>
        <v>0</v>
      </c>
    </row>
    <row r="1586" spans="1:21" ht="10.9" customHeight="1" x14ac:dyDescent="0.2">
      <c r="A1586" s="82" t="s">
        <v>2752</v>
      </c>
      <c r="B1586" s="83">
        <v>45854</v>
      </c>
      <c r="C1586" s="82" t="s">
        <v>3395</v>
      </c>
      <c r="D1586" s="82" t="s">
        <v>1432</v>
      </c>
      <c r="E1586" s="82"/>
      <c r="F1586" s="82" t="s">
        <v>5183</v>
      </c>
      <c r="G1586" s="89">
        <v>2</v>
      </c>
      <c r="H1586" s="89">
        <v>17393</v>
      </c>
      <c r="I1586" s="85">
        <v>0</v>
      </c>
      <c r="J1586" s="85">
        <v>0</v>
      </c>
      <c r="K1586" s="85">
        <v>34786</v>
      </c>
      <c r="L1586" s="85">
        <v>34786</v>
      </c>
      <c r="M1586" s="89">
        <v>23859.528790424913</v>
      </c>
      <c r="N1586" s="85">
        <v>0</v>
      </c>
      <c r="O1586" s="85">
        <v>0</v>
      </c>
      <c r="P1586" s="85">
        <v>47719.057580849825</v>
      </c>
      <c r="Q1586" s="85">
        <v>47719.057580849825</v>
      </c>
      <c r="R1586" s="82" t="s">
        <v>3399</v>
      </c>
      <c r="S1586" s="7">
        <f t="shared" si="73"/>
        <v>0</v>
      </c>
      <c r="T1586" s="6">
        <f t="shared" si="74"/>
        <v>0</v>
      </c>
      <c r="U1586" s="25">
        <f t="shared" si="72"/>
        <v>0</v>
      </c>
    </row>
    <row r="1587" spans="1:21" ht="10.9" customHeight="1" x14ac:dyDescent="0.2">
      <c r="A1587" s="82" t="s">
        <v>2708</v>
      </c>
      <c r="B1587" s="83">
        <v>45854</v>
      </c>
      <c r="C1587" s="82" t="s">
        <v>3395</v>
      </c>
      <c r="D1587" s="82" t="s">
        <v>1508</v>
      </c>
      <c r="E1587" s="82"/>
      <c r="F1587" s="82" t="s">
        <v>5182</v>
      </c>
      <c r="G1587" s="89">
        <v>4</v>
      </c>
      <c r="H1587" s="89">
        <v>3721.36</v>
      </c>
      <c r="I1587" s="85">
        <v>0</v>
      </c>
      <c r="J1587" s="85">
        <v>0</v>
      </c>
      <c r="K1587" s="85">
        <v>14885.44</v>
      </c>
      <c r="L1587" s="85">
        <v>14885.44</v>
      </c>
      <c r="M1587" s="89">
        <v>5104.9212935971746</v>
      </c>
      <c r="N1587" s="85">
        <v>0</v>
      </c>
      <c r="O1587" s="85">
        <v>0</v>
      </c>
      <c r="P1587" s="85">
        <v>20419.685174388698</v>
      </c>
      <c r="Q1587" s="85">
        <v>20419.685174388698</v>
      </c>
      <c r="R1587" s="82" t="s">
        <v>3399</v>
      </c>
      <c r="S1587" s="7">
        <f t="shared" si="73"/>
        <v>0</v>
      </c>
      <c r="T1587" s="6">
        <f t="shared" si="74"/>
        <v>0</v>
      </c>
      <c r="U1587" s="25">
        <f t="shared" si="72"/>
        <v>0</v>
      </c>
    </row>
    <row r="1588" spans="1:21" ht="10.9" customHeight="1" x14ac:dyDescent="0.2">
      <c r="A1588" s="82" t="s">
        <v>2689</v>
      </c>
      <c r="B1588" s="83">
        <v>45854</v>
      </c>
      <c r="C1588" s="82" t="s">
        <v>3395</v>
      </c>
      <c r="D1588" s="82" t="s">
        <v>1543</v>
      </c>
      <c r="E1588" s="82"/>
      <c r="F1588" s="82" t="s">
        <v>5134</v>
      </c>
      <c r="G1588" s="89">
        <v>12</v>
      </c>
      <c r="H1588" s="89">
        <v>1327.5</v>
      </c>
      <c r="I1588" s="85">
        <v>0</v>
      </c>
      <c r="J1588" s="85">
        <v>0</v>
      </c>
      <c r="K1588" s="85">
        <v>15930</v>
      </c>
      <c r="L1588" s="85">
        <v>15930</v>
      </c>
      <c r="M1588" s="89">
        <v>1821.0501045989231</v>
      </c>
      <c r="N1588" s="85">
        <v>0</v>
      </c>
      <c r="O1588" s="85">
        <v>0</v>
      </c>
      <c r="P1588" s="85">
        <v>21852.601255187077</v>
      </c>
      <c r="Q1588" s="85">
        <v>21852.601255187077</v>
      </c>
      <c r="R1588" s="82" t="s">
        <v>3399</v>
      </c>
      <c r="S1588" s="7">
        <f t="shared" si="73"/>
        <v>0</v>
      </c>
      <c r="T1588" s="6">
        <f t="shared" si="74"/>
        <v>0</v>
      </c>
      <c r="U1588" s="25">
        <f t="shared" si="72"/>
        <v>0</v>
      </c>
    </row>
    <row r="1589" spans="1:21" ht="10.9" customHeight="1" x14ac:dyDescent="0.2">
      <c r="A1589" s="82" t="s">
        <v>2575</v>
      </c>
      <c r="B1589" s="83">
        <v>45854</v>
      </c>
      <c r="C1589" s="82" t="s">
        <v>3395</v>
      </c>
      <c r="D1589" s="82" t="s">
        <v>1741</v>
      </c>
      <c r="E1589" s="82"/>
      <c r="F1589" s="82" t="s">
        <v>4818</v>
      </c>
      <c r="G1589" s="89">
        <v>2</v>
      </c>
      <c r="H1589" s="89">
        <v>11985.45</v>
      </c>
      <c r="I1589" s="85">
        <v>0</v>
      </c>
      <c r="J1589" s="85">
        <v>0</v>
      </c>
      <c r="K1589" s="85">
        <v>23970.9</v>
      </c>
      <c r="L1589" s="85">
        <v>23970.9</v>
      </c>
      <c r="M1589" s="89">
        <v>16441.510339860764</v>
      </c>
      <c r="N1589" s="85">
        <v>0</v>
      </c>
      <c r="O1589" s="85">
        <v>0</v>
      </c>
      <c r="P1589" s="85">
        <v>32883.020679721529</v>
      </c>
      <c r="Q1589" s="85">
        <v>32883.020679721529</v>
      </c>
      <c r="R1589" s="82" t="s">
        <v>3399</v>
      </c>
      <c r="S1589" s="7">
        <f t="shared" si="73"/>
        <v>0</v>
      </c>
      <c r="T1589" s="6">
        <f t="shared" si="74"/>
        <v>0</v>
      </c>
      <c r="U1589" s="25">
        <f t="shared" si="72"/>
        <v>0</v>
      </c>
    </row>
    <row r="1590" spans="1:21" ht="10.9" customHeight="1" x14ac:dyDescent="0.2">
      <c r="A1590" s="82" t="s">
        <v>2747</v>
      </c>
      <c r="B1590" s="83">
        <v>45854</v>
      </c>
      <c r="C1590" s="82" t="s">
        <v>3395</v>
      </c>
      <c r="D1590" s="82" t="s">
        <v>1442</v>
      </c>
      <c r="E1590" s="82"/>
      <c r="F1590" s="82" t="s">
        <v>5181</v>
      </c>
      <c r="G1590" s="89">
        <v>30</v>
      </c>
      <c r="H1590" s="89">
        <v>131.88</v>
      </c>
      <c r="I1590" s="85">
        <v>0</v>
      </c>
      <c r="J1590" s="85">
        <v>0</v>
      </c>
      <c r="K1590" s="85">
        <v>3956.4</v>
      </c>
      <c r="L1590" s="85">
        <v>3956.4</v>
      </c>
      <c r="M1590" s="89">
        <v>180.91155389416647</v>
      </c>
      <c r="N1590" s="85">
        <v>0</v>
      </c>
      <c r="O1590" s="85">
        <v>0</v>
      </c>
      <c r="P1590" s="85">
        <v>5427.3466168249943</v>
      </c>
      <c r="Q1590" s="85">
        <v>5427.3466168249943</v>
      </c>
      <c r="R1590" s="82" t="s">
        <v>3399</v>
      </c>
      <c r="S1590" s="7">
        <f t="shared" si="73"/>
        <v>0</v>
      </c>
      <c r="T1590" s="6">
        <f t="shared" si="74"/>
        <v>0</v>
      </c>
      <c r="U1590" s="25">
        <f t="shared" si="72"/>
        <v>0</v>
      </c>
    </row>
    <row r="1591" spans="1:21" ht="10.9" customHeight="1" x14ac:dyDescent="0.2">
      <c r="A1591" s="82" t="s">
        <v>2557</v>
      </c>
      <c r="B1591" s="83">
        <v>45855</v>
      </c>
      <c r="C1591" s="82" t="s">
        <v>3395</v>
      </c>
      <c r="D1591" s="82" t="s">
        <v>1768</v>
      </c>
      <c r="E1591" s="82"/>
      <c r="F1591" s="82" t="s">
        <v>5180</v>
      </c>
      <c r="G1591" s="89">
        <v>2</v>
      </c>
      <c r="H1591" s="89">
        <v>3969.02</v>
      </c>
      <c r="I1591" s="85">
        <v>0</v>
      </c>
      <c r="J1591" s="85">
        <v>396.9</v>
      </c>
      <c r="K1591" s="85">
        <v>8334.94</v>
      </c>
      <c r="L1591" s="85">
        <v>8334.94</v>
      </c>
      <c r="M1591" s="89">
        <v>3969.02</v>
      </c>
      <c r="N1591" s="85">
        <v>0</v>
      </c>
      <c r="O1591" s="85">
        <v>396.9</v>
      </c>
      <c r="P1591" s="85">
        <v>8334.94</v>
      </c>
      <c r="Q1591" s="85">
        <v>8334.94</v>
      </c>
      <c r="R1591" s="82" t="s">
        <v>3399</v>
      </c>
      <c r="S1591" s="7">
        <f t="shared" si="73"/>
        <v>0</v>
      </c>
      <c r="T1591" s="6">
        <f t="shared" si="74"/>
        <v>0</v>
      </c>
      <c r="U1591" s="25">
        <f t="shared" si="72"/>
        <v>0</v>
      </c>
    </row>
    <row r="1592" spans="1:21" ht="10.9" customHeight="1" x14ac:dyDescent="0.2">
      <c r="A1592" s="82" t="s">
        <v>2489</v>
      </c>
      <c r="B1592" s="83">
        <v>45855</v>
      </c>
      <c r="C1592" s="82" t="s">
        <v>3395</v>
      </c>
      <c r="D1592" s="82" t="s">
        <v>1883</v>
      </c>
      <c r="E1592" s="82"/>
      <c r="F1592" s="82" t="s">
        <v>5180</v>
      </c>
      <c r="G1592" s="89">
        <v>1</v>
      </c>
      <c r="H1592" s="89">
        <v>3969.02</v>
      </c>
      <c r="I1592" s="85">
        <v>0</v>
      </c>
      <c r="J1592" s="85">
        <v>198.45</v>
      </c>
      <c r="K1592" s="85">
        <v>4167.47</v>
      </c>
      <c r="L1592" s="85">
        <v>4167.47</v>
      </c>
      <c r="M1592" s="89">
        <v>3969.02</v>
      </c>
      <c r="N1592" s="85">
        <v>0</v>
      </c>
      <c r="O1592" s="85">
        <v>198.45</v>
      </c>
      <c r="P1592" s="85">
        <v>4167.47</v>
      </c>
      <c r="Q1592" s="85">
        <v>4167.47</v>
      </c>
      <c r="R1592" s="82" t="s">
        <v>3399</v>
      </c>
      <c r="S1592" s="7">
        <f t="shared" si="73"/>
        <v>0</v>
      </c>
      <c r="T1592" s="6">
        <f t="shared" si="74"/>
        <v>0</v>
      </c>
      <c r="U1592" s="25">
        <f t="shared" si="72"/>
        <v>0</v>
      </c>
    </row>
    <row r="1593" spans="1:21" ht="10.9" customHeight="1" x14ac:dyDescent="0.2">
      <c r="A1593" s="82" t="s">
        <v>2920</v>
      </c>
      <c r="B1593" s="83">
        <v>45856</v>
      </c>
      <c r="C1593" s="82" t="s">
        <v>3395</v>
      </c>
      <c r="D1593" s="82" t="s">
        <v>1129</v>
      </c>
      <c r="E1593" s="82"/>
      <c r="F1593" s="82" t="s">
        <v>4626</v>
      </c>
      <c r="G1593" s="89">
        <v>1</v>
      </c>
      <c r="H1593" s="89">
        <v>12300</v>
      </c>
      <c r="I1593" s="85">
        <v>0</v>
      </c>
      <c r="J1593" s="85">
        <v>0</v>
      </c>
      <c r="K1593" s="85">
        <v>12300</v>
      </c>
      <c r="L1593" s="85">
        <v>13540</v>
      </c>
      <c r="M1593" s="89">
        <v>16918.658391654561</v>
      </c>
      <c r="N1593" s="85">
        <v>0</v>
      </c>
      <c r="O1593" s="85">
        <v>0</v>
      </c>
      <c r="P1593" s="85">
        <v>16918.658391654561</v>
      </c>
      <c r="Q1593" s="85">
        <v>18624.279237642502</v>
      </c>
      <c r="R1593" s="82" t="s">
        <v>3399</v>
      </c>
      <c r="S1593" s="7">
        <f t="shared" si="73"/>
        <v>0</v>
      </c>
      <c r="T1593" s="6">
        <f t="shared" si="74"/>
        <v>0</v>
      </c>
      <c r="U1593" s="25">
        <f t="shared" si="72"/>
        <v>0</v>
      </c>
    </row>
    <row r="1594" spans="1:21" ht="10.9" customHeight="1" x14ac:dyDescent="0.2">
      <c r="A1594" s="82" t="s">
        <v>2920</v>
      </c>
      <c r="B1594" s="83">
        <v>45856</v>
      </c>
      <c r="C1594" s="82" t="s">
        <v>3395</v>
      </c>
      <c r="D1594" s="82" t="s">
        <v>1129</v>
      </c>
      <c r="E1594" s="82"/>
      <c r="F1594" s="82" t="s">
        <v>4393</v>
      </c>
      <c r="G1594" s="89">
        <v>1</v>
      </c>
      <c r="H1594" s="89">
        <v>1240</v>
      </c>
      <c r="I1594" s="85">
        <v>0</v>
      </c>
      <c r="J1594" s="85">
        <v>0</v>
      </c>
      <c r="K1594" s="85">
        <v>1240</v>
      </c>
      <c r="L1594" s="85">
        <v>13540</v>
      </c>
      <c r="M1594" s="89">
        <v>1705.6208459879397</v>
      </c>
      <c r="N1594" s="85">
        <v>0</v>
      </c>
      <c r="O1594" s="85">
        <v>0</v>
      </c>
      <c r="P1594" s="85">
        <v>1705.6208459879397</v>
      </c>
      <c r="Q1594" s="85">
        <v>18624.279237642502</v>
      </c>
      <c r="R1594" s="82" t="s">
        <v>3399</v>
      </c>
      <c r="S1594" s="7" t="str">
        <f t="shared" si="73"/>
        <v>INV13193</v>
      </c>
      <c r="T1594" s="6">
        <f t="shared" si="74"/>
        <v>1</v>
      </c>
      <c r="U1594" s="25">
        <f t="shared" si="72"/>
        <v>1240</v>
      </c>
    </row>
    <row r="1595" spans="1:21" ht="10.9" customHeight="1" x14ac:dyDescent="0.2">
      <c r="A1595" s="82" t="s">
        <v>3504</v>
      </c>
      <c r="B1595" s="83">
        <v>45856</v>
      </c>
      <c r="C1595" s="82" t="s">
        <v>3395</v>
      </c>
      <c r="D1595" s="82" t="s">
        <v>3492</v>
      </c>
      <c r="E1595" s="82"/>
      <c r="F1595" s="82" t="s">
        <v>5177</v>
      </c>
      <c r="G1595" s="89">
        <v>3</v>
      </c>
      <c r="H1595" s="89">
        <v>1464.6</v>
      </c>
      <c r="I1595" s="85">
        <v>0</v>
      </c>
      <c r="J1595" s="85">
        <v>0</v>
      </c>
      <c r="K1595" s="85">
        <v>4393.8</v>
      </c>
      <c r="L1595" s="85">
        <v>10509.3</v>
      </c>
      <c r="M1595" s="89">
        <v>2014.5582992209165</v>
      </c>
      <c r="N1595" s="85">
        <v>0</v>
      </c>
      <c r="O1595" s="85">
        <v>0</v>
      </c>
      <c r="P1595" s="85">
        <v>6043.6748976627496</v>
      </c>
      <c r="Q1595" s="85">
        <v>14455.549319952463</v>
      </c>
      <c r="R1595" s="82" t="s">
        <v>3399</v>
      </c>
      <c r="S1595" s="7">
        <f t="shared" si="73"/>
        <v>0</v>
      </c>
      <c r="T1595" s="6">
        <f t="shared" si="74"/>
        <v>0</v>
      </c>
      <c r="U1595" s="25">
        <f t="shared" si="72"/>
        <v>0</v>
      </c>
    </row>
    <row r="1596" spans="1:21" ht="10.9" customHeight="1" x14ac:dyDescent="0.2">
      <c r="A1596" s="82" t="s">
        <v>3504</v>
      </c>
      <c r="B1596" s="83">
        <v>45856</v>
      </c>
      <c r="C1596" s="82" t="s">
        <v>3395</v>
      </c>
      <c r="D1596" s="82" t="s">
        <v>3492</v>
      </c>
      <c r="E1596" s="82"/>
      <c r="F1596" s="82" t="s">
        <v>5176</v>
      </c>
      <c r="G1596" s="89">
        <v>1</v>
      </c>
      <c r="H1596" s="89">
        <v>6115.5</v>
      </c>
      <c r="I1596" s="85">
        <v>0</v>
      </c>
      <c r="J1596" s="85">
        <v>0</v>
      </c>
      <c r="K1596" s="85">
        <v>6115.5</v>
      </c>
      <c r="L1596" s="85">
        <v>10509.3</v>
      </c>
      <c r="M1596" s="89">
        <v>8411.874422289713</v>
      </c>
      <c r="N1596" s="85">
        <v>0</v>
      </c>
      <c r="O1596" s="85">
        <v>0</v>
      </c>
      <c r="P1596" s="85">
        <v>8411.874422289713</v>
      </c>
      <c r="Q1596" s="85">
        <v>14455.549319952463</v>
      </c>
      <c r="R1596" s="82" t="s">
        <v>3399</v>
      </c>
      <c r="S1596" s="7">
        <f t="shared" si="73"/>
        <v>0</v>
      </c>
      <c r="T1596" s="6">
        <f t="shared" si="74"/>
        <v>0</v>
      </c>
      <c r="U1596" s="25">
        <f t="shared" si="72"/>
        <v>0</v>
      </c>
    </row>
    <row r="1597" spans="1:21" ht="10.9" customHeight="1" x14ac:dyDescent="0.2">
      <c r="A1597" s="82" t="s">
        <v>2992</v>
      </c>
      <c r="B1597" s="83">
        <v>45856</v>
      </c>
      <c r="C1597" s="82" t="s">
        <v>3395</v>
      </c>
      <c r="D1597" s="82" t="s">
        <v>1010</v>
      </c>
      <c r="E1597" s="82"/>
      <c r="F1597" s="82" t="s">
        <v>5035</v>
      </c>
      <c r="G1597" s="89">
        <v>1</v>
      </c>
      <c r="H1597" s="89">
        <v>69.16</v>
      </c>
      <c r="I1597" s="85">
        <v>0</v>
      </c>
      <c r="J1597" s="85">
        <v>3.46</v>
      </c>
      <c r="K1597" s="85">
        <v>72.62</v>
      </c>
      <c r="L1597" s="85">
        <v>475.31</v>
      </c>
      <c r="M1597" s="89">
        <v>69.16</v>
      </c>
      <c r="N1597" s="85">
        <v>0</v>
      </c>
      <c r="O1597" s="85">
        <v>3.46</v>
      </c>
      <c r="P1597" s="85">
        <v>72.62</v>
      </c>
      <c r="Q1597" s="85">
        <v>475.31</v>
      </c>
      <c r="R1597" s="82" t="s">
        <v>3399</v>
      </c>
      <c r="S1597" s="7">
        <f t="shared" si="73"/>
        <v>0</v>
      </c>
      <c r="T1597" s="6">
        <f t="shared" si="74"/>
        <v>0</v>
      </c>
      <c r="U1597" s="25">
        <f t="shared" si="72"/>
        <v>0</v>
      </c>
    </row>
    <row r="1598" spans="1:21" ht="10.9" customHeight="1" x14ac:dyDescent="0.2">
      <c r="A1598" s="82" t="s">
        <v>2992</v>
      </c>
      <c r="B1598" s="83">
        <v>45856</v>
      </c>
      <c r="C1598" s="82" t="s">
        <v>3395</v>
      </c>
      <c r="D1598" s="82" t="s">
        <v>1010</v>
      </c>
      <c r="E1598" s="82"/>
      <c r="F1598" s="82" t="s">
        <v>5034</v>
      </c>
      <c r="G1598" s="89">
        <v>1</v>
      </c>
      <c r="H1598" s="89">
        <v>85.68</v>
      </c>
      <c r="I1598" s="85">
        <v>0</v>
      </c>
      <c r="J1598" s="85">
        <v>4.28</v>
      </c>
      <c r="K1598" s="85">
        <v>89.96</v>
      </c>
      <c r="L1598" s="85">
        <v>475.31</v>
      </c>
      <c r="M1598" s="89">
        <v>85.68</v>
      </c>
      <c r="N1598" s="85">
        <v>0</v>
      </c>
      <c r="O1598" s="85">
        <v>4.28</v>
      </c>
      <c r="P1598" s="85">
        <v>89.96</v>
      </c>
      <c r="Q1598" s="85">
        <v>475.31</v>
      </c>
      <c r="R1598" s="82" t="s">
        <v>3399</v>
      </c>
      <c r="S1598" s="7">
        <f t="shared" si="73"/>
        <v>0</v>
      </c>
      <c r="T1598" s="6">
        <f t="shared" si="74"/>
        <v>0</v>
      </c>
      <c r="U1598" s="25">
        <f t="shared" si="72"/>
        <v>0</v>
      </c>
    </row>
    <row r="1599" spans="1:21" ht="10.9" customHeight="1" x14ac:dyDescent="0.2">
      <c r="A1599" s="82" t="s">
        <v>2992</v>
      </c>
      <c r="B1599" s="83">
        <v>45856</v>
      </c>
      <c r="C1599" s="82" t="s">
        <v>3395</v>
      </c>
      <c r="D1599" s="82" t="s">
        <v>1010</v>
      </c>
      <c r="E1599" s="82"/>
      <c r="F1599" s="82" t="s">
        <v>5179</v>
      </c>
      <c r="G1599" s="89">
        <v>1</v>
      </c>
      <c r="H1599" s="89">
        <v>297.83999999999997</v>
      </c>
      <c r="I1599" s="85">
        <v>0</v>
      </c>
      <c r="J1599" s="85">
        <v>14.89</v>
      </c>
      <c r="K1599" s="85">
        <v>312.73</v>
      </c>
      <c r="L1599" s="85">
        <v>475.31</v>
      </c>
      <c r="M1599" s="89">
        <v>297.83999999999997</v>
      </c>
      <c r="N1599" s="85">
        <v>0</v>
      </c>
      <c r="O1599" s="85">
        <v>14.89</v>
      </c>
      <c r="P1599" s="85">
        <v>312.73</v>
      </c>
      <c r="Q1599" s="85">
        <v>475.31</v>
      </c>
      <c r="R1599" s="82" t="s">
        <v>3399</v>
      </c>
      <c r="S1599" s="7">
        <f t="shared" si="73"/>
        <v>0</v>
      </c>
      <c r="T1599" s="6">
        <f t="shared" si="74"/>
        <v>0</v>
      </c>
      <c r="U1599" s="25">
        <f t="shared" si="72"/>
        <v>0</v>
      </c>
    </row>
    <row r="1600" spans="1:21" ht="10.9" customHeight="1" x14ac:dyDescent="0.2">
      <c r="A1600" s="82" t="s">
        <v>2842</v>
      </c>
      <c r="B1600" s="83">
        <v>45856</v>
      </c>
      <c r="C1600" s="82" t="s">
        <v>3395</v>
      </c>
      <c r="D1600" s="82" t="s">
        <v>1263</v>
      </c>
      <c r="E1600" s="82"/>
      <c r="F1600" s="82" t="s">
        <v>4620</v>
      </c>
      <c r="G1600" s="89">
        <v>1</v>
      </c>
      <c r="H1600" s="89">
        <v>903.64</v>
      </c>
      <c r="I1600" s="85">
        <v>0</v>
      </c>
      <c r="J1600" s="85">
        <v>45.18</v>
      </c>
      <c r="K1600" s="85">
        <v>948.82</v>
      </c>
      <c r="L1600" s="85">
        <v>948.82</v>
      </c>
      <c r="M1600" s="89">
        <v>903.64</v>
      </c>
      <c r="N1600" s="85">
        <v>0</v>
      </c>
      <c r="O1600" s="85">
        <v>45.18</v>
      </c>
      <c r="P1600" s="85">
        <v>948.82</v>
      </c>
      <c r="Q1600" s="85">
        <v>948.82</v>
      </c>
      <c r="R1600" s="82" t="s">
        <v>3399</v>
      </c>
      <c r="S1600" s="7">
        <f t="shared" si="73"/>
        <v>0</v>
      </c>
      <c r="T1600" s="6">
        <f t="shared" si="74"/>
        <v>0</v>
      </c>
      <c r="U1600" s="25">
        <f t="shared" si="72"/>
        <v>0</v>
      </c>
    </row>
    <row r="1601" spans="1:21" ht="10.9" customHeight="1" x14ac:dyDescent="0.2">
      <c r="A1601" s="82" t="s">
        <v>2984</v>
      </c>
      <c r="B1601" s="83">
        <v>45856</v>
      </c>
      <c r="C1601" s="82" t="s">
        <v>3395</v>
      </c>
      <c r="D1601" s="82" t="s">
        <v>1024</v>
      </c>
      <c r="E1601" s="82"/>
      <c r="F1601" s="82" t="s">
        <v>5178</v>
      </c>
      <c r="G1601" s="89">
        <v>1</v>
      </c>
      <c r="H1601" s="89">
        <v>114.56</v>
      </c>
      <c r="I1601" s="85">
        <v>0</v>
      </c>
      <c r="J1601" s="85">
        <v>14.89</v>
      </c>
      <c r="K1601" s="85">
        <v>129.44999999999999</v>
      </c>
      <c r="L1601" s="85">
        <v>129.44999999999999</v>
      </c>
      <c r="M1601" s="89">
        <v>114.56</v>
      </c>
      <c r="N1601" s="85">
        <v>0</v>
      </c>
      <c r="O1601" s="85">
        <v>14.89</v>
      </c>
      <c r="P1601" s="85">
        <v>129.44999999999999</v>
      </c>
      <c r="Q1601" s="85">
        <v>129.44999999999999</v>
      </c>
      <c r="R1601" s="82" t="s">
        <v>3399</v>
      </c>
      <c r="S1601" s="7">
        <f t="shared" si="73"/>
        <v>0</v>
      </c>
      <c r="T1601" s="6">
        <f t="shared" si="74"/>
        <v>0</v>
      </c>
      <c r="U1601" s="25">
        <f t="shared" si="72"/>
        <v>0</v>
      </c>
    </row>
    <row r="1602" spans="1:21" ht="10.9" customHeight="1" x14ac:dyDescent="0.2">
      <c r="A1602" s="82" t="s">
        <v>3502</v>
      </c>
      <c r="B1602" s="83">
        <v>45859</v>
      </c>
      <c r="C1602" s="82" t="s">
        <v>3398</v>
      </c>
      <c r="D1602" s="82" t="s">
        <v>2129</v>
      </c>
      <c r="E1602" s="82"/>
      <c r="F1602" s="90" t="s">
        <v>5174</v>
      </c>
      <c r="G1602" s="89">
        <v>-1</v>
      </c>
      <c r="H1602" s="89">
        <v>843.77</v>
      </c>
      <c r="I1602" s="85">
        <v>0</v>
      </c>
      <c r="J1602" s="85">
        <v>-42.19</v>
      </c>
      <c r="K1602" s="85">
        <v>-885.96</v>
      </c>
      <c r="L1602" s="85">
        <v>-885.96</v>
      </c>
      <c r="M1602" s="89">
        <v>843.77</v>
      </c>
      <c r="N1602" s="85">
        <v>0</v>
      </c>
      <c r="O1602" s="85">
        <v>-42.19</v>
      </c>
      <c r="P1602" s="85">
        <v>-885.96</v>
      </c>
      <c r="Q1602" s="85">
        <v>-885.96</v>
      </c>
      <c r="R1602" s="82" t="s">
        <v>3399</v>
      </c>
      <c r="S1602" s="7">
        <f t="shared" si="73"/>
        <v>0</v>
      </c>
      <c r="T1602" s="6">
        <f t="shared" si="74"/>
        <v>0</v>
      </c>
      <c r="U1602" s="25">
        <f t="shared" ref="U1602:U1665" si="75">IF(T1602=1,K1602-J1602,0)</f>
        <v>0</v>
      </c>
    </row>
    <row r="1603" spans="1:21" ht="10.9" customHeight="1" x14ac:dyDescent="0.2">
      <c r="A1603" s="82" t="s">
        <v>3002</v>
      </c>
      <c r="B1603" s="83">
        <v>45859</v>
      </c>
      <c r="C1603" s="82" t="s">
        <v>3395</v>
      </c>
      <c r="D1603" s="82" t="s">
        <v>3503</v>
      </c>
      <c r="E1603" s="82"/>
      <c r="F1603" s="82" t="s">
        <v>5175</v>
      </c>
      <c r="G1603" s="89">
        <v>2</v>
      </c>
      <c r="H1603" s="89">
        <v>786.57</v>
      </c>
      <c r="I1603" s="85">
        <v>0</v>
      </c>
      <c r="J1603" s="85">
        <v>204.51</v>
      </c>
      <c r="K1603" s="85">
        <v>1777.65</v>
      </c>
      <c r="L1603" s="85">
        <v>1777.65</v>
      </c>
      <c r="M1603" s="89">
        <v>786.57</v>
      </c>
      <c r="N1603" s="85">
        <v>0</v>
      </c>
      <c r="O1603" s="85">
        <v>204.51</v>
      </c>
      <c r="P1603" s="85">
        <v>1777.65</v>
      </c>
      <c r="Q1603" s="85">
        <v>1777.65</v>
      </c>
      <c r="R1603" s="82" t="s">
        <v>3399</v>
      </c>
      <c r="S1603" s="7">
        <f t="shared" ref="S1603:S1666" si="76">IF(T1603=1,A1603,0)</f>
        <v>0</v>
      </c>
      <c r="T1603" s="6">
        <f t="shared" ref="T1603:T1666" si="77">IFERROR(FIND("Freight",F1603,1),0)</f>
        <v>0</v>
      </c>
      <c r="U1603" s="25">
        <f t="shared" si="75"/>
        <v>0</v>
      </c>
    </row>
    <row r="1604" spans="1:21" ht="10.9" customHeight="1" x14ac:dyDescent="0.2">
      <c r="A1604" s="82" t="s">
        <v>2988</v>
      </c>
      <c r="B1604" s="83">
        <v>45859</v>
      </c>
      <c r="C1604" s="82" t="s">
        <v>3395</v>
      </c>
      <c r="D1604" s="82" t="s">
        <v>1016</v>
      </c>
      <c r="E1604" s="82"/>
      <c r="F1604" s="82" t="s">
        <v>4575</v>
      </c>
      <c r="G1604" s="89">
        <v>2</v>
      </c>
      <c r="H1604" s="89">
        <v>649.88</v>
      </c>
      <c r="I1604" s="85">
        <v>0</v>
      </c>
      <c r="J1604" s="85">
        <v>64.989999999999995</v>
      </c>
      <c r="K1604" s="85">
        <v>1364.75</v>
      </c>
      <c r="L1604" s="85">
        <v>1364.75</v>
      </c>
      <c r="M1604" s="89">
        <v>649.88</v>
      </c>
      <c r="N1604" s="85">
        <v>0</v>
      </c>
      <c r="O1604" s="85">
        <v>64.989999999999995</v>
      </c>
      <c r="P1604" s="85">
        <v>1364.75</v>
      </c>
      <c r="Q1604" s="85">
        <v>1364.75</v>
      </c>
      <c r="R1604" s="82" t="s">
        <v>3399</v>
      </c>
      <c r="S1604" s="7">
        <f t="shared" si="76"/>
        <v>0</v>
      </c>
      <c r="T1604" s="6">
        <f t="shared" si="77"/>
        <v>0</v>
      </c>
      <c r="U1604" s="25">
        <f t="shared" si="75"/>
        <v>0</v>
      </c>
    </row>
    <row r="1605" spans="1:21" ht="21.4" customHeight="1" x14ac:dyDescent="0.2">
      <c r="A1605" s="82" t="s">
        <v>2953</v>
      </c>
      <c r="B1605" s="83">
        <v>45859</v>
      </c>
      <c r="C1605" s="82" t="s">
        <v>3395</v>
      </c>
      <c r="D1605" s="82" t="s">
        <v>1078</v>
      </c>
      <c r="E1605" s="82"/>
      <c r="F1605" s="82" t="s">
        <v>4502</v>
      </c>
      <c r="G1605" s="89">
        <v>2</v>
      </c>
      <c r="H1605" s="89">
        <v>30</v>
      </c>
      <c r="I1605" s="85">
        <v>0</v>
      </c>
      <c r="J1605" s="85">
        <v>3</v>
      </c>
      <c r="K1605" s="85">
        <v>63</v>
      </c>
      <c r="L1605" s="85">
        <v>63</v>
      </c>
      <c r="M1605" s="89">
        <v>30</v>
      </c>
      <c r="N1605" s="85">
        <v>0</v>
      </c>
      <c r="O1605" s="85">
        <v>3</v>
      </c>
      <c r="P1605" s="85">
        <v>63</v>
      </c>
      <c r="Q1605" s="85">
        <v>63</v>
      </c>
      <c r="R1605" s="82" t="s">
        <v>3399</v>
      </c>
      <c r="S1605" s="7">
        <f t="shared" si="76"/>
        <v>0</v>
      </c>
      <c r="T1605" s="6">
        <f t="shared" si="77"/>
        <v>0</v>
      </c>
      <c r="U1605" s="25">
        <f t="shared" si="75"/>
        <v>0</v>
      </c>
    </row>
    <row r="1606" spans="1:21" ht="10.9" customHeight="1" x14ac:dyDescent="0.2">
      <c r="A1606" s="82" t="s">
        <v>2909</v>
      </c>
      <c r="B1606" s="83">
        <v>45860</v>
      </c>
      <c r="C1606" s="82" t="s">
        <v>3395</v>
      </c>
      <c r="D1606" s="82" t="s">
        <v>1150</v>
      </c>
      <c r="E1606" s="82"/>
      <c r="F1606" s="82" t="s">
        <v>4613</v>
      </c>
      <c r="G1606" s="89">
        <v>2</v>
      </c>
      <c r="H1606" s="89">
        <v>339.85</v>
      </c>
      <c r="I1606" s="85">
        <v>0</v>
      </c>
      <c r="J1606" s="85">
        <v>0</v>
      </c>
      <c r="K1606" s="85">
        <v>679.7</v>
      </c>
      <c r="L1606" s="85">
        <v>679.7</v>
      </c>
      <c r="M1606" s="89">
        <v>462.26397129433911</v>
      </c>
      <c r="N1606" s="85">
        <v>0</v>
      </c>
      <c r="O1606" s="85">
        <v>0</v>
      </c>
      <c r="P1606" s="85">
        <v>924.52794258867823</v>
      </c>
      <c r="Q1606" s="85">
        <v>924.52794258867823</v>
      </c>
      <c r="R1606" s="82" t="s">
        <v>3399</v>
      </c>
      <c r="S1606" s="7">
        <f t="shared" si="76"/>
        <v>0</v>
      </c>
      <c r="T1606" s="6">
        <f t="shared" si="77"/>
        <v>0</v>
      </c>
      <c r="U1606" s="25">
        <f t="shared" si="75"/>
        <v>0</v>
      </c>
    </row>
    <row r="1607" spans="1:21" ht="10.9" customHeight="1" x14ac:dyDescent="0.2">
      <c r="A1607" s="82" t="s">
        <v>2644</v>
      </c>
      <c r="B1607" s="83">
        <v>45860</v>
      </c>
      <c r="C1607" s="82" t="s">
        <v>3395</v>
      </c>
      <c r="D1607" s="82" t="s">
        <v>3500</v>
      </c>
      <c r="E1607" s="82"/>
      <c r="F1607" s="82" t="s">
        <v>5172</v>
      </c>
      <c r="G1607" s="89">
        <v>4</v>
      </c>
      <c r="H1607" s="89">
        <v>540</v>
      </c>
      <c r="I1607" s="85">
        <v>0</v>
      </c>
      <c r="J1607" s="85">
        <v>0</v>
      </c>
      <c r="K1607" s="85">
        <v>2160</v>
      </c>
      <c r="L1607" s="85">
        <v>5190</v>
      </c>
      <c r="M1607" s="89">
        <v>734.50800205662244</v>
      </c>
      <c r="N1607" s="85">
        <v>0</v>
      </c>
      <c r="O1607" s="85">
        <v>0</v>
      </c>
      <c r="P1607" s="85">
        <v>2938.0320082264898</v>
      </c>
      <c r="Q1607" s="85">
        <v>7059.4380197664268</v>
      </c>
      <c r="R1607" s="82" t="s">
        <v>3396</v>
      </c>
      <c r="S1607" s="7">
        <f t="shared" si="76"/>
        <v>0</v>
      </c>
      <c r="T1607" s="6">
        <f t="shared" si="77"/>
        <v>0</v>
      </c>
      <c r="U1607" s="25">
        <f t="shared" si="75"/>
        <v>0</v>
      </c>
    </row>
    <row r="1608" spans="1:21" ht="10.9" customHeight="1" x14ac:dyDescent="0.2">
      <c r="A1608" s="82" t="s">
        <v>2644</v>
      </c>
      <c r="B1608" s="83">
        <v>45860</v>
      </c>
      <c r="C1608" s="82" t="s">
        <v>3395</v>
      </c>
      <c r="D1608" s="82" t="s">
        <v>3500</v>
      </c>
      <c r="E1608" s="82"/>
      <c r="F1608" s="82" t="s">
        <v>5171</v>
      </c>
      <c r="G1608" s="89">
        <v>3</v>
      </c>
      <c r="H1608" s="89">
        <v>810</v>
      </c>
      <c r="I1608" s="85">
        <v>0</v>
      </c>
      <c r="J1608" s="85">
        <v>0</v>
      </c>
      <c r="K1608" s="85">
        <v>2430</v>
      </c>
      <c r="L1608" s="85">
        <v>5190</v>
      </c>
      <c r="M1608" s="89">
        <v>1101.7620030849337</v>
      </c>
      <c r="N1608" s="85">
        <v>0</v>
      </c>
      <c r="O1608" s="85">
        <v>0</v>
      </c>
      <c r="P1608" s="85">
        <v>3305.2860092548008</v>
      </c>
      <c r="Q1608" s="85">
        <v>7059.4380197664268</v>
      </c>
      <c r="R1608" s="82" t="s">
        <v>3396</v>
      </c>
      <c r="S1608" s="7">
        <f t="shared" si="76"/>
        <v>0</v>
      </c>
      <c r="T1608" s="6">
        <f t="shared" si="77"/>
        <v>0</v>
      </c>
      <c r="U1608" s="25">
        <f t="shared" si="75"/>
        <v>0</v>
      </c>
    </row>
    <row r="1609" spans="1:21" ht="10.9" customHeight="1" x14ac:dyDescent="0.2">
      <c r="A1609" s="82" t="s">
        <v>2644</v>
      </c>
      <c r="B1609" s="83">
        <v>45860</v>
      </c>
      <c r="C1609" s="82" t="s">
        <v>3395</v>
      </c>
      <c r="D1609" s="82" t="s">
        <v>3500</v>
      </c>
      <c r="E1609" s="82"/>
      <c r="F1609" s="82" t="s">
        <v>5170</v>
      </c>
      <c r="G1609" s="89">
        <v>2</v>
      </c>
      <c r="H1609" s="89">
        <v>100</v>
      </c>
      <c r="I1609" s="85">
        <v>0</v>
      </c>
      <c r="J1609" s="85">
        <v>0</v>
      </c>
      <c r="K1609" s="85">
        <v>200</v>
      </c>
      <c r="L1609" s="85">
        <v>5190</v>
      </c>
      <c r="M1609" s="89">
        <v>136.020000380856</v>
      </c>
      <c r="N1609" s="85">
        <v>0</v>
      </c>
      <c r="O1609" s="85">
        <v>0</v>
      </c>
      <c r="P1609" s="85">
        <v>272.04000076171201</v>
      </c>
      <c r="Q1609" s="85">
        <v>7059.4380197664268</v>
      </c>
      <c r="R1609" s="82" t="s">
        <v>3396</v>
      </c>
      <c r="S1609" s="7">
        <f t="shared" si="76"/>
        <v>0</v>
      </c>
      <c r="T1609" s="6">
        <f t="shared" si="77"/>
        <v>0</v>
      </c>
      <c r="U1609" s="25">
        <f t="shared" si="75"/>
        <v>0</v>
      </c>
    </row>
    <row r="1610" spans="1:21" ht="10.9" customHeight="1" x14ac:dyDescent="0.2">
      <c r="A1610" s="82" t="s">
        <v>2644</v>
      </c>
      <c r="B1610" s="83">
        <v>45860</v>
      </c>
      <c r="C1610" s="82" t="s">
        <v>3395</v>
      </c>
      <c r="D1610" s="82" t="s">
        <v>3500</v>
      </c>
      <c r="E1610" s="82"/>
      <c r="F1610" s="82" t="s">
        <v>5169</v>
      </c>
      <c r="G1610" s="89">
        <v>2</v>
      </c>
      <c r="H1610" s="89">
        <v>100</v>
      </c>
      <c r="I1610" s="85">
        <v>0</v>
      </c>
      <c r="J1610" s="85">
        <v>0</v>
      </c>
      <c r="K1610" s="85">
        <v>200</v>
      </c>
      <c r="L1610" s="85">
        <v>5190</v>
      </c>
      <c r="M1610" s="89">
        <v>136.020000380856</v>
      </c>
      <c r="N1610" s="85">
        <v>0</v>
      </c>
      <c r="O1610" s="85">
        <v>0</v>
      </c>
      <c r="P1610" s="85">
        <v>272.04000076171201</v>
      </c>
      <c r="Q1610" s="85">
        <v>7059.4380197664268</v>
      </c>
      <c r="R1610" s="82" t="s">
        <v>3396</v>
      </c>
      <c r="S1610" s="7">
        <f t="shared" si="76"/>
        <v>0</v>
      </c>
      <c r="T1610" s="6">
        <f t="shared" si="77"/>
        <v>0</v>
      </c>
      <c r="U1610" s="25">
        <f t="shared" si="75"/>
        <v>0</v>
      </c>
    </row>
    <row r="1611" spans="1:21" ht="10.9" customHeight="1" x14ac:dyDescent="0.2">
      <c r="A1611" s="82" t="s">
        <v>2644</v>
      </c>
      <c r="B1611" s="83">
        <v>45860</v>
      </c>
      <c r="C1611" s="82" t="s">
        <v>3395</v>
      </c>
      <c r="D1611" s="82" t="s">
        <v>3500</v>
      </c>
      <c r="E1611" s="82"/>
      <c r="F1611" s="82" t="s">
        <v>5168</v>
      </c>
      <c r="G1611" s="89">
        <v>2</v>
      </c>
      <c r="H1611" s="89">
        <v>100</v>
      </c>
      <c r="I1611" s="85">
        <v>0</v>
      </c>
      <c r="J1611" s="85">
        <v>0</v>
      </c>
      <c r="K1611" s="85">
        <v>200</v>
      </c>
      <c r="L1611" s="85">
        <v>5190</v>
      </c>
      <c r="M1611" s="89">
        <v>136.020000380856</v>
      </c>
      <c r="N1611" s="85">
        <v>0</v>
      </c>
      <c r="O1611" s="85">
        <v>0</v>
      </c>
      <c r="P1611" s="85">
        <v>272.04000076171201</v>
      </c>
      <c r="Q1611" s="85">
        <v>7059.4380197664268</v>
      </c>
      <c r="R1611" s="82" t="s">
        <v>3396</v>
      </c>
      <c r="S1611" s="7">
        <f t="shared" si="76"/>
        <v>0</v>
      </c>
      <c r="T1611" s="6">
        <f t="shared" si="77"/>
        <v>0</v>
      </c>
      <c r="U1611" s="25">
        <f t="shared" si="75"/>
        <v>0</v>
      </c>
    </row>
    <row r="1612" spans="1:21" ht="10.9" customHeight="1" x14ac:dyDescent="0.2">
      <c r="A1612" s="82" t="s">
        <v>2767</v>
      </c>
      <c r="B1612" s="83">
        <v>45860</v>
      </c>
      <c r="C1612" s="82" t="s">
        <v>3395</v>
      </c>
      <c r="D1612" s="82" t="s">
        <v>3501</v>
      </c>
      <c r="E1612" s="82"/>
      <c r="F1612" s="82" t="s">
        <v>5173</v>
      </c>
      <c r="G1612" s="89">
        <v>4</v>
      </c>
      <c r="H1612" s="89">
        <v>120</v>
      </c>
      <c r="I1612" s="85">
        <v>0</v>
      </c>
      <c r="J1612" s="85">
        <v>0</v>
      </c>
      <c r="K1612" s="85">
        <v>480</v>
      </c>
      <c r="L1612" s="85">
        <v>480</v>
      </c>
      <c r="M1612" s="89">
        <v>163.22400045702719</v>
      </c>
      <c r="N1612" s="85">
        <v>0</v>
      </c>
      <c r="O1612" s="85">
        <v>0</v>
      </c>
      <c r="P1612" s="85">
        <v>652.89600182810875</v>
      </c>
      <c r="Q1612" s="85">
        <v>652.89600182810875</v>
      </c>
      <c r="R1612" s="82" t="s">
        <v>3396</v>
      </c>
      <c r="S1612" s="7">
        <f t="shared" si="76"/>
        <v>0</v>
      </c>
      <c r="T1612" s="6">
        <f t="shared" si="77"/>
        <v>0</v>
      </c>
      <c r="U1612" s="25">
        <f t="shared" si="75"/>
        <v>0</v>
      </c>
    </row>
    <row r="1613" spans="1:21" ht="10.9" customHeight="1" x14ac:dyDescent="0.2">
      <c r="A1613" s="82" t="s">
        <v>2725</v>
      </c>
      <c r="B1613" s="83">
        <v>45860</v>
      </c>
      <c r="C1613" s="82" t="s">
        <v>3395</v>
      </c>
      <c r="D1613" s="82" t="s">
        <v>1480</v>
      </c>
      <c r="E1613" s="82"/>
      <c r="F1613" s="82" t="s">
        <v>4452</v>
      </c>
      <c r="G1613" s="89">
        <v>5</v>
      </c>
      <c r="H1613" s="89">
        <v>370</v>
      </c>
      <c r="I1613" s="85">
        <v>0</v>
      </c>
      <c r="J1613" s="85">
        <v>0</v>
      </c>
      <c r="K1613" s="85">
        <v>1850</v>
      </c>
      <c r="L1613" s="85">
        <v>2430</v>
      </c>
      <c r="M1613" s="89">
        <v>503.27400140916723</v>
      </c>
      <c r="N1613" s="85">
        <v>0</v>
      </c>
      <c r="O1613" s="85">
        <v>0</v>
      </c>
      <c r="P1613" s="85">
        <v>2516.3700070458362</v>
      </c>
      <c r="Q1613" s="85">
        <v>3305.2860092548008</v>
      </c>
      <c r="R1613" s="82" t="s">
        <v>3396</v>
      </c>
      <c r="S1613" s="7">
        <f t="shared" si="76"/>
        <v>0</v>
      </c>
      <c r="T1613" s="6">
        <f t="shared" si="77"/>
        <v>0</v>
      </c>
      <c r="U1613" s="25">
        <f t="shared" si="75"/>
        <v>0</v>
      </c>
    </row>
    <row r="1614" spans="1:21" ht="10.9" customHeight="1" x14ac:dyDescent="0.2">
      <c r="A1614" s="82" t="s">
        <v>2725</v>
      </c>
      <c r="B1614" s="83">
        <v>45860</v>
      </c>
      <c r="C1614" s="82" t="s">
        <v>3395</v>
      </c>
      <c r="D1614" s="82" t="s">
        <v>1480</v>
      </c>
      <c r="E1614" s="82"/>
      <c r="F1614" s="82" t="s">
        <v>4504</v>
      </c>
      <c r="G1614" s="89">
        <v>2</v>
      </c>
      <c r="H1614" s="89">
        <v>290</v>
      </c>
      <c r="I1614" s="85">
        <v>0</v>
      </c>
      <c r="J1614" s="85">
        <v>0</v>
      </c>
      <c r="K1614" s="85">
        <v>580</v>
      </c>
      <c r="L1614" s="85">
        <v>2430</v>
      </c>
      <c r="M1614" s="89">
        <v>394.45800110448238</v>
      </c>
      <c r="N1614" s="85">
        <v>0</v>
      </c>
      <c r="O1614" s="85">
        <v>0</v>
      </c>
      <c r="P1614" s="85">
        <v>788.91600220896476</v>
      </c>
      <c r="Q1614" s="85">
        <v>3305.2860092548008</v>
      </c>
      <c r="R1614" s="82" t="s">
        <v>3396</v>
      </c>
      <c r="S1614" s="7">
        <f t="shared" si="76"/>
        <v>0</v>
      </c>
      <c r="T1614" s="6">
        <f t="shared" si="77"/>
        <v>0</v>
      </c>
      <c r="U1614" s="25">
        <f t="shared" si="75"/>
        <v>0</v>
      </c>
    </row>
    <row r="1615" spans="1:21" ht="10.9" customHeight="1" x14ac:dyDescent="0.2">
      <c r="A1615" s="82" t="s">
        <v>2529</v>
      </c>
      <c r="B1615" s="83">
        <v>45860</v>
      </c>
      <c r="C1615" s="82" t="s">
        <v>3395</v>
      </c>
      <c r="D1615" s="82" t="s">
        <v>1818</v>
      </c>
      <c r="E1615" s="82"/>
      <c r="F1615" s="82" t="s">
        <v>5158</v>
      </c>
      <c r="G1615" s="89">
        <v>1</v>
      </c>
      <c r="H1615" s="89">
        <v>5263.7</v>
      </c>
      <c r="I1615" s="85">
        <v>0</v>
      </c>
      <c r="J1615" s="85">
        <v>0</v>
      </c>
      <c r="K1615" s="85">
        <v>5263.7</v>
      </c>
      <c r="L1615" s="85">
        <v>11200.18</v>
      </c>
      <c r="M1615" s="89">
        <v>7159.6847600471174</v>
      </c>
      <c r="N1615" s="85">
        <v>0</v>
      </c>
      <c r="O1615" s="85">
        <v>0</v>
      </c>
      <c r="P1615" s="85">
        <v>7159.6847600471174</v>
      </c>
      <c r="Q1615" s="85">
        <v>15234.484878656558</v>
      </c>
      <c r="R1615" s="82" t="s">
        <v>3399</v>
      </c>
      <c r="S1615" s="7">
        <f t="shared" si="76"/>
        <v>0</v>
      </c>
      <c r="T1615" s="6">
        <f t="shared" si="77"/>
        <v>0</v>
      </c>
      <c r="U1615" s="25">
        <f t="shared" si="75"/>
        <v>0</v>
      </c>
    </row>
    <row r="1616" spans="1:21" ht="10.9" customHeight="1" x14ac:dyDescent="0.2">
      <c r="A1616" s="82" t="s">
        <v>2529</v>
      </c>
      <c r="B1616" s="83">
        <v>45860</v>
      </c>
      <c r="C1616" s="82" t="s">
        <v>3395</v>
      </c>
      <c r="D1616" s="82" t="s">
        <v>1818</v>
      </c>
      <c r="E1616" s="82"/>
      <c r="F1616" s="82" t="s">
        <v>5157</v>
      </c>
      <c r="G1616" s="89">
        <v>1</v>
      </c>
      <c r="H1616" s="89">
        <v>1052.1099999999999</v>
      </c>
      <c r="I1616" s="85">
        <v>0</v>
      </c>
      <c r="J1616" s="85">
        <v>0</v>
      </c>
      <c r="K1616" s="85">
        <v>1052.1099999999999</v>
      </c>
      <c r="L1616" s="85">
        <v>11200.18</v>
      </c>
      <c r="M1616" s="89">
        <v>1431.0800260070241</v>
      </c>
      <c r="N1616" s="85">
        <v>0</v>
      </c>
      <c r="O1616" s="85">
        <v>0</v>
      </c>
      <c r="P1616" s="85">
        <v>1431.0800260070241</v>
      </c>
      <c r="Q1616" s="85">
        <v>15234.484878656558</v>
      </c>
      <c r="R1616" s="82" t="s">
        <v>3399</v>
      </c>
      <c r="S1616" s="7">
        <f t="shared" si="76"/>
        <v>0</v>
      </c>
      <c r="T1616" s="6">
        <f t="shared" si="77"/>
        <v>0</v>
      </c>
      <c r="U1616" s="25">
        <f t="shared" si="75"/>
        <v>0</v>
      </c>
    </row>
    <row r="1617" spans="1:21" ht="10.9" customHeight="1" x14ac:dyDescent="0.2">
      <c r="A1617" s="82" t="s">
        <v>2529</v>
      </c>
      <c r="B1617" s="83">
        <v>45860</v>
      </c>
      <c r="C1617" s="82" t="s">
        <v>3395</v>
      </c>
      <c r="D1617" s="82" t="s">
        <v>1818</v>
      </c>
      <c r="E1617" s="82"/>
      <c r="F1617" s="82" t="s">
        <v>5156</v>
      </c>
      <c r="G1617" s="89">
        <v>1</v>
      </c>
      <c r="H1617" s="89">
        <v>1061.3699999999999</v>
      </c>
      <c r="I1617" s="85">
        <v>0</v>
      </c>
      <c r="J1617" s="85">
        <v>0</v>
      </c>
      <c r="K1617" s="85">
        <v>1061.3699999999999</v>
      </c>
      <c r="L1617" s="85">
        <v>11200.18</v>
      </c>
      <c r="M1617" s="89">
        <v>1443.6754780422914</v>
      </c>
      <c r="N1617" s="85">
        <v>0</v>
      </c>
      <c r="O1617" s="85">
        <v>0</v>
      </c>
      <c r="P1617" s="85">
        <v>1443.6754780422914</v>
      </c>
      <c r="Q1617" s="85">
        <v>15234.484878656558</v>
      </c>
      <c r="R1617" s="82" t="s">
        <v>3399</v>
      </c>
      <c r="S1617" s="7">
        <f t="shared" si="76"/>
        <v>0</v>
      </c>
      <c r="T1617" s="6">
        <f t="shared" si="77"/>
        <v>0</v>
      </c>
      <c r="U1617" s="25">
        <f t="shared" si="75"/>
        <v>0</v>
      </c>
    </row>
    <row r="1618" spans="1:21" ht="10.9" customHeight="1" x14ac:dyDescent="0.2">
      <c r="A1618" s="82" t="s">
        <v>2529</v>
      </c>
      <c r="B1618" s="83">
        <v>45860</v>
      </c>
      <c r="C1618" s="82" t="s">
        <v>3395</v>
      </c>
      <c r="D1618" s="82" t="s">
        <v>1818</v>
      </c>
      <c r="E1618" s="82"/>
      <c r="F1618" s="82" t="s">
        <v>5155</v>
      </c>
      <c r="G1618" s="89">
        <v>1</v>
      </c>
      <c r="H1618" s="89">
        <v>104.82</v>
      </c>
      <c r="I1618" s="85">
        <v>0</v>
      </c>
      <c r="J1618" s="85">
        <v>0</v>
      </c>
      <c r="K1618" s="85">
        <v>104.82</v>
      </c>
      <c r="L1618" s="85">
        <v>11200.18</v>
      </c>
      <c r="M1618" s="89">
        <v>142.57616439921327</v>
      </c>
      <c r="N1618" s="85">
        <v>0</v>
      </c>
      <c r="O1618" s="85">
        <v>0</v>
      </c>
      <c r="P1618" s="85">
        <v>142.57616439921327</v>
      </c>
      <c r="Q1618" s="85">
        <v>15234.484878656558</v>
      </c>
      <c r="R1618" s="82" t="s">
        <v>3399</v>
      </c>
      <c r="S1618" s="7">
        <f t="shared" si="76"/>
        <v>0</v>
      </c>
      <c r="T1618" s="6">
        <f t="shared" si="77"/>
        <v>0</v>
      </c>
      <c r="U1618" s="25">
        <f t="shared" si="75"/>
        <v>0</v>
      </c>
    </row>
    <row r="1619" spans="1:21" ht="10.9" customHeight="1" x14ac:dyDescent="0.2">
      <c r="A1619" s="82" t="s">
        <v>2529</v>
      </c>
      <c r="B1619" s="83">
        <v>45860</v>
      </c>
      <c r="C1619" s="82" t="s">
        <v>3395</v>
      </c>
      <c r="D1619" s="82" t="s">
        <v>1818</v>
      </c>
      <c r="E1619" s="82"/>
      <c r="F1619" s="82" t="s">
        <v>5154</v>
      </c>
      <c r="G1619" s="89">
        <v>2</v>
      </c>
      <c r="H1619" s="89">
        <v>36.51</v>
      </c>
      <c r="I1619" s="85">
        <v>0</v>
      </c>
      <c r="J1619" s="85">
        <v>0</v>
      </c>
      <c r="K1619" s="85">
        <v>73.02</v>
      </c>
      <c r="L1619" s="85">
        <v>11200.18</v>
      </c>
      <c r="M1619" s="89">
        <v>49.660902139050528</v>
      </c>
      <c r="N1619" s="85">
        <v>0</v>
      </c>
      <c r="O1619" s="85">
        <v>0</v>
      </c>
      <c r="P1619" s="85">
        <v>99.321804278101055</v>
      </c>
      <c r="Q1619" s="85">
        <v>15234.484878656558</v>
      </c>
      <c r="R1619" s="82" t="s">
        <v>3399</v>
      </c>
      <c r="S1619" s="7">
        <f t="shared" si="76"/>
        <v>0</v>
      </c>
      <c r="T1619" s="6">
        <f t="shared" si="77"/>
        <v>0</v>
      </c>
      <c r="U1619" s="25">
        <f t="shared" si="75"/>
        <v>0</v>
      </c>
    </row>
    <row r="1620" spans="1:21" ht="10.9" customHeight="1" x14ac:dyDescent="0.2">
      <c r="A1620" s="82" t="s">
        <v>2529</v>
      </c>
      <c r="B1620" s="83">
        <v>45860</v>
      </c>
      <c r="C1620" s="82" t="s">
        <v>3395</v>
      </c>
      <c r="D1620" s="82" t="s">
        <v>1818</v>
      </c>
      <c r="E1620" s="82"/>
      <c r="F1620" s="82" t="s">
        <v>5153</v>
      </c>
      <c r="G1620" s="89">
        <v>1</v>
      </c>
      <c r="H1620" s="89">
        <v>142.15</v>
      </c>
      <c r="I1620" s="85">
        <v>0</v>
      </c>
      <c r="J1620" s="85">
        <v>0</v>
      </c>
      <c r="K1620" s="85">
        <v>142.15</v>
      </c>
      <c r="L1620" s="85">
        <v>11200.18</v>
      </c>
      <c r="M1620" s="89">
        <v>193.35243054138681</v>
      </c>
      <c r="N1620" s="85">
        <v>0</v>
      </c>
      <c r="O1620" s="85">
        <v>0</v>
      </c>
      <c r="P1620" s="85">
        <v>193.35243054138681</v>
      </c>
      <c r="Q1620" s="85">
        <v>15234.484878656558</v>
      </c>
      <c r="R1620" s="82" t="s">
        <v>3399</v>
      </c>
      <c r="S1620" s="7">
        <f t="shared" si="76"/>
        <v>0</v>
      </c>
      <c r="T1620" s="6">
        <f t="shared" si="77"/>
        <v>0</v>
      </c>
      <c r="U1620" s="25">
        <f t="shared" si="75"/>
        <v>0</v>
      </c>
    </row>
    <row r="1621" spans="1:21" ht="10.9" customHeight="1" x14ac:dyDescent="0.2">
      <c r="A1621" s="82" t="s">
        <v>2529</v>
      </c>
      <c r="B1621" s="83">
        <v>45860</v>
      </c>
      <c r="C1621" s="82" t="s">
        <v>3395</v>
      </c>
      <c r="D1621" s="82" t="s">
        <v>1818</v>
      </c>
      <c r="E1621" s="82"/>
      <c r="F1621" s="82" t="s">
        <v>5152</v>
      </c>
      <c r="G1621" s="89">
        <v>1</v>
      </c>
      <c r="H1621" s="89">
        <v>60.16</v>
      </c>
      <c r="I1621" s="85">
        <v>0</v>
      </c>
      <c r="J1621" s="85">
        <v>0</v>
      </c>
      <c r="K1621" s="85">
        <v>60.16</v>
      </c>
      <c r="L1621" s="85">
        <v>11200.18</v>
      </c>
      <c r="M1621" s="89">
        <v>81.829632229122964</v>
      </c>
      <c r="N1621" s="85">
        <v>0</v>
      </c>
      <c r="O1621" s="85">
        <v>0</v>
      </c>
      <c r="P1621" s="85">
        <v>81.829632229122964</v>
      </c>
      <c r="Q1621" s="85">
        <v>15234.484878656558</v>
      </c>
      <c r="R1621" s="82" t="s">
        <v>3399</v>
      </c>
      <c r="S1621" s="7">
        <f t="shared" si="76"/>
        <v>0</v>
      </c>
      <c r="T1621" s="6">
        <f t="shared" si="77"/>
        <v>0</v>
      </c>
      <c r="U1621" s="25">
        <f t="shared" si="75"/>
        <v>0</v>
      </c>
    </row>
    <row r="1622" spans="1:21" ht="10.9" customHeight="1" x14ac:dyDescent="0.2">
      <c r="A1622" s="82" t="s">
        <v>2529</v>
      </c>
      <c r="B1622" s="83">
        <v>45860</v>
      </c>
      <c r="C1622" s="82" t="s">
        <v>3395</v>
      </c>
      <c r="D1622" s="82" t="s">
        <v>1818</v>
      </c>
      <c r="E1622" s="82"/>
      <c r="F1622" s="82" t="s">
        <v>5151</v>
      </c>
      <c r="G1622" s="89">
        <v>1</v>
      </c>
      <c r="H1622" s="89">
        <v>35.72</v>
      </c>
      <c r="I1622" s="85">
        <v>0</v>
      </c>
      <c r="J1622" s="85">
        <v>0</v>
      </c>
      <c r="K1622" s="85">
        <v>35.72</v>
      </c>
      <c r="L1622" s="85">
        <v>11200.18</v>
      </c>
      <c r="M1622" s="89">
        <v>48.586344136041767</v>
      </c>
      <c r="N1622" s="85">
        <v>0</v>
      </c>
      <c r="O1622" s="85">
        <v>0</v>
      </c>
      <c r="P1622" s="85">
        <v>48.586344136041767</v>
      </c>
      <c r="Q1622" s="85">
        <v>15234.484878656558</v>
      </c>
      <c r="R1622" s="82" t="s">
        <v>3399</v>
      </c>
      <c r="S1622" s="7">
        <f t="shared" si="76"/>
        <v>0</v>
      </c>
      <c r="T1622" s="6">
        <f t="shared" si="77"/>
        <v>0</v>
      </c>
      <c r="U1622" s="25">
        <f t="shared" si="75"/>
        <v>0</v>
      </c>
    </row>
    <row r="1623" spans="1:21" ht="10.9" customHeight="1" x14ac:dyDescent="0.2">
      <c r="A1623" s="82" t="s">
        <v>2529</v>
      </c>
      <c r="B1623" s="83">
        <v>45860</v>
      </c>
      <c r="C1623" s="82" t="s">
        <v>3395</v>
      </c>
      <c r="D1623" s="82" t="s">
        <v>1818</v>
      </c>
      <c r="E1623" s="82"/>
      <c r="F1623" s="82" t="s">
        <v>5150</v>
      </c>
      <c r="G1623" s="89">
        <v>1</v>
      </c>
      <c r="H1623" s="89">
        <v>18.63</v>
      </c>
      <c r="I1623" s="85">
        <v>0</v>
      </c>
      <c r="J1623" s="85">
        <v>0</v>
      </c>
      <c r="K1623" s="85">
        <v>18.63</v>
      </c>
      <c r="L1623" s="85">
        <v>11200.18</v>
      </c>
      <c r="M1623" s="89">
        <v>25.340526070953473</v>
      </c>
      <c r="N1623" s="85">
        <v>0</v>
      </c>
      <c r="O1623" s="85">
        <v>0</v>
      </c>
      <c r="P1623" s="85">
        <v>25.340526070953473</v>
      </c>
      <c r="Q1623" s="85">
        <v>15234.484878656558</v>
      </c>
      <c r="R1623" s="82" t="s">
        <v>3399</v>
      </c>
      <c r="S1623" s="7">
        <f t="shared" si="76"/>
        <v>0</v>
      </c>
      <c r="T1623" s="6">
        <f t="shared" si="77"/>
        <v>0</v>
      </c>
      <c r="U1623" s="25">
        <f t="shared" si="75"/>
        <v>0</v>
      </c>
    </row>
    <row r="1624" spans="1:21" ht="10.9" customHeight="1" x14ac:dyDescent="0.2">
      <c r="A1624" s="82" t="s">
        <v>2529</v>
      </c>
      <c r="B1624" s="83">
        <v>45860</v>
      </c>
      <c r="C1624" s="82" t="s">
        <v>3395</v>
      </c>
      <c r="D1624" s="82" t="s">
        <v>1818</v>
      </c>
      <c r="E1624" s="82"/>
      <c r="F1624" s="82" t="s">
        <v>5149</v>
      </c>
      <c r="G1624" s="89">
        <v>1</v>
      </c>
      <c r="H1624" s="89">
        <v>17.57</v>
      </c>
      <c r="I1624" s="85">
        <v>0</v>
      </c>
      <c r="J1624" s="85">
        <v>0</v>
      </c>
      <c r="K1624" s="85">
        <v>17.57</v>
      </c>
      <c r="L1624" s="85">
        <v>11200.18</v>
      </c>
      <c r="M1624" s="89">
        <v>23.898714066916398</v>
      </c>
      <c r="N1624" s="85">
        <v>0</v>
      </c>
      <c r="O1624" s="85">
        <v>0</v>
      </c>
      <c r="P1624" s="85">
        <v>23.898714066916398</v>
      </c>
      <c r="Q1624" s="85">
        <v>15234.484878656558</v>
      </c>
      <c r="R1624" s="82" t="s">
        <v>3399</v>
      </c>
      <c r="S1624" s="7">
        <f t="shared" si="76"/>
        <v>0</v>
      </c>
      <c r="T1624" s="6">
        <f t="shared" si="77"/>
        <v>0</v>
      </c>
      <c r="U1624" s="25">
        <f t="shared" si="75"/>
        <v>0</v>
      </c>
    </row>
    <row r="1625" spans="1:21" ht="10.9" customHeight="1" x14ac:dyDescent="0.2">
      <c r="A1625" s="82" t="s">
        <v>2529</v>
      </c>
      <c r="B1625" s="83">
        <v>45860</v>
      </c>
      <c r="C1625" s="82" t="s">
        <v>3395</v>
      </c>
      <c r="D1625" s="82" t="s">
        <v>1818</v>
      </c>
      <c r="E1625" s="82"/>
      <c r="F1625" s="82" t="s">
        <v>5148</v>
      </c>
      <c r="G1625" s="89">
        <v>1</v>
      </c>
      <c r="H1625" s="89">
        <v>11.52</v>
      </c>
      <c r="I1625" s="85">
        <v>0</v>
      </c>
      <c r="J1625" s="85">
        <v>0</v>
      </c>
      <c r="K1625" s="85">
        <v>11.52</v>
      </c>
      <c r="L1625" s="85">
        <v>11200.18</v>
      </c>
      <c r="M1625" s="89">
        <v>15.66950404387461</v>
      </c>
      <c r="N1625" s="85">
        <v>0</v>
      </c>
      <c r="O1625" s="85">
        <v>0</v>
      </c>
      <c r="P1625" s="85">
        <v>15.66950404387461</v>
      </c>
      <c r="Q1625" s="85">
        <v>15234.484878656558</v>
      </c>
      <c r="R1625" s="82" t="s">
        <v>3399</v>
      </c>
      <c r="S1625" s="7">
        <f t="shared" si="76"/>
        <v>0</v>
      </c>
      <c r="T1625" s="6">
        <f t="shared" si="77"/>
        <v>0</v>
      </c>
      <c r="U1625" s="25">
        <f t="shared" si="75"/>
        <v>0</v>
      </c>
    </row>
    <row r="1626" spans="1:21" ht="10.9" customHeight="1" x14ac:dyDescent="0.2">
      <c r="A1626" s="82" t="s">
        <v>2529</v>
      </c>
      <c r="B1626" s="83">
        <v>45860</v>
      </c>
      <c r="C1626" s="82" t="s">
        <v>3395</v>
      </c>
      <c r="D1626" s="82" t="s">
        <v>1818</v>
      </c>
      <c r="E1626" s="82"/>
      <c r="F1626" s="82" t="s">
        <v>5147</v>
      </c>
      <c r="G1626" s="89">
        <v>1</v>
      </c>
      <c r="H1626" s="89">
        <v>14.27</v>
      </c>
      <c r="I1626" s="85">
        <v>0</v>
      </c>
      <c r="J1626" s="85">
        <v>0</v>
      </c>
      <c r="K1626" s="85">
        <v>14.27</v>
      </c>
      <c r="L1626" s="85">
        <v>11200.18</v>
      </c>
      <c r="M1626" s="89">
        <v>19.410054054348151</v>
      </c>
      <c r="N1626" s="85">
        <v>0</v>
      </c>
      <c r="O1626" s="85">
        <v>0</v>
      </c>
      <c r="P1626" s="85">
        <v>19.410054054348151</v>
      </c>
      <c r="Q1626" s="85">
        <v>15234.484878656558</v>
      </c>
      <c r="R1626" s="82" t="s">
        <v>3399</v>
      </c>
      <c r="S1626" s="7">
        <f t="shared" si="76"/>
        <v>0</v>
      </c>
      <c r="T1626" s="6">
        <f t="shared" si="77"/>
        <v>0</v>
      </c>
      <c r="U1626" s="25">
        <f t="shared" si="75"/>
        <v>0</v>
      </c>
    </row>
    <row r="1627" spans="1:21" ht="10.9" customHeight="1" x14ac:dyDescent="0.2">
      <c r="A1627" s="82" t="s">
        <v>2529</v>
      </c>
      <c r="B1627" s="83">
        <v>45860</v>
      </c>
      <c r="C1627" s="82" t="s">
        <v>3395</v>
      </c>
      <c r="D1627" s="82" t="s">
        <v>1818</v>
      </c>
      <c r="E1627" s="82"/>
      <c r="F1627" s="82" t="s">
        <v>5146</v>
      </c>
      <c r="G1627" s="89">
        <v>1</v>
      </c>
      <c r="H1627" s="89">
        <v>89.08</v>
      </c>
      <c r="I1627" s="85">
        <v>0</v>
      </c>
      <c r="J1627" s="85">
        <v>0</v>
      </c>
      <c r="K1627" s="85">
        <v>89.08</v>
      </c>
      <c r="L1627" s="85">
        <v>11200.18</v>
      </c>
      <c r="M1627" s="89">
        <v>121.16661633926653</v>
      </c>
      <c r="N1627" s="85">
        <v>0</v>
      </c>
      <c r="O1627" s="85">
        <v>0</v>
      </c>
      <c r="P1627" s="85">
        <v>121.16661633926653</v>
      </c>
      <c r="Q1627" s="85">
        <v>15234.484878656558</v>
      </c>
      <c r="R1627" s="82" t="s">
        <v>3399</v>
      </c>
      <c r="S1627" s="7">
        <f t="shared" si="76"/>
        <v>0</v>
      </c>
      <c r="T1627" s="6">
        <f t="shared" si="77"/>
        <v>0</v>
      </c>
      <c r="U1627" s="25">
        <f t="shared" si="75"/>
        <v>0</v>
      </c>
    </row>
    <row r="1628" spans="1:21" ht="10.9" customHeight="1" x14ac:dyDescent="0.2">
      <c r="A1628" s="82" t="s">
        <v>2529</v>
      </c>
      <c r="B1628" s="83">
        <v>45860</v>
      </c>
      <c r="C1628" s="82" t="s">
        <v>3395</v>
      </c>
      <c r="D1628" s="82" t="s">
        <v>1818</v>
      </c>
      <c r="E1628" s="82"/>
      <c r="F1628" s="82" t="s">
        <v>5145</v>
      </c>
      <c r="G1628" s="89">
        <v>22</v>
      </c>
      <c r="H1628" s="89">
        <v>36.200000000000003</v>
      </c>
      <c r="I1628" s="85">
        <v>0</v>
      </c>
      <c r="J1628" s="85">
        <v>0</v>
      </c>
      <c r="K1628" s="85">
        <v>796.4</v>
      </c>
      <c r="L1628" s="85">
        <v>11200.18</v>
      </c>
      <c r="M1628" s="89">
        <v>49.239240137869871</v>
      </c>
      <c r="N1628" s="85">
        <v>0</v>
      </c>
      <c r="O1628" s="85">
        <v>0</v>
      </c>
      <c r="P1628" s="85">
        <v>1083.2632830331372</v>
      </c>
      <c r="Q1628" s="85">
        <v>15234.484878656558</v>
      </c>
      <c r="R1628" s="82" t="s">
        <v>3399</v>
      </c>
      <c r="S1628" s="7">
        <f t="shared" si="76"/>
        <v>0</v>
      </c>
      <c r="T1628" s="6">
        <f t="shared" si="77"/>
        <v>0</v>
      </c>
      <c r="U1628" s="25">
        <f t="shared" si="75"/>
        <v>0</v>
      </c>
    </row>
    <row r="1629" spans="1:21" ht="10.9" customHeight="1" x14ac:dyDescent="0.2">
      <c r="A1629" s="82" t="s">
        <v>2529</v>
      </c>
      <c r="B1629" s="83">
        <v>45860</v>
      </c>
      <c r="C1629" s="82" t="s">
        <v>3395</v>
      </c>
      <c r="D1629" s="82" t="s">
        <v>1818</v>
      </c>
      <c r="E1629" s="82"/>
      <c r="F1629" s="82" t="s">
        <v>4799</v>
      </c>
      <c r="G1629" s="89">
        <v>4</v>
      </c>
      <c r="H1629" s="89">
        <v>36.200000000000003</v>
      </c>
      <c r="I1629" s="85">
        <v>0</v>
      </c>
      <c r="J1629" s="85">
        <v>0</v>
      </c>
      <c r="K1629" s="85">
        <v>144.80000000000001</v>
      </c>
      <c r="L1629" s="85">
        <v>11200.18</v>
      </c>
      <c r="M1629" s="89">
        <v>49.239240137869871</v>
      </c>
      <c r="N1629" s="85">
        <v>0</v>
      </c>
      <c r="O1629" s="85">
        <v>0</v>
      </c>
      <c r="P1629" s="85">
        <v>196.95696055147948</v>
      </c>
      <c r="Q1629" s="85">
        <v>15234.484878656558</v>
      </c>
      <c r="R1629" s="82" t="s">
        <v>3399</v>
      </c>
      <c r="S1629" s="7">
        <f t="shared" si="76"/>
        <v>0</v>
      </c>
      <c r="T1629" s="6">
        <f t="shared" si="77"/>
        <v>0</v>
      </c>
      <c r="U1629" s="25">
        <f t="shared" si="75"/>
        <v>0</v>
      </c>
    </row>
    <row r="1630" spans="1:21" ht="10.9" customHeight="1" x14ac:dyDescent="0.2">
      <c r="A1630" s="82" t="s">
        <v>2529</v>
      </c>
      <c r="B1630" s="83">
        <v>45860</v>
      </c>
      <c r="C1630" s="82" t="s">
        <v>3395</v>
      </c>
      <c r="D1630" s="82" t="s">
        <v>1818</v>
      </c>
      <c r="E1630" s="82"/>
      <c r="F1630" s="82" t="s">
        <v>5144</v>
      </c>
      <c r="G1630" s="89">
        <v>4</v>
      </c>
      <c r="H1630" s="89">
        <v>32.909999999999997</v>
      </c>
      <c r="I1630" s="85">
        <v>0</v>
      </c>
      <c r="J1630" s="85">
        <v>0</v>
      </c>
      <c r="K1630" s="85">
        <v>131.63999999999999</v>
      </c>
      <c r="L1630" s="85">
        <v>11200.18</v>
      </c>
      <c r="M1630" s="89">
        <v>44.764182125339708</v>
      </c>
      <c r="N1630" s="85">
        <v>0</v>
      </c>
      <c r="O1630" s="85">
        <v>0</v>
      </c>
      <c r="P1630" s="85">
        <v>179.05672850135883</v>
      </c>
      <c r="Q1630" s="85">
        <v>15234.484878656558</v>
      </c>
      <c r="R1630" s="82" t="s">
        <v>3399</v>
      </c>
      <c r="S1630" s="7">
        <f t="shared" si="76"/>
        <v>0</v>
      </c>
      <c r="T1630" s="6">
        <f t="shared" si="77"/>
        <v>0</v>
      </c>
      <c r="U1630" s="25">
        <f t="shared" si="75"/>
        <v>0</v>
      </c>
    </row>
    <row r="1631" spans="1:21" ht="10.9" customHeight="1" x14ac:dyDescent="0.2">
      <c r="A1631" s="82" t="s">
        <v>2529</v>
      </c>
      <c r="B1631" s="83">
        <v>45860</v>
      </c>
      <c r="C1631" s="82" t="s">
        <v>3395</v>
      </c>
      <c r="D1631" s="82" t="s">
        <v>1818</v>
      </c>
      <c r="E1631" s="82"/>
      <c r="F1631" s="82" t="s">
        <v>5143</v>
      </c>
      <c r="G1631" s="89">
        <v>1</v>
      </c>
      <c r="H1631" s="89">
        <v>1289.82</v>
      </c>
      <c r="I1631" s="85">
        <v>0</v>
      </c>
      <c r="J1631" s="85">
        <v>0</v>
      </c>
      <c r="K1631" s="85">
        <v>1289.82</v>
      </c>
      <c r="L1631" s="85">
        <v>11200.18</v>
      </c>
      <c r="M1631" s="89">
        <v>1754.4131689123569</v>
      </c>
      <c r="N1631" s="85">
        <v>0</v>
      </c>
      <c r="O1631" s="85">
        <v>0</v>
      </c>
      <c r="P1631" s="85">
        <v>1754.4131689123569</v>
      </c>
      <c r="Q1631" s="85">
        <v>15234.484878656558</v>
      </c>
      <c r="R1631" s="82" t="s">
        <v>3399</v>
      </c>
      <c r="S1631" s="7">
        <f t="shared" si="76"/>
        <v>0</v>
      </c>
      <c r="T1631" s="6">
        <f t="shared" si="77"/>
        <v>0</v>
      </c>
      <c r="U1631" s="25">
        <f t="shared" si="75"/>
        <v>0</v>
      </c>
    </row>
    <row r="1632" spans="1:21" ht="10.9" customHeight="1" x14ac:dyDescent="0.2">
      <c r="A1632" s="82" t="s">
        <v>2529</v>
      </c>
      <c r="B1632" s="83">
        <v>45860</v>
      </c>
      <c r="C1632" s="82" t="s">
        <v>3395</v>
      </c>
      <c r="D1632" s="82" t="s">
        <v>1818</v>
      </c>
      <c r="E1632" s="82"/>
      <c r="F1632" s="82" t="s">
        <v>5142</v>
      </c>
      <c r="G1632" s="89">
        <v>4</v>
      </c>
      <c r="H1632" s="89">
        <v>87.02</v>
      </c>
      <c r="I1632" s="85">
        <v>0</v>
      </c>
      <c r="J1632" s="85">
        <v>0</v>
      </c>
      <c r="K1632" s="85">
        <v>348.08</v>
      </c>
      <c r="L1632" s="85">
        <v>11200.18</v>
      </c>
      <c r="M1632" s="89">
        <v>118.36460433142089</v>
      </c>
      <c r="N1632" s="85">
        <v>0</v>
      </c>
      <c r="O1632" s="85">
        <v>0</v>
      </c>
      <c r="P1632" s="85">
        <v>473.45841732568357</v>
      </c>
      <c r="Q1632" s="85">
        <v>15234.484878656558</v>
      </c>
      <c r="R1632" s="82" t="s">
        <v>3399</v>
      </c>
      <c r="S1632" s="7">
        <f t="shared" si="76"/>
        <v>0</v>
      </c>
      <c r="T1632" s="6">
        <f t="shared" si="77"/>
        <v>0</v>
      </c>
      <c r="U1632" s="25">
        <f t="shared" si="75"/>
        <v>0</v>
      </c>
    </row>
    <row r="1633" spans="1:21" ht="10.9" customHeight="1" x14ac:dyDescent="0.2">
      <c r="A1633" s="82" t="s">
        <v>2529</v>
      </c>
      <c r="B1633" s="83">
        <v>45860</v>
      </c>
      <c r="C1633" s="82" t="s">
        <v>3395</v>
      </c>
      <c r="D1633" s="82" t="s">
        <v>1818</v>
      </c>
      <c r="E1633" s="82"/>
      <c r="F1633" s="82" t="s">
        <v>5141</v>
      </c>
      <c r="G1633" s="89">
        <v>1</v>
      </c>
      <c r="H1633" s="89">
        <v>230.97</v>
      </c>
      <c r="I1633" s="85">
        <v>0</v>
      </c>
      <c r="J1633" s="85">
        <v>0</v>
      </c>
      <c r="K1633" s="85">
        <v>230.97</v>
      </c>
      <c r="L1633" s="85">
        <v>11200.18</v>
      </c>
      <c r="M1633" s="89">
        <v>314.1653948796631</v>
      </c>
      <c r="N1633" s="85">
        <v>0</v>
      </c>
      <c r="O1633" s="85">
        <v>0</v>
      </c>
      <c r="P1633" s="85">
        <v>314.1653948796631</v>
      </c>
      <c r="Q1633" s="85">
        <v>15234.484878656558</v>
      </c>
      <c r="R1633" s="82" t="s">
        <v>3399</v>
      </c>
      <c r="S1633" s="7">
        <f t="shared" si="76"/>
        <v>0</v>
      </c>
      <c r="T1633" s="6">
        <f t="shared" si="77"/>
        <v>0</v>
      </c>
      <c r="U1633" s="25">
        <f t="shared" si="75"/>
        <v>0</v>
      </c>
    </row>
    <row r="1634" spans="1:21" ht="10.9" customHeight="1" x14ac:dyDescent="0.2">
      <c r="A1634" s="82" t="s">
        <v>2529</v>
      </c>
      <c r="B1634" s="83">
        <v>45860</v>
      </c>
      <c r="C1634" s="82" t="s">
        <v>3395</v>
      </c>
      <c r="D1634" s="82" t="s">
        <v>1818</v>
      </c>
      <c r="E1634" s="82"/>
      <c r="F1634" s="82" t="s">
        <v>5140</v>
      </c>
      <c r="G1634" s="89">
        <v>1</v>
      </c>
      <c r="H1634" s="89">
        <v>183.68</v>
      </c>
      <c r="I1634" s="85">
        <v>0</v>
      </c>
      <c r="J1634" s="85">
        <v>0</v>
      </c>
      <c r="K1634" s="85">
        <v>183.68</v>
      </c>
      <c r="L1634" s="85">
        <v>11200.18</v>
      </c>
      <c r="M1634" s="89">
        <v>249.84153669955631</v>
      </c>
      <c r="N1634" s="85">
        <v>0</v>
      </c>
      <c r="O1634" s="85">
        <v>0</v>
      </c>
      <c r="P1634" s="85">
        <v>249.84153669955631</v>
      </c>
      <c r="Q1634" s="85">
        <v>15234.484878656558</v>
      </c>
      <c r="R1634" s="82" t="s">
        <v>3399</v>
      </c>
      <c r="S1634" s="7">
        <f t="shared" si="76"/>
        <v>0</v>
      </c>
      <c r="T1634" s="6">
        <f t="shared" si="77"/>
        <v>0</v>
      </c>
      <c r="U1634" s="25">
        <f t="shared" si="75"/>
        <v>0</v>
      </c>
    </row>
    <row r="1635" spans="1:21" ht="10.9" customHeight="1" x14ac:dyDescent="0.2">
      <c r="A1635" s="82" t="s">
        <v>2529</v>
      </c>
      <c r="B1635" s="83">
        <v>45860</v>
      </c>
      <c r="C1635" s="82" t="s">
        <v>3395</v>
      </c>
      <c r="D1635" s="82" t="s">
        <v>1818</v>
      </c>
      <c r="E1635" s="82"/>
      <c r="F1635" s="82" t="s">
        <v>5139</v>
      </c>
      <c r="G1635" s="89">
        <v>1</v>
      </c>
      <c r="H1635" s="89">
        <v>45.14</v>
      </c>
      <c r="I1635" s="85">
        <v>0</v>
      </c>
      <c r="J1635" s="85">
        <v>0</v>
      </c>
      <c r="K1635" s="85">
        <v>45.14</v>
      </c>
      <c r="L1635" s="85">
        <v>11200.18</v>
      </c>
      <c r="M1635" s="89">
        <v>61.399428171918402</v>
      </c>
      <c r="N1635" s="85">
        <v>0</v>
      </c>
      <c r="O1635" s="85">
        <v>0</v>
      </c>
      <c r="P1635" s="85">
        <v>61.399428171918402</v>
      </c>
      <c r="Q1635" s="85">
        <v>15234.484878656558</v>
      </c>
      <c r="R1635" s="82" t="s">
        <v>3399</v>
      </c>
      <c r="S1635" s="7">
        <f t="shared" si="76"/>
        <v>0</v>
      </c>
      <c r="T1635" s="6">
        <f t="shared" si="77"/>
        <v>0</v>
      </c>
      <c r="U1635" s="25">
        <f t="shared" si="75"/>
        <v>0</v>
      </c>
    </row>
    <row r="1636" spans="1:21" ht="10.9" customHeight="1" x14ac:dyDescent="0.2">
      <c r="A1636" s="82" t="s">
        <v>2529</v>
      </c>
      <c r="B1636" s="83">
        <v>45860</v>
      </c>
      <c r="C1636" s="82" t="s">
        <v>3395</v>
      </c>
      <c r="D1636" s="82" t="s">
        <v>1818</v>
      </c>
      <c r="E1636" s="82"/>
      <c r="F1636" s="82" t="s">
        <v>5138</v>
      </c>
      <c r="G1636" s="89">
        <v>1</v>
      </c>
      <c r="H1636" s="89">
        <v>85.53</v>
      </c>
      <c r="I1636" s="85">
        <v>0</v>
      </c>
      <c r="J1636" s="85">
        <v>0</v>
      </c>
      <c r="K1636" s="85">
        <v>85.53</v>
      </c>
      <c r="L1636" s="85">
        <v>11200.18</v>
      </c>
      <c r="M1636" s="89">
        <v>116.33790632574613</v>
      </c>
      <c r="N1636" s="85">
        <v>0</v>
      </c>
      <c r="O1636" s="85">
        <v>0</v>
      </c>
      <c r="P1636" s="85">
        <v>116.33790632574613</v>
      </c>
      <c r="Q1636" s="85">
        <v>15234.484878656558</v>
      </c>
      <c r="R1636" s="82" t="s">
        <v>3399</v>
      </c>
      <c r="S1636" s="7">
        <f t="shared" si="76"/>
        <v>0</v>
      </c>
      <c r="T1636" s="6">
        <f t="shared" si="77"/>
        <v>0</v>
      </c>
      <c r="U1636" s="25">
        <f t="shared" si="75"/>
        <v>0</v>
      </c>
    </row>
    <row r="1637" spans="1:21" ht="10.9" customHeight="1" x14ac:dyDescent="0.2">
      <c r="A1637" s="82" t="s">
        <v>2999</v>
      </c>
      <c r="B1637" s="83">
        <v>45860</v>
      </c>
      <c r="C1637" s="82" t="s">
        <v>3395</v>
      </c>
      <c r="D1637" s="82" t="s">
        <v>1002</v>
      </c>
      <c r="E1637" s="82"/>
      <c r="F1637" s="82" t="s">
        <v>5167</v>
      </c>
      <c r="G1637" s="89">
        <v>2</v>
      </c>
      <c r="H1637" s="89">
        <v>57.34</v>
      </c>
      <c r="I1637" s="85">
        <v>0</v>
      </c>
      <c r="J1637" s="85">
        <v>5.73</v>
      </c>
      <c r="K1637" s="85">
        <v>120.41</v>
      </c>
      <c r="L1637" s="85">
        <v>189.67</v>
      </c>
      <c r="M1637" s="89">
        <v>57.34</v>
      </c>
      <c r="N1637" s="85">
        <v>0</v>
      </c>
      <c r="O1637" s="85">
        <v>5.73</v>
      </c>
      <c r="P1637" s="85">
        <v>120.41</v>
      </c>
      <c r="Q1637" s="85">
        <v>189.67</v>
      </c>
      <c r="R1637" s="82" t="s">
        <v>3399</v>
      </c>
      <c r="S1637" s="7">
        <f t="shared" si="76"/>
        <v>0</v>
      </c>
      <c r="T1637" s="6">
        <f t="shared" si="77"/>
        <v>0</v>
      </c>
      <c r="U1637" s="25">
        <f t="shared" si="75"/>
        <v>0</v>
      </c>
    </row>
    <row r="1638" spans="1:21" ht="10.9" customHeight="1" x14ac:dyDescent="0.2">
      <c r="A1638" s="82" t="s">
        <v>2999</v>
      </c>
      <c r="B1638" s="83">
        <v>45860</v>
      </c>
      <c r="C1638" s="82" t="s">
        <v>3395</v>
      </c>
      <c r="D1638" s="82" t="s">
        <v>1002</v>
      </c>
      <c r="E1638" s="82"/>
      <c r="F1638" s="82" t="s">
        <v>4692</v>
      </c>
      <c r="G1638" s="89">
        <v>2</v>
      </c>
      <c r="H1638" s="89">
        <v>32.979999999999997</v>
      </c>
      <c r="I1638" s="85">
        <v>0</v>
      </c>
      <c r="J1638" s="85">
        <v>3.3</v>
      </c>
      <c r="K1638" s="85">
        <v>69.260000000000005</v>
      </c>
      <c r="L1638" s="85">
        <v>189.67</v>
      </c>
      <c r="M1638" s="89">
        <v>32.979999999999997</v>
      </c>
      <c r="N1638" s="85">
        <v>0</v>
      </c>
      <c r="O1638" s="85">
        <v>3.3</v>
      </c>
      <c r="P1638" s="85">
        <v>69.260000000000005</v>
      </c>
      <c r="Q1638" s="85">
        <v>189.67</v>
      </c>
      <c r="R1638" s="82" t="s">
        <v>3399</v>
      </c>
      <c r="S1638" s="7">
        <f t="shared" si="76"/>
        <v>0</v>
      </c>
      <c r="T1638" s="6">
        <f t="shared" si="77"/>
        <v>0</v>
      </c>
      <c r="U1638" s="25">
        <f t="shared" si="75"/>
        <v>0</v>
      </c>
    </row>
    <row r="1639" spans="1:21" ht="10.9" customHeight="1" x14ac:dyDescent="0.2">
      <c r="A1639" s="82" t="s">
        <v>2985</v>
      </c>
      <c r="B1639" s="83">
        <v>45860</v>
      </c>
      <c r="C1639" s="82" t="s">
        <v>3395</v>
      </c>
      <c r="D1639" s="82" t="s">
        <v>1022</v>
      </c>
      <c r="E1639" s="82"/>
      <c r="F1639" s="82" t="s">
        <v>4525</v>
      </c>
      <c r="G1639" s="89">
        <v>1</v>
      </c>
      <c r="H1639" s="89">
        <v>1018.48</v>
      </c>
      <c r="I1639" s="85">
        <v>0</v>
      </c>
      <c r="J1639" s="85">
        <v>50.92</v>
      </c>
      <c r="K1639" s="85">
        <v>1069.4000000000001</v>
      </c>
      <c r="L1639" s="85">
        <v>1069.4000000000001</v>
      </c>
      <c r="M1639" s="89">
        <v>1018.48</v>
      </c>
      <c r="N1639" s="85">
        <v>0</v>
      </c>
      <c r="O1639" s="85">
        <v>50.92</v>
      </c>
      <c r="P1639" s="85">
        <v>1069.4000000000001</v>
      </c>
      <c r="Q1639" s="85">
        <v>1069.4000000000001</v>
      </c>
      <c r="R1639" s="82" t="s">
        <v>3399</v>
      </c>
      <c r="S1639" s="7">
        <f t="shared" si="76"/>
        <v>0</v>
      </c>
      <c r="T1639" s="6">
        <f t="shared" si="77"/>
        <v>0</v>
      </c>
      <c r="U1639" s="25">
        <f t="shared" si="75"/>
        <v>0</v>
      </c>
    </row>
    <row r="1640" spans="1:21" ht="10.9" customHeight="1" x14ac:dyDescent="0.2">
      <c r="A1640" s="82" t="s">
        <v>3001</v>
      </c>
      <c r="B1640" s="83">
        <v>45860</v>
      </c>
      <c r="C1640" s="82" t="s">
        <v>3395</v>
      </c>
      <c r="D1640" s="82" t="s">
        <v>1000</v>
      </c>
      <c r="E1640" s="82"/>
      <c r="F1640" s="82" t="s">
        <v>4428</v>
      </c>
      <c r="G1640" s="89">
        <v>1</v>
      </c>
      <c r="H1640" s="89">
        <v>204.32</v>
      </c>
      <c r="I1640" s="85">
        <v>0</v>
      </c>
      <c r="J1640" s="85">
        <v>10.220000000000001</v>
      </c>
      <c r="K1640" s="85">
        <v>214.54</v>
      </c>
      <c r="L1640" s="85">
        <v>1644.85</v>
      </c>
      <c r="M1640" s="89">
        <v>204.32</v>
      </c>
      <c r="N1640" s="85">
        <v>0</v>
      </c>
      <c r="O1640" s="85">
        <v>10.220000000000001</v>
      </c>
      <c r="P1640" s="85">
        <v>214.54</v>
      </c>
      <c r="Q1640" s="85">
        <v>1644.85</v>
      </c>
      <c r="R1640" s="82" t="s">
        <v>3399</v>
      </c>
      <c r="S1640" s="7">
        <f t="shared" si="76"/>
        <v>0</v>
      </c>
      <c r="T1640" s="6">
        <f t="shared" si="77"/>
        <v>0</v>
      </c>
      <c r="U1640" s="25">
        <f t="shared" si="75"/>
        <v>0</v>
      </c>
    </row>
    <row r="1641" spans="1:21" ht="10.9" customHeight="1" x14ac:dyDescent="0.2">
      <c r="A1641" s="82" t="s">
        <v>3001</v>
      </c>
      <c r="B1641" s="83">
        <v>45860</v>
      </c>
      <c r="C1641" s="82" t="s">
        <v>3395</v>
      </c>
      <c r="D1641" s="82" t="s">
        <v>1000</v>
      </c>
      <c r="E1641" s="82"/>
      <c r="F1641" s="82" t="s">
        <v>4647</v>
      </c>
      <c r="G1641" s="89">
        <v>1</v>
      </c>
      <c r="H1641" s="89">
        <v>898.22</v>
      </c>
      <c r="I1641" s="85">
        <v>0</v>
      </c>
      <c r="J1641" s="85">
        <v>44.91</v>
      </c>
      <c r="K1641" s="85">
        <v>943.13</v>
      </c>
      <c r="L1641" s="85">
        <v>1644.85</v>
      </c>
      <c r="M1641" s="89">
        <v>898.22</v>
      </c>
      <c r="N1641" s="85">
        <v>0</v>
      </c>
      <c r="O1641" s="85">
        <v>44.91</v>
      </c>
      <c r="P1641" s="85">
        <v>943.13</v>
      </c>
      <c r="Q1641" s="85">
        <v>1644.85</v>
      </c>
      <c r="R1641" s="82" t="s">
        <v>3399</v>
      </c>
      <c r="S1641" s="7">
        <f t="shared" si="76"/>
        <v>0</v>
      </c>
      <c r="T1641" s="6">
        <f t="shared" si="77"/>
        <v>0</v>
      </c>
      <c r="U1641" s="25">
        <f t="shared" si="75"/>
        <v>0</v>
      </c>
    </row>
    <row r="1642" spans="1:21" ht="10.9" customHeight="1" x14ac:dyDescent="0.2">
      <c r="A1642" s="82" t="s">
        <v>3001</v>
      </c>
      <c r="B1642" s="83">
        <v>45860</v>
      </c>
      <c r="C1642" s="82" t="s">
        <v>3395</v>
      </c>
      <c r="D1642" s="82" t="s">
        <v>1000</v>
      </c>
      <c r="E1642" s="82"/>
      <c r="F1642" s="82" t="s">
        <v>5166</v>
      </c>
      <c r="G1642" s="89">
        <v>1</v>
      </c>
      <c r="H1642" s="89">
        <v>194.56</v>
      </c>
      <c r="I1642" s="85">
        <v>0</v>
      </c>
      <c r="J1642" s="85">
        <v>9.73</v>
      </c>
      <c r="K1642" s="85">
        <v>204.29</v>
      </c>
      <c r="L1642" s="85">
        <v>1644.85</v>
      </c>
      <c r="M1642" s="89">
        <v>194.56</v>
      </c>
      <c r="N1642" s="85">
        <v>0</v>
      </c>
      <c r="O1642" s="85">
        <v>9.73</v>
      </c>
      <c r="P1642" s="85">
        <v>204.29</v>
      </c>
      <c r="Q1642" s="85">
        <v>1644.85</v>
      </c>
      <c r="R1642" s="82" t="s">
        <v>3399</v>
      </c>
      <c r="S1642" s="7">
        <f t="shared" si="76"/>
        <v>0</v>
      </c>
      <c r="T1642" s="6">
        <f t="shared" si="77"/>
        <v>0</v>
      </c>
      <c r="U1642" s="25">
        <f t="shared" si="75"/>
        <v>0</v>
      </c>
    </row>
    <row r="1643" spans="1:21" ht="10.9" customHeight="1" x14ac:dyDescent="0.2">
      <c r="A1643" s="82" t="s">
        <v>3001</v>
      </c>
      <c r="B1643" s="83">
        <v>45860</v>
      </c>
      <c r="C1643" s="82" t="s">
        <v>3395</v>
      </c>
      <c r="D1643" s="82" t="s">
        <v>1000</v>
      </c>
      <c r="E1643" s="82"/>
      <c r="F1643" s="82" t="s">
        <v>4558</v>
      </c>
      <c r="G1643" s="89">
        <v>1</v>
      </c>
      <c r="H1643" s="89">
        <v>269.42</v>
      </c>
      <c r="I1643" s="85">
        <v>0</v>
      </c>
      <c r="J1643" s="85">
        <v>13.47</v>
      </c>
      <c r="K1643" s="85">
        <v>282.89</v>
      </c>
      <c r="L1643" s="85">
        <v>1644.85</v>
      </c>
      <c r="M1643" s="89">
        <v>269.42</v>
      </c>
      <c r="N1643" s="85">
        <v>0</v>
      </c>
      <c r="O1643" s="85">
        <v>13.47</v>
      </c>
      <c r="P1643" s="85">
        <v>282.89</v>
      </c>
      <c r="Q1643" s="85">
        <v>1644.85</v>
      </c>
      <c r="R1643" s="82" t="s">
        <v>3399</v>
      </c>
      <c r="S1643" s="7">
        <f t="shared" si="76"/>
        <v>0</v>
      </c>
      <c r="T1643" s="6">
        <f t="shared" si="77"/>
        <v>0</v>
      </c>
      <c r="U1643" s="25">
        <f t="shared" si="75"/>
        <v>0</v>
      </c>
    </row>
    <row r="1644" spans="1:21" ht="10.9" customHeight="1" x14ac:dyDescent="0.2">
      <c r="A1644" s="82" t="s">
        <v>3499</v>
      </c>
      <c r="B1644" s="83">
        <v>45860</v>
      </c>
      <c r="C1644" s="82" t="s">
        <v>3395</v>
      </c>
      <c r="D1644" s="82" t="s">
        <v>3498</v>
      </c>
      <c r="E1644" s="82"/>
      <c r="F1644" s="82" t="s">
        <v>5165</v>
      </c>
      <c r="G1644" s="89">
        <v>1</v>
      </c>
      <c r="H1644" s="89">
        <v>847.27</v>
      </c>
      <c r="I1644" s="85">
        <v>0</v>
      </c>
      <c r="J1644" s="85">
        <v>42.36</v>
      </c>
      <c r="K1644" s="85">
        <v>889.63</v>
      </c>
      <c r="L1644" s="85">
        <v>1530.84</v>
      </c>
      <c r="M1644" s="89">
        <v>847.27</v>
      </c>
      <c r="N1644" s="85">
        <v>0</v>
      </c>
      <c r="O1644" s="85">
        <v>42.36</v>
      </c>
      <c r="P1644" s="85">
        <v>889.63</v>
      </c>
      <c r="Q1644" s="85">
        <v>1530.84</v>
      </c>
      <c r="R1644" s="82" t="s">
        <v>3399</v>
      </c>
      <c r="S1644" s="7">
        <f t="shared" si="76"/>
        <v>0</v>
      </c>
      <c r="T1644" s="6">
        <f t="shared" si="77"/>
        <v>0</v>
      </c>
      <c r="U1644" s="25">
        <f t="shared" si="75"/>
        <v>0</v>
      </c>
    </row>
    <row r="1645" spans="1:21" ht="10.9" customHeight="1" x14ac:dyDescent="0.2">
      <c r="A1645" s="82" t="s">
        <v>3499</v>
      </c>
      <c r="B1645" s="83">
        <v>45860</v>
      </c>
      <c r="C1645" s="82" t="s">
        <v>3395</v>
      </c>
      <c r="D1645" s="82" t="s">
        <v>3498</v>
      </c>
      <c r="E1645" s="82"/>
      <c r="F1645" s="82" t="s">
        <v>5164</v>
      </c>
      <c r="G1645" s="89">
        <v>1</v>
      </c>
      <c r="H1645" s="89">
        <v>139.88</v>
      </c>
      <c r="I1645" s="85">
        <v>0</v>
      </c>
      <c r="J1645" s="85">
        <v>6.99</v>
      </c>
      <c r="K1645" s="85">
        <v>146.87</v>
      </c>
      <c r="L1645" s="85">
        <v>1530.84</v>
      </c>
      <c r="M1645" s="89">
        <v>139.88</v>
      </c>
      <c r="N1645" s="85">
        <v>0</v>
      </c>
      <c r="O1645" s="85">
        <v>6.99</v>
      </c>
      <c r="P1645" s="85">
        <v>146.87</v>
      </c>
      <c r="Q1645" s="85">
        <v>1530.84</v>
      </c>
      <c r="R1645" s="82" t="s">
        <v>3399</v>
      </c>
      <c r="S1645" s="7">
        <f t="shared" si="76"/>
        <v>0</v>
      </c>
      <c r="T1645" s="6">
        <f t="shared" si="77"/>
        <v>0</v>
      </c>
      <c r="U1645" s="25">
        <f t="shared" si="75"/>
        <v>0</v>
      </c>
    </row>
    <row r="1646" spans="1:21" ht="10.9" customHeight="1" x14ac:dyDescent="0.2">
      <c r="A1646" s="82" t="s">
        <v>3499</v>
      </c>
      <c r="B1646" s="83">
        <v>45860</v>
      </c>
      <c r="C1646" s="82" t="s">
        <v>3395</v>
      </c>
      <c r="D1646" s="82" t="s">
        <v>3498</v>
      </c>
      <c r="E1646" s="82"/>
      <c r="F1646" s="82" t="s">
        <v>5163</v>
      </c>
      <c r="G1646" s="89">
        <v>1</v>
      </c>
      <c r="H1646" s="89">
        <v>50.92</v>
      </c>
      <c r="I1646" s="85">
        <v>0</v>
      </c>
      <c r="J1646" s="85">
        <v>2.5499999999999998</v>
      </c>
      <c r="K1646" s="85">
        <v>53.47</v>
      </c>
      <c r="L1646" s="85">
        <v>1530.84</v>
      </c>
      <c r="M1646" s="89">
        <v>50.92</v>
      </c>
      <c r="N1646" s="85">
        <v>0</v>
      </c>
      <c r="O1646" s="85">
        <v>2.5499999999999998</v>
      </c>
      <c r="P1646" s="85">
        <v>53.47</v>
      </c>
      <c r="Q1646" s="85">
        <v>1530.84</v>
      </c>
      <c r="R1646" s="82" t="s">
        <v>3399</v>
      </c>
      <c r="S1646" s="7">
        <f t="shared" si="76"/>
        <v>0</v>
      </c>
      <c r="T1646" s="6">
        <f t="shared" si="77"/>
        <v>0</v>
      </c>
      <c r="U1646" s="25">
        <f t="shared" si="75"/>
        <v>0</v>
      </c>
    </row>
    <row r="1647" spans="1:21" ht="10.9" customHeight="1" x14ac:dyDescent="0.2">
      <c r="A1647" s="82" t="s">
        <v>3499</v>
      </c>
      <c r="B1647" s="83">
        <v>45860</v>
      </c>
      <c r="C1647" s="82" t="s">
        <v>3395</v>
      </c>
      <c r="D1647" s="82" t="s">
        <v>3498</v>
      </c>
      <c r="E1647" s="82"/>
      <c r="F1647" s="82" t="s">
        <v>5162</v>
      </c>
      <c r="G1647" s="89">
        <v>1</v>
      </c>
      <c r="H1647" s="89">
        <v>419.88</v>
      </c>
      <c r="I1647" s="85">
        <v>0</v>
      </c>
      <c r="J1647" s="85">
        <v>20.99</v>
      </c>
      <c r="K1647" s="85">
        <v>440.87</v>
      </c>
      <c r="L1647" s="85">
        <v>1530.84</v>
      </c>
      <c r="M1647" s="89">
        <v>419.88</v>
      </c>
      <c r="N1647" s="85">
        <v>0</v>
      </c>
      <c r="O1647" s="85">
        <v>20.99</v>
      </c>
      <c r="P1647" s="85">
        <v>440.87</v>
      </c>
      <c r="Q1647" s="85">
        <v>1530.84</v>
      </c>
      <c r="R1647" s="82" t="s">
        <v>3399</v>
      </c>
      <c r="S1647" s="7">
        <f t="shared" si="76"/>
        <v>0</v>
      </c>
      <c r="T1647" s="6">
        <f t="shared" si="77"/>
        <v>0</v>
      </c>
      <c r="U1647" s="25">
        <f t="shared" si="75"/>
        <v>0</v>
      </c>
    </row>
    <row r="1648" spans="1:21" ht="10.9" customHeight="1" x14ac:dyDescent="0.2">
      <c r="A1648" s="82" t="s">
        <v>3007</v>
      </c>
      <c r="B1648" s="83">
        <v>45860</v>
      </c>
      <c r="C1648" s="82" t="s">
        <v>3395</v>
      </c>
      <c r="D1648" s="82" t="s">
        <v>990</v>
      </c>
      <c r="E1648" s="82"/>
      <c r="F1648" s="82" t="s">
        <v>5161</v>
      </c>
      <c r="G1648" s="89">
        <v>2</v>
      </c>
      <c r="H1648" s="89">
        <v>538.94000000000005</v>
      </c>
      <c r="I1648" s="85">
        <v>0</v>
      </c>
      <c r="J1648" s="85">
        <v>53.89</v>
      </c>
      <c r="K1648" s="85">
        <v>1131.77</v>
      </c>
      <c r="L1648" s="85">
        <v>1635.52</v>
      </c>
      <c r="M1648" s="89">
        <v>538.94000000000005</v>
      </c>
      <c r="N1648" s="85">
        <v>0</v>
      </c>
      <c r="O1648" s="85">
        <v>53.89</v>
      </c>
      <c r="P1648" s="85">
        <v>1131.77</v>
      </c>
      <c r="Q1648" s="85">
        <v>1635.52</v>
      </c>
      <c r="R1648" s="82" t="s">
        <v>3399</v>
      </c>
      <c r="S1648" s="7">
        <f t="shared" si="76"/>
        <v>0</v>
      </c>
      <c r="T1648" s="6">
        <f t="shared" si="77"/>
        <v>0</v>
      </c>
      <c r="U1648" s="25">
        <f t="shared" si="75"/>
        <v>0</v>
      </c>
    </row>
    <row r="1649" spans="1:21" ht="10.9" customHeight="1" x14ac:dyDescent="0.2">
      <c r="A1649" s="82" t="s">
        <v>3007</v>
      </c>
      <c r="B1649" s="83">
        <v>45860</v>
      </c>
      <c r="C1649" s="82" t="s">
        <v>3395</v>
      </c>
      <c r="D1649" s="82" t="s">
        <v>990</v>
      </c>
      <c r="E1649" s="82"/>
      <c r="F1649" s="82" t="s">
        <v>5160</v>
      </c>
      <c r="G1649" s="89">
        <v>2</v>
      </c>
      <c r="H1649" s="89">
        <v>239.88</v>
      </c>
      <c r="I1649" s="85">
        <v>0</v>
      </c>
      <c r="J1649" s="85">
        <v>23.99</v>
      </c>
      <c r="K1649" s="85">
        <v>503.75</v>
      </c>
      <c r="L1649" s="85">
        <v>1635.52</v>
      </c>
      <c r="M1649" s="89">
        <v>239.88</v>
      </c>
      <c r="N1649" s="85">
        <v>0</v>
      </c>
      <c r="O1649" s="85">
        <v>23.99</v>
      </c>
      <c r="P1649" s="85">
        <v>503.75</v>
      </c>
      <c r="Q1649" s="85">
        <v>1635.52</v>
      </c>
      <c r="R1649" s="82" t="s">
        <v>3399</v>
      </c>
      <c r="S1649" s="7">
        <f t="shared" si="76"/>
        <v>0</v>
      </c>
      <c r="T1649" s="6">
        <f t="shared" si="77"/>
        <v>0</v>
      </c>
      <c r="U1649" s="25">
        <f t="shared" si="75"/>
        <v>0</v>
      </c>
    </row>
    <row r="1650" spans="1:21" ht="10.9" customHeight="1" x14ac:dyDescent="0.2">
      <c r="A1650" s="82" t="s">
        <v>2807</v>
      </c>
      <c r="B1650" s="83">
        <v>45860</v>
      </c>
      <c r="C1650" s="82" t="s">
        <v>3395</v>
      </c>
      <c r="D1650" s="82" t="s">
        <v>1328</v>
      </c>
      <c r="E1650" s="82"/>
      <c r="F1650" s="82" t="s">
        <v>5159</v>
      </c>
      <c r="G1650" s="89">
        <v>4</v>
      </c>
      <c r="H1650" s="89">
        <v>623.59</v>
      </c>
      <c r="I1650" s="85">
        <v>0</v>
      </c>
      <c r="J1650" s="85">
        <v>124.72</v>
      </c>
      <c r="K1650" s="85">
        <v>2619.08</v>
      </c>
      <c r="L1650" s="85">
        <v>2619.08</v>
      </c>
      <c r="M1650" s="89">
        <v>623.59</v>
      </c>
      <c r="N1650" s="85">
        <v>0</v>
      </c>
      <c r="O1650" s="85">
        <v>124.72</v>
      </c>
      <c r="P1650" s="85">
        <v>2619.08</v>
      </c>
      <c r="Q1650" s="85">
        <v>2619.08</v>
      </c>
      <c r="R1650" s="82" t="s">
        <v>3399</v>
      </c>
      <c r="S1650" s="7">
        <f t="shared" si="76"/>
        <v>0</v>
      </c>
      <c r="T1650" s="6">
        <f t="shared" si="77"/>
        <v>0</v>
      </c>
      <c r="U1650" s="25">
        <f t="shared" si="75"/>
        <v>0</v>
      </c>
    </row>
    <row r="1651" spans="1:21" ht="10.9" customHeight="1" x14ac:dyDescent="0.2">
      <c r="A1651" s="82" t="s">
        <v>2690</v>
      </c>
      <c r="B1651" s="83">
        <v>45861</v>
      </c>
      <c r="C1651" s="82" t="s">
        <v>3395</v>
      </c>
      <c r="D1651" s="82" t="s">
        <v>1543</v>
      </c>
      <c r="E1651" s="82"/>
      <c r="F1651" s="82" t="s">
        <v>5134</v>
      </c>
      <c r="G1651" s="89">
        <v>12</v>
      </c>
      <c r="H1651" s="89">
        <v>1327.5</v>
      </c>
      <c r="I1651" s="85">
        <v>0</v>
      </c>
      <c r="J1651" s="85">
        <v>0</v>
      </c>
      <c r="K1651" s="85">
        <v>15930</v>
      </c>
      <c r="L1651" s="85">
        <v>15930</v>
      </c>
      <c r="M1651" s="89">
        <v>1805.9848501338674</v>
      </c>
      <c r="N1651" s="85">
        <v>0</v>
      </c>
      <c r="O1651" s="85">
        <v>0</v>
      </c>
      <c r="P1651" s="85">
        <v>21671.818201606409</v>
      </c>
      <c r="Q1651" s="85">
        <v>21671.818201606409</v>
      </c>
      <c r="R1651" s="82" t="s">
        <v>3399</v>
      </c>
      <c r="S1651" s="7">
        <f t="shared" si="76"/>
        <v>0</v>
      </c>
      <c r="T1651" s="6">
        <f t="shared" si="77"/>
        <v>0</v>
      </c>
      <c r="U1651" s="25">
        <f t="shared" si="75"/>
        <v>0</v>
      </c>
    </row>
    <row r="1652" spans="1:21" ht="10.9" customHeight="1" x14ac:dyDescent="0.2">
      <c r="A1652" s="82" t="s">
        <v>2574</v>
      </c>
      <c r="B1652" s="83">
        <v>45861</v>
      </c>
      <c r="C1652" s="82" t="s">
        <v>3395</v>
      </c>
      <c r="D1652" s="82" t="s">
        <v>1741</v>
      </c>
      <c r="E1652" s="82"/>
      <c r="F1652" s="82" t="s">
        <v>5133</v>
      </c>
      <c r="G1652" s="89">
        <v>1</v>
      </c>
      <c r="H1652" s="89">
        <v>604</v>
      </c>
      <c r="I1652" s="85">
        <v>0</v>
      </c>
      <c r="J1652" s="85">
        <v>0</v>
      </c>
      <c r="K1652" s="85">
        <v>604</v>
      </c>
      <c r="L1652" s="85">
        <v>1417.75</v>
      </c>
      <c r="M1652" s="89">
        <v>821.70610130384625</v>
      </c>
      <c r="N1652" s="85">
        <v>0</v>
      </c>
      <c r="O1652" s="85">
        <v>0</v>
      </c>
      <c r="P1652" s="85">
        <v>821.70610130384625</v>
      </c>
      <c r="Q1652" s="85">
        <v>1928.764611131669</v>
      </c>
      <c r="R1652" s="82" t="s">
        <v>3399</v>
      </c>
      <c r="S1652" s="7">
        <f t="shared" si="76"/>
        <v>0</v>
      </c>
      <c r="T1652" s="6">
        <f t="shared" si="77"/>
        <v>0</v>
      </c>
      <c r="U1652" s="25">
        <f t="shared" si="75"/>
        <v>0</v>
      </c>
    </row>
    <row r="1653" spans="1:21" ht="10.9" customHeight="1" x14ac:dyDescent="0.2">
      <c r="A1653" s="82" t="s">
        <v>2574</v>
      </c>
      <c r="B1653" s="83">
        <v>45861</v>
      </c>
      <c r="C1653" s="82" t="s">
        <v>3395</v>
      </c>
      <c r="D1653" s="82" t="s">
        <v>1741</v>
      </c>
      <c r="E1653" s="82"/>
      <c r="F1653" s="82" t="s">
        <v>5132</v>
      </c>
      <c r="G1653" s="89">
        <v>1</v>
      </c>
      <c r="H1653" s="89">
        <v>813.75</v>
      </c>
      <c r="I1653" s="85">
        <v>0</v>
      </c>
      <c r="J1653" s="85">
        <v>0</v>
      </c>
      <c r="K1653" s="85">
        <v>813.75</v>
      </c>
      <c r="L1653" s="85">
        <v>1417.75</v>
      </c>
      <c r="M1653" s="89">
        <v>1107.0585098278227</v>
      </c>
      <c r="N1653" s="85">
        <v>0</v>
      </c>
      <c r="O1653" s="85">
        <v>0</v>
      </c>
      <c r="P1653" s="85">
        <v>1107.0585098278227</v>
      </c>
      <c r="Q1653" s="85">
        <v>1928.764611131669</v>
      </c>
      <c r="R1653" s="82" t="s">
        <v>3399</v>
      </c>
      <c r="S1653" s="7">
        <f t="shared" si="76"/>
        <v>0</v>
      </c>
      <c r="T1653" s="6">
        <f t="shared" si="77"/>
        <v>0</v>
      </c>
      <c r="U1653" s="25">
        <f t="shared" si="75"/>
        <v>0</v>
      </c>
    </row>
    <row r="1654" spans="1:21" ht="10.9" customHeight="1" x14ac:dyDescent="0.2">
      <c r="A1654" s="82" t="s">
        <v>2625</v>
      </c>
      <c r="B1654" s="83">
        <v>45861</v>
      </c>
      <c r="C1654" s="82" t="s">
        <v>3395</v>
      </c>
      <c r="D1654" s="82" t="s">
        <v>1651</v>
      </c>
      <c r="E1654" s="82"/>
      <c r="F1654" s="82" t="s">
        <v>5131</v>
      </c>
      <c r="G1654" s="89">
        <v>1</v>
      </c>
      <c r="H1654" s="89">
        <v>3218.11</v>
      </c>
      <c r="I1654" s="85">
        <v>0</v>
      </c>
      <c r="J1654" s="85">
        <v>0</v>
      </c>
      <c r="K1654" s="85">
        <v>3218.11</v>
      </c>
      <c r="L1654" s="85">
        <v>8036.64</v>
      </c>
      <c r="M1654" s="89">
        <v>4378.0473868657627</v>
      </c>
      <c r="N1654" s="85">
        <v>0</v>
      </c>
      <c r="O1654" s="85">
        <v>0</v>
      </c>
      <c r="P1654" s="85">
        <v>4378.0473868657627</v>
      </c>
      <c r="Q1654" s="85">
        <v>10933.371062885004</v>
      </c>
      <c r="R1654" s="82" t="s">
        <v>3399</v>
      </c>
      <c r="S1654" s="7">
        <f t="shared" si="76"/>
        <v>0</v>
      </c>
      <c r="T1654" s="6">
        <f t="shared" si="77"/>
        <v>0</v>
      </c>
      <c r="U1654" s="25">
        <f t="shared" si="75"/>
        <v>0</v>
      </c>
    </row>
    <row r="1655" spans="1:21" ht="10.9" customHeight="1" x14ac:dyDescent="0.2">
      <c r="A1655" s="82" t="s">
        <v>2625</v>
      </c>
      <c r="B1655" s="83">
        <v>45861</v>
      </c>
      <c r="C1655" s="82" t="s">
        <v>3395</v>
      </c>
      <c r="D1655" s="82" t="s">
        <v>1651</v>
      </c>
      <c r="E1655" s="82"/>
      <c r="F1655" s="82" t="s">
        <v>5130</v>
      </c>
      <c r="G1655" s="89">
        <v>1</v>
      </c>
      <c r="H1655" s="89">
        <v>4128.53</v>
      </c>
      <c r="I1655" s="85">
        <v>0</v>
      </c>
      <c r="J1655" s="85">
        <v>0</v>
      </c>
      <c r="K1655" s="85">
        <v>4128.53</v>
      </c>
      <c r="L1655" s="85">
        <v>8036.64</v>
      </c>
      <c r="M1655" s="89">
        <v>5616.6196861191529</v>
      </c>
      <c r="N1655" s="85">
        <v>0</v>
      </c>
      <c r="O1655" s="85">
        <v>0</v>
      </c>
      <c r="P1655" s="85">
        <v>5616.6196861191529</v>
      </c>
      <c r="Q1655" s="85">
        <v>10933.371062885004</v>
      </c>
      <c r="R1655" s="82" t="s">
        <v>3399</v>
      </c>
      <c r="S1655" s="7">
        <f t="shared" si="76"/>
        <v>0</v>
      </c>
      <c r="T1655" s="6">
        <f t="shared" si="77"/>
        <v>0</v>
      </c>
      <c r="U1655" s="25">
        <f t="shared" si="75"/>
        <v>0</v>
      </c>
    </row>
    <row r="1656" spans="1:21" ht="10.9" customHeight="1" x14ac:dyDescent="0.2">
      <c r="A1656" s="82" t="s">
        <v>2625</v>
      </c>
      <c r="B1656" s="83">
        <v>45861</v>
      </c>
      <c r="C1656" s="82" t="s">
        <v>3395</v>
      </c>
      <c r="D1656" s="82" t="s">
        <v>1651</v>
      </c>
      <c r="E1656" s="82"/>
      <c r="F1656" s="82" t="s">
        <v>4393</v>
      </c>
      <c r="G1656" s="89">
        <v>1</v>
      </c>
      <c r="H1656" s="89">
        <v>690</v>
      </c>
      <c r="I1656" s="85">
        <v>0</v>
      </c>
      <c r="J1656" s="85">
        <v>0</v>
      </c>
      <c r="K1656" s="85">
        <v>690</v>
      </c>
      <c r="L1656" s="85">
        <v>8036.64</v>
      </c>
      <c r="M1656" s="89">
        <v>938.70398990008925</v>
      </c>
      <c r="N1656" s="85">
        <v>0</v>
      </c>
      <c r="O1656" s="85">
        <v>0</v>
      </c>
      <c r="P1656" s="85">
        <v>938.70398990008925</v>
      </c>
      <c r="Q1656" s="85">
        <v>10933.371062885004</v>
      </c>
      <c r="R1656" s="82" t="s">
        <v>3399</v>
      </c>
      <c r="S1656" s="7" t="str">
        <f t="shared" si="76"/>
        <v>INV13216</v>
      </c>
      <c r="T1656" s="6">
        <f t="shared" si="77"/>
        <v>1</v>
      </c>
      <c r="U1656" s="25">
        <f t="shared" si="75"/>
        <v>690</v>
      </c>
    </row>
    <row r="1657" spans="1:21" ht="10.9" customHeight="1" x14ac:dyDescent="0.2">
      <c r="A1657" s="82" t="s">
        <v>2997</v>
      </c>
      <c r="B1657" s="83">
        <v>45861</v>
      </c>
      <c r="C1657" s="82" t="s">
        <v>3395</v>
      </c>
      <c r="D1657" s="82" t="s">
        <v>1004</v>
      </c>
      <c r="E1657" s="82"/>
      <c r="F1657" s="82" t="s">
        <v>5137</v>
      </c>
      <c r="G1657" s="89">
        <v>1</v>
      </c>
      <c r="H1657" s="89">
        <v>476.7</v>
      </c>
      <c r="I1657" s="85">
        <v>0</v>
      </c>
      <c r="J1657" s="85">
        <v>23.84</v>
      </c>
      <c r="K1657" s="85">
        <v>500.54</v>
      </c>
      <c r="L1657" s="85">
        <v>1271.0999999999999</v>
      </c>
      <c r="M1657" s="89">
        <v>476.7</v>
      </c>
      <c r="N1657" s="85">
        <v>0</v>
      </c>
      <c r="O1657" s="85">
        <v>23.84</v>
      </c>
      <c r="P1657" s="85">
        <v>500.54</v>
      </c>
      <c r="Q1657" s="85">
        <v>1271.0999999999999</v>
      </c>
      <c r="R1657" s="82" t="s">
        <v>3399</v>
      </c>
      <c r="S1657" s="7">
        <f t="shared" si="76"/>
        <v>0</v>
      </c>
      <c r="T1657" s="6">
        <f t="shared" si="77"/>
        <v>0</v>
      </c>
      <c r="U1657" s="25">
        <f t="shared" si="75"/>
        <v>0</v>
      </c>
    </row>
    <row r="1658" spans="1:21" ht="10.9" customHeight="1" x14ac:dyDescent="0.2">
      <c r="A1658" s="82" t="s">
        <v>2997</v>
      </c>
      <c r="B1658" s="83">
        <v>45861</v>
      </c>
      <c r="C1658" s="82" t="s">
        <v>3395</v>
      </c>
      <c r="D1658" s="82" t="s">
        <v>1004</v>
      </c>
      <c r="E1658" s="82"/>
      <c r="F1658" s="82" t="s">
        <v>5136</v>
      </c>
      <c r="G1658" s="89">
        <v>1</v>
      </c>
      <c r="H1658" s="89">
        <v>476.7</v>
      </c>
      <c r="I1658" s="85">
        <v>0</v>
      </c>
      <c r="J1658" s="85">
        <v>23.84</v>
      </c>
      <c r="K1658" s="85">
        <v>500.54</v>
      </c>
      <c r="L1658" s="85">
        <v>1271.0999999999999</v>
      </c>
      <c r="M1658" s="89">
        <v>476.7</v>
      </c>
      <c r="N1658" s="85">
        <v>0</v>
      </c>
      <c r="O1658" s="85">
        <v>23.84</v>
      </c>
      <c r="P1658" s="85">
        <v>500.54</v>
      </c>
      <c r="Q1658" s="85">
        <v>1271.0999999999999</v>
      </c>
      <c r="R1658" s="82" t="s">
        <v>3399</v>
      </c>
      <c r="S1658" s="7">
        <f t="shared" si="76"/>
        <v>0</v>
      </c>
      <c r="T1658" s="6">
        <f t="shared" si="77"/>
        <v>0</v>
      </c>
      <c r="U1658" s="25">
        <f t="shared" si="75"/>
        <v>0</v>
      </c>
    </row>
    <row r="1659" spans="1:21" ht="10.9" customHeight="1" x14ac:dyDescent="0.2">
      <c r="A1659" s="82" t="s">
        <v>2997</v>
      </c>
      <c r="B1659" s="83">
        <v>45861</v>
      </c>
      <c r="C1659" s="82" t="s">
        <v>3395</v>
      </c>
      <c r="D1659" s="82" t="s">
        <v>1004</v>
      </c>
      <c r="E1659" s="82"/>
      <c r="F1659" s="82" t="s">
        <v>4825</v>
      </c>
      <c r="G1659" s="89">
        <v>3</v>
      </c>
      <c r="H1659" s="89">
        <v>85.72</v>
      </c>
      <c r="I1659" s="85">
        <v>0</v>
      </c>
      <c r="J1659" s="85">
        <v>12.86</v>
      </c>
      <c r="K1659" s="85">
        <v>270.02</v>
      </c>
      <c r="L1659" s="85">
        <v>1271.0999999999999</v>
      </c>
      <c r="M1659" s="89">
        <v>85.72</v>
      </c>
      <c r="N1659" s="85">
        <v>0</v>
      </c>
      <c r="O1659" s="85">
        <v>12.86</v>
      </c>
      <c r="P1659" s="85">
        <v>270.02</v>
      </c>
      <c r="Q1659" s="85">
        <v>1271.0999999999999</v>
      </c>
      <c r="R1659" s="82" t="s">
        <v>3399</v>
      </c>
      <c r="S1659" s="7">
        <f t="shared" si="76"/>
        <v>0</v>
      </c>
      <c r="T1659" s="6">
        <f t="shared" si="77"/>
        <v>0</v>
      </c>
      <c r="U1659" s="25">
        <f t="shared" si="75"/>
        <v>0</v>
      </c>
    </row>
    <row r="1660" spans="1:21" ht="10.9" customHeight="1" x14ac:dyDescent="0.2">
      <c r="A1660" s="82" t="s">
        <v>2862</v>
      </c>
      <c r="B1660" s="83">
        <v>45861</v>
      </c>
      <c r="C1660" s="82" t="s">
        <v>3395</v>
      </c>
      <c r="D1660" s="82" t="s">
        <v>1228</v>
      </c>
      <c r="E1660" s="82"/>
      <c r="F1660" s="82" t="s">
        <v>4692</v>
      </c>
      <c r="G1660" s="89">
        <v>4</v>
      </c>
      <c r="H1660" s="89">
        <v>39.29</v>
      </c>
      <c r="I1660" s="85">
        <v>0</v>
      </c>
      <c r="J1660" s="85">
        <v>7.86</v>
      </c>
      <c r="K1660" s="85">
        <v>165.02</v>
      </c>
      <c r="L1660" s="85">
        <v>5246.09</v>
      </c>
      <c r="M1660" s="89">
        <v>39.29</v>
      </c>
      <c r="N1660" s="85">
        <v>0</v>
      </c>
      <c r="O1660" s="85">
        <v>7.86</v>
      </c>
      <c r="P1660" s="85">
        <v>165.02</v>
      </c>
      <c r="Q1660" s="85">
        <v>5246.09</v>
      </c>
      <c r="R1660" s="82" t="s">
        <v>3399</v>
      </c>
      <c r="S1660" s="7">
        <f t="shared" si="76"/>
        <v>0</v>
      </c>
      <c r="T1660" s="6">
        <f t="shared" si="77"/>
        <v>0</v>
      </c>
      <c r="U1660" s="25">
        <f t="shared" si="75"/>
        <v>0</v>
      </c>
    </row>
    <row r="1661" spans="1:21" ht="10.9" customHeight="1" x14ac:dyDescent="0.2">
      <c r="A1661" s="82" t="s">
        <v>2862</v>
      </c>
      <c r="B1661" s="83">
        <v>45861</v>
      </c>
      <c r="C1661" s="82" t="s">
        <v>3395</v>
      </c>
      <c r="D1661" s="82" t="s">
        <v>1228</v>
      </c>
      <c r="E1661" s="82"/>
      <c r="F1661" s="82" t="s">
        <v>5135</v>
      </c>
      <c r="G1661" s="89">
        <v>1</v>
      </c>
      <c r="H1661" s="89">
        <v>4839.1099999999997</v>
      </c>
      <c r="I1661" s="85">
        <v>0</v>
      </c>
      <c r="J1661" s="85">
        <v>241.96</v>
      </c>
      <c r="K1661" s="85">
        <v>5081.07</v>
      </c>
      <c r="L1661" s="85">
        <v>5246.09</v>
      </c>
      <c r="M1661" s="89">
        <v>4839.1099999999997</v>
      </c>
      <c r="N1661" s="85">
        <v>0</v>
      </c>
      <c r="O1661" s="85">
        <v>241.96</v>
      </c>
      <c r="P1661" s="85">
        <v>5081.07</v>
      </c>
      <c r="Q1661" s="85">
        <v>5246.09</v>
      </c>
      <c r="R1661" s="82" t="s">
        <v>3399</v>
      </c>
      <c r="S1661" s="7">
        <f t="shared" si="76"/>
        <v>0</v>
      </c>
      <c r="T1661" s="6">
        <f t="shared" si="77"/>
        <v>0</v>
      </c>
      <c r="U1661" s="25">
        <f t="shared" si="75"/>
        <v>0</v>
      </c>
    </row>
    <row r="1662" spans="1:21" ht="10.9" customHeight="1" x14ac:dyDescent="0.2">
      <c r="A1662" s="82" t="s">
        <v>3013</v>
      </c>
      <c r="B1662" s="83">
        <v>45861</v>
      </c>
      <c r="C1662" s="82" t="s">
        <v>3395</v>
      </c>
      <c r="D1662" s="82" t="s">
        <v>976</v>
      </c>
      <c r="E1662" s="82"/>
      <c r="F1662" s="82" t="s">
        <v>4413</v>
      </c>
      <c r="G1662" s="89">
        <v>1</v>
      </c>
      <c r="H1662" s="89">
        <v>810.36</v>
      </c>
      <c r="I1662" s="85">
        <v>0</v>
      </c>
      <c r="J1662" s="85">
        <v>40.520000000000003</v>
      </c>
      <c r="K1662" s="85">
        <v>850.88</v>
      </c>
      <c r="L1662" s="85">
        <v>850.88</v>
      </c>
      <c r="M1662" s="89">
        <v>810.36</v>
      </c>
      <c r="N1662" s="85">
        <v>0</v>
      </c>
      <c r="O1662" s="85">
        <v>40.520000000000003</v>
      </c>
      <c r="P1662" s="85">
        <v>850.88</v>
      </c>
      <c r="Q1662" s="85">
        <v>850.88</v>
      </c>
      <c r="R1662" s="82" t="s">
        <v>3399</v>
      </c>
      <c r="S1662" s="7">
        <f t="shared" si="76"/>
        <v>0</v>
      </c>
      <c r="T1662" s="6">
        <f t="shared" si="77"/>
        <v>0</v>
      </c>
      <c r="U1662" s="25">
        <f t="shared" si="75"/>
        <v>0</v>
      </c>
    </row>
    <row r="1663" spans="1:21" ht="10.9" customHeight="1" x14ac:dyDescent="0.2">
      <c r="A1663" s="82" t="s">
        <v>3014</v>
      </c>
      <c r="B1663" s="83">
        <v>45861</v>
      </c>
      <c r="C1663" s="82" t="s">
        <v>3395</v>
      </c>
      <c r="D1663" s="82" t="s">
        <v>974</v>
      </c>
      <c r="E1663" s="82"/>
      <c r="F1663" s="82" t="s">
        <v>5099</v>
      </c>
      <c r="G1663" s="89">
        <v>1</v>
      </c>
      <c r="H1663" s="89">
        <v>4780.43</v>
      </c>
      <c r="I1663" s="85">
        <v>0</v>
      </c>
      <c r="J1663" s="85">
        <v>621.46</v>
      </c>
      <c r="K1663" s="85">
        <v>5401.89</v>
      </c>
      <c r="L1663" s="85">
        <v>11078.21</v>
      </c>
      <c r="M1663" s="89">
        <v>6503.4908904899767</v>
      </c>
      <c r="N1663" s="85">
        <v>0</v>
      </c>
      <c r="O1663" s="85">
        <v>845.45939357001373</v>
      </c>
      <c r="P1663" s="85">
        <v>7348.9502840599898</v>
      </c>
      <c r="Q1663" s="85">
        <v>15071.246272392851</v>
      </c>
      <c r="R1663" s="82" t="s">
        <v>3399</v>
      </c>
      <c r="S1663" s="7">
        <f t="shared" si="76"/>
        <v>0</v>
      </c>
      <c r="T1663" s="6">
        <f t="shared" si="77"/>
        <v>0</v>
      </c>
      <c r="U1663" s="25">
        <f t="shared" si="75"/>
        <v>0</v>
      </c>
    </row>
    <row r="1664" spans="1:21" ht="10.9" customHeight="1" x14ac:dyDescent="0.2">
      <c r="A1664" s="82" t="s">
        <v>3014</v>
      </c>
      <c r="B1664" s="83">
        <v>45861</v>
      </c>
      <c r="C1664" s="82" t="s">
        <v>3395</v>
      </c>
      <c r="D1664" s="82" t="s">
        <v>974</v>
      </c>
      <c r="E1664" s="82"/>
      <c r="F1664" s="82" t="s">
        <v>5098</v>
      </c>
      <c r="G1664" s="89">
        <v>1</v>
      </c>
      <c r="H1664" s="89">
        <v>1174.3499999999999</v>
      </c>
      <c r="I1664" s="85">
        <v>0</v>
      </c>
      <c r="J1664" s="85">
        <v>152.66999999999999</v>
      </c>
      <c r="K1664" s="85">
        <v>1327.02</v>
      </c>
      <c r="L1664" s="85">
        <v>11078.21</v>
      </c>
      <c r="M1664" s="89">
        <v>1597.6333775929998</v>
      </c>
      <c r="N1664" s="85">
        <v>0</v>
      </c>
      <c r="O1664" s="85">
        <v>207.6984610696328</v>
      </c>
      <c r="P1664" s="85">
        <v>1805.3318386626324</v>
      </c>
      <c r="Q1664" s="85">
        <v>15071.246272392851</v>
      </c>
      <c r="R1664" s="82" t="s">
        <v>3399</v>
      </c>
      <c r="S1664" s="7">
        <f t="shared" si="76"/>
        <v>0</v>
      </c>
      <c r="T1664" s="6">
        <f t="shared" si="77"/>
        <v>0</v>
      </c>
      <c r="U1664" s="25">
        <f t="shared" si="75"/>
        <v>0</v>
      </c>
    </row>
    <row r="1665" spans="1:21" ht="10.9" customHeight="1" x14ac:dyDescent="0.2">
      <c r="A1665" s="82" t="s">
        <v>3014</v>
      </c>
      <c r="B1665" s="83">
        <v>45861</v>
      </c>
      <c r="C1665" s="82" t="s">
        <v>3395</v>
      </c>
      <c r="D1665" s="82" t="s">
        <v>974</v>
      </c>
      <c r="E1665" s="82"/>
      <c r="F1665" s="82" t="s">
        <v>5097</v>
      </c>
      <c r="G1665" s="89">
        <v>1</v>
      </c>
      <c r="H1665" s="89">
        <v>1927.8</v>
      </c>
      <c r="I1665" s="85">
        <v>0</v>
      </c>
      <c r="J1665" s="85">
        <v>250.61</v>
      </c>
      <c r="K1665" s="85">
        <v>2178.41</v>
      </c>
      <c r="L1665" s="85">
        <v>11078.21</v>
      </c>
      <c r="M1665" s="89">
        <v>2622.6573213469451</v>
      </c>
      <c r="N1665" s="85">
        <v>0</v>
      </c>
      <c r="O1665" s="85">
        <v>340.94001001284255</v>
      </c>
      <c r="P1665" s="85">
        <v>2963.5973313597874</v>
      </c>
      <c r="Q1665" s="85">
        <v>15071.246272392851</v>
      </c>
      <c r="R1665" s="82" t="s">
        <v>3399</v>
      </c>
      <c r="S1665" s="7">
        <f t="shared" si="76"/>
        <v>0</v>
      </c>
      <c r="T1665" s="6">
        <f t="shared" si="77"/>
        <v>0</v>
      </c>
      <c r="U1665" s="25">
        <f t="shared" si="75"/>
        <v>0</v>
      </c>
    </row>
    <row r="1666" spans="1:21" ht="10.9" customHeight="1" x14ac:dyDescent="0.2">
      <c r="A1666" s="82" t="s">
        <v>3014</v>
      </c>
      <c r="B1666" s="83">
        <v>45861</v>
      </c>
      <c r="C1666" s="82" t="s">
        <v>3395</v>
      </c>
      <c r="D1666" s="82" t="s">
        <v>974</v>
      </c>
      <c r="E1666" s="82"/>
      <c r="F1666" s="82" t="s">
        <v>5096</v>
      </c>
      <c r="G1666" s="89">
        <v>1</v>
      </c>
      <c r="H1666" s="89">
        <v>833</v>
      </c>
      <c r="I1666" s="85">
        <v>0</v>
      </c>
      <c r="J1666" s="85">
        <v>108.29</v>
      </c>
      <c r="K1666" s="85">
        <v>941.29</v>
      </c>
      <c r="L1666" s="85">
        <v>11078.21</v>
      </c>
      <c r="M1666" s="89">
        <v>1133.2469907054701</v>
      </c>
      <c r="N1666" s="85">
        <v>0</v>
      </c>
      <c r="O1666" s="85">
        <v>147.32210879171112</v>
      </c>
      <c r="P1666" s="85">
        <v>1280.5690994971812</v>
      </c>
      <c r="Q1666" s="85">
        <v>15071.246272392851</v>
      </c>
      <c r="R1666" s="82" t="s">
        <v>3399</v>
      </c>
      <c r="S1666" s="7">
        <f t="shared" si="76"/>
        <v>0</v>
      </c>
      <c r="T1666" s="6">
        <f t="shared" si="77"/>
        <v>0</v>
      </c>
      <c r="U1666" s="25">
        <f t="shared" ref="U1666:U1729" si="78">IF(T1666=1,K1666-J1666,0)</f>
        <v>0</v>
      </c>
    </row>
    <row r="1667" spans="1:21" ht="10.9" customHeight="1" x14ac:dyDescent="0.2">
      <c r="A1667" s="82" t="s">
        <v>3014</v>
      </c>
      <c r="B1667" s="83">
        <v>45861</v>
      </c>
      <c r="C1667" s="82" t="s">
        <v>3395</v>
      </c>
      <c r="D1667" s="82" t="s">
        <v>974</v>
      </c>
      <c r="E1667" s="82"/>
      <c r="F1667" s="82" t="s">
        <v>5129</v>
      </c>
      <c r="G1667" s="89">
        <v>1</v>
      </c>
      <c r="H1667" s="89">
        <v>812</v>
      </c>
      <c r="I1667" s="85">
        <v>0</v>
      </c>
      <c r="J1667" s="85">
        <v>105.56</v>
      </c>
      <c r="K1667" s="85">
        <v>917.56</v>
      </c>
      <c r="L1667" s="85">
        <v>11078.21</v>
      </c>
      <c r="M1667" s="89">
        <v>1104.6777388389455</v>
      </c>
      <c r="N1667" s="85">
        <v>0</v>
      </c>
      <c r="O1667" s="85">
        <v>143.60810604906294</v>
      </c>
      <c r="P1667" s="85">
        <v>1248.2858448880086</v>
      </c>
      <c r="Q1667" s="85">
        <v>15071.246272392851</v>
      </c>
      <c r="R1667" s="82" t="s">
        <v>3399</v>
      </c>
      <c r="S1667" s="7">
        <f t="shared" ref="S1667:S1730" si="79">IF(T1667=1,A1667,0)</f>
        <v>0</v>
      </c>
      <c r="T1667" s="6">
        <f t="shared" ref="T1667:T1730" si="80">IFERROR(FIND("Freight",F1667,1),0)</f>
        <v>0</v>
      </c>
      <c r="U1667" s="25">
        <f t="shared" si="78"/>
        <v>0</v>
      </c>
    </row>
    <row r="1668" spans="1:21" ht="10.9" customHeight="1" x14ac:dyDescent="0.2">
      <c r="A1668" s="82" t="s">
        <v>3014</v>
      </c>
      <c r="B1668" s="83">
        <v>45861</v>
      </c>
      <c r="C1668" s="82" t="s">
        <v>3395</v>
      </c>
      <c r="D1668" s="82" t="s">
        <v>974</v>
      </c>
      <c r="E1668" s="82"/>
      <c r="F1668" s="82" t="s">
        <v>4885</v>
      </c>
      <c r="G1668" s="89">
        <v>1</v>
      </c>
      <c r="H1668" s="89">
        <v>276.14</v>
      </c>
      <c r="I1668" s="85">
        <v>0</v>
      </c>
      <c r="J1668" s="85">
        <v>35.9</v>
      </c>
      <c r="K1668" s="85">
        <v>312.04000000000002</v>
      </c>
      <c r="L1668" s="85">
        <v>11078.21</v>
      </c>
      <c r="M1668" s="89">
        <v>375.67205763914586</v>
      </c>
      <c r="N1668" s="85">
        <v>0</v>
      </c>
      <c r="O1668" s="85">
        <v>48.839816286106092</v>
      </c>
      <c r="P1668" s="85">
        <v>424.51187392525196</v>
      </c>
      <c r="Q1668" s="85">
        <v>15071.246272392851</v>
      </c>
      <c r="R1668" s="82" t="s">
        <v>3399</v>
      </c>
      <c r="S1668" s="7" t="str">
        <f t="shared" si="79"/>
        <v>INV13220</v>
      </c>
      <c r="T1668" s="6">
        <f t="shared" si="80"/>
        <v>1</v>
      </c>
      <c r="U1668" s="25">
        <f t="shared" si="78"/>
        <v>276.14000000000004</v>
      </c>
    </row>
    <row r="1669" spans="1:21" ht="10.9" customHeight="1" x14ac:dyDescent="0.2">
      <c r="A1669" s="82" t="s">
        <v>2522</v>
      </c>
      <c r="B1669" s="83">
        <v>45862</v>
      </c>
      <c r="C1669" s="82" t="s">
        <v>3395</v>
      </c>
      <c r="D1669" s="82" t="s">
        <v>1830</v>
      </c>
      <c r="E1669" s="82"/>
      <c r="F1669" s="82" t="s">
        <v>5128</v>
      </c>
      <c r="G1669" s="89">
        <v>1</v>
      </c>
      <c r="H1669" s="89">
        <v>42594</v>
      </c>
      <c r="I1669" s="85">
        <v>0</v>
      </c>
      <c r="J1669" s="85">
        <v>0</v>
      </c>
      <c r="K1669" s="85">
        <v>42594</v>
      </c>
      <c r="L1669" s="85">
        <v>42594</v>
      </c>
      <c r="M1669" s="89">
        <v>58159.524280925492</v>
      </c>
      <c r="N1669" s="85">
        <v>0</v>
      </c>
      <c r="O1669" s="85">
        <v>0</v>
      </c>
      <c r="P1669" s="85">
        <v>58159.524280925492</v>
      </c>
      <c r="Q1669" s="85">
        <v>58159.524280925492</v>
      </c>
      <c r="R1669" s="82" t="s">
        <v>3399</v>
      </c>
      <c r="S1669" s="7">
        <f t="shared" si="79"/>
        <v>0</v>
      </c>
      <c r="T1669" s="6">
        <f t="shared" si="80"/>
        <v>0</v>
      </c>
      <c r="U1669" s="25">
        <f t="shared" si="78"/>
        <v>0</v>
      </c>
    </row>
    <row r="1670" spans="1:21" ht="10.9" customHeight="1" x14ac:dyDescent="0.2">
      <c r="A1670" s="82" t="s">
        <v>3010</v>
      </c>
      <c r="B1670" s="83">
        <v>45862</v>
      </c>
      <c r="C1670" s="82" t="s">
        <v>3395</v>
      </c>
      <c r="D1670" s="82" t="s">
        <v>3497</v>
      </c>
      <c r="E1670" s="82"/>
      <c r="F1670" s="82" t="s">
        <v>4817</v>
      </c>
      <c r="G1670" s="89">
        <v>1</v>
      </c>
      <c r="H1670" s="89">
        <v>1816.85</v>
      </c>
      <c r="I1670" s="85">
        <v>0</v>
      </c>
      <c r="J1670" s="85">
        <v>0</v>
      </c>
      <c r="K1670" s="85">
        <v>1816.85</v>
      </c>
      <c r="L1670" s="85">
        <v>1984.85</v>
      </c>
      <c r="M1670" s="89">
        <v>2480.7985089402141</v>
      </c>
      <c r="N1670" s="85">
        <v>0</v>
      </c>
      <c r="O1670" s="85">
        <v>0</v>
      </c>
      <c r="P1670" s="85">
        <v>2480.7985089402141</v>
      </c>
      <c r="Q1670" s="85">
        <v>2710.192322134455</v>
      </c>
      <c r="R1670" s="82" t="s">
        <v>3399</v>
      </c>
      <c r="S1670" s="7">
        <f t="shared" si="79"/>
        <v>0</v>
      </c>
      <c r="T1670" s="6">
        <f t="shared" si="80"/>
        <v>0</v>
      </c>
      <c r="U1670" s="25">
        <f t="shared" si="78"/>
        <v>0</v>
      </c>
    </row>
    <row r="1671" spans="1:21" ht="10.9" customHeight="1" x14ac:dyDescent="0.2">
      <c r="A1671" s="82" t="s">
        <v>3010</v>
      </c>
      <c r="B1671" s="83">
        <v>45862</v>
      </c>
      <c r="C1671" s="82" t="s">
        <v>3395</v>
      </c>
      <c r="D1671" s="82" t="s">
        <v>3497</v>
      </c>
      <c r="E1671" s="82"/>
      <c r="F1671" s="82" t="s">
        <v>4393</v>
      </c>
      <c r="G1671" s="89">
        <v>1</v>
      </c>
      <c r="H1671" s="89">
        <v>168</v>
      </c>
      <c r="I1671" s="85">
        <v>0</v>
      </c>
      <c r="J1671" s="85">
        <v>0</v>
      </c>
      <c r="K1671" s="85">
        <v>168</v>
      </c>
      <c r="L1671" s="85">
        <v>1984.85</v>
      </c>
      <c r="M1671" s="89">
        <v>229.39381319424058</v>
      </c>
      <c r="N1671" s="85">
        <v>0</v>
      </c>
      <c r="O1671" s="85">
        <v>0</v>
      </c>
      <c r="P1671" s="85">
        <v>229.39381319424058</v>
      </c>
      <c r="Q1671" s="85">
        <v>2710.192322134455</v>
      </c>
      <c r="R1671" s="82" t="s">
        <v>3399</v>
      </c>
      <c r="S1671" s="7" t="str">
        <f t="shared" si="79"/>
        <v>INV13222</v>
      </c>
      <c r="T1671" s="6">
        <f t="shared" si="80"/>
        <v>1</v>
      </c>
      <c r="U1671" s="25">
        <f t="shared" si="78"/>
        <v>168</v>
      </c>
    </row>
    <row r="1672" spans="1:21" ht="10.9" customHeight="1" x14ac:dyDescent="0.2">
      <c r="A1672" s="82" t="s">
        <v>2976</v>
      </c>
      <c r="B1672" s="83">
        <v>45863</v>
      </c>
      <c r="C1672" s="82" t="s">
        <v>3395</v>
      </c>
      <c r="D1672" s="82" t="s">
        <v>1036</v>
      </c>
      <c r="E1672" s="82"/>
      <c r="F1672" s="82" t="s">
        <v>4545</v>
      </c>
      <c r="G1672" s="89">
        <v>1</v>
      </c>
      <c r="H1672" s="89">
        <v>6526</v>
      </c>
      <c r="I1672" s="85">
        <v>0</v>
      </c>
      <c r="J1672" s="85">
        <v>0</v>
      </c>
      <c r="K1672" s="85">
        <v>6526</v>
      </c>
      <c r="L1672" s="85">
        <v>10918.16</v>
      </c>
      <c r="M1672" s="89">
        <v>8942.8376448791769</v>
      </c>
      <c r="N1672" s="85">
        <v>0</v>
      </c>
      <c r="O1672" s="85">
        <v>0</v>
      </c>
      <c r="P1672" s="85">
        <v>8942.8376448791769</v>
      </c>
      <c r="Q1672" s="85">
        <v>14961.589374933195</v>
      </c>
      <c r="R1672" s="82" t="s">
        <v>3396</v>
      </c>
      <c r="S1672" s="7">
        <f t="shared" si="79"/>
        <v>0</v>
      </c>
      <c r="T1672" s="6">
        <f t="shared" si="80"/>
        <v>0</v>
      </c>
      <c r="U1672" s="25">
        <f t="shared" si="78"/>
        <v>0</v>
      </c>
    </row>
    <row r="1673" spans="1:21" ht="10.9" customHeight="1" x14ac:dyDescent="0.2">
      <c r="A1673" s="82" t="s">
        <v>2976</v>
      </c>
      <c r="B1673" s="83">
        <v>45863</v>
      </c>
      <c r="C1673" s="82" t="s">
        <v>3395</v>
      </c>
      <c r="D1673" s="82" t="s">
        <v>1036</v>
      </c>
      <c r="E1673" s="82"/>
      <c r="F1673" s="82" t="s">
        <v>5127</v>
      </c>
      <c r="G1673" s="89">
        <v>1</v>
      </c>
      <c r="H1673" s="89">
        <v>2421.36</v>
      </c>
      <c r="I1673" s="85">
        <v>0</v>
      </c>
      <c r="J1673" s="85">
        <v>0</v>
      </c>
      <c r="K1673" s="85">
        <v>2421.36</v>
      </c>
      <c r="L1673" s="85">
        <v>10918.16</v>
      </c>
      <c r="M1673" s="89">
        <v>3318.0860189709842</v>
      </c>
      <c r="N1673" s="85">
        <v>0</v>
      </c>
      <c r="O1673" s="85">
        <v>0</v>
      </c>
      <c r="P1673" s="85">
        <v>3318.0860189709842</v>
      </c>
      <c r="Q1673" s="85">
        <v>14961.589374933195</v>
      </c>
      <c r="R1673" s="82" t="s">
        <v>3396</v>
      </c>
      <c r="S1673" s="7">
        <f t="shared" si="79"/>
        <v>0</v>
      </c>
      <c r="T1673" s="6">
        <f t="shared" si="80"/>
        <v>0</v>
      </c>
      <c r="U1673" s="25">
        <f t="shared" si="78"/>
        <v>0</v>
      </c>
    </row>
    <row r="1674" spans="1:21" ht="10.9" customHeight="1" x14ac:dyDescent="0.2">
      <c r="A1674" s="82" t="s">
        <v>2976</v>
      </c>
      <c r="B1674" s="83">
        <v>45863</v>
      </c>
      <c r="C1674" s="82" t="s">
        <v>3395</v>
      </c>
      <c r="D1674" s="82" t="s">
        <v>1036</v>
      </c>
      <c r="E1674" s="82"/>
      <c r="F1674" s="82" t="s">
        <v>5086</v>
      </c>
      <c r="G1674" s="89">
        <v>1</v>
      </c>
      <c r="H1674" s="89">
        <v>1970.8</v>
      </c>
      <c r="I1674" s="85">
        <v>0</v>
      </c>
      <c r="J1674" s="85">
        <v>0</v>
      </c>
      <c r="K1674" s="85">
        <v>1970.8</v>
      </c>
      <c r="L1674" s="85">
        <v>10918.16</v>
      </c>
      <c r="M1674" s="89">
        <v>2700.6657110830342</v>
      </c>
      <c r="N1674" s="85">
        <v>0</v>
      </c>
      <c r="O1674" s="85">
        <v>0</v>
      </c>
      <c r="P1674" s="85">
        <v>2700.6657110830342</v>
      </c>
      <c r="Q1674" s="85">
        <v>14961.589374933195</v>
      </c>
      <c r="R1674" s="82" t="s">
        <v>3396</v>
      </c>
      <c r="S1674" s="7">
        <f t="shared" si="79"/>
        <v>0</v>
      </c>
      <c r="T1674" s="6">
        <f t="shared" si="80"/>
        <v>0</v>
      </c>
      <c r="U1674" s="25">
        <f t="shared" si="78"/>
        <v>0</v>
      </c>
    </row>
    <row r="1675" spans="1:21" ht="10.9" customHeight="1" x14ac:dyDescent="0.2">
      <c r="A1675" s="82" t="s">
        <v>3017</v>
      </c>
      <c r="B1675" s="83">
        <v>45863</v>
      </c>
      <c r="C1675" s="82" t="s">
        <v>3395</v>
      </c>
      <c r="D1675" s="82" t="s">
        <v>968</v>
      </c>
      <c r="E1675" s="82"/>
      <c r="F1675" s="82" t="s">
        <v>4864</v>
      </c>
      <c r="G1675" s="89">
        <v>1</v>
      </c>
      <c r="H1675" s="89">
        <v>102.81</v>
      </c>
      <c r="I1675" s="85">
        <v>0</v>
      </c>
      <c r="J1675" s="85">
        <v>5.14</v>
      </c>
      <c r="K1675" s="85">
        <v>107.95</v>
      </c>
      <c r="L1675" s="85">
        <v>107.95</v>
      </c>
      <c r="M1675" s="89">
        <v>102.81</v>
      </c>
      <c r="N1675" s="85">
        <v>0</v>
      </c>
      <c r="O1675" s="85">
        <v>5.14</v>
      </c>
      <c r="P1675" s="85">
        <v>107.95</v>
      </c>
      <c r="Q1675" s="85">
        <v>107.95</v>
      </c>
      <c r="R1675" s="82" t="s">
        <v>3399</v>
      </c>
      <c r="S1675" s="7">
        <f t="shared" si="79"/>
        <v>0</v>
      </c>
      <c r="T1675" s="6">
        <f t="shared" si="80"/>
        <v>0</v>
      </c>
      <c r="U1675" s="25">
        <f t="shared" si="78"/>
        <v>0</v>
      </c>
    </row>
    <row r="1676" spans="1:21" ht="10.9" customHeight="1" x14ac:dyDescent="0.2">
      <c r="A1676" s="82" t="s">
        <v>3019</v>
      </c>
      <c r="B1676" s="83">
        <v>45863</v>
      </c>
      <c r="C1676" s="82" t="s">
        <v>3395</v>
      </c>
      <c r="D1676" s="82" t="s">
        <v>966</v>
      </c>
      <c r="E1676" s="82"/>
      <c r="F1676" s="82" t="s">
        <v>4739</v>
      </c>
      <c r="G1676" s="89">
        <v>1</v>
      </c>
      <c r="H1676" s="89">
        <v>164.44</v>
      </c>
      <c r="I1676" s="85">
        <v>0</v>
      </c>
      <c r="J1676" s="85">
        <v>8.2200000000000006</v>
      </c>
      <c r="K1676" s="85">
        <v>172.66</v>
      </c>
      <c r="L1676" s="85">
        <v>331.08</v>
      </c>
      <c r="M1676" s="89">
        <v>164.44</v>
      </c>
      <c r="N1676" s="85">
        <v>0</v>
      </c>
      <c r="O1676" s="85">
        <v>8.2200000000000006</v>
      </c>
      <c r="P1676" s="85">
        <v>172.66</v>
      </c>
      <c r="Q1676" s="85">
        <v>331.08</v>
      </c>
      <c r="R1676" s="82" t="s">
        <v>3399</v>
      </c>
      <c r="S1676" s="7">
        <f t="shared" si="79"/>
        <v>0</v>
      </c>
      <c r="T1676" s="6">
        <f t="shared" si="80"/>
        <v>0</v>
      </c>
      <c r="U1676" s="25">
        <f t="shared" si="78"/>
        <v>0</v>
      </c>
    </row>
    <row r="1677" spans="1:21" ht="10.9" customHeight="1" x14ac:dyDescent="0.2">
      <c r="A1677" s="82" t="s">
        <v>3019</v>
      </c>
      <c r="B1677" s="83">
        <v>45863</v>
      </c>
      <c r="C1677" s="82" t="s">
        <v>3395</v>
      </c>
      <c r="D1677" s="82" t="s">
        <v>966</v>
      </c>
      <c r="E1677" s="82"/>
      <c r="F1677" s="82" t="s">
        <v>4740</v>
      </c>
      <c r="G1677" s="89">
        <v>1</v>
      </c>
      <c r="H1677" s="89">
        <v>150.88</v>
      </c>
      <c r="I1677" s="85">
        <v>0</v>
      </c>
      <c r="J1677" s="85">
        <v>7.54</v>
      </c>
      <c r="K1677" s="85">
        <v>158.41999999999999</v>
      </c>
      <c r="L1677" s="85">
        <v>331.08</v>
      </c>
      <c r="M1677" s="89">
        <v>150.88</v>
      </c>
      <c r="N1677" s="85">
        <v>0</v>
      </c>
      <c r="O1677" s="85">
        <v>7.54</v>
      </c>
      <c r="P1677" s="85">
        <v>158.41999999999999</v>
      </c>
      <c r="Q1677" s="85">
        <v>331.08</v>
      </c>
      <c r="R1677" s="82" t="s">
        <v>3399</v>
      </c>
      <c r="S1677" s="7">
        <f t="shared" si="79"/>
        <v>0</v>
      </c>
      <c r="T1677" s="6">
        <f t="shared" si="80"/>
        <v>0</v>
      </c>
      <c r="U1677" s="25">
        <f t="shared" si="78"/>
        <v>0</v>
      </c>
    </row>
    <row r="1678" spans="1:21" ht="10.9" customHeight="1" x14ac:dyDescent="0.2">
      <c r="A1678" s="82" t="s">
        <v>3016</v>
      </c>
      <c r="B1678" s="83">
        <v>45863</v>
      </c>
      <c r="C1678" s="82" t="s">
        <v>3395</v>
      </c>
      <c r="D1678" s="82" t="s">
        <v>970</v>
      </c>
      <c r="E1678" s="82"/>
      <c r="F1678" s="82" t="s">
        <v>5126</v>
      </c>
      <c r="G1678" s="89">
        <v>1</v>
      </c>
      <c r="H1678" s="89">
        <v>83.62</v>
      </c>
      <c r="I1678" s="85">
        <v>0</v>
      </c>
      <c r="J1678" s="85">
        <v>4.18</v>
      </c>
      <c r="K1678" s="85">
        <v>87.8</v>
      </c>
      <c r="L1678" s="85">
        <v>87.8</v>
      </c>
      <c r="M1678" s="89">
        <v>83.62</v>
      </c>
      <c r="N1678" s="85">
        <v>0</v>
      </c>
      <c r="O1678" s="85">
        <v>4.18</v>
      </c>
      <c r="P1678" s="85">
        <v>87.8</v>
      </c>
      <c r="Q1678" s="85">
        <v>87.8</v>
      </c>
      <c r="R1678" s="82" t="s">
        <v>3399</v>
      </c>
      <c r="S1678" s="7">
        <f t="shared" si="79"/>
        <v>0</v>
      </c>
      <c r="T1678" s="6">
        <f t="shared" si="80"/>
        <v>0</v>
      </c>
      <c r="U1678" s="25">
        <f t="shared" si="78"/>
        <v>0</v>
      </c>
    </row>
    <row r="1679" spans="1:21" ht="10.9" customHeight="1" x14ac:dyDescent="0.2">
      <c r="A1679" s="82" t="s">
        <v>2906</v>
      </c>
      <c r="B1679" s="83">
        <v>45863</v>
      </c>
      <c r="C1679" s="82" t="s">
        <v>3395</v>
      </c>
      <c r="D1679" s="82" t="s">
        <v>1154</v>
      </c>
      <c r="E1679" s="82"/>
      <c r="F1679" s="82" t="s">
        <v>5125</v>
      </c>
      <c r="G1679" s="89">
        <v>1</v>
      </c>
      <c r="H1679" s="89">
        <v>240.76</v>
      </c>
      <c r="I1679" s="85">
        <v>0</v>
      </c>
      <c r="J1679" s="85">
        <v>31.3</v>
      </c>
      <c r="K1679" s="85">
        <v>272.06</v>
      </c>
      <c r="L1679" s="85">
        <v>272.06</v>
      </c>
      <c r="M1679" s="89">
        <v>240.76</v>
      </c>
      <c r="N1679" s="85">
        <v>0</v>
      </c>
      <c r="O1679" s="85">
        <v>31.3</v>
      </c>
      <c r="P1679" s="85">
        <v>272.06</v>
      </c>
      <c r="Q1679" s="85">
        <v>272.06</v>
      </c>
      <c r="R1679" s="82" t="s">
        <v>3399</v>
      </c>
      <c r="S1679" s="7">
        <f t="shared" si="79"/>
        <v>0</v>
      </c>
      <c r="T1679" s="6">
        <f t="shared" si="80"/>
        <v>0</v>
      </c>
      <c r="U1679" s="25">
        <f t="shared" si="78"/>
        <v>0</v>
      </c>
    </row>
    <row r="1680" spans="1:21" ht="10.9" customHeight="1" x14ac:dyDescent="0.2">
      <c r="A1680" s="82" t="s">
        <v>2890</v>
      </c>
      <c r="B1680" s="83">
        <v>45863</v>
      </c>
      <c r="C1680" s="82" t="s">
        <v>3395</v>
      </c>
      <c r="D1680" s="82" t="s">
        <v>1181</v>
      </c>
      <c r="E1680" s="82"/>
      <c r="F1680" s="82" t="s">
        <v>4618</v>
      </c>
      <c r="G1680" s="89">
        <v>1</v>
      </c>
      <c r="H1680" s="89">
        <v>5181.7</v>
      </c>
      <c r="I1680" s="85">
        <v>0</v>
      </c>
      <c r="J1680" s="85">
        <v>673.62</v>
      </c>
      <c r="K1680" s="85">
        <v>5855.32</v>
      </c>
      <c r="L1680" s="85">
        <v>5855.32</v>
      </c>
      <c r="M1680" s="89">
        <v>5181.7</v>
      </c>
      <c r="N1680" s="85">
        <v>0</v>
      </c>
      <c r="O1680" s="85">
        <v>673.62</v>
      </c>
      <c r="P1680" s="85">
        <v>5855.32</v>
      </c>
      <c r="Q1680" s="85">
        <v>5855.32</v>
      </c>
      <c r="R1680" s="82" t="s">
        <v>3399</v>
      </c>
      <c r="S1680" s="7">
        <f t="shared" si="79"/>
        <v>0</v>
      </c>
      <c r="T1680" s="6">
        <f t="shared" si="80"/>
        <v>0</v>
      </c>
      <c r="U1680" s="25">
        <f t="shared" si="78"/>
        <v>0</v>
      </c>
    </row>
    <row r="1681" spans="1:21" ht="10.9" customHeight="1" x14ac:dyDescent="0.2">
      <c r="A1681" s="82" t="s">
        <v>2972</v>
      </c>
      <c r="B1681" s="83">
        <v>45866</v>
      </c>
      <c r="C1681" s="82" t="s">
        <v>3395</v>
      </c>
      <c r="D1681" s="82" t="s">
        <v>1045</v>
      </c>
      <c r="E1681" s="82"/>
      <c r="F1681" s="82" t="s">
        <v>4507</v>
      </c>
      <c r="G1681" s="89">
        <v>1</v>
      </c>
      <c r="H1681" s="89">
        <v>7968.11</v>
      </c>
      <c r="I1681" s="85">
        <v>0</v>
      </c>
      <c r="J1681" s="85">
        <v>0</v>
      </c>
      <c r="K1681" s="85">
        <v>7968.11</v>
      </c>
      <c r="L1681" s="85">
        <v>8540.11</v>
      </c>
      <c r="M1681" s="89">
        <v>10931.931555638483</v>
      </c>
      <c r="N1681" s="85">
        <v>0</v>
      </c>
      <c r="O1681" s="85">
        <v>0</v>
      </c>
      <c r="P1681" s="85">
        <v>10931.931555638483</v>
      </c>
      <c r="Q1681" s="85">
        <v>11716.692916842734</v>
      </c>
      <c r="R1681" s="82" t="s">
        <v>3399</v>
      </c>
      <c r="S1681" s="7">
        <f t="shared" si="79"/>
        <v>0</v>
      </c>
      <c r="T1681" s="6">
        <f t="shared" si="80"/>
        <v>0</v>
      </c>
      <c r="U1681" s="25">
        <f t="shared" si="78"/>
        <v>0</v>
      </c>
    </row>
    <row r="1682" spans="1:21" ht="10.9" customHeight="1" x14ac:dyDescent="0.2">
      <c r="A1682" s="82" t="s">
        <v>2972</v>
      </c>
      <c r="B1682" s="83">
        <v>45866</v>
      </c>
      <c r="C1682" s="82" t="s">
        <v>3395</v>
      </c>
      <c r="D1682" s="82" t="s">
        <v>1045</v>
      </c>
      <c r="E1682" s="82"/>
      <c r="F1682" s="82" t="s">
        <v>4393</v>
      </c>
      <c r="G1682" s="89">
        <v>1</v>
      </c>
      <c r="H1682" s="89">
        <v>572</v>
      </c>
      <c r="I1682" s="85">
        <v>0</v>
      </c>
      <c r="J1682" s="85">
        <v>0</v>
      </c>
      <c r="K1682" s="85">
        <v>572</v>
      </c>
      <c r="L1682" s="85">
        <v>8540.11</v>
      </c>
      <c r="M1682" s="89">
        <v>784.76136120425201</v>
      </c>
      <c r="N1682" s="85">
        <v>0</v>
      </c>
      <c r="O1682" s="85">
        <v>0</v>
      </c>
      <c r="P1682" s="85">
        <v>784.76136120425201</v>
      </c>
      <c r="Q1682" s="85">
        <v>11716.692916842734</v>
      </c>
      <c r="R1682" s="82" t="s">
        <v>3399</v>
      </c>
      <c r="S1682" s="7" t="str">
        <f t="shared" si="79"/>
        <v>INV13229</v>
      </c>
      <c r="T1682" s="6">
        <f t="shared" si="80"/>
        <v>1</v>
      </c>
      <c r="U1682" s="25">
        <f t="shared" si="78"/>
        <v>572</v>
      </c>
    </row>
    <row r="1683" spans="1:21" ht="10.9" customHeight="1" x14ac:dyDescent="0.2">
      <c r="A1683" s="82" t="s">
        <v>3024</v>
      </c>
      <c r="B1683" s="83">
        <v>45866</v>
      </c>
      <c r="C1683" s="82" t="s">
        <v>3395</v>
      </c>
      <c r="D1683" s="82" t="s">
        <v>3496</v>
      </c>
      <c r="E1683" s="82"/>
      <c r="F1683" s="82" t="s">
        <v>4414</v>
      </c>
      <c r="G1683" s="89">
        <v>1</v>
      </c>
      <c r="H1683" s="89">
        <v>1242.28</v>
      </c>
      <c r="I1683" s="85">
        <v>0</v>
      </c>
      <c r="J1683" s="85">
        <v>161.5</v>
      </c>
      <c r="K1683" s="85">
        <v>1403.78</v>
      </c>
      <c r="L1683" s="85">
        <v>2798.72</v>
      </c>
      <c r="M1683" s="89">
        <v>1242.28</v>
      </c>
      <c r="N1683" s="85">
        <v>0</v>
      </c>
      <c r="O1683" s="85">
        <v>161.5</v>
      </c>
      <c r="P1683" s="85">
        <v>1403.78</v>
      </c>
      <c r="Q1683" s="85">
        <v>2798.72</v>
      </c>
      <c r="R1683" s="82" t="s">
        <v>3399</v>
      </c>
      <c r="S1683" s="7">
        <f t="shared" si="79"/>
        <v>0</v>
      </c>
      <c r="T1683" s="6">
        <f t="shared" si="80"/>
        <v>0</v>
      </c>
      <c r="U1683" s="25">
        <f t="shared" si="78"/>
        <v>0</v>
      </c>
    </row>
    <row r="1684" spans="1:21" ht="10.9" customHeight="1" x14ac:dyDescent="0.2">
      <c r="A1684" s="82" t="s">
        <v>3024</v>
      </c>
      <c r="B1684" s="83">
        <v>45866</v>
      </c>
      <c r="C1684" s="82" t="s">
        <v>3395</v>
      </c>
      <c r="D1684" s="82" t="s">
        <v>3496</v>
      </c>
      <c r="E1684" s="82"/>
      <c r="F1684" s="82" t="s">
        <v>4737</v>
      </c>
      <c r="G1684" s="89">
        <v>1</v>
      </c>
      <c r="H1684" s="89">
        <v>929.78</v>
      </c>
      <c r="I1684" s="85">
        <v>0</v>
      </c>
      <c r="J1684" s="85">
        <v>120.87</v>
      </c>
      <c r="K1684" s="85">
        <v>1050.6500000000001</v>
      </c>
      <c r="L1684" s="85">
        <v>2798.72</v>
      </c>
      <c r="M1684" s="89">
        <v>929.78</v>
      </c>
      <c r="N1684" s="85">
        <v>0</v>
      </c>
      <c r="O1684" s="85">
        <v>120.87</v>
      </c>
      <c r="P1684" s="85">
        <v>1050.6500000000001</v>
      </c>
      <c r="Q1684" s="85">
        <v>2798.72</v>
      </c>
      <c r="R1684" s="82" t="s">
        <v>3399</v>
      </c>
      <c r="S1684" s="7">
        <f t="shared" si="79"/>
        <v>0</v>
      </c>
      <c r="T1684" s="6">
        <f t="shared" si="80"/>
        <v>0</v>
      </c>
      <c r="U1684" s="25">
        <f t="shared" si="78"/>
        <v>0</v>
      </c>
    </row>
    <row r="1685" spans="1:21" ht="10.9" customHeight="1" x14ac:dyDescent="0.2">
      <c r="A1685" s="82" t="s">
        <v>3024</v>
      </c>
      <c r="B1685" s="83">
        <v>45866</v>
      </c>
      <c r="C1685" s="82" t="s">
        <v>3395</v>
      </c>
      <c r="D1685" s="82" t="s">
        <v>3496</v>
      </c>
      <c r="E1685" s="82"/>
      <c r="F1685" s="82" t="s">
        <v>4751</v>
      </c>
      <c r="G1685" s="89">
        <v>2</v>
      </c>
      <c r="H1685" s="89">
        <v>152.34</v>
      </c>
      <c r="I1685" s="85">
        <v>0</v>
      </c>
      <c r="J1685" s="85">
        <v>39.61</v>
      </c>
      <c r="K1685" s="85">
        <v>344.29</v>
      </c>
      <c r="L1685" s="85">
        <v>2798.72</v>
      </c>
      <c r="M1685" s="89">
        <v>152.34</v>
      </c>
      <c r="N1685" s="85">
        <v>0</v>
      </c>
      <c r="O1685" s="85">
        <v>39.61</v>
      </c>
      <c r="P1685" s="85">
        <v>344.29</v>
      </c>
      <c r="Q1685" s="85">
        <v>2798.72</v>
      </c>
      <c r="R1685" s="82" t="s">
        <v>3399</v>
      </c>
      <c r="S1685" s="7">
        <f t="shared" si="79"/>
        <v>0</v>
      </c>
      <c r="T1685" s="6">
        <f t="shared" si="80"/>
        <v>0</v>
      </c>
      <c r="U1685" s="25">
        <f t="shared" si="78"/>
        <v>0</v>
      </c>
    </row>
    <row r="1686" spans="1:21" ht="10.9" customHeight="1" x14ac:dyDescent="0.2">
      <c r="A1686" s="82" t="s">
        <v>3000</v>
      </c>
      <c r="B1686" s="83">
        <v>45866</v>
      </c>
      <c r="C1686" s="82" t="s">
        <v>3395</v>
      </c>
      <c r="D1686" s="82" t="s">
        <v>1000</v>
      </c>
      <c r="E1686" s="82"/>
      <c r="F1686" s="82" t="s">
        <v>4867</v>
      </c>
      <c r="G1686" s="89">
        <v>1</v>
      </c>
      <c r="H1686" s="89">
        <v>2202.98</v>
      </c>
      <c r="I1686" s="85">
        <v>0</v>
      </c>
      <c r="J1686" s="85">
        <v>110.15</v>
      </c>
      <c r="K1686" s="85">
        <v>2313.13</v>
      </c>
      <c r="L1686" s="85">
        <v>2313.13</v>
      </c>
      <c r="M1686" s="89">
        <v>2202.98</v>
      </c>
      <c r="N1686" s="85">
        <v>0</v>
      </c>
      <c r="O1686" s="85">
        <v>110.15</v>
      </c>
      <c r="P1686" s="85">
        <v>2313.13</v>
      </c>
      <c r="Q1686" s="85">
        <v>2313.13</v>
      </c>
      <c r="R1686" s="82" t="s">
        <v>3399</v>
      </c>
      <c r="S1686" s="7">
        <f t="shared" si="79"/>
        <v>0</v>
      </c>
      <c r="T1686" s="6">
        <f t="shared" si="80"/>
        <v>0</v>
      </c>
      <c r="U1686" s="25">
        <f t="shared" si="78"/>
        <v>0</v>
      </c>
    </row>
    <row r="1687" spans="1:21" ht="10.9" customHeight="1" x14ac:dyDescent="0.2">
      <c r="A1687" s="82" t="s">
        <v>3011</v>
      </c>
      <c r="B1687" s="83">
        <v>45866</v>
      </c>
      <c r="C1687" s="82" t="s">
        <v>3395</v>
      </c>
      <c r="D1687" s="82" t="s">
        <v>980</v>
      </c>
      <c r="E1687" s="82"/>
      <c r="F1687" s="82" t="s">
        <v>5124</v>
      </c>
      <c r="G1687" s="89">
        <v>2</v>
      </c>
      <c r="H1687" s="89">
        <v>681.68</v>
      </c>
      <c r="I1687" s="85">
        <v>0</v>
      </c>
      <c r="J1687" s="85">
        <v>177.24</v>
      </c>
      <c r="K1687" s="85">
        <v>1540.6</v>
      </c>
      <c r="L1687" s="85">
        <v>1540.6</v>
      </c>
      <c r="M1687" s="89">
        <v>681.68</v>
      </c>
      <c r="N1687" s="85">
        <v>0</v>
      </c>
      <c r="O1687" s="85">
        <v>177.24</v>
      </c>
      <c r="P1687" s="85">
        <v>1540.6</v>
      </c>
      <c r="Q1687" s="85">
        <v>1540.6</v>
      </c>
      <c r="R1687" s="82" t="s">
        <v>3399</v>
      </c>
      <c r="S1687" s="7">
        <f t="shared" si="79"/>
        <v>0</v>
      </c>
      <c r="T1687" s="6">
        <f t="shared" si="80"/>
        <v>0</v>
      </c>
      <c r="U1687" s="25">
        <f t="shared" si="78"/>
        <v>0</v>
      </c>
    </row>
    <row r="1688" spans="1:21" ht="10.9" customHeight="1" x14ac:dyDescent="0.2">
      <c r="A1688" s="82" t="s">
        <v>2919</v>
      </c>
      <c r="B1688" s="83">
        <v>45867</v>
      </c>
      <c r="C1688" s="82" t="s">
        <v>3395</v>
      </c>
      <c r="D1688" s="82" t="s">
        <v>1131</v>
      </c>
      <c r="E1688" s="82"/>
      <c r="F1688" s="82" t="s">
        <v>5123</v>
      </c>
      <c r="G1688" s="89">
        <v>1</v>
      </c>
      <c r="H1688" s="89">
        <v>1118.73</v>
      </c>
      <c r="I1688" s="85">
        <v>0</v>
      </c>
      <c r="J1688" s="85">
        <v>55.94</v>
      </c>
      <c r="K1688" s="85">
        <v>1174.67</v>
      </c>
      <c r="L1688" s="85">
        <v>2856.52</v>
      </c>
      <c r="M1688" s="89">
        <v>1118.73</v>
      </c>
      <c r="N1688" s="85">
        <v>0</v>
      </c>
      <c r="O1688" s="85">
        <v>55.94</v>
      </c>
      <c r="P1688" s="85">
        <v>1174.67</v>
      </c>
      <c r="Q1688" s="85">
        <v>2856.52</v>
      </c>
      <c r="R1688" s="82" t="s">
        <v>3399</v>
      </c>
      <c r="S1688" s="7">
        <f t="shared" si="79"/>
        <v>0</v>
      </c>
      <c r="T1688" s="6">
        <f t="shared" si="80"/>
        <v>0</v>
      </c>
      <c r="U1688" s="25">
        <f t="shared" si="78"/>
        <v>0</v>
      </c>
    </row>
    <row r="1689" spans="1:21" ht="10.9" customHeight="1" x14ac:dyDescent="0.2">
      <c r="A1689" s="82" t="s">
        <v>2919</v>
      </c>
      <c r="B1689" s="83">
        <v>45867</v>
      </c>
      <c r="C1689" s="82" t="s">
        <v>3395</v>
      </c>
      <c r="D1689" s="82" t="s">
        <v>1131</v>
      </c>
      <c r="E1689" s="82"/>
      <c r="F1689" s="82" t="s">
        <v>5122</v>
      </c>
      <c r="G1689" s="89">
        <v>1</v>
      </c>
      <c r="H1689" s="89">
        <v>1062.53</v>
      </c>
      <c r="I1689" s="85">
        <v>0</v>
      </c>
      <c r="J1689" s="85">
        <v>53.13</v>
      </c>
      <c r="K1689" s="85">
        <v>1115.6600000000001</v>
      </c>
      <c r="L1689" s="85">
        <v>2856.52</v>
      </c>
      <c r="M1689" s="89">
        <v>1062.53</v>
      </c>
      <c r="N1689" s="85">
        <v>0</v>
      </c>
      <c r="O1689" s="85">
        <v>53.13</v>
      </c>
      <c r="P1689" s="85">
        <v>1115.6600000000001</v>
      </c>
      <c r="Q1689" s="85">
        <v>2856.52</v>
      </c>
      <c r="R1689" s="82" t="s">
        <v>3399</v>
      </c>
      <c r="S1689" s="7">
        <f t="shared" si="79"/>
        <v>0</v>
      </c>
      <c r="T1689" s="6">
        <f t="shared" si="80"/>
        <v>0</v>
      </c>
      <c r="U1689" s="25">
        <f t="shared" si="78"/>
        <v>0</v>
      </c>
    </row>
    <row r="1690" spans="1:21" ht="10.9" customHeight="1" x14ac:dyDescent="0.2">
      <c r="A1690" s="82" t="s">
        <v>2919</v>
      </c>
      <c r="B1690" s="83">
        <v>45867</v>
      </c>
      <c r="C1690" s="82" t="s">
        <v>3395</v>
      </c>
      <c r="D1690" s="82" t="s">
        <v>1131</v>
      </c>
      <c r="E1690" s="82"/>
      <c r="F1690" s="82" t="s">
        <v>5121</v>
      </c>
      <c r="G1690" s="89">
        <v>1</v>
      </c>
      <c r="H1690" s="89">
        <v>298.16000000000003</v>
      </c>
      <c r="I1690" s="85">
        <v>0</v>
      </c>
      <c r="J1690" s="85">
        <v>14.91</v>
      </c>
      <c r="K1690" s="85">
        <v>313.07</v>
      </c>
      <c r="L1690" s="85">
        <v>2856.52</v>
      </c>
      <c r="M1690" s="89">
        <v>298.16000000000003</v>
      </c>
      <c r="N1690" s="85">
        <v>0</v>
      </c>
      <c r="O1690" s="85">
        <v>14.91</v>
      </c>
      <c r="P1690" s="85">
        <v>313.07</v>
      </c>
      <c r="Q1690" s="85">
        <v>2856.52</v>
      </c>
      <c r="R1690" s="82" t="s">
        <v>3399</v>
      </c>
      <c r="S1690" s="7">
        <f t="shared" si="79"/>
        <v>0</v>
      </c>
      <c r="T1690" s="6">
        <f t="shared" si="80"/>
        <v>0</v>
      </c>
      <c r="U1690" s="25">
        <f t="shared" si="78"/>
        <v>0</v>
      </c>
    </row>
    <row r="1691" spans="1:21" ht="10.9" customHeight="1" x14ac:dyDescent="0.2">
      <c r="A1691" s="82" t="s">
        <v>2919</v>
      </c>
      <c r="B1691" s="83">
        <v>45867</v>
      </c>
      <c r="C1691" s="82" t="s">
        <v>3395</v>
      </c>
      <c r="D1691" s="82" t="s">
        <v>1131</v>
      </c>
      <c r="E1691" s="82"/>
      <c r="F1691" s="82" t="s">
        <v>5120</v>
      </c>
      <c r="G1691" s="89">
        <v>1</v>
      </c>
      <c r="H1691" s="89">
        <v>189.63</v>
      </c>
      <c r="I1691" s="85">
        <v>0</v>
      </c>
      <c r="J1691" s="85">
        <v>9.48</v>
      </c>
      <c r="K1691" s="85">
        <v>199.11</v>
      </c>
      <c r="L1691" s="85">
        <v>2856.52</v>
      </c>
      <c r="M1691" s="89">
        <v>189.63</v>
      </c>
      <c r="N1691" s="85">
        <v>0</v>
      </c>
      <c r="O1691" s="85">
        <v>9.48</v>
      </c>
      <c r="P1691" s="85">
        <v>199.11</v>
      </c>
      <c r="Q1691" s="85">
        <v>2856.52</v>
      </c>
      <c r="R1691" s="82" t="s">
        <v>3399</v>
      </c>
      <c r="S1691" s="7">
        <f t="shared" si="79"/>
        <v>0</v>
      </c>
      <c r="T1691" s="6">
        <f t="shared" si="80"/>
        <v>0</v>
      </c>
      <c r="U1691" s="25">
        <f t="shared" si="78"/>
        <v>0</v>
      </c>
    </row>
    <row r="1692" spans="1:21" ht="10.9" customHeight="1" x14ac:dyDescent="0.2">
      <c r="A1692" s="82" t="s">
        <v>2919</v>
      </c>
      <c r="B1692" s="83">
        <v>45867</v>
      </c>
      <c r="C1692" s="82" t="s">
        <v>3395</v>
      </c>
      <c r="D1692" s="82" t="s">
        <v>1131</v>
      </c>
      <c r="E1692" s="82"/>
      <c r="F1692" s="82" t="s">
        <v>5119</v>
      </c>
      <c r="G1692" s="89">
        <v>1</v>
      </c>
      <c r="H1692" s="89">
        <v>26.56</v>
      </c>
      <c r="I1692" s="85">
        <v>0</v>
      </c>
      <c r="J1692" s="85">
        <v>1.33</v>
      </c>
      <c r="K1692" s="85">
        <v>27.89</v>
      </c>
      <c r="L1692" s="85">
        <v>2856.52</v>
      </c>
      <c r="M1692" s="89">
        <v>26.56</v>
      </c>
      <c r="N1692" s="85">
        <v>0</v>
      </c>
      <c r="O1692" s="85">
        <v>1.33</v>
      </c>
      <c r="P1692" s="85">
        <v>27.89</v>
      </c>
      <c r="Q1692" s="85">
        <v>2856.52</v>
      </c>
      <c r="R1692" s="82" t="s">
        <v>3399</v>
      </c>
      <c r="S1692" s="7">
        <f t="shared" si="79"/>
        <v>0</v>
      </c>
      <c r="T1692" s="6">
        <f t="shared" si="80"/>
        <v>0</v>
      </c>
      <c r="U1692" s="25">
        <f t="shared" si="78"/>
        <v>0</v>
      </c>
    </row>
    <row r="1693" spans="1:21" ht="10.9" customHeight="1" x14ac:dyDescent="0.2">
      <c r="A1693" s="82" t="s">
        <v>2919</v>
      </c>
      <c r="B1693" s="83">
        <v>45867</v>
      </c>
      <c r="C1693" s="82" t="s">
        <v>3395</v>
      </c>
      <c r="D1693" s="82" t="s">
        <v>1131</v>
      </c>
      <c r="E1693" s="82"/>
      <c r="F1693" s="82" t="s">
        <v>4684</v>
      </c>
      <c r="G1693" s="89">
        <v>1</v>
      </c>
      <c r="H1693" s="89">
        <v>24.88</v>
      </c>
      <c r="I1693" s="85">
        <v>0</v>
      </c>
      <c r="J1693" s="85">
        <v>1.24</v>
      </c>
      <c r="K1693" s="85">
        <v>26.12</v>
      </c>
      <c r="L1693" s="85">
        <v>2856.52</v>
      </c>
      <c r="M1693" s="89">
        <v>24.88</v>
      </c>
      <c r="N1693" s="85">
        <v>0</v>
      </c>
      <c r="O1693" s="85">
        <v>1.24</v>
      </c>
      <c r="P1693" s="85">
        <v>26.12</v>
      </c>
      <c r="Q1693" s="85">
        <v>2856.52</v>
      </c>
      <c r="R1693" s="82" t="s">
        <v>3399</v>
      </c>
      <c r="S1693" s="7">
        <f t="shared" si="79"/>
        <v>0</v>
      </c>
      <c r="T1693" s="6">
        <f t="shared" si="80"/>
        <v>0</v>
      </c>
      <c r="U1693" s="25">
        <f t="shared" si="78"/>
        <v>0</v>
      </c>
    </row>
    <row r="1694" spans="1:21" ht="10.9" customHeight="1" x14ac:dyDescent="0.2">
      <c r="A1694" s="82" t="s">
        <v>3036</v>
      </c>
      <c r="B1694" s="83">
        <v>45867</v>
      </c>
      <c r="C1694" s="82" t="s">
        <v>3395</v>
      </c>
      <c r="D1694" s="82" t="s">
        <v>937</v>
      </c>
      <c r="E1694" s="82"/>
      <c r="F1694" s="82" t="s">
        <v>4414</v>
      </c>
      <c r="G1694" s="89">
        <v>1</v>
      </c>
      <c r="H1694" s="89">
        <v>1389.92</v>
      </c>
      <c r="I1694" s="85">
        <v>0</v>
      </c>
      <c r="J1694" s="85">
        <v>69.5</v>
      </c>
      <c r="K1694" s="85">
        <v>1459.42</v>
      </c>
      <c r="L1694" s="85">
        <v>1459.42</v>
      </c>
      <c r="M1694" s="89">
        <v>1389.92</v>
      </c>
      <c r="N1694" s="85">
        <v>0</v>
      </c>
      <c r="O1694" s="85">
        <v>69.5</v>
      </c>
      <c r="P1694" s="85">
        <v>1459.42</v>
      </c>
      <c r="Q1694" s="85">
        <v>1459.42</v>
      </c>
      <c r="R1694" s="82" t="s">
        <v>3399</v>
      </c>
      <c r="S1694" s="7">
        <f t="shared" si="79"/>
        <v>0</v>
      </c>
      <c r="T1694" s="6">
        <f t="shared" si="80"/>
        <v>0</v>
      </c>
      <c r="U1694" s="25">
        <f t="shared" si="78"/>
        <v>0</v>
      </c>
    </row>
    <row r="1695" spans="1:21" ht="10.9" customHeight="1" x14ac:dyDescent="0.2">
      <c r="A1695" s="82" t="s">
        <v>3030</v>
      </c>
      <c r="B1695" s="83">
        <v>45867</v>
      </c>
      <c r="C1695" s="82" t="s">
        <v>3395</v>
      </c>
      <c r="D1695" s="82" t="s">
        <v>947</v>
      </c>
      <c r="E1695" s="82"/>
      <c r="F1695" s="82" t="s">
        <v>4551</v>
      </c>
      <c r="G1695" s="89">
        <v>1</v>
      </c>
      <c r="H1695" s="89">
        <v>583.78</v>
      </c>
      <c r="I1695" s="85">
        <v>0</v>
      </c>
      <c r="J1695" s="85">
        <v>29.19</v>
      </c>
      <c r="K1695" s="85">
        <v>612.97</v>
      </c>
      <c r="L1695" s="85">
        <v>1133.25</v>
      </c>
      <c r="M1695" s="89">
        <v>583.78</v>
      </c>
      <c r="N1695" s="85">
        <v>0</v>
      </c>
      <c r="O1695" s="85">
        <v>29.19</v>
      </c>
      <c r="P1695" s="85">
        <v>612.97</v>
      </c>
      <c r="Q1695" s="85">
        <v>1133.25</v>
      </c>
      <c r="R1695" s="82" t="s">
        <v>3399</v>
      </c>
      <c r="S1695" s="7">
        <f t="shared" si="79"/>
        <v>0</v>
      </c>
      <c r="T1695" s="6">
        <f t="shared" si="80"/>
        <v>0</v>
      </c>
      <c r="U1695" s="25">
        <f t="shared" si="78"/>
        <v>0</v>
      </c>
    </row>
    <row r="1696" spans="1:21" ht="10.9" customHeight="1" x14ac:dyDescent="0.2">
      <c r="A1696" s="82" t="s">
        <v>3030</v>
      </c>
      <c r="B1696" s="83">
        <v>45867</v>
      </c>
      <c r="C1696" s="82" t="s">
        <v>3395</v>
      </c>
      <c r="D1696" s="82" t="s">
        <v>947</v>
      </c>
      <c r="E1696" s="82"/>
      <c r="F1696" s="82" t="s">
        <v>4732</v>
      </c>
      <c r="G1696" s="89">
        <v>1</v>
      </c>
      <c r="H1696" s="89">
        <v>481.71</v>
      </c>
      <c r="I1696" s="85">
        <v>0</v>
      </c>
      <c r="J1696" s="85">
        <v>24.09</v>
      </c>
      <c r="K1696" s="85">
        <v>505.8</v>
      </c>
      <c r="L1696" s="85">
        <v>1133.25</v>
      </c>
      <c r="M1696" s="89">
        <v>481.71</v>
      </c>
      <c r="N1696" s="85">
        <v>0</v>
      </c>
      <c r="O1696" s="85">
        <v>24.09</v>
      </c>
      <c r="P1696" s="85">
        <v>505.8</v>
      </c>
      <c r="Q1696" s="85">
        <v>1133.25</v>
      </c>
      <c r="R1696" s="82" t="s">
        <v>3399</v>
      </c>
      <c r="S1696" s="7">
        <f t="shared" si="79"/>
        <v>0</v>
      </c>
      <c r="T1696" s="6">
        <f t="shared" si="80"/>
        <v>0</v>
      </c>
      <c r="U1696" s="25">
        <f t="shared" si="78"/>
        <v>0</v>
      </c>
    </row>
    <row r="1697" spans="1:21" ht="10.9" customHeight="1" x14ac:dyDescent="0.2">
      <c r="A1697" s="82" t="s">
        <v>3030</v>
      </c>
      <c r="B1697" s="83">
        <v>45867</v>
      </c>
      <c r="C1697" s="82" t="s">
        <v>3395</v>
      </c>
      <c r="D1697" s="82" t="s">
        <v>947</v>
      </c>
      <c r="E1697" s="82"/>
      <c r="F1697" s="82" t="s">
        <v>4735</v>
      </c>
      <c r="G1697" s="89">
        <v>1</v>
      </c>
      <c r="H1697" s="89">
        <v>13.79</v>
      </c>
      <c r="I1697" s="85">
        <v>0</v>
      </c>
      <c r="J1697" s="85">
        <v>0.69</v>
      </c>
      <c r="K1697" s="85">
        <v>14.48</v>
      </c>
      <c r="L1697" s="85">
        <v>1133.25</v>
      </c>
      <c r="M1697" s="89">
        <v>13.79</v>
      </c>
      <c r="N1697" s="85">
        <v>0</v>
      </c>
      <c r="O1697" s="85">
        <v>0.69</v>
      </c>
      <c r="P1697" s="85">
        <v>14.48</v>
      </c>
      <c r="Q1697" s="85">
        <v>1133.25</v>
      </c>
      <c r="R1697" s="82" t="s">
        <v>3399</v>
      </c>
      <c r="S1697" s="7">
        <f t="shared" si="79"/>
        <v>0</v>
      </c>
      <c r="T1697" s="6">
        <f t="shared" si="80"/>
        <v>0</v>
      </c>
      <c r="U1697" s="25">
        <f t="shared" si="78"/>
        <v>0</v>
      </c>
    </row>
    <row r="1698" spans="1:21" ht="10.9" customHeight="1" x14ac:dyDescent="0.2">
      <c r="A1698" s="82" t="s">
        <v>2977</v>
      </c>
      <c r="B1698" s="83">
        <v>45868</v>
      </c>
      <c r="C1698" s="82" t="s">
        <v>3395</v>
      </c>
      <c r="D1698" s="82" t="s">
        <v>1034</v>
      </c>
      <c r="E1698" s="82"/>
      <c r="F1698" s="82" t="s">
        <v>4508</v>
      </c>
      <c r="G1698" s="89">
        <v>1</v>
      </c>
      <c r="H1698" s="89">
        <v>1638.44</v>
      </c>
      <c r="I1698" s="85">
        <v>0</v>
      </c>
      <c r="J1698" s="85">
        <v>0</v>
      </c>
      <c r="K1698" s="85">
        <v>1638.44</v>
      </c>
      <c r="L1698" s="85">
        <v>9589.7199999999993</v>
      </c>
      <c r="M1698" s="89">
        <v>2263.6702505395151</v>
      </c>
      <c r="N1698" s="85">
        <v>0</v>
      </c>
      <c r="O1698" s="85">
        <v>0</v>
      </c>
      <c r="P1698" s="85">
        <v>2263.6702505395151</v>
      </c>
      <c r="Q1698" s="85">
        <v>13249.166203830351</v>
      </c>
      <c r="R1698" s="82" t="s">
        <v>3399</v>
      </c>
      <c r="S1698" s="7">
        <f t="shared" si="79"/>
        <v>0</v>
      </c>
      <c r="T1698" s="6">
        <f t="shared" si="80"/>
        <v>0</v>
      </c>
      <c r="U1698" s="25">
        <f t="shared" si="78"/>
        <v>0</v>
      </c>
    </row>
    <row r="1699" spans="1:21" ht="10.9" customHeight="1" x14ac:dyDescent="0.2">
      <c r="A1699" s="82" t="s">
        <v>2977</v>
      </c>
      <c r="B1699" s="83">
        <v>45868</v>
      </c>
      <c r="C1699" s="82" t="s">
        <v>3395</v>
      </c>
      <c r="D1699" s="82" t="s">
        <v>1034</v>
      </c>
      <c r="E1699" s="82"/>
      <c r="F1699" s="82" t="s">
        <v>5085</v>
      </c>
      <c r="G1699" s="89">
        <v>1</v>
      </c>
      <c r="H1699" s="89">
        <v>1759.88</v>
      </c>
      <c r="I1699" s="85">
        <v>0</v>
      </c>
      <c r="J1699" s="85">
        <v>0</v>
      </c>
      <c r="K1699" s="85">
        <v>1759.88</v>
      </c>
      <c r="L1699" s="85">
        <v>9589.7199999999993</v>
      </c>
      <c r="M1699" s="89">
        <v>2431.4518691679168</v>
      </c>
      <c r="N1699" s="85">
        <v>0</v>
      </c>
      <c r="O1699" s="85">
        <v>0</v>
      </c>
      <c r="P1699" s="85">
        <v>2431.4518691679168</v>
      </c>
      <c r="Q1699" s="85">
        <v>13249.166203830351</v>
      </c>
      <c r="R1699" s="82" t="s">
        <v>3399</v>
      </c>
      <c r="S1699" s="7">
        <f t="shared" si="79"/>
        <v>0</v>
      </c>
      <c r="T1699" s="6">
        <f t="shared" si="80"/>
        <v>0</v>
      </c>
      <c r="U1699" s="25">
        <f t="shared" si="78"/>
        <v>0</v>
      </c>
    </row>
    <row r="1700" spans="1:21" ht="10.9" customHeight="1" x14ac:dyDescent="0.2">
      <c r="A1700" s="82" t="s">
        <v>2977</v>
      </c>
      <c r="B1700" s="83">
        <v>45868</v>
      </c>
      <c r="C1700" s="82" t="s">
        <v>3395</v>
      </c>
      <c r="D1700" s="82" t="s">
        <v>1034</v>
      </c>
      <c r="E1700" s="82"/>
      <c r="F1700" s="82" t="s">
        <v>5083</v>
      </c>
      <c r="G1700" s="89">
        <v>1</v>
      </c>
      <c r="H1700" s="89">
        <v>1168.48</v>
      </c>
      <c r="I1700" s="85">
        <v>0</v>
      </c>
      <c r="J1700" s="85">
        <v>0</v>
      </c>
      <c r="K1700" s="85">
        <v>1168.48</v>
      </c>
      <c r="L1700" s="85">
        <v>9589.7199999999993</v>
      </c>
      <c r="M1700" s="89">
        <v>1614.3730709396821</v>
      </c>
      <c r="N1700" s="85">
        <v>0</v>
      </c>
      <c r="O1700" s="85">
        <v>0</v>
      </c>
      <c r="P1700" s="85">
        <v>1614.3730709396821</v>
      </c>
      <c r="Q1700" s="85">
        <v>13249.166203830351</v>
      </c>
      <c r="R1700" s="82" t="s">
        <v>3399</v>
      </c>
      <c r="S1700" s="7">
        <f t="shared" si="79"/>
        <v>0</v>
      </c>
      <c r="T1700" s="6">
        <f t="shared" si="80"/>
        <v>0</v>
      </c>
      <c r="U1700" s="25">
        <f t="shared" si="78"/>
        <v>0</v>
      </c>
    </row>
    <row r="1701" spans="1:21" ht="10.9" customHeight="1" x14ac:dyDescent="0.2">
      <c r="A1701" s="82" t="s">
        <v>2977</v>
      </c>
      <c r="B1701" s="83">
        <v>45868</v>
      </c>
      <c r="C1701" s="82" t="s">
        <v>3395</v>
      </c>
      <c r="D1701" s="82" t="s">
        <v>1034</v>
      </c>
      <c r="E1701" s="82"/>
      <c r="F1701" s="82" t="s">
        <v>4510</v>
      </c>
      <c r="G1701" s="89">
        <v>1</v>
      </c>
      <c r="H1701" s="89">
        <v>3279.19</v>
      </c>
      <c r="I1701" s="85">
        <v>0</v>
      </c>
      <c r="J1701" s="85">
        <v>0</v>
      </c>
      <c r="K1701" s="85">
        <v>3279.19</v>
      </c>
      <c r="L1701" s="85">
        <v>9589.7199999999993</v>
      </c>
      <c r="M1701" s="89">
        <v>4530.5319992594623</v>
      </c>
      <c r="N1701" s="85">
        <v>0</v>
      </c>
      <c r="O1701" s="85">
        <v>0</v>
      </c>
      <c r="P1701" s="85">
        <v>4530.5319992594623</v>
      </c>
      <c r="Q1701" s="85">
        <v>13249.166203830351</v>
      </c>
      <c r="R1701" s="82" t="s">
        <v>3399</v>
      </c>
      <c r="S1701" s="7">
        <f t="shared" si="79"/>
        <v>0</v>
      </c>
      <c r="T1701" s="6">
        <f t="shared" si="80"/>
        <v>0</v>
      </c>
      <c r="U1701" s="25">
        <f t="shared" si="78"/>
        <v>0</v>
      </c>
    </row>
    <row r="1702" spans="1:21" ht="10.9" customHeight="1" x14ac:dyDescent="0.2">
      <c r="A1702" s="82" t="s">
        <v>2977</v>
      </c>
      <c r="B1702" s="83">
        <v>45868</v>
      </c>
      <c r="C1702" s="82" t="s">
        <v>3395</v>
      </c>
      <c r="D1702" s="82" t="s">
        <v>1034</v>
      </c>
      <c r="E1702" s="82"/>
      <c r="F1702" s="82" t="s">
        <v>4457</v>
      </c>
      <c r="G1702" s="89">
        <v>1</v>
      </c>
      <c r="H1702" s="89">
        <v>1743.73</v>
      </c>
      <c r="I1702" s="85">
        <v>0</v>
      </c>
      <c r="J1702" s="85">
        <v>0</v>
      </c>
      <c r="K1702" s="85">
        <v>1743.73</v>
      </c>
      <c r="L1702" s="85">
        <v>9589.7199999999993</v>
      </c>
      <c r="M1702" s="89">
        <v>2409.1390139237742</v>
      </c>
      <c r="N1702" s="85">
        <v>0</v>
      </c>
      <c r="O1702" s="85">
        <v>0</v>
      </c>
      <c r="P1702" s="85">
        <v>2409.1390139237742</v>
      </c>
      <c r="Q1702" s="85">
        <v>13249.166203830351</v>
      </c>
      <c r="R1702" s="82" t="s">
        <v>3399</v>
      </c>
      <c r="S1702" s="7">
        <f t="shared" si="79"/>
        <v>0</v>
      </c>
      <c r="T1702" s="6">
        <f t="shared" si="80"/>
        <v>0</v>
      </c>
      <c r="U1702" s="25">
        <f t="shared" si="78"/>
        <v>0</v>
      </c>
    </row>
    <row r="1703" spans="1:21" ht="10.9" customHeight="1" x14ac:dyDescent="0.2">
      <c r="A1703" s="82" t="s">
        <v>2964</v>
      </c>
      <c r="B1703" s="83">
        <v>45868</v>
      </c>
      <c r="C1703" s="82" t="s">
        <v>3395</v>
      </c>
      <c r="D1703" s="82" t="s">
        <v>1059</v>
      </c>
      <c r="E1703" s="82"/>
      <c r="F1703" s="82" t="s">
        <v>4507</v>
      </c>
      <c r="G1703" s="89">
        <v>1</v>
      </c>
      <c r="H1703" s="89">
        <v>9246</v>
      </c>
      <c r="I1703" s="85">
        <v>0</v>
      </c>
      <c r="J1703" s="85">
        <v>0</v>
      </c>
      <c r="K1703" s="85">
        <v>9246</v>
      </c>
      <c r="L1703" s="85">
        <v>23073.65</v>
      </c>
      <c r="M1703" s="89">
        <v>12774.282327389687</v>
      </c>
      <c r="N1703" s="85">
        <v>0</v>
      </c>
      <c r="O1703" s="85">
        <v>0</v>
      </c>
      <c r="P1703" s="85">
        <v>12774.282327389687</v>
      </c>
      <c r="Q1703" s="85">
        <v>31878.576619443545</v>
      </c>
      <c r="R1703" s="82" t="s">
        <v>3399</v>
      </c>
      <c r="S1703" s="7">
        <f t="shared" si="79"/>
        <v>0</v>
      </c>
      <c r="T1703" s="6">
        <f t="shared" si="80"/>
        <v>0</v>
      </c>
      <c r="U1703" s="25">
        <f t="shared" si="78"/>
        <v>0</v>
      </c>
    </row>
    <row r="1704" spans="1:21" ht="10.9" customHeight="1" x14ac:dyDescent="0.2">
      <c r="A1704" s="82" t="s">
        <v>2964</v>
      </c>
      <c r="B1704" s="83">
        <v>45868</v>
      </c>
      <c r="C1704" s="82" t="s">
        <v>3395</v>
      </c>
      <c r="D1704" s="82" t="s">
        <v>1059</v>
      </c>
      <c r="E1704" s="82"/>
      <c r="F1704" s="82" t="s">
        <v>4508</v>
      </c>
      <c r="G1704" s="89">
        <v>1</v>
      </c>
      <c r="H1704" s="89">
        <v>1638.44</v>
      </c>
      <c r="I1704" s="85">
        <v>0</v>
      </c>
      <c r="J1704" s="85">
        <v>0</v>
      </c>
      <c r="K1704" s="85">
        <v>1638.44</v>
      </c>
      <c r="L1704" s="85">
        <v>23073.65</v>
      </c>
      <c r="M1704" s="89">
        <v>2263.6702505395151</v>
      </c>
      <c r="N1704" s="85">
        <v>0</v>
      </c>
      <c r="O1704" s="85">
        <v>0</v>
      </c>
      <c r="P1704" s="85">
        <v>2263.6702505395151</v>
      </c>
      <c r="Q1704" s="85">
        <v>31878.576619443545</v>
      </c>
      <c r="R1704" s="82" t="s">
        <v>3399</v>
      </c>
      <c r="S1704" s="7">
        <f t="shared" si="79"/>
        <v>0</v>
      </c>
      <c r="T1704" s="6">
        <f t="shared" si="80"/>
        <v>0</v>
      </c>
      <c r="U1704" s="25">
        <f t="shared" si="78"/>
        <v>0</v>
      </c>
    </row>
    <row r="1705" spans="1:21" ht="10.9" customHeight="1" x14ac:dyDescent="0.2">
      <c r="A1705" s="82" t="s">
        <v>2964</v>
      </c>
      <c r="B1705" s="83">
        <v>45868</v>
      </c>
      <c r="C1705" s="82" t="s">
        <v>3395</v>
      </c>
      <c r="D1705" s="82" t="s">
        <v>1059</v>
      </c>
      <c r="E1705" s="82"/>
      <c r="F1705" s="82" t="s">
        <v>5085</v>
      </c>
      <c r="G1705" s="89">
        <v>1</v>
      </c>
      <c r="H1705" s="89">
        <v>1759.88</v>
      </c>
      <c r="I1705" s="85">
        <v>0</v>
      </c>
      <c r="J1705" s="85">
        <v>0</v>
      </c>
      <c r="K1705" s="85">
        <v>1759.88</v>
      </c>
      <c r="L1705" s="85">
        <v>23073.65</v>
      </c>
      <c r="M1705" s="89">
        <v>2431.4518691679168</v>
      </c>
      <c r="N1705" s="85">
        <v>0</v>
      </c>
      <c r="O1705" s="85">
        <v>0</v>
      </c>
      <c r="P1705" s="85">
        <v>2431.4518691679168</v>
      </c>
      <c r="Q1705" s="85">
        <v>31878.576619443545</v>
      </c>
      <c r="R1705" s="82" t="s">
        <v>3399</v>
      </c>
      <c r="S1705" s="7">
        <f t="shared" si="79"/>
        <v>0</v>
      </c>
      <c r="T1705" s="6">
        <f t="shared" si="80"/>
        <v>0</v>
      </c>
      <c r="U1705" s="25">
        <f t="shared" si="78"/>
        <v>0</v>
      </c>
    </row>
    <row r="1706" spans="1:21" ht="10.9" customHeight="1" x14ac:dyDescent="0.2">
      <c r="A1706" s="82" t="s">
        <v>2964</v>
      </c>
      <c r="B1706" s="83">
        <v>45868</v>
      </c>
      <c r="C1706" s="82" t="s">
        <v>3395</v>
      </c>
      <c r="D1706" s="82" t="s">
        <v>1059</v>
      </c>
      <c r="E1706" s="82"/>
      <c r="F1706" s="82" t="s">
        <v>4510</v>
      </c>
      <c r="G1706" s="89">
        <v>1</v>
      </c>
      <c r="H1706" s="89">
        <v>3279.19</v>
      </c>
      <c r="I1706" s="85">
        <v>0</v>
      </c>
      <c r="J1706" s="85">
        <v>0</v>
      </c>
      <c r="K1706" s="85">
        <v>3279.19</v>
      </c>
      <c r="L1706" s="85">
        <v>23073.65</v>
      </c>
      <c r="M1706" s="89">
        <v>4530.5319992594623</v>
      </c>
      <c r="N1706" s="85">
        <v>0</v>
      </c>
      <c r="O1706" s="85">
        <v>0</v>
      </c>
      <c r="P1706" s="85">
        <v>4530.5319992594623</v>
      </c>
      <c r="Q1706" s="85">
        <v>31878.576619443545</v>
      </c>
      <c r="R1706" s="82" t="s">
        <v>3399</v>
      </c>
      <c r="S1706" s="7">
        <f t="shared" si="79"/>
        <v>0</v>
      </c>
      <c r="T1706" s="6">
        <f t="shared" si="80"/>
        <v>0</v>
      </c>
      <c r="U1706" s="25">
        <f t="shared" si="78"/>
        <v>0</v>
      </c>
    </row>
    <row r="1707" spans="1:21" ht="10.9" customHeight="1" x14ac:dyDescent="0.2">
      <c r="A1707" s="82" t="s">
        <v>2964</v>
      </c>
      <c r="B1707" s="83">
        <v>45868</v>
      </c>
      <c r="C1707" s="82" t="s">
        <v>3395</v>
      </c>
      <c r="D1707" s="82" t="s">
        <v>1059</v>
      </c>
      <c r="E1707" s="82"/>
      <c r="F1707" s="82" t="s">
        <v>5117</v>
      </c>
      <c r="G1707" s="89">
        <v>2</v>
      </c>
      <c r="H1707" s="89">
        <v>1669.96</v>
      </c>
      <c r="I1707" s="85">
        <v>0</v>
      </c>
      <c r="J1707" s="85">
        <v>0</v>
      </c>
      <c r="K1707" s="85">
        <v>3339.92</v>
      </c>
      <c r="L1707" s="85">
        <v>23073.65</v>
      </c>
      <c r="M1707" s="89">
        <v>2307.2183122915508</v>
      </c>
      <c r="N1707" s="85">
        <v>0</v>
      </c>
      <c r="O1707" s="85">
        <v>0</v>
      </c>
      <c r="P1707" s="85">
        <v>4614.4366245831015</v>
      </c>
      <c r="Q1707" s="85">
        <v>31878.576619443545</v>
      </c>
      <c r="R1707" s="82" t="s">
        <v>3399</v>
      </c>
      <c r="S1707" s="7">
        <f t="shared" si="79"/>
        <v>0</v>
      </c>
      <c r="T1707" s="6">
        <f t="shared" si="80"/>
        <v>0</v>
      </c>
      <c r="U1707" s="25">
        <f t="shared" si="78"/>
        <v>0</v>
      </c>
    </row>
    <row r="1708" spans="1:21" ht="10.9" customHeight="1" x14ac:dyDescent="0.2">
      <c r="A1708" s="82" t="s">
        <v>2964</v>
      </c>
      <c r="B1708" s="83">
        <v>45868</v>
      </c>
      <c r="C1708" s="82" t="s">
        <v>3395</v>
      </c>
      <c r="D1708" s="82" t="s">
        <v>1059</v>
      </c>
      <c r="E1708" s="82"/>
      <c r="F1708" s="82" t="s">
        <v>4509</v>
      </c>
      <c r="G1708" s="89">
        <v>2</v>
      </c>
      <c r="H1708" s="89">
        <v>1137.8800000000001</v>
      </c>
      <c r="I1708" s="85">
        <v>0</v>
      </c>
      <c r="J1708" s="85">
        <v>0</v>
      </c>
      <c r="K1708" s="85">
        <v>2275.7600000000002</v>
      </c>
      <c r="L1708" s="85">
        <v>23073.65</v>
      </c>
      <c r="M1708" s="89">
        <v>1572.0960820560433</v>
      </c>
      <c r="N1708" s="85">
        <v>0</v>
      </c>
      <c r="O1708" s="85">
        <v>0</v>
      </c>
      <c r="P1708" s="85">
        <v>3144.1921641120866</v>
      </c>
      <c r="Q1708" s="85">
        <v>31878.576619443545</v>
      </c>
      <c r="R1708" s="82" t="s">
        <v>3399</v>
      </c>
      <c r="S1708" s="7">
        <f t="shared" si="79"/>
        <v>0</v>
      </c>
      <c r="T1708" s="6">
        <f t="shared" si="80"/>
        <v>0</v>
      </c>
      <c r="U1708" s="25">
        <f t="shared" si="78"/>
        <v>0</v>
      </c>
    </row>
    <row r="1709" spans="1:21" ht="10.9" customHeight="1" x14ac:dyDescent="0.2">
      <c r="A1709" s="82" t="s">
        <v>2964</v>
      </c>
      <c r="B1709" s="83">
        <v>45868</v>
      </c>
      <c r="C1709" s="82" t="s">
        <v>3395</v>
      </c>
      <c r="D1709" s="82" t="s">
        <v>1059</v>
      </c>
      <c r="E1709" s="82"/>
      <c r="F1709" s="82" t="s">
        <v>5116</v>
      </c>
      <c r="G1709" s="89">
        <v>2</v>
      </c>
      <c r="H1709" s="89">
        <v>319.73</v>
      </c>
      <c r="I1709" s="85">
        <v>0</v>
      </c>
      <c r="J1709" s="85">
        <v>0</v>
      </c>
      <c r="K1709" s="85">
        <v>639.46</v>
      </c>
      <c r="L1709" s="85">
        <v>23073.65</v>
      </c>
      <c r="M1709" s="89">
        <v>441.73926979626913</v>
      </c>
      <c r="N1709" s="85">
        <v>0</v>
      </c>
      <c r="O1709" s="85">
        <v>0</v>
      </c>
      <c r="P1709" s="85">
        <v>883.47853959253825</v>
      </c>
      <c r="Q1709" s="85">
        <v>31878.576619443545</v>
      </c>
      <c r="R1709" s="82" t="s">
        <v>3399</v>
      </c>
      <c r="S1709" s="7">
        <f t="shared" si="79"/>
        <v>0</v>
      </c>
      <c r="T1709" s="6">
        <f t="shared" si="80"/>
        <v>0</v>
      </c>
      <c r="U1709" s="25">
        <f t="shared" si="78"/>
        <v>0</v>
      </c>
    </row>
    <row r="1710" spans="1:21" ht="10.9" customHeight="1" x14ac:dyDescent="0.2">
      <c r="A1710" s="82" t="s">
        <v>2964</v>
      </c>
      <c r="B1710" s="83">
        <v>45868</v>
      </c>
      <c r="C1710" s="82" t="s">
        <v>3395</v>
      </c>
      <c r="D1710" s="82" t="s">
        <v>1059</v>
      </c>
      <c r="E1710" s="82"/>
      <c r="F1710" s="82" t="s">
        <v>4393</v>
      </c>
      <c r="G1710" s="89">
        <v>1</v>
      </c>
      <c r="H1710" s="89">
        <v>895</v>
      </c>
      <c r="I1710" s="85">
        <v>0</v>
      </c>
      <c r="J1710" s="85">
        <v>0</v>
      </c>
      <c r="K1710" s="85">
        <v>895</v>
      </c>
      <c r="L1710" s="85">
        <v>23073.65</v>
      </c>
      <c r="M1710" s="89">
        <v>1236.5328447992395</v>
      </c>
      <c r="N1710" s="85">
        <v>0</v>
      </c>
      <c r="O1710" s="85">
        <v>0</v>
      </c>
      <c r="P1710" s="85">
        <v>1236.5328447992395</v>
      </c>
      <c r="Q1710" s="85">
        <v>31878.576619443545</v>
      </c>
      <c r="R1710" s="82" t="s">
        <v>3399</v>
      </c>
      <c r="S1710" s="7" t="str">
        <f t="shared" si="79"/>
        <v>INV13239</v>
      </c>
      <c r="T1710" s="6">
        <f t="shared" si="80"/>
        <v>1</v>
      </c>
      <c r="U1710" s="25">
        <f t="shared" si="78"/>
        <v>895</v>
      </c>
    </row>
    <row r="1711" spans="1:21" ht="10.9" customHeight="1" x14ac:dyDescent="0.2">
      <c r="A1711" s="82" t="s">
        <v>3012</v>
      </c>
      <c r="B1711" s="83">
        <v>45868</v>
      </c>
      <c r="C1711" s="82" t="s">
        <v>3395</v>
      </c>
      <c r="D1711" s="82" t="s">
        <v>978</v>
      </c>
      <c r="E1711" s="82"/>
      <c r="F1711" s="82" t="s">
        <v>5115</v>
      </c>
      <c r="G1711" s="89">
        <v>1</v>
      </c>
      <c r="H1711" s="89">
        <v>4894.1099999999997</v>
      </c>
      <c r="I1711" s="85">
        <v>0</v>
      </c>
      <c r="J1711" s="85">
        <v>0</v>
      </c>
      <c r="K1711" s="85">
        <v>4894.1099999999997</v>
      </c>
      <c r="L1711" s="85">
        <v>14878.98</v>
      </c>
      <c r="M1711" s="89">
        <v>6761.7069955982197</v>
      </c>
      <c r="N1711" s="85">
        <v>0</v>
      </c>
      <c r="O1711" s="85">
        <v>0</v>
      </c>
      <c r="P1711" s="85">
        <v>6761.7069955982197</v>
      </c>
      <c r="Q1711" s="85">
        <v>20556.812812414515</v>
      </c>
      <c r="R1711" s="82" t="s">
        <v>3399</v>
      </c>
      <c r="S1711" s="7">
        <f t="shared" si="79"/>
        <v>0</v>
      </c>
      <c r="T1711" s="6">
        <f t="shared" si="80"/>
        <v>0</v>
      </c>
      <c r="U1711" s="25">
        <f t="shared" si="78"/>
        <v>0</v>
      </c>
    </row>
    <row r="1712" spans="1:21" ht="10.9" customHeight="1" x14ac:dyDescent="0.2">
      <c r="A1712" s="82" t="s">
        <v>3012</v>
      </c>
      <c r="B1712" s="83">
        <v>45868</v>
      </c>
      <c r="C1712" s="82" t="s">
        <v>3395</v>
      </c>
      <c r="D1712" s="82" t="s">
        <v>978</v>
      </c>
      <c r="E1712" s="82"/>
      <c r="F1712" s="82" t="s">
        <v>5114</v>
      </c>
      <c r="G1712" s="89">
        <v>2</v>
      </c>
      <c r="H1712" s="89">
        <v>1929.11</v>
      </c>
      <c r="I1712" s="85">
        <v>0</v>
      </c>
      <c r="J1712" s="85">
        <v>0</v>
      </c>
      <c r="K1712" s="85">
        <v>3858.22</v>
      </c>
      <c r="L1712" s="85">
        <v>14878.98</v>
      </c>
      <c r="M1712" s="89">
        <v>2665.2601969057664</v>
      </c>
      <c r="N1712" s="85">
        <v>0</v>
      </c>
      <c r="O1712" s="85">
        <v>0</v>
      </c>
      <c r="P1712" s="85">
        <v>5330.5203938115328</v>
      </c>
      <c r="Q1712" s="85">
        <v>20556.812812414515</v>
      </c>
      <c r="R1712" s="82" t="s">
        <v>3399</v>
      </c>
      <c r="S1712" s="7">
        <f t="shared" si="79"/>
        <v>0</v>
      </c>
      <c r="T1712" s="6">
        <f t="shared" si="80"/>
        <v>0</v>
      </c>
      <c r="U1712" s="25">
        <f t="shared" si="78"/>
        <v>0</v>
      </c>
    </row>
    <row r="1713" spans="1:21" ht="10.9" customHeight="1" x14ac:dyDescent="0.2">
      <c r="A1713" s="82" t="s">
        <v>3012</v>
      </c>
      <c r="B1713" s="83">
        <v>45868</v>
      </c>
      <c r="C1713" s="82" t="s">
        <v>3395</v>
      </c>
      <c r="D1713" s="82" t="s">
        <v>978</v>
      </c>
      <c r="E1713" s="82"/>
      <c r="F1713" s="82" t="s">
        <v>5113</v>
      </c>
      <c r="G1713" s="89">
        <v>1</v>
      </c>
      <c r="H1713" s="89">
        <v>1495.65</v>
      </c>
      <c r="I1713" s="85">
        <v>0</v>
      </c>
      <c r="J1713" s="85">
        <v>0</v>
      </c>
      <c r="K1713" s="85">
        <v>1495.65</v>
      </c>
      <c r="L1713" s="85">
        <v>14878.98</v>
      </c>
      <c r="M1713" s="89">
        <v>2066.39145175864</v>
      </c>
      <c r="N1713" s="85">
        <v>0</v>
      </c>
      <c r="O1713" s="85">
        <v>0</v>
      </c>
      <c r="P1713" s="85">
        <v>2066.39145175864</v>
      </c>
      <c r="Q1713" s="85">
        <v>20556.812812414515</v>
      </c>
      <c r="R1713" s="82" t="s">
        <v>3399</v>
      </c>
      <c r="S1713" s="7">
        <f t="shared" si="79"/>
        <v>0</v>
      </c>
      <c r="T1713" s="6">
        <f t="shared" si="80"/>
        <v>0</v>
      </c>
      <c r="U1713" s="25">
        <f t="shared" si="78"/>
        <v>0</v>
      </c>
    </row>
    <row r="1714" spans="1:21" ht="10.9" customHeight="1" x14ac:dyDescent="0.2">
      <c r="A1714" s="82" t="s">
        <v>3012</v>
      </c>
      <c r="B1714" s="83">
        <v>45868</v>
      </c>
      <c r="C1714" s="82" t="s">
        <v>3395</v>
      </c>
      <c r="D1714" s="82" t="s">
        <v>978</v>
      </c>
      <c r="E1714" s="82"/>
      <c r="F1714" s="82" t="s">
        <v>5112</v>
      </c>
      <c r="G1714" s="89">
        <v>1</v>
      </c>
      <c r="H1714" s="89">
        <v>2441.2199999999998</v>
      </c>
      <c r="I1714" s="85">
        <v>0</v>
      </c>
      <c r="J1714" s="85">
        <v>0</v>
      </c>
      <c r="K1714" s="85">
        <v>2441.2199999999998</v>
      </c>
      <c r="L1714" s="85">
        <v>14878.98</v>
      </c>
      <c r="M1714" s="89">
        <v>3372.791856291396</v>
      </c>
      <c r="N1714" s="85">
        <v>0</v>
      </c>
      <c r="O1714" s="85">
        <v>0</v>
      </c>
      <c r="P1714" s="85">
        <v>3372.791856291396</v>
      </c>
      <c r="Q1714" s="85">
        <v>20556.812812414515</v>
      </c>
      <c r="R1714" s="82" t="s">
        <v>3399</v>
      </c>
      <c r="S1714" s="7">
        <f t="shared" si="79"/>
        <v>0</v>
      </c>
      <c r="T1714" s="6">
        <f t="shared" si="80"/>
        <v>0</v>
      </c>
      <c r="U1714" s="25">
        <f t="shared" si="78"/>
        <v>0</v>
      </c>
    </row>
    <row r="1715" spans="1:21" ht="10.9" customHeight="1" x14ac:dyDescent="0.2">
      <c r="A1715" s="82" t="s">
        <v>3012</v>
      </c>
      <c r="B1715" s="83">
        <v>45868</v>
      </c>
      <c r="C1715" s="82" t="s">
        <v>3395</v>
      </c>
      <c r="D1715" s="82" t="s">
        <v>978</v>
      </c>
      <c r="E1715" s="82"/>
      <c r="F1715" s="82" t="s">
        <v>5111</v>
      </c>
      <c r="G1715" s="89">
        <v>1</v>
      </c>
      <c r="H1715" s="89">
        <v>2189.7800000000002</v>
      </c>
      <c r="I1715" s="85">
        <v>0</v>
      </c>
      <c r="J1715" s="85">
        <v>0</v>
      </c>
      <c r="K1715" s="85">
        <v>2189.7800000000002</v>
      </c>
      <c r="L1715" s="85">
        <v>14878.98</v>
      </c>
      <c r="M1715" s="89">
        <v>3025.4021149547248</v>
      </c>
      <c r="N1715" s="85">
        <v>0</v>
      </c>
      <c r="O1715" s="85">
        <v>0</v>
      </c>
      <c r="P1715" s="85">
        <v>3025.4021149547248</v>
      </c>
      <c r="Q1715" s="85">
        <v>20556.812812414515</v>
      </c>
      <c r="R1715" s="82" t="s">
        <v>3399</v>
      </c>
      <c r="S1715" s="7">
        <f t="shared" si="79"/>
        <v>0</v>
      </c>
      <c r="T1715" s="6">
        <f t="shared" si="80"/>
        <v>0</v>
      </c>
      <c r="U1715" s="25">
        <f t="shared" si="78"/>
        <v>0</v>
      </c>
    </row>
    <row r="1716" spans="1:21" ht="10.9" customHeight="1" x14ac:dyDescent="0.2">
      <c r="A1716" s="82" t="s">
        <v>3037</v>
      </c>
      <c r="B1716" s="83">
        <v>45868</v>
      </c>
      <c r="C1716" s="82" t="s">
        <v>3395</v>
      </c>
      <c r="D1716" s="82" t="s">
        <v>935</v>
      </c>
      <c r="E1716" s="82"/>
      <c r="F1716" s="82" t="s">
        <v>5110</v>
      </c>
      <c r="G1716" s="89">
        <v>2</v>
      </c>
      <c r="H1716" s="89">
        <v>897.52</v>
      </c>
      <c r="I1716" s="85">
        <v>0</v>
      </c>
      <c r="J1716" s="85">
        <v>0</v>
      </c>
      <c r="K1716" s="85">
        <v>1795.04</v>
      </c>
      <c r="L1716" s="85">
        <v>1795.04</v>
      </c>
      <c r="M1716" s="89">
        <v>1240.8836830542616</v>
      </c>
      <c r="N1716" s="85">
        <v>0</v>
      </c>
      <c r="O1716" s="85">
        <v>0</v>
      </c>
      <c r="P1716" s="85">
        <v>2481.7673661085232</v>
      </c>
      <c r="Q1716" s="85">
        <v>2481.7673661085232</v>
      </c>
      <c r="R1716" s="82" t="s">
        <v>3399</v>
      </c>
      <c r="S1716" s="7">
        <f t="shared" si="79"/>
        <v>0</v>
      </c>
      <c r="T1716" s="6">
        <f t="shared" si="80"/>
        <v>0</v>
      </c>
      <c r="U1716" s="25">
        <f t="shared" si="78"/>
        <v>0</v>
      </c>
    </row>
    <row r="1717" spans="1:21" ht="10.9" customHeight="1" x14ac:dyDescent="0.2">
      <c r="A1717" s="82" t="s">
        <v>3025</v>
      </c>
      <c r="B1717" s="83">
        <v>45868</v>
      </c>
      <c r="C1717" s="82" t="s">
        <v>3395</v>
      </c>
      <c r="D1717" s="82" t="s">
        <v>956</v>
      </c>
      <c r="E1717" s="82"/>
      <c r="F1717" s="82" t="s">
        <v>5109</v>
      </c>
      <c r="G1717" s="89">
        <v>1</v>
      </c>
      <c r="H1717" s="89">
        <v>3808.67</v>
      </c>
      <c r="I1717" s="85">
        <v>0</v>
      </c>
      <c r="J1717" s="85">
        <v>0</v>
      </c>
      <c r="K1717" s="85">
        <v>3808.67</v>
      </c>
      <c r="L1717" s="85">
        <v>6094.44</v>
      </c>
      <c r="M1717" s="89">
        <v>5265.7505761857956</v>
      </c>
      <c r="N1717" s="85">
        <v>0</v>
      </c>
      <c r="O1717" s="85">
        <v>0</v>
      </c>
      <c r="P1717" s="85">
        <v>5265.7505761857956</v>
      </c>
      <c r="Q1717" s="85">
        <v>8425.9862213134129</v>
      </c>
      <c r="R1717" s="82" t="s">
        <v>3399</v>
      </c>
      <c r="S1717" s="7">
        <f t="shared" si="79"/>
        <v>0</v>
      </c>
      <c r="T1717" s="6">
        <f t="shared" si="80"/>
        <v>0</v>
      </c>
      <c r="U1717" s="25">
        <f t="shared" si="78"/>
        <v>0</v>
      </c>
    </row>
    <row r="1718" spans="1:21" ht="10.9" customHeight="1" x14ac:dyDescent="0.2">
      <c r="A1718" s="82" t="s">
        <v>3025</v>
      </c>
      <c r="B1718" s="83">
        <v>45868</v>
      </c>
      <c r="C1718" s="82" t="s">
        <v>3395</v>
      </c>
      <c r="D1718" s="82" t="s">
        <v>956</v>
      </c>
      <c r="E1718" s="82"/>
      <c r="F1718" s="82" t="s">
        <v>4666</v>
      </c>
      <c r="G1718" s="89">
        <v>2</v>
      </c>
      <c r="H1718" s="89">
        <v>456.46</v>
      </c>
      <c r="I1718" s="85">
        <v>0</v>
      </c>
      <c r="J1718" s="85">
        <v>0</v>
      </c>
      <c r="K1718" s="85">
        <v>912.92</v>
      </c>
      <c r="L1718" s="85">
        <v>6094.44</v>
      </c>
      <c r="M1718" s="89">
        <v>631.08762586566127</v>
      </c>
      <c r="N1718" s="85">
        <v>0</v>
      </c>
      <c r="O1718" s="85">
        <v>0</v>
      </c>
      <c r="P1718" s="85">
        <v>1262.1752517313225</v>
      </c>
      <c r="Q1718" s="85">
        <v>8425.9862213134129</v>
      </c>
      <c r="R1718" s="82" t="s">
        <v>3399</v>
      </c>
      <c r="S1718" s="7">
        <f t="shared" si="79"/>
        <v>0</v>
      </c>
      <c r="T1718" s="6">
        <f t="shared" si="80"/>
        <v>0</v>
      </c>
      <c r="U1718" s="25">
        <f t="shared" si="78"/>
        <v>0</v>
      </c>
    </row>
    <row r="1719" spans="1:21" ht="10.9" customHeight="1" x14ac:dyDescent="0.2">
      <c r="A1719" s="82" t="s">
        <v>3025</v>
      </c>
      <c r="B1719" s="83">
        <v>45868</v>
      </c>
      <c r="C1719" s="82" t="s">
        <v>3395</v>
      </c>
      <c r="D1719" s="82" t="s">
        <v>956</v>
      </c>
      <c r="E1719" s="82"/>
      <c r="F1719" s="82" t="s">
        <v>4460</v>
      </c>
      <c r="G1719" s="89">
        <v>1</v>
      </c>
      <c r="H1719" s="89">
        <v>144.44999999999999</v>
      </c>
      <c r="I1719" s="85">
        <v>0</v>
      </c>
      <c r="J1719" s="85">
        <v>0</v>
      </c>
      <c r="K1719" s="85">
        <v>144.44999999999999</v>
      </c>
      <c r="L1719" s="85">
        <v>6094.44</v>
      </c>
      <c r="M1719" s="89">
        <v>199.7121490520413</v>
      </c>
      <c r="N1719" s="85">
        <v>0</v>
      </c>
      <c r="O1719" s="85">
        <v>0</v>
      </c>
      <c r="P1719" s="85">
        <v>199.7121490520413</v>
      </c>
      <c r="Q1719" s="85">
        <v>8425.9862213134129</v>
      </c>
      <c r="R1719" s="82" t="s">
        <v>3399</v>
      </c>
      <c r="S1719" s="7">
        <f t="shared" si="79"/>
        <v>0</v>
      </c>
      <c r="T1719" s="6">
        <f t="shared" si="80"/>
        <v>0</v>
      </c>
      <c r="U1719" s="25">
        <f t="shared" si="78"/>
        <v>0</v>
      </c>
    </row>
    <row r="1720" spans="1:21" ht="10.9" customHeight="1" x14ac:dyDescent="0.2">
      <c r="A1720" s="82" t="s">
        <v>3025</v>
      </c>
      <c r="B1720" s="83">
        <v>45868</v>
      </c>
      <c r="C1720" s="82" t="s">
        <v>3395</v>
      </c>
      <c r="D1720" s="82" t="s">
        <v>956</v>
      </c>
      <c r="E1720" s="82"/>
      <c r="F1720" s="82" t="s">
        <v>4492</v>
      </c>
      <c r="G1720" s="89">
        <v>2</v>
      </c>
      <c r="H1720" s="89">
        <v>364.98</v>
      </c>
      <c r="I1720" s="85">
        <v>0</v>
      </c>
      <c r="J1720" s="85">
        <v>0</v>
      </c>
      <c r="K1720" s="85">
        <v>729.96</v>
      </c>
      <c r="L1720" s="85">
        <v>6094.44</v>
      </c>
      <c r="M1720" s="89">
        <v>504.61017764634153</v>
      </c>
      <c r="N1720" s="85">
        <v>0</v>
      </c>
      <c r="O1720" s="85">
        <v>0</v>
      </c>
      <c r="P1720" s="85">
        <v>1009.2203552926831</v>
      </c>
      <c r="Q1720" s="85">
        <v>8425.9862213134129</v>
      </c>
      <c r="R1720" s="82" t="s">
        <v>3399</v>
      </c>
      <c r="S1720" s="7">
        <f t="shared" si="79"/>
        <v>0</v>
      </c>
      <c r="T1720" s="6">
        <f t="shared" si="80"/>
        <v>0</v>
      </c>
      <c r="U1720" s="25">
        <f t="shared" si="78"/>
        <v>0</v>
      </c>
    </row>
    <row r="1721" spans="1:21" ht="10.9" customHeight="1" x14ac:dyDescent="0.2">
      <c r="A1721" s="82" t="s">
        <v>3025</v>
      </c>
      <c r="B1721" s="83">
        <v>45868</v>
      </c>
      <c r="C1721" s="82" t="s">
        <v>3395</v>
      </c>
      <c r="D1721" s="82" t="s">
        <v>956</v>
      </c>
      <c r="E1721" s="82"/>
      <c r="F1721" s="82" t="s">
        <v>4459</v>
      </c>
      <c r="G1721" s="89">
        <v>1</v>
      </c>
      <c r="H1721" s="89">
        <v>498.44</v>
      </c>
      <c r="I1721" s="85">
        <v>0</v>
      </c>
      <c r="J1721" s="85">
        <v>0</v>
      </c>
      <c r="K1721" s="85">
        <v>498.44</v>
      </c>
      <c r="L1721" s="85">
        <v>6094.44</v>
      </c>
      <c r="M1721" s="89">
        <v>689.12788905157117</v>
      </c>
      <c r="N1721" s="85">
        <v>0</v>
      </c>
      <c r="O1721" s="85">
        <v>0</v>
      </c>
      <c r="P1721" s="85">
        <v>689.12788905157117</v>
      </c>
      <c r="Q1721" s="85">
        <v>8425.9862213134129</v>
      </c>
      <c r="R1721" s="82" t="s">
        <v>3399</v>
      </c>
      <c r="S1721" s="7" t="str">
        <f t="shared" si="79"/>
        <v>INV13242</v>
      </c>
      <c r="T1721" s="6">
        <f t="shared" si="80"/>
        <v>1</v>
      </c>
      <c r="U1721" s="25">
        <f t="shared" si="78"/>
        <v>498.44</v>
      </c>
    </row>
    <row r="1722" spans="1:21" ht="10.9" customHeight="1" x14ac:dyDescent="0.2">
      <c r="A1722" s="82" t="s">
        <v>3018</v>
      </c>
      <c r="B1722" s="83">
        <v>45868</v>
      </c>
      <c r="C1722" s="82" t="s">
        <v>3395</v>
      </c>
      <c r="D1722" s="82" t="s">
        <v>966</v>
      </c>
      <c r="E1722" s="82"/>
      <c r="F1722" s="82" t="s">
        <v>4865</v>
      </c>
      <c r="G1722" s="89">
        <v>1</v>
      </c>
      <c r="H1722" s="89">
        <v>48</v>
      </c>
      <c r="I1722" s="85">
        <v>0</v>
      </c>
      <c r="J1722" s="85">
        <v>2.4</v>
      </c>
      <c r="K1722" s="85">
        <v>50.4</v>
      </c>
      <c r="L1722" s="85">
        <v>50.4</v>
      </c>
      <c r="M1722" s="89">
        <v>48</v>
      </c>
      <c r="N1722" s="85">
        <v>0</v>
      </c>
      <c r="O1722" s="85">
        <v>2.4</v>
      </c>
      <c r="P1722" s="85">
        <v>50.4</v>
      </c>
      <c r="Q1722" s="85">
        <v>50.4</v>
      </c>
      <c r="R1722" s="82" t="s">
        <v>3399</v>
      </c>
      <c r="S1722" s="7">
        <f t="shared" si="79"/>
        <v>0</v>
      </c>
      <c r="T1722" s="6">
        <f t="shared" si="80"/>
        <v>0</v>
      </c>
      <c r="U1722" s="25">
        <f t="shared" si="78"/>
        <v>0</v>
      </c>
    </row>
    <row r="1723" spans="1:21" ht="10.9" customHeight="1" x14ac:dyDescent="0.2">
      <c r="A1723" s="82" t="s">
        <v>3042</v>
      </c>
      <c r="B1723" s="83">
        <v>45868</v>
      </c>
      <c r="C1723" s="82" t="s">
        <v>3395</v>
      </c>
      <c r="D1723" s="82" t="s">
        <v>927</v>
      </c>
      <c r="E1723" s="82"/>
      <c r="F1723" s="82" t="s">
        <v>4856</v>
      </c>
      <c r="G1723" s="89">
        <v>1</v>
      </c>
      <c r="H1723" s="89">
        <v>2894.78</v>
      </c>
      <c r="I1723" s="85">
        <v>0</v>
      </c>
      <c r="J1723" s="85">
        <v>144.74</v>
      </c>
      <c r="K1723" s="85">
        <v>3039.52</v>
      </c>
      <c r="L1723" s="85">
        <v>6052.79</v>
      </c>
      <c r="M1723" s="89">
        <v>2894.78</v>
      </c>
      <c r="N1723" s="85">
        <v>0</v>
      </c>
      <c r="O1723" s="85">
        <v>144.74</v>
      </c>
      <c r="P1723" s="85">
        <v>3039.52</v>
      </c>
      <c r="Q1723" s="85">
        <v>6052.79</v>
      </c>
      <c r="R1723" s="82" t="s">
        <v>3399</v>
      </c>
      <c r="S1723" s="7">
        <f t="shared" si="79"/>
        <v>0</v>
      </c>
      <c r="T1723" s="6">
        <f t="shared" si="80"/>
        <v>0</v>
      </c>
      <c r="U1723" s="25">
        <f t="shared" si="78"/>
        <v>0</v>
      </c>
    </row>
    <row r="1724" spans="1:21" ht="10.9" customHeight="1" x14ac:dyDescent="0.2">
      <c r="A1724" s="82" t="s">
        <v>3042</v>
      </c>
      <c r="B1724" s="83">
        <v>45868</v>
      </c>
      <c r="C1724" s="82" t="s">
        <v>3395</v>
      </c>
      <c r="D1724" s="82" t="s">
        <v>927</v>
      </c>
      <c r="E1724" s="82"/>
      <c r="F1724" s="82" t="s">
        <v>5118</v>
      </c>
      <c r="G1724" s="89">
        <v>1</v>
      </c>
      <c r="H1724" s="89">
        <v>2869.78</v>
      </c>
      <c r="I1724" s="85">
        <v>0</v>
      </c>
      <c r="J1724" s="85">
        <v>143.49</v>
      </c>
      <c r="K1724" s="85">
        <v>3013.27</v>
      </c>
      <c r="L1724" s="85">
        <v>6052.79</v>
      </c>
      <c r="M1724" s="89">
        <v>2869.78</v>
      </c>
      <c r="N1724" s="85">
        <v>0</v>
      </c>
      <c r="O1724" s="85">
        <v>143.49</v>
      </c>
      <c r="P1724" s="85">
        <v>3013.27</v>
      </c>
      <c r="Q1724" s="85">
        <v>6052.79</v>
      </c>
      <c r="R1724" s="82" t="s">
        <v>3399</v>
      </c>
      <c r="S1724" s="7">
        <f t="shared" si="79"/>
        <v>0</v>
      </c>
      <c r="T1724" s="6">
        <f t="shared" si="80"/>
        <v>0</v>
      </c>
      <c r="U1724" s="25">
        <f t="shared" si="78"/>
        <v>0</v>
      </c>
    </row>
    <row r="1725" spans="1:21" ht="10.9" customHeight="1" x14ac:dyDescent="0.2">
      <c r="A1725" s="82" t="s">
        <v>2966</v>
      </c>
      <c r="B1725" s="83">
        <v>45868</v>
      </c>
      <c r="C1725" s="82" t="s">
        <v>3395</v>
      </c>
      <c r="D1725" s="82" t="s">
        <v>1057</v>
      </c>
      <c r="E1725" s="82"/>
      <c r="F1725" s="82" t="s">
        <v>4532</v>
      </c>
      <c r="G1725" s="89">
        <v>1</v>
      </c>
      <c r="H1725" s="89">
        <v>110.83</v>
      </c>
      <c r="I1725" s="85">
        <v>0</v>
      </c>
      <c r="J1725" s="85">
        <v>5.54</v>
      </c>
      <c r="K1725" s="85">
        <v>116.37</v>
      </c>
      <c r="L1725" s="85">
        <v>116.37</v>
      </c>
      <c r="M1725" s="89">
        <v>110.83</v>
      </c>
      <c r="N1725" s="85">
        <v>0</v>
      </c>
      <c r="O1725" s="85">
        <v>5.54</v>
      </c>
      <c r="P1725" s="85">
        <v>116.37</v>
      </c>
      <c r="Q1725" s="85">
        <v>116.37</v>
      </c>
      <c r="R1725" s="82" t="s">
        <v>3399</v>
      </c>
      <c r="S1725" s="7">
        <f t="shared" si="79"/>
        <v>0</v>
      </c>
      <c r="T1725" s="6">
        <f t="shared" si="80"/>
        <v>0</v>
      </c>
      <c r="U1725" s="25">
        <f t="shared" si="78"/>
        <v>0</v>
      </c>
    </row>
    <row r="1726" spans="1:21" ht="10.9" customHeight="1" x14ac:dyDescent="0.2">
      <c r="A1726" s="82" t="s">
        <v>3039</v>
      </c>
      <c r="B1726" s="83">
        <v>45868</v>
      </c>
      <c r="C1726" s="82" t="s">
        <v>3395</v>
      </c>
      <c r="D1726" s="82" t="s">
        <v>931</v>
      </c>
      <c r="E1726" s="82"/>
      <c r="F1726" s="82" t="s">
        <v>4671</v>
      </c>
      <c r="G1726" s="89">
        <v>4</v>
      </c>
      <c r="H1726" s="89">
        <v>21.59</v>
      </c>
      <c r="I1726" s="85">
        <v>0</v>
      </c>
      <c r="J1726" s="85">
        <v>4.32</v>
      </c>
      <c r="K1726" s="85">
        <v>90.68</v>
      </c>
      <c r="L1726" s="85">
        <v>275.89999999999998</v>
      </c>
      <c r="M1726" s="89">
        <v>21.59</v>
      </c>
      <c r="N1726" s="85">
        <v>0</v>
      </c>
      <c r="O1726" s="85">
        <v>4.32</v>
      </c>
      <c r="P1726" s="85">
        <v>90.68</v>
      </c>
      <c r="Q1726" s="85">
        <v>275.89999999999998</v>
      </c>
      <c r="R1726" s="82" t="s">
        <v>3399</v>
      </c>
      <c r="S1726" s="7">
        <f t="shared" si="79"/>
        <v>0</v>
      </c>
      <c r="T1726" s="6">
        <f t="shared" si="80"/>
        <v>0</v>
      </c>
      <c r="U1726" s="25">
        <f t="shared" si="78"/>
        <v>0</v>
      </c>
    </row>
    <row r="1727" spans="1:21" ht="10.9" customHeight="1" x14ac:dyDescent="0.2">
      <c r="A1727" s="82" t="s">
        <v>3039</v>
      </c>
      <c r="B1727" s="83">
        <v>45868</v>
      </c>
      <c r="C1727" s="82" t="s">
        <v>3395</v>
      </c>
      <c r="D1727" s="82" t="s">
        <v>931</v>
      </c>
      <c r="E1727" s="82"/>
      <c r="F1727" s="82" t="s">
        <v>4672</v>
      </c>
      <c r="G1727" s="89">
        <v>4</v>
      </c>
      <c r="H1727" s="89">
        <v>44.1</v>
      </c>
      <c r="I1727" s="85">
        <v>0</v>
      </c>
      <c r="J1727" s="85">
        <v>8.82</v>
      </c>
      <c r="K1727" s="85">
        <v>185.22</v>
      </c>
      <c r="L1727" s="85">
        <v>275.89999999999998</v>
      </c>
      <c r="M1727" s="89">
        <v>44.1</v>
      </c>
      <c r="N1727" s="85">
        <v>0</v>
      </c>
      <c r="O1727" s="85">
        <v>8.82</v>
      </c>
      <c r="P1727" s="85">
        <v>185.22</v>
      </c>
      <c r="Q1727" s="85">
        <v>275.89999999999998</v>
      </c>
      <c r="R1727" s="82" t="s">
        <v>3399</v>
      </c>
      <c r="S1727" s="7">
        <f t="shared" si="79"/>
        <v>0</v>
      </c>
      <c r="T1727" s="6">
        <f t="shared" si="80"/>
        <v>0</v>
      </c>
      <c r="U1727" s="25">
        <f t="shared" si="78"/>
        <v>0</v>
      </c>
    </row>
    <row r="1728" spans="1:21" ht="10.9" customHeight="1" x14ac:dyDescent="0.2">
      <c r="A1728" s="82" t="s">
        <v>3494</v>
      </c>
      <c r="B1728" s="83">
        <v>45869</v>
      </c>
      <c r="C1728" s="82" t="s">
        <v>3395</v>
      </c>
      <c r="D1728" s="82" t="s">
        <v>3492</v>
      </c>
      <c r="E1728" s="82"/>
      <c r="F1728" s="82" t="s">
        <v>5105</v>
      </c>
      <c r="G1728" s="89">
        <v>3</v>
      </c>
      <c r="H1728" s="89">
        <v>1583.21</v>
      </c>
      <c r="I1728" s="85">
        <v>0</v>
      </c>
      <c r="J1728" s="85">
        <v>0</v>
      </c>
      <c r="K1728" s="85">
        <v>4749.63</v>
      </c>
      <c r="L1728" s="85">
        <v>20741.03</v>
      </c>
      <c r="M1728" s="89">
        <v>2194.282593871792</v>
      </c>
      <c r="N1728" s="85">
        <v>0</v>
      </c>
      <c r="O1728" s="85">
        <v>0</v>
      </c>
      <c r="P1728" s="85">
        <v>6582.8477816153763</v>
      </c>
      <c r="Q1728" s="85">
        <v>28746.458844987497</v>
      </c>
      <c r="R1728" s="82" t="s">
        <v>3399</v>
      </c>
      <c r="S1728" s="7">
        <f t="shared" si="79"/>
        <v>0</v>
      </c>
      <c r="T1728" s="6">
        <f t="shared" si="80"/>
        <v>0</v>
      </c>
      <c r="U1728" s="25">
        <f t="shared" si="78"/>
        <v>0</v>
      </c>
    </row>
    <row r="1729" spans="1:21" ht="10.9" customHeight="1" x14ac:dyDescent="0.2">
      <c r="A1729" s="82" t="s">
        <v>3494</v>
      </c>
      <c r="B1729" s="83">
        <v>45869</v>
      </c>
      <c r="C1729" s="82" t="s">
        <v>3395</v>
      </c>
      <c r="D1729" s="82" t="s">
        <v>3492</v>
      </c>
      <c r="E1729" s="82"/>
      <c r="F1729" s="82" t="s">
        <v>5104</v>
      </c>
      <c r="G1729" s="89">
        <v>2</v>
      </c>
      <c r="H1729" s="89">
        <v>2390.39</v>
      </c>
      <c r="I1729" s="85">
        <v>0</v>
      </c>
      <c r="J1729" s="85">
        <v>0</v>
      </c>
      <c r="K1729" s="85">
        <v>4780.78</v>
      </c>
      <c r="L1729" s="85">
        <v>20741.03</v>
      </c>
      <c r="M1729" s="89">
        <v>3313.0103836921148</v>
      </c>
      <c r="N1729" s="85">
        <v>0</v>
      </c>
      <c r="O1729" s="85">
        <v>0</v>
      </c>
      <c r="P1729" s="85">
        <v>6626.0207673842297</v>
      </c>
      <c r="Q1729" s="85">
        <v>28746.458844987497</v>
      </c>
      <c r="R1729" s="82" t="s">
        <v>3399</v>
      </c>
      <c r="S1729" s="7">
        <f t="shared" si="79"/>
        <v>0</v>
      </c>
      <c r="T1729" s="6">
        <f t="shared" si="80"/>
        <v>0</v>
      </c>
      <c r="U1729" s="25">
        <f t="shared" si="78"/>
        <v>0</v>
      </c>
    </row>
    <row r="1730" spans="1:21" ht="10.9" customHeight="1" x14ac:dyDescent="0.2">
      <c r="A1730" s="82" t="s">
        <v>3494</v>
      </c>
      <c r="B1730" s="83">
        <v>45869</v>
      </c>
      <c r="C1730" s="82" t="s">
        <v>3395</v>
      </c>
      <c r="D1730" s="82" t="s">
        <v>3492</v>
      </c>
      <c r="E1730" s="82"/>
      <c r="F1730" s="82" t="s">
        <v>5103</v>
      </c>
      <c r="G1730" s="89">
        <v>1</v>
      </c>
      <c r="H1730" s="89">
        <v>999.62</v>
      </c>
      <c r="I1730" s="85">
        <v>0</v>
      </c>
      <c r="J1730" s="85">
        <v>0</v>
      </c>
      <c r="K1730" s="85">
        <v>999.62</v>
      </c>
      <c r="L1730" s="85">
        <v>20741.03</v>
      </c>
      <c r="M1730" s="89">
        <v>1385.4439818382407</v>
      </c>
      <c r="N1730" s="85">
        <v>0</v>
      </c>
      <c r="O1730" s="85">
        <v>0</v>
      </c>
      <c r="P1730" s="85">
        <v>1385.4439818382407</v>
      </c>
      <c r="Q1730" s="85">
        <v>28746.458844987497</v>
      </c>
      <c r="R1730" s="82" t="s">
        <v>3399</v>
      </c>
      <c r="S1730" s="7">
        <f t="shared" si="79"/>
        <v>0</v>
      </c>
      <c r="T1730" s="6">
        <f t="shared" si="80"/>
        <v>0</v>
      </c>
      <c r="U1730" s="25">
        <f t="shared" ref="U1730:U1793" si="81">IF(T1730=1,K1730-J1730,0)</f>
        <v>0</v>
      </c>
    </row>
    <row r="1731" spans="1:21" ht="10.9" customHeight="1" x14ac:dyDescent="0.2">
      <c r="A1731" s="82" t="s">
        <v>3494</v>
      </c>
      <c r="B1731" s="83">
        <v>45869</v>
      </c>
      <c r="C1731" s="82" t="s">
        <v>3395</v>
      </c>
      <c r="D1731" s="82" t="s">
        <v>3492</v>
      </c>
      <c r="E1731" s="82"/>
      <c r="F1731" s="82" t="s">
        <v>5102</v>
      </c>
      <c r="G1731" s="89">
        <v>2</v>
      </c>
      <c r="H1731" s="89">
        <v>5105.5</v>
      </c>
      <c r="I1731" s="85">
        <v>0</v>
      </c>
      <c r="J1731" s="85">
        <v>0</v>
      </c>
      <c r="K1731" s="85">
        <v>10211</v>
      </c>
      <c r="L1731" s="85">
        <v>20741.03</v>
      </c>
      <c r="M1731" s="89">
        <v>7076.0731570748258</v>
      </c>
      <c r="N1731" s="85">
        <v>0</v>
      </c>
      <c r="O1731" s="85">
        <v>0</v>
      </c>
      <c r="P1731" s="85">
        <v>14152.146314149652</v>
      </c>
      <c r="Q1731" s="85">
        <v>28746.458844987497</v>
      </c>
      <c r="R1731" s="82" t="s">
        <v>3399</v>
      </c>
      <c r="S1731" s="7">
        <f t="shared" ref="S1731:S1794" si="82">IF(T1731=1,A1731,0)</f>
        <v>0</v>
      </c>
      <c r="T1731" s="6">
        <f t="shared" ref="T1731:T1794" si="83">IFERROR(FIND("Freight",F1731,1),0)</f>
        <v>0</v>
      </c>
      <c r="U1731" s="25">
        <f t="shared" si="81"/>
        <v>0</v>
      </c>
    </row>
    <row r="1732" spans="1:21" ht="10.9" customHeight="1" x14ac:dyDescent="0.2">
      <c r="A1732" s="82" t="s">
        <v>3495</v>
      </c>
      <c r="B1732" s="83">
        <v>45869</v>
      </c>
      <c r="C1732" s="82" t="s">
        <v>3395</v>
      </c>
      <c r="D1732" s="82" t="s">
        <v>3492</v>
      </c>
      <c r="E1732" s="82"/>
      <c r="F1732" s="82" t="s">
        <v>5101</v>
      </c>
      <c r="G1732" s="89">
        <v>1</v>
      </c>
      <c r="H1732" s="89">
        <v>776.36</v>
      </c>
      <c r="I1732" s="85">
        <v>0</v>
      </c>
      <c r="J1732" s="85">
        <v>0</v>
      </c>
      <c r="K1732" s="85">
        <v>776.36</v>
      </c>
      <c r="L1732" s="85">
        <v>2327.8000000000002</v>
      </c>
      <c r="M1732" s="89">
        <v>1076.0121743661957</v>
      </c>
      <c r="N1732" s="85">
        <v>0</v>
      </c>
      <c r="O1732" s="85">
        <v>0</v>
      </c>
      <c r="P1732" s="85">
        <v>1076.0121743661957</v>
      </c>
      <c r="Q1732" s="85">
        <v>3226.2624806657095</v>
      </c>
      <c r="R1732" s="82" t="s">
        <v>3399</v>
      </c>
      <c r="S1732" s="7">
        <f t="shared" si="82"/>
        <v>0</v>
      </c>
      <c r="T1732" s="6">
        <f t="shared" si="83"/>
        <v>0</v>
      </c>
      <c r="U1732" s="25">
        <f t="shared" si="81"/>
        <v>0</v>
      </c>
    </row>
    <row r="1733" spans="1:21" ht="10.9" customHeight="1" x14ac:dyDescent="0.2">
      <c r="A1733" s="82" t="s">
        <v>3495</v>
      </c>
      <c r="B1733" s="83">
        <v>45869</v>
      </c>
      <c r="C1733" s="82" t="s">
        <v>3395</v>
      </c>
      <c r="D1733" s="82" t="s">
        <v>3492</v>
      </c>
      <c r="E1733" s="82"/>
      <c r="F1733" s="82" t="s">
        <v>5100</v>
      </c>
      <c r="G1733" s="89">
        <v>1</v>
      </c>
      <c r="H1733" s="89">
        <v>1551.44</v>
      </c>
      <c r="I1733" s="85">
        <v>0</v>
      </c>
      <c r="J1733" s="85">
        <v>0</v>
      </c>
      <c r="K1733" s="85">
        <v>1551.44</v>
      </c>
      <c r="L1733" s="85">
        <v>2327.8000000000002</v>
      </c>
      <c r="M1733" s="89">
        <v>2150.2503062995138</v>
      </c>
      <c r="N1733" s="85">
        <v>0</v>
      </c>
      <c r="O1733" s="85">
        <v>0</v>
      </c>
      <c r="P1733" s="85">
        <v>2150.2503062995138</v>
      </c>
      <c r="Q1733" s="85">
        <v>3226.2624806657095</v>
      </c>
      <c r="R1733" s="82" t="s">
        <v>3399</v>
      </c>
      <c r="S1733" s="7">
        <f t="shared" si="82"/>
        <v>0</v>
      </c>
      <c r="T1733" s="6">
        <f t="shared" si="83"/>
        <v>0</v>
      </c>
      <c r="U1733" s="25">
        <f t="shared" si="81"/>
        <v>0</v>
      </c>
    </row>
    <row r="1734" spans="1:21" ht="10.9" customHeight="1" x14ac:dyDescent="0.2">
      <c r="A1734" s="82" t="s">
        <v>3491</v>
      </c>
      <c r="B1734" s="83">
        <v>45869</v>
      </c>
      <c r="C1734" s="82" t="s">
        <v>3395</v>
      </c>
      <c r="D1734" s="82" t="s">
        <v>3490</v>
      </c>
      <c r="E1734" s="82"/>
      <c r="F1734" s="82" t="s">
        <v>5107</v>
      </c>
      <c r="G1734" s="89">
        <v>2</v>
      </c>
      <c r="H1734" s="89">
        <v>52651</v>
      </c>
      <c r="I1734" s="85">
        <v>0</v>
      </c>
      <c r="J1734" s="85">
        <v>0</v>
      </c>
      <c r="K1734" s="85">
        <v>105302</v>
      </c>
      <c r="L1734" s="85">
        <v>105302</v>
      </c>
      <c r="M1734" s="89">
        <v>72972.740729242316</v>
      </c>
      <c r="N1734" s="85">
        <v>0</v>
      </c>
      <c r="O1734" s="85">
        <v>0</v>
      </c>
      <c r="P1734" s="85">
        <v>145945.48145848463</v>
      </c>
      <c r="Q1734" s="85">
        <v>145945.48145848463</v>
      </c>
      <c r="R1734" s="82" t="s">
        <v>3399</v>
      </c>
      <c r="S1734" s="7">
        <f t="shared" si="82"/>
        <v>0</v>
      </c>
      <c r="T1734" s="6">
        <f t="shared" si="83"/>
        <v>0</v>
      </c>
      <c r="U1734" s="25">
        <f t="shared" si="81"/>
        <v>0</v>
      </c>
    </row>
    <row r="1735" spans="1:21" ht="10.9" customHeight="1" x14ac:dyDescent="0.2">
      <c r="A1735" s="82" t="s">
        <v>3491</v>
      </c>
      <c r="B1735" s="83">
        <v>45869</v>
      </c>
      <c r="C1735" s="82" t="s">
        <v>3395</v>
      </c>
      <c r="D1735" s="82" t="s">
        <v>3490</v>
      </c>
      <c r="E1735" s="82"/>
      <c r="F1735" s="82" t="s">
        <v>5106</v>
      </c>
      <c r="G1735" s="89">
        <v>2</v>
      </c>
      <c r="H1735" s="89">
        <v>14882.91</v>
      </c>
      <c r="I1735" s="85">
        <v>29765.82</v>
      </c>
      <c r="J1735" s="85">
        <v>0</v>
      </c>
      <c r="K1735" s="85">
        <v>0</v>
      </c>
      <c r="L1735" s="85">
        <v>105302</v>
      </c>
      <c r="M1735" s="89">
        <v>20627.276456793752</v>
      </c>
      <c r="N1735" s="85">
        <v>41254.552913587504</v>
      </c>
      <c r="O1735" s="85">
        <v>0</v>
      </c>
      <c r="P1735" s="85">
        <v>0</v>
      </c>
      <c r="Q1735" s="85">
        <v>145945.48145848463</v>
      </c>
      <c r="R1735" s="82" t="s">
        <v>3399</v>
      </c>
      <c r="S1735" s="7">
        <f t="shared" si="82"/>
        <v>0</v>
      </c>
      <c r="T1735" s="6">
        <f t="shared" si="83"/>
        <v>0</v>
      </c>
      <c r="U1735" s="25">
        <f t="shared" si="81"/>
        <v>0</v>
      </c>
    </row>
    <row r="1736" spans="1:21" ht="10.9" customHeight="1" x14ac:dyDescent="0.2">
      <c r="A1736" s="82" t="s">
        <v>2521</v>
      </c>
      <c r="B1736" s="83">
        <v>45869</v>
      </c>
      <c r="C1736" s="82" t="s">
        <v>3395</v>
      </c>
      <c r="D1736" s="82" t="s">
        <v>1830</v>
      </c>
      <c r="E1736" s="82"/>
      <c r="F1736" s="82" t="s">
        <v>5108</v>
      </c>
      <c r="G1736" s="89">
        <v>1</v>
      </c>
      <c r="H1736" s="89">
        <v>412.8</v>
      </c>
      <c r="I1736" s="85">
        <v>0</v>
      </c>
      <c r="J1736" s="85">
        <v>0</v>
      </c>
      <c r="K1736" s="85">
        <v>412.8</v>
      </c>
      <c r="L1736" s="85">
        <v>412.8</v>
      </c>
      <c r="M1736" s="89">
        <v>571.54645684118123</v>
      </c>
      <c r="N1736" s="85">
        <v>0</v>
      </c>
      <c r="O1736" s="85">
        <v>0</v>
      </c>
      <c r="P1736" s="85">
        <v>571.54645684118123</v>
      </c>
      <c r="Q1736" s="85">
        <v>571.54645684118123</v>
      </c>
      <c r="R1736" s="82" t="s">
        <v>3399</v>
      </c>
      <c r="S1736" s="7">
        <f t="shared" si="82"/>
        <v>0</v>
      </c>
      <c r="T1736" s="6">
        <f t="shared" si="83"/>
        <v>0</v>
      </c>
      <c r="U1736" s="25">
        <f t="shared" si="81"/>
        <v>0</v>
      </c>
    </row>
    <row r="1737" spans="1:21" ht="10.9" customHeight="1" x14ac:dyDescent="0.2">
      <c r="A1737" s="82" t="s">
        <v>2925</v>
      </c>
      <c r="B1737" s="83">
        <v>45870</v>
      </c>
      <c r="C1737" s="82" t="s">
        <v>3395</v>
      </c>
      <c r="D1737" s="82" t="s">
        <v>1123</v>
      </c>
      <c r="E1737" s="82"/>
      <c r="F1737" s="82" t="s">
        <v>4629</v>
      </c>
      <c r="G1737" s="89">
        <v>7</v>
      </c>
      <c r="H1737" s="89">
        <v>673.64</v>
      </c>
      <c r="I1737" s="85">
        <v>0</v>
      </c>
      <c r="J1737" s="85">
        <v>0</v>
      </c>
      <c r="K1737" s="85">
        <v>4715.4799999999996</v>
      </c>
      <c r="L1737" s="85">
        <v>5594.11</v>
      </c>
      <c r="M1737" s="89">
        <v>928.82168261720233</v>
      </c>
      <c r="N1737" s="85">
        <v>0</v>
      </c>
      <c r="O1737" s="85">
        <v>0</v>
      </c>
      <c r="P1737" s="85">
        <v>6501.7517783204166</v>
      </c>
      <c r="Q1737" s="85">
        <v>7713.2157575941419</v>
      </c>
      <c r="R1737" s="82" t="s">
        <v>3399</v>
      </c>
      <c r="S1737" s="7">
        <f t="shared" si="82"/>
        <v>0</v>
      </c>
      <c r="T1737" s="6">
        <f t="shared" si="83"/>
        <v>0</v>
      </c>
      <c r="U1737" s="25">
        <f t="shared" si="81"/>
        <v>0</v>
      </c>
    </row>
    <row r="1738" spans="1:21" ht="10.9" customHeight="1" x14ac:dyDescent="0.2">
      <c r="A1738" s="82" t="s">
        <v>2925</v>
      </c>
      <c r="B1738" s="83">
        <v>45870</v>
      </c>
      <c r="C1738" s="82" t="s">
        <v>3395</v>
      </c>
      <c r="D1738" s="82" t="s">
        <v>1123</v>
      </c>
      <c r="E1738" s="82"/>
      <c r="F1738" s="82" t="s">
        <v>4633</v>
      </c>
      <c r="G1738" s="89">
        <v>1</v>
      </c>
      <c r="H1738" s="89">
        <v>878.63</v>
      </c>
      <c r="I1738" s="85">
        <v>0</v>
      </c>
      <c r="J1738" s="85">
        <v>0</v>
      </c>
      <c r="K1738" s="85">
        <v>878.63</v>
      </c>
      <c r="L1738" s="85">
        <v>5594.11</v>
      </c>
      <c r="M1738" s="89">
        <v>1211.4639792737255</v>
      </c>
      <c r="N1738" s="85">
        <v>0</v>
      </c>
      <c r="O1738" s="85">
        <v>0</v>
      </c>
      <c r="P1738" s="85">
        <v>1211.4639792737255</v>
      </c>
      <c r="Q1738" s="85">
        <v>7713.2157575941419</v>
      </c>
      <c r="R1738" s="82" t="s">
        <v>3399</v>
      </c>
      <c r="S1738" s="7">
        <f t="shared" si="82"/>
        <v>0</v>
      </c>
      <c r="T1738" s="6">
        <f t="shared" si="83"/>
        <v>0</v>
      </c>
      <c r="U1738" s="25">
        <f t="shared" si="81"/>
        <v>0</v>
      </c>
    </row>
    <row r="1739" spans="1:21" ht="10.9" customHeight="1" x14ac:dyDescent="0.2">
      <c r="A1739" s="82" t="s">
        <v>2994</v>
      </c>
      <c r="B1739" s="83">
        <v>45870</v>
      </c>
      <c r="C1739" s="82" t="s">
        <v>3395</v>
      </c>
      <c r="D1739" s="82" t="s">
        <v>1008</v>
      </c>
      <c r="E1739" s="82"/>
      <c r="F1739" s="82" t="s">
        <v>5099</v>
      </c>
      <c r="G1739" s="89">
        <v>2</v>
      </c>
      <c r="H1739" s="89">
        <v>7003.27</v>
      </c>
      <c r="I1739" s="85">
        <v>0</v>
      </c>
      <c r="J1739" s="85">
        <v>0</v>
      </c>
      <c r="K1739" s="85">
        <v>14006.54</v>
      </c>
      <c r="L1739" s="85">
        <v>23887.63</v>
      </c>
      <c r="M1739" s="89">
        <v>9649.9396471424716</v>
      </c>
      <c r="N1739" s="85">
        <v>0</v>
      </c>
      <c r="O1739" s="85">
        <v>0</v>
      </c>
      <c r="P1739" s="85">
        <v>19299.879294284943</v>
      </c>
      <c r="Q1739" s="85">
        <v>32915.222148120796</v>
      </c>
      <c r="R1739" s="82" t="s">
        <v>3399</v>
      </c>
      <c r="S1739" s="7">
        <f t="shared" si="82"/>
        <v>0</v>
      </c>
      <c r="T1739" s="6">
        <f t="shared" si="83"/>
        <v>0</v>
      </c>
      <c r="U1739" s="25">
        <f t="shared" si="81"/>
        <v>0</v>
      </c>
    </row>
    <row r="1740" spans="1:21" ht="10.9" customHeight="1" x14ac:dyDescent="0.2">
      <c r="A1740" s="82" t="s">
        <v>2994</v>
      </c>
      <c r="B1740" s="83">
        <v>45870</v>
      </c>
      <c r="C1740" s="82" t="s">
        <v>3395</v>
      </c>
      <c r="D1740" s="82" t="s">
        <v>1008</v>
      </c>
      <c r="E1740" s="82"/>
      <c r="F1740" s="82" t="s">
        <v>5098</v>
      </c>
      <c r="G1740" s="89">
        <v>2</v>
      </c>
      <c r="H1740" s="89">
        <v>1178.95</v>
      </c>
      <c r="I1740" s="85">
        <v>0</v>
      </c>
      <c r="J1740" s="85">
        <v>0</v>
      </c>
      <c r="K1740" s="85">
        <v>2357.9</v>
      </c>
      <c r="L1740" s="85">
        <v>23887.63</v>
      </c>
      <c r="M1740" s="89">
        <v>1624.4977484801552</v>
      </c>
      <c r="N1740" s="85">
        <v>0</v>
      </c>
      <c r="O1740" s="85">
        <v>0</v>
      </c>
      <c r="P1740" s="85">
        <v>3248.9954969603104</v>
      </c>
      <c r="Q1740" s="85">
        <v>32915.222148120796</v>
      </c>
      <c r="R1740" s="82" t="s">
        <v>3399</v>
      </c>
      <c r="S1740" s="7">
        <f t="shared" si="82"/>
        <v>0</v>
      </c>
      <c r="T1740" s="6">
        <f t="shared" si="83"/>
        <v>0</v>
      </c>
      <c r="U1740" s="25">
        <f t="shared" si="81"/>
        <v>0</v>
      </c>
    </row>
    <row r="1741" spans="1:21" ht="10.9" customHeight="1" x14ac:dyDescent="0.2">
      <c r="A1741" s="82" t="s">
        <v>2994</v>
      </c>
      <c r="B1741" s="83">
        <v>45870</v>
      </c>
      <c r="C1741" s="82" t="s">
        <v>3395</v>
      </c>
      <c r="D1741" s="82" t="s">
        <v>1008</v>
      </c>
      <c r="E1741" s="82"/>
      <c r="F1741" s="82" t="s">
        <v>5097</v>
      </c>
      <c r="G1741" s="89">
        <v>2</v>
      </c>
      <c r="H1741" s="89">
        <v>1863.84</v>
      </c>
      <c r="I1741" s="85">
        <v>0</v>
      </c>
      <c r="J1741" s="85">
        <v>0</v>
      </c>
      <c r="K1741" s="85">
        <v>3727.68</v>
      </c>
      <c r="L1741" s="85">
        <v>23887.63</v>
      </c>
      <c r="M1741" s="89">
        <v>2568.2207757133488</v>
      </c>
      <c r="N1741" s="85">
        <v>0</v>
      </c>
      <c r="O1741" s="85">
        <v>0</v>
      </c>
      <c r="P1741" s="85">
        <v>5136.4415514266975</v>
      </c>
      <c r="Q1741" s="85">
        <v>32915.222148120796</v>
      </c>
      <c r="R1741" s="82" t="s">
        <v>3399</v>
      </c>
      <c r="S1741" s="7">
        <f t="shared" si="82"/>
        <v>0</v>
      </c>
      <c r="T1741" s="6">
        <f t="shared" si="83"/>
        <v>0</v>
      </c>
      <c r="U1741" s="25">
        <f t="shared" si="81"/>
        <v>0</v>
      </c>
    </row>
    <row r="1742" spans="1:21" ht="10.9" customHeight="1" x14ac:dyDescent="0.2">
      <c r="A1742" s="82" t="s">
        <v>2994</v>
      </c>
      <c r="B1742" s="83">
        <v>45870</v>
      </c>
      <c r="C1742" s="82" t="s">
        <v>3395</v>
      </c>
      <c r="D1742" s="82" t="s">
        <v>1008</v>
      </c>
      <c r="E1742" s="82"/>
      <c r="F1742" s="82" t="s">
        <v>5096</v>
      </c>
      <c r="G1742" s="89">
        <v>2</v>
      </c>
      <c r="H1742" s="89">
        <v>1017.2</v>
      </c>
      <c r="I1742" s="85">
        <v>0</v>
      </c>
      <c r="J1742" s="85">
        <v>0</v>
      </c>
      <c r="K1742" s="85">
        <v>2034.4</v>
      </c>
      <c r="L1742" s="85">
        <v>23887.63</v>
      </c>
      <c r="M1742" s="89">
        <v>1401.6193305517738</v>
      </c>
      <c r="N1742" s="85">
        <v>0</v>
      </c>
      <c r="O1742" s="85">
        <v>0</v>
      </c>
      <c r="P1742" s="85">
        <v>2803.2386611035477</v>
      </c>
      <c r="Q1742" s="85">
        <v>32915.222148120796</v>
      </c>
      <c r="R1742" s="82" t="s">
        <v>3399</v>
      </c>
      <c r="S1742" s="7">
        <f t="shared" si="82"/>
        <v>0</v>
      </c>
      <c r="T1742" s="6">
        <f t="shared" si="83"/>
        <v>0</v>
      </c>
      <c r="U1742" s="25">
        <f t="shared" si="81"/>
        <v>0</v>
      </c>
    </row>
    <row r="1743" spans="1:21" ht="10.9" customHeight="1" x14ac:dyDescent="0.2">
      <c r="A1743" s="82" t="s">
        <v>2994</v>
      </c>
      <c r="B1743" s="83">
        <v>45870</v>
      </c>
      <c r="C1743" s="82" t="s">
        <v>3395</v>
      </c>
      <c r="D1743" s="82" t="s">
        <v>1008</v>
      </c>
      <c r="E1743" s="82"/>
      <c r="F1743" s="82" t="s">
        <v>5095</v>
      </c>
      <c r="G1743" s="89">
        <v>2</v>
      </c>
      <c r="H1743" s="89">
        <v>29.85</v>
      </c>
      <c r="I1743" s="85">
        <v>0</v>
      </c>
      <c r="J1743" s="85">
        <v>0</v>
      </c>
      <c r="K1743" s="85">
        <v>59.7</v>
      </c>
      <c r="L1743" s="85">
        <v>23887.63</v>
      </c>
      <c r="M1743" s="89">
        <v>41.130885781528164</v>
      </c>
      <c r="N1743" s="85">
        <v>0</v>
      </c>
      <c r="O1743" s="85">
        <v>0</v>
      </c>
      <c r="P1743" s="85">
        <v>82.261771563056328</v>
      </c>
      <c r="Q1743" s="85">
        <v>32915.222148120796</v>
      </c>
      <c r="R1743" s="82" t="s">
        <v>3399</v>
      </c>
      <c r="S1743" s="7">
        <f t="shared" si="82"/>
        <v>0</v>
      </c>
      <c r="T1743" s="6">
        <f t="shared" si="83"/>
        <v>0</v>
      </c>
      <c r="U1743" s="25">
        <f t="shared" si="81"/>
        <v>0</v>
      </c>
    </row>
    <row r="1744" spans="1:21" ht="10.9" customHeight="1" x14ac:dyDescent="0.2">
      <c r="A1744" s="82" t="s">
        <v>2994</v>
      </c>
      <c r="B1744" s="83">
        <v>45870</v>
      </c>
      <c r="C1744" s="82" t="s">
        <v>3395</v>
      </c>
      <c r="D1744" s="82" t="s">
        <v>1008</v>
      </c>
      <c r="E1744" s="82"/>
      <c r="F1744" s="82" t="s">
        <v>4628</v>
      </c>
      <c r="G1744" s="89">
        <v>1</v>
      </c>
      <c r="H1744" s="89">
        <v>1701.41</v>
      </c>
      <c r="I1744" s="85">
        <v>0</v>
      </c>
      <c r="J1744" s="85">
        <v>0</v>
      </c>
      <c r="K1744" s="85">
        <v>1701.41</v>
      </c>
      <c r="L1744" s="85">
        <v>23887.63</v>
      </c>
      <c r="M1744" s="89">
        <v>2344.4053727822393</v>
      </c>
      <c r="N1744" s="85">
        <v>0</v>
      </c>
      <c r="O1744" s="85">
        <v>0</v>
      </c>
      <c r="P1744" s="85">
        <v>2344.4053727822393</v>
      </c>
      <c r="Q1744" s="85">
        <v>32915.222148120796</v>
      </c>
      <c r="R1744" s="82" t="s">
        <v>3399</v>
      </c>
      <c r="S1744" s="7">
        <f t="shared" si="82"/>
        <v>0</v>
      </c>
      <c r="T1744" s="6">
        <f t="shared" si="83"/>
        <v>0</v>
      </c>
      <c r="U1744" s="25">
        <f t="shared" si="81"/>
        <v>0</v>
      </c>
    </row>
    <row r="1745" spans="1:21" ht="10.9" customHeight="1" x14ac:dyDescent="0.2">
      <c r="A1745" s="82" t="s">
        <v>2827</v>
      </c>
      <c r="B1745" s="83">
        <v>45870</v>
      </c>
      <c r="C1745" s="82" t="s">
        <v>3395</v>
      </c>
      <c r="D1745" s="82" t="s">
        <v>1290</v>
      </c>
      <c r="E1745" s="82"/>
      <c r="F1745" s="82" t="s">
        <v>5030</v>
      </c>
      <c r="G1745" s="89">
        <v>4</v>
      </c>
      <c r="H1745" s="89">
        <v>212.93</v>
      </c>
      <c r="I1745" s="85">
        <v>17.03</v>
      </c>
      <c r="J1745" s="85">
        <v>0</v>
      </c>
      <c r="K1745" s="85">
        <v>834.69</v>
      </c>
      <c r="L1745" s="85">
        <v>4378.96</v>
      </c>
      <c r="M1745" s="89">
        <v>293.40031857490095</v>
      </c>
      <c r="N1745" s="85">
        <v>23.465962641856773</v>
      </c>
      <c r="O1745" s="85">
        <v>0</v>
      </c>
      <c r="P1745" s="85">
        <v>1150.135311657747</v>
      </c>
      <c r="Q1745" s="85">
        <v>6033.852716980924</v>
      </c>
      <c r="R1745" s="82" t="s">
        <v>3399</v>
      </c>
      <c r="S1745" s="7">
        <f t="shared" si="82"/>
        <v>0</v>
      </c>
      <c r="T1745" s="6">
        <f t="shared" si="83"/>
        <v>0</v>
      </c>
      <c r="U1745" s="25">
        <f t="shared" si="81"/>
        <v>0</v>
      </c>
    </row>
    <row r="1746" spans="1:21" ht="10.9" customHeight="1" x14ac:dyDescent="0.2">
      <c r="A1746" s="82" t="s">
        <v>2827</v>
      </c>
      <c r="B1746" s="83">
        <v>45870</v>
      </c>
      <c r="C1746" s="82" t="s">
        <v>3395</v>
      </c>
      <c r="D1746" s="82" t="s">
        <v>1290</v>
      </c>
      <c r="E1746" s="82"/>
      <c r="F1746" s="82" t="s">
        <v>5094</v>
      </c>
      <c r="G1746" s="89">
        <v>4</v>
      </c>
      <c r="H1746" s="89">
        <v>904.15</v>
      </c>
      <c r="I1746" s="85">
        <v>72.33</v>
      </c>
      <c r="J1746" s="85">
        <v>0</v>
      </c>
      <c r="K1746" s="85">
        <v>3544.27</v>
      </c>
      <c r="L1746" s="85">
        <v>4378.96</v>
      </c>
      <c r="M1746" s="89">
        <v>1245.8455738481973</v>
      </c>
      <c r="N1746" s="85">
        <v>99.664890069612468</v>
      </c>
      <c r="O1746" s="85">
        <v>0</v>
      </c>
      <c r="P1746" s="85">
        <v>4883.7174053231774</v>
      </c>
      <c r="Q1746" s="85">
        <v>6033.852716980924</v>
      </c>
      <c r="R1746" s="82" t="s">
        <v>3399</v>
      </c>
      <c r="S1746" s="7">
        <f t="shared" si="82"/>
        <v>0</v>
      </c>
      <c r="T1746" s="6">
        <f t="shared" si="83"/>
        <v>0</v>
      </c>
      <c r="U1746" s="25">
        <f t="shared" si="81"/>
        <v>0</v>
      </c>
    </row>
    <row r="1747" spans="1:21" ht="10.9" customHeight="1" x14ac:dyDescent="0.2">
      <c r="A1747" s="82" t="s">
        <v>2864</v>
      </c>
      <c r="B1747" s="83">
        <v>45870</v>
      </c>
      <c r="C1747" s="82" t="s">
        <v>3395</v>
      </c>
      <c r="D1747" s="82" t="s">
        <v>1226</v>
      </c>
      <c r="E1747" s="82"/>
      <c r="F1747" s="82" t="s">
        <v>5093</v>
      </c>
      <c r="G1747" s="89">
        <v>1</v>
      </c>
      <c r="H1747" s="89">
        <v>267.5</v>
      </c>
      <c r="I1747" s="85">
        <v>0</v>
      </c>
      <c r="J1747" s="85">
        <v>0</v>
      </c>
      <c r="K1747" s="85">
        <v>267.5</v>
      </c>
      <c r="L1747" s="85">
        <v>267.5</v>
      </c>
      <c r="M1747" s="89">
        <v>368.59336504384538</v>
      </c>
      <c r="N1747" s="85">
        <v>0</v>
      </c>
      <c r="O1747" s="85">
        <v>0</v>
      </c>
      <c r="P1747" s="85">
        <v>368.59336504384538</v>
      </c>
      <c r="Q1747" s="85">
        <v>368.59336504384538</v>
      </c>
      <c r="R1747" s="82" t="s">
        <v>4511</v>
      </c>
      <c r="S1747" s="7">
        <f t="shared" si="82"/>
        <v>0</v>
      </c>
      <c r="T1747" s="6">
        <f t="shared" si="83"/>
        <v>0</v>
      </c>
      <c r="U1747" s="25">
        <f t="shared" si="81"/>
        <v>0</v>
      </c>
    </row>
    <row r="1748" spans="1:21" ht="10.9" customHeight="1" x14ac:dyDescent="0.2">
      <c r="A1748" s="82" t="s">
        <v>2996</v>
      </c>
      <c r="B1748" s="83">
        <v>45870</v>
      </c>
      <c r="C1748" s="82" t="s">
        <v>3395</v>
      </c>
      <c r="D1748" s="82" t="s">
        <v>1006</v>
      </c>
      <c r="E1748" s="82"/>
      <c r="F1748" s="82" t="s">
        <v>5092</v>
      </c>
      <c r="G1748" s="89">
        <v>6</v>
      </c>
      <c r="H1748" s="89">
        <v>329.06</v>
      </c>
      <c r="I1748" s="85">
        <v>0</v>
      </c>
      <c r="J1748" s="85">
        <v>0</v>
      </c>
      <c r="K1748" s="85">
        <v>1974.36</v>
      </c>
      <c r="L1748" s="85">
        <v>34777.160000000003</v>
      </c>
      <c r="M1748" s="89">
        <v>453.41806617318792</v>
      </c>
      <c r="N1748" s="85">
        <v>0</v>
      </c>
      <c r="O1748" s="85">
        <v>0</v>
      </c>
      <c r="P1748" s="85">
        <v>2720.5083970391274</v>
      </c>
      <c r="Q1748" s="85">
        <v>47920.113761002685</v>
      </c>
      <c r="R1748" s="82" t="s">
        <v>3399</v>
      </c>
      <c r="S1748" s="7">
        <f t="shared" si="82"/>
        <v>0</v>
      </c>
      <c r="T1748" s="6">
        <f t="shared" si="83"/>
        <v>0</v>
      </c>
      <c r="U1748" s="25">
        <f t="shared" si="81"/>
        <v>0</v>
      </c>
    </row>
    <row r="1749" spans="1:21" ht="10.9" customHeight="1" x14ac:dyDescent="0.2">
      <c r="A1749" s="82" t="s">
        <v>2996</v>
      </c>
      <c r="B1749" s="83">
        <v>45870</v>
      </c>
      <c r="C1749" s="82" t="s">
        <v>3395</v>
      </c>
      <c r="D1749" s="82" t="s">
        <v>1006</v>
      </c>
      <c r="E1749" s="82"/>
      <c r="F1749" s="82" t="s">
        <v>5091</v>
      </c>
      <c r="G1749" s="89">
        <v>2</v>
      </c>
      <c r="H1749" s="89">
        <v>2603.9299999999998</v>
      </c>
      <c r="I1749" s="85">
        <v>0</v>
      </c>
      <c r="J1749" s="85">
        <v>0</v>
      </c>
      <c r="K1749" s="85">
        <v>5207.8599999999997</v>
      </c>
      <c r="L1749" s="85">
        <v>34777.160000000003</v>
      </c>
      <c r="M1749" s="89">
        <v>3588.004938462132</v>
      </c>
      <c r="N1749" s="85">
        <v>0</v>
      </c>
      <c r="O1749" s="85">
        <v>0</v>
      </c>
      <c r="P1749" s="85">
        <v>7176.0098769242641</v>
      </c>
      <c r="Q1749" s="85">
        <v>47920.113761002685</v>
      </c>
      <c r="R1749" s="82" t="s">
        <v>3399</v>
      </c>
      <c r="S1749" s="7">
        <f t="shared" si="82"/>
        <v>0</v>
      </c>
      <c r="T1749" s="6">
        <f t="shared" si="83"/>
        <v>0</v>
      </c>
      <c r="U1749" s="25">
        <f t="shared" si="81"/>
        <v>0</v>
      </c>
    </row>
    <row r="1750" spans="1:21" ht="10.9" customHeight="1" x14ac:dyDescent="0.2">
      <c r="A1750" s="82" t="s">
        <v>2996</v>
      </c>
      <c r="B1750" s="83">
        <v>45870</v>
      </c>
      <c r="C1750" s="82" t="s">
        <v>3395</v>
      </c>
      <c r="D1750" s="82" t="s">
        <v>1006</v>
      </c>
      <c r="E1750" s="82"/>
      <c r="F1750" s="82" t="s">
        <v>5090</v>
      </c>
      <c r="G1750" s="89">
        <v>2</v>
      </c>
      <c r="H1750" s="89">
        <v>1357.07</v>
      </c>
      <c r="I1750" s="85">
        <v>0</v>
      </c>
      <c r="J1750" s="85">
        <v>0</v>
      </c>
      <c r="K1750" s="85">
        <v>2714.14</v>
      </c>
      <c r="L1750" s="85">
        <v>34777.160000000003</v>
      </c>
      <c r="M1750" s="89">
        <v>1869.9327024300981</v>
      </c>
      <c r="N1750" s="85">
        <v>0</v>
      </c>
      <c r="O1750" s="85">
        <v>0</v>
      </c>
      <c r="P1750" s="85">
        <v>3739.8654048601961</v>
      </c>
      <c r="Q1750" s="85">
        <v>47920.113761002685</v>
      </c>
      <c r="R1750" s="82" t="s">
        <v>3399</v>
      </c>
      <c r="S1750" s="7">
        <f t="shared" si="82"/>
        <v>0</v>
      </c>
      <c r="T1750" s="6">
        <f t="shared" si="83"/>
        <v>0</v>
      </c>
      <c r="U1750" s="25">
        <f t="shared" si="81"/>
        <v>0</v>
      </c>
    </row>
    <row r="1751" spans="1:21" ht="10.9" customHeight="1" x14ac:dyDescent="0.2">
      <c r="A1751" s="82" t="s">
        <v>2996</v>
      </c>
      <c r="B1751" s="83">
        <v>45870</v>
      </c>
      <c r="C1751" s="82" t="s">
        <v>3395</v>
      </c>
      <c r="D1751" s="82" t="s">
        <v>1006</v>
      </c>
      <c r="E1751" s="82"/>
      <c r="F1751" s="82" t="s">
        <v>5089</v>
      </c>
      <c r="G1751" s="89">
        <v>2</v>
      </c>
      <c r="H1751" s="89">
        <v>221.69</v>
      </c>
      <c r="I1751" s="85">
        <v>0</v>
      </c>
      <c r="J1751" s="85">
        <v>0</v>
      </c>
      <c r="K1751" s="85">
        <v>443.38</v>
      </c>
      <c r="L1751" s="85">
        <v>34777.160000000003</v>
      </c>
      <c r="M1751" s="89">
        <v>305.47089008063585</v>
      </c>
      <c r="N1751" s="85">
        <v>0</v>
      </c>
      <c r="O1751" s="85">
        <v>0</v>
      </c>
      <c r="P1751" s="85">
        <v>610.94178016127171</v>
      </c>
      <c r="Q1751" s="85">
        <v>47920.113761002685</v>
      </c>
      <c r="R1751" s="82" t="s">
        <v>3399</v>
      </c>
      <c r="S1751" s="7">
        <f t="shared" si="82"/>
        <v>0</v>
      </c>
      <c r="T1751" s="6">
        <f t="shared" si="83"/>
        <v>0</v>
      </c>
      <c r="U1751" s="25">
        <f t="shared" si="81"/>
        <v>0</v>
      </c>
    </row>
    <row r="1752" spans="1:21" ht="10.9" customHeight="1" x14ac:dyDescent="0.2">
      <c r="A1752" s="82" t="s">
        <v>2996</v>
      </c>
      <c r="B1752" s="83">
        <v>45870</v>
      </c>
      <c r="C1752" s="82" t="s">
        <v>3395</v>
      </c>
      <c r="D1752" s="82" t="s">
        <v>1006</v>
      </c>
      <c r="E1752" s="82"/>
      <c r="F1752" s="82" t="s">
        <v>4632</v>
      </c>
      <c r="G1752" s="89">
        <v>1</v>
      </c>
      <c r="H1752" s="89">
        <v>22338.5</v>
      </c>
      <c r="I1752" s="85">
        <v>0</v>
      </c>
      <c r="J1752" s="85">
        <v>0</v>
      </c>
      <c r="K1752" s="85">
        <v>22338.5</v>
      </c>
      <c r="L1752" s="85">
        <v>34777.160000000003</v>
      </c>
      <c r="M1752" s="89">
        <v>30780.646299184824</v>
      </c>
      <c r="N1752" s="85">
        <v>0</v>
      </c>
      <c r="O1752" s="85">
        <v>0</v>
      </c>
      <c r="P1752" s="85">
        <v>30780.646299184824</v>
      </c>
      <c r="Q1752" s="85">
        <v>47920.113761002685</v>
      </c>
      <c r="R1752" s="82" t="s">
        <v>3399</v>
      </c>
      <c r="S1752" s="7">
        <f t="shared" si="82"/>
        <v>0</v>
      </c>
      <c r="T1752" s="6">
        <f t="shared" si="83"/>
        <v>0</v>
      </c>
      <c r="U1752" s="25">
        <f t="shared" si="81"/>
        <v>0</v>
      </c>
    </row>
    <row r="1753" spans="1:21" ht="10.9" customHeight="1" x14ac:dyDescent="0.2">
      <c r="A1753" s="82" t="s">
        <v>2996</v>
      </c>
      <c r="B1753" s="83">
        <v>45870</v>
      </c>
      <c r="C1753" s="82" t="s">
        <v>3395</v>
      </c>
      <c r="D1753" s="82" t="s">
        <v>1006</v>
      </c>
      <c r="E1753" s="82"/>
      <c r="F1753" s="82" t="s">
        <v>5088</v>
      </c>
      <c r="G1753" s="89">
        <v>1</v>
      </c>
      <c r="H1753" s="89">
        <v>998.44</v>
      </c>
      <c r="I1753" s="85">
        <v>0</v>
      </c>
      <c r="J1753" s="85">
        <v>0</v>
      </c>
      <c r="K1753" s="85">
        <v>998.44</v>
      </c>
      <c r="L1753" s="85">
        <v>34777.160000000003</v>
      </c>
      <c r="M1753" s="89">
        <v>1375.7695678294467</v>
      </c>
      <c r="N1753" s="85">
        <v>0</v>
      </c>
      <c r="O1753" s="85">
        <v>0</v>
      </c>
      <c r="P1753" s="85">
        <v>1375.7695678294467</v>
      </c>
      <c r="Q1753" s="85">
        <v>47920.113761002685</v>
      </c>
      <c r="R1753" s="82" t="s">
        <v>3399</v>
      </c>
      <c r="S1753" s="7">
        <f t="shared" si="82"/>
        <v>0</v>
      </c>
      <c r="T1753" s="6">
        <f t="shared" si="83"/>
        <v>0</v>
      </c>
      <c r="U1753" s="25">
        <f t="shared" si="81"/>
        <v>0</v>
      </c>
    </row>
    <row r="1754" spans="1:21" ht="10.9" customHeight="1" x14ac:dyDescent="0.2">
      <c r="A1754" s="82" t="s">
        <v>2996</v>
      </c>
      <c r="B1754" s="83">
        <v>45870</v>
      </c>
      <c r="C1754" s="82" t="s">
        <v>3395</v>
      </c>
      <c r="D1754" s="82" t="s">
        <v>1006</v>
      </c>
      <c r="E1754" s="82"/>
      <c r="F1754" s="82" t="s">
        <v>5087</v>
      </c>
      <c r="G1754" s="89">
        <v>1</v>
      </c>
      <c r="H1754" s="89">
        <v>1100.48</v>
      </c>
      <c r="I1754" s="85">
        <v>0</v>
      </c>
      <c r="J1754" s="85">
        <v>0</v>
      </c>
      <c r="K1754" s="85">
        <v>1100.48</v>
      </c>
      <c r="L1754" s="85">
        <v>34777.160000000003</v>
      </c>
      <c r="M1754" s="89">
        <v>1516.372435003555</v>
      </c>
      <c r="N1754" s="85">
        <v>0</v>
      </c>
      <c r="O1754" s="85">
        <v>0</v>
      </c>
      <c r="P1754" s="85">
        <v>1516.372435003555</v>
      </c>
      <c r="Q1754" s="85">
        <v>47920.113761002685</v>
      </c>
      <c r="R1754" s="82" t="s">
        <v>3399</v>
      </c>
      <c r="S1754" s="7">
        <f t="shared" si="82"/>
        <v>0</v>
      </c>
      <c r="T1754" s="6">
        <f t="shared" si="83"/>
        <v>0</v>
      </c>
      <c r="U1754" s="25">
        <f t="shared" si="81"/>
        <v>0</v>
      </c>
    </row>
    <row r="1755" spans="1:21" ht="10.9" customHeight="1" x14ac:dyDescent="0.2">
      <c r="A1755" s="82" t="s">
        <v>2987</v>
      </c>
      <c r="B1755" s="83">
        <v>45870</v>
      </c>
      <c r="C1755" s="82" t="s">
        <v>3395</v>
      </c>
      <c r="D1755" s="82" t="s">
        <v>3489</v>
      </c>
      <c r="E1755" s="82"/>
      <c r="F1755" s="82" t="s">
        <v>4545</v>
      </c>
      <c r="G1755" s="89">
        <v>1</v>
      </c>
      <c r="H1755" s="89">
        <v>6525.1</v>
      </c>
      <c r="I1755" s="85">
        <v>0</v>
      </c>
      <c r="J1755" s="85">
        <v>0</v>
      </c>
      <c r="K1755" s="85">
        <v>6525.1</v>
      </c>
      <c r="L1755" s="85">
        <v>11012.48</v>
      </c>
      <c r="M1755" s="89">
        <v>8991.060060738675</v>
      </c>
      <c r="N1755" s="85">
        <v>0</v>
      </c>
      <c r="O1755" s="85">
        <v>0</v>
      </c>
      <c r="P1755" s="85">
        <v>8991.060060738675</v>
      </c>
      <c r="Q1755" s="85">
        <v>15174.306768889894</v>
      </c>
      <c r="R1755" s="82" t="s">
        <v>3399</v>
      </c>
      <c r="S1755" s="7">
        <f t="shared" si="82"/>
        <v>0</v>
      </c>
      <c r="T1755" s="6">
        <f t="shared" si="83"/>
        <v>0</v>
      </c>
      <c r="U1755" s="25">
        <f t="shared" si="81"/>
        <v>0</v>
      </c>
    </row>
    <row r="1756" spans="1:21" ht="10.9" customHeight="1" x14ac:dyDescent="0.2">
      <c r="A1756" s="82" t="s">
        <v>2987</v>
      </c>
      <c r="B1756" s="83">
        <v>45870</v>
      </c>
      <c r="C1756" s="82" t="s">
        <v>3395</v>
      </c>
      <c r="D1756" s="82" t="s">
        <v>3489</v>
      </c>
      <c r="E1756" s="82"/>
      <c r="F1756" s="82" t="s">
        <v>4544</v>
      </c>
      <c r="G1756" s="89">
        <v>1</v>
      </c>
      <c r="H1756" s="89">
        <v>2248.12</v>
      </c>
      <c r="I1756" s="85">
        <v>0</v>
      </c>
      <c r="J1756" s="85">
        <v>0</v>
      </c>
      <c r="K1756" s="85">
        <v>2248.12</v>
      </c>
      <c r="L1756" s="85">
        <v>11012.48</v>
      </c>
      <c r="M1756" s="89">
        <v>3097.7275357845597</v>
      </c>
      <c r="N1756" s="85">
        <v>0</v>
      </c>
      <c r="O1756" s="85">
        <v>0</v>
      </c>
      <c r="P1756" s="85">
        <v>3097.7275357845597</v>
      </c>
      <c r="Q1756" s="85">
        <v>15174.306768889894</v>
      </c>
      <c r="R1756" s="82" t="s">
        <v>3399</v>
      </c>
      <c r="S1756" s="7">
        <f t="shared" si="82"/>
        <v>0</v>
      </c>
      <c r="T1756" s="6">
        <f t="shared" si="83"/>
        <v>0</v>
      </c>
      <c r="U1756" s="25">
        <f t="shared" si="81"/>
        <v>0</v>
      </c>
    </row>
    <row r="1757" spans="1:21" ht="10.9" customHeight="1" x14ac:dyDescent="0.2">
      <c r="A1757" s="82" t="s">
        <v>2987</v>
      </c>
      <c r="B1757" s="83">
        <v>45870</v>
      </c>
      <c r="C1757" s="82" t="s">
        <v>3395</v>
      </c>
      <c r="D1757" s="82" t="s">
        <v>3489</v>
      </c>
      <c r="E1757" s="82"/>
      <c r="F1757" s="82" t="s">
        <v>5086</v>
      </c>
      <c r="G1757" s="89">
        <v>1</v>
      </c>
      <c r="H1757" s="89">
        <v>2131.27</v>
      </c>
      <c r="I1757" s="85">
        <v>0</v>
      </c>
      <c r="J1757" s="85">
        <v>0</v>
      </c>
      <c r="K1757" s="85">
        <v>2131.27</v>
      </c>
      <c r="L1757" s="85">
        <v>11012.48</v>
      </c>
      <c r="M1757" s="89">
        <v>2936.7176864186781</v>
      </c>
      <c r="N1757" s="85">
        <v>0</v>
      </c>
      <c r="O1757" s="85">
        <v>0</v>
      </c>
      <c r="P1757" s="85">
        <v>2936.7176864186781</v>
      </c>
      <c r="Q1757" s="85">
        <v>15174.306768889894</v>
      </c>
      <c r="R1757" s="82" t="s">
        <v>3399</v>
      </c>
      <c r="S1757" s="7">
        <f t="shared" si="82"/>
        <v>0</v>
      </c>
      <c r="T1757" s="6">
        <f t="shared" si="83"/>
        <v>0</v>
      </c>
      <c r="U1757" s="25">
        <f t="shared" si="81"/>
        <v>0</v>
      </c>
    </row>
    <row r="1758" spans="1:21" ht="10.9" customHeight="1" x14ac:dyDescent="0.2">
      <c r="A1758" s="82" t="s">
        <v>2987</v>
      </c>
      <c r="B1758" s="83">
        <v>45870</v>
      </c>
      <c r="C1758" s="82" t="s">
        <v>3395</v>
      </c>
      <c r="D1758" s="82" t="s">
        <v>3489</v>
      </c>
      <c r="E1758" s="82"/>
      <c r="F1758" s="82" t="s">
        <v>4542</v>
      </c>
      <c r="G1758" s="89">
        <v>1</v>
      </c>
      <c r="H1758" s="89">
        <v>107.99</v>
      </c>
      <c r="I1758" s="85">
        <v>0</v>
      </c>
      <c r="J1758" s="85">
        <v>0</v>
      </c>
      <c r="K1758" s="85">
        <v>107.99</v>
      </c>
      <c r="L1758" s="85">
        <v>11012.48</v>
      </c>
      <c r="M1758" s="89">
        <v>148.80148594798081</v>
      </c>
      <c r="N1758" s="85">
        <v>0</v>
      </c>
      <c r="O1758" s="85">
        <v>0</v>
      </c>
      <c r="P1758" s="85">
        <v>148.80148594798081</v>
      </c>
      <c r="Q1758" s="85">
        <v>15174.306768889894</v>
      </c>
      <c r="R1758" s="82" t="s">
        <v>3399</v>
      </c>
      <c r="S1758" s="7">
        <f t="shared" si="82"/>
        <v>0</v>
      </c>
      <c r="T1758" s="6">
        <f t="shared" si="83"/>
        <v>0</v>
      </c>
      <c r="U1758" s="25">
        <f t="shared" si="81"/>
        <v>0</v>
      </c>
    </row>
    <row r="1759" spans="1:21" ht="10.9" customHeight="1" x14ac:dyDescent="0.2">
      <c r="A1759" s="82" t="s">
        <v>5082</v>
      </c>
      <c r="B1759" s="83">
        <v>45873</v>
      </c>
      <c r="C1759" s="82" t="s">
        <v>3398</v>
      </c>
      <c r="D1759" s="82" t="s">
        <v>5081</v>
      </c>
      <c r="E1759" s="82"/>
      <c r="F1759" s="82" t="s">
        <v>4892</v>
      </c>
      <c r="G1759" s="89">
        <v>-1</v>
      </c>
      <c r="H1759" s="89">
        <v>6198.75</v>
      </c>
      <c r="I1759" s="85">
        <v>0</v>
      </c>
      <c r="J1759" s="85">
        <v>0</v>
      </c>
      <c r="K1759" s="85">
        <v>-6198.75</v>
      </c>
      <c r="L1759" s="85">
        <v>-6198.75</v>
      </c>
      <c r="M1759" s="89">
        <v>8544.7317309190057</v>
      </c>
      <c r="N1759" s="85">
        <v>0</v>
      </c>
      <c r="O1759" s="85">
        <v>0</v>
      </c>
      <c r="P1759" s="85">
        <v>-8544.7317309190057</v>
      </c>
      <c r="Q1759" s="85">
        <v>-8544.7317309190057</v>
      </c>
      <c r="R1759" s="82" t="s">
        <v>4511</v>
      </c>
      <c r="S1759" s="7">
        <f t="shared" si="82"/>
        <v>0</v>
      </c>
      <c r="T1759" s="6">
        <f t="shared" si="83"/>
        <v>0</v>
      </c>
      <c r="U1759" s="25">
        <f t="shared" si="81"/>
        <v>0</v>
      </c>
    </row>
    <row r="1760" spans="1:21" ht="10.9" customHeight="1" x14ac:dyDescent="0.2">
      <c r="A1760" s="82" t="s">
        <v>3044</v>
      </c>
      <c r="B1760" s="83">
        <v>45873</v>
      </c>
      <c r="C1760" s="82" t="s">
        <v>3395</v>
      </c>
      <c r="D1760" s="82" t="s">
        <v>3488</v>
      </c>
      <c r="E1760" s="82"/>
      <c r="F1760" s="82" t="s">
        <v>5085</v>
      </c>
      <c r="G1760" s="89">
        <v>2</v>
      </c>
      <c r="H1760" s="89">
        <v>1759.88</v>
      </c>
      <c r="I1760" s="85">
        <v>0</v>
      </c>
      <c r="J1760" s="85">
        <v>0</v>
      </c>
      <c r="K1760" s="85">
        <v>3519.76</v>
      </c>
      <c r="L1760" s="85">
        <v>8960.35</v>
      </c>
      <c r="M1760" s="89">
        <v>2425.71432509545</v>
      </c>
      <c r="N1760" s="85">
        <v>0</v>
      </c>
      <c r="O1760" s="85">
        <v>0</v>
      </c>
      <c r="P1760" s="85">
        <v>4851.4286501909</v>
      </c>
      <c r="Q1760" s="85">
        <v>12350.41556973715</v>
      </c>
      <c r="R1760" s="82" t="s">
        <v>3399</v>
      </c>
      <c r="S1760" s="7">
        <f t="shared" si="82"/>
        <v>0</v>
      </c>
      <c r="T1760" s="6">
        <f t="shared" si="83"/>
        <v>0</v>
      </c>
      <c r="U1760" s="25">
        <f t="shared" si="81"/>
        <v>0</v>
      </c>
    </row>
    <row r="1761" spans="1:21" ht="10.9" customHeight="1" x14ac:dyDescent="0.2">
      <c r="A1761" s="82" t="s">
        <v>3044</v>
      </c>
      <c r="B1761" s="83">
        <v>45873</v>
      </c>
      <c r="C1761" s="82" t="s">
        <v>3395</v>
      </c>
      <c r="D1761" s="82" t="s">
        <v>3488</v>
      </c>
      <c r="E1761" s="82"/>
      <c r="F1761" s="82" t="s">
        <v>5084</v>
      </c>
      <c r="G1761" s="89">
        <v>1</v>
      </c>
      <c r="H1761" s="89">
        <v>3678.11</v>
      </c>
      <c r="I1761" s="85">
        <v>0</v>
      </c>
      <c r="J1761" s="85">
        <v>0</v>
      </c>
      <c r="K1761" s="85">
        <v>3678.11</v>
      </c>
      <c r="L1761" s="85">
        <v>8960.35</v>
      </c>
      <c r="M1761" s="89">
        <v>5069.6889084919576</v>
      </c>
      <c r="N1761" s="85">
        <v>0</v>
      </c>
      <c r="O1761" s="85">
        <v>0</v>
      </c>
      <c r="P1761" s="85">
        <v>5069.6889084919576</v>
      </c>
      <c r="Q1761" s="85">
        <v>12350.41556973715</v>
      </c>
      <c r="R1761" s="82" t="s">
        <v>3399</v>
      </c>
      <c r="S1761" s="7">
        <f t="shared" si="82"/>
        <v>0</v>
      </c>
      <c r="T1761" s="6">
        <f t="shared" si="83"/>
        <v>0</v>
      </c>
      <c r="U1761" s="25">
        <f t="shared" si="81"/>
        <v>0</v>
      </c>
    </row>
    <row r="1762" spans="1:21" ht="10.9" customHeight="1" x14ac:dyDescent="0.2">
      <c r="A1762" s="82" t="s">
        <v>3044</v>
      </c>
      <c r="B1762" s="83">
        <v>45873</v>
      </c>
      <c r="C1762" s="82" t="s">
        <v>3395</v>
      </c>
      <c r="D1762" s="82" t="s">
        <v>3488</v>
      </c>
      <c r="E1762" s="82"/>
      <c r="F1762" s="82" t="s">
        <v>5083</v>
      </c>
      <c r="G1762" s="89">
        <v>1</v>
      </c>
      <c r="H1762" s="89">
        <v>1168.48</v>
      </c>
      <c r="I1762" s="85">
        <v>0</v>
      </c>
      <c r="J1762" s="85">
        <v>0</v>
      </c>
      <c r="K1762" s="85">
        <v>1168.48</v>
      </c>
      <c r="L1762" s="85">
        <v>8960.35</v>
      </c>
      <c r="M1762" s="89">
        <v>1610.5636035340656</v>
      </c>
      <c r="N1762" s="85">
        <v>0</v>
      </c>
      <c r="O1762" s="85">
        <v>0</v>
      </c>
      <c r="P1762" s="85">
        <v>1610.5636035340656</v>
      </c>
      <c r="Q1762" s="85">
        <v>12350.41556973715</v>
      </c>
      <c r="R1762" s="82" t="s">
        <v>3399</v>
      </c>
      <c r="S1762" s="7">
        <f t="shared" si="82"/>
        <v>0</v>
      </c>
      <c r="T1762" s="6">
        <f t="shared" si="83"/>
        <v>0</v>
      </c>
      <c r="U1762" s="25">
        <f t="shared" si="81"/>
        <v>0</v>
      </c>
    </row>
    <row r="1763" spans="1:21" ht="10.9" customHeight="1" x14ac:dyDescent="0.2">
      <c r="A1763" s="82" t="s">
        <v>3044</v>
      </c>
      <c r="B1763" s="83">
        <v>45873</v>
      </c>
      <c r="C1763" s="82" t="s">
        <v>3395</v>
      </c>
      <c r="D1763" s="82" t="s">
        <v>3488</v>
      </c>
      <c r="E1763" s="82"/>
      <c r="F1763" s="82" t="s">
        <v>4393</v>
      </c>
      <c r="G1763" s="89">
        <v>1</v>
      </c>
      <c r="H1763" s="89">
        <v>594</v>
      </c>
      <c r="I1763" s="85">
        <v>0</v>
      </c>
      <c r="J1763" s="85">
        <v>0</v>
      </c>
      <c r="K1763" s="85">
        <v>594</v>
      </c>
      <c r="L1763" s="85">
        <v>8960.35</v>
      </c>
      <c r="M1763" s="89">
        <v>818.73440752022714</v>
      </c>
      <c r="N1763" s="85">
        <v>0</v>
      </c>
      <c r="O1763" s="85">
        <v>0</v>
      </c>
      <c r="P1763" s="85">
        <v>818.73440752022714</v>
      </c>
      <c r="Q1763" s="85">
        <v>12350.41556973715</v>
      </c>
      <c r="R1763" s="82" t="s">
        <v>3399</v>
      </c>
      <c r="S1763" s="7" t="str">
        <f t="shared" si="82"/>
        <v>INV13254</v>
      </c>
      <c r="T1763" s="6">
        <f t="shared" si="83"/>
        <v>1</v>
      </c>
      <c r="U1763" s="25">
        <f t="shared" si="81"/>
        <v>594</v>
      </c>
    </row>
    <row r="1764" spans="1:21" ht="10.9" customHeight="1" x14ac:dyDescent="0.2">
      <c r="A1764" s="82"/>
      <c r="B1764" s="83">
        <v>45873</v>
      </c>
      <c r="C1764" s="82" t="s">
        <v>3423</v>
      </c>
      <c r="D1764" s="82" t="s">
        <v>984</v>
      </c>
      <c r="E1764" s="82"/>
      <c r="F1764" s="82" t="s">
        <v>984</v>
      </c>
      <c r="G1764" s="89">
        <v>-1</v>
      </c>
      <c r="H1764" s="89">
        <v>6521.75</v>
      </c>
      <c r="I1764" s="85">
        <v>0</v>
      </c>
      <c r="J1764" s="85">
        <v>0</v>
      </c>
      <c r="K1764" s="85">
        <v>-6521.75</v>
      </c>
      <c r="L1764" s="85">
        <v>-6521.75</v>
      </c>
      <c r="M1764" s="89">
        <v>8989.9744571278115</v>
      </c>
      <c r="N1764" s="85">
        <v>0</v>
      </c>
      <c r="O1764" s="85">
        <v>0</v>
      </c>
      <c r="P1764" s="85">
        <v>-8989.9744571278115</v>
      </c>
      <c r="Q1764" s="85">
        <v>-8989.9744571278115</v>
      </c>
      <c r="R1764" s="82" t="s">
        <v>3399</v>
      </c>
      <c r="S1764" s="7">
        <f t="shared" si="82"/>
        <v>0</v>
      </c>
      <c r="T1764" s="6">
        <f t="shared" si="83"/>
        <v>0</v>
      </c>
      <c r="U1764" s="25">
        <f t="shared" si="81"/>
        <v>0</v>
      </c>
    </row>
    <row r="1765" spans="1:21" ht="10.9" customHeight="1" x14ac:dyDescent="0.2">
      <c r="A1765" s="82" t="s">
        <v>3047</v>
      </c>
      <c r="B1765" s="83">
        <v>45874</v>
      </c>
      <c r="C1765" s="82" t="s">
        <v>3395</v>
      </c>
      <c r="D1765" s="82" t="s">
        <v>919</v>
      </c>
      <c r="E1765" s="82"/>
      <c r="F1765" s="82" t="s">
        <v>4439</v>
      </c>
      <c r="G1765" s="89">
        <v>6</v>
      </c>
      <c r="H1765" s="89">
        <v>20.8</v>
      </c>
      <c r="I1765" s="85">
        <v>0</v>
      </c>
      <c r="J1765" s="85">
        <v>6.24</v>
      </c>
      <c r="K1765" s="85">
        <v>131.04</v>
      </c>
      <c r="L1765" s="85">
        <v>131.04</v>
      </c>
      <c r="M1765" s="89">
        <v>20.8</v>
      </c>
      <c r="N1765" s="85">
        <v>0</v>
      </c>
      <c r="O1765" s="85">
        <v>6.24</v>
      </c>
      <c r="P1765" s="85">
        <v>131.04</v>
      </c>
      <c r="Q1765" s="85">
        <v>131.04</v>
      </c>
      <c r="R1765" s="82" t="s">
        <v>3399</v>
      </c>
      <c r="S1765" s="7">
        <f t="shared" si="82"/>
        <v>0</v>
      </c>
      <c r="T1765" s="6">
        <f t="shared" si="83"/>
        <v>0</v>
      </c>
      <c r="U1765" s="25">
        <f t="shared" si="81"/>
        <v>0</v>
      </c>
    </row>
    <row r="1766" spans="1:21" ht="10.9" customHeight="1" x14ac:dyDescent="0.2">
      <c r="A1766" s="82" t="s">
        <v>3054</v>
      </c>
      <c r="B1766" s="83">
        <v>45874</v>
      </c>
      <c r="C1766" s="82" t="s">
        <v>3395</v>
      </c>
      <c r="D1766" s="82" t="s">
        <v>905</v>
      </c>
      <c r="E1766" s="82"/>
      <c r="F1766" s="82" t="s">
        <v>4429</v>
      </c>
      <c r="G1766" s="89">
        <v>1</v>
      </c>
      <c r="H1766" s="89">
        <v>297.88</v>
      </c>
      <c r="I1766" s="85">
        <v>0</v>
      </c>
      <c r="J1766" s="85">
        <v>14.89</v>
      </c>
      <c r="K1766" s="85">
        <v>312.77</v>
      </c>
      <c r="L1766" s="85">
        <v>312.77</v>
      </c>
      <c r="M1766" s="89">
        <v>297.88</v>
      </c>
      <c r="N1766" s="85">
        <v>0</v>
      </c>
      <c r="O1766" s="85">
        <v>14.89</v>
      </c>
      <c r="P1766" s="85">
        <v>312.77</v>
      </c>
      <c r="Q1766" s="85">
        <v>312.77</v>
      </c>
      <c r="R1766" s="82" t="s">
        <v>3399</v>
      </c>
      <c r="S1766" s="7">
        <f t="shared" si="82"/>
        <v>0</v>
      </c>
      <c r="T1766" s="6">
        <f t="shared" si="83"/>
        <v>0</v>
      </c>
      <c r="U1766" s="25">
        <f t="shared" si="81"/>
        <v>0</v>
      </c>
    </row>
    <row r="1767" spans="1:21" ht="10.9" customHeight="1" x14ac:dyDescent="0.2">
      <c r="A1767" s="82" t="s">
        <v>2854</v>
      </c>
      <c r="B1767" s="83">
        <v>45874</v>
      </c>
      <c r="C1767" s="82" t="s">
        <v>3395</v>
      </c>
      <c r="D1767" s="82" t="s">
        <v>1244</v>
      </c>
      <c r="E1767" s="82"/>
      <c r="F1767" s="82" t="s">
        <v>5080</v>
      </c>
      <c r="G1767" s="89">
        <v>1</v>
      </c>
      <c r="H1767" s="89">
        <v>2251.38</v>
      </c>
      <c r="I1767" s="85">
        <v>0</v>
      </c>
      <c r="J1767" s="85">
        <v>112.57</v>
      </c>
      <c r="K1767" s="85">
        <v>2363.9499999999998</v>
      </c>
      <c r="L1767" s="85">
        <v>2363.9499999999998</v>
      </c>
      <c r="M1767" s="89">
        <v>2251.38</v>
      </c>
      <c r="N1767" s="85">
        <v>0</v>
      </c>
      <c r="O1767" s="85">
        <v>112.57</v>
      </c>
      <c r="P1767" s="85">
        <v>2363.9499999999998</v>
      </c>
      <c r="Q1767" s="85">
        <v>2363.9499999999998</v>
      </c>
      <c r="R1767" s="82" t="s">
        <v>3399</v>
      </c>
      <c r="S1767" s="7">
        <f t="shared" si="82"/>
        <v>0</v>
      </c>
      <c r="T1767" s="6">
        <f t="shared" si="83"/>
        <v>0</v>
      </c>
      <c r="U1767" s="25">
        <f t="shared" si="81"/>
        <v>0</v>
      </c>
    </row>
    <row r="1768" spans="1:21" ht="10.9" customHeight="1" x14ac:dyDescent="0.2">
      <c r="A1768" s="82" t="s">
        <v>2875</v>
      </c>
      <c r="B1768" s="83">
        <v>45874</v>
      </c>
      <c r="C1768" s="82" t="s">
        <v>3395</v>
      </c>
      <c r="D1768" s="82" t="s">
        <v>1210</v>
      </c>
      <c r="E1768" s="82"/>
      <c r="F1768" s="82" t="s">
        <v>5079</v>
      </c>
      <c r="G1768" s="89">
        <v>1</v>
      </c>
      <c r="H1768" s="89">
        <v>1589.1</v>
      </c>
      <c r="I1768" s="85">
        <v>0</v>
      </c>
      <c r="J1768" s="85">
        <v>79.459999999999994</v>
      </c>
      <c r="K1768" s="85">
        <v>1668.56</v>
      </c>
      <c r="L1768" s="85">
        <v>1668.56</v>
      </c>
      <c r="M1768" s="89">
        <v>1589.1</v>
      </c>
      <c r="N1768" s="85">
        <v>0</v>
      </c>
      <c r="O1768" s="85">
        <v>79.459999999999994</v>
      </c>
      <c r="P1768" s="85">
        <v>1668.56</v>
      </c>
      <c r="Q1768" s="85">
        <v>1668.56</v>
      </c>
      <c r="R1768" s="82" t="s">
        <v>3399</v>
      </c>
      <c r="S1768" s="7">
        <f t="shared" si="82"/>
        <v>0</v>
      </c>
      <c r="T1768" s="6">
        <f t="shared" si="83"/>
        <v>0</v>
      </c>
      <c r="U1768" s="25">
        <f t="shared" si="81"/>
        <v>0</v>
      </c>
    </row>
    <row r="1769" spans="1:21" ht="10.9" customHeight="1" x14ac:dyDescent="0.2">
      <c r="A1769" s="82" t="s">
        <v>2934</v>
      </c>
      <c r="B1769" s="83">
        <v>45874</v>
      </c>
      <c r="C1769" s="82" t="s">
        <v>3395</v>
      </c>
      <c r="D1769" s="82" t="s">
        <v>1109</v>
      </c>
      <c r="E1769" s="82"/>
      <c r="F1769" s="82" t="s">
        <v>5078</v>
      </c>
      <c r="G1769" s="89">
        <v>1</v>
      </c>
      <c r="H1769" s="89">
        <v>2155.7800000000002</v>
      </c>
      <c r="I1769" s="85">
        <v>0</v>
      </c>
      <c r="J1769" s="85">
        <v>107.79</v>
      </c>
      <c r="K1769" s="85">
        <v>2263.5700000000002</v>
      </c>
      <c r="L1769" s="85">
        <v>2263.5700000000002</v>
      </c>
      <c r="M1769" s="89">
        <v>2155.7800000000002</v>
      </c>
      <c r="N1769" s="85">
        <v>0</v>
      </c>
      <c r="O1769" s="85">
        <v>107.79</v>
      </c>
      <c r="P1769" s="85">
        <v>2263.5700000000002</v>
      </c>
      <c r="Q1769" s="85">
        <v>2263.5700000000002</v>
      </c>
      <c r="R1769" s="82" t="s">
        <v>3399</v>
      </c>
      <c r="S1769" s="7">
        <f t="shared" si="82"/>
        <v>0</v>
      </c>
      <c r="T1769" s="6">
        <f t="shared" si="83"/>
        <v>0</v>
      </c>
      <c r="U1769" s="25">
        <f t="shared" si="81"/>
        <v>0</v>
      </c>
    </row>
    <row r="1770" spans="1:21" ht="10.9" customHeight="1" x14ac:dyDescent="0.2">
      <c r="A1770" s="82" t="s">
        <v>2845</v>
      </c>
      <c r="B1770" s="83">
        <v>45874</v>
      </c>
      <c r="C1770" s="82" t="s">
        <v>3395</v>
      </c>
      <c r="D1770" s="82" t="s">
        <v>1260</v>
      </c>
      <c r="E1770" s="82"/>
      <c r="F1770" s="82" t="s">
        <v>5077</v>
      </c>
      <c r="G1770" s="89">
        <v>1</v>
      </c>
      <c r="H1770" s="89">
        <v>5710.29</v>
      </c>
      <c r="I1770" s="85">
        <v>0</v>
      </c>
      <c r="J1770" s="85">
        <v>285.51</v>
      </c>
      <c r="K1770" s="85">
        <v>5995.8</v>
      </c>
      <c r="L1770" s="85">
        <v>5995.8</v>
      </c>
      <c r="M1770" s="89">
        <v>5710.29</v>
      </c>
      <c r="N1770" s="85">
        <v>0</v>
      </c>
      <c r="O1770" s="85">
        <v>285.51</v>
      </c>
      <c r="P1770" s="85">
        <v>5995.8</v>
      </c>
      <c r="Q1770" s="85">
        <v>5995.8</v>
      </c>
      <c r="R1770" s="82" t="s">
        <v>3399</v>
      </c>
      <c r="S1770" s="7">
        <f t="shared" si="82"/>
        <v>0</v>
      </c>
      <c r="T1770" s="6">
        <f t="shared" si="83"/>
        <v>0</v>
      </c>
      <c r="U1770" s="25">
        <f t="shared" si="81"/>
        <v>0</v>
      </c>
    </row>
    <row r="1771" spans="1:21" ht="10.9" customHeight="1" x14ac:dyDescent="0.2">
      <c r="A1771" s="82" t="s">
        <v>2711</v>
      </c>
      <c r="B1771" s="83">
        <v>45874</v>
      </c>
      <c r="C1771" s="82" t="s">
        <v>3395</v>
      </c>
      <c r="D1771" s="82" t="s">
        <v>1502</v>
      </c>
      <c r="E1771" s="82"/>
      <c r="F1771" s="82" t="s">
        <v>5076</v>
      </c>
      <c r="G1771" s="89">
        <v>1</v>
      </c>
      <c r="H1771" s="89">
        <v>7398.1</v>
      </c>
      <c r="I1771" s="85">
        <v>0</v>
      </c>
      <c r="J1771" s="85">
        <v>369.91</v>
      </c>
      <c r="K1771" s="85">
        <v>7768.01</v>
      </c>
      <c r="L1771" s="85">
        <v>7768.01</v>
      </c>
      <c r="M1771" s="89">
        <v>7398.1</v>
      </c>
      <c r="N1771" s="85">
        <v>0</v>
      </c>
      <c r="O1771" s="85">
        <v>369.91</v>
      </c>
      <c r="P1771" s="85">
        <v>7768.01</v>
      </c>
      <c r="Q1771" s="85">
        <v>7768.01</v>
      </c>
      <c r="R1771" s="82" t="s">
        <v>3399</v>
      </c>
      <c r="S1771" s="7">
        <f t="shared" si="82"/>
        <v>0</v>
      </c>
      <c r="T1771" s="6">
        <f t="shared" si="83"/>
        <v>0</v>
      </c>
      <c r="U1771" s="25">
        <f t="shared" si="81"/>
        <v>0</v>
      </c>
    </row>
    <row r="1772" spans="1:21" ht="10.9" customHeight="1" x14ac:dyDescent="0.2">
      <c r="A1772" s="82" t="s">
        <v>3032</v>
      </c>
      <c r="B1772" s="83">
        <v>45874</v>
      </c>
      <c r="C1772" s="82" t="s">
        <v>3395</v>
      </c>
      <c r="D1772" s="82" t="s">
        <v>945</v>
      </c>
      <c r="E1772" s="82"/>
      <c r="F1772" s="82" t="s">
        <v>5075</v>
      </c>
      <c r="G1772" s="89">
        <v>12</v>
      </c>
      <c r="H1772" s="89">
        <v>24.97</v>
      </c>
      <c r="I1772" s="85">
        <v>0</v>
      </c>
      <c r="J1772" s="85">
        <v>14.98</v>
      </c>
      <c r="K1772" s="85">
        <v>314.62</v>
      </c>
      <c r="L1772" s="85">
        <v>15899.49</v>
      </c>
      <c r="M1772" s="89">
        <v>24.97</v>
      </c>
      <c r="N1772" s="85">
        <v>0</v>
      </c>
      <c r="O1772" s="85">
        <v>14.98</v>
      </c>
      <c r="P1772" s="85">
        <v>314.62</v>
      </c>
      <c r="Q1772" s="85">
        <v>15899.49</v>
      </c>
      <c r="R1772" s="82" t="s">
        <v>3399</v>
      </c>
      <c r="S1772" s="7">
        <f t="shared" si="82"/>
        <v>0</v>
      </c>
      <c r="T1772" s="6">
        <f t="shared" si="83"/>
        <v>0</v>
      </c>
      <c r="U1772" s="25">
        <f t="shared" si="81"/>
        <v>0</v>
      </c>
    </row>
    <row r="1773" spans="1:21" ht="10.9" customHeight="1" x14ac:dyDescent="0.2">
      <c r="A1773" s="82" t="s">
        <v>3032</v>
      </c>
      <c r="B1773" s="83">
        <v>45874</v>
      </c>
      <c r="C1773" s="82" t="s">
        <v>3395</v>
      </c>
      <c r="D1773" s="82" t="s">
        <v>945</v>
      </c>
      <c r="E1773" s="82"/>
      <c r="F1773" s="82" t="s">
        <v>5074</v>
      </c>
      <c r="G1773" s="89">
        <v>2</v>
      </c>
      <c r="H1773" s="89">
        <v>75.790000000000006</v>
      </c>
      <c r="I1773" s="85">
        <v>0</v>
      </c>
      <c r="J1773" s="85">
        <v>7.58</v>
      </c>
      <c r="K1773" s="85">
        <v>159.16</v>
      </c>
      <c r="L1773" s="85">
        <v>15899.49</v>
      </c>
      <c r="M1773" s="89">
        <v>75.790000000000006</v>
      </c>
      <c r="N1773" s="85">
        <v>0</v>
      </c>
      <c r="O1773" s="85">
        <v>7.58</v>
      </c>
      <c r="P1773" s="85">
        <v>159.16</v>
      </c>
      <c r="Q1773" s="85">
        <v>15899.49</v>
      </c>
      <c r="R1773" s="82" t="s">
        <v>3399</v>
      </c>
      <c r="S1773" s="7">
        <f t="shared" si="82"/>
        <v>0</v>
      </c>
      <c r="T1773" s="6">
        <f t="shared" si="83"/>
        <v>0</v>
      </c>
      <c r="U1773" s="25">
        <f t="shared" si="81"/>
        <v>0</v>
      </c>
    </row>
    <row r="1774" spans="1:21" ht="10.9" customHeight="1" x14ac:dyDescent="0.2">
      <c r="A1774" s="82" t="s">
        <v>3032</v>
      </c>
      <c r="B1774" s="83">
        <v>45874</v>
      </c>
      <c r="C1774" s="82" t="s">
        <v>3395</v>
      </c>
      <c r="D1774" s="82" t="s">
        <v>945</v>
      </c>
      <c r="E1774" s="82"/>
      <c r="F1774" s="82" t="s">
        <v>5073</v>
      </c>
      <c r="G1774" s="89">
        <v>1</v>
      </c>
      <c r="H1774" s="89">
        <v>2847.76</v>
      </c>
      <c r="I1774" s="85">
        <v>0</v>
      </c>
      <c r="J1774" s="85">
        <v>398.69</v>
      </c>
      <c r="K1774" s="85">
        <v>3246.45</v>
      </c>
      <c r="L1774" s="85">
        <v>15899.49</v>
      </c>
      <c r="M1774" s="89">
        <v>2847.76</v>
      </c>
      <c r="N1774" s="85">
        <v>0</v>
      </c>
      <c r="O1774" s="85">
        <v>398.69</v>
      </c>
      <c r="P1774" s="85">
        <v>3246.45</v>
      </c>
      <c r="Q1774" s="85">
        <v>15899.49</v>
      </c>
      <c r="R1774" s="82" t="s">
        <v>3399</v>
      </c>
      <c r="S1774" s="7">
        <f t="shared" si="82"/>
        <v>0</v>
      </c>
      <c r="T1774" s="6">
        <f t="shared" si="83"/>
        <v>0</v>
      </c>
      <c r="U1774" s="25">
        <f t="shared" si="81"/>
        <v>0</v>
      </c>
    </row>
    <row r="1775" spans="1:21" ht="10.9" customHeight="1" x14ac:dyDescent="0.2">
      <c r="A1775" s="82" t="s">
        <v>3032</v>
      </c>
      <c r="B1775" s="83">
        <v>45874</v>
      </c>
      <c r="C1775" s="82" t="s">
        <v>3395</v>
      </c>
      <c r="D1775" s="82" t="s">
        <v>945</v>
      </c>
      <c r="E1775" s="82"/>
      <c r="F1775" s="82" t="s">
        <v>5072</v>
      </c>
      <c r="G1775" s="89">
        <v>2</v>
      </c>
      <c r="H1775" s="89">
        <v>110.8</v>
      </c>
      <c r="I1775" s="85">
        <v>0</v>
      </c>
      <c r="J1775" s="85">
        <v>11.08</v>
      </c>
      <c r="K1775" s="85">
        <v>232.68</v>
      </c>
      <c r="L1775" s="85">
        <v>15899.49</v>
      </c>
      <c r="M1775" s="89">
        <v>110.8</v>
      </c>
      <c r="N1775" s="85">
        <v>0</v>
      </c>
      <c r="O1775" s="85">
        <v>11.08</v>
      </c>
      <c r="P1775" s="85">
        <v>232.68</v>
      </c>
      <c r="Q1775" s="85">
        <v>15899.49</v>
      </c>
      <c r="R1775" s="82" t="s">
        <v>3399</v>
      </c>
      <c r="S1775" s="7">
        <f t="shared" si="82"/>
        <v>0</v>
      </c>
      <c r="T1775" s="6">
        <f t="shared" si="83"/>
        <v>0</v>
      </c>
      <c r="U1775" s="25">
        <f t="shared" si="81"/>
        <v>0</v>
      </c>
    </row>
    <row r="1776" spans="1:21" ht="10.9" customHeight="1" x14ac:dyDescent="0.2">
      <c r="A1776" s="82" t="s">
        <v>3032</v>
      </c>
      <c r="B1776" s="83">
        <v>45874</v>
      </c>
      <c r="C1776" s="82" t="s">
        <v>3395</v>
      </c>
      <c r="D1776" s="82" t="s">
        <v>945</v>
      </c>
      <c r="E1776" s="82"/>
      <c r="F1776" s="82" t="s">
        <v>4718</v>
      </c>
      <c r="G1776" s="89">
        <v>1</v>
      </c>
      <c r="H1776" s="89">
        <v>127.69</v>
      </c>
      <c r="I1776" s="85">
        <v>0</v>
      </c>
      <c r="J1776" s="85">
        <v>6.38</v>
      </c>
      <c r="K1776" s="85">
        <v>134.07</v>
      </c>
      <c r="L1776" s="85">
        <v>15899.49</v>
      </c>
      <c r="M1776" s="89">
        <v>127.69</v>
      </c>
      <c r="N1776" s="85">
        <v>0</v>
      </c>
      <c r="O1776" s="85">
        <v>6.38</v>
      </c>
      <c r="P1776" s="85">
        <v>134.07</v>
      </c>
      <c r="Q1776" s="85">
        <v>15899.49</v>
      </c>
      <c r="R1776" s="82" t="s">
        <v>3399</v>
      </c>
      <c r="S1776" s="7">
        <f t="shared" si="82"/>
        <v>0</v>
      </c>
      <c r="T1776" s="6">
        <f t="shared" si="83"/>
        <v>0</v>
      </c>
      <c r="U1776" s="25">
        <f t="shared" si="81"/>
        <v>0</v>
      </c>
    </row>
    <row r="1777" spans="1:21" ht="10.9" customHeight="1" x14ac:dyDescent="0.2">
      <c r="A1777" s="82" t="s">
        <v>3032</v>
      </c>
      <c r="B1777" s="83">
        <v>45874</v>
      </c>
      <c r="C1777" s="82" t="s">
        <v>3395</v>
      </c>
      <c r="D1777" s="82" t="s">
        <v>945</v>
      </c>
      <c r="E1777" s="82"/>
      <c r="F1777" s="82" t="s">
        <v>5071</v>
      </c>
      <c r="G1777" s="89">
        <v>1</v>
      </c>
      <c r="H1777" s="89">
        <v>1770.5</v>
      </c>
      <c r="I1777" s="85">
        <v>0</v>
      </c>
      <c r="J1777" s="85">
        <v>88.53</v>
      </c>
      <c r="K1777" s="85">
        <v>1859.03</v>
      </c>
      <c r="L1777" s="85">
        <v>15899.49</v>
      </c>
      <c r="M1777" s="89">
        <v>1770.5</v>
      </c>
      <c r="N1777" s="85">
        <v>0</v>
      </c>
      <c r="O1777" s="85">
        <v>88.53</v>
      </c>
      <c r="P1777" s="85">
        <v>1859.03</v>
      </c>
      <c r="Q1777" s="85">
        <v>15899.49</v>
      </c>
      <c r="R1777" s="82" t="s">
        <v>3399</v>
      </c>
      <c r="S1777" s="7">
        <f t="shared" si="82"/>
        <v>0</v>
      </c>
      <c r="T1777" s="6">
        <f t="shared" si="83"/>
        <v>0</v>
      </c>
      <c r="U1777" s="25">
        <f t="shared" si="81"/>
        <v>0</v>
      </c>
    </row>
    <row r="1778" spans="1:21" ht="10.9" customHeight="1" x14ac:dyDescent="0.2">
      <c r="A1778" s="82" t="s">
        <v>3032</v>
      </c>
      <c r="B1778" s="83">
        <v>45874</v>
      </c>
      <c r="C1778" s="82" t="s">
        <v>3395</v>
      </c>
      <c r="D1778" s="82" t="s">
        <v>945</v>
      </c>
      <c r="E1778" s="82"/>
      <c r="F1778" s="82" t="s">
        <v>5070</v>
      </c>
      <c r="G1778" s="89">
        <v>1</v>
      </c>
      <c r="H1778" s="89">
        <v>2012.45</v>
      </c>
      <c r="I1778" s="85">
        <v>0</v>
      </c>
      <c r="J1778" s="85">
        <v>100.62</v>
      </c>
      <c r="K1778" s="85">
        <v>2113.0700000000002</v>
      </c>
      <c r="L1778" s="85">
        <v>15899.49</v>
      </c>
      <c r="M1778" s="89">
        <v>2012.45</v>
      </c>
      <c r="N1778" s="85">
        <v>0</v>
      </c>
      <c r="O1778" s="85">
        <v>100.62</v>
      </c>
      <c r="P1778" s="85">
        <v>2113.0700000000002</v>
      </c>
      <c r="Q1778" s="85">
        <v>15899.49</v>
      </c>
      <c r="R1778" s="82" t="s">
        <v>3399</v>
      </c>
      <c r="S1778" s="7">
        <f t="shared" si="82"/>
        <v>0</v>
      </c>
      <c r="T1778" s="6">
        <f t="shared" si="83"/>
        <v>0</v>
      </c>
      <c r="U1778" s="25">
        <f t="shared" si="81"/>
        <v>0</v>
      </c>
    </row>
    <row r="1779" spans="1:21" ht="10.9" customHeight="1" x14ac:dyDescent="0.2">
      <c r="A1779" s="82" t="s">
        <v>3032</v>
      </c>
      <c r="B1779" s="83">
        <v>45874</v>
      </c>
      <c r="C1779" s="82" t="s">
        <v>3395</v>
      </c>
      <c r="D1779" s="82" t="s">
        <v>945</v>
      </c>
      <c r="E1779" s="82"/>
      <c r="F1779" s="82" t="s">
        <v>5069</v>
      </c>
      <c r="G1779" s="89">
        <v>1</v>
      </c>
      <c r="H1779" s="89">
        <v>358.9</v>
      </c>
      <c r="I1779" s="85">
        <v>0</v>
      </c>
      <c r="J1779" s="85">
        <v>17.95</v>
      </c>
      <c r="K1779" s="85">
        <v>376.85</v>
      </c>
      <c r="L1779" s="85">
        <v>15899.49</v>
      </c>
      <c r="M1779" s="89">
        <v>358.9</v>
      </c>
      <c r="N1779" s="85">
        <v>0</v>
      </c>
      <c r="O1779" s="85">
        <v>17.95</v>
      </c>
      <c r="P1779" s="85">
        <v>376.85</v>
      </c>
      <c r="Q1779" s="85">
        <v>15899.49</v>
      </c>
      <c r="R1779" s="82" t="s">
        <v>3399</v>
      </c>
      <c r="S1779" s="7">
        <f t="shared" si="82"/>
        <v>0</v>
      </c>
      <c r="T1779" s="6">
        <f t="shared" si="83"/>
        <v>0</v>
      </c>
      <c r="U1779" s="25">
        <f t="shared" si="81"/>
        <v>0</v>
      </c>
    </row>
    <row r="1780" spans="1:21" ht="10.9" customHeight="1" x14ac:dyDescent="0.2">
      <c r="A1780" s="82" t="s">
        <v>3032</v>
      </c>
      <c r="B1780" s="83">
        <v>45874</v>
      </c>
      <c r="C1780" s="82" t="s">
        <v>3395</v>
      </c>
      <c r="D1780" s="82" t="s">
        <v>945</v>
      </c>
      <c r="E1780" s="82"/>
      <c r="F1780" s="82" t="s">
        <v>5068</v>
      </c>
      <c r="G1780" s="89">
        <v>2</v>
      </c>
      <c r="H1780" s="89">
        <v>38.53</v>
      </c>
      <c r="I1780" s="85">
        <v>0</v>
      </c>
      <c r="J1780" s="85">
        <v>3.85</v>
      </c>
      <c r="K1780" s="85">
        <v>80.91</v>
      </c>
      <c r="L1780" s="85">
        <v>15899.49</v>
      </c>
      <c r="M1780" s="89">
        <v>38.53</v>
      </c>
      <c r="N1780" s="85">
        <v>0</v>
      </c>
      <c r="O1780" s="85">
        <v>3.85</v>
      </c>
      <c r="P1780" s="85">
        <v>80.91</v>
      </c>
      <c r="Q1780" s="85">
        <v>15899.49</v>
      </c>
      <c r="R1780" s="82" t="s">
        <v>3399</v>
      </c>
      <c r="S1780" s="7">
        <f t="shared" si="82"/>
        <v>0</v>
      </c>
      <c r="T1780" s="6">
        <f t="shared" si="83"/>
        <v>0</v>
      </c>
      <c r="U1780" s="25">
        <f t="shared" si="81"/>
        <v>0</v>
      </c>
    </row>
    <row r="1781" spans="1:21" ht="10.9" customHeight="1" x14ac:dyDescent="0.2">
      <c r="A1781" s="82" t="s">
        <v>3032</v>
      </c>
      <c r="B1781" s="83">
        <v>45874</v>
      </c>
      <c r="C1781" s="82" t="s">
        <v>3395</v>
      </c>
      <c r="D1781" s="82" t="s">
        <v>945</v>
      </c>
      <c r="E1781" s="82"/>
      <c r="F1781" s="82" t="s">
        <v>5067</v>
      </c>
      <c r="G1781" s="89">
        <v>1</v>
      </c>
      <c r="H1781" s="89">
        <v>285.11</v>
      </c>
      <c r="I1781" s="85">
        <v>0</v>
      </c>
      <c r="J1781" s="85">
        <v>14.26</v>
      </c>
      <c r="K1781" s="85">
        <v>299.37</v>
      </c>
      <c r="L1781" s="85">
        <v>15899.49</v>
      </c>
      <c r="M1781" s="89">
        <v>285.11</v>
      </c>
      <c r="N1781" s="85">
        <v>0</v>
      </c>
      <c r="O1781" s="85">
        <v>14.26</v>
      </c>
      <c r="P1781" s="85">
        <v>299.37</v>
      </c>
      <c r="Q1781" s="85">
        <v>15899.49</v>
      </c>
      <c r="R1781" s="82" t="s">
        <v>3399</v>
      </c>
      <c r="S1781" s="7">
        <f t="shared" si="82"/>
        <v>0</v>
      </c>
      <c r="T1781" s="6">
        <f t="shared" si="83"/>
        <v>0</v>
      </c>
      <c r="U1781" s="25">
        <f t="shared" si="81"/>
        <v>0</v>
      </c>
    </row>
    <row r="1782" spans="1:21" ht="10.9" customHeight="1" x14ac:dyDescent="0.2">
      <c r="A1782" s="82" t="s">
        <v>3032</v>
      </c>
      <c r="B1782" s="83">
        <v>45874</v>
      </c>
      <c r="C1782" s="82" t="s">
        <v>3395</v>
      </c>
      <c r="D1782" s="82" t="s">
        <v>945</v>
      </c>
      <c r="E1782" s="82"/>
      <c r="F1782" s="82" t="s">
        <v>5065</v>
      </c>
      <c r="G1782" s="89">
        <v>1</v>
      </c>
      <c r="H1782" s="89">
        <v>1080.68</v>
      </c>
      <c r="I1782" s="85">
        <v>0</v>
      </c>
      <c r="J1782" s="85">
        <v>54.03</v>
      </c>
      <c r="K1782" s="85">
        <v>1134.71</v>
      </c>
      <c r="L1782" s="85">
        <v>15899.49</v>
      </c>
      <c r="M1782" s="89">
        <v>1080.68</v>
      </c>
      <c r="N1782" s="85">
        <v>0</v>
      </c>
      <c r="O1782" s="85">
        <v>54.03</v>
      </c>
      <c r="P1782" s="85">
        <v>1134.71</v>
      </c>
      <c r="Q1782" s="85">
        <v>15899.49</v>
      </c>
      <c r="R1782" s="82" t="s">
        <v>3399</v>
      </c>
      <c r="S1782" s="7">
        <f t="shared" si="82"/>
        <v>0</v>
      </c>
      <c r="T1782" s="6">
        <f t="shared" si="83"/>
        <v>0</v>
      </c>
      <c r="U1782" s="25">
        <f t="shared" si="81"/>
        <v>0</v>
      </c>
    </row>
    <row r="1783" spans="1:21" ht="10.9" customHeight="1" x14ac:dyDescent="0.2">
      <c r="A1783" s="82" t="s">
        <v>3032</v>
      </c>
      <c r="B1783" s="83">
        <v>45874</v>
      </c>
      <c r="C1783" s="82" t="s">
        <v>3395</v>
      </c>
      <c r="D1783" s="82" t="s">
        <v>945</v>
      </c>
      <c r="E1783" s="82"/>
      <c r="F1783" s="82" t="s">
        <v>4755</v>
      </c>
      <c r="G1783" s="89">
        <v>1</v>
      </c>
      <c r="H1783" s="89">
        <v>22.02</v>
      </c>
      <c r="I1783" s="85">
        <v>0</v>
      </c>
      <c r="J1783" s="85">
        <v>1.1000000000000001</v>
      </c>
      <c r="K1783" s="85">
        <v>23.12</v>
      </c>
      <c r="L1783" s="85">
        <v>15899.49</v>
      </c>
      <c r="M1783" s="89">
        <v>22.02</v>
      </c>
      <c r="N1783" s="85">
        <v>0</v>
      </c>
      <c r="O1783" s="85">
        <v>1.1000000000000001</v>
      </c>
      <c r="P1783" s="85">
        <v>23.12</v>
      </c>
      <c r="Q1783" s="85">
        <v>15899.49</v>
      </c>
      <c r="R1783" s="82" t="s">
        <v>3399</v>
      </c>
      <c r="S1783" s="7">
        <f t="shared" si="82"/>
        <v>0</v>
      </c>
      <c r="T1783" s="6">
        <f t="shared" si="83"/>
        <v>0</v>
      </c>
      <c r="U1783" s="25">
        <f t="shared" si="81"/>
        <v>0</v>
      </c>
    </row>
    <row r="1784" spans="1:21" ht="10.9" customHeight="1" x14ac:dyDescent="0.2">
      <c r="A1784" s="82" t="s">
        <v>3032</v>
      </c>
      <c r="B1784" s="83">
        <v>45874</v>
      </c>
      <c r="C1784" s="82" t="s">
        <v>3395</v>
      </c>
      <c r="D1784" s="82" t="s">
        <v>945</v>
      </c>
      <c r="E1784" s="82"/>
      <c r="F1784" s="82" t="s">
        <v>5066</v>
      </c>
      <c r="G1784" s="89">
        <v>1</v>
      </c>
      <c r="H1784" s="89">
        <v>1764.28</v>
      </c>
      <c r="I1784" s="85">
        <v>0</v>
      </c>
      <c r="J1784" s="85">
        <v>88.21</v>
      </c>
      <c r="K1784" s="85">
        <v>1852.49</v>
      </c>
      <c r="L1784" s="85">
        <v>15899.49</v>
      </c>
      <c r="M1784" s="89">
        <v>1764.28</v>
      </c>
      <c r="N1784" s="85">
        <v>0</v>
      </c>
      <c r="O1784" s="85">
        <v>88.21</v>
      </c>
      <c r="P1784" s="85">
        <v>1852.49</v>
      </c>
      <c r="Q1784" s="85">
        <v>15899.49</v>
      </c>
      <c r="R1784" s="82" t="s">
        <v>3399</v>
      </c>
      <c r="S1784" s="7">
        <f t="shared" si="82"/>
        <v>0</v>
      </c>
      <c r="T1784" s="6">
        <f t="shared" si="83"/>
        <v>0</v>
      </c>
      <c r="U1784" s="25">
        <f t="shared" si="81"/>
        <v>0</v>
      </c>
    </row>
    <row r="1785" spans="1:21" ht="10.9" customHeight="1" x14ac:dyDescent="0.2">
      <c r="A1785" s="82" t="s">
        <v>3032</v>
      </c>
      <c r="B1785" s="83">
        <v>45874</v>
      </c>
      <c r="C1785" s="82" t="s">
        <v>3395</v>
      </c>
      <c r="D1785" s="82" t="s">
        <v>945</v>
      </c>
      <c r="E1785" s="82"/>
      <c r="F1785" s="82" t="s">
        <v>4571</v>
      </c>
      <c r="G1785" s="89">
        <v>1</v>
      </c>
      <c r="H1785" s="89">
        <v>3879.01</v>
      </c>
      <c r="I1785" s="85">
        <v>0</v>
      </c>
      <c r="J1785" s="85">
        <v>193.95</v>
      </c>
      <c r="K1785" s="85">
        <v>4072.96</v>
      </c>
      <c r="L1785" s="85">
        <v>15899.49</v>
      </c>
      <c r="M1785" s="89">
        <v>3879.01</v>
      </c>
      <c r="N1785" s="85">
        <v>0</v>
      </c>
      <c r="O1785" s="85">
        <v>193.95</v>
      </c>
      <c r="P1785" s="85">
        <v>4072.96</v>
      </c>
      <c r="Q1785" s="85">
        <v>15899.49</v>
      </c>
      <c r="R1785" s="82" t="s">
        <v>3399</v>
      </c>
      <c r="S1785" s="7">
        <f t="shared" si="82"/>
        <v>0</v>
      </c>
      <c r="T1785" s="6">
        <f t="shared" si="83"/>
        <v>0</v>
      </c>
      <c r="U1785" s="25">
        <f t="shared" si="81"/>
        <v>0</v>
      </c>
    </row>
    <row r="1786" spans="1:21" ht="10.9" customHeight="1" x14ac:dyDescent="0.2">
      <c r="A1786" s="82" t="s">
        <v>3049</v>
      </c>
      <c r="B1786" s="83">
        <v>45874</v>
      </c>
      <c r="C1786" s="82" t="s">
        <v>3395</v>
      </c>
      <c r="D1786" s="82" t="s">
        <v>915</v>
      </c>
      <c r="E1786" s="82"/>
      <c r="F1786" s="82" t="s">
        <v>5065</v>
      </c>
      <c r="G1786" s="89">
        <v>1</v>
      </c>
      <c r="H1786" s="89">
        <v>1080.68</v>
      </c>
      <c r="I1786" s="85">
        <v>0</v>
      </c>
      <c r="J1786" s="85">
        <v>54.03</v>
      </c>
      <c r="K1786" s="85">
        <v>1134.71</v>
      </c>
      <c r="L1786" s="85">
        <v>2740.19</v>
      </c>
      <c r="M1786" s="89">
        <v>1080.68</v>
      </c>
      <c r="N1786" s="85">
        <v>0</v>
      </c>
      <c r="O1786" s="85">
        <v>54.03</v>
      </c>
      <c r="P1786" s="85">
        <v>1134.71</v>
      </c>
      <c r="Q1786" s="85">
        <v>2740.19</v>
      </c>
      <c r="R1786" s="82" t="s">
        <v>3399</v>
      </c>
      <c r="S1786" s="7">
        <f t="shared" si="82"/>
        <v>0</v>
      </c>
      <c r="T1786" s="6">
        <f t="shared" si="83"/>
        <v>0</v>
      </c>
      <c r="U1786" s="25">
        <f t="shared" si="81"/>
        <v>0</v>
      </c>
    </row>
    <row r="1787" spans="1:21" ht="10.9" customHeight="1" x14ac:dyDescent="0.2">
      <c r="A1787" s="82" t="s">
        <v>3049</v>
      </c>
      <c r="B1787" s="83">
        <v>45874</v>
      </c>
      <c r="C1787" s="82" t="s">
        <v>3395</v>
      </c>
      <c r="D1787" s="82" t="s">
        <v>915</v>
      </c>
      <c r="E1787" s="82"/>
      <c r="F1787" s="82" t="s">
        <v>4957</v>
      </c>
      <c r="G1787" s="89">
        <v>1</v>
      </c>
      <c r="H1787" s="89">
        <v>1529.03</v>
      </c>
      <c r="I1787" s="85">
        <v>0</v>
      </c>
      <c r="J1787" s="85">
        <v>76.45</v>
      </c>
      <c r="K1787" s="85">
        <v>1605.48</v>
      </c>
      <c r="L1787" s="85">
        <v>2740.19</v>
      </c>
      <c r="M1787" s="89">
        <v>1529.03</v>
      </c>
      <c r="N1787" s="85">
        <v>0</v>
      </c>
      <c r="O1787" s="85">
        <v>76.45</v>
      </c>
      <c r="P1787" s="85">
        <v>1605.48</v>
      </c>
      <c r="Q1787" s="85">
        <v>2740.19</v>
      </c>
      <c r="R1787" s="82" t="s">
        <v>3399</v>
      </c>
      <c r="S1787" s="7">
        <f t="shared" si="82"/>
        <v>0</v>
      </c>
      <c r="T1787" s="6">
        <f t="shared" si="83"/>
        <v>0</v>
      </c>
      <c r="U1787" s="25">
        <f t="shared" si="81"/>
        <v>0</v>
      </c>
    </row>
    <row r="1788" spans="1:21" ht="10.9" customHeight="1" x14ac:dyDescent="0.2">
      <c r="A1788" s="82" t="s">
        <v>3040</v>
      </c>
      <c r="B1788" s="83">
        <v>45874</v>
      </c>
      <c r="C1788" s="82" t="s">
        <v>3395</v>
      </c>
      <c r="D1788" s="82" t="s">
        <v>929</v>
      </c>
      <c r="E1788" s="82"/>
      <c r="F1788" s="82" t="s">
        <v>5064</v>
      </c>
      <c r="G1788" s="89">
        <v>1</v>
      </c>
      <c r="H1788" s="89">
        <v>841.68</v>
      </c>
      <c r="I1788" s="85">
        <v>0</v>
      </c>
      <c r="J1788" s="85">
        <v>42.08</v>
      </c>
      <c r="K1788" s="85">
        <v>883.76</v>
      </c>
      <c r="L1788" s="85">
        <v>1055.28</v>
      </c>
      <c r="M1788" s="89">
        <v>841.68</v>
      </c>
      <c r="N1788" s="85">
        <v>0</v>
      </c>
      <c r="O1788" s="85">
        <v>42.08</v>
      </c>
      <c r="P1788" s="85">
        <v>883.76</v>
      </c>
      <c r="Q1788" s="85">
        <v>1055.28</v>
      </c>
      <c r="R1788" s="82" t="s">
        <v>3399</v>
      </c>
      <c r="S1788" s="7">
        <f t="shared" si="82"/>
        <v>0</v>
      </c>
      <c r="T1788" s="6">
        <f t="shared" si="83"/>
        <v>0</v>
      </c>
      <c r="U1788" s="25">
        <f t="shared" si="81"/>
        <v>0</v>
      </c>
    </row>
    <row r="1789" spans="1:21" ht="10.9" customHeight="1" x14ac:dyDescent="0.2">
      <c r="A1789" s="82" t="s">
        <v>3040</v>
      </c>
      <c r="B1789" s="83">
        <v>45874</v>
      </c>
      <c r="C1789" s="82" t="s">
        <v>3395</v>
      </c>
      <c r="D1789" s="82" t="s">
        <v>929</v>
      </c>
      <c r="E1789" s="82"/>
      <c r="F1789" s="82" t="s">
        <v>4884</v>
      </c>
      <c r="G1789" s="89">
        <v>1</v>
      </c>
      <c r="H1789" s="89">
        <v>38.11</v>
      </c>
      <c r="I1789" s="85">
        <v>0</v>
      </c>
      <c r="J1789" s="85">
        <v>1.91</v>
      </c>
      <c r="K1789" s="85">
        <v>40.020000000000003</v>
      </c>
      <c r="L1789" s="85">
        <v>1055.28</v>
      </c>
      <c r="M1789" s="89">
        <v>38.11</v>
      </c>
      <c r="N1789" s="85">
        <v>0</v>
      </c>
      <c r="O1789" s="85">
        <v>1.91</v>
      </c>
      <c r="P1789" s="85">
        <v>40.020000000000003</v>
      </c>
      <c r="Q1789" s="85">
        <v>1055.28</v>
      </c>
      <c r="R1789" s="82" t="s">
        <v>3399</v>
      </c>
      <c r="S1789" s="7">
        <f t="shared" si="82"/>
        <v>0</v>
      </c>
      <c r="T1789" s="6">
        <f t="shared" si="83"/>
        <v>0</v>
      </c>
      <c r="U1789" s="25">
        <f t="shared" si="81"/>
        <v>0</v>
      </c>
    </row>
    <row r="1790" spans="1:21" ht="10.9" customHeight="1" x14ac:dyDescent="0.2">
      <c r="A1790" s="82" t="s">
        <v>3040</v>
      </c>
      <c r="B1790" s="83">
        <v>45874</v>
      </c>
      <c r="C1790" s="82" t="s">
        <v>3395</v>
      </c>
      <c r="D1790" s="82" t="s">
        <v>929</v>
      </c>
      <c r="E1790" s="82"/>
      <c r="F1790" s="82" t="s">
        <v>5063</v>
      </c>
      <c r="G1790" s="89">
        <v>1</v>
      </c>
      <c r="H1790" s="89">
        <v>11.89</v>
      </c>
      <c r="I1790" s="85">
        <v>0</v>
      </c>
      <c r="J1790" s="85">
        <v>0.59</v>
      </c>
      <c r="K1790" s="85">
        <v>12.48</v>
      </c>
      <c r="L1790" s="85">
        <v>1055.28</v>
      </c>
      <c r="M1790" s="89">
        <v>11.89</v>
      </c>
      <c r="N1790" s="85">
        <v>0</v>
      </c>
      <c r="O1790" s="85">
        <v>0.59</v>
      </c>
      <c r="P1790" s="85">
        <v>12.48</v>
      </c>
      <c r="Q1790" s="85">
        <v>1055.28</v>
      </c>
      <c r="R1790" s="82" t="s">
        <v>3399</v>
      </c>
      <c r="S1790" s="7">
        <f t="shared" si="82"/>
        <v>0</v>
      </c>
      <c r="T1790" s="6">
        <f t="shared" si="83"/>
        <v>0</v>
      </c>
      <c r="U1790" s="25">
        <f t="shared" si="81"/>
        <v>0</v>
      </c>
    </row>
    <row r="1791" spans="1:21" ht="10.9" customHeight="1" x14ac:dyDescent="0.2">
      <c r="A1791" s="82" t="s">
        <v>3040</v>
      </c>
      <c r="B1791" s="83">
        <v>45874</v>
      </c>
      <c r="C1791" s="82" t="s">
        <v>3395</v>
      </c>
      <c r="D1791" s="82" t="s">
        <v>929</v>
      </c>
      <c r="E1791" s="82"/>
      <c r="F1791" s="82" t="s">
        <v>4880</v>
      </c>
      <c r="G1791" s="89">
        <v>2</v>
      </c>
      <c r="H1791" s="89">
        <v>13.75</v>
      </c>
      <c r="I1791" s="85">
        <v>0</v>
      </c>
      <c r="J1791" s="85">
        <v>1.38</v>
      </c>
      <c r="K1791" s="85">
        <v>28.88</v>
      </c>
      <c r="L1791" s="85">
        <v>1055.28</v>
      </c>
      <c r="M1791" s="89">
        <v>13.75</v>
      </c>
      <c r="N1791" s="85">
        <v>0</v>
      </c>
      <c r="O1791" s="85">
        <v>1.38</v>
      </c>
      <c r="P1791" s="85">
        <v>28.88</v>
      </c>
      <c r="Q1791" s="85">
        <v>1055.28</v>
      </c>
      <c r="R1791" s="82" t="s">
        <v>3399</v>
      </c>
      <c r="S1791" s="7">
        <f t="shared" si="82"/>
        <v>0</v>
      </c>
      <c r="T1791" s="6">
        <f t="shared" si="83"/>
        <v>0</v>
      </c>
      <c r="U1791" s="25">
        <f t="shared" si="81"/>
        <v>0</v>
      </c>
    </row>
    <row r="1792" spans="1:21" ht="10.9" customHeight="1" x14ac:dyDescent="0.2">
      <c r="A1792" s="82" t="s">
        <v>3040</v>
      </c>
      <c r="B1792" s="83">
        <v>45874</v>
      </c>
      <c r="C1792" s="82" t="s">
        <v>3395</v>
      </c>
      <c r="D1792" s="82" t="s">
        <v>929</v>
      </c>
      <c r="E1792" s="82"/>
      <c r="F1792" s="82" t="s">
        <v>5062</v>
      </c>
      <c r="G1792" s="89">
        <v>1</v>
      </c>
      <c r="H1792" s="89">
        <v>85.85</v>
      </c>
      <c r="I1792" s="85">
        <v>0</v>
      </c>
      <c r="J1792" s="85">
        <v>4.29</v>
      </c>
      <c r="K1792" s="85">
        <v>90.14</v>
      </c>
      <c r="L1792" s="85">
        <v>1055.28</v>
      </c>
      <c r="M1792" s="89">
        <v>85.85</v>
      </c>
      <c r="N1792" s="85">
        <v>0</v>
      </c>
      <c r="O1792" s="85">
        <v>4.29</v>
      </c>
      <c r="P1792" s="85">
        <v>90.14</v>
      </c>
      <c r="Q1792" s="85">
        <v>1055.28</v>
      </c>
      <c r="R1792" s="82" t="s">
        <v>3399</v>
      </c>
      <c r="S1792" s="7">
        <f t="shared" si="82"/>
        <v>0</v>
      </c>
      <c r="T1792" s="6">
        <f t="shared" si="83"/>
        <v>0</v>
      </c>
      <c r="U1792" s="25">
        <f t="shared" si="81"/>
        <v>0</v>
      </c>
    </row>
    <row r="1793" spans="1:21" ht="10.9" customHeight="1" x14ac:dyDescent="0.2">
      <c r="A1793" s="82" t="s">
        <v>3027</v>
      </c>
      <c r="B1793" s="83">
        <v>45874</v>
      </c>
      <c r="C1793" s="82" t="s">
        <v>3395</v>
      </c>
      <c r="D1793" s="82" t="s">
        <v>951</v>
      </c>
      <c r="E1793" s="82"/>
      <c r="F1793" s="82" t="s">
        <v>4884</v>
      </c>
      <c r="G1793" s="89">
        <v>1</v>
      </c>
      <c r="H1793" s="89">
        <v>38.11</v>
      </c>
      <c r="I1793" s="85">
        <v>0</v>
      </c>
      <c r="J1793" s="85">
        <v>1.91</v>
      </c>
      <c r="K1793" s="85">
        <v>40.020000000000003</v>
      </c>
      <c r="L1793" s="85">
        <v>194.22</v>
      </c>
      <c r="M1793" s="89">
        <v>38.11</v>
      </c>
      <c r="N1793" s="85">
        <v>0</v>
      </c>
      <c r="O1793" s="85">
        <v>1.91</v>
      </c>
      <c r="P1793" s="85">
        <v>40.020000000000003</v>
      </c>
      <c r="Q1793" s="85">
        <v>194.22</v>
      </c>
      <c r="R1793" s="82" t="s">
        <v>4511</v>
      </c>
      <c r="S1793" s="7">
        <f t="shared" si="82"/>
        <v>0</v>
      </c>
      <c r="T1793" s="6">
        <f t="shared" si="83"/>
        <v>0</v>
      </c>
      <c r="U1793" s="25">
        <f t="shared" si="81"/>
        <v>0</v>
      </c>
    </row>
    <row r="1794" spans="1:21" ht="10.9" customHeight="1" x14ac:dyDescent="0.2">
      <c r="A1794" s="82" t="s">
        <v>3027</v>
      </c>
      <c r="B1794" s="83">
        <v>45874</v>
      </c>
      <c r="C1794" s="82" t="s">
        <v>3395</v>
      </c>
      <c r="D1794" s="82" t="s">
        <v>951</v>
      </c>
      <c r="E1794" s="82"/>
      <c r="F1794" s="82" t="s">
        <v>4883</v>
      </c>
      <c r="G1794" s="89">
        <v>4</v>
      </c>
      <c r="H1794" s="89">
        <v>10.63</v>
      </c>
      <c r="I1794" s="85">
        <v>0</v>
      </c>
      <c r="J1794" s="85">
        <v>2.13</v>
      </c>
      <c r="K1794" s="85">
        <v>44.65</v>
      </c>
      <c r="L1794" s="85">
        <v>194.22</v>
      </c>
      <c r="M1794" s="89">
        <v>10.63</v>
      </c>
      <c r="N1794" s="85">
        <v>0</v>
      </c>
      <c r="O1794" s="85">
        <v>2.13</v>
      </c>
      <c r="P1794" s="85">
        <v>44.65</v>
      </c>
      <c r="Q1794" s="85">
        <v>194.22</v>
      </c>
      <c r="R1794" s="82" t="s">
        <v>4511</v>
      </c>
      <c r="S1794" s="7">
        <f t="shared" si="82"/>
        <v>0</v>
      </c>
      <c r="T1794" s="6">
        <f t="shared" si="83"/>
        <v>0</v>
      </c>
      <c r="U1794" s="25">
        <f t="shared" ref="U1794:U1857" si="84">IF(T1794=1,K1794-J1794,0)</f>
        <v>0</v>
      </c>
    </row>
    <row r="1795" spans="1:21" ht="10.9" customHeight="1" x14ac:dyDescent="0.2">
      <c r="A1795" s="82" t="s">
        <v>3027</v>
      </c>
      <c r="B1795" s="83">
        <v>45874</v>
      </c>
      <c r="C1795" s="82" t="s">
        <v>3395</v>
      </c>
      <c r="D1795" s="82" t="s">
        <v>951</v>
      </c>
      <c r="E1795" s="82"/>
      <c r="F1795" s="82" t="s">
        <v>4882</v>
      </c>
      <c r="G1795" s="89">
        <v>2</v>
      </c>
      <c r="H1795" s="89">
        <v>32.47</v>
      </c>
      <c r="I1795" s="85">
        <v>0</v>
      </c>
      <c r="J1795" s="85">
        <v>3.25</v>
      </c>
      <c r="K1795" s="85">
        <v>68.19</v>
      </c>
      <c r="L1795" s="85">
        <v>194.22</v>
      </c>
      <c r="M1795" s="89">
        <v>32.47</v>
      </c>
      <c r="N1795" s="85">
        <v>0</v>
      </c>
      <c r="O1795" s="85">
        <v>3.25</v>
      </c>
      <c r="P1795" s="85">
        <v>68.19</v>
      </c>
      <c r="Q1795" s="85">
        <v>194.22</v>
      </c>
      <c r="R1795" s="82" t="s">
        <v>4511</v>
      </c>
      <c r="S1795" s="7">
        <f t="shared" ref="S1795:S1858" si="85">IF(T1795=1,A1795,0)</f>
        <v>0</v>
      </c>
      <c r="T1795" s="6">
        <f t="shared" ref="T1795:T1858" si="86">IFERROR(FIND("Freight",F1795,1),0)</f>
        <v>0</v>
      </c>
      <c r="U1795" s="25">
        <f t="shared" si="84"/>
        <v>0</v>
      </c>
    </row>
    <row r="1796" spans="1:21" ht="10.9" customHeight="1" x14ac:dyDescent="0.2">
      <c r="A1796" s="82" t="s">
        <v>3027</v>
      </c>
      <c r="B1796" s="83">
        <v>45874</v>
      </c>
      <c r="C1796" s="82" t="s">
        <v>3395</v>
      </c>
      <c r="D1796" s="82" t="s">
        <v>951</v>
      </c>
      <c r="E1796" s="82"/>
      <c r="F1796" s="82" t="s">
        <v>4881</v>
      </c>
      <c r="G1796" s="89">
        <v>1</v>
      </c>
      <c r="H1796" s="89">
        <v>11.89</v>
      </c>
      <c r="I1796" s="85">
        <v>0</v>
      </c>
      <c r="J1796" s="85">
        <v>0.59</v>
      </c>
      <c r="K1796" s="85">
        <v>12.48</v>
      </c>
      <c r="L1796" s="85">
        <v>194.22</v>
      </c>
      <c r="M1796" s="89">
        <v>11.89</v>
      </c>
      <c r="N1796" s="85">
        <v>0</v>
      </c>
      <c r="O1796" s="85">
        <v>0.59</v>
      </c>
      <c r="P1796" s="85">
        <v>12.48</v>
      </c>
      <c r="Q1796" s="85">
        <v>194.22</v>
      </c>
      <c r="R1796" s="82" t="s">
        <v>4511</v>
      </c>
      <c r="S1796" s="7">
        <f t="shared" si="85"/>
        <v>0</v>
      </c>
      <c r="T1796" s="6">
        <f t="shared" si="86"/>
        <v>0</v>
      </c>
      <c r="U1796" s="25">
        <f t="shared" si="84"/>
        <v>0</v>
      </c>
    </row>
    <row r="1797" spans="1:21" ht="10.9" customHeight="1" x14ac:dyDescent="0.2">
      <c r="A1797" s="82" t="s">
        <v>3027</v>
      </c>
      <c r="B1797" s="83">
        <v>45874</v>
      </c>
      <c r="C1797" s="82" t="s">
        <v>3395</v>
      </c>
      <c r="D1797" s="82" t="s">
        <v>951</v>
      </c>
      <c r="E1797" s="82"/>
      <c r="F1797" s="82" t="s">
        <v>4880</v>
      </c>
      <c r="G1797" s="89">
        <v>2</v>
      </c>
      <c r="H1797" s="89">
        <v>13.75</v>
      </c>
      <c r="I1797" s="85">
        <v>0</v>
      </c>
      <c r="J1797" s="85">
        <v>1.38</v>
      </c>
      <c r="K1797" s="85">
        <v>28.88</v>
      </c>
      <c r="L1797" s="85">
        <v>194.22</v>
      </c>
      <c r="M1797" s="89">
        <v>13.75</v>
      </c>
      <c r="N1797" s="85">
        <v>0</v>
      </c>
      <c r="O1797" s="85">
        <v>1.38</v>
      </c>
      <c r="P1797" s="85">
        <v>28.88</v>
      </c>
      <c r="Q1797" s="85">
        <v>194.22</v>
      </c>
      <c r="R1797" s="82" t="s">
        <v>4511</v>
      </c>
      <c r="S1797" s="7">
        <f t="shared" si="85"/>
        <v>0</v>
      </c>
      <c r="T1797" s="6">
        <f t="shared" si="86"/>
        <v>0</v>
      </c>
      <c r="U1797" s="25">
        <f t="shared" si="84"/>
        <v>0</v>
      </c>
    </row>
    <row r="1798" spans="1:21" ht="10.9" customHeight="1" x14ac:dyDescent="0.2">
      <c r="A1798" s="82" t="s">
        <v>2941</v>
      </c>
      <c r="B1798" s="83">
        <v>45875</v>
      </c>
      <c r="C1798" s="82" t="s">
        <v>3395</v>
      </c>
      <c r="D1798" s="82" t="s">
        <v>1097</v>
      </c>
      <c r="E1798" s="82"/>
      <c r="F1798" s="82" t="s">
        <v>4636</v>
      </c>
      <c r="G1798" s="89">
        <v>1</v>
      </c>
      <c r="H1798" s="89">
        <v>765.02</v>
      </c>
      <c r="I1798" s="85">
        <v>0</v>
      </c>
      <c r="J1798" s="85">
        <v>38.25</v>
      </c>
      <c r="K1798" s="85">
        <v>803.27</v>
      </c>
      <c r="L1798" s="85">
        <v>803.27</v>
      </c>
      <c r="M1798" s="89">
        <v>765.02</v>
      </c>
      <c r="N1798" s="85">
        <v>0</v>
      </c>
      <c r="O1798" s="85">
        <v>38.25</v>
      </c>
      <c r="P1798" s="85">
        <v>803.27</v>
      </c>
      <c r="Q1798" s="85">
        <v>803.27</v>
      </c>
      <c r="R1798" s="82" t="s">
        <v>3399</v>
      </c>
      <c r="S1798" s="7">
        <f t="shared" si="85"/>
        <v>0</v>
      </c>
      <c r="T1798" s="6">
        <f t="shared" si="86"/>
        <v>0</v>
      </c>
      <c r="U1798" s="25">
        <f t="shared" si="84"/>
        <v>0</v>
      </c>
    </row>
    <row r="1799" spans="1:21" ht="10.9" customHeight="1" x14ac:dyDescent="0.2">
      <c r="A1799" s="82" t="s">
        <v>2949</v>
      </c>
      <c r="B1799" s="83">
        <v>45875</v>
      </c>
      <c r="C1799" s="82" t="s">
        <v>3395</v>
      </c>
      <c r="D1799" s="82" t="s">
        <v>1084</v>
      </c>
      <c r="E1799" s="82"/>
      <c r="F1799" s="82" t="s">
        <v>5058</v>
      </c>
      <c r="G1799" s="89">
        <v>1</v>
      </c>
      <c r="H1799" s="89">
        <v>778</v>
      </c>
      <c r="I1799" s="85">
        <v>0</v>
      </c>
      <c r="J1799" s="85">
        <v>101.14</v>
      </c>
      <c r="K1799" s="85">
        <v>879.14</v>
      </c>
      <c r="L1799" s="85">
        <v>879.14</v>
      </c>
      <c r="M1799" s="89">
        <v>778</v>
      </c>
      <c r="N1799" s="85">
        <v>0</v>
      </c>
      <c r="O1799" s="85">
        <v>101.14</v>
      </c>
      <c r="P1799" s="85">
        <v>879.14</v>
      </c>
      <c r="Q1799" s="85">
        <v>879.14</v>
      </c>
      <c r="R1799" s="82" t="s">
        <v>3399</v>
      </c>
      <c r="S1799" s="7">
        <f t="shared" si="85"/>
        <v>0</v>
      </c>
      <c r="T1799" s="6">
        <f t="shared" si="86"/>
        <v>0</v>
      </c>
      <c r="U1799" s="25">
        <f t="shared" si="84"/>
        <v>0</v>
      </c>
    </row>
    <row r="1800" spans="1:21" ht="10.9" customHeight="1" x14ac:dyDescent="0.2">
      <c r="A1800" s="82" t="s">
        <v>2943</v>
      </c>
      <c r="B1800" s="83">
        <v>45875</v>
      </c>
      <c r="C1800" s="82" t="s">
        <v>3395</v>
      </c>
      <c r="D1800" s="82" t="s">
        <v>1093</v>
      </c>
      <c r="E1800" s="82"/>
      <c r="F1800" s="82" t="s">
        <v>5061</v>
      </c>
      <c r="G1800" s="89">
        <v>1</v>
      </c>
      <c r="H1800" s="89">
        <v>133</v>
      </c>
      <c r="I1800" s="85">
        <v>0</v>
      </c>
      <c r="J1800" s="85">
        <v>17.29</v>
      </c>
      <c r="K1800" s="85">
        <v>150.29</v>
      </c>
      <c r="L1800" s="85">
        <v>150.29</v>
      </c>
      <c r="M1800" s="89">
        <v>133</v>
      </c>
      <c r="N1800" s="85">
        <v>0</v>
      </c>
      <c r="O1800" s="85">
        <v>17.29</v>
      </c>
      <c r="P1800" s="85">
        <v>150.29</v>
      </c>
      <c r="Q1800" s="85">
        <v>150.29</v>
      </c>
      <c r="R1800" s="82" t="s">
        <v>3399</v>
      </c>
      <c r="S1800" s="7">
        <f t="shared" si="85"/>
        <v>0</v>
      </c>
      <c r="T1800" s="6">
        <f t="shared" si="86"/>
        <v>0</v>
      </c>
      <c r="U1800" s="25">
        <f t="shared" si="84"/>
        <v>0</v>
      </c>
    </row>
    <row r="1801" spans="1:21" ht="10.9" customHeight="1" x14ac:dyDescent="0.2">
      <c r="A1801" s="82" t="s">
        <v>2803</v>
      </c>
      <c r="B1801" s="83">
        <v>45875</v>
      </c>
      <c r="C1801" s="82" t="s">
        <v>3395</v>
      </c>
      <c r="D1801" s="82" t="s">
        <v>1335</v>
      </c>
      <c r="E1801" s="82"/>
      <c r="F1801" s="82" t="s">
        <v>5060</v>
      </c>
      <c r="G1801" s="89">
        <v>1</v>
      </c>
      <c r="H1801" s="89">
        <v>419.88</v>
      </c>
      <c r="I1801" s="85">
        <v>0</v>
      </c>
      <c r="J1801" s="85">
        <v>20.99</v>
      </c>
      <c r="K1801" s="85">
        <v>440.87</v>
      </c>
      <c r="L1801" s="85">
        <v>440.87</v>
      </c>
      <c r="M1801" s="89">
        <v>419.88</v>
      </c>
      <c r="N1801" s="85">
        <v>0</v>
      </c>
      <c r="O1801" s="85">
        <v>20.99</v>
      </c>
      <c r="P1801" s="85">
        <v>440.87</v>
      </c>
      <c r="Q1801" s="85">
        <v>440.87</v>
      </c>
      <c r="R1801" s="82" t="s">
        <v>3399</v>
      </c>
      <c r="S1801" s="7">
        <f t="shared" si="85"/>
        <v>0</v>
      </c>
      <c r="T1801" s="6">
        <f t="shared" si="86"/>
        <v>0</v>
      </c>
      <c r="U1801" s="25">
        <f t="shared" si="84"/>
        <v>0</v>
      </c>
    </row>
    <row r="1802" spans="1:21" ht="10.9" customHeight="1" x14ac:dyDescent="0.2">
      <c r="A1802" s="82" t="s">
        <v>2991</v>
      </c>
      <c r="B1802" s="83">
        <v>45875</v>
      </c>
      <c r="C1802" s="82" t="s">
        <v>3395</v>
      </c>
      <c r="D1802" s="82" t="s">
        <v>1010</v>
      </c>
      <c r="E1802" s="82"/>
      <c r="F1802" s="82" t="s">
        <v>5059</v>
      </c>
      <c r="G1802" s="89">
        <v>1</v>
      </c>
      <c r="H1802" s="89">
        <v>1137.1600000000001</v>
      </c>
      <c r="I1802" s="85">
        <v>0</v>
      </c>
      <c r="J1802" s="85">
        <v>56.86</v>
      </c>
      <c r="K1802" s="85">
        <v>1194.02</v>
      </c>
      <c r="L1802" s="85">
        <v>1194.02</v>
      </c>
      <c r="M1802" s="89">
        <v>1137.1600000000001</v>
      </c>
      <c r="N1802" s="85">
        <v>0</v>
      </c>
      <c r="O1802" s="85">
        <v>56.86</v>
      </c>
      <c r="P1802" s="85">
        <v>1194.02</v>
      </c>
      <c r="Q1802" s="85">
        <v>1194.02</v>
      </c>
      <c r="R1802" s="82" t="s">
        <v>3399</v>
      </c>
      <c r="S1802" s="7">
        <f t="shared" si="85"/>
        <v>0</v>
      </c>
      <c r="T1802" s="6">
        <f t="shared" si="86"/>
        <v>0</v>
      </c>
      <c r="U1802" s="25">
        <f t="shared" si="84"/>
        <v>0</v>
      </c>
    </row>
    <row r="1803" spans="1:21" ht="10.9" customHeight="1" x14ac:dyDescent="0.2">
      <c r="A1803" s="82" t="s">
        <v>2961</v>
      </c>
      <c r="B1803" s="83">
        <v>45875</v>
      </c>
      <c r="C1803" s="82" t="s">
        <v>3395</v>
      </c>
      <c r="D1803" s="82" t="s">
        <v>1063</v>
      </c>
      <c r="E1803" s="82"/>
      <c r="F1803" s="82" t="s">
        <v>5059</v>
      </c>
      <c r="G1803" s="89">
        <v>2</v>
      </c>
      <c r="H1803" s="89">
        <v>1137.1600000000001</v>
      </c>
      <c r="I1803" s="85">
        <v>0</v>
      </c>
      <c r="J1803" s="85">
        <v>113.72</v>
      </c>
      <c r="K1803" s="85">
        <v>2388.04</v>
      </c>
      <c r="L1803" s="85">
        <v>2388.04</v>
      </c>
      <c r="M1803" s="89">
        <v>1137.1600000000001</v>
      </c>
      <c r="N1803" s="85">
        <v>0</v>
      </c>
      <c r="O1803" s="85">
        <v>113.72</v>
      </c>
      <c r="P1803" s="85">
        <v>2388.04</v>
      </c>
      <c r="Q1803" s="85">
        <v>2388.04</v>
      </c>
      <c r="R1803" s="82" t="s">
        <v>3399</v>
      </c>
      <c r="S1803" s="7">
        <f t="shared" si="85"/>
        <v>0</v>
      </c>
      <c r="T1803" s="6">
        <f t="shared" si="86"/>
        <v>0</v>
      </c>
      <c r="U1803" s="25">
        <f t="shared" si="84"/>
        <v>0</v>
      </c>
    </row>
    <row r="1804" spans="1:21" ht="10.9" customHeight="1" x14ac:dyDescent="0.2">
      <c r="A1804" s="82" t="s">
        <v>2679</v>
      </c>
      <c r="B1804" s="83">
        <v>45875</v>
      </c>
      <c r="C1804" s="82" t="s">
        <v>3395</v>
      </c>
      <c r="D1804" s="82" t="s">
        <v>3487</v>
      </c>
      <c r="E1804" s="82"/>
      <c r="F1804" s="82" t="s">
        <v>4868</v>
      </c>
      <c r="G1804" s="89">
        <v>4</v>
      </c>
      <c r="H1804" s="89">
        <v>3873</v>
      </c>
      <c r="I1804" s="85">
        <v>0</v>
      </c>
      <c r="J1804" s="85">
        <v>0</v>
      </c>
      <c r="K1804" s="85">
        <v>15492</v>
      </c>
      <c r="L1804" s="85">
        <v>15492</v>
      </c>
      <c r="M1804" s="89">
        <v>5320.9978141731162</v>
      </c>
      <c r="N1804" s="85">
        <v>0</v>
      </c>
      <c r="O1804" s="85">
        <v>0</v>
      </c>
      <c r="P1804" s="85">
        <v>21283.991256692465</v>
      </c>
      <c r="Q1804" s="85">
        <v>21283.991256692465</v>
      </c>
      <c r="R1804" s="82" t="s">
        <v>3396</v>
      </c>
      <c r="S1804" s="7">
        <f t="shared" si="85"/>
        <v>0</v>
      </c>
      <c r="T1804" s="6">
        <f t="shared" si="86"/>
        <v>0</v>
      </c>
      <c r="U1804" s="25">
        <f t="shared" si="84"/>
        <v>0</v>
      </c>
    </row>
    <row r="1805" spans="1:21" ht="10.9" customHeight="1" x14ac:dyDescent="0.2">
      <c r="A1805" s="82" t="s">
        <v>2703</v>
      </c>
      <c r="B1805" s="83">
        <v>45875</v>
      </c>
      <c r="C1805" s="82" t="s">
        <v>3395</v>
      </c>
      <c r="D1805" s="82" t="s">
        <v>3460</v>
      </c>
      <c r="E1805" s="82"/>
      <c r="F1805" s="82" t="s">
        <v>4868</v>
      </c>
      <c r="G1805" s="89">
        <v>4</v>
      </c>
      <c r="H1805" s="89">
        <v>3873</v>
      </c>
      <c r="I1805" s="85">
        <v>0</v>
      </c>
      <c r="J1805" s="85">
        <v>0</v>
      </c>
      <c r="K1805" s="85">
        <v>15492</v>
      </c>
      <c r="L1805" s="85">
        <v>15492</v>
      </c>
      <c r="M1805" s="89">
        <v>5320.9978141731162</v>
      </c>
      <c r="N1805" s="85">
        <v>0</v>
      </c>
      <c r="O1805" s="85">
        <v>0</v>
      </c>
      <c r="P1805" s="85">
        <v>21283.991256692465</v>
      </c>
      <c r="Q1805" s="85">
        <v>21283.991256692465</v>
      </c>
      <c r="R1805" s="82" t="s">
        <v>3396</v>
      </c>
      <c r="S1805" s="7">
        <f t="shared" si="85"/>
        <v>0</v>
      </c>
      <c r="T1805" s="6">
        <f t="shared" si="86"/>
        <v>0</v>
      </c>
      <c r="U1805" s="25">
        <f t="shared" si="84"/>
        <v>0</v>
      </c>
    </row>
    <row r="1806" spans="1:21" ht="10.9" customHeight="1" x14ac:dyDescent="0.2">
      <c r="A1806" s="82"/>
      <c r="B1806" s="83">
        <v>45875</v>
      </c>
      <c r="C1806" s="82" t="s">
        <v>3423</v>
      </c>
      <c r="D1806" s="82" t="s">
        <v>896</v>
      </c>
      <c r="E1806" s="82"/>
      <c r="F1806" s="82" t="s">
        <v>896</v>
      </c>
      <c r="G1806" s="89">
        <v>-1</v>
      </c>
      <c r="H1806" s="89">
        <v>7542.77</v>
      </c>
      <c r="I1806" s="85">
        <v>0</v>
      </c>
      <c r="J1806" s="85">
        <v>0</v>
      </c>
      <c r="K1806" s="85">
        <v>-7542.77</v>
      </c>
      <c r="L1806" s="85">
        <v>-7542.77</v>
      </c>
      <c r="M1806" s="89">
        <v>7542.77</v>
      </c>
      <c r="N1806" s="85">
        <v>0</v>
      </c>
      <c r="O1806" s="85">
        <v>0</v>
      </c>
      <c r="P1806" s="85">
        <v>-7542.77</v>
      </c>
      <c r="Q1806" s="85">
        <v>-7542.77</v>
      </c>
      <c r="R1806" s="82" t="s">
        <v>3399</v>
      </c>
      <c r="S1806" s="7">
        <f t="shared" si="85"/>
        <v>0</v>
      </c>
      <c r="T1806" s="6">
        <f t="shared" si="86"/>
        <v>0</v>
      </c>
      <c r="U1806" s="25">
        <f t="shared" si="84"/>
        <v>0</v>
      </c>
    </row>
    <row r="1807" spans="1:21" ht="10.9" customHeight="1" x14ac:dyDescent="0.2">
      <c r="A1807" s="82" t="s">
        <v>3034</v>
      </c>
      <c r="B1807" s="83">
        <v>45876</v>
      </c>
      <c r="C1807" s="82" t="s">
        <v>3395</v>
      </c>
      <c r="D1807" s="82" t="s">
        <v>941</v>
      </c>
      <c r="E1807" s="82"/>
      <c r="F1807" s="82" t="s">
        <v>5057</v>
      </c>
      <c r="G1807" s="89">
        <v>1</v>
      </c>
      <c r="H1807" s="89">
        <v>4631.54</v>
      </c>
      <c r="I1807" s="85">
        <v>0</v>
      </c>
      <c r="J1807" s="85">
        <v>0</v>
      </c>
      <c r="K1807" s="85">
        <v>4631.54</v>
      </c>
      <c r="L1807" s="85">
        <v>5974.76</v>
      </c>
      <c r="M1807" s="89">
        <v>6360.5376781182367</v>
      </c>
      <c r="N1807" s="85">
        <v>0</v>
      </c>
      <c r="O1807" s="85">
        <v>0</v>
      </c>
      <c r="P1807" s="85">
        <v>6360.5376781182367</v>
      </c>
      <c r="Q1807" s="85">
        <v>8205.1944056865996</v>
      </c>
      <c r="R1807" s="82" t="s">
        <v>3396</v>
      </c>
      <c r="S1807" s="7">
        <f t="shared" si="85"/>
        <v>0</v>
      </c>
      <c r="T1807" s="6">
        <f t="shared" si="86"/>
        <v>0</v>
      </c>
      <c r="U1807" s="25">
        <f t="shared" si="84"/>
        <v>0</v>
      </c>
    </row>
    <row r="1808" spans="1:21" ht="10.9" customHeight="1" x14ac:dyDescent="0.2">
      <c r="A1808" s="82" t="s">
        <v>3034</v>
      </c>
      <c r="B1808" s="83">
        <v>45876</v>
      </c>
      <c r="C1808" s="82" t="s">
        <v>3395</v>
      </c>
      <c r="D1808" s="82" t="s">
        <v>941</v>
      </c>
      <c r="E1808" s="82"/>
      <c r="F1808" s="82" t="s">
        <v>5056</v>
      </c>
      <c r="G1808" s="89">
        <v>1</v>
      </c>
      <c r="H1808" s="89">
        <v>262.58</v>
      </c>
      <c r="I1808" s="85">
        <v>0</v>
      </c>
      <c r="J1808" s="85">
        <v>0</v>
      </c>
      <c r="K1808" s="85">
        <v>262.58</v>
      </c>
      <c r="L1808" s="85">
        <v>5974.76</v>
      </c>
      <c r="M1808" s="89">
        <v>360.60359697212732</v>
      </c>
      <c r="N1808" s="85">
        <v>0</v>
      </c>
      <c r="O1808" s="85">
        <v>0</v>
      </c>
      <c r="P1808" s="85">
        <v>360.60359697212732</v>
      </c>
      <c r="Q1808" s="85">
        <v>8205.1944056865996</v>
      </c>
      <c r="R1808" s="82" t="s">
        <v>3396</v>
      </c>
      <c r="S1808" s="7">
        <f t="shared" si="85"/>
        <v>0</v>
      </c>
      <c r="T1808" s="6">
        <f t="shared" si="86"/>
        <v>0</v>
      </c>
      <c r="U1808" s="25">
        <f t="shared" si="84"/>
        <v>0</v>
      </c>
    </row>
    <row r="1809" spans="1:21" ht="10.9" customHeight="1" x14ac:dyDescent="0.2">
      <c r="A1809" s="82" t="s">
        <v>3034</v>
      </c>
      <c r="B1809" s="83">
        <v>45876</v>
      </c>
      <c r="C1809" s="82" t="s">
        <v>3395</v>
      </c>
      <c r="D1809" s="82" t="s">
        <v>941</v>
      </c>
      <c r="E1809" s="82"/>
      <c r="F1809" s="82" t="s">
        <v>5055</v>
      </c>
      <c r="G1809" s="89">
        <v>1</v>
      </c>
      <c r="H1809" s="89">
        <v>104.62</v>
      </c>
      <c r="I1809" s="85">
        <v>0</v>
      </c>
      <c r="J1809" s="85">
        <v>0</v>
      </c>
      <c r="K1809" s="85">
        <v>104.62</v>
      </c>
      <c r="L1809" s="85">
        <v>5974.76</v>
      </c>
      <c r="M1809" s="89">
        <v>143.67563529295438</v>
      </c>
      <c r="N1809" s="85">
        <v>0</v>
      </c>
      <c r="O1809" s="85">
        <v>0</v>
      </c>
      <c r="P1809" s="85">
        <v>143.67563529295438</v>
      </c>
      <c r="Q1809" s="85">
        <v>8205.1944056865996</v>
      </c>
      <c r="R1809" s="82" t="s">
        <v>3396</v>
      </c>
      <c r="S1809" s="7">
        <f t="shared" si="85"/>
        <v>0</v>
      </c>
      <c r="T1809" s="6">
        <f t="shared" si="86"/>
        <v>0</v>
      </c>
      <c r="U1809" s="25">
        <f t="shared" si="84"/>
        <v>0</v>
      </c>
    </row>
    <row r="1810" spans="1:21" ht="10.9" customHeight="1" x14ac:dyDescent="0.2">
      <c r="A1810" s="82" t="s">
        <v>3034</v>
      </c>
      <c r="B1810" s="83">
        <v>45876</v>
      </c>
      <c r="C1810" s="82" t="s">
        <v>3395</v>
      </c>
      <c r="D1810" s="82" t="s">
        <v>941</v>
      </c>
      <c r="E1810" s="82"/>
      <c r="F1810" s="82" t="s">
        <v>5054</v>
      </c>
      <c r="G1810" s="89">
        <v>1</v>
      </c>
      <c r="H1810" s="89">
        <v>976.02</v>
      </c>
      <c r="I1810" s="85">
        <v>0</v>
      </c>
      <c r="J1810" s="85">
        <v>0</v>
      </c>
      <c r="K1810" s="85">
        <v>976.02</v>
      </c>
      <c r="L1810" s="85">
        <v>5974.76</v>
      </c>
      <c r="M1810" s="89">
        <v>1340.3774953032816</v>
      </c>
      <c r="N1810" s="85">
        <v>0</v>
      </c>
      <c r="O1810" s="85">
        <v>0</v>
      </c>
      <c r="P1810" s="85">
        <v>1340.3774953032816</v>
      </c>
      <c r="Q1810" s="85">
        <v>8205.1944056865996</v>
      </c>
      <c r="R1810" s="82" t="s">
        <v>3396</v>
      </c>
      <c r="S1810" s="7">
        <f t="shared" si="85"/>
        <v>0</v>
      </c>
      <c r="T1810" s="6">
        <f t="shared" si="86"/>
        <v>0</v>
      </c>
      <c r="U1810" s="25">
        <f t="shared" si="84"/>
        <v>0</v>
      </c>
    </row>
    <row r="1811" spans="1:21" ht="10.9" customHeight="1" x14ac:dyDescent="0.2">
      <c r="A1811" s="82" t="s">
        <v>2665</v>
      </c>
      <c r="B1811" s="83">
        <v>45876</v>
      </c>
      <c r="C1811" s="82" t="s">
        <v>3395</v>
      </c>
      <c r="D1811" s="82" t="s">
        <v>1586</v>
      </c>
      <c r="E1811" s="82"/>
      <c r="F1811" s="82" t="s">
        <v>5050</v>
      </c>
      <c r="G1811" s="89">
        <v>12</v>
      </c>
      <c r="H1811" s="89">
        <v>171.46</v>
      </c>
      <c r="I1811" s="85">
        <v>0</v>
      </c>
      <c r="J1811" s="85">
        <v>0</v>
      </c>
      <c r="K1811" s="85">
        <v>2057.52</v>
      </c>
      <c r="L1811" s="85">
        <v>2057.52</v>
      </c>
      <c r="M1811" s="89">
        <v>235.46763933597742</v>
      </c>
      <c r="N1811" s="85">
        <v>0</v>
      </c>
      <c r="O1811" s="85">
        <v>0</v>
      </c>
      <c r="P1811" s="85">
        <v>2825.6116720317291</v>
      </c>
      <c r="Q1811" s="85">
        <v>2825.6116720317291</v>
      </c>
      <c r="R1811" s="82" t="s">
        <v>3399</v>
      </c>
      <c r="S1811" s="7">
        <f t="shared" si="85"/>
        <v>0</v>
      </c>
      <c r="T1811" s="6">
        <f t="shared" si="86"/>
        <v>0</v>
      </c>
      <c r="U1811" s="25">
        <f t="shared" si="84"/>
        <v>0</v>
      </c>
    </row>
    <row r="1812" spans="1:21" ht="10.9" customHeight="1" x14ac:dyDescent="0.2">
      <c r="A1812" s="82" t="s">
        <v>2946</v>
      </c>
      <c r="B1812" s="83">
        <v>45876</v>
      </c>
      <c r="C1812" s="82" t="s">
        <v>3395</v>
      </c>
      <c r="D1812" s="82" t="s">
        <v>1088</v>
      </c>
      <c r="E1812" s="82"/>
      <c r="F1812" s="82" t="s">
        <v>4612</v>
      </c>
      <c r="G1812" s="89">
        <v>1</v>
      </c>
      <c r="H1812" s="89">
        <v>184.92</v>
      </c>
      <c r="I1812" s="85">
        <v>0</v>
      </c>
      <c r="J1812" s="85">
        <v>0</v>
      </c>
      <c r="K1812" s="85">
        <v>184.92</v>
      </c>
      <c r="L1812" s="85">
        <v>184.92</v>
      </c>
      <c r="M1812" s="89">
        <v>254.09475651313619</v>
      </c>
      <c r="N1812" s="85">
        <v>0</v>
      </c>
      <c r="O1812" s="85">
        <v>0</v>
      </c>
      <c r="P1812" s="85">
        <v>254.09475651313619</v>
      </c>
      <c r="Q1812" s="85">
        <v>254.09475651313619</v>
      </c>
      <c r="R1812" s="82" t="s">
        <v>3399</v>
      </c>
      <c r="S1812" s="7">
        <f t="shared" si="85"/>
        <v>0</v>
      </c>
      <c r="T1812" s="6">
        <f t="shared" si="86"/>
        <v>0</v>
      </c>
      <c r="U1812" s="25">
        <f t="shared" si="84"/>
        <v>0</v>
      </c>
    </row>
    <row r="1813" spans="1:21" ht="10.9" customHeight="1" x14ac:dyDescent="0.2">
      <c r="A1813" s="82" t="s">
        <v>2944</v>
      </c>
      <c r="B1813" s="83">
        <v>45876</v>
      </c>
      <c r="C1813" s="82" t="s">
        <v>3395</v>
      </c>
      <c r="D1813" s="82" t="s">
        <v>1090</v>
      </c>
      <c r="E1813" s="82"/>
      <c r="F1813" s="82" t="s">
        <v>5053</v>
      </c>
      <c r="G1813" s="89">
        <v>1</v>
      </c>
      <c r="H1813" s="89">
        <v>450</v>
      </c>
      <c r="I1813" s="85">
        <v>0</v>
      </c>
      <c r="J1813" s="85">
        <v>58.5</v>
      </c>
      <c r="K1813" s="85">
        <v>508.5</v>
      </c>
      <c r="L1813" s="85">
        <v>508.5</v>
      </c>
      <c r="M1813" s="89">
        <v>450</v>
      </c>
      <c r="N1813" s="85">
        <v>0</v>
      </c>
      <c r="O1813" s="85">
        <v>58.5</v>
      </c>
      <c r="P1813" s="85">
        <v>508.5</v>
      </c>
      <c r="Q1813" s="85">
        <v>508.5</v>
      </c>
      <c r="R1813" s="82" t="s">
        <v>3399</v>
      </c>
      <c r="S1813" s="7">
        <f t="shared" si="85"/>
        <v>0</v>
      </c>
      <c r="T1813" s="6">
        <f t="shared" si="86"/>
        <v>0</v>
      </c>
      <c r="U1813" s="25">
        <f t="shared" si="84"/>
        <v>0</v>
      </c>
    </row>
    <row r="1814" spans="1:21" ht="10.9" customHeight="1" x14ac:dyDescent="0.2">
      <c r="A1814" s="82" t="s">
        <v>3058</v>
      </c>
      <c r="B1814" s="83">
        <v>45876</v>
      </c>
      <c r="C1814" s="82" t="s">
        <v>3395</v>
      </c>
      <c r="D1814" s="82" t="s">
        <v>895</v>
      </c>
      <c r="E1814" s="82"/>
      <c r="F1814" s="82" t="s">
        <v>4591</v>
      </c>
      <c r="G1814" s="89">
        <v>5</v>
      </c>
      <c r="H1814" s="89">
        <v>172.3</v>
      </c>
      <c r="I1814" s="85">
        <v>0</v>
      </c>
      <c r="J1814" s="85">
        <v>43.08</v>
      </c>
      <c r="K1814" s="85">
        <v>904.58</v>
      </c>
      <c r="L1814" s="85">
        <v>904.58</v>
      </c>
      <c r="M1814" s="89">
        <v>172.3</v>
      </c>
      <c r="N1814" s="85">
        <v>0</v>
      </c>
      <c r="O1814" s="85">
        <v>43.08</v>
      </c>
      <c r="P1814" s="85">
        <v>904.58</v>
      </c>
      <c r="Q1814" s="85">
        <v>904.58</v>
      </c>
      <c r="R1814" s="82" t="s">
        <v>3399</v>
      </c>
      <c r="S1814" s="7">
        <f t="shared" si="85"/>
        <v>0</v>
      </c>
      <c r="T1814" s="6">
        <f t="shared" si="86"/>
        <v>0</v>
      </c>
      <c r="U1814" s="25">
        <f t="shared" si="84"/>
        <v>0</v>
      </c>
    </row>
    <row r="1815" spans="1:21" ht="10.9" customHeight="1" x14ac:dyDescent="0.2">
      <c r="A1815" s="82" t="s">
        <v>3060</v>
      </c>
      <c r="B1815" s="83">
        <v>45876</v>
      </c>
      <c r="C1815" s="82" t="s">
        <v>3395</v>
      </c>
      <c r="D1815" s="82" t="s">
        <v>891</v>
      </c>
      <c r="E1815" s="82"/>
      <c r="F1815" s="82" t="s">
        <v>5052</v>
      </c>
      <c r="G1815" s="89">
        <v>2</v>
      </c>
      <c r="H1815" s="89">
        <v>181.32</v>
      </c>
      <c r="I1815" s="85">
        <v>0</v>
      </c>
      <c r="J1815" s="85">
        <v>18.13</v>
      </c>
      <c r="K1815" s="85">
        <v>380.77</v>
      </c>
      <c r="L1815" s="85">
        <v>380.77</v>
      </c>
      <c r="M1815" s="89">
        <v>181.32</v>
      </c>
      <c r="N1815" s="85">
        <v>0</v>
      </c>
      <c r="O1815" s="85">
        <v>18.13</v>
      </c>
      <c r="P1815" s="85">
        <v>380.77</v>
      </c>
      <c r="Q1815" s="85">
        <v>380.77</v>
      </c>
      <c r="R1815" s="82" t="s">
        <v>3399</v>
      </c>
      <c r="S1815" s="7">
        <f t="shared" si="85"/>
        <v>0</v>
      </c>
      <c r="T1815" s="6">
        <f t="shared" si="86"/>
        <v>0</v>
      </c>
      <c r="U1815" s="25">
        <f t="shared" si="84"/>
        <v>0</v>
      </c>
    </row>
    <row r="1816" spans="1:21" ht="10.9" customHeight="1" x14ac:dyDescent="0.2">
      <c r="A1816" s="82" t="s">
        <v>3048</v>
      </c>
      <c r="B1816" s="83">
        <v>45876</v>
      </c>
      <c r="C1816" s="82" t="s">
        <v>3395</v>
      </c>
      <c r="D1816" s="82" t="s">
        <v>917</v>
      </c>
      <c r="E1816" s="82"/>
      <c r="F1816" s="82" t="s">
        <v>5051</v>
      </c>
      <c r="G1816" s="89">
        <v>2</v>
      </c>
      <c r="H1816" s="89">
        <v>62.11</v>
      </c>
      <c r="I1816" s="85">
        <v>0</v>
      </c>
      <c r="J1816" s="85">
        <v>6.21</v>
      </c>
      <c r="K1816" s="85">
        <v>130.43</v>
      </c>
      <c r="L1816" s="85">
        <v>130.43</v>
      </c>
      <c r="M1816" s="89">
        <v>62.11</v>
      </c>
      <c r="N1816" s="85">
        <v>0</v>
      </c>
      <c r="O1816" s="85">
        <v>6.21</v>
      </c>
      <c r="P1816" s="85">
        <v>130.43</v>
      </c>
      <c r="Q1816" s="85">
        <v>130.43</v>
      </c>
      <c r="R1816" s="82" t="s">
        <v>3399</v>
      </c>
      <c r="S1816" s="7">
        <f t="shared" si="85"/>
        <v>0</v>
      </c>
      <c r="T1816" s="6">
        <f t="shared" si="86"/>
        <v>0</v>
      </c>
      <c r="U1816" s="25">
        <f t="shared" si="84"/>
        <v>0</v>
      </c>
    </row>
    <row r="1817" spans="1:21" ht="10.9" customHeight="1" x14ac:dyDescent="0.2">
      <c r="A1817" s="82"/>
      <c r="B1817" s="83">
        <v>45876</v>
      </c>
      <c r="C1817" s="82" t="s">
        <v>3423</v>
      </c>
      <c r="D1817" s="82"/>
      <c r="E1817" s="82"/>
      <c r="F1817" s="82" t="s">
        <v>5049</v>
      </c>
      <c r="G1817" s="89">
        <v>-1</v>
      </c>
      <c r="H1817" s="89">
        <v>698.88</v>
      </c>
      <c r="I1817" s="85">
        <v>0</v>
      </c>
      <c r="J1817" s="85">
        <v>0</v>
      </c>
      <c r="K1817" s="85">
        <v>-698.88</v>
      </c>
      <c r="L1817" s="85">
        <v>-698.88</v>
      </c>
      <c r="M1817" s="89">
        <v>960.31658788611628</v>
      </c>
      <c r="N1817" s="85">
        <v>0</v>
      </c>
      <c r="O1817" s="85">
        <v>0</v>
      </c>
      <c r="P1817" s="85">
        <v>-960.31658788611628</v>
      </c>
      <c r="Q1817" s="85">
        <v>-960.31658788611628</v>
      </c>
      <c r="R1817" s="82" t="s">
        <v>4511</v>
      </c>
      <c r="S1817" s="7">
        <f t="shared" si="85"/>
        <v>0</v>
      </c>
      <c r="T1817" s="6">
        <f t="shared" si="86"/>
        <v>0</v>
      </c>
      <c r="U1817" s="25">
        <f t="shared" si="84"/>
        <v>0</v>
      </c>
    </row>
    <row r="1818" spans="1:21" ht="10.9" customHeight="1" x14ac:dyDescent="0.2">
      <c r="A1818" s="82"/>
      <c r="B1818" s="83">
        <v>45876</v>
      </c>
      <c r="C1818" s="82" t="s">
        <v>3423</v>
      </c>
      <c r="D1818" s="82"/>
      <c r="E1818" s="82"/>
      <c r="F1818" s="82" t="s">
        <v>5049</v>
      </c>
      <c r="G1818" s="89">
        <v>-1</v>
      </c>
      <c r="H1818" s="89">
        <v>698.88</v>
      </c>
      <c r="I1818" s="85">
        <v>0</v>
      </c>
      <c r="J1818" s="85">
        <v>0</v>
      </c>
      <c r="K1818" s="85">
        <v>-698.88</v>
      </c>
      <c r="L1818" s="85">
        <v>-698.88</v>
      </c>
      <c r="M1818" s="89">
        <v>960.31658788611628</v>
      </c>
      <c r="N1818" s="85">
        <v>0</v>
      </c>
      <c r="O1818" s="85">
        <v>0</v>
      </c>
      <c r="P1818" s="85">
        <v>-960.31658788611628</v>
      </c>
      <c r="Q1818" s="85">
        <v>-960.31658788611628</v>
      </c>
      <c r="R1818" s="82" t="s">
        <v>3399</v>
      </c>
      <c r="S1818" s="7">
        <f t="shared" si="85"/>
        <v>0</v>
      </c>
      <c r="T1818" s="6">
        <f t="shared" si="86"/>
        <v>0</v>
      </c>
      <c r="U1818" s="25">
        <f t="shared" si="84"/>
        <v>0</v>
      </c>
    </row>
    <row r="1819" spans="1:21" ht="10.9" customHeight="1" x14ac:dyDescent="0.2">
      <c r="A1819" s="82" t="s">
        <v>3059</v>
      </c>
      <c r="B1819" s="83">
        <v>45877</v>
      </c>
      <c r="C1819" s="82" t="s">
        <v>3395</v>
      </c>
      <c r="D1819" s="82" t="s">
        <v>893</v>
      </c>
      <c r="E1819" s="82"/>
      <c r="F1819" s="82" t="s">
        <v>5045</v>
      </c>
      <c r="G1819" s="89">
        <v>1</v>
      </c>
      <c r="H1819" s="89">
        <v>206.08</v>
      </c>
      <c r="I1819" s="85">
        <v>0</v>
      </c>
      <c r="J1819" s="85">
        <v>0</v>
      </c>
      <c r="K1819" s="85">
        <v>206.08</v>
      </c>
      <c r="L1819" s="85">
        <v>392.59</v>
      </c>
      <c r="M1819" s="89">
        <v>283.43433065321381</v>
      </c>
      <c r="N1819" s="85">
        <v>0</v>
      </c>
      <c r="O1819" s="85">
        <v>0</v>
      </c>
      <c r="P1819" s="85">
        <v>283.43433065321381</v>
      </c>
      <c r="Q1819" s="85">
        <v>539.95285263560368</v>
      </c>
      <c r="R1819" s="82" t="s">
        <v>3399</v>
      </c>
      <c r="S1819" s="7">
        <f t="shared" si="85"/>
        <v>0</v>
      </c>
      <c r="T1819" s="6">
        <f t="shared" si="86"/>
        <v>0</v>
      </c>
      <c r="U1819" s="25">
        <f t="shared" si="84"/>
        <v>0</v>
      </c>
    </row>
    <row r="1820" spans="1:21" ht="10.9" customHeight="1" x14ac:dyDescent="0.2">
      <c r="A1820" s="82" t="s">
        <v>3059</v>
      </c>
      <c r="B1820" s="83">
        <v>45877</v>
      </c>
      <c r="C1820" s="82" t="s">
        <v>3395</v>
      </c>
      <c r="D1820" s="82" t="s">
        <v>893</v>
      </c>
      <c r="E1820" s="82"/>
      <c r="F1820" s="82" t="s">
        <v>4459</v>
      </c>
      <c r="G1820" s="89">
        <v>1</v>
      </c>
      <c r="H1820" s="89">
        <v>186.51</v>
      </c>
      <c r="I1820" s="85">
        <v>0</v>
      </c>
      <c r="J1820" s="85">
        <v>0</v>
      </c>
      <c r="K1820" s="85">
        <v>186.51</v>
      </c>
      <c r="L1820" s="85">
        <v>392.59</v>
      </c>
      <c r="M1820" s="89">
        <v>256.51852198238987</v>
      </c>
      <c r="N1820" s="85">
        <v>0</v>
      </c>
      <c r="O1820" s="85">
        <v>0</v>
      </c>
      <c r="P1820" s="85">
        <v>256.51852198238987</v>
      </c>
      <c r="Q1820" s="85">
        <v>539.95285263560368</v>
      </c>
      <c r="R1820" s="82" t="s">
        <v>3399</v>
      </c>
      <c r="S1820" s="7" t="str">
        <f t="shared" si="85"/>
        <v>INV13282</v>
      </c>
      <c r="T1820" s="6">
        <f t="shared" si="86"/>
        <v>1</v>
      </c>
      <c r="U1820" s="25">
        <f t="shared" si="84"/>
        <v>186.51</v>
      </c>
    </row>
    <row r="1821" spans="1:21" ht="10.9" customHeight="1" x14ac:dyDescent="0.2">
      <c r="A1821" s="82" t="s">
        <v>2868</v>
      </c>
      <c r="B1821" s="83">
        <v>45877</v>
      </c>
      <c r="C1821" s="82" t="s">
        <v>3395</v>
      </c>
      <c r="D1821" s="82" t="s">
        <v>1224</v>
      </c>
      <c r="E1821" s="82"/>
      <c r="F1821" s="82" t="s">
        <v>5048</v>
      </c>
      <c r="G1821" s="89">
        <v>1</v>
      </c>
      <c r="H1821" s="89">
        <v>1347.73</v>
      </c>
      <c r="I1821" s="85">
        <v>0</v>
      </c>
      <c r="J1821" s="85">
        <v>175.2</v>
      </c>
      <c r="K1821" s="85">
        <v>1522.93</v>
      </c>
      <c r="L1821" s="85">
        <v>2943.56</v>
      </c>
      <c r="M1821" s="89">
        <v>1347.73</v>
      </c>
      <c r="N1821" s="85">
        <v>0</v>
      </c>
      <c r="O1821" s="85">
        <v>175.2</v>
      </c>
      <c r="P1821" s="85">
        <v>1522.93</v>
      </c>
      <c r="Q1821" s="85">
        <v>2943.56</v>
      </c>
      <c r="R1821" s="82" t="s">
        <v>3399</v>
      </c>
      <c r="S1821" s="7">
        <f t="shared" si="85"/>
        <v>0</v>
      </c>
      <c r="T1821" s="6">
        <f t="shared" si="86"/>
        <v>0</v>
      </c>
      <c r="U1821" s="25">
        <f t="shared" si="84"/>
        <v>0</v>
      </c>
    </row>
    <row r="1822" spans="1:21" ht="10.9" customHeight="1" x14ac:dyDescent="0.2">
      <c r="A1822" s="82" t="s">
        <v>2868</v>
      </c>
      <c r="B1822" s="83">
        <v>45877</v>
      </c>
      <c r="C1822" s="82" t="s">
        <v>3395</v>
      </c>
      <c r="D1822" s="82" t="s">
        <v>1224</v>
      </c>
      <c r="E1822" s="82"/>
      <c r="F1822" s="82" t="s">
        <v>5047</v>
      </c>
      <c r="G1822" s="89">
        <v>2</v>
      </c>
      <c r="H1822" s="89">
        <v>359.21</v>
      </c>
      <c r="I1822" s="85">
        <v>0</v>
      </c>
      <c r="J1822" s="85">
        <v>93.39</v>
      </c>
      <c r="K1822" s="85">
        <v>811.81</v>
      </c>
      <c r="L1822" s="85">
        <v>2943.56</v>
      </c>
      <c r="M1822" s="89">
        <v>359.21</v>
      </c>
      <c r="N1822" s="85">
        <v>0</v>
      </c>
      <c r="O1822" s="85">
        <v>93.39</v>
      </c>
      <c r="P1822" s="85">
        <v>811.81</v>
      </c>
      <c r="Q1822" s="85">
        <v>2943.56</v>
      </c>
      <c r="R1822" s="82" t="s">
        <v>3399</v>
      </c>
      <c r="S1822" s="7">
        <f t="shared" si="85"/>
        <v>0</v>
      </c>
      <c r="T1822" s="6">
        <f t="shared" si="86"/>
        <v>0</v>
      </c>
      <c r="U1822" s="25">
        <f t="shared" si="84"/>
        <v>0</v>
      </c>
    </row>
    <row r="1823" spans="1:21" ht="10.9" customHeight="1" x14ac:dyDescent="0.2">
      <c r="A1823" s="82" t="s">
        <v>2868</v>
      </c>
      <c r="B1823" s="83">
        <v>45877</v>
      </c>
      <c r="C1823" s="82" t="s">
        <v>3395</v>
      </c>
      <c r="D1823" s="82" t="s">
        <v>1224</v>
      </c>
      <c r="E1823" s="82"/>
      <c r="F1823" s="82" t="s">
        <v>5046</v>
      </c>
      <c r="G1823" s="89">
        <v>1</v>
      </c>
      <c r="H1823" s="89">
        <v>538.78</v>
      </c>
      <c r="I1823" s="85">
        <v>0</v>
      </c>
      <c r="J1823" s="85">
        <v>70.040000000000006</v>
      </c>
      <c r="K1823" s="85">
        <v>608.82000000000005</v>
      </c>
      <c r="L1823" s="85">
        <v>2943.56</v>
      </c>
      <c r="M1823" s="89">
        <v>538.78</v>
      </c>
      <c r="N1823" s="85">
        <v>0</v>
      </c>
      <c r="O1823" s="85">
        <v>70.040000000000006</v>
      </c>
      <c r="P1823" s="85">
        <v>608.82000000000005</v>
      </c>
      <c r="Q1823" s="85">
        <v>2943.56</v>
      </c>
      <c r="R1823" s="82" t="s">
        <v>3399</v>
      </c>
      <c r="S1823" s="7">
        <f t="shared" si="85"/>
        <v>0</v>
      </c>
      <c r="T1823" s="6">
        <f t="shared" si="86"/>
        <v>0</v>
      </c>
      <c r="U1823" s="25">
        <f t="shared" si="84"/>
        <v>0</v>
      </c>
    </row>
    <row r="1824" spans="1:21" ht="10.9" customHeight="1" x14ac:dyDescent="0.2">
      <c r="A1824" s="82"/>
      <c r="B1824" s="83">
        <v>45877</v>
      </c>
      <c r="C1824" s="82" t="s">
        <v>3423</v>
      </c>
      <c r="D1824" s="82"/>
      <c r="E1824" s="82"/>
      <c r="F1824" s="82" t="s">
        <v>5044</v>
      </c>
      <c r="G1824" s="89">
        <v>-1</v>
      </c>
      <c r="H1824" s="89">
        <v>3136.79</v>
      </c>
      <c r="I1824" s="85">
        <v>0</v>
      </c>
      <c r="J1824" s="85">
        <v>0</v>
      </c>
      <c r="K1824" s="85">
        <v>-3136.79</v>
      </c>
      <c r="L1824" s="85">
        <v>-3136.79</v>
      </c>
      <c r="M1824" s="89">
        <v>3136.79</v>
      </c>
      <c r="N1824" s="85">
        <v>0</v>
      </c>
      <c r="O1824" s="85">
        <v>0</v>
      </c>
      <c r="P1824" s="85">
        <v>-3136.79</v>
      </c>
      <c r="Q1824" s="85">
        <v>-3136.79</v>
      </c>
      <c r="R1824" s="82" t="s">
        <v>3399</v>
      </c>
      <c r="S1824" s="7">
        <f t="shared" si="85"/>
        <v>0</v>
      </c>
      <c r="T1824" s="6">
        <f t="shared" si="86"/>
        <v>0</v>
      </c>
      <c r="U1824" s="25">
        <f t="shared" si="84"/>
        <v>0</v>
      </c>
    </row>
    <row r="1825" spans="1:21" ht="10.9" customHeight="1" x14ac:dyDescent="0.2">
      <c r="A1825" s="82" t="s">
        <v>3064</v>
      </c>
      <c r="B1825" s="83">
        <v>45880</v>
      </c>
      <c r="C1825" s="82" t="s">
        <v>3395</v>
      </c>
      <c r="D1825" s="82"/>
      <c r="E1825" s="82"/>
      <c r="F1825" s="82" t="s">
        <v>4667</v>
      </c>
      <c r="G1825" s="89">
        <v>4</v>
      </c>
      <c r="H1825" s="89">
        <v>20</v>
      </c>
      <c r="I1825" s="85">
        <v>0</v>
      </c>
      <c r="J1825" s="85">
        <v>0</v>
      </c>
      <c r="K1825" s="85">
        <v>80</v>
      </c>
      <c r="L1825" s="85">
        <v>303.74</v>
      </c>
      <c r="M1825" s="89">
        <v>27.547412540408612</v>
      </c>
      <c r="N1825" s="85">
        <v>0</v>
      </c>
      <c r="O1825" s="85">
        <v>0</v>
      </c>
      <c r="P1825" s="85">
        <v>110.18965016163445</v>
      </c>
      <c r="Q1825" s="85">
        <v>418.3625542511856</v>
      </c>
      <c r="R1825" s="82" t="s">
        <v>3396</v>
      </c>
      <c r="S1825" s="7">
        <f t="shared" si="85"/>
        <v>0</v>
      </c>
      <c r="T1825" s="6">
        <f t="shared" si="86"/>
        <v>0</v>
      </c>
      <c r="U1825" s="25">
        <f t="shared" si="84"/>
        <v>0</v>
      </c>
    </row>
    <row r="1826" spans="1:21" ht="10.9" customHeight="1" x14ac:dyDescent="0.2">
      <c r="A1826" s="82" t="s">
        <v>3064</v>
      </c>
      <c r="B1826" s="83">
        <v>45880</v>
      </c>
      <c r="C1826" s="82" t="s">
        <v>3395</v>
      </c>
      <c r="D1826" s="82"/>
      <c r="E1826" s="82"/>
      <c r="F1826" s="82" t="s">
        <v>4390</v>
      </c>
      <c r="G1826" s="89">
        <v>1</v>
      </c>
      <c r="H1826" s="89">
        <v>198</v>
      </c>
      <c r="I1826" s="85">
        <v>0</v>
      </c>
      <c r="J1826" s="85">
        <v>25.74</v>
      </c>
      <c r="K1826" s="85">
        <v>223.74</v>
      </c>
      <c r="L1826" s="85">
        <v>303.74</v>
      </c>
      <c r="M1826" s="89">
        <v>272.71938415004524</v>
      </c>
      <c r="N1826" s="85">
        <v>0</v>
      </c>
      <c r="O1826" s="85">
        <v>35.453519939505881</v>
      </c>
      <c r="P1826" s="85">
        <v>308.17290408955114</v>
      </c>
      <c r="Q1826" s="85">
        <v>418.3625542511856</v>
      </c>
      <c r="R1826" s="82" t="s">
        <v>3396</v>
      </c>
      <c r="S1826" s="7" t="str">
        <f t="shared" si="85"/>
        <v>INV13285</v>
      </c>
      <c r="T1826" s="6">
        <f t="shared" si="86"/>
        <v>1</v>
      </c>
      <c r="U1826" s="25">
        <f t="shared" si="84"/>
        <v>198</v>
      </c>
    </row>
    <row r="1827" spans="1:21" ht="10.9" customHeight="1" x14ac:dyDescent="0.2">
      <c r="A1827" s="82" t="s">
        <v>3066</v>
      </c>
      <c r="B1827" s="83">
        <v>45880</v>
      </c>
      <c r="C1827" s="82" t="s">
        <v>3395</v>
      </c>
      <c r="D1827" s="82" t="s">
        <v>880</v>
      </c>
      <c r="E1827" s="82"/>
      <c r="F1827" s="82" t="s">
        <v>4734</v>
      </c>
      <c r="G1827" s="89">
        <v>2</v>
      </c>
      <c r="H1827" s="89">
        <v>49.29</v>
      </c>
      <c r="I1827" s="85">
        <v>0</v>
      </c>
      <c r="J1827" s="85">
        <v>4.93</v>
      </c>
      <c r="K1827" s="85">
        <v>103.51</v>
      </c>
      <c r="L1827" s="85">
        <v>132.47</v>
      </c>
      <c r="M1827" s="89">
        <v>49.29</v>
      </c>
      <c r="N1827" s="85">
        <v>0</v>
      </c>
      <c r="O1827" s="85">
        <v>4.93</v>
      </c>
      <c r="P1827" s="85">
        <v>103.51</v>
      </c>
      <c r="Q1827" s="85">
        <v>132.47</v>
      </c>
      <c r="R1827" s="82" t="s">
        <v>3399</v>
      </c>
      <c r="S1827" s="7">
        <f t="shared" si="85"/>
        <v>0</v>
      </c>
      <c r="T1827" s="6">
        <f t="shared" si="86"/>
        <v>0</v>
      </c>
      <c r="U1827" s="25">
        <f t="shared" si="84"/>
        <v>0</v>
      </c>
    </row>
    <row r="1828" spans="1:21" ht="10.9" customHeight="1" x14ac:dyDescent="0.2">
      <c r="A1828" s="82" t="s">
        <v>3066</v>
      </c>
      <c r="B1828" s="83">
        <v>45880</v>
      </c>
      <c r="C1828" s="82" t="s">
        <v>3395</v>
      </c>
      <c r="D1828" s="82" t="s">
        <v>880</v>
      </c>
      <c r="E1828" s="82"/>
      <c r="F1828" s="82" t="s">
        <v>4735</v>
      </c>
      <c r="G1828" s="89">
        <v>2</v>
      </c>
      <c r="H1828" s="89">
        <v>13.79</v>
      </c>
      <c r="I1828" s="85">
        <v>0</v>
      </c>
      <c r="J1828" s="85">
        <v>1.38</v>
      </c>
      <c r="K1828" s="85">
        <v>28.96</v>
      </c>
      <c r="L1828" s="85">
        <v>132.47</v>
      </c>
      <c r="M1828" s="89">
        <v>13.79</v>
      </c>
      <c r="N1828" s="85">
        <v>0</v>
      </c>
      <c r="O1828" s="85">
        <v>1.38</v>
      </c>
      <c r="P1828" s="85">
        <v>28.96</v>
      </c>
      <c r="Q1828" s="85">
        <v>132.47</v>
      </c>
      <c r="R1828" s="82" t="s">
        <v>3399</v>
      </c>
      <c r="S1828" s="7">
        <f t="shared" si="85"/>
        <v>0</v>
      </c>
      <c r="T1828" s="6">
        <f t="shared" si="86"/>
        <v>0</v>
      </c>
      <c r="U1828" s="25">
        <f t="shared" si="84"/>
        <v>0</v>
      </c>
    </row>
    <row r="1829" spans="1:21" ht="10.9" customHeight="1" x14ac:dyDescent="0.2">
      <c r="A1829" s="82" t="s">
        <v>2883</v>
      </c>
      <c r="B1829" s="83">
        <v>45880</v>
      </c>
      <c r="C1829" s="82" t="s">
        <v>3395</v>
      </c>
      <c r="D1829" s="82" t="s">
        <v>1195</v>
      </c>
      <c r="E1829" s="82"/>
      <c r="F1829" s="82" t="s">
        <v>5043</v>
      </c>
      <c r="G1829" s="89">
        <v>2</v>
      </c>
      <c r="H1829" s="89">
        <v>5382.41</v>
      </c>
      <c r="I1829" s="85">
        <v>0</v>
      </c>
      <c r="J1829" s="85">
        <v>1399.43</v>
      </c>
      <c r="K1829" s="85">
        <v>12164.25</v>
      </c>
      <c r="L1829" s="85">
        <v>12164.25</v>
      </c>
      <c r="M1829" s="89">
        <v>5382.41</v>
      </c>
      <c r="N1829" s="85">
        <v>0</v>
      </c>
      <c r="O1829" s="85">
        <v>1399.43</v>
      </c>
      <c r="P1829" s="85">
        <v>12164.25</v>
      </c>
      <c r="Q1829" s="85">
        <v>12164.25</v>
      </c>
      <c r="R1829" s="82" t="s">
        <v>3399</v>
      </c>
      <c r="S1829" s="7">
        <f t="shared" si="85"/>
        <v>0</v>
      </c>
      <c r="T1829" s="6">
        <f t="shared" si="86"/>
        <v>0</v>
      </c>
      <c r="U1829" s="25">
        <f t="shared" si="84"/>
        <v>0</v>
      </c>
    </row>
    <row r="1830" spans="1:21" ht="10.9" customHeight="1" x14ac:dyDescent="0.2">
      <c r="A1830" s="82" t="s">
        <v>3070</v>
      </c>
      <c r="B1830" s="83">
        <v>45881</v>
      </c>
      <c r="C1830" s="82" t="s">
        <v>3395</v>
      </c>
      <c r="D1830" s="82" t="s">
        <v>868</v>
      </c>
      <c r="E1830" s="82"/>
      <c r="F1830" s="82" t="s">
        <v>4668</v>
      </c>
      <c r="G1830" s="89">
        <v>3</v>
      </c>
      <c r="H1830" s="89">
        <v>348.55</v>
      </c>
      <c r="I1830" s="85">
        <v>0</v>
      </c>
      <c r="J1830" s="85">
        <v>0</v>
      </c>
      <c r="K1830" s="85">
        <v>1045.6500000000001</v>
      </c>
      <c r="L1830" s="85">
        <v>2264.77</v>
      </c>
      <c r="M1830" s="89">
        <v>479.8941492979543</v>
      </c>
      <c r="N1830" s="85">
        <v>0</v>
      </c>
      <c r="O1830" s="85">
        <v>0</v>
      </c>
      <c r="P1830" s="85">
        <v>1439.6824478938629</v>
      </c>
      <c r="Q1830" s="85">
        <v>3118.2036221647627</v>
      </c>
      <c r="R1830" s="82" t="s">
        <v>3399</v>
      </c>
      <c r="S1830" s="7">
        <f t="shared" si="85"/>
        <v>0</v>
      </c>
      <c r="T1830" s="6">
        <f t="shared" si="86"/>
        <v>0</v>
      </c>
      <c r="U1830" s="25">
        <f t="shared" si="84"/>
        <v>0</v>
      </c>
    </row>
    <row r="1831" spans="1:21" ht="10.9" customHeight="1" x14ac:dyDescent="0.2">
      <c r="A1831" s="82" t="s">
        <v>3070</v>
      </c>
      <c r="B1831" s="83">
        <v>45881</v>
      </c>
      <c r="C1831" s="82" t="s">
        <v>3395</v>
      </c>
      <c r="D1831" s="82" t="s">
        <v>868</v>
      </c>
      <c r="E1831" s="82"/>
      <c r="F1831" s="82" t="s">
        <v>5039</v>
      </c>
      <c r="G1831" s="89">
        <v>4</v>
      </c>
      <c r="H1831" s="89">
        <v>304.77999999999997</v>
      </c>
      <c r="I1831" s="85">
        <v>0</v>
      </c>
      <c r="J1831" s="85">
        <v>0</v>
      </c>
      <c r="K1831" s="85">
        <v>1219.1199999999999</v>
      </c>
      <c r="L1831" s="85">
        <v>2264.77</v>
      </c>
      <c r="M1831" s="89">
        <v>419.63029356772489</v>
      </c>
      <c r="N1831" s="85">
        <v>0</v>
      </c>
      <c r="O1831" s="85">
        <v>0</v>
      </c>
      <c r="P1831" s="85">
        <v>1678.5211742708996</v>
      </c>
      <c r="Q1831" s="85">
        <v>3118.2036221647627</v>
      </c>
      <c r="R1831" s="82" t="s">
        <v>3399</v>
      </c>
      <c r="S1831" s="7">
        <f t="shared" si="85"/>
        <v>0</v>
      </c>
      <c r="T1831" s="6">
        <f t="shared" si="86"/>
        <v>0</v>
      </c>
      <c r="U1831" s="25">
        <f t="shared" si="84"/>
        <v>0</v>
      </c>
    </row>
    <row r="1832" spans="1:21" ht="10.9" customHeight="1" x14ac:dyDescent="0.2">
      <c r="A1832" s="82" t="s">
        <v>2897</v>
      </c>
      <c r="B1832" s="83">
        <v>45881</v>
      </c>
      <c r="C1832" s="82" t="s">
        <v>3395</v>
      </c>
      <c r="D1832" s="82" t="s">
        <v>1166</v>
      </c>
      <c r="E1832" s="82"/>
      <c r="F1832" s="82" t="s">
        <v>5038</v>
      </c>
      <c r="G1832" s="89">
        <v>5</v>
      </c>
      <c r="H1832" s="89">
        <v>43.88</v>
      </c>
      <c r="I1832" s="85">
        <v>0</v>
      </c>
      <c r="J1832" s="85">
        <v>0</v>
      </c>
      <c r="K1832" s="85">
        <v>219.4</v>
      </c>
      <c r="L1832" s="85">
        <v>219.4</v>
      </c>
      <c r="M1832" s="89">
        <v>60.415307046892082</v>
      </c>
      <c r="N1832" s="85">
        <v>0</v>
      </c>
      <c r="O1832" s="85">
        <v>0</v>
      </c>
      <c r="P1832" s="85">
        <v>302.07653523446038</v>
      </c>
      <c r="Q1832" s="85">
        <v>302.07653523446038</v>
      </c>
      <c r="R1832" s="82" t="s">
        <v>3399</v>
      </c>
      <c r="S1832" s="7">
        <f t="shared" si="85"/>
        <v>0</v>
      </c>
      <c r="T1832" s="6">
        <f t="shared" si="86"/>
        <v>0</v>
      </c>
      <c r="U1832" s="25">
        <f t="shared" si="84"/>
        <v>0</v>
      </c>
    </row>
    <row r="1833" spans="1:21" ht="10.9" customHeight="1" x14ac:dyDescent="0.2">
      <c r="A1833" s="82" t="s">
        <v>2899</v>
      </c>
      <c r="B1833" s="83">
        <v>45881</v>
      </c>
      <c r="C1833" s="82" t="s">
        <v>3395</v>
      </c>
      <c r="D1833" s="82" t="s">
        <v>1164</v>
      </c>
      <c r="E1833" s="82"/>
      <c r="F1833" s="82" t="s">
        <v>5038</v>
      </c>
      <c r="G1833" s="89">
        <v>4</v>
      </c>
      <c r="H1833" s="89">
        <v>43.88</v>
      </c>
      <c r="I1833" s="85">
        <v>0</v>
      </c>
      <c r="J1833" s="85">
        <v>0</v>
      </c>
      <c r="K1833" s="85">
        <v>175.52</v>
      </c>
      <c r="L1833" s="85">
        <v>175.52</v>
      </c>
      <c r="M1833" s="89">
        <v>60.415307046892082</v>
      </c>
      <c r="N1833" s="85">
        <v>0</v>
      </c>
      <c r="O1833" s="85">
        <v>0</v>
      </c>
      <c r="P1833" s="85">
        <v>241.66122818756833</v>
      </c>
      <c r="Q1833" s="85">
        <v>241.66122818756833</v>
      </c>
      <c r="R1833" s="82" t="s">
        <v>3399</v>
      </c>
      <c r="S1833" s="7">
        <f t="shared" si="85"/>
        <v>0</v>
      </c>
      <c r="T1833" s="6">
        <f t="shared" si="86"/>
        <v>0</v>
      </c>
      <c r="U1833" s="25">
        <f t="shared" si="84"/>
        <v>0</v>
      </c>
    </row>
    <row r="1834" spans="1:21" ht="10.9" customHeight="1" x14ac:dyDescent="0.2">
      <c r="A1834" s="82" t="s">
        <v>3069</v>
      </c>
      <c r="B1834" s="83">
        <v>45881</v>
      </c>
      <c r="C1834" s="82" t="s">
        <v>3395</v>
      </c>
      <c r="D1834" s="82" t="s">
        <v>871</v>
      </c>
      <c r="E1834" s="82"/>
      <c r="F1834" s="82" t="s">
        <v>4421</v>
      </c>
      <c r="G1834" s="89">
        <v>2</v>
      </c>
      <c r="H1834" s="89">
        <v>1798.15</v>
      </c>
      <c r="I1834" s="85">
        <v>0</v>
      </c>
      <c r="J1834" s="85">
        <v>0</v>
      </c>
      <c r="K1834" s="85">
        <v>3596.3</v>
      </c>
      <c r="L1834" s="85">
        <v>4187.3</v>
      </c>
      <c r="M1834" s="89">
        <v>2475.7471368817</v>
      </c>
      <c r="N1834" s="85">
        <v>0</v>
      </c>
      <c r="O1834" s="85">
        <v>0</v>
      </c>
      <c r="P1834" s="85">
        <v>4951.4942737634001</v>
      </c>
      <c r="Q1834" s="85">
        <v>5765.2008932874023</v>
      </c>
      <c r="R1834" s="82" t="s">
        <v>3399</v>
      </c>
      <c r="S1834" s="7">
        <f t="shared" si="85"/>
        <v>0</v>
      </c>
      <c r="T1834" s="6">
        <f t="shared" si="86"/>
        <v>0</v>
      </c>
      <c r="U1834" s="25">
        <f t="shared" si="84"/>
        <v>0</v>
      </c>
    </row>
    <row r="1835" spans="1:21" ht="10.9" customHeight="1" x14ac:dyDescent="0.2">
      <c r="A1835" s="82" t="s">
        <v>3069</v>
      </c>
      <c r="B1835" s="83">
        <v>45881</v>
      </c>
      <c r="C1835" s="82" t="s">
        <v>3395</v>
      </c>
      <c r="D1835" s="82" t="s">
        <v>871</v>
      </c>
      <c r="E1835" s="82"/>
      <c r="F1835" s="82" t="s">
        <v>4393</v>
      </c>
      <c r="G1835" s="89">
        <v>1</v>
      </c>
      <c r="H1835" s="89">
        <v>591</v>
      </c>
      <c r="I1835" s="85">
        <v>0</v>
      </c>
      <c r="J1835" s="85">
        <v>0</v>
      </c>
      <c r="K1835" s="85">
        <v>591</v>
      </c>
      <c r="L1835" s="85">
        <v>4187.3</v>
      </c>
      <c r="M1835" s="89">
        <v>813.70661952400224</v>
      </c>
      <c r="N1835" s="85">
        <v>0</v>
      </c>
      <c r="O1835" s="85">
        <v>0</v>
      </c>
      <c r="P1835" s="85">
        <v>813.70661952400224</v>
      </c>
      <c r="Q1835" s="85">
        <v>5765.2008932874023</v>
      </c>
      <c r="R1835" s="82" t="s">
        <v>3399</v>
      </c>
      <c r="S1835" s="7" t="str">
        <f t="shared" si="85"/>
        <v>INV13291</v>
      </c>
      <c r="T1835" s="6">
        <f t="shared" si="86"/>
        <v>1</v>
      </c>
      <c r="U1835" s="25">
        <f t="shared" si="84"/>
        <v>591</v>
      </c>
    </row>
    <row r="1836" spans="1:21" ht="10.9" customHeight="1" x14ac:dyDescent="0.2">
      <c r="A1836" s="82" t="s">
        <v>3072</v>
      </c>
      <c r="B1836" s="83">
        <v>45881</v>
      </c>
      <c r="C1836" s="82" t="s">
        <v>3395</v>
      </c>
      <c r="D1836" s="82" t="s">
        <v>866</v>
      </c>
      <c r="E1836" s="82"/>
      <c r="F1836" s="82" t="s">
        <v>4532</v>
      </c>
      <c r="G1836" s="89">
        <v>2</v>
      </c>
      <c r="H1836" s="89">
        <v>98.48</v>
      </c>
      <c r="I1836" s="85">
        <v>0</v>
      </c>
      <c r="J1836" s="85">
        <v>9.85</v>
      </c>
      <c r="K1836" s="85">
        <v>206.81</v>
      </c>
      <c r="L1836" s="85">
        <v>206.81</v>
      </c>
      <c r="M1836" s="89">
        <v>98.48</v>
      </c>
      <c r="N1836" s="85">
        <v>0</v>
      </c>
      <c r="O1836" s="85">
        <v>9.85</v>
      </c>
      <c r="P1836" s="85">
        <v>206.81</v>
      </c>
      <c r="Q1836" s="85">
        <v>206.81</v>
      </c>
      <c r="R1836" s="82" t="s">
        <v>3399</v>
      </c>
      <c r="S1836" s="7">
        <f t="shared" si="85"/>
        <v>0</v>
      </c>
      <c r="T1836" s="6">
        <f t="shared" si="86"/>
        <v>0</v>
      </c>
      <c r="U1836" s="25">
        <f t="shared" si="84"/>
        <v>0</v>
      </c>
    </row>
    <row r="1837" spans="1:21" ht="10.9" customHeight="1" x14ac:dyDescent="0.2">
      <c r="A1837" s="82" t="s">
        <v>3068</v>
      </c>
      <c r="B1837" s="83">
        <v>45881</v>
      </c>
      <c r="C1837" s="82" t="s">
        <v>3395</v>
      </c>
      <c r="D1837" s="82" t="s">
        <v>873</v>
      </c>
      <c r="E1837" s="82"/>
      <c r="F1837" s="82" t="s">
        <v>5006</v>
      </c>
      <c r="G1837" s="89">
        <v>4</v>
      </c>
      <c r="H1837" s="89">
        <v>30.74</v>
      </c>
      <c r="I1837" s="85">
        <v>0</v>
      </c>
      <c r="J1837" s="85">
        <v>15.98</v>
      </c>
      <c r="K1837" s="85">
        <v>138.94</v>
      </c>
      <c r="L1837" s="85">
        <v>138.94</v>
      </c>
      <c r="M1837" s="89">
        <v>30.74</v>
      </c>
      <c r="N1837" s="85">
        <v>0</v>
      </c>
      <c r="O1837" s="85">
        <v>15.98</v>
      </c>
      <c r="P1837" s="85">
        <v>138.94</v>
      </c>
      <c r="Q1837" s="85">
        <v>138.94</v>
      </c>
      <c r="R1837" s="82" t="s">
        <v>3399</v>
      </c>
      <c r="S1837" s="7">
        <f t="shared" si="85"/>
        <v>0</v>
      </c>
      <c r="T1837" s="6">
        <f t="shared" si="86"/>
        <v>0</v>
      </c>
      <c r="U1837" s="25">
        <f t="shared" si="84"/>
        <v>0</v>
      </c>
    </row>
    <row r="1838" spans="1:21" ht="10.9" customHeight="1" x14ac:dyDescent="0.2">
      <c r="A1838" s="82" t="s">
        <v>3073</v>
      </c>
      <c r="B1838" s="83">
        <v>45881</v>
      </c>
      <c r="C1838" s="82" t="s">
        <v>3395</v>
      </c>
      <c r="D1838" s="82" t="s">
        <v>863</v>
      </c>
      <c r="E1838" s="82"/>
      <c r="F1838" s="82" t="s">
        <v>5042</v>
      </c>
      <c r="G1838" s="89">
        <v>1</v>
      </c>
      <c r="H1838" s="89">
        <v>1769.82</v>
      </c>
      <c r="I1838" s="85">
        <v>0</v>
      </c>
      <c r="J1838" s="85">
        <v>88.49</v>
      </c>
      <c r="K1838" s="85">
        <v>1858.31</v>
      </c>
      <c r="L1838" s="85">
        <v>2038.62</v>
      </c>
      <c r="M1838" s="89">
        <v>1769.82</v>
      </c>
      <c r="N1838" s="85">
        <v>0</v>
      </c>
      <c r="O1838" s="85">
        <v>88.49</v>
      </c>
      <c r="P1838" s="85">
        <v>1858.31</v>
      </c>
      <c r="Q1838" s="85">
        <v>2038.62</v>
      </c>
      <c r="R1838" s="82" t="s">
        <v>3399</v>
      </c>
      <c r="S1838" s="7">
        <f t="shared" si="85"/>
        <v>0</v>
      </c>
      <c r="T1838" s="6">
        <f t="shared" si="86"/>
        <v>0</v>
      </c>
      <c r="U1838" s="25">
        <f t="shared" si="84"/>
        <v>0</v>
      </c>
    </row>
    <row r="1839" spans="1:21" ht="10.9" customHeight="1" x14ac:dyDescent="0.2">
      <c r="A1839" s="82" t="s">
        <v>3073</v>
      </c>
      <c r="B1839" s="83">
        <v>45881</v>
      </c>
      <c r="C1839" s="82" t="s">
        <v>3395</v>
      </c>
      <c r="D1839" s="82" t="s">
        <v>863</v>
      </c>
      <c r="E1839" s="82"/>
      <c r="F1839" s="82" t="s">
        <v>5041</v>
      </c>
      <c r="G1839" s="89">
        <v>2</v>
      </c>
      <c r="H1839" s="89">
        <v>42.67</v>
      </c>
      <c r="I1839" s="85">
        <v>0</v>
      </c>
      <c r="J1839" s="85">
        <v>4.2699999999999996</v>
      </c>
      <c r="K1839" s="85">
        <v>89.61</v>
      </c>
      <c r="L1839" s="85">
        <v>2038.62</v>
      </c>
      <c r="M1839" s="89">
        <v>42.67</v>
      </c>
      <c r="N1839" s="85">
        <v>0</v>
      </c>
      <c r="O1839" s="85">
        <v>4.2699999999999996</v>
      </c>
      <c r="P1839" s="85">
        <v>89.61</v>
      </c>
      <c r="Q1839" s="85">
        <v>2038.62</v>
      </c>
      <c r="R1839" s="82" t="s">
        <v>3399</v>
      </c>
      <c r="S1839" s="7">
        <f t="shared" si="85"/>
        <v>0</v>
      </c>
      <c r="T1839" s="6">
        <f t="shared" si="86"/>
        <v>0</v>
      </c>
      <c r="U1839" s="25">
        <f t="shared" si="84"/>
        <v>0</v>
      </c>
    </row>
    <row r="1840" spans="1:21" ht="10.9" customHeight="1" x14ac:dyDescent="0.2">
      <c r="A1840" s="82" t="s">
        <v>3073</v>
      </c>
      <c r="B1840" s="83">
        <v>45881</v>
      </c>
      <c r="C1840" s="82" t="s">
        <v>3395</v>
      </c>
      <c r="D1840" s="82" t="s">
        <v>863</v>
      </c>
      <c r="E1840" s="82"/>
      <c r="F1840" s="82" t="s">
        <v>5040</v>
      </c>
      <c r="G1840" s="89">
        <v>2</v>
      </c>
      <c r="H1840" s="89">
        <v>43.19</v>
      </c>
      <c r="I1840" s="85">
        <v>0</v>
      </c>
      <c r="J1840" s="85">
        <v>4.32</v>
      </c>
      <c r="K1840" s="85">
        <v>90.7</v>
      </c>
      <c r="L1840" s="85">
        <v>2038.62</v>
      </c>
      <c r="M1840" s="89">
        <v>43.19</v>
      </c>
      <c r="N1840" s="85">
        <v>0</v>
      </c>
      <c r="O1840" s="85">
        <v>4.32</v>
      </c>
      <c r="P1840" s="85">
        <v>90.7</v>
      </c>
      <c r="Q1840" s="85">
        <v>2038.62</v>
      </c>
      <c r="R1840" s="82" t="s">
        <v>3399</v>
      </c>
      <c r="S1840" s="7">
        <f t="shared" si="85"/>
        <v>0</v>
      </c>
      <c r="T1840" s="6">
        <f t="shared" si="86"/>
        <v>0</v>
      </c>
      <c r="U1840" s="25">
        <f t="shared" si="84"/>
        <v>0</v>
      </c>
    </row>
    <row r="1841" spans="1:21" ht="10.9" customHeight="1" x14ac:dyDescent="0.2">
      <c r="A1841" s="82" t="s">
        <v>3074</v>
      </c>
      <c r="B1841" s="83">
        <v>45881</v>
      </c>
      <c r="C1841" s="82" t="s">
        <v>3395</v>
      </c>
      <c r="D1841" s="82" t="s">
        <v>861</v>
      </c>
      <c r="E1841" s="82"/>
      <c r="F1841" s="82" t="s">
        <v>4450</v>
      </c>
      <c r="G1841" s="89">
        <v>1</v>
      </c>
      <c r="H1841" s="89">
        <v>1351.57</v>
      </c>
      <c r="I1841" s="85">
        <v>0</v>
      </c>
      <c r="J1841" s="85">
        <v>67.58</v>
      </c>
      <c r="K1841" s="85">
        <v>1419.15</v>
      </c>
      <c r="L1841" s="85">
        <v>2877.18</v>
      </c>
      <c r="M1841" s="89">
        <v>1351.57</v>
      </c>
      <c r="N1841" s="85">
        <v>0</v>
      </c>
      <c r="O1841" s="85">
        <v>67.58</v>
      </c>
      <c r="P1841" s="85">
        <v>1419.15</v>
      </c>
      <c r="Q1841" s="85">
        <v>2877.18</v>
      </c>
      <c r="R1841" s="82" t="s">
        <v>3399</v>
      </c>
      <c r="S1841" s="7">
        <f t="shared" si="85"/>
        <v>0</v>
      </c>
      <c r="T1841" s="6">
        <f t="shared" si="86"/>
        <v>0</v>
      </c>
      <c r="U1841" s="25">
        <f t="shared" si="84"/>
        <v>0</v>
      </c>
    </row>
    <row r="1842" spans="1:21" ht="10.9" customHeight="1" x14ac:dyDescent="0.2">
      <c r="A1842" s="82" t="s">
        <v>3074</v>
      </c>
      <c r="B1842" s="83">
        <v>45881</v>
      </c>
      <c r="C1842" s="82" t="s">
        <v>3395</v>
      </c>
      <c r="D1842" s="82" t="s">
        <v>861</v>
      </c>
      <c r="E1842" s="82"/>
      <c r="F1842" s="82" t="s">
        <v>4449</v>
      </c>
      <c r="G1842" s="89">
        <v>1</v>
      </c>
      <c r="H1842" s="89">
        <v>1388.6</v>
      </c>
      <c r="I1842" s="85">
        <v>0</v>
      </c>
      <c r="J1842" s="85">
        <v>69.430000000000007</v>
      </c>
      <c r="K1842" s="85">
        <v>1458.03</v>
      </c>
      <c r="L1842" s="85">
        <v>2877.18</v>
      </c>
      <c r="M1842" s="89">
        <v>1388.6</v>
      </c>
      <c r="N1842" s="85">
        <v>0</v>
      </c>
      <c r="O1842" s="85">
        <v>69.430000000000007</v>
      </c>
      <c r="P1842" s="85">
        <v>1458.03</v>
      </c>
      <c r="Q1842" s="85">
        <v>2877.18</v>
      </c>
      <c r="R1842" s="82" t="s">
        <v>3399</v>
      </c>
      <c r="S1842" s="7">
        <f t="shared" si="85"/>
        <v>0</v>
      </c>
      <c r="T1842" s="6">
        <f t="shared" si="86"/>
        <v>0</v>
      </c>
      <c r="U1842" s="25">
        <f t="shared" si="84"/>
        <v>0</v>
      </c>
    </row>
    <row r="1843" spans="1:21" ht="10.9" customHeight="1" x14ac:dyDescent="0.2">
      <c r="A1843" s="82" t="s">
        <v>3076</v>
      </c>
      <c r="B1843" s="83">
        <v>45882</v>
      </c>
      <c r="C1843" s="82" t="s">
        <v>3395</v>
      </c>
      <c r="D1843" s="82" t="s">
        <v>857</v>
      </c>
      <c r="E1843" s="82"/>
      <c r="F1843" s="82" t="s">
        <v>4424</v>
      </c>
      <c r="G1843" s="89">
        <v>1</v>
      </c>
      <c r="H1843" s="89">
        <v>1159.8800000000001</v>
      </c>
      <c r="I1843" s="85">
        <v>0</v>
      </c>
      <c r="J1843" s="85">
        <v>57.99</v>
      </c>
      <c r="K1843" s="85">
        <v>1217.8699999999999</v>
      </c>
      <c r="L1843" s="85">
        <v>2711.5</v>
      </c>
      <c r="M1843" s="89">
        <v>1159.8800000000001</v>
      </c>
      <c r="N1843" s="85">
        <v>0</v>
      </c>
      <c r="O1843" s="85">
        <v>57.99</v>
      </c>
      <c r="P1843" s="85">
        <v>1217.8699999999999</v>
      </c>
      <c r="Q1843" s="85">
        <v>2711.5</v>
      </c>
      <c r="R1843" s="82" t="s">
        <v>3399</v>
      </c>
      <c r="S1843" s="7">
        <f t="shared" si="85"/>
        <v>0</v>
      </c>
      <c r="T1843" s="6">
        <f t="shared" si="86"/>
        <v>0</v>
      </c>
      <c r="U1843" s="25">
        <f t="shared" si="84"/>
        <v>0</v>
      </c>
    </row>
    <row r="1844" spans="1:21" ht="10.9" customHeight="1" x14ac:dyDescent="0.2">
      <c r="A1844" s="82" t="s">
        <v>3076</v>
      </c>
      <c r="B1844" s="83">
        <v>45882</v>
      </c>
      <c r="C1844" s="82" t="s">
        <v>3395</v>
      </c>
      <c r="D1844" s="82" t="s">
        <v>857</v>
      </c>
      <c r="E1844" s="82"/>
      <c r="F1844" s="82" t="s">
        <v>4805</v>
      </c>
      <c r="G1844" s="89">
        <v>1</v>
      </c>
      <c r="H1844" s="89">
        <v>0</v>
      </c>
      <c r="I1844" s="85">
        <v>0</v>
      </c>
      <c r="J1844" s="85">
        <v>0</v>
      </c>
      <c r="K1844" s="85">
        <v>0</v>
      </c>
      <c r="L1844" s="85">
        <v>2711.5</v>
      </c>
      <c r="M1844" s="89">
        <v>0</v>
      </c>
      <c r="N1844" s="85">
        <v>0</v>
      </c>
      <c r="O1844" s="85">
        <v>0</v>
      </c>
      <c r="P1844" s="85">
        <v>0</v>
      </c>
      <c r="Q1844" s="85">
        <v>2711.5</v>
      </c>
      <c r="R1844" s="82" t="s">
        <v>3399</v>
      </c>
      <c r="S1844" s="7">
        <f t="shared" si="85"/>
        <v>0</v>
      </c>
      <c r="T1844" s="6">
        <f t="shared" si="86"/>
        <v>0</v>
      </c>
      <c r="U1844" s="25">
        <f t="shared" si="84"/>
        <v>0</v>
      </c>
    </row>
    <row r="1845" spans="1:21" ht="10.9" customHeight="1" x14ac:dyDescent="0.2">
      <c r="A1845" s="82" t="s">
        <v>3076</v>
      </c>
      <c r="B1845" s="83">
        <v>45882</v>
      </c>
      <c r="C1845" s="82" t="s">
        <v>3395</v>
      </c>
      <c r="D1845" s="82" t="s">
        <v>857</v>
      </c>
      <c r="E1845" s="82"/>
      <c r="F1845" s="82" t="s">
        <v>5037</v>
      </c>
      <c r="G1845" s="89">
        <v>2</v>
      </c>
      <c r="H1845" s="89">
        <v>711.25</v>
      </c>
      <c r="I1845" s="85">
        <v>0</v>
      </c>
      <c r="J1845" s="85">
        <v>71.13</v>
      </c>
      <c r="K1845" s="85">
        <v>1493.63</v>
      </c>
      <c r="L1845" s="85">
        <v>2711.5</v>
      </c>
      <c r="M1845" s="89">
        <v>711.25</v>
      </c>
      <c r="N1845" s="85">
        <v>0</v>
      </c>
      <c r="O1845" s="85">
        <v>71.13</v>
      </c>
      <c r="P1845" s="85">
        <v>1493.63</v>
      </c>
      <c r="Q1845" s="85">
        <v>2711.5</v>
      </c>
      <c r="R1845" s="82" t="s">
        <v>3399</v>
      </c>
      <c r="S1845" s="7">
        <f t="shared" si="85"/>
        <v>0</v>
      </c>
      <c r="T1845" s="6">
        <f t="shared" si="86"/>
        <v>0</v>
      </c>
      <c r="U1845" s="25">
        <f t="shared" si="84"/>
        <v>0</v>
      </c>
    </row>
    <row r="1846" spans="1:21" ht="10.9" customHeight="1" x14ac:dyDescent="0.2">
      <c r="A1846" s="82" t="s">
        <v>3075</v>
      </c>
      <c r="B1846" s="83">
        <v>45882</v>
      </c>
      <c r="C1846" s="82" t="s">
        <v>3395</v>
      </c>
      <c r="D1846" s="82" t="s">
        <v>859</v>
      </c>
      <c r="E1846" s="82"/>
      <c r="F1846" s="82" t="s">
        <v>5036</v>
      </c>
      <c r="G1846" s="89">
        <v>2</v>
      </c>
      <c r="H1846" s="89">
        <v>708.9</v>
      </c>
      <c r="I1846" s="85">
        <v>0</v>
      </c>
      <c r="J1846" s="85">
        <v>70.89</v>
      </c>
      <c r="K1846" s="85">
        <v>1488.69</v>
      </c>
      <c r="L1846" s="85">
        <v>1488.69</v>
      </c>
      <c r="M1846" s="89">
        <v>708.9</v>
      </c>
      <c r="N1846" s="85">
        <v>0</v>
      </c>
      <c r="O1846" s="85">
        <v>70.89</v>
      </c>
      <c r="P1846" s="85">
        <v>1488.69</v>
      </c>
      <c r="Q1846" s="85">
        <v>1488.69</v>
      </c>
      <c r="R1846" s="82" t="s">
        <v>3399</v>
      </c>
      <c r="S1846" s="7">
        <f t="shared" si="85"/>
        <v>0</v>
      </c>
      <c r="T1846" s="6">
        <f t="shared" si="86"/>
        <v>0</v>
      </c>
      <c r="U1846" s="25">
        <f t="shared" si="84"/>
        <v>0</v>
      </c>
    </row>
    <row r="1847" spans="1:21" ht="10.9" customHeight="1" x14ac:dyDescent="0.2">
      <c r="A1847" s="82" t="s">
        <v>3080</v>
      </c>
      <c r="B1847" s="83">
        <v>45883</v>
      </c>
      <c r="C1847" s="82" t="s">
        <v>3395</v>
      </c>
      <c r="D1847" s="82" t="s">
        <v>850</v>
      </c>
      <c r="E1847" s="82"/>
      <c r="F1847" s="82" t="s">
        <v>4532</v>
      </c>
      <c r="G1847" s="89">
        <v>1</v>
      </c>
      <c r="H1847" s="89">
        <v>110.83</v>
      </c>
      <c r="I1847" s="85">
        <v>0</v>
      </c>
      <c r="J1847" s="85">
        <v>5.54</v>
      </c>
      <c r="K1847" s="85">
        <v>116.37</v>
      </c>
      <c r="L1847" s="85">
        <v>517.79999999999995</v>
      </c>
      <c r="M1847" s="89">
        <v>110.83</v>
      </c>
      <c r="N1847" s="85">
        <v>0</v>
      </c>
      <c r="O1847" s="85">
        <v>5.54</v>
      </c>
      <c r="P1847" s="85">
        <v>116.37</v>
      </c>
      <c r="Q1847" s="85">
        <v>517.79999999999995</v>
      </c>
      <c r="R1847" s="82" t="s">
        <v>3399</v>
      </c>
      <c r="S1847" s="7">
        <f t="shared" si="85"/>
        <v>0</v>
      </c>
      <c r="T1847" s="6">
        <f t="shared" si="86"/>
        <v>0</v>
      </c>
      <c r="U1847" s="25">
        <f t="shared" si="84"/>
        <v>0</v>
      </c>
    </row>
    <row r="1848" spans="1:21" ht="10.9" customHeight="1" x14ac:dyDescent="0.2">
      <c r="A1848" s="82" t="s">
        <v>3080</v>
      </c>
      <c r="B1848" s="83">
        <v>45883</v>
      </c>
      <c r="C1848" s="82" t="s">
        <v>3395</v>
      </c>
      <c r="D1848" s="82" t="s">
        <v>850</v>
      </c>
      <c r="E1848" s="82"/>
      <c r="F1848" s="82" t="s">
        <v>5035</v>
      </c>
      <c r="G1848" s="89">
        <v>1</v>
      </c>
      <c r="H1848" s="89">
        <v>69.16</v>
      </c>
      <c r="I1848" s="85">
        <v>0</v>
      </c>
      <c r="J1848" s="85">
        <v>3.46</v>
      </c>
      <c r="K1848" s="85">
        <v>72.62</v>
      </c>
      <c r="L1848" s="85">
        <v>517.79999999999995</v>
      </c>
      <c r="M1848" s="89">
        <v>69.16</v>
      </c>
      <c r="N1848" s="85">
        <v>0</v>
      </c>
      <c r="O1848" s="85">
        <v>3.46</v>
      </c>
      <c r="P1848" s="85">
        <v>72.62</v>
      </c>
      <c r="Q1848" s="85">
        <v>517.79999999999995</v>
      </c>
      <c r="R1848" s="82" t="s">
        <v>3399</v>
      </c>
      <c r="S1848" s="7">
        <f t="shared" si="85"/>
        <v>0</v>
      </c>
      <c r="T1848" s="6">
        <f t="shared" si="86"/>
        <v>0</v>
      </c>
      <c r="U1848" s="25">
        <f t="shared" si="84"/>
        <v>0</v>
      </c>
    </row>
    <row r="1849" spans="1:21" ht="10.9" customHeight="1" x14ac:dyDescent="0.2">
      <c r="A1849" s="82" t="s">
        <v>3080</v>
      </c>
      <c r="B1849" s="83">
        <v>45883</v>
      </c>
      <c r="C1849" s="82" t="s">
        <v>3395</v>
      </c>
      <c r="D1849" s="82" t="s">
        <v>850</v>
      </c>
      <c r="E1849" s="82"/>
      <c r="F1849" s="82" t="s">
        <v>5034</v>
      </c>
      <c r="G1849" s="89">
        <v>1</v>
      </c>
      <c r="H1849" s="89">
        <v>85.68</v>
      </c>
      <c r="I1849" s="85">
        <v>0</v>
      </c>
      <c r="J1849" s="85">
        <v>4.28</v>
      </c>
      <c r="K1849" s="85">
        <v>89.96</v>
      </c>
      <c r="L1849" s="85">
        <v>517.79999999999995</v>
      </c>
      <c r="M1849" s="89">
        <v>85.68</v>
      </c>
      <c r="N1849" s="85">
        <v>0</v>
      </c>
      <c r="O1849" s="85">
        <v>4.28</v>
      </c>
      <c r="P1849" s="85">
        <v>89.96</v>
      </c>
      <c r="Q1849" s="85">
        <v>517.79999999999995</v>
      </c>
      <c r="R1849" s="82" t="s">
        <v>3399</v>
      </c>
      <c r="S1849" s="7">
        <f t="shared" si="85"/>
        <v>0</v>
      </c>
      <c r="T1849" s="6">
        <f t="shared" si="86"/>
        <v>0</v>
      </c>
      <c r="U1849" s="25">
        <f t="shared" si="84"/>
        <v>0</v>
      </c>
    </row>
    <row r="1850" spans="1:21" ht="10.9" customHeight="1" x14ac:dyDescent="0.2">
      <c r="A1850" s="82" t="s">
        <v>3080</v>
      </c>
      <c r="B1850" s="83">
        <v>45883</v>
      </c>
      <c r="C1850" s="82" t="s">
        <v>3395</v>
      </c>
      <c r="D1850" s="82" t="s">
        <v>850</v>
      </c>
      <c r="E1850" s="82"/>
      <c r="F1850" s="82" t="s">
        <v>5033</v>
      </c>
      <c r="G1850" s="89">
        <v>1</v>
      </c>
      <c r="H1850" s="89">
        <v>113.62</v>
      </c>
      <c r="I1850" s="85">
        <v>0</v>
      </c>
      <c r="J1850" s="85">
        <v>5.68</v>
      </c>
      <c r="K1850" s="85">
        <v>119.3</v>
      </c>
      <c r="L1850" s="85">
        <v>517.79999999999995</v>
      </c>
      <c r="M1850" s="89">
        <v>113.62</v>
      </c>
      <c r="N1850" s="85">
        <v>0</v>
      </c>
      <c r="O1850" s="85">
        <v>5.68</v>
      </c>
      <c r="P1850" s="85">
        <v>119.3</v>
      </c>
      <c r="Q1850" s="85">
        <v>517.79999999999995</v>
      </c>
      <c r="R1850" s="82" t="s">
        <v>3399</v>
      </c>
      <c r="S1850" s="7">
        <f t="shared" si="85"/>
        <v>0</v>
      </c>
      <c r="T1850" s="6">
        <f t="shared" si="86"/>
        <v>0</v>
      </c>
      <c r="U1850" s="25">
        <f t="shared" si="84"/>
        <v>0</v>
      </c>
    </row>
    <row r="1851" spans="1:21" ht="10.9" customHeight="1" x14ac:dyDescent="0.2">
      <c r="A1851" s="82" t="s">
        <v>3080</v>
      </c>
      <c r="B1851" s="83">
        <v>45883</v>
      </c>
      <c r="C1851" s="82" t="s">
        <v>3395</v>
      </c>
      <c r="D1851" s="82" t="s">
        <v>850</v>
      </c>
      <c r="E1851" s="82"/>
      <c r="F1851" s="82" t="s">
        <v>5032</v>
      </c>
      <c r="G1851" s="89">
        <v>1</v>
      </c>
      <c r="H1851" s="89">
        <v>80.040000000000006</v>
      </c>
      <c r="I1851" s="85">
        <v>0</v>
      </c>
      <c r="J1851" s="85">
        <v>4</v>
      </c>
      <c r="K1851" s="85">
        <v>84.04</v>
      </c>
      <c r="L1851" s="85">
        <v>517.79999999999995</v>
      </c>
      <c r="M1851" s="89">
        <v>80.040000000000006</v>
      </c>
      <c r="N1851" s="85">
        <v>0</v>
      </c>
      <c r="O1851" s="85">
        <v>4</v>
      </c>
      <c r="P1851" s="85">
        <v>84.04</v>
      </c>
      <c r="Q1851" s="85">
        <v>517.79999999999995</v>
      </c>
      <c r="R1851" s="82" t="s">
        <v>3399</v>
      </c>
      <c r="S1851" s="7">
        <f t="shared" si="85"/>
        <v>0</v>
      </c>
      <c r="T1851" s="6">
        <f t="shared" si="86"/>
        <v>0</v>
      </c>
      <c r="U1851" s="25">
        <f t="shared" si="84"/>
        <v>0</v>
      </c>
    </row>
    <row r="1852" spans="1:21" ht="10.9" customHeight="1" x14ac:dyDescent="0.2">
      <c r="A1852" s="82" t="s">
        <v>3080</v>
      </c>
      <c r="B1852" s="83">
        <v>45883</v>
      </c>
      <c r="C1852" s="82" t="s">
        <v>3395</v>
      </c>
      <c r="D1852" s="82" t="s">
        <v>850</v>
      </c>
      <c r="E1852" s="82"/>
      <c r="F1852" s="82" t="s">
        <v>5031</v>
      </c>
      <c r="G1852" s="89">
        <v>1</v>
      </c>
      <c r="H1852" s="89">
        <v>33.82</v>
      </c>
      <c r="I1852" s="85">
        <v>0</v>
      </c>
      <c r="J1852" s="85">
        <v>1.69</v>
      </c>
      <c r="K1852" s="85">
        <v>35.51</v>
      </c>
      <c r="L1852" s="85">
        <v>517.79999999999995</v>
      </c>
      <c r="M1852" s="89">
        <v>33.82</v>
      </c>
      <c r="N1852" s="85">
        <v>0</v>
      </c>
      <c r="O1852" s="85">
        <v>1.69</v>
      </c>
      <c r="P1852" s="85">
        <v>35.51</v>
      </c>
      <c r="Q1852" s="85">
        <v>517.79999999999995</v>
      </c>
      <c r="R1852" s="82" t="s">
        <v>3399</v>
      </c>
      <c r="S1852" s="7">
        <f t="shared" si="85"/>
        <v>0</v>
      </c>
      <c r="T1852" s="6">
        <f t="shared" si="86"/>
        <v>0</v>
      </c>
      <c r="U1852" s="25">
        <f t="shared" si="84"/>
        <v>0</v>
      </c>
    </row>
    <row r="1853" spans="1:21" ht="10.9" customHeight="1" x14ac:dyDescent="0.2">
      <c r="A1853" s="82" t="s">
        <v>3029</v>
      </c>
      <c r="B1853" s="83">
        <v>45883</v>
      </c>
      <c r="C1853" s="82" t="s">
        <v>3395</v>
      </c>
      <c r="D1853" s="82" t="s">
        <v>949</v>
      </c>
      <c r="E1853" s="82"/>
      <c r="F1853" s="82" t="s">
        <v>5030</v>
      </c>
      <c r="G1853" s="89">
        <v>1</v>
      </c>
      <c r="H1853" s="89">
        <v>163.11000000000001</v>
      </c>
      <c r="I1853" s="85">
        <v>0</v>
      </c>
      <c r="J1853" s="85">
        <v>21.2</v>
      </c>
      <c r="K1853" s="85">
        <v>184.31</v>
      </c>
      <c r="L1853" s="85">
        <v>8966.09</v>
      </c>
      <c r="M1853" s="89">
        <v>163.11000000000001</v>
      </c>
      <c r="N1853" s="85">
        <v>0</v>
      </c>
      <c r="O1853" s="85">
        <v>21.2</v>
      </c>
      <c r="P1853" s="85">
        <v>184.31</v>
      </c>
      <c r="Q1853" s="85">
        <v>8966.09</v>
      </c>
      <c r="R1853" s="82" t="s">
        <v>3399</v>
      </c>
      <c r="S1853" s="7">
        <f t="shared" si="85"/>
        <v>0</v>
      </c>
      <c r="T1853" s="6">
        <f t="shared" si="86"/>
        <v>0</v>
      </c>
      <c r="U1853" s="25">
        <f t="shared" si="84"/>
        <v>0</v>
      </c>
    </row>
    <row r="1854" spans="1:21" ht="10.9" customHeight="1" x14ac:dyDescent="0.2">
      <c r="A1854" s="82" t="s">
        <v>3029</v>
      </c>
      <c r="B1854" s="83">
        <v>45883</v>
      </c>
      <c r="C1854" s="82" t="s">
        <v>3395</v>
      </c>
      <c r="D1854" s="82" t="s">
        <v>949</v>
      </c>
      <c r="E1854" s="82"/>
      <c r="F1854" s="82" t="s">
        <v>4495</v>
      </c>
      <c r="G1854" s="89">
        <v>1</v>
      </c>
      <c r="H1854" s="89">
        <v>244.85</v>
      </c>
      <c r="I1854" s="85">
        <v>0</v>
      </c>
      <c r="J1854" s="85">
        <v>31.83</v>
      </c>
      <c r="K1854" s="85">
        <v>276.68</v>
      </c>
      <c r="L1854" s="85">
        <v>8966.09</v>
      </c>
      <c r="M1854" s="89">
        <v>244.85</v>
      </c>
      <c r="N1854" s="85">
        <v>0</v>
      </c>
      <c r="O1854" s="85">
        <v>31.83</v>
      </c>
      <c r="P1854" s="85">
        <v>276.68</v>
      </c>
      <c r="Q1854" s="85">
        <v>8966.09</v>
      </c>
      <c r="R1854" s="82" t="s">
        <v>3399</v>
      </c>
      <c r="S1854" s="7">
        <f t="shared" si="85"/>
        <v>0</v>
      </c>
      <c r="T1854" s="6">
        <f t="shared" si="86"/>
        <v>0</v>
      </c>
      <c r="U1854" s="25">
        <f t="shared" si="84"/>
        <v>0</v>
      </c>
    </row>
    <row r="1855" spans="1:21" ht="10.9" customHeight="1" x14ac:dyDescent="0.2">
      <c r="A1855" s="82" t="s">
        <v>3029</v>
      </c>
      <c r="B1855" s="83">
        <v>45883</v>
      </c>
      <c r="C1855" s="82" t="s">
        <v>3395</v>
      </c>
      <c r="D1855" s="82" t="s">
        <v>949</v>
      </c>
      <c r="E1855" s="82"/>
      <c r="F1855" s="82" t="s">
        <v>5029</v>
      </c>
      <c r="G1855" s="89">
        <v>1</v>
      </c>
      <c r="H1855" s="89">
        <v>988.47</v>
      </c>
      <c r="I1855" s="85">
        <v>0</v>
      </c>
      <c r="J1855" s="85">
        <v>128.5</v>
      </c>
      <c r="K1855" s="85">
        <v>1116.97</v>
      </c>
      <c r="L1855" s="85">
        <v>8966.09</v>
      </c>
      <c r="M1855" s="89">
        <v>988.47</v>
      </c>
      <c r="N1855" s="85">
        <v>0</v>
      </c>
      <c r="O1855" s="85">
        <v>128.5</v>
      </c>
      <c r="P1855" s="85">
        <v>1116.97</v>
      </c>
      <c r="Q1855" s="85">
        <v>8966.09</v>
      </c>
      <c r="R1855" s="82" t="s">
        <v>3399</v>
      </c>
      <c r="S1855" s="7">
        <f t="shared" si="85"/>
        <v>0</v>
      </c>
      <c r="T1855" s="6">
        <f t="shared" si="86"/>
        <v>0</v>
      </c>
      <c r="U1855" s="25">
        <f t="shared" si="84"/>
        <v>0</v>
      </c>
    </row>
    <row r="1856" spans="1:21" ht="10.9" customHeight="1" x14ac:dyDescent="0.2">
      <c r="A1856" s="82" t="s">
        <v>3029</v>
      </c>
      <c r="B1856" s="83">
        <v>45883</v>
      </c>
      <c r="C1856" s="82" t="s">
        <v>3395</v>
      </c>
      <c r="D1856" s="82" t="s">
        <v>949</v>
      </c>
      <c r="E1856" s="82"/>
      <c r="F1856" s="82" t="s">
        <v>5028</v>
      </c>
      <c r="G1856" s="89">
        <v>1</v>
      </c>
      <c r="H1856" s="89">
        <v>2449.2199999999998</v>
      </c>
      <c r="I1856" s="85">
        <v>0</v>
      </c>
      <c r="J1856" s="85">
        <v>318.39999999999998</v>
      </c>
      <c r="K1856" s="85">
        <v>2767.62</v>
      </c>
      <c r="L1856" s="85">
        <v>8966.09</v>
      </c>
      <c r="M1856" s="89">
        <v>2449.2199999999998</v>
      </c>
      <c r="N1856" s="85">
        <v>0</v>
      </c>
      <c r="O1856" s="85">
        <v>318.39999999999998</v>
      </c>
      <c r="P1856" s="85">
        <v>2767.62</v>
      </c>
      <c r="Q1856" s="85">
        <v>8966.09</v>
      </c>
      <c r="R1856" s="82" t="s">
        <v>3399</v>
      </c>
      <c r="S1856" s="7">
        <f t="shared" si="85"/>
        <v>0</v>
      </c>
      <c r="T1856" s="6">
        <f t="shared" si="86"/>
        <v>0</v>
      </c>
      <c r="U1856" s="25">
        <f t="shared" si="84"/>
        <v>0</v>
      </c>
    </row>
    <row r="1857" spans="1:21" ht="10.9" customHeight="1" x14ac:dyDescent="0.2">
      <c r="A1857" s="82" t="s">
        <v>3029</v>
      </c>
      <c r="B1857" s="83">
        <v>45883</v>
      </c>
      <c r="C1857" s="82" t="s">
        <v>3395</v>
      </c>
      <c r="D1857" s="82" t="s">
        <v>949</v>
      </c>
      <c r="E1857" s="82"/>
      <c r="F1857" s="82" t="s">
        <v>5027</v>
      </c>
      <c r="G1857" s="89">
        <v>1</v>
      </c>
      <c r="H1857" s="89">
        <v>165.39</v>
      </c>
      <c r="I1857" s="85">
        <v>0</v>
      </c>
      <c r="J1857" s="85">
        <v>21.5</v>
      </c>
      <c r="K1857" s="85">
        <v>186.89</v>
      </c>
      <c r="L1857" s="85">
        <v>8966.09</v>
      </c>
      <c r="M1857" s="89">
        <v>165.39</v>
      </c>
      <c r="N1857" s="85">
        <v>0</v>
      </c>
      <c r="O1857" s="85">
        <v>21.5</v>
      </c>
      <c r="P1857" s="85">
        <v>186.89</v>
      </c>
      <c r="Q1857" s="85">
        <v>8966.09</v>
      </c>
      <c r="R1857" s="82" t="s">
        <v>3399</v>
      </c>
      <c r="S1857" s="7">
        <f t="shared" si="85"/>
        <v>0</v>
      </c>
      <c r="T1857" s="6">
        <f t="shared" si="86"/>
        <v>0</v>
      </c>
      <c r="U1857" s="25">
        <f t="shared" si="84"/>
        <v>0</v>
      </c>
    </row>
    <row r="1858" spans="1:21" ht="10.9" customHeight="1" x14ac:dyDescent="0.2">
      <c r="A1858" s="82" t="s">
        <v>3029</v>
      </c>
      <c r="B1858" s="83">
        <v>45883</v>
      </c>
      <c r="C1858" s="82" t="s">
        <v>3395</v>
      </c>
      <c r="D1858" s="82" t="s">
        <v>949</v>
      </c>
      <c r="E1858" s="82"/>
      <c r="F1858" s="82" t="s">
        <v>5026</v>
      </c>
      <c r="G1858" s="89">
        <v>1</v>
      </c>
      <c r="H1858" s="89">
        <v>946.78</v>
      </c>
      <c r="I1858" s="85">
        <v>0</v>
      </c>
      <c r="J1858" s="85">
        <v>123.08</v>
      </c>
      <c r="K1858" s="85">
        <v>1069.8599999999999</v>
      </c>
      <c r="L1858" s="85">
        <v>8966.09</v>
      </c>
      <c r="M1858" s="89">
        <v>946.78</v>
      </c>
      <c r="N1858" s="85">
        <v>0</v>
      </c>
      <c r="O1858" s="85">
        <v>123.08</v>
      </c>
      <c r="P1858" s="85">
        <v>1069.8599999999999</v>
      </c>
      <c r="Q1858" s="85">
        <v>8966.09</v>
      </c>
      <c r="R1858" s="82" t="s">
        <v>3399</v>
      </c>
      <c r="S1858" s="7">
        <f t="shared" si="85"/>
        <v>0</v>
      </c>
      <c r="T1858" s="6">
        <f t="shared" si="86"/>
        <v>0</v>
      </c>
      <c r="U1858" s="25">
        <f t="shared" ref="U1858:U1921" si="87">IF(T1858=1,K1858-J1858,0)</f>
        <v>0</v>
      </c>
    </row>
    <row r="1859" spans="1:21" ht="10.9" customHeight="1" x14ac:dyDescent="0.2">
      <c r="A1859" s="82" t="s">
        <v>3029</v>
      </c>
      <c r="B1859" s="83">
        <v>45883</v>
      </c>
      <c r="C1859" s="82" t="s">
        <v>3395</v>
      </c>
      <c r="D1859" s="82" t="s">
        <v>949</v>
      </c>
      <c r="E1859" s="82"/>
      <c r="F1859" s="82" t="s">
        <v>5025</v>
      </c>
      <c r="G1859" s="89">
        <v>2</v>
      </c>
      <c r="H1859" s="89">
        <v>1488.39</v>
      </c>
      <c r="I1859" s="85">
        <v>0</v>
      </c>
      <c r="J1859" s="85">
        <v>386.98</v>
      </c>
      <c r="K1859" s="85">
        <v>3363.76</v>
      </c>
      <c r="L1859" s="85">
        <v>8966.09</v>
      </c>
      <c r="M1859" s="89">
        <v>1488.39</v>
      </c>
      <c r="N1859" s="85">
        <v>0</v>
      </c>
      <c r="O1859" s="85">
        <v>386.98</v>
      </c>
      <c r="P1859" s="85">
        <v>3363.76</v>
      </c>
      <c r="Q1859" s="85">
        <v>8966.09</v>
      </c>
      <c r="R1859" s="82" t="s">
        <v>3399</v>
      </c>
      <c r="S1859" s="7">
        <f t="shared" ref="S1859:S1922" si="88">IF(T1859=1,A1859,0)</f>
        <v>0</v>
      </c>
      <c r="T1859" s="6">
        <f t="shared" ref="T1859:T1922" si="89">IFERROR(FIND("Freight",F1859,1),0)</f>
        <v>0</v>
      </c>
      <c r="U1859" s="25">
        <f t="shared" si="87"/>
        <v>0</v>
      </c>
    </row>
    <row r="1860" spans="1:21" ht="10.9" customHeight="1" x14ac:dyDescent="0.2">
      <c r="A1860" s="82" t="s">
        <v>3082</v>
      </c>
      <c r="B1860" s="83">
        <v>45883</v>
      </c>
      <c r="C1860" s="82" t="s">
        <v>3395</v>
      </c>
      <c r="D1860" s="82" t="s">
        <v>846</v>
      </c>
      <c r="E1860" s="82"/>
      <c r="F1860" s="82" t="s">
        <v>5024</v>
      </c>
      <c r="G1860" s="89">
        <v>1</v>
      </c>
      <c r="H1860" s="89">
        <v>774.75</v>
      </c>
      <c r="I1860" s="85">
        <v>0</v>
      </c>
      <c r="J1860" s="85">
        <v>38.74</v>
      </c>
      <c r="K1860" s="85">
        <v>813.49</v>
      </c>
      <c r="L1860" s="85">
        <v>813.49</v>
      </c>
      <c r="M1860" s="89">
        <v>774.75</v>
      </c>
      <c r="N1860" s="85">
        <v>0</v>
      </c>
      <c r="O1860" s="85">
        <v>38.74</v>
      </c>
      <c r="P1860" s="85">
        <v>813.49</v>
      </c>
      <c r="Q1860" s="85">
        <v>813.49</v>
      </c>
      <c r="R1860" s="82" t="s">
        <v>3399</v>
      </c>
      <c r="S1860" s="7">
        <f t="shared" si="88"/>
        <v>0</v>
      </c>
      <c r="T1860" s="6">
        <f t="shared" si="89"/>
        <v>0</v>
      </c>
      <c r="U1860" s="25">
        <f t="shared" si="87"/>
        <v>0</v>
      </c>
    </row>
    <row r="1861" spans="1:21" ht="10.9" customHeight="1" x14ac:dyDescent="0.2">
      <c r="A1861" s="82" t="s">
        <v>2730</v>
      </c>
      <c r="B1861" s="83">
        <v>45884</v>
      </c>
      <c r="C1861" s="82" t="s">
        <v>3395</v>
      </c>
      <c r="D1861" s="82" t="s">
        <v>1470</v>
      </c>
      <c r="E1861" s="82"/>
      <c r="F1861" s="82" t="s">
        <v>5021</v>
      </c>
      <c r="G1861" s="89">
        <v>1</v>
      </c>
      <c r="H1861" s="89">
        <v>573.78</v>
      </c>
      <c r="I1861" s="85">
        <v>0</v>
      </c>
      <c r="J1861" s="85">
        <v>0</v>
      </c>
      <c r="K1861" s="85">
        <v>573.78</v>
      </c>
      <c r="L1861" s="85">
        <v>3347.42</v>
      </c>
      <c r="M1861" s="89">
        <v>792.55650511560702</v>
      </c>
      <c r="N1861" s="85">
        <v>0</v>
      </c>
      <c r="O1861" s="85">
        <v>0</v>
      </c>
      <c r="P1861" s="85">
        <v>792.55650511560702</v>
      </c>
      <c r="Q1861" s="85">
        <v>4623.7573570952027</v>
      </c>
      <c r="R1861" s="82" t="s">
        <v>3399</v>
      </c>
      <c r="S1861" s="7">
        <f t="shared" si="88"/>
        <v>0</v>
      </c>
      <c r="T1861" s="6">
        <f t="shared" si="89"/>
        <v>0</v>
      </c>
      <c r="U1861" s="25">
        <f t="shared" si="87"/>
        <v>0</v>
      </c>
    </row>
    <row r="1862" spans="1:21" ht="10.9" customHeight="1" x14ac:dyDescent="0.2">
      <c r="A1862" s="82" t="s">
        <v>2730</v>
      </c>
      <c r="B1862" s="83">
        <v>45884</v>
      </c>
      <c r="C1862" s="82" t="s">
        <v>3395</v>
      </c>
      <c r="D1862" s="82" t="s">
        <v>1470</v>
      </c>
      <c r="E1862" s="82"/>
      <c r="F1862" s="82" t="s">
        <v>5020</v>
      </c>
      <c r="G1862" s="89">
        <v>1</v>
      </c>
      <c r="H1862" s="89">
        <v>596.44000000000005</v>
      </c>
      <c r="I1862" s="85">
        <v>0</v>
      </c>
      <c r="J1862" s="85">
        <v>0</v>
      </c>
      <c r="K1862" s="85">
        <v>596.44000000000005</v>
      </c>
      <c r="L1862" s="85">
        <v>3347.42</v>
      </c>
      <c r="M1862" s="89">
        <v>823.85653370830744</v>
      </c>
      <c r="N1862" s="85">
        <v>0</v>
      </c>
      <c r="O1862" s="85">
        <v>0</v>
      </c>
      <c r="P1862" s="85">
        <v>823.85653370830744</v>
      </c>
      <c r="Q1862" s="85">
        <v>4623.7573570952027</v>
      </c>
      <c r="R1862" s="82" t="s">
        <v>3399</v>
      </c>
      <c r="S1862" s="7">
        <f t="shared" si="88"/>
        <v>0</v>
      </c>
      <c r="T1862" s="6">
        <f t="shared" si="89"/>
        <v>0</v>
      </c>
      <c r="U1862" s="25">
        <f t="shared" si="87"/>
        <v>0</v>
      </c>
    </row>
    <row r="1863" spans="1:21" ht="10.9" customHeight="1" x14ac:dyDescent="0.2">
      <c r="A1863" s="82" t="s">
        <v>2730</v>
      </c>
      <c r="B1863" s="83">
        <v>45884</v>
      </c>
      <c r="C1863" s="82" t="s">
        <v>3395</v>
      </c>
      <c r="D1863" s="82" t="s">
        <v>1470</v>
      </c>
      <c r="E1863" s="82"/>
      <c r="F1863" s="82" t="s">
        <v>5019</v>
      </c>
      <c r="G1863" s="89">
        <v>1</v>
      </c>
      <c r="H1863" s="89">
        <v>489.78</v>
      </c>
      <c r="I1863" s="85">
        <v>0</v>
      </c>
      <c r="J1863" s="85">
        <v>0</v>
      </c>
      <c r="K1863" s="85">
        <v>489.78</v>
      </c>
      <c r="L1863" s="85">
        <v>3347.42</v>
      </c>
      <c r="M1863" s="89">
        <v>676.52815552218976</v>
      </c>
      <c r="N1863" s="85">
        <v>0</v>
      </c>
      <c r="O1863" s="85">
        <v>0</v>
      </c>
      <c r="P1863" s="85">
        <v>676.52815552218976</v>
      </c>
      <c r="Q1863" s="85">
        <v>4623.7573570952027</v>
      </c>
      <c r="R1863" s="82" t="s">
        <v>3399</v>
      </c>
      <c r="S1863" s="7">
        <f t="shared" si="88"/>
        <v>0</v>
      </c>
      <c r="T1863" s="6">
        <f t="shared" si="89"/>
        <v>0</v>
      </c>
      <c r="U1863" s="25">
        <f t="shared" si="87"/>
        <v>0</v>
      </c>
    </row>
    <row r="1864" spans="1:21" ht="10.9" customHeight="1" x14ac:dyDescent="0.2">
      <c r="A1864" s="82" t="s">
        <v>2730</v>
      </c>
      <c r="B1864" s="83">
        <v>45884</v>
      </c>
      <c r="C1864" s="82" t="s">
        <v>3395</v>
      </c>
      <c r="D1864" s="82" t="s">
        <v>1470</v>
      </c>
      <c r="E1864" s="82"/>
      <c r="F1864" s="82" t="s">
        <v>5018</v>
      </c>
      <c r="G1864" s="89">
        <v>1</v>
      </c>
      <c r="H1864" s="89">
        <v>898.62</v>
      </c>
      <c r="I1864" s="85">
        <v>0</v>
      </c>
      <c r="J1864" s="85">
        <v>0</v>
      </c>
      <c r="K1864" s="85">
        <v>898.62</v>
      </c>
      <c r="L1864" s="85">
        <v>3347.42</v>
      </c>
      <c r="M1864" s="89">
        <v>1241.2547084718651</v>
      </c>
      <c r="N1864" s="85">
        <v>0</v>
      </c>
      <c r="O1864" s="85">
        <v>0</v>
      </c>
      <c r="P1864" s="85">
        <v>1241.2547084718651</v>
      </c>
      <c r="Q1864" s="85">
        <v>4623.7573570952027</v>
      </c>
      <c r="R1864" s="82" t="s">
        <v>3399</v>
      </c>
      <c r="S1864" s="7">
        <f t="shared" si="88"/>
        <v>0</v>
      </c>
      <c r="T1864" s="6">
        <f t="shared" si="89"/>
        <v>0</v>
      </c>
      <c r="U1864" s="25">
        <f t="shared" si="87"/>
        <v>0</v>
      </c>
    </row>
    <row r="1865" spans="1:21" ht="10.9" customHeight="1" x14ac:dyDescent="0.2">
      <c r="A1865" s="82" t="s">
        <v>2730</v>
      </c>
      <c r="B1865" s="83">
        <v>45884</v>
      </c>
      <c r="C1865" s="82" t="s">
        <v>3395</v>
      </c>
      <c r="D1865" s="82" t="s">
        <v>1470</v>
      </c>
      <c r="E1865" s="82"/>
      <c r="F1865" s="82" t="s">
        <v>5017</v>
      </c>
      <c r="G1865" s="89">
        <v>8</v>
      </c>
      <c r="H1865" s="89">
        <v>11.35</v>
      </c>
      <c r="I1865" s="85">
        <v>0</v>
      </c>
      <c r="J1865" s="85">
        <v>0</v>
      </c>
      <c r="K1865" s="85">
        <v>90.8</v>
      </c>
      <c r="L1865" s="85">
        <v>3347.42</v>
      </c>
      <c r="M1865" s="89">
        <v>15.67764009387246</v>
      </c>
      <c r="N1865" s="85">
        <v>0</v>
      </c>
      <c r="O1865" s="85">
        <v>0</v>
      </c>
      <c r="P1865" s="85">
        <v>125.42112075097968</v>
      </c>
      <c r="Q1865" s="85">
        <v>4623.7573570952027</v>
      </c>
      <c r="R1865" s="82" t="s">
        <v>3399</v>
      </c>
      <c r="S1865" s="7">
        <f t="shared" si="88"/>
        <v>0</v>
      </c>
      <c r="T1865" s="6">
        <f t="shared" si="89"/>
        <v>0</v>
      </c>
      <c r="U1865" s="25">
        <f t="shared" si="87"/>
        <v>0</v>
      </c>
    </row>
    <row r="1866" spans="1:21" ht="10.9" customHeight="1" x14ac:dyDescent="0.2">
      <c r="A1866" s="82" t="s">
        <v>2730</v>
      </c>
      <c r="B1866" s="83">
        <v>45884</v>
      </c>
      <c r="C1866" s="82" t="s">
        <v>3395</v>
      </c>
      <c r="D1866" s="82" t="s">
        <v>1470</v>
      </c>
      <c r="E1866" s="82"/>
      <c r="F1866" s="82" t="s">
        <v>4393</v>
      </c>
      <c r="G1866" s="89">
        <v>1</v>
      </c>
      <c r="H1866" s="89">
        <v>698</v>
      </c>
      <c r="I1866" s="85">
        <v>0</v>
      </c>
      <c r="J1866" s="85">
        <v>0</v>
      </c>
      <c r="K1866" s="85">
        <v>698</v>
      </c>
      <c r="L1866" s="85">
        <v>3347.42</v>
      </c>
      <c r="M1866" s="89">
        <v>964.14033352625347</v>
      </c>
      <c r="N1866" s="85">
        <v>0</v>
      </c>
      <c r="O1866" s="85">
        <v>0</v>
      </c>
      <c r="P1866" s="85">
        <v>964.14033352625347</v>
      </c>
      <c r="Q1866" s="85">
        <v>4623.7573570952027</v>
      </c>
      <c r="R1866" s="82" t="s">
        <v>3399</v>
      </c>
      <c r="S1866" s="7" t="str">
        <f t="shared" si="88"/>
        <v>INV13301</v>
      </c>
      <c r="T1866" s="6">
        <f t="shared" si="89"/>
        <v>1</v>
      </c>
      <c r="U1866" s="25">
        <f t="shared" si="87"/>
        <v>698</v>
      </c>
    </row>
    <row r="1867" spans="1:21" ht="10.9" customHeight="1" x14ac:dyDescent="0.2">
      <c r="A1867" s="82" t="s">
        <v>2800</v>
      </c>
      <c r="B1867" s="83">
        <v>45884</v>
      </c>
      <c r="C1867" s="82" t="s">
        <v>3395</v>
      </c>
      <c r="D1867" s="82" t="s">
        <v>1341</v>
      </c>
      <c r="E1867" s="82"/>
      <c r="F1867" s="82" t="s">
        <v>5016</v>
      </c>
      <c r="G1867" s="89">
        <v>1</v>
      </c>
      <c r="H1867" s="89">
        <v>2588.39</v>
      </c>
      <c r="I1867" s="85">
        <v>0</v>
      </c>
      <c r="J1867" s="85">
        <v>0</v>
      </c>
      <c r="K1867" s="85">
        <v>2588.39</v>
      </c>
      <c r="L1867" s="85">
        <v>10043.700000000001</v>
      </c>
      <c r="M1867" s="89">
        <v>3576.9473668209348</v>
      </c>
      <c r="N1867" s="85">
        <v>0</v>
      </c>
      <c r="O1867" s="85">
        <v>0</v>
      </c>
      <c r="P1867" s="85">
        <v>3576.9473668209348</v>
      </c>
      <c r="Q1867" s="85">
        <v>13879.587800964857</v>
      </c>
      <c r="R1867" s="82" t="s">
        <v>3399</v>
      </c>
      <c r="S1867" s="7">
        <f t="shared" si="88"/>
        <v>0</v>
      </c>
      <c r="T1867" s="6">
        <f t="shared" si="89"/>
        <v>0</v>
      </c>
      <c r="U1867" s="25">
        <f t="shared" si="87"/>
        <v>0</v>
      </c>
    </row>
    <row r="1868" spans="1:21" ht="10.9" customHeight="1" x14ac:dyDescent="0.2">
      <c r="A1868" s="82" t="s">
        <v>2800</v>
      </c>
      <c r="B1868" s="83">
        <v>45884</v>
      </c>
      <c r="C1868" s="82" t="s">
        <v>3395</v>
      </c>
      <c r="D1868" s="82" t="s">
        <v>1341</v>
      </c>
      <c r="E1868" s="82"/>
      <c r="F1868" s="82" t="s">
        <v>5015</v>
      </c>
      <c r="G1868" s="89">
        <v>1</v>
      </c>
      <c r="H1868" s="89">
        <v>1219.58</v>
      </c>
      <c r="I1868" s="85">
        <v>0</v>
      </c>
      <c r="J1868" s="85">
        <v>0</v>
      </c>
      <c r="K1868" s="85">
        <v>1219.58</v>
      </c>
      <c r="L1868" s="85">
        <v>10043.700000000001</v>
      </c>
      <c r="M1868" s="89">
        <v>1685.3617382339894</v>
      </c>
      <c r="N1868" s="85">
        <v>0</v>
      </c>
      <c r="O1868" s="85">
        <v>0</v>
      </c>
      <c r="P1868" s="85">
        <v>1685.3617382339894</v>
      </c>
      <c r="Q1868" s="85">
        <v>13879.587800964857</v>
      </c>
      <c r="R1868" s="82" t="s">
        <v>3399</v>
      </c>
      <c r="S1868" s="7">
        <f t="shared" si="88"/>
        <v>0</v>
      </c>
      <c r="T1868" s="6">
        <f t="shared" si="89"/>
        <v>0</v>
      </c>
      <c r="U1868" s="25">
        <f t="shared" si="87"/>
        <v>0</v>
      </c>
    </row>
    <row r="1869" spans="1:21" ht="10.9" customHeight="1" x14ac:dyDescent="0.2">
      <c r="A1869" s="82" t="s">
        <v>2800</v>
      </c>
      <c r="B1869" s="83">
        <v>45884</v>
      </c>
      <c r="C1869" s="82" t="s">
        <v>3395</v>
      </c>
      <c r="D1869" s="82" t="s">
        <v>1341</v>
      </c>
      <c r="E1869" s="82"/>
      <c r="F1869" s="82" t="s">
        <v>5014</v>
      </c>
      <c r="G1869" s="89">
        <v>1</v>
      </c>
      <c r="H1869" s="89">
        <v>1626.29</v>
      </c>
      <c r="I1869" s="85">
        <v>0</v>
      </c>
      <c r="J1869" s="85">
        <v>0</v>
      </c>
      <c r="K1869" s="85">
        <v>1626.29</v>
      </c>
      <c r="L1869" s="85">
        <v>10043.700000000001</v>
      </c>
      <c r="M1869" s="89">
        <v>2247.4023362735979</v>
      </c>
      <c r="N1869" s="85">
        <v>0</v>
      </c>
      <c r="O1869" s="85">
        <v>0</v>
      </c>
      <c r="P1869" s="85">
        <v>2247.4023362735979</v>
      </c>
      <c r="Q1869" s="85">
        <v>13879.587800964857</v>
      </c>
      <c r="R1869" s="82" t="s">
        <v>3399</v>
      </c>
      <c r="S1869" s="7">
        <f t="shared" si="88"/>
        <v>0</v>
      </c>
      <c r="T1869" s="6">
        <f t="shared" si="89"/>
        <v>0</v>
      </c>
      <c r="U1869" s="25">
        <f t="shared" si="87"/>
        <v>0</v>
      </c>
    </row>
    <row r="1870" spans="1:21" ht="10.9" customHeight="1" x14ac:dyDescent="0.2">
      <c r="A1870" s="82" t="s">
        <v>2800</v>
      </c>
      <c r="B1870" s="83">
        <v>45884</v>
      </c>
      <c r="C1870" s="82" t="s">
        <v>3395</v>
      </c>
      <c r="D1870" s="82" t="s">
        <v>1341</v>
      </c>
      <c r="E1870" s="82"/>
      <c r="F1870" s="82" t="s">
        <v>5013</v>
      </c>
      <c r="G1870" s="89">
        <v>4</v>
      </c>
      <c r="H1870" s="89">
        <v>948.11</v>
      </c>
      <c r="I1870" s="85">
        <v>0</v>
      </c>
      <c r="J1870" s="85">
        <v>0</v>
      </c>
      <c r="K1870" s="85">
        <v>3792.44</v>
      </c>
      <c r="L1870" s="85">
        <v>10043.700000000001</v>
      </c>
      <c r="M1870" s="89">
        <v>1310.2119726766819</v>
      </c>
      <c r="N1870" s="85">
        <v>0</v>
      </c>
      <c r="O1870" s="85">
        <v>0</v>
      </c>
      <c r="P1870" s="85">
        <v>5240.8478907067274</v>
      </c>
      <c r="Q1870" s="85">
        <v>13879.587800964857</v>
      </c>
      <c r="R1870" s="82" t="s">
        <v>3399</v>
      </c>
      <c r="S1870" s="7">
        <f t="shared" si="88"/>
        <v>0</v>
      </c>
      <c r="T1870" s="6">
        <f t="shared" si="89"/>
        <v>0</v>
      </c>
      <c r="U1870" s="25">
        <f t="shared" si="87"/>
        <v>0</v>
      </c>
    </row>
    <row r="1871" spans="1:21" ht="10.9" customHeight="1" x14ac:dyDescent="0.2">
      <c r="A1871" s="82" t="s">
        <v>2800</v>
      </c>
      <c r="B1871" s="83">
        <v>45884</v>
      </c>
      <c r="C1871" s="82" t="s">
        <v>3395</v>
      </c>
      <c r="D1871" s="82" t="s">
        <v>1341</v>
      </c>
      <c r="E1871" s="82"/>
      <c r="F1871" s="82" t="s">
        <v>4393</v>
      </c>
      <c r="G1871" s="89">
        <v>1</v>
      </c>
      <c r="H1871" s="89">
        <v>817</v>
      </c>
      <c r="I1871" s="85">
        <v>0</v>
      </c>
      <c r="J1871" s="85">
        <v>0</v>
      </c>
      <c r="K1871" s="85">
        <v>817</v>
      </c>
      <c r="L1871" s="85">
        <v>10043.700000000001</v>
      </c>
      <c r="M1871" s="89">
        <v>1129.0284689296063</v>
      </c>
      <c r="N1871" s="85">
        <v>0</v>
      </c>
      <c r="O1871" s="85">
        <v>0</v>
      </c>
      <c r="P1871" s="85">
        <v>1129.0284689296063</v>
      </c>
      <c r="Q1871" s="85">
        <v>13879.587800964857</v>
      </c>
      <c r="R1871" s="82" t="s">
        <v>3399</v>
      </c>
      <c r="S1871" s="7" t="str">
        <f t="shared" si="88"/>
        <v>INV13302</v>
      </c>
      <c r="T1871" s="6">
        <f t="shared" si="89"/>
        <v>1</v>
      </c>
      <c r="U1871" s="25">
        <f t="shared" si="87"/>
        <v>817</v>
      </c>
    </row>
    <row r="1872" spans="1:21" ht="10.9" customHeight="1" x14ac:dyDescent="0.2">
      <c r="A1872" s="82" t="s">
        <v>2956</v>
      </c>
      <c r="B1872" s="83">
        <v>45884</v>
      </c>
      <c r="C1872" s="82" t="s">
        <v>3395</v>
      </c>
      <c r="D1872" s="82" t="s">
        <v>1074</v>
      </c>
      <c r="E1872" s="82"/>
      <c r="F1872" s="82" t="s">
        <v>5023</v>
      </c>
      <c r="G1872" s="89">
        <v>5</v>
      </c>
      <c r="H1872" s="89">
        <v>55.73</v>
      </c>
      <c r="I1872" s="85">
        <v>0</v>
      </c>
      <c r="J1872" s="85">
        <v>36.22</v>
      </c>
      <c r="K1872" s="85">
        <v>314.87</v>
      </c>
      <c r="L1872" s="85">
        <v>314.87</v>
      </c>
      <c r="M1872" s="89">
        <v>55.73</v>
      </c>
      <c r="N1872" s="85">
        <v>0</v>
      </c>
      <c r="O1872" s="85">
        <v>36.22</v>
      </c>
      <c r="P1872" s="85">
        <v>314.87</v>
      </c>
      <c r="Q1872" s="85">
        <v>314.87</v>
      </c>
      <c r="R1872" s="82" t="s">
        <v>3399</v>
      </c>
      <c r="S1872" s="7">
        <f t="shared" si="88"/>
        <v>0</v>
      </c>
      <c r="T1872" s="6">
        <f t="shared" si="89"/>
        <v>0</v>
      </c>
      <c r="U1872" s="25">
        <f t="shared" si="87"/>
        <v>0</v>
      </c>
    </row>
    <row r="1873" spans="1:21" ht="10.9" customHeight="1" x14ac:dyDescent="0.2">
      <c r="A1873" s="82" t="s">
        <v>2957</v>
      </c>
      <c r="B1873" s="83">
        <v>45884</v>
      </c>
      <c r="C1873" s="82" t="s">
        <v>3395</v>
      </c>
      <c r="D1873" s="82" t="s">
        <v>1072</v>
      </c>
      <c r="E1873" s="82"/>
      <c r="F1873" s="82" t="s">
        <v>5022</v>
      </c>
      <c r="G1873" s="89">
        <v>1</v>
      </c>
      <c r="H1873" s="89">
        <v>894.72</v>
      </c>
      <c r="I1873" s="85">
        <v>0</v>
      </c>
      <c r="J1873" s="85">
        <v>116.31</v>
      </c>
      <c r="K1873" s="85">
        <v>1011.03</v>
      </c>
      <c r="L1873" s="85">
        <v>1011.03</v>
      </c>
      <c r="M1873" s="89">
        <v>894.72</v>
      </c>
      <c r="N1873" s="85">
        <v>0</v>
      </c>
      <c r="O1873" s="85">
        <v>116.31</v>
      </c>
      <c r="P1873" s="85">
        <v>1011.03</v>
      </c>
      <c r="Q1873" s="85">
        <v>1011.03</v>
      </c>
      <c r="R1873" s="82" t="s">
        <v>3399</v>
      </c>
      <c r="S1873" s="7">
        <f t="shared" si="88"/>
        <v>0</v>
      </c>
      <c r="T1873" s="6">
        <f t="shared" si="89"/>
        <v>0</v>
      </c>
      <c r="U1873" s="25">
        <f t="shared" si="87"/>
        <v>0</v>
      </c>
    </row>
    <row r="1874" spans="1:21" ht="10.9" customHeight="1" x14ac:dyDescent="0.2">
      <c r="A1874" s="82" t="s">
        <v>2757</v>
      </c>
      <c r="B1874" s="83">
        <v>45887</v>
      </c>
      <c r="C1874" s="82" t="s">
        <v>3395</v>
      </c>
      <c r="D1874" s="82" t="s">
        <v>1422</v>
      </c>
      <c r="E1874" s="82"/>
      <c r="F1874" s="82" t="s">
        <v>5004</v>
      </c>
      <c r="G1874" s="89">
        <v>7</v>
      </c>
      <c r="H1874" s="89">
        <v>887.89</v>
      </c>
      <c r="I1874" s="85">
        <v>0</v>
      </c>
      <c r="J1874" s="85">
        <v>807.98</v>
      </c>
      <c r="K1874" s="85">
        <v>7023.21</v>
      </c>
      <c r="L1874" s="85">
        <v>7564.13</v>
      </c>
      <c r="M1874" s="89">
        <v>1226.4521030457904</v>
      </c>
      <c r="N1874" s="85">
        <v>0</v>
      </c>
      <c r="O1874" s="85">
        <v>1116.0715519027558</v>
      </c>
      <c r="P1874" s="85">
        <v>9701.2362732232887</v>
      </c>
      <c r="Q1874" s="85">
        <v>10448.414945783548</v>
      </c>
      <c r="R1874" s="82" t="s">
        <v>3399</v>
      </c>
      <c r="S1874" s="7">
        <f t="shared" si="88"/>
        <v>0</v>
      </c>
      <c r="T1874" s="6">
        <f t="shared" si="89"/>
        <v>0</v>
      </c>
      <c r="U1874" s="25">
        <f t="shared" si="87"/>
        <v>0</v>
      </c>
    </row>
    <row r="1875" spans="1:21" ht="10.9" customHeight="1" x14ac:dyDescent="0.2">
      <c r="A1875" s="82" t="s">
        <v>2757</v>
      </c>
      <c r="B1875" s="83">
        <v>45887</v>
      </c>
      <c r="C1875" s="82" t="s">
        <v>3395</v>
      </c>
      <c r="D1875" s="82" t="s">
        <v>1422</v>
      </c>
      <c r="E1875" s="82"/>
      <c r="F1875" s="82" t="s">
        <v>4459</v>
      </c>
      <c r="G1875" s="89">
        <v>1</v>
      </c>
      <c r="H1875" s="89">
        <v>540.91999999999996</v>
      </c>
      <c r="I1875" s="85">
        <v>0</v>
      </c>
      <c r="J1875" s="85">
        <v>0</v>
      </c>
      <c r="K1875" s="85">
        <v>540.91999999999996</v>
      </c>
      <c r="L1875" s="85">
        <v>7564.13</v>
      </c>
      <c r="M1875" s="89">
        <v>747.17867256025966</v>
      </c>
      <c r="N1875" s="85">
        <v>0</v>
      </c>
      <c r="O1875" s="85">
        <v>0</v>
      </c>
      <c r="P1875" s="85">
        <v>747.17867256025966</v>
      </c>
      <c r="Q1875" s="85">
        <v>10448.414945783548</v>
      </c>
      <c r="R1875" s="82" t="s">
        <v>3399</v>
      </c>
      <c r="S1875" s="7" t="str">
        <f t="shared" si="88"/>
        <v>INV13305</v>
      </c>
      <c r="T1875" s="6">
        <f t="shared" si="89"/>
        <v>1</v>
      </c>
      <c r="U1875" s="25">
        <f t="shared" si="87"/>
        <v>540.91999999999996</v>
      </c>
    </row>
    <row r="1876" spans="1:21" ht="10.9" customHeight="1" x14ac:dyDescent="0.2">
      <c r="A1876" s="82" t="s">
        <v>3084</v>
      </c>
      <c r="B1876" s="83">
        <v>45887</v>
      </c>
      <c r="C1876" s="82" t="s">
        <v>3395</v>
      </c>
      <c r="D1876" s="82" t="s">
        <v>842</v>
      </c>
      <c r="E1876" s="82"/>
      <c r="F1876" s="82" t="s">
        <v>4550</v>
      </c>
      <c r="G1876" s="89">
        <v>2</v>
      </c>
      <c r="H1876" s="89">
        <v>235.74</v>
      </c>
      <c r="I1876" s="85">
        <v>0</v>
      </c>
      <c r="J1876" s="85">
        <v>0</v>
      </c>
      <c r="K1876" s="85">
        <v>471.48</v>
      </c>
      <c r="L1876" s="85">
        <v>471.48</v>
      </c>
      <c r="M1876" s="89">
        <v>325.56411640981804</v>
      </c>
      <c r="N1876" s="85">
        <v>0</v>
      </c>
      <c r="O1876" s="85">
        <v>0</v>
      </c>
      <c r="P1876" s="85">
        <v>651.12823281963608</v>
      </c>
      <c r="Q1876" s="85">
        <v>651.12823281963608</v>
      </c>
      <c r="R1876" s="82" t="s">
        <v>3399</v>
      </c>
      <c r="S1876" s="7">
        <f t="shared" si="88"/>
        <v>0</v>
      </c>
      <c r="T1876" s="6">
        <f t="shared" si="89"/>
        <v>0</v>
      </c>
      <c r="U1876" s="25">
        <f t="shared" si="87"/>
        <v>0</v>
      </c>
    </row>
    <row r="1877" spans="1:21" ht="10.9" customHeight="1" x14ac:dyDescent="0.2">
      <c r="A1877" s="82" t="s">
        <v>3081</v>
      </c>
      <c r="B1877" s="83">
        <v>45887</v>
      </c>
      <c r="C1877" s="82" t="s">
        <v>3395</v>
      </c>
      <c r="D1877" s="82" t="s">
        <v>848</v>
      </c>
      <c r="E1877" s="82"/>
      <c r="F1877" s="82" t="s">
        <v>4615</v>
      </c>
      <c r="G1877" s="89">
        <v>2</v>
      </c>
      <c r="H1877" s="89">
        <v>14.11</v>
      </c>
      <c r="I1877" s="85">
        <v>0</v>
      </c>
      <c r="J1877" s="85">
        <v>0</v>
      </c>
      <c r="K1877" s="85">
        <v>28.22</v>
      </c>
      <c r="L1877" s="85">
        <v>28.22</v>
      </c>
      <c r="M1877" s="89">
        <v>19.486339537382424</v>
      </c>
      <c r="N1877" s="85">
        <v>0</v>
      </c>
      <c r="O1877" s="85">
        <v>0</v>
      </c>
      <c r="P1877" s="85">
        <v>38.972679074764848</v>
      </c>
      <c r="Q1877" s="85">
        <v>38.972679074764848</v>
      </c>
      <c r="R1877" s="82" t="s">
        <v>3399</v>
      </c>
      <c r="S1877" s="7">
        <f t="shared" si="88"/>
        <v>0</v>
      </c>
      <c r="T1877" s="6">
        <f t="shared" si="89"/>
        <v>0</v>
      </c>
      <c r="U1877" s="25">
        <f t="shared" si="87"/>
        <v>0</v>
      </c>
    </row>
    <row r="1878" spans="1:21" ht="10.9" customHeight="1" x14ac:dyDescent="0.2">
      <c r="A1878" s="82" t="s">
        <v>3083</v>
      </c>
      <c r="B1878" s="83">
        <v>45887</v>
      </c>
      <c r="C1878" s="82" t="s">
        <v>3395</v>
      </c>
      <c r="D1878" s="82" t="s">
        <v>844</v>
      </c>
      <c r="E1878" s="82"/>
      <c r="F1878" s="82" t="s">
        <v>4423</v>
      </c>
      <c r="G1878" s="89">
        <v>21</v>
      </c>
      <c r="H1878" s="89">
        <v>72.69</v>
      </c>
      <c r="I1878" s="85">
        <v>0</v>
      </c>
      <c r="J1878" s="85">
        <v>0</v>
      </c>
      <c r="K1878" s="85">
        <v>1526.49</v>
      </c>
      <c r="L1878" s="85">
        <v>1526.49</v>
      </c>
      <c r="M1878" s="89">
        <v>100.38710283290774</v>
      </c>
      <c r="N1878" s="85">
        <v>0</v>
      </c>
      <c r="O1878" s="85">
        <v>0</v>
      </c>
      <c r="P1878" s="85">
        <v>2108.1291594910626</v>
      </c>
      <c r="Q1878" s="85">
        <v>2108.1291594910626</v>
      </c>
      <c r="R1878" s="82" t="s">
        <v>3399</v>
      </c>
      <c r="S1878" s="7">
        <f t="shared" si="88"/>
        <v>0</v>
      </c>
      <c r="T1878" s="6">
        <f t="shared" si="89"/>
        <v>0</v>
      </c>
      <c r="U1878" s="25">
        <f t="shared" si="87"/>
        <v>0</v>
      </c>
    </row>
    <row r="1879" spans="1:21" ht="10.9" customHeight="1" x14ac:dyDescent="0.2">
      <c r="A1879" s="82" t="s">
        <v>2998</v>
      </c>
      <c r="B1879" s="83">
        <v>45887</v>
      </c>
      <c r="C1879" s="82" t="s">
        <v>3395</v>
      </c>
      <c r="D1879" s="82" t="s">
        <v>1002</v>
      </c>
      <c r="E1879" s="82"/>
      <c r="F1879" s="82" t="s">
        <v>5012</v>
      </c>
      <c r="G1879" s="89">
        <v>1</v>
      </c>
      <c r="H1879" s="89">
        <v>1789.11</v>
      </c>
      <c r="I1879" s="85">
        <v>0</v>
      </c>
      <c r="J1879" s="85">
        <v>89.46</v>
      </c>
      <c r="K1879" s="85">
        <v>1878.57</v>
      </c>
      <c r="L1879" s="85">
        <v>3865</v>
      </c>
      <c r="M1879" s="89">
        <v>1789.11</v>
      </c>
      <c r="N1879" s="85">
        <v>0</v>
      </c>
      <c r="O1879" s="85">
        <v>89.46</v>
      </c>
      <c r="P1879" s="85">
        <v>1878.57</v>
      </c>
      <c r="Q1879" s="85">
        <v>3865</v>
      </c>
      <c r="R1879" s="82" t="s">
        <v>3399</v>
      </c>
      <c r="S1879" s="7">
        <f t="shared" si="88"/>
        <v>0</v>
      </c>
      <c r="T1879" s="6">
        <f t="shared" si="89"/>
        <v>0</v>
      </c>
      <c r="U1879" s="25">
        <f t="shared" si="87"/>
        <v>0</v>
      </c>
    </row>
    <row r="1880" spans="1:21" ht="10.9" customHeight="1" x14ac:dyDescent="0.2">
      <c r="A1880" s="82" t="s">
        <v>2998</v>
      </c>
      <c r="B1880" s="83">
        <v>45887</v>
      </c>
      <c r="C1880" s="82" t="s">
        <v>3395</v>
      </c>
      <c r="D1880" s="82" t="s">
        <v>1002</v>
      </c>
      <c r="E1880" s="82"/>
      <c r="F1880" s="82" t="s">
        <v>5011</v>
      </c>
      <c r="G1880" s="89">
        <v>1</v>
      </c>
      <c r="H1880" s="89">
        <v>1891.84</v>
      </c>
      <c r="I1880" s="85">
        <v>0</v>
      </c>
      <c r="J1880" s="85">
        <v>94.59</v>
      </c>
      <c r="K1880" s="85">
        <v>1986.43</v>
      </c>
      <c r="L1880" s="85">
        <v>3865</v>
      </c>
      <c r="M1880" s="89">
        <v>1891.84</v>
      </c>
      <c r="N1880" s="85">
        <v>0</v>
      </c>
      <c r="O1880" s="85">
        <v>94.59</v>
      </c>
      <c r="P1880" s="85">
        <v>1986.43</v>
      </c>
      <c r="Q1880" s="85">
        <v>3865</v>
      </c>
      <c r="R1880" s="82" t="s">
        <v>3399</v>
      </c>
      <c r="S1880" s="7">
        <f t="shared" si="88"/>
        <v>0</v>
      </c>
      <c r="T1880" s="6">
        <f t="shared" si="89"/>
        <v>0</v>
      </c>
      <c r="U1880" s="25">
        <f t="shared" si="87"/>
        <v>0</v>
      </c>
    </row>
    <row r="1881" spans="1:21" ht="10.9" customHeight="1" x14ac:dyDescent="0.2">
      <c r="A1881" s="82" t="s">
        <v>2839</v>
      </c>
      <c r="B1881" s="83">
        <v>45887</v>
      </c>
      <c r="C1881" s="82" t="s">
        <v>3395</v>
      </c>
      <c r="D1881" s="82" t="s">
        <v>1267</v>
      </c>
      <c r="E1881" s="82"/>
      <c r="F1881" s="82" t="s">
        <v>5010</v>
      </c>
      <c r="G1881" s="89">
        <v>1</v>
      </c>
      <c r="H1881" s="89">
        <v>239.88</v>
      </c>
      <c r="I1881" s="85">
        <v>0</v>
      </c>
      <c r="J1881" s="85">
        <v>31.18</v>
      </c>
      <c r="K1881" s="85">
        <v>271.06</v>
      </c>
      <c r="L1881" s="85">
        <v>3367.84</v>
      </c>
      <c r="M1881" s="89">
        <v>239.88</v>
      </c>
      <c r="N1881" s="85">
        <v>0</v>
      </c>
      <c r="O1881" s="85">
        <v>31.18</v>
      </c>
      <c r="P1881" s="85">
        <v>271.06</v>
      </c>
      <c r="Q1881" s="85">
        <v>3367.84</v>
      </c>
      <c r="R1881" s="82" t="s">
        <v>3399</v>
      </c>
      <c r="S1881" s="7">
        <f t="shared" si="88"/>
        <v>0</v>
      </c>
      <c r="T1881" s="6">
        <f t="shared" si="89"/>
        <v>0</v>
      </c>
      <c r="U1881" s="25">
        <f t="shared" si="87"/>
        <v>0</v>
      </c>
    </row>
    <row r="1882" spans="1:21" ht="10.9" customHeight="1" x14ac:dyDescent="0.2">
      <c r="A1882" s="82" t="s">
        <v>2839</v>
      </c>
      <c r="B1882" s="83">
        <v>45887</v>
      </c>
      <c r="C1882" s="82" t="s">
        <v>3395</v>
      </c>
      <c r="D1882" s="82" t="s">
        <v>1267</v>
      </c>
      <c r="E1882" s="82"/>
      <c r="F1882" s="82" t="s">
        <v>5009</v>
      </c>
      <c r="G1882" s="89">
        <v>1</v>
      </c>
      <c r="H1882" s="89">
        <v>1887.44</v>
      </c>
      <c r="I1882" s="85">
        <v>0</v>
      </c>
      <c r="J1882" s="85">
        <v>245.37</v>
      </c>
      <c r="K1882" s="85">
        <v>2132.81</v>
      </c>
      <c r="L1882" s="85">
        <v>3367.84</v>
      </c>
      <c r="M1882" s="89">
        <v>1887.44</v>
      </c>
      <c r="N1882" s="85">
        <v>0</v>
      </c>
      <c r="O1882" s="85">
        <v>245.37</v>
      </c>
      <c r="P1882" s="85">
        <v>2132.81</v>
      </c>
      <c r="Q1882" s="85">
        <v>3367.84</v>
      </c>
      <c r="R1882" s="82" t="s">
        <v>3399</v>
      </c>
      <c r="S1882" s="7">
        <f t="shared" si="88"/>
        <v>0</v>
      </c>
      <c r="T1882" s="6">
        <f t="shared" si="89"/>
        <v>0</v>
      </c>
      <c r="U1882" s="25">
        <f t="shared" si="87"/>
        <v>0</v>
      </c>
    </row>
    <row r="1883" spans="1:21" ht="10.9" customHeight="1" x14ac:dyDescent="0.2">
      <c r="A1883" s="82" t="s">
        <v>2839</v>
      </c>
      <c r="B1883" s="83">
        <v>45887</v>
      </c>
      <c r="C1883" s="82" t="s">
        <v>3395</v>
      </c>
      <c r="D1883" s="82" t="s">
        <v>1267</v>
      </c>
      <c r="E1883" s="82"/>
      <c r="F1883" s="82" t="s">
        <v>5008</v>
      </c>
      <c r="G1883" s="89">
        <v>1</v>
      </c>
      <c r="H1883" s="89">
        <v>853.07</v>
      </c>
      <c r="I1883" s="85">
        <v>0</v>
      </c>
      <c r="J1883" s="85">
        <v>110.9</v>
      </c>
      <c r="K1883" s="85">
        <v>963.97</v>
      </c>
      <c r="L1883" s="85">
        <v>3367.84</v>
      </c>
      <c r="M1883" s="89">
        <v>853.07</v>
      </c>
      <c r="N1883" s="85">
        <v>0</v>
      </c>
      <c r="O1883" s="85">
        <v>110.9</v>
      </c>
      <c r="P1883" s="85">
        <v>963.97</v>
      </c>
      <c r="Q1883" s="85">
        <v>3367.84</v>
      </c>
      <c r="R1883" s="82" t="s">
        <v>3399</v>
      </c>
      <c r="S1883" s="7">
        <f t="shared" si="88"/>
        <v>0</v>
      </c>
      <c r="T1883" s="6">
        <f t="shared" si="89"/>
        <v>0</v>
      </c>
      <c r="U1883" s="25">
        <f t="shared" si="87"/>
        <v>0</v>
      </c>
    </row>
    <row r="1884" spans="1:21" ht="10.9" customHeight="1" x14ac:dyDescent="0.2">
      <c r="A1884" s="82" t="s">
        <v>3087</v>
      </c>
      <c r="B1884" s="83">
        <v>45887</v>
      </c>
      <c r="C1884" s="82" t="s">
        <v>3395</v>
      </c>
      <c r="D1884" s="82" t="s">
        <v>836</v>
      </c>
      <c r="E1884" s="82"/>
      <c r="F1884" s="82" t="s">
        <v>5007</v>
      </c>
      <c r="G1884" s="89">
        <v>3</v>
      </c>
      <c r="H1884" s="89">
        <v>30.29</v>
      </c>
      <c r="I1884" s="85">
        <v>0</v>
      </c>
      <c r="J1884" s="85">
        <v>11.81</v>
      </c>
      <c r="K1884" s="85">
        <v>102.68</v>
      </c>
      <c r="L1884" s="85">
        <v>137.41999999999999</v>
      </c>
      <c r="M1884" s="89">
        <v>30.29</v>
      </c>
      <c r="N1884" s="85">
        <v>0</v>
      </c>
      <c r="O1884" s="85">
        <v>11.81</v>
      </c>
      <c r="P1884" s="85">
        <v>102.68</v>
      </c>
      <c r="Q1884" s="85">
        <v>137.41999999999999</v>
      </c>
      <c r="R1884" s="82" t="s">
        <v>3399</v>
      </c>
      <c r="S1884" s="7">
        <f t="shared" si="88"/>
        <v>0</v>
      </c>
      <c r="T1884" s="6">
        <f t="shared" si="89"/>
        <v>0</v>
      </c>
      <c r="U1884" s="25">
        <f t="shared" si="87"/>
        <v>0</v>
      </c>
    </row>
    <row r="1885" spans="1:21" ht="10.9" customHeight="1" x14ac:dyDescent="0.2">
      <c r="A1885" s="82" t="s">
        <v>3087</v>
      </c>
      <c r="B1885" s="83">
        <v>45887</v>
      </c>
      <c r="C1885" s="82" t="s">
        <v>3395</v>
      </c>
      <c r="D1885" s="82" t="s">
        <v>836</v>
      </c>
      <c r="E1885" s="82"/>
      <c r="F1885" s="82" t="s">
        <v>5006</v>
      </c>
      <c r="G1885" s="89">
        <v>1</v>
      </c>
      <c r="H1885" s="89">
        <v>30.74</v>
      </c>
      <c r="I1885" s="85">
        <v>0</v>
      </c>
      <c r="J1885" s="85">
        <v>4</v>
      </c>
      <c r="K1885" s="85">
        <v>34.74</v>
      </c>
      <c r="L1885" s="85">
        <v>137.41999999999999</v>
      </c>
      <c r="M1885" s="89">
        <v>30.74</v>
      </c>
      <c r="N1885" s="85">
        <v>0</v>
      </c>
      <c r="O1885" s="85">
        <v>4</v>
      </c>
      <c r="P1885" s="85">
        <v>34.74</v>
      </c>
      <c r="Q1885" s="85">
        <v>137.41999999999999</v>
      </c>
      <c r="R1885" s="82" t="s">
        <v>3399</v>
      </c>
      <c r="S1885" s="7">
        <f t="shared" si="88"/>
        <v>0</v>
      </c>
      <c r="T1885" s="6">
        <f t="shared" si="89"/>
        <v>0</v>
      </c>
      <c r="U1885" s="25">
        <f t="shared" si="87"/>
        <v>0</v>
      </c>
    </row>
    <row r="1886" spans="1:21" ht="10.9" customHeight="1" x14ac:dyDescent="0.2">
      <c r="A1886" s="82" t="s">
        <v>3041</v>
      </c>
      <c r="B1886" s="83">
        <v>45887</v>
      </c>
      <c r="C1886" s="82" t="s">
        <v>3395</v>
      </c>
      <c r="D1886" s="82" t="s">
        <v>929</v>
      </c>
      <c r="E1886" s="82"/>
      <c r="F1886" s="82" t="s">
        <v>5005</v>
      </c>
      <c r="G1886" s="89">
        <v>1</v>
      </c>
      <c r="H1886" s="89">
        <v>454.48</v>
      </c>
      <c r="I1886" s="85">
        <v>0</v>
      </c>
      <c r="J1886" s="85">
        <v>22.72</v>
      </c>
      <c r="K1886" s="85">
        <v>477.2</v>
      </c>
      <c r="L1886" s="85">
        <v>1010</v>
      </c>
      <c r="M1886" s="89">
        <v>454.48</v>
      </c>
      <c r="N1886" s="85">
        <v>0</v>
      </c>
      <c r="O1886" s="85">
        <v>22.72</v>
      </c>
      <c r="P1886" s="85">
        <v>477.2</v>
      </c>
      <c r="Q1886" s="85">
        <v>1010</v>
      </c>
      <c r="R1886" s="82" t="s">
        <v>3399</v>
      </c>
      <c r="S1886" s="7">
        <f t="shared" si="88"/>
        <v>0</v>
      </c>
      <c r="T1886" s="6">
        <f t="shared" si="89"/>
        <v>0</v>
      </c>
      <c r="U1886" s="25">
        <f t="shared" si="87"/>
        <v>0</v>
      </c>
    </row>
    <row r="1887" spans="1:21" ht="10.9" customHeight="1" x14ac:dyDescent="0.2">
      <c r="A1887" s="82" t="s">
        <v>3041</v>
      </c>
      <c r="B1887" s="83">
        <v>45887</v>
      </c>
      <c r="C1887" s="82" t="s">
        <v>3395</v>
      </c>
      <c r="D1887" s="82" t="s">
        <v>929</v>
      </c>
      <c r="E1887" s="82"/>
      <c r="F1887" s="82" t="s">
        <v>5002</v>
      </c>
      <c r="G1887" s="89">
        <v>1</v>
      </c>
      <c r="H1887" s="89">
        <v>507.43</v>
      </c>
      <c r="I1887" s="85">
        <v>0</v>
      </c>
      <c r="J1887" s="85">
        <v>25.37</v>
      </c>
      <c r="K1887" s="85">
        <v>532.79999999999995</v>
      </c>
      <c r="L1887" s="85">
        <v>1010</v>
      </c>
      <c r="M1887" s="89">
        <v>507.43</v>
      </c>
      <c r="N1887" s="85">
        <v>0</v>
      </c>
      <c r="O1887" s="85">
        <v>25.37</v>
      </c>
      <c r="P1887" s="85">
        <v>532.79999999999995</v>
      </c>
      <c r="Q1887" s="85">
        <v>1010</v>
      </c>
      <c r="R1887" s="82" t="s">
        <v>3399</v>
      </c>
      <c r="S1887" s="7">
        <f t="shared" si="88"/>
        <v>0</v>
      </c>
      <c r="T1887" s="6">
        <f t="shared" si="89"/>
        <v>0</v>
      </c>
      <c r="U1887" s="25">
        <f t="shared" si="87"/>
        <v>0</v>
      </c>
    </row>
    <row r="1888" spans="1:21" ht="10.9" customHeight="1" x14ac:dyDescent="0.2">
      <c r="A1888" s="82" t="s">
        <v>3028</v>
      </c>
      <c r="B1888" s="83">
        <v>45887</v>
      </c>
      <c r="C1888" s="82" t="s">
        <v>3395</v>
      </c>
      <c r="D1888" s="82" t="s">
        <v>951</v>
      </c>
      <c r="E1888" s="82"/>
      <c r="F1888" s="82" t="s">
        <v>5003</v>
      </c>
      <c r="G1888" s="89">
        <v>1</v>
      </c>
      <c r="H1888" s="89">
        <v>454.48</v>
      </c>
      <c r="I1888" s="85">
        <v>0</v>
      </c>
      <c r="J1888" s="85">
        <v>22.72</v>
      </c>
      <c r="K1888" s="85">
        <v>477.2</v>
      </c>
      <c r="L1888" s="85">
        <v>1010</v>
      </c>
      <c r="M1888" s="89">
        <v>454.48</v>
      </c>
      <c r="N1888" s="85">
        <v>0</v>
      </c>
      <c r="O1888" s="85">
        <v>22.72</v>
      </c>
      <c r="P1888" s="85">
        <v>477.2</v>
      </c>
      <c r="Q1888" s="85">
        <v>1010</v>
      </c>
      <c r="R1888" s="82" t="s">
        <v>3399</v>
      </c>
      <c r="S1888" s="7">
        <f t="shared" si="88"/>
        <v>0</v>
      </c>
      <c r="T1888" s="6">
        <f t="shared" si="89"/>
        <v>0</v>
      </c>
      <c r="U1888" s="25">
        <f t="shared" si="87"/>
        <v>0</v>
      </c>
    </row>
    <row r="1889" spans="1:21" ht="10.9" customHeight="1" x14ac:dyDescent="0.2">
      <c r="A1889" s="82" t="s">
        <v>3028</v>
      </c>
      <c r="B1889" s="83">
        <v>45887</v>
      </c>
      <c r="C1889" s="82" t="s">
        <v>3395</v>
      </c>
      <c r="D1889" s="82" t="s">
        <v>951</v>
      </c>
      <c r="E1889" s="82"/>
      <c r="F1889" s="82" t="s">
        <v>5002</v>
      </c>
      <c r="G1889" s="89">
        <v>1</v>
      </c>
      <c r="H1889" s="89">
        <v>507.43</v>
      </c>
      <c r="I1889" s="85">
        <v>0</v>
      </c>
      <c r="J1889" s="85">
        <v>25.37</v>
      </c>
      <c r="K1889" s="85">
        <v>532.79999999999995</v>
      </c>
      <c r="L1889" s="85">
        <v>1010</v>
      </c>
      <c r="M1889" s="89">
        <v>507.43</v>
      </c>
      <c r="N1889" s="85">
        <v>0</v>
      </c>
      <c r="O1889" s="85">
        <v>25.37</v>
      </c>
      <c r="P1889" s="85">
        <v>532.79999999999995</v>
      </c>
      <c r="Q1889" s="85">
        <v>1010</v>
      </c>
      <c r="R1889" s="82" t="s">
        <v>3399</v>
      </c>
      <c r="S1889" s="7">
        <f t="shared" si="88"/>
        <v>0</v>
      </c>
      <c r="T1889" s="6">
        <f t="shared" si="89"/>
        <v>0</v>
      </c>
      <c r="U1889" s="25">
        <f t="shared" si="87"/>
        <v>0</v>
      </c>
    </row>
    <row r="1890" spans="1:21" ht="10.9" customHeight="1" x14ac:dyDescent="0.2">
      <c r="A1890" s="82" t="s">
        <v>2821</v>
      </c>
      <c r="B1890" s="83">
        <v>45888</v>
      </c>
      <c r="C1890" s="82" t="s">
        <v>3395</v>
      </c>
      <c r="D1890" s="82" t="s">
        <v>3483</v>
      </c>
      <c r="E1890" s="82"/>
      <c r="F1890" s="82" t="s">
        <v>4454</v>
      </c>
      <c r="G1890" s="89">
        <v>16</v>
      </c>
      <c r="H1890" s="89">
        <v>35</v>
      </c>
      <c r="I1890" s="85">
        <v>0</v>
      </c>
      <c r="J1890" s="85">
        <v>0</v>
      </c>
      <c r="K1890" s="85">
        <v>560</v>
      </c>
      <c r="L1890" s="85">
        <v>14850</v>
      </c>
      <c r="M1890" s="89">
        <v>48.577916201706614</v>
      </c>
      <c r="N1890" s="85">
        <v>0</v>
      </c>
      <c r="O1890" s="85">
        <v>0</v>
      </c>
      <c r="P1890" s="85">
        <v>777.24665922730583</v>
      </c>
      <c r="Q1890" s="85">
        <v>20610.915874152663</v>
      </c>
      <c r="R1890" s="82" t="s">
        <v>3396</v>
      </c>
      <c r="S1890" s="7">
        <f t="shared" si="88"/>
        <v>0</v>
      </c>
      <c r="T1890" s="6">
        <f t="shared" si="89"/>
        <v>0</v>
      </c>
      <c r="U1890" s="25">
        <f t="shared" si="87"/>
        <v>0</v>
      </c>
    </row>
    <row r="1891" spans="1:21" ht="10.9" customHeight="1" x14ac:dyDescent="0.2">
      <c r="A1891" s="82" t="s">
        <v>2821</v>
      </c>
      <c r="B1891" s="83">
        <v>45888</v>
      </c>
      <c r="C1891" s="82" t="s">
        <v>3395</v>
      </c>
      <c r="D1891" s="82" t="s">
        <v>3483</v>
      </c>
      <c r="E1891" s="82"/>
      <c r="F1891" s="82" t="s">
        <v>4971</v>
      </c>
      <c r="G1891" s="89">
        <v>3</v>
      </c>
      <c r="H1891" s="89">
        <v>70</v>
      </c>
      <c r="I1891" s="85">
        <v>0</v>
      </c>
      <c r="J1891" s="85">
        <v>0</v>
      </c>
      <c r="K1891" s="85">
        <v>210</v>
      </c>
      <c r="L1891" s="85">
        <v>14850</v>
      </c>
      <c r="M1891" s="89">
        <v>97.155832403413228</v>
      </c>
      <c r="N1891" s="85">
        <v>0</v>
      </c>
      <c r="O1891" s="85">
        <v>0</v>
      </c>
      <c r="P1891" s="85">
        <v>291.46749721023969</v>
      </c>
      <c r="Q1891" s="85">
        <v>20610.915874152663</v>
      </c>
      <c r="R1891" s="82" t="s">
        <v>3396</v>
      </c>
      <c r="S1891" s="7">
        <f t="shared" si="88"/>
        <v>0</v>
      </c>
      <c r="T1891" s="6">
        <f t="shared" si="89"/>
        <v>0</v>
      </c>
      <c r="U1891" s="25">
        <f t="shared" si="87"/>
        <v>0</v>
      </c>
    </row>
    <row r="1892" spans="1:21" ht="10.9" customHeight="1" x14ac:dyDescent="0.2">
      <c r="A1892" s="82" t="s">
        <v>2821</v>
      </c>
      <c r="B1892" s="83">
        <v>45888</v>
      </c>
      <c r="C1892" s="82" t="s">
        <v>3395</v>
      </c>
      <c r="D1892" s="82" t="s">
        <v>3483</v>
      </c>
      <c r="E1892" s="82"/>
      <c r="F1892" s="82" t="s">
        <v>4970</v>
      </c>
      <c r="G1892" s="89">
        <v>3</v>
      </c>
      <c r="H1892" s="89">
        <v>75</v>
      </c>
      <c r="I1892" s="85">
        <v>0</v>
      </c>
      <c r="J1892" s="85">
        <v>0</v>
      </c>
      <c r="K1892" s="85">
        <v>225</v>
      </c>
      <c r="L1892" s="85">
        <v>14850</v>
      </c>
      <c r="M1892" s="89">
        <v>104.09553471794274</v>
      </c>
      <c r="N1892" s="85">
        <v>0</v>
      </c>
      <c r="O1892" s="85">
        <v>0</v>
      </c>
      <c r="P1892" s="85">
        <v>312.28660415382819</v>
      </c>
      <c r="Q1892" s="85">
        <v>20610.915874152663</v>
      </c>
      <c r="R1892" s="82" t="s">
        <v>3396</v>
      </c>
      <c r="S1892" s="7">
        <f t="shared" si="88"/>
        <v>0</v>
      </c>
      <c r="T1892" s="6">
        <f t="shared" si="89"/>
        <v>0</v>
      </c>
      <c r="U1892" s="25">
        <f t="shared" si="87"/>
        <v>0</v>
      </c>
    </row>
    <row r="1893" spans="1:21" ht="10.9" customHeight="1" x14ac:dyDescent="0.2">
      <c r="A1893" s="82" t="s">
        <v>2821</v>
      </c>
      <c r="B1893" s="83">
        <v>45888</v>
      </c>
      <c r="C1893" s="82" t="s">
        <v>3395</v>
      </c>
      <c r="D1893" s="82" t="s">
        <v>3483</v>
      </c>
      <c r="E1893" s="82"/>
      <c r="F1893" s="82" t="s">
        <v>4969</v>
      </c>
      <c r="G1893" s="89">
        <v>3</v>
      </c>
      <c r="H1893" s="89">
        <v>70</v>
      </c>
      <c r="I1893" s="85">
        <v>0</v>
      </c>
      <c r="J1893" s="85">
        <v>0</v>
      </c>
      <c r="K1893" s="85">
        <v>210</v>
      </c>
      <c r="L1893" s="85">
        <v>14850</v>
      </c>
      <c r="M1893" s="89">
        <v>97.155832403413228</v>
      </c>
      <c r="N1893" s="85">
        <v>0</v>
      </c>
      <c r="O1893" s="85">
        <v>0</v>
      </c>
      <c r="P1893" s="85">
        <v>291.46749721023969</v>
      </c>
      <c r="Q1893" s="85">
        <v>20610.915874152663</v>
      </c>
      <c r="R1893" s="82" t="s">
        <v>3396</v>
      </c>
      <c r="S1893" s="7">
        <f t="shared" si="88"/>
        <v>0</v>
      </c>
      <c r="T1893" s="6">
        <f t="shared" si="89"/>
        <v>0</v>
      </c>
      <c r="U1893" s="25">
        <f t="shared" si="87"/>
        <v>0</v>
      </c>
    </row>
    <row r="1894" spans="1:21" ht="10.9" customHeight="1" x14ac:dyDescent="0.2">
      <c r="A1894" s="82" t="s">
        <v>2821</v>
      </c>
      <c r="B1894" s="83">
        <v>45888</v>
      </c>
      <c r="C1894" s="82" t="s">
        <v>3395</v>
      </c>
      <c r="D1894" s="82" t="s">
        <v>3483</v>
      </c>
      <c r="E1894" s="82"/>
      <c r="F1894" s="82" t="s">
        <v>5001</v>
      </c>
      <c r="G1894" s="89">
        <v>1</v>
      </c>
      <c r="H1894" s="89">
        <v>95</v>
      </c>
      <c r="I1894" s="85">
        <v>0</v>
      </c>
      <c r="J1894" s="85">
        <v>0</v>
      </c>
      <c r="K1894" s="85">
        <v>95</v>
      </c>
      <c r="L1894" s="85">
        <v>14850</v>
      </c>
      <c r="M1894" s="89">
        <v>131.85434397606079</v>
      </c>
      <c r="N1894" s="85">
        <v>0</v>
      </c>
      <c r="O1894" s="85">
        <v>0</v>
      </c>
      <c r="P1894" s="85">
        <v>131.85434397606079</v>
      </c>
      <c r="Q1894" s="85">
        <v>20610.915874152663</v>
      </c>
      <c r="R1894" s="82" t="s">
        <v>3396</v>
      </c>
      <c r="S1894" s="7">
        <f t="shared" si="88"/>
        <v>0</v>
      </c>
      <c r="T1894" s="6">
        <f t="shared" si="89"/>
        <v>0</v>
      </c>
      <c r="U1894" s="25">
        <f t="shared" si="87"/>
        <v>0</v>
      </c>
    </row>
    <row r="1895" spans="1:21" ht="10.9" customHeight="1" x14ac:dyDescent="0.2">
      <c r="A1895" s="82" t="s">
        <v>2821</v>
      </c>
      <c r="B1895" s="83">
        <v>45888</v>
      </c>
      <c r="C1895" s="82" t="s">
        <v>3395</v>
      </c>
      <c r="D1895" s="82" t="s">
        <v>3483</v>
      </c>
      <c r="E1895" s="82"/>
      <c r="F1895" s="82" t="s">
        <v>4506</v>
      </c>
      <c r="G1895" s="89">
        <v>4</v>
      </c>
      <c r="H1895" s="89">
        <v>750</v>
      </c>
      <c r="I1895" s="85">
        <v>0</v>
      </c>
      <c r="J1895" s="85">
        <v>0</v>
      </c>
      <c r="K1895" s="85">
        <v>3000</v>
      </c>
      <c r="L1895" s="85">
        <v>14850</v>
      </c>
      <c r="M1895" s="89">
        <v>1040.9553471794275</v>
      </c>
      <c r="N1895" s="85">
        <v>0</v>
      </c>
      <c r="O1895" s="85">
        <v>0</v>
      </c>
      <c r="P1895" s="85">
        <v>4163.8213887177099</v>
      </c>
      <c r="Q1895" s="85">
        <v>20610.915874152663</v>
      </c>
      <c r="R1895" s="82" t="s">
        <v>3396</v>
      </c>
      <c r="S1895" s="7">
        <f t="shared" si="88"/>
        <v>0</v>
      </c>
      <c r="T1895" s="6">
        <f t="shared" si="89"/>
        <v>0</v>
      </c>
      <c r="U1895" s="25">
        <f t="shared" si="87"/>
        <v>0</v>
      </c>
    </row>
    <row r="1896" spans="1:21" ht="10.9" customHeight="1" x14ac:dyDescent="0.2">
      <c r="A1896" s="82" t="s">
        <v>2821</v>
      </c>
      <c r="B1896" s="83">
        <v>45888</v>
      </c>
      <c r="C1896" s="82" t="s">
        <v>3395</v>
      </c>
      <c r="D1896" s="82" t="s">
        <v>3483</v>
      </c>
      <c r="E1896" s="82"/>
      <c r="F1896" s="82" t="s">
        <v>5000</v>
      </c>
      <c r="G1896" s="89">
        <v>4</v>
      </c>
      <c r="H1896" s="89">
        <v>500</v>
      </c>
      <c r="I1896" s="85">
        <v>0</v>
      </c>
      <c r="J1896" s="85">
        <v>0</v>
      </c>
      <c r="K1896" s="85">
        <v>2000</v>
      </c>
      <c r="L1896" s="85">
        <v>14850</v>
      </c>
      <c r="M1896" s="89">
        <v>693.97023145295157</v>
      </c>
      <c r="N1896" s="85">
        <v>0</v>
      </c>
      <c r="O1896" s="85">
        <v>0</v>
      </c>
      <c r="P1896" s="85">
        <v>2775.8809258118063</v>
      </c>
      <c r="Q1896" s="85">
        <v>20610.915874152663</v>
      </c>
      <c r="R1896" s="82" t="s">
        <v>3396</v>
      </c>
      <c r="S1896" s="7">
        <f t="shared" si="88"/>
        <v>0</v>
      </c>
      <c r="T1896" s="6">
        <f t="shared" si="89"/>
        <v>0</v>
      </c>
      <c r="U1896" s="25">
        <f t="shared" si="87"/>
        <v>0</v>
      </c>
    </row>
    <row r="1897" spans="1:21" ht="10.9" customHeight="1" x14ac:dyDescent="0.2">
      <c r="A1897" s="82" t="s">
        <v>2821</v>
      </c>
      <c r="B1897" s="83">
        <v>45888</v>
      </c>
      <c r="C1897" s="82" t="s">
        <v>3395</v>
      </c>
      <c r="D1897" s="82" t="s">
        <v>3483</v>
      </c>
      <c r="E1897" s="82"/>
      <c r="F1897" s="82" t="s">
        <v>4999</v>
      </c>
      <c r="G1897" s="89">
        <v>2</v>
      </c>
      <c r="H1897" s="89">
        <v>140</v>
      </c>
      <c r="I1897" s="85">
        <v>0</v>
      </c>
      <c r="J1897" s="85">
        <v>0</v>
      </c>
      <c r="K1897" s="85">
        <v>280</v>
      </c>
      <c r="L1897" s="85">
        <v>14850</v>
      </c>
      <c r="M1897" s="89">
        <v>194.31166480682646</v>
      </c>
      <c r="N1897" s="85">
        <v>0</v>
      </c>
      <c r="O1897" s="85">
        <v>0</v>
      </c>
      <c r="P1897" s="85">
        <v>388.62332961365291</v>
      </c>
      <c r="Q1897" s="85">
        <v>20610.915874152663</v>
      </c>
      <c r="R1897" s="82" t="s">
        <v>3396</v>
      </c>
      <c r="S1897" s="7">
        <f t="shared" si="88"/>
        <v>0</v>
      </c>
      <c r="T1897" s="6">
        <f t="shared" si="89"/>
        <v>0</v>
      </c>
      <c r="U1897" s="25">
        <f t="shared" si="87"/>
        <v>0</v>
      </c>
    </row>
    <row r="1898" spans="1:21" ht="10.9" customHeight="1" x14ac:dyDescent="0.2">
      <c r="A1898" s="82" t="s">
        <v>2821</v>
      </c>
      <c r="B1898" s="83">
        <v>45888</v>
      </c>
      <c r="C1898" s="82" t="s">
        <v>3395</v>
      </c>
      <c r="D1898" s="82" t="s">
        <v>3483</v>
      </c>
      <c r="E1898" s="82"/>
      <c r="F1898" s="82" t="s">
        <v>4998</v>
      </c>
      <c r="G1898" s="89">
        <v>1</v>
      </c>
      <c r="H1898" s="89">
        <v>350</v>
      </c>
      <c r="I1898" s="85">
        <v>0</v>
      </c>
      <c r="J1898" s="85">
        <v>0</v>
      </c>
      <c r="K1898" s="85">
        <v>350</v>
      </c>
      <c r="L1898" s="85">
        <v>14850</v>
      </c>
      <c r="M1898" s="89">
        <v>485.77916201706614</v>
      </c>
      <c r="N1898" s="85">
        <v>0</v>
      </c>
      <c r="O1898" s="85">
        <v>0</v>
      </c>
      <c r="P1898" s="85">
        <v>485.77916201706614</v>
      </c>
      <c r="Q1898" s="85">
        <v>20610.915874152663</v>
      </c>
      <c r="R1898" s="82" t="s">
        <v>3396</v>
      </c>
      <c r="S1898" s="7">
        <f t="shared" si="88"/>
        <v>0</v>
      </c>
      <c r="T1898" s="6">
        <f t="shared" si="89"/>
        <v>0</v>
      </c>
      <c r="U1898" s="25">
        <f t="shared" si="87"/>
        <v>0</v>
      </c>
    </row>
    <row r="1899" spans="1:21" ht="10.9" customHeight="1" x14ac:dyDescent="0.2">
      <c r="A1899" s="82" t="s">
        <v>2821</v>
      </c>
      <c r="B1899" s="83">
        <v>45888</v>
      </c>
      <c r="C1899" s="82" t="s">
        <v>3395</v>
      </c>
      <c r="D1899" s="82" t="s">
        <v>3483</v>
      </c>
      <c r="E1899" s="82"/>
      <c r="F1899" s="82" t="s">
        <v>4997</v>
      </c>
      <c r="G1899" s="89">
        <v>1</v>
      </c>
      <c r="H1899" s="89">
        <v>10</v>
      </c>
      <c r="I1899" s="85">
        <v>0</v>
      </c>
      <c r="J1899" s="85">
        <v>0</v>
      </c>
      <c r="K1899" s="85">
        <v>10</v>
      </c>
      <c r="L1899" s="85">
        <v>14850</v>
      </c>
      <c r="M1899" s="89">
        <v>13.879404629059032</v>
      </c>
      <c r="N1899" s="85">
        <v>0</v>
      </c>
      <c r="O1899" s="85">
        <v>0</v>
      </c>
      <c r="P1899" s="85">
        <v>13.879404629059032</v>
      </c>
      <c r="Q1899" s="85">
        <v>20610.915874152663</v>
      </c>
      <c r="R1899" s="82" t="s">
        <v>3396</v>
      </c>
      <c r="S1899" s="7">
        <f t="shared" si="88"/>
        <v>0</v>
      </c>
      <c r="T1899" s="6">
        <f t="shared" si="89"/>
        <v>0</v>
      </c>
      <c r="U1899" s="25">
        <f t="shared" si="87"/>
        <v>0</v>
      </c>
    </row>
    <row r="1900" spans="1:21" ht="10.9" customHeight="1" x14ac:dyDescent="0.2">
      <c r="A1900" s="82" t="s">
        <v>2821</v>
      </c>
      <c r="B1900" s="83">
        <v>45888</v>
      </c>
      <c r="C1900" s="82" t="s">
        <v>3395</v>
      </c>
      <c r="D1900" s="82" t="s">
        <v>3483</v>
      </c>
      <c r="E1900" s="82"/>
      <c r="F1900" s="82" t="s">
        <v>4996</v>
      </c>
      <c r="G1900" s="89">
        <v>1</v>
      </c>
      <c r="H1900" s="89">
        <v>140</v>
      </c>
      <c r="I1900" s="85">
        <v>0</v>
      </c>
      <c r="J1900" s="85">
        <v>0</v>
      </c>
      <c r="K1900" s="85">
        <v>140</v>
      </c>
      <c r="L1900" s="85">
        <v>14850</v>
      </c>
      <c r="M1900" s="89">
        <v>194.31166480682646</v>
      </c>
      <c r="N1900" s="85">
        <v>0</v>
      </c>
      <c r="O1900" s="85">
        <v>0</v>
      </c>
      <c r="P1900" s="85">
        <v>194.31166480682646</v>
      </c>
      <c r="Q1900" s="85">
        <v>20610.915874152663</v>
      </c>
      <c r="R1900" s="82" t="s">
        <v>3396</v>
      </c>
      <c r="S1900" s="7">
        <f t="shared" si="88"/>
        <v>0</v>
      </c>
      <c r="T1900" s="6">
        <f t="shared" si="89"/>
        <v>0</v>
      </c>
      <c r="U1900" s="25">
        <f t="shared" si="87"/>
        <v>0</v>
      </c>
    </row>
    <row r="1901" spans="1:21" ht="10.9" customHeight="1" x14ac:dyDescent="0.2">
      <c r="A1901" s="82" t="s">
        <v>2821</v>
      </c>
      <c r="B1901" s="83">
        <v>45888</v>
      </c>
      <c r="C1901" s="82" t="s">
        <v>3395</v>
      </c>
      <c r="D1901" s="82" t="s">
        <v>3483</v>
      </c>
      <c r="E1901" s="82"/>
      <c r="F1901" s="82" t="s">
        <v>4995</v>
      </c>
      <c r="G1901" s="89">
        <v>1</v>
      </c>
      <c r="H1901" s="89">
        <v>10</v>
      </c>
      <c r="I1901" s="85">
        <v>0</v>
      </c>
      <c r="J1901" s="85">
        <v>0</v>
      </c>
      <c r="K1901" s="85">
        <v>10</v>
      </c>
      <c r="L1901" s="85">
        <v>14850</v>
      </c>
      <c r="M1901" s="89">
        <v>13.879404629059032</v>
      </c>
      <c r="N1901" s="85">
        <v>0</v>
      </c>
      <c r="O1901" s="85">
        <v>0</v>
      </c>
      <c r="P1901" s="85">
        <v>13.879404629059032</v>
      </c>
      <c r="Q1901" s="85">
        <v>20610.915874152663</v>
      </c>
      <c r="R1901" s="82" t="s">
        <v>3396</v>
      </c>
      <c r="S1901" s="7">
        <f t="shared" si="88"/>
        <v>0</v>
      </c>
      <c r="T1901" s="6">
        <f t="shared" si="89"/>
        <v>0</v>
      </c>
      <c r="U1901" s="25">
        <f t="shared" si="87"/>
        <v>0</v>
      </c>
    </row>
    <row r="1902" spans="1:21" ht="10.9" customHeight="1" x14ac:dyDescent="0.2">
      <c r="A1902" s="82" t="s">
        <v>2821</v>
      </c>
      <c r="B1902" s="83">
        <v>45888</v>
      </c>
      <c r="C1902" s="82" t="s">
        <v>3395</v>
      </c>
      <c r="D1902" s="82" t="s">
        <v>3483</v>
      </c>
      <c r="E1902" s="82"/>
      <c r="F1902" s="82" t="s">
        <v>4994</v>
      </c>
      <c r="G1902" s="89">
        <v>1</v>
      </c>
      <c r="H1902" s="89">
        <v>540</v>
      </c>
      <c r="I1902" s="85">
        <v>0</v>
      </c>
      <c r="J1902" s="85">
        <v>0</v>
      </c>
      <c r="K1902" s="85">
        <v>540</v>
      </c>
      <c r="L1902" s="85">
        <v>14850</v>
      </c>
      <c r="M1902" s="89">
        <v>749.48784996918778</v>
      </c>
      <c r="N1902" s="85">
        <v>0</v>
      </c>
      <c r="O1902" s="85">
        <v>0</v>
      </c>
      <c r="P1902" s="85">
        <v>749.48784996918778</v>
      </c>
      <c r="Q1902" s="85">
        <v>20610.915874152663</v>
      </c>
      <c r="R1902" s="82" t="s">
        <v>3396</v>
      </c>
      <c r="S1902" s="7">
        <f t="shared" si="88"/>
        <v>0</v>
      </c>
      <c r="T1902" s="6">
        <f t="shared" si="89"/>
        <v>0</v>
      </c>
      <c r="U1902" s="25">
        <f t="shared" si="87"/>
        <v>0</v>
      </c>
    </row>
    <row r="1903" spans="1:21" ht="10.9" customHeight="1" x14ac:dyDescent="0.2">
      <c r="A1903" s="82" t="s">
        <v>2821</v>
      </c>
      <c r="B1903" s="83">
        <v>45888</v>
      </c>
      <c r="C1903" s="82" t="s">
        <v>3395</v>
      </c>
      <c r="D1903" s="82" t="s">
        <v>3483</v>
      </c>
      <c r="E1903" s="82"/>
      <c r="F1903" s="82" t="s">
        <v>4993</v>
      </c>
      <c r="G1903" s="89">
        <v>2</v>
      </c>
      <c r="H1903" s="89">
        <v>10</v>
      </c>
      <c r="I1903" s="85">
        <v>0</v>
      </c>
      <c r="J1903" s="85">
        <v>0</v>
      </c>
      <c r="K1903" s="85">
        <v>20</v>
      </c>
      <c r="L1903" s="85">
        <v>14850</v>
      </c>
      <c r="M1903" s="89">
        <v>13.879404629059032</v>
      </c>
      <c r="N1903" s="85">
        <v>0</v>
      </c>
      <c r="O1903" s="85">
        <v>0</v>
      </c>
      <c r="P1903" s="85">
        <v>27.758809258118063</v>
      </c>
      <c r="Q1903" s="85">
        <v>20610.915874152663</v>
      </c>
      <c r="R1903" s="82" t="s">
        <v>3396</v>
      </c>
      <c r="S1903" s="7">
        <f t="shared" si="88"/>
        <v>0</v>
      </c>
      <c r="T1903" s="6">
        <f t="shared" si="89"/>
        <v>0</v>
      </c>
      <c r="U1903" s="25">
        <f t="shared" si="87"/>
        <v>0</v>
      </c>
    </row>
    <row r="1904" spans="1:21" ht="10.9" customHeight="1" x14ac:dyDescent="0.2">
      <c r="A1904" s="82" t="s">
        <v>2821</v>
      </c>
      <c r="B1904" s="83">
        <v>45888</v>
      </c>
      <c r="C1904" s="82" t="s">
        <v>3395</v>
      </c>
      <c r="D1904" s="82" t="s">
        <v>3483</v>
      </c>
      <c r="E1904" s="82"/>
      <c r="F1904" s="82" t="s">
        <v>4975</v>
      </c>
      <c r="G1904" s="89">
        <v>2</v>
      </c>
      <c r="H1904" s="89">
        <v>20</v>
      </c>
      <c r="I1904" s="85">
        <v>0</v>
      </c>
      <c r="J1904" s="85">
        <v>0</v>
      </c>
      <c r="K1904" s="85">
        <v>40</v>
      </c>
      <c r="L1904" s="85">
        <v>14850</v>
      </c>
      <c r="M1904" s="89">
        <v>27.758809258118063</v>
      </c>
      <c r="N1904" s="85">
        <v>0</v>
      </c>
      <c r="O1904" s="85">
        <v>0</v>
      </c>
      <c r="P1904" s="85">
        <v>55.517618516236126</v>
      </c>
      <c r="Q1904" s="85">
        <v>20610.915874152663</v>
      </c>
      <c r="R1904" s="82" t="s">
        <v>3396</v>
      </c>
      <c r="S1904" s="7">
        <f t="shared" si="88"/>
        <v>0</v>
      </c>
      <c r="T1904" s="6">
        <f t="shared" si="89"/>
        <v>0</v>
      </c>
      <c r="U1904" s="25">
        <f t="shared" si="87"/>
        <v>0</v>
      </c>
    </row>
    <row r="1905" spans="1:21" ht="10.9" customHeight="1" x14ac:dyDescent="0.2">
      <c r="A1905" s="82" t="s">
        <v>2821</v>
      </c>
      <c r="B1905" s="83">
        <v>45888</v>
      </c>
      <c r="C1905" s="82" t="s">
        <v>3395</v>
      </c>
      <c r="D1905" s="82" t="s">
        <v>3483</v>
      </c>
      <c r="E1905" s="82"/>
      <c r="F1905" s="82" t="s">
        <v>4974</v>
      </c>
      <c r="G1905" s="89">
        <v>1</v>
      </c>
      <c r="H1905" s="89">
        <v>625</v>
      </c>
      <c r="I1905" s="85">
        <v>0</v>
      </c>
      <c r="J1905" s="85">
        <v>0</v>
      </c>
      <c r="K1905" s="85">
        <v>625</v>
      </c>
      <c r="L1905" s="85">
        <v>14850</v>
      </c>
      <c r="M1905" s="89">
        <v>867.46278931618951</v>
      </c>
      <c r="N1905" s="85">
        <v>0</v>
      </c>
      <c r="O1905" s="85">
        <v>0</v>
      </c>
      <c r="P1905" s="85">
        <v>867.46278931618951</v>
      </c>
      <c r="Q1905" s="85">
        <v>20610.915874152663</v>
      </c>
      <c r="R1905" s="82" t="s">
        <v>3396</v>
      </c>
      <c r="S1905" s="7">
        <f t="shared" si="88"/>
        <v>0</v>
      </c>
      <c r="T1905" s="6">
        <f t="shared" si="89"/>
        <v>0</v>
      </c>
      <c r="U1905" s="25">
        <f t="shared" si="87"/>
        <v>0</v>
      </c>
    </row>
    <row r="1906" spans="1:21" ht="10.9" customHeight="1" x14ac:dyDescent="0.2">
      <c r="A1906" s="82" t="s">
        <v>2821</v>
      </c>
      <c r="B1906" s="83">
        <v>45888</v>
      </c>
      <c r="C1906" s="82" t="s">
        <v>3395</v>
      </c>
      <c r="D1906" s="82" t="s">
        <v>3483</v>
      </c>
      <c r="E1906" s="82"/>
      <c r="F1906" s="82" t="s">
        <v>4992</v>
      </c>
      <c r="G1906" s="89">
        <v>2</v>
      </c>
      <c r="H1906" s="89">
        <v>70</v>
      </c>
      <c r="I1906" s="85">
        <v>0</v>
      </c>
      <c r="J1906" s="85">
        <v>0</v>
      </c>
      <c r="K1906" s="85">
        <v>140</v>
      </c>
      <c r="L1906" s="85">
        <v>14850</v>
      </c>
      <c r="M1906" s="89">
        <v>97.155832403413228</v>
      </c>
      <c r="N1906" s="85">
        <v>0</v>
      </c>
      <c r="O1906" s="85">
        <v>0</v>
      </c>
      <c r="P1906" s="85">
        <v>194.31166480682646</v>
      </c>
      <c r="Q1906" s="85">
        <v>20610.915874152663</v>
      </c>
      <c r="R1906" s="82" t="s">
        <v>3396</v>
      </c>
      <c r="S1906" s="7">
        <f t="shared" si="88"/>
        <v>0</v>
      </c>
      <c r="T1906" s="6">
        <f t="shared" si="89"/>
        <v>0</v>
      </c>
      <c r="U1906" s="25">
        <f t="shared" si="87"/>
        <v>0</v>
      </c>
    </row>
    <row r="1907" spans="1:21" ht="10.9" customHeight="1" x14ac:dyDescent="0.2">
      <c r="A1907" s="82" t="s">
        <v>2821</v>
      </c>
      <c r="B1907" s="83">
        <v>45888</v>
      </c>
      <c r="C1907" s="82" t="s">
        <v>3395</v>
      </c>
      <c r="D1907" s="82" t="s">
        <v>3483</v>
      </c>
      <c r="E1907" s="82"/>
      <c r="F1907" s="82" t="s">
        <v>4991</v>
      </c>
      <c r="G1907" s="89">
        <v>1</v>
      </c>
      <c r="H1907" s="89">
        <v>750</v>
      </c>
      <c r="I1907" s="85">
        <v>0</v>
      </c>
      <c r="J1907" s="85">
        <v>0</v>
      </c>
      <c r="K1907" s="85">
        <v>750</v>
      </c>
      <c r="L1907" s="85">
        <v>14850</v>
      </c>
      <c r="M1907" s="89">
        <v>1040.9553471794275</v>
      </c>
      <c r="N1907" s="85">
        <v>0</v>
      </c>
      <c r="O1907" s="85">
        <v>0</v>
      </c>
      <c r="P1907" s="85">
        <v>1040.9553471794275</v>
      </c>
      <c r="Q1907" s="85">
        <v>20610.915874152663</v>
      </c>
      <c r="R1907" s="82" t="s">
        <v>3396</v>
      </c>
      <c r="S1907" s="7">
        <f t="shared" si="88"/>
        <v>0</v>
      </c>
      <c r="T1907" s="6">
        <f t="shared" si="89"/>
        <v>0</v>
      </c>
      <c r="U1907" s="25">
        <f t="shared" si="87"/>
        <v>0</v>
      </c>
    </row>
    <row r="1908" spans="1:21" ht="10.9" customHeight="1" x14ac:dyDescent="0.2">
      <c r="A1908" s="82" t="s">
        <v>2821</v>
      </c>
      <c r="B1908" s="83">
        <v>45888</v>
      </c>
      <c r="C1908" s="82" t="s">
        <v>3395</v>
      </c>
      <c r="D1908" s="82" t="s">
        <v>3483</v>
      </c>
      <c r="E1908" s="82"/>
      <c r="F1908" s="82" t="s">
        <v>4990</v>
      </c>
      <c r="G1908" s="89">
        <v>2</v>
      </c>
      <c r="H1908" s="89">
        <v>105</v>
      </c>
      <c r="I1908" s="85">
        <v>0</v>
      </c>
      <c r="J1908" s="85">
        <v>0</v>
      </c>
      <c r="K1908" s="85">
        <v>210</v>
      </c>
      <c r="L1908" s="85">
        <v>14850</v>
      </c>
      <c r="M1908" s="89">
        <v>145.73374860511984</v>
      </c>
      <c r="N1908" s="85">
        <v>0</v>
      </c>
      <c r="O1908" s="85">
        <v>0</v>
      </c>
      <c r="P1908" s="85">
        <v>291.46749721023969</v>
      </c>
      <c r="Q1908" s="85">
        <v>20610.915874152663</v>
      </c>
      <c r="R1908" s="82" t="s">
        <v>3396</v>
      </c>
      <c r="S1908" s="7">
        <f t="shared" si="88"/>
        <v>0</v>
      </c>
      <c r="T1908" s="6">
        <f t="shared" si="89"/>
        <v>0</v>
      </c>
      <c r="U1908" s="25">
        <f t="shared" si="87"/>
        <v>0</v>
      </c>
    </row>
    <row r="1909" spans="1:21" ht="10.9" customHeight="1" x14ac:dyDescent="0.2">
      <c r="A1909" s="82" t="s">
        <v>2821</v>
      </c>
      <c r="B1909" s="83">
        <v>45888</v>
      </c>
      <c r="C1909" s="82" t="s">
        <v>3395</v>
      </c>
      <c r="D1909" s="82" t="s">
        <v>3483</v>
      </c>
      <c r="E1909" s="82"/>
      <c r="F1909" s="82" t="s">
        <v>4989</v>
      </c>
      <c r="G1909" s="89">
        <v>2</v>
      </c>
      <c r="H1909" s="89">
        <v>50</v>
      </c>
      <c r="I1909" s="85">
        <v>0</v>
      </c>
      <c r="J1909" s="85">
        <v>0</v>
      </c>
      <c r="K1909" s="85">
        <v>100</v>
      </c>
      <c r="L1909" s="85">
        <v>14850</v>
      </c>
      <c r="M1909" s="89">
        <v>69.397023145295165</v>
      </c>
      <c r="N1909" s="85">
        <v>0</v>
      </c>
      <c r="O1909" s="85">
        <v>0</v>
      </c>
      <c r="P1909" s="85">
        <v>138.79404629059033</v>
      </c>
      <c r="Q1909" s="85">
        <v>20610.915874152663</v>
      </c>
      <c r="R1909" s="82" t="s">
        <v>3396</v>
      </c>
      <c r="S1909" s="7">
        <f t="shared" si="88"/>
        <v>0</v>
      </c>
      <c r="T1909" s="6">
        <f t="shared" si="89"/>
        <v>0</v>
      </c>
      <c r="U1909" s="25">
        <f t="shared" si="87"/>
        <v>0</v>
      </c>
    </row>
    <row r="1910" spans="1:21" ht="10.9" customHeight="1" x14ac:dyDescent="0.2">
      <c r="A1910" s="82" t="s">
        <v>2821</v>
      </c>
      <c r="B1910" s="83">
        <v>45888</v>
      </c>
      <c r="C1910" s="82" t="s">
        <v>3395</v>
      </c>
      <c r="D1910" s="82" t="s">
        <v>3483</v>
      </c>
      <c r="E1910" s="82"/>
      <c r="F1910" s="82" t="s">
        <v>4988</v>
      </c>
      <c r="G1910" s="89">
        <v>4</v>
      </c>
      <c r="H1910" s="89">
        <v>350</v>
      </c>
      <c r="I1910" s="85">
        <v>0</v>
      </c>
      <c r="J1910" s="85">
        <v>0</v>
      </c>
      <c r="K1910" s="85">
        <v>1400</v>
      </c>
      <c r="L1910" s="85">
        <v>14850</v>
      </c>
      <c r="M1910" s="89">
        <v>485.77916201706614</v>
      </c>
      <c r="N1910" s="85">
        <v>0</v>
      </c>
      <c r="O1910" s="85">
        <v>0</v>
      </c>
      <c r="P1910" s="85">
        <v>1943.1166480682646</v>
      </c>
      <c r="Q1910" s="85">
        <v>20610.915874152663</v>
      </c>
      <c r="R1910" s="82" t="s">
        <v>3396</v>
      </c>
      <c r="S1910" s="7">
        <f t="shared" si="88"/>
        <v>0</v>
      </c>
      <c r="T1910" s="6">
        <f t="shared" si="89"/>
        <v>0</v>
      </c>
      <c r="U1910" s="25">
        <f t="shared" si="87"/>
        <v>0</v>
      </c>
    </row>
    <row r="1911" spans="1:21" ht="10.9" customHeight="1" x14ac:dyDescent="0.2">
      <c r="A1911" s="82" t="s">
        <v>2821</v>
      </c>
      <c r="B1911" s="83">
        <v>45888</v>
      </c>
      <c r="C1911" s="82" t="s">
        <v>3395</v>
      </c>
      <c r="D1911" s="82" t="s">
        <v>3483</v>
      </c>
      <c r="E1911" s="82"/>
      <c r="F1911" s="82" t="s">
        <v>4987</v>
      </c>
      <c r="G1911" s="89">
        <v>7</v>
      </c>
      <c r="H1911" s="89">
        <v>35</v>
      </c>
      <c r="I1911" s="85">
        <v>0</v>
      </c>
      <c r="J1911" s="85">
        <v>0</v>
      </c>
      <c r="K1911" s="85">
        <v>245</v>
      </c>
      <c r="L1911" s="85">
        <v>14850</v>
      </c>
      <c r="M1911" s="89">
        <v>48.577916201706614</v>
      </c>
      <c r="N1911" s="85">
        <v>0</v>
      </c>
      <c r="O1911" s="85">
        <v>0</v>
      </c>
      <c r="P1911" s="85">
        <v>340.0454134119463</v>
      </c>
      <c r="Q1911" s="85">
        <v>20610.915874152663</v>
      </c>
      <c r="R1911" s="82" t="s">
        <v>3396</v>
      </c>
      <c r="S1911" s="7">
        <f t="shared" si="88"/>
        <v>0</v>
      </c>
      <c r="T1911" s="6">
        <f t="shared" si="89"/>
        <v>0</v>
      </c>
      <c r="U1911" s="25">
        <f t="shared" si="87"/>
        <v>0</v>
      </c>
    </row>
    <row r="1912" spans="1:21" ht="10.9" customHeight="1" x14ac:dyDescent="0.2">
      <c r="A1912" s="82" t="s">
        <v>2821</v>
      </c>
      <c r="B1912" s="83">
        <v>45888</v>
      </c>
      <c r="C1912" s="82" t="s">
        <v>3395</v>
      </c>
      <c r="D1912" s="82" t="s">
        <v>3483</v>
      </c>
      <c r="E1912" s="82"/>
      <c r="F1912" s="82" t="s">
        <v>4986</v>
      </c>
      <c r="G1912" s="89">
        <v>1</v>
      </c>
      <c r="H1912" s="89">
        <v>40</v>
      </c>
      <c r="I1912" s="85">
        <v>0</v>
      </c>
      <c r="J1912" s="85">
        <v>0</v>
      </c>
      <c r="K1912" s="85">
        <v>40</v>
      </c>
      <c r="L1912" s="85">
        <v>14850</v>
      </c>
      <c r="M1912" s="89">
        <v>55.517618516236126</v>
      </c>
      <c r="N1912" s="85">
        <v>0</v>
      </c>
      <c r="O1912" s="85">
        <v>0</v>
      </c>
      <c r="P1912" s="85">
        <v>55.517618516236126</v>
      </c>
      <c r="Q1912" s="85">
        <v>20610.915874152663</v>
      </c>
      <c r="R1912" s="82" t="s">
        <v>3396</v>
      </c>
      <c r="S1912" s="7">
        <f t="shared" si="88"/>
        <v>0</v>
      </c>
      <c r="T1912" s="6">
        <f t="shared" si="89"/>
        <v>0</v>
      </c>
      <c r="U1912" s="25">
        <f t="shared" si="87"/>
        <v>0</v>
      </c>
    </row>
    <row r="1913" spans="1:21" ht="10.9" customHeight="1" x14ac:dyDescent="0.2">
      <c r="A1913" s="82" t="s">
        <v>2821</v>
      </c>
      <c r="B1913" s="83">
        <v>45888</v>
      </c>
      <c r="C1913" s="82" t="s">
        <v>3395</v>
      </c>
      <c r="D1913" s="82" t="s">
        <v>3483</v>
      </c>
      <c r="E1913" s="82"/>
      <c r="F1913" s="82" t="s">
        <v>4985</v>
      </c>
      <c r="G1913" s="89">
        <v>1</v>
      </c>
      <c r="H1913" s="89">
        <v>10</v>
      </c>
      <c r="I1913" s="85">
        <v>0</v>
      </c>
      <c r="J1913" s="85">
        <v>0</v>
      </c>
      <c r="K1913" s="85">
        <v>10</v>
      </c>
      <c r="L1913" s="85">
        <v>14850</v>
      </c>
      <c r="M1913" s="89">
        <v>13.879404629059032</v>
      </c>
      <c r="N1913" s="85">
        <v>0</v>
      </c>
      <c r="O1913" s="85">
        <v>0</v>
      </c>
      <c r="P1913" s="85">
        <v>13.879404629059032</v>
      </c>
      <c r="Q1913" s="85">
        <v>20610.915874152663</v>
      </c>
      <c r="R1913" s="82" t="s">
        <v>3396</v>
      </c>
      <c r="S1913" s="7">
        <f t="shared" si="88"/>
        <v>0</v>
      </c>
      <c r="T1913" s="6">
        <f t="shared" si="89"/>
        <v>0</v>
      </c>
      <c r="U1913" s="25">
        <f t="shared" si="87"/>
        <v>0</v>
      </c>
    </row>
    <row r="1914" spans="1:21" ht="10.9" customHeight="1" x14ac:dyDescent="0.2">
      <c r="A1914" s="82" t="s">
        <v>2821</v>
      </c>
      <c r="B1914" s="83">
        <v>45888</v>
      </c>
      <c r="C1914" s="82" t="s">
        <v>3395</v>
      </c>
      <c r="D1914" s="82" t="s">
        <v>3483</v>
      </c>
      <c r="E1914" s="82"/>
      <c r="F1914" s="82" t="s">
        <v>4984</v>
      </c>
      <c r="G1914" s="89">
        <v>2</v>
      </c>
      <c r="H1914" s="89">
        <v>20</v>
      </c>
      <c r="I1914" s="85">
        <v>0</v>
      </c>
      <c r="J1914" s="85">
        <v>0</v>
      </c>
      <c r="K1914" s="85">
        <v>40</v>
      </c>
      <c r="L1914" s="85">
        <v>14850</v>
      </c>
      <c r="M1914" s="89">
        <v>27.758809258118063</v>
      </c>
      <c r="N1914" s="85">
        <v>0</v>
      </c>
      <c r="O1914" s="85">
        <v>0</v>
      </c>
      <c r="P1914" s="85">
        <v>55.517618516236126</v>
      </c>
      <c r="Q1914" s="85">
        <v>20610.915874152663</v>
      </c>
      <c r="R1914" s="82" t="s">
        <v>3396</v>
      </c>
      <c r="S1914" s="7">
        <f t="shared" si="88"/>
        <v>0</v>
      </c>
      <c r="T1914" s="6">
        <f t="shared" si="89"/>
        <v>0</v>
      </c>
      <c r="U1914" s="25">
        <f t="shared" si="87"/>
        <v>0</v>
      </c>
    </row>
    <row r="1915" spans="1:21" ht="10.9" customHeight="1" x14ac:dyDescent="0.2">
      <c r="A1915" s="82" t="s">
        <v>2821</v>
      </c>
      <c r="B1915" s="83">
        <v>45888</v>
      </c>
      <c r="C1915" s="82" t="s">
        <v>3395</v>
      </c>
      <c r="D1915" s="82" t="s">
        <v>3483</v>
      </c>
      <c r="E1915" s="82"/>
      <c r="F1915" s="82" t="s">
        <v>4505</v>
      </c>
      <c r="G1915" s="89">
        <v>1</v>
      </c>
      <c r="H1915" s="89">
        <v>280</v>
      </c>
      <c r="I1915" s="85">
        <v>0</v>
      </c>
      <c r="J1915" s="85">
        <v>0</v>
      </c>
      <c r="K1915" s="85">
        <v>280</v>
      </c>
      <c r="L1915" s="85">
        <v>14850</v>
      </c>
      <c r="M1915" s="89">
        <v>388.62332961365291</v>
      </c>
      <c r="N1915" s="85">
        <v>0</v>
      </c>
      <c r="O1915" s="85">
        <v>0</v>
      </c>
      <c r="P1915" s="85">
        <v>388.62332961365291</v>
      </c>
      <c r="Q1915" s="85">
        <v>20610.915874152663</v>
      </c>
      <c r="R1915" s="82" t="s">
        <v>3396</v>
      </c>
      <c r="S1915" s="7">
        <f t="shared" si="88"/>
        <v>0</v>
      </c>
      <c r="T1915" s="6">
        <f t="shared" si="89"/>
        <v>0</v>
      </c>
      <c r="U1915" s="25">
        <f t="shared" si="87"/>
        <v>0</v>
      </c>
    </row>
    <row r="1916" spans="1:21" ht="10.9" customHeight="1" x14ac:dyDescent="0.2">
      <c r="A1916" s="82" t="s">
        <v>2821</v>
      </c>
      <c r="B1916" s="83">
        <v>45888</v>
      </c>
      <c r="C1916" s="82" t="s">
        <v>3395</v>
      </c>
      <c r="D1916" s="82" t="s">
        <v>3483</v>
      </c>
      <c r="E1916" s="82"/>
      <c r="F1916" s="82" t="s">
        <v>4983</v>
      </c>
      <c r="G1916" s="89">
        <v>1</v>
      </c>
      <c r="H1916" s="89">
        <v>1500</v>
      </c>
      <c r="I1916" s="85">
        <v>0</v>
      </c>
      <c r="J1916" s="85">
        <v>0</v>
      </c>
      <c r="K1916" s="85">
        <v>1500</v>
      </c>
      <c r="L1916" s="85">
        <v>14850</v>
      </c>
      <c r="M1916" s="89">
        <v>2081.9106943588549</v>
      </c>
      <c r="N1916" s="85">
        <v>0</v>
      </c>
      <c r="O1916" s="85">
        <v>0</v>
      </c>
      <c r="P1916" s="85">
        <v>2081.9106943588549</v>
      </c>
      <c r="Q1916" s="85">
        <v>20610.915874152663</v>
      </c>
      <c r="R1916" s="82" t="s">
        <v>3396</v>
      </c>
      <c r="S1916" s="7">
        <f t="shared" si="88"/>
        <v>0</v>
      </c>
      <c r="T1916" s="6">
        <f t="shared" si="89"/>
        <v>0</v>
      </c>
      <c r="U1916" s="25">
        <f t="shared" si="87"/>
        <v>0</v>
      </c>
    </row>
    <row r="1917" spans="1:21" ht="10.9" customHeight="1" x14ac:dyDescent="0.2">
      <c r="A1917" s="82" t="s">
        <v>2821</v>
      </c>
      <c r="B1917" s="83">
        <v>45888</v>
      </c>
      <c r="C1917" s="82" t="s">
        <v>3395</v>
      </c>
      <c r="D1917" s="82" t="s">
        <v>3483</v>
      </c>
      <c r="E1917" s="82"/>
      <c r="F1917" s="82" t="s">
        <v>4982</v>
      </c>
      <c r="G1917" s="89">
        <v>1</v>
      </c>
      <c r="H1917" s="89">
        <v>1210</v>
      </c>
      <c r="I1917" s="85">
        <v>0</v>
      </c>
      <c r="J1917" s="85">
        <v>0</v>
      </c>
      <c r="K1917" s="85">
        <v>1210</v>
      </c>
      <c r="L1917" s="85">
        <v>14850</v>
      </c>
      <c r="M1917" s="89">
        <v>1679.4079601161429</v>
      </c>
      <c r="N1917" s="85">
        <v>0</v>
      </c>
      <c r="O1917" s="85">
        <v>0</v>
      </c>
      <c r="P1917" s="85">
        <v>1679.4079601161429</v>
      </c>
      <c r="Q1917" s="85">
        <v>20610.915874152663</v>
      </c>
      <c r="R1917" s="82" t="s">
        <v>3396</v>
      </c>
      <c r="S1917" s="7">
        <f t="shared" si="88"/>
        <v>0</v>
      </c>
      <c r="T1917" s="6">
        <f t="shared" si="89"/>
        <v>0</v>
      </c>
      <c r="U1917" s="25">
        <f t="shared" si="87"/>
        <v>0</v>
      </c>
    </row>
    <row r="1918" spans="1:21" ht="10.9" customHeight="1" x14ac:dyDescent="0.2">
      <c r="A1918" s="82" t="s">
        <v>2821</v>
      </c>
      <c r="B1918" s="83">
        <v>45888</v>
      </c>
      <c r="C1918" s="82" t="s">
        <v>3395</v>
      </c>
      <c r="D1918" s="82" t="s">
        <v>3483</v>
      </c>
      <c r="E1918" s="82"/>
      <c r="F1918" s="82" t="s">
        <v>4981</v>
      </c>
      <c r="G1918" s="89">
        <v>1</v>
      </c>
      <c r="H1918" s="89">
        <v>10</v>
      </c>
      <c r="I1918" s="85">
        <v>0</v>
      </c>
      <c r="J1918" s="85">
        <v>0</v>
      </c>
      <c r="K1918" s="85">
        <v>10</v>
      </c>
      <c r="L1918" s="85">
        <v>14850</v>
      </c>
      <c r="M1918" s="89">
        <v>13.879404629059032</v>
      </c>
      <c r="N1918" s="85">
        <v>0</v>
      </c>
      <c r="O1918" s="85">
        <v>0</v>
      </c>
      <c r="P1918" s="85">
        <v>13.879404629059032</v>
      </c>
      <c r="Q1918" s="85">
        <v>20610.915874152663</v>
      </c>
      <c r="R1918" s="82" t="s">
        <v>3396</v>
      </c>
      <c r="S1918" s="7">
        <f t="shared" si="88"/>
        <v>0</v>
      </c>
      <c r="T1918" s="6">
        <f t="shared" si="89"/>
        <v>0</v>
      </c>
      <c r="U1918" s="25">
        <f t="shared" si="87"/>
        <v>0</v>
      </c>
    </row>
    <row r="1919" spans="1:21" ht="10.9" customHeight="1" x14ac:dyDescent="0.2">
      <c r="A1919" s="82" t="s">
        <v>2821</v>
      </c>
      <c r="B1919" s="83">
        <v>45888</v>
      </c>
      <c r="C1919" s="82" t="s">
        <v>3395</v>
      </c>
      <c r="D1919" s="82" t="s">
        <v>3483</v>
      </c>
      <c r="E1919" s="82"/>
      <c r="F1919" s="82" t="s">
        <v>4980</v>
      </c>
      <c r="G1919" s="89">
        <v>2</v>
      </c>
      <c r="H1919" s="89">
        <v>15</v>
      </c>
      <c r="I1919" s="85">
        <v>0</v>
      </c>
      <c r="J1919" s="85">
        <v>0</v>
      </c>
      <c r="K1919" s="85">
        <v>30</v>
      </c>
      <c r="L1919" s="85">
        <v>14850</v>
      </c>
      <c r="M1919" s="89">
        <v>20.819106943588547</v>
      </c>
      <c r="N1919" s="85">
        <v>0</v>
      </c>
      <c r="O1919" s="85">
        <v>0</v>
      </c>
      <c r="P1919" s="85">
        <v>41.638213887177095</v>
      </c>
      <c r="Q1919" s="85">
        <v>20610.915874152663</v>
      </c>
      <c r="R1919" s="82" t="s">
        <v>3396</v>
      </c>
      <c r="S1919" s="7">
        <f t="shared" si="88"/>
        <v>0</v>
      </c>
      <c r="T1919" s="6">
        <f t="shared" si="89"/>
        <v>0</v>
      </c>
      <c r="U1919" s="25">
        <f t="shared" si="87"/>
        <v>0</v>
      </c>
    </row>
    <row r="1920" spans="1:21" ht="10.9" customHeight="1" x14ac:dyDescent="0.2">
      <c r="A1920" s="82" t="s">
        <v>2821</v>
      </c>
      <c r="B1920" s="83">
        <v>45888</v>
      </c>
      <c r="C1920" s="82" t="s">
        <v>3395</v>
      </c>
      <c r="D1920" s="82" t="s">
        <v>3483</v>
      </c>
      <c r="E1920" s="82"/>
      <c r="F1920" s="82" t="s">
        <v>4979</v>
      </c>
      <c r="G1920" s="89">
        <v>2</v>
      </c>
      <c r="H1920" s="89">
        <v>30</v>
      </c>
      <c r="I1920" s="85">
        <v>0</v>
      </c>
      <c r="J1920" s="85">
        <v>0</v>
      </c>
      <c r="K1920" s="85">
        <v>60</v>
      </c>
      <c r="L1920" s="85">
        <v>14850</v>
      </c>
      <c r="M1920" s="89">
        <v>41.638213887177095</v>
      </c>
      <c r="N1920" s="85">
        <v>0</v>
      </c>
      <c r="O1920" s="85">
        <v>0</v>
      </c>
      <c r="P1920" s="85">
        <v>83.27642777435419</v>
      </c>
      <c r="Q1920" s="85">
        <v>20610.915874152663</v>
      </c>
      <c r="R1920" s="82" t="s">
        <v>3396</v>
      </c>
      <c r="S1920" s="7">
        <f t="shared" si="88"/>
        <v>0</v>
      </c>
      <c r="T1920" s="6">
        <f t="shared" si="89"/>
        <v>0</v>
      </c>
      <c r="U1920" s="25">
        <f t="shared" si="87"/>
        <v>0</v>
      </c>
    </row>
    <row r="1921" spans="1:21" ht="10.9" customHeight="1" x14ac:dyDescent="0.2">
      <c r="A1921" s="82" t="s">
        <v>2821</v>
      </c>
      <c r="B1921" s="83">
        <v>45888</v>
      </c>
      <c r="C1921" s="82" t="s">
        <v>3395</v>
      </c>
      <c r="D1921" s="82" t="s">
        <v>3483</v>
      </c>
      <c r="E1921" s="82"/>
      <c r="F1921" s="82" t="s">
        <v>4978</v>
      </c>
      <c r="G1921" s="89">
        <v>2</v>
      </c>
      <c r="H1921" s="89">
        <v>120</v>
      </c>
      <c r="I1921" s="85">
        <v>0</v>
      </c>
      <c r="J1921" s="85">
        <v>0</v>
      </c>
      <c r="K1921" s="85">
        <v>240</v>
      </c>
      <c r="L1921" s="85">
        <v>14850</v>
      </c>
      <c r="M1921" s="89">
        <v>166.55285554870838</v>
      </c>
      <c r="N1921" s="85">
        <v>0</v>
      </c>
      <c r="O1921" s="85">
        <v>0</v>
      </c>
      <c r="P1921" s="85">
        <v>333.10571109741676</v>
      </c>
      <c r="Q1921" s="85">
        <v>20610.915874152663</v>
      </c>
      <c r="R1921" s="82" t="s">
        <v>3396</v>
      </c>
      <c r="S1921" s="7">
        <f t="shared" si="88"/>
        <v>0</v>
      </c>
      <c r="T1921" s="6">
        <f t="shared" si="89"/>
        <v>0</v>
      </c>
      <c r="U1921" s="25">
        <f t="shared" si="87"/>
        <v>0</v>
      </c>
    </row>
    <row r="1922" spans="1:21" ht="10.9" customHeight="1" x14ac:dyDescent="0.2">
      <c r="A1922" s="82" t="s">
        <v>2821</v>
      </c>
      <c r="B1922" s="83">
        <v>45888</v>
      </c>
      <c r="C1922" s="82" t="s">
        <v>3395</v>
      </c>
      <c r="D1922" s="82" t="s">
        <v>3483</v>
      </c>
      <c r="E1922" s="82"/>
      <c r="F1922" s="82" t="s">
        <v>4977</v>
      </c>
      <c r="G1922" s="89">
        <v>2</v>
      </c>
      <c r="H1922" s="89">
        <v>105</v>
      </c>
      <c r="I1922" s="85">
        <v>0</v>
      </c>
      <c r="J1922" s="85">
        <v>0</v>
      </c>
      <c r="K1922" s="85">
        <v>210</v>
      </c>
      <c r="L1922" s="85">
        <v>14850</v>
      </c>
      <c r="M1922" s="89">
        <v>145.73374860511984</v>
      </c>
      <c r="N1922" s="85">
        <v>0</v>
      </c>
      <c r="O1922" s="85">
        <v>0</v>
      </c>
      <c r="P1922" s="85">
        <v>291.46749721023969</v>
      </c>
      <c r="Q1922" s="85">
        <v>20610.915874152663</v>
      </c>
      <c r="R1922" s="82" t="s">
        <v>3396</v>
      </c>
      <c r="S1922" s="7">
        <f t="shared" si="88"/>
        <v>0</v>
      </c>
      <c r="T1922" s="6">
        <f t="shared" si="89"/>
        <v>0</v>
      </c>
      <c r="U1922" s="25">
        <f t="shared" ref="U1922:U1985" si="90">IF(T1922=1,K1922-J1922,0)</f>
        <v>0</v>
      </c>
    </row>
    <row r="1923" spans="1:21" ht="10.9" customHeight="1" x14ac:dyDescent="0.2">
      <c r="A1923" s="82" t="s">
        <v>2821</v>
      </c>
      <c r="B1923" s="83">
        <v>45888</v>
      </c>
      <c r="C1923" s="82" t="s">
        <v>3395</v>
      </c>
      <c r="D1923" s="82" t="s">
        <v>3483</v>
      </c>
      <c r="E1923" s="82"/>
      <c r="F1923" s="82" t="s">
        <v>4976</v>
      </c>
      <c r="G1923" s="89">
        <v>2</v>
      </c>
      <c r="H1923" s="89">
        <v>30</v>
      </c>
      <c r="I1923" s="85">
        <v>0</v>
      </c>
      <c r="J1923" s="85">
        <v>0</v>
      </c>
      <c r="K1923" s="85">
        <v>60</v>
      </c>
      <c r="L1923" s="85">
        <v>14850</v>
      </c>
      <c r="M1923" s="89">
        <v>41.638213887177095</v>
      </c>
      <c r="N1923" s="85">
        <v>0</v>
      </c>
      <c r="O1923" s="85">
        <v>0</v>
      </c>
      <c r="P1923" s="85">
        <v>83.27642777435419</v>
      </c>
      <c r="Q1923" s="85">
        <v>20610.915874152663</v>
      </c>
      <c r="R1923" s="82" t="s">
        <v>3396</v>
      </c>
      <c r="S1923" s="7">
        <f t="shared" ref="S1923:S1986" si="91">IF(T1923=1,A1923,0)</f>
        <v>0</v>
      </c>
      <c r="T1923" s="6">
        <f t="shared" ref="T1923:T1986" si="92">IFERROR(FIND("Freight",F1923,1),0)</f>
        <v>0</v>
      </c>
      <c r="U1923" s="25">
        <f t="shared" si="90"/>
        <v>0</v>
      </c>
    </row>
    <row r="1924" spans="1:21" ht="10.9" customHeight="1" x14ac:dyDescent="0.2">
      <c r="A1924" s="82" t="s">
        <v>2837</v>
      </c>
      <c r="B1924" s="83">
        <v>45888</v>
      </c>
      <c r="C1924" s="82" t="s">
        <v>3395</v>
      </c>
      <c r="D1924" s="82" t="s">
        <v>3482</v>
      </c>
      <c r="E1924" s="82"/>
      <c r="F1924" s="82" t="s">
        <v>4975</v>
      </c>
      <c r="G1924" s="89">
        <v>4</v>
      </c>
      <c r="H1924" s="89">
        <v>20</v>
      </c>
      <c r="I1924" s="85">
        <v>0</v>
      </c>
      <c r="J1924" s="85">
        <v>0</v>
      </c>
      <c r="K1924" s="85">
        <v>80</v>
      </c>
      <c r="L1924" s="85">
        <v>2530</v>
      </c>
      <c r="M1924" s="89">
        <v>27.758809258118063</v>
      </c>
      <c r="N1924" s="85">
        <v>0</v>
      </c>
      <c r="O1924" s="85">
        <v>0</v>
      </c>
      <c r="P1924" s="85">
        <v>111.03523703247225</v>
      </c>
      <c r="Q1924" s="85">
        <v>3511.4893711519348</v>
      </c>
      <c r="R1924" s="82" t="s">
        <v>3396</v>
      </c>
      <c r="S1924" s="7">
        <f t="shared" si="91"/>
        <v>0</v>
      </c>
      <c r="T1924" s="6">
        <f t="shared" si="92"/>
        <v>0</v>
      </c>
      <c r="U1924" s="25">
        <f t="shared" si="90"/>
        <v>0</v>
      </c>
    </row>
    <row r="1925" spans="1:21" ht="10.9" customHeight="1" x14ac:dyDescent="0.2">
      <c r="A1925" s="82" t="s">
        <v>2837</v>
      </c>
      <c r="B1925" s="83">
        <v>45888</v>
      </c>
      <c r="C1925" s="82" t="s">
        <v>3395</v>
      </c>
      <c r="D1925" s="82" t="s">
        <v>3482</v>
      </c>
      <c r="E1925" s="82"/>
      <c r="F1925" s="82" t="s">
        <v>4974</v>
      </c>
      <c r="G1925" s="89">
        <v>3</v>
      </c>
      <c r="H1925" s="89">
        <v>625</v>
      </c>
      <c r="I1925" s="85">
        <v>0</v>
      </c>
      <c r="J1925" s="85">
        <v>0</v>
      </c>
      <c r="K1925" s="85">
        <v>1875</v>
      </c>
      <c r="L1925" s="85">
        <v>2530</v>
      </c>
      <c r="M1925" s="89">
        <v>867.46278931618951</v>
      </c>
      <c r="N1925" s="85">
        <v>0</v>
      </c>
      <c r="O1925" s="85">
        <v>0</v>
      </c>
      <c r="P1925" s="85">
        <v>2602.3883679485684</v>
      </c>
      <c r="Q1925" s="85">
        <v>3511.4893711519348</v>
      </c>
      <c r="R1925" s="82" t="s">
        <v>3396</v>
      </c>
      <c r="S1925" s="7">
        <f t="shared" si="91"/>
        <v>0</v>
      </c>
      <c r="T1925" s="6">
        <f t="shared" si="92"/>
        <v>0</v>
      </c>
      <c r="U1925" s="25">
        <f t="shared" si="90"/>
        <v>0</v>
      </c>
    </row>
    <row r="1926" spans="1:21" ht="10.9" customHeight="1" x14ac:dyDescent="0.2">
      <c r="A1926" s="82" t="s">
        <v>2837</v>
      </c>
      <c r="B1926" s="83">
        <v>45888</v>
      </c>
      <c r="C1926" s="82" t="s">
        <v>3395</v>
      </c>
      <c r="D1926" s="82" t="s">
        <v>3482</v>
      </c>
      <c r="E1926" s="82"/>
      <c r="F1926" s="82" t="s">
        <v>4971</v>
      </c>
      <c r="G1926" s="89">
        <v>3</v>
      </c>
      <c r="H1926" s="89">
        <v>70</v>
      </c>
      <c r="I1926" s="85">
        <v>0</v>
      </c>
      <c r="J1926" s="85">
        <v>0</v>
      </c>
      <c r="K1926" s="85">
        <v>210</v>
      </c>
      <c r="L1926" s="85">
        <v>2530</v>
      </c>
      <c r="M1926" s="89">
        <v>97.155832403413228</v>
      </c>
      <c r="N1926" s="85">
        <v>0</v>
      </c>
      <c r="O1926" s="85">
        <v>0</v>
      </c>
      <c r="P1926" s="85">
        <v>291.46749721023969</v>
      </c>
      <c r="Q1926" s="85">
        <v>3511.4893711519348</v>
      </c>
      <c r="R1926" s="82" t="s">
        <v>3396</v>
      </c>
      <c r="S1926" s="7">
        <f t="shared" si="91"/>
        <v>0</v>
      </c>
      <c r="T1926" s="6">
        <f t="shared" si="92"/>
        <v>0</v>
      </c>
      <c r="U1926" s="25">
        <f t="shared" si="90"/>
        <v>0</v>
      </c>
    </row>
    <row r="1927" spans="1:21" ht="10.9" customHeight="1" x14ac:dyDescent="0.2">
      <c r="A1927" s="82" t="s">
        <v>2837</v>
      </c>
      <c r="B1927" s="83">
        <v>45888</v>
      </c>
      <c r="C1927" s="82" t="s">
        <v>3395</v>
      </c>
      <c r="D1927" s="82" t="s">
        <v>3482</v>
      </c>
      <c r="E1927" s="82"/>
      <c r="F1927" s="82" t="s">
        <v>4970</v>
      </c>
      <c r="G1927" s="89">
        <v>3</v>
      </c>
      <c r="H1927" s="89">
        <v>75</v>
      </c>
      <c r="I1927" s="85">
        <v>0</v>
      </c>
      <c r="J1927" s="85">
        <v>0</v>
      </c>
      <c r="K1927" s="85">
        <v>225</v>
      </c>
      <c r="L1927" s="85">
        <v>2530</v>
      </c>
      <c r="M1927" s="89">
        <v>104.09553471794274</v>
      </c>
      <c r="N1927" s="85">
        <v>0</v>
      </c>
      <c r="O1927" s="85">
        <v>0</v>
      </c>
      <c r="P1927" s="85">
        <v>312.28660415382819</v>
      </c>
      <c r="Q1927" s="85">
        <v>3511.4893711519348</v>
      </c>
      <c r="R1927" s="82" t="s">
        <v>3396</v>
      </c>
      <c r="S1927" s="7">
        <f t="shared" si="91"/>
        <v>0</v>
      </c>
      <c r="T1927" s="6">
        <f t="shared" si="92"/>
        <v>0</v>
      </c>
      <c r="U1927" s="25">
        <f t="shared" si="90"/>
        <v>0</v>
      </c>
    </row>
    <row r="1928" spans="1:21" ht="10.9" customHeight="1" x14ac:dyDescent="0.2">
      <c r="A1928" s="82" t="s">
        <v>2837</v>
      </c>
      <c r="B1928" s="83">
        <v>45888</v>
      </c>
      <c r="C1928" s="82" t="s">
        <v>3395</v>
      </c>
      <c r="D1928" s="82" t="s">
        <v>3482</v>
      </c>
      <c r="E1928" s="82"/>
      <c r="F1928" s="82" t="s">
        <v>4969</v>
      </c>
      <c r="G1928" s="89">
        <v>2</v>
      </c>
      <c r="H1928" s="89">
        <v>70</v>
      </c>
      <c r="I1928" s="85">
        <v>0</v>
      </c>
      <c r="J1928" s="85">
        <v>0</v>
      </c>
      <c r="K1928" s="85">
        <v>140</v>
      </c>
      <c r="L1928" s="85">
        <v>2530</v>
      </c>
      <c r="M1928" s="89">
        <v>97.155832403413228</v>
      </c>
      <c r="N1928" s="85">
        <v>0</v>
      </c>
      <c r="O1928" s="85">
        <v>0</v>
      </c>
      <c r="P1928" s="85">
        <v>194.31166480682646</v>
      </c>
      <c r="Q1928" s="85">
        <v>3511.4893711519348</v>
      </c>
      <c r="R1928" s="82" t="s">
        <v>3396</v>
      </c>
      <c r="S1928" s="7">
        <f t="shared" si="91"/>
        <v>0</v>
      </c>
      <c r="T1928" s="6">
        <f t="shared" si="92"/>
        <v>0</v>
      </c>
      <c r="U1928" s="25">
        <f t="shared" si="90"/>
        <v>0</v>
      </c>
    </row>
    <row r="1929" spans="1:21" ht="10.9" customHeight="1" x14ac:dyDescent="0.2">
      <c r="A1929" s="82" t="s">
        <v>2981</v>
      </c>
      <c r="B1929" s="83">
        <v>45888</v>
      </c>
      <c r="C1929" s="82" t="s">
        <v>3395</v>
      </c>
      <c r="D1929" s="82" t="s">
        <v>3484</v>
      </c>
      <c r="E1929" s="82"/>
      <c r="F1929" s="82" t="s">
        <v>4973</v>
      </c>
      <c r="G1929" s="89">
        <v>8</v>
      </c>
      <c r="H1929" s="89">
        <v>35</v>
      </c>
      <c r="I1929" s="85">
        <v>0</v>
      </c>
      <c r="J1929" s="85">
        <v>0</v>
      </c>
      <c r="K1929" s="85">
        <v>280</v>
      </c>
      <c r="L1929" s="85">
        <v>1230</v>
      </c>
      <c r="M1929" s="89">
        <v>48.577916201706614</v>
      </c>
      <c r="N1929" s="85">
        <v>0</v>
      </c>
      <c r="O1929" s="85">
        <v>0</v>
      </c>
      <c r="P1929" s="85">
        <v>388.62332961365291</v>
      </c>
      <c r="Q1929" s="85">
        <v>1707.1667693742609</v>
      </c>
      <c r="R1929" s="82" t="s">
        <v>3396</v>
      </c>
      <c r="S1929" s="7">
        <f t="shared" si="91"/>
        <v>0</v>
      </c>
      <c r="T1929" s="6">
        <f t="shared" si="92"/>
        <v>0</v>
      </c>
      <c r="U1929" s="25">
        <f t="shared" si="90"/>
        <v>0</v>
      </c>
    </row>
    <row r="1930" spans="1:21" ht="10.9" customHeight="1" x14ac:dyDescent="0.2">
      <c r="A1930" s="82" t="s">
        <v>2981</v>
      </c>
      <c r="B1930" s="83">
        <v>45888</v>
      </c>
      <c r="C1930" s="82" t="s">
        <v>3395</v>
      </c>
      <c r="D1930" s="82" t="s">
        <v>3484</v>
      </c>
      <c r="E1930" s="82"/>
      <c r="F1930" s="82" t="s">
        <v>4972</v>
      </c>
      <c r="G1930" s="89">
        <v>8</v>
      </c>
      <c r="H1930" s="89">
        <v>65</v>
      </c>
      <c r="I1930" s="85">
        <v>0</v>
      </c>
      <c r="J1930" s="85">
        <v>0</v>
      </c>
      <c r="K1930" s="85">
        <v>520</v>
      </c>
      <c r="L1930" s="85">
        <v>1230</v>
      </c>
      <c r="M1930" s="89">
        <v>90.216130088883702</v>
      </c>
      <c r="N1930" s="85">
        <v>0</v>
      </c>
      <c r="O1930" s="85">
        <v>0</v>
      </c>
      <c r="P1930" s="85">
        <v>721.72904071106962</v>
      </c>
      <c r="Q1930" s="85">
        <v>1707.1667693742609</v>
      </c>
      <c r="R1930" s="82" t="s">
        <v>3396</v>
      </c>
      <c r="S1930" s="7">
        <f t="shared" si="91"/>
        <v>0</v>
      </c>
      <c r="T1930" s="6">
        <f t="shared" si="92"/>
        <v>0</v>
      </c>
      <c r="U1930" s="25">
        <f t="shared" si="90"/>
        <v>0</v>
      </c>
    </row>
    <row r="1931" spans="1:21" ht="10.9" customHeight="1" x14ac:dyDescent="0.2">
      <c r="A1931" s="82" t="s">
        <v>2981</v>
      </c>
      <c r="B1931" s="83">
        <v>45888</v>
      </c>
      <c r="C1931" s="82" t="s">
        <v>3395</v>
      </c>
      <c r="D1931" s="82" t="s">
        <v>3484</v>
      </c>
      <c r="E1931" s="82"/>
      <c r="F1931" s="82" t="s">
        <v>4971</v>
      </c>
      <c r="G1931" s="89">
        <v>2</v>
      </c>
      <c r="H1931" s="89">
        <v>70</v>
      </c>
      <c r="I1931" s="85">
        <v>0</v>
      </c>
      <c r="J1931" s="85">
        <v>0</v>
      </c>
      <c r="K1931" s="85">
        <v>140</v>
      </c>
      <c r="L1931" s="85">
        <v>1230</v>
      </c>
      <c r="M1931" s="89">
        <v>97.155832403413228</v>
      </c>
      <c r="N1931" s="85">
        <v>0</v>
      </c>
      <c r="O1931" s="85">
        <v>0</v>
      </c>
      <c r="P1931" s="85">
        <v>194.31166480682646</v>
      </c>
      <c r="Q1931" s="85">
        <v>1707.1667693742609</v>
      </c>
      <c r="R1931" s="82" t="s">
        <v>3396</v>
      </c>
      <c r="S1931" s="7">
        <f t="shared" si="91"/>
        <v>0</v>
      </c>
      <c r="T1931" s="6">
        <f t="shared" si="92"/>
        <v>0</v>
      </c>
      <c r="U1931" s="25">
        <f t="shared" si="90"/>
        <v>0</v>
      </c>
    </row>
    <row r="1932" spans="1:21" ht="10.9" customHeight="1" x14ac:dyDescent="0.2">
      <c r="A1932" s="82" t="s">
        <v>2981</v>
      </c>
      <c r="B1932" s="83">
        <v>45888</v>
      </c>
      <c r="C1932" s="82" t="s">
        <v>3395</v>
      </c>
      <c r="D1932" s="82" t="s">
        <v>3484</v>
      </c>
      <c r="E1932" s="82"/>
      <c r="F1932" s="82" t="s">
        <v>4970</v>
      </c>
      <c r="G1932" s="89">
        <v>2</v>
      </c>
      <c r="H1932" s="89">
        <v>75</v>
      </c>
      <c r="I1932" s="85">
        <v>0</v>
      </c>
      <c r="J1932" s="85">
        <v>0</v>
      </c>
      <c r="K1932" s="85">
        <v>150</v>
      </c>
      <c r="L1932" s="85">
        <v>1230</v>
      </c>
      <c r="M1932" s="89">
        <v>104.09553471794274</v>
      </c>
      <c r="N1932" s="85">
        <v>0</v>
      </c>
      <c r="O1932" s="85">
        <v>0</v>
      </c>
      <c r="P1932" s="85">
        <v>208.19106943588548</v>
      </c>
      <c r="Q1932" s="85">
        <v>1707.1667693742609</v>
      </c>
      <c r="R1932" s="82" t="s">
        <v>3396</v>
      </c>
      <c r="S1932" s="7">
        <f t="shared" si="91"/>
        <v>0</v>
      </c>
      <c r="T1932" s="6">
        <f t="shared" si="92"/>
        <v>0</v>
      </c>
      <c r="U1932" s="25">
        <f t="shared" si="90"/>
        <v>0</v>
      </c>
    </row>
    <row r="1933" spans="1:21" ht="10.9" customHeight="1" x14ac:dyDescent="0.2">
      <c r="A1933" s="82" t="s">
        <v>2981</v>
      </c>
      <c r="B1933" s="83">
        <v>45888</v>
      </c>
      <c r="C1933" s="82" t="s">
        <v>3395</v>
      </c>
      <c r="D1933" s="82" t="s">
        <v>3484</v>
      </c>
      <c r="E1933" s="82"/>
      <c r="F1933" s="82" t="s">
        <v>4969</v>
      </c>
      <c r="G1933" s="89">
        <v>2</v>
      </c>
      <c r="H1933" s="89">
        <v>70</v>
      </c>
      <c r="I1933" s="85">
        <v>0</v>
      </c>
      <c r="J1933" s="85">
        <v>0</v>
      </c>
      <c r="K1933" s="85">
        <v>140</v>
      </c>
      <c r="L1933" s="85">
        <v>1230</v>
      </c>
      <c r="M1933" s="89">
        <v>97.155832403413228</v>
      </c>
      <c r="N1933" s="85">
        <v>0</v>
      </c>
      <c r="O1933" s="85">
        <v>0</v>
      </c>
      <c r="P1933" s="85">
        <v>194.31166480682646</v>
      </c>
      <c r="Q1933" s="85">
        <v>1707.1667693742609</v>
      </c>
      <c r="R1933" s="82" t="s">
        <v>3396</v>
      </c>
      <c r="S1933" s="7">
        <f t="shared" si="91"/>
        <v>0</v>
      </c>
      <c r="T1933" s="6">
        <f t="shared" si="92"/>
        <v>0</v>
      </c>
      <c r="U1933" s="25">
        <f t="shared" si="90"/>
        <v>0</v>
      </c>
    </row>
    <row r="1934" spans="1:21" ht="10.9" customHeight="1" x14ac:dyDescent="0.2">
      <c r="A1934" s="82" t="s">
        <v>3093</v>
      </c>
      <c r="B1934" s="83">
        <v>45888</v>
      </c>
      <c r="C1934" s="82" t="s">
        <v>3395</v>
      </c>
      <c r="D1934" s="82" t="s">
        <v>824</v>
      </c>
      <c r="E1934" s="82"/>
      <c r="F1934" s="82" t="s">
        <v>4741</v>
      </c>
      <c r="G1934" s="89">
        <v>5</v>
      </c>
      <c r="H1934" s="89">
        <v>371.83</v>
      </c>
      <c r="I1934" s="85">
        <v>0</v>
      </c>
      <c r="J1934" s="85">
        <v>241.69</v>
      </c>
      <c r="K1934" s="85">
        <v>2100.84</v>
      </c>
      <c r="L1934" s="85">
        <v>2100.84</v>
      </c>
      <c r="M1934" s="89">
        <v>371.83</v>
      </c>
      <c r="N1934" s="85">
        <v>0</v>
      </c>
      <c r="O1934" s="85">
        <v>241.69</v>
      </c>
      <c r="P1934" s="85">
        <v>2100.84</v>
      </c>
      <c r="Q1934" s="85">
        <v>2100.84</v>
      </c>
      <c r="R1934" s="82" t="s">
        <v>3399</v>
      </c>
      <c r="S1934" s="7">
        <f t="shared" si="91"/>
        <v>0</v>
      </c>
      <c r="T1934" s="6">
        <f t="shared" si="92"/>
        <v>0</v>
      </c>
      <c r="U1934" s="25">
        <f t="shared" si="90"/>
        <v>0</v>
      </c>
    </row>
    <row r="1935" spans="1:21" ht="10.9" customHeight="1" x14ac:dyDescent="0.2">
      <c r="A1935" s="82" t="s">
        <v>3089</v>
      </c>
      <c r="B1935" s="83">
        <v>45888</v>
      </c>
      <c r="C1935" s="82" t="s">
        <v>3395</v>
      </c>
      <c r="D1935" s="82" t="s">
        <v>832</v>
      </c>
      <c r="E1935" s="82"/>
      <c r="F1935" s="82" t="s">
        <v>4968</v>
      </c>
      <c r="G1935" s="89">
        <v>1</v>
      </c>
      <c r="H1935" s="89">
        <v>1662.14</v>
      </c>
      <c r="I1935" s="85">
        <v>0</v>
      </c>
      <c r="J1935" s="85">
        <v>83.11</v>
      </c>
      <c r="K1935" s="85">
        <v>1745.25</v>
      </c>
      <c r="L1935" s="85">
        <v>1745.25</v>
      </c>
      <c r="M1935" s="89">
        <v>1662.14</v>
      </c>
      <c r="N1935" s="85">
        <v>0</v>
      </c>
      <c r="O1935" s="85">
        <v>83.11</v>
      </c>
      <c r="P1935" s="85">
        <v>1745.25</v>
      </c>
      <c r="Q1935" s="85">
        <v>1745.25</v>
      </c>
      <c r="R1935" s="82" t="s">
        <v>3399</v>
      </c>
      <c r="S1935" s="7">
        <f t="shared" si="91"/>
        <v>0</v>
      </c>
      <c r="T1935" s="6">
        <f t="shared" si="92"/>
        <v>0</v>
      </c>
      <c r="U1935" s="25">
        <f t="shared" si="90"/>
        <v>0</v>
      </c>
    </row>
    <row r="1936" spans="1:21" ht="10.9" customHeight="1" x14ac:dyDescent="0.2">
      <c r="A1936" s="82" t="s">
        <v>3090</v>
      </c>
      <c r="B1936" s="83">
        <v>45888</v>
      </c>
      <c r="C1936" s="82" t="s">
        <v>3395</v>
      </c>
      <c r="D1936" s="82" t="s">
        <v>830</v>
      </c>
      <c r="E1936" s="82"/>
      <c r="F1936" s="82" t="s">
        <v>4967</v>
      </c>
      <c r="G1936" s="89">
        <v>4</v>
      </c>
      <c r="H1936" s="89">
        <v>28.26</v>
      </c>
      <c r="I1936" s="85">
        <v>0</v>
      </c>
      <c r="J1936" s="85">
        <v>5.65</v>
      </c>
      <c r="K1936" s="85">
        <v>118.69</v>
      </c>
      <c r="L1936" s="85">
        <v>118.69</v>
      </c>
      <c r="M1936" s="89">
        <v>28.26</v>
      </c>
      <c r="N1936" s="85">
        <v>0</v>
      </c>
      <c r="O1936" s="85">
        <v>5.65</v>
      </c>
      <c r="P1936" s="85">
        <v>118.69</v>
      </c>
      <c r="Q1936" s="85">
        <v>118.69</v>
      </c>
      <c r="R1936" s="82" t="s">
        <v>3399</v>
      </c>
      <c r="S1936" s="7">
        <f t="shared" si="91"/>
        <v>0</v>
      </c>
      <c r="T1936" s="6">
        <f t="shared" si="92"/>
        <v>0</v>
      </c>
      <c r="U1936" s="25">
        <f t="shared" si="90"/>
        <v>0</v>
      </c>
    </row>
    <row r="1937" spans="1:21" ht="10.9" customHeight="1" x14ac:dyDescent="0.2">
      <c r="A1937" s="82" t="s">
        <v>3100</v>
      </c>
      <c r="B1937" s="83">
        <v>45889</v>
      </c>
      <c r="C1937" s="82" t="s">
        <v>3395</v>
      </c>
      <c r="D1937" s="82" t="s">
        <v>809</v>
      </c>
      <c r="E1937" s="82"/>
      <c r="F1937" s="82" t="s">
        <v>4960</v>
      </c>
      <c r="G1937" s="89">
        <v>1</v>
      </c>
      <c r="H1937" s="89">
        <v>4347.7299999999996</v>
      </c>
      <c r="I1937" s="85">
        <v>0</v>
      </c>
      <c r="J1937" s="85">
        <v>0</v>
      </c>
      <c r="K1937" s="85">
        <v>4347.7299999999996</v>
      </c>
      <c r="L1937" s="85">
        <v>8829.6200000000008</v>
      </c>
      <c r="M1937" s="89">
        <v>6034.6081563876714</v>
      </c>
      <c r="N1937" s="85">
        <v>0</v>
      </c>
      <c r="O1937" s="85">
        <v>0</v>
      </c>
      <c r="P1937" s="85">
        <v>6034.6081563876714</v>
      </c>
      <c r="Q1937" s="85">
        <v>12255.429125038516</v>
      </c>
      <c r="R1937" s="82" t="s">
        <v>3399</v>
      </c>
      <c r="S1937" s="7">
        <f t="shared" si="91"/>
        <v>0</v>
      </c>
      <c r="T1937" s="6">
        <f t="shared" si="92"/>
        <v>0</v>
      </c>
      <c r="U1937" s="25">
        <f t="shared" si="90"/>
        <v>0</v>
      </c>
    </row>
    <row r="1938" spans="1:21" ht="10.9" customHeight="1" x14ac:dyDescent="0.2">
      <c r="A1938" s="82" t="s">
        <v>3100</v>
      </c>
      <c r="B1938" s="83">
        <v>45889</v>
      </c>
      <c r="C1938" s="82" t="s">
        <v>3395</v>
      </c>
      <c r="D1938" s="82" t="s">
        <v>809</v>
      </c>
      <c r="E1938" s="82"/>
      <c r="F1938" s="82" t="s">
        <v>4399</v>
      </c>
      <c r="G1938" s="89">
        <v>1</v>
      </c>
      <c r="H1938" s="89">
        <v>2194.7800000000002</v>
      </c>
      <c r="I1938" s="85">
        <v>0</v>
      </c>
      <c r="J1938" s="85">
        <v>0</v>
      </c>
      <c r="K1938" s="85">
        <v>2194.7800000000002</v>
      </c>
      <c r="L1938" s="85">
        <v>8829.6200000000008</v>
      </c>
      <c r="M1938" s="89">
        <v>3046.333900558805</v>
      </c>
      <c r="N1938" s="85">
        <v>0</v>
      </c>
      <c r="O1938" s="85">
        <v>0</v>
      </c>
      <c r="P1938" s="85">
        <v>3046.333900558805</v>
      </c>
      <c r="Q1938" s="85">
        <v>12255.429125038516</v>
      </c>
      <c r="R1938" s="82" t="s">
        <v>3399</v>
      </c>
      <c r="S1938" s="7">
        <f t="shared" si="91"/>
        <v>0</v>
      </c>
      <c r="T1938" s="6">
        <f t="shared" si="92"/>
        <v>0</v>
      </c>
      <c r="U1938" s="25">
        <f t="shared" si="90"/>
        <v>0</v>
      </c>
    </row>
    <row r="1939" spans="1:21" ht="10.9" customHeight="1" x14ac:dyDescent="0.2">
      <c r="A1939" s="82" t="s">
        <v>3100</v>
      </c>
      <c r="B1939" s="83">
        <v>45889</v>
      </c>
      <c r="C1939" s="82" t="s">
        <v>3395</v>
      </c>
      <c r="D1939" s="82" t="s">
        <v>809</v>
      </c>
      <c r="E1939" s="82"/>
      <c r="F1939" s="82" t="s">
        <v>4959</v>
      </c>
      <c r="G1939" s="89">
        <v>1</v>
      </c>
      <c r="H1939" s="89">
        <v>2287.11</v>
      </c>
      <c r="I1939" s="85">
        <v>0</v>
      </c>
      <c r="J1939" s="85">
        <v>0</v>
      </c>
      <c r="K1939" s="85">
        <v>2287.11</v>
      </c>
      <c r="L1939" s="85">
        <v>8829.6200000000008</v>
      </c>
      <c r="M1939" s="89">
        <v>3174.4870680920403</v>
      </c>
      <c r="N1939" s="85">
        <v>0</v>
      </c>
      <c r="O1939" s="85">
        <v>0</v>
      </c>
      <c r="P1939" s="85">
        <v>3174.4870680920403</v>
      </c>
      <c r="Q1939" s="85">
        <v>12255.429125038516</v>
      </c>
      <c r="R1939" s="82" t="s">
        <v>3399</v>
      </c>
      <c r="S1939" s="7">
        <f t="shared" si="91"/>
        <v>0</v>
      </c>
      <c r="T1939" s="6">
        <f t="shared" si="92"/>
        <v>0</v>
      </c>
      <c r="U1939" s="25">
        <f t="shared" si="90"/>
        <v>0</v>
      </c>
    </row>
    <row r="1940" spans="1:21" ht="10.9" customHeight="1" x14ac:dyDescent="0.2">
      <c r="A1940" s="82" t="s">
        <v>2773</v>
      </c>
      <c r="B1940" s="83">
        <v>45889</v>
      </c>
      <c r="C1940" s="82" t="s">
        <v>3395</v>
      </c>
      <c r="D1940" s="82" t="s">
        <v>3481</v>
      </c>
      <c r="E1940" s="82"/>
      <c r="F1940" s="82" t="s">
        <v>4451</v>
      </c>
      <c r="G1940" s="89">
        <v>2</v>
      </c>
      <c r="H1940" s="89">
        <v>8034</v>
      </c>
      <c r="I1940" s="85">
        <v>0</v>
      </c>
      <c r="J1940" s="85">
        <v>0</v>
      </c>
      <c r="K1940" s="85">
        <v>16068</v>
      </c>
      <c r="L1940" s="85">
        <v>16068</v>
      </c>
      <c r="M1940" s="89">
        <v>11151.116083201705</v>
      </c>
      <c r="N1940" s="85">
        <v>0</v>
      </c>
      <c r="O1940" s="85">
        <v>0</v>
      </c>
      <c r="P1940" s="85">
        <v>22302.23216640341</v>
      </c>
      <c r="Q1940" s="85">
        <v>22302.23216640341</v>
      </c>
      <c r="R1940" s="82" t="s">
        <v>3396</v>
      </c>
      <c r="S1940" s="7">
        <f t="shared" si="91"/>
        <v>0</v>
      </c>
      <c r="T1940" s="6">
        <f t="shared" si="92"/>
        <v>0</v>
      </c>
      <c r="U1940" s="25">
        <f t="shared" si="90"/>
        <v>0</v>
      </c>
    </row>
    <row r="1941" spans="1:21" ht="10.9" customHeight="1" x14ac:dyDescent="0.2">
      <c r="A1941" s="82" t="s">
        <v>2939</v>
      </c>
      <c r="B1941" s="83">
        <v>45889</v>
      </c>
      <c r="C1941" s="82" t="s">
        <v>3395</v>
      </c>
      <c r="D1941" s="82" t="s">
        <v>1102</v>
      </c>
      <c r="E1941" s="82"/>
      <c r="F1941" s="82" t="s">
        <v>4556</v>
      </c>
      <c r="G1941" s="89">
        <v>1</v>
      </c>
      <c r="H1941" s="89">
        <v>109.66</v>
      </c>
      <c r="I1941" s="85">
        <v>0</v>
      </c>
      <c r="J1941" s="85">
        <v>5.48</v>
      </c>
      <c r="K1941" s="85">
        <v>115.14</v>
      </c>
      <c r="L1941" s="85">
        <v>115.14</v>
      </c>
      <c r="M1941" s="89">
        <v>109.66</v>
      </c>
      <c r="N1941" s="85">
        <v>0</v>
      </c>
      <c r="O1941" s="85">
        <v>5.48</v>
      </c>
      <c r="P1941" s="85">
        <v>115.14</v>
      </c>
      <c r="Q1941" s="85">
        <v>115.14</v>
      </c>
      <c r="R1941" s="82" t="s">
        <v>3399</v>
      </c>
      <c r="S1941" s="7">
        <f t="shared" si="91"/>
        <v>0</v>
      </c>
      <c r="T1941" s="6">
        <f t="shared" si="92"/>
        <v>0</v>
      </c>
      <c r="U1941" s="25">
        <f t="shared" si="90"/>
        <v>0</v>
      </c>
    </row>
    <row r="1942" spans="1:21" ht="10.9" customHeight="1" x14ac:dyDescent="0.2">
      <c r="A1942" s="82" t="s">
        <v>3095</v>
      </c>
      <c r="B1942" s="83">
        <v>45889</v>
      </c>
      <c r="C1942" s="82" t="s">
        <v>3395</v>
      </c>
      <c r="D1942" s="82" t="s">
        <v>820</v>
      </c>
      <c r="E1942" s="82"/>
      <c r="F1942" s="82" t="s">
        <v>4673</v>
      </c>
      <c r="G1942" s="89">
        <v>2</v>
      </c>
      <c r="H1942" s="89">
        <v>148.28</v>
      </c>
      <c r="I1942" s="85">
        <v>0</v>
      </c>
      <c r="J1942" s="85">
        <v>14.83</v>
      </c>
      <c r="K1942" s="85">
        <v>311.39</v>
      </c>
      <c r="L1942" s="85">
        <v>311.39</v>
      </c>
      <c r="M1942" s="89">
        <v>148.28</v>
      </c>
      <c r="N1942" s="85">
        <v>0</v>
      </c>
      <c r="O1942" s="85">
        <v>14.83</v>
      </c>
      <c r="P1942" s="85">
        <v>311.39</v>
      </c>
      <c r="Q1942" s="85">
        <v>311.39</v>
      </c>
      <c r="R1942" s="82" t="s">
        <v>3399</v>
      </c>
      <c r="S1942" s="7">
        <f t="shared" si="91"/>
        <v>0</v>
      </c>
      <c r="T1942" s="6">
        <f t="shared" si="92"/>
        <v>0</v>
      </c>
      <c r="U1942" s="25">
        <f t="shared" si="90"/>
        <v>0</v>
      </c>
    </row>
    <row r="1943" spans="1:21" ht="10.9" customHeight="1" x14ac:dyDescent="0.2">
      <c r="A1943" s="82" t="s">
        <v>3004</v>
      </c>
      <c r="B1943" s="83">
        <v>45889</v>
      </c>
      <c r="C1943" s="82" t="s">
        <v>3395</v>
      </c>
      <c r="D1943" s="82" t="s">
        <v>996</v>
      </c>
      <c r="E1943" s="82"/>
      <c r="F1943" s="82" t="s">
        <v>4776</v>
      </c>
      <c r="G1943" s="89">
        <v>1</v>
      </c>
      <c r="H1943" s="89">
        <v>1569.98</v>
      </c>
      <c r="I1943" s="85">
        <v>0</v>
      </c>
      <c r="J1943" s="85">
        <v>78.5</v>
      </c>
      <c r="K1943" s="85">
        <v>1648.48</v>
      </c>
      <c r="L1943" s="85">
        <v>6106.39</v>
      </c>
      <c r="M1943" s="89">
        <v>1569.98</v>
      </c>
      <c r="N1943" s="85">
        <v>0</v>
      </c>
      <c r="O1943" s="85">
        <v>78.5</v>
      </c>
      <c r="P1943" s="85">
        <v>1648.48</v>
      </c>
      <c r="Q1943" s="85">
        <v>6106.39</v>
      </c>
      <c r="R1943" s="82" t="s">
        <v>3399</v>
      </c>
      <c r="S1943" s="7">
        <f t="shared" si="91"/>
        <v>0</v>
      </c>
      <c r="T1943" s="6">
        <f t="shared" si="92"/>
        <v>0</v>
      </c>
      <c r="U1943" s="25">
        <f t="shared" si="90"/>
        <v>0</v>
      </c>
    </row>
    <row r="1944" spans="1:21" ht="10.9" customHeight="1" x14ac:dyDescent="0.2">
      <c r="A1944" s="82" t="s">
        <v>3004</v>
      </c>
      <c r="B1944" s="83">
        <v>45889</v>
      </c>
      <c r="C1944" s="82" t="s">
        <v>3395</v>
      </c>
      <c r="D1944" s="82" t="s">
        <v>996</v>
      </c>
      <c r="E1944" s="82"/>
      <c r="F1944" s="82" t="s">
        <v>4775</v>
      </c>
      <c r="G1944" s="89">
        <v>1</v>
      </c>
      <c r="H1944" s="89">
        <v>1626.36</v>
      </c>
      <c r="I1944" s="85">
        <v>0</v>
      </c>
      <c r="J1944" s="85">
        <v>81.319999999999993</v>
      </c>
      <c r="K1944" s="85">
        <v>1707.68</v>
      </c>
      <c r="L1944" s="85">
        <v>6106.39</v>
      </c>
      <c r="M1944" s="89">
        <v>1626.36</v>
      </c>
      <c r="N1944" s="85">
        <v>0</v>
      </c>
      <c r="O1944" s="85">
        <v>81.319999999999993</v>
      </c>
      <c r="P1944" s="85">
        <v>1707.68</v>
      </c>
      <c r="Q1944" s="85">
        <v>6106.39</v>
      </c>
      <c r="R1944" s="82" t="s">
        <v>3399</v>
      </c>
      <c r="S1944" s="7">
        <f t="shared" si="91"/>
        <v>0</v>
      </c>
      <c r="T1944" s="6">
        <f t="shared" si="92"/>
        <v>0</v>
      </c>
      <c r="U1944" s="25">
        <f t="shared" si="90"/>
        <v>0</v>
      </c>
    </row>
    <row r="1945" spans="1:21" ht="10.9" customHeight="1" x14ac:dyDescent="0.2">
      <c r="A1945" s="82" t="s">
        <v>3004</v>
      </c>
      <c r="B1945" s="83">
        <v>45889</v>
      </c>
      <c r="C1945" s="82" t="s">
        <v>3395</v>
      </c>
      <c r="D1945" s="82" t="s">
        <v>996</v>
      </c>
      <c r="E1945" s="82"/>
      <c r="F1945" s="82" t="s">
        <v>4774</v>
      </c>
      <c r="G1945" s="89">
        <v>1</v>
      </c>
      <c r="H1945" s="89">
        <v>2619.27</v>
      </c>
      <c r="I1945" s="85">
        <v>0</v>
      </c>
      <c r="J1945" s="85">
        <v>130.96</v>
      </c>
      <c r="K1945" s="85">
        <v>2750.23</v>
      </c>
      <c r="L1945" s="85">
        <v>6106.39</v>
      </c>
      <c r="M1945" s="89">
        <v>2619.27</v>
      </c>
      <c r="N1945" s="85">
        <v>0</v>
      </c>
      <c r="O1945" s="85">
        <v>130.96</v>
      </c>
      <c r="P1945" s="85">
        <v>2750.23</v>
      </c>
      <c r="Q1945" s="85">
        <v>6106.39</v>
      </c>
      <c r="R1945" s="82" t="s">
        <v>3399</v>
      </c>
      <c r="S1945" s="7">
        <f t="shared" si="91"/>
        <v>0</v>
      </c>
      <c r="T1945" s="6">
        <f t="shared" si="92"/>
        <v>0</v>
      </c>
      <c r="U1945" s="25">
        <f t="shared" si="90"/>
        <v>0</v>
      </c>
    </row>
    <row r="1946" spans="1:21" ht="10.9" customHeight="1" x14ac:dyDescent="0.2">
      <c r="A1946" s="82" t="s">
        <v>2929</v>
      </c>
      <c r="B1946" s="83">
        <v>45889</v>
      </c>
      <c r="C1946" s="82" t="s">
        <v>3395</v>
      </c>
      <c r="D1946" s="82" t="s">
        <v>1117</v>
      </c>
      <c r="E1946" s="82"/>
      <c r="F1946" s="82" t="s">
        <v>4966</v>
      </c>
      <c r="G1946" s="89">
        <v>1</v>
      </c>
      <c r="H1946" s="89">
        <v>80.05</v>
      </c>
      <c r="I1946" s="85">
        <v>0</v>
      </c>
      <c r="J1946" s="85">
        <v>10.41</v>
      </c>
      <c r="K1946" s="85">
        <v>90.46</v>
      </c>
      <c r="L1946" s="85">
        <v>90.46</v>
      </c>
      <c r="M1946" s="89">
        <v>80.05</v>
      </c>
      <c r="N1946" s="85">
        <v>0</v>
      </c>
      <c r="O1946" s="85">
        <v>10.41</v>
      </c>
      <c r="P1946" s="85">
        <v>90.46</v>
      </c>
      <c r="Q1946" s="85">
        <v>90.46</v>
      </c>
      <c r="R1946" s="82" t="s">
        <v>3399</v>
      </c>
      <c r="S1946" s="7">
        <f t="shared" si="91"/>
        <v>0</v>
      </c>
      <c r="T1946" s="6">
        <f t="shared" si="92"/>
        <v>0</v>
      </c>
      <c r="U1946" s="25">
        <f t="shared" si="90"/>
        <v>0</v>
      </c>
    </row>
    <row r="1947" spans="1:21" ht="10.9" customHeight="1" x14ac:dyDescent="0.2">
      <c r="A1947" s="82" t="s">
        <v>3051</v>
      </c>
      <c r="B1947" s="83">
        <v>45889</v>
      </c>
      <c r="C1947" s="82" t="s">
        <v>3395</v>
      </c>
      <c r="D1947" s="82" t="s">
        <v>911</v>
      </c>
      <c r="E1947" s="82"/>
      <c r="F1947" s="82" t="s">
        <v>4965</v>
      </c>
      <c r="G1947" s="89">
        <v>1</v>
      </c>
      <c r="H1947" s="89">
        <v>4848.3900000000003</v>
      </c>
      <c r="I1947" s="85">
        <v>0</v>
      </c>
      <c r="J1947" s="85">
        <v>630.29</v>
      </c>
      <c r="K1947" s="85">
        <v>5478.68</v>
      </c>
      <c r="L1947" s="85">
        <v>5632.13</v>
      </c>
      <c r="M1947" s="89">
        <v>4848.3900000000003</v>
      </c>
      <c r="N1947" s="85">
        <v>0</v>
      </c>
      <c r="O1947" s="85">
        <v>630.29</v>
      </c>
      <c r="P1947" s="85">
        <v>5478.68</v>
      </c>
      <c r="Q1947" s="85">
        <v>5632.13</v>
      </c>
      <c r="R1947" s="82" t="s">
        <v>3399</v>
      </c>
      <c r="S1947" s="7">
        <f t="shared" si="91"/>
        <v>0</v>
      </c>
      <c r="T1947" s="6">
        <f t="shared" si="92"/>
        <v>0</v>
      </c>
      <c r="U1947" s="25">
        <f t="shared" si="90"/>
        <v>0</v>
      </c>
    </row>
    <row r="1948" spans="1:21" ht="10.9" customHeight="1" x14ac:dyDescent="0.2">
      <c r="A1948" s="82" t="s">
        <v>3051</v>
      </c>
      <c r="B1948" s="83">
        <v>45889</v>
      </c>
      <c r="C1948" s="82" t="s">
        <v>3395</v>
      </c>
      <c r="D1948" s="82" t="s">
        <v>911</v>
      </c>
      <c r="E1948" s="82"/>
      <c r="F1948" s="82" t="s">
        <v>4964</v>
      </c>
      <c r="G1948" s="89">
        <v>1</v>
      </c>
      <c r="H1948" s="89">
        <v>106.1</v>
      </c>
      <c r="I1948" s="85">
        <v>0</v>
      </c>
      <c r="J1948" s="85">
        <v>13.79</v>
      </c>
      <c r="K1948" s="85">
        <v>119.89</v>
      </c>
      <c r="L1948" s="85">
        <v>5632.13</v>
      </c>
      <c r="M1948" s="89">
        <v>106.1</v>
      </c>
      <c r="N1948" s="85">
        <v>0</v>
      </c>
      <c r="O1948" s="85">
        <v>13.79</v>
      </c>
      <c r="P1948" s="85">
        <v>119.89</v>
      </c>
      <c r="Q1948" s="85">
        <v>5632.13</v>
      </c>
      <c r="R1948" s="82" t="s">
        <v>3399</v>
      </c>
      <c r="S1948" s="7">
        <f t="shared" si="91"/>
        <v>0</v>
      </c>
      <c r="T1948" s="6">
        <f t="shared" si="92"/>
        <v>0</v>
      </c>
      <c r="U1948" s="25">
        <f t="shared" si="90"/>
        <v>0</v>
      </c>
    </row>
    <row r="1949" spans="1:21" ht="10.9" customHeight="1" x14ac:dyDescent="0.2">
      <c r="A1949" s="82" t="s">
        <v>3051</v>
      </c>
      <c r="B1949" s="83">
        <v>45889</v>
      </c>
      <c r="C1949" s="82" t="s">
        <v>3395</v>
      </c>
      <c r="D1949" s="82" t="s">
        <v>911</v>
      </c>
      <c r="E1949" s="82"/>
      <c r="F1949" s="82" t="s">
        <v>4963</v>
      </c>
      <c r="G1949" s="89">
        <v>1</v>
      </c>
      <c r="H1949" s="89">
        <v>29.7</v>
      </c>
      <c r="I1949" s="85">
        <v>0</v>
      </c>
      <c r="J1949" s="85">
        <v>3.86</v>
      </c>
      <c r="K1949" s="85">
        <v>33.56</v>
      </c>
      <c r="L1949" s="85">
        <v>5632.13</v>
      </c>
      <c r="M1949" s="89">
        <v>29.7</v>
      </c>
      <c r="N1949" s="85">
        <v>0</v>
      </c>
      <c r="O1949" s="85">
        <v>3.86</v>
      </c>
      <c r="P1949" s="85">
        <v>33.56</v>
      </c>
      <c r="Q1949" s="85">
        <v>5632.13</v>
      </c>
      <c r="R1949" s="82" t="s">
        <v>3399</v>
      </c>
      <c r="S1949" s="7">
        <f t="shared" si="91"/>
        <v>0</v>
      </c>
      <c r="T1949" s="6">
        <f t="shared" si="92"/>
        <v>0</v>
      </c>
      <c r="U1949" s="25">
        <f t="shared" si="90"/>
        <v>0</v>
      </c>
    </row>
    <row r="1950" spans="1:21" ht="10.9" customHeight="1" x14ac:dyDescent="0.2">
      <c r="A1950" s="82" t="s">
        <v>3022</v>
      </c>
      <c r="B1950" s="83">
        <v>45889</v>
      </c>
      <c r="C1950" s="82" t="s">
        <v>3395</v>
      </c>
      <c r="D1950" s="82" t="s">
        <v>960</v>
      </c>
      <c r="E1950" s="82"/>
      <c r="F1950" s="82" t="s">
        <v>4962</v>
      </c>
      <c r="G1950" s="89">
        <v>1</v>
      </c>
      <c r="H1950" s="89">
        <v>373.88</v>
      </c>
      <c r="I1950" s="85">
        <v>0</v>
      </c>
      <c r="J1950" s="85">
        <v>48.6</v>
      </c>
      <c r="K1950" s="85">
        <v>422.48</v>
      </c>
      <c r="L1950" s="85">
        <v>422.48</v>
      </c>
      <c r="M1950" s="89">
        <v>373.88</v>
      </c>
      <c r="N1950" s="85">
        <v>0</v>
      </c>
      <c r="O1950" s="85">
        <v>48.6</v>
      </c>
      <c r="P1950" s="85">
        <v>422.48</v>
      </c>
      <c r="Q1950" s="85">
        <v>422.48</v>
      </c>
      <c r="R1950" s="82" t="s">
        <v>3399</v>
      </c>
      <c r="S1950" s="7">
        <f t="shared" si="91"/>
        <v>0</v>
      </c>
      <c r="T1950" s="6">
        <f t="shared" si="92"/>
        <v>0</v>
      </c>
      <c r="U1950" s="25">
        <f t="shared" si="90"/>
        <v>0</v>
      </c>
    </row>
    <row r="1951" spans="1:21" ht="10.9" customHeight="1" x14ac:dyDescent="0.2">
      <c r="A1951" s="82" t="s">
        <v>2986</v>
      </c>
      <c r="B1951" s="83">
        <v>45889</v>
      </c>
      <c r="C1951" s="82" t="s">
        <v>3395</v>
      </c>
      <c r="D1951" s="82" t="s">
        <v>1020</v>
      </c>
      <c r="E1951" s="82"/>
      <c r="F1951" s="82" t="s">
        <v>4872</v>
      </c>
      <c r="G1951" s="89">
        <v>1</v>
      </c>
      <c r="H1951" s="89">
        <v>1842.22</v>
      </c>
      <c r="I1951" s="85">
        <v>0</v>
      </c>
      <c r="J1951" s="85">
        <v>239.49</v>
      </c>
      <c r="K1951" s="85">
        <v>2081.71</v>
      </c>
      <c r="L1951" s="85">
        <v>2081.71</v>
      </c>
      <c r="M1951" s="89">
        <v>1842.22</v>
      </c>
      <c r="N1951" s="85">
        <v>0</v>
      </c>
      <c r="O1951" s="85">
        <v>239.49</v>
      </c>
      <c r="P1951" s="85">
        <v>2081.71</v>
      </c>
      <c r="Q1951" s="85">
        <v>2081.71</v>
      </c>
      <c r="R1951" s="82" t="s">
        <v>3399</v>
      </c>
      <c r="S1951" s="7">
        <f t="shared" si="91"/>
        <v>0</v>
      </c>
      <c r="T1951" s="6">
        <f t="shared" si="92"/>
        <v>0</v>
      </c>
      <c r="U1951" s="25">
        <f t="shared" si="90"/>
        <v>0</v>
      </c>
    </row>
    <row r="1952" spans="1:21" ht="10.9" customHeight="1" x14ac:dyDescent="0.2">
      <c r="A1952" s="82" t="s">
        <v>2849</v>
      </c>
      <c r="B1952" s="83">
        <v>45889</v>
      </c>
      <c r="C1952" s="82" t="s">
        <v>3395</v>
      </c>
      <c r="D1952" s="82" t="s">
        <v>1253</v>
      </c>
      <c r="E1952" s="82"/>
      <c r="F1952" s="82" t="s">
        <v>4961</v>
      </c>
      <c r="G1952" s="89">
        <v>1</v>
      </c>
      <c r="H1952" s="89">
        <v>7656.94</v>
      </c>
      <c r="I1952" s="85">
        <v>0</v>
      </c>
      <c r="J1952" s="85">
        <v>995.4</v>
      </c>
      <c r="K1952" s="85">
        <v>8652.34</v>
      </c>
      <c r="L1952" s="85">
        <v>8652.34</v>
      </c>
      <c r="M1952" s="89">
        <v>7656.94</v>
      </c>
      <c r="N1952" s="85">
        <v>0</v>
      </c>
      <c r="O1952" s="85">
        <v>995.4</v>
      </c>
      <c r="P1952" s="85">
        <v>8652.34</v>
      </c>
      <c r="Q1952" s="85">
        <v>8652.34</v>
      </c>
      <c r="R1952" s="82" t="s">
        <v>3399</v>
      </c>
      <c r="S1952" s="7">
        <f t="shared" si="91"/>
        <v>0</v>
      </c>
      <c r="T1952" s="6">
        <f t="shared" si="92"/>
        <v>0</v>
      </c>
      <c r="U1952" s="25">
        <f t="shared" si="90"/>
        <v>0</v>
      </c>
    </row>
    <row r="1953" spans="1:21" ht="10.9" customHeight="1" x14ac:dyDescent="0.2">
      <c r="A1953" s="82" t="s">
        <v>3092</v>
      </c>
      <c r="B1953" s="83">
        <v>45890</v>
      </c>
      <c r="C1953" s="82" t="s">
        <v>3395</v>
      </c>
      <c r="D1953" s="82" t="s">
        <v>826</v>
      </c>
      <c r="E1953" s="82"/>
      <c r="F1953" s="82" t="s">
        <v>4397</v>
      </c>
      <c r="G1953" s="89">
        <v>3</v>
      </c>
      <c r="H1953" s="89">
        <v>1110.27</v>
      </c>
      <c r="I1953" s="85">
        <v>0</v>
      </c>
      <c r="J1953" s="85">
        <v>0</v>
      </c>
      <c r="K1953" s="85">
        <v>3330.81</v>
      </c>
      <c r="L1953" s="85">
        <v>3330.81</v>
      </c>
      <c r="M1953" s="89">
        <v>1544.5300762339325</v>
      </c>
      <c r="N1953" s="85">
        <v>0</v>
      </c>
      <c r="O1953" s="85">
        <v>0</v>
      </c>
      <c r="P1953" s="85">
        <v>4633.5902287017971</v>
      </c>
      <c r="Q1953" s="85">
        <v>4633.5902287017971</v>
      </c>
      <c r="R1953" s="82" t="s">
        <v>3399</v>
      </c>
      <c r="S1953" s="7">
        <f t="shared" si="91"/>
        <v>0</v>
      </c>
      <c r="T1953" s="6">
        <f t="shared" si="92"/>
        <v>0</v>
      </c>
      <c r="U1953" s="25">
        <f t="shared" si="90"/>
        <v>0</v>
      </c>
    </row>
    <row r="1954" spans="1:21" ht="10.9" customHeight="1" x14ac:dyDescent="0.2">
      <c r="A1954" s="82" t="s">
        <v>3096</v>
      </c>
      <c r="B1954" s="83">
        <v>45890</v>
      </c>
      <c r="C1954" s="82" t="s">
        <v>3395</v>
      </c>
      <c r="D1954" s="82" t="s">
        <v>817</v>
      </c>
      <c r="E1954" s="82"/>
      <c r="F1954" s="82" t="s">
        <v>4958</v>
      </c>
      <c r="G1954" s="89">
        <v>1</v>
      </c>
      <c r="H1954" s="89">
        <v>236.69</v>
      </c>
      <c r="I1954" s="85">
        <v>0</v>
      </c>
      <c r="J1954" s="85">
        <v>11.83</v>
      </c>
      <c r="K1954" s="85">
        <v>248.52</v>
      </c>
      <c r="L1954" s="85">
        <v>248.52</v>
      </c>
      <c r="M1954" s="89">
        <v>236.69</v>
      </c>
      <c r="N1954" s="85">
        <v>0</v>
      </c>
      <c r="O1954" s="85">
        <v>11.83</v>
      </c>
      <c r="P1954" s="85">
        <v>248.52</v>
      </c>
      <c r="Q1954" s="85">
        <v>248.52</v>
      </c>
      <c r="R1954" s="82" t="s">
        <v>3399</v>
      </c>
      <c r="S1954" s="7">
        <f t="shared" si="91"/>
        <v>0</v>
      </c>
      <c r="T1954" s="6">
        <f t="shared" si="92"/>
        <v>0</v>
      </c>
      <c r="U1954" s="25">
        <f t="shared" si="90"/>
        <v>0</v>
      </c>
    </row>
    <row r="1955" spans="1:21" ht="10.9" customHeight="1" x14ac:dyDescent="0.2">
      <c r="A1955" s="82" t="s">
        <v>3091</v>
      </c>
      <c r="B1955" s="83">
        <v>45891</v>
      </c>
      <c r="C1955" s="82" t="s">
        <v>3395</v>
      </c>
      <c r="D1955" s="82" t="s">
        <v>828</v>
      </c>
      <c r="E1955" s="82"/>
      <c r="F1955" s="82" t="s">
        <v>4957</v>
      </c>
      <c r="G1955" s="89">
        <v>3</v>
      </c>
      <c r="H1955" s="89">
        <v>1394.78</v>
      </c>
      <c r="I1955" s="85">
        <v>0</v>
      </c>
      <c r="J1955" s="85">
        <v>0</v>
      </c>
      <c r="K1955" s="85">
        <v>4184.34</v>
      </c>
      <c r="L1955" s="85">
        <v>4792.34</v>
      </c>
      <c r="M1955" s="89">
        <v>1929.0228891501279</v>
      </c>
      <c r="N1955" s="85">
        <v>0</v>
      </c>
      <c r="O1955" s="85">
        <v>0</v>
      </c>
      <c r="P1955" s="85">
        <v>5787.0686674503841</v>
      </c>
      <c r="Q1955" s="85">
        <v>6627.9510407302396</v>
      </c>
      <c r="R1955" s="82" t="s">
        <v>3399</v>
      </c>
      <c r="S1955" s="7">
        <f t="shared" si="91"/>
        <v>0</v>
      </c>
      <c r="T1955" s="6">
        <f t="shared" si="92"/>
        <v>0</v>
      </c>
      <c r="U1955" s="25">
        <f t="shared" si="90"/>
        <v>0</v>
      </c>
    </row>
    <row r="1956" spans="1:21" ht="10.9" customHeight="1" x14ac:dyDescent="0.2">
      <c r="A1956" s="82" t="s">
        <v>3091</v>
      </c>
      <c r="B1956" s="83">
        <v>45891</v>
      </c>
      <c r="C1956" s="82" t="s">
        <v>3395</v>
      </c>
      <c r="D1956" s="82" t="s">
        <v>828</v>
      </c>
      <c r="E1956" s="82"/>
      <c r="F1956" s="82" t="s">
        <v>4393</v>
      </c>
      <c r="G1956" s="89">
        <v>1</v>
      </c>
      <c r="H1956" s="89">
        <v>608</v>
      </c>
      <c r="I1956" s="85">
        <v>0</v>
      </c>
      <c r="J1956" s="85">
        <v>0</v>
      </c>
      <c r="K1956" s="85">
        <v>608</v>
      </c>
      <c r="L1956" s="85">
        <v>4792.34</v>
      </c>
      <c r="M1956" s="89">
        <v>840.88237327985621</v>
      </c>
      <c r="N1956" s="85">
        <v>0</v>
      </c>
      <c r="O1956" s="85">
        <v>0</v>
      </c>
      <c r="P1956" s="85">
        <v>840.88237327985621</v>
      </c>
      <c r="Q1956" s="85">
        <v>6627.9510407302396</v>
      </c>
      <c r="R1956" s="82" t="s">
        <v>3399</v>
      </c>
      <c r="S1956" s="7" t="str">
        <f t="shared" si="91"/>
        <v>INV13332</v>
      </c>
      <c r="T1956" s="6">
        <f t="shared" si="92"/>
        <v>1</v>
      </c>
      <c r="U1956" s="25">
        <f t="shared" si="90"/>
        <v>608</v>
      </c>
    </row>
    <row r="1957" spans="1:21" ht="10.9" customHeight="1" x14ac:dyDescent="0.2">
      <c r="A1957" s="82" t="s">
        <v>3055</v>
      </c>
      <c r="B1957" s="83">
        <v>45891</v>
      </c>
      <c r="C1957" s="82" t="s">
        <v>3395</v>
      </c>
      <c r="D1957" s="82" t="s">
        <v>903</v>
      </c>
      <c r="E1957" s="82"/>
      <c r="F1957" s="82" t="s">
        <v>4629</v>
      </c>
      <c r="G1957" s="89">
        <v>4</v>
      </c>
      <c r="H1957" s="89">
        <v>673.64</v>
      </c>
      <c r="I1957" s="85">
        <v>0</v>
      </c>
      <c r="J1957" s="85">
        <v>0</v>
      </c>
      <c r="K1957" s="85">
        <v>2694.56</v>
      </c>
      <c r="L1957" s="85">
        <v>5791.92</v>
      </c>
      <c r="M1957" s="89">
        <v>931.58974869590713</v>
      </c>
      <c r="N1957" s="85">
        <v>0</v>
      </c>
      <c r="O1957" s="85">
        <v>0</v>
      </c>
      <c r="P1957" s="85">
        <v>3726.3589947836285</v>
      </c>
      <c r="Q1957" s="85">
        <v>8009.7578784911793</v>
      </c>
      <c r="R1957" s="82" t="s">
        <v>3399</v>
      </c>
      <c r="S1957" s="7">
        <f t="shared" si="91"/>
        <v>0</v>
      </c>
      <c r="T1957" s="6">
        <f t="shared" si="92"/>
        <v>0</v>
      </c>
      <c r="U1957" s="25">
        <f t="shared" si="90"/>
        <v>0</v>
      </c>
    </row>
    <row r="1958" spans="1:21" ht="10.9" customHeight="1" x14ac:dyDescent="0.2">
      <c r="A1958" s="82" t="s">
        <v>3055</v>
      </c>
      <c r="B1958" s="83">
        <v>45891</v>
      </c>
      <c r="C1958" s="82" t="s">
        <v>3395</v>
      </c>
      <c r="D1958" s="82" t="s">
        <v>903</v>
      </c>
      <c r="E1958" s="82"/>
      <c r="F1958" s="82" t="s">
        <v>4633</v>
      </c>
      <c r="G1958" s="89">
        <v>2</v>
      </c>
      <c r="H1958" s="89">
        <v>998.44</v>
      </c>
      <c r="I1958" s="85">
        <v>0</v>
      </c>
      <c r="J1958" s="85">
        <v>0</v>
      </c>
      <c r="K1958" s="85">
        <v>1996.88</v>
      </c>
      <c r="L1958" s="85">
        <v>5791.92</v>
      </c>
      <c r="M1958" s="89">
        <v>1380.7619332105301</v>
      </c>
      <c r="N1958" s="85">
        <v>0</v>
      </c>
      <c r="O1958" s="85">
        <v>0</v>
      </c>
      <c r="P1958" s="85">
        <v>2761.5238664210601</v>
      </c>
      <c r="Q1958" s="85">
        <v>8009.7578784911793</v>
      </c>
      <c r="R1958" s="82" t="s">
        <v>3399</v>
      </c>
      <c r="S1958" s="7">
        <f t="shared" si="91"/>
        <v>0</v>
      </c>
      <c r="T1958" s="6">
        <f t="shared" si="92"/>
        <v>0</v>
      </c>
      <c r="U1958" s="25">
        <f t="shared" si="90"/>
        <v>0</v>
      </c>
    </row>
    <row r="1959" spans="1:21" ht="10.9" customHeight="1" x14ac:dyDescent="0.2">
      <c r="A1959" s="82" t="s">
        <v>3055</v>
      </c>
      <c r="B1959" s="83">
        <v>45891</v>
      </c>
      <c r="C1959" s="82" t="s">
        <v>3395</v>
      </c>
      <c r="D1959" s="82" t="s">
        <v>903</v>
      </c>
      <c r="E1959" s="82"/>
      <c r="F1959" s="82" t="s">
        <v>4634</v>
      </c>
      <c r="G1959" s="89">
        <v>1</v>
      </c>
      <c r="H1959" s="89">
        <v>1100.48</v>
      </c>
      <c r="I1959" s="85">
        <v>0</v>
      </c>
      <c r="J1959" s="85">
        <v>0</v>
      </c>
      <c r="K1959" s="85">
        <v>1100.48</v>
      </c>
      <c r="L1959" s="85">
        <v>5791.92</v>
      </c>
      <c r="M1959" s="89">
        <v>1521.8750172864911</v>
      </c>
      <c r="N1959" s="85">
        <v>0</v>
      </c>
      <c r="O1959" s="85">
        <v>0</v>
      </c>
      <c r="P1959" s="85">
        <v>1521.8750172864911</v>
      </c>
      <c r="Q1959" s="85">
        <v>8009.7578784911793</v>
      </c>
      <c r="R1959" s="82" t="s">
        <v>3399</v>
      </c>
      <c r="S1959" s="7">
        <f t="shared" si="91"/>
        <v>0</v>
      </c>
      <c r="T1959" s="6">
        <f t="shared" si="92"/>
        <v>0</v>
      </c>
      <c r="U1959" s="25">
        <f t="shared" si="90"/>
        <v>0</v>
      </c>
    </row>
    <row r="1960" spans="1:21" ht="10.9" customHeight="1" x14ac:dyDescent="0.2">
      <c r="A1960" s="82" t="s">
        <v>3094</v>
      </c>
      <c r="B1960" s="83">
        <v>45891</v>
      </c>
      <c r="C1960" s="82" t="s">
        <v>3395</v>
      </c>
      <c r="D1960" s="82" t="s">
        <v>822</v>
      </c>
      <c r="E1960" s="82"/>
      <c r="F1960" s="82" t="s">
        <v>4546</v>
      </c>
      <c r="G1960" s="89">
        <v>8</v>
      </c>
      <c r="H1960" s="89">
        <v>1405.28</v>
      </c>
      <c r="I1960" s="85">
        <v>0</v>
      </c>
      <c r="J1960" s="85">
        <v>0</v>
      </c>
      <c r="K1960" s="85">
        <v>11242.24</v>
      </c>
      <c r="L1960" s="85">
        <v>11242.24</v>
      </c>
      <c r="M1960" s="89">
        <v>1943.3888160551398</v>
      </c>
      <c r="N1960" s="85">
        <v>0</v>
      </c>
      <c r="O1960" s="85">
        <v>0</v>
      </c>
      <c r="P1960" s="85">
        <v>15547.110528441119</v>
      </c>
      <c r="Q1960" s="85">
        <v>15547.110528441119</v>
      </c>
      <c r="R1960" s="82" t="s">
        <v>3399</v>
      </c>
      <c r="S1960" s="7">
        <f t="shared" si="91"/>
        <v>0</v>
      </c>
      <c r="T1960" s="6">
        <f t="shared" si="92"/>
        <v>0</v>
      </c>
      <c r="U1960" s="25">
        <f t="shared" si="90"/>
        <v>0</v>
      </c>
    </row>
    <row r="1961" spans="1:21" ht="10.9" customHeight="1" x14ac:dyDescent="0.2">
      <c r="A1961" s="82" t="s">
        <v>3107</v>
      </c>
      <c r="B1961" s="83">
        <v>45891</v>
      </c>
      <c r="C1961" s="82" t="s">
        <v>3395</v>
      </c>
      <c r="D1961" s="82" t="s">
        <v>796</v>
      </c>
      <c r="E1961" s="82"/>
      <c r="F1961" s="82" t="s">
        <v>4765</v>
      </c>
      <c r="G1961" s="89">
        <v>7</v>
      </c>
      <c r="H1961" s="89">
        <v>5901.7</v>
      </c>
      <c r="I1961" s="85">
        <v>0</v>
      </c>
      <c r="J1961" s="85">
        <v>0</v>
      </c>
      <c r="K1961" s="85">
        <v>41311.9</v>
      </c>
      <c r="L1961" s="85">
        <v>41311.9</v>
      </c>
      <c r="M1961" s="89">
        <v>8161.5747578508326</v>
      </c>
      <c r="N1961" s="85">
        <v>0</v>
      </c>
      <c r="O1961" s="85">
        <v>0</v>
      </c>
      <c r="P1961" s="85">
        <v>57131.02330495583</v>
      </c>
      <c r="Q1961" s="85">
        <v>57131.02330495583</v>
      </c>
      <c r="R1961" s="82" t="s">
        <v>3399</v>
      </c>
      <c r="S1961" s="7">
        <f t="shared" si="91"/>
        <v>0</v>
      </c>
      <c r="T1961" s="6">
        <f t="shared" si="92"/>
        <v>0</v>
      </c>
      <c r="U1961" s="25">
        <f t="shared" si="90"/>
        <v>0</v>
      </c>
    </row>
    <row r="1962" spans="1:21" ht="10.9" customHeight="1" x14ac:dyDescent="0.2">
      <c r="A1962" s="82" t="s">
        <v>3099</v>
      </c>
      <c r="B1962" s="83">
        <v>45891</v>
      </c>
      <c r="C1962" s="82" t="s">
        <v>3395</v>
      </c>
      <c r="D1962" s="82" t="s">
        <v>811</v>
      </c>
      <c r="E1962" s="82"/>
      <c r="F1962" s="82" t="s">
        <v>4869</v>
      </c>
      <c r="G1962" s="89">
        <v>2</v>
      </c>
      <c r="H1962" s="89">
        <v>132.13999999999999</v>
      </c>
      <c r="I1962" s="85">
        <v>0</v>
      </c>
      <c r="J1962" s="85">
        <v>13.21</v>
      </c>
      <c r="K1962" s="85">
        <v>277.49</v>
      </c>
      <c r="L1962" s="85">
        <v>277.49</v>
      </c>
      <c r="M1962" s="89">
        <v>132.13999999999999</v>
      </c>
      <c r="N1962" s="85">
        <v>0</v>
      </c>
      <c r="O1962" s="85">
        <v>13.21</v>
      </c>
      <c r="P1962" s="85">
        <v>277.49</v>
      </c>
      <c r="Q1962" s="85">
        <v>277.49</v>
      </c>
      <c r="R1962" s="82" t="s">
        <v>3399</v>
      </c>
      <c r="S1962" s="7">
        <f t="shared" si="91"/>
        <v>0</v>
      </c>
      <c r="T1962" s="6">
        <f t="shared" si="92"/>
        <v>0</v>
      </c>
      <c r="U1962" s="25">
        <f t="shared" si="90"/>
        <v>0</v>
      </c>
    </row>
    <row r="1963" spans="1:21" ht="10.9" customHeight="1" x14ac:dyDescent="0.2">
      <c r="A1963" s="82" t="s">
        <v>2852</v>
      </c>
      <c r="B1963" s="83">
        <v>45891</v>
      </c>
      <c r="C1963" s="82" t="s">
        <v>3395</v>
      </c>
      <c r="D1963" s="82" t="s">
        <v>1248</v>
      </c>
      <c r="E1963" s="82"/>
      <c r="F1963" s="82" t="s">
        <v>4690</v>
      </c>
      <c r="G1963" s="89">
        <v>2</v>
      </c>
      <c r="H1963" s="89">
        <v>3919.25</v>
      </c>
      <c r="I1963" s="85">
        <v>0</v>
      </c>
      <c r="J1963" s="85">
        <v>391.93</v>
      </c>
      <c r="K1963" s="85">
        <v>8230.43</v>
      </c>
      <c r="L1963" s="85">
        <v>18951.39</v>
      </c>
      <c r="M1963" s="89">
        <v>3919.25</v>
      </c>
      <c r="N1963" s="85">
        <v>0</v>
      </c>
      <c r="O1963" s="85">
        <v>391.93</v>
      </c>
      <c r="P1963" s="85">
        <v>8230.43</v>
      </c>
      <c r="Q1963" s="85">
        <v>18951.39</v>
      </c>
      <c r="R1963" s="82" t="s">
        <v>3399</v>
      </c>
      <c r="S1963" s="7">
        <f t="shared" si="91"/>
        <v>0</v>
      </c>
      <c r="T1963" s="6">
        <f t="shared" si="92"/>
        <v>0</v>
      </c>
      <c r="U1963" s="25">
        <f t="shared" si="90"/>
        <v>0</v>
      </c>
    </row>
    <row r="1964" spans="1:21" ht="10.9" customHeight="1" x14ac:dyDescent="0.2">
      <c r="A1964" s="82" t="s">
        <v>2852</v>
      </c>
      <c r="B1964" s="83">
        <v>45891</v>
      </c>
      <c r="C1964" s="82" t="s">
        <v>3395</v>
      </c>
      <c r="D1964" s="82" t="s">
        <v>1248</v>
      </c>
      <c r="E1964" s="82"/>
      <c r="F1964" s="82" t="s">
        <v>4689</v>
      </c>
      <c r="G1964" s="89">
        <v>2</v>
      </c>
      <c r="H1964" s="89">
        <v>5105.22</v>
      </c>
      <c r="I1964" s="85">
        <v>0</v>
      </c>
      <c r="J1964" s="85">
        <v>510.52</v>
      </c>
      <c r="K1964" s="85">
        <v>10720.96</v>
      </c>
      <c r="L1964" s="85">
        <v>18951.39</v>
      </c>
      <c r="M1964" s="89">
        <v>5105.22</v>
      </c>
      <c r="N1964" s="85">
        <v>0</v>
      </c>
      <c r="O1964" s="85">
        <v>510.52</v>
      </c>
      <c r="P1964" s="85">
        <v>10720.96</v>
      </c>
      <c r="Q1964" s="85">
        <v>18951.39</v>
      </c>
      <c r="R1964" s="82" t="s">
        <v>3399</v>
      </c>
      <c r="S1964" s="7">
        <f t="shared" si="91"/>
        <v>0</v>
      </c>
      <c r="T1964" s="6">
        <f t="shared" si="92"/>
        <v>0</v>
      </c>
      <c r="U1964" s="25">
        <f t="shared" si="90"/>
        <v>0</v>
      </c>
    </row>
    <row r="1965" spans="1:21" ht="10.9" customHeight="1" x14ac:dyDescent="0.2">
      <c r="A1965" s="82" t="s">
        <v>3113</v>
      </c>
      <c r="B1965" s="83">
        <v>45894</v>
      </c>
      <c r="C1965" s="82" t="s">
        <v>3395</v>
      </c>
      <c r="D1965" s="82" t="s">
        <v>788</v>
      </c>
      <c r="E1965" s="82"/>
      <c r="F1965" s="82" t="s">
        <v>4685</v>
      </c>
      <c r="G1965" s="89">
        <v>3</v>
      </c>
      <c r="H1965" s="89">
        <v>889.26</v>
      </c>
      <c r="I1965" s="85">
        <v>0</v>
      </c>
      <c r="J1965" s="85">
        <v>0</v>
      </c>
      <c r="K1965" s="85">
        <v>2667.78</v>
      </c>
      <c r="L1965" s="85">
        <v>3257.78</v>
      </c>
      <c r="M1965" s="89">
        <v>1231.9094555000659</v>
      </c>
      <c r="N1965" s="85">
        <v>0</v>
      </c>
      <c r="O1965" s="85">
        <v>0</v>
      </c>
      <c r="P1965" s="85">
        <v>3695.7283665001974</v>
      </c>
      <c r="Q1965" s="85">
        <v>4513.0670286968989</v>
      </c>
      <c r="R1965" s="82" t="s">
        <v>3399</v>
      </c>
      <c r="S1965" s="7">
        <f t="shared" si="91"/>
        <v>0</v>
      </c>
      <c r="T1965" s="6">
        <f t="shared" si="92"/>
        <v>0</v>
      </c>
      <c r="U1965" s="25">
        <f t="shared" si="90"/>
        <v>0</v>
      </c>
    </row>
    <row r="1966" spans="1:21" ht="10.9" customHeight="1" x14ac:dyDescent="0.2">
      <c r="A1966" s="82" t="s">
        <v>3113</v>
      </c>
      <c r="B1966" s="83">
        <v>45894</v>
      </c>
      <c r="C1966" s="82" t="s">
        <v>3395</v>
      </c>
      <c r="D1966" s="82" t="s">
        <v>788</v>
      </c>
      <c r="E1966" s="82"/>
      <c r="F1966" s="82" t="s">
        <v>4393</v>
      </c>
      <c r="G1966" s="89">
        <v>1</v>
      </c>
      <c r="H1966" s="89">
        <v>590</v>
      </c>
      <c r="I1966" s="85">
        <v>0</v>
      </c>
      <c r="J1966" s="85">
        <v>0</v>
      </c>
      <c r="K1966" s="85">
        <v>590</v>
      </c>
      <c r="L1966" s="85">
        <v>3257.78</v>
      </c>
      <c r="M1966" s="89">
        <v>817.33866219670153</v>
      </c>
      <c r="N1966" s="85">
        <v>0</v>
      </c>
      <c r="O1966" s="85">
        <v>0</v>
      </c>
      <c r="P1966" s="85">
        <v>817.33866219670153</v>
      </c>
      <c r="Q1966" s="85">
        <v>4513.0670286968989</v>
      </c>
      <c r="R1966" s="82" t="s">
        <v>3399</v>
      </c>
      <c r="S1966" s="7" t="str">
        <f t="shared" si="91"/>
        <v>INV13339</v>
      </c>
      <c r="T1966" s="6">
        <f t="shared" si="92"/>
        <v>1</v>
      </c>
      <c r="U1966" s="25">
        <f t="shared" si="90"/>
        <v>590</v>
      </c>
    </row>
    <row r="1967" spans="1:21" ht="10.9" customHeight="1" x14ac:dyDescent="0.2">
      <c r="A1967" s="82" t="s">
        <v>2823</v>
      </c>
      <c r="B1967" s="83">
        <v>45894</v>
      </c>
      <c r="C1967" s="82" t="s">
        <v>3395</v>
      </c>
      <c r="D1967" s="82" t="s">
        <v>3480</v>
      </c>
      <c r="E1967" s="82"/>
      <c r="F1967" s="82" t="s">
        <v>4955</v>
      </c>
      <c r="G1967" s="89">
        <v>1</v>
      </c>
      <c r="H1967" s="89">
        <v>9517.64</v>
      </c>
      <c r="I1967" s="85">
        <v>0</v>
      </c>
      <c r="J1967" s="85">
        <v>0</v>
      </c>
      <c r="K1967" s="85">
        <v>9517.64</v>
      </c>
      <c r="L1967" s="85">
        <v>10160.64</v>
      </c>
      <c r="M1967" s="89">
        <v>13181.651355816946</v>
      </c>
      <c r="N1967" s="85">
        <v>0</v>
      </c>
      <c r="O1967" s="85">
        <v>0</v>
      </c>
      <c r="P1967" s="85">
        <v>13181.651355816946</v>
      </c>
      <c r="Q1967" s="85">
        <v>14072.187436377913</v>
      </c>
      <c r="R1967" s="82" t="s">
        <v>3399</v>
      </c>
      <c r="S1967" s="7">
        <f t="shared" si="91"/>
        <v>0</v>
      </c>
      <c r="T1967" s="6">
        <f t="shared" si="92"/>
        <v>0</v>
      </c>
      <c r="U1967" s="25">
        <f t="shared" si="90"/>
        <v>0</v>
      </c>
    </row>
    <row r="1968" spans="1:21" ht="10.9" customHeight="1" x14ac:dyDescent="0.2">
      <c r="A1968" s="82" t="s">
        <v>2823</v>
      </c>
      <c r="B1968" s="83">
        <v>45894</v>
      </c>
      <c r="C1968" s="82" t="s">
        <v>3395</v>
      </c>
      <c r="D1968" s="82" t="s">
        <v>3480</v>
      </c>
      <c r="E1968" s="82"/>
      <c r="F1968" s="82" t="s">
        <v>4393</v>
      </c>
      <c r="G1968" s="89">
        <v>1</v>
      </c>
      <c r="H1968" s="89">
        <v>643</v>
      </c>
      <c r="I1968" s="85">
        <v>0</v>
      </c>
      <c r="J1968" s="85">
        <v>0</v>
      </c>
      <c r="K1968" s="85">
        <v>643</v>
      </c>
      <c r="L1968" s="85">
        <v>10160.64</v>
      </c>
      <c r="M1968" s="89">
        <v>890.53608056096846</v>
      </c>
      <c r="N1968" s="85">
        <v>0</v>
      </c>
      <c r="O1968" s="85">
        <v>0</v>
      </c>
      <c r="P1968" s="85">
        <v>890.53608056096846</v>
      </c>
      <c r="Q1968" s="85">
        <v>14072.187436377913</v>
      </c>
      <c r="R1968" s="82" t="s">
        <v>3399</v>
      </c>
      <c r="S1968" s="7" t="str">
        <f t="shared" si="91"/>
        <v>INV13340</v>
      </c>
      <c r="T1968" s="6">
        <f t="shared" si="92"/>
        <v>1</v>
      </c>
      <c r="U1968" s="25">
        <f t="shared" si="90"/>
        <v>643</v>
      </c>
    </row>
    <row r="1969" spans="1:21" ht="10.9" customHeight="1" x14ac:dyDescent="0.2">
      <c r="A1969" s="82" t="s">
        <v>3063</v>
      </c>
      <c r="B1969" s="83">
        <v>45894</v>
      </c>
      <c r="C1969" s="82" t="s">
        <v>3395</v>
      </c>
      <c r="D1969" s="82" t="s">
        <v>885</v>
      </c>
      <c r="E1969" s="82"/>
      <c r="F1969" s="82" t="s">
        <v>4428</v>
      </c>
      <c r="G1969" s="89">
        <v>1</v>
      </c>
      <c r="H1969" s="89">
        <v>204.32</v>
      </c>
      <c r="I1969" s="85">
        <v>0</v>
      </c>
      <c r="J1969" s="85">
        <v>10.220000000000001</v>
      </c>
      <c r="K1969" s="85">
        <v>214.54</v>
      </c>
      <c r="L1969" s="85">
        <v>214.54</v>
      </c>
      <c r="M1969" s="89">
        <v>204.32</v>
      </c>
      <c r="N1969" s="85">
        <v>0</v>
      </c>
      <c r="O1969" s="85">
        <v>10.220000000000001</v>
      </c>
      <c r="P1969" s="85">
        <v>214.54</v>
      </c>
      <c r="Q1969" s="85">
        <v>214.54</v>
      </c>
      <c r="R1969" s="82" t="s">
        <v>3399</v>
      </c>
      <c r="S1969" s="7">
        <f t="shared" si="91"/>
        <v>0</v>
      </c>
      <c r="T1969" s="6">
        <f t="shared" si="92"/>
        <v>0</v>
      </c>
      <c r="U1969" s="25">
        <f t="shared" si="90"/>
        <v>0</v>
      </c>
    </row>
    <row r="1970" spans="1:21" ht="10.9" customHeight="1" x14ac:dyDescent="0.2">
      <c r="A1970" s="82" t="s">
        <v>3112</v>
      </c>
      <c r="B1970" s="83">
        <v>45894</v>
      </c>
      <c r="C1970" s="82" t="s">
        <v>3395</v>
      </c>
      <c r="D1970" s="82" t="s">
        <v>790</v>
      </c>
      <c r="E1970" s="82"/>
      <c r="F1970" s="82" t="s">
        <v>4586</v>
      </c>
      <c r="G1970" s="89">
        <v>1</v>
      </c>
      <c r="H1970" s="89">
        <v>569.88</v>
      </c>
      <c r="I1970" s="85">
        <v>0</v>
      </c>
      <c r="J1970" s="85">
        <v>28.49</v>
      </c>
      <c r="K1970" s="85">
        <v>598.37</v>
      </c>
      <c r="L1970" s="85">
        <v>598.37</v>
      </c>
      <c r="M1970" s="89">
        <v>569.88</v>
      </c>
      <c r="N1970" s="85">
        <v>0</v>
      </c>
      <c r="O1970" s="85">
        <v>28.49</v>
      </c>
      <c r="P1970" s="85">
        <v>598.37</v>
      </c>
      <c r="Q1970" s="85">
        <v>598.37</v>
      </c>
      <c r="R1970" s="82" t="s">
        <v>3399</v>
      </c>
      <c r="S1970" s="7">
        <f t="shared" si="91"/>
        <v>0</v>
      </c>
      <c r="T1970" s="6">
        <f t="shared" si="92"/>
        <v>0</v>
      </c>
      <c r="U1970" s="25">
        <f t="shared" si="90"/>
        <v>0</v>
      </c>
    </row>
    <row r="1971" spans="1:21" ht="10.9" customHeight="1" x14ac:dyDescent="0.2">
      <c r="A1971" s="82" t="s">
        <v>3102</v>
      </c>
      <c r="B1971" s="83">
        <v>45894</v>
      </c>
      <c r="C1971" s="82" t="s">
        <v>3395</v>
      </c>
      <c r="D1971" s="82" t="s">
        <v>805</v>
      </c>
      <c r="E1971" s="82"/>
      <c r="F1971" s="82" t="s">
        <v>4449</v>
      </c>
      <c r="G1971" s="89">
        <v>1</v>
      </c>
      <c r="H1971" s="89">
        <v>1388</v>
      </c>
      <c r="I1971" s="85">
        <v>0</v>
      </c>
      <c r="J1971" s="85">
        <v>69.400000000000006</v>
      </c>
      <c r="K1971" s="85">
        <v>1457.4</v>
      </c>
      <c r="L1971" s="85">
        <v>1457.4</v>
      </c>
      <c r="M1971" s="89">
        <v>1388</v>
      </c>
      <c r="N1971" s="85">
        <v>0</v>
      </c>
      <c r="O1971" s="85">
        <v>69.400000000000006</v>
      </c>
      <c r="P1971" s="85">
        <v>1457.4</v>
      </c>
      <c r="Q1971" s="85">
        <v>1457.4</v>
      </c>
      <c r="R1971" s="82" t="s">
        <v>3399</v>
      </c>
      <c r="S1971" s="7">
        <f t="shared" si="91"/>
        <v>0</v>
      </c>
      <c r="T1971" s="6">
        <f t="shared" si="92"/>
        <v>0</v>
      </c>
      <c r="U1971" s="25">
        <f t="shared" si="90"/>
        <v>0</v>
      </c>
    </row>
    <row r="1972" spans="1:21" ht="10.9" customHeight="1" x14ac:dyDescent="0.2">
      <c r="A1972" s="82" t="s">
        <v>3097</v>
      </c>
      <c r="B1972" s="83">
        <v>45894</v>
      </c>
      <c r="C1972" s="82" t="s">
        <v>3395</v>
      </c>
      <c r="D1972" s="82" t="s">
        <v>815</v>
      </c>
      <c r="E1972" s="82"/>
      <c r="F1972" s="82" t="s">
        <v>4956</v>
      </c>
      <c r="G1972" s="89">
        <v>4</v>
      </c>
      <c r="H1972" s="89">
        <v>40</v>
      </c>
      <c r="I1972" s="85">
        <v>0</v>
      </c>
      <c r="J1972" s="85">
        <v>24</v>
      </c>
      <c r="K1972" s="85">
        <v>184</v>
      </c>
      <c r="L1972" s="85">
        <v>184</v>
      </c>
      <c r="M1972" s="89">
        <v>40</v>
      </c>
      <c r="N1972" s="85">
        <v>0</v>
      </c>
      <c r="O1972" s="85">
        <v>24</v>
      </c>
      <c r="P1972" s="85">
        <v>184</v>
      </c>
      <c r="Q1972" s="85">
        <v>184</v>
      </c>
      <c r="R1972" s="82" t="s">
        <v>3399</v>
      </c>
      <c r="S1972" s="7">
        <f t="shared" si="91"/>
        <v>0</v>
      </c>
      <c r="T1972" s="6">
        <f t="shared" si="92"/>
        <v>0</v>
      </c>
      <c r="U1972" s="25">
        <f t="shared" si="90"/>
        <v>0</v>
      </c>
    </row>
    <row r="1973" spans="1:21" ht="10.9" customHeight="1" x14ac:dyDescent="0.2">
      <c r="A1973" s="82" t="s">
        <v>3116</v>
      </c>
      <c r="B1973" s="83">
        <v>45895</v>
      </c>
      <c r="C1973" s="82" t="s">
        <v>3395</v>
      </c>
      <c r="D1973" s="82" t="s">
        <v>780</v>
      </c>
      <c r="E1973" s="82"/>
      <c r="F1973" s="82" t="s">
        <v>4954</v>
      </c>
      <c r="G1973" s="89">
        <v>4</v>
      </c>
      <c r="H1973" s="89">
        <v>28.49</v>
      </c>
      <c r="I1973" s="85">
        <v>0</v>
      </c>
      <c r="J1973" s="85">
        <v>5.7</v>
      </c>
      <c r="K1973" s="85">
        <v>119.66</v>
      </c>
      <c r="L1973" s="85">
        <v>119.66</v>
      </c>
      <c r="M1973" s="89">
        <v>28.49</v>
      </c>
      <c r="N1973" s="85">
        <v>0</v>
      </c>
      <c r="O1973" s="85">
        <v>5.7</v>
      </c>
      <c r="P1973" s="85">
        <v>119.66</v>
      </c>
      <c r="Q1973" s="85">
        <v>119.66</v>
      </c>
      <c r="R1973" s="82" t="s">
        <v>3399</v>
      </c>
      <c r="S1973" s="7">
        <f t="shared" si="91"/>
        <v>0</v>
      </c>
      <c r="T1973" s="6">
        <f t="shared" si="92"/>
        <v>0</v>
      </c>
      <c r="U1973" s="25">
        <f t="shared" si="90"/>
        <v>0</v>
      </c>
    </row>
    <row r="1974" spans="1:21" ht="10.9" customHeight="1" x14ac:dyDescent="0.2">
      <c r="A1974" s="82" t="s">
        <v>3117</v>
      </c>
      <c r="B1974" s="83">
        <v>45895</v>
      </c>
      <c r="C1974" s="82" t="s">
        <v>3395</v>
      </c>
      <c r="D1974" s="82" t="s">
        <v>778</v>
      </c>
      <c r="E1974" s="82"/>
      <c r="F1974" s="82" t="s">
        <v>4740</v>
      </c>
      <c r="G1974" s="89">
        <v>2</v>
      </c>
      <c r="H1974" s="89">
        <v>150.88</v>
      </c>
      <c r="I1974" s="85">
        <v>0</v>
      </c>
      <c r="J1974" s="85">
        <v>15.09</v>
      </c>
      <c r="K1974" s="85">
        <v>316.85000000000002</v>
      </c>
      <c r="L1974" s="85">
        <v>662.17</v>
      </c>
      <c r="M1974" s="89">
        <v>150.88</v>
      </c>
      <c r="N1974" s="85">
        <v>0</v>
      </c>
      <c r="O1974" s="85">
        <v>15.09</v>
      </c>
      <c r="P1974" s="85">
        <v>316.85000000000002</v>
      </c>
      <c r="Q1974" s="85">
        <v>662.17</v>
      </c>
      <c r="R1974" s="82" t="s">
        <v>3396</v>
      </c>
      <c r="S1974" s="7">
        <f t="shared" si="91"/>
        <v>0</v>
      </c>
      <c r="T1974" s="6">
        <f t="shared" si="92"/>
        <v>0</v>
      </c>
      <c r="U1974" s="25">
        <f t="shared" si="90"/>
        <v>0</v>
      </c>
    </row>
    <row r="1975" spans="1:21" ht="10.9" customHeight="1" x14ac:dyDescent="0.2">
      <c r="A1975" s="82" t="s">
        <v>3117</v>
      </c>
      <c r="B1975" s="83">
        <v>45895</v>
      </c>
      <c r="C1975" s="82" t="s">
        <v>3395</v>
      </c>
      <c r="D1975" s="82" t="s">
        <v>778</v>
      </c>
      <c r="E1975" s="82"/>
      <c r="F1975" s="82" t="s">
        <v>4739</v>
      </c>
      <c r="G1975" s="89">
        <v>2</v>
      </c>
      <c r="H1975" s="89">
        <v>164.44</v>
      </c>
      <c r="I1975" s="85">
        <v>0</v>
      </c>
      <c r="J1975" s="85">
        <v>16.440000000000001</v>
      </c>
      <c r="K1975" s="85">
        <v>345.32</v>
      </c>
      <c r="L1975" s="85">
        <v>662.17</v>
      </c>
      <c r="M1975" s="89">
        <v>164.44</v>
      </c>
      <c r="N1975" s="85">
        <v>0</v>
      </c>
      <c r="O1975" s="85">
        <v>16.440000000000001</v>
      </c>
      <c r="P1975" s="85">
        <v>345.32</v>
      </c>
      <c r="Q1975" s="85">
        <v>662.17</v>
      </c>
      <c r="R1975" s="82" t="s">
        <v>3396</v>
      </c>
      <c r="S1975" s="7">
        <f t="shared" si="91"/>
        <v>0</v>
      </c>
      <c r="T1975" s="6">
        <f t="shared" si="92"/>
        <v>0</v>
      </c>
      <c r="U1975" s="25">
        <f t="shared" si="90"/>
        <v>0</v>
      </c>
    </row>
    <row r="1976" spans="1:21" ht="10.9" customHeight="1" x14ac:dyDescent="0.2">
      <c r="A1976" s="82" t="s">
        <v>3479</v>
      </c>
      <c r="B1976" s="83">
        <v>45896</v>
      </c>
      <c r="C1976" s="82" t="s">
        <v>3395</v>
      </c>
      <c r="D1976" s="82" t="s">
        <v>3478</v>
      </c>
      <c r="E1976" s="82"/>
      <c r="F1976" s="82" t="s">
        <v>4928</v>
      </c>
      <c r="G1976" s="89">
        <v>1</v>
      </c>
      <c r="H1976" s="89">
        <v>13000</v>
      </c>
      <c r="I1976" s="85">
        <v>13000</v>
      </c>
      <c r="J1976" s="85">
        <v>0</v>
      </c>
      <c r="K1976" s="85">
        <v>0</v>
      </c>
      <c r="L1976" s="85">
        <v>0</v>
      </c>
      <c r="M1976" s="89">
        <v>17905.152276433513</v>
      </c>
      <c r="N1976" s="85">
        <v>17905.152276433513</v>
      </c>
      <c r="O1976" s="85">
        <v>0</v>
      </c>
      <c r="P1976" s="85">
        <v>0</v>
      </c>
      <c r="Q1976" s="85">
        <v>0</v>
      </c>
      <c r="R1976" s="82" t="s">
        <v>3399</v>
      </c>
      <c r="S1976" s="7">
        <f t="shared" si="91"/>
        <v>0</v>
      </c>
      <c r="T1976" s="6">
        <f t="shared" si="92"/>
        <v>0</v>
      </c>
      <c r="U1976" s="25">
        <f t="shared" si="90"/>
        <v>0</v>
      </c>
    </row>
    <row r="1977" spans="1:21" ht="10.9" customHeight="1" x14ac:dyDescent="0.2">
      <c r="A1977" s="82" t="s">
        <v>2850</v>
      </c>
      <c r="B1977" s="83">
        <v>45896</v>
      </c>
      <c r="C1977" s="82" t="s">
        <v>3395</v>
      </c>
      <c r="D1977" s="82" t="s">
        <v>3477</v>
      </c>
      <c r="E1977" s="82"/>
      <c r="F1977" s="82" t="s">
        <v>4953</v>
      </c>
      <c r="G1977" s="89">
        <v>10</v>
      </c>
      <c r="H1977" s="89">
        <v>268</v>
      </c>
      <c r="I1977" s="85">
        <v>0</v>
      </c>
      <c r="J1977" s="85">
        <v>0</v>
      </c>
      <c r="K1977" s="85">
        <v>2680</v>
      </c>
      <c r="L1977" s="85">
        <v>2680</v>
      </c>
      <c r="M1977" s="89">
        <v>369.12160077570627</v>
      </c>
      <c r="N1977" s="85">
        <v>0</v>
      </c>
      <c r="O1977" s="85">
        <v>0</v>
      </c>
      <c r="P1977" s="85">
        <v>3691.2160077570629</v>
      </c>
      <c r="Q1977" s="85">
        <v>3691.2160077570629</v>
      </c>
      <c r="R1977" s="82" t="s">
        <v>3396</v>
      </c>
      <c r="S1977" s="7">
        <f t="shared" si="91"/>
        <v>0</v>
      </c>
      <c r="T1977" s="6">
        <f t="shared" si="92"/>
        <v>0</v>
      </c>
      <c r="U1977" s="25">
        <f t="shared" si="90"/>
        <v>0</v>
      </c>
    </row>
    <row r="1978" spans="1:21" ht="10.9" customHeight="1" x14ac:dyDescent="0.2">
      <c r="A1978" s="82" t="s">
        <v>2754</v>
      </c>
      <c r="B1978" s="83">
        <v>45896</v>
      </c>
      <c r="C1978" s="82" t="s">
        <v>3395</v>
      </c>
      <c r="D1978" s="82" t="s">
        <v>3476</v>
      </c>
      <c r="E1978" s="82"/>
      <c r="F1978" s="82" t="s">
        <v>4952</v>
      </c>
      <c r="G1978" s="89">
        <v>1</v>
      </c>
      <c r="H1978" s="89">
        <v>1010</v>
      </c>
      <c r="I1978" s="85">
        <v>0</v>
      </c>
      <c r="J1978" s="85">
        <v>0</v>
      </c>
      <c r="K1978" s="85">
        <v>1010</v>
      </c>
      <c r="L1978" s="85">
        <v>12168</v>
      </c>
      <c r="M1978" s="89">
        <v>1391.0925999382962</v>
      </c>
      <c r="N1978" s="85">
        <v>0</v>
      </c>
      <c r="O1978" s="85">
        <v>0</v>
      </c>
      <c r="P1978" s="85">
        <v>1391.0925999382962</v>
      </c>
      <c r="Q1978" s="85">
        <v>16759.222530741768</v>
      </c>
      <c r="R1978" s="82" t="s">
        <v>3396</v>
      </c>
      <c r="S1978" s="7">
        <f t="shared" si="91"/>
        <v>0</v>
      </c>
      <c r="T1978" s="6">
        <f t="shared" si="92"/>
        <v>0</v>
      </c>
      <c r="U1978" s="25">
        <f t="shared" si="90"/>
        <v>0</v>
      </c>
    </row>
    <row r="1979" spans="1:21" ht="10.9" customHeight="1" x14ac:dyDescent="0.2">
      <c r="A1979" s="82" t="s">
        <v>2754</v>
      </c>
      <c r="B1979" s="83">
        <v>45896</v>
      </c>
      <c r="C1979" s="82" t="s">
        <v>3395</v>
      </c>
      <c r="D1979" s="82" t="s">
        <v>3476</v>
      </c>
      <c r="E1979" s="82"/>
      <c r="F1979" s="82" t="s">
        <v>4951</v>
      </c>
      <c r="G1979" s="89">
        <v>2</v>
      </c>
      <c r="H1979" s="89">
        <v>18</v>
      </c>
      <c r="I1979" s="85">
        <v>0</v>
      </c>
      <c r="J1979" s="85">
        <v>0</v>
      </c>
      <c r="K1979" s="85">
        <v>36</v>
      </c>
      <c r="L1979" s="85">
        <v>12168</v>
      </c>
      <c r="M1979" s="89">
        <v>24.791749305831019</v>
      </c>
      <c r="N1979" s="85">
        <v>0</v>
      </c>
      <c r="O1979" s="85">
        <v>0</v>
      </c>
      <c r="P1979" s="85">
        <v>49.583498611662037</v>
      </c>
      <c r="Q1979" s="85">
        <v>16759.222530741768</v>
      </c>
      <c r="R1979" s="82" t="s">
        <v>3396</v>
      </c>
      <c r="S1979" s="7">
        <f t="shared" si="91"/>
        <v>0</v>
      </c>
      <c r="T1979" s="6">
        <f t="shared" si="92"/>
        <v>0</v>
      </c>
      <c r="U1979" s="25">
        <f t="shared" si="90"/>
        <v>0</v>
      </c>
    </row>
    <row r="1980" spans="1:21" ht="10.9" customHeight="1" x14ac:dyDescent="0.2">
      <c r="A1980" s="82" t="s">
        <v>2754</v>
      </c>
      <c r="B1980" s="83">
        <v>45896</v>
      </c>
      <c r="C1980" s="82" t="s">
        <v>3395</v>
      </c>
      <c r="D1980" s="82" t="s">
        <v>3476</v>
      </c>
      <c r="E1980" s="82"/>
      <c r="F1980" s="82" t="s">
        <v>4950</v>
      </c>
      <c r="G1980" s="89">
        <v>1</v>
      </c>
      <c r="H1980" s="89">
        <v>75</v>
      </c>
      <c r="I1980" s="85">
        <v>0</v>
      </c>
      <c r="J1980" s="85">
        <v>0</v>
      </c>
      <c r="K1980" s="85">
        <v>75</v>
      </c>
      <c r="L1980" s="85">
        <v>12168</v>
      </c>
      <c r="M1980" s="89">
        <v>103.29895544096259</v>
      </c>
      <c r="N1980" s="85">
        <v>0</v>
      </c>
      <c r="O1980" s="85">
        <v>0</v>
      </c>
      <c r="P1980" s="85">
        <v>103.29895544096259</v>
      </c>
      <c r="Q1980" s="85">
        <v>16759.222530741768</v>
      </c>
      <c r="R1980" s="82" t="s">
        <v>3396</v>
      </c>
      <c r="S1980" s="7">
        <f t="shared" si="91"/>
        <v>0</v>
      </c>
      <c r="T1980" s="6">
        <f t="shared" si="92"/>
        <v>0</v>
      </c>
      <c r="U1980" s="25">
        <f t="shared" si="90"/>
        <v>0</v>
      </c>
    </row>
    <row r="1981" spans="1:21" ht="10.9" customHeight="1" x14ac:dyDescent="0.2">
      <c r="A1981" s="82" t="s">
        <v>2754</v>
      </c>
      <c r="B1981" s="83">
        <v>45896</v>
      </c>
      <c r="C1981" s="82" t="s">
        <v>3395</v>
      </c>
      <c r="D1981" s="82" t="s">
        <v>3476</v>
      </c>
      <c r="E1981" s="82"/>
      <c r="F1981" s="82" t="s">
        <v>4949</v>
      </c>
      <c r="G1981" s="89">
        <v>2</v>
      </c>
      <c r="H1981" s="89">
        <v>15</v>
      </c>
      <c r="I1981" s="85">
        <v>0</v>
      </c>
      <c r="J1981" s="85">
        <v>0</v>
      </c>
      <c r="K1981" s="85">
        <v>30</v>
      </c>
      <c r="L1981" s="85">
        <v>12168</v>
      </c>
      <c r="M1981" s="89">
        <v>20.659791088192517</v>
      </c>
      <c r="N1981" s="85">
        <v>0</v>
      </c>
      <c r="O1981" s="85">
        <v>0</v>
      </c>
      <c r="P1981" s="85">
        <v>41.319582176385033</v>
      </c>
      <c r="Q1981" s="85">
        <v>16759.222530741768</v>
      </c>
      <c r="R1981" s="82" t="s">
        <v>3396</v>
      </c>
      <c r="S1981" s="7">
        <f t="shared" si="91"/>
        <v>0</v>
      </c>
      <c r="T1981" s="6">
        <f t="shared" si="92"/>
        <v>0</v>
      </c>
      <c r="U1981" s="25">
        <f t="shared" si="90"/>
        <v>0</v>
      </c>
    </row>
    <row r="1982" spans="1:21" ht="10.9" customHeight="1" x14ac:dyDescent="0.2">
      <c r="A1982" s="82" t="s">
        <v>2754</v>
      </c>
      <c r="B1982" s="83">
        <v>45896</v>
      </c>
      <c r="C1982" s="82" t="s">
        <v>3395</v>
      </c>
      <c r="D1982" s="82" t="s">
        <v>3476</v>
      </c>
      <c r="E1982" s="82"/>
      <c r="F1982" s="82" t="s">
        <v>4948</v>
      </c>
      <c r="G1982" s="89">
        <v>2</v>
      </c>
      <c r="H1982" s="89">
        <v>75</v>
      </c>
      <c r="I1982" s="85">
        <v>0</v>
      </c>
      <c r="J1982" s="85">
        <v>0</v>
      </c>
      <c r="K1982" s="85">
        <v>150</v>
      </c>
      <c r="L1982" s="85">
        <v>12168</v>
      </c>
      <c r="M1982" s="89">
        <v>103.29895544096259</v>
      </c>
      <c r="N1982" s="85">
        <v>0</v>
      </c>
      <c r="O1982" s="85">
        <v>0</v>
      </c>
      <c r="P1982" s="85">
        <v>206.59791088192517</v>
      </c>
      <c r="Q1982" s="85">
        <v>16759.222530741768</v>
      </c>
      <c r="R1982" s="82" t="s">
        <v>3396</v>
      </c>
      <c r="S1982" s="7">
        <f t="shared" si="91"/>
        <v>0</v>
      </c>
      <c r="T1982" s="6">
        <f t="shared" si="92"/>
        <v>0</v>
      </c>
      <c r="U1982" s="25">
        <f t="shared" si="90"/>
        <v>0</v>
      </c>
    </row>
    <row r="1983" spans="1:21" ht="10.9" customHeight="1" x14ac:dyDescent="0.2">
      <c r="A1983" s="82" t="s">
        <v>2754</v>
      </c>
      <c r="B1983" s="83">
        <v>45896</v>
      </c>
      <c r="C1983" s="82" t="s">
        <v>3395</v>
      </c>
      <c r="D1983" s="82" t="s">
        <v>3476</v>
      </c>
      <c r="E1983" s="82"/>
      <c r="F1983" s="82" t="s">
        <v>4947</v>
      </c>
      <c r="G1983" s="89">
        <v>2</v>
      </c>
      <c r="H1983" s="89">
        <v>755</v>
      </c>
      <c r="I1983" s="85">
        <v>0</v>
      </c>
      <c r="J1983" s="85">
        <v>0</v>
      </c>
      <c r="K1983" s="85">
        <v>1510</v>
      </c>
      <c r="L1983" s="85">
        <v>12168</v>
      </c>
      <c r="M1983" s="89">
        <v>1039.8761514390233</v>
      </c>
      <c r="N1983" s="85">
        <v>0</v>
      </c>
      <c r="O1983" s="85">
        <v>0</v>
      </c>
      <c r="P1983" s="85">
        <v>2079.7523028780465</v>
      </c>
      <c r="Q1983" s="85">
        <v>16759.222530741768</v>
      </c>
      <c r="R1983" s="82" t="s">
        <v>3396</v>
      </c>
      <c r="S1983" s="7">
        <f t="shared" si="91"/>
        <v>0</v>
      </c>
      <c r="T1983" s="6">
        <f t="shared" si="92"/>
        <v>0</v>
      </c>
      <c r="U1983" s="25">
        <f t="shared" si="90"/>
        <v>0</v>
      </c>
    </row>
    <row r="1984" spans="1:21" ht="10.9" customHeight="1" x14ac:dyDescent="0.2">
      <c r="A1984" s="82" t="s">
        <v>2754</v>
      </c>
      <c r="B1984" s="83">
        <v>45896</v>
      </c>
      <c r="C1984" s="82" t="s">
        <v>3395</v>
      </c>
      <c r="D1984" s="82" t="s">
        <v>3476</v>
      </c>
      <c r="E1984" s="82"/>
      <c r="F1984" s="82" t="s">
        <v>4946</v>
      </c>
      <c r="G1984" s="89">
        <v>6</v>
      </c>
      <c r="H1984" s="89">
        <v>15</v>
      </c>
      <c r="I1984" s="85">
        <v>0</v>
      </c>
      <c r="J1984" s="85">
        <v>0</v>
      </c>
      <c r="K1984" s="85">
        <v>90</v>
      </c>
      <c r="L1984" s="85">
        <v>12168</v>
      </c>
      <c r="M1984" s="89">
        <v>20.659791088192517</v>
      </c>
      <c r="N1984" s="85">
        <v>0</v>
      </c>
      <c r="O1984" s="85">
        <v>0</v>
      </c>
      <c r="P1984" s="85">
        <v>123.95874652915509</v>
      </c>
      <c r="Q1984" s="85">
        <v>16759.222530741768</v>
      </c>
      <c r="R1984" s="82" t="s">
        <v>3396</v>
      </c>
      <c r="S1984" s="7">
        <f t="shared" si="91"/>
        <v>0</v>
      </c>
      <c r="T1984" s="6">
        <f t="shared" si="92"/>
        <v>0</v>
      </c>
      <c r="U1984" s="25">
        <f t="shared" si="90"/>
        <v>0</v>
      </c>
    </row>
    <row r="1985" spans="1:21" ht="10.9" customHeight="1" x14ac:dyDescent="0.2">
      <c r="A1985" s="82" t="s">
        <v>2754</v>
      </c>
      <c r="B1985" s="83">
        <v>45896</v>
      </c>
      <c r="C1985" s="82" t="s">
        <v>3395</v>
      </c>
      <c r="D1985" s="82" t="s">
        <v>3476</v>
      </c>
      <c r="E1985" s="82"/>
      <c r="F1985" s="82" t="s">
        <v>4945</v>
      </c>
      <c r="G1985" s="89">
        <v>1</v>
      </c>
      <c r="H1985" s="89">
        <v>380</v>
      </c>
      <c r="I1985" s="85">
        <v>0</v>
      </c>
      <c r="J1985" s="85">
        <v>0</v>
      </c>
      <c r="K1985" s="85">
        <v>380</v>
      </c>
      <c r="L1985" s="85">
        <v>12168</v>
      </c>
      <c r="M1985" s="89">
        <v>523.3813742342104</v>
      </c>
      <c r="N1985" s="85">
        <v>0</v>
      </c>
      <c r="O1985" s="85">
        <v>0</v>
      </c>
      <c r="P1985" s="85">
        <v>523.3813742342104</v>
      </c>
      <c r="Q1985" s="85">
        <v>16759.222530741768</v>
      </c>
      <c r="R1985" s="82" t="s">
        <v>3396</v>
      </c>
      <c r="S1985" s="7">
        <f t="shared" si="91"/>
        <v>0</v>
      </c>
      <c r="T1985" s="6">
        <f t="shared" si="92"/>
        <v>0</v>
      </c>
      <c r="U1985" s="25">
        <f t="shared" si="90"/>
        <v>0</v>
      </c>
    </row>
    <row r="1986" spans="1:21" ht="10.9" customHeight="1" x14ac:dyDescent="0.2">
      <c r="A1986" s="82" t="s">
        <v>2754</v>
      </c>
      <c r="B1986" s="83">
        <v>45896</v>
      </c>
      <c r="C1986" s="82" t="s">
        <v>3395</v>
      </c>
      <c r="D1986" s="82" t="s">
        <v>3476</v>
      </c>
      <c r="E1986" s="82"/>
      <c r="F1986" s="82" t="s">
        <v>4944</v>
      </c>
      <c r="G1986" s="89">
        <v>1</v>
      </c>
      <c r="H1986" s="89">
        <v>15</v>
      </c>
      <c r="I1986" s="85">
        <v>0</v>
      </c>
      <c r="J1986" s="85">
        <v>0</v>
      </c>
      <c r="K1986" s="85">
        <v>15</v>
      </c>
      <c r="L1986" s="85">
        <v>12168</v>
      </c>
      <c r="M1986" s="89">
        <v>20.659791088192517</v>
      </c>
      <c r="N1986" s="85">
        <v>0</v>
      </c>
      <c r="O1986" s="85">
        <v>0</v>
      </c>
      <c r="P1986" s="85">
        <v>20.659791088192517</v>
      </c>
      <c r="Q1986" s="85">
        <v>16759.222530741768</v>
      </c>
      <c r="R1986" s="82" t="s">
        <v>3396</v>
      </c>
      <c r="S1986" s="7">
        <f t="shared" si="91"/>
        <v>0</v>
      </c>
      <c r="T1986" s="6">
        <f t="shared" si="92"/>
        <v>0</v>
      </c>
      <c r="U1986" s="25">
        <f t="shared" ref="U1986:U2049" si="93">IF(T1986=1,K1986-J1986,0)</f>
        <v>0</v>
      </c>
    </row>
    <row r="1987" spans="1:21" ht="10.9" customHeight="1" x14ac:dyDescent="0.2">
      <c r="A1987" s="82" t="s">
        <v>2754</v>
      </c>
      <c r="B1987" s="83">
        <v>45896</v>
      </c>
      <c r="C1987" s="82" t="s">
        <v>3395</v>
      </c>
      <c r="D1987" s="82" t="s">
        <v>3476</v>
      </c>
      <c r="E1987" s="82"/>
      <c r="F1987" s="82" t="s">
        <v>4943</v>
      </c>
      <c r="G1987" s="89">
        <v>2</v>
      </c>
      <c r="H1987" s="89">
        <v>385</v>
      </c>
      <c r="I1987" s="85">
        <v>0</v>
      </c>
      <c r="J1987" s="85">
        <v>0</v>
      </c>
      <c r="K1987" s="85">
        <v>770</v>
      </c>
      <c r="L1987" s="85">
        <v>12168</v>
      </c>
      <c r="M1987" s="89">
        <v>530.26797126360793</v>
      </c>
      <c r="N1987" s="85">
        <v>0</v>
      </c>
      <c r="O1987" s="85">
        <v>0</v>
      </c>
      <c r="P1987" s="85">
        <v>1060.5359425272159</v>
      </c>
      <c r="Q1987" s="85">
        <v>16759.222530741768</v>
      </c>
      <c r="R1987" s="82" t="s">
        <v>3396</v>
      </c>
      <c r="S1987" s="7">
        <f t="shared" ref="S1987:S2050" si="94">IF(T1987=1,A1987,0)</f>
        <v>0</v>
      </c>
      <c r="T1987" s="6">
        <f t="shared" ref="T1987:T2050" si="95">IFERROR(FIND("Freight",F1987,1),0)</f>
        <v>0</v>
      </c>
      <c r="U1987" s="25">
        <f t="shared" si="93"/>
        <v>0</v>
      </c>
    </row>
    <row r="1988" spans="1:21" ht="10.9" customHeight="1" x14ac:dyDescent="0.2">
      <c r="A1988" s="82" t="s">
        <v>2754</v>
      </c>
      <c r="B1988" s="83">
        <v>45896</v>
      </c>
      <c r="C1988" s="82" t="s">
        <v>3395</v>
      </c>
      <c r="D1988" s="82" t="s">
        <v>3476</v>
      </c>
      <c r="E1988" s="82"/>
      <c r="F1988" s="82" t="s">
        <v>4942</v>
      </c>
      <c r="G1988" s="89">
        <v>2</v>
      </c>
      <c r="H1988" s="89">
        <v>480</v>
      </c>
      <c r="I1988" s="85">
        <v>0</v>
      </c>
      <c r="J1988" s="85">
        <v>0</v>
      </c>
      <c r="K1988" s="85">
        <v>960</v>
      </c>
      <c r="L1988" s="85">
        <v>12168</v>
      </c>
      <c r="M1988" s="89">
        <v>661.11331482216053</v>
      </c>
      <c r="N1988" s="85">
        <v>0</v>
      </c>
      <c r="O1988" s="85">
        <v>0</v>
      </c>
      <c r="P1988" s="85">
        <v>1322.2266296443211</v>
      </c>
      <c r="Q1988" s="85">
        <v>16759.222530741768</v>
      </c>
      <c r="R1988" s="82" t="s">
        <v>3396</v>
      </c>
      <c r="S1988" s="7">
        <f t="shared" si="94"/>
        <v>0</v>
      </c>
      <c r="T1988" s="6">
        <f t="shared" si="95"/>
        <v>0</v>
      </c>
      <c r="U1988" s="25">
        <f t="shared" si="93"/>
        <v>0</v>
      </c>
    </row>
    <row r="1989" spans="1:21" ht="10.9" customHeight="1" x14ac:dyDescent="0.2">
      <c r="A1989" s="82" t="s">
        <v>2754</v>
      </c>
      <c r="B1989" s="83">
        <v>45896</v>
      </c>
      <c r="C1989" s="82" t="s">
        <v>3395</v>
      </c>
      <c r="D1989" s="82" t="s">
        <v>3476</v>
      </c>
      <c r="E1989" s="82"/>
      <c r="F1989" s="82" t="s">
        <v>4941</v>
      </c>
      <c r="G1989" s="89">
        <v>2</v>
      </c>
      <c r="H1989" s="89">
        <v>15</v>
      </c>
      <c r="I1989" s="85">
        <v>0</v>
      </c>
      <c r="J1989" s="85">
        <v>0</v>
      </c>
      <c r="K1989" s="85">
        <v>30</v>
      </c>
      <c r="L1989" s="85">
        <v>12168</v>
      </c>
      <c r="M1989" s="89">
        <v>20.659791088192517</v>
      </c>
      <c r="N1989" s="85">
        <v>0</v>
      </c>
      <c r="O1989" s="85">
        <v>0</v>
      </c>
      <c r="P1989" s="85">
        <v>41.319582176385033</v>
      </c>
      <c r="Q1989" s="85">
        <v>16759.222530741768</v>
      </c>
      <c r="R1989" s="82" t="s">
        <v>3396</v>
      </c>
      <c r="S1989" s="7">
        <f t="shared" si="94"/>
        <v>0</v>
      </c>
      <c r="T1989" s="6">
        <f t="shared" si="95"/>
        <v>0</v>
      </c>
      <c r="U1989" s="25">
        <f t="shared" si="93"/>
        <v>0</v>
      </c>
    </row>
    <row r="1990" spans="1:21" ht="10.9" customHeight="1" x14ac:dyDescent="0.2">
      <c r="A1990" s="82" t="s">
        <v>2754</v>
      </c>
      <c r="B1990" s="83">
        <v>45896</v>
      </c>
      <c r="C1990" s="82" t="s">
        <v>3395</v>
      </c>
      <c r="D1990" s="82" t="s">
        <v>3476</v>
      </c>
      <c r="E1990" s="82"/>
      <c r="F1990" s="82" t="s">
        <v>4940</v>
      </c>
      <c r="G1990" s="89">
        <v>1</v>
      </c>
      <c r="H1990" s="89">
        <v>2720</v>
      </c>
      <c r="I1990" s="85">
        <v>0</v>
      </c>
      <c r="J1990" s="85">
        <v>0</v>
      </c>
      <c r="K1990" s="85">
        <v>2720</v>
      </c>
      <c r="L1990" s="85">
        <v>12168</v>
      </c>
      <c r="M1990" s="89">
        <v>3746.3087839922428</v>
      </c>
      <c r="N1990" s="85">
        <v>0</v>
      </c>
      <c r="O1990" s="85">
        <v>0</v>
      </c>
      <c r="P1990" s="85">
        <v>3746.3087839922428</v>
      </c>
      <c r="Q1990" s="85">
        <v>16759.222530741768</v>
      </c>
      <c r="R1990" s="82" t="s">
        <v>3396</v>
      </c>
      <c r="S1990" s="7">
        <f t="shared" si="94"/>
        <v>0</v>
      </c>
      <c r="T1990" s="6">
        <f t="shared" si="95"/>
        <v>0</v>
      </c>
      <c r="U1990" s="25">
        <f t="shared" si="93"/>
        <v>0</v>
      </c>
    </row>
    <row r="1991" spans="1:21" ht="10.9" customHeight="1" x14ac:dyDescent="0.2">
      <c r="A1991" s="82" t="s">
        <v>2754</v>
      </c>
      <c r="B1991" s="83">
        <v>45896</v>
      </c>
      <c r="C1991" s="82" t="s">
        <v>3395</v>
      </c>
      <c r="D1991" s="82" t="s">
        <v>3476</v>
      </c>
      <c r="E1991" s="82"/>
      <c r="F1991" s="82" t="s">
        <v>4939</v>
      </c>
      <c r="G1991" s="89">
        <v>1</v>
      </c>
      <c r="H1991" s="89">
        <v>2370</v>
      </c>
      <c r="I1991" s="85">
        <v>0</v>
      </c>
      <c r="J1991" s="85">
        <v>0</v>
      </c>
      <c r="K1991" s="85">
        <v>2370</v>
      </c>
      <c r="L1991" s="85">
        <v>12168</v>
      </c>
      <c r="M1991" s="89">
        <v>3264.2469919344176</v>
      </c>
      <c r="N1991" s="85">
        <v>0</v>
      </c>
      <c r="O1991" s="85">
        <v>0</v>
      </c>
      <c r="P1991" s="85">
        <v>3264.2469919344176</v>
      </c>
      <c r="Q1991" s="85">
        <v>16759.222530741768</v>
      </c>
      <c r="R1991" s="82" t="s">
        <v>3396</v>
      </c>
      <c r="S1991" s="7">
        <f t="shared" si="94"/>
        <v>0</v>
      </c>
      <c r="T1991" s="6">
        <f t="shared" si="95"/>
        <v>0</v>
      </c>
      <c r="U1991" s="25">
        <f t="shared" si="93"/>
        <v>0</v>
      </c>
    </row>
    <row r="1992" spans="1:21" ht="10.9" customHeight="1" x14ac:dyDescent="0.2">
      <c r="A1992" s="82" t="s">
        <v>2754</v>
      </c>
      <c r="B1992" s="83">
        <v>45896</v>
      </c>
      <c r="C1992" s="82" t="s">
        <v>3395</v>
      </c>
      <c r="D1992" s="82" t="s">
        <v>3476</v>
      </c>
      <c r="E1992" s="82"/>
      <c r="F1992" s="82" t="s">
        <v>4938</v>
      </c>
      <c r="G1992" s="89">
        <v>4</v>
      </c>
      <c r="H1992" s="89">
        <v>15</v>
      </c>
      <c r="I1992" s="85">
        <v>0</v>
      </c>
      <c r="J1992" s="85">
        <v>0</v>
      </c>
      <c r="K1992" s="85">
        <v>60</v>
      </c>
      <c r="L1992" s="85">
        <v>12168</v>
      </c>
      <c r="M1992" s="89">
        <v>20.659791088192517</v>
      </c>
      <c r="N1992" s="85">
        <v>0</v>
      </c>
      <c r="O1992" s="85">
        <v>0</v>
      </c>
      <c r="P1992" s="85">
        <v>82.639164352770067</v>
      </c>
      <c r="Q1992" s="85">
        <v>16759.222530741768</v>
      </c>
      <c r="R1992" s="82" t="s">
        <v>3396</v>
      </c>
      <c r="S1992" s="7">
        <f t="shared" si="94"/>
        <v>0</v>
      </c>
      <c r="T1992" s="6">
        <f t="shared" si="95"/>
        <v>0</v>
      </c>
      <c r="U1992" s="25">
        <f t="shared" si="93"/>
        <v>0</v>
      </c>
    </row>
    <row r="1993" spans="1:21" ht="10.9" customHeight="1" x14ac:dyDescent="0.2">
      <c r="A1993" s="82" t="s">
        <v>2754</v>
      </c>
      <c r="B1993" s="83">
        <v>45896</v>
      </c>
      <c r="C1993" s="82" t="s">
        <v>3395</v>
      </c>
      <c r="D1993" s="82" t="s">
        <v>3476</v>
      </c>
      <c r="E1993" s="82"/>
      <c r="F1993" s="82" t="s">
        <v>4937</v>
      </c>
      <c r="G1993" s="89">
        <v>1</v>
      </c>
      <c r="H1993" s="89">
        <v>200</v>
      </c>
      <c r="I1993" s="85">
        <v>0</v>
      </c>
      <c r="J1993" s="85">
        <v>0</v>
      </c>
      <c r="K1993" s="85">
        <v>200</v>
      </c>
      <c r="L1993" s="85">
        <v>12168</v>
      </c>
      <c r="M1993" s="89">
        <v>275.46388117590021</v>
      </c>
      <c r="N1993" s="85">
        <v>0</v>
      </c>
      <c r="O1993" s="85">
        <v>0</v>
      </c>
      <c r="P1993" s="85">
        <v>275.46388117590021</v>
      </c>
      <c r="Q1993" s="85">
        <v>16759.222530741768</v>
      </c>
      <c r="R1993" s="82" t="s">
        <v>3396</v>
      </c>
      <c r="S1993" s="7">
        <f t="shared" si="94"/>
        <v>0</v>
      </c>
      <c r="T1993" s="6">
        <f t="shared" si="95"/>
        <v>0</v>
      </c>
      <c r="U1993" s="25">
        <f t="shared" si="93"/>
        <v>0</v>
      </c>
    </row>
    <row r="1994" spans="1:21" ht="10.9" customHeight="1" x14ac:dyDescent="0.2">
      <c r="A1994" s="82" t="s">
        <v>2754</v>
      </c>
      <c r="B1994" s="83">
        <v>45896</v>
      </c>
      <c r="C1994" s="82" t="s">
        <v>3395</v>
      </c>
      <c r="D1994" s="82" t="s">
        <v>3476</v>
      </c>
      <c r="E1994" s="82"/>
      <c r="F1994" s="82" t="s">
        <v>4936</v>
      </c>
      <c r="G1994" s="89">
        <v>4</v>
      </c>
      <c r="H1994" s="89">
        <v>30</v>
      </c>
      <c r="I1994" s="85">
        <v>0</v>
      </c>
      <c r="J1994" s="85">
        <v>0</v>
      </c>
      <c r="K1994" s="85">
        <v>120</v>
      </c>
      <c r="L1994" s="85">
        <v>12168</v>
      </c>
      <c r="M1994" s="89">
        <v>41.319582176385033</v>
      </c>
      <c r="N1994" s="85">
        <v>0</v>
      </c>
      <c r="O1994" s="85">
        <v>0</v>
      </c>
      <c r="P1994" s="85">
        <v>165.27832870554013</v>
      </c>
      <c r="Q1994" s="85">
        <v>16759.222530741768</v>
      </c>
      <c r="R1994" s="82" t="s">
        <v>3396</v>
      </c>
      <c r="S1994" s="7">
        <f t="shared" si="94"/>
        <v>0</v>
      </c>
      <c r="T1994" s="6">
        <f t="shared" si="95"/>
        <v>0</v>
      </c>
      <c r="U1994" s="25">
        <f t="shared" si="93"/>
        <v>0</v>
      </c>
    </row>
    <row r="1995" spans="1:21" ht="10.9" customHeight="1" x14ac:dyDescent="0.2">
      <c r="A1995" s="82" t="s">
        <v>2754</v>
      </c>
      <c r="B1995" s="83">
        <v>45896</v>
      </c>
      <c r="C1995" s="82" t="s">
        <v>3395</v>
      </c>
      <c r="D1995" s="82" t="s">
        <v>3476</v>
      </c>
      <c r="E1995" s="82"/>
      <c r="F1995" s="82" t="s">
        <v>4935</v>
      </c>
      <c r="G1995" s="89">
        <v>1</v>
      </c>
      <c r="H1995" s="89">
        <v>760</v>
      </c>
      <c r="I1995" s="85">
        <v>0</v>
      </c>
      <c r="J1995" s="85">
        <v>0</v>
      </c>
      <c r="K1995" s="85">
        <v>760</v>
      </c>
      <c r="L1995" s="85">
        <v>12168</v>
      </c>
      <c r="M1995" s="89">
        <v>1046.7627484684208</v>
      </c>
      <c r="N1995" s="85">
        <v>0</v>
      </c>
      <c r="O1995" s="85">
        <v>0</v>
      </c>
      <c r="P1995" s="85">
        <v>1046.7627484684208</v>
      </c>
      <c r="Q1995" s="85">
        <v>16759.222530741768</v>
      </c>
      <c r="R1995" s="82" t="s">
        <v>3396</v>
      </c>
      <c r="S1995" s="7">
        <f t="shared" si="94"/>
        <v>0</v>
      </c>
      <c r="T1995" s="6">
        <f t="shared" si="95"/>
        <v>0</v>
      </c>
      <c r="U1995" s="25">
        <f t="shared" si="93"/>
        <v>0</v>
      </c>
    </row>
    <row r="1996" spans="1:21" ht="10.9" customHeight="1" x14ac:dyDescent="0.2">
      <c r="A1996" s="82" t="s">
        <v>2754</v>
      </c>
      <c r="B1996" s="83">
        <v>45896</v>
      </c>
      <c r="C1996" s="82" t="s">
        <v>3395</v>
      </c>
      <c r="D1996" s="82" t="s">
        <v>3476</v>
      </c>
      <c r="E1996" s="82"/>
      <c r="F1996" s="82" t="s">
        <v>4934</v>
      </c>
      <c r="G1996" s="89">
        <v>2</v>
      </c>
      <c r="H1996" s="89">
        <v>15</v>
      </c>
      <c r="I1996" s="85">
        <v>0</v>
      </c>
      <c r="J1996" s="85">
        <v>0</v>
      </c>
      <c r="K1996" s="85">
        <v>30</v>
      </c>
      <c r="L1996" s="85">
        <v>12168</v>
      </c>
      <c r="M1996" s="89">
        <v>20.659791088192517</v>
      </c>
      <c r="N1996" s="85">
        <v>0</v>
      </c>
      <c r="O1996" s="85">
        <v>0</v>
      </c>
      <c r="P1996" s="85">
        <v>41.319582176385033</v>
      </c>
      <c r="Q1996" s="85">
        <v>16759.222530741768</v>
      </c>
      <c r="R1996" s="82" t="s">
        <v>3396</v>
      </c>
      <c r="S1996" s="7">
        <f t="shared" si="94"/>
        <v>0</v>
      </c>
      <c r="T1996" s="6">
        <f t="shared" si="95"/>
        <v>0</v>
      </c>
      <c r="U1996" s="25">
        <f t="shared" si="93"/>
        <v>0</v>
      </c>
    </row>
    <row r="1997" spans="1:21" ht="10.9" customHeight="1" x14ac:dyDescent="0.2">
      <c r="A1997" s="82" t="s">
        <v>2754</v>
      </c>
      <c r="B1997" s="83">
        <v>45896</v>
      </c>
      <c r="C1997" s="82" t="s">
        <v>3395</v>
      </c>
      <c r="D1997" s="82" t="s">
        <v>3476</v>
      </c>
      <c r="E1997" s="82"/>
      <c r="F1997" s="82" t="s">
        <v>4933</v>
      </c>
      <c r="G1997" s="89">
        <v>2</v>
      </c>
      <c r="H1997" s="89">
        <v>20</v>
      </c>
      <c r="I1997" s="85">
        <v>0</v>
      </c>
      <c r="J1997" s="85">
        <v>0</v>
      </c>
      <c r="K1997" s="85">
        <v>40</v>
      </c>
      <c r="L1997" s="85">
        <v>12168</v>
      </c>
      <c r="M1997" s="89">
        <v>27.546388117590023</v>
      </c>
      <c r="N1997" s="85">
        <v>0</v>
      </c>
      <c r="O1997" s="85">
        <v>0</v>
      </c>
      <c r="P1997" s="85">
        <v>55.092776235180047</v>
      </c>
      <c r="Q1997" s="85">
        <v>16759.222530741768</v>
      </c>
      <c r="R1997" s="82" t="s">
        <v>3396</v>
      </c>
      <c r="S1997" s="7">
        <f t="shared" si="94"/>
        <v>0</v>
      </c>
      <c r="T1997" s="6">
        <f t="shared" si="95"/>
        <v>0</v>
      </c>
      <c r="U1997" s="25">
        <f t="shared" si="93"/>
        <v>0</v>
      </c>
    </row>
    <row r="1998" spans="1:21" ht="10.9" customHeight="1" x14ac:dyDescent="0.2">
      <c r="A1998" s="82" t="s">
        <v>2754</v>
      </c>
      <c r="B1998" s="83">
        <v>45896</v>
      </c>
      <c r="C1998" s="82" t="s">
        <v>3395</v>
      </c>
      <c r="D1998" s="82" t="s">
        <v>3476</v>
      </c>
      <c r="E1998" s="82"/>
      <c r="F1998" s="82" t="s">
        <v>4932</v>
      </c>
      <c r="G1998" s="89">
        <v>2</v>
      </c>
      <c r="H1998" s="89">
        <v>15</v>
      </c>
      <c r="I1998" s="85">
        <v>0</v>
      </c>
      <c r="J1998" s="85">
        <v>0</v>
      </c>
      <c r="K1998" s="85">
        <v>30</v>
      </c>
      <c r="L1998" s="85">
        <v>12168</v>
      </c>
      <c r="M1998" s="89">
        <v>20.659791088192517</v>
      </c>
      <c r="N1998" s="85">
        <v>0</v>
      </c>
      <c r="O1998" s="85">
        <v>0</v>
      </c>
      <c r="P1998" s="85">
        <v>41.319582176385033</v>
      </c>
      <c r="Q1998" s="85">
        <v>16759.222530741768</v>
      </c>
      <c r="R1998" s="82" t="s">
        <v>3396</v>
      </c>
      <c r="S1998" s="7">
        <f t="shared" si="94"/>
        <v>0</v>
      </c>
      <c r="T1998" s="6">
        <f t="shared" si="95"/>
        <v>0</v>
      </c>
      <c r="U1998" s="25">
        <f t="shared" si="93"/>
        <v>0</v>
      </c>
    </row>
    <row r="1999" spans="1:21" ht="10.9" customHeight="1" x14ac:dyDescent="0.2">
      <c r="A1999" s="82" t="s">
        <v>2754</v>
      </c>
      <c r="B1999" s="83">
        <v>45896</v>
      </c>
      <c r="C1999" s="82" t="s">
        <v>3395</v>
      </c>
      <c r="D1999" s="82" t="s">
        <v>3476</v>
      </c>
      <c r="E1999" s="82"/>
      <c r="F1999" s="82" t="s">
        <v>4931</v>
      </c>
      <c r="G1999" s="89">
        <v>2</v>
      </c>
      <c r="H1999" s="89">
        <v>10</v>
      </c>
      <c r="I1999" s="85">
        <v>0</v>
      </c>
      <c r="J1999" s="85">
        <v>0</v>
      </c>
      <c r="K1999" s="85">
        <v>20</v>
      </c>
      <c r="L1999" s="85">
        <v>12168</v>
      </c>
      <c r="M1999" s="89">
        <v>13.773194058795012</v>
      </c>
      <c r="N1999" s="85">
        <v>0</v>
      </c>
      <c r="O1999" s="85">
        <v>0</v>
      </c>
      <c r="P1999" s="85">
        <v>27.546388117590023</v>
      </c>
      <c r="Q1999" s="85">
        <v>16759.222530741768</v>
      </c>
      <c r="R1999" s="82" t="s">
        <v>3396</v>
      </c>
      <c r="S1999" s="7">
        <f t="shared" si="94"/>
        <v>0</v>
      </c>
      <c r="T1999" s="6">
        <f t="shared" si="95"/>
        <v>0</v>
      </c>
      <c r="U1999" s="25">
        <f t="shared" si="93"/>
        <v>0</v>
      </c>
    </row>
    <row r="2000" spans="1:21" ht="10.9" customHeight="1" x14ac:dyDescent="0.2">
      <c r="A2000" s="82" t="s">
        <v>2754</v>
      </c>
      <c r="B2000" s="83">
        <v>45896</v>
      </c>
      <c r="C2000" s="82" t="s">
        <v>3395</v>
      </c>
      <c r="D2000" s="82" t="s">
        <v>3476</v>
      </c>
      <c r="E2000" s="82"/>
      <c r="F2000" s="82" t="s">
        <v>4930</v>
      </c>
      <c r="G2000" s="89">
        <v>6</v>
      </c>
      <c r="H2000" s="89">
        <v>7</v>
      </c>
      <c r="I2000" s="85">
        <v>0</v>
      </c>
      <c r="J2000" s="85">
        <v>0</v>
      </c>
      <c r="K2000" s="85">
        <v>42</v>
      </c>
      <c r="L2000" s="85">
        <v>12168</v>
      </c>
      <c r="M2000" s="89">
        <v>9.641235841156508</v>
      </c>
      <c r="N2000" s="85">
        <v>0</v>
      </c>
      <c r="O2000" s="85">
        <v>0</v>
      </c>
      <c r="P2000" s="85">
        <v>57.847415046939048</v>
      </c>
      <c r="Q2000" s="85">
        <v>16759.222530741768</v>
      </c>
      <c r="R2000" s="82" t="s">
        <v>3396</v>
      </c>
      <c r="S2000" s="7">
        <f t="shared" si="94"/>
        <v>0</v>
      </c>
      <c r="T2000" s="6">
        <f t="shared" si="95"/>
        <v>0</v>
      </c>
      <c r="U2000" s="25">
        <f t="shared" si="93"/>
        <v>0</v>
      </c>
    </row>
    <row r="2001" spans="1:21" ht="10.9" customHeight="1" x14ac:dyDescent="0.2">
      <c r="A2001" s="82" t="s">
        <v>2754</v>
      </c>
      <c r="B2001" s="83">
        <v>45896</v>
      </c>
      <c r="C2001" s="82" t="s">
        <v>3395</v>
      </c>
      <c r="D2001" s="82" t="s">
        <v>3476</v>
      </c>
      <c r="E2001" s="82"/>
      <c r="F2001" s="82" t="s">
        <v>4929</v>
      </c>
      <c r="G2001" s="89">
        <v>2</v>
      </c>
      <c r="H2001" s="89">
        <v>360</v>
      </c>
      <c r="I2001" s="85">
        <v>0</v>
      </c>
      <c r="J2001" s="85">
        <v>0</v>
      </c>
      <c r="K2001" s="85">
        <v>720</v>
      </c>
      <c r="L2001" s="85">
        <v>12168</v>
      </c>
      <c r="M2001" s="89">
        <v>495.83498611662037</v>
      </c>
      <c r="N2001" s="85">
        <v>0</v>
      </c>
      <c r="O2001" s="85">
        <v>0</v>
      </c>
      <c r="P2001" s="85">
        <v>991.66997223324074</v>
      </c>
      <c r="Q2001" s="85">
        <v>16759.222530741768</v>
      </c>
      <c r="R2001" s="82" t="s">
        <v>3396</v>
      </c>
      <c r="S2001" s="7">
        <f t="shared" si="94"/>
        <v>0</v>
      </c>
      <c r="T2001" s="6">
        <f t="shared" si="95"/>
        <v>0</v>
      </c>
      <c r="U2001" s="25">
        <f t="shared" si="93"/>
        <v>0</v>
      </c>
    </row>
    <row r="2002" spans="1:21" ht="10.9" customHeight="1" x14ac:dyDescent="0.2">
      <c r="A2002" s="82" t="s">
        <v>3114</v>
      </c>
      <c r="B2002" s="83">
        <v>45896</v>
      </c>
      <c r="C2002" s="82" t="s">
        <v>3395</v>
      </c>
      <c r="D2002" s="82" t="s">
        <v>786</v>
      </c>
      <c r="E2002" s="82"/>
      <c r="F2002" s="82" t="s">
        <v>4806</v>
      </c>
      <c r="G2002" s="89">
        <v>2</v>
      </c>
      <c r="H2002" s="89">
        <v>53.78</v>
      </c>
      <c r="I2002" s="85">
        <v>0</v>
      </c>
      <c r="J2002" s="85">
        <v>5.38</v>
      </c>
      <c r="K2002" s="85">
        <v>112.94</v>
      </c>
      <c r="L2002" s="85">
        <v>112.94</v>
      </c>
      <c r="M2002" s="89">
        <v>53.78</v>
      </c>
      <c r="N2002" s="85">
        <v>0</v>
      </c>
      <c r="O2002" s="85">
        <v>5.38</v>
      </c>
      <c r="P2002" s="85">
        <v>112.94</v>
      </c>
      <c r="Q2002" s="85">
        <v>112.94</v>
      </c>
      <c r="R2002" s="82" t="s">
        <v>3399</v>
      </c>
      <c r="S2002" s="7">
        <f t="shared" si="94"/>
        <v>0</v>
      </c>
      <c r="T2002" s="6">
        <f t="shared" si="95"/>
        <v>0</v>
      </c>
      <c r="U2002" s="25">
        <f t="shared" si="93"/>
        <v>0</v>
      </c>
    </row>
    <row r="2003" spans="1:21" ht="10.9" customHeight="1" x14ac:dyDescent="0.2">
      <c r="A2003" s="82" t="s">
        <v>2970</v>
      </c>
      <c r="B2003" s="83">
        <v>45897</v>
      </c>
      <c r="C2003" s="82" t="s">
        <v>3395</v>
      </c>
      <c r="D2003" s="82" t="s">
        <v>3475</v>
      </c>
      <c r="E2003" s="82"/>
      <c r="F2003" s="82" t="s">
        <v>4830</v>
      </c>
      <c r="G2003" s="89">
        <v>3</v>
      </c>
      <c r="H2003" s="89">
        <v>2273.11</v>
      </c>
      <c r="I2003" s="85">
        <v>6819.33</v>
      </c>
      <c r="J2003" s="85">
        <v>0</v>
      </c>
      <c r="K2003" s="85">
        <v>0</v>
      </c>
      <c r="L2003" s="85">
        <v>0</v>
      </c>
      <c r="M2003" s="89">
        <v>3125.0481176380013</v>
      </c>
      <c r="N2003" s="85">
        <v>9375.1443529140033</v>
      </c>
      <c r="O2003" s="85">
        <v>0</v>
      </c>
      <c r="P2003" s="85">
        <v>0</v>
      </c>
      <c r="Q2003" s="85">
        <v>0</v>
      </c>
      <c r="R2003" s="82" t="s">
        <v>3399</v>
      </c>
      <c r="S2003" s="7">
        <f t="shared" si="94"/>
        <v>0</v>
      </c>
      <c r="T2003" s="6">
        <f t="shared" si="95"/>
        <v>0</v>
      </c>
      <c r="U2003" s="25">
        <f t="shared" si="93"/>
        <v>0</v>
      </c>
    </row>
    <row r="2004" spans="1:21" ht="10.9" customHeight="1" x14ac:dyDescent="0.2">
      <c r="A2004" s="82" t="s">
        <v>3121</v>
      </c>
      <c r="B2004" s="83">
        <v>45897</v>
      </c>
      <c r="C2004" s="82" t="s">
        <v>3395</v>
      </c>
      <c r="D2004" s="82" t="s">
        <v>769</v>
      </c>
      <c r="E2004" s="82"/>
      <c r="F2004" s="82" t="s">
        <v>4540</v>
      </c>
      <c r="G2004" s="89">
        <v>1</v>
      </c>
      <c r="H2004" s="89">
        <v>2414.5500000000002</v>
      </c>
      <c r="I2004" s="85">
        <v>0</v>
      </c>
      <c r="J2004" s="85">
        <v>0</v>
      </c>
      <c r="K2004" s="85">
        <v>2414.5500000000002</v>
      </c>
      <c r="L2004" s="85">
        <v>3004.55</v>
      </c>
      <c r="M2004" s="89">
        <v>3321.1420805915623</v>
      </c>
      <c r="N2004" s="85">
        <v>0</v>
      </c>
      <c r="O2004" s="85">
        <v>0</v>
      </c>
      <c r="P2004" s="85">
        <v>3321.1420805915623</v>
      </c>
      <c r="Q2004" s="85">
        <v>4132.6696230110701</v>
      </c>
      <c r="R2004" s="82" t="s">
        <v>3399</v>
      </c>
      <c r="S2004" s="7">
        <f t="shared" si="94"/>
        <v>0</v>
      </c>
      <c r="T2004" s="6">
        <f t="shared" si="95"/>
        <v>0</v>
      </c>
      <c r="U2004" s="25">
        <f t="shared" si="93"/>
        <v>0</v>
      </c>
    </row>
    <row r="2005" spans="1:21" ht="10.9" customHeight="1" x14ac:dyDescent="0.2">
      <c r="A2005" s="82" t="s">
        <v>3121</v>
      </c>
      <c r="B2005" s="83">
        <v>45897</v>
      </c>
      <c r="C2005" s="82" t="s">
        <v>3395</v>
      </c>
      <c r="D2005" s="82" t="s">
        <v>769</v>
      </c>
      <c r="E2005" s="82"/>
      <c r="F2005" s="82" t="s">
        <v>4393</v>
      </c>
      <c r="G2005" s="89">
        <v>1</v>
      </c>
      <c r="H2005" s="89">
        <v>590</v>
      </c>
      <c r="I2005" s="85">
        <v>0</v>
      </c>
      <c r="J2005" s="85">
        <v>0</v>
      </c>
      <c r="K2005" s="85">
        <v>590</v>
      </c>
      <c r="L2005" s="85">
        <v>3004.55</v>
      </c>
      <c r="M2005" s="89">
        <v>811.52754241950743</v>
      </c>
      <c r="N2005" s="85">
        <v>0</v>
      </c>
      <c r="O2005" s="85">
        <v>0</v>
      </c>
      <c r="P2005" s="85">
        <v>811.52754241950743</v>
      </c>
      <c r="Q2005" s="85">
        <v>4132.6696230110701</v>
      </c>
      <c r="R2005" s="82" t="s">
        <v>3399</v>
      </c>
      <c r="S2005" s="7" t="str">
        <f t="shared" si="94"/>
        <v>INV13353</v>
      </c>
      <c r="T2005" s="6">
        <f t="shared" si="95"/>
        <v>1</v>
      </c>
      <c r="U2005" s="25">
        <f t="shared" si="93"/>
        <v>590</v>
      </c>
    </row>
    <row r="2006" spans="1:21" ht="10.9" customHeight="1" x14ac:dyDescent="0.2">
      <c r="A2006" s="82" t="s">
        <v>3115</v>
      </c>
      <c r="B2006" s="83">
        <v>45898</v>
      </c>
      <c r="C2006" s="82" t="s">
        <v>3395</v>
      </c>
      <c r="D2006" s="82" t="s">
        <v>782</v>
      </c>
      <c r="E2006" s="82"/>
      <c r="F2006" s="82" t="s">
        <v>4647</v>
      </c>
      <c r="G2006" s="89">
        <v>1</v>
      </c>
      <c r="H2006" s="89">
        <v>898.22</v>
      </c>
      <c r="I2006" s="85">
        <v>0</v>
      </c>
      <c r="J2006" s="85">
        <v>44.91</v>
      </c>
      <c r="K2006" s="85">
        <v>943.13</v>
      </c>
      <c r="L2006" s="85">
        <v>8104.05</v>
      </c>
      <c r="M2006" s="89">
        <v>898.22</v>
      </c>
      <c r="N2006" s="85">
        <v>0</v>
      </c>
      <c r="O2006" s="85">
        <v>44.91</v>
      </c>
      <c r="P2006" s="85">
        <v>943.13</v>
      </c>
      <c r="Q2006" s="85">
        <v>8104.05</v>
      </c>
      <c r="R2006" s="82" t="s">
        <v>3399</v>
      </c>
      <c r="S2006" s="7">
        <f t="shared" si="94"/>
        <v>0</v>
      </c>
      <c r="T2006" s="6">
        <f t="shared" si="95"/>
        <v>0</v>
      </c>
      <c r="U2006" s="25">
        <f t="shared" si="93"/>
        <v>0</v>
      </c>
    </row>
    <row r="2007" spans="1:21" ht="10.9" customHeight="1" x14ac:dyDescent="0.2">
      <c r="A2007" s="82" t="s">
        <v>3115</v>
      </c>
      <c r="B2007" s="83">
        <v>45898</v>
      </c>
      <c r="C2007" s="82" t="s">
        <v>3395</v>
      </c>
      <c r="D2007" s="82" t="s">
        <v>782</v>
      </c>
      <c r="E2007" s="82"/>
      <c r="F2007" s="82" t="s">
        <v>4608</v>
      </c>
      <c r="G2007" s="89">
        <v>1</v>
      </c>
      <c r="H2007" s="89">
        <v>6819.92</v>
      </c>
      <c r="I2007" s="85">
        <v>0</v>
      </c>
      <c r="J2007" s="85">
        <v>341</v>
      </c>
      <c r="K2007" s="85">
        <v>7160.92</v>
      </c>
      <c r="L2007" s="85">
        <v>8104.05</v>
      </c>
      <c r="M2007" s="89">
        <v>6819.92</v>
      </c>
      <c r="N2007" s="85">
        <v>0</v>
      </c>
      <c r="O2007" s="85">
        <v>341</v>
      </c>
      <c r="P2007" s="85">
        <v>7160.92</v>
      </c>
      <c r="Q2007" s="85">
        <v>8104.05</v>
      </c>
      <c r="R2007" s="82" t="s">
        <v>3399</v>
      </c>
      <c r="S2007" s="7">
        <f t="shared" si="94"/>
        <v>0</v>
      </c>
      <c r="T2007" s="6">
        <f t="shared" si="95"/>
        <v>0</v>
      </c>
      <c r="U2007" s="25">
        <f t="shared" si="93"/>
        <v>0</v>
      </c>
    </row>
    <row r="2008" spans="1:21" ht="10.9" customHeight="1" x14ac:dyDescent="0.2">
      <c r="A2008" s="82" t="s">
        <v>3439</v>
      </c>
      <c r="B2008" s="83">
        <v>45900</v>
      </c>
      <c r="C2008" s="82" t="s">
        <v>3395</v>
      </c>
      <c r="D2008" s="82" t="s">
        <v>3437</v>
      </c>
      <c r="E2008" s="82"/>
      <c r="F2008" s="82" t="s">
        <v>4789</v>
      </c>
      <c r="G2008" s="89">
        <v>1</v>
      </c>
      <c r="H2008" s="89">
        <v>26207.26</v>
      </c>
      <c r="I2008" s="85">
        <v>0</v>
      </c>
      <c r="J2008" s="85">
        <v>0</v>
      </c>
      <c r="K2008" s="85">
        <v>26207.26</v>
      </c>
      <c r="L2008" s="85">
        <v>25086.54</v>
      </c>
      <c r="M2008" s="89">
        <v>26207.26</v>
      </c>
      <c r="N2008" s="85">
        <v>0</v>
      </c>
      <c r="O2008" s="85">
        <v>0</v>
      </c>
      <c r="P2008" s="85">
        <v>26207.26</v>
      </c>
      <c r="Q2008" s="85">
        <v>25086.54</v>
      </c>
      <c r="R2008" s="82" t="s">
        <v>3399</v>
      </c>
      <c r="S2008" s="7">
        <f t="shared" si="94"/>
        <v>0</v>
      </c>
      <c r="T2008" s="6">
        <f t="shared" si="95"/>
        <v>0</v>
      </c>
      <c r="U2008" s="25">
        <f t="shared" si="93"/>
        <v>0</v>
      </c>
    </row>
    <row r="2009" spans="1:21" ht="10.9" customHeight="1" x14ac:dyDescent="0.2">
      <c r="A2009" s="82" t="s">
        <v>3439</v>
      </c>
      <c r="B2009" s="83">
        <v>45900</v>
      </c>
      <c r="C2009" s="82" t="s">
        <v>3395</v>
      </c>
      <c r="D2009" s="82" t="s">
        <v>3437</v>
      </c>
      <c r="E2009" s="82"/>
      <c r="F2009" s="82" t="s">
        <v>4788</v>
      </c>
      <c r="G2009" s="89">
        <v>1</v>
      </c>
      <c r="H2009" s="89">
        <v>228.27</v>
      </c>
      <c r="I2009" s="85">
        <v>0</v>
      </c>
      <c r="J2009" s="85">
        <v>0</v>
      </c>
      <c r="K2009" s="85">
        <v>-228.27</v>
      </c>
      <c r="L2009" s="85">
        <v>25086.54</v>
      </c>
      <c r="M2009" s="89">
        <v>228.27</v>
      </c>
      <c r="N2009" s="85">
        <v>0</v>
      </c>
      <c r="O2009" s="85">
        <v>0</v>
      </c>
      <c r="P2009" s="85">
        <v>-228.27</v>
      </c>
      <c r="Q2009" s="85">
        <v>25086.54</v>
      </c>
      <c r="R2009" s="82" t="s">
        <v>3399</v>
      </c>
      <c r="S2009" s="7">
        <f t="shared" si="94"/>
        <v>0</v>
      </c>
      <c r="T2009" s="6">
        <f t="shared" si="95"/>
        <v>0</v>
      </c>
      <c r="U2009" s="25">
        <f t="shared" si="93"/>
        <v>0</v>
      </c>
    </row>
    <row r="2010" spans="1:21" ht="10.9" customHeight="1" x14ac:dyDescent="0.2">
      <c r="A2010" s="82" t="s">
        <v>3439</v>
      </c>
      <c r="B2010" s="83">
        <v>45900</v>
      </c>
      <c r="C2010" s="82" t="s">
        <v>3395</v>
      </c>
      <c r="D2010" s="82" t="s">
        <v>3437</v>
      </c>
      <c r="E2010" s="82"/>
      <c r="F2010" s="82" t="s">
        <v>4787</v>
      </c>
      <c r="G2010" s="89">
        <v>1</v>
      </c>
      <c r="H2010" s="89">
        <v>892.45</v>
      </c>
      <c r="I2010" s="85">
        <v>0</v>
      </c>
      <c r="J2010" s="85">
        <v>0</v>
      </c>
      <c r="K2010" s="85">
        <v>-892.45</v>
      </c>
      <c r="L2010" s="85">
        <v>25086.54</v>
      </c>
      <c r="M2010" s="89">
        <v>892.45</v>
      </c>
      <c r="N2010" s="85">
        <v>0</v>
      </c>
      <c r="O2010" s="85">
        <v>0</v>
      </c>
      <c r="P2010" s="85">
        <v>-892.45</v>
      </c>
      <c r="Q2010" s="85">
        <v>25086.54</v>
      </c>
      <c r="R2010" s="82" t="s">
        <v>3399</v>
      </c>
      <c r="S2010" s="7">
        <f t="shared" si="94"/>
        <v>0</v>
      </c>
      <c r="T2010" s="6">
        <f t="shared" si="95"/>
        <v>0</v>
      </c>
      <c r="U2010" s="25">
        <f t="shared" si="93"/>
        <v>0</v>
      </c>
    </row>
    <row r="2011" spans="1:21" ht="10.9" customHeight="1" x14ac:dyDescent="0.2">
      <c r="A2011" s="82" t="s">
        <v>2834</v>
      </c>
      <c r="B2011" s="83">
        <v>45901</v>
      </c>
      <c r="C2011" s="82" t="s">
        <v>3395</v>
      </c>
      <c r="D2011" s="82" t="s">
        <v>1278</v>
      </c>
      <c r="E2011" s="82"/>
      <c r="F2011" s="82" t="s">
        <v>4927</v>
      </c>
      <c r="G2011" s="89">
        <v>1</v>
      </c>
      <c r="H2011" s="89">
        <v>12103.08</v>
      </c>
      <c r="I2011" s="85">
        <v>0</v>
      </c>
      <c r="J2011" s="85">
        <v>1573.4</v>
      </c>
      <c r="K2011" s="85">
        <v>13676.48</v>
      </c>
      <c r="L2011" s="85">
        <v>13676.48</v>
      </c>
      <c r="M2011" s="89">
        <v>12103.08</v>
      </c>
      <c r="N2011" s="85">
        <v>0</v>
      </c>
      <c r="O2011" s="85">
        <v>1573.4</v>
      </c>
      <c r="P2011" s="85">
        <v>13676.48</v>
      </c>
      <c r="Q2011" s="85">
        <v>13676.48</v>
      </c>
      <c r="R2011" s="82" t="s">
        <v>3399</v>
      </c>
      <c r="S2011" s="7">
        <f t="shared" si="94"/>
        <v>0</v>
      </c>
      <c r="T2011" s="6">
        <f t="shared" si="95"/>
        <v>0</v>
      </c>
      <c r="U2011" s="25">
        <f t="shared" si="93"/>
        <v>0</v>
      </c>
    </row>
    <row r="2012" spans="1:21" ht="10.9" customHeight="1" x14ac:dyDescent="0.2">
      <c r="A2012" s="82" t="s">
        <v>3469</v>
      </c>
      <c r="B2012" s="83">
        <v>45903</v>
      </c>
      <c r="C2012" s="82" t="s">
        <v>3395</v>
      </c>
      <c r="D2012" s="82" t="s">
        <v>3468</v>
      </c>
      <c r="E2012" s="82"/>
      <c r="F2012" s="82" t="s">
        <v>4921</v>
      </c>
      <c r="G2012" s="89">
        <v>1</v>
      </c>
      <c r="H2012" s="89">
        <v>32507</v>
      </c>
      <c r="I2012" s="85">
        <v>0</v>
      </c>
      <c r="J2012" s="85">
        <v>0</v>
      </c>
      <c r="K2012" s="85">
        <v>32507</v>
      </c>
      <c r="L2012" s="85">
        <v>33507</v>
      </c>
      <c r="M2012" s="89">
        <v>44878.839420814882</v>
      </c>
      <c r="N2012" s="85">
        <v>0</v>
      </c>
      <c r="O2012" s="85">
        <v>0</v>
      </c>
      <c r="P2012" s="85">
        <v>44878.839420814882</v>
      </c>
      <c r="Q2012" s="85">
        <v>46259.429429761105</v>
      </c>
      <c r="R2012" s="82" t="s">
        <v>3399</v>
      </c>
      <c r="S2012" s="7">
        <f t="shared" si="94"/>
        <v>0</v>
      </c>
      <c r="T2012" s="6">
        <f t="shared" si="95"/>
        <v>0</v>
      </c>
      <c r="U2012" s="25">
        <f t="shared" si="93"/>
        <v>0</v>
      </c>
    </row>
    <row r="2013" spans="1:21" ht="10.9" customHeight="1" x14ac:dyDescent="0.2">
      <c r="A2013" s="82" t="s">
        <v>3469</v>
      </c>
      <c r="B2013" s="83">
        <v>45903</v>
      </c>
      <c r="C2013" s="82" t="s">
        <v>3395</v>
      </c>
      <c r="D2013" s="82" t="s">
        <v>3468</v>
      </c>
      <c r="E2013" s="82"/>
      <c r="F2013" s="82" t="s">
        <v>4393</v>
      </c>
      <c r="G2013" s="89">
        <v>1</v>
      </c>
      <c r="H2013" s="89">
        <v>1000</v>
      </c>
      <c r="I2013" s="85">
        <v>0</v>
      </c>
      <c r="J2013" s="85">
        <v>0</v>
      </c>
      <c r="K2013" s="85">
        <v>1000</v>
      </c>
      <c r="L2013" s="85">
        <v>33507</v>
      </c>
      <c r="M2013" s="89">
        <v>1380.5900089462232</v>
      </c>
      <c r="N2013" s="85">
        <v>0</v>
      </c>
      <c r="O2013" s="85">
        <v>0</v>
      </c>
      <c r="P2013" s="85">
        <v>1380.5900089462232</v>
      </c>
      <c r="Q2013" s="85">
        <v>46259.429429761105</v>
      </c>
      <c r="R2013" s="82" t="s">
        <v>3399</v>
      </c>
      <c r="S2013" s="7" t="str">
        <f t="shared" si="94"/>
        <v>INV13144</v>
      </c>
      <c r="T2013" s="6">
        <f t="shared" si="95"/>
        <v>1</v>
      </c>
      <c r="U2013" s="25">
        <f t="shared" si="93"/>
        <v>1000</v>
      </c>
    </row>
    <row r="2014" spans="1:21" ht="10.9" customHeight="1" x14ac:dyDescent="0.2">
      <c r="A2014" s="82" t="s">
        <v>2885</v>
      </c>
      <c r="B2014" s="83">
        <v>45903</v>
      </c>
      <c r="C2014" s="82" t="s">
        <v>3395</v>
      </c>
      <c r="D2014" s="82" t="s">
        <v>3470</v>
      </c>
      <c r="E2014" s="82"/>
      <c r="F2014" s="82" t="s">
        <v>4817</v>
      </c>
      <c r="G2014" s="89">
        <v>1</v>
      </c>
      <c r="H2014" s="89">
        <v>1816.85</v>
      </c>
      <c r="I2014" s="85">
        <v>0</v>
      </c>
      <c r="J2014" s="85">
        <v>0</v>
      </c>
      <c r="K2014" s="85">
        <v>1816.85</v>
      </c>
      <c r="L2014" s="85">
        <v>2044.85</v>
      </c>
      <c r="M2014" s="89">
        <v>2506.7987179363354</v>
      </c>
      <c r="N2014" s="85">
        <v>0</v>
      </c>
      <c r="O2014" s="85">
        <v>0</v>
      </c>
      <c r="P2014" s="85">
        <v>2506.7987179363354</v>
      </c>
      <c r="Q2014" s="85">
        <v>2821.3817092066574</v>
      </c>
      <c r="R2014" s="82" t="s">
        <v>3399</v>
      </c>
      <c r="S2014" s="7">
        <f t="shared" si="94"/>
        <v>0</v>
      </c>
      <c r="T2014" s="6">
        <f t="shared" si="95"/>
        <v>0</v>
      </c>
      <c r="U2014" s="25">
        <f t="shared" si="93"/>
        <v>0</v>
      </c>
    </row>
    <row r="2015" spans="1:21" ht="10.9" customHeight="1" x14ac:dyDescent="0.2">
      <c r="A2015" s="82" t="s">
        <v>2885</v>
      </c>
      <c r="B2015" s="83">
        <v>45903</v>
      </c>
      <c r="C2015" s="82" t="s">
        <v>3395</v>
      </c>
      <c r="D2015" s="82" t="s">
        <v>3470</v>
      </c>
      <c r="E2015" s="82"/>
      <c r="F2015" s="82" t="s">
        <v>4393</v>
      </c>
      <c r="G2015" s="89">
        <v>1</v>
      </c>
      <c r="H2015" s="89">
        <v>228</v>
      </c>
      <c r="I2015" s="85">
        <v>0</v>
      </c>
      <c r="J2015" s="85">
        <v>0</v>
      </c>
      <c r="K2015" s="85">
        <v>228</v>
      </c>
      <c r="L2015" s="85">
        <v>2044.85</v>
      </c>
      <c r="M2015" s="89">
        <v>314.582991270322</v>
      </c>
      <c r="N2015" s="85">
        <v>0</v>
      </c>
      <c r="O2015" s="85">
        <v>0</v>
      </c>
      <c r="P2015" s="85">
        <v>314.582991270322</v>
      </c>
      <c r="Q2015" s="85">
        <v>2821.3817092066574</v>
      </c>
      <c r="R2015" s="82" t="s">
        <v>3399</v>
      </c>
      <c r="S2015" s="7" t="str">
        <f t="shared" si="94"/>
        <v>INV13145</v>
      </c>
      <c r="T2015" s="6">
        <f t="shared" si="95"/>
        <v>1</v>
      </c>
      <c r="U2015" s="25">
        <f t="shared" si="93"/>
        <v>228</v>
      </c>
    </row>
    <row r="2016" spans="1:21" ht="10.9" customHeight="1" x14ac:dyDescent="0.2">
      <c r="A2016" s="82" t="s">
        <v>2959</v>
      </c>
      <c r="B2016" s="83">
        <v>45903</v>
      </c>
      <c r="C2016" s="82" t="s">
        <v>3395</v>
      </c>
      <c r="D2016" s="82" t="s">
        <v>3472</v>
      </c>
      <c r="E2016" s="82"/>
      <c r="F2016" s="82" t="s">
        <v>4925</v>
      </c>
      <c r="G2016" s="89">
        <v>2</v>
      </c>
      <c r="H2016" s="89">
        <v>1171</v>
      </c>
      <c r="I2016" s="85">
        <v>0</v>
      </c>
      <c r="J2016" s="85">
        <v>0</v>
      </c>
      <c r="K2016" s="85">
        <v>2342</v>
      </c>
      <c r="L2016" s="85">
        <v>2342</v>
      </c>
      <c r="M2016" s="89">
        <v>1615.7808388538028</v>
      </c>
      <c r="N2016" s="85">
        <v>0</v>
      </c>
      <c r="O2016" s="85">
        <v>0</v>
      </c>
      <c r="P2016" s="85">
        <v>3231.5616777076057</v>
      </c>
      <c r="Q2016" s="85">
        <v>3231.5616777076057</v>
      </c>
      <c r="R2016" s="82" t="s">
        <v>3396</v>
      </c>
      <c r="S2016" s="7">
        <f t="shared" si="94"/>
        <v>0</v>
      </c>
      <c r="T2016" s="6">
        <f t="shared" si="95"/>
        <v>0</v>
      </c>
      <c r="U2016" s="25">
        <f t="shared" si="93"/>
        <v>0</v>
      </c>
    </row>
    <row r="2017" spans="1:21" ht="10.9" customHeight="1" x14ac:dyDescent="0.2">
      <c r="A2017" s="82" t="s">
        <v>3005</v>
      </c>
      <c r="B2017" s="83">
        <v>45903</v>
      </c>
      <c r="C2017" s="82" t="s">
        <v>3395</v>
      </c>
      <c r="D2017" s="82" t="s">
        <v>3474</v>
      </c>
      <c r="E2017" s="82"/>
      <c r="F2017" s="82" t="s">
        <v>4926</v>
      </c>
      <c r="G2017" s="89">
        <v>2</v>
      </c>
      <c r="H2017" s="89">
        <v>445</v>
      </c>
      <c r="I2017" s="85">
        <v>0</v>
      </c>
      <c r="J2017" s="85">
        <v>0</v>
      </c>
      <c r="K2017" s="85">
        <v>890</v>
      </c>
      <c r="L2017" s="85">
        <v>890</v>
      </c>
      <c r="M2017" s="89">
        <v>614.02431536288839</v>
      </c>
      <c r="N2017" s="85">
        <v>0</v>
      </c>
      <c r="O2017" s="85">
        <v>0</v>
      </c>
      <c r="P2017" s="85">
        <v>1228.0486307257768</v>
      </c>
      <c r="Q2017" s="85">
        <v>1228.0486307257768</v>
      </c>
      <c r="R2017" s="82" t="s">
        <v>3396</v>
      </c>
      <c r="S2017" s="7">
        <f t="shared" si="94"/>
        <v>0</v>
      </c>
      <c r="T2017" s="6">
        <f t="shared" si="95"/>
        <v>0</v>
      </c>
      <c r="U2017" s="25">
        <f t="shared" si="93"/>
        <v>0</v>
      </c>
    </row>
    <row r="2018" spans="1:21" ht="10.9" customHeight="1" x14ac:dyDescent="0.2">
      <c r="A2018" s="82" t="s">
        <v>3053</v>
      </c>
      <c r="B2018" s="83">
        <v>45903</v>
      </c>
      <c r="C2018" s="82" t="s">
        <v>3395</v>
      </c>
      <c r="D2018" s="82" t="s">
        <v>3473</v>
      </c>
      <c r="E2018" s="82"/>
      <c r="F2018" s="82" t="s">
        <v>4924</v>
      </c>
      <c r="G2018" s="89">
        <v>2</v>
      </c>
      <c r="H2018" s="89">
        <v>166</v>
      </c>
      <c r="I2018" s="85">
        <v>0</v>
      </c>
      <c r="J2018" s="85">
        <v>0</v>
      </c>
      <c r="K2018" s="85">
        <v>332</v>
      </c>
      <c r="L2018" s="85">
        <v>1068</v>
      </c>
      <c r="M2018" s="89">
        <v>229.03849364418181</v>
      </c>
      <c r="N2018" s="85">
        <v>0</v>
      </c>
      <c r="O2018" s="85">
        <v>0</v>
      </c>
      <c r="P2018" s="85">
        <v>458.07698728836363</v>
      </c>
      <c r="Q2018" s="85">
        <v>1473.5729591083505</v>
      </c>
      <c r="R2018" s="82" t="s">
        <v>3396</v>
      </c>
      <c r="S2018" s="7">
        <f t="shared" si="94"/>
        <v>0</v>
      </c>
      <c r="T2018" s="6">
        <f t="shared" si="95"/>
        <v>0</v>
      </c>
      <c r="U2018" s="25">
        <f t="shared" si="93"/>
        <v>0</v>
      </c>
    </row>
    <row r="2019" spans="1:21" ht="10.9" customHeight="1" x14ac:dyDescent="0.2">
      <c r="A2019" s="82" t="s">
        <v>3053</v>
      </c>
      <c r="B2019" s="83">
        <v>45903</v>
      </c>
      <c r="C2019" s="82" t="s">
        <v>3395</v>
      </c>
      <c r="D2019" s="82" t="s">
        <v>3473</v>
      </c>
      <c r="E2019" s="82"/>
      <c r="F2019" s="82" t="s">
        <v>4923</v>
      </c>
      <c r="G2019" s="89">
        <v>2</v>
      </c>
      <c r="H2019" s="89">
        <v>368</v>
      </c>
      <c r="I2019" s="85">
        <v>0</v>
      </c>
      <c r="J2019" s="85">
        <v>0</v>
      </c>
      <c r="K2019" s="85">
        <v>736</v>
      </c>
      <c r="L2019" s="85">
        <v>1068</v>
      </c>
      <c r="M2019" s="89">
        <v>507.74798590999342</v>
      </c>
      <c r="N2019" s="85">
        <v>0</v>
      </c>
      <c r="O2019" s="85">
        <v>0</v>
      </c>
      <c r="P2019" s="85">
        <v>1015.4959718199868</v>
      </c>
      <c r="Q2019" s="85">
        <v>1473.5729591083505</v>
      </c>
      <c r="R2019" s="82" t="s">
        <v>3396</v>
      </c>
      <c r="S2019" s="7">
        <f t="shared" si="94"/>
        <v>0</v>
      </c>
      <c r="T2019" s="6">
        <f t="shared" si="95"/>
        <v>0</v>
      </c>
      <c r="U2019" s="25">
        <f t="shared" si="93"/>
        <v>0</v>
      </c>
    </row>
    <row r="2020" spans="1:21" ht="10.9" customHeight="1" x14ac:dyDescent="0.2">
      <c r="A2020" s="82" t="s">
        <v>2928</v>
      </c>
      <c r="B2020" s="83">
        <v>45903</v>
      </c>
      <c r="C2020" s="82" t="s">
        <v>3395</v>
      </c>
      <c r="D2020" s="82" t="s">
        <v>3471</v>
      </c>
      <c r="E2020" s="82"/>
      <c r="F2020" s="82" t="s">
        <v>4922</v>
      </c>
      <c r="G2020" s="89">
        <v>2</v>
      </c>
      <c r="H2020" s="89">
        <v>439</v>
      </c>
      <c r="I2020" s="85">
        <v>0</v>
      </c>
      <c r="J2020" s="85">
        <v>0</v>
      </c>
      <c r="K2020" s="85">
        <v>878</v>
      </c>
      <c r="L2020" s="85">
        <v>878</v>
      </c>
      <c r="M2020" s="89">
        <v>605.51306542713496</v>
      </c>
      <c r="N2020" s="85">
        <v>0</v>
      </c>
      <c r="O2020" s="85">
        <v>0</v>
      </c>
      <c r="P2020" s="85">
        <v>1211.0261308542699</v>
      </c>
      <c r="Q2020" s="85">
        <v>1211.0261308542699</v>
      </c>
      <c r="R2020" s="82" t="s">
        <v>3396</v>
      </c>
      <c r="S2020" s="7">
        <f t="shared" si="94"/>
        <v>0</v>
      </c>
      <c r="T2020" s="6">
        <f t="shared" si="95"/>
        <v>0</v>
      </c>
      <c r="U2020" s="25">
        <f t="shared" si="93"/>
        <v>0</v>
      </c>
    </row>
    <row r="2021" spans="1:21" ht="10.9" customHeight="1" x14ac:dyDescent="0.2">
      <c r="A2021" s="82" t="s">
        <v>3128</v>
      </c>
      <c r="B2021" s="83">
        <v>45904</v>
      </c>
      <c r="C2021" s="82" t="s">
        <v>3395</v>
      </c>
      <c r="D2021" s="82" t="s">
        <v>754</v>
      </c>
      <c r="E2021" s="82"/>
      <c r="F2021" s="82" t="s">
        <v>4920</v>
      </c>
      <c r="G2021" s="89">
        <v>2</v>
      </c>
      <c r="H2021" s="89">
        <v>916.59</v>
      </c>
      <c r="I2021" s="85">
        <v>0</v>
      </c>
      <c r="J2021" s="85">
        <v>91.66</v>
      </c>
      <c r="K2021" s="85">
        <v>1924.84</v>
      </c>
      <c r="L2021" s="85">
        <v>1924.84</v>
      </c>
      <c r="M2021" s="89">
        <v>916.59</v>
      </c>
      <c r="N2021" s="85">
        <v>0</v>
      </c>
      <c r="O2021" s="85">
        <v>91.66</v>
      </c>
      <c r="P2021" s="85">
        <v>1924.84</v>
      </c>
      <c r="Q2021" s="85">
        <v>1924.84</v>
      </c>
      <c r="R2021" s="82" t="s">
        <v>3399</v>
      </c>
      <c r="S2021" s="7">
        <f t="shared" si="94"/>
        <v>0</v>
      </c>
      <c r="T2021" s="6">
        <f t="shared" si="95"/>
        <v>0</v>
      </c>
      <c r="U2021" s="25">
        <f t="shared" si="93"/>
        <v>0</v>
      </c>
    </row>
    <row r="2022" spans="1:21" ht="10.9" customHeight="1" x14ac:dyDescent="0.2">
      <c r="A2022" s="82" t="s">
        <v>3143</v>
      </c>
      <c r="B2022" s="83">
        <v>45904</v>
      </c>
      <c r="C2022" s="82" t="s">
        <v>3395</v>
      </c>
      <c r="D2022" s="82" t="s">
        <v>720</v>
      </c>
      <c r="E2022" s="82"/>
      <c r="F2022" s="82" t="s">
        <v>4919</v>
      </c>
      <c r="G2022" s="89">
        <v>1</v>
      </c>
      <c r="H2022" s="89">
        <v>913.69</v>
      </c>
      <c r="I2022" s="85">
        <v>0</v>
      </c>
      <c r="J2022" s="85">
        <v>118.78</v>
      </c>
      <c r="K2022" s="85">
        <v>1032.47</v>
      </c>
      <c r="L2022" s="85">
        <v>1032.47</v>
      </c>
      <c r="M2022" s="89">
        <v>913.69</v>
      </c>
      <c r="N2022" s="85">
        <v>0</v>
      </c>
      <c r="O2022" s="85">
        <v>118.78</v>
      </c>
      <c r="P2022" s="85">
        <v>1032.47</v>
      </c>
      <c r="Q2022" s="85">
        <v>1032.47</v>
      </c>
      <c r="R2022" s="82" t="s">
        <v>3399</v>
      </c>
      <c r="S2022" s="7">
        <f t="shared" si="94"/>
        <v>0</v>
      </c>
      <c r="T2022" s="6">
        <f t="shared" si="95"/>
        <v>0</v>
      </c>
      <c r="U2022" s="25">
        <f t="shared" si="93"/>
        <v>0</v>
      </c>
    </row>
    <row r="2023" spans="1:21" ht="10.9" customHeight="1" x14ac:dyDescent="0.2">
      <c r="A2023" s="82" t="s">
        <v>3151</v>
      </c>
      <c r="B2023" s="83">
        <v>45904</v>
      </c>
      <c r="C2023" s="82" t="s">
        <v>3395</v>
      </c>
      <c r="D2023" s="82" t="s">
        <v>706</v>
      </c>
      <c r="E2023" s="82"/>
      <c r="F2023" s="82" t="s">
        <v>4670</v>
      </c>
      <c r="G2023" s="89">
        <v>10</v>
      </c>
      <c r="H2023" s="89">
        <v>147.72999999999999</v>
      </c>
      <c r="I2023" s="85">
        <v>0</v>
      </c>
      <c r="J2023" s="85">
        <v>73.87</v>
      </c>
      <c r="K2023" s="85">
        <v>1551.17</v>
      </c>
      <c r="L2023" s="85">
        <v>3087.15</v>
      </c>
      <c r="M2023" s="89">
        <v>147.72999999999999</v>
      </c>
      <c r="N2023" s="85">
        <v>0</v>
      </c>
      <c r="O2023" s="85">
        <v>73.87</v>
      </c>
      <c r="P2023" s="85">
        <v>1551.17</v>
      </c>
      <c r="Q2023" s="85">
        <v>3087.15</v>
      </c>
      <c r="R2023" s="82" t="s">
        <v>3399</v>
      </c>
      <c r="S2023" s="7">
        <f t="shared" si="94"/>
        <v>0</v>
      </c>
      <c r="T2023" s="6">
        <f t="shared" si="95"/>
        <v>0</v>
      </c>
      <c r="U2023" s="25">
        <f t="shared" si="93"/>
        <v>0</v>
      </c>
    </row>
    <row r="2024" spans="1:21" ht="10.9" customHeight="1" x14ac:dyDescent="0.2">
      <c r="A2024" s="82" t="s">
        <v>3151</v>
      </c>
      <c r="B2024" s="83">
        <v>45904</v>
      </c>
      <c r="C2024" s="82" t="s">
        <v>3395</v>
      </c>
      <c r="D2024" s="82" t="s">
        <v>706</v>
      </c>
      <c r="E2024" s="82"/>
      <c r="F2024" s="82" t="s">
        <v>4673</v>
      </c>
      <c r="G2024" s="89">
        <v>3</v>
      </c>
      <c r="H2024" s="89">
        <v>154.97</v>
      </c>
      <c r="I2024" s="85">
        <v>0</v>
      </c>
      <c r="J2024" s="85">
        <v>23.25</v>
      </c>
      <c r="K2024" s="85">
        <v>488.16</v>
      </c>
      <c r="L2024" s="85">
        <v>3087.15</v>
      </c>
      <c r="M2024" s="89">
        <v>154.97</v>
      </c>
      <c r="N2024" s="85">
        <v>0</v>
      </c>
      <c r="O2024" s="85">
        <v>23.25</v>
      </c>
      <c r="P2024" s="85">
        <v>488.16</v>
      </c>
      <c r="Q2024" s="85">
        <v>3087.15</v>
      </c>
      <c r="R2024" s="82" t="s">
        <v>3399</v>
      </c>
      <c r="S2024" s="7">
        <f t="shared" si="94"/>
        <v>0</v>
      </c>
      <c r="T2024" s="6">
        <f t="shared" si="95"/>
        <v>0</v>
      </c>
      <c r="U2024" s="25">
        <f t="shared" si="93"/>
        <v>0</v>
      </c>
    </row>
    <row r="2025" spans="1:21" ht="10.9" customHeight="1" x14ac:dyDescent="0.2">
      <c r="A2025" s="82" t="s">
        <v>3151</v>
      </c>
      <c r="B2025" s="83">
        <v>45904</v>
      </c>
      <c r="C2025" s="82" t="s">
        <v>3395</v>
      </c>
      <c r="D2025" s="82" t="s">
        <v>706</v>
      </c>
      <c r="E2025" s="82"/>
      <c r="F2025" s="82" t="s">
        <v>4891</v>
      </c>
      <c r="G2025" s="89">
        <v>2</v>
      </c>
      <c r="H2025" s="89">
        <v>498.96</v>
      </c>
      <c r="I2025" s="85">
        <v>0</v>
      </c>
      <c r="J2025" s="85">
        <v>49.9</v>
      </c>
      <c r="K2025" s="85">
        <v>1047.82</v>
      </c>
      <c r="L2025" s="85">
        <v>3087.15</v>
      </c>
      <c r="M2025" s="89">
        <v>498.96</v>
      </c>
      <c r="N2025" s="85">
        <v>0</v>
      </c>
      <c r="O2025" s="85">
        <v>49.9</v>
      </c>
      <c r="P2025" s="85">
        <v>1047.82</v>
      </c>
      <c r="Q2025" s="85">
        <v>3087.15</v>
      </c>
      <c r="R2025" s="82" t="s">
        <v>3399</v>
      </c>
      <c r="S2025" s="7">
        <f t="shared" si="94"/>
        <v>0</v>
      </c>
      <c r="T2025" s="6">
        <f t="shared" si="95"/>
        <v>0</v>
      </c>
      <c r="U2025" s="25">
        <f t="shared" si="93"/>
        <v>0</v>
      </c>
    </row>
    <row r="2026" spans="1:21" ht="10.9" customHeight="1" x14ac:dyDescent="0.2">
      <c r="A2026" s="82" t="s">
        <v>3134</v>
      </c>
      <c r="B2026" s="83">
        <v>45904</v>
      </c>
      <c r="C2026" s="82" t="s">
        <v>3395</v>
      </c>
      <c r="D2026" s="82" t="s">
        <v>738</v>
      </c>
      <c r="E2026" s="82"/>
      <c r="F2026" s="82" t="s">
        <v>4917</v>
      </c>
      <c r="G2026" s="89">
        <v>1</v>
      </c>
      <c r="H2026" s="89">
        <v>268.8</v>
      </c>
      <c r="I2026" s="85">
        <v>0</v>
      </c>
      <c r="J2026" s="85">
        <v>0</v>
      </c>
      <c r="K2026" s="85">
        <v>268.8</v>
      </c>
      <c r="L2026" s="85">
        <v>268.8</v>
      </c>
      <c r="M2026" s="89">
        <v>371.1507606657517</v>
      </c>
      <c r="N2026" s="85">
        <v>0</v>
      </c>
      <c r="O2026" s="85">
        <v>0</v>
      </c>
      <c r="P2026" s="85">
        <v>371.1507606657517</v>
      </c>
      <c r="Q2026" s="85">
        <v>371.1507606657517</v>
      </c>
      <c r="R2026" s="82" t="s">
        <v>3399</v>
      </c>
      <c r="S2026" s="7">
        <f t="shared" si="94"/>
        <v>0</v>
      </c>
      <c r="T2026" s="6">
        <f t="shared" si="95"/>
        <v>0</v>
      </c>
      <c r="U2026" s="25">
        <f t="shared" si="93"/>
        <v>0</v>
      </c>
    </row>
    <row r="2027" spans="1:21" ht="10.9" customHeight="1" x14ac:dyDescent="0.2">
      <c r="A2027" s="82" t="s">
        <v>3050</v>
      </c>
      <c r="B2027" s="83">
        <v>45904</v>
      </c>
      <c r="C2027" s="82" t="s">
        <v>3395</v>
      </c>
      <c r="D2027" s="82" t="s">
        <v>913</v>
      </c>
      <c r="E2027" s="82"/>
      <c r="F2027" s="82" t="s">
        <v>4916</v>
      </c>
      <c r="G2027" s="89">
        <v>2</v>
      </c>
      <c r="H2027" s="89">
        <v>2465</v>
      </c>
      <c r="I2027" s="85">
        <v>0</v>
      </c>
      <c r="J2027" s="85">
        <v>0</v>
      </c>
      <c r="K2027" s="85">
        <v>4930</v>
      </c>
      <c r="L2027" s="85">
        <v>4930</v>
      </c>
      <c r="M2027" s="89">
        <v>3408.726339428938</v>
      </c>
      <c r="N2027" s="85">
        <v>0</v>
      </c>
      <c r="O2027" s="85">
        <v>0</v>
      </c>
      <c r="P2027" s="85">
        <v>6817.452678857876</v>
      </c>
      <c r="Q2027" s="85">
        <v>6817.452678857876</v>
      </c>
      <c r="R2027" s="82" t="s">
        <v>3399</v>
      </c>
      <c r="S2027" s="7">
        <f t="shared" si="94"/>
        <v>0</v>
      </c>
      <c r="T2027" s="6">
        <f t="shared" si="95"/>
        <v>0</v>
      </c>
      <c r="U2027" s="25">
        <f t="shared" si="93"/>
        <v>0</v>
      </c>
    </row>
    <row r="2028" spans="1:21" ht="10.9" customHeight="1" x14ac:dyDescent="0.2">
      <c r="A2028" s="82" t="s">
        <v>3132</v>
      </c>
      <c r="B2028" s="83">
        <v>45904</v>
      </c>
      <c r="C2028" s="82" t="s">
        <v>3395</v>
      </c>
      <c r="D2028" s="82" t="s">
        <v>746</v>
      </c>
      <c r="E2028" s="82"/>
      <c r="F2028" s="82" t="s">
        <v>4918</v>
      </c>
      <c r="G2028" s="89">
        <v>4</v>
      </c>
      <c r="H2028" s="89">
        <v>15.63</v>
      </c>
      <c r="I2028" s="85">
        <v>0</v>
      </c>
      <c r="J2028" s="85">
        <v>3.13</v>
      </c>
      <c r="K2028" s="85">
        <v>65.650000000000006</v>
      </c>
      <c r="L2028" s="85">
        <v>3619.25</v>
      </c>
      <c r="M2028" s="89">
        <v>15.63</v>
      </c>
      <c r="N2028" s="85">
        <v>0</v>
      </c>
      <c r="O2028" s="85">
        <v>3.13</v>
      </c>
      <c r="P2028" s="85">
        <v>65.650000000000006</v>
      </c>
      <c r="Q2028" s="85">
        <v>3619.25</v>
      </c>
      <c r="R2028" s="82" t="s">
        <v>3399</v>
      </c>
      <c r="S2028" s="7">
        <f t="shared" si="94"/>
        <v>0</v>
      </c>
      <c r="T2028" s="6">
        <f t="shared" si="95"/>
        <v>0</v>
      </c>
      <c r="U2028" s="25">
        <f t="shared" si="93"/>
        <v>0</v>
      </c>
    </row>
    <row r="2029" spans="1:21" ht="10.9" customHeight="1" x14ac:dyDescent="0.2">
      <c r="A2029" s="82" t="s">
        <v>3132</v>
      </c>
      <c r="B2029" s="83">
        <v>45904</v>
      </c>
      <c r="C2029" s="82" t="s">
        <v>3395</v>
      </c>
      <c r="D2029" s="82" t="s">
        <v>746</v>
      </c>
      <c r="E2029" s="82"/>
      <c r="F2029" s="82" t="s">
        <v>4621</v>
      </c>
      <c r="G2029" s="89">
        <v>1</v>
      </c>
      <c r="H2029" s="89">
        <v>1863.92</v>
      </c>
      <c r="I2029" s="85">
        <v>0</v>
      </c>
      <c r="J2029" s="85">
        <v>93.2</v>
      </c>
      <c r="K2029" s="85">
        <v>1957.12</v>
      </c>
      <c r="L2029" s="85">
        <v>3619.25</v>
      </c>
      <c r="M2029" s="89">
        <v>1863.92</v>
      </c>
      <c r="N2029" s="85">
        <v>0</v>
      </c>
      <c r="O2029" s="85">
        <v>93.2</v>
      </c>
      <c r="P2029" s="85">
        <v>1957.12</v>
      </c>
      <c r="Q2029" s="85">
        <v>3619.25</v>
      </c>
      <c r="R2029" s="82" t="s">
        <v>3399</v>
      </c>
      <c r="S2029" s="7">
        <f t="shared" si="94"/>
        <v>0</v>
      </c>
      <c r="T2029" s="6">
        <f t="shared" si="95"/>
        <v>0</v>
      </c>
      <c r="U2029" s="25">
        <f t="shared" si="93"/>
        <v>0</v>
      </c>
    </row>
    <row r="2030" spans="1:21" ht="10.9" customHeight="1" x14ac:dyDescent="0.2">
      <c r="A2030" s="82" t="s">
        <v>3132</v>
      </c>
      <c r="B2030" s="83">
        <v>45904</v>
      </c>
      <c r="C2030" s="82" t="s">
        <v>3395</v>
      </c>
      <c r="D2030" s="82" t="s">
        <v>746</v>
      </c>
      <c r="E2030" s="82"/>
      <c r="F2030" s="82" t="s">
        <v>4620</v>
      </c>
      <c r="G2030" s="89">
        <v>1</v>
      </c>
      <c r="H2030" s="89">
        <v>903.64</v>
      </c>
      <c r="I2030" s="85">
        <v>0</v>
      </c>
      <c r="J2030" s="85">
        <v>45.18</v>
      </c>
      <c r="K2030" s="85">
        <v>948.82</v>
      </c>
      <c r="L2030" s="85">
        <v>3619.25</v>
      </c>
      <c r="M2030" s="89">
        <v>903.64</v>
      </c>
      <c r="N2030" s="85">
        <v>0</v>
      </c>
      <c r="O2030" s="85">
        <v>45.18</v>
      </c>
      <c r="P2030" s="85">
        <v>948.82</v>
      </c>
      <c r="Q2030" s="85">
        <v>3619.25</v>
      </c>
      <c r="R2030" s="82" t="s">
        <v>3399</v>
      </c>
      <c r="S2030" s="7">
        <f t="shared" si="94"/>
        <v>0</v>
      </c>
      <c r="T2030" s="6">
        <f t="shared" si="95"/>
        <v>0</v>
      </c>
      <c r="U2030" s="25">
        <f t="shared" si="93"/>
        <v>0</v>
      </c>
    </row>
    <row r="2031" spans="1:21" ht="10.9" customHeight="1" x14ac:dyDescent="0.2">
      <c r="A2031" s="82" t="s">
        <v>3132</v>
      </c>
      <c r="B2031" s="83">
        <v>45904</v>
      </c>
      <c r="C2031" s="82" t="s">
        <v>3395</v>
      </c>
      <c r="D2031" s="82" t="s">
        <v>746</v>
      </c>
      <c r="E2031" s="82"/>
      <c r="F2031" s="82" t="s">
        <v>4619</v>
      </c>
      <c r="G2031" s="89">
        <v>1</v>
      </c>
      <c r="H2031" s="89">
        <v>616.82000000000005</v>
      </c>
      <c r="I2031" s="85">
        <v>0</v>
      </c>
      <c r="J2031" s="85">
        <v>30.84</v>
      </c>
      <c r="K2031" s="85">
        <v>647.66</v>
      </c>
      <c r="L2031" s="85">
        <v>3619.25</v>
      </c>
      <c r="M2031" s="89">
        <v>616.82000000000005</v>
      </c>
      <c r="N2031" s="85">
        <v>0</v>
      </c>
      <c r="O2031" s="85">
        <v>30.84</v>
      </c>
      <c r="P2031" s="85">
        <v>647.66</v>
      </c>
      <c r="Q2031" s="85">
        <v>3619.25</v>
      </c>
      <c r="R2031" s="82" t="s">
        <v>3399</v>
      </c>
      <c r="S2031" s="7">
        <f t="shared" si="94"/>
        <v>0</v>
      </c>
      <c r="T2031" s="6">
        <f t="shared" si="95"/>
        <v>0</v>
      </c>
      <c r="U2031" s="25">
        <f t="shared" si="93"/>
        <v>0</v>
      </c>
    </row>
    <row r="2032" spans="1:21" ht="10.9" customHeight="1" x14ac:dyDescent="0.2">
      <c r="A2032" s="82" t="s">
        <v>3138</v>
      </c>
      <c r="B2032" s="83">
        <v>45905</v>
      </c>
      <c r="C2032" s="82" t="s">
        <v>3395</v>
      </c>
      <c r="D2032" s="82" t="s">
        <v>730</v>
      </c>
      <c r="E2032" s="82"/>
      <c r="F2032" s="82" t="s">
        <v>4915</v>
      </c>
      <c r="G2032" s="89">
        <v>1</v>
      </c>
      <c r="H2032" s="89">
        <v>2894.78</v>
      </c>
      <c r="I2032" s="85">
        <v>0</v>
      </c>
      <c r="J2032" s="85">
        <v>376.32</v>
      </c>
      <c r="K2032" s="85">
        <v>3271.1</v>
      </c>
      <c r="L2032" s="85">
        <v>3271.1</v>
      </c>
      <c r="M2032" s="89">
        <v>2894.78</v>
      </c>
      <c r="N2032" s="85">
        <v>0</v>
      </c>
      <c r="O2032" s="85">
        <v>376.32</v>
      </c>
      <c r="P2032" s="85">
        <v>3271.1</v>
      </c>
      <c r="Q2032" s="85">
        <v>3271.1</v>
      </c>
      <c r="R2032" s="82" t="s">
        <v>3399</v>
      </c>
      <c r="S2032" s="7">
        <f t="shared" si="94"/>
        <v>0</v>
      </c>
      <c r="T2032" s="6">
        <f t="shared" si="95"/>
        <v>0</v>
      </c>
      <c r="U2032" s="25">
        <f t="shared" si="93"/>
        <v>0</v>
      </c>
    </row>
    <row r="2033" spans="1:21" ht="10.9" customHeight="1" x14ac:dyDescent="0.2">
      <c r="A2033" s="82" t="s">
        <v>3098</v>
      </c>
      <c r="B2033" s="83">
        <v>45905</v>
      </c>
      <c r="C2033" s="82" t="s">
        <v>3395</v>
      </c>
      <c r="D2033" s="82" t="s">
        <v>813</v>
      </c>
      <c r="E2033" s="82"/>
      <c r="F2033" s="82" t="s">
        <v>4439</v>
      </c>
      <c r="G2033" s="89">
        <v>1</v>
      </c>
      <c r="H2033" s="89">
        <v>20.149999999999999</v>
      </c>
      <c r="I2033" s="85">
        <v>0</v>
      </c>
      <c r="J2033" s="85">
        <v>1.01</v>
      </c>
      <c r="K2033" s="85">
        <v>21.16</v>
      </c>
      <c r="L2033" s="85">
        <v>2562.8000000000002</v>
      </c>
      <c r="M2033" s="89">
        <v>20.149999999999999</v>
      </c>
      <c r="N2033" s="85">
        <v>0</v>
      </c>
      <c r="O2033" s="85">
        <v>1.01</v>
      </c>
      <c r="P2033" s="85">
        <v>21.16</v>
      </c>
      <c r="Q2033" s="85">
        <v>2562.8000000000002</v>
      </c>
      <c r="R2033" s="82" t="s">
        <v>3399</v>
      </c>
      <c r="S2033" s="7">
        <f t="shared" si="94"/>
        <v>0</v>
      </c>
      <c r="T2033" s="6">
        <f t="shared" si="95"/>
        <v>0</v>
      </c>
      <c r="U2033" s="25">
        <f t="shared" si="93"/>
        <v>0</v>
      </c>
    </row>
    <row r="2034" spans="1:21" ht="10.9" customHeight="1" x14ac:dyDescent="0.2">
      <c r="A2034" s="82" t="s">
        <v>3098</v>
      </c>
      <c r="B2034" s="83">
        <v>45905</v>
      </c>
      <c r="C2034" s="82" t="s">
        <v>3395</v>
      </c>
      <c r="D2034" s="82" t="s">
        <v>813</v>
      </c>
      <c r="E2034" s="82"/>
      <c r="F2034" s="82" t="s">
        <v>4439</v>
      </c>
      <c r="G2034" s="89">
        <v>1</v>
      </c>
      <c r="H2034" s="89">
        <v>20.149999999999999</v>
      </c>
      <c r="I2034" s="85">
        <v>0</v>
      </c>
      <c r="J2034" s="85">
        <v>1.01</v>
      </c>
      <c r="K2034" s="85">
        <v>21.16</v>
      </c>
      <c r="L2034" s="85">
        <v>2562.8000000000002</v>
      </c>
      <c r="M2034" s="89">
        <v>20.149999999999999</v>
      </c>
      <c r="N2034" s="85">
        <v>0</v>
      </c>
      <c r="O2034" s="85">
        <v>1.01</v>
      </c>
      <c r="P2034" s="85">
        <v>21.16</v>
      </c>
      <c r="Q2034" s="85">
        <v>2562.8000000000002</v>
      </c>
      <c r="R2034" s="82" t="s">
        <v>3399</v>
      </c>
      <c r="S2034" s="7">
        <f t="shared" si="94"/>
        <v>0</v>
      </c>
      <c r="T2034" s="6">
        <f t="shared" si="95"/>
        <v>0</v>
      </c>
      <c r="U2034" s="25">
        <f t="shared" si="93"/>
        <v>0</v>
      </c>
    </row>
    <row r="2035" spans="1:21" ht="10.9" customHeight="1" x14ac:dyDescent="0.2">
      <c r="A2035" s="82" t="s">
        <v>3098</v>
      </c>
      <c r="B2035" s="83">
        <v>45905</v>
      </c>
      <c r="C2035" s="82" t="s">
        <v>3395</v>
      </c>
      <c r="D2035" s="82" t="s">
        <v>813</v>
      </c>
      <c r="E2035" s="82"/>
      <c r="F2035" s="82" t="s">
        <v>4735</v>
      </c>
      <c r="G2035" s="89">
        <v>1</v>
      </c>
      <c r="H2035" s="89">
        <v>15.32</v>
      </c>
      <c r="I2035" s="85">
        <v>0</v>
      </c>
      <c r="J2035" s="85">
        <v>0.77</v>
      </c>
      <c r="K2035" s="85">
        <v>16.09</v>
      </c>
      <c r="L2035" s="85">
        <v>2562.8000000000002</v>
      </c>
      <c r="M2035" s="89">
        <v>15.32</v>
      </c>
      <c r="N2035" s="85">
        <v>0</v>
      </c>
      <c r="O2035" s="85">
        <v>0.77</v>
      </c>
      <c r="P2035" s="85">
        <v>16.09</v>
      </c>
      <c r="Q2035" s="85">
        <v>2562.8000000000002</v>
      </c>
      <c r="R2035" s="82" t="s">
        <v>3399</v>
      </c>
      <c r="S2035" s="7">
        <f t="shared" si="94"/>
        <v>0</v>
      </c>
      <c r="T2035" s="6">
        <f t="shared" si="95"/>
        <v>0</v>
      </c>
      <c r="U2035" s="25">
        <f t="shared" si="93"/>
        <v>0</v>
      </c>
    </row>
    <row r="2036" spans="1:21" ht="10.9" customHeight="1" x14ac:dyDescent="0.2">
      <c r="A2036" s="82" t="s">
        <v>3098</v>
      </c>
      <c r="B2036" s="83">
        <v>45905</v>
      </c>
      <c r="C2036" s="82" t="s">
        <v>3395</v>
      </c>
      <c r="D2036" s="82" t="s">
        <v>813</v>
      </c>
      <c r="E2036" s="82"/>
      <c r="F2036" s="82" t="s">
        <v>4734</v>
      </c>
      <c r="G2036" s="89">
        <v>1</v>
      </c>
      <c r="H2036" s="89">
        <v>51.91</v>
      </c>
      <c r="I2036" s="85">
        <v>0</v>
      </c>
      <c r="J2036" s="85">
        <v>2.6</v>
      </c>
      <c r="K2036" s="85">
        <v>54.51</v>
      </c>
      <c r="L2036" s="85">
        <v>2562.8000000000002</v>
      </c>
      <c r="M2036" s="89">
        <v>51.91</v>
      </c>
      <c r="N2036" s="85">
        <v>0</v>
      </c>
      <c r="O2036" s="85">
        <v>2.6</v>
      </c>
      <c r="P2036" s="85">
        <v>54.51</v>
      </c>
      <c r="Q2036" s="85">
        <v>2562.8000000000002</v>
      </c>
      <c r="R2036" s="82" t="s">
        <v>3399</v>
      </c>
      <c r="S2036" s="7">
        <f t="shared" si="94"/>
        <v>0</v>
      </c>
      <c r="T2036" s="6">
        <f t="shared" si="95"/>
        <v>0</v>
      </c>
      <c r="U2036" s="25">
        <f t="shared" si="93"/>
        <v>0</v>
      </c>
    </row>
    <row r="2037" spans="1:21" ht="10.9" customHeight="1" x14ac:dyDescent="0.2">
      <c r="A2037" s="82" t="s">
        <v>3098</v>
      </c>
      <c r="B2037" s="83">
        <v>45905</v>
      </c>
      <c r="C2037" s="82" t="s">
        <v>3395</v>
      </c>
      <c r="D2037" s="82" t="s">
        <v>813</v>
      </c>
      <c r="E2037" s="82"/>
      <c r="F2037" s="82" t="s">
        <v>4733</v>
      </c>
      <c r="G2037" s="89">
        <v>1</v>
      </c>
      <c r="H2037" s="89">
        <v>217.78</v>
      </c>
      <c r="I2037" s="85">
        <v>0</v>
      </c>
      <c r="J2037" s="85">
        <v>10.89</v>
      </c>
      <c r="K2037" s="85">
        <v>228.67</v>
      </c>
      <c r="L2037" s="85">
        <v>2562.8000000000002</v>
      </c>
      <c r="M2037" s="89">
        <v>217.78</v>
      </c>
      <c r="N2037" s="85">
        <v>0</v>
      </c>
      <c r="O2037" s="85">
        <v>10.89</v>
      </c>
      <c r="P2037" s="85">
        <v>228.67</v>
      </c>
      <c r="Q2037" s="85">
        <v>2562.8000000000002</v>
      </c>
      <c r="R2037" s="82" t="s">
        <v>3399</v>
      </c>
      <c r="S2037" s="7">
        <f t="shared" si="94"/>
        <v>0</v>
      </c>
      <c r="T2037" s="6">
        <f t="shared" si="95"/>
        <v>0</v>
      </c>
      <c r="U2037" s="25">
        <f t="shared" si="93"/>
        <v>0</v>
      </c>
    </row>
    <row r="2038" spans="1:21" ht="10.9" customHeight="1" x14ac:dyDescent="0.2">
      <c r="A2038" s="82" t="s">
        <v>3098</v>
      </c>
      <c r="B2038" s="83">
        <v>45905</v>
      </c>
      <c r="C2038" s="82" t="s">
        <v>3395</v>
      </c>
      <c r="D2038" s="82" t="s">
        <v>813</v>
      </c>
      <c r="E2038" s="82"/>
      <c r="F2038" s="82" t="s">
        <v>4732</v>
      </c>
      <c r="G2038" s="89">
        <v>1</v>
      </c>
      <c r="H2038" s="89">
        <v>481.71</v>
      </c>
      <c r="I2038" s="85">
        <v>0</v>
      </c>
      <c r="J2038" s="85">
        <v>24.09</v>
      </c>
      <c r="K2038" s="85">
        <v>505.8</v>
      </c>
      <c r="L2038" s="85">
        <v>2562.8000000000002</v>
      </c>
      <c r="M2038" s="89">
        <v>481.71</v>
      </c>
      <c r="N2038" s="85">
        <v>0</v>
      </c>
      <c r="O2038" s="85">
        <v>24.09</v>
      </c>
      <c r="P2038" s="85">
        <v>505.8</v>
      </c>
      <c r="Q2038" s="85">
        <v>2562.8000000000002</v>
      </c>
      <c r="R2038" s="82" t="s">
        <v>3399</v>
      </c>
      <c r="S2038" s="7">
        <f t="shared" si="94"/>
        <v>0</v>
      </c>
      <c r="T2038" s="6">
        <f t="shared" si="95"/>
        <v>0</v>
      </c>
      <c r="U2038" s="25">
        <f t="shared" si="93"/>
        <v>0</v>
      </c>
    </row>
    <row r="2039" spans="1:21" ht="10.9" customHeight="1" x14ac:dyDescent="0.2">
      <c r="A2039" s="82" t="s">
        <v>3098</v>
      </c>
      <c r="B2039" s="83">
        <v>45905</v>
      </c>
      <c r="C2039" s="82" t="s">
        <v>3395</v>
      </c>
      <c r="D2039" s="82" t="s">
        <v>813</v>
      </c>
      <c r="E2039" s="82"/>
      <c r="F2039" s="82" t="s">
        <v>4591</v>
      </c>
      <c r="G2039" s="89">
        <v>1</v>
      </c>
      <c r="H2039" s="89">
        <v>135.4</v>
      </c>
      <c r="I2039" s="85">
        <v>0</v>
      </c>
      <c r="J2039" s="85">
        <v>6.77</v>
      </c>
      <c r="K2039" s="85">
        <v>142.16999999999999</v>
      </c>
      <c r="L2039" s="85">
        <v>2562.8000000000002</v>
      </c>
      <c r="M2039" s="89">
        <v>135.4</v>
      </c>
      <c r="N2039" s="85">
        <v>0</v>
      </c>
      <c r="O2039" s="85">
        <v>6.77</v>
      </c>
      <c r="P2039" s="85">
        <v>142.16999999999999</v>
      </c>
      <c r="Q2039" s="85">
        <v>2562.8000000000002</v>
      </c>
      <c r="R2039" s="82" t="s">
        <v>3399</v>
      </c>
      <c r="S2039" s="7">
        <f t="shared" si="94"/>
        <v>0</v>
      </c>
      <c r="T2039" s="6">
        <f t="shared" si="95"/>
        <v>0</v>
      </c>
      <c r="U2039" s="25">
        <f t="shared" si="93"/>
        <v>0</v>
      </c>
    </row>
    <row r="2040" spans="1:21" ht="10.9" customHeight="1" x14ac:dyDescent="0.2">
      <c r="A2040" s="82" t="s">
        <v>3098</v>
      </c>
      <c r="B2040" s="83">
        <v>45905</v>
      </c>
      <c r="C2040" s="82" t="s">
        <v>3395</v>
      </c>
      <c r="D2040" s="82" t="s">
        <v>813</v>
      </c>
      <c r="E2040" s="82"/>
      <c r="F2040" s="82" t="s">
        <v>4518</v>
      </c>
      <c r="G2040" s="89">
        <v>1</v>
      </c>
      <c r="H2040" s="89">
        <v>496.56</v>
      </c>
      <c r="I2040" s="85">
        <v>0</v>
      </c>
      <c r="J2040" s="85">
        <v>24.83</v>
      </c>
      <c r="K2040" s="85">
        <v>521.39</v>
      </c>
      <c r="L2040" s="85">
        <v>2562.8000000000002</v>
      </c>
      <c r="M2040" s="89">
        <v>496.56</v>
      </c>
      <c r="N2040" s="85">
        <v>0</v>
      </c>
      <c r="O2040" s="85">
        <v>24.83</v>
      </c>
      <c r="P2040" s="85">
        <v>521.39</v>
      </c>
      <c r="Q2040" s="85">
        <v>2562.8000000000002</v>
      </c>
      <c r="R2040" s="82" t="s">
        <v>3399</v>
      </c>
      <c r="S2040" s="7">
        <f t="shared" si="94"/>
        <v>0</v>
      </c>
      <c r="T2040" s="6">
        <f t="shared" si="95"/>
        <v>0</v>
      </c>
      <c r="U2040" s="25">
        <f t="shared" si="93"/>
        <v>0</v>
      </c>
    </row>
    <row r="2041" spans="1:21" ht="10.9" customHeight="1" x14ac:dyDescent="0.2">
      <c r="A2041" s="82" t="s">
        <v>3098</v>
      </c>
      <c r="B2041" s="83">
        <v>45905</v>
      </c>
      <c r="C2041" s="82" t="s">
        <v>3395</v>
      </c>
      <c r="D2041" s="82" t="s">
        <v>813</v>
      </c>
      <c r="E2041" s="82"/>
      <c r="F2041" s="82" t="s">
        <v>4517</v>
      </c>
      <c r="G2041" s="89">
        <v>1</v>
      </c>
      <c r="H2041" s="89">
        <v>904.79</v>
      </c>
      <c r="I2041" s="85">
        <v>0</v>
      </c>
      <c r="J2041" s="85">
        <v>45.24</v>
      </c>
      <c r="K2041" s="85">
        <v>950.03</v>
      </c>
      <c r="L2041" s="85">
        <v>2562.8000000000002</v>
      </c>
      <c r="M2041" s="89">
        <v>904.79</v>
      </c>
      <c r="N2041" s="85">
        <v>0</v>
      </c>
      <c r="O2041" s="85">
        <v>45.24</v>
      </c>
      <c r="P2041" s="85">
        <v>950.03</v>
      </c>
      <c r="Q2041" s="85">
        <v>2562.8000000000002</v>
      </c>
      <c r="R2041" s="82" t="s">
        <v>3399</v>
      </c>
      <c r="S2041" s="7">
        <f t="shared" si="94"/>
        <v>0</v>
      </c>
      <c r="T2041" s="6">
        <f t="shared" si="95"/>
        <v>0</v>
      </c>
      <c r="U2041" s="25">
        <f t="shared" si="93"/>
        <v>0</v>
      </c>
    </row>
    <row r="2042" spans="1:21" ht="10.9" customHeight="1" x14ac:dyDescent="0.2">
      <c r="A2042" s="82" t="s">
        <v>3098</v>
      </c>
      <c r="B2042" s="83">
        <v>45905</v>
      </c>
      <c r="C2042" s="82" t="s">
        <v>3395</v>
      </c>
      <c r="D2042" s="82" t="s">
        <v>813</v>
      </c>
      <c r="E2042" s="82"/>
      <c r="F2042" s="82" t="s">
        <v>4587</v>
      </c>
      <c r="G2042" s="89">
        <v>1</v>
      </c>
      <c r="H2042" s="89">
        <v>48.49</v>
      </c>
      <c r="I2042" s="85">
        <v>0</v>
      </c>
      <c r="J2042" s="85">
        <v>2.42</v>
      </c>
      <c r="K2042" s="85">
        <v>50.91</v>
      </c>
      <c r="L2042" s="85">
        <v>2562.8000000000002</v>
      </c>
      <c r="M2042" s="89">
        <v>48.49</v>
      </c>
      <c r="N2042" s="85">
        <v>0</v>
      </c>
      <c r="O2042" s="85">
        <v>2.42</v>
      </c>
      <c r="P2042" s="85">
        <v>50.91</v>
      </c>
      <c r="Q2042" s="85">
        <v>2562.8000000000002</v>
      </c>
      <c r="R2042" s="82" t="s">
        <v>3399</v>
      </c>
      <c r="S2042" s="7">
        <f t="shared" si="94"/>
        <v>0</v>
      </c>
      <c r="T2042" s="6">
        <f t="shared" si="95"/>
        <v>0</v>
      </c>
      <c r="U2042" s="25">
        <f t="shared" si="93"/>
        <v>0</v>
      </c>
    </row>
    <row r="2043" spans="1:21" ht="10.9" customHeight="1" x14ac:dyDescent="0.2">
      <c r="A2043" s="82" t="s">
        <v>3098</v>
      </c>
      <c r="B2043" s="83">
        <v>45905</v>
      </c>
      <c r="C2043" s="82" t="s">
        <v>3395</v>
      </c>
      <c r="D2043" s="82" t="s">
        <v>813</v>
      </c>
      <c r="E2043" s="82"/>
      <c r="F2043" s="82" t="s">
        <v>4588</v>
      </c>
      <c r="G2043" s="89">
        <v>1</v>
      </c>
      <c r="H2043" s="89">
        <v>48.49</v>
      </c>
      <c r="I2043" s="85">
        <v>0</v>
      </c>
      <c r="J2043" s="85">
        <v>2.42</v>
      </c>
      <c r="K2043" s="85">
        <v>50.91</v>
      </c>
      <c r="L2043" s="85">
        <v>2562.8000000000002</v>
      </c>
      <c r="M2043" s="89">
        <v>48.49</v>
      </c>
      <c r="N2043" s="85">
        <v>0</v>
      </c>
      <c r="O2043" s="85">
        <v>2.42</v>
      </c>
      <c r="P2043" s="85">
        <v>50.91</v>
      </c>
      <c r="Q2043" s="85">
        <v>2562.8000000000002</v>
      </c>
      <c r="R2043" s="82" t="s">
        <v>3399</v>
      </c>
      <c r="S2043" s="7">
        <f t="shared" si="94"/>
        <v>0</v>
      </c>
      <c r="T2043" s="6">
        <f t="shared" si="95"/>
        <v>0</v>
      </c>
      <c r="U2043" s="25">
        <f t="shared" si="93"/>
        <v>0</v>
      </c>
    </row>
    <row r="2044" spans="1:21" ht="10.9" customHeight="1" x14ac:dyDescent="0.2">
      <c r="A2044" s="82" t="s">
        <v>3119</v>
      </c>
      <c r="B2044" s="83">
        <v>45905</v>
      </c>
      <c r="C2044" s="82" t="s">
        <v>3395</v>
      </c>
      <c r="D2044" s="82" t="s">
        <v>771</v>
      </c>
      <c r="E2044" s="82"/>
      <c r="F2044" s="82" t="s">
        <v>4914</v>
      </c>
      <c r="G2044" s="89">
        <v>1</v>
      </c>
      <c r="H2044" s="89">
        <v>299.25</v>
      </c>
      <c r="I2044" s="85">
        <v>0</v>
      </c>
      <c r="J2044" s="85">
        <v>38.9</v>
      </c>
      <c r="K2044" s="85">
        <v>338.15</v>
      </c>
      <c r="L2044" s="85">
        <v>338.15</v>
      </c>
      <c r="M2044" s="89">
        <v>299.25</v>
      </c>
      <c r="N2044" s="85">
        <v>0</v>
      </c>
      <c r="O2044" s="85">
        <v>38.9</v>
      </c>
      <c r="P2044" s="85">
        <v>338.15</v>
      </c>
      <c r="Q2044" s="85">
        <v>338.15</v>
      </c>
      <c r="R2044" s="82" t="s">
        <v>3399</v>
      </c>
      <c r="S2044" s="7">
        <f t="shared" si="94"/>
        <v>0</v>
      </c>
      <c r="T2044" s="6">
        <f t="shared" si="95"/>
        <v>0</v>
      </c>
      <c r="U2044" s="25">
        <f t="shared" si="93"/>
        <v>0</v>
      </c>
    </row>
    <row r="2045" spans="1:21" ht="10.9" customHeight="1" x14ac:dyDescent="0.2">
      <c r="A2045" s="82" t="s">
        <v>3142</v>
      </c>
      <c r="B2045" s="83">
        <v>45908</v>
      </c>
      <c r="C2045" s="82" t="s">
        <v>3395</v>
      </c>
      <c r="D2045" s="82" t="s">
        <v>722</v>
      </c>
      <c r="E2045" s="82"/>
      <c r="F2045" s="82" t="s">
        <v>4913</v>
      </c>
      <c r="G2045" s="89">
        <v>1</v>
      </c>
      <c r="H2045" s="89">
        <v>271.57</v>
      </c>
      <c r="I2045" s="85">
        <v>0</v>
      </c>
      <c r="J2045" s="85">
        <v>35.299999999999997</v>
      </c>
      <c r="K2045" s="85">
        <v>306.87</v>
      </c>
      <c r="L2045" s="85">
        <v>6701.17</v>
      </c>
      <c r="M2045" s="89">
        <v>375.38288861120634</v>
      </c>
      <c r="N2045" s="85">
        <v>0</v>
      </c>
      <c r="O2045" s="85">
        <v>48.794108215103229</v>
      </c>
      <c r="P2045" s="85">
        <v>424.17699682630956</v>
      </c>
      <c r="Q2045" s="85">
        <v>9262.8219305326711</v>
      </c>
      <c r="R2045" s="82" t="s">
        <v>3399</v>
      </c>
      <c r="S2045" s="7">
        <f t="shared" si="94"/>
        <v>0</v>
      </c>
      <c r="T2045" s="6">
        <f t="shared" si="95"/>
        <v>0</v>
      </c>
      <c r="U2045" s="25">
        <f t="shared" si="93"/>
        <v>0</v>
      </c>
    </row>
    <row r="2046" spans="1:21" ht="10.9" customHeight="1" x14ac:dyDescent="0.2">
      <c r="A2046" s="82" t="s">
        <v>3142</v>
      </c>
      <c r="B2046" s="83">
        <v>45908</v>
      </c>
      <c r="C2046" s="82" t="s">
        <v>3395</v>
      </c>
      <c r="D2046" s="82" t="s">
        <v>722</v>
      </c>
      <c r="E2046" s="82"/>
      <c r="F2046" s="82" t="s">
        <v>4912</v>
      </c>
      <c r="G2046" s="89">
        <v>2</v>
      </c>
      <c r="H2046" s="89">
        <v>21.4</v>
      </c>
      <c r="I2046" s="85">
        <v>0</v>
      </c>
      <c r="J2046" s="85">
        <v>5.56</v>
      </c>
      <c r="K2046" s="85">
        <v>48.36</v>
      </c>
      <c r="L2046" s="85">
        <v>6701.17</v>
      </c>
      <c r="M2046" s="89">
        <v>29.580564187059746</v>
      </c>
      <c r="N2046" s="85">
        <v>0</v>
      </c>
      <c r="O2046" s="85">
        <v>7.6854176112173924</v>
      </c>
      <c r="P2046" s="85">
        <v>66.846545985336888</v>
      </c>
      <c r="Q2046" s="85">
        <v>9262.8219305326711</v>
      </c>
      <c r="R2046" s="82" t="s">
        <v>3399</v>
      </c>
      <c r="S2046" s="7">
        <f t="shared" si="94"/>
        <v>0</v>
      </c>
      <c r="T2046" s="6">
        <f t="shared" si="95"/>
        <v>0</v>
      </c>
      <c r="U2046" s="25">
        <f t="shared" si="93"/>
        <v>0</v>
      </c>
    </row>
    <row r="2047" spans="1:21" ht="10.9" customHeight="1" x14ac:dyDescent="0.2">
      <c r="A2047" s="82" t="s">
        <v>3142</v>
      </c>
      <c r="B2047" s="83">
        <v>45908</v>
      </c>
      <c r="C2047" s="82" t="s">
        <v>3395</v>
      </c>
      <c r="D2047" s="82" t="s">
        <v>722</v>
      </c>
      <c r="E2047" s="82"/>
      <c r="F2047" s="82" t="s">
        <v>4911</v>
      </c>
      <c r="G2047" s="89">
        <v>1</v>
      </c>
      <c r="H2047" s="89">
        <v>186.82</v>
      </c>
      <c r="I2047" s="85">
        <v>0</v>
      </c>
      <c r="J2047" s="85">
        <v>24.29</v>
      </c>
      <c r="K2047" s="85">
        <v>211.11</v>
      </c>
      <c r="L2047" s="85">
        <v>6701.17</v>
      </c>
      <c r="M2047" s="89">
        <v>258.23556081432253</v>
      </c>
      <c r="N2047" s="85">
        <v>0</v>
      </c>
      <c r="O2047" s="85">
        <v>33.575322621667347</v>
      </c>
      <c r="P2047" s="85">
        <v>291.81088343598987</v>
      </c>
      <c r="Q2047" s="85">
        <v>9262.8219305326711</v>
      </c>
      <c r="R2047" s="82" t="s">
        <v>3399</v>
      </c>
      <c r="S2047" s="7">
        <f t="shared" si="94"/>
        <v>0</v>
      </c>
      <c r="T2047" s="6">
        <f t="shared" si="95"/>
        <v>0</v>
      </c>
      <c r="U2047" s="25">
        <f t="shared" si="93"/>
        <v>0</v>
      </c>
    </row>
    <row r="2048" spans="1:21" ht="10.9" customHeight="1" x14ac:dyDescent="0.2">
      <c r="A2048" s="82" t="s">
        <v>3142</v>
      </c>
      <c r="B2048" s="83">
        <v>45908</v>
      </c>
      <c r="C2048" s="82" t="s">
        <v>3395</v>
      </c>
      <c r="D2048" s="82" t="s">
        <v>722</v>
      </c>
      <c r="E2048" s="82"/>
      <c r="F2048" s="82" t="s">
        <v>4910</v>
      </c>
      <c r="G2048" s="89">
        <v>1</v>
      </c>
      <c r="H2048" s="89">
        <v>251.34</v>
      </c>
      <c r="I2048" s="85">
        <v>0</v>
      </c>
      <c r="J2048" s="85">
        <v>32.67</v>
      </c>
      <c r="K2048" s="85">
        <v>284.01</v>
      </c>
      <c r="L2048" s="85">
        <v>6701.17</v>
      </c>
      <c r="M2048" s="89">
        <v>347.41957956895311</v>
      </c>
      <c r="N2048" s="85">
        <v>0</v>
      </c>
      <c r="O2048" s="85">
        <v>45.15873981267486</v>
      </c>
      <c r="P2048" s="85">
        <v>392.57831938162798</v>
      </c>
      <c r="Q2048" s="85">
        <v>9262.8219305326711</v>
      </c>
      <c r="R2048" s="82" t="s">
        <v>3399</v>
      </c>
      <c r="S2048" s="7">
        <f t="shared" si="94"/>
        <v>0</v>
      </c>
      <c r="T2048" s="6">
        <f t="shared" si="95"/>
        <v>0</v>
      </c>
      <c r="U2048" s="25">
        <f t="shared" si="93"/>
        <v>0</v>
      </c>
    </row>
    <row r="2049" spans="1:21" ht="10.9" customHeight="1" x14ac:dyDescent="0.2">
      <c r="A2049" s="82" t="s">
        <v>3142</v>
      </c>
      <c r="B2049" s="83">
        <v>45908</v>
      </c>
      <c r="C2049" s="82" t="s">
        <v>3395</v>
      </c>
      <c r="D2049" s="82" t="s">
        <v>722</v>
      </c>
      <c r="E2049" s="82"/>
      <c r="F2049" s="82" t="s">
        <v>4909</v>
      </c>
      <c r="G2049" s="89">
        <v>1</v>
      </c>
      <c r="H2049" s="89">
        <v>1378.05</v>
      </c>
      <c r="I2049" s="85">
        <v>0</v>
      </c>
      <c r="J2049" s="85">
        <v>179.15</v>
      </c>
      <c r="K2049" s="85">
        <v>1557.2</v>
      </c>
      <c r="L2049" s="85">
        <v>6701.17</v>
      </c>
      <c r="M2049" s="89">
        <v>1904.8362840176487</v>
      </c>
      <c r="N2049" s="85">
        <v>0</v>
      </c>
      <c r="O2049" s="85">
        <v>247.63355486503522</v>
      </c>
      <c r="P2049" s="85">
        <v>2152.4698388826841</v>
      </c>
      <c r="Q2049" s="85">
        <v>9262.8219305326711</v>
      </c>
      <c r="R2049" s="82" t="s">
        <v>3399</v>
      </c>
      <c r="S2049" s="7">
        <f t="shared" si="94"/>
        <v>0</v>
      </c>
      <c r="T2049" s="6">
        <f t="shared" si="95"/>
        <v>0</v>
      </c>
      <c r="U2049" s="25">
        <f t="shared" si="93"/>
        <v>0</v>
      </c>
    </row>
    <row r="2050" spans="1:21" ht="10.9" customHeight="1" x14ac:dyDescent="0.2">
      <c r="A2050" s="82" t="s">
        <v>3142</v>
      </c>
      <c r="B2050" s="83">
        <v>45908</v>
      </c>
      <c r="C2050" s="82" t="s">
        <v>3395</v>
      </c>
      <c r="D2050" s="82" t="s">
        <v>722</v>
      </c>
      <c r="E2050" s="82"/>
      <c r="F2050" s="82" t="s">
        <v>4908</v>
      </c>
      <c r="G2050" s="89">
        <v>2</v>
      </c>
      <c r="H2050" s="89">
        <v>658.69</v>
      </c>
      <c r="I2050" s="85">
        <v>0</v>
      </c>
      <c r="J2050" s="85">
        <v>171.26</v>
      </c>
      <c r="K2050" s="85">
        <v>1488.64</v>
      </c>
      <c r="L2050" s="85">
        <v>6701.17</v>
      </c>
      <c r="M2050" s="89">
        <v>910.48700113898997</v>
      </c>
      <c r="N2050" s="85">
        <v>0</v>
      </c>
      <c r="O2050" s="85">
        <v>236.7274496577501</v>
      </c>
      <c r="P2050" s="85">
        <v>2057.7014519357299</v>
      </c>
      <c r="Q2050" s="85">
        <v>9262.8219305326711</v>
      </c>
      <c r="R2050" s="82" t="s">
        <v>3399</v>
      </c>
      <c r="S2050" s="7">
        <f t="shared" si="94"/>
        <v>0</v>
      </c>
      <c r="T2050" s="6">
        <f t="shared" si="95"/>
        <v>0</v>
      </c>
      <c r="U2050" s="25">
        <f t="shared" ref="U2050:U2113" si="96">IF(T2050=1,K2050-J2050,0)</f>
        <v>0</v>
      </c>
    </row>
    <row r="2051" spans="1:21" ht="10.9" customHeight="1" x14ac:dyDescent="0.2">
      <c r="A2051" s="82" t="s">
        <v>3142</v>
      </c>
      <c r="B2051" s="83">
        <v>45908</v>
      </c>
      <c r="C2051" s="82" t="s">
        <v>3395</v>
      </c>
      <c r="D2051" s="82" t="s">
        <v>722</v>
      </c>
      <c r="E2051" s="82"/>
      <c r="F2051" s="82" t="s">
        <v>4907</v>
      </c>
      <c r="G2051" s="89">
        <v>1</v>
      </c>
      <c r="H2051" s="89">
        <v>227.27</v>
      </c>
      <c r="I2051" s="85">
        <v>0</v>
      </c>
      <c r="J2051" s="85">
        <v>29.55</v>
      </c>
      <c r="K2051" s="85">
        <v>256.82</v>
      </c>
      <c r="L2051" s="85">
        <v>6701.17</v>
      </c>
      <c r="M2051" s="89">
        <v>314.14835620528356</v>
      </c>
      <c r="N2051" s="85">
        <v>0</v>
      </c>
      <c r="O2051" s="85">
        <v>40.846059426524093</v>
      </c>
      <c r="P2051" s="85">
        <v>354.99441563180767</v>
      </c>
      <c r="Q2051" s="85">
        <v>9262.8219305326711</v>
      </c>
      <c r="R2051" s="82" t="s">
        <v>3399</v>
      </c>
      <c r="S2051" s="7">
        <f t="shared" ref="S2051:S2114" si="97">IF(T2051=1,A2051,0)</f>
        <v>0</v>
      </c>
      <c r="T2051" s="6">
        <f t="shared" ref="T2051:T2114" si="98">IFERROR(FIND("Freight",F2051,1),0)</f>
        <v>0</v>
      </c>
      <c r="U2051" s="25">
        <f t="shared" si="96"/>
        <v>0</v>
      </c>
    </row>
    <row r="2052" spans="1:21" ht="10.9" customHeight="1" x14ac:dyDescent="0.2">
      <c r="A2052" s="82" t="s">
        <v>3142</v>
      </c>
      <c r="B2052" s="83">
        <v>45908</v>
      </c>
      <c r="C2052" s="82" t="s">
        <v>3395</v>
      </c>
      <c r="D2052" s="82" t="s">
        <v>722</v>
      </c>
      <c r="E2052" s="82"/>
      <c r="F2052" s="82" t="s">
        <v>4906</v>
      </c>
      <c r="G2052" s="89">
        <v>1</v>
      </c>
      <c r="H2052" s="89">
        <v>1689.53</v>
      </c>
      <c r="I2052" s="85">
        <v>0</v>
      </c>
      <c r="J2052" s="85">
        <v>219.64</v>
      </c>
      <c r="K2052" s="85">
        <v>1909.17</v>
      </c>
      <c r="L2052" s="85">
        <v>6701.17</v>
      </c>
      <c r="M2052" s="89">
        <v>2335.3855425683669</v>
      </c>
      <c r="N2052" s="85">
        <v>0</v>
      </c>
      <c r="O2052" s="85">
        <v>303.60164103017769</v>
      </c>
      <c r="P2052" s="85">
        <v>2638.9871835985446</v>
      </c>
      <c r="Q2052" s="85">
        <v>9262.8219305326711</v>
      </c>
      <c r="R2052" s="82" t="s">
        <v>3399</v>
      </c>
      <c r="S2052" s="7">
        <f t="shared" si="97"/>
        <v>0</v>
      </c>
      <c r="T2052" s="6">
        <f t="shared" si="98"/>
        <v>0</v>
      </c>
      <c r="U2052" s="25">
        <f t="shared" si="96"/>
        <v>0</v>
      </c>
    </row>
    <row r="2053" spans="1:21" ht="10.9" customHeight="1" x14ac:dyDescent="0.2">
      <c r="A2053" s="82" t="s">
        <v>3142</v>
      </c>
      <c r="B2053" s="83">
        <v>45908</v>
      </c>
      <c r="C2053" s="82" t="s">
        <v>3395</v>
      </c>
      <c r="D2053" s="82" t="s">
        <v>722</v>
      </c>
      <c r="E2053" s="82"/>
      <c r="F2053" s="82" t="s">
        <v>4905</v>
      </c>
      <c r="G2053" s="89">
        <v>1</v>
      </c>
      <c r="H2053" s="89">
        <v>288.89999999999998</v>
      </c>
      <c r="I2053" s="85">
        <v>0</v>
      </c>
      <c r="J2053" s="85">
        <v>37.56</v>
      </c>
      <c r="K2053" s="85">
        <v>326.45999999999998</v>
      </c>
      <c r="L2053" s="85">
        <v>6701.17</v>
      </c>
      <c r="M2053" s="89">
        <v>399.3376165253066</v>
      </c>
      <c r="N2053" s="85">
        <v>0</v>
      </c>
      <c r="O2053" s="85">
        <v>51.918036956353461</v>
      </c>
      <c r="P2053" s="85">
        <v>451.25565348166003</v>
      </c>
      <c r="Q2053" s="85">
        <v>9262.8219305326711</v>
      </c>
      <c r="R2053" s="82" t="s">
        <v>3399</v>
      </c>
      <c r="S2053" s="7">
        <f t="shared" si="97"/>
        <v>0</v>
      </c>
      <c r="T2053" s="6">
        <f t="shared" si="98"/>
        <v>0</v>
      </c>
      <c r="U2053" s="25">
        <f t="shared" si="96"/>
        <v>0</v>
      </c>
    </row>
    <row r="2054" spans="1:21" ht="10.9" customHeight="1" x14ac:dyDescent="0.2">
      <c r="A2054" s="82" t="s">
        <v>3142</v>
      </c>
      <c r="B2054" s="83">
        <v>45908</v>
      </c>
      <c r="C2054" s="82" t="s">
        <v>3395</v>
      </c>
      <c r="D2054" s="82" t="s">
        <v>722</v>
      </c>
      <c r="E2054" s="82"/>
      <c r="F2054" s="82" t="s">
        <v>4904</v>
      </c>
      <c r="G2054" s="89">
        <v>1</v>
      </c>
      <c r="H2054" s="89">
        <v>21.4</v>
      </c>
      <c r="I2054" s="85">
        <v>0</v>
      </c>
      <c r="J2054" s="85">
        <v>2.78</v>
      </c>
      <c r="K2054" s="85">
        <v>24.18</v>
      </c>
      <c r="L2054" s="85">
        <v>6701.17</v>
      </c>
      <c r="M2054" s="89">
        <v>29.580564187059746</v>
      </c>
      <c r="N2054" s="85">
        <v>0</v>
      </c>
      <c r="O2054" s="85">
        <v>3.8427088056086962</v>
      </c>
      <c r="P2054" s="85">
        <v>33.423272992668444</v>
      </c>
      <c r="Q2054" s="85">
        <v>9262.8219305326711</v>
      </c>
      <c r="R2054" s="82" t="s">
        <v>3399</v>
      </c>
      <c r="S2054" s="7">
        <f t="shared" si="97"/>
        <v>0</v>
      </c>
      <c r="T2054" s="6">
        <f t="shared" si="98"/>
        <v>0</v>
      </c>
      <c r="U2054" s="25">
        <f t="shared" si="96"/>
        <v>0</v>
      </c>
    </row>
    <row r="2055" spans="1:21" ht="10.9" customHeight="1" x14ac:dyDescent="0.2">
      <c r="A2055" s="82" t="s">
        <v>3142</v>
      </c>
      <c r="B2055" s="83">
        <v>45908</v>
      </c>
      <c r="C2055" s="82" t="s">
        <v>3395</v>
      </c>
      <c r="D2055" s="82" t="s">
        <v>722</v>
      </c>
      <c r="E2055" s="82"/>
      <c r="F2055" s="82" t="s">
        <v>4459</v>
      </c>
      <c r="G2055" s="89">
        <v>1</v>
      </c>
      <c r="H2055" s="89">
        <v>288.35000000000002</v>
      </c>
      <c r="I2055" s="85">
        <v>0</v>
      </c>
      <c r="J2055" s="85">
        <v>0</v>
      </c>
      <c r="K2055" s="85">
        <v>288.35000000000002</v>
      </c>
      <c r="L2055" s="85">
        <v>6701.17</v>
      </c>
      <c r="M2055" s="89">
        <v>398.57736838031207</v>
      </c>
      <c r="N2055" s="85">
        <v>0</v>
      </c>
      <c r="O2055" s="85">
        <v>0</v>
      </c>
      <c r="P2055" s="85">
        <v>398.57736838031207</v>
      </c>
      <c r="Q2055" s="85">
        <v>9262.8219305326711</v>
      </c>
      <c r="R2055" s="82" t="s">
        <v>3399</v>
      </c>
      <c r="S2055" s="7" t="str">
        <f t="shared" si="97"/>
        <v>INV13368</v>
      </c>
      <c r="T2055" s="6">
        <f t="shared" si="98"/>
        <v>1</v>
      </c>
      <c r="U2055" s="25">
        <f t="shared" si="96"/>
        <v>288.35000000000002</v>
      </c>
    </row>
    <row r="2056" spans="1:21" ht="10.9" customHeight="1" x14ac:dyDescent="0.2">
      <c r="A2056" s="82" t="s">
        <v>2968</v>
      </c>
      <c r="B2056" s="83">
        <v>45908</v>
      </c>
      <c r="C2056" s="82" t="s">
        <v>3395</v>
      </c>
      <c r="D2056" s="82" t="s">
        <v>3411</v>
      </c>
      <c r="E2056" s="82"/>
      <c r="F2056" s="82" t="s">
        <v>4903</v>
      </c>
      <c r="G2056" s="89">
        <v>1</v>
      </c>
      <c r="H2056" s="89">
        <v>12</v>
      </c>
      <c r="I2056" s="85">
        <v>0</v>
      </c>
      <c r="J2056" s="85">
        <v>0</v>
      </c>
      <c r="K2056" s="85">
        <v>12</v>
      </c>
      <c r="L2056" s="85">
        <v>426</v>
      </c>
      <c r="M2056" s="89">
        <v>16.568269554700141</v>
      </c>
      <c r="N2056" s="85">
        <v>0</v>
      </c>
      <c r="O2056" s="85">
        <v>0</v>
      </c>
      <c r="P2056" s="85">
        <v>16.568269554700141</v>
      </c>
      <c r="Q2056" s="85">
        <v>588.17356919185499</v>
      </c>
      <c r="R2056" s="82" t="s">
        <v>3396</v>
      </c>
      <c r="S2056" s="7">
        <f t="shared" si="97"/>
        <v>0</v>
      </c>
      <c r="T2056" s="6">
        <f t="shared" si="98"/>
        <v>0</v>
      </c>
      <c r="U2056" s="25">
        <f t="shared" si="96"/>
        <v>0</v>
      </c>
    </row>
    <row r="2057" spans="1:21" ht="10.9" customHeight="1" x14ac:dyDescent="0.2">
      <c r="A2057" s="82" t="s">
        <v>2968</v>
      </c>
      <c r="B2057" s="83">
        <v>45908</v>
      </c>
      <c r="C2057" s="82" t="s">
        <v>3395</v>
      </c>
      <c r="D2057" s="82" t="s">
        <v>3411</v>
      </c>
      <c r="E2057" s="82"/>
      <c r="F2057" s="82" t="s">
        <v>4902</v>
      </c>
      <c r="G2057" s="89">
        <v>2</v>
      </c>
      <c r="H2057" s="89">
        <v>8</v>
      </c>
      <c r="I2057" s="85">
        <v>0</v>
      </c>
      <c r="J2057" s="85">
        <v>0</v>
      </c>
      <c r="K2057" s="85">
        <v>16</v>
      </c>
      <c r="L2057" s="85">
        <v>426</v>
      </c>
      <c r="M2057" s="89">
        <v>11.045513036466762</v>
      </c>
      <c r="N2057" s="85">
        <v>0</v>
      </c>
      <c r="O2057" s="85">
        <v>0</v>
      </c>
      <c r="P2057" s="85">
        <v>22.091026072933523</v>
      </c>
      <c r="Q2057" s="85">
        <v>588.17356919185499</v>
      </c>
      <c r="R2057" s="82" t="s">
        <v>3396</v>
      </c>
      <c r="S2057" s="7">
        <f t="shared" si="97"/>
        <v>0</v>
      </c>
      <c r="T2057" s="6">
        <f t="shared" si="98"/>
        <v>0</v>
      </c>
      <c r="U2057" s="25">
        <f t="shared" si="96"/>
        <v>0</v>
      </c>
    </row>
    <row r="2058" spans="1:21" ht="10.9" customHeight="1" x14ac:dyDescent="0.2">
      <c r="A2058" s="82" t="s">
        <v>2968</v>
      </c>
      <c r="B2058" s="83">
        <v>45908</v>
      </c>
      <c r="C2058" s="82" t="s">
        <v>3395</v>
      </c>
      <c r="D2058" s="82" t="s">
        <v>3411</v>
      </c>
      <c r="E2058" s="82"/>
      <c r="F2058" s="82" t="s">
        <v>4901</v>
      </c>
      <c r="G2058" s="89">
        <v>1</v>
      </c>
      <c r="H2058" s="89">
        <v>162</v>
      </c>
      <c r="I2058" s="85">
        <v>0</v>
      </c>
      <c r="J2058" s="85">
        <v>0</v>
      </c>
      <c r="K2058" s="85">
        <v>162</v>
      </c>
      <c r="L2058" s="85">
        <v>426</v>
      </c>
      <c r="M2058" s="89">
        <v>223.67163898845192</v>
      </c>
      <c r="N2058" s="85">
        <v>0</v>
      </c>
      <c r="O2058" s="85">
        <v>0</v>
      </c>
      <c r="P2058" s="85">
        <v>223.67163898845192</v>
      </c>
      <c r="Q2058" s="85">
        <v>588.17356919185499</v>
      </c>
      <c r="R2058" s="82" t="s">
        <v>3396</v>
      </c>
      <c r="S2058" s="7">
        <f t="shared" si="97"/>
        <v>0</v>
      </c>
      <c r="T2058" s="6">
        <f t="shared" si="98"/>
        <v>0</v>
      </c>
      <c r="U2058" s="25">
        <f t="shared" si="96"/>
        <v>0</v>
      </c>
    </row>
    <row r="2059" spans="1:21" ht="10.9" customHeight="1" x14ac:dyDescent="0.2">
      <c r="A2059" s="82" t="s">
        <v>2968</v>
      </c>
      <c r="B2059" s="83">
        <v>45908</v>
      </c>
      <c r="C2059" s="82" t="s">
        <v>3395</v>
      </c>
      <c r="D2059" s="82" t="s">
        <v>3411</v>
      </c>
      <c r="E2059" s="82"/>
      <c r="F2059" s="82" t="s">
        <v>4900</v>
      </c>
      <c r="G2059" s="89">
        <v>1</v>
      </c>
      <c r="H2059" s="89">
        <v>58</v>
      </c>
      <c r="I2059" s="85">
        <v>0</v>
      </c>
      <c r="J2059" s="85">
        <v>0</v>
      </c>
      <c r="K2059" s="85">
        <v>58</v>
      </c>
      <c r="L2059" s="85">
        <v>426</v>
      </c>
      <c r="M2059" s="89">
        <v>80.079969514384018</v>
      </c>
      <c r="N2059" s="85">
        <v>0</v>
      </c>
      <c r="O2059" s="85">
        <v>0</v>
      </c>
      <c r="P2059" s="85">
        <v>80.079969514384018</v>
      </c>
      <c r="Q2059" s="85">
        <v>588.17356919185499</v>
      </c>
      <c r="R2059" s="82" t="s">
        <v>3396</v>
      </c>
      <c r="S2059" s="7">
        <f t="shared" si="97"/>
        <v>0</v>
      </c>
      <c r="T2059" s="6">
        <f t="shared" si="98"/>
        <v>0</v>
      </c>
      <c r="U2059" s="25">
        <f t="shared" si="96"/>
        <v>0</v>
      </c>
    </row>
    <row r="2060" spans="1:21" ht="10.9" customHeight="1" x14ac:dyDescent="0.2">
      <c r="A2060" s="82" t="s">
        <v>2968</v>
      </c>
      <c r="B2060" s="83">
        <v>45908</v>
      </c>
      <c r="C2060" s="82" t="s">
        <v>3395</v>
      </c>
      <c r="D2060" s="82" t="s">
        <v>3411</v>
      </c>
      <c r="E2060" s="82"/>
      <c r="F2060" s="82" t="s">
        <v>4899</v>
      </c>
      <c r="G2060" s="89">
        <v>2</v>
      </c>
      <c r="H2060" s="89">
        <v>36</v>
      </c>
      <c r="I2060" s="85">
        <v>0</v>
      </c>
      <c r="J2060" s="85">
        <v>0</v>
      </c>
      <c r="K2060" s="85">
        <v>72</v>
      </c>
      <c r="L2060" s="85">
        <v>426</v>
      </c>
      <c r="M2060" s="89">
        <v>49.704808664100426</v>
      </c>
      <c r="N2060" s="85">
        <v>0</v>
      </c>
      <c r="O2060" s="85">
        <v>0</v>
      </c>
      <c r="P2060" s="85">
        <v>99.409617328200852</v>
      </c>
      <c r="Q2060" s="85">
        <v>588.17356919185499</v>
      </c>
      <c r="R2060" s="82" t="s">
        <v>3396</v>
      </c>
      <c r="S2060" s="7">
        <f t="shared" si="97"/>
        <v>0</v>
      </c>
      <c r="T2060" s="6">
        <f t="shared" si="98"/>
        <v>0</v>
      </c>
      <c r="U2060" s="25">
        <f t="shared" si="96"/>
        <v>0</v>
      </c>
    </row>
    <row r="2061" spans="1:21" ht="10.9" customHeight="1" x14ac:dyDescent="0.2">
      <c r="A2061" s="82" t="s">
        <v>2968</v>
      </c>
      <c r="B2061" s="83">
        <v>45908</v>
      </c>
      <c r="C2061" s="82" t="s">
        <v>3395</v>
      </c>
      <c r="D2061" s="82" t="s">
        <v>3411</v>
      </c>
      <c r="E2061" s="82"/>
      <c r="F2061" s="82" t="s">
        <v>4898</v>
      </c>
      <c r="G2061" s="89">
        <v>2</v>
      </c>
      <c r="H2061" s="89">
        <v>53</v>
      </c>
      <c r="I2061" s="85">
        <v>0</v>
      </c>
      <c r="J2061" s="85">
        <v>0</v>
      </c>
      <c r="K2061" s="85">
        <v>106</v>
      </c>
      <c r="L2061" s="85">
        <v>426</v>
      </c>
      <c r="M2061" s="89">
        <v>73.176523866592291</v>
      </c>
      <c r="N2061" s="85">
        <v>0</v>
      </c>
      <c r="O2061" s="85">
        <v>0</v>
      </c>
      <c r="P2061" s="85">
        <v>146.35304773318458</v>
      </c>
      <c r="Q2061" s="85">
        <v>588.17356919185499</v>
      </c>
      <c r="R2061" s="82" t="s">
        <v>3396</v>
      </c>
      <c r="S2061" s="7">
        <f t="shared" si="97"/>
        <v>0</v>
      </c>
      <c r="T2061" s="6">
        <f t="shared" si="98"/>
        <v>0</v>
      </c>
      <c r="U2061" s="25">
        <f t="shared" si="96"/>
        <v>0</v>
      </c>
    </row>
    <row r="2062" spans="1:21" ht="10.9" customHeight="1" x14ac:dyDescent="0.2">
      <c r="A2062" s="82" t="s">
        <v>3033</v>
      </c>
      <c r="B2062" s="83">
        <v>45908</v>
      </c>
      <c r="C2062" s="82" t="s">
        <v>3395</v>
      </c>
      <c r="D2062" s="82" t="s">
        <v>3465</v>
      </c>
      <c r="E2062" s="82"/>
      <c r="F2062" s="82" t="s">
        <v>4897</v>
      </c>
      <c r="G2062" s="89">
        <v>3</v>
      </c>
      <c r="H2062" s="89">
        <v>2</v>
      </c>
      <c r="I2062" s="85">
        <v>0</v>
      </c>
      <c r="J2062" s="85">
        <v>0</v>
      </c>
      <c r="K2062" s="85">
        <v>6</v>
      </c>
      <c r="L2062" s="85">
        <v>360</v>
      </c>
      <c r="M2062" s="89">
        <v>2.7613782591166904</v>
      </c>
      <c r="N2062" s="85">
        <v>0</v>
      </c>
      <c r="O2062" s="85">
        <v>0</v>
      </c>
      <c r="P2062" s="85">
        <v>8.2841347773500704</v>
      </c>
      <c r="Q2062" s="85">
        <v>497.04808664100426</v>
      </c>
      <c r="R2062" s="82" t="s">
        <v>3396</v>
      </c>
      <c r="S2062" s="7">
        <f t="shared" si="97"/>
        <v>0</v>
      </c>
      <c r="T2062" s="6">
        <f t="shared" si="98"/>
        <v>0</v>
      </c>
      <c r="U2062" s="25">
        <f t="shared" si="96"/>
        <v>0</v>
      </c>
    </row>
    <row r="2063" spans="1:21" ht="10.9" customHeight="1" x14ac:dyDescent="0.2">
      <c r="A2063" s="82" t="s">
        <v>3033</v>
      </c>
      <c r="B2063" s="83">
        <v>45908</v>
      </c>
      <c r="C2063" s="82" t="s">
        <v>3395</v>
      </c>
      <c r="D2063" s="82" t="s">
        <v>3465</v>
      </c>
      <c r="E2063" s="82"/>
      <c r="F2063" s="82" t="s">
        <v>4896</v>
      </c>
      <c r="G2063" s="89">
        <v>3</v>
      </c>
      <c r="H2063" s="89">
        <v>33</v>
      </c>
      <c r="I2063" s="85">
        <v>0</v>
      </c>
      <c r="J2063" s="85">
        <v>0</v>
      </c>
      <c r="K2063" s="85">
        <v>99</v>
      </c>
      <c r="L2063" s="85">
        <v>360</v>
      </c>
      <c r="M2063" s="89">
        <v>45.562741275425388</v>
      </c>
      <c r="N2063" s="85">
        <v>0</v>
      </c>
      <c r="O2063" s="85">
        <v>0</v>
      </c>
      <c r="P2063" s="85">
        <v>136.68822382627616</v>
      </c>
      <c r="Q2063" s="85">
        <v>497.04808664100426</v>
      </c>
      <c r="R2063" s="82" t="s">
        <v>3396</v>
      </c>
      <c r="S2063" s="7">
        <f t="shared" si="97"/>
        <v>0</v>
      </c>
      <c r="T2063" s="6">
        <f t="shared" si="98"/>
        <v>0</v>
      </c>
      <c r="U2063" s="25">
        <f t="shared" si="96"/>
        <v>0</v>
      </c>
    </row>
    <row r="2064" spans="1:21" ht="10.9" customHeight="1" x14ac:dyDescent="0.2">
      <c r="A2064" s="82" t="s">
        <v>3033</v>
      </c>
      <c r="B2064" s="83">
        <v>45908</v>
      </c>
      <c r="C2064" s="82" t="s">
        <v>3395</v>
      </c>
      <c r="D2064" s="82" t="s">
        <v>3465</v>
      </c>
      <c r="E2064" s="82"/>
      <c r="F2064" s="82" t="s">
        <v>4895</v>
      </c>
      <c r="G2064" s="89">
        <v>3</v>
      </c>
      <c r="H2064" s="89">
        <v>85</v>
      </c>
      <c r="I2064" s="85">
        <v>0</v>
      </c>
      <c r="J2064" s="85">
        <v>0</v>
      </c>
      <c r="K2064" s="85">
        <v>255</v>
      </c>
      <c r="L2064" s="85">
        <v>360</v>
      </c>
      <c r="M2064" s="89">
        <v>117.35857601245934</v>
      </c>
      <c r="N2064" s="85">
        <v>0</v>
      </c>
      <c r="O2064" s="85">
        <v>0</v>
      </c>
      <c r="P2064" s="85">
        <v>352.07572803737804</v>
      </c>
      <c r="Q2064" s="85">
        <v>497.04808664100426</v>
      </c>
      <c r="R2064" s="82" t="s">
        <v>3396</v>
      </c>
      <c r="S2064" s="7">
        <f t="shared" si="97"/>
        <v>0</v>
      </c>
      <c r="T2064" s="6">
        <f t="shared" si="98"/>
        <v>0</v>
      </c>
      <c r="U2064" s="25">
        <f t="shared" si="96"/>
        <v>0</v>
      </c>
    </row>
    <row r="2065" spans="1:21" ht="10.9" customHeight="1" x14ac:dyDescent="0.2">
      <c r="A2065" s="82" t="s">
        <v>3006</v>
      </c>
      <c r="B2065" s="83">
        <v>45908</v>
      </c>
      <c r="C2065" s="82" t="s">
        <v>3395</v>
      </c>
      <c r="D2065" s="82" t="s">
        <v>3466</v>
      </c>
      <c r="E2065" s="82"/>
      <c r="F2065" s="82" t="s">
        <v>4894</v>
      </c>
      <c r="G2065" s="89">
        <v>10</v>
      </c>
      <c r="H2065" s="89">
        <v>15</v>
      </c>
      <c r="I2065" s="85">
        <v>0</v>
      </c>
      <c r="J2065" s="85">
        <v>0</v>
      </c>
      <c r="K2065" s="85">
        <v>150</v>
      </c>
      <c r="L2065" s="85">
        <v>150</v>
      </c>
      <c r="M2065" s="89">
        <v>20.710336943375179</v>
      </c>
      <c r="N2065" s="85">
        <v>0</v>
      </c>
      <c r="O2065" s="85">
        <v>0</v>
      </c>
      <c r="P2065" s="85">
        <v>207.10336943375177</v>
      </c>
      <c r="Q2065" s="85">
        <v>207.10336943375177</v>
      </c>
      <c r="R2065" s="82" t="s">
        <v>3396</v>
      </c>
      <c r="S2065" s="7">
        <f t="shared" si="97"/>
        <v>0</v>
      </c>
      <c r="T2065" s="6">
        <f t="shared" si="98"/>
        <v>0</v>
      </c>
      <c r="U2065" s="25">
        <f t="shared" si="96"/>
        <v>0</v>
      </c>
    </row>
    <row r="2066" spans="1:21" ht="10.9" customHeight="1" x14ac:dyDescent="0.2">
      <c r="A2066" s="82" t="s">
        <v>3057</v>
      </c>
      <c r="B2066" s="83">
        <v>45909</v>
      </c>
      <c r="C2066" s="82" t="s">
        <v>3395</v>
      </c>
      <c r="D2066" s="82" t="s">
        <v>3463</v>
      </c>
      <c r="E2066" s="82"/>
      <c r="F2066" s="82" t="s">
        <v>4676</v>
      </c>
      <c r="G2066" s="89">
        <v>1</v>
      </c>
      <c r="H2066" s="89">
        <v>1237.1099999999999</v>
      </c>
      <c r="I2066" s="85">
        <v>0</v>
      </c>
      <c r="J2066" s="85">
        <v>61.86</v>
      </c>
      <c r="K2066" s="85">
        <v>1298.97</v>
      </c>
      <c r="L2066" s="85">
        <v>7542.77</v>
      </c>
      <c r="M2066" s="89">
        <v>1237.1099999999999</v>
      </c>
      <c r="N2066" s="85">
        <v>0</v>
      </c>
      <c r="O2066" s="85">
        <v>61.86</v>
      </c>
      <c r="P2066" s="85">
        <v>1298.97</v>
      </c>
      <c r="Q2066" s="85">
        <v>7542.77</v>
      </c>
      <c r="R2066" s="82" t="s">
        <v>3399</v>
      </c>
      <c r="S2066" s="7">
        <f t="shared" si="97"/>
        <v>0</v>
      </c>
      <c r="T2066" s="6">
        <f t="shared" si="98"/>
        <v>0</v>
      </c>
      <c r="U2066" s="25">
        <f t="shared" si="96"/>
        <v>0</v>
      </c>
    </row>
    <row r="2067" spans="1:21" ht="10.9" customHeight="1" x14ac:dyDescent="0.2">
      <c r="A2067" s="82" t="s">
        <v>3057</v>
      </c>
      <c r="B2067" s="83">
        <v>45909</v>
      </c>
      <c r="C2067" s="82" t="s">
        <v>3395</v>
      </c>
      <c r="D2067" s="82" t="s">
        <v>3463</v>
      </c>
      <c r="E2067" s="82"/>
      <c r="F2067" s="82" t="s">
        <v>4670</v>
      </c>
      <c r="G2067" s="89">
        <v>1</v>
      </c>
      <c r="H2067" s="89">
        <v>149.22</v>
      </c>
      <c r="I2067" s="85">
        <v>0</v>
      </c>
      <c r="J2067" s="85">
        <v>7.46</v>
      </c>
      <c r="K2067" s="85">
        <v>156.68</v>
      </c>
      <c r="L2067" s="85">
        <v>7542.77</v>
      </c>
      <c r="M2067" s="89">
        <v>149.22</v>
      </c>
      <c r="N2067" s="85">
        <v>0</v>
      </c>
      <c r="O2067" s="85">
        <v>7.46</v>
      </c>
      <c r="P2067" s="85">
        <v>156.68</v>
      </c>
      <c r="Q2067" s="85">
        <v>7542.77</v>
      </c>
      <c r="R2067" s="82" t="s">
        <v>3399</v>
      </c>
      <c r="S2067" s="7">
        <f t="shared" si="97"/>
        <v>0</v>
      </c>
      <c r="T2067" s="6">
        <f t="shared" si="98"/>
        <v>0</v>
      </c>
      <c r="U2067" s="25">
        <f t="shared" si="96"/>
        <v>0</v>
      </c>
    </row>
    <row r="2068" spans="1:21" ht="10.9" customHeight="1" x14ac:dyDescent="0.2">
      <c r="A2068" s="82" t="s">
        <v>3057</v>
      </c>
      <c r="B2068" s="83">
        <v>45909</v>
      </c>
      <c r="C2068" s="82" t="s">
        <v>3395</v>
      </c>
      <c r="D2068" s="82" t="s">
        <v>3463</v>
      </c>
      <c r="E2068" s="82"/>
      <c r="F2068" s="82" t="s">
        <v>4746</v>
      </c>
      <c r="G2068" s="89">
        <v>1</v>
      </c>
      <c r="H2068" s="89">
        <v>3.47</v>
      </c>
      <c r="I2068" s="85">
        <v>0</v>
      </c>
      <c r="J2068" s="85">
        <v>0.17</v>
      </c>
      <c r="K2068" s="85">
        <v>3.64</v>
      </c>
      <c r="L2068" s="85">
        <v>7542.77</v>
      </c>
      <c r="M2068" s="89">
        <v>3.47</v>
      </c>
      <c r="N2068" s="85">
        <v>0</v>
      </c>
      <c r="O2068" s="85">
        <v>0.17</v>
      </c>
      <c r="P2068" s="85">
        <v>3.64</v>
      </c>
      <c r="Q2068" s="85">
        <v>7542.77</v>
      </c>
      <c r="R2068" s="82" t="s">
        <v>3399</v>
      </c>
      <c r="S2068" s="7">
        <f t="shared" si="97"/>
        <v>0</v>
      </c>
      <c r="T2068" s="6">
        <f t="shared" si="98"/>
        <v>0</v>
      </c>
      <c r="U2068" s="25">
        <f t="shared" si="96"/>
        <v>0</v>
      </c>
    </row>
    <row r="2069" spans="1:21" ht="10.9" customHeight="1" x14ac:dyDescent="0.2">
      <c r="A2069" s="82" t="s">
        <v>3057</v>
      </c>
      <c r="B2069" s="83">
        <v>45909</v>
      </c>
      <c r="C2069" s="82" t="s">
        <v>3395</v>
      </c>
      <c r="D2069" s="82" t="s">
        <v>3463</v>
      </c>
      <c r="E2069" s="82"/>
      <c r="F2069" s="82" t="s">
        <v>4694</v>
      </c>
      <c r="G2069" s="89">
        <v>1</v>
      </c>
      <c r="H2069" s="89">
        <v>4694.8500000000004</v>
      </c>
      <c r="I2069" s="85">
        <v>0</v>
      </c>
      <c r="J2069" s="85">
        <v>234.74</v>
      </c>
      <c r="K2069" s="85">
        <v>4929.59</v>
      </c>
      <c r="L2069" s="85">
        <v>7542.77</v>
      </c>
      <c r="M2069" s="89">
        <v>4694.8500000000004</v>
      </c>
      <c r="N2069" s="85">
        <v>0</v>
      </c>
      <c r="O2069" s="85">
        <v>234.74</v>
      </c>
      <c r="P2069" s="85">
        <v>4929.59</v>
      </c>
      <c r="Q2069" s="85">
        <v>7542.77</v>
      </c>
      <c r="R2069" s="82" t="s">
        <v>3399</v>
      </c>
      <c r="S2069" s="7">
        <f t="shared" si="97"/>
        <v>0</v>
      </c>
      <c r="T2069" s="6">
        <f t="shared" si="98"/>
        <v>0</v>
      </c>
      <c r="U2069" s="25">
        <f t="shared" si="96"/>
        <v>0</v>
      </c>
    </row>
    <row r="2070" spans="1:21" ht="10.9" customHeight="1" x14ac:dyDescent="0.2">
      <c r="A2070" s="82" t="s">
        <v>3057</v>
      </c>
      <c r="B2070" s="83">
        <v>45909</v>
      </c>
      <c r="C2070" s="82" t="s">
        <v>3395</v>
      </c>
      <c r="D2070" s="82" t="s">
        <v>3463</v>
      </c>
      <c r="E2070" s="82"/>
      <c r="F2070" s="82" t="s">
        <v>4685</v>
      </c>
      <c r="G2070" s="89">
        <v>1</v>
      </c>
      <c r="H2070" s="89">
        <v>1098.94</v>
      </c>
      <c r="I2070" s="85">
        <v>0</v>
      </c>
      <c r="J2070" s="85">
        <v>54.95</v>
      </c>
      <c r="K2070" s="85">
        <v>1153.8900000000001</v>
      </c>
      <c r="L2070" s="85">
        <v>7542.77</v>
      </c>
      <c r="M2070" s="89">
        <v>1098.94</v>
      </c>
      <c r="N2070" s="85">
        <v>0</v>
      </c>
      <c r="O2070" s="85">
        <v>54.95</v>
      </c>
      <c r="P2070" s="85">
        <v>1153.8900000000001</v>
      </c>
      <c r="Q2070" s="85">
        <v>7542.77</v>
      </c>
      <c r="R2070" s="82" t="s">
        <v>3399</v>
      </c>
      <c r="S2070" s="7">
        <f t="shared" si="97"/>
        <v>0</v>
      </c>
      <c r="T2070" s="6">
        <f t="shared" si="98"/>
        <v>0</v>
      </c>
      <c r="U2070" s="25">
        <f t="shared" si="96"/>
        <v>0</v>
      </c>
    </row>
    <row r="2071" spans="1:21" ht="10.9" customHeight="1" x14ac:dyDescent="0.2">
      <c r="A2071" s="82" t="s">
        <v>3155</v>
      </c>
      <c r="B2071" s="83">
        <v>45909</v>
      </c>
      <c r="C2071" s="82" t="s">
        <v>3395</v>
      </c>
      <c r="D2071" s="82" t="s">
        <v>700</v>
      </c>
      <c r="E2071" s="82"/>
      <c r="F2071" s="82" t="s">
        <v>4893</v>
      </c>
      <c r="G2071" s="89">
        <v>2</v>
      </c>
      <c r="H2071" s="89">
        <v>454.78</v>
      </c>
      <c r="I2071" s="85">
        <v>0</v>
      </c>
      <c r="J2071" s="85">
        <v>45.48</v>
      </c>
      <c r="K2071" s="85">
        <v>955.04</v>
      </c>
      <c r="L2071" s="85">
        <v>955.04</v>
      </c>
      <c r="M2071" s="89">
        <v>454.78</v>
      </c>
      <c r="N2071" s="85">
        <v>0</v>
      </c>
      <c r="O2071" s="85">
        <v>45.48</v>
      </c>
      <c r="P2071" s="85">
        <v>955.04</v>
      </c>
      <c r="Q2071" s="85">
        <v>955.04</v>
      </c>
      <c r="R2071" s="82" t="s">
        <v>3399</v>
      </c>
      <c r="S2071" s="7">
        <f t="shared" si="97"/>
        <v>0</v>
      </c>
      <c r="T2071" s="6">
        <f t="shared" si="98"/>
        <v>0</v>
      </c>
      <c r="U2071" s="25">
        <f t="shared" si="96"/>
        <v>0</v>
      </c>
    </row>
    <row r="2072" spans="1:21" ht="10.9" customHeight="1" x14ac:dyDescent="0.2">
      <c r="A2072" s="82" t="s">
        <v>3009</v>
      </c>
      <c r="B2072" s="83">
        <v>45909</v>
      </c>
      <c r="C2072" s="82" t="s">
        <v>3395</v>
      </c>
      <c r="D2072" s="82" t="s">
        <v>985</v>
      </c>
      <c r="E2072" s="82"/>
      <c r="F2072" s="82" t="s">
        <v>4892</v>
      </c>
      <c r="G2072" s="89">
        <v>1</v>
      </c>
      <c r="H2072" s="89">
        <v>6231.75</v>
      </c>
      <c r="I2072" s="85">
        <v>0</v>
      </c>
      <c r="J2072" s="85">
        <v>0</v>
      </c>
      <c r="K2072" s="85">
        <v>6231.75</v>
      </c>
      <c r="L2072" s="85">
        <v>6231.75</v>
      </c>
      <c r="M2072" s="89">
        <v>8634.9043152697886</v>
      </c>
      <c r="N2072" s="85">
        <v>0</v>
      </c>
      <c r="O2072" s="85">
        <v>0</v>
      </c>
      <c r="P2072" s="85">
        <v>8634.9043152697886</v>
      </c>
      <c r="Q2072" s="85">
        <v>8634.9043152697886</v>
      </c>
      <c r="R2072" s="82" t="s">
        <v>3399</v>
      </c>
      <c r="S2072" s="7">
        <f t="shared" si="97"/>
        <v>0</v>
      </c>
      <c r="T2072" s="6">
        <f t="shared" si="98"/>
        <v>0</v>
      </c>
      <c r="U2072" s="25">
        <f t="shared" si="96"/>
        <v>0</v>
      </c>
    </row>
    <row r="2073" spans="1:21" ht="10.9" customHeight="1" x14ac:dyDescent="0.2">
      <c r="A2073" s="82" t="s">
        <v>3137</v>
      </c>
      <c r="B2073" s="83">
        <v>45909</v>
      </c>
      <c r="C2073" s="82" t="s">
        <v>3395</v>
      </c>
      <c r="D2073" s="82" t="s">
        <v>732</v>
      </c>
      <c r="E2073" s="82"/>
      <c r="F2073" s="82" t="s">
        <v>4685</v>
      </c>
      <c r="G2073" s="89">
        <v>10</v>
      </c>
      <c r="H2073" s="89">
        <v>206</v>
      </c>
      <c r="I2073" s="85">
        <v>0</v>
      </c>
      <c r="J2073" s="85">
        <v>0</v>
      </c>
      <c r="K2073" s="85">
        <v>2060</v>
      </c>
      <c r="L2073" s="85">
        <v>2680</v>
      </c>
      <c r="M2073" s="89">
        <v>285.43993082931382</v>
      </c>
      <c r="N2073" s="85">
        <v>0</v>
      </c>
      <c r="O2073" s="85">
        <v>0</v>
      </c>
      <c r="P2073" s="85">
        <v>2854.3993082931383</v>
      </c>
      <c r="Q2073" s="85">
        <v>3713.4903622454422</v>
      </c>
      <c r="R2073" s="82" t="s">
        <v>3396</v>
      </c>
      <c r="S2073" s="7">
        <f t="shared" si="97"/>
        <v>0</v>
      </c>
      <c r="T2073" s="6">
        <f t="shared" si="98"/>
        <v>0</v>
      </c>
      <c r="U2073" s="25">
        <f t="shared" si="96"/>
        <v>0</v>
      </c>
    </row>
    <row r="2074" spans="1:21" ht="10.9" customHeight="1" x14ac:dyDescent="0.2">
      <c r="A2074" s="82" t="s">
        <v>3137</v>
      </c>
      <c r="B2074" s="83">
        <v>45909</v>
      </c>
      <c r="C2074" s="82" t="s">
        <v>3395</v>
      </c>
      <c r="D2074" s="82" t="s">
        <v>732</v>
      </c>
      <c r="E2074" s="82"/>
      <c r="F2074" s="82" t="s">
        <v>4893</v>
      </c>
      <c r="G2074" s="89">
        <v>10</v>
      </c>
      <c r="H2074" s="89">
        <v>62</v>
      </c>
      <c r="I2074" s="85">
        <v>0</v>
      </c>
      <c r="J2074" s="85">
        <v>0</v>
      </c>
      <c r="K2074" s="85">
        <v>620</v>
      </c>
      <c r="L2074" s="85">
        <v>2680</v>
      </c>
      <c r="M2074" s="89">
        <v>85.909105395230384</v>
      </c>
      <c r="N2074" s="85">
        <v>0</v>
      </c>
      <c r="O2074" s="85">
        <v>0</v>
      </c>
      <c r="P2074" s="85">
        <v>859.09105395230381</v>
      </c>
      <c r="Q2074" s="85">
        <v>3713.4903622454422</v>
      </c>
      <c r="R2074" s="82" t="s">
        <v>3396</v>
      </c>
      <c r="S2074" s="7">
        <f t="shared" si="97"/>
        <v>0</v>
      </c>
      <c r="T2074" s="6">
        <f t="shared" si="98"/>
        <v>0</v>
      </c>
      <c r="U2074" s="25">
        <f t="shared" si="96"/>
        <v>0</v>
      </c>
    </row>
    <row r="2075" spans="1:21" ht="10.9" customHeight="1" x14ac:dyDescent="0.2">
      <c r="A2075" s="82" t="s">
        <v>3124</v>
      </c>
      <c r="B2075" s="83">
        <v>45910</v>
      </c>
      <c r="C2075" s="82" t="s">
        <v>3395</v>
      </c>
      <c r="D2075" s="82" t="s">
        <v>763</v>
      </c>
      <c r="E2075" s="82"/>
      <c r="F2075" s="82" t="s">
        <v>4633</v>
      </c>
      <c r="G2075" s="89">
        <v>2</v>
      </c>
      <c r="H2075" s="89">
        <v>998.44</v>
      </c>
      <c r="I2075" s="85">
        <v>0</v>
      </c>
      <c r="J2075" s="85">
        <v>0</v>
      </c>
      <c r="K2075" s="85">
        <v>1996.88</v>
      </c>
      <c r="L2075" s="85">
        <v>16862.14</v>
      </c>
      <c r="M2075" s="89">
        <v>1384.9564028086413</v>
      </c>
      <c r="N2075" s="85">
        <v>0</v>
      </c>
      <c r="O2075" s="85">
        <v>0</v>
      </c>
      <c r="P2075" s="85">
        <v>2769.9128056172826</v>
      </c>
      <c r="Q2075" s="85">
        <v>23389.81687237661</v>
      </c>
      <c r="R2075" s="82" t="s">
        <v>3399</v>
      </c>
      <c r="S2075" s="7">
        <f t="shared" si="97"/>
        <v>0</v>
      </c>
      <c r="T2075" s="6">
        <f t="shared" si="98"/>
        <v>0</v>
      </c>
      <c r="U2075" s="25">
        <f t="shared" si="96"/>
        <v>0</v>
      </c>
    </row>
    <row r="2076" spans="1:21" ht="10.9" customHeight="1" x14ac:dyDescent="0.2">
      <c r="A2076" s="82" t="s">
        <v>3124</v>
      </c>
      <c r="B2076" s="83">
        <v>45910</v>
      </c>
      <c r="C2076" s="82" t="s">
        <v>3395</v>
      </c>
      <c r="D2076" s="82" t="s">
        <v>763</v>
      </c>
      <c r="E2076" s="82"/>
      <c r="F2076" s="82" t="s">
        <v>4634</v>
      </c>
      <c r="G2076" s="89">
        <v>1</v>
      </c>
      <c r="H2076" s="89">
        <v>1100.48</v>
      </c>
      <c r="I2076" s="85">
        <v>0</v>
      </c>
      <c r="J2076" s="85">
        <v>0</v>
      </c>
      <c r="K2076" s="85">
        <v>1100.48</v>
      </c>
      <c r="L2076" s="85">
        <v>16862.14</v>
      </c>
      <c r="M2076" s="89">
        <v>1526.498159291348</v>
      </c>
      <c r="N2076" s="85">
        <v>0</v>
      </c>
      <c r="O2076" s="85">
        <v>0</v>
      </c>
      <c r="P2076" s="85">
        <v>1526.498159291348</v>
      </c>
      <c r="Q2076" s="85">
        <v>23389.81687237661</v>
      </c>
      <c r="R2076" s="82" t="s">
        <v>3399</v>
      </c>
      <c r="S2076" s="7">
        <f t="shared" si="97"/>
        <v>0</v>
      </c>
      <c r="T2076" s="6">
        <f t="shared" si="98"/>
        <v>0</v>
      </c>
      <c r="U2076" s="25">
        <f t="shared" si="96"/>
        <v>0</v>
      </c>
    </row>
    <row r="2077" spans="1:21" ht="10.9" customHeight="1" x14ac:dyDescent="0.2">
      <c r="A2077" s="82" t="s">
        <v>3124</v>
      </c>
      <c r="B2077" s="83">
        <v>45910</v>
      </c>
      <c r="C2077" s="82" t="s">
        <v>3395</v>
      </c>
      <c r="D2077" s="82" t="s">
        <v>763</v>
      </c>
      <c r="E2077" s="82"/>
      <c r="F2077" s="82" t="s">
        <v>4762</v>
      </c>
      <c r="G2077" s="89">
        <v>1</v>
      </c>
      <c r="H2077" s="89">
        <v>6882.39</v>
      </c>
      <c r="I2077" s="85">
        <v>0</v>
      </c>
      <c r="J2077" s="85">
        <v>0</v>
      </c>
      <c r="K2077" s="85">
        <v>6882.39</v>
      </c>
      <c r="L2077" s="85">
        <v>16862.14</v>
      </c>
      <c r="M2077" s="89">
        <v>9546.7029537339895</v>
      </c>
      <c r="N2077" s="85">
        <v>0</v>
      </c>
      <c r="O2077" s="85">
        <v>0</v>
      </c>
      <c r="P2077" s="85">
        <v>9546.7029537339895</v>
      </c>
      <c r="Q2077" s="85">
        <v>23389.81687237661</v>
      </c>
      <c r="R2077" s="82" t="s">
        <v>3399</v>
      </c>
      <c r="S2077" s="7">
        <f t="shared" si="97"/>
        <v>0</v>
      </c>
      <c r="T2077" s="6">
        <f t="shared" si="98"/>
        <v>0</v>
      </c>
      <c r="U2077" s="25">
        <f t="shared" si="96"/>
        <v>0</v>
      </c>
    </row>
    <row r="2078" spans="1:21" ht="10.9" customHeight="1" x14ac:dyDescent="0.2">
      <c r="A2078" s="82" t="s">
        <v>3124</v>
      </c>
      <c r="B2078" s="83">
        <v>45910</v>
      </c>
      <c r="C2078" s="82" t="s">
        <v>3395</v>
      </c>
      <c r="D2078" s="82" t="s">
        <v>763</v>
      </c>
      <c r="E2078" s="82"/>
      <c r="F2078" s="82" t="s">
        <v>4762</v>
      </c>
      <c r="G2078" s="89">
        <v>1</v>
      </c>
      <c r="H2078" s="89">
        <v>6882.39</v>
      </c>
      <c r="I2078" s="85">
        <v>0</v>
      </c>
      <c r="J2078" s="85">
        <v>0</v>
      </c>
      <c r="K2078" s="85">
        <v>6882.39</v>
      </c>
      <c r="L2078" s="85">
        <v>16862.14</v>
      </c>
      <c r="M2078" s="89">
        <v>9546.7029537339895</v>
      </c>
      <c r="N2078" s="85">
        <v>0</v>
      </c>
      <c r="O2078" s="85">
        <v>0</v>
      </c>
      <c r="P2078" s="85">
        <v>9546.7029537339895</v>
      </c>
      <c r="Q2078" s="85">
        <v>23389.81687237661</v>
      </c>
      <c r="R2078" s="82" t="s">
        <v>3399</v>
      </c>
      <c r="S2078" s="7">
        <f t="shared" si="97"/>
        <v>0</v>
      </c>
      <c r="T2078" s="6">
        <f t="shared" si="98"/>
        <v>0</v>
      </c>
      <c r="U2078" s="25">
        <f t="shared" si="96"/>
        <v>0</v>
      </c>
    </row>
    <row r="2079" spans="1:21" ht="10.9" customHeight="1" x14ac:dyDescent="0.2">
      <c r="A2079" s="82" t="s">
        <v>3130</v>
      </c>
      <c r="B2079" s="83">
        <v>45910</v>
      </c>
      <c r="C2079" s="82" t="s">
        <v>3395</v>
      </c>
      <c r="D2079" s="82" t="s">
        <v>750</v>
      </c>
      <c r="E2079" s="82"/>
      <c r="F2079" s="82" t="s">
        <v>4546</v>
      </c>
      <c r="G2079" s="89">
        <v>15</v>
      </c>
      <c r="H2079" s="89">
        <v>1405.28</v>
      </c>
      <c r="I2079" s="85">
        <v>0</v>
      </c>
      <c r="J2079" s="85">
        <v>0</v>
      </c>
      <c r="K2079" s="85">
        <v>21079.200000000001</v>
      </c>
      <c r="L2079" s="85">
        <v>21079.200000000001</v>
      </c>
      <c r="M2079" s="89">
        <v>1949.2924299296176</v>
      </c>
      <c r="N2079" s="85">
        <v>0</v>
      </c>
      <c r="O2079" s="85">
        <v>0</v>
      </c>
      <c r="P2079" s="85">
        <v>29239.386448944264</v>
      </c>
      <c r="Q2079" s="85">
        <v>29239.386448944264</v>
      </c>
      <c r="R2079" s="82" t="s">
        <v>3399</v>
      </c>
      <c r="S2079" s="7">
        <f t="shared" si="97"/>
        <v>0</v>
      </c>
      <c r="T2079" s="6">
        <f t="shared" si="98"/>
        <v>0</v>
      </c>
      <c r="U2079" s="25">
        <f t="shared" si="96"/>
        <v>0</v>
      </c>
    </row>
    <row r="2080" spans="1:21" ht="10.9" customHeight="1" x14ac:dyDescent="0.2">
      <c r="A2080" s="82" t="s">
        <v>3125</v>
      </c>
      <c r="B2080" s="83">
        <v>45910</v>
      </c>
      <c r="C2080" s="82" t="s">
        <v>3395</v>
      </c>
      <c r="D2080" s="82" t="s">
        <v>761</v>
      </c>
      <c r="E2080" s="82"/>
      <c r="F2080" s="82" t="s">
        <v>4890</v>
      </c>
      <c r="G2080" s="89">
        <v>96</v>
      </c>
      <c r="H2080" s="89">
        <v>36.82</v>
      </c>
      <c r="I2080" s="85">
        <v>0</v>
      </c>
      <c r="J2080" s="85">
        <v>0</v>
      </c>
      <c r="K2080" s="85">
        <v>3534.72</v>
      </c>
      <c r="L2080" s="85">
        <v>7069.44</v>
      </c>
      <c r="M2080" s="89">
        <v>50.969203914191226</v>
      </c>
      <c r="N2080" s="85">
        <v>0</v>
      </c>
      <c r="O2080" s="85">
        <v>0</v>
      </c>
      <c r="P2080" s="85">
        <v>4893.0435757623582</v>
      </c>
      <c r="Q2080" s="85">
        <v>9786.0871515247163</v>
      </c>
      <c r="R2080" s="82" t="s">
        <v>3399</v>
      </c>
      <c r="S2080" s="7">
        <f t="shared" si="97"/>
        <v>0</v>
      </c>
      <c r="T2080" s="6">
        <f t="shared" si="98"/>
        <v>0</v>
      </c>
      <c r="U2080" s="25">
        <f t="shared" si="96"/>
        <v>0</v>
      </c>
    </row>
    <row r="2081" spans="1:21" ht="10.9" customHeight="1" x14ac:dyDescent="0.2">
      <c r="A2081" s="82" t="s">
        <v>3125</v>
      </c>
      <c r="B2081" s="83">
        <v>45910</v>
      </c>
      <c r="C2081" s="82" t="s">
        <v>3395</v>
      </c>
      <c r="D2081" s="82" t="s">
        <v>761</v>
      </c>
      <c r="E2081" s="82"/>
      <c r="F2081" s="82" t="s">
        <v>4890</v>
      </c>
      <c r="G2081" s="89">
        <v>96</v>
      </c>
      <c r="H2081" s="89">
        <v>36.82</v>
      </c>
      <c r="I2081" s="85">
        <v>0</v>
      </c>
      <c r="J2081" s="85">
        <v>0</v>
      </c>
      <c r="K2081" s="85">
        <v>3534.72</v>
      </c>
      <c r="L2081" s="85">
        <v>7069.44</v>
      </c>
      <c r="M2081" s="89">
        <v>50.969203914191226</v>
      </c>
      <c r="N2081" s="85">
        <v>0</v>
      </c>
      <c r="O2081" s="85">
        <v>0</v>
      </c>
      <c r="P2081" s="85">
        <v>4893.0435757623582</v>
      </c>
      <c r="Q2081" s="85">
        <v>9786.0871515247163</v>
      </c>
      <c r="R2081" s="82" t="s">
        <v>3399</v>
      </c>
      <c r="S2081" s="7">
        <f t="shared" si="97"/>
        <v>0</v>
      </c>
      <c r="T2081" s="6">
        <f t="shared" si="98"/>
        <v>0</v>
      </c>
      <c r="U2081" s="25">
        <f t="shared" si="96"/>
        <v>0</v>
      </c>
    </row>
    <row r="2082" spans="1:21" ht="10.9" customHeight="1" x14ac:dyDescent="0.2">
      <c r="A2082" s="82" t="s">
        <v>2921</v>
      </c>
      <c r="B2082" s="83">
        <v>45910</v>
      </c>
      <c r="C2082" s="82" t="s">
        <v>3395</v>
      </c>
      <c r="D2082" s="82" t="s">
        <v>1129</v>
      </c>
      <c r="E2082" s="82"/>
      <c r="F2082" s="82" t="s">
        <v>4626</v>
      </c>
      <c r="G2082" s="89">
        <v>1</v>
      </c>
      <c r="H2082" s="89">
        <v>12300</v>
      </c>
      <c r="I2082" s="85">
        <v>0</v>
      </c>
      <c r="J2082" s="85">
        <v>0</v>
      </c>
      <c r="K2082" s="85">
        <v>12300</v>
      </c>
      <c r="L2082" s="85">
        <v>12300</v>
      </c>
      <c r="M2082" s="89">
        <v>17061.579819064027</v>
      </c>
      <c r="N2082" s="85">
        <v>0</v>
      </c>
      <c r="O2082" s="85">
        <v>0</v>
      </c>
      <c r="P2082" s="85">
        <v>17061.579819064027</v>
      </c>
      <c r="Q2082" s="85">
        <v>17061.579819064027</v>
      </c>
      <c r="R2082" s="82" t="s">
        <v>3399</v>
      </c>
      <c r="S2082" s="7">
        <f t="shared" si="97"/>
        <v>0</v>
      </c>
      <c r="T2082" s="6">
        <f t="shared" si="98"/>
        <v>0</v>
      </c>
      <c r="U2082" s="25">
        <f t="shared" si="96"/>
        <v>0</v>
      </c>
    </row>
    <row r="2083" spans="1:21" ht="10.9" customHeight="1" x14ac:dyDescent="0.2">
      <c r="A2083" s="82" t="s">
        <v>3129</v>
      </c>
      <c r="B2083" s="83">
        <v>45910</v>
      </c>
      <c r="C2083" s="82" t="s">
        <v>3395</v>
      </c>
      <c r="D2083" s="82" t="s">
        <v>752</v>
      </c>
      <c r="E2083" s="82"/>
      <c r="F2083" s="82" t="s">
        <v>4889</v>
      </c>
      <c r="G2083" s="89">
        <v>1</v>
      </c>
      <c r="H2083" s="89">
        <v>4532.32</v>
      </c>
      <c r="I2083" s="85">
        <v>0</v>
      </c>
      <c r="J2083" s="85">
        <v>0</v>
      </c>
      <c r="K2083" s="85">
        <v>4532.32</v>
      </c>
      <c r="L2083" s="85">
        <v>5422.32</v>
      </c>
      <c r="M2083" s="89">
        <v>6286.8731256536803</v>
      </c>
      <c r="N2083" s="85">
        <v>0</v>
      </c>
      <c r="O2083" s="85">
        <v>0</v>
      </c>
      <c r="P2083" s="85">
        <v>6286.8731256536803</v>
      </c>
      <c r="Q2083" s="85">
        <v>7521.4102019924594</v>
      </c>
      <c r="R2083" s="82" t="s">
        <v>3399</v>
      </c>
      <c r="S2083" s="7">
        <f t="shared" si="97"/>
        <v>0</v>
      </c>
      <c r="T2083" s="6">
        <f t="shared" si="98"/>
        <v>0</v>
      </c>
      <c r="U2083" s="25">
        <f t="shared" si="96"/>
        <v>0</v>
      </c>
    </row>
    <row r="2084" spans="1:21" ht="10.9" customHeight="1" x14ac:dyDescent="0.2">
      <c r="A2084" s="82" t="s">
        <v>3129</v>
      </c>
      <c r="B2084" s="83">
        <v>45910</v>
      </c>
      <c r="C2084" s="82" t="s">
        <v>3395</v>
      </c>
      <c r="D2084" s="82" t="s">
        <v>752</v>
      </c>
      <c r="E2084" s="82"/>
      <c r="F2084" s="82" t="s">
        <v>4885</v>
      </c>
      <c r="G2084" s="89">
        <v>1</v>
      </c>
      <c r="H2084" s="89">
        <v>890</v>
      </c>
      <c r="I2084" s="85">
        <v>0</v>
      </c>
      <c r="J2084" s="85">
        <v>0</v>
      </c>
      <c r="K2084" s="85">
        <v>890</v>
      </c>
      <c r="L2084" s="85">
        <v>5422.32</v>
      </c>
      <c r="M2084" s="89">
        <v>1234.5370763387791</v>
      </c>
      <c r="N2084" s="85">
        <v>0</v>
      </c>
      <c r="O2084" s="85">
        <v>0</v>
      </c>
      <c r="P2084" s="85">
        <v>1234.5370763387791</v>
      </c>
      <c r="Q2084" s="85">
        <v>7521.4102019924594</v>
      </c>
      <c r="R2084" s="82" t="s">
        <v>3399</v>
      </c>
      <c r="S2084" s="7" t="str">
        <f t="shared" si="97"/>
        <v>INV13380</v>
      </c>
      <c r="T2084" s="6">
        <f t="shared" si="98"/>
        <v>1</v>
      </c>
      <c r="U2084" s="25">
        <f t="shared" si="96"/>
        <v>890</v>
      </c>
    </row>
    <row r="2085" spans="1:21" ht="10.9" customHeight="1" x14ac:dyDescent="0.2">
      <c r="A2085" s="82" t="s">
        <v>3160</v>
      </c>
      <c r="B2085" s="83">
        <v>45910</v>
      </c>
      <c r="C2085" s="82" t="s">
        <v>3395</v>
      </c>
      <c r="D2085" s="82" t="s">
        <v>691</v>
      </c>
      <c r="E2085" s="82"/>
      <c r="F2085" s="82" t="s">
        <v>4891</v>
      </c>
      <c r="G2085" s="89">
        <v>1</v>
      </c>
      <c r="H2085" s="89">
        <v>498.96</v>
      </c>
      <c r="I2085" s="85">
        <v>0</v>
      </c>
      <c r="J2085" s="85">
        <v>24.95</v>
      </c>
      <c r="K2085" s="85">
        <v>523.91</v>
      </c>
      <c r="L2085" s="85">
        <v>523.91</v>
      </c>
      <c r="M2085" s="89">
        <v>498.96</v>
      </c>
      <c r="N2085" s="85">
        <v>0</v>
      </c>
      <c r="O2085" s="85">
        <v>24.95</v>
      </c>
      <c r="P2085" s="85">
        <v>523.91</v>
      </c>
      <c r="Q2085" s="85">
        <v>523.91</v>
      </c>
      <c r="R2085" s="82" t="s">
        <v>3399</v>
      </c>
      <c r="S2085" s="7">
        <f t="shared" si="97"/>
        <v>0</v>
      </c>
      <c r="T2085" s="6">
        <f t="shared" si="98"/>
        <v>0</v>
      </c>
      <c r="U2085" s="25">
        <f t="shared" si="96"/>
        <v>0</v>
      </c>
    </row>
    <row r="2086" spans="1:21" ht="10.9" customHeight="1" x14ac:dyDescent="0.2">
      <c r="A2086" s="82" t="s">
        <v>2965</v>
      </c>
      <c r="B2086" s="83">
        <v>45910</v>
      </c>
      <c r="C2086" s="82" t="s">
        <v>3395</v>
      </c>
      <c r="D2086" s="82" t="s">
        <v>1057</v>
      </c>
      <c r="E2086" s="82"/>
      <c r="F2086" s="82" t="s">
        <v>4888</v>
      </c>
      <c r="G2086" s="89">
        <v>1</v>
      </c>
      <c r="H2086" s="89">
        <v>2681.25</v>
      </c>
      <c r="I2086" s="85">
        <v>0</v>
      </c>
      <c r="J2086" s="85">
        <v>134.06</v>
      </c>
      <c r="K2086" s="85">
        <v>2815.31</v>
      </c>
      <c r="L2086" s="85">
        <v>3201.29</v>
      </c>
      <c r="M2086" s="89">
        <v>2681.25</v>
      </c>
      <c r="N2086" s="85">
        <v>0</v>
      </c>
      <c r="O2086" s="85">
        <v>134.06</v>
      </c>
      <c r="P2086" s="85">
        <v>2815.31</v>
      </c>
      <c r="Q2086" s="85">
        <v>3201.29</v>
      </c>
      <c r="R2086" s="82" t="s">
        <v>3399</v>
      </c>
      <c r="S2086" s="7">
        <f t="shared" si="97"/>
        <v>0</v>
      </c>
      <c r="T2086" s="6">
        <f t="shared" si="98"/>
        <v>0</v>
      </c>
      <c r="U2086" s="25">
        <f t="shared" si="96"/>
        <v>0</v>
      </c>
    </row>
    <row r="2087" spans="1:21" ht="10.9" customHeight="1" x14ac:dyDescent="0.2">
      <c r="A2087" s="82" t="s">
        <v>2965</v>
      </c>
      <c r="B2087" s="83">
        <v>45910</v>
      </c>
      <c r="C2087" s="82" t="s">
        <v>3395</v>
      </c>
      <c r="D2087" s="82" t="s">
        <v>1057</v>
      </c>
      <c r="E2087" s="82"/>
      <c r="F2087" s="82" t="s">
        <v>4887</v>
      </c>
      <c r="G2087" s="89">
        <v>4</v>
      </c>
      <c r="H2087" s="89">
        <v>91.9</v>
      </c>
      <c r="I2087" s="85">
        <v>0</v>
      </c>
      <c r="J2087" s="85">
        <v>18.38</v>
      </c>
      <c r="K2087" s="85">
        <v>385.98</v>
      </c>
      <c r="L2087" s="85">
        <v>3201.29</v>
      </c>
      <c r="M2087" s="89">
        <v>91.9</v>
      </c>
      <c r="N2087" s="85">
        <v>0</v>
      </c>
      <c r="O2087" s="85">
        <v>18.38</v>
      </c>
      <c r="P2087" s="85">
        <v>385.98</v>
      </c>
      <c r="Q2087" s="85">
        <v>3201.29</v>
      </c>
      <c r="R2087" s="82" t="s">
        <v>3399</v>
      </c>
      <c r="S2087" s="7">
        <f t="shared" si="97"/>
        <v>0</v>
      </c>
      <c r="T2087" s="6">
        <f t="shared" si="98"/>
        <v>0</v>
      </c>
      <c r="U2087" s="25">
        <f t="shared" si="96"/>
        <v>0</v>
      </c>
    </row>
    <row r="2088" spans="1:21" ht="10.9" customHeight="1" x14ac:dyDescent="0.2">
      <c r="A2088" s="82" t="s">
        <v>3141</v>
      </c>
      <c r="B2088" s="83">
        <v>45910</v>
      </c>
      <c r="C2088" s="82" t="s">
        <v>3395</v>
      </c>
      <c r="D2088" s="82" t="s">
        <v>725</v>
      </c>
      <c r="E2088" s="82"/>
      <c r="F2088" s="82" t="s">
        <v>4676</v>
      </c>
      <c r="G2088" s="89">
        <v>5</v>
      </c>
      <c r="H2088" s="89">
        <v>1210.4100000000001</v>
      </c>
      <c r="I2088" s="85">
        <v>0</v>
      </c>
      <c r="J2088" s="85">
        <v>786.77</v>
      </c>
      <c r="K2088" s="85">
        <v>6838.82</v>
      </c>
      <c r="L2088" s="85">
        <v>31104.05</v>
      </c>
      <c r="M2088" s="89">
        <v>1210.4100000000001</v>
      </c>
      <c r="N2088" s="85">
        <v>0</v>
      </c>
      <c r="O2088" s="85">
        <v>786.77</v>
      </c>
      <c r="P2088" s="85">
        <v>6838.82</v>
      </c>
      <c r="Q2088" s="85">
        <v>31104.05</v>
      </c>
      <c r="R2088" s="82" t="s">
        <v>3399</v>
      </c>
      <c r="S2088" s="7">
        <f t="shared" si="97"/>
        <v>0</v>
      </c>
      <c r="T2088" s="6">
        <f t="shared" si="98"/>
        <v>0</v>
      </c>
      <c r="U2088" s="25">
        <f t="shared" si="96"/>
        <v>0</v>
      </c>
    </row>
    <row r="2089" spans="1:21" ht="10.9" customHeight="1" x14ac:dyDescent="0.2">
      <c r="A2089" s="82" t="s">
        <v>3141</v>
      </c>
      <c r="B2089" s="83">
        <v>45910</v>
      </c>
      <c r="C2089" s="82" t="s">
        <v>3395</v>
      </c>
      <c r="D2089" s="82" t="s">
        <v>725</v>
      </c>
      <c r="E2089" s="82"/>
      <c r="F2089" s="82" t="s">
        <v>4685</v>
      </c>
      <c r="G2089" s="89">
        <v>5</v>
      </c>
      <c r="H2089" s="89">
        <v>1061.78</v>
      </c>
      <c r="I2089" s="85">
        <v>0</v>
      </c>
      <c r="J2089" s="85">
        <v>690.16</v>
      </c>
      <c r="K2089" s="85">
        <v>5999.06</v>
      </c>
      <c r="L2089" s="85">
        <v>31104.05</v>
      </c>
      <c r="M2089" s="89">
        <v>1061.78</v>
      </c>
      <c r="N2089" s="85">
        <v>0</v>
      </c>
      <c r="O2089" s="85">
        <v>690.16</v>
      </c>
      <c r="P2089" s="85">
        <v>5999.06</v>
      </c>
      <c r="Q2089" s="85">
        <v>31104.05</v>
      </c>
      <c r="R2089" s="82" t="s">
        <v>3399</v>
      </c>
      <c r="S2089" s="7">
        <f t="shared" si="97"/>
        <v>0</v>
      </c>
      <c r="T2089" s="6">
        <f t="shared" si="98"/>
        <v>0</v>
      </c>
      <c r="U2089" s="25">
        <f t="shared" si="96"/>
        <v>0</v>
      </c>
    </row>
    <row r="2090" spans="1:21" ht="10.9" customHeight="1" x14ac:dyDescent="0.2">
      <c r="A2090" s="82" t="s">
        <v>3141</v>
      </c>
      <c r="B2090" s="83">
        <v>45910</v>
      </c>
      <c r="C2090" s="82" t="s">
        <v>3395</v>
      </c>
      <c r="D2090" s="82" t="s">
        <v>725</v>
      </c>
      <c r="E2090" s="82"/>
      <c r="F2090" s="82" t="s">
        <v>4424</v>
      </c>
      <c r="G2090" s="89">
        <v>5</v>
      </c>
      <c r="H2090" s="89">
        <v>1161.3399999999999</v>
      </c>
      <c r="I2090" s="85">
        <v>0</v>
      </c>
      <c r="J2090" s="85">
        <v>754.87</v>
      </c>
      <c r="K2090" s="85">
        <v>6561.57</v>
      </c>
      <c r="L2090" s="85">
        <v>31104.05</v>
      </c>
      <c r="M2090" s="89">
        <v>1161.3399999999999</v>
      </c>
      <c r="N2090" s="85">
        <v>0</v>
      </c>
      <c r="O2090" s="85">
        <v>754.87</v>
      </c>
      <c r="P2090" s="85">
        <v>6561.57</v>
      </c>
      <c r="Q2090" s="85">
        <v>31104.05</v>
      </c>
      <c r="R2090" s="82" t="s">
        <v>3399</v>
      </c>
      <c r="S2090" s="7">
        <f t="shared" si="97"/>
        <v>0</v>
      </c>
      <c r="T2090" s="6">
        <f t="shared" si="98"/>
        <v>0</v>
      </c>
      <c r="U2090" s="25">
        <f t="shared" si="96"/>
        <v>0</v>
      </c>
    </row>
    <row r="2091" spans="1:21" ht="10.9" customHeight="1" x14ac:dyDescent="0.2">
      <c r="A2091" s="82" t="s">
        <v>3141</v>
      </c>
      <c r="B2091" s="83">
        <v>45910</v>
      </c>
      <c r="C2091" s="82" t="s">
        <v>3395</v>
      </c>
      <c r="D2091" s="82" t="s">
        <v>725</v>
      </c>
      <c r="E2091" s="82"/>
      <c r="F2091" s="82" t="s">
        <v>4805</v>
      </c>
      <c r="G2091" s="89">
        <v>5</v>
      </c>
      <c r="H2091" s="89">
        <v>40</v>
      </c>
      <c r="I2091" s="85">
        <v>200</v>
      </c>
      <c r="J2091" s="85">
        <v>0</v>
      </c>
      <c r="K2091" s="85">
        <v>0</v>
      </c>
      <c r="L2091" s="85">
        <v>31104.05</v>
      </c>
      <c r="M2091" s="89">
        <v>40</v>
      </c>
      <c r="N2091" s="85">
        <v>200</v>
      </c>
      <c r="O2091" s="85">
        <v>0</v>
      </c>
      <c r="P2091" s="85">
        <v>0</v>
      </c>
      <c r="Q2091" s="85">
        <v>31104.05</v>
      </c>
      <c r="R2091" s="82" t="s">
        <v>3399</v>
      </c>
      <c r="S2091" s="7">
        <f t="shared" si="97"/>
        <v>0</v>
      </c>
      <c r="T2091" s="6">
        <f t="shared" si="98"/>
        <v>0</v>
      </c>
      <c r="U2091" s="25">
        <f t="shared" si="96"/>
        <v>0</v>
      </c>
    </row>
    <row r="2092" spans="1:21" ht="10.9" customHeight="1" x14ac:dyDescent="0.2">
      <c r="A2092" s="82" t="s">
        <v>3141</v>
      </c>
      <c r="B2092" s="83">
        <v>45910</v>
      </c>
      <c r="C2092" s="82" t="s">
        <v>3395</v>
      </c>
      <c r="D2092" s="82" t="s">
        <v>725</v>
      </c>
      <c r="E2092" s="82"/>
      <c r="F2092" s="82" t="s">
        <v>4425</v>
      </c>
      <c r="G2092" s="89">
        <v>5</v>
      </c>
      <c r="H2092" s="89">
        <v>1140.3900000000001</v>
      </c>
      <c r="I2092" s="85">
        <v>0</v>
      </c>
      <c r="J2092" s="85">
        <v>741.25</v>
      </c>
      <c r="K2092" s="85">
        <v>6443.2</v>
      </c>
      <c r="L2092" s="85">
        <v>31104.05</v>
      </c>
      <c r="M2092" s="89">
        <v>1140.3900000000001</v>
      </c>
      <c r="N2092" s="85">
        <v>0</v>
      </c>
      <c r="O2092" s="85">
        <v>741.25</v>
      </c>
      <c r="P2092" s="85">
        <v>6443.2</v>
      </c>
      <c r="Q2092" s="85">
        <v>31104.05</v>
      </c>
      <c r="R2092" s="82" t="s">
        <v>3399</v>
      </c>
      <c r="S2092" s="7">
        <f t="shared" si="97"/>
        <v>0</v>
      </c>
      <c r="T2092" s="6">
        <f t="shared" si="98"/>
        <v>0</v>
      </c>
      <c r="U2092" s="25">
        <f t="shared" si="96"/>
        <v>0</v>
      </c>
    </row>
    <row r="2093" spans="1:21" ht="10.9" customHeight="1" x14ac:dyDescent="0.2">
      <c r="A2093" s="82" t="s">
        <v>3141</v>
      </c>
      <c r="B2093" s="83">
        <v>45910</v>
      </c>
      <c r="C2093" s="82" t="s">
        <v>3395</v>
      </c>
      <c r="D2093" s="82" t="s">
        <v>725</v>
      </c>
      <c r="E2093" s="82"/>
      <c r="F2093" s="82" t="s">
        <v>4806</v>
      </c>
      <c r="G2093" s="89">
        <v>4</v>
      </c>
      <c r="H2093" s="89">
        <v>40</v>
      </c>
      <c r="I2093" s="85">
        <v>160</v>
      </c>
      <c r="J2093" s="85">
        <v>0</v>
      </c>
      <c r="K2093" s="85">
        <v>0</v>
      </c>
      <c r="L2093" s="85">
        <v>31104.05</v>
      </c>
      <c r="M2093" s="89">
        <v>40</v>
      </c>
      <c r="N2093" s="85">
        <v>160</v>
      </c>
      <c r="O2093" s="85">
        <v>0</v>
      </c>
      <c r="P2093" s="85">
        <v>0</v>
      </c>
      <c r="Q2093" s="85">
        <v>31104.05</v>
      </c>
      <c r="R2093" s="82" t="s">
        <v>3399</v>
      </c>
      <c r="S2093" s="7">
        <f t="shared" si="97"/>
        <v>0</v>
      </c>
      <c r="T2093" s="6">
        <f t="shared" si="98"/>
        <v>0</v>
      </c>
      <c r="U2093" s="25">
        <f t="shared" si="96"/>
        <v>0</v>
      </c>
    </row>
    <row r="2094" spans="1:21" ht="10.9" customHeight="1" x14ac:dyDescent="0.2">
      <c r="A2094" s="82" t="s">
        <v>3141</v>
      </c>
      <c r="B2094" s="83">
        <v>45910</v>
      </c>
      <c r="C2094" s="82" t="s">
        <v>3395</v>
      </c>
      <c r="D2094" s="82" t="s">
        <v>725</v>
      </c>
      <c r="E2094" s="82"/>
      <c r="F2094" s="82" t="s">
        <v>4674</v>
      </c>
      <c r="G2094" s="89">
        <v>5</v>
      </c>
      <c r="H2094" s="89">
        <v>444.18</v>
      </c>
      <c r="I2094" s="85">
        <v>0</v>
      </c>
      <c r="J2094" s="85">
        <v>288.72000000000003</v>
      </c>
      <c r="K2094" s="85">
        <v>2509.62</v>
      </c>
      <c r="L2094" s="85">
        <v>31104.05</v>
      </c>
      <c r="M2094" s="89">
        <v>444.18</v>
      </c>
      <c r="N2094" s="85">
        <v>0</v>
      </c>
      <c r="O2094" s="85">
        <v>288.72000000000003</v>
      </c>
      <c r="P2094" s="85">
        <v>2509.62</v>
      </c>
      <c r="Q2094" s="85">
        <v>31104.05</v>
      </c>
      <c r="R2094" s="82" t="s">
        <v>3399</v>
      </c>
      <c r="S2094" s="7">
        <f t="shared" si="97"/>
        <v>0</v>
      </c>
      <c r="T2094" s="6">
        <f t="shared" si="98"/>
        <v>0</v>
      </c>
      <c r="U2094" s="25">
        <f t="shared" si="96"/>
        <v>0</v>
      </c>
    </row>
    <row r="2095" spans="1:21" ht="10.9" customHeight="1" x14ac:dyDescent="0.2">
      <c r="A2095" s="82" t="s">
        <v>3141</v>
      </c>
      <c r="B2095" s="83">
        <v>45910</v>
      </c>
      <c r="C2095" s="82" t="s">
        <v>3395</v>
      </c>
      <c r="D2095" s="82" t="s">
        <v>725</v>
      </c>
      <c r="E2095" s="82"/>
      <c r="F2095" s="82" t="s">
        <v>4675</v>
      </c>
      <c r="G2095" s="89">
        <v>5</v>
      </c>
      <c r="H2095" s="89">
        <v>281.29000000000002</v>
      </c>
      <c r="I2095" s="85">
        <v>0</v>
      </c>
      <c r="J2095" s="85">
        <v>182.84</v>
      </c>
      <c r="K2095" s="85">
        <v>1589.29</v>
      </c>
      <c r="L2095" s="85">
        <v>31104.05</v>
      </c>
      <c r="M2095" s="89">
        <v>281.29000000000002</v>
      </c>
      <c r="N2095" s="85">
        <v>0</v>
      </c>
      <c r="O2095" s="85">
        <v>182.84</v>
      </c>
      <c r="P2095" s="85">
        <v>1589.29</v>
      </c>
      <c r="Q2095" s="85">
        <v>31104.05</v>
      </c>
      <c r="R2095" s="82" t="s">
        <v>3399</v>
      </c>
      <c r="S2095" s="7">
        <f t="shared" si="97"/>
        <v>0</v>
      </c>
      <c r="T2095" s="6">
        <f t="shared" si="98"/>
        <v>0</v>
      </c>
      <c r="U2095" s="25">
        <f t="shared" si="96"/>
        <v>0</v>
      </c>
    </row>
    <row r="2096" spans="1:21" ht="10.9" customHeight="1" x14ac:dyDescent="0.2">
      <c r="A2096" s="82" t="s">
        <v>3141</v>
      </c>
      <c r="B2096" s="83">
        <v>45910</v>
      </c>
      <c r="C2096" s="82" t="s">
        <v>3395</v>
      </c>
      <c r="D2096" s="82" t="s">
        <v>725</v>
      </c>
      <c r="E2096" s="82"/>
      <c r="F2096" s="82" t="s">
        <v>4673</v>
      </c>
      <c r="G2096" s="89">
        <v>5</v>
      </c>
      <c r="H2096" s="89">
        <v>151.54</v>
      </c>
      <c r="I2096" s="85">
        <v>0</v>
      </c>
      <c r="J2096" s="85">
        <v>98.5</v>
      </c>
      <c r="K2096" s="85">
        <v>856.2</v>
      </c>
      <c r="L2096" s="85">
        <v>31104.05</v>
      </c>
      <c r="M2096" s="89">
        <v>151.54</v>
      </c>
      <c r="N2096" s="85">
        <v>0</v>
      </c>
      <c r="O2096" s="85">
        <v>98.5</v>
      </c>
      <c r="P2096" s="85">
        <v>856.2</v>
      </c>
      <c r="Q2096" s="85">
        <v>31104.05</v>
      </c>
      <c r="R2096" s="82" t="s">
        <v>3399</v>
      </c>
      <c r="S2096" s="7">
        <f t="shared" si="97"/>
        <v>0</v>
      </c>
      <c r="T2096" s="6">
        <f t="shared" si="98"/>
        <v>0</v>
      </c>
      <c r="U2096" s="25">
        <f t="shared" si="96"/>
        <v>0</v>
      </c>
    </row>
    <row r="2097" spans="1:21" ht="10.9" customHeight="1" x14ac:dyDescent="0.2">
      <c r="A2097" s="82" t="s">
        <v>3141</v>
      </c>
      <c r="B2097" s="83">
        <v>45910</v>
      </c>
      <c r="C2097" s="82" t="s">
        <v>3395</v>
      </c>
      <c r="D2097" s="82" t="s">
        <v>725</v>
      </c>
      <c r="E2097" s="82"/>
      <c r="F2097" s="82" t="s">
        <v>4672</v>
      </c>
      <c r="G2097" s="89">
        <v>5</v>
      </c>
      <c r="H2097" s="89">
        <v>54.21</v>
      </c>
      <c r="I2097" s="85">
        <v>0</v>
      </c>
      <c r="J2097" s="85">
        <v>35.24</v>
      </c>
      <c r="K2097" s="85">
        <v>306.29000000000002</v>
      </c>
      <c r="L2097" s="85">
        <v>31104.05</v>
      </c>
      <c r="M2097" s="89">
        <v>54.21</v>
      </c>
      <c r="N2097" s="85">
        <v>0</v>
      </c>
      <c r="O2097" s="85">
        <v>35.24</v>
      </c>
      <c r="P2097" s="85">
        <v>306.29000000000002</v>
      </c>
      <c r="Q2097" s="85">
        <v>31104.05</v>
      </c>
      <c r="R2097" s="82" t="s">
        <v>3399</v>
      </c>
      <c r="S2097" s="7">
        <f t="shared" si="97"/>
        <v>0</v>
      </c>
      <c r="T2097" s="6">
        <f t="shared" si="98"/>
        <v>0</v>
      </c>
      <c r="U2097" s="25">
        <f t="shared" si="96"/>
        <v>0</v>
      </c>
    </row>
    <row r="2098" spans="1:21" ht="10.9" customHeight="1" x14ac:dyDescent="0.2">
      <c r="A2098" s="82"/>
      <c r="B2098" s="83">
        <v>45910</v>
      </c>
      <c r="C2098" s="82" t="s">
        <v>3423</v>
      </c>
      <c r="D2098" s="82"/>
      <c r="E2098" s="82"/>
      <c r="F2098" s="82" t="s">
        <v>4886</v>
      </c>
      <c r="G2098" s="89">
        <v>-1</v>
      </c>
      <c r="H2098" s="89">
        <v>570.66</v>
      </c>
      <c r="I2098" s="85">
        <v>0</v>
      </c>
      <c r="J2098" s="85">
        <v>0</v>
      </c>
      <c r="K2098" s="85">
        <v>-570.66</v>
      </c>
      <c r="L2098" s="85">
        <v>-570.66</v>
      </c>
      <c r="M2098" s="89">
        <v>570.66</v>
      </c>
      <c r="N2098" s="85">
        <v>0</v>
      </c>
      <c r="O2098" s="85">
        <v>0</v>
      </c>
      <c r="P2098" s="85">
        <v>-570.66</v>
      </c>
      <c r="Q2098" s="85">
        <v>-570.66</v>
      </c>
      <c r="R2098" s="82" t="s">
        <v>4511</v>
      </c>
      <c r="S2098" s="7">
        <f t="shared" si="97"/>
        <v>0</v>
      </c>
      <c r="T2098" s="6">
        <f t="shared" si="98"/>
        <v>0</v>
      </c>
      <c r="U2098" s="25">
        <f t="shared" si="96"/>
        <v>0</v>
      </c>
    </row>
    <row r="2099" spans="1:21" ht="10.9" customHeight="1" x14ac:dyDescent="0.2">
      <c r="A2099" s="82" t="s">
        <v>3462</v>
      </c>
      <c r="B2099" s="83">
        <v>45911</v>
      </c>
      <c r="C2099" s="82" t="s">
        <v>3395</v>
      </c>
      <c r="D2099" s="82" t="s">
        <v>951</v>
      </c>
      <c r="E2099" s="82"/>
      <c r="F2099" s="82" t="s">
        <v>4884</v>
      </c>
      <c r="G2099" s="89">
        <v>1</v>
      </c>
      <c r="H2099" s="89">
        <v>36.295200000000001</v>
      </c>
      <c r="I2099" s="85">
        <v>-4.7999999999999996E-3</v>
      </c>
      <c r="J2099" s="85">
        <v>1.81</v>
      </c>
      <c r="K2099" s="85">
        <v>38.11</v>
      </c>
      <c r="L2099" s="85">
        <v>184.96</v>
      </c>
      <c r="M2099" s="89">
        <v>36.295200000000001</v>
      </c>
      <c r="N2099" s="85">
        <v>-4.7999999999999996E-3</v>
      </c>
      <c r="O2099" s="85">
        <v>1.81</v>
      </c>
      <c r="P2099" s="85">
        <v>38.11</v>
      </c>
      <c r="Q2099" s="85">
        <v>184.96</v>
      </c>
      <c r="R2099" s="82" t="s">
        <v>3399</v>
      </c>
      <c r="S2099" s="7">
        <f t="shared" si="97"/>
        <v>0</v>
      </c>
      <c r="T2099" s="6">
        <f t="shared" si="98"/>
        <v>0</v>
      </c>
      <c r="U2099" s="25">
        <f t="shared" si="96"/>
        <v>0</v>
      </c>
    </row>
    <row r="2100" spans="1:21" ht="10.9" customHeight="1" x14ac:dyDescent="0.2">
      <c r="A2100" s="82" t="s">
        <v>3462</v>
      </c>
      <c r="B2100" s="83">
        <v>45911</v>
      </c>
      <c r="C2100" s="82" t="s">
        <v>3395</v>
      </c>
      <c r="D2100" s="82" t="s">
        <v>951</v>
      </c>
      <c r="E2100" s="82"/>
      <c r="F2100" s="82" t="s">
        <v>4883</v>
      </c>
      <c r="G2100" s="89">
        <v>4</v>
      </c>
      <c r="H2100" s="89">
        <v>10.123799999999999</v>
      </c>
      <c r="I2100" s="85">
        <v>-4.7999999999999996E-3</v>
      </c>
      <c r="J2100" s="85">
        <v>2.02</v>
      </c>
      <c r="K2100" s="85">
        <v>42.52</v>
      </c>
      <c r="L2100" s="85">
        <v>184.96</v>
      </c>
      <c r="M2100" s="89">
        <v>10.123799999999999</v>
      </c>
      <c r="N2100" s="85">
        <v>-4.7999999999999996E-3</v>
      </c>
      <c r="O2100" s="85">
        <v>2.02</v>
      </c>
      <c r="P2100" s="85">
        <v>42.52</v>
      </c>
      <c r="Q2100" s="85">
        <v>184.96</v>
      </c>
      <c r="R2100" s="82" t="s">
        <v>3399</v>
      </c>
      <c r="S2100" s="7">
        <f t="shared" si="97"/>
        <v>0</v>
      </c>
      <c r="T2100" s="6">
        <f t="shared" si="98"/>
        <v>0</v>
      </c>
      <c r="U2100" s="25">
        <f t="shared" si="96"/>
        <v>0</v>
      </c>
    </row>
    <row r="2101" spans="1:21" ht="10.9" customHeight="1" x14ac:dyDescent="0.2">
      <c r="A2101" s="82" t="s">
        <v>3462</v>
      </c>
      <c r="B2101" s="83">
        <v>45911</v>
      </c>
      <c r="C2101" s="82" t="s">
        <v>3395</v>
      </c>
      <c r="D2101" s="82" t="s">
        <v>951</v>
      </c>
      <c r="E2101" s="82"/>
      <c r="F2101" s="82" t="s">
        <v>4882</v>
      </c>
      <c r="G2101" s="89">
        <v>2</v>
      </c>
      <c r="H2101" s="89">
        <v>30.9238</v>
      </c>
      <c r="I2101" s="85">
        <v>-2.3999999999999998E-3</v>
      </c>
      <c r="J2101" s="85">
        <v>3.09</v>
      </c>
      <c r="K2101" s="85">
        <v>64.94</v>
      </c>
      <c r="L2101" s="85">
        <v>184.96</v>
      </c>
      <c r="M2101" s="89">
        <v>30.9238</v>
      </c>
      <c r="N2101" s="85">
        <v>-2.3999999999999998E-3</v>
      </c>
      <c r="O2101" s="85">
        <v>3.09</v>
      </c>
      <c r="P2101" s="85">
        <v>64.94</v>
      </c>
      <c r="Q2101" s="85">
        <v>184.96</v>
      </c>
      <c r="R2101" s="82" t="s">
        <v>3399</v>
      </c>
      <c r="S2101" s="7">
        <f t="shared" si="97"/>
        <v>0</v>
      </c>
      <c r="T2101" s="6">
        <f t="shared" si="98"/>
        <v>0</v>
      </c>
      <c r="U2101" s="25">
        <f t="shared" si="96"/>
        <v>0</v>
      </c>
    </row>
    <row r="2102" spans="1:21" ht="10.9" customHeight="1" x14ac:dyDescent="0.2">
      <c r="A2102" s="82" t="s">
        <v>3462</v>
      </c>
      <c r="B2102" s="83">
        <v>45911</v>
      </c>
      <c r="C2102" s="82" t="s">
        <v>3395</v>
      </c>
      <c r="D2102" s="82" t="s">
        <v>951</v>
      </c>
      <c r="E2102" s="82"/>
      <c r="F2102" s="82" t="s">
        <v>4881</v>
      </c>
      <c r="G2102" s="89">
        <v>1</v>
      </c>
      <c r="H2102" s="89">
        <v>11.3238</v>
      </c>
      <c r="I2102" s="85">
        <v>0</v>
      </c>
      <c r="J2102" s="85">
        <v>0.56999999999999995</v>
      </c>
      <c r="K2102" s="85">
        <v>11.89</v>
      </c>
      <c r="L2102" s="85">
        <v>184.96</v>
      </c>
      <c r="M2102" s="89">
        <v>11.3238</v>
      </c>
      <c r="N2102" s="85">
        <v>0</v>
      </c>
      <c r="O2102" s="85">
        <v>0.56999999999999995</v>
      </c>
      <c r="P2102" s="85">
        <v>11.89</v>
      </c>
      <c r="Q2102" s="85">
        <v>184.96</v>
      </c>
      <c r="R2102" s="82" t="s">
        <v>3399</v>
      </c>
      <c r="S2102" s="7">
        <f t="shared" si="97"/>
        <v>0</v>
      </c>
      <c r="T2102" s="6">
        <f t="shared" si="98"/>
        <v>0</v>
      </c>
      <c r="U2102" s="25">
        <f t="shared" si="96"/>
        <v>0</v>
      </c>
    </row>
    <row r="2103" spans="1:21" ht="10.9" customHeight="1" x14ac:dyDescent="0.2">
      <c r="A2103" s="82" t="s">
        <v>3462</v>
      </c>
      <c r="B2103" s="83">
        <v>45911</v>
      </c>
      <c r="C2103" s="82" t="s">
        <v>3395</v>
      </c>
      <c r="D2103" s="82" t="s">
        <v>951</v>
      </c>
      <c r="E2103" s="82"/>
      <c r="F2103" s="82" t="s">
        <v>4880</v>
      </c>
      <c r="G2103" s="89">
        <v>2</v>
      </c>
      <c r="H2103" s="89">
        <v>13.0952</v>
      </c>
      <c r="I2103" s="85">
        <v>0</v>
      </c>
      <c r="J2103" s="85">
        <v>1.31</v>
      </c>
      <c r="K2103" s="85">
        <v>27.5</v>
      </c>
      <c r="L2103" s="85">
        <v>184.96</v>
      </c>
      <c r="M2103" s="89">
        <v>13.0952</v>
      </c>
      <c r="N2103" s="85">
        <v>0</v>
      </c>
      <c r="O2103" s="85">
        <v>1.31</v>
      </c>
      <c r="P2103" s="85">
        <v>27.5</v>
      </c>
      <c r="Q2103" s="85">
        <v>184.96</v>
      </c>
      <c r="R2103" s="82" t="s">
        <v>3399</v>
      </c>
      <c r="S2103" s="7">
        <f t="shared" si="97"/>
        <v>0</v>
      </c>
      <c r="T2103" s="6">
        <f t="shared" si="98"/>
        <v>0</v>
      </c>
      <c r="U2103" s="25">
        <f t="shared" si="96"/>
        <v>0</v>
      </c>
    </row>
    <row r="2104" spans="1:21" ht="10.9" customHeight="1" x14ac:dyDescent="0.2">
      <c r="A2104" s="82" t="s">
        <v>3126</v>
      </c>
      <c r="B2104" s="83">
        <v>45911</v>
      </c>
      <c r="C2104" s="82" t="s">
        <v>3395</v>
      </c>
      <c r="D2104" s="82" t="s">
        <v>759</v>
      </c>
      <c r="E2104" s="82"/>
      <c r="F2104" s="82" t="s">
        <v>4879</v>
      </c>
      <c r="G2104" s="89">
        <v>3</v>
      </c>
      <c r="H2104" s="89">
        <v>2748.11</v>
      </c>
      <c r="I2104" s="85">
        <v>0</v>
      </c>
      <c r="J2104" s="85">
        <v>0</v>
      </c>
      <c r="K2104" s="85">
        <v>8244.33</v>
      </c>
      <c r="L2104" s="85">
        <v>13714.03</v>
      </c>
      <c r="M2104" s="89">
        <v>3800.9399619367973</v>
      </c>
      <c r="N2104" s="85">
        <v>0</v>
      </c>
      <c r="O2104" s="85">
        <v>0</v>
      </c>
      <c r="P2104" s="85">
        <v>11402.819885810391</v>
      </c>
      <c r="Q2104" s="85">
        <v>18968.019717624149</v>
      </c>
      <c r="R2104" s="82" t="s">
        <v>3399</v>
      </c>
      <c r="S2104" s="7">
        <f t="shared" si="97"/>
        <v>0</v>
      </c>
      <c r="T2104" s="6">
        <f t="shared" si="98"/>
        <v>0</v>
      </c>
      <c r="U2104" s="25">
        <f t="shared" si="96"/>
        <v>0</v>
      </c>
    </row>
    <row r="2105" spans="1:21" ht="10.9" customHeight="1" x14ac:dyDescent="0.2">
      <c r="A2105" s="82" t="s">
        <v>3126</v>
      </c>
      <c r="B2105" s="83">
        <v>45911</v>
      </c>
      <c r="C2105" s="82" t="s">
        <v>3395</v>
      </c>
      <c r="D2105" s="82" t="s">
        <v>759</v>
      </c>
      <c r="E2105" s="82"/>
      <c r="F2105" s="82" t="s">
        <v>4878</v>
      </c>
      <c r="G2105" s="89">
        <v>2</v>
      </c>
      <c r="H2105" s="89">
        <v>459.18</v>
      </c>
      <c r="I2105" s="85">
        <v>0</v>
      </c>
      <c r="J2105" s="85">
        <v>0</v>
      </c>
      <c r="K2105" s="85">
        <v>918.36</v>
      </c>
      <c r="L2105" s="85">
        <v>13714.03</v>
      </c>
      <c r="M2105" s="89">
        <v>635.096707090378</v>
      </c>
      <c r="N2105" s="85">
        <v>0</v>
      </c>
      <c r="O2105" s="85">
        <v>0</v>
      </c>
      <c r="P2105" s="85">
        <v>1270.193414180756</v>
      </c>
      <c r="Q2105" s="85">
        <v>18968.019717624149</v>
      </c>
      <c r="R2105" s="82" t="s">
        <v>3399</v>
      </c>
      <c r="S2105" s="7">
        <f t="shared" si="97"/>
        <v>0</v>
      </c>
      <c r="T2105" s="6">
        <f t="shared" si="98"/>
        <v>0</v>
      </c>
      <c r="U2105" s="25">
        <f t="shared" si="96"/>
        <v>0</v>
      </c>
    </row>
    <row r="2106" spans="1:21" ht="10.9" customHeight="1" x14ac:dyDescent="0.2">
      <c r="A2106" s="82" t="s">
        <v>3126</v>
      </c>
      <c r="B2106" s="83">
        <v>45911</v>
      </c>
      <c r="C2106" s="82" t="s">
        <v>3395</v>
      </c>
      <c r="D2106" s="82" t="s">
        <v>759</v>
      </c>
      <c r="E2106" s="82"/>
      <c r="F2106" s="82" t="s">
        <v>4877</v>
      </c>
      <c r="G2106" s="89">
        <v>3</v>
      </c>
      <c r="H2106" s="89">
        <v>1309.78</v>
      </c>
      <c r="I2106" s="85">
        <v>0</v>
      </c>
      <c r="J2106" s="85">
        <v>0</v>
      </c>
      <c r="K2106" s="85">
        <v>3929.34</v>
      </c>
      <c r="L2106" s="85">
        <v>13714.03</v>
      </c>
      <c r="M2106" s="89">
        <v>1811.570549703461</v>
      </c>
      <c r="N2106" s="85">
        <v>0</v>
      </c>
      <c r="O2106" s="85">
        <v>0</v>
      </c>
      <c r="P2106" s="85">
        <v>5434.7116491103834</v>
      </c>
      <c r="Q2106" s="85">
        <v>18968.019717624149</v>
      </c>
      <c r="R2106" s="82" t="s">
        <v>3399</v>
      </c>
      <c r="S2106" s="7">
        <f t="shared" si="97"/>
        <v>0</v>
      </c>
      <c r="T2106" s="6">
        <f t="shared" si="98"/>
        <v>0</v>
      </c>
      <c r="U2106" s="25">
        <f t="shared" si="96"/>
        <v>0</v>
      </c>
    </row>
    <row r="2107" spans="1:21" ht="10.9" customHeight="1" x14ac:dyDescent="0.2">
      <c r="A2107" s="82" t="s">
        <v>3126</v>
      </c>
      <c r="B2107" s="83">
        <v>45911</v>
      </c>
      <c r="C2107" s="82" t="s">
        <v>3395</v>
      </c>
      <c r="D2107" s="82" t="s">
        <v>759</v>
      </c>
      <c r="E2107" s="82"/>
      <c r="F2107" s="82" t="s">
        <v>4393</v>
      </c>
      <c r="G2107" s="89">
        <v>1</v>
      </c>
      <c r="H2107" s="89">
        <v>622</v>
      </c>
      <c r="I2107" s="85">
        <v>0</v>
      </c>
      <c r="J2107" s="85">
        <v>0</v>
      </c>
      <c r="K2107" s="85">
        <v>622</v>
      </c>
      <c r="L2107" s="85">
        <v>13714.03</v>
      </c>
      <c r="M2107" s="89">
        <v>860.29476852261666</v>
      </c>
      <c r="N2107" s="85">
        <v>0</v>
      </c>
      <c r="O2107" s="85">
        <v>0</v>
      </c>
      <c r="P2107" s="85">
        <v>860.29476852261666</v>
      </c>
      <c r="Q2107" s="85">
        <v>18968.019717624149</v>
      </c>
      <c r="R2107" s="82" t="s">
        <v>3399</v>
      </c>
      <c r="S2107" s="7" t="str">
        <f t="shared" si="97"/>
        <v>INV13384</v>
      </c>
      <c r="T2107" s="6">
        <f t="shared" si="98"/>
        <v>1</v>
      </c>
      <c r="U2107" s="25">
        <f t="shared" si="96"/>
        <v>622</v>
      </c>
    </row>
    <row r="2108" spans="1:21" ht="10.9" customHeight="1" x14ac:dyDescent="0.2">
      <c r="A2108" s="82"/>
      <c r="B2108" s="83">
        <v>45911</v>
      </c>
      <c r="C2108" s="82" t="s">
        <v>3423</v>
      </c>
      <c r="D2108" s="82"/>
      <c r="E2108" s="82"/>
      <c r="F2108" s="82" t="s">
        <v>4645</v>
      </c>
      <c r="G2108" s="89">
        <v>-1</v>
      </c>
      <c r="H2108" s="89">
        <v>132.47</v>
      </c>
      <c r="I2108" s="85">
        <v>0</v>
      </c>
      <c r="J2108" s="85">
        <v>0</v>
      </c>
      <c r="K2108" s="85">
        <v>-132.47</v>
      </c>
      <c r="L2108" s="85">
        <v>-132.47</v>
      </c>
      <c r="M2108" s="89">
        <v>132.47</v>
      </c>
      <c r="N2108" s="85">
        <v>0</v>
      </c>
      <c r="O2108" s="85">
        <v>0</v>
      </c>
      <c r="P2108" s="85">
        <v>-132.47</v>
      </c>
      <c r="Q2108" s="85">
        <v>-132.47</v>
      </c>
      <c r="R2108" s="82" t="s">
        <v>4511</v>
      </c>
      <c r="S2108" s="7">
        <f t="shared" si="97"/>
        <v>0</v>
      </c>
      <c r="T2108" s="6">
        <f t="shared" si="98"/>
        <v>0</v>
      </c>
      <c r="U2108" s="25">
        <f t="shared" si="96"/>
        <v>0</v>
      </c>
    </row>
    <row r="2109" spans="1:21" ht="10.9" customHeight="1" x14ac:dyDescent="0.2">
      <c r="A2109" s="82"/>
      <c r="B2109" s="83">
        <v>45911</v>
      </c>
      <c r="C2109" s="82" t="s">
        <v>3423</v>
      </c>
      <c r="D2109" s="82"/>
      <c r="E2109" s="82"/>
      <c r="F2109" s="82" t="s">
        <v>4645</v>
      </c>
      <c r="G2109" s="89">
        <v>-1</v>
      </c>
      <c r="H2109" s="89">
        <v>504.47</v>
      </c>
      <c r="I2109" s="85">
        <v>0</v>
      </c>
      <c r="J2109" s="85">
        <v>0</v>
      </c>
      <c r="K2109" s="85">
        <v>-504.47</v>
      </c>
      <c r="L2109" s="85">
        <v>-504.47</v>
      </c>
      <c r="M2109" s="89">
        <v>504.47</v>
      </c>
      <c r="N2109" s="85">
        <v>0</v>
      </c>
      <c r="O2109" s="85">
        <v>0</v>
      </c>
      <c r="P2109" s="85">
        <v>-504.47</v>
      </c>
      <c r="Q2109" s="85">
        <v>-504.47</v>
      </c>
      <c r="R2109" s="82" t="s">
        <v>4511</v>
      </c>
      <c r="S2109" s="7">
        <f t="shared" si="97"/>
        <v>0</v>
      </c>
      <c r="T2109" s="6">
        <f t="shared" si="98"/>
        <v>0</v>
      </c>
      <c r="U2109" s="25">
        <f t="shared" si="96"/>
        <v>0</v>
      </c>
    </row>
    <row r="2110" spans="1:21" ht="10.9" customHeight="1" x14ac:dyDescent="0.2">
      <c r="A2110" s="82" t="s">
        <v>3105</v>
      </c>
      <c r="B2110" s="83">
        <v>45912</v>
      </c>
      <c r="C2110" s="82" t="s">
        <v>3395</v>
      </c>
      <c r="D2110" s="82" t="s">
        <v>798</v>
      </c>
      <c r="E2110" s="82"/>
      <c r="F2110" s="82" t="s">
        <v>4876</v>
      </c>
      <c r="G2110" s="89">
        <v>1</v>
      </c>
      <c r="H2110" s="89">
        <v>389.39</v>
      </c>
      <c r="I2110" s="85">
        <v>0</v>
      </c>
      <c r="J2110" s="85">
        <v>50.62</v>
      </c>
      <c r="K2110" s="85">
        <v>440.01</v>
      </c>
      <c r="L2110" s="85">
        <v>440.01</v>
      </c>
      <c r="M2110" s="89">
        <v>389.39</v>
      </c>
      <c r="N2110" s="85">
        <v>0</v>
      </c>
      <c r="O2110" s="85">
        <v>50.62</v>
      </c>
      <c r="P2110" s="85">
        <v>440.01</v>
      </c>
      <c r="Q2110" s="85">
        <v>440.01</v>
      </c>
      <c r="R2110" s="82" t="s">
        <v>3399</v>
      </c>
      <c r="S2110" s="7">
        <f t="shared" si="97"/>
        <v>0</v>
      </c>
      <c r="T2110" s="6">
        <f t="shared" si="98"/>
        <v>0</v>
      </c>
      <c r="U2110" s="25">
        <f t="shared" si="96"/>
        <v>0</v>
      </c>
    </row>
    <row r="2111" spans="1:21" ht="10.9" customHeight="1" x14ac:dyDescent="0.2">
      <c r="A2111" s="82" t="s">
        <v>3061</v>
      </c>
      <c r="B2111" s="83">
        <v>45912</v>
      </c>
      <c r="C2111" s="82" t="s">
        <v>3395</v>
      </c>
      <c r="D2111" s="82" t="s">
        <v>889</v>
      </c>
      <c r="E2111" s="82"/>
      <c r="F2111" s="82" t="s">
        <v>4875</v>
      </c>
      <c r="G2111" s="89">
        <v>1</v>
      </c>
      <c r="H2111" s="89">
        <v>689.13</v>
      </c>
      <c r="I2111" s="85">
        <v>0</v>
      </c>
      <c r="J2111" s="85">
        <v>34.46</v>
      </c>
      <c r="K2111" s="85">
        <v>723.59</v>
      </c>
      <c r="L2111" s="85">
        <v>1821.57</v>
      </c>
      <c r="M2111" s="89">
        <v>689.13</v>
      </c>
      <c r="N2111" s="85">
        <v>0</v>
      </c>
      <c r="O2111" s="85">
        <v>34.46</v>
      </c>
      <c r="P2111" s="85">
        <v>723.59</v>
      </c>
      <c r="Q2111" s="85">
        <v>1821.57</v>
      </c>
      <c r="R2111" s="82" t="s">
        <v>3399</v>
      </c>
      <c r="S2111" s="7">
        <f t="shared" si="97"/>
        <v>0</v>
      </c>
      <c r="T2111" s="6">
        <f t="shared" si="98"/>
        <v>0</v>
      </c>
      <c r="U2111" s="25">
        <f t="shared" si="96"/>
        <v>0</v>
      </c>
    </row>
    <row r="2112" spans="1:21" ht="10.9" customHeight="1" x14ac:dyDescent="0.2">
      <c r="A2112" s="82" t="s">
        <v>3061</v>
      </c>
      <c r="B2112" s="83">
        <v>45912</v>
      </c>
      <c r="C2112" s="82" t="s">
        <v>3395</v>
      </c>
      <c r="D2112" s="82" t="s">
        <v>889</v>
      </c>
      <c r="E2112" s="82"/>
      <c r="F2112" s="82" t="s">
        <v>4874</v>
      </c>
      <c r="G2112" s="89">
        <v>1</v>
      </c>
      <c r="H2112" s="89">
        <v>716.35</v>
      </c>
      <c r="I2112" s="85">
        <v>0</v>
      </c>
      <c r="J2112" s="85">
        <v>35.82</v>
      </c>
      <c r="K2112" s="85">
        <v>752.17</v>
      </c>
      <c r="L2112" s="85">
        <v>1821.57</v>
      </c>
      <c r="M2112" s="89">
        <v>716.35</v>
      </c>
      <c r="N2112" s="85">
        <v>0</v>
      </c>
      <c r="O2112" s="85">
        <v>35.82</v>
      </c>
      <c r="P2112" s="85">
        <v>752.17</v>
      </c>
      <c r="Q2112" s="85">
        <v>1821.57</v>
      </c>
      <c r="R2112" s="82" t="s">
        <v>3399</v>
      </c>
      <c r="S2112" s="7">
        <f t="shared" si="97"/>
        <v>0</v>
      </c>
      <c r="T2112" s="6">
        <f t="shared" si="98"/>
        <v>0</v>
      </c>
      <c r="U2112" s="25">
        <f t="shared" si="96"/>
        <v>0</v>
      </c>
    </row>
    <row r="2113" spans="1:21" ht="10.9" customHeight="1" x14ac:dyDescent="0.2">
      <c r="A2113" s="82" t="s">
        <v>3061</v>
      </c>
      <c r="B2113" s="83">
        <v>45912</v>
      </c>
      <c r="C2113" s="82" t="s">
        <v>3395</v>
      </c>
      <c r="D2113" s="82" t="s">
        <v>889</v>
      </c>
      <c r="E2113" s="82"/>
      <c r="F2113" s="82" t="s">
        <v>4873</v>
      </c>
      <c r="G2113" s="89">
        <v>3</v>
      </c>
      <c r="H2113" s="89">
        <v>109.78</v>
      </c>
      <c r="I2113" s="85">
        <v>0</v>
      </c>
      <c r="J2113" s="85">
        <v>16.47</v>
      </c>
      <c r="K2113" s="85">
        <v>345.81</v>
      </c>
      <c r="L2113" s="85">
        <v>1821.57</v>
      </c>
      <c r="M2113" s="89">
        <v>109.78</v>
      </c>
      <c r="N2113" s="85">
        <v>0</v>
      </c>
      <c r="O2113" s="85">
        <v>16.47</v>
      </c>
      <c r="P2113" s="85">
        <v>345.81</v>
      </c>
      <c r="Q2113" s="85">
        <v>1821.57</v>
      </c>
      <c r="R2113" s="82" t="s">
        <v>3399</v>
      </c>
      <c r="S2113" s="7">
        <f t="shared" si="97"/>
        <v>0</v>
      </c>
      <c r="T2113" s="6">
        <f t="shared" si="98"/>
        <v>0</v>
      </c>
      <c r="U2113" s="25">
        <f t="shared" si="96"/>
        <v>0</v>
      </c>
    </row>
    <row r="2114" spans="1:21" ht="10.9" customHeight="1" x14ac:dyDescent="0.2">
      <c r="A2114" s="82" t="s">
        <v>3103</v>
      </c>
      <c r="B2114" s="83">
        <v>45912</v>
      </c>
      <c r="C2114" s="82" t="s">
        <v>3395</v>
      </c>
      <c r="D2114" s="82" t="s">
        <v>803</v>
      </c>
      <c r="E2114" s="82"/>
      <c r="F2114" s="82" t="s">
        <v>4872</v>
      </c>
      <c r="G2114" s="89">
        <v>1</v>
      </c>
      <c r="H2114" s="89">
        <v>1842.22</v>
      </c>
      <c r="I2114" s="85">
        <v>0</v>
      </c>
      <c r="J2114" s="85">
        <v>239.49</v>
      </c>
      <c r="K2114" s="85">
        <v>2081.71</v>
      </c>
      <c r="L2114" s="85">
        <v>2081.71</v>
      </c>
      <c r="M2114" s="89">
        <v>1842.22</v>
      </c>
      <c r="N2114" s="85">
        <v>0</v>
      </c>
      <c r="O2114" s="85">
        <v>239.49</v>
      </c>
      <c r="P2114" s="85">
        <v>2081.71</v>
      </c>
      <c r="Q2114" s="85">
        <v>2081.71</v>
      </c>
      <c r="R2114" s="82" t="s">
        <v>3399</v>
      </c>
      <c r="S2114" s="7">
        <f t="shared" si="97"/>
        <v>0</v>
      </c>
      <c r="T2114" s="6">
        <f t="shared" si="98"/>
        <v>0</v>
      </c>
      <c r="U2114" s="25">
        <f t="shared" ref="U2114:U2177" si="99">IF(T2114=1,K2114-J2114,0)</f>
        <v>0</v>
      </c>
    </row>
    <row r="2115" spans="1:21" ht="10.9" customHeight="1" x14ac:dyDescent="0.2">
      <c r="A2115" s="82" t="s">
        <v>2777</v>
      </c>
      <c r="B2115" s="83">
        <v>45912</v>
      </c>
      <c r="C2115" s="82" t="s">
        <v>3395</v>
      </c>
      <c r="D2115" s="82" t="s">
        <v>1382</v>
      </c>
      <c r="E2115" s="82"/>
      <c r="F2115" s="82" t="s">
        <v>4871</v>
      </c>
      <c r="G2115" s="89">
        <v>1</v>
      </c>
      <c r="H2115" s="89">
        <v>3248.97</v>
      </c>
      <c r="I2115" s="85">
        <v>0</v>
      </c>
      <c r="J2115" s="85">
        <v>422.37</v>
      </c>
      <c r="K2115" s="85">
        <v>3671.34</v>
      </c>
      <c r="L2115" s="85">
        <v>3671.34</v>
      </c>
      <c r="M2115" s="89">
        <v>3248.97</v>
      </c>
      <c r="N2115" s="85">
        <v>0</v>
      </c>
      <c r="O2115" s="85">
        <v>422.37</v>
      </c>
      <c r="P2115" s="85">
        <v>3671.34</v>
      </c>
      <c r="Q2115" s="85">
        <v>3671.34</v>
      </c>
      <c r="R2115" s="82" t="s">
        <v>3399</v>
      </c>
      <c r="S2115" s="7">
        <f t="shared" ref="S2115:S2178" si="100">IF(T2115=1,A2115,0)</f>
        <v>0</v>
      </c>
      <c r="T2115" s="6">
        <f t="shared" ref="T2115:T2178" si="101">IFERROR(FIND("Freight",F2115,1),0)</f>
        <v>0</v>
      </c>
      <c r="U2115" s="25">
        <f t="shared" si="99"/>
        <v>0</v>
      </c>
    </row>
    <row r="2116" spans="1:21" ht="10.9" customHeight="1" x14ac:dyDescent="0.2">
      <c r="A2116" s="82" t="s">
        <v>3164</v>
      </c>
      <c r="B2116" s="83">
        <v>45912</v>
      </c>
      <c r="C2116" s="82" t="s">
        <v>3395</v>
      </c>
      <c r="D2116" s="82" t="s">
        <v>679</v>
      </c>
      <c r="E2116" s="82"/>
      <c r="F2116" s="82" t="s">
        <v>4870</v>
      </c>
      <c r="G2116" s="89">
        <v>1</v>
      </c>
      <c r="H2116" s="89">
        <v>1063.71</v>
      </c>
      <c r="I2116" s="85">
        <v>0</v>
      </c>
      <c r="J2116" s="85">
        <v>138.28</v>
      </c>
      <c r="K2116" s="85">
        <v>1201.99</v>
      </c>
      <c r="L2116" s="85">
        <v>1354.99</v>
      </c>
      <c r="M2116" s="89">
        <v>1063.71</v>
      </c>
      <c r="N2116" s="85">
        <v>0</v>
      </c>
      <c r="O2116" s="85">
        <v>138.28</v>
      </c>
      <c r="P2116" s="85">
        <v>1201.99</v>
      </c>
      <c r="Q2116" s="85">
        <v>1354.99</v>
      </c>
      <c r="R2116" s="82" t="s">
        <v>3399</v>
      </c>
      <c r="S2116" s="7">
        <f t="shared" si="100"/>
        <v>0</v>
      </c>
      <c r="T2116" s="6">
        <f t="shared" si="101"/>
        <v>0</v>
      </c>
      <c r="U2116" s="25">
        <f t="shared" si="99"/>
        <v>0</v>
      </c>
    </row>
    <row r="2117" spans="1:21" ht="10.9" customHeight="1" x14ac:dyDescent="0.2">
      <c r="A2117" s="82" t="s">
        <v>3164</v>
      </c>
      <c r="B2117" s="83">
        <v>45912</v>
      </c>
      <c r="C2117" s="82" t="s">
        <v>3395</v>
      </c>
      <c r="D2117" s="82" t="s">
        <v>679</v>
      </c>
      <c r="E2117" s="82"/>
      <c r="F2117" s="82" t="s">
        <v>4869</v>
      </c>
      <c r="G2117" s="89">
        <v>1</v>
      </c>
      <c r="H2117" s="89">
        <v>135.4</v>
      </c>
      <c r="I2117" s="85">
        <v>0</v>
      </c>
      <c r="J2117" s="85">
        <v>17.600000000000001</v>
      </c>
      <c r="K2117" s="85">
        <v>153</v>
      </c>
      <c r="L2117" s="85">
        <v>1354.99</v>
      </c>
      <c r="M2117" s="89">
        <v>135.4</v>
      </c>
      <c r="N2117" s="85">
        <v>0</v>
      </c>
      <c r="O2117" s="85">
        <v>17.600000000000001</v>
      </c>
      <c r="P2117" s="85">
        <v>153</v>
      </c>
      <c r="Q2117" s="85">
        <v>1354.99</v>
      </c>
      <c r="R2117" s="82" t="s">
        <v>3399</v>
      </c>
      <c r="S2117" s="7">
        <f t="shared" si="100"/>
        <v>0</v>
      </c>
      <c r="T2117" s="6">
        <f t="shared" si="101"/>
        <v>0</v>
      </c>
      <c r="U2117" s="25">
        <f t="shared" si="99"/>
        <v>0</v>
      </c>
    </row>
    <row r="2118" spans="1:21" ht="10.9" customHeight="1" x14ac:dyDescent="0.2">
      <c r="A2118" s="82" t="s">
        <v>3169</v>
      </c>
      <c r="B2118" s="83">
        <v>45912</v>
      </c>
      <c r="C2118" s="82" t="s">
        <v>3395</v>
      </c>
      <c r="D2118" s="82" t="s">
        <v>673</v>
      </c>
      <c r="E2118" s="82"/>
      <c r="F2118" s="82" t="s">
        <v>4695</v>
      </c>
      <c r="G2118" s="89">
        <v>1</v>
      </c>
      <c r="H2118" s="89">
        <v>4557.97</v>
      </c>
      <c r="I2118" s="85">
        <v>0</v>
      </c>
      <c r="J2118" s="85">
        <v>227.9</v>
      </c>
      <c r="K2118" s="85">
        <v>4785.87</v>
      </c>
      <c r="L2118" s="85">
        <v>4785.87</v>
      </c>
      <c r="M2118" s="89">
        <v>4557.97</v>
      </c>
      <c r="N2118" s="85">
        <v>0</v>
      </c>
      <c r="O2118" s="85">
        <v>227.9</v>
      </c>
      <c r="P2118" s="85">
        <v>4785.87</v>
      </c>
      <c r="Q2118" s="85">
        <v>4785.87</v>
      </c>
      <c r="R2118" s="82" t="s">
        <v>3399</v>
      </c>
      <c r="S2118" s="7">
        <f t="shared" si="100"/>
        <v>0</v>
      </c>
      <c r="T2118" s="6">
        <f t="shared" si="101"/>
        <v>0</v>
      </c>
      <c r="U2118" s="25">
        <f t="shared" si="99"/>
        <v>0</v>
      </c>
    </row>
    <row r="2119" spans="1:21" ht="10.9" customHeight="1" x14ac:dyDescent="0.2">
      <c r="A2119" s="82" t="s">
        <v>3163</v>
      </c>
      <c r="B2119" s="83">
        <v>45912</v>
      </c>
      <c r="C2119" s="82" t="s">
        <v>3395</v>
      </c>
      <c r="D2119" s="82" t="s">
        <v>681</v>
      </c>
      <c r="E2119" s="82"/>
      <c r="F2119" s="82" t="s">
        <v>4594</v>
      </c>
      <c r="G2119" s="89">
        <v>1</v>
      </c>
      <c r="H2119" s="89">
        <v>270.35000000000002</v>
      </c>
      <c r="I2119" s="85">
        <v>0</v>
      </c>
      <c r="J2119" s="85">
        <v>13.52</v>
      </c>
      <c r="K2119" s="85">
        <v>283.87</v>
      </c>
      <c r="L2119" s="85">
        <v>283.87</v>
      </c>
      <c r="M2119" s="89">
        <v>270.35000000000002</v>
      </c>
      <c r="N2119" s="85">
        <v>0</v>
      </c>
      <c r="O2119" s="85">
        <v>13.52</v>
      </c>
      <c r="P2119" s="85">
        <v>283.87</v>
      </c>
      <c r="Q2119" s="85">
        <v>283.87</v>
      </c>
      <c r="R2119" s="82" t="s">
        <v>3399</v>
      </c>
      <c r="S2119" s="7">
        <f t="shared" si="100"/>
        <v>0</v>
      </c>
      <c r="T2119" s="6">
        <f t="shared" si="101"/>
        <v>0</v>
      </c>
      <c r="U2119" s="25">
        <f t="shared" si="99"/>
        <v>0</v>
      </c>
    </row>
    <row r="2120" spans="1:21" ht="10.9" customHeight="1" x14ac:dyDescent="0.2">
      <c r="A2120" s="82" t="s">
        <v>3145</v>
      </c>
      <c r="B2120" s="83">
        <v>45912</v>
      </c>
      <c r="C2120" s="82" t="s">
        <v>3395</v>
      </c>
      <c r="D2120" s="82" t="s">
        <v>718</v>
      </c>
      <c r="E2120" s="82"/>
      <c r="F2120" s="82" t="s">
        <v>4517</v>
      </c>
      <c r="G2120" s="89">
        <v>1</v>
      </c>
      <c r="H2120" s="89">
        <v>904.79</v>
      </c>
      <c r="I2120" s="85">
        <v>0</v>
      </c>
      <c r="J2120" s="85">
        <v>45.24</v>
      </c>
      <c r="K2120" s="85">
        <v>950.03</v>
      </c>
      <c r="L2120" s="85">
        <v>7983.18</v>
      </c>
      <c r="M2120" s="89">
        <v>904.79</v>
      </c>
      <c r="N2120" s="85">
        <v>0</v>
      </c>
      <c r="O2120" s="85">
        <v>45.24</v>
      </c>
      <c r="P2120" s="85">
        <v>950.03</v>
      </c>
      <c r="Q2120" s="85">
        <v>7983.18</v>
      </c>
      <c r="R2120" s="82" t="s">
        <v>3399</v>
      </c>
      <c r="S2120" s="7">
        <f t="shared" si="100"/>
        <v>0</v>
      </c>
      <c r="T2120" s="6">
        <f t="shared" si="101"/>
        <v>0</v>
      </c>
      <c r="U2120" s="25">
        <f t="shared" si="99"/>
        <v>0</v>
      </c>
    </row>
    <row r="2121" spans="1:21" ht="10.9" customHeight="1" x14ac:dyDescent="0.2">
      <c r="A2121" s="82" t="s">
        <v>3145</v>
      </c>
      <c r="B2121" s="83">
        <v>45912</v>
      </c>
      <c r="C2121" s="82" t="s">
        <v>3395</v>
      </c>
      <c r="D2121" s="82" t="s">
        <v>718</v>
      </c>
      <c r="E2121" s="82"/>
      <c r="F2121" s="82" t="s">
        <v>4518</v>
      </c>
      <c r="G2121" s="89">
        <v>1</v>
      </c>
      <c r="H2121" s="89">
        <v>496.56</v>
      </c>
      <c r="I2121" s="85">
        <v>0</v>
      </c>
      <c r="J2121" s="85">
        <v>24.83</v>
      </c>
      <c r="K2121" s="85">
        <v>521.39</v>
      </c>
      <c r="L2121" s="85">
        <v>7983.18</v>
      </c>
      <c r="M2121" s="89">
        <v>496.56</v>
      </c>
      <c r="N2121" s="85">
        <v>0</v>
      </c>
      <c r="O2121" s="85">
        <v>24.83</v>
      </c>
      <c r="P2121" s="85">
        <v>521.39</v>
      </c>
      <c r="Q2121" s="85">
        <v>7983.18</v>
      </c>
      <c r="R2121" s="82" t="s">
        <v>3399</v>
      </c>
      <c r="S2121" s="7">
        <f t="shared" si="100"/>
        <v>0</v>
      </c>
      <c r="T2121" s="6">
        <f t="shared" si="101"/>
        <v>0</v>
      </c>
      <c r="U2121" s="25">
        <f t="shared" si="99"/>
        <v>0</v>
      </c>
    </row>
    <row r="2122" spans="1:21" ht="10.9" customHeight="1" x14ac:dyDescent="0.2">
      <c r="A2122" s="82" t="s">
        <v>3145</v>
      </c>
      <c r="B2122" s="83">
        <v>45912</v>
      </c>
      <c r="C2122" s="82" t="s">
        <v>3395</v>
      </c>
      <c r="D2122" s="82" t="s">
        <v>718</v>
      </c>
      <c r="E2122" s="82"/>
      <c r="F2122" s="82" t="s">
        <v>4587</v>
      </c>
      <c r="G2122" s="89">
        <v>1</v>
      </c>
      <c r="H2122" s="89">
        <v>48.49</v>
      </c>
      <c r="I2122" s="85">
        <v>0</v>
      </c>
      <c r="J2122" s="85">
        <v>2.42</v>
      </c>
      <c r="K2122" s="85">
        <v>50.91</v>
      </c>
      <c r="L2122" s="85">
        <v>7983.18</v>
      </c>
      <c r="M2122" s="89">
        <v>48.49</v>
      </c>
      <c r="N2122" s="85">
        <v>0</v>
      </c>
      <c r="O2122" s="85">
        <v>2.42</v>
      </c>
      <c r="P2122" s="85">
        <v>50.91</v>
      </c>
      <c r="Q2122" s="85">
        <v>7983.18</v>
      </c>
      <c r="R2122" s="82" t="s">
        <v>3399</v>
      </c>
      <c r="S2122" s="7">
        <f t="shared" si="100"/>
        <v>0</v>
      </c>
      <c r="T2122" s="6">
        <f t="shared" si="101"/>
        <v>0</v>
      </c>
      <c r="U2122" s="25">
        <f t="shared" si="99"/>
        <v>0</v>
      </c>
    </row>
    <row r="2123" spans="1:21" ht="10.9" customHeight="1" x14ac:dyDescent="0.2">
      <c r="A2123" s="82" t="s">
        <v>3145</v>
      </c>
      <c r="B2123" s="83">
        <v>45912</v>
      </c>
      <c r="C2123" s="82" t="s">
        <v>3395</v>
      </c>
      <c r="D2123" s="82" t="s">
        <v>718</v>
      </c>
      <c r="E2123" s="82"/>
      <c r="F2123" s="82" t="s">
        <v>4588</v>
      </c>
      <c r="G2123" s="89">
        <v>1</v>
      </c>
      <c r="H2123" s="89">
        <v>48.49</v>
      </c>
      <c r="I2123" s="85">
        <v>0</v>
      </c>
      <c r="J2123" s="85">
        <v>2.42</v>
      </c>
      <c r="K2123" s="85">
        <v>50.91</v>
      </c>
      <c r="L2123" s="85">
        <v>7983.18</v>
      </c>
      <c r="M2123" s="89">
        <v>48.49</v>
      </c>
      <c r="N2123" s="85">
        <v>0</v>
      </c>
      <c r="O2123" s="85">
        <v>2.42</v>
      </c>
      <c r="P2123" s="85">
        <v>50.91</v>
      </c>
      <c r="Q2123" s="85">
        <v>7983.18</v>
      </c>
      <c r="R2123" s="82" t="s">
        <v>3399</v>
      </c>
      <c r="S2123" s="7">
        <f t="shared" si="100"/>
        <v>0</v>
      </c>
      <c r="T2123" s="6">
        <f t="shared" si="101"/>
        <v>0</v>
      </c>
      <c r="U2123" s="25">
        <f t="shared" si="99"/>
        <v>0</v>
      </c>
    </row>
    <row r="2124" spans="1:21" ht="10.9" customHeight="1" x14ac:dyDescent="0.2">
      <c r="A2124" s="82" t="s">
        <v>3145</v>
      </c>
      <c r="B2124" s="83">
        <v>45912</v>
      </c>
      <c r="C2124" s="82" t="s">
        <v>3395</v>
      </c>
      <c r="D2124" s="82" t="s">
        <v>718</v>
      </c>
      <c r="E2124" s="82"/>
      <c r="F2124" s="82" t="s">
        <v>4738</v>
      </c>
      <c r="G2124" s="89">
        <v>1</v>
      </c>
      <c r="H2124" s="89">
        <v>798.1</v>
      </c>
      <c r="I2124" s="85">
        <v>0</v>
      </c>
      <c r="J2124" s="85">
        <v>39.909999999999997</v>
      </c>
      <c r="K2124" s="85">
        <v>838.01</v>
      </c>
      <c r="L2124" s="85">
        <v>7983.18</v>
      </c>
      <c r="M2124" s="89">
        <v>798.1</v>
      </c>
      <c r="N2124" s="85">
        <v>0</v>
      </c>
      <c r="O2124" s="85">
        <v>39.909999999999997</v>
      </c>
      <c r="P2124" s="85">
        <v>838.01</v>
      </c>
      <c r="Q2124" s="85">
        <v>7983.18</v>
      </c>
      <c r="R2124" s="82" t="s">
        <v>3399</v>
      </c>
      <c r="S2124" s="7">
        <f t="shared" si="100"/>
        <v>0</v>
      </c>
      <c r="T2124" s="6">
        <f t="shared" si="101"/>
        <v>0</v>
      </c>
      <c r="U2124" s="25">
        <f t="shared" si="99"/>
        <v>0</v>
      </c>
    </row>
    <row r="2125" spans="1:21" ht="10.9" customHeight="1" x14ac:dyDescent="0.2">
      <c r="A2125" s="82" t="s">
        <v>3145</v>
      </c>
      <c r="B2125" s="83">
        <v>45912</v>
      </c>
      <c r="C2125" s="82" t="s">
        <v>3395</v>
      </c>
      <c r="D2125" s="82" t="s">
        <v>718</v>
      </c>
      <c r="E2125" s="82"/>
      <c r="F2125" s="82" t="s">
        <v>4676</v>
      </c>
      <c r="G2125" s="89">
        <v>1</v>
      </c>
      <c r="H2125" s="89">
        <v>1326.59</v>
      </c>
      <c r="I2125" s="85">
        <v>0</v>
      </c>
      <c r="J2125" s="85">
        <v>66.33</v>
      </c>
      <c r="K2125" s="85">
        <v>1392.92</v>
      </c>
      <c r="L2125" s="85">
        <v>7983.18</v>
      </c>
      <c r="M2125" s="89">
        <v>1326.59</v>
      </c>
      <c r="N2125" s="85">
        <v>0</v>
      </c>
      <c r="O2125" s="85">
        <v>66.33</v>
      </c>
      <c r="P2125" s="85">
        <v>1392.92</v>
      </c>
      <c r="Q2125" s="85">
        <v>7983.18</v>
      </c>
      <c r="R2125" s="82" t="s">
        <v>3399</v>
      </c>
      <c r="S2125" s="7">
        <f t="shared" si="100"/>
        <v>0</v>
      </c>
      <c r="T2125" s="6">
        <f t="shared" si="101"/>
        <v>0</v>
      </c>
      <c r="U2125" s="25">
        <f t="shared" si="99"/>
        <v>0</v>
      </c>
    </row>
    <row r="2126" spans="1:21" ht="10.9" customHeight="1" x14ac:dyDescent="0.2">
      <c r="A2126" s="82" t="s">
        <v>3145</v>
      </c>
      <c r="B2126" s="83">
        <v>45912</v>
      </c>
      <c r="C2126" s="82" t="s">
        <v>3395</v>
      </c>
      <c r="D2126" s="82" t="s">
        <v>718</v>
      </c>
      <c r="E2126" s="82"/>
      <c r="F2126" s="82" t="s">
        <v>4439</v>
      </c>
      <c r="G2126" s="89">
        <v>2</v>
      </c>
      <c r="H2126" s="89">
        <v>20.149999999999999</v>
      </c>
      <c r="I2126" s="85">
        <v>0</v>
      </c>
      <c r="J2126" s="85">
        <v>2.02</v>
      </c>
      <c r="K2126" s="85">
        <v>42.32</v>
      </c>
      <c r="L2126" s="85">
        <v>7983.18</v>
      </c>
      <c r="M2126" s="89">
        <v>20.149999999999999</v>
      </c>
      <c r="N2126" s="85">
        <v>0</v>
      </c>
      <c r="O2126" s="85">
        <v>2.02</v>
      </c>
      <c r="P2126" s="85">
        <v>42.32</v>
      </c>
      <c r="Q2126" s="85">
        <v>7983.18</v>
      </c>
      <c r="R2126" s="82" t="s">
        <v>3399</v>
      </c>
      <c r="S2126" s="7">
        <f t="shared" si="100"/>
        <v>0</v>
      </c>
      <c r="T2126" s="6">
        <f t="shared" si="101"/>
        <v>0</v>
      </c>
      <c r="U2126" s="25">
        <f t="shared" si="99"/>
        <v>0</v>
      </c>
    </row>
    <row r="2127" spans="1:21" ht="10.9" customHeight="1" x14ac:dyDescent="0.2">
      <c r="A2127" s="82" t="s">
        <v>3145</v>
      </c>
      <c r="B2127" s="83">
        <v>45912</v>
      </c>
      <c r="C2127" s="82" t="s">
        <v>3395</v>
      </c>
      <c r="D2127" s="82" t="s">
        <v>718</v>
      </c>
      <c r="E2127" s="82"/>
      <c r="F2127" s="82" t="s">
        <v>4443</v>
      </c>
      <c r="G2127" s="89">
        <v>1</v>
      </c>
      <c r="H2127" s="89">
        <v>1034.78</v>
      </c>
      <c r="I2127" s="85">
        <v>0</v>
      </c>
      <c r="J2127" s="85">
        <v>51.74</v>
      </c>
      <c r="K2127" s="85">
        <v>1086.52</v>
      </c>
      <c r="L2127" s="85">
        <v>7983.18</v>
      </c>
      <c r="M2127" s="89">
        <v>1034.78</v>
      </c>
      <c r="N2127" s="85">
        <v>0</v>
      </c>
      <c r="O2127" s="85">
        <v>51.74</v>
      </c>
      <c r="P2127" s="85">
        <v>1086.52</v>
      </c>
      <c r="Q2127" s="85">
        <v>7983.18</v>
      </c>
      <c r="R2127" s="82" t="s">
        <v>3399</v>
      </c>
      <c r="S2127" s="7">
        <f t="shared" si="100"/>
        <v>0</v>
      </c>
      <c r="T2127" s="6">
        <f t="shared" si="101"/>
        <v>0</v>
      </c>
      <c r="U2127" s="25">
        <f t="shared" si="99"/>
        <v>0</v>
      </c>
    </row>
    <row r="2128" spans="1:21" ht="10.9" customHeight="1" x14ac:dyDescent="0.2">
      <c r="A2128" s="82" t="s">
        <v>3145</v>
      </c>
      <c r="B2128" s="83">
        <v>45912</v>
      </c>
      <c r="C2128" s="82" t="s">
        <v>3395</v>
      </c>
      <c r="D2128" s="82" t="s">
        <v>718</v>
      </c>
      <c r="E2128" s="82"/>
      <c r="F2128" s="82" t="s">
        <v>4735</v>
      </c>
      <c r="G2128" s="89">
        <v>1</v>
      </c>
      <c r="H2128" s="89">
        <v>16.47</v>
      </c>
      <c r="I2128" s="85">
        <v>0</v>
      </c>
      <c r="J2128" s="85">
        <v>0.82</v>
      </c>
      <c r="K2128" s="85">
        <v>17.29</v>
      </c>
      <c r="L2128" s="85">
        <v>7983.18</v>
      </c>
      <c r="M2128" s="89">
        <v>16.47</v>
      </c>
      <c r="N2128" s="85">
        <v>0</v>
      </c>
      <c r="O2128" s="85">
        <v>0.82</v>
      </c>
      <c r="P2128" s="85">
        <v>17.29</v>
      </c>
      <c r="Q2128" s="85">
        <v>7983.18</v>
      </c>
      <c r="R2128" s="82" t="s">
        <v>3399</v>
      </c>
      <c r="S2128" s="7">
        <f t="shared" si="100"/>
        <v>0</v>
      </c>
      <c r="T2128" s="6">
        <f t="shared" si="101"/>
        <v>0</v>
      </c>
      <c r="U2128" s="25">
        <f t="shared" si="99"/>
        <v>0</v>
      </c>
    </row>
    <row r="2129" spans="1:21" ht="10.9" customHeight="1" x14ac:dyDescent="0.2">
      <c r="A2129" s="82" t="s">
        <v>3145</v>
      </c>
      <c r="B2129" s="83">
        <v>45912</v>
      </c>
      <c r="C2129" s="82" t="s">
        <v>3395</v>
      </c>
      <c r="D2129" s="82" t="s">
        <v>718</v>
      </c>
      <c r="E2129" s="82"/>
      <c r="F2129" s="82" t="s">
        <v>4734</v>
      </c>
      <c r="G2129" s="89">
        <v>1</v>
      </c>
      <c r="H2129" s="89">
        <v>51.91</v>
      </c>
      <c r="I2129" s="85">
        <v>0</v>
      </c>
      <c r="J2129" s="85">
        <v>2.6</v>
      </c>
      <c r="K2129" s="85">
        <v>54.51</v>
      </c>
      <c r="L2129" s="85">
        <v>7983.18</v>
      </c>
      <c r="M2129" s="89">
        <v>51.91</v>
      </c>
      <c r="N2129" s="85">
        <v>0</v>
      </c>
      <c r="O2129" s="85">
        <v>2.6</v>
      </c>
      <c r="P2129" s="85">
        <v>54.51</v>
      </c>
      <c r="Q2129" s="85">
        <v>7983.18</v>
      </c>
      <c r="R2129" s="82" t="s">
        <v>3399</v>
      </c>
      <c r="S2129" s="7">
        <f t="shared" si="100"/>
        <v>0</v>
      </c>
      <c r="T2129" s="6">
        <f t="shared" si="101"/>
        <v>0</v>
      </c>
      <c r="U2129" s="25">
        <f t="shared" si="99"/>
        <v>0</v>
      </c>
    </row>
    <row r="2130" spans="1:21" ht="10.9" customHeight="1" x14ac:dyDescent="0.2">
      <c r="A2130" s="82" t="s">
        <v>3145</v>
      </c>
      <c r="B2130" s="83">
        <v>45912</v>
      </c>
      <c r="C2130" s="82" t="s">
        <v>3395</v>
      </c>
      <c r="D2130" s="82" t="s">
        <v>718</v>
      </c>
      <c r="E2130" s="82"/>
      <c r="F2130" s="82" t="s">
        <v>4600</v>
      </c>
      <c r="G2130" s="89">
        <v>1</v>
      </c>
      <c r="H2130" s="89">
        <v>2836.54</v>
      </c>
      <c r="I2130" s="85">
        <v>0</v>
      </c>
      <c r="J2130" s="85">
        <v>141.83000000000001</v>
      </c>
      <c r="K2130" s="85">
        <v>2978.37</v>
      </c>
      <c r="L2130" s="85">
        <v>7983.18</v>
      </c>
      <c r="M2130" s="89">
        <v>2836.54</v>
      </c>
      <c r="N2130" s="85">
        <v>0</v>
      </c>
      <c r="O2130" s="85">
        <v>141.83000000000001</v>
      </c>
      <c r="P2130" s="85">
        <v>2978.37</v>
      </c>
      <c r="Q2130" s="85">
        <v>7983.18</v>
      </c>
      <c r="R2130" s="82" t="s">
        <v>3399</v>
      </c>
      <c r="S2130" s="7">
        <f t="shared" si="100"/>
        <v>0</v>
      </c>
      <c r="T2130" s="6">
        <f t="shared" si="101"/>
        <v>0</v>
      </c>
      <c r="U2130" s="25">
        <f t="shared" si="99"/>
        <v>0</v>
      </c>
    </row>
    <row r="2131" spans="1:21" ht="10.9" customHeight="1" x14ac:dyDescent="0.2">
      <c r="A2131" s="82"/>
      <c r="B2131" s="83">
        <v>45913</v>
      </c>
      <c r="C2131" s="82" t="s">
        <v>3423</v>
      </c>
      <c r="D2131" s="82"/>
      <c r="E2131" s="82"/>
      <c r="F2131" s="82" t="s">
        <v>4645</v>
      </c>
      <c r="G2131" s="89">
        <v>-1</v>
      </c>
      <c r="H2131" s="89">
        <v>662.76</v>
      </c>
      <c r="I2131" s="85">
        <v>0</v>
      </c>
      <c r="J2131" s="85">
        <v>0</v>
      </c>
      <c r="K2131" s="85">
        <v>-662.76</v>
      </c>
      <c r="L2131" s="85">
        <v>-662.76</v>
      </c>
      <c r="M2131" s="89">
        <v>917.87004735043899</v>
      </c>
      <c r="N2131" s="85">
        <v>0</v>
      </c>
      <c r="O2131" s="85">
        <v>0</v>
      </c>
      <c r="P2131" s="85">
        <v>-917.87004735043899</v>
      </c>
      <c r="Q2131" s="85">
        <v>-917.87004735043899</v>
      </c>
      <c r="R2131" s="82" t="s">
        <v>3399</v>
      </c>
      <c r="S2131" s="7">
        <f t="shared" si="100"/>
        <v>0</v>
      </c>
      <c r="T2131" s="6">
        <f t="shared" si="101"/>
        <v>0</v>
      </c>
      <c r="U2131" s="25">
        <f t="shared" si="99"/>
        <v>0</v>
      </c>
    </row>
    <row r="2132" spans="1:21" ht="10.9" customHeight="1" x14ac:dyDescent="0.2">
      <c r="A2132" s="82" t="s">
        <v>3175</v>
      </c>
      <c r="B2132" s="83">
        <v>45915</v>
      </c>
      <c r="C2132" s="82" t="s">
        <v>3395</v>
      </c>
      <c r="D2132" s="82" t="s">
        <v>661</v>
      </c>
      <c r="E2132" s="82"/>
      <c r="F2132" s="82" t="s">
        <v>4673</v>
      </c>
      <c r="G2132" s="89">
        <v>3</v>
      </c>
      <c r="H2132" s="89">
        <v>151</v>
      </c>
      <c r="I2132" s="85">
        <v>0</v>
      </c>
      <c r="J2132" s="85">
        <v>0</v>
      </c>
      <c r="K2132" s="85">
        <v>453</v>
      </c>
      <c r="L2132" s="85">
        <v>453</v>
      </c>
      <c r="M2132" s="89">
        <v>208.10220436738996</v>
      </c>
      <c r="N2132" s="85">
        <v>0</v>
      </c>
      <c r="O2132" s="85">
        <v>0</v>
      </c>
      <c r="P2132" s="85">
        <v>624.30661310216988</v>
      </c>
      <c r="Q2132" s="85">
        <v>624.30661310216988</v>
      </c>
      <c r="R2132" s="82" t="s">
        <v>3399</v>
      </c>
      <c r="S2132" s="7">
        <f t="shared" si="100"/>
        <v>0</v>
      </c>
      <c r="T2132" s="6">
        <f t="shared" si="101"/>
        <v>0</v>
      </c>
      <c r="U2132" s="25">
        <f t="shared" si="99"/>
        <v>0</v>
      </c>
    </row>
    <row r="2133" spans="1:21" ht="10.9" customHeight="1" x14ac:dyDescent="0.2">
      <c r="A2133" s="82" t="s">
        <v>2704</v>
      </c>
      <c r="B2133" s="83">
        <v>45915</v>
      </c>
      <c r="C2133" s="82" t="s">
        <v>3395</v>
      </c>
      <c r="D2133" s="82" t="s">
        <v>3460</v>
      </c>
      <c r="E2133" s="82"/>
      <c r="F2133" s="82" t="s">
        <v>4868</v>
      </c>
      <c r="G2133" s="89">
        <v>4</v>
      </c>
      <c r="H2133" s="89">
        <v>3873</v>
      </c>
      <c r="I2133" s="85">
        <v>0</v>
      </c>
      <c r="J2133" s="85">
        <v>0</v>
      </c>
      <c r="K2133" s="85">
        <v>15492</v>
      </c>
      <c r="L2133" s="85">
        <v>15492</v>
      </c>
      <c r="M2133" s="89">
        <v>5337.6148179794791</v>
      </c>
      <c r="N2133" s="85">
        <v>0</v>
      </c>
      <c r="O2133" s="85">
        <v>0</v>
      </c>
      <c r="P2133" s="85">
        <v>21350.459271917916</v>
      </c>
      <c r="Q2133" s="85">
        <v>21350.459271917916</v>
      </c>
      <c r="R2133" s="82" t="s">
        <v>3396</v>
      </c>
      <c r="S2133" s="7">
        <f t="shared" si="100"/>
        <v>0</v>
      </c>
      <c r="T2133" s="6">
        <f t="shared" si="101"/>
        <v>0</v>
      </c>
      <c r="U2133" s="25">
        <f t="shared" si="99"/>
        <v>0</v>
      </c>
    </row>
    <row r="2134" spans="1:21" ht="10.9" customHeight="1" x14ac:dyDescent="0.2">
      <c r="A2134" s="82" t="s">
        <v>3173</v>
      </c>
      <c r="B2134" s="83">
        <v>45915</v>
      </c>
      <c r="C2134" s="82" t="s">
        <v>3395</v>
      </c>
      <c r="D2134" s="82" t="s">
        <v>665</v>
      </c>
      <c r="E2134" s="82"/>
      <c r="F2134" s="82" t="s">
        <v>4449</v>
      </c>
      <c r="G2134" s="89">
        <v>1</v>
      </c>
      <c r="H2134" s="89">
        <v>1030.74</v>
      </c>
      <c r="I2134" s="85">
        <v>0</v>
      </c>
      <c r="J2134" s="85">
        <v>0</v>
      </c>
      <c r="K2134" s="85">
        <v>1030.74</v>
      </c>
      <c r="L2134" s="85">
        <v>1601.74</v>
      </c>
      <c r="M2134" s="89">
        <v>1419.4724730528285</v>
      </c>
      <c r="N2134" s="85">
        <v>0</v>
      </c>
      <c r="O2134" s="85">
        <v>0</v>
      </c>
      <c r="P2134" s="85">
        <v>1419.4724730528285</v>
      </c>
      <c r="Q2134" s="85">
        <v>2205.8189640332553</v>
      </c>
      <c r="R2134" s="82" t="s">
        <v>3399</v>
      </c>
      <c r="S2134" s="7">
        <f t="shared" si="100"/>
        <v>0</v>
      </c>
      <c r="T2134" s="6">
        <f t="shared" si="101"/>
        <v>0</v>
      </c>
      <c r="U2134" s="25">
        <f t="shared" si="99"/>
        <v>0</v>
      </c>
    </row>
    <row r="2135" spans="1:21" ht="10.9" customHeight="1" x14ac:dyDescent="0.2">
      <c r="A2135" s="82" t="s">
        <v>3173</v>
      </c>
      <c r="B2135" s="83">
        <v>45915</v>
      </c>
      <c r="C2135" s="82" t="s">
        <v>3395</v>
      </c>
      <c r="D2135" s="82" t="s">
        <v>665</v>
      </c>
      <c r="E2135" s="82"/>
      <c r="F2135" s="82" t="s">
        <v>4393</v>
      </c>
      <c r="G2135" s="89">
        <v>1</v>
      </c>
      <c r="H2135" s="89">
        <v>571</v>
      </c>
      <c r="I2135" s="85">
        <v>0</v>
      </c>
      <c r="J2135" s="85">
        <v>0</v>
      </c>
      <c r="K2135" s="85">
        <v>571</v>
      </c>
      <c r="L2135" s="85">
        <v>1601.74</v>
      </c>
      <c r="M2135" s="89">
        <v>786.34649098042667</v>
      </c>
      <c r="N2135" s="85">
        <v>0</v>
      </c>
      <c r="O2135" s="85">
        <v>0</v>
      </c>
      <c r="P2135" s="85">
        <v>786.34649098042667</v>
      </c>
      <c r="Q2135" s="85">
        <v>2205.8189640332553</v>
      </c>
      <c r="R2135" s="82" t="s">
        <v>3399</v>
      </c>
      <c r="S2135" s="7" t="str">
        <f t="shared" si="100"/>
        <v>INV13395</v>
      </c>
      <c r="T2135" s="6">
        <f t="shared" si="101"/>
        <v>1</v>
      </c>
      <c r="U2135" s="25">
        <f t="shared" si="99"/>
        <v>571</v>
      </c>
    </row>
    <row r="2136" spans="1:21" ht="10.9" customHeight="1" x14ac:dyDescent="0.2">
      <c r="A2136" s="82" t="s">
        <v>3162</v>
      </c>
      <c r="B2136" s="83">
        <v>45915</v>
      </c>
      <c r="C2136" s="82" t="s">
        <v>3395</v>
      </c>
      <c r="D2136" s="82" t="s">
        <v>683</v>
      </c>
      <c r="E2136" s="82"/>
      <c r="F2136" s="82" t="s">
        <v>4867</v>
      </c>
      <c r="G2136" s="89">
        <v>1</v>
      </c>
      <c r="H2136" s="89">
        <v>2202.98</v>
      </c>
      <c r="I2136" s="85">
        <v>0</v>
      </c>
      <c r="J2136" s="85">
        <v>110.15</v>
      </c>
      <c r="K2136" s="85">
        <v>2313.13</v>
      </c>
      <c r="L2136" s="85">
        <v>9474.0499999999993</v>
      </c>
      <c r="M2136" s="89">
        <v>2202.98</v>
      </c>
      <c r="N2136" s="85">
        <v>0</v>
      </c>
      <c r="O2136" s="85">
        <v>110.15</v>
      </c>
      <c r="P2136" s="85">
        <v>2313.13</v>
      </c>
      <c r="Q2136" s="85">
        <v>9474.0499999999993</v>
      </c>
      <c r="R2136" s="82" t="s">
        <v>3399</v>
      </c>
      <c r="S2136" s="7">
        <f t="shared" si="100"/>
        <v>0</v>
      </c>
      <c r="T2136" s="6">
        <f t="shared" si="101"/>
        <v>0</v>
      </c>
      <c r="U2136" s="25">
        <f t="shared" si="99"/>
        <v>0</v>
      </c>
    </row>
    <row r="2137" spans="1:21" ht="10.9" customHeight="1" x14ac:dyDescent="0.2">
      <c r="A2137" s="82" t="s">
        <v>3162</v>
      </c>
      <c r="B2137" s="83">
        <v>45915</v>
      </c>
      <c r="C2137" s="82" t="s">
        <v>3395</v>
      </c>
      <c r="D2137" s="82" t="s">
        <v>683</v>
      </c>
      <c r="E2137" s="82"/>
      <c r="F2137" s="82" t="s">
        <v>4608</v>
      </c>
      <c r="G2137" s="89">
        <v>1</v>
      </c>
      <c r="H2137" s="89">
        <v>6819.92</v>
      </c>
      <c r="I2137" s="85">
        <v>0</v>
      </c>
      <c r="J2137" s="85">
        <v>341</v>
      </c>
      <c r="K2137" s="85">
        <v>7160.92</v>
      </c>
      <c r="L2137" s="85">
        <v>9474.0499999999993</v>
      </c>
      <c r="M2137" s="89">
        <v>6819.92</v>
      </c>
      <c r="N2137" s="85">
        <v>0</v>
      </c>
      <c r="O2137" s="85">
        <v>341</v>
      </c>
      <c r="P2137" s="85">
        <v>7160.92</v>
      </c>
      <c r="Q2137" s="85">
        <v>9474.0499999999993</v>
      </c>
      <c r="R2137" s="82" t="s">
        <v>3399</v>
      </c>
      <c r="S2137" s="7">
        <f t="shared" si="100"/>
        <v>0</v>
      </c>
      <c r="T2137" s="6">
        <f t="shared" si="101"/>
        <v>0</v>
      </c>
      <c r="U2137" s="25">
        <f t="shared" si="99"/>
        <v>0</v>
      </c>
    </row>
    <row r="2138" spans="1:21" ht="10.9" customHeight="1" x14ac:dyDescent="0.2">
      <c r="A2138" s="82" t="s">
        <v>3161</v>
      </c>
      <c r="B2138" s="83">
        <v>45915</v>
      </c>
      <c r="C2138" s="82" t="s">
        <v>3395</v>
      </c>
      <c r="D2138" s="82" t="s">
        <v>686</v>
      </c>
      <c r="E2138" s="82"/>
      <c r="F2138" s="82" t="s">
        <v>4866</v>
      </c>
      <c r="G2138" s="89">
        <v>2</v>
      </c>
      <c r="H2138" s="89">
        <v>56.27</v>
      </c>
      <c r="I2138" s="85">
        <v>0</v>
      </c>
      <c r="J2138" s="85">
        <v>14.63</v>
      </c>
      <c r="K2138" s="85">
        <v>127.17</v>
      </c>
      <c r="L2138" s="85">
        <v>127.17</v>
      </c>
      <c r="M2138" s="89">
        <v>56.27</v>
      </c>
      <c r="N2138" s="85">
        <v>0</v>
      </c>
      <c r="O2138" s="85">
        <v>14.63</v>
      </c>
      <c r="P2138" s="85">
        <v>127.17</v>
      </c>
      <c r="Q2138" s="85">
        <v>127.17</v>
      </c>
      <c r="R2138" s="82" t="s">
        <v>3399</v>
      </c>
      <c r="S2138" s="7">
        <f t="shared" si="100"/>
        <v>0</v>
      </c>
      <c r="T2138" s="6">
        <f t="shared" si="101"/>
        <v>0</v>
      </c>
      <c r="U2138" s="25">
        <f t="shared" si="99"/>
        <v>0</v>
      </c>
    </row>
    <row r="2139" spans="1:21" ht="10.9" customHeight="1" x14ac:dyDescent="0.2">
      <c r="A2139" s="82" t="s">
        <v>3180</v>
      </c>
      <c r="B2139" s="83">
        <v>45915</v>
      </c>
      <c r="C2139" s="82" t="s">
        <v>3395</v>
      </c>
      <c r="D2139" s="82" t="s">
        <v>650</v>
      </c>
      <c r="E2139" s="82"/>
      <c r="F2139" s="82" t="s">
        <v>4865</v>
      </c>
      <c r="G2139" s="89">
        <v>1</v>
      </c>
      <c r="H2139" s="89">
        <v>48</v>
      </c>
      <c r="I2139" s="85">
        <v>0</v>
      </c>
      <c r="J2139" s="85">
        <v>2.4</v>
      </c>
      <c r="K2139" s="85">
        <v>50.4</v>
      </c>
      <c r="L2139" s="85">
        <v>50.4</v>
      </c>
      <c r="M2139" s="89">
        <v>48</v>
      </c>
      <c r="N2139" s="85">
        <v>0</v>
      </c>
      <c r="O2139" s="85">
        <v>2.4</v>
      </c>
      <c r="P2139" s="85">
        <v>50.4</v>
      </c>
      <c r="Q2139" s="85">
        <v>50.4</v>
      </c>
      <c r="R2139" s="82" t="s">
        <v>3399</v>
      </c>
      <c r="S2139" s="7">
        <f t="shared" si="100"/>
        <v>0</v>
      </c>
      <c r="T2139" s="6">
        <f t="shared" si="101"/>
        <v>0</v>
      </c>
      <c r="U2139" s="25">
        <f t="shared" si="99"/>
        <v>0</v>
      </c>
    </row>
    <row r="2140" spans="1:21" ht="10.9" customHeight="1" x14ac:dyDescent="0.2">
      <c r="A2140" s="82" t="s">
        <v>3176</v>
      </c>
      <c r="B2140" s="83">
        <v>45915</v>
      </c>
      <c r="C2140" s="82" t="s">
        <v>3395</v>
      </c>
      <c r="D2140" s="82" t="s">
        <v>659</v>
      </c>
      <c r="E2140" s="82"/>
      <c r="F2140" s="82" t="s">
        <v>4864</v>
      </c>
      <c r="G2140" s="89">
        <v>1</v>
      </c>
      <c r="H2140" s="89">
        <v>102.81</v>
      </c>
      <c r="I2140" s="85">
        <v>0</v>
      </c>
      <c r="J2140" s="85">
        <v>5.14</v>
      </c>
      <c r="K2140" s="85">
        <v>107.95</v>
      </c>
      <c r="L2140" s="85">
        <v>107.95</v>
      </c>
      <c r="M2140" s="89">
        <v>102.81</v>
      </c>
      <c r="N2140" s="85">
        <v>0</v>
      </c>
      <c r="O2140" s="85">
        <v>5.14</v>
      </c>
      <c r="P2140" s="85">
        <v>107.95</v>
      </c>
      <c r="Q2140" s="85">
        <v>107.95</v>
      </c>
      <c r="R2140" s="82" t="s">
        <v>3399</v>
      </c>
      <c r="S2140" s="7">
        <f t="shared" si="100"/>
        <v>0</v>
      </c>
      <c r="T2140" s="6">
        <f t="shared" si="101"/>
        <v>0</v>
      </c>
      <c r="U2140" s="25">
        <f t="shared" si="99"/>
        <v>0</v>
      </c>
    </row>
    <row r="2141" spans="1:21" ht="10.9" customHeight="1" x14ac:dyDescent="0.2">
      <c r="A2141" s="82" t="s">
        <v>3170</v>
      </c>
      <c r="B2141" s="83">
        <v>45917</v>
      </c>
      <c r="C2141" s="82" t="s">
        <v>3395</v>
      </c>
      <c r="D2141" s="82" t="s">
        <v>671</v>
      </c>
      <c r="E2141" s="82"/>
      <c r="F2141" s="82" t="s">
        <v>4600</v>
      </c>
      <c r="G2141" s="89">
        <v>1</v>
      </c>
      <c r="H2141" s="89">
        <v>2585.3000000000002</v>
      </c>
      <c r="I2141" s="85">
        <v>0</v>
      </c>
      <c r="J2141" s="85">
        <v>336.09</v>
      </c>
      <c r="K2141" s="85">
        <v>2921.39</v>
      </c>
      <c r="L2141" s="85">
        <v>2921.39</v>
      </c>
      <c r="M2141" s="89">
        <v>2585.3000000000002</v>
      </c>
      <c r="N2141" s="85">
        <v>0</v>
      </c>
      <c r="O2141" s="85">
        <v>336.09</v>
      </c>
      <c r="P2141" s="85">
        <v>2921.39</v>
      </c>
      <c r="Q2141" s="85">
        <v>2921.39</v>
      </c>
      <c r="R2141" s="82" t="s">
        <v>3399</v>
      </c>
      <c r="S2141" s="7">
        <f t="shared" si="100"/>
        <v>0</v>
      </c>
      <c r="T2141" s="6">
        <f t="shared" si="101"/>
        <v>0</v>
      </c>
      <c r="U2141" s="25">
        <f t="shared" si="99"/>
        <v>0</v>
      </c>
    </row>
    <row r="2142" spans="1:21" ht="10.9" customHeight="1" x14ac:dyDescent="0.2">
      <c r="A2142" s="82" t="s">
        <v>2975</v>
      </c>
      <c r="B2142" s="83">
        <v>45917</v>
      </c>
      <c r="C2142" s="82" t="s">
        <v>3395</v>
      </c>
      <c r="D2142" s="82" t="s">
        <v>1038</v>
      </c>
      <c r="E2142" s="82"/>
      <c r="F2142" s="82" t="s">
        <v>4860</v>
      </c>
      <c r="G2142" s="89">
        <v>1</v>
      </c>
      <c r="H2142" s="89">
        <v>2068.5</v>
      </c>
      <c r="I2142" s="85">
        <v>0</v>
      </c>
      <c r="J2142" s="85">
        <v>103.43</v>
      </c>
      <c r="K2142" s="85">
        <v>2171.9299999999998</v>
      </c>
      <c r="L2142" s="85">
        <v>2171.9299999999998</v>
      </c>
      <c r="M2142" s="89">
        <v>2068.5</v>
      </c>
      <c r="N2142" s="85">
        <v>0</v>
      </c>
      <c r="O2142" s="85">
        <v>103.43</v>
      </c>
      <c r="P2142" s="85">
        <v>2171.9299999999998</v>
      </c>
      <c r="Q2142" s="85">
        <v>2171.9299999999998</v>
      </c>
      <c r="R2142" s="82" t="s">
        <v>3399</v>
      </c>
      <c r="S2142" s="7">
        <f t="shared" si="100"/>
        <v>0</v>
      </c>
      <c r="T2142" s="6">
        <f t="shared" si="101"/>
        <v>0</v>
      </c>
      <c r="U2142" s="25">
        <f t="shared" si="99"/>
        <v>0</v>
      </c>
    </row>
    <row r="2143" spans="1:21" ht="10.9" customHeight="1" x14ac:dyDescent="0.2">
      <c r="A2143" s="82" t="s">
        <v>3191</v>
      </c>
      <c r="B2143" s="83">
        <v>45917</v>
      </c>
      <c r="C2143" s="82" t="s">
        <v>3395</v>
      </c>
      <c r="D2143" s="82" t="s">
        <v>629</v>
      </c>
      <c r="E2143" s="82"/>
      <c r="F2143" s="82" t="s">
        <v>4517</v>
      </c>
      <c r="G2143" s="89">
        <v>1</v>
      </c>
      <c r="H2143" s="89">
        <v>997.22</v>
      </c>
      <c r="I2143" s="85">
        <v>0</v>
      </c>
      <c r="J2143" s="85">
        <v>49.86</v>
      </c>
      <c r="K2143" s="85">
        <v>1047.08</v>
      </c>
      <c r="L2143" s="85">
        <v>10279.969999999999</v>
      </c>
      <c r="M2143" s="89">
        <v>997.22</v>
      </c>
      <c r="N2143" s="85">
        <v>0</v>
      </c>
      <c r="O2143" s="85">
        <v>49.86</v>
      </c>
      <c r="P2143" s="85">
        <v>1047.08</v>
      </c>
      <c r="Q2143" s="85">
        <v>10279.969999999999</v>
      </c>
      <c r="R2143" s="82" t="s">
        <v>3399</v>
      </c>
      <c r="S2143" s="7">
        <f t="shared" si="100"/>
        <v>0</v>
      </c>
      <c r="T2143" s="6">
        <f t="shared" si="101"/>
        <v>0</v>
      </c>
      <c r="U2143" s="25">
        <f t="shared" si="99"/>
        <v>0</v>
      </c>
    </row>
    <row r="2144" spans="1:21" ht="10.9" customHeight="1" x14ac:dyDescent="0.2">
      <c r="A2144" s="82" t="s">
        <v>3191</v>
      </c>
      <c r="B2144" s="83">
        <v>45917</v>
      </c>
      <c r="C2144" s="82" t="s">
        <v>3395</v>
      </c>
      <c r="D2144" s="82" t="s">
        <v>629</v>
      </c>
      <c r="E2144" s="82"/>
      <c r="F2144" s="82" t="s">
        <v>4518</v>
      </c>
      <c r="G2144" s="89">
        <v>1</v>
      </c>
      <c r="H2144" s="89">
        <v>551.73</v>
      </c>
      <c r="I2144" s="85">
        <v>0</v>
      </c>
      <c r="J2144" s="85">
        <v>27.59</v>
      </c>
      <c r="K2144" s="85">
        <v>579.32000000000005</v>
      </c>
      <c r="L2144" s="85">
        <v>10279.969999999999</v>
      </c>
      <c r="M2144" s="89">
        <v>551.73</v>
      </c>
      <c r="N2144" s="85">
        <v>0</v>
      </c>
      <c r="O2144" s="85">
        <v>27.59</v>
      </c>
      <c r="P2144" s="85">
        <v>579.32000000000005</v>
      </c>
      <c r="Q2144" s="85">
        <v>10279.969999999999</v>
      </c>
      <c r="R2144" s="82" t="s">
        <v>3399</v>
      </c>
      <c r="S2144" s="7">
        <f t="shared" si="100"/>
        <v>0</v>
      </c>
      <c r="T2144" s="6">
        <f t="shared" si="101"/>
        <v>0</v>
      </c>
      <c r="U2144" s="25">
        <f t="shared" si="99"/>
        <v>0</v>
      </c>
    </row>
    <row r="2145" spans="1:21" ht="10.9" customHeight="1" x14ac:dyDescent="0.2">
      <c r="A2145" s="82" t="s">
        <v>3191</v>
      </c>
      <c r="B2145" s="83">
        <v>45917</v>
      </c>
      <c r="C2145" s="82" t="s">
        <v>3395</v>
      </c>
      <c r="D2145" s="82" t="s">
        <v>629</v>
      </c>
      <c r="E2145" s="82"/>
      <c r="F2145" s="82" t="s">
        <v>4587</v>
      </c>
      <c r="G2145" s="89">
        <v>1</v>
      </c>
      <c r="H2145" s="89">
        <v>53.87</v>
      </c>
      <c r="I2145" s="85">
        <v>0</v>
      </c>
      <c r="J2145" s="85">
        <v>2.69</v>
      </c>
      <c r="K2145" s="85">
        <v>56.56</v>
      </c>
      <c r="L2145" s="85">
        <v>10279.969999999999</v>
      </c>
      <c r="M2145" s="89">
        <v>53.87</v>
      </c>
      <c r="N2145" s="85">
        <v>0</v>
      </c>
      <c r="O2145" s="85">
        <v>2.69</v>
      </c>
      <c r="P2145" s="85">
        <v>56.56</v>
      </c>
      <c r="Q2145" s="85">
        <v>10279.969999999999</v>
      </c>
      <c r="R2145" s="82" t="s">
        <v>3399</v>
      </c>
      <c r="S2145" s="7">
        <f t="shared" si="100"/>
        <v>0</v>
      </c>
      <c r="T2145" s="6">
        <f t="shared" si="101"/>
        <v>0</v>
      </c>
      <c r="U2145" s="25">
        <f t="shared" si="99"/>
        <v>0</v>
      </c>
    </row>
    <row r="2146" spans="1:21" ht="10.9" customHeight="1" x14ac:dyDescent="0.2">
      <c r="A2146" s="82" t="s">
        <v>3191</v>
      </c>
      <c r="B2146" s="83">
        <v>45917</v>
      </c>
      <c r="C2146" s="82" t="s">
        <v>3395</v>
      </c>
      <c r="D2146" s="82" t="s">
        <v>629</v>
      </c>
      <c r="E2146" s="82"/>
      <c r="F2146" s="82" t="s">
        <v>4588</v>
      </c>
      <c r="G2146" s="89">
        <v>1</v>
      </c>
      <c r="H2146" s="89">
        <v>53.87</v>
      </c>
      <c r="I2146" s="85">
        <v>0</v>
      </c>
      <c r="J2146" s="85">
        <v>2.69</v>
      </c>
      <c r="K2146" s="85">
        <v>56.56</v>
      </c>
      <c r="L2146" s="85">
        <v>10279.969999999999</v>
      </c>
      <c r="M2146" s="89">
        <v>53.87</v>
      </c>
      <c r="N2146" s="85">
        <v>0</v>
      </c>
      <c r="O2146" s="85">
        <v>2.69</v>
      </c>
      <c r="P2146" s="85">
        <v>56.56</v>
      </c>
      <c r="Q2146" s="85">
        <v>10279.969999999999</v>
      </c>
      <c r="R2146" s="82" t="s">
        <v>3399</v>
      </c>
      <c r="S2146" s="7">
        <f t="shared" si="100"/>
        <v>0</v>
      </c>
      <c r="T2146" s="6">
        <f t="shared" si="101"/>
        <v>0</v>
      </c>
      <c r="U2146" s="25">
        <f t="shared" si="99"/>
        <v>0</v>
      </c>
    </row>
    <row r="2147" spans="1:21" ht="10.9" customHeight="1" x14ac:dyDescent="0.2">
      <c r="A2147" s="82" t="s">
        <v>3191</v>
      </c>
      <c r="B2147" s="83">
        <v>45917</v>
      </c>
      <c r="C2147" s="82" t="s">
        <v>3395</v>
      </c>
      <c r="D2147" s="82" t="s">
        <v>629</v>
      </c>
      <c r="E2147" s="82"/>
      <c r="F2147" s="82" t="s">
        <v>4439</v>
      </c>
      <c r="G2147" s="89">
        <v>2</v>
      </c>
      <c r="H2147" s="89">
        <v>25.19</v>
      </c>
      <c r="I2147" s="85">
        <v>0</v>
      </c>
      <c r="J2147" s="85">
        <v>2.52</v>
      </c>
      <c r="K2147" s="85">
        <v>52.9</v>
      </c>
      <c r="L2147" s="85">
        <v>10279.969999999999</v>
      </c>
      <c r="M2147" s="89">
        <v>25.19</v>
      </c>
      <c r="N2147" s="85">
        <v>0</v>
      </c>
      <c r="O2147" s="85">
        <v>2.52</v>
      </c>
      <c r="P2147" s="85">
        <v>52.9</v>
      </c>
      <c r="Q2147" s="85">
        <v>10279.969999999999</v>
      </c>
      <c r="R2147" s="82" t="s">
        <v>3399</v>
      </c>
      <c r="S2147" s="7">
        <f t="shared" si="100"/>
        <v>0</v>
      </c>
      <c r="T2147" s="6">
        <f t="shared" si="101"/>
        <v>0</v>
      </c>
      <c r="U2147" s="25">
        <f t="shared" si="99"/>
        <v>0</v>
      </c>
    </row>
    <row r="2148" spans="1:21" ht="10.9" customHeight="1" x14ac:dyDescent="0.2">
      <c r="A2148" s="82" t="s">
        <v>3191</v>
      </c>
      <c r="B2148" s="83">
        <v>45917</v>
      </c>
      <c r="C2148" s="82" t="s">
        <v>3395</v>
      </c>
      <c r="D2148" s="82" t="s">
        <v>629</v>
      </c>
      <c r="E2148" s="82"/>
      <c r="F2148" s="82" t="s">
        <v>4735</v>
      </c>
      <c r="G2148" s="89">
        <v>1</v>
      </c>
      <c r="H2148" s="89">
        <v>18.29</v>
      </c>
      <c r="I2148" s="85">
        <v>0</v>
      </c>
      <c r="J2148" s="85">
        <v>0.91</v>
      </c>
      <c r="K2148" s="85">
        <v>19.2</v>
      </c>
      <c r="L2148" s="85">
        <v>10279.969999999999</v>
      </c>
      <c r="M2148" s="89">
        <v>18.29</v>
      </c>
      <c r="N2148" s="85">
        <v>0</v>
      </c>
      <c r="O2148" s="85">
        <v>0.91</v>
      </c>
      <c r="P2148" s="85">
        <v>19.2</v>
      </c>
      <c r="Q2148" s="85">
        <v>10279.969999999999</v>
      </c>
      <c r="R2148" s="82" t="s">
        <v>3399</v>
      </c>
      <c r="S2148" s="7">
        <f t="shared" si="100"/>
        <v>0</v>
      </c>
      <c r="T2148" s="6">
        <f t="shared" si="101"/>
        <v>0</v>
      </c>
      <c r="U2148" s="25">
        <f t="shared" si="99"/>
        <v>0</v>
      </c>
    </row>
    <row r="2149" spans="1:21" ht="10.9" customHeight="1" x14ac:dyDescent="0.2">
      <c r="A2149" s="82" t="s">
        <v>3191</v>
      </c>
      <c r="B2149" s="83">
        <v>45917</v>
      </c>
      <c r="C2149" s="82" t="s">
        <v>3395</v>
      </c>
      <c r="D2149" s="82" t="s">
        <v>629</v>
      </c>
      <c r="E2149" s="82"/>
      <c r="F2149" s="82" t="s">
        <v>4734</v>
      </c>
      <c r="G2149" s="89">
        <v>1</v>
      </c>
      <c r="H2149" s="89">
        <v>57.64</v>
      </c>
      <c r="I2149" s="85">
        <v>0</v>
      </c>
      <c r="J2149" s="85">
        <v>2.88</v>
      </c>
      <c r="K2149" s="85">
        <v>60.52</v>
      </c>
      <c r="L2149" s="85">
        <v>10279.969999999999</v>
      </c>
      <c r="M2149" s="89">
        <v>57.64</v>
      </c>
      <c r="N2149" s="85">
        <v>0</v>
      </c>
      <c r="O2149" s="85">
        <v>2.88</v>
      </c>
      <c r="P2149" s="85">
        <v>60.52</v>
      </c>
      <c r="Q2149" s="85">
        <v>10279.969999999999</v>
      </c>
      <c r="R2149" s="82" t="s">
        <v>3399</v>
      </c>
      <c r="S2149" s="7">
        <f t="shared" si="100"/>
        <v>0</v>
      </c>
      <c r="T2149" s="6">
        <f t="shared" si="101"/>
        <v>0</v>
      </c>
      <c r="U2149" s="25">
        <f t="shared" si="99"/>
        <v>0</v>
      </c>
    </row>
    <row r="2150" spans="1:21" ht="10.9" customHeight="1" x14ac:dyDescent="0.2">
      <c r="A2150" s="82" t="s">
        <v>3191</v>
      </c>
      <c r="B2150" s="83">
        <v>45917</v>
      </c>
      <c r="C2150" s="82" t="s">
        <v>3395</v>
      </c>
      <c r="D2150" s="82" t="s">
        <v>629</v>
      </c>
      <c r="E2150" s="82"/>
      <c r="F2150" s="82" t="s">
        <v>4591</v>
      </c>
      <c r="G2150" s="89">
        <v>1</v>
      </c>
      <c r="H2150" s="89">
        <v>169.24</v>
      </c>
      <c r="I2150" s="85">
        <v>0</v>
      </c>
      <c r="J2150" s="85">
        <v>8.4600000000000009</v>
      </c>
      <c r="K2150" s="85">
        <v>177.7</v>
      </c>
      <c r="L2150" s="85">
        <v>10279.969999999999</v>
      </c>
      <c r="M2150" s="89">
        <v>169.24</v>
      </c>
      <c r="N2150" s="85">
        <v>0</v>
      </c>
      <c r="O2150" s="85">
        <v>8.4600000000000009</v>
      </c>
      <c r="P2150" s="85">
        <v>177.7</v>
      </c>
      <c r="Q2150" s="85">
        <v>10279.969999999999</v>
      </c>
      <c r="R2150" s="82" t="s">
        <v>3399</v>
      </c>
      <c r="S2150" s="7">
        <f t="shared" si="100"/>
        <v>0</v>
      </c>
      <c r="T2150" s="6">
        <f t="shared" si="101"/>
        <v>0</v>
      </c>
      <c r="U2150" s="25">
        <f t="shared" si="99"/>
        <v>0</v>
      </c>
    </row>
    <row r="2151" spans="1:21" ht="10.9" customHeight="1" x14ac:dyDescent="0.2">
      <c r="A2151" s="82" t="s">
        <v>3191</v>
      </c>
      <c r="B2151" s="83">
        <v>45917</v>
      </c>
      <c r="C2151" s="82" t="s">
        <v>3395</v>
      </c>
      <c r="D2151" s="82" t="s">
        <v>629</v>
      </c>
      <c r="E2151" s="82"/>
      <c r="F2151" s="82" t="s">
        <v>4737</v>
      </c>
      <c r="G2151" s="89">
        <v>1</v>
      </c>
      <c r="H2151" s="89">
        <v>1029.1099999999999</v>
      </c>
      <c r="I2151" s="85">
        <v>0</v>
      </c>
      <c r="J2151" s="85">
        <v>51.46</v>
      </c>
      <c r="K2151" s="85">
        <v>1080.57</v>
      </c>
      <c r="L2151" s="85">
        <v>10279.969999999999</v>
      </c>
      <c r="M2151" s="89">
        <v>1029.1099999999999</v>
      </c>
      <c r="N2151" s="85">
        <v>0</v>
      </c>
      <c r="O2151" s="85">
        <v>51.46</v>
      </c>
      <c r="P2151" s="85">
        <v>1080.57</v>
      </c>
      <c r="Q2151" s="85">
        <v>10279.969999999999</v>
      </c>
      <c r="R2151" s="82" t="s">
        <v>3399</v>
      </c>
      <c r="S2151" s="7">
        <f t="shared" si="100"/>
        <v>0</v>
      </c>
      <c r="T2151" s="6">
        <f t="shared" si="101"/>
        <v>0</v>
      </c>
      <c r="U2151" s="25">
        <f t="shared" si="99"/>
        <v>0</v>
      </c>
    </row>
    <row r="2152" spans="1:21" ht="10.9" customHeight="1" x14ac:dyDescent="0.2">
      <c r="A2152" s="82" t="s">
        <v>3191</v>
      </c>
      <c r="B2152" s="83">
        <v>45917</v>
      </c>
      <c r="C2152" s="82" t="s">
        <v>3395</v>
      </c>
      <c r="D2152" s="82" t="s">
        <v>629</v>
      </c>
      <c r="E2152" s="82"/>
      <c r="F2152" s="82" t="s">
        <v>4738</v>
      </c>
      <c r="G2152" s="89">
        <v>1</v>
      </c>
      <c r="H2152" s="89">
        <v>886.53</v>
      </c>
      <c r="I2152" s="85">
        <v>0</v>
      </c>
      <c r="J2152" s="85">
        <v>44.33</v>
      </c>
      <c r="K2152" s="85">
        <v>930.86</v>
      </c>
      <c r="L2152" s="85">
        <v>10279.969999999999</v>
      </c>
      <c r="M2152" s="89">
        <v>886.53</v>
      </c>
      <c r="N2152" s="85">
        <v>0</v>
      </c>
      <c r="O2152" s="85">
        <v>44.33</v>
      </c>
      <c r="P2152" s="85">
        <v>930.86</v>
      </c>
      <c r="Q2152" s="85">
        <v>10279.969999999999</v>
      </c>
      <c r="R2152" s="82" t="s">
        <v>3399</v>
      </c>
      <c r="S2152" s="7">
        <f t="shared" si="100"/>
        <v>0</v>
      </c>
      <c r="T2152" s="6">
        <f t="shared" si="101"/>
        <v>0</v>
      </c>
      <c r="U2152" s="25">
        <f t="shared" si="99"/>
        <v>0</v>
      </c>
    </row>
    <row r="2153" spans="1:21" ht="10.9" customHeight="1" x14ac:dyDescent="0.2">
      <c r="A2153" s="82" t="s">
        <v>3191</v>
      </c>
      <c r="B2153" s="83">
        <v>45917</v>
      </c>
      <c r="C2153" s="82" t="s">
        <v>3395</v>
      </c>
      <c r="D2153" s="82" t="s">
        <v>629</v>
      </c>
      <c r="E2153" s="82"/>
      <c r="F2153" s="82" t="s">
        <v>4751</v>
      </c>
      <c r="G2153" s="89">
        <v>2</v>
      </c>
      <c r="H2153" s="89">
        <v>159.84</v>
      </c>
      <c r="I2153" s="85">
        <v>0</v>
      </c>
      <c r="J2153" s="85">
        <v>15.98</v>
      </c>
      <c r="K2153" s="85">
        <v>335.66</v>
      </c>
      <c r="L2153" s="85">
        <v>10279.969999999999</v>
      </c>
      <c r="M2153" s="89">
        <v>159.84</v>
      </c>
      <c r="N2153" s="85">
        <v>0</v>
      </c>
      <c r="O2153" s="85">
        <v>15.98</v>
      </c>
      <c r="P2153" s="85">
        <v>335.66</v>
      </c>
      <c r="Q2153" s="85">
        <v>10279.969999999999</v>
      </c>
      <c r="R2153" s="82" t="s">
        <v>3399</v>
      </c>
      <c r="S2153" s="7">
        <f t="shared" si="100"/>
        <v>0</v>
      </c>
      <c r="T2153" s="6">
        <f t="shared" si="101"/>
        <v>0</v>
      </c>
      <c r="U2153" s="25">
        <f t="shared" si="99"/>
        <v>0</v>
      </c>
    </row>
    <row r="2154" spans="1:21" ht="10.9" customHeight="1" x14ac:dyDescent="0.2">
      <c r="A2154" s="82" t="s">
        <v>3191</v>
      </c>
      <c r="B2154" s="83">
        <v>45917</v>
      </c>
      <c r="C2154" s="82" t="s">
        <v>3395</v>
      </c>
      <c r="D2154" s="82" t="s">
        <v>629</v>
      </c>
      <c r="E2154" s="82"/>
      <c r="F2154" s="82" t="s">
        <v>4414</v>
      </c>
      <c r="G2154" s="89">
        <v>1</v>
      </c>
      <c r="H2154" s="89">
        <v>1629.78</v>
      </c>
      <c r="I2154" s="85">
        <v>0</v>
      </c>
      <c r="J2154" s="85">
        <v>81.489999999999995</v>
      </c>
      <c r="K2154" s="85">
        <v>1711.27</v>
      </c>
      <c r="L2154" s="85">
        <v>10279.969999999999</v>
      </c>
      <c r="M2154" s="89">
        <v>1629.78</v>
      </c>
      <c r="N2154" s="85">
        <v>0</v>
      </c>
      <c r="O2154" s="85">
        <v>81.489999999999995</v>
      </c>
      <c r="P2154" s="85">
        <v>1711.27</v>
      </c>
      <c r="Q2154" s="85">
        <v>10279.969999999999</v>
      </c>
      <c r="R2154" s="82" t="s">
        <v>3399</v>
      </c>
      <c r="S2154" s="7">
        <f t="shared" si="100"/>
        <v>0</v>
      </c>
      <c r="T2154" s="6">
        <f t="shared" si="101"/>
        <v>0</v>
      </c>
      <c r="U2154" s="25">
        <f t="shared" si="99"/>
        <v>0</v>
      </c>
    </row>
    <row r="2155" spans="1:21" ht="10.9" customHeight="1" x14ac:dyDescent="0.2">
      <c r="A2155" s="82" t="s">
        <v>3191</v>
      </c>
      <c r="B2155" s="83">
        <v>45917</v>
      </c>
      <c r="C2155" s="82" t="s">
        <v>3395</v>
      </c>
      <c r="D2155" s="82" t="s">
        <v>629</v>
      </c>
      <c r="E2155" s="82"/>
      <c r="F2155" s="82" t="s">
        <v>4540</v>
      </c>
      <c r="G2155" s="89">
        <v>1</v>
      </c>
      <c r="H2155" s="89">
        <v>3973.11</v>
      </c>
      <c r="I2155" s="85">
        <v>0</v>
      </c>
      <c r="J2155" s="85">
        <v>198.66</v>
      </c>
      <c r="K2155" s="85">
        <v>4171.7700000000004</v>
      </c>
      <c r="L2155" s="85">
        <v>10279.969999999999</v>
      </c>
      <c r="M2155" s="89">
        <v>3973.11</v>
      </c>
      <c r="N2155" s="85">
        <v>0</v>
      </c>
      <c r="O2155" s="85">
        <v>198.66</v>
      </c>
      <c r="P2155" s="85">
        <v>4171.7700000000004</v>
      </c>
      <c r="Q2155" s="85">
        <v>10279.969999999999</v>
      </c>
      <c r="R2155" s="82" t="s">
        <v>3399</v>
      </c>
      <c r="S2155" s="7">
        <f t="shared" si="100"/>
        <v>0</v>
      </c>
      <c r="T2155" s="6">
        <f t="shared" si="101"/>
        <v>0</v>
      </c>
      <c r="U2155" s="25">
        <f t="shared" si="99"/>
        <v>0</v>
      </c>
    </row>
    <row r="2156" spans="1:21" ht="10.9" customHeight="1" x14ac:dyDescent="0.2">
      <c r="A2156" s="82" t="s">
        <v>3159</v>
      </c>
      <c r="B2156" s="83">
        <v>45917</v>
      </c>
      <c r="C2156" s="82" t="s">
        <v>3395</v>
      </c>
      <c r="D2156" s="82" t="s">
        <v>693</v>
      </c>
      <c r="E2156" s="82"/>
      <c r="F2156" s="82" t="s">
        <v>4857</v>
      </c>
      <c r="G2156" s="89">
        <v>1</v>
      </c>
      <c r="H2156" s="89">
        <v>1060</v>
      </c>
      <c r="I2156" s="85">
        <v>0</v>
      </c>
      <c r="J2156" s="85">
        <v>0</v>
      </c>
      <c r="K2156" s="85">
        <v>1060</v>
      </c>
      <c r="L2156" s="85">
        <v>1651</v>
      </c>
      <c r="M2156" s="89">
        <v>1460.0550964187328</v>
      </c>
      <c r="N2156" s="85">
        <v>0</v>
      </c>
      <c r="O2156" s="85">
        <v>0</v>
      </c>
      <c r="P2156" s="85">
        <v>1460.0550964187328</v>
      </c>
      <c r="Q2156" s="85">
        <v>2274.1046831955923</v>
      </c>
      <c r="R2156" s="82" t="s">
        <v>3399</v>
      </c>
      <c r="S2156" s="7">
        <f t="shared" si="100"/>
        <v>0</v>
      </c>
      <c r="T2156" s="6">
        <f t="shared" si="101"/>
        <v>0</v>
      </c>
      <c r="U2156" s="25">
        <f t="shared" si="99"/>
        <v>0</v>
      </c>
    </row>
    <row r="2157" spans="1:21" ht="10.9" customHeight="1" x14ac:dyDescent="0.2">
      <c r="A2157" s="82" t="s">
        <v>3159</v>
      </c>
      <c r="B2157" s="83">
        <v>45917</v>
      </c>
      <c r="C2157" s="82" t="s">
        <v>3395</v>
      </c>
      <c r="D2157" s="82" t="s">
        <v>693</v>
      </c>
      <c r="E2157" s="82"/>
      <c r="F2157" s="82" t="s">
        <v>4393</v>
      </c>
      <c r="G2157" s="89">
        <v>1</v>
      </c>
      <c r="H2157" s="89">
        <v>591</v>
      </c>
      <c r="I2157" s="85">
        <v>0</v>
      </c>
      <c r="J2157" s="85">
        <v>0</v>
      </c>
      <c r="K2157" s="85">
        <v>591</v>
      </c>
      <c r="L2157" s="85">
        <v>1651</v>
      </c>
      <c r="M2157" s="89">
        <v>814.04958677685954</v>
      </c>
      <c r="N2157" s="85">
        <v>0</v>
      </c>
      <c r="O2157" s="85">
        <v>0</v>
      </c>
      <c r="P2157" s="85">
        <v>814.04958677685954</v>
      </c>
      <c r="Q2157" s="85">
        <v>2274.1046831955923</v>
      </c>
      <c r="R2157" s="82" t="s">
        <v>3399</v>
      </c>
      <c r="S2157" s="7" t="str">
        <f t="shared" si="100"/>
        <v>INV13403</v>
      </c>
      <c r="T2157" s="6">
        <f t="shared" si="101"/>
        <v>1</v>
      </c>
      <c r="U2157" s="25">
        <f t="shared" si="99"/>
        <v>591</v>
      </c>
    </row>
    <row r="2158" spans="1:21" ht="10.9" customHeight="1" x14ac:dyDescent="0.2">
      <c r="A2158" s="82" t="s">
        <v>2989</v>
      </c>
      <c r="B2158" s="83">
        <v>45917</v>
      </c>
      <c r="C2158" s="82" t="s">
        <v>3395</v>
      </c>
      <c r="D2158" s="82" t="s">
        <v>1014</v>
      </c>
      <c r="E2158" s="82"/>
      <c r="F2158" s="82" t="s">
        <v>4575</v>
      </c>
      <c r="G2158" s="89">
        <v>2</v>
      </c>
      <c r="H2158" s="89">
        <v>649.88</v>
      </c>
      <c r="I2158" s="85">
        <v>0</v>
      </c>
      <c r="J2158" s="85">
        <v>64.989999999999995</v>
      </c>
      <c r="K2158" s="85">
        <v>1364.75</v>
      </c>
      <c r="L2158" s="85">
        <v>1364.75</v>
      </c>
      <c r="M2158" s="89">
        <v>649.88</v>
      </c>
      <c r="N2158" s="85">
        <v>0</v>
      </c>
      <c r="O2158" s="85">
        <v>64.989999999999995</v>
      </c>
      <c r="P2158" s="85">
        <v>1364.75</v>
      </c>
      <c r="Q2158" s="85">
        <v>1364.75</v>
      </c>
      <c r="R2158" s="82" t="s">
        <v>3399</v>
      </c>
      <c r="S2158" s="7">
        <f t="shared" si="100"/>
        <v>0</v>
      </c>
      <c r="T2158" s="6">
        <f t="shared" si="101"/>
        <v>0</v>
      </c>
      <c r="U2158" s="25">
        <f t="shared" si="99"/>
        <v>0</v>
      </c>
    </row>
    <row r="2159" spans="1:21" ht="10.9" customHeight="1" x14ac:dyDescent="0.2">
      <c r="A2159" s="82" t="s">
        <v>3172</v>
      </c>
      <c r="B2159" s="83">
        <v>45917</v>
      </c>
      <c r="C2159" s="82" t="s">
        <v>3395</v>
      </c>
      <c r="D2159" s="82" t="s">
        <v>667</v>
      </c>
      <c r="E2159" s="82"/>
      <c r="F2159" s="82" t="s">
        <v>4859</v>
      </c>
      <c r="G2159" s="89">
        <v>2</v>
      </c>
      <c r="H2159" s="89">
        <v>1019.94</v>
      </c>
      <c r="I2159" s="85">
        <v>0</v>
      </c>
      <c r="J2159" s="85">
        <v>101.99</v>
      </c>
      <c r="K2159" s="85">
        <v>2141.87</v>
      </c>
      <c r="L2159" s="85">
        <v>2141.87</v>
      </c>
      <c r="M2159" s="89">
        <v>1019.94</v>
      </c>
      <c r="N2159" s="85">
        <v>0</v>
      </c>
      <c r="O2159" s="85">
        <v>101.99</v>
      </c>
      <c r="P2159" s="85">
        <v>2141.87</v>
      </c>
      <c r="Q2159" s="85">
        <v>2141.87</v>
      </c>
      <c r="R2159" s="82" t="s">
        <v>3399</v>
      </c>
      <c r="S2159" s="7">
        <f t="shared" si="100"/>
        <v>0</v>
      </c>
      <c r="T2159" s="6">
        <f t="shared" si="101"/>
        <v>0</v>
      </c>
      <c r="U2159" s="25">
        <f t="shared" si="99"/>
        <v>0</v>
      </c>
    </row>
    <row r="2160" spans="1:21" ht="10.9" customHeight="1" x14ac:dyDescent="0.2">
      <c r="A2160" s="82" t="s">
        <v>3118</v>
      </c>
      <c r="B2160" s="83">
        <v>45917</v>
      </c>
      <c r="C2160" s="82" t="s">
        <v>3395</v>
      </c>
      <c r="D2160" s="82" t="s">
        <v>776</v>
      </c>
      <c r="E2160" s="82"/>
      <c r="F2160" s="82" t="s">
        <v>4858</v>
      </c>
      <c r="G2160" s="89">
        <v>1</v>
      </c>
      <c r="H2160" s="89">
        <v>1058.6400000000001</v>
      </c>
      <c r="I2160" s="85">
        <v>0</v>
      </c>
      <c r="J2160" s="85">
        <v>52.93</v>
      </c>
      <c r="K2160" s="85">
        <v>1111.57</v>
      </c>
      <c r="L2160" s="85">
        <v>1111.57</v>
      </c>
      <c r="M2160" s="89">
        <v>1058.6400000000001</v>
      </c>
      <c r="N2160" s="85">
        <v>0</v>
      </c>
      <c r="O2160" s="85">
        <v>52.93</v>
      </c>
      <c r="P2160" s="85">
        <v>1111.57</v>
      </c>
      <c r="Q2160" s="85">
        <v>1111.57</v>
      </c>
      <c r="R2160" s="82" t="s">
        <v>3399</v>
      </c>
      <c r="S2160" s="7">
        <f t="shared" si="100"/>
        <v>0</v>
      </c>
      <c r="T2160" s="6">
        <f t="shared" si="101"/>
        <v>0</v>
      </c>
      <c r="U2160" s="25">
        <f t="shared" si="99"/>
        <v>0</v>
      </c>
    </row>
    <row r="2161" spans="1:21" ht="10.9" customHeight="1" x14ac:dyDescent="0.2">
      <c r="A2161" s="82" t="s">
        <v>2971</v>
      </c>
      <c r="B2161" s="83">
        <v>45917</v>
      </c>
      <c r="C2161" s="82" t="s">
        <v>3395</v>
      </c>
      <c r="D2161" s="82" t="s">
        <v>1049</v>
      </c>
      <c r="E2161" s="82"/>
      <c r="F2161" s="82" t="s">
        <v>4863</v>
      </c>
      <c r="G2161" s="89">
        <v>1</v>
      </c>
      <c r="H2161" s="89">
        <v>4184.92</v>
      </c>
      <c r="I2161" s="85">
        <v>0</v>
      </c>
      <c r="J2161" s="85">
        <v>544.04</v>
      </c>
      <c r="K2161" s="85">
        <v>4728.96</v>
      </c>
      <c r="L2161" s="85">
        <v>7833.15</v>
      </c>
      <c r="M2161" s="89">
        <v>4184.92</v>
      </c>
      <c r="N2161" s="85">
        <v>0</v>
      </c>
      <c r="O2161" s="85">
        <v>544.04</v>
      </c>
      <c r="P2161" s="85">
        <v>4728.96</v>
      </c>
      <c r="Q2161" s="85">
        <v>7833.15</v>
      </c>
      <c r="R2161" s="82" t="s">
        <v>3396</v>
      </c>
      <c r="S2161" s="7">
        <f t="shared" si="100"/>
        <v>0</v>
      </c>
      <c r="T2161" s="6">
        <f t="shared" si="101"/>
        <v>0</v>
      </c>
      <c r="U2161" s="25">
        <f t="shared" si="99"/>
        <v>0</v>
      </c>
    </row>
    <row r="2162" spans="1:21" ht="10.9" customHeight="1" x14ac:dyDescent="0.2">
      <c r="A2162" s="82" t="s">
        <v>2971</v>
      </c>
      <c r="B2162" s="83">
        <v>45917</v>
      </c>
      <c r="C2162" s="82" t="s">
        <v>3395</v>
      </c>
      <c r="D2162" s="82" t="s">
        <v>1049</v>
      </c>
      <c r="E2162" s="82"/>
      <c r="F2162" s="82" t="s">
        <v>4862</v>
      </c>
      <c r="G2162" s="89">
        <v>1</v>
      </c>
      <c r="H2162" s="89">
        <v>1568.97</v>
      </c>
      <c r="I2162" s="85">
        <v>0</v>
      </c>
      <c r="J2162" s="85">
        <v>203.97</v>
      </c>
      <c r="K2162" s="85">
        <v>1772.94</v>
      </c>
      <c r="L2162" s="85">
        <v>7833.15</v>
      </c>
      <c r="M2162" s="89">
        <v>1568.97</v>
      </c>
      <c r="N2162" s="85">
        <v>0</v>
      </c>
      <c r="O2162" s="85">
        <v>203.97</v>
      </c>
      <c r="P2162" s="85">
        <v>1772.94</v>
      </c>
      <c r="Q2162" s="85">
        <v>7833.15</v>
      </c>
      <c r="R2162" s="82" t="s">
        <v>3396</v>
      </c>
      <c r="S2162" s="7">
        <f t="shared" si="100"/>
        <v>0</v>
      </c>
      <c r="T2162" s="6">
        <f t="shared" si="101"/>
        <v>0</v>
      </c>
      <c r="U2162" s="25">
        <f t="shared" si="99"/>
        <v>0</v>
      </c>
    </row>
    <row r="2163" spans="1:21" ht="10.9" customHeight="1" x14ac:dyDescent="0.2">
      <c r="A2163" s="82" t="s">
        <v>2971</v>
      </c>
      <c r="B2163" s="83">
        <v>45917</v>
      </c>
      <c r="C2163" s="82" t="s">
        <v>3395</v>
      </c>
      <c r="D2163" s="82" t="s">
        <v>1049</v>
      </c>
      <c r="E2163" s="82"/>
      <c r="F2163" s="82" t="s">
        <v>4861</v>
      </c>
      <c r="G2163" s="89">
        <v>1</v>
      </c>
      <c r="H2163" s="89">
        <v>1178.0999999999999</v>
      </c>
      <c r="I2163" s="85">
        <v>0</v>
      </c>
      <c r="J2163" s="85">
        <v>153.15</v>
      </c>
      <c r="K2163" s="85">
        <v>1331.25</v>
      </c>
      <c r="L2163" s="85">
        <v>7833.15</v>
      </c>
      <c r="M2163" s="89">
        <v>1178.0999999999999</v>
      </c>
      <c r="N2163" s="85">
        <v>0</v>
      </c>
      <c r="O2163" s="85">
        <v>153.15</v>
      </c>
      <c r="P2163" s="85">
        <v>1331.25</v>
      </c>
      <c r="Q2163" s="85">
        <v>7833.15</v>
      </c>
      <c r="R2163" s="82" t="s">
        <v>3396</v>
      </c>
      <c r="S2163" s="7">
        <f t="shared" si="100"/>
        <v>0</v>
      </c>
      <c r="T2163" s="6">
        <f t="shared" si="101"/>
        <v>0</v>
      </c>
      <c r="U2163" s="25">
        <f t="shared" si="99"/>
        <v>0</v>
      </c>
    </row>
    <row r="2164" spans="1:21" ht="10.9" customHeight="1" x14ac:dyDescent="0.2">
      <c r="A2164" s="82" t="s">
        <v>3181</v>
      </c>
      <c r="B2164" s="83">
        <v>45917</v>
      </c>
      <c r="C2164" s="82" t="s">
        <v>3395</v>
      </c>
      <c r="D2164" s="82" t="s">
        <v>648</v>
      </c>
      <c r="E2164" s="82"/>
      <c r="F2164" s="82" t="s">
        <v>4670</v>
      </c>
      <c r="G2164" s="89">
        <v>1</v>
      </c>
      <c r="H2164" s="89">
        <v>147.72999999999999</v>
      </c>
      <c r="I2164" s="85">
        <v>0</v>
      </c>
      <c r="J2164" s="85">
        <v>7.39</v>
      </c>
      <c r="K2164" s="85">
        <v>155.12</v>
      </c>
      <c r="L2164" s="85">
        <v>155.12</v>
      </c>
      <c r="M2164" s="89">
        <v>147.72999999999999</v>
      </c>
      <c r="N2164" s="85">
        <v>0</v>
      </c>
      <c r="O2164" s="85">
        <v>7.39</v>
      </c>
      <c r="P2164" s="85">
        <v>155.12</v>
      </c>
      <c r="Q2164" s="85">
        <v>155.12</v>
      </c>
      <c r="R2164" s="82" t="s">
        <v>3399</v>
      </c>
      <c r="S2164" s="7">
        <f t="shared" si="100"/>
        <v>0</v>
      </c>
      <c r="T2164" s="6">
        <f t="shared" si="101"/>
        <v>0</v>
      </c>
      <c r="U2164" s="25">
        <f t="shared" si="99"/>
        <v>0</v>
      </c>
    </row>
    <row r="2165" spans="1:21" ht="10.9" customHeight="1" x14ac:dyDescent="0.2">
      <c r="A2165" s="82" t="s">
        <v>3133</v>
      </c>
      <c r="B2165" s="83">
        <v>45918</v>
      </c>
      <c r="C2165" s="82" t="s">
        <v>3395</v>
      </c>
      <c r="D2165" s="82" t="s">
        <v>3458</v>
      </c>
      <c r="E2165" s="82"/>
      <c r="F2165" s="82" t="s">
        <v>4855</v>
      </c>
      <c r="G2165" s="89">
        <v>1</v>
      </c>
      <c r="H2165" s="89">
        <v>2069.85</v>
      </c>
      <c r="I2165" s="85">
        <v>0</v>
      </c>
      <c r="J2165" s="85">
        <v>0</v>
      </c>
      <c r="K2165" s="85">
        <v>2069.85</v>
      </c>
      <c r="L2165" s="85">
        <v>2069.85</v>
      </c>
      <c r="M2165" s="89">
        <v>2856.580963027367</v>
      </c>
      <c r="N2165" s="85">
        <v>0</v>
      </c>
      <c r="O2165" s="85">
        <v>0</v>
      </c>
      <c r="P2165" s="85">
        <v>2856.580963027367</v>
      </c>
      <c r="Q2165" s="85">
        <v>2856.580963027367</v>
      </c>
      <c r="R2165" s="82" t="s">
        <v>3399</v>
      </c>
      <c r="S2165" s="7">
        <f t="shared" si="100"/>
        <v>0</v>
      </c>
      <c r="T2165" s="6">
        <f t="shared" si="101"/>
        <v>0</v>
      </c>
      <c r="U2165" s="25">
        <f t="shared" si="99"/>
        <v>0</v>
      </c>
    </row>
    <row r="2166" spans="1:21" ht="10.9" customHeight="1" x14ac:dyDescent="0.2">
      <c r="A2166" s="82" t="s">
        <v>3182</v>
      </c>
      <c r="B2166" s="83">
        <v>45918</v>
      </c>
      <c r="C2166" s="82" t="s">
        <v>3395</v>
      </c>
      <c r="D2166" s="82" t="s">
        <v>646</v>
      </c>
      <c r="E2166" s="82"/>
      <c r="F2166" s="82" t="s">
        <v>4827</v>
      </c>
      <c r="G2166" s="89">
        <v>1</v>
      </c>
      <c r="H2166" s="89">
        <v>100.58</v>
      </c>
      <c r="I2166" s="85">
        <v>0</v>
      </c>
      <c r="J2166" s="85">
        <v>5.03</v>
      </c>
      <c r="K2166" s="85">
        <v>105.61</v>
      </c>
      <c r="L2166" s="85">
        <v>105.61</v>
      </c>
      <c r="M2166" s="89">
        <v>100.58</v>
      </c>
      <c r="N2166" s="85">
        <v>0</v>
      </c>
      <c r="O2166" s="85">
        <v>5.03</v>
      </c>
      <c r="P2166" s="85">
        <v>105.61</v>
      </c>
      <c r="Q2166" s="85">
        <v>105.61</v>
      </c>
      <c r="R2166" s="82" t="s">
        <v>3399</v>
      </c>
      <c r="S2166" s="7">
        <f t="shared" si="100"/>
        <v>0</v>
      </c>
      <c r="T2166" s="6">
        <f t="shared" si="101"/>
        <v>0</v>
      </c>
      <c r="U2166" s="25">
        <f t="shared" si="99"/>
        <v>0</v>
      </c>
    </row>
    <row r="2167" spans="1:21" ht="10.9" customHeight="1" x14ac:dyDescent="0.2">
      <c r="A2167" s="82" t="s">
        <v>3194</v>
      </c>
      <c r="B2167" s="83">
        <v>45918</v>
      </c>
      <c r="C2167" s="82" t="s">
        <v>3395</v>
      </c>
      <c r="D2167" s="82" t="s">
        <v>622</v>
      </c>
      <c r="E2167" s="82"/>
      <c r="F2167" s="82" t="s">
        <v>4685</v>
      </c>
      <c r="G2167" s="89">
        <v>1</v>
      </c>
      <c r="H2167" s="89">
        <v>1034.78</v>
      </c>
      <c r="I2167" s="85">
        <v>0</v>
      </c>
      <c r="J2167" s="85">
        <v>51.74</v>
      </c>
      <c r="K2167" s="85">
        <v>1086.52</v>
      </c>
      <c r="L2167" s="85">
        <v>1086.52</v>
      </c>
      <c r="M2167" s="89">
        <v>1034.78</v>
      </c>
      <c r="N2167" s="85">
        <v>0</v>
      </c>
      <c r="O2167" s="85">
        <v>51.74</v>
      </c>
      <c r="P2167" s="85">
        <v>1086.52</v>
      </c>
      <c r="Q2167" s="85">
        <v>1086.52</v>
      </c>
      <c r="R2167" s="82" t="s">
        <v>3399</v>
      </c>
      <c r="S2167" s="7">
        <f t="shared" si="100"/>
        <v>0</v>
      </c>
      <c r="T2167" s="6">
        <f t="shared" si="101"/>
        <v>0</v>
      </c>
      <c r="U2167" s="25">
        <f t="shared" si="99"/>
        <v>0</v>
      </c>
    </row>
    <row r="2168" spans="1:21" ht="10.9" customHeight="1" x14ac:dyDescent="0.2">
      <c r="A2168" s="82" t="s">
        <v>3192</v>
      </c>
      <c r="B2168" s="83">
        <v>45918</v>
      </c>
      <c r="C2168" s="82" t="s">
        <v>3395</v>
      </c>
      <c r="D2168" s="82" t="s">
        <v>625</v>
      </c>
      <c r="E2168" s="82"/>
      <c r="F2168" s="82" t="s">
        <v>4856</v>
      </c>
      <c r="G2168" s="89">
        <v>1</v>
      </c>
      <c r="H2168" s="89">
        <v>2894.78</v>
      </c>
      <c r="I2168" s="85">
        <v>0</v>
      </c>
      <c r="J2168" s="85">
        <v>144.74</v>
      </c>
      <c r="K2168" s="85">
        <v>3039.52</v>
      </c>
      <c r="L2168" s="85">
        <v>3039.52</v>
      </c>
      <c r="M2168" s="89">
        <v>2894.78</v>
      </c>
      <c r="N2168" s="85">
        <v>0</v>
      </c>
      <c r="O2168" s="85">
        <v>144.74</v>
      </c>
      <c r="P2168" s="85">
        <v>3039.52</v>
      </c>
      <c r="Q2168" s="85">
        <v>3039.52</v>
      </c>
      <c r="R2168" s="82" t="s">
        <v>3399</v>
      </c>
      <c r="S2168" s="7">
        <f t="shared" si="100"/>
        <v>0</v>
      </c>
      <c r="T2168" s="6">
        <f t="shared" si="101"/>
        <v>0</v>
      </c>
      <c r="U2168" s="25">
        <f t="shared" si="99"/>
        <v>0</v>
      </c>
    </row>
    <row r="2169" spans="1:21" ht="10.9" customHeight="1" x14ac:dyDescent="0.2">
      <c r="A2169" s="82" t="s">
        <v>3104</v>
      </c>
      <c r="B2169" s="83">
        <v>45919</v>
      </c>
      <c r="C2169" s="82" t="s">
        <v>3395</v>
      </c>
      <c r="D2169" s="82" t="s">
        <v>801</v>
      </c>
      <c r="E2169" s="82"/>
      <c r="F2169" s="82" t="s">
        <v>4421</v>
      </c>
      <c r="G2169" s="89">
        <v>1</v>
      </c>
      <c r="H2169" s="89">
        <v>1994.1</v>
      </c>
      <c r="I2169" s="85">
        <v>0</v>
      </c>
      <c r="J2169" s="85">
        <v>0</v>
      </c>
      <c r="K2169" s="85">
        <v>1994.1</v>
      </c>
      <c r="L2169" s="85">
        <v>2638.1</v>
      </c>
      <c r="M2169" s="89">
        <v>2750.5017275981213</v>
      </c>
      <c r="N2169" s="85">
        <v>0</v>
      </c>
      <c r="O2169" s="85">
        <v>0</v>
      </c>
      <c r="P2169" s="85">
        <v>2750.5017275981213</v>
      </c>
      <c r="Q2169" s="85">
        <v>3638.7837157497638</v>
      </c>
      <c r="R2169" s="82" t="s">
        <v>3399</v>
      </c>
      <c r="S2169" s="7">
        <f t="shared" si="100"/>
        <v>0</v>
      </c>
      <c r="T2169" s="6">
        <f t="shared" si="101"/>
        <v>0</v>
      </c>
      <c r="U2169" s="25">
        <f t="shared" si="99"/>
        <v>0</v>
      </c>
    </row>
    <row r="2170" spans="1:21" ht="10.9" customHeight="1" x14ac:dyDescent="0.2">
      <c r="A2170" s="82" t="s">
        <v>3104</v>
      </c>
      <c r="B2170" s="83">
        <v>45919</v>
      </c>
      <c r="C2170" s="82" t="s">
        <v>3395</v>
      </c>
      <c r="D2170" s="82" t="s">
        <v>801</v>
      </c>
      <c r="E2170" s="82"/>
      <c r="F2170" s="82" t="s">
        <v>4393</v>
      </c>
      <c r="G2170" s="89">
        <v>1</v>
      </c>
      <c r="H2170" s="89">
        <v>644</v>
      </c>
      <c r="I2170" s="85">
        <v>0</v>
      </c>
      <c r="J2170" s="85">
        <v>0</v>
      </c>
      <c r="K2170" s="85">
        <v>644</v>
      </c>
      <c r="L2170" s="85">
        <v>2638.1</v>
      </c>
      <c r="M2170" s="89">
        <v>888.28198815164239</v>
      </c>
      <c r="N2170" s="85">
        <v>0</v>
      </c>
      <c r="O2170" s="85">
        <v>0</v>
      </c>
      <c r="P2170" s="85">
        <v>888.28198815164239</v>
      </c>
      <c r="Q2170" s="85">
        <v>3638.7837157497638</v>
      </c>
      <c r="R2170" s="82" t="s">
        <v>3399</v>
      </c>
      <c r="S2170" s="7" t="str">
        <f t="shared" si="100"/>
        <v>INV13413</v>
      </c>
      <c r="T2170" s="6">
        <f t="shared" si="101"/>
        <v>1</v>
      </c>
      <c r="U2170" s="25">
        <f t="shared" si="99"/>
        <v>644</v>
      </c>
    </row>
    <row r="2171" spans="1:21" ht="10.9" customHeight="1" x14ac:dyDescent="0.2">
      <c r="A2171" s="82" t="s">
        <v>2877</v>
      </c>
      <c r="B2171" s="83">
        <v>45919</v>
      </c>
      <c r="C2171" s="82" t="s">
        <v>3395</v>
      </c>
      <c r="D2171" s="82" t="s">
        <v>1206</v>
      </c>
      <c r="E2171" s="82"/>
      <c r="F2171" s="82" t="s">
        <v>4847</v>
      </c>
      <c r="G2171" s="89">
        <v>2</v>
      </c>
      <c r="H2171" s="89">
        <v>681.78</v>
      </c>
      <c r="I2171" s="85">
        <v>0</v>
      </c>
      <c r="J2171" s="85">
        <v>0</v>
      </c>
      <c r="K2171" s="85">
        <v>1363.56</v>
      </c>
      <c r="L2171" s="85">
        <v>2011.56</v>
      </c>
      <c r="M2171" s="89">
        <v>940.39269236339555</v>
      </c>
      <c r="N2171" s="85">
        <v>0</v>
      </c>
      <c r="O2171" s="85">
        <v>0</v>
      </c>
      <c r="P2171" s="85">
        <v>1880.7853847267911</v>
      </c>
      <c r="Q2171" s="85">
        <v>2774.5846523079467</v>
      </c>
      <c r="R2171" s="82" t="s">
        <v>3399</v>
      </c>
      <c r="S2171" s="7">
        <f t="shared" si="100"/>
        <v>0</v>
      </c>
      <c r="T2171" s="6">
        <f t="shared" si="101"/>
        <v>0</v>
      </c>
      <c r="U2171" s="25">
        <f t="shared" si="99"/>
        <v>0</v>
      </c>
    </row>
    <row r="2172" spans="1:21" ht="10.9" customHeight="1" x14ac:dyDescent="0.2">
      <c r="A2172" s="82" t="s">
        <v>2877</v>
      </c>
      <c r="B2172" s="83">
        <v>45919</v>
      </c>
      <c r="C2172" s="82" t="s">
        <v>3395</v>
      </c>
      <c r="D2172" s="82" t="s">
        <v>1206</v>
      </c>
      <c r="E2172" s="82"/>
      <c r="F2172" s="82" t="s">
        <v>4393</v>
      </c>
      <c r="G2172" s="89">
        <v>1</v>
      </c>
      <c r="H2172" s="89">
        <v>648</v>
      </c>
      <c r="I2172" s="85">
        <v>0</v>
      </c>
      <c r="J2172" s="85">
        <v>0</v>
      </c>
      <c r="K2172" s="85">
        <v>648</v>
      </c>
      <c r="L2172" s="85">
        <v>2011.56</v>
      </c>
      <c r="M2172" s="89">
        <v>893.79926758115573</v>
      </c>
      <c r="N2172" s="85">
        <v>0</v>
      </c>
      <c r="O2172" s="85">
        <v>0</v>
      </c>
      <c r="P2172" s="85">
        <v>893.79926758115573</v>
      </c>
      <c r="Q2172" s="85">
        <v>2774.5846523079467</v>
      </c>
      <c r="R2172" s="82" t="s">
        <v>3399</v>
      </c>
      <c r="S2172" s="7" t="str">
        <f t="shared" si="100"/>
        <v>INV13414</v>
      </c>
      <c r="T2172" s="6">
        <f t="shared" si="101"/>
        <v>1</v>
      </c>
      <c r="U2172" s="25">
        <f t="shared" si="99"/>
        <v>648</v>
      </c>
    </row>
    <row r="2173" spans="1:21" ht="10.9" customHeight="1" x14ac:dyDescent="0.2">
      <c r="A2173" s="82" t="s">
        <v>3190</v>
      </c>
      <c r="B2173" s="83">
        <v>45919</v>
      </c>
      <c r="C2173" s="82" t="s">
        <v>3395</v>
      </c>
      <c r="D2173" s="82" t="s">
        <v>632</v>
      </c>
      <c r="E2173" s="82"/>
      <c r="F2173" s="82" t="s">
        <v>4854</v>
      </c>
      <c r="G2173" s="89">
        <v>7</v>
      </c>
      <c r="H2173" s="89">
        <v>50.58</v>
      </c>
      <c r="I2173" s="85">
        <v>0</v>
      </c>
      <c r="J2173" s="85">
        <v>46.03</v>
      </c>
      <c r="K2173" s="85">
        <v>400.09</v>
      </c>
      <c r="L2173" s="85">
        <v>400.09</v>
      </c>
      <c r="M2173" s="89">
        <v>50.58</v>
      </c>
      <c r="N2173" s="85">
        <v>0</v>
      </c>
      <c r="O2173" s="85">
        <v>46.03</v>
      </c>
      <c r="P2173" s="85">
        <v>400.09</v>
      </c>
      <c r="Q2173" s="85">
        <v>400.09</v>
      </c>
      <c r="R2173" s="82" t="s">
        <v>3399</v>
      </c>
      <c r="S2173" s="7">
        <f t="shared" si="100"/>
        <v>0</v>
      </c>
      <c r="T2173" s="6">
        <f t="shared" si="101"/>
        <v>0</v>
      </c>
      <c r="U2173" s="25">
        <f t="shared" si="99"/>
        <v>0</v>
      </c>
    </row>
    <row r="2174" spans="1:21" ht="10.9" customHeight="1" x14ac:dyDescent="0.2">
      <c r="A2174" s="82" t="s">
        <v>3152</v>
      </c>
      <c r="B2174" s="83">
        <v>45919</v>
      </c>
      <c r="C2174" s="82" t="s">
        <v>3395</v>
      </c>
      <c r="D2174" s="82" t="s">
        <v>704</v>
      </c>
      <c r="E2174" s="82"/>
      <c r="F2174" s="82" t="s">
        <v>4853</v>
      </c>
      <c r="G2174" s="89">
        <v>1</v>
      </c>
      <c r="H2174" s="89">
        <v>192.66</v>
      </c>
      <c r="I2174" s="85">
        <v>0</v>
      </c>
      <c r="J2174" s="85">
        <v>25.05</v>
      </c>
      <c r="K2174" s="85">
        <v>217.71</v>
      </c>
      <c r="L2174" s="85">
        <v>288.55</v>
      </c>
      <c r="M2174" s="89">
        <v>192.66</v>
      </c>
      <c r="N2174" s="85">
        <v>0</v>
      </c>
      <c r="O2174" s="85">
        <v>25.05</v>
      </c>
      <c r="P2174" s="85">
        <v>217.71</v>
      </c>
      <c r="Q2174" s="85">
        <v>288.55</v>
      </c>
      <c r="R2174" s="82" t="s">
        <v>3399</v>
      </c>
      <c r="S2174" s="7">
        <f t="shared" si="100"/>
        <v>0</v>
      </c>
      <c r="T2174" s="6">
        <f t="shared" si="101"/>
        <v>0</v>
      </c>
      <c r="U2174" s="25">
        <f t="shared" si="99"/>
        <v>0</v>
      </c>
    </row>
    <row r="2175" spans="1:21" ht="10.9" customHeight="1" x14ac:dyDescent="0.2">
      <c r="A2175" s="82" t="s">
        <v>3152</v>
      </c>
      <c r="B2175" s="83">
        <v>45919</v>
      </c>
      <c r="C2175" s="82" t="s">
        <v>3395</v>
      </c>
      <c r="D2175" s="82" t="s">
        <v>704</v>
      </c>
      <c r="E2175" s="82"/>
      <c r="F2175" s="82" t="s">
        <v>4852</v>
      </c>
      <c r="G2175" s="89">
        <v>1</v>
      </c>
      <c r="H2175" s="89">
        <v>62.69</v>
      </c>
      <c r="I2175" s="85">
        <v>0</v>
      </c>
      <c r="J2175" s="85">
        <v>8.15</v>
      </c>
      <c r="K2175" s="85">
        <v>70.84</v>
      </c>
      <c r="L2175" s="85">
        <v>288.55</v>
      </c>
      <c r="M2175" s="89">
        <v>62.69</v>
      </c>
      <c r="N2175" s="85">
        <v>0</v>
      </c>
      <c r="O2175" s="85">
        <v>8.15</v>
      </c>
      <c r="P2175" s="85">
        <v>70.84</v>
      </c>
      <c r="Q2175" s="85">
        <v>288.55</v>
      </c>
      <c r="R2175" s="82" t="s">
        <v>3399</v>
      </c>
      <c r="S2175" s="7">
        <f t="shared" si="100"/>
        <v>0</v>
      </c>
      <c r="T2175" s="6">
        <f t="shared" si="101"/>
        <v>0</v>
      </c>
      <c r="U2175" s="25">
        <f t="shared" si="99"/>
        <v>0</v>
      </c>
    </row>
    <row r="2176" spans="1:21" ht="10.9" customHeight="1" x14ac:dyDescent="0.2">
      <c r="A2176" s="82" t="s">
        <v>3139</v>
      </c>
      <c r="B2176" s="83">
        <v>45919</v>
      </c>
      <c r="C2176" s="82" t="s">
        <v>3395</v>
      </c>
      <c r="D2176" s="82" t="s">
        <v>727</v>
      </c>
      <c r="E2176" s="82"/>
      <c r="F2176" s="82" t="s">
        <v>4851</v>
      </c>
      <c r="G2176" s="89">
        <v>1</v>
      </c>
      <c r="H2176" s="89">
        <v>2576.7199999999998</v>
      </c>
      <c r="I2176" s="85">
        <v>0</v>
      </c>
      <c r="J2176" s="85">
        <v>334.97</v>
      </c>
      <c r="K2176" s="85">
        <v>2911.69</v>
      </c>
      <c r="L2176" s="85">
        <v>2911.69</v>
      </c>
      <c r="M2176" s="89">
        <v>2576.7199999999998</v>
      </c>
      <c r="N2176" s="85">
        <v>0</v>
      </c>
      <c r="O2176" s="85">
        <v>334.97</v>
      </c>
      <c r="P2176" s="85">
        <v>2911.69</v>
      </c>
      <c r="Q2176" s="85">
        <v>2911.69</v>
      </c>
      <c r="R2176" s="82" t="s">
        <v>3399</v>
      </c>
      <c r="S2176" s="7">
        <f t="shared" si="100"/>
        <v>0</v>
      </c>
      <c r="T2176" s="6">
        <f t="shared" si="101"/>
        <v>0</v>
      </c>
      <c r="U2176" s="25">
        <f t="shared" si="99"/>
        <v>0</v>
      </c>
    </row>
    <row r="2177" spans="1:21" ht="10.9" customHeight="1" x14ac:dyDescent="0.2">
      <c r="A2177" s="82" t="s">
        <v>3186</v>
      </c>
      <c r="B2177" s="83">
        <v>45919</v>
      </c>
      <c r="C2177" s="82" t="s">
        <v>3395</v>
      </c>
      <c r="D2177" s="82" t="s">
        <v>638</v>
      </c>
      <c r="E2177" s="82"/>
      <c r="F2177" s="82" t="s">
        <v>4585</v>
      </c>
      <c r="G2177" s="89">
        <v>1</v>
      </c>
      <c r="H2177" s="89">
        <v>103.9</v>
      </c>
      <c r="I2177" s="85">
        <v>0</v>
      </c>
      <c r="J2177" s="85">
        <v>5.2</v>
      </c>
      <c r="K2177" s="85">
        <v>109.1</v>
      </c>
      <c r="L2177" s="85">
        <v>109.1</v>
      </c>
      <c r="M2177" s="89">
        <v>103.9</v>
      </c>
      <c r="N2177" s="85">
        <v>0</v>
      </c>
      <c r="O2177" s="85">
        <v>5.2</v>
      </c>
      <c r="P2177" s="85">
        <v>109.1</v>
      </c>
      <c r="Q2177" s="85">
        <v>109.1</v>
      </c>
      <c r="R2177" s="82" t="s">
        <v>3399</v>
      </c>
      <c r="S2177" s="7">
        <f t="shared" si="100"/>
        <v>0</v>
      </c>
      <c r="T2177" s="6">
        <f t="shared" si="101"/>
        <v>0</v>
      </c>
      <c r="U2177" s="25">
        <f t="shared" si="99"/>
        <v>0</v>
      </c>
    </row>
    <row r="2178" spans="1:21" ht="10.9" customHeight="1" x14ac:dyDescent="0.2">
      <c r="A2178" s="82" t="s">
        <v>3185</v>
      </c>
      <c r="B2178" s="83">
        <v>45919</v>
      </c>
      <c r="C2178" s="82" t="s">
        <v>3395</v>
      </c>
      <c r="D2178" s="82" t="s">
        <v>640</v>
      </c>
      <c r="E2178" s="82"/>
      <c r="F2178" s="82" t="s">
        <v>4850</v>
      </c>
      <c r="G2178" s="89">
        <v>2</v>
      </c>
      <c r="H2178" s="89">
        <v>236.55</v>
      </c>
      <c r="I2178" s="85">
        <v>0</v>
      </c>
      <c r="J2178" s="85">
        <v>23.66</v>
      </c>
      <c r="K2178" s="85">
        <v>496.76</v>
      </c>
      <c r="L2178" s="85">
        <v>752.49</v>
      </c>
      <c r="M2178" s="89">
        <v>236.55</v>
      </c>
      <c r="N2178" s="85">
        <v>0</v>
      </c>
      <c r="O2178" s="85">
        <v>23.66</v>
      </c>
      <c r="P2178" s="85">
        <v>496.76</v>
      </c>
      <c r="Q2178" s="85">
        <v>752.49</v>
      </c>
      <c r="R2178" s="82" t="s">
        <v>3399</v>
      </c>
      <c r="S2178" s="7">
        <f t="shared" si="100"/>
        <v>0</v>
      </c>
      <c r="T2178" s="6">
        <f t="shared" si="101"/>
        <v>0</v>
      </c>
      <c r="U2178" s="25">
        <f t="shared" ref="U2178:U2241" si="102">IF(T2178=1,K2178-J2178,0)</f>
        <v>0</v>
      </c>
    </row>
    <row r="2179" spans="1:21" ht="10.9" customHeight="1" x14ac:dyDescent="0.2">
      <c r="A2179" s="82" t="s">
        <v>3185</v>
      </c>
      <c r="B2179" s="83">
        <v>45919</v>
      </c>
      <c r="C2179" s="82" t="s">
        <v>3395</v>
      </c>
      <c r="D2179" s="82" t="s">
        <v>640</v>
      </c>
      <c r="E2179" s="82"/>
      <c r="F2179" s="82" t="s">
        <v>4849</v>
      </c>
      <c r="G2179" s="89">
        <v>1</v>
      </c>
      <c r="H2179" s="89">
        <v>243.55</v>
      </c>
      <c r="I2179" s="85">
        <v>0</v>
      </c>
      <c r="J2179" s="85">
        <v>12.18</v>
      </c>
      <c r="K2179" s="85">
        <v>255.73</v>
      </c>
      <c r="L2179" s="85">
        <v>752.49</v>
      </c>
      <c r="M2179" s="89">
        <v>243.55</v>
      </c>
      <c r="N2179" s="85">
        <v>0</v>
      </c>
      <c r="O2179" s="85">
        <v>12.18</v>
      </c>
      <c r="P2179" s="85">
        <v>255.73</v>
      </c>
      <c r="Q2179" s="85">
        <v>752.49</v>
      </c>
      <c r="R2179" s="82" t="s">
        <v>3399</v>
      </c>
      <c r="S2179" s="7">
        <f t="shared" ref="S2179:S2242" si="103">IF(T2179=1,A2179,0)</f>
        <v>0</v>
      </c>
      <c r="T2179" s="6">
        <f t="shared" ref="T2179:T2242" si="104">IFERROR(FIND("Freight",F2179,1),0)</f>
        <v>0</v>
      </c>
      <c r="U2179" s="25">
        <f t="shared" si="102"/>
        <v>0</v>
      </c>
    </row>
    <row r="2180" spans="1:21" ht="10.9" customHeight="1" x14ac:dyDescent="0.2">
      <c r="A2180" s="82" t="s">
        <v>3196</v>
      </c>
      <c r="B2180" s="83">
        <v>45919</v>
      </c>
      <c r="C2180" s="82" t="s">
        <v>3395</v>
      </c>
      <c r="D2180" s="82" t="s">
        <v>618</v>
      </c>
      <c r="E2180" s="82"/>
      <c r="F2180" s="82" t="s">
        <v>4568</v>
      </c>
      <c r="G2180" s="89">
        <v>2</v>
      </c>
      <c r="H2180" s="89">
        <v>50</v>
      </c>
      <c r="I2180" s="85">
        <v>0</v>
      </c>
      <c r="J2180" s="85">
        <v>5</v>
      </c>
      <c r="K2180" s="85">
        <v>105</v>
      </c>
      <c r="L2180" s="85">
        <v>122.83</v>
      </c>
      <c r="M2180" s="89">
        <v>50</v>
      </c>
      <c r="N2180" s="85">
        <v>0</v>
      </c>
      <c r="O2180" s="85">
        <v>5</v>
      </c>
      <c r="P2180" s="85">
        <v>105</v>
      </c>
      <c r="Q2180" s="85">
        <v>122.83</v>
      </c>
      <c r="R2180" s="82" t="s">
        <v>3399</v>
      </c>
      <c r="S2180" s="7">
        <f t="shared" si="103"/>
        <v>0</v>
      </c>
      <c r="T2180" s="6">
        <f t="shared" si="104"/>
        <v>0</v>
      </c>
      <c r="U2180" s="25">
        <f t="shared" si="102"/>
        <v>0</v>
      </c>
    </row>
    <row r="2181" spans="1:21" ht="10.9" customHeight="1" x14ac:dyDescent="0.2">
      <c r="A2181" s="82" t="s">
        <v>3196</v>
      </c>
      <c r="B2181" s="83">
        <v>45919</v>
      </c>
      <c r="C2181" s="82" t="s">
        <v>3395</v>
      </c>
      <c r="D2181" s="82" t="s">
        <v>618</v>
      </c>
      <c r="E2181" s="82"/>
      <c r="F2181" s="82" t="s">
        <v>4848</v>
      </c>
      <c r="G2181" s="89">
        <v>1</v>
      </c>
      <c r="H2181" s="89">
        <v>16.98</v>
      </c>
      <c r="I2181" s="85">
        <v>0</v>
      </c>
      <c r="J2181" s="85">
        <v>0.85</v>
      </c>
      <c r="K2181" s="85">
        <v>17.829999999999998</v>
      </c>
      <c r="L2181" s="85">
        <v>122.83</v>
      </c>
      <c r="M2181" s="89">
        <v>16.98</v>
      </c>
      <c r="N2181" s="85">
        <v>0</v>
      </c>
      <c r="O2181" s="85">
        <v>0.85</v>
      </c>
      <c r="P2181" s="85">
        <v>17.829999999999998</v>
      </c>
      <c r="Q2181" s="85">
        <v>122.83</v>
      </c>
      <c r="R2181" s="82" t="s">
        <v>3399</v>
      </c>
      <c r="S2181" s="7">
        <f t="shared" si="103"/>
        <v>0</v>
      </c>
      <c r="T2181" s="6">
        <f t="shared" si="104"/>
        <v>0</v>
      </c>
      <c r="U2181" s="25">
        <f t="shared" si="102"/>
        <v>0</v>
      </c>
    </row>
    <row r="2182" spans="1:21" ht="10.9" customHeight="1" x14ac:dyDescent="0.2">
      <c r="A2182" s="82" t="s">
        <v>3195</v>
      </c>
      <c r="B2182" s="83">
        <v>45919</v>
      </c>
      <c r="C2182" s="82" t="s">
        <v>3395</v>
      </c>
      <c r="D2182" s="82" t="s">
        <v>620</v>
      </c>
      <c r="E2182" s="82"/>
      <c r="F2182" s="82" t="s">
        <v>4648</v>
      </c>
      <c r="G2182" s="89">
        <v>1</v>
      </c>
      <c r="H2182" s="89">
        <v>279.5</v>
      </c>
      <c r="I2182" s="85">
        <v>0</v>
      </c>
      <c r="J2182" s="85">
        <v>36.340000000000003</v>
      </c>
      <c r="K2182" s="85">
        <v>315.83999999999997</v>
      </c>
      <c r="L2182" s="85">
        <v>315.83999999999997</v>
      </c>
      <c r="M2182" s="89">
        <v>279.5</v>
      </c>
      <c r="N2182" s="85">
        <v>0</v>
      </c>
      <c r="O2182" s="85">
        <v>36.340000000000003</v>
      </c>
      <c r="P2182" s="85">
        <v>315.83999999999997</v>
      </c>
      <c r="Q2182" s="85">
        <v>315.83999999999997</v>
      </c>
      <c r="R2182" s="82" t="s">
        <v>3399</v>
      </c>
      <c r="S2182" s="7">
        <f t="shared" si="103"/>
        <v>0</v>
      </c>
      <c r="T2182" s="6">
        <f t="shared" si="104"/>
        <v>0</v>
      </c>
      <c r="U2182" s="25">
        <f t="shared" si="102"/>
        <v>0</v>
      </c>
    </row>
    <row r="2183" spans="1:21" ht="10.9" customHeight="1" x14ac:dyDescent="0.2">
      <c r="A2183" s="82"/>
      <c r="B2183" s="83">
        <v>45919</v>
      </c>
      <c r="C2183" s="82" t="s">
        <v>3423</v>
      </c>
      <c r="D2183" s="82"/>
      <c r="E2183" s="82"/>
      <c r="F2183" s="82" t="s">
        <v>4846</v>
      </c>
      <c r="G2183" s="89">
        <v>-1</v>
      </c>
      <c r="H2183" s="89">
        <v>1701.41</v>
      </c>
      <c r="I2183" s="85">
        <v>0</v>
      </c>
      <c r="J2183" s="85">
        <v>0</v>
      </c>
      <c r="K2183" s="85">
        <v>-1701.41</v>
      </c>
      <c r="L2183" s="85">
        <v>-1701.41</v>
      </c>
      <c r="M2183" s="89">
        <v>2346.7885985420589</v>
      </c>
      <c r="N2183" s="85">
        <v>0</v>
      </c>
      <c r="O2183" s="85">
        <v>0</v>
      </c>
      <c r="P2183" s="85">
        <v>-2346.7885985420589</v>
      </c>
      <c r="Q2183" s="85">
        <v>-2346.7885985420589</v>
      </c>
      <c r="R2183" s="82" t="s">
        <v>4511</v>
      </c>
      <c r="S2183" s="7">
        <f t="shared" si="103"/>
        <v>0</v>
      </c>
      <c r="T2183" s="6">
        <f t="shared" si="104"/>
        <v>0</v>
      </c>
      <c r="U2183" s="25">
        <f t="shared" si="102"/>
        <v>0</v>
      </c>
    </row>
    <row r="2184" spans="1:21" ht="10.9" customHeight="1" x14ac:dyDescent="0.2">
      <c r="A2184" s="82"/>
      <c r="B2184" s="83">
        <v>45921</v>
      </c>
      <c r="C2184" s="82" t="s">
        <v>3423</v>
      </c>
      <c r="D2184" s="82"/>
      <c r="E2184" s="82"/>
      <c r="F2184" s="82" t="s">
        <v>4845</v>
      </c>
      <c r="G2184" s="89">
        <v>-1</v>
      </c>
      <c r="H2184" s="89">
        <v>1701.41</v>
      </c>
      <c r="I2184" s="85">
        <v>0</v>
      </c>
      <c r="J2184" s="85">
        <v>0</v>
      </c>
      <c r="K2184" s="85">
        <v>-1701.41</v>
      </c>
      <c r="L2184" s="85">
        <v>-1701.41</v>
      </c>
      <c r="M2184" s="89">
        <v>2347.0087332931453</v>
      </c>
      <c r="N2184" s="85">
        <v>0</v>
      </c>
      <c r="O2184" s="85">
        <v>0</v>
      </c>
      <c r="P2184" s="85">
        <v>-2347.0087332931453</v>
      </c>
      <c r="Q2184" s="85">
        <v>-2347.0087332931453</v>
      </c>
      <c r="R2184" s="82" t="s">
        <v>4511</v>
      </c>
      <c r="S2184" s="7">
        <f t="shared" si="103"/>
        <v>0</v>
      </c>
      <c r="T2184" s="6">
        <f t="shared" si="104"/>
        <v>0</v>
      </c>
      <c r="U2184" s="25">
        <f t="shared" si="102"/>
        <v>0</v>
      </c>
    </row>
    <row r="2185" spans="1:21" ht="10.9" customHeight="1" x14ac:dyDescent="0.2">
      <c r="A2185" s="82" t="s">
        <v>3146</v>
      </c>
      <c r="B2185" s="83">
        <v>45922</v>
      </c>
      <c r="C2185" s="82" t="s">
        <v>3395</v>
      </c>
      <c r="D2185" s="82" t="s">
        <v>716</v>
      </c>
      <c r="E2185" s="82"/>
      <c r="F2185" s="82" t="s">
        <v>4844</v>
      </c>
      <c r="G2185" s="89">
        <v>1</v>
      </c>
      <c r="H2185" s="89">
        <v>2463.62</v>
      </c>
      <c r="I2185" s="85">
        <v>0</v>
      </c>
      <c r="J2185" s="85">
        <v>0</v>
      </c>
      <c r="K2185" s="85">
        <v>2463.62</v>
      </c>
      <c r="L2185" s="85">
        <v>86619.66</v>
      </c>
      <c r="M2185" s="89">
        <v>3403.6879895110451</v>
      </c>
      <c r="N2185" s="85">
        <v>0</v>
      </c>
      <c r="O2185" s="85">
        <v>0</v>
      </c>
      <c r="P2185" s="85">
        <v>3403.6879895110451</v>
      </c>
      <c r="Q2185" s="85">
        <v>119671.98528893672</v>
      </c>
      <c r="R2185" s="82" t="s">
        <v>3399</v>
      </c>
      <c r="S2185" s="7">
        <f t="shared" si="103"/>
        <v>0</v>
      </c>
      <c r="T2185" s="6">
        <f t="shared" si="104"/>
        <v>0</v>
      </c>
      <c r="U2185" s="25">
        <f t="shared" si="102"/>
        <v>0</v>
      </c>
    </row>
    <row r="2186" spans="1:21" ht="10.9" customHeight="1" x14ac:dyDescent="0.2">
      <c r="A2186" s="82" t="s">
        <v>3146</v>
      </c>
      <c r="B2186" s="83">
        <v>45922</v>
      </c>
      <c r="C2186" s="82" t="s">
        <v>3395</v>
      </c>
      <c r="D2186" s="82" t="s">
        <v>716</v>
      </c>
      <c r="E2186" s="82"/>
      <c r="F2186" s="82" t="s">
        <v>4843</v>
      </c>
      <c r="G2186" s="89">
        <v>1</v>
      </c>
      <c r="H2186" s="89">
        <v>848.94</v>
      </c>
      <c r="I2186" s="85">
        <v>0</v>
      </c>
      <c r="J2186" s="85">
        <v>0</v>
      </c>
      <c r="K2186" s="85">
        <v>848.94</v>
      </c>
      <c r="L2186" s="85">
        <v>86619.66</v>
      </c>
      <c r="M2186" s="89">
        <v>1172.8784803725846</v>
      </c>
      <c r="N2186" s="85">
        <v>0</v>
      </c>
      <c r="O2186" s="85">
        <v>0</v>
      </c>
      <c r="P2186" s="85">
        <v>1172.8784803725846</v>
      </c>
      <c r="Q2186" s="85">
        <v>119671.98528893672</v>
      </c>
      <c r="R2186" s="82" t="s">
        <v>3399</v>
      </c>
      <c r="S2186" s="7">
        <f t="shared" si="103"/>
        <v>0</v>
      </c>
      <c r="T2186" s="6">
        <f t="shared" si="104"/>
        <v>0</v>
      </c>
      <c r="U2186" s="25">
        <f t="shared" si="102"/>
        <v>0</v>
      </c>
    </row>
    <row r="2187" spans="1:21" ht="10.9" customHeight="1" x14ac:dyDescent="0.2">
      <c r="A2187" s="82" t="s">
        <v>3146</v>
      </c>
      <c r="B2187" s="83">
        <v>45922</v>
      </c>
      <c r="C2187" s="82" t="s">
        <v>3395</v>
      </c>
      <c r="D2187" s="82" t="s">
        <v>716</v>
      </c>
      <c r="E2187" s="82"/>
      <c r="F2187" s="82" t="s">
        <v>4822</v>
      </c>
      <c r="G2187" s="89">
        <v>3</v>
      </c>
      <c r="H2187" s="89">
        <v>649.94000000000005</v>
      </c>
      <c r="I2187" s="85">
        <v>0</v>
      </c>
      <c r="J2187" s="85">
        <v>0</v>
      </c>
      <c r="K2187" s="85">
        <v>1949.82</v>
      </c>
      <c r="L2187" s="85">
        <v>86619.66</v>
      </c>
      <c r="M2187" s="89">
        <v>897.94407088057756</v>
      </c>
      <c r="N2187" s="85">
        <v>0</v>
      </c>
      <c r="O2187" s="85">
        <v>0</v>
      </c>
      <c r="P2187" s="85">
        <v>2693.8322126417329</v>
      </c>
      <c r="Q2187" s="85">
        <v>119671.98528893672</v>
      </c>
      <c r="R2187" s="82" t="s">
        <v>3399</v>
      </c>
      <c r="S2187" s="7">
        <f t="shared" si="103"/>
        <v>0</v>
      </c>
      <c r="T2187" s="6">
        <f t="shared" si="104"/>
        <v>0</v>
      </c>
      <c r="U2187" s="25">
        <f t="shared" si="102"/>
        <v>0</v>
      </c>
    </row>
    <row r="2188" spans="1:21" ht="10.9" customHeight="1" x14ac:dyDescent="0.2">
      <c r="A2188" s="82" t="s">
        <v>3146</v>
      </c>
      <c r="B2188" s="83">
        <v>45922</v>
      </c>
      <c r="C2188" s="82" t="s">
        <v>3395</v>
      </c>
      <c r="D2188" s="82" t="s">
        <v>716</v>
      </c>
      <c r="E2188" s="82"/>
      <c r="F2188" s="82" t="s">
        <v>4733</v>
      </c>
      <c r="G2188" s="89">
        <v>3</v>
      </c>
      <c r="H2188" s="89">
        <v>189.35</v>
      </c>
      <c r="I2188" s="85">
        <v>0</v>
      </c>
      <c r="J2188" s="85">
        <v>0</v>
      </c>
      <c r="K2188" s="85">
        <v>568.04999999999995</v>
      </c>
      <c r="L2188" s="85">
        <v>86619.66</v>
      </c>
      <c r="M2188" s="89">
        <v>261.60216300156532</v>
      </c>
      <c r="N2188" s="85">
        <v>0</v>
      </c>
      <c r="O2188" s="85">
        <v>0</v>
      </c>
      <c r="P2188" s="85">
        <v>784.806489004696</v>
      </c>
      <c r="Q2188" s="85">
        <v>119671.98528893672</v>
      </c>
      <c r="R2188" s="82" t="s">
        <v>3399</v>
      </c>
      <c r="S2188" s="7">
        <f t="shared" si="103"/>
        <v>0</v>
      </c>
      <c r="T2188" s="6">
        <f t="shared" si="104"/>
        <v>0</v>
      </c>
      <c r="U2188" s="25">
        <f t="shared" si="102"/>
        <v>0</v>
      </c>
    </row>
    <row r="2189" spans="1:21" ht="10.9" customHeight="1" x14ac:dyDescent="0.2">
      <c r="A2189" s="82" t="s">
        <v>3146</v>
      </c>
      <c r="B2189" s="83">
        <v>45922</v>
      </c>
      <c r="C2189" s="82" t="s">
        <v>3395</v>
      </c>
      <c r="D2189" s="82" t="s">
        <v>716</v>
      </c>
      <c r="E2189" s="82"/>
      <c r="F2189" s="82" t="s">
        <v>4445</v>
      </c>
      <c r="G2189" s="89">
        <v>2</v>
      </c>
      <c r="H2189" s="89">
        <v>1715.64</v>
      </c>
      <c r="I2189" s="85">
        <v>0</v>
      </c>
      <c r="J2189" s="85">
        <v>0</v>
      </c>
      <c r="K2189" s="85">
        <v>3431.28</v>
      </c>
      <c r="L2189" s="85">
        <v>86619.66</v>
      </c>
      <c r="M2189" s="89">
        <v>2370.29382060737</v>
      </c>
      <c r="N2189" s="85">
        <v>0</v>
      </c>
      <c r="O2189" s="85">
        <v>0</v>
      </c>
      <c r="P2189" s="85">
        <v>4740.58764121474</v>
      </c>
      <c r="Q2189" s="85">
        <v>119671.98528893672</v>
      </c>
      <c r="R2189" s="82" t="s">
        <v>3399</v>
      </c>
      <c r="S2189" s="7">
        <f t="shared" si="103"/>
        <v>0</v>
      </c>
      <c r="T2189" s="6">
        <f t="shared" si="104"/>
        <v>0</v>
      </c>
      <c r="U2189" s="25">
        <f t="shared" si="102"/>
        <v>0</v>
      </c>
    </row>
    <row r="2190" spans="1:21" ht="10.9" customHeight="1" x14ac:dyDescent="0.2">
      <c r="A2190" s="82" t="s">
        <v>3146</v>
      </c>
      <c r="B2190" s="83">
        <v>45922</v>
      </c>
      <c r="C2190" s="82" t="s">
        <v>3395</v>
      </c>
      <c r="D2190" s="82" t="s">
        <v>716</v>
      </c>
      <c r="E2190" s="82"/>
      <c r="F2190" s="82" t="s">
        <v>4444</v>
      </c>
      <c r="G2190" s="89">
        <v>4</v>
      </c>
      <c r="H2190" s="89">
        <v>2254.08</v>
      </c>
      <c r="I2190" s="85">
        <v>0</v>
      </c>
      <c r="J2190" s="85">
        <v>0</v>
      </c>
      <c r="K2190" s="85">
        <v>9016.32</v>
      </c>
      <c r="L2190" s="85">
        <v>86619.66</v>
      </c>
      <c r="M2190" s="89">
        <v>3114.1917273755921</v>
      </c>
      <c r="N2190" s="85">
        <v>0</v>
      </c>
      <c r="O2190" s="85">
        <v>0</v>
      </c>
      <c r="P2190" s="85">
        <v>12456.766909502368</v>
      </c>
      <c r="Q2190" s="85">
        <v>119671.98528893672</v>
      </c>
      <c r="R2190" s="82" t="s">
        <v>3399</v>
      </c>
      <c r="S2190" s="7">
        <f t="shared" si="103"/>
        <v>0</v>
      </c>
      <c r="T2190" s="6">
        <f t="shared" si="104"/>
        <v>0</v>
      </c>
      <c r="U2190" s="25">
        <f t="shared" si="102"/>
        <v>0</v>
      </c>
    </row>
    <row r="2191" spans="1:21" ht="10.9" customHeight="1" x14ac:dyDescent="0.2">
      <c r="A2191" s="82" t="s">
        <v>3146</v>
      </c>
      <c r="B2191" s="83">
        <v>45922</v>
      </c>
      <c r="C2191" s="82" t="s">
        <v>3395</v>
      </c>
      <c r="D2191" s="82" t="s">
        <v>716</v>
      </c>
      <c r="E2191" s="82"/>
      <c r="F2191" s="82" t="s">
        <v>4446</v>
      </c>
      <c r="G2191" s="89">
        <v>3</v>
      </c>
      <c r="H2191" s="89">
        <v>1658.28</v>
      </c>
      <c r="I2191" s="85">
        <v>0</v>
      </c>
      <c r="J2191" s="85">
        <v>0</v>
      </c>
      <c r="K2191" s="85">
        <v>4974.84</v>
      </c>
      <c r="L2191" s="85">
        <v>86619.66</v>
      </c>
      <c r="M2191" s="89">
        <v>2291.0463948362067</v>
      </c>
      <c r="N2191" s="85">
        <v>0</v>
      </c>
      <c r="O2191" s="85">
        <v>0</v>
      </c>
      <c r="P2191" s="85">
        <v>6873.13918450862</v>
      </c>
      <c r="Q2191" s="85">
        <v>119671.98528893672</v>
      </c>
      <c r="R2191" s="82" t="s">
        <v>3399</v>
      </c>
      <c r="S2191" s="7">
        <f t="shared" si="103"/>
        <v>0</v>
      </c>
      <c r="T2191" s="6">
        <f t="shared" si="104"/>
        <v>0</v>
      </c>
      <c r="U2191" s="25">
        <f t="shared" si="102"/>
        <v>0</v>
      </c>
    </row>
    <row r="2192" spans="1:21" ht="10.9" customHeight="1" x14ac:dyDescent="0.2">
      <c r="A2192" s="82" t="s">
        <v>3146</v>
      </c>
      <c r="B2192" s="83">
        <v>45922</v>
      </c>
      <c r="C2192" s="82" t="s">
        <v>3395</v>
      </c>
      <c r="D2192" s="82" t="s">
        <v>716</v>
      </c>
      <c r="E2192" s="82"/>
      <c r="F2192" s="82" t="s">
        <v>4443</v>
      </c>
      <c r="G2192" s="89">
        <v>3</v>
      </c>
      <c r="H2192" s="89">
        <v>2265.4299999999998</v>
      </c>
      <c r="I2192" s="85">
        <v>0</v>
      </c>
      <c r="J2192" s="85">
        <v>0</v>
      </c>
      <c r="K2192" s="85">
        <v>6796.29</v>
      </c>
      <c r="L2192" s="85">
        <v>86619.66</v>
      </c>
      <c r="M2192" s="89">
        <v>3129.872659776267</v>
      </c>
      <c r="N2192" s="85">
        <v>0</v>
      </c>
      <c r="O2192" s="85">
        <v>0</v>
      </c>
      <c r="P2192" s="85">
        <v>9389.6179793288011</v>
      </c>
      <c r="Q2192" s="85">
        <v>119671.98528893672</v>
      </c>
      <c r="R2192" s="82" t="s">
        <v>3399</v>
      </c>
      <c r="S2192" s="7">
        <f t="shared" si="103"/>
        <v>0</v>
      </c>
      <c r="T2192" s="6">
        <f t="shared" si="104"/>
        <v>0</v>
      </c>
      <c r="U2192" s="25">
        <f t="shared" si="102"/>
        <v>0</v>
      </c>
    </row>
    <row r="2193" spans="1:21" ht="10.9" customHeight="1" x14ac:dyDescent="0.2">
      <c r="A2193" s="82" t="s">
        <v>3146</v>
      </c>
      <c r="B2193" s="83">
        <v>45922</v>
      </c>
      <c r="C2193" s="82" t="s">
        <v>3395</v>
      </c>
      <c r="D2193" s="82" t="s">
        <v>716</v>
      </c>
      <c r="E2193" s="82"/>
      <c r="F2193" s="82" t="s">
        <v>4842</v>
      </c>
      <c r="G2193" s="89">
        <v>3</v>
      </c>
      <c r="H2193" s="89">
        <v>2989.24</v>
      </c>
      <c r="I2193" s="85">
        <v>0</v>
      </c>
      <c r="J2193" s="85">
        <v>0</v>
      </c>
      <c r="K2193" s="85">
        <v>8967.7199999999993</v>
      </c>
      <c r="L2193" s="85">
        <v>86619.66</v>
      </c>
      <c r="M2193" s="89">
        <v>4129.8740413562145</v>
      </c>
      <c r="N2193" s="85">
        <v>0</v>
      </c>
      <c r="O2193" s="85">
        <v>0</v>
      </c>
      <c r="P2193" s="85">
        <v>12389.622124068643</v>
      </c>
      <c r="Q2193" s="85">
        <v>119671.98528893672</v>
      </c>
      <c r="R2193" s="82" t="s">
        <v>3399</v>
      </c>
      <c r="S2193" s="7">
        <f t="shared" si="103"/>
        <v>0</v>
      </c>
      <c r="T2193" s="6">
        <f t="shared" si="104"/>
        <v>0</v>
      </c>
      <c r="U2193" s="25">
        <f t="shared" si="102"/>
        <v>0</v>
      </c>
    </row>
    <row r="2194" spans="1:21" ht="10.9" customHeight="1" x14ac:dyDescent="0.2">
      <c r="A2194" s="82" t="s">
        <v>3146</v>
      </c>
      <c r="B2194" s="83">
        <v>45922</v>
      </c>
      <c r="C2194" s="82" t="s">
        <v>3395</v>
      </c>
      <c r="D2194" s="82" t="s">
        <v>716</v>
      </c>
      <c r="E2194" s="82"/>
      <c r="F2194" s="82" t="s">
        <v>4841</v>
      </c>
      <c r="G2194" s="89">
        <v>1</v>
      </c>
      <c r="H2194" s="89">
        <v>787.11</v>
      </c>
      <c r="I2194" s="85">
        <v>0</v>
      </c>
      <c r="J2194" s="85">
        <v>0</v>
      </c>
      <c r="K2194" s="85">
        <v>787.11</v>
      </c>
      <c r="L2194" s="85">
        <v>86619.66</v>
      </c>
      <c r="M2194" s="89">
        <v>1087.4553922374548</v>
      </c>
      <c r="N2194" s="85">
        <v>0</v>
      </c>
      <c r="O2194" s="85">
        <v>0</v>
      </c>
      <c r="P2194" s="85">
        <v>1087.4553922374548</v>
      </c>
      <c r="Q2194" s="85">
        <v>119671.98528893672</v>
      </c>
      <c r="R2194" s="82" t="s">
        <v>3399</v>
      </c>
      <c r="S2194" s="7">
        <f t="shared" si="103"/>
        <v>0</v>
      </c>
      <c r="T2194" s="6">
        <f t="shared" si="104"/>
        <v>0</v>
      </c>
      <c r="U2194" s="25">
        <f t="shared" si="102"/>
        <v>0</v>
      </c>
    </row>
    <row r="2195" spans="1:21" ht="10.9" customHeight="1" x14ac:dyDescent="0.2">
      <c r="A2195" s="82" t="s">
        <v>3146</v>
      </c>
      <c r="B2195" s="83">
        <v>45922</v>
      </c>
      <c r="C2195" s="82" t="s">
        <v>3395</v>
      </c>
      <c r="D2195" s="82" t="s">
        <v>716</v>
      </c>
      <c r="E2195" s="82"/>
      <c r="F2195" s="82" t="s">
        <v>4840</v>
      </c>
      <c r="G2195" s="89">
        <v>1</v>
      </c>
      <c r="H2195" s="89">
        <v>1195.71</v>
      </c>
      <c r="I2195" s="85">
        <v>0</v>
      </c>
      <c r="J2195" s="85">
        <v>0</v>
      </c>
      <c r="K2195" s="85">
        <v>1195.71</v>
      </c>
      <c r="L2195" s="85">
        <v>86619.66</v>
      </c>
      <c r="M2195" s="89">
        <v>1651.9689586617465</v>
      </c>
      <c r="N2195" s="85">
        <v>0</v>
      </c>
      <c r="O2195" s="85">
        <v>0</v>
      </c>
      <c r="P2195" s="85">
        <v>1651.9689586617465</v>
      </c>
      <c r="Q2195" s="85">
        <v>119671.98528893672</v>
      </c>
      <c r="R2195" s="82" t="s">
        <v>3399</v>
      </c>
      <c r="S2195" s="7">
        <f t="shared" si="103"/>
        <v>0</v>
      </c>
      <c r="T2195" s="6">
        <f t="shared" si="104"/>
        <v>0</v>
      </c>
      <c r="U2195" s="25">
        <f t="shared" si="102"/>
        <v>0</v>
      </c>
    </row>
    <row r="2196" spans="1:21" ht="10.9" customHeight="1" x14ac:dyDescent="0.2">
      <c r="A2196" s="82" t="s">
        <v>3146</v>
      </c>
      <c r="B2196" s="83">
        <v>45922</v>
      </c>
      <c r="C2196" s="82" t="s">
        <v>3395</v>
      </c>
      <c r="D2196" s="82" t="s">
        <v>716</v>
      </c>
      <c r="E2196" s="82"/>
      <c r="F2196" s="82" t="s">
        <v>4839</v>
      </c>
      <c r="G2196" s="89">
        <v>1</v>
      </c>
      <c r="H2196" s="89">
        <v>104.24</v>
      </c>
      <c r="I2196" s="85">
        <v>0</v>
      </c>
      <c r="J2196" s="85">
        <v>0</v>
      </c>
      <c r="K2196" s="85">
        <v>104.24</v>
      </c>
      <c r="L2196" s="85">
        <v>86619.66</v>
      </c>
      <c r="M2196" s="89">
        <v>144.01589369571255</v>
      </c>
      <c r="N2196" s="85">
        <v>0</v>
      </c>
      <c r="O2196" s="85">
        <v>0</v>
      </c>
      <c r="P2196" s="85">
        <v>144.01589369571255</v>
      </c>
      <c r="Q2196" s="85">
        <v>119671.98528893672</v>
      </c>
      <c r="R2196" s="82" t="s">
        <v>3399</v>
      </c>
      <c r="S2196" s="7">
        <f t="shared" si="103"/>
        <v>0</v>
      </c>
      <c r="T2196" s="6">
        <f t="shared" si="104"/>
        <v>0</v>
      </c>
      <c r="U2196" s="25">
        <f t="shared" si="102"/>
        <v>0</v>
      </c>
    </row>
    <row r="2197" spans="1:21" ht="10.9" customHeight="1" x14ac:dyDescent="0.2">
      <c r="A2197" s="82" t="s">
        <v>3146</v>
      </c>
      <c r="B2197" s="83">
        <v>45922</v>
      </c>
      <c r="C2197" s="82" t="s">
        <v>3395</v>
      </c>
      <c r="D2197" s="82" t="s">
        <v>716</v>
      </c>
      <c r="E2197" s="82"/>
      <c r="F2197" s="82" t="s">
        <v>4587</v>
      </c>
      <c r="G2197" s="89">
        <v>1</v>
      </c>
      <c r="H2197" s="89">
        <v>44.97</v>
      </c>
      <c r="I2197" s="85">
        <v>0</v>
      </c>
      <c r="J2197" s="85">
        <v>0</v>
      </c>
      <c r="K2197" s="85">
        <v>44.97</v>
      </c>
      <c r="L2197" s="85">
        <v>86619.66</v>
      </c>
      <c r="M2197" s="89">
        <v>62.129650225404767</v>
      </c>
      <c r="N2197" s="85">
        <v>0</v>
      </c>
      <c r="O2197" s="85">
        <v>0</v>
      </c>
      <c r="P2197" s="85">
        <v>62.129650225404767</v>
      </c>
      <c r="Q2197" s="85">
        <v>119671.98528893672</v>
      </c>
      <c r="R2197" s="82" t="s">
        <v>3399</v>
      </c>
      <c r="S2197" s="7">
        <f t="shared" si="103"/>
        <v>0</v>
      </c>
      <c r="T2197" s="6">
        <f t="shared" si="104"/>
        <v>0</v>
      </c>
      <c r="U2197" s="25">
        <f t="shared" si="102"/>
        <v>0</v>
      </c>
    </row>
    <row r="2198" spans="1:21" ht="10.9" customHeight="1" x14ac:dyDescent="0.2">
      <c r="A2198" s="82" t="s">
        <v>3146</v>
      </c>
      <c r="B2198" s="83">
        <v>45922</v>
      </c>
      <c r="C2198" s="82" t="s">
        <v>3395</v>
      </c>
      <c r="D2198" s="82" t="s">
        <v>716</v>
      </c>
      <c r="E2198" s="82"/>
      <c r="F2198" s="82" t="s">
        <v>4588</v>
      </c>
      <c r="G2198" s="89">
        <v>1</v>
      </c>
      <c r="H2198" s="89">
        <v>42.23</v>
      </c>
      <c r="I2198" s="85">
        <v>0</v>
      </c>
      <c r="J2198" s="85">
        <v>0</v>
      </c>
      <c r="K2198" s="85">
        <v>42.23</v>
      </c>
      <c r="L2198" s="85">
        <v>86619.66</v>
      </c>
      <c r="M2198" s="89">
        <v>58.344121170087689</v>
      </c>
      <c r="N2198" s="85">
        <v>0</v>
      </c>
      <c r="O2198" s="85">
        <v>0</v>
      </c>
      <c r="P2198" s="85">
        <v>58.344121170087689</v>
      </c>
      <c r="Q2198" s="85">
        <v>119671.98528893672</v>
      </c>
      <c r="R2198" s="82" t="s">
        <v>3399</v>
      </c>
      <c r="S2198" s="7">
        <f t="shared" si="103"/>
        <v>0</v>
      </c>
      <c r="T2198" s="6">
        <f t="shared" si="104"/>
        <v>0</v>
      </c>
      <c r="U2198" s="25">
        <f t="shared" si="102"/>
        <v>0</v>
      </c>
    </row>
    <row r="2199" spans="1:21" ht="10.9" customHeight="1" x14ac:dyDescent="0.2">
      <c r="A2199" s="82" t="s">
        <v>3146</v>
      </c>
      <c r="B2199" s="83">
        <v>45922</v>
      </c>
      <c r="C2199" s="82" t="s">
        <v>3395</v>
      </c>
      <c r="D2199" s="82" t="s">
        <v>716</v>
      </c>
      <c r="E2199" s="82"/>
      <c r="F2199" s="82" t="s">
        <v>4439</v>
      </c>
      <c r="G2199" s="89">
        <v>4</v>
      </c>
      <c r="H2199" s="89">
        <v>17.12</v>
      </c>
      <c r="I2199" s="85">
        <v>0</v>
      </c>
      <c r="J2199" s="85">
        <v>0</v>
      </c>
      <c r="K2199" s="85">
        <v>68.48</v>
      </c>
      <c r="L2199" s="85">
        <v>86619.66</v>
      </c>
      <c r="M2199" s="89">
        <v>23.652648695995765</v>
      </c>
      <c r="N2199" s="85">
        <v>0</v>
      </c>
      <c r="O2199" s="85">
        <v>0</v>
      </c>
      <c r="P2199" s="85">
        <v>94.610594783983061</v>
      </c>
      <c r="Q2199" s="85">
        <v>119671.98528893672</v>
      </c>
      <c r="R2199" s="82" t="s">
        <v>3399</v>
      </c>
      <c r="S2199" s="7">
        <f t="shared" si="103"/>
        <v>0</v>
      </c>
      <c r="T2199" s="6">
        <f t="shared" si="104"/>
        <v>0</v>
      </c>
      <c r="U2199" s="25">
        <f t="shared" si="102"/>
        <v>0</v>
      </c>
    </row>
    <row r="2200" spans="1:21" ht="10.9" customHeight="1" x14ac:dyDescent="0.2">
      <c r="A2200" s="82" t="s">
        <v>3146</v>
      </c>
      <c r="B2200" s="83">
        <v>45922</v>
      </c>
      <c r="C2200" s="82" t="s">
        <v>3395</v>
      </c>
      <c r="D2200" s="82" t="s">
        <v>716</v>
      </c>
      <c r="E2200" s="82"/>
      <c r="F2200" s="82" t="s">
        <v>4838</v>
      </c>
      <c r="G2200" s="89">
        <v>1</v>
      </c>
      <c r="H2200" s="89">
        <v>1224.5999999999999</v>
      </c>
      <c r="I2200" s="85">
        <v>0</v>
      </c>
      <c r="J2200" s="85">
        <v>0</v>
      </c>
      <c r="K2200" s="85">
        <v>1224.5999999999999</v>
      </c>
      <c r="L2200" s="85">
        <v>86619.66</v>
      </c>
      <c r="M2200" s="89">
        <v>1691.8828033362392</v>
      </c>
      <c r="N2200" s="85">
        <v>0</v>
      </c>
      <c r="O2200" s="85">
        <v>0</v>
      </c>
      <c r="P2200" s="85">
        <v>1691.8828033362392</v>
      </c>
      <c r="Q2200" s="85">
        <v>119671.98528893672</v>
      </c>
      <c r="R2200" s="82" t="s">
        <v>3399</v>
      </c>
      <c r="S2200" s="7">
        <f t="shared" si="103"/>
        <v>0</v>
      </c>
      <c r="T2200" s="6">
        <f t="shared" si="104"/>
        <v>0</v>
      </c>
      <c r="U2200" s="25">
        <f t="shared" si="102"/>
        <v>0</v>
      </c>
    </row>
    <row r="2201" spans="1:21" ht="10.9" customHeight="1" x14ac:dyDescent="0.2">
      <c r="A2201" s="82" t="s">
        <v>3146</v>
      </c>
      <c r="B2201" s="83">
        <v>45922</v>
      </c>
      <c r="C2201" s="82" t="s">
        <v>3395</v>
      </c>
      <c r="D2201" s="82" t="s">
        <v>716</v>
      </c>
      <c r="E2201" s="82"/>
      <c r="F2201" s="82" t="s">
        <v>4551</v>
      </c>
      <c r="G2201" s="89">
        <v>4</v>
      </c>
      <c r="H2201" s="89">
        <v>536.82000000000005</v>
      </c>
      <c r="I2201" s="85">
        <v>0</v>
      </c>
      <c r="J2201" s="85">
        <v>0</v>
      </c>
      <c r="K2201" s="85">
        <v>2147.2800000000002</v>
      </c>
      <c r="L2201" s="85">
        <v>86619.66</v>
      </c>
      <c r="M2201" s="89">
        <v>741.65974725376441</v>
      </c>
      <c r="N2201" s="85">
        <v>0</v>
      </c>
      <c r="O2201" s="85">
        <v>0</v>
      </c>
      <c r="P2201" s="85">
        <v>2966.6389890150576</v>
      </c>
      <c r="Q2201" s="85">
        <v>119671.98528893672</v>
      </c>
      <c r="R2201" s="82" t="s">
        <v>3399</v>
      </c>
      <c r="S2201" s="7">
        <f t="shared" si="103"/>
        <v>0</v>
      </c>
      <c r="T2201" s="6">
        <f t="shared" si="104"/>
        <v>0</v>
      </c>
      <c r="U2201" s="25">
        <f t="shared" si="102"/>
        <v>0</v>
      </c>
    </row>
    <row r="2202" spans="1:21" ht="10.9" customHeight="1" x14ac:dyDescent="0.2">
      <c r="A2202" s="82" t="s">
        <v>3146</v>
      </c>
      <c r="B2202" s="83">
        <v>45922</v>
      </c>
      <c r="C2202" s="82" t="s">
        <v>3395</v>
      </c>
      <c r="D2202" s="82" t="s">
        <v>716</v>
      </c>
      <c r="E2202" s="82"/>
      <c r="F2202" s="82" t="s">
        <v>4837</v>
      </c>
      <c r="G2202" s="89">
        <v>16</v>
      </c>
      <c r="H2202" s="89">
        <v>2624.26</v>
      </c>
      <c r="I2202" s="85">
        <v>0</v>
      </c>
      <c r="J2202" s="85">
        <v>0</v>
      </c>
      <c r="K2202" s="85">
        <v>41988.160000000003</v>
      </c>
      <c r="L2202" s="85">
        <v>86619.66</v>
      </c>
      <c r="M2202" s="89">
        <v>3625.6249922286129</v>
      </c>
      <c r="N2202" s="85">
        <v>0</v>
      </c>
      <c r="O2202" s="85">
        <v>0</v>
      </c>
      <c r="P2202" s="85">
        <v>58009.999875657806</v>
      </c>
      <c r="Q2202" s="85">
        <v>119671.98528893672</v>
      </c>
      <c r="R2202" s="82" t="s">
        <v>3399</v>
      </c>
      <c r="S2202" s="7">
        <f t="shared" si="103"/>
        <v>0</v>
      </c>
      <c r="T2202" s="6">
        <f t="shared" si="104"/>
        <v>0</v>
      </c>
      <c r="U2202" s="25">
        <f t="shared" si="102"/>
        <v>0</v>
      </c>
    </row>
    <row r="2203" spans="1:21" ht="10.9" customHeight="1" x14ac:dyDescent="0.2">
      <c r="A2203" s="82" t="s">
        <v>3147</v>
      </c>
      <c r="B2203" s="83">
        <v>45922</v>
      </c>
      <c r="C2203" s="82" t="s">
        <v>3395</v>
      </c>
      <c r="D2203" s="82" t="s">
        <v>713</v>
      </c>
      <c r="E2203" s="82"/>
      <c r="F2203" s="82" t="s">
        <v>4836</v>
      </c>
      <c r="G2203" s="89">
        <v>3</v>
      </c>
      <c r="H2203" s="89">
        <v>1420.98</v>
      </c>
      <c r="I2203" s="85">
        <v>0</v>
      </c>
      <c r="J2203" s="85">
        <v>0</v>
      </c>
      <c r="K2203" s="85">
        <v>4262.9399999999996</v>
      </c>
      <c r="L2203" s="85">
        <v>25317.19</v>
      </c>
      <c r="M2203" s="89">
        <v>1963.1974733665925</v>
      </c>
      <c r="N2203" s="85">
        <v>0</v>
      </c>
      <c r="O2203" s="85">
        <v>0</v>
      </c>
      <c r="P2203" s="85">
        <v>5889.5924200997779</v>
      </c>
      <c r="Q2203" s="85">
        <v>34977.722023351467</v>
      </c>
      <c r="R2203" s="82" t="s">
        <v>3399</v>
      </c>
      <c r="S2203" s="7">
        <f t="shared" si="103"/>
        <v>0</v>
      </c>
      <c r="T2203" s="6">
        <f t="shared" si="104"/>
        <v>0</v>
      </c>
      <c r="U2203" s="25">
        <f t="shared" si="102"/>
        <v>0</v>
      </c>
    </row>
    <row r="2204" spans="1:21" ht="10.9" customHeight="1" x14ac:dyDescent="0.2">
      <c r="A2204" s="82" t="s">
        <v>3147</v>
      </c>
      <c r="B2204" s="83">
        <v>45922</v>
      </c>
      <c r="C2204" s="82" t="s">
        <v>3395</v>
      </c>
      <c r="D2204" s="82" t="s">
        <v>713</v>
      </c>
      <c r="E2204" s="82"/>
      <c r="F2204" s="82" t="s">
        <v>4835</v>
      </c>
      <c r="G2204" s="89">
        <v>1</v>
      </c>
      <c r="H2204" s="89">
        <v>516.97</v>
      </c>
      <c r="I2204" s="85">
        <v>0</v>
      </c>
      <c r="J2204" s="85">
        <v>0</v>
      </c>
      <c r="K2204" s="85">
        <v>516.97</v>
      </c>
      <c r="L2204" s="85">
        <v>25317.19</v>
      </c>
      <c r="M2204" s="89">
        <v>714.23538530192354</v>
      </c>
      <c r="N2204" s="85">
        <v>0</v>
      </c>
      <c r="O2204" s="85">
        <v>0</v>
      </c>
      <c r="P2204" s="85">
        <v>714.23538530192354</v>
      </c>
      <c r="Q2204" s="85">
        <v>34977.722023351467</v>
      </c>
      <c r="R2204" s="82" t="s">
        <v>3399</v>
      </c>
      <c r="S2204" s="7">
        <f t="shared" si="103"/>
        <v>0</v>
      </c>
      <c r="T2204" s="6">
        <f t="shared" si="104"/>
        <v>0</v>
      </c>
      <c r="U2204" s="25">
        <f t="shared" si="102"/>
        <v>0</v>
      </c>
    </row>
    <row r="2205" spans="1:21" ht="10.9" customHeight="1" x14ac:dyDescent="0.2">
      <c r="A2205" s="82" t="s">
        <v>3147</v>
      </c>
      <c r="B2205" s="83">
        <v>45922</v>
      </c>
      <c r="C2205" s="82" t="s">
        <v>3395</v>
      </c>
      <c r="D2205" s="82" t="s">
        <v>713</v>
      </c>
      <c r="E2205" s="82"/>
      <c r="F2205" s="82" t="s">
        <v>4834</v>
      </c>
      <c r="G2205" s="89">
        <v>4</v>
      </c>
      <c r="H2205" s="89">
        <v>1224.78</v>
      </c>
      <c r="I2205" s="85">
        <v>0</v>
      </c>
      <c r="J2205" s="85">
        <v>0</v>
      </c>
      <c r="K2205" s="85">
        <v>4899.12</v>
      </c>
      <c r="L2205" s="85">
        <v>25317.19</v>
      </c>
      <c r="M2205" s="89">
        <v>1692.1314877267346</v>
      </c>
      <c r="N2205" s="85">
        <v>0</v>
      </c>
      <c r="O2205" s="85">
        <v>0</v>
      </c>
      <c r="P2205" s="85">
        <v>6768.5259509069383</v>
      </c>
      <c r="Q2205" s="85">
        <v>34977.722023351467</v>
      </c>
      <c r="R2205" s="82" t="s">
        <v>3399</v>
      </c>
      <c r="S2205" s="7">
        <f t="shared" si="103"/>
        <v>0</v>
      </c>
      <c r="T2205" s="6">
        <f t="shared" si="104"/>
        <v>0</v>
      </c>
      <c r="U2205" s="25">
        <f t="shared" si="102"/>
        <v>0</v>
      </c>
    </row>
    <row r="2206" spans="1:21" ht="10.9" customHeight="1" x14ac:dyDescent="0.2">
      <c r="A2206" s="82" t="s">
        <v>3147</v>
      </c>
      <c r="B2206" s="83">
        <v>45922</v>
      </c>
      <c r="C2206" s="82" t="s">
        <v>3395</v>
      </c>
      <c r="D2206" s="82" t="s">
        <v>713</v>
      </c>
      <c r="E2206" s="82"/>
      <c r="F2206" s="82" t="s">
        <v>4833</v>
      </c>
      <c r="G2206" s="89">
        <v>1</v>
      </c>
      <c r="H2206" s="89">
        <v>3305.2</v>
      </c>
      <c r="I2206" s="85">
        <v>0</v>
      </c>
      <c r="J2206" s="85">
        <v>0</v>
      </c>
      <c r="K2206" s="85">
        <v>3305.2</v>
      </c>
      <c r="L2206" s="85">
        <v>25317.19</v>
      </c>
      <c r="M2206" s="89">
        <v>4566.3980414722664</v>
      </c>
      <c r="N2206" s="85">
        <v>0</v>
      </c>
      <c r="O2206" s="85">
        <v>0</v>
      </c>
      <c r="P2206" s="85">
        <v>4566.3980414722664</v>
      </c>
      <c r="Q2206" s="85">
        <v>34977.722023351467</v>
      </c>
      <c r="R2206" s="82" t="s">
        <v>3399</v>
      </c>
      <c r="S2206" s="7">
        <f t="shared" si="103"/>
        <v>0</v>
      </c>
      <c r="T2206" s="6">
        <f t="shared" si="104"/>
        <v>0</v>
      </c>
      <c r="U2206" s="25">
        <f t="shared" si="102"/>
        <v>0</v>
      </c>
    </row>
    <row r="2207" spans="1:21" ht="10.9" customHeight="1" x14ac:dyDescent="0.2">
      <c r="A2207" s="82" t="s">
        <v>3147</v>
      </c>
      <c r="B2207" s="83">
        <v>45922</v>
      </c>
      <c r="C2207" s="82" t="s">
        <v>3395</v>
      </c>
      <c r="D2207" s="82" t="s">
        <v>713</v>
      </c>
      <c r="E2207" s="82"/>
      <c r="F2207" s="82" t="s">
        <v>4832</v>
      </c>
      <c r="G2207" s="89">
        <v>1</v>
      </c>
      <c r="H2207" s="89">
        <v>858.01</v>
      </c>
      <c r="I2207" s="85">
        <v>0</v>
      </c>
      <c r="J2207" s="85">
        <v>0</v>
      </c>
      <c r="K2207" s="85">
        <v>858.01</v>
      </c>
      <c r="L2207" s="85">
        <v>25317.19</v>
      </c>
      <c r="M2207" s="89">
        <v>1185.4094104936523</v>
      </c>
      <c r="N2207" s="85">
        <v>0</v>
      </c>
      <c r="O2207" s="85">
        <v>0</v>
      </c>
      <c r="P2207" s="85">
        <v>1185.4094104936523</v>
      </c>
      <c r="Q2207" s="85">
        <v>34977.722023351467</v>
      </c>
      <c r="R2207" s="82" t="s">
        <v>3399</v>
      </c>
      <c r="S2207" s="7">
        <f t="shared" si="103"/>
        <v>0</v>
      </c>
      <c r="T2207" s="6">
        <f t="shared" si="104"/>
        <v>0</v>
      </c>
      <c r="U2207" s="25">
        <f t="shared" si="102"/>
        <v>0</v>
      </c>
    </row>
    <row r="2208" spans="1:21" ht="10.9" customHeight="1" x14ac:dyDescent="0.2">
      <c r="A2208" s="82" t="s">
        <v>3147</v>
      </c>
      <c r="B2208" s="83">
        <v>45922</v>
      </c>
      <c r="C2208" s="82" t="s">
        <v>3395</v>
      </c>
      <c r="D2208" s="82" t="s">
        <v>713</v>
      </c>
      <c r="E2208" s="82"/>
      <c r="F2208" s="82" t="s">
        <v>4831</v>
      </c>
      <c r="G2208" s="89">
        <v>1</v>
      </c>
      <c r="H2208" s="89">
        <v>218.04</v>
      </c>
      <c r="I2208" s="85">
        <v>0</v>
      </c>
      <c r="J2208" s="85">
        <v>0</v>
      </c>
      <c r="K2208" s="85">
        <v>218.04</v>
      </c>
      <c r="L2208" s="85">
        <v>25317.19</v>
      </c>
      <c r="M2208" s="89">
        <v>301.23969168661898</v>
      </c>
      <c r="N2208" s="85">
        <v>0</v>
      </c>
      <c r="O2208" s="85">
        <v>0</v>
      </c>
      <c r="P2208" s="85">
        <v>301.23969168661898</v>
      </c>
      <c r="Q2208" s="85">
        <v>34977.722023351467</v>
      </c>
      <c r="R2208" s="82" t="s">
        <v>3399</v>
      </c>
      <c r="S2208" s="7">
        <f t="shared" si="103"/>
        <v>0</v>
      </c>
      <c r="T2208" s="6">
        <f t="shared" si="104"/>
        <v>0</v>
      </c>
      <c r="U2208" s="25">
        <f t="shared" si="102"/>
        <v>0</v>
      </c>
    </row>
    <row r="2209" spans="1:21" ht="10.9" customHeight="1" x14ac:dyDescent="0.2">
      <c r="A2209" s="82" t="s">
        <v>3147</v>
      </c>
      <c r="B2209" s="83">
        <v>45922</v>
      </c>
      <c r="C2209" s="82" t="s">
        <v>3395</v>
      </c>
      <c r="D2209" s="82" t="s">
        <v>713</v>
      </c>
      <c r="E2209" s="82"/>
      <c r="F2209" s="82" t="s">
        <v>4830</v>
      </c>
      <c r="G2209" s="89">
        <v>1</v>
      </c>
      <c r="H2209" s="89">
        <v>2392.75</v>
      </c>
      <c r="I2209" s="85">
        <v>0</v>
      </c>
      <c r="J2209" s="85">
        <v>0</v>
      </c>
      <c r="K2209" s="85">
        <v>2392.75</v>
      </c>
      <c r="L2209" s="85">
        <v>25317.19</v>
      </c>
      <c r="M2209" s="89">
        <v>3305.7754186532634</v>
      </c>
      <c r="N2209" s="85">
        <v>0</v>
      </c>
      <c r="O2209" s="85">
        <v>0</v>
      </c>
      <c r="P2209" s="85">
        <v>3305.7754186532634</v>
      </c>
      <c r="Q2209" s="85">
        <v>34977.722023351467</v>
      </c>
      <c r="R2209" s="82" t="s">
        <v>3399</v>
      </c>
      <c r="S2209" s="7">
        <f t="shared" si="103"/>
        <v>0</v>
      </c>
      <c r="T2209" s="6">
        <f t="shared" si="104"/>
        <v>0</v>
      </c>
      <c r="U2209" s="25">
        <f t="shared" si="102"/>
        <v>0</v>
      </c>
    </row>
    <row r="2210" spans="1:21" ht="10.9" customHeight="1" x14ac:dyDescent="0.2">
      <c r="A2210" s="82" t="s">
        <v>3147</v>
      </c>
      <c r="B2210" s="83">
        <v>45922</v>
      </c>
      <c r="C2210" s="82" t="s">
        <v>3395</v>
      </c>
      <c r="D2210" s="82" t="s">
        <v>713</v>
      </c>
      <c r="E2210" s="82"/>
      <c r="F2210" s="82" t="s">
        <v>4829</v>
      </c>
      <c r="G2210" s="89">
        <v>1</v>
      </c>
      <c r="H2210" s="89">
        <v>6581.65</v>
      </c>
      <c r="I2210" s="85">
        <v>0</v>
      </c>
      <c r="J2210" s="85">
        <v>0</v>
      </c>
      <c r="K2210" s="85">
        <v>6581.65</v>
      </c>
      <c r="L2210" s="85">
        <v>25317.19</v>
      </c>
      <c r="M2210" s="89">
        <v>9093.0756594626491</v>
      </c>
      <c r="N2210" s="85">
        <v>0</v>
      </c>
      <c r="O2210" s="85">
        <v>0</v>
      </c>
      <c r="P2210" s="85">
        <v>9093.0756594626491</v>
      </c>
      <c r="Q2210" s="85">
        <v>34977.722023351467</v>
      </c>
      <c r="R2210" s="82" t="s">
        <v>3399</v>
      </c>
      <c r="S2210" s="7">
        <f t="shared" si="103"/>
        <v>0</v>
      </c>
      <c r="T2210" s="6">
        <f t="shared" si="104"/>
        <v>0</v>
      </c>
      <c r="U2210" s="25">
        <f t="shared" si="102"/>
        <v>0</v>
      </c>
    </row>
    <row r="2211" spans="1:21" ht="10.9" customHeight="1" x14ac:dyDescent="0.2">
      <c r="A2211" s="82" t="s">
        <v>3147</v>
      </c>
      <c r="B2211" s="83">
        <v>45922</v>
      </c>
      <c r="C2211" s="82" t="s">
        <v>3395</v>
      </c>
      <c r="D2211" s="82" t="s">
        <v>713</v>
      </c>
      <c r="E2211" s="82"/>
      <c r="F2211" s="82" t="s">
        <v>4742</v>
      </c>
      <c r="G2211" s="89">
        <v>2</v>
      </c>
      <c r="H2211" s="89">
        <v>241.39</v>
      </c>
      <c r="I2211" s="85">
        <v>0</v>
      </c>
      <c r="J2211" s="85">
        <v>0</v>
      </c>
      <c r="K2211" s="85">
        <v>482.78</v>
      </c>
      <c r="L2211" s="85">
        <v>25317.19</v>
      </c>
      <c r="M2211" s="89">
        <v>333.49958345364593</v>
      </c>
      <c r="N2211" s="85">
        <v>0</v>
      </c>
      <c r="O2211" s="85">
        <v>0</v>
      </c>
      <c r="P2211" s="85">
        <v>666.99916690729185</v>
      </c>
      <c r="Q2211" s="85">
        <v>34977.722023351467</v>
      </c>
      <c r="R2211" s="82" t="s">
        <v>3399</v>
      </c>
      <c r="S2211" s="7">
        <f t="shared" si="103"/>
        <v>0</v>
      </c>
      <c r="T2211" s="6">
        <f t="shared" si="104"/>
        <v>0</v>
      </c>
      <c r="U2211" s="25">
        <f t="shared" si="102"/>
        <v>0</v>
      </c>
    </row>
    <row r="2212" spans="1:21" ht="10.9" customHeight="1" x14ac:dyDescent="0.2">
      <c r="A2212" s="82" t="s">
        <v>3147</v>
      </c>
      <c r="B2212" s="83">
        <v>45922</v>
      </c>
      <c r="C2212" s="82" t="s">
        <v>3395</v>
      </c>
      <c r="D2212" s="82" t="s">
        <v>713</v>
      </c>
      <c r="E2212" s="82"/>
      <c r="F2212" s="82" t="s">
        <v>4828</v>
      </c>
      <c r="G2212" s="89">
        <v>1</v>
      </c>
      <c r="H2212" s="89">
        <v>1799.73</v>
      </c>
      <c r="I2212" s="85">
        <v>0</v>
      </c>
      <c r="J2212" s="85">
        <v>0</v>
      </c>
      <c r="K2212" s="85">
        <v>1799.73</v>
      </c>
      <c r="L2212" s="85">
        <v>25317.19</v>
      </c>
      <c r="M2212" s="89">
        <v>2486.4708783670831</v>
      </c>
      <c r="N2212" s="85">
        <v>0</v>
      </c>
      <c r="O2212" s="85">
        <v>0</v>
      </c>
      <c r="P2212" s="85">
        <v>2486.4708783670831</v>
      </c>
      <c r="Q2212" s="85">
        <v>34977.722023351467</v>
      </c>
      <c r="R2212" s="82" t="s">
        <v>3399</v>
      </c>
      <c r="S2212" s="7">
        <f t="shared" si="103"/>
        <v>0</v>
      </c>
      <c r="T2212" s="6">
        <f t="shared" si="104"/>
        <v>0</v>
      </c>
      <c r="U2212" s="25">
        <f t="shared" si="102"/>
        <v>0</v>
      </c>
    </row>
    <row r="2213" spans="1:21" ht="10.9" customHeight="1" x14ac:dyDescent="0.2">
      <c r="A2213" s="82" t="s">
        <v>3206</v>
      </c>
      <c r="B2213" s="83">
        <v>45923</v>
      </c>
      <c r="C2213" s="82" t="s">
        <v>3395</v>
      </c>
      <c r="D2213" s="82" t="s">
        <v>596</v>
      </c>
      <c r="E2213" s="82"/>
      <c r="F2213" s="82" t="s">
        <v>4827</v>
      </c>
      <c r="G2213" s="89">
        <v>3</v>
      </c>
      <c r="H2213" s="89">
        <v>100.58</v>
      </c>
      <c r="I2213" s="85">
        <v>0</v>
      </c>
      <c r="J2213" s="85">
        <v>15.09</v>
      </c>
      <c r="K2213" s="85">
        <v>316.83</v>
      </c>
      <c r="L2213" s="85">
        <v>316.83</v>
      </c>
      <c r="M2213" s="89">
        <v>100.58</v>
      </c>
      <c r="N2213" s="85">
        <v>0</v>
      </c>
      <c r="O2213" s="85">
        <v>15.09</v>
      </c>
      <c r="P2213" s="85">
        <v>316.83</v>
      </c>
      <c r="Q2213" s="85">
        <v>316.83</v>
      </c>
      <c r="R2213" s="82" t="s">
        <v>3399</v>
      </c>
      <c r="S2213" s="7">
        <f t="shared" si="103"/>
        <v>0</v>
      </c>
      <c r="T2213" s="6">
        <f t="shared" si="104"/>
        <v>0</v>
      </c>
      <c r="U2213" s="25">
        <f t="shared" si="102"/>
        <v>0</v>
      </c>
    </row>
    <row r="2214" spans="1:21" ht="10.9" customHeight="1" x14ac:dyDescent="0.2">
      <c r="A2214" s="82" t="s">
        <v>3208</v>
      </c>
      <c r="B2214" s="83">
        <v>45923</v>
      </c>
      <c r="C2214" s="82" t="s">
        <v>3395</v>
      </c>
      <c r="D2214" s="82" t="s">
        <v>592</v>
      </c>
      <c r="E2214" s="82"/>
      <c r="F2214" s="82" t="s">
        <v>4826</v>
      </c>
      <c r="G2214" s="89">
        <v>4</v>
      </c>
      <c r="H2214" s="89">
        <v>75.849999999999994</v>
      </c>
      <c r="I2214" s="85">
        <v>0</v>
      </c>
      <c r="J2214" s="85">
        <v>15.17</v>
      </c>
      <c r="K2214" s="85">
        <v>318.57</v>
      </c>
      <c r="L2214" s="85">
        <v>588.59</v>
      </c>
      <c r="M2214" s="89">
        <v>75.849999999999994</v>
      </c>
      <c r="N2214" s="85">
        <v>0</v>
      </c>
      <c r="O2214" s="85">
        <v>15.17</v>
      </c>
      <c r="P2214" s="85">
        <v>318.57</v>
      </c>
      <c r="Q2214" s="85">
        <v>588.59</v>
      </c>
      <c r="R2214" s="82" t="s">
        <v>3399</v>
      </c>
      <c r="S2214" s="7">
        <f t="shared" si="103"/>
        <v>0</v>
      </c>
      <c r="T2214" s="6">
        <f t="shared" si="104"/>
        <v>0</v>
      </c>
      <c r="U2214" s="25">
        <f t="shared" si="102"/>
        <v>0</v>
      </c>
    </row>
    <row r="2215" spans="1:21" ht="10.9" customHeight="1" x14ac:dyDescent="0.2">
      <c r="A2215" s="82" t="s">
        <v>3208</v>
      </c>
      <c r="B2215" s="83">
        <v>45923</v>
      </c>
      <c r="C2215" s="82" t="s">
        <v>3395</v>
      </c>
      <c r="D2215" s="82" t="s">
        <v>592</v>
      </c>
      <c r="E2215" s="82"/>
      <c r="F2215" s="82" t="s">
        <v>4825</v>
      </c>
      <c r="G2215" s="89">
        <v>3</v>
      </c>
      <c r="H2215" s="89">
        <v>85.72</v>
      </c>
      <c r="I2215" s="85">
        <v>0</v>
      </c>
      <c r="J2215" s="85">
        <v>12.86</v>
      </c>
      <c r="K2215" s="85">
        <v>270.02</v>
      </c>
      <c r="L2215" s="85">
        <v>588.59</v>
      </c>
      <c r="M2215" s="89">
        <v>85.72</v>
      </c>
      <c r="N2215" s="85">
        <v>0</v>
      </c>
      <c r="O2215" s="85">
        <v>12.86</v>
      </c>
      <c r="P2215" s="85">
        <v>270.02</v>
      </c>
      <c r="Q2215" s="85">
        <v>588.59</v>
      </c>
      <c r="R2215" s="82" t="s">
        <v>3399</v>
      </c>
      <c r="S2215" s="7">
        <f t="shared" si="103"/>
        <v>0</v>
      </c>
      <c r="T2215" s="6">
        <f t="shared" si="104"/>
        <v>0</v>
      </c>
      <c r="U2215" s="25">
        <f t="shared" si="102"/>
        <v>0</v>
      </c>
    </row>
    <row r="2216" spans="1:21" ht="10.9" customHeight="1" x14ac:dyDescent="0.2">
      <c r="A2216" s="82" t="s">
        <v>3140</v>
      </c>
      <c r="B2216" s="83">
        <v>45923</v>
      </c>
      <c r="C2216" s="82" t="s">
        <v>3395</v>
      </c>
      <c r="D2216" s="82" t="s">
        <v>725</v>
      </c>
      <c r="E2216" s="82"/>
      <c r="F2216" s="82" t="s">
        <v>4806</v>
      </c>
      <c r="G2216" s="89">
        <v>1</v>
      </c>
      <c r="H2216" s="89">
        <v>40</v>
      </c>
      <c r="I2216" s="85">
        <v>40</v>
      </c>
      <c r="J2216" s="85">
        <v>0</v>
      </c>
      <c r="K2216" s="85">
        <v>0</v>
      </c>
      <c r="L2216" s="85">
        <v>0</v>
      </c>
      <c r="M2216" s="89">
        <v>40</v>
      </c>
      <c r="N2216" s="85">
        <v>40</v>
      </c>
      <c r="O2216" s="85">
        <v>0</v>
      </c>
      <c r="P2216" s="85">
        <v>0</v>
      </c>
      <c r="Q2216" s="85">
        <v>0</v>
      </c>
      <c r="R2216" s="82" t="s">
        <v>3399</v>
      </c>
      <c r="S2216" s="7">
        <f t="shared" si="103"/>
        <v>0</v>
      </c>
      <c r="T2216" s="6">
        <f t="shared" si="104"/>
        <v>0</v>
      </c>
      <c r="U2216" s="25">
        <f t="shared" si="102"/>
        <v>0</v>
      </c>
    </row>
    <row r="2217" spans="1:21" ht="10.9" customHeight="1" x14ac:dyDescent="0.2">
      <c r="A2217" s="82" t="s">
        <v>3038</v>
      </c>
      <c r="B2217" s="83">
        <v>45923</v>
      </c>
      <c r="C2217" s="82" t="s">
        <v>3395</v>
      </c>
      <c r="D2217" s="82" t="s">
        <v>933</v>
      </c>
      <c r="E2217" s="82"/>
      <c r="F2217" s="82" t="s">
        <v>4434</v>
      </c>
      <c r="G2217" s="89">
        <v>1</v>
      </c>
      <c r="H2217" s="89">
        <v>7695.82</v>
      </c>
      <c r="I2217" s="85">
        <v>0</v>
      </c>
      <c r="J2217" s="85">
        <v>384.79</v>
      </c>
      <c r="K2217" s="85">
        <v>8080.61</v>
      </c>
      <c r="L2217" s="85">
        <v>8080.61</v>
      </c>
      <c r="M2217" s="89">
        <v>7695.82</v>
      </c>
      <c r="N2217" s="85">
        <v>0</v>
      </c>
      <c r="O2217" s="85">
        <v>384.79</v>
      </c>
      <c r="P2217" s="85">
        <v>8080.61</v>
      </c>
      <c r="Q2217" s="85">
        <v>8080.61</v>
      </c>
      <c r="R2217" s="82" t="s">
        <v>3399</v>
      </c>
      <c r="S2217" s="7">
        <f t="shared" si="103"/>
        <v>0</v>
      </c>
      <c r="T2217" s="6">
        <f t="shared" si="104"/>
        <v>0</v>
      </c>
      <c r="U2217" s="25">
        <f t="shared" si="102"/>
        <v>0</v>
      </c>
    </row>
    <row r="2218" spans="1:21" ht="10.9" customHeight="1" x14ac:dyDescent="0.2">
      <c r="A2218" s="82" t="s">
        <v>3174</v>
      </c>
      <c r="B2218" s="83">
        <v>45923</v>
      </c>
      <c r="C2218" s="82" t="s">
        <v>3395</v>
      </c>
      <c r="D2218" s="82" t="s">
        <v>663</v>
      </c>
      <c r="E2218" s="82"/>
      <c r="F2218" s="82" t="s">
        <v>4671</v>
      </c>
      <c r="G2218" s="89">
        <v>2</v>
      </c>
      <c r="H2218" s="89">
        <v>21.26</v>
      </c>
      <c r="I2218" s="85">
        <v>0</v>
      </c>
      <c r="J2218" s="85">
        <v>2.13</v>
      </c>
      <c r="K2218" s="85">
        <v>44.65</v>
      </c>
      <c r="L2218" s="85">
        <v>44.65</v>
      </c>
      <c r="M2218" s="89">
        <v>21.26</v>
      </c>
      <c r="N2218" s="85">
        <v>0</v>
      </c>
      <c r="O2218" s="85">
        <v>2.13</v>
      </c>
      <c r="P2218" s="85">
        <v>44.65</v>
      </c>
      <c r="Q2218" s="85">
        <v>44.65</v>
      </c>
      <c r="R2218" s="82" t="s">
        <v>3399</v>
      </c>
      <c r="S2218" s="7">
        <f t="shared" si="103"/>
        <v>0</v>
      </c>
      <c r="T2218" s="6">
        <f t="shared" si="104"/>
        <v>0</v>
      </c>
      <c r="U2218" s="25">
        <f t="shared" si="102"/>
        <v>0</v>
      </c>
    </row>
    <row r="2219" spans="1:21" ht="10.9" customHeight="1" x14ac:dyDescent="0.2">
      <c r="A2219" s="82" t="s">
        <v>3178</v>
      </c>
      <c r="B2219" s="83">
        <v>45923</v>
      </c>
      <c r="C2219" s="82" t="s">
        <v>3395</v>
      </c>
      <c r="D2219" s="82" t="s">
        <v>654</v>
      </c>
      <c r="E2219" s="82"/>
      <c r="F2219" s="82" t="s">
        <v>4671</v>
      </c>
      <c r="G2219" s="89">
        <v>2</v>
      </c>
      <c r="H2219" s="89">
        <v>21.26</v>
      </c>
      <c r="I2219" s="85">
        <v>0</v>
      </c>
      <c r="J2219" s="85">
        <v>2.13</v>
      </c>
      <c r="K2219" s="85">
        <v>44.65</v>
      </c>
      <c r="L2219" s="85">
        <v>44.65</v>
      </c>
      <c r="M2219" s="89">
        <v>21.26</v>
      </c>
      <c r="N2219" s="85">
        <v>0</v>
      </c>
      <c r="O2219" s="85">
        <v>2.13</v>
      </c>
      <c r="P2219" s="85">
        <v>44.65</v>
      </c>
      <c r="Q2219" s="85">
        <v>44.65</v>
      </c>
      <c r="R2219" s="82" t="s">
        <v>3399</v>
      </c>
      <c r="S2219" s="7">
        <f t="shared" si="103"/>
        <v>0</v>
      </c>
      <c r="T2219" s="6">
        <f t="shared" si="104"/>
        <v>0</v>
      </c>
      <c r="U2219" s="25">
        <f t="shared" si="102"/>
        <v>0</v>
      </c>
    </row>
    <row r="2220" spans="1:21" ht="10.9" customHeight="1" x14ac:dyDescent="0.2">
      <c r="A2220" s="82" t="s">
        <v>3135</v>
      </c>
      <c r="B2220" s="83">
        <v>45923</v>
      </c>
      <c r="C2220" s="82" t="s">
        <v>3395</v>
      </c>
      <c r="D2220" s="82" t="s">
        <v>736</v>
      </c>
      <c r="E2220" s="82"/>
      <c r="F2220" s="82" t="s">
        <v>4769</v>
      </c>
      <c r="G2220" s="89">
        <v>1</v>
      </c>
      <c r="H2220" s="89">
        <v>236.55</v>
      </c>
      <c r="I2220" s="85">
        <v>0</v>
      </c>
      <c r="J2220" s="85">
        <v>11.83</v>
      </c>
      <c r="K2220" s="85">
        <v>248.38</v>
      </c>
      <c r="L2220" s="85">
        <v>248.38</v>
      </c>
      <c r="M2220" s="89">
        <v>236.55</v>
      </c>
      <c r="N2220" s="85">
        <v>0</v>
      </c>
      <c r="O2220" s="85">
        <v>11.83</v>
      </c>
      <c r="P2220" s="85">
        <v>248.38</v>
      </c>
      <c r="Q2220" s="85">
        <v>248.38</v>
      </c>
      <c r="R2220" s="82" t="s">
        <v>3399</v>
      </c>
      <c r="S2220" s="7">
        <f t="shared" si="103"/>
        <v>0</v>
      </c>
      <c r="T2220" s="6">
        <f t="shared" si="104"/>
        <v>0</v>
      </c>
      <c r="U2220" s="25">
        <f t="shared" si="102"/>
        <v>0</v>
      </c>
    </row>
    <row r="2221" spans="1:21" ht="10.9" customHeight="1" x14ac:dyDescent="0.2">
      <c r="A2221" s="82" t="s">
        <v>3021</v>
      </c>
      <c r="B2221" s="83">
        <v>45923</v>
      </c>
      <c r="C2221" s="82" t="s">
        <v>3395</v>
      </c>
      <c r="D2221" s="82" t="s">
        <v>962</v>
      </c>
      <c r="E2221" s="82"/>
      <c r="F2221" s="82" t="s">
        <v>4823</v>
      </c>
      <c r="G2221" s="89">
        <v>1</v>
      </c>
      <c r="H2221" s="89">
        <v>1434.48</v>
      </c>
      <c r="I2221" s="85">
        <v>0</v>
      </c>
      <c r="J2221" s="85">
        <v>71.72</v>
      </c>
      <c r="K2221" s="85">
        <v>1506.2</v>
      </c>
      <c r="L2221" s="85">
        <v>1506.2</v>
      </c>
      <c r="M2221" s="89">
        <v>1434.48</v>
      </c>
      <c r="N2221" s="85">
        <v>0</v>
      </c>
      <c r="O2221" s="85">
        <v>71.72</v>
      </c>
      <c r="P2221" s="85">
        <v>1506.2</v>
      </c>
      <c r="Q2221" s="85">
        <v>1506.2</v>
      </c>
      <c r="R2221" s="82" t="s">
        <v>3399</v>
      </c>
      <c r="S2221" s="7">
        <f t="shared" si="103"/>
        <v>0</v>
      </c>
      <c r="T2221" s="6">
        <f t="shared" si="104"/>
        <v>0</v>
      </c>
      <c r="U2221" s="25">
        <f t="shared" si="102"/>
        <v>0</v>
      </c>
    </row>
    <row r="2222" spans="1:21" ht="10.9" customHeight="1" x14ac:dyDescent="0.2">
      <c r="A2222" s="82" t="s">
        <v>3101</v>
      </c>
      <c r="B2222" s="83">
        <v>45923</v>
      </c>
      <c r="C2222" s="82" t="s">
        <v>3395</v>
      </c>
      <c r="D2222" s="82" t="s">
        <v>807</v>
      </c>
      <c r="E2222" s="82"/>
      <c r="F2222" s="82" t="s">
        <v>4824</v>
      </c>
      <c r="G2222" s="89">
        <v>1</v>
      </c>
      <c r="H2222" s="89">
        <v>1086.6199999999999</v>
      </c>
      <c r="I2222" s="85">
        <v>0</v>
      </c>
      <c r="J2222" s="85">
        <v>54.33</v>
      </c>
      <c r="K2222" s="85">
        <v>1140.95</v>
      </c>
      <c r="L2222" s="85">
        <v>1140.95</v>
      </c>
      <c r="M2222" s="89">
        <v>1086.6199999999999</v>
      </c>
      <c r="N2222" s="85">
        <v>0</v>
      </c>
      <c r="O2222" s="85">
        <v>54.33</v>
      </c>
      <c r="P2222" s="85">
        <v>1140.95</v>
      </c>
      <c r="Q2222" s="85">
        <v>1140.95</v>
      </c>
      <c r="R2222" s="82" t="s">
        <v>3399</v>
      </c>
      <c r="S2222" s="7">
        <f t="shared" si="103"/>
        <v>0</v>
      </c>
      <c r="T2222" s="6">
        <f t="shared" si="104"/>
        <v>0</v>
      </c>
      <c r="U2222" s="25">
        <f t="shared" si="102"/>
        <v>0</v>
      </c>
    </row>
    <row r="2223" spans="1:21" ht="10.9" customHeight="1" x14ac:dyDescent="0.2">
      <c r="A2223" s="82" t="s">
        <v>3454</v>
      </c>
      <c r="B2223" s="83">
        <v>45924</v>
      </c>
      <c r="C2223" s="82" t="s">
        <v>3395</v>
      </c>
      <c r="D2223" s="82" t="s">
        <v>1613</v>
      </c>
      <c r="E2223" s="82"/>
      <c r="F2223" s="82" t="s">
        <v>4816</v>
      </c>
      <c r="G2223" s="89">
        <v>1</v>
      </c>
      <c r="H2223" s="89">
        <v>1343.34</v>
      </c>
      <c r="I2223" s="85">
        <v>0</v>
      </c>
      <c r="J2223" s="85">
        <v>0</v>
      </c>
      <c r="K2223" s="85">
        <v>1343.34</v>
      </c>
      <c r="L2223" s="85">
        <v>2264.34</v>
      </c>
      <c r="M2223" s="89">
        <v>1867.0958649359748</v>
      </c>
      <c r="N2223" s="85">
        <v>0</v>
      </c>
      <c r="O2223" s="85">
        <v>0</v>
      </c>
      <c r="P2223" s="85">
        <v>1867.0958649359748</v>
      </c>
      <c r="Q2223" s="85">
        <v>3147.1852627102035</v>
      </c>
      <c r="R2223" s="82" t="s">
        <v>3399</v>
      </c>
      <c r="S2223" s="7">
        <f t="shared" si="103"/>
        <v>0</v>
      </c>
      <c r="T2223" s="6">
        <f t="shared" si="104"/>
        <v>0</v>
      </c>
      <c r="U2223" s="25">
        <f t="shared" si="102"/>
        <v>0</v>
      </c>
    </row>
    <row r="2224" spans="1:21" ht="10.9" customHeight="1" x14ac:dyDescent="0.2">
      <c r="A2224" s="82" t="s">
        <v>3454</v>
      </c>
      <c r="B2224" s="83">
        <v>45924</v>
      </c>
      <c r="C2224" s="82" t="s">
        <v>3395</v>
      </c>
      <c r="D2224" s="82" t="s">
        <v>1613</v>
      </c>
      <c r="E2224" s="82"/>
      <c r="F2224" s="82" t="s">
        <v>4815</v>
      </c>
      <c r="G2224" s="89">
        <v>1</v>
      </c>
      <c r="H2224" s="89">
        <v>921</v>
      </c>
      <c r="I2224" s="85">
        <v>0</v>
      </c>
      <c r="J2224" s="85">
        <v>0</v>
      </c>
      <c r="K2224" s="85">
        <v>921</v>
      </c>
      <c r="L2224" s="85">
        <v>2264.34</v>
      </c>
      <c r="M2224" s="89">
        <v>1280.0893977742289</v>
      </c>
      <c r="N2224" s="85">
        <v>0</v>
      </c>
      <c r="O2224" s="85">
        <v>0</v>
      </c>
      <c r="P2224" s="85">
        <v>1280.0893977742289</v>
      </c>
      <c r="Q2224" s="85">
        <v>3147.1852627102035</v>
      </c>
      <c r="R2224" s="82" t="s">
        <v>3399</v>
      </c>
      <c r="S2224" s="7" t="str">
        <f t="shared" si="103"/>
        <v>INV13234-1</v>
      </c>
      <c r="T2224" s="6">
        <f t="shared" si="104"/>
        <v>1</v>
      </c>
      <c r="U2224" s="25">
        <f t="shared" si="102"/>
        <v>921</v>
      </c>
    </row>
    <row r="2225" spans="1:21" ht="10.9" customHeight="1" x14ac:dyDescent="0.2">
      <c r="A2225" s="82" t="s">
        <v>3455</v>
      </c>
      <c r="B2225" s="83">
        <v>45924</v>
      </c>
      <c r="C2225" s="82" t="s">
        <v>3395</v>
      </c>
      <c r="D2225" s="82" t="s">
        <v>882</v>
      </c>
      <c r="E2225" s="82"/>
      <c r="F2225" s="82" t="s">
        <v>4817</v>
      </c>
      <c r="G2225" s="89">
        <v>1</v>
      </c>
      <c r="H2225" s="89">
        <v>1816.85</v>
      </c>
      <c r="I2225" s="85">
        <v>0</v>
      </c>
      <c r="J2225" s="85">
        <v>0</v>
      </c>
      <c r="K2225" s="85">
        <v>1816.85</v>
      </c>
      <c r="L2225" s="85">
        <v>1816.85</v>
      </c>
      <c r="M2225" s="89">
        <v>2523.9671648799244</v>
      </c>
      <c r="N2225" s="85">
        <v>0</v>
      </c>
      <c r="O2225" s="85">
        <v>0</v>
      </c>
      <c r="P2225" s="85">
        <v>2523.9671648799244</v>
      </c>
      <c r="Q2225" s="85">
        <v>2523.9671648799244</v>
      </c>
      <c r="R2225" s="82" t="s">
        <v>3399</v>
      </c>
      <c r="S2225" s="7">
        <f t="shared" si="103"/>
        <v>0</v>
      </c>
      <c r="T2225" s="6">
        <f t="shared" si="104"/>
        <v>0</v>
      </c>
      <c r="U2225" s="25">
        <f t="shared" si="102"/>
        <v>0</v>
      </c>
    </row>
    <row r="2226" spans="1:21" ht="10.9" customHeight="1" x14ac:dyDescent="0.2">
      <c r="A2226" s="82" t="s">
        <v>3456</v>
      </c>
      <c r="B2226" s="83">
        <v>45924</v>
      </c>
      <c r="C2226" s="82" t="s">
        <v>3395</v>
      </c>
      <c r="D2226" s="82" t="s">
        <v>604</v>
      </c>
      <c r="E2226" s="82"/>
      <c r="F2226" s="82" t="s">
        <v>4822</v>
      </c>
      <c r="G2226" s="89">
        <v>1</v>
      </c>
      <c r="H2226" s="89">
        <v>773.88</v>
      </c>
      <c r="I2226" s="85">
        <v>0</v>
      </c>
      <c r="J2226" s="85">
        <v>38.69</v>
      </c>
      <c r="K2226" s="85">
        <v>812.57</v>
      </c>
      <c r="L2226" s="85">
        <v>1471.51</v>
      </c>
      <c r="M2226" s="89">
        <v>773.88</v>
      </c>
      <c r="N2226" s="85">
        <v>0</v>
      </c>
      <c r="O2226" s="85">
        <v>38.69</v>
      </c>
      <c r="P2226" s="85">
        <v>812.57</v>
      </c>
      <c r="Q2226" s="85">
        <v>1471.51</v>
      </c>
      <c r="R2226" s="82" t="s">
        <v>3399</v>
      </c>
      <c r="S2226" s="7">
        <f t="shared" si="103"/>
        <v>0</v>
      </c>
      <c r="T2226" s="6">
        <f t="shared" si="104"/>
        <v>0</v>
      </c>
      <c r="U2226" s="25">
        <f t="shared" si="102"/>
        <v>0</v>
      </c>
    </row>
    <row r="2227" spans="1:21" ht="10.9" customHeight="1" x14ac:dyDescent="0.2">
      <c r="A2227" s="82" t="s">
        <v>3456</v>
      </c>
      <c r="B2227" s="83">
        <v>45924</v>
      </c>
      <c r="C2227" s="82" t="s">
        <v>3395</v>
      </c>
      <c r="D2227" s="82" t="s">
        <v>604</v>
      </c>
      <c r="E2227" s="82"/>
      <c r="F2227" s="82" t="s">
        <v>4551</v>
      </c>
      <c r="G2227" s="89">
        <v>1</v>
      </c>
      <c r="H2227" s="89">
        <v>627.55999999999995</v>
      </c>
      <c r="I2227" s="85">
        <v>0</v>
      </c>
      <c r="J2227" s="85">
        <v>31.38</v>
      </c>
      <c r="K2227" s="85">
        <v>658.94</v>
      </c>
      <c r="L2227" s="85">
        <v>1471.51</v>
      </c>
      <c r="M2227" s="89">
        <v>627.55999999999995</v>
      </c>
      <c r="N2227" s="85">
        <v>0</v>
      </c>
      <c r="O2227" s="85">
        <v>31.38</v>
      </c>
      <c r="P2227" s="85">
        <v>658.94</v>
      </c>
      <c r="Q2227" s="85">
        <v>1471.51</v>
      </c>
      <c r="R2227" s="82" t="s">
        <v>3399</v>
      </c>
      <c r="S2227" s="7">
        <f t="shared" si="103"/>
        <v>0</v>
      </c>
      <c r="T2227" s="6">
        <f t="shared" si="104"/>
        <v>0</v>
      </c>
      <c r="U2227" s="25">
        <f t="shared" si="102"/>
        <v>0</v>
      </c>
    </row>
    <row r="2228" spans="1:21" ht="10.9" customHeight="1" x14ac:dyDescent="0.2">
      <c r="A2228" s="82" t="s">
        <v>3451</v>
      </c>
      <c r="B2228" s="83">
        <v>45924</v>
      </c>
      <c r="C2228" s="82" t="s">
        <v>3395</v>
      </c>
      <c r="D2228" s="82" t="s">
        <v>1250</v>
      </c>
      <c r="E2228" s="82"/>
      <c r="F2228" s="82" t="s">
        <v>4814</v>
      </c>
      <c r="G2228" s="89">
        <v>1</v>
      </c>
      <c r="H2228" s="89">
        <v>1609.78</v>
      </c>
      <c r="I2228" s="85">
        <v>0</v>
      </c>
      <c r="J2228" s="85">
        <v>0</v>
      </c>
      <c r="K2228" s="85">
        <v>1609.78</v>
      </c>
      <c r="L2228" s="85">
        <v>1609.78</v>
      </c>
      <c r="M2228" s="89">
        <v>1609.78</v>
      </c>
      <c r="N2228" s="85">
        <v>0</v>
      </c>
      <c r="O2228" s="85">
        <v>0</v>
      </c>
      <c r="P2228" s="85">
        <v>1609.78</v>
      </c>
      <c r="Q2228" s="85">
        <v>1609.78</v>
      </c>
      <c r="R2228" s="82" t="s">
        <v>3399</v>
      </c>
      <c r="S2228" s="7">
        <f t="shared" si="103"/>
        <v>0</v>
      </c>
      <c r="T2228" s="6">
        <f t="shared" si="104"/>
        <v>0</v>
      </c>
      <c r="U2228" s="25">
        <f t="shared" si="102"/>
        <v>0</v>
      </c>
    </row>
    <row r="2229" spans="1:21" ht="10.9" customHeight="1" x14ac:dyDescent="0.2">
      <c r="A2229" s="82" t="s">
        <v>3452</v>
      </c>
      <c r="B2229" s="83">
        <v>45924</v>
      </c>
      <c r="C2229" s="82" t="s">
        <v>3395</v>
      </c>
      <c r="D2229" s="82" t="s">
        <v>921</v>
      </c>
      <c r="E2229" s="82"/>
      <c r="F2229" s="82" t="s">
        <v>4814</v>
      </c>
      <c r="G2229" s="89">
        <v>1</v>
      </c>
      <c r="H2229" s="89">
        <v>1609.78</v>
      </c>
      <c r="I2229" s="85">
        <v>0</v>
      </c>
      <c r="J2229" s="85">
        <v>80.489999999999995</v>
      </c>
      <c r="K2229" s="85">
        <v>1690.27</v>
      </c>
      <c r="L2229" s="85">
        <v>1690.27</v>
      </c>
      <c r="M2229" s="89">
        <v>1609.78</v>
      </c>
      <c r="N2229" s="85">
        <v>0</v>
      </c>
      <c r="O2229" s="85">
        <v>80.489999999999995</v>
      </c>
      <c r="P2229" s="85">
        <v>1690.27</v>
      </c>
      <c r="Q2229" s="85">
        <v>1690.27</v>
      </c>
      <c r="R2229" s="82" t="s">
        <v>3399</v>
      </c>
      <c r="S2229" s="7">
        <f t="shared" si="103"/>
        <v>0</v>
      </c>
      <c r="T2229" s="6">
        <f t="shared" si="104"/>
        <v>0</v>
      </c>
      <c r="U2229" s="25">
        <f t="shared" si="102"/>
        <v>0</v>
      </c>
    </row>
    <row r="2230" spans="1:21" ht="10.9" customHeight="1" x14ac:dyDescent="0.2">
      <c r="A2230" s="82" t="s">
        <v>3453</v>
      </c>
      <c r="B2230" s="83">
        <v>45924</v>
      </c>
      <c r="C2230" s="82" t="s">
        <v>3395</v>
      </c>
      <c r="D2230" s="82" t="s">
        <v>1359</v>
      </c>
      <c r="E2230" s="82"/>
      <c r="F2230" s="82" t="s">
        <v>4821</v>
      </c>
      <c r="G2230" s="89">
        <v>1</v>
      </c>
      <c r="H2230" s="89">
        <v>7987.73</v>
      </c>
      <c r="I2230" s="85">
        <v>0</v>
      </c>
      <c r="J2230" s="85">
        <v>399.39</v>
      </c>
      <c r="K2230" s="85">
        <v>8387.1200000000008</v>
      </c>
      <c r="L2230" s="85">
        <v>8387.1200000000008</v>
      </c>
      <c r="M2230" s="89">
        <v>7987.73</v>
      </c>
      <c r="N2230" s="85">
        <v>0</v>
      </c>
      <c r="O2230" s="85">
        <v>399.39</v>
      </c>
      <c r="P2230" s="85">
        <v>8387.1200000000008</v>
      </c>
      <c r="Q2230" s="85">
        <v>8387.1200000000008</v>
      </c>
      <c r="R2230" s="82" t="s">
        <v>3399</v>
      </c>
      <c r="S2230" s="7">
        <f t="shared" si="103"/>
        <v>0</v>
      </c>
      <c r="T2230" s="6">
        <f t="shared" si="104"/>
        <v>0</v>
      </c>
      <c r="U2230" s="25">
        <f t="shared" si="102"/>
        <v>0</v>
      </c>
    </row>
    <row r="2231" spans="1:21" ht="10.9" customHeight="1" x14ac:dyDescent="0.2">
      <c r="A2231" s="82" t="s">
        <v>3449</v>
      </c>
      <c r="B2231" s="83">
        <v>45924</v>
      </c>
      <c r="C2231" s="82" t="s">
        <v>3395</v>
      </c>
      <c r="D2231" s="82" t="s">
        <v>578</v>
      </c>
      <c r="E2231" s="82"/>
      <c r="F2231" s="82" t="s">
        <v>4820</v>
      </c>
      <c r="G2231" s="89">
        <v>1</v>
      </c>
      <c r="H2231" s="89">
        <v>4248.1099999999997</v>
      </c>
      <c r="I2231" s="85">
        <v>0</v>
      </c>
      <c r="J2231" s="85">
        <v>212.41</v>
      </c>
      <c r="K2231" s="85">
        <v>4460.5200000000004</v>
      </c>
      <c r="L2231" s="85">
        <v>6484.17</v>
      </c>
      <c r="M2231" s="89">
        <v>4248.1099999999997</v>
      </c>
      <c r="N2231" s="85">
        <v>0</v>
      </c>
      <c r="O2231" s="85">
        <v>212.41</v>
      </c>
      <c r="P2231" s="85">
        <v>4460.5200000000004</v>
      </c>
      <c r="Q2231" s="85">
        <v>6484.17</v>
      </c>
      <c r="R2231" s="82" t="s">
        <v>3399</v>
      </c>
      <c r="S2231" s="7">
        <f t="shared" si="103"/>
        <v>0</v>
      </c>
      <c r="T2231" s="6">
        <f t="shared" si="104"/>
        <v>0</v>
      </c>
      <c r="U2231" s="25">
        <f t="shared" si="102"/>
        <v>0</v>
      </c>
    </row>
    <row r="2232" spans="1:21" ht="10.9" customHeight="1" x14ac:dyDescent="0.2">
      <c r="A2232" s="82" t="s">
        <v>3449</v>
      </c>
      <c r="B2232" s="83">
        <v>45924</v>
      </c>
      <c r="C2232" s="82" t="s">
        <v>3395</v>
      </c>
      <c r="D2232" s="82" t="s">
        <v>578</v>
      </c>
      <c r="E2232" s="82"/>
      <c r="F2232" s="82" t="s">
        <v>4819</v>
      </c>
      <c r="G2232" s="89">
        <v>1</v>
      </c>
      <c r="H2232" s="89">
        <v>1927.29</v>
      </c>
      <c r="I2232" s="85">
        <v>0</v>
      </c>
      <c r="J2232" s="85">
        <v>96.36</v>
      </c>
      <c r="K2232" s="85">
        <v>2023.65</v>
      </c>
      <c r="L2232" s="85">
        <v>6484.17</v>
      </c>
      <c r="M2232" s="89">
        <v>1927.29</v>
      </c>
      <c r="N2232" s="85">
        <v>0</v>
      </c>
      <c r="O2232" s="85">
        <v>96.36</v>
      </c>
      <c r="P2232" s="85">
        <v>2023.65</v>
      </c>
      <c r="Q2232" s="85">
        <v>6484.17</v>
      </c>
      <c r="R2232" s="82" t="s">
        <v>3399</v>
      </c>
      <c r="S2232" s="7">
        <f t="shared" si="103"/>
        <v>0</v>
      </c>
      <c r="T2232" s="6">
        <f t="shared" si="104"/>
        <v>0</v>
      </c>
      <c r="U2232" s="25">
        <f t="shared" si="102"/>
        <v>0</v>
      </c>
    </row>
    <row r="2233" spans="1:21" ht="10.9" customHeight="1" x14ac:dyDescent="0.2">
      <c r="A2233" s="82" t="s">
        <v>3448</v>
      </c>
      <c r="B2233" s="83">
        <v>45924</v>
      </c>
      <c r="C2233" s="82" t="s">
        <v>3395</v>
      </c>
      <c r="D2233" s="82" t="s">
        <v>606</v>
      </c>
      <c r="E2233" s="82"/>
      <c r="F2233" s="82" t="s">
        <v>4424</v>
      </c>
      <c r="G2233" s="89">
        <v>1</v>
      </c>
      <c r="H2233" s="89">
        <v>1298.0999999999999</v>
      </c>
      <c r="I2233" s="85">
        <v>0</v>
      </c>
      <c r="J2233" s="85">
        <v>64.91</v>
      </c>
      <c r="K2233" s="85">
        <v>1363.01</v>
      </c>
      <c r="L2233" s="85">
        <v>1363.01</v>
      </c>
      <c r="M2233" s="89">
        <v>1298.0999999999999</v>
      </c>
      <c r="N2233" s="85">
        <v>0</v>
      </c>
      <c r="O2233" s="85">
        <v>64.91</v>
      </c>
      <c r="P2233" s="85">
        <v>1363.01</v>
      </c>
      <c r="Q2233" s="85">
        <v>1363.01</v>
      </c>
      <c r="R2233" s="82" t="s">
        <v>3399</v>
      </c>
      <c r="S2233" s="7">
        <f t="shared" si="103"/>
        <v>0</v>
      </c>
      <c r="T2233" s="6">
        <f t="shared" si="104"/>
        <v>0</v>
      </c>
      <c r="U2233" s="25">
        <f t="shared" si="102"/>
        <v>0</v>
      </c>
    </row>
    <row r="2234" spans="1:21" ht="10.9" customHeight="1" x14ac:dyDescent="0.2">
      <c r="A2234" s="82" t="s">
        <v>3086</v>
      </c>
      <c r="B2234" s="83">
        <v>45924</v>
      </c>
      <c r="C2234" s="82" t="s">
        <v>3395</v>
      </c>
      <c r="D2234" s="82" t="s">
        <v>3450</v>
      </c>
      <c r="E2234" s="82"/>
      <c r="F2234" s="82" t="s">
        <v>4817</v>
      </c>
      <c r="G2234" s="89">
        <v>1</v>
      </c>
      <c r="H2234" s="89">
        <v>1816.85</v>
      </c>
      <c r="I2234" s="85">
        <v>0</v>
      </c>
      <c r="J2234" s="85">
        <v>0</v>
      </c>
      <c r="K2234" s="85">
        <v>1816.85</v>
      </c>
      <c r="L2234" s="85">
        <v>1816.85</v>
      </c>
      <c r="M2234" s="89">
        <v>2523.9671648799244</v>
      </c>
      <c r="N2234" s="85">
        <v>0</v>
      </c>
      <c r="O2234" s="85">
        <v>0</v>
      </c>
      <c r="P2234" s="85">
        <v>2523.9671648799244</v>
      </c>
      <c r="Q2234" s="85">
        <v>2523.9671648799244</v>
      </c>
      <c r="R2234" s="82" t="s">
        <v>3399</v>
      </c>
      <c r="S2234" s="7">
        <f t="shared" si="103"/>
        <v>0</v>
      </c>
      <c r="T2234" s="6">
        <f t="shared" si="104"/>
        <v>0</v>
      </c>
      <c r="U2234" s="25">
        <f t="shared" si="102"/>
        <v>0</v>
      </c>
    </row>
    <row r="2235" spans="1:21" ht="10.9" customHeight="1" x14ac:dyDescent="0.2">
      <c r="A2235" s="82" t="s">
        <v>3056</v>
      </c>
      <c r="B2235" s="83">
        <v>45924</v>
      </c>
      <c r="C2235" s="82" t="s">
        <v>3395</v>
      </c>
      <c r="D2235" s="82" t="s">
        <v>900</v>
      </c>
      <c r="E2235" s="82"/>
      <c r="F2235" s="82" t="s">
        <v>4818</v>
      </c>
      <c r="G2235" s="89">
        <v>4</v>
      </c>
      <c r="H2235" s="89">
        <v>13915.51</v>
      </c>
      <c r="I2235" s="85">
        <v>0</v>
      </c>
      <c r="J2235" s="85">
        <v>0</v>
      </c>
      <c r="K2235" s="85">
        <v>55662.04</v>
      </c>
      <c r="L2235" s="85">
        <v>55662.04</v>
      </c>
      <c r="M2235" s="89">
        <v>19326.694582751748</v>
      </c>
      <c r="N2235" s="85">
        <v>0</v>
      </c>
      <c r="O2235" s="85">
        <v>0</v>
      </c>
      <c r="P2235" s="85">
        <v>77306.778331006994</v>
      </c>
      <c r="Q2235" s="85">
        <v>77306.778331006994</v>
      </c>
      <c r="R2235" s="82" t="s">
        <v>3399</v>
      </c>
      <c r="S2235" s="7">
        <f t="shared" si="103"/>
        <v>0</v>
      </c>
      <c r="T2235" s="6">
        <f t="shared" si="104"/>
        <v>0</v>
      </c>
      <c r="U2235" s="25">
        <f t="shared" si="102"/>
        <v>0</v>
      </c>
    </row>
    <row r="2236" spans="1:21" ht="10.9" customHeight="1" x14ac:dyDescent="0.2">
      <c r="A2236" s="82" t="s">
        <v>3445</v>
      </c>
      <c r="B2236" s="83">
        <v>45925</v>
      </c>
      <c r="C2236" s="82" t="s">
        <v>3395</v>
      </c>
      <c r="D2236" s="82" t="s">
        <v>571</v>
      </c>
      <c r="E2236" s="82"/>
      <c r="F2236" s="82" t="s">
        <v>4594</v>
      </c>
      <c r="G2236" s="89">
        <v>1</v>
      </c>
      <c r="H2236" s="89">
        <v>270.35000000000002</v>
      </c>
      <c r="I2236" s="85">
        <v>0</v>
      </c>
      <c r="J2236" s="85">
        <v>35.15</v>
      </c>
      <c r="K2236" s="85">
        <v>305.5</v>
      </c>
      <c r="L2236" s="85">
        <v>305.5</v>
      </c>
      <c r="M2236" s="89">
        <v>270.35000000000002</v>
      </c>
      <c r="N2236" s="85">
        <v>0</v>
      </c>
      <c r="O2236" s="85">
        <v>35.15</v>
      </c>
      <c r="P2236" s="85">
        <v>305.5</v>
      </c>
      <c r="Q2236" s="85">
        <v>305.5</v>
      </c>
      <c r="R2236" s="82" t="s">
        <v>3399</v>
      </c>
      <c r="S2236" s="7">
        <f t="shared" si="103"/>
        <v>0</v>
      </c>
      <c r="T2236" s="6">
        <f t="shared" si="104"/>
        <v>0</v>
      </c>
      <c r="U2236" s="25">
        <f t="shared" si="102"/>
        <v>0</v>
      </c>
    </row>
    <row r="2237" spans="1:21" ht="10.9" customHeight="1" x14ac:dyDescent="0.2">
      <c r="A2237" s="82" t="s">
        <v>3444</v>
      </c>
      <c r="B2237" s="83">
        <v>45925</v>
      </c>
      <c r="C2237" s="82" t="s">
        <v>3395</v>
      </c>
      <c r="D2237" s="82" t="s">
        <v>875</v>
      </c>
      <c r="E2237" s="82"/>
      <c r="F2237" s="82" t="s">
        <v>4811</v>
      </c>
      <c r="G2237" s="89">
        <v>1</v>
      </c>
      <c r="H2237" s="89">
        <v>9848.2199999999993</v>
      </c>
      <c r="I2237" s="85">
        <v>0</v>
      </c>
      <c r="J2237" s="85">
        <v>492.41</v>
      </c>
      <c r="K2237" s="85">
        <v>10340.629999999999</v>
      </c>
      <c r="L2237" s="85">
        <v>10340.629999999999</v>
      </c>
      <c r="M2237" s="89">
        <v>9848.2199999999993</v>
      </c>
      <c r="N2237" s="85">
        <v>0</v>
      </c>
      <c r="O2237" s="85">
        <v>492.41</v>
      </c>
      <c r="P2237" s="85">
        <v>10340.629999999999</v>
      </c>
      <c r="Q2237" s="85">
        <v>10340.629999999999</v>
      </c>
      <c r="R2237" s="82" t="s">
        <v>3399</v>
      </c>
      <c r="S2237" s="7">
        <f t="shared" si="103"/>
        <v>0</v>
      </c>
      <c r="T2237" s="6">
        <f t="shared" si="104"/>
        <v>0</v>
      </c>
      <c r="U2237" s="25">
        <f t="shared" si="102"/>
        <v>0</v>
      </c>
    </row>
    <row r="2238" spans="1:21" ht="10.9" customHeight="1" x14ac:dyDescent="0.2">
      <c r="A2238" s="82" t="s">
        <v>3446</v>
      </c>
      <c r="B2238" s="83">
        <v>45925</v>
      </c>
      <c r="C2238" s="82" t="s">
        <v>3395</v>
      </c>
      <c r="D2238" s="82" t="s">
        <v>669</v>
      </c>
      <c r="E2238" s="82"/>
      <c r="F2238" s="82" t="s">
        <v>4813</v>
      </c>
      <c r="G2238" s="89">
        <v>1</v>
      </c>
      <c r="H2238" s="89">
        <v>1565.32</v>
      </c>
      <c r="I2238" s="85">
        <v>0</v>
      </c>
      <c r="J2238" s="85">
        <v>78.27</v>
      </c>
      <c r="K2238" s="85">
        <v>1643.59</v>
      </c>
      <c r="L2238" s="85">
        <v>4172.29</v>
      </c>
      <c r="M2238" s="89">
        <v>1565.32</v>
      </c>
      <c r="N2238" s="85">
        <v>0</v>
      </c>
      <c r="O2238" s="85">
        <v>78.27</v>
      </c>
      <c r="P2238" s="85">
        <v>1643.59</v>
      </c>
      <c r="Q2238" s="85">
        <v>4172.29</v>
      </c>
      <c r="R2238" s="82" t="s">
        <v>3399</v>
      </c>
      <c r="S2238" s="7">
        <f t="shared" si="103"/>
        <v>0</v>
      </c>
      <c r="T2238" s="6">
        <f t="shared" si="104"/>
        <v>0</v>
      </c>
      <c r="U2238" s="25">
        <f t="shared" si="102"/>
        <v>0</v>
      </c>
    </row>
    <row r="2239" spans="1:21" ht="10.9" customHeight="1" x14ac:dyDescent="0.2">
      <c r="A2239" s="82" t="s">
        <v>3446</v>
      </c>
      <c r="B2239" s="83">
        <v>45925</v>
      </c>
      <c r="C2239" s="82" t="s">
        <v>3395</v>
      </c>
      <c r="D2239" s="82" t="s">
        <v>669</v>
      </c>
      <c r="E2239" s="82"/>
      <c r="F2239" s="82" t="s">
        <v>4812</v>
      </c>
      <c r="G2239" s="89">
        <v>2</v>
      </c>
      <c r="H2239" s="89">
        <v>589.78</v>
      </c>
      <c r="I2239" s="85">
        <v>0</v>
      </c>
      <c r="J2239" s="85">
        <v>58.98</v>
      </c>
      <c r="K2239" s="85">
        <v>1238.54</v>
      </c>
      <c r="L2239" s="85">
        <v>4172.29</v>
      </c>
      <c r="M2239" s="89">
        <v>589.78</v>
      </c>
      <c r="N2239" s="85">
        <v>0</v>
      </c>
      <c r="O2239" s="85">
        <v>58.98</v>
      </c>
      <c r="P2239" s="85">
        <v>1238.54</v>
      </c>
      <c r="Q2239" s="85">
        <v>4172.29</v>
      </c>
      <c r="R2239" s="82" t="s">
        <v>3399</v>
      </c>
      <c r="S2239" s="7">
        <f t="shared" si="103"/>
        <v>0</v>
      </c>
      <c r="T2239" s="6">
        <f t="shared" si="104"/>
        <v>0</v>
      </c>
      <c r="U2239" s="25">
        <f t="shared" si="102"/>
        <v>0</v>
      </c>
    </row>
    <row r="2240" spans="1:21" ht="10.9" customHeight="1" x14ac:dyDescent="0.2">
      <c r="A2240" s="82" t="s">
        <v>3446</v>
      </c>
      <c r="B2240" s="83">
        <v>45925</v>
      </c>
      <c r="C2240" s="82" t="s">
        <v>3395</v>
      </c>
      <c r="D2240" s="82" t="s">
        <v>669</v>
      </c>
      <c r="E2240" s="82"/>
      <c r="F2240" s="82" t="s">
        <v>4736</v>
      </c>
      <c r="G2240" s="89">
        <v>2</v>
      </c>
      <c r="H2240" s="89">
        <v>614.36</v>
      </c>
      <c r="I2240" s="85">
        <v>0</v>
      </c>
      <c r="J2240" s="85">
        <v>61.44</v>
      </c>
      <c r="K2240" s="85">
        <v>1290.1600000000001</v>
      </c>
      <c r="L2240" s="85">
        <v>4172.29</v>
      </c>
      <c r="M2240" s="89">
        <v>614.36</v>
      </c>
      <c r="N2240" s="85">
        <v>0</v>
      </c>
      <c r="O2240" s="85">
        <v>61.44</v>
      </c>
      <c r="P2240" s="85">
        <v>1290.1600000000001</v>
      </c>
      <c r="Q2240" s="85">
        <v>4172.29</v>
      </c>
      <c r="R2240" s="82" t="s">
        <v>3399</v>
      </c>
      <c r="S2240" s="7">
        <f t="shared" si="103"/>
        <v>0</v>
      </c>
      <c r="T2240" s="6">
        <f t="shared" si="104"/>
        <v>0</v>
      </c>
      <c r="U2240" s="25">
        <f t="shared" si="102"/>
        <v>0</v>
      </c>
    </row>
    <row r="2241" spans="1:21" ht="10.9" customHeight="1" x14ac:dyDescent="0.2">
      <c r="A2241" s="82" t="s">
        <v>2889</v>
      </c>
      <c r="B2241" s="83">
        <v>45925</v>
      </c>
      <c r="C2241" s="82" t="s">
        <v>3395</v>
      </c>
      <c r="D2241" s="82" t="s">
        <v>1183</v>
      </c>
      <c r="E2241" s="82"/>
      <c r="F2241" s="82" t="s">
        <v>4810</v>
      </c>
      <c r="G2241" s="89">
        <v>1</v>
      </c>
      <c r="H2241" s="89">
        <v>1957.11</v>
      </c>
      <c r="I2241" s="85">
        <v>0</v>
      </c>
      <c r="J2241" s="85">
        <v>0</v>
      </c>
      <c r="K2241" s="85">
        <v>1957.11</v>
      </c>
      <c r="L2241" s="85">
        <v>3654.99</v>
      </c>
      <c r="M2241" s="89">
        <v>2728.0558571844758</v>
      </c>
      <c r="N2241" s="85">
        <v>0</v>
      </c>
      <c r="O2241" s="85">
        <v>0</v>
      </c>
      <c r="P2241" s="85">
        <v>2728.0558571844758</v>
      </c>
      <c r="Q2241" s="85">
        <v>5094.7656889243253</v>
      </c>
      <c r="R2241" s="82" t="s">
        <v>3399</v>
      </c>
      <c r="S2241" s="7">
        <f t="shared" si="103"/>
        <v>0</v>
      </c>
      <c r="T2241" s="6">
        <f t="shared" si="104"/>
        <v>0</v>
      </c>
      <c r="U2241" s="25">
        <f t="shared" si="102"/>
        <v>0</v>
      </c>
    </row>
    <row r="2242" spans="1:21" ht="10.9" customHeight="1" x14ac:dyDescent="0.2">
      <c r="A2242" s="82" t="s">
        <v>2889</v>
      </c>
      <c r="B2242" s="83">
        <v>45925</v>
      </c>
      <c r="C2242" s="82" t="s">
        <v>3395</v>
      </c>
      <c r="D2242" s="82" t="s">
        <v>1183</v>
      </c>
      <c r="E2242" s="82"/>
      <c r="F2242" s="82" t="s">
        <v>4809</v>
      </c>
      <c r="G2242" s="89">
        <v>1</v>
      </c>
      <c r="H2242" s="89">
        <v>1697.88</v>
      </c>
      <c r="I2242" s="85">
        <v>0</v>
      </c>
      <c r="J2242" s="85">
        <v>0</v>
      </c>
      <c r="K2242" s="85">
        <v>1697.88</v>
      </c>
      <c r="L2242" s="85">
        <v>3654.99</v>
      </c>
      <c r="M2242" s="89">
        <v>2366.70983173985</v>
      </c>
      <c r="N2242" s="85">
        <v>0</v>
      </c>
      <c r="O2242" s="85">
        <v>0</v>
      </c>
      <c r="P2242" s="85">
        <v>2366.70983173985</v>
      </c>
      <c r="Q2242" s="85">
        <v>5094.7656889243253</v>
      </c>
      <c r="R2242" s="82" t="s">
        <v>3399</v>
      </c>
      <c r="S2242" s="7">
        <f t="shared" si="103"/>
        <v>0</v>
      </c>
      <c r="T2242" s="6">
        <f t="shared" si="104"/>
        <v>0</v>
      </c>
      <c r="U2242" s="25">
        <f t="shared" ref="U2242:U2305" si="105">IF(T2242=1,K2242-J2242,0)</f>
        <v>0</v>
      </c>
    </row>
    <row r="2243" spans="1:21" ht="10.9" customHeight="1" x14ac:dyDescent="0.2">
      <c r="A2243" s="82" t="s">
        <v>3165</v>
      </c>
      <c r="B2243" s="83">
        <v>45925</v>
      </c>
      <c r="C2243" s="82" t="s">
        <v>3395</v>
      </c>
      <c r="D2243" s="82" t="s">
        <v>677</v>
      </c>
      <c r="E2243" s="82"/>
      <c r="F2243" s="82" t="s">
        <v>4425</v>
      </c>
      <c r="G2243" s="89">
        <v>1</v>
      </c>
      <c r="H2243" s="89">
        <v>1129.78</v>
      </c>
      <c r="I2243" s="85">
        <v>0</v>
      </c>
      <c r="J2243" s="85">
        <v>56.49</v>
      </c>
      <c r="K2243" s="85">
        <v>1186.27</v>
      </c>
      <c r="L2243" s="85">
        <v>1186.27</v>
      </c>
      <c r="M2243" s="89">
        <v>1129.78</v>
      </c>
      <c r="N2243" s="85">
        <v>0</v>
      </c>
      <c r="O2243" s="85">
        <v>56.49</v>
      </c>
      <c r="P2243" s="85">
        <v>1186.27</v>
      </c>
      <c r="Q2243" s="85">
        <v>1186.27</v>
      </c>
      <c r="R2243" s="82" t="s">
        <v>3399</v>
      </c>
      <c r="S2243" s="7">
        <f t="shared" ref="S2243:S2306" si="106">IF(T2243=1,A2243,0)</f>
        <v>0</v>
      </c>
      <c r="T2243" s="6">
        <f t="shared" ref="T2243:T2306" si="107">IFERROR(FIND("Freight",F2243,1),0)</f>
        <v>0</v>
      </c>
      <c r="U2243" s="25">
        <f t="shared" si="105"/>
        <v>0</v>
      </c>
    </row>
    <row r="2244" spans="1:21" ht="10.9" customHeight="1" x14ac:dyDescent="0.2">
      <c r="A2244" s="82" t="s">
        <v>3165</v>
      </c>
      <c r="B2244" s="83">
        <v>45925</v>
      </c>
      <c r="C2244" s="82" t="s">
        <v>3395</v>
      </c>
      <c r="D2244" s="82" t="s">
        <v>677</v>
      </c>
      <c r="E2244" s="82"/>
      <c r="F2244" s="82" t="s">
        <v>4806</v>
      </c>
      <c r="G2244" s="89">
        <v>1</v>
      </c>
      <c r="H2244" s="89">
        <v>29.95</v>
      </c>
      <c r="I2244" s="85">
        <v>29.95</v>
      </c>
      <c r="J2244" s="85">
        <v>0</v>
      </c>
      <c r="K2244" s="85">
        <v>0</v>
      </c>
      <c r="L2244" s="85">
        <v>1186.27</v>
      </c>
      <c r="M2244" s="89">
        <v>29.95</v>
      </c>
      <c r="N2244" s="85">
        <v>29.95</v>
      </c>
      <c r="O2244" s="85">
        <v>0</v>
      </c>
      <c r="P2244" s="85">
        <v>0</v>
      </c>
      <c r="Q2244" s="85">
        <v>1186.27</v>
      </c>
      <c r="R2244" s="82" t="s">
        <v>3399</v>
      </c>
      <c r="S2244" s="7">
        <f t="shared" si="106"/>
        <v>0</v>
      </c>
      <c r="T2244" s="6">
        <f t="shared" si="107"/>
        <v>0</v>
      </c>
      <c r="U2244" s="25">
        <f t="shared" si="105"/>
        <v>0</v>
      </c>
    </row>
    <row r="2245" spans="1:21" ht="10.9" customHeight="1" x14ac:dyDescent="0.2">
      <c r="A2245" s="82" t="s">
        <v>4808</v>
      </c>
      <c r="B2245" s="83">
        <v>45926</v>
      </c>
      <c r="C2245" s="82" t="s">
        <v>3395</v>
      </c>
      <c r="D2245" s="82"/>
      <c r="E2245" s="82"/>
      <c r="F2245" s="82"/>
      <c r="G2245" s="89">
        <v>0</v>
      </c>
      <c r="H2245" s="89">
        <v>0</v>
      </c>
      <c r="I2245" s="85">
        <v>0</v>
      </c>
      <c r="J2245" s="85">
        <v>0</v>
      </c>
      <c r="K2245" s="85">
        <v>0</v>
      </c>
      <c r="L2245" s="85">
        <v>0</v>
      </c>
      <c r="M2245" s="89">
        <v>0</v>
      </c>
      <c r="N2245" s="85">
        <v>0</v>
      </c>
      <c r="O2245" s="85">
        <v>0</v>
      </c>
      <c r="P2245" s="85">
        <v>0</v>
      </c>
      <c r="Q2245" s="85">
        <v>0</v>
      </c>
      <c r="R2245" s="82" t="s">
        <v>4515</v>
      </c>
      <c r="S2245" s="7">
        <f t="shared" si="106"/>
        <v>0</v>
      </c>
      <c r="T2245" s="6">
        <f t="shared" si="107"/>
        <v>0</v>
      </c>
      <c r="U2245" s="25">
        <f t="shared" si="105"/>
        <v>0</v>
      </c>
    </row>
    <row r="2246" spans="1:21" ht="10.9" customHeight="1" x14ac:dyDescent="0.2">
      <c r="A2246" s="82" t="s">
        <v>3183</v>
      </c>
      <c r="B2246" s="83">
        <v>45926</v>
      </c>
      <c r="C2246" s="82" t="s">
        <v>3395</v>
      </c>
      <c r="D2246" s="82" t="s">
        <v>643</v>
      </c>
      <c r="E2246" s="82"/>
      <c r="F2246" s="82" t="s">
        <v>4421</v>
      </c>
      <c r="G2246" s="89">
        <v>2</v>
      </c>
      <c r="H2246" s="89">
        <v>1798.15</v>
      </c>
      <c r="I2246" s="85">
        <v>0</v>
      </c>
      <c r="J2246" s="85">
        <v>0</v>
      </c>
      <c r="K2246" s="85">
        <v>3596.3</v>
      </c>
      <c r="L2246" s="85">
        <v>13347.42</v>
      </c>
      <c r="M2246" s="89">
        <v>2509.6791842408643</v>
      </c>
      <c r="N2246" s="85">
        <v>0</v>
      </c>
      <c r="O2246" s="85">
        <v>0</v>
      </c>
      <c r="P2246" s="85">
        <v>5019.3583684817286</v>
      </c>
      <c r="Q2246" s="85">
        <v>18629.003218485777</v>
      </c>
      <c r="R2246" s="82" t="s">
        <v>3399</v>
      </c>
      <c r="S2246" s="7">
        <f t="shared" si="106"/>
        <v>0</v>
      </c>
      <c r="T2246" s="6">
        <f t="shared" si="107"/>
        <v>0</v>
      </c>
      <c r="U2246" s="25">
        <f t="shared" si="105"/>
        <v>0</v>
      </c>
    </row>
    <row r="2247" spans="1:21" ht="10.9" customHeight="1" x14ac:dyDescent="0.2">
      <c r="A2247" s="82" t="s">
        <v>3183</v>
      </c>
      <c r="B2247" s="83">
        <v>45926</v>
      </c>
      <c r="C2247" s="82" t="s">
        <v>3395</v>
      </c>
      <c r="D2247" s="82" t="s">
        <v>643</v>
      </c>
      <c r="E2247" s="82"/>
      <c r="F2247" s="82" t="s">
        <v>4417</v>
      </c>
      <c r="G2247" s="89">
        <v>2</v>
      </c>
      <c r="H2247" s="89">
        <v>1306.53</v>
      </c>
      <c r="I2247" s="85">
        <v>0</v>
      </c>
      <c r="J2247" s="85">
        <v>0</v>
      </c>
      <c r="K2247" s="85">
        <v>2613.06</v>
      </c>
      <c r="L2247" s="85">
        <v>13347.42</v>
      </c>
      <c r="M2247" s="89">
        <v>1823.524814162454</v>
      </c>
      <c r="N2247" s="85">
        <v>0</v>
      </c>
      <c r="O2247" s="85">
        <v>0</v>
      </c>
      <c r="P2247" s="85">
        <v>3647.0496283249081</v>
      </c>
      <c r="Q2247" s="85">
        <v>18629.003218485777</v>
      </c>
      <c r="R2247" s="82" t="s">
        <v>3399</v>
      </c>
      <c r="S2247" s="7">
        <f t="shared" si="106"/>
        <v>0</v>
      </c>
      <c r="T2247" s="6">
        <f t="shared" si="107"/>
        <v>0</v>
      </c>
      <c r="U2247" s="25">
        <f t="shared" si="105"/>
        <v>0</v>
      </c>
    </row>
    <row r="2248" spans="1:21" ht="10.9" customHeight="1" x14ac:dyDescent="0.2">
      <c r="A2248" s="82" t="s">
        <v>3183</v>
      </c>
      <c r="B2248" s="83">
        <v>45926</v>
      </c>
      <c r="C2248" s="82" t="s">
        <v>3395</v>
      </c>
      <c r="D2248" s="82" t="s">
        <v>643</v>
      </c>
      <c r="E2248" s="82"/>
      <c r="F2248" s="82" t="s">
        <v>4418</v>
      </c>
      <c r="G2248" s="89">
        <v>2</v>
      </c>
      <c r="H2248" s="89">
        <v>1547.08</v>
      </c>
      <c r="I2248" s="85">
        <v>0</v>
      </c>
      <c r="J2248" s="85">
        <v>0</v>
      </c>
      <c r="K2248" s="85">
        <v>3094.16</v>
      </c>
      <c r="L2248" s="85">
        <v>13347.42</v>
      </c>
      <c r="M2248" s="89">
        <v>2159.2606136058484</v>
      </c>
      <c r="N2248" s="85">
        <v>0</v>
      </c>
      <c r="O2248" s="85">
        <v>0</v>
      </c>
      <c r="P2248" s="85">
        <v>4318.5212272116969</v>
      </c>
      <c r="Q2248" s="85">
        <v>18629.003218485777</v>
      </c>
      <c r="R2248" s="82" t="s">
        <v>3399</v>
      </c>
      <c r="S2248" s="7">
        <f t="shared" si="106"/>
        <v>0</v>
      </c>
      <c r="T2248" s="6">
        <f t="shared" si="107"/>
        <v>0</v>
      </c>
      <c r="U2248" s="25">
        <f t="shared" si="105"/>
        <v>0</v>
      </c>
    </row>
    <row r="2249" spans="1:21" ht="10.9" customHeight="1" x14ac:dyDescent="0.2">
      <c r="A2249" s="82" t="s">
        <v>3183</v>
      </c>
      <c r="B2249" s="83">
        <v>45926</v>
      </c>
      <c r="C2249" s="82" t="s">
        <v>3395</v>
      </c>
      <c r="D2249" s="82" t="s">
        <v>643</v>
      </c>
      <c r="E2249" s="82"/>
      <c r="F2249" s="82" t="s">
        <v>4415</v>
      </c>
      <c r="G2249" s="89">
        <v>2</v>
      </c>
      <c r="H2249" s="89">
        <v>1624.95</v>
      </c>
      <c r="I2249" s="85">
        <v>0</v>
      </c>
      <c r="J2249" s="85">
        <v>0</v>
      </c>
      <c r="K2249" s="85">
        <v>3249.9</v>
      </c>
      <c r="L2249" s="85">
        <v>13347.42</v>
      </c>
      <c r="M2249" s="89">
        <v>2267.9438258388859</v>
      </c>
      <c r="N2249" s="85">
        <v>0</v>
      </c>
      <c r="O2249" s="85">
        <v>0</v>
      </c>
      <c r="P2249" s="85">
        <v>4535.8876516777718</v>
      </c>
      <c r="Q2249" s="85">
        <v>18629.003218485777</v>
      </c>
      <c r="R2249" s="82" t="s">
        <v>3399</v>
      </c>
      <c r="S2249" s="7">
        <f t="shared" si="106"/>
        <v>0</v>
      </c>
      <c r="T2249" s="6">
        <f t="shared" si="107"/>
        <v>0</v>
      </c>
      <c r="U2249" s="25">
        <f t="shared" si="105"/>
        <v>0</v>
      </c>
    </row>
    <row r="2250" spans="1:21" ht="10.9" customHeight="1" x14ac:dyDescent="0.2">
      <c r="A2250" s="82" t="s">
        <v>3183</v>
      </c>
      <c r="B2250" s="83">
        <v>45926</v>
      </c>
      <c r="C2250" s="82" t="s">
        <v>3395</v>
      </c>
      <c r="D2250" s="82" t="s">
        <v>643</v>
      </c>
      <c r="E2250" s="82"/>
      <c r="F2250" s="82" t="s">
        <v>4393</v>
      </c>
      <c r="G2250" s="89">
        <v>1</v>
      </c>
      <c r="H2250" s="89">
        <v>794</v>
      </c>
      <c r="I2250" s="85">
        <v>0</v>
      </c>
      <c r="J2250" s="85">
        <v>0</v>
      </c>
      <c r="K2250" s="85">
        <v>794</v>
      </c>
      <c r="L2250" s="85">
        <v>13347.42</v>
      </c>
      <c r="M2250" s="89">
        <v>1108.1863427896708</v>
      </c>
      <c r="N2250" s="85">
        <v>0</v>
      </c>
      <c r="O2250" s="85">
        <v>0</v>
      </c>
      <c r="P2250" s="85">
        <v>1108.1863427896708</v>
      </c>
      <c r="Q2250" s="85">
        <v>18629.003218485777</v>
      </c>
      <c r="R2250" s="82" t="s">
        <v>3399</v>
      </c>
      <c r="S2250" s="7" t="str">
        <f t="shared" si="106"/>
        <v>INV13446</v>
      </c>
      <c r="T2250" s="6">
        <f t="shared" si="107"/>
        <v>1</v>
      </c>
      <c r="U2250" s="25">
        <f t="shared" si="105"/>
        <v>794</v>
      </c>
    </row>
    <row r="2251" spans="1:21" ht="10.9" customHeight="1" x14ac:dyDescent="0.2">
      <c r="A2251" s="82" t="s">
        <v>3177</v>
      </c>
      <c r="B2251" s="83">
        <v>45926</v>
      </c>
      <c r="C2251" s="82" t="s">
        <v>3395</v>
      </c>
      <c r="D2251" s="82" t="s">
        <v>656</v>
      </c>
      <c r="E2251" s="82"/>
      <c r="F2251" s="82" t="s">
        <v>4807</v>
      </c>
      <c r="G2251" s="89">
        <v>1</v>
      </c>
      <c r="H2251" s="89">
        <v>5343.36</v>
      </c>
      <c r="I2251" s="85">
        <v>0</v>
      </c>
      <c r="J2251" s="85">
        <v>267.17</v>
      </c>
      <c r="K2251" s="85">
        <v>5610.53</v>
      </c>
      <c r="L2251" s="85">
        <v>5610.53</v>
      </c>
      <c r="M2251" s="89">
        <v>5343.36</v>
      </c>
      <c r="N2251" s="85">
        <v>0</v>
      </c>
      <c r="O2251" s="85">
        <v>267.17</v>
      </c>
      <c r="P2251" s="85">
        <v>5610.53</v>
      </c>
      <c r="Q2251" s="85">
        <v>5610.53</v>
      </c>
      <c r="R2251" s="82" t="s">
        <v>3399</v>
      </c>
      <c r="S2251" s="7">
        <f t="shared" si="106"/>
        <v>0</v>
      </c>
      <c r="T2251" s="6">
        <f t="shared" si="107"/>
        <v>0</v>
      </c>
      <c r="U2251" s="25">
        <f t="shared" si="105"/>
        <v>0</v>
      </c>
    </row>
    <row r="2252" spans="1:21" ht="10.9" customHeight="1" x14ac:dyDescent="0.2">
      <c r="A2252" s="82" t="s">
        <v>3217</v>
      </c>
      <c r="B2252" s="83">
        <v>45926</v>
      </c>
      <c r="C2252" s="82" t="s">
        <v>3395</v>
      </c>
      <c r="D2252" s="82" t="s">
        <v>569</v>
      </c>
      <c r="E2252" s="82"/>
      <c r="F2252" s="82" t="s">
        <v>4676</v>
      </c>
      <c r="G2252" s="89">
        <v>2</v>
      </c>
      <c r="H2252" s="89">
        <v>1217.18</v>
      </c>
      <c r="I2252" s="85">
        <v>0</v>
      </c>
      <c r="J2252" s="85">
        <v>121.72</v>
      </c>
      <c r="K2252" s="85">
        <v>2556.08</v>
      </c>
      <c r="L2252" s="85">
        <v>12298.19</v>
      </c>
      <c r="M2252" s="89">
        <v>1217.18</v>
      </c>
      <c r="N2252" s="85">
        <v>0</v>
      </c>
      <c r="O2252" s="85">
        <v>121.72</v>
      </c>
      <c r="P2252" s="85">
        <v>2556.08</v>
      </c>
      <c r="Q2252" s="85">
        <v>12298.19</v>
      </c>
      <c r="R2252" s="82" t="s">
        <v>3399</v>
      </c>
      <c r="S2252" s="7">
        <f t="shared" si="106"/>
        <v>0</v>
      </c>
      <c r="T2252" s="6">
        <f t="shared" si="107"/>
        <v>0</v>
      </c>
      <c r="U2252" s="25">
        <f t="shared" si="105"/>
        <v>0</v>
      </c>
    </row>
    <row r="2253" spans="1:21" ht="10.9" customHeight="1" x14ac:dyDescent="0.2">
      <c r="A2253" s="82" t="s">
        <v>3217</v>
      </c>
      <c r="B2253" s="83">
        <v>45926</v>
      </c>
      <c r="C2253" s="82" t="s">
        <v>3395</v>
      </c>
      <c r="D2253" s="82" t="s">
        <v>569</v>
      </c>
      <c r="E2253" s="82"/>
      <c r="F2253" s="82" t="s">
        <v>4425</v>
      </c>
      <c r="G2253" s="89">
        <v>2</v>
      </c>
      <c r="H2253" s="89">
        <v>1149.06</v>
      </c>
      <c r="I2253" s="85">
        <v>0</v>
      </c>
      <c r="J2253" s="85">
        <v>114.91</v>
      </c>
      <c r="K2253" s="85">
        <v>2413.0300000000002</v>
      </c>
      <c r="L2253" s="85">
        <v>12298.19</v>
      </c>
      <c r="M2253" s="89">
        <v>1149.06</v>
      </c>
      <c r="N2253" s="85">
        <v>0</v>
      </c>
      <c r="O2253" s="85">
        <v>114.91</v>
      </c>
      <c r="P2253" s="85">
        <v>2413.0300000000002</v>
      </c>
      <c r="Q2253" s="85">
        <v>12298.19</v>
      </c>
      <c r="R2253" s="82" t="s">
        <v>3399</v>
      </c>
      <c r="S2253" s="7">
        <f t="shared" si="106"/>
        <v>0</v>
      </c>
      <c r="T2253" s="6">
        <f t="shared" si="107"/>
        <v>0</v>
      </c>
      <c r="U2253" s="25">
        <f t="shared" si="105"/>
        <v>0</v>
      </c>
    </row>
    <row r="2254" spans="1:21" ht="10.9" customHeight="1" x14ac:dyDescent="0.2">
      <c r="A2254" s="82" t="s">
        <v>3217</v>
      </c>
      <c r="B2254" s="83">
        <v>45926</v>
      </c>
      <c r="C2254" s="82" t="s">
        <v>3395</v>
      </c>
      <c r="D2254" s="82" t="s">
        <v>569</v>
      </c>
      <c r="E2254" s="82"/>
      <c r="F2254" s="82" t="s">
        <v>4806</v>
      </c>
      <c r="G2254" s="89">
        <v>2</v>
      </c>
      <c r="H2254" s="89">
        <v>40</v>
      </c>
      <c r="I2254" s="85">
        <v>80</v>
      </c>
      <c r="J2254" s="85">
        <v>0</v>
      </c>
      <c r="K2254" s="85">
        <v>0</v>
      </c>
      <c r="L2254" s="85">
        <v>12298.19</v>
      </c>
      <c r="M2254" s="89">
        <v>40</v>
      </c>
      <c r="N2254" s="85">
        <v>80</v>
      </c>
      <c r="O2254" s="85">
        <v>0</v>
      </c>
      <c r="P2254" s="85">
        <v>0</v>
      </c>
      <c r="Q2254" s="85">
        <v>12298.19</v>
      </c>
      <c r="R2254" s="82" t="s">
        <v>3399</v>
      </c>
      <c r="S2254" s="7">
        <f t="shared" si="106"/>
        <v>0</v>
      </c>
      <c r="T2254" s="6">
        <f t="shared" si="107"/>
        <v>0</v>
      </c>
      <c r="U2254" s="25">
        <f t="shared" si="105"/>
        <v>0</v>
      </c>
    </row>
    <row r="2255" spans="1:21" ht="10.9" customHeight="1" x14ac:dyDescent="0.2">
      <c r="A2255" s="82" t="s">
        <v>3217</v>
      </c>
      <c r="B2255" s="83">
        <v>45926</v>
      </c>
      <c r="C2255" s="82" t="s">
        <v>3395</v>
      </c>
      <c r="D2255" s="82" t="s">
        <v>569</v>
      </c>
      <c r="E2255" s="82"/>
      <c r="F2255" s="82" t="s">
        <v>4424</v>
      </c>
      <c r="G2255" s="89">
        <v>2</v>
      </c>
      <c r="H2255" s="89">
        <v>1233.2</v>
      </c>
      <c r="I2255" s="85">
        <v>0</v>
      </c>
      <c r="J2255" s="85">
        <v>123.32</v>
      </c>
      <c r="K2255" s="85">
        <v>2589.7199999999998</v>
      </c>
      <c r="L2255" s="85">
        <v>12298.19</v>
      </c>
      <c r="M2255" s="89">
        <v>1233.2</v>
      </c>
      <c r="N2255" s="85">
        <v>0</v>
      </c>
      <c r="O2255" s="85">
        <v>123.32</v>
      </c>
      <c r="P2255" s="85">
        <v>2589.7199999999998</v>
      </c>
      <c r="Q2255" s="85">
        <v>12298.19</v>
      </c>
      <c r="R2255" s="82" t="s">
        <v>3399</v>
      </c>
      <c r="S2255" s="7">
        <f t="shared" si="106"/>
        <v>0</v>
      </c>
      <c r="T2255" s="6">
        <f t="shared" si="107"/>
        <v>0</v>
      </c>
      <c r="U2255" s="25">
        <f t="shared" si="105"/>
        <v>0</v>
      </c>
    </row>
    <row r="2256" spans="1:21" ht="10.9" customHeight="1" x14ac:dyDescent="0.2">
      <c r="A2256" s="82" t="s">
        <v>3217</v>
      </c>
      <c r="B2256" s="83">
        <v>45926</v>
      </c>
      <c r="C2256" s="82" t="s">
        <v>3395</v>
      </c>
      <c r="D2256" s="82" t="s">
        <v>569</v>
      </c>
      <c r="E2256" s="82"/>
      <c r="F2256" s="82" t="s">
        <v>4805</v>
      </c>
      <c r="G2256" s="89">
        <v>2</v>
      </c>
      <c r="H2256" s="89">
        <v>29.85</v>
      </c>
      <c r="I2256" s="85">
        <v>59.7</v>
      </c>
      <c r="J2256" s="85">
        <v>0</v>
      </c>
      <c r="K2256" s="85">
        <v>0</v>
      </c>
      <c r="L2256" s="85">
        <v>12298.19</v>
      </c>
      <c r="M2256" s="89">
        <v>29.85</v>
      </c>
      <c r="N2256" s="85">
        <v>59.7</v>
      </c>
      <c r="O2256" s="85">
        <v>0</v>
      </c>
      <c r="P2256" s="85">
        <v>0</v>
      </c>
      <c r="Q2256" s="85">
        <v>12298.19</v>
      </c>
      <c r="R2256" s="82" t="s">
        <v>3399</v>
      </c>
      <c r="S2256" s="7">
        <f t="shared" si="106"/>
        <v>0</v>
      </c>
      <c r="T2256" s="6">
        <f t="shared" si="107"/>
        <v>0</v>
      </c>
      <c r="U2256" s="25">
        <f t="shared" si="105"/>
        <v>0</v>
      </c>
    </row>
    <row r="2257" spans="1:21" ht="10.9" customHeight="1" x14ac:dyDescent="0.2">
      <c r="A2257" s="82" t="s">
        <v>3217</v>
      </c>
      <c r="B2257" s="83">
        <v>45926</v>
      </c>
      <c r="C2257" s="82" t="s">
        <v>3395</v>
      </c>
      <c r="D2257" s="82" t="s">
        <v>569</v>
      </c>
      <c r="E2257" s="82"/>
      <c r="F2257" s="82" t="s">
        <v>4736</v>
      </c>
      <c r="G2257" s="89">
        <v>1</v>
      </c>
      <c r="H2257" s="89">
        <v>383.15</v>
      </c>
      <c r="I2257" s="85">
        <v>0</v>
      </c>
      <c r="J2257" s="85">
        <v>19.16</v>
      </c>
      <c r="K2257" s="85">
        <v>402.31</v>
      </c>
      <c r="L2257" s="85">
        <v>12298.19</v>
      </c>
      <c r="M2257" s="89">
        <v>383.15</v>
      </c>
      <c r="N2257" s="85">
        <v>0</v>
      </c>
      <c r="O2257" s="85">
        <v>19.16</v>
      </c>
      <c r="P2257" s="85">
        <v>402.31</v>
      </c>
      <c r="Q2257" s="85">
        <v>12298.19</v>
      </c>
      <c r="R2257" s="82" t="s">
        <v>3399</v>
      </c>
      <c r="S2257" s="7">
        <f t="shared" si="106"/>
        <v>0</v>
      </c>
      <c r="T2257" s="6">
        <f t="shared" si="107"/>
        <v>0</v>
      </c>
      <c r="U2257" s="25">
        <f t="shared" si="105"/>
        <v>0</v>
      </c>
    </row>
    <row r="2258" spans="1:21" ht="10.9" customHeight="1" x14ac:dyDescent="0.2">
      <c r="A2258" s="82" t="s">
        <v>3217</v>
      </c>
      <c r="B2258" s="83">
        <v>45926</v>
      </c>
      <c r="C2258" s="82" t="s">
        <v>3395</v>
      </c>
      <c r="D2258" s="82" t="s">
        <v>569</v>
      </c>
      <c r="E2258" s="82"/>
      <c r="F2258" s="82" t="s">
        <v>4752</v>
      </c>
      <c r="G2258" s="89">
        <v>2</v>
      </c>
      <c r="H2258" s="89">
        <v>884.56</v>
      </c>
      <c r="I2258" s="85">
        <v>0</v>
      </c>
      <c r="J2258" s="85">
        <v>88.46</v>
      </c>
      <c r="K2258" s="85">
        <v>1857.58</v>
      </c>
      <c r="L2258" s="85">
        <v>12298.19</v>
      </c>
      <c r="M2258" s="89">
        <v>884.56</v>
      </c>
      <c r="N2258" s="85">
        <v>0</v>
      </c>
      <c r="O2258" s="85">
        <v>88.46</v>
      </c>
      <c r="P2258" s="85">
        <v>1857.58</v>
      </c>
      <c r="Q2258" s="85">
        <v>12298.19</v>
      </c>
      <c r="R2258" s="82" t="s">
        <v>3399</v>
      </c>
      <c r="S2258" s="7">
        <f t="shared" si="106"/>
        <v>0</v>
      </c>
      <c r="T2258" s="6">
        <f t="shared" si="107"/>
        <v>0</v>
      </c>
      <c r="U2258" s="25">
        <f t="shared" si="105"/>
        <v>0</v>
      </c>
    </row>
    <row r="2259" spans="1:21" ht="10.9" customHeight="1" x14ac:dyDescent="0.2">
      <c r="A2259" s="82" t="s">
        <v>3217</v>
      </c>
      <c r="B2259" s="83">
        <v>45926</v>
      </c>
      <c r="C2259" s="82" t="s">
        <v>3395</v>
      </c>
      <c r="D2259" s="82" t="s">
        <v>569</v>
      </c>
      <c r="E2259" s="82"/>
      <c r="F2259" s="82" t="s">
        <v>4685</v>
      </c>
      <c r="G2259" s="89">
        <v>2</v>
      </c>
      <c r="H2259" s="89">
        <v>1180.7</v>
      </c>
      <c r="I2259" s="85">
        <v>0</v>
      </c>
      <c r="J2259" s="85">
        <v>118.07</v>
      </c>
      <c r="K2259" s="85">
        <v>2479.4699999999998</v>
      </c>
      <c r="L2259" s="85">
        <v>12298.19</v>
      </c>
      <c r="M2259" s="89">
        <v>1180.7</v>
      </c>
      <c r="N2259" s="85">
        <v>0</v>
      </c>
      <c r="O2259" s="85">
        <v>118.07</v>
      </c>
      <c r="P2259" s="85">
        <v>2479.4699999999998</v>
      </c>
      <c r="Q2259" s="85">
        <v>12298.19</v>
      </c>
      <c r="R2259" s="82" t="s">
        <v>3399</v>
      </c>
      <c r="S2259" s="7">
        <f t="shared" si="106"/>
        <v>0</v>
      </c>
      <c r="T2259" s="6">
        <f t="shared" si="107"/>
        <v>0</v>
      </c>
      <c r="U2259" s="25">
        <f t="shared" si="105"/>
        <v>0</v>
      </c>
    </row>
    <row r="2260" spans="1:21" ht="10.9" customHeight="1" x14ac:dyDescent="0.2">
      <c r="A2260" s="82" t="s">
        <v>3226</v>
      </c>
      <c r="B2260" s="83">
        <v>45926</v>
      </c>
      <c r="C2260" s="82" t="s">
        <v>3395</v>
      </c>
      <c r="D2260" s="82" t="s">
        <v>551</v>
      </c>
      <c r="E2260" s="82"/>
      <c r="F2260" s="82" t="s">
        <v>4676</v>
      </c>
      <c r="G2260" s="89">
        <v>3</v>
      </c>
      <c r="H2260" s="89">
        <v>1217.18</v>
      </c>
      <c r="I2260" s="85">
        <v>0</v>
      </c>
      <c r="J2260" s="85">
        <v>182.58</v>
      </c>
      <c r="K2260" s="85">
        <v>3834.12</v>
      </c>
      <c r="L2260" s="85">
        <v>7702.15</v>
      </c>
      <c r="M2260" s="89">
        <v>1217.18</v>
      </c>
      <c r="N2260" s="85">
        <v>0</v>
      </c>
      <c r="O2260" s="85">
        <v>182.58</v>
      </c>
      <c r="P2260" s="85">
        <v>3834.12</v>
      </c>
      <c r="Q2260" s="85">
        <v>7702.15</v>
      </c>
      <c r="R2260" s="82" t="s">
        <v>3399</v>
      </c>
      <c r="S2260" s="7">
        <f t="shared" si="106"/>
        <v>0</v>
      </c>
      <c r="T2260" s="6">
        <f t="shared" si="107"/>
        <v>0</v>
      </c>
      <c r="U2260" s="25">
        <f t="shared" si="105"/>
        <v>0</v>
      </c>
    </row>
    <row r="2261" spans="1:21" ht="10.9" customHeight="1" x14ac:dyDescent="0.2">
      <c r="A2261" s="82" t="s">
        <v>3226</v>
      </c>
      <c r="B2261" s="83">
        <v>45926</v>
      </c>
      <c r="C2261" s="82" t="s">
        <v>3395</v>
      </c>
      <c r="D2261" s="82" t="s">
        <v>551</v>
      </c>
      <c r="E2261" s="82"/>
      <c r="F2261" s="82" t="s">
        <v>4425</v>
      </c>
      <c r="G2261" s="89">
        <v>1</v>
      </c>
      <c r="H2261" s="89">
        <v>1149.06</v>
      </c>
      <c r="I2261" s="85">
        <v>0</v>
      </c>
      <c r="J2261" s="85">
        <v>57.45</v>
      </c>
      <c r="K2261" s="85">
        <v>1206.51</v>
      </c>
      <c r="L2261" s="85">
        <v>7702.15</v>
      </c>
      <c r="M2261" s="89">
        <v>1149.06</v>
      </c>
      <c r="N2261" s="85">
        <v>0</v>
      </c>
      <c r="O2261" s="85">
        <v>57.45</v>
      </c>
      <c r="P2261" s="85">
        <v>1206.51</v>
      </c>
      <c r="Q2261" s="85">
        <v>7702.15</v>
      </c>
      <c r="R2261" s="82" t="s">
        <v>3399</v>
      </c>
      <c r="S2261" s="7">
        <f t="shared" si="106"/>
        <v>0</v>
      </c>
      <c r="T2261" s="6">
        <f t="shared" si="107"/>
        <v>0</v>
      </c>
      <c r="U2261" s="25">
        <f t="shared" si="105"/>
        <v>0</v>
      </c>
    </row>
    <row r="2262" spans="1:21" ht="10.9" customHeight="1" x14ac:dyDescent="0.2">
      <c r="A2262" s="82" t="s">
        <v>3226</v>
      </c>
      <c r="B2262" s="83">
        <v>45926</v>
      </c>
      <c r="C2262" s="82" t="s">
        <v>3395</v>
      </c>
      <c r="D2262" s="82" t="s">
        <v>551</v>
      </c>
      <c r="E2262" s="82"/>
      <c r="F2262" s="82" t="s">
        <v>4424</v>
      </c>
      <c r="G2262" s="89">
        <v>1</v>
      </c>
      <c r="H2262" s="89">
        <v>1233.2</v>
      </c>
      <c r="I2262" s="85">
        <v>0</v>
      </c>
      <c r="J2262" s="85">
        <v>61.66</v>
      </c>
      <c r="K2262" s="85">
        <v>1294.8599999999999</v>
      </c>
      <c r="L2262" s="85">
        <v>7702.15</v>
      </c>
      <c r="M2262" s="89">
        <v>1233.2</v>
      </c>
      <c r="N2262" s="85">
        <v>0</v>
      </c>
      <c r="O2262" s="85">
        <v>61.66</v>
      </c>
      <c r="P2262" s="85">
        <v>1294.8599999999999</v>
      </c>
      <c r="Q2262" s="85">
        <v>7702.15</v>
      </c>
      <c r="R2262" s="82" t="s">
        <v>3399</v>
      </c>
      <c r="S2262" s="7">
        <f t="shared" si="106"/>
        <v>0</v>
      </c>
      <c r="T2262" s="6">
        <f t="shared" si="107"/>
        <v>0</v>
      </c>
      <c r="U2262" s="25">
        <f t="shared" si="105"/>
        <v>0</v>
      </c>
    </row>
    <row r="2263" spans="1:21" ht="10.9" customHeight="1" x14ac:dyDescent="0.2">
      <c r="A2263" s="82" t="s">
        <v>3226</v>
      </c>
      <c r="B2263" s="83">
        <v>45926</v>
      </c>
      <c r="C2263" s="82" t="s">
        <v>3395</v>
      </c>
      <c r="D2263" s="82" t="s">
        <v>551</v>
      </c>
      <c r="E2263" s="82"/>
      <c r="F2263" s="82" t="s">
        <v>4736</v>
      </c>
      <c r="G2263" s="89">
        <v>3</v>
      </c>
      <c r="H2263" s="89">
        <v>383.15</v>
      </c>
      <c r="I2263" s="85">
        <v>0</v>
      </c>
      <c r="J2263" s="85">
        <v>57.47</v>
      </c>
      <c r="K2263" s="85">
        <v>1206.92</v>
      </c>
      <c r="L2263" s="85">
        <v>7702.15</v>
      </c>
      <c r="M2263" s="89">
        <v>383.15</v>
      </c>
      <c r="N2263" s="85">
        <v>0</v>
      </c>
      <c r="O2263" s="85">
        <v>57.47</v>
      </c>
      <c r="P2263" s="85">
        <v>1206.92</v>
      </c>
      <c r="Q2263" s="85">
        <v>7702.15</v>
      </c>
      <c r="R2263" s="82" t="s">
        <v>3399</v>
      </c>
      <c r="S2263" s="7">
        <f t="shared" si="106"/>
        <v>0</v>
      </c>
      <c r="T2263" s="6">
        <f t="shared" si="107"/>
        <v>0</v>
      </c>
      <c r="U2263" s="25">
        <f t="shared" si="105"/>
        <v>0</v>
      </c>
    </row>
    <row r="2264" spans="1:21" ht="10.9" customHeight="1" x14ac:dyDescent="0.2">
      <c r="A2264" s="82" t="s">
        <v>3226</v>
      </c>
      <c r="B2264" s="83">
        <v>45926</v>
      </c>
      <c r="C2264" s="82" t="s">
        <v>3395</v>
      </c>
      <c r="D2264" s="82" t="s">
        <v>551</v>
      </c>
      <c r="E2264" s="82"/>
      <c r="F2264" s="82" t="s">
        <v>4686</v>
      </c>
      <c r="G2264" s="89">
        <v>1</v>
      </c>
      <c r="H2264" s="89">
        <v>152.13</v>
      </c>
      <c r="I2264" s="85">
        <v>0</v>
      </c>
      <c r="J2264" s="85">
        <v>7.61</v>
      </c>
      <c r="K2264" s="85">
        <v>159.74</v>
      </c>
      <c r="L2264" s="85">
        <v>7702.15</v>
      </c>
      <c r="M2264" s="89">
        <v>152.13</v>
      </c>
      <c r="N2264" s="85">
        <v>0</v>
      </c>
      <c r="O2264" s="85">
        <v>7.61</v>
      </c>
      <c r="P2264" s="85">
        <v>159.74</v>
      </c>
      <c r="Q2264" s="85">
        <v>7702.15</v>
      </c>
      <c r="R2264" s="82" t="s">
        <v>3399</v>
      </c>
      <c r="S2264" s="7">
        <f t="shared" si="106"/>
        <v>0</v>
      </c>
      <c r="T2264" s="6">
        <f t="shared" si="107"/>
        <v>0</v>
      </c>
      <c r="U2264" s="25">
        <f t="shared" si="105"/>
        <v>0</v>
      </c>
    </row>
    <row r="2265" spans="1:21" ht="10.9" customHeight="1" x14ac:dyDescent="0.2">
      <c r="A2265" s="82" t="s">
        <v>3443</v>
      </c>
      <c r="B2265" s="83">
        <v>45929</v>
      </c>
      <c r="C2265" s="82" t="s">
        <v>3395</v>
      </c>
      <c r="D2265" s="82" t="s">
        <v>3441</v>
      </c>
      <c r="E2265" s="82"/>
      <c r="F2265" s="82" t="s">
        <v>4798</v>
      </c>
      <c r="G2265" s="89">
        <v>1</v>
      </c>
      <c r="H2265" s="89">
        <v>66765</v>
      </c>
      <c r="I2265" s="85">
        <v>0</v>
      </c>
      <c r="J2265" s="85">
        <v>0</v>
      </c>
      <c r="K2265" s="85">
        <v>66765</v>
      </c>
      <c r="L2265" s="85">
        <v>66765</v>
      </c>
      <c r="M2265" s="89">
        <v>92894.182860943256</v>
      </c>
      <c r="N2265" s="85">
        <v>0</v>
      </c>
      <c r="O2265" s="85">
        <v>0</v>
      </c>
      <c r="P2265" s="85">
        <v>92894.182860943256</v>
      </c>
      <c r="Q2265" s="85">
        <v>92894.182860943256</v>
      </c>
      <c r="R2265" s="82" t="s">
        <v>3399</v>
      </c>
      <c r="S2265" s="7">
        <f t="shared" si="106"/>
        <v>0</v>
      </c>
      <c r="T2265" s="6">
        <f t="shared" si="107"/>
        <v>0</v>
      </c>
      <c r="U2265" s="25">
        <f t="shared" si="105"/>
        <v>0</v>
      </c>
    </row>
    <row r="2266" spans="1:21" ht="10.9" customHeight="1" x14ac:dyDescent="0.2">
      <c r="A2266" s="82" t="s">
        <v>2990</v>
      </c>
      <c r="B2266" s="83">
        <v>45929</v>
      </c>
      <c r="C2266" s="82" t="s">
        <v>3395</v>
      </c>
      <c r="D2266" s="82" t="s">
        <v>1012</v>
      </c>
      <c r="E2266" s="82"/>
      <c r="F2266" s="82" t="s">
        <v>4804</v>
      </c>
      <c r="G2266" s="89">
        <v>1</v>
      </c>
      <c r="H2266" s="89">
        <v>498.89</v>
      </c>
      <c r="I2266" s="85">
        <v>0</v>
      </c>
      <c r="J2266" s="85">
        <v>0</v>
      </c>
      <c r="K2266" s="85">
        <v>498.89</v>
      </c>
      <c r="L2266" s="85">
        <v>1411.18</v>
      </c>
      <c r="M2266" s="89">
        <v>694.18509190588168</v>
      </c>
      <c r="N2266" s="85">
        <v>0</v>
      </c>
      <c r="O2266" s="85">
        <v>0</v>
      </c>
      <c r="P2266" s="85">
        <v>694.18509190588168</v>
      </c>
      <c r="Q2266" s="85">
        <v>1963.5994267188</v>
      </c>
      <c r="R2266" s="82" t="s">
        <v>3399</v>
      </c>
      <c r="S2266" s="7">
        <f t="shared" si="106"/>
        <v>0</v>
      </c>
      <c r="T2266" s="6">
        <f t="shared" si="107"/>
        <v>0</v>
      </c>
      <c r="U2266" s="25">
        <f t="shared" si="105"/>
        <v>0</v>
      </c>
    </row>
    <row r="2267" spans="1:21" ht="10.9" customHeight="1" x14ac:dyDescent="0.2">
      <c r="A2267" s="82" t="s">
        <v>2990</v>
      </c>
      <c r="B2267" s="83">
        <v>45929</v>
      </c>
      <c r="C2267" s="82" t="s">
        <v>3395</v>
      </c>
      <c r="D2267" s="82" t="s">
        <v>1012</v>
      </c>
      <c r="E2267" s="82"/>
      <c r="F2267" s="82" t="s">
        <v>4803</v>
      </c>
      <c r="G2267" s="89">
        <v>1</v>
      </c>
      <c r="H2267" s="89">
        <v>234.98</v>
      </c>
      <c r="I2267" s="85">
        <v>0</v>
      </c>
      <c r="J2267" s="85">
        <v>0</v>
      </c>
      <c r="K2267" s="85">
        <v>234.98</v>
      </c>
      <c r="L2267" s="85">
        <v>1411.18</v>
      </c>
      <c r="M2267" s="89">
        <v>326.96508828808771</v>
      </c>
      <c r="N2267" s="85">
        <v>0</v>
      </c>
      <c r="O2267" s="85">
        <v>0</v>
      </c>
      <c r="P2267" s="85">
        <v>326.96508828808771</v>
      </c>
      <c r="Q2267" s="85">
        <v>1963.5994267188</v>
      </c>
      <c r="R2267" s="82" t="s">
        <v>3399</v>
      </c>
      <c r="S2267" s="7">
        <f t="shared" si="106"/>
        <v>0</v>
      </c>
      <c r="T2267" s="6">
        <f t="shared" si="107"/>
        <v>0</v>
      </c>
      <c r="U2267" s="25">
        <f t="shared" si="105"/>
        <v>0</v>
      </c>
    </row>
    <row r="2268" spans="1:21" ht="10.9" customHeight="1" x14ac:dyDescent="0.2">
      <c r="A2268" s="82" t="s">
        <v>2990</v>
      </c>
      <c r="B2268" s="83">
        <v>45929</v>
      </c>
      <c r="C2268" s="82" t="s">
        <v>3395</v>
      </c>
      <c r="D2268" s="82" t="s">
        <v>1012</v>
      </c>
      <c r="E2268" s="82"/>
      <c r="F2268" s="82" t="s">
        <v>4802</v>
      </c>
      <c r="G2268" s="89">
        <v>1</v>
      </c>
      <c r="H2268" s="89">
        <v>35.94</v>
      </c>
      <c r="I2268" s="85">
        <v>0</v>
      </c>
      <c r="J2268" s="85">
        <v>0</v>
      </c>
      <c r="K2268" s="85">
        <v>35.94</v>
      </c>
      <c r="L2268" s="85">
        <v>1411.18</v>
      </c>
      <c r="M2268" s="89">
        <v>50.009044484951367</v>
      </c>
      <c r="N2268" s="85">
        <v>0</v>
      </c>
      <c r="O2268" s="85">
        <v>0</v>
      </c>
      <c r="P2268" s="85">
        <v>50.009044484951367</v>
      </c>
      <c r="Q2268" s="85">
        <v>1963.5994267188</v>
      </c>
      <c r="R2268" s="82" t="s">
        <v>3399</v>
      </c>
      <c r="S2268" s="7">
        <f t="shared" si="106"/>
        <v>0</v>
      </c>
      <c r="T2268" s="6">
        <f t="shared" si="107"/>
        <v>0</v>
      </c>
      <c r="U2268" s="25">
        <f t="shared" si="105"/>
        <v>0</v>
      </c>
    </row>
    <row r="2269" spans="1:21" ht="10.9" customHeight="1" x14ac:dyDescent="0.2">
      <c r="A2269" s="82" t="s">
        <v>2990</v>
      </c>
      <c r="B2269" s="83">
        <v>45929</v>
      </c>
      <c r="C2269" s="82" t="s">
        <v>3395</v>
      </c>
      <c r="D2269" s="82" t="s">
        <v>1012</v>
      </c>
      <c r="E2269" s="82"/>
      <c r="F2269" s="82" t="s">
        <v>4801</v>
      </c>
      <c r="G2269" s="89">
        <v>1</v>
      </c>
      <c r="H2269" s="89">
        <v>25.97</v>
      </c>
      <c r="I2269" s="85">
        <v>0</v>
      </c>
      <c r="J2269" s="85">
        <v>0</v>
      </c>
      <c r="K2269" s="85">
        <v>25.97</v>
      </c>
      <c r="L2269" s="85">
        <v>1411.18</v>
      </c>
      <c r="M2269" s="89">
        <v>36.13619602877538</v>
      </c>
      <c r="N2269" s="85">
        <v>0</v>
      </c>
      <c r="O2269" s="85">
        <v>0</v>
      </c>
      <c r="P2269" s="85">
        <v>36.13619602877538</v>
      </c>
      <c r="Q2269" s="85">
        <v>1963.5994267188</v>
      </c>
      <c r="R2269" s="82" t="s">
        <v>3399</v>
      </c>
      <c r="S2269" s="7">
        <f t="shared" si="106"/>
        <v>0</v>
      </c>
      <c r="T2269" s="6">
        <f t="shared" si="107"/>
        <v>0</v>
      </c>
      <c r="U2269" s="25">
        <f t="shared" si="105"/>
        <v>0</v>
      </c>
    </row>
    <row r="2270" spans="1:21" ht="10.9" customHeight="1" x14ac:dyDescent="0.2">
      <c r="A2270" s="82" t="s">
        <v>2990</v>
      </c>
      <c r="B2270" s="83">
        <v>45929</v>
      </c>
      <c r="C2270" s="82" t="s">
        <v>3395</v>
      </c>
      <c r="D2270" s="82" t="s">
        <v>1012</v>
      </c>
      <c r="E2270" s="82"/>
      <c r="F2270" s="82" t="s">
        <v>4800</v>
      </c>
      <c r="G2270" s="89">
        <v>11</v>
      </c>
      <c r="H2270" s="89">
        <v>36.200000000000003</v>
      </c>
      <c r="I2270" s="85">
        <v>0</v>
      </c>
      <c r="J2270" s="85">
        <v>0</v>
      </c>
      <c r="K2270" s="85">
        <v>398.2</v>
      </c>
      <c r="L2270" s="85">
        <v>1411.18</v>
      </c>
      <c r="M2270" s="89">
        <v>50.370823883006111</v>
      </c>
      <c r="N2270" s="85">
        <v>0</v>
      </c>
      <c r="O2270" s="85">
        <v>0</v>
      </c>
      <c r="P2270" s="85">
        <v>554.07906271306717</v>
      </c>
      <c r="Q2270" s="85">
        <v>1963.5994267188</v>
      </c>
      <c r="R2270" s="82" t="s">
        <v>3399</v>
      </c>
      <c r="S2270" s="7">
        <f t="shared" si="106"/>
        <v>0</v>
      </c>
      <c r="T2270" s="6">
        <f t="shared" si="107"/>
        <v>0</v>
      </c>
      <c r="U2270" s="25">
        <f t="shared" si="105"/>
        <v>0</v>
      </c>
    </row>
    <row r="2271" spans="1:21" ht="10.9" customHeight="1" x14ac:dyDescent="0.2">
      <c r="A2271" s="82" t="s">
        <v>2990</v>
      </c>
      <c r="B2271" s="83">
        <v>45929</v>
      </c>
      <c r="C2271" s="82" t="s">
        <v>3395</v>
      </c>
      <c r="D2271" s="82" t="s">
        <v>1012</v>
      </c>
      <c r="E2271" s="82"/>
      <c r="F2271" s="82" t="s">
        <v>4799</v>
      </c>
      <c r="G2271" s="89">
        <v>6</v>
      </c>
      <c r="H2271" s="89">
        <v>36.200000000000003</v>
      </c>
      <c r="I2271" s="85">
        <v>0</v>
      </c>
      <c r="J2271" s="85">
        <v>0</v>
      </c>
      <c r="K2271" s="85">
        <v>217.2</v>
      </c>
      <c r="L2271" s="85">
        <v>1411.18</v>
      </c>
      <c r="M2271" s="89">
        <v>50.370823883006111</v>
      </c>
      <c r="N2271" s="85">
        <v>0</v>
      </c>
      <c r="O2271" s="85">
        <v>0</v>
      </c>
      <c r="P2271" s="85">
        <v>302.22494329803664</v>
      </c>
      <c r="Q2271" s="85">
        <v>1963.5994267188</v>
      </c>
      <c r="R2271" s="82" t="s">
        <v>3399</v>
      </c>
      <c r="S2271" s="7">
        <f t="shared" si="106"/>
        <v>0</v>
      </c>
      <c r="T2271" s="6">
        <f t="shared" si="107"/>
        <v>0</v>
      </c>
      <c r="U2271" s="25">
        <f t="shared" si="105"/>
        <v>0</v>
      </c>
    </row>
    <row r="2272" spans="1:21" ht="10.9" customHeight="1" x14ac:dyDescent="0.2">
      <c r="A2272" s="82" t="s">
        <v>3111</v>
      </c>
      <c r="B2272" s="83">
        <v>45930</v>
      </c>
      <c r="C2272" s="82" t="s">
        <v>3395</v>
      </c>
      <c r="D2272" s="82" t="s">
        <v>792</v>
      </c>
      <c r="E2272" s="82"/>
      <c r="F2272" s="82" t="s">
        <v>4423</v>
      </c>
      <c r="G2272" s="89">
        <v>3</v>
      </c>
      <c r="H2272" s="89">
        <v>72.69</v>
      </c>
      <c r="I2272" s="85">
        <v>0</v>
      </c>
      <c r="J2272" s="85">
        <v>0</v>
      </c>
      <c r="K2272" s="85">
        <v>218.07</v>
      </c>
      <c r="L2272" s="85">
        <v>2465.04</v>
      </c>
      <c r="M2272" s="89">
        <v>101.23899031203169</v>
      </c>
      <c r="N2272" s="85">
        <v>0</v>
      </c>
      <c r="O2272" s="85">
        <v>0</v>
      </c>
      <c r="P2272" s="85">
        <v>303.71697093609504</v>
      </c>
      <c r="Q2272" s="85">
        <v>3433.1842162439207</v>
      </c>
      <c r="R2272" s="82" t="s">
        <v>3396</v>
      </c>
      <c r="S2272" s="7">
        <f t="shared" si="106"/>
        <v>0</v>
      </c>
      <c r="T2272" s="6">
        <f t="shared" si="107"/>
        <v>0</v>
      </c>
      <c r="U2272" s="25">
        <f t="shared" si="105"/>
        <v>0</v>
      </c>
    </row>
    <row r="2273" spans="1:21" ht="10.9" customHeight="1" x14ac:dyDescent="0.2">
      <c r="A2273" s="82" t="s">
        <v>3111</v>
      </c>
      <c r="B2273" s="83">
        <v>45930</v>
      </c>
      <c r="C2273" s="82" t="s">
        <v>3395</v>
      </c>
      <c r="D2273" s="82" t="s">
        <v>792</v>
      </c>
      <c r="E2273" s="82"/>
      <c r="F2273" s="82" t="s">
        <v>4495</v>
      </c>
      <c r="G2273" s="89">
        <v>1</v>
      </c>
      <c r="H2273" s="89">
        <v>148.59</v>
      </c>
      <c r="I2273" s="85">
        <v>0</v>
      </c>
      <c r="J2273" s="85">
        <v>0</v>
      </c>
      <c r="K2273" s="85">
        <v>148.59</v>
      </c>
      <c r="L2273" s="85">
        <v>2465.04</v>
      </c>
      <c r="M2273" s="89">
        <v>206.94870780664175</v>
      </c>
      <c r="N2273" s="85">
        <v>0</v>
      </c>
      <c r="O2273" s="85">
        <v>0</v>
      </c>
      <c r="P2273" s="85">
        <v>206.94870780664175</v>
      </c>
      <c r="Q2273" s="85">
        <v>3433.1842162439207</v>
      </c>
      <c r="R2273" s="82" t="s">
        <v>3396</v>
      </c>
      <c r="S2273" s="7">
        <f t="shared" si="106"/>
        <v>0</v>
      </c>
      <c r="T2273" s="6">
        <f t="shared" si="107"/>
        <v>0</v>
      </c>
      <c r="U2273" s="25">
        <f t="shared" si="105"/>
        <v>0</v>
      </c>
    </row>
    <row r="2274" spans="1:21" ht="10.9" customHeight="1" x14ac:dyDescent="0.2">
      <c r="A2274" s="82" t="s">
        <v>3111</v>
      </c>
      <c r="B2274" s="83">
        <v>45930</v>
      </c>
      <c r="C2274" s="82" t="s">
        <v>3395</v>
      </c>
      <c r="D2274" s="82" t="s">
        <v>792</v>
      </c>
      <c r="E2274" s="82"/>
      <c r="F2274" s="82" t="s">
        <v>4797</v>
      </c>
      <c r="G2274" s="89">
        <v>1</v>
      </c>
      <c r="H2274" s="89">
        <v>1073.3800000000001</v>
      </c>
      <c r="I2274" s="85">
        <v>0</v>
      </c>
      <c r="J2274" s="85">
        <v>0</v>
      </c>
      <c r="K2274" s="85">
        <v>1073.3800000000001</v>
      </c>
      <c r="L2274" s="85">
        <v>2465.04</v>
      </c>
      <c r="M2274" s="89">
        <v>1494.9498888585579</v>
      </c>
      <c r="N2274" s="85">
        <v>0</v>
      </c>
      <c r="O2274" s="85">
        <v>0</v>
      </c>
      <c r="P2274" s="85">
        <v>1494.9498888585579</v>
      </c>
      <c r="Q2274" s="85">
        <v>3433.1842162439207</v>
      </c>
      <c r="R2274" s="82" t="s">
        <v>3396</v>
      </c>
      <c r="S2274" s="7">
        <f t="shared" si="106"/>
        <v>0</v>
      </c>
      <c r="T2274" s="6">
        <f t="shared" si="107"/>
        <v>0</v>
      </c>
      <c r="U2274" s="25">
        <f t="shared" si="105"/>
        <v>0</v>
      </c>
    </row>
    <row r="2275" spans="1:21" ht="10.9" customHeight="1" x14ac:dyDescent="0.2">
      <c r="A2275" s="82" t="s">
        <v>3111</v>
      </c>
      <c r="B2275" s="83">
        <v>45930</v>
      </c>
      <c r="C2275" s="82" t="s">
        <v>3395</v>
      </c>
      <c r="D2275" s="82" t="s">
        <v>792</v>
      </c>
      <c r="E2275" s="82"/>
      <c r="F2275" s="82" t="s">
        <v>4796</v>
      </c>
      <c r="G2275" s="89">
        <v>1</v>
      </c>
      <c r="H2275" s="89">
        <v>1025</v>
      </c>
      <c r="I2275" s="85">
        <v>0</v>
      </c>
      <c r="J2275" s="85">
        <v>0</v>
      </c>
      <c r="K2275" s="85">
        <v>1025</v>
      </c>
      <c r="L2275" s="85">
        <v>2465.04</v>
      </c>
      <c r="M2275" s="89">
        <v>1427.5686486426259</v>
      </c>
      <c r="N2275" s="85">
        <v>0</v>
      </c>
      <c r="O2275" s="85">
        <v>0</v>
      </c>
      <c r="P2275" s="85">
        <v>1427.5686486426259</v>
      </c>
      <c r="Q2275" s="85">
        <v>3433.1842162439207</v>
      </c>
      <c r="R2275" s="82" t="s">
        <v>3396</v>
      </c>
      <c r="S2275" s="7">
        <f t="shared" si="106"/>
        <v>0</v>
      </c>
      <c r="T2275" s="6">
        <f t="shared" si="107"/>
        <v>0</v>
      </c>
      <c r="U2275" s="25">
        <f t="shared" si="105"/>
        <v>0</v>
      </c>
    </row>
    <row r="2276" spans="1:21" ht="10.9" customHeight="1" x14ac:dyDescent="0.2">
      <c r="A2276" s="82" t="s">
        <v>3197</v>
      </c>
      <c r="B2276" s="83">
        <v>45930</v>
      </c>
      <c r="C2276" s="82" t="s">
        <v>3395</v>
      </c>
      <c r="D2276" s="82" t="s">
        <v>616</v>
      </c>
      <c r="E2276" s="82"/>
      <c r="F2276" s="82" t="s">
        <v>4550</v>
      </c>
      <c r="G2276" s="89">
        <v>2</v>
      </c>
      <c r="H2276" s="89">
        <v>235.74</v>
      </c>
      <c r="I2276" s="85">
        <v>0</v>
      </c>
      <c r="J2276" s="85">
        <v>0</v>
      </c>
      <c r="K2276" s="85">
        <v>471.48</v>
      </c>
      <c r="L2276" s="85">
        <v>471.48</v>
      </c>
      <c r="M2276" s="89">
        <v>328.3268616887928</v>
      </c>
      <c r="N2276" s="85">
        <v>0</v>
      </c>
      <c r="O2276" s="85">
        <v>0</v>
      </c>
      <c r="P2276" s="85">
        <v>656.65372337758561</v>
      </c>
      <c r="Q2276" s="85">
        <v>656.65372337758561</v>
      </c>
      <c r="R2276" s="82" t="s">
        <v>3396</v>
      </c>
      <c r="S2276" s="7">
        <f t="shared" si="106"/>
        <v>0</v>
      </c>
      <c r="T2276" s="6">
        <f t="shared" si="107"/>
        <v>0</v>
      </c>
      <c r="U2276" s="25">
        <f t="shared" si="105"/>
        <v>0</v>
      </c>
    </row>
    <row r="2277" spans="1:21" ht="10.9" customHeight="1" x14ac:dyDescent="0.2">
      <c r="A2277" s="82" t="s">
        <v>3207</v>
      </c>
      <c r="B2277" s="83">
        <v>45930</v>
      </c>
      <c r="C2277" s="82" t="s">
        <v>3395</v>
      </c>
      <c r="D2277" s="82" t="s">
        <v>594</v>
      </c>
      <c r="E2277" s="82"/>
      <c r="F2277" s="82" t="s">
        <v>4795</v>
      </c>
      <c r="G2277" s="89">
        <v>1</v>
      </c>
      <c r="H2277" s="89">
        <v>193.56</v>
      </c>
      <c r="I2277" s="85">
        <v>0</v>
      </c>
      <c r="J2277" s="85">
        <v>0</v>
      </c>
      <c r="K2277" s="85">
        <v>193.56</v>
      </c>
      <c r="L2277" s="85">
        <v>5177.88</v>
      </c>
      <c r="M2277" s="89">
        <v>269.62535782193527</v>
      </c>
      <c r="N2277" s="85">
        <v>0</v>
      </c>
      <c r="O2277" s="85">
        <v>0</v>
      </c>
      <c r="P2277" s="85">
        <v>269.62535782193527</v>
      </c>
      <c r="Q2277" s="85">
        <v>7212.6872688522535</v>
      </c>
      <c r="R2277" s="82" t="s">
        <v>3399</v>
      </c>
      <c r="S2277" s="7">
        <f t="shared" si="106"/>
        <v>0</v>
      </c>
      <c r="T2277" s="6">
        <f t="shared" si="107"/>
        <v>0</v>
      </c>
      <c r="U2277" s="25">
        <f t="shared" si="105"/>
        <v>0</v>
      </c>
    </row>
    <row r="2278" spans="1:21" ht="10.9" customHeight="1" x14ac:dyDescent="0.2">
      <c r="A2278" s="82" t="s">
        <v>3207</v>
      </c>
      <c r="B2278" s="83">
        <v>45930</v>
      </c>
      <c r="C2278" s="82" t="s">
        <v>3395</v>
      </c>
      <c r="D2278" s="82" t="s">
        <v>594</v>
      </c>
      <c r="E2278" s="82"/>
      <c r="F2278" s="82" t="s">
        <v>4794</v>
      </c>
      <c r="G2278" s="89">
        <v>1</v>
      </c>
      <c r="H2278" s="89">
        <v>4433.5600000000004</v>
      </c>
      <c r="I2278" s="85">
        <v>0</v>
      </c>
      <c r="J2278" s="85">
        <v>0</v>
      </c>
      <c r="K2278" s="85">
        <v>4433.5600000000004</v>
      </c>
      <c r="L2278" s="85">
        <v>5177.88</v>
      </c>
      <c r="M2278" s="89">
        <v>6175.8638221999345</v>
      </c>
      <c r="N2278" s="85">
        <v>0</v>
      </c>
      <c r="O2278" s="85">
        <v>0</v>
      </c>
      <c r="P2278" s="85">
        <v>6175.8638221999345</v>
      </c>
      <c r="Q2278" s="85">
        <v>7212.6872688522535</v>
      </c>
      <c r="R2278" s="82" t="s">
        <v>3399</v>
      </c>
      <c r="S2278" s="7">
        <f t="shared" si="106"/>
        <v>0</v>
      </c>
      <c r="T2278" s="6">
        <f t="shared" si="107"/>
        <v>0</v>
      </c>
      <c r="U2278" s="25">
        <f t="shared" si="105"/>
        <v>0</v>
      </c>
    </row>
    <row r="2279" spans="1:21" ht="10.9" customHeight="1" x14ac:dyDescent="0.2">
      <c r="A2279" s="82" t="s">
        <v>3207</v>
      </c>
      <c r="B2279" s="83">
        <v>45930</v>
      </c>
      <c r="C2279" s="82" t="s">
        <v>3395</v>
      </c>
      <c r="D2279" s="82" t="s">
        <v>594</v>
      </c>
      <c r="E2279" s="82"/>
      <c r="F2279" s="82" t="s">
        <v>4459</v>
      </c>
      <c r="G2279" s="89">
        <v>1</v>
      </c>
      <c r="H2279" s="89">
        <v>550.76</v>
      </c>
      <c r="I2279" s="85">
        <v>0</v>
      </c>
      <c r="J2279" s="85">
        <v>0</v>
      </c>
      <c r="K2279" s="85">
        <v>550.76</v>
      </c>
      <c r="L2279" s="85">
        <v>5177.88</v>
      </c>
      <c r="M2279" s="89">
        <v>767.19808883038365</v>
      </c>
      <c r="N2279" s="85">
        <v>0</v>
      </c>
      <c r="O2279" s="85">
        <v>0</v>
      </c>
      <c r="P2279" s="85">
        <v>767.19808883038365</v>
      </c>
      <c r="Q2279" s="85">
        <v>7212.6872688522535</v>
      </c>
      <c r="R2279" s="82" t="s">
        <v>3399</v>
      </c>
      <c r="S2279" s="7" t="str">
        <f t="shared" si="106"/>
        <v>INV13454</v>
      </c>
      <c r="T2279" s="6">
        <f t="shared" si="107"/>
        <v>1</v>
      </c>
      <c r="U2279" s="25">
        <f t="shared" si="105"/>
        <v>550.76</v>
      </c>
    </row>
    <row r="2280" spans="1:21" ht="10.9" customHeight="1" x14ac:dyDescent="0.2">
      <c r="A2280" s="82" t="s">
        <v>3026</v>
      </c>
      <c r="B2280" s="83">
        <v>45930</v>
      </c>
      <c r="C2280" s="82" t="s">
        <v>3395</v>
      </c>
      <c r="D2280" s="82" t="s">
        <v>954</v>
      </c>
      <c r="E2280" s="82"/>
      <c r="F2280" s="82" t="s">
        <v>4786</v>
      </c>
      <c r="G2280" s="89">
        <v>1</v>
      </c>
      <c r="H2280" s="89">
        <v>1920.95</v>
      </c>
      <c r="I2280" s="85">
        <v>0</v>
      </c>
      <c r="J2280" s="85">
        <v>0</v>
      </c>
      <c r="K2280" s="85">
        <v>1920.95</v>
      </c>
      <c r="L2280" s="85">
        <v>3556.88</v>
      </c>
      <c r="M2280" s="89">
        <v>2675.4029225463923</v>
      </c>
      <c r="N2280" s="85">
        <v>0</v>
      </c>
      <c r="O2280" s="85">
        <v>0</v>
      </c>
      <c r="P2280" s="85">
        <v>2675.4029225463923</v>
      </c>
      <c r="Q2280" s="85">
        <v>4953.8442682770574</v>
      </c>
      <c r="R2280" s="82" t="s">
        <v>3399</v>
      </c>
      <c r="S2280" s="7">
        <f t="shared" si="106"/>
        <v>0</v>
      </c>
      <c r="T2280" s="6">
        <f t="shared" si="107"/>
        <v>0</v>
      </c>
      <c r="U2280" s="25">
        <f t="shared" si="105"/>
        <v>0</v>
      </c>
    </row>
    <row r="2281" spans="1:21" ht="10.9" customHeight="1" x14ac:dyDescent="0.2">
      <c r="A2281" s="82" t="s">
        <v>3026</v>
      </c>
      <c r="B2281" s="83">
        <v>45930</v>
      </c>
      <c r="C2281" s="82" t="s">
        <v>3395</v>
      </c>
      <c r="D2281" s="82" t="s">
        <v>954</v>
      </c>
      <c r="E2281" s="82"/>
      <c r="F2281" s="82" t="s">
        <v>4785</v>
      </c>
      <c r="G2281" s="89">
        <v>1</v>
      </c>
      <c r="H2281" s="89">
        <v>1635.93</v>
      </c>
      <c r="I2281" s="85">
        <v>0</v>
      </c>
      <c r="J2281" s="85">
        <v>0</v>
      </c>
      <c r="K2281" s="85">
        <v>1635.93</v>
      </c>
      <c r="L2281" s="85">
        <v>3556.88</v>
      </c>
      <c r="M2281" s="89">
        <v>2278.4413457306646</v>
      </c>
      <c r="N2281" s="85">
        <v>0</v>
      </c>
      <c r="O2281" s="85">
        <v>0</v>
      </c>
      <c r="P2281" s="85">
        <v>2278.4413457306646</v>
      </c>
      <c r="Q2281" s="85">
        <v>4953.8442682770574</v>
      </c>
      <c r="R2281" s="82" t="s">
        <v>3399</v>
      </c>
      <c r="S2281" s="7">
        <f t="shared" si="106"/>
        <v>0</v>
      </c>
      <c r="T2281" s="6">
        <f t="shared" si="107"/>
        <v>0</v>
      </c>
      <c r="U2281" s="25">
        <f t="shared" si="105"/>
        <v>0</v>
      </c>
    </row>
    <row r="2282" spans="1:21" ht="10.9" customHeight="1" x14ac:dyDescent="0.2">
      <c r="A2282" s="82" t="s">
        <v>2927</v>
      </c>
      <c r="B2282" s="83">
        <v>45930</v>
      </c>
      <c r="C2282" s="82" t="s">
        <v>3395</v>
      </c>
      <c r="D2282" s="82" t="s">
        <v>1121</v>
      </c>
      <c r="E2282" s="82"/>
      <c r="F2282" s="82" t="s">
        <v>4784</v>
      </c>
      <c r="G2282" s="89">
        <v>1</v>
      </c>
      <c r="H2282" s="89">
        <v>4276.6099999999997</v>
      </c>
      <c r="I2282" s="85">
        <v>0</v>
      </c>
      <c r="J2282" s="85">
        <v>0</v>
      </c>
      <c r="K2282" s="85">
        <v>4276.6099999999997</v>
      </c>
      <c r="L2282" s="85">
        <v>4276.6099999999997</v>
      </c>
      <c r="M2282" s="89">
        <v>5956.2481546063809</v>
      </c>
      <c r="N2282" s="85">
        <v>0</v>
      </c>
      <c r="O2282" s="85">
        <v>0</v>
      </c>
      <c r="P2282" s="85">
        <v>5956.2481546063809</v>
      </c>
      <c r="Q2282" s="85">
        <v>5956.2481546063809</v>
      </c>
      <c r="R2282" s="82" t="s">
        <v>3399</v>
      </c>
      <c r="S2282" s="7">
        <f t="shared" si="106"/>
        <v>0</v>
      </c>
      <c r="T2282" s="6">
        <f t="shared" si="107"/>
        <v>0</v>
      </c>
      <c r="U2282" s="25">
        <f t="shared" si="105"/>
        <v>0</v>
      </c>
    </row>
    <row r="2283" spans="1:21" ht="10.9" customHeight="1" x14ac:dyDescent="0.2">
      <c r="A2283" s="82" t="s">
        <v>2982</v>
      </c>
      <c r="B2283" s="83">
        <v>45930</v>
      </c>
      <c r="C2283" s="82" t="s">
        <v>3395</v>
      </c>
      <c r="D2283" s="82" t="s">
        <v>3436</v>
      </c>
      <c r="E2283" s="82"/>
      <c r="F2283" s="82" t="s">
        <v>4793</v>
      </c>
      <c r="G2283" s="89">
        <v>5</v>
      </c>
      <c r="H2283" s="89">
        <v>989</v>
      </c>
      <c r="I2283" s="85">
        <v>0</v>
      </c>
      <c r="J2283" s="85">
        <v>0</v>
      </c>
      <c r="K2283" s="85">
        <v>4945</v>
      </c>
      <c r="L2283" s="85">
        <v>5133</v>
      </c>
      <c r="M2283" s="89">
        <v>1377.4296522024947</v>
      </c>
      <c r="N2283" s="85">
        <v>0</v>
      </c>
      <c r="O2283" s="85">
        <v>0</v>
      </c>
      <c r="P2283" s="85">
        <v>6887.1482610124731</v>
      </c>
      <c r="Q2283" s="85">
        <v>7148.985242422048</v>
      </c>
      <c r="R2283" s="82" t="s">
        <v>3396</v>
      </c>
      <c r="S2283" s="7">
        <f t="shared" si="106"/>
        <v>0</v>
      </c>
      <c r="T2283" s="6">
        <f t="shared" si="107"/>
        <v>0</v>
      </c>
      <c r="U2283" s="25">
        <f t="shared" si="105"/>
        <v>0</v>
      </c>
    </row>
    <row r="2284" spans="1:21" ht="10.9" customHeight="1" x14ac:dyDescent="0.2">
      <c r="A2284" s="82" t="s">
        <v>2982</v>
      </c>
      <c r="B2284" s="83">
        <v>45930</v>
      </c>
      <c r="C2284" s="82" t="s">
        <v>3395</v>
      </c>
      <c r="D2284" s="82" t="s">
        <v>3436</v>
      </c>
      <c r="E2284" s="82"/>
      <c r="F2284" s="82" t="s">
        <v>4550</v>
      </c>
      <c r="G2284" s="89">
        <v>2</v>
      </c>
      <c r="H2284" s="89">
        <v>94</v>
      </c>
      <c r="I2284" s="85">
        <v>0</v>
      </c>
      <c r="J2284" s="85">
        <v>0</v>
      </c>
      <c r="K2284" s="85">
        <v>188</v>
      </c>
      <c r="L2284" s="85">
        <v>5133</v>
      </c>
      <c r="M2284" s="89">
        <v>130.91849070478716</v>
      </c>
      <c r="N2284" s="85">
        <v>0</v>
      </c>
      <c r="O2284" s="85">
        <v>0</v>
      </c>
      <c r="P2284" s="85">
        <v>261.83698140957432</v>
      </c>
      <c r="Q2284" s="85">
        <v>7148.985242422048</v>
      </c>
      <c r="R2284" s="82" t="s">
        <v>3396</v>
      </c>
      <c r="S2284" s="7">
        <f t="shared" si="106"/>
        <v>0</v>
      </c>
      <c r="T2284" s="6">
        <f t="shared" si="107"/>
        <v>0</v>
      </c>
      <c r="U2284" s="25">
        <f t="shared" si="105"/>
        <v>0</v>
      </c>
    </row>
    <row r="2285" spans="1:21" ht="10.9" customHeight="1" x14ac:dyDescent="0.2">
      <c r="A2285" s="82" t="s">
        <v>3052</v>
      </c>
      <c r="B2285" s="83">
        <v>45930</v>
      </c>
      <c r="C2285" s="82" t="s">
        <v>3395</v>
      </c>
      <c r="D2285" s="82" t="s">
        <v>3440</v>
      </c>
      <c r="E2285" s="82"/>
      <c r="F2285" s="82" t="s">
        <v>4792</v>
      </c>
      <c r="G2285" s="89">
        <v>2</v>
      </c>
      <c r="H2285" s="89">
        <v>63</v>
      </c>
      <c r="I2285" s="85">
        <v>0</v>
      </c>
      <c r="J2285" s="85">
        <v>0</v>
      </c>
      <c r="K2285" s="85">
        <v>126</v>
      </c>
      <c r="L2285" s="85">
        <v>581.79999999999995</v>
      </c>
      <c r="M2285" s="89">
        <v>87.743243770229697</v>
      </c>
      <c r="N2285" s="85">
        <v>0</v>
      </c>
      <c r="O2285" s="85">
        <v>0</v>
      </c>
      <c r="P2285" s="85">
        <v>175.48648754045939</v>
      </c>
      <c r="Q2285" s="85">
        <v>810.3018924685656</v>
      </c>
      <c r="R2285" s="82" t="s">
        <v>3396</v>
      </c>
      <c r="S2285" s="7">
        <f t="shared" si="106"/>
        <v>0</v>
      </c>
      <c r="T2285" s="6">
        <f t="shared" si="107"/>
        <v>0</v>
      </c>
      <c r="U2285" s="25">
        <f t="shared" si="105"/>
        <v>0</v>
      </c>
    </row>
    <row r="2286" spans="1:21" ht="10.9" customHeight="1" x14ac:dyDescent="0.2">
      <c r="A2286" s="82" t="s">
        <v>3052</v>
      </c>
      <c r="B2286" s="83">
        <v>45930</v>
      </c>
      <c r="C2286" s="82" t="s">
        <v>3395</v>
      </c>
      <c r="D2286" s="82" t="s">
        <v>3440</v>
      </c>
      <c r="E2286" s="82"/>
      <c r="F2286" s="82" t="s">
        <v>4791</v>
      </c>
      <c r="G2286" s="89">
        <v>3</v>
      </c>
      <c r="H2286" s="89">
        <v>147</v>
      </c>
      <c r="I2286" s="85">
        <v>0</v>
      </c>
      <c r="J2286" s="85">
        <v>0</v>
      </c>
      <c r="K2286" s="85">
        <v>441</v>
      </c>
      <c r="L2286" s="85">
        <v>581.79999999999995</v>
      </c>
      <c r="M2286" s="89">
        <v>204.73423546386928</v>
      </c>
      <c r="N2286" s="85">
        <v>0</v>
      </c>
      <c r="O2286" s="85">
        <v>0</v>
      </c>
      <c r="P2286" s="85">
        <v>614.20270639160788</v>
      </c>
      <c r="Q2286" s="85">
        <v>810.3018924685656</v>
      </c>
      <c r="R2286" s="82" t="s">
        <v>3396</v>
      </c>
      <c r="S2286" s="7">
        <f t="shared" si="106"/>
        <v>0</v>
      </c>
      <c r="T2286" s="6">
        <f t="shared" si="107"/>
        <v>0</v>
      </c>
      <c r="U2286" s="25">
        <f t="shared" si="105"/>
        <v>0</v>
      </c>
    </row>
    <row r="2287" spans="1:21" ht="10.9" customHeight="1" x14ac:dyDescent="0.2">
      <c r="A2287" s="82" t="s">
        <v>3052</v>
      </c>
      <c r="B2287" s="83">
        <v>45930</v>
      </c>
      <c r="C2287" s="82" t="s">
        <v>3395</v>
      </c>
      <c r="D2287" s="82" t="s">
        <v>3440</v>
      </c>
      <c r="E2287" s="82"/>
      <c r="F2287" s="82" t="s">
        <v>4790</v>
      </c>
      <c r="G2287" s="89">
        <v>10</v>
      </c>
      <c r="H2287" s="89">
        <v>1.48</v>
      </c>
      <c r="I2287" s="85">
        <v>0</v>
      </c>
      <c r="J2287" s="85">
        <v>0</v>
      </c>
      <c r="K2287" s="85">
        <v>14.8</v>
      </c>
      <c r="L2287" s="85">
        <v>581.79999999999995</v>
      </c>
      <c r="M2287" s="89">
        <v>2.0612698536498404</v>
      </c>
      <c r="N2287" s="85">
        <v>0</v>
      </c>
      <c r="O2287" s="85">
        <v>0</v>
      </c>
      <c r="P2287" s="85">
        <v>20.612698536498403</v>
      </c>
      <c r="Q2287" s="85">
        <v>810.3018924685656</v>
      </c>
      <c r="R2287" s="82" t="s">
        <v>3396</v>
      </c>
      <c r="S2287" s="7">
        <f t="shared" si="106"/>
        <v>0</v>
      </c>
      <c r="T2287" s="6">
        <f t="shared" si="107"/>
        <v>0</v>
      </c>
      <c r="U2287" s="25">
        <f t="shared" si="105"/>
        <v>0</v>
      </c>
    </row>
    <row r="2288" spans="1:21" ht="10.9" customHeight="1" x14ac:dyDescent="0.2">
      <c r="A2288" s="82" t="s">
        <v>3237</v>
      </c>
      <c r="B2288" s="83">
        <v>45931</v>
      </c>
      <c r="C2288" s="82" t="s">
        <v>3395</v>
      </c>
      <c r="D2288" s="82" t="s">
        <v>532</v>
      </c>
      <c r="E2288" s="82"/>
      <c r="F2288" s="82" t="s">
        <v>4773</v>
      </c>
      <c r="G2288" s="89">
        <v>1</v>
      </c>
      <c r="H2288" s="89">
        <v>3297.1</v>
      </c>
      <c r="I2288" s="85">
        <v>0</v>
      </c>
      <c r="J2288" s="85">
        <v>0</v>
      </c>
      <c r="K2288" s="85">
        <v>3297.1</v>
      </c>
      <c r="L2288" s="85">
        <v>7855.57</v>
      </c>
      <c r="M2288" s="89">
        <v>4595.3637990533589</v>
      </c>
      <c r="N2288" s="85">
        <v>0</v>
      </c>
      <c r="O2288" s="85">
        <v>0</v>
      </c>
      <c r="P2288" s="85">
        <v>4595.3637990533589</v>
      </c>
      <c r="Q2288" s="85">
        <v>10948.773770564918</v>
      </c>
      <c r="R2288" s="82" t="s">
        <v>3399</v>
      </c>
      <c r="S2288" s="7">
        <f t="shared" si="106"/>
        <v>0</v>
      </c>
      <c r="T2288" s="6">
        <f t="shared" si="107"/>
        <v>0</v>
      </c>
      <c r="U2288" s="25">
        <f t="shared" si="105"/>
        <v>0</v>
      </c>
    </row>
    <row r="2289" spans="1:21" ht="10.9" customHeight="1" x14ac:dyDescent="0.2">
      <c r="A2289" s="82" t="s">
        <v>3237</v>
      </c>
      <c r="B2289" s="83">
        <v>45931</v>
      </c>
      <c r="C2289" s="82" t="s">
        <v>3395</v>
      </c>
      <c r="D2289" s="82" t="s">
        <v>532</v>
      </c>
      <c r="E2289" s="82"/>
      <c r="F2289" s="82" t="s">
        <v>4514</v>
      </c>
      <c r="G2289" s="89">
        <v>3</v>
      </c>
      <c r="H2289" s="89">
        <v>1289.49</v>
      </c>
      <c r="I2289" s="85">
        <v>0</v>
      </c>
      <c r="J2289" s="85">
        <v>0</v>
      </c>
      <c r="K2289" s="85">
        <v>3868.47</v>
      </c>
      <c r="L2289" s="85">
        <v>7855.57</v>
      </c>
      <c r="M2289" s="89">
        <v>1797.2386840682161</v>
      </c>
      <c r="N2289" s="85">
        <v>0</v>
      </c>
      <c r="O2289" s="85">
        <v>0</v>
      </c>
      <c r="P2289" s="85">
        <v>5391.7160522046488</v>
      </c>
      <c r="Q2289" s="85">
        <v>10948.773770564918</v>
      </c>
      <c r="R2289" s="82" t="s">
        <v>3399</v>
      </c>
      <c r="S2289" s="7">
        <f t="shared" si="106"/>
        <v>0</v>
      </c>
      <c r="T2289" s="6">
        <f t="shared" si="107"/>
        <v>0</v>
      </c>
      <c r="U2289" s="25">
        <f t="shared" si="105"/>
        <v>0</v>
      </c>
    </row>
    <row r="2290" spans="1:21" ht="10.9" customHeight="1" x14ac:dyDescent="0.2">
      <c r="A2290" s="82" t="s">
        <v>3237</v>
      </c>
      <c r="B2290" s="83">
        <v>45931</v>
      </c>
      <c r="C2290" s="82" t="s">
        <v>3395</v>
      </c>
      <c r="D2290" s="82" t="s">
        <v>532</v>
      </c>
      <c r="E2290" s="82"/>
      <c r="F2290" s="82" t="s">
        <v>4393</v>
      </c>
      <c r="G2290" s="89">
        <v>1</v>
      </c>
      <c r="H2290" s="89">
        <v>690</v>
      </c>
      <c r="I2290" s="85">
        <v>0</v>
      </c>
      <c r="J2290" s="85">
        <v>0</v>
      </c>
      <c r="K2290" s="85">
        <v>690</v>
      </c>
      <c r="L2290" s="85">
        <v>7855.57</v>
      </c>
      <c r="M2290" s="89">
        <v>961.69391930691143</v>
      </c>
      <c r="N2290" s="85">
        <v>0</v>
      </c>
      <c r="O2290" s="85">
        <v>0</v>
      </c>
      <c r="P2290" s="85">
        <v>961.69391930691143</v>
      </c>
      <c r="Q2290" s="85">
        <v>10948.773770564918</v>
      </c>
      <c r="R2290" s="82" t="s">
        <v>3399</v>
      </c>
      <c r="S2290" s="7" t="str">
        <f t="shared" si="106"/>
        <v>INV13460</v>
      </c>
      <c r="T2290" s="6">
        <f t="shared" si="107"/>
        <v>1</v>
      </c>
      <c r="U2290" s="25">
        <f t="shared" si="105"/>
        <v>690</v>
      </c>
    </row>
    <row r="2291" spans="1:21" ht="10.9" customHeight="1" x14ac:dyDescent="0.2">
      <c r="A2291" s="82" t="s">
        <v>3015</v>
      </c>
      <c r="B2291" s="83">
        <v>45931</v>
      </c>
      <c r="C2291" s="82" t="s">
        <v>3395</v>
      </c>
      <c r="D2291" s="82" t="s">
        <v>972</v>
      </c>
      <c r="E2291" s="82"/>
      <c r="F2291" s="82" t="s">
        <v>4778</v>
      </c>
      <c r="G2291" s="89">
        <v>1</v>
      </c>
      <c r="H2291" s="89">
        <v>3198.73</v>
      </c>
      <c r="I2291" s="85">
        <v>0</v>
      </c>
      <c r="J2291" s="85">
        <v>159.94</v>
      </c>
      <c r="K2291" s="85">
        <v>3358.67</v>
      </c>
      <c r="L2291" s="85">
        <v>3358.67</v>
      </c>
      <c r="M2291" s="89">
        <v>3198.73</v>
      </c>
      <c r="N2291" s="85">
        <v>0</v>
      </c>
      <c r="O2291" s="85">
        <v>159.94</v>
      </c>
      <c r="P2291" s="85">
        <v>3358.67</v>
      </c>
      <c r="Q2291" s="85">
        <v>3358.67</v>
      </c>
      <c r="R2291" s="82" t="s">
        <v>3399</v>
      </c>
      <c r="S2291" s="7">
        <f t="shared" si="106"/>
        <v>0</v>
      </c>
      <c r="T2291" s="6">
        <f t="shared" si="107"/>
        <v>0</v>
      </c>
      <c r="U2291" s="25">
        <f t="shared" si="105"/>
        <v>0</v>
      </c>
    </row>
    <row r="2292" spans="1:21" ht="10.9" customHeight="1" x14ac:dyDescent="0.2">
      <c r="A2292" s="82" t="s">
        <v>3223</v>
      </c>
      <c r="B2292" s="83">
        <v>45931</v>
      </c>
      <c r="C2292" s="82" t="s">
        <v>3395</v>
      </c>
      <c r="D2292" s="82" t="s">
        <v>555</v>
      </c>
      <c r="E2292" s="82"/>
      <c r="F2292" s="82" t="s">
        <v>4615</v>
      </c>
      <c r="G2292" s="89">
        <v>5</v>
      </c>
      <c r="H2292" s="89">
        <v>20.48</v>
      </c>
      <c r="I2292" s="85">
        <v>0</v>
      </c>
      <c r="J2292" s="85">
        <v>5.12</v>
      </c>
      <c r="K2292" s="85">
        <v>107.52</v>
      </c>
      <c r="L2292" s="85">
        <v>107.52</v>
      </c>
      <c r="M2292" s="89">
        <v>20.48</v>
      </c>
      <c r="N2292" s="85">
        <v>0</v>
      </c>
      <c r="O2292" s="85">
        <v>5.12</v>
      </c>
      <c r="P2292" s="85">
        <v>107.52</v>
      </c>
      <c r="Q2292" s="85">
        <v>107.52</v>
      </c>
      <c r="R2292" s="82" t="s">
        <v>3399</v>
      </c>
      <c r="S2292" s="7">
        <f t="shared" si="106"/>
        <v>0</v>
      </c>
      <c r="T2292" s="6">
        <f t="shared" si="107"/>
        <v>0</v>
      </c>
      <c r="U2292" s="25">
        <f t="shared" si="105"/>
        <v>0</v>
      </c>
    </row>
    <row r="2293" spans="1:21" ht="10.9" customHeight="1" x14ac:dyDescent="0.2">
      <c r="A2293" s="82" t="s">
        <v>3222</v>
      </c>
      <c r="B2293" s="83">
        <v>45931</v>
      </c>
      <c r="C2293" s="82" t="s">
        <v>3395</v>
      </c>
      <c r="D2293" s="82" t="s">
        <v>558</v>
      </c>
      <c r="E2293" s="82"/>
      <c r="F2293" s="82" t="s">
        <v>4553</v>
      </c>
      <c r="G2293" s="89">
        <v>1</v>
      </c>
      <c r="H2293" s="89">
        <v>979.42</v>
      </c>
      <c r="I2293" s="85">
        <v>0</v>
      </c>
      <c r="J2293" s="85">
        <v>48.97</v>
      </c>
      <c r="K2293" s="85">
        <v>1028.3900000000001</v>
      </c>
      <c r="L2293" s="85">
        <v>1028.3900000000001</v>
      </c>
      <c r="M2293" s="89">
        <v>979.42</v>
      </c>
      <c r="N2293" s="85">
        <v>0</v>
      </c>
      <c r="O2293" s="85">
        <v>48.97</v>
      </c>
      <c r="P2293" s="85">
        <v>1028.3900000000001</v>
      </c>
      <c r="Q2293" s="85">
        <v>1028.3900000000001</v>
      </c>
      <c r="R2293" s="82" t="s">
        <v>3399</v>
      </c>
      <c r="S2293" s="7">
        <f t="shared" si="106"/>
        <v>0</v>
      </c>
      <c r="T2293" s="6">
        <f t="shared" si="107"/>
        <v>0</v>
      </c>
      <c r="U2293" s="25">
        <f t="shared" si="105"/>
        <v>0</v>
      </c>
    </row>
    <row r="2294" spans="1:21" ht="10.9" customHeight="1" x14ac:dyDescent="0.2">
      <c r="A2294" s="82" t="s">
        <v>3215</v>
      </c>
      <c r="B2294" s="83">
        <v>45931</v>
      </c>
      <c r="C2294" s="82" t="s">
        <v>3395</v>
      </c>
      <c r="D2294" s="82" t="s">
        <v>573</v>
      </c>
      <c r="E2294" s="82"/>
      <c r="F2294" s="82" t="s">
        <v>4737</v>
      </c>
      <c r="G2294" s="89">
        <v>1</v>
      </c>
      <c r="H2294" s="89">
        <v>958.11</v>
      </c>
      <c r="I2294" s="85">
        <v>0</v>
      </c>
      <c r="J2294" s="85">
        <v>47.91</v>
      </c>
      <c r="K2294" s="85">
        <v>1006.02</v>
      </c>
      <c r="L2294" s="85">
        <v>1006.02</v>
      </c>
      <c r="M2294" s="89">
        <v>958.11</v>
      </c>
      <c r="N2294" s="85">
        <v>0</v>
      </c>
      <c r="O2294" s="85">
        <v>47.91</v>
      </c>
      <c r="P2294" s="85">
        <v>1006.02</v>
      </c>
      <c r="Q2294" s="85">
        <v>1006.02</v>
      </c>
      <c r="R2294" s="82" t="s">
        <v>3399</v>
      </c>
      <c r="S2294" s="7">
        <f t="shared" si="106"/>
        <v>0</v>
      </c>
      <c r="T2294" s="6">
        <f t="shared" si="107"/>
        <v>0</v>
      </c>
      <c r="U2294" s="25">
        <f t="shared" si="105"/>
        <v>0</v>
      </c>
    </row>
    <row r="2295" spans="1:21" ht="10.9" customHeight="1" x14ac:dyDescent="0.2">
      <c r="A2295" s="82" t="s">
        <v>3227</v>
      </c>
      <c r="B2295" s="83">
        <v>45931</v>
      </c>
      <c r="C2295" s="82" t="s">
        <v>3395</v>
      </c>
      <c r="D2295" s="82" t="s">
        <v>549</v>
      </c>
      <c r="E2295" s="82"/>
      <c r="F2295" s="82" t="s">
        <v>4648</v>
      </c>
      <c r="G2295" s="89">
        <v>1</v>
      </c>
      <c r="H2295" s="89">
        <v>279.5</v>
      </c>
      <c r="I2295" s="85">
        <v>0</v>
      </c>
      <c r="J2295" s="85">
        <v>13.98</v>
      </c>
      <c r="K2295" s="85">
        <v>293.48</v>
      </c>
      <c r="L2295" s="85">
        <v>293.48</v>
      </c>
      <c r="M2295" s="89">
        <v>279.5</v>
      </c>
      <c r="N2295" s="85">
        <v>0</v>
      </c>
      <c r="O2295" s="85">
        <v>13.98</v>
      </c>
      <c r="P2295" s="85">
        <v>293.48</v>
      </c>
      <c r="Q2295" s="85">
        <v>293.48</v>
      </c>
      <c r="R2295" s="82" t="s">
        <v>3399</v>
      </c>
      <c r="S2295" s="7">
        <f t="shared" si="106"/>
        <v>0</v>
      </c>
      <c r="T2295" s="6">
        <f t="shared" si="107"/>
        <v>0</v>
      </c>
      <c r="U2295" s="25">
        <f t="shared" si="105"/>
        <v>0</v>
      </c>
    </row>
    <row r="2296" spans="1:21" ht="10.9" customHeight="1" x14ac:dyDescent="0.2">
      <c r="A2296" s="82" t="s">
        <v>3236</v>
      </c>
      <c r="B2296" s="83">
        <v>45931</v>
      </c>
      <c r="C2296" s="82" t="s">
        <v>3395</v>
      </c>
      <c r="D2296" s="82" t="s">
        <v>534</v>
      </c>
      <c r="E2296" s="82"/>
      <c r="F2296" s="82" t="s">
        <v>4550</v>
      </c>
      <c r="G2296" s="89">
        <v>2</v>
      </c>
      <c r="H2296" s="89">
        <v>365.39</v>
      </c>
      <c r="I2296" s="85">
        <v>0</v>
      </c>
      <c r="J2296" s="85">
        <v>95</v>
      </c>
      <c r="K2296" s="85">
        <v>825.78</v>
      </c>
      <c r="L2296" s="85">
        <v>825.78</v>
      </c>
      <c r="M2296" s="89">
        <v>365.39</v>
      </c>
      <c r="N2296" s="85">
        <v>0</v>
      </c>
      <c r="O2296" s="85">
        <v>95</v>
      </c>
      <c r="P2296" s="85">
        <v>825.78</v>
      </c>
      <c r="Q2296" s="85">
        <v>825.78</v>
      </c>
      <c r="R2296" s="82" t="s">
        <v>3399</v>
      </c>
      <c r="S2296" s="7">
        <f t="shared" si="106"/>
        <v>0</v>
      </c>
      <c r="T2296" s="6">
        <f t="shared" si="107"/>
        <v>0</v>
      </c>
      <c r="U2296" s="25">
        <f t="shared" si="105"/>
        <v>0</v>
      </c>
    </row>
    <row r="2297" spans="1:21" ht="10.9" customHeight="1" x14ac:dyDescent="0.2">
      <c r="A2297" s="82" t="s">
        <v>3245</v>
      </c>
      <c r="B2297" s="83">
        <v>45931</v>
      </c>
      <c r="C2297" s="82" t="s">
        <v>3395</v>
      </c>
      <c r="D2297" s="82" t="s">
        <v>515</v>
      </c>
      <c r="E2297" s="82"/>
      <c r="F2297" s="82" t="s">
        <v>4555</v>
      </c>
      <c r="G2297" s="89">
        <v>1</v>
      </c>
      <c r="H2297" s="89">
        <v>463.06</v>
      </c>
      <c r="I2297" s="85">
        <v>0</v>
      </c>
      <c r="J2297" s="85">
        <v>23.15</v>
      </c>
      <c r="K2297" s="85">
        <v>486.21</v>
      </c>
      <c r="L2297" s="85">
        <v>486.21</v>
      </c>
      <c r="M2297" s="89">
        <v>463.06</v>
      </c>
      <c r="N2297" s="85">
        <v>0</v>
      </c>
      <c r="O2297" s="85">
        <v>23.15</v>
      </c>
      <c r="P2297" s="85">
        <v>486.21</v>
      </c>
      <c r="Q2297" s="85">
        <v>486.21</v>
      </c>
      <c r="R2297" s="82" t="s">
        <v>3399</v>
      </c>
      <c r="S2297" s="7">
        <f t="shared" si="106"/>
        <v>0</v>
      </c>
      <c r="T2297" s="6">
        <f t="shared" si="107"/>
        <v>0</v>
      </c>
      <c r="U2297" s="25">
        <f t="shared" si="105"/>
        <v>0</v>
      </c>
    </row>
    <row r="2298" spans="1:21" ht="10.9" customHeight="1" x14ac:dyDescent="0.2">
      <c r="A2298" s="82" t="s">
        <v>3232</v>
      </c>
      <c r="B2298" s="83">
        <v>45931</v>
      </c>
      <c r="C2298" s="82" t="s">
        <v>3395</v>
      </c>
      <c r="D2298" s="82" t="s">
        <v>541</v>
      </c>
      <c r="E2298" s="82"/>
      <c r="F2298" s="82" t="s">
        <v>4777</v>
      </c>
      <c r="G2298" s="89">
        <v>1</v>
      </c>
      <c r="H2298" s="89">
        <v>1761.16</v>
      </c>
      <c r="I2298" s="85">
        <v>0</v>
      </c>
      <c r="J2298" s="85">
        <v>88.06</v>
      </c>
      <c r="K2298" s="85">
        <v>1849.22</v>
      </c>
      <c r="L2298" s="85">
        <v>1849.22</v>
      </c>
      <c r="M2298" s="89">
        <v>1761.16</v>
      </c>
      <c r="N2298" s="85">
        <v>0</v>
      </c>
      <c r="O2298" s="85">
        <v>88.06</v>
      </c>
      <c r="P2298" s="85">
        <v>1849.22</v>
      </c>
      <c r="Q2298" s="85">
        <v>1849.22</v>
      </c>
      <c r="R2298" s="82" t="s">
        <v>3399</v>
      </c>
      <c r="S2298" s="7">
        <f t="shared" si="106"/>
        <v>0</v>
      </c>
      <c r="T2298" s="6">
        <f t="shared" si="107"/>
        <v>0</v>
      </c>
      <c r="U2298" s="25">
        <f t="shared" si="105"/>
        <v>0</v>
      </c>
    </row>
    <row r="2299" spans="1:21" ht="10.9" customHeight="1" x14ac:dyDescent="0.2">
      <c r="A2299" s="82" t="s">
        <v>2983</v>
      </c>
      <c r="B2299" s="83">
        <v>45931</v>
      </c>
      <c r="C2299" s="82" t="s">
        <v>3395</v>
      </c>
      <c r="D2299" s="82" t="s">
        <v>3433</v>
      </c>
      <c r="E2299" s="82"/>
      <c r="F2299" s="82" t="s">
        <v>4780</v>
      </c>
      <c r="G2299" s="89">
        <v>10</v>
      </c>
      <c r="H2299" s="89">
        <v>290</v>
      </c>
      <c r="I2299" s="85">
        <v>0</v>
      </c>
      <c r="J2299" s="85">
        <v>0</v>
      </c>
      <c r="K2299" s="85">
        <v>2900</v>
      </c>
      <c r="L2299" s="85">
        <v>2900</v>
      </c>
      <c r="M2299" s="89">
        <v>404.1558369161516</v>
      </c>
      <c r="N2299" s="85">
        <v>0</v>
      </c>
      <c r="O2299" s="85">
        <v>0</v>
      </c>
      <c r="P2299" s="85">
        <v>4041.5583691615161</v>
      </c>
      <c r="Q2299" s="85">
        <v>4041.5583691615161</v>
      </c>
      <c r="R2299" s="82" t="s">
        <v>3396</v>
      </c>
      <c r="S2299" s="7">
        <f t="shared" si="106"/>
        <v>0</v>
      </c>
      <c r="T2299" s="6">
        <f t="shared" si="107"/>
        <v>0</v>
      </c>
      <c r="U2299" s="25">
        <f t="shared" si="105"/>
        <v>0</v>
      </c>
    </row>
    <row r="2300" spans="1:21" ht="10.9" customHeight="1" x14ac:dyDescent="0.2">
      <c r="A2300" s="82" t="s">
        <v>3035</v>
      </c>
      <c r="B2300" s="83">
        <v>45931</v>
      </c>
      <c r="C2300" s="82" t="s">
        <v>3395</v>
      </c>
      <c r="D2300" s="82" t="s">
        <v>3435</v>
      </c>
      <c r="E2300" s="82"/>
      <c r="F2300" s="82" t="s">
        <v>4779</v>
      </c>
      <c r="G2300" s="89">
        <v>1</v>
      </c>
      <c r="H2300" s="89">
        <v>10202</v>
      </c>
      <c r="I2300" s="85">
        <v>0</v>
      </c>
      <c r="J2300" s="85">
        <v>0</v>
      </c>
      <c r="K2300" s="85">
        <v>10202</v>
      </c>
      <c r="L2300" s="85">
        <v>10202</v>
      </c>
      <c r="M2300" s="89">
        <v>14217.923614546822</v>
      </c>
      <c r="N2300" s="85">
        <v>0</v>
      </c>
      <c r="O2300" s="85">
        <v>0</v>
      </c>
      <c r="P2300" s="85">
        <v>14217.923614546822</v>
      </c>
      <c r="Q2300" s="85">
        <v>14217.923614546822</v>
      </c>
      <c r="R2300" s="82" t="s">
        <v>3396</v>
      </c>
      <c r="S2300" s="7">
        <f t="shared" si="106"/>
        <v>0</v>
      </c>
      <c r="T2300" s="6">
        <f t="shared" si="107"/>
        <v>0</v>
      </c>
      <c r="U2300" s="25">
        <f t="shared" si="105"/>
        <v>0</v>
      </c>
    </row>
    <row r="2301" spans="1:21" ht="10.9" customHeight="1" x14ac:dyDescent="0.2">
      <c r="A2301" s="82" t="s">
        <v>3204</v>
      </c>
      <c r="B2301" s="83">
        <v>45931</v>
      </c>
      <c r="C2301" s="82" t="s">
        <v>3395</v>
      </c>
      <c r="D2301" s="82" t="s">
        <v>601</v>
      </c>
      <c r="E2301" s="82"/>
      <c r="F2301" s="82" t="s">
        <v>4783</v>
      </c>
      <c r="G2301" s="89">
        <v>1</v>
      </c>
      <c r="H2301" s="89">
        <v>5988</v>
      </c>
      <c r="I2301" s="85">
        <v>0</v>
      </c>
      <c r="J2301" s="85">
        <v>778.44</v>
      </c>
      <c r="K2301" s="85">
        <v>6766.44</v>
      </c>
      <c r="L2301" s="85">
        <v>6766.44</v>
      </c>
      <c r="M2301" s="89">
        <v>5988</v>
      </c>
      <c r="N2301" s="85">
        <v>0</v>
      </c>
      <c r="O2301" s="85">
        <v>778.44</v>
      </c>
      <c r="P2301" s="85">
        <v>6766.44</v>
      </c>
      <c r="Q2301" s="85">
        <v>6766.44</v>
      </c>
      <c r="R2301" s="82" t="s">
        <v>3396</v>
      </c>
      <c r="S2301" s="7">
        <f t="shared" si="106"/>
        <v>0</v>
      </c>
      <c r="T2301" s="6">
        <f t="shared" si="107"/>
        <v>0</v>
      </c>
      <c r="U2301" s="25">
        <f t="shared" si="105"/>
        <v>0</v>
      </c>
    </row>
    <row r="2302" spans="1:21" ht="10.9" customHeight="1" x14ac:dyDescent="0.2">
      <c r="A2302" s="82" t="s">
        <v>3198</v>
      </c>
      <c r="B2302" s="83">
        <v>45931</v>
      </c>
      <c r="C2302" s="82" t="s">
        <v>3395</v>
      </c>
      <c r="D2302" s="82" t="s">
        <v>614</v>
      </c>
      <c r="E2302" s="82"/>
      <c r="F2302" s="82" t="s">
        <v>4776</v>
      </c>
      <c r="G2302" s="89">
        <v>1</v>
      </c>
      <c r="H2302" s="89">
        <v>1569.98</v>
      </c>
      <c r="I2302" s="85">
        <v>0</v>
      </c>
      <c r="J2302" s="85">
        <v>78.5</v>
      </c>
      <c r="K2302" s="85">
        <v>1648.48</v>
      </c>
      <c r="L2302" s="85">
        <v>6106.39</v>
      </c>
      <c r="M2302" s="89">
        <v>1569.98</v>
      </c>
      <c r="N2302" s="85">
        <v>0</v>
      </c>
      <c r="O2302" s="85">
        <v>78.5</v>
      </c>
      <c r="P2302" s="85">
        <v>1648.48</v>
      </c>
      <c r="Q2302" s="85">
        <v>6106.39</v>
      </c>
      <c r="R2302" s="82" t="s">
        <v>3399</v>
      </c>
      <c r="S2302" s="7">
        <f t="shared" si="106"/>
        <v>0</v>
      </c>
      <c r="T2302" s="6">
        <f t="shared" si="107"/>
        <v>0</v>
      </c>
      <c r="U2302" s="25">
        <f t="shared" si="105"/>
        <v>0</v>
      </c>
    </row>
    <row r="2303" spans="1:21" ht="10.9" customHeight="1" x14ac:dyDescent="0.2">
      <c r="A2303" s="82" t="s">
        <v>3198</v>
      </c>
      <c r="B2303" s="83">
        <v>45931</v>
      </c>
      <c r="C2303" s="82" t="s">
        <v>3395</v>
      </c>
      <c r="D2303" s="82" t="s">
        <v>614</v>
      </c>
      <c r="E2303" s="82"/>
      <c r="F2303" s="82" t="s">
        <v>4775</v>
      </c>
      <c r="G2303" s="89">
        <v>1</v>
      </c>
      <c r="H2303" s="89">
        <v>1626.36</v>
      </c>
      <c r="I2303" s="85">
        <v>0</v>
      </c>
      <c r="J2303" s="85">
        <v>81.319999999999993</v>
      </c>
      <c r="K2303" s="85">
        <v>1707.68</v>
      </c>
      <c r="L2303" s="85">
        <v>6106.39</v>
      </c>
      <c r="M2303" s="89">
        <v>1626.36</v>
      </c>
      <c r="N2303" s="85">
        <v>0</v>
      </c>
      <c r="O2303" s="85">
        <v>81.319999999999993</v>
      </c>
      <c r="P2303" s="85">
        <v>1707.68</v>
      </c>
      <c r="Q2303" s="85">
        <v>6106.39</v>
      </c>
      <c r="R2303" s="82" t="s">
        <v>3399</v>
      </c>
      <c r="S2303" s="7">
        <f t="shared" si="106"/>
        <v>0</v>
      </c>
      <c r="T2303" s="6">
        <f t="shared" si="107"/>
        <v>0</v>
      </c>
      <c r="U2303" s="25">
        <f t="shared" si="105"/>
        <v>0</v>
      </c>
    </row>
    <row r="2304" spans="1:21" ht="10.9" customHeight="1" x14ac:dyDescent="0.2">
      <c r="A2304" s="82" t="s">
        <v>3198</v>
      </c>
      <c r="B2304" s="83">
        <v>45931</v>
      </c>
      <c r="C2304" s="82" t="s">
        <v>3395</v>
      </c>
      <c r="D2304" s="82" t="s">
        <v>614</v>
      </c>
      <c r="E2304" s="82"/>
      <c r="F2304" s="82" t="s">
        <v>4774</v>
      </c>
      <c r="G2304" s="89">
        <v>1</v>
      </c>
      <c r="H2304" s="89">
        <v>2619.27</v>
      </c>
      <c r="I2304" s="85">
        <v>0</v>
      </c>
      <c r="J2304" s="85">
        <v>130.96</v>
      </c>
      <c r="K2304" s="85">
        <v>2750.23</v>
      </c>
      <c r="L2304" s="85">
        <v>6106.39</v>
      </c>
      <c r="M2304" s="89">
        <v>2619.27</v>
      </c>
      <c r="N2304" s="85">
        <v>0</v>
      </c>
      <c r="O2304" s="85">
        <v>130.96</v>
      </c>
      <c r="P2304" s="85">
        <v>2750.23</v>
      </c>
      <c r="Q2304" s="85">
        <v>6106.39</v>
      </c>
      <c r="R2304" s="82" t="s">
        <v>3399</v>
      </c>
      <c r="S2304" s="7">
        <f t="shared" si="106"/>
        <v>0</v>
      </c>
      <c r="T2304" s="6">
        <f t="shared" si="107"/>
        <v>0</v>
      </c>
      <c r="U2304" s="25">
        <f t="shared" si="105"/>
        <v>0</v>
      </c>
    </row>
    <row r="2305" spans="1:21" ht="10.9" customHeight="1" x14ac:dyDescent="0.2">
      <c r="A2305" s="82" t="s">
        <v>3031</v>
      </c>
      <c r="B2305" s="83">
        <v>45931</v>
      </c>
      <c r="C2305" s="82" t="s">
        <v>3395</v>
      </c>
      <c r="D2305" s="82" t="s">
        <v>945</v>
      </c>
      <c r="E2305" s="82"/>
      <c r="F2305" s="82" t="s">
        <v>4755</v>
      </c>
      <c r="G2305" s="89">
        <v>11</v>
      </c>
      <c r="H2305" s="89">
        <v>22.02</v>
      </c>
      <c r="I2305" s="85">
        <v>0</v>
      </c>
      <c r="J2305" s="85">
        <v>12.11</v>
      </c>
      <c r="K2305" s="85">
        <v>254.33</v>
      </c>
      <c r="L2305" s="85">
        <v>254.33</v>
      </c>
      <c r="M2305" s="89">
        <v>22.02</v>
      </c>
      <c r="N2305" s="85">
        <v>0</v>
      </c>
      <c r="O2305" s="85">
        <v>12.11</v>
      </c>
      <c r="P2305" s="85">
        <v>254.33</v>
      </c>
      <c r="Q2305" s="85">
        <v>254.33</v>
      </c>
      <c r="R2305" s="82" t="s">
        <v>3399</v>
      </c>
      <c r="S2305" s="7">
        <f t="shared" si="106"/>
        <v>0</v>
      </c>
      <c r="T2305" s="6">
        <f t="shared" si="107"/>
        <v>0</v>
      </c>
      <c r="U2305" s="25">
        <f t="shared" si="105"/>
        <v>0</v>
      </c>
    </row>
    <row r="2306" spans="1:21" ht="10.9" customHeight="1" x14ac:dyDescent="0.2">
      <c r="A2306" s="82" t="s">
        <v>2938</v>
      </c>
      <c r="B2306" s="83">
        <v>45931</v>
      </c>
      <c r="C2306" s="82" t="s">
        <v>3395</v>
      </c>
      <c r="D2306" s="82" t="s">
        <v>1104</v>
      </c>
      <c r="E2306" s="82"/>
      <c r="F2306" s="82" t="s">
        <v>4782</v>
      </c>
      <c r="G2306" s="89">
        <v>1</v>
      </c>
      <c r="H2306" s="89">
        <v>406</v>
      </c>
      <c r="I2306" s="85">
        <v>0</v>
      </c>
      <c r="J2306" s="85">
        <v>52.78</v>
      </c>
      <c r="K2306" s="85">
        <v>458.78</v>
      </c>
      <c r="L2306" s="85">
        <v>458.78</v>
      </c>
      <c r="M2306" s="89">
        <v>406</v>
      </c>
      <c r="N2306" s="85">
        <v>0</v>
      </c>
      <c r="O2306" s="85">
        <v>52.78</v>
      </c>
      <c r="P2306" s="85">
        <v>458.78</v>
      </c>
      <c r="Q2306" s="85">
        <v>458.78</v>
      </c>
      <c r="R2306" s="82" t="s">
        <v>3399</v>
      </c>
      <c r="S2306" s="7">
        <f t="shared" si="106"/>
        <v>0</v>
      </c>
      <c r="T2306" s="6">
        <f t="shared" si="107"/>
        <v>0</v>
      </c>
      <c r="U2306" s="25">
        <f t="shared" ref="U2306:U2369" si="108">IF(T2306=1,K2306-J2306,0)</f>
        <v>0</v>
      </c>
    </row>
    <row r="2307" spans="1:21" ht="10.9" customHeight="1" x14ac:dyDescent="0.2">
      <c r="A2307" s="82" t="s">
        <v>2936</v>
      </c>
      <c r="B2307" s="83">
        <v>45931</v>
      </c>
      <c r="C2307" s="82" t="s">
        <v>3395</v>
      </c>
      <c r="D2307" s="82" t="s">
        <v>3434</v>
      </c>
      <c r="E2307" s="82"/>
      <c r="F2307" s="82" t="s">
        <v>4781</v>
      </c>
      <c r="G2307" s="89">
        <v>2</v>
      </c>
      <c r="H2307" s="89">
        <v>1137.1099999999999</v>
      </c>
      <c r="I2307" s="85">
        <v>0</v>
      </c>
      <c r="J2307" s="85">
        <v>295.64999999999998</v>
      </c>
      <c r="K2307" s="85">
        <v>2569.87</v>
      </c>
      <c r="L2307" s="85">
        <v>2569.87</v>
      </c>
      <c r="M2307" s="89">
        <v>1137.1099999999999</v>
      </c>
      <c r="N2307" s="85">
        <v>0</v>
      </c>
      <c r="O2307" s="85">
        <v>295.64999999999998</v>
      </c>
      <c r="P2307" s="85">
        <v>2569.87</v>
      </c>
      <c r="Q2307" s="85">
        <v>2569.87</v>
      </c>
      <c r="R2307" s="82" t="s">
        <v>3399</v>
      </c>
      <c r="S2307" s="7">
        <f t="shared" ref="S2307:S2370" si="109">IF(T2307=1,A2307,0)</f>
        <v>0</v>
      </c>
      <c r="T2307" s="6">
        <f t="shared" ref="T2307:T2370" si="110">IFERROR(FIND("Freight",F2307,1),0)</f>
        <v>0</v>
      </c>
      <c r="U2307" s="25">
        <f t="shared" si="108"/>
        <v>0</v>
      </c>
    </row>
    <row r="2308" spans="1:21" ht="10.9" customHeight="1" x14ac:dyDescent="0.2">
      <c r="A2308" s="82" t="s">
        <v>3224</v>
      </c>
      <c r="B2308" s="83">
        <v>45931</v>
      </c>
      <c r="C2308" s="82" t="s">
        <v>3395</v>
      </c>
      <c r="D2308" s="82" t="s">
        <v>553</v>
      </c>
      <c r="E2308" s="82"/>
      <c r="F2308" s="82" t="s">
        <v>4621</v>
      </c>
      <c r="G2308" s="89">
        <v>1</v>
      </c>
      <c r="H2308" s="89">
        <v>1863.92</v>
      </c>
      <c r="I2308" s="85">
        <v>0</v>
      </c>
      <c r="J2308" s="85">
        <v>93.2</v>
      </c>
      <c r="K2308" s="85">
        <v>1957.12</v>
      </c>
      <c r="L2308" s="85">
        <v>1957.12</v>
      </c>
      <c r="M2308" s="89">
        <v>1863.92</v>
      </c>
      <c r="N2308" s="85">
        <v>0</v>
      </c>
      <c r="O2308" s="85">
        <v>93.2</v>
      </c>
      <c r="P2308" s="85">
        <v>1957.12</v>
      </c>
      <c r="Q2308" s="85">
        <v>1957.12</v>
      </c>
      <c r="R2308" s="82" t="s">
        <v>3399</v>
      </c>
      <c r="S2308" s="7">
        <f t="shared" si="109"/>
        <v>0</v>
      </c>
      <c r="T2308" s="6">
        <f t="shared" si="110"/>
        <v>0</v>
      </c>
      <c r="U2308" s="25">
        <f t="shared" si="108"/>
        <v>0</v>
      </c>
    </row>
    <row r="2309" spans="1:21" ht="10.9" customHeight="1" x14ac:dyDescent="0.2">
      <c r="A2309" s="82"/>
      <c r="B2309" s="83">
        <v>45931</v>
      </c>
      <c r="C2309" s="82" t="s">
        <v>3423</v>
      </c>
      <c r="D2309" s="82"/>
      <c r="E2309" s="82"/>
      <c r="F2309" s="82" t="s">
        <v>4772</v>
      </c>
      <c r="G2309" s="89">
        <v>-1</v>
      </c>
      <c r="H2309" s="89">
        <v>5214.37</v>
      </c>
      <c r="I2309" s="85">
        <v>0</v>
      </c>
      <c r="J2309" s="85">
        <v>0</v>
      </c>
      <c r="K2309" s="85">
        <v>-5214.37</v>
      </c>
      <c r="L2309" s="85">
        <v>-5214.37</v>
      </c>
      <c r="M2309" s="89">
        <v>5214.37</v>
      </c>
      <c r="N2309" s="85">
        <v>0</v>
      </c>
      <c r="O2309" s="85">
        <v>0</v>
      </c>
      <c r="P2309" s="85">
        <v>-5214.37</v>
      </c>
      <c r="Q2309" s="85">
        <v>-5214.37</v>
      </c>
      <c r="R2309" s="82" t="s">
        <v>3399</v>
      </c>
      <c r="S2309" s="7">
        <f t="shared" si="109"/>
        <v>0</v>
      </c>
      <c r="T2309" s="6">
        <f t="shared" si="110"/>
        <v>0</v>
      </c>
      <c r="U2309" s="25">
        <f t="shared" si="108"/>
        <v>0</v>
      </c>
    </row>
    <row r="2310" spans="1:21" ht="10.9" customHeight="1" x14ac:dyDescent="0.2">
      <c r="A2310" s="82" t="s">
        <v>3241</v>
      </c>
      <c r="B2310" s="83">
        <v>45932</v>
      </c>
      <c r="C2310" s="82" t="s">
        <v>3395</v>
      </c>
      <c r="D2310" s="82" t="s">
        <v>522</v>
      </c>
      <c r="E2310" s="82"/>
      <c r="F2310" s="82" t="s">
        <v>4771</v>
      </c>
      <c r="G2310" s="89">
        <v>2</v>
      </c>
      <c r="H2310" s="89">
        <v>483</v>
      </c>
      <c r="I2310" s="85">
        <v>0</v>
      </c>
      <c r="J2310" s="85">
        <v>0</v>
      </c>
      <c r="K2310" s="85">
        <v>966</v>
      </c>
      <c r="L2310" s="85">
        <v>966</v>
      </c>
      <c r="M2310" s="89">
        <v>674.62057830207914</v>
      </c>
      <c r="N2310" s="85">
        <v>0</v>
      </c>
      <c r="O2310" s="85">
        <v>0</v>
      </c>
      <c r="P2310" s="85">
        <v>1349.2411566041583</v>
      </c>
      <c r="Q2310" s="85">
        <v>1349.2411566041583</v>
      </c>
      <c r="R2310" s="82" t="s">
        <v>3396</v>
      </c>
      <c r="S2310" s="7">
        <f t="shared" si="109"/>
        <v>0</v>
      </c>
      <c r="T2310" s="6">
        <f t="shared" si="110"/>
        <v>0</v>
      </c>
      <c r="U2310" s="25">
        <f t="shared" si="108"/>
        <v>0</v>
      </c>
    </row>
    <row r="2311" spans="1:21" ht="10.9" customHeight="1" x14ac:dyDescent="0.2">
      <c r="A2311" s="82" t="s">
        <v>3214</v>
      </c>
      <c r="B2311" s="83">
        <v>45932</v>
      </c>
      <c r="C2311" s="82" t="s">
        <v>3395</v>
      </c>
      <c r="D2311" s="82" t="s">
        <v>575</v>
      </c>
      <c r="E2311" s="82"/>
      <c r="F2311" s="82" t="s">
        <v>4414</v>
      </c>
      <c r="G2311" s="89">
        <v>2</v>
      </c>
      <c r="H2311" s="89">
        <v>1389.92</v>
      </c>
      <c r="I2311" s="85">
        <v>0</v>
      </c>
      <c r="J2311" s="85">
        <v>138.99</v>
      </c>
      <c r="K2311" s="85">
        <v>2918.83</v>
      </c>
      <c r="L2311" s="85">
        <v>2918.83</v>
      </c>
      <c r="M2311" s="89">
        <v>1389.92</v>
      </c>
      <c r="N2311" s="85">
        <v>0</v>
      </c>
      <c r="O2311" s="85">
        <v>138.99</v>
      </c>
      <c r="P2311" s="85">
        <v>2918.83</v>
      </c>
      <c r="Q2311" s="85">
        <v>2918.83</v>
      </c>
      <c r="R2311" s="82" t="s">
        <v>3399</v>
      </c>
      <c r="S2311" s="7">
        <f t="shared" si="109"/>
        <v>0</v>
      </c>
      <c r="T2311" s="6">
        <f t="shared" si="110"/>
        <v>0</v>
      </c>
      <c r="U2311" s="25">
        <f t="shared" si="108"/>
        <v>0</v>
      </c>
    </row>
    <row r="2312" spans="1:21" ht="10.9" customHeight="1" x14ac:dyDescent="0.2">
      <c r="A2312" s="82" t="s">
        <v>3246</v>
      </c>
      <c r="B2312" s="83">
        <v>45932</v>
      </c>
      <c r="C2312" s="82" t="s">
        <v>3395</v>
      </c>
      <c r="D2312" s="82" t="s">
        <v>513</v>
      </c>
      <c r="E2312" s="82"/>
      <c r="F2312" s="82" t="s">
        <v>4770</v>
      </c>
      <c r="G2312" s="89">
        <v>1</v>
      </c>
      <c r="H2312" s="89">
        <v>1353.38</v>
      </c>
      <c r="I2312" s="85">
        <v>0</v>
      </c>
      <c r="J2312" s="85">
        <v>67.67</v>
      </c>
      <c r="K2312" s="85">
        <v>1421.05</v>
      </c>
      <c r="L2312" s="85">
        <v>1421.05</v>
      </c>
      <c r="M2312" s="89">
        <v>1353.38</v>
      </c>
      <c r="N2312" s="85">
        <v>0</v>
      </c>
      <c r="O2312" s="85">
        <v>67.67</v>
      </c>
      <c r="P2312" s="85">
        <v>1421.05</v>
      </c>
      <c r="Q2312" s="85">
        <v>1421.05</v>
      </c>
      <c r="R2312" s="82" t="s">
        <v>3399</v>
      </c>
      <c r="S2312" s="7">
        <f t="shared" si="109"/>
        <v>0</v>
      </c>
      <c r="T2312" s="6">
        <f t="shared" si="110"/>
        <v>0</v>
      </c>
      <c r="U2312" s="25">
        <f t="shared" si="108"/>
        <v>0</v>
      </c>
    </row>
    <row r="2313" spans="1:21" ht="10.9" customHeight="1" x14ac:dyDescent="0.2">
      <c r="A2313" s="82" t="s">
        <v>3240</v>
      </c>
      <c r="B2313" s="83">
        <v>45932</v>
      </c>
      <c r="C2313" s="82" t="s">
        <v>3395</v>
      </c>
      <c r="D2313" s="82" t="s">
        <v>524</v>
      </c>
      <c r="E2313" s="82"/>
      <c r="F2313" s="82" t="s">
        <v>4769</v>
      </c>
      <c r="G2313" s="89">
        <v>2</v>
      </c>
      <c r="H2313" s="89">
        <v>236.55</v>
      </c>
      <c r="I2313" s="85">
        <v>0</v>
      </c>
      <c r="J2313" s="85">
        <v>23.66</v>
      </c>
      <c r="K2313" s="85">
        <v>496.76</v>
      </c>
      <c r="L2313" s="85">
        <v>1004.5</v>
      </c>
      <c r="M2313" s="89">
        <v>236.55</v>
      </c>
      <c r="N2313" s="85">
        <v>0</v>
      </c>
      <c r="O2313" s="85">
        <v>23.66</v>
      </c>
      <c r="P2313" s="85">
        <v>496.76</v>
      </c>
      <c r="Q2313" s="85">
        <v>1004.5</v>
      </c>
      <c r="R2313" s="82" t="s">
        <v>3399</v>
      </c>
      <c r="S2313" s="7">
        <f t="shared" si="109"/>
        <v>0</v>
      </c>
      <c r="T2313" s="6">
        <f t="shared" si="110"/>
        <v>0</v>
      </c>
      <c r="U2313" s="25">
        <f t="shared" si="108"/>
        <v>0</v>
      </c>
    </row>
    <row r="2314" spans="1:21" ht="10.9" customHeight="1" x14ac:dyDescent="0.2">
      <c r="A2314" s="82" t="s">
        <v>3240</v>
      </c>
      <c r="B2314" s="83">
        <v>45932</v>
      </c>
      <c r="C2314" s="82" t="s">
        <v>3395</v>
      </c>
      <c r="D2314" s="82" t="s">
        <v>524</v>
      </c>
      <c r="E2314" s="82"/>
      <c r="F2314" s="82" t="s">
        <v>4768</v>
      </c>
      <c r="G2314" s="89">
        <v>2</v>
      </c>
      <c r="H2314" s="89">
        <v>241.78</v>
      </c>
      <c r="I2314" s="85">
        <v>0</v>
      </c>
      <c r="J2314" s="85">
        <v>24.18</v>
      </c>
      <c r="K2314" s="85">
        <v>507.74</v>
      </c>
      <c r="L2314" s="85">
        <v>1004.5</v>
      </c>
      <c r="M2314" s="89">
        <v>241.78</v>
      </c>
      <c r="N2314" s="85">
        <v>0</v>
      </c>
      <c r="O2314" s="85">
        <v>24.18</v>
      </c>
      <c r="P2314" s="85">
        <v>507.74</v>
      </c>
      <c r="Q2314" s="85">
        <v>1004.5</v>
      </c>
      <c r="R2314" s="82" t="s">
        <v>3399</v>
      </c>
      <c r="S2314" s="7">
        <f t="shared" si="109"/>
        <v>0</v>
      </c>
      <c r="T2314" s="6">
        <f t="shared" si="110"/>
        <v>0</v>
      </c>
      <c r="U2314" s="25">
        <f t="shared" si="108"/>
        <v>0</v>
      </c>
    </row>
    <row r="2315" spans="1:21" ht="10.9" customHeight="1" x14ac:dyDescent="0.2">
      <c r="A2315" s="82"/>
      <c r="B2315" s="83">
        <v>45932</v>
      </c>
      <c r="C2315" s="82" t="s">
        <v>3423</v>
      </c>
      <c r="D2315" s="82"/>
      <c r="E2315" s="82"/>
      <c r="F2315" s="82" t="s">
        <v>4645</v>
      </c>
      <c r="G2315" s="89">
        <v>-1</v>
      </c>
      <c r="H2315" s="89">
        <v>33.99</v>
      </c>
      <c r="I2315" s="85">
        <v>0</v>
      </c>
      <c r="J2315" s="85">
        <v>0</v>
      </c>
      <c r="K2315" s="85">
        <v>-33.99</v>
      </c>
      <c r="L2315" s="85">
        <v>-33.99</v>
      </c>
      <c r="M2315" s="89">
        <v>33.99</v>
      </c>
      <c r="N2315" s="85">
        <v>0</v>
      </c>
      <c r="O2315" s="85">
        <v>0</v>
      </c>
      <c r="P2315" s="85">
        <v>-33.99</v>
      </c>
      <c r="Q2315" s="85">
        <v>-33.99</v>
      </c>
      <c r="R2315" s="82" t="s">
        <v>4511</v>
      </c>
      <c r="S2315" s="7">
        <f t="shared" si="109"/>
        <v>0</v>
      </c>
      <c r="T2315" s="6">
        <f t="shared" si="110"/>
        <v>0</v>
      </c>
      <c r="U2315" s="25">
        <f t="shared" si="108"/>
        <v>0</v>
      </c>
    </row>
    <row r="2316" spans="1:21" ht="10.9" customHeight="1" x14ac:dyDescent="0.2">
      <c r="A2316" s="82" t="s">
        <v>2863</v>
      </c>
      <c r="B2316" s="83">
        <v>45936</v>
      </c>
      <c r="C2316" s="82" t="s">
        <v>3395</v>
      </c>
      <c r="D2316" s="82" t="s">
        <v>1226</v>
      </c>
      <c r="E2316" s="82"/>
      <c r="F2316" s="82" t="s">
        <v>4760</v>
      </c>
      <c r="G2316" s="89">
        <v>2</v>
      </c>
      <c r="H2316" s="89">
        <v>85.6</v>
      </c>
      <c r="I2316" s="85">
        <v>0</v>
      </c>
      <c r="J2316" s="85">
        <v>0</v>
      </c>
      <c r="K2316" s="85">
        <v>171.2</v>
      </c>
      <c r="L2316" s="85">
        <v>791.8</v>
      </c>
      <c r="M2316" s="89">
        <v>119.40265196637755</v>
      </c>
      <c r="N2316" s="85">
        <v>0</v>
      </c>
      <c r="O2316" s="85">
        <v>0</v>
      </c>
      <c r="P2316" s="85">
        <v>238.80530393275509</v>
      </c>
      <c r="Q2316" s="85">
        <v>1104.4745306889924</v>
      </c>
      <c r="R2316" s="82" t="s">
        <v>3399</v>
      </c>
      <c r="S2316" s="7">
        <f t="shared" si="109"/>
        <v>0</v>
      </c>
      <c r="T2316" s="6">
        <f t="shared" si="110"/>
        <v>0</v>
      </c>
      <c r="U2316" s="25">
        <f t="shared" si="108"/>
        <v>0</v>
      </c>
    </row>
    <row r="2317" spans="1:21" ht="10.9" customHeight="1" x14ac:dyDescent="0.2">
      <c r="A2317" s="82" t="s">
        <v>2863</v>
      </c>
      <c r="B2317" s="83">
        <v>45936</v>
      </c>
      <c r="C2317" s="82" t="s">
        <v>3395</v>
      </c>
      <c r="D2317" s="82" t="s">
        <v>1226</v>
      </c>
      <c r="E2317" s="82"/>
      <c r="F2317" s="82" t="s">
        <v>4759</v>
      </c>
      <c r="G2317" s="89">
        <v>2</v>
      </c>
      <c r="H2317" s="89">
        <v>176.55</v>
      </c>
      <c r="I2317" s="85">
        <v>0</v>
      </c>
      <c r="J2317" s="85">
        <v>0</v>
      </c>
      <c r="K2317" s="85">
        <v>353.1</v>
      </c>
      <c r="L2317" s="85">
        <v>791.8</v>
      </c>
      <c r="M2317" s="89">
        <v>246.26796968065369</v>
      </c>
      <c r="N2317" s="85">
        <v>0</v>
      </c>
      <c r="O2317" s="85">
        <v>0</v>
      </c>
      <c r="P2317" s="85">
        <v>492.53593936130738</v>
      </c>
      <c r="Q2317" s="85">
        <v>1104.4745306889924</v>
      </c>
      <c r="R2317" s="82" t="s">
        <v>3399</v>
      </c>
      <c r="S2317" s="7">
        <f t="shared" si="109"/>
        <v>0</v>
      </c>
      <c r="T2317" s="6">
        <f t="shared" si="110"/>
        <v>0</v>
      </c>
      <c r="U2317" s="25">
        <f t="shared" si="108"/>
        <v>0</v>
      </c>
    </row>
    <row r="2318" spans="1:21" ht="10.9" customHeight="1" x14ac:dyDescent="0.2">
      <c r="A2318" s="82" t="s">
        <v>2863</v>
      </c>
      <c r="B2318" s="83">
        <v>45936</v>
      </c>
      <c r="C2318" s="82" t="s">
        <v>3395</v>
      </c>
      <c r="D2318" s="82" t="s">
        <v>1226</v>
      </c>
      <c r="E2318" s="82"/>
      <c r="F2318" s="82" t="s">
        <v>4758</v>
      </c>
      <c r="G2318" s="89">
        <v>1</v>
      </c>
      <c r="H2318" s="89">
        <v>267.5</v>
      </c>
      <c r="I2318" s="85">
        <v>0</v>
      </c>
      <c r="J2318" s="85">
        <v>0</v>
      </c>
      <c r="K2318" s="85">
        <v>267.5</v>
      </c>
      <c r="L2318" s="85">
        <v>791.8</v>
      </c>
      <c r="M2318" s="89">
        <v>373.13328739492982</v>
      </c>
      <c r="N2318" s="85">
        <v>0</v>
      </c>
      <c r="O2318" s="85">
        <v>0</v>
      </c>
      <c r="P2318" s="85">
        <v>373.13328739492982</v>
      </c>
      <c r="Q2318" s="85">
        <v>1104.4745306889924</v>
      </c>
      <c r="R2318" s="82" t="s">
        <v>3399</v>
      </c>
      <c r="S2318" s="7">
        <f t="shared" si="109"/>
        <v>0</v>
      </c>
      <c r="T2318" s="6">
        <f t="shared" si="110"/>
        <v>0</v>
      </c>
      <c r="U2318" s="25">
        <f t="shared" si="108"/>
        <v>0</v>
      </c>
    </row>
    <row r="2319" spans="1:21" ht="10.9" customHeight="1" x14ac:dyDescent="0.2">
      <c r="A2319" s="82" t="s">
        <v>2828</v>
      </c>
      <c r="B2319" s="83">
        <v>45936</v>
      </c>
      <c r="C2319" s="82" t="s">
        <v>3395</v>
      </c>
      <c r="D2319" s="82" t="s">
        <v>1290</v>
      </c>
      <c r="E2319" s="82"/>
      <c r="F2319" s="82" t="s">
        <v>4754</v>
      </c>
      <c r="G2319" s="89">
        <v>4</v>
      </c>
      <c r="H2319" s="89">
        <v>631.29999999999995</v>
      </c>
      <c r="I2319" s="85">
        <v>50.5</v>
      </c>
      <c r="J2319" s="85">
        <v>0</v>
      </c>
      <c r="K2319" s="85">
        <v>2474.6999999999998</v>
      </c>
      <c r="L2319" s="85">
        <v>2474.6999999999998</v>
      </c>
      <c r="M2319" s="89">
        <v>880.5945582520344</v>
      </c>
      <c r="N2319" s="85">
        <v>70.441985096986755</v>
      </c>
      <c r="O2319" s="85">
        <v>0</v>
      </c>
      <c r="P2319" s="85">
        <v>3451.936247911151</v>
      </c>
      <c r="Q2319" s="85">
        <v>3451.936247911151</v>
      </c>
      <c r="R2319" s="82" t="s">
        <v>3399</v>
      </c>
      <c r="S2319" s="7">
        <f t="shared" si="109"/>
        <v>0</v>
      </c>
      <c r="T2319" s="6">
        <f t="shared" si="110"/>
        <v>0</v>
      </c>
      <c r="U2319" s="25">
        <f t="shared" si="108"/>
        <v>0</v>
      </c>
    </row>
    <row r="2320" spans="1:21" ht="10.9" customHeight="1" x14ac:dyDescent="0.2">
      <c r="A2320" s="82" t="s">
        <v>2812</v>
      </c>
      <c r="B2320" s="83">
        <v>45936</v>
      </c>
      <c r="C2320" s="82" t="s">
        <v>3395</v>
      </c>
      <c r="D2320" s="82" t="s">
        <v>1319</v>
      </c>
      <c r="E2320" s="82"/>
      <c r="F2320" s="82" t="s">
        <v>4753</v>
      </c>
      <c r="G2320" s="89">
        <v>1</v>
      </c>
      <c r="H2320" s="89">
        <v>5193.5</v>
      </c>
      <c r="I2320" s="85">
        <v>0</v>
      </c>
      <c r="J2320" s="85">
        <v>0</v>
      </c>
      <c r="K2320" s="85">
        <v>5193.5</v>
      </c>
      <c r="L2320" s="85">
        <v>5193.5</v>
      </c>
      <c r="M2320" s="89">
        <v>7244.3653386376382</v>
      </c>
      <c r="N2320" s="85">
        <v>0</v>
      </c>
      <c r="O2320" s="85">
        <v>0</v>
      </c>
      <c r="P2320" s="85">
        <v>7244.3653386376382</v>
      </c>
      <c r="Q2320" s="85">
        <v>7244.3653386376382</v>
      </c>
      <c r="R2320" s="82" t="s">
        <v>3399</v>
      </c>
      <c r="S2320" s="7">
        <f t="shared" si="109"/>
        <v>0</v>
      </c>
      <c r="T2320" s="6">
        <f t="shared" si="110"/>
        <v>0</v>
      </c>
      <c r="U2320" s="25">
        <f t="shared" si="108"/>
        <v>0</v>
      </c>
    </row>
    <row r="2321" spans="1:21" ht="10.9" customHeight="1" x14ac:dyDescent="0.2">
      <c r="A2321" s="82" t="s">
        <v>3108</v>
      </c>
      <c r="B2321" s="83">
        <v>45936</v>
      </c>
      <c r="C2321" s="82" t="s">
        <v>3395</v>
      </c>
      <c r="D2321" s="82" t="s">
        <v>796</v>
      </c>
      <c r="E2321" s="82"/>
      <c r="F2321" s="82" t="s">
        <v>4753</v>
      </c>
      <c r="G2321" s="89">
        <v>2</v>
      </c>
      <c r="H2321" s="89">
        <v>5901.7</v>
      </c>
      <c r="I2321" s="85">
        <v>0</v>
      </c>
      <c r="J2321" s="85">
        <v>0</v>
      </c>
      <c r="K2321" s="85">
        <v>11803.4</v>
      </c>
      <c r="L2321" s="85">
        <v>11803.4</v>
      </c>
      <c r="M2321" s="89">
        <v>8232.226998948252</v>
      </c>
      <c r="N2321" s="85">
        <v>0</v>
      </c>
      <c r="O2321" s="85">
        <v>0</v>
      </c>
      <c r="P2321" s="85">
        <v>16464.453997896504</v>
      </c>
      <c r="Q2321" s="85">
        <v>16464.453997896504</v>
      </c>
      <c r="R2321" s="82" t="s">
        <v>4511</v>
      </c>
      <c r="S2321" s="7">
        <f t="shared" si="109"/>
        <v>0</v>
      </c>
      <c r="T2321" s="6">
        <f t="shared" si="110"/>
        <v>0</v>
      </c>
      <c r="U2321" s="25">
        <f t="shared" si="108"/>
        <v>0</v>
      </c>
    </row>
    <row r="2322" spans="1:21" ht="10.9" customHeight="1" x14ac:dyDescent="0.2">
      <c r="A2322" s="82" t="s">
        <v>3189</v>
      </c>
      <c r="B2322" s="83">
        <v>45936</v>
      </c>
      <c r="C2322" s="82" t="s">
        <v>3395</v>
      </c>
      <c r="D2322" s="82" t="s">
        <v>634</v>
      </c>
      <c r="E2322" s="82"/>
      <c r="F2322" s="82" t="s">
        <v>4629</v>
      </c>
      <c r="G2322" s="89">
        <v>8</v>
      </c>
      <c r="H2322" s="89">
        <v>673.64</v>
      </c>
      <c r="I2322" s="85">
        <v>0</v>
      </c>
      <c r="J2322" s="85">
        <v>0</v>
      </c>
      <c r="K2322" s="85">
        <v>5389.12</v>
      </c>
      <c r="L2322" s="85">
        <v>5389.12</v>
      </c>
      <c r="M2322" s="89">
        <v>939.65423446998329</v>
      </c>
      <c r="N2322" s="85">
        <v>0</v>
      </c>
      <c r="O2322" s="85">
        <v>0</v>
      </c>
      <c r="P2322" s="85">
        <v>7517.2338757598664</v>
      </c>
      <c r="Q2322" s="85">
        <v>7517.2338757598664</v>
      </c>
      <c r="R2322" s="82" t="s">
        <v>3399</v>
      </c>
      <c r="S2322" s="7">
        <f t="shared" si="109"/>
        <v>0</v>
      </c>
      <c r="T2322" s="6">
        <f t="shared" si="110"/>
        <v>0</v>
      </c>
      <c r="U2322" s="25">
        <f t="shared" si="108"/>
        <v>0</v>
      </c>
    </row>
    <row r="2323" spans="1:21" ht="10.9" customHeight="1" x14ac:dyDescent="0.2">
      <c r="A2323" s="82" t="s">
        <v>3243</v>
      </c>
      <c r="B2323" s="83">
        <v>45936</v>
      </c>
      <c r="C2323" s="82" t="s">
        <v>3395</v>
      </c>
      <c r="D2323" s="82" t="s">
        <v>520</v>
      </c>
      <c r="E2323" s="82"/>
      <c r="F2323" s="82" t="s">
        <v>4767</v>
      </c>
      <c r="G2323" s="89">
        <v>16</v>
      </c>
      <c r="H2323" s="89">
        <v>6304.77</v>
      </c>
      <c r="I2323" s="85">
        <v>0</v>
      </c>
      <c r="J2323" s="85">
        <v>0</v>
      </c>
      <c r="K2323" s="85">
        <v>100876.32</v>
      </c>
      <c r="L2323" s="85">
        <v>178684.57</v>
      </c>
      <c r="M2323" s="89">
        <v>8794.465631285726</v>
      </c>
      <c r="N2323" s="85">
        <v>0</v>
      </c>
      <c r="O2323" s="85">
        <v>0</v>
      </c>
      <c r="P2323" s="85">
        <v>140711.45010057162</v>
      </c>
      <c r="Q2323" s="85">
        <v>249245.46172280173</v>
      </c>
      <c r="R2323" s="82" t="s">
        <v>3396</v>
      </c>
      <c r="S2323" s="7">
        <f t="shared" si="109"/>
        <v>0</v>
      </c>
      <c r="T2323" s="6">
        <f t="shared" si="110"/>
        <v>0</v>
      </c>
      <c r="U2323" s="25">
        <f t="shared" si="108"/>
        <v>0</v>
      </c>
    </row>
    <row r="2324" spans="1:21" ht="10.9" customHeight="1" x14ac:dyDescent="0.2">
      <c r="A2324" s="82" t="s">
        <v>3243</v>
      </c>
      <c r="B2324" s="83">
        <v>45936</v>
      </c>
      <c r="C2324" s="82" t="s">
        <v>3395</v>
      </c>
      <c r="D2324" s="82" t="s">
        <v>520</v>
      </c>
      <c r="E2324" s="82"/>
      <c r="F2324" s="82" t="s">
        <v>4766</v>
      </c>
      <c r="G2324" s="89">
        <v>1</v>
      </c>
      <c r="H2324" s="89">
        <v>7045.45</v>
      </c>
      <c r="I2324" s="85">
        <v>0</v>
      </c>
      <c r="J2324" s="85">
        <v>0</v>
      </c>
      <c r="K2324" s="85">
        <v>7045.45</v>
      </c>
      <c r="L2324" s="85">
        <v>178684.57</v>
      </c>
      <c r="M2324" s="89">
        <v>9827.6333445854525</v>
      </c>
      <c r="N2324" s="85">
        <v>0</v>
      </c>
      <c r="O2324" s="85">
        <v>0</v>
      </c>
      <c r="P2324" s="85">
        <v>9827.6333445854525</v>
      </c>
      <c r="Q2324" s="85">
        <v>249245.46172280173</v>
      </c>
      <c r="R2324" s="82" t="s">
        <v>3396</v>
      </c>
      <c r="S2324" s="7">
        <f t="shared" si="109"/>
        <v>0</v>
      </c>
      <c r="T2324" s="6">
        <f t="shared" si="110"/>
        <v>0</v>
      </c>
      <c r="U2324" s="25">
        <f t="shared" si="108"/>
        <v>0</v>
      </c>
    </row>
    <row r="2325" spans="1:21" ht="10.9" customHeight="1" x14ac:dyDescent="0.2">
      <c r="A2325" s="82" t="s">
        <v>3243</v>
      </c>
      <c r="B2325" s="83">
        <v>45936</v>
      </c>
      <c r="C2325" s="82" t="s">
        <v>3395</v>
      </c>
      <c r="D2325" s="82" t="s">
        <v>520</v>
      </c>
      <c r="E2325" s="82"/>
      <c r="F2325" s="82" t="s">
        <v>4753</v>
      </c>
      <c r="G2325" s="89">
        <v>1</v>
      </c>
      <c r="H2325" s="89">
        <v>5901.7</v>
      </c>
      <c r="I2325" s="85">
        <v>0</v>
      </c>
      <c r="J2325" s="85">
        <v>0</v>
      </c>
      <c r="K2325" s="85">
        <v>5901.7</v>
      </c>
      <c r="L2325" s="85">
        <v>178684.57</v>
      </c>
      <c r="M2325" s="89">
        <v>8232.226998948252</v>
      </c>
      <c r="N2325" s="85">
        <v>0</v>
      </c>
      <c r="O2325" s="85">
        <v>0</v>
      </c>
      <c r="P2325" s="85">
        <v>8232.226998948252</v>
      </c>
      <c r="Q2325" s="85">
        <v>249245.46172280173</v>
      </c>
      <c r="R2325" s="82" t="s">
        <v>3396</v>
      </c>
      <c r="S2325" s="7">
        <f t="shared" si="109"/>
        <v>0</v>
      </c>
      <c r="T2325" s="6">
        <f t="shared" si="110"/>
        <v>0</v>
      </c>
      <c r="U2325" s="25">
        <f t="shared" si="108"/>
        <v>0</v>
      </c>
    </row>
    <row r="2326" spans="1:21" ht="10.9" customHeight="1" x14ac:dyDescent="0.2">
      <c r="A2326" s="82" t="s">
        <v>3243</v>
      </c>
      <c r="B2326" s="83">
        <v>45936</v>
      </c>
      <c r="C2326" s="82" t="s">
        <v>3395</v>
      </c>
      <c r="D2326" s="82" t="s">
        <v>520</v>
      </c>
      <c r="E2326" s="82"/>
      <c r="F2326" s="82" t="s">
        <v>4765</v>
      </c>
      <c r="G2326" s="89">
        <v>8</v>
      </c>
      <c r="H2326" s="89">
        <v>5901.7</v>
      </c>
      <c r="I2326" s="85">
        <v>0</v>
      </c>
      <c r="J2326" s="85">
        <v>0</v>
      </c>
      <c r="K2326" s="85">
        <v>47213.599999999999</v>
      </c>
      <c r="L2326" s="85">
        <v>178684.57</v>
      </c>
      <c r="M2326" s="89">
        <v>8232.226998948252</v>
      </c>
      <c r="N2326" s="85">
        <v>0</v>
      </c>
      <c r="O2326" s="85">
        <v>0</v>
      </c>
      <c r="P2326" s="85">
        <v>65857.815991586016</v>
      </c>
      <c r="Q2326" s="85">
        <v>249245.46172280173</v>
      </c>
      <c r="R2326" s="82" t="s">
        <v>3396</v>
      </c>
      <c r="S2326" s="7">
        <f t="shared" si="109"/>
        <v>0</v>
      </c>
      <c r="T2326" s="6">
        <f t="shared" si="110"/>
        <v>0</v>
      </c>
      <c r="U2326" s="25">
        <f t="shared" si="108"/>
        <v>0</v>
      </c>
    </row>
    <row r="2327" spans="1:21" ht="10.9" customHeight="1" x14ac:dyDescent="0.2">
      <c r="A2327" s="82" t="s">
        <v>3243</v>
      </c>
      <c r="B2327" s="83">
        <v>45936</v>
      </c>
      <c r="C2327" s="82" t="s">
        <v>3395</v>
      </c>
      <c r="D2327" s="82" t="s">
        <v>520</v>
      </c>
      <c r="E2327" s="82"/>
      <c r="F2327" s="82" t="s">
        <v>4764</v>
      </c>
      <c r="G2327" s="89">
        <v>16</v>
      </c>
      <c r="H2327" s="89">
        <v>43.18</v>
      </c>
      <c r="I2327" s="85">
        <v>0</v>
      </c>
      <c r="J2327" s="85">
        <v>0</v>
      </c>
      <c r="K2327" s="85">
        <v>690.88</v>
      </c>
      <c r="L2327" s="85">
        <v>178684.57</v>
      </c>
      <c r="M2327" s="89">
        <v>60.231384484908673</v>
      </c>
      <c r="N2327" s="85">
        <v>0</v>
      </c>
      <c r="O2327" s="85">
        <v>0</v>
      </c>
      <c r="P2327" s="85">
        <v>963.70215175853878</v>
      </c>
      <c r="Q2327" s="85">
        <v>249245.46172280173</v>
      </c>
      <c r="R2327" s="82" t="s">
        <v>3396</v>
      </c>
      <c r="S2327" s="7">
        <f t="shared" si="109"/>
        <v>0</v>
      </c>
      <c r="T2327" s="6">
        <f t="shared" si="110"/>
        <v>0</v>
      </c>
      <c r="U2327" s="25">
        <f t="shared" si="108"/>
        <v>0</v>
      </c>
    </row>
    <row r="2328" spans="1:21" ht="10.9" customHeight="1" x14ac:dyDescent="0.2">
      <c r="A2328" s="82" t="s">
        <v>3243</v>
      </c>
      <c r="B2328" s="83">
        <v>45936</v>
      </c>
      <c r="C2328" s="82" t="s">
        <v>3395</v>
      </c>
      <c r="D2328" s="82" t="s">
        <v>520</v>
      </c>
      <c r="E2328" s="82"/>
      <c r="F2328" s="82" t="s">
        <v>4634</v>
      </c>
      <c r="G2328" s="89">
        <v>1</v>
      </c>
      <c r="H2328" s="89">
        <v>1100.48</v>
      </c>
      <c r="I2328" s="85">
        <v>0</v>
      </c>
      <c r="J2328" s="85">
        <v>0</v>
      </c>
      <c r="K2328" s="85">
        <v>1100.48</v>
      </c>
      <c r="L2328" s="85">
        <v>178684.57</v>
      </c>
      <c r="M2328" s="89">
        <v>1535.0494209808314</v>
      </c>
      <c r="N2328" s="85">
        <v>0</v>
      </c>
      <c r="O2328" s="85">
        <v>0</v>
      </c>
      <c r="P2328" s="85">
        <v>1535.0494209808314</v>
      </c>
      <c r="Q2328" s="85">
        <v>249245.46172280173</v>
      </c>
      <c r="R2328" s="82" t="s">
        <v>3396</v>
      </c>
      <c r="S2328" s="7">
        <f t="shared" si="109"/>
        <v>0</v>
      </c>
      <c r="T2328" s="6">
        <f t="shared" si="110"/>
        <v>0</v>
      </c>
      <c r="U2328" s="25">
        <f t="shared" si="108"/>
        <v>0</v>
      </c>
    </row>
    <row r="2329" spans="1:21" ht="10.9" customHeight="1" x14ac:dyDescent="0.2">
      <c r="A2329" s="82" t="s">
        <v>3243</v>
      </c>
      <c r="B2329" s="83">
        <v>45936</v>
      </c>
      <c r="C2329" s="82" t="s">
        <v>3395</v>
      </c>
      <c r="D2329" s="82" t="s">
        <v>520</v>
      </c>
      <c r="E2329" s="82"/>
      <c r="F2329" s="82" t="s">
        <v>4763</v>
      </c>
      <c r="G2329" s="89">
        <v>2</v>
      </c>
      <c r="H2329" s="89">
        <v>5.68</v>
      </c>
      <c r="I2329" s="85">
        <v>0</v>
      </c>
      <c r="J2329" s="85">
        <v>0</v>
      </c>
      <c r="K2329" s="85">
        <v>11.36</v>
      </c>
      <c r="L2329" s="85">
        <v>178684.57</v>
      </c>
      <c r="M2329" s="89">
        <v>7.9229797099185104</v>
      </c>
      <c r="N2329" s="85">
        <v>0</v>
      </c>
      <c r="O2329" s="85">
        <v>0</v>
      </c>
      <c r="P2329" s="85">
        <v>15.845959419837021</v>
      </c>
      <c r="Q2329" s="85">
        <v>249245.46172280173</v>
      </c>
      <c r="R2329" s="82" t="s">
        <v>3396</v>
      </c>
      <c r="S2329" s="7">
        <f t="shared" si="109"/>
        <v>0</v>
      </c>
      <c r="T2329" s="6">
        <f t="shared" si="110"/>
        <v>0</v>
      </c>
      <c r="U2329" s="25">
        <f t="shared" si="108"/>
        <v>0</v>
      </c>
    </row>
    <row r="2330" spans="1:21" ht="10.9" customHeight="1" x14ac:dyDescent="0.2">
      <c r="A2330" s="82" t="s">
        <v>3243</v>
      </c>
      <c r="B2330" s="83">
        <v>45936</v>
      </c>
      <c r="C2330" s="82" t="s">
        <v>3395</v>
      </c>
      <c r="D2330" s="82" t="s">
        <v>520</v>
      </c>
      <c r="E2330" s="82"/>
      <c r="F2330" s="82" t="s">
        <v>4762</v>
      </c>
      <c r="G2330" s="89">
        <v>2</v>
      </c>
      <c r="H2330" s="89">
        <v>6882.39</v>
      </c>
      <c r="I2330" s="85">
        <v>0</v>
      </c>
      <c r="J2330" s="85">
        <v>0</v>
      </c>
      <c r="K2330" s="85">
        <v>13764.78</v>
      </c>
      <c r="L2330" s="85">
        <v>178684.57</v>
      </c>
      <c r="M2330" s="89">
        <v>9600.1824517158548</v>
      </c>
      <c r="N2330" s="85">
        <v>0</v>
      </c>
      <c r="O2330" s="85">
        <v>0</v>
      </c>
      <c r="P2330" s="85">
        <v>19200.36490343171</v>
      </c>
      <c r="Q2330" s="85">
        <v>249245.46172280173</v>
      </c>
      <c r="R2330" s="82" t="s">
        <v>3396</v>
      </c>
      <c r="S2330" s="7">
        <f t="shared" si="109"/>
        <v>0</v>
      </c>
      <c r="T2330" s="6">
        <f t="shared" si="110"/>
        <v>0</v>
      </c>
      <c r="U2330" s="25">
        <f t="shared" si="108"/>
        <v>0</v>
      </c>
    </row>
    <row r="2331" spans="1:21" ht="10.9" customHeight="1" x14ac:dyDescent="0.2">
      <c r="A2331" s="82" t="s">
        <v>3243</v>
      </c>
      <c r="B2331" s="83">
        <v>45936</v>
      </c>
      <c r="C2331" s="82" t="s">
        <v>3395</v>
      </c>
      <c r="D2331" s="82" t="s">
        <v>520</v>
      </c>
      <c r="E2331" s="82"/>
      <c r="F2331" s="82" t="s">
        <v>4761</v>
      </c>
      <c r="G2331" s="89">
        <v>64</v>
      </c>
      <c r="H2331" s="89">
        <v>32.5</v>
      </c>
      <c r="I2331" s="85">
        <v>0</v>
      </c>
      <c r="J2331" s="85">
        <v>0</v>
      </c>
      <c r="K2331" s="85">
        <v>2080</v>
      </c>
      <c r="L2331" s="85">
        <v>178684.57</v>
      </c>
      <c r="M2331" s="89">
        <v>45.333950804991474</v>
      </c>
      <c r="N2331" s="85">
        <v>0</v>
      </c>
      <c r="O2331" s="85">
        <v>0</v>
      </c>
      <c r="P2331" s="85">
        <v>2901.3728515194543</v>
      </c>
      <c r="Q2331" s="85">
        <v>249245.46172280173</v>
      </c>
      <c r="R2331" s="82" t="s">
        <v>3396</v>
      </c>
      <c r="S2331" s="7">
        <f t="shared" si="109"/>
        <v>0</v>
      </c>
      <c r="T2331" s="6">
        <f t="shared" si="110"/>
        <v>0</v>
      </c>
      <c r="U2331" s="25">
        <f t="shared" si="108"/>
        <v>0</v>
      </c>
    </row>
    <row r="2332" spans="1:21" ht="10.9" customHeight="1" x14ac:dyDescent="0.2">
      <c r="A2332" s="82" t="s">
        <v>3254</v>
      </c>
      <c r="B2332" s="83">
        <v>45936</v>
      </c>
      <c r="C2332" s="82" t="s">
        <v>3395</v>
      </c>
      <c r="D2332" s="82" t="s">
        <v>492</v>
      </c>
      <c r="E2332" s="82"/>
      <c r="F2332" s="82" t="s">
        <v>4736</v>
      </c>
      <c r="G2332" s="89">
        <v>1</v>
      </c>
      <c r="H2332" s="89">
        <v>373.11</v>
      </c>
      <c r="I2332" s="85">
        <v>0</v>
      </c>
      <c r="J2332" s="85">
        <v>18.66</v>
      </c>
      <c r="K2332" s="85">
        <v>391.77</v>
      </c>
      <c r="L2332" s="85">
        <v>391.77</v>
      </c>
      <c r="M2332" s="89">
        <v>373.11</v>
      </c>
      <c r="N2332" s="85">
        <v>0</v>
      </c>
      <c r="O2332" s="85">
        <v>18.66</v>
      </c>
      <c r="P2332" s="85">
        <v>391.77</v>
      </c>
      <c r="Q2332" s="85">
        <v>391.77</v>
      </c>
      <c r="R2332" s="82" t="s">
        <v>3399</v>
      </c>
      <c r="S2332" s="7">
        <f t="shared" si="109"/>
        <v>0</v>
      </c>
      <c r="T2332" s="6">
        <f t="shared" si="110"/>
        <v>0</v>
      </c>
      <c r="U2332" s="25">
        <f t="shared" si="108"/>
        <v>0</v>
      </c>
    </row>
    <row r="2333" spans="1:21" ht="10.9" customHeight="1" x14ac:dyDescent="0.2">
      <c r="A2333" s="82" t="s">
        <v>2861</v>
      </c>
      <c r="B2333" s="83">
        <v>45936</v>
      </c>
      <c r="C2333" s="82" t="s">
        <v>3395</v>
      </c>
      <c r="D2333" s="82" t="s">
        <v>1230</v>
      </c>
      <c r="E2333" s="82"/>
      <c r="F2333" s="82" t="s">
        <v>4757</v>
      </c>
      <c r="G2333" s="89">
        <v>1</v>
      </c>
      <c r="H2333" s="89">
        <v>9932.14</v>
      </c>
      <c r="I2333" s="85">
        <v>0</v>
      </c>
      <c r="J2333" s="85">
        <v>496.61</v>
      </c>
      <c r="K2333" s="85">
        <v>10428.75</v>
      </c>
      <c r="L2333" s="85">
        <v>10428.75</v>
      </c>
      <c r="M2333" s="89">
        <v>9932.14</v>
      </c>
      <c r="N2333" s="85">
        <v>0</v>
      </c>
      <c r="O2333" s="85">
        <v>496.61</v>
      </c>
      <c r="P2333" s="85">
        <v>10428.75</v>
      </c>
      <c r="Q2333" s="85">
        <v>10428.75</v>
      </c>
      <c r="R2333" s="82" t="s">
        <v>3399</v>
      </c>
      <c r="S2333" s="7">
        <f t="shared" si="109"/>
        <v>0</v>
      </c>
      <c r="T2333" s="6">
        <f t="shared" si="110"/>
        <v>0</v>
      </c>
      <c r="U2333" s="25">
        <f t="shared" si="108"/>
        <v>0</v>
      </c>
    </row>
    <row r="2334" spans="1:21" ht="10.9" customHeight="1" x14ac:dyDescent="0.2">
      <c r="A2334" s="82" t="s">
        <v>3003</v>
      </c>
      <c r="B2334" s="83">
        <v>45936</v>
      </c>
      <c r="C2334" s="82" t="s">
        <v>3395</v>
      </c>
      <c r="D2334" s="82" t="s">
        <v>996</v>
      </c>
      <c r="E2334" s="82"/>
      <c r="F2334" s="82" t="s">
        <v>4756</v>
      </c>
      <c r="G2334" s="89">
        <v>1</v>
      </c>
      <c r="H2334" s="89">
        <v>1549.78</v>
      </c>
      <c r="I2334" s="85">
        <v>0</v>
      </c>
      <c r="J2334" s="85">
        <v>77.489999999999995</v>
      </c>
      <c r="K2334" s="85">
        <v>1627.27</v>
      </c>
      <c r="L2334" s="85">
        <v>1627.27</v>
      </c>
      <c r="M2334" s="89">
        <v>1549.78</v>
      </c>
      <c r="N2334" s="85">
        <v>0</v>
      </c>
      <c r="O2334" s="85">
        <v>77.489999999999995</v>
      </c>
      <c r="P2334" s="85">
        <v>1627.27</v>
      </c>
      <c r="Q2334" s="85">
        <v>1627.27</v>
      </c>
      <c r="R2334" s="82" t="s">
        <v>3399</v>
      </c>
      <c r="S2334" s="7">
        <f t="shared" si="109"/>
        <v>0</v>
      </c>
      <c r="T2334" s="6">
        <f t="shared" si="110"/>
        <v>0</v>
      </c>
      <c r="U2334" s="25">
        <f t="shared" si="108"/>
        <v>0</v>
      </c>
    </row>
    <row r="2335" spans="1:21" ht="10.9" customHeight="1" x14ac:dyDescent="0.2">
      <c r="A2335" s="82" t="s">
        <v>3255</v>
      </c>
      <c r="B2335" s="83">
        <v>45936</v>
      </c>
      <c r="C2335" s="82" t="s">
        <v>3395</v>
      </c>
      <c r="D2335" s="82" t="s">
        <v>490</v>
      </c>
      <c r="E2335" s="82"/>
      <c r="F2335" s="82" t="s">
        <v>4755</v>
      </c>
      <c r="G2335" s="89">
        <v>8</v>
      </c>
      <c r="H2335" s="89">
        <v>22.02</v>
      </c>
      <c r="I2335" s="85">
        <v>0</v>
      </c>
      <c r="J2335" s="85">
        <v>8.81</v>
      </c>
      <c r="K2335" s="85">
        <v>184.97</v>
      </c>
      <c r="L2335" s="85">
        <v>5540.37</v>
      </c>
      <c r="M2335" s="89">
        <v>22.02</v>
      </c>
      <c r="N2335" s="85">
        <v>0</v>
      </c>
      <c r="O2335" s="85">
        <v>8.81</v>
      </c>
      <c r="P2335" s="85">
        <v>184.97</v>
      </c>
      <c r="Q2335" s="85">
        <v>5540.37</v>
      </c>
      <c r="R2335" s="82" t="s">
        <v>3399</v>
      </c>
      <c r="S2335" s="7">
        <f t="shared" si="109"/>
        <v>0</v>
      </c>
      <c r="T2335" s="6">
        <f t="shared" si="110"/>
        <v>0</v>
      </c>
      <c r="U2335" s="25">
        <f t="shared" si="108"/>
        <v>0</v>
      </c>
    </row>
    <row r="2336" spans="1:21" ht="10.9" customHeight="1" x14ac:dyDescent="0.2">
      <c r="A2336" s="82" t="s">
        <v>3255</v>
      </c>
      <c r="B2336" s="83">
        <v>45936</v>
      </c>
      <c r="C2336" s="82" t="s">
        <v>3395</v>
      </c>
      <c r="D2336" s="82" t="s">
        <v>490</v>
      </c>
      <c r="E2336" s="82"/>
      <c r="F2336" s="82" t="s">
        <v>4621</v>
      </c>
      <c r="G2336" s="89">
        <v>1</v>
      </c>
      <c r="H2336" s="89">
        <v>1863.92</v>
      </c>
      <c r="I2336" s="85">
        <v>0</v>
      </c>
      <c r="J2336" s="85">
        <v>93.2</v>
      </c>
      <c r="K2336" s="85">
        <v>1957.12</v>
      </c>
      <c r="L2336" s="85">
        <v>5540.37</v>
      </c>
      <c r="M2336" s="89">
        <v>1863.92</v>
      </c>
      <c r="N2336" s="85">
        <v>0</v>
      </c>
      <c r="O2336" s="85">
        <v>93.2</v>
      </c>
      <c r="P2336" s="85">
        <v>1957.12</v>
      </c>
      <c r="Q2336" s="85">
        <v>5540.37</v>
      </c>
      <c r="R2336" s="82" t="s">
        <v>3399</v>
      </c>
      <c r="S2336" s="7">
        <f t="shared" si="109"/>
        <v>0</v>
      </c>
      <c r="T2336" s="6">
        <f t="shared" si="110"/>
        <v>0</v>
      </c>
      <c r="U2336" s="25">
        <f t="shared" si="108"/>
        <v>0</v>
      </c>
    </row>
    <row r="2337" spans="1:21" ht="10.9" customHeight="1" x14ac:dyDescent="0.2">
      <c r="A2337" s="82" t="s">
        <v>3255</v>
      </c>
      <c r="B2337" s="83">
        <v>45936</v>
      </c>
      <c r="C2337" s="82" t="s">
        <v>3395</v>
      </c>
      <c r="D2337" s="82" t="s">
        <v>490</v>
      </c>
      <c r="E2337" s="82"/>
      <c r="F2337" s="82" t="s">
        <v>4620</v>
      </c>
      <c r="G2337" s="89">
        <v>1</v>
      </c>
      <c r="H2337" s="89">
        <v>903.64</v>
      </c>
      <c r="I2337" s="85">
        <v>0</v>
      </c>
      <c r="J2337" s="85">
        <v>45.18</v>
      </c>
      <c r="K2337" s="85">
        <v>948.82</v>
      </c>
      <c r="L2337" s="85">
        <v>5540.37</v>
      </c>
      <c r="M2337" s="89">
        <v>903.64</v>
      </c>
      <c r="N2337" s="85">
        <v>0</v>
      </c>
      <c r="O2337" s="85">
        <v>45.18</v>
      </c>
      <c r="P2337" s="85">
        <v>948.82</v>
      </c>
      <c r="Q2337" s="85">
        <v>5540.37</v>
      </c>
      <c r="R2337" s="82" t="s">
        <v>3399</v>
      </c>
      <c r="S2337" s="7">
        <f t="shared" si="109"/>
        <v>0</v>
      </c>
      <c r="T2337" s="6">
        <f t="shared" si="110"/>
        <v>0</v>
      </c>
      <c r="U2337" s="25">
        <f t="shared" si="108"/>
        <v>0</v>
      </c>
    </row>
    <row r="2338" spans="1:21" ht="10.9" customHeight="1" x14ac:dyDescent="0.2">
      <c r="A2338" s="82" t="s">
        <v>3255</v>
      </c>
      <c r="B2338" s="83">
        <v>45936</v>
      </c>
      <c r="C2338" s="82" t="s">
        <v>3395</v>
      </c>
      <c r="D2338" s="82" t="s">
        <v>490</v>
      </c>
      <c r="E2338" s="82"/>
      <c r="F2338" s="82" t="s">
        <v>4619</v>
      </c>
      <c r="G2338" s="89">
        <v>1</v>
      </c>
      <c r="H2338" s="89">
        <v>616.82000000000005</v>
      </c>
      <c r="I2338" s="85">
        <v>0</v>
      </c>
      <c r="J2338" s="85">
        <v>30.84</v>
      </c>
      <c r="K2338" s="85">
        <v>647.66</v>
      </c>
      <c r="L2338" s="85">
        <v>5540.37</v>
      </c>
      <c r="M2338" s="89">
        <v>616.82000000000005</v>
      </c>
      <c r="N2338" s="85">
        <v>0</v>
      </c>
      <c r="O2338" s="85">
        <v>30.84</v>
      </c>
      <c r="P2338" s="85">
        <v>647.66</v>
      </c>
      <c r="Q2338" s="85">
        <v>5540.37</v>
      </c>
      <c r="R2338" s="82" t="s">
        <v>3399</v>
      </c>
      <c r="S2338" s="7">
        <f t="shared" si="109"/>
        <v>0</v>
      </c>
      <c r="T2338" s="6">
        <f t="shared" si="110"/>
        <v>0</v>
      </c>
      <c r="U2338" s="25">
        <f t="shared" si="108"/>
        <v>0</v>
      </c>
    </row>
    <row r="2339" spans="1:21" ht="10.9" customHeight="1" x14ac:dyDescent="0.2">
      <c r="A2339" s="82" t="s">
        <v>3255</v>
      </c>
      <c r="B2339" s="83">
        <v>45936</v>
      </c>
      <c r="C2339" s="82" t="s">
        <v>3395</v>
      </c>
      <c r="D2339" s="82" t="s">
        <v>490</v>
      </c>
      <c r="E2339" s="82"/>
      <c r="F2339" s="82" t="s">
        <v>4622</v>
      </c>
      <c r="G2339" s="89">
        <v>12</v>
      </c>
      <c r="H2339" s="89">
        <v>143</v>
      </c>
      <c r="I2339" s="85">
        <v>0</v>
      </c>
      <c r="J2339" s="85">
        <v>85.8</v>
      </c>
      <c r="K2339" s="85">
        <v>1801.8</v>
      </c>
      <c r="L2339" s="85">
        <v>5540.37</v>
      </c>
      <c r="M2339" s="89">
        <v>143</v>
      </c>
      <c r="N2339" s="85">
        <v>0</v>
      </c>
      <c r="O2339" s="85">
        <v>85.8</v>
      </c>
      <c r="P2339" s="85">
        <v>1801.8</v>
      </c>
      <c r="Q2339" s="85">
        <v>5540.37</v>
      </c>
      <c r="R2339" s="82" t="s">
        <v>3399</v>
      </c>
      <c r="S2339" s="7">
        <f t="shared" si="109"/>
        <v>0</v>
      </c>
      <c r="T2339" s="6">
        <f t="shared" si="110"/>
        <v>0</v>
      </c>
      <c r="U2339" s="25">
        <f t="shared" si="108"/>
        <v>0</v>
      </c>
    </row>
    <row r="2340" spans="1:21" ht="10.9" customHeight="1" x14ac:dyDescent="0.2">
      <c r="A2340" s="82" t="s">
        <v>2838</v>
      </c>
      <c r="B2340" s="83">
        <v>45937</v>
      </c>
      <c r="C2340" s="82" t="s">
        <v>3395</v>
      </c>
      <c r="D2340" s="82" t="s">
        <v>3432</v>
      </c>
      <c r="E2340" s="82"/>
      <c r="F2340" s="82" t="s">
        <v>4743</v>
      </c>
      <c r="G2340" s="89">
        <v>2</v>
      </c>
      <c r="H2340" s="89">
        <v>1330</v>
      </c>
      <c r="I2340" s="85">
        <v>0</v>
      </c>
      <c r="J2340" s="85">
        <v>0</v>
      </c>
      <c r="K2340" s="85">
        <v>2660</v>
      </c>
      <c r="L2340" s="85">
        <v>2660</v>
      </c>
      <c r="M2340" s="89">
        <v>1855.6551439318682</v>
      </c>
      <c r="N2340" s="85">
        <v>0</v>
      </c>
      <c r="O2340" s="85">
        <v>0</v>
      </c>
      <c r="P2340" s="85">
        <v>3711.3102878637364</v>
      </c>
      <c r="Q2340" s="85">
        <v>3711.3102878637364</v>
      </c>
      <c r="R2340" s="82" t="s">
        <v>3399</v>
      </c>
      <c r="S2340" s="7">
        <f t="shared" si="109"/>
        <v>0</v>
      </c>
      <c r="T2340" s="6">
        <f t="shared" si="110"/>
        <v>0</v>
      </c>
      <c r="U2340" s="25">
        <f t="shared" si="108"/>
        <v>0</v>
      </c>
    </row>
    <row r="2341" spans="1:21" ht="10.9" customHeight="1" x14ac:dyDescent="0.2">
      <c r="A2341" s="82" t="s">
        <v>3260</v>
      </c>
      <c r="B2341" s="83">
        <v>45937</v>
      </c>
      <c r="C2341" s="82" t="s">
        <v>3395</v>
      </c>
      <c r="D2341" s="82" t="s">
        <v>480</v>
      </c>
      <c r="E2341" s="82"/>
      <c r="F2341" s="82" t="s">
        <v>4747</v>
      </c>
      <c r="G2341" s="89">
        <v>10</v>
      </c>
      <c r="H2341" s="89">
        <v>97.93</v>
      </c>
      <c r="I2341" s="85">
        <v>0</v>
      </c>
      <c r="J2341" s="85">
        <v>0</v>
      </c>
      <c r="K2341" s="85">
        <v>979.3</v>
      </c>
      <c r="L2341" s="85">
        <v>979.3</v>
      </c>
      <c r="M2341" s="89">
        <v>136.75827175975903</v>
      </c>
      <c r="N2341" s="85">
        <v>0</v>
      </c>
      <c r="O2341" s="85">
        <v>0</v>
      </c>
      <c r="P2341" s="85">
        <v>1367.5827175975903</v>
      </c>
      <c r="Q2341" s="85">
        <v>1367.5827175975903</v>
      </c>
      <c r="R2341" s="82" t="s">
        <v>3396</v>
      </c>
      <c r="S2341" s="7">
        <f t="shared" si="109"/>
        <v>0</v>
      </c>
      <c r="T2341" s="6">
        <f t="shared" si="110"/>
        <v>0</v>
      </c>
      <c r="U2341" s="25">
        <f t="shared" si="108"/>
        <v>0</v>
      </c>
    </row>
    <row r="2342" spans="1:21" ht="10.9" customHeight="1" x14ac:dyDescent="0.2">
      <c r="A2342" s="82" t="s">
        <v>3239</v>
      </c>
      <c r="B2342" s="83">
        <v>45937</v>
      </c>
      <c r="C2342" s="82" t="s">
        <v>3395</v>
      </c>
      <c r="D2342" s="82" t="s">
        <v>526</v>
      </c>
      <c r="E2342" s="82"/>
      <c r="F2342" s="82" t="s">
        <v>4569</v>
      </c>
      <c r="G2342" s="89">
        <v>1</v>
      </c>
      <c r="H2342" s="89">
        <v>1946.57</v>
      </c>
      <c r="I2342" s="85">
        <v>0</v>
      </c>
      <c r="J2342" s="85">
        <v>97.33</v>
      </c>
      <c r="K2342" s="85">
        <v>2043.9</v>
      </c>
      <c r="L2342" s="85">
        <v>2758.72</v>
      </c>
      <c r="M2342" s="89">
        <v>1946.57</v>
      </c>
      <c r="N2342" s="85">
        <v>0</v>
      </c>
      <c r="O2342" s="85">
        <v>97.33</v>
      </c>
      <c r="P2342" s="85">
        <v>2043.9</v>
      </c>
      <c r="Q2342" s="85">
        <v>2758.72</v>
      </c>
      <c r="R2342" s="82" t="s">
        <v>3399</v>
      </c>
      <c r="S2342" s="7">
        <f t="shared" si="109"/>
        <v>0</v>
      </c>
      <c r="T2342" s="6">
        <f t="shared" si="110"/>
        <v>0</v>
      </c>
      <c r="U2342" s="25">
        <f t="shared" si="108"/>
        <v>0</v>
      </c>
    </row>
    <row r="2343" spans="1:21" ht="10.9" customHeight="1" x14ac:dyDescent="0.2">
      <c r="A2343" s="82" t="s">
        <v>3239</v>
      </c>
      <c r="B2343" s="83">
        <v>45937</v>
      </c>
      <c r="C2343" s="82" t="s">
        <v>3395</v>
      </c>
      <c r="D2343" s="82" t="s">
        <v>526</v>
      </c>
      <c r="E2343" s="82"/>
      <c r="F2343" s="82" t="s">
        <v>4680</v>
      </c>
      <c r="G2343" s="89">
        <v>1</v>
      </c>
      <c r="H2343" s="89">
        <v>680.78</v>
      </c>
      <c r="I2343" s="85">
        <v>0</v>
      </c>
      <c r="J2343" s="85">
        <v>34.04</v>
      </c>
      <c r="K2343" s="85">
        <v>714.82</v>
      </c>
      <c r="L2343" s="85">
        <v>2758.72</v>
      </c>
      <c r="M2343" s="89">
        <v>680.78</v>
      </c>
      <c r="N2343" s="85">
        <v>0</v>
      </c>
      <c r="O2343" s="85">
        <v>34.04</v>
      </c>
      <c r="P2343" s="85">
        <v>714.82</v>
      </c>
      <c r="Q2343" s="85">
        <v>2758.72</v>
      </c>
      <c r="R2343" s="82" t="s">
        <v>3399</v>
      </c>
      <c r="S2343" s="7">
        <f t="shared" si="109"/>
        <v>0</v>
      </c>
      <c r="T2343" s="6">
        <f t="shared" si="110"/>
        <v>0</v>
      </c>
      <c r="U2343" s="25">
        <f t="shared" si="108"/>
        <v>0</v>
      </c>
    </row>
    <row r="2344" spans="1:21" ht="10.9" customHeight="1" x14ac:dyDescent="0.2">
      <c r="A2344" s="82" t="s">
        <v>3228</v>
      </c>
      <c r="B2344" s="83">
        <v>45937</v>
      </c>
      <c r="C2344" s="82" t="s">
        <v>3395</v>
      </c>
      <c r="D2344" s="82" t="s">
        <v>547</v>
      </c>
      <c r="E2344" s="82"/>
      <c r="F2344" s="82" t="s">
        <v>4670</v>
      </c>
      <c r="G2344" s="89">
        <v>5</v>
      </c>
      <c r="H2344" s="89">
        <v>147.72999999999999</v>
      </c>
      <c r="I2344" s="85">
        <v>0</v>
      </c>
      <c r="J2344" s="85">
        <v>36.93</v>
      </c>
      <c r="K2344" s="85">
        <v>775.58</v>
      </c>
      <c r="L2344" s="85">
        <v>797.17</v>
      </c>
      <c r="M2344" s="89">
        <v>147.72999999999999</v>
      </c>
      <c r="N2344" s="85">
        <v>0</v>
      </c>
      <c r="O2344" s="85">
        <v>36.93</v>
      </c>
      <c r="P2344" s="85">
        <v>775.58</v>
      </c>
      <c r="Q2344" s="85">
        <v>797.17</v>
      </c>
      <c r="R2344" s="82" t="s">
        <v>3399</v>
      </c>
      <c r="S2344" s="7">
        <f t="shared" si="109"/>
        <v>0</v>
      </c>
      <c r="T2344" s="6">
        <f t="shared" si="110"/>
        <v>0</v>
      </c>
      <c r="U2344" s="25">
        <f t="shared" si="108"/>
        <v>0</v>
      </c>
    </row>
    <row r="2345" spans="1:21" ht="10.9" customHeight="1" x14ac:dyDescent="0.2">
      <c r="A2345" s="82" t="s">
        <v>3228</v>
      </c>
      <c r="B2345" s="83">
        <v>45937</v>
      </c>
      <c r="C2345" s="82" t="s">
        <v>3395</v>
      </c>
      <c r="D2345" s="82" t="s">
        <v>547</v>
      </c>
      <c r="E2345" s="82"/>
      <c r="F2345" s="82" t="s">
        <v>4746</v>
      </c>
      <c r="G2345" s="89">
        <v>8</v>
      </c>
      <c r="H2345" s="89">
        <v>2.57</v>
      </c>
      <c r="I2345" s="85">
        <v>0</v>
      </c>
      <c r="J2345" s="85">
        <v>1.03</v>
      </c>
      <c r="K2345" s="85">
        <v>21.59</v>
      </c>
      <c r="L2345" s="85">
        <v>797.17</v>
      </c>
      <c r="M2345" s="89">
        <v>2.57</v>
      </c>
      <c r="N2345" s="85">
        <v>0</v>
      </c>
      <c r="O2345" s="85">
        <v>1.03</v>
      </c>
      <c r="P2345" s="85">
        <v>21.59</v>
      </c>
      <c r="Q2345" s="85">
        <v>797.17</v>
      </c>
      <c r="R2345" s="82" t="s">
        <v>3399</v>
      </c>
      <c r="S2345" s="7">
        <f t="shared" si="109"/>
        <v>0</v>
      </c>
      <c r="T2345" s="6">
        <f t="shared" si="110"/>
        <v>0</v>
      </c>
      <c r="U2345" s="25">
        <f t="shared" si="108"/>
        <v>0</v>
      </c>
    </row>
    <row r="2346" spans="1:21" ht="10.9" customHeight="1" x14ac:dyDescent="0.2">
      <c r="A2346" s="82" t="s">
        <v>3218</v>
      </c>
      <c r="B2346" s="83">
        <v>45937</v>
      </c>
      <c r="C2346" s="82" t="s">
        <v>3395</v>
      </c>
      <c r="D2346" s="82" t="s">
        <v>564</v>
      </c>
      <c r="E2346" s="82"/>
      <c r="F2346" s="82" t="s">
        <v>4568</v>
      </c>
      <c r="G2346" s="89">
        <v>1</v>
      </c>
      <c r="H2346" s="89">
        <v>50</v>
      </c>
      <c r="I2346" s="85">
        <v>0</v>
      </c>
      <c r="J2346" s="85">
        <v>2.5</v>
      </c>
      <c r="K2346" s="85">
        <v>52.5</v>
      </c>
      <c r="L2346" s="85">
        <v>52.5</v>
      </c>
      <c r="M2346" s="89">
        <v>50</v>
      </c>
      <c r="N2346" s="85">
        <v>0</v>
      </c>
      <c r="O2346" s="85">
        <v>2.5</v>
      </c>
      <c r="P2346" s="85">
        <v>52.5</v>
      </c>
      <c r="Q2346" s="85">
        <v>52.5</v>
      </c>
      <c r="R2346" s="82" t="s">
        <v>3399</v>
      </c>
      <c r="S2346" s="7">
        <f t="shared" si="109"/>
        <v>0</v>
      </c>
      <c r="T2346" s="6">
        <f t="shared" si="110"/>
        <v>0</v>
      </c>
      <c r="U2346" s="25">
        <f t="shared" si="108"/>
        <v>0</v>
      </c>
    </row>
    <row r="2347" spans="1:21" ht="10.9" customHeight="1" x14ac:dyDescent="0.2">
      <c r="A2347" s="82" t="s">
        <v>3247</v>
      </c>
      <c r="B2347" s="83">
        <v>45937</v>
      </c>
      <c r="C2347" s="82" t="s">
        <v>3395</v>
      </c>
      <c r="D2347" s="82" t="s">
        <v>511</v>
      </c>
      <c r="E2347" s="82"/>
      <c r="F2347" s="82" t="s">
        <v>4641</v>
      </c>
      <c r="G2347" s="89">
        <v>1</v>
      </c>
      <c r="H2347" s="89">
        <v>168.59</v>
      </c>
      <c r="I2347" s="85">
        <v>0</v>
      </c>
      <c r="J2347" s="85">
        <v>8.43</v>
      </c>
      <c r="K2347" s="85">
        <v>177.02</v>
      </c>
      <c r="L2347" s="85">
        <v>177.02</v>
      </c>
      <c r="M2347" s="89">
        <v>168.59</v>
      </c>
      <c r="N2347" s="85">
        <v>0</v>
      </c>
      <c r="O2347" s="85">
        <v>8.43</v>
      </c>
      <c r="P2347" s="85">
        <v>177.02</v>
      </c>
      <c r="Q2347" s="85">
        <v>177.02</v>
      </c>
      <c r="R2347" s="82" t="s">
        <v>3399</v>
      </c>
      <c r="S2347" s="7">
        <f t="shared" si="109"/>
        <v>0</v>
      </c>
      <c r="T2347" s="6">
        <f t="shared" si="110"/>
        <v>0</v>
      </c>
      <c r="U2347" s="25">
        <f t="shared" si="108"/>
        <v>0</v>
      </c>
    </row>
    <row r="2348" spans="1:21" ht="10.9" customHeight="1" x14ac:dyDescent="0.2">
      <c r="A2348" s="82" t="s">
        <v>3250</v>
      </c>
      <c r="B2348" s="83">
        <v>45937</v>
      </c>
      <c r="C2348" s="82" t="s">
        <v>3395</v>
      </c>
      <c r="D2348" s="82" t="s">
        <v>501</v>
      </c>
      <c r="E2348" s="82"/>
      <c r="F2348" s="82" t="s">
        <v>4397</v>
      </c>
      <c r="G2348" s="89">
        <v>1</v>
      </c>
      <c r="H2348" s="89">
        <v>1495.52</v>
      </c>
      <c r="I2348" s="85">
        <v>0</v>
      </c>
      <c r="J2348" s="85">
        <v>74.78</v>
      </c>
      <c r="K2348" s="85">
        <v>1570.3</v>
      </c>
      <c r="L2348" s="85">
        <v>1570.3</v>
      </c>
      <c r="M2348" s="89">
        <v>1495.52</v>
      </c>
      <c r="N2348" s="85">
        <v>0</v>
      </c>
      <c r="O2348" s="85">
        <v>74.78</v>
      </c>
      <c r="P2348" s="85">
        <v>1570.3</v>
      </c>
      <c r="Q2348" s="85">
        <v>1570.3</v>
      </c>
      <c r="R2348" s="82" t="s">
        <v>3396</v>
      </c>
      <c r="S2348" s="7">
        <f t="shared" si="109"/>
        <v>0</v>
      </c>
      <c r="T2348" s="6">
        <f t="shared" si="110"/>
        <v>0</v>
      </c>
      <c r="U2348" s="25">
        <f t="shared" si="108"/>
        <v>0</v>
      </c>
    </row>
    <row r="2349" spans="1:21" ht="10.9" customHeight="1" x14ac:dyDescent="0.2">
      <c r="A2349" s="82" t="s">
        <v>3249</v>
      </c>
      <c r="B2349" s="83">
        <v>45937</v>
      </c>
      <c r="C2349" s="82" t="s">
        <v>3395</v>
      </c>
      <c r="D2349" s="82" t="s">
        <v>504</v>
      </c>
      <c r="E2349" s="82"/>
      <c r="F2349" s="82" t="s">
        <v>4676</v>
      </c>
      <c r="G2349" s="89">
        <v>2</v>
      </c>
      <c r="H2349" s="89">
        <v>1217.18</v>
      </c>
      <c r="I2349" s="85">
        <v>0</v>
      </c>
      <c r="J2349" s="85">
        <v>121.72</v>
      </c>
      <c r="K2349" s="85">
        <v>2556.08</v>
      </c>
      <c r="L2349" s="85">
        <v>3360.7</v>
      </c>
      <c r="M2349" s="89">
        <v>1217.18</v>
      </c>
      <c r="N2349" s="85">
        <v>0</v>
      </c>
      <c r="O2349" s="85">
        <v>121.72</v>
      </c>
      <c r="P2349" s="85">
        <v>2556.08</v>
      </c>
      <c r="Q2349" s="85">
        <v>3360.7</v>
      </c>
      <c r="R2349" s="82" t="s">
        <v>3396</v>
      </c>
      <c r="S2349" s="7">
        <f t="shared" si="109"/>
        <v>0</v>
      </c>
      <c r="T2349" s="6">
        <f t="shared" si="110"/>
        <v>0</v>
      </c>
      <c r="U2349" s="25">
        <f t="shared" si="108"/>
        <v>0</v>
      </c>
    </row>
    <row r="2350" spans="1:21" ht="10.9" customHeight="1" x14ac:dyDescent="0.2">
      <c r="A2350" s="82" t="s">
        <v>3249</v>
      </c>
      <c r="B2350" s="83">
        <v>45937</v>
      </c>
      <c r="C2350" s="82" t="s">
        <v>3395</v>
      </c>
      <c r="D2350" s="82" t="s">
        <v>504</v>
      </c>
      <c r="E2350" s="82"/>
      <c r="F2350" s="82" t="s">
        <v>4736</v>
      </c>
      <c r="G2350" s="89">
        <v>2</v>
      </c>
      <c r="H2350" s="89">
        <v>383.15</v>
      </c>
      <c r="I2350" s="85">
        <v>0</v>
      </c>
      <c r="J2350" s="85">
        <v>38.32</v>
      </c>
      <c r="K2350" s="85">
        <v>804.62</v>
      </c>
      <c r="L2350" s="85">
        <v>3360.7</v>
      </c>
      <c r="M2350" s="89">
        <v>383.15</v>
      </c>
      <c r="N2350" s="85">
        <v>0</v>
      </c>
      <c r="O2350" s="85">
        <v>38.32</v>
      </c>
      <c r="P2350" s="85">
        <v>804.62</v>
      </c>
      <c r="Q2350" s="85">
        <v>3360.7</v>
      </c>
      <c r="R2350" s="82" t="s">
        <v>3396</v>
      </c>
      <c r="S2350" s="7">
        <f t="shared" si="109"/>
        <v>0</v>
      </c>
      <c r="T2350" s="6">
        <f t="shared" si="110"/>
        <v>0</v>
      </c>
      <c r="U2350" s="25">
        <f t="shared" si="108"/>
        <v>0</v>
      </c>
    </row>
    <row r="2351" spans="1:21" ht="10.9" customHeight="1" x14ac:dyDescent="0.2">
      <c r="A2351" s="82" t="s">
        <v>3148</v>
      </c>
      <c r="B2351" s="83">
        <v>45937</v>
      </c>
      <c r="C2351" s="82" t="s">
        <v>3395</v>
      </c>
      <c r="D2351" s="82" t="s">
        <v>713</v>
      </c>
      <c r="E2351" s="82"/>
      <c r="F2351" s="82" t="s">
        <v>4742</v>
      </c>
      <c r="G2351" s="89">
        <v>1</v>
      </c>
      <c r="H2351" s="89">
        <v>241.39</v>
      </c>
      <c r="I2351" s="85">
        <v>0</v>
      </c>
      <c r="J2351" s="85">
        <v>0</v>
      </c>
      <c r="K2351" s="85">
        <v>241.39</v>
      </c>
      <c r="L2351" s="85">
        <v>241.39</v>
      </c>
      <c r="M2351" s="89">
        <v>337.09873603684497</v>
      </c>
      <c r="N2351" s="85">
        <v>0</v>
      </c>
      <c r="O2351" s="85">
        <v>0</v>
      </c>
      <c r="P2351" s="85">
        <v>337.09873603684497</v>
      </c>
      <c r="Q2351" s="85">
        <v>337.09873603684497</v>
      </c>
      <c r="R2351" s="82" t="s">
        <v>3399</v>
      </c>
      <c r="S2351" s="7">
        <f t="shared" si="109"/>
        <v>0</v>
      </c>
      <c r="T2351" s="6">
        <f t="shared" si="110"/>
        <v>0</v>
      </c>
      <c r="U2351" s="25">
        <f t="shared" si="108"/>
        <v>0</v>
      </c>
    </row>
    <row r="2352" spans="1:21" ht="10.9" customHeight="1" x14ac:dyDescent="0.2">
      <c r="A2352" s="82" t="s">
        <v>3257</v>
      </c>
      <c r="B2352" s="83">
        <v>45937</v>
      </c>
      <c r="C2352" s="82" t="s">
        <v>3395</v>
      </c>
      <c r="D2352" s="82" t="s">
        <v>486</v>
      </c>
      <c r="E2352" s="82"/>
      <c r="F2352" s="82" t="s">
        <v>4495</v>
      </c>
      <c r="G2352" s="89">
        <v>6</v>
      </c>
      <c r="H2352" s="89">
        <v>209.18</v>
      </c>
      <c r="I2352" s="85">
        <v>0</v>
      </c>
      <c r="J2352" s="85">
        <v>163.16</v>
      </c>
      <c r="K2352" s="85">
        <v>1418.24</v>
      </c>
      <c r="L2352" s="85">
        <v>1418.24</v>
      </c>
      <c r="M2352" s="89">
        <v>209.18</v>
      </c>
      <c r="N2352" s="85">
        <v>0</v>
      </c>
      <c r="O2352" s="85">
        <v>163.16</v>
      </c>
      <c r="P2352" s="85">
        <v>1418.24</v>
      </c>
      <c r="Q2352" s="85">
        <v>1418.24</v>
      </c>
      <c r="R2352" s="82" t="s">
        <v>3399</v>
      </c>
      <c r="S2352" s="7">
        <f t="shared" si="109"/>
        <v>0</v>
      </c>
      <c r="T2352" s="6">
        <f t="shared" si="110"/>
        <v>0</v>
      </c>
      <c r="U2352" s="25">
        <f t="shared" si="108"/>
        <v>0</v>
      </c>
    </row>
    <row r="2353" spans="1:21" ht="10.9" customHeight="1" x14ac:dyDescent="0.2">
      <c r="A2353" s="82" t="s">
        <v>3256</v>
      </c>
      <c r="B2353" s="83">
        <v>45937</v>
      </c>
      <c r="C2353" s="82" t="s">
        <v>3395</v>
      </c>
      <c r="D2353" s="82" t="s">
        <v>488</v>
      </c>
      <c r="E2353" s="82"/>
      <c r="F2353" s="82" t="s">
        <v>4751</v>
      </c>
      <c r="G2353" s="89">
        <v>2</v>
      </c>
      <c r="H2353" s="89">
        <v>152.34</v>
      </c>
      <c r="I2353" s="85">
        <v>0</v>
      </c>
      <c r="J2353" s="85">
        <v>39.61</v>
      </c>
      <c r="K2353" s="85">
        <v>344.29</v>
      </c>
      <c r="L2353" s="85">
        <v>344.29</v>
      </c>
      <c r="M2353" s="89">
        <v>152.34</v>
      </c>
      <c r="N2353" s="85">
        <v>0</v>
      </c>
      <c r="O2353" s="85">
        <v>39.61</v>
      </c>
      <c r="P2353" s="85">
        <v>344.29</v>
      </c>
      <c r="Q2353" s="85">
        <v>344.29</v>
      </c>
      <c r="R2353" s="82" t="s">
        <v>3399</v>
      </c>
      <c r="S2353" s="7">
        <f t="shared" si="109"/>
        <v>0</v>
      </c>
      <c r="T2353" s="6">
        <f t="shared" si="110"/>
        <v>0</v>
      </c>
      <c r="U2353" s="25">
        <f t="shared" si="108"/>
        <v>0</v>
      </c>
    </row>
    <row r="2354" spans="1:21" ht="10.9" customHeight="1" x14ac:dyDescent="0.2">
      <c r="A2354" s="82" t="s">
        <v>2923</v>
      </c>
      <c r="B2354" s="83">
        <v>45937</v>
      </c>
      <c r="C2354" s="82" t="s">
        <v>3395</v>
      </c>
      <c r="D2354" s="82" t="s">
        <v>1125</v>
      </c>
      <c r="E2354" s="82"/>
      <c r="F2354" s="82" t="s">
        <v>4745</v>
      </c>
      <c r="G2354" s="89">
        <v>1</v>
      </c>
      <c r="H2354" s="89">
        <v>3446.95</v>
      </c>
      <c r="I2354" s="85">
        <v>0</v>
      </c>
      <c r="J2354" s="85">
        <v>172.35</v>
      </c>
      <c r="K2354" s="85">
        <v>3619.3</v>
      </c>
      <c r="L2354" s="85">
        <v>3619.3</v>
      </c>
      <c r="M2354" s="89">
        <v>3446.95</v>
      </c>
      <c r="N2354" s="85">
        <v>0</v>
      </c>
      <c r="O2354" s="85">
        <v>172.35</v>
      </c>
      <c r="P2354" s="85">
        <v>3619.3</v>
      </c>
      <c r="Q2354" s="85">
        <v>3619.3</v>
      </c>
      <c r="R2354" s="82" t="s">
        <v>3399</v>
      </c>
      <c r="S2354" s="7">
        <f t="shared" si="109"/>
        <v>0</v>
      </c>
      <c r="T2354" s="6">
        <f t="shared" si="110"/>
        <v>0</v>
      </c>
      <c r="U2354" s="25">
        <f t="shared" si="108"/>
        <v>0</v>
      </c>
    </row>
    <row r="2355" spans="1:21" ht="10.9" customHeight="1" x14ac:dyDescent="0.2">
      <c r="A2355" s="82" t="s">
        <v>2901</v>
      </c>
      <c r="B2355" s="83">
        <v>45937</v>
      </c>
      <c r="C2355" s="82" t="s">
        <v>3395</v>
      </c>
      <c r="D2355" s="82" t="s">
        <v>1162</v>
      </c>
      <c r="E2355" s="82"/>
      <c r="F2355" s="82" t="s">
        <v>4750</v>
      </c>
      <c r="G2355" s="89">
        <v>1</v>
      </c>
      <c r="H2355" s="89">
        <v>6197.11</v>
      </c>
      <c r="I2355" s="85">
        <v>0</v>
      </c>
      <c r="J2355" s="85">
        <v>309.86</v>
      </c>
      <c r="K2355" s="85">
        <v>6506.97</v>
      </c>
      <c r="L2355" s="85">
        <v>6506.97</v>
      </c>
      <c r="M2355" s="89">
        <v>6197.11</v>
      </c>
      <c r="N2355" s="85">
        <v>0</v>
      </c>
      <c r="O2355" s="85">
        <v>309.86</v>
      </c>
      <c r="P2355" s="85">
        <v>6506.97</v>
      </c>
      <c r="Q2355" s="85">
        <v>6506.97</v>
      </c>
      <c r="R2355" s="82" t="s">
        <v>3399</v>
      </c>
      <c r="S2355" s="7">
        <f t="shared" si="109"/>
        <v>0</v>
      </c>
      <c r="T2355" s="6">
        <f t="shared" si="110"/>
        <v>0</v>
      </c>
      <c r="U2355" s="25">
        <f t="shared" si="108"/>
        <v>0</v>
      </c>
    </row>
    <row r="2356" spans="1:21" ht="10.9" customHeight="1" x14ac:dyDescent="0.2">
      <c r="A2356" s="82" t="s">
        <v>3259</v>
      </c>
      <c r="B2356" s="83">
        <v>45937</v>
      </c>
      <c r="C2356" s="82" t="s">
        <v>3395</v>
      </c>
      <c r="D2356" s="82" t="s">
        <v>482</v>
      </c>
      <c r="E2356" s="82"/>
      <c r="F2356" s="82" t="s">
        <v>4752</v>
      </c>
      <c r="G2356" s="89">
        <v>2</v>
      </c>
      <c r="H2356" s="89">
        <v>884.56</v>
      </c>
      <c r="I2356" s="85">
        <v>0</v>
      </c>
      <c r="J2356" s="85">
        <v>88.46</v>
      </c>
      <c r="K2356" s="85">
        <v>1857.58</v>
      </c>
      <c r="L2356" s="85">
        <v>1857.58</v>
      </c>
      <c r="M2356" s="89">
        <v>884.56</v>
      </c>
      <c r="N2356" s="85">
        <v>0</v>
      </c>
      <c r="O2356" s="85">
        <v>88.46</v>
      </c>
      <c r="P2356" s="85">
        <v>1857.58</v>
      </c>
      <c r="Q2356" s="85">
        <v>1857.58</v>
      </c>
      <c r="R2356" s="82" t="s">
        <v>3396</v>
      </c>
      <c r="S2356" s="7">
        <f t="shared" si="109"/>
        <v>0</v>
      </c>
      <c r="T2356" s="6">
        <f t="shared" si="110"/>
        <v>0</v>
      </c>
      <c r="U2356" s="25">
        <f t="shared" si="108"/>
        <v>0</v>
      </c>
    </row>
    <row r="2357" spans="1:21" ht="10.9" customHeight="1" x14ac:dyDescent="0.2">
      <c r="A2357" s="82" t="s">
        <v>2431</v>
      </c>
      <c r="B2357" s="83">
        <v>45937</v>
      </c>
      <c r="C2357" s="82" t="s">
        <v>3395</v>
      </c>
      <c r="D2357" s="82" t="s">
        <v>1990</v>
      </c>
      <c r="E2357" s="82"/>
      <c r="F2357" s="82" t="s">
        <v>4744</v>
      </c>
      <c r="G2357" s="89">
        <v>1</v>
      </c>
      <c r="H2357" s="89">
        <v>9717.36</v>
      </c>
      <c r="I2357" s="85">
        <v>0</v>
      </c>
      <c r="J2357" s="85">
        <v>485.87</v>
      </c>
      <c r="K2357" s="85">
        <v>10203.23</v>
      </c>
      <c r="L2357" s="85">
        <v>10203.23</v>
      </c>
      <c r="M2357" s="89">
        <v>9717.36</v>
      </c>
      <c r="N2357" s="85">
        <v>0</v>
      </c>
      <c r="O2357" s="85">
        <v>485.87</v>
      </c>
      <c r="P2357" s="85">
        <v>10203.23</v>
      </c>
      <c r="Q2357" s="85">
        <v>10203.23</v>
      </c>
      <c r="R2357" s="82" t="s">
        <v>3399</v>
      </c>
      <c r="S2357" s="7">
        <f t="shared" si="109"/>
        <v>0</v>
      </c>
      <c r="T2357" s="6">
        <f t="shared" si="110"/>
        <v>0</v>
      </c>
      <c r="U2357" s="25">
        <f t="shared" si="108"/>
        <v>0</v>
      </c>
    </row>
    <row r="2358" spans="1:21" ht="10.9" customHeight="1" x14ac:dyDescent="0.2">
      <c r="A2358" s="82" t="s">
        <v>3020</v>
      </c>
      <c r="B2358" s="83">
        <v>45937</v>
      </c>
      <c r="C2358" s="82" t="s">
        <v>3395</v>
      </c>
      <c r="D2358" s="82" t="s">
        <v>964</v>
      </c>
      <c r="E2358" s="82"/>
      <c r="F2358" s="82" t="s">
        <v>4749</v>
      </c>
      <c r="G2358" s="89">
        <v>1</v>
      </c>
      <c r="H2358" s="89">
        <v>9404</v>
      </c>
      <c r="I2358" s="85">
        <v>0</v>
      </c>
      <c r="J2358" s="85">
        <v>470.2</v>
      </c>
      <c r="K2358" s="85">
        <v>9874.2000000000007</v>
      </c>
      <c r="L2358" s="85">
        <v>9874.2000000000007</v>
      </c>
      <c r="M2358" s="89">
        <v>9404</v>
      </c>
      <c r="N2358" s="85">
        <v>0</v>
      </c>
      <c r="O2358" s="85">
        <v>470.2</v>
      </c>
      <c r="P2358" s="85">
        <v>9874.2000000000007</v>
      </c>
      <c r="Q2358" s="85">
        <v>9874.2000000000007</v>
      </c>
      <c r="R2358" s="82" t="s">
        <v>3399</v>
      </c>
      <c r="S2358" s="7">
        <f t="shared" si="109"/>
        <v>0</v>
      </c>
      <c r="T2358" s="6">
        <f t="shared" si="110"/>
        <v>0</v>
      </c>
      <c r="U2358" s="25">
        <f t="shared" si="108"/>
        <v>0</v>
      </c>
    </row>
    <row r="2359" spans="1:21" ht="10.9" customHeight="1" x14ac:dyDescent="0.2">
      <c r="A2359" s="82" t="s">
        <v>3078</v>
      </c>
      <c r="B2359" s="83">
        <v>45937</v>
      </c>
      <c r="C2359" s="82" t="s">
        <v>3395</v>
      </c>
      <c r="D2359" s="82" t="s">
        <v>852</v>
      </c>
      <c r="E2359" s="82"/>
      <c r="F2359" s="82" t="s">
        <v>4748</v>
      </c>
      <c r="G2359" s="89">
        <v>1</v>
      </c>
      <c r="H2359" s="89">
        <v>6649.86</v>
      </c>
      <c r="I2359" s="85">
        <v>0</v>
      </c>
      <c r="J2359" s="85">
        <v>864.48</v>
      </c>
      <c r="K2359" s="85">
        <v>7514.34</v>
      </c>
      <c r="L2359" s="85">
        <v>7514.34</v>
      </c>
      <c r="M2359" s="89">
        <v>6649.86</v>
      </c>
      <c r="N2359" s="85">
        <v>0</v>
      </c>
      <c r="O2359" s="85">
        <v>864.48</v>
      </c>
      <c r="P2359" s="85">
        <v>7514.34</v>
      </c>
      <c r="Q2359" s="85">
        <v>7514.34</v>
      </c>
      <c r="R2359" s="82" t="s">
        <v>3399</v>
      </c>
      <c r="S2359" s="7">
        <f t="shared" si="109"/>
        <v>0</v>
      </c>
      <c r="T2359" s="6">
        <f t="shared" si="110"/>
        <v>0</v>
      </c>
      <c r="U2359" s="25">
        <f t="shared" si="108"/>
        <v>0</v>
      </c>
    </row>
    <row r="2360" spans="1:21" ht="10.9" customHeight="1" x14ac:dyDescent="0.2">
      <c r="A2360" s="82" t="s">
        <v>3251</v>
      </c>
      <c r="B2360" s="83">
        <v>45937</v>
      </c>
      <c r="C2360" s="82" t="s">
        <v>3395</v>
      </c>
      <c r="D2360" s="82" t="s">
        <v>499</v>
      </c>
      <c r="E2360" s="82"/>
      <c r="F2360" s="82" t="s">
        <v>4742</v>
      </c>
      <c r="G2360" s="89">
        <v>1</v>
      </c>
      <c r="H2360" s="89">
        <v>663</v>
      </c>
      <c r="I2360" s="85">
        <v>0</v>
      </c>
      <c r="J2360" s="85">
        <v>86.19</v>
      </c>
      <c r="K2360" s="85">
        <v>749.19</v>
      </c>
      <c r="L2360" s="85">
        <v>749.19</v>
      </c>
      <c r="M2360" s="89">
        <v>663</v>
      </c>
      <c r="N2360" s="85">
        <v>0</v>
      </c>
      <c r="O2360" s="85">
        <v>86.19</v>
      </c>
      <c r="P2360" s="85">
        <v>749.19</v>
      </c>
      <c r="Q2360" s="85">
        <v>749.19</v>
      </c>
      <c r="R2360" s="82" t="s">
        <v>3399</v>
      </c>
      <c r="S2360" s="7">
        <f t="shared" si="109"/>
        <v>0</v>
      </c>
      <c r="T2360" s="6">
        <f t="shared" si="110"/>
        <v>0</v>
      </c>
      <c r="U2360" s="25">
        <f t="shared" si="108"/>
        <v>0</v>
      </c>
    </row>
    <row r="2361" spans="1:21" ht="10.9" customHeight="1" x14ac:dyDescent="0.2">
      <c r="A2361" s="82" t="s">
        <v>3265</v>
      </c>
      <c r="B2361" s="83">
        <v>45938</v>
      </c>
      <c r="C2361" s="82" t="s">
        <v>3395</v>
      </c>
      <c r="D2361" s="82" t="s">
        <v>469</v>
      </c>
      <c r="E2361" s="82"/>
      <c r="F2361" s="82" t="s">
        <v>4741</v>
      </c>
      <c r="G2361" s="89">
        <v>10</v>
      </c>
      <c r="H2361" s="89">
        <v>371.83</v>
      </c>
      <c r="I2361" s="85">
        <v>0</v>
      </c>
      <c r="J2361" s="85">
        <v>483.38</v>
      </c>
      <c r="K2361" s="85">
        <v>4201.68</v>
      </c>
      <c r="L2361" s="85">
        <v>4201.68</v>
      </c>
      <c r="M2361" s="89">
        <v>371.83</v>
      </c>
      <c r="N2361" s="85">
        <v>0</v>
      </c>
      <c r="O2361" s="85">
        <v>483.38</v>
      </c>
      <c r="P2361" s="85">
        <v>4201.68</v>
      </c>
      <c r="Q2361" s="85">
        <v>4201.68</v>
      </c>
      <c r="R2361" s="82" t="s">
        <v>3399</v>
      </c>
      <c r="S2361" s="7">
        <f t="shared" si="109"/>
        <v>0</v>
      </c>
      <c r="T2361" s="6">
        <f t="shared" si="110"/>
        <v>0</v>
      </c>
      <c r="U2361" s="25">
        <f t="shared" si="108"/>
        <v>0</v>
      </c>
    </row>
    <row r="2362" spans="1:21" ht="10.9" customHeight="1" x14ac:dyDescent="0.2">
      <c r="A2362" s="82" t="s">
        <v>3267</v>
      </c>
      <c r="B2362" s="83">
        <v>45940</v>
      </c>
      <c r="C2362" s="82" t="s">
        <v>3395</v>
      </c>
      <c r="D2362" s="82" t="s">
        <v>464</v>
      </c>
      <c r="E2362" s="82"/>
      <c r="F2362" s="82" t="s">
        <v>4738</v>
      </c>
      <c r="G2362" s="89">
        <v>1</v>
      </c>
      <c r="H2362" s="89">
        <v>836.52</v>
      </c>
      <c r="I2362" s="85">
        <v>0</v>
      </c>
      <c r="J2362" s="85">
        <v>108.75</v>
      </c>
      <c r="K2362" s="85">
        <v>945.27</v>
      </c>
      <c r="L2362" s="85">
        <v>1995.92</v>
      </c>
      <c r="M2362" s="89">
        <v>836.52</v>
      </c>
      <c r="N2362" s="85">
        <v>0</v>
      </c>
      <c r="O2362" s="85">
        <v>108.75</v>
      </c>
      <c r="P2362" s="85">
        <v>945.27</v>
      </c>
      <c r="Q2362" s="85">
        <v>1995.92</v>
      </c>
      <c r="R2362" s="82" t="s">
        <v>3399</v>
      </c>
      <c r="S2362" s="7">
        <f t="shared" si="109"/>
        <v>0</v>
      </c>
      <c r="T2362" s="6">
        <f t="shared" si="110"/>
        <v>0</v>
      </c>
      <c r="U2362" s="25">
        <f t="shared" si="108"/>
        <v>0</v>
      </c>
    </row>
    <row r="2363" spans="1:21" ht="10.9" customHeight="1" x14ac:dyDescent="0.2">
      <c r="A2363" s="82" t="s">
        <v>3267</v>
      </c>
      <c r="B2363" s="83">
        <v>45940</v>
      </c>
      <c r="C2363" s="82" t="s">
        <v>3395</v>
      </c>
      <c r="D2363" s="82" t="s">
        <v>464</v>
      </c>
      <c r="E2363" s="82"/>
      <c r="F2363" s="82" t="s">
        <v>4737</v>
      </c>
      <c r="G2363" s="89">
        <v>1</v>
      </c>
      <c r="H2363" s="89">
        <v>929.78</v>
      </c>
      <c r="I2363" s="85">
        <v>0</v>
      </c>
      <c r="J2363" s="85">
        <v>120.87</v>
      </c>
      <c r="K2363" s="85">
        <v>1050.6500000000001</v>
      </c>
      <c r="L2363" s="85">
        <v>1995.92</v>
      </c>
      <c r="M2363" s="89">
        <v>929.78</v>
      </c>
      <c r="N2363" s="85">
        <v>0</v>
      </c>
      <c r="O2363" s="85">
        <v>120.87</v>
      </c>
      <c r="P2363" s="85">
        <v>1050.6500000000001</v>
      </c>
      <c r="Q2363" s="85">
        <v>1995.92</v>
      </c>
      <c r="R2363" s="82" t="s">
        <v>3399</v>
      </c>
      <c r="S2363" s="7">
        <f t="shared" si="109"/>
        <v>0</v>
      </c>
      <c r="T2363" s="6">
        <f t="shared" si="110"/>
        <v>0</v>
      </c>
      <c r="U2363" s="25">
        <f t="shared" si="108"/>
        <v>0</v>
      </c>
    </row>
    <row r="2364" spans="1:21" ht="10.9" customHeight="1" x14ac:dyDescent="0.2">
      <c r="A2364" s="82" t="s">
        <v>3271</v>
      </c>
      <c r="B2364" s="83">
        <v>45940</v>
      </c>
      <c r="C2364" s="82" t="s">
        <v>3395</v>
      </c>
      <c r="D2364" s="82" t="s">
        <v>456</v>
      </c>
      <c r="E2364" s="82"/>
      <c r="F2364" s="82" t="s">
        <v>4736</v>
      </c>
      <c r="G2364" s="89">
        <v>1</v>
      </c>
      <c r="H2364" s="89">
        <v>383.15</v>
      </c>
      <c r="I2364" s="85">
        <v>0</v>
      </c>
      <c r="J2364" s="85">
        <v>19.16</v>
      </c>
      <c r="K2364" s="85">
        <v>402.31</v>
      </c>
      <c r="L2364" s="85">
        <v>402.31</v>
      </c>
      <c r="M2364" s="89">
        <v>383.15</v>
      </c>
      <c r="N2364" s="85">
        <v>0</v>
      </c>
      <c r="O2364" s="85">
        <v>19.16</v>
      </c>
      <c r="P2364" s="85">
        <v>402.31</v>
      </c>
      <c r="Q2364" s="85">
        <v>402.31</v>
      </c>
      <c r="R2364" s="82" t="s">
        <v>3396</v>
      </c>
      <c r="S2364" s="7">
        <f t="shared" si="109"/>
        <v>0</v>
      </c>
      <c r="T2364" s="6">
        <f t="shared" si="110"/>
        <v>0</v>
      </c>
      <c r="U2364" s="25">
        <f t="shared" si="108"/>
        <v>0</v>
      </c>
    </row>
    <row r="2365" spans="1:21" ht="10.9" customHeight="1" x14ac:dyDescent="0.2">
      <c r="A2365" s="82" t="s">
        <v>3188</v>
      </c>
      <c r="B2365" s="83">
        <v>45940</v>
      </c>
      <c r="C2365" s="82" t="s">
        <v>3395</v>
      </c>
      <c r="D2365" s="82" t="s">
        <v>636</v>
      </c>
      <c r="E2365" s="82"/>
      <c r="F2365" s="82" t="s">
        <v>4439</v>
      </c>
      <c r="G2365" s="89">
        <v>1</v>
      </c>
      <c r="H2365" s="89">
        <v>20.149999999999999</v>
      </c>
      <c r="I2365" s="85">
        <v>0</v>
      </c>
      <c r="J2365" s="85">
        <v>1.01</v>
      </c>
      <c r="K2365" s="85">
        <v>21.16</v>
      </c>
      <c r="L2365" s="85">
        <v>5973.81</v>
      </c>
      <c r="M2365" s="89">
        <v>20.149999999999999</v>
      </c>
      <c r="N2365" s="85">
        <v>0</v>
      </c>
      <c r="O2365" s="85">
        <v>1.01</v>
      </c>
      <c r="P2365" s="85">
        <v>21.16</v>
      </c>
      <c r="Q2365" s="85">
        <v>5973.81</v>
      </c>
      <c r="R2365" s="82" t="s">
        <v>3399</v>
      </c>
      <c r="S2365" s="7">
        <f t="shared" si="109"/>
        <v>0</v>
      </c>
      <c r="T2365" s="6">
        <f t="shared" si="110"/>
        <v>0</v>
      </c>
      <c r="U2365" s="25">
        <f t="shared" si="108"/>
        <v>0</v>
      </c>
    </row>
    <row r="2366" spans="1:21" ht="10.9" customHeight="1" x14ac:dyDescent="0.2">
      <c r="A2366" s="82" t="s">
        <v>3188</v>
      </c>
      <c r="B2366" s="83">
        <v>45940</v>
      </c>
      <c r="C2366" s="82" t="s">
        <v>3395</v>
      </c>
      <c r="D2366" s="82" t="s">
        <v>636</v>
      </c>
      <c r="E2366" s="82"/>
      <c r="F2366" s="82" t="s">
        <v>4439</v>
      </c>
      <c r="G2366" s="89">
        <v>1</v>
      </c>
      <c r="H2366" s="89">
        <v>20.149999999999999</v>
      </c>
      <c r="I2366" s="85">
        <v>0</v>
      </c>
      <c r="J2366" s="85">
        <v>1.01</v>
      </c>
      <c r="K2366" s="85">
        <v>21.16</v>
      </c>
      <c r="L2366" s="85">
        <v>5973.81</v>
      </c>
      <c r="M2366" s="89">
        <v>20.149999999999999</v>
      </c>
      <c r="N2366" s="85">
        <v>0</v>
      </c>
      <c r="O2366" s="85">
        <v>1.01</v>
      </c>
      <c r="P2366" s="85">
        <v>21.16</v>
      </c>
      <c r="Q2366" s="85">
        <v>5973.81</v>
      </c>
      <c r="R2366" s="82" t="s">
        <v>3399</v>
      </c>
      <c r="S2366" s="7">
        <f t="shared" si="109"/>
        <v>0</v>
      </c>
      <c r="T2366" s="6">
        <f t="shared" si="110"/>
        <v>0</v>
      </c>
      <c r="U2366" s="25">
        <f t="shared" si="108"/>
        <v>0</v>
      </c>
    </row>
    <row r="2367" spans="1:21" ht="10.9" customHeight="1" x14ac:dyDescent="0.2">
      <c r="A2367" s="82" t="s">
        <v>3188</v>
      </c>
      <c r="B2367" s="83">
        <v>45940</v>
      </c>
      <c r="C2367" s="82" t="s">
        <v>3395</v>
      </c>
      <c r="D2367" s="82" t="s">
        <v>636</v>
      </c>
      <c r="E2367" s="82"/>
      <c r="F2367" s="82" t="s">
        <v>4735</v>
      </c>
      <c r="G2367" s="89">
        <v>1</v>
      </c>
      <c r="H2367" s="89">
        <v>15.32</v>
      </c>
      <c r="I2367" s="85">
        <v>0</v>
      </c>
      <c r="J2367" s="85">
        <v>0.77</v>
      </c>
      <c r="K2367" s="85">
        <v>16.09</v>
      </c>
      <c r="L2367" s="85">
        <v>5973.81</v>
      </c>
      <c r="M2367" s="89">
        <v>15.32</v>
      </c>
      <c r="N2367" s="85">
        <v>0</v>
      </c>
      <c r="O2367" s="85">
        <v>0.77</v>
      </c>
      <c r="P2367" s="85">
        <v>16.09</v>
      </c>
      <c r="Q2367" s="85">
        <v>5973.81</v>
      </c>
      <c r="R2367" s="82" t="s">
        <v>3399</v>
      </c>
      <c r="S2367" s="7">
        <f t="shared" si="109"/>
        <v>0</v>
      </c>
      <c r="T2367" s="6">
        <f t="shared" si="110"/>
        <v>0</v>
      </c>
      <c r="U2367" s="25">
        <f t="shared" si="108"/>
        <v>0</v>
      </c>
    </row>
    <row r="2368" spans="1:21" ht="10.9" customHeight="1" x14ac:dyDescent="0.2">
      <c r="A2368" s="82" t="s">
        <v>3188</v>
      </c>
      <c r="B2368" s="83">
        <v>45940</v>
      </c>
      <c r="C2368" s="82" t="s">
        <v>3395</v>
      </c>
      <c r="D2368" s="82" t="s">
        <v>636</v>
      </c>
      <c r="E2368" s="82"/>
      <c r="F2368" s="82" t="s">
        <v>4734</v>
      </c>
      <c r="G2368" s="89">
        <v>1</v>
      </c>
      <c r="H2368" s="89">
        <v>51.91</v>
      </c>
      <c r="I2368" s="85">
        <v>0</v>
      </c>
      <c r="J2368" s="85">
        <v>2.6</v>
      </c>
      <c r="K2368" s="85">
        <v>54.51</v>
      </c>
      <c r="L2368" s="85">
        <v>5973.81</v>
      </c>
      <c r="M2368" s="89">
        <v>51.91</v>
      </c>
      <c r="N2368" s="85">
        <v>0</v>
      </c>
      <c r="O2368" s="85">
        <v>2.6</v>
      </c>
      <c r="P2368" s="85">
        <v>54.51</v>
      </c>
      <c r="Q2368" s="85">
        <v>5973.81</v>
      </c>
      <c r="R2368" s="82" t="s">
        <v>3399</v>
      </c>
      <c r="S2368" s="7">
        <f t="shared" si="109"/>
        <v>0</v>
      </c>
      <c r="T2368" s="6">
        <f t="shared" si="110"/>
        <v>0</v>
      </c>
      <c r="U2368" s="25">
        <f t="shared" si="108"/>
        <v>0</v>
      </c>
    </row>
    <row r="2369" spans="1:21" ht="10.9" customHeight="1" x14ac:dyDescent="0.2">
      <c r="A2369" s="82" t="s">
        <v>3188</v>
      </c>
      <c r="B2369" s="83">
        <v>45940</v>
      </c>
      <c r="C2369" s="82" t="s">
        <v>3395</v>
      </c>
      <c r="D2369" s="82" t="s">
        <v>636</v>
      </c>
      <c r="E2369" s="82"/>
      <c r="F2369" s="82" t="s">
        <v>4733</v>
      </c>
      <c r="G2369" s="89">
        <v>1</v>
      </c>
      <c r="H2369" s="89">
        <v>217.78</v>
      </c>
      <c r="I2369" s="85">
        <v>0</v>
      </c>
      <c r="J2369" s="85">
        <v>10.89</v>
      </c>
      <c r="K2369" s="85">
        <v>228.67</v>
      </c>
      <c r="L2369" s="85">
        <v>5973.81</v>
      </c>
      <c r="M2369" s="89">
        <v>217.78</v>
      </c>
      <c r="N2369" s="85">
        <v>0</v>
      </c>
      <c r="O2369" s="85">
        <v>10.89</v>
      </c>
      <c r="P2369" s="85">
        <v>228.67</v>
      </c>
      <c r="Q2369" s="85">
        <v>5973.81</v>
      </c>
      <c r="R2369" s="82" t="s">
        <v>3399</v>
      </c>
      <c r="S2369" s="7">
        <f t="shared" si="109"/>
        <v>0</v>
      </c>
      <c r="T2369" s="6">
        <f t="shared" si="110"/>
        <v>0</v>
      </c>
      <c r="U2369" s="25">
        <f t="shared" si="108"/>
        <v>0</v>
      </c>
    </row>
    <row r="2370" spans="1:21" ht="10.9" customHeight="1" x14ac:dyDescent="0.2">
      <c r="A2370" s="82" t="s">
        <v>3188</v>
      </c>
      <c r="B2370" s="83">
        <v>45940</v>
      </c>
      <c r="C2370" s="82" t="s">
        <v>3395</v>
      </c>
      <c r="D2370" s="82" t="s">
        <v>636</v>
      </c>
      <c r="E2370" s="82"/>
      <c r="F2370" s="82" t="s">
        <v>4732</v>
      </c>
      <c r="G2370" s="89">
        <v>1</v>
      </c>
      <c r="H2370" s="89">
        <v>481.71</v>
      </c>
      <c r="I2370" s="85">
        <v>0</v>
      </c>
      <c r="J2370" s="85">
        <v>24.09</v>
      </c>
      <c r="K2370" s="85">
        <v>505.8</v>
      </c>
      <c r="L2370" s="85">
        <v>5973.81</v>
      </c>
      <c r="M2370" s="89">
        <v>481.71</v>
      </c>
      <c r="N2370" s="85">
        <v>0</v>
      </c>
      <c r="O2370" s="85">
        <v>24.09</v>
      </c>
      <c r="P2370" s="85">
        <v>505.8</v>
      </c>
      <c r="Q2370" s="85">
        <v>5973.81</v>
      </c>
      <c r="R2370" s="82" t="s">
        <v>3399</v>
      </c>
      <c r="S2370" s="7">
        <f t="shared" si="109"/>
        <v>0</v>
      </c>
      <c r="T2370" s="6">
        <f t="shared" si="110"/>
        <v>0</v>
      </c>
      <c r="U2370" s="25">
        <f t="shared" ref="U2370:U2433" si="111">IF(T2370=1,K2370-J2370,0)</f>
        <v>0</v>
      </c>
    </row>
    <row r="2371" spans="1:21" ht="10.9" customHeight="1" x14ac:dyDescent="0.2">
      <c r="A2371" s="82" t="s">
        <v>3188</v>
      </c>
      <c r="B2371" s="83">
        <v>45940</v>
      </c>
      <c r="C2371" s="82" t="s">
        <v>3395</v>
      </c>
      <c r="D2371" s="82" t="s">
        <v>636</v>
      </c>
      <c r="E2371" s="82"/>
      <c r="F2371" s="82" t="s">
        <v>4591</v>
      </c>
      <c r="G2371" s="89">
        <v>1</v>
      </c>
      <c r="H2371" s="89">
        <v>135.4</v>
      </c>
      <c r="I2371" s="85">
        <v>0</v>
      </c>
      <c r="J2371" s="85">
        <v>6.77</v>
      </c>
      <c r="K2371" s="85">
        <v>142.16999999999999</v>
      </c>
      <c r="L2371" s="85">
        <v>5973.81</v>
      </c>
      <c r="M2371" s="89">
        <v>135.4</v>
      </c>
      <c r="N2371" s="85">
        <v>0</v>
      </c>
      <c r="O2371" s="85">
        <v>6.77</v>
      </c>
      <c r="P2371" s="85">
        <v>142.16999999999999</v>
      </c>
      <c r="Q2371" s="85">
        <v>5973.81</v>
      </c>
      <c r="R2371" s="82" t="s">
        <v>3399</v>
      </c>
      <c r="S2371" s="7">
        <f t="shared" ref="S2371:S2434" si="112">IF(T2371=1,A2371,0)</f>
        <v>0</v>
      </c>
      <c r="T2371" s="6">
        <f t="shared" ref="T2371:T2434" si="113">IFERROR(FIND("Freight",F2371,1),0)</f>
        <v>0</v>
      </c>
      <c r="U2371" s="25">
        <f t="shared" si="111"/>
        <v>0</v>
      </c>
    </row>
    <row r="2372" spans="1:21" ht="10.9" customHeight="1" x14ac:dyDescent="0.2">
      <c r="A2372" s="82" t="s">
        <v>3188</v>
      </c>
      <c r="B2372" s="83">
        <v>45940</v>
      </c>
      <c r="C2372" s="82" t="s">
        <v>3395</v>
      </c>
      <c r="D2372" s="82" t="s">
        <v>636</v>
      </c>
      <c r="E2372" s="82"/>
      <c r="F2372" s="82" t="s">
        <v>4587</v>
      </c>
      <c r="G2372" s="89">
        <v>1</v>
      </c>
      <c r="H2372" s="89">
        <v>48.49</v>
      </c>
      <c r="I2372" s="85">
        <v>0</v>
      </c>
      <c r="J2372" s="85">
        <v>2.42</v>
      </c>
      <c r="K2372" s="85">
        <v>50.91</v>
      </c>
      <c r="L2372" s="85">
        <v>5973.81</v>
      </c>
      <c r="M2372" s="89">
        <v>48.49</v>
      </c>
      <c r="N2372" s="85">
        <v>0</v>
      </c>
      <c r="O2372" s="85">
        <v>2.42</v>
      </c>
      <c r="P2372" s="85">
        <v>50.91</v>
      </c>
      <c r="Q2372" s="85">
        <v>5973.81</v>
      </c>
      <c r="R2372" s="82" t="s">
        <v>3399</v>
      </c>
      <c r="S2372" s="7">
        <f t="shared" si="112"/>
        <v>0</v>
      </c>
      <c r="T2372" s="6">
        <f t="shared" si="113"/>
        <v>0</v>
      </c>
      <c r="U2372" s="25">
        <f t="shared" si="111"/>
        <v>0</v>
      </c>
    </row>
    <row r="2373" spans="1:21" ht="10.9" customHeight="1" x14ac:dyDescent="0.2">
      <c r="A2373" s="82" t="s">
        <v>3188</v>
      </c>
      <c r="B2373" s="83">
        <v>45940</v>
      </c>
      <c r="C2373" s="82" t="s">
        <v>3395</v>
      </c>
      <c r="D2373" s="82" t="s">
        <v>636</v>
      </c>
      <c r="E2373" s="82"/>
      <c r="F2373" s="82" t="s">
        <v>4588</v>
      </c>
      <c r="G2373" s="89">
        <v>1</v>
      </c>
      <c r="H2373" s="89">
        <v>48.49</v>
      </c>
      <c r="I2373" s="85">
        <v>0</v>
      </c>
      <c r="J2373" s="85">
        <v>2.42</v>
      </c>
      <c r="K2373" s="85">
        <v>50.91</v>
      </c>
      <c r="L2373" s="85">
        <v>5973.81</v>
      </c>
      <c r="M2373" s="89">
        <v>48.49</v>
      </c>
      <c r="N2373" s="85">
        <v>0</v>
      </c>
      <c r="O2373" s="85">
        <v>2.42</v>
      </c>
      <c r="P2373" s="85">
        <v>50.91</v>
      </c>
      <c r="Q2373" s="85">
        <v>5973.81</v>
      </c>
      <c r="R2373" s="82" t="s">
        <v>3399</v>
      </c>
      <c r="S2373" s="7">
        <f t="shared" si="112"/>
        <v>0</v>
      </c>
      <c r="T2373" s="6">
        <f t="shared" si="113"/>
        <v>0</v>
      </c>
      <c r="U2373" s="25">
        <f t="shared" si="111"/>
        <v>0</v>
      </c>
    </row>
    <row r="2374" spans="1:21" ht="10.9" customHeight="1" x14ac:dyDescent="0.2">
      <c r="A2374" s="82" t="s">
        <v>3188</v>
      </c>
      <c r="B2374" s="83">
        <v>45940</v>
      </c>
      <c r="C2374" s="82" t="s">
        <v>3395</v>
      </c>
      <c r="D2374" s="82" t="s">
        <v>636</v>
      </c>
      <c r="E2374" s="82"/>
      <c r="F2374" s="82" t="s">
        <v>4731</v>
      </c>
      <c r="G2374" s="89">
        <v>1</v>
      </c>
      <c r="H2374" s="89">
        <v>4649.93</v>
      </c>
      <c r="I2374" s="85">
        <v>0</v>
      </c>
      <c r="J2374" s="85">
        <v>232.5</v>
      </c>
      <c r="K2374" s="85">
        <v>4882.43</v>
      </c>
      <c r="L2374" s="85">
        <v>5973.81</v>
      </c>
      <c r="M2374" s="89">
        <v>4649.93</v>
      </c>
      <c r="N2374" s="85">
        <v>0</v>
      </c>
      <c r="O2374" s="85">
        <v>232.5</v>
      </c>
      <c r="P2374" s="85">
        <v>4882.43</v>
      </c>
      <c r="Q2374" s="85">
        <v>5973.81</v>
      </c>
      <c r="R2374" s="82" t="s">
        <v>3399</v>
      </c>
      <c r="S2374" s="7">
        <f t="shared" si="112"/>
        <v>0</v>
      </c>
      <c r="T2374" s="6">
        <f t="shared" si="113"/>
        <v>0</v>
      </c>
      <c r="U2374" s="25">
        <f t="shared" si="111"/>
        <v>0</v>
      </c>
    </row>
    <row r="2375" spans="1:21" ht="10.9" customHeight="1" x14ac:dyDescent="0.2">
      <c r="A2375" s="82" t="s">
        <v>3268</v>
      </c>
      <c r="B2375" s="83">
        <v>45940</v>
      </c>
      <c r="C2375" s="82" t="s">
        <v>3395</v>
      </c>
      <c r="D2375" s="82" t="s">
        <v>462</v>
      </c>
      <c r="E2375" s="82"/>
      <c r="F2375" s="82" t="s">
        <v>4730</v>
      </c>
      <c r="G2375" s="89">
        <v>6</v>
      </c>
      <c r="H2375" s="89">
        <v>35</v>
      </c>
      <c r="I2375" s="85">
        <v>0</v>
      </c>
      <c r="J2375" s="85">
        <v>27.3</v>
      </c>
      <c r="K2375" s="85">
        <v>237.3</v>
      </c>
      <c r="L2375" s="85">
        <v>237.3</v>
      </c>
      <c r="M2375" s="89">
        <v>35</v>
      </c>
      <c r="N2375" s="85">
        <v>0</v>
      </c>
      <c r="O2375" s="85">
        <v>27.3</v>
      </c>
      <c r="P2375" s="85">
        <v>237.3</v>
      </c>
      <c r="Q2375" s="85">
        <v>237.3</v>
      </c>
      <c r="R2375" s="82" t="s">
        <v>3399</v>
      </c>
      <c r="S2375" s="7">
        <f t="shared" si="112"/>
        <v>0</v>
      </c>
      <c r="T2375" s="6">
        <f t="shared" si="113"/>
        <v>0</v>
      </c>
      <c r="U2375" s="25">
        <f t="shared" si="111"/>
        <v>0</v>
      </c>
    </row>
    <row r="2376" spans="1:21" ht="10.9" customHeight="1" x14ac:dyDescent="0.2">
      <c r="A2376" s="82" t="s">
        <v>3275</v>
      </c>
      <c r="B2376" s="83">
        <v>45940</v>
      </c>
      <c r="C2376" s="82" t="s">
        <v>3395</v>
      </c>
      <c r="D2376" s="82" t="s">
        <v>447</v>
      </c>
      <c r="E2376" s="82"/>
      <c r="F2376" s="82" t="s">
        <v>4740</v>
      </c>
      <c r="G2376" s="89">
        <v>3</v>
      </c>
      <c r="H2376" s="89">
        <v>150.88</v>
      </c>
      <c r="I2376" s="85">
        <v>0</v>
      </c>
      <c r="J2376" s="85">
        <v>22.63</v>
      </c>
      <c r="K2376" s="85">
        <v>475.27</v>
      </c>
      <c r="L2376" s="85">
        <v>993.26</v>
      </c>
      <c r="M2376" s="89">
        <v>150.88</v>
      </c>
      <c r="N2376" s="85">
        <v>0</v>
      </c>
      <c r="O2376" s="85">
        <v>22.63</v>
      </c>
      <c r="P2376" s="85">
        <v>475.27</v>
      </c>
      <c r="Q2376" s="85">
        <v>993.26</v>
      </c>
      <c r="R2376" s="82" t="s">
        <v>3399</v>
      </c>
      <c r="S2376" s="7">
        <f t="shared" si="112"/>
        <v>0</v>
      </c>
      <c r="T2376" s="6">
        <f t="shared" si="113"/>
        <v>0</v>
      </c>
      <c r="U2376" s="25">
        <f t="shared" si="111"/>
        <v>0</v>
      </c>
    </row>
    <row r="2377" spans="1:21" ht="10.9" customHeight="1" x14ac:dyDescent="0.2">
      <c r="A2377" s="82" t="s">
        <v>3275</v>
      </c>
      <c r="B2377" s="83">
        <v>45940</v>
      </c>
      <c r="C2377" s="82" t="s">
        <v>3395</v>
      </c>
      <c r="D2377" s="82" t="s">
        <v>447</v>
      </c>
      <c r="E2377" s="82"/>
      <c r="F2377" s="82" t="s">
        <v>4739</v>
      </c>
      <c r="G2377" s="89">
        <v>3</v>
      </c>
      <c r="H2377" s="89">
        <v>164.44</v>
      </c>
      <c r="I2377" s="85">
        <v>0</v>
      </c>
      <c r="J2377" s="85">
        <v>24.67</v>
      </c>
      <c r="K2377" s="85">
        <v>517.99</v>
      </c>
      <c r="L2377" s="85">
        <v>993.26</v>
      </c>
      <c r="M2377" s="89">
        <v>164.44</v>
      </c>
      <c r="N2377" s="85">
        <v>0</v>
      </c>
      <c r="O2377" s="85">
        <v>24.67</v>
      </c>
      <c r="P2377" s="85">
        <v>517.99</v>
      </c>
      <c r="Q2377" s="85">
        <v>993.26</v>
      </c>
      <c r="R2377" s="82" t="s">
        <v>3399</v>
      </c>
      <c r="S2377" s="7">
        <f t="shared" si="112"/>
        <v>0</v>
      </c>
      <c r="T2377" s="6">
        <f t="shared" si="113"/>
        <v>0</v>
      </c>
      <c r="U2377" s="25">
        <f t="shared" si="111"/>
        <v>0</v>
      </c>
    </row>
    <row r="2378" spans="1:21" ht="10.9" customHeight="1" x14ac:dyDescent="0.2">
      <c r="A2378" s="82" t="s">
        <v>3269</v>
      </c>
      <c r="B2378" s="83">
        <v>45940</v>
      </c>
      <c r="C2378" s="82" t="s">
        <v>3395</v>
      </c>
      <c r="D2378" s="82" t="s">
        <v>460</v>
      </c>
      <c r="E2378" s="82"/>
      <c r="F2378" s="82" t="s">
        <v>4729</v>
      </c>
      <c r="G2378" s="89">
        <v>1</v>
      </c>
      <c r="H2378" s="89">
        <v>2.5</v>
      </c>
      <c r="I2378" s="85">
        <v>0</v>
      </c>
      <c r="J2378" s="85">
        <v>0.13</v>
      </c>
      <c r="K2378" s="85">
        <v>2.63</v>
      </c>
      <c r="L2378" s="85">
        <v>2.63</v>
      </c>
      <c r="M2378" s="89">
        <v>2.5</v>
      </c>
      <c r="N2378" s="85">
        <v>0</v>
      </c>
      <c r="O2378" s="85">
        <v>0.13</v>
      </c>
      <c r="P2378" s="85">
        <v>2.63</v>
      </c>
      <c r="Q2378" s="85">
        <v>2.63</v>
      </c>
      <c r="R2378" s="82" t="s">
        <v>3399</v>
      </c>
      <c r="S2378" s="7">
        <f t="shared" si="112"/>
        <v>0</v>
      </c>
      <c r="T2378" s="6">
        <f t="shared" si="113"/>
        <v>0</v>
      </c>
      <c r="U2378" s="25">
        <f t="shared" si="111"/>
        <v>0</v>
      </c>
    </row>
    <row r="2379" spans="1:21" ht="10.9" customHeight="1" x14ac:dyDescent="0.2">
      <c r="A2379" s="82" t="s">
        <v>3211</v>
      </c>
      <c r="B2379" s="83">
        <v>45940</v>
      </c>
      <c r="C2379" s="82" t="s">
        <v>3395</v>
      </c>
      <c r="D2379" s="82" t="s">
        <v>585</v>
      </c>
      <c r="E2379" s="82"/>
      <c r="F2379" s="82" t="s">
        <v>4566</v>
      </c>
      <c r="G2379" s="89">
        <v>2</v>
      </c>
      <c r="H2379" s="89">
        <v>16</v>
      </c>
      <c r="I2379" s="85">
        <v>0</v>
      </c>
      <c r="J2379" s="85">
        <v>1.6</v>
      </c>
      <c r="K2379" s="85">
        <v>33.6</v>
      </c>
      <c r="L2379" s="85">
        <v>891.36</v>
      </c>
      <c r="M2379" s="89">
        <v>16</v>
      </c>
      <c r="N2379" s="85">
        <v>0</v>
      </c>
      <c r="O2379" s="85">
        <v>1.6</v>
      </c>
      <c r="P2379" s="85">
        <v>33.6</v>
      </c>
      <c r="Q2379" s="85">
        <v>891.36</v>
      </c>
      <c r="R2379" s="82" t="s">
        <v>3399</v>
      </c>
      <c r="S2379" s="7">
        <f t="shared" si="112"/>
        <v>0</v>
      </c>
      <c r="T2379" s="6">
        <f t="shared" si="113"/>
        <v>0</v>
      </c>
      <c r="U2379" s="25">
        <f t="shared" si="111"/>
        <v>0</v>
      </c>
    </row>
    <row r="2380" spans="1:21" ht="10.9" customHeight="1" x14ac:dyDescent="0.2">
      <c r="A2380" s="82" t="s">
        <v>3211</v>
      </c>
      <c r="B2380" s="83">
        <v>45940</v>
      </c>
      <c r="C2380" s="82" t="s">
        <v>3395</v>
      </c>
      <c r="D2380" s="82" t="s">
        <v>585</v>
      </c>
      <c r="E2380" s="82"/>
      <c r="F2380" s="82" t="s">
        <v>4605</v>
      </c>
      <c r="G2380" s="89">
        <v>1</v>
      </c>
      <c r="H2380" s="89">
        <v>816.91</v>
      </c>
      <c r="I2380" s="85">
        <v>0</v>
      </c>
      <c r="J2380" s="85">
        <v>40.85</v>
      </c>
      <c r="K2380" s="85">
        <v>857.76</v>
      </c>
      <c r="L2380" s="85">
        <v>891.36</v>
      </c>
      <c r="M2380" s="89">
        <v>816.91</v>
      </c>
      <c r="N2380" s="85">
        <v>0</v>
      </c>
      <c r="O2380" s="85">
        <v>40.85</v>
      </c>
      <c r="P2380" s="85">
        <v>857.76</v>
      </c>
      <c r="Q2380" s="85">
        <v>891.36</v>
      </c>
      <c r="R2380" s="82" t="s">
        <v>3399</v>
      </c>
      <c r="S2380" s="7">
        <f t="shared" si="112"/>
        <v>0</v>
      </c>
      <c r="T2380" s="6">
        <f t="shared" si="113"/>
        <v>0</v>
      </c>
      <c r="U2380" s="25">
        <f t="shared" si="111"/>
        <v>0</v>
      </c>
    </row>
    <row r="2381" spans="1:21" ht="10.9" customHeight="1" x14ac:dyDescent="0.2">
      <c r="A2381" s="82" t="s">
        <v>3273</v>
      </c>
      <c r="B2381" s="83">
        <v>45940</v>
      </c>
      <c r="C2381" s="82" t="s">
        <v>3395</v>
      </c>
      <c r="D2381" s="82" t="s">
        <v>452</v>
      </c>
      <c r="E2381" s="82"/>
      <c r="F2381" s="82" t="s">
        <v>4726</v>
      </c>
      <c r="G2381" s="89">
        <v>1</v>
      </c>
      <c r="H2381" s="89">
        <v>1127.0999999999999</v>
      </c>
      <c r="I2381" s="85">
        <v>0</v>
      </c>
      <c r="J2381" s="85">
        <v>56.36</v>
      </c>
      <c r="K2381" s="85">
        <v>1183.46</v>
      </c>
      <c r="L2381" s="85">
        <v>1183.46</v>
      </c>
      <c r="M2381" s="89">
        <v>1127.0999999999999</v>
      </c>
      <c r="N2381" s="85">
        <v>0</v>
      </c>
      <c r="O2381" s="85">
        <v>56.36</v>
      </c>
      <c r="P2381" s="85">
        <v>1183.46</v>
      </c>
      <c r="Q2381" s="85">
        <v>1183.46</v>
      </c>
      <c r="R2381" s="82" t="s">
        <v>3399</v>
      </c>
      <c r="S2381" s="7">
        <f t="shared" si="112"/>
        <v>0</v>
      </c>
      <c r="T2381" s="6">
        <f t="shared" si="113"/>
        <v>0</v>
      </c>
      <c r="U2381" s="25">
        <f t="shared" si="111"/>
        <v>0</v>
      </c>
    </row>
    <row r="2382" spans="1:21" ht="10.9" customHeight="1" x14ac:dyDescent="0.2">
      <c r="A2382" s="82" t="s">
        <v>3278</v>
      </c>
      <c r="B2382" s="83">
        <v>45940</v>
      </c>
      <c r="C2382" s="82" t="s">
        <v>3395</v>
      </c>
      <c r="D2382" s="82" t="s">
        <v>437</v>
      </c>
      <c r="E2382" s="82"/>
      <c r="F2382" s="82" t="s">
        <v>4728</v>
      </c>
      <c r="G2382" s="89">
        <v>5</v>
      </c>
      <c r="H2382" s="89">
        <v>124.84</v>
      </c>
      <c r="I2382" s="85">
        <v>0</v>
      </c>
      <c r="J2382" s="85">
        <v>31.21</v>
      </c>
      <c r="K2382" s="85">
        <v>655.41</v>
      </c>
      <c r="L2382" s="85">
        <v>655.41</v>
      </c>
      <c r="M2382" s="89">
        <v>124.84</v>
      </c>
      <c r="N2382" s="85">
        <v>0</v>
      </c>
      <c r="O2382" s="85">
        <v>31.21</v>
      </c>
      <c r="P2382" s="85">
        <v>655.41</v>
      </c>
      <c r="Q2382" s="85">
        <v>655.41</v>
      </c>
      <c r="R2382" s="82" t="s">
        <v>3399</v>
      </c>
      <c r="S2382" s="7">
        <f t="shared" si="112"/>
        <v>0</v>
      </c>
      <c r="T2382" s="6">
        <f t="shared" si="113"/>
        <v>0</v>
      </c>
      <c r="U2382" s="25">
        <f t="shared" si="111"/>
        <v>0</v>
      </c>
    </row>
    <row r="2383" spans="1:21" ht="10.9" customHeight="1" x14ac:dyDescent="0.2">
      <c r="A2383" s="82" t="s">
        <v>3209</v>
      </c>
      <c r="B2383" s="83">
        <v>45943</v>
      </c>
      <c r="C2383" s="82" t="s">
        <v>3395</v>
      </c>
      <c r="D2383" s="82" t="s">
        <v>587</v>
      </c>
      <c r="E2383" s="82"/>
      <c r="F2383" s="82" t="s">
        <v>4727</v>
      </c>
      <c r="G2383" s="89">
        <v>2</v>
      </c>
      <c r="H2383" s="89">
        <v>250</v>
      </c>
      <c r="I2383" s="85">
        <v>0</v>
      </c>
      <c r="J2383" s="85">
        <v>0</v>
      </c>
      <c r="K2383" s="85">
        <v>500</v>
      </c>
      <c r="L2383" s="85">
        <v>500</v>
      </c>
      <c r="M2383" s="89">
        <v>350.69753740189236</v>
      </c>
      <c r="N2383" s="85">
        <v>0</v>
      </c>
      <c r="O2383" s="85">
        <v>0</v>
      </c>
      <c r="P2383" s="85">
        <v>701.39507480378472</v>
      </c>
      <c r="Q2383" s="85">
        <v>701.39507480378472</v>
      </c>
      <c r="R2383" s="82" t="s">
        <v>3396</v>
      </c>
      <c r="S2383" s="7">
        <f t="shared" si="112"/>
        <v>0</v>
      </c>
      <c r="T2383" s="6">
        <f t="shared" si="113"/>
        <v>0</v>
      </c>
      <c r="U2383" s="25">
        <f t="shared" si="111"/>
        <v>0</v>
      </c>
    </row>
    <row r="2384" spans="1:21" ht="10.9" customHeight="1" x14ac:dyDescent="0.2">
      <c r="A2384" s="82" t="s">
        <v>3276</v>
      </c>
      <c r="B2384" s="83">
        <v>45944</v>
      </c>
      <c r="C2384" s="82" t="s">
        <v>3395</v>
      </c>
      <c r="D2384" s="82" t="s">
        <v>444</v>
      </c>
      <c r="E2384" s="82"/>
      <c r="F2384" s="82" t="s">
        <v>4724</v>
      </c>
      <c r="G2384" s="89">
        <v>1</v>
      </c>
      <c r="H2384" s="89">
        <v>5825</v>
      </c>
      <c r="I2384" s="85">
        <v>0</v>
      </c>
      <c r="J2384" s="85">
        <v>0</v>
      </c>
      <c r="K2384" s="85">
        <v>5825</v>
      </c>
      <c r="L2384" s="85">
        <v>15132</v>
      </c>
      <c r="M2384" s="89">
        <v>8175.3926995497568</v>
      </c>
      <c r="N2384" s="85">
        <v>0</v>
      </c>
      <c r="O2384" s="85">
        <v>0</v>
      </c>
      <c r="P2384" s="85">
        <v>8175.3926995497568</v>
      </c>
      <c r="Q2384" s="85">
        <v>21237.775507225222</v>
      </c>
      <c r="R2384" s="82" t="s">
        <v>3399</v>
      </c>
      <c r="S2384" s="7">
        <f t="shared" si="112"/>
        <v>0</v>
      </c>
      <c r="T2384" s="6">
        <f t="shared" si="113"/>
        <v>0</v>
      </c>
      <c r="U2384" s="25">
        <f t="shared" si="111"/>
        <v>0</v>
      </c>
    </row>
    <row r="2385" spans="1:21" ht="10.9" customHeight="1" x14ac:dyDescent="0.2">
      <c r="A2385" s="82" t="s">
        <v>3276</v>
      </c>
      <c r="B2385" s="83">
        <v>45944</v>
      </c>
      <c r="C2385" s="82" t="s">
        <v>3395</v>
      </c>
      <c r="D2385" s="82" t="s">
        <v>444</v>
      </c>
      <c r="E2385" s="82"/>
      <c r="F2385" s="82" t="s">
        <v>4440</v>
      </c>
      <c r="G2385" s="89">
        <v>1</v>
      </c>
      <c r="H2385" s="89">
        <v>3315</v>
      </c>
      <c r="I2385" s="85">
        <v>0</v>
      </c>
      <c r="J2385" s="85">
        <v>0</v>
      </c>
      <c r="K2385" s="85">
        <v>3315</v>
      </c>
      <c r="L2385" s="85">
        <v>15132</v>
      </c>
      <c r="M2385" s="89">
        <v>4652.605459057072</v>
      </c>
      <c r="N2385" s="85">
        <v>0</v>
      </c>
      <c r="O2385" s="85">
        <v>0</v>
      </c>
      <c r="P2385" s="85">
        <v>4652.605459057072</v>
      </c>
      <c r="Q2385" s="85">
        <v>21237.775507225222</v>
      </c>
      <c r="R2385" s="82" t="s">
        <v>3399</v>
      </c>
      <c r="S2385" s="7">
        <f t="shared" si="112"/>
        <v>0</v>
      </c>
      <c r="T2385" s="6">
        <f t="shared" si="113"/>
        <v>0</v>
      </c>
      <c r="U2385" s="25">
        <f t="shared" si="111"/>
        <v>0</v>
      </c>
    </row>
    <row r="2386" spans="1:21" ht="10.9" customHeight="1" x14ac:dyDescent="0.2">
      <c r="A2386" s="82" t="s">
        <v>3276</v>
      </c>
      <c r="B2386" s="83">
        <v>45944</v>
      </c>
      <c r="C2386" s="82" t="s">
        <v>3395</v>
      </c>
      <c r="D2386" s="82" t="s">
        <v>444</v>
      </c>
      <c r="E2386" s="82"/>
      <c r="F2386" s="82" t="s">
        <v>4441</v>
      </c>
      <c r="G2386" s="89">
        <v>1</v>
      </c>
      <c r="H2386" s="89">
        <v>2674</v>
      </c>
      <c r="I2386" s="85">
        <v>0</v>
      </c>
      <c r="J2386" s="85">
        <v>0</v>
      </c>
      <c r="K2386" s="85">
        <v>2674</v>
      </c>
      <c r="L2386" s="85">
        <v>15132</v>
      </c>
      <c r="M2386" s="89">
        <v>3752.9613868834422</v>
      </c>
      <c r="N2386" s="85">
        <v>0</v>
      </c>
      <c r="O2386" s="85">
        <v>0</v>
      </c>
      <c r="P2386" s="85">
        <v>3752.9613868834422</v>
      </c>
      <c r="Q2386" s="85">
        <v>21237.775507225222</v>
      </c>
      <c r="R2386" s="82" t="s">
        <v>3399</v>
      </c>
      <c r="S2386" s="7">
        <f t="shared" si="112"/>
        <v>0</v>
      </c>
      <c r="T2386" s="6">
        <f t="shared" si="113"/>
        <v>0</v>
      </c>
      <c r="U2386" s="25">
        <f t="shared" si="111"/>
        <v>0</v>
      </c>
    </row>
    <row r="2387" spans="1:21" ht="10.9" customHeight="1" x14ac:dyDescent="0.2">
      <c r="A2387" s="82" t="s">
        <v>3276</v>
      </c>
      <c r="B2387" s="83">
        <v>45944</v>
      </c>
      <c r="C2387" s="82" t="s">
        <v>3395</v>
      </c>
      <c r="D2387" s="82" t="s">
        <v>444</v>
      </c>
      <c r="E2387" s="82"/>
      <c r="F2387" s="82" t="s">
        <v>4442</v>
      </c>
      <c r="G2387" s="89">
        <v>1</v>
      </c>
      <c r="H2387" s="89">
        <v>3198</v>
      </c>
      <c r="I2387" s="85">
        <v>0</v>
      </c>
      <c r="J2387" s="85">
        <v>0</v>
      </c>
      <c r="K2387" s="85">
        <v>3198</v>
      </c>
      <c r="L2387" s="85">
        <v>15132</v>
      </c>
      <c r="M2387" s="89">
        <v>4488.3958546197637</v>
      </c>
      <c r="N2387" s="85">
        <v>0</v>
      </c>
      <c r="O2387" s="85">
        <v>0</v>
      </c>
      <c r="P2387" s="85">
        <v>4488.3958546197637</v>
      </c>
      <c r="Q2387" s="85">
        <v>21237.775507225222</v>
      </c>
      <c r="R2387" s="82" t="s">
        <v>3399</v>
      </c>
      <c r="S2387" s="7">
        <f t="shared" si="112"/>
        <v>0</v>
      </c>
      <c r="T2387" s="6">
        <f t="shared" si="113"/>
        <v>0</v>
      </c>
      <c r="U2387" s="25">
        <f t="shared" si="111"/>
        <v>0</v>
      </c>
    </row>
    <row r="2388" spans="1:21" ht="10.9" customHeight="1" x14ac:dyDescent="0.2">
      <c r="A2388" s="82" t="s">
        <v>3276</v>
      </c>
      <c r="B2388" s="83">
        <v>45944</v>
      </c>
      <c r="C2388" s="82" t="s">
        <v>3395</v>
      </c>
      <c r="D2388" s="82" t="s">
        <v>444</v>
      </c>
      <c r="E2388" s="82"/>
      <c r="F2388" s="82" t="s">
        <v>4393</v>
      </c>
      <c r="G2388" s="89">
        <v>1</v>
      </c>
      <c r="H2388" s="89">
        <v>120</v>
      </c>
      <c r="I2388" s="85">
        <v>0</v>
      </c>
      <c r="J2388" s="85">
        <v>0</v>
      </c>
      <c r="K2388" s="85">
        <v>120</v>
      </c>
      <c r="L2388" s="85">
        <v>15132</v>
      </c>
      <c r="M2388" s="89">
        <v>168.42010711518813</v>
      </c>
      <c r="N2388" s="85">
        <v>0</v>
      </c>
      <c r="O2388" s="85">
        <v>0</v>
      </c>
      <c r="P2388" s="85">
        <v>168.42010711518813</v>
      </c>
      <c r="Q2388" s="85">
        <v>21237.775507225222</v>
      </c>
      <c r="R2388" s="82" t="s">
        <v>3399</v>
      </c>
      <c r="S2388" s="7" t="str">
        <f t="shared" si="112"/>
        <v>INV13521</v>
      </c>
      <c r="T2388" s="6">
        <f t="shared" si="113"/>
        <v>1</v>
      </c>
      <c r="U2388" s="25">
        <f t="shared" si="111"/>
        <v>120</v>
      </c>
    </row>
    <row r="2389" spans="1:21" ht="10.9" customHeight="1" x14ac:dyDescent="0.2">
      <c r="A2389" s="82" t="s">
        <v>3262</v>
      </c>
      <c r="B2389" s="83">
        <v>45944</v>
      </c>
      <c r="C2389" s="82" t="s">
        <v>3395</v>
      </c>
      <c r="D2389" s="82" t="s">
        <v>476</v>
      </c>
      <c r="E2389" s="82"/>
      <c r="F2389" s="82" t="s">
        <v>4424</v>
      </c>
      <c r="G2389" s="89">
        <v>1</v>
      </c>
      <c r="H2389" s="89">
        <v>1148.94</v>
      </c>
      <c r="I2389" s="85">
        <v>0</v>
      </c>
      <c r="J2389" s="85">
        <v>149.36000000000001</v>
      </c>
      <c r="K2389" s="85">
        <v>1298.3</v>
      </c>
      <c r="L2389" s="85">
        <v>2714.99</v>
      </c>
      <c r="M2389" s="89">
        <v>1148.94</v>
      </c>
      <c r="N2389" s="85">
        <v>0</v>
      </c>
      <c r="O2389" s="85">
        <v>149.36000000000001</v>
      </c>
      <c r="P2389" s="85">
        <v>1298.3</v>
      </c>
      <c r="Q2389" s="85">
        <v>2714.99</v>
      </c>
      <c r="R2389" s="82" t="s">
        <v>3399</v>
      </c>
      <c r="S2389" s="7">
        <f t="shared" si="112"/>
        <v>0</v>
      </c>
      <c r="T2389" s="6">
        <f t="shared" si="113"/>
        <v>0</v>
      </c>
      <c r="U2389" s="25">
        <f t="shared" si="111"/>
        <v>0</v>
      </c>
    </row>
    <row r="2390" spans="1:21" ht="10.9" customHeight="1" x14ac:dyDescent="0.2">
      <c r="A2390" s="82" t="s">
        <v>3262</v>
      </c>
      <c r="B2390" s="83">
        <v>45944</v>
      </c>
      <c r="C2390" s="82" t="s">
        <v>3395</v>
      </c>
      <c r="D2390" s="82" t="s">
        <v>476</v>
      </c>
      <c r="E2390" s="82"/>
      <c r="F2390" s="82" t="s">
        <v>4425</v>
      </c>
      <c r="G2390" s="89">
        <v>1</v>
      </c>
      <c r="H2390" s="89">
        <v>1097.0999999999999</v>
      </c>
      <c r="I2390" s="85">
        <v>0</v>
      </c>
      <c r="J2390" s="85">
        <v>142.62</v>
      </c>
      <c r="K2390" s="85">
        <v>1239.72</v>
      </c>
      <c r="L2390" s="85">
        <v>2714.99</v>
      </c>
      <c r="M2390" s="89">
        <v>1097.0999999999999</v>
      </c>
      <c r="N2390" s="85">
        <v>0</v>
      </c>
      <c r="O2390" s="85">
        <v>142.62</v>
      </c>
      <c r="P2390" s="85">
        <v>1239.72</v>
      </c>
      <c r="Q2390" s="85">
        <v>2714.99</v>
      </c>
      <c r="R2390" s="82" t="s">
        <v>3399</v>
      </c>
      <c r="S2390" s="7">
        <f t="shared" si="112"/>
        <v>0</v>
      </c>
      <c r="T2390" s="6">
        <f t="shared" si="113"/>
        <v>0</v>
      </c>
      <c r="U2390" s="25">
        <f t="shared" si="111"/>
        <v>0</v>
      </c>
    </row>
    <row r="2391" spans="1:21" ht="10.9" customHeight="1" x14ac:dyDescent="0.2">
      <c r="A2391" s="82" t="s">
        <v>3262</v>
      </c>
      <c r="B2391" s="83">
        <v>45944</v>
      </c>
      <c r="C2391" s="82" t="s">
        <v>3395</v>
      </c>
      <c r="D2391" s="82" t="s">
        <v>476</v>
      </c>
      <c r="E2391" s="82"/>
      <c r="F2391" s="82" t="s">
        <v>4426</v>
      </c>
      <c r="G2391" s="89">
        <v>1</v>
      </c>
      <c r="H2391" s="89">
        <v>156.61000000000001</v>
      </c>
      <c r="I2391" s="85">
        <v>0</v>
      </c>
      <c r="J2391" s="85">
        <v>20.36</v>
      </c>
      <c r="K2391" s="85">
        <v>176.97</v>
      </c>
      <c r="L2391" s="85">
        <v>2714.99</v>
      </c>
      <c r="M2391" s="89">
        <v>156.61000000000001</v>
      </c>
      <c r="N2391" s="85">
        <v>0</v>
      </c>
      <c r="O2391" s="85">
        <v>20.36</v>
      </c>
      <c r="P2391" s="85">
        <v>176.97</v>
      </c>
      <c r="Q2391" s="85">
        <v>2714.99</v>
      </c>
      <c r="R2391" s="82" t="s">
        <v>3399</v>
      </c>
      <c r="S2391" s="7">
        <f t="shared" si="112"/>
        <v>0</v>
      </c>
      <c r="T2391" s="6">
        <f t="shared" si="113"/>
        <v>0</v>
      </c>
      <c r="U2391" s="25">
        <f t="shared" si="111"/>
        <v>0</v>
      </c>
    </row>
    <row r="2392" spans="1:21" ht="10.9" customHeight="1" x14ac:dyDescent="0.2">
      <c r="A2392" s="82" t="s">
        <v>2930</v>
      </c>
      <c r="B2392" s="83">
        <v>45944</v>
      </c>
      <c r="C2392" s="82" t="s">
        <v>3395</v>
      </c>
      <c r="D2392" s="82" t="s">
        <v>1117</v>
      </c>
      <c r="E2392" s="82"/>
      <c r="F2392" s="82" t="s">
        <v>4725</v>
      </c>
      <c r="G2392" s="89">
        <v>1</v>
      </c>
      <c r="H2392" s="89">
        <v>3308</v>
      </c>
      <c r="I2392" s="85">
        <v>0</v>
      </c>
      <c r="J2392" s="85">
        <v>430.04</v>
      </c>
      <c r="K2392" s="85">
        <v>3738.04</v>
      </c>
      <c r="L2392" s="85">
        <v>3738.04</v>
      </c>
      <c r="M2392" s="89">
        <v>3308</v>
      </c>
      <c r="N2392" s="85">
        <v>0</v>
      </c>
      <c r="O2392" s="85">
        <v>430.04</v>
      </c>
      <c r="P2392" s="85">
        <v>3738.04</v>
      </c>
      <c r="Q2392" s="85">
        <v>3738.04</v>
      </c>
      <c r="R2392" s="82" t="s">
        <v>3399</v>
      </c>
      <c r="S2392" s="7">
        <f t="shared" si="112"/>
        <v>0</v>
      </c>
      <c r="T2392" s="6">
        <f t="shared" si="113"/>
        <v>0</v>
      </c>
      <c r="U2392" s="25">
        <f t="shared" si="111"/>
        <v>0</v>
      </c>
    </row>
    <row r="2393" spans="1:21" ht="10.9" customHeight="1" x14ac:dyDescent="0.2">
      <c r="A2393" s="82" t="s">
        <v>3270</v>
      </c>
      <c r="B2393" s="83">
        <v>45944</v>
      </c>
      <c r="C2393" s="82" t="s">
        <v>3395</v>
      </c>
      <c r="D2393" s="82" t="s">
        <v>458</v>
      </c>
      <c r="E2393" s="82"/>
      <c r="F2393" s="82" t="s">
        <v>4726</v>
      </c>
      <c r="G2393" s="89">
        <v>1</v>
      </c>
      <c r="H2393" s="89">
        <v>1127.0999999999999</v>
      </c>
      <c r="I2393" s="85">
        <v>0</v>
      </c>
      <c r="J2393" s="85">
        <v>56.36</v>
      </c>
      <c r="K2393" s="85">
        <v>1183.46</v>
      </c>
      <c r="L2393" s="85">
        <v>1183.46</v>
      </c>
      <c r="M2393" s="89">
        <v>1127.0999999999999</v>
      </c>
      <c r="N2393" s="85">
        <v>0</v>
      </c>
      <c r="O2393" s="85">
        <v>56.36</v>
      </c>
      <c r="P2393" s="85">
        <v>1183.46</v>
      </c>
      <c r="Q2393" s="85">
        <v>1183.46</v>
      </c>
      <c r="R2393" s="82" t="s">
        <v>3399</v>
      </c>
      <c r="S2393" s="7">
        <f t="shared" si="112"/>
        <v>0</v>
      </c>
      <c r="T2393" s="6">
        <f t="shared" si="113"/>
        <v>0</v>
      </c>
      <c r="U2393" s="25">
        <f t="shared" si="111"/>
        <v>0</v>
      </c>
    </row>
    <row r="2394" spans="1:21" ht="10.9" customHeight="1" x14ac:dyDescent="0.2">
      <c r="A2394" s="82" t="s">
        <v>3277</v>
      </c>
      <c r="B2394" s="83">
        <v>45945</v>
      </c>
      <c r="C2394" s="82" t="s">
        <v>3395</v>
      </c>
      <c r="D2394" s="82" t="s">
        <v>441</v>
      </c>
      <c r="E2394" s="82"/>
      <c r="F2394" s="82" t="s">
        <v>4722</v>
      </c>
      <c r="G2394" s="89">
        <v>1</v>
      </c>
      <c r="H2394" s="89">
        <v>3409.02</v>
      </c>
      <c r="I2394" s="85">
        <v>0</v>
      </c>
      <c r="J2394" s="85">
        <v>443.17</v>
      </c>
      <c r="K2394" s="85">
        <v>3852.19</v>
      </c>
      <c r="L2394" s="85">
        <v>4394.83</v>
      </c>
      <c r="M2394" s="89">
        <v>4786.1277519371142</v>
      </c>
      <c r="N2394" s="85">
        <v>0</v>
      </c>
      <c r="O2394" s="85">
        <v>622.19295745579984</v>
      </c>
      <c r="P2394" s="85">
        <v>5408.3207093929141</v>
      </c>
      <c r="Q2394" s="85">
        <v>6170.1655690039324</v>
      </c>
      <c r="R2394" s="82" t="s">
        <v>3396</v>
      </c>
      <c r="S2394" s="7">
        <f t="shared" si="112"/>
        <v>0</v>
      </c>
      <c r="T2394" s="6">
        <f t="shared" si="113"/>
        <v>0</v>
      </c>
      <c r="U2394" s="25">
        <f t="shared" si="111"/>
        <v>0</v>
      </c>
    </row>
    <row r="2395" spans="1:21" ht="10.9" customHeight="1" x14ac:dyDescent="0.2">
      <c r="A2395" s="82" t="s">
        <v>3277</v>
      </c>
      <c r="B2395" s="83">
        <v>45945</v>
      </c>
      <c r="C2395" s="82" t="s">
        <v>3395</v>
      </c>
      <c r="D2395" s="82" t="s">
        <v>441</v>
      </c>
      <c r="E2395" s="82"/>
      <c r="F2395" s="82" t="s">
        <v>4459</v>
      </c>
      <c r="G2395" s="89">
        <v>1</v>
      </c>
      <c r="H2395" s="89">
        <v>542.64</v>
      </c>
      <c r="I2395" s="85">
        <v>0</v>
      </c>
      <c r="J2395" s="85">
        <v>0</v>
      </c>
      <c r="K2395" s="85">
        <v>542.64</v>
      </c>
      <c r="L2395" s="85">
        <v>4394.83</v>
      </c>
      <c r="M2395" s="89">
        <v>761.84485961101882</v>
      </c>
      <c r="N2395" s="85">
        <v>0</v>
      </c>
      <c r="O2395" s="85">
        <v>0</v>
      </c>
      <c r="P2395" s="85">
        <v>761.84485961101882</v>
      </c>
      <c r="Q2395" s="85">
        <v>6170.1655690039324</v>
      </c>
      <c r="R2395" s="82" t="s">
        <v>3396</v>
      </c>
      <c r="S2395" s="7" t="str">
        <f t="shared" si="112"/>
        <v>INV13525</v>
      </c>
      <c r="T2395" s="6">
        <f t="shared" si="113"/>
        <v>1</v>
      </c>
      <c r="U2395" s="25">
        <f t="shared" si="111"/>
        <v>542.64</v>
      </c>
    </row>
    <row r="2396" spans="1:21" ht="10.9" customHeight="1" x14ac:dyDescent="0.2">
      <c r="A2396" s="82" t="s">
        <v>2896</v>
      </c>
      <c r="B2396" s="83">
        <v>45945</v>
      </c>
      <c r="C2396" s="82" t="s">
        <v>3395</v>
      </c>
      <c r="D2396" s="82" t="s">
        <v>1168</v>
      </c>
      <c r="E2396" s="82"/>
      <c r="F2396" s="82" t="s">
        <v>4720</v>
      </c>
      <c r="G2396" s="89">
        <v>1</v>
      </c>
      <c r="H2396" s="89">
        <v>4226.24</v>
      </c>
      <c r="I2396" s="85">
        <v>0</v>
      </c>
      <c r="J2396" s="85">
        <v>0</v>
      </c>
      <c r="K2396" s="85">
        <v>4226.24</v>
      </c>
      <c r="L2396" s="85">
        <v>4226.24</v>
      </c>
      <c r="M2396" s="89">
        <v>5933.4719509849483</v>
      </c>
      <c r="N2396" s="85">
        <v>0</v>
      </c>
      <c r="O2396" s="85">
        <v>0</v>
      </c>
      <c r="P2396" s="85">
        <v>5933.4719509849483</v>
      </c>
      <c r="Q2396" s="85">
        <v>5933.4719509849483</v>
      </c>
      <c r="R2396" s="82" t="s">
        <v>3399</v>
      </c>
      <c r="S2396" s="7">
        <f t="shared" si="112"/>
        <v>0</v>
      </c>
      <c r="T2396" s="6">
        <f t="shared" si="113"/>
        <v>0</v>
      </c>
      <c r="U2396" s="25">
        <f t="shared" si="111"/>
        <v>0</v>
      </c>
    </row>
    <row r="2397" spans="1:21" ht="10.9" customHeight="1" x14ac:dyDescent="0.2">
      <c r="A2397" s="82" t="s">
        <v>3266</v>
      </c>
      <c r="B2397" s="83">
        <v>45945</v>
      </c>
      <c r="C2397" s="82" t="s">
        <v>3395</v>
      </c>
      <c r="D2397" s="82" t="s">
        <v>467</v>
      </c>
      <c r="E2397" s="82"/>
      <c r="F2397" s="82" t="s">
        <v>4721</v>
      </c>
      <c r="G2397" s="89">
        <v>2</v>
      </c>
      <c r="H2397" s="89">
        <v>905</v>
      </c>
      <c r="I2397" s="85">
        <v>0</v>
      </c>
      <c r="J2397" s="85">
        <v>90.5</v>
      </c>
      <c r="K2397" s="85">
        <v>1900.5</v>
      </c>
      <c r="L2397" s="85">
        <v>1900.5</v>
      </c>
      <c r="M2397" s="89">
        <v>905</v>
      </c>
      <c r="N2397" s="85">
        <v>0</v>
      </c>
      <c r="O2397" s="85">
        <v>90.5</v>
      </c>
      <c r="P2397" s="85">
        <v>1900.5</v>
      </c>
      <c r="Q2397" s="85">
        <v>1900.5</v>
      </c>
      <c r="R2397" s="82" t="s">
        <v>3399</v>
      </c>
      <c r="S2397" s="7">
        <f t="shared" si="112"/>
        <v>0</v>
      </c>
      <c r="T2397" s="6">
        <f t="shared" si="113"/>
        <v>0</v>
      </c>
      <c r="U2397" s="25">
        <f t="shared" si="111"/>
        <v>0</v>
      </c>
    </row>
    <row r="2398" spans="1:21" ht="10.9" customHeight="1" x14ac:dyDescent="0.2">
      <c r="A2398" s="82" t="s">
        <v>3088</v>
      </c>
      <c r="B2398" s="83">
        <v>45945</v>
      </c>
      <c r="C2398" s="82" t="s">
        <v>3395</v>
      </c>
      <c r="D2398" s="82" t="s">
        <v>834</v>
      </c>
      <c r="E2398" s="82"/>
      <c r="F2398" s="82" t="s">
        <v>4723</v>
      </c>
      <c r="G2398" s="89">
        <v>1</v>
      </c>
      <c r="H2398" s="89">
        <v>4128.78</v>
      </c>
      <c r="I2398" s="85">
        <v>0</v>
      </c>
      <c r="J2398" s="85">
        <v>536.74</v>
      </c>
      <c r="K2398" s="85">
        <v>4665.5200000000004</v>
      </c>
      <c r="L2398" s="85">
        <v>4665.5200000000004</v>
      </c>
      <c r="M2398" s="89">
        <v>4128.78</v>
      </c>
      <c r="N2398" s="85">
        <v>0</v>
      </c>
      <c r="O2398" s="85">
        <v>536.74</v>
      </c>
      <c r="P2398" s="85">
        <v>4665.5200000000004</v>
      </c>
      <c r="Q2398" s="85">
        <v>4665.5200000000004</v>
      </c>
      <c r="R2398" s="82" t="s">
        <v>3399</v>
      </c>
      <c r="S2398" s="7">
        <f t="shared" si="112"/>
        <v>0</v>
      </c>
      <c r="T2398" s="6">
        <f t="shared" si="113"/>
        <v>0</v>
      </c>
      <c r="U2398" s="25">
        <f t="shared" si="111"/>
        <v>0</v>
      </c>
    </row>
    <row r="2399" spans="1:21" ht="10.9" customHeight="1" x14ac:dyDescent="0.2">
      <c r="A2399" s="82" t="s">
        <v>3079</v>
      </c>
      <c r="B2399" s="83">
        <v>45945</v>
      </c>
      <c r="C2399" s="82" t="s">
        <v>3395</v>
      </c>
      <c r="D2399" s="82" t="s">
        <v>852</v>
      </c>
      <c r="E2399" s="82"/>
      <c r="F2399" s="82" t="s">
        <v>4723</v>
      </c>
      <c r="G2399" s="89">
        <v>1</v>
      </c>
      <c r="H2399" s="89">
        <v>4128.78</v>
      </c>
      <c r="I2399" s="85">
        <v>0</v>
      </c>
      <c r="J2399" s="85">
        <v>536.74</v>
      </c>
      <c r="K2399" s="85">
        <v>4665.5200000000004</v>
      </c>
      <c r="L2399" s="85">
        <v>4665.5200000000004</v>
      </c>
      <c r="M2399" s="89">
        <v>4128.78</v>
      </c>
      <c r="N2399" s="85">
        <v>0</v>
      </c>
      <c r="O2399" s="85">
        <v>536.74</v>
      </c>
      <c r="P2399" s="85">
        <v>4665.5200000000004</v>
      </c>
      <c r="Q2399" s="85">
        <v>4665.5200000000004</v>
      </c>
      <c r="R2399" s="82" t="s">
        <v>3399</v>
      </c>
      <c r="S2399" s="7">
        <f t="shared" si="112"/>
        <v>0</v>
      </c>
      <c r="T2399" s="6">
        <f t="shared" si="113"/>
        <v>0</v>
      </c>
      <c r="U2399" s="25">
        <f t="shared" si="111"/>
        <v>0</v>
      </c>
    </row>
    <row r="2400" spans="1:21" ht="10.9" customHeight="1" x14ac:dyDescent="0.2">
      <c r="A2400" s="82" t="s">
        <v>3281</v>
      </c>
      <c r="B2400" s="83">
        <v>45946</v>
      </c>
      <c r="C2400" s="82" t="s">
        <v>3395</v>
      </c>
      <c r="D2400" s="82" t="s">
        <v>428</v>
      </c>
      <c r="E2400" s="82"/>
      <c r="F2400" s="82" t="s">
        <v>4512</v>
      </c>
      <c r="G2400" s="89">
        <v>1</v>
      </c>
      <c r="H2400" s="89">
        <v>754.36</v>
      </c>
      <c r="I2400" s="85">
        <v>0</v>
      </c>
      <c r="J2400" s="85">
        <v>37.72</v>
      </c>
      <c r="K2400" s="85">
        <v>792.08</v>
      </c>
      <c r="L2400" s="85">
        <v>792.08</v>
      </c>
      <c r="M2400" s="89">
        <v>754.36</v>
      </c>
      <c r="N2400" s="85">
        <v>0</v>
      </c>
      <c r="O2400" s="85">
        <v>37.72</v>
      </c>
      <c r="P2400" s="85">
        <v>792.08</v>
      </c>
      <c r="Q2400" s="85">
        <v>792.08</v>
      </c>
      <c r="R2400" s="82" t="s">
        <v>3399</v>
      </c>
      <c r="S2400" s="7">
        <f t="shared" si="112"/>
        <v>0</v>
      </c>
      <c r="T2400" s="6">
        <f t="shared" si="113"/>
        <v>0</v>
      </c>
      <c r="U2400" s="25">
        <f t="shared" si="111"/>
        <v>0</v>
      </c>
    </row>
    <row r="2401" spans="1:21" ht="10.9" customHeight="1" x14ac:dyDescent="0.2">
      <c r="A2401" s="82" t="s">
        <v>3279</v>
      </c>
      <c r="B2401" s="83">
        <v>45947</v>
      </c>
      <c r="C2401" s="82" t="s">
        <v>3395</v>
      </c>
      <c r="D2401" s="82" t="s">
        <v>433</v>
      </c>
      <c r="E2401" s="82"/>
      <c r="F2401" s="82" t="s">
        <v>4716</v>
      </c>
      <c r="G2401" s="89">
        <v>1</v>
      </c>
      <c r="H2401" s="89">
        <v>221.49</v>
      </c>
      <c r="I2401" s="85">
        <v>0</v>
      </c>
      <c r="J2401" s="85">
        <v>0</v>
      </c>
      <c r="K2401" s="85">
        <v>221.49</v>
      </c>
      <c r="L2401" s="85">
        <v>253.97</v>
      </c>
      <c r="M2401" s="89">
        <v>310.4313859600191</v>
      </c>
      <c r="N2401" s="85">
        <v>0</v>
      </c>
      <c r="O2401" s="85">
        <v>0</v>
      </c>
      <c r="P2401" s="85">
        <v>310.4313859600191</v>
      </c>
      <c r="Q2401" s="85">
        <v>355.95403445873882</v>
      </c>
      <c r="R2401" s="82" t="s">
        <v>3396</v>
      </c>
      <c r="S2401" s="7">
        <f t="shared" si="112"/>
        <v>0</v>
      </c>
      <c r="T2401" s="6">
        <f t="shared" si="113"/>
        <v>0</v>
      </c>
      <c r="U2401" s="25">
        <f t="shared" si="111"/>
        <v>0</v>
      </c>
    </row>
    <row r="2402" spans="1:21" ht="10.9" customHeight="1" x14ac:dyDescent="0.2">
      <c r="A2402" s="82" t="s">
        <v>3279</v>
      </c>
      <c r="B2402" s="83">
        <v>45947</v>
      </c>
      <c r="C2402" s="82" t="s">
        <v>3395</v>
      </c>
      <c r="D2402" s="82" t="s">
        <v>433</v>
      </c>
      <c r="E2402" s="82"/>
      <c r="F2402" s="82" t="s">
        <v>4459</v>
      </c>
      <c r="G2402" s="89">
        <v>1</v>
      </c>
      <c r="H2402" s="89">
        <v>32.479999999999997</v>
      </c>
      <c r="I2402" s="85">
        <v>0</v>
      </c>
      <c r="J2402" s="85">
        <v>0</v>
      </c>
      <c r="K2402" s="85">
        <v>32.479999999999997</v>
      </c>
      <c r="L2402" s="85">
        <v>253.97</v>
      </c>
      <c r="M2402" s="89">
        <v>45.522648498719676</v>
      </c>
      <c r="N2402" s="85">
        <v>0</v>
      </c>
      <c r="O2402" s="85">
        <v>0</v>
      </c>
      <c r="P2402" s="85">
        <v>45.522648498719676</v>
      </c>
      <c r="Q2402" s="85">
        <v>355.95403445873882</v>
      </c>
      <c r="R2402" s="82" t="s">
        <v>3396</v>
      </c>
      <c r="S2402" s="7" t="str">
        <f t="shared" si="112"/>
        <v>INV13531</v>
      </c>
      <c r="T2402" s="6">
        <f t="shared" si="113"/>
        <v>1</v>
      </c>
      <c r="U2402" s="25">
        <f t="shared" si="111"/>
        <v>32.479999999999997</v>
      </c>
    </row>
    <row r="2403" spans="1:21" ht="10.9" customHeight="1" x14ac:dyDescent="0.2">
      <c r="A2403" s="82" t="s">
        <v>3230</v>
      </c>
      <c r="B2403" s="83">
        <v>45947</v>
      </c>
      <c r="C2403" s="82" t="s">
        <v>3395</v>
      </c>
      <c r="D2403" s="82" t="s">
        <v>545</v>
      </c>
      <c r="E2403" s="82"/>
      <c r="F2403" s="82" t="s">
        <v>4715</v>
      </c>
      <c r="G2403" s="89">
        <v>1</v>
      </c>
      <c r="H2403" s="89">
        <v>2434.46</v>
      </c>
      <c r="I2403" s="85">
        <v>0</v>
      </c>
      <c r="J2403" s="85">
        <v>0</v>
      </c>
      <c r="K2403" s="85">
        <v>2434.46</v>
      </c>
      <c r="L2403" s="85">
        <v>2623.78</v>
      </c>
      <c r="M2403" s="89">
        <v>3412.0402359665363</v>
      </c>
      <c r="N2403" s="85">
        <v>0</v>
      </c>
      <c r="O2403" s="85">
        <v>0</v>
      </c>
      <c r="P2403" s="85">
        <v>3412.0402359665363</v>
      </c>
      <c r="Q2403" s="85">
        <v>3677.3834568340735</v>
      </c>
      <c r="R2403" s="82" t="s">
        <v>3396</v>
      </c>
      <c r="S2403" s="7">
        <f t="shared" si="112"/>
        <v>0</v>
      </c>
      <c r="T2403" s="6">
        <f t="shared" si="113"/>
        <v>0</v>
      </c>
      <c r="U2403" s="25">
        <f t="shared" si="111"/>
        <v>0</v>
      </c>
    </row>
    <row r="2404" spans="1:21" ht="10.9" customHeight="1" x14ac:dyDescent="0.2">
      <c r="A2404" s="82" t="s">
        <v>3230</v>
      </c>
      <c r="B2404" s="83">
        <v>45947</v>
      </c>
      <c r="C2404" s="82" t="s">
        <v>3395</v>
      </c>
      <c r="D2404" s="82" t="s">
        <v>545</v>
      </c>
      <c r="E2404" s="82"/>
      <c r="F2404" s="82" t="s">
        <v>4459</v>
      </c>
      <c r="G2404" s="89">
        <v>1</v>
      </c>
      <c r="H2404" s="89">
        <v>189.32</v>
      </c>
      <c r="I2404" s="85">
        <v>0</v>
      </c>
      <c r="J2404" s="85">
        <v>0</v>
      </c>
      <c r="K2404" s="85">
        <v>189.32</v>
      </c>
      <c r="L2404" s="85">
        <v>2623.78</v>
      </c>
      <c r="M2404" s="89">
        <v>265.34322086753724</v>
      </c>
      <c r="N2404" s="85">
        <v>0</v>
      </c>
      <c r="O2404" s="85">
        <v>0</v>
      </c>
      <c r="P2404" s="85">
        <v>265.34322086753724</v>
      </c>
      <c r="Q2404" s="85">
        <v>3677.3834568340735</v>
      </c>
      <c r="R2404" s="82" t="s">
        <v>3396</v>
      </c>
      <c r="S2404" s="7" t="str">
        <f t="shared" si="112"/>
        <v>INV13532</v>
      </c>
      <c r="T2404" s="6">
        <f t="shared" si="113"/>
        <v>1</v>
      </c>
      <c r="U2404" s="25">
        <f t="shared" si="111"/>
        <v>189.32</v>
      </c>
    </row>
    <row r="2405" spans="1:21" ht="10.9" customHeight="1" x14ac:dyDescent="0.2">
      <c r="A2405" s="82" t="s">
        <v>3167</v>
      </c>
      <c r="B2405" s="83">
        <v>45947</v>
      </c>
      <c r="C2405" s="82" t="s">
        <v>3395</v>
      </c>
      <c r="D2405" s="82" t="s">
        <v>675</v>
      </c>
      <c r="E2405" s="82"/>
      <c r="F2405" s="82" t="s">
        <v>4719</v>
      </c>
      <c r="G2405" s="89">
        <v>1</v>
      </c>
      <c r="H2405" s="89">
        <v>253.27</v>
      </c>
      <c r="I2405" s="85">
        <v>0</v>
      </c>
      <c r="J2405" s="85">
        <v>0</v>
      </c>
      <c r="K2405" s="85">
        <v>253.27</v>
      </c>
      <c r="L2405" s="85">
        <v>3727.67</v>
      </c>
      <c r="M2405" s="89">
        <v>354.97294289626637</v>
      </c>
      <c r="N2405" s="85">
        <v>0</v>
      </c>
      <c r="O2405" s="85">
        <v>0</v>
      </c>
      <c r="P2405" s="85">
        <v>354.97294289626637</v>
      </c>
      <c r="Q2405" s="85">
        <v>5224.5508352593097</v>
      </c>
      <c r="R2405" s="82" t="s">
        <v>3396</v>
      </c>
      <c r="S2405" s="7">
        <f t="shared" si="112"/>
        <v>0</v>
      </c>
      <c r="T2405" s="6">
        <f t="shared" si="113"/>
        <v>0</v>
      </c>
      <c r="U2405" s="25">
        <f t="shared" si="111"/>
        <v>0</v>
      </c>
    </row>
    <row r="2406" spans="1:21" ht="10.9" customHeight="1" x14ac:dyDescent="0.2">
      <c r="A2406" s="82" t="s">
        <v>3167</v>
      </c>
      <c r="B2406" s="83">
        <v>45947</v>
      </c>
      <c r="C2406" s="82" t="s">
        <v>3395</v>
      </c>
      <c r="D2406" s="82" t="s">
        <v>675</v>
      </c>
      <c r="E2406" s="82"/>
      <c r="F2406" s="82" t="s">
        <v>4718</v>
      </c>
      <c r="G2406" s="89">
        <v>2</v>
      </c>
      <c r="H2406" s="89">
        <v>135.47999999999999</v>
      </c>
      <c r="I2406" s="85">
        <v>0</v>
      </c>
      <c r="J2406" s="85">
        <v>0</v>
      </c>
      <c r="K2406" s="85">
        <v>270.95999999999998</v>
      </c>
      <c r="L2406" s="85">
        <v>3727.67</v>
      </c>
      <c r="M2406" s="89">
        <v>189.88326411965954</v>
      </c>
      <c r="N2406" s="85">
        <v>0</v>
      </c>
      <c r="O2406" s="85">
        <v>0</v>
      </c>
      <c r="P2406" s="85">
        <v>379.76652823931909</v>
      </c>
      <c r="Q2406" s="85">
        <v>5224.5508352593097</v>
      </c>
      <c r="R2406" s="82" t="s">
        <v>3396</v>
      </c>
      <c r="S2406" s="7">
        <f t="shared" si="112"/>
        <v>0</v>
      </c>
      <c r="T2406" s="6">
        <f t="shared" si="113"/>
        <v>0</v>
      </c>
      <c r="U2406" s="25">
        <f t="shared" si="111"/>
        <v>0</v>
      </c>
    </row>
    <row r="2407" spans="1:21" ht="10.9" customHeight="1" x14ac:dyDescent="0.2">
      <c r="A2407" s="82" t="s">
        <v>3167</v>
      </c>
      <c r="B2407" s="83">
        <v>45947</v>
      </c>
      <c r="C2407" s="82" t="s">
        <v>3395</v>
      </c>
      <c r="D2407" s="82" t="s">
        <v>675</v>
      </c>
      <c r="E2407" s="82"/>
      <c r="F2407" s="82" t="s">
        <v>4717</v>
      </c>
      <c r="G2407" s="89">
        <v>1</v>
      </c>
      <c r="H2407" s="89">
        <v>2725.29</v>
      </c>
      <c r="I2407" s="85">
        <v>0</v>
      </c>
      <c r="J2407" s="85">
        <v>0</v>
      </c>
      <c r="K2407" s="85">
        <v>2725.29</v>
      </c>
      <c r="L2407" s="85">
        <v>3727.67</v>
      </c>
      <c r="M2407" s="89">
        <v>3819.6557489863221</v>
      </c>
      <c r="N2407" s="85">
        <v>0</v>
      </c>
      <c r="O2407" s="85">
        <v>0</v>
      </c>
      <c r="P2407" s="85">
        <v>3819.6557489863221</v>
      </c>
      <c r="Q2407" s="85">
        <v>5224.5508352593097</v>
      </c>
      <c r="R2407" s="82" t="s">
        <v>3396</v>
      </c>
      <c r="S2407" s="7">
        <f t="shared" si="112"/>
        <v>0</v>
      </c>
      <c r="T2407" s="6">
        <f t="shared" si="113"/>
        <v>0</v>
      </c>
      <c r="U2407" s="25">
        <f t="shared" si="111"/>
        <v>0</v>
      </c>
    </row>
    <row r="2408" spans="1:21" ht="10.9" customHeight="1" x14ac:dyDescent="0.2">
      <c r="A2408" s="82" t="s">
        <v>3167</v>
      </c>
      <c r="B2408" s="83">
        <v>45947</v>
      </c>
      <c r="C2408" s="82" t="s">
        <v>3395</v>
      </c>
      <c r="D2408" s="82" t="s">
        <v>675</v>
      </c>
      <c r="E2408" s="82"/>
      <c r="F2408" s="82" t="s">
        <v>4459</v>
      </c>
      <c r="G2408" s="89">
        <v>1</v>
      </c>
      <c r="H2408" s="89">
        <v>478.15</v>
      </c>
      <c r="I2408" s="85">
        <v>0</v>
      </c>
      <c r="J2408" s="85">
        <v>0</v>
      </c>
      <c r="K2408" s="85">
        <v>478.15</v>
      </c>
      <c r="L2408" s="85">
        <v>3727.67</v>
      </c>
      <c r="M2408" s="89">
        <v>670.15561513740192</v>
      </c>
      <c r="N2408" s="85">
        <v>0</v>
      </c>
      <c r="O2408" s="85">
        <v>0</v>
      </c>
      <c r="P2408" s="85">
        <v>670.15561513740192</v>
      </c>
      <c r="Q2408" s="85">
        <v>5224.5508352593097</v>
      </c>
      <c r="R2408" s="82" t="s">
        <v>3396</v>
      </c>
      <c r="S2408" s="7" t="str">
        <f t="shared" si="112"/>
        <v>INV13533</v>
      </c>
      <c r="T2408" s="6">
        <f t="shared" si="113"/>
        <v>1</v>
      </c>
      <c r="U2408" s="25">
        <f t="shared" si="111"/>
        <v>478.15</v>
      </c>
    </row>
    <row r="2409" spans="1:21" ht="10.9" customHeight="1" x14ac:dyDescent="0.2">
      <c r="A2409" s="82" t="s">
        <v>3284</v>
      </c>
      <c r="B2409" s="83">
        <v>45950</v>
      </c>
      <c r="C2409" s="82" t="s">
        <v>3395</v>
      </c>
      <c r="D2409" s="82" t="s">
        <v>411</v>
      </c>
      <c r="E2409" s="82"/>
      <c r="F2409" s="82" t="s">
        <v>4714</v>
      </c>
      <c r="G2409" s="89">
        <v>2</v>
      </c>
      <c r="H2409" s="89">
        <v>75</v>
      </c>
      <c r="I2409" s="85">
        <v>0</v>
      </c>
      <c r="J2409" s="85">
        <v>7.5</v>
      </c>
      <c r="K2409" s="85">
        <v>157.5</v>
      </c>
      <c r="L2409" s="85">
        <v>157.5</v>
      </c>
      <c r="M2409" s="89">
        <v>75</v>
      </c>
      <c r="N2409" s="85">
        <v>0</v>
      </c>
      <c r="O2409" s="85">
        <v>7.5</v>
      </c>
      <c r="P2409" s="85">
        <v>157.5</v>
      </c>
      <c r="Q2409" s="85">
        <v>157.5</v>
      </c>
      <c r="R2409" s="82" t="s">
        <v>3399</v>
      </c>
      <c r="S2409" s="7">
        <f t="shared" si="112"/>
        <v>0</v>
      </c>
      <c r="T2409" s="6">
        <f t="shared" si="113"/>
        <v>0</v>
      </c>
      <c r="U2409" s="25">
        <f t="shared" si="111"/>
        <v>0</v>
      </c>
    </row>
    <row r="2410" spans="1:21" ht="10.9" customHeight="1" x14ac:dyDescent="0.2">
      <c r="A2410" s="82" t="s">
        <v>3292</v>
      </c>
      <c r="B2410" s="83">
        <v>45950</v>
      </c>
      <c r="C2410" s="82" t="s">
        <v>3395</v>
      </c>
      <c r="D2410" s="82" t="s">
        <v>391</v>
      </c>
      <c r="E2410" s="82"/>
      <c r="F2410" s="82" t="s">
        <v>4713</v>
      </c>
      <c r="G2410" s="89">
        <v>1</v>
      </c>
      <c r="H2410" s="89">
        <v>2490.88</v>
      </c>
      <c r="I2410" s="85">
        <v>0</v>
      </c>
      <c r="J2410" s="85">
        <v>124.54</v>
      </c>
      <c r="K2410" s="85">
        <v>2615.42</v>
      </c>
      <c r="L2410" s="85">
        <v>2615.42</v>
      </c>
      <c r="M2410" s="89">
        <v>2490.88</v>
      </c>
      <c r="N2410" s="85">
        <v>0</v>
      </c>
      <c r="O2410" s="85">
        <v>124.54</v>
      </c>
      <c r="P2410" s="85">
        <v>2615.42</v>
      </c>
      <c r="Q2410" s="85">
        <v>2615.42</v>
      </c>
      <c r="R2410" s="82" t="s">
        <v>3399</v>
      </c>
      <c r="S2410" s="7">
        <f t="shared" si="112"/>
        <v>0</v>
      </c>
      <c r="T2410" s="6">
        <f t="shared" si="113"/>
        <v>0</v>
      </c>
      <c r="U2410" s="25">
        <f t="shared" si="111"/>
        <v>0</v>
      </c>
    </row>
    <row r="2411" spans="1:21" ht="10.9" customHeight="1" x14ac:dyDescent="0.2">
      <c r="A2411" s="82" t="s">
        <v>3201</v>
      </c>
      <c r="B2411" s="83">
        <v>45950</v>
      </c>
      <c r="C2411" s="82" t="s">
        <v>3395</v>
      </c>
      <c r="D2411" s="82" t="s">
        <v>611</v>
      </c>
      <c r="E2411" s="82"/>
      <c r="F2411" s="82" t="s">
        <v>4712</v>
      </c>
      <c r="G2411" s="89">
        <v>3</v>
      </c>
      <c r="H2411" s="89">
        <v>134.11000000000001</v>
      </c>
      <c r="I2411" s="85">
        <v>0</v>
      </c>
      <c r="J2411" s="85">
        <v>52.3</v>
      </c>
      <c r="K2411" s="85">
        <v>454.63</v>
      </c>
      <c r="L2411" s="85">
        <v>4473.37</v>
      </c>
      <c r="M2411" s="89">
        <v>134.11000000000001</v>
      </c>
      <c r="N2411" s="85">
        <v>0</v>
      </c>
      <c r="O2411" s="85">
        <v>52.3</v>
      </c>
      <c r="P2411" s="85">
        <v>454.63</v>
      </c>
      <c r="Q2411" s="85">
        <v>4473.37</v>
      </c>
      <c r="R2411" s="82" t="s">
        <v>3399</v>
      </c>
      <c r="S2411" s="7">
        <f t="shared" si="112"/>
        <v>0</v>
      </c>
      <c r="T2411" s="6">
        <f t="shared" si="113"/>
        <v>0</v>
      </c>
      <c r="U2411" s="25">
        <f t="shared" si="111"/>
        <v>0</v>
      </c>
    </row>
    <row r="2412" spans="1:21" ht="10.9" customHeight="1" x14ac:dyDescent="0.2">
      <c r="A2412" s="82" t="s">
        <v>3201</v>
      </c>
      <c r="B2412" s="83">
        <v>45950</v>
      </c>
      <c r="C2412" s="82" t="s">
        <v>3395</v>
      </c>
      <c r="D2412" s="82" t="s">
        <v>611</v>
      </c>
      <c r="E2412" s="82"/>
      <c r="F2412" s="82" t="s">
        <v>4711</v>
      </c>
      <c r="G2412" s="89">
        <v>3</v>
      </c>
      <c r="H2412" s="89">
        <v>129.88</v>
      </c>
      <c r="I2412" s="85">
        <v>0</v>
      </c>
      <c r="J2412" s="85">
        <v>50.65</v>
      </c>
      <c r="K2412" s="85">
        <v>440.29</v>
      </c>
      <c r="L2412" s="85">
        <v>4473.37</v>
      </c>
      <c r="M2412" s="89">
        <v>129.88</v>
      </c>
      <c r="N2412" s="85">
        <v>0</v>
      </c>
      <c r="O2412" s="85">
        <v>50.65</v>
      </c>
      <c r="P2412" s="85">
        <v>440.29</v>
      </c>
      <c r="Q2412" s="85">
        <v>4473.37</v>
      </c>
      <c r="R2412" s="82" t="s">
        <v>3399</v>
      </c>
      <c r="S2412" s="7">
        <f t="shared" si="112"/>
        <v>0</v>
      </c>
      <c r="T2412" s="6">
        <f t="shared" si="113"/>
        <v>0</v>
      </c>
      <c r="U2412" s="25">
        <f t="shared" si="111"/>
        <v>0</v>
      </c>
    </row>
    <row r="2413" spans="1:21" ht="10.9" customHeight="1" x14ac:dyDescent="0.2">
      <c r="A2413" s="82" t="s">
        <v>3201</v>
      </c>
      <c r="B2413" s="83">
        <v>45950</v>
      </c>
      <c r="C2413" s="82" t="s">
        <v>3395</v>
      </c>
      <c r="D2413" s="82" t="s">
        <v>611</v>
      </c>
      <c r="E2413" s="82"/>
      <c r="F2413" s="82" t="s">
        <v>4710</v>
      </c>
      <c r="G2413" s="89">
        <v>2</v>
      </c>
      <c r="H2413" s="89">
        <v>49.47</v>
      </c>
      <c r="I2413" s="85">
        <v>0</v>
      </c>
      <c r="J2413" s="85">
        <v>12.86</v>
      </c>
      <c r="K2413" s="85">
        <v>111.8</v>
      </c>
      <c r="L2413" s="85">
        <v>4473.37</v>
      </c>
      <c r="M2413" s="89">
        <v>49.47</v>
      </c>
      <c r="N2413" s="85">
        <v>0</v>
      </c>
      <c r="O2413" s="85">
        <v>12.86</v>
      </c>
      <c r="P2413" s="85">
        <v>111.8</v>
      </c>
      <c r="Q2413" s="85">
        <v>4473.37</v>
      </c>
      <c r="R2413" s="82" t="s">
        <v>3399</v>
      </c>
      <c r="S2413" s="7">
        <f t="shared" si="112"/>
        <v>0</v>
      </c>
      <c r="T2413" s="6">
        <f t="shared" si="113"/>
        <v>0</v>
      </c>
      <c r="U2413" s="25">
        <f t="shared" si="111"/>
        <v>0</v>
      </c>
    </row>
    <row r="2414" spans="1:21" ht="10.9" customHeight="1" x14ac:dyDescent="0.2">
      <c r="A2414" s="82" t="s">
        <v>3201</v>
      </c>
      <c r="B2414" s="83">
        <v>45950</v>
      </c>
      <c r="C2414" s="82" t="s">
        <v>3395</v>
      </c>
      <c r="D2414" s="82" t="s">
        <v>611</v>
      </c>
      <c r="E2414" s="82"/>
      <c r="F2414" s="82" t="s">
        <v>4709</v>
      </c>
      <c r="G2414" s="89">
        <v>2</v>
      </c>
      <c r="H2414" s="89">
        <v>911.98</v>
      </c>
      <c r="I2414" s="85">
        <v>0</v>
      </c>
      <c r="J2414" s="85">
        <v>237.11</v>
      </c>
      <c r="K2414" s="85">
        <v>2061.0700000000002</v>
      </c>
      <c r="L2414" s="85">
        <v>4473.37</v>
      </c>
      <c r="M2414" s="89">
        <v>911.98</v>
      </c>
      <c r="N2414" s="85">
        <v>0</v>
      </c>
      <c r="O2414" s="85">
        <v>237.11</v>
      </c>
      <c r="P2414" s="85">
        <v>2061.0700000000002</v>
      </c>
      <c r="Q2414" s="85">
        <v>4473.37</v>
      </c>
      <c r="R2414" s="82" t="s">
        <v>3399</v>
      </c>
      <c r="S2414" s="7">
        <f t="shared" si="112"/>
        <v>0</v>
      </c>
      <c r="T2414" s="6">
        <f t="shared" si="113"/>
        <v>0</v>
      </c>
      <c r="U2414" s="25">
        <f t="shared" si="111"/>
        <v>0</v>
      </c>
    </row>
    <row r="2415" spans="1:21" ht="10.9" customHeight="1" x14ac:dyDescent="0.2">
      <c r="A2415" s="82" t="s">
        <v>3201</v>
      </c>
      <c r="B2415" s="83">
        <v>45950</v>
      </c>
      <c r="C2415" s="82" t="s">
        <v>3395</v>
      </c>
      <c r="D2415" s="82" t="s">
        <v>611</v>
      </c>
      <c r="E2415" s="82"/>
      <c r="F2415" s="82" t="s">
        <v>4607</v>
      </c>
      <c r="G2415" s="89">
        <v>1</v>
      </c>
      <c r="H2415" s="89">
        <v>178.22</v>
      </c>
      <c r="I2415" s="85">
        <v>0</v>
      </c>
      <c r="J2415" s="85">
        <v>23.17</v>
      </c>
      <c r="K2415" s="85">
        <v>201.39</v>
      </c>
      <c r="L2415" s="85">
        <v>4473.37</v>
      </c>
      <c r="M2415" s="89">
        <v>178.22</v>
      </c>
      <c r="N2415" s="85">
        <v>0</v>
      </c>
      <c r="O2415" s="85">
        <v>23.17</v>
      </c>
      <c r="P2415" s="85">
        <v>201.39</v>
      </c>
      <c r="Q2415" s="85">
        <v>4473.37</v>
      </c>
      <c r="R2415" s="82" t="s">
        <v>3399</v>
      </c>
      <c r="S2415" s="7">
        <f t="shared" si="112"/>
        <v>0</v>
      </c>
      <c r="T2415" s="6">
        <f t="shared" si="113"/>
        <v>0</v>
      </c>
      <c r="U2415" s="25">
        <f t="shared" si="111"/>
        <v>0</v>
      </c>
    </row>
    <row r="2416" spans="1:21" ht="10.9" customHeight="1" x14ac:dyDescent="0.2">
      <c r="A2416" s="82" t="s">
        <v>3201</v>
      </c>
      <c r="B2416" s="83">
        <v>45950</v>
      </c>
      <c r="C2416" s="82" t="s">
        <v>3395</v>
      </c>
      <c r="D2416" s="82" t="s">
        <v>611</v>
      </c>
      <c r="E2416" s="82"/>
      <c r="F2416" s="82" t="s">
        <v>4708</v>
      </c>
      <c r="G2416" s="89">
        <v>2</v>
      </c>
      <c r="H2416" s="89">
        <v>397.78</v>
      </c>
      <c r="I2416" s="85">
        <v>0</v>
      </c>
      <c r="J2416" s="85">
        <v>103.42</v>
      </c>
      <c r="K2416" s="85">
        <v>898.98</v>
      </c>
      <c r="L2416" s="85">
        <v>4473.37</v>
      </c>
      <c r="M2416" s="89">
        <v>397.78</v>
      </c>
      <c r="N2416" s="85">
        <v>0</v>
      </c>
      <c r="O2416" s="85">
        <v>103.42</v>
      </c>
      <c r="P2416" s="85">
        <v>898.98</v>
      </c>
      <c r="Q2416" s="85">
        <v>4473.37</v>
      </c>
      <c r="R2416" s="82" t="s">
        <v>3399</v>
      </c>
      <c r="S2416" s="7">
        <f t="shared" si="112"/>
        <v>0</v>
      </c>
      <c r="T2416" s="6">
        <f t="shared" si="113"/>
        <v>0</v>
      </c>
      <c r="U2416" s="25">
        <f t="shared" si="111"/>
        <v>0</v>
      </c>
    </row>
    <row r="2417" spans="1:21" ht="10.9" customHeight="1" x14ac:dyDescent="0.2">
      <c r="A2417" s="82" t="s">
        <v>3201</v>
      </c>
      <c r="B2417" s="83">
        <v>45950</v>
      </c>
      <c r="C2417" s="82" t="s">
        <v>3395</v>
      </c>
      <c r="D2417" s="82" t="s">
        <v>611</v>
      </c>
      <c r="E2417" s="82"/>
      <c r="F2417" s="82" t="s">
        <v>4707</v>
      </c>
      <c r="G2417" s="89">
        <v>1</v>
      </c>
      <c r="H2417" s="89">
        <v>270.10000000000002</v>
      </c>
      <c r="I2417" s="85">
        <v>0</v>
      </c>
      <c r="J2417" s="85">
        <v>35.11</v>
      </c>
      <c r="K2417" s="85">
        <v>305.20999999999998</v>
      </c>
      <c r="L2417" s="85">
        <v>4473.37</v>
      </c>
      <c r="M2417" s="89">
        <v>270.10000000000002</v>
      </c>
      <c r="N2417" s="85">
        <v>0</v>
      </c>
      <c r="O2417" s="85">
        <v>35.11</v>
      </c>
      <c r="P2417" s="85">
        <v>305.20999999999998</v>
      </c>
      <c r="Q2417" s="85">
        <v>4473.37</v>
      </c>
      <c r="R2417" s="82" t="s">
        <v>3399</v>
      </c>
      <c r="S2417" s="7">
        <f t="shared" si="112"/>
        <v>0</v>
      </c>
      <c r="T2417" s="6">
        <f t="shared" si="113"/>
        <v>0</v>
      </c>
      <c r="U2417" s="25">
        <f t="shared" si="111"/>
        <v>0</v>
      </c>
    </row>
    <row r="2418" spans="1:21" ht="10.9" customHeight="1" x14ac:dyDescent="0.2">
      <c r="A2418" s="82" t="s">
        <v>3187</v>
      </c>
      <c r="B2418" s="83">
        <v>45950</v>
      </c>
      <c r="C2418" s="82" t="s">
        <v>3395</v>
      </c>
      <c r="D2418" s="82" t="s">
        <v>636</v>
      </c>
      <c r="E2418" s="82"/>
      <c r="F2418" s="82" t="s">
        <v>4518</v>
      </c>
      <c r="G2418" s="89">
        <v>1</v>
      </c>
      <c r="H2418" s="89">
        <v>496.56</v>
      </c>
      <c r="I2418" s="85">
        <v>0</v>
      </c>
      <c r="J2418" s="85">
        <v>24.83</v>
      </c>
      <c r="K2418" s="85">
        <v>521.39</v>
      </c>
      <c r="L2418" s="85">
        <v>1471.42</v>
      </c>
      <c r="M2418" s="89">
        <v>496.56</v>
      </c>
      <c r="N2418" s="85">
        <v>0</v>
      </c>
      <c r="O2418" s="85">
        <v>24.83</v>
      </c>
      <c r="P2418" s="85">
        <v>521.39</v>
      </c>
      <c r="Q2418" s="85">
        <v>1471.42</v>
      </c>
      <c r="R2418" s="82" t="s">
        <v>3399</v>
      </c>
      <c r="S2418" s="7">
        <f t="shared" si="112"/>
        <v>0</v>
      </c>
      <c r="T2418" s="6">
        <f t="shared" si="113"/>
        <v>0</v>
      </c>
      <c r="U2418" s="25">
        <f t="shared" si="111"/>
        <v>0</v>
      </c>
    </row>
    <row r="2419" spans="1:21" ht="10.9" customHeight="1" x14ac:dyDescent="0.2">
      <c r="A2419" s="82" t="s">
        <v>3187</v>
      </c>
      <c r="B2419" s="83">
        <v>45950</v>
      </c>
      <c r="C2419" s="82" t="s">
        <v>3395</v>
      </c>
      <c r="D2419" s="82" t="s">
        <v>636</v>
      </c>
      <c r="E2419" s="82"/>
      <c r="F2419" s="82" t="s">
        <v>4517</v>
      </c>
      <c r="G2419" s="89">
        <v>1</v>
      </c>
      <c r="H2419" s="89">
        <v>904.79</v>
      </c>
      <c r="I2419" s="85">
        <v>0</v>
      </c>
      <c r="J2419" s="85">
        <v>45.24</v>
      </c>
      <c r="K2419" s="85">
        <v>950.03</v>
      </c>
      <c r="L2419" s="85">
        <v>1471.42</v>
      </c>
      <c r="M2419" s="89">
        <v>904.79</v>
      </c>
      <c r="N2419" s="85">
        <v>0</v>
      </c>
      <c r="O2419" s="85">
        <v>45.24</v>
      </c>
      <c r="P2419" s="85">
        <v>950.03</v>
      </c>
      <c r="Q2419" s="85">
        <v>1471.42</v>
      </c>
      <c r="R2419" s="82" t="s">
        <v>3399</v>
      </c>
      <c r="S2419" s="7">
        <f t="shared" si="112"/>
        <v>0</v>
      </c>
      <c r="T2419" s="6">
        <f t="shared" si="113"/>
        <v>0</v>
      </c>
      <c r="U2419" s="25">
        <f t="shared" si="111"/>
        <v>0</v>
      </c>
    </row>
    <row r="2420" spans="1:21" ht="10.9" customHeight="1" x14ac:dyDescent="0.2">
      <c r="A2420" s="82" t="s">
        <v>4213</v>
      </c>
      <c r="B2420" s="83">
        <v>45950</v>
      </c>
      <c r="C2420" s="82" t="s">
        <v>3398</v>
      </c>
      <c r="D2420" s="82" t="s">
        <v>717</v>
      </c>
      <c r="E2420" s="82"/>
      <c r="F2420" s="82" t="s">
        <v>4676</v>
      </c>
      <c r="G2420" s="89">
        <v>-1</v>
      </c>
      <c r="H2420" s="89">
        <v>1326.59</v>
      </c>
      <c r="I2420" s="85">
        <v>0</v>
      </c>
      <c r="J2420" s="85">
        <v>-172.46</v>
      </c>
      <c r="K2420" s="85">
        <v>-1499.05</v>
      </c>
      <c r="L2420" s="85">
        <v>-4704.34</v>
      </c>
      <c r="M2420" s="89">
        <v>1326.59</v>
      </c>
      <c r="N2420" s="85">
        <v>0</v>
      </c>
      <c r="O2420" s="85">
        <v>-172.46</v>
      </c>
      <c r="P2420" s="85">
        <v>-1499.05</v>
      </c>
      <c r="Q2420" s="85">
        <v>-4704.34</v>
      </c>
      <c r="R2420" s="82" t="s">
        <v>4515</v>
      </c>
      <c r="S2420" s="7">
        <f t="shared" si="112"/>
        <v>0</v>
      </c>
      <c r="T2420" s="6">
        <f t="shared" si="113"/>
        <v>0</v>
      </c>
      <c r="U2420" s="25">
        <f t="shared" si="111"/>
        <v>0</v>
      </c>
    </row>
    <row r="2421" spans="1:21" ht="10.9" customHeight="1" x14ac:dyDescent="0.2">
      <c r="A2421" s="82" t="s">
        <v>4213</v>
      </c>
      <c r="B2421" s="83">
        <v>45950</v>
      </c>
      <c r="C2421" s="82" t="s">
        <v>3398</v>
      </c>
      <c r="D2421" s="82" t="s">
        <v>717</v>
      </c>
      <c r="E2421" s="82"/>
      <c r="F2421" s="82" t="s">
        <v>4600</v>
      </c>
      <c r="G2421" s="89">
        <v>-1</v>
      </c>
      <c r="H2421" s="89">
        <v>2836.54</v>
      </c>
      <c r="I2421" s="85">
        <v>0</v>
      </c>
      <c r="J2421" s="85">
        <v>-368.75</v>
      </c>
      <c r="K2421" s="85">
        <v>-3205.29</v>
      </c>
      <c r="L2421" s="85">
        <v>-4704.34</v>
      </c>
      <c r="M2421" s="89">
        <v>2836.54</v>
      </c>
      <c r="N2421" s="85">
        <v>0</v>
      </c>
      <c r="O2421" s="85">
        <v>-368.75</v>
      </c>
      <c r="P2421" s="85">
        <v>-3205.29</v>
      </c>
      <c r="Q2421" s="85">
        <v>-4704.34</v>
      </c>
      <c r="R2421" s="82" t="s">
        <v>4515</v>
      </c>
      <c r="S2421" s="7">
        <f t="shared" si="112"/>
        <v>0</v>
      </c>
      <c r="T2421" s="6">
        <f t="shared" si="113"/>
        <v>0</v>
      </c>
      <c r="U2421" s="25">
        <f t="shared" si="111"/>
        <v>0</v>
      </c>
    </row>
    <row r="2422" spans="1:21" ht="10.9" customHeight="1" x14ac:dyDescent="0.2">
      <c r="A2422" s="82" t="s">
        <v>4213</v>
      </c>
      <c r="B2422" s="83">
        <v>45950</v>
      </c>
      <c r="C2422" s="82" t="s">
        <v>3398</v>
      </c>
      <c r="D2422" s="82" t="s">
        <v>717</v>
      </c>
      <c r="E2422" s="82"/>
      <c r="F2422" s="82" t="s">
        <v>4706</v>
      </c>
      <c r="G2422" s="89">
        <v>-1</v>
      </c>
      <c r="H2422" s="89">
        <v>0</v>
      </c>
      <c r="I2422" s="85">
        <v>0</v>
      </c>
      <c r="J2422" s="85">
        <v>0</v>
      </c>
      <c r="K2422" s="85">
        <v>0</v>
      </c>
      <c r="L2422" s="85">
        <v>-4704.34</v>
      </c>
      <c r="M2422" s="89">
        <v>0</v>
      </c>
      <c r="N2422" s="85">
        <v>0</v>
      </c>
      <c r="O2422" s="85">
        <v>0</v>
      </c>
      <c r="P2422" s="85">
        <v>0</v>
      </c>
      <c r="Q2422" s="85">
        <v>-4704.34</v>
      </c>
      <c r="R2422" s="82" t="s">
        <v>4515</v>
      </c>
      <c r="S2422" s="7">
        <f t="shared" si="112"/>
        <v>0</v>
      </c>
      <c r="T2422" s="6">
        <f t="shared" si="113"/>
        <v>0</v>
      </c>
      <c r="U2422" s="25">
        <f t="shared" si="111"/>
        <v>0</v>
      </c>
    </row>
    <row r="2423" spans="1:21" ht="10.9" customHeight="1" x14ac:dyDescent="0.2">
      <c r="A2423" s="82" t="s">
        <v>4213</v>
      </c>
      <c r="B2423" s="83">
        <v>45950</v>
      </c>
      <c r="C2423" s="82" t="s">
        <v>3398</v>
      </c>
      <c r="D2423" s="82" t="s">
        <v>717</v>
      </c>
      <c r="E2423" s="82"/>
      <c r="F2423" s="82" t="s">
        <v>4414</v>
      </c>
      <c r="G2423" s="89">
        <v>-1</v>
      </c>
      <c r="H2423" s="89">
        <v>0</v>
      </c>
      <c r="I2423" s="85">
        <v>0</v>
      </c>
      <c r="J2423" s="85">
        <v>0</v>
      </c>
      <c r="K2423" s="85">
        <v>0</v>
      </c>
      <c r="L2423" s="85">
        <v>-4704.34</v>
      </c>
      <c r="M2423" s="89">
        <v>0</v>
      </c>
      <c r="N2423" s="85">
        <v>0</v>
      </c>
      <c r="O2423" s="85">
        <v>0</v>
      </c>
      <c r="P2423" s="85">
        <v>0</v>
      </c>
      <c r="Q2423" s="85">
        <v>-4704.34</v>
      </c>
      <c r="R2423" s="82" t="s">
        <v>4515</v>
      </c>
      <c r="S2423" s="7">
        <f t="shared" si="112"/>
        <v>0</v>
      </c>
      <c r="T2423" s="6">
        <f t="shared" si="113"/>
        <v>0</v>
      </c>
      <c r="U2423" s="25">
        <f t="shared" si="111"/>
        <v>0</v>
      </c>
    </row>
    <row r="2424" spans="1:21" ht="10.9" customHeight="1" x14ac:dyDescent="0.2">
      <c r="A2424" s="82" t="s">
        <v>3043</v>
      </c>
      <c r="B2424" s="83">
        <v>45951</v>
      </c>
      <c r="C2424" s="82" t="s">
        <v>3395</v>
      </c>
      <c r="D2424" s="82" t="s">
        <v>925</v>
      </c>
      <c r="E2424" s="82"/>
      <c r="F2424" s="82" t="s">
        <v>4704</v>
      </c>
      <c r="G2424" s="89">
        <v>2</v>
      </c>
      <c r="H2424" s="89">
        <v>313.85000000000002</v>
      </c>
      <c r="I2424" s="85">
        <v>0</v>
      </c>
      <c r="J2424" s="85">
        <v>0</v>
      </c>
      <c r="K2424" s="85">
        <v>627.70000000000005</v>
      </c>
      <c r="L2424" s="85">
        <v>627.70000000000005</v>
      </c>
      <c r="M2424" s="89">
        <v>439.53443101403121</v>
      </c>
      <c r="N2424" s="85">
        <v>0</v>
      </c>
      <c r="O2424" s="85">
        <v>0</v>
      </c>
      <c r="P2424" s="85">
        <v>879.06886202806243</v>
      </c>
      <c r="Q2424" s="85">
        <v>879.06886202806243</v>
      </c>
      <c r="R2424" s="82" t="s">
        <v>3396</v>
      </c>
      <c r="S2424" s="7">
        <f t="shared" si="112"/>
        <v>0</v>
      </c>
      <c r="T2424" s="6">
        <f t="shared" si="113"/>
        <v>0</v>
      </c>
      <c r="U2424" s="25">
        <f t="shared" si="111"/>
        <v>0</v>
      </c>
    </row>
    <row r="2425" spans="1:21" ht="10.9" customHeight="1" x14ac:dyDescent="0.2">
      <c r="A2425" s="82" t="s">
        <v>2893</v>
      </c>
      <c r="B2425" s="83">
        <v>45951</v>
      </c>
      <c r="C2425" s="82" t="s">
        <v>3395</v>
      </c>
      <c r="D2425" s="82" t="s">
        <v>3431</v>
      </c>
      <c r="E2425" s="82"/>
      <c r="F2425" s="82" t="s">
        <v>4703</v>
      </c>
      <c r="G2425" s="89">
        <v>1</v>
      </c>
      <c r="H2425" s="89">
        <v>122</v>
      </c>
      <c r="I2425" s="85">
        <v>0</v>
      </c>
      <c r="J2425" s="85">
        <v>0</v>
      </c>
      <c r="K2425" s="85">
        <v>122</v>
      </c>
      <c r="L2425" s="85">
        <v>6597</v>
      </c>
      <c r="M2425" s="89">
        <v>170.85614332869781</v>
      </c>
      <c r="N2425" s="85">
        <v>0</v>
      </c>
      <c r="O2425" s="85">
        <v>0</v>
      </c>
      <c r="P2425" s="85">
        <v>170.85614332869781</v>
      </c>
      <c r="Q2425" s="85">
        <v>9238.8358814706517</v>
      </c>
      <c r="R2425" s="82" t="s">
        <v>3396</v>
      </c>
      <c r="S2425" s="7">
        <f t="shared" si="112"/>
        <v>0</v>
      </c>
      <c r="T2425" s="6">
        <f t="shared" si="113"/>
        <v>0</v>
      </c>
      <c r="U2425" s="25">
        <f t="shared" si="111"/>
        <v>0</v>
      </c>
    </row>
    <row r="2426" spans="1:21" ht="10.9" customHeight="1" x14ac:dyDescent="0.2">
      <c r="A2426" s="82" t="s">
        <v>2893</v>
      </c>
      <c r="B2426" s="83">
        <v>45951</v>
      </c>
      <c r="C2426" s="82" t="s">
        <v>3395</v>
      </c>
      <c r="D2426" s="82" t="s">
        <v>3431</v>
      </c>
      <c r="E2426" s="82"/>
      <c r="F2426" s="82" t="s">
        <v>4702</v>
      </c>
      <c r="G2426" s="89">
        <v>1</v>
      </c>
      <c r="H2426" s="89">
        <v>367</v>
      </c>
      <c r="I2426" s="85">
        <v>0</v>
      </c>
      <c r="J2426" s="85">
        <v>0</v>
      </c>
      <c r="K2426" s="85">
        <v>367</v>
      </c>
      <c r="L2426" s="85">
        <v>6597</v>
      </c>
      <c r="M2426" s="89">
        <v>513.96889017731223</v>
      </c>
      <c r="N2426" s="85">
        <v>0</v>
      </c>
      <c r="O2426" s="85">
        <v>0</v>
      </c>
      <c r="P2426" s="85">
        <v>513.96889017731223</v>
      </c>
      <c r="Q2426" s="85">
        <v>9238.8358814706517</v>
      </c>
      <c r="R2426" s="82" t="s">
        <v>3396</v>
      </c>
      <c r="S2426" s="7">
        <f t="shared" si="112"/>
        <v>0</v>
      </c>
      <c r="T2426" s="6">
        <f t="shared" si="113"/>
        <v>0</v>
      </c>
      <c r="U2426" s="25">
        <f t="shared" si="111"/>
        <v>0</v>
      </c>
    </row>
    <row r="2427" spans="1:21" ht="10.9" customHeight="1" x14ac:dyDescent="0.2">
      <c r="A2427" s="82" t="s">
        <v>2893</v>
      </c>
      <c r="B2427" s="83">
        <v>45951</v>
      </c>
      <c r="C2427" s="82" t="s">
        <v>3395</v>
      </c>
      <c r="D2427" s="82" t="s">
        <v>3431</v>
      </c>
      <c r="E2427" s="82"/>
      <c r="F2427" s="82" t="s">
        <v>4701</v>
      </c>
      <c r="G2427" s="89">
        <v>1</v>
      </c>
      <c r="H2427" s="89">
        <v>2057</v>
      </c>
      <c r="I2427" s="85">
        <v>0</v>
      </c>
      <c r="J2427" s="85">
        <v>0</v>
      </c>
      <c r="K2427" s="85">
        <v>2057</v>
      </c>
      <c r="L2427" s="85">
        <v>6597</v>
      </c>
      <c r="M2427" s="89">
        <v>2880.7466133371427</v>
      </c>
      <c r="N2427" s="85">
        <v>0</v>
      </c>
      <c r="O2427" s="85">
        <v>0</v>
      </c>
      <c r="P2427" s="85">
        <v>2880.7466133371427</v>
      </c>
      <c r="Q2427" s="85">
        <v>9238.8358814706517</v>
      </c>
      <c r="R2427" s="82" t="s">
        <v>3396</v>
      </c>
      <c r="S2427" s="7">
        <f t="shared" si="112"/>
        <v>0</v>
      </c>
      <c r="T2427" s="6">
        <f t="shared" si="113"/>
        <v>0</v>
      </c>
      <c r="U2427" s="25">
        <f t="shared" si="111"/>
        <v>0</v>
      </c>
    </row>
    <row r="2428" spans="1:21" ht="10.9" customHeight="1" x14ac:dyDescent="0.2">
      <c r="A2428" s="82" t="s">
        <v>2893</v>
      </c>
      <c r="B2428" s="83">
        <v>45951</v>
      </c>
      <c r="C2428" s="82" t="s">
        <v>3395</v>
      </c>
      <c r="D2428" s="82" t="s">
        <v>3431</v>
      </c>
      <c r="E2428" s="82"/>
      <c r="F2428" s="82" t="s">
        <v>4700</v>
      </c>
      <c r="G2428" s="89">
        <v>1</v>
      </c>
      <c r="H2428" s="89">
        <v>1065</v>
      </c>
      <c r="I2428" s="85">
        <v>0</v>
      </c>
      <c r="J2428" s="85">
        <v>0</v>
      </c>
      <c r="K2428" s="85">
        <v>1065</v>
      </c>
      <c r="L2428" s="85">
        <v>6597</v>
      </c>
      <c r="M2428" s="89">
        <v>1491.4901036480587</v>
      </c>
      <c r="N2428" s="85">
        <v>0</v>
      </c>
      <c r="O2428" s="85">
        <v>0</v>
      </c>
      <c r="P2428" s="85">
        <v>1491.4901036480587</v>
      </c>
      <c r="Q2428" s="85">
        <v>9238.8358814706517</v>
      </c>
      <c r="R2428" s="82" t="s">
        <v>3396</v>
      </c>
      <c r="S2428" s="7">
        <f t="shared" si="112"/>
        <v>0</v>
      </c>
      <c r="T2428" s="6">
        <f t="shared" si="113"/>
        <v>0</v>
      </c>
      <c r="U2428" s="25">
        <f t="shared" si="111"/>
        <v>0</v>
      </c>
    </row>
    <row r="2429" spans="1:21" ht="10.9" customHeight="1" x14ac:dyDescent="0.2">
      <c r="A2429" s="82" t="s">
        <v>2893</v>
      </c>
      <c r="B2429" s="83">
        <v>45951</v>
      </c>
      <c r="C2429" s="82" t="s">
        <v>3395</v>
      </c>
      <c r="D2429" s="82" t="s">
        <v>3431</v>
      </c>
      <c r="E2429" s="82"/>
      <c r="F2429" s="82" t="s">
        <v>4699</v>
      </c>
      <c r="G2429" s="89">
        <v>1</v>
      </c>
      <c r="H2429" s="89">
        <v>1425</v>
      </c>
      <c r="I2429" s="85">
        <v>0</v>
      </c>
      <c r="J2429" s="85">
        <v>0</v>
      </c>
      <c r="K2429" s="85">
        <v>1425</v>
      </c>
      <c r="L2429" s="85">
        <v>6597</v>
      </c>
      <c r="M2429" s="89">
        <v>1995.6557724868392</v>
      </c>
      <c r="N2429" s="85">
        <v>0</v>
      </c>
      <c r="O2429" s="85">
        <v>0</v>
      </c>
      <c r="P2429" s="85">
        <v>1995.6557724868392</v>
      </c>
      <c r="Q2429" s="85">
        <v>9238.8358814706517</v>
      </c>
      <c r="R2429" s="82" t="s">
        <v>3396</v>
      </c>
      <c r="S2429" s="7">
        <f t="shared" si="112"/>
        <v>0</v>
      </c>
      <c r="T2429" s="6">
        <f t="shared" si="113"/>
        <v>0</v>
      </c>
      <c r="U2429" s="25">
        <f t="shared" si="111"/>
        <v>0</v>
      </c>
    </row>
    <row r="2430" spans="1:21" ht="10.9" customHeight="1" x14ac:dyDescent="0.2">
      <c r="A2430" s="82" t="s">
        <v>2893</v>
      </c>
      <c r="B2430" s="83">
        <v>45951</v>
      </c>
      <c r="C2430" s="82" t="s">
        <v>3395</v>
      </c>
      <c r="D2430" s="82" t="s">
        <v>3431</v>
      </c>
      <c r="E2430" s="82"/>
      <c r="F2430" s="82" t="s">
        <v>4698</v>
      </c>
      <c r="G2430" s="89">
        <v>1</v>
      </c>
      <c r="H2430" s="89">
        <v>433</v>
      </c>
      <c r="I2430" s="85">
        <v>0</v>
      </c>
      <c r="J2430" s="85">
        <v>0</v>
      </c>
      <c r="K2430" s="85">
        <v>433</v>
      </c>
      <c r="L2430" s="85">
        <v>6597</v>
      </c>
      <c r="M2430" s="89">
        <v>606.39926279775534</v>
      </c>
      <c r="N2430" s="85">
        <v>0</v>
      </c>
      <c r="O2430" s="85">
        <v>0</v>
      </c>
      <c r="P2430" s="85">
        <v>606.39926279775534</v>
      </c>
      <c r="Q2430" s="85">
        <v>9238.8358814706517</v>
      </c>
      <c r="R2430" s="82" t="s">
        <v>3396</v>
      </c>
      <c r="S2430" s="7">
        <f t="shared" si="112"/>
        <v>0</v>
      </c>
      <c r="T2430" s="6">
        <f t="shared" si="113"/>
        <v>0</v>
      </c>
      <c r="U2430" s="25">
        <f t="shared" si="111"/>
        <v>0</v>
      </c>
    </row>
    <row r="2431" spans="1:21" ht="10.9" customHeight="1" x14ac:dyDescent="0.2">
      <c r="A2431" s="82" t="s">
        <v>2893</v>
      </c>
      <c r="B2431" s="83">
        <v>45951</v>
      </c>
      <c r="C2431" s="82" t="s">
        <v>3395</v>
      </c>
      <c r="D2431" s="82" t="s">
        <v>3431</v>
      </c>
      <c r="E2431" s="82"/>
      <c r="F2431" s="82" t="s">
        <v>4697</v>
      </c>
      <c r="G2431" s="89">
        <v>1</v>
      </c>
      <c r="H2431" s="89">
        <v>461</v>
      </c>
      <c r="I2431" s="85">
        <v>0</v>
      </c>
      <c r="J2431" s="85">
        <v>0</v>
      </c>
      <c r="K2431" s="85">
        <v>461</v>
      </c>
      <c r="L2431" s="85">
        <v>6597</v>
      </c>
      <c r="M2431" s="89">
        <v>645.61214815188271</v>
      </c>
      <c r="N2431" s="85">
        <v>0</v>
      </c>
      <c r="O2431" s="85">
        <v>0</v>
      </c>
      <c r="P2431" s="85">
        <v>645.61214815188271</v>
      </c>
      <c r="Q2431" s="85">
        <v>9238.8358814706517</v>
      </c>
      <c r="R2431" s="82" t="s">
        <v>3396</v>
      </c>
      <c r="S2431" s="7">
        <f t="shared" si="112"/>
        <v>0</v>
      </c>
      <c r="T2431" s="6">
        <f t="shared" si="113"/>
        <v>0</v>
      </c>
      <c r="U2431" s="25">
        <f t="shared" si="111"/>
        <v>0</v>
      </c>
    </row>
    <row r="2432" spans="1:21" ht="10.9" customHeight="1" x14ac:dyDescent="0.2">
      <c r="A2432" s="82" t="s">
        <v>2893</v>
      </c>
      <c r="B2432" s="83">
        <v>45951</v>
      </c>
      <c r="C2432" s="82" t="s">
        <v>3395</v>
      </c>
      <c r="D2432" s="82" t="s">
        <v>3431</v>
      </c>
      <c r="E2432" s="82"/>
      <c r="F2432" s="82" t="s">
        <v>4393</v>
      </c>
      <c r="G2432" s="89">
        <v>1</v>
      </c>
      <c r="H2432" s="89">
        <v>667</v>
      </c>
      <c r="I2432" s="85">
        <v>0</v>
      </c>
      <c r="J2432" s="85">
        <v>0</v>
      </c>
      <c r="K2432" s="85">
        <v>667</v>
      </c>
      <c r="L2432" s="85">
        <v>6597</v>
      </c>
      <c r="M2432" s="89">
        <v>934.10694754296264</v>
      </c>
      <c r="N2432" s="85">
        <v>0</v>
      </c>
      <c r="O2432" s="85">
        <v>0</v>
      </c>
      <c r="P2432" s="85">
        <v>934.10694754296264</v>
      </c>
      <c r="Q2432" s="85">
        <v>9238.8358814706517</v>
      </c>
      <c r="R2432" s="82" t="s">
        <v>3396</v>
      </c>
      <c r="S2432" s="7" t="str">
        <f t="shared" si="112"/>
        <v>INV13535</v>
      </c>
      <c r="T2432" s="6">
        <f t="shared" si="113"/>
        <v>1</v>
      </c>
      <c r="U2432" s="25">
        <f t="shared" si="111"/>
        <v>667</v>
      </c>
    </row>
    <row r="2433" spans="1:21" ht="10.9" customHeight="1" x14ac:dyDescent="0.2">
      <c r="A2433" s="82" t="s">
        <v>3301</v>
      </c>
      <c r="B2433" s="83">
        <v>45951</v>
      </c>
      <c r="C2433" s="82" t="s">
        <v>3395</v>
      </c>
      <c r="D2433" s="82"/>
      <c r="E2433" s="82"/>
      <c r="F2433" s="82" t="s">
        <v>4512</v>
      </c>
      <c r="G2433" s="89">
        <v>1</v>
      </c>
      <c r="H2433" s="89">
        <v>12489.11</v>
      </c>
      <c r="I2433" s="85">
        <v>0</v>
      </c>
      <c r="J2433" s="85">
        <v>0</v>
      </c>
      <c r="K2433" s="85">
        <v>12489.11</v>
      </c>
      <c r="L2433" s="85">
        <v>12489.11</v>
      </c>
      <c r="M2433" s="89">
        <v>17511.346731145917</v>
      </c>
      <c r="N2433" s="85">
        <v>0</v>
      </c>
      <c r="O2433" s="85">
        <v>0</v>
      </c>
      <c r="P2433" s="85">
        <v>17511.346731145917</v>
      </c>
      <c r="Q2433" s="85">
        <v>17511.346731145917</v>
      </c>
      <c r="R2433" s="82" t="s">
        <v>3399</v>
      </c>
      <c r="S2433" s="7">
        <f t="shared" si="112"/>
        <v>0</v>
      </c>
      <c r="T2433" s="6">
        <f t="shared" si="113"/>
        <v>0</v>
      </c>
      <c r="U2433" s="25">
        <f t="shared" si="111"/>
        <v>0</v>
      </c>
    </row>
    <row r="2434" spans="1:21" ht="10.9" customHeight="1" x14ac:dyDescent="0.2">
      <c r="A2434" s="82" t="s">
        <v>3248</v>
      </c>
      <c r="B2434" s="83">
        <v>45951</v>
      </c>
      <c r="C2434" s="82" t="s">
        <v>3395</v>
      </c>
      <c r="D2434" s="82" t="s">
        <v>508</v>
      </c>
      <c r="E2434" s="82"/>
      <c r="F2434" s="82" t="s">
        <v>4696</v>
      </c>
      <c r="G2434" s="89">
        <v>3</v>
      </c>
      <c r="H2434" s="89">
        <v>2536.52</v>
      </c>
      <c r="I2434" s="85">
        <v>0</v>
      </c>
      <c r="J2434" s="85">
        <v>380.48</v>
      </c>
      <c r="K2434" s="85">
        <v>7990.04</v>
      </c>
      <c r="L2434" s="85">
        <v>7990.04</v>
      </c>
      <c r="M2434" s="89">
        <v>2536.52</v>
      </c>
      <c r="N2434" s="85">
        <v>0</v>
      </c>
      <c r="O2434" s="85">
        <v>380.48</v>
      </c>
      <c r="P2434" s="85">
        <v>7990.04</v>
      </c>
      <c r="Q2434" s="85">
        <v>7990.04</v>
      </c>
      <c r="R2434" s="82" t="s">
        <v>3399</v>
      </c>
      <c r="S2434" s="7">
        <f t="shared" si="112"/>
        <v>0</v>
      </c>
      <c r="T2434" s="6">
        <f t="shared" si="113"/>
        <v>0</v>
      </c>
      <c r="U2434" s="25">
        <f t="shared" ref="U2434:U2497" si="114">IF(T2434=1,K2434-J2434,0)</f>
        <v>0</v>
      </c>
    </row>
    <row r="2435" spans="1:21" ht="10.9" customHeight="1" x14ac:dyDescent="0.2">
      <c r="A2435" s="82" t="s">
        <v>3287</v>
      </c>
      <c r="B2435" s="83">
        <v>45951</v>
      </c>
      <c r="C2435" s="82" t="s">
        <v>3395</v>
      </c>
      <c r="D2435" s="82" t="s">
        <v>401</v>
      </c>
      <c r="E2435" s="82"/>
      <c r="F2435" s="82" t="s">
        <v>4705</v>
      </c>
      <c r="G2435" s="89">
        <v>1</v>
      </c>
      <c r="H2435" s="89">
        <v>7248.11</v>
      </c>
      <c r="I2435" s="85">
        <v>0</v>
      </c>
      <c r="J2435" s="85">
        <v>362.41</v>
      </c>
      <c r="K2435" s="85">
        <v>7610.52</v>
      </c>
      <c r="L2435" s="85">
        <v>7610.52</v>
      </c>
      <c r="M2435" s="89">
        <v>7248.11</v>
      </c>
      <c r="N2435" s="85">
        <v>0</v>
      </c>
      <c r="O2435" s="85">
        <v>362.41</v>
      </c>
      <c r="P2435" s="85">
        <v>7610.52</v>
      </c>
      <c r="Q2435" s="85">
        <v>7610.52</v>
      </c>
      <c r="R2435" s="82" t="s">
        <v>3399</v>
      </c>
      <c r="S2435" s="7">
        <f t="shared" ref="S2435:S2498" si="115">IF(T2435=1,A2435,0)</f>
        <v>0</v>
      </c>
      <c r="T2435" s="6">
        <f t="shared" ref="T2435:T2498" si="116">IFERROR(FIND("Freight",F2435,1),0)</f>
        <v>0</v>
      </c>
      <c r="U2435" s="25">
        <f t="shared" si="114"/>
        <v>0</v>
      </c>
    </row>
    <row r="2436" spans="1:21" ht="10.9" customHeight="1" x14ac:dyDescent="0.2">
      <c r="A2436" s="82" t="s">
        <v>3294</v>
      </c>
      <c r="B2436" s="83">
        <v>45952</v>
      </c>
      <c r="C2436" s="82" t="s">
        <v>3395</v>
      </c>
      <c r="D2436" s="82" t="s">
        <v>386</v>
      </c>
      <c r="E2436" s="82"/>
      <c r="F2436" s="82" t="s">
        <v>4693</v>
      </c>
      <c r="G2436" s="89">
        <v>4</v>
      </c>
      <c r="H2436" s="89">
        <v>49</v>
      </c>
      <c r="I2436" s="85">
        <v>0</v>
      </c>
      <c r="J2436" s="85">
        <v>25.48</v>
      </c>
      <c r="K2436" s="85">
        <v>221.48</v>
      </c>
      <c r="L2436" s="85">
        <v>221.48</v>
      </c>
      <c r="M2436" s="89">
        <v>49</v>
      </c>
      <c r="N2436" s="85">
        <v>0</v>
      </c>
      <c r="O2436" s="85">
        <v>25.48</v>
      </c>
      <c r="P2436" s="85">
        <v>221.48</v>
      </c>
      <c r="Q2436" s="85">
        <v>221.48</v>
      </c>
      <c r="R2436" s="82" t="s">
        <v>3399</v>
      </c>
      <c r="S2436" s="7">
        <f t="shared" si="115"/>
        <v>0</v>
      </c>
      <c r="T2436" s="6">
        <f t="shared" si="116"/>
        <v>0</v>
      </c>
      <c r="U2436" s="25">
        <f t="shared" si="114"/>
        <v>0</v>
      </c>
    </row>
    <row r="2437" spans="1:21" ht="10.9" customHeight="1" x14ac:dyDescent="0.2">
      <c r="A2437" s="82" t="s">
        <v>3298</v>
      </c>
      <c r="B2437" s="83">
        <v>45952</v>
      </c>
      <c r="C2437" s="82" t="s">
        <v>3395</v>
      </c>
      <c r="D2437" s="82" t="s">
        <v>378</v>
      </c>
      <c r="E2437" s="82"/>
      <c r="F2437" s="82" t="s">
        <v>4648</v>
      </c>
      <c r="G2437" s="89">
        <v>1</v>
      </c>
      <c r="H2437" s="89">
        <v>273.10000000000002</v>
      </c>
      <c r="I2437" s="85">
        <v>0</v>
      </c>
      <c r="J2437" s="85">
        <v>35.5</v>
      </c>
      <c r="K2437" s="85">
        <v>308.60000000000002</v>
      </c>
      <c r="L2437" s="85">
        <v>308.60000000000002</v>
      </c>
      <c r="M2437" s="89">
        <v>273.10000000000002</v>
      </c>
      <c r="N2437" s="85">
        <v>0</v>
      </c>
      <c r="O2437" s="85">
        <v>35.5</v>
      </c>
      <c r="P2437" s="85">
        <v>308.60000000000002</v>
      </c>
      <c r="Q2437" s="85">
        <v>308.60000000000002</v>
      </c>
      <c r="R2437" s="82" t="s">
        <v>3399</v>
      </c>
      <c r="S2437" s="7">
        <f t="shared" si="115"/>
        <v>0</v>
      </c>
      <c r="T2437" s="6">
        <f t="shared" si="116"/>
        <v>0</v>
      </c>
      <c r="U2437" s="25">
        <f t="shared" si="114"/>
        <v>0</v>
      </c>
    </row>
    <row r="2438" spans="1:21" ht="10.9" customHeight="1" x14ac:dyDescent="0.2">
      <c r="A2438" s="82" t="s">
        <v>3220</v>
      </c>
      <c r="B2438" s="83">
        <v>45952</v>
      </c>
      <c r="C2438" s="82" t="s">
        <v>3395</v>
      </c>
      <c r="D2438" s="82" t="s">
        <v>562</v>
      </c>
      <c r="E2438" s="82"/>
      <c r="F2438" s="82" t="s">
        <v>4685</v>
      </c>
      <c r="G2438" s="89">
        <v>2</v>
      </c>
      <c r="H2438" s="89">
        <v>1106.96</v>
      </c>
      <c r="I2438" s="85">
        <v>0</v>
      </c>
      <c r="J2438" s="85">
        <v>110.7</v>
      </c>
      <c r="K2438" s="85">
        <v>2324.62</v>
      </c>
      <c r="L2438" s="85">
        <v>2324.62</v>
      </c>
      <c r="M2438" s="89">
        <v>1106.96</v>
      </c>
      <c r="N2438" s="85">
        <v>0</v>
      </c>
      <c r="O2438" s="85">
        <v>110.7</v>
      </c>
      <c r="P2438" s="85">
        <v>2324.62</v>
      </c>
      <c r="Q2438" s="85">
        <v>2324.62</v>
      </c>
      <c r="R2438" s="82" t="s">
        <v>3399</v>
      </c>
      <c r="S2438" s="7">
        <f t="shared" si="115"/>
        <v>0</v>
      </c>
      <c r="T2438" s="6">
        <f t="shared" si="116"/>
        <v>0</v>
      </c>
      <c r="U2438" s="25">
        <f t="shared" si="114"/>
        <v>0</v>
      </c>
    </row>
    <row r="2439" spans="1:21" ht="10.9" customHeight="1" x14ac:dyDescent="0.2">
      <c r="A2439" s="82" t="s">
        <v>3291</v>
      </c>
      <c r="B2439" s="83">
        <v>45952</v>
      </c>
      <c r="C2439" s="82" t="s">
        <v>3395</v>
      </c>
      <c r="D2439" s="82" t="s">
        <v>393</v>
      </c>
      <c r="E2439" s="82"/>
      <c r="F2439" s="82" t="s">
        <v>4695</v>
      </c>
      <c r="G2439" s="89">
        <v>1</v>
      </c>
      <c r="H2439" s="89">
        <v>4557.97</v>
      </c>
      <c r="I2439" s="85">
        <v>0</v>
      </c>
      <c r="J2439" s="85">
        <v>592.54</v>
      </c>
      <c r="K2439" s="85">
        <v>5150.51</v>
      </c>
      <c r="L2439" s="85">
        <v>5150.51</v>
      </c>
      <c r="M2439" s="89">
        <v>4557.97</v>
      </c>
      <c r="N2439" s="85">
        <v>0</v>
      </c>
      <c r="O2439" s="85">
        <v>592.54</v>
      </c>
      <c r="P2439" s="85">
        <v>5150.51</v>
      </c>
      <c r="Q2439" s="85">
        <v>5150.51</v>
      </c>
      <c r="R2439" s="82" t="s">
        <v>3399</v>
      </c>
      <c r="S2439" s="7">
        <f t="shared" si="115"/>
        <v>0</v>
      </c>
      <c r="T2439" s="6">
        <f t="shared" si="116"/>
        <v>0</v>
      </c>
      <c r="U2439" s="25">
        <f t="shared" si="114"/>
        <v>0</v>
      </c>
    </row>
    <row r="2440" spans="1:21" ht="10.9" customHeight="1" x14ac:dyDescent="0.2">
      <c r="A2440" s="82" t="s">
        <v>3290</v>
      </c>
      <c r="B2440" s="83">
        <v>45952</v>
      </c>
      <c r="C2440" s="82" t="s">
        <v>3395</v>
      </c>
      <c r="D2440" s="82" t="s">
        <v>395</v>
      </c>
      <c r="E2440" s="82"/>
      <c r="F2440" s="82" t="s">
        <v>4694</v>
      </c>
      <c r="G2440" s="89">
        <v>1</v>
      </c>
      <c r="H2440" s="89">
        <v>5073.1099999999997</v>
      </c>
      <c r="I2440" s="85">
        <v>0</v>
      </c>
      <c r="J2440" s="85">
        <v>253.66</v>
      </c>
      <c r="K2440" s="85">
        <v>5326.77</v>
      </c>
      <c r="L2440" s="85">
        <v>5326.77</v>
      </c>
      <c r="M2440" s="89">
        <v>5073.1099999999997</v>
      </c>
      <c r="N2440" s="85">
        <v>0</v>
      </c>
      <c r="O2440" s="85">
        <v>253.66</v>
      </c>
      <c r="P2440" s="85">
        <v>5326.77</v>
      </c>
      <c r="Q2440" s="85">
        <v>5326.77</v>
      </c>
      <c r="R2440" s="82" t="s">
        <v>3399</v>
      </c>
      <c r="S2440" s="7">
        <f t="shared" si="115"/>
        <v>0</v>
      </c>
      <c r="T2440" s="6">
        <f t="shared" si="116"/>
        <v>0</v>
      </c>
      <c r="U2440" s="25">
        <f t="shared" si="114"/>
        <v>0</v>
      </c>
    </row>
    <row r="2441" spans="1:21" ht="10.9" customHeight="1" x14ac:dyDescent="0.2">
      <c r="A2441" s="82" t="s">
        <v>3299</v>
      </c>
      <c r="B2441" s="83">
        <v>45953</v>
      </c>
      <c r="C2441" s="82" t="s">
        <v>3395</v>
      </c>
      <c r="D2441" s="82" t="s">
        <v>376</v>
      </c>
      <c r="E2441" s="82"/>
      <c r="F2441" s="82" t="s">
        <v>4692</v>
      </c>
      <c r="G2441" s="89">
        <v>4</v>
      </c>
      <c r="H2441" s="89">
        <v>32.979999999999997</v>
      </c>
      <c r="I2441" s="85">
        <v>0</v>
      </c>
      <c r="J2441" s="85">
        <v>6.6</v>
      </c>
      <c r="K2441" s="85">
        <v>138.52000000000001</v>
      </c>
      <c r="L2441" s="85">
        <v>138.52000000000001</v>
      </c>
      <c r="M2441" s="89">
        <v>32.979999999999997</v>
      </c>
      <c r="N2441" s="85">
        <v>0</v>
      </c>
      <c r="O2441" s="85">
        <v>6.6</v>
      </c>
      <c r="P2441" s="85">
        <v>138.52000000000001</v>
      </c>
      <c r="Q2441" s="85">
        <v>138.52000000000001</v>
      </c>
      <c r="R2441" s="82" t="s">
        <v>3399</v>
      </c>
      <c r="S2441" s="7">
        <f t="shared" si="115"/>
        <v>0</v>
      </c>
      <c r="T2441" s="6">
        <f t="shared" si="116"/>
        <v>0</v>
      </c>
      <c r="U2441" s="25">
        <f t="shared" si="114"/>
        <v>0</v>
      </c>
    </row>
    <row r="2442" spans="1:21" ht="10.9" customHeight="1" x14ac:dyDescent="0.2">
      <c r="A2442" s="82" t="s">
        <v>3296</v>
      </c>
      <c r="B2442" s="83">
        <v>45953</v>
      </c>
      <c r="C2442" s="82" t="s">
        <v>3395</v>
      </c>
      <c r="D2442" s="82" t="s">
        <v>382</v>
      </c>
      <c r="E2442" s="82"/>
      <c r="F2442" s="82" t="s">
        <v>4691</v>
      </c>
      <c r="G2442" s="89">
        <v>1</v>
      </c>
      <c r="H2442" s="89">
        <v>240.42</v>
      </c>
      <c r="I2442" s="85">
        <v>0</v>
      </c>
      <c r="J2442" s="85">
        <v>31.25</v>
      </c>
      <c r="K2442" s="85">
        <v>271.67</v>
      </c>
      <c r="L2442" s="85">
        <v>271.67</v>
      </c>
      <c r="M2442" s="89">
        <v>240.42</v>
      </c>
      <c r="N2442" s="85">
        <v>0</v>
      </c>
      <c r="O2442" s="85">
        <v>31.25</v>
      </c>
      <c r="P2442" s="85">
        <v>271.67</v>
      </c>
      <c r="Q2442" s="85">
        <v>271.67</v>
      </c>
      <c r="R2442" s="82" t="s">
        <v>3399</v>
      </c>
      <c r="S2442" s="7">
        <f t="shared" si="115"/>
        <v>0</v>
      </c>
      <c r="T2442" s="6">
        <f t="shared" si="116"/>
        <v>0</v>
      </c>
      <c r="U2442" s="25">
        <f t="shared" si="114"/>
        <v>0</v>
      </c>
    </row>
    <row r="2443" spans="1:21" ht="10.9" customHeight="1" x14ac:dyDescent="0.2">
      <c r="A2443" s="82" t="s">
        <v>3225</v>
      </c>
      <c r="B2443" s="83">
        <v>45953</v>
      </c>
      <c r="C2443" s="82" t="s">
        <v>3395</v>
      </c>
      <c r="D2443" s="82" t="s">
        <v>551</v>
      </c>
      <c r="E2443" s="82"/>
      <c r="F2443" s="82" t="s">
        <v>4685</v>
      </c>
      <c r="G2443" s="89">
        <v>1</v>
      </c>
      <c r="H2443" s="89">
        <v>1180.7</v>
      </c>
      <c r="I2443" s="85">
        <v>0</v>
      </c>
      <c r="J2443" s="85">
        <v>59.04</v>
      </c>
      <c r="K2443" s="85">
        <v>1239.74</v>
      </c>
      <c r="L2443" s="85">
        <v>1239.74</v>
      </c>
      <c r="M2443" s="89">
        <v>1180.7</v>
      </c>
      <c r="N2443" s="85">
        <v>0</v>
      </c>
      <c r="O2443" s="85">
        <v>59.04</v>
      </c>
      <c r="P2443" s="85">
        <v>1239.74</v>
      </c>
      <c r="Q2443" s="85">
        <v>1239.74</v>
      </c>
      <c r="R2443" s="82" t="s">
        <v>3396</v>
      </c>
      <c r="S2443" s="7">
        <f t="shared" si="115"/>
        <v>0</v>
      </c>
      <c r="T2443" s="6">
        <f t="shared" si="116"/>
        <v>0</v>
      </c>
      <c r="U2443" s="25">
        <f t="shared" si="114"/>
        <v>0</v>
      </c>
    </row>
    <row r="2444" spans="1:21" ht="10.9" customHeight="1" x14ac:dyDescent="0.2">
      <c r="A2444" s="82" t="s">
        <v>3127</v>
      </c>
      <c r="B2444" s="83">
        <v>45957</v>
      </c>
      <c r="C2444" s="82" t="s">
        <v>3395</v>
      </c>
      <c r="D2444" s="82" t="s">
        <v>3428</v>
      </c>
      <c r="E2444" s="82"/>
      <c r="F2444" s="82" t="s">
        <v>4682</v>
      </c>
      <c r="G2444" s="89">
        <v>1</v>
      </c>
      <c r="H2444" s="89">
        <v>1719.88</v>
      </c>
      <c r="I2444" s="85">
        <v>0</v>
      </c>
      <c r="J2444" s="85">
        <v>0</v>
      </c>
      <c r="K2444" s="85">
        <v>1719.88</v>
      </c>
      <c r="L2444" s="85">
        <v>1719.88</v>
      </c>
      <c r="M2444" s="89">
        <v>2406.1299037061185</v>
      </c>
      <c r="N2444" s="85">
        <v>0</v>
      </c>
      <c r="O2444" s="85">
        <v>0</v>
      </c>
      <c r="P2444" s="85">
        <v>2406.1299037061185</v>
      </c>
      <c r="Q2444" s="85">
        <v>2406.1299037061185</v>
      </c>
      <c r="R2444" s="82" t="s">
        <v>3399</v>
      </c>
      <c r="S2444" s="7">
        <f t="shared" si="115"/>
        <v>0</v>
      </c>
      <c r="T2444" s="6">
        <f t="shared" si="116"/>
        <v>0</v>
      </c>
      <c r="U2444" s="25">
        <f t="shared" si="114"/>
        <v>0</v>
      </c>
    </row>
    <row r="2445" spans="1:21" ht="10.9" customHeight="1" x14ac:dyDescent="0.2">
      <c r="A2445" s="82" t="s">
        <v>3300</v>
      </c>
      <c r="B2445" s="83">
        <v>45957</v>
      </c>
      <c r="C2445" s="82" t="s">
        <v>3395</v>
      </c>
      <c r="D2445" s="82" t="s">
        <v>374</v>
      </c>
      <c r="E2445" s="82"/>
      <c r="F2445" s="82" t="s">
        <v>4684</v>
      </c>
      <c r="G2445" s="89">
        <v>1</v>
      </c>
      <c r="H2445" s="89">
        <v>23.24</v>
      </c>
      <c r="I2445" s="85">
        <v>0</v>
      </c>
      <c r="J2445" s="85">
        <v>3.02</v>
      </c>
      <c r="K2445" s="85">
        <v>26.26</v>
      </c>
      <c r="L2445" s="85">
        <v>3117.08</v>
      </c>
      <c r="M2445" s="89">
        <v>23.24</v>
      </c>
      <c r="N2445" s="85">
        <v>0</v>
      </c>
      <c r="O2445" s="85">
        <v>3.02</v>
      </c>
      <c r="P2445" s="85">
        <v>26.26</v>
      </c>
      <c r="Q2445" s="85">
        <v>3117.08</v>
      </c>
      <c r="R2445" s="82" t="s">
        <v>3399</v>
      </c>
      <c r="S2445" s="7">
        <f t="shared" si="115"/>
        <v>0</v>
      </c>
      <c r="T2445" s="6">
        <f t="shared" si="116"/>
        <v>0</v>
      </c>
      <c r="U2445" s="25">
        <f t="shared" si="114"/>
        <v>0</v>
      </c>
    </row>
    <row r="2446" spans="1:21" ht="10.9" customHeight="1" x14ac:dyDescent="0.2">
      <c r="A2446" s="82" t="s">
        <v>3300</v>
      </c>
      <c r="B2446" s="83">
        <v>45957</v>
      </c>
      <c r="C2446" s="82" t="s">
        <v>3395</v>
      </c>
      <c r="D2446" s="82" t="s">
        <v>374</v>
      </c>
      <c r="E2446" s="82"/>
      <c r="F2446" s="82" t="s">
        <v>4683</v>
      </c>
      <c r="G2446" s="89">
        <v>1</v>
      </c>
      <c r="H2446" s="89">
        <v>149.94</v>
      </c>
      <c r="I2446" s="85">
        <v>0</v>
      </c>
      <c r="J2446" s="85">
        <v>19.489999999999998</v>
      </c>
      <c r="K2446" s="85">
        <v>169.43</v>
      </c>
      <c r="L2446" s="85">
        <v>3117.08</v>
      </c>
      <c r="M2446" s="89">
        <v>149.94</v>
      </c>
      <c r="N2446" s="85">
        <v>0</v>
      </c>
      <c r="O2446" s="85">
        <v>19.489999999999998</v>
      </c>
      <c r="P2446" s="85">
        <v>169.43</v>
      </c>
      <c r="Q2446" s="85">
        <v>3117.08</v>
      </c>
      <c r="R2446" s="82" t="s">
        <v>3399</v>
      </c>
      <c r="S2446" s="7">
        <f t="shared" si="115"/>
        <v>0</v>
      </c>
      <c r="T2446" s="6">
        <f t="shared" si="116"/>
        <v>0</v>
      </c>
      <c r="U2446" s="25">
        <f t="shared" si="114"/>
        <v>0</v>
      </c>
    </row>
    <row r="2447" spans="1:21" ht="10.9" customHeight="1" x14ac:dyDescent="0.2">
      <c r="A2447" s="82" t="s">
        <v>3300</v>
      </c>
      <c r="B2447" s="83">
        <v>45957</v>
      </c>
      <c r="C2447" s="82" t="s">
        <v>3395</v>
      </c>
      <c r="D2447" s="82" t="s">
        <v>374</v>
      </c>
      <c r="E2447" s="82"/>
      <c r="F2447" s="82" t="s">
        <v>4600</v>
      </c>
      <c r="G2447" s="89">
        <v>1</v>
      </c>
      <c r="H2447" s="89">
        <v>2585.3000000000002</v>
      </c>
      <c r="I2447" s="85">
        <v>0</v>
      </c>
      <c r="J2447" s="85">
        <v>336.09</v>
      </c>
      <c r="K2447" s="85">
        <v>2921.39</v>
      </c>
      <c r="L2447" s="85">
        <v>3117.08</v>
      </c>
      <c r="M2447" s="89">
        <v>2585.3000000000002</v>
      </c>
      <c r="N2447" s="85">
        <v>0</v>
      </c>
      <c r="O2447" s="85">
        <v>336.09</v>
      </c>
      <c r="P2447" s="85">
        <v>2921.39</v>
      </c>
      <c r="Q2447" s="85">
        <v>3117.08</v>
      </c>
      <c r="R2447" s="82" t="s">
        <v>3399</v>
      </c>
      <c r="S2447" s="7">
        <f t="shared" si="115"/>
        <v>0</v>
      </c>
      <c r="T2447" s="6">
        <f t="shared" si="116"/>
        <v>0</v>
      </c>
      <c r="U2447" s="25">
        <f t="shared" si="114"/>
        <v>0</v>
      </c>
    </row>
    <row r="2448" spans="1:21" ht="10.9" customHeight="1" x14ac:dyDescent="0.2">
      <c r="A2448" s="82" t="s">
        <v>3062</v>
      </c>
      <c r="B2448" s="83">
        <v>45957</v>
      </c>
      <c r="C2448" s="82" t="s">
        <v>3395</v>
      </c>
      <c r="D2448" s="82" t="s">
        <v>887</v>
      </c>
      <c r="E2448" s="82"/>
      <c r="F2448" s="82" t="s">
        <v>4690</v>
      </c>
      <c r="G2448" s="89">
        <v>1</v>
      </c>
      <c r="H2448" s="89">
        <v>3919.25</v>
      </c>
      <c r="I2448" s="85">
        <v>0</v>
      </c>
      <c r="J2448" s="85">
        <v>195.96</v>
      </c>
      <c r="K2448" s="85">
        <v>4115.21</v>
      </c>
      <c r="L2448" s="85">
        <v>9475.69</v>
      </c>
      <c r="M2448" s="89">
        <v>3919.25</v>
      </c>
      <c r="N2448" s="85">
        <v>0</v>
      </c>
      <c r="O2448" s="85">
        <v>195.96</v>
      </c>
      <c r="P2448" s="85">
        <v>4115.21</v>
      </c>
      <c r="Q2448" s="85">
        <v>9475.69</v>
      </c>
      <c r="R2448" s="82" t="s">
        <v>3399</v>
      </c>
      <c r="S2448" s="7">
        <f t="shared" si="115"/>
        <v>0</v>
      </c>
      <c r="T2448" s="6">
        <f t="shared" si="116"/>
        <v>0</v>
      </c>
      <c r="U2448" s="25">
        <f t="shared" si="114"/>
        <v>0</v>
      </c>
    </row>
    <row r="2449" spans="1:21" ht="10.9" customHeight="1" x14ac:dyDescent="0.2">
      <c r="A2449" s="82" t="s">
        <v>3062</v>
      </c>
      <c r="B2449" s="83">
        <v>45957</v>
      </c>
      <c r="C2449" s="82" t="s">
        <v>3395</v>
      </c>
      <c r="D2449" s="82" t="s">
        <v>887</v>
      </c>
      <c r="E2449" s="82"/>
      <c r="F2449" s="82" t="s">
        <v>4689</v>
      </c>
      <c r="G2449" s="89">
        <v>1</v>
      </c>
      <c r="H2449" s="89">
        <v>5105.22</v>
      </c>
      <c r="I2449" s="85">
        <v>0</v>
      </c>
      <c r="J2449" s="85">
        <v>255.26</v>
      </c>
      <c r="K2449" s="85">
        <v>5360.48</v>
      </c>
      <c r="L2449" s="85">
        <v>9475.69</v>
      </c>
      <c r="M2449" s="89">
        <v>5105.22</v>
      </c>
      <c r="N2449" s="85">
        <v>0</v>
      </c>
      <c r="O2449" s="85">
        <v>255.26</v>
      </c>
      <c r="P2449" s="85">
        <v>5360.48</v>
      </c>
      <c r="Q2449" s="85">
        <v>9475.69</v>
      </c>
      <c r="R2449" s="82" t="s">
        <v>3399</v>
      </c>
      <c r="S2449" s="7">
        <f t="shared" si="115"/>
        <v>0</v>
      </c>
      <c r="T2449" s="6">
        <f t="shared" si="116"/>
        <v>0</v>
      </c>
      <c r="U2449" s="25">
        <f t="shared" si="114"/>
        <v>0</v>
      </c>
    </row>
    <row r="2450" spans="1:21" ht="10.9" customHeight="1" x14ac:dyDescent="0.2">
      <c r="A2450" s="82" t="s">
        <v>3304</v>
      </c>
      <c r="B2450" s="83">
        <v>45957</v>
      </c>
      <c r="C2450" s="82" t="s">
        <v>3395</v>
      </c>
      <c r="D2450" s="82" t="s">
        <v>359</v>
      </c>
      <c r="E2450" s="82"/>
      <c r="F2450" s="82" t="s">
        <v>4688</v>
      </c>
      <c r="G2450" s="89">
        <v>1</v>
      </c>
      <c r="H2450" s="89">
        <v>132.88999999999999</v>
      </c>
      <c r="I2450" s="85">
        <v>0</v>
      </c>
      <c r="J2450" s="85">
        <v>6.64</v>
      </c>
      <c r="K2450" s="85">
        <v>139.53</v>
      </c>
      <c r="L2450" s="85">
        <v>4434.6099999999997</v>
      </c>
      <c r="M2450" s="89">
        <v>132.88999999999999</v>
      </c>
      <c r="N2450" s="85">
        <v>0</v>
      </c>
      <c r="O2450" s="85">
        <v>6.64</v>
      </c>
      <c r="P2450" s="85">
        <v>139.53</v>
      </c>
      <c r="Q2450" s="85">
        <v>4434.6099999999997</v>
      </c>
      <c r="R2450" s="82" t="s">
        <v>3399</v>
      </c>
      <c r="S2450" s="7">
        <f t="shared" si="115"/>
        <v>0</v>
      </c>
      <c r="T2450" s="6">
        <f t="shared" si="116"/>
        <v>0</v>
      </c>
      <c r="U2450" s="25">
        <f t="shared" si="114"/>
        <v>0</v>
      </c>
    </row>
    <row r="2451" spans="1:21" ht="10.9" customHeight="1" x14ac:dyDescent="0.2">
      <c r="A2451" s="82" t="s">
        <v>3304</v>
      </c>
      <c r="B2451" s="83">
        <v>45957</v>
      </c>
      <c r="C2451" s="82" t="s">
        <v>3395</v>
      </c>
      <c r="D2451" s="82" t="s">
        <v>359</v>
      </c>
      <c r="E2451" s="82"/>
      <c r="F2451" s="82" t="s">
        <v>4687</v>
      </c>
      <c r="G2451" s="89">
        <v>1</v>
      </c>
      <c r="H2451" s="89">
        <v>4090.55</v>
      </c>
      <c r="I2451" s="85">
        <v>0</v>
      </c>
      <c r="J2451" s="85">
        <v>204.53</v>
      </c>
      <c r="K2451" s="85">
        <v>4295.08</v>
      </c>
      <c r="L2451" s="85">
        <v>4434.6099999999997</v>
      </c>
      <c r="M2451" s="89">
        <v>4090.55</v>
      </c>
      <c r="N2451" s="85">
        <v>0</v>
      </c>
      <c r="O2451" s="85">
        <v>204.53</v>
      </c>
      <c r="P2451" s="85">
        <v>4295.08</v>
      </c>
      <c r="Q2451" s="85">
        <v>4434.6099999999997</v>
      </c>
      <c r="R2451" s="82" t="s">
        <v>3399</v>
      </c>
      <c r="S2451" s="7">
        <f t="shared" si="115"/>
        <v>0</v>
      </c>
      <c r="T2451" s="6">
        <f t="shared" si="116"/>
        <v>0</v>
      </c>
      <c r="U2451" s="25">
        <f t="shared" si="114"/>
        <v>0</v>
      </c>
    </row>
    <row r="2452" spans="1:21" ht="10.9" customHeight="1" x14ac:dyDescent="0.2">
      <c r="A2452" s="82" t="s">
        <v>3297</v>
      </c>
      <c r="B2452" s="83">
        <v>45957</v>
      </c>
      <c r="C2452" s="82" t="s">
        <v>3395</v>
      </c>
      <c r="D2452" s="82" t="s">
        <v>380</v>
      </c>
      <c r="E2452" s="82"/>
      <c r="F2452" s="82" t="s">
        <v>4676</v>
      </c>
      <c r="G2452" s="89">
        <v>1</v>
      </c>
      <c r="H2452" s="89">
        <v>1217.18</v>
      </c>
      <c r="I2452" s="85">
        <v>0</v>
      </c>
      <c r="J2452" s="85">
        <v>60.86</v>
      </c>
      <c r="K2452" s="85">
        <v>1278.04</v>
      </c>
      <c r="L2452" s="85">
        <v>5178.8900000000003</v>
      </c>
      <c r="M2452" s="89">
        <v>1217.18</v>
      </c>
      <c r="N2452" s="85">
        <v>0</v>
      </c>
      <c r="O2452" s="85">
        <v>60.86</v>
      </c>
      <c r="P2452" s="85">
        <v>1278.04</v>
      </c>
      <c r="Q2452" s="85">
        <v>5178.8900000000003</v>
      </c>
      <c r="R2452" s="82" t="s">
        <v>3396</v>
      </c>
      <c r="S2452" s="7">
        <f t="shared" si="115"/>
        <v>0</v>
      </c>
      <c r="T2452" s="6">
        <f t="shared" si="116"/>
        <v>0</v>
      </c>
      <c r="U2452" s="25">
        <f t="shared" si="114"/>
        <v>0</v>
      </c>
    </row>
    <row r="2453" spans="1:21" ht="10.9" customHeight="1" x14ac:dyDescent="0.2">
      <c r="A2453" s="82" t="s">
        <v>3297</v>
      </c>
      <c r="B2453" s="83">
        <v>45957</v>
      </c>
      <c r="C2453" s="82" t="s">
        <v>3395</v>
      </c>
      <c r="D2453" s="82" t="s">
        <v>380</v>
      </c>
      <c r="E2453" s="82"/>
      <c r="F2453" s="82" t="s">
        <v>4425</v>
      </c>
      <c r="G2453" s="89">
        <v>1</v>
      </c>
      <c r="H2453" s="89">
        <v>1149.06</v>
      </c>
      <c r="I2453" s="85">
        <v>0</v>
      </c>
      <c r="J2453" s="85">
        <v>57.45</v>
      </c>
      <c r="K2453" s="85">
        <v>1206.51</v>
      </c>
      <c r="L2453" s="85">
        <v>5178.8900000000003</v>
      </c>
      <c r="M2453" s="89">
        <v>1149.06</v>
      </c>
      <c r="N2453" s="85">
        <v>0</v>
      </c>
      <c r="O2453" s="85">
        <v>57.45</v>
      </c>
      <c r="P2453" s="85">
        <v>1206.51</v>
      </c>
      <c r="Q2453" s="85">
        <v>5178.8900000000003</v>
      </c>
      <c r="R2453" s="82" t="s">
        <v>3396</v>
      </c>
      <c r="S2453" s="7">
        <f t="shared" si="115"/>
        <v>0</v>
      </c>
      <c r="T2453" s="6">
        <f t="shared" si="116"/>
        <v>0</v>
      </c>
      <c r="U2453" s="25">
        <f t="shared" si="114"/>
        <v>0</v>
      </c>
    </row>
    <row r="2454" spans="1:21" ht="10.9" customHeight="1" x14ac:dyDescent="0.2">
      <c r="A2454" s="82" t="s">
        <v>3297</v>
      </c>
      <c r="B2454" s="83">
        <v>45957</v>
      </c>
      <c r="C2454" s="82" t="s">
        <v>3395</v>
      </c>
      <c r="D2454" s="82" t="s">
        <v>380</v>
      </c>
      <c r="E2454" s="82"/>
      <c r="F2454" s="82" t="s">
        <v>4424</v>
      </c>
      <c r="G2454" s="89">
        <v>1</v>
      </c>
      <c r="H2454" s="89">
        <v>1233.2</v>
      </c>
      <c r="I2454" s="85">
        <v>0</v>
      </c>
      <c r="J2454" s="85">
        <v>61.66</v>
      </c>
      <c r="K2454" s="85">
        <v>1294.8599999999999</v>
      </c>
      <c r="L2454" s="85">
        <v>5178.8900000000003</v>
      </c>
      <c r="M2454" s="89">
        <v>1233.2</v>
      </c>
      <c r="N2454" s="85">
        <v>0</v>
      </c>
      <c r="O2454" s="85">
        <v>61.66</v>
      </c>
      <c r="P2454" s="85">
        <v>1294.8599999999999</v>
      </c>
      <c r="Q2454" s="85">
        <v>5178.8900000000003</v>
      </c>
      <c r="R2454" s="82" t="s">
        <v>3396</v>
      </c>
      <c r="S2454" s="7">
        <f t="shared" si="115"/>
        <v>0</v>
      </c>
      <c r="T2454" s="6">
        <f t="shared" si="116"/>
        <v>0</v>
      </c>
      <c r="U2454" s="25">
        <f t="shared" si="114"/>
        <v>0</v>
      </c>
    </row>
    <row r="2455" spans="1:21" ht="10.9" customHeight="1" x14ac:dyDescent="0.2">
      <c r="A2455" s="82" t="s">
        <v>3297</v>
      </c>
      <c r="B2455" s="83">
        <v>45957</v>
      </c>
      <c r="C2455" s="82" t="s">
        <v>3395</v>
      </c>
      <c r="D2455" s="82" t="s">
        <v>380</v>
      </c>
      <c r="E2455" s="82"/>
      <c r="F2455" s="82" t="s">
        <v>4686</v>
      </c>
      <c r="G2455" s="89">
        <v>1</v>
      </c>
      <c r="H2455" s="89">
        <v>152.13</v>
      </c>
      <c r="I2455" s="85">
        <v>0</v>
      </c>
      <c r="J2455" s="85">
        <v>7.61</v>
      </c>
      <c r="K2455" s="85">
        <v>159.74</v>
      </c>
      <c r="L2455" s="85">
        <v>5178.8900000000003</v>
      </c>
      <c r="M2455" s="89">
        <v>152.13</v>
      </c>
      <c r="N2455" s="85">
        <v>0</v>
      </c>
      <c r="O2455" s="85">
        <v>7.61</v>
      </c>
      <c r="P2455" s="85">
        <v>159.74</v>
      </c>
      <c r="Q2455" s="85">
        <v>5178.8900000000003</v>
      </c>
      <c r="R2455" s="82" t="s">
        <v>3396</v>
      </c>
      <c r="S2455" s="7">
        <f t="shared" si="115"/>
        <v>0</v>
      </c>
      <c r="T2455" s="6">
        <f t="shared" si="116"/>
        <v>0</v>
      </c>
      <c r="U2455" s="25">
        <f t="shared" si="114"/>
        <v>0</v>
      </c>
    </row>
    <row r="2456" spans="1:21" ht="10.9" customHeight="1" x14ac:dyDescent="0.2">
      <c r="A2456" s="82" t="s">
        <v>3297</v>
      </c>
      <c r="B2456" s="83">
        <v>45957</v>
      </c>
      <c r="C2456" s="82" t="s">
        <v>3395</v>
      </c>
      <c r="D2456" s="82" t="s">
        <v>380</v>
      </c>
      <c r="E2456" s="82"/>
      <c r="F2456" s="82" t="s">
        <v>4685</v>
      </c>
      <c r="G2456" s="89">
        <v>1</v>
      </c>
      <c r="H2456" s="89">
        <v>1180.7</v>
      </c>
      <c r="I2456" s="85">
        <v>0</v>
      </c>
      <c r="J2456" s="85">
        <v>59.04</v>
      </c>
      <c r="K2456" s="85">
        <v>1239.74</v>
      </c>
      <c r="L2456" s="85">
        <v>5178.8900000000003</v>
      </c>
      <c r="M2456" s="89">
        <v>1180.7</v>
      </c>
      <c r="N2456" s="85">
        <v>0</v>
      </c>
      <c r="O2456" s="85">
        <v>59.04</v>
      </c>
      <c r="P2456" s="85">
        <v>1239.74</v>
      </c>
      <c r="Q2456" s="85">
        <v>5178.8900000000003</v>
      </c>
      <c r="R2456" s="82" t="s">
        <v>3396</v>
      </c>
      <c r="S2456" s="7">
        <f t="shared" si="115"/>
        <v>0</v>
      </c>
      <c r="T2456" s="6">
        <f t="shared" si="116"/>
        <v>0</v>
      </c>
      <c r="U2456" s="25">
        <f t="shared" si="114"/>
        <v>0</v>
      </c>
    </row>
    <row r="2457" spans="1:21" ht="10.9" customHeight="1" x14ac:dyDescent="0.2">
      <c r="A2457" s="82" t="s">
        <v>4650</v>
      </c>
      <c r="B2457" s="83">
        <v>45958</v>
      </c>
      <c r="C2457" s="82" t="s">
        <v>3398</v>
      </c>
      <c r="D2457" s="82"/>
      <c r="E2457" s="82"/>
      <c r="F2457" s="90" t="s">
        <v>4649</v>
      </c>
      <c r="G2457" s="89">
        <v>-1</v>
      </c>
      <c r="H2457" s="89">
        <v>989.5</v>
      </c>
      <c r="I2457" s="85">
        <v>0</v>
      </c>
      <c r="J2457" s="85">
        <v>0</v>
      </c>
      <c r="K2457" s="85">
        <v>-989.5</v>
      </c>
      <c r="L2457" s="85">
        <v>-989.5</v>
      </c>
      <c r="M2457" s="89">
        <v>1378.7597154139623</v>
      </c>
      <c r="N2457" s="85">
        <v>0</v>
      </c>
      <c r="O2457" s="85">
        <v>0</v>
      </c>
      <c r="P2457" s="85">
        <v>-1378.7597154139623</v>
      </c>
      <c r="Q2457" s="85">
        <v>-1378.7597154139623</v>
      </c>
      <c r="R2457" s="82" t="s">
        <v>4511</v>
      </c>
      <c r="S2457" s="7">
        <f t="shared" si="115"/>
        <v>0</v>
      </c>
      <c r="T2457" s="6">
        <f t="shared" si="116"/>
        <v>0</v>
      </c>
      <c r="U2457" s="25">
        <f t="shared" si="114"/>
        <v>0</v>
      </c>
    </row>
    <row r="2458" spans="1:21" ht="10.9" customHeight="1" x14ac:dyDescent="0.2">
      <c r="A2458" s="82" t="s">
        <v>3168</v>
      </c>
      <c r="B2458" s="83">
        <v>45958</v>
      </c>
      <c r="C2458" s="82" t="s">
        <v>3395</v>
      </c>
      <c r="D2458" s="82" t="s">
        <v>675</v>
      </c>
      <c r="E2458" s="82"/>
      <c r="F2458" s="82" t="s">
        <v>4667</v>
      </c>
      <c r="G2458" s="89">
        <v>1</v>
      </c>
      <c r="H2458" s="89">
        <v>253.27</v>
      </c>
      <c r="I2458" s="85">
        <v>0</v>
      </c>
      <c r="J2458" s="85">
        <v>0</v>
      </c>
      <c r="K2458" s="85">
        <v>253.27</v>
      </c>
      <c r="L2458" s="85">
        <v>323.24</v>
      </c>
      <c r="M2458" s="89">
        <v>352.90396475279863</v>
      </c>
      <c r="N2458" s="85">
        <v>0</v>
      </c>
      <c r="O2458" s="85">
        <v>0</v>
      </c>
      <c r="P2458" s="85">
        <v>352.90396475279863</v>
      </c>
      <c r="Q2458" s="85">
        <v>450.39948500294003</v>
      </c>
      <c r="R2458" s="82" t="s">
        <v>3396</v>
      </c>
      <c r="S2458" s="7">
        <f t="shared" si="115"/>
        <v>0</v>
      </c>
      <c r="T2458" s="6">
        <f t="shared" si="116"/>
        <v>0</v>
      </c>
      <c r="U2458" s="25">
        <f t="shared" si="114"/>
        <v>0</v>
      </c>
    </row>
    <row r="2459" spans="1:21" ht="10.9" customHeight="1" x14ac:dyDescent="0.2">
      <c r="A2459" s="82" t="s">
        <v>3168</v>
      </c>
      <c r="B2459" s="83">
        <v>45958</v>
      </c>
      <c r="C2459" s="82" t="s">
        <v>3395</v>
      </c>
      <c r="D2459" s="82" t="s">
        <v>675</v>
      </c>
      <c r="E2459" s="82"/>
      <c r="F2459" s="82" t="s">
        <v>4459</v>
      </c>
      <c r="G2459" s="89">
        <v>1</v>
      </c>
      <c r="H2459" s="89">
        <v>69.97</v>
      </c>
      <c r="I2459" s="85">
        <v>0</v>
      </c>
      <c r="J2459" s="85">
        <v>0</v>
      </c>
      <c r="K2459" s="85">
        <v>69.97</v>
      </c>
      <c r="L2459" s="85">
        <v>323.24</v>
      </c>
      <c r="M2459" s="89">
        <v>97.495520250141425</v>
      </c>
      <c r="N2459" s="85">
        <v>0</v>
      </c>
      <c r="O2459" s="85">
        <v>0</v>
      </c>
      <c r="P2459" s="85">
        <v>97.495520250141425</v>
      </c>
      <c r="Q2459" s="85">
        <v>450.39948500294003</v>
      </c>
      <c r="R2459" s="82" t="s">
        <v>3396</v>
      </c>
      <c r="S2459" s="7" t="str">
        <f t="shared" si="115"/>
        <v>INV13552</v>
      </c>
      <c r="T2459" s="6">
        <f t="shared" si="116"/>
        <v>1</v>
      </c>
      <c r="U2459" s="25">
        <f t="shared" si="114"/>
        <v>69.97</v>
      </c>
    </row>
    <row r="2460" spans="1:21" ht="10.9" customHeight="1" x14ac:dyDescent="0.2">
      <c r="A2460" s="82" t="s">
        <v>3229</v>
      </c>
      <c r="B2460" s="83">
        <v>45958</v>
      </c>
      <c r="C2460" s="82" t="s">
        <v>3395</v>
      </c>
      <c r="D2460" s="82" t="s">
        <v>545</v>
      </c>
      <c r="E2460" s="82"/>
      <c r="F2460" s="82" t="s">
        <v>4666</v>
      </c>
      <c r="G2460" s="89">
        <v>2</v>
      </c>
      <c r="H2460" s="89">
        <v>456.46</v>
      </c>
      <c r="I2460" s="85">
        <v>0</v>
      </c>
      <c r="J2460" s="85">
        <v>0</v>
      </c>
      <c r="K2460" s="85">
        <v>912.92</v>
      </c>
      <c r="L2460" s="85">
        <v>1044.08</v>
      </c>
      <c r="M2460" s="89">
        <v>636.02694259510588</v>
      </c>
      <c r="N2460" s="85">
        <v>0</v>
      </c>
      <c r="O2460" s="85">
        <v>0</v>
      </c>
      <c r="P2460" s="85">
        <v>1272.0538851902118</v>
      </c>
      <c r="Q2460" s="85">
        <v>1454.8109587361394</v>
      </c>
      <c r="R2460" s="82" t="s">
        <v>3396</v>
      </c>
      <c r="S2460" s="7">
        <f t="shared" si="115"/>
        <v>0</v>
      </c>
      <c r="T2460" s="6">
        <f t="shared" si="116"/>
        <v>0</v>
      </c>
      <c r="U2460" s="25">
        <f t="shared" si="114"/>
        <v>0</v>
      </c>
    </row>
    <row r="2461" spans="1:21" ht="10.9" customHeight="1" x14ac:dyDescent="0.2">
      <c r="A2461" s="82" t="s">
        <v>3229</v>
      </c>
      <c r="B2461" s="83">
        <v>45958</v>
      </c>
      <c r="C2461" s="82" t="s">
        <v>3395</v>
      </c>
      <c r="D2461" s="82" t="s">
        <v>545</v>
      </c>
      <c r="E2461" s="82"/>
      <c r="F2461" s="82" t="s">
        <v>4459</v>
      </c>
      <c r="G2461" s="89">
        <v>1</v>
      </c>
      <c r="H2461" s="89">
        <v>131.16</v>
      </c>
      <c r="I2461" s="85">
        <v>0</v>
      </c>
      <c r="J2461" s="85">
        <v>0</v>
      </c>
      <c r="K2461" s="85">
        <v>131.16</v>
      </c>
      <c r="L2461" s="85">
        <v>1044.08</v>
      </c>
      <c r="M2461" s="89">
        <v>182.75707354592754</v>
      </c>
      <c r="N2461" s="85">
        <v>0</v>
      </c>
      <c r="O2461" s="85">
        <v>0</v>
      </c>
      <c r="P2461" s="85">
        <v>182.75707354592754</v>
      </c>
      <c r="Q2461" s="85">
        <v>1454.8109587361394</v>
      </c>
      <c r="R2461" s="82" t="s">
        <v>3396</v>
      </c>
      <c r="S2461" s="7" t="str">
        <f t="shared" si="115"/>
        <v>INV13553</v>
      </c>
      <c r="T2461" s="6">
        <f t="shared" si="116"/>
        <v>1</v>
      </c>
      <c r="U2461" s="25">
        <f t="shared" si="114"/>
        <v>131.16</v>
      </c>
    </row>
    <row r="2462" spans="1:21" ht="10.9" customHeight="1" x14ac:dyDescent="0.2">
      <c r="A2462" s="82" t="s">
        <v>3305</v>
      </c>
      <c r="B2462" s="83">
        <v>45958</v>
      </c>
      <c r="C2462" s="82" t="s">
        <v>3395</v>
      </c>
      <c r="D2462" s="82" t="s">
        <v>355</v>
      </c>
      <c r="E2462" s="82"/>
      <c r="F2462" s="82" t="s">
        <v>4447</v>
      </c>
      <c r="G2462" s="89">
        <v>4</v>
      </c>
      <c r="H2462" s="89">
        <v>25.68</v>
      </c>
      <c r="I2462" s="85">
        <v>0</v>
      </c>
      <c r="J2462" s="85">
        <v>0</v>
      </c>
      <c r="K2462" s="85">
        <v>102.72</v>
      </c>
      <c r="L2462" s="85">
        <v>6834.6</v>
      </c>
      <c r="M2462" s="89">
        <v>35.782263256018751</v>
      </c>
      <c r="N2462" s="85">
        <v>0</v>
      </c>
      <c r="O2462" s="85">
        <v>0</v>
      </c>
      <c r="P2462" s="85">
        <v>143.12905302407501</v>
      </c>
      <c r="Q2462" s="85">
        <v>9523.2654380679814</v>
      </c>
      <c r="R2462" s="82" t="s">
        <v>3396</v>
      </c>
      <c r="S2462" s="7">
        <f t="shared" si="115"/>
        <v>0</v>
      </c>
      <c r="T2462" s="6">
        <f t="shared" si="116"/>
        <v>0</v>
      </c>
      <c r="U2462" s="25">
        <f t="shared" si="114"/>
        <v>0</v>
      </c>
    </row>
    <row r="2463" spans="1:21" ht="10.9" customHeight="1" x14ac:dyDescent="0.2">
      <c r="A2463" s="82" t="s">
        <v>3305</v>
      </c>
      <c r="B2463" s="83">
        <v>45958</v>
      </c>
      <c r="C2463" s="82" t="s">
        <v>3395</v>
      </c>
      <c r="D2463" s="82" t="s">
        <v>355</v>
      </c>
      <c r="E2463" s="82"/>
      <c r="F2463" s="82" t="s">
        <v>4665</v>
      </c>
      <c r="G2463" s="89">
        <v>2</v>
      </c>
      <c r="H2463" s="89">
        <v>264.83</v>
      </c>
      <c r="I2463" s="85">
        <v>0</v>
      </c>
      <c r="J2463" s="85">
        <v>0</v>
      </c>
      <c r="K2463" s="85">
        <v>529.66</v>
      </c>
      <c r="L2463" s="85">
        <v>6834.6</v>
      </c>
      <c r="M2463" s="89">
        <v>369.01155677926187</v>
      </c>
      <c r="N2463" s="85">
        <v>0</v>
      </c>
      <c r="O2463" s="85">
        <v>0</v>
      </c>
      <c r="P2463" s="85">
        <v>738.02311355852373</v>
      </c>
      <c r="Q2463" s="85">
        <v>9523.2654380679814</v>
      </c>
      <c r="R2463" s="82" t="s">
        <v>3396</v>
      </c>
      <c r="S2463" s="7">
        <f t="shared" si="115"/>
        <v>0</v>
      </c>
      <c r="T2463" s="6">
        <f t="shared" si="116"/>
        <v>0</v>
      </c>
      <c r="U2463" s="25">
        <f t="shared" si="114"/>
        <v>0</v>
      </c>
    </row>
    <row r="2464" spans="1:21" ht="10.9" customHeight="1" x14ac:dyDescent="0.2">
      <c r="A2464" s="82" t="s">
        <v>3305</v>
      </c>
      <c r="B2464" s="83">
        <v>45958</v>
      </c>
      <c r="C2464" s="82" t="s">
        <v>3395</v>
      </c>
      <c r="D2464" s="82" t="s">
        <v>355</v>
      </c>
      <c r="E2464" s="82"/>
      <c r="F2464" s="82" t="s">
        <v>4664</v>
      </c>
      <c r="G2464" s="89">
        <v>1</v>
      </c>
      <c r="H2464" s="89">
        <v>367.87</v>
      </c>
      <c r="I2464" s="85">
        <v>0</v>
      </c>
      <c r="J2464" s="85">
        <v>0</v>
      </c>
      <c r="K2464" s="85">
        <v>367.87</v>
      </c>
      <c r="L2464" s="85">
        <v>6834.6</v>
      </c>
      <c r="M2464" s="89">
        <v>512.58649470372347</v>
      </c>
      <c r="N2464" s="85">
        <v>0</v>
      </c>
      <c r="O2464" s="85">
        <v>0</v>
      </c>
      <c r="P2464" s="85">
        <v>512.58649470372347</v>
      </c>
      <c r="Q2464" s="85">
        <v>9523.2654380679814</v>
      </c>
      <c r="R2464" s="82" t="s">
        <v>3396</v>
      </c>
      <c r="S2464" s="7">
        <f t="shared" si="115"/>
        <v>0</v>
      </c>
      <c r="T2464" s="6">
        <f t="shared" si="116"/>
        <v>0</v>
      </c>
      <c r="U2464" s="25">
        <f t="shared" si="114"/>
        <v>0</v>
      </c>
    </row>
    <row r="2465" spans="1:21" ht="10.9" customHeight="1" x14ac:dyDescent="0.2">
      <c r="A2465" s="82" t="s">
        <v>3305</v>
      </c>
      <c r="B2465" s="83">
        <v>45958</v>
      </c>
      <c r="C2465" s="82" t="s">
        <v>3395</v>
      </c>
      <c r="D2465" s="82" t="s">
        <v>355</v>
      </c>
      <c r="E2465" s="82"/>
      <c r="F2465" s="82" t="s">
        <v>4663</v>
      </c>
      <c r="G2465" s="89">
        <v>1</v>
      </c>
      <c r="H2465" s="89">
        <v>3111.45</v>
      </c>
      <c r="I2465" s="85">
        <v>0</v>
      </c>
      <c r="J2465" s="85">
        <v>0</v>
      </c>
      <c r="K2465" s="85">
        <v>3111.45</v>
      </c>
      <c r="L2465" s="85">
        <v>6834.6</v>
      </c>
      <c r="M2465" s="89">
        <v>4335.4642915864306</v>
      </c>
      <c r="N2465" s="85">
        <v>0</v>
      </c>
      <c r="O2465" s="85">
        <v>0</v>
      </c>
      <c r="P2465" s="85">
        <v>4335.4642915864306</v>
      </c>
      <c r="Q2465" s="85">
        <v>9523.2654380679814</v>
      </c>
      <c r="R2465" s="82" t="s">
        <v>3396</v>
      </c>
      <c r="S2465" s="7">
        <f t="shared" si="115"/>
        <v>0</v>
      </c>
      <c r="T2465" s="6">
        <f t="shared" si="116"/>
        <v>0</v>
      </c>
      <c r="U2465" s="25">
        <f t="shared" si="114"/>
        <v>0</v>
      </c>
    </row>
    <row r="2466" spans="1:21" ht="10.9" customHeight="1" x14ac:dyDescent="0.2">
      <c r="A2466" s="82" t="s">
        <v>3305</v>
      </c>
      <c r="B2466" s="83">
        <v>45958</v>
      </c>
      <c r="C2466" s="82" t="s">
        <v>3395</v>
      </c>
      <c r="D2466" s="82" t="s">
        <v>355</v>
      </c>
      <c r="E2466" s="82"/>
      <c r="F2466" s="82" t="s">
        <v>4662</v>
      </c>
      <c r="G2466" s="89">
        <v>2</v>
      </c>
      <c r="H2466" s="89">
        <v>48.15</v>
      </c>
      <c r="I2466" s="85">
        <v>0</v>
      </c>
      <c r="J2466" s="85">
        <v>0</v>
      </c>
      <c r="K2466" s="85">
        <v>96.3</v>
      </c>
      <c r="L2466" s="85">
        <v>6834.6</v>
      </c>
      <c r="M2466" s="89">
        <v>67.091743605035148</v>
      </c>
      <c r="N2466" s="85">
        <v>0</v>
      </c>
      <c r="O2466" s="85">
        <v>0</v>
      </c>
      <c r="P2466" s="85">
        <v>134.1834872100703</v>
      </c>
      <c r="Q2466" s="85">
        <v>9523.2654380679814</v>
      </c>
      <c r="R2466" s="82" t="s">
        <v>3396</v>
      </c>
      <c r="S2466" s="7">
        <f t="shared" si="115"/>
        <v>0</v>
      </c>
      <c r="T2466" s="6">
        <f t="shared" si="116"/>
        <v>0</v>
      </c>
      <c r="U2466" s="25">
        <f t="shared" si="114"/>
        <v>0</v>
      </c>
    </row>
    <row r="2467" spans="1:21" ht="10.9" customHeight="1" x14ac:dyDescent="0.2">
      <c r="A2467" s="82" t="s">
        <v>3305</v>
      </c>
      <c r="B2467" s="83">
        <v>45958</v>
      </c>
      <c r="C2467" s="82" t="s">
        <v>3395</v>
      </c>
      <c r="D2467" s="82" t="s">
        <v>355</v>
      </c>
      <c r="E2467" s="82"/>
      <c r="F2467" s="82" t="s">
        <v>4661</v>
      </c>
      <c r="G2467" s="89">
        <v>4</v>
      </c>
      <c r="H2467" s="89">
        <v>298.52999999999997</v>
      </c>
      <c r="I2467" s="85">
        <v>0</v>
      </c>
      <c r="J2467" s="85">
        <v>0</v>
      </c>
      <c r="K2467" s="85">
        <v>1194.1199999999999</v>
      </c>
      <c r="L2467" s="85">
        <v>6834.6</v>
      </c>
      <c r="M2467" s="89">
        <v>415.96881035121794</v>
      </c>
      <c r="N2467" s="85">
        <v>0</v>
      </c>
      <c r="O2467" s="85">
        <v>0</v>
      </c>
      <c r="P2467" s="85">
        <v>1663.8752414048718</v>
      </c>
      <c r="Q2467" s="85">
        <v>9523.2654380679814</v>
      </c>
      <c r="R2467" s="82" t="s">
        <v>3396</v>
      </c>
      <c r="S2467" s="7">
        <f t="shared" si="115"/>
        <v>0</v>
      </c>
      <c r="T2467" s="6">
        <f t="shared" si="116"/>
        <v>0</v>
      </c>
      <c r="U2467" s="25">
        <f t="shared" si="114"/>
        <v>0</v>
      </c>
    </row>
    <row r="2468" spans="1:21" ht="10.9" customHeight="1" x14ac:dyDescent="0.2">
      <c r="A2468" s="82" t="s">
        <v>3305</v>
      </c>
      <c r="B2468" s="83">
        <v>45958</v>
      </c>
      <c r="C2468" s="82" t="s">
        <v>3395</v>
      </c>
      <c r="D2468" s="82" t="s">
        <v>355</v>
      </c>
      <c r="E2468" s="82"/>
      <c r="F2468" s="82" t="s">
        <v>4660</v>
      </c>
      <c r="G2468" s="89">
        <v>3</v>
      </c>
      <c r="H2468" s="89">
        <v>125.19</v>
      </c>
      <c r="I2468" s="85">
        <v>0</v>
      </c>
      <c r="J2468" s="85">
        <v>0</v>
      </c>
      <c r="K2468" s="85">
        <v>375.57</v>
      </c>
      <c r="L2468" s="85">
        <v>6834.6</v>
      </c>
      <c r="M2468" s="89">
        <v>174.43853337309142</v>
      </c>
      <c r="N2468" s="85">
        <v>0</v>
      </c>
      <c r="O2468" s="85">
        <v>0</v>
      </c>
      <c r="P2468" s="85">
        <v>523.31560011927422</v>
      </c>
      <c r="Q2468" s="85">
        <v>9523.2654380679814</v>
      </c>
      <c r="R2468" s="82" t="s">
        <v>3396</v>
      </c>
      <c r="S2468" s="7">
        <f t="shared" si="115"/>
        <v>0</v>
      </c>
      <c r="T2468" s="6">
        <f t="shared" si="116"/>
        <v>0</v>
      </c>
      <c r="U2468" s="25">
        <f t="shared" si="114"/>
        <v>0</v>
      </c>
    </row>
    <row r="2469" spans="1:21" ht="10.9" customHeight="1" x14ac:dyDescent="0.2">
      <c r="A2469" s="82" t="s">
        <v>3305</v>
      </c>
      <c r="B2469" s="83">
        <v>45958</v>
      </c>
      <c r="C2469" s="82" t="s">
        <v>3395</v>
      </c>
      <c r="D2469" s="82" t="s">
        <v>355</v>
      </c>
      <c r="E2469" s="82"/>
      <c r="F2469" s="82" t="s">
        <v>4659</v>
      </c>
      <c r="G2469" s="89">
        <v>8</v>
      </c>
      <c r="H2469" s="89">
        <v>42.8</v>
      </c>
      <c r="I2469" s="85">
        <v>0</v>
      </c>
      <c r="J2469" s="85">
        <v>0</v>
      </c>
      <c r="K2469" s="85">
        <v>342.4</v>
      </c>
      <c r="L2469" s="85">
        <v>6834.6</v>
      </c>
      <c r="M2469" s="89">
        <v>59.637105426697914</v>
      </c>
      <c r="N2469" s="85">
        <v>0</v>
      </c>
      <c r="O2469" s="85">
        <v>0</v>
      </c>
      <c r="P2469" s="85">
        <v>477.09684341358331</v>
      </c>
      <c r="Q2469" s="85">
        <v>9523.2654380679814</v>
      </c>
      <c r="R2469" s="82" t="s">
        <v>3396</v>
      </c>
      <c r="S2469" s="7">
        <f t="shared" si="115"/>
        <v>0</v>
      </c>
      <c r="T2469" s="6">
        <f t="shared" si="116"/>
        <v>0</v>
      </c>
      <c r="U2469" s="25">
        <f t="shared" si="114"/>
        <v>0</v>
      </c>
    </row>
    <row r="2470" spans="1:21" ht="10.9" customHeight="1" x14ac:dyDescent="0.2">
      <c r="A2470" s="82" t="s">
        <v>3305</v>
      </c>
      <c r="B2470" s="83">
        <v>45958</v>
      </c>
      <c r="C2470" s="82" t="s">
        <v>3395</v>
      </c>
      <c r="D2470" s="82" t="s">
        <v>355</v>
      </c>
      <c r="E2470" s="82"/>
      <c r="F2470" s="82" t="s">
        <v>4658</v>
      </c>
      <c r="G2470" s="89">
        <v>1</v>
      </c>
      <c r="H2470" s="89">
        <v>42.8</v>
      </c>
      <c r="I2470" s="85">
        <v>0</v>
      </c>
      <c r="J2470" s="85">
        <v>0</v>
      </c>
      <c r="K2470" s="85">
        <v>42.8</v>
      </c>
      <c r="L2470" s="85">
        <v>6834.6</v>
      </c>
      <c r="M2470" s="89">
        <v>59.637105426697914</v>
      </c>
      <c r="N2470" s="85">
        <v>0</v>
      </c>
      <c r="O2470" s="85">
        <v>0</v>
      </c>
      <c r="P2470" s="85">
        <v>59.637105426697914</v>
      </c>
      <c r="Q2470" s="85">
        <v>9523.2654380679814</v>
      </c>
      <c r="R2470" s="82" t="s">
        <v>3396</v>
      </c>
      <c r="S2470" s="7">
        <f t="shared" si="115"/>
        <v>0</v>
      </c>
      <c r="T2470" s="6">
        <f t="shared" si="116"/>
        <v>0</v>
      </c>
      <c r="U2470" s="25">
        <f t="shared" si="114"/>
        <v>0</v>
      </c>
    </row>
    <row r="2471" spans="1:21" ht="10.9" customHeight="1" x14ac:dyDescent="0.2">
      <c r="A2471" s="82" t="s">
        <v>3305</v>
      </c>
      <c r="B2471" s="83">
        <v>45958</v>
      </c>
      <c r="C2471" s="82" t="s">
        <v>3395</v>
      </c>
      <c r="D2471" s="82" t="s">
        <v>355</v>
      </c>
      <c r="E2471" s="82"/>
      <c r="F2471" s="82" t="s">
        <v>4657</v>
      </c>
      <c r="G2471" s="89">
        <v>1</v>
      </c>
      <c r="H2471" s="89">
        <v>274.45999999999998</v>
      </c>
      <c r="I2471" s="85">
        <v>0</v>
      </c>
      <c r="J2471" s="85">
        <v>0</v>
      </c>
      <c r="K2471" s="85">
        <v>274.45999999999998</v>
      </c>
      <c r="L2471" s="85">
        <v>6834.6</v>
      </c>
      <c r="M2471" s="89">
        <v>382.42990550026894</v>
      </c>
      <c r="N2471" s="85">
        <v>0</v>
      </c>
      <c r="O2471" s="85">
        <v>0</v>
      </c>
      <c r="P2471" s="85">
        <v>382.42990550026894</v>
      </c>
      <c r="Q2471" s="85">
        <v>9523.2654380679814</v>
      </c>
      <c r="R2471" s="82" t="s">
        <v>3396</v>
      </c>
      <c r="S2471" s="7">
        <f t="shared" si="115"/>
        <v>0</v>
      </c>
      <c r="T2471" s="6">
        <f t="shared" si="116"/>
        <v>0</v>
      </c>
      <c r="U2471" s="25">
        <f t="shared" si="114"/>
        <v>0</v>
      </c>
    </row>
    <row r="2472" spans="1:21" ht="10.9" customHeight="1" x14ac:dyDescent="0.2">
      <c r="A2472" s="82" t="s">
        <v>3305</v>
      </c>
      <c r="B2472" s="83">
        <v>45958</v>
      </c>
      <c r="C2472" s="82" t="s">
        <v>3395</v>
      </c>
      <c r="D2472" s="82" t="s">
        <v>355</v>
      </c>
      <c r="E2472" s="82"/>
      <c r="F2472" s="82" t="s">
        <v>4459</v>
      </c>
      <c r="G2472" s="89">
        <v>1</v>
      </c>
      <c r="H2472" s="89">
        <v>397.25</v>
      </c>
      <c r="I2472" s="85">
        <v>0</v>
      </c>
      <c r="J2472" s="85">
        <v>0</v>
      </c>
      <c r="K2472" s="85">
        <v>397.25</v>
      </c>
      <c r="L2472" s="85">
        <v>6834.6</v>
      </c>
      <c r="M2472" s="89">
        <v>553.52430212046136</v>
      </c>
      <c r="N2472" s="85">
        <v>0</v>
      </c>
      <c r="O2472" s="85">
        <v>0</v>
      </c>
      <c r="P2472" s="85">
        <v>553.52430212046136</v>
      </c>
      <c r="Q2472" s="85">
        <v>9523.2654380679814</v>
      </c>
      <c r="R2472" s="82" t="s">
        <v>3396</v>
      </c>
      <c r="S2472" s="7" t="str">
        <f t="shared" si="115"/>
        <v>INV13554</v>
      </c>
      <c r="T2472" s="6">
        <f t="shared" si="116"/>
        <v>1</v>
      </c>
      <c r="U2472" s="25">
        <f t="shared" si="114"/>
        <v>397.25</v>
      </c>
    </row>
    <row r="2473" spans="1:21" ht="10.9" customHeight="1" x14ac:dyDescent="0.2">
      <c r="A2473" s="82" t="s">
        <v>3071</v>
      </c>
      <c r="B2473" s="83">
        <v>45958</v>
      </c>
      <c r="C2473" s="82" t="s">
        <v>3395</v>
      </c>
      <c r="D2473" s="82" t="s">
        <v>868</v>
      </c>
      <c r="E2473" s="82"/>
      <c r="F2473" s="82" t="s">
        <v>4668</v>
      </c>
      <c r="G2473" s="89">
        <v>1</v>
      </c>
      <c r="H2473" s="89">
        <v>348.55</v>
      </c>
      <c r="I2473" s="85">
        <v>0</v>
      </c>
      <c r="J2473" s="85">
        <v>0</v>
      </c>
      <c r="K2473" s="85">
        <v>348.55</v>
      </c>
      <c r="L2473" s="85">
        <v>348.55</v>
      </c>
      <c r="M2473" s="89">
        <v>485.95532640777861</v>
      </c>
      <c r="N2473" s="85">
        <v>0</v>
      </c>
      <c r="O2473" s="85">
        <v>0</v>
      </c>
      <c r="P2473" s="85">
        <v>485.95532640777861</v>
      </c>
      <c r="Q2473" s="85">
        <v>485.95532640777861</v>
      </c>
      <c r="R2473" s="82" t="s">
        <v>3399</v>
      </c>
      <c r="S2473" s="7">
        <f t="shared" si="115"/>
        <v>0</v>
      </c>
      <c r="T2473" s="6">
        <f t="shared" si="116"/>
        <v>0</v>
      </c>
      <c r="U2473" s="25">
        <f t="shared" si="114"/>
        <v>0</v>
      </c>
    </row>
    <row r="2474" spans="1:21" ht="10.9" customHeight="1" x14ac:dyDescent="0.2">
      <c r="A2474" s="82" t="s">
        <v>3427</v>
      </c>
      <c r="B2474" s="83">
        <v>45958</v>
      </c>
      <c r="C2474" s="82" t="s">
        <v>3395</v>
      </c>
      <c r="D2474" s="82" t="s">
        <v>3425</v>
      </c>
      <c r="E2474" s="82"/>
      <c r="F2474" s="82" t="s">
        <v>4656</v>
      </c>
      <c r="G2474" s="89">
        <v>1</v>
      </c>
      <c r="H2474" s="89">
        <v>2877.68</v>
      </c>
      <c r="I2474" s="85">
        <v>0</v>
      </c>
      <c r="J2474" s="85">
        <v>374.1</v>
      </c>
      <c r="K2474" s="85">
        <v>3251.78</v>
      </c>
      <c r="L2474" s="85">
        <v>13120.33</v>
      </c>
      <c r="M2474" s="89">
        <v>2877.68</v>
      </c>
      <c r="N2474" s="85">
        <v>0</v>
      </c>
      <c r="O2474" s="85">
        <v>374.1</v>
      </c>
      <c r="P2474" s="85">
        <v>3251.78</v>
      </c>
      <c r="Q2474" s="85">
        <v>13120.33</v>
      </c>
      <c r="R2474" s="82" t="s">
        <v>3399</v>
      </c>
      <c r="S2474" s="7">
        <f t="shared" si="115"/>
        <v>0</v>
      </c>
      <c r="T2474" s="6">
        <f t="shared" si="116"/>
        <v>0</v>
      </c>
      <c r="U2474" s="25">
        <f t="shared" si="114"/>
        <v>0</v>
      </c>
    </row>
    <row r="2475" spans="1:21" ht="10.9" customHeight="1" x14ac:dyDescent="0.2">
      <c r="A2475" s="82" t="s">
        <v>3427</v>
      </c>
      <c r="B2475" s="83">
        <v>45958</v>
      </c>
      <c r="C2475" s="82" t="s">
        <v>3395</v>
      </c>
      <c r="D2475" s="82" t="s">
        <v>3425</v>
      </c>
      <c r="E2475" s="82"/>
      <c r="F2475" s="82" t="s">
        <v>4655</v>
      </c>
      <c r="G2475" s="89">
        <v>1</v>
      </c>
      <c r="H2475" s="89">
        <v>4342.1000000000004</v>
      </c>
      <c r="I2475" s="85">
        <v>0</v>
      </c>
      <c r="J2475" s="85">
        <v>564.47</v>
      </c>
      <c r="K2475" s="85">
        <v>4906.57</v>
      </c>
      <c r="L2475" s="85">
        <v>13120.33</v>
      </c>
      <c r="M2475" s="89">
        <v>4342.1000000000004</v>
      </c>
      <c r="N2475" s="85">
        <v>0</v>
      </c>
      <c r="O2475" s="85">
        <v>564.47</v>
      </c>
      <c r="P2475" s="85">
        <v>4906.57</v>
      </c>
      <c r="Q2475" s="85">
        <v>13120.33</v>
      </c>
      <c r="R2475" s="82" t="s">
        <v>3399</v>
      </c>
      <c r="S2475" s="7">
        <f t="shared" si="115"/>
        <v>0</v>
      </c>
      <c r="T2475" s="6">
        <f t="shared" si="116"/>
        <v>0</v>
      </c>
      <c r="U2475" s="25">
        <f t="shared" si="114"/>
        <v>0</v>
      </c>
    </row>
    <row r="2476" spans="1:21" ht="10.9" customHeight="1" x14ac:dyDescent="0.2">
      <c r="A2476" s="82" t="s">
        <v>3427</v>
      </c>
      <c r="B2476" s="83">
        <v>45958</v>
      </c>
      <c r="C2476" s="82" t="s">
        <v>3395</v>
      </c>
      <c r="D2476" s="82" t="s">
        <v>3425</v>
      </c>
      <c r="E2476" s="82"/>
      <c r="F2476" s="82" t="s">
        <v>4654</v>
      </c>
      <c r="G2476" s="89">
        <v>1</v>
      </c>
      <c r="H2476" s="89">
        <v>2396.1999999999998</v>
      </c>
      <c r="I2476" s="85">
        <v>0</v>
      </c>
      <c r="J2476" s="85">
        <v>311.51</v>
      </c>
      <c r="K2476" s="85">
        <v>2707.71</v>
      </c>
      <c r="L2476" s="85">
        <v>13120.33</v>
      </c>
      <c r="M2476" s="89">
        <v>2396.1999999999998</v>
      </c>
      <c r="N2476" s="85">
        <v>0</v>
      </c>
      <c r="O2476" s="85">
        <v>311.51</v>
      </c>
      <c r="P2476" s="85">
        <v>2707.71</v>
      </c>
      <c r="Q2476" s="85">
        <v>13120.33</v>
      </c>
      <c r="R2476" s="82" t="s">
        <v>3399</v>
      </c>
      <c r="S2476" s="7">
        <f t="shared" si="115"/>
        <v>0</v>
      </c>
      <c r="T2476" s="6">
        <f t="shared" si="116"/>
        <v>0</v>
      </c>
      <c r="U2476" s="25">
        <f t="shared" si="114"/>
        <v>0</v>
      </c>
    </row>
    <row r="2477" spans="1:21" ht="10.9" customHeight="1" x14ac:dyDescent="0.2">
      <c r="A2477" s="82" t="s">
        <v>3427</v>
      </c>
      <c r="B2477" s="83">
        <v>45958</v>
      </c>
      <c r="C2477" s="82" t="s">
        <v>3395</v>
      </c>
      <c r="D2477" s="82" t="s">
        <v>3425</v>
      </c>
      <c r="E2477" s="82"/>
      <c r="F2477" s="82" t="s">
        <v>4653</v>
      </c>
      <c r="G2477" s="89">
        <v>1</v>
      </c>
      <c r="H2477" s="89">
        <v>1454.59</v>
      </c>
      <c r="I2477" s="85">
        <v>0</v>
      </c>
      <c r="J2477" s="85">
        <v>189.1</v>
      </c>
      <c r="K2477" s="85">
        <v>1643.69</v>
      </c>
      <c r="L2477" s="85">
        <v>13120.33</v>
      </c>
      <c r="M2477" s="89">
        <v>1454.59</v>
      </c>
      <c r="N2477" s="85">
        <v>0</v>
      </c>
      <c r="O2477" s="85">
        <v>189.1</v>
      </c>
      <c r="P2477" s="85">
        <v>1643.69</v>
      </c>
      <c r="Q2477" s="85">
        <v>13120.33</v>
      </c>
      <c r="R2477" s="82" t="s">
        <v>3399</v>
      </c>
      <c r="S2477" s="7">
        <f t="shared" si="115"/>
        <v>0</v>
      </c>
      <c r="T2477" s="6">
        <f t="shared" si="116"/>
        <v>0</v>
      </c>
      <c r="U2477" s="25">
        <f t="shared" si="114"/>
        <v>0</v>
      </c>
    </row>
    <row r="2478" spans="1:21" ht="10.9" customHeight="1" x14ac:dyDescent="0.2">
      <c r="A2478" s="82" t="s">
        <v>3427</v>
      </c>
      <c r="B2478" s="83">
        <v>45958</v>
      </c>
      <c r="C2478" s="82" t="s">
        <v>3395</v>
      </c>
      <c r="D2478" s="82" t="s">
        <v>3425</v>
      </c>
      <c r="E2478" s="82"/>
      <c r="F2478" s="82" t="s">
        <v>4652</v>
      </c>
      <c r="G2478" s="89">
        <v>1</v>
      </c>
      <c r="H2478" s="89">
        <v>448.94</v>
      </c>
      <c r="I2478" s="85">
        <v>0</v>
      </c>
      <c r="J2478" s="85">
        <v>58.36</v>
      </c>
      <c r="K2478" s="85">
        <v>507.3</v>
      </c>
      <c r="L2478" s="85">
        <v>13120.33</v>
      </c>
      <c r="M2478" s="89">
        <v>448.94</v>
      </c>
      <c r="N2478" s="85">
        <v>0</v>
      </c>
      <c r="O2478" s="85">
        <v>58.36</v>
      </c>
      <c r="P2478" s="85">
        <v>507.3</v>
      </c>
      <c r="Q2478" s="85">
        <v>13120.33</v>
      </c>
      <c r="R2478" s="82" t="s">
        <v>3399</v>
      </c>
      <c r="S2478" s="7">
        <f t="shared" si="115"/>
        <v>0</v>
      </c>
      <c r="T2478" s="6">
        <f t="shared" si="116"/>
        <v>0</v>
      </c>
      <c r="U2478" s="25">
        <f t="shared" si="114"/>
        <v>0</v>
      </c>
    </row>
    <row r="2479" spans="1:21" ht="10.9" customHeight="1" x14ac:dyDescent="0.2">
      <c r="A2479" s="82" t="s">
        <v>3427</v>
      </c>
      <c r="B2479" s="83">
        <v>45958</v>
      </c>
      <c r="C2479" s="82" t="s">
        <v>3395</v>
      </c>
      <c r="D2479" s="82" t="s">
        <v>3425</v>
      </c>
      <c r="E2479" s="82"/>
      <c r="F2479" s="82" t="s">
        <v>4408</v>
      </c>
      <c r="G2479" s="89">
        <v>4</v>
      </c>
      <c r="H2479" s="89">
        <v>22.85</v>
      </c>
      <c r="I2479" s="85">
        <v>0</v>
      </c>
      <c r="J2479" s="85">
        <v>11.88</v>
      </c>
      <c r="K2479" s="85">
        <v>103.28</v>
      </c>
      <c r="L2479" s="85">
        <v>13120.33</v>
      </c>
      <c r="M2479" s="89">
        <v>22.85</v>
      </c>
      <c r="N2479" s="85">
        <v>0</v>
      </c>
      <c r="O2479" s="85">
        <v>11.88</v>
      </c>
      <c r="P2479" s="85">
        <v>103.28</v>
      </c>
      <c r="Q2479" s="85">
        <v>13120.33</v>
      </c>
      <c r="R2479" s="82" t="s">
        <v>3399</v>
      </c>
      <c r="S2479" s="7">
        <f t="shared" si="115"/>
        <v>0</v>
      </c>
      <c r="T2479" s="6">
        <f t="shared" si="116"/>
        <v>0</v>
      </c>
      <c r="U2479" s="25">
        <f t="shared" si="114"/>
        <v>0</v>
      </c>
    </row>
    <row r="2480" spans="1:21" ht="10.9" customHeight="1" x14ac:dyDescent="0.2">
      <c r="A2480" s="82" t="s">
        <v>3310</v>
      </c>
      <c r="B2480" s="83">
        <v>45958</v>
      </c>
      <c r="C2480" s="82" t="s">
        <v>3395</v>
      </c>
      <c r="D2480" s="82" t="s">
        <v>341</v>
      </c>
      <c r="E2480" s="82"/>
      <c r="F2480" s="82" t="s">
        <v>4677</v>
      </c>
      <c r="G2480" s="89">
        <v>1</v>
      </c>
      <c r="H2480" s="89">
        <v>8198</v>
      </c>
      <c r="I2480" s="85">
        <v>0</v>
      </c>
      <c r="J2480" s="85">
        <v>409.9</v>
      </c>
      <c r="K2480" s="85">
        <v>8607.9</v>
      </c>
      <c r="L2480" s="85">
        <v>8607.9</v>
      </c>
      <c r="M2480" s="89">
        <v>8198</v>
      </c>
      <c r="N2480" s="85">
        <v>0</v>
      </c>
      <c r="O2480" s="85">
        <v>409.9</v>
      </c>
      <c r="P2480" s="85">
        <v>8607.9</v>
      </c>
      <c r="Q2480" s="85">
        <v>8607.9</v>
      </c>
      <c r="R2480" s="82" t="s">
        <v>3399</v>
      </c>
      <c r="S2480" s="7">
        <f t="shared" si="115"/>
        <v>0</v>
      </c>
      <c r="T2480" s="6">
        <f t="shared" si="116"/>
        <v>0</v>
      </c>
      <c r="U2480" s="25">
        <f t="shared" si="114"/>
        <v>0</v>
      </c>
    </row>
    <row r="2481" spans="1:21" ht="10.9" customHeight="1" x14ac:dyDescent="0.2">
      <c r="A2481" s="82" t="s">
        <v>3303</v>
      </c>
      <c r="B2481" s="83">
        <v>45958</v>
      </c>
      <c r="C2481" s="82" t="s">
        <v>3395</v>
      </c>
      <c r="D2481" s="82" t="s">
        <v>361</v>
      </c>
      <c r="E2481" s="82"/>
      <c r="F2481" s="82" t="s">
        <v>4676</v>
      </c>
      <c r="G2481" s="89">
        <v>1</v>
      </c>
      <c r="H2481" s="89">
        <v>1218</v>
      </c>
      <c r="I2481" s="85">
        <v>0</v>
      </c>
      <c r="J2481" s="85">
        <v>60.9</v>
      </c>
      <c r="K2481" s="85">
        <v>1278.9000000000001</v>
      </c>
      <c r="L2481" s="85">
        <v>2350.9499999999998</v>
      </c>
      <c r="M2481" s="89">
        <v>1218</v>
      </c>
      <c r="N2481" s="85">
        <v>0</v>
      </c>
      <c r="O2481" s="85">
        <v>60.9</v>
      </c>
      <c r="P2481" s="85">
        <v>1278.9000000000001</v>
      </c>
      <c r="Q2481" s="85">
        <v>2350.9499999999998</v>
      </c>
      <c r="R2481" s="82" t="s">
        <v>3399</v>
      </c>
      <c r="S2481" s="7">
        <f t="shared" si="115"/>
        <v>0</v>
      </c>
      <c r="T2481" s="6">
        <f t="shared" si="116"/>
        <v>0</v>
      </c>
      <c r="U2481" s="25">
        <f t="shared" si="114"/>
        <v>0</v>
      </c>
    </row>
    <row r="2482" spans="1:21" ht="10.9" customHeight="1" x14ac:dyDescent="0.2">
      <c r="A2482" s="82" t="s">
        <v>3303</v>
      </c>
      <c r="B2482" s="83">
        <v>45958</v>
      </c>
      <c r="C2482" s="82" t="s">
        <v>3395</v>
      </c>
      <c r="D2482" s="82" t="s">
        <v>361</v>
      </c>
      <c r="E2482" s="82"/>
      <c r="F2482" s="82" t="s">
        <v>4675</v>
      </c>
      <c r="G2482" s="89">
        <v>1</v>
      </c>
      <c r="H2482" s="89">
        <v>282</v>
      </c>
      <c r="I2482" s="85">
        <v>0</v>
      </c>
      <c r="J2482" s="85">
        <v>14.1</v>
      </c>
      <c r="K2482" s="85">
        <v>296.10000000000002</v>
      </c>
      <c r="L2482" s="85">
        <v>2350.9499999999998</v>
      </c>
      <c r="M2482" s="89">
        <v>282</v>
      </c>
      <c r="N2482" s="85">
        <v>0</v>
      </c>
      <c r="O2482" s="85">
        <v>14.1</v>
      </c>
      <c r="P2482" s="85">
        <v>296.10000000000002</v>
      </c>
      <c r="Q2482" s="85">
        <v>2350.9499999999998</v>
      </c>
      <c r="R2482" s="82" t="s">
        <v>3399</v>
      </c>
      <c r="S2482" s="7">
        <f t="shared" si="115"/>
        <v>0</v>
      </c>
      <c r="T2482" s="6">
        <f t="shared" si="116"/>
        <v>0</v>
      </c>
      <c r="U2482" s="25">
        <f t="shared" si="114"/>
        <v>0</v>
      </c>
    </row>
    <row r="2483" spans="1:21" ht="10.9" customHeight="1" x14ac:dyDescent="0.2">
      <c r="A2483" s="82" t="s">
        <v>3303</v>
      </c>
      <c r="B2483" s="83">
        <v>45958</v>
      </c>
      <c r="C2483" s="82" t="s">
        <v>3395</v>
      </c>
      <c r="D2483" s="82" t="s">
        <v>361</v>
      </c>
      <c r="E2483" s="82"/>
      <c r="F2483" s="82" t="s">
        <v>4674</v>
      </c>
      <c r="G2483" s="89">
        <v>1</v>
      </c>
      <c r="H2483" s="89">
        <v>450</v>
      </c>
      <c r="I2483" s="85">
        <v>0</v>
      </c>
      <c r="J2483" s="85">
        <v>22.5</v>
      </c>
      <c r="K2483" s="85">
        <v>472.5</v>
      </c>
      <c r="L2483" s="85">
        <v>2350.9499999999998</v>
      </c>
      <c r="M2483" s="89">
        <v>450</v>
      </c>
      <c r="N2483" s="85">
        <v>0</v>
      </c>
      <c r="O2483" s="85">
        <v>22.5</v>
      </c>
      <c r="P2483" s="85">
        <v>472.5</v>
      </c>
      <c r="Q2483" s="85">
        <v>2350.9499999999998</v>
      </c>
      <c r="R2483" s="82" t="s">
        <v>3399</v>
      </c>
      <c r="S2483" s="7">
        <f t="shared" si="115"/>
        <v>0</v>
      </c>
      <c r="T2483" s="6">
        <f t="shared" si="116"/>
        <v>0</v>
      </c>
      <c r="U2483" s="25">
        <f t="shared" si="114"/>
        <v>0</v>
      </c>
    </row>
    <row r="2484" spans="1:21" ht="10.9" customHeight="1" x14ac:dyDescent="0.2">
      <c r="A2484" s="82" t="s">
        <v>3303</v>
      </c>
      <c r="B2484" s="83">
        <v>45958</v>
      </c>
      <c r="C2484" s="82" t="s">
        <v>3395</v>
      </c>
      <c r="D2484" s="82" t="s">
        <v>361</v>
      </c>
      <c r="E2484" s="82"/>
      <c r="F2484" s="82" t="s">
        <v>4673</v>
      </c>
      <c r="G2484" s="89">
        <v>1</v>
      </c>
      <c r="H2484" s="89">
        <v>155</v>
      </c>
      <c r="I2484" s="85">
        <v>0</v>
      </c>
      <c r="J2484" s="85">
        <v>7.75</v>
      </c>
      <c r="K2484" s="85">
        <v>162.75</v>
      </c>
      <c r="L2484" s="85">
        <v>2350.9499999999998</v>
      </c>
      <c r="M2484" s="89">
        <v>155</v>
      </c>
      <c r="N2484" s="85">
        <v>0</v>
      </c>
      <c r="O2484" s="85">
        <v>7.75</v>
      </c>
      <c r="P2484" s="85">
        <v>162.75</v>
      </c>
      <c r="Q2484" s="85">
        <v>2350.9499999999998</v>
      </c>
      <c r="R2484" s="82" t="s">
        <v>3399</v>
      </c>
      <c r="S2484" s="7">
        <f t="shared" si="115"/>
        <v>0</v>
      </c>
      <c r="T2484" s="6">
        <f t="shared" si="116"/>
        <v>0</v>
      </c>
      <c r="U2484" s="25">
        <f t="shared" si="114"/>
        <v>0</v>
      </c>
    </row>
    <row r="2485" spans="1:21" ht="10.9" customHeight="1" x14ac:dyDescent="0.2">
      <c r="A2485" s="82" t="s">
        <v>3303</v>
      </c>
      <c r="B2485" s="83">
        <v>45958</v>
      </c>
      <c r="C2485" s="82" t="s">
        <v>3395</v>
      </c>
      <c r="D2485" s="82" t="s">
        <v>361</v>
      </c>
      <c r="E2485" s="82"/>
      <c r="F2485" s="82" t="s">
        <v>4672</v>
      </c>
      <c r="G2485" s="89">
        <v>2</v>
      </c>
      <c r="H2485" s="89">
        <v>45</v>
      </c>
      <c r="I2485" s="85">
        <v>0</v>
      </c>
      <c r="J2485" s="85">
        <v>4.5</v>
      </c>
      <c r="K2485" s="85">
        <v>94.5</v>
      </c>
      <c r="L2485" s="85">
        <v>2350.9499999999998</v>
      </c>
      <c r="M2485" s="89">
        <v>45</v>
      </c>
      <c r="N2485" s="85">
        <v>0</v>
      </c>
      <c r="O2485" s="85">
        <v>4.5</v>
      </c>
      <c r="P2485" s="85">
        <v>94.5</v>
      </c>
      <c r="Q2485" s="85">
        <v>2350.9499999999998</v>
      </c>
      <c r="R2485" s="82" t="s">
        <v>3399</v>
      </c>
      <c r="S2485" s="7">
        <f t="shared" si="115"/>
        <v>0</v>
      </c>
      <c r="T2485" s="6">
        <f t="shared" si="116"/>
        <v>0</v>
      </c>
      <c r="U2485" s="25">
        <f t="shared" si="114"/>
        <v>0</v>
      </c>
    </row>
    <row r="2486" spans="1:21" ht="10.9" customHeight="1" x14ac:dyDescent="0.2">
      <c r="A2486" s="82" t="s">
        <v>3303</v>
      </c>
      <c r="B2486" s="83">
        <v>45958</v>
      </c>
      <c r="C2486" s="82" t="s">
        <v>3395</v>
      </c>
      <c r="D2486" s="82" t="s">
        <v>361</v>
      </c>
      <c r="E2486" s="82"/>
      <c r="F2486" s="82" t="s">
        <v>4671</v>
      </c>
      <c r="G2486" s="89">
        <v>2</v>
      </c>
      <c r="H2486" s="89">
        <v>22</v>
      </c>
      <c r="I2486" s="85">
        <v>0</v>
      </c>
      <c r="J2486" s="85">
        <v>2.2000000000000002</v>
      </c>
      <c r="K2486" s="85">
        <v>46.2</v>
      </c>
      <c r="L2486" s="85">
        <v>2350.9499999999998</v>
      </c>
      <c r="M2486" s="89">
        <v>22</v>
      </c>
      <c r="N2486" s="85">
        <v>0</v>
      </c>
      <c r="O2486" s="85">
        <v>2.2000000000000002</v>
      </c>
      <c r="P2486" s="85">
        <v>46.2</v>
      </c>
      <c r="Q2486" s="85">
        <v>2350.9499999999998</v>
      </c>
      <c r="R2486" s="82" t="s">
        <v>3399</v>
      </c>
      <c r="S2486" s="7">
        <f t="shared" si="115"/>
        <v>0</v>
      </c>
      <c r="T2486" s="6">
        <f t="shared" si="116"/>
        <v>0</v>
      </c>
      <c r="U2486" s="25">
        <f t="shared" si="114"/>
        <v>0</v>
      </c>
    </row>
    <row r="2487" spans="1:21" ht="10.9" customHeight="1" x14ac:dyDescent="0.2">
      <c r="A2487" s="82" t="s">
        <v>3200</v>
      </c>
      <c r="B2487" s="83">
        <v>45958</v>
      </c>
      <c r="C2487" s="82" t="s">
        <v>3395</v>
      </c>
      <c r="D2487" s="82" t="s">
        <v>611</v>
      </c>
      <c r="E2487" s="82"/>
      <c r="F2487" s="82" t="s">
        <v>4651</v>
      </c>
      <c r="G2487" s="89">
        <v>1</v>
      </c>
      <c r="H2487" s="89">
        <v>3396.62</v>
      </c>
      <c r="I2487" s="85">
        <v>0</v>
      </c>
      <c r="J2487" s="85">
        <v>169.83</v>
      </c>
      <c r="K2487" s="85">
        <v>3566.45</v>
      </c>
      <c r="L2487" s="85">
        <v>3566.45</v>
      </c>
      <c r="M2487" s="89">
        <v>3396.62</v>
      </c>
      <c r="N2487" s="85">
        <v>0</v>
      </c>
      <c r="O2487" s="85">
        <v>169.83</v>
      </c>
      <c r="P2487" s="85">
        <v>3566.45</v>
      </c>
      <c r="Q2487" s="85">
        <v>3566.45</v>
      </c>
      <c r="R2487" s="82" t="s">
        <v>3399</v>
      </c>
      <c r="S2487" s="7">
        <f t="shared" si="115"/>
        <v>0</v>
      </c>
      <c r="T2487" s="6">
        <f t="shared" si="116"/>
        <v>0</v>
      </c>
      <c r="U2487" s="25">
        <f t="shared" si="114"/>
        <v>0</v>
      </c>
    </row>
    <row r="2488" spans="1:21" ht="10.9" customHeight="1" x14ac:dyDescent="0.2">
      <c r="A2488" s="82" t="s">
        <v>3306</v>
      </c>
      <c r="B2488" s="83">
        <v>45958</v>
      </c>
      <c r="C2488" s="82" t="s">
        <v>3395</v>
      </c>
      <c r="D2488" s="82" t="s">
        <v>352</v>
      </c>
      <c r="E2488" s="82"/>
      <c r="F2488" s="82" t="s">
        <v>4681</v>
      </c>
      <c r="G2488" s="89">
        <v>1</v>
      </c>
      <c r="H2488" s="89">
        <v>565</v>
      </c>
      <c r="I2488" s="85">
        <v>0</v>
      </c>
      <c r="J2488" s="85">
        <v>28.25</v>
      </c>
      <c r="K2488" s="85">
        <v>593.25</v>
      </c>
      <c r="L2488" s="85">
        <v>593.25</v>
      </c>
      <c r="M2488" s="89">
        <v>565</v>
      </c>
      <c r="N2488" s="85">
        <v>0</v>
      </c>
      <c r="O2488" s="85">
        <v>28.25</v>
      </c>
      <c r="P2488" s="85">
        <v>593.25</v>
      </c>
      <c r="Q2488" s="85">
        <v>593.25</v>
      </c>
      <c r="R2488" s="82" t="s">
        <v>3399</v>
      </c>
      <c r="S2488" s="7">
        <f t="shared" si="115"/>
        <v>0</v>
      </c>
      <c r="T2488" s="6">
        <f t="shared" si="116"/>
        <v>0</v>
      </c>
      <c r="U2488" s="25">
        <f t="shared" si="114"/>
        <v>0</v>
      </c>
    </row>
    <row r="2489" spans="1:21" ht="10.9" customHeight="1" x14ac:dyDescent="0.2">
      <c r="A2489" s="82" t="s">
        <v>3309</v>
      </c>
      <c r="B2489" s="83">
        <v>45958</v>
      </c>
      <c r="C2489" s="82" t="s">
        <v>3395</v>
      </c>
      <c r="D2489" s="82" t="s">
        <v>343</v>
      </c>
      <c r="E2489" s="82"/>
      <c r="F2489" s="82" t="s">
        <v>4670</v>
      </c>
      <c r="G2489" s="89">
        <v>1</v>
      </c>
      <c r="H2489" s="89">
        <v>147.72999999999999</v>
      </c>
      <c r="I2489" s="85">
        <v>0</v>
      </c>
      <c r="J2489" s="85">
        <v>7.39</v>
      </c>
      <c r="K2489" s="85">
        <v>155.12</v>
      </c>
      <c r="L2489" s="85">
        <v>155.12</v>
      </c>
      <c r="M2489" s="89">
        <v>147.72999999999999</v>
      </c>
      <c r="N2489" s="85">
        <v>0</v>
      </c>
      <c r="O2489" s="85">
        <v>7.39</v>
      </c>
      <c r="P2489" s="85">
        <v>155.12</v>
      </c>
      <c r="Q2489" s="85">
        <v>155.12</v>
      </c>
      <c r="R2489" s="82" t="s">
        <v>3399</v>
      </c>
      <c r="S2489" s="7">
        <f t="shared" si="115"/>
        <v>0</v>
      </c>
      <c r="T2489" s="6">
        <f t="shared" si="116"/>
        <v>0</v>
      </c>
      <c r="U2489" s="25">
        <f t="shared" si="114"/>
        <v>0</v>
      </c>
    </row>
    <row r="2490" spans="1:21" ht="10.9" customHeight="1" x14ac:dyDescent="0.2">
      <c r="A2490" s="82" t="s">
        <v>3308</v>
      </c>
      <c r="B2490" s="83">
        <v>45958</v>
      </c>
      <c r="C2490" s="82" t="s">
        <v>3395</v>
      </c>
      <c r="D2490" s="82" t="s">
        <v>348</v>
      </c>
      <c r="E2490" s="82"/>
      <c r="F2490" s="82" t="s">
        <v>4569</v>
      </c>
      <c r="G2490" s="89">
        <v>1</v>
      </c>
      <c r="H2490" s="89">
        <v>1946.57</v>
      </c>
      <c r="I2490" s="85">
        <v>0</v>
      </c>
      <c r="J2490" s="85">
        <v>97.33</v>
      </c>
      <c r="K2490" s="85">
        <v>2043.9</v>
      </c>
      <c r="L2490" s="85">
        <v>2758.72</v>
      </c>
      <c r="M2490" s="89">
        <v>1946.57</v>
      </c>
      <c r="N2490" s="85">
        <v>0</v>
      </c>
      <c r="O2490" s="85">
        <v>97.33</v>
      </c>
      <c r="P2490" s="85">
        <v>2043.9</v>
      </c>
      <c r="Q2490" s="85">
        <v>2758.72</v>
      </c>
      <c r="R2490" s="82" t="s">
        <v>3399</v>
      </c>
      <c r="S2490" s="7">
        <f t="shared" si="115"/>
        <v>0</v>
      </c>
      <c r="T2490" s="6">
        <f t="shared" si="116"/>
        <v>0</v>
      </c>
      <c r="U2490" s="25">
        <f t="shared" si="114"/>
        <v>0</v>
      </c>
    </row>
    <row r="2491" spans="1:21" ht="10.9" customHeight="1" x14ac:dyDescent="0.2">
      <c r="A2491" s="82" t="s">
        <v>3308</v>
      </c>
      <c r="B2491" s="83">
        <v>45958</v>
      </c>
      <c r="C2491" s="82" t="s">
        <v>3395</v>
      </c>
      <c r="D2491" s="82" t="s">
        <v>348</v>
      </c>
      <c r="E2491" s="82"/>
      <c r="F2491" s="82" t="s">
        <v>4680</v>
      </c>
      <c r="G2491" s="89">
        <v>1</v>
      </c>
      <c r="H2491" s="89">
        <v>680.78</v>
      </c>
      <c r="I2491" s="85">
        <v>0</v>
      </c>
      <c r="J2491" s="85">
        <v>34.04</v>
      </c>
      <c r="K2491" s="85">
        <v>714.82</v>
      </c>
      <c r="L2491" s="85">
        <v>2758.72</v>
      </c>
      <c r="M2491" s="89">
        <v>680.78</v>
      </c>
      <c r="N2491" s="85">
        <v>0</v>
      </c>
      <c r="O2491" s="85">
        <v>34.04</v>
      </c>
      <c r="P2491" s="85">
        <v>714.82</v>
      </c>
      <c r="Q2491" s="85">
        <v>2758.72</v>
      </c>
      <c r="R2491" s="82" t="s">
        <v>3399</v>
      </c>
      <c r="S2491" s="7">
        <f t="shared" si="115"/>
        <v>0</v>
      </c>
      <c r="T2491" s="6">
        <f t="shared" si="116"/>
        <v>0</v>
      </c>
      <c r="U2491" s="25">
        <f t="shared" si="114"/>
        <v>0</v>
      </c>
    </row>
    <row r="2492" spans="1:21" ht="10.9" customHeight="1" x14ac:dyDescent="0.2">
      <c r="A2492" s="82" t="s">
        <v>3221</v>
      </c>
      <c r="B2492" s="83">
        <v>45958</v>
      </c>
      <c r="C2492" s="82" t="s">
        <v>3395</v>
      </c>
      <c r="D2492" s="82" t="s">
        <v>560</v>
      </c>
      <c r="E2492" s="82"/>
      <c r="F2492" s="82" t="s">
        <v>4669</v>
      </c>
      <c r="G2492" s="89">
        <v>1</v>
      </c>
      <c r="H2492" s="89">
        <v>20861.189999999999</v>
      </c>
      <c r="I2492" s="85">
        <v>0</v>
      </c>
      <c r="J2492" s="85">
        <v>1043.06</v>
      </c>
      <c r="K2492" s="85">
        <v>21904.25</v>
      </c>
      <c r="L2492" s="85">
        <v>21904.25</v>
      </c>
      <c r="M2492" s="89">
        <v>20861.189999999999</v>
      </c>
      <c r="N2492" s="85">
        <v>0</v>
      </c>
      <c r="O2492" s="85">
        <v>1043.06</v>
      </c>
      <c r="P2492" s="85">
        <v>21904.25</v>
      </c>
      <c r="Q2492" s="85">
        <v>21904.25</v>
      </c>
      <c r="R2492" s="82" t="s">
        <v>3399</v>
      </c>
      <c r="S2492" s="7">
        <f t="shared" si="115"/>
        <v>0</v>
      </c>
      <c r="T2492" s="6">
        <f t="shared" si="116"/>
        <v>0</v>
      </c>
      <c r="U2492" s="25">
        <f t="shared" si="114"/>
        <v>0</v>
      </c>
    </row>
    <row r="2493" spans="1:21" ht="10.9" customHeight="1" x14ac:dyDescent="0.2">
      <c r="A2493" s="82" t="s">
        <v>3307</v>
      </c>
      <c r="B2493" s="83">
        <v>45958</v>
      </c>
      <c r="C2493" s="82" t="s">
        <v>3395</v>
      </c>
      <c r="D2493" s="82" t="s">
        <v>350</v>
      </c>
      <c r="E2493" s="82"/>
      <c r="F2493" s="82" t="s">
        <v>4679</v>
      </c>
      <c r="G2493" s="89">
        <v>1</v>
      </c>
      <c r="H2493" s="89">
        <v>411.1</v>
      </c>
      <c r="I2493" s="85">
        <v>0</v>
      </c>
      <c r="J2493" s="85">
        <v>53.44</v>
      </c>
      <c r="K2493" s="85">
        <v>464.54</v>
      </c>
      <c r="L2493" s="85">
        <v>1606.31</v>
      </c>
      <c r="M2493" s="89">
        <v>411.1</v>
      </c>
      <c r="N2493" s="85">
        <v>0</v>
      </c>
      <c r="O2493" s="85">
        <v>53.44</v>
      </c>
      <c r="P2493" s="85">
        <v>464.54</v>
      </c>
      <c r="Q2493" s="85">
        <v>1606.31</v>
      </c>
      <c r="R2493" s="82" t="s">
        <v>3399</v>
      </c>
      <c r="S2493" s="7">
        <f t="shared" si="115"/>
        <v>0</v>
      </c>
      <c r="T2493" s="6">
        <f t="shared" si="116"/>
        <v>0</v>
      </c>
      <c r="U2493" s="25">
        <f t="shared" si="114"/>
        <v>0</v>
      </c>
    </row>
    <row r="2494" spans="1:21" ht="52.35" customHeight="1" x14ac:dyDescent="0.2">
      <c r="A2494" s="82" t="s">
        <v>3307</v>
      </c>
      <c r="B2494" s="83">
        <v>45958</v>
      </c>
      <c r="C2494" s="82" t="s">
        <v>3395</v>
      </c>
      <c r="D2494" s="82" t="s">
        <v>350</v>
      </c>
      <c r="E2494" s="82"/>
      <c r="F2494" s="82" t="s">
        <v>4678</v>
      </c>
      <c r="G2494" s="89">
        <v>1</v>
      </c>
      <c r="H2494" s="89">
        <v>1010.42</v>
      </c>
      <c r="I2494" s="85">
        <v>0</v>
      </c>
      <c r="J2494" s="85">
        <v>131.35</v>
      </c>
      <c r="K2494" s="85">
        <v>1141.77</v>
      </c>
      <c r="L2494" s="85">
        <v>1606.31</v>
      </c>
      <c r="M2494" s="89">
        <v>1010.42</v>
      </c>
      <c r="N2494" s="85">
        <v>0</v>
      </c>
      <c r="O2494" s="85">
        <v>131.35</v>
      </c>
      <c r="P2494" s="85">
        <v>1141.77</v>
      </c>
      <c r="Q2494" s="85">
        <v>1606.31</v>
      </c>
      <c r="R2494" s="82" t="s">
        <v>3399</v>
      </c>
      <c r="S2494" s="7">
        <f t="shared" si="115"/>
        <v>0</v>
      </c>
      <c r="T2494" s="6">
        <f t="shared" si="116"/>
        <v>0</v>
      </c>
      <c r="U2494" s="25">
        <f t="shared" si="114"/>
        <v>0</v>
      </c>
    </row>
    <row r="2495" spans="1:21" ht="10.9" customHeight="1" x14ac:dyDescent="0.2">
      <c r="A2495" s="82" t="s">
        <v>3311</v>
      </c>
      <c r="B2495" s="83">
        <v>45959</v>
      </c>
      <c r="C2495" s="82" t="s">
        <v>3395</v>
      </c>
      <c r="D2495" s="82" t="s">
        <v>339</v>
      </c>
      <c r="E2495" s="82"/>
      <c r="F2495" s="82" t="s">
        <v>4647</v>
      </c>
      <c r="G2495" s="89">
        <v>1</v>
      </c>
      <c r="H2495" s="89">
        <v>898.22</v>
      </c>
      <c r="I2495" s="85">
        <v>0</v>
      </c>
      <c r="J2495" s="85">
        <v>44.91</v>
      </c>
      <c r="K2495" s="85">
        <v>943.13</v>
      </c>
      <c r="L2495" s="85">
        <v>1372.2</v>
      </c>
      <c r="M2495" s="89">
        <v>898.22</v>
      </c>
      <c r="N2495" s="85">
        <v>0</v>
      </c>
      <c r="O2495" s="85">
        <v>44.91</v>
      </c>
      <c r="P2495" s="85">
        <v>943.13</v>
      </c>
      <c r="Q2495" s="85">
        <v>1372.2</v>
      </c>
      <c r="R2495" s="82" t="s">
        <v>3399</v>
      </c>
      <c r="S2495" s="7">
        <f t="shared" si="115"/>
        <v>0</v>
      </c>
      <c r="T2495" s="6">
        <f t="shared" si="116"/>
        <v>0</v>
      </c>
      <c r="U2495" s="25">
        <f t="shared" si="114"/>
        <v>0</v>
      </c>
    </row>
    <row r="2496" spans="1:21" ht="10.9" customHeight="1" x14ac:dyDescent="0.2">
      <c r="A2496" s="82" t="s">
        <v>3311</v>
      </c>
      <c r="B2496" s="83">
        <v>45959</v>
      </c>
      <c r="C2496" s="82" t="s">
        <v>3395</v>
      </c>
      <c r="D2496" s="82" t="s">
        <v>339</v>
      </c>
      <c r="E2496" s="82"/>
      <c r="F2496" s="82" t="s">
        <v>4428</v>
      </c>
      <c r="G2496" s="89">
        <v>2</v>
      </c>
      <c r="H2496" s="89">
        <v>204.32</v>
      </c>
      <c r="I2496" s="85">
        <v>0</v>
      </c>
      <c r="J2496" s="85">
        <v>20.43</v>
      </c>
      <c r="K2496" s="85">
        <v>429.07</v>
      </c>
      <c r="L2496" s="85">
        <v>1372.2</v>
      </c>
      <c r="M2496" s="89">
        <v>204.32</v>
      </c>
      <c r="N2496" s="85">
        <v>0</v>
      </c>
      <c r="O2496" s="85">
        <v>20.43</v>
      </c>
      <c r="P2496" s="85">
        <v>429.07</v>
      </c>
      <c r="Q2496" s="85">
        <v>1372.2</v>
      </c>
      <c r="R2496" s="82" t="s">
        <v>3399</v>
      </c>
      <c r="S2496" s="7">
        <f t="shared" si="115"/>
        <v>0</v>
      </c>
      <c r="T2496" s="6">
        <f t="shared" si="116"/>
        <v>0</v>
      </c>
      <c r="U2496" s="25">
        <f t="shared" si="114"/>
        <v>0</v>
      </c>
    </row>
    <row r="2497" spans="1:21" ht="10.9" customHeight="1" x14ac:dyDescent="0.2">
      <c r="A2497" s="82" t="s">
        <v>3252</v>
      </c>
      <c r="B2497" s="83">
        <v>45959</v>
      </c>
      <c r="C2497" s="82" t="s">
        <v>3395</v>
      </c>
      <c r="D2497" s="82" t="s">
        <v>497</v>
      </c>
      <c r="E2497" s="82"/>
      <c r="F2497" s="82" t="s">
        <v>4646</v>
      </c>
      <c r="G2497" s="89">
        <v>1</v>
      </c>
      <c r="H2497" s="89">
        <v>1759.61</v>
      </c>
      <c r="I2497" s="85">
        <v>0</v>
      </c>
      <c r="J2497" s="85">
        <v>228.75</v>
      </c>
      <c r="K2497" s="85">
        <v>1988.36</v>
      </c>
      <c r="L2497" s="85">
        <v>1988.36</v>
      </c>
      <c r="M2497" s="89">
        <v>1759.61</v>
      </c>
      <c r="N2497" s="85">
        <v>0</v>
      </c>
      <c r="O2497" s="85">
        <v>228.75</v>
      </c>
      <c r="P2497" s="85">
        <v>1988.36</v>
      </c>
      <c r="Q2497" s="85">
        <v>1988.36</v>
      </c>
      <c r="R2497" s="82" t="s">
        <v>3399</v>
      </c>
      <c r="S2497" s="7">
        <f t="shared" si="115"/>
        <v>0</v>
      </c>
      <c r="T2497" s="6">
        <f t="shared" si="116"/>
        <v>0</v>
      </c>
      <c r="U2497" s="25">
        <f t="shared" si="114"/>
        <v>0</v>
      </c>
    </row>
    <row r="2498" spans="1:21" ht="10.9" customHeight="1" x14ac:dyDescent="0.2">
      <c r="A2498" s="82" t="s">
        <v>3320</v>
      </c>
      <c r="B2498" s="83">
        <v>45959</v>
      </c>
      <c r="C2498" s="82" t="s">
        <v>3395</v>
      </c>
      <c r="D2498" s="82" t="s">
        <v>320</v>
      </c>
      <c r="E2498" s="82"/>
      <c r="F2498" s="82" t="s">
        <v>4532</v>
      </c>
      <c r="G2498" s="89">
        <v>1</v>
      </c>
      <c r="H2498" s="89">
        <v>110.83</v>
      </c>
      <c r="I2498" s="85">
        <v>0</v>
      </c>
      <c r="J2498" s="85">
        <v>14.41</v>
      </c>
      <c r="K2498" s="85">
        <v>125.24</v>
      </c>
      <c r="L2498" s="85">
        <v>441.08</v>
      </c>
      <c r="M2498" s="89">
        <v>110.83</v>
      </c>
      <c r="N2498" s="85">
        <v>0</v>
      </c>
      <c r="O2498" s="85">
        <v>14.41</v>
      </c>
      <c r="P2498" s="85">
        <v>125.24</v>
      </c>
      <c r="Q2498" s="85">
        <v>441.08</v>
      </c>
      <c r="R2498" s="82" t="s">
        <v>3399</v>
      </c>
      <c r="S2498" s="7">
        <f t="shared" si="115"/>
        <v>0</v>
      </c>
      <c r="T2498" s="6">
        <f t="shared" si="116"/>
        <v>0</v>
      </c>
      <c r="U2498" s="25">
        <f t="shared" ref="U2498:U2561" si="117">IF(T2498=1,K2498-J2498,0)</f>
        <v>0</v>
      </c>
    </row>
    <row r="2499" spans="1:21" ht="10.9" customHeight="1" x14ac:dyDescent="0.2">
      <c r="A2499" s="82" t="s">
        <v>3320</v>
      </c>
      <c r="B2499" s="83">
        <v>45959</v>
      </c>
      <c r="C2499" s="82" t="s">
        <v>3395</v>
      </c>
      <c r="D2499" s="82" t="s">
        <v>320</v>
      </c>
      <c r="E2499" s="82"/>
      <c r="F2499" s="82" t="s">
        <v>4648</v>
      </c>
      <c r="G2499" s="89">
        <v>1</v>
      </c>
      <c r="H2499" s="89">
        <v>279.5</v>
      </c>
      <c r="I2499" s="85">
        <v>0</v>
      </c>
      <c r="J2499" s="85">
        <v>36.340000000000003</v>
      </c>
      <c r="K2499" s="85">
        <v>315.83999999999997</v>
      </c>
      <c r="L2499" s="85">
        <v>441.08</v>
      </c>
      <c r="M2499" s="89">
        <v>279.5</v>
      </c>
      <c r="N2499" s="85">
        <v>0</v>
      </c>
      <c r="O2499" s="85">
        <v>36.340000000000003</v>
      </c>
      <c r="P2499" s="85">
        <v>315.83999999999997</v>
      </c>
      <c r="Q2499" s="85">
        <v>441.08</v>
      </c>
      <c r="R2499" s="82" t="s">
        <v>3399</v>
      </c>
      <c r="S2499" s="7">
        <f t="shared" ref="S2499:S2562" si="118">IF(T2499=1,A2499,0)</f>
        <v>0</v>
      </c>
      <c r="T2499" s="6">
        <f t="shared" ref="T2499:T2562" si="119">IFERROR(FIND("Freight",F2499,1),0)</f>
        <v>0</v>
      </c>
      <c r="U2499" s="25">
        <f t="shared" si="117"/>
        <v>0</v>
      </c>
    </row>
    <row r="2500" spans="1:21" ht="10.9" customHeight="1" x14ac:dyDescent="0.2">
      <c r="A2500" s="82"/>
      <c r="B2500" s="83">
        <v>45959</v>
      </c>
      <c r="C2500" s="82" t="s">
        <v>3423</v>
      </c>
      <c r="D2500" s="82"/>
      <c r="E2500" s="82"/>
      <c r="F2500" s="82" t="s">
        <v>4645</v>
      </c>
      <c r="G2500" s="89">
        <v>-1</v>
      </c>
      <c r="H2500" s="89">
        <v>35</v>
      </c>
      <c r="I2500" s="85">
        <v>0</v>
      </c>
      <c r="J2500" s="85">
        <v>0</v>
      </c>
      <c r="K2500" s="85">
        <v>-35</v>
      </c>
      <c r="L2500" s="85">
        <v>-35</v>
      </c>
      <c r="M2500" s="89">
        <v>48.652465706962026</v>
      </c>
      <c r="N2500" s="85">
        <v>0</v>
      </c>
      <c r="O2500" s="85">
        <v>0</v>
      </c>
      <c r="P2500" s="85">
        <v>-48.652465706962026</v>
      </c>
      <c r="Q2500" s="85">
        <v>-48.652465706962026</v>
      </c>
      <c r="R2500" s="82" t="s">
        <v>3399</v>
      </c>
      <c r="S2500" s="7">
        <f t="shared" si="118"/>
        <v>0</v>
      </c>
      <c r="T2500" s="6">
        <f t="shared" si="119"/>
        <v>0</v>
      </c>
      <c r="U2500" s="25">
        <f t="shared" si="117"/>
        <v>0</v>
      </c>
    </row>
    <row r="2501" spans="1:21" ht="10.9" customHeight="1" x14ac:dyDescent="0.2">
      <c r="A2501" s="82" t="s">
        <v>3242</v>
      </c>
      <c r="B2501" s="83">
        <v>45960</v>
      </c>
      <c r="C2501" s="82" t="s">
        <v>3395</v>
      </c>
      <c r="D2501" s="82" t="s">
        <v>520</v>
      </c>
      <c r="E2501" s="82"/>
      <c r="F2501" s="82" t="s">
        <v>4631</v>
      </c>
      <c r="G2501" s="89">
        <v>2</v>
      </c>
      <c r="H2501" s="89">
        <v>1058.44</v>
      </c>
      <c r="I2501" s="85">
        <v>0</v>
      </c>
      <c r="J2501" s="85">
        <v>0</v>
      </c>
      <c r="K2501" s="85">
        <v>2116.88</v>
      </c>
      <c r="L2501" s="85">
        <v>5214.24</v>
      </c>
      <c r="M2501" s="89">
        <v>1479.9423929305499</v>
      </c>
      <c r="N2501" s="85">
        <v>0</v>
      </c>
      <c r="O2501" s="85">
        <v>0</v>
      </c>
      <c r="P2501" s="85">
        <v>2959.8847858610998</v>
      </c>
      <c r="Q2501" s="85">
        <v>7290.7059662467318</v>
      </c>
      <c r="R2501" s="82" t="s">
        <v>3399</v>
      </c>
      <c r="S2501" s="7">
        <f t="shared" si="118"/>
        <v>0</v>
      </c>
      <c r="T2501" s="6">
        <f t="shared" si="119"/>
        <v>0</v>
      </c>
      <c r="U2501" s="25">
        <f t="shared" si="117"/>
        <v>0</v>
      </c>
    </row>
    <row r="2502" spans="1:21" ht="10.9" customHeight="1" x14ac:dyDescent="0.2">
      <c r="A2502" s="82" t="s">
        <v>3242</v>
      </c>
      <c r="B2502" s="83">
        <v>45960</v>
      </c>
      <c r="C2502" s="82" t="s">
        <v>3395</v>
      </c>
      <c r="D2502" s="82" t="s">
        <v>520</v>
      </c>
      <c r="E2502" s="82"/>
      <c r="F2502" s="82" t="s">
        <v>4634</v>
      </c>
      <c r="G2502" s="89">
        <v>1</v>
      </c>
      <c r="H2502" s="89">
        <v>1100.48</v>
      </c>
      <c r="I2502" s="85">
        <v>0</v>
      </c>
      <c r="J2502" s="85">
        <v>0</v>
      </c>
      <c r="K2502" s="85">
        <v>1100.48</v>
      </c>
      <c r="L2502" s="85">
        <v>5214.24</v>
      </c>
      <c r="M2502" s="89">
        <v>1538.7239754470841</v>
      </c>
      <c r="N2502" s="85">
        <v>0</v>
      </c>
      <c r="O2502" s="85">
        <v>0</v>
      </c>
      <c r="P2502" s="85">
        <v>1538.7239754470841</v>
      </c>
      <c r="Q2502" s="85">
        <v>7290.7059662467318</v>
      </c>
      <c r="R2502" s="82" t="s">
        <v>3399</v>
      </c>
      <c r="S2502" s="7">
        <f t="shared" si="118"/>
        <v>0</v>
      </c>
      <c r="T2502" s="6">
        <f t="shared" si="119"/>
        <v>0</v>
      </c>
      <c r="U2502" s="25">
        <f t="shared" si="117"/>
        <v>0</v>
      </c>
    </row>
    <row r="2503" spans="1:21" ht="10.9" customHeight="1" x14ac:dyDescent="0.2">
      <c r="A2503" s="82" t="s">
        <v>3242</v>
      </c>
      <c r="B2503" s="83">
        <v>45960</v>
      </c>
      <c r="C2503" s="82" t="s">
        <v>3395</v>
      </c>
      <c r="D2503" s="82" t="s">
        <v>520</v>
      </c>
      <c r="E2503" s="82"/>
      <c r="F2503" s="82" t="s">
        <v>4633</v>
      </c>
      <c r="G2503" s="89">
        <v>2</v>
      </c>
      <c r="H2503" s="89">
        <v>998.44</v>
      </c>
      <c r="I2503" s="85">
        <v>0</v>
      </c>
      <c r="J2503" s="85">
        <v>0</v>
      </c>
      <c r="K2503" s="85">
        <v>1996.88</v>
      </c>
      <c r="L2503" s="85">
        <v>5214.24</v>
      </c>
      <c r="M2503" s="89">
        <v>1396.0486024692739</v>
      </c>
      <c r="N2503" s="85">
        <v>0</v>
      </c>
      <c r="O2503" s="85">
        <v>0</v>
      </c>
      <c r="P2503" s="85">
        <v>2792.0972049385477</v>
      </c>
      <c r="Q2503" s="85">
        <v>7290.7059662467318</v>
      </c>
      <c r="R2503" s="82" t="s">
        <v>3399</v>
      </c>
      <c r="S2503" s="7">
        <f t="shared" si="118"/>
        <v>0</v>
      </c>
      <c r="T2503" s="6">
        <f t="shared" si="119"/>
        <v>0</v>
      </c>
      <c r="U2503" s="25">
        <f t="shared" si="117"/>
        <v>0</v>
      </c>
    </row>
    <row r="2504" spans="1:21" ht="10.9" customHeight="1" x14ac:dyDescent="0.2">
      <c r="A2504" s="82" t="s">
        <v>3106</v>
      </c>
      <c r="B2504" s="83">
        <v>45960</v>
      </c>
      <c r="C2504" s="82" t="s">
        <v>3395</v>
      </c>
      <c r="D2504" s="82" t="s">
        <v>796</v>
      </c>
      <c r="E2504" s="82"/>
      <c r="F2504" s="82" t="s">
        <v>4631</v>
      </c>
      <c r="G2504" s="89">
        <v>15</v>
      </c>
      <c r="H2504" s="89">
        <v>1058.44</v>
      </c>
      <c r="I2504" s="85">
        <v>0</v>
      </c>
      <c r="J2504" s="85">
        <v>0</v>
      </c>
      <c r="K2504" s="85">
        <v>15876.6</v>
      </c>
      <c r="L2504" s="85">
        <v>27680</v>
      </c>
      <c r="M2504" s="89">
        <v>1480.4516157908872</v>
      </c>
      <c r="N2504" s="85">
        <v>0</v>
      </c>
      <c r="O2504" s="85">
        <v>0</v>
      </c>
      <c r="P2504" s="85">
        <v>22206.774236863308</v>
      </c>
      <c r="Q2504" s="85">
        <v>38716.319040372393</v>
      </c>
      <c r="R2504" s="82" t="s">
        <v>3399</v>
      </c>
      <c r="S2504" s="7">
        <f t="shared" si="118"/>
        <v>0</v>
      </c>
      <c r="T2504" s="6">
        <f t="shared" si="119"/>
        <v>0</v>
      </c>
      <c r="U2504" s="25">
        <f t="shared" si="117"/>
        <v>0</v>
      </c>
    </row>
    <row r="2505" spans="1:21" ht="10.9" customHeight="1" x14ac:dyDescent="0.2">
      <c r="A2505" s="82" t="s">
        <v>3106</v>
      </c>
      <c r="B2505" s="83">
        <v>45960</v>
      </c>
      <c r="C2505" s="82" t="s">
        <v>3395</v>
      </c>
      <c r="D2505" s="82" t="s">
        <v>796</v>
      </c>
      <c r="E2505" s="82"/>
      <c r="F2505" s="82" t="s">
        <v>4630</v>
      </c>
      <c r="G2505" s="89">
        <v>2</v>
      </c>
      <c r="H2505" s="89">
        <v>5901.7</v>
      </c>
      <c r="I2505" s="85">
        <v>0</v>
      </c>
      <c r="J2505" s="85">
        <v>0</v>
      </c>
      <c r="K2505" s="85">
        <v>11803.4</v>
      </c>
      <c r="L2505" s="85">
        <v>27680</v>
      </c>
      <c r="M2505" s="89">
        <v>8254.7724017545424</v>
      </c>
      <c r="N2505" s="85">
        <v>0</v>
      </c>
      <c r="O2505" s="85">
        <v>0</v>
      </c>
      <c r="P2505" s="85">
        <v>16509.544803509085</v>
      </c>
      <c r="Q2505" s="85">
        <v>38716.319040372393</v>
      </c>
      <c r="R2505" s="82" t="s">
        <v>3399</v>
      </c>
      <c r="S2505" s="7">
        <f t="shared" si="118"/>
        <v>0</v>
      </c>
      <c r="T2505" s="6">
        <f t="shared" si="119"/>
        <v>0</v>
      </c>
      <c r="U2505" s="25">
        <f t="shared" si="117"/>
        <v>0</v>
      </c>
    </row>
    <row r="2506" spans="1:21" ht="10.9" customHeight="1" x14ac:dyDescent="0.2">
      <c r="A2506" s="82" t="s">
        <v>2995</v>
      </c>
      <c r="B2506" s="83">
        <v>45960</v>
      </c>
      <c r="C2506" s="82" t="s">
        <v>3395</v>
      </c>
      <c r="D2506" s="82" t="s">
        <v>1006</v>
      </c>
      <c r="E2506" s="82"/>
      <c r="F2506" s="82" t="s">
        <v>4632</v>
      </c>
      <c r="G2506" s="89">
        <v>1</v>
      </c>
      <c r="H2506" s="89">
        <v>22338.5</v>
      </c>
      <c r="I2506" s="85">
        <v>0</v>
      </c>
      <c r="J2506" s="85">
        <v>0</v>
      </c>
      <c r="K2506" s="85">
        <v>22338.5</v>
      </c>
      <c r="L2506" s="85">
        <v>32922.9</v>
      </c>
      <c r="M2506" s="89">
        <v>31245.104511682035</v>
      </c>
      <c r="N2506" s="85">
        <v>0</v>
      </c>
      <c r="O2506" s="85">
        <v>0</v>
      </c>
      <c r="P2506" s="85">
        <v>31245.104511682035</v>
      </c>
      <c r="Q2506" s="85">
        <v>46049.620669590906</v>
      </c>
      <c r="R2506" s="82" t="s">
        <v>3399</v>
      </c>
      <c r="S2506" s="7">
        <f t="shared" si="118"/>
        <v>0</v>
      </c>
      <c r="T2506" s="6">
        <f t="shared" si="119"/>
        <v>0</v>
      </c>
      <c r="U2506" s="25">
        <f t="shared" si="117"/>
        <v>0</v>
      </c>
    </row>
    <row r="2507" spans="1:21" ht="10.9" customHeight="1" x14ac:dyDescent="0.2">
      <c r="A2507" s="82" t="s">
        <v>2995</v>
      </c>
      <c r="B2507" s="83">
        <v>45960</v>
      </c>
      <c r="C2507" s="82" t="s">
        <v>3395</v>
      </c>
      <c r="D2507" s="82" t="s">
        <v>1006</v>
      </c>
      <c r="E2507" s="82"/>
      <c r="F2507" s="82" t="s">
        <v>4631</v>
      </c>
      <c r="G2507" s="89">
        <v>10</v>
      </c>
      <c r="H2507" s="89">
        <v>1058.44</v>
      </c>
      <c r="I2507" s="85">
        <v>0</v>
      </c>
      <c r="J2507" s="85">
        <v>0</v>
      </c>
      <c r="K2507" s="85">
        <v>10584.4</v>
      </c>
      <c r="L2507" s="85">
        <v>32922.9</v>
      </c>
      <c r="M2507" s="89">
        <v>1480.4516157908872</v>
      </c>
      <c r="N2507" s="85">
        <v>0</v>
      </c>
      <c r="O2507" s="85">
        <v>0</v>
      </c>
      <c r="P2507" s="85">
        <v>14804.516157908871</v>
      </c>
      <c r="Q2507" s="85">
        <v>46049.620669590906</v>
      </c>
      <c r="R2507" s="82" t="s">
        <v>3399</v>
      </c>
      <c r="S2507" s="7">
        <f t="shared" si="118"/>
        <v>0</v>
      </c>
      <c r="T2507" s="6">
        <f t="shared" si="119"/>
        <v>0</v>
      </c>
      <c r="U2507" s="25">
        <f t="shared" si="117"/>
        <v>0</v>
      </c>
    </row>
    <row r="2508" spans="1:21" ht="10.9" customHeight="1" x14ac:dyDescent="0.2">
      <c r="A2508" s="82" t="s">
        <v>2995</v>
      </c>
      <c r="B2508" s="83">
        <v>45960</v>
      </c>
      <c r="C2508" s="82" t="s">
        <v>3395</v>
      </c>
      <c r="D2508" s="82" t="s">
        <v>1006</v>
      </c>
      <c r="E2508" s="82"/>
      <c r="F2508" s="82" t="s">
        <v>6086</v>
      </c>
      <c r="G2508" s="89">
        <v>1</v>
      </c>
      <c r="H2508" s="89">
        <v>0</v>
      </c>
      <c r="I2508" s="85">
        <v>0</v>
      </c>
      <c r="J2508" s="85">
        <v>0</v>
      </c>
      <c r="K2508" s="85">
        <v>0</v>
      </c>
      <c r="L2508" s="85">
        <v>32922.9</v>
      </c>
      <c r="M2508" s="89">
        <v>0</v>
      </c>
      <c r="N2508" s="85">
        <v>0</v>
      </c>
      <c r="O2508" s="85">
        <v>0</v>
      </c>
      <c r="P2508" s="85">
        <v>0</v>
      </c>
      <c r="Q2508" s="85">
        <v>46049.620669590906</v>
      </c>
      <c r="R2508" s="82" t="s">
        <v>3399</v>
      </c>
      <c r="S2508" s="7">
        <f t="shared" si="118"/>
        <v>0</v>
      </c>
      <c r="T2508" s="6">
        <f t="shared" si="119"/>
        <v>0</v>
      </c>
      <c r="U2508" s="25">
        <f t="shared" si="117"/>
        <v>0</v>
      </c>
    </row>
    <row r="2509" spans="1:21" ht="10.9" customHeight="1" x14ac:dyDescent="0.2">
      <c r="A2509" s="82" t="s">
        <v>3302</v>
      </c>
      <c r="B2509" s="83">
        <v>45960</v>
      </c>
      <c r="C2509" s="82" t="s">
        <v>3395</v>
      </c>
      <c r="D2509" s="82" t="s">
        <v>363</v>
      </c>
      <c r="E2509" s="82"/>
      <c r="F2509" s="82" t="s">
        <v>4629</v>
      </c>
      <c r="G2509" s="89">
        <v>8</v>
      </c>
      <c r="H2509" s="89">
        <v>673.64</v>
      </c>
      <c r="I2509" s="85">
        <v>0</v>
      </c>
      <c r="J2509" s="85">
        <v>0</v>
      </c>
      <c r="K2509" s="85">
        <v>5389.12</v>
      </c>
      <c r="L2509" s="85">
        <v>5389.12</v>
      </c>
      <c r="M2509" s="89">
        <v>941.9035501055663</v>
      </c>
      <c r="N2509" s="85">
        <v>0</v>
      </c>
      <c r="O2509" s="85">
        <v>0</v>
      </c>
      <c r="P2509" s="85">
        <v>7535.2284008445304</v>
      </c>
      <c r="Q2509" s="85">
        <v>7535.2284008445304</v>
      </c>
      <c r="R2509" s="82" t="s">
        <v>3396</v>
      </c>
      <c r="S2509" s="7">
        <f t="shared" si="118"/>
        <v>0</v>
      </c>
      <c r="T2509" s="6">
        <f t="shared" si="119"/>
        <v>0</v>
      </c>
      <c r="U2509" s="25">
        <f t="shared" si="117"/>
        <v>0</v>
      </c>
    </row>
    <row r="2510" spans="1:21" ht="10.9" customHeight="1" x14ac:dyDescent="0.2">
      <c r="A2510" s="82" t="s">
        <v>2993</v>
      </c>
      <c r="B2510" s="83">
        <v>45960</v>
      </c>
      <c r="C2510" s="82" t="s">
        <v>3395</v>
      </c>
      <c r="D2510" s="82" t="s">
        <v>1008</v>
      </c>
      <c r="E2510" s="82"/>
      <c r="F2510" s="82" t="s">
        <v>4628</v>
      </c>
      <c r="G2510" s="89">
        <v>1</v>
      </c>
      <c r="H2510" s="89">
        <v>1701.41</v>
      </c>
      <c r="I2510" s="85">
        <v>0</v>
      </c>
      <c r="J2510" s="85">
        <v>0</v>
      </c>
      <c r="K2510" s="85">
        <v>1701.41</v>
      </c>
      <c r="L2510" s="85">
        <v>1701.41</v>
      </c>
      <c r="M2510" s="89">
        <v>2378.9622338119939</v>
      </c>
      <c r="N2510" s="85">
        <v>0</v>
      </c>
      <c r="O2510" s="85">
        <v>0</v>
      </c>
      <c r="P2510" s="85">
        <v>2378.9622338119939</v>
      </c>
      <c r="Q2510" s="85">
        <v>2378.9622338119939</v>
      </c>
      <c r="R2510" s="82" t="s">
        <v>3396</v>
      </c>
      <c r="S2510" s="7">
        <f t="shared" si="118"/>
        <v>0</v>
      </c>
      <c r="T2510" s="6">
        <f t="shared" si="119"/>
        <v>0</v>
      </c>
      <c r="U2510" s="25">
        <f t="shared" si="117"/>
        <v>0</v>
      </c>
    </row>
    <row r="2511" spans="1:21" ht="10.9" customHeight="1" x14ac:dyDescent="0.2">
      <c r="A2511" s="82" t="s">
        <v>3322</v>
      </c>
      <c r="B2511" s="83">
        <v>45960</v>
      </c>
      <c r="C2511" s="82" t="s">
        <v>3395</v>
      </c>
      <c r="D2511" s="82" t="s">
        <v>318</v>
      </c>
      <c r="E2511" s="82"/>
      <c r="F2511" s="82" t="s">
        <v>4640</v>
      </c>
      <c r="G2511" s="89">
        <v>2</v>
      </c>
      <c r="H2511" s="89">
        <v>1144.06</v>
      </c>
      <c r="I2511" s="85">
        <v>0</v>
      </c>
      <c r="J2511" s="85">
        <v>114.41</v>
      </c>
      <c r="K2511" s="85">
        <v>2402.5300000000002</v>
      </c>
      <c r="L2511" s="85">
        <v>3613.55</v>
      </c>
      <c r="M2511" s="89">
        <v>1144.06</v>
      </c>
      <c r="N2511" s="85">
        <v>0</v>
      </c>
      <c r="O2511" s="85">
        <v>114.41</v>
      </c>
      <c r="P2511" s="85">
        <v>2402.5300000000002</v>
      </c>
      <c r="Q2511" s="85">
        <v>3613.55</v>
      </c>
      <c r="R2511" s="82" t="s">
        <v>3399</v>
      </c>
      <c r="S2511" s="7">
        <f t="shared" si="118"/>
        <v>0</v>
      </c>
      <c r="T2511" s="6">
        <f t="shared" si="119"/>
        <v>0</v>
      </c>
      <c r="U2511" s="25">
        <f t="shared" si="117"/>
        <v>0</v>
      </c>
    </row>
    <row r="2512" spans="1:21" ht="10.9" customHeight="1" x14ac:dyDescent="0.2">
      <c r="A2512" s="82" t="s">
        <v>3322</v>
      </c>
      <c r="B2512" s="83">
        <v>45960</v>
      </c>
      <c r="C2512" s="82" t="s">
        <v>3395</v>
      </c>
      <c r="D2512" s="82" t="s">
        <v>318</v>
      </c>
      <c r="E2512" s="82"/>
      <c r="F2512" s="82" t="s">
        <v>4639</v>
      </c>
      <c r="G2512" s="89">
        <v>2</v>
      </c>
      <c r="H2512" s="89">
        <v>334.89</v>
      </c>
      <c r="I2512" s="85">
        <v>0</v>
      </c>
      <c r="J2512" s="85">
        <v>33.49</v>
      </c>
      <c r="K2512" s="85">
        <v>703.27</v>
      </c>
      <c r="L2512" s="85">
        <v>3613.55</v>
      </c>
      <c r="M2512" s="89">
        <v>334.89</v>
      </c>
      <c r="N2512" s="85">
        <v>0</v>
      </c>
      <c r="O2512" s="85">
        <v>33.49</v>
      </c>
      <c r="P2512" s="85">
        <v>703.27</v>
      </c>
      <c r="Q2512" s="85">
        <v>3613.55</v>
      </c>
      <c r="R2512" s="82" t="s">
        <v>3399</v>
      </c>
      <c r="S2512" s="7">
        <f t="shared" si="118"/>
        <v>0</v>
      </c>
      <c r="T2512" s="6">
        <f t="shared" si="119"/>
        <v>0</v>
      </c>
      <c r="U2512" s="25">
        <f t="shared" si="117"/>
        <v>0</v>
      </c>
    </row>
    <row r="2513" spans="1:21" ht="10.9" customHeight="1" x14ac:dyDescent="0.2">
      <c r="A2513" s="82" t="s">
        <v>3322</v>
      </c>
      <c r="B2513" s="83">
        <v>45960</v>
      </c>
      <c r="C2513" s="82" t="s">
        <v>3395</v>
      </c>
      <c r="D2513" s="82" t="s">
        <v>318</v>
      </c>
      <c r="E2513" s="82"/>
      <c r="F2513" s="82" t="s">
        <v>4591</v>
      </c>
      <c r="G2513" s="89">
        <v>2</v>
      </c>
      <c r="H2513" s="89">
        <v>135.4</v>
      </c>
      <c r="I2513" s="85">
        <v>0</v>
      </c>
      <c r="J2513" s="85">
        <v>13.54</v>
      </c>
      <c r="K2513" s="85">
        <v>284.33999999999997</v>
      </c>
      <c r="L2513" s="85">
        <v>3613.55</v>
      </c>
      <c r="M2513" s="89">
        <v>135.4</v>
      </c>
      <c r="N2513" s="85">
        <v>0</v>
      </c>
      <c r="O2513" s="85">
        <v>13.54</v>
      </c>
      <c r="P2513" s="85">
        <v>284.33999999999997</v>
      </c>
      <c r="Q2513" s="85">
        <v>3613.55</v>
      </c>
      <c r="R2513" s="82" t="s">
        <v>3399</v>
      </c>
      <c r="S2513" s="7">
        <f t="shared" si="118"/>
        <v>0</v>
      </c>
      <c r="T2513" s="6">
        <f t="shared" si="119"/>
        <v>0</v>
      </c>
      <c r="U2513" s="25">
        <f t="shared" si="117"/>
        <v>0</v>
      </c>
    </row>
    <row r="2514" spans="1:21" ht="10.9" customHeight="1" x14ac:dyDescent="0.2">
      <c r="A2514" s="82" t="s">
        <v>3322</v>
      </c>
      <c r="B2514" s="83">
        <v>45960</v>
      </c>
      <c r="C2514" s="82" t="s">
        <v>3395</v>
      </c>
      <c r="D2514" s="82" t="s">
        <v>318</v>
      </c>
      <c r="E2514" s="82"/>
      <c r="F2514" s="82" t="s">
        <v>4638</v>
      </c>
      <c r="G2514" s="89">
        <v>2</v>
      </c>
      <c r="H2514" s="89">
        <v>73.94</v>
      </c>
      <c r="I2514" s="85">
        <v>0</v>
      </c>
      <c r="J2514" s="85">
        <v>7.39</v>
      </c>
      <c r="K2514" s="85">
        <v>155.27000000000001</v>
      </c>
      <c r="L2514" s="85">
        <v>3613.55</v>
      </c>
      <c r="M2514" s="89">
        <v>73.94</v>
      </c>
      <c r="N2514" s="85">
        <v>0</v>
      </c>
      <c r="O2514" s="85">
        <v>7.39</v>
      </c>
      <c r="P2514" s="85">
        <v>155.27000000000001</v>
      </c>
      <c r="Q2514" s="85">
        <v>3613.55</v>
      </c>
      <c r="R2514" s="82" t="s">
        <v>3399</v>
      </c>
      <c r="S2514" s="7">
        <f t="shared" si="118"/>
        <v>0</v>
      </c>
      <c r="T2514" s="6">
        <f t="shared" si="119"/>
        <v>0</v>
      </c>
      <c r="U2514" s="25">
        <f t="shared" si="117"/>
        <v>0</v>
      </c>
    </row>
    <row r="2515" spans="1:21" ht="10.9" customHeight="1" x14ac:dyDescent="0.2">
      <c r="A2515" s="82" t="s">
        <v>3322</v>
      </c>
      <c r="B2515" s="83">
        <v>45960</v>
      </c>
      <c r="C2515" s="82" t="s">
        <v>3395</v>
      </c>
      <c r="D2515" s="82" t="s">
        <v>318</v>
      </c>
      <c r="E2515" s="82"/>
      <c r="F2515" s="82" t="s">
        <v>4637</v>
      </c>
      <c r="G2515" s="89">
        <v>2</v>
      </c>
      <c r="H2515" s="89">
        <v>21.97</v>
      </c>
      <c r="I2515" s="85">
        <v>0</v>
      </c>
      <c r="J2515" s="85">
        <v>2.2000000000000002</v>
      </c>
      <c r="K2515" s="85">
        <v>46.14</v>
      </c>
      <c r="L2515" s="85">
        <v>3613.55</v>
      </c>
      <c r="M2515" s="89">
        <v>21.97</v>
      </c>
      <c r="N2515" s="85">
        <v>0</v>
      </c>
      <c r="O2515" s="85">
        <v>2.2000000000000002</v>
      </c>
      <c r="P2515" s="85">
        <v>46.14</v>
      </c>
      <c r="Q2515" s="85">
        <v>3613.55</v>
      </c>
      <c r="R2515" s="82" t="s">
        <v>3399</v>
      </c>
      <c r="S2515" s="7">
        <f t="shared" si="118"/>
        <v>0</v>
      </c>
      <c r="T2515" s="6">
        <f t="shared" si="119"/>
        <v>0</v>
      </c>
      <c r="U2515" s="25">
        <f t="shared" si="117"/>
        <v>0</v>
      </c>
    </row>
    <row r="2516" spans="1:21" ht="10.9" customHeight="1" x14ac:dyDescent="0.2">
      <c r="A2516" s="82" t="s">
        <v>3322</v>
      </c>
      <c r="B2516" s="83">
        <v>45960</v>
      </c>
      <c r="C2516" s="82" t="s">
        <v>3395</v>
      </c>
      <c r="D2516" s="82" t="s">
        <v>318</v>
      </c>
      <c r="E2516" s="82"/>
      <c r="F2516" s="82" t="s">
        <v>4617</v>
      </c>
      <c r="G2516" s="89">
        <v>1</v>
      </c>
      <c r="H2516" s="89">
        <v>20.95</v>
      </c>
      <c r="I2516" s="85">
        <v>0</v>
      </c>
      <c r="J2516" s="85">
        <v>1.05</v>
      </c>
      <c r="K2516" s="85">
        <v>22</v>
      </c>
      <c r="L2516" s="85">
        <v>3613.55</v>
      </c>
      <c r="M2516" s="89">
        <v>20.95</v>
      </c>
      <c r="N2516" s="85">
        <v>0</v>
      </c>
      <c r="O2516" s="85">
        <v>1.05</v>
      </c>
      <c r="P2516" s="85">
        <v>22</v>
      </c>
      <c r="Q2516" s="85">
        <v>3613.55</v>
      </c>
      <c r="R2516" s="82" t="s">
        <v>3399</v>
      </c>
      <c r="S2516" s="7">
        <f t="shared" si="118"/>
        <v>0</v>
      </c>
      <c r="T2516" s="6">
        <f t="shared" si="119"/>
        <v>0</v>
      </c>
      <c r="U2516" s="25">
        <f t="shared" si="117"/>
        <v>0</v>
      </c>
    </row>
    <row r="2517" spans="1:21" ht="10.9" customHeight="1" x14ac:dyDescent="0.2">
      <c r="A2517" s="82" t="s">
        <v>3258</v>
      </c>
      <c r="B2517" s="83">
        <v>45960</v>
      </c>
      <c r="C2517" s="82" t="s">
        <v>3395</v>
      </c>
      <c r="D2517" s="82" t="s">
        <v>484</v>
      </c>
      <c r="E2517" s="82"/>
      <c r="F2517" s="82" t="s">
        <v>4636</v>
      </c>
      <c r="G2517" s="89">
        <v>1</v>
      </c>
      <c r="H2517" s="89">
        <v>765.02</v>
      </c>
      <c r="I2517" s="85">
        <v>0</v>
      </c>
      <c r="J2517" s="85">
        <v>38.25</v>
      </c>
      <c r="K2517" s="85">
        <v>803.27</v>
      </c>
      <c r="L2517" s="85">
        <v>803.27</v>
      </c>
      <c r="M2517" s="89">
        <v>765.02</v>
      </c>
      <c r="N2517" s="85">
        <v>0</v>
      </c>
      <c r="O2517" s="85">
        <v>38.25</v>
      </c>
      <c r="P2517" s="85">
        <v>803.27</v>
      </c>
      <c r="Q2517" s="85">
        <v>803.27</v>
      </c>
      <c r="R2517" s="82" t="s">
        <v>3399</v>
      </c>
      <c r="S2517" s="7">
        <f t="shared" si="118"/>
        <v>0</v>
      </c>
      <c r="T2517" s="6">
        <f t="shared" si="119"/>
        <v>0</v>
      </c>
      <c r="U2517" s="25">
        <f t="shared" si="117"/>
        <v>0</v>
      </c>
    </row>
    <row r="2518" spans="1:21" ht="10.9" customHeight="1" x14ac:dyDescent="0.2">
      <c r="A2518" s="82" t="s">
        <v>3153</v>
      </c>
      <c r="B2518" s="83">
        <v>45960</v>
      </c>
      <c r="C2518" s="82" t="s">
        <v>3395</v>
      </c>
      <c r="D2518" s="82" t="s">
        <v>704</v>
      </c>
      <c r="E2518" s="82"/>
      <c r="F2518" s="82" t="s">
        <v>4644</v>
      </c>
      <c r="G2518" s="89">
        <v>1</v>
      </c>
      <c r="H2518" s="89">
        <v>586.71</v>
      </c>
      <c r="I2518" s="85">
        <v>0</v>
      </c>
      <c r="J2518" s="85">
        <v>76.27</v>
      </c>
      <c r="K2518" s="85">
        <v>662.98</v>
      </c>
      <c r="L2518" s="85">
        <v>662.98</v>
      </c>
      <c r="M2518" s="89">
        <v>586.71</v>
      </c>
      <c r="N2518" s="85">
        <v>0</v>
      </c>
      <c r="O2518" s="85">
        <v>76.27</v>
      </c>
      <c r="P2518" s="85">
        <v>662.98</v>
      </c>
      <c r="Q2518" s="85">
        <v>662.98</v>
      </c>
      <c r="R2518" s="82" t="s">
        <v>3399</v>
      </c>
      <c r="S2518" s="7">
        <f t="shared" si="118"/>
        <v>0</v>
      </c>
      <c r="T2518" s="6">
        <f t="shared" si="119"/>
        <v>0</v>
      </c>
      <c r="U2518" s="25">
        <f t="shared" si="117"/>
        <v>0</v>
      </c>
    </row>
    <row r="2519" spans="1:21" ht="10.9" customHeight="1" x14ac:dyDescent="0.2">
      <c r="A2519" s="82" t="s">
        <v>3199</v>
      </c>
      <c r="B2519" s="83">
        <v>45960</v>
      </c>
      <c r="C2519" s="82" t="s">
        <v>3395</v>
      </c>
      <c r="D2519" s="82" t="s">
        <v>611</v>
      </c>
      <c r="E2519" s="82"/>
      <c r="F2519" s="82" t="s">
        <v>4607</v>
      </c>
      <c r="G2519" s="89">
        <v>1</v>
      </c>
      <c r="H2519" s="89">
        <v>178.22</v>
      </c>
      <c r="I2519" s="85">
        <v>0</v>
      </c>
      <c r="J2519" s="85">
        <v>23.17</v>
      </c>
      <c r="K2519" s="85">
        <v>201.39</v>
      </c>
      <c r="L2519" s="85">
        <v>201.39</v>
      </c>
      <c r="M2519" s="89">
        <v>178.22</v>
      </c>
      <c r="N2519" s="85">
        <v>0</v>
      </c>
      <c r="O2519" s="85">
        <v>23.17</v>
      </c>
      <c r="P2519" s="85">
        <v>201.39</v>
      </c>
      <c r="Q2519" s="85">
        <v>201.39</v>
      </c>
      <c r="R2519" s="82" t="s">
        <v>3399</v>
      </c>
      <c r="S2519" s="7">
        <f t="shared" si="118"/>
        <v>0</v>
      </c>
      <c r="T2519" s="6">
        <f t="shared" si="119"/>
        <v>0</v>
      </c>
      <c r="U2519" s="25">
        <f t="shared" si="117"/>
        <v>0</v>
      </c>
    </row>
    <row r="2520" spans="1:21" ht="10.9" customHeight="1" x14ac:dyDescent="0.2">
      <c r="A2520" s="82" t="s">
        <v>3280</v>
      </c>
      <c r="B2520" s="83">
        <v>45960</v>
      </c>
      <c r="C2520" s="82" t="s">
        <v>3395</v>
      </c>
      <c r="D2520" s="82" t="s">
        <v>431</v>
      </c>
      <c r="E2520" s="82"/>
      <c r="F2520" s="82" t="s">
        <v>4643</v>
      </c>
      <c r="G2520" s="89">
        <v>1</v>
      </c>
      <c r="H2520" s="89">
        <v>1173.25</v>
      </c>
      <c r="I2520" s="85">
        <v>0</v>
      </c>
      <c r="J2520" s="85">
        <v>58.66</v>
      </c>
      <c r="K2520" s="85">
        <v>1231.9100000000001</v>
      </c>
      <c r="L2520" s="85">
        <v>1231.9100000000001</v>
      </c>
      <c r="M2520" s="89">
        <v>1173.25</v>
      </c>
      <c r="N2520" s="85">
        <v>0</v>
      </c>
      <c r="O2520" s="85">
        <v>58.66</v>
      </c>
      <c r="P2520" s="85">
        <v>1231.9100000000001</v>
      </c>
      <c r="Q2520" s="85">
        <v>1231.9100000000001</v>
      </c>
      <c r="R2520" s="82" t="s">
        <v>3399</v>
      </c>
      <c r="S2520" s="7">
        <f t="shared" si="118"/>
        <v>0</v>
      </c>
      <c r="T2520" s="6">
        <f t="shared" si="119"/>
        <v>0</v>
      </c>
      <c r="U2520" s="25">
        <f t="shared" si="117"/>
        <v>0</v>
      </c>
    </row>
    <row r="2521" spans="1:21" ht="10.9" customHeight="1" x14ac:dyDescent="0.2">
      <c r="A2521" s="82" t="s">
        <v>3293</v>
      </c>
      <c r="B2521" s="83">
        <v>45960</v>
      </c>
      <c r="C2521" s="82" t="s">
        <v>3395</v>
      </c>
      <c r="D2521" s="82" t="s">
        <v>389</v>
      </c>
      <c r="E2521" s="82"/>
      <c r="F2521" s="82" t="s">
        <v>4642</v>
      </c>
      <c r="G2521" s="89">
        <v>1</v>
      </c>
      <c r="H2521" s="89">
        <v>164.89</v>
      </c>
      <c r="I2521" s="85">
        <v>0</v>
      </c>
      <c r="J2521" s="85">
        <v>8.24</v>
      </c>
      <c r="K2521" s="85">
        <v>173.13</v>
      </c>
      <c r="L2521" s="85">
        <v>173.13</v>
      </c>
      <c r="M2521" s="89">
        <v>164.89</v>
      </c>
      <c r="N2521" s="85">
        <v>0</v>
      </c>
      <c r="O2521" s="85">
        <v>8.24</v>
      </c>
      <c r="P2521" s="85">
        <v>173.13</v>
      </c>
      <c r="Q2521" s="85">
        <v>173.13</v>
      </c>
      <c r="R2521" s="82" t="s">
        <v>3399</v>
      </c>
      <c r="S2521" s="7">
        <f t="shared" si="118"/>
        <v>0</v>
      </c>
      <c r="T2521" s="6">
        <f t="shared" si="119"/>
        <v>0</v>
      </c>
      <c r="U2521" s="25">
        <f t="shared" si="117"/>
        <v>0</v>
      </c>
    </row>
    <row r="2522" spans="1:21" ht="10.9" customHeight="1" x14ac:dyDescent="0.2">
      <c r="A2522" s="82" t="s">
        <v>3283</v>
      </c>
      <c r="B2522" s="83">
        <v>45960</v>
      </c>
      <c r="C2522" s="82" t="s">
        <v>3395</v>
      </c>
      <c r="D2522" s="82" t="s">
        <v>415</v>
      </c>
      <c r="E2522" s="82"/>
      <c r="F2522" s="82" t="s">
        <v>4641</v>
      </c>
      <c r="G2522" s="89">
        <v>1</v>
      </c>
      <c r="H2522" s="89">
        <v>168.59</v>
      </c>
      <c r="I2522" s="85">
        <v>0</v>
      </c>
      <c r="J2522" s="85">
        <v>8.43</v>
      </c>
      <c r="K2522" s="85">
        <v>177.02</v>
      </c>
      <c r="L2522" s="85">
        <v>177.02</v>
      </c>
      <c r="M2522" s="89">
        <v>168.59</v>
      </c>
      <c r="N2522" s="85">
        <v>0</v>
      </c>
      <c r="O2522" s="85">
        <v>8.43</v>
      </c>
      <c r="P2522" s="85">
        <v>177.02</v>
      </c>
      <c r="Q2522" s="85">
        <v>177.02</v>
      </c>
      <c r="R2522" s="82" t="s">
        <v>3399</v>
      </c>
      <c r="S2522" s="7">
        <f t="shared" si="118"/>
        <v>0</v>
      </c>
      <c r="T2522" s="6">
        <f t="shared" si="119"/>
        <v>0</v>
      </c>
      <c r="U2522" s="25">
        <f t="shared" si="117"/>
        <v>0</v>
      </c>
    </row>
    <row r="2523" spans="1:21" ht="10.9" customHeight="1" x14ac:dyDescent="0.2">
      <c r="A2523" s="82" t="s">
        <v>3157</v>
      </c>
      <c r="B2523" s="83">
        <v>45960</v>
      </c>
      <c r="C2523" s="82" t="s">
        <v>3395</v>
      </c>
      <c r="D2523" s="82" t="s">
        <v>698</v>
      </c>
      <c r="E2523" s="82"/>
      <c r="F2523" s="82" t="s">
        <v>4627</v>
      </c>
      <c r="G2523" s="89">
        <v>1</v>
      </c>
      <c r="H2523" s="89">
        <v>214.2</v>
      </c>
      <c r="I2523" s="85">
        <v>0</v>
      </c>
      <c r="J2523" s="85">
        <v>10.71</v>
      </c>
      <c r="K2523" s="85">
        <v>224.91</v>
      </c>
      <c r="L2523" s="85">
        <v>224.91</v>
      </c>
      <c r="M2523" s="89">
        <v>214.2</v>
      </c>
      <c r="N2523" s="85">
        <v>0</v>
      </c>
      <c r="O2523" s="85">
        <v>10.71</v>
      </c>
      <c r="P2523" s="85">
        <v>224.91</v>
      </c>
      <c r="Q2523" s="85">
        <v>224.91</v>
      </c>
      <c r="R2523" s="82" t="s">
        <v>3399</v>
      </c>
      <c r="S2523" s="7">
        <f t="shared" si="118"/>
        <v>0</v>
      </c>
      <c r="T2523" s="6">
        <f t="shared" si="119"/>
        <v>0</v>
      </c>
      <c r="U2523" s="25">
        <f t="shared" si="117"/>
        <v>0</v>
      </c>
    </row>
    <row r="2524" spans="1:21" ht="10.9" customHeight="1" x14ac:dyDescent="0.2">
      <c r="A2524" s="82" t="s">
        <v>2881</v>
      </c>
      <c r="B2524" s="83">
        <v>45960</v>
      </c>
      <c r="C2524" s="82" t="s">
        <v>3395</v>
      </c>
      <c r="D2524" s="82" t="s">
        <v>1200</v>
      </c>
      <c r="E2524" s="82"/>
      <c r="F2524" s="82" t="s">
        <v>4635</v>
      </c>
      <c r="G2524" s="89">
        <v>2</v>
      </c>
      <c r="H2524" s="89">
        <v>21865.22</v>
      </c>
      <c r="I2524" s="85">
        <v>0</v>
      </c>
      <c r="J2524" s="85">
        <v>5684.96</v>
      </c>
      <c r="K2524" s="85">
        <v>49415.4</v>
      </c>
      <c r="L2524" s="85">
        <v>49415.4</v>
      </c>
      <c r="M2524" s="89">
        <v>21865.22</v>
      </c>
      <c r="N2524" s="85">
        <v>0</v>
      </c>
      <c r="O2524" s="85">
        <v>5684.96</v>
      </c>
      <c r="P2524" s="85">
        <v>49415.4</v>
      </c>
      <c r="Q2524" s="85">
        <v>49415.4</v>
      </c>
      <c r="R2524" s="82" t="s">
        <v>3399</v>
      </c>
      <c r="S2524" s="7">
        <f t="shared" si="118"/>
        <v>0</v>
      </c>
      <c r="T2524" s="6">
        <f t="shared" si="119"/>
        <v>0</v>
      </c>
      <c r="U2524" s="25">
        <f t="shared" si="117"/>
        <v>0</v>
      </c>
    </row>
    <row r="2525" spans="1:21" ht="10.9" customHeight="1" x14ac:dyDescent="0.2">
      <c r="A2525" s="82" t="s">
        <v>2933</v>
      </c>
      <c r="B2525" s="83">
        <v>45961</v>
      </c>
      <c r="C2525" s="82" t="s">
        <v>3395</v>
      </c>
      <c r="D2525" s="82" t="s">
        <v>1111</v>
      </c>
      <c r="E2525" s="82"/>
      <c r="F2525" s="82" t="s">
        <v>4626</v>
      </c>
      <c r="G2525" s="89">
        <v>1</v>
      </c>
      <c r="H2525" s="89">
        <v>12300</v>
      </c>
      <c r="I2525" s="85">
        <v>0</v>
      </c>
      <c r="J2525" s="85">
        <v>0</v>
      </c>
      <c r="K2525" s="85">
        <v>12300</v>
      </c>
      <c r="L2525" s="85">
        <v>12300</v>
      </c>
      <c r="M2525" s="89">
        <v>17238.213896803361</v>
      </c>
      <c r="N2525" s="85">
        <v>0</v>
      </c>
      <c r="O2525" s="85">
        <v>0</v>
      </c>
      <c r="P2525" s="85">
        <v>17238.213896803361</v>
      </c>
      <c r="Q2525" s="85">
        <v>17238.213896803361</v>
      </c>
      <c r="R2525" s="82" t="s">
        <v>3396</v>
      </c>
      <c r="S2525" s="7">
        <f t="shared" si="118"/>
        <v>0</v>
      </c>
      <c r="T2525" s="6">
        <f t="shared" si="119"/>
        <v>0</v>
      </c>
      <c r="U2525" s="25">
        <f t="shared" si="117"/>
        <v>0</v>
      </c>
    </row>
    <row r="2526" spans="1:21" ht="10.9" customHeight="1" x14ac:dyDescent="0.2">
      <c r="A2526" s="82" t="s">
        <v>2918</v>
      </c>
      <c r="B2526" s="83">
        <v>45961</v>
      </c>
      <c r="C2526" s="82" t="s">
        <v>3395</v>
      </c>
      <c r="D2526" s="82" t="s">
        <v>1134</v>
      </c>
      <c r="E2526" s="82"/>
      <c r="F2526" s="82" t="s">
        <v>4626</v>
      </c>
      <c r="G2526" s="89">
        <v>1</v>
      </c>
      <c r="H2526" s="89">
        <v>12300</v>
      </c>
      <c r="I2526" s="85">
        <v>0</v>
      </c>
      <c r="J2526" s="85">
        <v>0</v>
      </c>
      <c r="K2526" s="85">
        <v>12300</v>
      </c>
      <c r="L2526" s="85">
        <v>12300</v>
      </c>
      <c r="M2526" s="89">
        <v>17238.213896803361</v>
      </c>
      <c r="N2526" s="85">
        <v>0</v>
      </c>
      <c r="O2526" s="85">
        <v>0</v>
      </c>
      <c r="P2526" s="85">
        <v>17238.213896803361</v>
      </c>
      <c r="Q2526" s="85">
        <v>17238.213896803361</v>
      </c>
      <c r="R2526" s="82" t="s">
        <v>3396</v>
      </c>
      <c r="S2526" s="7">
        <f t="shared" si="118"/>
        <v>0</v>
      </c>
      <c r="T2526" s="6">
        <f t="shared" si="119"/>
        <v>0</v>
      </c>
      <c r="U2526" s="25">
        <f t="shared" si="117"/>
        <v>0</v>
      </c>
    </row>
    <row r="2527" spans="1:21" ht="10.9" customHeight="1" x14ac:dyDescent="0.2">
      <c r="A2527" s="82" t="s">
        <v>3205</v>
      </c>
      <c r="B2527" s="83">
        <v>45961</v>
      </c>
      <c r="C2527" s="82" t="s">
        <v>3395</v>
      </c>
      <c r="D2527" s="82" t="s">
        <v>598</v>
      </c>
      <c r="E2527" s="82"/>
      <c r="F2527" s="82" t="s">
        <v>4625</v>
      </c>
      <c r="G2527" s="89">
        <v>2</v>
      </c>
      <c r="H2527" s="89">
        <v>1307</v>
      </c>
      <c r="I2527" s="85">
        <v>0</v>
      </c>
      <c r="J2527" s="85">
        <v>0</v>
      </c>
      <c r="K2527" s="85">
        <v>2614</v>
      </c>
      <c r="L2527" s="85">
        <v>4420.59</v>
      </c>
      <c r="M2527" s="89">
        <v>1832.9761811266562</v>
      </c>
      <c r="N2527" s="85">
        <v>0</v>
      </c>
      <c r="O2527" s="85">
        <v>0</v>
      </c>
      <c r="P2527" s="85">
        <v>3665.9523622533125</v>
      </c>
      <c r="Q2527" s="85">
        <v>6199.5686124917256</v>
      </c>
      <c r="R2527" s="82" t="s">
        <v>3399</v>
      </c>
      <c r="S2527" s="7">
        <f t="shared" si="118"/>
        <v>0</v>
      </c>
      <c r="T2527" s="6">
        <f t="shared" si="119"/>
        <v>0</v>
      </c>
      <c r="U2527" s="25">
        <f t="shared" si="117"/>
        <v>0</v>
      </c>
    </row>
    <row r="2528" spans="1:21" ht="10.9" customHeight="1" x14ac:dyDescent="0.2">
      <c r="A2528" s="82" t="s">
        <v>3205</v>
      </c>
      <c r="B2528" s="83">
        <v>45961</v>
      </c>
      <c r="C2528" s="82" t="s">
        <v>3395</v>
      </c>
      <c r="D2528" s="82" t="s">
        <v>598</v>
      </c>
      <c r="E2528" s="82"/>
      <c r="F2528" s="82" t="s">
        <v>4624</v>
      </c>
      <c r="G2528" s="89">
        <v>1</v>
      </c>
      <c r="H2528" s="89">
        <v>915.62</v>
      </c>
      <c r="I2528" s="85">
        <v>0</v>
      </c>
      <c r="J2528" s="85">
        <v>0</v>
      </c>
      <c r="K2528" s="85">
        <v>915.62</v>
      </c>
      <c r="L2528" s="85">
        <v>4420.59</v>
      </c>
      <c r="M2528" s="89">
        <v>1284.0930764829295</v>
      </c>
      <c r="N2528" s="85">
        <v>0</v>
      </c>
      <c r="O2528" s="85">
        <v>0</v>
      </c>
      <c r="P2528" s="85">
        <v>1284.0930764829295</v>
      </c>
      <c r="Q2528" s="85">
        <v>6199.5686124917256</v>
      </c>
      <c r="R2528" s="82" t="s">
        <v>3399</v>
      </c>
      <c r="S2528" s="7">
        <f t="shared" si="118"/>
        <v>0</v>
      </c>
      <c r="T2528" s="6">
        <f t="shared" si="119"/>
        <v>0</v>
      </c>
      <c r="U2528" s="25">
        <f t="shared" si="117"/>
        <v>0</v>
      </c>
    </row>
    <row r="2529" spans="1:21" ht="10.9" customHeight="1" x14ac:dyDescent="0.2">
      <c r="A2529" s="82" t="s">
        <v>3205</v>
      </c>
      <c r="B2529" s="83">
        <v>45961</v>
      </c>
      <c r="C2529" s="82" t="s">
        <v>3395</v>
      </c>
      <c r="D2529" s="82" t="s">
        <v>598</v>
      </c>
      <c r="E2529" s="82"/>
      <c r="F2529" s="82" t="s">
        <v>4623</v>
      </c>
      <c r="G2529" s="89">
        <v>1</v>
      </c>
      <c r="H2529" s="89">
        <v>890.97</v>
      </c>
      <c r="I2529" s="85">
        <v>0</v>
      </c>
      <c r="J2529" s="85">
        <v>0</v>
      </c>
      <c r="K2529" s="85">
        <v>890.97</v>
      </c>
      <c r="L2529" s="85">
        <v>4420.59</v>
      </c>
      <c r="M2529" s="89">
        <v>1249.5231737554834</v>
      </c>
      <c r="N2529" s="85">
        <v>0</v>
      </c>
      <c r="O2529" s="85">
        <v>0</v>
      </c>
      <c r="P2529" s="85">
        <v>1249.5231737554834</v>
      </c>
      <c r="Q2529" s="85">
        <v>6199.5686124917256</v>
      </c>
      <c r="R2529" s="82" t="s">
        <v>3399</v>
      </c>
      <c r="S2529" s="7">
        <f t="shared" si="118"/>
        <v>0</v>
      </c>
      <c r="T2529" s="6">
        <f t="shared" si="119"/>
        <v>0</v>
      </c>
      <c r="U2529" s="25">
        <f t="shared" si="117"/>
        <v>0</v>
      </c>
    </row>
    <row r="2530" spans="1:21" ht="10.9" customHeight="1" x14ac:dyDescent="0.2">
      <c r="A2530" s="82" t="s">
        <v>3319</v>
      </c>
      <c r="B2530" s="83">
        <v>45964</v>
      </c>
      <c r="C2530" s="82" t="s">
        <v>3395</v>
      </c>
      <c r="D2530" s="82" t="s">
        <v>322</v>
      </c>
      <c r="E2530" s="82"/>
      <c r="F2530" s="82" t="s">
        <v>4416</v>
      </c>
      <c r="G2530" s="89">
        <v>1</v>
      </c>
      <c r="H2530" s="89">
        <v>1478.95</v>
      </c>
      <c r="I2530" s="85">
        <v>0</v>
      </c>
      <c r="J2530" s="85">
        <v>0</v>
      </c>
      <c r="K2530" s="85">
        <v>1478.95</v>
      </c>
      <c r="L2530" s="85">
        <v>1478.95</v>
      </c>
      <c r="M2530" s="89">
        <v>2079.7006479773208</v>
      </c>
      <c r="N2530" s="85">
        <v>0</v>
      </c>
      <c r="O2530" s="85">
        <v>0</v>
      </c>
      <c r="P2530" s="85">
        <v>2079.7006479773208</v>
      </c>
      <c r="Q2530" s="85">
        <v>2079.7006479773208</v>
      </c>
      <c r="R2530" s="82" t="s">
        <v>3396</v>
      </c>
      <c r="S2530" s="7">
        <f t="shared" si="118"/>
        <v>0</v>
      </c>
      <c r="T2530" s="6">
        <f t="shared" si="119"/>
        <v>0</v>
      </c>
      <c r="U2530" s="25">
        <f t="shared" si="117"/>
        <v>0</v>
      </c>
    </row>
    <row r="2531" spans="1:21" ht="10.9" customHeight="1" x14ac:dyDescent="0.2">
      <c r="A2531" s="82" t="s">
        <v>3317</v>
      </c>
      <c r="B2531" s="83">
        <v>45964</v>
      </c>
      <c r="C2531" s="82" t="s">
        <v>3395</v>
      </c>
      <c r="D2531" s="82" t="s">
        <v>326</v>
      </c>
      <c r="E2531" s="82"/>
      <c r="F2531" s="82" t="s">
        <v>4417</v>
      </c>
      <c r="G2531" s="89">
        <v>1</v>
      </c>
      <c r="H2531" s="89">
        <v>1283.53</v>
      </c>
      <c r="I2531" s="85">
        <v>0</v>
      </c>
      <c r="J2531" s="85">
        <v>0</v>
      </c>
      <c r="K2531" s="85">
        <v>1283.53</v>
      </c>
      <c r="L2531" s="85">
        <v>1283.53</v>
      </c>
      <c r="M2531" s="89">
        <v>1804.9008909688162</v>
      </c>
      <c r="N2531" s="85">
        <v>0</v>
      </c>
      <c r="O2531" s="85">
        <v>0</v>
      </c>
      <c r="P2531" s="85">
        <v>1804.9008909688162</v>
      </c>
      <c r="Q2531" s="85">
        <v>1804.9008909688162</v>
      </c>
      <c r="R2531" s="82" t="s">
        <v>3396</v>
      </c>
      <c r="S2531" s="7">
        <f t="shared" si="118"/>
        <v>0</v>
      </c>
      <c r="T2531" s="6">
        <f t="shared" si="119"/>
        <v>0</v>
      </c>
      <c r="U2531" s="25">
        <f t="shared" si="117"/>
        <v>0</v>
      </c>
    </row>
    <row r="2532" spans="1:21" ht="10.9" customHeight="1" x14ac:dyDescent="0.2">
      <c r="A2532" s="82" t="s">
        <v>3318</v>
      </c>
      <c r="B2532" s="83">
        <v>45964</v>
      </c>
      <c r="C2532" s="82" t="s">
        <v>3395</v>
      </c>
      <c r="D2532" s="82" t="s">
        <v>324</v>
      </c>
      <c r="E2532" s="82"/>
      <c r="F2532" s="82" t="s">
        <v>4415</v>
      </c>
      <c r="G2532" s="89">
        <v>2</v>
      </c>
      <c r="H2532" s="89">
        <v>1478.95</v>
      </c>
      <c r="I2532" s="85">
        <v>0</v>
      </c>
      <c r="J2532" s="85">
        <v>0</v>
      </c>
      <c r="K2532" s="85">
        <v>2957.9</v>
      </c>
      <c r="L2532" s="85">
        <v>2957.9</v>
      </c>
      <c r="M2532" s="89">
        <v>2079.7006479773208</v>
      </c>
      <c r="N2532" s="85">
        <v>0</v>
      </c>
      <c r="O2532" s="85">
        <v>0</v>
      </c>
      <c r="P2532" s="85">
        <v>4159.4012959546417</v>
      </c>
      <c r="Q2532" s="85">
        <v>4159.4012959546417</v>
      </c>
      <c r="R2532" s="82" t="s">
        <v>3396</v>
      </c>
      <c r="S2532" s="7">
        <f t="shared" si="118"/>
        <v>0</v>
      </c>
      <c r="T2532" s="6">
        <f t="shared" si="119"/>
        <v>0</v>
      </c>
      <c r="U2532" s="25">
        <f t="shared" si="117"/>
        <v>0</v>
      </c>
    </row>
    <row r="2533" spans="1:21" ht="10.9" customHeight="1" x14ac:dyDescent="0.2">
      <c r="A2533" s="82" t="s">
        <v>3313</v>
      </c>
      <c r="B2533" s="83">
        <v>45964</v>
      </c>
      <c r="C2533" s="82" t="s">
        <v>3395</v>
      </c>
      <c r="D2533" s="82" t="s">
        <v>337</v>
      </c>
      <c r="E2533" s="82"/>
      <c r="F2533" s="82" t="s">
        <v>4613</v>
      </c>
      <c r="G2533" s="89">
        <v>3</v>
      </c>
      <c r="H2533" s="89">
        <v>339.85</v>
      </c>
      <c r="I2533" s="85">
        <v>0</v>
      </c>
      <c r="J2533" s="85">
        <v>0</v>
      </c>
      <c r="K2533" s="85">
        <v>1019.55</v>
      </c>
      <c r="L2533" s="85">
        <v>1019.55</v>
      </c>
      <c r="M2533" s="89">
        <v>477.89733609323673</v>
      </c>
      <c r="N2533" s="85">
        <v>0</v>
      </c>
      <c r="O2533" s="85">
        <v>0</v>
      </c>
      <c r="P2533" s="85">
        <v>1433.6920082797103</v>
      </c>
      <c r="Q2533" s="85">
        <v>1433.6920082797103</v>
      </c>
      <c r="R2533" s="82" t="s">
        <v>3396</v>
      </c>
      <c r="S2533" s="7">
        <f t="shared" si="118"/>
        <v>0</v>
      </c>
      <c r="T2533" s="6">
        <f t="shared" si="119"/>
        <v>0</v>
      </c>
      <c r="U2533" s="25">
        <f t="shared" si="117"/>
        <v>0</v>
      </c>
    </row>
    <row r="2534" spans="1:21" ht="10.9" customHeight="1" x14ac:dyDescent="0.2">
      <c r="A2534" s="82" t="s">
        <v>3314</v>
      </c>
      <c r="B2534" s="83">
        <v>45964</v>
      </c>
      <c r="C2534" s="82" t="s">
        <v>3395</v>
      </c>
      <c r="D2534" s="82" t="s">
        <v>335</v>
      </c>
      <c r="E2534" s="82"/>
      <c r="F2534" s="82" t="s">
        <v>4612</v>
      </c>
      <c r="G2534" s="89">
        <v>1</v>
      </c>
      <c r="H2534" s="89">
        <v>184.92</v>
      </c>
      <c r="I2534" s="85">
        <v>0</v>
      </c>
      <c r="J2534" s="85">
        <v>0</v>
      </c>
      <c r="K2534" s="85">
        <v>184.92</v>
      </c>
      <c r="L2534" s="85">
        <v>184.92</v>
      </c>
      <c r="M2534" s="89">
        <v>260.03464878729244</v>
      </c>
      <c r="N2534" s="85">
        <v>0</v>
      </c>
      <c r="O2534" s="85">
        <v>0</v>
      </c>
      <c r="P2534" s="85">
        <v>260.03464878729244</v>
      </c>
      <c r="Q2534" s="85">
        <v>260.03464878729244</v>
      </c>
      <c r="R2534" s="82" t="s">
        <v>3396</v>
      </c>
      <c r="S2534" s="7">
        <f t="shared" si="118"/>
        <v>0</v>
      </c>
      <c r="T2534" s="6">
        <f t="shared" si="119"/>
        <v>0</v>
      </c>
      <c r="U2534" s="25">
        <f t="shared" si="117"/>
        <v>0</v>
      </c>
    </row>
    <row r="2535" spans="1:21" ht="10.9" customHeight="1" x14ac:dyDescent="0.2">
      <c r="A2535" s="82" t="s">
        <v>3272</v>
      </c>
      <c r="B2535" s="83">
        <v>45964</v>
      </c>
      <c r="C2535" s="82" t="s">
        <v>3395</v>
      </c>
      <c r="D2535" s="82" t="s">
        <v>454</v>
      </c>
      <c r="E2535" s="82"/>
      <c r="F2535" s="82" t="s">
        <v>4615</v>
      </c>
      <c r="G2535" s="89">
        <v>2</v>
      </c>
      <c r="H2535" s="89">
        <v>14.11</v>
      </c>
      <c r="I2535" s="85">
        <v>0</v>
      </c>
      <c r="J2535" s="85">
        <v>0</v>
      </c>
      <c r="K2535" s="85">
        <v>28.22</v>
      </c>
      <c r="L2535" s="85">
        <v>28.22</v>
      </c>
      <c r="M2535" s="89">
        <v>19.841493047743327</v>
      </c>
      <c r="N2535" s="85">
        <v>0</v>
      </c>
      <c r="O2535" s="85">
        <v>0</v>
      </c>
      <c r="P2535" s="85">
        <v>39.682986095486655</v>
      </c>
      <c r="Q2535" s="85">
        <v>39.682986095486655</v>
      </c>
      <c r="R2535" s="82" t="s">
        <v>3396</v>
      </c>
      <c r="S2535" s="7">
        <f t="shared" si="118"/>
        <v>0</v>
      </c>
      <c r="T2535" s="6">
        <f t="shared" si="119"/>
        <v>0</v>
      </c>
      <c r="U2535" s="25">
        <f t="shared" si="117"/>
        <v>0</v>
      </c>
    </row>
    <row r="2536" spans="1:21" ht="10.9" customHeight="1" x14ac:dyDescent="0.2">
      <c r="A2536" s="82" t="s">
        <v>3235</v>
      </c>
      <c r="B2536" s="83">
        <v>45964</v>
      </c>
      <c r="C2536" s="82" t="s">
        <v>3395</v>
      </c>
      <c r="D2536" s="82" t="s">
        <v>536</v>
      </c>
      <c r="E2536" s="82"/>
      <c r="F2536" s="82" t="s">
        <v>4614</v>
      </c>
      <c r="G2536" s="89">
        <v>2</v>
      </c>
      <c r="H2536" s="89">
        <v>1221.3900000000001</v>
      </c>
      <c r="I2536" s="85">
        <v>0</v>
      </c>
      <c r="J2536" s="85">
        <v>0</v>
      </c>
      <c r="K2536" s="85">
        <v>2442.7800000000002</v>
      </c>
      <c r="L2536" s="85">
        <v>2442.7800000000002</v>
      </c>
      <c r="M2536" s="89">
        <v>1717.519574314899</v>
      </c>
      <c r="N2536" s="85">
        <v>0</v>
      </c>
      <c r="O2536" s="85">
        <v>0</v>
      </c>
      <c r="P2536" s="85">
        <v>3435.0391486297981</v>
      </c>
      <c r="Q2536" s="85">
        <v>3435.0391486297981</v>
      </c>
      <c r="R2536" s="82" t="s">
        <v>3396</v>
      </c>
      <c r="S2536" s="7">
        <f t="shared" si="118"/>
        <v>0</v>
      </c>
      <c r="T2536" s="6">
        <f t="shared" si="119"/>
        <v>0</v>
      </c>
      <c r="U2536" s="25">
        <f t="shared" si="117"/>
        <v>0</v>
      </c>
    </row>
    <row r="2537" spans="1:21" ht="10.9" customHeight="1" x14ac:dyDescent="0.2">
      <c r="A2537" s="82" t="s">
        <v>3261</v>
      </c>
      <c r="B2537" s="83">
        <v>45964</v>
      </c>
      <c r="C2537" s="82" t="s">
        <v>3395</v>
      </c>
      <c r="D2537" s="82" t="s">
        <v>478</v>
      </c>
      <c r="E2537" s="82"/>
      <c r="F2537" s="82" t="s">
        <v>4611</v>
      </c>
      <c r="G2537" s="89">
        <v>1</v>
      </c>
      <c r="H2537" s="89">
        <v>730.93</v>
      </c>
      <c r="I2537" s="85">
        <v>0</v>
      </c>
      <c r="J2537" s="85">
        <v>0</v>
      </c>
      <c r="K2537" s="85">
        <v>730.93</v>
      </c>
      <c r="L2537" s="85">
        <v>730.93</v>
      </c>
      <c r="M2537" s="89">
        <v>1027.8343382981595</v>
      </c>
      <c r="N2537" s="85">
        <v>0</v>
      </c>
      <c r="O2537" s="85">
        <v>0</v>
      </c>
      <c r="P2537" s="85">
        <v>1027.8343382981595</v>
      </c>
      <c r="Q2537" s="85">
        <v>1027.8343382981595</v>
      </c>
      <c r="R2537" s="82" t="s">
        <v>3396</v>
      </c>
      <c r="S2537" s="7">
        <f t="shared" si="118"/>
        <v>0</v>
      </c>
      <c r="T2537" s="6">
        <f t="shared" si="119"/>
        <v>0</v>
      </c>
      <c r="U2537" s="25">
        <f t="shared" si="117"/>
        <v>0</v>
      </c>
    </row>
    <row r="2538" spans="1:21" ht="10.9" customHeight="1" x14ac:dyDescent="0.2">
      <c r="A2538" s="82" t="s">
        <v>3274</v>
      </c>
      <c r="B2538" s="83">
        <v>45964</v>
      </c>
      <c r="C2538" s="82" t="s">
        <v>3395</v>
      </c>
      <c r="D2538" s="82" t="s">
        <v>449</v>
      </c>
      <c r="E2538" s="82"/>
      <c r="F2538" s="82" t="s">
        <v>4618</v>
      </c>
      <c r="G2538" s="89">
        <v>1</v>
      </c>
      <c r="H2538" s="89">
        <v>5181.7</v>
      </c>
      <c r="I2538" s="85">
        <v>0</v>
      </c>
      <c r="J2538" s="85">
        <v>673.62</v>
      </c>
      <c r="K2538" s="85">
        <v>5855.32</v>
      </c>
      <c r="L2538" s="85">
        <v>5855.32</v>
      </c>
      <c r="M2538" s="89">
        <v>5181.7</v>
      </c>
      <c r="N2538" s="85">
        <v>0</v>
      </c>
      <c r="O2538" s="85">
        <v>673.62</v>
      </c>
      <c r="P2538" s="85">
        <v>5855.32</v>
      </c>
      <c r="Q2538" s="85">
        <v>5855.32</v>
      </c>
      <c r="R2538" s="82" t="s">
        <v>3396</v>
      </c>
      <c r="S2538" s="7">
        <f t="shared" si="118"/>
        <v>0</v>
      </c>
      <c r="T2538" s="6">
        <f t="shared" si="119"/>
        <v>0</v>
      </c>
      <c r="U2538" s="25">
        <f t="shared" si="117"/>
        <v>0</v>
      </c>
    </row>
    <row r="2539" spans="1:21" ht="10.9" customHeight="1" x14ac:dyDescent="0.2">
      <c r="A2539" s="82" t="s">
        <v>3321</v>
      </c>
      <c r="B2539" s="83">
        <v>45964</v>
      </c>
      <c r="C2539" s="82" t="s">
        <v>3395</v>
      </c>
      <c r="D2539" s="82" t="s">
        <v>318</v>
      </c>
      <c r="E2539" s="82"/>
      <c r="F2539" s="82" t="s">
        <v>4617</v>
      </c>
      <c r="G2539" s="89">
        <v>1</v>
      </c>
      <c r="H2539" s="89">
        <v>20.95</v>
      </c>
      <c r="I2539" s="85">
        <v>0</v>
      </c>
      <c r="J2539" s="85">
        <v>1.05</v>
      </c>
      <c r="K2539" s="85">
        <v>22</v>
      </c>
      <c r="L2539" s="85">
        <v>22</v>
      </c>
      <c r="M2539" s="89">
        <v>20.95</v>
      </c>
      <c r="N2539" s="85">
        <v>0</v>
      </c>
      <c r="O2539" s="85">
        <v>1.05</v>
      </c>
      <c r="P2539" s="85">
        <v>22</v>
      </c>
      <c r="Q2539" s="85">
        <v>22</v>
      </c>
      <c r="R2539" s="82" t="s">
        <v>3399</v>
      </c>
      <c r="S2539" s="7">
        <f t="shared" si="118"/>
        <v>0</v>
      </c>
      <c r="T2539" s="6">
        <f t="shared" si="119"/>
        <v>0</v>
      </c>
      <c r="U2539" s="25">
        <f t="shared" si="117"/>
        <v>0</v>
      </c>
    </row>
    <row r="2540" spans="1:21" ht="10.9" customHeight="1" x14ac:dyDescent="0.2">
      <c r="A2540" s="82" t="s">
        <v>3333</v>
      </c>
      <c r="B2540" s="83">
        <v>45964</v>
      </c>
      <c r="C2540" s="82" t="s">
        <v>3395</v>
      </c>
      <c r="D2540" s="82" t="s">
        <v>289</v>
      </c>
      <c r="E2540" s="82"/>
      <c r="F2540" s="82" t="s">
        <v>4593</v>
      </c>
      <c r="G2540" s="89">
        <v>1</v>
      </c>
      <c r="H2540" s="89">
        <v>939.78</v>
      </c>
      <c r="I2540" s="85">
        <v>0</v>
      </c>
      <c r="J2540" s="85">
        <v>46.99</v>
      </c>
      <c r="K2540" s="85">
        <v>986.77</v>
      </c>
      <c r="L2540" s="85">
        <v>986.77</v>
      </c>
      <c r="M2540" s="89">
        <v>939.78</v>
      </c>
      <c r="N2540" s="85">
        <v>0</v>
      </c>
      <c r="O2540" s="85">
        <v>46.99</v>
      </c>
      <c r="P2540" s="85">
        <v>986.77</v>
      </c>
      <c r="Q2540" s="85">
        <v>986.77</v>
      </c>
      <c r="R2540" s="82" t="s">
        <v>3399</v>
      </c>
      <c r="S2540" s="7">
        <f t="shared" si="118"/>
        <v>0</v>
      </c>
      <c r="T2540" s="6">
        <f t="shared" si="119"/>
        <v>0</v>
      </c>
      <c r="U2540" s="25">
        <f t="shared" si="117"/>
        <v>0</v>
      </c>
    </row>
    <row r="2541" spans="1:21" ht="10.9" customHeight="1" x14ac:dyDescent="0.2">
      <c r="A2541" s="82" t="s">
        <v>3329</v>
      </c>
      <c r="B2541" s="83">
        <v>45964</v>
      </c>
      <c r="C2541" s="82" t="s">
        <v>3395</v>
      </c>
      <c r="D2541" s="82" t="s">
        <v>302</v>
      </c>
      <c r="E2541" s="82"/>
      <c r="F2541" s="82" t="s">
        <v>4616</v>
      </c>
      <c r="G2541" s="89">
        <v>2</v>
      </c>
      <c r="H2541" s="89">
        <v>237.74</v>
      </c>
      <c r="I2541" s="85">
        <v>0</v>
      </c>
      <c r="J2541" s="85">
        <v>23.77</v>
      </c>
      <c r="K2541" s="85">
        <v>499.25</v>
      </c>
      <c r="L2541" s="85">
        <v>499.25</v>
      </c>
      <c r="M2541" s="89">
        <v>237.74</v>
      </c>
      <c r="N2541" s="85">
        <v>0</v>
      </c>
      <c r="O2541" s="85">
        <v>23.77</v>
      </c>
      <c r="P2541" s="85">
        <v>499.25</v>
      </c>
      <c r="Q2541" s="85">
        <v>499.25</v>
      </c>
      <c r="R2541" s="82" t="s">
        <v>3399</v>
      </c>
      <c r="S2541" s="7">
        <f t="shared" si="118"/>
        <v>0</v>
      </c>
      <c r="T2541" s="6">
        <f t="shared" si="119"/>
        <v>0</v>
      </c>
      <c r="U2541" s="25">
        <f t="shared" si="117"/>
        <v>0</v>
      </c>
    </row>
    <row r="2542" spans="1:21" ht="10.9" customHeight="1" x14ac:dyDescent="0.2">
      <c r="A2542" s="82" t="s">
        <v>3328</v>
      </c>
      <c r="B2542" s="83">
        <v>45964</v>
      </c>
      <c r="C2542" s="82" t="s">
        <v>3395</v>
      </c>
      <c r="D2542" s="82" t="s">
        <v>304</v>
      </c>
      <c r="E2542" s="82"/>
      <c r="F2542" s="82" t="s">
        <v>4622</v>
      </c>
      <c r="G2542" s="89">
        <v>12</v>
      </c>
      <c r="H2542" s="89">
        <v>143</v>
      </c>
      <c r="I2542" s="85">
        <v>0</v>
      </c>
      <c r="J2542" s="85">
        <v>85.8</v>
      </c>
      <c r="K2542" s="85">
        <v>1801.8</v>
      </c>
      <c r="L2542" s="85">
        <v>5355.4</v>
      </c>
      <c r="M2542" s="89">
        <v>143</v>
      </c>
      <c r="N2542" s="85">
        <v>0</v>
      </c>
      <c r="O2542" s="85">
        <v>85.8</v>
      </c>
      <c r="P2542" s="85">
        <v>1801.8</v>
      </c>
      <c r="Q2542" s="85">
        <v>5355.4</v>
      </c>
      <c r="R2542" s="82" t="s">
        <v>3399</v>
      </c>
      <c r="S2542" s="7">
        <f t="shared" si="118"/>
        <v>0</v>
      </c>
      <c r="T2542" s="6">
        <f t="shared" si="119"/>
        <v>0</v>
      </c>
      <c r="U2542" s="25">
        <f t="shared" si="117"/>
        <v>0</v>
      </c>
    </row>
    <row r="2543" spans="1:21" ht="10.9" customHeight="1" x14ac:dyDescent="0.2">
      <c r="A2543" s="82" t="s">
        <v>3328</v>
      </c>
      <c r="B2543" s="83">
        <v>45964</v>
      </c>
      <c r="C2543" s="82" t="s">
        <v>3395</v>
      </c>
      <c r="D2543" s="82" t="s">
        <v>304</v>
      </c>
      <c r="E2543" s="82"/>
      <c r="F2543" s="82" t="s">
        <v>4621</v>
      </c>
      <c r="G2543" s="89">
        <v>1</v>
      </c>
      <c r="H2543" s="89">
        <v>1863.92</v>
      </c>
      <c r="I2543" s="85">
        <v>0</v>
      </c>
      <c r="J2543" s="85">
        <v>93.2</v>
      </c>
      <c r="K2543" s="85">
        <v>1957.12</v>
      </c>
      <c r="L2543" s="85">
        <v>5355.4</v>
      </c>
      <c r="M2543" s="89">
        <v>1863.92</v>
      </c>
      <c r="N2543" s="85">
        <v>0</v>
      </c>
      <c r="O2543" s="85">
        <v>93.2</v>
      </c>
      <c r="P2543" s="85">
        <v>1957.12</v>
      </c>
      <c r="Q2543" s="85">
        <v>5355.4</v>
      </c>
      <c r="R2543" s="82" t="s">
        <v>3399</v>
      </c>
      <c r="S2543" s="7">
        <f t="shared" si="118"/>
        <v>0</v>
      </c>
      <c r="T2543" s="6">
        <f t="shared" si="119"/>
        <v>0</v>
      </c>
      <c r="U2543" s="25">
        <f t="shared" si="117"/>
        <v>0</v>
      </c>
    </row>
    <row r="2544" spans="1:21" ht="10.9" customHeight="1" x14ac:dyDescent="0.2">
      <c r="A2544" s="82" t="s">
        <v>3328</v>
      </c>
      <c r="B2544" s="83">
        <v>45964</v>
      </c>
      <c r="C2544" s="82" t="s">
        <v>3395</v>
      </c>
      <c r="D2544" s="82" t="s">
        <v>304</v>
      </c>
      <c r="E2544" s="82"/>
      <c r="F2544" s="82" t="s">
        <v>4620</v>
      </c>
      <c r="G2544" s="89">
        <v>1</v>
      </c>
      <c r="H2544" s="89">
        <v>903.64</v>
      </c>
      <c r="I2544" s="85">
        <v>0</v>
      </c>
      <c r="J2544" s="85">
        <v>45.18</v>
      </c>
      <c r="K2544" s="85">
        <v>948.82</v>
      </c>
      <c r="L2544" s="85">
        <v>5355.4</v>
      </c>
      <c r="M2544" s="89">
        <v>903.64</v>
      </c>
      <c r="N2544" s="85">
        <v>0</v>
      </c>
      <c r="O2544" s="85">
        <v>45.18</v>
      </c>
      <c r="P2544" s="85">
        <v>948.82</v>
      </c>
      <c r="Q2544" s="85">
        <v>5355.4</v>
      </c>
      <c r="R2544" s="82" t="s">
        <v>3399</v>
      </c>
      <c r="S2544" s="7">
        <f t="shared" si="118"/>
        <v>0</v>
      </c>
      <c r="T2544" s="6">
        <f t="shared" si="119"/>
        <v>0</v>
      </c>
      <c r="U2544" s="25">
        <f t="shared" si="117"/>
        <v>0</v>
      </c>
    </row>
    <row r="2545" spans="1:21" ht="10.9" customHeight="1" x14ac:dyDescent="0.2">
      <c r="A2545" s="82" t="s">
        <v>3328</v>
      </c>
      <c r="B2545" s="83">
        <v>45964</v>
      </c>
      <c r="C2545" s="82" t="s">
        <v>3395</v>
      </c>
      <c r="D2545" s="82" t="s">
        <v>304</v>
      </c>
      <c r="E2545" s="82"/>
      <c r="F2545" s="82" t="s">
        <v>4619</v>
      </c>
      <c r="G2545" s="89">
        <v>1</v>
      </c>
      <c r="H2545" s="89">
        <v>616.82000000000005</v>
      </c>
      <c r="I2545" s="85">
        <v>0</v>
      </c>
      <c r="J2545" s="85">
        <v>30.84</v>
      </c>
      <c r="K2545" s="85">
        <v>647.66</v>
      </c>
      <c r="L2545" s="85">
        <v>5355.4</v>
      </c>
      <c r="M2545" s="89">
        <v>616.82000000000005</v>
      </c>
      <c r="N2545" s="85">
        <v>0</v>
      </c>
      <c r="O2545" s="85">
        <v>30.84</v>
      </c>
      <c r="P2545" s="85">
        <v>647.66</v>
      </c>
      <c r="Q2545" s="85">
        <v>5355.4</v>
      </c>
      <c r="R2545" s="82" t="s">
        <v>3399</v>
      </c>
      <c r="S2545" s="7">
        <f t="shared" si="118"/>
        <v>0</v>
      </c>
      <c r="T2545" s="6">
        <f t="shared" si="119"/>
        <v>0</v>
      </c>
      <c r="U2545" s="25">
        <f t="shared" si="117"/>
        <v>0</v>
      </c>
    </row>
    <row r="2546" spans="1:21" ht="10.9" customHeight="1" x14ac:dyDescent="0.2">
      <c r="A2546" s="82" t="s">
        <v>3330</v>
      </c>
      <c r="B2546" s="83">
        <v>45964</v>
      </c>
      <c r="C2546" s="82" t="s">
        <v>3395</v>
      </c>
      <c r="D2546" s="82" t="s">
        <v>300</v>
      </c>
      <c r="E2546" s="82"/>
      <c r="F2546" s="82" t="s">
        <v>4610</v>
      </c>
      <c r="G2546" s="89">
        <v>1</v>
      </c>
      <c r="H2546" s="89">
        <v>565.09</v>
      </c>
      <c r="I2546" s="85">
        <v>0</v>
      </c>
      <c r="J2546" s="85">
        <v>28.25</v>
      </c>
      <c r="K2546" s="85">
        <v>593.34</v>
      </c>
      <c r="L2546" s="85">
        <v>593.34</v>
      </c>
      <c r="M2546" s="89">
        <v>565.09</v>
      </c>
      <c r="N2546" s="85">
        <v>0</v>
      </c>
      <c r="O2546" s="85">
        <v>28.25</v>
      </c>
      <c r="P2546" s="85">
        <v>593.34</v>
      </c>
      <c r="Q2546" s="85">
        <v>593.34</v>
      </c>
      <c r="R2546" s="82" t="s">
        <v>3399</v>
      </c>
      <c r="S2546" s="7">
        <f t="shared" si="118"/>
        <v>0</v>
      </c>
      <c r="T2546" s="6">
        <f t="shared" si="119"/>
        <v>0</v>
      </c>
      <c r="U2546" s="25">
        <f t="shared" si="117"/>
        <v>0</v>
      </c>
    </row>
    <row r="2547" spans="1:21" ht="10.9" customHeight="1" x14ac:dyDescent="0.2">
      <c r="A2547" s="82" t="s">
        <v>3337</v>
      </c>
      <c r="B2547" s="83">
        <v>45965</v>
      </c>
      <c r="C2547" s="82" t="s">
        <v>3395</v>
      </c>
      <c r="D2547" s="82" t="s">
        <v>281</v>
      </c>
      <c r="E2547" s="82"/>
      <c r="F2547" s="82" t="s">
        <v>4609</v>
      </c>
      <c r="G2547" s="89">
        <v>1</v>
      </c>
      <c r="H2547" s="89">
        <v>559.73</v>
      </c>
      <c r="I2547" s="85">
        <v>0</v>
      </c>
      <c r="J2547" s="85">
        <v>27.99</v>
      </c>
      <c r="K2547" s="85">
        <v>587.72</v>
      </c>
      <c r="L2547" s="85">
        <v>7748.64</v>
      </c>
      <c r="M2547" s="89">
        <v>559.73</v>
      </c>
      <c r="N2547" s="85">
        <v>0</v>
      </c>
      <c r="O2547" s="85">
        <v>27.99</v>
      </c>
      <c r="P2547" s="85">
        <v>587.72</v>
      </c>
      <c r="Q2547" s="85">
        <v>7748.64</v>
      </c>
      <c r="R2547" s="82" t="s">
        <v>3399</v>
      </c>
      <c r="S2547" s="7">
        <f t="shared" si="118"/>
        <v>0</v>
      </c>
      <c r="T2547" s="6">
        <f t="shared" si="119"/>
        <v>0</v>
      </c>
      <c r="U2547" s="25">
        <f t="shared" si="117"/>
        <v>0</v>
      </c>
    </row>
    <row r="2548" spans="1:21" ht="10.9" customHeight="1" x14ac:dyDescent="0.2">
      <c r="A2548" s="82" t="s">
        <v>3337</v>
      </c>
      <c r="B2548" s="83">
        <v>45965</v>
      </c>
      <c r="C2548" s="82" t="s">
        <v>3395</v>
      </c>
      <c r="D2548" s="82" t="s">
        <v>281</v>
      </c>
      <c r="E2548" s="82"/>
      <c r="F2548" s="82" t="s">
        <v>4608</v>
      </c>
      <c r="G2548" s="89">
        <v>1</v>
      </c>
      <c r="H2548" s="89">
        <v>6819.92</v>
      </c>
      <c r="I2548" s="85">
        <v>0</v>
      </c>
      <c r="J2548" s="85">
        <v>341</v>
      </c>
      <c r="K2548" s="85">
        <v>7160.92</v>
      </c>
      <c r="L2548" s="85">
        <v>7748.64</v>
      </c>
      <c r="M2548" s="89">
        <v>6819.92</v>
      </c>
      <c r="N2548" s="85">
        <v>0</v>
      </c>
      <c r="O2548" s="85">
        <v>341</v>
      </c>
      <c r="P2548" s="85">
        <v>7160.92</v>
      </c>
      <c r="Q2548" s="85">
        <v>7748.64</v>
      </c>
      <c r="R2548" s="82" t="s">
        <v>3399</v>
      </c>
      <c r="S2548" s="7">
        <f t="shared" si="118"/>
        <v>0</v>
      </c>
      <c r="T2548" s="6">
        <f t="shared" si="119"/>
        <v>0</v>
      </c>
      <c r="U2548" s="25">
        <f t="shared" si="117"/>
        <v>0</v>
      </c>
    </row>
    <row r="2549" spans="1:21" ht="10.9" customHeight="1" x14ac:dyDescent="0.2">
      <c r="A2549" s="82" t="s">
        <v>3327</v>
      </c>
      <c r="B2549" s="83">
        <v>45966</v>
      </c>
      <c r="C2549" s="82" t="s">
        <v>3395</v>
      </c>
      <c r="D2549" s="82" t="s">
        <v>306</v>
      </c>
      <c r="E2549" s="82"/>
      <c r="F2549" s="82" t="s">
        <v>4600</v>
      </c>
      <c r="G2549" s="89">
        <v>1</v>
      </c>
      <c r="H2549" s="89">
        <v>2304.1799999999998</v>
      </c>
      <c r="I2549" s="85">
        <v>0</v>
      </c>
      <c r="J2549" s="85">
        <v>0</v>
      </c>
      <c r="K2549" s="85">
        <v>2304.1799999999998</v>
      </c>
      <c r="L2549" s="85">
        <v>3017.18</v>
      </c>
      <c r="M2549" s="89">
        <v>3250.644011748806</v>
      </c>
      <c r="N2549" s="85">
        <v>0</v>
      </c>
      <c r="O2549" s="85">
        <v>0</v>
      </c>
      <c r="P2549" s="85">
        <v>3250.644011748806</v>
      </c>
      <c r="Q2549" s="85">
        <v>4256.5155931256504</v>
      </c>
      <c r="R2549" s="82" t="s">
        <v>3399</v>
      </c>
      <c r="S2549" s="7">
        <f t="shared" si="118"/>
        <v>0</v>
      </c>
      <c r="T2549" s="6">
        <f t="shared" si="119"/>
        <v>0</v>
      </c>
      <c r="U2549" s="25">
        <f t="shared" si="117"/>
        <v>0</v>
      </c>
    </row>
    <row r="2550" spans="1:21" ht="10.9" customHeight="1" x14ac:dyDescent="0.2">
      <c r="A2550" s="82" t="s">
        <v>3327</v>
      </c>
      <c r="B2550" s="83">
        <v>45966</v>
      </c>
      <c r="C2550" s="82" t="s">
        <v>3395</v>
      </c>
      <c r="D2550" s="82" t="s">
        <v>306</v>
      </c>
      <c r="E2550" s="82"/>
      <c r="F2550" s="82" t="s">
        <v>4393</v>
      </c>
      <c r="G2550" s="89">
        <v>1</v>
      </c>
      <c r="H2550" s="89">
        <v>713</v>
      </c>
      <c r="I2550" s="85">
        <v>0</v>
      </c>
      <c r="J2550" s="85">
        <v>0</v>
      </c>
      <c r="K2550" s="85">
        <v>713</v>
      </c>
      <c r="L2550" s="85">
        <v>3017.18</v>
      </c>
      <c r="M2550" s="89">
        <v>1005.8715813768449</v>
      </c>
      <c r="N2550" s="85">
        <v>0</v>
      </c>
      <c r="O2550" s="85">
        <v>0</v>
      </c>
      <c r="P2550" s="85">
        <v>1005.8715813768449</v>
      </c>
      <c r="Q2550" s="85">
        <v>4256.5155931256504</v>
      </c>
      <c r="R2550" s="82" t="s">
        <v>3399</v>
      </c>
      <c r="S2550" s="7" t="str">
        <f t="shared" si="118"/>
        <v>INV13605</v>
      </c>
      <c r="T2550" s="6">
        <f t="shared" si="119"/>
        <v>1</v>
      </c>
      <c r="U2550" s="25">
        <f t="shared" si="117"/>
        <v>713</v>
      </c>
    </row>
    <row r="2551" spans="1:21" ht="10.9" customHeight="1" x14ac:dyDescent="0.2">
      <c r="A2551" s="82" t="s">
        <v>3264</v>
      </c>
      <c r="B2551" s="83">
        <v>45966</v>
      </c>
      <c r="C2551" s="82" t="s">
        <v>3395</v>
      </c>
      <c r="D2551" s="82" t="s">
        <v>471</v>
      </c>
      <c r="E2551" s="82"/>
      <c r="F2551" s="82" t="s">
        <v>4607</v>
      </c>
      <c r="G2551" s="89">
        <v>1</v>
      </c>
      <c r="H2551" s="89">
        <v>221.17</v>
      </c>
      <c r="I2551" s="85">
        <v>0</v>
      </c>
      <c r="J2551" s="85">
        <v>11.06</v>
      </c>
      <c r="K2551" s="85">
        <v>232.23</v>
      </c>
      <c r="L2551" s="85">
        <v>267.23</v>
      </c>
      <c r="M2551" s="89">
        <v>221.17</v>
      </c>
      <c r="N2551" s="85">
        <v>0</v>
      </c>
      <c r="O2551" s="85">
        <v>11.06</v>
      </c>
      <c r="P2551" s="85">
        <v>232.23</v>
      </c>
      <c r="Q2551" s="85">
        <v>267.23</v>
      </c>
      <c r="R2551" s="82" t="s">
        <v>3399</v>
      </c>
      <c r="S2551" s="7">
        <f t="shared" si="118"/>
        <v>0</v>
      </c>
      <c r="T2551" s="6">
        <f t="shared" si="119"/>
        <v>0</v>
      </c>
      <c r="U2551" s="25">
        <f t="shared" si="117"/>
        <v>0</v>
      </c>
    </row>
    <row r="2552" spans="1:21" ht="10.9" customHeight="1" x14ac:dyDescent="0.2">
      <c r="A2552" s="82" t="s">
        <v>3264</v>
      </c>
      <c r="B2552" s="83">
        <v>45966</v>
      </c>
      <c r="C2552" s="82" t="s">
        <v>3395</v>
      </c>
      <c r="D2552" s="82" t="s">
        <v>471</v>
      </c>
      <c r="E2552" s="82"/>
      <c r="F2552" s="82" t="s">
        <v>4393</v>
      </c>
      <c r="G2552" s="89">
        <v>1</v>
      </c>
      <c r="H2552" s="89">
        <v>35</v>
      </c>
      <c r="I2552" s="85">
        <v>0</v>
      </c>
      <c r="J2552" s="85">
        <v>0</v>
      </c>
      <c r="K2552" s="85">
        <v>35</v>
      </c>
      <c r="L2552" s="85">
        <v>267.23</v>
      </c>
      <c r="M2552" s="89">
        <v>35</v>
      </c>
      <c r="N2552" s="85">
        <v>0</v>
      </c>
      <c r="O2552" s="85">
        <v>0</v>
      </c>
      <c r="P2552" s="85">
        <v>35</v>
      </c>
      <c r="Q2552" s="85">
        <v>267.23</v>
      </c>
      <c r="R2552" s="82" t="s">
        <v>3399</v>
      </c>
      <c r="S2552" s="7" t="str">
        <f t="shared" si="118"/>
        <v>INV13606</v>
      </c>
      <c r="T2552" s="6">
        <f t="shared" si="119"/>
        <v>1</v>
      </c>
      <c r="U2552" s="25">
        <f t="shared" si="117"/>
        <v>35</v>
      </c>
    </row>
    <row r="2553" spans="1:21" ht="10.9" customHeight="1" x14ac:dyDescent="0.2">
      <c r="A2553" s="82" t="s">
        <v>3326</v>
      </c>
      <c r="B2553" s="83">
        <v>45966</v>
      </c>
      <c r="C2553" s="82" t="s">
        <v>3395</v>
      </c>
      <c r="D2553" s="82" t="s">
        <v>292</v>
      </c>
      <c r="E2553" s="82"/>
      <c r="F2553" s="82" t="s">
        <v>4550</v>
      </c>
      <c r="G2553" s="89">
        <v>4</v>
      </c>
      <c r="H2553" s="89">
        <v>198.94</v>
      </c>
      <c r="I2553" s="85">
        <v>0</v>
      </c>
      <c r="J2553" s="85">
        <v>103.45</v>
      </c>
      <c r="K2553" s="85">
        <v>899.21</v>
      </c>
      <c r="L2553" s="85">
        <v>899.21</v>
      </c>
      <c r="M2553" s="89">
        <v>198.94</v>
      </c>
      <c r="N2553" s="85">
        <v>0</v>
      </c>
      <c r="O2553" s="85">
        <v>103.45</v>
      </c>
      <c r="P2553" s="85">
        <v>899.21</v>
      </c>
      <c r="Q2553" s="85">
        <v>899.21</v>
      </c>
      <c r="R2553" s="82" t="s">
        <v>4511</v>
      </c>
      <c r="S2553" s="7">
        <f t="shared" si="118"/>
        <v>0</v>
      </c>
      <c r="T2553" s="6">
        <f t="shared" si="119"/>
        <v>0</v>
      </c>
      <c r="U2553" s="25">
        <f t="shared" si="117"/>
        <v>0</v>
      </c>
    </row>
    <row r="2554" spans="1:21" ht="10.9" customHeight="1" x14ac:dyDescent="0.2">
      <c r="A2554" s="82" t="s">
        <v>3316</v>
      </c>
      <c r="B2554" s="83">
        <v>45966</v>
      </c>
      <c r="C2554" s="82" t="s">
        <v>3395</v>
      </c>
      <c r="D2554" s="82" t="s">
        <v>330</v>
      </c>
      <c r="E2554" s="82"/>
      <c r="F2554" s="82" t="s">
        <v>4606</v>
      </c>
      <c r="G2554" s="89">
        <v>2</v>
      </c>
      <c r="H2554" s="89">
        <v>1467</v>
      </c>
      <c r="I2554" s="85">
        <v>0</v>
      </c>
      <c r="J2554" s="85">
        <v>381.42</v>
      </c>
      <c r="K2554" s="85">
        <v>3315.42</v>
      </c>
      <c r="L2554" s="85">
        <v>3315.42</v>
      </c>
      <c r="M2554" s="89">
        <v>1467</v>
      </c>
      <c r="N2554" s="85">
        <v>0</v>
      </c>
      <c r="O2554" s="85">
        <v>381.42</v>
      </c>
      <c r="P2554" s="85">
        <v>3315.42</v>
      </c>
      <c r="Q2554" s="85">
        <v>3315.42</v>
      </c>
      <c r="R2554" s="82" t="s">
        <v>3396</v>
      </c>
      <c r="S2554" s="7">
        <f t="shared" si="118"/>
        <v>0</v>
      </c>
      <c r="T2554" s="6">
        <f t="shared" si="119"/>
        <v>0</v>
      </c>
      <c r="U2554" s="25">
        <f t="shared" si="117"/>
        <v>0</v>
      </c>
    </row>
    <row r="2555" spans="1:21" ht="10.9" customHeight="1" x14ac:dyDescent="0.2">
      <c r="A2555" s="82" t="s">
        <v>3339</v>
      </c>
      <c r="B2555" s="83">
        <v>45966</v>
      </c>
      <c r="C2555" s="82" t="s">
        <v>3395</v>
      </c>
      <c r="D2555" s="82" t="s">
        <v>277</v>
      </c>
      <c r="E2555" s="82"/>
      <c r="F2555" s="82" t="s">
        <v>4602</v>
      </c>
      <c r="G2555" s="89">
        <v>2</v>
      </c>
      <c r="H2555" s="89">
        <v>214.88</v>
      </c>
      <c r="I2555" s="85">
        <v>0</v>
      </c>
      <c r="J2555" s="85">
        <v>55.87</v>
      </c>
      <c r="K2555" s="85">
        <v>485.63</v>
      </c>
      <c r="L2555" s="85">
        <v>485.63</v>
      </c>
      <c r="M2555" s="89">
        <v>214.88</v>
      </c>
      <c r="N2555" s="85">
        <v>0</v>
      </c>
      <c r="O2555" s="85">
        <v>55.87</v>
      </c>
      <c r="P2555" s="85">
        <v>485.63</v>
      </c>
      <c r="Q2555" s="85">
        <v>485.63</v>
      </c>
      <c r="R2555" s="82" t="s">
        <v>3399</v>
      </c>
      <c r="S2555" s="7">
        <f t="shared" si="118"/>
        <v>0</v>
      </c>
      <c r="T2555" s="6">
        <f t="shared" si="119"/>
        <v>0</v>
      </c>
      <c r="U2555" s="25">
        <f t="shared" si="117"/>
        <v>0</v>
      </c>
    </row>
    <row r="2556" spans="1:21" ht="10.9" customHeight="1" x14ac:dyDescent="0.2">
      <c r="A2556" s="82" t="s">
        <v>3341</v>
      </c>
      <c r="B2556" s="83">
        <v>45966</v>
      </c>
      <c r="C2556" s="82" t="s">
        <v>3395</v>
      </c>
      <c r="D2556" s="82" t="s">
        <v>273</v>
      </c>
      <c r="E2556" s="82"/>
      <c r="F2556" s="82" t="s">
        <v>4605</v>
      </c>
      <c r="G2556" s="89">
        <v>1</v>
      </c>
      <c r="H2556" s="89">
        <v>816.91</v>
      </c>
      <c r="I2556" s="85">
        <v>0</v>
      </c>
      <c r="J2556" s="85">
        <v>40.85</v>
      </c>
      <c r="K2556" s="85">
        <v>857.76</v>
      </c>
      <c r="L2556" s="85">
        <v>995.31</v>
      </c>
      <c r="M2556" s="89">
        <v>816.91</v>
      </c>
      <c r="N2556" s="85">
        <v>0</v>
      </c>
      <c r="O2556" s="85">
        <v>40.85</v>
      </c>
      <c r="P2556" s="85">
        <v>857.76</v>
      </c>
      <c r="Q2556" s="85">
        <v>995.31</v>
      </c>
      <c r="R2556" s="82" t="s">
        <v>3399</v>
      </c>
      <c r="S2556" s="7">
        <f t="shared" si="118"/>
        <v>0</v>
      </c>
      <c r="T2556" s="6">
        <f t="shared" si="119"/>
        <v>0</v>
      </c>
      <c r="U2556" s="25">
        <f t="shared" si="117"/>
        <v>0</v>
      </c>
    </row>
    <row r="2557" spans="1:21" ht="10.9" customHeight="1" x14ac:dyDescent="0.2">
      <c r="A2557" s="82" t="s">
        <v>3341</v>
      </c>
      <c r="B2557" s="83">
        <v>45966</v>
      </c>
      <c r="C2557" s="82" t="s">
        <v>3395</v>
      </c>
      <c r="D2557" s="82" t="s">
        <v>273</v>
      </c>
      <c r="E2557" s="82"/>
      <c r="F2557" s="82" t="s">
        <v>4604</v>
      </c>
      <c r="G2557" s="89">
        <v>1</v>
      </c>
      <c r="H2557" s="89">
        <v>131</v>
      </c>
      <c r="I2557" s="85">
        <v>0</v>
      </c>
      <c r="J2557" s="85">
        <v>6.55</v>
      </c>
      <c r="K2557" s="85">
        <v>137.55000000000001</v>
      </c>
      <c r="L2557" s="85">
        <v>995.31</v>
      </c>
      <c r="M2557" s="89">
        <v>131</v>
      </c>
      <c r="N2557" s="85">
        <v>0</v>
      </c>
      <c r="O2557" s="85">
        <v>6.55</v>
      </c>
      <c r="P2557" s="85">
        <v>137.55000000000001</v>
      </c>
      <c r="Q2557" s="85">
        <v>995.31</v>
      </c>
      <c r="R2557" s="82" t="s">
        <v>3399</v>
      </c>
      <c r="S2557" s="7">
        <f t="shared" si="118"/>
        <v>0</v>
      </c>
      <c r="T2557" s="6">
        <f t="shared" si="119"/>
        <v>0</v>
      </c>
      <c r="U2557" s="25">
        <f t="shared" si="117"/>
        <v>0</v>
      </c>
    </row>
    <row r="2558" spans="1:21" ht="10.9" customHeight="1" x14ac:dyDescent="0.2">
      <c r="A2558" s="82" t="s">
        <v>3286</v>
      </c>
      <c r="B2558" s="83">
        <v>45966</v>
      </c>
      <c r="C2558" s="82" t="s">
        <v>3395</v>
      </c>
      <c r="D2558" s="82" t="s">
        <v>403</v>
      </c>
      <c r="E2558" s="82"/>
      <c r="F2558" s="82" t="s">
        <v>4603</v>
      </c>
      <c r="G2558" s="89">
        <v>1</v>
      </c>
      <c r="H2558" s="89">
        <v>260</v>
      </c>
      <c r="I2558" s="85">
        <v>0</v>
      </c>
      <c r="J2558" s="85">
        <v>13</v>
      </c>
      <c r="K2558" s="85">
        <v>273</v>
      </c>
      <c r="L2558" s="85">
        <v>273</v>
      </c>
      <c r="M2558" s="89">
        <v>260</v>
      </c>
      <c r="N2558" s="85">
        <v>0</v>
      </c>
      <c r="O2558" s="85">
        <v>13</v>
      </c>
      <c r="P2558" s="85">
        <v>273</v>
      </c>
      <c r="Q2558" s="85">
        <v>273</v>
      </c>
      <c r="R2558" s="82" t="s">
        <v>3396</v>
      </c>
      <c r="S2558" s="7">
        <f t="shared" si="118"/>
        <v>0</v>
      </c>
      <c r="T2558" s="6">
        <f t="shared" si="119"/>
        <v>0</v>
      </c>
      <c r="U2558" s="25">
        <f t="shared" si="117"/>
        <v>0</v>
      </c>
    </row>
    <row r="2559" spans="1:21" ht="10.9" customHeight="1" x14ac:dyDescent="0.2">
      <c r="A2559" s="82" t="s">
        <v>3263</v>
      </c>
      <c r="B2559" s="83">
        <v>45966</v>
      </c>
      <c r="C2559" s="82" t="s">
        <v>3395</v>
      </c>
      <c r="D2559" s="82" t="s">
        <v>474</v>
      </c>
      <c r="E2559" s="82"/>
      <c r="F2559" s="82" t="s">
        <v>4601</v>
      </c>
      <c r="G2559" s="89">
        <v>200</v>
      </c>
      <c r="H2559" s="89">
        <v>6.32</v>
      </c>
      <c r="I2559" s="85">
        <v>0</v>
      </c>
      <c r="J2559" s="85">
        <v>63.2</v>
      </c>
      <c r="K2559" s="85">
        <v>1327.2</v>
      </c>
      <c r="L2559" s="85">
        <v>1327.2</v>
      </c>
      <c r="M2559" s="89">
        <v>6.32</v>
      </c>
      <c r="N2559" s="85">
        <v>0</v>
      </c>
      <c r="O2559" s="85">
        <v>63.2</v>
      </c>
      <c r="P2559" s="85">
        <v>1327.2</v>
      </c>
      <c r="Q2559" s="85">
        <v>1327.2</v>
      </c>
      <c r="R2559" s="82" t="s">
        <v>3399</v>
      </c>
      <c r="S2559" s="7">
        <f t="shared" si="118"/>
        <v>0</v>
      </c>
      <c r="T2559" s="6">
        <f t="shared" si="119"/>
        <v>0</v>
      </c>
      <c r="U2559" s="25">
        <f t="shared" si="117"/>
        <v>0</v>
      </c>
    </row>
    <row r="2560" spans="1:21" ht="10.9" customHeight="1" x14ac:dyDescent="0.2">
      <c r="A2560" s="82" t="s">
        <v>3238</v>
      </c>
      <c r="B2560" s="83">
        <v>45967</v>
      </c>
      <c r="C2560" s="82" t="s">
        <v>3395</v>
      </c>
      <c r="D2560" s="82" t="s">
        <v>3421</v>
      </c>
      <c r="E2560" s="82"/>
      <c r="F2560" s="82" t="s">
        <v>4598</v>
      </c>
      <c r="G2560" s="89">
        <v>2</v>
      </c>
      <c r="H2560" s="89">
        <v>15</v>
      </c>
      <c r="I2560" s="85">
        <v>0</v>
      </c>
      <c r="J2560" s="85">
        <v>0</v>
      </c>
      <c r="K2560" s="85">
        <v>30</v>
      </c>
      <c r="L2560" s="85">
        <v>990</v>
      </c>
      <c r="M2560" s="89">
        <v>21.186889552744763</v>
      </c>
      <c r="N2560" s="85">
        <v>0</v>
      </c>
      <c r="O2560" s="85">
        <v>0</v>
      </c>
      <c r="P2560" s="85">
        <v>42.373779105489525</v>
      </c>
      <c r="Q2560" s="85">
        <v>1398.3347104811542</v>
      </c>
      <c r="R2560" s="82" t="s">
        <v>3396</v>
      </c>
      <c r="S2560" s="7">
        <f t="shared" si="118"/>
        <v>0</v>
      </c>
      <c r="T2560" s="6">
        <f t="shared" si="119"/>
        <v>0</v>
      </c>
      <c r="U2560" s="25">
        <f t="shared" si="117"/>
        <v>0</v>
      </c>
    </row>
    <row r="2561" spans="1:21" ht="10.9" customHeight="1" x14ac:dyDescent="0.2">
      <c r="A2561" s="82" t="s">
        <v>3238</v>
      </c>
      <c r="B2561" s="83">
        <v>45967</v>
      </c>
      <c r="C2561" s="82" t="s">
        <v>3395</v>
      </c>
      <c r="D2561" s="82" t="s">
        <v>3421</v>
      </c>
      <c r="E2561" s="82"/>
      <c r="F2561" s="82" t="s">
        <v>4597</v>
      </c>
      <c r="G2561" s="89">
        <v>2</v>
      </c>
      <c r="H2561" s="89">
        <v>160</v>
      </c>
      <c r="I2561" s="85">
        <v>0</v>
      </c>
      <c r="J2561" s="85">
        <v>0</v>
      </c>
      <c r="K2561" s="85">
        <v>320</v>
      </c>
      <c r="L2561" s="85">
        <v>990</v>
      </c>
      <c r="M2561" s="89">
        <v>225.99348856261079</v>
      </c>
      <c r="N2561" s="85">
        <v>0</v>
      </c>
      <c r="O2561" s="85">
        <v>0</v>
      </c>
      <c r="P2561" s="85">
        <v>451.98697712522159</v>
      </c>
      <c r="Q2561" s="85">
        <v>1398.3347104811542</v>
      </c>
      <c r="R2561" s="82" t="s">
        <v>3396</v>
      </c>
      <c r="S2561" s="7">
        <f t="shared" si="118"/>
        <v>0</v>
      </c>
      <c r="T2561" s="6">
        <f t="shared" si="119"/>
        <v>0</v>
      </c>
      <c r="U2561" s="25">
        <f t="shared" si="117"/>
        <v>0</v>
      </c>
    </row>
    <row r="2562" spans="1:21" ht="10.9" customHeight="1" x14ac:dyDescent="0.2">
      <c r="A2562" s="82" t="s">
        <v>3238</v>
      </c>
      <c r="B2562" s="83">
        <v>45967</v>
      </c>
      <c r="C2562" s="82" t="s">
        <v>3395</v>
      </c>
      <c r="D2562" s="82" t="s">
        <v>3421</v>
      </c>
      <c r="E2562" s="82"/>
      <c r="F2562" s="82" t="s">
        <v>4596</v>
      </c>
      <c r="G2562" s="89">
        <v>2</v>
      </c>
      <c r="H2562" s="89">
        <v>320</v>
      </c>
      <c r="I2562" s="85">
        <v>0</v>
      </c>
      <c r="J2562" s="85">
        <v>0</v>
      </c>
      <c r="K2562" s="85">
        <v>640</v>
      </c>
      <c r="L2562" s="85">
        <v>990</v>
      </c>
      <c r="M2562" s="89">
        <v>451.98697712522159</v>
      </c>
      <c r="N2562" s="85">
        <v>0</v>
      </c>
      <c r="O2562" s="85">
        <v>0</v>
      </c>
      <c r="P2562" s="85">
        <v>903.97395425044317</v>
      </c>
      <c r="Q2562" s="85">
        <v>1398.3347104811542</v>
      </c>
      <c r="R2562" s="82" t="s">
        <v>3396</v>
      </c>
      <c r="S2562" s="7">
        <f t="shared" si="118"/>
        <v>0</v>
      </c>
      <c r="T2562" s="6">
        <f t="shared" si="119"/>
        <v>0</v>
      </c>
      <c r="U2562" s="25">
        <f t="shared" ref="U2562:U2625" si="120">IF(T2562=1,K2562-J2562,0)</f>
        <v>0</v>
      </c>
    </row>
    <row r="2563" spans="1:21" ht="10.9" customHeight="1" x14ac:dyDescent="0.2">
      <c r="A2563" s="82" t="s">
        <v>3332</v>
      </c>
      <c r="B2563" s="83">
        <v>45967</v>
      </c>
      <c r="C2563" s="82" t="s">
        <v>3395</v>
      </c>
      <c r="D2563" s="82" t="s">
        <v>292</v>
      </c>
      <c r="E2563" s="82"/>
      <c r="F2563" s="82" t="s">
        <v>4599</v>
      </c>
      <c r="G2563" s="89">
        <v>4</v>
      </c>
      <c r="H2563" s="89">
        <v>198.94</v>
      </c>
      <c r="I2563" s="85">
        <v>0</v>
      </c>
      <c r="J2563" s="85">
        <v>103.45</v>
      </c>
      <c r="K2563" s="85">
        <v>899.21</v>
      </c>
      <c r="L2563" s="85">
        <v>899.21</v>
      </c>
      <c r="M2563" s="89">
        <v>198.94</v>
      </c>
      <c r="N2563" s="85">
        <v>0</v>
      </c>
      <c r="O2563" s="85">
        <v>103.45</v>
      </c>
      <c r="P2563" s="85">
        <v>899.21</v>
      </c>
      <c r="Q2563" s="85">
        <v>899.21</v>
      </c>
      <c r="R2563" s="82" t="s">
        <v>3399</v>
      </c>
      <c r="S2563" s="7">
        <f t="shared" ref="S2563:S2626" si="121">IF(T2563=1,A2563,0)</f>
        <v>0</v>
      </c>
      <c r="T2563" s="6">
        <f t="shared" ref="T2563:T2626" si="122">IFERROR(FIND("Freight",F2563,1),0)</f>
        <v>0</v>
      </c>
      <c r="U2563" s="25">
        <f t="shared" si="120"/>
        <v>0</v>
      </c>
    </row>
    <row r="2564" spans="1:21" ht="10.9" customHeight="1" x14ac:dyDescent="0.2">
      <c r="A2564" s="82" t="s">
        <v>3323</v>
      </c>
      <c r="B2564" s="83">
        <v>45968</v>
      </c>
      <c r="C2564" s="82" t="s">
        <v>3395</v>
      </c>
      <c r="D2564" s="82" t="s">
        <v>312</v>
      </c>
      <c r="E2564" s="82"/>
      <c r="F2564" s="82" t="s">
        <v>4518</v>
      </c>
      <c r="G2564" s="89">
        <v>1</v>
      </c>
      <c r="H2564" s="89">
        <v>400</v>
      </c>
      <c r="I2564" s="85">
        <v>0</v>
      </c>
      <c r="J2564" s="85">
        <v>0</v>
      </c>
      <c r="K2564" s="85">
        <v>400</v>
      </c>
      <c r="L2564" s="85">
        <v>2183</v>
      </c>
      <c r="M2564" s="89">
        <v>561.6037155701822</v>
      </c>
      <c r="N2564" s="85">
        <v>0</v>
      </c>
      <c r="O2564" s="85">
        <v>0</v>
      </c>
      <c r="P2564" s="85">
        <v>561.6037155701822</v>
      </c>
      <c r="Q2564" s="85">
        <v>3064.9522777242696</v>
      </c>
      <c r="R2564" s="82" t="s">
        <v>3396</v>
      </c>
      <c r="S2564" s="7">
        <f t="shared" si="121"/>
        <v>0</v>
      </c>
      <c r="T2564" s="6">
        <f t="shared" si="122"/>
        <v>0</v>
      </c>
      <c r="U2564" s="25">
        <f t="shared" si="120"/>
        <v>0</v>
      </c>
    </row>
    <row r="2565" spans="1:21" ht="10.9" customHeight="1" x14ac:dyDescent="0.2">
      <c r="A2565" s="82" t="s">
        <v>3323</v>
      </c>
      <c r="B2565" s="83">
        <v>45968</v>
      </c>
      <c r="C2565" s="82" t="s">
        <v>3395</v>
      </c>
      <c r="D2565" s="82" t="s">
        <v>312</v>
      </c>
      <c r="E2565" s="82"/>
      <c r="F2565" s="82" t="s">
        <v>4517</v>
      </c>
      <c r="G2565" s="89">
        <v>1</v>
      </c>
      <c r="H2565" s="89">
        <v>735</v>
      </c>
      <c r="I2565" s="85">
        <v>0</v>
      </c>
      <c r="J2565" s="85">
        <v>0</v>
      </c>
      <c r="K2565" s="85">
        <v>735</v>
      </c>
      <c r="L2565" s="85">
        <v>2183</v>
      </c>
      <c r="M2565" s="89">
        <v>1031.9468273602099</v>
      </c>
      <c r="N2565" s="85">
        <v>0</v>
      </c>
      <c r="O2565" s="85">
        <v>0</v>
      </c>
      <c r="P2565" s="85">
        <v>1031.9468273602099</v>
      </c>
      <c r="Q2565" s="85">
        <v>3064.9522777242696</v>
      </c>
      <c r="R2565" s="82" t="s">
        <v>3396</v>
      </c>
      <c r="S2565" s="7">
        <f t="shared" si="121"/>
        <v>0</v>
      </c>
      <c r="T2565" s="6">
        <f t="shared" si="122"/>
        <v>0</v>
      </c>
      <c r="U2565" s="25">
        <f t="shared" si="120"/>
        <v>0</v>
      </c>
    </row>
    <row r="2566" spans="1:21" ht="10.9" customHeight="1" x14ac:dyDescent="0.2">
      <c r="A2566" s="82" t="s">
        <v>3323</v>
      </c>
      <c r="B2566" s="83">
        <v>45968</v>
      </c>
      <c r="C2566" s="82" t="s">
        <v>3395</v>
      </c>
      <c r="D2566" s="82" t="s">
        <v>312</v>
      </c>
      <c r="E2566" s="82"/>
      <c r="F2566" s="82" t="s">
        <v>4439</v>
      </c>
      <c r="G2566" s="89">
        <v>4</v>
      </c>
      <c r="H2566" s="89">
        <v>15</v>
      </c>
      <c r="I2566" s="85">
        <v>0</v>
      </c>
      <c r="J2566" s="85">
        <v>0</v>
      </c>
      <c r="K2566" s="85">
        <v>60</v>
      </c>
      <c r="L2566" s="85">
        <v>2183</v>
      </c>
      <c r="M2566" s="89">
        <v>21.060139333881832</v>
      </c>
      <c r="N2566" s="85">
        <v>0</v>
      </c>
      <c r="O2566" s="85">
        <v>0</v>
      </c>
      <c r="P2566" s="85">
        <v>84.240557335527328</v>
      </c>
      <c r="Q2566" s="85">
        <v>3064.9522777242696</v>
      </c>
      <c r="R2566" s="82" t="s">
        <v>3396</v>
      </c>
      <c r="S2566" s="7">
        <f t="shared" si="121"/>
        <v>0</v>
      </c>
      <c r="T2566" s="6">
        <f t="shared" si="122"/>
        <v>0</v>
      </c>
      <c r="U2566" s="25">
        <f t="shared" si="120"/>
        <v>0</v>
      </c>
    </row>
    <row r="2567" spans="1:21" ht="10.9" customHeight="1" x14ac:dyDescent="0.2">
      <c r="A2567" s="82" t="s">
        <v>3323</v>
      </c>
      <c r="B2567" s="83">
        <v>45968</v>
      </c>
      <c r="C2567" s="82" t="s">
        <v>3395</v>
      </c>
      <c r="D2567" s="82" t="s">
        <v>312</v>
      </c>
      <c r="E2567" s="82"/>
      <c r="F2567" s="82" t="s">
        <v>4591</v>
      </c>
      <c r="G2567" s="89">
        <v>2</v>
      </c>
      <c r="H2567" s="89">
        <v>128</v>
      </c>
      <c r="I2567" s="85">
        <v>0</v>
      </c>
      <c r="J2567" s="85">
        <v>0</v>
      </c>
      <c r="K2567" s="85">
        <v>256</v>
      </c>
      <c r="L2567" s="85">
        <v>2183</v>
      </c>
      <c r="M2567" s="89">
        <v>179.71318898245832</v>
      </c>
      <c r="N2567" s="85">
        <v>0</v>
      </c>
      <c r="O2567" s="85">
        <v>0</v>
      </c>
      <c r="P2567" s="85">
        <v>359.42637796491664</v>
      </c>
      <c r="Q2567" s="85">
        <v>3064.9522777242696</v>
      </c>
      <c r="R2567" s="82" t="s">
        <v>3396</v>
      </c>
      <c r="S2567" s="7">
        <f t="shared" si="121"/>
        <v>0</v>
      </c>
      <c r="T2567" s="6">
        <f t="shared" si="122"/>
        <v>0</v>
      </c>
      <c r="U2567" s="25">
        <f t="shared" si="120"/>
        <v>0</v>
      </c>
    </row>
    <row r="2568" spans="1:21" ht="10.9" customHeight="1" x14ac:dyDescent="0.2">
      <c r="A2568" s="82" t="s">
        <v>3323</v>
      </c>
      <c r="B2568" s="83">
        <v>45968</v>
      </c>
      <c r="C2568" s="82" t="s">
        <v>3395</v>
      </c>
      <c r="D2568" s="82" t="s">
        <v>312</v>
      </c>
      <c r="E2568" s="82"/>
      <c r="F2568" s="82" t="s">
        <v>4590</v>
      </c>
      <c r="G2568" s="89">
        <v>2</v>
      </c>
      <c r="H2568" s="89">
        <v>130</v>
      </c>
      <c r="I2568" s="85">
        <v>0</v>
      </c>
      <c r="J2568" s="85">
        <v>0</v>
      </c>
      <c r="K2568" s="85">
        <v>260</v>
      </c>
      <c r="L2568" s="85">
        <v>2183</v>
      </c>
      <c r="M2568" s="89">
        <v>182.52120756030922</v>
      </c>
      <c r="N2568" s="85">
        <v>0</v>
      </c>
      <c r="O2568" s="85">
        <v>0</v>
      </c>
      <c r="P2568" s="85">
        <v>365.04241512061844</v>
      </c>
      <c r="Q2568" s="85">
        <v>3064.9522777242696</v>
      </c>
      <c r="R2568" s="82" t="s">
        <v>3396</v>
      </c>
      <c r="S2568" s="7">
        <f t="shared" si="121"/>
        <v>0</v>
      </c>
      <c r="T2568" s="6">
        <f t="shared" si="122"/>
        <v>0</v>
      </c>
      <c r="U2568" s="25">
        <f t="shared" si="120"/>
        <v>0</v>
      </c>
    </row>
    <row r="2569" spans="1:21" ht="10.9" customHeight="1" x14ac:dyDescent="0.2">
      <c r="A2569" s="82" t="s">
        <v>3323</v>
      </c>
      <c r="B2569" s="83">
        <v>45968</v>
      </c>
      <c r="C2569" s="82" t="s">
        <v>3395</v>
      </c>
      <c r="D2569" s="82" t="s">
        <v>312</v>
      </c>
      <c r="E2569" s="82"/>
      <c r="F2569" s="82" t="s">
        <v>4589</v>
      </c>
      <c r="G2569" s="89">
        <v>2</v>
      </c>
      <c r="H2569" s="89">
        <v>162</v>
      </c>
      <c r="I2569" s="85">
        <v>0</v>
      </c>
      <c r="J2569" s="85">
        <v>0</v>
      </c>
      <c r="K2569" s="85">
        <v>324</v>
      </c>
      <c r="L2569" s="85">
        <v>2183</v>
      </c>
      <c r="M2569" s="89">
        <v>227.44950480592379</v>
      </c>
      <c r="N2569" s="85">
        <v>0</v>
      </c>
      <c r="O2569" s="85">
        <v>0</v>
      </c>
      <c r="P2569" s="85">
        <v>454.89900961184759</v>
      </c>
      <c r="Q2569" s="85">
        <v>3064.9522777242696</v>
      </c>
      <c r="R2569" s="82" t="s">
        <v>3396</v>
      </c>
      <c r="S2569" s="7">
        <f t="shared" si="121"/>
        <v>0</v>
      </c>
      <c r="T2569" s="6">
        <f t="shared" si="122"/>
        <v>0</v>
      </c>
      <c r="U2569" s="25">
        <f t="shared" si="120"/>
        <v>0</v>
      </c>
    </row>
    <row r="2570" spans="1:21" ht="10.9" customHeight="1" x14ac:dyDescent="0.2">
      <c r="A2570" s="82" t="s">
        <v>3323</v>
      </c>
      <c r="B2570" s="83">
        <v>45968</v>
      </c>
      <c r="C2570" s="82" t="s">
        <v>3395</v>
      </c>
      <c r="D2570" s="82" t="s">
        <v>312</v>
      </c>
      <c r="E2570" s="82"/>
      <c r="F2570" s="82" t="s">
        <v>4588</v>
      </c>
      <c r="G2570" s="89">
        <v>2</v>
      </c>
      <c r="H2570" s="89">
        <v>36</v>
      </c>
      <c r="I2570" s="85">
        <v>0</v>
      </c>
      <c r="J2570" s="85">
        <v>0</v>
      </c>
      <c r="K2570" s="85">
        <v>72</v>
      </c>
      <c r="L2570" s="85">
        <v>2183</v>
      </c>
      <c r="M2570" s="89">
        <v>50.544334401316398</v>
      </c>
      <c r="N2570" s="85">
        <v>0</v>
      </c>
      <c r="O2570" s="85">
        <v>0</v>
      </c>
      <c r="P2570" s="85">
        <v>101.0886688026328</v>
      </c>
      <c r="Q2570" s="85">
        <v>3064.9522777242696</v>
      </c>
      <c r="R2570" s="82" t="s">
        <v>3396</v>
      </c>
      <c r="S2570" s="7">
        <f t="shared" si="121"/>
        <v>0</v>
      </c>
      <c r="T2570" s="6">
        <f t="shared" si="122"/>
        <v>0</v>
      </c>
      <c r="U2570" s="25">
        <f t="shared" si="120"/>
        <v>0</v>
      </c>
    </row>
    <row r="2571" spans="1:21" ht="10.9" customHeight="1" x14ac:dyDescent="0.2">
      <c r="A2571" s="82" t="s">
        <v>3323</v>
      </c>
      <c r="B2571" s="83">
        <v>45968</v>
      </c>
      <c r="C2571" s="82" t="s">
        <v>3395</v>
      </c>
      <c r="D2571" s="82" t="s">
        <v>312</v>
      </c>
      <c r="E2571" s="82"/>
      <c r="F2571" s="82" t="s">
        <v>4587</v>
      </c>
      <c r="G2571" s="89">
        <v>2</v>
      </c>
      <c r="H2571" s="89">
        <v>38</v>
      </c>
      <c r="I2571" s="85">
        <v>0</v>
      </c>
      <c r="J2571" s="85">
        <v>0</v>
      </c>
      <c r="K2571" s="85">
        <v>76</v>
      </c>
      <c r="L2571" s="85">
        <v>2183</v>
      </c>
      <c r="M2571" s="89">
        <v>53.352352979167307</v>
      </c>
      <c r="N2571" s="85">
        <v>0</v>
      </c>
      <c r="O2571" s="85">
        <v>0</v>
      </c>
      <c r="P2571" s="85">
        <v>106.70470595833461</v>
      </c>
      <c r="Q2571" s="85">
        <v>3064.9522777242696</v>
      </c>
      <c r="R2571" s="82" t="s">
        <v>3396</v>
      </c>
      <c r="S2571" s="7">
        <f t="shared" si="121"/>
        <v>0</v>
      </c>
      <c r="T2571" s="6">
        <f t="shared" si="122"/>
        <v>0</v>
      </c>
      <c r="U2571" s="25">
        <f t="shared" si="120"/>
        <v>0</v>
      </c>
    </row>
    <row r="2572" spans="1:21" ht="10.9" customHeight="1" x14ac:dyDescent="0.2">
      <c r="A2572" s="82" t="s">
        <v>3285</v>
      </c>
      <c r="B2572" s="83">
        <v>45968</v>
      </c>
      <c r="C2572" s="82" t="s">
        <v>3395</v>
      </c>
      <c r="D2572" s="82" t="s">
        <v>409</v>
      </c>
      <c r="E2572" s="82"/>
      <c r="F2572" s="82" t="s">
        <v>4595</v>
      </c>
      <c r="G2572" s="89">
        <v>1</v>
      </c>
      <c r="H2572" s="89">
        <v>9194.19</v>
      </c>
      <c r="I2572" s="85">
        <v>0</v>
      </c>
      <c r="J2572" s="85">
        <v>459.71</v>
      </c>
      <c r="K2572" s="85">
        <v>9653.9</v>
      </c>
      <c r="L2572" s="85">
        <v>9653.9</v>
      </c>
      <c r="M2572" s="89">
        <v>9194.19</v>
      </c>
      <c r="N2572" s="85">
        <v>0</v>
      </c>
      <c r="O2572" s="85">
        <v>459.71</v>
      </c>
      <c r="P2572" s="85">
        <v>9653.9</v>
      </c>
      <c r="Q2572" s="85">
        <v>9653.9</v>
      </c>
      <c r="R2572" s="82" t="s">
        <v>3396</v>
      </c>
      <c r="S2572" s="7">
        <f t="shared" si="121"/>
        <v>0</v>
      </c>
      <c r="T2572" s="6">
        <f t="shared" si="122"/>
        <v>0</v>
      </c>
      <c r="U2572" s="25">
        <f t="shared" si="120"/>
        <v>0</v>
      </c>
    </row>
    <row r="2573" spans="1:21" ht="10.9" customHeight="1" x14ac:dyDescent="0.2">
      <c r="A2573" s="82" t="s">
        <v>3331</v>
      </c>
      <c r="B2573" s="83">
        <v>45968</v>
      </c>
      <c r="C2573" s="82" t="s">
        <v>3395</v>
      </c>
      <c r="D2573" s="82" t="s">
        <v>294</v>
      </c>
      <c r="E2573" s="82"/>
      <c r="F2573" s="82" t="s">
        <v>4594</v>
      </c>
      <c r="G2573" s="89">
        <v>2</v>
      </c>
      <c r="H2573" s="89">
        <v>270.35000000000002</v>
      </c>
      <c r="I2573" s="85">
        <v>0</v>
      </c>
      <c r="J2573" s="85">
        <v>27.04</v>
      </c>
      <c r="K2573" s="85">
        <v>567.74</v>
      </c>
      <c r="L2573" s="85">
        <v>567.74</v>
      </c>
      <c r="M2573" s="89">
        <v>270.35000000000002</v>
      </c>
      <c r="N2573" s="85">
        <v>0</v>
      </c>
      <c r="O2573" s="85">
        <v>27.04</v>
      </c>
      <c r="P2573" s="85">
        <v>567.74</v>
      </c>
      <c r="Q2573" s="85">
        <v>567.74</v>
      </c>
      <c r="R2573" s="82" t="s">
        <v>3399</v>
      </c>
      <c r="S2573" s="7">
        <f t="shared" si="121"/>
        <v>0</v>
      </c>
      <c r="T2573" s="6">
        <f t="shared" si="122"/>
        <v>0</v>
      </c>
      <c r="U2573" s="25">
        <f t="shared" si="120"/>
        <v>0</v>
      </c>
    </row>
    <row r="2574" spans="1:21" ht="10.9" customHeight="1" x14ac:dyDescent="0.2">
      <c r="A2574" s="82" t="s">
        <v>3344</v>
      </c>
      <c r="B2574" s="83">
        <v>45968</v>
      </c>
      <c r="C2574" s="82" t="s">
        <v>3395</v>
      </c>
      <c r="D2574" s="82" t="s">
        <v>260</v>
      </c>
      <c r="E2574" s="82"/>
      <c r="F2574" s="82" t="s">
        <v>4593</v>
      </c>
      <c r="G2574" s="89">
        <v>1</v>
      </c>
      <c r="H2574" s="89">
        <v>968</v>
      </c>
      <c r="I2574" s="85">
        <v>0</v>
      </c>
      <c r="J2574" s="85">
        <v>48.4</v>
      </c>
      <c r="K2574" s="85">
        <v>1016.4</v>
      </c>
      <c r="L2574" s="85">
        <v>1016.4</v>
      </c>
      <c r="M2574" s="89">
        <v>968</v>
      </c>
      <c r="N2574" s="85">
        <v>0</v>
      </c>
      <c r="O2574" s="85">
        <v>48.4</v>
      </c>
      <c r="P2574" s="85">
        <v>1016.4</v>
      </c>
      <c r="Q2574" s="85">
        <v>1016.4</v>
      </c>
      <c r="R2574" s="82" t="s">
        <v>3399</v>
      </c>
      <c r="S2574" s="7">
        <f t="shared" si="121"/>
        <v>0</v>
      </c>
      <c r="T2574" s="6">
        <f t="shared" si="122"/>
        <v>0</v>
      </c>
      <c r="U2574" s="25">
        <f t="shared" si="120"/>
        <v>0</v>
      </c>
    </row>
    <row r="2575" spans="1:21" ht="10.9" customHeight="1" x14ac:dyDescent="0.2">
      <c r="A2575" s="82" t="s">
        <v>3343</v>
      </c>
      <c r="B2575" s="83">
        <v>45968</v>
      </c>
      <c r="C2575" s="82" t="s">
        <v>3395</v>
      </c>
      <c r="D2575" s="82" t="s">
        <v>262</v>
      </c>
      <c r="E2575" s="82"/>
      <c r="F2575" s="82" t="s">
        <v>4592</v>
      </c>
      <c r="G2575" s="89">
        <v>1</v>
      </c>
      <c r="H2575" s="89">
        <v>292.98</v>
      </c>
      <c r="I2575" s="85">
        <v>0</v>
      </c>
      <c r="J2575" s="85">
        <v>38.090000000000003</v>
      </c>
      <c r="K2575" s="85">
        <v>331.07</v>
      </c>
      <c r="L2575" s="85">
        <v>331.07</v>
      </c>
      <c r="M2575" s="89">
        <v>292.98</v>
      </c>
      <c r="N2575" s="85">
        <v>0</v>
      </c>
      <c r="O2575" s="85">
        <v>38.090000000000003</v>
      </c>
      <c r="P2575" s="85">
        <v>331.07</v>
      </c>
      <c r="Q2575" s="85">
        <v>331.07</v>
      </c>
      <c r="R2575" s="82" t="s">
        <v>3399</v>
      </c>
      <c r="S2575" s="7">
        <f t="shared" si="121"/>
        <v>0</v>
      </c>
      <c r="T2575" s="6">
        <f t="shared" si="122"/>
        <v>0</v>
      </c>
      <c r="U2575" s="25">
        <f t="shared" si="120"/>
        <v>0</v>
      </c>
    </row>
    <row r="2576" spans="1:21" ht="10.9" customHeight="1" x14ac:dyDescent="0.2">
      <c r="A2576" s="82" t="s">
        <v>3420</v>
      </c>
      <c r="B2576" s="83">
        <v>45971</v>
      </c>
      <c r="C2576" s="82" t="s">
        <v>3398</v>
      </c>
      <c r="D2576" s="82" t="s">
        <v>3419</v>
      </c>
      <c r="E2576" s="82"/>
      <c r="F2576" s="82" t="s">
        <v>4572</v>
      </c>
      <c r="G2576" s="89">
        <v>-1</v>
      </c>
      <c r="H2576" s="89">
        <v>275.52</v>
      </c>
      <c r="I2576" s="85">
        <v>0</v>
      </c>
      <c r="J2576" s="85">
        <v>0</v>
      </c>
      <c r="K2576" s="85">
        <v>-275.52</v>
      </c>
      <c r="L2576" s="85">
        <v>-275.52</v>
      </c>
      <c r="M2576" s="89">
        <v>275.52</v>
      </c>
      <c r="N2576" s="85">
        <v>0</v>
      </c>
      <c r="O2576" s="85">
        <v>0</v>
      </c>
      <c r="P2576" s="85">
        <v>-275.52</v>
      </c>
      <c r="Q2576" s="85">
        <v>-275.52</v>
      </c>
      <c r="R2576" s="82" t="s">
        <v>3399</v>
      </c>
      <c r="S2576" s="7">
        <f t="shared" si="121"/>
        <v>0</v>
      </c>
      <c r="T2576" s="6">
        <f t="shared" si="122"/>
        <v>0</v>
      </c>
      <c r="U2576" s="25">
        <f t="shared" si="120"/>
        <v>0</v>
      </c>
    </row>
    <row r="2577" spans="1:21" ht="10.9" customHeight="1" x14ac:dyDescent="0.2">
      <c r="A2577" s="82" t="s">
        <v>3353</v>
      </c>
      <c r="B2577" s="83">
        <v>45971</v>
      </c>
      <c r="C2577" s="82" t="s">
        <v>3395</v>
      </c>
      <c r="D2577" s="82" t="s">
        <v>236</v>
      </c>
      <c r="E2577" s="82"/>
      <c r="F2577" s="82" t="s">
        <v>4495</v>
      </c>
      <c r="G2577" s="89">
        <v>1</v>
      </c>
      <c r="H2577" s="89">
        <v>209.18</v>
      </c>
      <c r="I2577" s="85">
        <v>0</v>
      </c>
      <c r="J2577" s="85">
        <v>27.19</v>
      </c>
      <c r="K2577" s="85">
        <v>236.37</v>
      </c>
      <c r="L2577" s="85">
        <v>236.37</v>
      </c>
      <c r="M2577" s="89">
        <v>209.18</v>
      </c>
      <c r="N2577" s="85">
        <v>0</v>
      </c>
      <c r="O2577" s="85">
        <v>27.19</v>
      </c>
      <c r="P2577" s="85">
        <v>236.37</v>
      </c>
      <c r="Q2577" s="85">
        <v>236.37</v>
      </c>
      <c r="R2577" s="82" t="s">
        <v>3399</v>
      </c>
      <c r="S2577" s="7">
        <f t="shared" si="121"/>
        <v>0</v>
      </c>
      <c r="T2577" s="6">
        <f t="shared" si="122"/>
        <v>0</v>
      </c>
      <c r="U2577" s="25">
        <f t="shared" si="120"/>
        <v>0</v>
      </c>
    </row>
    <row r="2578" spans="1:21" ht="10.9" customHeight="1" x14ac:dyDescent="0.2">
      <c r="A2578" s="82" t="s">
        <v>3350</v>
      </c>
      <c r="B2578" s="83">
        <v>45971</v>
      </c>
      <c r="C2578" s="82" t="s">
        <v>3395</v>
      </c>
      <c r="D2578" s="82" t="s">
        <v>244</v>
      </c>
      <c r="E2578" s="82"/>
      <c r="F2578" s="82" t="s">
        <v>4585</v>
      </c>
      <c r="G2578" s="89">
        <v>5</v>
      </c>
      <c r="H2578" s="89">
        <v>126.48</v>
      </c>
      <c r="I2578" s="85">
        <v>0</v>
      </c>
      <c r="J2578" s="85">
        <v>31.62</v>
      </c>
      <c r="K2578" s="85">
        <v>664.02</v>
      </c>
      <c r="L2578" s="85">
        <v>664.02</v>
      </c>
      <c r="M2578" s="89">
        <v>126.48</v>
      </c>
      <c r="N2578" s="85">
        <v>0</v>
      </c>
      <c r="O2578" s="85">
        <v>31.62</v>
      </c>
      <c r="P2578" s="85">
        <v>664.02</v>
      </c>
      <c r="Q2578" s="85">
        <v>664.02</v>
      </c>
      <c r="R2578" s="82" t="s">
        <v>3399</v>
      </c>
      <c r="S2578" s="7">
        <f t="shared" si="121"/>
        <v>0</v>
      </c>
      <c r="T2578" s="6">
        <f t="shared" si="122"/>
        <v>0</v>
      </c>
      <c r="U2578" s="25">
        <f t="shared" si="120"/>
        <v>0</v>
      </c>
    </row>
    <row r="2579" spans="1:21" ht="10.9" customHeight="1" x14ac:dyDescent="0.2">
      <c r="A2579" s="82" t="s">
        <v>2902</v>
      </c>
      <c r="B2579" s="83">
        <v>45971</v>
      </c>
      <c r="C2579" s="82" t="s">
        <v>3395</v>
      </c>
      <c r="D2579" s="82" t="s">
        <v>1160</v>
      </c>
      <c r="E2579" s="82"/>
      <c r="F2579" s="82" t="s">
        <v>4584</v>
      </c>
      <c r="G2579" s="89">
        <v>1</v>
      </c>
      <c r="H2579" s="89">
        <v>6327.03</v>
      </c>
      <c r="I2579" s="85">
        <v>0</v>
      </c>
      <c r="J2579" s="85">
        <v>822.51</v>
      </c>
      <c r="K2579" s="85">
        <v>7149.54</v>
      </c>
      <c r="L2579" s="85">
        <v>7149.54</v>
      </c>
      <c r="M2579" s="89">
        <v>6327.03</v>
      </c>
      <c r="N2579" s="85">
        <v>0</v>
      </c>
      <c r="O2579" s="85">
        <v>822.51</v>
      </c>
      <c r="P2579" s="85">
        <v>7149.54</v>
      </c>
      <c r="Q2579" s="85">
        <v>7149.54</v>
      </c>
      <c r="R2579" s="82" t="s">
        <v>3399</v>
      </c>
      <c r="S2579" s="7">
        <f t="shared" si="121"/>
        <v>0</v>
      </c>
      <c r="T2579" s="6">
        <f t="shared" si="122"/>
        <v>0</v>
      </c>
      <c r="U2579" s="25">
        <f t="shared" si="120"/>
        <v>0</v>
      </c>
    </row>
    <row r="2580" spans="1:21" ht="10.9" customHeight="1" x14ac:dyDescent="0.2">
      <c r="A2580" s="82" t="s">
        <v>3342</v>
      </c>
      <c r="B2580" s="83">
        <v>45971</v>
      </c>
      <c r="C2580" s="82" t="s">
        <v>3395</v>
      </c>
      <c r="D2580" s="82" t="s">
        <v>266</v>
      </c>
      <c r="E2580" s="82"/>
      <c r="F2580" s="82" t="s">
        <v>4583</v>
      </c>
      <c r="G2580" s="89">
        <v>1</v>
      </c>
      <c r="H2580" s="89">
        <v>354.16</v>
      </c>
      <c r="I2580" s="85">
        <v>0</v>
      </c>
      <c r="J2580" s="85">
        <v>49.58</v>
      </c>
      <c r="K2580" s="85">
        <v>403.74</v>
      </c>
      <c r="L2580" s="85">
        <v>663.09</v>
      </c>
      <c r="M2580" s="89">
        <v>354.16</v>
      </c>
      <c r="N2580" s="85">
        <v>0</v>
      </c>
      <c r="O2580" s="85">
        <v>49.58</v>
      </c>
      <c r="P2580" s="85">
        <v>403.74</v>
      </c>
      <c r="Q2580" s="85">
        <v>663.09</v>
      </c>
      <c r="R2580" s="82" t="s">
        <v>3399</v>
      </c>
      <c r="S2580" s="7">
        <f t="shared" si="121"/>
        <v>0</v>
      </c>
      <c r="T2580" s="6">
        <f t="shared" si="122"/>
        <v>0</v>
      </c>
      <c r="U2580" s="25">
        <f t="shared" si="120"/>
        <v>0</v>
      </c>
    </row>
    <row r="2581" spans="1:21" ht="10.9" customHeight="1" x14ac:dyDescent="0.2">
      <c r="A2581" s="82" t="s">
        <v>3342</v>
      </c>
      <c r="B2581" s="83">
        <v>45971</v>
      </c>
      <c r="C2581" s="82" t="s">
        <v>3395</v>
      </c>
      <c r="D2581" s="82" t="s">
        <v>266</v>
      </c>
      <c r="E2581" s="82"/>
      <c r="F2581" s="82" t="s">
        <v>4582</v>
      </c>
      <c r="G2581" s="89">
        <v>1</v>
      </c>
      <c r="H2581" s="89">
        <v>227.5</v>
      </c>
      <c r="I2581" s="85">
        <v>0</v>
      </c>
      <c r="J2581" s="85">
        <v>31.85</v>
      </c>
      <c r="K2581" s="85">
        <v>259.35000000000002</v>
      </c>
      <c r="L2581" s="85">
        <v>663.09</v>
      </c>
      <c r="M2581" s="89">
        <v>227.5</v>
      </c>
      <c r="N2581" s="85">
        <v>0</v>
      </c>
      <c r="O2581" s="85">
        <v>31.85</v>
      </c>
      <c r="P2581" s="85">
        <v>259.35000000000002</v>
      </c>
      <c r="Q2581" s="85">
        <v>663.09</v>
      </c>
      <c r="R2581" s="82" t="s">
        <v>3399</v>
      </c>
      <c r="S2581" s="7">
        <f t="shared" si="121"/>
        <v>0</v>
      </c>
      <c r="T2581" s="6">
        <f t="shared" si="122"/>
        <v>0</v>
      </c>
      <c r="U2581" s="25">
        <f t="shared" si="120"/>
        <v>0</v>
      </c>
    </row>
    <row r="2582" spans="1:21" ht="10.9" customHeight="1" x14ac:dyDescent="0.2">
      <c r="A2582" s="82" t="s">
        <v>3346</v>
      </c>
      <c r="B2582" s="83">
        <v>45971</v>
      </c>
      <c r="C2582" s="82" t="s">
        <v>3395</v>
      </c>
      <c r="D2582" s="82" t="s">
        <v>256</v>
      </c>
      <c r="E2582" s="82"/>
      <c r="F2582" s="82" t="s">
        <v>4581</v>
      </c>
      <c r="G2582" s="89">
        <v>5</v>
      </c>
      <c r="H2582" s="89">
        <v>9.35</v>
      </c>
      <c r="I2582" s="85">
        <v>0</v>
      </c>
      <c r="J2582" s="85">
        <v>6.55</v>
      </c>
      <c r="K2582" s="85">
        <v>53.3</v>
      </c>
      <c r="L2582" s="85">
        <v>1612.6</v>
      </c>
      <c r="M2582" s="89">
        <v>9.35</v>
      </c>
      <c r="N2582" s="85">
        <v>0</v>
      </c>
      <c r="O2582" s="85">
        <v>6.55</v>
      </c>
      <c r="P2582" s="85">
        <v>53.3</v>
      </c>
      <c r="Q2582" s="85">
        <v>1612.6</v>
      </c>
      <c r="R2582" s="82" t="s">
        <v>3399</v>
      </c>
      <c r="S2582" s="7">
        <f t="shared" si="121"/>
        <v>0</v>
      </c>
      <c r="T2582" s="6">
        <f t="shared" si="122"/>
        <v>0</v>
      </c>
      <c r="U2582" s="25">
        <f t="shared" si="120"/>
        <v>0</v>
      </c>
    </row>
    <row r="2583" spans="1:21" ht="10.9" customHeight="1" x14ac:dyDescent="0.2">
      <c r="A2583" s="82" t="s">
        <v>3346</v>
      </c>
      <c r="B2583" s="83">
        <v>45971</v>
      </c>
      <c r="C2583" s="82" t="s">
        <v>3395</v>
      </c>
      <c r="D2583" s="82" t="s">
        <v>256</v>
      </c>
      <c r="E2583" s="82"/>
      <c r="F2583" s="82" t="s">
        <v>4580</v>
      </c>
      <c r="G2583" s="89">
        <v>5</v>
      </c>
      <c r="H2583" s="89">
        <v>12.2</v>
      </c>
      <c r="I2583" s="85">
        <v>0</v>
      </c>
      <c r="J2583" s="85">
        <v>8.5399999999999991</v>
      </c>
      <c r="K2583" s="85">
        <v>69.540000000000006</v>
      </c>
      <c r="L2583" s="85">
        <v>1612.6</v>
      </c>
      <c r="M2583" s="89">
        <v>12.2</v>
      </c>
      <c r="N2583" s="85">
        <v>0</v>
      </c>
      <c r="O2583" s="85">
        <v>8.5399999999999991</v>
      </c>
      <c r="P2583" s="85">
        <v>69.540000000000006</v>
      </c>
      <c r="Q2583" s="85">
        <v>1612.6</v>
      </c>
      <c r="R2583" s="82" t="s">
        <v>3399</v>
      </c>
      <c r="S2583" s="7">
        <f t="shared" si="121"/>
        <v>0</v>
      </c>
      <c r="T2583" s="6">
        <f t="shared" si="122"/>
        <v>0</v>
      </c>
      <c r="U2583" s="25">
        <f t="shared" si="120"/>
        <v>0</v>
      </c>
    </row>
    <row r="2584" spans="1:21" ht="10.9" customHeight="1" x14ac:dyDescent="0.2">
      <c r="A2584" s="82" t="s">
        <v>3346</v>
      </c>
      <c r="B2584" s="83">
        <v>45971</v>
      </c>
      <c r="C2584" s="82" t="s">
        <v>3395</v>
      </c>
      <c r="D2584" s="82" t="s">
        <v>256</v>
      </c>
      <c r="E2584" s="82"/>
      <c r="F2584" s="82" t="s">
        <v>4579</v>
      </c>
      <c r="G2584" s="89">
        <v>5</v>
      </c>
      <c r="H2584" s="89">
        <v>31.58</v>
      </c>
      <c r="I2584" s="85">
        <v>0</v>
      </c>
      <c r="J2584" s="85">
        <v>22.11</v>
      </c>
      <c r="K2584" s="85">
        <v>180.01</v>
      </c>
      <c r="L2584" s="85">
        <v>1612.6</v>
      </c>
      <c r="M2584" s="89">
        <v>31.58</v>
      </c>
      <c r="N2584" s="85">
        <v>0</v>
      </c>
      <c r="O2584" s="85">
        <v>22.11</v>
      </c>
      <c r="P2584" s="85">
        <v>180.01</v>
      </c>
      <c r="Q2584" s="85">
        <v>1612.6</v>
      </c>
      <c r="R2584" s="82" t="s">
        <v>3399</v>
      </c>
      <c r="S2584" s="7">
        <f t="shared" si="121"/>
        <v>0</v>
      </c>
      <c r="T2584" s="6">
        <f t="shared" si="122"/>
        <v>0</v>
      </c>
      <c r="U2584" s="25">
        <f t="shared" si="120"/>
        <v>0</v>
      </c>
    </row>
    <row r="2585" spans="1:21" ht="10.9" customHeight="1" x14ac:dyDescent="0.2">
      <c r="A2585" s="82" t="s">
        <v>3346</v>
      </c>
      <c r="B2585" s="83">
        <v>45971</v>
      </c>
      <c r="C2585" s="82" t="s">
        <v>3395</v>
      </c>
      <c r="D2585" s="82" t="s">
        <v>256</v>
      </c>
      <c r="E2585" s="82"/>
      <c r="F2585" s="82" t="s">
        <v>4578</v>
      </c>
      <c r="G2585" s="89">
        <v>5</v>
      </c>
      <c r="H2585" s="89">
        <v>229.78</v>
      </c>
      <c r="I2585" s="85">
        <v>0</v>
      </c>
      <c r="J2585" s="85">
        <v>160.85</v>
      </c>
      <c r="K2585" s="85">
        <v>1309.75</v>
      </c>
      <c r="L2585" s="85">
        <v>1612.6</v>
      </c>
      <c r="M2585" s="89">
        <v>229.78</v>
      </c>
      <c r="N2585" s="85">
        <v>0</v>
      </c>
      <c r="O2585" s="85">
        <v>160.85</v>
      </c>
      <c r="P2585" s="85">
        <v>1309.75</v>
      </c>
      <c r="Q2585" s="85">
        <v>1612.6</v>
      </c>
      <c r="R2585" s="82" t="s">
        <v>3399</v>
      </c>
      <c r="S2585" s="7">
        <f t="shared" si="121"/>
        <v>0</v>
      </c>
      <c r="T2585" s="6">
        <f t="shared" si="122"/>
        <v>0</v>
      </c>
      <c r="U2585" s="25">
        <f t="shared" si="120"/>
        <v>0</v>
      </c>
    </row>
    <row r="2586" spans="1:21" ht="10.9" customHeight="1" x14ac:dyDescent="0.2">
      <c r="A2586" s="82" t="s">
        <v>3348</v>
      </c>
      <c r="B2586" s="83">
        <v>45971</v>
      </c>
      <c r="C2586" s="82" t="s">
        <v>3395</v>
      </c>
      <c r="D2586" s="82" t="s">
        <v>252</v>
      </c>
      <c r="E2586" s="82"/>
      <c r="F2586" s="82" t="s">
        <v>4577</v>
      </c>
      <c r="G2586" s="89">
        <v>1</v>
      </c>
      <c r="H2586" s="89">
        <v>3005</v>
      </c>
      <c r="I2586" s="85">
        <v>0</v>
      </c>
      <c r="J2586" s="85">
        <v>150.25</v>
      </c>
      <c r="K2586" s="85">
        <v>3155.25</v>
      </c>
      <c r="L2586" s="85">
        <v>3867.57</v>
      </c>
      <c r="M2586" s="89">
        <v>3005</v>
      </c>
      <c r="N2586" s="85">
        <v>0</v>
      </c>
      <c r="O2586" s="85">
        <v>150.25</v>
      </c>
      <c r="P2586" s="85">
        <v>3155.25</v>
      </c>
      <c r="Q2586" s="85">
        <v>3867.57</v>
      </c>
      <c r="R2586" s="82" t="s">
        <v>3396</v>
      </c>
      <c r="S2586" s="7">
        <f t="shared" si="121"/>
        <v>0</v>
      </c>
      <c r="T2586" s="6">
        <f t="shared" si="122"/>
        <v>0</v>
      </c>
      <c r="U2586" s="25">
        <f t="shared" si="120"/>
        <v>0</v>
      </c>
    </row>
    <row r="2587" spans="1:21" ht="10.9" customHeight="1" x14ac:dyDescent="0.2">
      <c r="A2587" s="82" t="s">
        <v>3348</v>
      </c>
      <c r="B2587" s="83">
        <v>45971</v>
      </c>
      <c r="C2587" s="82" t="s">
        <v>3395</v>
      </c>
      <c r="D2587" s="82" t="s">
        <v>252</v>
      </c>
      <c r="E2587" s="82"/>
      <c r="F2587" s="82" t="s">
        <v>4576</v>
      </c>
      <c r="G2587" s="89">
        <v>20</v>
      </c>
      <c r="H2587" s="89">
        <v>33.92</v>
      </c>
      <c r="I2587" s="85">
        <v>0</v>
      </c>
      <c r="J2587" s="85">
        <v>33.92</v>
      </c>
      <c r="K2587" s="85">
        <v>712.32</v>
      </c>
      <c r="L2587" s="85">
        <v>3867.57</v>
      </c>
      <c r="M2587" s="89">
        <v>33.92</v>
      </c>
      <c r="N2587" s="85">
        <v>0</v>
      </c>
      <c r="O2587" s="85">
        <v>33.92</v>
      </c>
      <c r="P2587" s="85">
        <v>712.32</v>
      </c>
      <c r="Q2587" s="85">
        <v>3867.57</v>
      </c>
      <c r="R2587" s="82" t="s">
        <v>3396</v>
      </c>
      <c r="S2587" s="7">
        <f t="shared" si="121"/>
        <v>0</v>
      </c>
      <c r="T2587" s="6">
        <f t="shared" si="122"/>
        <v>0</v>
      </c>
      <c r="U2587" s="25">
        <f t="shared" si="120"/>
        <v>0</v>
      </c>
    </row>
    <row r="2588" spans="1:21" ht="10.9" customHeight="1" x14ac:dyDescent="0.2">
      <c r="A2588" s="82" t="s">
        <v>3234</v>
      </c>
      <c r="B2588" s="83">
        <v>45971</v>
      </c>
      <c r="C2588" s="82" t="s">
        <v>3395</v>
      </c>
      <c r="D2588" s="82" t="s">
        <v>538</v>
      </c>
      <c r="E2588" s="82"/>
      <c r="F2588" s="82" t="s">
        <v>4575</v>
      </c>
      <c r="G2588" s="89">
        <v>3</v>
      </c>
      <c r="H2588" s="89">
        <v>649.88</v>
      </c>
      <c r="I2588" s="85">
        <v>0</v>
      </c>
      <c r="J2588" s="85">
        <v>97.48</v>
      </c>
      <c r="K2588" s="85">
        <v>2047.12</v>
      </c>
      <c r="L2588" s="85">
        <v>2047.12</v>
      </c>
      <c r="M2588" s="89">
        <v>649.88</v>
      </c>
      <c r="N2588" s="85">
        <v>0</v>
      </c>
      <c r="O2588" s="85">
        <v>97.48</v>
      </c>
      <c r="P2588" s="85">
        <v>2047.12</v>
      </c>
      <c r="Q2588" s="85">
        <v>2047.12</v>
      </c>
      <c r="R2588" s="82" t="s">
        <v>3399</v>
      </c>
      <c r="S2588" s="7">
        <f t="shared" si="121"/>
        <v>0</v>
      </c>
      <c r="T2588" s="6">
        <f t="shared" si="122"/>
        <v>0</v>
      </c>
      <c r="U2588" s="25">
        <f t="shared" si="120"/>
        <v>0</v>
      </c>
    </row>
    <row r="2589" spans="1:21" ht="10.9" customHeight="1" x14ac:dyDescent="0.2">
      <c r="A2589" s="82" t="s">
        <v>3347</v>
      </c>
      <c r="B2589" s="83">
        <v>45971</v>
      </c>
      <c r="C2589" s="82" t="s">
        <v>3395</v>
      </c>
      <c r="D2589" s="82" t="s">
        <v>254</v>
      </c>
      <c r="E2589" s="82"/>
      <c r="F2589" s="82" t="s">
        <v>4586</v>
      </c>
      <c r="G2589" s="89">
        <v>3</v>
      </c>
      <c r="H2589" s="89">
        <v>494.5</v>
      </c>
      <c r="I2589" s="85">
        <v>0</v>
      </c>
      <c r="J2589" s="85">
        <v>74.180000000000007</v>
      </c>
      <c r="K2589" s="85">
        <v>1557.68</v>
      </c>
      <c r="L2589" s="85">
        <v>3554.67</v>
      </c>
      <c r="M2589" s="89">
        <v>494.5</v>
      </c>
      <c r="N2589" s="85">
        <v>0</v>
      </c>
      <c r="O2589" s="85">
        <v>74.180000000000007</v>
      </c>
      <c r="P2589" s="85">
        <v>1557.68</v>
      </c>
      <c r="Q2589" s="85">
        <v>3554.67</v>
      </c>
      <c r="R2589" s="82" t="s">
        <v>3399</v>
      </c>
      <c r="S2589" s="7">
        <f t="shared" si="121"/>
        <v>0</v>
      </c>
      <c r="T2589" s="6">
        <f t="shared" si="122"/>
        <v>0</v>
      </c>
      <c r="U2589" s="25">
        <f t="shared" si="120"/>
        <v>0</v>
      </c>
    </row>
    <row r="2590" spans="1:21" ht="10.9" customHeight="1" x14ac:dyDescent="0.2">
      <c r="A2590" s="82" t="s">
        <v>3347</v>
      </c>
      <c r="B2590" s="83">
        <v>45971</v>
      </c>
      <c r="C2590" s="82" t="s">
        <v>3395</v>
      </c>
      <c r="D2590" s="82" t="s">
        <v>254</v>
      </c>
      <c r="E2590" s="82"/>
      <c r="F2590" s="82" t="s">
        <v>4574</v>
      </c>
      <c r="G2590" s="89">
        <v>3</v>
      </c>
      <c r="H2590" s="89">
        <v>88.94</v>
      </c>
      <c r="I2590" s="85">
        <v>0</v>
      </c>
      <c r="J2590" s="85">
        <v>13.34</v>
      </c>
      <c r="K2590" s="85">
        <v>280.16000000000003</v>
      </c>
      <c r="L2590" s="85">
        <v>3554.67</v>
      </c>
      <c r="M2590" s="89">
        <v>88.94</v>
      </c>
      <c r="N2590" s="85">
        <v>0</v>
      </c>
      <c r="O2590" s="85">
        <v>13.34</v>
      </c>
      <c r="P2590" s="85">
        <v>280.16000000000003</v>
      </c>
      <c r="Q2590" s="85">
        <v>3554.67</v>
      </c>
      <c r="R2590" s="82" t="s">
        <v>3399</v>
      </c>
      <c r="S2590" s="7">
        <f t="shared" si="121"/>
        <v>0</v>
      </c>
      <c r="T2590" s="6">
        <f t="shared" si="122"/>
        <v>0</v>
      </c>
      <c r="U2590" s="25">
        <f t="shared" si="120"/>
        <v>0</v>
      </c>
    </row>
    <row r="2591" spans="1:21" ht="10.9" customHeight="1" x14ac:dyDescent="0.2">
      <c r="A2591" s="82" t="s">
        <v>3347</v>
      </c>
      <c r="B2591" s="83">
        <v>45971</v>
      </c>
      <c r="C2591" s="82" t="s">
        <v>3395</v>
      </c>
      <c r="D2591" s="82" t="s">
        <v>254</v>
      </c>
      <c r="E2591" s="82"/>
      <c r="F2591" s="82" t="s">
        <v>4573</v>
      </c>
      <c r="G2591" s="89">
        <v>2</v>
      </c>
      <c r="H2591" s="89">
        <v>228.6</v>
      </c>
      <c r="I2591" s="85">
        <v>0</v>
      </c>
      <c r="J2591" s="85">
        <v>22.86</v>
      </c>
      <c r="K2591" s="85">
        <v>480.06</v>
      </c>
      <c r="L2591" s="85">
        <v>3554.67</v>
      </c>
      <c r="M2591" s="89">
        <v>228.6</v>
      </c>
      <c r="N2591" s="85">
        <v>0</v>
      </c>
      <c r="O2591" s="85">
        <v>22.86</v>
      </c>
      <c r="P2591" s="85">
        <v>480.06</v>
      </c>
      <c r="Q2591" s="85">
        <v>3554.67</v>
      </c>
      <c r="R2591" s="82" t="s">
        <v>3399</v>
      </c>
      <c r="S2591" s="7">
        <f t="shared" si="121"/>
        <v>0</v>
      </c>
      <c r="T2591" s="6">
        <f t="shared" si="122"/>
        <v>0</v>
      </c>
      <c r="U2591" s="25">
        <f t="shared" si="120"/>
        <v>0</v>
      </c>
    </row>
    <row r="2592" spans="1:21" ht="10.9" customHeight="1" x14ac:dyDescent="0.2">
      <c r="A2592" s="82" t="s">
        <v>3347</v>
      </c>
      <c r="B2592" s="83">
        <v>45971</v>
      </c>
      <c r="C2592" s="82" t="s">
        <v>3395</v>
      </c>
      <c r="D2592" s="82" t="s">
        <v>254</v>
      </c>
      <c r="E2592" s="82"/>
      <c r="F2592" s="82" t="s">
        <v>4557</v>
      </c>
      <c r="G2592" s="89">
        <v>2</v>
      </c>
      <c r="H2592" s="89">
        <v>588.94000000000005</v>
      </c>
      <c r="I2592" s="85">
        <v>0</v>
      </c>
      <c r="J2592" s="85">
        <v>58.89</v>
      </c>
      <c r="K2592" s="85">
        <v>1236.77</v>
      </c>
      <c r="L2592" s="85">
        <v>3554.67</v>
      </c>
      <c r="M2592" s="89">
        <v>588.94000000000005</v>
      </c>
      <c r="N2592" s="85">
        <v>0</v>
      </c>
      <c r="O2592" s="85">
        <v>58.89</v>
      </c>
      <c r="P2592" s="85">
        <v>1236.77</v>
      </c>
      <c r="Q2592" s="85">
        <v>3554.67</v>
      </c>
      <c r="R2592" s="82" t="s">
        <v>3399</v>
      </c>
      <c r="S2592" s="7">
        <f t="shared" si="121"/>
        <v>0</v>
      </c>
      <c r="T2592" s="6">
        <f t="shared" si="122"/>
        <v>0</v>
      </c>
      <c r="U2592" s="25">
        <f t="shared" si="120"/>
        <v>0</v>
      </c>
    </row>
    <row r="2593" spans="1:21" ht="10.9" customHeight="1" x14ac:dyDescent="0.2">
      <c r="A2593" s="82" t="s">
        <v>3158</v>
      </c>
      <c r="B2593" s="83">
        <v>45972</v>
      </c>
      <c r="C2593" s="82" t="s">
        <v>3395</v>
      </c>
      <c r="D2593" s="82" t="s">
        <v>696</v>
      </c>
      <c r="E2593" s="82"/>
      <c r="F2593" s="82" t="s">
        <v>4563</v>
      </c>
      <c r="G2593" s="89">
        <v>1</v>
      </c>
      <c r="H2593" s="89">
        <v>762.73</v>
      </c>
      <c r="I2593" s="85">
        <v>0</v>
      </c>
      <c r="J2593" s="85">
        <v>0</v>
      </c>
      <c r="K2593" s="85">
        <v>762.73</v>
      </c>
      <c r="L2593" s="85">
        <v>1559.55</v>
      </c>
      <c r="M2593" s="89">
        <v>1069.026365102925</v>
      </c>
      <c r="N2593" s="85">
        <v>0</v>
      </c>
      <c r="O2593" s="85">
        <v>0</v>
      </c>
      <c r="P2593" s="85">
        <v>1069.026365102925</v>
      </c>
      <c r="Q2593" s="85">
        <v>2185.8325589609253</v>
      </c>
      <c r="R2593" s="82" t="s">
        <v>3399</v>
      </c>
      <c r="S2593" s="7">
        <f t="shared" si="121"/>
        <v>0</v>
      </c>
      <c r="T2593" s="6">
        <f t="shared" si="122"/>
        <v>0</v>
      </c>
      <c r="U2593" s="25">
        <f t="shared" si="120"/>
        <v>0</v>
      </c>
    </row>
    <row r="2594" spans="1:21" ht="10.9" customHeight="1" x14ac:dyDescent="0.2">
      <c r="A2594" s="82" t="s">
        <v>3158</v>
      </c>
      <c r="B2594" s="83">
        <v>45972</v>
      </c>
      <c r="C2594" s="82" t="s">
        <v>3395</v>
      </c>
      <c r="D2594" s="82" t="s">
        <v>696</v>
      </c>
      <c r="E2594" s="82"/>
      <c r="F2594" s="82" t="s">
        <v>4562</v>
      </c>
      <c r="G2594" s="89">
        <v>1</v>
      </c>
      <c r="H2594" s="89">
        <v>691.82</v>
      </c>
      <c r="I2594" s="85">
        <v>0</v>
      </c>
      <c r="J2594" s="85">
        <v>0</v>
      </c>
      <c r="K2594" s="85">
        <v>691.82</v>
      </c>
      <c r="L2594" s="85">
        <v>1559.55</v>
      </c>
      <c r="M2594" s="89">
        <v>969.64039687111494</v>
      </c>
      <c r="N2594" s="85">
        <v>0</v>
      </c>
      <c r="O2594" s="85">
        <v>0</v>
      </c>
      <c r="P2594" s="85">
        <v>969.64039687111494</v>
      </c>
      <c r="Q2594" s="85">
        <v>2185.8325589609253</v>
      </c>
      <c r="R2594" s="82" t="s">
        <v>3399</v>
      </c>
      <c r="S2594" s="7">
        <f t="shared" si="121"/>
        <v>0</v>
      </c>
      <c r="T2594" s="6">
        <f t="shared" si="122"/>
        <v>0</v>
      </c>
      <c r="U2594" s="25">
        <f t="shared" si="120"/>
        <v>0</v>
      </c>
    </row>
    <row r="2595" spans="1:21" ht="10.9" customHeight="1" x14ac:dyDescent="0.2">
      <c r="A2595" s="82" t="s">
        <v>3158</v>
      </c>
      <c r="B2595" s="83">
        <v>45972</v>
      </c>
      <c r="C2595" s="82" t="s">
        <v>3395</v>
      </c>
      <c r="D2595" s="82" t="s">
        <v>696</v>
      </c>
      <c r="E2595" s="82"/>
      <c r="F2595" s="82" t="s">
        <v>4561</v>
      </c>
      <c r="G2595" s="89">
        <v>10</v>
      </c>
      <c r="H2595" s="89">
        <v>10.5</v>
      </c>
      <c r="I2595" s="85">
        <v>0</v>
      </c>
      <c r="J2595" s="85">
        <v>0</v>
      </c>
      <c r="K2595" s="85">
        <v>105</v>
      </c>
      <c r="L2595" s="85">
        <v>1559.55</v>
      </c>
      <c r="M2595" s="89">
        <v>14.716579698688543</v>
      </c>
      <c r="N2595" s="85">
        <v>0</v>
      </c>
      <c r="O2595" s="85">
        <v>0</v>
      </c>
      <c r="P2595" s="85">
        <v>147.16579698688543</v>
      </c>
      <c r="Q2595" s="85">
        <v>2185.8325589609253</v>
      </c>
      <c r="R2595" s="82" t="s">
        <v>3399</v>
      </c>
      <c r="S2595" s="7">
        <f t="shared" si="121"/>
        <v>0</v>
      </c>
      <c r="T2595" s="6">
        <f t="shared" si="122"/>
        <v>0</v>
      </c>
      <c r="U2595" s="25">
        <f t="shared" si="120"/>
        <v>0</v>
      </c>
    </row>
    <row r="2596" spans="1:21" ht="10.9" customHeight="1" x14ac:dyDescent="0.2">
      <c r="A2596" s="82" t="s">
        <v>3351</v>
      </c>
      <c r="B2596" s="83">
        <v>45972</v>
      </c>
      <c r="C2596" s="82" t="s">
        <v>3395</v>
      </c>
      <c r="D2596" s="82" t="s">
        <v>241</v>
      </c>
      <c r="E2596" s="82"/>
      <c r="F2596" s="82" t="s">
        <v>4569</v>
      </c>
      <c r="G2596" s="89">
        <v>1</v>
      </c>
      <c r="H2596" s="89">
        <v>1946.57</v>
      </c>
      <c r="I2596" s="85">
        <v>0</v>
      </c>
      <c r="J2596" s="85">
        <v>97.33</v>
      </c>
      <c r="K2596" s="85">
        <v>2043.9</v>
      </c>
      <c r="L2596" s="85">
        <v>2043.9</v>
      </c>
      <c r="M2596" s="89">
        <v>1946.57</v>
      </c>
      <c r="N2596" s="85">
        <v>0</v>
      </c>
      <c r="O2596" s="85">
        <v>97.33</v>
      </c>
      <c r="P2596" s="85">
        <v>2043.9</v>
      </c>
      <c r="Q2596" s="85">
        <v>2043.9</v>
      </c>
      <c r="R2596" s="82" t="s">
        <v>3399</v>
      </c>
      <c r="S2596" s="7">
        <f t="shared" si="121"/>
        <v>0</v>
      </c>
      <c r="T2596" s="6">
        <f t="shared" si="122"/>
        <v>0</v>
      </c>
      <c r="U2596" s="25">
        <f t="shared" si="120"/>
        <v>0</v>
      </c>
    </row>
    <row r="2597" spans="1:21" ht="10.9" customHeight="1" x14ac:dyDescent="0.2">
      <c r="A2597" s="82" t="s">
        <v>3219</v>
      </c>
      <c r="B2597" s="83">
        <v>45972</v>
      </c>
      <c r="C2597" s="82" t="s">
        <v>3395</v>
      </c>
      <c r="D2597" s="82" t="s">
        <v>564</v>
      </c>
      <c r="E2597" s="82"/>
      <c r="F2597" s="82" t="s">
        <v>4568</v>
      </c>
      <c r="G2597" s="89">
        <v>1</v>
      </c>
      <c r="H2597" s="89">
        <v>50</v>
      </c>
      <c r="I2597" s="85">
        <v>0</v>
      </c>
      <c r="J2597" s="85">
        <v>2.5</v>
      </c>
      <c r="K2597" s="85">
        <v>52.5</v>
      </c>
      <c r="L2597" s="85">
        <v>52.5</v>
      </c>
      <c r="M2597" s="89">
        <v>50</v>
      </c>
      <c r="N2597" s="85">
        <v>0</v>
      </c>
      <c r="O2597" s="85">
        <v>2.5</v>
      </c>
      <c r="P2597" s="85">
        <v>52.5</v>
      </c>
      <c r="Q2597" s="85">
        <v>52.5</v>
      </c>
      <c r="R2597" s="82" t="s">
        <v>3399</v>
      </c>
      <c r="S2597" s="7">
        <f t="shared" si="121"/>
        <v>0</v>
      </c>
      <c r="T2597" s="6">
        <f t="shared" si="122"/>
        <v>0</v>
      </c>
      <c r="U2597" s="25">
        <f t="shared" si="120"/>
        <v>0</v>
      </c>
    </row>
    <row r="2598" spans="1:21" ht="10.9" customHeight="1" x14ac:dyDescent="0.2">
      <c r="A2598" s="82" t="s">
        <v>3210</v>
      </c>
      <c r="B2598" s="83">
        <v>45972</v>
      </c>
      <c r="C2598" s="82" t="s">
        <v>3395</v>
      </c>
      <c r="D2598" s="82" t="s">
        <v>585</v>
      </c>
      <c r="E2598" s="82"/>
      <c r="F2598" s="82" t="s">
        <v>4567</v>
      </c>
      <c r="G2598" s="89">
        <v>1</v>
      </c>
      <c r="H2598" s="89">
        <v>49.16</v>
      </c>
      <c r="I2598" s="85">
        <v>0</v>
      </c>
      <c r="J2598" s="85">
        <v>2.46</v>
      </c>
      <c r="K2598" s="85">
        <v>51.62</v>
      </c>
      <c r="L2598" s="85">
        <v>51.62</v>
      </c>
      <c r="M2598" s="89">
        <v>49.16</v>
      </c>
      <c r="N2598" s="85">
        <v>0</v>
      </c>
      <c r="O2598" s="85">
        <v>2.46</v>
      </c>
      <c r="P2598" s="85">
        <v>51.62</v>
      </c>
      <c r="Q2598" s="85">
        <v>51.62</v>
      </c>
      <c r="R2598" s="82" t="s">
        <v>3396</v>
      </c>
      <c r="S2598" s="7">
        <f t="shared" si="121"/>
        <v>0</v>
      </c>
      <c r="T2598" s="6">
        <f t="shared" si="122"/>
        <v>0</v>
      </c>
      <c r="U2598" s="25">
        <f t="shared" si="120"/>
        <v>0</v>
      </c>
    </row>
    <row r="2599" spans="1:21" ht="10.9" customHeight="1" x14ac:dyDescent="0.2">
      <c r="A2599" s="82" t="s">
        <v>3295</v>
      </c>
      <c r="B2599" s="83">
        <v>45972</v>
      </c>
      <c r="C2599" s="82" t="s">
        <v>3395</v>
      </c>
      <c r="D2599" s="82" t="s">
        <v>384</v>
      </c>
      <c r="E2599" s="82"/>
      <c r="F2599" s="82" t="s">
        <v>4566</v>
      </c>
      <c r="G2599" s="89">
        <v>2</v>
      </c>
      <c r="H2599" s="89">
        <v>16</v>
      </c>
      <c r="I2599" s="85">
        <v>0</v>
      </c>
      <c r="J2599" s="85">
        <v>1.6</v>
      </c>
      <c r="K2599" s="85">
        <v>33.6</v>
      </c>
      <c r="L2599" s="85">
        <v>33.6</v>
      </c>
      <c r="M2599" s="89">
        <v>16</v>
      </c>
      <c r="N2599" s="85">
        <v>0</v>
      </c>
      <c r="O2599" s="85">
        <v>1.6</v>
      </c>
      <c r="P2599" s="85">
        <v>33.6</v>
      </c>
      <c r="Q2599" s="85">
        <v>33.6</v>
      </c>
      <c r="R2599" s="82" t="s">
        <v>3399</v>
      </c>
      <c r="S2599" s="7">
        <f t="shared" si="121"/>
        <v>0</v>
      </c>
      <c r="T2599" s="6">
        <f t="shared" si="122"/>
        <v>0</v>
      </c>
      <c r="U2599" s="25">
        <f t="shared" si="120"/>
        <v>0</v>
      </c>
    </row>
    <row r="2600" spans="1:21" ht="10.9" customHeight="1" x14ac:dyDescent="0.2">
      <c r="A2600" s="82" t="s">
        <v>3109</v>
      </c>
      <c r="B2600" s="83">
        <v>45972</v>
      </c>
      <c r="C2600" s="82" t="s">
        <v>3395</v>
      </c>
      <c r="D2600" s="82" t="s">
        <v>794</v>
      </c>
      <c r="E2600" s="82"/>
      <c r="F2600" s="82" t="s">
        <v>4565</v>
      </c>
      <c r="G2600" s="89">
        <v>6</v>
      </c>
      <c r="H2600" s="89">
        <v>308.04000000000002</v>
      </c>
      <c r="I2600" s="85">
        <v>0</v>
      </c>
      <c r="J2600" s="85">
        <v>92.41</v>
      </c>
      <c r="K2600" s="85">
        <v>1940.65</v>
      </c>
      <c r="L2600" s="85">
        <v>3972.86</v>
      </c>
      <c r="M2600" s="89">
        <v>308.04000000000002</v>
      </c>
      <c r="N2600" s="85">
        <v>0</v>
      </c>
      <c r="O2600" s="85">
        <v>92.41</v>
      </c>
      <c r="P2600" s="85">
        <v>1940.65</v>
      </c>
      <c r="Q2600" s="85">
        <v>3972.86</v>
      </c>
      <c r="R2600" s="82" t="s">
        <v>3399</v>
      </c>
      <c r="S2600" s="7">
        <f t="shared" si="121"/>
        <v>0</v>
      </c>
      <c r="T2600" s="6">
        <f t="shared" si="122"/>
        <v>0</v>
      </c>
      <c r="U2600" s="25">
        <f t="shared" si="120"/>
        <v>0</v>
      </c>
    </row>
    <row r="2601" spans="1:21" ht="10.9" customHeight="1" x14ac:dyDescent="0.2">
      <c r="A2601" s="82" t="s">
        <v>3109</v>
      </c>
      <c r="B2601" s="83">
        <v>45972</v>
      </c>
      <c r="C2601" s="82" t="s">
        <v>3395</v>
      </c>
      <c r="D2601" s="82" t="s">
        <v>794</v>
      </c>
      <c r="E2601" s="82"/>
      <c r="F2601" s="82" t="s">
        <v>4564</v>
      </c>
      <c r="G2601" s="89">
        <v>8</v>
      </c>
      <c r="H2601" s="89">
        <v>241.93</v>
      </c>
      <c r="I2601" s="85">
        <v>0</v>
      </c>
      <c r="J2601" s="85">
        <v>96.77</v>
      </c>
      <c r="K2601" s="85">
        <v>2032.21</v>
      </c>
      <c r="L2601" s="85">
        <v>3972.86</v>
      </c>
      <c r="M2601" s="89">
        <v>241.93</v>
      </c>
      <c r="N2601" s="85">
        <v>0</v>
      </c>
      <c r="O2601" s="85">
        <v>96.77</v>
      </c>
      <c r="P2601" s="85">
        <v>2032.21</v>
      </c>
      <c r="Q2601" s="85">
        <v>3972.86</v>
      </c>
      <c r="R2601" s="82" t="s">
        <v>3399</v>
      </c>
      <c r="S2601" s="7">
        <f t="shared" si="121"/>
        <v>0</v>
      </c>
      <c r="T2601" s="6">
        <f t="shared" si="122"/>
        <v>0</v>
      </c>
      <c r="U2601" s="25">
        <f t="shared" si="120"/>
        <v>0</v>
      </c>
    </row>
    <row r="2602" spans="1:21" ht="10.9" customHeight="1" x14ac:dyDescent="0.2">
      <c r="A2602" s="82" t="s">
        <v>3156</v>
      </c>
      <c r="B2602" s="83">
        <v>45972</v>
      </c>
      <c r="C2602" s="82" t="s">
        <v>3395</v>
      </c>
      <c r="D2602" s="82" t="s">
        <v>698</v>
      </c>
      <c r="E2602" s="82"/>
      <c r="F2602" s="82" t="s">
        <v>4571</v>
      </c>
      <c r="G2602" s="89">
        <v>1</v>
      </c>
      <c r="H2602" s="89">
        <v>3879.01</v>
      </c>
      <c r="I2602" s="85">
        <v>0</v>
      </c>
      <c r="J2602" s="85">
        <v>193.95</v>
      </c>
      <c r="K2602" s="85">
        <v>4072.96</v>
      </c>
      <c r="L2602" s="85">
        <v>8250.24</v>
      </c>
      <c r="M2602" s="89">
        <v>3879.01</v>
      </c>
      <c r="N2602" s="85">
        <v>0</v>
      </c>
      <c r="O2602" s="85">
        <v>193.95</v>
      </c>
      <c r="P2602" s="85">
        <v>4072.96</v>
      </c>
      <c r="Q2602" s="85">
        <v>8250.24</v>
      </c>
      <c r="R2602" s="82" t="s">
        <v>3399</v>
      </c>
      <c r="S2602" s="7">
        <f t="shared" si="121"/>
        <v>0</v>
      </c>
      <c r="T2602" s="6">
        <f t="shared" si="122"/>
        <v>0</v>
      </c>
      <c r="U2602" s="25">
        <f t="shared" si="120"/>
        <v>0</v>
      </c>
    </row>
    <row r="2603" spans="1:21" ht="10.9" customHeight="1" x14ac:dyDescent="0.2">
      <c r="A2603" s="82" t="s">
        <v>3156</v>
      </c>
      <c r="B2603" s="83">
        <v>45972</v>
      </c>
      <c r="C2603" s="82" t="s">
        <v>3395</v>
      </c>
      <c r="D2603" s="82" t="s">
        <v>698</v>
      </c>
      <c r="E2603" s="82"/>
      <c r="F2603" s="82" t="s">
        <v>4570</v>
      </c>
      <c r="G2603" s="89">
        <v>1</v>
      </c>
      <c r="H2603" s="89">
        <v>3978.36</v>
      </c>
      <c r="I2603" s="85">
        <v>0</v>
      </c>
      <c r="J2603" s="85">
        <v>198.92</v>
      </c>
      <c r="K2603" s="85">
        <v>4177.28</v>
      </c>
      <c r="L2603" s="85">
        <v>8250.24</v>
      </c>
      <c r="M2603" s="89">
        <v>3978.36</v>
      </c>
      <c r="N2603" s="85">
        <v>0</v>
      </c>
      <c r="O2603" s="85">
        <v>198.92</v>
      </c>
      <c r="P2603" s="85">
        <v>4177.28</v>
      </c>
      <c r="Q2603" s="85">
        <v>8250.24</v>
      </c>
      <c r="R2603" s="82" t="s">
        <v>3399</v>
      </c>
      <c r="S2603" s="7">
        <f t="shared" si="121"/>
        <v>0</v>
      </c>
      <c r="T2603" s="6">
        <f t="shared" si="122"/>
        <v>0</v>
      </c>
      <c r="U2603" s="25">
        <f t="shared" si="120"/>
        <v>0</v>
      </c>
    </row>
    <row r="2604" spans="1:21" ht="10.9" customHeight="1" x14ac:dyDescent="0.2">
      <c r="A2604" s="82" t="s">
        <v>3352</v>
      </c>
      <c r="B2604" s="83">
        <v>45973</v>
      </c>
      <c r="C2604" s="82" t="s">
        <v>3395</v>
      </c>
      <c r="D2604" s="82" t="s">
        <v>238</v>
      </c>
      <c r="E2604" s="82"/>
      <c r="F2604" s="82" t="s">
        <v>4560</v>
      </c>
      <c r="G2604" s="89">
        <v>1</v>
      </c>
      <c r="H2604" s="89">
        <v>1642.24</v>
      </c>
      <c r="I2604" s="85">
        <v>0</v>
      </c>
      <c r="J2604" s="85">
        <v>0</v>
      </c>
      <c r="K2604" s="85">
        <v>1642.24</v>
      </c>
      <c r="L2604" s="85">
        <v>1642.24</v>
      </c>
      <c r="M2604" s="89">
        <v>2300.2042148373703</v>
      </c>
      <c r="N2604" s="85">
        <v>0</v>
      </c>
      <c r="O2604" s="85">
        <v>0</v>
      </c>
      <c r="P2604" s="85">
        <v>2300.2042148373703</v>
      </c>
      <c r="Q2604" s="85">
        <v>2300.2042148373703</v>
      </c>
      <c r="R2604" s="82" t="s">
        <v>3396</v>
      </c>
      <c r="S2604" s="7">
        <f t="shared" si="121"/>
        <v>0</v>
      </c>
      <c r="T2604" s="6">
        <f t="shared" si="122"/>
        <v>0</v>
      </c>
      <c r="U2604" s="25">
        <f t="shared" si="120"/>
        <v>0</v>
      </c>
    </row>
    <row r="2605" spans="1:21" ht="10.9" customHeight="1" x14ac:dyDescent="0.2">
      <c r="A2605" s="82" t="s">
        <v>3312</v>
      </c>
      <c r="B2605" s="83">
        <v>45974</v>
      </c>
      <c r="C2605" s="82" t="s">
        <v>3395</v>
      </c>
      <c r="D2605" s="82" t="s">
        <v>339</v>
      </c>
      <c r="E2605" s="82"/>
      <c r="F2605" s="82" t="s">
        <v>4559</v>
      </c>
      <c r="G2605" s="89">
        <v>1</v>
      </c>
      <c r="H2605" s="89">
        <v>2234.11</v>
      </c>
      <c r="I2605" s="85">
        <v>0</v>
      </c>
      <c r="J2605" s="85">
        <v>111.71</v>
      </c>
      <c r="K2605" s="85">
        <v>2345.8200000000002</v>
      </c>
      <c r="L2605" s="85">
        <v>2345.8200000000002</v>
      </c>
      <c r="M2605" s="89">
        <v>2234.11</v>
      </c>
      <c r="N2605" s="85">
        <v>0</v>
      </c>
      <c r="O2605" s="85">
        <v>111.71</v>
      </c>
      <c r="P2605" s="85">
        <v>2345.8200000000002</v>
      </c>
      <c r="Q2605" s="85">
        <v>2345.8200000000002</v>
      </c>
      <c r="R2605" s="82" t="s">
        <v>3396</v>
      </c>
      <c r="S2605" s="7">
        <f t="shared" si="121"/>
        <v>0</v>
      </c>
      <c r="T2605" s="6">
        <f t="shared" si="122"/>
        <v>0</v>
      </c>
      <c r="U2605" s="25">
        <f t="shared" si="120"/>
        <v>0</v>
      </c>
    </row>
    <row r="2606" spans="1:21" ht="10.9" customHeight="1" x14ac:dyDescent="0.2">
      <c r="A2606" s="82" t="s">
        <v>3360</v>
      </c>
      <c r="B2606" s="83">
        <v>45974</v>
      </c>
      <c r="C2606" s="82" t="s">
        <v>3395</v>
      </c>
      <c r="D2606" s="82" t="s">
        <v>211</v>
      </c>
      <c r="E2606" s="82"/>
      <c r="F2606" s="82" t="s">
        <v>4558</v>
      </c>
      <c r="G2606" s="89">
        <v>1</v>
      </c>
      <c r="H2606" s="89">
        <v>347.78</v>
      </c>
      <c r="I2606" s="85">
        <v>0</v>
      </c>
      <c r="J2606" s="85">
        <v>17.39</v>
      </c>
      <c r="K2606" s="85">
        <v>365.17</v>
      </c>
      <c r="L2606" s="85">
        <v>365.17</v>
      </c>
      <c r="M2606" s="89">
        <v>347.78</v>
      </c>
      <c r="N2606" s="85">
        <v>0</v>
      </c>
      <c r="O2606" s="85">
        <v>17.39</v>
      </c>
      <c r="P2606" s="85">
        <v>365.17</v>
      </c>
      <c r="Q2606" s="85">
        <v>365.17</v>
      </c>
      <c r="R2606" s="82" t="s">
        <v>3396</v>
      </c>
      <c r="S2606" s="7">
        <f t="shared" si="121"/>
        <v>0</v>
      </c>
      <c r="T2606" s="6">
        <f t="shared" si="122"/>
        <v>0</v>
      </c>
      <c r="U2606" s="25">
        <f t="shared" si="120"/>
        <v>0</v>
      </c>
    </row>
    <row r="2607" spans="1:21" ht="10.9" customHeight="1" x14ac:dyDescent="0.2">
      <c r="A2607" s="82" t="s">
        <v>3358</v>
      </c>
      <c r="B2607" s="83">
        <v>45974</v>
      </c>
      <c r="C2607" s="82" t="s">
        <v>3395</v>
      </c>
      <c r="D2607" s="82" t="s">
        <v>219</v>
      </c>
      <c r="E2607" s="82"/>
      <c r="F2607" s="82" t="s">
        <v>4557</v>
      </c>
      <c r="G2607" s="89">
        <v>1</v>
      </c>
      <c r="H2607" s="89">
        <v>987.3</v>
      </c>
      <c r="I2607" s="85">
        <v>0</v>
      </c>
      <c r="J2607" s="85">
        <v>49.37</v>
      </c>
      <c r="K2607" s="85">
        <v>1036.67</v>
      </c>
      <c r="L2607" s="85">
        <v>1036.67</v>
      </c>
      <c r="M2607" s="89">
        <v>987.3</v>
      </c>
      <c r="N2607" s="85">
        <v>0</v>
      </c>
      <c r="O2607" s="85">
        <v>49.37</v>
      </c>
      <c r="P2607" s="85">
        <v>1036.67</v>
      </c>
      <c r="Q2607" s="85">
        <v>1036.67</v>
      </c>
      <c r="R2607" s="82" t="s">
        <v>3399</v>
      </c>
      <c r="S2607" s="7">
        <f t="shared" si="121"/>
        <v>0</v>
      </c>
      <c r="T2607" s="6">
        <f t="shared" si="122"/>
        <v>0</v>
      </c>
      <c r="U2607" s="25">
        <f t="shared" si="120"/>
        <v>0</v>
      </c>
    </row>
    <row r="2608" spans="1:21" ht="10.9" customHeight="1" x14ac:dyDescent="0.2">
      <c r="A2608" s="82" t="s">
        <v>3244</v>
      </c>
      <c r="B2608" s="83">
        <v>45975</v>
      </c>
      <c r="C2608" s="82" t="s">
        <v>3395</v>
      </c>
      <c r="D2608" s="82" t="s">
        <v>517</v>
      </c>
      <c r="E2608" s="82"/>
      <c r="F2608" s="82" t="s">
        <v>4549</v>
      </c>
      <c r="G2608" s="89">
        <v>1</v>
      </c>
      <c r="H2608" s="89">
        <v>753.88</v>
      </c>
      <c r="I2608" s="85">
        <v>0</v>
      </c>
      <c r="J2608" s="85">
        <v>37.69</v>
      </c>
      <c r="K2608" s="85">
        <v>791.57</v>
      </c>
      <c r="L2608" s="85">
        <v>791.57</v>
      </c>
      <c r="M2608" s="89">
        <v>753.88</v>
      </c>
      <c r="N2608" s="85">
        <v>0</v>
      </c>
      <c r="O2608" s="85">
        <v>37.69</v>
      </c>
      <c r="P2608" s="85">
        <v>791.57</v>
      </c>
      <c r="Q2608" s="85">
        <v>791.57</v>
      </c>
      <c r="R2608" s="82" t="s">
        <v>3399</v>
      </c>
      <c r="S2608" s="7">
        <f t="shared" si="121"/>
        <v>0</v>
      </c>
      <c r="T2608" s="6">
        <f t="shared" si="122"/>
        <v>0</v>
      </c>
      <c r="U2608" s="25">
        <f t="shared" si="120"/>
        <v>0</v>
      </c>
    </row>
    <row r="2609" spans="1:21" ht="10.9" customHeight="1" x14ac:dyDescent="0.2">
      <c r="A2609" s="82" t="s">
        <v>3356</v>
      </c>
      <c r="B2609" s="83">
        <v>45975</v>
      </c>
      <c r="C2609" s="82" t="s">
        <v>3395</v>
      </c>
      <c r="D2609" s="82" t="s">
        <v>223</v>
      </c>
      <c r="E2609" s="82"/>
      <c r="F2609" s="82" t="s">
        <v>4415</v>
      </c>
      <c r="G2609" s="89">
        <v>1</v>
      </c>
      <c r="H2609" s="89">
        <v>2147.04</v>
      </c>
      <c r="I2609" s="85">
        <v>0</v>
      </c>
      <c r="J2609" s="85">
        <v>107.35</v>
      </c>
      <c r="K2609" s="85">
        <v>2254.39</v>
      </c>
      <c r="L2609" s="85">
        <v>2254.39</v>
      </c>
      <c r="M2609" s="89">
        <v>2147.04</v>
      </c>
      <c r="N2609" s="85">
        <v>0</v>
      </c>
      <c r="O2609" s="85">
        <v>107.35</v>
      </c>
      <c r="P2609" s="85">
        <v>2254.39</v>
      </c>
      <c r="Q2609" s="85">
        <v>2254.39</v>
      </c>
      <c r="R2609" s="82" t="s">
        <v>3399</v>
      </c>
      <c r="S2609" s="7">
        <f t="shared" si="121"/>
        <v>0</v>
      </c>
      <c r="T2609" s="6">
        <f t="shared" si="122"/>
        <v>0</v>
      </c>
      <c r="U2609" s="25">
        <f t="shared" si="120"/>
        <v>0</v>
      </c>
    </row>
    <row r="2610" spans="1:21" ht="10.9" customHeight="1" x14ac:dyDescent="0.2">
      <c r="A2610" s="82" t="s">
        <v>3363</v>
      </c>
      <c r="B2610" s="83">
        <v>45975</v>
      </c>
      <c r="C2610" s="82" t="s">
        <v>3395</v>
      </c>
      <c r="D2610" s="82" t="s">
        <v>205</v>
      </c>
      <c r="E2610" s="82"/>
      <c r="F2610" s="82" t="s">
        <v>4556</v>
      </c>
      <c r="G2610" s="89">
        <v>1</v>
      </c>
      <c r="H2610" s="89">
        <v>109.66</v>
      </c>
      <c r="I2610" s="85">
        <v>0</v>
      </c>
      <c r="J2610" s="85">
        <v>5.48</v>
      </c>
      <c r="K2610" s="85">
        <v>115.14</v>
      </c>
      <c r="L2610" s="85">
        <v>115.14</v>
      </c>
      <c r="M2610" s="89">
        <v>109.66</v>
      </c>
      <c r="N2610" s="85">
        <v>0</v>
      </c>
      <c r="O2610" s="85">
        <v>5.48</v>
      </c>
      <c r="P2610" s="85">
        <v>115.14</v>
      </c>
      <c r="Q2610" s="85">
        <v>115.14</v>
      </c>
      <c r="R2610" s="82" t="s">
        <v>3396</v>
      </c>
      <c r="S2610" s="7">
        <f t="shared" si="121"/>
        <v>0</v>
      </c>
      <c r="T2610" s="6">
        <f t="shared" si="122"/>
        <v>0</v>
      </c>
      <c r="U2610" s="25">
        <f t="shared" si="120"/>
        <v>0</v>
      </c>
    </row>
    <row r="2611" spans="1:21" ht="10.9" customHeight="1" x14ac:dyDescent="0.2">
      <c r="A2611" s="82" t="s">
        <v>3361</v>
      </c>
      <c r="B2611" s="83">
        <v>45975</v>
      </c>
      <c r="C2611" s="82" t="s">
        <v>3395</v>
      </c>
      <c r="D2611" s="82" t="s">
        <v>209</v>
      </c>
      <c r="E2611" s="82"/>
      <c r="F2611" s="82" t="s">
        <v>4555</v>
      </c>
      <c r="G2611" s="89">
        <v>1</v>
      </c>
      <c r="H2611" s="89">
        <v>474.96</v>
      </c>
      <c r="I2611" s="85">
        <v>0</v>
      </c>
      <c r="J2611" s="85">
        <v>23.75</v>
      </c>
      <c r="K2611" s="85">
        <v>498.71</v>
      </c>
      <c r="L2611" s="85">
        <v>3010.94</v>
      </c>
      <c r="M2611" s="89">
        <v>474.96</v>
      </c>
      <c r="N2611" s="85">
        <v>0</v>
      </c>
      <c r="O2611" s="85">
        <v>23.75</v>
      </c>
      <c r="P2611" s="85">
        <v>498.71</v>
      </c>
      <c r="Q2611" s="85">
        <v>3010.94</v>
      </c>
      <c r="R2611" s="82" t="s">
        <v>3396</v>
      </c>
      <c r="S2611" s="7">
        <f t="shared" si="121"/>
        <v>0</v>
      </c>
      <c r="T2611" s="6">
        <f t="shared" si="122"/>
        <v>0</v>
      </c>
      <c r="U2611" s="25">
        <f t="shared" si="120"/>
        <v>0</v>
      </c>
    </row>
    <row r="2612" spans="1:21" ht="10.9" customHeight="1" x14ac:dyDescent="0.2">
      <c r="A2612" s="82" t="s">
        <v>3361</v>
      </c>
      <c r="B2612" s="83">
        <v>45975</v>
      </c>
      <c r="C2612" s="82" t="s">
        <v>3395</v>
      </c>
      <c r="D2612" s="82" t="s">
        <v>209</v>
      </c>
      <c r="E2612" s="82"/>
      <c r="F2612" s="82" t="s">
        <v>4554</v>
      </c>
      <c r="G2612" s="89">
        <v>1</v>
      </c>
      <c r="H2612" s="89">
        <v>1017.91</v>
      </c>
      <c r="I2612" s="85">
        <v>0</v>
      </c>
      <c r="J2612" s="85">
        <v>50.9</v>
      </c>
      <c r="K2612" s="85">
        <v>1068.81</v>
      </c>
      <c r="L2612" s="85">
        <v>3010.94</v>
      </c>
      <c r="M2612" s="89">
        <v>1017.91</v>
      </c>
      <c r="N2612" s="85">
        <v>0</v>
      </c>
      <c r="O2612" s="85">
        <v>50.9</v>
      </c>
      <c r="P2612" s="85">
        <v>1068.81</v>
      </c>
      <c r="Q2612" s="85">
        <v>3010.94</v>
      </c>
      <c r="R2612" s="82" t="s">
        <v>3396</v>
      </c>
      <c r="S2612" s="7">
        <f t="shared" si="121"/>
        <v>0</v>
      </c>
      <c r="T2612" s="6">
        <f t="shared" si="122"/>
        <v>0</v>
      </c>
      <c r="U2612" s="25">
        <f t="shared" si="120"/>
        <v>0</v>
      </c>
    </row>
    <row r="2613" spans="1:21" ht="10.9" customHeight="1" x14ac:dyDescent="0.2">
      <c r="A2613" s="82" t="s">
        <v>3361</v>
      </c>
      <c r="B2613" s="83">
        <v>45975</v>
      </c>
      <c r="C2613" s="82" t="s">
        <v>3395</v>
      </c>
      <c r="D2613" s="82" t="s">
        <v>209</v>
      </c>
      <c r="E2613" s="82"/>
      <c r="F2613" s="82" t="s">
        <v>4428</v>
      </c>
      <c r="G2613" s="89">
        <v>2</v>
      </c>
      <c r="H2613" s="89">
        <v>177.38</v>
      </c>
      <c r="I2613" s="85">
        <v>0</v>
      </c>
      <c r="J2613" s="85">
        <v>17.739999999999998</v>
      </c>
      <c r="K2613" s="85">
        <v>372.5</v>
      </c>
      <c r="L2613" s="85">
        <v>3010.94</v>
      </c>
      <c r="M2613" s="89">
        <v>177.38</v>
      </c>
      <c r="N2613" s="85">
        <v>0</v>
      </c>
      <c r="O2613" s="85">
        <v>17.739999999999998</v>
      </c>
      <c r="P2613" s="85">
        <v>372.5</v>
      </c>
      <c r="Q2613" s="85">
        <v>3010.94</v>
      </c>
      <c r="R2613" s="82" t="s">
        <v>3396</v>
      </c>
      <c r="S2613" s="7">
        <f t="shared" si="121"/>
        <v>0</v>
      </c>
      <c r="T2613" s="6">
        <f t="shared" si="122"/>
        <v>0</v>
      </c>
      <c r="U2613" s="25">
        <f t="shared" si="120"/>
        <v>0</v>
      </c>
    </row>
    <row r="2614" spans="1:21" ht="10.9" customHeight="1" x14ac:dyDescent="0.2">
      <c r="A2614" s="82" t="s">
        <v>3361</v>
      </c>
      <c r="B2614" s="83">
        <v>45975</v>
      </c>
      <c r="C2614" s="82" t="s">
        <v>3395</v>
      </c>
      <c r="D2614" s="82" t="s">
        <v>209</v>
      </c>
      <c r="E2614" s="82"/>
      <c r="F2614" s="82" t="s">
        <v>4553</v>
      </c>
      <c r="G2614" s="89">
        <v>1</v>
      </c>
      <c r="H2614" s="89">
        <v>979.42</v>
      </c>
      <c r="I2614" s="85">
        <v>0</v>
      </c>
      <c r="J2614" s="85">
        <v>48.97</v>
      </c>
      <c r="K2614" s="85">
        <v>1028.3900000000001</v>
      </c>
      <c r="L2614" s="85">
        <v>3010.94</v>
      </c>
      <c r="M2614" s="89">
        <v>979.42</v>
      </c>
      <c r="N2614" s="85">
        <v>0</v>
      </c>
      <c r="O2614" s="85">
        <v>48.97</v>
      </c>
      <c r="P2614" s="85">
        <v>1028.3900000000001</v>
      </c>
      <c r="Q2614" s="85">
        <v>3010.94</v>
      </c>
      <c r="R2614" s="82" t="s">
        <v>3396</v>
      </c>
      <c r="S2614" s="7">
        <f t="shared" si="121"/>
        <v>0</v>
      </c>
      <c r="T2614" s="6">
        <f t="shared" si="122"/>
        <v>0</v>
      </c>
      <c r="U2614" s="25">
        <f t="shared" si="120"/>
        <v>0</v>
      </c>
    </row>
    <row r="2615" spans="1:21" ht="10.9" customHeight="1" x14ac:dyDescent="0.2">
      <c r="A2615" s="82" t="s">
        <v>3361</v>
      </c>
      <c r="B2615" s="83">
        <v>45975</v>
      </c>
      <c r="C2615" s="82" t="s">
        <v>3395</v>
      </c>
      <c r="D2615" s="82" t="s">
        <v>209</v>
      </c>
      <c r="E2615" s="82"/>
      <c r="F2615" s="82" t="s">
        <v>4552</v>
      </c>
      <c r="G2615" s="89">
        <v>2</v>
      </c>
      <c r="H2615" s="89">
        <v>20.25</v>
      </c>
      <c r="I2615" s="85">
        <v>0</v>
      </c>
      <c r="J2615" s="85">
        <v>2.0299999999999998</v>
      </c>
      <c r="K2615" s="85">
        <v>42.53</v>
      </c>
      <c r="L2615" s="85">
        <v>3010.94</v>
      </c>
      <c r="M2615" s="89">
        <v>20.25</v>
      </c>
      <c r="N2615" s="85">
        <v>0</v>
      </c>
      <c r="O2615" s="85">
        <v>2.0299999999999998</v>
      </c>
      <c r="P2615" s="85">
        <v>42.53</v>
      </c>
      <c r="Q2615" s="85">
        <v>3010.94</v>
      </c>
      <c r="R2615" s="82" t="s">
        <v>3396</v>
      </c>
      <c r="S2615" s="7">
        <f t="shared" si="121"/>
        <v>0</v>
      </c>
      <c r="T2615" s="6">
        <f t="shared" si="122"/>
        <v>0</v>
      </c>
      <c r="U2615" s="25">
        <f t="shared" si="120"/>
        <v>0</v>
      </c>
    </row>
    <row r="2616" spans="1:21" ht="10.9" customHeight="1" x14ac:dyDescent="0.2">
      <c r="A2616" s="82" t="s">
        <v>3364</v>
      </c>
      <c r="B2616" s="83">
        <v>45975</v>
      </c>
      <c r="C2616" s="82" t="s">
        <v>3395</v>
      </c>
      <c r="D2616" s="82" t="s">
        <v>203</v>
      </c>
      <c r="E2616" s="82"/>
      <c r="F2616" s="82" t="s">
        <v>4551</v>
      </c>
      <c r="G2616" s="89">
        <v>1</v>
      </c>
      <c r="H2616" s="89">
        <v>721.12</v>
      </c>
      <c r="I2616" s="85">
        <v>0</v>
      </c>
      <c r="J2616" s="85">
        <v>36.06</v>
      </c>
      <c r="K2616" s="85">
        <v>757.18</v>
      </c>
      <c r="L2616" s="85">
        <v>757.18</v>
      </c>
      <c r="M2616" s="89">
        <v>721.12</v>
      </c>
      <c r="N2616" s="85">
        <v>0</v>
      </c>
      <c r="O2616" s="85">
        <v>36.06</v>
      </c>
      <c r="P2616" s="85">
        <v>757.18</v>
      </c>
      <c r="Q2616" s="85">
        <v>757.18</v>
      </c>
      <c r="R2616" s="82" t="s">
        <v>3396</v>
      </c>
      <c r="S2616" s="7">
        <f t="shared" si="121"/>
        <v>0</v>
      </c>
      <c r="T2616" s="6">
        <f t="shared" si="122"/>
        <v>0</v>
      </c>
      <c r="U2616" s="25">
        <f t="shared" si="120"/>
        <v>0</v>
      </c>
    </row>
    <row r="2617" spans="1:21" ht="10.9" customHeight="1" x14ac:dyDescent="0.2">
      <c r="A2617" s="82" t="s">
        <v>3357</v>
      </c>
      <c r="B2617" s="83">
        <v>45975</v>
      </c>
      <c r="C2617" s="82" t="s">
        <v>3395</v>
      </c>
      <c r="D2617" s="82" t="s">
        <v>221</v>
      </c>
      <c r="E2617" s="82"/>
      <c r="F2617" s="82" t="s">
        <v>4550</v>
      </c>
      <c r="G2617" s="89">
        <v>1</v>
      </c>
      <c r="H2617" s="89">
        <v>365.39</v>
      </c>
      <c r="I2617" s="85">
        <v>0</v>
      </c>
      <c r="J2617" s="85">
        <v>47.5</v>
      </c>
      <c r="K2617" s="85">
        <v>412.89</v>
      </c>
      <c r="L2617" s="85">
        <v>412.89</v>
      </c>
      <c r="M2617" s="89">
        <v>365.39</v>
      </c>
      <c r="N2617" s="85">
        <v>0</v>
      </c>
      <c r="O2617" s="85">
        <v>47.5</v>
      </c>
      <c r="P2617" s="85">
        <v>412.89</v>
      </c>
      <c r="Q2617" s="85">
        <v>412.89</v>
      </c>
      <c r="R2617" s="82" t="s">
        <v>3399</v>
      </c>
      <c r="S2617" s="7">
        <f t="shared" si="121"/>
        <v>0</v>
      </c>
      <c r="T2617" s="6">
        <f t="shared" si="122"/>
        <v>0</v>
      </c>
      <c r="U2617" s="25">
        <f t="shared" si="120"/>
        <v>0</v>
      </c>
    </row>
    <row r="2618" spans="1:21" ht="10.9" customHeight="1" x14ac:dyDescent="0.2">
      <c r="A2618" s="82" t="s">
        <v>3367</v>
      </c>
      <c r="B2618" s="83">
        <v>45978</v>
      </c>
      <c r="C2618" s="82" t="s">
        <v>3395</v>
      </c>
      <c r="D2618" s="82" t="s">
        <v>191</v>
      </c>
      <c r="E2618" s="82"/>
      <c r="F2618" s="82" t="s">
        <v>4540</v>
      </c>
      <c r="G2618" s="89">
        <v>1</v>
      </c>
      <c r="H2618" s="89">
        <v>2414.5500000000002</v>
      </c>
      <c r="I2618" s="85">
        <v>0</v>
      </c>
      <c r="J2618" s="85">
        <v>0</v>
      </c>
      <c r="K2618" s="85">
        <v>2414.5500000000002</v>
      </c>
      <c r="L2618" s="85">
        <v>3121.55</v>
      </c>
      <c r="M2618" s="89">
        <v>3393.6718361288908</v>
      </c>
      <c r="N2618" s="85">
        <v>0</v>
      </c>
      <c r="O2618" s="85">
        <v>0</v>
      </c>
      <c r="P2618" s="85">
        <v>3393.6718361288908</v>
      </c>
      <c r="Q2618" s="85">
        <v>4387.366722605926</v>
      </c>
      <c r="R2618" s="82" t="s">
        <v>3396</v>
      </c>
      <c r="S2618" s="7">
        <f t="shared" si="121"/>
        <v>0</v>
      </c>
      <c r="T2618" s="6">
        <f t="shared" si="122"/>
        <v>0</v>
      </c>
      <c r="U2618" s="25">
        <f t="shared" si="120"/>
        <v>0</v>
      </c>
    </row>
    <row r="2619" spans="1:21" ht="10.9" customHeight="1" x14ac:dyDescent="0.2">
      <c r="A2619" s="82" t="s">
        <v>3367</v>
      </c>
      <c r="B2619" s="83">
        <v>45978</v>
      </c>
      <c r="C2619" s="82" t="s">
        <v>3395</v>
      </c>
      <c r="D2619" s="82" t="s">
        <v>191</v>
      </c>
      <c r="E2619" s="82"/>
      <c r="F2619" s="82" t="s">
        <v>4393</v>
      </c>
      <c r="G2619" s="89">
        <v>1</v>
      </c>
      <c r="H2619" s="89">
        <v>707</v>
      </c>
      <c r="I2619" s="85">
        <v>0</v>
      </c>
      <c r="J2619" s="85">
        <v>0</v>
      </c>
      <c r="K2619" s="85">
        <v>707</v>
      </c>
      <c r="L2619" s="85">
        <v>3121.55</v>
      </c>
      <c r="M2619" s="89">
        <v>993.69488647703542</v>
      </c>
      <c r="N2619" s="85">
        <v>0</v>
      </c>
      <c r="O2619" s="85">
        <v>0</v>
      </c>
      <c r="P2619" s="85">
        <v>993.69488647703542</v>
      </c>
      <c r="Q2619" s="85">
        <v>4387.366722605926</v>
      </c>
      <c r="R2619" s="82" t="s">
        <v>3396</v>
      </c>
      <c r="S2619" s="7" t="str">
        <f t="shared" si="121"/>
        <v>INV13641</v>
      </c>
      <c r="T2619" s="6">
        <f t="shared" si="122"/>
        <v>1</v>
      </c>
      <c r="U2619" s="25">
        <f t="shared" si="120"/>
        <v>707</v>
      </c>
    </row>
    <row r="2620" spans="1:21" ht="10.9" customHeight="1" x14ac:dyDescent="0.2">
      <c r="A2620" s="82" t="s">
        <v>3325</v>
      </c>
      <c r="B2620" s="83">
        <v>45978</v>
      </c>
      <c r="C2620" s="82" t="s">
        <v>3395</v>
      </c>
      <c r="D2620" s="82" t="s">
        <v>310</v>
      </c>
      <c r="E2620" s="82"/>
      <c r="F2620" s="82" t="s">
        <v>4547</v>
      </c>
      <c r="G2620" s="89">
        <v>1</v>
      </c>
      <c r="H2620" s="89">
        <v>17778.89</v>
      </c>
      <c r="I2620" s="85">
        <v>0</v>
      </c>
      <c r="J2620" s="85">
        <v>0</v>
      </c>
      <c r="K2620" s="85">
        <v>17778.89</v>
      </c>
      <c r="L2620" s="85">
        <v>17778.89</v>
      </c>
      <c r="M2620" s="89">
        <v>24988.390495385713</v>
      </c>
      <c r="N2620" s="85">
        <v>0</v>
      </c>
      <c r="O2620" s="85">
        <v>0</v>
      </c>
      <c r="P2620" s="85">
        <v>24988.390495385713</v>
      </c>
      <c r="Q2620" s="85">
        <v>24988.390495385713</v>
      </c>
      <c r="R2620" s="82" t="s">
        <v>3399</v>
      </c>
      <c r="S2620" s="7">
        <f t="shared" si="121"/>
        <v>0</v>
      </c>
      <c r="T2620" s="6">
        <f t="shared" si="122"/>
        <v>0</v>
      </c>
      <c r="U2620" s="25">
        <f t="shared" si="120"/>
        <v>0</v>
      </c>
    </row>
    <row r="2621" spans="1:21" ht="10.9" customHeight="1" x14ac:dyDescent="0.2">
      <c r="A2621" s="82" t="s">
        <v>3131</v>
      </c>
      <c r="B2621" s="83">
        <v>45978</v>
      </c>
      <c r="C2621" s="82" t="s">
        <v>3395</v>
      </c>
      <c r="D2621" s="82" t="s">
        <v>750</v>
      </c>
      <c r="E2621" s="82"/>
      <c r="F2621" s="82" t="s">
        <v>4546</v>
      </c>
      <c r="G2621" s="89">
        <v>1</v>
      </c>
      <c r="H2621" s="89">
        <v>1405.28</v>
      </c>
      <c r="I2621" s="85">
        <v>0</v>
      </c>
      <c r="J2621" s="85">
        <v>0</v>
      </c>
      <c r="K2621" s="85">
        <v>1405.28</v>
      </c>
      <c r="L2621" s="85">
        <v>1405.28</v>
      </c>
      <c r="M2621" s="89">
        <v>1975.1337341845096</v>
      </c>
      <c r="N2621" s="85">
        <v>0</v>
      </c>
      <c r="O2621" s="85">
        <v>0</v>
      </c>
      <c r="P2621" s="85">
        <v>1975.1337341845096</v>
      </c>
      <c r="Q2621" s="85">
        <v>1975.1337341845096</v>
      </c>
      <c r="R2621" s="82" t="s">
        <v>3399</v>
      </c>
      <c r="S2621" s="7">
        <f t="shared" si="121"/>
        <v>0</v>
      </c>
      <c r="T2621" s="6">
        <f t="shared" si="122"/>
        <v>0</v>
      </c>
      <c r="U2621" s="25">
        <f t="shared" si="120"/>
        <v>0</v>
      </c>
    </row>
    <row r="2622" spans="1:21" ht="10.9" customHeight="1" x14ac:dyDescent="0.2">
      <c r="A2622" s="82" t="s">
        <v>2829</v>
      </c>
      <c r="B2622" s="83">
        <v>45978</v>
      </c>
      <c r="C2622" s="82" t="s">
        <v>3395</v>
      </c>
      <c r="D2622" s="82" t="s">
        <v>1290</v>
      </c>
      <c r="E2622" s="82"/>
      <c r="F2622" s="82" t="s">
        <v>4539</v>
      </c>
      <c r="G2622" s="89">
        <v>3</v>
      </c>
      <c r="H2622" s="89">
        <v>6955</v>
      </c>
      <c r="I2622" s="85">
        <v>0</v>
      </c>
      <c r="J2622" s="85">
        <v>0</v>
      </c>
      <c r="K2622" s="85">
        <v>20865</v>
      </c>
      <c r="L2622" s="85">
        <v>66770.66</v>
      </c>
      <c r="M2622" s="89">
        <v>9775.3153259516002</v>
      </c>
      <c r="N2622" s="85">
        <v>0</v>
      </c>
      <c r="O2622" s="85">
        <v>0</v>
      </c>
      <c r="P2622" s="85">
        <v>29325.945977854801</v>
      </c>
      <c r="Q2622" s="85">
        <v>93846.76578316369</v>
      </c>
      <c r="R2622" s="82" t="s">
        <v>3399</v>
      </c>
      <c r="S2622" s="7">
        <f t="shared" si="121"/>
        <v>0</v>
      </c>
      <c r="T2622" s="6">
        <f t="shared" si="122"/>
        <v>0</v>
      </c>
      <c r="U2622" s="25">
        <f t="shared" si="120"/>
        <v>0</v>
      </c>
    </row>
    <row r="2623" spans="1:21" ht="10.9" customHeight="1" x14ac:dyDescent="0.2">
      <c r="A2623" s="82" t="s">
        <v>2829</v>
      </c>
      <c r="B2623" s="83">
        <v>45978</v>
      </c>
      <c r="C2623" s="82" t="s">
        <v>3395</v>
      </c>
      <c r="D2623" s="82" t="s">
        <v>1290</v>
      </c>
      <c r="E2623" s="82"/>
      <c r="F2623" s="82" t="s">
        <v>4538</v>
      </c>
      <c r="G2623" s="89">
        <v>4</v>
      </c>
      <c r="H2623" s="89">
        <v>1937.77</v>
      </c>
      <c r="I2623" s="85">
        <v>0</v>
      </c>
      <c r="J2623" s="85">
        <v>0</v>
      </c>
      <c r="K2623" s="85">
        <v>7751.08</v>
      </c>
      <c r="L2623" s="85">
        <v>66770.66</v>
      </c>
      <c r="M2623" s="89">
        <v>2723.553239276669</v>
      </c>
      <c r="N2623" s="85">
        <v>0</v>
      </c>
      <c r="O2623" s="85">
        <v>0</v>
      </c>
      <c r="P2623" s="85">
        <v>10894.212957106676</v>
      </c>
      <c r="Q2623" s="85">
        <v>93846.76578316369</v>
      </c>
      <c r="R2623" s="82" t="s">
        <v>3399</v>
      </c>
      <c r="S2623" s="7">
        <f t="shared" si="121"/>
        <v>0</v>
      </c>
      <c r="T2623" s="6">
        <f t="shared" si="122"/>
        <v>0</v>
      </c>
      <c r="U2623" s="25">
        <f t="shared" si="120"/>
        <v>0</v>
      </c>
    </row>
    <row r="2624" spans="1:21" ht="10.9" customHeight="1" x14ac:dyDescent="0.2">
      <c r="A2624" s="82" t="s">
        <v>2829</v>
      </c>
      <c r="B2624" s="83">
        <v>45978</v>
      </c>
      <c r="C2624" s="82" t="s">
        <v>3395</v>
      </c>
      <c r="D2624" s="82" t="s">
        <v>1290</v>
      </c>
      <c r="E2624" s="82"/>
      <c r="F2624" s="82" t="s">
        <v>4537</v>
      </c>
      <c r="G2624" s="89">
        <v>4</v>
      </c>
      <c r="H2624" s="89">
        <v>1712</v>
      </c>
      <c r="I2624" s="85">
        <v>0</v>
      </c>
      <c r="J2624" s="85">
        <v>0</v>
      </c>
      <c r="K2624" s="85">
        <v>6848</v>
      </c>
      <c r="L2624" s="85">
        <v>66770.66</v>
      </c>
      <c r="M2624" s="89">
        <v>2406.2314648496244</v>
      </c>
      <c r="N2624" s="85">
        <v>0</v>
      </c>
      <c r="O2624" s="85">
        <v>0</v>
      </c>
      <c r="P2624" s="85">
        <v>9624.9258593984978</v>
      </c>
      <c r="Q2624" s="85">
        <v>93846.76578316369</v>
      </c>
      <c r="R2624" s="82" t="s">
        <v>3399</v>
      </c>
      <c r="S2624" s="7">
        <f t="shared" si="121"/>
        <v>0</v>
      </c>
      <c r="T2624" s="6">
        <f t="shared" si="122"/>
        <v>0</v>
      </c>
      <c r="U2624" s="25">
        <f t="shared" si="120"/>
        <v>0</v>
      </c>
    </row>
    <row r="2625" spans="1:21" ht="10.9" customHeight="1" x14ac:dyDescent="0.2">
      <c r="A2625" s="82" t="s">
        <v>2829</v>
      </c>
      <c r="B2625" s="83">
        <v>45978</v>
      </c>
      <c r="C2625" s="82" t="s">
        <v>3395</v>
      </c>
      <c r="D2625" s="82" t="s">
        <v>1290</v>
      </c>
      <c r="E2625" s="82"/>
      <c r="F2625" s="82" t="s">
        <v>4536</v>
      </c>
      <c r="G2625" s="89">
        <v>4</v>
      </c>
      <c r="H2625" s="89">
        <v>2193.5</v>
      </c>
      <c r="I2625" s="85">
        <v>0</v>
      </c>
      <c r="J2625" s="85">
        <v>0</v>
      </c>
      <c r="K2625" s="85">
        <v>8774</v>
      </c>
      <c r="L2625" s="85">
        <v>66770.66</v>
      </c>
      <c r="M2625" s="89">
        <v>3082.9840643385814</v>
      </c>
      <c r="N2625" s="85">
        <v>0</v>
      </c>
      <c r="O2625" s="85">
        <v>0</v>
      </c>
      <c r="P2625" s="85">
        <v>12331.936257354326</v>
      </c>
      <c r="Q2625" s="85">
        <v>93846.76578316369</v>
      </c>
      <c r="R2625" s="82" t="s">
        <v>3399</v>
      </c>
      <c r="S2625" s="7">
        <f t="shared" si="121"/>
        <v>0</v>
      </c>
      <c r="T2625" s="6">
        <f t="shared" si="122"/>
        <v>0</v>
      </c>
      <c r="U2625" s="25">
        <f t="shared" si="120"/>
        <v>0</v>
      </c>
    </row>
    <row r="2626" spans="1:21" ht="10.9" customHeight="1" x14ac:dyDescent="0.2">
      <c r="A2626" s="82" t="s">
        <v>2829</v>
      </c>
      <c r="B2626" s="83">
        <v>45978</v>
      </c>
      <c r="C2626" s="82" t="s">
        <v>3395</v>
      </c>
      <c r="D2626" s="82" t="s">
        <v>1290</v>
      </c>
      <c r="E2626" s="82"/>
      <c r="F2626" s="82" t="s">
        <v>4535</v>
      </c>
      <c r="G2626" s="89">
        <v>4</v>
      </c>
      <c r="H2626" s="89">
        <v>1379.23</v>
      </c>
      <c r="I2626" s="85">
        <v>0</v>
      </c>
      <c r="J2626" s="85">
        <v>0</v>
      </c>
      <c r="K2626" s="85">
        <v>5516.92</v>
      </c>
      <c r="L2626" s="85">
        <v>66770.66</v>
      </c>
      <c r="M2626" s="89">
        <v>1938.5202238694787</v>
      </c>
      <c r="N2626" s="85">
        <v>0</v>
      </c>
      <c r="O2626" s="85">
        <v>0</v>
      </c>
      <c r="P2626" s="85">
        <v>7754.080895477915</v>
      </c>
      <c r="Q2626" s="85">
        <v>93846.76578316369</v>
      </c>
      <c r="R2626" s="82" t="s">
        <v>3399</v>
      </c>
      <c r="S2626" s="7">
        <f t="shared" si="121"/>
        <v>0</v>
      </c>
      <c r="T2626" s="6">
        <f t="shared" si="122"/>
        <v>0</v>
      </c>
      <c r="U2626" s="25">
        <f t="shared" ref="U2626:U2689" si="123">IF(T2626=1,K2626-J2626,0)</f>
        <v>0</v>
      </c>
    </row>
    <row r="2627" spans="1:21" ht="10.9" customHeight="1" x14ac:dyDescent="0.2">
      <c r="A2627" s="82" t="s">
        <v>2829</v>
      </c>
      <c r="B2627" s="83">
        <v>45978</v>
      </c>
      <c r="C2627" s="82" t="s">
        <v>3395</v>
      </c>
      <c r="D2627" s="82" t="s">
        <v>1290</v>
      </c>
      <c r="E2627" s="82"/>
      <c r="F2627" s="82" t="s">
        <v>4534</v>
      </c>
      <c r="G2627" s="89">
        <v>4</v>
      </c>
      <c r="H2627" s="89">
        <v>3204.65</v>
      </c>
      <c r="I2627" s="85">
        <v>0</v>
      </c>
      <c r="J2627" s="85">
        <v>0</v>
      </c>
      <c r="K2627" s="85">
        <v>12818.6</v>
      </c>
      <c r="L2627" s="85">
        <v>66770.66</v>
      </c>
      <c r="M2627" s="89">
        <v>4504.1645232653909</v>
      </c>
      <c r="N2627" s="85">
        <v>0</v>
      </c>
      <c r="O2627" s="85">
        <v>0</v>
      </c>
      <c r="P2627" s="85">
        <v>18016.658093061564</v>
      </c>
      <c r="Q2627" s="85">
        <v>93846.76578316369</v>
      </c>
      <c r="R2627" s="82" t="s">
        <v>3399</v>
      </c>
      <c r="S2627" s="7">
        <f t="shared" ref="S2627:S2690" si="124">IF(T2627=1,A2627,0)</f>
        <v>0</v>
      </c>
      <c r="T2627" s="6">
        <f t="shared" ref="T2627:T2690" si="125">IFERROR(FIND("Freight",F2627,1),0)</f>
        <v>0</v>
      </c>
      <c r="U2627" s="25">
        <f t="shared" si="123"/>
        <v>0</v>
      </c>
    </row>
    <row r="2628" spans="1:21" ht="10.9" customHeight="1" x14ac:dyDescent="0.2">
      <c r="A2628" s="82" t="s">
        <v>2829</v>
      </c>
      <c r="B2628" s="83">
        <v>45978</v>
      </c>
      <c r="C2628" s="82" t="s">
        <v>3395</v>
      </c>
      <c r="D2628" s="82" t="s">
        <v>1290</v>
      </c>
      <c r="E2628" s="82"/>
      <c r="F2628" s="82" t="s">
        <v>4533</v>
      </c>
      <c r="G2628" s="89">
        <v>4</v>
      </c>
      <c r="H2628" s="89">
        <v>1389.93</v>
      </c>
      <c r="I2628" s="85">
        <v>0</v>
      </c>
      <c r="J2628" s="85">
        <v>0</v>
      </c>
      <c r="K2628" s="85">
        <v>5559.72</v>
      </c>
      <c r="L2628" s="85">
        <v>66770.66</v>
      </c>
      <c r="M2628" s="89">
        <v>1953.5591705247889</v>
      </c>
      <c r="N2628" s="85">
        <v>0</v>
      </c>
      <c r="O2628" s="85">
        <v>0</v>
      </c>
      <c r="P2628" s="85">
        <v>7814.2366820991556</v>
      </c>
      <c r="Q2628" s="85">
        <v>93846.76578316369</v>
      </c>
      <c r="R2628" s="82" t="s">
        <v>3399</v>
      </c>
      <c r="S2628" s="7">
        <f t="shared" si="124"/>
        <v>0</v>
      </c>
      <c r="T2628" s="6">
        <f t="shared" si="125"/>
        <v>0</v>
      </c>
      <c r="U2628" s="25">
        <f t="shared" si="123"/>
        <v>0</v>
      </c>
    </row>
    <row r="2629" spans="1:21" ht="10.9" customHeight="1" x14ac:dyDescent="0.2">
      <c r="A2629" s="82" t="s">
        <v>2829</v>
      </c>
      <c r="B2629" s="83">
        <v>45978</v>
      </c>
      <c r="C2629" s="82" t="s">
        <v>3395</v>
      </c>
      <c r="D2629" s="82" t="s">
        <v>1290</v>
      </c>
      <c r="E2629" s="82"/>
      <c r="F2629" s="82" t="s">
        <v>6087</v>
      </c>
      <c r="G2629" s="89">
        <v>1</v>
      </c>
      <c r="H2629" s="89">
        <v>1362.66</v>
      </c>
      <c r="I2629" s="85">
        <v>0</v>
      </c>
      <c r="J2629" s="85">
        <v>0</v>
      </c>
      <c r="K2629" s="85">
        <v>-1362.66</v>
      </c>
      <c r="L2629" s="85">
        <v>66770.66</v>
      </c>
      <c r="M2629" s="89">
        <v>1915.2309391892461</v>
      </c>
      <c r="N2629" s="85">
        <v>0</v>
      </c>
      <c r="O2629" s="85">
        <v>0</v>
      </c>
      <c r="P2629" s="85">
        <v>-1915.2309391892461</v>
      </c>
      <c r="Q2629" s="85">
        <v>93846.76578316369</v>
      </c>
      <c r="R2629" s="82" t="s">
        <v>3399</v>
      </c>
      <c r="S2629" s="7">
        <f t="shared" si="124"/>
        <v>0</v>
      </c>
      <c r="T2629" s="6">
        <f t="shared" si="125"/>
        <v>0</v>
      </c>
      <c r="U2629" s="25">
        <f t="shared" si="123"/>
        <v>0</v>
      </c>
    </row>
    <row r="2630" spans="1:21" ht="10.9" customHeight="1" x14ac:dyDescent="0.2">
      <c r="A2630" s="82" t="s">
        <v>3370</v>
      </c>
      <c r="B2630" s="83">
        <v>45978</v>
      </c>
      <c r="C2630" s="82" t="s">
        <v>3395</v>
      </c>
      <c r="D2630" s="82" t="s">
        <v>185</v>
      </c>
      <c r="E2630" s="82"/>
      <c r="F2630" s="82" t="s">
        <v>4545</v>
      </c>
      <c r="G2630" s="89">
        <v>1</v>
      </c>
      <c r="H2630" s="89">
        <v>6525.1</v>
      </c>
      <c r="I2630" s="85">
        <v>0</v>
      </c>
      <c r="J2630" s="85">
        <v>0</v>
      </c>
      <c r="K2630" s="85">
        <v>6525.1</v>
      </c>
      <c r="L2630" s="85">
        <v>20955.54</v>
      </c>
      <c r="M2630" s="89">
        <v>9171.0869925761017</v>
      </c>
      <c r="N2630" s="85">
        <v>0</v>
      </c>
      <c r="O2630" s="85">
        <v>0</v>
      </c>
      <c r="P2630" s="85">
        <v>9171.0869925761017</v>
      </c>
      <c r="Q2630" s="85">
        <v>29453.200765721322</v>
      </c>
      <c r="R2630" s="82" t="s">
        <v>3396</v>
      </c>
      <c r="S2630" s="7">
        <f t="shared" si="124"/>
        <v>0</v>
      </c>
      <c r="T2630" s="6">
        <f t="shared" si="125"/>
        <v>0</v>
      </c>
      <c r="U2630" s="25">
        <f t="shared" si="123"/>
        <v>0</v>
      </c>
    </row>
    <row r="2631" spans="1:21" ht="10.9" customHeight="1" x14ac:dyDescent="0.2">
      <c r="A2631" s="82" t="s">
        <v>3370</v>
      </c>
      <c r="B2631" s="83">
        <v>45978</v>
      </c>
      <c r="C2631" s="82" t="s">
        <v>3395</v>
      </c>
      <c r="D2631" s="82" t="s">
        <v>185</v>
      </c>
      <c r="E2631" s="82"/>
      <c r="F2631" s="82" t="s">
        <v>4544</v>
      </c>
      <c r="G2631" s="89">
        <v>1</v>
      </c>
      <c r="H2631" s="89">
        <v>2248.12</v>
      </c>
      <c r="I2631" s="85">
        <v>0</v>
      </c>
      <c r="J2631" s="85">
        <v>0</v>
      </c>
      <c r="K2631" s="85">
        <v>2248.12</v>
      </c>
      <c r="L2631" s="85">
        <v>20955.54</v>
      </c>
      <c r="M2631" s="89">
        <v>3159.7529677323237</v>
      </c>
      <c r="N2631" s="85">
        <v>0</v>
      </c>
      <c r="O2631" s="85">
        <v>0</v>
      </c>
      <c r="P2631" s="85">
        <v>3159.7529677323237</v>
      </c>
      <c r="Q2631" s="85">
        <v>29453.200765721322</v>
      </c>
      <c r="R2631" s="82" t="s">
        <v>3396</v>
      </c>
      <c r="S2631" s="7">
        <f t="shared" si="124"/>
        <v>0</v>
      </c>
      <c r="T2631" s="6">
        <f t="shared" si="125"/>
        <v>0</v>
      </c>
      <c r="U2631" s="25">
        <f t="shared" si="123"/>
        <v>0</v>
      </c>
    </row>
    <row r="2632" spans="1:21" ht="10.9" customHeight="1" x14ac:dyDescent="0.2">
      <c r="A2632" s="82" t="s">
        <v>3370</v>
      </c>
      <c r="B2632" s="83">
        <v>45978</v>
      </c>
      <c r="C2632" s="82" t="s">
        <v>3395</v>
      </c>
      <c r="D2632" s="82" t="s">
        <v>185</v>
      </c>
      <c r="E2632" s="82"/>
      <c r="F2632" s="82" t="s">
        <v>4543</v>
      </c>
      <c r="G2632" s="89">
        <v>1</v>
      </c>
      <c r="H2632" s="89">
        <v>34.5</v>
      </c>
      <c r="I2632" s="85">
        <v>0</v>
      </c>
      <c r="J2632" s="85">
        <v>0</v>
      </c>
      <c r="K2632" s="85">
        <v>34.5</v>
      </c>
      <c r="L2632" s="85">
        <v>20955.54</v>
      </c>
      <c r="M2632" s="89">
        <v>48.490061645626199</v>
      </c>
      <c r="N2632" s="85">
        <v>0</v>
      </c>
      <c r="O2632" s="85">
        <v>0</v>
      </c>
      <c r="P2632" s="85">
        <v>48.490061645626199</v>
      </c>
      <c r="Q2632" s="85">
        <v>29453.200765721322</v>
      </c>
      <c r="R2632" s="82" t="s">
        <v>3396</v>
      </c>
      <c r="S2632" s="7">
        <f t="shared" si="124"/>
        <v>0</v>
      </c>
      <c r="T2632" s="6">
        <f t="shared" si="125"/>
        <v>0</v>
      </c>
      <c r="U2632" s="25">
        <f t="shared" si="123"/>
        <v>0</v>
      </c>
    </row>
    <row r="2633" spans="1:21" ht="10.9" customHeight="1" x14ac:dyDescent="0.2">
      <c r="A2633" s="82" t="s">
        <v>3370</v>
      </c>
      <c r="B2633" s="83">
        <v>45978</v>
      </c>
      <c r="C2633" s="82" t="s">
        <v>3395</v>
      </c>
      <c r="D2633" s="82" t="s">
        <v>185</v>
      </c>
      <c r="E2633" s="82"/>
      <c r="F2633" s="82" t="s">
        <v>4542</v>
      </c>
      <c r="G2633" s="89">
        <v>1</v>
      </c>
      <c r="H2633" s="89">
        <v>107.99</v>
      </c>
      <c r="I2633" s="85">
        <v>0</v>
      </c>
      <c r="J2633" s="85">
        <v>0</v>
      </c>
      <c r="K2633" s="85">
        <v>107.99</v>
      </c>
      <c r="L2633" s="85">
        <v>20955.54</v>
      </c>
      <c r="M2633" s="89">
        <v>151.78092049597603</v>
      </c>
      <c r="N2633" s="85">
        <v>0</v>
      </c>
      <c r="O2633" s="85">
        <v>0</v>
      </c>
      <c r="P2633" s="85">
        <v>151.78092049597603</v>
      </c>
      <c r="Q2633" s="85">
        <v>29453.200765721322</v>
      </c>
      <c r="R2633" s="82" t="s">
        <v>3396</v>
      </c>
      <c r="S2633" s="7">
        <f t="shared" si="124"/>
        <v>0</v>
      </c>
      <c r="T2633" s="6">
        <f t="shared" si="125"/>
        <v>0</v>
      </c>
      <c r="U2633" s="25">
        <f t="shared" si="123"/>
        <v>0</v>
      </c>
    </row>
    <row r="2634" spans="1:21" ht="10.9" customHeight="1" x14ac:dyDescent="0.2">
      <c r="A2634" s="82" t="s">
        <v>3370</v>
      </c>
      <c r="B2634" s="83">
        <v>45978</v>
      </c>
      <c r="C2634" s="82" t="s">
        <v>3395</v>
      </c>
      <c r="D2634" s="82" t="s">
        <v>185</v>
      </c>
      <c r="E2634" s="82"/>
      <c r="F2634" s="82" t="s">
        <v>4541</v>
      </c>
      <c r="G2634" s="89">
        <v>1</v>
      </c>
      <c r="H2634" s="89">
        <v>12039.83</v>
      </c>
      <c r="I2634" s="85">
        <v>0</v>
      </c>
      <c r="J2634" s="85">
        <v>0</v>
      </c>
      <c r="K2634" s="85">
        <v>12039.83</v>
      </c>
      <c r="L2634" s="85">
        <v>20955.54</v>
      </c>
      <c r="M2634" s="89">
        <v>16922.089823271293</v>
      </c>
      <c r="N2634" s="85">
        <v>0</v>
      </c>
      <c r="O2634" s="85">
        <v>0</v>
      </c>
      <c r="P2634" s="85">
        <v>16922.089823271293</v>
      </c>
      <c r="Q2634" s="85">
        <v>29453.200765721322</v>
      </c>
      <c r="R2634" s="82" t="s">
        <v>3396</v>
      </c>
      <c r="S2634" s="7">
        <f t="shared" si="124"/>
        <v>0</v>
      </c>
      <c r="T2634" s="6">
        <f t="shared" si="125"/>
        <v>0</v>
      </c>
      <c r="U2634" s="25">
        <f t="shared" si="123"/>
        <v>0</v>
      </c>
    </row>
    <row r="2635" spans="1:21" ht="10.9" customHeight="1" x14ac:dyDescent="0.2">
      <c r="A2635" s="82" t="s">
        <v>3362</v>
      </c>
      <c r="B2635" s="83">
        <v>45978</v>
      </c>
      <c r="C2635" s="82" t="s">
        <v>3395</v>
      </c>
      <c r="D2635" s="82" t="s">
        <v>207</v>
      </c>
      <c r="E2635" s="82"/>
      <c r="F2635" s="82" t="s">
        <v>4548</v>
      </c>
      <c r="G2635" s="89">
        <v>2</v>
      </c>
      <c r="H2635" s="89">
        <v>365.34</v>
      </c>
      <c r="I2635" s="85">
        <v>0</v>
      </c>
      <c r="J2635" s="85">
        <v>36.53</v>
      </c>
      <c r="K2635" s="85">
        <v>767.21</v>
      </c>
      <c r="L2635" s="85">
        <v>767.21</v>
      </c>
      <c r="M2635" s="89">
        <v>365.34</v>
      </c>
      <c r="N2635" s="85">
        <v>0</v>
      </c>
      <c r="O2635" s="85">
        <v>36.53</v>
      </c>
      <c r="P2635" s="85">
        <v>767.21</v>
      </c>
      <c r="Q2635" s="85">
        <v>767.21</v>
      </c>
      <c r="R2635" s="82" t="s">
        <v>3399</v>
      </c>
      <c r="S2635" s="7">
        <f t="shared" si="124"/>
        <v>0</v>
      </c>
      <c r="T2635" s="6">
        <f t="shared" si="125"/>
        <v>0</v>
      </c>
      <c r="U2635" s="25">
        <f t="shared" si="123"/>
        <v>0</v>
      </c>
    </row>
    <row r="2636" spans="1:21" ht="10.9" customHeight="1" x14ac:dyDescent="0.2">
      <c r="A2636" s="82" t="s">
        <v>3345</v>
      </c>
      <c r="B2636" s="83">
        <v>45979</v>
      </c>
      <c r="C2636" s="82" t="s">
        <v>3395</v>
      </c>
      <c r="D2636" s="82" t="s">
        <v>258</v>
      </c>
      <c r="E2636" s="82"/>
      <c r="F2636" s="82" t="s">
        <v>4529</v>
      </c>
      <c r="G2636" s="89">
        <v>1</v>
      </c>
      <c r="H2636" s="89">
        <v>5361.72</v>
      </c>
      <c r="I2636" s="85">
        <v>0</v>
      </c>
      <c r="J2636" s="85">
        <v>0</v>
      </c>
      <c r="K2636" s="85">
        <v>5361.72</v>
      </c>
      <c r="L2636" s="85">
        <v>5361.72</v>
      </c>
      <c r="M2636" s="89">
        <v>7506.2473663063611</v>
      </c>
      <c r="N2636" s="85">
        <v>0</v>
      </c>
      <c r="O2636" s="85">
        <v>0</v>
      </c>
      <c r="P2636" s="85">
        <v>7506.2473663063611</v>
      </c>
      <c r="Q2636" s="85">
        <v>7506.2473663063611</v>
      </c>
      <c r="R2636" s="82" t="s">
        <v>3399</v>
      </c>
      <c r="S2636" s="7">
        <f t="shared" si="124"/>
        <v>0</v>
      </c>
      <c r="T2636" s="6">
        <f t="shared" si="125"/>
        <v>0</v>
      </c>
      <c r="U2636" s="25">
        <f t="shared" si="123"/>
        <v>0</v>
      </c>
    </row>
    <row r="2637" spans="1:21" ht="10.9" customHeight="1" x14ac:dyDescent="0.2">
      <c r="A2637" s="82" t="s">
        <v>3368</v>
      </c>
      <c r="B2637" s="83">
        <v>45979</v>
      </c>
      <c r="C2637" s="82" t="s">
        <v>3395</v>
      </c>
      <c r="D2637" s="82" t="s">
        <v>189</v>
      </c>
      <c r="E2637" s="82"/>
      <c r="F2637" s="82" t="s">
        <v>4532</v>
      </c>
      <c r="G2637" s="89">
        <v>3</v>
      </c>
      <c r="H2637" s="89">
        <v>98.48</v>
      </c>
      <c r="I2637" s="85">
        <v>0</v>
      </c>
      <c r="J2637" s="85">
        <v>14.77</v>
      </c>
      <c r="K2637" s="85">
        <v>310.20999999999998</v>
      </c>
      <c r="L2637" s="85">
        <v>310.20999999999998</v>
      </c>
      <c r="M2637" s="89">
        <v>98.48</v>
      </c>
      <c r="N2637" s="85">
        <v>0</v>
      </c>
      <c r="O2637" s="85">
        <v>14.77</v>
      </c>
      <c r="P2637" s="85">
        <v>310.20999999999998</v>
      </c>
      <c r="Q2637" s="85">
        <v>310.20999999999998</v>
      </c>
      <c r="R2637" s="82" t="s">
        <v>3396</v>
      </c>
      <c r="S2637" s="7">
        <f t="shared" si="124"/>
        <v>0</v>
      </c>
      <c r="T2637" s="6">
        <f t="shared" si="125"/>
        <v>0</v>
      </c>
      <c r="U2637" s="25">
        <f t="shared" si="123"/>
        <v>0</v>
      </c>
    </row>
    <row r="2638" spans="1:21" ht="10.9" customHeight="1" x14ac:dyDescent="0.2">
      <c r="A2638" s="82" t="s">
        <v>3289</v>
      </c>
      <c r="B2638" s="83">
        <v>45979</v>
      </c>
      <c r="C2638" s="82" t="s">
        <v>3395</v>
      </c>
      <c r="D2638" s="82" t="s">
        <v>395</v>
      </c>
      <c r="E2638" s="82"/>
      <c r="F2638" s="82" t="s">
        <v>4531</v>
      </c>
      <c r="G2638" s="89">
        <v>1</v>
      </c>
      <c r="H2638" s="89">
        <v>1997.96</v>
      </c>
      <c r="I2638" s="85">
        <v>0</v>
      </c>
      <c r="J2638" s="85">
        <v>99.9</v>
      </c>
      <c r="K2638" s="85">
        <v>2097.86</v>
      </c>
      <c r="L2638" s="85">
        <v>2097.86</v>
      </c>
      <c r="M2638" s="89">
        <v>1997.96</v>
      </c>
      <c r="N2638" s="85">
        <v>0</v>
      </c>
      <c r="O2638" s="85">
        <v>99.9</v>
      </c>
      <c r="P2638" s="85">
        <v>2097.86</v>
      </c>
      <c r="Q2638" s="85">
        <v>2097.86</v>
      </c>
      <c r="R2638" s="82" t="s">
        <v>3396</v>
      </c>
      <c r="S2638" s="7">
        <f t="shared" si="124"/>
        <v>0</v>
      </c>
      <c r="T2638" s="6">
        <f t="shared" si="125"/>
        <v>0</v>
      </c>
      <c r="U2638" s="25">
        <f t="shared" si="123"/>
        <v>0</v>
      </c>
    </row>
    <row r="2639" spans="1:21" ht="10.9" customHeight="1" x14ac:dyDescent="0.2">
      <c r="A2639" s="82" t="s">
        <v>3369</v>
      </c>
      <c r="B2639" s="83">
        <v>45979</v>
      </c>
      <c r="C2639" s="82" t="s">
        <v>3395</v>
      </c>
      <c r="D2639" s="82" t="s">
        <v>187</v>
      </c>
      <c r="E2639" s="82"/>
      <c r="F2639" s="82" t="s">
        <v>4436</v>
      </c>
      <c r="G2639" s="89">
        <v>1</v>
      </c>
      <c r="H2639" s="89">
        <v>348.15</v>
      </c>
      <c r="I2639" s="85">
        <v>0</v>
      </c>
      <c r="J2639" s="85">
        <v>17.41</v>
      </c>
      <c r="K2639" s="85">
        <v>365.56</v>
      </c>
      <c r="L2639" s="85">
        <v>365.56</v>
      </c>
      <c r="M2639" s="89">
        <v>348.15</v>
      </c>
      <c r="N2639" s="85">
        <v>0</v>
      </c>
      <c r="O2639" s="85">
        <v>17.41</v>
      </c>
      <c r="P2639" s="85">
        <v>365.56</v>
      </c>
      <c r="Q2639" s="85">
        <v>365.56</v>
      </c>
      <c r="R2639" s="82" t="s">
        <v>3396</v>
      </c>
      <c r="S2639" s="7">
        <f t="shared" si="124"/>
        <v>0</v>
      </c>
      <c r="T2639" s="6">
        <f t="shared" si="125"/>
        <v>0</v>
      </c>
      <c r="U2639" s="25">
        <f t="shared" si="123"/>
        <v>0</v>
      </c>
    </row>
    <row r="2640" spans="1:21" ht="10.9" customHeight="1" x14ac:dyDescent="0.2">
      <c r="A2640" s="82" t="s">
        <v>3371</v>
      </c>
      <c r="B2640" s="83">
        <v>45979</v>
      </c>
      <c r="C2640" s="82" t="s">
        <v>3395</v>
      </c>
      <c r="D2640" s="82" t="s">
        <v>173</v>
      </c>
      <c r="E2640" s="82"/>
      <c r="F2640" s="82" t="s">
        <v>4530</v>
      </c>
      <c r="G2640" s="89">
        <v>1</v>
      </c>
      <c r="H2640" s="89">
        <v>373.11</v>
      </c>
      <c r="I2640" s="85">
        <v>0</v>
      </c>
      <c r="J2640" s="85">
        <v>18.66</v>
      </c>
      <c r="K2640" s="85">
        <v>391.77</v>
      </c>
      <c r="L2640" s="85">
        <v>391.77</v>
      </c>
      <c r="M2640" s="89">
        <v>373.11</v>
      </c>
      <c r="N2640" s="85">
        <v>0</v>
      </c>
      <c r="O2640" s="85">
        <v>18.66</v>
      </c>
      <c r="P2640" s="85">
        <v>391.77</v>
      </c>
      <c r="Q2640" s="85">
        <v>391.77</v>
      </c>
      <c r="R2640" s="82" t="s">
        <v>3396</v>
      </c>
      <c r="S2640" s="7">
        <f t="shared" si="124"/>
        <v>0</v>
      </c>
      <c r="T2640" s="6">
        <f t="shared" si="125"/>
        <v>0</v>
      </c>
      <c r="U2640" s="25">
        <f t="shared" si="123"/>
        <v>0</v>
      </c>
    </row>
    <row r="2641" spans="1:21" ht="10.9" customHeight="1" x14ac:dyDescent="0.2">
      <c r="A2641" s="82" t="s">
        <v>3355</v>
      </c>
      <c r="B2641" s="83">
        <v>45979</v>
      </c>
      <c r="C2641" s="82" t="s">
        <v>3395</v>
      </c>
      <c r="D2641" s="82" t="s">
        <v>228</v>
      </c>
      <c r="E2641" s="82"/>
      <c r="F2641" s="82" t="s">
        <v>4446</v>
      </c>
      <c r="G2641" s="89">
        <v>1</v>
      </c>
      <c r="H2641" s="89">
        <v>2952.22</v>
      </c>
      <c r="I2641" s="85">
        <v>0</v>
      </c>
      <c r="J2641" s="85">
        <v>147.61000000000001</v>
      </c>
      <c r="K2641" s="85">
        <v>3099.83</v>
      </c>
      <c r="L2641" s="85">
        <v>3099.83</v>
      </c>
      <c r="M2641" s="89">
        <v>2952.22</v>
      </c>
      <c r="N2641" s="85">
        <v>0</v>
      </c>
      <c r="O2641" s="85">
        <v>147.61000000000001</v>
      </c>
      <c r="P2641" s="85">
        <v>3099.83</v>
      </c>
      <c r="Q2641" s="85">
        <v>3099.83</v>
      </c>
      <c r="R2641" s="82" t="s">
        <v>3399</v>
      </c>
      <c r="S2641" s="7">
        <f t="shared" si="124"/>
        <v>0</v>
      </c>
      <c r="T2641" s="6">
        <f t="shared" si="125"/>
        <v>0</v>
      </c>
      <c r="U2641" s="25">
        <f t="shared" si="123"/>
        <v>0</v>
      </c>
    </row>
    <row r="2642" spans="1:21" ht="10.9" customHeight="1" x14ac:dyDescent="0.2">
      <c r="A2642" s="82" t="s">
        <v>3376</v>
      </c>
      <c r="B2642" s="83">
        <v>45980</v>
      </c>
      <c r="C2642" s="82" t="s">
        <v>3395</v>
      </c>
      <c r="D2642" s="82"/>
      <c r="E2642" s="82"/>
      <c r="F2642" s="82" t="s">
        <v>4512</v>
      </c>
      <c r="G2642" s="89">
        <v>1</v>
      </c>
      <c r="H2642" s="89">
        <v>34034.85</v>
      </c>
      <c r="I2642" s="85">
        <v>0</v>
      </c>
      <c r="J2642" s="85">
        <v>4424.53</v>
      </c>
      <c r="K2642" s="85">
        <v>38459.379999999997</v>
      </c>
      <c r="L2642" s="85">
        <v>38459.379999999997</v>
      </c>
      <c r="M2642" s="89">
        <v>34034.85</v>
      </c>
      <c r="N2642" s="85">
        <v>0</v>
      </c>
      <c r="O2642" s="85">
        <v>4424.53</v>
      </c>
      <c r="P2642" s="85">
        <v>38459.379999999997</v>
      </c>
      <c r="Q2642" s="85">
        <v>38459.379999999997</v>
      </c>
      <c r="R2642" s="82" t="s">
        <v>4511</v>
      </c>
      <c r="S2642" s="7">
        <f t="shared" si="124"/>
        <v>0</v>
      </c>
      <c r="T2642" s="6">
        <f t="shared" si="125"/>
        <v>0</v>
      </c>
      <c r="U2642" s="25">
        <f t="shared" si="123"/>
        <v>0</v>
      </c>
    </row>
    <row r="2643" spans="1:21" ht="10.9" customHeight="1" x14ac:dyDescent="0.2">
      <c r="A2643" s="82" t="s">
        <v>3417</v>
      </c>
      <c r="B2643" s="83">
        <v>45980</v>
      </c>
      <c r="C2643" s="82" t="s">
        <v>3395</v>
      </c>
      <c r="D2643" s="82" t="s">
        <v>152</v>
      </c>
      <c r="E2643" s="82"/>
      <c r="F2643" s="82" t="s">
        <v>4527</v>
      </c>
      <c r="G2643" s="89">
        <v>1</v>
      </c>
      <c r="H2643" s="89">
        <v>34034.85</v>
      </c>
      <c r="I2643" s="85">
        <v>0</v>
      </c>
      <c r="J2643" s="85">
        <v>0</v>
      </c>
      <c r="K2643" s="85">
        <v>34034.85</v>
      </c>
      <c r="L2643" s="85">
        <v>34034.85</v>
      </c>
      <c r="M2643" s="89">
        <v>34034.85</v>
      </c>
      <c r="N2643" s="85">
        <v>0</v>
      </c>
      <c r="O2643" s="85">
        <v>0</v>
      </c>
      <c r="P2643" s="85">
        <v>34034.85</v>
      </c>
      <c r="Q2643" s="85">
        <v>34034.85</v>
      </c>
      <c r="R2643" s="82" t="s">
        <v>3399</v>
      </c>
      <c r="S2643" s="7">
        <f t="shared" si="124"/>
        <v>0</v>
      </c>
      <c r="T2643" s="6">
        <f t="shared" si="125"/>
        <v>0</v>
      </c>
      <c r="U2643" s="25">
        <f t="shared" si="123"/>
        <v>0</v>
      </c>
    </row>
    <row r="2644" spans="1:21" ht="10.9" customHeight="1" x14ac:dyDescent="0.2">
      <c r="A2644" s="82" t="s">
        <v>3373</v>
      </c>
      <c r="B2644" s="83">
        <v>45980</v>
      </c>
      <c r="C2644" s="82" t="s">
        <v>3395</v>
      </c>
      <c r="D2644" s="82"/>
      <c r="E2644" s="82"/>
      <c r="F2644" s="82" t="s">
        <v>4512</v>
      </c>
      <c r="G2644" s="89">
        <v>1</v>
      </c>
      <c r="H2644" s="89">
        <v>6453.87</v>
      </c>
      <c r="I2644" s="85">
        <v>0</v>
      </c>
      <c r="J2644" s="85">
        <v>839</v>
      </c>
      <c r="K2644" s="85">
        <v>7292.87</v>
      </c>
      <c r="L2644" s="85">
        <v>7292.87</v>
      </c>
      <c r="M2644" s="89">
        <v>6453.87</v>
      </c>
      <c r="N2644" s="85">
        <v>0</v>
      </c>
      <c r="O2644" s="85">
        <v>839</v>
      </c>
      <c r="P2644" s="85">
        <v>7292.87</v>
      </c>
      <c r="Q2644" s="85">
        <v>7292.87</v>
      </c>
      <c r="R2644" s="82" t="s">
        <v>4511</v>
      </c>
      <c r="S2644" s="7">
        <f t="shared" si="124"/>
        <v>0</v>
      </c>
      <c r="T2644" s="6">
        <f t="shared" si="125"/>
        <v>0</v>
      </c>
      <c r="U2644" s="25">
        <f t="shared" si="123"/>
        <v>0</v>
      </c>
    </row>
    <row r="2645" spans="1:21" ht="10.9" customHeight="1" x14ac:dyDescent="0.2">
      <c r="A2645" s="82" t="s">
        <v>3418</v>
      </c>
      <c r="B2645" s="83">
        <v>45980</v>
      </c>
      <c r="C2645" s="82" t="s">
        <v>3395</v>
      </c>
      <c r="D2645" s="82" t="s">
        <v>160</v>
      </c>
      <c r="E2645" s="82"/>
      <c r="F2645" s="82" t="s">
        <v>4528</v>
      </c>
      <c r="G2645" s="89">
        <v>1</v>
      </c>
      <c r="H2645" s="89">
        <v>6453.87</v>
      </c>
      <c r="I2645" s="85">
        <v>0</v>
      </c>
      <c r="J2645" s="85">
        <v>0</v>
      </c>
      <c r="K2645" s="85">
        <v>6453.87</v>
      </c>
      <c r="L2645" s="85">
        <v>6453.87</v>
      </c>
      <c r="M2645" s="89">
        <v>6453.87</v>
      </c>
      <c r="N2645" s="85">
        <v>0</v>
      </c>
      <c r="O2645" s="85">
        <v>0</v>
      </c>
      <c r="P2645" s="85">
        <v>6453.87</v>
      </c>
      <c r="Q2645" s="85">
        <v>6453.87</v>
      </c>
      <c r="R2645" s="82" t="s">
        <v>3399</v>
      </c>
      <c r="S2645" s="7">
        <f t="shared" si="124"/>
        <v>0</v>
      </c>
      <c r="T2645" s="6">
        <f t="shared" si="125"/>
        <v>0</v>
      </c>
      <c r="U2645" s="25">
        <f t="shared" si="123"/>
        <v>0</v>
      </c>
    </row>
    <row r="2646" spans="1:21" ht="10.9" customHeight="1" x14ac:dyDescent="0.2">
      <c r="A2646" s="82" t="s">
        <v>4513</v>
      </c>
      <c r="B2646" s="83">
        <v>45981</v>
      </c>
      <c r="C2646" s="82" t="s">
        <v>3398</v>
      </c>
      <c r="D2646" s="82"/>
      <c r="E2646" s="82"/>
      <c r="F2646" s="82" t="s">
        <v>4512</v>
      </c>
      <c r="G2646" s="89">
        <v>-1</v>
      </c>
      <c r="H2646" s="89">
        <v>6453.87</v>
      </c>
      <c r="I2646" s="85">
        <v>0</v>
      </c>
      <c r="J2646" s="85">
        <v>-839</v>
      </c>
      <c r="K2646" s="85">
        <v>-7292.87</v>
      </c>
      <c r="L2646" s="85">
        <v>-7292.87</v>
      </c>
      <c r="M2646" s="89">
        <v>6453.87</v>
      </c>
      <c r="N2646" s="85">
        <v>0</v>
      </c>
      <c r="O2646" s="85">
        <v>-839</v>
      </c>
      <c r="P2646" s="85">
        <v>-7292.87</v>
      </c>
      <c r="Q2646" s="85">
        <v>-7292.87</v>
      </c>
      <c r="R2646" s="82" t="s">
        <v>4511</v>
      </c>
      <c r="S2646" s="7">
        <f t="shared" si="124"/>
        <v>0</v>
      </c>
      <c r="T2646" s="6">
        <f t="shared" si="125"/>
        <v>0</v>
      </c>
      <c r="U2646" s="25">
        <f t="shared" si="123"/>
        <v>0</v>
      </c>
    </row>
    <row r="2647" spans="1:21" ht="10.9" customHeight="1" x14ac:dyDescent="0.2">
      <c r="A2647" s="82" t="s">
        <v>4516</v>
      </c>
      <c r="B2647" s="83">
        <v>45981</v>
      </c>
      <c r="C2647" s="82" t="s">
        <v>3395</v>
      </c>
      <c r="D2647" s="82"/>
      <c r="E2647" s="82"/>
      <c r="F2647" s="82"/>
      <c r="G2647" s="89">
        <v>0</v>
      </c>
      <c r="H2647" s="89">
        <v>0</v>
      </c>
      <c r="I2647" s="85">
        <v>0</v>
      </c>
      <c r="J2647" s="85">
        <v>0</v>
      </c>
      <c r="K2647" s="85">
        <v>0</v>
      </c>
      <c r="L2647" s="85">
        <v>0</v>
      </c>
      <c r="M2647" s="89">
        <v>0</v>
      </c>
      <c r="N2647" s="85">
        <v>0</v>
      </c>
      <c r="O2647" s="85">
        <v>0</v>
      </c>
      <c r="P2647" s="85">
        <v>0</v>
      </c>
      <c r="Q2647" s="85">
        <v>0</v>
      </c>
      <c r="R2647" s="82" t="s">
        <v>4515</v>
      </c>
      <c r="S2647" s="7">
        <f t="shared" si="124"/>
        <v>0</v>
      </c>
      <c r="T2647" s="6">
        <f t="shared" si="125"/>
        <v>0</v>
      </c>
      <c r="U2647" s="25">
        <f t="shared" si="123"/>
        <v>0</v>
      </c>
    </row>
    <row r="2648" spans="1:21" ht="10.9" customHeight="1" x14ac:dyDescent="0.2">
      <c r="A2648" s="82" t="s">
        <v>3085</v>
      </c>
      <c r="B2648" s="83">
        <v>45981</v>
      </c>
      <c r="C2648" s="82" t="s">
        <v>3395</v>
      </c>
      <c r="D2648" s="82" t="s">
        <v>840</v>
      </c>
      <c r="E2648" s="82"/>
      <c r="F2648" s="82" t="s">
        <v>4526</v>
      </c>
      <c r="G2648" s="89">
        <v>1</v>
      </c>
      <c r="H2648" s="89">
        <v>12632.27</v>
      </c>
      <c r="I2648" s="85">
        <v>0</v>
      </c>
      <c r="J2648" s="85">
        <v>0</v>
      </c>
      <c r="K2648" s="85">
        <v>12632.27</v>
      </c>
      <c r="L2648" s="85">
        <v>13217.27</v>
      </c>
      <c r="M2648" s="89">
        <v>17814.159641468086</v>
      </c>
      <c r="N2648" s="85">
        <v>0</v>
      </c>
      <c r="O2648" s="85">
        <v>0</v>
      </c>
      <c r="P2648" s="85">
        <v>17814.159641468086</v>
      </c>
      <c r="Q2648" s="85">
        <v>18639.132776958289</v>
      </c>
      <c r="R2648" s="82" t="s">
        <v>3396</v>
      </c>
      <c r="S2648" s="7">
        <f t="shared" si="124"/>
        <v>0</v>
      </c>
      <c r="T2648" s="6">
        <f t="shared" si="125"/>
        <v>0</v>
      </c>
      <c r="U2648" s="25">
        <f t="shared" si="123"/>
        <v>0</v>
      </c>
    </row>
    <row r="2649" spans="1:21" ht="10.9" customHeight="1" x14ac:dyDescent="0.2">
      <c r="A2649" s="82" t="s">
        <v>3085</v>
      </c>
      <c r="B2649" s="83">
        <v>45981</v>
      </c>
      <c r="C2649" s="82" t="s">
        <v>3395</v>
      </c>
      <c r="D2649" s="82" t="s">
        <v>840</v>
      </c>
      <c r="E2649" s="82"/>
      <c r="F2649" s="82" t="s">
        <v>4459</v>
      </c>
      <c r="G2649" s="89">
        <v>1</v>
      </c>
      <c r="H2649" s="89">
        <v>585</v>
      </c>
      <c r="I2649" s="85">
        <v>0</v>
      </c>
      <c r="J2649" s="85">
        <v>0</v>
      </c>
      <c r="K2649" s="85">
        <v>585</v>
      </c>
      <c r="L2649" s="85">
        <v>13217.27</v>
      </c>
      <c r="M2649" s="89">
        <v>824.97313549020328</v>
      </c>
      <c r="N2649" s="85">
        <v>0</v>
      </c>
      <c r="O2649" s="85">
        <v>0</v>
      </c>
      <c r="P2649" s="85">
        <v>824.97313549020328</v>
      </c>
      <c r="Q2649" s="85">
        <v>18639.132776958289</v>
      </c>
      <c r="R2649" s="82" t="s">
        <v>3396</v>
      </c>
      <c r="S2649" s="7" t="str">
        <f t="shared" si="124"/>
        <v>INV13660</v>
      </c>
      <c r="T2649" s="6">
        <f t="shared" si="125"/>
        <v>1</v>
      </c>
      <c r="U2649" s="25">
        <f t="shared" si="123"/>
        <v>585</v>
      </c>
    </row>
    <row r="2650" spans="1:21" ht="10.9" customHeight="1" x14ac:dyDescent="0.2">
      <c r="A2650" s="82" t="s">
        <v>3253</v>
      </c>
      <c r="B2650" s="83">
        <v>45981</v>
      </c>
      <c r="C2650" s="82" t="s">
        <v>3395</v>
      </c>
      <c r="D2650" s="82" t="s">
        <v>494</v>
      </c>
      <c r="E2650" s="82"/>
      <c r="F2650" s="82" t="s">
        <v>4523</v>
      </c>
      <c r="G2650" s="89">
        <v>1</v>
      </c>
      <c r="H2650" s="89">
        <v>23699.38</v>
      </c>
      <c r="I2650" s="85">
        <v>0</v>
      </c>
      <c r="J2650" s="85">
        <v>0</v>
      </c>
      <c r="K2650" s="85">
        <v>23699.38</v>
      </c>
      <c r="L2650" s="85">
        <v>24284.38</v>
      </c>
      <c r="M2650" s="89">
        <v>33421.114235510795</v>
      </c>
      <c r="N2650" s="85">
        <v>0</v>
      </c>
      <c r="O2650" s="85">
        <v>0</v>
      </c>
      <c r="P2650" s="85">
        <v>33421.114235510795</v>
      </c>
      <c r="Q2650" s="85">
        <v>34246.087371000998</v>
      </c>
      <c r="R2650" s="82" t="s">
        <v>3396</v>
      </c>
      <c r="S2650" s="7">
        <f t="shared" si="124"/>
        <v>0</v>
      </c>
      <c r="T2650" s="6">
        <f t="shared" si="125"/>
        <v>0</v>
      </c>
      <c r="U2650" s="25">
        <f t="shared" si="123"/>
        <v>0</v>
      </c>
    </row>
    <row r="2651" spans="1:21" ht="10.9" customHeight="1" x14ac:dyDescent="0.2">
      <c r="A2651" s="82" t="s">
        <v>3253</v>
      </c>
      <c r="B2651" s="83">
        <v>45981</v>
      </c>
      <c r="C2651" s="82" t="s">
        <v>3395</v>
      </c>
      <c r="D2651" s="82" t="s">
        <v>494</v>
      </c>
      <c r="E2651" s="82"/>
      <c r="F2651" s="82" t="s">
        <v>4522</v>
      </c>
      <c r="G2651" s="89">
        <v>1</v>
      </c>
      <c r="H2651" s="89">
        <v>0</v>
      </c>
      <c r="I2651" s="85">
        <v>0</v>
      </c>
      <c r="J2651" s="85">
        <v>0</v>
      </c>
      <c r="K2651" s="85">
        <v>0</v>
      </c>
      <c r="L2651" s="85">
        <v>24284.38</v>
      </c>
      <c r="M2651" s="89">
        <v>0</v>
      </c>
      <c r="N2651" s="85">
        <v>0</v>
      </c>
      <c r="O2651" s="85">
        <v>0</v>
      </c>
      <c r="P2651" s="85">
        <v>0</v>
      </c>
      <c r="Q2651" s="85">
        <v>34246.087371000998</v>
      </c>
      <c r="R2651" s="82" t="s">
        <v>3396</v>
      </c>
      <c r="S2651" s="7">
        <f t="shared" si="124"/>
        <v>0</v>
      </c>
      <c r="T2651" s="6">
        <f t="shared" si="125"/>
        <v>0</v>
      </c>
      <c r="U2651" s="25">
        <f t="shared" si="123"/>
        <v>0</v>
      </c>
    </row>
    <row r="2652" spans="1:21" ht="10.9" customHeight="1" x14ac:dyDescent="0.2">
      <c r="A2652" s="82" t="s">
        <v>3253</v>
      </c>
      <c r="B2652" s="83">
        <v>45981</v>
      </c>
      <c r="C2652" s="82" t="s">
        <v>3395</v>
      </c>
      <c r="D2652" s="82" t="s">
        <v>494</v>
      </c>
      <c r="E2652" s="82"/>
      <c r="F2652" s="82" t="s">
        <v>4521</v>
      </c>
      <c r="G2652" s="89">
        <v>1</v>
      </c>
      <c r="H2652" s="89">
        <v>0</v>
      </c>
      <c r="I2652" s="85">
        <v>0</v>
      </c>
      <c r="J2652" s="85">
        <v>0</v>
      </c>
      <c r="K2652" s="85">
        <v>0</v>
      </c>
      <c r="L2652" s="85">
        <v>24284.38</v>
      </c>
      <c r="M2652" s="89">
        <v>0</v>
      </c>
      <c r="N2652" s="85">
        <v>0</v>
      </c>
      <c r="O2652" s="85">
        <v>0</v>
      </c>
      <c r="P2652" s="85">
        <v>0</v>
      </c>
      <c r="Q2652" s="85">
        <v>34246.087371000998</v>
      </c>
      <c r="R2652" s="82" t="s">
        <v>3396</v>
      </c>
      <c r="S2652" s="7">
        <f t="shared" si="124"/>
        <v>0</v>
      </c>
      <c r="T2652" s="6">
        <f t="shared" si="125"/>
        <v>0</v>
      </c>
      <c r="U2652" s="25">
        <f t="shared" si="123"/>
        <v>0</v>
      </c>
    </row>
    <row r="2653" spans="1:21" ht="10.9" customHeight="1" x14ac:dyDescent="0.2">
      <c r="A2653" s="82" t="s">
        <v>3253</v>
      </c>
      <c r="B2653" s="83">
        <v>45981</v>
      </c>
      <c r="C2653" s="82" t="s">
        <v>3395</v>
      </c>
      <c r="D2653" s="82" t="s">
        <v>494</v>
      </c>
      <c r="E2653" s="82"/>
      <c r="F2653" s="82" t="s">
        <v>4520</v>
      </c>
      <c r="G2653" s="89">
        <v>1</v>
      </c>
      <c r="H2653" s="89">
        <v>0</v>
      </c>
      <c r="I2653" s="85">
        <v>0</v>
      </c>
      <c r="J2653" s="85">
        <v>0</v>
      </c>
      <c r="K2653" s="85">
        <v>0</v>
      </c>
      <c r="L2653" s="85">
        <v>24284.38</v>
      </c>
      <c r="M2653" s="89">
        <v>0</v>
      </c>
      <c r="N2653" s="85">
        <v>0</v>
      </c>
      <c r="O2653" s="85">
        <v>0</v>
      </c>
      <c r="P2653" s="85">
        <v>0</v>
      </c>
      <c r="Q2653" s="85">
        <v>34246.087371000998</v>
      </c>
      <c r="R2653" s="82" t="s">
        <v>3396</v>
      </c>
      <c r="S2653" s="7">
        <f t="shared" si="124"/>
        <v>0</v>
      </c>
      <c r="T2653" s="6">
        <f t="shared" si="125"/>
        <v>0</v>
      </c>
      <c r="U2653" s="25">
        <f t="shared" si="123"/>
        <v>0</v>
      </c>
    </row>
    <row r="2654" spans="1:21" ht="10.9" customHeight="1" x14ac:dyDescent="0.2">
      <c r="A2654" s="82" t="s">
        <v>3253</v>
      </c>
      <c r="B2654" s="83">
        <v>45981</v>
      </c>
      <c r="C2654" s="82" t="s">
        <v>3395</v>
      </c>
      <c r="D2654" s="82" t="s">
        <v>494</v>
      </c>
      <c r="E2654" s="82"/>
      <c r="F2654" s="82" t="s">
        <v>4519</v>
      </c>
      <c r="G2654" s="89">
        <v>1</v>
      </c>
      <c r="H2654" s="89">
        <v>0</v>
      </c>
      <c r="I2654" s="85">
        <v>0</v>
      </c>
      <c r="J2654" s="85">
        <v>0</v>
      </c>
      <c r="K2654" s="85">
        <v>0</v>
      </c>
      <c r="L2654" s="85">
        <v>24284.38</v>
      </c>
      <c r="M2654" s="89">
        <v>0</v>
      </c>
      <c r="N2654" s="85">
        <v>0</v>
      </c>
      <c r="O2654" s="85">
        <v>0</v>
      </c>
      <c r="P2654" s="85">
        <v>0</v>
      </c>
      <c r="Q2654" s="85">
        <v>34246.087371000998</v>
      </c>
      <c r="R2654" s="82" t="s">
        <v>3396</v>
      </c>
      <c r="S2654" s="7">
        <f t="shared" si="124"/>
        <v>0</v>
      </c>
      <c r="T2654" s="6">
        <f t="shared" si="125"/>
        <v>0</v>
      </c>
      <c r="U2654" s="25">
        <f t="shared" si="123"/>
        <v>0</v>
      </c>
    </row>
    <row r="2655" spans="1:21" ht="10.9" customHeight="1" x14ac:dyDescent="0.2">
      <c r="A2655" s="82" t="s">
        <v>3253</v>
      </c>
      <c r="B2655" s="83">
        <v>45981</v>
      </c>
      <c r="C2655" s="82" t="s">
        <v>3395</v>
      </c>
      <c r="D2655" s="82" t="s">
        <v>494</v>
      </c>
      <c r="E2655" s="82"/>
      <c r="F2655" s="82" t="s">
        <v>4459</v>
      </c>
      <c r="G2655" s="89">
        <v>1</v>
      </c>
      <c r="H2655" s="89">
        <v>585</v>
      </c>
      <c r="I2655" s="85">
        <v>0</v>
      </c>
      <c r="J2655" s="85">
        <v>0</v>
      </c>
      <c r="K2655" s="85">
        <v>585</v>
      </c>
      <c r="L2655" s="85">
        <v>24284.38</v>
      </c>
      <c r="M2655" s="89">
        <v>824.97313549020328</v>
      </c>
      <c r="N2655" s="85">
        <v>0</v>
      </c>
      <c r="O2655" s="85">
        <v>0</v>
      </c>
      <c r="P2655" s="85">
        <v>824.97313549020328</v>
      </c>
      <c r="Q2655" s="85">
        <v>34246.087371000998</v>
      </c>
      <c r="R2655" s="82" t="s">
        <v>3396</v>
      </c>
      <c r="S2655" s="7" t="str">
        <f t="shared" si="124"/>
        <v>INV13661</v>
      </c>
      <c r="T2655" s="6">
        <f t="shared" si="125"/>
        <v>1</v>
      </c>
      <c r="U2655" s="25">
        <f t="shared" si="123"/>
        <v>585</v>
      </c>
    </row>
    <row r="2656" spans="1:21" ht="10.9" customHeight="1" x14ac:dyDescent="0.2">
      <c r="A2656" s="82" t="s">
        <v>3154</v>
      </c>
      <c r="B2656" s="83">
        <v>45981</v>
      </c>
      <c r="C2656" s="82" t="s">
        <v>3395</v>
      </c>
      <c r="D2656" s="82" t="s">
        <v>702</v>
      </c>
      <c r="E2656" s="82"/>
      <c r="F2656" s="82" t="s">
        <v>4524</v>
      </c>
      <c r="G2656" s="89">
        <v>1</v>
      </c>
      <c r="H2656" s="89">
        <v>1223</v>
      </c>
      <c r="I2656" s="85">
        <v>0</v>
      </c>
      <c r="J2656" s="85">
        <v>0</v>
      </c>
      <c r="K2656" s="85">
        <v>1223</v>
      </c>
      <c r="L2656" s="85">
        <v>1223</v>
      </c>
      <c r="M2656" s="89">
        <v>1724.6874268453309</v>
      </c>
      <c r="N2656" s="85">
        <v>0</v>
      </c>
      <c r="O2656" s="85">
        <v>0</v>
      </c>
      <c r="P2656" s="85">
        <v>1724.6874268453309</v>
      </c>
      <c r="Q2656" s="85">
        <v>1724.6874268453309</v>
      </c>
      <c r="R2656" s="82" t="s">
        <v>3396</v>
      </c>
      <c r="S2656" s="7">
        <f t="shared" si="124"/>
        <v>0</v>
      </c>
      <c r="T2656" s="6">
        <f t="shared" si="125"/>
        <v>0</v>
      </c>
      <c r="U2656" s="25">
        <f t="shared" si="123"/>
        <v>0</v>
      </c>
    </row>
    <row r="2657" spans="1:21" ht="10.9" customHeight="1" x14ac:dyDescent="0.2">
      <c r="A2657" s="82" t="s">
        <v>3150</v>
      </c>
      <c r="B2657" s="83">
        <v>45981</v>
      </c>
      <c r="C2657" s="82" t="s">
        <v>3395</v>
      </c>
      <c r="D2657" s="82" t="s">
        <v>3416</v>
      </c>
      <c r="E2657" s="82"/>
      <c r="F2657" s="82" t="s">
        <v>4524</v>
      </c>
      <c r="G2657" s="89">
        <v>1</v>
      </c>
      <c r="H2657" s="89">
        <v>1223</v>
      </c>
      <c r="I2657" s="85">
        <v>0</v>
      </c>
      <c r="J2657" s="85">
        <v>0</v>
      </c>
      <c r="K2657" s="85">
        <v>1223</v>
      </c>
      <c r="L2657" s="85">
        <v>1223</v>
      </c>
      <c r="M2657" s="89">
        <v>1724.6874268453309</v>
      </c>
      <c r="N2657" s="85">
        <v>0</v>
      </c>
      <c r="O2657" s="85">
        <v>0</v>
      </c>
      <c r="P2657" s="85">
        <v>1724.6874268453309</v>
      </c>
      <c r="Q2657" s="85">
        <v>1724.6874268453309</v>
      </c>
      <c r="R2657" s="82" t="s">
        <v>3396</v>
      </c>
      <c r="S2657" s="7">
        <f t="shared" si="124"/>
        <v>0</v>
      </c>
      <c r="T2657" s="6">
        <f t="shared" si="125"/>
        <v>0</v>
      </c>
      <c r="U2657" s="25">
        <f t="shared" si="123"/>
        <v>0</v>
      </c>
    </row>
    <row r="2658" spans="1:21" ht="10.9" customHeight="1" x14ac:dyDescent="0.2">
      <c r="A2658" s="82" t="s">
        <v>3324</v>
      </c>
      <c r="B2658" s="83">
        <v>45981</v>
      </c>
      <c r="C2658" s="82" t="s">
        <v>3395</v>
      </c>
      <c r="D2658" s="82" t="s">
        <v>312</v>
      </c>
      <c r="E2658" s="82"/>
      <c r="F2658" s="82" t="s">
        <v>4518</v>
      </c>
      <c r="G2658" s="89">
        <v>1</v>
      </c>
      <c r="H2658" s="89">
        <v>400</v>
      </c>
      <c r="I2658" s="85">
        <v>0</v>
      </c>
      <c r="J2658" s="85">
        <v>0</v>
      </c>
      <c r="K2658" s="85">
        <v>400</v>
      </c>
      <c r="L2658" s="85">
        <v>1135</v>
      </c>
      <c r="M2658" s="89">
        <v>564.08419520697657</v>
      </c>
      <c r="N2658" s="85">
        <v>0</v>
      </c>
      <c r="O2658" s="85">
        <v>0</v>
      </c>
      <c r="P2658" s="85">
        <v>564.08419520697657</v>
      </c>
      <c r="Q2658" s="85">
        <v>1600.5889038997962</v>
      </c>
      <c r="R2658" s="82" t="s">
        <v>3396</v>
      </c>
      <c r="S2658" s="7">
        <f t="shared" si="124"/>
        <v>0</v>
      </c>
      <c r="T2658" s="6">
        <f t="shared" si="125"/>
        <v>0</v>
      </c>
      <c r="U2658" s="25">
        <f t="shared" si="123"/>
        <v>0</v>
      </c>
    </row>
    <row r="2659" spans="1:21" ht="10.9" customHeight="1" x14ac:dyDescent="0.2">
      <c r="A2659" s="82" t="s">
        <v>3324</v>
      </c>
      <c r="B2659" s="83">
        <v>45981</v>
      </c>
      <c r="C2659" s="82" t="s">
        <v>3395</v>
      </c>
      <c r="D2659" s="82" t="s">
        <v>312</v>
      </c>
      <c r="E2659" s="82"/>
      <c r="F2659" s="82" t="s">
        <v>4517</v>
      </c>
      <c r="G2659" s="89">
        <v>1</v>
      </c>
      <c r="H2659" s="89">
        <v>735</v>
      </c>
      <c r="I2659" s="85">
        <v>0</v>
      </c>
      <c r="J2659" s="85">
        <v>0</v>
      </c>
      <c r="K2659" s="85">
        <v>735</v>
      </c>
      <c r="L2659" s="85">
        <v>1135</v>
      </c>
      <c r="M2659" s="89">
        <v>1036.5047086928196</v>
      </c>
      <c r="N2659" s="85">
        <v>0</v>
      </c>
      <c r="O2659" s="85">
        <v>0</v>
      </c>
      <c r="P2659" s="85">
        <v>1036.5047086928196</v>
      </c>
      <c r="Q2659" s="85">
        <v>1600.5889038997962</v>
      </c>
      <c r="R2659" s="82" t="s">
        <v>3396</v>
      </c>
      <c r="S2659" s="7">
        <f t="shared" si="124"/>
        <v>0</v>
      </c>
      <c r="T2659" s="6">
        <f t="shared" si="125"/>
        <v>0</v>
      </c>
      <c r="U2659" s="25">
        <f t="shared" si="123"/>
        <v>0</v>
      </c>
    </row>
    <row r="2660" spans="1:21" ht="10.9" customHeight="1" x14ac:dyDescent="0.2">
      <c r="A2660" s="82" t="s">
        <v>3379</v>
      </c>
      <c r="B2660" s="83">
        <v>45981</v>
      </c>
      <c r="C2660" s="82" t="s">
        <v>3395</v>
      </c>
      <c r="D2660" s="82" t="s">
        <v>143</v>
      </c>
      <c r="E2660" s="82"/>
      <c r="F2660" s="82" t="s">
        <v>4514</v>
      </c>
      <c r="G2660" s="89">
        <v>1</v>
      </c>
      <c r="H2660" s="89">
        <v>1289.49</v>
      </c>
      <c r="I2660" s="85">
        <v>0</v>
      </c>
      <c r="J2660" s="85">
        <v>0</v>
      </c>
      <c r="K2660" s="85">
        <v>1289.49</v>
      </c>
      <c r="L2660" s="85">
        <v>1289.49</v>
      </c>
      <c r="M2660" s="89">
        <v>1818.4523221936106</v>
      </c>
      <c r="N2660" s="85">
        <v>0</v>
      </c>
      <c r="O2660" s="85">
        <v>0</v>
      </c>
      <c r="P2660" s="85">
        <v>1818.4523221936106</v>
      </c>
      <c r="Q2660" s="85">
        <v>1818.4523221936106</v>
      </c>
      <c r="R2660" s="82" t="s">
        <v>3399</v>
      </c>
      <c r="S2660" s="7">
        <f t="shared" si="124"/>
        <v>0</v>
      </c>
      <c r="T2660" s="6">
        <f t="shared" si="125"/>
        <v>0</v>
      </c>
      <c r="U2660" s="25">
        <f t="shared" si="123"/>
        <v>0</v>
      </c>
    </row>
    <row r="2661" spans="1:21" ht="10.9" customHeight="1" x14ac:dyDescent="0.2">
      <c r="A2661" s="82" t="s">
        <v>2980</v>
      </c>
      <c r="B2661" s="83">
        <v>45981</v>
      </c>
      <c r="C2661" s="82" t="s">
        <v>3395</v>
      </c>
      <c r="D2661" s="82" t="s">
        <v>1032</v>
      </c>
      <c r="E2661" s="82"/>
      <c r="F2661" s="82" t="s">
        <v>4510</v>
      </c>
      <c r="G2661" s="89">
        <v>1</v>
      </c>
      <c r="H2661" s="89">
        <v>3115.24</v>
      </c>
      <c r="I2661" s="85">
        <v>0</v>
      </c>
      <c r="J2661" s="85">
        <v>0</v>
      </c>
      <c r="K2661" s="85">
        <v>3115.24</v>
      </c>
      <c r="L2661" s="85">
        <v>3773.24</v>
      </c>
      <c r="M2661" s="89">
        <v>4389.9991826634459</v>
      </c>
      <c r="N2661" s="85">
        <v>0</v>
      </c>
      <c r="O2661" s="85">
        <v>0</v>
      </c>
      <c r="P2661" s="85">
        <v>4389.9991826634459</v>
      </c>
      <c r="Q2661" s="85">
        <v>5317.2534109709113</v>
      </c>
      <c r="R2661" s="82" t="s">
        <v>3396</v>
      </c>
      <c r="S2661" s="7">
        <f t="shared" si="124"/>
        <v>0</v>
      </c>
      <c r="T2661" s="6">
        <f t="shared" si="125"/>
        <v>0</v>
      </c>
      <c r="U2661" s="25">
        <f t="shared" si="123"/>
        <v>0</v>
      </c>
    </row>
    <row r="2662" spans="1:21" ht="10.9" customHeight="1" x14ac:dyDescent="0.2">
      <c r="A2662" s="82" t="s">
        <v>2980</v>
      </c>
      <c r="B2662" s="83">
        <v>45981</v>
      </c>
      <c r="C2662" s="82" t="s">
        <v>3395</v>
      </c>
      <c r="D2662" s="82" t="s">
        <v>1032</v>
      </c>
      <c r="E2662" s="82"/>
      <c r="F2662" s="82" t="s">
        <v>4393</v>
      </c>
      <c r="G2662" s="89">
        <v>1</v>
      </c>
      <c r="H2662" s="89">
        <v>658</v>
      </c>
      <c r="I2662" s="85">
        <v>0</v>
      </c>
      <c r="J2662" s="85">
        <v>0</v>
      </c>
      <c r="K2662" s="85">
        <v>658</v>
      </c>
      <c r="L2662" s="85">
        <v>3773.24</v>
      </c>
      <c r="M2662" s="89">
        <v>927.25422830746516</v>
      </c>
      <c r="N2662" s="85">
        <v>0</v>
      </c>
      <c r="O2662" s="85">
        <v>0</v>
      </c>
      <c r="P2662" s="85">
        <v>927.25422830746516</v>
      </c>
      <c r="Q2662" s="85">
        <v>5317.2534109709113</v>
      </c>
      <c r="R2662" s="82" t="s">
        <v>3396</v>
      </c>
      <c r="S2662" s="7" t="str">
        <f t="shared" si="124"/>
        <v>INV13668</v>
      </c>
      <c r="T2662" s="6">
        <f t="shared" si="125"/>
        <v>1</v>
      </c>
      <c r="U2662" s="25">
        <f t="shared" si="123"/>
        <v>658</v>
      </c>
    </row>
    <row r="2663" spans="1:21" ht="10.9" customHeight="1" x14ac:dyDescent="0.2">
      <c r="A2663" s="82" t="s">
        <v>3372</v>
      </c>
      <c r="B2663" s="83">
        <v>45981</v>
      </c>
      <c r="C2663" s="82" t="s">
        <v>3395</v>
      </c>
      <c r="D2663" s="82" t="s">
        <v>170</v>
      </c>
      <c r="E2663" s="82"/>
      <c r="F2663" s="82" t="s">
        <v>4525</v>
      </c>
      <c r="G2663" s="89">
        <v>1</v>
      </c>
      <c r="H2663" s="89">
        <v>878.94</v>
      </c>
      <c r="I2663" s="85">
        <v>0</v>
      </c>
      <c r="J2663" s="85">
        <v>43.95</v>
      </c>
      <c r="K2663" s="85">
        <v>922.89</v>
      </c>
      <c r="L2663" s="85">
        <v>922.89</v>
      </c>
      <c r="M2663" s="89">
        <v>878.94</v>
      </c>
      <c r="N2663" s="85">
        <v>0</v>
      </c>
      <c r="O2663" s="85">
        <v>43.95</v>
      </c>
      <c r="P2663" s="85">
        <v>922.89</v>
      </c>
      <c r="Q2663" s="85">
        <v>922.89</v>
      </c>
      <c r="R2663" s="82" t="s">
        <v>3399</v>
      </c>
      <c r="S2663" s="7">
        <f t="shared" si="124"/>
        <v>0</v>
      </c>
      <c r="T2663" s="6">
        <f t="shared" si="125"/>
        <v>0</v>
      </c>
      <c r="U2663" s="25">
        <f t="shared" si="123"/>
        <v>0</v>
      </c>
    </row>
    <row r="2664" spans="1:21" ht="10.9" customHeight="1" x14ac:dyDescent="0.2">
      <c r="A2664" s="82" t="s">
        <v>3045</v>
      </c>
      <c r="B2664" s="83">
        <v>45982</v>
      </c>
      <c r="C2664" s="82" t="s">
        <v>3395</v>
      </c>
      <c r="D2664" s="82" t="s">
        <v>923</v>
      </c>
      <c r="E2664" s="82"/>
      <c r="F2664" s="82" t="s">
        <v>4510</v>
      </c>
      <c r="G2664" s="89">
        <v>2</v>
      </c>
      <c r="H2664" s="89">
        <v>3279.19</v>
      </c>
      <c r="I2664" s="85">
        <v>0</v>
      </c>
      <c r="J2664" s="85">
        <v>0</v>
      </c>
      <c r="K2664" s="85">
        <v>6558.38</v>
      </c>
      <c r="L2664" s="85">
        <v>10472.58</v>
      </c>
      <c r="M2664" s="89">
        <v>4622.3795347158793</v>
      </c>
      <c r="N2664" s="85">
        <v>0</v>
      </c>
      <c r="O2664" s="85">
        <v>0</v>
      </c>
      <c r="P2664" s="85">
        <v>9244.7590694317587</v>
      </c>
      <c r="Q2664" s="85">
        <v>14762.255150715519</v>
      </c>
      <c r="R2664" s="82" t="s">
        <v>3399</v>
      </c>
      <c r="S2664" s="7">
        <f t="shared" si="124"/>
        <v>0</v>
      </c>
      <c r="T2664" s="6">
        <f t="shared" si="125"/>
        <v>0</v>
      </c>
      <c r="U2664" s="25">
        <f t="shared" si="123"/>
        <v>0</v>
      </c>
    </row>
    <row r="2665" spans="1:21" ht="10.9" customHeight="1" x14ac:dyDescent="0.2">
      <c r="A2665" s="82" t="s">
        <v>3045</v>
      </c>
      <c r="B2665" s="83">
        <v>45982</v>
      </c>
      <c r="C2665" s="82" t="s">
        <v>3395</v>
      </c>
      <c r="D2665" s="82" t="s">
        <v>923</v>
      </c>
      <c r="E2665" s="82"/>
      <c r="F2665" s="82" t="s">
        <v>4509</v>
      </c>
      <c r="G2665" s="89">
        <v>2</v>
      </c>
      <c r="H2665" s="89">
        <v>1137.8800000000001</v>
      </c>
      <c r="I2665" s="85">
        <v>0</v>
      </c>
      <c r="J2665" s="85">
        <v>0</v>
      </c>
      <c r="K2665" s="85">
        <v>2275.7600000000002</v>
      </c>
      <c r="L2665" s="85">
        <v>10472.58</v>
      </c>
      <c r="M2665" s="89">
        <v>1603.9672068292793</v>
      </c>
      <c r="N2665" s="85">
        <v>0</v>
      </c>
      <c r="O2665" s="85">
        <v>0</v>
      </c>
      <c r="P2665" s="85">
        <v>3207.9344136585587</v>
      </c>
      <c r="Q2665" s="85">
        <v>14762.255150715519</v>
      </c>
      <c r="R2665" s="82" t="s">
        <v>3399</v>
      </c>
      <c r="S2665" s="7">
        <f t="shared" si="124"/>
        <v>0</v>
      </c>
      <c r="T2665" s="6">
        <f t="shared" si="125"/>
        <v>0</v>
      </c>
      <c r="U2665" s="25">
        <f t="shared" si="123"/>
        <v>0</v>
      </c>
    </row>
    <row r="2666" spans="1:21" ht="10.9" customHeight="1" x14ac:dyDescent="0.2">
      <c r="A2666" s="82" t="s">
        <v>3045</v>
      </c>
      <c r="B2666" s="83">
        <v>45982</v>
      </c>
      <c r="C2666" s="82" t="s">
        <v>3395</v>
      </c>
      <c r="D2666" s="82" t="s">
        <v>923</v>
      </c>
      <c r="E2666" s="82"/>
      <c r="F2666" s="82" t="s">
        <v>4508</v>
      </c>
      <c r="G2666" s="89">
        <v>1</v>
      </c>
      <c r="H2666" s="89">
        <v>1638.44</v>
      </c>
      <c r="I2666" s="85">
        <v>0</v>
      </c>
      <c r="J2666" s="85">
        <v>0</v>
      </c>
      <c r="K2666" s="85">
        <v>1638.44</v>
      </c>
      <c r="L2666" s="85">
        <v>10472.58</v>
      </c>
      <c r="M2666" s="89">
        <v>2309.5616676252016</v>
      </c>
      <c r="N2666" s="85">
        <v>0</v>
      </c>
      <c r="O2666" s="85">
        <v>0</v>
      </c>
      <c r="P2666" s="85">
        <v>2309.5616676252016</v>
      </c>
      <c r="Q2666" s="85">
        <v>14762.255150715519</v>
      </c>
      <c r="R2666" s="82" t="s">
        <v>3399</v>
      </c>
      <c r="S2666" s="7">
        <f t="shared" si="124"/>
        <v>0</v>
      </c>
      <c r="T2666" s="6">
        <f t="shared" si="125"/>
        <v>0</v>
      </c>
      <c r="U2666" s="25">
        <f t="shared" si="123"/>
        <v>0</v>
      </c>
    </row>
    <row r="2667" spans="1:21" ht="10.9" customHeight="1" x14ac:dyDescent="0.2">
      <c r="A2667" s="82" t="s">
        <v>2979</v>
      </c>
      <c r="B2667" s="83">
        <v>45982</v>
      </c>
      <c r="C2667" s="82" t="s">
        <v>3395</v>
      </c>
      <c r="D2667" s="82" t="s">
        <v>1034</v>
      </c>
      <c r="E2667" s="82"/>
      <c r="F2667" s="82" t="s">
        <v>4507</v>
      </c>
      <c r="G2667" s="89">
        <v>1</v>
      </c>
      <c r="H2667" s="89">
        <v>9246</v>
      </c>
      <c r="I2667" s="85">
        <v>0</v>
      </c>
      <c r="J2667" s="85">
        <v>0</v>
      </c>
      <c r="K2667" s="85">
        <v>9246</v>
      </c>
      <c r="L2667" s="85">
        <v>10028</v>
      </c>
      <c r="M2667" s="89">
        <v>13033.2555228526</v>
      </c>
      <c r="N2667" s="85">
        <v>0</v>
      </c>
      <c r="O2667" s="85">
        <v>0</v>
      </c>
      <c r="P2667" s="85">
        <v>13033.2555228526</v>
      </c>
      <c r="Q2667" s="85">
        <v>14135.570666576452</v>
      </c>
      <c r="R2667" s="82" t="s">
        <v>3399</v>
      </c>
      <c r="S2667" s="7">
        <f t="shared" si="124"/>
        <v>0</v>
      </c>
      <c r="T2667" s="6">
        <f t="shared" si="125"/>
        <v>0</v>
      </c>
      <c r="U2667" s="25">
        <f t="shared" si="123"/>
        <v>0</v>
      </c>
    </row>
    <row r="2668" spans="1:21" ht="10.9" customHeight="1" x14ac:dyDescent="0.2">
      <c r="A2668" s="82" t="s">
        <v>2979</v>
      </c>
      <c r="B2668" s="83">
        <v>45982</v>
      </c>
      <c r="C2668" s="82" t="s">
        <v>3395</v>
      </c>
      <c r="D2668" s="82" t="s">
        <v>1034</v>
      </c>
      <c r="E2668" s="82"/>
      <c r="F2668" s="82" t="s">
        <v>4393</v>
      </c>
      <c r="G2668" s="89">
        <v>1</v>
      </c>
      <c r="H2668" s="89">
        <v>782</v>
      </c>
      <c r="I2668" s="85">
        <v>0</v>
      </c>
      <c r="J2668" s="85">
        <v>0</v>
      </c>
      <c r="K2668" s="85">
        <v>782</v>
      </c>
      <c r="L2668" s="85">
        <v>10028</v>
      </c>
      <c r="M2668" s="89">
        <v>1102.3151437238516</v>
      </c>
      <c r="N2668" s="85">
        <v>0</v>
      </c>
      <c r="O2668" s="85">
        <v>0</v>
      </c>
      <c r="P2668" s="85">
        <v>1102.3151437238516</v>
      </c>
      <c r="Q2668" s="85">
        <v>14135.570666576452</v>
      </c>
      <c r="R2668" s="82" t="s">
        <v>3399</v>
      </c>
      <c r="S2668" s="7" t="str">
        <f t="shared" si="124"/>
        <v>INV13671</v>
      </c>
      <c r="T2668" s="6">
        <f t="shared" si="125"/>
        <v>1</v>
      </c>
      <c r="U2668" s="25">
        <f t="shared" si="123"/>
        <v>782</v>
      </c>
    </row>
    <row r="2669" spans="1:21" ht="10.9" customHeight="1" x14ac:dyDescent="0.2">
      <c r="A2669" s="82" t="s">
        <v>3233</v>
      </c>
      <c r="B2669" s="83">
        <v>45985</v>
      </c>
      <c r="C2669" s="82" t="s">
        <v>3395</v>
      </c>
      <c r="D2669" s="82" t="s">
        <v>3415</v>
      </c>
      <c r="E2669" s="82"/>
      <c r="F2669" s="82" t="s">
        <v>4506</v>
      </c>
      <c r="G2669" s="89">
        <v>2</v>
      </c>
      <c r="H2669" s="89">
        <v>195</v>
      </c>
      <c r="I2669" s="85">
        <v>0</v>
      </c>
      <c r="J2669" s="85">
        <v>0</v>
      </c>
      <c r="K2669" s="85">
        <v>390</v>
      </c>
      <c r="L2669" s="85">
        <v>2990</v>
      </c>
      <c r="M2669" s="89">
        <v>275.20721692115103</v>
      </c>
      <c r="N2669" s="85">
        <v>0</v>
      </c>
      <c r="O2669" s="85">
        <v>0</v>
      </c>
      <c r="P2669" s="85">
        <v>550.41443384230206</v>
      </c>
      <c r="Q2669" s="85">
        <v>4219.8439927909822</v>
      </c>
      <c r="R2669" s="82" t="s">
        <v>3396</v>
      </c>
      <c r="S2669" s="7">
        <f t="shared" si="124"/>
        <v>0</v>
      </c>
      <c r="T2669" s="6">
        <f t="shared" si="125"/>
        <v>0</v>
      </c>
      <c r="U2669" s="25">
        <f t="shared" si="123"/>
        <v>0</v>
      </c>
    </row>
    <row r="2670" spans="1:21" ht="10.9" customHeight="1" x14ac:dyDescent="0.2">
      <c r="A2670" s="82" t="s">
        <v>3233</v>
      </c>
      <c r="B2670" s="83">
        <v>45985</v>
      </c>
      <c r="C2670" s="82" t="s">
        <v>3395</v>
      </c>
      <c r="D2670" s="82" t="s">
        <v>3415</v>
      </c>
      <c r="E2670" s="82"/>
      <c r="F2670" s="82" t="s">
        <v>4505</v>
      </c>
      <c r="G2670" s="89">
        <v>1</v>
      </c>
      <c r="H2670" s="89">
        <v>280</v>
      </c>
      <c r="I2670" s="85">
        <v>0</v>
      </c>
      <c r="J2670" s="85">
        <v>0</v>
      </c>
      <c r="K2670" s="85">
        <v>280</v>
      </c>
      <c r="L2670" s="85">
        <v>2990</v>
      </c>
      <c r="M2670" s="89">
        <v>395.16933711755019</v>
      </c>
      <c r="N2670" s="85">
        <v>0</v>
      </c>
      <c r="O2670" s="85">
        <v>0</v>
      </c>
      <c r="P2670" s="85">
        <v>395.16933711755019</v>
      </c>
      <c r="Q2670" s="85">
        <v>4219.8439927909822</v>
      </c>
      <c r="R2670" s="82" t="s">
        <v>3396</v>
      </c>
      <c r="S2670" s="7">
        <f t="shared" si="124"/>
        <v>0</v>
      </c>
      <c r="T2670" s="6">
        <f t="shared" si="125"/>
        <v>0</v>
      </c>
      <c r="U2670" s="25">
        <f t="shared" si="123"/>
        <v>0</v>
      </c>
    </row>
    <row r="2671" spans="1:21" ht="10.9" customHeight="1" x14ac:dyDescent="0.2">
      <c r="A2671" s="82" t="s">
        <v>3233</v>
      </c>
      <c r="B2671" s="83">
        <v>45985</v>
      </c>
      <c r="C2671" s="82" t="s">
        <v>3395</v>
      </c>
      <c r="D2671" s="82" t="s">
        <v>3415</v>
      </c>
      <c r="E2671" s="82"/>
      <c r="F2671" s="82" t="s">
        <v>4504</v>
      </c>
      <c r="G2671" s="89">
        <v>8</v>
      </c>
      <c r="H2671" s="89">
        <v>290</v>
      </c>
      <c r="I2671" s="85">
        <v>0</v>
      </c>
      <c r="J2671" s="85">
        <v>0</v>
      </c>
      <c r="K2671" s="85">
        <v>2320</v>
      </c>
      <c r="L2671" s="85">
        <v>2990</v>
      </c>
      <c r="M2671" s="89">
        <v>409.28252772889124</v>
      </c>
      <c r="N2671" s="85">
        <v>0</v>
      </c>
      <c r="O2671" s="85">
        <v>0</v>
      </c>
      <c r="P2671" s="85">
        <v>3274.2602218311299</v>
      </c>
      <c r="Q2671" s="85">
        <v>4219.8439927909822</v>
      </c>
      <c r="R2671" s="82" t="s">
        <v>3396</v>
      </c>
      <c r="S2671" s="7">
        <f t="shared" si="124"/>
        <v>0</v>
      </c>
      <c r="T2671" s="6">
        <f t="shared" si="125"/>
        <v>0</v>
      </c>
      <c r="U2671" s="25">
        <f t="shared" si="123"/>
        <v>0</v>
      </c>
    </row>
    <row r="2672" spans="1:21" ht="10.9" customHeight="1" x14ac:dyDescent="0.2">
      <c r="A2672" s="82" t="s">
        <v>3122</v>
      </c>
      <c r="B2672" s="83">
        <v>45985</v>
      </c>
      <c r="C2672" s="82" t="s">
        <v>3395</v>
      </c>
      <c r="D2672" s="82" t="s">
        <v>3407</v>
      </c>
      <c r="E2672" s="82"/>
      <c r="F2672" s="82" t="s">
        <v>4503</v>
      </c>
      <c r="G2672" s="89">
        <v>2</v>
      </c>
      <c r="H2672" s="89">
        <v>15</v>
      </c>
      <c r="I2672" s="85">
        <v>0</v>
      </c>
      <c r="J2672" s="85">
        <v>0</v>
      </c>
      <c r="K2672" s="85">
        <v>30</v>
      </c>
      <c r="L2672" s="85">
        <v>30</v>
      </c>
      <c r="M2672" s="89">
        <v>21.158110326850487</v>
      </c>
      <c r="N2672" s="85">
        <v>0</v>
      </c>
      <c r="O2672" s="85">
        <v>0</v>
      </c>
      <c r="P2672" s="85">
        <v>42.316220653700974</v>
      </c>
      <c r="Q2672" s="85">
        <v>42.316220653700974</v>
      </c>
      <c r="R2672" s="82" t="s">
        <v>3396</v>
      </c>
      <c r="S2672" s="7">
        <f t="shared" si="124"/>
        <v>0</v>
      </c>
      <c r="T2672" s="6">
        <f t="shared" si="125"/>
        <v>0</v>
      </c>
      <c r="U2672" s="25">
        <f t="shared" si="123"/>
        <v>0</v>
      </c>
    </row>
    <row r="2673" spans="1:21" ht="10.9" customHeight="1" x14ac:dyDescent="0.2">
      <c r="A2673" s="82" t="s">
        <v>3366</v>
      </c>
      <c r="B2673" s="83">
        <v>45985</v>
      </c>
      <c r="C2673" s="82" t="s">
        <v>3395</v>
      </c>
      <c r="D2673" s="82" t="s">
        <v>197</v>
      </c>
      <c r="E2673" s="82"/>
      <c r="F2673" s="82" t="s">
        <v>4502</v>
      </c>
      <c r="G2673" s="89">
        <v>2</v>
      </c>
      <c r="H2673" s="89">
        <v>20</v>
      </c>
      <c r="I2673" s="85">
        <v>0</v>
      </c>
      <c r="J2673" s="85">
        <v>0</v>
      </c>
      <c r="K2673" s="85">
        <v>40</v>
      </c>
      <c r="L2673" s="85">
        <v>364</v>
      </c>
      <c r="M2673" s="89">
        <v>28.23299561965073</v>
      </c>
      <c r="N2673" s="85">
        <v>0</v>
      </c>
      <c r="O2673" s="85">
        <v>0</v>
      </c>
      <c r="P2673" s="85">
        <v>56.465991239301459</v>
      </c>
      <c r="Q2673" s="85">
        <v>513.84052027764324</v>
      </c>
      <c r="R2673" s="82" t="s">
        <v>3396</v>
      </c>
      <c r="S2673" s="7">
        <f t="shared" si="124"/>
        <v>0</v>
      </c>
      <c r="T2673" s="6">
        <f t="shared" si="125"/>
        <v>0</v>
      </c>
      <c r="U2673" s="25">
        <f t="shared" si="123"/>
        <v>0</v>
      </c>
    </row>
    <row r="2674" spans="1:21" ht="10.9" customHeight="1" x14ac:dyDescent="0.2">
      <c r="A2674" s="82" t="s">
        <v>3366</v>
      </c>
      <c r="B2674" s="83">
        <v>45985</v>
      </c>
      <c r="C2674" s="82" t="s">
        <v>3395</v>
      </c>
      <c r="D2674" s="82" t="s">
        <v>197</v>
      </c>
      <c r="E2674" s="82"/>
      <c r="F2674" s="82" t="s">
        <v>4501</v>
      </c>
      <c r="G2674" s="89">
        <v>8</v>
      </c>
      <c r="H2674" s="89">
        <v>28</v>
      </c>
      <c r="I2674" s="85">
        <v>0</v>
      </c>
      <c r="J2674" s="85">
        <v>0</v>
      </c>
      <c r="K2674" s="85">
        <v>224</v>
      </c>
      <c r="L2674" s="85">
        <v>364</v>
      </c>
      <c r="M2674" s="89">
        <v>39.526193867511019</v>
      </c>
      <c r="N2674" s="85">
        <v>0</v>
      </c>
      <c r="O2674" s="85">
        <v>0</v>
      </c>
      <c r="P2674" s="85">
        <v>316.20955094008815</v>
      </c>
      <c r="Q2674" s="85">
        <v>513.84052027764324</v>
      </c>
      <c r="R2674" s="82" t="s">
        <v>3396</v>
      </c>
      <c r="S2674" s="7">
        <f t="shared" si="124"/>
        <v>0</v>
      </c>
      <c r="T2674" s="6">
        <f t="shared" si="125"/>
        <v>0</v>
      </c>
      <c r="U2674" s="25">
        <f t="shared" si="123"/>
        <v>0</v>
      </c>
    </row>
    <row r="2675" spans="1:21" ht="10.9" customHeight="1" x14ac:dyDescent="0.2">
      <c r="A2675" s="82" t="s">
        <v>3366</v>
      </c>
      <c r="B2675" s="83">
        <v>45985</v>
      </c>
      <c r="C2675" s="82" t="s">
        <v>3395</v>
      </c>
      <c r="D2675" s="82" t="s">
        <v>197</v>
      </c>
      <c r="E2675" s="82"/>
      <c r="F2675" s="82" t="s">
        <v>4500</v>
      </c>
      <c r="G2675" s="89">
        <v>4</v>
      </c>
      <c r="H2675" s="89">
        <v>25</v>
      </c>
      <c r="I2675" s="85">
        <v>0</v>
      </c>
      <c r="J2675" s="85">
        <v>0</v>
      </c>
      <c r="K2675" s="85">
        <v>100</v>
      </c>
      <c r="L2675" s="85">
        <v>364</v>
      </c>
      <c r="M2675" s="89">
        <v>35.29124452456341</v>
      </c>
      <c r="N2675" s="85">
        <v>0</v>
      </c>
      <c r="O2675" s="85">
        <v>0</v>
      </c>
      <c r="P2675" s="85">
        <v>141.16497809825364</v>
      </c>
      <c r="Q2675" s="85">
        <v>513.84052027764324</v>
      </c>
      <c r="R2675" s="82" t="s">
        <v>3396</v>
      </c>
      <c r="S2675" s="7">
        <f t="shared" si="124"/>
        <v>0</v>
      </c>
      <c r="T2675" s="6">
        <f t="shared" si="125"/>
        <v>0</v>
      </c>
      <c r="U2675" s="25">
        <f t="shared" si="123"/>
        <v>0</v>
      </c>
    </row>
    <row r="2676" spans="1:21" ht="10.9" customHeight="1" x14ac:dyDescent="0.2">
      <c r="A2676" s="82" t="s">
        <v>3405</v>
      </c>
      <c r="B2676" s="83">
        <v>45986</v>
      </c>
      <c r="C2676" s="82" t="s">
        <v>3395</v>
      </c>
      <c r="D2676" s="82" t="s">
        <v>99</v>
      </c>
      <c r="E2676" s="82"/>
      <c r="F2676" s="82" t="s">
        <v>4464</v>
      </c>
      <c r="G2676" s="89">
        <v>1</v>
      </c>
      <c r="H2676" s="89">
        <v>1704</v>
      </c>
      <c r="I2676" s="85">
        <v>0</v>
      </c>
      <c r="J2676" s="85">
        <v>0</v>
      </c>
      <c r="K2676" s="85">
        <v>1704</v>
      </c>
      <c r="L2676" s="85">
        <v>8467</v>
      </c>
      <c r="M2676" s="89">
        <v>2404.4974261717693</v>
      </c>
      <c r="N2676" s="85">
        <v>0</v>
      </c>
      <c r="O2676" s="85">
        <v>0</v>
      </c>
      <c r="P2676" s="85">
        <v>2404.4974261717693</v>
      </c>
      <c r="Q2676" s="85">
        <v>11947.699358800686</v>
      </c>
      <c r="R2676" s="82" t="s">
        <v>3396</v>
      </c>
      <c r="S2676" s="7">
        <f t="shared" si="124"/>
        <v>0</v>
      </c>
      <c r="T2676" s="6">
        <f t="shared" si="125"/>
        <v>0</v>
      </c>
      <c r="U2676" s="25">
        <f t="shared" si="123"/>
        <v>0</v>
      </c>
    </row>
    <row r="2677" spans="1:21" ht="10.9" customHeight="1" x14ac:dyDescent="0.2">
      <c r="A2677" s="82" t="s">
        <v>3405</v>
      </c>
      <c r="B2677" s="83">
        <v>45986</v>
      </c>
      <c r="C2677" s="82" t="s">
        <v>3395</v>
      </c>
      <c r="D2677" s="82" t="s">
        <v>99</v>
      </c>
      <c r="E2677" s="82"/>
      <c r="F2677" s="82" t="s">
        <v>4463</v>
      </c>
      <c r="G2677" s="89">
        <v>1</v>
      </c>
      <c r="H2677" s="89">
        <v>2620</v>
      </c>
      <c r="I2677" s="85">
        <v>0</v>
      </c>
      <c r="J2677" s="85">
        <v>0</v>
      </c>
      <c r="K2677" s="85">
        <v>2620</v>
      </c>
      <c r="L2677" s="85">
        <v>8467</v>
      </c>
      <c r="M2677" s="89">
        <v>3697.0559017429782</v>
      </c>
      <c r="N2677" s="85">
        <v>0</v>
      </c>
      <c r="O2677" s="85">
        <v>0</v>
      </c>
      <c r="P2677" s="85">
        <v>3697.0559017429782</v>
      </c>
      <c r="Q2677" s="85">
        <v>11947.699358800686</v>
      </c>
      <c r="R2677" s="82" t="s">
        <v>3396</v>
      </c>
      <c r="S2677" s="7">
        <f t="shared" si="124"/>
        <v>0</v>
      </c>
      <c r="T2677" s="6">
        <f t="shared" si="125"/>
        <v>0</v>
      </c>
      <c r="U2677" s="25">
        <f t="shared" si="123"/>
        <v>0</v>
      </c>
    </row>
    <row r="2678" spans="1:21" ht="10.9" customHeight="1" x14ac:dyDescent="0.2">
      <c r="A2678" s="82" t="s">
        <v>3405</v>
      </c>
      <c r="B2678" s="83">
        <v>45986</v>
      </c>
      <c r="C2678" s="82" t="s">
        <v>3395</v>
      </c>
      <c r="D2678" s="82" t="s">
        <v>99</v>
      </c>
      <c r="E2678" s="82"/>
      <c r="F2678" s="82" t="s">
        <v>4462</v>
      </c>
      <c r="G2678" s="89">
        <v>1</v>
      </c>
      <c r="H2678" s="89">
        <v>2093</v>
      </c>
      <c r="I2678" s="85">
        <v>0</v>
      </c>
      <c r="J2678" s="85">
        <v>0</v>
      </c>
      <c r="K2678" s="85">
        <v>2093</v>
      </c>
      <c r="L2678" s="85">
        <v>8467</v>
      </c>
      <c r="M2678" s="89">
        <v>2953.4114512778833</v>
      </c>
      <c r="N2678" s="85">
        <v>0</v>
      </c>
      <c r="O2678" s="85">
        <v>0</v>
      </c>
      <c r="P2678" s="85">
        <v>2953.4114512778833</v>
      </c>
      <c r="Q2678" s="85">
        <v>11947.699358800686</v>
      </c>
      <c r="R2678" s="82" t="s">
        <v>3396</v>
      </c>
      <c r="S2678" s="7">
        <f t="shared" si="124"/>
        <v>0</v>
      </c>
      <c r="T2678" s="6">
        <f t="shared" si="125"/>
        <v>0</v>
      </c>
      <c r="U2678" s="25">
        <f t="shared" si="123"/>
        <v>0</v>
      </c>
    </row>
    <row r="2679" spans="1:21" ht="10.9" customHeight="1" x14ac:dyDescent="0.2">
      <c r="A2679" s="82" t="s">
        <v>3405</v>
      </c>
      <c r="B2679" s="83">
        <v>45986</v>
      </c>
      <c r="C2679" s="82" t="s">
        <v>3395</v>
      </c>
      <c r="D2679" s="82" t="s">
        <v>99</v>
      </c>
      <c r="E2679" s="82"/>
      <c r="F2679" s="82" t="s">
        <v>4461</v>
      </c>
      <c r="G2679" s="89">
        <v>1</v>
      </c>
      <c r="H2679" s="89">
        <v>2050</v>
      </c>
      <c r="I2679" s="85">
        <v>0</v>
      </c>
      <c r="J2679" s="85">
        <v>0</v>
      </c>
      <c r="K2679" s="85">
        <v>2050</v>
      </c>
      <c r="L2679" s="85">
        <v>8467</v>
      </c>
      <c r="M2679" s="89">
        <v>2892.7345796080558</v>
      </c>
      <c r="N2679" s="85">
        <v>0</v>
      </c>
      <c r="O2679" s="85">
        <v>0</v>
      </c>
      <c r="P2679" s="85">
        <v>2892.7345796080558</v>
      </c>
      <c r="Q2679" s="85">
        <v>11947.699358800686</v>
      </c>
      <c r="R2679" s="82" t="s">
        <v>3396</v>
      </c>
      <c r="S2679" s="7">
        <f t="shared" si="124"/>
        <v>0</v>
      </c>
      <c r="T2679" s="6">
        <f t="shared" si="125"/>
        <v>0</v>
      </c>
      <c r="U2679" s="25">
        <f t="shared" si="123"/>
        <v>0</v>
      </c>
    </row>
    <row r="2680" spans="1:21" ht="10.9" customHeight="1" x14ac:dyDescent="0.2">
      <c r="A2680" s="82" t="s">
        <v>3354</v>
      </c>
      <c r="B2680" s="83">
        <v>45986</v>
      </c>
      <c r="C2680" s="82" t="s">
        <v>3395</v>
      </c>
      <c r="D2680" s="82" t="s">
        <v>234</v>
      </c>
      <c r="E2680" s="82"/>
      <c r="F2680" s="82" t="s">
        <v>4492</v>
      </c>
      <c r="G2680" s="89">
        <v>1</v>
      </c>
      <c r="H2680" s="89">
        <v>364.98</v>
      </c>
      <c r="I2680" s="85">
        <v>0</v>
      </c>
      <c r="J2680" s="85">
        <v>47.45</v>
      </c>
      <c r="K2680" s="85">
        <v>412.43</v>
      </c>
      <c r="L2680" s="85">
        <v>437.43</v>
      </c>
      <c r="M2680" s="89">
        <v>515.27121692553999</v>
      </c>
      <c r="N2680" s="85">
        <v>0</v>
      </c>
      <c r="O2680" s="85">
        <v>66.98892882655727</v>
      </c>
      <c r="P2680" s="85">
        <v>582.26014575209717</v>
      </c>
      <c r="Q2680" s="85">
        <v>617.55462880086293</v>
      </c>
      <c r="R2680" s="82" t="s">
        <v>3396</v>
      </c>
      <c r="S2680" s="7">
        <f t="shared" si="124"/>
        <v>0</v>
      </c>
      <c r="T2680" s="6">
        <f t="shared" si="125"/>
        <v>0</v>
      </c>
      <c r="U2680" s="25">
        <f t="shared" si="123"/>
        <v>0</v>
      </c>
    </row>
    <row r="2681" spans="1:21" ht="10.9" customHeight="1" x14ac:dyDescent="0.2">
      <c r="A2681" s="82" t="s">
        <v>3354</v>
      </c>
      <c r="B2681" s="83">
        <v>45986</v>
      </c>
      <c r="C2681" s="82" t="s">
        <v>3395</v>
      </c>
      <c r="D2681" s="82" t="s">
        <v>234</v>
      </c>
      <c r="E2681" s="82"/>
      <c r="F2681" s="82" t="s">
        <v>4459</v>
      </c>
      <c r="G2681" s="89">
        <v>1</v>
      </c>
      <c r="H2681" s="89">
        <v>25</v>
      </c>
      <c r="I2681" s="85">
        <v>0</v>
      </c>
      <c r="J2681" s="85">
        <v>0</v>
      </c>
      <c r="K2681" s="85">
        <v>25</v>
      </c>
      <c r="L2681" s="85">
        <v>437.43</v>
      </c>
      <c r="M2681" s="89">
        <v>35.294483048765684</v>
      </c>
      <c r="N2681" s="85">
        <v>0</v>
      </c>
      <c r="O2681" s="85">
        <v>0</v>
      </c>
      <c r="P2681" s="85">
        <v>35.294483048765684</v>
      </c>
      <c r="Q2681" s="85">
        <v>617.55462880086293</v>
      </c>
      <c r="R2681" s="82" t="s">
        <v>3396</v>
      </c>
      <c r="S2681" s="7" t="str">
        <f t="shared" si="124"/>
        <v>INV13676</v>
      </c>
      <c r="T2681" s="6">
        <f t="shared" si="125"/>
        <v>1</v>
      </c>
      <c r="U2681" s="25">
        <f t="shared" si="123"/>
        <v>25</v>
      </c>
    </row>
    <row r="2682" spans="1:21" ht="10.9" customHeight="1" x14ac:dyDescent="0.2">
      <c r="A2682" s="82" t="s">
        <v>3349</v>
      </c>
      <c r="B2682" s="83">
        <v>45986</v>
      </c>
      <c r="C2682" s="82" t="s">
        <v>3395</v>
      </c>
      <c r="D2682" s="82" t="s">
        <v>250</v>
      </c>
      <c r="E2682" s="82"/>
      <c r="F2682" s="82" t="s">
        <v>4460</v>
      </c>
      <c r="G2682" s="89">
        <v>1</v>
      </c>
      <c r="H2682" s="89">
        <v>144.44999999999999</v>
      </c>
      <c r="I2682" s="85">
        <v>0</v>
      </c>
      <c r="J2682" s="85">
        <v>18.78</v>
      </c>
      <c r="K2682" s="85">
        <v>163.22999999999999</v>
      </c>
      <c r="L2682" s="85">
        <v>228.23</v>
      </c>
      <c r="M2682" s="89">
        <v>203.93152305576811</v>
      </c>
      <c r="N2682" s="85">
        <v>0</v>
      </c>
      <c r="O2682" s="85">
        <v>26.513215666232782</v>
      </c>
      <c r="P2682" s="85">
        <v>230.44473872200089</v>
      </c>
      <c r="Q2682" s="85">
        <v>322.21039464879163</v>
      </c>
      <c r="R2682" s="82" t="s">
        <v>3396</v>
      </c>
      <c r="S2682" s="7">
        <f t="shared" si="124"/>
        <v>0</v>
      </c>
      <c r="T2682" s="6">
        <f t="shared" si="125"/>
        <v>0</v>
      </c>
      <c r="U2682" s="25">
        <f t="shared" si="123"/>
        <v>0</v>
      </c>
    </row>
    <row r="2683" spans="1:21" ht="10.9" customHeight="1" x14ac:dyDescent="0.2">
      <c r="A2683" s="82" t="s">
        <v>3349</v>
      </c>
      <c r="B2683" s="83">
        <v>45986</v>
      </c>
      <c r="C2683" s="82" t="s">
        <v>3395</v>
      </c>
      <c r="D2683" s="82" t="s">
        <v>250</v>
      </c>
      <c r="E2683" s="82"/>
      <c r="F2683" s="82" t="s">
        <v>4459</v>
      </c>
      <c r="G2683" s="89">
        <v>1</v>
      </c>
      <c r="H2683" s="89">
        <v>65</v>
      </c>
      <c r="I2683" s="85">
        <v>0</v>
      </c>
      <c r="J2683" s="85">
        <v>0</v>
      </c>
      <c r="K2683" s="85">
        <v>65</v>
      </c>
      <c r="L2683" s="85">
        <v>228.23</v>
      </c>
      <c r="M2683" s="89">
        <v>91.765655926790771</v>
      </c>
      <c r="N2683" s="85">
        <v>0</v>
      </c>
      <c r="O2683" s="85">
        <v>0</v>
      </c>
      <c r="P2683" s="85">
        <v>91.765655926790771</v>
      </c>
      <c r="Q2683" s="85">
        <v>322.21039464879163</v>
      </c>
      <c r="R2683" s="82" t="s">
        <v>3396</v>
      </c>
      <c r="S2683" s="7" t="str">
        <f t="shared" si="124"/>
        <v>INV13677</v>
      </c>
      <c r="T2683" s="6">
        <f t="shared" si="125"/>
        <v>1</v>
      </c>
      <c r="U2683" s="25">
        <f t="shared" si="123"/>
        <v>65</v>
      </c>
    </row>
    <row r="2684" spans="1:21" ht="10.9" customHeight="1" x14ac:dyDescent="0.2">
      <c r="A2684" s="82" t="s">
        <v>3166</v>
      </c>
      <c r="B2684" s="83">
        <v>45986</v>
      </c>
      <c r="C2684" s="82" t="s">
        <v>3395</v>
      </c>
      <c r="D2684" s="82" t="s">
        <v>675</v>
      </c>
      <c r="E2684" s="82"/>
      <c r="F2684" s="82" t="s">
        <v>4491</v>
      </c>
      <c r="G2684" s="89">
        <v>1</v>
      </c>
      <c r="H2684" s="89">
        <v>5302.28</v>
      </c>
      <c r="I2684" s="85">
        <v>0</v>
      </c>
      <c r="J2684" s="85">
        <v>689.3</v>
      </c>
      <c r="K2684" s="85">
        <v>5991.58</v>
      </c>
      <c r="L2684" s="85">
        <v>6504.94</v>
      </c>
      <c r="M2684" s="89">
        <v>7485.649263192372</v>
      </c>
      <c r="N2684" s="85">
        <v>0</v>
      </c>
      <c r="O2684" s="85">
        <v>973.13948662056737</v>
      </c>
      <c r="P2684" s="85">
        <v>8458.7887498129385</v>
      </c>
      <c r="Q2684" s="85">
        <v>9183.5397825295131</v>
      </c>
      <c r="R2684" s="82" t="s">
        <v>3396</v>
      </c>
      <c r="S2684" s="7">
        <f t="shared" si="124"/>
        <v>0</v>
      </c>
      <c r="T2684" s="6">
        <f t="shared" si="125"/>
        <v>0</v>
      </c>
      <c r="U2684" s="25">
        <f t="shared" si="123"/>
        <v>0</v>
      </c>
    </row>
    <row r="2685" spans="1:21" ht="10.9" customHeight="1" x14ac:dyDescent="0.2">
      <c r="A2685" s="82" t="s">
        <v>3166</v>
      </c>
      <c r="B2685" s="83">
        <v>45986</v>
      </c>
      <c r="C2685" s="82" t="s">
        <v>3395</v>
      </c>
      <c r="D2685" s="82" t="s">
        <v>675</v>
      </c>
      <c r="E2685" s="82"/>
      <c r="F2685" s="82" t="s">
        <v>4459</v>
      </c>
      <c r="G2685" s="89">
        <v>1</v>
      </c>
      <c r="H2685" s="89">
        <v>513.36</v>
      </c>
      <c r="I2685" s="85">
        <v>0</v>
      </c>
      <c r="J2685" s="85">
        <v>0</v>
      </c>
      <c r="K2685" s="85">
        <v>513.36</v>
      </c>
      <c r="L2685" s="85">
        <v>6504.94</v>
      </c>
      <c r="M2685" s="89">
        <v>724.75103271657406</v>
      </c>
      <c r="N2685" s="85">
        <v>0</v>
      </c>
      <c r="O2685" s="85">
        <v>0</v>
      </c>
      <c r="P2685" s="85">
        <v>724.75103271657406</v>
      </c>
      <c r="Q2685" s="85">
        <v>9183.5397825295131</v>
      </c>
      <c r="R2685" s="82" t="s">
        <v>3396</v>
      </c>
      <c r="S2685" s="7" t="str">
        <f t="shared" si="124"/>
        <v>INV13678</v>
      </c>
      <c r="T2685" s="6">
        <f t="shared" si="125"/>
        <v>1</v>
      </c>
      <c r="U2685" s="25">
        <f t="shared" si="123"/>
        <v>513.36</v>
      </c>
    </row>
    <row r="2686" spans="1:21" ht="10.9" customHeight="1" x14ac:dyDescent="0.2">
      <c r="A2686" s="82" t="s">
        <v>3375</v>
      </c>
      <c r="B2686" s="83">
        <v>45986</v>
      </c>
      <c r="C2686" s="82" t="s">
        <v>3395</v>
      </c>
      <c r="D2686" s="82" t="s">
        <v>3408</v>
      </c>
      <c r="E2686" s="82"/>
      <c r="F2686" s="82" t="s">
        <v>4447</v>
      </c>
      <c r="G2686" s="89">
        <v>1</v>
      </c>
      <c r="H2686" s="89">
        <v>25.68</v>
      </c>
      <c r="I2686" s="85">
        <v>25.68</v>
      </c>
      <c r="J2686" s="85">
        <v>0</v>
      </c>
      <c r="K2686" s="85">
        <v>0</v>
      </c>
      <c r="L2686" s="85">
        <v>0</v>
      </c>
      <c r="M2686" s="89">
        <v>36.191340573480538</v>
      </c>
      <c r="N2686" s="85">
        <v>36.191340573480538</v>
      </c>
      <c r="O2686" s="85">
        <v>0</v>
      </c>
      <c r="P2686" s="85">
        <v>0</v>
      </c>
      <c r="Q2686" s="85">
        <v>0</v>
      </c>
      <c r="R2686" s="82" t="s">
        <v>3399</v>
      </c>
      <c r="S2686" s="7">
        <f t="shared" si="124"/>
        <v>0</v>
      </c>
      <c r="T2686" s="6">
        <f t="shared" si="125"/>
        <v>0</v>
      </c>
      <c r="U2686" s="25">
        <f t="shared" si="123"/>
        <v>0</v>
      </c>
    </row>
    <row r="2687" spans="1:21" ht="10.9" customHeight="1" x14ac:dyDescent="0.2">
      <c r="A2687" s="82" t="s">
        <v>3385</v>
      </c>
      <c r="B2687" s="83">
        <v>45986</v>
      </c>
      <c r="C2687" s="82" t="s">
        <v>3395</v>
      </c>
      <c r="D2687" s="82" t="s">
        <v>108</v>
      </c>
      <c r="E2687" s="82"/>
      <c r="F2687" s="82" t="s">
        <v>4458</v>
      </c>
      <c r="G2687" s="89">
        <v>2</v>
      </c>
      <c r="H2687" s="89">
        <v>2768.3</v>
      </c>
      <c r="I2687" s="85">
        <v>0</v>
      </c>
      <c r="J2687" s="85">
        <v>0</v>
      </c>
      <c r="K2687" s="85">
        <v>5536.6</v>
      </c>
      <c r="L2687" s="85">
        <v>6200.6</v>
      </c>
      <c r="M2687" s="89">
        <v>3901.4208765407393</v>
      </c>
      <c r="N2687" s="85">
        <v>0</v>
      </c>
      <c r="O2687" s="85">
        <v>0</v>
      </c>
      <c r="P2687" s="85">
        <v>7802.8417530814786</v>
      </c>
      <c r="Q2687" s="85">
        <v>8738.6303099658671</v>
      </c>
      <c r="R2687" s="82" t="s">
        <v>3399</v>
      </c>
      <c r="S2687" s="7">
        <f t="shared" si="124"/>
        <v>0</v>
      </c>
      <c r="T2687" s="6">
        <f t="shared" si="125"/>
        <v>0</v>
      </c>
      <c r="U2687" s="25">
        <f t="shared" si="123"/>
        <v>0</v>
      </c>
    </row>
    <row r="2688" spans="1:21" ht="10.9" customHeight="1" x14ac:dyDescent="0.2">
      <c r="A2688" s="82" t="s">
        <v>3385</v>
      </c>
      <c r="B2688" s="83">
        <v>45986</v>
      </c>
      <c r="C2688" s="82" t="s">
        <v>3395</v>
      </c>
      <c r="D2688" s="82" t="s">
        <v>108</v>
      </c>
      <c r="E2688" s="82"/>
      <c r="F2688" s="82" t="s">
        <v>4393</v>
      </c>
      <c r="G2688" s="89">
        <v>1</v>
      </c>
      <c r="H2688" s="89">
        <v>664</v>
      </c>
      <c r="I2688" s="85">
        <v>0</v>
      </c>
      <c r="J2688" s="85">
        <v>0</v>
      </c>
      <c r="K2688" s="85">
        <v>664</v>
      </c>
      <c r="L2688" s="85">
        <v>6200.6</v>
      </c>
      <c r="M2688" s="89">
        <v>935.78855688438784</v>
      </c>
      <c r="N2688" s="85">
        <v>0</v>
      </c>
      <c r="O2688" s="85">
        <v>0</v>
      </c>
      <c r="P2688" s="85">
        <v>935.78855688438784</v>
      </c>
      <c r="Q2688" s="85">
        <v>8738.6303099658671</v>
      </c>
      <c r="R2688" s="82" t="s">
        <v>3399</v>
      </c>
      <c r="S2688" s="7" t="str">
        <f t="shared" si="124"/>
        <v>INV13680</v>
      </c>
      <c r="T2688" s="6">
        <f t="shared" si="125"/>
        <v>1</v>
      </c>
      <c r="U2688" s="25">
        <f t="shared" si="123"/>
        <v>664</v>
      </c>
    </row>
    <row r="2689" spans="1:21" ht="10.9" customHeight="1" x14ac:dyDescent="0.2">
      <c r="A2689" s="82" t="s">
        <v>2978</v>
      </c>
      <c r="B2689" s="83">
        <v>45986</v>
      </c>
      <c r="C2689" s="82" t="s">
        <v>3395</v>
      </c>
      <c r="D2689" s="82" t="s">
        <v>1034</v>
      </c>
      <c r="E2689" s="82"/>
      <c r="F2689" s="82" t="s">
        <v>4457</v>
      </c>
      <c r="G2689" s="89">
        <v>1</v>
      </c>
      <c r="H2689" s="89">
        <v>1743.73</v>
      </c>
      <c r="I2689" s="85">
        <v>0</v>
      </c>
      <c r="J2689" s="85">
        <v>0</v>
      </c>
      <c r="K2689" s="85">
        <v>1743.73</v>
      </c>
      <c r="L2689" s="85">
        <v>1743.73</v>
      </c>
      <c r="M2689" s="89">
        <v>2457.4737655060444</v>
      </c>
      <c r="N2689" s="85">
        <v>0</v>
      </c>
      <c r="O2689" s="85">
        <v>0</v>
      </c>
      <c r="P2689" s="85">
        <v>2457.4737655060444</v>
      </c>
      <c r="Q2689" s="85">
        <v>2457.4737655060444</v>
      </c>
      <c r="R2689" s="82" t="s">
        <v>3399</v>
      </c>
      <c r="S2689" s="7">
        <f t="shared" si="124"/>
        <v>0</v>
      </c>
      <c r="T2689" s="6">
        <f t="shared" si="125"/>
        <v>0</v>
      </c>
      <c r="U2689" s="25">
        <f t="shared" si="123"/>
        <v>0</v>
      </c>
    </row>
    <row r="2690" spans="1:21" ht="10.9" customHeight="1" x14ac:dyDescent="0.2">
      <c r="A2690" s="82" t="s">
        <v>2969</v>
      </c>
      <c r="B2690" s="83">
        <v>45986</v>
      </c>
      <c r="C2690" s="82" t="s">
        <v>3395</v>
      </c>
      <c r="D2690" s="82" t="s">
        <v>3411</v>
      </c>
      <c r="E2690" s="82"/>
      <c r="F2690" s="82" t="s">
        <v>4490</v>
      </c>
      <c r="G2690" s="89">
        <v>1</v>
      </c>
      <c r="H2690" s="89">
        <v>4213</v>
      </c>
      <c r="I2690" s="85">
        <v>0</v>
      </c>
      <c r="J2690" s="85">
        <v>0</v>
      </c>
      <c r="K2690" s="85">
        <v>4213</v>
      </c>
      <c r="L2690" s="85">
        <v>11042</v>
      </c>
      <c r="M2690" s="89">
        <v>5938.3527660630116</v>
      </c>
      <c r="N2690" s="85">
        <v>0</v>
      </c>
      <c r="O2690" s="85">
        <v>0</v>
      </c>
      <c r="P2690" s="85">
        <v>5938.3527660630116</v>
      </c>
      <c r="Q2690" s="85">
        <v>15564.037797974786</v>
      </c>
      <c r="R2690" s="82" t="s">
        <v>3396</v>
      </c>
      <c r="S2690" s="7">
        <f t="shared" si="124"/>
        <v>0</v>
      </c>
      <c r="T2690" s="6">
        <f t="shared" si="125"/>
        <v>0</v>
      </c>
      <c r="U2690" s="25">
        <f t="shared" ref="U2690:U2753" si="126">IF(T2690=1,K2690-J2690,0)</f>
        <v>0</v>
      </c>
    </row>
    <row r="2691" spans="1:21" ht="10.9" customHeight="1" x14ac:dyDescent="0.2">
      <c r="A2691" s="82" t="s">
        <v>2969</v>
      </c>
      <c r="B2691" s="83">
        <v>45986</v>
      </c>
      <c r="C2691" s="82" t="s">
        <v>3395</v>
      </c>
      <c r="D2691" s="82" t="s">
        <v>3411</v>
      </c>
      <c r="E2691" s="82"/>
      <c r="F2691" s="82" t="s">
        <v>4489</v>
      </c>
      <c r="G2691" s="89">
        <v>1</v>
      </c>
      <c r="H2691" s="89">
        <v>2230</v>
      </c>
      <c r="I2691" s="85">
        <v>0</v>
      </c>
      <c r="J2691" s="85">
        <v>0</v>
      </c>
      <c r="K2691" s="85">
        <v>2230</v>
      </c>
      <c r="L2691" s="85">
        <v>11042</v>
      </c>
      <c r="M2691" s="89">
        <v>3143.2534223404973</v>
      </c>
      <c r="N2691" s="85">
        <v>0</v>
      </c>
      <c r="O2691" s="85">
        <v>0</v>
      </c>
      <c r="P2691" s="85">
        <v>3143.2534223404973</v>
      </c>
      <c r="Q2691" s="85">
        <v>15564.037797974786</v>
      </c>
      <c r="R2691" s="82" t="s">
        <v>3396</v>
      </c>
      <c r="S2691" s="7">
        <f t="shared" ref="S2691:S2754" si="127">IF(T2691=1,A2691,0)</f>
        <v>0</v>
      </c>
      <c r="T2691" s="6">
        <f t="shared" ref="T2691:T2754" si="128">IFERROR(FIND("Freight",F2691,1),0)</f>
        <v>0</v>
      </c>
      <c r="U2691" s="25">
        <f t="shared" si="126"/>
        <v>0</v>
      </c>
    </row>
    <row r="2692" spans="1:21" ht="10.9" customHeight="1" x14ac:dyDescent="0.2">
      <c r="A2692" s="82" t="s">
        <v>2969</v>
      </c>
      <c r="B2692" s="83">
        <v>45986</v>
      </c>
      <c r="C2692" s="82" t="s">
        <v>3395</v>
      </c>
      <c r="D2692" s="82" t="s">
        <v>3411</v>
      </c>
      <c r="E2692" s="82"/>
      <c r="F2692" s="82" t="s">
        <v>4488</v>
      </c>
      <c r="G2692" s="89">
        <v>2</v>
      </c>
      <c r="H2692" s="89">
        <v>561</v>
      </c>
      <c r="I2692" s="85">
        <v>0</v>
      </c>
      <c r="J2692" s="85">
        <v>0</v>
      </c>
      <c r="K2692" s="85">
        <v>1122</v>
      </c>
      <c r="L2692" s="85">
        <v>11042</v>
      </c>
      <c r="M2692" s="89">
        <v>790.74671297444797</v>
      </c>
      <c r="N2692" s="85">
        <v>0</v>
      </c>
      <c r="O2692" s="85">
        <v>0</v>
      </c>
      <c r="P2692" s="85">
        <v>1581.4934259488959</v>
      </c>
      <c r="Q2692" s="85">
        <v>15564.037797974786</v>
      </c>
      <c r="R2692" s="82" t="s">
        <v>3396</v>
      </c>
      <c r="S2692" s="7">
        <f t="shared" si="127"/>
        <v>0</v>
      </c>
      <c r="T2692" s="6">
        <f t="shared" si="128"/>
        <v>0</v>
      </c>
      <c r="U2692" s="25">
        <f t="shared" si="126"/>
        <v>0</v>
      </c>
    </row>
    <row r="2693" spans="1:21" ht="10.9" customHeight="1" x14ac:dyDescent="0.2">
      <c r="A2693" s="82" t="s">
        <v>2969</v>
      </c>
      <c r="B2693" s="83">
        <v>45986</v>
      </c>
      <c r="C2693" s="82" t="s">
        <v>3395</v>
      </c>
      <c r="D2693" s="82" t="s">
        <v>3411</v>
      </c>
      <c r="E2693" s="82"/>
      <c r="F2693" s="82" t="s">
        <v>4487</v>
      </c>
      <c r="G2693" s="89">
        <v>2</v>
      </c>
      <c r="H2693" s="89">
        <v>465</v>
      </c>
      <c r="I2693" s="85">
        <v>0</v>
      </c>
      <c r="J2693" s="85">
        <v>0</v>
      </c>
      <c r="K2693" s="85">
        <v>930</v>
      </c>
      <c r="L2693" s="85">
        <v>11042</v>
      </c>
      <c r="M2693" s="89">
        <v>655.43176743871356</v>
      </c>
      <c r="N2693" s="85">
        <v>0</v>
      </c>
      <c r="O2693" s="85">
        <v>0</v>
      </c>
      <c r="P2693" s="85">
        <v>1310.8635348774271</v>
      </c>
      <c r="Q2693" s="85">
        <v>15564.037797974786</v>
      </c>
      <c r="R2693" s="82" t="s">
        <v>3396</v>
      </c>
      <c r="S2693" s="7">
        <f t="shared" si="127"/>
        <v>0</v>
      </c>
      <c r="T2693" s="6">
        <f t="shared" si="128"/>
        <v>0</v>
      </c>
      <c r="U2693" s="25">
        <f t="shared" si="126"/>
        <v>0</v>
      </c>
    </row>
    <row r="2694" spans="1:21" ht="10.9" customHeight="1" x14ac:dyDescent="0.2">
      <c r="A2694" s="82" t="s">
        <v>2969</v>
      </c>
      <c r="B2694" s="83">
        <v>45986</v>
      </c>
      <c r="C2694" s="82" t="s">
        <v>3395</v>
      </c>
      <c r="D2694" s="82" t="s">
        <v>3411</v>
      </c>
      <c r="E2694" s="82"/>
      <c r="F2694" s="82" t="s">
        <v>4486</v>
      </c>
      <c r="G2694" s="89">
        <v>2</v>
      </c>
      <c r="H2694" s="89">
        <v>162</v>
      </c>
      <c r="I2694" s="85">
        <v>0</v>
      </c>
      <c r="J2694" s="85">
        <v>0</v>
      </c>
      <c r="K2694" s="85">
        <v>324</v>
      </c>
      <c r="L2694" s="85">
        <v>11042</v>
      </c>
      <c r="M2694" s="89">
        <v>228.34397059155182</v>
      </c>
      <c r="N2694" s="85">
        <v>0</v>
      </c>
      <c r="O2694" s="85">
        <v>0</v>
      </c>
      <c r="P2694" s="85">
        <v>456.68794118310365</v>
      </c>
      <c r="Q2694" s="85">
        <v>15564.037797974786</v>
      </c>
      <c r="R2694" s="82" t="s">
        <v>3396</v>
      </c>
      <c r="S2694" s="7">
        <f t="shared" si="127"/>
        <v>0</v>
      </c>
      <c r="T2694" s="6">
        <f t="shared" si="128"/>
        <v>0</v>
      </c>
      <c r="U2694" s="25">
        <f t="shared" si="126"/>
        <v>0</v>
      </c>
    </row>
    <row r="2695" spans="1:21" ht="10.9" customHeight="1" x14ac:dyDescent="0.2">
      <c r="A2695" s="82" t="s">
        <v>2969</v>
      </c>
      <c r="B2695" s="83">
        <v>45986</v>
      </c>
      <c r="C2695" s="82" t="s">
        <v>3395</v>
      </c>
      <c r="D2695" s="82" t="s">
        <v>3411</v>
      </c>
      <c r="E2695" s="82"/>
      <c r="F2695" s="82" t="s">
        <v>4485</v>
      </c>
      <c r="G2695" s="89">
        <v>1</v>
      </c>
      <c r="H2695" s="89">
        <v>188</v>
      </c>
      <c r="I2695" s="85">
        <v>0</v>
      </c>
      <c r="J2695" s="85">
        <v>0</v>
      </c>
      <c r="K2695" s="85">
        <v>188</v>
      </c>
      <c r="L2695" s="85">
        <v>11042</v>
      </c>
      <c r="M2695" s="89">
        <v>264.99176834081322</v>
      </c>
      <c r="N2695" s="85">
        <v>0</v>
      </c>
      <c r="O2695" s="85">
        <v>0</v>
      </c>
      <c r="P2695" s="85">
        <v>264.99176834081322</v>
      </c>
      <c r="Q2695" s="85">
        <v>15564.037797974786</v>
      </c>
      <c r="R2695" s="82" t="s">
        <v>3396</v>
      </c>
      <c r="S2695" s="7">
        <f t="shared" si="127"/>
        <v>0</v>
      </c>
      <c r="T2695" s="6">
        <f t="shared" si="128"/>
        <v>0</v>
      </c>
      <c r="U2695" s="25">
        <f t="shared" si="126"/>
        <v>0</v>
      </c>
    </row>
    <row r="2696" spans="1:21" ht="10.9" customHeight="1" x14ac:dyDescent="0.2">
      <c r="A2696" s="82" t="s">
        <v>2969</v>
      </c>
      <c r="B2696" s="83">
        <v>45986</v>
      </c>
      <c r="C2696" s="82" t="s">
        <v>3395</v>
      </c>
      <c r="D2696" s="82" t="s">
        <v>3411</v>
      </c>
      <c r="E2696" s="82"/>
      <c r="F2696" s="82" t="s">
        <v>4484</v>
      </c>
      <c r="G2696" s="89">
        <v>1</v>
      </c>
      <c r="H2696" s="89">
        <v>188</v>
      </c>
      <c r="I2696" s="85">
        <v>0</v>
      </c>
      <c r="J2696" s="85">
        <v>0</v>
      </c>
      <c r="K2696" s="85">
        <v>188</v>
      </c>
      <c r="L2696" s="85">
        <v>11042</v>
      </c>
      <c r="M2696" s="89">
        <v>264.99176834081322</v>
      </c>
      <c r="N2696" s="85">
        <v>0</v>
      </c>
      <c r="O2696" s="85">
        <v>0</v>
      </c>
      <c r="P2696" s="85">
        <v>264.99176834081322</v>
      </c>
      <c r="Q2696" s="85">
        <v>15564.037797974786</v>
      </c>
      <c r="R2696" s="82" t="s">
        <v>3396</v>
      </c>
      <c r="S2696" s="7">
        <f t="shared" si="127"/>
        <v>0</v>
      </c>
      <c r="T2696" s="6">
        <f t="shared" si="128"/>
        <v>0</v>
      </c>
      <c r="U2696" s="25">
        <f t="shared" si="126"/>
        <v>0</v>
      </c>
    </row>
    <row r="2697" spans="1:21" ht="10.9" customHeight="1" x14ac:dyDescent="0.2">
      <c r="A2697" s="82" t="s">
        <v>2969</v>
      </c>
      <c r="B2697" s="83">
        <v>45986</v>
      </c>
      <c r="C2697" s="82" t="s">
        <v>3395</v>
      </c>
      <c r="D2697" s="82" t="s">
        <v>3411</v>
      </c>
      <c r="E2697" s="82"/>
      <c r="F2697" s="82" t="s">
        <v>4483</v>
      </c>
      <c r="G2697" s="89">
        <v>2</v>
      </c>
      <c r="H2697" s="89">
        <v>135</v>
      </c>
      <c r="I2697" s="85">
        <v>0</v>
      </c>
      <c r="J2697" s="85">
        <v>0</v>
      </c>
      <c r="K2697" s="85">
        <v>270</v>
      </c>
      <c r="L2697" s="85">
        <v>11042</v>
      </c>
      <c r="M2697" s="89">
        <v>190.28664215962652</v>
      </c>
      <c r="N2697" s="85">
        <v>0</v>
      </c>
      <c r="O2697" s="85">
        <v>0</v>
      </c>
      <c r="P2697" s="85">
        <v>380.57328431925305</v>
      </c>
      <c r="Q2697" s="85">
        <v>15564.037797974786</v>
      </c>
      <c r="R2697" s="82" t="s">
        <v>3396</v>
      </c>
      <c r="S2697" s="7">
        <f t="shared" si="127"/>
        <v>0</v>
      </c>
      <c r="T2697" s="6">
        <f t="shared" si="128"/>
        <v>0</v>
      </c>
      <c r="U2697" s="25">
        <f t="shared" si="126"/>
        <v>0</v>
      </c>
    </row>
    <row r="2698" spans="1:21" ht="10.9" customHeight="1" x14ac:dyDescent="0.2">
      <c r="A2698" s="82" t="s">
        <v>2969</v>
      </c>
      <c r="B2698" s="83">
        <v>45986</v>
      </c>
      <c r="C2698" s="82" t="s">
        <v>3395</v>
      </c>
      <c r="D2698" s="82" t="s">
        <v>3411</v>
      </c>
      <c r="E2698" s="82"/>
      <c r="F2698" s="82" t="s">
        <v>4482</v>
      </c>
      <c r="G2698" s="89">
        <v>2</v>
      </c>
      <c r="H2698" s="89">
        <v>83</v>
      </c>
      <c r="I2698" s="85">
        <v>0</v>
      </c>
      <c r="J2698" s="85">
        <v>0</v>
      </c>
      <c r="K2698" s="85">
        <v>166</v>
      </c>
      <c r="L2698" s="85">
        <v>11042</v>
      </c>
      <c r="M2698" s="89">
        <v>116.99104666110372</v>
      </c>
      <c r="N2698" s="85">
        <v>0</v>
      </c>
      <c r="O2698" s="85">
        <v>0</v>
      </c>
      <c r="P2698" s="85">
        <v>233.98209332220745</v>
      </c>
      <c r="Q2698" s="85">
        <v>15564.037797974786</v>
      </c>
      <c r="R2698" s="82" t="s">
        <v>3396</v>
      </c>
      <c r="S2698" s="7">
        <f t="shared" si="127"/>
        <v>0</v>
      </c>
      <c r="T2698" s="6">
        <f t="shared" si="128"/>
        <v>0</v>
      </c>
      <c r="U2698" s="25">
        <f t="shared" si="126"/>
        <v>0</v>
      </c>
    </row>
    <row r="2699" spans="1:21" ht="10.9" customHeight="1" x14ac:dyDescent="0.2">
      <c r="A2699" s="82" t="s">
        <v>2969</v>
      </c>
      <c r="B2699" s="83">
        <v>45986</v>
      </c>
      <c r="C2699" s="82" t="s">
        <v>3395</v>
      </c>
      <c r="D2699" s="82" t="s">
        <v>3411</v>
      </c>
      <c r="E2699" s="82"/>
      <c r="F2699" s="82" t="s">
        <v>4481</v>
      </c>
      <c r="G2699" s="89">
        <v>1</v>
      </c>
      <c r="H2699" s="89">
        <v>12</v>
      </c>
      <c r="I2699" s="85">
        <v>0</v>
      </c>
      <c r="J2699" s="85">
        <v>0</v>
      </c>
      <c r="K2699" s="85">
        <v>12</v>
      </c>
      <c r="L2699" s="85">
        <v>11042</v>
      </c>
      <c r="M2699" s="89">
        <v>16.914368191966801</v>
      </c>
      <c r="N2699" s="85">
        <v>0</v>
      </c>
      <c r="O2699" s="85">
        <v>0</v>
      </c>
      <c r="P2699" s="85">
        <v>16.914368191966801</v>
      </c>
      <c r="Q2699" s="85">
        <v>15564.037797974786</v>
      </c>
      <c r="R2699" s="82" t="s">
        <v>3396</v>
      </c>
      <c r="S2699" s="7">
        <f t="shared" si="127"/>
        <v>0</v>
      </c>
      <c r="T2699" s="6">
        <f t="shared" si="128"/>
        <v>0</v>
      </c>
      <c r="U2699" s="25">
        <f t="shared" si="126"/>
        <v>0</v>
      </c>
    </row>
    <row r="2700" spans="1:21" ht="10.9" customHeight="1" x14ac:dyDescent="0.2">
      <c r="A2700" s="82" t="s">
        <v>2969</v>
      </c>
      <c r="B2700" s="83">
        <v>45986</v>
      </c>
      <c r="C2700" s="82" t="s">
        <v>3395</v>
      </c>
      <c r="D2700" s="82" t="s">
        <v>3411</v>
      </c>
      <c r="E2700" s="82"/>
      <c r="F2700" s="82" t="s">
        <v>4480</v>
      </c>
      <c r="G2700" s="89">
        <v>8</v>
      </c>
      <c r="H2700" s="89">
        <v>2.5</v>
      </c>
      <c r="I2700" s="85">
        <v>0</v>
      </c>
      <c r="J2700" s="85">
        <v>0</v>
      </c>
      <c r="K2700" s="85">
        <v>20</v>
      </c>
      <c r="L2700" s="85">
        <v>11042</v>
      </c>
      <c r="M2700" s="89">
        <v>3.5238267066597504</v>
      </c>
      <c r="N2700" s="85">
        <v>0</v>
      </c>
      <c r="O2700" s="85">
        <v>0</v>
      </c>
      <c r="P2700" s="85">
        <v>28.190613653278003</v>
      </c>
      <c r="Q2700" s="85">
        <v>15564.037797974786</v>
      </c>
      <c r="R2700" s="82" t="s">
        <v>3396</v>
      </c>
      <c r="S2700" s="7">
        <f t="shared" si="127"/>
        <v>0</v>
      </c>
      <c r="T2700" s="6">
        <f t="shared" si="128"/>
        <v>0</v>
      </c>
      <c r="U2700" s="25">
        <f t="shared" si="126"/>
        <v>0</v>
      </c>
    </row>
    <row r="2701" spans="1:21" ht="10.9" customHeight="1" x14ac:dyDescent="0.2">
      <c r="A2701" s="82" t="s">
        <v>2969</v>
      </c>
      <c r="B2701" s="83">
        <v>45986</v>
      </c>
      <c r="C2701" s="82" t="s">
        <v>3395</v>
      </c>
      <c r="D2701" s="82" t="s">
        <v>3411</v>
      </c>
      <c r="E2701" s="82"/>
      <c r="F2701" s="82" t="s">
        <v>4479</v>
      </c>
      <c r="G2701" s="89">
        <v>16</v>
      </c>
      <c r="H2701" s="89">
        <v>3</v>
      </c>
      <c r="I2701" s="85">
        <v>0</v>
      </c>
      <c r="J2701" s="85">
        <v>0</v>
      </c>
      <c r="K2701" s="85">
        <v>48</v>
      </c>
      <c r="L2701" s="85">
        <v>11042</v>
      </c>
      <c r="M2701" s="89">
        <v>4.2285920479917003</v>
      </c>
      <c r="N2701" s="85">
        <v>0</v>
      </c>
      <c r="O2701" s="85">
        <v>0</v>
      </c>
      <c r="P2701" s="85">
        <v>67.657472767867205</v>
      </c>
      <c r="Q2701" s="85">
        <v>15564.037797974786</v>
      </c>
      <c r="R2701" s="82" t="s">
        <v>3396</v>
      </c>
      <c r="S2701" s="7">
        <f t="shared" si="127"/>
        <v>0</v>
      </c>
      <c r="T2701" s="6">
        <f t="shared" si="128"/>
        <v>0</v>
      </c>
      <c r="U2701" s="25">
        <f t="shared" si="126"/>
        <v>0</v>
      </c>
    </row>
    <row r="2702" spans="1:21" ht="10.9" customHeight="1" x14ac:dyDescent="0.2">
      <c r="A2702" s="82" t="s">
        <v>2969</v>
      </c>
      <c r="B2702" s="83">
        <v>45986</v>
      </c>
      <c r="C2702" s="82" t="s">
        <v>3395</v>
      </c>
      <c r="D2702" s="82" t="s">
        <v>3411</v>
      </c>
      <c r="E2702" s="82"/>
      <c r="F2702" s="82" t="s">
        <v>4478</v>
      </c>
      <c r="G2702" s="89">
        <v>6</v>
      </c>
      <c r="H2702" s="89">
        <v>15</v>
      </c>
      <c r="I2702" s="85">
        <v>0</v>
      </c>
      <c r="J2702" s="85">
        <v>0</v>
      </c>
      <c r="K2702" s="85">
        <v>90</v>
      </c>
      <c r="L2702" s="85">
        <v>11042</v>
      </c>
      <c r="M2702" s="89">
        <v>21.142960239958505</v>
      </c>
      <c r="N2702" s="85">
        <v>0</v>
      </c>
      <c r="O2702" s="85">
        <v>0</v>
      </c>
      <c r="P2702" s="85">
        <v>126.85776143975102</v>
      </c>
      <c r="Q2702" s="85">
        <v>15564.037797974786</v>
      </c>
      <c r="R2702" s="82" t="s">
        <v>3396</v>
      </c>
      <c r="S2702" s="7">
        <f t="shared" si="127"/>
        <v>0</v>
      </c>
      <c r="T2702" s="6">
        <f t="shared" si="128"/>
        <v>0</v>
      </c>
      <c r="U2702" s="25">
        <f t="shared" si="126"/>
        <v>0</v>
      </c>
    </row>
    <row r="2703" spans="1:21" ht="10.9" customHeight="1" x14ac:dyDescent="0.2">
      <c r="A2703" s="82" t="s">
        <v>2969</v>
      </c>
      <c r="B2703" s="83">
        <v>45986</v>
      </c>
      <c r="C2703" s="82" t="s">
        <v>3395</v>
      </c>
      <c r="D2703" s="82" t="s">
        <v>3411</v>
      </c>
      <c r="E2703" s="82"/>
      <c r="F2703" s="82" t="s">
        <v>4477</v>
      </c>
      <c r="G2703" s="89">
        <v>8</v>
      </c>
      <c r="H2703" s="89">
        <v>13</v>
      </c>
      <c r="I2703" s="85">
        <v>0</v>
      </c>
      <c r="J2703" s="85">
        <v>0</v>
      </c>
      <c r="K2703" s="85">
        <v>104</v>
      </c>
      <c r="L2703" s="85">
        <v>11042</v>
      </c>
      <c r="M2703" s="89">
        <v>18.323898874630704</v>
      </c>
      <c r="N2703" s="85">
        <v>0</v>
      </c>
      <c r="O2703" s="85">
        <v>0</v>
      </c>
      <c r="P2703" s="85">
        <v>146.59119099704563</v>
      </c>
      <c r="Q2703" s="85">
        <v>15564.037797974786</v>
      </c>
      <c r="R2703" s="82" t="s">
        <v>3396</v>
      </c>
      <c r="S2703" s="7">
        <f t="shared" si="127"/>
        <v>0</v>
      </c>
      <c r="T2703" s="6">
        <f t="shared" si="128"/>
        <v>0</v>
      </c>
      <c r="U2703" s="25">
        <f t="shared" si="126"/>
        <v>0</v>
      </c>
    </row>
    <row r="2704" spans="1:21" ht="10.9" customHeight="1" x14ac:dyDescent="0.2">
      <c r="A2704" s="82" t="s">
        <v>2969</v>
      </c>
      <c r="B2704" s="83">
        <v>45986</v>
      </c>
      <c r="C2704" s="82" t="s">
        <v>3395</v>
      </c>
      <c r="D2704" s="82" t="s">
        <v>3411</v>
      </c>
      <c r="E2704" s="82"/>
      <c r="F2704" s="82" t="s">
        <v>4476</v>
      </c>
      <c r="G2704" s="89">
        <v>1</v>
      </c>
      <c r="H2704" s="89">
        <v>162</v>
      </c>
      <c r="I2704" s="85">
        <v>0</v>
      </c>
      <c r="J2704" s="85">
        <v>0</v>
      </c>
      <c r="K2704" s="85">
        <v>162</v>
      </c>
      <c r="L2704" s="85">
        <v>11042</v>
      </c>
      <c r="M2704" s="89">
        <v>228.34397059155182</v>
      </c>
      <c r="N2704" s="85">
        <v>0</v>
      </c>
      <c r="O2704" s="85">
        <v>0</v>
      </c>
      <c r="P2704" s="85">
        <v>228.34397059155182</v>
      </c>
      <c r="Q2704" s="85">
        <v>15564.037797974786</v>
      </c>
      <c r="R2704" s="82" t="s">
        <v>3396</v>
      </c>
      <c r="S2704" s="7">
        <f t="shared" si="127"/>
        <v>0</v>
      </c>
      <c r="T2704" s="6">
        <f t="shared" si="128"/>
        <v>0</v>
      </c>
      <c r="U2704" s="25">
        <f t="shared" si="126"/>
        <v>0</v>
      </c>
    </row>
    <row r="2705" spans="1:21" ht="10.9" customHeight="1" x14ac:dyDescent="0.2">
      <c r="A2705" s="82" t="s">
        <v>2969</v>
      </c>
      <c r="B2705" s="83">
        <v>45986</v>
      </c>
      <c r="C2705" s="82" t="s">
        <v>3395</v>
      </c>
      <c r="D2705" s="82" t="s">
        <v>3411</v>
      </c>
      <c r="E2705" s="82"/>
      <c r="F2705" s="82" t="s">
        <v>4475</v>
      </c>
      <c r="G2705" s="89">
        <v>1</v>
      </c>
      <c r="H2705" s="89">
        <v>58</v>
      </c>
      <c r="I2705" s="85">
        <v>0</v>
      </c>
      <c r="J2705" s="85">
        <v>0</v>
      </c>
      <c r="K2705" s="85">
        <v>58</v>
      </c>
      <c r="L2705" s="85">
        <v>11042</v>
      </c>
      <c r="M2705" s="89">
        <v>81.752779594506208</v>
      </c>
      <c r="N2705" s="85">
        <v>0</v>
      </c>
      <c r="O2705" s="85">
        <v>0</v>
      </c>
      <c r="P2705" s="85">
        <v>81.752779594506208</v>
      </c>
      <c r="Q2705" s="85">
        <v>15564.037797974786</v>
      </c>
      <c r="R2705" s="82" t="s">
        <v>3396</v>
      </c>
      <c r="S2705" s="7">
        <f t="shared" si="127"/>
        <v>0</v>
      </c>
      <c r="T2705" s="6">
        <f t="shared" si="128"/>
        <v>0</v>
      </c>
      <c r="U2705" s="25">
        <f t="shared" si="126"/>
        <v>0</v>
      </c>
    </row>
    <row r="2706" spans="1:21" ht="10.9" customHeight="1" x14ac:dyDescent="0.2">
      <c r="A2706" s="82" t="s">
        <v>2969</v>
      </c>
      <c r="B2706" s="83">
        <v>45986</v>
      </c>
      <c r="C2706" s="82" t="s">
        <v>3395</v>
      </c>
      <c r="D2706" s="82" t="s">
        <v>3411</v>
      </c>
      <c r="E2706" s="82"/>
      <c r="F2706" s="82" t="s">
        <v>4474</v>
      </c>
      <c r="G2706" s="89">
        <v>1</v>
      </c>
      <c r="H2706" s="89">
        <v>15</v>
      </c>
      <c r="I2706" s="85">
        <v>0</v>
      </c>
      <c r="J2706" s="85">
        <v>0</v>
      </c>
      <c r="K2706" s="85">
        <v>15</v>
      </c>
      <c r="L2706" s="85">
        <v>11042</v>
      </c>
      <c r="M2706" s="89">
        <v>21.142960239958505</v>
      </c>
      <c r="N2706" s="85">
        <v>0</v>
      </c>
      <c r="O2706" s="85">
        <v>0</v>
      </c>
      <c r="P2706" s="85">
        <v>21.142960239958505</v>
      </c>
      <c r="Q2706" s="85">
        <v>15564.037797974786</v>
      </c>
      <c r="R2706" s="82" t="s">
        <v>3396</v>
      </c>
      <c r="S2706" s="7">
        <f t="shared" si="127"/>
        <v>0</v>
      </c>
      <c r="T2706" s="6">
        <f t="shared" si="128"/>
        <v>0</v>
      </c>
      <c r="U2706" s="25">
        <f t="shared" si="126"/>
        <v>0</v>
      </c>
    </row>
    <row r="2707" spans="1:21" ht="10.9" customHeight="1" x14ac:dyDescent="0.2">
      <c r="A2707" s="82" t="s">
        <v>2969</v>
      </c>
      <c r="B2707" s="83">
        <v>45986</v>
      </c>
      <c r="C2707" s="82" t="s">
        <v>3395</v>
      </c>
      <c r="D2707" s="82" t="s">
        <v>3411</v>
      </c>
      <c r="E2707" s="82"/>
      <c r="F2707" s="82" t="s">
        <v>4473</v>
      </c>
      <c r="G2707" s="89">
        <v>2</v>
      </c>
      <c r="H2707" s="89">
        <v>186</v>
      </c>
      <c r="I2707" s="85">
        <v>0</v>
      </c>
      <c r="J2707" s="85">
        <v>0</v>
      </c>
      <c r="K2707" s="85">
        <v>372</v>
      </c>
      <c r="L2707" s="85">
        <v>11042</v>
      </c>
      <c r="M2707" s="89">
        <v>262.17270697548543</v>
      </c>
      <c r="N2707" s="85">
        <v>0</v>
      </c>
      <c r="O2707" s="85">
        <v>0</v>
      </c>
      <c r="P2707" s="85">
        <v>524.34541395097085</v>
      </c>
      <c r="Q2707" s="85">
        <v>15564.037797974786</v>
      </c>
      <c r="R2707" s="82" t="s">
        <v>3396</v>
      </c>
      <c r="S2707" s="7">
        <f t="shared" si="127"/>
        <v>0</v>
      </c>
      <c r="T2707" s="6">
        <f t="shared" si="128"/>
        <v>0</v>
      </c>
      <c r="U2707" s="25">
        <f t="shared" si="126"/>
        <v>0</v>
      </c>
    </row>
    <row r="2708" spans="1:21" ht="10.9" customHeight="1" x14ac:dyDescent="0.2">
      <c r="A2708" s="82" t="s">
        <v>2969</v>
      </c>
      <c r="B2708" s="83">
        <v>45986</v>
      </c>
      <c r="C2708" s="82" t="s">
        <v>3395</v>
      </c>
      <c r="D2708" s="82" t="s">
        <v>3411</v>
      </c>
      <c r="E2708" s="82"/>
      <c r="F2708" s="82" t="s">
        <v>4472</v>
      </c>
      <c r="G2708" s="89">
        <v>1</v>
      </c>
      <c r="H2708" s="89">
        <v>418</v>
      </c>
      <c r="I2708" s="85">
        <v>0</v>
      </c>
      <c r="J2708" s="85">
        <v>0</v>
      </c>
      <c r="K2708" s="85">
        <v>418</v>
      </c>
      <c r="L2708" s="85">
        <v>11042</v>
      </c>
      <c r="M2708" s="89">
        <v>589.18382535351031</v>
      </c>
      <c r="N2708" s="85">
        <v>0</v>
      </c>
      <c r="O2708" s="85">
        <v>0</v>
      </c>
      <c r="P2708" s="85">
        <v>589.18382535351031</v>
      </c>
      <c r="Q2708" s="85">
        <v>15564.037797974786</v>
      </c>
      <c r="R2708" s="82" t="s">
        <v>3396</v>
      </c>
      <c r="S2708" s="7">
        <f t="shared" si="127"/>
        <v>0</v>
      </c>
      <c r="T2708" s="6">
        <f t="shared" si="128"/>
        <v>0</v>
      </c>
      <c r="U2708" s="25">
        <f t="shared" si="126"/>
        <v>0</v>
      </c>
    </row>
    <row r="2709" spans="1:21" ht="10.9" customHeight="1" x14ac:dyDescent="0.2">
      <c r="A2709" s="82" t="s">
        <v>2969</v>
      </c>
      <c r="B2709" s="83">
        <v>45986</v>
      </c>
      <c r="C2709" s="82" t="s">
        <v>3395</v>
      </c>
      <c r="D2709" s="82" t="s">
        <v>3411</v>
      </c>
      <c r="E2709" s="82"/>
      <c r="F2709" s="82" t="s">
        <v>4471</v>
      </c>
      <c r="G2709" s="89">
        <v>2</v>
      </c>
      <c r="H2709" s="89">
        <v>2</v>
      </c>
      <c r="I2709" s="85">
        <v>0</v>
      </c>
      <c r="J2709" s="85">
        <v>0</v>
      </c>
      <c r="K2709" s="85">
        <v>4</v>
      </c>
      <c r="L2709" s="85">
        <v>11042</v>
      </c>
      <c r="M2709" s="89">
        <v>2.8190613653278005</v>
      </c>
      <c r="N2709" s="85">
        <v>0</v>
      </c>
      <c r="O2709" s="85">
        <v>0</v>
      </c>
      <c r="P2709" s="85">
        <v>5.638122730655601</v>
      </c>
      <c r="Q2709" s="85">
        <v>15564.037797974786</v>
      </c>
      <c r="R2709" s="82" t="s">
        <v>3396</v>
      </c>
      <c r="S2709" s="7">
        <f t="shared" si="127"/>
        <v>0</v>
      </c>
      <c r="T2709" s="6">
        <f t="shared" si="128"/>
        <v>0</v>
      </c>
      <c r="U2709" s="25">
        <f t="shared" si="126"/>
        <v>0</v>
      </c>
    </row>
    <row r="2710" spans="1:21" ht="10.9" customHeight="1" x14ac:dyDescent="0.2">
      <c r="A2710" s="82" t="s">
        <v>2969</v>
      </c>
      <c r="B2710" s="83">
        <v>45986</v>
      </c>
      <c r="C2710" s="82" t="s">
        <v>3395</v>
      </c>
      <c r="D2710" s="82" t="s">
        <v>3411</v>
      </c>
      <c r="E2710" s="82"/>
      <c r="F2710" s="82" t="s">
        <v>4470</v>
      </c>
      <c r="G2710" s="89">
        <v>2</v>
      </c>
      <c r="H2710" s="89">
        <v>15</v>
      </c>
      <c r="I2710" s="85">
        <v>0</v>
      </c>
      <c r="J2710" s="85">
        <v>0</v>
      </c>
      <c r="K2710" s="85">
        <v>30</v>
      </c>
      <c r="L2710" s="85">
        <v>11042</v>
      </c>
      <c r="M2710" s="89">
        <v>21.142960239958505</v>
      </c>
      <c r="N2710" s="85">
        <v>0</v>
      </c>
      <c r="O2710" s="85">
        <v>0</v>
      </c>
      <c r="P2710" s="85">
        <v>42.28592047991701</v>
      </c>
      <c r="Q2710" s="85">
        <v>15564.037797974786</v>
      </c>
      <c r="R2710" s="82" t="s">
        <v>3396</v>
      </c>
      <c r="S2710" s="7">
        <f t="shared" si="127"/>
        <v>0</v>
      </c>
      <c r="T2710" s="6">
        <f t="shared" si="128"/>
        <v>0</v>
      </c>
      <c r="U2710" s="25">
        <f t="shared" si="126"/>
        <v>0</v>
      </c>
    </row>
    <row r="2711" spans="1:21" ht="10.9" customHeight="1" x14ac:dyDescent="0.2">
      <c r="A2711" s="82" t="s">
        <v>2969</v>
      </c>
      <c r="B2711" s="83">
        <v>45986</v>
      </c>
      <c r="C2711" s="82" t="s">
        <v>3395</v>
      </c>
      <c r="D2711" s="82" t="s">
        <v>3411</v>
      </c>
      <c r="E2711" s="82"/>
      <c r="F2711" s="82" t="s">
        <v>4469</v>
      </c>
      <c r="G2711" s="89">
        <v>2</v>
      </c>
      <c r="H2711" s="89">
        <v>35</v>
      </c>
      <c r="I2711" s="85">
        <v>0</v>
      </c>
      <c r="J2711" s="85">
        <v>0</v>
      </c>
      <c r="K2711" s="85">
        <v>70</v>
      </c>
      <c r="L2711" s="85">
        <v>11042</v>
      </c>
      <c r="M2711" s="89">
        <v>49.333573893236505</v>
      </c>
      <c r="N2711" s="85">
        <v>0</v>
      </c>
      <c r="O2711" s="85">
        <v>0</v>
      </c>
      <c r="P2711" s="85">
        <v>98.667147786473009</v>
      </c>
      <c r="Q2711" s="85">
        <v>15564.037797974786</v>
      </c>
      <c r="R2711" s="82" t="s">
        <v>3396</v>
      </c>
      <c r="S2711" s="7">
        <f t="shared" si="127"/>
        <v>0</v>
      </c>
      <c r="T2711" s="6">
        <f t="shared" si="128"/>
        <v>0</v>
      </c>
      <c r="U2711" s="25">
        <f t="shared" si="126"/>
        <v>0</v>
      </c>
    </row>
    <row r="2712" spans="1:21" ht="10.9" customHeight="1" x14ac:dyDescent="0.2">
      <c r="A2712" s="82" t="s">
        <v>2969</v>
      </c>
      <c r="B2712" s="83">
        <v>45986</v>
      </c>
      <c r="C2712" s="82" t="s">
        <v>3395</v>
      </c>
      <c r="D2712" s="82" t="s">
        <v>3411</v>
      </c>
      <c r="E2712" s="82"/>
      <c r="F2712" s="82" t="s">
        <v>4468</v>
      </c>
      <c r="G2712" s="89">
        <v>2</v>
      </c>
      <c r="H2712" s="89">
        <v>4</v>
      </c>
      <c r="I2712" s="85">
        <v>0</v>
      </c>
      <c r="J2712" s="85">
        <v>0</v>
      </c>
      <c r="K2712" s="85">
        <v>8</v>
      </c>
      <c r="L2712" s="85">
        <v>11042</v>
      </c>
      <c r="M2712" s="89">
        <v>5.638122730655601</v>
      </c>
      <c r="N2712" s="85">
        <v>0</v>
      </c>
      <c r="O2712" s="85">
        <v>0</v>
      </c>
      <c r="P2712" s="85">
        <v>11.276245461311202</v>
      </c>
      <c r="Q2712" s="85">
        <v>15564.037797974786</v>
      </c>
      <c r="R2712" s="82" t="s">
        <v>3396</v>
      </c>
      <c r="S2712" s="7">
        <f t="shared" si="127"/>
        <v>0</v>
      </c>
      <c r="T2712" s="6">
        <f t="shared" si="128"/>
        <v>0</v>
      </c>
      <c r="U2712" s="25">
        <f t="shared" si="126"/>
        <v>0</v>
      </c>
    </row>
    <row r="2713" spans="1:21" ht="10.9" customHeight="1" x14ac:dyDescent="0.2">
      <c r="A2713" s="82" t="s">
        <v>3231</v>
      </c>
      <c r="B2713" s="83">
        <v>45986</v>
      </c>
      <c r="C2713" s="82" t="s">
        <v>3395</v>
      </c>
      <c r="D2713" s="82" t="s">
        <v>3403</v>
      </c>
      <c r="E2713" s="82"/>
      <c r="F2713" s="82" t="s">
        <v>4467</v>
      </c>
      <c r="G2713" s="89">
        <v>10</v>
      </c>
      <c r="H2713" s="89">
        <v>12</v>
      </c>
      <c r="I2713" s="85">
        <v>0</v>
      </c>
      <c r="J2713" s="85">
        <v>0</v>
      </c>
      <c r="K2713" s="85">
        <v>120</v>
      </c>
      <c r="L2713" s="85">
        <v>350</v>
      </c>
      <c r="M2713" s="89">
        <v>16.914368191966801</v>
      </c>
      <c r="N2713" s="85">
        <v>0</v>
      </c>
      <c r="O2713" s="85">
        <v>0</v>
      </c>
      <c r="P2713" s="85">
        <v>169.14368191966804</v>
      </c>
      <c r="Q2713" s="85">
        <v>493.33573893236508</v>
      </c>
      <c r="R2713" s="82" t="s">
        <v>3396</v>
      </c>
      <c r="S2713" s="7">
        <f t="shared" si="127"/>
        <v>0</v>
      </c>
      <c r="T2713" s="6">
        <f t="shared" si="128"/>
        <v>0</v>
      </c>
      <c r="U2713" s="25">
        <f t="shared" si="126"/>
        <v>0</v>
      </c>
    </row>
    <row r="2714" spans="1:21" ht="10.9" customHeight="1" x14ac:dyDescent="0.2">
      <c r="A2714" s="82" t="s">
        <v>3231</v>
      </c>
      <c r="B2714" s="83">
        <v>45986</v>
      </c>
      <c r="C2714" s="82" t="s">
        <v>3395</v>
      </c>
      <c r="D2714" s="82" t="s">
        <v>3403</v>
      </c>
      <c r="E2714" s="82"/>
      <c r="F2714" s="82" t="s">
        <v>4466</v>
      </c>
      <c r="G2714" s="89">
        <v>10</v>
      </c>
      <c r="H2714" s="89">
        <v>23</v>
      </c>
      <c r="I2714" s="85">
        <v>0</v>
      </c>
      <c r="J2714" s="85">
        <v>0</v>
      </c>
      <c r="K2714" s="85">
        <v>230</v>
      </c>
      <c r="L2714" s="85">
        <v>350</v>
      </c>
      <c r="M2714" s="89">
        <v>32.419205701269703</v>
      </c>
      <c r="N2714" s="85">
        <v>0</v>
      </c>
      <c r="O2714" s="85">
        <v>0</v>
      </c>
      <c r="P2714" s="85">
        <v>324.19205701269703</v>
      </c>
      <c r="Q2714" s="85">
        <v>493.33573893236508</v>
      </c>
      <c r="R2714" s="82" t="s">
        <v>3396</v>
      </c>
      <c r="S2714" s="7">
        <f t="shared" si="127"/>
        <v>0</v>
      </c>
      <c r="T2714" s="6">
        <f t="shared" si="128"/>
        <v>0</v>
      </c>
      <c r="U2714" s="25">
        <f t="shared" si="126"/>
        <v>0</v>
      </c>
    </row>
    <row r="2715" spans="1:21" ht="10.9" customHeight="1" x14ac:dyDescent="0.2">
      <c r="A2715" s="82" t="s">
        <v>3193</v>
      </c>
      <c r="B2715" s="83">
        <v>45986</v>
      </c>
      <c r="C2715" s="82" t="s">
        <v>3395</v>
      </c>
      <c r="D2715" s="82" t="s">
        <v>3414</v>
      </c>
      <c r="E2715" s="82"/>
      <c r="F2715" s="82" t="s">
        <v>4456</v>
      </c>
      <c r="G2715" s="89">
        <v>5</v>
      </c>
      <c r="H2715" s="89">
        <v>85</v>
      </c>
      <c r="I2715" s="85">
        <v>0</v>
      </c>
      <c r="J2715" s="85">
        <v>0</v>
      </c>
      <c r="K2715" s="85">
        <v>425</v>
      </c>
      <c r="L2715" s="85">
        <v>425</v>
      </c>
      <c r="M2715" s="89">
        <v>119.79389812163167</v>
      </c>
      <c r="N2715" s="85">
        <v>0</v>
      </c>
      <c r="O2715" s="85">
        <v>0</v>
      </c>
      <c r="P2715" s="85">
        <v>598.96949060815837</v>
      </c>
      <c r="Q2715" s="85">
        <v>598.96949060815837</v>
      </c>
      <c r="R2715" s="82" t="s">
        <v>3396</v>
      </c>
      <c r="S2715" s="7">
        <f t="shared" si="127"/>
        <v>0</v>
      </c>
      <c r="T2715" s="6">
        <f t="shared" si="128"/>
        <v>0</v>
      </c>
      <c r="U2715" s="25">
        <f t="shared" si="126"/>
        <v>0</v>
      </c>
    </row>
    <row r="2716" spans="1:21" ht="10.9" customHeight="1" x14ac:dyDescent="0.2">
      <c r="A2716" s="82" t="s">
        <v>3184</v>
      </c>
      <c r="B2716" s="83">
        <v>45986</v>
      </c>
      <c r="C2716" s="82" t="s">
        <v>3395</v>
      </c>
      <c r="D2716" s="82" t="s">
        <v>3406</v>
      </c>
      <c r="E2716" s="82"/>
      <c r="F2716" s="82" t="s">
        <v>4455</v>
      </c>
      <c r="G2716" s="89">
        <v>6</v>
      </c>
      <c r="H2716" s="89">
        <v>35</v>
      </c>
      <c r="I2716" s="85">
        <v>0</v>
      </c>
      <c r="J2716" s="85">
        <v>0</v>
      </c>
      <c r="K2716" s="85">
        <v>210</v>
      </c>
      <c r="L2716" s="85">
        <v>1920</v>
      </c>
      <c r="M2716" s="89">
        <v>49.326899226554218</v>
      </c>
      <c r="N2716" s="85">
        <v>0</v>
      </c>
      <c r="O2716" s="85">
        <v>0</v>
      </c>
      <c r="P2716" s="85">
        <v>295.96139535932531</v>
      </c>
      <c r="Q2716" s="85">
        <v>2705.9327575709744</v>
      </c>
      <c r="R2716" s="82" t="s">
        <v>3396</v>
      </c>
      <c r="S2716" s="7">
        <f t="shared" si="127"/>
        <v>0</v>
      </c>
      <c r="T2716" s="6">
        <f t="shared" si="128"/>
        <v>0</v>
      </c>
      <c r="U2716" s="25">
        <f t="shared" si="126"/>
        <v>0</v>
      </c>
    </row>
    <row r="2717" spans="1:21" ht="10.9" customHeight="1" x14ac:dyDescent="0.2">
      <c r="A2717" s="82" t="s">
        <v>3184</v>
      </c>
      <c r="B2717" s="83">
        <v>45986</v>
      </c>
      <c r="C2717" s="82" t="s">
        <v>3395</v>
      </c>
      <c r="D2717" s="82" t="s">
        <v>3406</v>
      </c>
      <c r="E2717" s="82"/>
      <c r="F2717" s="82" t="s">
        <v>4454</v>
      </c>
      <c r="G2717" s="89">
        <v>32</v>
      </c>
      <c r="H2717" s="89">
        <v>35</v>
      </c>
      <c r="I2717" s="85">
        <v>0</v>
      </c>
      <c r="J2717" s="85">
        <v>0</v>
      </c>
      <c r="K2717" s="85">
        <v>1120</v>
      </c>
      <c r="L2717" s="85">
        <v>1920</v>
      </c>
      <c r="M2717" s="89">
        <v>49.326899226554218</v>
      </c>
      <c r="N2717" s="85">
        <v>0</v>
      </c>
      <c r="O2717" s="85">
        <v>0</v>
      </c>
      <c r="P2717" s="85">
        <v>1578.460775249735</v>
      </c>
      <c r="Q2717" s="85">
        <v>2705.9327575709744</v>
      </c>
      <c r="R2717" s="82" t="s">
        <v>3396</v>
      </c>
      <c r="S2717" s="7">
        <f t="shared" si="127"/>
        <v>0</v>
      </c>
      <c r="T2717" s="6">
        <f t="shared" si="128"/>
        <v>0</v>
      </c>
      <c r="U2717" s="25">
        <f t="shared" si="126"/>
        <v>0</v>
      </c>
    </row>
    <row r="2718" spans="1:21" ht="10.9" customHeight="1" x14ac:dyDescent="0.2">
      <c r="A2718" s="82" t="s">
        <v>3184</v>
      </c>
      <c r="B2718" s="83">
        <v>45986</v>
      </c>
      <c r="C2718" s="82" t="s">
        <v>3395</v>
      </c>
      <c r="D2718" s="82" t="s">
        <v>3406</v>
      </c>
      <c r="E2718" s="82"/>
      <c r="F2718" s="82" t="s">
        <v>4453</v>
      </c>
      <c r="G2718" s="89">
        <v>2</v>
      </c>
      <c r="H2718" s="89">
        <v>110</v>
      </c>
      <c r="I2718" s="85">
        <v>0</v>
      </c>
      <c r="J2718" s="85">
        <v>0</v>
      </c>
      <c r="K2718" s="85">
        <v>220</v>
      </c>
      <c r="L2718" s="85">
        <v>1920</v>
      </c>
      <c r="M2718" s="89">
        <v>155.0273975691704</v>
      </c>
      <c r="N2718" s="85">
        <v>0</v>
      </c>
      <c r="O2718" s="85">
        <v>0</v>
      </c>
      <c r="P2718" s="85">
        <v>310.05479513834081</v>
      </c>
      <c r="Q2718" s="85">
        <v>2705.9327575709744</v>
      </c>
      <c r="R2718" s="82" t="s">
        <v>3396</v>
      </c>
      <c r="S2718" s="7">
        <f t="shared" si="127"/>
        <v>0</v>
      </c>
      <c r="T2718" s="6">
        <f t="shared" si="128"/>
        <v>0</v>
      </c>
      <c r="U2718" s="25">
        <f t="shared" si="126"/>
        <v>0</v>
      </c>
    </row>
    <row r="2719" spans="1:21" ht="10.9" customHeight="1" x14ac:dyDescent="0.2">
      <c r="A2719" s="82" t="s">
        <v>3184</v>
      </c>
      <c r="B2719" s="83">
        <v>45986</v>
      </c>
      <c r="C2719" s="82" t="s">
        <v>3395</v>
      </c>
      <c r="D2719" s="82" t="s">
        <v>3406</v>
      </c>
      <c r="E2719" s="82"/>
      <c r="F2719" s="82" t="s">
        <v>4452</v>
      </c>
      <c r="G2719" s="89">
        <v>1</v>
      </c>
      <c r="H2719" s="89">
        <v>370</v>
      </c>
      <c r="I2719" s="85">
        <v>0</v>
      </c>
      <c r="J2719" s="85">
        <v>0</v>
      </c>
      <c r="K2719" s="85">
        <v>370</v>
      </c>
      <c r="L2719" s="85">
        <v>1920</v>
      </c>
      <c r="M2719" s="89">
        <v>521.45579182357324</v>
      </c>
      <c r="N2719" s="85">
        <v>0</v>
      </c>
      <c r="O2719" s="85">
        <v>0</v>
      </c>
      <c r="P2719" s="85">
        <v>521.45579182357324</v>
      </c>
      <c r="Q2719" s="85">
        <v>2705.9327575709744</v>
      </c>
      <c r="R2719" s="82" t="s">
        <v>3396</v>
      </c>
      <c r="S2719" s="7">
        <f t="shared" si="127"/>
        <v>0</v>
      </c>
      <c r="T2719" s="6">
        <f t="shared" si="128"/>
        <v>0</v>
      </c>
      <c r="U2719" s="25">
        <f t="shared" si="126"/>
        <v>0</v>
      </c>
    </row>
    <row r="2720" spans="1:21" ht="10.9" customHeight="1" x14ac:dyDescent="0.2">
      <c r="A2720" s="82" t="s">
        <v>3123</v>
      </c>
      <c r="B2720" s="83">
        <v>45986</v>
      </c>
      <c r="C2720" s="82" t="s">
        <v>3395</v>
      </c>
      <c r="D2720" s="82" t="s">
        <v>3407</v>
      </c>
      <c r="E2720" s="82"/>
      <c r="F2720" s="82" t="s">
        <v>4465</v>
      </c>
      <c r="G2720" s="89">
        <v>2</v>
      </c>
      <c r="H2720" s="89">
        <v>210</v>
      </c>
      <c r="I2720" s="85">
        <v>0</v>
      </c>
      <c r="J2720" s="85">
        <v>0</v>
      </c>
      <c r="K2720" s="85">
        <v>420</v>
      </c>
      <c r="L2720" s="85">
        <v>420</v>
      </c>
      <c r="M2720" s="89">
        <v>295.96139535932531</v>
      </c>
      <c r="N2720" s="85">
        <v>0</v>
      </c>
      <c r="O2720" s="85">
        <v>0</v>
      </c>
      <c r="P2720" s="85">
        <v>591.92279071865062</v>
      </c>
      <c r="Q2720" s="85">
        <v>591.92279071865062</v>
      </c>
      <c r="R2720" s="82" t="s">
        <v>3396</v>
      </c>
      <c r="S2720" s="7">
        <f t="shared" si="127"/>
        <v>0</v>
      </c>
      <c r="T2720" s="6">
        <f t="shared" si="128"/>
        <v>0</v>
      </c>
      <c r="U2720" s="25">
        <f t="shared" si="126"/>
        <v>0</v>
      </c>
    </row>
    <row r="2721" spans="1:21" ht="10.9" customHeight="1" x14ac:dyDescent="0.2">
      <c r="A2721" s="82" t="s">
        <v>3136</v>
      </c>
      <c r="B2721" s="83">
        <v>45986</v>
      </c>
      <c r="C2721" s="82" t="s">
        <v>3395</v>
      </c>
      <c r="D2721" s="82" t="s">
        <v>3409</v>
      </c>
      <c r="E2721" s="82"/>
      <c r="F2721" s="82" t="s">
        <v>4451</v>
      </c>
      <c r="G2721" s="89">
        <v>1</v>
      </c>
      <c r="H2721" s="89">
        <v>8034</v>
      </c>
      <c r="I2721" s="85">
        <v>0</v>
      </c>
      <c r="J2721" s="85">
        <v>0</v>
      </c>
      <c r="K2721" s="85">
        <v>8034</v>
      </c>
      <c r="L2721" s="85">
        <v>8034</v>
      </c>
      <c r="M2721" s="89">
        <v>11322.637382461045</v>
      </c>
      <c r="N2721" s="85">
        <v>0</v>
      </c>
      <c r="O2721" s="85">
        <v>0</v>
      </c>
      <c r="P2721" s="85">
        <v>11322.637382461045</v>
      </c>
      <c r="Q2721" s="85">
        <v>11322.637382461045</v>
      </c>
      <c r="R2721" s="82" t="s">
        <v>3396</v>
      </c>
      <c r="S2721" s="7">
        <f t="shared" si="127"/>
        <v>0</v>
      </c>
      <c r="T2721" s="6">
        <f t="shared" si="128"/>
        <v>0</v>
      </c>
      <c r="U2721" s="25">
        <f t="shared" si="126"/>
        <v>0</v>
      </c>
    </row>
    <row r="2722" spans="1:21" ht="10.9" customHeight="1" x14ac:dyDescent="0.2">
      <c r="A2722" s="82" t="s">
        <v>3179</v>
      </c>
      <c r="B2722" s="83">
        <v>45986</v>
      </c>
      <c r="C2722" s="82" t="s">
        <v>3395</v>
      </c>
      <c r="D2722" s="82" t="s">
        <v>3413</v>
      </c>
      <c r="E2722" s="82"/>
      <c r="F2722" s="82" t="s">
        <v>4451</v>
      </c>
      <c r="G2722" s="89">
        <v>1</v>
      </c>
      <c r="H2722" s="89">
        <v>8034</v>
      </c>
      <c r="I2722" s="85">
        <v>0</v>
      </c>
      <c r="J2722" s="85">
        <v>0</v>
      </c>
      <c r="K2722" s="85">
        <v>8034</v>
      </c>
      <c r="L2722" s="85">
        <v>8034</v>
      </c>
      <c r="M2722" s="89">
        <v>11322.637382461045</v>
      </c>
      <c r="N2722" s="85">
        <v>0</v>
      </c>
      <c r="O2722" s="85">
        <v>0</v>
      </c>
      <c r="P2722" s="85">
        <v>11322.637382461045</v>
      </c>
      <c r="Q2722" s="85">
        <v>11322.637382461045</v>
      </c>
      <c r="R2722" s="82" t="s">
        <v>3396</v>
      </c>
      <c r="S2722" s="7">
        <f t="shared" si="127"/>
        <v>0</v>
      </c>
      <c r="T2722" s="6">
        <f t="shared" si="128"/>
        <v>0</v>
      </c>
      <c r="U2722" s="25">
        <f t="shared" si="126"/>
        <v>0</v>
      </c>
    </row>
    <row r="2723" spans="1:21" ht="10.9" customHeight="1" x14ac:dyDescent="0.2">
      <c r="A2723" s="82" t="s">
        <v>3365</v>
      </c>
      <c r="B2723" s="83">
        <v>45986</v>
      </c>
      <c r="C2723" s="82" t="s">
        <v>3395</v>
      </c>
      <c r="D2723" s="82" t="s">
        <v>200</v>
      </c>
      <c r="E2723" s="82"/>
      <c r="F2723" s="82" t="s">
        <v>4494</v>
      </c>
      <c r="G2723" s="89">
        <v>1</v>
      </c>
      <c r="H2723" s="89">
        <v>11129.88</v>
      </c>
      <c r="I2723" s="85">
        <v>0</v>
      </c>
      <c r="J2723" s="85">
        <v>556.49</v>
      </c>
      <c r="K2723" s="85">
        <v>11686.37</v>
      </c>
      <c r="L2723" s="85">
        <v>13321.62</v>
      </c>
      <c r="M2723" s="89">
        <v>11129.88</v>
      </c>
      <c r="N2723" s="85">
        <v>0</v>
      </c>
      <c r="O2723" s="85">
        <v>556.49</v>
      </c>
      <c r="P2723" s="85">
        <v>11686.37</v>
      </c>
      <c r="Q2723" s="85">
        <v>13321.62</v>
      </c>
      <c r="R2723" s="82" t="s">
        <v>3399</v>
      </c>
      <c r="S2723" s="7">
        <f t="shared" si="127"/>
        <v>0</v>
      </c>
      <c r="T2723" s="6">
        <f t="shared" si="128"/>
        <v>0</v>
      </c>
      <c r="U2723" s="25">
        <f t="shared" si="126"/>
        <v>0</v>
      </c>
    </row>
    <row r="2724" spans="1:21" ht="10.9" customHeight="1" x14ac:dyDescent="0.2">
      <c r="A2724" s="82" t="s">
        <v>3365</v>
      </c>
      <c r="B2724" s="83">
        <v>45986</v>
      </c>
      <c r="C2724" s="82" t="s">
        <v>3395</v>
      </c>
      <c r="D2724" s="82" t="s">
        <v>200</v>
      </c>
      <c r="E2724" s="82"/>
      <c r="F2724" s="82" t="s">
        <v>4493</v>
      </c>
      <c r="G2724" s="89">
        <v>1</v>
      </c>
      <c r="H2724" s="89">
        <v>1557.38</v>
      </c>
      <c r="I2724" s="85">
        <v>0</v>
      </c>
      <c r="J2724" s="85">
        <v>77.87</v>
      </c>
      <c r="K2724" s="85">
        <v>1635.25</v>
      </c>
      <c r="L2724" s="85">
        <v>13321.62</v>
      </c>
      <c r="M2724" s="89">
        <v>1557.38</v>
      </c>
      <c r="N2724" s="85">
        <v>0</v>
      </c>
      <c r="O2724" s="85">
        <v>77.87</v>
      </c>
      <c r="P2724" s="85">
        <v>1635.25</v>
      </c>
      <c r="Q2724" s="85">
        <v>13321.62</v>
      </c>
      <c r="R2724" s="82" t="s">
        <v>3399</v>
      </c>
      <c r="S2724" s="7">
        <f t="shared" si="127"/>
        <v>0</v>
      </c>
      <c r="T2724" s="6">
        <f t="shared" si="128"/>
        <v>0</v>
      </c>
      <c r="U2724" s="25">
        <f t="shared" si="126"/>
        <v>0</v>
      </c>
    </row>
    <row r="2725" spans="1:21" ht="10.9" customHeight="1" x14ac:dyDescent="0.2">
      <c r="A2725" s="82" t="s">
        <v>3377</v>
      </c>
      <c r="B2725" s="83">
        <v>45986</v>
      </c>
      <c r="C2725" s="82" t="s">
        <v>3395</v>
      </c>
      <c r="D2725" s="82" t="s">
        <v>153</v>
      </c>
      <c r="E2725" s="82"/>
      <c r="F2725" s="82" t="s">
        <v>4418</v>
      </c>
      <c r="G2725" s="89">
        <v>1</v>
      </c>
      <c r="H2725" s="89">
        <v>2492.58</v>
      </c>
      <c r="I2725" s="85">
        <v>0</v>
      </c>
      <c r="J2725" s="85">
        <v>124.63</v>
      </c>
      <c r="K2725" s="85">
        <v>2617.21</v>
      </c>
      <c r="L2725" s="85">
        <v>34034.85</v>
      </c>
      <c r="M2725" s="89">
        <v>2492.58</v>
      </c>
      <c r="N2725" s="85">
        <v>0</v>
      </c>
      <c r="O2725" s="85">
        <v>124.63</v>
      </c>
      <c r="P2725" s="85">
        <v>2617.21</v>
      </c>
      <c r="Q2725" s="85">
        <v>34034.85</v>
      </c>
      <c r="R2725" s="82" t="s">
        <v>3399</v>
      </c>
      <c r="S2725" s="7">
        <f t="shared" si="127"/>
        <v>0</v>
      </c>
      <c r="T2725" s="6">
        <f t="shared" si="128"/>
        <v>0</v>
      </c>
      <c r="U2725" s="25">
        <f t="shared" si="126"/>
        <v>0</v>
      </c>
    </row>
    <row r="2726" spans="1:21" ht="10.9" customHeight="1" x14ac:dyDescent="0.2">
      <c r="A2726" s="82" t="s">
        <v>3377</v>
      </c>
      <c r="B2726" s="83">
        <v>45986</v>
      </c>
      <c r="C2726" s="82" t="s">
        <v>3395</v>
      </c>
      <c r="D2726" s="82" t="s">
        <v>153</v>
      </c>
      <c r="E2726" s="82"/>
      <c r="F2726" s="82" t="s">
        <v>4417</v>
      </c>
      <c r="G2726" s="89">
        <v>1</v>
      </c>
      <c r="H2726" s="89">
        <v>2105.02</v>
      </c>
      <c r="I2726" s="85">
        <v>0</v>
      </c>
      <c r="J2726" s="85">
        <v>105.25</v>
      </c>
      <c r="K2726" s="85">
        <v>2210.27</v>
      </c>
      <c r="L2726" s="85">
        <v>34034.85</v>
      </c>
      <c r="M2726" s="89">
        <v>2105.02</v>
      </c>
      <c r="N2726" s="85">
        <v>0</v>
      </c>
      <c r="O2726" s="85">
        <v>105.25</v>
      </c>
      <c r="P2726" s="85">
        <v>2210.27</v>
      </c>
      <c r="Q2726" s="85">
        <v>34034.85</v>
      </c>
      <c r="R2726" s="82" t="s">
        <v>3399</v>
      </c>
      <c r="S2726" s="7">
        <f t="shared" si="127"/>
        <v>0</v>
      </c>
      <c r="T2726" s="6">
        <f t="shared" si="128"/>
        <v>0</v>
      </c>
      <c r="U2726" s="25">
        <f t="shared" si="126"/>
        <v>0</v>
      </c>
    </row>
    <row r="2727" spans="1:21" ht="10.9" customHeight="1" x14ac:dyDescent="0.2">
      <c r="A2727" s="82" t="s">
        <v>3377</v>
      </c>
      <c r="B2727" s="83">
        <v>45986</v>
      </c>
      <c r="C2727" s="82" t="s">
        <v>3395</v>
      </c>
      <c r="D2727" s="82" t="s">
        <v>153</v>
      </c>
      <c r="E2727" s="82"/>
      <c r="F2727" s="82" t="s">
        <v>4416</v>
      </c>
      <c r="G2727" s="89">
        <v>1</v>
      </c>
      <c r="H2727" s="89">
        <v>3877.65</v>
      </c>
      <c r="I2727" s="85">
        <v>0</v>
      </c>
      <c r="J2727" s="85">
        <v>193.88</v>
      </c>
      <c r="K2727" s="85">
        <v>4071.53</v>
      </c>
      <c r="L2727" s="85">
        <v>34034.85</v>
      </c>
      <c r="M2727" s="89">
        <v>3877.65</v>
      </c>
      <c r="N2727" s="85">
        <v>0</v>
      </c>
      <c r="O2727" s="85">
        <v>193.88</v>
      </c>
      <c r="P2727" s="85">
        <v>4071.53</v>
      </c>
      <c r="Q2727" s="85">
        <v>34034.85</v>
      </c>
      <c r="R2727" s="82" t="s">
        <v>3399</v>
      </c>
      <c r="S2727" s="7">
        <f t="shared" si="127"/>
        <v>0</v>
      </c>
      <c r="T2727" s="6">
        <f t="shared" si="128"/>
        <v>0</v>
      </c>
      <c r="U2727" s="25">
        <f t="shared" si="126"/>
        <v>0</v>
      </c>
    </row>
    <row r="2728" spans="1:21" ht="10.9" customHeight="1" x14ac:dyDescent="0.2">
      <c r="A2728" s="82" t="s">
        <v>3377</v>
      </c>
      <c r="B2728" s="83">
        <v>45986</v>
      </c>
      <c r="C2728" s="82" t="s">
        <v>3395</v>
      </c>
      <c r="D2728" s="82" t="s">
        <v>153</v>
      </c>
      <c r="E2728" s="82"/>
      <c r="F2728" s="82" t="s">
        <v>4446</v>
      </c>
      <c r="G2728" s="89">
        <v>1</v>
      </c>
      <c r="H2728" s="89">
        <v>2325.66</v>
      </c>
      <c r="I2728" s="85">
        <v>0</v>
      </c>
      <c r="J2728" s="85">
        <v>116.28</v>
      </c>
      <c r="K2728" s="85">
        <v>2441.94</v>
      </c>
      <c r="L2728" s="85">
        <v>34034.85</v>
      </c>
      <c r="M2728" s="89">
        <v>2325.66</v>
      </c>
      <c r="N2728" s="85">
        <v>0</v>
      </c>
      <c r="O2728" s="85">
        <v>116.28</v>
      </c>
      <c r="P2728" s="85">
        <v>2441.94</v>
      </c>
      <c r="Q2728" s="85">
        <v>34034.85</v>
      </c>
      <c r="R2728" s="82" t="s">
        <v>3399</v>
      </c>
      <c r="S2728" s="7">
        <f t="shared" si="127"/>
        <v>0</v>
      </c>
      <c r="T2728" s="6">
        <f t="shared" si="128"/>
        <v>0</v>
      </c>
      <c r="U2728" s="25">
        <f t="shared" si="126"/>
        <v>0</v>
      </c>
    </row>
    <row r="2729" spans="1:21" ht="10.9" customHeight="1" x14ac:dyDescent="0.2">
      <c r="A2729" s="82" t="s">
        <v>3377</v>
      </c>
      <c r="B2729" s="83">
        <v>45986</v>
      </c>
      <c r="C2729" s="82" t="s">
        <v>3395</v>
      </c>
      <c r="D2729" s="82" t="s">
        <v>153</v>
      </c>
      <c r="E2729" s="82"/>
      <c r="F2729" s="82" t="s">
        <v>4445</v>
      </c>
      <c r="G2729" s="89">
        <v>1</v>
      </c>
      <c r="H2729" s="89">
        <v>2409.7199999999998</v>
      </c>
      <c r="I2729" s="85">
        <v>0</v>
      </c>
      <c r="J2729" s="85">
        <v>120.49</v>
      </c>
      <c r="K2729" s="85">
        <v>2530.21</v>
      </c>
      <c r="L2729" s="85">
        <v>34034.85</v>
      </c>
      <c r="M2729" s="89">
        <v>2409.7199999999998</v>
      </c>
      <c r="N2729" s="85">
        <v>0</v>
      </c>
      <c r="O2729" s="85">
        <v>120.49</v>
      </c>
      <c r="P2729" s="85">
        <v>2530.21</v>
      </c>
      <c r="Q2729" s="85">
        <v>34034.85</v>
      </c>
      <c r="R2729" s="82" t="s">
        <v>3399</v>
      </c>
      <c r="S2729" s="7">
        <f t="shared" si="127"/>
        <v>0</v>
      </c>
      <c r="T2729" s="6">
        <f t="shared" si="128"/>
        <v>0</v>
      </c>
      <c r="U2729" s="25">
        <f t="shared" si="126"/>
        <v>0</v>
      </c>
    </row>
    <row r="2730" spans="1:21" ht="10.9" customHeight="1" x14ac:dyDescent="0.2">
      <c r="A2730" s="82" t="s">
        <v>3377</v>
      </c>
      <c r="B2730" s="83">
        <v>45986</v>
      </c>
      <c r="C2730" s="82" t="s">
        <v>3395</v>
      </c>
      <c r="D2730" s="82" t="s">
        <v>153</v>
      </c>
      <c r="E2730" s="82"/>
      <c r="F2730" s="82" t="s">
        <v>4444</v>
      </c>
      <c r="G2730" s="89">
        <v>1</v>
      </c>
      <c r="H2730" s="89">
        <v>3159.26</v>
      </c>
      <c r="I2730" s="85">
        <v>0</v>
      </c>
      <c r="J2730" s="85">
        <v>157.96</v>
      </c>
      <c r="K2730" s="85">
        <v>3317.22</v>
      </c>
      <c r="L2730" s="85">
        <v>34034.85</v>
      </c>
      <c r="M2730" s="89">
        <v>3159.26</v>
      </c>
      <c r="N2730" s="85">
        <v>0</v>
      </c>
      <c r="O2730" s="85">
        <v>157.96</v>
      </c>
      <c r="P2730" s="85">
        <v>3317.22</v>
      </c>
      <c r="Q2730" s="85">
        <v>34034.85</v>
      </c>
      <c r="R2730" s="82" t="s">
        <v>3399</v>
      </c>
      <c r="S2730" s="7">
        <f t="shared" si="127"/>
        <v>0</v>
      </c>
      <c r="T2730" s="6">
        <f t="shared" si="128"/>
        <v>0</v>
      </c>
      <c r="U2730" s="25">
        <f t="shared" si="126"/>
        <v>0</v>
      </c>
    </row>
    <row r="2731" spans="1:21" ht="10.9" customHeight="1" x14ac:dyDescent="0.2">
      <c r="A2731" s="82" t="s">
        <v>3377</v>
      </c>
      <c r="B2731" s="83">
        <v>45986</v>
      </c>
      <c r="C2731" s="82" t="s">
        <v>3395</v>
      </c>
      <c r="D2731" s="82" t="s">
        <v>153</v>
      </c>
      <c r="E2731" s="82"/>
      <c r="F2731" s="82" t="s">
        <v>4443</v>
      </c>
      <c r="G2731" s="89">
        <v>1</v>
      </c>
      <c r="H2731" s="89">
        <v>3173.27</v>
      </c>
      <c r="I2731" s="85">
        <v>0</v>
      </c>
      <c r="J2731" s="85">
        <v>158.66</v>
      </c>
      <c r="K2731" s="85">
        <v>3331.93</v>
      </c>
      <c r="L2731" s="85">
        <v>34034.85</v>
      </c>
      <c r="M2731" s="89">
        <v>3173.27</v>
      </c>
      <c r="N2731" s="85">
        <v>0</v>
      </c>
      <c r="O2731" s="85">
        <v>158.66</v>
      </c>
      <c r="P2731" s="85">
        <v>3331.93</v>
      </c>
      <c r="Q2731" s="85">
        <v>34034.85</v>
      </c>
      <c r="R2731" s="82" t="s">
        <v>3399</v>
      </c>
      <c r="S2731" s="7">
        <f t="shared" si="127"/>
        <v>0</v>
      </c>
      <c r="T2731" s="6">
        <f t="shared" si="128"/>
        <v>0</v>
      </c>
      <c r="U2731" s="25">
        <f t="shared" si="126"/>
        <v>0</v>
      </c>
    </row>
    <row r="2732" spans="1:21" ht="10.9" customHeight="1" x14ac:dyDescent="0.2">
      <c r="A2732" s="82" t="s">
        <v>3377</v>
      </c>
      <c r="B2732" s="83">
        <v>45986</v>
      </c>
      <c r="C2732" s="82" t="s">
        <v>3395</v>
      </c>
      <c r="D2732" s="82" t="s">
        <v>153</v>
      </c>
      <c r="E2732" s="82"/>
      <c r="F2732" s="82" t="s">
        <v>4442</v>
      </c>
      <c r="G2732" s="89">
        <v>1</v>
      </c>
      <c r="H2732" s="89">
        <v>4480.3999999999996</v>
      </c>
      <c r="I2732" s="85">
        <v>0</v>
      </c>
      <c r="J2732" s="85">
        <v>224.02</v>
      </c>
      <c r="K2732" s="85">
        <v>4704.42</v>
      </c>
      <c r="L2732" s="85">
        <v>34034.85</v>
      </c>
      <c r="M2732" s="89">
        <v>4480.3999999999996</v>
      </c>
      <c r="N2732" s="85">
        <v>0</v>
      </c>
      <c r="O2732" s="85">
        <v>224.02</v>
      </c>
      <c r="P2732" s="85">
        <v>4704.42</v>
      </c>
      <c r="Q2732" s="85">
        <v>34034.85</v>
      </c>
      <c r="R2732" s="82" t="s">
        <v>3399</v>
      </c>
      <c r="S2732" s="7">
        <f t="shared" si="127"/>
        <v>0</v>
      </c>
      <c r="T2732" s="6">
        <f t="shared" si="128"/>
        <v>0</v>
      </c>
      <c r="U2732" s="25">
        <f t="shared" si="126"/>
        <v>0</v>
      </c>
    </row>
    <row r="2733" spans="1:21" ht="10.9" customHeight="1" x14ac:dyDescent="0.2">
      <c r="A2733" s="82" t="s">
        <v>3377</v>
      </c>
      <c r="B2733" s="83">
        <v>45986</v>
      </c>
      <c r="C2733" s="82" t="s">
        <v>3395</v>
      </c>
      <c r="D2733" s="82" t="s">
        <v>153</v>
      </c>
      <c r="E2733" s="82"/>
      <c r="F2733" s="82" t="s">
        <v>4441</v>
      </c>
      <c r="G2733" s="89">
        <v>1</v>
      </c>
      <c r="H2733" s="89">
        <v>3746.27</v>
      </c>
      <c r="I2733" s="85">
        <v>0</v>
      </c>
      <c r="J2733" s="85">
        <v>187.31</v>
      </c>
      <c r="K2733" s="85">
        <v>3933.58</v>
      </c>
      <c r="L2733" s="85">
        <v>34034.85</v>
      </c>
      <c r="M2733" s="89">
        <v>3746.27</v>
      </c>
      <c r="N2733" s="85">
        <v>0</v>
      </c>
      <c r="O2733" s="85">
        <v>187.31</v>
      </c>
      <c r="P2733" s="85">
        <v>3933.58</v>
      </c>
      <c r="Q2733" s="85">
        <v>34034.85</v>
      </c>
      <c r="R2733" s="82" t="s">
        <v>3399</v>
      </c>
      <c r="S2733" s="7">
        <f t="shared" si="127"/>
        <v>0</v>
      </c>
      <c r="T2733" s="6">
        <f t="shared" si="128"/>
        <v>0</v>
      </c>
      <c r="U2733" s="25">
        <f t="shared" si="126"/>
        <v>0</v>
      </c>
    </row>
    <row r="2734" spans="1:21" ht="10.9" customHeight="1" x14ac:dyDescent="0.2">
      <c r="A2734" s="82" t="s">
        <v>3377</v>
      </c>
      <c r="B2734" s="83">
        <v>45986</v>
      </c>
      <c r="C2734" s="82" t="s">
        <v>3395</v>
      </c>
      <c r="D2734" s="82" t="s">
        <v>153</v>
      </c>
      <c r="E2734" s="82"/>
      <c r="F2734" s="82" t="s">
        <v>4440</v>
      </c>
      <c r="G2734" s="89">
        <v>1</v>
      </c>
      <c r="H2734" s="89">
        <v>4644.32</v>
      </c>
      <c r="I2734" s="85">
        <v>0</v>
      </c>
      <c r="J2734" s="85">
        <v>232.22</v>
      </c>
      <c r="K2734" s="85">
        <v>4876.54</v>
      </c>
      <c r="L2734" s="85">
        <v>34034.85</v>
      </c>
      <c r="M2734" s="89">
        <v>4644.32</v>
      </c>
      <c r="N2734" s="85">
        <v>0</v>
      </c>
      <c r="O2734" s="85">
        <v>232.22</v>
      </c>
      <c r="P2734" s="85">
        <v>4876.54</v>
      </c>
      <c r="Q2734" s="85">
        <v>34034.85</v>
      </c>
      <c r="R2734" s="82" t="s">
        <v>3399</v>
      </c>
      <c r="S2734" s="7">
        <f t="shared" si="127"/>
        <v>0</v>
      </c>
      <c r="T2734" s="6">
        <f t="shared" si="128"/>
        <v>0</v>
      </c>
      <c r="U2734" s="25">
        <f t="shared" si="126"/>
        <v>0</v>
      </c>
    </row>
    <row r="2735" spans="1:21" ht="10.9" customHeight="1" x14ac:dyDescent="0.2">
      <c r="A2735" s="82" t="s">
        <v>3374</v>
      </c>
      <c r="B2735" s="83">
        <v>45986</v>
      </c>
      <c r="C2735" s="82" t="s">
        <v>3395</v>
      </c>
      <c r="D2735" s="82" t="s">
        <v>161</v>
      </c>
      <c r="E2735" s="82"/>
      <c r="F2735" s="82" t="s">
        <v>4450</v>
      </c>
      <c r="G2735" s="89">
        <v>1</v>
      </c>
      <c r="H2735" s="89">
        <v>2721.98</v>
      </c>
      <c r="I2735" s="85">
        <v>0</v>
      </c>
      <c r="J2735" s="85">
        <v>136.1</v>
      </c>
      <c r="K2735" s="85">
        <v>2858.08</v>
      </c>
      <c r="L2735" s="85">
        <v>6453.87</v>
      </c>
      <c r="M2735" s="89">
        <v>2721.98</v>
      </c>
      <c r="N2735" s="85">
        <v>0</v>
      </c>
      <c r="O2735" s="85">
        <v>136.1</v>
      </c>
      <c r="P2735" s="85">
        <v>2858.08</v>
      </c>
      <c r="Q2735" s="85">
        <v>6453.87</v>
      </c>
      <c r="R2735" s="82" t="s">
        <v>3399</v>
      </c>
      <c r="S2735" s="7">
        <f t="shared" si="127"/>
        <v>0</v>
      </c>
      <c r="T2735" s="6">
        <f t="shared" si="128"/>
        <v>0</v>
      </c>
      <c r="U2735" s="25">
        <f t="shared" si="126"/>
        <v>0</v>
      </c>
    </row>
    <row r="2736" spans="1:21" ht="10.9" customHeight="1" x14ac:dyDescent="0.2">
      <c r="A2736" s="82" t="s">
        <v>3374</v>
      </c>
      <c r="B2736" s="83">
        <v>45986</v>
      </c>
      <c r="C2736" s="82" t="s">
        <v>3395</v>
      </c>
      <c r="D2736" s="82" t="s">
        <v>161</v>
      </c>
      <c r="E2736" s="82"/>
      <c r="F2736" s="82" t="s">
        <v>4449</v>
      </c>
      <c r="G2736" s="89">
        <v>1</v>
      </c>
      <c r="H2736" s="89">
        <v>2075.85</v>
      </c>
      <c r="I2736" s="85">
        <v>0</v>
      </c>
      <c r="J2736" s="85">
        <v>103.79</v>
      </c>
      <c r="K2736" s="85">
        <v>2179.64</v>
      </c>
      <c r="L2736" s="85">
        <v>6453.87</v>
      </c>
      <c r="M2736" s="89">
        <v>2075.85</v>
      </c>
      <c r="N2736" s="85">
        <v>0</v>
      </c>
      <c r="O2736" s="85">
        <v>103.79</v>
      </c>
      <c r="P2736" s="85">
        <v>2179.64</v>
      </c>
      <c r="Q2736" s="85">
        <v>6453.87</v>
      </c>
      <c r="R2736" s="82" t="s">
        <v>3399</v>
      </c>
      <c r="S2736" s="7">
        <f t="shared" si="127"/>
        <v>0</v>
      </c>
      <c r="T2736" s="6">
        <f t="shared" si="128"/>
        <v>0</v>
      </c>
      <c r="U2736" s="25">
        <f t="shared" si="126"/>
        <v>0</v>
      </c>
    </row>
    <row r="2737" spans="1:21" ht="10.9" customHeight="1" x14ac:dyDescent="0.2">
      <c r="A2737" s="82" t="s">
        <v>3374</v>
      </c>
      <c r="B2737" s="83">
        <v>45986</v>
      </c>
      <c r="C2737" s="82" t="s">
        <v>3395</v>
      </c>
      <c r="D2737" s="82" t="s">
        <v>161</v>
      </c>
      <c r="E2737" s="82"/>
      <c r="F2737" s="82" t="s">
        <v>4448</v>
      </c>
      <c r="G2737" s="89">
        <v>1</v>
      </c>
      <c r="H2737" s="89">
        <v>1348.71</v>
      </c>
      <c r="I2737" s="85">
        <v>0</v>
      </c>
      <c r="J2737" s="85">
        <v>67.44</v>
      </c>
      <c r="K2737" s="85">
        <v>1416.15</v>
      </c>
      <c r="L2737" s="85">
        <v>6453.87</v>
      </c>
      <c r="M2737" s="89">
        <v>1348.71</v>
      </c>
      <c r="N2737" s="85">
        <v>0</v>
      </c>
      <c r="O2737" s="85">
        <v>67.44</v>
      </c>
      <c r="P2737" s="85">
        <v>1416.15</v>
      </c>
      <c r="Q2737" s="85">
        <v>6453.87</v>
      </c>
      <c r="R2737" s="82" t="s">
        <v>3399</v>
      </c>
      <c r="S2737" s="7">
        <f t="shared" si="127"/>
        <v>0</v>
      </c>
      <c r="T2737" s="6">
        <f t="shared" si="128"/>
        <v>0</v>
      </c>
      <c r="U2737" s="25">
        <f t="shared" si="126"/>
        <v>0</v>
      </c>
    </row>
    <row r="2738" spans="1:21" ht="10.9" customHeight="1" x14ac:dyDescent="0.2">
      <c r="A2738" s="82" t="s">
        <v>3387</v>
      </c>
      <c r="B2738" s="83">
        <v>45986</v>
      </c>
      <c r="C2738" s="82" t="s">
        <v>3395</v>
      </c>
      <c r="D2738" s="82" t="s">
        <v>103</v>
      </c>
      <c r="E2738" s="82"/>
      <c r="F2738" s="82" t="s">
        <v>4499</v>
      </c>
      <c r="G2738" s="89">
        <v>1</v>
      </c>
      <c r="H2738" s="89">
        <v>1429.78</v>
      </c>
      <c r="I2738" s="85">
        <v>0</v>
      </c>
      <c r="J2738" s="85">
        <v>71.489999999999995</v>
      </c>
      <c r="K2738" s="85">
        <v>1501.27</v>
      </c>
      <c r="L2738" s="85">
        <v>1501.27</v>
      </c>
      <c r="M2738" s="89">
        <v>1429.78</v>
      </c>
      <c r="N2738" s="85">
        <v>0</v>
      </c>
      <c r="O2738" s="85">
        <v>71.489999999999995</v>
      </c>
      <c r="P2738" s="85">
        <v>1501.27</v>
      </c>
      <c r="Q2738" s="85">
        <v>1501.27</v>
      </c>
      <c r="R2738" s="82" t="s">
        <v>3399</v>
      </c>
      <c r="S2738" s="7">
        <f t="shared" si="127"/>
        <v>0</v>
      </c>
      <c r="T2738" s="6">
        <f t="shared" si="128"/>
        <v>0</v>
      </c>
      <c r="U2738" s="25">
        <f t="shared" si="126"/>
        <v>0</v>
      </c>
    </row>
    <row r="2739" spans="1:21" ht="10.9" customHeight="1" x14ac:dyDescent="0.2">
      <c r="A2739" s="82" t="s">
        <v>3383</v>
      </c>
      <c r="B2739" s="83">
        <v>45986</v>
      </c>
      <c r="C2739" s="82" t="s">
        <v>3395</v>
      </c>
      <c r="D2739" s="82" t="s">
        <v>113</v>
      </c>
      <c r="E2739" s="82"/>
      <c r="F2739" s="82" t="s">
        <v>4498</v>
      </c>
      <c r="G2739" s="89">
        <v>1</v>
      </c>
      <c r="H2739" s="89">
        <v>754.36</v>
      </c>
      <c r="I2739" s="85">
        <v>0</v>
      </c>
      <c r="J2739" s="85">
        <v>37.72</v>
      </c>
      <c r="K2739" s="85">
        <v>792.08</v>
      </c>
      <c r="L2739" s="85">
        <v>792.08</v>
      </c>
      <c r="M2739" s="89">
        <v>754.36</v>
      </c>
      <c r="N2739" s="85">
        <v>0</v>
      </c>
      <c r="O2739" s="85">
        <v>37.72</v>
      </c>
      <c r="P2739" s="85">
        <v>792.08</v>
      </c>
      <c r="Q2739" s="85">
        <v>792.08</v>
      </c>
      <c r="R2739" s="82" t="s">
        <v>3399</v>
      </c>
      <c r="S2739" s="7">
        <f t="shared" si="127"/>
        <v>0</v>
      </c>
      <c r="T2739" s="6">
        <f t="shared" si="128"/>
        <v>0</v>
      </c>
      <c r="U2739" s="25">
        <f t="shared" si="126"/>
        <v>0</v>
      </c>
    </row>
    <row r="2740" spans="1:21" ht="10.9" customHeight="1" x14ac:dyDescent="0.2">
      <c r="A2740" s="82" t="s">
        <v>3380</v>
      </c>
      <c r="B2740" s="83">
        <v>45986</v>
      </c>
      <c r="C2740" s="82" t="s">
        <v>3395</v>
      </c>
      <c r="D2740" s="82" t="s">
        <v>137</v>
      </c>
      <c r="E2740" s="82"/>
      <c r="F2740" s="82" t="s">
        <v>4497</v>
      </c>
      <c r="G2740" s="89">
        <v>7</v>
      </c>
      <c r="H2740" s="89">
        <v>55.42</v>
      </c>
      <c r="I2740" s="85">
        <v>0</v>
      </c>
      <c r="J2740" s="85">
        <v>19.399999999999999</v>
      </c>
      <c r="K2740" s="85">
        <v>407.34</v>
      </c>
      <c r="L2740" s="85">
        <v>407.34</v>
      </c>
      <c r="M2740" s="89">
        <v>55.42</v>
      </c>
      <c r="N2740" s="85">
        <v>0</v>
      </c>
      <c r="O2740" s="85">
        <v>19.399999999999999</v>
      </c>
      <c r="P2740" s="85">
        <v>407.34</v>
      </c>
      <c r="Q2740" s="85">
        <v>407.34</v>
      </c>
      <c r="R2740" s="82" t="s">
        <v>3399</v>
      </c>
      <c r="S2740" s="7">
        <f t="shared" si="127"/>
        <v>0</v>
      </c>
      <c r="T2740" s="6">
        <f t="shared" si="128"/>
        <v>0</v>
      </c>
      <c r="U2740" s="25">
        <f t="shared" si="126"/>
        <v>0</v>
      </c>
    </row>
    <row r="2741" spans="1:21" ht="10.9" customHeight="1" x14ac:dyDescent="0.2">
      <c r="A2741" s="82" t="s">
        <v>3382</v>
      </c>
      <c r="B2741" s="83">
        <v>45986</v>
      </c>
      <c r="C2741" s="82" t="s">
        <v>3395</v>
      </c>
      <c r="D2741" s="82" t="s">
        <v>120</v>
      </c>
      <c r="E2741" s="82"/>
      <c r="F2741" s="82" t="s">
        <v>4496</v>
      </c>
      <c r="G2741" s="89">
        <v>1</v>
      </c>
      <c r="H2741" s="89">
        <v>1828.7</v>
      </c>
      <c r="I2741" s="85">
        <v>0</v>
      </c>
      <c r="J2741" s="85">
        <v>91.44</v>
      </c>
      <c r="K2741" s="85">
        <v>1920.14</v>
      </c>
      <c r="L2741" s="85">
        <v>1920.14</v>
      </c>
      <c r="M2741" s="89">
        <v>1828.7</v>
      </c>
      <c r="N2741" s="85">
        <v>0</v>
      </c>
      <c r="O2741" s="85">
        <v>91.44</v>
      </c>
      <c r="P2741" s="85">
        <v>1920.14</v>
      </c>
      <c r="Q2741" s="85">
        <v>1920.14</v>
      </c>
      <c r="R2741" s="82" t="s">
        <v>3396</v>
      </c>
      <c r="S2741" s="7">
        <f t="shared" si="127"/>
        <v>0</v>
      </c>
      <c r="T2741" s="6">
        <f t="shared" si="128"/>
        <v>0</v>
      </c>
      <c r="U2741" s="25">
        <f t="shared" si="126"/>
        <v>0</v>
      </c>
    </row>
    <row r="2742" spans="1:21" ht="10.9" customHeight="1" x14ac:dyDescent="0.2">
      <c r="A2742" s="82" t="s">
        <v>3384</v>
      </c>
      <c r="B2742" s="83">
        <v>45986</v>
      </c>
      <c r="C2742" s="82" t="s">
        <v>3395</v>
      </c>
      <c r="D2742" s="82" t="s">
        <v>111</v>
      </c>
      <c r="E2742" s="82"/>
      <c r="F2742" s="82" t="s">
        <v>4495</v>
      </c>
      <c r="G2742" s="89">
        <v>1</v>
      </c>
      <c r="H2742" s="89">
        <v>209.18</v>
      </c>
      <c r="I2742" s="85">
        <v>0</v>
      </c>
      <c r="J2742" s="85">
        <v>27.19</v>
      </c>
      <c r="K2742" s="85">
        <v>236.37</v>
      </c>
      <c r="L2742" s="85">
        <v>236.37</v>
      </c>
      <c r="M2742" s="89">
        <v>209.18</v>
      </c>
      <c r="N2742" s="85">
        <v>0</v>
      </c>
      <c r="O2742" s="85">
        <v>27.19</v>
      </c>
      <c r="P2742" s="85">
        <v>236.37</v>
      </c>
      <c r="Q2742" s="85">
        <v>236.37</v>
      </c>
      <c r="R2742" s="82" t="s">
        <v>3399</v>
      </c>
      <c r="S2742" s="7">
        <f t="shared" si="127"/>
        <v>0</v>
      </c>
      <c r="T2742" s="6">
        <f t="shared" si="128"/>
        <v>0</v>
      </c>
      <c r="U2742" s="25">
        <f t="shared" si="126"/>
        <v>0</v>
      </c>
    </row>
    <row r="2743" spans="1:21" ht="10.9" customHeight="1" x14ac:dyDescent="0.2">
      <c r="A2743" s="82" t="s">
        <v>3378</v>
      </c>
      <c r="B2743" s="83">
        <v>45987</v>
      </c>
      <c r="C2743" s="82" t="s">
        <v>3395</v>
      </c>
      <c r="D2743" s="82" t="s">
        <v>3402</v>
      </c>
      <c r="E2743" s="82"/>
      <c r="F2743" s="82" t="s">
        <v>4421</v>
      </c>
      <c r="G2743" s="89">
        <v>1</v>
      </c>
      <c r="H2743" s="89">
        <v>1994.1</v>
      </c>
      <c r="I2743" s="85">
        <v>0</v>
      </c>
      <c r="J2743" s="85">
        <v>0</v>
      </c>
      <c r="K2743" s="85">
        <v>1994.1</v>
      </c>
      <c r="L2743" s="85">
        <v>4296.12</v>
      </c>
      <c r="M2743" s="89">
        <v>2801.9694299950256</v>
      </c>
      <c r="N2743" s="85">
        <v>0</v>
      </c>
      <c r="O2743" s="85">
        <v>0</v>
      </c>
      <c r="P2743" s="85">
        <v>2801.9694299950256</v>
      </c>
      <c r="Q2743" s="85">
        <v>6036.6064428013797</v>
      </c>
      <c r="R2743" s="82" t="s">
        <v>3396</v>
      </c>
      <c r="S2743" s="7">
        <f t="shared" si="127"/>
        <v>0</v>
      </c>
      <c r="T2743" s="6">
        <f t="shared" si="128"/>
        <v>0</v>
      </c>
      <c r="U2743" s="25">
        <f t="shared" si="126"/>
        <v>0</v>
      </c>
    </row>
    <row r="2744" spans="1:21" ht="10.9" customHeight="1" x14ac:dyDescent="0.2">
      <c r="A2744" s="82" t="s">
        <v>3378</v>
      </c>
      <c r="B2744" s="83">
        <v>45987</v>
      </c>
      <c r="C2744" s="82" t="s">
        <v>3395</v>
      </c>
      <c r="D2744" s="82" t="s">
        <v>3402</v>
      </c>
      <c r="E2744" s="82"/>
      <c r="F2744" s="82" t="s">
        <v>4420</v>
      </c>
      <c r="G2744" s="89">
        <v>1</v>
      </c>
      <c r="H2744" s="89">
        <v>1598.02</v>
      </c>
      <c r="I2744" s="85">
        <v>0</v>
      </c>
      <c r="J2744" s="85">
        <v>0</v>
      </c>
      <c r="K2744" s="85">
        <v>1598.02</v>
      </c>
      <c r="L2744" s="85">
        <v>4296.12</v>
      </c>
      <c r="M2744" s="89">
        <v>2245.4255997796758</v>
      </c>
      <c r="N2744" s="85">
        <v>0</v>
      </c>
      <c r="O2744" s="85">
        <v>0</v>
      </c>
      <c r="P2744" s="85">
        <v>2245.4255997796758</v>
      </c>
      <c r="Q2744" s="85">
        <v>6036.6064428013797</v>
      </c>
      <c r="R2744" s="82" t="s">
        <v>3396</v>
      </c>
      <c r="S2744" s="7">
        <f t="shared" si="127"/>
        <v>0</v>
      </c>
      <c r="T2744" s="6">
        <f t="shared" si="128"/>
        <v>0</v>
      </c>
      <c r="U2744" s="25">
        <f t="shared" si="126"/>
        <v>0</v>
      </c>
    </row>
    <row r="2745" spans="1:21" ht="10.9" customHeight="1" x14ac:dyDescent="0.2">
      <c r="A2745" s="82" t="s">
        <v>3378</v>
      </c>
      <c r="B2745" s="83">
        <v>45987</v>
      </c>
      <c r="C2745" s="82" t="s">
        <v>3395</v>
      </c>
      <c r="D2745" s="82" t="s">
        <v>3402</v>
      </c>
      <c r="E2745" s="82"/>
      <c r="F2745" s="82" t="s">
        <v>4393</v>
      </c>
      <c r="G2745" s="89">
        <v>1</v>
      </c>
      <c r="H2745" s="89">
        <v>704</v>
      </c>
      <c r="I2745" s="85">
        <v>0</v>
      </c>
      <c r="J2745" s="85">
        <v>0</v>
      </c>
      <c r="K2745" s="85">
        <v>704</v>
      </c>
      <c r="L2745" s="85">
        <v>4296.12</v>
      </c>
      <c r="M2745" s="89">
        <v>989.21141302667775</v>
      </c>
      <c r="N2745" s="85">
        <v>0</v>
      </c>
      <c r="O2745" s="85">
        <v>0</v>
      </c>
      <c r="P2745" s="85">
        <v>989.21141302667775</v>
      </c>
      <c r="Q2745" s="85">
        <v>6036.6064428013797</v>
      </c>
      <c r="R2745" s="82" t="s">
        <v>3396</v>
      </c>
      <c r="S2745" s="7" t="str">
        <f t="shared" si="127"/>
        <v>INV13689</v>
      </c>
      <c r="T2745" s="6">
        <f t="shared" si="128"/>
        <v>1</v>
      </c>
      <c r="U2745" s="25">
        <f t="shared" si="126"/>
        <v>704</v>
      </c>
    </row>
    <row r="2746" spans="1:21" ht="10.9" customHeight="1" x14ac:dyDescent="0.2">
      <c r="A2746" s="82" t="s">
        <v>3110</v>
      </c>
      <c r="B2746" s="83">
        <v>45987</v>
      </c>
      <c r="C2746" s="82" t="s">
        <v>3395</v>
      </c>
      <c r="D2746" s="82" t="s">
        <v>792</v>
      </c>
      <c r="E2746" s="82"/>
      <c r="F2746" s="82" t="s">
        <v>4419</v>
      </c>
      <c r="G2746" s="89">
        <v>1</v>
      </c>
      <c r="H2746" s="89">
        <v>11784.05</v>
      </c>
      <c r="I2746" s="85">
        <v>0</v>
      </c>
      <c r="J2746" s="85">
        <v>0</v>
      </c>
      <c r="K2746" s="85">
        <v>11784.05</v>
      </c>
      <c r="L2746" s="85">
        <v>11784.05</v>
      </c>
      <c r="M2746" s="89">
        <v>16538.437247815866</v>
      </c>
      <c r="N2746" s="85">
        <v>0</v>
      </c>
      <c r="O2746" s="85">
        <v>0</v>
      </c>
      <c r="P2746" s="85">
        <v>16538.437247815866</v>
      </c>
      <c r="Q2746" s="85">
        <v>16538.437247815866</v>
      </c>
      <c r="R2746" s="82" t="s">
        <v>3396</v>
      </c>
      <c r="S2746" s="7">
        <f t="shared" si="127"/>
        <v>0</v>
      </c>
      <c r="T2746" s="6">
        <f t="shared" si="128"/>
        <v>0</v>
      </c>
      <c r="U2746" s="25">
        <f t="shared" si="126"/>
        <v>0</v>
      </c>
    </row>
    <row r="2747" spans="1:21" ht="10.9" customHeight="1" x14ac:dyDescent="0.2">
      <c r="A2747" s="82" t="s">
        <v>3334</v>
      </c>
      <c r="B2747" s="83">
        <v>45987</v>
      </c>
      <c r="C2747" s="82" t="s">
        <v>3395</v>
      </c>
      <c r="D2747" s="82" t="s">
        <v>287</v>
      </c>
      <c r="E2747" s="82"/>
      <c r="F2747" s="82" t="s">
        <v>4423</v>
      </c>
      <c r="G2747" s="89">
        <v>2</v>
      </c>
      <c r="H2747" s="89">
        <v>72.69</v>
      </c>
      <c r="I2747" s="85">
        <v>0</v>
      </c>
      <c r="J2747" s="85">
        <v>0</v>
      </c>
      <c r="K2747" s="85">
        <v>145.38</v>
      </c>
      <c r="L2747" s="85">
        <v>145.38</v>
      </c>
      <c r="M2747" s="89">
        <v>102.01747307112031</v>
      </c>
      <c r="N2747" s="85">
        <v>0</v>
      </c>
      <c r="O2747" s="85">
        <v>0</v>
      </c>
      <c r="P2747" s="85">
        <v>204.03494614224061</v>
      </c>
      <c r="Q2747" s="85">
        <v>204.03494614224061</v>
      </c>
      <c r="R2747" s="82" t="s">
        <v>3396</v>
      </c>
      <c r="S2747" s="7">
        <f t="shared" si="127"/>
        <v>0</v>
      </c>
      <c r="T2747" s="6">
        <f t="shared" si="128"/>
        <v>0</v>
      </c>
      <c r="U2747" s="25">
        <f t="shared" si="126"/>
        <v>0</v>
      </c>
    </row>
    <row r="2748" spans="1:21" ht="10.9" customHeight="1" x14ac:dyDescent="0.2">
      <c r="A2748" s="82" t="s">
        <v>3335</v>
      </c>
      <c r="B2748" s="83">
        <v>45987</v>
      </c>
      <c r="C2748" s="82" t="s">
        <v>3395</v>
      </c>
      <c r="D2748" s="82" t="s">
        <v>285</v>
      </c>
      <c r="E2748" s="82"/>
      <c r="F2748" s="82" t="s">
        <v>4422</v>
      </c>
      <c r="G2748" s="89">
        <v>2</v>
      </c>
      <c r="H2748" s="89">
        <v>755.81</v>
      </c>
      <c r="I2748" s="85">
        <v>0</v>
      </c>
      <c r="J2748" s="85">
        <v>0</v>
      </c>
      <c r="K2748" s="85">
        <v>1511.62</v>
      </c>
      <c r="L2748" s="85">
        <v>1511.62</v>
      </c>
      <c r="M2748" s="89">
        <v>1060.748745658047</v>
      </c>
      <c r="N2748" s="85">
        <v>0</v>
      </c>
      <c r="O2748" s="85">
        <v>0</v>
      </c>
      <c r="P2748" s="85">
        <v>2121.4974913160941</v>
      </c>
      <c r="Q2748" s="85">
        <v>2121.4974913160941</v>
      </c>
      <c r="R2748" s="82" t="s">
        <v>3396</v>
      </c>
      <c r="S2748" s="7">
        <f t="shared" si="127"/>
        <v>0</v>
      </c>
      <c r="T2748" s="6">
        <f t="shared" si="128"/>
        <v>0</v>
      </c>
      <c r="U2748" s="25">
        <f t="shared" si="126"/>
        <v>0</v>
      </c>
    </row>
    <row r="2749" spans="1:21" ht="10.9" customHeight="1" x14ac:dyDescent="0.2">
      <c r="A2749" s="82" t="s">
        <v>3288</v>
      </c>
      <c r="B2749" s="83">
        <v>45987</v>
      </c>
      <c r="C2749" s="82" t="s">
        <v>3395</v>
      </c>
      <c r="D2749" s="82" t="s">
        <v>397</v>
      </c>
      <c r="E2749" s="82"/>
      <c r="F2749" s="82" t="s">
        <v>4434</v>
      </c>
      <c r="G2749" s="89">
        <v>1</v>
      </c>
      <c r="H2749" s="89">
        <v>7695</v>
      </c>
      <c r="I2749" s="85">
        <v>0</v>
      </c>
      <c r="J2749" s="85">
        <v>384.75</v>
      </c>
      <c r="K2749" s="85">
        <v>8079.75</v>
      </c>
      <c r="L2749" s="85">
        <v>8079.75</v>
      </c>
      <c r="M2749" s="89">
        <v>7695</v>
      </c>
      <c r="N2749" s="85">
        <v>0</v>
      </c>
      <c r="O2749" s="85">
        <v>384.75</v>
      </c>
      <c r="P2749" s="85">
        <v>8079.75</v>
      </c>
      <c r="Q2749" s="85">
        <v>8079.75</v>
      </c>
      <c r="R2749" s="82" t="s">
        <v>3396</v>
      </c>
      <c r="S2749" s="7">
        <f t="shared" si="127"/>
        <v>0</v>
      </c>
      <c r="T2749" s="6">
        <f t="shared" si="128"/>
        <v>0</v>
      </c>
      <c r="U2749" s="25">
        <f t="shared" si="126"/>
        <v>0</v>
      </c>
    </row>
    <row r="2750" spans="1:21" ht="10.9" customHeight="1" x14ac:dyDescent="0.2">
      <c r="A2750" s="82" t="s">
        <v>3381</v>
      </c>
      <c r="B2750" s="83">
        <v>45987</v>
      </c>
      <c r="C2750" s="82" t="s">
        <v>3395</v>
      </c>
      <c r="D2750" s="82" t="s">
        <v>125</v>
      </c>
      <c r="E2750" s="82"/>
      <c r="F2750" s="82" t="s">
        <v>4428</v>
      </c>
      <c r="G2750" s="89">
        <v>1</v>
      </c>
      <c r="H2750" s="89">
        <v>135.54</v>
      </c>
      <c r="I2750" s="85">
        <v>0</v>
      </c>
      <c r="J2750" s="85">
        <v>17.62</v>
      </c>
      <c r="K2750" s="85">
        <v>153.16</v>
      </c>
      <c r="L2750" s="85">
        <v>1796.1</v>
      </c>
      <c r="M2750" s="89">
        <v>135.54</v>
      </c>
      <c r="N2750" s="85">
        <v>0</v>
      </c>
      <c r="O2750" s="85">
        <v>17.62</v>
      </c>
      <c r="P2750" s="85">
        <v>153.16</v>
      </c>
      <c r="Q2750" s="85">
        <v>1796.1</v>
      </c>
      <c r="R2750" s="82" t="s">
        <v>3399</v>
      </c>
      <c r="S2750" s="7">
        <f t="shared" si="127"/>
        <v>0</v>
      </c>
      <c r="T2750" s="6">
        <f t="shared" si="128"/>
        <v>0</v>
      </c>
      <c r="U2750" s="25">
        <f t="shared" si="126"/>
        <v>0</v>
      </c>
    </row>
    <row r="2751" spans="1:21" ht="10.9" customHeight="1" x14ac:dyDescent="0.2">
      <c r="A2751" s="82" t="s">
        <v>3381</v>
      </c>
      <c r="B2751" s="83">
        <v>45987</v>
      </c>
      <c r="C2751" s="82" t="s">
        <v>3395</v>
      </c>
      <c r="D2751" s="82" t="s">
        <v>125</v>
      </c>
      <c r="E2751" s="82"/>
      <c r="F2751" s="82" t="s">
        <v>4439</v>
      </c>
      <c r="G2751" s="89">
        <v>2</v>
      </c>
      <c r="H2751" s="89">
        <v>19.89</v>
      </c>
      <c r="I2751" s="85">
        <v>0</v>
      </c>
      <c r="J2751" s="85">
        <v>5.17</v>
      </c>
      <c r="K2751" s="85">
        <v>44.95</v>
      </c>
      <c r="L2751" s="85">
        <v>1796.1</v>
      </c>
      <c r="M2751" s="89">
        <v>19.89</v>
      </c>
      <c r="N2751" s="85">
        <v>0</v>
      </c>
      <c r="O2751" s="85">
        <v>5.17</v>
      </c>
      <c r="P2751" s="85">
        <v>44.95</v>
      </c>
      <c r="Q2751" s="85">
        <v>1796.1</v>
      </c>
      <c r="R2751" s="82" t="s">
        <v>3399</v>
      </c>
      <c r="S2751" s="7">
        <f t="shared" si="127"/>
        <v>0</v>
      </c>
      <c r="T2751" s="6">
        <f t="shared" si="128"/>
        <v>0</v>
      </c>
      <c r="U2751" s="25">
        <f t="shared" si="126"/>
        <v>0</v>
      </c>
    </row>
    <row r="2752" spans="1:21" ht="10.9" customHeight="1" x14ac:dyDescent="0.2">
      <c r="A2752" s="82" t="s">
        <v>3381</v>
      </c>
      <c r="B2752" s="83">
        <v>45987</v>
      </c>
      <c r="C2752" s="82" t="s">
        <v>3395</v>
      </c>
      <c r="D2752" s="82" t="s">
        <v>125</v>
      </c>
      <c r="E2752" s="82"/>
      <c r="F2752" s="82" t="s">
        <v>4438</v>
      </c>
      <c r="G2752" s="89">
        <v>1</v>
      </c>
      <c r="H2752" s="89">
        <v>34.11</v>
      </c>
      <c r="I2752" s="85">
        <v>0</v>
      </c>
      <c r="J2752" s="85">
        <v>4.43</v>
      </c>
      <c r="K2752" s="85">
        <v>38.54</v>
      </c>
      <c r="L2752" s="85">
        <v>1796.1</v>
      </c>
      <c r="M2752" s="89">
        <v>34.11</v>
      </c>
      <c r="N2752" s="85">
        <v>0</v>
      </c>
      <c r="O2752" s="85">
        <v>4.43</v>
      </c>
      <c r="P2752" s="85">
        <v>38.54</v>
      </c>
      <c r="Q2752" s="85">
        <v>1796.1</v>
      </c>
      <c r="R2752" s="82" t="s">
        <v>3399</v>
      </c>
      <c r="S2752" s="7">
        <f t="shared" si="127"/>
        <v>0</v>
      </c>
      <c r="T2752" s="6">
        <f t="shared" si="128"/>
        <v>0</v>
      </c>
      <c r="U2752" s="25">
        <f t="shared" si="126"/>
        <v>0</v>
      </c>
    </row>
    <row r="2753" spans="1:21" ht="10.9" customHeight="1" x14ac:dyDescent="0.2">
      <c r="A2753" s="82" t="s">
        <v>3381</v>
      </c>
      <c r="B2753" s="83">
        <v>45987</v>
      </c>
      <c r="C2753" s="82" t="s">
        <v>3395</v>
      </c>
      <c r="D2753" s="82" t="s">
        <v>125</v>
      </c>
      <c r="E2753" s="82"/>
      <c r="F2753" s="82" t="s">
        <v>4437</v>
      </c>
      <c r="G2753" s="89">
        <v>1</v>
      </c>
      <c r="H2753" s="89">
        <v>106.84</v>
      </c>
      <c r="I2753" s="85">
        <v>0</v>
      </c>
      <c r="J2753" s="85">
        <v>13.89</v>
      </c>
      <c r="K2753" s="85">
        <v>120.73</v>
      </c>
      <c r="L2753" s="85">
        <v>1796.1</v>
      </c>
      <c r="M2753" s="89">
        <v>106.84</v>
      </c>
      <c r="N2753" s="85">
        <v>0</v>
      </c>
      <c r="O2753" s="85">
        <v>13.89</v>
      </c>
      <c r="P2753" s="85">
        <v>120.73</v>
      </c>
      <c r="Q2753" s="85">
        <v>1796.1</v>
      </c>
      <c r="R2753" s="82" t="s">
        <v>3399</v>
      </c>
      <c r="S2753" s="7">
        <f t="shared" si="127"/>
        <v>0</v>
      </c>
      <c r="T2753" s="6">
        <f t="shared" si="128"/>
        <v>0</v>
      </c>
      <c r="U2753" s="25">
        <f t="shared" si="126"/>
        <v>0</v>
      </c>
    </row>
    <row r="2754" spans="1:21" ht="10.9" customHeight="1" x14ac:dyDescent="0.2">
      <c r="A2754" s="82" t="s">
        <v>3381</v>
      </c>
      <c r="B2754" s="83">
        <v>45987</v>
      </c>
      <c r="C2754" s="82" t="s">
        <v>3395</v>
      </c>
      <c r="D2754" s="82" t="s">
        <v>125</v>
      </c>
      <c r="E2754" s="82"/>
      <c r="F2754" s="82" t="s">
        <v>4436</v>
      </c>
      <c r="G2754" s="89">
        <v>1</v>
      </c>
      <c r="H2754" s="89">
        <v>269.97000000000003</v>
      </c>
      <c r="I2754" s="85">
        <v>0</v>
      </c>
      <c r="J2754" s="85">
        <v>35.1</v>
      </c>
      <c r="K2754" s="85">
        <v>305.07</v>
      </c>
      <c r="L2754" s="85">
        <v>1796.1</v>
      </c>
      <c r="M2754" s="89">
        <v>269.97000000000003</v>
      </c>
      <c r="N2754" s="85">
        <v>0</v>
      </c>
      <c r="O2754" s="85">
        <v>35.1</v>
      </c>
      <c r="P2754" s="85">
        <v>305.07</v>
      </c>
      <c r="Q2754" s="85">
        <v>1796.1</v>
      </c>
      <c r="R2754" s="82" t="s">
        <v>3399</v>
      </c>
      <c r="S2754" s="7">
        <f t="shared" si="127"/>
        <v>0</v>
      </c>
      <c r="T2754" s="6">
        <f t="shared" si="128"/>
        <v>0</v>
      </c>
      <c r="U2754" s="25">
        <f t="shared" ref="U2754:U2781" si="129">IF(T2754=1,K2754-J2754,0)</f>
        <v>0</v>
      </c>
    </row>
    <row r="2755" spans="1:21" ht="10.9" customHeight="1" x14ac:dyDescent="0.2">
      <c r="A2755" s="82" t="s">
        <v>3381</v>
      </c>
      <c r="B2755" s="83">
        <v>45987</v>
      </c>
      <c r="C2755" s="82" t="s">
        <v>3395</v>
      </c>
      <c r="D2755" s="82" t="s">
        <v>125</v>
      </c>
      <c r="E2755" s="82"/>
      <c r="F2755" s="82" t="s">
        <v>4435</v>
      </c>
      <c r="G2755" s="89">
        <v>1</v>
      </c>
      <c r="H2755" s="89">
        <v>869.42</v>
      </c>
      <c r="I2755" s="85">
        <v>0</v>
      </c>
      <c r="J2755" s="85">
        <v>113.02</v>
      </c>
      <c r="K2755" s="85">
        <v>982.44</v>
      </c>
      <c r="L2755" s="85">
        <v>1796.1</v>
      </c>
      <c r="M2755" s="89">
        <v>869.42</v>
      </c>
      <c r="N2755" s="85">
        <v>0</v>
      </c>
      <c r="O2755" s="85">
        <v>113.02</v>
      </c>
      <c r="P2755" s="85">
        <v>982.44</v>
      </c>
      <c r="Q2755" s="85">
        <v>1796.1</v>
      </c>
      <c r="R2755" s="82" t="s">
        <v>3399</v>
      </c>
      <c r="S2755" s="7">
        <f t="shared" ref="S2755:S2781" si="130">IF(T2755=1,A2755,0)</f>
        <v>0</v>
      </c>
      <c r="T2755" s="6">
        <f t="shared" ref="T2755:T2781" si="131">IFERROR(FIND("Freight",F2755,1),0)</f>
        <v>0</v>
      </c>
      <c r="U2755" s="25">
        <f t="shared" si="129"/>
        <v>0</v>
      </c>
    </row>
    <row r="2756" spans="1:21" ht="10.9" customHeight="1" x14ac:dyDescent="0.2">
      <c r="A2756" s="82" t="s">
        <v>3381</v>
      </c>
      <c r="B2756" s="83">
        <v>45987</v>
      </c>
      <c r="C2756" s="82" t="s">
        <v>3395</v>
      </c>
      <c r="D2756" s="82" t="s">
        <v>125</v>
      </c>
      <c r="E2756" s="82"/>
      <c r="F2756" s="82" t="s">
        <v>4433</v>
      </c>
      <c r="G2756" s="89">
        <v>1</v>
      </c>
      <c r="H2756" s="89">
        <v>133.81</v>
      </c>
      <c r="I2756" s="85">
        <v>0</v>
      </c>
      <c r="J2756" s="85">
        <v>17.399999999999999</v>
      </c>
      <c r="K2756" s="85">
        <v>151.21</v>
      </c>
      <c r="L2756" s="85">
        <v>1796.1</v>
      </c>
      <c r="M2756" s="89">
        <v>133.81</v>
      </c>
      <c r="N2756" s="85">
        <v>0</v>
      </c>
      <c r="O2756" s="85">
        <v>17.399999999999999</v>
      </c>
      <c r="P2756" s="85">
        <v>151.21</v>
      </c>
      <c r="Q2756" s="85">
        <v>1796.1</v>
      </c>
      <c r="R2756" s="82" t="s">
        <v>3399</v>
      </c>
      <c r="S2756" s="7">
        <f t="shared" si="130"/>
        <v>0</v>
      </c>
      <c r="T2756" s="6">
        <f t="shared" si="131"/>
        <v>0</v>
      </c>
      <c r="U2756" s="25">
        <f t="shared" si="129"/>
        <v>0</v>
      </c>
    </row>
    <row r="2757" spans="1:21" ht="10.9" customHeight="1" x14ac:dyDescent="0.2">
      <c r="A2757" s="82" t="s">
        <v>3386</v>
      </c>
      <c r="B2757" s="83">
        <v>45987</v>
      </c>
      <c r="C2757" s="82" t="s">
        <v>3395</v>
      </c>
      <c r="D2757" s="82" t="s">
        <v>106</v>
      </c>
      <c r="E2757" s="82"/>
      <c r="F2757" s="82" t="s">
        <v>4433</v>
      </c>
      <c r="G2757" s="89">
        <v>1</v>
      </c>
      <c r="H2757" s="89">
        <v>133.81</v>
      </c>
      <c r="I2757" s="85">
        <v>0</v>
      </c>
      <c r="J2757" s="85">
        <v>17.399999999999999</v>
      </c>
      <c r="K2757" s="85">
        <v>151.21</v>
      </c>
      <c r="L2757" s="85">
        <v>2302.27</v>
      </c>
      <c r="M2757" s="89">
        <v>133.81</v>
      </c>
      <c r="N2757" s="85">
        <v>0</v>
      </c>
      <c r="O2757" s="85">
        <v>17.399999999999999</v>
      </c>
      <c r="P2757" s="85">
        <v>151.21</v>
      </c>
      <c r="Q2757" s="85">
        <v>2302.27</v>
      </c>
      <c r="R2757" s="82" t="s">
        <v>3399</v>
      </c>
      <c r="S2757" s="7">
        <f t="shared" si="130"/>
        <v>0</v>
      </c>
      <c r="T2757" s="6">
        <f t="shared" si="131"/>
        <v>0</v>
      </c>
      <c r="U2757" s="25">
        <f t="shared" si="129"/>
        <v>0</v>
      </c>
    </row>
    <row r="2758" spans="1:21" ht="10.9" customHeight="1" x14ac:dyDescent="0.2">
      <c r="A2758" s="82" t="s">
        <v>3386</v>
      </c>
      <c r="B2758" s="83">
        <v>45987</v>
      </c>
      <c r="C2758" s="82" t="s">
        <v>3395</v>
      </c>
      <c r="D2758" s="82" t="s">
        <v>106</v>
      </c>
      <c r="E2758" s="82"/>
      <c r="F2758" s="82" t="s">
        <v>4432</v>
      </c>
      <c r="G2758" s="89">
        <v>1</v>
      </c>
      <c r="H2758" s="89">
        <v>912.98</v>
      </c>
      <c r="I2758" s="85">
        <v>0</v>
      </c>
      <c r="J2758" s="85">
        <v>118.69</v>
      </c>
      <c r="K2758" s="85">
        <v>1031.67</v>
      </c>
      <c r="L2758" s="85">
        <v>2302.27</v>
      </c>
      <c r="M2758" s="89">
        <v>912.98</v>
      </c>
      <c r="N2758" s="85">
        <v>0</v>
      </c>
      <c r="O2758" s="85">
        <v>118.69</v>
      </c>
      <c r="P2758" s="85">
        <v>1031.67</v>
      </c>
      <c r="Q2758" s="85">
        <v>2302.27</v>
      </c>
      <c r="R2758" s="82" t="s">
        <v>3399</v>
      </c>
      <c r="S2758" s="7">
        <f t="shared" si="130"/>
        <v>0</v>
      </c>
      <c r="T2758" s="6">
        <f t="shared" si="131"/>
        <v>0</v>
      </c>
      <c r="U2758" s="25">
        <f t="shared" si="129"/>
        <v>0</v>
      </c>
    </row>
    <row r="2759" spans="1:21" ht="10.9" customHeight="1" x14ac:dyDescent="0.2">
      <c r="A2759" s="82" t="s">
        <v>3386</v>
      </c>
      <c r="B2759" s="83">
        <v>45987</v>
      </c>
      <c r="C2759" s="82" t="s">
        <v>3395</v>
      </c>
      <c r="D2759" s="82" t="s">
        <v>106</v>
      </c>
      <c r="E2759" s="82"/>
      <c r="F2759" s="82" t="s">
        <v>4431</v>
      </c>
      <c r="G2759" s="89">
        <v>1</v>
      </c>
      <c r="H2759" s="89">
        <v>135.4</v>
      </c>
      <c r="I2759" s="85">
        <v>0</v>
      </c>
      <c r="J2759" s="85">
        <v>17.600000000000001</v>
      </c>
      <c r="K2759" s="85">
        <v>153</v>
      </c>
      <c r="L2759" s="85">
        <v>2302.27</v>
      </c>
      <c r="M2759" s="89">
        <v>135.4</v>
      </c>
      <c r="N2759" s="85">
        <v>0</v>
      </c>
      <c r="O2759" s="85">
        <v>17.600000000000001</v>
      </c>
      <c r="P2759" s="85">
        <v>153</v>
      </c>
      <c r="Q2759" s="85">
        <v>2302.27</v>
      </c>
      <c r="R2759" s="82" t="s">
        <v>3399</v>
      </c>
      <c r="S2759" s="7">
        <f t="shared" si="130"/>
        <v>0</v>
      </c>
      <c r="T2759" s="6">
        <f t="shared" si="131"/>
        <v>0</v>
      </c>
      <c r="U2759" s="25">
        <f t="shared" si="129"/>
        <v>0</v>
      </c>
    </row>
    <row r="2760" spans="1:21" ht="10.9" customHeight="1" x14ac:dyDescent="0.2">
      <c r="A2760" s="82" t="s">
        <v>3386</v>
      </c>
      <c r="B2760" s="83">
        <v>45987</v>
      </c>
      <c r="C2760" s="82" t="s">
        <v>3395</v>
      </c>
      <c r="D2760" s="82" t="s">
        <v>106</v>
      </c>
      <c r="E2760" s="82"/>
      <c r="F2760" s="82" t="s">
        <v>4430</v>
      </c>
      <c r="G2760" s="89">
        <v>1</v>
      </c>
      <c r="H2760" s="89">
        <v>557.34</v>
      </c>
      <c r="I2760" s="85">
        <v>0</v>
      </c>
      <c r="J2760" s="85">
        <v>72.45</v>
      </c>
      <c r="K2760" s="85">
        <v>629.79</v>
      </c>
      <c r="L2760" s="85">
        <v>2302.27</v>
      </c>
      <c r="M2760" s="89">
        <v>557.34</v>
      </c>
      <c r="N2760" s="85">
        <v>0</v>
      </c>
      <c r="O2760" s="85">
        <v>72.45</v>
      </c>
      <c r="P2760" s="85">
        <v>629.79</v>
      </c>
      <c r="Q2760" s="85">
        <v>2302.27</v>
      </c>
      <c r="R2760" s="82" t="s">
        <v>3399</v>
      </c>
      <c r="S2760" s="7">
        <f t="shared" si="130"/>
        <v>0</v>
      </c>
      <c r="T2760" s="6">
        <f t="shared" si="131"/>
        <v>0</v>
      </c>
      <c r="U2760" s="25">
        <f t="shared" si="129"/>
        <v>0</v>
      </c>
    </row>
    <row r="2761" spans="1:21" ht="10.9" customHeight="1" x14ac:dyDescent="0.2">
      <c r="A2761" s="82" t="s">
        <v>3386</v>
      </c>
      <c r="B2761" s="83">
        <v>45987</v>
      </c>
      <c r="C2761" s="82" t="s">
        <v>3395</v>
      </c>
      <c r="D2761" s="82" t="s">
        <v>106</v>
      </c>
      <c r="E2761" s="82"/>
      <c r="F2761" s="82" t="s">
        <v>4429</v>
      </c>
      <c r="G2761" s="89">
        <v>1</v>
      </c>
      <c r="H2761" s="89">
        <v>297.88</v>
      </c>
      <c r="I2761" s="85">
        <v>0</v>
      </c>
      <c r="J2761" s="85">
        <v>38.72</v>
      </c>
      <c r="K2761" s="85">
        <v>336.6</v>
      </c>
      <c r="L2761" s="85">
        <v>2302.27</v>
      </c>
      <c r="M2761" s="89">
        <v>297.88</v>
      </c>
      <c r="N2761" s="85">
        <v>0</v>
      </c>
      <c r="O2761" s="85">
        <v>38.72</v>
      </c>
      <c r="P2761" s="85">
        <v>336.6</v>
      </c>
      <c r="Q2761" s="85">
        <v>2302.27</v>
      </c>
      <c r="R2761" s="82" t="s">
        <v>3399</v>
      </c>
      <c r="S2761" s="7">
        <f t="shared" si="130"/>
        <v>0</v>
      </c>
      <c r="T2761" s="6">
        <f t="shared" si="131"/>
        <v>0</v>
      </c>
      <c r="U2761" s="25">
        <f t="shared" si="129"/>
        <v>0</v>
      </c>
    </row>
    <row r="2762" spans="1:21" ht="10.9" customHeight="1" x14ac:dyDescent="0.2">
      <c r="A2762" s="82" t="s">
        <v>3315</v>
      </c>
      <c r="B2762" s="83">
        <v>45987</v>
      </c>
      <c r="C2762" s="82" t="s">
        <v>3395</v>
      </c>
      <c r="D2762" s="82" t="s">
        <v>333</v>
      </c>
      <c r="E2762" s="82"/>
      <c r="F2762" s="82" t="s">
        <v>4428</v>
      </c>
      <c r="G2762" s="89">
        <v>1</v>
      </c>
      <c r="H2762" s="89">
        <v>135.54</v>
      </c>
      <c r="I2762" s="85">
        <v>0</v>
      </c>
      <c r="J2762" s="85">
        <v>17.62</v>
      </c>
      <c r="K2762" s="85">
        <v>153.16</v>
      </c>
      <c r="L2762" s="85">
        <v>728.44</v>
      </c>
      <c r="M2762" s="89">
        <v>135.54</v>
      </c>
      <c r="N2762" s="85">
        <v>0</v>
      </c>
      <c r="O2762" s="85">
        <v>17.62</v>
      </c>
      <c r="P2762" s="85">
        <v>153.16</v>
      </c>
      <c r="Q2762" s="85">
        <v>728.44</v>
      </c>
      <c r="R2762" s="82" t="s">
        <v>3399</v>
      </c>
      <c r="S2762" s="7">
        <f t="shared" si="130"/>
        <v>0</v>
      </c>
      <c r="T2762" s="6">
        <f t="shared" si="131"/>
        <v>0</v>
      </c>
      <c r="U2762" s="25">
        <f t="shared" si="129"/>
        <v>0</v>
      </c>
    </row>
    <row r="2763" spans="1:21" ht="10.9" customHeight="1" x14ac:dyDescent="0.2">
      <c r="A2763" s="82" t="s">
        <v>3315</v>
      </c>
      <c r="B2763" s="83">
        <v>45987</v>
      </c>
      <c r="C2763" s="82" t="s">
        <v>3395</v>
      </c>
      <c r="D2763" s="82" t="s">
        <v>333</v>
      </c>
      <c r="E2763" s="82"/>
      <c r="F2763" s="82" t="s">
        <v>4427</v>
      </c>
      <c r="G2763" s="89">
        <v>1</v>
      </c>
      <c r="H2763" s="89">
        <v>509.1</v>
      </c>
      <c r="I2763" s="85">
        <v>0</v>
      </c>
      <c r="J2763" s="85">
        <v>66.180000000000007</v>
      </c>
      <c r="K2763" s="85">
        <v>575.28</v>
      </c>
      <c r="L2763" s="85">
        <v>728.44</v>
      </c>
      <c r="M2763" s="89">
        <v>509.1</v>
      </c>
      <c r="N2763" s="85">
        <v>0</v>
      </c>
      <c r="O2763" s="85">
        <v>66.180000000000007</v>
      </c>
      <c r="P2763" s="85">
        <v>575.28</v>
      </c>
      <c r="Q2763" s="85">
        <v>728.44</v>
      </c>
      <c r="R2763" s="82" t="s">
        <v>3399</v>
      </c>
      <c r="S2763" s="7">
        <f t="shared" si="130"/>
        <v>0</v>
      </c>
      <c r="T2763" s="6">
        <f t="shared" si="131"/>
        <v>0</v>
      </c>
      <c r="U2763" s="25">
        <f t="shared" si="129"/>
        <v>0</v>
      </c>
    </row>
    <row r="2764" spans="1:21" ht="10.9" customHeight="1" x14ac:dyDescent="0.2">
      <c r="A2764" s="82" t="s">
        <v>3336</v>
      </c>
      <c r="B2764" s="83">
        <v>45987</v>
      </c>
      <c r="C2764" s="82" t="s">
        <v>3395</v>
      </c>
      <c r="D2764" s="82" t="s">
        <v>283</v>
      </c>
      <c r="E2764" s="82"/>
      <c r="F2764" s="82" t="s">
        <v>4426</v>
      </c>
      <c r="G2764" s="89">
        <v>1</v>
      </c>
      <c r="H2764" s="89">
        <v>156.61000000000001</v>
      </c>
      <c r="I2764" s="85">
        <v>0</v>
      </c>
      <c r="J2764" s="85">
        <v>20.36</v>
      </c>
      <c r="K2764" s="85">
        <v>176.97</v>
      </c>
      <c r="L2764" s="85">
        <v>176.97</v>
      </c>
      <c r="M2764" s="89">
        <v>156.61000000000001</v>
      </c>
      <c r="N2764" s="85">
        <v>0</v>
      </c>
      <c r="O2764" s="85">
        <v>20.36</v>
      </c>
      <c r="P2764" s="85">
        <v>176.97</v>
      </c>
      <c r="Q2764" s="85">
        <v>176.97</v>
      </c>
      <c r="R2764" s="82" t="s">
        <v>3399</v>
      </c>
      <c r="S2764" s="7">
        <f t="shared" si="130"/>
        <v>0</v>
      </c>
      <c r="T2764" s="6">
        <f t="shared" si="131"/>
        <v>0</v>
      </c>
      <c r="U2764" s="25">
        <f t="shared" si="129"/>
        <v>0</v>
      </c>
    </row>
    <row r="2765" spans="1:21" ht="10.9" customHeight="1" x14ac:dyDescent="0.2">
      <c r="A2765" s="82" t="s">
        <v>3340</v>
      </c>
      <c r="B2765" s="83">
        <v>45987</v>
      </c>
      <c r="C2765" s="82" t="s">
        <v>3395</v>
      </c>
      <c r="D2765" s="82" t="s">
        <v>275</v>
      </c>
      <c r="E2765" s="82"/>
      <c r="F2765" s="82" t="s">
        <v>4425</v>
      </c>
      <c r="G2765" s="89">
        <v>1</v>
      </c>
      <c r="H2765" s="89">
        <v>1097.0999999999999</v>
      </c>
      <c r="I2765" s="85">
        <v>0</v>
      </c>
      <c r="J2765" s="85">
        <v>142.62</v>
      </c>
      <c r="K2765" s="85">
        <v>1239.72</v>
      </c>
      <c r="L2765" s="85">
        <v>2538.02</v>
      </c>
      <c r="M2765" s="89">
        <v>1097.0999999999999</v>
      </c>
      <c r="N2765" s="85">
        <v>0</v>
      </c>
      <c r="O2765" s="85">
        <v>142.62</v>
      </c>
      <c r="P2765" s="85">
        <v>1239.72</v>
      </c>
      <c r="Q2765" s="85">
        <v>2538.02</v>
      </c>
      <c r="R2765" s="82" t="s">
        <v>3399</v>
      </c>
      <c r="S2765" s="7">
        <f t="shared" si="130"/>
        <v>0</v>
      </c>
      <c r="T2765" s="6">
        <f t="shared" si="131"/>
        <v>0</v>
      </c>
      <c r="U2765" s="25">
        <f t="shared" si="129"/>
        <v>0</v>
      </c>
    </row>
    <row r="2766" spans="1:21" ht="10.9" customHeight="1" x14ac:dyDescent="0.2">
      <c r="A2766" s="82" t="s">
        <v>3340</v>
      </c>
      <c r="B2766" s="83">
        <v>45987</v>
      </c>
      <c r="C2766" s="82" t="s">
        <v>3395</v>
      </c>
      <c r="D2766" s="82" t="s">
        <v>275</v>
      </c>
      <c r="E2766" s="82"/>
      <c r="F2766" s="82" t="s">
        <v>4424</v>
      </c>
      <c r="G2766" s="89">
        <v>1</v>
      </c>
      <c r="H2766" s="89">
        <v>1148.94</v>
      </c>
      <c r="I2766" s="85">
        <v>0</v>
      </c>
      <c r="J2766" s="85">
        <v>149.36000000000001</v>
      </c>
      <c r="K2766" s="85">
        <v>1298.3</v>
      </c>
      <c r="L2766" s="85">
        <v>2538.02</v>
      </c>
      <c r="M2766" s="89">
        <v>1148.94</v>
      </c>
      <c r="N2766" s="85">
        <v>0</v>
      </c>
      <c r="O2766" s="85">
        <v>149.36000000000001</v>
      </c>
      <c r="P2766" s="85">
        <v>1298.3</v>
      </c>
      <c r="Q2766" s="85">
        <v>2538.02</v>
      </c>
      <c r="R2766" s="82" t="s">
        <v>3399</v>
      </c>
      <c r="S2766" s="7">
        <f t="shared" si="130"/>
        <v>0</v>
      </c>
      <c r="T2766" s="6">
        <f t="shared" si="131"/>
        <v>0</v>
      </c>
      <c r="U2766" s="25">
        <f t="shared" si="129"/>
        <v>0</v>
      </c>
    </row>
    <row r="2767" spans="1:21" ht="10.9" customHeight="1" x14ac:dyDescent="0.2">
      <c r="A2767" s="82" t="s">
        <v>3400</v>
      </c>
      <c r="B2767" s="83">
        <v>45988</v>
      </c>
      <c r="C2767" s="82" t="s">
        <v>3398</v>
      </c>
      <c r="D2767" s="82"/>
      <c r="E2767" s="82"/>
      <c r="F2767" s="82" t="s">
        <v>4412</v>
      </c>
      <c r="G2767" s="89">
        <v>-1</v>
      </c>
      <c r="H2767" s="89">
        <v>38560.69</v>
      </c>
      <c r="I2767" s="85">
        <v>0</v>
      </c>
      <c r="J2767" s="85">
        <v>-1928.03</v>
      </c>
      <c r="K2767" s="85">
        <v>-40488.720000000001</v>
      </c>
      <c r="L2767" s="85">
        <v>-40488.720000000001</v>
      </c>
      <c r="M2767" s="89">
        <v>38560.69</v>
      </c>
      <c r="N2767" s="85">
        <v>0</v>
      </c>
      <c r="O2767" s="85">
        <v>-1928.03</v>
      </c>
      <c r="P2767" s="85">
        <v>-40488.720000000001</v>
      </c>
      <c r="Q2767" s="85">
        <v>-40488.720000000001</v>
      </c>
      <c r="R2767" s="82" t="s">
        <v>3399</v>
      </c>
      <c r="S2767" s="7">
        <f t="shared" si="130"/>
        <v>0</v>
      </c>
      <c r="T2767" s="6">
        <f t="shared" si="131"/>
        <v>0</v>
      </c>
      <c r="U2767" s="25">
        <f t="shared" si="129"/>
        <v>0</v>
      </c>
    </row>
    <row r="2768" spans="1:21" ht="10.9" customHeight="1" x14ac:dyDescent="0.2">
      <c r="A2768" s="82" t="s">
        <v>3389</v>
      </c>
      <c r="B2768" s="83">
        <v>45988</v>
      </c>
      <c r="C2768" s="82" t="s">
        <v>3395</v>
      </c>
      <c r="D2768" s="82" t="s">
        <v>82</v>
      </c>
      <c r="E2768" s="82"/>
      <c r="F2768" s="82" t="s">
        <v>4418</v>
      </c>
      <c r="G2768" s="89">
        <v>3</v>
      </c>
      <c r="H2768" s="89">
        <v>2165.48</v>
      </c>
      <c r="I2768" s="85">
        <v>0</v>
      </c>
      <c r="J2768" s="85">
        <v>844.54</v>
      </c>
      <c r="K2768" s="85">
        <v>7340.98</v>
      </c>
      <c r="L2768" s="85">
        <v>31308.93</v>
      </c>
      <c r="M2768" s="89">
        <v>2165.48</v>
      </c>
      <c r="N2768" s="85">
        <v>0</v>
      </c>
      <c r="O2768" s="85">
        <v>844.54</v>
      </c>
      <c r="P2768" s="85">
        <v>7340.98</v>
      </c>
      <c r="Q2768" s="85">
        <v>31308.93</v>
      </c>
      <c r="R2768" s="82" t="s">
        <v>3399</v>
      </c>
      <c r="S2768" s="7">
        <f t="shared" si="130"/>
        <v>0</v>
      </c>
      <c r="T2768" s="6">
        <f t="shared" si="131"/>
        <v>0</v>
      </c>
      <c r="U2768" s="25">
        <f t="shared" si="129"/>
        <v>0</v>
      </c>
    </row>
    <row r="2769" spans="1:21" ht="10.9" customHeight="1" x14ac:dyDescent="0.2">
      <c r="A2769" s="82" t="s">
        <v>3389</v>
      </c>
      <c r="B2769" s="83">
        <v>45988</v>
      </c>
      <c r="C2769" s="82" t="s">
        <v>3395</v>
      </c>
      <c r="D2769" s="82" t="s">
        <v>82</v>
      </c>
      <c r="E2769" s="82"/>
      <c r="F2769" s="82" t="s">
        <v>4417</v>
      </c>
      <c r="G2769" s="89">
        <v>3</v>
      </c>
      <c r="H2769" s="89">
        <v>1769.36</v>
      </c>
      <c r="I2769" s="85">
        <v>0</v>
      </c>
      <c r="J2769" s="85">
        <v>690.05</v>
      </c>
      <c r="K2769" s="85">
        <v>5998.13</v>
      </c>
      <c r="L2769" s="85">
        <v>31308.93</v>
      </c>
      <c r="M2769" s="89">
        <v>1769.36</v>
      </c>
      <c r="N2769" s="85">
        <v>0</v>
      </c>
      <c r="O2769" s="85">
        <v>690.05</v>
      </c>
      <c r="P2769" s="85">
        <v>5998.13</v>
      </c>
      <c r="Q2769" s="85">
        <v>31308.93</v>
      </c>
      <c r="R2769" s="82" t="s">
        <v>3399</v>
      </c>
      <c r="S2769" s="7">
        <f t="shared" si="130"/>
        <v>0</v>
      </c>
      <c r="T2769" s="6">
        <f t="shared" si="131"/>
        <v>0</v>
      </c>
      <c r="U2769" s="25">
        <f t="shared" si="129"/>
        <v>0</v>
      </c>
    </row>
    <row r="2770" spans="1:21" ht="10.9" customHeight="1" x14ac:dyDescent="0.2">
      <c r="A2770" s="82" t="s">
        <v>3389</v>
      </c>
      <c r="B2770" s="83">
        <v>45988</v>
      </c>
      <c r="C2770" s="82" t="s">
        <v>3395</v>
      </c>
      <c r="D2770" s="82" t="s">
        <v>82</v>
      </c>
      <c r="E2770" s="82"/>
      <c r="F2770" s="82" t="s">
        <v>4416</v>
      </c>
      <c r="G2770" s="89">
        <v>3</v>
      </c>
      <c r="H2770" s="89">
        <v>2158.15</v>
      </c>
      <c r="I2770" s="85">
        <v>0</v>
      </c>
      <c r="J2770" s="85">
        <v>841.68</v>
      </c>
      <c r="K2770" s="85">
        <v>7316.13</v>
      </c>
      <c r="L2770" s="85">
        <v>31308.93</v>
      </c>
      <c r="M2770" s="89">
        <v>2158.15</v>
      </c>
      <c r="N2770" s="85">
        <v>0</v>
      </c>
      <c r="O2770" s="85">
        <v>841.68</v>
      </c>
      <c r="P2770" s="85">
        <v>7316.13</v>
      </c>
      <c r="Q2770" s="85">
        <v>31308.93</v>
      </c>
      <c r="R2770" s="82" t="s">
        <v>3399</v>
      </c>
      <c r="S2770" s="7">
        <f t="shared" si="130"/>
        <v>0</v>
      </c>
      <c r="T2770" s="6">
        <f t="shared" si="131"/>
        <v>0</v>
      </c>
      <c r="U2770" s="25">
        <f t="shared" si="129"/>
        <v>0</v>
      </c>
    </row>
    <row r="2771" spans="1:21" ht="10.9" customHeight="1" x14ac:dyDescent="0.2">
      <c r="A2771" s="82" t="s">
        <v>3389</v>
      </c>
      <c r="B2771" s="83">
        <v>45988</v>
      </c>
      <c r="C2771" s="82" t="s">
        <v>3395</v>
      </c>
      <c r="D2771" s="82" t="s">
        <v>82</v>
      </c>
      <c r="E2771" s="82"/>
      <c r="F2771" s="82" t="s">
        <v>4415</v>
      </c>
      <c r="G2771" s="89">
        <v>2</v>
      </c>
      <c r="H2771" s="89">
        <v>2209.11</v>
      </c>
      <c r="I2771" s="85">
        <v>0</v>
      </c>
      <c r="J2771" s="85">
        <v>574.37</v>
      </c>
      <c r="K2771" s="85">
        <v>4992.59</v>
      </c>
      <c r="L2771" s="85">
        <v>31308.93</v>
      </c>
      <c r="M2771" s="89">
        <v>2209.11</v>
      </c>
      <c r="N2771" s="85">
        <v>0</v>
      </c>
      <c r="O2771" s="85">
        <v>574.37</v>
      </c>
      <c r="P2771" s="85">
        <v>4992.59</v>
      </c>
      <c r="Q2771" s="85">
        <v>31308.93</v>
      </c>
      <c r="R2771" s="82" t="s">
        <v>3399</v>
      </c>
      <c r="S2771" s="7">
        <f t="shared" si="130"/>
        <v>0</v>
      </c>
      <c r="T2771" s="6">
        <f t="shared" si="131"/>
        <v>0</v>
      </c>
      <c r="U2771" s="25">
        <f t="shared" si="129"/>
        <v>0</v>
      </c>
    </row>
    <row r="2772" spans="1:21" ht="10.9" customHeight="1" x14ac:dyDescent="0.2">
      <c r="A2772" s="82" t="s">
        <v>3389</v>
      </c>
      <c r="B2772" s="83">
        <v>45988</v>
      </c>
      <c r="C2772" s="82" t="s">
        <v>3395</v>
      </c>
      <c r="D2772" s="82" t="s">
        <v>82</v>
      </c>
      <c r="E2772" s="82"/>
      <c r="F2772" s="82" t="s">
        <v>4414</v>
      </c>
      <c r="G2772" s="89">
        <v>3</v>
      </c>
      <c r="H2772" s="89">
        <v>1669.94</v>
      </c>
      <c r="I2772" s="85">
        <v>0</v>
      </c>
      <c r="J2772" s="85">
        <v>651.28</v>
      </c>
      <c r="K2772" s="85">
        <v>5661.1</v>
      </c>
      <c r="L2772" s="85">
        <v>31308.93</v>
      </c>
      <c r="M2772" s="89">
        <v>1669.94</v>
      </c>
      <c r="N2772" s="85">
        <v>0</v>
      </c>
      <c r="O2772" s="85">
        <v>651.28</v>
      </c>
      <c r="P2772" s="85">
        <v>5661.1</v>
      </c>
      <c r="Q2772" s="85">
        <v>31308.93</v>
      </c>
      <c r="R2772" s="82" t="s">
        <v>3399</v>
      </c>
      <c r="S2772" s="7">
        <f t="shared" si="130"/>
        <v>0</v>
      </c>
      <c r="T2772" s="6">
        <f t="shared" si="131"/>
        <v>0</v>
      </c>
      <c r="U2772" s="25">
        <f t="shared" si="129"/>
        <v>0</v>
      </c>
    </row>
    <row r="2773" spans="1:21" ht="10.9" customHeight="1" x14ac:dyDescent="0.2">
      <c r="A2773" s="82" t="s">
        <v>3388</v>
      </c>
      <c r="B2773" s="83">
        <v>45988</v>
      </c>
      <c r="C2773" s="82" t="s">
        <v>3395</v>
      </c>
      <c r="D2773" s="82" t="s">
        <v>94</v>
      </c>
      <c r="E2773" s="82"/>
      <c r="F2773" s="82" t="s">
        <v>4413</v>
      </c>
      <c r="G2773" s="89">
        <v>1</v>
      </c>
      <c r="H2773" s="89">
        <v>927.1</v>
      </c>
      <c r="I2773" s="85">
        <v>0</v>
      </c>
      <c r="J2773" s="85">
        <v>46.36</v>
      </c>
      <c r="K2773" s="85">
        <v>973.46</v>
      </c>
      <c r="L2773" s="85">
        <v>973.46</v>
      </c>
      <c r="M2773" s="89">
        <v>927.1</v>
      </c>
      <c r="N2773" s="85">
        <v>0</v>
      </c>
      <c r="O2773" s="85">
        <v>46.36</v>
      </c>
      <c r="P2773" s="85">
        <v>973.46</v>
      </c>
      <c r="Q2773" s="85">
        <v>973.46</v>
      </c>
      <c r="R2773" s="82" t="s">
        <v>3396</v>
      </c>
      <c r="S2773" s="7">
        <f t="shared" si="130"/>
        <v>0</v>
      </c>
      <c r="T2773" s="6">
        <f t="shared" si="131"/>
        <v>0</v>
      </c>
      <c r="U2773" s="25">
        <f t="shared" si="129"/>
        <v>0</v>
      </c>
    </row>
    <row r="2774" spans="1:21" ht="10.9" customHeight="1" x14ac:dyDescent="0.2">
      <c r="A2774" s="82" t="s">
        <v>4402</v>
      </c>
      <c r="B2774" s="83">
        <v>45992</v>
      </c>
      <c r="C2774" s="82" t="s">
        <v>3398</v>
      </c>
      <c r="D2774" s="82" t="s">
        <v>3220</v>
      </c>
      <c r="E2774" s="82"/>
      <c r="F2774" s="82" t="s">
        <v>4401</v>
      </c>
      <c r="G2774" s="89">
        <v>-1</v>
      </c>
      <c r="H2774" s="89">
        <v>2213.92</v>
      </c>
      <c r="I2774" s="85">
        <v>0</v>
      </c>
      <c r="J2774" s="85">
        <v>-110.7</v>
      </c>
      <c r="K2774" s="85">
        <v>-2324.62</v>
      </c>
      <c r="L2774" s="85">
        <v>-2324.62</v>
      </c>
      <c r="M2774" s="89">
        <v>2213.92</v>
      </c>
      <c r="N2774" s="85">
        <v>0</v>
      </c>
      <c r="O2774" s="85">
        <v>-110.7</v>
      </c>
      <c r="P2774" s="85">
        <v>-2324.62</v>
      </c>
      <c r="Q2774" s="85">
        <v>-2324.62</v>
      </c>
      <c r="R2774" s="82" t="s">
        <v>3399</v>
      </c>
      <c r="S2774" s="7">
        <f t="shared" si="130"/>
        <v>0</v>
      </c>
      <c r="T2774" s="6">
        <f t="shared" si="131"/>
        <v>0</v>
      </c>
      <c r="U2774" s="25">
        <f t="shared" si="129"/>
        <v>0</v>
      </c>
    </row>
    <row r="2775" spans="1:21" ht="10.9" customHeight="1" x14ac:dyDescent="0.2">
      <c r="A2775" s="82" t="s">
        <v>4405</v>
      </c>
      <c r="B2775" s="83">
        <v>45992</v>
      </c>
      <c r="C2775" s="82" t="s">
        <v>3395</v>
      </c>
      <c r="D2775" s="82" t="s">
        <v>4404</v>
      </c>
      <c r="E2775" s="82"/>
      <c r="F2775" s="82" t="s">
        <v>4407</v>
      </c>
      <c r="G2775" s="89">
        <v>2</v>
      </c>
      <c r="H2775" s="89">
        <v>28240</v>
      </c>
      <c r="I2775" s="85">
        <v>0</v>
      </c>
      <c r="J2775" s="85">
        <v>0</v>
      </c>
      <c r="K2775" s="85">
        <v>56480</v>
      </c>
      <c r="L2775" s="85">
        <v>62220</v>
      </c>
      <c r="M2775" s="89">
        <v>39484.299258550855</v>
      </c>
      <c r="N2775" s="85">
        <v>0</v>
      </c>
      <c r="O2775" s="85">
        <v>0</v>
      </c>
      <c r="P2775" s="85">
        <v>78968.598517101709</v>
      </c>
      <c r="Q2775" s="85">
        <v>86994.089938634352</v>
      </c>
      <c r="R2775" s="82" t="s">
        <v>3396</v>
      </c>
      <c r="S2775" s="7">
        <f t="shared" si="130"/>
        <v>0</v>
      </c>
      <c r="T2775" s="6">
        <f t="shared" si="131"/>
        <v>0</v>
      </c>
      <c r="U2775" s="25">
        <f t="shared" si="129"/>
        <v>0</v>
      </c>
    </row>
    <row r="2776" spans="1:21" ht="10.9" customHeight="1" x14ac:dyDescent="0.2">
      <c r="A2776" s="82" t="s">
        <v>4405</v>
      </c>
      <c r="B2776" s="83">
        <v>45992</v>
      </c>
      <c r="C2776" s="82" t="s">
        <v>3395</v>
      </c>
      <c r="D2776" s="82" t="s">
        <v>4404</v>
      </c>
      <c r="E2776" s="82"/>
      <c r="F2776" s="82" t="s">
        <v>4406</v>
      </c>
      <c r="G2776" s="89">
        <v>2</v>
      </c>
      <c r="H2776" s="89">
        <v>1290</v>
      </c>
      <c r="I2776" s="85">
        <v>0</v>
      </c>
      <c r="J2776" s="85">
        <v>0</v>
      </c>
      <c r="K2776" s="85">
        <v>2580</v>
      </c>
      <c r="L2776" s="85">
        <v>62220</v>
      </c>
      <c r="M2776" s="89">
        <v>1803.638315989044</v>
      </c>
      <c r="N2776" s="85">
        <v>0</v>
      </c>
      <c r="O2776" s="85">
        <v>0</v>
      </c>
      <c r="P2776" s="85">
        <v>3607.2766319780881</v>
      </c>
      <c r="Q2776" s="85">
        <v>86994.089938634352</v>
      </c>
      <c r="R2776" s="82" t="s">
        <v>3396</v>
      </c>
      <c r="S2776" s="7">
        <f t="shared" si="130"/>
        <v>0</v>
      </c>
      <c r="T2776" s="6">
        <f t="shared" si="131"/>
        <v>0</v>
      </c>
      <c r="U2776" s="25">
        <f t="shared" si="129"/>
        <v>0</v>
      </c>
    </row>
    <row r="2777" spans="1:21" ht="10.9" customHeight="1" x14ac:dyDescent="0.2">
      <c r="A2777" s="82" t="s">
        <v>4405</v>
      </c>
      <c r="B2777" s="83">
        <v>45992</v>
      </c>
      <c r="C2777" s="82" t="s">
        <v>3395</v>
      </c>
      <c r="D2777" s="82" t="s">
        <v>4404</v>
      </c>
      <c r="E2777" s="82"/>
      <c r="F2777" s="82" t="s">
        <v>4403</v>
      </c>
      <c r="G2777" s="89">
        <v>2</v>
      </c>
      <c r="H2777" s="89">
        <v>1580</v>
      </c>
      <c r="I2777" s="85">
        <v>0</v>
      </c>
      <c r="J2777" s="85">
        <v>0</v>
      </c>
      <c r="K2777" s="85">
        <v>3160</v>
      </c>
      <c r="L2777" s="85">
        <v>62220</v>
      </c>
      <c r="M2777" s="89">
        <v>2209.1073947772788</v>
      </c>
      <c r="N2777" s="85">
        <v>0</v>
      </c>
      <c r="O2777" s="85">
        <v>0</v>
      </c>
      <c r="P2777" s="85">
        <v>4418.2147895545577</v>
      </c>
      <c r="Q2777" s="85">
        <v>86994.089938634352</v>
      </c>
      <c r="R2777" s="82" t="s">
        <v>3396</v>
      </c>
      <c r="S2777" s="7">
        <f t="shared" si="130"/>
        <v>0</v>
      </c>
      <c r="T2777" s="6">
        <f t="shared" si="131"/>
        <v>0</v>
      </c>
      <c r="U2777" s="25">
        <f t="shared" si="129"/>
        <v>0</v>
      </c>
    </row>
    <row r="2778" spans="1:21" ht="10.9" customHeight="1" x14ac:dyDescent="0.2">
      <c r="A2778" s="82" t="s">
        <v>4411</v>
      </c>
      <c r="B2778" s="83">
        <v>45992</v>
      </c>
      <c r="C2778" s="82" t="s">
        <v>3395</v>
      </c>
      <c r="D2778" s="82" t="s">
        <v>3403</v>
      </c>
      <c r="E2778" s="82"/>
      <c r="F2778" s="82" t="s">
        <v>4410</v>
      </c>
      <c r="G2778" s="89">
        <v>1</v>
      </c>
      <c r="H2778" s="89">
        <v>1500</v>
      </c>
      <c r="I2778" s="85">
        <v>0</v>
      </c>
      <c r="J2778" s="85">
        <v>0</v>
      </c>
      <c r="K2778" s="85">
        <v>1500</v>
      </c>
      <c r="L2778" s="85">
        <v>1500</v>
      </c>
      <c r="M2778" s="89">
        <v>2097.2538558012138</v>
      </c>
      <c r="N2778" s="85">
        <v>0</v>
      </c>
      <c r="O2778" s="85">
        <v>0</v>
      </c>
      <c r="P2778" s="85">
        <v>2097.2538558012138</v>
      </c>
      <c r="Q2778" s="85">
        <v>2097.2538558012138</v>
      </c>
      <c r="R2778" s="82" t="s">
        <v>3396</v>
      </c>
      <c r="S2778" s="7">
        <f t="shared" si="130"/>
        <v>0</v>
      </c>
      <c r="T2778" s="6">
        <f t="shared" si="131"/>
        <v>0</v>
      </c>
      <c r="U2778" s="25">
        <f t="shared" si="129"/>
        <v>0</v>
      </c>
    </row>
    <row r="2779" spans="1:21" ht="10.9" customHeight="1" x14ac:dyDescent="0.2">
      <c r="A2779" s="82" t="s">
        <v>4409</v>
      </c>
      <c r="B2779" s="83">
        <v>45992</v>
      </c>
      <c r="C2779" s="82" t="s">
        <v>3395</v>
      </c>
      <c r="D2779" s="82" t="s">
        <v>49</v>
      </c>
      <c r="E2779" s="82"/>
      <c r="F2779" s="82" t="s">
        <v>4408</v>
      </c>
      <c r="G2779" s="89">
        <v>60</v>
      </c>
      <c r="H2779" s="89">
        <v>32.5</v>
      </c>
      <c r="I2779" s="85">
        <v>0</v>
      </c>
      <c r="J2779" s="85">
        <v>0</v>
      </c>
      <c r="K2779" s="85">
        <v>1950</v>
      </c>
      <c r="L2779" s="85">
        <v>1950</v>
      </c>
      <c r="M2779" s="89">
        <v>45.493166926327667</v>
      </c>
      <c r="N2779" s="85">
        <v>0</v>
      </c>
      <c r="O2779" s="85">
        <v>0</v>
      </c>
      <c r="P2779" s="85">
        <v>2729.5900155796598</v>
      </c>
      <c r="Q2779" s="85">
        <v>2729.5900155796598</v>
      </c>
      <c r="R2779" s="82" t="s">
        <v>3396</v>
      </c>
      <c r="S2779" s="7">
        <f t="shared" si="130"/>
        <v>0</v>
      </c>
      <c r="T2779" s="6">
        <f t="shared" si="131"/>
        <v>0</v>
      </c>
      <c r="U2779" s="25">
        <f t="shared" si="129"/>
        <v>0</v>
      </c>
    </row>
    <row r="2780" spans="1:21" ht="10.9" customHeight="1" x14ac:dyDescent="0.2">
      <c r="A2780" s="82" t="s">
        <v>5889</v>
      </c>
      <c r="B2780" s="83">
        <v>45992</v>
      </c>
      <c r="C2780" s="82" t="s">
        <v>3395</v>
      </c>
      <c r="D2780" s="82" t="s">
        <v>76</v>
      </c>
      <c r="E2780" s="82"/>
      <c r="F2780" s="82" t="s">
        <v>4648</v>
      </c>
      <c r="G2780" s="89">
        <v>1</v>
      </c>
      <c r="H2780" s="89">
        <v>279.5</v>
      </c>
      <c r="I2780" s="85">
        <v>0</v>
      </c>
      <c r="J2780" s="85">
        <v>13.98</v>
      </c>
      <c r="K2780" s="85">
        <v>293.48</v>
      </c>
      <c r="L2780" s="85">
        <v>293.48</v>
      </c>
      <c r="M2780" s="89">
        <v>279.5</v>
      </c>
      <c r="N2780" s="85">
        <v>0</v>
      </c>
      <c r="O2780" s="85">
        <v>13.98</v>
      </c>
      <c r="P2780" s="85">
        <v>293.48</v>
      </c>
      <c r="Q2780" s="85">
        <v>293.48</v>
      </c>
      <c r="R2780" s="82" t="s">
        <v>3396</v>
      </c>
      <c r="S2780" s="7">
        <f t="shared" si="130"/>
        <v>0</v>
      </c>
      <c r="T2780" s="6">
        <f t="shared" si="131"/>
        <v>0</v>
      </c>
      <c r="U2780" s="25">
        <f t="shared" si="129"/>
        <v>0</v>
      </c>
    </row>
    <row r="2781" spans="1:21" ht="10.9" customHeight="1" x14ac:dyDescent="0.2">
      <c r="A2781" s="82" t="s">
        <v>5887</v>
      </c>
      <c r="B2781" s="83">
        <v>45992</v>
      </c>
      <c r="C2781" s="82" t="s">
        <v>3395</v>
      </c>
      <c r="D2781" s="82" t="s">
        <v>988</v>
      </c>
      <c r="E2781" s="82"/>
      <c r="F2781" s="82" t="s">
        <v>6088</v>
      </c>
      <c r="G2781" s="89">
        <v>1</v>
      </c>
      <c r="H2781" s="89">
        <v>6137.11</v>
      </c>
      <c r="I2781" s="85">
        <v>0</v>
      </c>
      <c r="J2781" s="85">
        <v>306.86</v>
      </c>
      <c r="K2781" s="85">
        <v>6443.97</v>
      </c>
      <c r="L2781" s="85">
        <v>6443.97</v>
      </c>
      <c r="M2781" s="89">
        <v>6137.11</v>
      </c>
      <c r="N2781" s="85">
        <v>0</v>
      </c>
      <c r="O2781" s="85">
        <v>306.86</v>
      </c>
      <c r="P2781" s="85">
        <v>6443.97</v>
      </c>
      <c r="Q2781" s="85">
        <v>6443.97</v>
      </c>
      <c r="R2781" s="82" t="s">
        <v>3396</v>
      </c>
      <c r="S2781" s="7">
        <f t="shared" si="130"/>
        <v>0</v>
      </c>
      <c r="T2781" s="6">
        <f t="shared" si="131"/>
        <v>0</v>
      </c>
      <c r="U2781" s="25">
        <f t="shared" si="129"/>
        <v>0</v>
      </c>
    </row>
    <row r="2782" spans="1:21" ht="10.9" customHeight="1" x14ac:dyDescent="0.2">
      <c r="A2782" s="82" t="s">
        <v>5891</v>
      </c>
      <c r="B2782" s="83">
        <v>45992</v>
      </c>
      <c r="C2782" s="82" t="s">
        <v>3395</v>
      </c>
      <c r="D2782" s="82" t="s">
        <v>46</v>
      </c>
      <c r="E2782" s="82"/>
      <c r="F2782" s="82" t="s">
        <v>4448</v>
      </c>
      <c r="G2782" s="89">
        <v>1</v>
      </c>
      <c r="H2782" s="89">
        <v>1078.97</v>
      </c>
      <c r="I2782" s="85">
        <v>0</v>
      </c>
      <c r="J2782" s="85">
        <v>140.27000000000001</v>
      </c>
      <c r="K2782" s="85">
        <v>1219.24</v>
      </c>
      <c r="L2782" s="85">
        <v>1219.24</v>
      </c>
      <c r="M2782" s="89">
        <v>1078.97</v>
      </c>
      <c r="N2782" s="85">
        <v>0</v>
      </c>
      <c r="O2782" s="85">
        <v>140.27000000000001</v>
      </c>
      <c r="P2782" s="85">
        <v>1219.24</v>
      </c>
      <c r="Q2782" s="85">
        <v>1219.24</v>
      </c>
      <c r="R2782" s="82" t="s">
        <v>3396</v>
      </c>
      <c r="S2782" s="7">
        <f t="shared" ref="S2782:S2845" si="132">IF(T2782=1,A2782,0)</f>
        <v>0</v>
      </c>
      <c r="T2782" s="6">
        <f t="shared" ref="T2782:T2845" si="133">IFERROR(FIND("Freight",F2782,1),0)</f>
        <v>0</v>
      </c>
      <c r="U2782" s="25">
        <f t="shared" ref="U2782:U2845" si="134">IF(T2782=1,K2782-J2782,0)</f>
        <v>0</v>
      </c>
    </row>
    <row r="2783" spans="1:21" ht="15" x14ac:dyDescent="0.2">
      <c r="A2783" s="82" t="s">
        <v>5952</v>
      </c>
      <c r="B2783" s="83">
        <v>45992</v>
      </c>
      <c r="C2783" s="82" t="s">
        <v>3395</v>
      </c>
      <c r="D2783" s="82" t="s">
        <v>116</v>
      </c>
      <c r="E2783" s="82"/>
      <c r="F2783" s="82" t="s">
        <v>4609</v>
      </c>
      <c r="G2783" s="89">
        <v>1</v>
      </c>
      <c r="H2783" s="89">
        <v>559.73</v>
      </c>
      <c r="I2783" s="85">
        <v>0</v>
      </c>
      <c r="J2783" s="85">
        <v>27.99</v>
      </c>
      <c r="K2783" s="85">
        <v>587.72</v>
      </c>
      <c r="L2783" s="85">
        <v>587.72</v>
      </c>
      <c r="M2783" s="89">
        <v>559.73</v>
      </c>
      <c r="N2783" s="85">
        <v>0</v>
      </c>
      <c r="O2783" s="85">
        <v>27.99</v>
      </c>
      <c r="P2783" s="85">
        <v>587.72</v>
      </c>
      <c r="Q2783" s="85">
        <v>587.72</v>
      </c>
      <c r="R2783" s="82" t="s">
        <v>3396</v>
      </c>
      <c r="S2783" s="7">
        <f t="shared" si="132"/>
        <v>0</v>
      </c>
      <c r="T2783" s="6">
        <f t="shared" si="133"/>
        <v>0</v>
      </c>
      <c r="U2783" s="25">
        <f t="shared" si="134"/>
        <v>0</v>
      </c>
    </row>
    <row r="2784" spans="1:21" ht="15" x14ac:dyDescent="0.2">
      <c r="A2784" s="82" t="s">
        <v>5953</v>
      </c>
      <c r="B2784" s="83">
        <v>45992</v>
      </c>
      <c r="C2784" s="82" t="s">
        <v>3395</v>
      </c>
      <c r="D2784" s="82" t="s">
        <v>118</v>
      </c>
      <c r="E2784" s="82"/>
      <c r="F2784" s="82" t="s">
        <v>5560</v>
      </c>
      <c r="G2784" s="89">
        <v>6</v>
      </c>
      <c r="H2784" s="89">
        <v>497.88</v>
      </c>
      <c r="I2784" s="85">
        <v>0</v>
      </c>
      <c r="J2784" s="85">
        <v>149.36000000000001</v>
      </c>
      <c r="K2784" s="85">
        <v>3136.64</v>
      </c>
      <c r="L2784" s="85">
        <v>3136.64</v>
      </c>
      <c r="M2784" s="89">
        <v>497.88</v>
      </c>
      <c r="N2784" s="85">
        <v>0</v>
      </c>
      <c r="O2784" s="85">
        <v>149.36000000000001</v>
      </c>
      <c r="P2784" s="85">
        <v>3136.64</v>
      </c>
      <c r="Q2784" s="85">
        <v>3136.64</v>
      </c>
      <c r="R2784" s="82" t="s">
        <v>3396</v>
      </c>
      <c r="S2784" s="7">
        <f t="shared" si="132"/>
        <v>0</v>
      </c>
      <c r="T2784" s="6">
        <f t="shared" si="133"/>
        <v>0</v>
      </c>
      <c r="U2784" s="25">
        <f t="shared" si="134"/>
        <v>0</v>
      </c>
    </row>
    <row r="2785" spans="1:21" ht="15" x14ac:dyDescent="0.2">
      <c r="A2785" s="82" t="s">
        <v>5890</v>
      </c>
      <c r="B2785" s="83">
        <v>45993</v>
      </c>
      <c r="C2785" s="82" t="s">
        <v>3395</v>
      </c>
      <c r="D2785" s="82" t="s">
        <v>69</v>
      </c>
      <c r="E2785" s="82"/>
      <c r="F2785" s="82" t="s">
        <v>4666</v>
      </c>
      <c r="G2785" s="89">
        <v>1</v>
      </c>
      <c r="H2785" s="89">
        <v>456.46</v>
      </c>
      <c r="I2785" s="85">
        <v>0</v>
      </c>
      <c r="J2785" s="85">
        <v>0</v>
      </c>
      <c r="K2785" s="85">
        <v>456.46</v>
      </c>
      <c r="L2785" s="85">
        <v>765.46</v>
      </c>
      <c r="M2785" s="89">
        <v>637.62884653799358</v>
      </c>
      <c r="N2785" s="85">
        <v>0</v>
      </c>
      <c r="O2785" s="85">
        <v>0</v>
      </c>
      <c r="P2785" s="85">
        <v>637.62884653799358</v>
      </c>
      <c r="Q2785" s="85">
        <v>1069.270860252755</v>
      </c>
      <c r="R2785" s="82" t="s">
        <v>3396</v>
      </c>
      <c r="S2785" s="7">
        <f t="shared" si="132"/>
        <v>0</v>
      </c>
      <c r="T2785" s="6">
        <f t="shared" si="133"/>
        <v>0</v>
      </c>
      <c r="U2785" s="25">
        <f t="shared" si="134"/>
        <v>0</v>
      </c>
    </row>
    <row r="2786" spans="1:21" ht="15" x14ac:dyDescent="0.2">
      <c r="A2786" s="82" t="s">
        <v>5890</v>
      </c>
      <c r="B2786" s="83">
        <v>45993</v>
      </c>
      <c r="C2786" s="82" t="s">
        <v>3395</v>
      </c>
      <c r="D2786" s="82" t="s">
        <v>69</v>
      </c>
      <c r="E2786" s="82"/>
      <c r="F2786" s="82" t="s">
        <v>4459</v>
      </c>
      <c r="G2786" s="89">
        <v>1</v>
      </c>
      <c r="H2786" s="89">
        <v>309</v>
      </c>
      <c r="I2786" s="85">
        <v>0</v>
      </c>
      <c r="J2786" s="85">
        <v>0</v>
      </c>
      <c r="K2786" s="85">
        <v>309</v>
      </c>
      <c r="L2786" s="85">
        <v>765.46</v>
      </c>
      <c r="M2786" s="89">
        <v>431.64201371476145</v>
      </c>
      <c r="N2786" s="85">
        <v>0</v>
      </c>
      <c r="O2786" s="85">
        <v>0</v>
      </c>
      <c r="P2786" s="85">
        <v>431.64201371476145</v>
      </c>
      <c r="Q2786" s="85">
        <v>1069.270860252755</v>
      </c>
      <c r="R2786" s="82" t="s">
        <v>3396</v>
      </c>
      <c r="S2786" s="7" t="str">
        <f t="shared" si="132"/>
        <v>INV13712</v>
      </c>
      <c r="T2786" s="6">
        <f t="shared" si="133"/>
        <v>1</v>
      </c>
      <c r="U2786" s="25">
        <f t="shared" si="134"/>
        <v>309</v>
      </c>
    </row>
    <row r="2787" spans="1:21" ht="15" x14ac:dyDescent="0.2">
      <c r="A2787" s="82" t="s">
        <v>5888</v>
      </c>
      <c r="B2787" s="83">
        <v>45993</v>
      </c>
      <c r="C2787" s="82" t="s">
        <v>3395</v>
      </c>
      <c r="D2787" s="82" t="s">
        <v>73</v>
      </c>
      <c r="E2787" s="82"/>
      <c r="F2787" s="82" t="s">
        <v>4667</v>
      </c>
      <c r="G2787" s="89">
        <v>1</v>
      </c>
      <c r="H2787" s="89">
        <v>129.04</v>
      </c>
      <c r="I2787" s="85">
        <v>0</v>
      </c>
      <c r="J2787" s="85">
        <v>0</v>
      </c>
      <c r="K2787" s="85">
        <v>129.04</v>
      </c>
      <c r="L2787" s="85">
        <v>320</v>
      </c>
      <c r="M2787" s="89">
        <v>180.25593996683759</v>
      </c>
      <c r="N2787" s="85">
        <v>0</v>
      </c>
      <c r="O2787" s="85">
        <v>0</v>
      </c>
      <c r="P2787" s="85">
        <v>180.25593996683759</v>
      </c>
      <c r="Q2787" s="85">
        <v>447.00791064311863</v>
      </c>
      <c r="R2787" s="82" t="s">
        <v>3396</v>
      </c>
      <c r="S2787" s="7">
        <f t="shared" si="132"/>
        <v>0</v>
      </c>
      <c r="T2787" s="6">
        <f t="shared" si="133"/>
        <v>0</v>
      </c>
      <c r="U2787" s="25">
        <f t="shared" si="134"/>
        <v>0</v>
      </c>
    </row>
    <row r="2788" spans="1:21" ht="15" x14ac:dyDescent="0.2">
      <c r="A2788" s="82" t="s">
        <v>5888</v>
      </c>
      <c r="B2788" s="83">
        <v>45993</v>
      </c>
      <c r="C2788" s="82" t="s">
        <v>3395</v>
      </c>
      <c r="D2788" s="82" t="s">
        <v>73</v>
      </c>
      <c r="E2788" s="82"/>
      <c r="F2788" s="82" t="s">
        <v>4459</v>
      </c>
      <c r="G2788" s="89">
        <v>1</v>
      </c>
      <c r="H2788" s="89">
        <v>190.96</v>
      </c>
      <c r="I2788" s="85">
        <v>0</v>
      </c>
      <c r="J2788" s="85">
        <v>0</v>
      </c>
      <c r="K2788" s="85">
        <v>190.96</v>
      </c>
      <c r="L2788" s="85">
        <v>320</v>
      </c>
      <c r="M2788" s="89">
        <v>266.75197067628108</v>
      </c>
      <c r="N2788" s="85">
        <v>0</v>
      </c>
      <c r="O2788" s="85">
        <v>0</v>
      </c>
      <c r="P2788" s="85">
        <v>266.75197067628108</v>
      </c>
      <c r="Q2788" s="85">
        <v>447.00791064311863</v>
      </c>
      <c r="R2788" s="82" t="s">
        <v>3396</v>
      </c>
      <c r="S2788" s="7" t="str">
        <f t="shared" si="132"/>
        <v>INV13713</v>
      </c>
      <c r="T2788" s="6">
        <f t="shared" si="133"/>
        <v>1</v>
      </c>
      <c r="U2788" s="25">
        <f t="shared" si="134"/>
        <v>190.96</v>
      </c>
    </row>
    <row r="2789" spans="1:21" ht="15" x14ac:dyDescent="0.2">
      <c r="A2789" s="82" t="s">
        <v>4395</v>
      </c>
      <c r="B2789" s="83">
        <v>45993</v>
      </c>
      <c r="C2789" s="82" t="s">
        <v>3395</v>
      </c>
      <c r="D2789" s="82" t="s">
        <v>4394</v>
      </c>
      <c r="E2789" s="82"/>
      <c r="F2789" s="82" t="s">
        <v>4396</v>
      </c>
      <c r="G2789" s="89">
        <v>3</v>
      </c>
      <c r="H2789" s="89">
        <v>1668.5</v>
      </c>
      <c r="I2789" s="85">
        <v>0</v>
      </c>
      <c r="J2789" s="85">
        <v>0</v>
      </c>
      <c r="K2789" s="85">
        <v>5005.5</v>
      </c>
      <c r="L2789" s="85">
        <v>5612.5</v>
      </c>
      <c r="M2789" s="89">
        <v>2332.747524994722</v>
      </c>
      <c r="N2789" s="85">
        <v>0</v>
      </c>
      <c r="O2789" s="85">
        <v>0</v>
      </c>
      <c r="P2789" s="85">
        <v>6998.2425749841668</v>
      </c>
      <c r="Q2789" s="85">
        <v>7846.8957051440684</v>
      </c>
      <c r="R2789" s="82" t="s">
        <v>3399</v>
      </c>
      <c r="S2789" s="7">
        <f t="shared" si="132"/>
        <v>0</v>
      </c>
      <c r="T2789" s="6">
        <f t="shared" si="133"/>
        <v>0</v>
      </c>
      <c r="U2789" s="25">
        <f t="shared" si="134"/>
        <v>0</v>
      </c>
    </row>
    <row r="2790" spans="1:21" ht="15" x14ac:dyDescent="0.2">
      <c r="A2790" s="82" t="s">
        <v>4395</v>
      </c>
      <c r="B2790" s="83">
        <v>45993</v>
      </c>
      <c r="C2790" s="82" t="s">
        <v>3395</v>
      </c>
      <c r="D2790" s="82" t="s">
        <v>4394</v>
      </c>
      <c r="E2790" s="82"/>
      <c r="F2790" s="82" t="s">
        <v>4393</v>
      </c>
      <c r="G2790" s="89">
        <v>1</v>
      </c>
      <c r="H2790" s="89">
        <v>607</v>
      </c>
      <c r="I2790" s="85">
        <v>0</v>
      </c>
      <c r="J2790" s="85">
        <v>0</v>
      </c>
      <c r="K2790" s="85">
        <v>607</v>
      </c>
      <c r="L2790" s="85">
        <v>5612.5</v>
      </c>
      <c r="M2790" s="89">
        <v>848.65313015990193</v>
      </c>
      <c r="N2790" s="85">
        <v>0</v>
      </c>
      <c r="O2790" s="85">
        <v>0</v>
      </c>
      <c r="P2790" s="85">
        <v>848.65313015990193</v>
      </c>
      <c r="Q2790" s="85">
        <v>7846.8957051440684</v>
      </c>
      <c r="R2790" s="82" t="s">
        <v>3399</v>
      </c>
      <c r="S2790" s="7" t="str">
        <f t="shared" si="132"/>
        <v>INV13714</v>
      </c>
      <c r="T2790" s="6">
        <f t="shared" si="133"/>
        <v>1</v>
      </c>
      <c r="U2790" s="25">
        <f t="shared" si="134"/>
        <v>607</v>
      </c>
    </row>
    <row r="2791" spans="1:21" ht="15" x14ac:dyDescent="0.2">
      <c r="A2791" s="82" t="s">
        <v>4400</v>
      </c>
      <c r="B2791" s="83">
        <v>45993</v>
      </c>
      <c r="C2791" s="82" t="s">
        <v>3395</v>
      </c>
      <c r="D2791" s="82" t="s">
        <v>346</v>
      </c>
      <c r="E2791" s="82"/>
      <c r="F2791" s="82" t="s">
        <v>4399</v>
      </c>
      <c r="G2791" s="89">
        <v>1</v>
      </c>
      <c r="H2791" s="89">
        <v>2206</v>
      </c>
      <c r="I2791" s="85">
        <v>0</v>
      </c>
      <c r="J2791" s="85">
        <v>0</v>
      </c>
      <c r="K2791" s="85">
        <v>2206</v>
      </c>
      <c r="L2791" s="85">
        <v>2206</v>
      </c>
      <c r="M2791" s="89">
        <v>3086.2599873247891</v>
      </c>
      <c r="N2791" s="85">
        <v>0</v>
      </c>
      <c r="O2791" s="85">
        <v>0</v>
      </c>
      <c r="P2791" s="85">
        <v>3086.2599873247891</v>
      </c>
      <c r="Q2791" s="85">
        <v>3086.2599873247891</v>
      </c>
      <c r="R2791" s="82" t="s">
        <v>3396</v>
      </c>
      <c r="S2791" s="7">
        <f t="shared" si="132"/>
        <v>0</v>
      </c>
      <c r="T2791" s="6">
        <f t="shared" si="133"/>
        <v>0</v>
      </c>
      <c r="U2791" s="25">
        <f t="shared" si="134"/>
        <v>0</v>
      </c>
    </row>
    <row r="2792" spans="1:21" ht="15" x14ac:dyDescent="0.2">
      <c r="A2792" s="82" t="s">
        <v>4398</v>
      </c>
      <c r="B2792" s="83">
        <v>45993</v>
      </c>
      <c r="C2792" s="82" t="s">
        <v>3395</v>
      </c>
      <c r="D2792" s="82" t="s">
        <v>123</v>
      </c>
      <c r="E2792" s="82"/>
      <c r="F2792" s="82" t="s">
        <v>4397</v>
      </c>
      <c r="G2792" s="89">
        <v>3</v>
      </c>
      <c r="H2792" s="89">
        <v>1110.27</v>
      </c>
      <c r="I2792" s="85">
        <v>0</v>
      </c>
      <c r="J2792" s="85">
        <v>0</v>
      </c>
      <c r="K2792" s="85">
        <v>3330.81</v>
      </c>
      <c r="L2792" s="85">
        <v>3330.81</v>
      </c>
      <c r="M2792" s="89">
        <v>1553.3009411274222</v>
      </c>
      <c r="N2792" s="85">
        <v>0</v>
      </c>
      <c r="O2792" s="85">
        <v>0</v>
      </c>
      <c r="P2792" s="85">
        <v>4659.9028233822664</v>
      </c>
      <c r="Q2792" s="85">
        <v>4659.9028233822664</v>
      </c>
      <c r="R2792" s="82" t="s">
        <v>3396</v>
      </c>
      <c r="S2792" s="7">
        <f t="shared" si="132"/>
        <v>0</v>
      </c>
      <c r="T2792" s="6">
        <f t="shared" si="133"/>
        <v>0</v>
      </c>
      <c r="U2792" s="25">
        <f t="shared" si="134"/>
        <v>0</v>
      </c>
    </row>
    <row r="2793" spans="1:21" ht="15" x14ac:dyDescent="0.2">
      <c r="A2793" s="82" t="s">
        <v>5892</v>
      </c>
      <c r="B2793" s="83">
        <v>45994</v>
      </c>
      <c r="C2793" s="82" t="s">
        <v>3395</v>
      </c>
      <c r="D2793" s="82" t="s">
        <v>5871</v>
      </c>
      <c r="E2793" s="82"/>
      <c r="F2793" s="82" t="s">
        <v>6089</v>
      </c>
      <c r="G2793" s="89">
        <v>1</v>
      </c>
      <c r="H2793" s="89">
        <v>3203</v>
      </c>
      <c r="I2793" s="85">
        <v>0</v>
      </c>
      <c r="J2793" s="85">
        <v>0</v>
      </c>
      <c r="K2793" s="85">
        <v>3203</v>
      </c>
      <c r="L2793" s="85">
        <v>3203</v>
      </c>
      <c r="M2793" s="89">
        <v>4472.2519317391652</v>
      </c>
      <c r="N2793" s="85">
        <v>0</v>
      </c>
      <c r="O2793" s="85">
        <v>0</v>
      </c>
      <c r="P2793" s="85">
        <v>4472.2519317391652</v>
      </c>
      <c r="Q2793" s="85">
        <v>4472.2519317391652</v>
      </c>
      <c r="R2793" s="82" t="s">
        <v>3396</v>
      </c>
      <c r="S2793" s="7">
        <f t="shared" si="132"/>
        <v>0</v>
      </c>
      <c r="T2793" s="6">
        <f t="shared" si="133"/>
        <v>0</v>
      </c>
      <c r="U2793" s="25">
        <f t="shared" si="134"/>
        <v>0</v>
      </c>
    </row>
    <row r="2794" spans="1:21" ht="15" x14ac:dyDescent="0.2">
      <c r="A2794" s="82" t="s">
        <v>5954</v>
      </c>
      <c r="B2794" s="83">
        <v>45994</v>
      </c>
      <c r="C2794" s="82" t="s">
        <v>3395</v>
      </c>
      <c r="D2794" s="82" t="s">
        <v>5864</v>
      </c>
      <c r="E2794" s="82"/>
      <c r="F2794" s="82" t="s">
        <v>5610</v>
      </c>
      <c r="G2794" s="89">
        <v>1</v>
      </c>
      <c r="H2794" s="89">
        <v>448</v>
      </c>
      <c r="I2794" s="85">
        <v>0</v>
      </c>
      <c r="J2794" s="85">
        <v>22.4</v>
      </c>
      <c r="K2794" s="85">
        <v>470.4</v>
      </c>
      <c r="L2794" s="85">
        <v>1095.1500000000001</v>
      </c>
      <c r="M2794" s="89">
        <v>448</v>
      </c>
      <c r="N2794" s="85">
        <v>0</v>
      </c>
      <c r="O2794" s="85">
        <v>22.4</v>
      </c>
      <c r="P2794" s="85">
        <v>470.4</v>
      </c>
      <c r="Q2794" s="85">
        <v>1095.1500000000001</v>
      </c>
      <c r="R2794" s="82" t="s">
        <v>3399</v>
      </c>
      <c r="S2794" s="7">
        <f t="shared" si="132"/>
        <v>0</v>
      </c>
      <c r="T2794" s="6">
        <f t="shared" si="133"/>
        <v>0</v>
      </c>
      <c r="U2794" s="25">
        <f t="shared" si="134"/>
        <v>0</v>
      </c>
    </row>
    <row r="2795" spans="1:21" ht="15" x14ac:dyDescent="0.2">
      <c r="A2795" s="82" t="s">
        <v>5954</v>
      </c>
      <c r="B2795" s="83">
        <v>45994</v>
      </c>
      <c r="C2795" s="82" t="s">
        <v>3395</v>
      </c>
      <c r="D2795" s="82" t="s">
        <v>5864</v>
      </c>
      <c r="E2795" s="82"/>
      <c r="F2795" s="82" t="s">
        <v>5608</v>
      </c>
      <c r="G2795" s="89">
        <v>1</v>
      </c>
      <c r="H2795" s="89">
        <v>476</v>
      </c>
      <c r="I2795" s="85">
        <v>0</v>
      </c>
      <c r="J2795" s="85">
        <v>23.8</v>
      </c>
      <c r="K2795" s="85">
        <v>499.8</v>
      </c>
      <c r="L2795" s="85">
        <v>1095.1500000000001</v>
      </c>
      <c r="M2795" s="89">
        <v>476</v>
      </c>
      <c r="N2795" s="85">
        <v>0</v>
      </c>
      <c r="O2795" s="85">
        <v>23.8</v>
      </c>
      <c r="P2795" s="85">
        <v>499.8</v>
      </c>
      <c r="Q2795" s="85">
        <v>1095.1500000000001</v>
      </c>
      <c r="R2795" s="82" t="s">
        <v>3399</v>
      </c>
      <c r="S2795" s="7">
        <f t="shared" si="132"/>
        <v>0</v>
      </c>
      <c r="T2795" s="6">
        <f t="shared" si="133"/>
        <v>0</v>
      </c>
      <c r="U2795" s="25">
        <f t="shared" si="134"/>
        <v>0</v>
      </c>
    </row>
    <row r="2796" spans="1:21" ht="15" x14ac:dyDescent="0.2">
      <c r="A2796" s="82" t="s">
        <v>5954</v>
      </c>
      <c r="B2796" s="83">
        <v>45994</v>
      </c>
      <c r="C2796" s="82" t="s">
        <v>3395</v>
      </c>
      <c r="D2796" s="82" t="s">
        <v>5864</v>
      </c>
      <c r="E2796" s="82"/>
      <c r="F2796" s="82" t="s">
        <v>6090</v>
      </c>
      <c r="G2796" s="89">
        <v>1</v>
      </c>
      <c r="H2796" s="89">
        <v>49</v>
      </c>
      <c r="I2796" s="85">
        <v>0</v>
      </c>
      <c r="J2796" s="85">
        <v>2.4500000000000002</v>
      </c>
      <c r="K2796" s="85">
        <v>51.45</v>
      </c>
      <c r="L2796" s="85">
        <v>1095.1500000000001</v>
      </c>
      <c r="M2796" s="89">
        <v>49</v>
      </c>
      <c r="N2796" s="85">
        <v>0</v>
      </c>
      <c r="O2796" s="85">
        <v>2.4500000000000002</v>
      </c>
      <c r="P2796" s="85">
        <v>51.45</v>
      </c>
      <c r="Q2796" s="85">
        <v>1095.1500000000001</v>
      </c>
      <c r="R2796" s="82" t="s">
        <v>3399</v>
      </c>
      <c r="S2796" s="7">
        <f t="shared" si="132"/>
        <v>0</v>
      </c>
      <c r="T2796" s="6">
        <f t="shared" si="133"/>
        <v>0</v>
      </c>
      <c r="U2796" s="25">
        <f t="shared" si="134"/>
        <v>0</v>
      </c>
    </row>
    <row r="2797" spans="1:21" ht="15" x14ac:dyDescent="0.2">
      <c r="A2797" s="82" t="s">
        <v>5954</v>
      </c>
      <c r="B2797" s="83">
        <v>45994</v>
      </c>
      <c r="C2797" s="82" t="s">
        <v>3395</v>
      </c>
      <c r="D2797" s="82" t="s">
        <v>5864</v>
      </c>
      <c r="E2797" s="82"/>
      <c r="F2797" s="82" t="s">
        <v>6091</v>
      </c>
      <c r="G2797" s="89">
        <v>1</v>
      </c>
      <c r="H2797" s="89">
        <v>49</v>
      </c>
      <c r="I2797" s="85">
        <v>0</v>
      </c>
      <c r="J2797" s="85">
        <v>2.4500000000000002</v>
      </c>
      <c r="K2797" s="85">
        <v>51.45</v>
      </c>
      <c r="L2797" s="85">
        <v>1095.1500000000001</v>
      </c>
      <c r="M2797" s="89">
        <v>49</v>
      </c>
      <c r="N2797" s="85">
        <v>0</v>
      </c>
      <c r="O2797" s="85">
        <v>2.4500000000000002</v>
      </c>
      <c r="P2797" s="85">
        <v>51.45</v>
      </c>
      <c r="Q2797" s="85">
        <v>1095.1500000000001</v>
      </c>
      <c r="R2797" s="82" t="s">
        <v>3399</v>
      </c>
      <c r="S2797" s="7">
        <f t="shared" si="132"/>
        <v>0</v>
      </c>
      <c r="T2797" s="6">
        <f t="shared" si="133"/>
        <v>0</v>
      </c>
      <c r="U2797" s="25">
        <f t="shared" si="134"/>
        <v>0</v>
      </c>
    </row>
    <row r="2798" spans="1:21" ht="15" x14ac:dyDescent="0.2">
      <c r="A2798" s="82" t="s">
        <v>5954</v>
      </c>
      <c r="B2798" s="83">
        <v>45994</v>
      </c>
      <c r="C2798" s="82" t="s">
        <v>3395</v>
      </c>
      <c r="D2798" s="82" t="s">
        <v>5864</v>
      </c>
      <c r="E2798" s="82"/>
      <c r="F2798" s="82" t="s">
        <v>4439</v>
      </c>
      <c r="G2798" s="89">
        <v>1</v>
      </c>
      <c r="H2798" s="89">
        <v>21</v>
      </c>
      <c r="I2798" s="85">
        <v>0</v>
      </c>
      <c r="J2798" s="85">
        <v>1.05</v>
      </c>
      <c r="K2798" s="85">
        <v>22.05</v>
      </c>
      <c r="L2798" s="85">
        <v>1095.1500000000001</v>
      </c>
      <c r="M2798" s="89">
        <v>21</v>
      </c>
      <c r="N2798" s="85">
        <v>0</v>
      </c>
      <c r="O2798" s="85">
        <v>1.05</v>
      </c>
      <c r="P2798" s="85">
        <v>22.05</v>
      </c>
      <c r="Q2798" s="85">
        <v>1095.1500000000001</v>
      </c>
      <c r="R2798" s="82" t="s">
        <v>3399</v>
      </c>
      <c r="S2798" s="7">
        <f t="shared" si="132"/>
        <v>0</v>
      </c>
      <c r="T2798" s="6">
        <f t="shared" si="133"/>
        <v>0</v>
      </c>
      <c r="U2798" s="25">
        <f t="shared" si="134"/>
        <v>0</v>
      </c>
    </row>
    <row r="2799" spans="1:21" ht="15" x14ac:dyDescent="0.2">
      <c r="A2799" s="82" t="s">
        <v>5955</v>
      </c>
      <c r="B2799" s="83">
        <v>45994</v>
      </c>
      <c r="C2799" s="82" t="s">
        <v>3395</v>
      </c>
      <c r="D2799" s="82" t="s">
        <v>56</v>
      </c>
      <c r="E2799" s="82"/>
      <c r="F2799" s="82" t="s">
        <v>6092</v>
      </c>
      <c r="G2799" s="89">
        <v>1</v>
      </c>
      <c r="H2799" s="89">
        <v>389.73</v>
      </c>
      <c r="I2799" s="85">
        <v>0</v>
      </c>
      <c r="J2799" s="85">
        <v>19.489999999999998</v>
      </c>
      <c r="K2799" s="85">
        <v>409.22</v>
      </c>
      <c r="L2799" s="85">
        <v>2901.37</v>
      </c>
      <c r="M2799" s="89">
        <v>389.73</v>
      </c>
      <c r="N2799" s="85">
        <v>0</v>
      </c>
      <c r="O2799" s="85">
        <v>19.489999999999998</v>
      </c>
      <c r="P2799" s="85">
        <v>409.22</v>
      </c>
      <c r="Q2799" s="85">
        <v>2901.37</v>
      </c>
      <c r="R2799" s="82" t="s">
        <v>3396</v>
      </c>
      <c r="S2799" s="7">
        <f t="shared" si="132"/>
        <v>0</v>
      </c>
      <c r="T2799" s="6">
        <f t="shared" si="133"/>
        <v>0</v>
      </c>
      <c r="U2799" s="25">
        <f t="shared" si="134"/>
        <v>0</v>
      </c>
    </row>
    <row r="2800" spans="1:21" ht="15" x14ac:dyDescent="0.2">
      <c r="A2800" s="82" t="s">
        <v>5955</v>
      </c>
      <c r="B2800" s="83">
        <v>45994</v>
      </c>
      <c r="C2800" s="82" t="s">
        <v>3395</v>
      </c>
      <c r="D2800" s="82" t="s">
        <v>56</v>
      </c>
      <c r="E2800" s="82"/>
      <c r="F2800" s="82" t="s">
        <v>5327</v>
      </c>
      <c r="G2800" s="89">
        <v>2</v>
      </c>
      <c r="H2800" s="89">
        <v>173.39</v>
      </c>
      <c r="I2800" s="85">
        <v>0</v>
      </c>
      <c r="J2800" s="85">
        <v>17.34</v>
      </c>
      <c r="K2800" s="85">
        <v>364.12</v>
      </c>
      <c r="L2800" s="85">
        <v>2901.37</v>
      </c>
      <c r="M2800" s="89">
        <v>173.39</v>
      </c>
      <c r="N2800" s="85">
        <v>0</v>
      </c>
      <c r="O2800" s="85">
        <v>17.34</v>
      </c>
      <c r="P2800" s="85">
        <v>364.12</v>
      </c>
      <c r="Q2800" s="85">
        <v>2901.37</v>
      </c>
      <c r="R2800" s="82" t="s">
        <v>3396</v>
      </c>
      <c r="S2800" s="7">
        <f t="shared" si="132"/>
        <v>0</v>
      </c>
      <c r="T2800" s="6">
        <f t="shared" si="133"/>
        <v>0</v>
      </c>
      <c r="U2800" s="25">
        <f t="shared" si="134"/>
        <v>0</v>
      </c>
    </row>
    <row r="2801" spans="1:21" ht="15" x14ac:dyDescent="0.2">
      <c r="A2801" s="82" t="s">
        <v>5955</v>
      </c>
      <c r="B2801" s="83">
        <v>45994</v>
      </c>
      <c r="C2801" s="82" t="s">
        <v>3395</v>
      </c>
      <c r="D2801" s="82" t="s">
        <v>56</v>
      </c>
      <c r="E2801" s="82"/>
      <c r="F2801" s="82" t="s">
        <v>5665</v>
      </c>
      <c r="G2801" s="89">
        <v>1</v>
      </c>
      <c r="H2801" s="89">
        <v>631.82000000000005</v>
      </c>
      <c r="I2801" s="85">
        <v>0</v>
      </c>
      <c r="J2801" s="85">
        <v>31.59</v>
      </c>
      <c r="K2801" s="85">
        <v>663.41</v>
      </c>
      <c r="L2801" s="85">
        <v>2901.37</v>
      </c>
      <c r="M2801" s="89">
        <v>631.82000000000005</v>
      </c>
      <c r="N2801" s="85">
        <v>0</v>
      </c>
      <c r="O2801" s="85">
        <v>31.59</v>
      </c>
      <c r="P2801" s="85">
        <v>663.41</v>
      </c>
      <c r="Q2801" s="85">
        <v>2901.37</v>
      </c>
      <c r="R2801" s="82" t="s">
        <v>3396</v>
      </c>
      <c r="S2801" s="7">
        <f t="shared" si="132"/>
        <v>0</v>
      </c>
      <c r="T2801" s="6">
        <f t="shared" si="133"/>
        <v>0</v>
      </c>
      <c r="U2801" s="25">
        <f t="shared" si="134"/>
        <v>0</v>
      </c>
    </row>
    <row r="2802" spans="1:21" ht="15" x14ac:dyDescent="0.2">
      <c r="A2802" s="82" t="s">
        <v>5955</v>
      </c>
      <c r="B2802" s="83">
        <v>45994</v>
      </c>
      <c r="C2802" s="82" t="s">
        <v>3395</v>
      </c>
      <c r="D2802" s="82" t="s">
        <v>56</v>
      </c>
      <c r="E2802" s="82"/>
      <c r="F2802" s="82" t="s">
        <v>6093</v>
      </c>
      <c r="G2802" s="89">
        <v>1</v>
      </c>
      <c r="H2802" s="89">
        <v>1394.88</v>
      </c>
      <c r="I2802" s="85">
        <v>0</v>
      </c>
      <c r="J2802" s="85">
        <v>69.739999999999995</v>
      </c>
      <c r="K2802" s="85">
        <v>1464.62</v>
      </c>
      <c r="L2802" s="85">
        <v>2901.37</v>
      </c>
      <c r="M2802" s="89">
        <v>1394.88</v>
      </c>
      <c r="N2802" s="85">
        <v>0</v>
      </c>
      <c r="O2802" s="85">
        <v>69.739999999999995</v>
      </c>
      <c r="P2802" s="85">
        <v>1464.62</v>
      </c>
      <c r="Q2802" s="85">
        <v>2901.37</v>
      </c>
      <c r="R2802" s="82" t="s">
        <v>3396</v>
      </c>
      <c r="S2802" s="7">
        <f t="shared" si="132"/>
        <v>0</v>
      </c>
      <c r="T2802" s="6">
        <f t="shared" si="133"/>
        <v>0</v>
      </c>
      <c r="U2802" s="25">
        <f t="shared" si="134"/>
        <v>0</v>
      </c>
    </row>
    <row r="2803" spans="1:21" ht="15" x14ac:dyDescent="0.2">
      <c r="A2803" s="82" t="s">
        <v>5956</v>
      </c>
      <c r="B2803" s="83">
        <v>45994</v>
      </c>
      <c r="C2803" s="82" t="s">
        <v>3395</v>
      </c>
      <c r="D2803" s="82" t="s">
        <v>132</v>
      </c>
      <c r="E2803" s="82"/>
      <c r="F2803" s="82" t="s">
        <v>5192</v>
      </c>
      <c r="G2803" s="89">
        <v>1</v>
      </c>
      <c r="H2803" s="89">
        <v>345.57</v>
      </c>
      <c r="I2803" s="85">
        <v>0</v>
      </c>
      <c r="J2803" s="85">
        <v>17.28</v>
      </c>
      <c r="K2803" s="85">
        <v>362.85</v>
      </c>
      <c r="L2803" s="85">
        <v>745.27</v>
      </c>
      <c r="M2803" s="89">
        <v>345.57</v>
      </c>
      <c r="N2803" s="85">
        <v>0</v>
      </c>
      <c r="O2803" s="85">
        <v>17.28</v>
      </c>
      <c r="P2803" s="85">
        <v>362.85</v>
      </c>
      <c r="Q2803" s="85">
        <v>745.27</v>
      </c>
      <c r="R2803" s="82" t="s">
        <v>3396</v>
      </c>
      <c r="S2803" s="7">
        <f t="shared" si="132"/>
        <v>0</v>
      </c>
      <c r="T2803" s="6">
        <f t="shared" si="133"/>
        <v>0</v>
      </c>
      <c r="U2803" s="25">
        <f t="shared" si="134"/>
        <v>0</v>
      </c>
    </row>
    <row r="2804" spans="1:21" ht="15" x14ac:dyDescent="0.2">
      <c r="A2804" s="82" t="s">
        <v>5956</v>
      </c>
      <c r="B2804" s="83">
        <v>45994</v>
      </c>
      <c r="C2804" s="82" t="s">
        <v>3395</v>
      </c>
      <c r="D2804" s="82" t="s">
        <v>132</v>
      </c>
      <c r="E2804" s="82"/>
      <c r="F2804" s="82" t="s">
        <v>4639</v>
      </c>
      <c r="G2804" s="89">
        <v>1</v>
      </c>
      <c r="H2804" s="89">
        <v>364.21</v>
      </c>
      <c r="I2804" s="85">
        <v>0</v>
      </c>
      <c r="J2804" s="85">
        <v>18.21</v>
      </c>
      <c r="K2804" s="85">
        <v>382.42</v>
      </c>
      <c r="L2804" s="85">
        <v>745.27</v>
      </c>
      <c r="M2804" s="89">
        <v>364.21</v>
      </c>
      <c r="N2804" s="85">
        <v>0</v>
      </c>
      <c r="O2804" s="85">
        <v>18.21</v>
      </c>
      <c r="P2804" s="85">
        <v>382.42</v>
      </c>
      <c r="Q2804" s="85">
        <v>745.27</v>
      </c>
      <c r="R2804" s="82" t="s">
        <v>3396</v>
      </c>
      <c r="S2804" s="7">
        <f t="shared" si="132"/>
        <v>0</v>
      </c>
      <c r="T2804" s="6">
        <f t="shared" si="133"/>
        <v>0</v>
      </c>
      <c r="U2804" s="25">
        <f t="shared" si="134"/>
        <v>0</v>
      </c>
    </row>
    <row r="2805" spans="1:21" ht="15" x14ac:dyDescent="0.2">
      <c r="A2805" s="82" t="s">
        <v>5957</v>
      </c>
      <c r="B2805" s="83">
        <v>45994</v>
      </c>
      <c r="C2805" s="82" t="s">
        <v>3395</v>
      </c>
      <c r="D2805" s="82" t="s">
        <v>5884</v>
      </c>
      <c r="E2805" s="82"/>
      <c r="F2805" s="82" t="s">
        <v>5196</v>
      </c>
      <c r="G2805" s="89">
        <v>1</v>
      </c>
      <c r="H2805" s="89">
        <v>401.67</v>
      </c>
      <c r="I2805" s="85">
        <v>0</v>
      </c>
      <c r="J2805" s="85">
        <v>20.079999999999998</v>
      </c>
      <c r="K2805" s="85">
        <v>421.75</v>
      </c>
      <c r="L2805" s="85">
        <v>421.75</v>
      </c>
      <c r="M2805" s="89">
        <v>401.67</v>
      </c>
      <c r="N2805" s="85">
        <v>0</v>
      </c>
      <c r="O2805" s="85">
        <v>20.079999999999998</v>
      </c>
      <c r="P2805" s="85">
        <v>421.75</v>
      </c>
      <c r="Q2805" s="85">
        <v>421.75</v>
      </c>
      <c r="R2805" s="82" t="s">
        <v>3396</v>
      </c>
      <c r="S2805" s="7">
        <f t="shared" si="132"/>
        <v>0</v>
      </c>
      <c r="T2805" s="6">
        <f t="shared" si="133"/>
        <v>0</v>
      </c>
      <c r="U2805" s="25">
        <f t="shared" si="134"/>
        <v>0</v>
      </c>
    </row>
    <row r="2806" spans="1:21" ht="15" x14ac:dyDescent="0.2">
      <c r="A2806" s="82" t="s">
        <v>5958</v>
      </c>
      <c r="B2806" s="83">
        <v>45994</v>
      </c>
      <c r="C2806" s="82" t="s">
        <v>3395</v>
      </c>
      <c r="D2806" s="82" t="s">
        <v>19</v>
      </c>
      <c r="E2806" s="82"/>
      <c r="F2806" s="82" t="s">
        <v>5033</v>
      </c>
      <c r="G2806" s="89">
        <v>1</v>
      </c>
      <c r="H2806" s="89">
        <v>87.85</v>
      </c>
      <c r="I2806" s="85">
        <v>0</v>
      </c>
      <c r="J2806" s="85">
        <v>4.3899999999999997</v>
      </c>
      <c r="K2806" s="85">
        <v>92.24</v>
      </c>
      <c r="L2806" s="85">
        <v>92.24</v>
      </c>
      <c r="M2806" s="89">
        <v>87.85</v>
      </c>
      <c r="N2806" s="85">
        <v>0</v>
      </c>
      <c r="O2806" s="85">
        <v>4.3899999999999997</v>
      </c>
      <c r="P2806" s="85">
        <v>92.24</v>
      </c>
      <c r="Q2806" s="85">
        <v>92.24</v>
      </c>
      <c r="R2806" s="82" t="s">
        <v>3396</v>
      </c>
      <c r="S2806" s="7">
        <f t="shared" si="132"/>
        <v>0</v>
      </c>
      <c r="T2806" s="6">
        <f t="shared" si="133"/>
        <v>0</v>
      </c>
      <c r="U2806" s="25">
        <f t="shared" si="134"/>
        <v>0</v>
      </c>
    </row>
    <row r="2807" spans="1:21" ht="15" x14ac:dyDescent="0.2">
      <c r="A2807" s="82" t="s">
        <v>5959</v>
      </c>
      <c r="B2807" s="83">
        <v>45994</v>
      </c>
      <c r="C2807" s="82" t="s">
        <v>3395</v>
      </c>
      <c r="D2807" s="82" t="s">
        <v>34</v>
      </c>
      <c r="E2807" s="82"/>
      <c r="F2807" s="82" t="s">
        <v>4732</v>
      </c>
      <c r="G2807" s="89">
        <v>1</v>
      </c>
      <c r="H2807" s="89">
        <v>481.71</v>
      </c>
      <c r="I2807" s="85">
        <v>0</v>
      </c>
      <c r="J2807" s="85">
        <v>24.09</v>
      </c>
      <c r="K2807" s="85">
        <v>505.8</v>
      </c>
      <c r="L2807" s="85">
        <v>1898.98</v>
      </c>
      <c r="M2807" s="89">
        <v>481.71</v>
      </c>
      <c r="N2807" s="85">
        <v>0</v>
      </c>
      <c r="O2807" s="85">
        <v>24.09</v>
      </c>
      <c r="P2807" s="85">
        <v>505.8</v>
      </c>
      <c r="Q2807" s="85">
        <v>1898.98</v>
      </c>
      <c r="R2807" s="82" t="s">
        <v>3396</v>
      </c>
      <c r="S2807" s="7">
        <f t="shared" si="132"/>
        <v>0</v>
      </c>
      <c r="T2807" s="6">
        <f t="shared" si="133"/>
        <v>0</v>
      </c>
      <c r="U2807" s="25">
        <f t="shared" si="134"/>
        <v>0</v>
      </c>
    </row>
    <row r="2808" spans="1:21" ht="15" x14ac:dyDescent="0.2">
      <c r="A2808" s="82" t="s">
        <v>5959</v>
      </c>
      <c r="B2808" s="83">
        <v>45994</v>
      </c>
      <c r="C2808" s="82" t="s">
        <v>3395</v>
      </c>
      <c r="D2808" s="82" t="s">
        <v>34</v>
      </c>
      <c r="E2808" s="82"/>
      <c r="F2808" s="82" t="s">
        <v>4733</v>
      </c>
      <c r="G2808" s="89">
        <v>1</v>
      </c>
      <c r="H2808" s="89">
        <v>271.88</v>
      </c>
      <c r="I2808" s="85">
        <v>0</v>
      </c>
      <c r="J2808" s="85">
        <v>13.59</v>
      </c>
      <c r="K2808" s="85">
        <v>285.47000000000003</v>
      </c>
      <c r="L2808" s="85">
        <v>1898.98</v>
      </c>
      <c r="M2808" s="89">
        <v>271.88</v>
      </c>
      <c r="N2808" s="85">
        <v>0</v>
      </c>
      <c r="O2808" s="85">
        <v>13.59</v>
      </c>
      <c r="P2808" s="85">
        <v>285.47000000000003</v>
      </c>
      <c r="Q2808" s="85">
        <v>1898.98</v>
      </c>
      <c r="R2808" s="82" t="s">
        <v>3396</v>
      </c>
      <c r="S2808" s="7">
        <f t="shared" si="132"/>
        <v>0</v>
      </c>
      <c r="T2808" s="6">
        <f t="shared" si="133"/>
        <v>0</v>
      </c>
      <c r="U2808" s="25">
        <f t="shared" si="134"/>
        <v>0</v>
      </c>
    </row>
    <row r="2809" spans="1:21" ht="15" x14ac:dyDescent="0.2">
      <c r="A2809" s="82" t="s">
        <v>5959</v>
      </c>
      <c r="B2809" s="83">
        <v>45994</v>
      </c>
      <c r="C2809" s="82" t="s">
        <v>3395</v>
      </c>
      <c r="D2809" s="82" t="s">
        <v>34</v>
      </c>
      <c r="E2809" s="82"/>
      <c r="F2809" s="82" t="s">
        <v>4734</v>
      </c>
      <c r="G2809" s="89">
        <v>1</v>
      </c>
      <c r="H2809" s="89">
        <v>49.29</v>
      </c>
      <c r="I2809" s="85">
        <v>0</v>
      </c>
      <c r="J2809" s="85">
        <v>2.46</v>
      </c>
      <c r="K2809" s="85">
        <v>51.75</v>
      </c>
      <c r="L2809" s="85">
        <v>1898.98</v>
      </c>
      <c r="M2809" s="89">
        <v>49.29</v>
      </c>
      <c r="N2809" s="85">
        <v>0</v>
      </c>
      <c r="O2809" s="85">
        <v>2.46</v>
      </c>
      <c r="P2809" s="85">
        <v>51.75</v>
      </c>
      <c r="Q2809" s="85">
        <v>1898.98</v>
      </c>
      <c r="R2809" s="82" t="s">
        <v>3396</v>
      </c>
      <c r="S2809" s="7">
        <f t="shared" si="132"/>
        <v>0</v>
      </c>
      <c r="T2809" s="6">
        <f t="shared" si="133"/>
        <v>0</v>
      </c>
      <c r="U2809" s="25">
        <f t="shared" si="134"/>
        <v>0</v>
      </c>
    </row>
    <row r="2810" spans="1:21" ht="15" x14ac:dyDescent="0.2">
      <c r="A2810" s="82" t="s">
        <v>5959</v>
      </c>
      <c r="B2810" s="83">
        <v>45994</v>
      </c>
      <c r="C2810" s="82" t="s">
        <v>3395</v>
      </c>
      <c r="D2810" s="82" t="s">
        <v>34</v>
      </c>
      <c r="E2810" s="82"/>
      <c r="F2810" s="82" t="s">
        <v>4591</v>
      </c>
      <c r="G2810" s="89">
        <v>1</v>
      </c>
      <c r="H2810" s="89">
        <v>148.94</v>
      </c>
      <c r="I2810" s="85">
        <v>0</v>
      </c>
      <c r="J2810" s="85">
        <v>7.45</v>
      </c>
      <c r="K2810" s="85">
        <v>156.38999999999999</v>
      </c>
      <c r="L2810" s="85">
        <v>1898.98</v>
      </c>
      <c r="M2810" s="89">
        <v>148.94</v>
      </c>
      <c r="N2810" s="85">
        <v>0</v>
      </c>
      <c r="O2810" s="85">
        <v>7.45</v>
      </c>
      <c r="P2810" s="85">
        <v>156.38999999999999</v>
      </c>
      <c r="Q2810" s="85">
        <v>1898.98</v>
      </c>
      <c r="R2810" s="82" t="s">
        <v>3396</v>
      </c>
      <c r="S2810" s="7">
        <f t="shared" si="132"/>
        <v>0</v>
      </c>
      <c r="T2810" s="6">
        <f t="shared" si="133"/>
        <v>0</v>
      </c>
      <c r="U2810" s="25">
        <f t="shared" si="134"/>
        <v>0</v>
      </c>
    </row>
    <row r="2811" spans="1:21" ht="15" x14ac:dyDescent="0.2">
      <c r="A2811" s="82" t="s">
        <v>5959</v>
      </c>
      <c r="B2811" s="83">
        <v>45994</v>
      </c>
      <c r="C2811" s="82" t="s">
        <v>3395</v>
      </c>
      <c r="D2811" s="82" t="s">
        <v>34</v>
      </c>
      <c r="E2811" s="82"/>
      <c r="F2811" s="82" t="s">
        <v>5610</v>
      </c>
      <c r="G2811" s="89">
        <v>1</v>
      </c>
      <c r="H2811" s="89">
        <v>463.38</v>
      </c>
      <c r="I2811" s="85">
        <v>0</v>
      </c>
      <c r="J2811" s="85">
        <v>23.17</v>
      </c>
      <c r="K2811" s="85">
        <v>486.55</v>
      </c>
      <c r="L2811" s="85">
        <v>1898.98</v>
      </c>
      <c r="M2811" s="89">
        <v>463.38</v>
      </c>
      <c r="N2811" s="85">
        <v>0</v>
      </c>
      <c r="O2811" s="85">
        <v>23.17</v>
      </c>
      <c r="P2811" s="85">
        <v>486.55</v>
      </c>
      <c r="Q2811" s="85">
        <v>1898.98</v>
      </c>
      <c r="R2811" s="82" t="s">
        <v>3396</v>
      </c>
      <c r="S2811" s="7">
        <f t="shared" si="132"/>
        <v>0</v>
      </c>
      <c r="T2811" s="6">
        <f t="shared" si="133"/>
        <v>0</v>
      </c>
      <c r="U2811" s="25">
        <f t="shared" si="134"/>
        <v>0</v>
      </c>
    </row>
    <row r="2812" spans="1:21" ht="15" x14ac:dyDescent="0.2">
      <c r="A2812" s="82" t="s">
        <v>5959</v>
      </c>
      <c r="B2812" s="83">
        <v>45994</v>
      </c>
      <c r="C2812" s="82" t="s">
        <v>3395</v>
      </c>
      <c r="D2812" s="82" t="s">
        <v>34</v>
      </c>
      <c r="E2812" s="82"/>
      <c r="F2812" s="82" t="s">
        <v>5608</v>
      </c>
      <c r="G2812" s="89">
        <v>1</v>
      </c>
      <c r="H2812" s="89">
        <v>373.47</v>
      </c>
      <c r="I2812" s="85">
        <v>0</v>
      </c>
      <c r="J2812" s="85">
        <v>18.670000000000002</v>
      </c>
      <c r="K2812" s="85">
        <v>392.14</v>
      </c>
      <c r="L2812" s="85">
        <v>1898.98</v>
      </c>
      <c r="M2812" s="89">
        <v>373.47</v>
      </c>
      <c r="N2812" s="85">
        <v>0</v>
      </c>
      <c r="O2812" s="85">
        <v>18.670000000000002</v>
      </c>
      <c r="P2812" s="85">
        <v>392.14</v>
      </c>
      <c r="Q2812" s="85">
        <v>1898.98</v>
      </c>
      <c r="R2812" s="82" t="s">
        <v>3396</v>
      </c>
      <c r="S2812" s="7">
        <f t="shared" si="132"/>
        <v>0</v>
      </c>
      <c r="T2812" s="6">
        <f t="shared" si="133"/>
        <v>0</v>
      </c>
      <c r="U2812" s="25">
        <f t="shared" si="134"/>
        <v>0</v>
      </c>
    </row>
    <row r="2813" spans="1:21" ht="15" x14ac:dyDescent="0.2">
      <c r="A2813" s="82" t="s">
        <v>5959</v>
      </c>
      <c r="B2813" s="83">
        <v>45994</v>
      </c>
      <c r="C2813" s="82" t="s">
        <v>3395</v>
      </c>
      <c r="D2813" s="82" t="s">
        <v>34</v>
      </c>
      <c r="E2813" s="82"/>
      <c r="F2813" s="82" t="s">
        <v>4439</v>
      </c>
      <c r="G2813" s="89">
        <v>1</v>
      </c>
      <c r="H2813" s="89">
        <v>19.89</v>
      </c>
      <c r="I2813" s="85">
        <v>0</v>
      </c>
      <c r="J2813" s="85">
        <v>0.99</v>
      </c>
      <c r="K2813" s="85">
        <v>20.88</v>
      </c>
      <c r="L2813" s="85">
        <v>1898.98</v>
      </c>
      <c r="M2813" s="89">
        <v>19.89</v>
      </c>
      <c r="N2813" s="85">
        <v>0</v>
      </c>
      <c r="O2813" s="85">
        <v>0.99</v>
      </c>
      <c r="P2813" s="85">
        <v>20.88</v>
      </c>
      <c r="Q2813" s="85">
        <v>1898.98</v>
      </c>
      <c r="R2813" s="82" t="s">
        <v>3396</v>
      </c>
      <c r="S2813" s="7">
        <f t="shared" si="132"/>
        <v>0</v>
      </c>
      <c r="T2813" s="6">
        <f t="shared" si="133"/>
        <v>0</v>
      </c>
      <c r="U2813" s="25">
        <f t="shared" si="134"/>
        <v>0</v>
      </c>
    </row>
    <row r="2814" spans="1:21" ht="15" x14ac:dyDescent="0.2">
      <c r="A2814" s="82" t="s">
        <v>5960</v>
      </c>
      <c r="B2814" s="83">
        <v>45994</v>
      </c>
      <c r="C2814" s="82" t="s">
        <v>3395</v>
      </c>
      <c r="D2814" s="82" t="s">
        <v>5876</v>
      </c>
      <c r="E2814" s="82"/>
      <c r="F2814" s="82" t="s">
        <v>6094</v>
      </c>
      <c r="G2814" s="89">
        <v>1</v>
      </c>
      <c r="H2814" s="89">
        <v>584.76</v>
      </c>
      <c r="I2814" s="85">
        <v>0</v>
      </c>
      <c r="J2814" s="85">
        <v>29.24</v>
      </c>
      <c r="K2814" s="85">
        <v>614</v>
      </c>
      <c r="L2814" s="85">
        <v>1119.8</v>
      </c>
      <c r="M2814" s="89">
        <v>584.76</v>
      </c>
      <c r="N2814" s="85">
        <v>0</v>
      </c>
      <c r="O2814" s="85">
        <v>29.24</v>
      </c>
      <c r="P2814" s="85">
        <v>614</v>
      </c>
      <c r="Q2814" s="85">
        <v>1119.8</v>
      </c>
      <c r="R2814" s="82" t="s">
        <v>3396</v>
      </c>
      <c r="S2814" s="7">
        <f t="shared" si="132"/>
        <v>0</v>
      </c>
      <c r="T2814" s="6">
        <f t="shared" si="133"/>
        <v>0</v>
      </c>
      <c r="U2814" s="25">
        <f t="shared" si="134"/>
        <v>0</v>
      </c>
    </row>
    <row r="2815" spans="1:21" ht="15" x14ac:dyDescent="0.2">
      <c r="A2815" s="82" t="s">
        <v>5960</v>
      </c>
      <c r="B2815" s="83">
        <v>45994</v>
      </c>
      <c r="C2815" s="82" t="s">
        <v>3395</v>
      </c>
      <c r="D2815" s="82" t="s">
        <v>5876</v>
      </c>
      <c r="E2815" s="82"/>
      <c r="F2815" s="82" t="s">
        <v>4732</v>
      </c>
      <c r="G2815" s="89">
        <v>1</v>
      </c>
      <c r="H2815" s="89">
        <v>481.71</v>
      </c>
      <c r="I2815" s="85">
        <v>0</v>
      </c>
      <c r="J2815" s="85">
        <v>24.09</v>
      </c>
      <c r="K2815" s="85">
        <v>505.8</v>
      </c>
      <c r="L2815" s="85">
        <v>1119.8</v>
      </c>
      <c r="M2815" s="89">
        <v>481.71</v>
      </c>
      <c r="N2815" s="85">
        <v>0</v>
      </c>
      <c r="O2815" s="85">
        <v>24.09</v>
      </c>
      <c r="P2815" s="85">
        <v>505.8</v>
      </c>
      <c r="Q2815" s="85">
        <v>1119.8</v>
      </c>
      <c r="R2815" s="82" t="s">
        <v>3396</v>
      </c>
      <c r="S2815" s="7">
        <f t="shared" si="132"/>
        <v>0</v>
      </c>
      <c r="T2815" s="6">
        <f t="shared" si="133"/>
        <v>0</v>
      </c>
      <c r="U2815" s="25">
        <f t="shared" si="134"/>
        <v>0</v>
      </c>
    </row>
    <row r="2816" spans="1:21" ht="15" x14ac:dyDescent="0.2">
      <c r="A2816" s="82" t="s">
        <v>5961</v>
      </c>
      <c r="B2816" s="83">
        <v>45996</v>
      </c>
      <c r="C2816" s="82" t="s">
        <v>3395</v>
      </c>
      <c r="D2816" s="82" t="s">
        <v>25</v>
      </c>
      <c r="E2816" s="82"/>
      <c r="F2816" s="82" t="s">
        <v>4586</v>
      </c>
      <c r="G2816" s="89">
        <v>1</v>
      </c>
      <c r="H2816" s="89">
        <v>569.88</v>
      </c>
      <c r="I2816" s="85">
        <v>0</v>
      </c>
      <c r="J2816" s="85">
        <v>28.49</v>
      </c>
      <c r="K2816" s="85">
        <v>598.37</v>
      </c>
      <c r="L2816" s="85">
        <v>1192.08</v>
      </c>
      <c r="M2816" s="89">
        <v>569.88</v>
      </c>
      <c r="N2816" s="85">
        <v>0</v>
      </c>
      <c r="O2816" s="85">
        <v>28.49</v>
      </c>
      <c r="P2816" s="85">
        <v>598.37</v>
      </c>
      <c r="Q2816" s="85">
        <v>1192.08</v>
      </c>
      <c r="R2816" s="82" t="s">
        <v>3396</v>
      </c>
      <c r="S2816" s="7">
        <f t="shared" si="132"/>
        <v>0</v>
      </c>
      <c r="T2816" s="6">
        <f t="shared" si="133"/>
        <v>0</v>
      </c>
      <c r="U2816" s="25">
        <f t="shared" si="134"/>
        <v>0</v>
      </c>
    </row>
    <row r="2817" spans="1:21" ht="15" x14ac:dyDescent="0.2">
      <c r="A2817" s="82" t="s">
        <v>5961</v>
      </c>
      <c r="B2817" s="83">
        <v>45996</v>
      </c>
      <c r="C2817" s="82" t="s">
        <v>3395</v>
      </c>
      <c r="D2817" s="82" t="s">
        <v>25</v>
      </c>
      <c r="E2817" s="82"/>
      <c r="F2817" s="82" t="s">
        <v>6095</v>
      </c>
      <c r="G2817" s="89">
        <v>1</v>
      </c>
      <c r="H2817" s="89">
        <v>565.44000000000005</v>
      </c>
      <c r="I2817" s="85">
        <v>0</v>
      </c>
      <c r="J2817" s="85">
        <v>28.27</v>
      </c>
      <c r="K2817" s="85">
        <v>593.71</v>
      </c>
      <c r="L2817" s="85">
        <v>1192.08</v>
      </c>
      <c r="M2817" s="89">
        <v>565.44000000000005</v>
      </c>
      <c r="N2817" s="85">
        <v>0</v>
      </c>
      <c r="O2817" s="85">
        <v>28.27</v>
      </c>
      <c r="P2817" s="85">
        <v>593.71</v>
      </c>
      <c r="Q2817" s="85">
        <v>1192.08</v>
      </c>
      <c r="R2817" s="82" t="s">
        <v>3396</v>
      </c>
      <c r="S2817" s="7">
        <f t="shared" si="132"/>
        <v>0</v>
      </c>
      <c r="T2817" s="6">
        <f t="shared" si="133"/>
        <v>0</v>
      </c>
      <c r="U2817" s="25">
        <f t="shared" si="134"/>
        <v>0</v>
      </c>
    </row>
    <row r="2818" spans="1:21" ht="15" x14ac:dyDescent="0.2">
      <c r="A2818" s="82" t="s">
        <v>5962</v>
      </c>
      <c r="B2818" s="83">
        <v>45996</v>
      </c>
      <c r="C2818" s="82" t="s">
        <v>3395</v>
      </c>
      <c r="D2818" s="82" t="s">
        <v>5963</v>
      </c>
      <c r="E2818" s="82"/>
      <c r="F2818" s="82" t="s">
        <v>4591</v>
      </c>
      <c r="G2818" s="89">
        <v>5</v>
      </c>
      <c r="H2818" s="89">
        <v>172.3</v>
      </c>
      <c r="I2818" s="85">
        <v>0</v>
      </c>
      <c r="J2818" s="85">
        <v>43.08</v>
      </c>
      <c r="K2818" s="85">
        <v>904.58</v>
      </c>
      <c r="L2818" s="85">
        <v>904.58</v>
      </c>
      <c r="M2818" s="89">
        <v>172.3</v>
      </c>
      <c r="N2818" s="85">
        <v>0</v>
      </c>
      <c r="O2818" s="85">
        <v>43.08</v>
      </c>
      <c r="P2818" s="85">
        <v>904.58</v>
      </c>
      <c r="Q2818" s="85">
        <v>904.58</v>
      </c>
      <c r="R2818" s="82" t="s">
        <v>3396</v>
      </c>
      <c r="S2818" s="7">
        <f t="shared" si="132"/>
        <v>0</v>
      </c>
      <c r="T2818" s="6">
        <f t="shared" si="133"/>
        <v>0</v>
      </c>
      <c r="U2818" s="25">
        <f t="shared" si="134"/>
        <v>0</v>
      </c>
    </row>
    <row r="2819" spans="1:21" ht="15" x14ac:dyDescent="0.2">
      <c r="A2819" s="82" t="s">
        <v>5964</v>
      </c>
      <c r="B2819" s="83">
        <v>45996</v>
      </c>
      <c r="C2819" s="82" t="s">
        <v>3395</v>
      </c>
      <c r="D2819" s="82" t="s">
        <v>163</v>
      </c>
      <c r="E2819" s="82"/>
      <c r="F2819" s="82" t="s">
        <v>6096</v>
      </c>
      <c r="G2819" s="89">
        <v>2</v>
      </c>
      <c r="H2819" s="89">
        <v>1177.8800000000001</v>
      </c>
      <c r="I2819" s="85">
        <v>0</v>
      </c>
      <c r="J2819" s="85">
        <v>117.79</v>
      </c>
      <c r="K2819" s="85">
        <v>2473.5500000000002</v>
      </c>
      <c r="L2819" s="85">
        <v>2473.5500000000002</v>
      </c>
      <c r="M2819" s="89">
        <v>1177.8800000000001</v>
      </c>
      <c r="N2819" s="85">
        <v>0</v>
      </c>
      <c r="O2819" s="85">
        <v>117.79</v>
      </c>
      <c r="P2819" s="85">
        <v>2473.5500000000002</v>
      </c>
      <c r="Q2819" s="85">
        <v>2473.5500000000002</v>
      </c>
      <c r="R2819" s="82" t="s">
        <v>3399</v>
      </c>
      <c r="S2819" s="7">
        <f t="shared" si="132"/>
        <v>0</v>
      </c>
      <c r="T2819" s="6">
        <f t="shared" si="133"/>
        <v>0</v>
      </c>
      <c r="U2819" s="25">
        <f t="shared" si="134"/>
        <v>0</v>
      </c>
    </row>
    <row r="2820" spans="1:21" ht="15" x14ac:dyDescent="0.2">
      <c r="A2820" s="82" t="s">
        <v>5965</v>
      </c>
      <c r="B2820" s="83">
        <v>45996</v>
      </c>
      <c r="C2820" s="82" t="s">
        <v>3395</v>
      </c>
      <c r="D2820" s="82" t="s">
        <v>315</v>
      </c>
      <c r="E2820" s="82"/>
      <c r="F2820" s="82" t="s">
        <v>4893</v>
      </c>
      <c r="G2820" s="89">
        <v>4</v>
      </c>
      <c r="H2820" s="89">
        <v>362.39</v>
      </c>
      <c r="I2820" s="85">
        <v>0</v>
      </c>
      <c r="J2820" s="85">
        <v>72.48</v>
      </c>
      <c r="K2820" s="85">
        <v>1522.04</v>
      </c>
      <c r="L2820" s="85">
        <v>1522.04</v>
      </c>
      <c r="M2820" s="89">
        <v>362.39</v>
      </c>
      <c r="N2820" s="85">
        <v>0</v>
      </c>
      <c r="O2820" s="85">
        <v>72.48</v>
      </c>
      <c r="P2820" s="85">
        <v>1522.04</v>
      </c>
      <c r="Q2820" s="85">
        <v>1522.04</v>
      </c>
      <c r="R2820" s="82" t="s">
        <v>3396</v>
      </c>
      <c r="S2820" s="7">
        <f t="shared" si="132"/>
        <v>0</v>
      </c>
      <c r="T2820" s="6">
        <f t="shared" si="133"/>
        <v>0</v>
      </c>
      <c r="U2820" s="25">
        <f t="shared" si="134"/>
        <v>0</v>
      </c>
    </row>
    <row r="2821" spans="1:21" ht="15" x14ac:dyDescent="0.2">
      <c r="A2821" s="82" t="s">
        <v>5966</v>
      </c>
      <c r="B2821" s="83">
        <v>45996</v>
      </c>
      <c r="C2821" s="82" t="s">
        <v>3395</v>
      </c>
      <c r="D2821" s="82" t="s">
        <v>5967</v>
      </c>
      <c r="E2821" s="82"/>
      <c r="F2821" s="82" t="s">
        <v>6097</v>
      </c>
      <c r="G2821" s="89">
        <v>1</v>
      </c>
      <c r="H2821" s="89">
        <v>8796.2800000000007</v>
      </c>
      <c r="I2821" s="85">
        <v>0</v>
      </c>
      <c r="J2821" s="85">
        <v>1143.52</v>
      </c>
      <c r="K2821" s="85">
        <v>9939.7999999999993</v>
      </c>
      <c r="L2821" s="85">
        <v>9939.7999999999993</v>
      </c>
      <c r="M2821" s="89">
        <v>8796.2800000000007</v>
      </c>
      <c r="N2821" s="85">
        <v>0</v>
      </c>
      <c r="O2821" s="85">
        <v>1143.52</v>
      </c>
      <c r="P2821" s="85">
        <v>9939.7999999999993</v>
      </c>
      <c r="Q2821" s="85">
        <v>9939.7999999999993</v>
      </c>
      <c r="R2821" s="82" t="s">
        <v>3396</v>
      </c>
      <c r="S2821" s="7">
        <f t="shared" si="132"/>
        <v>0</v>
      </c>
      <c r="T2821" s="6">
        <f t="shared" si="133"/>
        <v>0</v>
      </c>
      <c r="U2821" s="25">
        <f t="shared" si="134"/>
        <v>0</v>
      </c>
    </row>
    <row r="2822" spans="1:21" ht="15" x14ac:dyDescent="0.2">
      <c r="A2822" s="82" t="s">
        <v>5968</v>
      </c>
      <c r="B2822" s="83">
        <v>45996</v>
      </c>
      <c r="C2822" s="82" t="s">
        <v>3395</v>
      </c>
      <c r="D2822" s="82" t="s">
        <v>31</v>
      </c>
      <c r="E2822" s="82"/>
      <c r="F2822" s="82" t="s">
        <v>5747</v>
      </c>
      <c r="G2822" s="89">
        <v>1</v>
      </c>
      <c r="H2822" s="89">
        <v>206.39</v>
      </c>
      <c r="I2822" s="85">
        <v>0</v>
      </c>
      <c r="J2822" s="85">
        <v>26.83</v>
      </c>
      <c r="K2822" s="85">
        <v>233.22</v>
      </c>
      <c r="L2822" s="85">
        <v>472.71</v>
      </c>
      <c r="M2822" s="89">
        <v>206.39</v>
      </c>
      <c r="N2822" s="85">
        <v>0</v>
      </c>
      <c r="O2822" s="85">
        <v>26.83</v>
      </c>
      <c r="P2822" s="85">
        <v>233.22</v>
      </c>
      <c r="Q2822" s="85">
        <v>472.71</v>
      </c>
      <c r="R2822" s="82" t="s">
        <v>3396</v>
      </c>
      <c r="S2822" s="7">
        <f t="shared" si="132"/>
        <v>0</v>
      </c>
      <c r="T2822" s="6">
        <f t="shared" si="133"/>
        <v>0</v>
      </c>
      <c r="U2822" s="25">
        <f t="shared" si="134"/>
        <v>0</v>
      </c>
    </row>
    <row r="2823" spans="1:21" ht="15" x14ac:dyDescent="0.2">
      <c r="A2823" s="82" t="s">
        <v>5968</v>
      </c>
      <c r="B2823" s="83">
        <v>45996</v>
      </c>
      <c r="C2823" s="82" t="s">
        <v>3395</v>
      </c>
      <c r="D2823" s="82" t="s">
        <v>31</v>
      </c>
      <c r="E2823" s="82"/>
      <c r="F2823" s="82" t="s">
        <v>6098</v>
      </c>
      <c r="G2823" s="89">
        <v>1</v>
      </c>
      <c r="H2823" s="89">
        <v>211.94</v>
      </c>
      <c r="I2823" s="85">
        <v>0</v>
      </c>
      <c r="J2823" s="85">
        <v>27.55</v>
      </c>
      <c r="K2823" s="85">
        <v>239.49</v>
      </c>
      <c r="L2823" s="85">
        <v>472.71</v>
      </c>
      <c r="M2823" s="89">
        <v>211.94</v>
      </c>
      <c r="N2823" s="85">
        <v>0</v>
      </c>
      <c r="O2823" s="85">
        <v>27.55</v>
      </c>
      <c r="P2823" s="85">
        <v>239.49</v>
      </c>
      <c r="Q2823" s="85">
        <v>472.71</v>
      </c>
      <c r="R2823" s="82" t="s">
        <v>3396</v>
      </c>
      <c r="S2823" s="7">
        <f t="shared" si="132"/>
        <v>0</v>
      </c>
      <c r="T2823" s="6">
        <f t="shared" si="133"/>
        <v>0</v>
      </c>
      <c r="U2823" s="25">
        <f t="shared" si="134"/>
        <v>0</v>
      </c>
    </row>
    <row r="2824" spans="1:21" ht="15" x14ac:dyDescent="0.2">
      <c r="A2824" s="82" t="s">
        <v>5969</v>
      </c>
      <c r="B2824" s="83">
        <v>45999</v>
      </c>
      <c r="C2824" s="82" t="s">
        <v>3395</v>
      </c>
      <c r="D2824" s="82" t="s">
        <v>158</v>
      </c>
      <c r="E2824" s="82"/>
      <c r="F2824" s="82" t="s">
        <v>4633</v>
      </c>
      <c r="G2824" s="89">
        <v>1</v>
      </c>
      <c r="H2824" s="89">
        <v>998.44</v>
      </c>
      <c r="I2824" s="85">
        <v>0</v>
      </c>
      <c r="J2824" s="85">
        <v>0</v>
      </c>
      <c r="K2824" s="85">
        <v>998.44</v>
      </c>
      <c r="L2824" s="85">
        <v>998.44</v>
      </c>
      <c r="M2824" s="89">
        <v>1383.6781303354842</v>
      </c>
      <c r="N2824" s="85">
        <v>0</v>
      </c>
      <c r="O2824" s="85">
        <v>0</v>
      </c>
      <c r="P2824" s="85">
        <v>1383.6781303354842</v>
      </c>
      <c r="Q2824" s="85">
        <v>1383.6781303354842</v>
      </c>
      <c r="R2824" s="82" t="s">
        <v>3396</v>
      </c>
      <c r="S2824" s="7">
        <f t="shared" si="132"/>
        <v>0</v>
      </c>
      <c r="T2824" s="6">
        <f t="shared" si="133"/>
        <v>0</v>
      </c>
      <c r="U2824" s="25">
        <f t="shared" si="134"/>
        <v>0</v>
      </c>
    </row>
    <row r="2825" spans="1:21" ht="15" x14ac:dyDescent="0.2">
      <c r="A2825" s="82" t="s">
        <v>5970</v>
      </c>
      <c r="B2825" s="83">
        <v>45999</v>
      </c>
      <c r="C2825" s="82" t="s">
        <v>3395</v>
      </c>
      <c r="D2825" s="82" t="s">
        <v>748</v>
      </c>
      <c r="E2825" s="82"/>
      <c r="F2825" s="82" t="s">
        <v>5183</v>
      </c>
      <c r="G2825" s="89">
        <v>2</v>
      </c>
      <c r="H2825" s="89">
        <v>17393</v>
      </c>
      <c r="I2825" s="85">
        <v>0</v>
      </c>
      <c r="J2825" s="85">
        <v>0</v>
      </c>
      <c r="K2825" s="85">
        <v>34786</v>
      </c>
      <c r="L2825" s="85">
        <v>34786</v>
      </c>
      <c r="M2825" s="89">
        <v>24103.915829619284</v>
      </c>
      <c r="N2825" s="85">
        <v>0</v>
      </c>
      <c r="O2825" s="85">
        <v>0</v>
      </c>
      <c r="P2825" s="85">
        <v>48207.831659238567</v>
      </c>
      <c r="Q2825" s="85">
        <v>48207.831659238567</v>
      </c>
      <c r="R2825" s="82" t="s">
        <v>3396</v>
      </c>
      <c r="S2825" s="7">
        <f t="shared" si="132"/>
        <v>0</v>
      </c>
      <c r="T2825" s="6">
        <f t="shared" si="133"/>
        <v>0</v>
      </c>
      <c r="U2825" s="25">
        <f t="shared" si="134"/>
        <v>0</v>
      </c>
    </row>
    <row r="2826" spans="1:21" ht="15" x14ac:dyDescent="0.2">
      <c r="A2826" s="82" t="s">
        <v>5971</v>
      </c>
      <c r="B2826" s="83">
        <v>45999</v>
      </c>
      <c r="C2826" s="82" t="s">
        <v>3395</v>
      </c>
      <c r="D2826" s="82" t="s">
        <v>363</v>
      </c>
      <c r="E2826" s="82"/>
      <c r="F2826" s="82" t="s">
        <v>4633</v>
      </c>
      <c r="G2826" s="89">
        <v>1</v>
      </c>
      <c r="H2826" s="89">
        <v>998.44</v>
      </c>
      <c r="I2826" s="85">
        <v>0</v>
      </c>
      <c r="J2826" s="85">
        <v>0</v>
      </c>
      <c r="K2826" s="85">
        <v>998.44</v>
      </c>
      <c r="L2826" s="85">
        <v>998.44</v>
      </c>
      <c r="M2826" s="89">
        <v>1383.6781303354842</v>
      </c>
      <c r="N2826" s="85">
        <v>0</v>
      </c>
      <c r="O2826" s="85">
        <v>0</v>
      </c>
      <c r="P2826" s="85">
        <v>1383.6781303354842</v>
      </c>
      <c r="Q2826" s="85">
        <v>1383.6781303354842</v>
      </c>
      <c r="R2826" s="82" t="s">
        <v>3396</v>
      </c>
      <c r="S2826" s="7">
        <f t="shared" si="132"/>
        <v>0</v>
      </c>
      <c r="T2826" s="6">
        <f t="shared" si="133"/>
        <v>0</v>
      </c>
      <c r="U2826" s="25">
        <f t="shared" si="134"/>
        <v>0</v>
      </c>
    </row>
    <row r="2827" spans="1:21" ht="15" x14ac:dyDescent="0.2">
      <c r="A2827" s="82" t="s">
        <v>5972</v>
      </c>
      <c r="B2827" s="83">
        <v>45999</v>
      </c>
      <c r="C2827" s="82" t="s">
        <v>3395</v>
      </c>
      <c r="D2827" s="82" t="s">
        <v>520</v>
      </c>
      <c r="E2827" s="82"/>
      <c r="F2827" s="82" t="s">
        <v>4631</v>
      </c>
      <c r="G2827" s="89">
        <v>3</v>
      </c>
      <c r="H2827" s="89">
        <v>1058.44</v>
      </c>
      <c r="I2827" s="85">
        <v>0</v>
      </c>
      <c r="J2827" s="85">
        <v>0</v>
      </c>
      <c r="K2827" s="85">
        <v>3175.32</v>
      </c>
      <c r="L2827" s="85">
        <v>3175.32</v>
      </c>
      <c r="M2827" s="89">
        <v>1466.8285327834319</v>
      </c>
      <c r="N2827" s="85">
        <v>0</v>
      </c>
      <c r="O2827" s="85">
        <v>0</v>
      </c>
      <c r="P2827" s="85">
        <v>4400.4855983502957</v>
      </c>
      <c r="Q2827" s="85">
        <v>4400.4855983502957</v>
      </c>
      <c r="R2827" s="82" t="s">
        <v>3396</v>
      </c>
      <c r="S2827" s="7">
        <f t="shared" si="132"/>
        <v>0</v>
      </c>
      <c r="T2827" s="6">
        <f t="shared" si="133"/>
        <v>0</v>
      </c>
      <c r="U2827" s="25">
        <f t="shared" si="134"/>
        <v>0</v>
      </c>
    </row>
    <row r="2828" spans="1:21" ht="15" x14ac:dyDescent="0.2">
      <c r="A2828" s="82" t="s">
        <v>5973</v>
      </c>
      <c r="B2828" s="83">
        <v>45999</v>
      </c>
      <c r="C2828" s="82" t="s">
        <v>3395</v>
      </c>
      <c r="D2828" s="82" t="s">
        <v>1290</v>
      </c>
      <c r="E2828" s="82"/>
      <c r="F2828" s="82" t="s">
        <v>4539</v>
      </c>
      <c r="G2828" s="89">
        <v>1</v>
      </c>
      <c r="H2828" s="89">
        <v>6955</v>
      </c>
      <c r="I2828" s="85">
        <v>0</v>
      </c>
      <c r="J2828" s="85">
        <v>0</v>
      </c>
      <c r="K2828" s="85">
        <v>6955</v>
      </c>
      <c r="L2828" s="85">
        <v>6955</v>
      </c>
      <c r="M2828" s="89">
        <v>9638.5174837579543</v>
      </c>
      <c r="N2828" s="85">
        <v>0</v>
      </c>
      <c r="O2828" s="85">
        <v>0</v>
      </c>
      <c r="P2828" s="85">
        <v>9638.5174837579543</v>
      </c>
      <c r="Q2828" s="85">
        <v>9638.5174837579543</v>
      </c>
      <c r="R2828" s="82" t="s">
        <v>3396</v>
      </c>
      <c r="S2828" s="7">
        <f t="shared" si="132"/>
        <v>0</v>
      </c>
      <c r="T2828" s="6">
        <f t="shared" si="133"/>
        <v>0</v>
      </c>
      <c r="U2828" s="25">
        <f t="shared" si="134"/>
        <v>0</v>
      </c>
    </row>
    <row r="2829" spans="1:21" ht="15" x14ac:dyDescent="0.2">
      <c r="A2829" s="82" t="s">
        <v>5974</v>
      </c>
      <c r="B2829" s="83">
        <v>45999</v>
      </c>
      <c r="C2829" s="82" t="s">
        <v>3395</v>
      </c>
      <c r="D2829" s="82" t="s">
        <v>5975</v>
      </c>
      <c r="E2829" s="82"/>
      <c r="F2829" s="82" t="s">
        <v>4790</v>
      </c>
      <c r="G2829" s="89">
        <v>3</v>
      </c>
      <c r="H2829" s="89">
        <v>26</v>
      </c>
      <c r="I2829" s="85">
        <v>0</v>
      </c>
      <c r="J2829" s="85">
        <v>0</v>
      </c>
      <c r="K2829" s="85">
        <v>78</v>
      </c>
      <c r="L2829" s="85">
        <v>1823.88</v>
      </c>
      <c r="M2829" s="89">
        <v>36.00923498380277</v>
      </c>
      <c r="N2829" s="85">
        <v>0</v>
      </c>
      <c r="O2829" s="85">
        <v>0</v>
      </c>
      <c r="P2829" s="85">
        <v>108.02770495140831</v>
      </c>
      <c r="Q2829" s="85">
        <v>2526.0201347022385</v>
      </c>
      <c r="R2829" s="82" t="s">
        <v>3396</v>
      </c>
      <c r="S2829" s="7">
        <f t="shared" si="132"/>
        <v>0</v>
      </c>
      <c r="T2829" s="6">
        <f t="shared" si="133"/>
        <v>0</v>
      </c>
      <c r="U2829" s="25">
        <f t="shared" si="134"/>
        <v>0</v>
      </c>
    </row>
    <row r="2830" spans="1:21" ht="15" x14ac:dyDescent="0.2">
      <c r="A2830" s="82" t="s">
        <v>5974</v>
      </c>
      <c r="B2830" s="83">
        <v>45999</v>
      </c>
      <c r="C2830" s="82" t="s">
        <v>3395</v>
      </c>
      <c r="D2830" s="82" t="s">
        <v>5975</v>
      </c>
      <c r="E2830" s="82"/>
      <c r="F2830" s="82" t="s">
        <v>5242</v>
      </c>
      <c r="G2830" s="89">
        <v>1</v>
      </c>
      <c r="H2830" s="89">
        <v>259.88</v>
      </c>
      <c r="I2830" s="85">
        <v>0</v>
      </c>
      <c r="J2830" s="85">
        <v>0</v>
      </c>
      <c r="K2830" s="85">
        <v>259.88</v>
      </c>
      <c r="L2830" s="85">
        <v>1823.88</v>
      </c>
      <c r="M2830" s="89">
        <v>359.92615336887167</v>
      </c>
      <c r="N2830" s="85">
        <v>0</v>
      </c>
      <c r="O2830" s="85">
        <v>0</v>
      </c>
      <c r="P2830" s="85">
        <v>359.92615336887167</v>
      </c>
      <c r="Q2830" s="85">
        <v>2526.0201347022385</v>
      </c>
      <c r="R2830" s="82" t="s">
        <v>3396</v>
      </c>
      <c r="S2830" s="7">
        <f t="shared" si="132"/>
        <v>0</v>
      </c>
      <c r="T2830" s="6">
        <f t="shared" si="133"/>
        <v>0</v>
      </c>
      <c r="U2830" s="25">
        <f t="shared" si="134"/>
        <v>0</v>
      </c>
    </row>
    <row r="2831" spans="1:21" ht="15" x14ac:dyDescent="0.2">
      <c r="A2831" s="82" t="s">
        <v>5974</v>
      </c>
      <c r="B2831" s="83">
        <v>45999</v>
      </c>
      <c r="C2831" s="82" t="s">
        <v>3395</v>
      </c>
      <c r="D2831" s="82" t="s">
        <v>5975</v>
      </c>
      <c r="E2831" s="82"/>
      <c r="F2831" s="82" t="s">
        <v>5075</v>
      </c>
      <c r="G2831" s="89">
        <v>4</v>
      </c>
      <c r="H2831" s="89">
        <v>22</v>
      </c>
      <c r="I2831" s="85">
        <v>0</v>
      </c>
      <c r="J2831" s="85">
        <v>0</v>
      </c>
      <c r="K2831" s="85">
        <v>88</v>
      </c>
      <c r="L2831" s="85">
        <v>1823.88</v>
      </c>
      <c r="M2831" s="89">
        <v>30.469352678602345</v>
      </c>
      <c r="N2831" s="85">
        <v>0</v>
      </c>
      <c r="O2831" s="85">
        <v>0</v>
      </c>
      <c r="P2831" s="85">
        <v>121.87741071440938</v>
      </c>
      <c r="Q2831" s="85">
        <v>2526.0201347022385</v>
      </c>
      <c r="R2831" s="82" t="s">
        <v>3396</v>
      </c>
      <c r="S2831" s="7">
        <f t="shared" si="132"/>
        <v>0</v>
      </c>
      <c r="T2831" s="6">
        <f t="shared" si="133"/>
        <v>0</v>
      </c>
      <c r="U2831" s="25">
        <f t="shared" si="134"/>
        <v>0</v>
      </c>
    </row>
    <row r="2832" spans="1:21" ht="15" x14ac:dyDescent="0.2">
      <c r="A2832" s="82" t="s">
        <v>5974</v>
      </c>
      <c r="B2832" s="83">
        <v>45999</v>
      </c>
      <c r="C2832" s="82" t="s">
        <v>3395</v>
      </c>
      <c r="D2832" s="82" t="s">
        <v>5975</v>
      </c>
      <c r="E2832" s="82"/>
      <c r="F2832" s="82" t="s">
        <v>5701</v>
      </c>
      <c r="G2832" s="89">
        <v>1</v>
      </c>
      <c r="H2832" s="89">
        <v>668</v>
      </c>
      <c r="I2832" s="85">
        <v>0</v>
      </c>
      <c r="J2832" s="85">
        <v>0</v>
      </c>
      <c r="K2832" s="85">
        <v>668</v>
      </c>
      <c r="L2832" s="85">
        <v>1823.88</v>
      </c>
      <c r="M2832" s="89">
        <v>925.16034496847112</v>
      </c>
      <c r="N2832" s="85">
        <v>0</v>
      </c>
      <c r="O2832" s="85">
        <v>0</v>
      </c>
      <c r="P2832" s="85">
        <v>925.16034496847112</v>
      </c>
      <c r="Q2832" s="85">
        <v>2526.0201347022385</v>
      </c>
      <c r="R2832" s="82" t="s">
        <v>3396</v>
      </c>
      <c r="S2832" s="7">
        <f t="shared" si="132"/>
        <v>0</v>
      </c>
      <c r="T2832" s="6">
        <f t="shared" si="133"/>
        <v>0</v>
      </c>
      <c r="U2832" s="25">
        <f t="shared" si="134"/>
        <v>0</v>
      </c>
    </row>
    <row r="2833" spans="1:21" ht="15" x14ac:dyDescent="0.2">
      <c r="A2833" s="82" t="s">
        <v>5974</v>
      </c>
      <c r="B2833" s="83">
        <v>45999</v>
      </c>
      <c r="C2833" s="82" t="s">
        <v>3395</v>
      </c>
      <c r="D2833" s="82" t="s">
        <v>5975</v>
      </c>
      <c r="E2833" s="82"/>
      <c r="F2833" s="82" t="s">
        <v>5039</v>
      </c>
      <c r="G2833" s="89">
        <v>1</v>
      </c>
      <c r="H2833" s="89">
        <v>531</v>
      </c>
      <c r="I2833" s="85">
        <v>0</v>
      </c>
      <c r="J2833" s="85">
        <v>0</v>
      </c>
      <c r="K2833" s="85">
        <v>531</v>
      </c>
      <c r="L2833" s="85">
        <v>1823.88</v>
      </c>
      <c r="M2833" s="89">
        <v>735.41937601535653</v>
      </c>
      <c r="N2833" s="85">
        <v>0</v>
      </c>
      <c r="O2833" s="85">
        <v>0</v>
      </c>
      <c r="P2833" s="85">
        <v>735.41937601535653</v>
      </c>
      <c r="Q2833" s="85">
        <v>2526.0201347022385</v>
      </c>
      <c r="R2833" s="82" t="s">
        <v>3396</v>
      </c>
      <c r="S2833" s="7">
        <f t="shared" si="132"/>
        <v>0</v>
      </c>
      <c r="T2833" s="6">
        <f t="shared" si="133"/>
        <v>0</v>
      </c>
      <c r="U2833" s="25">
        <f t="shared" si="134"/>
        <v>0</v>
      </c>
    </row>
    <row r="2834" spans="1:21" ht="15" x14ac:dyDescent="0.2">
      <c r="A2834" s="82" t="s">
        <v>5974</v>
      </c>
      <c r="B2834" s="83">
        <v>45999</v>
      </c>
      <c r="C2834" s="82" t="s">
        <v>3395</v>
      </c>
      <c r="D2834" s="82" t="s">
        <v>5975</v>
      </c>
      <c r="E2834" s="82"/>
      <c r="F2834" s="82" t="s">
        <v>4393</v>
      </c>
      <c r="G2834" s="89">
        <v>1</v>
      </c>
      <c r="H2834" s="89">
        <v>199</v>
      </c>
      <c r="I2834" s="85">
        <v>0</v>
      </c>
      <c r="J2834" s="85">
        <v>0</v>
      </c>
      <c r="K2834" s="85">
        <v>199</v>
      </c>
      <c r="L2834" s="85">
        <v>1823.88</v>
      </c>
      <c r="M2834" s="89">
        <v>275.60914468372118</v>
      </c>
      <c r="N2834" s="85">
        <v>0</v>
      </c>
      <c r="O2834" s="85">
        <v>0</v>
      </c>
      <c r="P2834" s="85">
        <v>275.60914468372118</v>
      </c>
      <c r="Q2834" s="85">
        <v>2526.0201347022385</v>
      </c>
      <c r="R2834" s="82" t="s">
        <v>3396</v>
      </c>
      <c r="S2834" s="7" t="str">
        <f t="shared" si="132"/>
        <v>INV13743</v>
      </c>
      <c r="T2834" s="6">
        <f t="shared" si="133"/>
        <v>1</v>
      </c>
      <c r="U2834" s="25">
        <f t="shared" si="134"/>
        <v>199</v>
      </c>
    </row>
    <row r="2835" spans="1:21" ht="15" x14ac:dyDescent="0.2">
      <c r="A2835" s="82" t="s">
        <v>5976</v>
      </c>
      <c r="B2835" s="83">
        <v>45999</v>
      </c>
      <c r="C2835" s="82" t="s">
        <v>3395</v>
      </c>
      <c r="D2835" s="82" t="s">
        <v>5977</v>
      </c>
      <c r="E2835" s="82"/>
      <c r="F2835" s="82" t="s">
        <v>5384</v>
      </c>
      <c r="G2835" s="89">
        <v>1</v>
      </c>
      <c r="H2835" s="89">
        <v>74.84</v>
      </c>
      <c r="I2835" s="85">
        <v>0</v>
      </c>
      <c r="J2835" s="85">
        <v>3.74</v>
      </c>
      <c r="K2835" s="85">
        <v>78.58</v>
      </c>
      <c r="L2835" s="85">
        <v>78.58</v>
      </c>
      <c r="M2835" s="89">
        <v>74.84</v>
      </c>
      <c r="N2835" s="85">
        <v>0</v>
      </c>
      <c r="O2835" s="85">
        <v>3.74</v>
      </c>
      <c r="P2835" s="85">
        <v>78.58</v>
      </c>
      <c r="Q2835" s="85">
        <v>78.58</v>
      </c>
      <c r="R2835" s="82" t="s">
        <v>3396</v>
      </c>
      <c r="S2835" s="7">
        <f t="shared" si="132"/>
        <v>0</v>
      </c>
      <c r="T2835" s="6">
        <f t="shared" si="133"/>
        <v>0</v>
      </c>
      <c r="U2835" s="25">
        <f t="shared" si="134"/>
        <v>0</v>
      </c>
    </row>
    <row r="2836" spans="1:21" ht="15" x14ac:dyDescent="0.2">
      <c r="A2836" s="82" t="s">
        <v>5978</v>
      </c>
      <c r="B2836" s="83">
        <v>45999</v>
      </c>
      <c r="C2836" s="82" t="s">
        <v>3395</v>
      </c>
      <c r="D2836" s="82" t="s">
        <v>270</v>
      </c>
      <c r="E2836" s="82"/>
      <c r="F2836" s="82" t="s">
        <v>4825</v>
      </c>
      <c r="G2836" s="89">
        <v>4</v>
      </c>
      <c r="H2836" s="89">
        <v>85.72</v>
      </c>
      <c r="I2836" s="85">
        <v>0</v>
      </c>
      <c r="J2836" s="85">
        <v>17.14</v>
      </c>
      <c r="K2836" s="85">
        <v>360.02</v>
      </c>
      <c r="L2836" s="85">
        <v>678.59</v>
      </c>
      <c r="M2836" s="89">
        <v>85.72</v>
      </c>
      <c r="N2836" s="85">
        <v>0</v>
      </c>
      <c r="O2836" s="85">
        <v>17.14</v>
      </c>
      <c r="P2836" s="85">
        <v>360.02</v>
      </c>
      <c r="Q2836" s="85">
        <v>678.59</v>
      </c>
      <c r="R2836" s="82" t="s">
        <v>3396</v>
      </c>
      <c r="S2836" s="7">
        <f t="shared" si="132"/>
        <v>0</v>
      </c>
      <c r="T2836" s="6">
        <f t="shared" si="133"/>
        <v>0</v>
      </c>
      <c r="U2836" s="25">
        <f t="shared" si="134"/>
        <v>0</v>
      </c>
    </row>
    <row r="2837" spans="1:21" ht="15" x14ac:dyDescent="0.2">
      <c r="A2837" s="82" t="s">
        <v>5978</v>
      </c>
      <c r="B2837" s="83">
        <v>45999</v>
      </c>
      <c r="C2837" s="82" t="s">
        <v>3395</v>
      </c>
      <c r="D2837" s="82" t="s">
        <v>270</v>
      </c>
      <c r="E2837" s="82"/>
      <c r="F2837" s="82" t="s">
        <v>4826</v>
      </c>
      <c r="G2837" s="89">
        <v>4</v>
      </c>
      <c r="H2837" s="89">
        <v>75.849999999999994</v>
      </c>
      <c r="I2837" s="85">
        <v>0</v>
      </c>
      <c r="J2837" s="85">
        <v>15.17</v>
      </c>
      <c r="K2837" s="85">
        <v>318.57</v>
      </c>
      <c r="L2837" s="85">
        <v>678.59</v>
      </c>
      <c r="M2837" s="89">
        <v>75.849999999999994</v>
      </c>
      <c r="N2837" s="85">
        <v>0</v>
      </c>
      <c r="O2837" s="85">
        <v>15.17</v>
      </c>
      <c r="P2837" s="85">
        <v>318.57</v>
      </c>
      <c r="Q2837" s="85">
        <v>678.59</v>
      </c>
      <c r="R2837" s="82" t="s">
        <v>3396</v>
      </c>
      <c r="S2837" s="7">
        <f t="shared" si="132"/>
        <v>0</v>
      </c>
      <c r="T2837" s="6">
        <f t="shared" si="133"/>
        <v>0</v>
      </c>
      <c r="U2837" s="25">
        <f t="shared" si="134"/>
        <v>0</v>
      </c>
    </row>
    <row r="2838" spans="1:21" ht="15" x14ac:dyDescent="0.2">
      <c r="A2838" s="82" t="s">
        <v>5979</v>
      </c>
      <c r="B2838" s="83">
        <v>46000</v>
      </c>
      <c r="C2838" s="82" t="s">
        <v>3395</v>
      </c>
      <c r="D2838" s="82"/>
      <c r="E2838" s="82"/>
      <c r="F2838" s="82" t="s">
        <v>4815</v>
      </c>
      <c r="G2838" s="89">
        <v>1</v>
      </c>
      <c r="H2838" s="89">
        <v>330</v>
      </c>
      <c r="I2838" s="85">
        <v>0</v>
      </c>
      <c r="J2838" s="85">
        <v>0</v>
      </c>
      <c r="K2838" s="85">
        <v>330</v>
      </c>
      <c r="L2838" s="85">
        <v>330</v>
      </c>
      <c r="M2838" s="89">
        <v>457.23153234913093</v>
      </c>
      <c r="N2838" s="85">
        <v>0</v>
      </c>
      <c r="O2838" s="85">
        <v>0</v>
      </c>
      <c r="P2838" s="85">
        <v>457.23153234913093</v>
      </c>
      <c r="Q2838" s="85">
        <v>457.23153234913093</v>
      </c>
      <c r="R2838" s="82" t="s">
        <v>3399</v>
      </c>
      <c r="S2838" s="7" t="str">
        <f t="shared" si="132"/>
        <v>INV13746</v>
      </c>
      <c r="T2838" s="6">
        <f t="shared" si="133"/>
        <v>1</v>
      </c>
      <c r="U2838" s="25">
        <f t="shared" si="134"/>
        <v>330</v>
      </c>
    </row>
    <row r="2839" spans="1:21" ht="15" x14ac:dyDescent="0.2">
      <c r="A2839" s="82" t="s">
        <v>5980</v>
      </c>
      <c r="B2839" s="83">
        <v>46000</v>
      </c>
      <c r="C2839" s="82" t="s">
        <v>3395</v>
      </c>
      <c r="D2839" s="82" t="s">
        <v>5981</v>
      </c>
      <c r="E2839" s="82"/>
      <c r="F2839" s="82" t="s">
        <v>6099</v>
      </c>
      <c r="G2839" s="89">
        <v>1</v>
      </c>
      <c r="H2839" s="89">
        <v>1143.57</v>
      </c>
      <c r="I2839" s="85">
        <v>0</v>
      </c>
      <c r="J2839" s="85">
        <v>57.18</v>
      </c>
      <c r="K2839" s="85">
        <v>1200.75</v>
      </c>
      <c r="L2839" s="85">
        <v>1200.75</v>
      </c>
      <c r="M2839" s="89">
        <v>1143.57</v>
      </c>
      <c r="N2839" s="85">
        <v>0</v>
      </c>
      <c r="O2839" s="85">
        <v>57.18</v>
      </c>
      <c r="P2839" s="85">
        <v>1200.75</v>
      </c>
      <c r="Q2839" s="85">
        <v>1200.75</v>
      </c>
      <c r="R2839" s="82" t="s">
        <v>3396</v>
      </c>
      <c r="S2839" s="7">
        <f t="shared" si="132"/>
        <v>0</v>
      </c>
      <c r="T2839" s="6">
        <f t="shared" si="133"/>
        <v>0</v>
      </c>
      <c r="U2839" s="25">
        <f t="shared" si="134"/>
        <v>0</v>
      </c>
    </row>
    <row r="2840" spans="1:21" ht="15" x14ac:dyDescent="0.2">
      <c r="A2840" s="82" t="s">
        <v>5982</v>
      </c>
      <c r="B2840" s="83">
        <v>46000</v>
      </c>
      <c r="C2840" s="82" t="s">
        <v>3395</v>
      </c>
      <c r="D2840" s="82" t="s">
        <v>5983</v>
      </c>
      <c r="E2840" s="82"/>
      <c r="F2840" s="82" t="s">
        <v>4498</v>
      </c>
      <c r="G2840" s="89">
        <v>1</v>
      </c>
      <c r="H2840" s="89">
        <v>754.36</v>
      </c>
      <c r="I2840" s="85">
        <v>0</v>
      </c>
      <c r="J2840" s="85">
        <v>37.72</v>
      </c>
      <c r="K2840" s="85">
        <v>792.08</v>
      </c>
      <c r="L2840" s="85">
        <v>792.08</v>
      </c>
      <c r="M2840" s="89">
        <v>754.36</v>
      </c>
      <c r="N2840" s="85">
        <v>0</v>
      </c>
      <c r="O2840" s="85">
        <v>37.72</v>
      </c>
      <c r="P2840" s="85">
        <v>792.08</v>
      </c>
      <c r="Q2840" s="85">
        <v>792.08</v>
      </c>
      <c r="R2840" s="82" t="s">
        <v>3396</v>
      </c>
      <c r="S2840" s="7">
        <f t="shared" si="132"/>
        <v>0</v>
      </c>
      <c r="T2840" s="6">
        <f t="shared" si="133"/>
        <v>0</v>
      </c>
      <c r="U2840" s="25">
        <f t="shared" si="134"/>
        <v>0</v>
      </c>
    </row>
    <row r="2841" spans="1:21" ht="15" x14ac:dyDescent="0.2">
      <c r="A2841" s="82" t="s">
        <v>5984</v>
      </c>
      <c r="B2841" s="83">
        <v>46000</v>
      </c>
      <c r="C2841" s="82" t="s">
        <v>3395</v>
      </c>
      <c r="D2841" s="82" t="s">
        <v>175</v>
      </c>
      <c r="E2841" s="82"/>
      <c r="F2841" s="82" t="s">
        <v>4576</v>
      </c>
      <c r="G2841" s="89">
        <v>6</v>
      </c>
      <c r="H2841" s="89">
        <v>32</v>
      </c>
      <c r="I2841" s="85">
        <v>0</v>
      </c>
      <c r="J2841" s="85">
        <v>24.96</v>
      </c>
      <c r="K2841" s="85">
        <v>216.96</v>
      </c>
      <c r="L2841" s="85">
        <v>216.96</v>
      </c>
      <c r="M2841" s="89">
        <v>32</v>
      </c>
      <c r="N2841" s="85">
        <v>0</v>
      </c>
      <c r="O2841" s="85">
        <v>24.96</v>
      </c>
      <c r="P2841" s="85">
        <v>216.96</v>
      </c>
      <c r="Q2841" s="85">
        <v>216.96</v>
      </c>
      <c r="R2841" s="82" t="s">
        <v>3396</v>
      </c>
      <c r="S2841" s="7">
        <f t="shared" si="132"/>
        <v>0</v>
      </c>
      <c r="T2841" s="6">
        <f t="shared" si="133"/>
        <v>0</v>
      </c>
      <c r="U2841" s="25">
        <f t="shared" si="134"/>
        <v>0</v>
      </c>
    </row>
    <row r="2842" spans="1:21" ht="15" x14ac:dyDescent="0.2">
      <c r="A2842" s="82" t="s">
        <v>5985</v>
      </c>
      <c r="B2842" s="83">
        <v>46000</v>
      </c>
      <c r="C2842" s="82" t="s">
        <v>3395</v>
      </c>
      <c r="D2842" s="82" t="s">
        <v>5986</v>
      </c>
      <c r="E2842" s="82"/>
      <c r="F2842" s="82" t="s">
        <v>5179</v>
      </c>
      <c r="G2842" s="89">
        <v>1</v>
      </c>
      <c r="H2842" s="89">
        <v>297.83999999999997</v>
      </c>
      <c r="I2842" s="85">
        <v>0</v>
      </c>
      <c r="J2842" s="85">
        <v>14.89</v>
      </c>
      <c r="K2842" s="85">
        <v>312.73</v>
      </c>
      <c r="L2842" s="85">
        <v>382.87</v>
      </c>
      <c r="M2842" s="89">
        <v>297.83999999999997</v>
      </c>
      <c r="N2842" s="85">
        <v>0</v>
      </c>
      <c r="O2842" s="85">
        <v>14.89</v>
      </c>
      <c r="P2842" s="85">
        <v>312.73</v>
      </c>
      <c r="Q2842" s="85">
        <v>382.87</v>
      </c>
      <c r="R2842" s="82" t="s">
        <v>3396</v>
      </c>
      <c r="S2842" s="7">
        <f t="shared" si="132"/>
        <v>0</v>
      </c>
      <c r="T2842" s="6">
        <f t="shared" si="133"/>
        <v>0</v>
      </c>
      <c r="U2842" s="25">
        <f t="shared" si="134"/>
        <v>0</v>
      </c>
    </row>
    <row r="2843" spans="1:21" ht="15" x14ac:dyDescent="0.2">
      <c r="A2843" s="82" t="s">
        <v>5985</v>
      </c>
      <c r="B2843" s="83">
        <v>46000</v>
      </c>
      <c r="C2843" s="82" t="s">
        <v>3395</v>
      </c>
      <c r="D2843" s="82" t="s">
        <v>5986</v>
      </c>
      <c r="E2843" s="82"/>
      <c r="F2843" s="82" t="s">
        <v>4692</v>
      </c>
      <c r="G2843" s="89">
        <v>1</v>
      </c>
      <c r="H2843" s="89">
        <v>32.979999999999997</v>
      </c>
      <c r="I2843" s="85">
        <v>0</v>
      </c>
      <c r="J2843" s="85">
        <v>1.65</v>
      </c>
      <c r="K2843" s="85">
        <v>34.630000000000003</v>
      </c>
      <c r="L2843" s="85">
        <v>382.87</v>
      </c>
      <c r="M2843" s="89">
        <v>32.979999999999997</v>
      </c>
      <c r="N2843" s="85">
        <v>0</v>
      </c>
      <c r="O2843" s="85">
        <v>1.65</v>
      </c>
      <c r="P2843" s="85">
        <v>34.630000000000003</v>
      </c>
      <c r="Q2843" s="85">
        <v>382.87</v>
      </c>
      <c r="R2843" s="82" t="s">
        <v>3396</v>
      </c>
      <c r="S2843" s="7">
        <f t="shared" si="132"/>
        <v>0</v>
      </c>
      <c r="T2843" s="6">
        <f t="shared" si="133"/>
        <v>0</v>
      </c>
      <c r="U2843" s="25">
        <f t="shared" si="134"/>
        <v>0</v>
      </c>
    </row>
    <row r="2844" spans="1:21" ht="15" x14ac:dyDescent="0.2">
      <c r="A2844" s="82" t="s">
        <v>5985</v>
      </c>
      <c r="B2844" s="83">
        <v>46000</v>
      </c>
      <c r="C2844" s="82" t="s">
        <v>3395</v>
      </c>
      <c r="D2844" s="82" t="s">
        <v>5986</v>
      </c>
      <c r="E2844" s="82"/>
      <c r="F2844" s="82" t="s">
        <v>5031</v>
      </c>
      <c r="G2844" s="89">
        <v>1</v>
      </c>
      <c r="H2844" s="89">
        <v>33.82</v>
      </c>
      <c r="I2844" s="85">
        <v>0</v>
      </c>
      <c r="J2844" s="85">
        <v>1.69</v>
      </c>
      <c r="K2844" s="85">
        <v>35.51</v>
      </c>
      <c r="L2844" s="85">
        <v>382.87</v>
      </c>
      <c r="M2844" s="89">
        <v>33.82</v>
      </c>
      <c r="N2844" s="85">
        <v>0</v>
      </c>
      <c r="O2844" s="85">
        <v>1.69</v>
      </c>
      <c r="P2844" s="85">
        <v>35.51</v>
      </c>
      <c r="Q2844" s="85">
        <v>382.87</v>
      </c>
      <c r="R2844" s="82" t="s">
        <v>3396</v>
      </c>
      <c r="S2844" s="7">
        <f t="shared" si="132"/>
        <v>0</v>
      </c>
      <c r="T2844" s="6">
        <f t="shared" si="133"/>
        <v>0</v>
      </c>
      <c r="U2844" s="25">
        <f t="shared" si="134"/>
        <v>0</v>
      </c>
    </row>
    <row r="2845" spans="1:21" ht="15" x14ac:dyDescent="0.2">
      <c r="A2845" s="82" t="s">
        <v>5987</v>
      </c>
      <c r="B2845" s="83">
        <v>46000</v>
      </c>
      <c r="C2845" s="82" t="s">
        <v>3395</v>
      </c>
      <c r="D2845" s="82" t="s">
        <v>5988</v>
      </c>
      <c r="E2845" s="82"/>
      <c r="F2845" s="82" t="s">
        <v>4495</v>
      </c>
      <c r="G2845" s="89">
        <v>4</v>
      </c>
      <c r="H2845" s="89">
        <v>209.18</v>
      </c>
      <c r="I2845" s="85">
        <v>0</v>
      </c>
      <c r="J2845" s="85">
        <v>108.77</v>
      </c>
      <c r="K2845" s="85">
        <v>945.49</v>
      </c>
      <c r="L2845" s="85">
        <v>945.49</v>
      </c>
      <c r="M2845" s="89">
        <v>209.18</v>
      </c>
      <c r="N2845" s="85">
        <v>0</v>
      </c>
      <c r="O2845" s="85">
        <v>108.77</v>
      </c>
      <c r="P2845" s="85">
        <v>945.49</v>
      </c>
      <c r="Q2845" s="85">
        <v>945.49</v>
      </c>
      <c r="R2845" s="82" t="s">
        <v>3399</v>
      </c>
      <c r="S2845" s="7">
        <f t="shared" si="132"/>
        <v>0</v>
      </c>
      <c r="T2845" s="6">
        <f t="shared" si="133"/>
        <v>0</v>
      </c>
      <c r="U2845" s="25">
        <f t="shared" si="134"/>
        <v>0</v>
      </c>
    </row>
    <row r="2846" spans="1:21" ht="15" x14ac:dyDescent="0.2">
      <c r="A2846" s="82" t="s">
        <v>5989</v>
      </c>
      <c r="B2846" s="83">
        <v>46000</v>
      </c>
      <c r="C2846" s="82" t="s">
        <v>3395</v>
      </c>
      <c r="D2846" s="82" t="s">
        <v>165</v>
      </c>
      <c r="E2846" s="82"/>
      <c r="F2846" s="82" t="s">
        <v>6100</v>
      </c>
      <c r="G2846" s="89">
        <v>1</v>
      </c>
      <c r="H2846" s="89">
        <v>1305</v>
      </c>
      <c r="I2846" s="85">
        <v>0</v>
      </c>
      <c r="J2846" s="85">
        <v>169.65</v>
      </c>
      <c r="K2846" s="85">
        <v>1474.65</v>
      </c>
      <c r="L2846" s="85">
        <v>4655.6000000000004</v>
      </c>
      <c r="M2846" s="89">
        <v>1305</v>
      </c>
      <c r="N2846" s="85">
        <v>0</v>
      </c>
      <c r="O2846" s="85">
        <v>169.65</v>
      </c>
      <c r="P2846" s="85">
        <v>1474.65</v>
      </c>
      <c r="Q2846" s="85">
        <v>4655.6000000000004</v>
      </c>
      <c r="R2846" s="82" t="s">
        <v>3399</v>
      </c>
      <c r="S2846" s="7">
        <f t="shared" ref="S2846:S2909" si="135">IF(T2846=1,A2846,0)</f>
        <v>0</v>
      </c>
      <c r="T2846" s="6">
        <f t="shared" ref="T2846:T2909" si="136">IFERROR(FIND("Freight",F2846,1),0)</f>
        <v>0</v>
      </c>
      <c r="U2846" s="25">
        <f t="shared" ref="U2846:U2909" si="137">IF(T2846=1,K2846-J2846,0)</f>
        <v>0</v>
      </c>
    </row>
    <row r="2847" spans="1:21" ht="15" x14ac:dyDescent="0.2">
      <c r="A2847" s="82" t="s">
        <v>5989</v>
      </c>
      <c r="B2847" s="83">
        <v>46000</v>
      </c>
      <c r="C2847" s="82" t="s">
        <v>3395</v>
      </c>
      <c r="D2847" s="82" t="s">
        <v>165</v>
      </c>
      <c r="E2847" s="82"/>
      <c r="F2847" s="82" t="s">
        <v>6101</v>
      </c>
      <c r="G2847" s="89">
        <v>1</v>
      </c>
      <c r="H2847" s="89">
        <v>1265</v>
      </c>
      <c r="I2847" s="85">
        <v>0</v>
      </c>
      <c r="J2847" s="85">
        <v>164.45</v>
      </c>
      <c r="K2847" s="85">
        <v>1429.45</v>
      </c>
      <c r="L2847" s="85">
        <v>4655.6000000000004</v>
      </c>
      <c r="M2847" s="89">
        <v>1265</v>
      </c>
      <c r="N2847" s="85">
        <v>0</v>
      </c>
      <c r="O2847" s="85">
        <v>164.45</v>
      </c>
      <c r="P2847" s="85">
        <v>1429.45</v>
      </c>
      <c r="Q2847" s="85">
        <v>4655.6000000000004</v>
      </c>
      <c r="R2847" s="82" t="s">
        <v>3399</v>
      </c>
      <c r="S2847" s="7">
        <f t="shared" si="135"/>
        <v>0</v>
      </c>
      <c r="T2847" s="6">
        <f t="shared" si="136"/>
        <v>0</v>
      </c>
      <c r="U2847" s="25">
        <f t="shared" si="137"/>
        <v>0</v>
      </c>
    </row>
    <row r="2848" spans="1:21" ht="15" x14ac:dyDescent="0.2">
      <c r="A2848" s="82" t="s">
        <v>5989</v>
      </c>
      <c r="B2848" s="83">
        <v>46000</v>
      </c>
      <c r="C2848" s="82" t="s">
        <v>3395</v>
      </c>
      <c r="D2848" s="82" t="s">
        <v>165</v>
      </c>
      <c r="E2848" s="82"/>
      <c r="F2848" s="82" t="s">
        <v>6102</v>
      </c>
      <c r="G2848" s="89">
        <v>1</v>
      </c>
      <c r="H2848" s="89">
        <v>1195</v>
      </c>
      <c r="I2848" s="85">
        <v>0</v>
      </c>
      <c r="J2848" s="85">
        <v>155.35</v>
      </c>
      <c r="K2848" s="85">
        <v>1350.35</v>
      </c>
      <c r="L2848" s="85">
        <v>4655.6000000000004</v>
      </c>
      <c r="M2848" s="89">
        <v>1195</v>
      </c>
      <c r="N2848" s="85">
        <v>0</v>
      </c>
      <c r="O2848" s="85">
        <v>155.35</v>
      </c>
      <c r="P2848" s="85">
        <v>1350.35</v>
      </c>
      <c r="Q2848" s="85">
        <v>4655.6000000000004</v>
      </c>
      <c r="R2848" s="82" t="s">
        <v>3399</v>
      </c>
      <c r="S2848" s="7">
        <f t="shared" si="135"/>
        <v>0</v>
      </c>
      <c r="T2848" s="6">
        <f t="shared" si="136"/>
        <v>0</v>
      </c>
      <c r="U2848" s="25">
        <f t="shared" si="137"/>
        <v>0</v>
      </c>
    </row>
    <row r="2849" spans="1:21" ht="15" x14ac:dyDescent="0.2">
      <c r="A2849" s="82" t="s">
        <v>5989</v>
      </c>
      <c r="B2849" s="83">
        <v>46000</v>
      </c>
      <c r="C2849" s="82" t="s">
        <v>3395</v>
      </c>
      <c r="D2849" s="82" t="s">
        <v>165</v>
      </c>
      <c r="E2849" s="82"/>
      <c r="F2849" s="82" t="s">
        <v>5594</v>
      </c>
      <c r="G2849" s="89">
        <v>1</v>
      </c>
      <c r="H2849" s="89">
        <v>240</v>
      </c>
      <c r="I2849" s="85">
        <v>0</v>
      </c>
      <c r="J2849" s="85">
        <v>31.2</v>
      </c>
      <c r="K2849" s="85">
        <v>271.2</v>
      </c>
      <c r="L2849" s="85">
        <v>4655.6000000000004</v>
      </c>
      <c r="M2849" s="89">
        <v>240</v>
      </c>
      <c r="N2849" s="85">
        <v>0</v>
      </c>
      <c r="O2849" s="85">
        <v>31.2</v>
      </c>
      <c r="P2849" s="85">
        <v>271.2</v>
      </c>
      <c r="Q2849" s="85">
        <v>4655.6000000000004</v>
      </c>
      <c r="R2849" s="82" t="s">
        <v>3399</v>
      </c>
      <c r="S2849" s="7">
        <f t="shared" si="135"/>
        <v>0</v>
      </c>
      <c r="T2849" s="6">
        <f t="shared" si="136"/>
        <v>0</v>
      </c>
      <c r="U2849" s="25">
        <f t="shared" si="137"/>
        <v>0</v>
      </c>
    </row>
    <row r="2850" spans="1:21" ht="15" x14ac:dyDescent="0.2">
      <c r="A2850" s="82" t="s">
        <v>5989</v>
      </c>
      <c r="B2850" s="83">
        <v>46000</v>
      </c>
      <c r="C2850" s="82" t="s">
        <v>3395</v>
      </c>
      <c r="D2850" s="82" t="s">
        <v>165</v>
      </c>
      <c r="E2850" s="82"/>
      <c r="F2850" s="82" t="s">
        <v>4428</v>
      </c>
      <c r="G2850" s="89">
        <v>1</v>
      </c>
      <c r="H2850" s="89">
        <v>115</v>
      </c>
      <c r="I2850" s="85">
        <v>0</v>
      </c>
      <c r="J2850" s="85">
        <v>14.95</v>
      </c>
      <c r="K2850" s="85">
        <v>129.94999999999999</v>
      </c>
      <c r="L2850" s="85">
        <v>4655.6000000000004</v>
      </c>
      <c r="M2850" s="89">
        <v>115</v>
      </c>
      <c r="N2850" s="85">
        <v>0</v>
      </c>
      <c r="O2850" s="85">
        <v>14.95</v>
      </c>
      <c r="P2850" s="85">
        <v>129.94999999999999</v>
      </c>
      <c r="Q2850" s="85">
        <v>4655.6000000000004</v>
      </c>
      <c r="R2850" s="82" t="s">
        <v>3399</v>
      </c>
      <c r="S2850" s="7">
        <f t="shared" si="135"/>
        <v>0</v>
      </c>
      <c r="T2850" s="6">
        <f t="shared" si="136"/>
        <v>0</v>
      </c>
      <c r="U2850" s="25">
        <f t="shared" si="137"/>
        <v>0</v>
      </c>
    </row>
    <row r="2851" spans="1:21" ht="15" x14ac:dyDescent="0.2">
      <c r="A2851" s="82" t="s">
        <v>5990</v>
      </c>
      <c r="B2851" s="83">
        <v>46001</v>
      </c>
      <c r="C2851" s="82" t="s">
        <v>3395</v>
      </c>
      <c r="D2851" s="82" t="s">
        <v>5991</v>
      </c>
      <c r="E2851" s="82"/>
      <c r="F2851" s="82" t="s">
        <v>6103</v>
      </c>
      <c r="G2851" s="89">
        <v>2</v>
      </c>
      <c r="H2851" s="89">
        <v>63.56</v>
      </c>
      <c r="I2851" s="85">
        <v>0</v>
      </c>
      <c r="J2851" s="85">
        <v>16.53</v>
      </c>
      <c r="K2851" s="85">
        <v>143.65</v>
      </c>
      <c r="L2851" s="85">
        <v>3355.67</v>
      </c>
      <c r="M2851" s="89">
        <v>87.796724889321709</v>
      </c>
      <c r="N2851" s="85">
        <v>0</v>
      </c>
      <c r="O2851" s="85">
        <v>22.833226281002009</v>
      </c>
      <c r="P2851" s="85">
        <v>198.42667605964542</v>
      </c>
      <c r="Q2851" s="85">
        <v>4635.2554406757417</v>
      </c>
      <c r="R2851" s="82" t="s">
        <v>3396</v>
      </c>
      <c r="S2851" s="7">
        <f t="shared" si="135"/>
        <v>0</v>
      </c>
      <c r="T2851" s="6">
        <f t="shared" si="136"/>
        <v>0</v>
      </c>
      <c r="U2851" s="25">
        <f t="shared" si="137"/>
        <v>0</v>
      </c>
    </row>
    <row r="2852" spans="1:21" ht="15" x14ac:dyDescent="0.2">
      <c r="A2852" s="82" t="s">
        <v>5990</v>
      </c>
      <c r="B2852" s="83">
        <v>46001</v>
      </c>
      <c r="C2852" s="82" t="s">
        <v>3395</v>
      </c>
      <c r="D2852" s="82" t="s">
        <v>5991</v>
      </c>
      <c r="E2852" s="82"/>
      <c r="F2852" s="82" t="s">
        <v>6104</v>
      </c>
      <c r="G2852" s="89">
        <v>1</v>
      </c>
      <c r="H2852" s="89">
        <v>2212.9699999999998</v>
      </c>
      <c r="I2852" s="85">
        <v>0</v>
      </c>
      <c r="J2852" s="85">
        <v>287.69</v>
      </c>
      <c r="K2852" s="85">
        <v>2500.66</v>
      </c>
      <c r="L2852" s="85">
        <v>3355.67</v>
      </c>
      <c r="M2852" s="89">
        <v>3056.8206148257118</v>
      </c>
      <c r="N2852" s="85">
        <v>0</v>
      </c>
      <c r="O2852" s="85">
        <v>397.39206707691881</v>
      </c>
      <c r="P2852" s="85">
        <v>3454.2126819026307</v>
      </c>
      <c r="Q2852" s="85">
        <v>4635.2554406757417</v>
      </c>
      <c r="R2852" s="82" t="s">
        <v>3396</v>
      </c>
      <c r="S2852" s="7">
        <f t="shared" si="135"/>
        <v>0</v>
      </c>
      <c r="T2852" s="6">
        <f t="shared" si="136"/>
        <v>0</v>
      </c>
      <c r="U2852" s="25">
        <f t="shared" si="137"/>
        <v>0</v>
      </c>
    </row>
    <row r="2853" spans="1:21" ht="15" x14ac:dyDescent="0.2">
      <c r="A2853" s="82" t="s">
        <v>5990</v>
      </c>
      <c r="B2853" s="83">
        <v>46001</v>
      </c>
      <c r="C2853" s="82" t="s">
        <v>3395</v>
      </c>
      <c r="D2853" s="82" t="s">
        <v>5991</v>
      </c>
      <c r="E2853" s="82"/>
      <c r="F2853" s="82" t="s">
        <v>4795</v>
      </c>
      <c r="G2853" s="89">
        <v>1</v>
      </c>
      <c r="H2853" s="89">
        <v>193.56</v>
      </c>
      <c r="I2853" s="85">
        <v>0</v>
      </c>
      <c r="J2853" s="85">
        <v>25.16</v>
      </c>
      <c r="K2853" s="85">
        <v>218.72</v>
      </c>
      <c r="L2853" s="85">
        <v>3355.67</v>
      </c>
      <c r="M2853" s="89">
        <v>267.36837743198726</v>
      </c>
      <c r="N2853" s="85">
        <v>0</v>
      </c>
      <c r="O2853" s="85">
        <v>34.754021369026653</v>
      </c>
      <c r="P2853" s="85">
        <v>302.1223988010139</v>
      </c>
      <c r="Q2853" s="85">
        <v>4635.2554406757417</v>
      </c>
      <c r="R2853" s="82" t="s">
        <v>3396</v>
      </c>
      <c r="S2853" s="7">
        <f t="shared" si="135"/>
        <v>0</v>
      </c>
      <c r="T2853" s="6">
        <f t="shared" si="136"/>
        <v>0</v>
      </c>
      <c r="U2853" s="25">
        <f t="shared" si="137"/>
        <v>0</v>
      </c>
    </row>
    <row r="2854" spans="1:21" ht="15" x14ac:dyDescent="0.2">
      <c r="A2854" s="82" t="s">
        <v>5990</v>
      </c>
      <c r="B2854" s="83">
        <v>46001</v>
      </c>
      <c r="C2854" s="82" t="s">
        <v>3395</v>
      </c>
      <c r="D2854" s="82" t="s">
        <v>5991</v>
      </c>
      <c r="E2854" s="82"/>
      <c r="F2854" s="82" t="s">
        <v>4459</v>
      </c>
      <c r="G2854" s="89">
        <v>1</v>
      </c>
      <c r="H2854" s="89">
        <v>492.64</v>
      </c>
      <c r="I2854" s="85">
        <v>0</v>
      </c>
      <c r="J2854" s="85">
        <v>0</v>
      </c>
      <c r="K2854" s="85">
        <v>492.64</v>
      </c>
      <c r="L2854" s="85">
        <v>3355.67</v>
      </c>
      <c r="M2854" s="89">
        <v>680.49368391245196</v>
      </c>
      <c r="N2854" s="85">
        <v>0</v>
      </c>
      <c r="O2854" s="85">
        <v>0</v>
      </c>
      <c r="P2854" s="85">
        <v>680.49368391245196</v>
      </c>
      <c r="Q2854" s="85">
        <v>4635.2554406757417</v>
      </c>
      <c r="R2854" s="82" t="s">
        <v>3396</v>
      </c>
      <c r="S2854" s="7" t="str">
        <f t="shared" si="135"/>
        <v>INV13750</v>
      </c>
      <c r="T2854" s="6">
        <f t="shared" si="136"/>
        <v>1</v>
      </c>
      <c r="U2854" s="25">
        <f t="shared" si="137"/>
        <v>492.64</v>
      </c>
    </row>
    <row r="2855" spans="1:21" ht="15" x14ac:dyDescent="0.2">
      <c r="A2855" s="82" t="s">
        <v>5992</v>
      </c>
      <c r="B2855" s="83">
        <v>46001</v>
      </c>
      <c r="C2855" s="82" t="s">
        <v>3395</v>
      </c>
      <c r="D2855" s="82" t="s">
        <v>716</v>
      </c>
      <c r="E2855" s="82"/>
      <c r="F2855" s="82" t="s">
        <v>4841</v>
      </c>
      <c r="G2855" s="89">
        <v>1</v>
      </c>
      <c r="H2855" s="89">
        <v>787.11</v>
      </c>
      <c r="I2855" s="85">
        <v>0</v>
      </c>
      <c r="J2855" s="85">
        <v>0</v>
      </c>
      <c r="K2855" s="85">
        <v>787.11</v>
      </c>
      <c r="L2855" s="85">
        <v>787.11</v>
      </c>
      <c r="M2855" s="89">
        <v>1087.2511033296728</v>
      </c>
      <c r="N2855" s="85">
        <v>0</v>
      </c>
      <c r="O2855" s="85">
        <v>0</v>
      </c>
      <c r="P2855" s="85">
        <v>1087.2511033296728</v>
      </c>
      <c r="Q2855" s="85">
        <v>1087.2511033296728</v>
      </c>
      <c r="R2855" s="82" t="s">
        <v>3399</v>
      </c>
      <c r="S2855" s="7">
        <f t="shared" si="135"/>
        <v>0</v>
      </c>
      <c r="T2855" s="6">
        <f t="shared" si="136"/>
        <v>0</v>
      </c>
      <c r="U2855" s="25">
        <f t="shared" si="137"/>
        <v>0</v>
      </c>
    </row>
    <row r="2856" spans="1:21" ht="15" x14ac:dyDescent="0.2">
      <c r="A2856" s="82" t="s">
        <v>5993</v>
      </c>
      <c r="B2856" s="83">
        <v>46001</v>
      </c>
      <c r="C2856" s="82" t="s">
        <v>3395</v>
      </c>
      <c r="D2856" s="82" t="s">
        <v>713</v>
      </c>
      <c r="E2856" s="82"/>
      <c r="F2856" s="82" t="s">
        <v>6105</v>
      </c>
      <c r="G2856" s="89">
        <v>6</v>
      </c>
      <c r="H2856" s="89">
        <v>3859.62</v>
      </c>
      <c r="I2856" s="85">
        <v>0</v>
      </c>
      <c r="J2856" s="85">
        <v>0</v>
      </c>
      <c r="K2856" s="85">
        <v>23157.72</v>
      </c>
      <c r="L2856" s="85">
        <v>23157.72</v>
      </c>
      <c r="M2856" s="89">
        <v>5331.3718583594055</v>
      </c>
      <c r="N2856" s="85">
        <v>0</v>
      </c>
      <c r="O2856" s="85">
        <v>0</v>
      </c>
      <c r="P2856" s="85">
        <v>31988.231150156436</v>
      </c>
      <c r="Q2856" s="85">
        <v>31988.231150156436</v>
      </c>
      <c r="R2856" s="82" t="s">
        <v>3396</v>
      </c>
      <c r="S2856" s="7">
        <f t="shared" si="135"/>
        <v>0</v>
      </c>
      <c r="T2856" s="6">
        <f t="shared" si="136"/>
        <v>0</v>
      </c>
      <c r="U2856" s="25">
        <f t="shared" si="137"/>
        <v>0</v>
      </c>
    </row>
    <row r="2857" spans="1:21" ht="15" x14ac:dyDescent="0.2">
      <c r="A2857" s="82" t="s">
        <v>5994</v>
      </c>
      <c r="B2857" s="83">
        <v>46001</v>
      </c>
      <c r="C2857" s="82" t="s">
        <v>3395</v>
      </c>
      <c r="D2857" s="82" t="s">
        <v>773</v>
      </c>
      <c r="E2857" s="82"/>
      <c r="F2857" s="82" t="s">
        <v>6106</v>
      </c>
      <c r="G2857" s="89">
        <v>1</v>
      </c>
      <c r="H2857" s="89">
        <v>4489.95</v>
      </c>
      <c r="I2857" s="85">
        <v>0</v>
      </c>
      <c r="J2857" s="85">
        <v>0</v>
      </c>
      <c r="K2857" s="85">
        <v>4489.95</v>
      </c>
      <c r="L2857" s="85">
        <v>4489.95</v>
      </c>
      <c r="M2857" s="89">
        <v>6202.0595487226237</v>
      </c>
      <c r="N2857" s="85">
        <v>0</v>
      </c>
      <c r="O2857" s="85">
        <v>0</v>
      </c>
      <c r="P2857" s="85">
        <v>6202.0595487226237</v>
      </c>
      <c r="Q2857" s="85">
        <v>6202.0595487226237</v>
      </c>
      <c r="R2857" s="82" t="s">
        <v>3396</v>
      </c>
      <c r="S2857" s="7">
        <f t="shared" si="135"/>
        <v>0</v>
      </c>
      <c r="T2857" s="6">
        <f t="shared" si="136"/>
        <v>0</v>
      </c>
      <c r="U2857" s="25">
        <f t="shared" si="137"/>
        <v>0</v>
      </c>
    </row>
    <row r="2858" spans="1:21" ht="15" x14ac:dyDescent="0.2">
      <c r="A2858" s="82" t="s">
        <v>5995</v>
      </c>
      <c r="B2858" s="83">
        <v>46001</v>
      </c>
      <c r="C2858" s="82" t="s">
        <v>3395</v>
      </c>
      <c r="D2858" s="82" t="s">
        <v>5996</v>
      </c>
      <c r="E2858" s="82"/>
      <c r="F2858" s="82" t="s">
        <v>6107</v>
      </c>
      <c r="G2858" s="89">
        <v>1</v>
      </c>
      <c r="H2858" s="89">
        <v>144.44999999999999</v>
      </c>
      <c r="I2858" s="85">
        <v>0</v>
      </c>
      <c r="J2858" s="85">
        <v>18.78</v>
      </c>
      <c r="K2858" s="85">
        <v>163.22999999999999</v>
      </c>
      <c r="L2858" s="85">
        <v>228.23</v>
      </c>
      <c r="M2858" s="89">
        <v>199.5317323829849</v>
      </c>
      <c r="N2858" s="85">
        <v>0</v>
      </c>
      <c r="O2858" s="85">
        <v>25.941197190394298</v>
      </c>
      <c r="P2858" s="85">
        <v>225.47292957337919</v>
      </c>
      <c r="Q2858" s="85">
        <v>315.25875584471197</v>
      </c>
      <c r="R2858" s="82" t="s">
        <v>3396</v>
      </c>
      <c r="S2858" s="7">
        <f t="shared" si="135"/>
        <v>0</v>
      </c>
      <c r="T2858" s="6">
        <f t="shared" si="136"/>
        <v>0</v>
      </c>
      <c r="U2858" s="25">
        <f t="shared" si="137"/>
        <v>0</v>
      </c>
    </row>
    <row r="2859" spans="1:21" ht="15" x14ac:dyDescent="0.2">
      <c r="A2859" s="82" t="s">
        <v>5995</v>
      </c>
      <c r="B2859" s="83">
        <v>46001</v>
      </c>
      <c r="C2859" s="82" t="s">
        <v>3395</v>
      </c>
      <c r="D2859" s="82" t="s">
        <v>5996</v>
      </c>
      <c r="E2859" s="82"/>
      <c r="F2859" s="82" t="s">
        <v>4459</v>
      </c>
      <c r="G2859" s="89">
        <v>1</v>
      </c>
      <c r="H2859" s="89">
        <v>65</v>
      </c>
      <c r="I2859" s="85">
        <v>0</v>
      </c>
      <c r="J2859" s="85">
        <v>0</v>
      </c>
      <c r="K2859" s="85">
        <v>65</v>
      </c>
      <c r="L2859" s="85">
        <v>228.23</v>
      </c>
      <c r="M2859" s="89">
        <v>89.785826271332766</v>
      </c>
      <c r="N2859" s="85">
        <v>0</v>
      </c>
      <c r="O2859" s="85">
        <v>0</v>
      </c>
      <c r="P2859" s="85">
        <v>89.785826271332766</v>
      </c>
      <c r="Q2859" s="85">
        <v>315.25875584471197</v>
      </c>
      <c r="R2859" s="82" t="s">
        <v>3396</v>
      </c>
      <c r="S2859" s="7" t="str">
        <f t="shared" si="135"/>
        <v>INV13754</v>
      </c>
      <c r="T2859" s="6">
        <f t="shared" si="136"/>
        <v>1</v>
      </c>
      <c r="U2859" s="25">
        <f t="shared" si="137"/>
        <v>65</v>
      </c>
    </row>
    <row r="2860" spans="1:21" ht="15" x14ac:dyDescent="0.2">
      <c r="A2860" s="82" t="s">
        <v>5997</v>
      </c>
      <c r="B2860" s="83">
        <v>46001</v>
      </c>
      <c r="C2860" s="82" t="s">
        <v>3395</v>
      </c>
      <c r="D2860" s="82" t="s">
        <v>53</v>
      </c>
      <c r="E2860" s="82"/>
      <c r="F2860" s="82" t="s">
        <v>4636</v>
      </c>
      <c r="G2860" s="89">
        <v>3</v>
      </c>
      <c r="H2860" s="89">
        <v>939.73</v>
      </c>
      <c r="I2860" s="85">
        <v>0</v>
      </c>
      <c r="J2860" s="85">
        <v>140.96</v>
      </c>
      <c r="K2860" s="85">
        <v>2960.15</v>
      </c>
      <c r="L2860" s="85">
        <v>5301.19</v>
      </c>
      <c r="M2860" s="89">
        <v>939.73</v>
      </c>
      <c r="N2860" s="85">
        <v>0</v>
      </c>
      <c r="O2860" s="85">
        <v>140.96</v>
      </c>
      <c r="P2860" s="85">
        <v>2960.15</v>
      </c>
      <c r="Q2860" s="85">
        <v>5301.19</v>
      </c>
      <c r="R2860" s="82" t="s">
        <v>3396</v>
      </c>
      <c r="S2860" s="7">
        <f t="shared" si="135"/>
        <v>0</v>
      </c>
      <c r="T2860" s="6">
        <f t="shared" si="136"/>
        <v>0</v>
      </c>
      <c r="U2860" s="25">
        <f t="shared" si="137"/>
        <v>0</v>
      </c>
    </row>
    <row r="2861" spans="1:21" ht="15" x14ac:dyDescent="0.2">
      <c r="A2861" s="82" t="s">
        <v>5997</v>
      </c>
      <c r="B2861" s="83">
        <v>46001</v>
      </c>
      <c r="C2861" s="82" t="s">
        <v>3395</v>
      </c>
      <c r="D2861" s="82" t="s">
        <v>53</v>
      </c>
      <c r="E2861" s="82"/>
      <c r="F2861" s="82" t="s">
        <v>4726</v>
      </c>
      <c r="G2861" s="89">
        <v>2</v>
      </c>
      <c r="H2861" s="89">
        <v>1114.78</v>
      </c>
      <c r="I2861" s="85">
        <v>0</v>
      </c>
      <c r="J2861" s="85">
        <v>111.48</v>
      </c>
      <c r="K2861" s="85">
        <v>2341.04</v>
      </c>
      <c r="L2861" s="85">
        <v>5301.19</v>
      </c>
      <c r="M2861" s="89">
        <v>1114.78</v>
      </c>
      <c r="N2861" s="85">
        <v>0</v>
      </c>
      <c r="O2861" s="85">
        <v>111.48</v>
      </c>
      <c r="P2861" s="85">
        <v>2341.04</v>
      </c>
      <c r="Q2861" s="85">
        <v>5301.19</v>
      </c>
      <c r="R2861" s="82" t="s">
        <v>3396</v>
      </c>
      <c r="S2861" s="7">
        <f t="shared" si="135"/>
        <v>0</v>
      </c>
      <c r="T2861" s="6">
        <f t="shared" si="136"/>
        <v>0</v>
      </c>
      <c r="U2861" s="25">
        <f t="shared" si="137"/>
        <v>0</v>
      </c>
    </row>
    <row r="2862" spans="1:21" ht="15" x14ac:dyDescent="0.2">
      <c r="A2862" s="82" t="s">
        <v>5998</v>
      </c>
      <c r="B2862" s="83">
        <v>46001</v>
      </c>
      <c r="C2862" s="82" t="s">
        <v>3395</v>
      </c>
      <c r="D2862" s="82" t="s">
        <v>225</v>
      </c>
      <c r="E2862" s="82"/>
      <c r="F2862" s="82" t="s">
        <v>6108</v>
      </c>
      <c r="G2862" s="89">
        <v>1</v>
      </c>
      <c r="H2862" s="89">
        <v>9147.06</v>
      </c>
      <c r="I2862" s="85">
        <v>0</v>
      </c>
      <c r="J2862" s="85">
        <v>457.35</v>
      </c>
      <c r="K2862" s="85">
        <v>9604.41</v>
      </c>
      <c r="L2862" s="85">
        <v>9604.41</v>
      </c>
      <c r="M2862" s="89">
        <v>9147.06</v>
      </c>
      <c r="N2862" s="85">
        <v>0</v>
      </c>
      <c r="O2862" s="85">
        <v>457.35</v>
      </c>
      <c r="P2862" s="85">
        <v>9604.41</v>
      </c>
      <c r="Q2862" s="85">
        <v>9604.41</v>
      </c>
      <c r="R2862" s="82" t="s">
        <v>3396</v>
      </c>
      <c r="S2862" s="7">
        <f t="shared" si="135"/>
        <v>0</v>
      </c>
      <c r="T2862" s="6">
        <f t="shared" si="136"/>
        <v>0</v>
      </c>
      <c r="U2862" s="25">
        <f t="shared" si="137"/>
        <v>0</v>
      </c>
    </row>
    <row r="2863" spans="1:21" ht="15" x14ac:dyDescent="0.2">
      <c r="A2863" s="82" t="s">
        <v>5998</v>
      </c>
      <c r="B2863" s="83">
        <v>46001</v>
      </c>
      <c r="C2863" s="82" t="s">
        <v>3395</v>
      </c>
      <c r="D2863" s="82" t="s">
        <v>225</v>
      </c>
      <c r="E2863" s="82"/>
      <c r="F2863" s="82" t="s">
        <v>6109</v>
      </c>
      <c r="G2863" s="89">
        <v>1</v>
      </c>
      <c r="H2863" s="89">
        <v>503</v>
      </c>
      <c r="I2863" s="85">
        <v>503</v>
      </c>
      <c r="J2863" s="85">
        <v>0</v>
      </c>
      <c r="K2863" s="85">
        <v>0</v>
      </c>
      <c r="L2863" s="85">
        <v>9604.41</v>
      </c>
      <c r="M2863" s="89">
        <v>503</v>
      </c>
      <c r="N2863" s="85">
        <v>503</v>
      </c>
      <c r="O2863" s="85">
        <v>0</v>
      </c>
      <c r="P2863" s="85">
        <v>0</v>
      </c>
      <c r="Q2863" s="85">
        <v>9604.41</v>
      </c>
      <c r="R2863" s="82" t="s">
        <v>3396</v>
      </c>
      <c r="S2863" s="7">
        <f t="shared" si="135"/>
        <v>0</v>
      </c>
      <c r="T2863" s="6">
        <f t="shared" si="136"/>
        <v>0</v>
      </c>
      <c r="U2863" s="25">
        <f t="shared" si="137"/>
        <v>0</v>
      </c>
    </row>
    <row r="2864" spans="1:21" ht="15" x14ac:dyDescent="0.2">
      <c r="A2864" s="82" t="s">
        <v>5999</v>
      </c>
      <c r="B2864" s="83">
        <v>46002</v>
      </c>
      <c r="C2864" s="82" t="s">
        <v>3395</v>
      </c>
      <c r="D2864" s="82" t="s">
        <v>6000</v>
      </c>
      <c r="E2864" s="82"/>
      <c r="F2864" s="82" t="s">
        <v>5694</v>
      </c>
      <c r="G2864" s="89">
        <v>1</v>
      </c>
      <c r="H2864" s="89">
        <v>8698</v>
      </c>
      <c r="I2864" s="85">
        <v>0</v>
      </c>
      <c r="J2864" s="85">
        <v>0</v>
      </c>
      <c r="K2864" s="85">
        <v>8698</v>
      </c>
      <c r="L2864" s="85">
        <v>9390</v>
      </c>
      <c r="M2864" s="89">
        <v>11981.673467026292</v>
      </c>
      <c r="N2864" s="85">
        <v>0</v>
      </c>
      <c r="O2864" s="85">
        <v>0</v>
      </c>
      <c r="P2864" s="85">
        <v>11981.673467026292</v>
      </c>
      <c r="Q2864" s="85">
        <v>12934.917665598628</v>
      </c>
      <c r="R2864" s="82" t="s">
        <v>3399</v>
      </c>
      <c r="S2864" s="7">
        <f t="shared" si="135"/>
        <v>0</v>
      </c>
      <c r="T2864" s="6">
        <f t="shared" si="136"/>
        <v>0</v>
      </c>
      <c r="U2864" s="25">
        <f t="shared" si="137"/>
        <v>0</v>
      </c>
    </row>
    <row r="2865" spans="1:21" ht="15" x14ac:dyDescent="0.2">
      <c r="A2865" s="82" t="s">
        <v>5999</v>
      </c>
      <c r="B2865" s="83">
        <v>46002</v>
      </c>
      <c r="C2865" s="82" t="s">
        <v>3395</v>
      </c>
      <c r="D2865" s="82" t="s">
        <v>6000</v>
      </c>
      <c r="E2865" s="82"/>
      <c r="F2865" s="82" t="s">
        <v>4393</v>
      </c>
      <c r="G2865" s="89">
        <v>1</v>
      </c>
      <c r="H2865" s="89">
        <v>692</v>
      </c>
      <c r="I2865" s="85">
        <v>0</v>
      </c>
      <c r="J2865" s="85">
        <v>0</v>
      </c>
      <c r="K2865" s="85">
        <v>692</v>
      </c>
      <c r="L2865" s="85">
        <v>9390</v>
      </c>
      <c r="M2865" s="89">
        <v>953.24419857233772</v>
      </c>
      <c r="N2865" s="85">
        <v>0</v>
      </c>
      <c r="O2865" s="85">
        <v>0</v>
      </c>
      <c r="P2865" s="85">
        <v>953.24419857233772</v>
      </c>
      <c r="Q2865" s="85">
        <v>12934.917665598628</v>
      </c>
      <c r="R2865" s="82" t="s">
        <v>3399</v>
      </c>
      <c r="S2865" s="7" t="str">
        <f t="shared" si="135"/>
        <v>INV13755</v>
      </c>
      <c r="T2865" s="6">
        <f t="shared" si="136"/>
        <v>1</v>
      </c>
      <c r="U2865" s="25">
        <f t="shared" si="137"/>
        <v>692</v>
      </c>
    </row>
    <row r="2866" spans="1:21" ht="15" x14ac:dyDescent="0.2">
      <c r="A2866" s="82" t="s">
        <v>6001</v>
      </c>
      <c r="B2866" s="83">
        <v>46002</v>
      </c>
      <c r="C2866" s="82" t="s">
        <v>3395</v>
      </c>
      <c r="D2866" s="82" t="s">
        <v>1047</v>
      </c>
      <c r="E2866" s="82"/>
      <c r="F2866" s="82" t="s">
        <v>6110</v>
      </c>
      <c r="G2866" s="89">
        <v>1</v>
      </c>
      <c r="H2866" s="89">
        <v>309.69</v>
      </c>
      <c r="I2866" s="85">
        <v>0</v>
      </c>
      <c r="J2866" s="85">
        <v>0</v>
      </c>
      <c r="K2866" s="85">
        <v>309.69</v>
      </c>
      <c r="L2866" s="85">
        <v>635.46</v>
      </c>
      <c r="M2866" s="89">
        <v>426.60432927148452</v>
      </c>
      <c r="N2866" s="85">
        <v>0</v>
      </c>
      <c r="O2866" s="85">
        <v>0</v>
      </c>
      <c r="P2866" s="85">
        <v>426.60432927148452</v>
      </c>
      <c r="Q2866" s="85">
        <v>875.35918847511232</v>
      </c>
      <c r="R2866" s="82" t="s">
        <v>3396</v>
      </c>
      <c r="S2866" s="7">
        <f t="shared" si="135"/>
        <v>0</v>
      </c>
      <c r="T2866" s="6">
        <f t="shared" si="136"/>
        <v>0</v>
      </c>
      <c r="U2866" s="25">
        <f t="shared" si="137"/>
        <v>0</v>
      </c>
    </row>
    <row r="2867" spans="1:21" ht="15" x14ac:dyDescent="0.2">
      <c r="A2867" s="82" t="s">
        <v>6001</v>
      </c>
      <c r="B2867" s="83">
        <v>46002</v>
      </c>
      <c r="C2867" s="82" t="s">
        <v>3395</v>
      </c>
      <c r="D2867" s="82" t="s">
        <v>1047</v>
      </c>
      <c r="E2867" s="82"/>
      <c r="F2867" s="82" t="s">
        <v>6111</v>
      </c>
      <c r="G2867" s="89">
        <v>1</v>
      </c>
      <c r="H2867" s="89">
        <v>268.45999999999998</v>
      </c>
      <c r="I2867" s="85">
        <v>0</v>
      </c>
      <c r="J2867" s="85">
        <v>0</v>
      </c>
      <c r="K2867" s="85">
        <v>268.45999999999998</v>
      </c>
      <c r="L2867" s="85">
        <v>635.46</v>
      </c>
      <c r="M2867" s="89">
        <v>369.80915830741299</v>
      </c>
      <c r="N2867" s="85">
        <v>0</v>
      </c>
      <c r="O2867" s="85">
        <v>0</v>
      </c>
      <c r="P2867" s="85">
        <v>369.80915830741299</v>
      </c>
      <c r="Q2867" s="85">
        <v>875.35918847511232</v>
      </c>
      <c r="R2867" s="82" t="s">
        <v>3396</v>
      </c>
      <c r="S2867" s="7">
        <f t="shared" si="135"/>
        <v>0</v>
      </c>
      <c r="T2867" s="6">
        <f t="shared" si="136"/>
        <v>0</v>
      </c>
      <c r="U2867" s="25">
        <f t="shared" si="137"/>
        <v>0</v>
      </c>
    </row>
    <row r="2868" spans="1:21" ht="15" x14ac:dyDescent="0.2">
      <c r="A2868" s="82" t="s">
        <v>6001</v>
      </c>
      <c r="B2868" s="83">
        <v>46002</v>
      </c>
      <c r="C2868" s="82" t="s">
        <v>3395</v>
      </c>
      <c r="D2868" s="82" t="s">
        <v>1047</v>
      </c>
      <c r="E2868" s="82"/>
      <c r="F2868" s="82" t="s">
        <v>6112</v>
      </c>
      <c r="G2868" s="89">
        <v>1</v>
      </c>
      <c r="H2868" s="89">
        <v>57.31</v>
      </c>
      <c r="I2868" s="85">
        <v>0</v>
      </c>
      <c r="J2868" s="85">
        <v>0</v>
      </c>
      <c r="K2868" s="85">
        <v>57.31</v>
      </c>
      <c r="L2868" s="85">
        <v>635.46</v>
      </c>
      <c r="M2868" s="89">
        <v>78.945700896214845</v>
      </c>
      <c r="N2868" s="85">
        <v>0</v>
      </c>
      <c r="O2868" s="85">
        <v>0</v>
      </c>
      <c r="P2868" s="85">
        <v>78.945700896214845</v>
      </c>
      <c r="Q2868" s="85">
        <v>875.35918847511232</v>
      </c>
      <c r="R2868" s="82" t="s">
        <v>3396</v>
      </c>
      <c r="S2868" s="7">
        <f t="shared" si="135"/>
        <v>0</v>
      </c>
      <c r="T2868" s="6">
        <f t="shared" si="136"/>
        <v>0</v>
      </c>
      <c r="U2868" s="25">
        <f t="shared" si="137"/>
        <v>0</v>
      </c>
    </row>
    <row r="2869" spans="1:21" ht="15" x14ac:dyDescent="0.2">
      <c r="A2869" s="82" t="s">
        <v>6002</v>
      </c>
      <c r="B2869" s="83">
        <v>46002</v>
      </c>
      <c r="C2869" s="82" t="s">
        <v>3395</v>
      </c>
      <c r="D2869" s="82" t="s">
        <v>231</v>
      </c>
      <c r="E2869" s="82"/>
      <c r="F2869" s="82" t="s">
        <v>4576</v>
      </c>
      <c r="G2869" s="89">
        <v>3</v>
      </c>
      <c r="H2869" s="89">
        <v>30.25</v>
      </c>
      <c r="I2869" s="85">
        <v>0</v>
      </c>
      <c r="J2869" s="85">
        <v>0</v>
      </c>
      <c r="K2869" s="85">
        <v>90.75</v>
      </c>
      <c r="L2869" s="85">
        <v>107.08</v>
      </c>
      <c r="M2869" s="89">
        <v>41.669995674585572</v>
      </c>
      <c r="N2869" s="85">
        <v>0</v>
      </c>
      <c r="O2869" s="85">
        <v>0</v>
      </c>
      <c r="P2869" s="85">
        <v>125.00998702375672</v>
      </c>
      <c r="Q2869" s="85">
        <v>147.50489708544208</v>
      </c>
      <c r="R2869" s="82" t="s">
        <v>3396</v>
      </c>
      <c r="S2869" s="7">
        <f t="shared" si="135"/>
        <v>0</v>
      </c>
      <c r="T2869" s="6">
        <f t="shared" si="136"/>
        <v>0</v>
      </c>
      <c r="U2869" s="25">
        <f t="shared" si="137"/>
        <v>0</v>
      </c>
    </row>
    <row r="2870" spans="1:21" ht="15" x14ac:dyDescent="0.2">
      <c r="A2870" s="82" t="s">
        <v>6002</v>
      </c>
      <c r="B2870" s="83">
        <v>46002</v>
      </c>
      <c r="C2870" s="82" t="s">
        <v>3395</v>
      </c>
      <c r="D2870" s="82" t="s">
        <v>231</v>
      </c>
      <c r="E2870" s="82"/>
      <c r="F2870" s="82" t="s">
        <v>6113</v>
      </c>
      <c r="G2870" s="89">
        <v>1</v>
      </c>
      <c r="H2870" s="89">
        <v>16.329999999999998</v>
      </c>
      <c r="I2870" s="85">
        <v>0</v>
      </c>
      <c r="J2870" s="85">
        <v>0</v>
      </c>
      <c r="K2870" s="85">
        <v>16.329999999999998</v>
      </c>
      <c r="L2870" s="85">
        <v>107.08</v>
      </c>
      <c r="M2870" s="89">
        <v>22.494910061685371</v>
      </c>
      <c r="N2870" s="85">
        <v>0</v>
      </c>
      <c r="O2870" s="85">
        <v>0</v>
      </c>
      <c r="P2870" s="85">
        <v>22.494910061685371</v>
      </c>
      <c r="Q2870" s="85">
        <v>147.50489708544208</v>
      </c>
      <c r="R2870" s="82" t="s">
        <v>3396</v>
      </c>
      <c r="S2870" s="7">
        <f t="shared" si="135"/>
        <v>0</v>
      </c>
      <c r="T2870" s="6">
        <f t="shared" si="136"/>
        <v>0</v>
      </c>
      <c r="U2870" s="25">
        <f t="shared" si="137"/>
        <v>0</v>
      </c>
    </row>
    <row r="2871" spans="1:21" ht="15" x14ac:dyDescent="0.2">
      <c r="A2871" s="82" t="s">
        <v>6003</v>
      </c>
      <c r="B2871" s="83">
        <v>46002</v>
      </c>
      <c r="C2871" s="82" t="s">
        <v>3395</v>
      </c>
      <c r="D2871" s="82" t="s">
        <v>6004</v>
      </c>
      <c r="E2871" s="82"/>
      <c r="F2871" s="82" t="s">
        <v>5610</v>
      </c>
      <c r="G2871" s="89">
        <v>1</v>
      </c>
      <c r="H2871" s="89">
        <v>463.38</v>
      </c>
      <c r="I2871" s="85">
        <v>0</v>
      </c>
      <c r="J2871" s="85">
        <v>23.17</v>
      </c>
      <c r="K2871" s="85">
        <v>486.55</v>
      </c>
      <c r="L2871" s="85">
        <v>878.69</v>
      </c>
      <c r="M2871" s="89">
        <v>463.38</v>
      </c>
      <c r="N2871" s="85">
        <v>0</v>
      </c>
      <c r="O2871" s="85">
        <v>23.17</v>
      </c>
      <c r="P2871" s="85">
        <v>486.55</v>
      </c>
      <c r="Q2871" s="85">
        <v>878.69</v>
      </c>
      <c r="R2871" s="82" t="s">
        <v>3396</v>
      </c>
      <c r="S2871" s="7">
        <f t="shared" si="135"/>
        <v>0</v>
      </c>
      <c r="T2871" s="6">
        <f t="shared" si="136"/>
        <v>0</v>
      </c>
      <c r="U2871" s="25">
        <f t="shared" si="137"/>
        <v>0</v>
      </c>
    </row>
    <row r="2872" spans="1:21" ht="15" x14ac:dyDescent="0.2">
      <c r="A2872" s="82" t="s">
        <v>6003</v>
      </c>
      <c r="B2872" s="83">
        <v>46002</v>
      </c>
      <c r="C2872" s="82" t="s">
        <v>3395</v>
      </c>
      <c r="D2872" s="82" t="s">
        <v>6004</v>
      </c>
      <c r="E2872" s="82"/>
      <c r="F2872" s="82" t="s">
        <v>5608</v>
      </c>
      <c r="G2872" s="89">
        <v>1</v>
      </c>
      <c r="H2872" s="89">
        <v>373.47</v>
      </c>
      <c r="I2872" s="85">
        <v>0</v>
      </c>
      <c r="J2872" s="85">
        <v>18.670000000000002</v>
      </c>
      <c r="K2872" s="85">
        <v>392.14</v>
      </c>
      <c r="L2872" s="85">
        <v>878.69</v>
      </c>
      <c r="M2872" s="89">
        <v>373.47</v>
      </c>
      <c r="N2872" s="85">
        <v>0</v>
      </c>
      <c r="O2872" s="85">
        <v>18.670000000000002</v>
      </c>
      <c r="P2872" s="85">
        <v>392.14</v>
      </c>
      <c r="Q2872" s="85">
        <v>878.69</v>
      </c>
      <c r="R2872" s="82" t="s">
        <v>3396</v>
      </c>
      <c r="S2872" s="7">
        <f t="shared" si="135"/>
        <v>0</v>
      </c>
      <c r="T2872" s="6">
        <f t="shared" si="136"/>
        <v>0</v>
      </c>
      <c r="U2872" s="25">
        <f t="shared" si="137"/>
        <v>0</v>
      </c>
    </row>
    <row r="2873" spans="1:21" ht="15" x14ac:dyDescent="0.2">
      <c r="A2873" s="82" t="s">
        <v>6005</v>
      </c>
      <c r="B2873" s="83">
        <v>46002</v>
      </c>
      <c r="C2873" s="82" t="s">
        <v>3395</v>
      </c>
      <c r="D2873" s="82" t="s">
        <v>6006</v>
      </c>
      <c r="E2873" s="82"/>
      <c r="F2873" s="82" t="s">
        <v>4844</v>
      </c>
      <c r="G2873" s="89">
        <v>1</v>
      </c>
      <c r="H2873" s="89">
        <v>2679.66</v>
      </c>
      <c r="I2873" s="85">
        <v>0</v>
      </c>
      <c r="J2873" s="85">
        <v>133.97999999999999</v>
      </c>
      <c r="K2873" s="85">
        <v>2813.64</v>
      </c>
      <c r="L2873" s="85">
        <v>2813.64</v>
      </c>
      <c r="M2873" s="89">
        <v>2679.66</v>
      </c>
      <c r="N2873" s="85">
        <v>0</v>
      </c>
      <c r="O2873" s="85">
        <v>133.97999999999999</v>
      </c>
      <c r="P2873" s="85">
        <v>2813.64</v>
      </c>
      <c r="Q2873" s="85">
        <v>2813.64</v>
      </c>
      <c r="R2873" s="82" t="s">
        <v>3396</v>
      </c>
      <c r="S2873" s="7">
        <f t="shared" si="135"/>
        <v>0</v>
      </c>
      <c r="T2873" s="6">
        <f t="shared" si="136"/>
        <v>0</v>
      </c>
      <c r="U2873" s="25">
        <f t="shared" si="137"/>
        <v>0</v>
      </c>
    </row>
    <row r="2874" spans="1:21" ht="15" x14ac:dyDescent="0.2">
      <c r="A2874" s="82" t="s">
        <v>6007</v>
      </c>
      <c r="B2874" s="83">
        <v>46003</v>
      </c>
      <c r="C2874" s="82" t="s">
        <v>3395</v>
      </c>
      <c r="D2874" s="82" t="s">
        <v>368</v>
      </c>
      <c r="E2874" s="82"/>
      <c r="F2874" s="82" t="s">
        <v>6114</v>
      </c>
      <c r="G2874" s="89">
        <v>1</v>
      </c>
      <c r="H2874" s="89">
        <v>12489.11</v>
      </c>
      <c r="I2874" s="85">
        <v>0</v>
      </c>
      <c r="J2874" s="85">
        <v>0</v>
      </c>
      <c r="K2874" s="85">
        <v>12489.11</v>
      </c>
      <c r="L2874" s="85">
        <v>12489.11</v>
      </c>
      <c r="M2874" s="89">
        <v>17203.246948237815</v>
      </c>
      <c r="N2874" s="85">
        <v>0</v>
      </c>
      <c r="O2874" s="85">
        <v>0</v>
      </c>
      <c r="P2874" s="85">
        <v>17203.246948237815</v>
      </c>
      <c r="Q2874" s="85">
        <v>17203.246948237815</v>
      </c>
      <c r="R2874" s="82" t="s">
        <v>3396</v>
      </c>
      <c r="S2874" s="7">
        <f t="shared" si="135"/>
        <v>0</v>
      </c>
      <c r="T2874" s="6">
        <f t="shared" si="136"/>
        <v>0</v>
      </c>
      <c r="U2874" s="25">
        <f t="shared" si="137"/>
        <v>0</v>
      </c>
    </row>
    <row r="2875" spans="1:21" ht="15" x14ac:dyDescent="0.2">
      <c r="A2875" s="82" t="s">
        <v>6008</v>
      </c>
      <c r="B2875" s="83">
        <v>46003</v>
      </c>
      <c r="C2875" s="82" t="s">
        <v>3395</v>
      </c>
      <c r="D2875" s="82" t="s">
        <v>6009</v>
      </c>
      <c r="E2875" s="82"/>
      <c r="F2875" s="82" t="s">
        <v>5191</v>
      </c>
      <c r="G2875" s="89">
        <v>1</v>
      </c>
      <c r="H2875" s="89">
        <v>161.57</v>
      </c>
      <c r="I2875" s="85">
        <v>0</v>
      </c>
      <c r="J2875" s="85">
        <v>8.08</v>
      </c>
      <c r="K2875" s="85">
        <v>169.65</v>
      </c>
      <c r="L2875" s="85">
        <v>418.03</v>
      </c>
      <c r="M2875" s="89">
        <v>161.57</v>
      </c>
      <c r="N2875" s="85">
        <v>0</v>
      </c>
      <c r="O2875" s="85">
        <v>8.08</v>
      </c>
      <c r="P2875" s="85">
        <v>169.65</v>
      </c>
      <c r="Q2875" s="85">
        <v>418.03</v>
      </c>
      <c r="R2875" s="82" t="s">
        <v>3396</v>
      </c>
      <c r="S2875" s="7">
        <f t="shared" si="135"/>
        <v>0</v>
      </c>
      <c r="T2875" s="6">
        <f t="shared" si="136"/>
        <v>0</v>
      </c>
      <c r="U2875" s="25">
        <f t="shared" si="137"/>
        <v>0</v>
      </c>
    </row>
    <row r="2876" spans="1:21" ht="15" x14ac:dyDescent="0.2">
      <c r="A2876" s="82" t="s">
        <v>6008</v>
      </c>
      <c r="B2876" s="83">
        <v>46003</v>
      </c>
      <c r="C2876" s="82" t="s">
        <v>3395</v>
      </c>
      <c r="D2876" s="82" t="s">
        <v>6009</v>
      </c>
      <c r="E2876" s="82"/>
      <c r="F2876" s="82" t="s">
        <v>4769</v>
      </c>
      <c r="G2876" s="89">
        <v>1</v>
      </c>
      <c r="H2876" s="89">
        <v>236.55</v>
      </c>
      <c r="I2876" s="85">
        <v>0</v>
      </c>
      <c r="J2876" s="85">
        <v>11.83</v>
      </c>
      <c r="K2876" s="85">
        <v>248.38</v>
      </c>
      <c r="L2876" s="85">
        <v>418.03</v>
      </c>
      <c r="M2876" s="89">
        <v>236.55</v>
      </c>
      <c r="N2876" s="85">
        <v>0</v>
      </c>
      <c r="O2876" s="85">
        <v>11.83</v>
      </c>
      <c r="P2876" s="85">
        <v>248.38</v>
      </c>
      <c r="Q2876" s="85">
        <v>418.03</v>
      </c>
      <c r="R2876" s="82" t="s">
        <v>3396</v>
      </c>
      <c r="S2876" s="7">
        <f t="shared" si="135"/>
        <v>0</v>
      </c>
      <c r="T2876" s="6">
        <f t="shared" si="136"/>
        <v>0</v>
      </c>
      <c r="U2876" s="25">
        <f t="shared" si="137"/>
        <v>0</v>
      </c>
    </row>
    <row r="2877" spans="1:21" ht="15" x14ac:dyDescent="0.2">
      <c r="A2877" s="82" t="s">
        <v>6010</v>
      </c>
      <c r="B2877" s="83">
        <v>46006</v>
      </c>
      <c r="C2877" s="82" t="s">
        <v>3395</v>
      </c>
      <c r="D2877" s="82" t="s">
        <v>6011</v>
      </c>
      <c r="E2877" s="82"/>
      <c r="F2877" s="82" t="s">
        <v>5036</v>
      </c>
      <c r="G2877" s="89">
        <v>3</v>
      </c>
      <c r="H2877" s="89">
        <v>708.9</v>
      </c>
      <c r="I2877" s="85">
        <v>0</v>
      </c>
      <c r="J2877" s="85">
        <v>106.34</v>
      </c>
      <c r="K2877" s="85">
        <v>2233.04</v>
      </c>
      <c r="L2877" s="85">
        <v>3128</v>
      </c>
      <c r="M2877" s="89">
        <v>708.9</v>
      </c>
      <c r="N2877" s="85">
        <v>0</v>
      </c>
      <c r="O2877" s="85">
        <v>106.34</v>
      </c>
      <c r="P2877" s="85">
        <v>2233.04</v>
      </c>
      <c r="Q2877" s="85">
        <v>3128</v>
      </c>
      <c r="R2877" s="82" t="s">
        <v>3396</v>
      </c>
      <c r="S2877" s="7">
        <f t="shared" si="135"/>
        <v>0</v>
      </c>
      <c r="T2877" s="6">
        <f t="shared" si="136"/>
        <v>0</v>
      </c>
      <c r="U2877" s="25">
        <f t="shared" si="137"/>
        <v>0</v>
      </c>
    </row>
    <row r="2878" spans="1:21" ht="15" x14ac:dyDescent="0.2">
      <c r="A2878" s="82" t="s">
        <v>6010</v>
      </c>
      <c r="B2878" s="83">
        <v>46006</v>
      </c>
      <c r="C2878" s="82" t="s">
        <v>3395</v>
      </c>
      <c r="D2878" s="82" t="s">
        <v>6011</v>
      </c>
      <c r="E2878" s="82"/>
      <c r="F2878" s="82" t="s">
        <v>6115</v>
      </c>
      <c r="G2878" s="89">
        <v>1</v>
      </c>
      <c r="H2878" s="89">
        <v>852.34</v>
      </c>
      <c r="I2878" s="85">
        <v>0</v>
      </c>
      <c r="J2878" s="85">
        <v>42.62</v>
      </c>
      <c r="K2878" s="85">
        <v>894.96</v>
      </c>
      <c r="L2878" s="85">
        <v>3128</v>
      </c>
      <c r="M2878" s="89">
        <v>852.34</v>
      </c>
      <c r="N2878" s="85">
        <v>0</v>
      </c>
      <c r="O2878" s="85">
        <v>42.62</v>
      </c>
      <c r="P2878" s="85">
        <v>894.96</v>
      </c>
      <c r="Q2878" s="85">
        <v>3128</v>
      </c>
      <c r="R2878" s="82" t="s">
        <v>3396</v>
      </c>
      <c r="S2878" s="7">
        <f t="shared" si="135"/>
        <v>0</v>
      </c>
      <c r="T2878" s="6">
        <f t="shared" si="136"/>
        <v>0</v>
      </c>
      <c r="U2878" s="25">
        <f t="shared" si="137"/>
        <v>0</v>
      </c>
    </row>
    <row r="2879" spans="1:21" ht="15" x14ac:dyDescent="0.2">
      <c r="A2879" s="82" t="s">
        <v>6012</v>
      </c>
      <c r="B2879" s="83">
        <v>46006</v>
      </c>
      <c r="C2879" s="82" t="s">
        <v>3395</v>
      </c>
      <c r="D2879" s="82" t="s">
        <v>5862</v>
      </c>
      <c r="E2879" s="82"/>
      <c r="F2879" s="82" t="s">
        <v>6116</v>
      </c>
      <c r="G2879" s="89">
        <v>2</v>
      </c>
      <c r="H2879" s="89">
        <v>742.59</v>
      </c>
      <c r="I2879" s="85">
        <v>0</v>
      </c>
      <c r="J2879" s="85">
        <v>74.260000000000005</v>
      </c>
      <c r="K2879" s="85">
        <v>1559.44</v>
      </c>
      <c r="L2879" s="85">
        <v>3542.22</v>
      </c>
      <c r="M2879" s="89">
        <v>742.59</v>
      </c>
      <c r="N2879" s="85">
        <v>0</v>
      </c>
      <c r="O2879" s="85">
        <v>74.260000000000005</v>
      </c>
      <c r="P2879" s="85">
        <v>1559.44</v>
      </c>
      <c r="Q2879" s="85">
        <v>3542.22</v>
      </c>
      <c r="R2879" s="82" t="s">
        <v>3396</v>
      </c>
      <c r="S2879" s="7">
        <f t="shared" si="135"/>
        <v>0</v>
      </c>
      <c r="T2879" s="6">
        <f t="shared" si="136"/>
        <v>0</v>
      </c>
      <c r="U2879" s="25">
        <f t="shared" si="137"/>
        <v>0</v>
      </c>
    </row>
    <row r="2880" spans="1:21" ht="15" x14ac:dyDescent="0.2">
      <c r="A2880" s="82" t="s">
        <v>6012</v>
      </c>
      <c r="B2880" s="83">
        <v>46006</v>
      </c>
      <c r="C2880" s="82" t="s">
        <v>3395</v>
      </c>
      <c r="D2880" s="82" t="s">
        <v>5862</v>
      </c>
      <c r="E2880" s="82"/>
      <c r="F2880" s="82" t="s">
        <v>6117</v>
      </c>
      <c r="G2880" s="89">
        <v>1</v>
      </c>
      <c r="H2880" s="89">
        <v>780.19</v>
      </c>
      <c r="I2880" s="85">
        <v>0</v>
      </c>
      <c r="J2880" s="85">
        <v>39.01</v>
      </c>
      <c r="K2880" s="85">
        <v>819.2</v>
      </c>
      <c r="L2880" s="85">
        <v>3542.22</v>
      </c>
      <c r="M2880" s="89">
        <v>780.19</v>
      </c>
      <c r="N2880" s="85">
        <v>0</v>
      </c>
      <c r="O2880" s="85">
        <v>39.01</v>
      </c>
      <c r="P2880" s="85">
        <v>819.2</v>
      </c>
      <c r="Q2880" s="85">
        <v>3542.22</v>
      </c>
      <c r="R2880" s="82" t="s">
        <v>3396</v>
      </c>
      <c r="S2880" s="7">
        <f t="shared" si="135"/>
        <v>0</v>
      </c>
      <c r="T2880" s="6">
        <f t="shared" si="136"/>
        <v>0</v>
      </c>
      <c r="U2880" s="25">
        <f t="shared" si="137"/>
        <v>0</v>
      </c>
    </row>
    <row r="2881" spans="1:21" ht="15" x14ac:dyDescent="0.2">
      <c r="A2881" s="82" t="s">
        <v>6012</v>
      </c>
      <c r="B2881" s="83">
        <v>46006</v>
      </c>
      <c r="C2881" s="82" t="s">
        <v>3395</v>
      </c>
      <c r="D2881" s="82" t="s">
        <v>5862</v>
      </c>
      <c r="E2881" s="82"/>
      <c r="F2881" s="82" t="s">
        <v>6118</v>
      </c>
      <c r="G2881" s="89">
        <v>1</v>
      </c>
      <c r="H2881" s="89">
        <v>787.27</v>
      </c>
      <c r="I2881" s="85">
        <v>0</v>
      </c>
      <c r="J2881" s="85">
        <v>39.36</v>
      </c>
      <c r="K2881" s="85">
        <v>826.63</v>
      </c>
      <c r="L2881" s="85">
        <v>3542.22</v>
      </c>
      <c r="M2881" s="89">
        <v>787.27</v>
      </c>
      <c r="N2881" s="85">
        <v>0</v>
      </c>
      <c r="O2881" s="85">
        <v>39.36</v>
      </c>
      <c r="P2881" s="85">
        <v>826.63</v>
      </c>
      <c r="Q2881" s="85">
        <v>3542.22</v>
      </c>
      <c r="R2881" s="82" t="s">
        <v>3396</v>
      </c>
      <c r="S2881" s="7">
        <f t="shared" si="135"/>
        <v>0</v>
      </c>
      <c r="T2881" s="6">
        <f t="shared" si="136"/>
        <v>0</v>
      </c>
      <c r="U2881" s="25">
        <f t="shared" si="137"/>
        <v>0</v>
      </c>
    </row>
    <row r="2882" spans="1:21" ht="15" x14ac:dyDescent="0.2">
      <c r="A2882" s="82" t="s">
        <v>6012</v>
      </c>
      <c r="B2882" s="83">
        <v>46006</v>
      </c>
      <c r="C2882" s="82" t="s">
        <v>3395</v>
      </c>
      <c r="D2882" s="82" t="s">
        <v>5862</v>
      </c>
      <c r="E2882" s="82"/>
      <c r="F2882" s="82" t="s">
        <v>6119</v>
      </c>
      <c r="G2882" s="89">
        <v>2</v>
      </c>
      <c r="H2882" s="89">
        <v>160.44999999999999</v>
      </c>
      <c r="I2882" s="85">
        <v>0</v>
      </c>
      <c r="J2882" s="85">
        <v>16.05</v>
      </c>
      <c r="K2882" s="85">
        <v>336.95</v>
      </c>
      <c r="L2882" s="85">
        <v>3542.22</v>
      </c>
      <c r="M2882" s="89">
        <v>160.44999999999999</v>
      </c>
      <c r="N2882" s="85">
        <v>0</v>
      </c>
      <c r="O2882" s="85">
        <v>16.05</v>
      </c>
      <c r="P2882" s="85">
        <v>336.95</v>
      </c>
      <c r="Q2882" s="85">
        <v>3542.22</v>
      </c>
      <c r="R2882" s="82" t="s">
        <v>3396</v>
      </c>
      <c r="S2882" s="7">
        <f t="shared" si="135"/>
        <v>0</v>
      </c>
      <c r="T2882" s="6">
        <f t="shared" si="136"/>
        <v>0</v>
      </c>
      <c r="U2882" s="25">
        <f t="shared" si="137"/>
        <v>0</v>
      </c>
    </row>
    <row r="2883" spans="1:21" ht="15" x14ac:dyDescent="0.2">
      <c r="A2883" s="82" t="s">
        <v>6013</v>
      </c>
      <c r="B2883" s="83">
        <v>46006</v>
      </c>
      <c r="C2883" s="82" t="s">
        <v>3395</v>
      </c>
      <c r="D2883" s="82" t="s">
        <v>5873</v>
      </c>
      <c r="E2883" s="82"/>
      <c r="F2883" s="82" t="s">
        <v>6120</v>
      </c>
      <c r="G2883" s="89">
        <v>1</v>
      </c>
      <c r="H2883" s="89">
        <v>9738.39</v>
      </c>
      <c r="I2883" s="85">
        <v>0</v>
      </c>
      <c r="J2883" s="85">
        <v>486.92</v>
      </c>
      <c r="K2883" s="85">
        <v>10225.31</v>
      </c>
      <c r="L2883" s="85">
        <v>10225.31</v>
      </c>
      <c r="M2883" s="89">
        <v>9738.39</v>
      </c>
      <c r="N2883" s="85">
        <v>0</v>
      </c>
      <c r="O2883" s="85">
        <v>486.92</v>
      </c>
      <c r="P2883" s="85">
        <v>10225.31</v>
      </c>
      <c r="Q2883" s="85">
        <v>10225.31</v>
      </c>
      <c r="R2883" s="82" t="s">
        <v>3396</v>
      </c>
      <c r="S2883" s="7">
        <f t="shared" si="135"/>
        <v>0</v>
      </c>
      <c r="T2883" s="6">
        <f t="shared" si="136"/>
        <v>0</v>
      </c>
      <c r="U2883" s="25">
        <f t="shared" si="137"/>
        <v>0</v>
      </c>
    </row>
    <row r="2884" spans="1:21" ht="15" x14ac:dyDescent="0.2">
      <c r="A2884" s="82" t="s">
        <v>6014</v>
      </c>
      <c r="B2884" s="83">
        <v>46006</v>
      </c>
      <c r="C2884" s="82" t="s">
        <v>3395</v>
      </c>
      <c r="D2884" s="82" t="s">
        <v>3498</v>
      </c>
      <c r="E2884" s="82"/>
      <c r="F2884" s="82" t="s">
        <v>6121</v>
      </c>
      <c r="G2884" s="89">
        <v>1</v>
      </c>
      <c r="H2884" s="89">
        <v>2048.14</v>
      </c>
      <c r="I2884" s="85">
        <v>0</v>
      </c>
      <c r="J2884" s="85">
        <v>102.41</v>
      </c>
      <c r="K2884" s="85">
        <v>2150.5500000000002</v>
      </c>
      <c r="L2884" s="85">
        <v>2150.5500000000002</v>
      </c>
      <c r="M2884" s="89">
        <v>2048.14</v>
      </c>
      <c r="N2884" s="85">
        <v>0</v>
      </c>
      <c r="O2884" s="85">
        <v>102.41</v>
      </c>
      <c r="P2884" s="85">
        <v>2150.5500000000002</v>
      </c>
      <c r="Q2884" s="85">
        <v>2150.5500000000002</v>
      </c>
      <c r="R2884" s="82" t="s">
        <v>3396</v>
      </c>
      <c r="S2884" s="7">
        <f t="shared" si="135"/>
        <v>0</v>
      </c>
      <c r="T2884" s="6">
        <f t="shared" si="136"/>
        <v>0</v>
      </c>
      <c r="U2884" s="25">
        <f t="shared" si="137"/>
        <v>0</v>
      </c>
    </row>
    <row r="2885" spans="1:21" ht="15" x14ac:dyDescent="0.2">
      <c r="A2885" s="82" t="s">
        <v>6015</v>
      </c>
      <c r="B2885" s="83">
        <v>46006</v>
      </c>
      <c r="C2885" s="82" t="s">
        <v>3395</v>
      </c>
      <c r="D2885" s="82" t="s">
        <v>91</v>
      </c>
      <c r="E2885" s="82"/>
      <c r="F2885" s="82" t="s">
        <v>5124</v>
      </c>
      <c r="G2885" s="89">
        <v>2</v>
      </c>
      <c r="H2885" s="89">
        <v>681.68</v>
      </c>
      <c r="I2885" s="85">
        <v>0</v>
      </c>
      <c r="J2885" s="85">
        <v>177.24</v>
      </c>
      <c r="K2885" s="85">
        <v>1540.6</v>
      </c>
      <c r="L2885" s="85">
        <v>1540.6</v>
      </c>
      <c r="M2885" s="89">
        <v>681.68</v>
      </c>
      <c r="N2885" s="85">
        <v>0</v>
      </c>
      <c r="O2885" s="85">
        <v>177.24</v>
      </c>
      <c r="P2885" s="85">
        <v>1540.6</v>
      </c>
      <c r="Q2885" s="85">
        <v>1540.6</v>
      </c>
      <c r="R2885" s="82" t="s">
        <v>3396</v>
      </c>
      <c r="S2885" s="7">
        <f t="shared" si="135"/>
        <v>0</v>
      </c>
      <c r="T2885" s="6">
        <f t="shared" si="136"/>
        <v>0</v>
      </c>
      <c r="U2885" s="25">
        <f t="shared" si="137"/>
        <v>0</v>
      </c>
    </row>
    <row r="2886" spans="1:21" ht="15" x14ac:dyDescent="0.2">
      <c r="A2886" s="82" t="s">
        <v>6016</v>
      </c>
      <c r="B2886" s="83">
        <v>46006</v>
      </c>
      <c r="C2886" s="82" t="s">
        <v>3395</v>
      </c>
      <c r="D2886" s="82" t="s">
        <v>6017</v>
      </c>
      <c r="E2886" s="82"/>
      <c r="F2886" s="82" t="s">
        <v>6122</v>
      </c>
      <c r="G2886" s="89">
        <v>1</v>
      </c>
      <c r="H2886" s="89">
        <v>328.68</v>
      </c>
      <c r="I2886" s="85">
        <v>0</v>
      </c>
      <c r="J2886" s="85">
        <v>16.43</v>
      </c>
      <c r="K2886" s="85">
        <v>345.11</v>
      </c>
      <c r="L2886" s="85">
        <v>345.11</v>
      </c>
      <c r="M2886" s="89">
        <v>328.68</v>
      </c>
      <c r="N2886" s="85">
        <v>0</v>
      </c>
      <c r="O2886" s="85">
        <v>16.43</v>
      </c>
      <c r="P2886" s="85">
        <v>345.11</v>
      </c>
      <c r="Q2886" s="85">
        <v>345.11</v>
      </c>
      <c r="R2886" s="82" t="s">
        <v>3396</v>
      </c>
      <c r="S2886" s="7">
        <f t="shared" si="135"/>
        <v>0</v>
      </c>
      <c r="T2886" s="6">
        <f t="shared" si="136"/>
        <v>0</v>
      </c>
      <c r="U2886" s="25">
        <f t="shared" si="137"/>
        <v>0</v>
      </c>
    </row>
    <row r="2887" spans="1:21" ht="15" x14ac:dyDescent="0.2">
      <c r="A2887" s="82" t="s">
        <v>6018</v>
      </c>
      <c r="B2887" s="83">
        <v>46006</v>
      </c>
      <c r="C2887" s="82" t="s">
        <v>3395</v>
      </c>
      <c r="D2887" s="82" t="s">
        <v>264</v>
      </c>
      <c r="E2887" s="82"/>
      <c r="F2887" s="82" t="s">
        <v>4640</v>
      </c>
      <c r="G2887" s="89">
        <v>1</v>
      </c>
      <c r="H2887" s="89">
        <v>704.94</v>
      </c>
      <c r="I2887" s="85">
        <v>0</v>
      </c>
      <c r="J2887" s="85">
        <v>91.64</v>
      </c>
      <c r="K2887" s="85">
        <v>796.58</v>
      </c>
      <c r="L2887" s="85">
        <v>6265.09</v>
      </c>
      <c r="M2887" s="89">
        <v>704.94</v>
      </c>
      <c r="N2887" s="85">
        <v>0</v>
      </c>
      <c r="O2887" s="85">
        <v>91.64</v>
      </c>
      <c r="P2887" s="85">
        <v>796.58</v>
      </c>
      <c r="Q2887" s="85">
        <v>6265.09</v>
      </c>
      <c r="R2887" s="82" t="s">
        <v>3396</v>
      </c>
      <c r="S2887" s="7">
        <f t="shared" si="135"/>
        <v>0</v>
      </c>
      <c r="T2887" s="6">
        <f t="shared" si="136"/>
        <v>0</v>
      </c>
      <c r="U2887" s="25">
        <f t="shared" si="137"/>
        <v>0</v>
      </c>
    </row>
    <row r="2888" spans="1:21" ht="15" x14ac:dyDescent="0.2">
      <c r="A2888" s="82" t="s">
        <v>6018</v>
      </c>
      <c r="B2888" s="83">
        <v>46006</v>
      </c>
      <c r="C2888" s="82" t="s">
        <v>3395</v>
      </c>
      <c r="D2888" s="82" t="s">
        <v>264</v>
      </c>
      <c r="E2888" s="82"/>
      <c r="F2888" s="82" t="s">
        <v>5137</v>
      </c>
      <c r="G2888" s="89">
        <v>1</v>
      </c>
      <c r="H2888" s="89">
        <v>537.1</v>
      </c>
      <c r="I2888" s="85">
        <v>0</v>
      </c>
      <c r="J2888" s="85">
        <v>69.819999999999993</v>
      </c>
      <c r="K2888" s="85">
        <v>606.91999999999996</v>
      </c>
      <c r="L2888" s="85">
        <v>6265.09</v>
      </c>
      <c r="M2888" s="89">
        <v>537.1</v>
      </c>
      <c r="N2888" s="85">
        <v>0</v>
      </c>
      <c r="O2888" s="85">
        <v>69.819999999999993</v>
      </c>
      <c r="P2888" s="85">
        <v>606.91999999999996</v>
      </c>
      <c r="Q2888" s="85">
        <v>6265.09</v>
      </c>
      <c r="R2888" s="82" t="s">
        <v>3396</v>
      </c>
      <c r="S2888" s="7">
        <f t="shared" si="135"/>
        <v>0</v>
      </c>
      <c r="T2888" s="6">
        <f t="shared" si="136"/>
        <v>0</v>
      </c>
      <c r="U2888" s="25">
        <f t="shared" si="137"/>
        <v>0</v>
      </c>
    </row>
    <row r="2889" spans="1:21" ht="15" x14ac:dyDescent="0.2">
      <c r="A2889" s="82" t="s">
        <v>6018</v>
      </c>
      <c r="B2889" s="83">
        <v>46006</v>
      </c>
      <c r="C2889" s="82" t="s">
        <v>3395</v>
      </c>
      <c r="D2889" s="82" t="s">
        <v>264</v>
      </c>
      <c r="E2889" s="82"/>
      <c r="F2889" s="82" t="s">
        <v>5136</v>
      </c>
      <c r="G2889" s="89">
        <v>1</v>
      </c>
      <c r="H2889" s="89">
        <v>537.1</v>
      </c>
      <c r="I2889" s="85">
        <v>0</v>
      </c>
      <c r="J2889" s="85">
        <v>69.819999999999993</v>
      </c>
      <c r="K2889" s="85">
        <v>606.91999999999996</v>
      </c>
      <c r="L2889" s="85">
        <v>6265.09</v>
      </c>
      <c r="M2889" s="89">
        <v>537.1</v>
      </c>
      <c r="N2889" s="85">
        <v>0</v>
      </c>
      <c r="O2889" s="85">
        <v>69.819999999999993</v>
      </c>
      <c r="P2889" s="85">
        <v>606.91999999999996</v>
      </c>
      <c r="Q2889" s="85">
        <v>6265.09</v>
      </c>
      <c r="R2889" s="82" t="s">
        <v>3396</v>
      </c>
      <c r="S2889" s="7">
        <f t="shared" si="135"/>
        <v>0</v>
      </c>
      <c r="T2889" s="6">
        <f t="shared" si="136"/>
        <v>0</v>
      </c>
      <c r="U2889" s="25">
        <f t="shared" si="137"/>
        <v>0</v>
      </c>
    </row>
    <row r="2890" spans="1:21" ht="15" x14ac:dyDescent="0.2">
      <c r="A2890" s="82" t="s">
        <v>6018</v>
      </c>
      <c r="B2890" s="83">
        <v>46006</v>
      </c>
      <c r="C2890" s="82" t="s">
        <v>3395</v>
      </c>
      <c r="D2890" s="82" t="s">
        <v>264</v>
      </c>
      <c r="E2890" s="82"/>
      <c r="F2890" s="82" t="s">
        <v>4893</v>
      </c>
      <c r="G2890" s="89">
        <v>1</v>
      </c>
      <c r="H2890" s="89">
        <v>469.88</v>
      </c>
      <c r="I2890" s="85">
        <v>0</v>
      </c>
      <c r="J2890" s="85">
        <v>61.08</v>
      </c>
      <c r="K2890" s="85">
        <v>530.96</v>
      </c>
      <c r="L2890" s="85">
        <v>6265.09</v>
      </c>
      <c r="M2890" s="89">
        <v>469.88</v>
      </c>
      <c r="N2890" s="85">
        <v>0</v>
      </c>
      <c r="O2890" s="85">
        <v>61.08</v>
      </c>
      <c r="P2890" s="85">
        <v>530.96</v>
      </c>
      <c r="Q2890" s="85">
        <v>6265.09</v>
      </c>
      <c r="R2890" s="82" t="s">
        <v>3396</v>
      </c>
      <c r="S2890" s="7">
        <f t="shared" si="135"/>
        <v>0</v>
      </c>
      <c r="T2890" s="6">
        <f t="shared" si="136"/>
        <v>0</v>
      </c>
      <c r="U2890" s="25">
        <f t="shared" si="137"/>
        <v>0</v>
      </c>
    </row>
    <row r="2891" spans="1:21" ht="15" x14ac:dyDescent="0.2">
      <c r="A2891" s="82" t="s">
        <v>6018</v>
      </c>
      <c r="B2891" s="83">
        <v>46006</v>
      </c>
      <c r="C2891" s="82" t="s">
        <v>3395</v>
      </c>
      <c r="D2891" s="82" t="s">
        <v>264</v>
      </c>
      <c r="E2891" s="82"/>
      <c r="F2891" s="82" t="s">
        <v>6123</v>
      </c>
      <c r="G2891" s="89">
        <v>1</v>
      </c>
      <c r="H2891" s="89">
        <v>317.18</v>
      </c>
      <c r="I2891" s="85">
        <v>0</v>
      </c>
      <c r="J2891" s="85">
        <v>41.23</v>
      </c>
      <c r="K2891" s="85">
        <v>358.41</v>
      </c>
      <c r="L2891" s="85">
        <v>6265.09</v>
      </c>
      <c r="M2891" s="89">
        <v>317.18</v>
      </c>
      <c r="N2891" s="85">
        <v>0</v>
      </c>
      <c r="O2891" s="85">
        <v>41.23</v>
      </c>
      <c r="P2891" s="85">
        <v>358.41</v>
      </c>
      <c r="Q2891" s="85">
        <v>6265.09</v>
      </c>
      <c r="R2891" s="82" t="s">
        <v>3396</v>
      </c>
      <c r="S2891" s="7">
        <f t="shared" si="135"/>
        <v>0</v>
      </c>
      <c r="T2891" s="6">
        <f t="shared" si="136"/>
        <v>0</v>
      </c>
      <c r="U2891" s="25">
        <f t="shared" si="137"/>
        <v>0</v>
      </c>
    </row>
    <row r="2892" spans="1:21" ht="15" x14ac:dyDescent="0.2">
      <c r="A2892" s="82" t="s">
        <v>6018</v>
      </c>
      <c r="B2892" s="83">
        <v>46006</v>
      </c>
      <c r="C2892" s="82" t="s">
        <v>3395</v>
      </c>
      <c r="D2892" s="82" t="s">
        <v>264</v>
      </c>
      <c r="E2892" s="82"/>
      <c r="F2892" s="82" t="s">
        <v>4827</v>
      </c>
      <c r="G2892" s="89">
        <v>2</v>
      </c>
      <c r="H2892" s="89">
        <v>97.48</v>
      </c>
      <c r="I2892" s="85">
        <v>0</v>
      </c>
      <c r="J2892" s="85">
        <v>25.34</v>
      </c>
      <c r="K2892" s="85">
        <v>220.3</v>
      </c>
      <c r="L2892" s="85">
        <v>6265.09</v>
      </c>
      <c r="M2892" s="89">
        <v>97.48</v>
      </c>
      <c r="N2892" s="85">
        <v>0</v>
      </c>
      <c r="O2892" s="85">
        <v>25.34</v>
      </c>
      <c r="P2892" s="85">
        <v>220.3</v>
      </c>
      <c r="Q2892" s="85">
        <v>6265.09</v>
      </c>
      <c r="R2892" s="82" t="s">
        <v>3396</v>
      </c>
      <c r="S2892" s="7">
        <f t="shared" si="135"/>
        <v>0</v>
      </c>
      <c r="T2892" s="6">
        <f t="shared" si="136"/>
        <v>0</v>
      </c>
      <c r="U2892" s="25">
        <f t="shared" si="137"/>
        <v>0</v>
      </c>
    </row>
    <row r="2893" spans="1:21" ht="15" x14ac:dyDescent="0.2">
      <c r="A2893" s="82" t="s">
        <v>6018</v>
      </c>
      <c r="B2893" s="83">
        <v>46006</v>
      </c>
      <c r="C2893" s="82" t="s">
        <v>3395</v>
      </c>
      <c r="D2893" s="82" t="s">
        <v>264</v>
      </c>
      <c r="E2893" s="82"/>
      <c r="F2893" s="82" t="s">
        <v>6124</v>
      </c>
      <c r="G2893" s="89">
        <v>1</v>
      </c>
      <c r="H2893" s="89">
        <v>488.22</v>
      </c>
      <c r="I2893" s="85">
        <v>0</v>
      </c>
      <c r="J2893" s="85">
        <v>63.47</v>
      </c>
      <c r="K2893" s="85">
        <v>551.69000000000005</v>
      </c>
      <c r="L2893" s="85">
        <v>6265.09</v>
      </c>
      <c r="M2893" s="89">
        <v>488.22</v>
      </c>
      <c r="N2893" s="85">
        <v>0</v>
      </c>
      <c r="O2893" s="85">
        <v>63.47</v>
      </c>
      <c r="P2893" s="85">
        <v>551.69000000000005</v>
      </c>
      <c r="Q2893" s="85">
        <v>6265.09</v>
      </c>
      <c r="R2893" s="82" t="s">
        <v>3396</v>
      </c>
      <c r="S2893" s="7">
        <f t="shared" si="135"/>
        <v>0</v>
      </c>
      <c r="T2893" s="6">
        <f t="shared" si="136"/>
        <v>0</v>
      </c>
      <c r="U2893" s="25">
        <f t="shared" si="137"/>
        <v>0</v>
      </c>
    </row>
    <row r="2894" spans="1:21" ht="15" x14ac:dyDescent="0.2">
      <c r="A2894" s="82" t="s">
        <v>6018</v>
      </c>
      <c r="B2894" s="83">
        <v>46006</v>
      </c>
      <c r="C2894" s="82" t="s">
        <v>3395</v>
      </c>
      <c r="D2894" s="82" t="s">
        <v>264</v>
      </c>
      <c r="E2894" s="82"/>
      <c r="F2894" s="82" t="s">
        <v>4638</v>
      </c>
      <c r="G2894" s="89">
        <v>6</v>
      </c>
      <c r="H2894" s="89">
        <v>57.89</v>
      </c>
      <c r="I2894" s="85">
        <v>0</v>
      </c>
      <c r="J2894" s="85">
        <v>45.15</v>
      </c>
      <c r="K2894" s="85">
        <v>392.49</v>
      </c>
      <c r="L2894" s="85">
        <v>6265.09</v>
      </c>
      <c r="M2894" s="89">
        <v>57.89</v>
      </c>
      <c r="N2894" s="85">
        <v>0</v>
      </c>
      <c r="O2894" s="85">
        <v>45.15</v>
      </c>
      <c r="P2894" s="85">
        <v>392.49</v>
      </c>
      <c r="Q2894" s="85">
        <v>6265.09</v>
      </c>
      <c r="R2894" s="82" t="s">
        <v>3396</v>
      </c>
      <c r="S2894" s="7">
        <f t="shared" si="135"/>
        <v>0</v>
      </c>
      <c r="T2894" s="6">
        <f t="shared" si="136"/>
        <v>0</v>
      </c>
      <c r="U2894" s="25">
        <f t="shared" si="137"/>
        <v>0</v>
      </c>
    </row>
    <row r="2895" spans="1:21" ht="15" x14ac:dyDescent="0.2">
      <c r="A2895" s="82" t="s">
        <v>6018</v>
      </c>
      <c r="B2895" s="83">
        <v>46006</v>
      </c>
      <c r="C2895" s="82" t="s">
        <v>3395</v>
      </c>
      <c r="D2895" s="82" t="s">
        <v>264</v>
      </c>
      <c r="E2895" s="82"/>
      <c r="F2895" s="82" t="s">
        <v>6125</v>
      </c>
      <c r="G2895" s="89">
        <v>3</v>
      </c>
      <c r="H2895" s="89">
        <v>19.28</v>
      </c>
      <c r="I2895" s="85">
        <v>0</v>
      </c>
      <c r="J2895" s="85">
        <v>7.52</v>
      </c>
      <c r="K2895" s="85">
        <v>65.36</v>
      </c>
      <c r="L2895" s="85">
        <v>6265.09</v>
      </c>
      <c r="M2895" s="89">
        <v>19.28</v>
      </c>
      <c r="N2895" s="85">
        <v>0</v>
      </c>
      <c r="O2895" s="85">
        <v>7.52</v>
      </c>
      <c r="P2895" s="85">
        <v>65.36</v>
      </c>
      <c r="Q2895" s="85">
        <v>6265.09</v>
      </c>
      <c r="R2895" s="82" t="s">
        <v>3396</v>
      </c>
      <c r="S2895" s="7">
        <f t="shared" si="135"/>
        <v>0</v>
      </c>
      <c r="T2895" s="6">
        <f t="shared" si="136"/>
        <v>0</v>
      </c>
      <c r="U2895" s="25">
        <f t="shared" si="137"/>
        <v>0</v>
      </c>
    </row>
    <row r="2896" spans="1:21" ht="15" x14ac:dyDescent="0.2">
      <c r="A2896" s="82" t="s">
        <v>6018</v>
      </c>
      <c r="B2896" s="83">
        <v>46006</v>
      </c>
      <c r="C2896" s="82" t="s">
        <v>3395</v>
      </c>
      <c r="D2896" s="82" t="s">
        <v>264</v>
      </c>
      <c r="E2896" s="82"/>
      <c r="F2896" s="82" t="s">
        <v>6126</v>
      </c>
      <c r="G2896" s="89">
        <v>3</v>
      </c>
      <c r="H2896" s="89">
        <v>17.239999999999998</v>
      </c>
      <c r="I2896" s="85">
        <v>0</v>
      </c>
      <c r="J2896" s="85">
        <v>6.72</v>
      </c>
      <c r="K2896" s="85">
        <v>58.44</v>
      </c>
      <c r="L2896" s="85">
        <v>6265.09</v>
      </c>
      <c r="M2896" s="89">
        <v>17.239999999999998</v>
      </c>
      <c r="N2896" s="85">
        <v>0</v>
      </c>
      <c r="O2896" s="85">
        <v>6.72</v>
      </c>
      <c r="P2896" s="85">
        <v>58.44</v>
      </c>
      <c r="Q2896" s="85">
        <v>6265.09</v>
      </c>
      <c r="R2896" s="82" t="s">
        <v>3396</v>
      </c>
      <c r="S2896" s="7">
        <f t="shared" si="135"/>
        <v>0</v>
      </c>
      <c r="T2896" s="6">
        <f t="shared" si="136"/>
        <v>0</v>
      </c>
      <c r="U2896" s="25">
        <f t="shared" si="137"/>
        <v>0</v>
      </c>
    </row>
    <row r="2897" spans="1:21" ht="15" x14ac:dyDescent="0.2">
      <c r="A2897" s="82" t="s">
        <v>6018</v>
      </c>
      <c r="B2897" s="83">
        <v>46006</v>
      </c>
      <c r="C2897" s="82" t="s">
        <v>3395</v>
      </c>
      <c r="D2897" s="82" t="s">
        <v>264</v>
      </c>
      <c r="E2897" s="82"/>
      <c r="F2897" s="82" t="s">
        <v>4637</v>
      </c>
      <c r="G2897" s="89">
        <v>3</v>
      </c>
      <c r="H2897" s="89">
        <v>51.22</v>
      </c>
      <c r="I2897" s="85">
        <v>0</v>
      </c>
      <c r="J2897" s="85">
        <v>19.98</v>
      </c>
      <c r="K2897" s="85">
        <v>173.64</v>
      </c>
      <c r="L2897" s="85">
        <v>6265.09</v>
      </c>
      <c r="M2897" s="89">
        <v>51.22</v>
      </c>
      <c r="N2897" s="85">
        <v>0</v>
      </c>
      <c r="O2897" s="85">
        <v>19.98</v>
      </c>
      <c r="P2897" s="85">
        <v>173.64</v>
      </c>
      <c r="Q2897" s="85">
        <v>6265.09</v>
      </c>
      <c r="R2897" s="82" t="s">
        <v>3396</v>
      </c>
      <c r="S2897" s="7">
        <f t="shared" si="135"/>
        <v>0</v>
      </c>
      <c r="T2897" s="6">
        <f t="shared" si="136"/>
        <v>0</v>
      </c>
      <c r="U2897" s="25">
        <f t="shared" si="137"/>
        <v>0</v>
      </c>
    </row>
    <row r="2898" spans="1:21" ht="15" x14ac:dyDescent="0.2">
      <c r="A2898" s="82" t="s">
        <v>6018</v>
      </c>
      <c r="B2898" s="83">
        <v>46006</v>
      </c>
      <c r="C2898" s="82" t="s">
        <v>3395</v>
      </c>
      <c r="D2898" s="82" t="s">
        <v>264</v>
      </c>
      <c r="E2898" s="82"/>
      <c r="F2898" s="82" t="s">
        <v>5734</v>
      </c>
      <c r="G2898" s="89">
        <v>4</v>
      </c>
      <c r="H2898" s="89">
        <v>11.38</v>
      </c>
      <c r="I2898" s="85">
        <v>0</v>
      </c>
      <c r="J2898" s="85">
        <v>5.92</v>
      </c>
      <c r="K2898" s="85">
        <v>51.44</v>
      </c>
      <c r="L2898" s="85">
        <v>6265.09</v>
      </c>
      <c r="M2898" s="89">
        <v>11.38</v>
      </c>
      <c r="N2898" s="85">
        <v>0</v>
      </c>
      <c r="O2898" s="85">
        <v>5.92</v>
      </c>
      <c r="P2898" s="85">
        <v>51.44</v>
      </c>
      <c r="Q2898" s="85">
        <v>6265.09</v>
      </c>
      <c r="R2898" s="82" t="s">
        <v>3396</v>
      </c>
      <c r="S2898" s="7">
        <f t="shared" si="135"/>
        <v>0</v>
      </c>
      <c r="T2898" s="6">
        <f t="shared" si="136"/>
        <v>0</v>
      </c>
      <c r="U2898" s="25">
        <f t="shared" si="137"/>
        <v>0</v>
      </c>
    </row>
    <row r="2899" spans="1:21" ht="15" x14ac:dyDescent="0.2">
      <c r="A2899" s="82" t="s">
        <v>6018</v>
      </c>
      <c r="B2899" s="83">
        <v>46006</v>
      </c>
      <c r="C2899" s="82" t="s">
        <v>3395</v>
      </c>
      <c r="D2899" s="82" t="s">
        <v>264</v>
      </c>
      <c r="E2899" s="82"/>
      <c r="F2899" s="82" t="s">
        <v>4637</v>
      </c>
      <c r="G2899" s="89">
        <v>3</v>
      </c>
      <c r="H2899" s="89">
        <v>49.67</v>
      </c>
      <c r="I2899" s="85">
        <v>0</v>
      </c>
      <c r="J2899" s="85">
        <v>19.37</v>
      </c>
      <c r="K2899" s="85">
        <v>168.38</v>
      </c>
      <c r="L2899" s="85">
        <v>6265.09</v>
      </c>
      <c r="M2899" s="89">
        <v>49.67</v>
      </c>
      <c r="N2899" s="85">
        <v>0</v>
      </c>
      <c r="O2899" s="85">
        <v>19.37</v>
      </c>
      <c r="P2899" s="85">
        <v>168.38</v>
      </c>
      <c r="Q2899" s="85">
        <v>6265.09</v>
      </c>
      <c r="R2899" s="82" t="s">
        <v>3396</v>
      </c>
      <c r="S2899" s="7">
        <f t="shared" si="135"/>
        <v>0</v>
      </c>
      <c r="T2899" s="6">
        <f t="shared" si="136"/>
        <v>0</v>
      </c>
      <c r="U2899" s="25">
        <f t="shared" si="137"/>
        <v>0</v>
      </c>
    </row>
    <row r="2900" spans="1:21" ht="15" x14ac:dyDescent="0.2">
      <c r="A2900" s="82" t="s">
        <v>6018</v>
      </c>
      <c r="B2900" s="83">
        <v>46006</v>
      </c>
      <c r="C2900" s="82" t="s">
        <v>3395</v>
      </c>
      <c r="D2900" s="82" t="s">
        <v>264</v>
      </c>
      <c r="E2900" s="82"/>
      <c r="F2900" s="82" t="s">
        <v>6127</v>
      </c>
      <c r="G2900" s="89">
        <v>2</v>
      </c>
      <c r="H2900" s="89">
        <v>28.94</v>
      </c>
      <c r="I2900" s="85">
        <v>0</v>
      </c>
      <c r="J2900" s="85">
        <v>7.52</v>
      </c>
      <c r="K2900" s="85">
        <v>65.400000000000006</v>
      </c>
      <c r="L2900" s="85">
        <v>6265.09</v>
      </c>
      <c r="M2900" s="89">
        <v>28.94</v>
      </c>
      <c r="N2900" s="85">
        <v>0</v>
      </c>
      <c r="O2900" s="85">
        <v>7.52</v>
      </c>
      <c r="P2900" s="85">
        <v>65.400000000000006</v>
      </c>
      <c r="Q2900" s="85">
        <v>6265.09</v>
      </c>
      <c r="R2900" s="82" t="s">
        <v>3396</v>
      </c>
      <c r="S2900" s="7">
        <f t="shared" si="135"/>
        <v>0</v>
      </c>
      <c r="T2900" s="6">
        <f t="shared" si="136"/>
        <v>0</v>
      </c>
      <c r="U2900" s="25">
        <f t="shared" si="137"/>
        <v>0</v>
      </c>
    </row>
    <row r="2901" spans="1:21" ht="15" x14ac:dyDescent="0.2">
      <c r="A2901" s="82" t="s">
        <v>6018</v>
      </c>
      <c r="B2901" s="83">
        <v>46006</v>
      </c>
      <c r="C2901" s="82" t="s">
        <v>3395</v>
      </c>
      <c r="D2901" s="82" t="s">
        <v>264</v>
      </c>
      <c r="E2901" s="82"/>
      <c r="F2901" s="82" t="s">
        <v>5571</v>
      </c>
      <c r="G2901" s="89">
        <v>2</v>
      </c>
      <c r="H2901" s="89">
        <v>162.38</v>
      </c>
      <c r="I2901" s="85">
        <v>0</v>
      </c>
      <c r="J2901" s="85">
        <v>42.22</v>
      </c>
      <c r="K2901" s="85">
        <v>366.98</v>
      </c>
      <c r="L2901" s="85">
        <v>6265.09</v>
      </c>
      <c r="M2901" s="89">
        <v>162.38</v>
      </c>
      <c r="N2901" s="85">
        <v>0</v>
      </c>
      <c r="O2901" s="85">
        <v>42.22</v>
      </c>
      <c r="P2901" s="85">
        <v>366.98</v>
      </c>
      <c r="Q2901" s="85">
        <v>6265.09</v>
      </c>
      <c r="R2901" s="82" t="s">
        <v>3396</v>
      </c>
      <c r="S2901" s="7">
        <f t="shared" si="135"/>
        <v>0</v>
      </c>
      <c r="T2901" s="6">
        <f t="shared" si="136"/>
        <v>0</v>
      </c>
      <c r="U2901" s="25">
        <f t="shared" si="137"/>
        <v>0</v>
      </c>
    </row>
    <row r="2902" spans="1:21" ht="15" x14ac:dyDescent="0.2">
      <c r="A2902" s="82" t="s">
        <v>6018</v>
      </c>
      <c r="B2902" s="83">
        <v>46006</v>
      </c>
      <c r="C2902" s="82" t="s">
        <v>3395</v>
      </c>
      <c r="D2902" s="82" t="s">
        <v>264</v>
      </c>
      <c r="E2902" s="82"/>
      <c r="F2902" s="82" t="s">
        <v>6128</v>
      </c>
      <c r="G2902" s="89">
        <v>1</v>
      </c>
      <c r="H2902" s="89">
        <v>431.29</v>
      </c>
      <c r="I2902" s="85">
        <v>0</v>
      </c>
      <c r="J2902" s="85">
        <v>56.07</v>
      </c>
      <c r="K2902" s="85">
        <v>487.36</v>
      </c>
      <c r="L2902" s="85">
        <v>6265.09</v>
      </c>
      <c r="M2902" s="89">
        <v>431.29</v>
      </c>
      <c r="N2902" s="85">
        <v>0</v>
      </c>
      <c r="O2902" s="85">
        <v>56.07</v>
      </c>
      <c r="P2902" s="85">
        <v>487.36</v>
      </c>
      <c r="Q2902" s="85">
        <v>6265.09</v>
      </c>
      <c r="R2902" s="82" t="s">
        <v>3396</v>
      </c>
      <c r="S2902" s="7">
        <f t="shared" si="135"/>
        <v>0</v>
      </c>
      <c r="T2902" s="6">
        <f t="shared" si="136"/>
        <v>0</v>
      </c>
      <c r="U2902" s="25">
        <f t="shared" si="137"/>
        <v>0</v>
      </c>
    </row>
    <row r="2903" spans="1:21" ht="15" x14ac:dyDescent="0.2">
      <c r="A2903" s="82" t="s">
        <v>6018</v>
      </c>
      <c r="B2903" s="83">
        <v>46006</v>
      </c>
      <c r="C2903" s="82" t="s">
        <v>3395</v>
      </c>
      <c r="D2903" s="82" t="s">
        <v>264</v>
      </c>
      <c r="E2903" s="82"/>
      <c r="F2903" s="82" t="s">
        <v>6129</v>
      </c>
      <c r="G2903" s="89">
        <v>2</v>
      </c>
      <c r="H2903" s="89">
        <v>322.10000000000002</v>
      </c>
      <c r="I2903" s="85">
        <v>0</v>
      </c>
      <c r="J2903" s="85">
        <v>83.75</v>
      </c>
      <c r="K2903" s="85">
        <v>727.95</v>
      </c>
      <c r="L2903" s="85">
        <v>6265.09</v>
      </c>
      <c r="M2903" s="89">
        <v>322.10000000000002</v>
      </c>
      <c r="N2903" s="85">
        <v>0</v>
      </c>
      <c r="O2903" s="85">
        <v>83.75</v>
      </c>
      <c r="P2903" s="85">
        <v>727.95</v>
      </c>
      <c r="Q2903" s="85">
        <v>6265.09</v>
      </c>
      <c r="R2903" s="82" t="s">
        <v>3396</v>
      </c>
      <c r="S2903" s="7">
        <f t="shared" si="135"/>
        <v>0</v>
      </c>
      <c r="T2903" s="6">
        <f t="shared" si="136"/>
        <v>0</v>
      </c>
      <c r="U2903" s="25">
        <f t="shared" si="137"/>
        <v>0</v>
      </c>
    </row>
    <row r="2904" spans="1:21" ht="15" x14ac:dyDescent="0.2">
      <c r="A2904" s="82" t="s">
        <v>6018</v>
      </c>
      <c r="B2904" s="83">
        <v>46006</v>
      </c>
      <c r="C2904" s="82" t="s">
        <v>3395</v>
      </c>
      <c r="D2904" s="82" t="s">
        <v>264</v>
      </c>
      <c r="E2904" s="82"/>
      <c r="F2904" s="82" t="s">
        <v>6130</v>
      </c>
      <c r="G2904" s="89">
        <v>6</v>
      </c>
      <c r="H2904" s="89">
        <v>5.29</v>
      </c>
      <c r="I2904" s="85">
        <v>0</v>
      </c>
      <c r="J2904" s="85">
        <v>4.13</v>
      </c>
      <c r="K2904" s="85">
        <v>35.869999999999997</v>
      </c>
      <c r="L2904" s="85">
        <v>6265.09</v>
      </c>
      <c r="M2904" s="89">
        <v>5.29</v>
      </c>
      <c r="N2904" s="85">
        <v>0</v>
      </c>
      <c r="O2904" s="85">
        <v>4.13</v>
      </c>
      <c r="P2904" s="85">
        <v>35.869999999999997</v>
      </c>
      <c r="Q2904" s="85">
        <v>6265.09</v>
      </c>
      <c r="R2904" s="82" t="s">
        <v>3396</v>
      </c>
      <c r="S2904" s="7">
        <f t="shared" si="135"/>
        <v>0</v>
      </c>
      <c r="T2904" s="6">
        <f t="shared" si="136"/>
        <v>0</v>
      </c>
      <c r="U2904" s="25">
        <f t="shared" si="137"/>
        <v>0</v>
      </c>
    </row>
    <row r="2905" spans="1:21" ht="15" x14ac:dyDescent="0.2">
      <c r="A2905" s="82" t="s">
        <v>6019</v>
      </c>
      <c r="B2905" s="83">
        <v>46006</v>
      </c>
      <c r="C2905" s="82" t="s">
        <v>3395</v>
      </c>
      <c r="D2905" s="82" t="s">
        <v>268</v>
      </c>
      <c r="E2905" s="82"/>
      <c r="F2905" s="82" t="s">
        <v>4843</v>
      </c>
      <c r="G2905" s="89">
        <v>2</v>
      </c>
      <c r="H2905" s="89">
        <v>1158.4000000000001</v>
      </c>
      <c r="I2905" s="85">
        <v>0</v>
      </c>
      <c r="J2905" s="85">
        <v>301.18</v>
      </c>
      <c r="K2905" s="85">
        <v>2617.98</v>
      </c>
      <c r="L2905" s="85">
        <v>19743.259999999998</v>
      </c>
      <c r="M2905" s="89">
        <v>1158.4000000000001</v>
      </c>
      <c r="N2905" s="85">
        <v>0</v>
      </c>
      <c r="O2905" s="85">
        <v>301.18</v>
      </c>
      <c r="P2905" s="85">
        <v>2617.98</v>
      </c>
      <c r="Q2905" s="85">
        <v>19743.259999999998</v>
      </c>
      <c r="R2905" s="82" t="s">
        <v>3396</v>
      </c>
      <c r="S2905" s="7">
        <f t="shared" si="135"/>
        <v>0</v>
      </c>
      <c r="T2905" s="6">
        <f t="shared" si="136"/>
        <v>0</v>
      </c>
      <c r="U2905" s="25">
        <f t="shared" si="137"/>
        <v>0</v>
      </c>
    </row>
    <row r="2906" spans="1:21" ht="15" x14ac:dyDescent="0.2">
      <c r="A2906" s="82" t="s">
        <v>6019</v>
      </c>
      <c r="B2906" s="83">
        <v>46006</v>
      </c>
      <c r="C2906" s="82" t="s">
        <v>3395</v>
      </c>
      <c r="D2906" s="82" t="s">
        <v>268</v>
      </c>
      <c r="E2906" s="82"/>
      <c r="F2906" s="82" t="s">
        <v>6131</v>
      </c>
      <c r="G2906" s="89">
        <v>1</v>
      </c>
      <c r="H2906" s="89">
        <v>2588.11</v>
      </c>
      <c r="I2906" s="85">
        <v>0</v>
      </c>
      <c r="J2906" s="85">
        <v>336.45</v>
      </c>
      <c r="K2906" s="85">
        <v>2924.56</v>
      </c>
      <c r="L2906" s="85">
        <v>19743.259999999998</v>
      </c>
      <c r="M2906" s="89">
        <v>2588.11</v>
      </c>
      <c r="N2906" s="85">
        <v>0</v>
      </c>
      <c r="O2906" s="85">
        <v>336.45</v>
      </c>
      <c r="P2906" s="85">
        <v>2924.56</v>
      </c>
      <c r="Q2906" s="85">
        <v>19743.259999999998</v>
      </c>
      <c r="R2906" s="82" t="s">
        <v>3396</v>
      </c>
      <c r="S2906" s="7">
        <f t="shared" si="135"/>
        <v>0</v>
      </c>
      <c r="T2906" s="6">
        <f t="shared" si="136"/>
        <v>0</v>
      </c>
      <c r="U2906" s="25">
        <f t="shared" si="137"/>
        <v>0</v>
      </c>
    </row>
    <row r="2907" spans="1:21" ht="15" x14ac:dyDescent="0.2">
      <c r="A2907" s="82" t="s">
        <v>6019</v>
      </c>
      <c r="B2907" s="83">
        <v>46006</v>
      </c>
      <c r="C2907" s="82" t="s">
        <v>3395</v>
      </c>
      <c r="D2907" s="82" t="s">
        <v>268</v>
      </c>
      <c r="E2907" s="82"/>
      <c r="F2907" s="82" t="s">
        <v>4559</v>
      </c>
      <c r="G2907" s="89">
        <v>1</v>
      </c>
      <c r="H2907" s="89">
        <v>2373.41</v>
      </c>
      <c r="I2907" s="85">
        <v>0</v>
      </c>
      <c r="J2907" s="85">
        <v>308.54000000000002</v>
      </c>
      <c r="K2907" s="85">
        <v>2681.95</v>
      </c>
      <c r="L2907" s="85">
        <v>19743.259999999998</v>
      </c>
      <c r="M2907" s="89">
        <v>2373.41</v>
      </c>
      <c r="N2907" s="85">
        <v>0</v>
      </c>
      <c r="O2907" s="85">
        <v>308.54000000000002</v>
      </c>
      <c r="P2907" s="85">
        <v>2681.95</v>
      </c>
      <c r="Q2907" s="85">
        <v>19743.259999999998</v>
      </c>
      <c r="R2907" s="82" t="s">
        <v>3396</v>
      </c>
      <c r="S2907" s="7">
        <f t="shared" si="135"/>
        <v>0</v>
      </c>
      <c r="T2907" s="6">
        <f t="shared" si="136"/>
        <v>0</v>
      </c>
      <c r="U2907" s="25">
        <f t="shared" si="137"/>
        <v>0</v>
      </c>
    </row>
    <row r="2908" spans="1:21" ht="15" x14ac:dyDescent="0.2">
      <c r="A2908" s="82" t="s">
        <v>6019</v>
      </c>
      <c r="B2908" s="83">
        <v>46006</v>
      </c>
      <c r="C2908" s="82" t="s">
        <v>3395</v>
      </c>
      <c r="D2908" s="82" t="s">
        <v>268</v>
      </c>
      <c r="E2908" s="82"/>
      <c r="F2908" s="82" t="s">
        <v>4822</v>
      </c>
      <c r="G2908" s="89">
        <v>2</v>
      </c>
      <c r="H2908" s="89">
        <v>883.91</v>
      </c>
      <c r="I2908" s="85">
        <v>0</v>
      </c>
      <c r="J2908" s="85">
        <v>229.82</v>
      </c>
      <c r="K2908" s="85">
        <v>1997.64</v>
      </c>
      <c r="L2908" s="85">
        <v>19743.259999999998</v>
      </c>
      <c r="M2908" s="89">
        <v>883.91</v>
      </c>
      <c r="N2908" s="85">
        <v>0</v>
      </c>
      <c r="O2908" s="85">
        <v>229.82</v>
      </c>
      <c r="P2908" s="85">
        <v>1997.64</v>
      </c>
      <c r="Q2908" s="85">
        <v>19743.259999999998</v>
      </c>
      <c r="R2908" s="82" t="s">
        <v>3396</v>
      </c>
      <c r="S2908" s="7">
        <f t="shared" si="135"/>
        <v>0</v>
      </c>
      <c r="T2908" s="6">
        <f t="shared" si="136"/>
        <v>0</v>
      </c>
      <c r="U2908" s="25">
        <f t="shared" si="137"/>
        <v>0</v>
      </c>
    </row>
    <row r="2909" spans="1:21" ht="15" x14ac:dyDescent="0.2">
      <c r="A2909" s="82" t="s">
        <v>6019</v>
      </c>
      <c r="B2909" s="83">
        <v>46006</v>
      </c>
      <c r="C2909" s="82" t="s">
        <v>3395</v>
      </c>
      <c r="D2909" s="82" t="s">
        <v>268</v>
      </c>
      <c r="E2909" s="82"/>
      <c r="F2909" s="82" t="s">
        <v>5715</v>
      </c>
      <c r="G2909" s="89">
        <v>2</v>
      </c>
      <c r="H2909" s="89">
        <v>883.91</v>
      </c>
      <c r="I2909" s="85">
        <v>0</v>
      </c>
      <c r="J2909" s="85">
        <v>229.82</v>
      </c>
      <c r="K2909" s="85">
        <v>1997.64</v>
      </c>
      <c r="L2909" s="85">
        <v>19743.259999999998</v>
      </c>
      <c r="M2909" s="89">
        <v>883.91</v>
      </c>
      <c r="N2909" s="85">
        <v>0</v>
      </c>
      <c r="O2909" s="85">
        <v>229.82</v>
      </c>
      <c r="P2909" s="85">
        <v>1997.64</v>
      </c>
      <c r="Q2909" s="85">
        <v>19743.259999999998</v>
      </c>
      <c r="R2909" s="82" t="s">
        <v>3396</v>
      </c>
      <c r="S2909" s="7">
        <f t="shared" si="135"/>
        <v>0</v>
      </c>
      <c r="T2909" s="6">
        <f t="shared" si="136"/>
        <v>0</v>
      </c>
      <c r="U2909" s="25">
        <f t="shared" si="137"/>
        <v>0</v>
      </c>
    </row>
    <row r="2910" spans="1:21" ht="15" x14ac:dyDescent="0.2">
      <c r="A2910" s="82" t="s">
        <v>6019</v>
      </c>
      <c r="B2910" s="83">
        <v>46006</v>
      </c>
      <c r="C2910" s="82" t="s">
        <v>3395</v>
      </c>
      <c r="D2910" s="82" t="s">
        <v>268</v>
      </c>
      <c r="E2910" s="82"/>
      <c r="F2910" s="82" t="s">
        <v>4551</v>
      </c>
      <c r="G2910" s="89">
        <v>2</v>
      </c>
      <c r="H2910" s="89">
        <v>723.73</v>
      </c>
      <c r="I2910" s="85">
        <v>0</v>
      </c>
      <c r="J2910" s="85">
        <v>188.17</v>
      </c>
      <c r="K2910" s="85">
        <v>1635.63</v>
      </c>
      <c r="L2910" s="85">
        <v>19743.259999999998</v>
      </c>
      <c r="M2910" s="89">
        <v>723.73</v>
      </c>
      <c r="N2910" s="85">
        <v>0</v>
      </c>
      <c r="O2910" s="85">
        <v>188.17</v>
      </c>
      <c r="P2910" s="85">
        <v>1635.63</v>
      </c>
      <c r="Q2910" s="85">
        <v>19743.259999999998</v>
      </c>
      <c r="R2910" s="82" t="s">
        <v>3396</v>
      </c>
      <c r="S2910" s="7">
        <f t="shared" ref="S2910:S2973" si="138">IF(T2910=1,A2910,0)</f>
        <v>0</v>
      </c>
      <c r="T2910" s="6">
        <f t="shared" ref="T2910:T2973" si="139">IFERROR(FIND("Freight",F2910,1),0)</f>
        <v>0</v>
      </c>
      <c r="U2910" s="25">
        <f t="shared" ref="U2910:U2973" si="140">IF(T2910=1,K2910-J2910,0)</f>
        <v>0</v>
      </c>
    </row>
    <row r="2911" spans="1:21" ht="15" x14ac:dyDescent="0.2">
      <c r="A2911" s="82" t="s">
        <v>6019</v>
      </c>
      <c r="B2911" s="83">
        <v>46006</v>
      </c>
      <c r="C2911" s="82" t="s">
        <v>3395</v>
      </c>
      <c r="D2911" s="82" t="s">
        <v>268</v>
      </c>
      <c r="E2911" s="82"/>
      <c r="F2911" s="82" t="s">
        <v>4431</v>
      </c>
      <c r="G2911" s="89">
        <v>3</v>
      </c>
      <c r="H2911" s="89">
        <v>132.13999999999999</v>
      </c>
      <c r="I2911" s="85">
        <v>0</v>
      </c>
      <c r="J2911" s="85">
        <v>51.53</v>
      </c>
      <c r="K2911" s="85">
        <v>447.95</v>
      </c>
      <c r="L2911" s="85">
        <v>19743.259999999998</v>
      </c>
      <c r="M2911" s="89">
        <v>132.13999999999999</v>
      </c>
      <c r="N2911" s="85">
        <v>0</v>
      </c>
      <c r="O2911" s="85">
        <v>51.53</v>
      </c>
      <c r="P2911" s="85">
        <v>447.95</v>
      </c>
      <c r="Q2911" s="85">
        <v>19743.259999999998</v>
      </c>
      <c r="R2911" s="82" t="s">
        <v>3396</v>
      </c>
      <c r="S2911" s="7">
        <f t="shared" si="138"/>
        <v>0</v>
      </c>
      <c r="T2911" s="6">
        <f t="shared" si="139"/>
        <v>0</v>
      </c>
      <c r="U2911" s="25">
        <f t="shared" si="140"/>
        <v>0</v>
      </c>
    </row>
    <row r="2912" spans="1:21" ht="15" x14ac:dyDescent="0.2">
      <c r="A2912" s="82" t="s">
        <v>6019</v>
      </c>
      <c r="B2912" s="83">
        <v>46006</v>
      </c>
      <c r="C2912" s="82" t="s">
        <v>3395</v>
      </c>
      <c r="D2912" s="82" t="s">
        <v>268</v>
      </c>
      <c r="E2912" s="82"/>
      <c r="F2912" s="82" t="s">
        <v>5724</v>
      </c>
      <c r="G2912" s="89">
        <v>2</v>
      </c>
      <c r="H2912" s="89">
        <v>229.45</v>
      </c>
      <c r="I2912" s="85">
        <v>0</v>
      </c>
      <c r="J2912" s="85">
        <v>59.66</v>
      </c>
      <c r="K2912" s="85">
        <v>518.55999999999995</v>
      </c>
      <c r="L2912" s="85">
        <v>19743.259999999998</v>
      </c>
      <c r="M2912" s="89">
        <v>229.45</v>
      </c>
      <c r="N2912" s="85">
        <v>0</v>
      </c>
      <c r="O2912" s="85">
        <v>59.66</v>
      </c>
      <c r="P2912" s="85">
        <v>518.55999999999995</v>
      </c>
      <c r="Q2912" s="85">
        <v>19743.259999999998</v>
      </c>
      <c r="R2912" s="82" t="s">
        <v>3396</v>
      </c>
      <c r="S2912" s="7">
        <f t="shared" si="138"/>
        <v>0</v>
      </c>
      <c r="T2912" s="6">
        <f t="shared" si="139"/>
        <v>0</v>
      </c>
      <c r="U2912" s="25">
        <f t="shared" si="140"/>
        <v>0</v>
      </c>
    </row>
    <row r="2913" spans="1:21" ht="15" x14ac:dyDescent="0.2">
      <c r="A2913" s="82" t="s">
        <v>6019</v>
      </c>
      <c r="B2913" s="83">
        <v>46006</v>
      </c>
      <c r="C2913" s="82" t="s">
        <v>3395</v>
      </c>
      <c r="D2913" s="82" t="s">
        <v>268</v>
      </c>
      <c r="E2913" s="82"/>
      <c r="F2913" s="82" t="s">
        <v>5723</v>
      </c>
      <c r="G2913" s="89">
        <v>2</v>
      </c>
      <c r="H2913" s="89">
        <v>359.79</v>
      </c>
      <c r="I2913" s="85">
        <v>0</v>
      </c>
      <c r="J2913" s="85">
        <v>93.55</v>
      </c>
      <c r="K2913" s="85">
        <v>813.13</v>
      </c>
      <c r="L2913" s="85">
        <v>19743.259999999998</v>
      </c>
      <c r="M2913" s="89">
        <v>359.79</v>
      </c>
      <c r="N2913" s="85">
        <v>0</v>
      </c>
      <c r="O2913" s="85">
        <v>93.55</v>
      </c>
      <c r="P2913" s="85">
        <v>813.13</v>
      </c>
      <c r="Q2913" s="85">
        <v>19743.259999999998</v>
      </c>
      <c r="R2913" s="82" t="s">
        <v>3396</v>
      </c>
      <c r="S2913" s="7">
        <f t="shared" si="138"/>
        <v>0</v>
      </c>
      <c r="T2913" s="6">
        <f t="shared" si="139"/>
        <v>0</v>
      </c>
      <c r="U2913" s="25">
        <f t="shared" si="140"/>
        <v>0</v>
      </c>
    </row>
    <row r="2914" spans="1:21" ht="15" x14ac:dyDescent="0.2">
      <c r="A2914" s="82" t="s">
        <v>6019</v>
      </c>
      <c r="B2914" s="83">
        <v>46006</v>
      </c>
      <c r="C2914" s="82" t="s">
        <v>3395</v>
      </c>
      <c r="D2914" s="82" t="s">
        <v>268</v>
      </c>
      <c r="E2914" s="82"/>
      <c r="F2914" s="82" t="s">
        <v>5502</v>
      </c>
      <c r="G2914" s="89">
        <v>3</v>
      </c>
      <c r="H2914" s="89">
        <v>53.07</v>
      </c>
      <c r="I2914" s="85">
        <v>0</v>
      </c>
      <c r="J2914" s="85">
        <v>20.7</v>
      </c>
      <c r="K2914" s="85">
        <v>179.91</v>
      </c>
      <c r="L2914" s="85">
        <v>19743.259999999998</v>
      </c>
      <c r="M2914" s="89">
        <v>53.07</v>
      </c>
      <c r="N2914" s="85">
        <v>0</v>
      </c>
      <c r="O2914" s="85">
        <v>20.7</v>
      </c>
      <c r="P2914" s="85">
        <v>179.91</v>
      </c>
      <c r="Q2914" s="85">
        <v>19743.259999999998</v>
      </c>
      <c r="R2914" s="82" t="s">
        <v>3396</v>
      </c>
      <c r="S2914" s="7">
        <f t="shared" si="138"/>
        <v>0</v>
      </c>
      <c r="T2914" s="6">
        <f t="shared" si="139"/>
        <v>0</v>
      </c>
      <c r="U2914" s="25">
        <f t="shared" si="140"/>
        <v>0</v>
      </c>
    </row>
    <row r="2915" spans="1:21" ht="15" x14ac:dyDescent="0.2">
      <c r="A2915" s="82" t="s">
        <v>6019</v>
      </c>
      <c r="B2915" s="83">
        <v>46006</v>
      </c>
      <c r="C2915" s="82" t="s">
        <v>3395</v>
      </c>
      <c r="D2915" s="82" t="s">
        <v>268</v>
      </c>
      <c r="E2915" s="82"/>
      <c r="F2915" s="82" t="s">
        <v>4637</v>
      </c>
      <c r="G2915" s="89">
        <v>3</v>
      </c>
      <c r="H2915" s="89">
        <v>51.22</v>
      </c>
      <c r="I2915" s="85">
        <v>0</v>
      </c>
      <c r="J2915" s="85">
        <v>19.98</v>
      </c>
      <c r="K2915" s="85">
        <v>173.64</v>
      </c>
      <c r="L2915" s="85">
        <v>19743.259999999998</v>
      </c>
      <c r="M2915" s="89">
        <v>51.22</v>
      </c>
      <c r="N2915" s="85">
        <v>0</v>
      </c>
      <c r="O2915" s="85">
        <v>19.98</v>
      </c>
      <c r="P2915" s="85">
        <v>173.64</v>
      </c>
      <c r="Q2915" s="85">
        <v>19743.259999999998</v>
      </c>
      <c r="R2915" s="82" t="s">
        <v>3396</v>
      </c>
      <c r="S2915" s="7">
        <f t="shared" si="138"/>
        <v>0</v>
      </c>
      <c r="T2915" s="6">
        <f t="shared" si="139"/>
        <v>0</v>
      </c>
      <c r="U2915" s="25">
        <f t="shared" si="140"/>
        <v>0</v>
      </c>
    </row>
    <row r="2916" spans="1:21" ht="15" x14ac:dyDescent="0.2">
      <c r="A2916" s="82" t="s">
        <v>6019</v>
      </c>
      <c r="B2916" s="83">
        <v>46006</v>
      </c>
      <c r="C2916" s="82" t="s">
        <v>3395</v>
      </c>
      <c r="D2916" s="82" t="s">
        <v>268</v>
      </c>
      <c r="E2916" s="82"/>
      <c r="F2916" s="82" t="s">
        <v>5501</v>
      </c>
      <c r="G2916" s="89">
        <v>3</v>
      </c>
      <c r="H2916" s="89">
        <v>9.48</v>
      </c>
      <c r="I2916" s="85">
        <v>0</v>
      </c>
      <c r="J2916" s="85">
        <v>3.7</v>
      </c>
      <c r="K2916" s="85">
        <v>32.14</v>
      </c>
      <c r="L2916" s="85">
        <v>19743.259999999998</v>
      </c>
      <c r="M2916" s="89">
        <v>9.48</v>
      </c>
      <c r="N2916" s="85">
        <v>0</v>
      </c>
      <c r="O2916" s="85">
        <v>3.7</v>
      </c>
      <c r="P2916" s="85">
        <v>32.14</v>
      </c>
      <c r="Q2916" s="85">
        <v>19743.259999999998</v>
      </c>
      <c r="R2916" s="82" t="s">
        <v>3396</v>
      </c>
      <c r="S2916" s="7">
        <f t="shared" si="138"/>
        <v>0</v>
      </c>
      <c r="T2916" s="6">
        <f t="shared" si="139"/>
        <v>0</v>
      </c>
      <c r="U2916" s="25">
        <f t="shared" si="140"/>
        <v>0</v>
      </c>
    </row>
    <row r="2917" spans="1:21" ht="15" x14ac:dyDescent="0.2">
      <c r="A2917" s="82" t="s">
        <v>6019</v>
      </c>
      <c r="B2917" s="83">
        <v>46006</v>
      </c>
      <c r="C2917" s="82" t="s">
        <v>3395</v>
      </c>
      <c r="D2917" s="82" t="s">
        <v>268</v>
      </c>
      <c r="E2917" s="82"/>
      <c r="F2917" s="82" t="s">
        <v>6132</v>
      </c>
      <c r="G2917" s="89">
        <v>3</v>
      </c>
      <c r="H2917" s="89">
        <v>23.42</v>
      </c>
      <c r="I2917" s="85">
        <v>0</v>
      </c>
      <c r="J2917" s="85">
        <v>9.1300000000000008</v>
      </c>
      <c r="K2917" s="85">
        <v>79.39</v>
      </c>
      <c r="L2917" s="85">
        <v>19743.259999999998</v>
      </c>
      <c r="M2917" s="89">
        <v>23.42</v>
      </c>
      <c r="N2917" s="85">
        <v>0</v>
      </c>
      <c r="O2917" s="85">
        <v>9.1300000000000008</v>
      </c>
      <c r="P2917" s="85">
        <v>79.39</v>
      </c>
      <c r="Q2917" s="85">
        <v>19743.259999999998</v>
      </c>
      <c r="R2917" s="82" t="s">
        <v>3396</v>
      </c>
      <c r="S2917" s="7">
        <f t="shared" si="138"/>
        <v>0</v>
      </c>
      <c r="T2917" s="6">
        <f t="shared" si="139"/>
        <v>0</v>
      </c>
      <c r="U2917" s="25">
        <f t="shared" si="140"/>
        <v>0</v>
      </c>
    </row>
    <row r="2918" spans="1:21" ht="15" x14ac:dyDescent="0.2">
      <c r="A2918" s="82" t="s">
        <v>6019</v>
      </c>
      <c r="B2918" s="83">
        <v>46006</v>
      </c>
      <c r="C2918" s="82" t="s">
        <v>3395</v>
      </c>
      <c r="D2918" s="82" t="s">
        <v>268</v>
      </c>
      <c r="E2918" s="82"/>
      <c r="F2918" s="82" t="s">
        <v>4428</v>
      </c>
      <c r="G2918" s="89">
        <v>3</v>
      </c>
      <c r="H2918" s="89">
        <v>139.88999999999999</v>
      </c>
      <c r="I2918" s="85">
        <v>0</v>
      </c>
      <c r="J2918" s="85">
        <v>54.56</v>
      </c>
      <c r="K2918" s="85">
        <v>474.23</v>
      </c>
      <c r="L2918" s="85">
        <v>19743.259999999998</v>
      </c>
      <c r="M2918" s="89">
        <v>139.88999999999999</v>
      </c>
      <c r="N2918" s="85">
        <v>0</v>
      </c>
      <c r="O2918" s="85">
        <v>54.56</v>
      </c>
      <c r="P2918" s="85">
        <v>474.23</v>
      </c>
      <c r="Q2918" s="85">
        <v>19743.259999999998</v>
      </c>
      <c r="R2918" s="82" t="s">
        <v>3396</v>
      </c>
      <c r="S2918" s="7">
        <f t="shared" si="138"/>
        <v>0</v>
      </c>
      <c r="T2918" s="6">
        <f t="shared" si="139"/>
        <v>0</v>
      </c>
      <c r="U2918" s="25">
        <f t="shared" si="140"/>
        <v>0</v>
      </c>
    </row>
    <row r="2919" spans="1:21" ht="15" x14ac:dyDescent="0.2">
      <c r="A2919" s="82" t="s">
        <v>6019</v>
      </c>
      <c r="B2919" s="83">
        <v>46006</v>
      </c>
      <c r="C2919" s="82" t="s">
        <v>3395</v>
      </c>
      <c r="D2919" s="82" t="s">
        <v>268</v>
      </c>
      <c r="E2919" s="82"/>
      <c r="F2919" s="82" t="s">
        <v>6133</v>
      </c>
      <c r="G2919" s="89">
        <v>3</v>
      </c>
      <c r="H2919" s="89">
        <v>449.95</v>
      </c>
      <c r="I2919" s="85">
        <v>0</v>
      </c>
      <c r="J2919" s="85">
        <v>175.48</v>
      </c>
      <c r="K2919" s="85">
        <v>1525.33</v>
      </c>
      <c r="L2919" s="85">
        <v>19743.259999999998</v>
      </c>
      <c r="M2919" s="89">
        <v>449.95</v>
      </c>
      <c r="N2919" s="85">
        <v>0</v>
      </c>
      <c r="O2919" s="85">
        <v>175.48</v>
      </c>
      <c r="P2919" s="85">
        <v>1525.33</v>
      </c>
      <c r="Q2919" s="85">
        <v>19743.259999999998</v>
      </c>
      <c r="R2919" s="82" t="s">
        <v>3396</v>
      </c>
      <c r="S2919" s="7">
        <f t="shared" si="138"/>
        <v>0</v>
      </c>
      <c r="T2919" s="6">
        <f t="shared" si="139"/>
        <v>0</v>
      </c>
      <c r="U2919" s="25">
        <f t="shared" si="140"/>
        <v>0</v>
      </c>
    </row>
    <row r="2920" spans="1:21" ht="15" x14ac:dyDescent="0.2">
      <c r="A2920" s="82" t="s">
        <v>6019</v>
      </c>
      <c r="B2920" s="83">
        <v>46006</v>
      </c>
      <c r="C2920" s="82" t="s">
        <v>3395</v>
      </c>
      <c r="D2920" s="82" t="s">
        <v>268</v>
      </c>
      <c r="E2920" s="82"/>
      <c r="F2920" s="82" t="s">
        <v>5594</v>
      </c>
      <c r="G2920" s="89">
        <v>3</v>
      </c>
      <c r="H2920" s="89">
        <v>352.15</v>
      </c>
      <c r="I2920" s="85">
        <v>0</v>
      </c>
      <c r="J2920" s="85">
        <v>137.34</v>
      </c>
      <c r="K2920" s="85">
        <v>1193.79</v>
      </c>
      <c r="L2920" s="85">
        <v>19743.259999999998</v>
      </c>
      <c r="M2920" s="89">
        <v>352.15</v>
      </c>
      <c r="N2920" s="85">
        <v>0</v>
      </c>
      <c r="O2920" s="85">
        <v>137.34</v>
      </c>
      <c r="P2920" s="85">
        <v>1193.79</v>
      </c>
      <c r="Q2920" s="85">
        <v>19743.259999999998</v>
      </c>
      <c r="R2920" s="82" t="s">
        <v>3396</v>
      </c>
      <c r="S2920" s="7">
        <f t="shared" si="138"/>
        <v>0</v>
      </c>
      <c r="T2920" s="6">
        <f t="shared" si="139"/>
        <v>0</v>
      </c>
      <c r="U2920" s="25">
        <f t="shared" si="140"/>
        <v>0</v>
      </c>
    </row>
    <row r="2921" spans="1:21" ht="15" x14ac:dyDescent="0.2">
      <c r="A2921" s="82" t="s">
        <v>6019</v>
      </c>
      <c r="B2921" s="83">
        <v>46006</v>
      </c>
      <c r="C2921" s="82" t="s">
        <v>3395</v>
      </c>
      <c r="D2921" s="82" t="s">
        <v>268</v>
      </c>
      <c r="E2921" s="82"/>
      <c r="F2921" s="82" t="s">
        <v>4729</v>
      </c>
      <c r="G2921" s="89">
        <v>5</v>
      </c>
      <c r="H2921" s="89">
        <v>3.25</v>
      </c>
      <c r="I2921" s="85">
        <v>0</v>
      </c>
      <c r="J2921" s="85">
        <v>2.11</v>
      </c>
      <c r="K2921" s="85">
        <v>18.36</v>
      </c>
      <c r="L2921" s="85">
        <v>19743.259999999998</v>
      </c>
      <c r="M2921" s="89">
        <v>3.25</v>
      </c>
      <c r="N2921" s="85">
        <v>0</v>
      </c>
      <c r="O2921" s="85">
        <v>2.11</v>
      </c>
      <c r="P2921" s="85">
        <v>18.36</v>
      </c>
      <c r="Q2921" s="85">
        <v>19743.259999999998</v>
      </c>
      <c r="R2921" s="82" t="s">
        <v>3396</v>
      </c>
      <c r="S2921" s="7">
        <f t="shared" si="138"/>
        <v>0</v>
      </c>
      <c r="T2921" s="6">
        <f t="shared" si="139"/>
        <v>0</v>
      </c>
      <c r="U2921" s="25">
        <f t="shared" si="140"/>
        <v>0</v>
      </c>
    </row>
    <row r="2922" spans="1:21" ht="15" x14ac:dyDescent="0.2">
      <c r="A2922" s="82" t="s">
        <v>6019</v>
      </c>
      <c r="B2922" s="83">
        <v>46006</v>
      </c>
      <c r="C2922" s="82" t="s">
        <v>3395</v>
      </c>
      <c r="D2922" s="82" t="s">
        <v>268</v>
      </c>
      <c r="E2922" s="82"/>
      <c r="F2922" s="82" t="s">
        <v>4552</v>
      </c>
      <c r="G2922" s="89">
        <v>20</v>
      </c>
      <c r="H2922" s="89">
        <v>19.09</v>
      </c>
      <c r="I2922" s="85">
        <v>0</v>
      </c>
      <c r="J2922" s="85">
        <v>49.63</v>
      </c>
      <c r="K2922" s="85">
        <v>431.43</v>
      </c>
      <c r="L2922" s="85">
        <v>19743.259999999998</v>
      </c>
      <c r="M2922" s="89">
        <v>19.09</v>
      </c>
      <c r="N2922" s="85">
        <v>0</v>
      </c>
      <c r="O2922" s="85">
        <v>49.63</v>
      </c>
      <c r="P2922" s="85">
        <v>431.43</v>
      </c>
      <c r="Q2922" s="85">
        <v>19743.259999999998</v>
      </c>
      <c r="R2922" s="82" t="s">
        <v>3396</v>
      </c>
      <c r="S2922" s="7">
        <f t="shared" si="138"/>
        <v>0</v>
      </c>
      <c r="T2922" s="6">
        <f t="shared" si="139"/>
        <v>0</v>
      </c>
      <c r="U2922" s="25">
        <f t="shared" si="140"/>
        <v>0</v>
      </c>
    </row>
    <row r="2923" spans="1:21" ht="15" x14ac:dyDescent="0.2">
      <c r="A2923" s="82" t="s">
        <v>6020</v>
      </c>
      <c r="B2923" s="83">
        <v>46007</v>
      </c>
      <c r="C2923" s="82" t="s">
        <v>3395</v>
      </c>
      <c r="D2923" s="82" t="s">
        <v>140</v>
      </c>
      <c r="E2923" s="82"/>
      <c r="F2923" s="82" t="s">
        <v>6118</v>
      </c>
      <c r="G2923" s="89">
        <v>1</v>
      </c>
      <c r="H2923" s="89">
        <v>794</v>
      </c>
      <c r="I2923" s="85">
        <v>0</v>
      </c>
      <c r="J2923" s="85">
        <v>0</v>
      </c>
      <c r="K2923" s="85">
        <v>794</v>
      </c>
      <c r="L2923" s="85">
        <v>794</v>
      </c>
      <c r="M2923" s="89">
        <v>1091.0669920629687</v>
      </c>
      <c r="N2923" s="85">
        <v>0</v>
      </c>
      <c r="O2923" s="85">
        <v>0</v>
      </c>
      <c r="P2923" s="85">
        <v>1091.0669920629687</v>
      </c>
      <c r="Q2923" s="85">
        <v>1091.0669920629687</v>
      </c>
      <c r="R2923" s="82" t="s">
        <v>3396</v>
      </c>
      <c r="S2923" s="7">
        <f t="shared" si="138"/>
        <v>0</v>
      </c>
      <c r="T2923" s="6">
        <f t="shared" si="139"/>
        <v>0</v>
      </c>
      <c r="U2923" s="25">
        <f t="shared" si="140"/>
        <v>0</v>
      </c>
    </row>
    <row r="2924" spans="1:21" ht="15" x14ac:dyDescent="0.2">
      <c r="A2924" s="82" t="s">
        <v>6021</v>
      </c>
      <c r="B2924" s="83">
        <v>46007</v>
      </c>
      <c r="C2924" s="82" t="s">
        <v>3395</v>
      </c>
      <c r="D2924" s="82" t="s">
        <v>335</v>
      </c>
      <c r="E2924" s="82"/>
      <c r="F2924" s="82" t="s">
        <v>4612</v>
      </c>
      <c r="G2924" s="89">
        <v>1</v>
      </c>
      <c r="H2924" s="89">
        <v>184.92</v>
      </c>
      <c r="I2924" s="85">
        <v>0</v>
      </c>
      <c r="J2924" s="85">
        <v>0</v>
      </c>
      <c r="K2924" s="85">
        <v>184.92</v>
      </c>
      <c r="L2924" s="85">
        <v>184.92</v>
      </c>
      <c r="M2924" s="89">
        <v>254.10592968801529</v>
      </c>
      <c r="N2924" s="85">
        <v>0</v>
      </c>
      <c r="O2924" s="85">
        <v>0</v>
      </c>
      <c r="P2924" s="85">
        <v>254.10592968801529</v>
      </c>
      <c r="Q2924" s="85">
        <v>254.10592968801529</v>
      </c>
      <c r="R2924" s="82" t="s">
        <v>3396</v>
      </c>
      <c r="S2924" s="7">
        <f t="shared" si="138"/>
        <v>0</v>
      </c>
      <c r="T2924" s="6">
        <f t="shared" si="139"/>
        <v>0</v>
      </c>
      <c r="U2924" s="25">
        <f t="shared" si="140"/>
        <v>0</v>
      </c>
    </row>
    <row r="2925" spans="1:21" ht="15" x14ac:dyDescent="0.2">
      <c r="A2925" s="82" t="s">
        <v>6022</v>
      </c>
      <c r="B2925" s="83">
        <v>46007</v>
      </c>
      <c r="C2925" s="82" t="s">
        <v>3395</v>
      </c>
      <c r="D2925" s="82" t="s">
        <v>6023</v>
      </c>
      <c r="E2925" s="82"/>
      <c r="F2925" s="82" t="s">
        <v>5211</v>
      </c>
      <c r="G2925" s="89">
        <v>1</v>
      </c>
      <c r="H2925" s="89">
        <v>2041</v>
      </c>
      <c r="I2925" s="85">
        <v>0</v>
      </c>
      <c r="J2925" s="85">
        <v>102.05</v>
      </c>
      <c r="K2925" s="85">
        <v>2143.0500000000002</v>
      </c>
      <c r="L2925" s="85">
        <v>2143.0500000000002</v>
      </c>
      <c r="M2925" s="89">
        <v>2041</v>
      </c>
      <c r="N2925" s="85">
        <v>0</v>
      </c>
      <c r="O2925" s="85">
        <v>102.05</v>
      </c>
      <c r="P2925" s="85">
        <v>2143.0500000000002</v>
      </c>
      <c r="Q2925" s="85">
        <v>2143.0500000000002</v>
      </c>
      <c r="R2925" s="82" t="s">
        <v>3396</v>
      </c>
      <c r="S2925" s="7">
        <f t="shared" si="138"/>
        <v>0</v>
      </c>
      <c r="T2925" s="6">
        <f t="shared" si="139"/>
        <v>0</v>
      </c>
      <c r="U2925" s="25">
        <f t="shared" si="140"/>
        <v>0</v>
      </c>
    </row>
    <row r="2926" spans="1:21" ht="15" x14ac:dyDescent="0.2">
      <c r="A2926" s="82" t="s">
        <v>6024</v>
      </c>
      <c r="B2926" s="83">
        <v>46007</v>
      </c>
      <c r="C2926" s="82" t="s">
        <v>3395</v>
      </c>
      <c r="D2926" s="82" t="s">
        <v>6025</v>
      </c>
      <c r="E2926" s="82"/>
      <c r="F2926" s="82" t="s">
        <v>4850</v>
      </c>
      <c r="G2926" s="89">
        <v>1</v>
      </c>
      <c r="H2926" s="89">
        <v>247.18</v>
      </c>
      <c r="I2926" s="85">
        <v>0</v>
      </c>
      <c r="J2926" s="85">
        <v>12.36</v>
      </c>
      <c r="K2926" s="85">
        <v>259.54000000000002</v>
      </c>
      <c r="L2926" s="85">
        <v>661.91</v>
      </c>
      <c r="M2926" s="89">
        <v>247.18</v>
      </c>
      <c r="N2926" s="85">
        <v>0</v>
      </c>
      <c r="O2926" s="85">
        <v>12.36</v>
      </c>
      <c r="P2926" s="85">
        <v>259.54000000000002</v>
      </c>
      <c r="Q2926" s="85">
        <v>661.91</v>
      </c>
      <c r="R2926" s="82" t="s">
        <v>3396</v>
      </c>
      <c r="S2926" s="7">
        <f t="shared" si="138"/>
        <v>0</v>
      </c>
      <c r="T2926" s="6">
        <f t="shared" si="139"/>
        <v>0</v>
      </c>
      <c r="U2926" s="25">
        <f t="shared" si="140"/>
        <v>0</v>
      </c>
    </row>
    <row r="2927" spans="1:21" ht="15" x14ac:dyDescent="0.2">
      <c r="A2927" s="82" t="s">
        <v>6024</v>
      </c>
      <c r="B2927" s="83">
        <v>46007</v>
      </c>
      <c r="C2927" s="82" t="s">
        <v>3395</v>
      </c>
      <c r="D2927" s="82" t="s">
        <v>6025</v>
      </c>
      <c r="E2927" s="82"/>
      <c r="F2927" s="82" t="s">
        <v>4849</v>
      </c>
      <c r="G2927" s="89">
        <v>1</v>
      </c>
      <c r="H2927" s="89">
        <v>277.24</v>
      </c>
      <c r="I2927" s="85">
        <v>0</v>
      </c>
      <c r="J2927" s="85">
        <v>13.86</v>
      </c>
      <c r="K2927" s="85">
        <v>291.10000000000002</v>
      </c>
      <c r="L2927" s="85">
        <v>661.91</v>
      </c>
      <c r="M2927" s="89">
        <v>277.24</v>
      </c>
      <c r="N2927" s="85">
        <v>0</v>
      </c>
      <c r="O2927" s="85">
        <v>13.86</v>
      </c>
      <c r="P2927" s="85">
        <v>291.10000000000002</v>
      </c>
      <c r="Q2927" s="85">
        <v>661.91</v>
      </c>
      <c r="R2927" s="82" t="s">
        <v>3396</v>
      </c>
      <c r="S2927" s="7">
        <f t="shared" si="138"/>
        <v>0</v>
      </c>
      <c r="T2927" s="6">
        <f t="shared" si="139"/>
        <v>0</v>
      </c>
      <c r="U2927" s="25">
        <f t="shared" si="140"/>
        <v>0</v>
      </c>
    </row>
    <row r="2928" spans="1:21" ht="15" x14ac:dyDescent="0.2">
      <c r="A2928" s="82" t="s">
        <v>6024</v>
      </c>
      <c r="B2928" s="83">
        <v>46007</v>
      </c>
      <c r="C2928" s="82" t="s">
        <v>3395</v>
      </c>
      <c r="D2928" s="82" t="s">
        <v>6025</v>
      </c>
      <c r="E2928" s="82"/>
      <c r="F2928" s="82" t="s">
        <v>4852</v>
      </c>
      <c r="G2928" s="89">
        <v>1</v>
      </c>
      <c r="H2928" s="89">
        <v>79.739999999999995</v>
      </c>
      <c r="I2928" s="85">
        <v>0</v>
      </c>
      <c r="J2928" s="85">
        <v>3.99</v>
      </c>
      <c r="K2928" s="85">
        <v>83.73</v>
      </c>
      <c r="L2928" s="85">
        <v>661.91</v>
      </c>
      <c r="M2928" s="89">
        <v>79.739999999999995</v>
      </c>
      <c r="N2928" s="85">
        <v>0</v>
      </c>
      <c r="O2928" s="85">
        <v>3.99</v>
      </c>
      <c r="P2928" s="85">
        <v>83.73</v>
      </c>
      <c r="Q2928" s="85">
        <v>661.91</v>
      </c>
      <c r="R2928" s="82" t="s">
        <v>3396</v>
      </c>
      <c r="S2928" s="7">
        <f t="shared" si="138"/>
        <v>0</v>
      </c>
      <c r="T2928" s="6">
        <f t="shared" si="139"/>
        <v>0</v>
      </c>
      <c r="U2928" s="25">
        <f t="shared" si="140"/>
        <v>0</v>
      </c>
    </row>
    <row r="2929" spans="1:21" ht="15" x14ac:dyDescent="0.2">
      <c r="A2929" s="82" t="s">
        <v>6024</v>
      </c>
      <c r="B2929" s="83">
        <v>46007</v>
      </c>
      <c r="C2929" s="82" t="s">
        <v>3395</v>
      </c>
      <c r="D2929" s="82" t="s">
        <v>6025</v>
      </c>
      <c r="E2929" s="82"/>
      <c r="F2929" s="82" t="s">
        <v>6132</v>
      </c>
      <c r="G2929" s="89">
        <v>1</v>
      </c>
      <c r="H2929" s="89">
        <v>6.1</v>
      </c>
      <c r="I2929" s="85">
        <v>0</v>
      </c>
      <c r="J2929" s="85">
        <v>0.31</v>
      </c>
      <c r="K2929" s="85">
        <v>6.41</v>
      </c>
      <c r="L2929" s="85">
        <v>661.91</v>
      </c>
      <c r="M2929" s="89">
        <v>6.1</v>
      </c>
      <c r="N2929" s="85">
        <v>0</v>
      </c>
      <c r="O2929" s="85">
        <v>0.31</v>
      </c>
      <c r="P2929" s="85">
        <v>6.41</v>
      </c>
      <c r="Q2929" s="85">
        <v>661.91</v>
      </c>
      <c r="R2929" s="82" t="s">
        <v>3396</v>
      </c>
      <c r="S2929" s="7">
        <f t="shared" si="138"/>
        <v>0</v>
      </c>
      <c r="T2929" s="6">
        <f t="shared" si="139"/>
        <v>0</v>
      </c>
      <c r="U2929" s="25">
        <f t="shared" si="140"/>
        <v>0</v>
      </c>
    </row>
    <row r="2930" spans="1:21" ht="15" x14ac:dyDescent="0.2">
      <c r="A2930" s="82" t="s">
        <v>6024</v>
      </c>
      <c r="B2930" s="83">
        <v>46007</v>
      </c>
      <c r="C2930" s="82" t="s">
        <v>3395</v>
      </c>
      <c r="D2930" s="82" t="s">
        <v>6025</v>
      </c>
      <c r="E2930" s="82"/>
      <c r="F2930" s="82" t="s">
        <v>6134</v>
      </c>
      <c r="G2930" s="89">
        <v>1</v>
      </c>
      <c r="H2930" s="89">
        <v>9.34</v>
      </c>
      <c r="I2930" s="85">
        <v>0</v>
      </c>
      <c r="J2930" s="85">
        <v>0.47</v>
      </c>
      <c r="K2930" s="85">
        <v>9.81</v>
      </c>
      <c r="L2930" s="85">
        <v>661.91</v>
      </c>
      <c r="M2930" s="89">
        <v>9.34</v>
      </c>
      <c r="N2930" s="85">
        <v>0</v>
      </c>
      <c r="O2930" s="85">
        <v>0.47</v>
      </c>
      <c r="P2930" s="85">
        <v>9.81</v>
      </c>
      <c r="Q2930" s="85">
        <v>661.91</v>
      </c>
      <c r="R2930" s="82" t="s">
        <v>3396</v>
      </c>
      <c r="S2930" s="7">
        <f t="shared" si="138"/>
        <v>0</v>
      </c>
      <c r="T2930" s="6">
        <f t="shared" si="139"/>
        <v>0</v>
      </c>
      <c r="U2930" s="25">
        <f t="shared" si="140"/>
        <v>0</v>
      </c>
    </row>
    <row r="2931" spans="1:21" ht="15" x14ac:dyDescent="0.2">
      <c r="A2931" s="82" t="s">
        <v>6024</v>
      </c>
      <c r="B2931" s="83">
        <v>46007</v>
      </c>
      <c r="C2931" s="82" t="s">
        <v>3395</v>
      </c>
      <c r="D2931" s="82" t="s">
        <v>6025</v>
      </c>
      <c r="E2931" s="82"/>
      <c r="F2931" s="82" t="s">
        <v>4615</v>
      </c>
      <c r="G2931" s="89">
        <v>1</v>
      </c>
      <c r="H2931" s="89">
        <v>10.78</v>
      </c>
      <c r="I2931" s="85">
        <v>0</v>
      </c>
      <c r="J2931" s="85">
        <v>0.54</v>
      </c>
      <c r="K2931" s="85">
        <v>11.32</v>
      </c>
      <c r="L2931" s="85">
        <v>661.91</v>
      </c>
      <c r="M2931" s="89">
        <v>10.78</v>
      </c>
      <c r="N2931" s="85">
        <v>0</v>
      </c>
      <c r="O2931" s="85">
        <v>0.54</v>
      </c>
      <c r="P2931" s="85">
        <v>11.32</v>
      </c>
      <c r="Q2931" s="85">
        <v>661.91</v>
      </c>
      <c r="R2931" s="82" t="s">
        <v>3396</v>
      </c>
      <c r="S2931" s="7">
        <f t="shared" si="138"/>
        <v>0</v>
      </c>
      <c r="T2931" s="6">
        <f t="shared" si="139"/>
        <v>0</v>
      </c>
      <c r="U2931" s="25">
        <f t="shared" si="140"/>
        <v>0</v>
      </c>
    </row>
    <row r="2932" spans="1:21" ht="15" x14ac:dyDescent="0.2">
      <c r="A2932" s="82" t="s">
        <v>6026</v>
      </c>
      <c r="B2932" s="83">
        <v>46007</v>
      </c>
      <c r="C2932" s="82" t="s">
        <v>3395</v>
      </c>
      <c r="D2932" s="82" t="s">
        <v>88</v>
      </c>
      <c r="E2932" s="82"/>
      <c r="F2932" s="82" t="s">
        <v>6135</v>
      </c>
      <c r="G2932" s="89">
        <v>3</v>
      </c>
      <c r="H2932" s="89">
        <v>118.92</v>
      </c>
      <c r="I2932" s="85">
        <v>0</v>
      </c>
      <c r="J2932" s="85">
        <v>17.84</v>
      </c>
      <c r="K2932" s="85">
        <v>374.6</v>
      </c>
      <c r="L2932" s="85">
        <v>374.6</v>
      </c>
      <c r="M2932" s="89">
        <v>118.92</v>
      </c>
      <c r="N2932" s="85">
        <v>0</v>
      </c>
      <c r="O2932" s="85">
        <v>17.84</v>
      </c>
      <c r="P2932" s="85">
        <v>374.6</v>
      </c>
      <c r="Q2932" s="85">
        <v>374.6</v>
      </c>
      <c r="R2932" s="82" t="s">
        <v>3396</v>
      </c>
      <c r="S2932" s="7">
        <f t="shared" si="138"/>
        <v>0</v>
      </c>
      <c r="T2932" s="6">
        <f t="shared" si="139"/>
        <v>0</v>
      </c>
      <c r="U2932" s="25">
        <f t="shared" si="140"/>
        <v>0</v>
      </c>
    </row>
    <row r="2933" spans="1:21" ht="15" x14ac:dyDescent="0.2">
      <c r="A2933" s="82" t="s">
        <v>6027</v>
      </c>
      <c r="B2933" s="83">
        <v>46008</v>
      </c>
      <c r="C2933" s="82" t="s">
        <v>3395</v>
      </c>
      <c r="D2933" s="82" t="s">
        <v>6028</v>
      </c>
      <c r="E2933" s="82"/>
      <c r="F2933" s="82" t="s">
        <v>6136</v>
      </c>
      <c r="G2933" s="89">
        <v>1</v>
      </c>
      <c r="H2933" s="89">
        <v>2989.15</v>
      </c>
      <c r="I2933" s="85">
        <v>0</v>
      </c>
      <c r="J2933" s="85">
        <v>388.59</v>
      </c>
      <c r="K2933" s="85">
        <v>3377.74</v>
      </c>
      <c r="L2933" s="85">
        <v>12263.21</v>
      </c>
      <c r="M2933" s="89">
        <v>4120.7829232516842</v>
      </c>
      <c r="N2933" s="85">
        <v>0</v>
      </c>
      <c r="O2933" s="85">
        <v>535.70246931280531</v>
      </c>
      <c r="P2933" s="85">
        <v>4656.4853925644902</v>
      </c>
      <c r="Q2933" s="85">
        <v>16905.8181597609</v>
      </c>
      <c r="R2933" s="82" t="s">
        <v>3396</v>
      </c>
      <c r="S2933" s="7">
        <f t="shared" si="138"/>
        <v>0</v>
      </c>
      <c r="T2933" s="6">
        <f t="shared" si="139"/>
        <v>0</v>
      </c>
      <c r="U2933" s="25">
        <f t="shared" si="140"/>
        <v>0</v>
      </c>
    </row>
    <row r="2934" spans="1:21" ht="15" x14ac:dyDescent="0.2">
      <c r="A2934" s="82" t="s">
        <v>6027</v>
      </c>
      <c r="B2934" s="83">
        <v>46008</v>
      </c>
      <c r="C2934" s="82" t="s">
        <v>3395</v>
      </c>
      <c r="D2934" s="82" t="s">
        <v>6028</v>
      </c>
      <c r="E2934" s="82"/>
      <c r="F2934" s="82" t="s">
        <v>6137</v>
      </c>
      <c r="G2934" s="89">
        <v>1</v>
      </c>
      <c r="H2934" s="89">
        <v>7365.02</v>
      </c>
      <c r="I2934" s="85">
        <v>0</v>
      </c>
      <c r="J2934" s="85">
        <v>957.45</v>
      </c>
      <c r="K2934" s="85">
        <v>8322.4699999999993</v>
      </c>
      <c r="L2934" s="85">
        <v>12263.21</v>
      </c>
      <c r="M2934" s="89">
        <v>10153.270543601733</v>
      </c>
      <c r="N2934" s="85">
        <v>0</v>
      </c>
      <c r="O2934" s="85">
        <v>1319.9215863597763</v>
      </c>
      <c r="P2934" s="85">
        <v>11473.19212996151</v>
      </c>
      <c r="Q2934" s="85">
        <v>16905.8181597609</v>
      </c>
      <c r="R2934" s="82" t="s">
        <v>3396</v>
      </c>
      <c r="S2934" s="7">
        <f t="shared" si="138"/>
        <v>0</v>
      </c>
      <c r="T2934" s="6">
        <f t="shared" si="139"/>
        <v>0</v>
      </c>
      <c r="U2934" s="25">
        <f t="shared" si="140"/>
        <v>0</v>
      </c>
    </row>
    <row r="2935" spans="1:21" ht="15" x14ac:dyDescent="0.2">
      <c r="A2935" s="82" t="s">
        <v>6027</v>
      </c>
      <c r="B2935" s="83">
        <v>46008</v>
      </c>
      <c r="C2935" s="82" t="s">
        <v>3395</v>
      </c>
      <c r="D2935" s="82" t="s">
        <v>6028</v>
      </c>
      <c r="E2935" s="82"/>
      <c r="F2935" s="82" t="s">
        <v>4459</v>
      </c>
      <c r="G2935" s="89">
        <v>1</v>
      </c>
      <c r="H2935" s="89">
        <v>563</v>
      </c>
      <c r="I2935" s="85">
        <v>0</v>
      </c>
      <c r="J2935" s="85">
        <v>0</v>
      </c>
      <c r="K2935" s="85">
        <v>563</v>
      </c>
      <c r="L2935" s="85">
        <v>12263.21</v>
      </c>
      <c r="M2935" s="89">
        <v>776.14063723489903</v>
      </c>
      <c r="N2935" s="85">
        <v>0</v>
      </c>
      <c r="O2935" s="85">
        <v>0</v>
      </c>
      <c r="P2935" s="85">
        <v>776.14063723489903</v>
      </c>
      <c r="Q2935" s="85">
        <v>16905.8181597609</v>
      </c>
      <c r="R2935" s="82" t="s">
        <v>3396</v>
      </c>
      <c r="S2935" s="7" t="str">
        <f t="shared" si="138"/>
        <v>INV13779</v>
      </c>
      <c r="T2935" s="6">
        <f t="shared" si="139"/>
        <v>1</v>
      </c>
      <c r="U2935" s="25">
        <f t="shared" si="140"/>
        <v>563</v>
      </c>
    </row>
    <row r="2936" spans="1:21" ht="15" x14ac:dyDescent="0.2">
      <c r="A2936" s="82" t="s">
        <v>6029</v>
      </c>
      <c r="B2936" s="83">
        <v>46008</v>
      </c>
      <c r="C2936" s="82" t="s">
        <v>3395</v>
      </c>
      <c r="D2936" s="82" t="s">
        <v>6030</v>
      </c>
      <c r="E2936" s="82"/>
      <c r="F2936" s="82" t="s">
        <v>6138</v>
      </c>
      <c r="G2936" s="89">
        <v>1</v>
      </c>
      <c r="H2936" s="89">
        <v>15427.48</v>
      </c>
      <c r="I2936" s="85">
        <v>0</v>
      </c>
      <c r="J2936" s="85">
        <v>2005.57</v>
      </c>
      <c r="K2936" s="85">
        <v>17433.05</v>
      </c>
      <c r="L2936" s="85">
        <v>20340.650000000001</v>
      </c>
      <c r="M2936" s="89">
        <v>15427.48</v>
      </c>
      <c r="N2936" s="85">
        <v>0</v>
      </c>
      <c r="O2936" s="85">
        <v>2005.57</v>
      </c>
      <c r="P2936" s="85">
        <v>17433.05</v>
      </c>
      <c r="Q2936" s="85">
        <v>20340.650000000001</v>
      </c>
      <c r="R2936" s="82" t="s">
        <v>3396</v>
      </c>
      <c r="S2936" s="7">
        <f t="shared" si="138"/>
        <v>0</v>
      </c>
      <c r="T2936" s="6">
        <f t="shared" si="139"/>
        <v>0</v>
      </c>
      <c r="U2936" s="25">
        <f t="shared" si="140"/>
        <v>0</v>
      </c>
    </row>
    <row r="2937" spans="1:21" ht="15" x14ac:dyDescent="0.2">
      <c r="A2937" s="82" t="s">
        <v>6029</v>
      </c>
      <c r="B2937" s="83">
        <v>46008</v>
      </c>
      <c r="C2937" s="82" t="s">
        <v>3395</v>
      </c>
      <c r="D2937" s="82" t="s">
        <v>6030</v>
      </c>
      <c r="E2937" s="82"/>
      <c r="F2937" s="82" t="s">
        <v>6139</v>
      </c>
      <c r="G2937" s="89">
        <v>1</v>
      </c>
      <c r="H2937" s="89">
        <v>2320</v>
      </c>
      <c r="I2937" s="85">
        <v>0</v>
      </c>
      <c r="J2937" s="85">
        <v>301.60000000000002</v>
      </c>
      <c r="K2937" s="85">
        <v>2621.6</v>
      </c>
      <c r="L2937" s="85">
        <v>20340.650000000001</v>
      </c>
      <c r="M2937" s="89">
        <v>2320</v>
      </c>
      <c r="N2937" s="85">
        <v>0</v>
      </c>
      <c r="O2937" s="85">
        <v>301.60000000000002</v>
      </c>
      <c r="P2937" s="85">
        <v>2621.6</v>
      </c>
      <c r="Q2937" s="85">
        <v>20340.650000000001</v>
      </c>
      <c r="R2937" s="82" t="s">
        <v>3396</v>
      </c>
      <c r="S2937" s="7">
        <f t="shared" si="138"/>
        <v>0</v>
      </c>
      <c r="T2937" s="6">
        <f t="shared" si="139"/>
        <v>0</v>
      </c>
      <c r="U2937" s="25">
        <f t="shared" si="140"/>
        <v>0</v>
      </c>
    </row>
    <row r="2938" spans="1:21" ht="15" x14ac:dyDescent="0.2">
      <c r="A2938" s="82" t="s">
        <v>6029</v>
      </c>
      <c r="B2938" s="83">
        <v>46008</v>
      </c>
      <c r="C2938" s="82" t="s">
        <v>3395</v>
      </c>
      <c r="D2938" s="82" t="s">
        <v>6030</v>
      </c>
      <c r="E2938" s="82"/>
      <c r="F2938" s="82" t="s">
        <v>5460</v>
      </c>
      <c r="G2938" s="89">
        <v>1</v>
      </c>
      <c r="H2938" s="89">
        <v>329</v>
      </c>
      <c r="I2938" s="85">
        <v>329</v>
      </c>
      <c r="J2938" s="85">
        <v>0</v>
      </c>
      <c r="K2938" s="85">
        <v>0</v>
      </c>
      <c r="L2938" s="85">
        <v>20340.650000000001</v>
      </c>
      <c r="M2938" s="89">
        <v>329</v>
      </c>
      <c r="N2938" s="85">
        <v>329</v>
      </c>
      <c r="O2938" s="85">
        <v>0</v>
      </c>
      <c r="P2938" s="85">
        <v>0</v>
      </c>
      <c r="Q2938" s="85">
        <v>20340.650000000001</v>
      </c>
      <c r="R2938" s="82" t="s">
        <v>3396</v>
      </c>
      <c r="S2938" s="7">
        <f t="shared" si="138"/>
        <v>0</v>
      </c>
      <c r="T2938" s="6">
        <f t="shared" si="139"/>
        <v>0</v>
      </c>
      <c r="U2938" s="25">
        <f t="shared" si="140"/>
        <v>0</v>
      </c>
    </row>
    <row r="2939" spans="1:21" ht="15" x14ac:dyDescent="0.2">
      <c r="A2939" s="82" t="s">
        <v>6029</v>
      </c>
      <c r="B2939" s="83">
        <v>46008</v>
      </c>
      <c r="C2939" s="82" t="s">
        <v>3395</v>
      </c>
      <c r="D2939" s="82" t="s">
        <v>6030</v>
      </c>
      <c r="E2939" s="82"/>
      <c r="F2939" s="82" t="s">
        <v>6140</v>
      </c>
      <c r="G2939" s="89">
        <v>1</v>
      </c>
      <c r="H2939" s="89">
        <v>892</v>
      </c>
      <c r="I2939" s="85">
        <v>892</v>
      </c>
      <c r="J2939" s="85">
        <v>0</v>
      </c>
      <c r="K2939" s="85">
        <v>0</v>
      </c>
      <c r="L2939" s="85">
        <v>20340.650000000001</v>
      </c>
      <c r="M2939" s="89">
        <v>892</v>
      </c>
      <c r="N2939" s="85">
        <v>892</v>
      </c>
      <c r="O2939" s="85">
        <v>0</v>
      </c>
      <c r="P2939" s="85">
        <v>0</v>
      </c>
      <c r="Q2939" s="85">
        <v>20340.650000000001</v>
      </c>
      <c r="R2939" s="82" t="s">
        <v>3396</v>
      </c>
      <c r="S2939" s="7">
        <f t="shared" si="138"/>
        <v>0</v>
      </c>
      <c r="T2939" s="6">
        <f t="shared" si="139"/>
        <v>0</v>
      </c>
      <c r="U2939" s="25">
        <f t="shared" si="140"/>
        <v>0</v>
      </c>
    </row>
    <row r="2940" spans="1:21" ht="15" x14ac:dyDescent="0.2">
      <c r="A2940" s="82" t="s">
        <v>6029</v>
      </c>
      <c r="B2940" s="83">
        <v>46008</v>
      </c>
      <c r="C2940" s="82" t="s">
        <v>3395</v>
      </c>
      <c r="D2940" s="82" t="s">
        <v>6030</v>
      </c>
      <c r="E2940" s="82"/>
      <c r="F2940" s="82" t="s">
        <v>4393</v>
      </c>
      <c r="G2940" s="89">
        <v>1</v>
      </c>
      <c r="H2940" s="89">
        <v>286</v>
      </c>
      <c r="I2940" s="85">
        <v>0</v>
      </c>
      <c r="J2940" s="85">
        <v>0</v>
      </c>
      <c r="K2940" s="85">
        <v>286</v>
      </c>
      <c r="L2940" s="85">
        <v>20340.650000000001</v>
      </c>
      <c r="M2940" s="89">
        <v>286</v>
      </c>
      <c r="N2940" s="85">
        <v>0</v>
      </c>
      <c r="O2940" s="85">
        <v>0</v>
      </c>
      <c r="P2940" s="85">
        <v>286</v>
      </c>
      <c r="Q2940" s="85">
        <v>20340.650000000001</v>
      </c>
      <c r="R2940" s="82" t="s">
        <v>3396</v>
      </c>
      <c r="S2940" s="7" t="str">
        <f t="shared" si="138"/>
        <v>INV13780</v>
      </c>
      <c r="T2940" s="6">
        <f t="shared" si="139"/>
        <v>1</v>
      </c>
      <c r="U2940" s="25">
        <f t="shared" si="140"/>
        <v>286</v>
      </c>
    </row>
    <row r="2941" spans="1:21" ht="15" x14ac:dyDescent="0.2">
      <c r="A2941" s="82" t="s">
        <v>6031</v>
      </c>
      <c r="B2941" s="83">
        <v>46008</v>
      </c>
      <c r="C2941" s="82" t="s">
        <v>3395</v>
      </c>
      <c r="D2941" s="82" t="s">
        <v>60</v>
      </c>
      <c r="E2941" s="82"/>
      <c r="F2941" s="82" t="s">
        <v>4524</v>
      </c>
      <c r="G2941" s="89">
        <v>1</v>
      </c>
      <c r="H2941" s="89">
        <v>1223</v>
      </c>
      <c r="I2941" s="85">
        <v>0</v>
      </c>
      <c r="J2941" s="85">
        <v>0</v>
      </c>
      <c r="K2941" s="85">
        <v>1223</v>
      </c>
      <c r="L2941" s="85">
        <v>1223</v>
      </c>
      <c r="M2941" s="89">
        <v>1686.5778466689742</v>
      </c>
      <c r="N2941" s="85">
        <v>0</v>
      </c>
      <c r="O2941" s="85">
        <v>0</v>
      </c>
      <c r="P2941" s="85">
        <v>1686.5778466689742</v>
      </c>
      <c r="Q2941" s="85">
        <v>1686.5778466689742</v>
      </c>
      <c r="R2941" s="82" t="s">
        <v>3396</v>
      </c>
      <c r="S2941" s="7">
        <f t="shared" si="138"/>
        <v>0</v>
      </c>
      <c r="T2941" s="6">
        <f t="shared" si="139"/>
        <v>0</v>
      </c>
      <c r="U2941" s="25">
        <f t="shared" si="140"/>
        <v>0</v>
      </c>
    </row>
    <row r="2942" spans="1:21" ht="15" x14ac:dyDescent="0.2">
      <c r="A2942" s="82" t="s">
        <v>6032</v>
      </c>
      <c r="B2942" s="83">
        <v>46008</v>
      </c>
      <c r="C2942" s="82" t="s">
        <v>3395</v>
      </c>
      <c r="D2942" s="82" t="s">
        <v>6033</v>
      </c>
      <c r="E2942" s="82"/>
      <c r="F2942" s="82" t="s">
        <v>4416</v>
      </c>
      <c r="G2942" s="89">
        <v>1</v>
      </c>
      <c r="H2942" s="89">
        <v>1617.12</v>
      </c>
      <c r="I2942" s="85">
        <v>0</v>
      </c>
      <c r="J2942" s="85">
        <v>210.23</v>
      </c>
      <c r="K2942" s="85">
        <v>1827.35</v>
      </c>
      <c r="L2942" s="85">
        <v>4966.51</v>
      </c>
      <c r="M2942" s="89">
        <v>1617.12</v>
      </c>
      <c r="N2942" s="85">
        <v>0</v>
      </c>
      <c r="O2942" s="85">
        <v>210.23</v>
      </c>
      <c r="P2942" s="85">
        <v>1827.35</v>
      </c>
      <c r="Q2942" s="85">
        <v>4966.51</v>
      </c>
      <c r="R2942" s="82" t="s">
        <v>3396</v>
      </c>
      <c r="S2942" s="7">
        <f t="shared" si="138"/>
        <v>0</v>
      </c>
      <c r="T2942" s="6">
        <f t="shared" si="139"/>
        <v>0</v>
      </c>
      <c r="U2942" s="25">
        <f t="shared" si="140"/>
        <v>0</v>
      </c>
    </row>
    <row r="2943" spans="1:21" ht="15" x14ac:dyDescent="0.2">
      <c r="A2943" s="82" t="s">
        <v>6032</v>
      </c>
      <c r="B2943" s="83">
        <v>46008</v>
      </c>
      <c r="C2943" s="82" t="s">
        <v>3395</v>
      </c>
      <c r="D2943" s="82" t="s">
        <v>6033</v>
      </c>
      <c r="E2943" s="82"/>
      <c r="F2943" s="82" t="s">
        <v>4417</v>
      </c>
      <c r="G2943" s="89">
        <v>1</v>
      </c>
      <c r="H2943" s="89">
        <v>996.33</v>
      </c>
      <c r="I2943" s="85">
        <v>0</v>
      </c>
      <c r="J2943" s="85">
        <v>129.52000000000001</v>
      </c>
      <c r="K2943" s="85">
        <v>1125.8499999999999</v>
      </c>
      <c r="L2943" s="85">
        <v>4966.51</v>
      </c>
      <c r="M2943" s="89">
        <v>996.33</v>
      </c>
      <c r="N2943" s="85">
        <v>0</v>
      </c>
      <c r="O2943" s="85">
        <v>129.52000000000001</v>
      </c>
      <c r="P2943" s="85">
        <v>1125.8499999999999</v>
      </c>
      <c r="Q2943" s="85">
        <v>4966.51</v>
      </c>
      <c r="R2943" s="82" t="s">
        <v>3396</v>
      </c>
      <c r="S2943" s="7">
        <f t="shared" si="138"/>
        <v>0</v>
      </c>
      <c r="T2943" s="6">
        <f t="shared" si="139"/>
        <v>0</v>
      </c>
      <c r="U2943" s="25">
        <f t="shared" si="140"/>
        <v>0</v>
      </c>
    </row>
    <row r="2944" spans="1:21" ht="15" x14ac:dyDescent="0.2">
      <c r="A2944" s="82" t="s">
        <v>6032</v>
      </c>
      <c r="B2944" s="83">
        <v>46008</v>
      </c>
      <c r="C2944" s="82" t="s">
        <v>3395</v>
      </c>
      <c r="D2944" s="82" t="s">
        <v>6033</v>
      </c>
      <c r="E2944" s="82"/>
      <c r="F2944" s="82" t="s">
        <v>4418</v>
      </c>
      <c r="G2944" s="89">
        <v>1</v>
      </c>
      <c r="H2944" s="89">
        <v>1629.35</v>
      </c>
      <c r="I2944" s="85">
        <v>0</v>
      </c>
      <c r="J2944" s="85">
        <v>211.82</v>
      </c>
      <c r="K2944" s="85">
        <v>1841.17</v>
      </c>
      <c r="L2944" s="85">
        <v>4966.51</v>
      </c>
      <c r="M2944" s="89">
        <v>1629.35</v>
      </c>
      <c r="N2944" s="85">
        <v>0</v>
      </c>
      <c r="O2944" s="85">
        <v>211.82</v>
      </c>
      <c r="P2944" s="85">
        <v>1841.17</v>
      </c>
      <c r="Q2944" s="85">
        <v>4966.51</v>
      </c>
      <c r="R2944" s="82" t="s">
        <v>3396</v>
      </c>
      <c r="S2944" s="7">
        <f t="shared" si="138"/>
        <v>0</v>
      </c>
      <c r="T2944" s="6">
        <f t="shared" si="139"/>
        <v>0</v>
      </c>
      <c r="U2944" s="25">
        <f t="shared" si="140"/>
        <v>0</v>
      </c>
    </row>
    <row r="2945" spans="1:21" ht="15" x14ac:dyDescent="0.2">
      <c r="A2945" s="82" t="s">
        <v>6032</v>
      </c>
      <c r="B2945" s="83">
        <v>46008</v>
      </c>
      <c r="C2945" s="82" t="s">
        <v>3395</v>
      </c>
      <c r="D2945" s="82" t="s">
        <v>6033</v>
      </c>
      <c r="E2945" s="82"/>
      <c r="F2945" s="82" t="s">
        <v>4751</v>
      </c>
      <c r="G2945" s="89">
        <v>1</v>
      </c>
      <c r="H2945" s="89">
        <v>152.34</v>
      </c>
      <c r="I2945" s="85">
        <v>0</v>
      </c>
      <c r="J2945" s="85">
        <v>19.8</v>
      </c>
      <c r="K2945" s="85">
        <v>172.14</v>
      </c>
      <c r="L2945" s="85">
        <v>4966.51</v>
      </c>
      <c r="M2945" s="89">
        <v>152.34</v>
      </c>
      <c r="N2945" s="85">
        <v>0</v>
      </c>
      <c r="O2945" s="85">
        <v>19.8</v>
      </c>
      <c r="P2945" s="85">
        <v>172.14</v>
      </c>
      <c r="Q2945" s="85">
        <v>4966.51</v>
      </c>
      <c r="R2945" s="82" t="s">
        <v>3396</v>
      </c>
      <c r="S2945" s="7">
        <f t="shared" si="138"/>
        <v>0</v>
      </c>
      <c r="T2945" s="6">
        <f t="shared" si="139"/>
        <v>0</v>
      </c>
      <c r="U2945" s="25">
        <f t="shared" si="140"/>
        <v>0</v>
      </c>
    </row>
    <row r="2946" spans="1:21" ht="15" x14ac:dyDescent="0.2">
      <c r="A2946" s="82" t="s">
        <v>6034</v>
      </c>
      <c r="B2946" s="83">
        <v>46008</v>
      </c>
      <c r="C2946" s="82" t="s">
        <v>3395</v>
      </c>
      <c r="D2946" s="82" t="s">
        <v>6035</v>
      </c>
      <c r="E2946" s="82"/>
      <c r="F2946" s="82" t="s">
        <v>5032</v>
      </c>
      <c r="G2946" s="89">
        <v>1</v>
      </c>
      <c r="H2946" s="89">
        <v>80.040000000000006</v>
      </c>
      <c r="I2946" s="85">
        <v>0</v>
      </c>
      <c r="J2946" s="85">
        <v>4</v>
      </c>
      <c r="K2946" s="85">
        <v>84.04</v>
      </c>
      <c r="L2946" s="85">
        <v>367.91</v>
      </c>
      <c r="M2946" s="89">
        <v>80.040000000000006</v>
      </c>
      <c r="N2946" s="85">
        <v>0</v>
      </c>
      <c r="O2946" s="85">
        <v>4</v>
      </c>
      <c r="P2946" s="85">
        <v>84.04</v>
      </c>
      <c r="Q2946" s="85">
        <v>367.91</v>
      </c>
      <c r="R2946" s="82" t="s">
        <v>3396</v>
      </c>
      <c r="S2946" s="7">
        <f t="shared" si="138"/>
        <v>0</v>
      </c>
      <c r="T2946" s="6">
        <f t="shared" si="139"/>
        <v>0</v>
      </c>
      <c r="U2946" s="25">
        <f t="shared" si="140"/>
        <v>0</v>
      </c>
    </row>
    <row r="2947" spans="1:21" ht="15" x14ac:dyDescent="0.2">
      <c r="A2947" s="82" t="s">
        <v>6034</v>
      </c>
      <c r="B2947" s="83">
        <v>46008</v>
      </c>
      <c r="C2947" s="82" t="s">
        <v>3395</v>
      </c>
      <c r="D2947" s="82" t="s">
        <v>6035</v>
      </c>
      <c r="E2947" s="82"/>
      <c r="F2947" s="82" t="s">
        <v>4594</v>
      </c>
      <c r="G2947" s="89">
        <v>1</v>
      </c>
      <c r="H2947" s="89">
        <v>270.35000000000002</v>
      </c>
      <c r="I2947" s="85">
        <v>0</v>
      </c>
      <c r="J2947" s="85">
        <v>13.52</v>
      </c>
      <c r="K2947" s="85">
        <v>283.87</v>
      </c>
      <c r="L2947" s="85">
        <v>367.91</v>
      </c>
      <c r="M2947" s="89">
        <v>270.35000000000002</v>
      </c>
      <c r="N2947" s="85">
        <v>0</v>
      </c>
      <c r="O2947" s="85">
        <v>13.52</v>
      </c>
      <c r="P2947" s="85">
        <v>283.87</v>
      </c>
      <c r="Q2947" s="85">
        <v>367.91</v>
      </c>
      <c r="R2947" s="82" t="s">
        <v>3396</v>
      </c>
      <c r="S2947" s="7">
        <f t="shared" si="138"/>
        <v>0</v>
      </c>
      <c r="T2947" s="6">
        <f t="shared" si="139"/>
        <v>0</v>
      </c>
      <c r="U2947" s="25">
        <f t="shared" si="140"/>
        <v>0</v>
      </c>
    </row>
    <row r="2948" spans="1:21" ht="15" x14ac:dyDescent="0.2">
      <c r="A2948" s="82" t="s">
        <v>6036</v>
      </c>
      <c r="B2948" s="83">
        <v>46008</v>
      </c>
      <c r="C2948" s="82" t="s">
        <v>3395</v>
      </c>
      <c r="D2948" s="82" t="s">
        <v>6037</v>
      </c>
      <c r="E2948" s="82"/>
      <c r="F2948" s="82" t="s">
        <v>6141</v>
      </c>
      <c r="G2948" s="89">
        <v>1</v>
      </c>
      <c r="H2948" s="89">
        <v>448.78</v>
      </c>
      <c r="I2948" s="85">
        <v>0</v>
      </c>
      <c r="J2948" s="85">
        <v>22.44</v>
      </c>
      <c r="K2948" s="85">
        <v>471.22</v>
      </c>
      <c r="L2948" s="85">
        <v>471.22</v>
      </c>
      <c r="M2948" s="89">
        <v>448.78</v>
      </c>
      <c r="N2948" s="85">
        <v>0</v>
      </c>
      <c r="O2948" s="85">
        <v>22.44</v>
      </c>
      <c r="P2948" s="85">
        <v>471.22</v>
      </c>
      <c r="Q2948" s="85">
        <v>471.22</v>
      </c>
      <c r="R2948" s="82" t="s">
        <v>3396</v>
      </c>
      <c r="S2948" s="7">
        <f t="shared" si="138"/>
        <v>0</v>
      </c>
      <c r="T2948" s="6">
        <f t="shared" si="139"/>
        <v>0</v>
      </c>
      <c r="U2948" s="25">
        <f t="shared" si="140"/>
        <v>0</v>
      </c>
    </row>
    <row r="2949" spans="1:21" ht="15" x14ac:dyDescent="0.2">
      <c r="A2949" s="82" t="s">
        <v>6038</v>
      </c>
      <c r="B2949" s="83">
        <v>46008</v>
      </c>
      <c r="C2949" s="82" t="s">
        <v>3395</v>
      </c>
      <c r="D2949" s="82" t="s">
        <v>417</v>
      </c>
      <c r="E2949" s="82"/>
      <c r="F2949" s="82" t="s">
        <v>6142</v>
      </c>
      <c r="G2949" s="89">
        <v>1</v>
      </c>
      <c r="H2949" s="89">
        <v>6970.1</v>
      </c>
      <c r="I2949" s="85">
        <v>0</v>
      </c>
      <c r="J2949" s="85">
        <v>348.51</v>
      </c>
      <c r="K2949" s="85">
        <v>7318.61</v>
      </c>
      <c r="L2949" s="85">
        <v>7318.61</v>
      </c>
      <c r="M2949" s="89">
        <v>6970.1</v>
      </c>
      <c r="N2949" s="85">
        <v>0</v>
      </c>
      <c r="O2949" s="85">
        <v>348.51</v>
      </c>
      <c r="P2949" s="85">
        <v>7318.61</v>
      </c>
      <c r="Q2949" s="85">
        <v>7318.61</v>
      </c>
      <c r="R2949" s="82" t="s">
        <v>3396</v>
      </c>
      <c r="S2949" s="7">
        <f t="shared" si="138"/>
        <v>0</v>
      </c>
      <c r="T2949" s="6">
        <f t="shared" si="139"/>
        <v>0</v>
      </c>
      <c r="U2949" s="25">
        <f t="shared" si="140"/>
        <v>0</v>
      </c>
    </row>
    <row r="2950" spans="1:21" ht="15" x14ac:dyDescent="0.2">
      <c r="A2950" s="82" t="s">
        <v>6039</v>
      </c>
      <c r="B2950" s="83">
        <v>46008</v>
      </c>
      <c r="C2950" s="82" t="s">
        <v>3395</v>
      </c>
      <c r="D2950" s="82" t="s">
        <v>6040</v>
      </c>
      <c r="E2950" s="82"/>
      <c r="F2950" s="82" t="s">
        <v>6143</v>
      </c>
      <c r="G2950" s="89">
        <v>20</v>
      </c>
      <c r="H2950" s="89">
        <v>297.88</v>
      </c>
      <c r="I2950" s="85">
        <v>0</v>
      </c>
      <c r="J2950" s="85">
        <v>297.88</v>
      </c>
      <c r="K2950" s="85">
        <v>6255.48</v>
      </c>
      <c r="L2950" s="85">
        <v>6255.48</v>
      </c>
      <c r="M2950" s="89">
        <v>297.88</v>
      </c>
      <c r="N2950" s="85">
        <v>0</v>
      </c>
      <c r="O2950" s="85">
        <v>297.88</v>
      </c>
      <c r="P2950" s="85">
        <v>6255.48</v>
      </c>
      <c r="Q2950" s="85">
        <v>6255.48</v>
      </c>
      <c r="R2950" s="82" t="s">
        <v>3396</v>
      </c>
      <c r="S2950" s="7">
        <f t="shared" si="138"/>
        <v>0</v>
      </c>
      <c r="T2950" s="6">
        <f t="shared" si="139"/>
        <v>0</v>
      </c>
      <c r="U2950" s="25">
        <f t="shared" si="140"/>
        <v>0</v>
      </c>
    </row>
    <row r="2951" spans="1:21" ht="15" x14ac:dyDescent="0.2">
      <c r="A2951" s="82" t="s">
        <v>6041</v>
      </c>
      <c r="B2951" s="83">
        <v>46009</v>
      </c>
      <c r="C2951" s="82" t="s">
        <v>3395</v>
      </c>
      <c r="D2951" s="82" t="s">
        <v>6042</v>
      </c>
      <c r="E2951" s="82"/>
      <c r="F2951" s="82" t="s">
        <v>4815</v>
      </c>
      <c r="G2951" s="89">
        <v>1</v>
      </c>
      <c r="H2951" s="89">
        <v>85.06</v>
      </c>
      <c r="I2951" s="85">
        <v>0</v>
      </c>
      <c r="J2951" s="85">
        <v>0</v>
      </c>
      <c r="K2951" s="85">
        <v>85.06</v>
      </c>
      <c r="L2951" s="85">
        <v>85.06</v>
      </c>
      <c r="M2951" s="89">
        <v>85.06</v>
      </c>
      <c r="N2951" s="85">
        <v>0</v>
      </c>
      <c r="O2951" s="85">
        <v>0</v>
      </c>
      <c r="P2951" s="85">
        <v>85.06</v>
      </c>
      <c r="Q2951" s="85">
        <v>85.06</v>
      </c>
      <c r="R2951" s="82" t="s">
        <v>3396</v>
      </c>
      <c r="S2951" s="7" t="str">
        <f t="shared" si="138"/>
        <v>INV13789</v>
      </c>
      <c r="T2951" s="6">
        <f t="shared" si="139"/>
        <v>1</v>
      </c>
      <c r="U2951" s="25">
        <f t="shared" si="140"/>
        <v>85.06</v>
      </c>
    </row>
    <row r="2952" spans="1:21" ht="15" x14ac:dyDescent="0.2">
      <c r="A2952" s="82" t="s">
        <v>6043</v>
      </c>
      <c r="B2952" s="83">
        <v>46009</v>
      </c>
      <c r="C2952" s="82" t="s">
        <v>3395</v>
      </c>
      <c r="D2952" s="82" t="s">
        <v>6044</v>
      </c>
      <c r="E2952" s="82"/>
      <c r="F2952" s="82" t="s">
        <v>4815</v>
      </c>
      <c r="G2952" s="89">
        <v>1</v>
      </c>
      <c r="H2952" s="89">
        <v>80.83</v>
      </c>
      <c r="I2952" s="85">
        <v>0</v>
      </c>
      <c r="J2952" s="85">
        <v>0</v>
      </c>
      <c r="K2952" s="85">
        <v>80.83</v>
      </c>
      <c r="L2952" s="85">
        <v>80.83</v>
      </c>
      <c r="M2952" s="89">
        <v>80.83</v>
      </c>
      <c r="N2952" s="85">
        <v>0</v>
      </c>
      <c r="O2952" s="85">
        <v>0</v>
      </c>
      <c r="P2952" s="85">
        <v>80.83</v>
      </c>
      <c r="Q2952" s="85">
        <v>80.83</v>
      </c>
      <c r="R2952" s="82" t="s">
        <v>3396</v>
      </c>
      <c r="S2952" s="7" t="str">
        <f t="shared" si="138"/>
        <v>INV13790</v>
      </c>
      <c r="T2952" s="6">
        <f t="shared" si="139"/>
        <v>1</v>
      </c>
      <c r="U2952" s="25">
        <f t="shared" si="140"/>
        <v>80.83</v>
      </c>
    </row>
    <row r="2953" spans="1:21" ht="15" x14ac:dyDescent="0.2">
      <c r="A2953" s="82" t="s">
        <v>6045</v>
      </c>
      <c r="B2953" s="83">
        <v>46009</v>
      </c>
      <c r="C2953" s="82" t="s">
        <v>3395</v>
      </c>
      <c r="D2953" s="82" t="s">
        <v>6046</v>
      </c>
      <c r="E2953" s="82"/>
      <c r="F2953" s="82" t="s">
        <v>5071</v>
      </c>
      <c r="G2953" s="89">
        <v>1</v>
      </c>
      <c r="H2953" s="89">
        <v>1770.5</v>
      </c>
      <c r="I2953" s="85">
        <v>0</v>
      </c>
      <c r="J2953" s="85">
        <v>88.53</v>
      </c>
      <c r="K2953" s="85">
        <v>1859.03</v>
      </c>
      <c r="L2953" s="85">
        <v>8135.52</v>
      </c>
      <c r="M2953" s="89">
        <v>1770.5</v>
      </c>
      <c r="N2953" s="85">
        <v>0</v>
      </c>
      <c r="O2953" s="85">
        <v>88.53</v>
      </c>
      <c r="P2953" s="85">
        <v>1859.03</v>
      </c>
      <c r="Q2953" s="85">
        <v>8135.52</v>
      </c>
      <c r="R2953" s="82" t="s">
        <v>3396</v>
      </c>
      <c r="S2953" s="7">
        <f t="shared" si="138"/>
        <v>0</v>
      </c>
      <c r="T2953" s="6">
        <f t="shared" si="139"/>
        <v>0</v>
      </c>
      <c r="U2953" s="25">
        <f t="shared" si="140"/>
        <v>0</v>
      </c>
    </row>
    <row r="2954" spans="1:21" ht="15" x14ac:dyDescent="0.2">
      <c r="A2954" s="82" t="s">
        <v>6045</v>
      </c>
      <c r="B2954" s="83">
        <v>46009</v>
      </c>
      <c r="C2954" s="82" t="s">
        <v>3395</v>
      </c>
      <c r="D2954" s="82" t="s">
        <v>6046</v>
      </c>
      <c r="E2954" s="82"/>
      <c r="F2954" s="82" t="s">
        <v>5065</v>
      </c>
      <c r="G2954" s="89">
        <v>1</v>
      </c>
      <c r="H2954" s="89">
        <v>1080.68</v>
      </c>
      <c r="I2954" s="85">
        <v>0</v>
      </c>
      <c r="J2954" s="85">
        <v>54.03</v>
      </c>
      <c r="K2954" s="85">
        <v>1134.71</v>
      </c>
      <c r="L2954" s="85">
        <v>8135.52</v>
      </c>
      <c r="M2954" s="89">
        <v>1080.68</v>
      </c>
      <c r="N2954" s="85">
        <v>0</v>
      </c>
      <c r="O2954" s="85">
        <v>54.03</v>
      </c>
      <c r="P2954" s="85">
        <v>1134.71</v>
      </c>
      <c r="Q2954" s="85">
        <v>8135.52</v>
      </c>
      <c r="R2954" s="82" t="s">
        <v>3396</v>
      </c>
      <c r="S2954" s="7">
        <f t="shared" si="138"/>
        <v>0</v>
      </c>
      <c r="T2954" s="6">
        <f t="shared" si="139"/>
        <v>0</v>
      </c>
      <c r="U2954" s="25">
        <f t="shared" si="140"/>
        <v>0</v>
      </c>
    </row>
    <row r="2955" spans="1:21" ht="15" x14ac:dyDescent="0.2">
      <c r="A2955" s="82" t="s">
        <v>6045</v>
      </c>
      <c r="B2955" s="83">
        <v>46009</v>
      </c>
      <c r="C2955" s="82" t="s">
        <v>3395</v>
      </c>
      <c r="D2955" s="82" t="s">
        <v>6046</v>
      </c>
      <c r="E2955" s="82"/>
      <c r="F2955" s="82" t="s">
        <v>4718</v>
      </c>
      <c r="G2955" s="89">
        <v>1</v>
      </c>
      <c r="H2955" s="89">
        <v>127.69</v>
      </c>
      <c r="I2955" s="85">
        <v>0</v>
      </c>
      <c r="J2955" s="85">
        <v>6.38</v>
      </c>
      <c r="K2955" s="85">
        <v>134.07</v>
      </c>
      <c r="L2955" s="85">
        <v>8135.52</v>
      </c>
      <c r="M2955" s="89">
        <v>127.69</v>
      </c>
      <c r="N2955" s="85">
        <v>0</v>
      </c>
      <c r="O2955" s="85">
        <v>6.38</v>
      </c>
      <c r="P2955" s="85">
        <v>134.07</v>
      </c>
      <c r="Q2955" s="85">
        <v>8135.52</v>
      </c>
      <c r="R2955" s="82" t="s">
        <v>3396</v>
      </c>
      <c r="S2955" s="7">
        <f t="shared" si="138"/>
        <v>0</v>
      </c>
      <c r="T2955" s="6">
        <f t="shared" si="139"/>
        <v>0</v>
      </c>
      <c r="U2955" s="25">
        <f t="shared" si="140"/>
        <v>0</v>
      </c>
    </row>
    <row r="2956" spans="1:21" ht="15" x14ac:dyDescent="0.2">
      <c r="A2956" s="82" t="s">
        <v>6045</v>
      </c>
      <c r="B2956" s="83">
        <v>46009</v>
      </c>
      <c r="C2956" s="82" t="s">
        <v>3395</v>
      </c>
      <c r="D2956" s="82" t="s">
        <v>6046</v>
      </c>
      <c r="E2956" s="82"/>
      <c r="F2956" s="82" t="s">
        <v>5343</v>
      </c>
      <c r="G2956" s="89">
        <v>1</v>
      </c>
      <c r="H2956" s="89">
        <v>95.07</v>
      </c>
      <c r="I2956" s="85">
        <v>0</v>
      </c>
      <c r="J2956" s="85">
        <v>4.75</v>
      </c>
      <c r="K2956" s="85">
        <v>99.82</v>
      </c>
      <c r="L2956" s="85">
        <v>8135.52</v>
      </c>
      <c r="M2956" s="89">
        <v>95.07</v>
      </c>
      <c r="N2956" s="85">
        <v>0</v>
      </c>
      <c r="O2956" s="85">
        <v>4.75</v>
      </c>
      <c r="P2956" s="85">
        <v>99.82</v>
      </c>
      <c r="Q2956" s="85">
        <v>8135.52</v>
      </c>
      <c r="R2956" s="82" t="s">
        <v>3396</v>
      </c>
      <c r="S2956" s="7">
        <f t="shared" si="138"/>
        <v>0</v>
      </c>
      <c r="T2956" s="6">
        <f t="shared" si="139"/>
        <v>0</v>
      </c>
      <c r="U2956" s="25">
        <f t="shared" si="140"/>
        <v>0</v>
      </c>
    </row>
    <row r="2957" spans="1:21" ht="15" x14ac:dyDescent="0.2">
      <c r="A2957" s="82" t="s">
        <v>6045</v>
      </c>
      <c r="B2957" s="83">
        <v>46009</v>
      </c>
      <c r="C2957" s="82" t="s">
        <v>3395</v>
      </c>
      <c r="D2957" s="82" t="s">
        <v>6046</v>
      </c>
      <c r="E2957" s="82"/>
      <c r="F2957" s="82" t="s">
        <v>5072</v>
      </c>
      <c r="G2957" s="89">
        <v>2</v>
      </c>
      <c r="H2957" s="89">
        <v>110.8</v>
      </c>
      <c r="I2957" s="85">
        <v>0</v>
      </c>
      <c r="J2957" s="85">
        <v>11.08</v>
      </c>
      <c r="K2957" s="85">
        <v>232.68</v>
      </c>
      <c r="L2957" s="85">
        <v>8135.52</v>
      </c>
      <c r="M2957" s="89">
        <v>110.8</v>
      </c>
      <c r="N2957" s="85">
        <v>0</v>
      </c>
      <c r="O2957" s="85">
        <v>11.08</v>
      </c>
      <c r="P2957" s="85">
        <v>232.68</v>
      </c>
      <c r="Q2957" s="85">
        <v>8135.52</v>
      </c>
      <c r="R2957" s="82" t="s">
        <v>3396</v>
      </c>
      <c r="S2957" s="7">
        <f t="shared" si="138"/>
        <v>0</v>
      </c>
      <c r="T2957" s="6">
        <f t="shared" si="139"/>
        <v>0</v>
      </c>
      <c r="U2957" s="25">
        <f t="shared" si="140"/>
        <v>0</v>
      </c>
    </row>
    <row r="2958" spans="1:21" ht="15" x14ac:dyDescent="0.2">
      <c r="A2958" s="82" t="s">
        <v>6045</v>
      </c>
      <c r="B2958" s="83">
        <v>46009</v>
      </c>
      <c r="C2958" s="82" t="s">
        <v>3395</v>
      </c>
      <c r="D2958" s="82" t="s">
        <v>6046</v>
      </c>
      <c r="E2958" s="82"/>
      <c r="F2958" s="82" t="s">
        <v>5074</v>
      </c>
      <c r="G2958" s="89">
        <v>1</v>
      </c>
      <c r="H2958" s="89">
        <v>75.790000000000006</v>
      </c>
      <c r="I2958" s="85">
        <v>0</v>
      </c>
      <c r="J2958" s="85">
        <v>3.79</v>
      </c>
      <c r="K2958" s="85">
        <v>79.58</v>
      </c>
      <c r="L2958" s="85">
        <v>8135.52</v>
      </c>
      <c r="M2958" s="89">
        <v>75.790000000000006</v>
      </c>
      <c r="N2958" s="85">
        <v>0</v>
      </c>
      <c r="O2958" s="85">
        <v>3.79</v>
      </c>
      <c r="P2958" s="85">
        <v>79.58</v>
      </c>
      <c r="Q2958" s="85">
        <v>8135.52</v>
      </c>
      <c r="R2958" s="82" t="s">
        <v>3396</v>
      </c>
      <c r="S2958" s="7">
        <f t="shared" si="138"/>
        <v>0</v>
      </c>
      <c r="T2958" s="6">
        <f t="shared" si="139"/>
        <v>0</v>
      </c>
      <c r="U2958" s="25">
        <f t="shared" si="140"/>
        <v>0</v>
      </c>
    </row>
    <row r="2959" spans="1:21" ht="15" x14ac:dyDescent="0.2">
      <c r="A2959" s="82" t="s">
        <v>6045</v>
      </c>
      <c r="B2959" s="83">
        <v>46009</v>
      </c>
      <c r="C2959" s="82" t="s">
        <v>3395</v>
      </c>
      <c r="D2959" s="82" t="s">
        <v>6046</v>
      </c>
      <c r="E2959" s="82"/>
      <c r="F2959" s="82" t="s">
        <v>4957</v>
      </c>
      <c r="G2959" s="89">
        <v>1</v>
      </c>
      <c r="H2959" s="89">
        <v>1529.03</v>
      </c>
      <c r="I2959" s="85">
        <v>0</v>
      </c>
      <c r="J2959" s="85">
        <v>76.45</v>
      </c>
      <c r="K2959" s="85">
        <v>1605.48</v>
      </c>
      <c r="L2959" s="85">
        <v>8135.52</v>
      </c>
      <c r="M2959" s="89">
        <v>1529.03</v>
      </c>
      <c r="N2959" s="85">
        <v>0</v>
      </c>
      <c r="O2959" s="85">
        <v>76.45</v>
      </c>
      <c r="P2959" s="85">
        <v>1605.48</v>
      </c>
      <c r="Q2959" s="85">
        <v>8135.52</v>
      </c>
      <c r="R2959" s="82" t="s">
        <v>3396</v>
      </c>
      <c r="S2959" s="7">
        <f t="shared" si="138"/>
        <v>0</v>
      </c>
      <c r="T2959" s="6">
        <f t="shared" si="139"/>
        <v>0</v>
      </c>
      <c r="U2959" s="25">
        <f t="shared" si="140"/>
        <v>0</v>
      </c>
    </row>
    <row r="2960" spans="1:21" ht="15" x14ac:dyDescent="0.2">
      <c r="A2960" s="82" t="s">
        <v>6045</v>
      </c>
      <c r="B2960" s="83">
        <v>46009</v>
      </c>
      <c r="C2960" s="82" t="s">
        <v>3395</v>
      </c>
      <c r="D2960" s="82" t="s">
        <v>6046</v>
      </c>
      <c r="E2960" s="82"/>
      <c r="F2960" s="82" t="s">
        <v>5073</v>
      </c>
      <c r="G2960" s="89">
        <v>1</v>
      </c>
      <c r="H2960" s="89">
        <v>2847.76</v>
      </c>
      <c r="I2960" s="85">
        <v>0</v>
      </c>
      <c r="J2960" s="85">
        <v>142.38999999999999</v>
      </c>
      <c r="K2960" s="85">
        <v>2990.15</v>
      </c>
      <c r="L2960" s="85">
        <v>8135.52</v>
      </c>
      <c r="M2960" s="89">
        <v>2847.76</v>
      </c>
      <c r="N2960" s="85">
        <v>0</v>
      </c>
      <c r="O2960" s="85">
        <v>142.38999999999999</v>
      </c>
      <c r="P2960" s="85">
        <v>2990.15</v>
      </c>
      <c r="Q2960" s="85">
        <v>8135.52</v>
      </c>
      <c r="R2960" s="82" t="s">
        <v>3396</v>
      </c>
      <c r="S2960" s="7">
        <f t="shared" si="138"/>
        <v>0</v>
      </c>
      <c r="T2960" s="6">
        <f t="shared" si="139"/>
        <v>0</v>
      </c>
      <c r="U2960" s="25">
        <f t="shared" si="140"/>
        <v>0</v>
      </c>
    </row>
    <row r="2961" spans="1:21" ht="15" x14ac:dyDescent="0.2">
      <c r="A2961" s="82" t="s">
        <v>6047</v>
      </c>
      <c r="B2961" s="83">
        <v>46010</v>
      </c>
      <c r="C2961" s="82" t="s">
        <v>3395</v>
      </c>
      <c r="D2961" s="82" t="s">
        <v>744</v>
      </c>
      <c r="E2961" s="82"/>
      <c r="F2961" s="82" t="s">
        <v>4797</v>
      </c>
      <c r="G2961" s="89">
        <v>1</v>
      </c>
      <c r="H2961" s="89">
        <v>1073.3800000000001</v>
      </c>
      <c r="I2961" s="85">
        <v>0</v>
      </c>
      <c r="J2961" s="85">
        <v>0</v>
      </c>
      <c r="K2961" s="85">
        <v>1073.3800000000001</v>
      </c>
      <c r="L2961" s="85">
        <v>1073.3800000000001</v>
      </c>
      <c r="M2961" s="89">
        <v>1480.8243878413969</v>
      </c>
      <c r="N2961" s="85">
        <v>0</v>
      </c>
      <c r="O2961" s="85">
        <v>0</v>
      </c>
      <c r="P2961" s="85">
        <v>1480.8243878413969</v>
      </c>
      <c r="Q2961" s="85">
        <v>1480.8243878413969</v>
      </c>
      <c r="R2961" s="82" t="s">
        <v>3396</v>
      </c>
      <c r="S2961" s="7">
        <f t="shared" si="138"/>
        <v>0</v>
      </c>
      <c r="T2961" s="6">
        <f t="shared" si="139"/>
        <v>0</v>
      </c>
      <c r="U2961" s="25">
        <f t="shared" si="140"/>
        <v>0</v>
      </c>
    </row>
    <row r="2962" spans="1:21" ht="15" x14ac:dyDescent="0.2">
      <c r="A2962" s="82" t="s">
        <v>6048</v>
      </c>
      <c r="B2962" s="83">
        <v>46013</v>
      </c>
      <c r="C2962" s="82" t="s">
        <v>3395</v>
      </c>
      <c r="D2962" s="82" t="s">
        <v>6049</v>
      </c>
      <c r="E2962" s="82"/>
      <c r="F2962" s="82" t="s">
        <v>4607</v>
      </c>
      <c r="G2962" s="89">
        <v>3</v>
      </c>
      <c r="H2962" s="89">
        <v>178.22</v>
      </c>
      <c r="I2962" s="85">
        <v>0</v>
      </c>
      <c r="J2962" s="85">
        <v>26.73</v>
      </c>
      <c r="K2962" s="85">
        <v>561.39</v>
      </c>
      <c r="L2962" s="85">
        <v>1065.01</v>
      </c>
      <c r="M2962" s="89">
        <v>178.22</v>
      </c>
      <c r="N2962" s="85">
        <v>0</v>
      </c>
      <c r="O2962" s="85">
        <v>26.73</v>
      </c>
      <c r="P2962" s="85">
        <v>561.39</v>
      </c>
      <c r="Q2962" s="85">
        <v>1065.01</v>
      </c>
      <c r="R2962" s="82" t="s">
        <v>3396</v>
      </c>
      <c r="S2962" s="7">
        <f t="shared" si="138"/>
        <v>0</v>
      </c>
      <c r="T2962" s="6">
        <f t="shared" si="139"/>
        <v>0</v>
      </c>
      <c r="U2962" s="25">
        <f t="shared" si="140"/>
        <v>0</v>
      </c>
    </row>
    <row r="2963" spans="1:21" ht="15" x14ac:dyDescent="0.2">
      <c r="A2963" s="82" t="s">
        <v>6048</v>
      </c>
      <c r="B2963" s="83">
        <v>46013</v>
      </c>
      <c r="C2963" s="82" t="s">
        <v>3395</v>
      </c>
      <c r="D2963" s="82" t="s">
        <v>6049</v>
      </c>
      <c r="E2963" s="82"/>
      <c r="F2963" s="82" t="s">
        <v>6144</v>
      </c>
      <c r="G2963" s="89">
        <v>3</v>
      </c>
      <c r="H2963" s="89">
        <v>159.88</v>
      </c>
      <c r="I2963" s="85">
        <v>0</v>
      </c>
      <c r="J2963" s="85">
        <v>23.98</v>
      </c>
      <c r="K2963" s="85">
        <v>503.62</v>
      </c>
      <c r="L2963" s="85">
        <v>1065.01</v>
      </c>
      <c r="M2963" s="89">
        <v>159.88</v>
      </c>
      <c r="N2963" s="85">
        <v>0</v>
      </c>
      <c r="O2963" s="85">
        <v>23.98</v>
      </c>
      <c r="P2963" s="85">
        <v>503.62</v>
      </c>
      <c r="Q2963" s="85">
        <v>1065.01</v>
      </c>
      <c r="R2963" s="82" t="s">
        <v>3396</v>
      </c>
      <c r="S2963" s="7">
        <f t="shared" si="138"/>
        <v>0</v>
      </c>
      <c r="T2963" s="6">
        <f t="shared" si="139"/>
        <v>0</v>
      </c>
      <c r="U2963" s="25">
        <f t="shared" si="140"/>
        <v>0</v>
      </c>
    </row>
    <row r="2964" spans="1:21" ht="15" x14ac:dyDescent="0.2">
      <c r="A2964" s="82" t="s">
        <v>6050</v>
      </c>
      <c r="B2964" s="83">
        <v>46013</v>
      </c>
      <c r="C2964" s="82" t="s">
        <v>3395</v>
      </c>
      <c r="D2964" s="82" t="s">
        <v>6051</v>
      </c>
      <c r="E2964" s="82"/>
      <c r="F2964" s="82" t="s">
        <v>5042</v>
      </c>
      <c r="G2964" s="89">
        <v>1</v>
      </c>
      <c r="H2964" s="89">
        <v>1769.82</v>
      </c>
      <c r="I2964" s="85">
        <v>0</v>
      </c>
      <c r="J2964" s="85">
        <v>88.49</v>
      </c>
      <c r="K2964" s="85">
        <v>1858.31</v>
      </c>
      <c r="L2964" s="85">
        <v>4368.47</v>
      </c>
      <c r="M2964" s="89">
        <v>1769.82</v>
      </c>
      <c r="N2964" s="85">
        <v>0</v>
      </c>
      <c r="O2964" s="85">
        <v>88.49</v>
      </c>
      <c r="P2964" s="85">
        <v>1858.31</v>
      </c>
      <c r="Q2964" s="85">
        <v>4368.47</v>
      </c>
      <c r="R2964" s="82" t="s">
        <v>3396</v>
      </c>
      <c r="S2964" s="7">
        <f t="shared" si="138"/>
        <v>0</v>
      </c>
      <c r="T2964" s="6">
        <f t="shared" si="139"/>
        <v>0</v>
      </c>
      <c r="U2964" s="25">
        <f t="shared" si="140"/>
        <v>0</v>
      </c>
    </row>
    <row r="2965" spans="1:21" ht="15" x14ac:dyDescent="0.2">
      <c r="A2965" s="82" t="s">
        <v>6050</v>
      </c>
      <c r="B2965" s="83">
        <v>46013</v>
      </c>
      <c r="C2965" s="82" t="s">
        <v>3395</v>
      </c>
      <c r="D2965" s="82" t="s">
        <v>6051</v>
      </c>
      <c r="E2965" s="82"/>
      <c r="F2965" s="82" t="s">
        <v>5041</v>
      </c>
      <c r="G2965" s="89">
        <v>2</v>
      </c>
      <c r="H2965" s="89">
        <v>42.67</v>
      </c>
      <c r="I2965" s="85">
        <v>0</v>
      </c>
      <c r="J2965" s="85">
        <v>4.2699999999999996</v>
      </c>
      <c r="K2965" s="85">
        <v>89.61</v>
      </c>
      <c r="L2965" s="85">
        <v>4368.47</v>
      </c>
      <c r="M2965" s="89">
        <v>42.67</v>
      </c>
      <c r="N2965" s="85">
        <v>0</v>
      </c>
      <c r="O2965" s="85">
        <v>4.2699999999999996</v>
      </c>
      <c r="P2965" s="85">
        <v>89.61</v>
      </c>
      <c r="Q2965" s="85">
        <v>4368.47</v>
      </c>
      <c r="R2965" s="82" t="s">
        <v>3396</v>
      </c>
      <c r="S2965" s="7">
        <f t="shared" si="138"/>
        <v>0</v>
      </c>
      <c r="T2965" s="6">
        <f t="shared" si="139"/>
        <v>0</v>
      </c>
      <c r="U2965" s="25">
        <f t="shared" si="140"/>
        <v>0</v>
      </c>
    </row>
    <row r="2966" spans="1:21" ht="15" x14ac:dyDescent="0.2">
      <c r="A2966" s="82" t="s">
        <v>6050</v>
      </c>
      <c r="B2966" s="83">
        <v>46013</v>
      </c>
      <c r="C2966" s="82" t="s">
        <v>3395</v>
      </c>
      <c r="D2966" s="82" t="s">
        <v>6051</v>
      </c>
      <c r="E2966" s="82"/>
      <c r="F2966" s="82" t="s">
        <v>5222</v>
      </c>
      <c r="G2966" s="89">
        <v>1</v>
      </c>
      <c r="H2966" s="89">
        <v>2198.2199999999998</v>
      </c>
      <c r="I2966" s="85">
        <v>0</v>
      </c>
      <c r="J2966" s="85">
        <v>109.91</v>
      </c>
      <c r="K2966" s="85">
        <v>2308.13</v>
      </c>
      <c r="L2966" s="85">
        <v>4368.47</v>
      </c>
      <c r="M2966" s="89">
        <v>2198.2199999999998</v>
      </c>
      <c r="N2966" s="85">
        <v>0</v>
      </c>
      <c r="O2966" s="85">
        <v>109.91</v>
      </c>
      <c r="P2966" s="85">
        <v>2308.13</v>
      </c>
      <c r="Q2966" s="85">
        <v>4368.47</v>
      </c>
      <c r="R2966" s="82" t="s">
        <v>3396</v>
      </c>
      <c r="S2966" s="7">
        <f t="shared" si="138"/>
        <v>0</v>
      </c>
      <c r="T2966" s="6">
        <f t="shared" si="139"/>
        <v>0</v>
      </c>
      <c r="U2966" s="25">
        <f t="shared" si="140"/>
        <v>0</v>
      </c>
    </row>
    <row r="2967" spans="1:21" ht="15" x14ac:dyDescent="0.2">
      <c r="A2967" s="82" t="s">
        <v>6050</v>
      </c>
      <c r="B2967" s="83">
        <v>46013</v>
      </c>
      <c r="C2967" s="82" t="s">
        <v>3395</v>
      </c>
      <c r="D2967" s="82" t="s">
        <v>6051</v>
      </c>
      <c r="E2967" s="82"/>
      <c r="F2967" s="82" t="s">
        <v>5038</v>
      </c>
      <c r="G2967" s="89">
        <v>3</v>
      </c>
      <c r="H2967" s="89">
        <v>35.69</v>
      </c>
      <c r="I2967" s="85">
        <v>0</v>
      </c>
      <c r="J2967" s="85">
        <v>5.35</v>
      </c>
      <c r="K2967" s="85">
        <v>112.42</v>
      </c>
      <c r="L2967" s="85">
        <v>4368.47</v>
      </c>
      <c r="M2967" s="89">
        <v>35.69</v>
      </c>
      <c r="N2967" s="85">
        <v>0</v>
      </c>
      <c r="O2967" s="85">
        <v>5.35</v>
      </c>
      <c r="P2967" s="85">
        <v>112.42</v>
      </c>
      <c r="Q2967" s="85">
        <v>4368.47</v>
      </c>
      <c r="R2967" s="82" t="s">
        <v>3396</v>
      </c>
      <c r="S2967" s="7">
        <f t="shared" si="138"/>
        <v>0</v>
      </c>
      <c r="T2967" s="6">
        <f t="shared" si="139"/>
        <v>0</v>
      </c>
      <c r="U2967" s="25">
        <f t="shared" si="140"/>
        <v>0</v>
      </c>
    </row>
    <row r="2968" spans="1:21" ht="15" x14ac:dyDescent="0.2">
      <c r="A2968" s="82" t="s">
        <v>6052</v>
      </c>
      <c r="B2968" s="83">
        <v>46014</v>
      </c>
      <c r="C2968" s="82" t="s">
        <v>3395</v>
      </c>
      <c r="D2968" s="82" t="s">
        <v>413</v>
      </c>
      <c r="E2968" s="82"/>
      <c r="F2968" s="82" t="s">
        <v>5601</v>
      </c>
      <c r="G2968" s="89">
        <v>1</v>
      </c>
      <c r="H2968" s="89">
        <v>1948.11</v>
      </c>
      <c r="I2968" s="85">
        <v>0</v>
      </c>
      <c r="J2968" s="85">
        <v>97.41</v>
      </c>
      <c r="K2968" s="85">
        <v>2045.52</v>
      </c>
      <c r="L2968" s="85">
        <v>2045.52</v>
      </c>
      <c r="M2968" s="89">
        <v>1948.11</v>
      </c>
      <c r="N2968" s="85">
        <v>0</v>
      </c>
      <c r="O2968" s="85">
        <v>97.41</v>
      </c>
      <c r="P2968" s="85">
        <v>2045.52</v>
      </c>
      <c r="Q2968" s="85">
        <v>2045.52</v>
      </c>
      <c r="R2968" s="82" t="s">
        <v>3396</v>
      </c>
      <c r="S2968" s="7">
        <f t="shared" si="138"/>
        <v>0</v>
      </c>
      <c r="T2968" s="6">
        <f t="shared" si="139"/>
        <v>0</v>
      </c>
      <c r="U2968" s="25">
        <f t="shared" si="140"/>
        <v>0</v>
      </c>
    </row>
    <row r="2969" spans="1:21" ht="15" x14ac:dyDescent="0.2">
      <c r="A2969" s="82" t="s">
        <v>6053</v>
      </c>
      <c r="B2969" s="83">
        <v>46014</v>
      </c>
      <c r="C2969" s="82" t="s">
        <v>3395</v>
      </c>
      <c r="D2969" s="82" t="s">
        <v>5986</v>
      </c>
      <c r="E2969" s="82"/>
      <c r="F2969" s="82" t="s">
        <v>4532</v>
      </c>
      <c r="G2969" s="89">
        <v>1</v>
      </c>
      <c r="H2969" s="89">
        <v>110.83</v>
      </c>
      <c r="I2969" s="85">
        <v>0</v>
      </c>
      <c r="J2969" s="85">
        <v>5.54</v>
      </c>
      <c r="K2969" s="85">
        <v>116.37</v>
      </c>
      <c r="L2969" s="85">
        <v>116.37</v>
      </c>
      <c r="M2969" s="89">
        <v>110.83</v>
      </c>
      <c r="N2969" s="85">
        <v>0</v>
      </c>
      <c r="O2969" s="85">
        <v>5.54</v>
      </c>
      <c r="P2969" s="85">
        <v>116.37</v>
      </c>
      <c r="Q2969" s="85">
        <v>116.37</v>
      </c>
      <c r="R2969" s="82" t="s">
        <v>3396</v>
      </c>
      <c r="S2969" s="7">
        <f t="shared" si="138"/>
        <v>0</v>
      </c>
      <c r="T2969" s="6">
        <f t="shared" si="139"/>
        <v>0</v>
      </c>
      <c r="U2969" s="25">
        <f t="shared" si="140"/>
        <v>0</v>
      </c>
    </row>
    <row r="2970" spans="1:21" ht="15" x14ac:dyDescent="0.2">
      <c r="A2970" s="82" t="s">
        <v>6054</v>
      </c>
      <c r="B2970" s="83">
        <v>46014</v>
      </c>
      <c r="C2970" s="82" t="s">
        <v>3395</v>
      </c>
      <c r="D2970" s="82" t="s">
        <v>6055</v>
      </c>
      <c r="E2970" s="82"/>
      <c r="F2970" s="82" t="s">
        <v>6145</v>
      </c>
      <c r="G2970" s="89">
        <v>1</v>
      </c>
      <c r="H2970" s="89">
        <v>97</v>
      </c>
      <c r="I2970" s="85">
        <v>0</v>
      </c>
      <c r="J2970" s="85">
        <v>4.8499999999999996</v>
      </c>
      <c r="K2970" s="85">
        <v>101.85</v>
      </c>
      <c r="L2970" s="85">
        <v>181.21</v>
      </c>
      <c r="M2970" s="89">
        <v>97</v>
      </c>
      <c r="N2970" s="85">
        <v>0</v>
      </c>
      <c r="O2970" s="85">
        <v>4.8499999999999996</v>
      </c>
      <c r="P2970" s="85">
        <v>101.85</v>
      </c>
      <c r="Q2970" s="85">
        <v>181.21</v>
      </c>
      <c r="R2970" s="82" t="s">
        <v>3396</v>
      </c>
      <c r="S2970" s="7">
        <f t="shared" si="138"/>
        <v>0</v>
      </c>
      <c r="T2970" s="6">
        <f t="shared" si="139"/>
        <v>0</v>
      </c>
      <c r="U2970" s="25">
        <f t="shared" si="140"/>
        <v>0</v>
      </c>
    </row>
    <row r="2971" spans="1:21" ht="15" x14ac:dyDescent="0.2">
      <c r="A2971" s="82" t="s">
        <v>6054</v>
      </c>
      <c r="B2971" s="83">
        <v>46014</v>
      </c>
      <c r="C2971" s="82" t="s">
        <v>3395</v>
      </c>
      <c r="D2971" s="82" t="s">
        <v>6055</v>
      </c>
      <c r="E2971" s="82"/>
      <c r="F2971" s="82" t="s">
        <v>4826</v>
      </c>
      <c r="G2971" s="89">
        <v>1</v>
      </c>
      <c r="H2971" s="89">
        <v>75.58</v>
      </c>
      <c r="I2971" s="85">
        <v>0</v>
      </c>
      <c r="J2971" s="85">
        <v>3.78</v>
      </c>
      <c r="K2971" s="85">
        <v>79.36</v>
      </c>
      <c r="L2971" s="85">
        <v>181.21</v>
      </c>
      <c r="M2971" s="89">
        <v>75.58</v>
      </c>
      <c r="N2971" s="85">
        <v>0</v>
      </c>
      <c r="O2971" s="85">
        <v>3.78</v>
      </c>
      <c r="P2971" s="85">
        <v>79.36</v>
      </c>
      <c r="Q2971" s="85">
        <v>181.21</v>
      </c>
      <c r="R2971" s="82" t="s">
        <v>3396</v>
      </c>
      <c r="S2971" s="7">
        <f t="shared" si="138"/>
        <v>0</v>
      </c>
      <c r="T2971" s="6">
        <f t="shared" si="139"/>
        <v>0</v>
      </c>
      <c r="U2971" s="25">
        <f t="shared" si="140"/>
        <v>0</v>
      </c>
    </row>
    <row r="2972" spans="1:21" ht="15" x14ac:dyDescent="0.2">
      <c r="A2972" s="82" t="s">
        <v>6056</v>
      </c>
      <c r="B2972" s="83">
        <v>46014</v>
      </c>
      <c r="C2972" s="82" t="s">
        <v>3395</v>
      </c>
      <c r="D2972" s="82" t="s">
        <v>357</v>
      </c>
      <c r="E2972" s="82"/>
      <c r="F2972" s="82" t="s">
        <v>6146</v>
      </c>
      <c r="G2972" s="89">
        <v>1</v>
      </c>
      <c r="H2972" s="89">
        <v>994.1</v>
      </c>
      <c r="I2972" s="85">
        <v>0</v>
      </c>
      <c r="J2972" s="85">
        <v>49.71</v>
      </c>
      <c r="K2972" s="85">
        <v>1043.81</v>
      </c>
      <c r="L2972" s="85">
        <v>1043.81</v>
      </c>
      <c r="M2972" s="89">
        <v>994.1</v>
      </c>
      <c r="N2972" s="85">
        <v>0</v>
      </c>
      <c r="O2972" s="85">
        <v>49.71</v>
      </c>
      <c r="P2972" s="85">
        <v>1043.81</v>
      </c>
      <c r="Q2972" s="85">
        <v>1043.81</v>
      </c>
      <c r="R2972" s="82" t="s">
        <v>3396</v>
      </c>
      <c r="S2972" s="7">
        <f t="shared" si="138"/>
        <v>0</v>
      </c>
      <c r="T2972" s="6">
        <f t="shared" si="139"/>
        <v>0</v>
      </c>
      <c r="U2972" s="25">
        <f t="shared" si="140"/>
        <v>0</v>
      </c>
    </row>
    <row r="2973" spans="1:21" ht="15" x14ac:dyDescent="0.2">
      <c r="A2973" s="82" t="s">
        <v>6057</v>
      </c>
      <c r="B2973" s="83">
        <v>46014</v>
      </c>
      <c r="C2973" s="82" t="s">
        <v>3395</v>
      </c>
      <c r="D2973" s="82" t="s">
        <v>6058</v>
      </c>
      <c r="E2973" s="82"/>
      <c r="F2973" s="82" t="s">
        <v>6147</v>
      </c>
      <c r="G2973" s="89">
        <v>1</v>
      </c>
      <c r="H2973" s="89">
        <v>194.17</v>
      </c>
      <c r="I2973" s="85">
        <v>0</v>
      </c>
      <c r="J2973" s="85">
        <v>25.24</v>
      </c>
      <c r="K2973" s="85">
        <v>219.41</v>
      </c>
      <c r="L2973" s="85">
        <v>219.41</v>
      </c>
      <c r="M2973" s="89">
        <v>194.17</v>
      </c>
      <c r="N2973" s="85">
        <v>0</v>
      </c>
      <c r="O2973" s="85">
        <v>25.24</v>
      </c>
      <c r="P2973" s="85">
        <v>219.41</v>
      </c>
      <c r="Q2973" s="85">
        <v>219.41</v>
      </c>
      <c r="R2973" s="82" t="s">
        <v>3396</v>
      </c>
      <c r="S2973" s="7">
        <f t="shared" si="138"/>
        <v>0</v>
      </c>
      <c r="T2973" s="6">
        <f t="shared" si="139"/>
        <v>0</v>
      </c>
      <c r="U2973" s="25">
        <f t="shared" si="140"/>
        <v>0</v>
      </c>
    </row>
    <row r="2974" spans="1:21" ht="15" x14ac:dyDescent="0.2">
      <c r="A2974" s="82" t="s">
        <v>6059</v>
      </c>
      <c r="B2974" s="83">
        <v>46014</v>
      </c>
      <c r="C2974" s="82" t="s">
        <v>3395</v>
      </c>
      <c r="D2974" s="82" t="s">
        <v>6060</v>
      </c>
      <c r="E2974" s="82"/>
      <c r="F2974" s="82" t="s">
        <v>4736</v>
      </c>
      <c r="G2974" s="89">
        <v>2</v>
      </c>
      <c r="H2974" s="89">
        <v>423.08</v>
      </c>
      <c r="I2974" s="85">
        <v>0</v>
      </c>
      <c r="J2974" s="85">
        <v>110</v>
      </c>
      <c r="K2974" s="85">
        <v>956.16</v>
      </c>
      <c r="L2974" s="85">
        <v>956.16</v>
      </c>
      <c r="M2974" s="89">
        <v>423.08</v>
      </c>
      <c r="N2974" s="85">
        <v>0</v>
      </c>
      <c r="O2974" s="85">
        <v>110</v>
      </c>
      <c r="P2974" s="85">
        <v>956.16</v>
      </c>
      <c r="Q2974" s="85">
        <v>956.16</v>
      </c>
      <c r="R2974" s="82" t="s">
        <v>3396</v>
      </c>
      <c r="S2974" s="7">
        <f t="shared" ref="S2974:S3014" si="141">IF(T2974=1,A2974,0)</f>
        <v>0</v>
      </c>
      <c r="T2974" s="6">
        <f t="shared" ref="T2974:T3014" si="142">IFERROR(FIND("Freight",F2974,1),0)</f>
        <v>0</v>
      </c>
      <c r="U2974" s="25">
        <f t="shared" ref="U2974:U3014" si="143">IF(T2974=1,K2974-J2974,0)</f>
        <v>0</v>
      </c>
    </row>
    <row r="2975" spans="1:21" ht="15" x14ac:dyDescent="0.2">
      <c r="A2975" s="82" t="s">
        <v>6061</v>
      </c>
      <c r="B2975" s="83">
        <v>46014</v>
      </c>
      <c r="C2975" s="82" t="s">
        <v>3395</v>
      </c>
      <c r="D2975" s="82" t="s">
        <v>6062</v>
      </c>
      <c r="E2975" s="82"/>
      <c r="F2975" s="82" t="s">
        <v>4746</v>
      </c>
      <c r="G2975" s="89">
        <v>40</v>
      </c>
      <c r="H2975" s="89">
        <v>2.57</v>
      </c>
      <c r="I2975" s="85">
        <v>0</v>
      </c>
      <c r="J2975" s="85">
        <v>5.14</v>
      </c>
      <c r="K2975" s="85">
        <v>107.94</v>
      </c>
      <c r="L2975" s="85">
        <v>107.94</v>
      </c>
      <c r="M2975" s="89">
        <v>2.57</v>
      </c>
      <c r="N2975" s="85">
        <v>0</v>
      </c>
      <c r="O2975" s="85">
        <v>5.14</v>
      </c>
      <c r="P2975" s="85">
        <v>107.94</v>
      </c>
      <c r="Q2975" s="85">
        <v>107.94</v>
      </c>
      <c r="R2975" s="82" t="s">
        <v>3396</v>
      </c>
      <c r="S2975" s="7">
        <f t="shared" si="141"/>
        <v>0</v>
      </c>
      <c r="T2975" s="6">
        <f t="shared" si="142"/>
        <v>0</v>
      </c>
      <c r="U2975" s="25">
        <f t="shared" si="143"/>
        <v>0</v>
      </c>
    </row>
    <row r="2976" spans="1:21" ht="15" x14ac:dyDescent="0.2">
      <c r="A2976" s="82" t="s">
        <v>6148</v>
      </c>
      <c r="B2976" s="83">
        <v>46014</v>
      </c>
      <c r="C2976" s="82" t="s">
        <v>3395</v>
      </c>
      <c r="D2976" s="82" t="s">
        <v>5981</v>
      </c>
      <c r="E2976" s="82"/>
      <c r="F2976" s="82" t="s">
        <v>6099</v>
      </c>
      <c r="G2976" s="89">
        <v>1</v>
      </c>
      <c r="H2976" s="89">
        <v>1143.57</v>
      </c>
      <c r="I2976" s="85">
        <v>0</v>
      </c>
      <c r="J2976" s="85">
        <v>57.18</v>
      </c>
      <c r="K2976" s="85">
        <v>1200.75</v>
      </c>
      <c r="L2976" s="85">
        <v>1200.75</v>
      </c>
      <c r="M2976" s="89">
        <v>1143.57</v>
      </c>
      <c r="N2976" s="85">
        <v>0</v>
      </c>
      <c r="O2976" s="85">
        <v>57.18</v>
      </c>
      <c r="P2976" s="85">
        <v>1200.75</v>
      </c>
      <c r="Q2976" s="85">
        <v>1200.75</v>
      </c>
      <c r="R2976" s="82" t="s">
        <v>6149</v>
      </c>
      <c r="S2976" s="7">
        <f t="shared" si="141"/>
        <v>0</v>
      </c>
      <c r="T2976" s="6">
        <f t="shared" si="142"/>
        <v>0</v>
      </c>
      <c r="U2976" s="25">
        <f t="shared" si="143"/>
        <v>0</v>
      </c>
    </row>
    <row r="2977" spans="1:21" ht="15" x14ac:dyDescent="0.2">
      <c r="A2977" s="82" t="s">
        <v>6063</v>
      </c>
      <c r="B2977" s="83">
        <v>46020</v>
      </c>
      <c r="C2977" s="82" t="s">
        <v>3395</v>
      </c>
      <c r="D2977" s="82" t="s">
        <v>6064</v>
      </c>
      <c r="E2977" s="82"/>
      <c r="F2977" s="82" t="s">
        <v>4426</v>
      </c>
      <c r="G2977" s="89">
        <v>2</v>
      </c>
      <c r="H2977" s="89">
        <v>156.61000000000001</v>
      </c>
      <c r="I2977" s="85">
        <v>0</v>
      </c>
      <c r="J2977" s="85">
        <v>15.66</v>
      </c>
      <c r="K2977" s="85">
        <v>328.88</v>
      </c>
      <c r="L2977" s="85">
        <v>3114.83</v>
      </c>
      <c r="M2977" s="89">
        <v>156.61000000000001</v>
      </c>
      <c r="N2977" s="85">
        <v>0</v>
      </c>
      <c r="O2977" s="85">
        <v>15.66</v>
      </c>
      <c r="P2977" s="85">
        <v>328.88</v>
      </c>
      <c r="Q2977" s="85">
        <v>3114.83</v>
      </c>
      <c r="R2977" s="82" t="s">
        <v>3396</v>
      </c>
      <c r="S2977" s="7">
        <f t="shared" si="141"/>
        <v>0</v>
      </c>
      <c r="T2977" s="6">
        <f t="shared" si="142"/>
        <v>0</v>
      </c>
      <c r="U2977" s="25">
        <f t="shared" si="143"/>
        <v>0</v>
      </c>
    </row>
    <row r="2978" spans="1:21" ht="15" x14ac:dyDescent="0.2">
      <c r="A2978" s="82" t="s">
        <v>6063</v>
      </c>
      <c r="B2978" s="83">
        <v>46020</v>
      </c>
      <c r="C2978" s="82" t="s">
        <v>3395</v>
      </c>
      <c r="D2978" s="82" t="s">
        <v>6064</v>
      </c>
      <c r="E2978" s="82"/>
      <c r="F2978" s="82" t="s">
        <v>4673</v>
      </c>
      <c r="G2978" s="89">
        <v>1</v>
      </c>
      <c r="H2978" s="89">
        <v>164.77</v>
      </c>
      <c r="I2978" s="85">
        <v>0</v>
      </c>
      <c r="J2978" s="85">
        <v>8.24</v>
      </c>
      <c r="K2978" s="85">
        <v>173.01</v>
      </c>
      <c r="L2978" s="85">
        <v>3114.83</v>
      </c>
      <c r="M2978" s="89">
        <v>164.77</v>
      </c>
      <c r="N2978" s="85">
        <v>0</v>
      </c>
      <c r="O2978" s="85">
        <v>8.24</v>
      </c>
      <c r="P2978" s="85">
        <v>173.01</v>
      </c>
      <c r="Q2978" s="85">
        <v>3114.83</v>
      </c>
      <c r="R2978" s="82" t="s">
        <v>3396</v>
      </c>
      <c r="S2978" s="7">
        <f t="shared" si="141"/>
        <v>0</v>
      </c>
      <c r="T2978" s="6">
        <f t="shared" si="142"/>
        <v>0</v>
      </c>
      <c r="U2978" s="25">
        <f t="shared" si="143"/>
        <v>0</v>
      </c>
    </row>
    <row r="2979" spans="1:21" ht="15" x14ac:dyDescent="0.2">
      <c r="A2979" s="82" t="s">
        <v>6063</v>
      </c>
      <c r="B2979" s="83">
        <v>46020</v>
      </c>
      <c r="C2979" s="82" t="s">
        <v>3395</v>
      </c>
      <c r="D2979" s="82" t="s">
        <v>6064</v>
      </c>
      <c r="E2979" s="82"/>
      <c r="F2979" s="82" t="s">
        <v>4672</v>
      </c>
      <c r="G2979" s="89">
        <v>2</v>
      </c>
      <c r="H2979" s="89">
        <v>45</v>
      </c>
      <c r="I2979" s="85">
        <v>0</v>
      </c>
      <c r="J2979" s="85">
        <v>4.5</v>
      </c>
      <c r="K2979" s="85">
        <v>94.5</v>
      </c>
      <c r="L2979" s="85">
        <v>3114.83</v>
      </c>
      <c r="M2979" s="89">
        <v>45</v>
      </c>
      <c r="N2979" s="85">
        <v>0</v>
      </c>
      <c r="O2979" s="85">
        <v>4.5</v>
      </c>
      <c r="P2979" s="85">
        <v>94.5</v>
      </c>
      <c r="Q2979" s="85">
        <v>3114.83</v>
      </c>
      <c r="R2979" s="82" t="s">
        <v>3396</v>
      </c>
      <c r="S2979" s="7">
        <f t="shared" si="141"/>
        <v>0</v>
      </c>
      <c r="T2979" s="6">
        <f t="shared" si="142"/>
        <v>0</v>
      </c>
      <c r="U2979" s="25">
        <f t="shared" si="143"/>
        <v>0</v>
      </c>
    </row>
    <row r="2980" spans="1:21" ht="15" x14ac:dyDescent="0.2">
      <c r="A2980" s="82" t="s">
        <v>6063</v>
      </c>
      <c r="B2980" s="83">
        <v>46020</v>
      </c>
      <c r="C2980" s="82" t="s">
        <v>3395</v>
      </c>
      <c r="D2980" s="82" t="s">
        <v>6064</v>
      </c>
      <c r="E2980" s="82"/>
      <c r="F2980" s="82" t="s">
        <v>5364</v>
      </c>
      <c r="G2980" s="89">
        <v>1</v>
      </c>
      <c r="H2980" s="89">
        <v>429.88</v>
      </c>
      <c r="I2980" s="85">
        <v>0</v>
      </c>
      <c r="J2980" s="85">
        <v>21.49</v>
      </c>
      <c r="K2980" s="85">
        <v>451.37</v>
      </c>
      <c r="L2980" s="85">
        <v>3114.83</v>
      </c>
      <c r="M2980" s="89">
        <v>429.88</v>
      </c>
      <c r="N2980" s="85">
        <v>0</v>
      </c>
      <c r="O2980" s="85">
        <v>21.49</v>
      </c>
      <c r="P2980" s="85">
        <v>451.37</v>
      </c>
      <c r="Q2980" s="85">
        <v>3114.83</v>
      </c>
      <c r="R2980" s="82" t="s">
        <v>3396</v>
      </c>
      <c r="S2980" s="7">
        <f t="shared" si="141"/>
        <v>0</v>
      </c>
      <c r="T2980" s="6">
        <f t="shared" si="142"/>
        <v>0</v>
      </c>
      <c r="U2980" s="25">
        <f t="shared" si="143"/>
        <v>0</v>
      </c>
    </row>
    <row r="2981" spans="1:21" ht="15" x14ac:dyDescent="0.2">
      <c r="A2981" s="82" t="s">
        <v>6063</v>
      </c>
      <c r="B2981" s="83">
        <v>46020</v>
      </c>
      <c r="C2981" s="82" t="s">
        <v>3395</v>
      </c>
      <c r="D2981" s="82" t="s">
        <v>6064</v>
      </c>
      <c r="E2981" s="82"/>
      <c r="F2981" s="82" t="s">
        <v>5365</v>
      </c>
      <c r="G2981" s="89">
        <v>1</v>
      </c>
      <c r="H2981" s="89">
        <v>428.14</v>
      </c>
      <c r="I2981" s="85">
        <v>0</v>
      </c>
      <c r="J2981" s="85">
        <v>21.41</v>
      </c>
      <c r="K2981" s="85">
        <v>449.55</v>
      </c>
      <c r="L2981" s="85">
        <v>3114.83</v>
      </c>
      <c r="M2981" s="89">
        <v>428.14</v>
      </c>
      <c r="N2981" s="85">
        <v>0</v>
      </c>
      <c r="O2981" s="85">
        <v>21.41</v>
      </c>
      <c r="P2981" s="85">
        <v>449.55</v>
      </c>
      <c r="Q2981" s="85">
        <v>3114.83</v>
      </c>
      <c r="R2981" s="82" t="s">
        <v>3396</v>
      </c>
      <c r="S2981" s="7">
        <f t="shared" si="141"/>
        <v>0</v>
      </c>
      <c r="T2981" s="6">
        <f t="shared" si="142"/>
        <v>0</v>
      </c>
      <c r="U2981" s="25">
        <f t="shared" si="143"/>
        <v>0</v>
      </c>
    </row>
    <row r="2982" spans="1:21" ht="15" x14ac:dyDescent="0.2">
      <c r="A2982" s="82" t="s">
        <v>6063</v>
      </c>
      <c r="B2982" s="83">
        <v>46020</v>
      </c>
      <c r="C2982" s="82" t="s">
        <v>3395</v>
      </c>
      <c r="D2982" s="82" t="s">
        <v>6064</v>
      </c>
      <c r="E2982" s="82"/>
      <c r="F2982" s="82" t="s">
        <v>6150</v>
      </c>
      <c r="G2982" s="89">
        <v>1</v>
      </c>
      <c r="H2982" s="89">
        <v>16.309999999999999</v>
      </c>
      <c r="I2982" s="85">
        <v>0</v>
      </c>
      <c r="J2982" s="85">
        <v>0.82</v>
      </c>
      <c r="K2982" s="85">
        <v>17.13</v>
      </c>
      <c r="L2982" s="85">
        <v>3114.83</v>
      </c>
      <c r="M2982" s="89">
        <v>16.309999999999999</v>
      </c>
      <c r="N2982" s="85">
        <v>0</v>
      </c>
      <c r="O2982" s="85">
        <v>0.82</v>
      </c>
      <c r="P2982" s="85">
        <v>17.13</v>
      </c>
      <c r="Q2982" s="85">
        <v>3114.83</v>
      </c>
      <c r="R2982" s="82" t="s">
        <v>3396</v>
      </c>
      <c r="S2982" s="7">
        <f t="shared" si="141"/>
        <v>0</v>
      </c>
      <c r="T2982" s="6">
        <f t="shared" si="142"/>
        <v>0</v>
      </c>
      <c r="U2982" s="25">
        <f t="shared" si="143"/>
        <v>0</v>
      </c>
    </row>
    <row r="2983" spans="1:21" ht="15" x14ac:dyDescent="0.2">
      <c r="A2983" s="82" t="s">
        <v>6063</v>
      </c>
      <c r="B2983" s="83">
        <v>46020</v>
      </c>
      <c r="C2983" s="82" t="s">
        <v>3395</v>
      </c>
      <c r="D2983" s="82" t="s">
        <v>6064</v>
      </c>
      <c r="E2983" s="82"/>
      <c r="F2983" s="82" t="s">
        <v>6151</v>
      </c>
      <c r="G2983" s="89">
        <v>1</v>
      </c>
      <c r="H2983" s="89">
        <v>9.8000000000000007</v>
      </c>
      <c r="I2983" s="85">
        <v>0</v>
      </c>
      <c r="J2983" s="85">
        <v>0.49</v>
      </c>
      <c r="K2983" s="85">
        <v>10.29</v>
      </c>
      <c r="L2983" s="85">
        <v>3114.83</v>
      </c>
      <c r="M2983" s="89">
        <v>9.8000000000000007</v>
      </c>
      <c r="N2983" s="85">
        <v>0</v>
      </c>
      <c r="O2983" s="85">
        <v>0.49</v>
      </c>
      <c r="P2983" s="85">
        <v>10.29</v>
      </c>
      <c r="Q2983" s="85">
        <v>3114.83</v>
      </c>
      <c r="R2983" s="82" t="s">
        <v>3396</v>
      </c>
      <c r="S2983" s="7">
        <f t="shared" si="141"/>
        <v>0</v>
      </c>
      <c r="T2983" s="6">
        <f t="shared" si="142"/>
        <v>0</v>
      </c>
      <c r="U2983" s="25">
        <f t="shared" si="143"/>
        <v>0</v>
      </c>
    </row>
    <row r="2984" spans="1:21" ht="15" x14ac:dyDescent="0.2">
      <c r="A2984" s="82" t="s">
        <v>6063</v>
      </c>
      <c r="B2984" s="83">
        <v>46020</v>
      </c>
      <c r="C2984" s="82" t="s">
        <v>3395</v>
      </c>
      <c r="D2984" s="82" t="s">
        <v>6064</v>
      </c>
      <c r="E2984" s="82"/>
      <c r="F2984" s="82" t="s">
        <v>5037</v>
      </c>
      <c r="G2984" s="89">
        <v>1</v>
      </c>
      <c r="H2984" s="89">
        <v>782.38</v>
      </c>
      <c r="I2984" s="85">
        <v>0</v>
      </c>
      <c r="J2984" s="85">
        <v>39.119999999999997</v>
      </c>
      <c r="K2984" s="85">
        <v>821.5</v>
      </c>
      <c r="L2984" s="85">
        <v>3114.83</v>
      </c>
      <c r="M2984" s="89">
        <v>782.38</v>
      </c>
      <c r="N2984" s="85">
        <v>0</v>
      </c>
      <c r="O2984" s="85">
        <v>39.119999999999997</v>
      </c>
      <c r="P2984" s="85">
        <v>821.5</v>
      </c>
      <c r="Q2984" s="85">
        <v>3114.83</v>
      </c>
      <c r="R2984" s="82" t="s">
        <v>3396</v>
      </c>
      <c r="S2984" s="7">
        <f t="shared" si="141"/>
        <v>0</v>
      </c>
      <c r="T2984" s="6">
        <f t="shared" si="142"/>
        <v>0</v>
      </c>
      <c r="U2984" s="25">
        <f t="shared" si="143"/>
        <v>0</v>
      </c>
    </row>
    <row r="2985" spans="1:21" ht="15" x14ac:dyDescent="0.2">
      <c r="A2985" s="82" t="s">
        <v>6063</v>
      </c>
      <c r="B2985" s="83">
        <v>46020</v>
      </c>
      <c r="C2985" s="82" t="s">
        <v>3395</v>
      </c>
      <c r="D2985" s="82" t="s">
        <v>6064</v>
      </c>
      <c r="E2985" s="82"/>
      <c r="F2985" s="82" t="s">
        <v>4675</v>
      </c>
      <c r="G2985" s="89">
        <v>1</v>
      </c>
      <c r="H2985" s="89">
        <v>282</v>
      </c>
      <c r="I2985" s="85">
        <v>0</v>
      </c>
      <c r="J2985" s="85">
        <v>14.1</v>
      </c>
      <c r="K2985" s="85">
        <v>296.10000000000002</v>
      </c>
      <c r="L2985" s="85">
        <v>3114.83</v>
      </c>
      <c r="M2985" s="89">
        <v>282</v>
      </c>
      <c r="N2985" s="85">
        <v>0</v>
      </c>
      <c r="O2985" s="85">
        <v>14.1</v>
      </c>
      <c r="P2985" s="85">
        <v>296.10000000000002</v>
      </c>
      <c r="Q2985" s="85">
        <v>3114.83</v>
      </c>
      <c r="R2985" s="82" t="s">
        <v>3396</v>
      </c>
      <c r="S2985" s="7">
        <f t="shared" si="141"/>
        <v>0</v>
      </c>
      <c r="T2985" s="6">
        <f t="shared" si="142"/>
        <v>0</v>
      </c>
      <c r="U2985" s="25">
        <f t="shared" si="143"/>
        <v>0</v>
      </c>
    </row>
    <row r="2986" spans="1:21" ht="15" x14ac:dyDescent="0.2">
      <c r="A2986" s="82" t="s">
        <v>6063</v>
      </c>
      <c r="B2986" s="83">
        <v>46020</v>
      </c>
      <c r="C2986" s="82" t="s">
        <v>3395</v>
      </c>
      <c r="D2986" s="82" t="s">
        <v>6064</v>
      </c>
      <c r="E2986" s="82"/>
      <c r="F2986" s="82" t="s">
        <v>4674</v>
      </c>
      <c r="G2986" s="89">
        <v>1</v>
      </c>
      <c r="H2986" s="89">
        <v>450</v>
      </c>
      <c r="I2986" s="85">
        <v>0</v>
      </c>
      <c r="J2986" s="85">
        <v>22.5</v>
      </c>
      <c r="K2986" s="85">
        <v>472.5</v>
      </c>
      <c r="L2986" s="85">
        <v>3114.83</v>
      </c>
      <c r="M2986" s="89">
        <v>450</v>
      </c>
      <c r="N2986" s="85">
        <v>0</v>
      </c>
      <c r="O2986" s="85">
        <v>22.5</v>
      </c>
      <c r="P2986" s="85">
        <v>472.5</v>
      </c>
      <c r="Q2986" s="85">
        <v>3114.83</v>
      </c>
      <c r="R2986" s="82" t="s">
        <v>3396</v>
      </c>
      <c r="S2986" s="7">
        <f t="shared" si="141"/>
        <v>0</v>
      </c>
      <c r="T2986" s="6">
        <f t="shared" si="142"/>
        <v>0</v>
      </c>
      <c r="U2986" s="25">
        <f t="shared" si="143"/>
        <v>0</v>
      </c>
    </row>
    <row r="2987" spans="1:21" ht="15" x14ac:dyDescent="0.2">
      <c r="A2987" s="82" t="s">
        <v>6065</v>
      </c>
      <c r="B2987" s="83">
        <v>46020</v>
      </c>
      <c r="C2987" s="82" t="s">
        <v>3395</v>
      </c>
      <c r="D2987" s="82" t="s">
        <v>6066</v>
      </c>
      <c r="E2987" s="82"/>
      <c r="F2987" s="82" t="s">
        <v>5320</v>
      </c>
      <c r="G2987" s="89">
        <v>1</v>
      </c>
      <c r="H2987" s="89">
        <v>1436.55</v>
      </c>
      <c r="I2987" s="85">
        <v>0</v>
      </c>
      <c r="J2987" s="85">
        <v>71.83</v>
      </c>
      <c r="K2987" s="85">
        <v>1508.38</v>
      </c>
      <c r="L2987" s="85">
        <v>3055.14</v>
      </c>
      <c r="M2987" s="89">
        <v>1436.55</v>
      </c>
      <c r="N2987" s="85">
        <v>0</v>
      </c>
      <c r="O2987" s="85">
        <v>71.83</v>
      </c>
      <c r="P2987" s="85">
        <v>1508.38</v>
      </c>
      <c r="Q2987" s="85">
        <v>3055.14</v>
      </c>
      <c r="R2987" s="82" t="s">
        <v>3396</v>
      </c>
      <c r="S2987" s="7">
        <f t="shared" si="141"/>
        <v>0</v>
      </c>
      <c r="T2987" s="6">
        <f t="shared" si="142"/>
        <v>0</v>
      </c>
      <c r="U2987" s="25">
        <f t="shared" si="143"/>
        <v>0</v>
      </c>
    </row>
    <row r="2988" spans="1:21" ht="15" x14ac:dyDescent="0.2">
      <c r="A2988" s="82" t="s">
        <v>6065</v>
      </c>
      <c r="B2988" s="83">
        <v>46020</v>
      </c>
      <c r="C2988" s="82" t="s">
        <v>3395</v>
      </c>
      <c r="D2988" s="82" t="s">
        <v>6066</v>
      </c>
      <c r="E2988" s="82"/>
      <c r="F2988" s="82" t="s">
        <v>5321</v>
      </c>
      <c r="G2988" s="89">
        <v>1</v>
      </c>
      <c r="H2988" s="89">
        <v>1473.1</v>
      </c>
      <c r="I2988" s="85">
        <v>0</v>
      </c>
      <c r="J2988" s="85">
        <v>73.66</v>
      </c>
      <c r="K2988" s="85">
        <v>1546.76</v>
      </c>
      <c r="L2988" s="85">
        <v>3055.14</v>
      </c>
      <c r="M2988" s="89">
        <v>1473.1</v>
      </c>
      <c r="N2988" s="85">
        <v>0</v>
      </c>
      <c r="O2988" s="85">
        <v>73.66</v>
      </c>
      <c r="P2988" s="85">
        <v>1546.76</v>
      </c>
      <c r="Q2988" s="85">
        <v>3055.14</v>
      </c>
      <c r="R2988" s="82" t="s">
        <v>3396</v>
      </c>
      <c r="S2988" s="7">
        <f t="shared" si="141"/>
        <v>0</v>
      </c>
      <c r="T2988" s="6">
        <f t="shared" si="142"/>
        <v>0</v>
      </c>
      <c r="U2988" s="25">
        <f t="shared" si="143"/>
        <v>0</v>
      </c>
    </row>
    <row r="2989" spans="1:21" ht="15" x14ac:dyDescent="0.2">
      <c r="A2989" s="82" t="s">
        <v>6067</v>
      </c>
      <c r="B2989" s="83">
        <v>46020</v>
      </c>
      <c r="C2989" s="82" t="s">
        <v>3395</v>
      </c>
      <c r="D2989" s="82" t="s">
        <v>125</v>
      </c>
      <c r="E2989" s="82"/>
      <c r="F2989" s="82" t="s">
        <v>6152</v>
      </c>
      <c r="G2989" s="89">
        <v>1</v>
      </c>
      <c r="H2989" s="89">
        <v>1925.23</v>
      </c>
      <c r="I2989" s="85">
        <v>0</v>
      </c>
      <c r="J2989" s="85">
        <v>250.28</v>
      </c>
      <c r="K2989" s="85">
        <v>2175.5100000000002</v>
      </c>
      <c r="L2989" s="85">
        <v>2175.5100000000002</v>
      </c>
      <c r="M2989" s="89">
        <v>1925.23</v>
      </c>
      <c r="N2989" s="85">
        <v>0</v>
      </c>
      <c r="O2989" s="85">
        <v>250.28</v>
      </c>
      <c r="P2989" s="85">
        <v>2175.5100000000002</v>
      </c>
      <c r="Q2989" s="85">
        <v>2175.5100000000002</v>
      </c>
      <c r="R2989" s="82" t="s">
        <v>3396</v>
      </c>
      <c r="S2989" s="7">
        <f t="shared" si="141"/>
        <v>0</v>
      </c>
      <c r="T2989" s="6">
        <f t="shared" si="142"/>
        <v>0</v>
      </c>
      <c r="U2989" s="25">
        <f t="shared" si="143"/>
        <v>0</v>
      </c>
    </row>
    <row r="2990" spans="1:21" ht="15" x14ac:dyDescent="0.2">
      <c r="A2990" s="82" t="s">
        <v>6068</v>
      </c>
      <c r="B2990" s="83">
        <v>46020</v>
      </c>
      <c r="C2990" s="82" t="s">
        <v>3395</v>
      </c>
      <c r="D2990" s="82" t="s">
        <v>333</v>
      </c>
      <c r="E2990" s="82"/>
      <c r="F2990" s="82" t="s">
        <v>4685</v>
      </c>
      <c r="G2990" s="89">
        <v>1</v>
      </c>
      <c r="H2990" s="89">
        <v>1078.1099999999999</v>
      </c>
      <c r="I2990" s="85">
        <v>0</v>
      </c>
      <c r="J2990" s="85">
        <v>140.15</v>
      </c>
      <c r="K2990" s="85">
        <v>1218.26</v>
      </c>
      <c r="L2990" s="85">
        <v>1218.26</v>
      </c>
      <c r="M2990" s="89">
        <v>1078.1099999999999</v>
      </c>
      <c r="N2990" s="85">
        <v>0</v>
      </c>
      <c r="O2990" s="85">
        <v>140.15</v>
      </c>
      <c r="P2990" s="85">
        <v>1218.26</v>
      </c>
      <c r="Q2990" s="85">
        <v>1218.26</v>
      </c>
      <c r="R2990" s="82" t="s">
        <v>3396</v>
      </c>
      <c r="S2990" s="7">
        <f t="shared" si="141"/>
        <v>0</v>
      </c>
      <c r="T2990" s="6">
        <f t="shared" si="142"/>
        <v>0</v>
      </c>
      <c r="U2990" s="25">
        <f t="shared" si="143"/>
        <v>0</v>
      </c>
    </row>
    <row r="2991" spans="1:21" ht="15" x14ac:dyDescent="0.2">
      <c r="A2991" s="82" t="s">
        <v>6069</v>
      </c>
      <c r="B2991" s="83">
        <v>46020</v>
      </c>
      <c r="C2991" s="82" t="s">
        <v>3395</v>
      </c>
      <c r="D2991" s="82" t="s">
        <v>97</v>
      </c>
      <c r="E2991" s="82"/>
      <c r="F2991" s="82" t="s">
        <v>4870</v>
      </c>
      <c r="G2991" s="89">
        <v>1</v>
      </c>
      <c r="H2991" s="89">
        <v>1063.71</v>
      </c>
      <c r="I2991" s="85">
        <v>0</v>
      </c>
      <c r="J2991" s="85">
        <v>138.28</v>
      </c>
      <c r="K2991" s="85">
        <v>1201.99</v>
      </c>
      <c r="L2991" s="85">
        <v>4545.91</v>
      </c>
      <c r="M2991" s="89">
        <v>1063.71</v>
      </c>
      <c r="N2991" s="85">
        <v>0</v>
      </c>
      <c r="O2991" s="85">
        <v>138.28</v>
      </c>
      <c r="P2991" s="85">
        <v>1201.99</v>
      </c>
      <c r="Q2991" s="85">
        <v>4545.91</v>
      </c>
      <c r="R2991" s="82" t="s">
        <v>3396</v>
      </c>
      <c r="S2991" s="7">
        <f t="shared" si="141"/>
        <v>0</v>
      </c>
      <c r="T2991" s="6">
        <f t="shared" si="142"/>
        <v>0</v>
      </c>
      <c r="U2991" s="25">
        <f t="shared" si="143"/>
        <v>0</v>
      </c>
    </row>
    <row r="2992" spans="1:21" ht="15" x14ac:dyDescent="0.2">
      <c r="A2992" s="82" t="s">
        <v>6069</v>
      </c>
      <c r="B2992" s="83">
        <v>46020</v>
      </c>
      <c r="C2992" s="82" t="s">
        <v>3395</v>
      </c>
      <c r="D2992" s="82" t="s">
        <v>97</v>
      </c>
      <c r="E2992" s="82"/>
      <c r="F2992" s="82" t="s">
        <v>4915</v>
      </c>
      <c r="G2992" s="89">
        <v>1</v>
      </c>
      <c r="H2992" s="89">
        <v>2959.22</v>
      </c>
      <c r="I2992" s="85">
        <v>0</v>
      </c>
      <c r="J2992" s="85">
        <v>384.7</v>
      </c>
      <c r="K2992" s="85">
        <v>3343.92</v>
      </c>
      <c r="L2992" s="85">
        <v>4545.91</v>
      </c>
      <c r="M2992" s="89">
        <v>2959.22</v>
      </c>
      <c r="N2992" s="85">
        <v>0</v>
      </c>
      <c r="O2992" s="85">
        <v>384.7</v>
      </c>
      <c r="P2992" s="85">
        <v>3343.92</v>
      </c>
      <c r="Q2992" s="85">
        <v>4545.91</v>
      </c>
      <c r="R2992" s="82" t="s">
        <v>3396</v>
      </c>
      <c r="S2992" s="7">
        <f t="shared" si="141"/>
        <v>0</v>
      </c>
      <c r="T2992" s="6">
        <f t="shared" si="142"/>
        <v>0</v>
      </c>
      <c r="U2992" s="25">
        <f t="shared" si="143"/>
        <v>0</v>
      </c>
    </row>
    <row r="2993" spans="1:21" ht="15" x14ac:dyDescent="0.2">
      <c r="A2993" s="82" t="s">
        <v>6070</v>
      </c>
      <c r="B2993" s="83">
        <v>46020</v>
      </c>
      <c r="C2993" s="82" t="s">
        <v>3395</v>
      </c>
      <c r="D2993" s="82" t="s">
        <v>5882</v>
      </c>
      <c r="E2993" s="82"/>
      <c r="F2993" s="82" t="s">
        <v>4417</v>
      </c>
      <c r="G2993" s="89">
        <v>1</v>
      </c>
      <c r="H2993" s="89">
        <v>1627.58</v>
      </c>
      <c r="I2993" s="85">
        <v>0</v>
      </c>
      <c r="J2993" s="85">
        <v>211.59</v>
      </c>
      <c r="K2993" s="85">
        <v>1839.17</v>
      </c>
      <c r="L2993" s="85">
        <v>2257.12</v>
      </c>
      <c r="M2993" s="89">
        <v>1627.58</v>
      </c>
      <c r="N2993" s="85">
        <v>0</v>
      </c>
      <c r="O2993" s="85">
        <v>211.59</v>
      </c>
      <c r="P2993" s="85">
        <v>1839.17</v>
      </c>
      <c r="Q2993" s="85">
        <v>2257.12</v>
      </c>
      <c r="R2993" s="82" t="s">
        <v>3396</v>
      </c>
      <c r="S2993" s="7">
        <f t="shared" si="141"/>
        <v>0</v>
      </c>
      <c r="T2993" s="6">
        <f t="shared" si="142"/>
        <v>0</v>
      </c>
      <c r="U2993" s="25">
        <f t="shared" si="143"/>
        <v>0</v>
      </c>
    </row>
    <row r="2994" spans="1:21" ht="15" x14ac:dyDescent="0.2">
      <c r="A2994" s="82" t="s">
        <v>6070</v>
      </c>
      <c r="B2994" s="83">
        <v>46020</v>
      </c>
      <c r="C2994" s="82" t="s">
        <v>3395</v>
      </c>
      <c r="D2994" s="82" t="s">
        <v>5882</v>
      </c>
      <c r="E2994" s="82"/>
      <c r="F2994" s="82" t="s">
        <v>4865</v>
      </c>
      <c r="G2994" s="89">
        <v>1</v>
      </c>
      <c r="H2994" s="89">
        <v>48</v>
      </c>
      <c r="I2994" s="85">
        <v>0</v>
      </c>
      <c r="J2994" s="85">
        <v>6.24</v>
      </c>
      <c r="K2994" s="85">
        <v>54.24</v>
      </c>
      <c r="L2994" s="85">
        <v>2257.12</v>
      </c>
      <c r="M2994" s="89">
        <v>48</v>
      </c>
      <c r="N2994" s="85">
        <v>0</v>
      </c>
      <c r="O2994" s="85">
        <v>6.24</v>
      </c>
      <c r="P2994" s="85">
        <v>54.24</v>
      </c>
      <c r="Q2994" s="85">
        <v>2257.12</v>
      </c>
      <c r="R2994" s="82" t="s">
        <v>3396</v>
      </c>
      <c r="S2994" s="7">
        <f t="shared" si="141"/>
        <v>0</v>
      </c>
      <c r="T2994" s="6">
        <f t="shared" si="142"/>
        <v>0</v>
      </c>
      <c r="U2994" s="25">
        <f t="shared" si="143"/>
        <v>0</v>
      </c>
    </row>
    <row r="2995" spans="1:21" ht="15" x14ac:dyDescent="0.2">
      <c r="A2995" s="82" t="s">
        <v>6070</v>
      </c>
      <c r="B2995" s="83">
        <v>46020</v>
      </c>
      <c r="C2995" s="82" t="s">
        <v>3395</v>
      </c>
      <c r="D2995" s="82" t="s">
        <v>5882</v>
      </c>
      <c r="E2995" s="82"/>
      <c r="F2995" s="82" t="s">
        <v>5166</v>
      </c>
      <c r="G2995" s="89">
        <v>1</v>
      </c>
      <c r="H2995" s="89">
        <v>194.53</v>
      </c>
      <c r="I2995" s="85">
        <v>0</v>
      </c>
      <c r="J2995" s="85">
        <v>25.29</v>
      </c>
      <c r="K2995" s="85">
        <v>219.82</v>
      </c>
      <c r="L2995" s="85">
        <v>2257.12</v>
      </c>
      <c r="M2995" s="89">
        <v>194.53</v>
      </c>
      <c r="N2995" s="85">
        <v>0</v>
      </c>
      <c r="O2995" s="85">
        <v>25.29</v>
      </c>
      <c r="P2995" s="85">
        <v>219.82</v>
      </c>
      <c r="Q2995" s="85">
        <v>2257.12</v>
      </c>
      <c r="R2995" s="82" t="s">
        <v>3396</v>
      </c>
      <c r="S2995" s="7">
        <f t="shared" si="141"/>
        <v>0</v>
      </c>
      <c r="T2995" s="6">
        <f t="shared" si="142"/>
        <v>0</v>
      </c>
      <c r="U2995" s="25">
        <f t="shared" si="143"/>
        <v>0</v>
      </c>
    </row>
    <row r="2996" spans="1:21" ht="15" x14ac:dyDescent="0.2">
      <c r="A2996" s="82" t="s">
        <v>6070</v>
      </c>
      <c r="B2996" s="83">
        <v>46020</v>
      </c>
      <c r="C2996" s="82" t="s">
        <v>3395</v>
      </c>
      <c r="D2996" s="82" t="s">
        <v>5882</v>
      </c>
      <c r="E2996" s="82"/>
      <c r="F2996" s="82" t="s">
        <v>6153</v>
      </c>
      <c r="G2996" s="89">
        <v>1</v>
      </c>
      <c r="H2996" s="89">
        <v>127.34</v>
      </c>
      <c r="I2996" s="85">
        <v>0</v>
      </c>
      <c r="J2996" s="85">
        <v>16.55</v>
      </c>
      <c r="K2996" s="85">
        <v>143.88999999999999</v>
      </c>
      <c r="L2996" s="85">
        <v>2257.12</v>
      </c>
      <c r="M2996" s="89">
        <v>127.34</v>
      </c>
      <c r="N2996" s="85">
        <v>0</v>
      </c>
      <c r="O2996" s="85">
        <v>16.55</v>
      </c>
      <c r="P2996" s="85">
        <v>143.88999999999999</v>
      </c>
      <c r="Q2996" s="85">
        <v>2257.12</v>
      </c>
      <c r="R2996" s="82" t="s">
        <v>3396</v>
      </c>
      <c r="S2996" s="7">
        <f t="shared" si="141"/>
        <v>0</v>
      </c>
      <c r="T2996" s="6">
        <f t="shared" si="142"/>
        <v>0</v>
      </c>
      <c r="U2996" s="25">
        <f t="shared" si="143"/>
        <v>0</v>
      </c>
    </row>
    <row r="2997" spans="1:21" ht="15" x14ac:dyDescent="0.2">
      <c r="A2997" s="82" t="s">
        <v>6071</v>
      </c>
      <c r="B2997" s="83">
        <v>46020</v>
      </c>
      <c r="C2997" s="82" t="s">
        <v>3395</v>
      </c>
      <c r="D2997" s="82" t="s">
        <v>6072</v>
      </c>
      <c r="E2997" s="82"/>
      <c r="F2997" s="82" t="s">
        <v>4684</v>
      </c>
      <c r="G2997" s="89">
        <v>1</v>
      </c>
      <c r="H2997" s="89">
        <v>23.24</v>
      </c>
      <c r="I2997" s="85">
        <v>0</v>
      </c>
      <c r="J2997" s="85">
        <v>3.02</v>
      </c>
      <c r="K2997" s="85">
        <v>26.26</v>
      </c>
      <c r="L2997" s="85">
        <v>223.31</v>
      </c>
      <c r="M2997" s="89">
        <v>23.24</v>
      </c>
      <c r="N2997" s="85">
        <v>0</v>
      </c>
      <c r="O2997" s="85">
        <v>3.02</v>
      </c>
      <c r="P2997" s="85">
        <v>26.26</v>
      </c>
      <c r="Q2997" s="85">
        <v>223.31</v>
      </c>
      <c r="R2997" s="82" t="s">
        <v>3396</v>
      </c>
      <c r="S2997" s="7">
        <f t="shared" si="141"/>
        <v>0</v>
      </c>
      <c r="T2997" s="6">
        <f t="shared" si="142"/>
        <v>0</v>
      </c>
      <c r="U2997" s="25">
        <f t="shared" si="143"/>
        <v>0</v>
      </c>
    </row>
    <row r="2998" spans="1:21" ht="15" x14ac:dyDescent="0.2">
      <c r="A2998" s="82" t="s">
        <v>6071</v>
      </c>
      <c r="B2998" s="83">
        <v>46020</v>
      </c>
      <c r="C2998" s="82" t="s">
        <v>3395</v>
      </c>
      <c r="D2998" s="82" t="s">
        <v>6072</v>
      </c>
      <c r="E2998" s="82"/>
      <c r="F2998" s="82" t="s">
        <v>5119</v>
      </c>
      <c r="G2998" s="89">
        <v>1</v>
      </c>
      <c r="H2998" s="89">
        <v>24.44</v>
      </c>
      <c r="I2998" s="85">
        <v>0</v>
      </c>
      <c r="J2998" s="85">
        <v>3.18</v>
      </c>
      <c r="K2998" s="85">
        <v>27.62</v>
      </c>
      <c r="L2998" s="85">
        <v>223.31</v>
      </c>
      <c r="M2998" s="89">
        <v>24.44</v>
      </c>
      <c r="N2998" s="85">
        <v>0</v>
      </c>
      <c r="O2998" s="85">
        <v>3.18</v>
      </c>
      <c r="P2998" s="85">
        <v>27.62</v>
      </c>
      <c r="Q2998" s="85">
        <v>223.31</v>
      </c>
      <c r="R2998" s="82" t="s">
        <v>3396</v>
      </c>
      <c r="S2998" s="7">
        <f t="shared" si="141"/>
        <v>0</v>
      </c>
      <c r="T2998" s="6">
        <f t="shared" si="142"/>
        <v>0</v>
      </c>
      <c r="U2998" s="25">
        <f t="shared" si="143"/>
        <v>0</v>
      </c>
    </row>
    <row r="2999" spans="1:21" ht="15" x14ac:dyDescent="0.2">
      <c r="A2999" s="82" t="s">
        <v>6071</v>
      </c>
      <c r="B2999" s="83">
        <v>46020</v>
      </c>
      <c r="C2999" s="82" t="s">
        <v>3395</v>
      </c>
      <c r="D2999" s="82" t="s">
        <v>6072</v>
      </c>
      <c r="E2999" s="82"/>
      <c r="F2999" s="82" t="s">
        <v>4683</v>
      </c>
      <c r="G2999" s="89">
        <v>1</v>
      </c>
      <c r="H2999" s="89">
        <v>149.94</v>
      </c>
      <c r="I2999" s="85">
        <v>0</v>
      </c>
      <c r="J2999" s="85">
        <v>19.489999999999998</v>
      </c>
      <c r="K2999" s="85">
        <v>169.43</v>
      </c>
      <c r="L2999" s="85">
        <v>223.31</v>
      </c>
      <c r="M2999" s="89">
        <v>149.94</v>
      </c>
      <c r="N2999" s="85">
        <v>0</v>
      </c>
      <c r="O2999" s="85">
        <v>19.489999999999998</v>
      </c>
      <c r="P2999" s="85">
        <v>169.43</v>
      </c>
      <c r="Q2999" s="85">
        <v>223.31</v>
      </c>
      <c r="R2999" s="82" t="s">
        <v>3396</v>
      </c>
      <c r="S2999" s="7">
        <f t="shared" si="141"/>
        <v>0</v>
      </c>
      <c r="T2999" s="6">
        <f t="shared" si="142"/>
        <v>0</v>
      </c>
      <c r="U2999" s="25">
        <f t="shared" si="143"/>
        <v>0</v>
      </c>
    </row>
    <row r="3000" spans="1:21" ht="15" x14ac:dyDescent="0.2">
      <c r="A3000" s="82" t="s">
        <v>6073</v>
      </c>
      <c r="B3000" s="83">
        <v>46021</v>
      </c>
      <c r="C3000" s="82" t="s">
        <v>3395</v>
      </c>
      <c r="D3000" s="82" t="s">
        <v>6074</v>
      </c>
      <c r="E3000" s="82"/>
      <c r="F3000" s="82" t="s">
        <v>4843</v>
      </c>
      <c r="G3000" s="89">
        <v>1</v>
      </c>
      <c r="H3000" s="89">
        <v>1158.4000000000001</v>
      </c>
      <c r="I3000" s="85">
        <v>0</v>
      </c>
      <c r="J3000" s="85">
        <v>57.92</v>
      </c>
      <c r="K3000" s="85">
        <v>1216.32</v>
      </c>
      <c r="L3000" s="85">
        <v>3024.57</v>
      </c>
      <c r="M3000" s="89">
        <v>1158.4000000000001</v>
      </c>
      <c r="N3000" s="85">
        <v>0</v>
      </c>
      <c r="O3000" s="85">
        <v>57.92</v>
      </c>
      <c r="P3000" s="85">
        <v>1216.32</v>
      </c>
      <c r="Q3000" s="85">
        <v>3024.57</v>
      </c>
      <c r="R3000" s="82" t="s">
        <v>3396</v>
      </c>
      <c r="S3000" s="7">
        <f t="shared" si="141"/>
        <v>0</v>
      </c>
      <c r="T3000" s="6">
        <f t="shared" si="142"/>
        <v>0</v>
      </c>
      <c r="U3000" s="25">
        <f t="shared" si="143"/>
        <v>0</v>
      </c>
    </row>
    <row r="3001" spans="1:21" ht="15" x14ac:dyDescent="0.2">
      <c r="A3001" s="82" t="s">
        <v>6073</v>
      </c>
      <c r="B3001" s="83">
        <v>46021</v>
      </c>
      <c r="C3001" s="82" t="s">
        <v>3395</v>
      </c>
      <c r="D3001" s="82" t="s">
        <v>6074</v>
      </c>
      <c r="E3001" s="82"/>
      <c r="F3001" s="82" t="s">
        <v>5576</v>
      </c>
      <c r="G3001" s="89">
        <v>2</v>
      </c>
      <c r="H3001" s="89">
        <v>861.07</v>
      </c>
      <c r="I3001" s="85">
        <v>0</v>
      </c>
      <c r="J3001" s="85">
        <v>86.11</v>
      </c>
      <c r="K3001" s="85">
        <v>1808.25</v>
      </c>
      <c r="L3001" s="85">
        <v>3024.57</v>
      </c>
      <c r="M3001" s="89">
        <v>861.07</v>
      </c>
      <c r="N3001" s="85">
        <v>0</v>
      </c>
      <c r="O3001" s="85">
        <v>86.11</v>
      </c>
      <c r="P3001" s="85">
        <v>1808.25</v>
      </c>
      <c r="Q3001" s="85">
        <v>3024.57</v>
      </c>
      <c r="R3001" s="82" t="s">
        <v>3396</v>
      </c>
      <c r="S3001" s="7">
        <f t="shared" si="141"/>
        <v>0</v>
      </c>
      <c r="T3001" s="6">
        <f t="shared" si="142"/>
        <v>0</v>
      </c>
      <c r="U3001" s="25">
        <f t="shared" si="143"/>
        <v>0</v>
      </c>
    </row>
    <row r="3002" spans="1:21" ht="15" x14ac:dyDescent="0.2">
      <c r="A3002" s="82" t="s">
        <v>6075</v>
      </c>
      <c r="B3002" s="83">
        <v>46021</v>
      </c>
      <c r="C3002" s="82" t="s">
        <v>3395</v>
      </c>
      <c r="D3002" s="82" t="s">
        <v>6076</v>
      </c>
      <c r="E3002" s="82"/>
      <c r="F3002" s="82" t="s">
        <v>4692</v>
      </c>
      <c r="G3002" s="89">
        <v>4</v>
      </c>
      <c r="H3002" s="89">
        <v>32.979999999999997</v>
      </c>
      <c r="I3002" s="85">
        <v>0</v>
      </c>
      <c r="J3002" s="85">
        <v>17.149999999999999</v>
      </c>
      <c r="K3002" s="85">
        <v>149.07</v>
      </c>
      <c r="L3002" s="85">
        <v>149.07</v>
      </c>
      <c r="M3002" s="89">
        <v>32.979999999999997</v>
      </c>
      <c r="N3002" s="85">
        <v>0</v>
      </c>
      <c r="O3002" s="85">
        <v>17.149999999999999</v>
      </c>
      <c r="P3002" s="85">
        <v>149.07</v>
      </c>
      <c r="Q3002" s="85">
        <v>149.07</v>
      </c>
      <c r="R3002" s="82" t="s">
        <v>3396</v>
      </c>
      <c r="S3002" s="7">
        <f t="shared" si="141"/>
        <v>0</v>
      </c>
      <c r="T3002" s="6">
        <f t="shared" si="142"/>
        <v>0</v>
      </c>
      <c r="U3002" s="25">
        <f t="shared" si="143"/>
        <v>0</v>
      </c>
    </row>
    <row r="3003" spans="1:21" ht="15" x14ac:dyDescent="0.2">
      <c r="A3003" s="82" t="s">
        <v>6154</v>
      </c>
      <c r="B3003" s="83">
        <v>46021</v>
      </c>
      <c r="C3003" s="82" t="s">
        <v>3395</v>
      </c>
      <c r="D3003" s="82" t="s">
        <v>194</v>
      </c>
      <c r="E3003" s="82"/>
      <c r="F3003" s="82" t="s">
        <v>6155</v>
      </c>
      <c r="G3003" s="89">
        <v>1</v>
      </c>
      <c r="H3003" s="89">
        <v>2439.1</v>
      </c>
      <c r="I3003" s="85">
        <v>0</v>
      </c>
      <c r="J3003" s="85">
        <v>121.96</v>
      </c>
      <c r="K3003" s="85">
        <v>2561.06</v>
      </c>
      <c r="L3003" s="85">
        <v>2561.06</v>
      </c>
      <c r="M3003" s="89">
        <v>2439.1</v>
      </c>
      <c r="N3003" s="85">
        <v>0</v>
      </c>
      <c r="O3003" s="85">
        <v>121.96</v>
      </c>
      <c r="P3003" s="85">
        <v>2561.06</v>
      </c>
      <c r="Q3003" s="85">
        <v>2561.06</v>
      </c>
      <c r="R3003" s="82" t="s">
        <v>6149</v>
      </c>
      <c r="S3003" s="7">
        <f t="shared" si="141"/>
        <v>0</v>
      </c>
      <c r="T3003" s="6">
        <f t="shared" si="142"/>
        <v>0</v>
      </c>
      <c r="U3003" s="25">
        <f t="shared" si="143"/>
        <v>0</v>
      </c>
    </row>
    <row r="3004" spans="1:21" ht="15" x14ac:dyDescent="0.2">
      <c r="A3004" s="82" t="s">
        <v>6156</v>
      </c>
      <c r="B3004" s="83">
        <v>46021</v>
      </c>
      <c r="C3004" s="82" t="s">
        <v>3395</v>
      </c>
      <c r="D3004" s="82" t="s">
        <v>6157</v>
      </c>
      <c r="E3004" s="82"/>
      <c r="F3004" s="82" t="s">
        <v>4495</v>
      </c>
      <c r="G3004" s="89">
        <v>2</v>
      </c>
      <c r="H3004" s="89">
        <v>210.41</v>
      </c>
      <c r="I3004" s="85">
        <v>0</v>
      </c>
      <c r="J3004" s="85">
        <v>21.04</v>
      </c>
      <c r="K3004" s="85">
        <v>441.86</v>
      </c>
      <c r="L3004" s="85">
        <v>441.86</v>
      </c>
      <c r="M3004" s="89">
        <v>210.41</v>
      </c>
      <c r="N3004" s="85">
        <v>0</v>
      </c>
      <c r="O3004" s="85">
        <v>21.04</v>
      </c>
      <c r="P3004" s="85">
        <v>441.86</v>
      </c>
      <c r="Q3004" s="85">
        <v>441.86</v>
      </c>
      <c r="R3004" s="82" t="s">
        <v>6149</v>
      </c>
      <c r="S3004" s="7">
        <f t="shared" si="141"/>
        <v>0</v>
      </c>
      <c r="T3004" s="6">
        <f t="shared" si="142"/>
        <v>0</v>
      </c>
      <c r="U3004" s="25">
        <f t="shared" si="143"/>
        <v>0</v>
      </c>
    </row>
    <row r="3005" spans="1:21" ht="15" x14ac:dyDescent="0.2">
      <c r="A3005" s="82" t="s">
        <v>6158</v>
      </c>
      <c r="B3005" s="83">
        <v>46021</v>
      </c>
      <c r="C3005" s="82" t="s">
        <v>3395</v>
      </c>
      <c r="D3005" s="82" t="s">
        <v>6159</v>
      </c>
      <c r="E3005" s="82"/>
      <c r="F3005" s="82" t="s">
        <v>5026</v>
      </c>
      <c r="G3005" s="89">
        <v>1</v>
      </c>
      <c r="H3005" s="89">
        <v>1075</v>
      </c>
      <c r="I3005" s="85">
        <v>0</v>
      </c>
      <c r="J3005" s="85">
        <v>53.75</v>
      </c>
      <c r="K3005" s="85">
        <v>1128.75</v>
      </c>
      <c r="L3005" s="85">
        <v>1128.75</v>
      </c>
      <c r="M3005" s="89">
        <v>1075</v>
      </c>
      <c r="N3005" s="85">
        <v>0</v>
      </c>
      <c r="O3005" s="85">
        <v>53.75</v>
      </c>
      <c r="P3005" s="85">
        <v>1128.75</v>
      </c>
      <c r="Q3005" s="85">
        <v>1128.75</v>
      </c>
      <c r="R3005" s="82" t="s">
        <v>6149</v>
      </c>
      <c r="S3005" s="7">
        <f t="shared" si="141"/>
        <v>0</v>
      </c>
      <c r="T3005" s="6">
        <f t="shared" si="142"/>
        <v>0</v>
      </c>
      <c r="U3005" s="25">
        <f t="shared" si="143"/>
        <v>0</v>
      </c>
    </row>
    <row r="3006" spans="1:21" ht="15" x14ac:dyDescent="0.2">
      <c r="A3006" s="82" t="s">
        <v>6160</v>
      </c>
      <c r="B3006" s="83">
        <v>46021</v>
      </c>
      <c r="C3006" s="82" t="s">
        <v>3395</v>
      </c>
      <c r="D3006" s="82" t="s">
        <v>6161</v>
      </c>
      <c r="E3006" s="82"/>
      <c r="F3006" s="82" t="s">
        <v>4823</v>
      </c>
      <c r="G3006" s="89">
        <v>1</v>
      </c>
      <c r="H3006" s="89">
        <v>1434.48</v>
      </c>
      <c r="I3006" s="85">
        <v>0</v>
      </c>
      <c r="J3006" s="85">
        <v>71.72</v>
      </c>
      <c r="K3006" s="85">
        <v>1506.2</v>
      </c>
      <c r="L3006" s="85">
        <v>1506.2</v>
      </c>
      <c r="M3006" s="89">
        <v>1434.48</v>
      </c>
      <c r="N3006" s="85">
        <v>0</v>
      </c>
      <c r="O3006" s="85">
        <v>71.72</v>
      </c>
      <c r="P3006" s="85">
        <v>1506.2</v>
      </c>
      <c r="Q3006" s="85">
        <v>1506.2</v>
      </c>
      <c r="R3006" s="82" t="s">
        <v>6149</v>
      </c>
      <c r="S3006" s="7">
        <f t="shared" si="141"/>
        <v>0</v>
      </c>
      <c r="T3006" s="6">
        <f t="shared" si="142"/>
        <v>0</v>
      </c>
      <c r="U3006" s="25">
        <f t="shared" si="143"/>
        <v>0</v>
      </c>
    </row>
    <row r="3007" spans="1:21" ht="15" x14ac:dyDescent="0.2">
      <c r="A3007" s="82" t="s">
        <v>6162</v>
      </c>
      <c r="B3007" s="83">
        <v>46021</v>
      </c>
      <c r="C3007" s="82" t="s">
        <v>3395</v>
      </c>
      <c r="D3007" s="82" t="s">
        <v>6163</v>
      </c>
      <c r="E3007" s="82"/>
      <c r="F3007" s="82" t="s">
        <v>5742</v>
      </c>
      <c r="G3007" s="89">
        <v>2</v>
      </c>
      <c r="H3007" s="89">
        <v>50</v>
      </c>
      <c r="I3007" s="85">
        <v>0</v>
      </c>
      <c r="J3007" s="85">
        <v>5</v>
      </c>
      <c r="K3007" s="85">
        <v>105</v>
      </c>
      <c r="L3007" s="85">
        <v>105</v>
      </c>
      <c r="M3007" s="89">
        <v>50</v>
      </c>
      <c r="N3007" s="85">
        <v>0</v>
      </c>
      <c r="O3007" s="85">
        <v>5</v>
      </c>
      <c r="P3007" s="85">
        <v>105</v>
      </c>
      <c r="Q3007" s="85">
        <v>105</v>
      </c>
      <c r="R3007" s="82" t="s">
        <v>6149</v>
      </c>
      <c r="S3007" s="7">
        <f t="shared" si="141"/>
        <v>0</v>
      </c>
      <c r="T3007" s="6">
        <f t="shared" si="142"/>
        <v>0</v>
      </c>
      <c r="U3007" s="25">
        <f t="shared" si="143"/>
        <v>0</v>
      </c>
    </row>
    <row r="3008" spans="1:21" ht="15" x14ac:dyDescent="0.2">
      <c r="A3008" s="82" t="s">
        <v>6077</v>
      </c>
      <c r="B3008" s="83">
        <v>46022</v>
      </c>
      <c r="C3008" s="82" t="s">
        <v>3395</v>
      </c>
      <c r="D3008" s="82" t="s">
        <v>6079</v>
      </c>
      <c r="E3008" s="82" t="s">
        <v>6164</v>
      </c>
      <c r="F3008" s="82" t="s">
        <v>6165</v>
      </c>
      <c r="G3008" s="89">
        <v>3</v>
      </c>
      <c r="H3008" s="89">
        <v>2194.88</v>
      </c>
      <c r="I3008" s="85">
        <v>0</v>
      </c>
      <c r="J3008" s="85">
        <v>0</v>
      </c>
      <c r="K3008" s="85">
        <v>6584.64</v>
      </c>
      <c r="L3008" s="85">
        <v>6584.64</v>
      </c>
      <c r="M3008" s="89">
        <v>3008.6302376330996</v>
      </c>
      <c r="N3008" s="85">
        <v>0</v>
      </c>
      <c r="O3008" s="85">
        <v>0</v>
      </c>
      <c r="P3008" s="85">
        <v>9025.8907128992996</v>
      </c>
      <c r="Q3008" s="85">
        <v>9025.8907128992996</v>
      </c>
      <c r="R3008" s="82" t="s">
        <v>3399</v>
      </c>
      <c r="S3008" s="7">
        <f t="shared" si="141"/>
        <v>0</v>
      </c>
      <c r="T3008" s="6">
        <f t="shared" si="142"/>
        <v>0</v>
      </c>
      <c r="U3008" s="25">
        <f t="shared" si="143"/>
        <v>0</v>
      </c>
    </row>
    <row r="3009" spans="1:21" ht="15" x14ac:dyDescent="0.2">
      <c r="A3009" s="82" t="s">
        <v>6080</v>
      </c>
      <c r="B3009" s="83">
        <v>46022</v>
      </c>
      <c r="C3009" s="82" t="s">
        <v>3395</v>
      </c>
      <c r="D3009" s="82" t="s">
        <v>6081</v>
      </c>
      <c r="E3009" s="82"/>
      <c r="F3009" s="82" t="s">
        <v>4449</v>
      </c>
      <c r="G3009" s="89">
        <v>4</v>
      </c>
      <c r="H3009" s="89">
        <v>1030.74</v>
      </c>
      <c r="I3009" s="85">
        <v>0</v>
      </c>
      <c r="J3009" s="85">
        <v>0</v>
      </c>
      <c r="K3009" s="85">
        <v>4122.96</v>
      </c>
      <c r="L3009" s="85">
        <v>4755.96</v>
      </c>
      <c r="M3009" s="89">
        <v>1414.2373197627433</v>
      </c>
      <c r="N3009" s="85">
        <v>0</v>
      </c>
      <c r="O3009" s="85">
        <v>0</v>
      </c>
      <c r="P3009" s="85">
        <v>5656.949279050973</v>
      </c>
      <c r="Q3009" s="85">
        <v>6525.4633790275111</v>
      </c>
      <c r="R3009" s="82" t="s">
        <v>3396</v>
      </c>
      <c r="S3009" s="7">
        <f t="shared" si="141"/>
        <v>0</v>
      </c>
      <c r="T3009" s="6">
        <f t="shared" si="142"/>
        <v>0</v>
      </c>
      <c r="U3009" s="25">
        <f t="shared" si="143"/>
        <v>0</v>
      </c>
    </row>
    <row r="3010" spans="1:21" ht="15" x14ac:dyDescent="0.2">
      <c r="A3010" s="82" t="s">
        <v>6080</v>
      </c>
      <c r="B3010" s="83">
        <v>46022</v>
      </c>
      <c r="C3010" s="82" t="s">
        <v>3395</v>
      </c>
      <c r="D3010" s="82" t="s">
        <v>6081</v>
      </c>
      <c r="E3010" s="82"/>
      <c r="F3010" s="82" t="s">
        <v>4393</v>
      </c>
      <c r="G3010" s="89">
        <v>1</v>
      </c>
      <c r="H3010" s="89">
        <v>633</v>
      </c>
      <c r="I3010" s="85">
        <v>0</v>
      </c>
      <c r="J3010" s="85">
        <v>0</v>
      </c>
      <c r="K3010" s="85">
        <v>633</v>
      </c>
      <c r="L3010" s="85">
        <v>4755.96</v>
      </c>
      <c r="M3010" s="89">
        <v>868.51409997653775</v>
      </c>
      <c r="N3010" s="85">
        <v>0</v>
      </c>
      <c r="O3010" s="85">
        <v>0</v>
      </c>
      <c r="P3010" s="85">
        <v>868.51409997653775</v>
      </c>
      <c r="Q3010" s="85">
        <v>6525.4633790275111</v>
      </c>
      <c r="R3010" s="82" t="s">
        <v>3396</v>
      </c>
      <c r="S3010" s="7" t="str">
        <f t="shared" si="141"/>
        <v>INV13813</v>
      </c>
      <c r="T3010" s="6">
        <f t="shared" si="142"/>
        <v>1</v>
      </c>
      <c r="U3010" s="25">
        <f t="shared" si="143"/>
        <v>633</v>
      </c>
    </row>
    <row r="3011" spans="1:21" ht="15" x14ac:dyDescent="0.2">
      <c r="A3011" s="82" t="s">
        <v>6082</v>
      </c>
      <c r="B3011" s="83">
        <v>46022</v>
      </c>
      <c r="C3011" s="82" t="s">
        <v>3395</v>
      </c>
      <c r="D3011" s="82" t="s">
        <v>6083</v>
      </c>
      <c r="E3011" s="82"/>
      <c r="F3011" s="82" t="s">
        <v>4507</v>
      </c>
      <c r="G3011" s="89">
        <v>1</v>
      </c>
      <c r="H3011" s="89">
        <v>7968.11</v>
      </c>
      <c r="I3011" s="85">
        <v>0</v>
      </c>
      <c r="J3011" s="85">
        <v>0</v>
      </c>
      <c r="K3011" s="85">
        <v>7968.11</v>
      </c>
      <c r="L3011" s="85">
        <v>8658.11</v>
      </c>
      <c r="M3011" s="89">
        <v>10932.72651684684</v>
      </c>
      <c r="N3011" s="85">
        <v>0</v>
      </c>
      <c r="O3011" s="85">
        <v>0</v>
      </c>
      <c r="P3011" s="85">
        <v>10932.72651684684</v>
      </c>
      <c r="Q3011" s="85">
        <v>11879.448047626953</v>
      </c>
      <c r="R3011" s="82" t="s">
        <v>3396</v>
      </c>
      <c r="S3011" s="7">
        <f t="shared" si="141"/>
        <v>0</v>
      </c>
      <c r="T3011" s="6">
        <f t="shared" si="142"/>
        <v>0</v>
      </c>
      <c r="U3011" s="25">
        <f t="shared" si="143"/>
        <v>0</v>
      </c>
    </row>
    <row r="3012" spans="1:21" ht="15" x14ac:dyDescent="0.2">
      <c r="A3012" s="82" t="s">
        <v>6082</v>
      </c>
      <c r="B3012" s="83">
        <v>46022</v>
      </c>
      <c r="C3012" s="82" t="s">
        <v>3395</v>
      </c>
      <c r="D3012" s="82" t="s">
        <v>6083</v>
      </c>
      <c r="E3012" s="82"/>
      <c r="F3012" s="82" t="s">
        <v>4393</v>
      </c>
      <c r="G3012" s="89">
        <v>1</v>
      </c>
      <c r="H3012" s="89">
        <v>690</v>
      </c>
      <c r="I3012" s="85">
        <v>0</v>
      </c>
      <c r="J3012" s="85">
        <v>0</v>
      </c>
      <c r="K3012" s="85">
        <v>690</v>
      </c>
      <c r="L3012" s="85">
        <v>8658.11</v>
      </c>
      <c r="M3012" s="89">
        <v>946.72153078011229</v>
      </c>
      <c r="N3012" s="85">
        <v>0</v>
      </c>
      <c r="O3012" s="85">
        <v>0</v>
      </c>
      <c r="P3012" s="85">
        <v>946.72153078011229</v>
      </c>
      <c r="Q3012" s="85">
        <v>11879.448047626953</v>
      </c>
      <c r="R3012" s="82" t="s">
        <v>3396</v>
      </c>
      <c r="S3012" s="7" t="str">
        <f t="shared" si="141"/>
        <v>INV13814</v>
      </c>
      <c r="T3012" s="6">
        <f t="shared" si="142"/>
        <v>1</v>
      </c>
      <c r="U3012" s="25">
        <f t="shared" si="143"/>
        <v>690</v>
      </c>
    </row>
    <row r="3013" spans="1:21" ht="15" x14ac:dyDescent="0.2">
      <c r="A3013" s="82" t="s">
        <v>6084</v>
      </c>
      <c r="B3013" s="83">
        <v>46022</v>
      </c>
      <c r="C3013" s="82" t="s">
        <v>3395</v>
      </c>
      <c r="D3013" s="82" t="s">
        <v>337</v>
      </c>
      <c r="E3013" s="82"/>
      <c r="F3013" s="82" t="s">
        <v>4613</v>
      </c>
      <c r="G3013" s="89">
        <v>1</v>
      </c>
      <c r="H3013" s="89">
        <v>339.85</v>
      </c>
      <c r="I3013" s="85">
        <v>0</v>
      </c>
      <c r="J3013" s="85">
        <v>0</v>
      </c>
      <c r="K3013" s="85">
        <v>339.85</v>
      </c>
      <c r="L3013" s="85">
        <v>339.85</v>
      </c>
      <c r="M3013" s="89">
        <v>466.33880471264968</v>
      </c>
      <c r="N3013" s="85">
        <v>0</v>
      </c>
      <c r="O3013" s="85">
        <v>0</v>
      </c>
      <c r="P3013" s="85">
        <v>466.33880471264968</v>
      </c>
      <c r="Q3013" s="85">
        <v>466.33880471264968</v>
      </c>
      <c r="R3013" s="82" t="s">
        <v>3396</v>
      </c>
      <c r="S3013" s="7">
        <f t="shared" si="141"/>
        <v>0</v>
      </c>
      <c r="T3013" s="6">
        <f t="shared" si="142"/>
        <v>0</v>
      </c>
      <c r="U3013" s="25">
        <f t="shared" si="143"/>
        <v>0</v>
      </c>
    </row>
    <row r="3014" spans="1:21" ht="15" x14ac:dyDescent="0.2">
      <c r="A3014" s="82" t="s">
        <v>6085</v>
      </c>
      <c r="B3014" s="83">
        <v>46022</v>
      </c>
      <c r="C3014" s="82" t="s">
        <v>3395</v>
      </c>
      <c r="D3014" s="82" t="s">
        <v>123</v>
      </c>
      <c r="E3014" s="82"/>
      <c r="F3014" s="82" t="s">
        <v>4397</v>
      </c>
      <c r="G3014" s="89">
        <v>1</v>
      </c>
      <c r="H3014" s="89">
        <v>1110.27</v>
      </c>
      <c r="I3014" s="85">
        <v>0</v>
      </c>
      <c r="J3014" s="85">
        <v>0</v>
      </c>
      <c r="K3014" s="85">
        <v>1110.27</v>
      </c>
      <c r="L3014" s="85">
        <v>1110.27</v>
      </c>
      <c r="M3014" s="89">
        <v>1523.7565876152833</v>
      </c>
      <c r="N3014" s="85">
        <v>0</v>
      </c>
      <c r="O3014" s="85">
        <v>0</v>
      </c>
      <c r="P3014" s="85">
        <v>1523.7565876152833</v>
      </c>
      <c r="Q3014" s="85">
        <v>1523.7565876152833</v>
      </c>
      <c r="R3014" s="82" t="s">
        <v>3396</v>
      </c>
      <c r="S3014" s="7">
        <f t="shared" si="141"/>
        <v>0</v>
      </c>
      <c r="T3014" s="6">
        <f t="shared" si="142"/>
        <v>0</v>
      </c>
      <c r="U3014" s="25">
        <f t="shared" si="143"/>
        <v>0</v>
      </c>
    </row>
    <row r="3015" spans="1:21" x14ac:dyDescent="0.2">
      <c r="A3015" s="86" t="s">
        <v>15</v>
      </c>
      <c r="B3015" s="86"/>
      <c r="C3015" s="86"/>
      <c r="D3015" s="86"/>
      <c r="E3015" s="86"/>
      <c r="F3015" s="86"/>
      <c r="G3015" s="91">
        <f>SUM(G2:G3014)</f>
        <v>6700</v>
      </c>
      <c r="H3015" s="86"/>
      <c r="I3015" s="86"/>
      <c r="J3015" s="86"/>
      <c r="K3015" s="86"/>
      <c r="L3015" s="86"/>
      <c r="M3015" s="86"/>
      <c r="N3015" s="87">
        <f>SUM(N2:N3014)</f>
        <v>106321.08976523732</v>
      </c>
      <c r="O3015" s="87">
        <f>SUM(O2:O3014)</f>
        <v>188437.15477046708</v>
      </c>
      <c r="P3015" s="87">
        <f>SUM(P2:P3014)</f>
        <v>8428431.7509550545</v>
      </c>
      <c r="Q3015" s="86"/>
      <c r="R3015" s="86"/>
    </row>
  </sheetData>
  <autoFilter ref="A1:T2782" xr:uid="{00000000-0009-0000-0000-000007000000}"/>
  <pageMargins left="0.7" right="0.7" top="0.75" bottom="0.75" header="0.3" footer="0.3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63"/>
  <sheetViews>
    <sheetView workbookViewId="0">
      <selection activeCell="D3" sqref="D3"/>
    </sheetView>
  </sheetViews>
  <sheetFormatPr defaultRowHeight="15" x14ac:dyDescent="0.25"/>
  <cols>
    <col min="1" max="1" width="13.140625" customWidth="1"/>
    <col min="2" max="2" width="16.28515625" bestFit="1" customWidth="1"/>
    <col min="3" max="4" width="8.5703125" bestFit="1" customWidth="1"/>
    <col min="5" max="5" width="5" bestFit="1" customWidth="1"/>
    <col min="6" max="6" width="11.28515625" bestFit="1" customWidth="1"/>
    <col min="7" max="7" width="9.5703125" bestFit="1" customWidth="1"/>
    <col min="8" max="8" width="12.140625" bestFit="1" customWidth="1"/>
    <col min="9" max="9" width="13.140625" customWidth="1"/>
    <col min="10" max="10" width="16.28515625" bestFit="1" customWidth="1"/>
    <col min="11" max="11" width="8.5703125" bestFit="1" customWidth="1"/>
    <col min="12" max="12" width="7" bestFit="1" customWidth="1"/>
    <col min="13" max="13" width="7.28515625" bestFit="1" customWidth="1"/>
    <col min="14" max="15" width="5" bestFit="1" customWidth="1"/>
    <col min="16" max="16" width="11.28515625" bestFit="1" customWidth="1"/>
    <col min="17" max="20" width="11.28515625" customWidth="1"/>
    <col min="21" max="22" width="9.5703125" bestFit="1" customWidth="1"/>
    <col min="26" max="26" width="9.5703125" bestFit="1" customWidth="1"/>
    <col min="33" max="33" width="9.5703125" bestFit="1" customWidth="1"/>
  </cols>
  <sheetData>
    <row r="1" spans="1:38" x14ac:dyDescent="0.25">
      <c r="A1" s="58" t="s">
        <v>5796</v>
      </c>
      <c r="B1" s="58">
        <v>2503</v>
      </c>
      <c r="C1" s="58">
        <v>2504</v>
      </c>
      <c r="D1" s="58">
        <v>2504</v>
      </c>
      <c r="E1" s="58"/>
      <c r="I1" s="58" t="s">
        <v>5797</v>
      </c>
      <c r="J1" s="58">
        <v>2503</v>
      </c>
      <c r="K1" s="58">
        <v>2504</v>
      </c>
      <c r="L1" s="58"/>
      <c r="M1" s="58"/>
      <c r="X1" t="s">
        <v>5796</v>
      </c>
      <c r="Y1">
        <v>2503</v>
      </c>
      <c r="Z1">
        <v>2504</v>
      </c>
      <c r="AE1" t="s">
        <v>5797</v>
      </c>
      <c r="AF1">
        <v>2503</v>
      </c>
      <c r="AG1">
        <v>2504</v>
      </c>
    </row>
    <row r="2" spans="1:38" x14ac:dyDescent="0.25">
      <c r="A2" t="s">
        <v>5847</v>
      </c>
      <c r="B2" s="12">
        <v>107.39</v>
      </c>
      <c r="C2" s="12"/>
      <c r="D2" s="12"/>
      <c r="E2" s="12"/>
      <c r="F2" s="12"/>
      <c r="G2" s="12"/>
      <c r="I2" t="s">
        <v>5920</v>
      </c>
      <c r="J2" s="12">
        <v>2379.0300000000002</v>
      </c>
      <c r="V2" s="13">
        <f>B2+J2</f>
        <v>2486.42</v>
      </c>
      <c r="X2" t="s">
        <v>5847</v>
      </c>
      <c r="Y2">
        <v>107.39</v>
      </c>
      <c r="AE2" t="s">
        <v>5920</v>
      </c>
      <c r="AF2">
        <v>2379.0300000000002</v>
      </c>
      <c r="AL2">
        <v>2486.42</v>
      </c>
    </row>
    <row r="3" spans="1:38" x14ac:dyDescent="0.25">
      <c r="A3" t="s">
        <v>5851</v>
      </c>
      <c r="B3" s="12">
        <v>94.5</v>
      </c>
      <c r="C3" s="12">
        <f>723.44-21.5</f>
        <v>701.94</v>
      </c>
      <c r="D3" s="100">
        <f>551.01</f>
        <v>551.01</v>
      </c>
      <c r="E3" s="12"/>
      <c r="F3" s="12"/>
      <c r="G3" s="12"/>
      <c r="I3" t="s">
        <v>5948</v>
      </c>
      <c r="K3">
        <v>54.55</v>
      </c>
      <c r="X3" t="s">
        <v>5851</v>
      </c>
      <c r="Y3">
        <v>94.5</v>
      </c>
      <c r="Z3">
        <v>701.94</v>
      </c>
      <c r="AE3" t="s">
        <v>5925</v>
      </c>
    </row>
    <row r="4" spans="1:38" x14ac:dyDescent="0.25">
      <c r="A4" t="s">
        <v>5915</v>
      </c>
      <c r="B4" s="12">
        <v>1062</v>
      </c>
      <c r="C4" s="12">
        <v>190.49</v>
      </c>
      <c r="D4" s="12"/>
      <c r="E4" s="12"/>
      <c r="F4" s="12"/>
      <c r="G4" s="12"/>
      <c r="I4" t="s">
        <v>5949</v>
      </c>
      <c r="K4">
        <v>77.260000000000005</v>
      </c>
      <c r="X4" t="s">
        <v>5915</v>
      </c>
      <c r="Y4">
        <v>1062</v>
      </c>
      <c r="Z4">
        <v>190.49</v>
      </c>
    </row>
    <row r="5" spans="1:38" x14ac:dyDescent="0.25">
      <c r="A5" t="s">
        <v>5925</v>
      </c>
      <c r="B5" s="12"/>
      <c r="C5" s="12"/>
      <c r="D5" s="12"/>
      <c r="E5" s="12"/>
      <c r="F5" s="12"/>
      <c r="G5" s="12"/>
      <c r="X5" t="s">
        <v>5925</v>
      </c>
    </row>
    <row r="6" spans="1:38" x14ac:dyDescent="0.25">
      <c r="A6" t="s">
        <v>5921</v>
      </c>
      <c r="B6" s="60">
        <f>GETPIVOTDATA("KAS",$A$14,"KAS P","Amanda Q","Qtr",2503)-B2</f>
        <v>-20.271629606628139</v>
      </c>
      <c r="C6" s="12"/>
      <c r="D6" s="12"/>
      <c r="E6" s="12"/>
      <c r="F6" s="12"/>
      <c r="G6" s="12"/>
      <c r="X6" t="s">
        <v>5921</v>
      </c>
      <c r="Y6">
        <v>-20.26469633319131</v>
      </c>
    </row>
    <row r="7" spans="1:38" x14ac:dyDescent="0.25">
      <c r="A7" t="s">
        <v>5923</v>
      </c>
      <c r="B7" s="60">
        <f>GETPIVOTDATA("KAS",$A$14,"KAS P","Wilka N","Qtr",2503)-B4</f>
        <v>150.16224376522018</v>
      </c>
      <c r="C7" s="12"/>
      <c r="D7" s="12"/>
      <c r="E7" s="12"/>
      <c r="F7" s="12"/>
      <c r="G7" s="12"/>
      <c r="X7" t="s">
        <v>5923</v>
      </c>
      <c r="Y7">
        <v>150.16634171983242</v>
      </c>
    </row>
    <row r="8" spans="1:38" x14ac:dyDescent="0.25">
      <c r="B8" s="12"/>
      <c r="C8" s="12"/>
      <c r="D8" s="12"/>
      <c r="E8" s="12"/>
      <c r="F8" s="12"/>
      <c r="G8" s="12"/>
    </row>
    <row r="12" spans="1:38" x14ac:dyDescent="0.25">
      <c r="A12" s="14" t="s">
        <v>5804</v>
      </c>
      <c r="B12" t="s">
        <v>4388</v>
      </c>
      <c r="I12" s="14" t="s">
        <v>5804</v>
      </c>
      <c r="J12" t="s">
        <v>4388</v>
      </c>
      <c r="X12" t="s">
        <v>5804</v>
      </c>
      <c r="Y12" t="s">
        <v>4388</v>
      </c>
      <c r="AE12" t="s">
        <v>5804</v>
      </c>
      <c r="AF12" t="s">
        <v>4388</v>
      </c>
    </row>
    <row r="14" spans="1:38" x14ac:dyDescent="0.25">
      <c r="A14" s="14" t="s">
        <v>5918</v>
      </c>
      <c r="B14" s="14" t="s">
        <v>5917</v>
      </c>
      <c r="I14" s="14" t="s">
        <v>5919</v>
      </c>
      <c r="J14" s="14" t="s">
        <v>5917</v>
      </c>
      <c r="X14" t="s">
        <v>5918</v>
      </c>
      <c r="Y14" t="s">
        <v>5917</v>
      </c>
      <c r="AE14" t="s">
        <v>5919</v>
      </c>
      <c r="AF14" t="s">
        <v>5917</v>
      </c>
    </row>
    <row r="15" spans="1:38" x14ac:dyDescent="0.25">
      <c r="A15" s="14" t="s">
        <v>3833</v>
      </c>
      <c r="B15">
        <v>2502</v>
      </c>
      <c r="C15">
        <v>2503</v>
      </c>
      <c r="D15">
        <v>2504</v>
      </c>
      <c r="F15" t="s">
        <v>3834</v>
      </c>
      <c r="I15" s="14" t="s">
        <v>3833</v>
      </c>
      <c r="J15">
        <v>2502</v>
      </c>
      <c r="K15">
        <v>2503</v>
      </c>
      <c r="L15">
        <v>2504</v>
      </c>
      <c r="M15" t="s">
        <v>5916</v>
      </c>
      <c r="O15">
        <v>2601</v>
      </c>
      <c r="P15" t="s">
        <v>3834</v>
      </c>
      <c r="X15" t="s">
        <v>3833</v>
      </c>
      <c r="Y15">
        <v>2502</v>
      </c>
      <c r="Z15">
        <v>2503</v>
      </c>
      <c r="AA15">
        <v>2504</v>
      </c>
      <c r="AB15" t="s">
        <v>5916</v>
      </c>
      <c r="AC15" t="s">
        <v>3834</v>
      </c>
      <c r="AE15" t="s">
        <v>3833</v>
      </c>
      <c r="AF15">
        <v>2502</v>
      </c>
      <c r="AG15">
        <v>2503</v>
      </c>
      <c r="AH15">
        <v>2504</v>
      </c>
      <c r="AI15" t="s">
        <v>5916</v>
      </c>
      <c r="AJ15" t="s">
        <v>3834</v>
      </c>
    </row>
    <row r="16" spans="1:38" x14ac:dyDescent="0.25">
      <c r="A16" s="15" t="s">
        <v>5847</v>
      </c>
      <c r="B16" s="16"/>
      <c r="C16" s="57">
        <v>87.118370393371862</v>
      </c>
      <c r="D16" s="16"/>
      <c r="E16" s="16"/>
      <c r="F16" s="16">
        <v>87.118370393371862</v>
      </c>
      <c r="H16" s="61">
        <f>GETPIVOTDATA("KAS",$A$14,"KAS P","Amanda Q","Qtr",2503)-B6-B2</f>
        <v>0</v>
      </c>
      <c r="I16" s="15" t="s">
        <v>5847</v>
      </c>
      <c r="J16" s="16"/>
      <c r="K16" s="16">
        <v>2379.0261000000005</v>
      </c>
      <c r="L16" s="16">
        <v>258.39999999999998</v>
      </c>
      <c r="M16" s="16"/>
      <c r="N16" s="16"/>
      <c r="O16" s="16"/>
      <c r="P16" s="16">
        <v>2637.4261000000006</v>
      </c>
      <c r="Q16" s="16"/>
      <c r="R16" s="16"/>
      <c r="S16" s="16"/>
      <c r="T16" s="16"/>
      <c r="W16" s="12"/>
      <c r="X16" t="s">
        <v>5847</v>
      </c>
      <c r="Z16" s="71">
        <v>87.125303666808691</v>
      </c>
      <c r="AC16">
        <v>87.125303666808691</v>
      </c>
      <c r="AD16">
        <v>0</v>
      </c>
      <c r="AE16" t="s">
        <v>5847</v>
      </c>
      <c r="AG16" s="71">
        <v>2379.0261000000005</v>
      </c>
      <c r="AJ16">
        <v>2379.0261000000005</v>
      </c>
    </row>
    <row r="17" spans="1:38" x14ac:dyDescent="0.25">
      <c r="A17" s="15" t="s">
        <v>5851</v>
      </c>
      <c r="B17" s="16">
        <v>143.46370000000002</v>
      </c>
      <c r="C17" s="16">
        <v>94.49560564707275</v>
      </c>
      <c r="D17" s="16">
        <v>1186.6239472526408</v>
      </c>
      <c r="E17" s="16"/>
      <c r="F17" s="16">
        <v>1424.5832528997137</v>
      </c>
      <c r="I17" s="15" t="s">
        <v>5925</v>
      </c>
      <c r="J17" s="16"/>
      <c r="K17" s="16">
        <v>1738.5305847683067</v>
      </c>
      <c r="L17" s="16">
        <v>50.57360274646966</v>
      </c>
      <c r="M17" s="16"/>
      <c r="N17" s="16"/>
      <c r="O17" s="16"/>
      <c r="P17" s="16">
        <v>1789.1041875147764</v>
      </c>
      <c r="Q17" s="16"/>
      <c r="R17" s="16"/>
      <c r="S17" s="16"/>
      <c r="T17" s="16"/>
      <c r="W17" s="12">
        <f>GETPIVOTDATA("KAS",$A$14,"KAS P","Alexis G","Qtr",2504)-AA17</f>
        <v>463.18559695469094</v>
      </c>
      <c r="X17" t="s">
        <v>5851</v>
      </c>
      <c r="Y17" s="71">
        <v>143.46370000000002</v>
      </c>
      <c r="Z17" s="71">
        <v>94.496558214396458</v>
      </c>
      <c r="AA17" s="69">
        <v>723.43835029794991</v>
      </c>
      <c r="AC17">
        <v>961.39860851234641</v>
      </c>
      <c r="AE17" t="s">
        <v>5925</v>
      </c>
      <c r="AG17">
        <v>1738.5305847683067</v>
      </c>
      <c r="AJ17">
        <v>1738.5305847683067</v>
      </c>
    </row>
    <row r="18" spans="1:38" x14ac:dyDescent="0.25">
      <c r="A18" s="15" t="s">
        <v>5915</v>
      </c>
      <c r="B18" s="16"/>
      <c r="C18" s="57">
        <v>1212.1622437652202</v>
      </c>
      <c r="D18" s="16">
        <v>190.1397649923494</v>
      </c>
      <c r="E18" s="16">
        <v>0</v>
      </c>
      <c r="F18" s="16">
        <v>1402.3020087575696</v>
      </c>
      <c r="H18" s="61">
        <f>GETPIVOTDATA("KAS",$A$14,"KAS P","Wilka N","Qtr",2503)-B4-B7</f>
        <v>0</v>
      </c>
      <c r="I18" s="15" t="s">
        <v>5916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/>
      <c r="R18" s="16"/>
      <c r="S18" s="16"/>
      <c r="T18" s="16"/>
      <c r="W18" s="12">
        <f>GETPIVOTDATA("KAS",$A$14,"KAS P","Wilka N","Qtr",2504)-AA18</f>
        <v>-0.35351989537574013</v>
      </c>
      <c r="X18" t="s">
        <v>5915</v>
      </c>
      <c r="Z18" s="71">
        <v>1212.1663417198324</v>
      </c>
      <c r="AA18" s="56">
        <v>190.49328488772514</v>
      </c>
      <c r="AB18">
        <v>0</v>
      </c>
      <c r="AC18">
        <v>1402.6596266075576</v>
      </c>
      <c r="AD18">
        <v>0</v>
      </c>
      <c r="AE18" t="s">
        <v>5916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8" x14ac:dyDescent="0.25">
      <c r="A19" s="15" t="s">
        <v>5938</v>
      </c>
      <c r="B19" s="16"/>
      <c r="C19" s="16"/>
      <c r="D19" s="16">
        <v>0</v>
      </c>
      <c r="E19" s="16">
        <v>0</v>
      </c>
      <c r="F19" s="16">
        <v>0</v>
      </c>
      <c r="I19" s="15" t="s">
        <v>5849</v>
      </c>
      <c r="J19" s="16"/>
      <c r="K19" s="16"/>
      <c r="L19" s="16">
        <v>77.264259639598507</v>
      </c>
      <c r="M19" s="16"/>
      <c r="N19" s="16"/>
      <c r="O19" s="16"/>
      <c r="P19" s="16">
        <v>77.264259639598507</v>
      </c>
      <c r="Q19" s="16"/>
      <c r="R19" s="16"/>
      <c r="S19" s="16"/>
      <c r="T19" s="16"/>
      <c r="W19" s="12"/>
      <c r="X19" t="s">
        <v>21</v>
      </c>
      <c r="Z19" s="71">
        <v>2475.2478084504683</v>
      </c>
      <c r="AC19">
        <v>2475.2478084504683</v>
      </c>
      <c r="AE19" t="s">
        <v>3834</v>
      </c>
      <c r="AF19">
        <v>0</v>
      </c>
      <c r="AG19">
        <v>4117.5566847683076</v>
      </c>
      <c r="AH19">
        <v>0</v>
      </c>
      <c r="AI19">
        <v>0</v>
      </c>
      <c r="AJ19">
        <v>4117.5566847683076</v>
      </c>
    </row>
    <row r="20" spans="1:38" x14ac:dyDescent="0.25">
      <c r="A20" s="15" t="s">
        <v>5852</v>
      </c>
      <c r="B20" s="16"/>
      <c r="C20" s="16"/>
      <c r="D20" s="16">
        <v>0</v>
      </c>
      <c r="E20" s="16">
        <v>0</v>
      </c>
      <c r="F20" s="16">
        <v>0</v>
      </c>
      <c r="I20" s="15" t="s">
        <v>5848</v>
      </c>
      <c r="J20" s="16"/>
      <c r="K20" s="16"/>
      <c r="L20" s="16">
        <v>54.549585077090683</v>
      </c>
      <c r="M20" s="16"/>
      <c r="N20" s="16"/>
      <c r="O20" s="16"/>
      <c r="P20" s="16">
        <v>54.549585077090683</v>
      </c>
      <c r="X20" t="s">
        <v>5916</v>
      </c>
      <c r="Z20">
        <v>0</v>
      </c>
      <c r="AB20">
        <v>0</v>
      </c>
      <c r="AC20">
        <v>0</v>
      </c>
    </row>
    <row r="21" spans="1:38" x14ac:dyDescent="0.25">
      <c r="A21" s="15" t="s">
        <v>5925</v>
      </c>
      <c r="B21" s="16"/>
      <c r="C21" s="16">
        <v>2475.2454682411935</v>
      </c>
      <c r="D21" s="16">
        <v>248.10081184174271</v>
      </c>
      <c r="E21" s="16"/>
      <c r="F21" s="16">
        <v>2723.3462800829361</v>
      </c>
      <c r="I21" s="15" t="s">
        <v>3834</v>
      </c>
      <c r="J21" s="16">
        <v>0</v>
      </c>
      <c r="K21" s="16">
        <v>4117.5566847683076</v>
      </c>
      <c r="L21" s="16">
        <v>440.7874474631588</v>
      </c>
      <c r="M21" s="16">
        <v>0</v>
      </c>
      <c r="N21" s="16">
        <v>0</v>
      </c>
      <c r="O21" s="16">
        <v>0</v>
      </c>
      <c r="P21" s="16">
        <v>4558.3441322314657</v>
      </c>
      <c r="X21" t="s">
        <v>3834</v>
      </c>
      <c r="Y21">
        <v>143.46370000000002</v>
      </c>
      <c r="Z21">
        <v>3869.0360120515061</v>
      </c>
      <c r="AA21">
        <v>913.93163518567508</v>
      </c>
      <c r="AB21">
        <v>0</v>
      </c>
      <c r="AC21">
        <v>4926.4313472371814</v>
      </c>
    </row>
    <row r="22" spans="1:38" x14ac:dyDescent="0.25">
      <c r="A22" s="15" t="s">
        <v>5916</v>
      </c>
      <c r="B22" s="16"/>
      <c r="C22" s="16">
        <v>0</v>
      </c>
      <c r="D22" s="16">
        <v>0</v>
      </c>
      <c r="E22" s="16">
        <v>0</v>
      </c>
      <c r="F22" s="16">
        <v>0</v>
      </c>
    </row>
    <row r="23" spans="1:38" x14ac:dyDescent="0.25">
      <c r="A23" s="15" t="s">
        <v>3834</v>
      </c>
      <c r="B23" s="16">
        <v>143.46370000000002</v>
      </c>
      <c r="C23" s="16">
        <v>3869.0216880468583</v>
      </c>
      <c r="D23" s="16">
        <v>1624.8645240867331</v>
      </c>
      <c r="E23" s="16">
        <v>0</v>
      </c>
      <c r="F23" s="16">
        <v>5637.3499121335917</v>
      </c>
      <c r="X23" t="s">
        <v>5804</v>
      </c>
      <c r="Y23" t="s">
        <v>4388</v>
      </c>
      <c r="AE23" t="s">
        <v>5804</v>
      </c>
      <c r="AF23" t="s">
        <v>4388</v>
      </c>
    </row>
    <row r="25" spans="1:38" x14ac:dyDescent="0.25">
      <c r="A25" s="14" t="s">
        <v>5804</v>
      </c>
      <c r="B25" t="s">
        <v>4388</v>
      </c>
      <c r="I25" s="14" t="s">
        <v>5804</v>
      </c>
      <c r="J25" t="s">
        <v>4388</v>
      </c>
      <c r="X25" t="s">
        <v>5922</v>
      </c>
      <c r="Y25" t="s">
        <v>5917</v>
      </c>
      <c r="AE25" t="s">
        <v>5924</v>
      </c>
      <c r="AF25" t="s">
        <v>5917</v>
      </c>
    </row>
    <row r="26" spans="1:38" x14ac:dyDescent="0.25">
      <c r="X26" t="s">
        <v>3833</v>
      </c>
      <c r="Y26">
        <v>2502</v>
      </c>
      <c r="Z26">
        <v>2503</v>
      </c>
      <c r="AA26">
        <v>2504</v>
      </c>
      <c r="AB26" t="s">
        <v>5916</v>
      </c>
      <c r="AC26" t="s">
        <v>3834</v>
      </c>
      <c r="AE26" t="s">
        <v>3833</v>
      </c>
      <c r="AF26">
        <v>2502</v>
      </c>
      <c r="AG26">
        <v>2503</v>
      </c>
      <c r="AH26">
        <v>2504</v>
      </c>
      <c r="AI26" t="s">
        <v>5916</v>
      </c>
      <c r="AJ26" t="s">
        <v>3834</v>
      </c>
    </row>
    <row r="27" spans="1:38" x14ac:dyDescent="0.25">
      <c r="A27" s="14" t="s">
        <v>5922</v>
      </c>
      <c r="B27" s="14" t="s">
        <v>5917</v>
      </c>
      <c r="I27" s="14" t="s">
        <v>5924</v>
      </c>
      <c r="J27" s="14" t="s">
        <v>5917</v>
      </c>
      <c r="Q27" s="16"/>
      <c r="R27" s="16"/>
      <c r="S27" s="16"/>
      <c r="T27" s="16"/>
      <c r="X27" t="s">
        <v>5847</v>
      </c>
      <c r="Z27">
        <v>0</v>
      </c>
      <c r="AC27">
        <v>0</v>
      </c>
      <c r="AE27" t="s">
        <v>5847</v>
      </c>
      <c r="AG27">
        <v>0</v>
      </c>
      <c r="AJ27">
        <v>0</v>
      </c>
    </row>
    <row r="28" spans="1:38" x14ac:dyDescent="0.25">
      <c r="A28" s="14" t="s">
        <v>3833</v>
      </c>
      <c r="B28">
        <v>2502</v>
      </c>
      <c r="C28">
        <v>2503</v>
      </c>
      <c r="D28">
        <v>2504</v>
      </c>
      <c r="F28" t="s">
        <v>3834</v>
      </c>
      <c r="I28" s="14" t="s">
        <v>3833</v>
      </c>
      <c r="J28">
        <v>2502</v>
      </c>
      <c r="K28">
        <v>2503</v>
      </c>
      <c r="L28">
        <v>2504</v>
      </c>
      <c r="M28" t="s">
        <v>5916</v>
      </c>
      <c r="O28">
        <v>2601</v>
      </c>
      <c r="P28" t="s">
        <v>3834</v>
      </c>
      <c r="Q28" s="16"/>
      <c r="R28" s="16"/>
      <c r="S28" s="16"/>
      <c r="T28" s="16"/>
      <c r="V28" s="12" t="e">
        <f>GETPIVOTDATA("Stat AE",$I$27,"AE P","Ian T","Qtr",2503)+GETPIVOTDATA("Stat KAS",$A$27,"KAS P","Ian Trottier","Qtr",2503)</f>
        <v>#REF!</v>
      </c>
      <c r="X28" t="s">
        <v>5851</v>
      </c>
      <c r="Y28">
        <v>143.46370000000002</v>
      </c>
      <c r="Z28">
        <v>0</v>
      </c>
      <c r="AA28">
        <v>723.43835029794991</v>
      </c>
      <c r="AC28">
        <v>866.90205029794993</v>
      </c>
      <c r="AE28" t="s">
        <v>5925</v>
      </c>
      <c r="AG28">
        <v>1738.5305847683067</v>
      </c>
      <c r="AJ28">
        <v>1738.5305847683067</v>
      </c>
      <c r="AL28">
        <v>4213.7783932187749</v>
      </c>
    </row>
    <row r="29" spans="1:38" x14ac:dyDescent="0.25">
      <c r="A29" s="15" t="s">
        <v>5847</v>
      </c>
      <c r="B29" s="16"/>
      <c r="C29" s="57">
        <v>0</v>
      </c>
      <c r="D29" s="16"/>
      <c r="E29" s="16"/>
      <c r="F29" s="16">
        <v>0</v>
      </c>
      <c r="I29" s="15" t="s">
        <v>5847</v>
      </c>
      <c r="J29" s="16"/>
      <c r="K29" s="16">
        <v>0</v>
      </c>
      <c r="L29" s="16">
        <v>258.39999999999998</v>
      </c>
      <c r="M29" s="16"/>
      <c r="N29" s="16"/>
      <c r="O29" s="16"/>
      <c r="P29" s="16">
        <v>258.39999999999998</v>
      </c>
      <c r="Q29" s="16"/>
      <c r="R29" s="16"/>
      <c r="S29" s="16"/>
      <c r="T29" s="16"/>
      <c r="X29" t="s">
        <v>5915</v>
      </c>
      <c r="Z29">
        <v>0</v>
      </c>
      <c r="AA29">
        <v>190.49328488772514</v>
      </c>
      <c r="AB29">
        <v>0</v>
      </c>
      <c r="AC29">
        <v>190.49328488772514</v>
      </c>
      <c r="AE29" t="s">
        <v>5916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8" x14ac:dyDescent="0.25">
      <c r="A30" s="15" t="s">
        <v>5851</v>
      </c>
      <c r="B30" s="16">
        <v>143.46370000000002</v>
      </c>
      <c r="C30" s="16">
        <v>0</v>
      </c>
      <c r="D30" s="16">
        <v>1186.6239472526408</v>
      </c>
      <c r="E30" s="16"/>
      <c r="F30" s="16">
        <v>1330.0876472526409</v>
      </c>
      <c r="I30" s="15" t="s">
        <v>5925</v>
      </c>
      <c r="J30" s="16"/>
      <c r="K30" s="16">
        <v>1738.5305847683067</v>
      </c>
      <c r="L30" s="16">
        <v>50.57360274646966</v>
      </c>
      <c r="M30" s="16"/>
      <c r="N30" s="16"/>
      <c r="O30" s="16"/>
      <c r="P30" s="16">
        <v>1789.1041875147764</v>
      </c>
      <c r="Q30" s="16"/>
      <c r="R30" s="16"/>
      <c r="S30" s="16"/>
      <c r="T30" s="16"/>
      <c r="X30" t="s">
        <v>21</v>
      </c>
      <c r="Z30">
        <v>2475.2478084504683</v>
      </c>
      <c r="AC30">
        <v>2475.2478084504683</v>
      </c>
      <c r="AE30" t="s">
        <v>3834</v>
      </c>
      <c r="AF30">
        <v>0</v>
      </c>
      <c r="AG30">
        <v>1738.5305847683067</v>
      </c>
      <c r="AH30">
        <v>0</v>
      </c>
      <c r="AI30">
        <v>0</v>
      </c>
      <c r="AJ30">
        <v>1738.5305847683067</v>
      </c>
    </row>
    <row r="31" spans="1:38" x14ac:dyDescent="0.25">
      <c r="A31" s="15" t="s">
        <v>5915</v>
      </c>
      <c r="B31" s="16"/>
      <c r="C31" s="16">
        <v>0</v>
      </c>
      <c r="D31" s="16">
        <v>190.1397649923494</v>
      </c>
      <c r="E31" s="16">
        <v>0</v>
      </c>
      <c r="F31" s="16">
        <v>190.1397649923494</v>
      </c>
      <c r="I31" s="15" t="s">
        <v>5916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X31" t="s">
        <v>5916</v>
      </c>
      <c r="Z31">
        <v>0</v>
      </c>
      <c r="AB31">
        <v>0</v>
      </c>
      <c r="AC31">
        <v>0</v>
      </c>
    </row>
    <row r="32" spans="1:38" x14ac:dyDescent="0.25">
      <c r="A32" s="15" t="s">
        <v>5938</v>
      </c>
      <c r="B32" s="16"/>
      <c r="C32" s="16"/>
      <c r="D32" s="16">
        <v>0</v>
      </c>
      <c r="E32" s="16">
        <v>0</v>
      </c>
      <c r="F32" s="16">
        <v>0</v>
      </c>
      <c r="I32" s="15" t="s">
        <v>5849</v>
      </c>
      <c r="J32" s="16"/>
      <c r="K32" s="16"/>
      <c r="L32" s="16">
        <v>77.264259639598507</v>
      </c>
      <c r="M32" s="16"/>
      <c r="N32" s="16"/>
      <c r="O32" s="16"/>
      <c r="P32" s="16">
        <v>77.264259639598507</v>
      </c>
      <c r="X32" t="s">
        <v>3834</v>
      </c>
      <c r="Y32">
        <v>143.46370000000002</v>
      </c>
      <c r="Z32">
        <v>2475.2478084504683</v>
      </c>
      <c r="AA32">
        <v>913.93163518567508</v>
      </c>
      <c r="AB32">
        <v>0</v>
      </c>
      <c r="AC32">
        <v>3532.6431436361436</v>
      </c>
    </row>
    <row r="33" spans="1:38" x14ac:dyDescent="0.25">
      <c r="A33" s="15" t="s">
        <v>5852</v>
      </c>
      <c r="B33" s="16"/>
      <c r="C33" s="16"/>
      <c r="D33" s="16">
        <v>0</v>
      </c>
      <c r="E33" s="16">
        <v>0</v>
      </c>
      <c r="F33" s="16">
        <v>0</v>
      </c>
      <c r="I33" s="15" t="s">
        <v>5848</v>
      </c>
      <c r="J33" s="16"/>
      <c r="K33" s="16"/>
      <c r="L33" s="16">
        <v>54.549585077090683</v>
      </c>
      <c r="M33" s="16"/>
      <c r="N33" s="16"/>
      <c r="O33" s="16"/>
      <c r="P33" s="16">
        <v>54.549585077090683</v>
      </c>
    </row>
    <row r="34" spans="1:38" x14ac:dyDescent="0.25">
      <c r="A34" s="15" t="s">
        <v>5925</v>
      </c>
      <c r="B34" s="16"/>
      <c r="C34" s="16">
        <v>2475.2454682411935</v>
      </c>
      <c r="D34" s="16">
        <v>248.10081184174271</v>
      </c>
      <c r="E34" s="16"/>
      <c r="F34" s="16">
        <v>2723.3462800829361</v>
      </c>
      <c r="I34" s="15" t="s">
        <v>3834</v>
      </c>
      <c r="J34" s="16">
        <v>0</v>
      </c>
      <c r="K34" s="16">
        <v>1738.5305847683067</v>
      </c>
      <c r="L34" s="16">
        <v>440.7874474631588</v>
      </c>
      <c r="M34" s="16">
        <v>0</v>
      </c>
      <c r="N34" s="16">
        <v>0</v>
      </c>
      <c r="O34" s="16">
        <v>0</v>
      </c>
      <c r="P34" s="16">
        <v>2179.3180322314656</v>
      </c>
    </row>
    <row r="35" spans="1:38" x14ac:dyDescent="0.25">
      <c r="A35" s="15" t="s">
        <v>5916</v>
      </c>
      <c r="B35" s="16"/>
      <c r="C35" s="16">
        <v>0</v>
      </c>
      <c r="D35" s="16">
        <v>0</v>
      </c>
      <c r="E35" s="16">
        <v>0</v>
      </c>
      <c r="F35" s="16">
        <v>0</v>
      </c>
      <c r="X35" t="s">
        <v>5804</v>
      </c>
      <c r="Y35" t="s">
        <v>4388</v>
      </c>
      <c r="AE35" t="s">
        <v>5804</v>
      </c>
      <c r="AF35" t="s">
        <v>4388</v>
      </c>
    </row>
    <row r="36" spans="1:38" x14ac:dyDescent="0.25">
      <c r="A36" s="15" t="s">
        <v>3834</v>
      </c>
      <c r="B36" s="16">
        <v>143.46370000000002</v>
      </c>
      <c r="C36" s="16">
        <v>2475.2454682411935</v>
      </c>
      <c r="D36" s="16">
        <v>1624.8645240867331</v>
      </c>
      <c r="E36" s="16">
        <v>0</v>
      </c>
      <c r="F36" s="16">
        <v>4243.5736923279264</v>
      </c>
    </row>
    <row r="37" spans="1:38" x14ac:dyDescent="0.25">
      <c r="G37" s="16"/>
      <c r="X37" t="s">
        <v>5926</v>
      </c>
      <c r="Y37" t="s">
        <v>5917</v>
      </c>
      <c r="AE37" t="s">
        <v>5926</v>
      </c>
      <c r="AF37" t="s">
        <v>5917</v>
      </c>
    </row>
    <row r="38" spans="1:38" x14ac:dyDescent="0.25">
      <c r="X38" t="s">
        <v>3833</v>
      </c>
      <c r="Y38">
        <v>2502</v>
      </c>
      <c r="Z38">
        <v>2503</v>
      </c>
      <c r="AA38">
        <v>2504</v>
      </c>
      <c r="AB38" t="s">
        <v>5916</v>
      </c>
      <c r="AC38" t="s">
        <v>3834</v>
      </c>
      <c r="AE38" t="s">
        <v>3833</v>
      </c>
      <c r="AF38">
        <v>2502</v>
      </c>
      <c r="AG38">
        <v>2503</v>
      </c>
      <c r="AH38">
        <v>2504</v>
      </c>
      <c r="AI38" t="s">
        <v>5916</v>
      </c>
      <c r="AJ38" t="s">
        <v>3834</v>
      </c>
    </row>
    <row r="39" spans="1:38" x14ac:dyDescent="0.25">
      <c r="O39" s="16"/>
      <c r="P39" s="16"/>
      <c r="Q39" s="16"/>
      <c r="R39" s="16"/>
      <c r="S39" s="16"/>
      <c r="T39" s="16"/>
      <c r="X39" t="s">
        <v>5847</v>
      </c>
      <c r="Z39">
        <v>17425.060733361737</v>
      </c>
      <c r="AC39">
        <v>17425.060733361737</v>
      </c>
      <c r="AE39" t="s">
        <v>5847</v>
      </c>
      <c r="AG39">
        <v>191072.83</v>
      </c>
      <c r="AJ39">
        <v>191072.83</v>
      </c>
    </row>
    <row r="40" spans="1:38" x14ac:dyDescent="0.25">
      <c r="A40" s="14" t="s">
        <v>5804</v>
      </c>
      <c r="B40" t="s">
        <v>4388</v>
      </c>
      <c r="I40" s="14" t="s">
        <v>5804</v>
      </c>
      <c r="J40" t="s">
        <v>4388</v>
      </c>
      <c r="O40" s="16"/>
      <c r="P40" s="16"/>
      <c r="Q40" s="16"/>
      <c r="R40" s="16"/>
      <c r="S40" s="16"/>
      <c r="T40" s="16"/>
      <c r="X40" t="s">
        <v>5851</v>
      </c>
      <c r="Y40">
        <v>28692.74</v>
      </c>
      <c r="Z40">
        <v>18899.311642879289</v>
      </c>
      <c r="AA40">
        <v>131513.17534249509</v>
      </c>
      <c r="AC40">
        <v>179105.22698537438</v>
      </c>
      <c r="AE40" t="s">
        <v>5925</v>
      </c>
      <c r="AG40">
        <v>126695.02093662824</v>
      </c>
      <c r="AJ40">
        <v>126695.02093662824</v>
      </c>
      <c r="AK40">
        <v>1900.4253140494234</v>
      </c>
      <c r="AL40">
        <v>6210.5489200863649</v>
      </c>
    </row>
    <row r="41" spans="1:38" x14ac:dyDescent="0.25">
      <c r="O41" s="16"/>
      <c r="P41" s="16"/>
      <c r="Q41" s="16"/>
      <c r="R41" s="16"/>
      <c r="S41" s="16"/>
      <c r="T41" s="16"/>
      <c r="X41" t="s">
        <v>5915</v>
      </c>
      <c r="Z41">
        <v>236837.76834396654</v>
      </c>
      <c r="AA41">
        <v>261274.60697754505</v>
      </c>
      <c r="AB41">
        <v>80234.14</v>
      </c>
      <c r="AC41">
        <v>578346.51532151154</v>
      </c>
      <c r="AE41" t="s">
        <v>5916</v>
      </c>
      <c r="AF41">
        <v>28692.74</v>
      </c>
      <c r="AG41">
        <v>560503.71445600397</v>
      </c>
      <c r="AH41">
        <v>392787.78232004016</v>
      </c>
      <c r="AI41">
        <v>1750041.7955242025</v>
      </c>
      <c r="AJ41">
        <v>2732026.0323002469</v>
      </c>
    </row>
    <row r="42" spans="1:38" x14ac:dyDescent="0.25">
      <c r="A42" s="14" t="s">
        <v>5926</v>
      </c>
      <c r="B42" s="14" t="s">
        <v>5917</v>
      </c>
      <c r="I42" s="14" t="s">
        <v>5926</v>
      </c>
      <c r="J42" s="14" t="s">
        <v>5917</v>
      </c>
      <c r="Q42" s="16"/>
      <c r="R42" s="16"/>
      <c r="S42" s="16"/>
      <c r="T42" s="16"/>
      <c r="X42" t="s">
        <v>21</v>
      </c>
      <c r="Z42">
        <v>287341.57373579609</v>
      </c>
      <c r="AC42">
        <v>287341.57373579609</v>
      </c>
      <c r="AD42">
        <v>4310.1236060369411</v>
      </c>
      <c r="AE42" t="s">
        <v>3834</v>
      </c>
      <c r="AF42">
        <v>28692.74</v>
      </c>
      <c r="AG42">
        <v>878271.56539263227</v>
      </c>
      <c r="AH42">
        <v>392787.78232004016</v>
      </c>
      <c r="AI42">
        <v>1750041.7955242025</v>
      </c>
      <c r="AJ42">
        <v>3049793.8832368753</v>
      </c>
    </row>
    <row r="43" spans="1:38" x14ac:dyDescent="0.25">
      <c r="A43" s="14" t="s">
        <v>3833</v>
      </c>
      <c r="B43">
        <v>2502</v>
      </c>
      <c r="C43">
        <v>2503</v>
      </c>
      <c r="D43">
        <v>2504</v>
      </c>
      <c r="E43" t="s">
        <v>5916</v>
      </c>
      <c r="G43">
        <v>2601</v>
      </c>
      <c r="H43" t="s">
        <v>3834</v>
      </c>
      <c r="I43" s="14" t="s">
        <v>3833</v>
      </c>
      <c r="J43">
        <v>2502</v>
      </c>
      <c r="K43">
        <v>2503</v>
      </c>
      <c r="L43">
        <v>2504</v>
      </c>
      <c r="M43" t="s">
        <v>5916</v>
      </c>
      <c r="O43">
        <v>2601</v>
      </c>
      <c r="P43" t="s">
        <v>3834</v>
      </c>
      <c r="X43" t="s">
        <v>5916</v>
      </c>
      <c r="Z43">
        <v>317767.85093662824</v>
      </c>
      <c r="AB43">
        <v>1669807.6555242026</v>
      </c>
      <c r="AC43">
        <v>1987575.5064608308</v>
      </c>
    </row>
    <row r="44" spans="1:38" x14ac:dyDescent="0.25">
      <c r="A44" s="15" t="s">
        <v>5847</v>
      </c>
      <c r="B44" s="16"/>
      <c r="C44" s="57">
        <v>17423.674078674372</v>
      </c>
      <c r="D44" s="16"/>
      <c r="E44" s="16"/>
      <c r="F44" s="16"/>
      <c r="G44" s="16"/>
      <c r="H44" s="16">
        <v>17423.674078674372</v>
      </c>
      <c r="I44" s="15" t="s">
        <v>5847</v>
      </c>
      <c r="J44" s="16"/>
      <c r="K44" s="16">
        <v>191072.83</v>
      </c>
      <c r="L44" s="16">
        <v>25840</v>
      </c>
      <c r="M44" s="16"/>
      <c r="N44" s="16"/>
      <c r="O44" s="16"/>
      <c r="P44" s="16">
        <v>216912.83</v>
      </c>
      <c r="X44" t="s">
        <v>3834</v>
      </c>
      <c r="Y44">
        <v>28692.74</v>
      </c>
      <c r="Z44">
        <v>878271.5653926318</v>
      </c>
      <c r="AA44">
        <v>392787.78232004016</v>
      </c>
      <c r="AB44">
        <v>1750041.7955242025</v>
      </c>
      <c r="AC44">
        <v>3049793.8832368748</v>
      </c>
    </row>
    <row r="45" spans="1:38" x14ac:dyDescent="0.25">
      <c r="A45" s="15" t="s">
        <v>5851</v>
      </c>
      <c r="B45" s="16">
        <v>28692.74</v>
      </c>
      <c r="C45" s="16">
        <v>18899.121129414551</v>
      </c>
      <c r="D45" s="16">
        <v>154673.80097692608</v>
      </c>
      <c r="E45" s="16"/>
      <c r="F45" s="16"/>
      <c r="G45" s="16"/>
      <c r="H45" s="16">
        <v>202265.66210634063</v>
      </c>
      <c r="I45" s="15" t="s">
        <v>5925</v>
      </c>
      <c r="J45" s="16"/>
      <c r="K45" s="16">
        <v>126695.02093662824</v>
      </c>
      <c r="L45" s="16">
        <v>5057.360274646966</v>
      </c>
      <c r="M45" s="16"/>
      <c r="N45" s="16"/>
      <c r="O45" s="16"/>
      <c r="P45" s="16">
        <v>131752.38121127521</v>
      </c>
    </row>
    <row r="46" spans="1:38" x14ac:dyDescent="0.25">
      <c r="A46" s="15" t="s">
        <v>5915</v>
      </c>
      <c r="B46" s="16"/>
      <c r="C46" s="57">
        <v>236836.94875304401</v>
      </c>
      <c r="D46" s="16">
        <v>272446.14299846982</v>
      </c>
      <c r="E46" s="16">
        <v>68991.899999999994</v>
      </c>
      <c r="F46" s="16">
        <v>6387.56</v>
      </c>
      <c r="G46" s="16">
        <v>17850.707576144916</v>
      </c>
      <c r="H46" s="16">
        <v>602513.2593276588</v>
      </c>
      <c r="I46" s="15" t="s">
        <v>5916</v>
      </c>
      <c r="J46" s="16">
        <v>28692.74</v>
      </c>
      <c r="K46" s="16">
        <v>560500.8496550743</v>
      </c>
      <c r="L46" s="16">
        <v>572245.14625203167</v>
      </c>
      <c r="M46" s="16">
        <v>1584618.8040998245</v>
      </c>
      <c r="N46" s="16">
        <v>122675.15086292416</v>
      </c>
      <c r="O46" s="16">
        <v>17850.707576144916</v>
      </c>
      <c r="P46" s="16">
        <v>2886583.3984459997</v>
      </c>
    </row>
    <row r="47" spans="1:38" x14ac:dyDescent="0.25">
      <c r="A47" s="15" t="s">
        <v>5916</v>
      </c>
      <c r="B47" s="16"/>
      <c r="C47" s="16">
        <v>317767.85093662824</v>
      </c>
      <c r="D47" s="16">
        <v>78212.331506233895</v>
      </c>
      <c r="E47" s="16">
        <v>1467432.6452467842</v>
      </c>
      <c r="F47" s="16">
        <v>107805.37052287662</v>
      </c>
      <c r="G47" s="16"/>
      <c r="H47" s="16">
        <v>1971218.198212523</v>
      </c>
      <c r="I47" s="15" t="s">
        <v>5849</v>
      </c>
      <c r="J47" s="16"/>
      <c r="K47" s="16"/>
      <c r="L47" s="16">
        <v>3863.2129819799252</v>
      </c>
      <c r="M47" s="16"/>
      <c r="N47" s="16"/>
      <c r="O47" s="16"/>
      <c r="P47" s="16">
        <v>3863.2129819799252</v>
      </c>
    </row>
    <row r="48" spans="1:38" x14ac:dyDescent="0.25">
      <c r="A48" s="15" t="s">
        <v>5938</v>
      </c>
      <c r="B48" s="16"/>
      <c r="C48" s="16"/>
      <c r="D48" s="16">
        <v>46535.860029667856</v>
      </c>
      <c r="E48" s="16">
        <v>48194.258853040068</v>
      </c>
      <c r="F48" s="16">
        <v>4627.12</v>
      </c>
      <c r="G48" s="16"/>
      <c r="H48" s="16">
        <v>99357.238882707927</v>
      </c>
      <c r="I48" s="15" t="s">
        <v>5848</v>
      </c>
      <c r="J48" s="16"/>
      <c r="K48" s="16"/>
      <c r="L48" s="16">
        <v>5454.9585077090678</v>
      </c>
      <c r="M48" s="16"/>
      <c r="N48" s="16"/>
      <c r="O48" s="16"/>
      <c r="P48" s="16">
        <v>5454.9585077090678</v>
      </c>
    </row>
    <row r="49" spans="1:16" x14ac:dyDescent="0.25">
      <c r="A49" s="15" t="s">
        <v>5852</v>
      </c>
      <c r="B49" s="16"/>
      <c r="C49" s="16"/>
      <c r="D49" s="16">
        <v>18566.340136721577</v>
      </c>
      <c r="E49" s="16"/>
      <c r="F49" s="16">
        <v>3855.1003400475402</v>
      </c>
      <c r="G49" s="16"/>
      <c r="H49" s="16">
        <v>22421.440476769116</v>
      </c>
      <c r="I49" s="15" t="s">
        <v>3834</v>
      </c>
      <c r="J49" s="16">
        <v>28692.74</v>
      </c>
      <c r="K49" s="16">
        <v>878268.70059170248</v>
      </c>
      <c r="L49" s="16">
        <v>612460.67801636772</v>
      </c>
      <c r="M49" s="16">
        <v>1584618.8040998245</v>
      </c>
      <c r="N49" s="16">
        <v>122675.15086292416</v>
      </c>
      <c r="O49" s="16">
        <v>17850.707576144916</v>
      </c>
      <c r="P49" s="16">
        <v>3244566.7811469641</v>
      </c>
    </row>
    <row r="50" spans="1:16" x14ac:dyDescent="0.25">
      <c r="A50" s="15" t="s">
        <v>5925</v>
      </c>
      <c r="B50" s="16"/>
      <c r="C50" s="16">
        <v>287341.10569394118</v>
      </c>
      <c r="D50" s="16">
        <v>42026.202368348539</v>
      </c>
      <c r="E50" s="16"/>
      <c r="F50" s="16"/>
      <c r="G50" s="16"/>
      <c r="H50" s="16">
        <v>329367.30806228973</v>
      </c>
    </row>
    <row r="51" spans="1:16" x14ac:dyDescent="0.25">
      <c r="A51" s="15" t="s">
        <v>3834</v>
      </c>
      <c r="B51" s="16">
        <v>28692.74</v>
      </c>
      <c r="C51" s="16">
        <v>878268.70059170248</v>
      </c>
      <c r="D51" s="16">
        <v>612460.67801636772</v>
      </c>
      <c r="E51" s="16">
        <v>1584618.8040998243</v>
      </c>
      <c r="F51" s="16">
        <v>122675.15086292416</v>
      </c>
      <c r="G51" s="16">
        <v>17850.707576144916</v>
      </c>
      <c r="H51" s="16">
        <v>3244566.7811469636</v>
      </c>
    </row>
    <row r="55" spans="1:16" x14ac:dyDescent="0.25">
      <c r="A55" s="14" t="s">
        <v>5804</v>
      </c>
      <c r="B55" t="s">
        <v>4388</v>
      </c>
    </row>
    <row r="56" spans="1:16" x14ac:dyDescent="0.25">
      <c r="A56" s="14" t="s">
        <v>5788</v>
      </c>
      <c r="B56" t="s">
        <v>5801</v>
      </c>
    </row>
    <row r="58" spans="1:16" x14ac:dyDescent="0.25">
      <c r="A58" s="14" t="s">
        <v>5918</v>
      </c>
      <c r="B58" s="14" t="s">
        <v>5917</v>
      </c>
    </row>
    <row r="59" spans="1:16" x14ac:dyDescent="0.25">
      <c r="A59" s="14" t="s">
        <v>3833</v>
      </c>
      <c r="B59">
        <v>2503</v>
      </c>
      <c r="C59">
        <v>2504</v>
      </c>
      <c r="D59" t="s">
        <v>3834</v>
      </c>
    </row>
    <row r="60" spans="1:16" x14ac:dyDescent="0.25">
      <c r="A60" s="15" t="s">
        <v>5851</v>
      </c>
      <c r="B60" s="16"/>
      <c r="C60" s="99">
        <v>551.0065898240141</v>
      </c>
      <c r="D60" s="16">
        <v>551.0065898240141</v>
      </c>
    </row>
    <row r="61" spans="1:16" x14ac:dyDescent="0.25">
      <c r="A61" s="15" t="s">
        <v>5915</v>
      </c>
      <c r="B61" s="57">
        <v>915.94640000000004</v>
      </c>
      <c r="C61" s="16"/>
      <c r="D61" s="16">
        <v>915.94640000000004</v>
      </c>
    </row>
    <row r="62" spans="1:16" x14ac:dyDescent="0.25">
      <c r="A62" s="15" t="s">
        <v>5925</v>
      </c>
      <c r="B62" s="16">
        <v>1384.7199196953172</v>
      </c>
      <c r="C62" s="16">
        <v>50.626400000000004</v>
      </c>
      <c r="D62" s="16">
        <v>1435.3463196953173</v>
      </c>
    </row>
    <row r="63" spans="1:16" x14ac:dyDescent="0.25">
      <c r="A63" s="15" t="s">
        <v>3834</v>
      </c>
      <c r="B63" s="16">
        <v>2300.6663196953173</v>
      </c>
      <c r="C63" s="16">
        <v>601.63298982401409</v>
      </c>
      <c r="D63" s="16">
        <v>2902.2993095193315</v>
      </c>
    </row>
  </sheetData>
  <pageMargins left="0.7" right="0.7" top="0.75" bottom="0.75" header="0.3" footer="0.3"/>
  <pageSetup orientation="portrait" r:id="rId8"/>
  <legacy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2"/>
  <sheetViews>
    <sheetView workbookViewId="0">
      <selection activeCell="R17" sqref="R17"/>
    </sheetView>
  </sheetViews>
  <sheetFormatPr defaultRowHeight="15" x14ac:dyDescent="0.25"/>
  <cols>
    <col min="2" max="2" width="16.28515625" bestFit="1" customWidth="1"/>
    <col min="10" max="10" width="16.28515625" bestFit="1" customWidth="1"/>
    <col min="18" max="18" width="11.28515625" bestFit="1" customWidth="1"/>
    <col min="19" max="19" width="10.5703125" bestFit="1" customWidth="1"/>
    <col min="20" max="21" width="11.28515625" bestFit="1" customWidth="1"/>
  </cols>
  <sheetData>
    <row r="1" spans="1:21" x14ac:dyDescent="0.25">
      <c r="A1" s="58" t="s">
        <v>5796</v>
      </c>
      <c r="B1" s="58">
        <v>2503</v>
      </c>
      <c r="C1" s="58">
        <v>2504</v>
      </c>
      <c r="D1" s="58"/>
      <c r="E1" s="58"/>
      <c r="I1" s="58" t="s">
        <v>5797</v>
      </c>
      <c r="J1" s="58">
        <v>2503</v>
      </c>
      <c r="K1" s="58">
        <v>2504</v>
      </c>
      <c r="L1" s="58"/>
      <c r="M1" s="58"/>
    </row>
    <row r="2" spans="1:21" x14ac:dyDescent="0.25">
      <c r="A2" t="s">
        <v>5847</v>
      </c>
      <c r="B2" s="12">
        <v>107.39</v>
      </c>
      <c r="C2" s="12"/>
      <c r="D2" s="12"/>
      <c r="E2" s="12"/>
      <c r="F2" s="12"/>
      <c r="G2" s="12"/>
      <c r="I2" t="s">
        <v>5920</v>
      </c>
      <c r="J2" s="12">
        <v>2379.0300000000002</v>
      </c>
    </row>
    <row r="3" spans="1:21" x14ac:dyDescent="0.25">
      <c r="A3" t="s">
        <v>5851</v>
      </c>
      <c r="B3" s="12">
        <v>94.5</v>
      </c>
      <c r="C3" s="12">
        <v>701.94</v>
      </c>
      <c r="D3" s="12"/>
      <c r="E3" s="12"/>
      <c r="F3" s="12"/>
      <c r="G3" s="12"/>
      <c r="I3" t="s">
        <v>5948</v>
      </c>
      <c r="K3">
        <v>54.55</v>
      </c>
    </row>
    <row r="4" spans="1:21" x14ac:dyDescent="0.25">
      <c r="A4" t="s">
        <v>5915</v>
      </c>
      <c r="B4" s="12">
        <v>1062</v>
      </c>
      <c r="C4" s="12">
        <v>190.49</v>
      </c>
      <c r="D4" s="12"/>
      <c r="E4" s="12"/>
      <c r="F4" s="12"/>
      <c r="G4" s="12"/>
      <c r="I4" t="s">
        <v>5949</v>
      </c>
      <c r="K4">
        <v>77.260000000000005</v>
      </c>
    </row>
    <row r="5" spans="1:21" x14ac:dyDescent="0.25">
      <c r="A5" t="s">
        <v>5925</v>
      </c>
      <c r="B5" s="12"/>
      <c r="C5" s="12"/>
      <c r="D5" s="12"/>
      <c r="E5" s="12"/>
      <c r="F5" s="12"/>
      <c r="G5" s="12"/>
    </row>
    <row r="6" spans="1:21" x14ac:dyDescent="0.25">
      <c r="A6" t="s">
        <v>5921</v>
      </c>
      <c r="B6" s="60">
        <v>-20.26469633319131</v>
      </c>
      <c r="C6" s="12"/>
      <c r="D6" s="12"/>
      <c r="E6" s="12"/>
      <c r="F6" s="12"/>
      <c r="G6" s="12"/>
    </row>
    <row r="7" spans="1:21" x14ac:dyDescent="0.25">
      <c r="A7" t="s">
        <v>5923</v>
      </c>
      <c r="B7" s="60">
        <v>150.16634171983264</v>
      </c>
      <c r="C7" s="12"/>
      <c r="D7" s="12"/>
      <c r="E7" s="12"/>
      <c r="F7" s="12"/>
      <c r="G7" s="12"/>
    </row>
    <row r="8" spans="1:21" x14ac:dyDescent="0.25">
      <c r="B8" s="12"/>
      <c r="C8" s="12"/>
      <c r="D8" s="12"/>
      <c r="E8" s="12"/>
      <c r="F8" s="12"/>
      <c r="G8" s="12"/>
    </row>
    <row r="12" spans="1:21" x14ac:dyDescent="0.25">
      <c r="A12" t="s">
        <v>5804</v>
      </c>
      <c r="B12" t="s">
        <v>4388</v>
      </c>
      <c r="I12" t="s">
        <v>5804</v>
      </c>
      <c r="J12" t="s">
        <v>4388</v>
      </c>
    </row>
    <row r="14" spans="1:21" x14ac:dyDescent="0.25">
      <c r="A14" t="s">
        <v>5918</v>
      </c>
      <c r="B14" t="s">
        <v>5917</v>
      </c>
      <c r="I14" t="s">
        <v>5919</v>
      </c>
      <c r="J14" t="s">
        <v>5917</v>
      </c>
    </row>
    <row r="15" spans="1:21" x14ac:dyDescent="0.25">
      <c r="A15" t="s">
        <v>3833</v>
      </c>
      <c r="B15">
        <v>2502</v>
      </c>
      <c r="C15">
        <v>2503</v>
      </c>
      <c r="D15">
        <v>2504</v>
      </c>
      <c r="E15" t="s">
        <v>5916</v>
      </c>
      <c r="F15" t="s">
        <v>3834</v>
      </c>
      <c r="I15" t="s">
        <v>3833</v>
      </c>
      <c r="J15">
        <v>2502</v>
      </c>
      <c r="K15">
        <v>2503</v>
      </c>
      <c r="L15">
        <v>2504</v>
      </c>
      <c r="M15" t="s">
        <v>5916</v>
      </c>
      <c r="N15" t="s">
        <v>3834</v>
      </c>
    </row>
    <row r="16" spans="1:21" x14ac:dyDescent="0.25">
      <c r="A16" s="15" t="s">
        <v>5847</v>
      </c>
      <c r="B16" s="16"/>
      <c r="C16" s="57">
        <v>87.125303666808691</v>
      </c>
      <c r="D16" s="16"/>
      <c r="E16" s="16"/>
      <c r="F16" s="16">
        <v>87.125303666808691</v>
      </c>
      <c r="G16" s="16"/>
      <c r="H16" s="61">
        <v>0</v>
      </c>
      <c r="I16" s="15" t="s">
        <v>5847</v>
      </c>
      <c r="J16" s="16"/>
      <c r="K16" s="16">
        <v>2379.0261000000005</v>
      </c>
      <c r="L16" s="16"/>
      <c r="M16" s="16"/>
      <c r="N16" s="16">
        <v>2379.0261000000005</v>
      </c>
      <c r="Q16" s="16">
        <f>B16-Pvt!B16</f>
        <v>0</v>
      </c>
      <c r="R16" s="16">
        <f>C16-Pvt!C16</f>
        <v>6.9332734368288129E-3</v>
      </c>
      <c r="S16" s="16">
        <f>D16-Pvt!D16</f>
        <v>0</v>
      </c>
      <c r="T16" s="16">
        <f>E16-Pvt!E16</f>
        <v>0</v>
      </c>
      <c r="U16" s="16">
        <f>F16-Pvt!F16</f>
        <v>6.9332734368288129E-3</v>
      </c>
    </row>
    <row r="17" spans="1:21" x14ac:dyDescent="0.25">
      <c r="A17" s="15" t="s">
        <v>5851</v>
      </c>
      <c r="B17" s="16">
        <v>143.46370000000002</v>
      </c>
      <c r="C17" s="16">
        <v>94.496558214396487</v>
      </c>
      <c r="D17" s="16">
        <v>639.50271646440035</v>
      </c>
      <c r="E17" s="16"/>
      <c r="F17" s="16">
        <v>877.46297467879685</v>
      </c>
      <c r="G17" s="16"/>
      <c r="I17" s="15" t="s">
        <v>5925</v>
      </c>
      <c r="J17" s="16"/>
      <c r="K17" s="16">
        <v>1738.5305847683067</v>
      </c>
      <c r="L17" s="16"/>
      <c r="M17" s="16"/>
      <c r="N17" s="16">
        <v>1738.5305847683067</v>
      </c>
      <c r="Q17" s="16">
        <f>B17-Pvt!B17</f>
        <v>0</v>
      </c>
      <c r="R17" s="16">
        <f>C17-Pvt!C17</f>
        <v>9.5256732373627528E-4</v>
      </c>
      <c r="S17" s="16">
        <f>D17-Pvt!D17</f>
        <v>-547.1212307882405</v>
      </c>
      <c r="T17" s="16">
        <f>E17-Pvt!E17</f>
        <v>0</v>
      </c>
      <c r="U17" s="16">
        <f>F17-Pvt!F17</f>
        <v>-547.12027822091682</v>
      </c>
    </row>
    <row r="18" spans="1:21" x14ac:dyDescent="0.25">
      <c r="A18" s="15" t="s">
        <v>5915</v>
      </c>
      <c r="B18" s="16"/>
      <c r="C18" s="57">
        <v>1212.1663417198326</v>
      </c>
      <c r="D18" s="16">
        <v>188.56742314176401</v>
      </c>
      <c r="E18" s="16"/>
      <c r="F18" s="16">
        <v>1400.7337648615967</v>
      </c>
      <c r="G18" s="16"/>
      <c r="H18" s="61">
        <v>0</v>
      </c>
      <c r="I18" s="15" t="s">
        <v>5916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6">
        <f>B18-Pvt!B18</f>
        <v>0</v>
      </c>
      <c r="R18" s="16">
        <f>C18-Pvt!C18</f>
        <v>4.0979546124617627E-3</v>
      </c>
      <c r="S18" s="16">
        <f>D18-Pvt!D18</f>
        <v>-1.5723418505853886</v>
      </c>
      <c r="T18" s="16">
        <f>E18-Pvt!E18</f>
        <v>0</v>
      </c>
      <c r="U18" s="16">
        <f>F18-Pvt!F18</f>
        <v>-1.5682438959729552</v>
      </c>
    </row>
    <row r="19" spans="1:21" x14ac:dyDescent="0.25">
      <c r="A19" s="15" t="s">
        <v>21</v>
      </c>
      <c r="B19" s="16"/>
      <c r="C19" s="16">
        <v>2475.2478084504687</v>
      </c>
      <c r="D19" s="16"/>
      <c r="E19" s="16"/>
      <c r="F19" s="16">
        <v>2475.2478084504687</v>
      </c>
      <c r="G19" s="16"/>
      <c r="I19" s="15" t="s">
        <v>5849</v>
      </c>
      <c r="J19" s="16"/>
      <c r="K19" s="16"/>
      <c r="L19" s="16">
        <v>77.264259639598507</v>
      </c>
      <c r="M19" s="16"/>
      <c r="N19" s="16">
        <v>77.264259639598507</v>
      </c>
      <c r="Q19" s="16">
        <f>B19-Pvt!B19</f>
        <v>0</v>
      </c>
      <c r="R19" s="16">
        <f>C19-Pvt!C19</f>
        <v>2475.2478084504687</v>
      </c>
      <c r="S19" s="16">
        <f>D19-Pvt!D19</f>
        <v>0</v>
      </c>
      <c r="T19" s="16">
        <f>E19-Pvt!E19</f>
        <v>0</v>
      </c>
      <c r="U19" s="16">
        <f>F19-Pvt!F19</f>
        <v>2475.2478084504687</v>
      </c>
    </row>
    <row r="20" spans="1:21" x14ac:dyDescent="0.25">
      <c r="A20" s="15" t="s">
        <v>5916</v>
      </c>
      <c r="B20" s="16"/>
      <c r="C20" s="16">
        <v>0</v>
      </c>
      <c r="D20" s="16">
        <v>0</v>
      </c>
      <c r="E20" s="16">
        <v>0</v>
      </c>
      <c r="F20" s="16">
        <v>0</v>
      </c>
      <c r="G20" s="16"/>
      <c r="I20" s="15" t="s">
        <v>5848</v>
      </c>
      <c r="J20" s="16"/>
      <c r="K20" s="16"/>
      <c r="L20" s="16">
        <v>54.549585077090683</v>
      </c>
      <c r="M20" s="16"/>
      <c r="N20" s="16">
        <v>54.549585077090683</v>
      </c>
      <c r="Q20" s="16">
        <f>B20-Pvt!B20</f>
        <v>0</v>
      </c>
      <c r="R20" s="16">
        <f>C20-Pvt!C20</f>
        <v>0</v>
      </c>
      <c r="S20" s="16">
        <f>D20-Pvt!D20</f>
        <v>0</v>
      </c>
      <c r="T20" s="16">
        <f>E20-Pvt!E20</f>
        <v>0</v>
      </c>
      <c r="U20" s="16">
        <f>F20-Pvt!F20</f>
        <v>0</v>
      </c>
    </row>
    <row r="21" spans="1:21" x14ac:dyDescent="0.25">
      <c r="A21" s="15" t="s">
        <v>5938</v>
      </c>
      <c r="B21" s="16"/>
      <c r="C21" s="16"/>
      <c r="D21" s="16">
        <v>0</v>
      </c>
      <c r="E21" s="16">
        <v>0</v>
      </c>
      <c r="F21" s="16">
        <v>0</v>
      </c>
      <c r="G21" s="16"/>
      <c r="I21" s="15" t="s">
        <v>3834</v>
      </c>
      <c r="J21" s="16">
        <v>0</v>
      </c>
      <c r="K21" s="16">
        <v>4117.5566847683076</v>
      </c>
      <c r="L21" s="16">
        <v>131.81384471668918</v>
      </c>
      <c r="M21" s="16">
        <v>0</v>
      </c>
      <c r="N21" s="16">
        <v>4249.370529484996</v>
      </c>
      <c r="Q21" s="16">
        <f>B21-Pvt!B21</f>
        <v>0</v>
      </c>
      <c r="R21" s="16">
        <f>C21-Pvt!C21</f>
        <v>-2475.2454682411935</v>
      </c>
      <c r="S21" s="16">
        <f>D21-Pvt!D21</f>
        <v>-248.10081184174271</v>
      </c>
      <c r="T21" s="16">
        <f>E21-Pvt!E21</f>
        <v>0</v>
      </c>
      <c r="U21" s="16">
        <f>F21-Pvt!F21</f>
        <v>-2723.3462800829361</v>
      </c>
    </row>
    <row r="22" spans="1:21" x14ac:dyDescent="0.25">
      <c r="A22" s="15" t="s">
        <v>5852</v>
      </c>
      <c r="B22" s="16"/>
      <c r="C22" s="16"/>
      <c r="D22" s="16">
        <v>0</v>
      </c>
      <c r="E22" s="16">
        <v>0</v>
      </c>
      <c r="F22" s="16">
        <v>0</v>
      </c>
      <c r="G22" s="16"/>
      <c r="Q22" s="16">
        <f>B22-Pvt!B22</f>
        <v>0</v>
      </c>
      <c r="R22" s="16">
        <f>C22-Pvt!C22</f>
        <v>0</v>
      </c>
      <c r="S22" s="16">
        <f>D22-Pvt!D22</f>
        <v>0</v>
      </c>
      <c r="T22" s="16">
        <f>E22-Pvt!E22</f>
        <v>0</v>
      </c>
      <c r="U22" s="16">
        <f>F22-Pvt!F22</f>
        <v>0</v>
      </c>
    </row>
    <row r="23" spans="1:21" x14ac:dyDescent="0.25">
      <c r="A23" s="15" t="s">
        <v>3834</v>
      </c>
      <c r="B23" s="16">
        <v>143.46370000000002</v>
      </c>
      <c r="C23" s="16">
        <v>3869.0360120515065</v>
      </c>
      <c r="D23" s="16">
        <v>828.07013960616439</v>
      </c>
      <c r="E23" s="16">
        <v>0</v>
      </c>
      <c r="F23" s="16">
        <v>4840.5698516576704</v>
      </c>
      <c r="G23" s="16"/>
      <c r="Q23" s="16">
        <f>B23-Pvt!B23</f>
        <v>0</v>
      </c>
      <c r="R23" s="16">
        <f>C23-Pvt!C23</f>
        <v>1.4324004648187838E-2</v>
      </c>
      <c r="S23" s="16">
        <f>D23-Pvt!D23</f>
        <v>-796.79438448056874</v>
      </c>
      <c r="T23" s="16">
        <f>E23-Pvt!E23</f>
        <v>0</v>
      </c>
      <c r="U23" s="16">
        <f>F23-Pvt!F23</f>
        <v>-796.78006047592135</v>
      </c>
    </row>
    <row r="24" spans="1:21" x14ac:dyDescent="0.25">
      <c r="Q24" s="16">
        <f>B24-Pvt!B24</f>
        <v>0</v>
      </c>
      <c r="R24" s="16">
        <f>C24-Pvt!C24</f>
        <v>0</v>
      </c>
      <c r="S24" s="16">
        <f>D24-Pvt!D24</f>
        <v>0</v>
      </c>
      <c r="T24" s="16">
        <f>E24-Pvt!E24</f>
        <v>0</v>
      </c>
      <c r="U24" s="16">
        <f>F24-Pvt!F24</f>
        <v>0</v>
      </c>
    </row>
    <row r="25" spans="1:21" x14ac:dyDescent="0.25">
      <c r="A25" t="s">
        <v>5804</v>
      </c>
      <c r="B25" t="s">
        <v>4388</v>
      </c>
      <c r="I25" t="s">
        <v>5804</v>
      </c>
      <c r="J25" t="s">
        <v>4388</v>
      </c>
      <c r="Q25" s="16" t="e">
        <f>B25-Pvt!B25</f>
        <v>#VALUE!</v>
      </c>
      <c r="R25" s="16">
        <f>C25-Pvt!C25</f>
        <v>0</v>
      </c>
      <c r="S25" s="16">
        <f>D25-Pvt!D25</f>
        <v>0</v>
      </c>
      <c r="T25" s="16">
        <f>E25-Pvt!E25</f>
        <v>0</v>
      </c>
      <c r="U25" s="16">
        <f>F25-Pvt!F25</f>
        <v>0</v>
      </c>
    </row>
    <row r="26" spans="1:21" x14ac:dyDescent="0.25">
      <c r="Q26" s="16">
        <f>B26-Pvt!B26</f>
        <v>0</v>
      </c>
      <c r="R26" s="16">
        <f>C26-Pvt!C26</f>
        <v>0</v>
      </c>
      <c r="S26" s="16">
        <f>D26-Pvt!D26</f>
        <v>0</v>
      </c>
      <c r="T26" s="16">
        <f>E26-Pvt!E26</f>
        <v>0</v>
      </c>
      <c r="U26" s="16">
        <f>F26-Pvt!F26</f>
        <v>0</v>
      </c>
    </row>
    <row r="27" spans="1:21" x14ac:dyDescent="0.25">
      <c r="A27" t="s">
        <v>5922</v>
      </c>
      <c r="B27" t="s">
        <v>5917</v>
      </c>
      <c r="I27" t="s">
        <v>5924</v>
      </c>
      <c r="J27" t="s">
        <v>5917</v>
      </c>
      <c r="Q27" s="16" t="e">
        <f>B27-Pvt!B27</f>
        <v>#VALUE!</v>
      </c>
      <c r="R27" s="16">
        <f>C27-Pvt!C27</f>
        <v>0</v>
      </c>
      <c r="S27" s="16">
        <f>D27-Pvt!D27</f>
        <v>0</v>
      </c>
      <c r="T27" s="16">
        <f>E27-Pvt!E27</f>
        <v>0</v>
      </c>
      <c r="U27" s="16">
        <f>F27-Pvt!F27</f>
        <v>0</v>
      </c>
    </row>
    <row r="28" spans="1:21" x14ac:dyDescent="0.25">
      <c r="A28" t="s">
        <v>3833</v>
      </c>
      <c r="B28">
        <v>2502</v>
      </c>
      <c r="C28">
        <v>2503</v>
      </c>
      <c r="D28">
        <v>2504</v>
      </c>
      <c r="E28" t="s">
        <v>5916</v>
      </c>
      <c r="F28" t="s">
        <v>3834</v>
      </c>
      <c r="I28" t="s">
        <v>3833</v>
      </c>
      <c r="J28">
        <v>2502</v>
      </c>
      <c r="K28">
        <v>2503</v>
      </c>
      <c r="L28">
        <v>2504</v>
      </c>
      <c r="M28" t="s">
        <v>5916</v>
      </c>
      <c r="N28" t="s">
        <v>3834</v>
      </c>
      <c r="Q28" s="16">
        <f>B28-Pvt!B28</f>
        <v>0</v>
      </c>
      <c r="R28" s="16">
        <f>C28-Pvt!C28</f>
        <v>0</v>
      </c>
      <c r="S28" s="16">
        <f>D28-Pvt!D28</f>
        <v>0</v>
      </c>
      <c r="T28" s="16" t="e">
        <f>E28-Pvt!E28</f>
        <v>#VALUE!</v>
      </c>
      <c r="U28" s="16" t="e">
        <f>F28-Pvt!F28</f>
        <v>#VALUE!</v>
      </c>
    </row>
    <row r="29" spans="1:21" x14ac:dyDescent="0.25">
      <c r="A29" s="15" t="s">
        <v>5847</v>
      </c>
      <c r="B29" s="16"/>
      <c r="C29" s="57">
        <v>0</v>
      </c>
      <c r="D29" s="16"/>
      <c r="E29" s="16"/>
      <c r="F29" s="16">
        <v>0</v>
      </c>
      <c r="G29" s="16"/>
      <c r="I29" s="15" t="s">
        <v>5847</v>
      </c>
      <c r="J29" s="16"/>
      <c r="K29" s="16">
        <v>0</v>
      </c>
      <c r="L29" s="16"/>
      <c r="M29" s="16"/>
      <c r="N29" s="16">
        <v>0</v>
      </c>
      <c r="Q29" s="16">
        <f>B29-Pvt!B29</f>
        <v>0</v>
      </c>
      <c r="R29" s="16">
        <f>C29-Pvt!C29</f>
        <v>0</v>
      </c>
      <c r="S29" s="16">
        <f>D29-Pvt!D29</f>
        <v>0</v>
      </c>
      <c r="T29" s="16">
        <f>E29-Pvt!E29</f>
        <v>0</v>
      </c>
      <c r="U29" s="16">
        <f>F29-Pvt!F29</f>
        <v>0</v>
      </c>
    </row>
    <row r="30" spans="1:21" x14ac:dyDescent="0.25">
      <c r="A30" s="15" t="s">
        <v>5851</v>
      </c>
      <c r="B30" s="16">
        <v>143.46370000000002</v>
      </c>
      <c r="C30" s="16">
        <v>0</v>
      </c>
      <c r="D30" s="16">
        <v>639.50271646440035</v>
      </c>
      <c r="E30" s="16"/>
      <c r="F30" s="16">
        <v>782.96641646440037</v>
      </c>
      <c r="G30" s="16"/>
      <c r="I30" s="15" t="s">
        <v>5925</v>
      </c>
      <c r="J30" s="16"/>
      <c r="K30" s="16">
        <v>1738.5305847683067</v>
      </c>
      <c r="L30" s="16"/>
      <c r="M30" s="16"/>
      <c r="N30" s="16">
        <v>1738.5305847683067</v>
      </c>
      <c r="Q30" s="16">
        <f>B30-Pvt!B30</f>
        <v>0</v>
      </c>
      <c r="R30" s="16">
        <f>C30-Pvt!C30</f>
        <v>0</v>
      </c>
      <c r="S30" s="16">
        <f>D30-Pvt!D30</f>
        <v>-547.1212307882405</v>
      </c>
      <c r="T30" s="16">
        <f>E30-Pvt!E30</f>
        <v>0</v>
      </c>
      <c r="U30" s="16">
        <f>F30-Pvt!F30</f>
        <v>-547.1212307882405</v>
      </c>
    </row>
    <row r="31" spans="1:21" x14ac:dyDescent="0.25">
      <c r="A31" s="15" t="s">
        <v>5915</v>
      </c>
      <c r="B31" s="16"/>
      <c r="C31" s="16">
        <v>0</v>
      </c>
      <c r="D31" s="16">
        <v>188.56742314176401</v>
      </c>
      <c r="E31" s="16"/>
      <c r="F31" s="16">
        <v>188.56742314176401</v>
      </c>
      <c r="G31" s="16"/>
      <c r="I31" s="15" t="s">
        <v>5916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Q31" s="16">
        <f>B31-Pvt!B31</f>
        <v>0</v>
      </c>
      <c r="R31" s="16">
        <f>C31-Pvt!C31</f>
        <v>0</v>
      </c>
      <c r="S31" s="16">
        <f>D31-Pvt!D31</f>
        <v>-1.5723418505853886</v>
      </c>
      <c r="T31" s="16">
        <f>E31-Pvt!E31</f>
        <v>0</v>
      </c>
      <c r="U31" s="16">
        <f>F31-Pvt!F31</f>
        <v>-1.5723418505853886</v>
      </c>
    </row>
    <row r="32" spans="1:21" x14ac:dyDescent="0.25">
      <c r="A32" s="15" t="s">
        <v>21</v>
      </c>
      <c r="B32" s="16"/>
      <c r="C32" s="16">
        <v>2475.2478084504687</v>
      </c>
      <c r="D32" s="16"/>
      <c r="E32" s="16"/>
      <c r="F32" s="16">
        <v>2475.2478084504687</v>
      </c>
      <c r="G32" s="16"/>
      <c r="I32" s="15" t="s">
        <v>5849</v>
      </c>
      <c r="J32" s="16"/>
      <c r="K32" s="16"/>
      <c r="L32" s="16">
        <v>77.264259639598507</v>
      </c>
      <c r="M32" s="16"/>
      <c r="N32" s="16">
        <v>77.264259639598507</v>
      </c>
      <c r="Q32" s="16">
        <f>B32-Pvt!B32</f>
        <v>0</v>
      </c>
      <c r="R32" s="16">
        <f>C32-Pvt!C32</f>
        <v>2475.2478084504687</v>
      </c>
      <c r="S32" s="16">
        <f>D32-Pvt!D32</f>
        <v>0</v>
      </c>
      <c r="T32" s="16">
        <f>E32-Pvt!E32</f>
        <v>0</v>
      </c>
      <c r="U32" s="16">
        <f>F32-Pvt!F32</f>
        <v>2475.2478084504687</v>
      </c>
    </row>
    <row r="33" spans="1:21" x14ac:dyDescent="0.25">
      <c r="A33" s="15" t="s">
        <v>5916</v>
      </c>
      <c r="B33" s="16"/>
      <c r="C33" s="16">
        <v>0</v>
      </c>
      <c r="D33" s="16">
        <v>0</v>
      </c>
      <c r="E33" s="16">
        <v>0</v>
      </c>
      <c r="F33" s="16">
        <v>0</v>
      </c>
      <c r="G33" s="16"/>
      <c r="I33" s="15" t="s">
        <v>5848</v>
      </c>
      <c r="J33" s="16"/>
      <c r="K33" s="16"/>
      <c r="L33" s="16">
        <v>54.549585077090683</v>
      </c>
      <c r="M33" s="16"/>
      <c r="N33" s="16">
        <v>54.549585077090683</v>
      </c>
      <c r="Q33" s="16">
        <f>B33-Pvt!B33</f>
        <v>0</v>
      </c>
      <c r="R33" s="16">
        <f>C33-Pvt!C33</f>
        <v>0</v>
      </c>
      <c r="S33" s="16">
        <f>D33-Pvt!D33</f>
        <v>0</v>
      </c>
      <c r="T33" s="16">
        <f>E33-Pvt!E33</f>
        <v>0</v>
      </c>
      <c r="U33" s="16">
        <f>F33-Pvt!F33</f>
        <v>0</v>
      </c>
    </row>
    <row r="34" spans="1:21" x14ac:dyDescent="0.25">
      <c r="A34" s="15" t="s">
        <v>5938</v>
      </c>
      <c r="B34" s="16"/>
      <c r="C34" s="16"/>
      <c r="D34" s="16">
        <v>0</v>
      </c>
      <c r="E34" s="16">
        <v>0</v>
      </c>
      <c r="F34" s="16">
        <v>0</v>
      </c>
      <c r="G34" s="16"/>
      <c r="I34" s="15" t="s">
        <v>3834</v>
      </c>
      <c r="J34" s="16">
        <v>0</v>
      </c>
      <c r="K34" s="16">
        <v>1738.5305847683067</v>
      </c>
      <c r="L34" s="16">
        <v>131.81384471668918</v>
      </c>
      <c r="M34" s="16">
        <v>0</v>
      </c>
      <c r="N34" s="16">
        <v>1870.344429484996</v>
      </c>
      <c r="Q34" s="16">
        <f>B34-Pvt!B34</f>
        <v>0</v>
      </c>
      <c r="R34" s="16">
        <f>C34-Pvt!C34</f>
        <v>-2475.2454682411935</v>
      </c>
      <c r="S34" s="16">
        <f>D34-Pvt!D34</f>
        <v>-248.10081184174271</v>
      </c>
      <c r="T34" s="16">
        <f>E34-Pvt!E34</f>
        <v>0</v>
      </c>
      <c r="U34" s="16">
        <f>F34-Pvt!F34</f>
        <v>-2723.3462800829361</v>
      </c>
    </row>
    <row r="35" spans="1:21" x14ac:dyDescent="0.25">
      <c r="A35" s="15" t="s">
        <v>5852</v>
      </c>
      <c r="B35" s="16"/>
      <c r="C35" s="16"/>
      <c r="D35" s="16">
        <v>0</v>
      </c>
      <c r="E35" s="16">
        <v>0</v>
      </c>
      <c r="F35" s="16">
        <v>0</v>
      </c>
      <c r="G35" s="16"/>
      <c r="Q35" s="16">
        <f>B35-Pvt!B35</f>
        <v>0</v>
      </c>
      <c r="R35" s="16">
        <f>C35-Pvt!C35</f>
        <v>0</v>
      </c>
      <c r="S35" s="16">
        <f>D35-Pvt!D35</f>
        <v>0</v>
      </c>
      <c r="T35" s="16">
        <f>E35-Pvt!E35</f>
        <v>0</v>
      </c>
      <c r="U35" s="16">
        <f>F35-Pvt!F35</f>
        <v>0</v>
      </c>
    </row>
    <row r="36" spans="1:21" x14ac:dyDescent="0.25">
      <c r="A36" s="15" t="s">
        <v>3834</v>
      </c>
      <c r="B36" s="16">
        <v>143.46370000000002</v>
      </c>
      <c r="C36" s="16">
        <v>2475.2478084504687</v>
      </c>
      <c r="D36" s="16">
        <v>828.07013960616439</v>
      </c>
      <c r="E36" s="16">
        <v>0</v>
      </c>
      <c r="F36" s="16">
        <v>3446.781648056633</v>
      </c>
      <c r="G36" s="16"/>
      <c r="Q36" s="16">
        <f>B36-Pvt!B36</f>
        <v>0</v>
      </c>
      <c r="R36" s="16">
        <f>C36-Pvt!C36</f>
        <v>2.3402092751894088E-3</v>
      </c>
      <c r="S36" s="16">
        <f>D36-Pvt!D36</f>
        <v>-796.79438448056874</v>
      </c>
      <c r="T36" s="16">
        <f>E36-Pvt!E36</f>
        <v>0</v>
      </c>
      <c r="U36" s="16">
        <f>F36-Pvt!F36</f>
        <v>-796.79204427129343</v>
      </c>
    </row>
    <row r="37" spans="1:21" x14ac:dyDescent="0.25">
      <c r="A37" s="15"/>
      <c r="B37" s="16"/>
      <c r="C37" s="16"/>
      <c r="D37" s="16"/>
      <c r="E37" s="16"/>
      <c r="F37" s="16"/>
      <c r="G37" s="16"/>
      <c r="Q37" s="16">
        <f>B37-Pvt!B37</f>
        <v>0</v>
      </c>
      <c r="R37" s="16">
        <f>C37-Pvt!C37</f>
        <v>0</v>
      </c>
      <c r="S37" s="16">
        <f>D37-Pvt!D37</f>
        <v>0</v>
      </c>
      <c r="T37" s="16">
        <f>E37-Pvt!E37</f>
        <v>0</v>
      </c>
      <c r="U37" s="16">
        <f>F37-Pvt!F37</f>
        <v>0</v>
      </c>
    </row>
    <row r="38" spans="1:21" x14ac:dyDescent="0.25">
      <c r="Q38" s="16">
        <f>B38-Pvt!B38</f>
        <v>0</v>
      </c>
      <c r="R38" s="16">
        <f>C38-Pvt!C38</f>
        <v>0</v>
      </c>
      <c r="S38" s="16">
        <f>D38-Pvt!D38</f>
        <v>0</v>
      </c>
      <c r="T38" s="16">
        <f>E38-Pvt!E38</f>
        <v>0</v>
      </c>
      <c r="U38" s="16">
        <f>F38-Pvt!F38</f>
        <v>0</v>
      </c>
    </row>
    <row r="39" spans="1:21" x14ac:dyDescent="0.25">
      <c r="Q39" s="16">
        <f>B39-Pvt!B39</f>
        <v>0</v>
      </c>
      <c r="R39" s="16">
        <f>C39-Pvt!C39</f>
        <v>0</v>
      </c>
      <c r="S39" s="16">
        <f>D39-Pvt!D39</f>
        <v>0</v>
      </c>
      <c r="T39" s="16">
        <f>E39-Pvt!E39</f>
        <v>0</v>
      </c>
      <c r="U39" s="16">
        <f>F39-Pvt!F39</f>
        <v>0</v>
      </c>
    </row>
    <row r="40" spans="1:21" x14ac:dyDescent="0.25">
      <c r="A40" t="s">
        <v>5804</v>
      </c>
      <c r="B40" t="s">
        <v>4388</v>
      </c>
      <c r="I40" t="s">
        <v>5804</v>
      </c>
      <c r="J40" t="s">
        <v>4388</v>
      </c>
      <c r="Q40" s="16" t="e">
        <f>B40-Pvt!B40</f>
        <v>#VALUE!</v>
      </c>
      <c r="R40" s="16">
        <f>C40-Pvt!C40</f>
        <v>0</v>
      </c>
      <c r="S40" s="16">
        <f>D40-Pvt!D40</f>
        <v>0</v>
      </c>
      <c r="T40" s="16">
        <f>E40-Pvt!E40</f>
        <v>0</v>
      </c>
      <c r="U40" s="16">
        <f>F40-Pvt!F40</f>
        <v>0</v>
      </c>
    </row>
    <row r="41" spans="1:21" x14ac:dyDescent="0.25">
      <c r="Q41" s="16">
        <f>B41-Pvt!B41</f>
        <v>0</v>
      </c>
      <c r="R41" s="16">
        <f>C41-Pvt!C41</f>
        <v>0</v>
      </c>
      <c r="S41" s="16">
        <f>D41-Pvt!D41</f>
        <v>0</v>
      </c>
      <c r="T41" s="16">
        <f>E41-Pvt!E41</f>
        <v>0</v>
      </c>
      <c r="U41" s="16">
        <f>F41-Pvt!F41</f>
        <v>0</v>
      </c>
    </row>
    <row r="42" spans="1:21" x14ac:dyDescent="0.25">
      <c r="A42" t="s">
        <v>5926</v>
      </c>
      <c r="B42" t="s">
        <v>5917</v>
      </c>
      <c r="I42" t="s">
        <v>5926</v>
      </c>
      <c r="J42" t="s">
        <v>5917</v>
      </c>
      <c r="Q42" s="16" t="e">
        <f>B42-Pvt!B42</f>
        <v>#VALUE!</v>
      </c>
      <c r="R42" s="16">
        <f>C42-Pvt!C42</f>
        <v>0</v>
      </c>
      <c r="S42" s="16">
        <f>D42-Pvt!D42</f>
        <v>0</v>
      </c>
      <c r="T42" s="16">
        <f>E42-Pvt!E42</f>
        <v>0</v>
      </c>
      <c r="U42" s="16">
        <f>F42-Pvt!F42</f>
        <v>0</v>
      </c>
    </row>
    <row r="43" spans="1:21" x14ac:dyDescent="0.25">
      <c r="A43" t="s">
        <v>3833</v>
      </c>
      <c r="B43">
        <v>2502</v>
      </c>
      <c r="C43">
        <v>2503</v>
      </c>
      <c r="D43">
        <v>2504</v>
      </c>
      <c r="E43" t="s">
        <v>5916</v>
      </c>
      <c r="F43" t="s">
        <v>3834</v>
      </c>
      <c r="I43" t="s">
        <v>3833</v>
      </c>
      <c r="J43">
        <v>2502</v>
      </c>
      <c r="K43">
        <v>2503</v>
      </c>
      <c r="L43">
        <v>2504</v>
      </c>
      <c r="M43" t="s">
        <v>5916</v>
      </c>
      <c r="N43" t="s">
        <v>3834</v>
      </c>
      <c r="Q43" s="16">
        <f>B43-Pvt!B43</f>
        <v>0</v>
      </c>
      <c r="R43" s="16">
        <f>C43-Pvt!C43</f>
        <v>0</v>
      </c>
      <c r="S43" s="16">
        <f>D43-Pvt!D43</f>
        <v>0</v>
      </c>
      <c r="T43" s="16" t="e">
        <f>E43-Pvt!E43</f>
        <v>#VALUE!</v>
      </c>
      <c r="U43" s="16" t="e">
        <f>F43-Pvt!F43</f>
        <v>#VALUE!</v>
      </c>
    </row>
    <row r="44" spans="1:21" x14ac:dyDescent="0.25">
      <c r="A44" s="15" t="s">
        <v>5847</v>
      </c>
      <c r="B44" s="16"/>
      <c r="C44" s="57">
        <v>17425.060733361737</v>
      </c>
      <c r="D44" s="16"/>
      <c r="E44" s="16"/>
      <c r="F44" s="16">
        <v>17425.060733361737</v>
      </c>
      <c r="G44" s="16"/>
      <c r="I44" s="15" t="s">
        <v>5847</v>
      </c>
      <c r="J44" s="16"/>
      <c r="K44" s="16">
        <v>191072.83</v>
      </c>
      <c r="L44" s="16"/>
      <c r="M44" s="16"/>
      <c r="N44" s="16">
        <v>191072.83</v>
      </c>
      <c r="Q44" s="16">
        <f>B44-Pvt!B44</f>
        <v>0</v>
      </c>
      <c r="R44" s="16">
        <f>C44-Pvt!C44</f>
        <v>1.3866546873650805</v>
      </c>
      <c r="S44" s="16">
        <f>D44-Pvt!D44</f>
        <v>0</v>
      </c>
      <c r="T44" s="16">
        <f>E44-Pvt!E44</f>
        <v>0</v>
      </c>
      <c r="U44" s="16">
        <f>F44-Pvt!F44</f>
        <v>17425.060733361737</v>
      </c>
    </row>
    <row r="45" spans="1:21" x14ac:dyDescent="0.25">
      <c r="A45" s="15" t="s">
        <v>5851</v>
      </c>
      <c r="B45" s="16">
        <v>28692.74</v>
      </c>
      <c r="C45" s="16">
        <v>18899.311642879286</v>
      </c>
      <c r="D45" s="16">
        <v>114726.04857578519</v>
      </c>
      <c r="E45" s="16"/>
      <c r="F45" s="16">
        <v>162318.10021866448</v>
      </c>
      <c r="G45" s="16"/>
      <c r="I45" s="15" t="s">
        <v>5925</v>
      </c>
      <c r="J45" s="16"/>
      <c r="K45" s="16">
        <v>126695.02093662822</v>
      </c>
      <c r="L45" s="16"/>
      <c r="M45" s="16"/>
      <c r="N45" s="16">
        <v>126695.02093662822</v>
      </c>
      <c r="Q45" s="16">
        <f>B45-Pvt!B45</f>
        <v>0</v>
      </c>
      <c r="R45" s="16">
        <f>C45-Pvt!C45</f>
        <v>0.19051346473497688</v>
      </c>
      <c r="S45" s="16">
        <f>D45-Pvt!D45</f>
        <v>-39947.752401140897</v>
      </c>
      <c r="T45" s="16">
        <f>E45-Pvt!E45</f>
        <v>0</v>
      </c>
      <c r="U45" s="16">
        <f>F45-Pvt!F45</f>
        <v>162318.10021866448</v>
      </c>
    </row>
    <row r="46" spans="1:21" x14ac:dyDescent="0.25">
      <c r="A46" s="15" t="s">
        <v>5915</v>
      </c>
      <c r="B46" s="16"/>
      <c r="C46" s="57">
        <v>143548.66834396654</v>
      </c>
      <c r="D46" s="16">
        <v>249647.19462835282</v>
      </c>
      <c r="E46" s="16"/>
      <c r="F46" s="16">
        <v>393195.86297231936</v>
      </c>
      <c r="G46" s="16"/>
      <c r="I46" s="15" t="s">
        <v>5916</v>
      </c>
      <c r="J46" s="16">
        <v>28692.74</v>
      </c>
      <c r="K46" s="16">
        <v>467214.61445600388</v>
      </c>
      <c r="L46" s="16">
        <v>431564.84699744114</v>
      </c>
      <c r="M46" s="16">
        <v>1408856.622558746</v>
      </c>
      <c r="N46" s="16">
        <v>2336328.824012191</v>
      </c>
      <c r="Q46" s="16">
        <f>B46-Pvt!B46</f>
        <v>0</v>
      </c>
      <c r="R46" s="16">
        <f>C46-Pvt!C46</f>
        <v>-93288.280409077473</v>
      </c>
      <c r="S46" s="16">
        <f>D46-Pvt!D46</f>
        <v>-22798.948370116996</v>
      </c>
      <c r="T46" s="16">
        <f>E46-Pvt!E46</f>
        <v>-68991.899999999994</v>
      </c>
      <c r="U46" s="16">
        <f>F46-Pvt!F46</f>
        <v>386808.30297231936</v>
      </c>
    </row>
    <row r="47" spans="1:21" x14ac:dyDescent="0.25">
      <c r="A47" s="15" t="s">
        <v>21</v>
      </c>
      <c r="B47" s="16"/>
      <c r="C47" s="16">
        <v>287341.57373579609</v>
      </c>
      <c r="D47" s="16"/>
      <c r="E47" s="16"/>
      <c r="F47" s="16">
        <v>287341.57373579609</v>
      </c>
      <c r="G47" s="16"/>
      <c r="I47" s="15" t="s">
        <v>5849</v>
      </c>
      <c r="J47" s="16"/>
      <c r="K47" s="16"/>
      <c r="L47" s="16">
        <v>3863.2129819799252</v>
      </c>
      <c r="M47" s="16"/>
      <c r="N47" s="16">
        <v>3863.2129819799252</v>
      </c>
      <c r="Q47" s="16">
        <f>B47-Pvt!B47</f>
        <v>0</v>
      </c>
      <c r="R47" s="16">
        <f>C47-Pvt!C47</f>
        <v>-30426.277200832148</v>
      </c>
      <c r="S47" s="16">
        <f>D47-Pvt!D47</f>
        <v>-78212.331506233895</v>
      </c>
      <c r="T47" s="16">
        <f>E47-Pvt!E47</f>
        <v>-1467432.6452467842</v>
      </c>
      <c r="U47" s="16">
        <f>F47-Pvt!F47</f>
        <v>179536.20321291947</v>
      </c>
    </row>
    <row r="48" spans="1:21" x14ac:dyDescent="0.25">
      <c r="A48" s="15" t="s">
        <v>5916</v>
      </c>
      <c r="B48" s="16"/>
      <c r="C48" s="16">
        <v>317767.85093662824</v>
      </c>
      <c r="D48" s="16">
        <v>11274.531489688994</v>
      </c>
      <c r="E48" s="16">
        <v>1375730.7097599148</v>
      </c>
      <c r="F48" s="16">
        <v>1704773.0921862321</v>
      </c>
      <c r="G48" s="16"/>
      <c r="I48" s="15" t="s">
        <v>5848</v>
      </c>
      <c r="J48" s="16"/>
      <c r="K48" s="16"/>
      <c r="L48" s="16">
        <v>5454.9585077090678</v>
      </c>
      <c r="M48" s="16"/>
      <c r="N48" s="16">
        <v>5454.9585077090678</v>
      </c>
      <c r="Q48" s="16">
        <f>B48-Pvt!B48</f>
        <v>0</v>
      </c>
      <c r="R48" s="16">
        <f>C48-Pvt!C48</f>
        <v>317767.85093662824</v>
      </c>
      <c r="S48" s="16">
        <f>D48-Pvt!D48</f>
        <v>-35261.328539978858</v>
      </c>
      <c r="T48" s="16">
        <f>E48-Pvt!E48</f>
        <v>1327536.4509068746</v>
      </c>
      <c r="U48" s="16">
        <f>F48-Pvt!F48</f>
        <v>1700145.972186232</v>
      </c>
    </row>
    <row r="49" spans="1:21" x14ac:dyDescent="0.25">
      <c r="A49" s="15" t="s">
        <v>5938</v>
      </c>
      <c r="B49" s="16"/>
      <c r="C49" s="16"/>
      <c r="D49" s="16">
        <v>46535.860029667856</v>
      </c>
      <c r="E49" s="16">
        <v>32722.618853040069</v>
      </c>
      <c r="F49" s="16">
        <v>79258.478882707917</v>
      </c>
      <c r="G49" s="16"/>
      <c r="I49" s="15" t="s">
        <v>3834</v>
      </c>
      <c r="J49" s="16">
        <v>28692.74</v>
      </c>
      <c r="K49" s="16">
        <v>784982.46539263206</v>
      </c>
      <c r="L49" s="16">
        <v>440883.01848713018</v>
      </c>
      <c r="M49" s="16">
        <v>1408856.622558746</v>
      </c>
      <c r="N49" s="16">
        <v>2663414.846438508</v>
      </c>
      <c r="Q49" s="16">
        <f>B49-Pvt!B49</f>
        <v>0</v>
      </c>
      <c r="R49" s="16">
        <f>C49-Pvt!C49</f>
        <v>0</v>
      </c>
      <c r="S49" s="16">
        <f>D49-Pvt!D49</f>
        <v>27969.519892946279</v>
      </c>
      <c r="T49" s="16">
        <f>E49-Pvt!E49</f>
        <v>32722.618853040069</v>
      </c>
      <c r="U49" s="16">
        <f>F49-Pvt!F49</f>
        <v>75403.378542660372</v>
      </c>
    </row>
    <row r="50" spans="1:21" x14ac:dyDescent="0.25">
      <c r="A50" s="15" t="s">
        <v>5852</v>
      </c>
      <c r="B50" s="16"/>
      <c r="C50" s="16"/>
      <c r="D50" s="16">
        <v>18699.383763635338</v>
      </c>
      <c r="E50" s="16">
        <v>403.29394579108504</v>
      </c>
      <c r="F50" s="16">
        <v>19102.677709426422</v>
      </c>
      <c r="Q50" s="16">
        <f>B50-Pvt!B50</f>
        <v>0</v>
      </c>
      <c r="R50" s="16">
        <f>C50-Pvt!C50</f>
        <v>-287341.10569394118</v>
      </c>
      <c r="S50" s="16">
        <f>D50-Pvt!D50</f>
        <v>-23326.8186047132</v>
      </c>
      <c r="T50" s="16">
        <f>E50-Pvt!E50</f>
        <v>403.29394579108504</v>
      </c>
      <c r="U50" s="16">
        <f>F50-Pvt!F50</f>
        <v>19102.677709426422</v>
      </c>
    </row>
    <row r="51" spans="1:21" x14ac:dyDescent="0.25">
      <c r="A51" s="15" t="s">
        <v>3834</v>
      </c>
      <c r="B51" s="16">
        <v>28692.74</v>
      </c>
      <c r="C51" s="16">
        <v>784982.46539263194</v>
      </c>
      <c r="D51" s="16">
        <v>440883.01848713023</v>
      </c>
      <c r="E51" s="16">
        <v>1408856.622558746</v>
      </c>
      <c r="F51" s="16">
        <v>2663414.8464385085</v>
      </c>
      <c r="Q51" s="16">
        <f>B51-Pvt!B51</f>
        <v>0</v>
      </c>
      <c r="R51" s="16">
        <f>C51-Pvt!C51</f>
        <v>-93286.235199070536</v>
      </c>
      <c r="S51" s="16">
        <f>D51-Pvt!D51</f>
        <v>-171577.65952923748</v>
      </c>
      <c r="T51" s="16">
        <f>E51-Pvt!E51</f>
        <v>-175762.18154107826</v>
      </c>
      <c r="U51" s="16">
        <f>F51-Pvt!F51</f>
        <v>2540739.6955755842</v>
      </c>
    </row>
    <row r="52" spans="1:21" x14ac:dyDescent="0.25">
      <c r="Q52" s="16">
        <f>B52-Pvt!B52</f>
        <v>0</v>
      </c>
      <c r="R52" s="16">
        <f>C52-Pvt!C52</f>
        <v>0</v>
      </c>
      <c r="S52" s="16">
        <f>D52-Pvt!D52</f>
        <v>0</v>
      </c>
      <c r="T52" s="16">
        <f>E52-Pvt!E52</f>
        <v>0</v>
      </c>
      <c r="U52" s="16">
        <f>F52-Pvt!F52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workbookViewId="0">
      <selection activeCell="E19" sqref="E1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9.85546875" bestFit="1" customWidth="1"/>
    <col min="4" max="4" width="16.5703125" bestFit="1" customWidth="1"/>
    <col min="5" max="6" width="10.5703125" bestFit="1" customWidth="1"/>
    <col min="7" max="7" width="16.5703125" bestFit="1" customWidth="1"/>
    <col min="8" max="9" width="10.5703125" bestFit="1" customWidth="1"/>
    <col min="10" max="10" width="11.28515625" bestFit="1" customWidth="1"/>
    <col min="11" max="14" width="12.140625" bestFit="1" customWidth="1"/>
  </cols>
  <sheetData>
    <row r="1" spans="1:10" x14ac:dyDescent="0.25">
      <c r="A1" s="14" t="s">
        <v>5804</v>
      </c>
      <c r="B1" t="s">
        <v>4388</v>
      </c>
    </row>
    <row r="3" spans="1:10" x14ac:dyDescent="0.25">
      <c r="A3" s="14" t="s">
        <v>5926</v>
      </c>
      <c r="B3" s="14" t="s">
        <v>5917</v>
      </c>
    </row>
    <row r="4" spans="1:10" x14ac:dyDescent="0.25">
      <c r="B4">
        <v>2502</v>
      </c>
      <c r="C4" t="s">
        <v>5937</v>
      </c>
      <c r="D4">
        <v>2503</v>
      </c>
      <c r="F4" t="s">
        <v>5927</v>
      </c>
      <c r="G4">
        <v>2504</v>
      </c>
      <c r="I4" t="s">
        <v>5928</v>
      </c>
      <c r="J4" t="s">
        <v>3834</v>
      </c>
    </row>
    <row r="5" spans="1:10" x14ac:dyDescent="0.25">
      <c r="A5" s="14" t="s">
        <v>3833</v>
      </c>
      <c r="B5" t="s">
        <v>5800</v>
      </c>
      <c r="D5" t="s">
        <v>5801</v>
      </c>
      <c r="E5" t="s">
        <v>5800</v>
      </c>
      <c r="G5" t="s">
        <v>5801</v>
      </c>
      <c r="H5" t="s">
        <v>5800</v>
      </c>
    </row>
    <row r="6" spans="1:10" x14ac:dyDescent="0.25">
      <c r="A6" s="15" t="s">
        <v>5847</v>
      </c>
      <c r="B6" s="16"/>
      <c r="C6" s="16"/>
      <c r="D6" s="16"/>
      <c r="E6" s="16">
        <v>17423.674078674372</v>
      </c>
      <c r="F6" s="57">
        <v>17423.674078674372</v>
      </c>
      <c r="G6" s="16"/>
      <c r="H6" s="16"/>
      <c r="I6" s="16"/>
      <c r="J6" s="16">
        <v>17423.674078674372</v>
      </c>
    </row>
    <row r="7" spans="1:10" x14ac:dyDescent="0.25">
      <c r="A7" s="15" t="s">
        <v>5851</v>
      </c>
      <c r="B7" s="16">
        <v>28692.74</v>
      </c>
      <c r="C7" s="16">
        <v>28692.74</v>
      </c>
      <c r="D7" s="16"/>
      <c r="E7" s="16">
        <v>18899.121129414547</v>
      </c>
      <c r="F7" s="16">
        <v>18899.121129414547</v>
      </c>
      <c r="G7" s="16">
        <v>27550.3294912007</v>
      </c>
      <c r="H7" s="16">
        <v>127123.47148572533</v>
      </c>
      <c r="I7" s="16">
        <v>154673.80097692602</v>
      </c>
      <c r="J7" s="16">
        <v>202265.66210634058</v>
      </c>
    </row>
    <row r="8" spans="1:10" x14ac:dyDescent="0.25">
      <c r="A8" s="15" t="s">
        <v>5915</v>
      </c>
      <c r="B8" s="16"/>
      <c r="C8" s="16"/>
      <c r="D8" s="16">
        <v>45797.32</v>
      </c>
      <c r="E8" s="16">
        <v>59243.168753044025</v>
      </c>
      <c r="F8" s="57">
        <v>105040.48875304402</v>
      </c>
      <c r="G8" s="16"/>
      <c r="H8" s="16">
        <v>38027.952998469882</v>
      </c>
      <c r="I8" s="16">
        <v>38027.952998469882</v>
      </c>
      <c r="J8" s="16">
        <v>143068.44175151389</v>
      </c>
    </row>
    <row r="9" spans="1:10" x14ac:dyDescent="0.25">
      <c r="A9" s="15" t="s">
        <v>5925</v>
      </c>
      <c r="B9" s="16"/>
      <c r="C9" s="16"/>
      <c r="D9" s="16">
        <v>69235.995984765876</v>
      </c>
      <c r="E9" s="16">
        <v>218105.10970917545</v>
      </c>
      <c r="F9" s="16">
        <v>287341.10569394135</v>
      </c>
      <c r="G9" s="16">
        <v>2531.3200000000002</v>
      </c>
      <c r="H9" s="16">
        <v>39494.882368348539</v>
      </c>
      <c r="I9" s="16">
        <v>42026.202368348539</v>
      </c>
      <c r="J9" s="16">
        <v>329367.3080622899</v>
      </c>
    </row>
    <row r="10" spans="1:10" x14ac:dyDescent="0.25">
      <c r="A10" s="15" t="s">
        <v>3834</v>
      </c>
      <c r="B10" s="16">
        <v>28692.74</v>
      </c>
      <c r="C10" s="16">
        <v>28692.74</v>
      </c>
      <c r="D10" s="16">
        <v>115033.31598476588</v>
      </c>
      <c r="E10" s="16">
        <v>313671.0736703084</v>
      </c>
      <c r="F10" s="16">
        <v>428704.38965507428</v>
      </c>
      <c r="G10" s="16">
        <v>30081.6494912007</v>
      </c>
      <c r="H10" s="16">
        <v>204646.30685254376</v>
      </c>
      <c r="I10" s="16">
        <v>234727.95634374444</v>
      </c>
      <c r="J10" s="16">
        <v>692125.08599881874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00B050"/>
  </sheetPr>
  <dimension ref="A1:AT1607"/>
  <sheetViews>
    <sheetView workbookViewId="0">
      <pane xSplit="7" ySplit="1" topLeftCell="I877" activePane="bottomRight" state="frozen"/>
      <selection pane="topRight" activeCell="C1" sqref="C1"/>
      <selection pane="bottomLeft" activeCell="A2" sqref="A2"/>
      <selection pane="bottomRight" activeCell="M1001" sqref="M1001"/>
    </sheetView>
  </sheetViews>
  <sheetFormatPr defaultColWidth="9.28515625" defaultRowHeight="15" x14ac:dyDescent="0.25"/>
  <cols>
    <col min="1" max="1" width="6.85546875" bestFit="1" customWidth="1"/>
    <col min="2" max="2" width="8.42578125" bestFit="1" customWidth="1"/>
    <col min="3" max="3" width="11.7109375" bestFit="1" customWidth="1"/>
    <col min="4" max="4" width="18.140625" bestFit="1" customWidth="1"/>
    <col min="5" max="5" width="12.85546875" bestFit="1" customWidth="1"/>
    <col min="7" max="7" width="20" bestFit="1" customWidth="1"/>
    <col min="8" max="8" width="9.85546875" bestFit="1" customWidth="1"/>
    <col min="9" max="9" width="7.140625" customWidth="1"/>
    <col min="11" max="11" width="8.7109375" customWidth="1"/>
    <col min="12" max="13" width="8.42578125" customWidth="1"/>
    <col min="14" max="14" width="37.5703125" bestFit="1" customWidth="1"/>
    <col min="15" max="17" width="10.5703125" bestFit="1" customWidth="1"/>
    <col min="18" max="18" width="8.7109375" style="33" customWidth="1"/>
    <col min="19" max="19" width="10.5703125" customWidth="1"/>
    <col min="20" max="20" width="15.5703125" bestFit="1" customWidth="1"/>
    <col min="21" max="24" width="16.5703125" bestFit="1" customWidth="1"/>
    <col min="33" max="33" width="100.7109375" customWidth="1"/>
    <col min="35" max="35" width="12.85546875" bestFit="1" customWidth="1"/>
    <col min="36" max="36" width="10.5703125" bestFit="1" customWidth="1"/>
    <col min="37" max="37" width="10.5703125" customWidth="1"/>
    <col min="38" max="38" width="9.5703125" bestFit="1" customWidth="1"/>
    <col min="43" max="43" width="9.5703125" bestFit="1" customWidth="1"/>
    <col min="44" max="44" width="16.85546875" bestFit="1" customWidth="1"/>
  </cols>
  <sheetData>
    <row r="1" spans="1:46" ht="27.75" customHeight="1" x14ac:dyDescent="0.25">
      <c r="A1" s="27" t="s">
        <v>5854</v>
      </c>
      <c r="B1" s="27" t="s">
        <v>3390</v>
      </c>
      <c r="C1" s="26" t="s">
        <v>5779</v>
      </c>
      <c r="D1" s="26" t="s">
        <v>5780</v>
      </c>
      <c r="E1" s="26" t="s">
        <v>5781</v>
      </c>
      <c r="F1" s="26" t="s">
        <v>5782</v>
      </c>
      <c r="G1" s="27" t="s">
        <v>5783</v>
      </c>
      <c r="H1" s="27" t="s">
        <v>5805</v>
      </c>
      <c r="I1" s="27" t="s">
        <v>5909</v>
      </c>
      <c r="J1" s="27" t="s">
        <v>5784</v>
      </c>
      <c r="K1" s="30" t="s">
        <v>5806</v>
      </c>
      <c r="L1" s="30" t="s">
        <v>5910</v>
      </c>
      <c r="M1" s="30" t="s">
        <v>5914</v>
      </c>
      <c r="N1" s="27" t="s">
        <v>3824</v>
      </c>
      <c r="O1" s="27" t="s">
        <v>3831</v>
      </c>
      <c r="P1" s="27" t="s">
        <v>22</v>
      </c>
      <c r="Q1" s="27" t="s">
        <v>51</v>
      </c>
      <c r="R1" s="30" t="s">
        <v>5804</v>
      </c>
      <c r="S1" s="27" t="s">
        <v>4390</v>
      </c>
      <c r="T1" s="27" t="s">
        <v>15</v>
      </c>
      <c r="U1" s="28" t="s">
        <v>5787</v>
      </c>
      <c r="V1" s="28" t="s">
        <v>5788</v>
      </c>
      <c r="W1" s="28" t="s">
        <v>5789</v>
      </c>
      <c r="X1" s="28" t="s">
        <v>5790</v>
      </c>
      <c r="Y1" s="42" t="s">
        <v>5791</v>
      </c>
      <c r="Z1" s="42" t="s">
        <v>5792</v>
      </c>
      <c r="AA1" s="42" t="s">
        <v>5793</v>
      </c>
      <c r="AB1" s="42" t="s">
        <v>5794</v>
      </c>
      <c r="AC1" s="43" t="s">
        <v>5795</v>
      </c>
      <c r="AD1" s="43" t="s">
        <v>5796</v>
      </c>
      <c r="AE1" s="43" t="s">
        <v>5797</v>
      </c>
      <c r="AF1" s="43" t="s">
        <v>5798</v>
      </c>
      <c r="AG1" s="44" t="s">
        <v>5799</v>
      </c>
      <c r="AH1" s="52" t="s">
        <v>15</v>
      </c>
      <c r="AI1" s="28" t="s">
        <v>5856</v>
      </c>
      <c r="AJ1" s="28" t="s">
        <v>5855</v>
      </c>
      <c r="AK1" s="28" t="s">
        <v>5857</v>
      </c>
      <c r="AL1" s="28" t="s">
        <v>5858</v>
      </c>
      <c r="AM1" s="52" t="s">
        <v>5895</v>
      </c>
      <c r="AN1" s="52" t="s">
        <v>5896</v>
      </c>
      <c r="AO1" s="52" t="s">
        <v>5897</v>
      </c>
      <c r="AP1" s="52" t="s">
        <v>5898</v>
      </c>
      <c r="AQ1" s="52" t="s">
        <v>5935</v>
      </c>
      <c r="AR1" s="63" t="s">
        <v>5929</v>
      </c>
      <c r="AS1" s="52" t="s">
        <v>5930</v>
      </c>
      <c r="AT1" s="52" t="s">
        <v>5936</v>
      </c>
    </row>
    <row r="2" spans="1:46" hidden="1" x14ac:dyDescent="0.25">
      <c r="A2" s="41">
        <f>CASOPOInvCL!T2</f>
        <v>1</v>
      </c>
      <c r="B2" t="str">
        <f>CASOPOInvCL!Z2</f>
        <v>SO16348</v>
      </c>
      <c r="G2" s="5" t="str">
        <f>CASOPOInvCL!I2</f>
        <v>Ian Trottier</v>
      </c>
      <c r="H2" s="31">
        <f>CASOPOInvCL!U2</f>
        <v>1</v>
      </c>
      <c r="I2" s="31">
        <f>CASOPOInvCL!V2</f>
        <v>2025</v>
      </c>
      <c r="J2" s="5" t="str">
        <f>CASOPOInvCL!AB2</f>
        <v>INV12491</v>
      </c>
      <c r="K2" s="31">
        <f>CASOPOInvCL!W2</f>
        <v>2</v>
      </c>
      <c r="L2" s="31">
        <f>CASOPOInvCL!X2</f>
        <v>2025</v>
      </c>
      <c r="M2" s="31"/>
      <c r="N2" s="5" t="str">
        <f>CASOPOInvCL!AF2</f>
        <v>Wesdome Gold Mines Ltd - Eagle River Mine</v>
      </c>
      <c r="O2" s="16" t="str">
        <f>CASOPOInvCL!AG2</f>
        <v>CAD</v>
      </c>
      <c r="P2" s="16">
        <f>CASOPOInvCL!AH2</f>
        <v>18278.97</v>
      </c>
      <c r="Q2" s="16">
        <f>CASOPOInvCL!AI2</f>
        <v>12727.321809711637</v>
      </c>
      <c r="R2" s="32" t="str">
        <f>CASOPOInvCL!AU2</f>
        <v>Yes</v>
      </c>
      <c r="S2" s="16">
        <f>CASOPOInvCL!AV2</f>
        <v>0</v>
      </c>
      <c r="T2" s="16">
        <f>CASOPOInvCL!AW2</f>
        <v>12727.321809711637</v>
      </c>
      <c r="Y2" s="29" t="str">
        <f>IFERROR(HLOOKUP(U2,List!$D$2:$H$6,2,FALSE),"")</f>
        <v/>
      </c>
      <c r="Z2" s="29" t="str">
        <f>IFERROR(HLOOKUP(V2,List!$D$2:$H$6,3,FALSE),"")</f>
        <v/>
      </c>
      <c r="AA2" s="29" t="str">
        <f>IFERROR(HLOOKUP(W2,List!$D$2:$H$6,4,FALSE),"")</f>
        <v/>
      </c>
      <c r="AB2" s="29" t="str">
        <f>IFERROR(HLOOKUP(X2,List!$D$2:$H$6,5,FALSE),"")</f>
        <v/>
      </c>
      <c r="AC2" s="12" t="str">
        <f t="shared" ref="AC2:AF2" si="0">IFERROR(Y2*$T2,"")</f>
        <v/>
      </c>
      <c r="AD2" s="12" t="str">
        <f t="shared" si="0"/>
        <v/>
      </c>
      <c r="AE2" s="12" t="str">
        <f t="shared" si="0"/>
        <v/>
      </c>
      <c r="AF2" s="12" t="str">
        <f t="shared" si="0"/>
        <v/>
      </c>
      <c r="AG2" t="str">
        <f>VLOOKUP(J2,'Receivable Invoice Detail'!$A$1:F3014,6,FALSE)</f>
        <v>[AC-98-231-121-501] Suction Side Plate, 8x6-18 SRL-C, Natural Rubber</v>
      </c>
      <c r="AH2" s="12">
        <f t="shared" ref="AH2:AH65" si="1">SUM(AC2:AF2)</f>
        <v>0</v>
      </c>
      <c r="AM2" s="12" t="str">
        <f>IF(AI2="",AC2,0)</f>
        <v/>
      </c>
      <c r="AN2" s="12" t="str">
        <f t="shared" ref="AN2:AP2" si="2">IF(AJ2="",AD2,0)</f>
        <v/>
      </c>
      <c r="AO2" s="12" t="str">
        <f t="shared" si="2"/>
        <v/>
      </c>
      <c r="AP2" s="12" t="str">
        <f t="shared" si="2"/>
        <v/>
      </c>
      <c r="AQ2" s="12"/>
      <c r="AS2" s="12">
        <f>T2*1.5%</f>
        <v>190.90982714567454</v>
      </c>
      <c r="AT2" s="16" t="str">
        <f t="shared" ref="AT2:AT8" si="3">R2</f>
        <v>Yes</v>
      </c>
    </row>
    <row r="3" spans="1:46" hidden="1" x14ac:dyDescent="0.25">
      <c r="A3" s="41">
        <f>CASOPOInvCL!T3</f>
        <v>1</v>
      </c>
      <c r="B3" t="str">
        <f>CASOPOInvCL!Z3</f>
        <v>SO16349</v>
      </c>
      <c r="E3" t="s">
        <v>5847</v>
      </c>
      <c r="G3" s="5" t="str">
        <f>CASOPOInvCL!I3</f>
        <v>Amanda Qiao</v>
      </c>
      <c r="H3" s="31">
        <f>CASOPOInvCL!U3</f>
        <v>1</v>
      </c>
      <c r="I3" s="31">
        <f>CASOPOInvCL!V3</f>
        <v>2025</v>
      </c>
      <c r="J3" s="5" t="str">
        <f>CASOPOInvCL!AB3</f>
        <v>INV12951</v>
      </c>
      <c r="K3" s="31">
        <f>CASOPOInvCL!W3</f>
        <v>7</v>
      </c>
      <c r="L3" s="31">
        <f>CASOPOInvCL!X3</f>
        <v>2025</v>
      </c>
      <c r="M3">
        <v>2503</v>
      </c>
      <c r="N3" s="5" t="str">
        <f>CASOPOInvCL!AF3</f>
        <v>Zijin Mining - Rosebel Goldmines N.V.</v>
      </c>
      <c r="O3" s="16" t="str">
        <f>CASOPOInvCL!AG3</f>
        <v>USD</v>
      </c>
      <c r="P3" s="16">
        <f>CASOPOInvCL!AH3</f>
        <v>16788.290829708509</v>
      </c>
      <c r="Q3" s="16">
        <f>CASOPOInvCL!AI3</f>
        <v>11639.6</v>
      </c>
      <c r="R3" s="32" t="str">
        <f>CASOPOInvCL!AU3</f>
        <v>Yes</v>
      </c>
      <c r="S3" s="16">
        <f>CASOPOInvCL!AV3</f>
        <v>0</v>
      </c>
      <c r="T3" s="16">
        <f>CASOPOInvCL!AW3</f>
        <v>11639.6</v>
      </c>
      <c r="W3" t="s">
        <v>5800</v>
      </c>
      <c r="Y3" s="29" t="str">
        <f>IFERROR(HLOOKUP(U3,List!$D$2:$H$6,2,FALSE),"")</f>
        <v/>
      </c>
      <c r="Z3" s="29" t="str">
        <f>IFERROR(HLOOKUP(V3,List!$D$2:$H$6,3,FALSE),"")</f>
        <v/>
      </c>
      <c r="AA3" s="29">
        <f>IFERROR(HLOOKUP(W3,List!$D$2:$H$6,4,FALSE),"")</f>
        <v>0.01</v>
      </c>
      <c r="AB3" s="29" t="str">
        <f>IFERROR(HLOOKUP(X3,List!$D$2:$H$6,5,FALSE),"")</f>
        <v/>
      </c>
      <c r="AC3" s="12" t="str">
        <f t="shared" ref="AC3:AC66" si="4">IFERROR(Y3*$T3,"")</f>
        <v/>
      </c>
      <c r="AD3" s="12" t="str">
        <f t="shared" ref="AD3:AD66" si="5">IFERROR(Z3*$T3,"")</f>
        <v/>
      </c>
      <c r="AE3" s="12">
        <f t="shared" ref="AE3:AE66" si="6">IFERROR(AA3*$T3,"")</f>
        <v>116.396</v>
      </c>
      <c r="AF3" s="12" t="str">
        <f t="shared" ref="AF3:AF66" si="7">IFERROR(AB3*$T3,"")</f>
        <v/>
      </c>
      <c r="AG3" t="str">
        <f>VLOOKUP(J3,'Receivable Invoice Detail'!$A$1:F3015,6,FALSE)</f>
        <v>[100HP-1800-VHS] 100 HP, 1800 RPM, 460/3/60, 404TP Frame, TEFC, NEMA Standard, BMR USA VHS Motor</v>
      </c>
      <c r="AH3" s="12">
        <f t="shared" si="1"/>
        <v>116.396</v>
      </c>
      <c r="AK3">
        <v>2503</v>
      </c>
      <c r="AM3" s="12" t="str">
        <f t="shared" ref="AM3:AM66" si="8">IF(AI3="",AC3,0)</f>
        <v/>
      </c>
      <c r="AN3" s="12" t="str">
        <f t="shared" ref="AN3:AN66" si="9">IF(AJ3="",AD3,0)</f>
        <v/>
      </c>
      <c r="AO3" s="12">
        <f t="shared" ref="AO3:AO66" si="10">IF(AK3="",AE3,0)</f>
        <v>0</v>
      </c>
      <c r="AP3" s="12" t="str">
        <f t="shared" ref="AP3:AP66" si="11">IF(AL3="",AF3,0)</f>
        <v/>
      </c>
      <c r="AQ3" s="64">
        <v>2503</v>
      </c>
      <c r="AR3" t="s">
        <v>5932</v>
      </c>
      <c r="AS3" s="12">
        <f t="shared" ref="AS3:AS66" si="12">T3*1.5%</f>
        <v>174.59399999999999</v>
      </c>
      <c r="AT3" s="16" t="str">
        <f t="shared" si="3"/>
        <v>Yes</v>
      </c>
    </row>
    <row r="4" spans="1:46" hidden="1" x14ac:dyDescent="0.25">
      <c r="A4" s="41">
        <f>CASOPOInvCL!T4</f>
        <v>1</v>
      </c>
      <c r="B4" t="str">
        <f>CASOPOInvCL!Z4</f>
        <v>SO16350</v>
      </c>
      <c r="D4" t="s">
        <v>5925</v>
      </c>
      <c r="G4" s="5" t="str">
        <f>CASOPOInvCL!I4</f>
        <v>Ian Trottier</v>
      </c>
      <c r="H4" s="31">
        <f>CASOPOInvCL!U4</f>
        <v>1</v>
      </c>
      <c r="I4" s="31">
        <f>CASOPOInvCL!V4</f>
        <v>2025</v>
      </c>
      <c r="J4" s="5" t="str">
        <f>CASOPOInvCL!AB4</f>
        <v>INV12497</v>
      </c>
      <c r="K4" s="31">
        <f>CASOPOInvCL!W4</f>
        <v>2</v>
      </c>
      <c r="L4" s="31">
        <f>CASOPOInvCL!X4</f>
        <v>2025</v>
      </c>
      <c r="M4">
        <v>2504</v>
      </c>
      <c r="N4" s="5" t="str">
        <f>CASOPOInvCL!AF4</f>
        <v>Alamos Gold Inc, Alamos Gold Inc Island Gold Division</v>
      </c>
      <c r="O4" s="16" t="str">
        <f>CASOPOInvCL!AG4</f>
        <v>CAD</v>
      </c>
      <c r="P4" s="16">
        <f>CASOPOInvCL!AH4</f>
        <v>1363.36</v>
      </c>
      <c r="Q4" s="16">
        <f>CASOPOInvCL!AI4</f>
        <v>945.24006147894045</v>
      </c>
      <c r="R4" s="32" t="str">
        <f>CASOPOInvCL!AU4</f>
        <v>Yes</v>
      </c>
      <c r="S4" s="16">
        <f>CASOPOInvCL!AV4</f>
        <v>0</v>
      </c>
      <c r="T4" s="16">
        <f>CASOPOInvCL!AW4</f>
        <v>945.24006147894045</v>
      </c>
      <c r="V4" t="s">
        <v>5800</v>
      </c>
      <c r="Y4" s="29" t="str">
        <f>IFERROR(HLOOKUP(U4,List!$D$2:$H$6,2,FALSE),"")</f>
        <v/>
      </c>
      <c r="Z4" s="29">
        <f>IFERROR(HLOOKUP(V4,List!$D$2:$H$6,3,FALSE),"")</f>
        <v>5.0000000000000001E-3</v>
      </c>
      <c r="AA4" s="29" t="str">
        <f>IFERROR(HLOOKUP(W4,List!$D$2:$H$6,4,FALSE),"")</f>
        <v/>
      </c>
      <c r="AB4" s="29" t="str">
        <f>IFERROR(HLOOKUP(X4,List!$D$2:$H$6,5,FALSE),"")</f>
        <v/>
      </c>
      <c r="AC4" s="12" t="str">
        <f t="shared" si="4"/>
        <v/>
      </c>
      <c r="AD4" s="12">
        <f t="shared" si="5"/>
        <v>4.7262003073947021</v>
      </c>
      <c r="AE4" s="12" t="str">
        <f t="shared" si="6"/>
        <v/>
      </c>
      <c r="AF4" s="12" t="str">
        <f t="shared" si="7"/>
        <v/>
      </c>
      <c r="AG4" t="str">
        <f>VLOOKUP(J4,'Receivable Invoice Detail'!$A$1:F3016,6,FALSE)</f>
        <v>[AC-52-118-681-804] Mechanical Seal, CSO, Type-9T, Carbon vs' Ceramic/Viton, O-Ring seat</v>
      </c>
      <c r="AH4" s="12">
        <f t="shared" si="1"/>
        <v>4.7262003073947021</v>
      </c>
      <c r="AM4" s="12" t="str">
        <f t="shared" si="8"/>
        <v/>
      </c>
      <c r="AN4" s="12">
        <f t="shared" si="9"/>
        <v>4.7262003073947021</v>
      </c>
      <c r="AO4" s="12" t="str">
        <f t="shared" si="10"/>
        <v/>
      </c>
      <c r="AP4" s="12" t="str">
        <f t="shared" si="11"/>
        <v/>
      </c>
      <c r="AQ4" s="12"/>
      <c r="AS4" s="12">
        <f t="shared" si="12"/>
        <v>14.178600922184106</v>
      </c>
      <c r="AT4" s="16" t="str">
        <f t="shared" si="3"/>
        <v>Yes</v>
      </c>
    </row>
    <row r="5" spans="1:46" hidden="1" x14ac:dyDescent="0.25">
      <c r="A5" s="41">
        <f>CASOPOInvCL!T5</f>
        <v>1</v>
      </c>
      <c r="B5" t="str">
        <f>CASOPOInvCL!Z5</f>
        <v>SO16353</v>
      </c>
      <c r="G5" s="5" t="str">
        <f>CASOPOInvCL!I5</f>
        <v>Ian Trottier</v>
      </c>
      <c r="H5" s="31">
        <f>CASOPOInvCL!U5</f>
        <v>1</v>
      </c>
      <c r="I5" s="31">
        <f>CASOPOInvCL!V5</f>
        <v>2025</v>
      </c>
      <c r="J5" s="5" t="str">
        <f>CASOPOInvCL!AB5</f>
        <v>INV12591</v>
      </c>
      <c r="K5" s="31">
        <f>CASOPOInvCL!W5</f>
        <v>2</v>
      </c>
      <c r="L5" s="31">
        <f>CASOPOInvCL!X5</f>
        <v>2025</v>
      </c>
      <c r="M5" s="31"/>
      <c r="N5" s="5" t="str">
        <f>CASOPOInvCL!AF5</f>
        <v>Sling-Choker Manufacturing - Timmins</v>
      </c>
      <c r="O5" s="16" t="str">
        <f>CASOPOInvCL!AG5</f>
        <v>CAD</v>
      </c>
      <c r="P5" s="16">
        <f>CASOPOInvCL!AH5</f>
        <v>2097.09</v>
      </c>
      <c r="Q5" s="16">
        <f>CASOPOInvCL!AI5</f>
        <v>1453.9472190227605</v>
      </c>
      <c r="R5" s="32" t="str">
        <f>CASOPOInvCL!AU5</f>
        <v>Yes</v>
      </c>
      <c r="S5" s="16">
        <f>CASOPOInvCL!AV5</f>
        <v>0</v>
      </c>
      <c r="T5" s="16">
        <f>CASOPOInvCL!AW5</f>
        <v>1453.9472190227605</v>
      </c>
      <c r="Y5" s="29" t="str">
        <f>IFERROR(HLOOKUP(U5,List!$D$2:$H$6,2,FALSE),"")</f>
        <v/>
      </c>
      <c r="Z5" s="29" t="str">
        <f>IFERROR(HLOOKUP(V5,List!$D$2:$H$6,3,FALSE),"")</f>
        <v/>
      </c>
      <c r="AA5" s="29" t="str">
        <f>IFERROR(HLOOKUP(W5,List!$D$2:$H$6,4,FALSE),"")</f>
        <v/>
      </c>
      <c r="AB5" s="29" t="str">
        <f>IFERROR(HLOOKUP(X5,List!$D$2:$H$6,5,FALSE),"")</f>
        <v/>
      </c>
      <c r="AC5" s="12" t="str">
        <f t="shared" si="4"/>
        <v/>
      </c>
      <c r="AD5" s="12" t="str">
        <f t="shared" si="5"/>
        <v/>
      </c>
      <c r="AE5" s="12" t="str">
        <f t="shared" si="6"/>
        <v/>
      </c>
      <c r="AF5" s="12" t="str">
        <f t="shared" si="7"/>
        <v/>
      </c>
      <c r="AG5" t="str">
        <f>VLOOKUP(J5,'Receivable Invoice Detail'!$A$1:F3017,6,FALSE)</f>
        <v>[G-1ST1F6C4] Pump, 1x1.25-6, Goulds NPE, SS Wet-End, Close-Coupled</v>
      </c>
      <c r="AH5" s="12">
        <f t="shared" si="1"/>
        <v>0</v>
      </c>
      <c r="AM5" s="12" t="str">
        <f t="shared" si="8"/>
        <v/>
      </c>
      <c r="AN5" s="12" t="str">
        <f t="shared" si="9"/>
        <v/>
      </c>
      <c r="AO5" s="12" t="str">
        <f t="shared" si="10"/>
        <v/>
      </c>
      <c r="AP5" s="12" t="str">
        <f t="shared" si="11"/>
        <v/>
      </c>
      <c r="AQ5" s="12"/>
      <c r="AS5" s="12">
        <f t="shared" si="12"/>
        <v>21.809208285341406</v>
      </c>
      <c r="AT5" s="16" t="str">
        <f t="shared" si="3"/>
        <v>Yes</v>
      </c>
    </row>
    <row r="6" spans="1:46" hidden="1" x14ac:dyDescent="0.25">
      <c r="A6" s="41">
        <f>CASOPOInvCL!T6</f>
        <v>1</v>
      </c>
      <c r="B6" t="str">
        <f>CASOPOInvCL!Z6</f>
        <v>SO16359</v>
      </c>
      <c r="G6" s="5" t="str">
        <f>CASOPOInvCL!I6</f>
        <v>Ian Trottier</v>
      </c>
      <c r="H6" s="31">
        <f>CASOPOInvCL!U6</f>
        <v>1</v>
      </c>
      <c r="I6" s="31">
        <f>CASOPOInvCL!V6</f>
        <v>2025</v>
      </c>
      <c r="J6" s="5" t="str">
        <f>CASOPOInvCL!AB6</f>
        <v>INV12502</v>
      </c>
      <c r="K6" s="31">
        <f>CASOPOInvCL!W6</f>
        <v>2</v>
      </c>
      <c r="L6" s="31">
        <f>CASOPOInvCL!X6</f>
        <v>2025</v>
      </c>
      <c r="M6" s="31"/>
      <c r="N6" s="5" t="str">
        <f>CASOPOInvCL!AF6</f>
        <v>Corrosion Fluid Products Corp., Corrosion Fluid Products Corp. - Chicago</v>
      </c>
      <c r="O6" s="16" t="str">
        <f>CASOPOInvCL!AG6</f>
        <v>USD</v>
      </c>
      <c r="P6" s="16">
        <f>CASOPOInvCL!AH6</f>
        <v>144.20876639573115</v>
      </c>
      <c r="Q6" s="16">
        <f>CASOPOInvCL!AI6</f>
        <v>100.41</v>
      </c>
      <c r="R6" s="32" t="str">
        <f>CASOPOInvCL!AU6</f>
        <v>Yes</v>
      </c>
      <c r="S6" s="16">
        <f>CASOPOInvCL!AV6</f>
        <v>0</v>
      </c>
      <c r="T6" s="16">
        <f>CASOPOInvCL!AW6</f>
        <v>100.41</v>
      </c>
      <c r="Y6" s="29" t="str">
        <f>IFERROR(HLOOKUP(U6,List!$D$2:$H$6,2,FALSE),"")</f>
        <v/>
      </c>
      <c r="Z6" s="29" t="str">
        <f>IFERROR(HLOOKUP(V6,List!$D$2:$H$6,3,FALSE),"")</f>
        <v/>
      </c>
      <c r="AA6" s="29" t="str">
        <f>IFERROR(HLOOKUP(W6,List!$D$2:$H$6,4,FALSE),"")</f>
        <v/>
      </c>
      <c r="AB6" s="29" t="str">
        <f>IFERROR(HLOOKUP(X6,List!$D$2:$H$6,5,FALSE),"")</f>
        <v/>
      </c>
      <c r="AC6" s="12" t="str">
        <f t="shared" si="4"/>
        <v/>
      </c>
      <c r="AD6" s="12" t="str">
        <f t="shared" si="5"/>
        <v/>
      </c>
      <c r="AE6" s="12" t="str">
        <f t="shared" si="6"/>
        <v/>
      </c>
      <c r="AF6" s="12" t="str">
        <f t="shared" si="7"/>
        <v/>
      </c>
      <c r="AG6" t="str">
        <f>VLOOKUP(J6,'Receivable Invoice Detail'!$A$1:F3018,6,FALSE)</f>
        <v>[GA-24059] Flinger, 2.5", G-Series VSP, 2.5" 1000 Series or 1.5" 5000 Series, Neoprene</v>
      </c>
      <c r="AH6" s="12">
        <f t="shared" si="1"/>
        <v>0</v>
      </c>
      <c r="AM6" s="12" t="str">
        <f t="shared" si="8"/>
        <v/>
      </c>
      <c r="AN6" s="12" t="str">
        <f t="shared" si="9"/>
        <v/>
      </c>
      <c r="AO6" s="12" t="str">
        <f t="shared" si="10"/>
        <v/>
      </c>
      <c r="AP6" s="12" t="str">
        <f t="shared" si="11"/>
        <v/>
      </c>
      <c r="AQ6" s="12"/>
      <c r="AS6" s="12">
        <f t="shared" si="12"/>
        <v>1.5061499999999999</v>
      </c>
      <c r="AT6" s="16" t="str">
        <f t="shared" si="3"/>
        <v>Yes</v>
      </c>
    </row>
    <row r="7" spans="1:46" hidden="1" x14ac:dyDescent="0.25">
      <c r="A7" s="41">
        <f>CASOPOInvCL!T7</f>
        <v>1</v>
      </c>
      <c r="B7" t="str">
        <f>CASOPOInvCL!Z7</f>
        <v>SO16360</v>
      </c>
      <c r="G7" s="5" t="str">
        <f>CASOPOInvCL!I7</f>
        <v>Ian Trottier</v>
      </c>
      <c r="H7" s="31">
        <f>CASOPOInvCL!U7</f>
        <v>1</v>
      </c>
      <c r="I7" s="31">
        <f>CASOPOInvCL!V7</f>
        <v>2025</v>
      </c>
      <c r="J7" s="5" t="str">
        <f>CASOPOInvCL!AB7</f>
        <v>INV12492</v>
      </c>
      <c r="K7" s="31">
        <f>CASOPOInvCL!W7</f>
        <v>2</v>
      </c>
      <c r="L7" s="31">
        <f>CASOPOInvCL!X7</f>
        <v>2025</v>
      </c>
      <c r="M7" s="31"/>
      <c r="N7" s="5" t="str">
        <f>CASOPOInvCL!AF7</f>
        <v>Hyperflo</v>
      </c>
      <c r="O7" s="16" t="str">
        <f>CASOPOInvCL!AG7</f>
        <v>CAD</v>
      </c>
      <c r="P7" s="16">
        <f>CASOPOInvCL!AH7</f>
        <v>958.11</v>
      </c>
      <c r="Q7" s="16">
        <f>CASOPOInvCL!AI7</f>
        <v>667.11495774120851</v>
      </c>
      <c r="R7" s="32" t="str">
        <f>CASOPOInvCL!AU7</f>
        <v>Yes</v>
      </c>
      <c r="S7" s="16">
        <f>CASOPOInvCL!AV7</f>
        <v>0</v>
      </c>
      <c r="T7" s="16">
        <f>CASOPOInvCL!AW7</f>
        <v>667.11495774120851</v>
      </c>
      <c r="Y7" s="29" t="str">
        <f>IFERROR(HLOOKUP(U7,List!$D$2:$H$6,2,FALSE),"")</f>
        <v/>
      </c>
      <c r="Z7" s="29" t="str">
        <f>IFERROR(HLOOKUP(V7,List!$D$2:$H$6,3,FALSE),"")</f>
        <v/>
      </c>
      <c r="AA7" s="29" t="str">
        <f>IFERROR(HLOOKUP(W7,List!$D$2:$H$6,4,FALSE),"")</f>
        <v/>
      </c>
      <c r="AB7" s="29" t="str">
        <f>IFERROR(HLOOKUP(X7,List!$D$2:$H$6,5,FALSE),"")</f>
        <v/>
      </c>
      <c r="AC7" s="12" t="str">
        <f t="shared" si="4"/>
        <v/>
      </c>
      <c r="AD7" s="12" t="str">
        <f t="shared" si="5"/>
        <v/>
      </c>
      <c r="AE7" s="12" t="str">
        <f t="shared" si="6"/>
        <v/>
      </c>
      <c r="AF7" s="12" t="str">
        <f t="shared" si="7"/>
        <v/>
      </c>
      <c r="AG7" t="str">
        <f>VLOOKUP(J7,'Receivable Invoice Detail'!$A$1:F3019,6,FALSE)</f>
        <v>[AC-98-236-360-501] Gland Assembly, 8x6-18 &amp; 10x8-21 SRL-C, 316SS</v>
      </c>
      <c r="AH7" s="12">
        <f t="shared" si="1"/>
        <v>0</v>
      </c>
      <c r="AM7" s="12" t="str">
        <f t="shared" si="8"/>
        <v/>
      </c>
      <c r="AN7" s="12" t="str">
        <f t="shared" si="9"/>
        <v/>
      </c>
      <c r="AO7" s="12" t="str">
        <f t="shared" si="10"/>
        <v/>
      </c>
      <c r="AP7" s="12" t="str">
        <f t="shared" si="11"/>
        <v/>
      </c>
      <c r="AQ7" s="12"/>
      <c r="AS7" s="12">
        <f t="shared" si="12"/>
        <v>10.006724366118128</v>
      </c>
      <c r="AT7" s="16" t="str">
        <f t="shared" si="3"/>
        <v>Yes</v>
      </c>
    </row>
    <row r="8" spans="1:46" hidden="1" x14ac:dyDescent="0.25">
      <c r="A8" s="41">
        <f>CASOPOInvCL!T8</f>
        <v>1</v>
      </c>
      <c r="B8" t="str">
        <f>CASOPOInvCL!Z8</f>
        <v>SO16361</v>
      </c>
      <c r="G8" s="5" t="str">
        <f>CASOPOInvCL!I8</f>
        <v>Ian Trottier</v>
      </c>
      <c r="H8" s="31">
        <f>CASOPOInvCL!U8</f>
        <v>1</v>
      </c>
      <c r="I8" s="31">
        <f>CASOPOInvCL!V8</f>
        <v>2025</v>
      </c>
      <c r="J8" s="5" t="str">
        <f>CASOPOInvCL!AB8</f>
        <v>INV12901</v>
      </c>
      <c r="K8" s="31">
        <f>CASOPOInvCL!W8</f>
        <v>5</v>
      </c>
      <c r="L8" s="31">
        <f>CASOPOInvCL!X8</f>
        <v>2025</v>
      </c>
      <c r="M8" s="31"/>
      <c r="N8" s="5" t="str">
        <f>CASOPOInvCL!AF8</f>
        <v>Sling-Choker Manufacturing - Timmins</v>
      </c>
      <c r="O8" s="16" t="str">
        <f>CASOPOInvCL!AG8</f>
        <v>CAD</v>
      </c>
      <c r="P8" s="16">
        <f>CASOPOInvCL!AH8</f>
        <v>26543.7</v>
      </c>
      <c r="Q8" s="16">
        <f>CASOPOInvCL!AI8</f>
        <v>18457.176791471589</v>
      </c>
      <c r="R8" s="32" t="str">
        <f>CASOPOInvCL!AU8</f>
        <v>Yes</v>
      </c>
      <c r="S8" s="16">
        <f>CASOPOInvCL!AV8</f>
        <v>0</v>
      </c>
      <c r="T8" s="16">
        <f>CASOPOInvCL!AW8</f>
        <v>18457.176791471589</v>
      </c>
      <c r="Y8" s="29" t="str">
        <f>IFERROR(HLOOKUP(U8,List!$D$2:$H$6,2,FALSE),"")</f>
        <v/>
      </c>
      <c r="Z8" s="29" t="str">
        <f>IFERROR(HLOOKUP(V8,List!$D$2:$H$6,3,FALSE),"")</f>
        <v/>
      </c>
      <c r="AA8" s="29" t="str">
        <f>IFERROR(HLOOKUP(W8,List!$D$2:$H$6,4,FALSE),"")</f>
        <v/>
      </c>
      <c r="AB8" s="29" t="str">
        <f>IFERROR(HLOOKUP(X8,List!$D$2:$H$6,5,FALSE),"")</f>
        <v/>
      </c>
      <c r="AC8" s="12" t="str">
        <f t="shared" si="4"/>
        <v/>
      </c>
      <c r="AD8" s="12" t="str">
        <f t="shared" si="5"/>
        <v/>
      </c>
      <c r="AE8" s="12" t="str">
        <f t="shared" si="6"/>
        <v/>
      </c>
      <c r="AF8" s="12" t="str">
        <f t="shared" si="7"/>
        <v/>
      </c>
      <c r="AG8" t="str">
        <f>VLOOKUP(J8,'Receivable Invoice Detail'!$A$1:F3020,6,FALSE)</f>
        <v>[G-D03046A01 1203] Impeller (Less Rings), 6x8-22, 3410-M, 316SS</v>
      </c>
      <c r="AH8" s="12">
        <f t="shared" si="1"/>
        <v>0</v>
      </c>
      <c r="AM8" s="12" t="str">
        <f t="shared" si="8"/>
        <v/>
      </c>
      <c r="AN8" s="12" t="str">
        <f t="shared" si="9"/>
        <v/>
      </c>
      <c r="AO8" s="12" t="str">
        <f t="shared" si="10"/>
        <v/>
      </c>
      <c r="AP8" s="12" t="str">
        <f t="shared" si="11"/>
        <v/>
      </c>
      <c r="AQ8" s="12"/>
      <c r="AS8" s="12">
        <f t="shared" si="12"/>
        <v>276.8576518720738</v>
      </c>
      <c r="AT8" s="16" t="str">
        <f t="shared" si="3"/>
        <v>Yes</v>
      </c>
    </row>
    <row r="9" spans="1:46" hidden="1" x14ac:dyDescent="0.25">
      <c r="A9" s="41">
        <f>CASOPOInvCL!T9</f>
        <v>1</v>
      </c>
      <c r="B9" t="str">
        <f>CASOPOInvCL!Z9</f>
        <v>SO16362</v>
      </c>
      <c r="D9" t="s">
        <v>5938</v>
      </c>
      <c r="G9" s="5" t="str">
        <f>CASOPOInvCL!I9</f>
        <v>Marlen Martinez</v>
      </c>
      <c r="H9" s="31">
        <f>CASOPOInvCL!U9</f>
        <v>1</v>
      </c>
      <c r="I9" s="31">
        <f>CASOPOInvCL!V9</f>
        <v>2025</v>
      </c>
      <c r="J9" s="5" t="str">
        <f>CASOPOInvCL!AB9</f>
        <v>INV12503</v>
      </c>
      <c r="K9" s="31">
        <f>CASOPOInvCL!W9</f>
        <v>4</v>
      </c>
      <c r="L9" s="31">
        <f>CASOPOInvCL!X9</f>
        <v>2025</v>
      </c>
      <c r="M9" s="31"/>
      <c r="N9" s="5" t="str">
        <f>CASOPOInvCL!AF9</f>
        <v>Covia Corp - Junction City</v>
      </c>
      <c r="O9" s="16" t="str">
        <f>CASOPOInvCL!AG9</f>
        <v>CAD</v>
      </c>
      <c r="P9" s="16">
        <f>CASOPOInvCL!AH9</f>
        <v>8795</v>
      </c>
      <c r="Q9" s="16">
        <f>CASOPOInvCL!AI9</f>
        <v>6131.3692546548436</v>
      </c>
      <c r="R9" s="32" t="str">
        <f>CASOPOInvCL!AU9</f>
        <v>Yes</v>
      </c>
      <c r="S9" s="16">
        <f>CASOPOInvCL!AV9</f>
        <v>845</v>
      </c>
      <c r="T9" s="16">
        <f>CASOPOInvCL!AW9</f>
        <v>5286.3692546548436</v>
      </c>
      <c r="Y9" s="29" t="str">
        <f>IFERROR(HLOOKUP(U9,List!$D$2:$H$6,2,FALSE),"")</f>
        <v/>
      </c>
      <c r="Z9" s="29" t="str">
        <f>IFERROR(HLOOKUP(V9,List!$D$2:$H$6,3,FALSE),"")</f>
        <v/>
      </c>
      <c r="AA9" s="29" t="str">
        <f>IFERROR(HLOOKUP(W9,List!$D$2:$H$6,4,FALSE),"")</f>
        <v/>
      </c>
      <c r="AB9" s="29" t="str">
        <f>IFERROR(HLOOKUP(X9,List!$D$2:$H$6,5,FALSE),"")</f>
        <v/>
      </c>
      <c r="AC9" s="12" t="str">
        <f t="shared" si="4"/>
        <v/>
      </c>
      <c r="AD9" s="12" t="str">
        <f t="shared" si="5"/>
        <v/>
      </c>
      <c r="AE9" s="12" t="str">
        <f t="shared" si="6"/>
        <v/>
      </c>
      <c r="AF9" s="12" t="str">
        <f t="shared" si="7"/>
        <v/>
      </c>
      <c r="AG9" t="str">
        <f>VLOOKUP(J9,'Receivable Invoice Detail'!$A$1:F3021,6,FALSE)</f>
        <v>104069/6007 Throatbush, 12/10 ST, G or F-AH, Natural Rubber, Metric</v>
      </c>
      <c r="AH9" s="12">
        <f t="shared" si="1"/>
        <v>0</v>
      </c>
      <c r="AM9" s="12" t="str">
        <f t="shared" si="8"/>
        <v/>
      </c>
      <c r="AN9" s="12" t="str">
        <f t="shared" si="9"/>
        <v/>
      </c>
      <c r="AO9" s="12" t="str">
        <f t="shared" si="10"/>
        <v/>
      </c>
      <c r="AP9" s="12" t="str">
        <f t="shared" si="11"/>
        <v/>
      </c>
      <c r="AQ9" s="12">
        <f>M9</f>
        <v>0</v>
      </c>
      <c r="AR9" t="s">
        <v>5939</v>
      </c>
      <c r="AS9" s="12">
        <f t="shared" si="12"/>
        <v>79.295538819822653</v>
      </c>
      <c r="AT9" s="16" t="str">
        <f>R9</f>
        <v>Yes</v>
      </c>
    </row>
    <row r="10" spans="1:46" hidden="1" x14ac:dyDescent="0.25">
      <c r="A10" s="41">
        <f>CASOPOInvCL!T10</f>
        <v>1</v>
      </c>
      <c r="B10" t="str">
        <f>CASOPOInvCL!Z10</f>
        <v>SO16363</v>
      </c>
      <c r="G10" s="5" t="str">
        <f>CASOPOInvCL!I10</f>
        <v>Ian Trottier</v>
      </c>
      <c r="H10" s="31">
        <f>CASOPOInvCL!U10</f>
        <v>1</v>
      </c>
      <c r="I10" s="31">
        <f>CASOPOInvCL!V10</f>
        <v>2025</v>
      </c>
      <c r="J10" s="5" t="str">
        <f>CASOPOInvCL!AB10</f>
        <v>INV12685</v>
      </c>
      <c r="K10" s="31">
        <f>CASOPOInvCL!W10</f>
        <v>4</v>
      </c>
      <c r="L10" s="31">
        <f>CASOPOInvCL!X10</f>
        <v>2025</v>
      </c>
      <c r="M10" s="31"/>
      <c r="N10" s="5" t="str">
        <f>CASOPOInvCL!AF10</f>
        <v>Les Pompes du St-Laurent Inc.</v>
      </c>
      <c r="O10" s="16" t="str">
        <f>CASOPOInvCL!AG10</f>
        <v>CAD</v>
      </c>
      <c r="P10" s="16">
        <f>CASOPOInvCL!AH10</f>
        <v>1081.44</v>
      </c>
      <c r="Q10" s="16">
        <f>CASOPOInvCL!AI10</f>
        <v>752.98744392570018</v>
      </c>
      <c r="R10" s="32" t="str">
        <f>CASOPOInvCL!AU10</f>
        <v>Yes</v>
      </c>
      <c r="S10" s="16">
        <f>CASOPOInvCL!AV10</f>
        <v>0</v>
      </c>
      <c r="T10" s="16">
        <f>CASOPOInvCL!AW10</f>
        <v>752.98744392570018</v>
      </c>
      <c r="Y10" s="29" t="str">
        <f>IFERROR(HLOOKUP(U10,List!$D$2:$H$6,2,FALSE),"")</f>
        <v/>
      </c>
      <c r="Z10" s="29" t="str">
        <f>IFERROR(HLOOKUP(V10,List!$D$2:$H$6,3,FALSE),"")</f>
        <v/>
      </c>
      <c r="AA10" s="29" t="str">
        <f>IFERROR(HLOOKUP(W10,List!$D$2:$H$6,4,FALSE),"")</f>
        <v/>
      </c>
      <c r="AB10" s="29" t="str">
        <f>IFERROR(HLOOKUP(X10,List!$D$2:$H$6,5,FALSE),"")</f>
        <v/>
      </c>
      <c r="AC10" s="12" t="str">
        <f t="shared" si="4"/>
        <v/>
      </c>
      <c r="AD10" s="12" t="str">
        <f t="shared" si="5"/>
        <v/>
      </c>
      <c r="AE10" s="12" t="str">
        <f t="shared" si="6"/>
        <v/>
      </c>
      <c r="AF10" s="12" t="str">
        <f t="shared" si="7"/>
        <v/>
      </c>
      <c r="AG10" t="str">
        <f>VLOOKUP(J10,'Receivable Invoice Detail'!$A$1:F3022,6,FALSE)</f>
        <v>[Y19847A-CK] Bearing Gasket Kit (3-Piece), Durco Mark 2 Group 1, Cork</v>
      </c>
      <c r="AH10" s="12">
        <f t="shared" si="1"/>
        <v>0</v>
      </c>
      <c r="AM10" s="12" t="str">
        <f t="shared" si="8"/>
        <v/>
      </c>
      <c r="AN10" s="12" t="str">
        <f t="shared" si="9"/>
        <v/>
      </c>
      <c r="AO10" s="12" t="str">
        <f t="shared" si="10"/>
        <v/>
      </c>
      <c r="AP10" s="12" t="str">
        <f t="shared" si="11"/>
        <v/>
      </c>
      <c r="AQ10" s="12"/>
      <c r="AS10" s="12">
        <f t="shared" si="12"/>
        <v>11.294811658885502</v>
      </c>
      <c r="AT10" s="16" t="str">
        <f t="shared" ref="AT10:AT73" si="13">R10</f>
        <v>Yes</v>
      </c>
    </row>
    <row r="11" spans="1:46" hidden="1" x14ac:dyDescent="0.25">
      <c r="A11" s="41">
        <f>CASOPOInvCL!T11</f>
        <v>1</v>
      </c>
      <c r="B11" t="str">
        <f>CASOPOInvCL!Z11</f>
        <v>SO16364</v>
      </c>
      <c r="G11" s="5" t="str">
        <f>CASOPOInvCL!I11</f>
        <v>Ian Trottier</v>
      </c>
      <c r="H11" s="31">
        <f>CASOPOInvCL!U11</f>
        <v>1</v>
      </c>
      <c r="I11" s="31">
        <f>CASOPOInvCL!V11</f>
        <v>2025</v>
      </c>
      <c r="J11" s="5" t="str">
        <f>CASOPOInvCL!AB11</f>
        <v>INV12837</v>
      </c>
      <c r="K11" s="31">
        <f>CASOPOInvCL!W11</f>
        <v>4</v>
      </c>
      <c r="L11" s="31">
        <f>CASOPOInvCL!X11</f>
        <v>2025</v>
      </c>
      <c r="M11" s="31"/>
      <c r="N11" s="5" t="str">
        <f>CASOPOInvCL!AF11</f>
        <v>Eleazar General &amp; Industrial Supplies Limited</v>
      </c>
      <c r="O11" s="16" t="str">
        <f>CASOPOInvCL!AG11</f>
        <v>USD</v>
      </c>
      <c r="P11" s="16">
        <f>CASOPOInvCL!AH11</f>
        <v>1896.8761542852972</v>
      </c>
      <c r="Q11" s="16">
        <f>CASOPOInvCL!AI11</f>
        <v>1317.49</v>
      </c>
      <c r="R11" s="32" t="str">
        <f>CASOPOInvCL!AU11</f>
        <v>Yes</v>
      </c>
      <c r="S11" s="16">
        <f>CASOPOInvCL!AV11</f>
        <v>0</v>
      </c>
      <c r="T11" s="16">
        <f>CASOPOInvCL!AW11</f>
        <v>1317.49</v>
      </c>
      <c r="Y11" s="29" t="str">
        <f>IFERROR(HLOOKUP(U11,List!$D$2:$H$6,2,FALSE),"")</f>
        <v/>
      </c>
      <c r="Z11" s="29" t="str">
        <f>IFERROR(HLOOKUP(V11,List!$D$2:$H$6,3,FALSE),"")</f>
        <v/>
      </c>
      <c r="AA11" s="29" t="str">
        <f>IFERROR(HLOOKUP(W11,List!$D$2:$H$6,4,FALSE),"")</f>
        <v/>
      </c>
      <c r="AB11" s="29" t="str">
        <f>IFERROR(HLOOKUP(X11,List!$D$2:$H$6,5,FALSE),"")</f>
        <v/>
      </c>
      <c r="AC11" s="12" t="str">
        <f t="shared" si="4"/>
        <v/>
      </c>
      <c r="AD11" s="12" t="str">
        <f t="shared" si="5"/>
        <v/>
      </c>
      <c r="AE11" s="12" t="str">
        <f t="shared" si="6"/>
        <v/>
      </c>
      <c r="AF11" s="12" t="str">
        <f t="shared" si="7"/>
        <v/>
      </c>
      <c r="AG11" t="str">
        <f>VLOOKUP(J11,'Receivable Invoice Detail'!$A$1:F3023,6,FALSE)</f>
        <v>[AC-98-039-047-506] Impeller (Closed), 5x4-14 SRL-C, Urethane</v>
      </c>
      <c r="AH11" s="12">
        <f t="shared" si="1"/>
        <v>0</v>
      </c>
      <c r="AM11" s="12" t="str">
        <f t="shared" si="8"/>
        <v/>
      </c>
      <c r="AN11" s="12" t="str">
        <f t="shared" si="9"/>
        <v/>
      </c>
      <c r="AO11" s="12" t="str">
        <f t="shared" si="10"/>
        <v/>
      </c>
      <c r="AP11" s="12" t="str">
        <f t="shared" si="11"/>
        <v/>
      </c>
      <c r="AQ11" s="12"/>
      <c r="AS11" s="12">
        <f t="shared" si="12"/>
        <v>19.762349999999998</v>
      </c>
      <c r="AT11" s="16" t="str">
        <f t="shared" si="13"/>
        <v>Yes</v>
      </c>
    </row>
    <row r="12" spans="1:46" hidden="1" x14ac:dyDescent="0.25">
      <c r="A12" s="41">
        <f>CASOPOInvCL!T12</f>
        <v>1</v>
      </c>
      <c r="B12" t="str">
        <f>CASOPOInvCL!Z12</f>
        <v>SO16368</v>
      </c>
      <c r="G12" s="5" t="str">
        <f>CASOPOInvCL!I12</f>
        <v>Ian Trottier</v>
      </c>
      <c r="H12" s="31">
        <f>CASOPOInvCL!U12</f>
        <v>1</v>
      </c>
      <c r="I12" s="31">
        <f>CASOPOInvCL!V12</f>
        <v>2025</v>
      </c>
      <c r="J12" s="5" t="str">
        <f>CASOPOInvCL!AB12</f>
        <v>INV12509</v>
      </c>
      <c r="K12" s="31">
        <f>CASOPOInvCL!W12</f>
        <v>3</v>
      </c>
      <c r="L12" s="31">
        <f>CASOPOInvCL!X12</f>
        <v>2025</v>
      </c>
      <c r="M12" s="31"/>
      <c r="N12" s="5" t="str">
        <f>CASOPOInvCL!AF12</f>
        <v>Grant Aggregate</v>
      </c>
      <c r="O12" s="16" t="str">
        <f>CASOPOInvCL!AG12</f>
        <v>CAD</v>
      </c>
      <c r="P12" s="16">
        <f>CASOPOInvCL!AH12</f>
        <v>15086.8</v>
      </c>
      <c r="Q12" s="16">
        <f>CASOPOInvCL!AI12</f>
        <v>10478.653594277022</v>
      </c>
      <c r="R12" s="32" t="str">
        <f>CASOPOInvCL!AU12</f>
        <v>Yes</v>
      </c>
      <c r="S12" s="16">
        <f>CASOPOInvCL!AV12</f>
        <v>0</v>
      </c>
      <c r="T12" s="16">
        <f>CASOPOInvCL!AW12</f>
        <v>10478.653594277022</v>
      </c>
      <c r="Y12" s="29" t="str">
        <f>IFERROR(HLOOKUP(U12,List!$D$2:$H$6,2,FALSE),"")</f>
        <v/>
      </c>
      <c r="Z12" s="29" t="str">
        <f>IFERROR(HLOOKUP(V12,List!$D$2:$H$6,3,FALSE),"")</f>
        <v/>
      </c>
      <c r="AA12" s="29" t="str">
        <f>IFERROR(HLOOKUP(W12,List!$D$2:$H$6,4,FALSE),"")</f>
        <v/>
      </c>
      <c r="AB12" s="29" t="str">
        <f>IFERROR(HLOOKUP(X12,List!$D$2:$H$6,5,FALSE),"")</f>
        <v/>
      </c>
      <c r="AC12" s="12" t="str">
        <f t="shared" si="4"/>
        <v/>
      </c>
      <c r="AD12" s="12" t="str">
        <f t="shared" si="5"/>
        <v/>
      </c>
      <c r="AE12" s="12" t="str">
        <f t="shared" si="6"/>
        <v/>
      </c>
      <c r="AF12" s="12" t="str">
        <f t="shared" si="7"/>
        <v/>
      </c>
      <c r="AG12" t="str">
        <f>VLOOKUP(J12,'Receivable Invoice Detail'!$A$1:F3024,6,FALSE)</f>
        <v>[AC-98-431-651-501] Impeller (Closed), 8x6-18 SRL-C, Natural Rubber</v>
      </c>
      <c r="AH12" s="12">
        <f t="shared" si="1"/>
        <v>0</v>
      </c>
      <c r="AM12" s="12" t="str">
        <f t="shared" si="8"/>
        <v/>
      </c>
      <c r="AN12" s="12" t="str">
        <f t="shared" si="9"/>
        <v/>
      </c>
      <c r="AO12" s="12" t="str">
        <f t="shared" si="10"/>
        <v/>
      </c>
      <c r="AP12" s="12" t="str">
        <f t="shared" si="11"/>
        <v/>
      </c>
      <c r="AQ12" s="12"/>
      <c r="AS12" s="12">
        <f t="shared" si="12"/>
        <v>157.17980391415534</v>
      </c>
      <c r="AT12" s="16" t="str">
        <f t="shared" si="13"/>
        <v>Yes</v>
      </c>
    </row>
    <row r="13" spans="1:46" hidden="1" x14ac:dyDescent="0.25">
      <c r="A13" s="41">
        <f>CASOPOInvCL!T13</f>
        <v>1</v>
      </c>
      <c r="B13" t="str">
        <f>CASOPOInvCL!Z13</f>
        <v>SO16369</v>
      </c>
      <c r="G13" s="5" t="str">
        <f>CASOPOInvCL!I13</f>
        <v>Ian Trottier</v>
      </c>
      <c r="H13" s="31">
        <f>CASOPOInvCL!U13</f>
        <v>1</v>
      </c>
      <c r="I13" s="31">
        <f>CASOPOInvCL!V13</f>
        <v>2025</v>
      </c>
      <c r="J13" s="5" t="str">
        <f>CASOPOInvCL!AB13</f>
        <v>INV12493</v>
      </c>
      <c r="K13" s="31">
        <f>CASOPOInvCL!W13</f>
        <v>2</v>
      </c>
      <c r="L13" s="31">
        <f>CASOPOInvCL!X13</f>
        <v>2025</v>
      </c>
      <c r="M13" s="31"/>
      <c r="N13" s="5" t="str">
        <f>CASOPOInvCL!AF13</f>
        <v>Manufacture Sling-Choker (Val-d’Or) Ltée</v>
      </c>
      <c r="O13" s="16" t="str">
        <f>CASOPOInvCL!AG13</f>
        <v>CAD</v>
      </c>
      <c r="P13" s="16">
        <f>CASOPOInvCL!AH13</f>
        <v>112.37</v>
      </c>
      <c r="Q13" s="16">
        <f>CASOPOInvCL!AI13</f>
        <v>78.337915081928912</v>
      </c>
      <c r="R13" s="32" t="str">
        <f>CASOPOInvCL!AU13</f>
        <v>Yes</v>
      </c>
      <c r="S13" s="16">
        <f>CASOPOInvCL!AV13</f>
        <v>0</v>
      </c>
      <c r="T13" s="16">
        <f>CASOPOInvCL!AW13</f>
        <v>78.337915081928912</v>
      </c>
      <c r="Y13" s="29" t="str">
        <f>IFERROR(HLOOKUP(U13,List!$D$2:$H$6,2,FALSE),"")</f>
        <v/>
      </c>
      <c r="Z13" s="29" t="str">
        <f>IFERROR(HLOOKUP(V13,List!$D$2:$H$6,3,FALSE),"")</f>
        <v/>
      </c>
      <c r="AA13" s="29" t="str">
        <f>IFERROR(HLOOKUP(W13,List!$D$2:$H$6,4,FALSE),"")</f>
        <v/>
      </c>
      <c r="AB13" s="29" t="str">
        <f>IFERROR(HLOOKUP(X13,List!$D$2:$H$6,5,FALSE),"")</f>
        <v/>
      </c>
      <c r="AC13" s="12" t="str">
        <f t="shared" si="4"/>
        <v/>
      </c>
      <c r="AD13" s="12" t="str">
        <f t="shared" si="5"/>
        <v/>
      </c>
      <c r="AE13" s="12" t="str">
        <f t="shared" si="6"/>
        <v/>
      </c>
      <c r="AF13" s="12" t="str">
        <f t="shared" si="7"/>
        <v/>
      </c>
      <c r="AG13" t="str">
        <f>VLOOKUP(J13,'Receivable Invoice Detail'!$A$1:F3025,6,FALSE)</f>
        <v>[AN18] Bearing Lock Nut, 8x6-18 &amp; 10x8-21 SRL-C, Steel</v>
      </c>
      <c r="AH13" s="12">
        <f t="shared" si="1"/>
        <v>0</v>
      </c>
      <c r="AM13" s="12" t="str">
        <f t="shared" si="8"/>
        <v/>
      </c>
      <c r="AN13" s="12" t="str">
        <f t="shared" si="9"/>
        <v/>
      </c>
      <c r="AO13" s="12" t="str">
        <f t="shared" si="10"/>
        <v/>
      </c>
      <c r="AP13" s="12" t="str">
        <f t="shared" si="11"/>
        <v/>
      </c>
      <c r="AQ13" s="12"/>
      <c r="AS13" s="12">
        <f t="shared" si="12"/>
        <v>1.1750687262289337</v>
      </c>
      <c r="AT13" s="16" t="str">
        <f t="shared" si="13"/>
        <v>Yes</v>
      </c>
    </row>
    <row r="14" spans="1:46" hidden="1" x14ac:dyDescent="0.25">
      <c r="A14" s="41">
        <f>CASOPOInvCL!T14</f>
        <v>1</v>
      </c>
      <c r="B14" t="str">
        <f>CASOPOInvCL!Z14</f>
        <v>SO16372</v>
      </c>
      <c r="G14" s="5" t="str">
        <f>CASOPOInvCL!I14</f>
        <v>Ian Trottier</v>
      </c>
      <c r="H14" s="31">
        <f>CASOPOInvCL!U14</f>
        <v>1</v>
      </c>
      <c r="I14" s="31">
        <f>CASOPOInvCL!V14</f>
        <v>2025</v>
      </c>
      <c r="J14" s="5" t="str">
        <f>CASOPOInvCL!AB14</f>
        <v>INV12779</v>
      </c>
      <c r="K14" s="31">
        <f>CASOPOInvCL!W14</f>
        <v>4</v>
      </c>
      <c r="L14" s="31">
        <f>CASOPOInvCL!X14</f>
        <v>2025</v>
      </c>
      <c r="M14" s="31"/>
      <c r="N14" s="5" t="str">
        <f>CASOPOInvCL!AF14</f>
        <v>Les Pompes du St-Laurent Inc.</v>
      </c>
      <c r="O14" s="16" t="str">
        <f>CASOPOInvCL!AG14</f>
        <v>CAD</v>
      </c>
      <c r="P14" s="16">
        <f>CASOPOInvCL!AH14</f>
        <v>1578.98</v>
      </c>
      <c r="Q14" s="16">
        <f>CASOPOInvCL!AI14</f>
        <v>1097.9446350809351</v>
      </c>
      <c r="R14" s="32" t="str">
        <f>CASOPOInvCL!AU14</f>
        <v>Yes</v>
      </c>
      <c r="S14" s="16">
        <f>CASOPOInvCL!AV14</f>
        <v>0</v>
      </c>
      <c r="T14" s="16">
        <f>CASOPOInvCL!AW14</f>
        <v>1097.9446350809351</v>
      </c>
      <c r="Y14" s="29" t="str">
        <f>IFERROR(HLOOKUP(U14,List!$D$2:$H$6,2,FALSE),"")</f>
        <v/>
      </c>
      <c r="Z14" s="29" t="str">
        <f>IFERROR(HLOOKUP(V14,List!$D$2:$H$6,3,FALSE),"")</f>
        <v/>
      </c>
      <c r="AA14" s="29" t="str">
        <f>IFERROR(HLOOKUP(W14,List!$D$2:$H$6,4,FALSE),"")</f>
        <v/>
      </c>
      <c r="AB14" s="29" t="str">
        <f>IFERROR(HLOOKUP(X14,List!$D$2:$H$6,5,FALSE),"")</f>
        <v/>
      </c>
      <c r="AC14" s="12" t="str">
        <f t="shared" si="4"/>
        <v/>
      </c>
      <c r="AD14" s="12" t="str">
        <f t="shared" si="5"/>
        <v/>
      </c>
      <c r="AE14" s="12" t="str">
        <f t="shared" si="6"/>
        <v/>
      </c>
      <c r="AF14" s="12" t="str">
        <f t="shared" si="7"/>
        <v/>
      </c>
      <c r="AG14" t="str">
        <f>VLOOKUP(J14,'Receivable Invoice Detail'!$A$1:F3026,6,FALSE)</f>
        <v>[G-R102-871 2229] Shaft (Sleeve Type), 3175-S, 316SS</v>
      </c>
      <c r="AH14" s="12">
        <f t="shared" si="1"/>
        <v>0</v>
      </c>
      <c r="AM14" s="12" t="str">
        <f t="shared" si="8"/>
        <v/>
      </c>
      <c r="AN14" s="12" t="str">
        <f t="shared" si="9"/>
        <v/>
      </c>
      <c r="AO14" s="12" t="str">
        <f t="shared" si="10"/>
        <v/>
      </c>
      <c r="AP14" s="12" t="str">
        <f t="shared" si="11"/>
        <v/>
      </c>
      <c r="AQ14" s="12"/>
      <c r="AS14" s="12">
        <f t="shared" si="12"/>
        <v>16.469169526214024</v>
      </c>
      <c r="AT14" s="16" t="str">
        <f t="shared" si="13"/>
        <v>Yes</v>
      </c>
    </row>
    <row r="15" spans="1:46" hidden="1" x14ac:dyDescent="0.25">
      <c r="A15" s="41">
        <f>CASOPOInvCL!T15</f>
        <v>1</v>
      </c>
      <c r="B15" t="str">
        <f>CASOPOInvCL!Z15</f>
        <v>SO16374</v>
      </c>
      <c r="G15" s="5" t="str">
        <f>CASOPOInvCL!I15</f>
        <v>Ian Trottier</v>
      </c>
      <c r="H15" s="31">
        <f>CASOPOInvCL!U15</f>
        <v>1</v>
      </c>
      <c r="I15" s="31">
        <f>CASOPOInvCL!V15</f>
        <v>2025</v>
      </c>
      <c r="J15" s="5" t="str">
        <f>CASOPOInvCL!AB15</f>
        <v>INV12505</v>
      </c>
      <c r="K15" s="31">
        <f>CASOPOInvCL!W15</f>
        <v>2</v>
      </c>
      <c r="L15" s="31">
        <f>CASOPOInvCL!X15</f>
        <v>2025</v>
      </c>
      <c r="M15" s="31"/>
      <c r="N15" s="5" t="str">
        <f>CASOPOInvCL!AF15</f>
        <v>Les Pompes du St-Laurent Inc.</v>
      </c>
      <c r="O15" s="16" t="str">
        <f>CASOPOInvCL!AG15</f>
        <v>CAD</v>
      </c>
      <c r="P15" s="16">
        <f>CASOPOInvCL!AH15</f>
        <v>3603</v>
      </c>
      <c r="Q15" s="16">
        <f>CASOPOInvCL!AI15</f>
        <v>2506.1862808928131</v>
      </c>
      <c r="R15" s="32" t="str">
        <f>CASOPOInvCL!AU15</f>
        <v>Yes</v>
      </c>
      <c r="S15" s="16">
        <f>CASOPOInvCL!AV15</f>
        <v>0</v>
      </c>
      <c r="T15" s="16">
        <f>CASOPOInvCL!AW15</f>
        <v>2506.1862808928131</v>
      </c>
      <c r="Y15" s="29" t="str">
        <f>IFERROR(HLOOKUP(U15,List!$D$2:$H$6,2,FALSE),"")</f>
        <v/>
      </c>
      <c r="Z15" s="29" t="str">
        <f>IFERROR(HLOOKUP(V15,List!$D$2:$H$6,3,FALSE),"")</f>
        <v/>
      </c>
      <c r="AA15" s="29" t="str">
        <f>IFERROR(HLOOKUP(W15,List!$D$2:$H$6,4,FALSE),"")</f>
        <v/>
      </c>
      <c r="AB15" s="29" t="str">
        <f>IFERROR(HLOOKUP(X15,List!$D$2:$H$6,5,FALSE),"")</f>
        <v/>
      </c>
      <c r="AC15" s="12" t="str">
        <f t="shared" si="4"/>
        <v/>
      </c>
      <c r="AD15" s="12" t="str">
        <f t="shared" si="5"/>
        <v/>
      </c>
      <c r="AE15" s="12" t="str">
        <f t="shared" si="6"/>
        <v/>
      </c>
      <c r="AF15" s="12" t="str">
        <f t="shared" si="7"/>
        <v/>
      </c>
      <c r="AG15" t="str">
        <f>VLOOKUP(J15,'Receivable Invoice Detail'!$A$1:F3027,6,FALSE)</f>
        <v>[DU-DY53443A/FML-CD4] Rear Cover, 13", Durco Mark 2&amp;3 Group 2, CD4MCu, Flow Modifier Large Bore</v>
      </c>
      <c r="AH15" s="12">
        <f t="shared" si="1"/>
        <v>0</v>
      </c>
      <c r="AM15" s="12" t="str">
        <f t="shared" si="8"/>
        <v/>
      </c>
      <c r="AN15" s="12" t="str">
        <f t="shared" si="9"/>
        <v/>
      </c>
      <c r="AO15" s="12" t="str">
        <f t="shared" si="10"/>
        <v/>
      </c>
      <c r="AP15" s="12" t="str">
        <f t="shared" si="11"/>
        <v/>
      </c>
      <c r="AQ15" s="12"/>
      <c r="AS15" s="12">
        <f t="shared" si="12"/>
        <v>37.592794213392196</v>
      </c>
      <c r="AT15" s="16" t="str">
        <f t="shared" si="13"/>
        <v>Yes</v>
      </c>
    </row>
    <row r="16" spans="1:46" hidden="1" x14ac:dyDescent="0.25">
      <c r="A16" s="41">
        <f>CASOPOInvCL!T16</f>
        <v>1</v>
      </c>
      <c r="B16" t="str">
        <f>CASOPOInvCL!Z16</f>
        <v>SO16375</v>
      </c>
      <c r="D16" t="s">
        <v>5938</v>
      </c>
      <c r="G16" s="5" t="str">
        <f>CASOPOInvCL!I16</f>
        <v>Marlen Martinez</v>
      </c>
      <c r="H16" s="31">
        <f>CASOPOInvCL!U16</f>
        <v>1</v>
      </c>
      <c r="I16" s="31">
        <f>CASOPOInvCL!V16</f>
        <v>2025</v>
      </c>
      <c r="J16" s="5" t="str">
        <f>CASOPOInvCL!AB16</f>
        <v>INV12504</v>
      </c>
      <c r="K16" s="31">
        <f>CASOPOInvCL!W16</f>
        <v>4</v>
      </c>
      <c r="L16" s="31">
        <f>CASOPOInvCL!X16</f>
        <v>2025</v>
      </c>
      <c r="M16" s="31"/>
      <c r="N16" s="5" t="str">
        <f>CASOPOInvCL!AF16</f>
        <v>Covia Corp - Junction City</v>
      </c>
      <c r="O16" s="16" t="str">
        <f>CASOPOInvCL!AG16</f>
        <v>CAD</v>
      </c>
      <c r="P16" s="16">
        <f>CASOPOInvCL!AH16</f>
        <v>5506</v>
      </c>
      <c r="Q16" s="16">
        <f>CASOPOInvCL!AI16</f>
        <v>3829.8811164573499</v>
      </c>
      <c r="R16" s="32" t="str">
        <f>CASOPOInvCL!AU16</f>
        <v>Yes</v>
      </c>
      <c r="S16" s="16">
        <f>CASOPOInvCL!AV16</f>
        <v>0</v>
      </c>
      <c r="T16" s="16">
        <f>CASOPOInvCL!AW16</f>
        <v>3829.8811164573499</v>
      </c>
      <c r="Y16" s="29" t="str">
        <f>IFERROR(HLOOKUP(U16,List!$D$2:$H$6,2,FALSE),"")</f>
        <v/>
      </c>
      <c r="Z16" s="29" t="str">
        <f>IFERROR(HLOOKUP(V16,List!$D$2:$H$6,3,FALSE),"")</f>
        <v/>
      </c>
      <c r="AA16" s="29" t="str">
        <f>IFERROR(HLOOKUP(W16,List!$D$2:$H$6,4,FALSE),"")</f>
        <v/>
      </c>
      <c r="AB16" s="29" t="str">
        <f>IFERROR(HLOOKUP(X16,List!$D$2:$H$6,5,FALSE),"")</f>
        <v/>
      </c>
      <c r="AC16" s="12" t="str">
        <f t="shared" si="4"/>
        <v/>
      </c>
      <c r="AD16" s="12" t="str">
        <f t="shared" si="5"/>
        <v/>
      </c>
      <c r="AE16" s="12" t="str">
        <f t="shared" si="6"/>
        <v/>
      </c>
      <c r="AF16" s="12" t="str">
        <f t="shared" si="7"/>
        <v/>
      </c>
      <c r="AG16" t="str">
        <f>VLOOKUP(J16,'Receivable Invoice Detail'!$A$1:F3028,6,FALSE)</f>
        <v>102917/0003 Volute Liner, 6/4 F-HH, High Chrome</v>
      </c>
      <c r="AH16" s="12">
        <f t="shared" si="1"/>
        <v>0</v>
      </c>
      <c r="AM16" s="12" t="str">
        <f t="shared" si="8"/>
        <v/>
      </c>
      <c r="AN16" s="12" t="str">
        <f t="shared" si="9"/>
        <v/>
      </c>
      <c r="AO16" s="12" t="str">
        <f t="shared" si="10"/>
        <v/>
      </c>
      <c r="AP16" s="12" t="str">
        <f t="shared" si="11"/>
        <v/>
      </c>
      <c r="AQ16" s="64">
        <f>M16</f>
        <v>0</v>
      </c>
      <c r="AR16" t="s">
        <v>5939</v>
      </c>
      <c r="AS16" s="12">
        <f t="shared" si="12"/>
        <v>57.448216746860247</v>
      </c>
      <c r="AT16" s="16" t="str">
        <f t="shared" si="13"/>
        <v>Yes</v>
      </c>
    </row>
    <row r="17" spans="1:46" hidden="1" x14ac:dyDescent="0.25">
      <c r="A17" s="41">
        <f>CASOPOInvCL!T17</f>
        <v>1</v>
      </c>
      <c r="B17" t="str">
        <f>CASOPOInvCL!Z17</f>
        <v>SO16376</v>
      </c>
      <c r="G17" s="5" t="str">
        <f>CASOPOInvCL!I17</f>
        <v>Ian Trottier</v>
      </c>
      <c r="H17" s="31">
        <f>CASOPOInvCL!U17</f>
        <v>1</v>
      </c>
      <c r="I17" s="31">
        <f>CASOPOInvCL!V17</f>
        <v>2025</v>
      </c>
      <c r="J17" s="5" t="str">
        <f>CASOPOInvCL!AB17</f>
        <v>INV12592</v>
      </c>
      <c r="K17" s="31">
        <f>CASOPOInvCL!W17</f>
        <v>2</v>
      </c>
      <c r="L17" s="31">
        <f>CASOPOInvCL!X17</f>
        <v>2025</v>
      </c>
      <c r="M17" s="31"/>
      <c r="N17" s="5" t="str">
        <f>CASOPOInvCL!AF17</f>
        <v>Sling-Choker Manufacturing - Timmins</v>
      </c>
      <c r="O17" s="16" t="str">
        <f>CASOPOInvCL!AG17</f>
        <v>CAD</v>
      </c>
      <c r="P17" s="16">
        <f>CASOPOInvCL!AH17</f>
        <v>12346.61</v>
      </c>
      <c r="Q17" s="16">
        <f>CASOPOInvCL!AI17</f>
        <v>8607.3479196377539</v>
      </c>
      <c r="R17" s="32" t="str">
        <f>CASOPOInvCL!AU17</f>
        <v>Yes</v>
      </c>
      <c r="S17" s="16">
        <f>CASOPOInvCL!AV17</f>
        <v>0</v>
      </c>
      <c r="T17" s="16">
        <f>CASOPOInvCL!AW17</f>
        <v>8607.3479196377539</v>
      </c>
      <c r="Y17" s="29" t="str">
        <f>IFERROR(HLOOKUP(U17,List!$D$2:$H$6,2,FALSE),"")</f>
        <v/>
      </c>
      <c r="Z17" s="29" t="str">
        <f>IFERROR(HLOOKUP(V17,List!$D$2:$H$6,3,FALSE),"")</f>
        <v/>
      </c>
      <c r="AA17" s="29" t="str">
        <f>IFERROR(HLOOKUP(W17,List!$D$2:$H$6,4,FALSE),"")</f>
        <v/>
      </c>
      <c r="AB17" s="29" t="str">
        <f>IFERROR(HLOOKUP(X17,List!$D$2:$H$6,5,FALSE),"")</f>
        <v/>
      </c>
      <c r="AC17" s="12" t="str">
        <f t="shared" si="4"/>
        <v/>
      </c>
      <c r="AD17" s="12" t="str">
        <f t="shared" si="5"/>
        <v/>
      </c>
      <c r="AE17" s="12" t="str">
        <f t="shared" si="6"/>
        <v/>
      </c>
      <c r="AF17" s="12" t="str">
        <f t="shared" si="7"/>
        <v/>
      </c>
      <c r="AG17" t="str">
        <f>VLOOKUP(J17,'Receivable Invoice Detail'!$A$1:F3029,6,FALSE)</f>
        <v>[D-196 2x3-13 LTX CD4MCu] Pump, 2x3-13, D-196 LTX, CD4MCu</v>
      </c>
      <c r="AH17" s="12">
        <f t="shared" si="1"/>
        <v>0</v>
      </c>
      <c r="AM17" s="12" t="str">
        <f t="shared" si="8"/>
        <v/>
      </c>
      <c r="AN17" s="12" t="str">
        <f t="shared" si="9"/>
        <v/>
      </c>
      <c r="AO17" s="12" t="str">
        <f t="shared" si="10"/>
        <v/>
      </c>
      <c r="AP17" s="12" t="str">
        <f t="shared" si="11"/>
        <v/>
      </c>
      <c r="AQ17" s="12"/>
      <c r="AS17" s="12">
        <f t="shared" si="12"/>
        <v>129.11021879456629</v>
      </c>
      <c r="AT17" s="16" t="str">
        <f t="shared" si="13"/>
        <v>Yes</v>
      </c>
    </row>
    <row r="18" spans="1:46" hidden="1" x14ac:dyDescent="0.25">
      <c r="A18" s="41">
        <f>CASOPOInvCL!T18</f>
        <v>1</v>
      </c>
      <c r="B18" t="str">
        <f>CASOPOInvCL!Z18</f>
        <v>SO16377</v>
      </c>
      <c r="G18" s="5" t="str">
        <f>CASOPOInvCL!I18</f>
        <v>Ian Trottier</v>
      </c>
      <c r="H18" s="31">
        <f>CASOPOInvCL!U18</f>
        <v>1</v>
      </c>
      <c r="I18" s="31">
        <f>CASOPOInvCL!V18</f>
        <v>2025</v>
      </c>
      <c r="J18" s="5" t="str">
        <f>CASOPOInvCL!AB18</f>
        <v>INV12597</v>
      </c>
      <c r="K18" s="31">
        <f>CASOPOInvCL!W18</f>
        <v>3</v>
      </c>
      <c r="L18" s="31">
        <f>CASOPOInvCL!X18</f>
        <v>2025</v>
      </c>
      <c r="M18" s="31"/>
      <c r="N18" s="5" t="str">
        <f>CASOPOInvCL!AF18</f>
        <v>Gibraltar Mine (Canada)</v>
      </c>
      <c r="O18" s="16" t="str">
        <f>CASOPOInvCL!AG18</f>
        <v>CAD</v>
      </c>
      <c r="P18" s="16">
        <f>CASOPOInvCL!AH18</f>
        <v>5112.25</v>
      </c>
      <c r="Q18" s="16">
        <f>CASOPOInvCL!AI18</f>
        <v>3563.9673078009341</v>
      </c>
      <c r="R18" s="32" t="str">
        <f>CASOPOInvCL!AU18</f>
        <v>Yes</v>
      </c>
      <c r="S18" s="16">
        <f>CASOPOInvCL!AV18</f>
        <v>0</v>
      </c>
      <c r="T18" s="16">
        <f>CASOPOInvCL!AW18</f>
        <v>3563.9673078009341</v>
      </c>
      <c r="Y18" s="29" t="str">
        <f>IFERROR(HLOOKUP(U18,List!$D$2:$H$6,2,FALSE),"")</f>
        <v/>
      </c>
      <c r="Z18" s="29" t="str">
        <f>IFERROR(HLOOKUP(V18,List!$D$2:$H$6,3,FALSE),"")</f>
        <v/>
      </c>
      <c r="AA18" s="29" t="str">
        <f>IFERROR(HLOOKUP(W18,List!$D$2:$H$6,4,FALSE),"")</f>
        <v/>
      </c>
      <c r="AB18" s="29" t="str">
        <f>IFERROR(HLOOKUP(X18,List!$D$2:$H$6,5,FALSE),"")</f>
        <v/>
      </c>
      <c r="AC18" s="12" t="str">
        <f t="shared" si="4"/>
        <v/>
      </c>
      <c r="AD18" s="12" t="str">
        <f t="shared" si="5"/>
        <v/>
      </c>
      <c r="AE18" s="12" t="str">
        <f t="shared" si="6"/>
        <v/>
      </c>
      <c r="AF18" s="12" t="str">
        <f t="shared" si="7"/>
        <v/>
      </c>
      <c r="AG18" t="str">
        <f>VLOOKUP(J18,'Receivable Invoice Detail'!$A$1:F3030,6,FALSE)</f>
        <v>[GA-24263] Impeller, 3.5" G-Series VSP, 1000 Series, Urethane</v>
      </c>
      <c r="AH18" s="12">
        <f t="shared" si="1"/>
        <v>0</v>
      </c>
      <c r="AM18" s="12" t="str">
        <f t="shared" si="8"/>
        <v/>
      </c>
      <c r="AN18" s="12" t="str">
        <f t="shared" si="9"/>
        <v/>
      </c>
      <c r="AO18" s="12" t="str">
        <f t="shared" si="10"/>
        <v/>
      </c>
      <c r="AP18" s="12" t="str">
        <f t="shared" si="11"/>
        <v/>
      </c>
      <c r="AQ18" s="12"/>
      <c r="AS18" s="12">
        <f t="shared" si="12"/>
        <v>53.459509617014007</v>
      </c>
      <c r="AT18" s="16" t="str">
        <f t="shared" si="13"/>
        <v>Yes</v>
      </c>
    </row>
    <row r="19" spans="1:46" hidden="1" x14ac:dyDescent="0.25">
      <c r="A19" s="41">
        <f>CASOPOInvCL!T19</f>
        <v>1</v>
      </c>
      <c r="B19" t="str">
        <f>CASOPOInvCL!Z19</f>
        <v>SO16378</v>
      </c>
      <c r="G19" s="5" t="str">
        <f>CASOPOInvCL!I19</f>
        <v>Ian Trottier</v>
      </c>
      <c r="H19" s="31">
        <f>CASOPOInvCL!U19</f>
        <v>1</v>
      </c>
      <c r="I19" s="31">
        <f>CASOPOInvCL!V19</f>
        <v>2025</v>
      </c>
      <c r="J19" s="5" t="str">
        <f>CASOPOInvCL!AB19</f>
        <v>INV12543</v>
      </c>
      <c r="K19" s="31">
        <f>CASOPOInvCL!W19</f>
        <v>2</v>
      </c>
      <c r="L19" s="31">
        <f>CASOPOInvCL!X19</f>
        <v>2025</v>
      </c>
      <c r="M19" s="31"/>
      <c r="N19" s="5" t="str">
        <f>CASOPOInvCL!AF19</f>
        <v>Motion Industries Inc. (Canada) - Quesnel</v>
      </c>
      <c r="O19" s="16" t="str">
        <f>CASOPOInvCL!AG19</f>
        <v>CAD</v>
      </c>
      <c r="P19" s="16">
        <f>CASOPOInvCL!AH19</f>
        <v>987.57</v>
      </c>
      <c r="Q19" s="16">
        <f>CASOPOInvCL!AI19</f>
        <v>686.93710391932177</v>
      </c>
      <c r="R19" s="32" t="str">
        <f>CASOPOInvCL!AU19</f>
        <v>Yes</v>
      </c>
      <c r="S19" s="16">
        <f>CASOPOInvCL!AV19</f>
        <v>0</v>
      </c>
      <c r="T19" s="16">
        <f>CASOPOInvCL!AW19</f>
        <v>686.93710391932177</v>
      </c>
      <c r="Y19" s="29" t="str">
        <f>IFERROR(HLOOKUP(U19,List!$D$2:$H$6,2,FALSE),"")</f>
        <v/>
      </c>
      <c r="Z19" s="29" t="str">
        <f>IFERROR(HLOOKUP(V19,List!$D$2:$H$6,3,FALSE),"")</f>
        <v/>
      </c>
      <c r="AA19" s="29" t="str">
        <f>IFERROR(HLOOKUP(W19,List!$D$2:$H$6,4,FALSE),"")</f>
        <v/>
      </c>
      <c r="AB19" s="29" t="str">
        <f>IFERROR(HLOOKUP(X19,List!$D$2:$H$6,5,FALSE),"")</f>
        <v/>
      </c>
      <c r="AC19" s="12" t="str">
        <f t="shared" si="4"/>
        <v/>
      </c>
      <c r="AD19" s="12" t="str">
        <f t="shared" si="5"/>
        <v/>
      </c>
      <c r="AE19" s="12" t="str">
        <f t="shared" si="6"/>
        <v/>
      </c>
      <c r="AF19" s="12" t="str">
        <f t="shared" si="7"/>
        <v/>
      </c>
      <c r="AG19" t="str">
        <f>VLOOKUP(J19,'Receivable Invoice Detail'!$A$1:F3031,6,FALSE)</f>
        <v>[G-73705X 2229] Shaft Sleeve, 3196 MTX, 316SS</v>
      </c>
      <c r="AH19" s="12">
        <f t="shared" si="1"/>
        <v>0</v>
      </c>
      <c r="AM19" s="12" t="str">
        <f t="shared" si="8"/>
        <v/>
      </c>
      <c r="AN19" s="12" t="str">
        <f t="shared" si="9"/>
        <v/>
      </c>
      <c r="AO19" s="12" t="str">
        <f t="shared" si="10"/>
        <v/>
      </c>
      <c r="AP19" s="12" t="str">
        <f t="shared" si="11"/>
        <v/>
      </c>
      <c r="AQ19" s="12"/>
      <c r="AS19" s="12">
        <f t="shared" si="12"/>
        <v>10.304056558789826</v>
      </c>
      <c r="AT19" s="16" t="str">
        <f t="shared" si="13"/>
        <v>Yes</v>
      </c>
    </row>
    <row r="20" spans="1:46" hidden="1" x14ac:dyDescent="0.25">
      <c r="A20" s="41">
        <f>CASOPOInvCL!T20</f>
        <v>1</v>
      </c>
      <c r="B20" t="str">
        <f>CASOPOInvCL!Z20</f>
        <v>SO16379</v>
      </c>
      <c r="G20" s="5" t="str">
        <f>CASOPOInvCL!I20</f>
        <v>Taylor Cook</v>
      </c>
      <c r="H20" s="31">
        <f>CASOPOInvCL!U20</f>
        <v>1</v>
      </c>
      <c r="I20" s="31">
        <f>CASOPOInvCL!V20</f>
        <v>2025</v>
      </c>
      <c r="J20" s="5" t="str">
        <f>CASOPOInvCL!AB20</f>
        <v>INV12494</v>
      </c>
      <c r="K20" s="31">
        <f>CASOPOInvCL!W20</f>
        <v>2</v>
      </c>
      <c r="L20" s="31">
        <f>CASOPOInvCL!X20</f>
        <v>2025</v>
      </c>
      <c r="M20" s="31"/>
      <c r="N20" s="5" t="str">
        <f>CASOPOInvCL!AF20</f>
        <v>Sling-Choker Manufacturing - Timmins</v>
      </c>
      <c r="O20" s="16" t="str">
        <f>CASOPOInvCL!AG20</f>
        <v>CAD</v>
      </c>
      <c r="P20" s="16">
        <f>CASOPOInvCL!AH20</f>
        <v>1776.49</v>
      </c>
      <c r="Q20" s="16">
        <f>CASOPOInvCL!AI20</f>
        <v>1235.6966045360184</v>
      </c>
      <c r="R20" s="32" t="str">
        <f>CASOPOInvCL!AU20</f>
        <v>Yes</v>
      </c>
      <c r="S20" s="16">
        <f>CASOPOInvCL!AV20</f>
        <v>0</v>
      </c>
      <c r="T20" s="16">
        <f>CASOPOInvCL!AW20</f>
        <v>1235.6966045360184</v>
      </c>
      <c r="Y20" s="29" t="str">
        <f>IFERROR(HLOOKUP(U20,List!$D$2:$H$6,2,FALSE),"")</f>
        <v/>
      </c>
      <c r="Z20" s="29" t="str">
        <f>IFERROR(HLOOKUP(V20,List!$D$2:$H$6,3,FALSE),"")</f>
        <v/>
      </c>
      <c r="AA20" s="29" t="str">
        <f>IFERROR(HLOOKUP(W20,List!$D$2:$H$6,4,FALSE),"")</f>
        <v/>
      </c>
      <c r="AB20" s="29" t="str">
        <f>IFERROR(HLOOKUP(X20,List!$D$2:$H$6,5,FALSE),"")</f>
        <v/>
      </c>
      <c r="AC20" s="12" t="str">
        <f t="shared" si="4"/>
        <v/>
      </c>
      <c r="AD20" s="12" t="str">
        <f t="shared" si="5"/>
        <v/>
      </c>
      <c r="AE20" s="12" t="str">
        <f t="shared" si="6"/>
        <v/>
      </c>
      <c r="AF20" s="12" t="str">
        <f t="shared" si="7"/>
        <v/>
      </c>
      <c r="AG20" t="str">
        <f>VLOOKUP(J20,'Receivable Invoice Detail'!$A$1:F3032,6,FALSE)</f>
        <v>[AC-98-231-070-501] Gland Side Liner, 3x3-10 SRL, Natural Rubber</v>
      </c>
      <c r="AH20" s="12">
        <f t="shared" si="1"/>
        <v>0</v>
      </c>
      <c r="AM20" s="12" t="str">
        <f t="shared" si="8"/>
        <v/>
      </c>
      <c r="AN20" s="12" t="str">
        <f t="shared" si="9"/>
        <v/>
      </c>
      <c r="AO20" s="12" t="str">
        <f t="shared" si="10"/>
        <v/>
      </c>
      <c r="AP20" s="12" t="str">
        <f t="shared" si="11"/>
        <v/>
      </c>
      <c r="AQ20" s="12"/>
      <c r="AS20" s="12">
        <f t="shared" si="12"/>
        <v>18.535449068040275</v>
      </c>
      <c r="AT20" s="16" t="str">
        <f t="shared" si="13"/>
        <v>Yes</v>
      </c>
    </row>
    <row r="21" spans="1:46" hidden="1" x14ac:dyDescent="0.25">
      <c r="A21" s="41">
        <f>CASOPOInvCL!T21</f>
        <v>3</v>
      </c>
      <c r="B21" t="str">
        <f>CASOPOInvCL!Z21</f>
        <v>SO16380</v>
      </c>
      <c r="G21" s="5" t="str">
        <f>CASOPOInvCL!I21</f>
        <v>Taylor Cook</v>
      </c>
      <c r="H21" s="31">
        <f>CASOPOInvCL!U21</f>
        <v>1</v>
      </c>
      <c r="I21" s="31">
        <f>CASOPOInvCL!V21</f>
        <v>2025</v>
      </c>
      <c r="J21" s="5" t="str">
        <f>CASOPOInvCL!AB21</f>
        <v>INV12496</v>
      </c>
      <c r="K21" s="31">
        <f>CASOPOInvCL!W21</f>
        <v>1</v>
      </c>
      <c r="L21" s="31">
        <f>CASOPOInvCL!X21</f>
        <v>2025</v>
      </c>
      <c r="M21" s="31"/>
      <c r="N21" s="5" t="str">
        <f>CASOPOInvCL!AF21</f>
        <v>Wild Rows Pump &amp; Compression LTD.</v>
      </c>
      <c r="O21" s="16" t="str">
        <f>CASOPOInvCL!AG21</f>
        <v>CAD</v>
      </c>
      <c r="P21" s="16">
        <f>CASOPOInvCL!AH21</f>
        <v>3955.95</v>
      </c>
      <c r="Q21" s="16">
        <f>CASOPOInvCL!AI21</f>
        <v>2751.6923724390576</v>
      </c>
      <c r="R21" s="32" t="str">
        <f>CASOPOInvCL!AU21</f>
        <v>Yes</v>
      </c>
      <c r="S21" s="16">
        <f>CASOPOInvCL!AV21</f>
        <v>0</v>
      </c>
      <c r="T21" s="16">
        <f>CASOPOInvCL!AW21</f>
        <v>2751.6923724390576</v>
      </c>
      <c r="Y21" s="29" t="str">
        <f>IFERROR(HLOOKUP(U21,List!$D$2:$H$6,2,FALSE),"")</f>
        <v/>
      </c>
      <c r="Z21" s="29" t="str">
        <f>IFERROR(HLOOKUP(V21,List!$D$2:$H$6,3,FALSE),"")</f>
        <v/>
      </c>
      <c r="AA21" s="29" t="str">
        <f>IFERROR(HLOOKUP(W21,List!$D$2:$H$6,4,FALSE),"")</f>
        <v/>
      </c>
      <c r="AB21" s="29" t="str">
        <f>IFERROR(HLOOKUP(X21,List!$D$2:$H$6,5,FALSE),"")</f>
        <v/>
      </c>
      <c r="AC21" s="12" t="str">
        <f t="shared" si="4"/>
        <v/>
      </c>
      <c r="AD21" s="12" t="str">
        <f t="shared" si="5"/>
        <v/>
      </c>
      <c r="AE21" s="12" t="str">
        <f t="shared" si="6"/>
        <v/>
      </c>
      <c r="AF21" s="12" t="str">
        <f t="shared" si="7"/>
        <v/>
      </c>
      <c r="AG21" t="str">
        <f>VLOOKUP(J21,'Receivable Invoice Detail'!$A$1:F3033,6,FALSE)</f>
        <v>[W-C217/S50] O-Ring Impeller Seal, 3/2 C-AH, Viton</v>
      </c>
      <c r="AH21" s="12">
        <f t="shared" si="1"/>
        <v>0</v>
      </c>
      <c r="AM21" s="12" t="str">
        <f t="shared" si="8"/>
        <v/>
      </c>
      <c r="AN21" s="12" t="str">
        <f t="shared" si="9"/>
        <v/>
      </c>
      <c r="AO21" s="12" t="str">
        <f t="shared" si="10"/>
        <v/>
      </c>
      <c r="AP21" s="12" t="str">
        <f t="shared" si="11"/>
        <v/>
      </c>
      <c r="AQ21" s="12"/>
      <c r="AS21" s="12">
        <f t="shared" si="12"/>
        <v>41.275385586585863</v>
      </c>
      <c r="AT21" s="16" t="str">
        <f t="shared" si="13"/>
        <v>Yes</v>
      </c>
    </row>
    <row r="22" spans="1:46" hidden="1" x14ac:dyDescent="0.25">
      <c r="A22" s="41">
        <f>CASOPOInvCL!T22</f>
        <v>3</v>
      </c>
      <c r="B22" t="str">
        <f>CASOPOInvCL!Z22</f>
        <v>SO16380</v>
      </c>
      <c r="G22" s="5">
        <f>CASOPOInvCL!I22</f>
        <v>0</v>
      </c>
      <c r="H22" s="31">
        <f>CASOPOInvCL!U22</f>
        <v>1</v>
      </c>
      <c r="I22" s="31">
        <f>CASOPOInvCL!V22</f>
        <v>2025</v>
      </c>
      <c r="J22" s="5" t="str">
        <f>CASOPOInvCL!AB22</f>
        <v>INV12584</v>
      </c>
      <c r="K22" s="31">
        <f>CASOPOInvCL!W22</f>
        <v>1</v>
      </c>
      <c r="L22" s="31">
        <f>CASOPOInvCL!X22</f>
        <v>2025</v>
      </c>
      <c r="M22" s="31"/>
      <c r="N22" s="5" t="str">
        <f>CASOPOInvCL!AF22</f>
        <v>Wild Rows Pump &amp; Compression LTD.</v>
      </c>
      <c r="O22" s="16" t="str">
        <f>CASOPOInvCL!AG22</f>
        <v>CAD</v>
      </c>
      <c r="P22" s="16">
        <f>CASOPOInvCL!AH22</f>
        <v>0</v>
      </c>
      <c r="Q22" s="16">
        <f>CASOPOInvCL!AI22</f>
        <v>0</v>
      </c>
      <c r="R22" s="32" t="str">
        <f>CASOPOInvCL!AU22</f>
        <v/>
      </c>
      <c r="S22" s="16">
        <f>CASOPOInvCL!AV22</f>
        <v>0</v>
      </c>
      <c r="T22" s="16">
        <f>CASOPOInvCL!AW22</f>
        <v>0</v>
      </c>
      <c r="Y22" s="29" t="str">
        <f>IFERROR(HLOOKUP(U22,List!$D$2:$H$6,2,FALSE),"")</f>
        <v/>
      </c>
      <c r="Z22" s="29" t="str">
        <f>IFERROR(HLOOKUP(V22,List!$D$2:$H$6,3,FALSE),"")</f>
        <v/>
      </c>
      <c r="AA22" s="29" t="str">
        <f>IFERROR(HLOOKUP(W22,List!$D$2:$H$6,4,FALSE),"")</f>
        <v/>
      </c>
      <c r="AB22" s="29" t="str">
        <f>IFERROR(HLOOKUP(X22,List!$D$2:$H$6,5,FALSE),"")</f>
        <v/>
      </c>
      <c r="AC22" s="12" t="str">
        <f t="shared" si="4"/>
        <v/>
      </c>
      <c r="AD22" s="12" t="str">
        <f t="shared" si="5"/>
        <v/>
      </c>
      <c r="AE22" s="12" t="str">
        <f t="shared" si="6"/>
        <v/>
      </c>
      <c r="AF22" s="12" t="str">
        <f t="shared" si="7"/>
        <v/>
      </c>
      <c r="AG22" t="str">
        <f>VLOOKUP(J22,'Receivable Invoice Detail'!$A$1:F3034,6,FALSE)</f>
        <v>[W-C2017/U38] Cover Plate Liner, 3/2 C-AH, Urethane</v>
      </c>
      <c r="AH22" s="12">
        <f t="shared" si="1"/>
        <v>0</v>
      </c>
      <c r="AM22" s="12" t="str">
        <f t="shared" si="8"/>
        <v/>
      </c>
      <c r="AN22" s="12" t="str">
        <f t="shared" si="9"/>
        <v/>
      </c>
      <c r="AO22" s="12" t="str">
        <f t="shared" si="10"/>
        <v/>
      </c>
      <c r="AP22" s="12" t="str">
        <f t="shared" si="11"/>
        <v/>
      </c>
      <c r="AQ22" s="12"/>
      <c r="AS22" s="12">
        <f t="shared" si="12"/>
        <v>0</v>
      </c>
      <c r="AT22" s="16" t="str">
        <f t="shared" si="13"/>
        <v/>
      </c>
    </row>
    <row r="23" spans="1:46" hidden="1" x14ac:dyDescent="0.25">
      <c r="A23" s="41">
        <f>CASOPOInvCL!T23</f>
        <v>3</v>
      </c>
      <c r="B23" t="str">
        <f>CASOPOInvCL!Z23</f>
        <v>SO16380</v>
      </c>
      <c r="G23" s="5">
        <f>CASOPOInvCL!I23</f>
        <v>0</v>
      </c>
      <c r="H23" s="31">
        <f>CASOPOInvCL!U23</f>
        <v>1</v>
      </c>
      <c r="I23" s="31">
        <f>CASOPOInvCL!V23</f>
        <v>2025</v>
      </c>
      <c r="J23" s="5" t="str">
        <f>CASOPOInvCL!AB23</f>
        <v>INV12953</v>
      </c>
      <c r="K23" s="31">
        <f>CASOPOInvCL!W23</f>
        <v>5</v>
      </c>
      <c r="L23" s="31">
        <f>CASOPOInvCL!X23</f>
        <v>2025</v>
      </c>
      <c r="M23" s="31"/>
      <c r="N23" s="5" t="str">
        <f>CASOPOInvCL!AF23</f>
        <v>Wild Rows Pump &amp; Compression LTD.</v>
      </c>
      <c r="O23" s="16" t="str">
        <f>CASOPOInvCL!AG23</f>
        <v>CAD</v>
      </c>
      <c r="P23" s="16">
        <f>CASOPOInvCL!AH23</f>
        <v>0</v>
      </c>
      <c r="Q23" s="16">
        <f>CASOPOInvCL!AI23</f>
        <v>0</v>
      </c>
      <c r="R23" s="32" t="str">
        <f>CASOPOInvCL!AU23</f>
        <v/>
      </c>
      <c r="S23" s="16">
        <f>CASOPOInvCL!AV23</f>
        <v>0</v>
      </c>
      <c r="T23" s="16">
        <f>CASOPOInvCL!AW23</f>
        <v>0</v>
      </c>
      <c r="Y23" s="29" t="str">
        <f>IFERROR(HLOOKUP(U23,List!$D$2:$H$6,2,FALSE),"")</f>
        <v/>
      </c>
      <c r="Z23" s="29" t="str">
        <f>IFERROR(HLOOKUP(V23,List!$D$2:$H$6,3,FALSE),"")</f>
        <v/>
      </c>
      <c r="AA23" s="29" t="str">
        <f>IFERROR(HLOOKUP(W23,List!$D$2:$H$6,4,FALSE),"")</f>
        <v/>
      </c>
      <c r="AB23" s="29" t="str">
        <f>IFERROR(HLOOKUP(X23,List!$D$2:$H$6,5,FALSE),"")</f>
        <v/>
      </c>
      <c r="AC23" s="12" t="str">
        <f t="shared" si="4"/>
        <v/>
      </c>
      <c r="AD23" s="12" t="str">
        <f t="shared" si="5"/>
        <v/>
      </c>
      <c r="AE23" s="12" t="str">
        <f t="shared" si="6"/>
        <v/>
      </c>
      <c r="AF23" s="12" t="str">
        <f t="shared" si="7"/>
        <v/>
      </c>
      <c r="AG23" t="str">
        <f>VLOOKUP(J23,'Receivable Invoice Detail'!$A$1:F3035,6,FALSE)</f>
        <v>[W-C2147/A61] Impeller, 3/2 C-AH, Hyperchrome</v>
      </c>
      <c r="AH23" s="12">
        <f t="shared" si="1"/>
        <v>0</v>
      </c>
      <c r="AM23" s="12" t="str">
        <f t="shared" si="8"/>
        <v/>
      </c>
      <c r="AN23" s="12" t="str">
        <f t="shared" si="9"/>
        <v/>
      </c>
      <c r="AO23" s="12" t="str">
        <f t="shared" si="10"/>
        <v/>
      </c>
      <c r="AP23" s="12" t="str">
        <f t="shared" si="11"/>
        <v/>
      </c>
      <c r="AQ23" s="12"/>
      <c r="AS23" s="12">
        <f t="shared" si="12"/>
        <v>0</v>
      </c>
      <c r="AT23" s="16" t="str">
        <f t="shared" si="13"/>
        <v/>
      </c>
    </row>
    <row r="24" spans="1:46" hidden="1" x14ac:dyDescent="0.25">
      <c r="A24" s="41">
        <f>CASOPOInvCL!T24</f>
        <v>1</v>
      </c>
      <c r="B24" t="str">
        <f>CASOPOInvCL!Z24</f>
        <v>SO16381</v>
      </c>
      <c r="G24" s="5" t="str">
        <f>CASOPOInvCL!I24</f>
        <v>Ian Trottier</v>
      </c>
      <c r="H24" s="31">
        <f>CASOPOInvCL!U24</f>
        <v>1</v>
      </c>
      <c r="I24" s="31">
        <f>CASOPOInvCL!V24</f>
        <v>2025</v>
      </c>
      <c r="J24" s="5" t="str">
        <f>CASOPOInvCL!AB24</f>
        <v>INV12500</v>
      </c>
      <c r="K24" s="31">
        <f>CASOPOInvCL!W24</f>
        <v>2</v>
      </c>
      <c r="L24" s="31">
        <f>CASOPOInvCL!X24</f>
        <v>2025</v>
      </c>
      <c r="M24" s="31"/>
      <c r="N24" s="5" t="str">
        <f>CASOPOInvCL!AF24</f>
        <v>Hyperflo</v>
      </c>
      <c r="O24" s="16" t="str">
        <f>CASOPOInvCL!AG24</f>
        <v>CAD</v>
      </c>
      <c r="P24" s="16">
        <f>CASOPOInvCL!AH24</f>
        <v>916.59</v>
      </c>
      <c r="Q24" s="16">
        <f>CASOPOInvCL!AI24</f>
        <v>637.56460816085041</v>
      </c>
      <c r="R24" s="32" t="str">
        <f>CASOPOInvCL!AU24</f>
        <v>Yes</v>
      </c>
      <c r="S24" s="16">
        <f>CASOPOInvCL!AV24</f>
        <v>0</v>
      </c>
      <c r="T24" s="16">
        <f>CASOPOInvCL!AW24</f>
        <v>637.56460816085041</v>
      </c>
      <c r="Y24" s="29" t="str">
        <f>IFERROR(HLOOKUP(U24,List!$D$2:$H$6,2,FALSE),"")</f>
        <v/>
      </c>
      <c r="Z24" s="29" t="str">
        <f>IFERROR(HLOOKUP(V24,List!$D$2:$H$6,3,FALSE),"")</f>
        <v/>
      </c>
      <c r="AA24" s="29" t="str">
        <f>IFERROR(HLOOKUP(W24,List!$D$2:$H$6,4,FALSE),"")</f>
        <v/>
      </c>
      <c r="AB24" s="29" t="str">
        <f>IFERROR(HLOOKUP(X24,List!$D$2:$H$6,5,FALSE),"")</f>
        <v/>
      </c>
      <c r="AC24" s="12" t="str">
        <f t="shared" si="4"/>
        <v/>
      </c>
      <c r="AD24" s="12" t="str">
        <f t="shared" si="5"/>
        <v/>
      </c>
      <c r="AE24" s="12" t="str">
        <f t="shared" si="6"/>
        <v/>
      </c>
      <c r="AF24" s="12" t="str">
        <f t="shared" si="7"/>
        <v/>
      </c>
      <c r="AG24" t="str">
        <f>VLOOKUP(J24,'Receivable Invoice Detail'!$A$1:F3036,6,FALSE)</f>
        <v>[AC-98-234-808-501] Gland Assembly, 12x10-25 SRL-C, Cast Iron</v>
      </c>
      <c r="AH24" s="12">
        <f t="shared" si="1"/>
        <v>0</v>
      </c>
      <c r="AM24" s="12" t="str">
        <f t="shared" si="8"/>
        <v/>
      </c>
      <c r="AN24" s="12" t="str">
        <f t="shared" si="9"/>
        <v/>
      </c>
      <c r="AO24" s="12" t="str">
        <f t="shared" si="10"/>
        <v/>
      </c>
      <c r="AP24" s="12" t="str">
        <f t="shared" si="11"/>
        <v/>
      </c>
      <c r="AQ24" s="12"/>
      <c r="AS24" s="12">
        <f t="shared" si="12"/>
        <v>9.563469122412755</v>
      </c>
      <c r="AT24" s="16" t="str">
        <f t="shared" si="13"/>
        <v>Yes</v>
      </c>
    </row>
    <row r="25" spans="1:46" hidden="1" x14ac:dyDescent="0.25">
      <c r="A25" s="41">
        <f>CASOPOInvCL!T25</f>
        <v>1</v>
      </c>
      <c r="B25" t="str">
        <f>CASOPOInvCL!Z25</f>
        <v>SO16382</v>
      </c>
      <c r="G25" s="5" t="str">
        <f>CASOPOInvCL!I25</f>
        <v>Ian Trottier</v>
      </c>
      <c r="H25" s="31">
        <f>CASOPOInvCL!U25</f>
        <v>1</v>
      </c>
      <c r="I25" s="31">
        <f>CASOPOInvCL!V25</f>
        <v>2025</v>
      </c>
      <c r="J25" s="5" t="str">
        <f>CASOPOInvCL!AB25</f>
        <v>INV12495</v>
      </c>
      <c r="K25" s="31">
        <f>CASOPOInvCL!W25</f>
        <v>2</v>
      </c>
      <c r="L25" s="31">
        <f>CASOPOInvCL!X25</f>
        <v>2025</v>
      </c>
      <c r="M25" s="31"/>
      <c r="N25" s="5" t="str">
        <f>CASOPOInvCL!AF25</f>
        <v>Hoffman-Kane Distributors, Inc.</v>
      </c>
      <c r="O25" s="16" t="str">
        <f>CASOPOInvCL!AG25</f>
        <v>USD</v>
      </c>
      <c r="P25" s="16">
        <f>CASOPOInvCL!AH25</f>
        <v>197.62097170711183</v>
      </c>
      <c r="Q25" s="16">
        <f>CASOPOInvCL!AI25</f>
        <v>137.77000000000001</v>
      </c>
      <c r="R25" s="32" t="str">
        <f>CASOPOInvCL!AU25</f>
        <v>Yes</v>
      </c>
      <c r="S25" s="16">
        <f>CASOPOInvCL!AV25</f>
        <v>0</v>
      </c>
      <c r="T25" s="16">
        <f>CASOPOInvCL!AW25</f>
        <v>137.77000000000001</v>
      </c>
      <c r="Y25" s="29" t="str">
        <f>IFERROR(HLOOKUP(U25,List!$D$2:$H$6,2,FALSE),"")</f>
        <v/>
      </c>
      <c r="Z25" s="29" t="str">
        <f>IFERROR(HLOOKUP(V25,List!$D$2:$H$6,3,FALSE),"")</f>
        <v/>
      </c>
      <c r="AA25" s="29" t="str">
        <f>IFERROR(HLOOKUP(W25,List!$D$2:$H$6,4,FALSE),"")</f>
        <v/>
      </c>
      <c r="AB25" s="29" t="str">
        <f>IFERROR(HLOOKUP(X25,List!$D$2:$H$6,5,FALSE),"")</f>
        <v/>
      </c>
      <c r="AC25" s="12" t="str">
        <f t="shared" si="4"/>
        <v/>
      </c>
      <c r="AD25" s="12" t="str">
        <f t="shared" si="5"/>
        <v/>
      </c>
      <c r="AE25" s="12" t="str">
        <f t="shared" si="6"/>
        <v/>
      </c>
      <c r="AF25" s="12" t="str">
        <f t="shared" si="7"/>
        <v/>
      </c>
      <c r="AG25" t="str">
        <f>VLOOKUP(J25,'Receivable Invoice Detail'!$A$1:F3037,6,FALSE)</f>
        <v>[W-E4124/S01] Volute Liner Seal, 6/4 D or E-AH, EPDM Rubber</v>
      </c>
      <c r="AH25" s="12">
        <f t="shared" si="1"/>
        <v>0</v>
      </c>
      <c r="AM25" s="12" t="str">
        <f t="shared" si="8"/>
        <v/>
      </c>
      <c r="AN25" s="12" t="str">
        <f t="shared" si="9"/>
        <v/>
      </c>
      <c r="AO25" s="12" t="str">
        <f t="shared" si="10"/>
        <v/>
      </c>
      <c r="AP25" s="12" t="str">
        <f t="shared" si="11"/>
        <v/>
      </c>
      <c r="AQ25" s="12"/>
      <c r="AS25" s="12">
        <f t="shared" si="12"/>
        <v>2.0665499999999999</v>
      </c>
      <c r="AT25" s="16" t="str">
        <f t="shared" si="13"/>
        <v>Yes</v>
      </c>
    </row>
    <row r="26" spans="1:46" hidden="1" x14ac:dyDescent="0.25">
      <c r="A26" s="41">
        <f>CASOPOInvCL!T26</f>
        <v>1</v>
      </c>
      <c r="B26" s="76" t="str">
        <f>CASOPOInvCL!Z26</f>
        <v>SO16383</v>
      </c>
      <c r="G26" s="5" t="str">
        <f>CASOPOInvCL!I26</f>
        <v>Jeff Bell</v>
      </c>
      <c r="H26" s="31">
        <f>CASOPOInvCL!U26</f>
        <v>1</v>
      </c>
      <c r="I26" s="31">
        <f>CASOPOInvCL!V26</f>
        <v>2025</v>
      </c>
      <c r="J26" s="5" t="str">
        <f>CASOPOInvCL!AB26</f>
        <v>INV12761</v>
      </c>
      <c r="K26" s="31">
        <f>CASOPOInvCL!W26</f>
        <v>5</v>
      </c>
      <c r="L26" s="31">
        <f>CASOPOInvCL!X26</f>
        <v>2025</v>
      </c>
      <c r="M26" s="31"/>
      <c r="N26" s="5" t="str">
        <f>CASOPOInvCL!AF26</f>
        <v>Barrick Gold - Pueblo Viejo Dominicana Corporation</v>
      </c>
      <c r="O26" s="16" t="str">
        <f>CASOPOInvCL!AG26</f>
        <v>USD</v>
      </c>
      <c r="P26" s="16">
        <f>CASOPOInvCL!AH26</f>
        <v>15727.809341434107</v>
      </c>
      <c r="Q26" s="16">
        <f>CASOPOInvCL!AI26</f>
        <v>10940</v>
      </c>
      <c r="R26" s="32" t="str">
        <f>CASOPOInvCL!AU26</f>
        <v>Yes</v>
      </c>
      <c r="S26" s="16">
        <f>CASOPOInvCL!AV26</f>
        <v>0</v>
      </c>
      <c r="T26" s="16">
        <f>CASOPOInvCL!AW26</f>
        <v>10940</v>
      </c>
      <c r="Y26" s="29" t="str">
        <f>IFERROR(HLOOKUP(U26,List!$D$2:$H$6,2,FALSE),"")</f>
        <v/>
      </c>
      <c r="Z26" s="29" t="str">
        <f>IFERROR(HLOOKUP(V26,List!$D$2:$H$6,3,FALSE),"")</f>
        <v/>
      </c>
      <c r="AA26" s="29" t="str">
        <f>IFERROR(HLOOKUP(W26,List!$D$2:$H$6,4,FALSE),"")</f>
        <v/>
      </c>
      <c r="AB26" s="29" t="str">
        <f>IFERROR(HLOOKUP(X26,List!$D$2:$H$6,5,FALSE),"")</f>
        <v/>
      </c>
      <c r="AC26" s="12" t="str">
        <f t="shared" si="4"/>
        <v/>
      </c>
      <c r="AD26" s="12" t="str">
        <f t="shared" si="5"/>
        <v/>
      </c>
      <c r="AE26" s="12" t="str">
        <f t="shared" si="6"/>
        <v/>
      </c>
      <c r="AF26" s="12" t="str">
        <f t="shared" si="7"/>
        <v/>
      </c>
      <c r="AG26" t="str">
        <f>VLOOKUP(J26,'Receivable Invoice Detail'!$A$1:F3038,6,FALSE)</f>
        <v>[FS-60361M3-01  165MMRKCS-02G2AS2-2Z1-RW/LU] RKCS, 165mm, Slurry Cartridge Seal, Heavy Duty Stationary, Multi-Spring, SC vs SC</v>
      </c>
      <c r="AH26" s="12">
        <f t="shared" si="1"/>
        <v>0</v>
      </c>
      <c r="AM26" s="12" t="str">
        <f t="shared" si="8"/>
        <v/>
      </c>
      <c r="AN26" s="12" t="str">
        <f t="shared" si="9"/>
        <v/>
      </c>
      <c r="AO26" s="12" t="str">
        <f t="shared" si="10"/>
        <v/>
      </c>
      <c r="AP26" s="12" t="str">
        <f t="shared" si="11"/>
        <v/>
      </c>
      <c r="AQ26" s="64">
        <v>2503</v>
      </c>
      <c r="AR26" s="64" t="s">
        <v>5934</v>
      </c>
      <c r="AS26" s="12">
        <f t="shared" si="12"/>
        <v>164.1</v>
      </c>
      <c r="AT26" s="16" t="str">
        <f t="shared" si="13"/>
        <v>Yes</v>
      </c>
    </row>
    <row r="27" spans="1:46" hidden="1" x14ac:dyDescent="0.25">
      <c r="A27" s="41">
        <f>CASOPOInvCL!T27</f>
        <v>1</v>
      </c>
      <c r="B27" t="str">
        <f>CASOPOInvCL!Z27</f>
        <v>SO16384</v>
      </c>
      <c r="D27" t="s">
        <v>5925</v>
      </c>
      <c r="G27" s="5" t="str">
        <f>CASOPOInvCL!I27</f>
        <v>Ian Trottier</v>
      </c>
      <c r="H27" s="31">
        <f>CASOPOInvCL!U27</f>
        <v>1</v>
      </c>
      <c r="I27" s="31">
        <f>CASOPOInvCL!V27</f>
        <v>2025</v>
      </c>
      <c r="J27" s="5" t="str">
        <f>CASOPOInvCL!AB27</f>
        <v>INV13051</v>
      </c>
      <c r="K27" s="31">
        <f>CASOPOInvCL!W27</f>
        <v>7</v>
      </c>
      <c r="L27" s="31">
        <f>CASOPOInvCL!X27</f>
        <v>2025</v>
      </c>
      <c r="M27">
        <v>2503</v>
      </c>
      <c r="N27" s="5" t="str">
        <f>CASOPOInvCL!AF27</f>
        <v>Les Pompes du St-Laurent Inc.</v>
      </c>
      <c r="O27" s="16" t="str">
        <f>CASOPOInvCL!AG27</f>
        <v>CAD</v>
      </c>
      <c r="P27" s="16">
        <f>CASOPOInvCL!AH27</f>
        <v>1994.78</v>
      </c>
      <c r="Q27" s="16">
        <f>CASOPOInvCL!AI27</f>
        <v>1387.5354619482009</v>
      </c>
      <c r="R27" s="32" t="str">
        <f>CASOPOInvCL!AU27</f>
        <v>Yes</v>
      </c>
      <c r="S27" s="16">
        <f>CASOPOInvCL!AV27</f>
        <v>0</v>
      </c>
      <c r="T27" s="16">
        <f>CASOPOInvCL!AW27</f>
        <v>1387.5354619482009</v>
      </c>
      <c r="V27" t="s">
        <v>5800</v>
      </c>
      <c r="Y27" s="29" t="str">
        <f>IFERROR(HLOOKUP(U27,List!$D$2:$H$6,2,FALSE),"")</f>
        <v/>
      </c>
      <c r="Z27" s="29">
        <f>IFERROR(HLOOKUP(V27,List!$D$2:$H$6,3,FALSE),"")</f>
        <v>5.0000000000000001E-3</v>
      </c>
      <c r="AA27" s="29" t="str">
        <f>IFERROR(HLOOKUP(W27,List!$D$2:$H$6,4,FALSE),"")</f>
        <v/>
      </c>
      <c r="AB27" s="29" t="str">
        <f>IFERROR(HLOOKUP(X27,List!$D$2:$H$6,5,FALSE),"")</f>
        <v/>
      </c>
      <c r="AC27" s="12" t="str">
        <f t="shared" si="4"/>
        <v/>
      </c>
      <c r="AD27" s="12">
        <f t="shared" si="5"/>
        <v>6.9376773097410052</v>
      </c>
      <c r="AE27" s="12" t="str">
        <f t="shared" si="6"/>
        <v/>
      </c>
      <c r="AF27" s="12" t="str">
        <f t="shared" si="7"/>
        <v/>
      </c>
      <c r="AG27" t="str">
        <f>VLOOKUP(J27,'Receivable Invoice Detail'!$A$1:F3039,6,FALSE)</f>
        <v>[DU-DY53443A/FML-CD4] Rear Cover, 13", Durco Mark 2&amp;3 Group 2, CD4MCu, Flow Modifier Large Bore</v>
      </c>
      <c r="AH27" s="12">
        <f t="shared" si="1"/>
        <v>6.9376773097410052</v>
      </c>
      <c r="AM27" s="12" t="str">
        <f t="shared" si="8"/>
        <v/>
      </c>
      <c r="AN27" s="12">
        <f t="shared" si="9"/>
        <v>6.9376773097410052</v>
      </c>
      <c r="AO27" s="12" t="str">
        <f t="shared" si="10"/>
        <v/>
      </c>
      <c r="AP27" s="12" t="str">
        <f t="shared" si="11"/>
        <v/>
      </c>
      <c r="AQ27" s="64">
        <v>2503</v>
      </c>
      <c r="AR27" t="s">
        <v>5932</v>
      </c>
      <c r="AS27" s="12">
        <f t="shared" si="12"/>
        <v>20.813031929223012</v>
      </c>
      <c r="AT27" s="16" t="str">
        <f t="shared" si="13"/>
        <v>Yes</v>
      </c>
    </row>
    <row r="28" spans="1:46" hidden="1" x14ac:dyDescent="0.25">
      <c r="A28" s="41">
        <f>CASOPOInvCL!T28</f>
        <v>1</v>
      </c>
      <c r="B28" t="str">
        <f>CASOPOInvCL!Z28</f>
        <v>SO16385</v>
      </c>
      <c r="G28" s="5" t="str">
        <f>CASOPOInvCL!I28</f>
        <v>Ian Trottier</v>
      </c>
      <c r="H28" s="31">
        <f>CASOPOInvCL!U28</f>
        <v>1</v>
      </c>
      <c r="I28" s="31">
        <f>CASOPOInvCL!V28</f>
        <v>2025</v>
      </c>
      <c r="J28" s="5" t="str">
        <f>CASOPOInvCL!AB28</f>
        <v>INV12579</v>
      </c>
      <c r="K28" s="31">
        <f>CASOPOInvCL!W28</f>
        <v>2</v>
      </c>
      <c r="L28" s="31">
        <f>CASOPOInvCL!X28</f>
        <v>2025</v>
      </c>
      <c r="M28" s="31"/>
      <c r="N28" s="5" t="str">
        <f>CASOPOInvCL!AF28</f>
        <v>Les Pompes Diaspec Inc.</v>
      </c>
      <c r="O28" s="16" t="str">
        <f>CASOPOInvCL!AG28</f>
        <v>CAD</v>
      </c>
      <c r="P28" s="16">
        <f>CASOPOInvCL!AH28</f>
        <v>11636.11</v>
      </c>
      <c r="Q28" s="16">
        <f>CASOPOInvCL!AI28</f>
        <v>8083.3508942471726</v>
      </c>
      <c r="R28" s="32" t="str">
        <f>CASOPOInvCL!AU28</f>
        <v>Yes</v>
      </c>
      <c r="S28" s="16">
        <f>CASOPOInvCL!AV28</f>
        <v>0</v>
      </c>
      <c r="T28" s="16">
        <f>CASOPOInvCL!AW28</f>
        <v>8083.3508942471726</v>
      </c>
      <c r="Y28" s="29" t="str">
        <f>IFERROR(HLOOKUP(U28,List!$D$2:$H$6,2,FALSE),"")</f>
        <v/>
      </c>
      <c r="Z28" s="29" t="str">
        <f>IFERROR(HLOOKUP(V28,List!$D$2:$H$6,3,FALSE),"")</f>
        <v/>
      </c>
      <c r="AA28" s="29" t="str">
        <f>IFERROR(HLOOKUP(W28,List!$D$2:$H$6,4,FALSE),"")</f>
        <v/>
      </c>
      <c r="AB28" s="29" t="str">
        <f>IFERROR(HLOOKUP(X28,List!$D$2:$H$6,5,FALSE),"")</f>
        <v/>
      </c>
      <c r="AC28" s="12" t="str">
        <f t="shared" si="4"/>
        <v/>
      </c>
      <c r="AD28" s="12" t="str">
        <f t="shared" si="5"/>
        <v/>
      </c>
      <c r="AE28" s="12" t="str">
        <f t="shared" si="6"/>
        <v/>
      </c>
      <c r="AF28" s="12" t="str">
        <f t="shared" si="7"/>
        <v/>
      </c>
      <c r="AG28" t="str">
        <f>VLOOKUP(J28,'Receivable Invoice Detail'!$A$1:F3040,6,FALSE)</f>
        <v>[D-2x3-11-JC-HC] Pump, 2x3-11, Dynapro DC, Frame 1J, High Chrome</v>
      </c>
      <c r="AH28" s="12">
        <f t="shared" si="1"/>
        <v>0</v>
      </c>
      <c r="AM28" s="12" t="str">
        <f t="shared" si="8"/>
        <v/>
      </c>
      <c r="AN28" s="12" t="str">
        <f t="shared" si="9"/>
        <v/>
      </c>
      <c r="AO28" s="12" t="str">
        <f t="shared" si="10"/>
        <v/>
      </c>
      <c r="AP28" s="12" t="str">
        <f t="shared" si="11"/>
        <v/>
      </c>
      <c r="AQ28" s="12"/>
      <c r="AS28" s="12">
        <f t="shared" si="12"/>
        <v>121.25026341370759</v>
      </c>
      <c r="AT28" s="16" t="str">
        <f t="shared" si="13"/>
        <v>Yes</v>
      </c>
    </row>
    <row r="29" spans="1:46" hidden="1" x14ac:dyDescent="0.25">
      <c r="A29" s="41">
        <f>CASOPOInvCL!T29</f>
        <v>1</v>
      </c>
      <c r="B29" t="str">
        <f>CASOPOInvCL!Z29</f>
        <v>SO16389</v>
      </c>
      <c r="G29" s="5" t="str">
        <f>CASOPOInvCL!I29</f>
        <v>Taylor Cook</v>
      </c>
      <c r="H29" s="31">
        <f>CASOPOInvCL!U29</f>
        <v>1</v>
      </c>
      <c r="I29" s="31">
        <f>CASOPOInvCL!V29</f>
        <v>2025</v>
      </c>
      <c r="J29" s="5" t="str">
        <f>CASOPOInvCL!AB29</f>
        <v>INV12501</v>
      </c>
      <c r="K29" s="31">
        <f>CASOPOInvCL!W29</f>
        <v>2</v>
      </c>
      <c r="L29" s="31">
        <f>CASOPOInvCL!X29</f>
        <v>2025</v>
      </c>
      <c r="M29" s="31"/>
      <c r="N29" s="5" t="str">
        <f>CASOPOInvCL!AF29</f>
        <v>Hyperflo</v>
      </c>
      <c r="O29" s="16" t="str">
        <f>CASOPOInvCL!AG29</f>
        <v>CAD</v>
      </c>
      <c r="P29" s="16">
        <f>CASOPOInvCL!AH29</f>
        <v>213.9</v>
      </c>
      <c r="Q29" s="16">
        <f>CASOPOInvCL!AI29</f>
        <v>148.78524715042269</v>
      </c>
      <c r="R29" s="32" t="str">
        <f>CASOPOInvCL!AU29</f>
        <v>Yes</v>
      </c>
      <c r="S29" s="16">
        <f>CASOPOInvCL!AV29</f>
        <v>0</v>
      </c>
      <c r="T29" s="16">
        <f>CASOPOInvCL!AW29</f>
        <v>148.78524715042269</v>
      </c>
      <c r="Y29" s="29" t="str">
        <f>IFERROR(HLOOKUP(U29,List!$D$2:$H$6,2,FALSE),"")</f>
        <v/>
      </c>
      <c r="Z29" s="29" t="str">
        <f>IFERROR(HLOOKUP(V29,List!$D$2:$H$6,3,FALSE),"")</f>
        <v/>
      </c>
      <c r="AA29" s="29" t="str">
        <f>IFERROR(HLOOKUP(W29,List!$D$2:$H$6,4,FALSE),"")</f>
        <v/>
      </c>
      <c r="AB29" s="29" t="str">
        <f>IFERROR(HLOOKUP(X29,List!$D$2:$H$6,5,FALSE),"")</f>
        <v/>
      </c>
      <c r="AC29" s="12" t="str">
        <f t="shared" si="4"/>
        <v/>
      </c>
      <c r="AD29" s="12" t="str">
        <f t="shared" si="5"/>
        <v/>
      </c>
      <c r="AE29" s="12" t="str">
        <f t="shared" si="6"/>
        <v/>
      </c>
      <c r="AF29" s="12" t="str">
        <f t="shared" si="7"/>
        <v/>
      </c>
      <c r="AG29" t="str">
        <f>VLOOKUP(J29,'Receivable Invoice Detail'!$A$1:F3041,6,FALSE)</f>
        <v>[AC-98-233-700-001] Bearing Cover Gasket (Inboard &amp; Outboard), 8x6-18 &amp; 10x8-21 SRL-C</v>
      </c>
      <c r="AH29" s="12">
        <f t="shared" si="1"/>
        <v>0</v>
      </c>
      <c r="AM29" s="12" t="str">
        <f t="shared" si="8"/>
        <v/>
      </c>
      <c r="AN29" s="12" t="str">
        <f t="shared" si="9"/>
        <v/>
      </c>
      <c r="AO29" s="12" t="str">
        <f t="shared" si="10"/>
        <v/>
      </c>
      <c r="AP29" s="12" t="str">
        <f t="shared" si="11"/>
        <v/>
      </c>
      <c r="AQ29" s="12"/>
      <c r="AS29" s="12">
        <f t="shared" si="12"/>
        <v>2.2317787072563404</v>
      </c>
      <c r="AT29" s="16" t="str">
        <f t="shared" si="13"/>
        <v>Yes</v>
      </c>
    </row>
    <row r="30" spans="1:46" hidden="1" x14ac:dyDescent="0.25">
      <c r="A30" s="41">
        <f>CASOPOInvCL!T30</f>
        <v>2</v>
      </c>
      <c r="B30" t="str">
        <f>CASOPOInvCL!Z30</f>
        <v>SO16390</v>
      </c>
      <c r="G30" s="5" t="str">
        <f>CASOPOInvCL!I30</f>
        <v>Ian Trottier</v>
      </c>
      <c r="H30" s="31">
        <f>CASOPOInvCL!U30</f>
        <v>1</v>
      </c>
      <c r="I30" s="31">
        <f>CASOPOInvCL!V30</f>
        <v>2025</v>
      </c>
      <c r="J30" s="5" t="str">
        <f>CASOPOInvCL!AB30</f>
        <v>INV12631</v>
      </c>
      <c r="K30" s="31">
        <f>CASOPOInvCL!W30</f>
        <v>4</v>
      </c>
      <c r="L30" s="31">
        <f>CASOPOInvCL!X30</f>
        <v>2025</v>
      </c>
      <c r="M30" s="31"/>
      <c r="N30" s="5" t="str">
        <f>CASOPOInvCL!AF30</f>
        <v>Les Pompes du St-Laurent Inc.</v>
      </c>
      <c r="O30" s="16" t="str">
        <f>CASOPOInvCL!AG30</f>
        <v>CAD</v>
      </c>
      <c r="P30" s="16">
        <f>CASOPOInvCL!AH30</f>
        <v>926.12</v>
      </c>
      <c r="Q30" s="16">
        <f>CASOPOInvCL!AI30</f>
        <v>644.19351608672014</v>
      </c>
      <c r="R30" s="32" t="str">
        <f>CASOPOInvCL!AU30</f>
        <v>Yes</v>
      </c>
      <c r="S30" s="16">
        <f>CASOPOInvCL!AV30</f>
        <v>0</v>
      </c>
      <c r="T30" s="16">
        <f>CASOPOInvCL!AW30</f>
        <v>644.19351608672014</v>
      </c>
      <c r="Y30" s="29" t="str">
        <f>IFERROR(HLOOKUP(U30,List!$D$2:$H$6,2,FALSE),"")</f>
        <v/>
      </c>
      <c r="Z30" s="29" t="str">
        <f>IFERROR(HLOOKUP(V30,List!$D$2:$H$6,3,FALSE),"")</f>
        <v/>
      </c>
      <c r="AA30" s="29" t="str">
        <f>IFERROR(HLOOKUP(W30,List!$D$2:$H$6,4,FALSE),"")</f>
        <v/>
      </c>
      <c r="AB30" s="29" t="str">
        <f>IFERROR(HLOOKUP(X30,List!$D$2:$H$6,5,FALSE),"")</f>
        <v/>
      </c>
      <c r="AC30" s="12" t="str">
        <f t="shared" si="4"/>
        <v/>
      </c>
      <c r="AD30" s="12" t="str">
        <f t="shared" si="5"/>
        <v/>
      </c>
      <c r="AE30" s="12" t="str">
        <f t="shared" si="6"/>
        <v/>
      </c>
      <c r="AF30" s="12" t="str">
        <f t="shared" si="7"/>
        <v/>
      </c>
      <c r="AG30" t="str">
        <f>VLOOKUP(J30,'Receivable Invoice Detail'!$A$1:F3042,6,FALSE)</f>
        <v>[AC-98-331-958-804] Shaft Sleeve, 3x3-10 SRL, Steel</v>
      </c>
      <c r="AH30" s="12">
        <f t="shared" si="1"/>
        <v>0</v>
      </c>
      <c r="AM30" s="12" t="str">
        <f t="shared" si="8"/>
        <v/>
      </c>
      <c r="AN30" s="12" t="str">
        <f t="shared" si="9"/>
        <v/>
      </c>
      <c r="AO30" s="12" t="str">
        <f t="shared" si="10"/>
        <v/>
      </c>
      <c r="AP30" s="12" t="str">
        <f t="shared" si="11"/>
        <v/>
      </c>
      <c r="AQ30" s="12"/>
      <c r="AS30" s="12">
        <f t="shared" si="12"/>
        <v>9.6629027413008011</v>
      </c>
      <c r="AT30" s="16" t="str">
        <f t="shared" si="13"/>
        <v>Yes</v>
      </c>
    </row>
    <row r="31" spans="1:46" hidden="1" x14ac:dyDescent="0.25">
      <c r="A31" s="41">
        <f>CASOPOInvCL!T31</f>
        <v>2</v>
      </c>
      <c r="B31" t="str">
        <f>CASOPOInvCL!Z31</f>
        <v>SO16390</v>
      </c>
      <c r="G31" s="5">
        <f>CASOPOInvCL!I31</f>
        <v>0</v>
      </c>
      <c r="H31" s="31">
        <f>CASOPOInvCL!U31</f>
        <v>1</v>
      </c>
      <c r="I31" s="31">
        <f>CASOPOInvCL!V31</f>
        <v>2025</v>
      </c>
      <c r="J31" s="5" t="str">
        <f>CASOPOInvCL!AB31</f>
        <v>INV12506</v>
      </c>
      <c r="K31" s="31">
        <f>CASOPOInvCL!W31</f>
        <v>2</v>
      </c>
      <c r="L31" s="31">
        <f>CASOPOInvCL!X31</f>
        <v>2025</v>
      </c>
      <c r="M31" s="31"/>
      <c r="N31" s="5" t="str">
        <f>CASOPOInvCL!AF31</f>
        <v>Les Pompes du St-Laurent Inc.</v>
      </c>
      <c r="O31" s="16" t="str">
        <f>CASOPOInvCL!AG31</f>
        <v>CAD</v>
      </c>
      <c r="P31" s="16">
        <f>CASOPOInvCL!AH31</f>
        <v>0</v>
      </c>
      <c r="Q31" s="16">
        <f>CASOPOInvCL!AI31</f>
        <v>0</v>
      </c>
      <c r="R31" s="32" t="str">
        <f>CASOPOInvCL!AU31</f>
        <v/>
      </c>
      <c r="S31" s="16">
        <f>CASOPOInvCL!AV31</f>
        <v>0</v>
      </c>
      <c r="T31" s="16">
        <f>CASOPOInvCL!AW31</f>
        <v>0</v>
      </c>
      <c r="Y31" s="29" t="str">
        <f>IFERROR(HLOOKUP(U31,List!$D$2:$H$6,2,FALSE),"")</f>
        <v/>
      </c>
      <c r="Z31" s="29" t="str">
        <f>IFERROR(HLOOKUP(V31,List!$D$2:$H$6,3,FALSE),"")</f>
        <v/>
      </c>
      <c r="AA31" s="29" t="str">
        <f>IFERROR(HLOOKUP(W31,List!$D$2:$H$6,4,FALSE),"")</f>
        <v/>
      </c>
      <c r="AB31" s="29" t="str">
        <f>IFERROR(HLOOKUP(X31,List!$D$2:$H$6,5,FALSE),"")</f>
        <v/>
      </c>
      <c r="AC31" s="12" t="str">
        <f t="shared" si="4"/>
        <v/>
      </c>
      <c r="AD31" s="12" t="str">
        <f t="shared" si="5"/>
        <v/>
      </c>
      <c r="AE31" s="12" t="str">
        <f t="shared" si="6"/>
        <v/>
      </c>
      <c r="AF31" s="12" t="str">
        <f t="shared" si="7"/>
        <v/>
      </c>
      <c r="AG31" t="str">
        <f>VLOOKUP(J31,'Receivable Invoice Detail'!$A$1:F3043,6,FALSE)</f>
        <v>[AC-98-331-958-804] Shaft Sleeve, 3x3-10 SRL, Steel</v>
      </c>
      <c r="AH31" s="12">
        <f t="shared" si="1"/>
        <v>0</v>
      </c>
      <c r="AM31" s="12" t="str">
        <f t="shared" si="8"/>
        <v/>
      </c>
      <c r="AN31" s="12" t="str">
        <f t="shared" si="9"/>
        <v/>
      </c>
      <c r="AO31" s="12" t="str">
        <f t="shared" si="10"/>
        <v/>
      </c>
      <c r="AP31" s="12" t="str">
        <f t="shared" si="11"/>
        <v/>
      </c>
      <c r="AQ31" s="12"/>
      <c r="AS31" s="12">
        <f t="shared" si="12"/>
        <v>0</v>
      </c>
      <c r="AT31" s="16" t="str">
        <f t="shared" si="13"/>
        <v/>
      </c>
    </row>
    <row r="32" spans="1:46" hidden="1" x14ac:dyDescent="0.25">
      <c r="A32" s="41">
        <f>CASOPOInvCL!T32</f>
        <v>1</v>
      </c>
      <c r="B32" t="str">
        <f>CASOPOInvCL!Z32</f>
        <v>SO16392</v>
      </c>
      <c r="G32" s="5" t="str">
        <f>CASOPOInvCL!I32</f>
        <v>Ian Trottier</v>
      </c>
      <c r="H32" s="31">
        <f>CASOPOInvCL!U32</f>
        <v>1</v>
      </c>
      <c r="I32" s="31">
        <f>CASOPOInvCL!V32</f>
        <v>2025</v>
      </c>
      <c r="J32" s="5" t="str">
        <f>CASOPOInvCL!AB32</f>
        <v>INV12706</v>
      </c>
      <c r="K32" s="31">
        <f>CASOPOInvCL!W32</f>
        <v>5</v>
      </c>
      <c r="L32" s="31">
        <f>CASOPOInvCL!X32</f>
        <v>2025</v>
      </c>
      <c r="M32" s="31"/>
      <c r="N32" s="5" t="str">
        <f>CASOPOInvCL!AF32</f>
        <v>Resolute Forest Products - Kenogami</v>
      </c>
      <c r="O32" s="16" t="str">
        <f>CASOPOInvCL!AG32</f>
        <v>CAD</v>
      </c>
      <c r="P32" s="16">
        <f>CASOPOInvCL!AH32</f>
        <v>7408.13</v>
      </c>
      <c r="Q32" s="16">
        <f>CASOPOInvCL!AI32</f>
        <v>5154.72425238303</v>
      </c>
      <c r="R32" s="32" t="str">
        <f>CASOPOInvCL!AU32</f>
        <v>Yes</v>
      </c>
      <c r="S32" s="16">
        <f>CASOPOInvCL!AV32</f>
        <v>0</v>
      </c>
      <c r="T32" s="16">
        <f>CASOPOInvCL!AW32</f>
        <v>5154.72425238303</v>
      </c>
      <c r="Y32" s="29" t="str">
        <f>IFERROR(HLOOKUP(U32,List!$D$2:$H$6,2,FALSE),"")</f>
        <v/>
      </c>
      <c r="Z32" s="29" t="str">
        <f>IFERROR(HLOOKUP(V32,List!$D$2:$H$6,3,FALSE),"")</f>
        <v/>
      </c>
      <c r="AA32" s="29" t="str">
        <f>IFERROR(HLOOKUP(W32,List!$D$2:$H$6,4,FALSE),"")</f>
        <v/>
      </c>
      <c r="AB32" s="29" t="str">
        <f>IFERROR(HLOOKUP(X32,List!$D$2:$H$6,5,FALSE),"")</f>
        <v/>
      </c>
      <c r="AC32" s="12" t="str">
        <f t="shared" si="4"/>
        <v/>
      </c>
      <c r="AD32" s="12" t="str">
        <f t="shared" si="5"/>
        <v/>
      </c>
      <c r="AE32" s="12" t="str">
        <f t="shared" si="6"/>
        <v/>
      </c>
      <c r="AF32" s="12" t="str">
        <f t="shared" si="7"/>
        <v/>
      </c>
      <c r="AG32" t="str">
        <f>VLOOKUP(J32,'Receivable Invoice Detail'!$A$1:F3044,6,FALSE)</f>
        <v>[58-950-883-001] Stuffing Box Cover, F-6D2 Frame, Allis Chalmers CW, Cast Iron</v>
      </c>
      <c r="AH32" s="12">
        <f t="shared" si="1"/>
        <v>0</v>
      </c>
      <c r="AM32" s="12" t="str">
        <f t="shared" si="8"/>
        <v/>
      </c>
      <c r="AN32" s="12" t="str">
        <f t="shared" si="9"/>
        <v/>
      </c>
      <c r="AO32" s="12" t="str">
        <f t="shared" si="10"/>
        <v/>
      </c>
      <c r="AP32" s="12" t="str">
        <f t="shared" si="11"/>
        <v/>
      </c>
      <c r="AQ32" s="12"/>
      <c r="AS32" s="12">
        <f t="shared" si="12"/>
        <v>77.320863785745445</v>
      </c>
      <c r="AT32" s="16" t="str">
        <f t="shared" si="13"/>
        <v>Yes</v>
      </c>
    </row>
    <row r="33" spans="1:46" hidden="1" x14ac:dyDescent="0.25">
      <c r="A33" s="41">
        <f>CASOPOInvCL!T33</f>
        <v>2</v>
      </c>
      <c r="B33" t="str">
        <f>CASOPOInvCL!Z33</f>
        <v>SO16393</v>
      </c>
      <c r="G33" s="5" t="str">
        <f>CASOPOInvCL!I33</f>
        <v>Ian Trottier</v>
      </c>
      <c r="H33" s="31">
        <f>CASOPOInvCL!U33</f>
        <v>1</v>
      </c>
      <c r="I33" s="31">
        <f>CASOPOInvCL!V33</f>
        <v>2025</v>
      </c>
      <c r="J33" s="5" t="str">
        <f>CASOPOInvCL!AB33</f>
        <v>INV12704</v>
      </c>
      <c r="K33" s="31">
        <f>CASOPOInvCL!W33</f>
        <v>4</v>
      </c>
      <c r="L33" s="31">
        <f>CASOPOInvCL!X33</f>
        <v>2025</v>
      </c>
      <c r="M33" s="31"/>
      <c r="N33" s="5" t="str">
        <f>CASOPOInvCL!AF33</f>
        <v>FMI Products</v>
      </c>
      <c r="O33" s="16" t="str">
        <f>CASOPOInvCL!AG33</f>
        <v>CAD</v>
      </c>
      <c r="P33" s="16">
        <f>CASOPOInvCL!AH33</f>
        <v>2363.9699999999998</v>
      </c>
      <c r="Q33" s="16">
        <f>CASOPOInvCL!AI33</f>
        <v>1644.8973615346806</v>
      </c>
      <c r="R33" s="32" t="str">
        <f>CASOPOInvCL!AU33</f>
        <v>Yes</v>
      </c>
      <c r="S33" s="16">
        <f>CASOPOInvCL!AV33</f>
        <v>0</v>
      </c>
      <c r="T33" s="16">
        <f>CASOPOInvCL!AW33</f>
        <v>1644.8973615346806</v>
      </c>
      <c r="Y33" s="29" t="str">
        <f>IFERROR(HLOOKUP(U33,List!$D$2:$H$6,2,FALSE),"")</f>
        <v/>
      </c>
      <c r="Z33" s="29" t="str">
        <f>IFERROR(HLOOKUP(V33,List!$D$2:$H$6,3,FALSE),"")</f>
        <v/>
      </c>
      <c r="AA33" s="29" t="str">
        <f>IFERROR(HLOOKUP(W33,List!$D$2:$H$6,4,FALSE),"")</f>
        <v/>
      </c>
      <c r="AB33" s="29" t="str">
        <f>IFERROR(HLOOKUP(X33,List!$D$2:$H$6,5,FALSE),"")</f>
        <v/>
      </c>
      <c r="AC33" s="12" t="str">
        <f t="shared" si="4"/>
        <v/>
      </c>
      <c r="AD33" s="12" t="str">
        <f t="shared" si="5"/>
        <v/>
      </c>
      <c r="AE33" s="12" t="str">
        <f t="shared" si="6"/>
        <v/>
      </c>
      <c r="AF33" s="12" t="str">
        <f t="shared" si="7"/>
        <v/>
      </c>
      <c r="AG33" t="str">
        <f>VLOOKUP(J33,'Receivable Invoice Detail'!$A$1:F3045,6,FALSE)</f>
        <v>[G-247-42 1012] Casing, 2x3-8, 3196 MTX, Ductile Iron</v>
      </c>
      <c r="AH33" s="12">
        <f t="shared" si="1"/>
        <v>0</v>
      </c>
      <c r="AM33" s="12" t="str">
        <f t="shared" si="8"/>
        <v/>
      </c>
      <c r="AN33" s="12" t="str">
        <f t="shared" si="9"/>
        <v/>
      </c>
      <c r="AO33" s="12" t="str">
        <f t="shared" si="10"/>
        <v/>
      </c>
      <c r="AP33" s="12" t="str">
        <f t="shared" si="11"/>
        <v/>
      </c>
      <c r="AQ33" s="12"/>
      <c r="AS33" s="12">
        <f t="shared" si="12"/>
        <v>24.673460423020209</v>
      </c>
      <c r="AT33" s="16" t="str">
        <f t="shared" si="13"/>
        <v>Yes</v>
      </c>
    </row>
    <row r="34" spans="1:46" hidden="1" x14ac:dyDescent="0.25">
      <c r="A34" s="41">
        <f>CASOPOInvCL!T34</f>
        <v>2</v>
      </c>
      <c r="B34" t="str">
        <f>CASOPOInvCL!Z34</f>
        <v>SO16393</v>
      </c>
      <c r="G34" s="5">
        <f>CASOPOInvCL!I34</f>
        <v>0</v>
      </c>
      <c r="H34" s="31">
        <f>CASOPOInvCL!U34</f>
        <v>1</v>
      </c>
      <c r="I34" s="31">
        <f>CASOPOInvCL!V34</f>
        <v>2025</v>
      </c>
      <c r="J34" s="5" t="str">
        <f>CASOPOInvCL!AB34</f>
        <v>INV12541</v>
      </c>
      <c r="K34" s="31">
        <f>CASOPOInvCL!W34</f>
        <v>2</v>
      </c>
      <c r="L34" s="31">
        <f>CASOPOInvCL!X34</f>
        <v>2025</v>
      </c>
      <c r="M34" s="31"/>
      <c r="N34" s="5" t="str">
        <f>CASOPOInvCL!AF34</f>
        <v>FMI Products</v>
      </c>
      <c r="O34" s="16" t="str">
        <f>CASOPOInvCL!AG34</f>
        <v>CAD</v>
      </c>
      <c r="P34" s="16">
        <f>CASOPOInvCL!AH34</f>
        <v>0</v>
      </c>
      <c r="Q34" s="16">
        <f>CASOPOInvCL!AI34</f>
        <v>0</v>
      </c>
      <c r="R34" s="32" t="str">
        <f>CASOPOInvCL!AU34</f>
        <v/>
      </c>
      <c r="S34" s="16">
        <f>CASOPOInvCL!AV34</f>
        <v>0</v>
      </c>
      <c r="T34" s="16">
        <f>CASOPOInvCL!AW34</f>
        <v>0</v>
      </c>
      <c r="Y34" s="29" t="str">
        <f>IFERROR(HLOOKUP(U34,List!$D$2:$H$6,2,FALSE),"")</f>
        <v/>
      </c>
      <c r="Z34" s="29" t="str">
        <f>IFERROR(HLOOKUP(V34,List!$D$2:$H$6,3,FALSE),"")</f>
        <v/>
      </c>
      <c r="AA34" s="29" t="str">
        <f>IFERROR(HLOOKUP(W34,List!$D$2:$H$6,4,FALSE),"")</f>
        <v/>
      </c>
      <c r="AB34" s="29" t="str">
        <f>IFERROR(HLOOKUP(X34,List!$D$2:$H$6,5,FALSE),"")</f>
        <v/>
      </c>
      <c r="AC34" s="12" t="str">
        <f t="shared" si="4"/>
        <v/>
      </c>
      <c r="AD34" s="12" t="str">
        <f t="shared" si="5"/>
        <v/>
      </c>
      <c r="AE34" s="12" t="str">
        <f t="shared" si="6"/>
        <v/>
      </c>
      <c r="AF34" s="12" t="str">
        <f t="shared" si="7"/>
        <v/>
      </c>
      <c r="AG34" t="str">
        <f>VLOOKUP(J34,'Receivable Invoice Detail'!$A$1:F3046,6,FALSE)</f>
        <v>[G-R100-111 1012] Stuffing Box Cover, 7" &amp; 8", 3196 MTX, Ductile Iron, Standard Bore, Non-Jacketed</v>
      </c>
      <c r="AH34" s="12">
        <f t="shared" si="1"/>
        <v>0</v>
      </c>
      <c r="AM34" s="12" t="str">
        <f t="shared" si="8"/>
        <v/>
      </c>
      <c r="AN34" s="12" t="str">
        <f t="shared" si="9"/>
        <v/>
      </c>
      <c r="AO34" s="12" t="str">
        <f t="shared" si="10"/>
        <v/>
      </c>
      <c r="AP34" s="12" t="str">
        <f t="shared" si="11"/>
        <v/>
      </c>
      <c r="AQ34" s="12"/>
      <c r="AS34" s="12">
        <f t="shared" si="12"/>
        <v>0</v>
      </c>
      <c r="AT34" s="16" t="str">
        <f t="shared" si="13"/>
        <v/>
      </c>
    </row>
    <row r="35" spans="1:46" hidden="1" x14ac:dyDescent="0.25">
      <c r="A35" s="41">
        <f>CASOPOInvCL!T35</f>
        <v>1</v>
      </c>
      <c r="B35" t="str">
        <f>CASOPOInvCL!Z35</f>
        <v>SO16397</v>
      </c>
      <c r="G35" s="5" t="str">
        <f>CASOPOInvCL!I35</f>
        <v>Ian Trottier</v>
      </c>
      <c r="H35" s="31">
        <f>CASOPOInvCL!U35</f>
        <v>1</v>
      </c>
      <c r="I35" s="31">
        <f>CASOPOInvCL!V35</f>
        <v>2025</v>
      </c>
      <c r="J35" s="5" t="str">
        <f>CASOPOInvCL!AB35</f>
        <v>INV12846</v>
      </c>
      <c r="K35" s="31">
        <f>CASOPOInvCL!W35</f>
        <v>5</v>
      </c>
      <c r="L35" s="31">
        <f>CASOPOInvCL!X35</f>
        <v>2025</v>
      </c>
      <c r="M35" s="31"/>
      <c r="N35" s="5" t="str">
        <f>CASOPOInvCL!AF35</f>
        <v>Corrosion Fluid Products Corp.</v>
      </c>
      <c r="O35" s="16" t="str">
        <f>CASOPOInvCL!AG35</f>
        <v>USD</v>
      </c>
      <c r="P35" s="16">
        <f>CASOPOInvCL!AH35</f>
        <v>1339.7088038775501</v>
      </c>
      <c r="Q35" s="16">
        <f>CASOPOInvCL!AI35</f>
        <v>926.23</v>
      </c>
      <c r="R35" s="32" t="str">
        <f>CASOPOInvCL!AU35</f>
        <v>Yes</v>
      </c>
      <c r="S35" s="16">
        <f>CASOPOInvCL!AV35</f>
        <v>0</v>
      </c>
      <c r="T35" s="16">
        <f>CASOPOInvCL!AW35</f>
        <v>926.23</v>
      </c>
      <c r="Y35" s="29" t="str">
        <f>IFERROR(HLOOKUP(U35,List!$D$2:$H$6,2,FALSE),"")</f>
        <v/>
      </c>
      <c r="Z35" s="29" t="str">
        <f>IFERROR(HLOOKUP(V35,List!$D$2:$H$6,3,FALSE),"")</f>
        <v/>
      </c>
      <c r="AA35" s="29" t="str">
        <f>IFERROR(HLOOKUP(W35,List!$D$2:$H$6,4,FALSE),"")</f>
        <v/>
      </c>
      <c r="AB35" s="29" t="str">
        <f>IFERROR(HLOOKUP(X35,List!$D$2:$H$6,5,FALSE),"")</f>
        <v/>
      </c>
      <c r="AC35" s="12" t="str">
        <f t="shared" si="4"/>
        <v/>
      </c>
      <c r="AD35" s="12" t="str">
        <f t="shared" si="5"/>
        <v/>
      </c>
      <c r="AE35" s="12" t="str">
        <f t="shared" si="6"/>
        <v/>
      </c>
      <c r="AF35" s="12" t="str">
        <f t="shared" si="7"/>
        <v/>
      </c>
      <c r="AG35" t="str">
        <f>VLOOKUP(J35,'Receivable Invoice Detail'!$A$1:F3047,6,FALSE)</f>
        <v>[GA-05498,WTW - NU 409 M1 C3] Bearing (Cylinder Roller), G-Series 2" VSP, Steel, #2 Drive</v>
      </c>
      <c r="AH35" s="12">
        <f t="shared" si="1"/>
        <v>0</v>
      </c>
      <c r="AM35" s="12" t="str">
        <f t="shared" si="8"/>
        <v/>
      </c>
      <c r="AN35" s="12" t="str">
        <f t="shared" si="9"/>
        <v/>
      </c>
      <c r="AO35" s="12" t="str">
        <f t="shared" si="10"/>
        <v/>
      </c>
      <c r="AP35" s="12" t="str">
        <f t="shared" si="11"/>
        <v/>
      </c>
      <c r="AQ35" s="12"/>
      <c r="AS35" s="12">
        <f t="shared" si="12"/>
        <v>13.89345</v>
      </c>
      <c r="AT35" s="16" t="str">
        <f t="shared" si="13"/>
        <v>Yes</v>
      </c>
    </row>
    <row r="36" spans="1:46" hidden="1" x14ac:dyDescent="0.25">
      <c r="A36" s="41">
        <f>CASOPOInvCL!T36</f>
        <v>1</v>
      </c>
      <c r="B36" t="str">
        <f>CASOPOInvCL!Z36</f>
        <v>SO16399</v>
      </c>
      <c r="G36" s="5" t="str">
        <f>CASOPOInvCL!I36</f>
        <v>Taylor Cook</v>
      </c>
      <c r="H36" s="31">
        <f>CASOPOInvCL!U36</f>
        <v>1</v>
      </c>
      <c r="I36" s="31">
        <f>CASOPOInvCL!V36</f>
        <v>2025</v>
      </c>
      <c r="J36" s="5" t="str">
        <f>CASOPOInvCL!AB36</f>
        <v>INV12536</v>
      </c>
      <c r="K36" s="31">
        <f>CASOPOInvCL!W36</f>
        <v>2</v>
      </c>
      <c r="L36" s="31">
        <f>CASOPOInvCL!X36</f>
        <v>2025</v>
      </c>
      <c r="M36" s="31"/>
      <c r="N36" s="5" t="str">
        <f>CASOPOInvCL!AF36</f>
        <v>Tantalum Mining Corporation of Canada</v>
      </c>
      <c r="O36" s="16" t="str">
        <f>CASOPOInvCL!AG36</f>
        <v>CAD</v>
      </c>
      <c r="P36" s="16">
        <f>CASOPOInvCL!AH36</f>
        <v>861.07</v>
      </c>
      <c r="Q36" s="16">
        <f>CASOPOInvCL!AI36</f>
        <v>598.16647956313693</v>
      </c>
      <c r="R36" s="32" t="str">
        <f>CASOPOInvCL!AU36</f>
        <v>Yes</v>
      </c>
      <c r="S36" s="16">
        <f>CASOPOInvCL!AV36</f>
        <v>0</v>
      </c>
      <c r="T36" s="16">
        <f>CASOPOInvCL!AW36</f>
        <v>598.16647956313693</v>
      </c>
      <c r="Y36" s="29" t="str">
        <f>IFERROR(HLOOKUP(U36,List!$D$2:$H$6,2,FALSE),"")</f>
        <v/>
      </c>
      <c r="Z36" s="29" t="str">
        <f>IFERROR(HLOOKUP(V36,List!$D$2:$H$6,3,FALSE),"")</f>
        <v/>
      </c>
      <c r="AA36" s="29" t="str">
        <f>IFERROR(HLOOKUP(W36,List!$D$2:$H$6,4,FALSE),"")</f>
        <v/>
      </c>
      <c r="AB36" s="29" t="str">
        <f>IFERROR(HLOOKUP(X36,List!$D$2:$H$6,5,FALSE),"")</f>
        <v/>
      </c>
      <c r="AC36" s="12" t="str">
        <f t="shared" si="4"/>
        <v/>
      </c>
      <c r="AD36" s="12" t="str">
        <f t="shared" si="5"/>
        <v/>
      </c>
      <c r="AE36" s="12" t="str">
        <f t="shared" si="6"/>
        <v/>
      </c>
      <c r="AF36" s="12" t="str">
        <f t="shared" si="7"/>
        <v/>
      </c>
      <c r="AG36" t="str">
        <f>VLOOKUP(J36,'Receivable Invoice Detail'!$A$1:F3048,6,FALSE)</f>
        <v>[AC-98-236-104-001] Shaft Sleeve, 8x6-18 &amp; 10x8-21 SRL-C, Steel</v>
      </c>
      <c r="AH36" s="12">
        <f t="shared" si="1"/>
        <v>0</v>
      </c>
      <c r="AM36" s="12" t="str">
        <f t="shared" si="8"/>
        <v/>
      </c>
      <c r="AN36" s="12" t="str">
        <f t="shared" si="9"/>
        <v/>
      </c>
      <c r="AO36" s="12" t="str">
        <f t="shared" si="10"/>
        <v/>
      </c>
      <c r="AP36" s="12" t="str">
        <f t="shared" si="11"/>
        <v/>
      </c>
      <c r="AQ36" s="12"/>
      <c r="AS36" s="12">
        <f t="shared" si="12"/>
        <v>8.9724971934470528</v>
      </c>
      <c r="AT36" s="16" t="str">
        <f t="shared" si="13"/>
        <v>Yes</v>
      </c>
    </row>
    <row r="37" spans="1:46" hidden="1" x14ac:dyDescent="0.25">
      <c r="A37" s="41">
        <f>CASOPOInvCL!T37</f>
        <v>1</v>
      </c>
      <c r="B37" t="str">
        <f>CASOPOInvCL!Z37</f>
        <v>SO16400</v>
      </c>
      <c r="G37" s="5" t="str">
        <f>CASOPOInvCL!I37</f>
        <v>Taylor Cook</v>
      </c>
      <c r="H37" s="31">
        <f>CASOPOInvCL!U37</f>
        <v>1</v>
      </c>
      <c r="I37" s="31">
        <f>CASOPOInvCL!V37</f>
        <v>2025</v>
      </c>
      <c r="J37" s="5" t="str">
        <f>CASOPOInvCL!AB37</f>
        <v>INV12662</v>
      </c>
      <c r="K37" s="31">
        <f>CASOPOInvCL!W37</f>
        <v>4</v>
      </c>
      <c r="L37" s="31">
        <f>CASOPOInvCL!X37</f>
        <v>2025</v>
      </c>
      <c r="M37" s="31"/>
      <c r="N37" s="5" t="str">
        <f>CASOPOInvCL!AF37</f>
        <v>DXP Enterprises, Inc. - Pumping Solutions, Inc. - Hayward California</v>
      </c>
      <c r="O37" s="16" t="str">
        <f>CASOPOInvCL!AG37</f>
        <v>USD</v>
      </c>
      <c r="P37" s="16">
        <f>CASOPOInvCL!AH37</f>
        <v>3105.4443970498778</v>
      </c>
      <c r="Q37" s="16">
        <f>CASOPOInvCL!AI37</f>
        <v>2160.83</v>
      </c>
      <c r="R37" s="32" t="str">
        <f>CASOPOInvCL!AU37</f>
        <v>Yes</v>
      </c>
      <c r="S37" s="16">
        <f>CASOPOInvCL!AV37</f>
        <v>0</v>
      </c>
      <c r="T37" s="16">
        <f>CASOPOInvCL!AW37</f>
        <v>2160.83</v>
      </c>
      <c r="Y37" s="29" t="str">
        <f>IFERROR(HLOOKUP(U37,List!$D$2:$H$6,2,FALSE),"")</f>
        <v/>
      </c>
      <c r="Z37" s="29" t="str">
        <f>IFERROR(HLOOKUP(V37,List!$D$2:$H$6,3,FALSE),"")</f>
        <v/>
      </c>
      <c r="AA37" s="29" t="str">
        <f>IFERROR(HLOOKUP(W37,List!$D$2:$H$6,4,FALSE),"")</f>
        <v/>
      </c>
      <c r="AB37" s="29" t="str">
        <f>IFERROR(HLOOKUP(X37,List!$D$2:$H$6,5,FALSE),"")</f>
        <v/>
      </c>
      <c r="AC37" s="12" t="str">
        <f t="shared" si="4"/>
        <v/>
      </c>
      <c r="AD37" s="12" t="str">
        <f t="shared" si="5"/>
        <v/>
      </c>
      <c r="AE37" s="12" t="str">
        <f t="shared" si="6"/>
        <v/>
      </c>
      <c r="AF37" s="12" t="str">
        <f t="shared" si="7"/>
        <v/>
      </c>
      <c r="AG37" t="str">
        <f>VLOOKUP(J37,'Receivable Invoice Detail'!$A$1:F3049,6,FALSE)</f>
        <v>[W-MS-43DWX-TT] Single Cartridge Slurry Mechanical Seal w/Flush Gland, Tungsten vs Tungsten w/EPDM Elastomers, 316SS Gland</v>
      </c>
      <c r="AH37" s="12">
        <f t="shared" si="1"/>
        <v>0</v>
      </c>
      <c r="AM37" s="12" t="str">
        <f t="shared" si="8"/>
        <v/>
      </c>
      <c r="AN37" s="12" t="str">
        <f t="shared" si="9"/>
        <v/>
      </c>
      <c r="AO37" s="12" t="str">
        <f t="shared" si="10"/>
        <v/>
      </c>
      <c r="AP37" s="12" t="str">
        <f t="shared" si="11"/>
        <v/>
      </c>
      <c r="AQ37" s="12"/>
      <c r="AS37" s="12">
        <f t="shared" si="12"/>
        <v>32.41245</v>
      </c>
      <c r="AT37" s="16" t="str">
        <f t="shared" si="13"/>
        <v>Yes</v>
      </c>
    </row>
    <row r="38" spans="1:46" hidden="1" x14ac:dyDescent="0.25">
      <c r="A38" s="41">
        <f>CASOPOInvCL!T38</f>
        <v>1</v>
      </c>
      <c r="B38" t="str">
        <f>CASOPOInvCL!Z38</f>
        <v>SO16401</v>
      </c>
      <c r="G38" s="5" t="str">
        <f>CASOPOInvCL!I38</f>
        <v>Taylor Cook</v>
      </c>
      <c r="H38" s="31">
        <f>CASOPOInvCL!U38</f>
        <v>1</v>
      </c>
      <c r="I38" s="31">
        <f>CASOPOInvCL!V38</f>
        <v>2025</v>
      </c>
      <c r="J38" s="5" t="str">
        <f>CASOPOInvCL!AB38</f>
        <v>INV12574</v>
      </c>
      <c r="K38" s="31">
        <f>CASOPOInvCL!W38</f>
        <v>2</v>
      </c>
      <c r="L38" s="31">
        <f>CASOPOInvCL!X38</f>
        <v>2025</v>
      </c>
      <c r="M38" s="31"/>
      <c r="N38" s="5" t="str">
        <f>CASOPOInvCL!AF38</f>
        <v>Motion Industries Inc. (U.S.) - Lakeland</v>
      </c>
      <c r="O38" s="16" t="str">
        <f>CASOPOInvCL!AG38</f>
        <v>USD</v>
      </c>
      <c r="P38" s="16">
        <f>CASOPOInvCL!AH38</f>
        <v>120.92901319932109</v>
      </c>
      <c r="Q38" s="16">
        <f>CASOPOInvCL!AI38</f>
        <v>84</v>
      </c>
      <c r="R38" s="32" t="str">
        <f>CASOPOInvCL!AU38</f>
        <v>Yes</v>
      </c>
      <c r="S38" s="16">
        <f>CASOPOInvCL!AV38</f>
        <v>0</v>
      </c>
      <c r="T38" s="16">
        <f>CASOPOInvCL!AW38</f>
        <v>84</v>
      </c>
      <c r="Y38" s="29" t="str">
        <f>IFERROR(HLOOKUP(U38,List!$D$2:$H$6,2,FALSE),"")</f>
        <v/>
      </c>
      <c r="Z38" s="29" t="str">
        <f>IFERROR(HLOOKUP(V38,List!$D$2:$H$6,3,FALSE),"")</f>
        <v/>
      </c>
      <c r="AA38" s="29" t="str">
        <f>IFERROR(HLOOKUP(W38,List!$D$2:$H$6,4,FALSE),"")</f>
        <v/>
      </c>
      <c r="AB38" s="29" t="str">
        <f>IFERROR(HLOOKUP(X38,List!$D$2:$H$6,5,FALSE),"")</f>
        <v/>
      </c>
      <c r="AC38" s="12" t="str">
        <f t="shared" si="4"/>
        <v/>
      </c>
      <c r="AD38" s="12" t="str">
        <f t="shared" si="5"/>
        <v/>
      </c>
      <c r="AE38" s="12" t="str">
        <f t="shared" si="6"/>
        <v/>
      </c>
      <c r="AF38" s="12" t="str">
        <f t="shared" si="7"/>
        <v/>
      </c>
      <c r="AG38" t="str">
        <f>VLOOKUP(J38,'Receivable Invoice Detail'!$A$1:F3050,6,FALSE)</f>
        <v>[W-E111] Premium Slurry Packing (Single Piece), 6/4 or 8/6 E, R-AH, Kevlar Fiber w/Silicon Core</v>
      </c>
      <c r="AH38" s="12">
        <f t="shared" si="1"/>
        <v>0</v>
      </c>
      <c r="AM38" s="12" t="str">
        <f t="shared" si="8"/>
        <v/>
      </c>
      <c r="AN38" s="12" t="str">
        <f t="shared" si="9"/>
        <v/>
      </c>
      <c r="AO38" s="12" t="str">
        <f t="shared" si="10"/>
        <v/>
      </c>
      <c r="AP38" s="12" t="str">
        <f t="shared" si="11"/>
        <v/>
      </c>
      <c r="AQ38" s="12"/>
      <c r="AS38" s="12">
        <f t="shared" si="12"/>
        <v>1.26</v>
      </c>
      <c r="AT38" s="16" t="str">
        <f t="shared" si="13"/>
        <v>Yes</v>
      </c>
    </row>
    <row r="39" spans="1:46" hidden="1" x14ac:dyDescent="0.25">
      <c r="A39" s="41">
        <f>CASOPOInvCL!T39</f>
        <v>1</v>
      </c>
      <c r="B39" t="str">
        <f>CASOPOInvCL!Z39</f>
        <v>SO16402</v>
      </c>
      <c r="G39" s="5" t="str">
        <f>CASOPOInvCL!I39</f>
        <v>Amanda Qiao</v>
      </c>
      <c r="H39" s="31">
        <f>CASOPOInvCL!U39</f>
        <v>1</v>
      </c>
      <c r="I39" s="31">
        <f>CASOPOInvCL!V39</f>
        <v>2025</v>
      </c>
      <c r="J39" s="5" t="str">
        <f>CASOPOInvCL!AB39</f>
        <v>INV12530</v>
      </c>
      <c r="K39" s="31">
        <f>CASOPOInvCL!W39</f>
        <v>3</v>
      </c>
      <c r="L39" s="31">
        <f>CASOPOInvCL!X39</f>
        <v>2025</v>
      </c>
      <c r="M39" s="31"/>
      <c r="N39" s="5" t="str">
        <f>CASOPOInvCL!AF39</f>
        <v>Zijin Mining - Rosebel Goldmines N.V.</v>
      </c>
      <c r="O39" s="16" t="str">
        <f>CASOPOInvCL!AG39</f>
        <v>USD</v>
      </c>
      <c r="P39" s="16">
        <f>CASOPOInvCL!AH39</f>
        <v>5373.7110424893553</v>
      </c>
      <c r="Q39" s="16">
        <f>CASOPOInvCL!AI39</f>
        <v>3732.7</v>
      </c>
      <c r="R39" s="32" t="str">
        <f>CASOPOInvCL!AU39</f>
        <v>Yes</v>
      </c>
      <c r="S39" s="16">
        <f>CASOPOInvCL!AV39</f>
        <v>250</v>
      </c>
      <c r="T39" s="16">
        <f>CASOPOInvCL!AW39</f>
        <v>3482.7</v>
      </c>
      <c r="Y39" s="29" t="str">
        <f>IFERROR(HLOOKUP(U39,List!$D$2:$H$6,2,FALSE),"")</f>
        <v/>
      </c>
      <c r="Z39" s="29" t="str">
        <f>IFERROR(HLOOKUP(V39,List!$D$2:$H$6,3,FALSE),"")</f>
        <v/>
      </c>
      <c r="AA39" s="29" t="str">
        <f>IFERROR(HLOOKUP(W39,List!$D$2:$H$6,4,FALSE),"")</f>
        <v/>
      </c>
      <c r="AB39" s="29" t="str">
        <f>IFERROR(HLOOKUP(X39,List!$D$2:$H$6,5,FALSE),"")</f>
        <v/>
      </c>
      <c r="AC39" s="12" t="str">
        <f t="shared" si="4"/>
        <v/>
      </c>
      <c r="AD39" s="12" t="str">
        <f t="shared" si="5"/>
        <v/>
      </c>
      <c r="AE39" s="12" t="str">
        <f t="shared" si="6"/>
        <v/>
      </c>
      <c r="AF39" s="12" t="str">
        <f t="shared" si="7"/>
        <v/>
      </c>
      <c r="AG39" t="str">
        <f>VLOOKUP(J39,'Receivable Invoice Detail'!$A$1:F3051,6,FALSE)</f>
        <v>[W-QVR65073E/S40] Shaft, 65QV-SPR, 900mm, Neoprene</v>
      </c>
      <c r="AH39" s="12">
        <f t="shared" si="1"/>
        <v>0</v>
      </c>
      <c r="AM39" s="12" t="str">
        <f t="shared" si="8"/>
        <v/>
      </c>
      <c r="AN39" s="12" t="str">
        <f t="shared" si="9"/>
        <v/>
      </c>
      <c r="AO39" s="12" t="str">
        <f t="shared" si="10"/>
        <v/>
      </c>
      <c r="AP39" s="12" t="str">
        <f t="shared" si="11"/>
        <v/>
      </c>
      <c r="AQ39" s="12"/>
      <c r="AS39" s="12">
        <f t="shared" si="12"/>
        <v>52.240499999999997</v>
      </c>
      <c r="AT39" s="16" t="str">
        <f t="shared" si="13"/>
        <v>Yes</v>
      </c>
    </row>
    <row r="40" spans="1:46" hidden="1" x14ac:dyDescent="0.25">
      <c r="A40" s="41">
        <f>CASOPOInvCL!T40</f>
        <v>1</v>
      </c>
      <c r="B40" t="str">
        <f>CASOPOInvCL!Z40</f>
        <v>SO16403</v>
      </c>
      <c r="G40" s="5" t="str">
        <f>CASOPOInvCL!I40</f>
        <v>Taylor Cook</v>
      </c>
      <c r="H40" s="31">
        <f>CASOPOInvCL!U40</f>
        <v>1</v>
      </c>
      <c r="I40" s="31">
        <f>CASOPOInvCL!V40</f>
        <v>2025</v>
      </c>
      <c r="J40" s="5" t="str">
        <f>CASOPOInvCL!AB40</f>
        <v>INV12508</v>
      </c>
      <c r="K40" s="31">
        <f>CASOPOInvCL!W40</f>
        <v>2</v>
      </c>
      <c r="L40" s="31">
        <f>CASOPOInvCL!X40</f>
        <v>2025</v>
      </c>
      <c r="M40" s="31"/>
      <c r="N40" s="5" t="str">
        <f>CASOPOInvCL!AF40</f>
        <v>Motion Industries Inc. (Canada) - Winnipeg</v>
      </c>
      <c r="O40" s="16" t="str">
        <f>CASOPOInvCL!AG40</f>
        <v>CAD</v>
      </c>
      <c r="P40" s="16">
        <f>CASOPOInvCL!AH40</f>
        <v>540.29999999999995</v>
      </c>
      <c r="Q40" s="16">
        <f>CASOPOInvCL!AI40</f>
        <v>374.24329219542551</v>
      </c>
      <c r="R40" s="32" t="str">
        <f>CASOPOInvCL!AU40</f>
        <v>Yes</v>
      </c>
      <c r="S40" s="16">
        <f>CASOPOInvCL!AV40</f>
        <v>0</v>
      </c>
      <c r="T40" s="16">
        <f>CASOPOInvCL!AW40</f>
        <v>374.24329219542551</v>
      </c>
      <c r="Y40" s="29" t="str">
        <f>IFERROR(HLOOKUP(U40,List!$D$2:$H$6,2,FALSE),"")</f>
        <v/>
      </c>
      <c r="Z40" s="29" t="str">
        <f>IFERROR(HLOOKUP(V40,List!$D$2:$H$6,3,FALSE),"")</f>
        <v/>
      </c>
      <c r="AA40" s="29" t="str">
        <f>IFERROR(HLOOKUP(W40,List!$D$2:$H$6,4,FALSE),"")</f>
        <v/>
      </c>
      <c r="AB40" s="29" t="str">
        <f>IFERROR(HLOOKUP(X40,List!$D$2:$H$6,5,FALSE),"")</f>
        <v/>
      </c>
      <c r="AC40" s="12" t="str">
        <f t="shared" si="4"/>
        <v/>
      </c>
      <c r="AD40" s="12" t="str">
        <f t="shared" si="5"/>
        <v/>
      </c>
      <c r="AE40" s="12" t="str">
        <f t="shared" si="6"/>
        <v/>
      </c>
      <c r="AF40" s="12" t="str">
        <f t="shared" si="7"/>
        <v/>
      </c>
      <c r="AG40" t="str">
        <f>VLOOKUP(J40,'Receivable Invoice Detail'!$A$1:F3052,6,FALSE)</f>
        <v>[DU-DY21806ACP-DI] Adapter (Bearing Housing), 10", Durco Mark 2&amp;3 Group 2, Ductile Iron</v>
      </c>
      <c r="AH40" s="12">
        <f t="shared" si="1"/>
        <v>0</v>
      </c>
      <c r="AM40" s="12" t="str">
        <f t="shared" si="8"/>
        <v/>
      </c>
      <c r="AN40" s="12" t="str">
        <f t="shared" si="9"/>
        <v/>
      </c>
      <c r="AO40" s="12" t="str">
        <f t="shared" si="10"/>
        <v/>
      </c>
      <c r="AP40" s="12" t="str">
        <f t="shared" si="11"/>
        <v/>
      </c>
      <c r="AQ40" s="12"/>
      <c r="AS40" s="12">
        <f t="shared" si="12"/>
        <v>5.6136493829313823</v>
      </c>
      <c r="AT40" s="16" t="str">
        <f t="shared" si="13"/>
        <v>Yes</v>
      </c>
    </row>
    <row r="41" spans="1:46" hidden="1" x14ac:dyDescent="0.25">
      <c r="A41" s="41">
        <f>CASOPOInvCL!T41</f>
        <v>1</v>
      </c>
      <c r="B41" t="str">
        <f>CASOPOInvCL!Z41</f>
        <v>SO16405</v>
      </c>
      <c r="G41" s="5" t="str">
        <f>CASOPOInvCL!I41</f>
        <v>Taylor Cook</v>
      </c>
      <c r="H41" s="31">
        <f>CASOPOInvCL!U41</f>
        <v>1</v>
      </c>
      <c r="I41" s="31">
        <f>CASOPOInvCL!V41</f>
        <v>2025</v>
      </c>
      <c r="J41" s="5" t="str">
        <f>CASOPOInvCL!AB41</f>
        <v>INV12513</v>
      </c>
      <c r="K41" s="31">
        <f>CASOPOInvCL!W41</f>
        <v>2</v>
      </c>
      <c r="L41" s="31">
        <f>CASOPOInvCL!X41</f>
        <v>2025</v>
      </c>
      <c r="M41" s="31"/>
      <c r="N41" s="5" t="str">
        <f>CASOPOInvCL!AF41</f>
        <v>Wajax Limited - Sorel-Tracy</v>
      </c>
      <c r="O41" s="16" t="str">
        <f>CASOPOInvCL!AG41</f>
        <v>CAD</v>
      </c>
      <c r="P41" s="16">
        <f>CASOPOInvCL!AH41</f>
        <v>2036.82</v>
      </c>
      <c r="Q41" s="16">
        <f>CASOPOInvCL!AI41</f>
        <v>1410.8203265028435</v>
      </c>
      <c r="R41" s="32" t="str">
        <f>CASOPOInvCL!AU41</f>
        <v>Yes</v>
      </c>
      <c r="S41" s="16">
        <f>CASOPOInvCL!AV41</f>
        <v>0</v>
      </c>
      <c r="T41" s="16">
        <f>CASOPOInvCL!AW41</f>
        <v>1410.8203265028435</v>
      </c>
      <c r="Y41" s="29" t="str">
        <f>IFERROR(HLOOKUP(U41,List!$D$2:$H$6,2,FALSE),"")</f>
        <v/>
      </c>
      <c r="Z41" s="29" t="str">
        <f>IFERROR(HLOOKUP(V41,List!$D$2:$H$6,3,FALSE),"")</f>
        <v/>
      </c>
      <c r="AA41" s="29" t="str">
        <f>IFERROR(HLOOKUP(W41,List!$D$2:$H$6,4,FALSE),"")</f>
        <v/>
      </c>
      <c r="AB41" s="29" t="str">
        <f>IFERROR(HLOOKUP(X41,List!$D$2:$H$6,5,FALSE),"")</f>
        <v/>
      </c>
      <c r="AC41" s="12" t="str">
        <f t="shared" si="4"/>
        <v/>
      </c>
      <c r="AD41" s="12" t="str">
        <f t="shared" si="5"/>
        <v/>
      </c>
      <c r="AE41" s="12" t="str">
        <f t="shared" si="6"/>
        <v/>
      </c>
      <c r="AF41" s="12" t="str">
        <f t="shared" si="7"/>
        <v/>
      </c>
      <c r="AG41" t="str">
        <f>VLOOKUP(J41,'Receivable Invoice Detail'!$A$1:F3053,6,FALSE)</f>
        <v>[AC-98-330-289-501] Impeller (Open), 5x5-14 SRL, Natural Rubber</v>
      </c>
      <c r="AH41" s="12">
        <f t="shared" si="1"/>
        <v>0</v>
      </c>
      <c r="AM41" s="12" t="str">
        <f t="shared" si="8"/>
        <v/>
      </c>
      <c r="AN41" s="12" t="str">
        <f t="shared" si="9"/>
        <v/>
      </c>
      <c r="AO41" s="12" t="str">
        <f t="shared" si="10"/>
        <v/>
      </c>
      <c r="AP41" s="12" t="str">
        <f t="shared" si="11"/>
        <v/>
      </c>
      <c r="AQ41" s="12"/>
      <c r="AS41" s="12">
        <f t="shared" si="12"/>
        <v>21.162304897542651</v>
      </c>
      <c r="AT41" s="16" t="str">
        <f t="shared" si="13"/>
        <v>Yes</v>
      </c>
    </row>
    <row r="42" spans="1:46" hidden="1" x14ac:dyDescent="0.25">
      <c r="A42" s="41">
        <f>CASOPOInvCL!T42</f>
        <v>1</v>
      </c>
      <c r="B42" t="str">
        <f>CASOPOInvCL!Z42</f>
        <v>SO16406</v>
      </c>
      <c r="G42" s="5" t="str">
        <f>CASOPOInvCL!I42</f>
        <v>Ian Trottier</v>
      </c>
      <c r="H42" s="31">
        <f>CASOPOInvCL!U42</f>
        <v>1</v>
      </c>
      <c r="I42" s="31">
        <f>CASOPOInvCL!V42</f>
        <v>2025</v>
      </c>
      <c r="J42" s="5" t="str">
        <f>CASOPOInvCL!AB42</f>
        <v>INV12635</v>
      </c>
      <c r="K42" s="31">
        <f>CASOPOInvCL!W42</f>
        <v>4</v>
      </c>
      <c r="L42" s="31">
        <f>CASOPOInvCL!X42</f>
        <v>2025</v>
      </c>
      <c r="M42" s="31"/>
      <c r="N42" s="5" t="str">
        <f>CASOPOInvCL!AF42</f>
        <v>Les Pompes du St-Laurent Inc.</v>
      </c>
      <c r="O42" s="16" t="str">
        <f>CASOPOInvCL!AG42</f>
        <v>CAD</v>
      </c>
      <c r="P42" s="16">
        <f>CASOPOInvCL!AH42</f>
        <v>2246.1999999999998</v>
      </c>
      <c r="Q42" s="16">
        <f>CASOPOInvCL!AI42</f>
        <v>1558.7412911773558</v>
      </c>
      <c r="R42" s="32" t="str">
        <f>CASOPOInvCL!AU42</f>
        <v>Yes</v>
      </c>
      <c r="S42" s="16">
        <f>CASOPOInvCL!AV42</f>
        <v>0</v>
      </c>
      <c r="T42" s="16">
        <f>CASOPOInvCL!AW42</f>
        <v>1558.7412911773558</v>
      </c>
      <c r="Y42" s="29" t="str">
        <f>IFERROR(HLOOKUP(U42,List!$D$2:$H$6,2,FALSE),"")</f>
        <v/>
      </c>
      <c r="Z42" s="29" t="str">
        <f>IFERROR(HLOOKUP(V42,List!$D$2:$H$6,3,FALSE),"")</f>
        <v/>
      </c>
      <c r="AA42" s="29" t="str">
        <f>IFERROR(HLOOKUP(W42,List!$D$2:$H$6,4,FALSE),"")</f>
        <v/>
      </c>
      <c r="AB42" s="29" t="str">
        <f>IFERROR(HLOOKUP(X42,List!$D$2:$H$6,5,FALSE),"")</f>
        <v/>
      </c>
      <c r="AC42" s="12" t="str">
        <f t="shared" si="4"/>
        <v/>
      </c>
      <c r="AD42" s="12" t="str">
        <f t="shared" si="5"/>
        <v/>
      </c>
      <c r="AE42" s="12" t="str">
        <f t="shared" si="6"/>
        <v/>
      </c>
      <c r="AF42" s="12" t="str">
        <f t="shared" si="7"/>
        <v/>
      </c>
      <c r="AG42" t="str">
        <f>VLOOKUP(J42,'Receivable Invoice Detail'!$A$1:F3054,6,FALSE)</f>
        <v>[G-R100-585 1216] Stuffing Box Cover, 10", 3196 MTX, CD4MCu, Standard Bore, Non-Jacketed</v>
      </c>
      <c r="AH42" s="12">
        <f t="shared" si="1"/>
        <v>0</v>
      </c>
      <c r="AM42" s="12" t="str">
        <f t="shared" si="8"/>
        <v/>
      </c>
      <c r="AN42" s="12" t="str">
        <f t="shared" si="9"/>
        <v/>
      </c>
      <c r="AO42" s="12" t="str">
        <f t="shared" si="10"/>
        <v/>
      </c>
      <c r="AP42" s="12" t="str">
        <f t="shared" si="11"/>
        <v/>
      </c>
      <c r="AQ42" s="12"/>
      <c r="AS42" s="12">
        <f t="shared" si="12"/>
        <v>23.381119367660336</v>
      </c>
      <c r="AT42" s="16" t="str">
        <f t="shared" si="13"/>
        <v>Yes</v>
      </c>
    </row>
    <row r="43" spans="1:46" hidden="1" x14ac:dyDescent="0.25">
      <c r="A43" s="41">
        <f>CASOPOInvCL!T43</f>
        <v>1</v>
      </c>
      <c r="B43" t="str">
        <f>CASOPOInvCL!Z43</f>
        <v>SO16408</v>
      </c>
      <c r="G43" s="5" t="str">
        <f>CASOPOInvCL!I43</f>
        <v>Ian Trottier</v>
      </c>
      <c r="H43" s="31">
        <f>CASOPOInvCL!U43</f>
        <v>1</v>
      </c>
      <c r="I43" s="31">
        <f>CASOPOInvCL!V43</f>
        <v>2025</v>
      </c>
      <c r="J43" s="5" t="str">
        <f>CASOPOInvCL!AB43</f>
        <v>INV12519</v>
      </c>
      <c r="K43" s="31">
        <f>CASOPOInvCL!W43</f>
        <v>2</v>
      </c>
      <c r="L43" s="31">
        <f>CASOPOInvCL!X43</f>
        <v>2025</v>
      </c>
      <c r="M43" s="31"/>
      <c r="N43" s="5" t="str">
        <f>CASOPOInvCL!AF43</f>
        <v>Cartledge &amp; Associates Inc.</v>
      </c>
      <c r="O43" s="16" t="str">
        <f>CASOPOInvCL!AG43</f>
        <v>USD</v>
      </c>
      <c r="P43" s="16">
        <f>CASOPOInvCL!AH43</f>
        <v>4614.2789779870072</v>
      </c>
      <c r="Q43" s="16">
        <f>CASOPOInvCL!AI43</f>
        <v>3202.06</v>
      </c>
      <c r="R43" s="32" t="str">
        <f>CASOPOInvCL!AU43</f>
        <v>Yes</v>
      </c>
      <c r="S43" s="16">
        <f>CASOPOInvCL!AV43</f>
        <v>589</v>
      </c>
      <c r="T43" s="16">
        <f>CASOPOInvCL!AW43</f>
        <v>2613.06</v>
      </c>
      <c r="Y43" s="29" t="str">
        <f>IFERROR(HLOOKUP(U43,List!$D$2:$H$6,2,FALSE),"")</f>
        <v/>
      </c>
      <c r="Z43" s="29" t="str">
        <f>IFERROR(HLOOKUP(V43,List!$D$2:$H$6,3,FALSE),"")</f>
        <v/>
      </c>
      <c r="AA43" s="29" t="str">
        <f>IFERROR(HLOOKUP(W43,List!$D$2:$H$6,4,FALSE),"")</f>
        <v/>
      </c>
      <c r="AB43" s="29" t="str">
        <f>IFERROR(HLOOKUP(X43,List!$D$2:$H$6,5,FALSE),"")</f>
        <v/>
      </c>
      <c r="AC43" s="12" t="str">
        <f t="shared" si="4"/>
        <v/>
      </c>
      <c r="AD43" s="12" t="str">
        <f t="shared" si="5"/>
        <v/>
      </c>
      <c r="AE43" s="12" t="str">
        <f t="shared" si="6"/>
        <v/>
      </c>
      <c r="AF43" s="12" t="str">
        <f t="shared" si="7"/>
        <v/>
      </c>
      <c r="AG43" t="str">
        <f>VLOOKUP(J43,'Receivable Invoice Detail'!$A$1:F3055,6,FALSE)</f>
        <v>[AC-98-231-121-501] Suction Side Plate, 8x6-18 SRL-C, Natural Rubber</v>
      </c>
      <c r="AH43" s="12">
        <f t="shared" si="1"/>
        <v>0</v>
      </c>
      <c r="AM43" s="12" t="str">
        <f t="shared" si="8"/>
        <v/>
      </c>
      <c r="AN43" s="12" t="str">
        <f t="shared" si="9"/>
        <v/>
      </c>
      <c r="AO43" s="12" t="str">
        <f t="shared" si="10"/>
        <v/>
      </c>
      <c r="AP43" s="12" t="str">
        <f t="shared" si="11"/>
        <v/>
      </c>
      <c r="AQ43" s="12"/>
      <c r="AS43" s="12">
        <f t="shared" si="12"/>
        <v>39.195899999999995</v>
      </c>
      <c r="AT43" s="16" t="str">
        <f t="shared" si="13"/>
        <v>Yes</v>
      </c>
    </row>
    <row r="44" spans="1:46" hidden="1" x14ac:dyDescent="0.25">
      <c r="A44" s="41">
        <f>CASOPOInvCL!T44</f>
        <v>1</v>
      </c>
      <c r="B44" t="str">
        <f>CASOPOInvCL!Z44</f>
        <v>SO16409</v>
      </c>
      <c r="G44" s="5" t="str">
        <f>CASOPOInvCL!I44</f>
        <v>Ian Trottier</v>
      </c>
      <c r="H44" s="31">
        <f>CASOPOInvCL!U44</f>
        <v>1</v>
      </c>
      <c r="I44" s="31">
        <f>CASOPOInvCL!V44</f>
        <v>2025</v>
      </c>
      <c r="J44" s="5" t="str">
        <f>CASOPOInvCL!AB44</f>
        <v>INV12515</v>
      </c>
      <c r="K44" s="31">
        <f>CASOPOInvCL!W44</f>
        <v>4</v>
      </c>
      <c r="L44" s="31">
        <f>CASOPOInvCL!X44</f>
        <v>2025</v>
      </c>
      <c r="M44" s="31"/>
      <c r="N44" s="5" t="str">
        <f>CASOPOInvCL!AF44</f>
        <v>Southeast Pump Specialist, Inc.</v>
      </c>
      <c r="O44" s="16" t="str">
        <f>CASOPOInvCL!AG44</f>
        <v>USD</v>
      </c>
      <c r="P44" s="16">
        <f>CASOPOInvCL!AH44</f>
        <v>4344.1588545191835</v>
      </c>
      <c r="Q44" s="16">
        <f>CASOPOInvCL!AI44</f>
        <v>3017.55</v>
      </c>
      <c r="R44" s="32" t="str">
        <f>CASOPOInvCL!AU44</f>
        <v>Yes</v>
      </c>
      <c r="S44" s="16">
        <f>CASOPOInvCL!AV44</f>
        <v>603</v>
      </c>
      <c r="T44" s="16">
        <f>CASOPOInvCL!AW44</f>
        <v>2414.5500000000002</v>
      </c>
      <c r="Y44" s="29" t="str">
        <f>IFERROR(HLOOKUP(U44,List!$D$2:$H$6,2,FALSE),"")</f>
        <v/>
      </c>
      <c r="Z44" s="29" t="str">
        <f>IFERROR(HLOOKUP(V44,List!$D$2:$H$6,3,FALSE),"")</f>
        <v/>
      </c>
      <c r="AA44" s="29" t="str">
        <f>IFERROR(HLOOKUP(W44,List!$D$2:$H$6,4,FALSE),"")</f>
        <v/>
      </c>
      <c r="AB44" s="29" t="str">
        <f>IFERROR(HLOOKUP(X44,List!$D$2:$H$6,5,FALSE),"")</f>
        <v/>
      </c>
      <c r="AC44" s="12" t="str">
        <f t="shared" si="4"/>
        <v/>
      </c>
      <c r="AD44" s="12" t="str">
        <f t="shared" si="5"/>
        <v/>
      </c>
      <c r="AE44" s="12" t="str">
        <f t="shared" si="6"/>
        <v/>
      </c>
      <c r="AF44" s="12" t="str">
        <f t="shared" si="7"/>
        <v/>
      </c>
      <c r="AG44" t="str">
        <f>VLOOKUP(J44,'Receivable Invoice Detail'!$A$1:F3056,6,FALSE)</f>
        <v>[AC-98-331-910-801] Bearing Cylinder, 8x6-18 &amp; 10x8-21 SRL-C, Cast Iron</v>
      </c>
      <c r="AH44" s="12">
        <f t="shared" si="1"/>
        <v>0</v>
      </c>
      <c r="AM44" s="12" t="str">
        <f t="shared" si="8"/>
        <v/>
      </c>
      <c r="AN44" s="12" t="str">
        <f t="shared" si="9"/>
        <v/>
      </c>
      <c r="AO44" s="12" t="str">
        <f t="shared" si="10"/>
        <v/>
      </c>
      <c r="AP44" s="12" t="str">
        <f t="shared" si="11"/>
        <v/>
      </c>
      <c r="AQ44" s="12"/>
      <c r="AS44" s="12">
        <f t="shared" si="12"/>
        <v>36.218250000000005</v>
      </c>
      <c r="AT44" s="16" t="str">
        <f t="shared" si="13"/>
        <v>Yes</v>
      </c>
    </row>
    <row r="45" spans="1:46" hidden="1" x14ac:dyDescent="0.25">
      <c r="A45" s="41">
        <f>CASOPOInvCL!T45</f>
        <v>1</v>
      </c>
      <c r="B45" t="str">
        <f>CASOPOInvCL!Z45</f>
        <v>SO16411</v>
      </c>
      <c r="G45" s="5" t="str">
        <f>CASOPOInvCL!I45</f>
        <v>Ian Trottier</v>
      </c>
      <c r="H45" s="31">
        <f>CASOPOInvCL!U45</f>
        <v>1</v>
      </c>
      <c r="I45" s="31">
        <f>CASOPOInvCL!V45</f>
        <v>2025</v>
      </c>
      <c r="J45" s="5" t="str">
        <f>CASOPOInvCL!AB45</f>
        <v>INV12535</v>
      </c>
      <c r="K45" s="31">
        <f>CASOPOInvCL!W45</f>
        <v>2</v>
      </c>
      <c r="L45" s="31">
        <f>CASOPOInvCL!X45</f>
        <v>2025</v>
      </c>
      <c r="M45" s="31"/>
      <c r="N45" s="5" t="str">
        <f>CASOPOInvCL!AF45</f>
        <v>Les Pompes du St-Laurent Inc.</v>
      </c>
      <c r="O45" s="16" t="str">
        <f>CASOPOInvCL!AG45</f>
        <v>CAD</v>
      </c>
      <c r="P45" s="16">
        <f>CASOPOInvCL!AH45</f>
        <v>2643.9</v>
      </c>
      <c r="Q45" s="16">
        <f>CASOPOInvCL!AI45</f>
        <v>1834.7235774836672</v>
      </c>
      <c r="R45" s="32" t="str">
        <f>CASOPOInvCL!AU45</f>
        <v>Yes</v>
      </c>
      <c r="S45" s="16">
        <f>CASOPOInvCL!AV45</f>
        <v>0</v>
      </c>
      <c r="T45" s="16">
        <f>CASOPOInvCL!AW45</f>
        <v>1834.7235774836672</v>
      </c>
      <c r="Y45" s="29" t="str">
        <f>IFERROR(HLOOKUP(U45,List!$D$2:$H$6,2,FALSE),"")</f>
        <v/>
      </c>
      <c r="Z45" s="29" t="str">
        <f>IFERROR(HLOOKUP(V45,List!$D$2:$H$6,3,FALSE),"")</f>
        <v/>
      </c>
      <c r="AA45" s="29" t="str">
        <f>IFERROR(HLOOKUP(W45,List!$D$2:$H$6,4,FALSE),"")</f>
        <v/>
      </c>
      <c r="AB45" s="29" t="str">
        <f>IFERROR(HLOOKUP(X45,List!$D$2:$H$6,5,FALSE),"")</f>
        <v/>
      </c>
      <c r="AC45" s="12" t="str">
        <f t="shared" si="4"/>
        <v/>
      </c>
      <c r="AD45" s="12" t="str">
        <f t="shared" si="5"/>
        <v/>
      </c>
      <c r="AE45" s="12" t="str">
        <f t="shared" si="6"/>
        <v/>
      </c>
      <c r="AF45" s="12" t="str">
        <f t="shared" si="7"/>
        <v/>
      </c>
      <c r="AG45" t="str">
        <f>VLOOKUP(J45,'Receivable Invoice Detail'!$A$1:F3057,6,FALSE)</f>
        <v>[DU-DY21806ACP-DI] Adapter (Bearing Housing), 10", Durco Mark 2&amp;3 Group 2, Ductile Iron</v>
      </c>
      <c r="AH45" s="12">
        <f t="shared" si="1"/>
        <v>0</v>
      </c>
      <c r="AM45" s="12" t="str">
        <f t="shared" si="8"/>
        <v/>
      </c>
      <c r="AN45" s="12" t="str">
        <f t="shared" si="9"/>
        <v/>
      </c>
      <c r="AO45" s="12" t="str">
        <f t="shared" si="10"/>
        <v/>
      </c>
      <c r="AP45" s="12" t="str">
        <f t="shared" si="11"/>
        <v/>
      </c>
      <c r="AQ45" s="12"/>
      <c r="AS45" s="12">
        <f t="shared" si="12"/>
        <v>27.520853662255007</v>
      </c>
      <c r="AT45" s="16" t="str">
        <f t="shared" si="13"/>
        <v>Yes</v>
      </c>
    </row>
    <row r="46" spans="1:46" hidden="1" x14ac:dyDescent="0.25">
      <c r="A46" s="41">
        <f>CASOPOInvCL!T46</f>
        <v>1</v>
      </c>
      <c r="B46" t="str">
        <f>CASOPOInvCL!Z46</f>
        <v>SO16412</v>
      </c>
      <c r="G46" s="5" t="str">
        <f>CASOPOInvCL!I46</f>
        <v>Ian Trottier</v>
      </c>
      <c r="H46" s="31">
        <f>CASOPOInvCL!U46</f>
        <v>1</v>
      </c>
      <c r="I46" s="31">
        <f>CASOPOInvCL!V46</f>
        <v>2025</v>
      </c>
      <c r="J46" s="5" t="str">
        <f>CASOPOInvCL!AB46</f>
        <v>INV12539</v>
      </c>
      <c r="K46" s="31">
        <f>CASOPOInvCL!W46</f>
        <v>2</v>
      </c>
      <c r="L46" s="31">
        <f>CASOPOInvCL!X46</f>
        <v>2025</v>
      </c>
      <c r="M46" s="31"/>
      <c r="N46" s="5" t="str">
        <f>CASOPOInvCL!AF46</f>
        <v>Glencore Canada Corporation - Rouyn-Noranda, Glencore Canada Corp.</v>
      </c>
      <c r="O46" s="16" t="str">
        <f>CASOPOInvCL!AG46</f>
        <v>CAD</v>
      </c>
      <c r="P46" s="16">
        <f>CASOPOInvCL!AH46</f>
        <v>2336.66</v>
      </c>
      <c r="Q46" s="16">
        <f>CASOPOInvCL!AI46</f>
        <v>1621.5156377181384</v>
      </c>
      <c r="R46" s="32" t="str">
        <f>CASOPOInvCL!AU46</f>
        <v>Yes</v>
      </c>
      <c r="S46" s="16">
        <f>CASOPOInvCL!AV46</f>
        <v>0</v>
      </c>
      <c r="T46" s="16">
        <f>CASOPOInvCL!AW46</f>
        <v>1621.5156377181384</v>
      </c>
      <c r="Y46" s="29" t="str">
        <f>IFERROR(HLOOKUP(U46,List!$D$2:$H$6,2,FALSE),"")</f>
        <v/>
      </c>
      <c r="Z46" s="29" t="str">
        <f>IFERROR(HLOOKUP(V46,List!$D$2:$H$6,3,FALSE),"")</f>
        <v/>
      </c>
      <c r="AA46" s="29" t="str">
        <f>IFERROR(HLOOKUP(W46,List!$D$2:$H$6,4,FALSE),"")</f>
        <v/>
      </c>
      <c r="AB46" s="29" t="str">
        <f>IFERROR(HLOOKUP(X46,List!$D$2:$H$6,5,FALSE),"")</f>
        <v/>
      </c>
      <c r="AC46" s="12" t="str">
        <f t="shared" si="4"/>
        <v/>
      </c>
      <c r="AD46" s="12" t="str">
        <f t="shared" si="5"/>
        <v/>
      </c>
      <c r="AE46" s="12" t="str">
        <f t="shared" si="6"/>
        <v/>
      </c>
      <c r="AF46" s="12" t="str">
        <f t="shared" si="7"/>
        <v/>
      </c>
      <c r="AG46" t="str">
        <f>VLOOKUP(J46,'Receivable Invoice Detail'!$A$1:F3058,6,FALSE)</f>
        <v>[AC-98-233-733-514] Deflector (Water Slinger), 2x2-10 SRL, Neoprene/Steel</v>
      </c>
      <c r="AH46" s="12">
        <f t="shared" si="1"/>
        <v>0</v>
      </c>
      <c r="AM46" s="12" t="str">
        <f t="shared" si="8"/>
        <v/>
      </c>
      <c r="AN46" s="12" t="str">
        <f t="shared" si="9"/>
        <v/>
      </c>
      <c r="AO46" s="12" t="str">
        <f t="shared" si="10"/>
        <v/>
      </c>
      <c r="AP46" s="12" t="str">
        <f t="shared" si="11"/>
        <v/>
      </c>
      <c r="AQ46" s="12"/>
      <c r="AS46" s="12">
        <f t="shared" si="12"/>
        <v>24.322734565772073</v>
      </c>
      <c r="AT46" s="16" t="str">
        <f t="shared" si="13"/>
        <v>Yes</v>
      </c>
    </row>
    <row r="47" spans="1:46" hidden="1" x14ac:dyDescent="0.25">
      <c r="A47" s="41">
        <f>CASOPOInvCL!T47</f>
        <v>1</v>
      </c>
      <c r="B47" t="str">
        <f>CASOPOInvCL!Z47</f>
        <v>SO16413</v>
      </c>
      <c r="G47" s="5" t="str">
        <f>CASOPOInvCL!I47</f>
        <v>Ian Trottier</v>
      </c>
      <c r="H47" s="31">
        <f>CASOPOInvCL!U47</f>
        <v>1</v>
      </c>
      <c r="I47" s="31">
        <f>CASOPOInvCL!V47</f>
        <v>2025</v>
      </c>
      <c r="J47" s="5" t="str">
        <f>CASOPOInvCL!AB47</f>
        <v>INV12516</v>
      </c>
      <c r="K47" s="31">
        <f>CASOPOInvCL!W47</f>
        <v>2</v>
      </c>
      <c r="L47" s="31">
        <f>CASOPOInvCL!X47</f>
        <v>2025</v>
      </c>
      <c r="M47" s="31"/>
      <c r="N47" s="5" t="str">
        <f>CASOPOInvCL!AF47</f>
        <v>Motion Industries Inc. (U.S.) - Tucson</v>
      </c>
      <c r="O47" s="16" t="str">
        <f>CASOPOInvCL!AG47</f>
        <v>USD</v>
      </c>
      <c r="P47" s="16">
        <f>CASOPOInvCL!AH47</f>
        <v>478.65402438685237</v>
      </c>
      <c r="Q47" s="16">
        <f>CASOPOInvCL!AI47</f>
        <v>332.16</v>
      </c>
      <c r="R47" s="32" t="str">
        <f>CASOPOInvCL!AU47</f>
        <v>Yes</v>
      </c>
      <c r="S47" s="16">
        <f>CASOPOInvCL!AV47</f>
        <v>0</v>
      </c>
      <c r="T47" s="16">
        <f>CASOPOInvCL!AW47</f>
        <v>332.16</v>
      </c>
      <c r="Y47" s="29" t="str">
        <f>IFERROR(HLOOKUP(U47,List!$D$2:$H$6,2,FALSE),"")</f>
        <v/>
      </c>
      <c r="Z47" s="29" t="str">
        <f>IFERROR(HLOOKUP(V47,List!$D$2:$H$6,3,FALSE),"")</f>
        <v/>
      </c>
      <c r="AA47" s="29" t="str">
        <f>IFERROR(HLOOKUP(W47,List!$D$2:$H$6,4,FALSE),"")</f>
        <v/>
      </c>
      <c r="AB47" s="29" t="str">
        <f>IFERROR(HLOOKUP(X47,List!$D$2:$H$6,5,FALSE),"")</f>
        <v/>
      </c>
      <c r="AC47" s="12" t="str">
        <f t="shared" si="4"/>
        <v/>
      </c>
      <c r="AD47" s="12" t="str">
        <f t="shared" si="5"/>
        <v/>
      </c>
      <c r="AE47" s="12" t="str">
        <f t="shared" si="6"/>
        <v/>
      </c>
      <c r="AF47" s="12" t="str">
        <f t="shared" si="7"/>
        <v/>
      </c>
      <c r="AG47" t="str">
        <f>VLOOKUP(J47,'Receivable Invoice Detail'!$A$1:F3059,6,FALSE)</f>
        <v>[G-73705X 2229] Shaft Sleeve, 3196 MTX, 316SS</v>
      </c>
      <c r="AH47" s="12">
        <f t="shared" si="1"/>
        <v>0</v>
      </c>
      <c r="AM47" s="12" t="str">
        <f t="shared" si="8"/>
        <v/>
      </c>
      <c r="AN47" s="12" t="str">
        <f t="shared" si="9"/>
        <v/>
      </c>
      <c r="AO47" s="12" t="str">
        <f t="shared" si="10"/>
        <v/>
      </c>
      <c r="AP47" s="12" t="str">
        <f t="shared" si="11"/>
        <v/>
      </c>
      <c r="AQ47" s="12"/>
      <c r="AS47" s="12">
        <f t="shared" si="12"/>
        <v>4.9824000000000002</v>
      </c>
      <c r="AT47" s="16" t="str">
        <f t="shared" si="13"/>
        <v>Yes</v>
      </c>
    </row>
    <row r="48" spans="1:46" hidden="1" x14ac:dyDescent="0.25">
      <c r="A48" s="41">
        <f>CASOPOInvCL!T48</f>
        <v>1</v>
      </c>
      <c r="B48" t="str">
        <f>CASOPOInvCL!Z48</f>
        <v>SO16414</v>
      </c>
      <c r="G48" s="5" t="str">
        <f>CASOPOInvCL!I48</f>
        <v>Taylor Cook</v>
      </c>
      <c r="H48" s="31">
        <f>CASOPOInvCL!U48</f>
        <v>1</v>
      </c>
      <c r="I48" s="31">
        <f>CASOPOInvCL!V48</f>
        <v>2025</v>
      </c>
      <c r="J48" s="5" t="str">
        <f>CASOPOInvCL!AB48</f>
        <v>INV12626</v>
      </c>
      <c r="K48" s="31">
        <f>CASOPOInvCL!W48</f>
        <v>3</v>
      </c>
      <c r="L48" s="31">
        <f>CASOPOInvCL!X48</f>
        <v>2025</v>
      </c>
      <c r="M48" s="31"/>
      <c r="N48" s="5" t="str">
        <f>CASOPOInvCL!AF48</f>
        <v>Electric Pump</v>
      </c>
      <c r="O48" s="16" t="str">
        <f>CASOPOInvCL!AG48</f>
        <v>USD</v>
      </c>
      <c r="P48" s="16">
        <f>CASOPOInvCL!AH48</f>
        <v>102.85459393102774</v>
      </c>
      <c r="Q48" s="16">
        <f>CASOPOInvCL!AI48</f>
        <v>71.52</v>
      </c>
      <c r="R48" s="32" t="str">
        <f>CASOPOInvCL!AU48</f>
        <v>Yes</v>
      </c>
      <c r="S48" s="16">
        <f>CASOPOInvCL!AV48</f>
        <v>0</v>
      </c>
      <c r="T48" s="16">
        <f>CASOPOInvCL!AW48</f>
        <v>71.52</v>
      </c>
      <c r="Y48" s="29" t="str">
        <f>IFERROR(HLOOKUP(U48,List!$D$2:$H$6,2,FALSE),"")</f>
        <v/>
      </c>
      <c r="Z48" s="29" t="str">
        <f>IFERROR(HLOOKUP(V48,List!$D$2:$H$6,3,FALSE),"")</f>
        <v/>
      </c>
      <c r="AA48" s="29" t="str">
        <f>IFERROR(HLOOKUP(W48,List!$D$2:$H$6,4,FALSE),"")</f>
        <v/>
      </c>
      <c r="AB48" s="29" t="str">
        <f>IFERROR(HLOOKUP(X48,List!$D$2:$H$6,5,FALSE),"")</f>
        <v/>
      </c>
      <c r="AC48" s="12" t="str">
        <f t="shared" si="4"/>
        <v/>
      </c>
      <c r="AD48" s="12" t="str">
        <f t="shared" si="5"/>
        <v/>
      </c>
      <c r="AE48" s="12" t="str">
        <f t="shared" si="6"/>
        <v/>
      </c>
      <c r="AF48" s="12" t="str">
        <f t="shared" si="7"/>
        <v/>
      </c>
      <c r="AG48" t="str">
        <f>VLOOKUP(J48,'Receivable Invoice Detail'!$A$1:F3060,6,FALSE)</f>
        <v>[W-D111] Premium Slurry Packing (Single Piece), 4/3 or 6/4 DH, Kevlar Fiber w/Silicon Core</v>
      </c>
      <c r="AH48" s="12">
        <f t="shared" si="1"/>
        <v>0</v>
      </c>
      <c r="AM48" s="12" t="str">
        <f t="shared" si="8"/>
        <v/>
      </c>
      <c r="AN48" s="12" t="str">
        <f t="shared" si="9"/>
        <v/>
      </c>
      <c r="AO48" s="12" t="str">
        <f t="shared" si="10"/>
        <v/>
      </c>
      <c r="AP48" s="12" t="str">
        <f t="shared" si="11"/>
        <v/>
      </c>
      <c r="AQ48" s="12"/>
      <c r="AS48" s="12">
        <f t="shared" si="12"/>
        <v>1.0728</v>
      </c>
      <c r="AT48" s="16" t="str">
        <f t="shared" si="13"/>
        <v>Yes</v>
      </c>
    </row>
    <row r="49" spans="1:46" hidden="1" x14ac:dyDescent="0.25">
      <c r="A49" s="41">
        <f>CASOPOInvCL!T49</f>
        <v>1</v>
      </c>
      <c r="B49" t="str">
        <f>CASOPOInvCL!Z49</f>
        <v>SO16417</v>
      </c>
      <c r="G49" s="5" t="str">
        <f>CASOPOInvCL!I49</f>
        <v>Jeff Bell</v>
      </c>
      <c r="H49" s="31">
        <f>CASOPOInvCL!U49</f>
        <v>1</v>
      </c>
      <c r="I49" s="31">
        <f>CASOPOInvCL!V49</f>
        <v>2025</v>
      </c>
      <c r="J49" s="5" t="str">
        <f>CASOPOInvCL!AB49</f>
        <v>INV12872</v>
      </c>
      <c r="K49" s="31">
        <f>CASOPOInvCL!W49</f>
        <v>5</v>
      </c>
      <c r="L49" s="31">
        <f>CASOPOInvCL!X49</f>
        <v>2025</v>
      </c>
      <c r="M49" s="31"/>
      <c r="N49" s="5" t="str">
        <f>CASOPOInvCL!AF49</f>
        <v>Mill-Right Mine Services Inc.</v>
      </c>
      <c r="O49" s="16" t="str">
        <f>CASOPOInvCL!AG49</f>
        <v>USD</v>
      </c>
      <c r="P49" s="16">
        <f>CASOPOInvCL!AH49</f>
        <v>5734.2424643442628</v>
      </c>
      <c r="Q49" s="16">
        <f>CASOPOInvCL!AI49</f>
        <v>3990</v>
      </c>
      <c r="R49" s="32" t="str">
        <f>CASOPOInvCL!AU49</f>
        <v>Yes</v>
      </c>
      <c r="S49" s="16">
        <f>CASOPOInvCL!AV49</f>
        <v>0</v>
      </c>
      <c r="T49" s="16">
        <f>CASOPOInvCL!AW49</f>
        <v>3990</v>
      </c>
      <c r="Y49" s="29" t="str">
        <f>IFERROR(HLOOKUP(U49,List!$D$2:$H$6,2,FALSE),"")</f>
        <v/>
      </c>
      <c r="Z49" s="29" t="str">
        <f>IFERROR(HLOOKUP(V49,List!$D$2:$H$6,3,FALSE),"")</f>
        <v/>
      </c>
      <c r="AA49" s="29" t="str">
        <f>IFERROR(HLOOKUP(W49,List!$D$2:$H$6,4,FALSE),"")</f>
        <v/>
      </c>
      <c r="AB49" s="29" t="str">
        <f>IFERROR(HLOOKUP(X49,List!$D$2:$H$6,5,FALSE),"")</f>
        <v/>
      </c>
      <c r="AC49" s="12" t="str">
        <f t="shared" si="4"/>
        <v/>
      </c>
      <c r="AD49" s="12" t="str">
        <f t="shared" si="5"/>
        <v/>
      </c>
      <c r="AE49" s="12" t="str">
        <f t="shared" si="6"/>
        <v/>
      </c>
      <c r="AF49" s="12" t="str">
        <f t="shared" si="7"/>
        <v/>
      </c>
      <c r="AG49" t="str">
        <f>VLOOKUP(J49,'Receivable Invoice Detail'!$A$1:F3061,6,FALSE)</f>
        <v>[GA-556540] Impeller, G-Series 6" VSP, 8100 Series, High Chrome</v>
      </c>
      <c r="AH49" s="12">
        <f t="shared" si="1"/>
        <v>0</v>
      </c>
      <c r="AM49" s="12" t="str">
        <f t="shared" si="8"/>
        <v/>
      </c>
      <c r="AN49" s="12" t="str">
        <f t="shared" si="9"/>
        <v/>
      </c>
      <c r="AO49" s="12" t="str">
        <f t="shared" si="10"/>
        <v/>
      </c>
      <c r="AP49" s="12" t="str">
        <f t="shared" si="11"/>
        <v/>
      </c>
      <c r="AQ49" s="12"/>
      <c r="AS49" s="12">
        <f t="shared" si="12"/>
        <v>59.849999999999994</v>
      </c>
      <c r="AT49" s="16" t="str">
        <f t="shared" si="13"/>
        <v>Yes</v>
      </c>
    </row>
    <row r="50" spans="1:46" hidden="1" x14ac:dyDescent="0.25">
      <c r="A50" s="41">
        <f>CASOPOInvCL!T50</f>
        <v>1</v>
      </c>
      <c r="B50" t="str">
        <f>CASOPOInvCL!Z50</f>
        <v>SO16422</v>
      </c>
      <c r="G50" s="5" t="str">
        <f>CASOPOInvCL!I50</f>
        <v>Ian Trottier</v>
      </c>
      <c r="H50" s="31">
        <f>CASOPOInvCL!U50</f>
        <v>1</v>
      </c>
      <c r="I50" s="31">
        <f>CASOPOInvCL!V50</f>
        <v>2025</v>
      </c>
      <c r="J50" s="5" t="str">
        <f>CASOPOInvCL!AB50</f>
        <v>INV12701</v>
      </c>
      <c r="K50" s="31">
        <f>CASOPOInvCL!W50</f>
        <v>4</v>
      </c>
      <c r="L50" s="31">
        <f>CASOPOInvCL!X50</f>
        <v>2025</v>
      </c>
      <c r="M50" s="31"/>
      <c r="N50" s="5" t="str">
        <f>CASOPOInvCL!AF50</f>
        <v>Gibraltar Mine (Canada)</v>
      </c>
      <c r="O50" s="16" t="str">
        <f>CASOPOInvCL!AG50</f>
        <v>CAD</v>
      </c>
      <c r="P50" s="16">
        <f>CASOPOInvCL!AH50</f>
        <v>5815.61</v>
      </c>
      <c r="Q50" s="16">
        <f>CASOPOInvCL!AI50</f>
        <v>4046.6171502661628</v>
      </c>
      <c r="R50" s="32" t="str">
        <f>CASOPOInvCL!AU50</f>
        <v>Yes</v>
      </c>
      <c r="S50" s="16">
        <f>CASOPOInvCL!AV50</f>
        <v>0</v>
      </c>
      <c r="T50" s="16">
        <f>CASOPOInvCL!AW50</f>
        <v>4046.6171502661628</v>
      </c>
      <c r="Y50" s="29" t="str">
        <f>IFERROR(HLOOKUP(U50,List!$D$2:$H$6,2,FALSE),"")</f>
        <v/>
      </c>
      <c r="Z50" s="29" t="str">
        <f>IFERROR(HLOOKUP(V50,List!$D$2:$H$6,3,FALSE),"")</f>
        <v/>
      </c>
      <c r="AA50" s="29" t="str">
        <f>IFERROR(HLOOKUP(W50,List!$D$2:$H$6,4,FALSE),"")</f>
        <v/>
      </c>
      <c r="AB50" s="29" t="str">
        <f>IFERROR(HLOOKUP(X50,List!$D$2:$H$6,5,FALSE),"")</f>
        <v/>
      </c>
      <c r="AC50" s="12" t="str">
        <f t="shared" si="4"/>
        <v/>
      </c>
      <c r="AD50" s="12" t="str">
        <f t="shared" si="5"/>
        <v/>
      </c>
      <c r="AE50" s="12" t="str">
        <f t="shared" si="6"/>
        <v/>
      </c>
      <c r="AF50" s="12" t="str">
        <f t="shared" si="7"/>
        <v/>
      </c>
      <c r="AG50" t="str">
        <f>VLOOKUP(J50,'Receivable Invoice Detail'!$A$1:F3062,6,FALSE)</f>
        <v>[GA-23965] Impeller, G-Series 2.5" VSP, 1000 Series, Urethane</v>
      </c>
      <c r="AH50" s="12">
        <f t="shared" si="1"/>
        <v>0</v>
      </c>
      <c r="AM50" s="12" t="str">
        <f t="shared" si="8"/>
        <v/>
      </c>
      <c r="AN50" s="12" t="str">
        <f t="shared" si="9"/>
        <v/>
      </c>
      <c r="AO50" s="12" t="str">
        <f t="shared" si="10"/>
        <v/>
      </c>
      <c r="AP50" s="12" t="str">
        <f t="shared" si="11"/>
        <v/>
      </c>
      <c r="AQ50" s="12"/>
      <c r="AS50" s="12">
        <f t="shared" si="12"/>
        <v>60.699257253992442</v>
      </c>
      <c r="AT50" s="16" t="str">
        <f t="shared" si="13"/>
        <v>Yes</v>
      </c>
    </row>
    <row r="51" spans="1:46" hidden="1" x14ac:dyDescent="0.25">
      <c r="A51" s="41">
        <f>CASOPOInvCL!T51</f>
        <v>1</v>
      </c>
      <c r="B51" t="str">
        <f>CASOPOInvCL!Z51</f>
        <v>SO16423</v>
      </c>
      <c r="D51" t="s">
        <v>5938</v>
      </c>
      <c r="G51" s="5" t="str">
        <f>CASOPOInvCL!I51</f>
        <v>Marlen Martinez</v>
      </c>
      <c r="H51" s="31">
        <f>CASOPOInvCL!U51</f>
        <v>1</v>
      </c>
      <c r="I51" s="31">
        <f>CASOPOInvCL!V51</f>
        <v>2025</v>
      </c>
      <c r="J51" s="5" t="str">
        <f>CASOPOInvCL!AB51</f>
        <v>INV12544</v>
      </c>
      <c r="K51" s="31">
        <f>CASOPOInvCL!W51</f>
        <v>5</v>
      </c>
      <c r="L51" s="31">
        <f>CASOPOInvCL!X51</f>
        <v>2025</v>
      </c>
      <c r="M51" s="31"/>
      <c r="N51" s="5" t="str">
        <f>CASOPOInvCL!AF51</f>
        <v>Covia Corp - Camden</v>
      </c>
      <c r="O51" s="16" t="str">
        <f>CASOPOInvCL!AG51</f>
        <v>CAD</v>
      </c>
      <c r="P51" s="16">
        <f>CASOPOInvCL!AH51</f>
        <v>5986</v>
      </c>
      <c r="Q51" s="16">
        <f>CASOPOInvCL!AI51</f>
        <v>4162.3684819278751</v>
      </c>
      <c r="R51" s="32" t="str">
        <f>CASOPOInvCL!AU51</f>
        <v>Yes</v>
      </c>
      <c r="S51" s="16">
        <f>CASOPOInvCL!AV51</f>
        <v>386</v>
      </c>
      <c r="T51" s="16">
        <f>CASOPOInvCL!AW51</f>
        <v>3776.3684819278751</v>
      </c>
      <c r="Y51" s="29" t="str">
        <f>IFERROR(HLOOKUP(U51,List!$D$2:$H$6,2,FALSE),"")</f>
        <v/>
      </c>
      <c r="Z51" s="29" t="str">
        <f>IFERROR(HLOOKUP(V51,List!$D$2:$H$6,3,FALSE),"")</f>
        <v/>
      </c>
      <c r="AA51" s="29" t="str">
        <f>IFERROR(HLOOKUP(W51,List!$D$2:$H$6,4,FALSE),"")</f>
        <v/>
      </c>
      <c r="AB51" s="29" t="str">
        <f>IFERROR(HLOOKUP(X51,List!$D$2:$H$6,5,FALSE),"")</f>
        <v/>
      </c>
      <c r="AC51" s="12" t="str">
        <f t="shared" si="4"/>
        <v/>
      </c>
      <c r="AD51" s="12" t="str">
        <f t="shared" si="5"/>
        <v/>
      </c>
      <c r="AE51" s="12" t="str">
        <f t="shared" si="6"/>
        <v/>
      </c>
      <c r="AF51" s="12" t="str">
        <f t="shared" si="7"/>
        <v/>
      </c>
      <c r="AG51" t="str">
        <f>VLOOKUP(J51,'Receivable Invoice Detail'!$A$1:F3063,6,FALSE)</f>
        <v>102392/6504 Lip Seal, 8/6 E-AH, Nitrile</v>
      </c>
      <c r="AH51" s="12">
        <f t="shared" si="1"/>
        <v>0</v>
      </c>
      <c r="AM51" s="12" t="str">
        <f t="shared" si="8"/>
        <v/>
      </c>
      <c r="AN51" s="12" t="str">
        <f t="shared" si="9"/>
        <v/>
      </c>
      <c r="AO51" s="12" t="str">
        <f t="shared" si="10"/>
        <v/>
      </c>
      <c r="AP51" s="12" t="str">
        <f t="shared" si="11"/>
        <v/>
      </c>
      <c r="AQ51" s="64">
        <f>M51</f>
        <v>0</v>
      </c>
      <c r="AR51" t="s">
        <v>5939</v>
      </c>
      <c r="AS51" s="12">
        <f t="shared" si="12"/>
        <v>56.645527228918127</v>
      </c>
      <c r="AT51" s="16" t="str">
        <f t="shared" si="13"/>
        <v>Yes</v>
      </c>
    </row>
    <row r="52" spans="1:46" hidden="1" x14ac:dyDescent="0.25">
      <c r="A52" s="41">
        <f>CASOPOInvCL!T52</f>
        <v>1</v>
      </c>
      <c r="B52" t="str">
        <f>CASOPOInvCL!Z52</f>
        <v>SO16424</v>
      </c>
      <c r="G52" s="5" t="str">
        <f>CASOPOInvCL!I52</f>
        <v>Ian Trottier</v>
      </c>
      <c r="H52" s="31">
        <f>CASOPOInvCL!U52</f>
        <v>1</v>
      </c>
      <c r="I52" s="31">
        <f>CASOPOInvCL!V52</f>
        <v>2025</v>
      </c>
      <c r="J52" s="5" t="str">
        <f>CASOPOInvCL!AB52</f>
        <v>INV12643</v>
      </c>
      <c r="K52" s="31">
        <f>CASOPOInvCL!W52</f>
        <v>3</v>
      </c>
      <c r="L52" s="31">
        <f>CASOPOInvCL!X52</f>
        <v>2025</v>
      </c>
      <c r="M52" s="31"/>
      <c r="N52" s="5" t="str">
        <f>CASOPOInvCL!AF52</f>
        <v>Grant Aggregate</v>
      </c>
      <c r="O52" s="16" t="str">
        <f>CASOPOInvCL!AG52</f>
        <v>CAD</v>
      </c>
      <c r="P52" s="16">
        <f>CASOPOInvCL!AH52</f>
        <v>21498.92</v>
      </c>
      <c r="Q52" s="16">
        <f>CASOPOInvCL!AI52</f>
        <v>15013.660195093944</v>
      </c>
      <c r="R52" s="32" t="str">
        <f>CASOPOInvCL!AU52</f>
        <v>Yes</v>
      </c>
      <c r="S52" s="16">
        <f>CASOPOInvCL!AV52</f>
        <v>0</v>
      </c>
      <c r="T52" s="16">
        <f>CASOPOInvCL!AW52</f>
        <v>15013.660195093944</v>
      </c>
      <c r="Y52" s="29" t="str">
        <f>IFERROR(HLOOKUP(U52,List!$D$2:$H$6,2,FALSE),"")</f>
        <v/>
      </c>
      <c r="Z52" s="29" t="str">
        <f>IFERROR(HLOOKUP(V52,List!$D$2:$H$6,3,FALSE),"")</f>
        <v/>
      </c>
      <c r="AA52" s="29" t="str">
        <f>IFERROR(HLOOKUP(W52,List!$D$2:$H$6,4,FALSE),"")</f>
        <v/>
      </c>
      <c r="AB52" s="29" t="str">
        <f>IFERROR(HLOOKUP(X52,List!$D$2:$H$6,5,FALSE),"")</f>
        <v/>
      </c>
      <c r="AC52" s="12" t="str">
        <f t="shared" si="4"/>
        <v/>
      </c>
      <c r="AD52" s="12" t="str">
        <f t="shared" si="5"/>
        <v/>
      </c>
      <c r="AE52" s="12" t="str">
        <f t="shared" si="6"/>
        <v/>
      </c>
      <c r="AF52" s="12" t="str">
        <f t="shared" si="7"/>
        <v/>
      </c>
      <c r="AG52" t="str">
        <f>VLOOKUP(J52,'Receivable Invoice Detail'!$A$1:F3064,6,FALSE)</f>
        <v>[G-D02488A02 1216] Casing, 8x10-13, 3196 XLT, CD4MCu</v>
      </c>
      <c r="AH52" s="12">
        <f t="shared" si="1"/>
        <v>0</v>
      </c>
      <c r="AM52" s="12" t="str">
        <f t="shared" si="8"/>
        <v/>
      </c>
      <c r="AN52" s="12" t="str">
        <f t="shared" si="9"/>
        <v/>
      </c>
      <c r="AO52" s="12" t="str">
        <f t="shared" si="10"/>
        <v/>
      </c>
      <c r="AP52" s="12" t="str">
        <f t="shared" si="11"/>
        <v/>
      </c>
      <c r="AQ52" s="12"/>
      <c r="AS52" s="12">
        <f t="shared" si="12"/>
        <v>225.20490292640915</v>
      </c>
      <c r="AT52" s="16" t="str">
        <f t="shared" si="13"/>
        <v>Yes</v>
      </c>
    </row>
    <row r="53" spans="1:46" hidden="1" x14ac:dyDescent="0.25">
      <c r="A53" s="41">
        <f>CASOPOInvCL!T53</f>
        <v>1</v>
      </c>
      <c r="B53" t="str">
        <f>CASOPOInvCL!Z53</f>
        <v>SO16426</v>
      </c>
      <c r="G53" s="5" t="str">
        <f>CASOPOInvCL!I53</f>
        <v>Ian Trottier</v>
      </c>
      <c r="H53" s="31">
        <f>CASOPOInvCL!U53</f>
        <v>1</v>
      </c>
      <c r="I53" s="31">
        <f>CASOPOInvCL!V53</f>
        <v>2025</v>
      </c>
      <c r="J53" s="5" t="str">
        <f>CASOPOInvCL!AB53</f>
        <v>INV12695</v>
      </c>
      <c r="K53" s="31">
        <f>CASOPOInvCL!W53</f>
        <v>2</v>
      </c>
      <c r="L53" s="31">
        <f>CASOPOInvCL!X53</f>
        <v>2025</v>
      </c>
      <c r="M53" s="31"/>
      <c r="N53" s="5" t="str">
        <f>CASOPOInvCL!AF53</f>
        <v>Industrial Rigging &amp; Supply</v>
      </c>
      <c r="O53" s="16" t="str">
        <f>CASOPOInvCL!AG53</f>
        <v>CAD</v>
      </c>
      <c r="P53" s="16">
        <f>CASOPOInvCL!AH53</f>
        <v>846.16</v>
      </c>
      <c r="Q53" s="16">
        <f>CASOPOInvCL!AI53</f>
        <v>586.7806643577569</v>
      </c>
      <c r="R53" s="32" t="str">
        <f>CASOPOInvCL!AU53</f>
        <v>Yes</v>
      </c>
      <c r="S53" s="16">
        <f>CASOPOInvCL!AV53</f>
        <v>0</v>
      </c>
      <c r="T53" s="16">
        <f>CASOPOInvCL!AW53</f>
        <v>586.7806643577569</v>
      </c>
      <c r="Y53" s="29" t="str">
        <f>IFERROR(HLOOKUP(U53,List!$D$2:$H$6,2,FALSE),"")</f>
        <v/>
      </c>
      <c r="Z53" s="29" t="str">
        <f>IFERROR(HLOOKUP(V53,List!$D$2:$H$6,3,FALSE),"")</f>
        <v/>
      </c>
      <c r="AA53" s="29" t="str">
        <f>IFERROR(HLOOKUP(W53,List!$D$2:$H$6,4,FALSE),"")</f>
        <v/>
      </c>
      <c r="AB53" s="29" t="str">
        <f>IFERROR(HLOOKUP(X53,List!$D$2:$H$6,5,FALSE),"")</f>
        <v/>
      </c>
      <c r="AC53" s="12" t="str">
        <f t="shared" si="4"/>
        <v/>
      </c>
      <c r="AD53" s="12" t="str">
        <f t="shared" si="5"/>
        <v/>
      </c>
      <c r="AE53" s="12" t="str">
        <f t="shared" si="6"/>
        <v/>
      </c>
      <c r="AF53" s="12" t="str">
        <f t="shared" si="7"/>
        <v/>
      </c>
      <c r="AG53" t="str">
        <f>VLOOKUP(J53,'Receivable Invoice Detail'!$A$1:F3065,6,FALSE)</f>
        <v>[AC-98-234-268-001-SS] Waterseal Bushing, 5x4/5x5/6x6 SRL, 316SS</v>
      </c>
      <c r="AH53" s="12">
        <f t="shared" si="1"/>
        <v>0</v>
      </c>
      <c r="AM53" s="12" t="str">
        <f t="shared" si="8"/>
        <v/>
      </c>
      <c r="AN53" s="12" t="str">
        <f t="shared" si="9"/>
        <v/>
      </c>
      <c r="AO53" s="12" t="str">
        <f t="shared" si="10"/>
        <v/>
      </c>
      <c r="AP53" s="12" t="str">
        <f t="shared" si="11"/>
        <v/>
      </c>
      <c r="AQ53" s="12"/>
      <c r="AS53" s="12">
        <f t="shared" si="12"/>
        <v>8.8017099653663529</v>
      </c>
      <c r="AT53" s="16" t="str">
        <f t="shared" si="13"/>
        <v>Yes</v>
      </c>
    </row>
    <row r="54" spans="1:46" hidden="1" x14ac:dyDescent="0.25">
      <c r="A54" s="41">
        <f>CASOPOInvCL!T54</f>
        <v>1</v>
      </c>
      <c r="B54" t="str">
        <f>CASOPOInvCL!Z54</f>
        <v>SO16427</v>
      </c>
      <c r="G54" s="5" t="str">
        <f>CASOPOInvCL!I54</f>
        <v>Ian Trottier</v>
      </c>
      <c r="H54" s="31">
        <f>CASOPOInvCL!U54</f>
        <v>1</v>
      </c>
      <c r="I54" s="31">
        <f>CASOPOInvCL!V54</f>
        <v>2025</v>
      </c>
      <c r="J54" s="5" t="str">
        <f>CASOPOInvCL!AB54</f>
        <v>INV12811</v>
      </c>
      <c r="K54" s="31">
        <f>CASOPOInvCL!W54</f>
        <v>5</v>
      </c>
      <c r="L54" s="31">
        <f>CASOPOInvCL!X54</f>
        <v>2025</v>
      </c>
      <c r="M54" s="31"/>
      <c r="N54" s="5" t="str">
        <f>CASOPOInvCL!AF54</f>
        <v>Hyperflo</v>
      </c>
      <c r="O54" s="16" t="str">
        <f>CASOPOInvCL!AG54</f>
        <v>CAD</v>
      </c>
      <c r="P54" s="16">
        <f>CASOPOInvCL!AH54</f>
        <v>4839.1099999999997</v>
      </c>
      <c r="Q54" s="16">
        <f>CASOPOInvCL!AI54</f>
        <v>3361.6237854283286</v>
      </c>
      <c r="R54" s="32" t="str">
        <f>CASOPOInvCL!AU54</f>
        <v>Yes</v>
      </c>
      <c r="S54" s="16">
        <f>CASOPOInvCL!AV54</f>
        <v>0</v>
      </c>
      <c r="T54" s="16">
        <f>CASOPOInvCL!AW54</f>
        <v>3361.6237854283286</v>
      </c>
      <c r="Y54" s="29" t="str">
        <f>IFERROR(HLOOKUP(U54,List!$D$2:$H$6,2,FALSE),"")</f>
        <v/>
      </c>
      <c r="Z54" s="29" t="str">
        <f>IFERROR(HLOOKUP(V54,List!$D$2:$H$6,3,FALSE),"")</f>
        <v/>
      </c>
      <c r="AA54" s="29" t="str">
        <f>IFERROR(HLOOKUP(W54,List!$D$2:$H$6,4,FALSE),"")</f>
        <v/>
      </c>
      <c r="AB54" s="29" t="str">
        <f>IFERROR(HLOOKUP(X54,List!$D$2:$H$6,5,FALSE),"")</f>
        <v/>
      </c>
      <c r="AC54" s="12" t="str">
        <f t="shared" si="4"/>
        <v/>
      </c>
      <c r="AD54" s="12" t="str">
        <f t="shared" si="5"/>
        <v/>
      </c>
      <c r="AE54" s="12" t="str">
        <f t="shared" si="6"/>
        <v/>
      </c>
      <c r="AF54" s="12" t="str">
        <f t="shared" si="7"/>
        <v/>
      </c>
      <c r="AG54" t="str">
        <f>VLOOKUP(J54,'Receivable Invoice Detail'!$A$1:F3066,6,FALSE)</f>
        <v>[AC100-CS10-DRS, AC-52-425-728-003] Casing, 2x1-10, Allis-Chalmers CSO, Frame F4B3/F4B5/F4D1, Cast Iron</v>
      </c>
      <c r="AH54" s="12">
        <f t="shared" si="1"/>
        <v>0</v>
      </c>
      <c r="AM54" s="12" t="str">
        <f t="shared" si="8"/>
        <v/>
      </c>
      <c r="AN54" s="12" t="str">
        <f t="shared" si="9"/>
        <v/>
      </c>
      <c r="AO54" s="12" t="str">
        <f t="shared" si="10"/>
        <v/>
      </c>
      <c r="AP54" s="12" t="str">
        <f t="shared" si="11"/>
        <v/>
      </c>
      <c r="AQ54" s="12"/>
      <c r="AS54" s="12">
        <f t="shared" si="12"/>
        <v>50.424356781424926</v>
      </c>
      <c r="AT54" s="16" t="str">
        <f t="shared" si="13"/>
        <v>Yes</v>
      </c>
    </row>
    <row r="55" spans="1:46" hidden="1" x14ac:dyDescent="0.25">
      <c r="A55" s="41">
        <f>CASOPOInvCL!T55</f>
        <v>1</v>
      </c>
      <c r="B55" t="str">
        <f>CASOPOInvCL!Z55</f>
        <v>SO16429</v>
      </c>
      <c r="G55" s="5" t="str">
        <f>CASOPOInvCL!I55</f>
        <v>Taylor Cook</v>
      </c>
      <c r="H55" s="31">
        <f>CASOPOInvCL!U55</f>
        <v>1</v>
      </c>
      <c r="I55" s="31">
        <f>CASOPOInvCL!V55</f>
        <v>2025</v>
      </c>
      <c r="J55" s="5" t="str">
        <f>CASOPOInvCL!AB55</f>
        <v>INV12538</v>
      </c>
      <c r="K55" s="31">
        <f>CASOPOInvCL!W55</f>
        <v>2</v>
      </c>
      <c r="L55" s="31">
        <f>CASOPOInvCL!X55</f>
        <v>2025</v>
      </c>
      <c r="M55" s="31"/>
      <c r="N55" s="5" t="str">
        <f>CASOPOInvCL!AF55</f>
        <v>Manufacture Sling-Choker (Val-d’Or) Ltée</v>
      </c>
      <c r="O55" s="16" t="str">
        <f>CASOPOInvCL!AG55</f>
        <v>CAD</v>
      </c>
      <c r="P55" s="16">
        <f>CASOPOInvCL!AH55</f>
        <v>873.41</v>
      </c>
      <c r="Q55" s="16">
        <f>CASOPOInvCL!AI55</f>
        <v>606.73880743172958</v>
      </c>
      <c r="R55" s="32" t="str">
        <f>CASOPOInvCL!AU55</f>
        <v>Yes</v>
      </c>
      <c r="S55" s="16">
        <f>CASOPOInvCL!AV55</f>
        <v>0</v>
      </c>
      <c r="T55" s="16">
        <f>CASOPOInvCL!AW55</f>
        <v>606.73880743172958</v>
      </c>
      <c r="Y55" s="29" t="str">
        <f>IFERROR(HLOOKUP(U55,List!$D$2:$H$6,2,FALSE),"")</f>
        <v/>
      </c>
      <c r="Z55" s="29" t="str">
        <f>IFERROR(HLOOKUP(V55,List!$D$2:$H$6,3,FALSE),"")</f>
        <v/>
      </c>
      <c r="AA55" s="29" t="str">
        <f>IFERROR(HLOOKUP(W55,List!$D$2:$H$6,4,FALSE),"")</f>
        <v/>
      </c>
      <c r="AB55" s="29" t="str">
        <f>IFERROR(HLOOKUP(X55,List!$D$2:$H$6,5,FALSE),"")</f>
        <v/>
      </c>
      <c r="AC55" s="12" t="str">
        <f t="shared" si="4"/>
        <v/>
      </c>
      <c r="AD55" s="12" t="str">
        <f t="shared" si="5"/>
        <v/>
      </c>
      <c r="AE55" s="12" t="str">
        <f t="shared" si="6"/>
        <v/>
      </c>
      <c r="AF55" s="12" t="str">
        <f t="shared" si="7"/>
        <v/>
      </c>
      <c r="AG55" t="str">
        <f>VLOOKUP(J55,'Receivable Invoice Detail'!$A$1:F3067,6,FALSE)</f>
        <v>[AC-98-231-071-501] Suction Side Liner, 3x3-10 SRL, Natural Rubber</v>
      </c>
      <c r="AH55" s="12">
        <f t="shared" si="1"/>
        <v>0</v>
      </c>
      <c r="AM55" s="12" t="str">
        <f t="shared" si="8"/>
        <v/>
      </c>
      <c r="AN55" s="12" t="str">
        <f t="shared" si="9"/>
        <v/>
      </c>
      <c r="AO55" s="12" t="str">
        <f t="shared" si="10"/>
        <v/>
      </c>
      <c r="AP55" s="12" t="str">
        <f t="shared" si="11"/>
        <v/>
      </c>
      <c r="AQ55" s="12"/>
      <c r="AS55" s="12">
        <f t="shared" si="12"/>
        <v>9.101082111475943</v>
      </c>
      <c r="AT55" s="16" t="str">
        <f t="shared" si="13"/>
        <v>Yes</v>
      </c>
    </row>
    <row r="56" spans="1:46" hidden="1" x14ac:dyDescent="0.25">
      <c r="A56" s="41">
        <f>CASOPOInvCL!T56</f>
        <v>0</v>
      </c>
      <c r="B56" t="str">
        <f>CASOPOInvCL!Z56</f>
        <v>SO16430</v>
      </c>
      <c r="G56" s="5" t="str">
        <f>CASOPOInvCL!I56</f>
        <v>Ian Trottier</v>
      </c>
      <c r="H56" s="31">
        <f>CASOPOInvCL!U56</f>
        <v>1</v>
      </c>
      <c r="I56" s="31">
        <f>CASOPOInvCL!V56</f>
        <v>2025</v>
      </c>
      <c r="J56" s="5" t="str">
        <f>CASOPOInvCL!AB56</f>
        <v>No Inv</v>
      </c>
      <c r="K56" s="31" t="str">
        <f>CASOPOInvCL!W56</f>
        <v/>
      </c>
      <c r="L56" s="31" t="str">
        <f>CASOPOInvCL!X56</f>
        <v/>
      </c>
      <c r="M56" s="31"/>
      <c r="N56" s="5" t="str">
        <f>CASOPOInvCL!AF56</f>
        <v>Les Pompes du St-Laurent Inc.</v>
      </c>
      <c r="O56" s="16" t="str">
        <f>CASOPOInvCL!AG56</f>
        <v>CAD</v>
      </c>
      <c r="P56" s="16">
        <f>CASOPOInvCL!AH56</f>
        <v>12078.11</v>
      </c>
      <c r="Q56" s="16">
        <f>CASOPOInvCL!AI56</f>
        <v>8619.9165435572431</v>
      </c>
      <c r="R56" s="32" t="str">
        <f>CASOPOInvCL!AU56</f>
        <v/>
      </c>
      <c r="S56" s="16">
        <f>CASOPOInvCL!AV56</f>
        <v>0</v>
      </c>
      <c r="T56" s="16">
        <f>CASOPOInvCL!AW56</f>
        <v>0</v>
      </c>
      <c r="Y56" s="29" t="str">
        <f>IFERROR(HLOOKUP(U56,List!$D$2:$H$6,2,FALSE),"")</f>
        <v/>
      </c>
      <c r="Z56" s="29" t="str">
        <f>IFERROR(HLOOKUP(V56,List!$D$2:$H$6,3,FALSE),"")</f>
        <v/>
      </c>
      <c r="AA56" s="29" t="str">
        <f>IFERROR(HLOOKUP(W56,List!$D$2:$H$6,4,FALSE),"")</f>
        <v/>
      </c>
      <c r="AB56" s="29" t="str">
        <f>IFERROR(HLOOKUP(X56,List!$D$2:$H$6,5,FALSE),"")</f>
        <v/>
      </c>
      <c r="AC56" s="12" t="str">
        <f t="shared" si="4"/>
        <v/>
      </c>
      <c r="AD56" s="12" t="str">
        <f t="shared" si="5"/>
        <v/>
      </c>
      <c r="AE56" s="12" t="str">
        <f t="shared" si="6"/>
        <v/>
      </c>
      <c r="AF56" s="12" t="str">
        <f t="shared" si="7"/>
        <v/>
      </c>
      <c r="AG56" t="e">
        <f>VLOOKUP(J56,'Receivable Invoice Detail'!$A$1:F3068,6,FALSE)</f>
        <v>#N/A</v>
      </c>
      <c r="AH56" s="12">
        <f t="shared" si="1"/>
        <v>0</v>
      </c>
      <c r="AM56" s="12" t="str">
        <f t="shared" si="8"/>
        <v/>
      </c>
      <c r="AN56" s="12" t="str">
        <f t="shared" si="9"/>
        <v/>
      </c>
      <c r="AO56" s="12" t="str">
        <f t="shared" si="10"/>
        <v/>
      </c>
      <c r="AP56" s="12" t="str">
        <f t="shared" si="11"/>
        <v/>
      </c>
      <c r="AQ56" s="12"/>
      <c r="AS56" s="12">
        <f t="shared" si="12"/>
        <v>0</v>
      </c>
      <c r="AT56" s="16" t="str">
        <f t="shared" si="13"/>
        <v/>
      </c>
    </row>
    <row r="57" spans="1:46" hidden="1" x14ac:dyDescent="0.25">
      <c r="A57" s="41">
        <f>CASOPOInvCL!T57</f>
        <v>1</v>
      </c>
      <c r="B57" t="str">
        <f>CASOPOInvCL!Z57</f>
        <v>SO16432</v>
      </c>
      <c r="G57" s="5" t="str">
        <f>CASOPOInvCL!I57</f>
        <v>Ian Trottier</v>
      </c>
      <c r="H57" s="31">
        <f>CASOPOInvCL!U57</f>
        <v>1</v>
      </c>
      <c r="I57" s="31">
        <f>CASOPOInvCL!V57</f>
        <v>2025</v>
      </c>
      <c r="J57" s="5" t="str">
        <f>CASOPOInvCL!AB57</f>
        <v>INV12563</v>
      </c>
      <c r="K57" s="31">
        <f>CASOPOInvCL!W57</f>
        <v>2</v>
      </c>
      <c r="L57" s="31">
        <f>CASOPOInvCL!X57</f>
        <v>2025</v>
      </c>
      <c r="M57" s="31"/>
      <c r="N57" s="5" t="str">
        <f>CASOPOInvCL!AF57</f>
        <v>Agnico Eagle Mines Ltd. - Rouyn-Noranda, LaRonde secteur Penna (11102)</v>
      </c>
      <c r="O57" s="16" t="str">
        <f>CASOPOInvCL!AG57</f>
        <v>CAD</v>
      </c>
      <c r="P57" s="16">
        <f>CASOPOInvCL!AH57</f>
        <v>498.78</v>
      </c>
      <c r="Q57" s="16">
        <f>CASOPOInvCL!AI57</f>
        <v>346.49154734981056</v>
      </c>
      <c r="R57" s="32" t="str">
        <f>CASOPOInvCL!AU57</f>
        <v>Yes</v>
      </c>
      <c r="S57" s="16">
        <f>CASOPOInvCL!AV57</f>
        <v>0</v>
      </c>
      <c r="T57" s="16">
        <f>CASOPOInvCL!AW57</f>
        <v>346.49154734981056</v>
      </c>
      <c r="Y57" s="29" t="str">
        <f>IFERROR(HLOOKUP(U57,List!$D$2:$H$6,2,FALSE),"")</f>
        <v/>
      </c>
      <c r="Z57" s="29" t="str">
        <f>IFERROR(HLOOKUP(V57,List!$D$2:$H$6,3,FALSE),"")</f>
        <v/>
      </c>
      <c r="AA57" s="29" t="str">
        <f>IFERROR(HLOOKUP(W57,List!$D$2:$H$6,4,FALSE),"")</f>
        <v/>
      </c>
      <c r="AB57" s="29" t="str">
        <f>IFERROR(HLOOKUP(X57,List!$D$2:$H$6,5,FALSE),"")</f>
        <v/>
      </c>
      <c r="AC57" s="12" t="str">
        <f t="shared" si="4"/>
        <v/>
      </c>
      <c r="AD57" s="12" t="str">
        <f t="shared" si="5"/>
        <v/>
      </c>
      <c r="AE57" s="12" t="str">
        <f t="shared" si="6"/>
        <v/>
      </c>
      <c r="AF57" s="12" t="str">
        <f t="shared" si="7"/>
        <v/>
      </c>
      <c r="AG57" t="str">
        <f>VLOOKUP(J57,'Receivable Invoice Detail'!$A$1:F3069,6,FALSE)</f>
        <v>[G-C04677A 3201] Coupling Guard, 3196 MTX, Fabricated Steel, Drum Style</v>
      </c>
      <c r="AH57" s="12">
        <f t="shared" si="1"/>
        <v>0</v>
      </c>
      <c r="AM57" s="12" t="str">
        <f t="shared" si="8"/>
        <v/>
      </c>
      <c r="AN57" s="12" t="str">
        <f t="shared" si="9"/>
        <v/>
      </c>
      <c r="AO57" s="12" t="str">
        <f t="shared" si="10"/>
        <v/>
      </c>
      <c r="AP57" s="12" t="str">
        <f t="shared" si="11"/>
        <v/>
      </c>
      <c r="AQ57" s="12"/>
      <c r="AS57" s="12">
        <f t="shared" si="12"/>
        <v>5.1973732102471581</v>
      </c>
      <c r="AT57" s="16" t="str">
        <f t="shared" si="13"/>
        <v>Yes</v>
      </c>
    </row>
    <row r="58" spans="1:46" hidden="1" x14ac:dyDescent="0.25">
      <c r="A58" s="41">
        <f>CASOPOInvCL!T58</f>
        <v>1</v>
      </c>
      <c r="B58" t="str">
        <f>CASOPOInvCL!Z58</f>
        <v>SO16433</v>
      </c>
      <c r="G58" s="5" t="str">
        <f>CASOPOInvCL!I58</f>
        <v>Ian Trottier</v>
      </c>
      <c r="H58" s="31">
        <f>CASOPOInvCL!U58</f>
        <v>1</v>
      </c>
      <c r="I58" s="31">
        <f>CASOPOInvCL!V58</f>
        <v>2025</v>
      </c>
      <c r="J58" s="5" t="str">
        <f>CASOPOInvCL!AB58</f>
        <v>INV12602</v>
      </c>
      <c r="K58" s="31">
        <f>CASOPOInvCL!W58</f>
        <v>1</v>
      </c>
      <c r="L58" s="31">
        <f>CASOPOInvCL!X58</f>
        <v>2025</v>
      </c>
      <c r="M58" s="31"/>
      <c r="N58" s="5" t="str">
        <f>CASOPOInvCL!AF58</f>
        <v>Eleazar General &amp; Industrial Supplies Limited</v>
      </c>
      <c r="O58" s="16" t="str">
        <f>CASOPOInvCL!AG58</f>
        <v>USD</v>
      </c>
      <c r="P58" s="16">
        <f>CASOPOInvCL!AH58</f>
        <v>4777.1969268411485</v>
      </c>
      <c r="Q58" s="16">
        <f>CASOPOInvCL!AI58</f>
        <v>3330.81</v>
      </c>
      <c r="R58" s="32" t="str">
        <f>CASOPOInvCL!AU58</f>
        <v>Yes</v>
      </c>
      <c r="S58" s="16">
        <f>CASOPOInvCL!AV58</f>
        <v>0</v>
      </c>
      <c r="T58" s="16">
        <f>CASOPOInvCL!AW58</f>
        <v>3330.81</v>
      </c>
      <c r="Y58" s="29" t="str">
        <f>IFERROR(HLOOKUP(U58,List!$D$2:$H$6,2,FALSE),"")</f>
        <v/>
      </c>
      <c r="Z58" s="29" t="str">
        <f>IFERROR(HLOOKUP(V58,List!$D$2:$H$6,3,FALSE),"")</f>
        <v/>
      </c>
      <c r="AA58" s="29" t="str">
        <f>IFERROR(HLOOKUP(W58,List!$D$2:$H$6,4,FALSE),"")</f>
        <v/>
      </c>
      <c r="AB58" s="29" t="str">
        <f>IFERROR(HLOOKUP(X58,List!$D$2:$H$6,5,FALSE),"")</f>
        <v/>
      </c>
      <c r="AC58" s="12" t="str">
        <f t="shared" si="4"/>
        <v/>
      </c>
      <c r="AD58" s="12" t="str">
        <f t="shared" si="5"/>
        <v/>
      </c>
      <c r="AE58" s="12" t="str">
        <f t="shared" si="6"/>
        <v/>
      </c>
      <c r="AF58" s="12" t="str">
        <f t="shared" si="7"/>
        <v/>
      </c>
      <c r="AG58" t="str">
        <f>VLOOKUP(J58,'Receivable Invoice Detail'!$A$1:F3070,6,FALSE)</f>
        <v>[AC-98-331-932-501] Shaft Assembly, 5x4-14 SRL-C &amp; 5x5-14 SRL, 1045 Steel</v>
      </c>
      <c r="AH58" s="12">
        <f t="shared" si="1"/>
        <v>0</v>
      </c>
      <c r="AM58" s="12" t="str">
        <f t="shared" si="8"/>
        <v/>
      </c>
      <c r="AN58" s="12" t="str">
        <f t="shared" si="9"/>
        <v/>
      </c>
      <c r="AO58" s="12" t="str">
        <f t="shared" si="10"/>
        <v/>
      </c>
      <c r="AP58" s="12" t="str">
        <f t="shared" si="11"/>
        <v/>
      </c>
      <c r="AQ58" s="12"/>
      <c r="AS58" s="12">
        <f t="shared" si="12"/>
        <v>49.962149999999994</v>
      </c>
      <c r="AT58" s="16" t="str">
        <f t="shared" si="13"/>
        <v>Yes</v>
      </c>
    </row>
    <row r="59" spans="1:46" hidden="1" x14ac:dyDescent="0.25">
      <c r="A59" s="41">
        <f>CASOPOInvCL!T59</f>
        <v>1</v>
      </c>
      <c r="B59" t="str">
        <f>CASOPOInvCL!Z59</f>
        <v>SO16434</v>
      </c>
      <c r="G59" s="5" t="str">
        <f>CASOPOInvCL!I59</f>
        <v>Ian Trottier</v>
      </c>
      <c r="H59" s="31">
        <f>CASOPOInvCL!U59</f>
        <v>1</v>
      </c>
      <c r="I59" s="31">
        <f>CASOPOInvCL!V59</f>
        <v>2025</v>
      </c>
      <c r="J59" s="5" t="str">
        <f>CASOPOInvCL!AB59</f>
        <v>INV12595</v>
      </c>
      <c r="K59" s="31">
        <f>CASOPOInvCL!W59</f>
        <v>3</v>
      </c>
      <c r="L59" s="31">
        <f>CASOPOInvCL!X59</f>
        <v>2025</v>
      </c>
      <c r="M59" s="31"/>
      <c r="N59" s="5" t="str">
        <f>CASOPOInvCL!AF59</f>
        <v>ProPart Pompes du Canada 9425-4380 Quebec Inc</v>
      </c>
      <c r="O59" s="16" t="str">
        <f>CASOPOInvCL!AG59</f>
        <v>CAD</v>
      </c>
      <c r="P59" s="16">
        <f>CASOPOInvCL!AH59</f>
        <v>5460.46</v>
      </c>
      <c r="Q59" s="16">
        <f>CASOPOInvCL!AI59</f>
        <v>3794.5842196947619</v>
      </c>
      <c r="R59" s="32" t="str">
        <f>CASOPOInvCL!AU59</f>
        <v>Yes</v>
      </c>
      <c r="S59" s="16">
        <f>CASOPOInvCL!AV59</f>
        <v>0</v>
      </c>
      <c r="T59" s="16">
        <f>CASOPOInvCL!AW59</f>
        <v>3794.5842196947619</v>
      </c>
      <c r="Y59" s="29" t="str">
        <f>IFERROR(HLOOKUP(U59,List!$D$2:$H$6,2,FALSE),"")</f>
        <v/>
      </c>
      <c r="Z59" s="29" t="str">
        <f>IFERROR(HLOOKUP(V59,List!$D$2:$H$6,3,FALSE),"")</f>
        <v/>
      </c>
      <c r="AA59" s="29" t="str">
        <f>IFERROR(HLOOKUP(W59,List!$D$2:$H$6,4,FALSE),"")</f>
        <v/>
      </c>
      <c r="AB59" s="29" t="str">
        <f>IFERROR(HLOOKUP(X59,List!$D$2:$H$6,5,FALSE),"")</f>
        <v/>
      </c>
      <c r="AC59" s="12" t="str">
        <f t="shared" si="4"/>
        <v/>
      </c>
      <c r="AD59" s="12" t="str">
        <f t="shared" si="5"/>
        <v/>
      </c>
      <c r="AE59" s="12" t="str">
        <f t="shared" si="6"/>
        <v/>
      </c>
      <c r="AF59" s="12" t="str">
        <f t="shared" si="7"/>
        <v/>
      </c>
      <c r="AG59" t="str">
        <f>VLOOKUP(J59,'Receivable Invoice Detail'!$A$1:F3071,6,FALSE)</f>
        <v>[AC-98-431-743-501] Shaft Assembly, 10x8-21 SRL-C, 1045 Steel</v>
      </c>
      <c r="AH59" s="12">
        <f t="shared" si="1"/>
        <v>0</v>
      </c>
      <c r="AM59" s="12" t="str">
        <f t="shared" si="8"/>
        <v/>
      </c>
      <c r="AN59" s="12" t="str">
        <f t="shared" si="9"/>
        <v/>
      </c>
      <c r="AO59" s="12" t="str">
        <f t="shared" si="10"/>
        <v/>
      </c>
      <c r="AP59" s="12" t="str">
        <f t="shared" si="11"/>
        <v/>
      </c>
      <c r="AQ59" s="12"/>
      <c r="AS59" s="12">
        <f t="shared" si="12"/>
        <v>56.918763295421428</v>
      </c>
      <c r="AT59" s="16" t="str">
        <f t="shared" si="13"/>
        <v>Yes</v>
      </c>
    </row>
    <row r="60" spans="1:46" hidden="1" x14ac:dyDescent="0.25">
      <c r="A60" s="41">
        <f>CASOPOInvCL!T60</f>
        <v>1</v>
      </c>
      <c r="B60" t="str">
        <f>CASOPOInvCL!Z60</f>
        <v>SO16435</v>
      </c>
      <c r="G60" s="5" t="str">
        <f>CASOPOInvCL!I60</f>
        <v>Ian Trottier</v>
      </c>
      <c r="H60" s="31">
        <f>CASOPOInvCL!U60</f>
        <v>1</v>
      </c>
      <c r="I60" s="31">
        <f>CASOPOInvCL!V60</f>
        <v>2025</v>
      </c>
      <c r="J60" s="5" t="str">
        <f>CASOPOInvCL!AB60</f>
        <v>INV12551</v>
      </c>
      <c r="K60" s="31">
        <f>CASOPOInvCL!W60</f>
        <v>2</v>
      </c>
      <c r="L60" s="31">
        <f>CASOPOInvCL!X60</f>
        <v>2025</v>
      </c>
      <c r="M60" s="31"/>
      <c r="N60" s="5" t="str">
        <f>CASOPOInvCL!AF60</f>
        <v>Wajax Limited - Noranda</v>
      </c>
      <c r="O60" s="16" t="str">
        <f>CASOPOInvCL!AG60</f>
        <v>CAD</v>
      </c>
      <c r="P60" s="16">
        <f>CASOPOInvCL!AH60</f>
        <v>1946.57</v>
      </c>
      <c r="Q60" s="16">
        <f>CASOPOInvCL!AI60</f>
        <v>1352.2395671933934</v>
      </c>
      <c r="R60" s="32" t="str">
        <f>CASOPOInvCL!AU60</f>
        <v>Yes</v>
      </c>
      <c r="S60" s="16">
        <f>CASOPOInvCL!AV60</f>
        <v>0</v>
      </c>
      <c r="T60" s="16">
        <f>CASOPOInvCL!AW60</f>
        <v>1352.2395671933934</v>
      </c>
      <c r="Y60" s="29" t="str">
        <f>IFERROR(HLOOKUP(U60,List!$D$2:$H$6,2,FALSE),"")</f>
        <v/>
      </c>
      <c r="Z60" s="29" t="str">
        <f>IFERROR(HLOOKUP(V60,List!$D$2:$H$6,3,FALSE),"")</f>
        <v/>
      </c>
      <c r="AA60" s="29" t="str">
        <f>IFERROR(HLOOKUP(W60,List!$D$2:$H$6,4,FALSE),"")</f>
        <v/>
      </c>
      <c r="AB60" s="29" t="str">
        <f>IFERROR(HLOOKUP(X60,List!$D$2:$H$6,5,FALSE),"")</f>
        <v/>
      </c>
      <c r="AC60" s="12" t="str">
        <f t="shared" si="4"/>
        <v/>
      </c>
      <c r="AD60" s="12" t="str">
        <f t="shared" si="5"/>
        <v/>
      </c>
      <c r="AE60" s="12" t="str">
        <f t="shared" si="6"/>
        <v/>
      </c>
      <c r="AF60" s="12" t="str">
        <f t="shared" si="7"/>
        <v/>
      </c>
      <c r="AG60" t="str">
        <f>VLOOKUP(J60,'Receivable Invoice Detail'!$A$1:F3072,6,FALSE)</f>
        <v>[W-D3110/A05] Volute Liner, 4/3 C or D-AH, High Chrome</v>
      </c>
      <c r="AH60" s="12">
        <f t="shared" si="1"/>
        <v>0</v>
      </c>
      <c r="AM60" s="12" t="str">
        <f t="shared" si="8"/>
        <v/>
      </c>
      <c r="AN60" s="12" t="str">
        <f t="shared" si="9"/>
        <v/>
      </c>
      <c r="AO60" s="12" t="str">
        <f t="shared" si="10"/>
        <v/>
      </c>
      <c r="AP60" s="12" t="str">
        <f t="shared" si="11"/>
        <v/>
      </c>
      <c r="AQ60" s="12"/>
      <c r="AS60" s="12">
        <f t="shared" si="12"/>
        <v>20.2835935079009</v>
      </c>
      <c r="AT60" s="16" t="str">
        <f t="shared" si="13"/>
        <v>Yes</v>
      </c>
    </row>
    <row r="61" spans="1:46" hidden="1" x14ac:dyDescent="0.25">
      <c r="A61" s="41">
        <f>CASOPOInvCL!T61</f>
        <v>1</v>
      </c>
      <c r="B61" t="str">
        <f>CASOPOInvCL!Z61</f>
        <v>SO16436</v>
      </c>
      <c r="G61" s="5" t="str">
        <f>CASOPOInvCL!I61</f>
        <v>Ian Trottier</v>
      </c>
      <c r="H61" s="31">
        <f>CASOPOInvCL!U61</f>
        <v>1</v>
      </c>
      <c r="I61" s="31">
        <f>CASOPOInvCL!V61</f>
        <v>2025</v>
      </c>
      <c r="J61" s="5" t="str">
        <f>CASOPOInvCL!AB61</f>
        <v>INV12545</v>
      </c>
      <c r="K61" s="31">
        <f>CASOPOInvCL!W61</f>
        <v>2</v>
      </c>
      <c r="L61" s="31">
        <f>CASOPOInvCL!X61</f>
        <v>2025</v>
      </c>
      <c r="M61" s="31"/>
      <c r="N61" s="5" t="str">
        <f>CASOPOInvCL!AF61</f>
        <v>Pierce Pump Company, Pierce Pump Company</v>
      </c>
      <c r="O61" s="16" t="str">
        <f>CASOPOInvCL!AG61</f>
        <v>USD</v>
      </c>
      <c r="P61" s="16">
        <f>CASOPOInvCL!AH61</f>
        <v>2360.8667091022521</v>
      </c>
      <c r="Q61" s="16">
        <f>CASOPOInvCL!AI61</f>
        <v>1641.63</v>
      </c>
      <c r="R61" s="32" t="str">
        <f>CASOPOInvCL!AU61</f>
        <v>Yes</v>
      </c>
      <c r="S61" s="16">
        <f>CASOPOInvCL!AV61</f>
        <v>0</v>
      </c>
      <c r="T61" s="16">
        <f>CASOPOInvCL!AW61</f>
        <v>1641.63</v>
      </c>
      <c r="Y61" s="29" t="str">
        <f>IFERROR(HLOOKUP(U61,List!$D$2:$H$6,2,FALSE),"")</f>
        <v/>
      </c>
      <c r="Z61" s="29" t="str">
        <f>IFERROR(HLOOKUP(V61,List!$D$2:$H$6,3,FALSE),"")</f>
        <v/>
      </c>
      <c r="AA61" s="29" t="str">
        <f>IFERROR(HLOOKUP(W61,List!$D$2:$H$6,4,FALSE),"")</f>
        <v/>
      </c>
      <c r="AB61" s="29" t="str">
        <f>IFERROR(HLOOKUP(X61,List!$D$2:$H$6,5,FALSE),"")</f>
        <v/>
      </c>
      <c r="AC61" s="12" t="str">
        <f t="shared" si="4"/>
        <v/>
      </c>
      <c r="AD61" s="12" t="str">
        <f t="shared" si="5"/>
        <v/>
      </c>
      <c r="AE61" s="12" t="str">
        <f t="shared" si="6"/>
        <v/>
      </c>
      <c r="AF61" s="12" t="str">
        <f t="shared" si="7"/>
        <v/>
      </c>
      <c r="AG61" t="str">
        <f>VLOOKUP(J61,'Receivable Invoice Detail'!$A$1:F3073,6,FALSE)</f>
        <v>[NSK-22218EAE4, AC-00-813-261-537] Roller Bearing (Inboard), 8x6-18 &amp; 10x8-21 SRL-C</v>
      </c>
      <c r="AH61" s="12">
        <f t="shared" si="1"/>
        <v>0</v>
      </c>
      <c r="AM61" s="12" t="str">
        <f t="shared" si="8"/>
        <v/>
      </c>
      <c r="AN61" s="12" t="str">
        <f t="shared" si="9"/>
        <v/>
      </c>
      <c r="AO61" s="12" t="str">
        <f t="shared" si="10"/>
        <v/>
      </c>
      <c r="AP61" s="12" t="str">
        <f t="shared" si="11"/>
        <v/>
      </c>
      <c r="AQ61" s="12"/>
      <c r="AS61" s="12">
        <f t="shared" si="12"/>
        <v>24.62445</v>
      </c>
      <c r="AT61" s="16" t="str">
        <f t="shared" si="13"/>
        <v>Yes</v>
      </c>
    </row>
    <row r="62" spans="1:46" hidden="1" x14ac:dyDescent="0.25">
      <c r="A62" s="41">
        <f>CASOPOInvCL!T62</f>
        <v>1</v>
      </c>
      <c r="B62" t="str">
        <f>CASOPOInvCL!Z62</f>
        <v>SO16437</v>
      </c>
      <c r="G62" s="5" t="str">
        <f>CASOPOInvCL!I62</f>
        <v>Ian Trottier</v>
      </c>
      <c r="H62" s="31">
        <f>CASOPOInvCL!U62</f>
        <v>1</v>
      </c>
      <c r="I62" s="31">
        <f>CASOPOInvCL!V62</f>
        <v>2025</v>
      </c>
      <c r="J62" s="5" t="str">
        <f>CASOPOInvCL!AB62</f>
        <v>INV12649</v>
      </c>
      <c r="K62" s="31">
        <f>CASOPOInvCL!W62</f>
        <v>2</v>
      </c>
      <c r="L62" s="31">
        <f>CASOPOInvCL!X62</f>
        <v>2025</v>
      </c>
      <c r="M62" s="31"/>
      <c r="N62" s="5" t="str">
        <f>CASOPOInvCL!AF62</f>
        <v>Maham LLC</v>
      </c>
      <c r="O62" s="16" t="str">
        <f>CASOPOInvCL!AG62</f>
        <v>USD</v>
      </c>
      <c r="P62" s="16">
        <f>CASOPOInvCL!AH62</f>
        <v>29586.190352651185</v>
      </c>
      <c r="Q62" s="16">
        <f>CASOPOInvCL!AI62</f>
        <v>20856</v>
      </c>
      <c r="R62" s="32" t="str">
        <f>CASOPOInvCL!AU62</f>
        <v>Yes</v>
      </c>
      <c r="S62" s="16">
        <f>CASOPOInvCL!AV62</f>
        <v>683</v>
      </c>
      <c r="T62" s="16">
        <f>CASOPOInvCL!AW62</f>
        <v>20173</v>
      </c>
      <c r="Y62" s="29" t="str">
        <f>IFERROR(HLOOKUP(U62,List!$D$2:$H$6,2,FALSE),"")</f>
        <v/>
      </c>
      <c r="Z62" s="29" t="str">
        <f>IFERROR(HLOOKUP(V62,List!$D$2:$H$6,3,FALSE),"")</f>
        <v/>
      </c>
      <c r="AA62" s="29" t="str">
        <f>IFERROR(HLOOKUP(W62,List!$D$2:$H$6,4,FALSE),"")</f>
        <v/>
      </c>
      <c r="AB62" s="29" t="str">
        <f>IFERROR(HLOOKUP(X62,List!$D$2:$H$6,5,FALSE),"")</f>
        <v/>
      </c>
      <c r="AC62" s="12" t="str">
        <f t="shared" si="4"/>
        <v/>
      </c>
      <c r="AD62" s="12" t="str">
        <f t="shared" si="5"/>
        <v/>
      </c>
      <c r="AE62" s="12" t="str">
        <f t="shared" si="6"/>
        <v/>
      </c>
      <c r="AF62" s="12" t="str">
        <f t="shared" si="7"/>
        <v/>
      </c>
      <c r="AG62" t="str">
        <f>VLOOKUP(J62,'Receivable Invoice Detail'!$A$1:F3074,6,FALSE)</f>
        <v>[G-8x10-18-JC-HC] Pump, 8x10-18, Dynapro DC, Frame 4J, High Chrome</v>
      </c>
      <c r="AH62" s="12">
        <f t="shared" si="1"/>
        <v>0</v>
      </c>
      <c r="AM62" s="12" t="str">
        <f t="shared" si="8"/>
        <v/>
      </c>
      <c r="AN62" s="12" t="str">
        <f t="shared" si="9"/>
        <v/>
      </c>
      <c r="AO62" s="12" t="str">
        <f t="shared" si="10"/>
        <v/>
      </c>
      <c r="AP62" s="12" t="str">
        <f t="shared" si="11"/>
        <v/>
      </c>
      <c r="AQ62" s="12"/>
      <c r="AS62" s="12">
        <f t="shared" si="12"/>
        <v>302.59499999999997</v>
      </c>
      <c r="AT62" s="16" t="str">
        <f t="shared" si="13"/>
        <v>Yes</v>
      </c>
    </row>
    <row r="63" spans="1:46" hidden="1" x14ac:dyDescent="0.25">
      <c r="A63" s="41">
        <f>CASOPOInvCL!T63</f>
        <v>2</v>
      </c>
      <c r="B63" t="str">
        <f>CASOPOInvCL!Z63</f>
        <v>SO16438</v>
      </c>
      <c r="G63" s="5" t="str">
        <f>CASOPOInvCL!I63</f>
        <v>Ian Trottier</v>
      </c>
      <c r="H63" s="31">
        <f>CASOPOInvCL!U63</f>
        <v>1</v>
      </c>
      <c r="I63" s="31">
        <f>CASOPOInvCL!V63</f>
        <v>2025</v>
      </c>
      <c r="J63" s="5" t="str">
        <f>CASOPOInvCL!AB63</f>
        <v>INV12550</v>
      </c>
      <c r="K63" s="31">
        <f>CASOPOInvCL!W63</f>
        <v>3</v>
      </c>
      <c r="L63" s="31">
        <f>CASOPOInvCL!X63</f>
        <v>2025</v>
      </c>
      <c r="M63" s="31"/>
      <c r="N63" s="5" t="str">
        <f>CASOPOInvCL!AF63</f>
        <v>Canadian Bearings Ltd.</v>
      </c>
      <c r="O63" s="16" t="str">
        <f>CASOPOInvCL!AG63</f>
        <v>CAD</v>
      </c>
      <c r="P63" s="16">
        <f>CASOPOInvCL!AH63</f>
        <v>621.28</v>
      </c>
      <c r="Q63" s="16">
        <f>CASOPOInvCL!AI63</f>
        <v>430.74593569721873</v>
      </c>
      <c r="R63" s="32" t="str">
        <f>CASOPOInvCL!AU63</f>
        <v>Yes</v>
      </c>
      <c r="S63" s="16">
        <f>CASOPOInvCL!AV63</f>
        <v>0</v>
      </c>
      <c r="T63" s="16">
        <f>CASOPOInvCL!AW63</f>
        <v>430.74593569721873</v>
      </c>
      <c r="Y63" s="29" t="str">
        <f>IFERROR(HLOOKUP(U63,List!$D$2:$H$6,2,FALSE),"")</f>
        <v/>
      </c>
      <c r="Z63" s="29" t="str">
        <f>IFERROR(HLOOKUP(V63,List!$D$2:$H$6,3,FALSE),"")</f>
        <v/>
      </c>
      <c r="AA63" s="29" t="str">
        <f>IFERROR(HLOOKUP(W63,List!$D$2:$H$6,4,FALSE),"")</f>
        <v/>
      </c>
      <c r="AB63" s="29" t="str">
        <f>IFERROR(HLOOKUP(X63,List!$D$2:$H$6,5,FALSE),"")</f>
        <v/>
      </c>
      <c r="AC63" s="12" t="str">
        <f t="shared" si="4"/>
        <v/>
      </c>
      <c r="AD63" s="12" t="str">
        <f t="shared" si="5"/>
        <v/>
      </c>
      <c r="AE63" s="12" t="str">
        <f t="shared" si="6"/>
        <v/>
      </c>
      <c r="AF63" s="12" t="str">
        <f t="shared" si="7"/>
        <v/>
      </c>
      <c r="AG63" t="str">
        <f>VLOOKUP(J63,'Receivable Invoice Detail'!$A$1:F3075,6,FALSE)</f>
        <v>[AC-52-050-313-000] Shim Kit, Allis Chalmers CSO, Frame F4D1/F4B5</v>
      </c>
      <c r="AH63" s="12">
        <f t="shared" si="1"/>
        <v>0</v>
      </c>
      <c r="AM63" s="12" t="str">
        <f t="shared" si="8"/>
        <v/>
      </c>
      <c r="AN63" s="12" t="str">
        <f t="shared" si="9"/>
        <v/>
      </c>
      <c r="AO63" s="12" t="str">
        <f t="shared" si="10"/>
        <v/>
      </c>
      <c r="AP63" s="12" t="str">
        <f t="shared" si="11"/>
        <v/>
      </c>
      <c r="AQ63" s="12"/>
      <c r="AS63" s="12">
        <f t="shared" si="12"/>
        <v>6.4611890354582808</v>
      </c>
      <c r="AT63" s="16" t="str">
        <f t="shared" si="13"/>
        <v>Yes</v>
      </c>
    </row>
    <row r="64" spans="1:46" hidden="1" x14ac:dyDescent="0.25">
      <c r="A64" s="41">
        <f>CASOPOInvCL!T64</f>
        <v>2</v>
      </c>
      <c r="B64" t="str">
        <f>CASOPOInvCL!Z64</f>
        <v>SO16438</v>
      </c>
      <c r="G64" s="5">
        <f>CASOPOInvCL!I64</f>
        <v>0</v>
      </c>
      <c r="H64" s="31">
        <f>CASOPOInvCL!U64</f>
        <v>1</v>
      </c>
      <c r="I64" s="31">
        <f>CASOPOInvCL!V64</f>
        <v>2025</v>
      </c>
      <c r="J64" s="5" t="str">
        <f>CASOPOInvCL!AB64</f>
        <v>INV12677</v>
      </c>
      <c r="K64" s="31">
        <f>CASOPOInvCL!W64</f>
        <v>4</v>
      </c>
      <c r="L64" s="31">
        <f>CASOPOInvCL!X64</f>
        <v>2025</v>
      </c>
      <c r="M64" s="31"/>
      <c r="N64" s="5" t="str">
        <f>CASOPOInvCL!AF64</f>
        <v>Canadian Bearings Ltd.</v>
      </c>
      <c r="O64" s="16" t="str">
        <f>CASOPOInvCL!AG64</f>
        <v>CAD</v>
      </c>
      <c r="P64" s="16">
        <f>CASOPOInvCL!AH64</f>
        <v>0</v>
      </c>
      <c r="Q64" s="16">
        <f>CASOPOInvCL!AI64</f>
        <v>0</v>
      </c>
      <c r="R64" s="32" t="str">
        <f>CASOPOInvCL!AU64</f>
        <v/>
      </c>
      <c r="S64" s="16">
        <f>CASOPOInvCL!AV64</f>
        <v>0</v>
      </c>
      <c r="T64" s="16">
        <f>CASOPOInvCL!AW64</f>
        <v>0</v>
      </c>
      <c r="Y64" s="29" t="str">
        <f>IFERROR(HLOOKUP(U64,List!$D$2:$H$6,2,FALSE),"")</f>
        <v/>
      </c>
      <c r="Z64" s="29" t="str">
        <f>IFERROR(HLOOKUP(V64,List!$D$2:$H$6,3,FALSE),"")</f>
        <v/>
      </c>
      <c r="AA64" s="29" t="str">
        <f>IFERROR(HLOOKUP(W64,List!$D$2:$H$6,4,FALSE),"")</f>
        <v/>
      </c>
      <c r="AB64" s="29" t="str">
        <f>IFERROR(HLOOKUP(X64,List!$D$2:$H$6,5,FALSE),"")</f>
        <v/>
      </c>
      <c r="AC64" s="12" t="str">
        <f t="shared" si="4"/>
        <v/>
      </c>
      <c r="AD64" s="12" t="str">
        <f t="shared" si="5"/>
        <v/>
      </c>
      <c r="AE64" s="12" t="str">
        <f t="shared" si="6"/>
        <v/>
      </c>
      <c r="AF64" s="12" t="str">
        <f t="shared" si="7"/>
        <v/>
      </c>
      <c r="AG64" t="str">
        <f>VLOOKUP(J64,'Receivable Invoice Detail'!$A$1:F3076,6,FALSE)</f>
        <v>[AC-52-431-816-007] Casing Gasket, 10",  Allis Chalmers CSO</v>
      </c>
      <c r="AH64" s="12">
        <f t="shared" si="1"/>
        <v>0</v>
      </c>
      <c r="AM64" s="12" t="str">
        <f t="shared" si="8"/>
        <v/>
      </c>
      <c r="AN64" s="12" t="str">
        <f t="shared" si="9"/>
        <v/>
      </c>
      <c r="AO64" s="12" t="str">
        <f t="shared" si="10"/>
        <v/>
      </c>
      <c r="AP64" s="12" t="str">
        <f t="shared" si="11"/>
        <v/>
      </c>
      <c r="AQ64" s="12"/>
      <c r="AS64" s="12">
        <f t="shared" si="12"/>
        <v>0</v>
      </c>
      <c r="AT64" s="16" t="str">
        <f t="shared" si="13"/>
        <v/>
      </c>
    </row>
    <row r="65" spans="1:46" hidden="1" x14ac:dyDescent="0.25">
      <c r="A65" s="41">
        <f>CASOPOInvCL!T65</f>
        <v>1</v>
      </c>
      <c r="B65" t="str">
        <f>CASOPOInvCL!Z65</f>
        <v>SO16440</v>
      </c>
      <c r="G65" s="5" t="str">
        <f>CASOPOInvCL!I65</f>
        <v>Ian Trottier</v>
      </c>
      <c r="H65" s="31">
        <f>CASOPOInvCL!U65</f>
        <v>1</v>
      </c>
      <c r="I65" s="31">
        <f>CASOPOInvCL!V65</f>
        <v>2025</v>
      </c>
      <c r="J65" s="5" t="str">
        <f>CASOPOInvCL!AB65</f>
        <v>INV12653</v>
      </c>
      <c r="K65" s="31">
        <f>CASOPOInvCL!W65</f>
        <v>3</v>
      </c>
      <c r="L65" s="31">
        <f>CASOPOInvCL!X65</f>
        <v>2025</v>
      </c>
      <c r="M65" s="31"/>
      <c r="N65" s="5" t="str">
        <f>CASOPOInvCL!AF65</f>
        <v>Process and Steam Specialties, Process and Steam Specialties</v>
      </c>
      <c r="O65" s="16" t="str">
        <f>CASOPOInvCL!AG65</f>
        <v>CAD</v>
      </c>
      <c r="P65" s="16">
        <f>CASOPOInvCL!AH65</f>
        <v>386.38</v>
      </c>
      <c r="Q65" s="16">
        <f>CASOPOInvCL!AI65</f>
        <v>267.88503514468738</v>
      </c>
      <c r="R65" s="32" t="str">
        <f>CASOPOInvCL!AU65</f>
        <v>Yes</v>
      </c>
      <c r="S65" s="16">
        <f>CASOPOInvCL!AV65</f>
        <v>0</v>
      </c>
      <c r="T65" s="16">
        <f>CASOPOInvCL!AW65</f>
        <v>267.88503514468738</v>
      </c>
      <c r="Y65" s="29" t="str">
        <f>IFERROR(HLOOKUP(U65,List!$D$2:$H$6,2,FALSE),"")</f>
        <v/>
      </c>
      <c r="Z65" s="29" t="str">
        <f>IFERROR(HLOOKUP(V65,List!$D$2:$H$6,3,FALSE),"")</f>
        <v/>
      </c>
      <c r="AA65" s="29" t="str">
        <f>IFERROR(HLOOKUP(W65,List!$D$2:$H$6,4,FALSE),"")</f>
        <v/>
      </c>
      <c r="AB65" s="29" t="str">
        <f>IFERROR(HLOOKUP(X65,List!$D$2:$H$6,5,FALSE),"")</f>
        <v/>
      </c>
      <c r="AC65" s="12" t="str">
        <f t="shared" si="4"/>
        <v/>
      </c>
      <c r="AD65" s="12" t="str">
        <f t="shared" si="5"/>
        <v/>
      </c>
      <c r="AE65" s="12" t="str">
        <f t="shared" si="6"/>
        <v/>
      </c>
      <c r="AF65" s="12" t="str">
        <f t="shared" si="7"/>
        <v/>
      </c>
      <c r="AG65" t="str">
        <f>VLOOKUP(J65,'Receivable Invoice Detail'!$A$1:F3077,6,FALSE)</f>
        <v>[SA-582399-PS] Replacement Stud, Sala STHM-33WFR</v>
      </c>
      <c r="AH65" s="12">
        <f t="shared" si="1"/>
        <v>0</v>
      </c>
      <c r="AM65" s="12" t="str">
        <f t="shared" si="8"/>
        <v/>
      </c>
      <c r="AN65" s="12" t="str">
        <f t="shared" si="9"/>
        <v/>
      </c>
      <c r="AO65" s="12" t="str">
        <f t="shared" si="10"/>
        <v/>
      </c>
      <c r="AP65" s="12" t="str">
        <f t="shared" si="11"/>
        <v/>
      </c>
      <c r="AQ65" s="12"/>
      <c r="AS65" s="12">
        <f t="shared" si="12"/>
        <v>4.0182755271703101</v>
      </c>
      <c r="AT65" s="16" t="str">
        <f t="shared" si="13"/>
        <v>Yes</v>
      </c>
    </row>
    <row r="66" spans="1:46" hidden="1" x14ac:dyDescent="0.25">
      <c r="A66" s="41">
        <f>CASOPOInvCL!T66</f>
        <v>1</v>
      </c>
      <c r="B66" t="str">
        <f>CASOPOInvCL!Z66</f>
        <v>SO16446</v>
      </c>
      <c r="G66" s="5" t="str">
        <f>CASOPOInvCL!I66</f>
        <v>Ian Trottier</v>
      </c>
      <c r="H66" s="31">
        <f>CASOPOInvCL!U66</f>
        <v>1</v>
      </c>
      <c r="I66" s="31">
        <f>CASOPOInvCL!V66</f>
        <v>2025</v>
      </c>
      <c r="J66" s="5" t="str">
        <f>CASOPOInvCL!AB66</f>
        <v>INV12610</v>
      </c>
      <c r="K66" s="31">
        <f>CASOPOInvCL!W66</f>
        <v>3</v>
      </c>
      <c r="L66" s="31">
        <f>CASOPOInvCL!X66</f>
        <v>2025</v>
      </c>
      <c r="M66" s="31"/>
      <c r="N66" s="5" t="str">
        <f>CASOPOInvCL!AF66</f>
        <v>Wajax Limited - Timmins</v>
      </c>
      <c r="O66" s="16" t="str">
        <f>CASOPOInvCL!AG66</f>
        <v>CAD</v>
      </c>
      <c r="P66" s="16">
        <f>CASOPOInvCL!AH66</f>
        <v>1498.47</v>
      </c>
      <c r="Q66" s="16">
        <f>CASOPOInvCL!AI66</f>
        <v>1038.919428058543</v>
      </c>
      <c r="R66" s="32" t="str">
        <f>CASOPOInvCL!AU66</f>
        <v>Yes</v>
      </c>
      <c r="S66" s="16">
        <f>CASOPOInvCL!AV66</f>
        <v>0</v>
      </c>
      <c r="T66" s="16">
        <f>CASOPOInvCL!AW66</f>
        <v>1038.919428058543</v>
      </c>
      <c r="Y66" s="29" t="str">
        <f>IFERROR(HLOOKUP(U66,List!$D$2:$H$6,2,FALSE),"")</f>
        <v/>
      </c>
      <c r="Z66" s="29" t="str">
        <f>IFERROR(HLOOKUP(V66,List!$D$2:$H$6,3,FALSE),"")</f>
        <v/>
      </c>
      <c r="AA66" s="29" t="str">
        <f>IFERROR(HLOOKUP(W66,List!$D$2:$H$6,4,FALSE),"")</f>
        <v/>
      </c>
      <c r="AB66" s="29" t="str">
        <f>IFERROR(HLOOKUP(X66,List!$D$2:$H$6,5,FALSE),"")</f>
        <v/>
      </c>
      <c r="AC66" s="12" t="str">
        <f t="shared" si="4"/>
        <v/>
      </c>
      <c r="AD66" s="12" t="str">
        <f t="shared" si="5"/>
        <v/>
      </c>
      <c r="AE66" s="12" t="str">
        <f t="shared" si="6"/>
        <v/>
      </c>
      <c r="AF66" s="12" t="str">
        <f t="shared" si="7"/>
        <v/>
      </c>
      <c r="AG66" t="str">
        <f>VLOOKUP(J66,'Receivable Invoice Detail'!$A$1:F3078,6,FALSE)</f>
        <v>[AC-98-110-455-501] Gland Assembly, 10x8-21 SRL-C (Old Style), 1045 Steel</v>
      </c>
      <c r="AH66" s="12">
        <f t="shared" ref="AH66:AH129" si="14">SUM(AC66:AF66)</f>
        <v>0</v>
      </c>
      <c r="AM66" s="12" t="str">
        <f t="shared" si="8"/>
        <v/>
      </c>
      <c r="AN66" s="12" t="str">
        <f t="shared" si="9"/>
        <v/>
      </c>
      <c r="AO66" s="12" t="str">
        <f t="shared" si="10"/>
        <v/>
      </c>
      <c r="AP66" s="12" t="str">
        <f t="shared" si="11"/>
        <v/>
      </c>
      <c r="AQ66" s="12"/>
      <c r="AS66" s="12">
        <f t="shared" si="12"/>
        <v>15.583791420878145</v>
      </c>
      <c r="AT66" s="16" t="str">
        <f t="shared" si="13"/>
        <v>Yes</v>
      </c>
    </row>
    <row r="67" spans="1:46" hidden="1" x14ac:dyDescent="0.25">
      <c r="A67" s="41">
        <f>CASOPOInvCL!T67</f>
        <v>1</v>
      </c>
      <c r="B67" t="str">
        <f>CASOPOInvCL!Z67</f>
        <v>SO16448</v>
      </c>
      <c r="G67" s="5" t="str">
        <f>CASOPOInvCL!I67</f>
        <v>Ian Trottier</v>
      </c>
      <c r="H67" s="31">
        <f>CASOPOInvCL!U67</f>
        <v>1</v>
      </c>
      <c r="I67" s="31">
        <f>CASOPOInvCL!V67</f>
        <v>2025</v>
      </c>
      <c r="J67" s="5" t="str">
        <f>CASOPOInvCL!AB67</f>
        <v>INV12683</v>
      </c>
      <c r="K67" s="31">
        <f>CASOPOInvCL!W67</f>
        <v>4</v>
      </c>
      <c r="L67" s="31">
        <f>CASOPOInvCL!X67</f>
        <v>2025</v>
      </c>
      <c r="M67" s="31"/>
      <c r="N67" s="5" t="str">
        <f>CASOPOInvCL!AF67</f>
        <v>Les Pompes du St-Laurent Inc.</v>
      </c>
      <c r="O67" s="16" t="str">
        <f>CASOPOInvCL!AG67</f>
        <v>CAD</v>
      </c>
      <c r="P67" s="16">
        <f>CASOPOInvCL!AH67</f>
        <v>310.95</v>
      </c>
      <c r="Q67" s="16">
        <f>CASOPOInvCL!AI67</f>
        <v>215.58789709156935</v>
      </c>
      <c r="R67" s="32" t="str">
        <f>CASOPOInvCL!AU67</f>
        <v>Yes</v>
      </c>
      <c r="S67" s="16">
        <f>CASOPOInvCL!AV67</f>
        <v>0</v>
      </c>
      <c r="T67" s="16">
        <f>CASOPOInvCL!AW67</f>
        <v>215.58789709156935</v>
      </c>
      <c r="Y67" s="29" t="str">
        <f>IFERROR(HLOOKUP(U67,List!$D$2:$H$6,2,FALSE),"")</f>
        <v/>
      </c>
      <c r="Z67" s="29" t="str">
        <f>IFERROR(HLOOKUP(V67,List!$D$2:$H$6,3,FALSE),"")</f>
        <v/>
      </c>
      <c r="AA67" s="29" t="str">
        <f>IFERROR(HLOOKUP(W67,List!$D$2:$H$6,4,FALSE),"")</f>
        <v/>
      </c>
      <c r="AB67" s="29" t="str">
        <f>IFERROR(HLOOKUP(X67,List!$D$2:$H$6,5,FALSE),"")</f>
        <v/>
      </c>
      <c r="AC67" s="12" t="str">
        <f t="shared" ref="AC67:AC130" si="15">IFERROR(Y67*$T67,"")</f>
        <v/>
      </c>
      <c r="AD67" s="12" t="str">
        <f t="shared" ref="AD67:AD130" si="16">IFERROR(Z67*$T67,"")</f>
        <v/>
      </c>
      <c r="AE67" s="12" t="str">
        <f t="shared" ref="AE67:AE130" si="17">IFERROR(AA67*$T67,"")</f>
        <v/>
      </c>
      <c r="AF67" s="12" t="str">
        <f t="shared" ref="AF67:AF130" si="18">IFERROR(AB67*$T67,"")</f>
        <v/>
      </c>
      <c r="AG67" t="str">
        <f>VLOOKUP(J67,'Receivable Invoice Detail'!$A$1:F3079,6,FALSE)</f>
        <v>[WO-9901615-001, WO-2116818-001] Lantern Ring, Worthington FRBH, Frame 1, Teflon</v>
      </c>
      <c r="AH67" s="12">
        <f t="shared" si="14"/>
        <v>0</v>
      </c>
      <c r="AM67" s="12" t="str">
        <f t="shared" ref="AM67:AM130" si="19">IF(AI67="",AC67,0)</f>
        <v/>
      </c>
      <c r="AN67" s="12" t="str">
        <f t="shared" ref="AN67:AN130" si="20">IF(AJ67="",AD67,0)</f>
        <v/>
      </c>
      <c r="AO67" s="12" t="str">
        <f t="shared" ref="AO67:AO130" si="21">IF(AK67="",AE67,0)</f>
        <v/>
      </c>
      <c r="AP67" s="12" t="str">
        <f t="shared" ref="AP67:AP130" si="22">IF(AL67="",AF67,0)</f>
        <v/>
      </c>
      <c r="AQ67" s="12"/>
      <c r="AS67" s="12">
        <f t="shared" ref="AS67:AS130" si="23">T67*1.5%</f>
        <v>3.2338184563735402</v>
      </c>
      <c r="AT67" s="16" t="str">
        <f t="shared" si="13"/>
        <v>Yes</v>
      </c>
    </row>
    <row r="68" spans="1:46" hidden="1" x14ac:dyDescent="0.25">
      <c r="A68" s="41">
        <f>CASOPOInvCL!T68</f>
        <v>1</v>
      </c>
      <c r="B68" t="str">
        <f>CASOPOInvCL!Z68</f>
        <v>SO16449</v>
      </c>
      <c r="G68" s="5" t="str">
        <f>CASOPOInvCL!I68</f>
        <v>Taylor Cook</v>
      </c>
      <c r="H68" s="31">
        <f>CASOPOInvCL!U68</f>
        <v>1</v>
      </c>
      <c r="I68" s="31">
        <f>CASOPOInvCL!V68</f>
        <v>2025</v>
      </c>
      <c r="J68" s="5" t="str">
        <f>CASOPOInvCL!AB68</f>
        <v>INV12572</v>
      </c>
      <c r="K68" s="31">
        <f>CASOPOInvCL!W68</f>
        <v>2</v>
      </c>
      <c r="L68" s="31">
        <f>CASOPOInvCL!X68</f>
        <v>2025</v>
      </c>
      <c r="M68" s="31"/>
      <c r="N68" s="5" t="str">
        <f>CASOPOInvCL!AF68</f>
        <v>Motion Industries Inc. (Canada) - Prince George</v>
      </c>
      <c r="O68" s="16" t="str">
        <f>CASOPOInvCL!AG68</f>
        <v>CAD</v>
      </c>
      <c r="P68" s="16">
        <f>CASOPOInvCL!AH68</f>
        <v>12059</v>
      </c>
      <c r="Q68" s="16">
        <f>CASOPOInvCL!AI68</f>
        <v>8397.3669466734264</v>
      </c>
      <c r="R68" s="32" t="str">
        <f>CASOPOInvCL!AU68</f>
        <v>Yes</v>
      </c>
      <c r="S68" s="16">
        <f>CASOPOInvCL!AV68</f>
        <v>0</v>
      </c>
      <c r="T68" s="16">
        <f>CASOPOInvCL!AW68</f>
        <v>8397.3669466734264</v>
      </c>
      <c r="Y68" s="29" t="str">
        <f>IFERROR(HLOOKUP(U68,List!$D$2:$H$6,2,FALSE),"")</f>
        <v/>
      </c>
      <c r="Z68" s="29" t="str">
        <f>IFERROR(HLOOKUP(V68,List!$D$2:$H$6,3,FALSE),"")</f>
        <v/>
      </c>
      <c r="AA68" s="29" t="str">
        <f>IFERROR(HLOOKUP(W68,List!$D$2:$H$6,4,FALSE),"")</f>
        <v/>
      </c>
      <c r="AB68" s="29" t="str">
        <f>IFERROR(HLOOKUP(X68,List!$D$2:$H$6,5,FALSE),"")</f>
        <v/>
      </c>
      <c r="AC68" s="12" t="str">
        <f t="shared" si="15"/>
        <v/>
      </c>
      <c r="AD68" s="12" t="str">
        <f t="shared" si="16"/>
        <v/>
      </c>
      <c r="AE68" s="12" t="str">
        <f t="shared" si="17"/>
        <v/>
      </c>
      <c r="AF68" s="12" t="str">
        <f t="shared" si="18"/>
        <v/>
      </c>
      <c r="AG68" t="str">
        <f>VLOOKUP(J68,'Receivable Invoice Detail'!$A$1:F3080,6,FALSE)</f>
        <v>[W-E4013/D21] Cover Plate, 6/4 D or E-AH, Ductile Iron</v>
      </c>
      <c r="AH68" s="12">
        <f t="shared" si="14"/>
        <v>0</v>
      </c>
      <c r="AM68" s="12" t="str">
        <f t="shared" si="19"/>
        <v/>
      </c>
      <c r="AN68" s="12" t="str">
        <f t="shared" si="20"/>
        <v/>
      </c>
      <c r="AO68" s="12" t="str">
        <f t="shared" si="21"/>
        <v/>
      </c>
      <c r="AP68" s="12" t="str">
        <f t="shared" si="22"/>
        <v/>
      </c>
      <c r="AQ68" s="12"/>
      <c r="AS68" s="12">
        <f t="shared" si="23"/>
        <v>125.9605042001014</v>
      </c>
      <c r="AT68" s="16" t="str">
        <f t="shared" si="13"/>
        <v>Yes</v>
      </c>
    </row>
    <row r="69" spans="1:46" hidden="1" x14ac:dyDescent="0.25">
      <c r="A69" s="41">
        <f>CASOPOInvCL!T69</f>
        <v>1</v>
      </c>
      <c r="B69" t="str">
        <f>CASOPOInvCL!Z69</f>
        <v>SO16451</v>
      </c>
      <c r="G69" s="5" t="str">
        <f>CASOPOInvCL!I69</f>
        <v>Ian Trottier</v>
      </c>
      <c r="H69" s="31">
        <f>CASOPOInvCL!U69</f>
        <v>1</v>
      </c>
      <c r="I69" s="31">
        <f>CASOPOInvCL!V69</f>
        <v>2025</v>
      </c>
      <c r="J69" s="5" t="str">
        <f>CASOPOInvCL!AB69</f>
        <v>INV12556</v>
      </c>
      <c r="K69" s="31">
        <f>CASOPOInvCL!W69</f>
        <v>3</v>
      </c>
      <c r="L69" s="31">
        <f>CASOPOInvCL!X69</f>
        <v>2025</v>
      </c>
      <c r="M69" s="31"/>
      <c r="N69" s="5" t="str">
        <f>CASOPOInvCL!AF69</f>
        <v>PT Vale Indonesia Tbk.</v>
      </c>
      <c r="O69" s="16" t="str">
        <f>CASOPOInvCL!AG69</f>
        <v>USD</v>
      </c>
      <c r="P69" s="16">
        <f>CASOPOInvCL!AH69</f>
        <v>2835.0027305576659</v>
      </c>
      <c r="Q69" s="16">
        <f>CASOPOInvCL!AI69</f>
        <v>1957.91</v>
      </c>
      <c r="R69" s="32" t="str">
        <f>CASOPOInvCL!AU69</f>
        <v>Yes</v>
      </c>
      <c r="S69" s="16">
        <f>CASOPOInvCL!AV69</f>
        <v>0</v>
      </c>
      <c r="T69" s="16">
        <f>CASOPOInvCL!AW69</f>
        <v>1957.91</v>
      </c>
      <c r="Y69" s="29" t="str">
        <f>IFERROR(HLOOKUP(U69,List!$D$2:$H$6,2,FALSE),"")</f>
        <v/>
      </c>
      <c r="Z69" s="29" t="str">
        <f>IFERROR(HLOOKUP(V69,List!$D$2:$H$6,3,FALSE),"")</f>
        <v/>
      </c>
      <c r="AA69" s="29" t="str">
        <f>IFERROR(HLOOKUP(W69,List!$D$2:$H$6,4,FALSE),"")</f>
        <v/>
      </c>
      <c r="AB69" s="29" t="str">
        <f>IFERROR(HLOOKUP(X69,List!$D$2:$H$6,5,FALSE),"")</f>
        <v/>
      </c>
      <c r="AC69" s="12" t="str">
        <f t="shared" si="15"/>
        <v/>
      </c>
      <c r="AD69" s="12" t="str">
        <f t="shared" si="16"/>
        <v/>
      </c>
      <c r="AE69" s="12" t="str">
        <f t="shared" si="17"/>
        <v/>
      </c>
      <c r="AF69" s="12" t="str">
        <f t="shared" si="18"/>
        <v/>
      </c>
      <c r="AG69" t="str">
        <f>VLOOKUP(J69,'Receivable Invoice Detail'!$A$1:F3081,6,FALSE)</f>
        <v>[AC-98-231-135-503] Suction Side Plate, 10x8-21 SRL-C, Neoprene</v>
      </c>
      <c r="AH69" s="12">
        <f t="shared" si="14"/>
        <v>0</v>
      </c>
      <c r="AM69" s="12" t="str">
        <f t="shared" si="19"/>
        <v/>
      </c>
      <c r="AN69" s="12" t="str">
        <f t="shared" si="20"/>
        <v/>
      </c>
      <c r="AO69" s="12" t="str">
        <f t="shared" si="21"/>
        <v/>
      </c>
      <c r="AP69" s="12" t="str">
        <f t="shared" si="22"/>
        <v/>
      </c>
      <c r="AQ69" s="12"/>
      <c r="AS69" s="12">
        <f t="shared" si="23"/>
        <v>29.368649999999999</v>
      </c>
      <c r="AT69" s="16" t="str">
        <f t="shared" si="13"/>
        <v>Yes</v>
      </c>
    </row>
    <row r="70" spans="1:46" hidden="1" x14ac:dyDescent="0.25">
      <c r="A70" s="41">
        <f>CASOPOInvCL!T70</f>
        <v>1</v>
      </c>
      <c r="B70" t="str">
        <f>CASOPOInvCL!Z70</f>
        <v>SO16452</v>
      </c>
      <c r="G70" s="5" t="str">
        <f>CASOPOInvCL!I70</f>
        <v>Ian Trottier</v>
      </c>
      <c r="H70" s="31">
        <f>CASOPOInvCL!U70</f>
        <v>1</v>
      </c>
      <c r="I70" s="31">
        <f>CASOPOInvCL!V70</f>
        <v>2025</v>
      </c>
      <c r="J70" s="5" t="str">
        <f>CASOPOInvCL!AB70</f>
        <v>INV12557</v>
      </c>
      <c r="K70" s="31">
        <f>CASOPOInvCL!W70</f>
        <v>3</v>
      </c>
      <c r="L70" s="31">
        <f>CASOPOInvCL!X70</f>
        <v>2025</v>
      </c>
      <c r="M70" s="31"/>
      <c r="N70" s="5" t="str">
        <f>CASOPOInvCL!AF70</f>
        <v>PT Vale Indonesia Tbk.</v>
      </c>
      <c r="O70" s="16" t="str">
        <f>CASOPOInvCL!AG70</f>
        <v>USD</v>
      </c>
      <c r="P70" s="16">
        <f>CASOPOInvCL!AH70</f>
        <v>3716.8478424189002</v>
      </c>
      <c r="Q70" s="16">
        <f>CASOPOInvCL!AI70</f>
        <v>2566.9299999999998</v>
      </c>
      <c r="R70" s="32" t="str">
        <f>CASOPOInvCL!AU70</f>
        <v>Yes</v>
      </c>
      <c r="S70" s="16">
        <f>CASOPOInvCL!AV70</f>
        <v>0</v>
      </c>
      <c r="T70" s="16">
        <f>CASOPOInvCL!AW70</f>
        <v>2566.9299999999998</v>
      </c>
      <c r="Y70" s="29" t="str">
        <f>IFERROR(HLOOKUP(U70,List!$D$2:$H$6,2,FALSE),"")</f>
        <v/>
      </c>
      <c r="Z70" s="29" t="str">
        <f>IFERROR(HLOOKUP(V70,List!$D$2:$H$6,3,FALSE),"")</f>
        <v/>
      </c>
      <c r="AA70" s="29" t="str">
        <f>IFERROR(HLOOKUP(W70,List!$D$2:$H$6,4,FALSE),"")</f>
        <v/>
      </c>
      <c r="AB70" s="29" t="str">
        <f>IFERROR(HLOOKUP(X70,List!$D$2:$H$6,5,FALSE),"")</f>
        <v/>
      </c>
      <c r="AC70" s="12" t="str">
        <f t="shared" si="15"/>
        <v/>
      </c>
      <c r="AD70" s="12" t="str">
        <f t="shared" si="16"/>
        <v/>
      </c>
      <c r="AE70" s="12" t="str">
        <f t="shared" si="17"/>
        <v/>
      </c>
      <c r="AF70" s="12" t="str">
        <f t="shared" si="18"/>
        <v/>
      </c>
      <c r="AG70" t="str">
        <f>VLOOKUP(J70,'Receivable Invoice Detail'!$A$1:F3082,6,FALSE)</f>
        <v>[AC-98-431-641-503] Impeller (Closed), 10x8-21 SRL-C, Neoprene</v>
      </c>
      <c r="AH70" s="12">
        <f t="shared" si="14"/>
        <v>0</v>
      </c>
      <c r="AM70" s="12" t="str">
        <f t="shared" si="19"/>
        <v/>
      </c>
      <c r="AN70" s="12" t="str">
        <f t="shared" si="20"/>
        <v/>
      </c>
      <c r="AO70" s="12" t="str">
        <f t="shared" si="21"/>
        <v/>
      </c>
      <c r="AP70" s="12" t="str">
        <f t="shared" si="22"/>
        <v/>
      </c>
      <c r="AQ70" s="12"/>
      <c r="AS70" s="12">
        <f t="shared" si="23"/>
        <v>38.503949999999996</v>
      </c>
      <c r="AT70" s="16" t="str">
        <f t="shared" si="13"/>
        <v>Yes</v>
      </c>
    </row>
    <row r="71" spans="1:46" hidden="1" x14ac:dyDescent="0.25">
      <c r="A71" s="41">
        <f>CASOPOInvCL!T71</f>
        <v>1</v>
      </c>
      <c r="B71" t="str">
        <f>CASOPOInvCL!Z71</f>
        <v>SO16453</v>
      </c>
      <c r="G71" s="5" t="str">
        <f>CASOPOInvCL!I71</f>
        <v>Ian Trottier</v>
      </c>
      <c r="H71" s="31">
        <f>CASOPOInvCL!U71</f>
        <v>1</v>
      </c>
      <c r="I71" s="31">
        <f>CASOPOInvCL!V71</f>
        <v>2025</v>
      </c>
      <c r="J71" s="5" t="str">
        <f>CASOPOInvCL!AB71</f>
        <v>INV12558</v>
      </c>
      <c r="K71" s="31">
        <f>CASOPOInvCL!W71</f>
        <v>3</v>
      </c>
      <c r="L71" s="31">
        <f>CASOPOInvCL!X71</f>
        <v>2025</v>
      </c>
      <c r="M71" s="31"/>
      <c r="N71" s="5" t="str">
        <f>CASOPOInvCL!AF71</f>
        <v>PT Vale Indonesia Tbk.</v>
      </c>
      <c r="O71" s="16" t="str">
        <f>CASOPOInvCL!AG71</f>
        <v>USD</v>
      </c>
      <c r="P71" s="16">
        <f>CASOPOInvCL!AH71</f>
        <v>2728.9820759149948</v>
      </c>
      <c r="Q71" s="16">
        <f>CASOPOInvCL!AI71</f>
        <v>1884.69</v>
      </c>
      <c r="R71" s="32" t="str">
        <f>CASOPOInvCL!AU71</f>
        <v>Yes</v>
      </c>
      <c r="S71" s="16">
        <f>CASOPOInvCL!AV71</f>
        <v>0</v>
      </c>
      <c r="T71" s="16">
        <f>CASOPOInvCL!AW71</f>
        <v>1884.69</v>
      </c>
      <c r="Y71" s="29" t="str">
        <f>IFERROR(HLOOKUP(U71,List!$D$2:$H$6,2,FALSE),"")</f>
        <v/>
      </c>
      <c r="Z71" s="29" t="str">
        <f>IFERROR(HLOOKUP(V71,List!$D$2:$H$6,3,FALSE),"")</f>
        <v/>
      </c>
      <c r="AA71" s="29" t="str">
        <f>IFERROR(HLOOKUP(W71,List!$D$2:$H$6,4,FALSE),"")</f>
        <v/>
      </c>
      <c r="AB71" s="29" t="str">
        <f>IFERROR(HLOOKUP(X71,List!$D$2:$H$6,5,FALSE),"")</f>
        <v/>
      </c>
      <c r="AC71" s="12" t="str">
        <f t="shared" si="15"/>
        <v/>
      </c>
      <c r="AD71" s="12" t="str">
        <f t="shared" si="16"/>
        <v/>
      </c>
      <c r="AE71" s="12" t="str">
        <f t="shared" si="17"/>
        <v/>
      </c>
      <c r="AF71" s="12" t="str">
        <f t="shared" si="18"/>
        <v/>
      </c>
      <c r="AG71" t="str">
        <f>VLOOKUP(J71,'Receivable Invoice Detail'!$A$1:F3083,6,FALSE)</f>
        <v>[AC-98-231-134-503] Suction Side Liner, 10x8-21 SRL-C, Neoprene</v>
      </c>
      <c r="AH71" s="12">
        <f t="shared" si="14"/>
        <v>0</v>
      </c>
      <c r="AM71" s="12" t="str">
        <f t="shared" si="19"/>
        <v/>
      </c>
      <c r="AN71" s="12" t="str">
        <f t="shared" si="20"/>
        <v/>
      </c>
      <c r="AO71" s="12" t="str">
        <f t="shared" si="21"/>
        <v/>
      </c>
      <c r="AP71" s="12" t="str">
        <f t="shared" si="22"/>
        <v/>
      </c>
      <c r="AQ71" s="12"/>
      <c r="AS71" s="12">
        <f t="shared" si="23"/>
        <v>28.270350000000001</v>
      </c>
      <c r="AT71" s="16" t="str">
        <f t="shared" si="13"/>
        <v>Yes</v>
      </c>
    </row>
    <row r="72" spans="1:46" hidden="1" x14ac:dyDescent="0.25">
      <c r="A72" s="41">
        <f>CASOPOInvCL!T72</f>
        <v>1</v>
      </c>
      <c r="B72" t="str">
        <f>CASOPOInvCL!Z72</f>
        <v>SO16455</v>
      </c>
      <c r="E72" t="s">
        <v>5925</v>
      </c>
      <c r="G72" s="5" t="str">
        <f>CASOPOInvCL!I72</f>
        <v>Ian Trottier</v>
      </c>
      <c r="H72" s="31">
        <f>CASOPOInvCL!U72</f>
        <v>1</v>
      </c>
      <c r="I72" s="31">
        <f>CASOPOInvCL!V72</f>
        <v>2025</v>
      </c>
      <c r="J72" s="5" t="str">
        <f>CASOPOInvCL!AB72</f>
        <v>INV13057</v>
      </c>
      <c r="K72" s="31">
        <f>CASOPOInvCL!W72</f>
        <v>8</v>
      </c>
      <c r="L72" s="31">
        <f>CASOPOInvCL!X72</f>
        <v>2025</v>
      </c>
      <c r="M72">
        <v>2503</v>
      </c>
      <c r="N72" s="5" t="str">
        <f>CASOPOInvCL!AF72</f>
        <v>Quality Concrete Inc.</v>
      </c>
      <c r="O72" s="16" t="str">
        <f>CASOPOInvCL!AG72</f>
        <v>CAD</v>
      </c>
      <c r="P72" s="16">
        <f>CASOPOInvCL!AH72</f>
        <v>24488</v>
      </c>
      <c r="Q72" s="16">
        <f>CASOPOInvCL!AI72</f>
        <v>17011.277540202416</v>
      </c>
      <c r="R72" s="32" t="str">
        <f>CASOPOInvCL!AU72</f>
        <v>Yes</v>
      </c>
      <c r="S72" s="16">
        <f>CASOPOInvCL!AV72</f>
        <v>0</v>
      </c>
      <c r="T72" s="16">
        <f>CASOPOInvCL!AW72</f>
        <v>17011.277540202416</v>
      </c>
      <c r="W72" t="s">
        <v>5801</v>
      </c>
      <c r="Y72" s="29" t="str">
        <f>IFERROR(HLOOKUP(U72,List!$D$2:$H$6,2,FALSE),"")</f>
        <v/>
      </c>
      <c r="Z72" s="29" t="str">
        <f>IFERROR(HLOOKUP(V72,List!$D$2:$H$6,3,FALSE),"")</f>
        <v/>
      </c>
      <c r="AA72" s="29">
        <f>IFERROR(HLOOKUP(W72,List!$D$2:$H$6,4,FALSE),"")</f>
        <v>0.02</v>
      </c>
      <c r="AB72" s="29" t="str">
        <f>IFERROR(HLOOKUP(X72,List!$D$2:$H$6,5,FALSE),"")</f>
        <v/>
      </c>
      <c r="AC72" s="12" t="str">
        <f t="shared" si="15"/>
        <v/>
      </c>
      <c r="AD72" s="12" t="str">
        <f t="shared" si="16"/>
        <v/>
      </c>
      <c r="AE72" s="12">
        <f t="shared" si="17"/>
        <v>340.22555080404834</v>
      </c>
      <c r="AF72" s="12" t="str">
        <f t="shared" si="18"/>
        <v/>
      </c>
      <c r="AG72" t="str">
        <f>VLOOKUP(J72,'Receivable Invoice Detail'!$A$1:F3084,6,FALSE)</f>
        <v>[W-86EDH/R55] Pump, 8/6 E-DH, W-Series, Natural Rubber</v>
      </c>
      <c r="AH72" s="12">
        <f t="shared" si="14"/>
        <v>340.22555080404834</v>
      </c>
      <c r="AM72" s="12" t="str">
        <f t="shared" si="19"/>
        <v/>
      </c>
      <c r="AN72" s="12" t="str">
        <f t="shared" si="20"/>
        <v/>
      </c>
      <c r="AO72" s="12">
        <f t="shared" si="21"/>
        <v>340.22555080404834</v>
      </c>
      <c r="AP72" s="12" t="str">
        <f t="shared" si="22"/>
        <v/>
      </c>
      <c r="AQ72" s="64">
        <v>2503</v>
      </c>
      <c r="AR72" t="s">
        <v>5932</v>
      </c>
      <c r="AS72" s="12">
        <f t="shared" si="23"/>
        <v>255.16916310303623</v>
      </c>
      <c r="AT72" s="16" t="str">
        <f t="shared" si="13"/>
        <v>Yes</v>
      </c>
    </row>
    <row r="73" spans="1:46" hidden="1" x14ac:dyDescent="0.25">
      <c r="A73" s="41">
        <f>CASOPOInvCL!T73</f>
        <v>1</v>
      </c>
      <c r="B73" t="str">
        <f>CASOPOInvCL!Z73</f>
        <v>SO16457</v>
      </c>
      <c r="G73" s="5" t="str">
        <f>CASOPOInvCL!I73</f>
        <v>Ian Trottier</v>
      </c>
      <c r="H73" s="31">
        <f>CASOPOInvCL!U73</f>
        <v>1</v>
      </c>
      <c r="I73" s="31">
        <f>CASOPOInvCL!V73</f>
        <v>2025</v>
      </c>
      <c r="J73" s="5" t="str">
        <f>CASOPOInvCL!AB73</f>
        <v>INV12559</v>
      </c>
      <c r="K73" s="31">
        <f>CASOPOInvCL!W73</f>
        <v>2</v>
      </c>
      <c r="L73" s="31">
        <f>CASOPOInvCL!X73</f>
        <v>2025</v>
      </c>
      <c r="M73" s="31"/>
      <c r="N73" s="5" t="str">
        <f>CASOPOInvCL!AF73</f>
        <v>Wajax Limited - Pointe-aux-Trembles, Wajax Limited</v>
      </c>
      <c r="O73" s="16" t="str">
        <f>CASOPOInvCL!AG73</f>
        <v>CAD</v>
      </c>
      <c r="P73" s="16">
        <f>CASOPOInvCL!AH73</f>
        <v>232.19</v>
      </c>
      <c r="Q73" s="16">
        <f>CASOPOInvCL!AI73</f>
        <v>161.2973101951813</v>
      </c>
      <c r="R73" s="32" t="str">
        <f>CASOPOInvCL!AU73</f>
        <v>Yes</v>
      </c>
      <c r="S73" s="16">
        <f>CASOPOInvCL!AV73</f>
        <v>0</v>
      </c>
      <c r="T73" s="16">
        <f>CASOPOInvCL!AW73</f>
        <v>161.2973101951813</v>
      </c>
      <c r="Y73" s="29" t="str">
        <f>IFERROR(HLOOKUP(U73,List!$D$2:$H$6,2,FALSE),"")</f>
        <v/>
      </c>
      <c r="Z73" s="29" t="str">
        <f>IFERROR(HLOOKUP(V73,List!$D$2:$H$6,3,FALSE),"")</f>
        <v/>
      </c>
      <c r="AA73" s="29" t="str">
        <f>IFERROR(HLOOKUP(W73,List!$D$2:$H$6,4,FALSE),"")</f>
        <v/>
      </c>
      <c r="AB73" s="29" t="str">
        <f>IFERROR(HLOOKUP(X73,List!$D$2:$H$6,5,FALSE),"")</f>
        <v/>
      </c>
      <c r="AC73" s="12" t="str">
        <f t="shared" si="15"/>
        <v/>
      </c>
      <c r="AD73" s="12" t="str">
        <f t="shared" si="16"/>
        <v/>
      </c>
      <c r="AE73" s="12" t="str">
        <f t="shared" si="17"/>
        <v/>
      </c>
      <c r="AF73" s="12" t="str">
        <f t="shared" si="18"/>
        <v/>
      </c>
      <c r="AG73" t="str">
        <f>VLOOKUP(J73,'Receivable Invoice Detail'!$A$1:F3085,6,FALSE)</f>
        <v>[OLPWZ011006B, G-A04951A219] Bearing Isolator (Outboard), 3196 MTX/MTi, 303SS Rotor / Bronze Stator w/Viton</v>
      </c>
      <c r="AH73" s="12">
        <f t="shared" si="14"/>
        <v>0</v>
      </c>
      <c r="AM73" s="12" t="str">
        <f t="shared" si="19"/>
        <v/>
      </c>
      <c r="AN73" s="12" t="str">
        <f t="shared" si="20"/>
        <v/>
      </c>
      <c r="AO73" s="12" t="str">
        <f t="shared" si="21"/>
        <v/>
      </c>
      <c r="AP73" s="12" t="str">
        <f t="shared" si="22"/>
        <v/>
      </c>
      <c r="AQ73" s="12"/>
      <c r="AS73" s="12">
        <f t="shared" si="23"/>
        <v>2.4194596529277193</v>
      </c>
      <c r="AT73" s="16" t="str">
        <f t="shared" si="13"/>
        <v>Yes</v>
      </c>
    </row>
    <row r="74" spans="1:46" hidden="1" x14ac:dyDescent="0.25">
      <c r="A74" s="41">
        <f>CASOPOInvCL!T74</f>
        <v>1</v>
      </c>
      <c r="B74" t="str">
        <f>CASOPOInvCL!Z74</f>
        <v>SO16462</v>
      </c>
      <c r="G74" s="5" t="str">
        <f>CASOPOInvCL!I74</f>
        <v>Ian Trottier</v>
      </c>
      <c r="H74" s="31">
        <f>CASOPOInvCL!U74</f>
        <v>1</v>
      </c>
      <c r="I74" s="31">
        <f>CASOPOInvCL!V74</f>
        <v>2025</v>
      </c>
      <c r="J74" s="5" t="str">
        <f>CASOPOInvCL!AB74</f>
        <v>INV12684</v>
      </c>
      <c r="K74" s="31">
        <f>CASOPOInvCL!W74</f>
        <v>4</v>
      </c>
      <c r="L74" s="31">
        <f>CASOPOInvCL!X74</f>
        <v>2025</v>
      </c>
      <c r="M74" s="31"/>
      <c r="N74" s="5" t="str">
        <f>CASOPOInvCL!AF74</f>
        <v>Les Pompes du St-Laurent Inc.</v>
      </c>
      <c r="O74" s="16" t="str">
        <f>CASOPOInvCL!AG74</f>
        <v>CAD</v>
      </c>
      <c r="P74" s="16">
        <f>CASOPOInvCL!AH74</f>
        <v>1927.29</v>
      </c>
      <c r="Q74" s="16">
        <f>CASOPOInvCL!AI74</f>
        <v>1343.1653918431841</v>
      </c>
      <c r="R74" s="32" t="str">
        <f>CASOPOInvCL!AU74</f>
        <v>Yes</v>
      </c>
      <c r="S74" s="16">
        <f>CASOPOInvCL!AV74</f>
        <v>0</v>
      </c>
      <c r="T74" s="16">
        <f>CASOPOInvCL!AW74</f>
        <v>1343.1653918431841</v>
      </c>
      <c r="Y74" s="29" t="str">
        <f>IFERROR(HLOOKUP(U74,List!$D$2:$H$6,2,FALSE),"")</f>
        <v/>
      </c>
      <c r="Z74" s="29" t="str">
        <f>IFERROR(HLOOKUP(V74,List!$D$2:$H$6,3,FALSE),"")</f>
        <v/>
      </c>
      <c r="AA74" s="29" t="str">
        <f>IFERROR(HLOOKUP(W74,List!$D$2:$H$6,4,FALSE),"")</f>
        <v/>
      </c>
      <c r="AB74" s="29" t="str">
        <f>IFERROR(HLOOKUP(X74,List!$D$2:$H$6,5,FALSE),"")</f>
        <v/>
      </c>
      <c r="AC74" s="12" t="str">
        <f t="shared" si="15"/>
        <v/>
      </c>
      <c r="AD74" s="12" t="str">
        <f t="shared" si="16"/>
        <v/>
      </c>
      <c r="AE74" s="12" t="str">
        <f t="shared" si="17"/>
        <v/>
      </c>
      <c r="AF74" s="12" t="str">
        <f t="shared" si="18"/>
        <v/>
      </c>
      <c r="AG74" t="str">
        <f>VLOOKUP(J74,'Receivable Invoice Detail'!$A$1:F3086,6,FALSE)</f>
        <v>[G-104-557 1216] Casing, 1.5x3-8, 3196 STX, CD4MCu</v>
      </c>
      <c r="AH74" s="12">
        <f t="shared" si="14"/>
        <v>0</v>
      </c>
      <c r="AM74" s="12" t="str">
        <f t="shared" si="19"/>
        <v/>
      </c>
      <c r="AN74" s="12" t="str">
        <f t="shared" si="20"/>
        <v/>
      </c>
      <c r="AO74" s="12" t="str">
        <f t="shared" si="21"/>
        <v/>
      </c>
      <c r="AP74" s="12" t="str">
        <f t="shared" si="22"/>
        <v/>
      </c>
      <c r="AQ74" s="12"/>
      <c r="AS74" s="12">
        <f t="shared" si="23"/>
        <v>20.147480877647762</v>
      </c>
      <c r="AT74" s="16" t="str">
        <f t="shared" ref="AT74:AT137" si="24">R74</f>
        <v>Yes</v>
      </c>
    </row>
    <row r="75" spans="1:46" hidden="1" x14ac:dyDescent="0.25">
      <c r="A75" s="41">
        <f>CASOPOInvCL!T75</f>
        <v>1</v>
      </c>
      <c r="B75" t="str">
        <f>CASOPOInvCL!Z75</f>
        <v>SO16464</v>
      </c>
      <c r="G75" s="5" t="str">
        <f>CASOPOInvCL!I75</f>
        <v>Ian Trottier</v>
      </c>
      <c r="H75" s="31">
        <f>CASOPOInvCL!U75</f>
        <v>1</v>
      </c>
      <c r="I75" s="31">
        <f>CASOPOInvCL!V75</f>
        <v>2025</v>
      </c>
      <c r="J75" s="5" t="str">
        <f>CASOPOInvCL!AB75</f>
        <v>INV12553</v>
      </c>
      <c r="K75" s="31">
        <f>CASOPOInvCL!W75</f>
        <v>3</v>
      </c>
      <c r="L75" s="31">
        <f>CASOPOInvCL!X75</f>
        <v>2025</v>
      </c>
      <c r="M75" s="31"/>
      <c r="N75" s="5" t="str">
        <f>CASOPOInvCL!AF75</f>
        <v>Hyperflo</v>
      </c>
      <c r="O75" s="16" t="str">
        <f>CASOPOInvCL!AG75</f>
        <v>CAD</v>
      </c>
      <c r="P75" s="16">
        <f>CASOPOInvCL!AH75</f>
        <v>1191.33</v>
      </c>
      <c r="Q75" s="16">
        <f>CASOPOInvCL!AI75</f>
        <v>831.24469174304431</v>
      </c>
      <c r="R75" s="32" t="str">
        <f>CASOPOInvCL!AU75</f>
        <v>Yes</v>
      </c>
      <c r="S75" s="16">
        <f>CASOPOInvCL!AV75</f>
        <v>0</v>
      </c>
      <c r="T75" s="16">
        <f>CASOPOInvCL!AW75</f>
        <v>831.24469174304431</v>
      </c>
      <c r="Y75" s="29" t="str">
        <f>IFERROR(HLOOKUP(U75,List!$D$2:$H$6,2,FALSE),"")</f>
        <v/>
      </c>
      <c r="Z75" s="29" t="str">
        <f>IFERROR(HLOOKUP(V75,List!$D$2:$H$6,3,FALSE),"")</f>
        <v/>
      </c>
      <c r="AA75" s="29" t="str">
        <f>IFERROR(HLOOKUP(W75,List!$D$2:$H$6,4,FALSE),"")</f>
        <v/>
      </c>
      <c r="AB75" s="29" t="str">
        <f>IFERROR(HLOOKUP(X75,List!$D$2:$H$6,5,FALSE),"")</f>
        <v/>
      </c>
      <c r="AC75" s="12" t="str">
        <f t="shared" si="15"/>
        <v/>
      </c>
      <c r="AD75" s="12" t="str">
        <f t="shared" si="16"/>
        <v/>
      </c>
      <c r="AE75" s="12" t="str">
        <f t="shared" si="17"/>
        <v/>
      </c>
      <c r="AF75" s="12" t="str">
        <f t="shared" si="18"/>
        <v/>
      </c>
      <c r="AG75" t="str">
        <f>VLOOKUP(J75,'Receivable Invoice Detail'!$A$1:F3087,6,FALSE)</f>
        <v>[AC-98-131-246-511] Deflector (Water Slinger), 5x5/5x4/6x6 SRL &amp; SRL-C, Neoprene/Steel</v>
      </c>
      <c r="AH75" s="12">
        <f t="shared" si="14"/>
        <v>0</v>
      </c>
      <c r="AM75" s="12" t="str">
        <f t="shared" si="19"/>
        <v/>
      </c>
      <c r="AN75" s="12" t="str">
        <f t="shared" si="20"/>
        <v/>
      </c>
      <c r="AO75" s="12" t="str">
        <f t="shared" si="21"/>
        <v/>
      </c>
      <c r="AP75" s="12" t="str">
        <f t="shared" si="22"/>
        <v/>
      </c>
      <c r="AQ75" s="12"/>
      <c r="AS75" s="12">
        <f t="shared" si="23"/>
        <v>12.468670376145663</v>
      </c>
      <c r="AT75" s="16" t="str">
        <f t="shared" si="24"/>
        <v>Yes</v>
      </c>
    </row>
    <row r="76" spans="1:46" hidden="1" x14ac:dyDescent="0.25">
      <c r="A76" s="41">
        <f>CASOPOInvCL!T76</f>
        <v>1</v>
      </c>
      <c r="B76" t="str">
        <f>CASOPOInvCL!Z76</f>
        <v>SO16466</v>
      </c>
      <c r="G76" s="5" t="str">
        <f>CASOPOInvCL!I76</f>
        <v>Taylor Cook</v>
      </c>
      <c r="H76" s="31">
        <f>CASOPOInvCL!U76</f>
        <v>1</v>
      </c>
      <c r="I76" s="31">
        <f>CASOPOInvCL!V76</f>
        <v>2025</v>
      </c>
      <c r="J76" s="5" t="str">
        <f>CASOPOInvCL!AB76</f>
        <v>INV12561</v>
      </c>
      <c r="K76" s="31">
        <f>CASOPOInvCL!W76</f>
        <v>1</v>
      </c>
      <c r="L76" s="31">
        <f>CASOPOInvCL!X76</f>
        <v>2025</v>
      </c>
      <c r="M76" s="31"/>
      <c r="N76" s="5" t="str">
        <f>CASOPOInvCL!AF76</f>
        <v>Allen Bearings &amp; Technologies Ltd.</v>
      </c>
      <c r="O76" s="16" t="str">
        <f>CASOPOInvCL!AG76</f>
        <v>CAD</v>
      </c>
      <c r="P76" s="16">
        <f>CASOPOInvCL!AH76</f>
        <v>2272.41</v>
      </c>
      <c r="Q76" s="16">
        <f>CASOPOInvCL!AI76</f>
        <v>1578.5934823232349</v>
      </c>
      <c r="R76" s="32" t="str">
        <f>CASOPOInvCL!AU76</f>
        <v>Yes</v>
      </c>
      <c r="S76" s="16">
        <f>CASOPOInvCL!AV76</f>
        <v>0</v>
      </c>
      <c r="T76" s="16">
        <f>CASOPOInvCL!AW76</f>
        <v>1578.5934823232349</v>
      </c>
      <c r="Y76" s="29" t="str">
        <f>IFERROR(HLOOKUP(U76,List!$D$2:$H$6,2,FALSE),"")</f>
        <v/>
      </c>
      <c r="Z76" s="29" t="str">
        <f>IFERROR(HLOOKUP(V76,List!$D$2:$H$6,3,FALSE),"")</f>
        <v/>
      </c>
      <c r="AA76" s="29" t="str">
        <f>IFERROR(HLOOKUP(W76,List!$D$2:$H$6,4,FALSE),"")</f>
        <v/>
      </c>
      <c r="AB76" s="29" t="str">
        <f>IFERROR(HLOOKUP(X76,List!$D$2:$H$6,5,FALSE),"")</f>
        <v/>
      </c>
      <c r="AC76" s="12" t="str">
        <f t="shared" si="15"/>
        <v/>
      </c>
      <c r="AD76" s="12" t="str">
        <f t="shared" si="16"/>
        <v/>
      </c>
      <c r="AE76" s="12" t="str">
        <f t="shared" si="17"/>
        <v/>
      </c>
      <c r="AF76" s="12" t="str">
        <f t="shared" si="18"/>
        <v/>
      </c>
      <c r="AG76" t="str">
        <f>VLOOKUP(J76,'Receivable Invoice Detail'!$A$1:F3088,6,FALSE)</f>
        <v>[AC-98-330-286-501] Impeller (Open), 3x3-10 SRL, Natural Rubber</v>
      </c>
      <c r="AH76" s="12">
        <f t="shared" si="14"/>
        <v>0</v>
      </c>
      <c r="AM76" s="12" t="str">
        <f t="shared" si="19"/>
        <v/>
      </c>
      <c r="AN76" s="12" t="str">
        <f t="shared" si="20"/>
        <v/>
      </c>
      <c r="AO76" s="12" t="str">
        <f t="shared" si="21"/>
        <v/>
      </c>
      <c r="AP76" s="12" t="str">
        <f t="shared" si="22"/>
        <v/>
      </c>
      <c r="AQ76" s="12"/>
      <c r="AS76" s="12">
        <f t="shared" si="23"/>
        <v>23.678902234848522</v>
      </c>
      <c r="AT76" s="16" t="str">
        <f t="shared" si="24"/>
        <v>Yes</v>
      </c>
    </row>
    <row r="77" spans="1:46" hidden="1" x14ac:dyDescent="0.25">
      <c r="A77" s="41">
        <f>CASOPOInvCL!T77</f>
        <v>3</v>
      </c>
      <c r="B77" t="str">
        <f>CASOPOInvCL!Z77</f>
        <v>SO16467</v>
      </c>
      <c r="G77" s="5" t="str">
        <f>CASOPOInvCL!I77</f>
        <v>Taylor Cook</v>
      </c>
      <c r="H77" s="31">
        <f>CASOPOInvCL!U77</f>
        <v>1</v>
      </c>
      <c r="I77" s="31">
        <f>CASOPOInvCL!V77</f>
        <v>2025</v>
      </c>
      <c r="J77" s="5" t="str">
        <f>CASOPOInvCL!AB77</f>
        <v>INV12954</v>
      </c>
      <c r="K77" s="31">
        <f>CASOPOInvCL!W77</f>
        <v>5</v>
      </c>
      <c r="L77" s="31">
        <f>CASOPOInvCL!X77</f>
        <v>2025</v>
      </c>
      <c r="M77" s="31"/>
      <c r="N77" s="5" t="str">
        <f>CASOPOInvCL!AF77</f>
        <v>Wild Rows Pump &amp; Compression LTD.</v>
      </c>
      <c r="O77" s="16" t="str">
        <f>CASOPOInvCL!AG77</f>
        <v>CAD</v>
      </c>
      <c r="P77" s="16">
        <f>CASOPOInvCL!AH77</f>
        <v>1026.9000000000001</v>
      </c>
      <c r="Q77" s="16">
        <f>CASOPOInvCL!AI77</f>
        <v>716.51446194667506</v>
      </c>
      <c r="R77" s="32" t="str">
        <f>CASOPOInvCL!AU77</f>
        <v>Yes</v>
      </c>
      <c r="S77" s="16">
        <f>CASOPOInvCL!AV77</f>
        <v>0</v>
      </c>
      <c r="T77" s="16">
        <f>CASOPOInvCL!AW77</f>
        <v>716.51446194667506</v>
      </c>
      <c r="Y77" s="29" t="str">
        <f>IFERROR(HLOOKUP(U77,List!$D$2:$H$6,2,FALSE),"")</f>
        <v/>
      </c>
      <c r="Z77" s="29" t="str">
        <f>IFERROR(HLOOKUP(V77,List!$D$2:$H$6,3,FALSE),"")</f>
        <v/>
      </c>
      <c r="AA77" s="29" t="str">
        <f>IFERROR(HLOOKUP(W77,List!$D$2:$H$6,4,FALSE),"")</f>
        <v/>
      </c>
      <c r="AB77" s="29" t="str">
        <f>IFERROR(HLOOKUP(X77,List!$D$2:$H$6,5,FALSE),"")</f>
        <v/>
      </c>
      <c r="AC77" s="12" t="str">
        <f t="shared" si="15"/>
        <v/>
      </c>
      <c r="AD77" s="12" t="str">
        <f t="shared" si="16"/>
        <v/>
      </c>
      <c r="AE77" s="12" t="str">
        <f t="shared" si="17"/>
        <v/>
      </c>
      <c r="AF77" s="12" t="str">
        <f t="shared" si="18"/>
        <v/>
      </c>
      <c r="AG77" t="str">
        <f>VLOOKUP(J77,'Receivable Invoice Detail'!$A$1:F3089,6,FALSE)</f>
        <v>[W-C2036/U38] Frame Plate Liner, 3/2 C-AH, Urethane</v>
      </c>
      <c r="AH77" s="12">
        <f t="shared" si="14"/>
        <v>0</v>
      </c>
      <c r="AM77" s="12" t="str">
        <f t="shared" si="19"/>
        <v/>
      </c>
      <c r="AN77" s="12" t="str">
        <f t="shared" si="20"/>
        <v/>
      </c>
      <c r="AO77" s="12" t="str">
        <f t="shared" si="21"/>
        <v/>
      </c>
      <c r="AP77" s="12" t="str">
        <f t="shared" si="22"/>
        <v/>
      </c>
      <c r="AQ77" s="12"/>
      <c r="AS77" s="12">
        <f t="shared" si="23"/>
        <v>10.747716929200125</v>
      </c>
      <c r="AT77" s="16" t="str">
        <f t="shared" si="24"/>
        <v>Yes</v>
      </c>
    </row>
    <row r="78" spans="1:46" hidden="1" x14ac:dyDescent="0.25">
      <c r="A78" s="41">
        <f>CASOPOInvCL!T78</f>
        <v>3</v>
      </c>
      <c r="B78" t="str">
        <f>CASOPOInvCL!Z78</f>
        <v>SO16467</v>
      </c>
      <c r="G78" s="5">
        <f>CASOPOInvCL!I78</f>
        <v>0</v>
      </c>
      <c r="H78" s="31">
        <f>CASOPOInvCL!U78</f>
        <v>1</v>
      </c>
      <c r="I78" s="31">
        <f>CASOPOInvCL!V78</f>
        <v>2025</v>
      </c>
      <c r="J78" s="5" t="str">
        <f>CASOPOInvCL!AB78</f>
        <v>INV12582</v>
      </c>
      <c r="K78" s="31">
        <f>CASOPOInvCL!W78</f>
        <v>1</v>
      </c>
      <c r="L78" s="31">
        <f>CASOPOInvCL!X78</f>
        <v>2025</v>
      </c>
      <c r="M78" s="31"/>
      <c r="N78" s="5" t="str">
        <f>CASOPOInvCL!AF78</f>
        <v>Wild Rows Pump &amp; Compression LTD.</v>
      </c>
      <c r="O78" s="16" t="str">
        <f>CASOPOInvCL!AG78</f>
        <v>CAD</v>
      </c>
      <c r="P78" s="16">
        <f>CASOPOInvCL!AH78</f>
        <v>0</v>
      </c>
      <c r="Q78" s="16">
        <f>CASOPOInvCL!AI78</f>
        <v>0</v>
      </c>
      <c r="R78" s="32" t="str">
        <f>CASOPOInvCL!AU78</f>
        <v/>
      </c>
      <c r="S78" s="16">
        <f>CASOPOInvCL!AV78</f>
        <v>0</v>
      </c>
      <c r="T78" s="16">
        <f>CASOPOInvCL!AW78</f>
        <v>0</v>
      </c>
      <c r="Y78" s="29" t="str">
        <f>IFERROR(HLOOKUP(U78,List!$D$2:$H$6,2,FALSE),"")</f>
        <v/>
      </c>
      <c r="Z78" s="29" t="str">
        <f>IFERROR(HLOOKUP(V78,List!$D$2:$H$6,3,FALSE),"")</f>
        <v/>
      </c>
      <c r="AA78" s="29" t="str">
        <f>IFERROR(HLOOKUP(W78,List!$D$2:$H$6,4,FALSE),"")</f>
        <v/>
      </c>
      <c r="AB78" s="29" t="str">
        <f>IFERROR(HLOOKUP(X78,List!$D$2:$H$6,5,FALSE),"")</f>
        <v/>
      </c>
      <c r="AC78" s="12" t="str">
        <f t="shared" si="15"/>
        <v/>
      </c>
      <c r="AD78" s="12" t="str">
        <f t="shared" si="16"/>
        <v/>
      </c>
      <c r="AE78" s="12" t="str">
        <f t="shared" si="17"/>
        <v/>
      </c>
      <c r="AF78" s="12" t="str">
        <f t="shared" si="18"/>
        <v/>
      </c>
      <c r="AG78" t="str">
        <f>VLOOKUP(J78,'Receivable Invoice Detail'!$A$1:F3090,6,FALSE)</f>
        <v>[W-C217/S10] O-Ring Impeller Seal, 3/2 C-AH, Nitrile</v>
      </c>
      <c r="AH78" s="12">
        <f t="shared" si="14"/>
        <v>0</v>
      </c>
      <c r="AM78" s="12" t="str">
        <f t="shared" si="19"/>
        <v/>
      </c>
      <c r="AN78" s="12" t="str">
        <f t="shared" si="20"/>
        <v/>
      </c>
      <c r="AO78" s="12" t="str">
        <f t="shared" si="21"/>
        <v/>
      </c>
      <c r="AP78" s="12" t="str">
        <f t="shared" si="22"/>
        <v/>
      </c>
      <c r="AQ78" s="12"/>
      <c r="AS78" s="12">
        <f t="shared" si="23"/>
        <v>0</v>
      </c>
      <c r="AT78" s="16" t="str">
        <f t="shared" si="24"/>
        <v/>
      </c>
    </row>
    <row r="79" spans="1:46" hidden="1" x14ac:dyDescent="0.25">
      <c r="A79" s="41">
        <f>CASOPOInvCL!T79</f>
        <v>3</v>
      </c>
      <c r="B79" t="str">
        <f>CASOPOInvCL!Z79</f>
        <v>SO16467</v>
      </c>
      <c r="G79" s="5">
        <f>CASOPOInvCL!I79</f>
        <v>0</v>
      </c>
      <c r="H79" s="31">
        <f>CASOPOInvCL!U79</f>
        <v>1</v>
      </c>
      <c r="I79" s="31">
        <f>CASOPOInvCL!V79</f>
        <v>2025</v>
      </c>
      <c r="J79" s="5" t="str">
        <f>CASOPOInvCL!AB79</f>
        <v>INV12585</v>
      </c>
      <c r="K79" s="31">
        <f>CASOPOInvCL!W79</f>
        <v>1</v>
      </c>
      <c r="L79" s="31">
        <f>CASOPOInvCL!X79</f>
        <v>2025</v>
      </c>
      <c r="M79" s="31"/>
      <c r="N79" s="5" t="str">
        <f>CASOPOInvCL!AF79</f>
        <v>Wild Rows Pump &amp; Compression LTD.</v>
      </c>
      <c r="O79" s="16" t="str">
        <f>CASOPOInvCL!AG79</f>
        <v>CAD</v>
      </c>
      <c r="P79" s="16">
        <f>CASOPOInvCL!AH79</f>
        <v>0</v>
      </c>
      <c r="Q79" s="16">
        <f>CASOPOInvCL!AI79</f>
        <v>0</v>
      </c>
      <c r="R79" s="32" t="str">
        <f>CASOPOInvCL!AU79</f>
        <v/>
      </c>
      <c r="S79" s="16">
        <f>CASOPOInvCL!AV79</f>
        <v>0</v>
      </c>
      <c r="T79" s="16">
        <f>CASOPOInvCL!AW79</f>
        <v>0</v>
      </c>
      <c r="Y79" s="29" t="str">
        <f>IFERROR(HLOOKUP(U79,List!$D$2:$H$6,2,FALSE),"")</f>
        <v/>
      </c>
      <c r="Z79" s="29" t="str">
        <f>IFERROR(HLOOKUP(V79,List!$D$2:$H$6,3,FALSE),"")</f>
        <v/>
      </c>
      <c r="AA79" s="29" t="str">
        <f>IFERROR(HLOOKUP(W79,List!$D$2:$H$6,4,FALSE),"")</f>
        <v/>
      </c>
      <c r="AB79" s="29" t="str">
        <f>IFERROR(HLOOKUP(X79,List!$D$2:$H$6,5,FALSE),"")</f>
        <v/>
      </c>
      <c r="AC79" s="12" t="str">
        <f t="shared" si="15"/>
        <v/>
      </c>
      <c r="AD79" s="12" t="str">
        <f t="shared" si="16"/>
        <v/>
      </c>
      <c r="AE79" s="12" t="str">
        <f t="shared" si="17"/>
        <v/>
      </c>
      <c r="AF79" s="12" t="str">
        <f t="shared" si="18"/>
        <v/>
      </c>
      <c r="AG79" t="str">
        <f>VLOOKUP(J79,'Receivable Invoice Detail'!$A$1:F3091,6,FALSE)</f>
        <v>[M12Z3-40VV] Stud &amp; Lock Nut &amp; Washer, 12x40mm, Zinc</v>
      </c>
      <c r="AH79" s="12">
        <f t="shared" si="14"/>
        <v>0</v>
      </c>
      <c r="AM79" s="12" t="str">
        <f t="shared" si="19"/>
        <v/>
      </c>
      <c r="AN79" s="12" t="str">
        <f t="shared" si="20"/>
        <v/>
      </c>
      <c r="AO79" s="12" t="str">
        <f t="shared" si="21"/>
        <v/>
      </c>
      <c r="AP79" s="12" t="str">
        <f t="shared" si="22"/>
        <v/>
      </c>
      <c r="AQ79" s="12"/>
      <c r="AS79" s="12">
        <f t="shared" si="23"/>
        <v>0</v>
      </c>
      <c r="AT79" s="16" t="str">
        <f t="shared" si="24"/>
        <v/>
      </c>
    </row>
    <row r="80" spans="1:46" hidden="1" x14ac:dyDescent="0.25">
      <c r="A80" s="41">
        <f>CASOPOInvCL!T80</f>
        <v>2</v>
      </c>
      <c r="B80" t="str">
        <f>CASOPOInvCL!Z80</f>
        <v>SO16470</v>
      </c>
      <c r="G80" s="5" t="str">
        <f>CASOPOInvCL!I80</f>
        <v>Ian Trottier</v>
      </c>
      <c r="H80" s="31">
        <f>CASOPOInvCL!U80</f>
        <v>1</v>
      </c>
      <c r="I80" s="31">
        <f>CASOPOInvCL!V80</f>
        <v>2025</v>
      </c>
      <c r="J80" s="5" t="str">
        <f>CASOPOInvCL!AB80</f>
        <v>INV12549</v>
      </c>
      <c r="K80" s="31">
        <f>CASOPOInvCL!W80</f>
        <v>3</v>
      </c>
      <c r="L80" s="31">
        <f>CASOPOInvCL!X80</f>
        <v>2025</v>
      </c>
      <c r="M80" s="31"/>
      <c r="N80" s="5" t="str">
        <f>CASOPOInvCL!AF80</f>
        <v>Resolute Forest Products - Saint-Felicien</v>
      </c>
      <c r="O80" s="16" t="str">
        <f>CASOPOInvCL!AG80</f>
        <v>CAD</v>
      </c>
      <c r="P80" s="16">
        <f>CASOPOInvCL!AH80</f>
        <v>1969.52</v>
      </c>
      <c r="Q80" s="16">
        <f>CASOPOInvCL!AI80</f>
        <v>1374.2229653259467</v>
      </c>
      <c r="R80" s="32" t="str">
        <f>CASOPOInvCL!AU80</f>
        <v>Yes</v>
      </c>
      <c r="S80" s="16">
        <f>CASOPOInvCL!AV80</f>
        <v>0</v>
      </c>
      <c r="T80" s="16">
        <f>CASOPOInvCL!AW80</f>
        <v>1374.2229653259467</v>
      </c>
      <c r="Y80" s="29" t="str">
        <f>IFERROR(HLOOKUP(U80,List!$D$2:$H$6,2,FALSE),"")</f>
        <v/>
      </c>
      <c r="Z80" s="29" t="str">
        <f>IFERROR(HLOOKUP(V80,List!$D$2:$H$6,3,FALSE),"")</f>
        <v/>
      </c>
      <c r="AA80" s="29" t="str">
        <f>IFERROR(HLOOKUP(W80,List!$D$2:$H$6,4,FALSE),"")</f>
        <v/>
      </c>
      <c r="AB80" s="29" t="str">
        <f>IFERROR(HLOOKUP(X80,List!$D$2:$H$6,5,FALSE),"")</f>
        <v/>
      </c>
      <c r="AC80" s="12" t="str">
        <f t="shared" si="15"/>
        <v/>
      </c>
      <c r="AD80" s="12" t="str">
        <f t="shared" si="16"/>
        <v/>
      </c>
      <c r="AE80" s="12" t="str">
        <f t="shared" si="17"/>
        <v/>
      </c>
      <c r="AF80" s="12" t="str">
        <f t="shared" si="18"/>
        <v/>
      </c>
      <c r="AG80" t="str">
        <f>VLOOKUP(J80,'Receivable Invoice Detail'!$A$1:F3092,6,FALSE)</f>
        <v>[52-108-475-015] Deflector (Inboard), Allis-Chalmers PWO, Group 3</v>
      </c>
      <c r="AH80" s="12">
        <f t="shared" si="14"/>
        <v>0</v>
      </c>
      <c r="AM80" s="12" t="str">
        <f t="shared" si="19"/>
        <v/>
      </c>
      <c r="AN80" s="12" t="str">
        <f t="shared" si="20"/>
        <v/>
      </c>
      <c r="AO80" s="12" t="str">
        <f t="shared" si="21"/>
        <v/>
      </c>
      <c r="AP80" s="12" t="str">
        <f t="shared" si="22"/>
        <v/>
      </c>
      <c r="AQ80" s="12"/>
      <c r="AS80" s="12">
        <f t="shared" si="23"/>
        <v>20.6133444798892</v>
      </c>
      <c r="AT80" s="16" t="str">
        <f t="shared" si="24"/>
        <v>Yes</v>
      </c>
    </row>
    <row r="81" spans="1:46" hidden="1" x14ac:dyDescent="0.25">
      <c r="A81" s="41">
        <f>CASOPOInvCL!T81</f>
        <v>2</v>
      </c>
      <c r="B81" t="str">
        <f>CASOPOInvCL!Z81</f>
        <v>SO16470</v>
      </c>
      <c r="G81" s="5">
        <f>CASOPOInvCL!I81</f>
        <v>0</v>
      </c>
      <c r="H81" s="31">
        <f>CASOPOInvCL!U81</f>
        <v>1</v>
      </c>
      <c r="I81" s="31">
        <f>CASOPOInvCL!V81</f>
        <v>2025</v>
      </c>
      <c r="J81" s="5" t="str">
        <f>CASOPOInvCL!AB81</f>
        <v>INV12697</v>
      </c>
      <c r="K81" s="31">
        <f>CASOPOInvCL!W81</f>
        <v>5</v>
      </c>
      <c r="L81" s="31">
        <f>CASOPOInvCL!X81</f>
        <v>2025</v>
      </c>
      <c r="M81" s="31"/>
      <c r="N81" s="5" t="str">
        <f>CASOPOInvCL!AF81</f>
        <v>Resolute Forest Products - Saint-Felicien</v>
      </c>
      <c r="O81" s="16" t="str">
        <f>CASOPOInvCL!AG81</f>
        <v>CAD</v>
      </c>
      <c r="P81" s="16">
        <f>CASOPOInvCL!AH81</f>
        <v>0</v>
      </c>
      <c r="Q81" s="16">
        <f>CASOPOInvCL!AI81</f>
        <v>0</v>
      </c>
      <c r="R81" s="32" t="str">
        <f>CASOPOInvCL!AU81</f>
        <v/>
      </c>
      <c r="S81" s="16">
        <f>CASOPOInvCL!AV81</f>
        <v>0</v>
      </c>
      <c r="T81" s="16">
        <f>CASOPOInvCL!AW81</f>
        <v>0</v>
      </c>
      <c r="Y81" s="29" t="str">
        <f>IFERROR(HLOOKUP(U81,List!$D$2:$H$6,2,FALSE),"")</f>
        <v/>
      </c>
      <c r="Z81" s="29" t="str">
        <f>IFERROR(HLOOKUP(V81,List!$D$2:$H$6,3,FALSE),"")</f>
        <v/>
      </c>
      <c r="AA81" s="29" t="str">
        <f>IFERROR(HLOOKUP(W81,List!$D$2:$H$6,4,FALSE),"")</f>
        <v/>
      </c>
      <c r="AB81" s="29" t="str">
        <f>IFERROR(HLOOKUP(X81,List!$D$2:$H$6,5,FALSE),"")</f>
        <v/>
      </c>
      <c r="AC81" s="12" t="str">
        <f t="shared" si="15"/>
        <v/>
      </c>
      <c r="AD81" s="12" t="str">
        <f t="shared" si="16"/>
        <v/>
      </c>
      <c r="AE81" s="12" t="str">
        <f t="shared" si="17"/>
        <v/>
      </c>
      <c r="AF81" s="12" t="str">
        <f t="shared" si="18"/>
        <v/>
      </c>
      <c r="AG81" t="str">
        <f>VLOOKUP(J81,'Receivable Invoice Detail'!$A$1:F3093,6,FALSE)</f>
        <v>[AC-52-320-079-100] Impeller, 3x2-8.5, Allis Chalmers CSO, 316SS</v>
      </c>
      <c r="AH81" s="12">
        <f t="shared" si="14"/>
        <v>0</v>
      </c>
      <c r="AM81" s="12" t="str">
        <f t="shared" si="19"/>
        <v/>
      </c>
      <c r="AN81" s="12" t="str">
        <f t="shared" si="20"/>
        <v/>
      </c>
      <c r="AO81" s="12" t="str">
        <f t="shared" si="21"/>
        <v/>
      </c>
      <c r="AP81" s="12" t="str">
        <f t="shared" si="22"/>
        <v/>
      </c>
      <c r="AQ81" s="12"/>
      <c r="AS81" s="12">
        <f t="shared" si="23"/>
        <v>0</v>
      </c>
      <c r="AT81" s="16" t="str">
        <f t="shared" si="24"/>
        <v/>
      </c>
    </row>
    <row r="82" spans="1:46" hidden="1" x14ac:dyDescent="0.25">
      <c r="A82" s="41">
        <f>CASOPOInvCL!T82</f>
        <v>1</v>
      </c>
      <c r="B82" t="str">
        <f>CASOPOInvCL!Z82</f>
        <v>SO16471</v>
      </c>
      <c r="G82" s="5" t="str">
        <f>CASOPOInvCL!I82</f>
        <v>Taylor Cook</v>
      </c>
      <c r="H82" s="31">
        <f>CASOPOInvCL!U82</f>
        <v>1</v>
      </c>
      <c r="I82" s="31">
        <f>CASOPOInvCL!V82</f>
        <v>2025</v>
      </c>
      <c r="J82" s="5" t="str">
        <f>CASOPOInvCL!AB82</f>
        <v>INV12593</v>
      </c>
      <c r="K82" s="31">
        <f>CASOPOInvCL!W82</f>
        <v>2</v>
      </c>
      <c r="L82" s="31">
        <f>CASOPOInvCL!X82</f>
        <v>2025</v>
      </c>
      <c r="M82" s="31"/>
      <c r="N82" s="5" t="str">
        <f>CASOPOInvCL!AF82</f>
        <v>Sling-Choker Manufacturing - Timmins</v>
      </c>
      <c r="O82" s="16" t="str">
        <f>CASOPOInvCL!AG82</f>
        <v>CAD</v>
      </c>
      <c r="P82" s="16">
        <f>CASOPOInvCL!AH82</f>
        <v>124.57</v>
      </c>
      <c r="Q82" s="16">
        <f>CASOPOInvCL!AI82</f>
        <v>86.918109382313077</v>
      </c>
      <c r="R82" s="32" t="str">
        <f>CASOPOInvCL!AU82</f>
        <v>Yes</v>
      </c>
      <c r="S82" s="16">
        <f>CASOPOInvCL!AV82</f>
        <v>0</v>
      </c>
      <c r="T82" s="16">
        <f>CASOPOInvCL!AW82</f>
        <v>86.918109382313077</v>
      </c>
      <c r="Y82" s="29" t="str">
        <f>IFERROR(HLOOKUP(U82,List!$D$2:$H$6,2,FALSE),"")</f>
        <v/>
      </c>
      <c r="Z82" s="29" t="str">
        <f>IFERROR(HLOOKUP(V82,List!$D$2:$H$6,3,FALSE),"")</f>
        <v/>
      </c>
      <c r="AA82" s="29" t="str">
        <f>IFERROR(HLOOKUP(W82,List!$D$2:$H$6,4,FALSE),"")</f>
        <v/>
      </c>
      <c r="AB82" s="29" t="str">
        <f>IFERROR(HLOOKUP(X82,List!$D$2:$H$6,5,FALSE),"")</f>
        <v/>
      </c>
      <c r="AC82" s="12" t="str">
        <f t="shared" si="15"/>
        <v/>
      </c>
      <c r="AD82" s="12" t="str">
        <f t="shared" si="16"/>
        <v/>
      </c>
      <c r="AE82" s="12" t="str">
        <f t="shared" si="17"/>
        <v/>
      </c>
      <c r="AF82" s="12" t="str">
        <f t="shared" si="18"/>
        <v/>
      </c>
      <c r="AG82" t="str">
        <f>VLOOKUP(J82,'Receivable Invoice Detail'!$A$1:F3094,6,FALSE)</f>
        <v>[AC-98-131-246-504] Deflector (Water Slinger), 3x3-10 SRL/SRL-C, Neoprene/Steel</v>
      </c>
      <c r="AH82" s="12">
        <f t="shared" si="14"/>
        <v>0</v>
      </c>
      <c r="AM82" s="12" t="str">
        <f t="shared" si="19"/>
        <v/>
      </c>
      <c r="AN82" s="12" t="str">
        <f t="shared" si="20"/>
        <v/>
      </c>
      <c r="AO82" s="12" t="str">
        <f t="shared" si="21"/>
        <v/>
      </c>
      <c r="AP82" s="12" t="str">
        <f t="shared" si="22"/>
        <v/>
      </c>
      <c r="AQ82" s="12"/>
      <c r="AS82" s="12">
        <f t="shared" si="23"/>
        <v>1.3037716407346962</v>
      </c>
      <c r="AT82" s="16" t="str">
        <f t="shared" si="24"/>
        <v>Yes</v>
      </c>
    </row>
    <row r="83" spans="1:46" hidden="1" x14ac:dyDescent="0.25">
      <c r="A83" s="41">
        <f>CASOPOInvCL!T83</f>
        <v>1</v>
      </c>
      <c r="B83" t="str">
        <f>CASOPOInvCL!Z83</f>
        <v>SO16474</v>
      </c>
      <c r="G83" s="5" t="str">
        <f>CASOPOInvCL!I83</f>
        <v>Ian Trottier</v>
      </c>
      <c r="H83" s="31">
        <f>CASOPOInvCL!U83</f>
        <v>1</v>
      </c>
      <c r="I83" s="31">
        <f>CASOPOInvCL!V83</f>
        <v>2025</v>
      </c>
      <c r="J83" s="5" t="str">
        <f>CASOPOInvCL!AB83</f>
        <v>INV12562</v>
      </c>
      <c r="K83" s="31">
        <f>CASOPOInvCL!W83</f>
        <v>2</v>
      </c>
      <c r="L83" s="31">
        <f>CASOPOInvCL!X83</f>
        <v>2025</v>
      </c>
      <c r="M83" s="31"/>
      <c r="N83" s="5" t="str">
        <f>CASOPOInvCL!AF83</f>
        <v>Motion Industries Inc. (Canada) - Winnipeg, Motion Industries Inc. (Canada) - Winnipeg</v>
      </c>
      <c r="O83" s="16" t="str">
        <f>CASOPOInvCL!AG83</f>
        <v>CAD</v>
      </c>
      <c r="P83" s="16">
        <f>CASOPOInvCL!AH83</f>
        <v>637.91</v>
      </c>
      <c r="Q83" s="16">
        <f>CASOPOInvCL!AI83</f>
        <v>443.14211269481069</v>
      </c>
      <c r="R83" s="32" t="str">
        <f>CASOPOInvCL!AU83</f>
        <v>Yes</v>
      </c>
      <c r="S83" s="16">
        <f>CASOPOInvCL!AV83</f>
        <v>0</v>
      </c>
      <c r="T83" s="16">
        <f>CASOPOInvCL!AW83</f>
        <v>443.14211269481069</v>
      </c>
      <c r="Y83" s="29" t="str">
        <f>IFERROR(HLOOKUP(U83,List!$D$2:$H$6,2,FALSE),"")</f>
        <v/>
      </c>
      <c r="Z83" s="29" t="str">
        <f>IFERROR(HLOOKUP(V83,List!$D$2:$H$6,3,FALSE),"")</f>
        <v/>
      </c>
      <c r="AA83" s="29" t="str">
        <f>IFERROR(HLOOKUP(W83,List!$D$2:$H$6,4,FALSE),"")</f>
        <v/>
      </c>
      <c r="AB83" s="29" t="str">
        <f>IFERROR(HLOOKUP(X83,List!$D$2:$H$6,5,FALSE),"")</f>
        <v/>
      </c>
      <c r="AC83" s="12" t="str">
        <f t="shared" si="15"/>
        <v/>
      </c>
      <c r="AD83" s="12" t="str">
        <f t="shared" si="16"/>
        <v/>
      </c>
      <c r="AE83" s="12" t="str">
        <f t="shared" si="17"/>
        <v/>
      </c>
      <c r="AF83" s="12" t="str">
        <f t="shared" si="18"/>
        <v/>
      </c>
      <c r="AG83" t="str">
        <f>VLOOKUP(J83,'Receivable Invoice Detail'!$A$1:F3095,6,FALSE)</f>
        <v>[DU-DY55718A-CI] Bearing Housing, Durco Mark 3 Group 2, Cast Iron</v>
      </c>
      <c r="AH83" s="12">
        <f t="shared" si="14"/>
        <v>0</v>
      </c>
      <c r="AM83" s="12" t="str">
        <f t="shared" si="19"/>
        <v/>
      </c>
      <c r="AN83" s="12" t="str">
        <f t="shared" si="20"/>
        <v/>
      </c>
      <c r="AO83" s="12" t="str">
        <f t="shared" si="21"/>
        <v/>
      </c>
      <c r="AP83" s="12" t="str">
        <f t="shared" si="22"/>
        <v/>
      </c>
      <c r="AQ83" s="12"/>
      <c r="AS83" s="12">
        <f t="shared" si="23"/>
        <v>6.6471316904221602</v>
      </c>
      <c r="AT83" s="16" t="str">
        <f t="shared" si="24"/>
        <v>Yes</v>
      </c>
    </row>
    <row r="84" spans="1:46" hidden="1" x14ac:dyDescent="0.25">
      <c r="A84" s="41">
        <f>CASOPOInvCL!T84</f>
        <v>1</v>
      </c>
      <c r="B84" t="str">
        <f>CASOPOInvCL!Z84</f>
        <v>SO16475</v>
      </c>
      <c r="G84" s="5" t="str">
        <f>CASOPOInvCL!I84</f>
        <v>Ian Trottier</v>
      </c>
      <c r="H84" s="31">
        <f>CASOPOInvCL!U84</f>
        <v>1</v>
      </c>
      <c r="I84" s="31">
        <f>CASOPOInvCL!V84</f>
        <v>2025</v>
      </c>
      <c r="J84" s="5" t="str">
        <f>CASOPOInvCL!AB84</f>
        <v>INV12776</v>
      </c>
      <c r="K84" s="31">
        <f>CASOPOInvCL!W84</f>
        <v>4</v>
      </c>
      <c r="L84" s="31">
        <f>CASOPOInvCL!X84</f>
        <v>2025</v>
      </c>
      <c r="M84" s="31"/>
      <c r="N84" s="5" t="str">
        <f>CASOPOInvCL!AF84</f>
        <v>Motion Industries Inc. (Canada) - Winnipeg</v>
      </c>
      <c r="O84" s="16" t="str">
        <f>CASOPOInvCL!AG84</f>
        <v>CAD</v>
      </c>
      <c r="P84" s="16">
        <f>CASOPOInvCL!AH84</f>
        <v>5107.37</v>
      </c>
      <c r="Q84" s="16">
        <f>CASOPOInvCL!AI84</f>
        <v>3547.9781350254661</v>
      </c>
      <c r="R84" s="32" t="str">
        <f>CASOPOInvCL!AU84</f>
        <v>Yes</v>
      </c>
      <c r="S84" s="16">
        <f>CASOPOInvCL!AV84</f>
        <v>0</v>
      </c>
      <c r="T84" s="16">
        <f>CASOPOInvCL!AW84</f>
        <v>3547.9781350254661</v>
      </c>
      <c r="Y84" s="29" t="str">
        <f>IFERROR(HLOOKUP(U84,List!$D$2:$H$6,2,FALSE),"")</f>
        <v/>
      </c>
      <c r="Z84" s="29" t="str">
        <f>IFERROR(HLOOKUP(V84,List!$D$2:$H$6,3,FALSE),"")</f>
        <v/>
      </c>
      <c r="AA84" s="29" t="str">
        <f>IFERROR(HLOOKUP(W84,List!$D$2:$H$6,4,FALSE),"")</f>
        <v/>
      </c>
      <c r="AB84" s="29" t="str">
        <f>IFERROR(HLOOKUP(X84,List!$D$2:$H$6,5,FALSE),"")</f>
        <v/>
      </c>
      <c r="AC84" s="12" t="str">
        <f t="shared" si="15"/>
        <v/>
      </c>
      <c r="AD84" s="12" t="str">
        <f t="shared" si="16"/>
        <v/>
      </c>
      <c r="AE84" s="12" t="str">
        <f t="shared" si="17"/>
        <v/>
      </c>
      <c r="AF84" s="12" t="str">
        <f t="shared" si="18"/>
        <v/>
      </c>
      <c r="AG84" t="str">
        <f>VLOOKUP(J84,'Receivable Invoice Detail'!$A$1:F3096,6,FALSE)</f>
        <v>[WO-2113808-183] Stuffing Box Head, Worthington FRB, FRBH 14(15)" Frame 2, CD4MCu</v>
      </c>
      <c r="AH84" s="12">
        <f t="shared" si="14"/>
        <v>0</v>
      </c>
      <c r="AM84" s="12" t="str">
        <f t="shared" si="19"/>
        <v/>
      </c>
      <c r="AN84" s="12" t="str">
        <f t="shared" si="20"/>
        <v/>
      </c>
      <c r="AO84" s="12" t="str">
        <f t="shared" si="21"/>
        <v/>
      </c>
      <c r="AP84" s="12" t="str">
        <f t="shared" si="22"/>
        <v/>
      </c>
      <c r="AQ84" s="12"/>
      <c r="AS84" s="12">
        <f t="shared" si="23"/>
        <v>53.219672025381989</v>
      </c>
      <c r="AT84" s="16" t="str">
        <f t="shared" si="24"/>
        <v>Yes</v>
      </c>
    </row>
    <row r="85" spans="1:46" hidden="1" x14ac:dyDescent="0.25">
      <c r="A85" s="41">
        <f>CASOPOInvCL!T85</f>
        <v>2</v>
      </c>
      <c r="B85" t="str">
        <f>CASOPOInvCL!Z85</f>
        <v>SO16476</v>
      </c>
      <c r="G85" s="5" t="str">
        <f>CASOPOInvCL!I85</f>
        <v>Taylor Cook</v>
      </c>
      <c r="H85" s="31">
        <f>CASOPOInvCL!U85</f>
        <v>1</v>
      </c>
      <c r="I85" s="31">
        <f>CASOPOInvCL!V85</f>
        <v>2025</v>
      </c>
      <c r="J85" s="5" t="str">
        <f>CASOPOInvCL!AB85</f>
        <v>INV12614</v>
      </c>
      <c r="K85" s="31">
        <f>CASOPOInvCL!W85</f>
        <v>3</v>
      </c>
      <c r="L85" s="31">
        <f>CASOPOInvCL!X85</f>
        <v>2025</v>
      </c>
      <c r="M85" s="31"/>
      <c r="N85" s="5" t="str">
        <f>CASOPOInvCL!AF85</f>
        <v>Canadian Bearings Ltd.</v>
      </c>
      <c r="O85" s="16" t="str">
        <f>CASOPOInvCL!AG85</f>
        <v>CAD</v>
      </c>
      <c r="P85" s="16">
        <f>CASOPOInvCL!AH85</f>
        <v>2121.09</v>
      </c>
      <c r="Q85" s="16">
        <f>CASOPOInvCL!AI85</f>
        <v>1473.666355725936</v>
      </c>
      <c r="R85" s="32" t="str">
        <f>CASOPOInvCL!AU85</f>
        <v>Yes</v>
      </c>
      <c r="S85" s="16">
        <f>CASOPOInvCL!AV85</f>
        <v>0</v>
      </c>
      <c r="T85" s="16">
        <f>CASOPOInvCL!AW85</f>
        <v>1473.666355725936</v>
      </c>
      <c r="Y85" s="29" t="str">
        <f>IFERROR(HLOOKUP(U85,List!$D$2:$H$6,2,FALSE),"")</f>
        <v/>
      </c>
      <c r="Z85" s="29" t="str">
        <f>IFERROR(HLOOKUP(V85,List!$D$2:$H$6,3,FALSE),"")</f>
        <v/>
      </c>
      <c r="AA85" s="29" t="str">
        <f>IFERROR(HLOOKUP(W85,List!$D$2:$H$6,4,FALSE),"")</f>
        <v/>
      </c>
      <c r="AB85" s="29" t="str">
        <f>IFERROR(HLOOKUP(X85,List!$D$2:$H$6,5,FALSE),"")</f>
        <v/>
      </c>
      <c r="AC85" s="12" t="str">
        <f t="shared" si="15"/>
        <v/>
      </c>
      <c r="AD85" s="12" t="str">
        <f t="shared" si="16"/>
        <v/>
      </c>
      <c r="AE85" s="12" t="str">
        <f t="shared" si="17"/>
        <v/>
      </c>
      <c r="AF85" s="12" t="str">
        <f t="shared" si="18"/>
        <v/>
      </c>
      <c r="AG85" t="str">
        <f>VLOOKUP(J85,'Receivable Invoice Detail'!$A$1:F3097,6,FALSE)</f>
        <v>[AC-98-233-017-003] Shaft Sleeve, PWO Frame 3&amp;4, 316SS</v>
      </c>
      <c r="AH85" s="12">
        <f t="shared" si="14"/>
        <v>0</v>
      </c>
      <c r="AM85" s="12" t="str">
        <f t="shared" si="19"/>
        <v/>
      </c>
      <c r="AN85" s="12" t="str">
        <f t="shared" si="20"/>
        <v/>
      </c>
      <c r="AO85" s="12" t="str">
        <f t="shared" si="21"/>
        <v/>
      </c>
      <c r="AP85" s="12" t="str">
        <f t="shared" si="22"/>
        <v/>
      </c>
      <c r="AQ85" s="12"/>
      <c r="AS85" s="12">
        <f t="shared" si="23"/>
        <v>22.10499533588904</v>
      </c>
      <c r="AT85" s="16" t="str">
        <f t="shared" si="24"/>
        <v>Yes</v>
      </c>
    </row>
    <row r="86" spans="1:46" hidden="1" x14ac:dyDescent="0.25">
      <c r="A86" s="41">
        <f>CASOPOInvCL!T86</f>
        <v>2</v>
      </c>
      <c r="B86" t="str">
        <f>CASOPOInvCL!Z86</f>
        <v>SO16476</v>
      </c>
      <c r="G86" s="5">
        <f>CASOPOInvCL!I86</f>
        <v>0</v>
      </c>
      <c r="H86" s="31">
        <f>CASOPOInvCL!U86</f>
        <v>1</v>
      </c>
      <c r="I86" s="31">
        <f>CASOPOInvCL!V86</f>
        <v>2025</v>
      </c>
      <c r="J86" s="5" t="str">
        <f>CASOPOInvCL!AB86</f>
        <v>INV12578</v>
      </c>
      <c r="K86" s="31">
        <f>CASOPOInvCL!W86</f>
        <v>3</v>
      </c>
      <c r="L86" s="31">
        <f>CASOPOInvCL!X86</f>
        <v>2025</v>
      </c>
      <c r="M86" s="31"/>
      <c r="N86" s="5" t="str">
        <f>CASOPOInvCL!AF86</f>
        <v>Canadian Bearings Ltd.</v>
      </c>
      <c r="O86" s="16" t="str">
        <f>CASOPOInvCL!AG86</f>
        <v>CAD</v>
      </c>
      <c r="P86" s="16">
        <f>CASOPOInvCL!AH86</f>
        <v>0</v>
      </c>
      <c r="Q86" s="16">
        <f>CASOPOInvCL!AI86</f>
        <v>0</v>
      </c>
      <c r="R86" s="32" t="str">
        <f>CASOPOInvCL!AU86</f>
        <v/>
      </c>
      <c r="S86" s="16">
        <f>CASOPOInvCL!AV86</f>
        <v>0</v>
      </c>
      <c r="T86" s="16">
        <f>CASOPOInvCL!AW86</f>
        <v>0</v>
      </c>
      <c r="Y86" s="29" t="str">
        <f>IFERROR(HLOOKUP(U86,List!$D$2:$H$6,2,FALSE),"")</f>
        <v/>
      </c>
      <c r="Z86" s="29" t="str">
        <f>IFERROR(HLOOKUP(V86,List!$D$2:$H$6,3,FALSE),"")</f>
        <v/>
      </c>
      <c r="AA86" s="29" t="str">
        <f>IFERROR(HLOOKUP(W86,List!$D$2:$H$6,4,FALSE),"")</f>
        <v/>
      </c>
      <c r="AB86" s="29" t="str">
        <f>IFERROR(HLOOKUP(X86,List!$D$2:$H$6,5,FALSE),"")</f>
        <v/>
      </c>
      <c r="AC86" s="12" t="str">
        <f t="shared" si="15"/>
        <v/>
      </c>
      <c r="AD86" s="12" t="str">
        <f t="shared" si="16"/>
        <v/>
      </c>
      <c r="AE86" s="12" t="str">
        <f t="shared" si="17"/>
        <v/>
      </c>
      <c r="AF86" s="12" t="str">
        <f t="shared" si="18"/>
        <v/>
      </c>
      <c r="AG86" t="str">
        <f>VLOOKUP(J86,'Receivable Invoice Detail'!$A$1:F3098,6,FALSE)</f>
        <v>[AC-98-430-807-163] Casing Gasket, 21", PWO Frame 3</v>
      </c>
      <c r="AH86" s="12">
        <f t="shared" si="14"/>
        <v>0</v>
      </c>
      <c r="AM86" s="12" t="str">
        <f t="shared" si="19"/>
        <v/>
      </c>
      <c r="AN86" s="12" t="str">
        <f t="shared" si="20"/>
        <v/>
      </c>
      <c r="AO86" s="12" t="str">
        <f t="shared" si="21"/>
        <v/>
      </c>
      <c r="AP86" s="12" t="str">
        <f t="shared" si="22"/>
        <v/>
      </c>
      <c r="AQ86" s="12"/>
      <c r="AS86" s="12">
        <f t="shared" si="23"/>
        <v>0</v>
      </c>
      <c r="AT86" s="16" t="str">
        <f t="shared" si="24"/>
        <v/>
      </c>
    </row>
    <row r="87" spans="1:46" hidden="1" x14ac:dyDescent="0.25">
      <c r="A87" s="41">
        <f>CASOPOInvCL!T87</f>
        <v>1</v>
      </c>
      <c r="B87" t="str">
        <f>CASOPOInvCL!Z87</f>
        <v>SO16477</v>
      </c>
      <c r="G87" s="5" t="str">
        <f>CASOPOInvCL!I87</f>
        <v>Taylor Cook</v>
      </c>
      <c r="H87" s="31">
        <f>CASOPOInvCL!U87</f>
        <v>1</v>
      </c>
      <c r="I87" s="31">
        <f>CASOPOInvCL!V87</f>
        <v>2025</v>
      </c>
      <c r="J87" s="5" t="str">
        <f>CASOPOInvCL!AB87</f>
        <v>INV12589</v>
      </c>
      <c r="K87" s="31">
        <f>CASOPOInvCL!W87</f>
        <v>3</v>
      </c>
      <c r="L87" s="31">
        <f>CASOPOInvCL!X87</f>
        <v>2025</v>
      </c>
      <c r="M87" s="31"/>
      <c r="N87" s="5" t="str">
        <f>CASOPOInvCL!AF87</f>
        <v>Canadian Industrial Pumps Ltd</v>
      </c>
      <c r="O87" s="16" t="str">
        <f>CASOPOInvCL!AG87</f>
        <v>CAD</v>
      </c>
      <c r="P87" s="16">
        <f>CASOPOInvCL!AH87</f>
        <v>2779.84</v>
      </c>
      <c r="Q87" s="16">
        <f>CASOPOInvCL!AI87</f>
        <v>1931.093995318372</v>
      </c>
      <c r="R87" s="32" t="str">
        <f>CASOPOInvCL!AU87</f>
        <v>Yes</v>
      </c>
      <c r="S87" s="16">
        <f>CASOPOInvCL!AV87</f>
        <v>0</v>
      </c>
      <c r="T87" s="16">
        <f>CASOPOInvCL!AW87</f>
        <v>1931.093995318372</v>
      </c>
      <c r="Y87" s="29" t="str">
        <f>IFERROR(HLOOKUP(U87,List!$D$2:$H$6,2,FALSE),"")</f>
        <v/>
      </c>
      <c r="Z87" s="29" t="str">
        <f>IFERROR(HLOOKUP(V87,List!$D$2:$H$6,3,FALSE),"")</f>
        <v/>
      </c>
      <c r="AA87" s="29" t="str">
        <f>IFERROR(HLOOKUP(W87,List!$D$2:$H$6,4,FALSE),"")</f>
        <v/>
      </c>
      <c r="AB87" s="29" t="str">
        <f>IFERROR(HLOOKUP(X87,List!$D$2:$H$6,5,FALSE),"")</f>
        <v/>
      </c>
      <c r="AC87" s="12" t="str">
        <f t="shared" si="15"/>
        <v/>
      </c>
      <c r="AD87" s="12" t="str">
        <f t="shared" si="16"/>
        <v/>
      </c>
      <c r="AE87" s="12" t="str">
        <f t="shared" si="17"/>
        <v/>
      </c>
      <c r="AF87" s="12" t="str">
        <f t="shared" si="18"/>
        <v/>
      </c>
      <c r="AG87" t="str">
        <f>VLOOKUP(J87,'Receivable Invoice Detail'!$A$1:F3099,6,FALSE)</f>
        <v>[AC-98-236-104-004] Shaft Sleeve, 8x6-18 &amp; 10x8-21 SRL-C, 420SS Heat Treated, Hardened</v>
      </c>
      <c r="AH87" s="12">
        <f t="shared" si="14"/>
        <v>0</v>
      </c>
      <c r="AM87" s="12" t="str">
        <f t="shared" si="19"/>
        <v/>
      </c>
      <c r="AN87" s="12" t="str">
        <f t="shared" si="20"/>
        <v/>
      </c>
      <c r="AO87" s="12" t="str">
        <f t="shared" si="21"/>
        <v/>
      </c>
      <c r="AP87" s="12" t="str">
        <f t="shared" si="22"/>
        <v/>
      </c>
      <c r="AQ87" s="12"/>
      <c r="AS87" s="12">
        <f t="shared" si="23"/>
        <v>28.96640992977558</v>
      </c>
      <c r="AT87" s="16" t="str">
        <f t="shared" si="24"/>
        <v>Yes</v>
      </c>
    </row>
    <row r="88" spans="1:46" hidden="1" x14ac:dyDescent="0.25">
      <c r="A88" s="41">
        <f>CASOPOInvCL!T88</f>
        <v>1</v>
      </c>
      <c r="B88" t="str">
        <f>CASOPOInvCL!Z88</f>
        <v>SO16479</v>
      </c>
      <c r="D88" t="s">
        <v>5938</v>
      </c>
      <c r="G88" s="5" t="str">
        <f>CASOPOInvCL!I88</f>
        <v>Marlen Martinez</v>
      </c>
      <c r="H88" s="31">
        <f>CASOPOInvCL!U88</f>
        <v>1</v>
      </c>
      <c r="I88" s="31">
        <f>CASOPOInvCL!V88</f>
        <v>2025</v>
      </c>
      <c r="J88" s="5" t="str">
        <f>CASOPOInvCL!AB88</f>
        <v>INV12599</v>
      </c>
      <c r="K88" s="31">
        <f>CASOPOInvCL!W88</f>
        <v>5</v>
      </c>
      <c r="L88" s="31">
        <f>CASOPOInvCL!X88</f>
        <v>2025</v>
      </c>
      <c r="M88" s="31"/>
      <c r="N88" s="5" t="str">
        <f>CASOPOInvCL!AF88</f>
        <v>Covia Corp - Junction City</v>
      </c>
      <c r="O88" s="16" t="str">
        <f>CASOPOInvCL!AG88</f>
        <v>USD</v>
      </c>
      <c r="P88" s="16">
        <f>CASOPOInvCL!AH88</f>
        <v>6792.4946429303927</v>
      </c>
      <c r="Q88" s="16">
        <f>CASOPOInvCL!AI88</f>
        <v>4730</v>
      </c>
      <c r="R88" s="32" t="str">
        <f>CASOPOInvCL!AU88</f>
        <v>Yes</v>
      </c>
      <c r="S88" s="16">
        <f>CASOPOInvCL!AV88</f>
        <v>775</v>
      </c>
      <c r="T88" s="16">
        <f>CASOPOInvCL!AW88</f>
        <v>3955</v>
      </c>
      <c r="Y88" s="29" t="str">
        <f>IFERROR(HLOOKUP(U88,List!$D$2:$H$6,2,FALSE),"")</f>
        <v/>
      </c>
      <c r="Z88" s="29" t="str">
        <f>IFERROR(HLOOKUP(V88,List!$D$2:$H$6,3,FALSE),"")</f>
        <v/>
      </c>
      <c r="AA88" s="29" t="str">
        <f>IFERROR(HLOOKUP(W88,List!$D$2:$H$6,4,FALSE),"")</f>
        <v/>
      </c>
      <c r="AB88" s="29" t="str">
        <f>IFERROR(HLOOKUP(X88,List!$D$2:$H$6,5,FALSE),"")</f>
        <v/>
      </c>
      <c r="AC88" s="12" t="str">
        <f t="shared" si="15"/>
        <v/>
      </c>
      <c r="AD88" s="12" t="str">
        <f t="shared" si="16"/>
        <v/>
      </c>
      <c r="AE88" s="12" t="str">
        <f t="shared" si="17"/>
        <v/>
      </c>
      <c r="AF88" s="12" t="str">
        <f t="shared" si="18"/>
        <v/>
      </c>
      <c r="AG88" t="str">
        <f>VLOOKUP(J88,'Receivable Invoice Detail'!$A$1:F3100,6,FALSE)</f>
        <v>105825/0003 Impeller, 300 RSL, High Chrome, 5-Vane</v>
      </c>
      <c r="AH88" s="12">
        <f t="shared" si="14"/>
        <v>0</v>
      </c>
      <c r="AM88" s="12" t="str">
        <f t="shared" si="19"/>
        <v/>
      </c>
      <c r="AN88" s="12" t="str">
        <f t="shared" si="20"/>
        <v/>
      </c>
      <c r="AO88" s="12" t="str">
        <f t="shared" si="21"/>
        <v/>
      </c>
      <c r="AP88" s="12" t="str">
        <f t="shared" si="22"/>
        <v/>
      </c>
      <c r="AQ88" s="64">
        <f>M88</f>
        <v>0</v>
      </c>
      <c r="AR88" t="s">
        <v>5939</v>
      </c>
      <c r="AS88" s="12">
        <f t="shared" si="23"/>
        <v>59.324999999999996</v>
      </c>
      <c r="AT88" s="16" t="str">
        <f t="shared" si="24"/>
        <v>Yes</v>
      </c>
    </row>
    <row r="89" spans="1:46" hidden="1" x14ac:dyDescent="0.25">
      <c r="A89" s="41">
        <f>CASOPOInvCL!T89</f>
        <v>1</v>
      </c>
      <c r="B89" t="str">
        <f>CASOPOInvCL!Z89</f>
        <v>SO16481</v>
      </c>
      <c r="G89" s="5" t="str">
        <f>CASOPOInvCL!I89</f>
        <v>Taylor Cook</v>
      </c>
      <c r="H89" s="31">
        <f>CASOPOInvCL!U89</f>
        <v>1</v>
      </c>
      <c r="I89" s="31">
        <f>CASOPOInvCL!V89</f>
        <v>2025</v>
      </c>
      <c r="J89" s="5" t="str">
        <f>CASOPOInvCL!AB89</f>
        <v>INV12566</v>
      </c>
      <c r="K89" s="31">
        <f>CASOPOInvCL!W89</f>
        <v>3</v>
      </c>
      <c r="L89" s="31">
        <f>CASOPOInvCL!X89</f>
        <v>2025</v>
      </c>
      <c r="M89" s="31"/>
      <c r="N89" s="5" t="str">
        <f>CASOPOInvCL!AF89</f>
        <v>Wajax Limited - Val D'Or, Composants Industriels Wajax SC -57</v>
      </c>
      <c r="O89" s="16" t="str">
        <f>CASOPOInvCL!AG89</f>
        <v>CAD</v>
      </c>
      <c r="P89" s="16">
        <f>CASOPOInvCL!AH89</f>
        <v>228.6</v>
      </c>
      <c r="Q89" s="16">
        <f>CASOPOInvCL!AI89</f>
        <v>159.45128853406686</v>
      </c>
      <c r="R89" s="32" t="str">
        <f>CASOPOInvCL!AU89</f>
        <v>Yes</v>
      </c>
      <c r="S89" s="16">
        <f>CASOPOInvCL!AV89</f>
        <v>0</v>
      </c>
      <c r="T89" s="16">
        <f>CASOPOInvCL!AW89</f>
        <v>159.45128853406686</v>
      </c>
      <c r="Y89" s="29" t="str">
        <f>IFERROR(HLOOKUP(U89,List!$D$2:$H$6,2,FALSE),"")</f>
        <v/>
      </c>
      <c r="Z89" s="29" t="str">
        <f>IFERROR(HLOOKUP(V89,List!$D$2:$H$6,3,FALSE),"")</f>
        <v/>
      </c>
      <c r="AA89" s="29" t="str">
        <f>IFERROR(HLOOKUP(W89,List!$D$2:$H$6,4,FALSE),"")</f>
        <v/>
      </c>
      <c r="AB89" s="29" t="str">
        <f>IFERROR(HLOOKUP(X89,List!$D$2:$H$6,5,FALSE),"")</f>
        <v/>
      </c>
      <c r="AC89" s="12" t="str">
        <f t="shared" si="15"/>
        <v/>
      </c>
      <c r="AD89" s="12" t="str">
        <f t="shared" si="16"/>
        <v/>
      </c>
      <c r="AE89" s="12" t="str">
        <f t="shared" si="17"/>
        <v/>
      </c>
      <c r="AF89" s="12" t="str">
        <f t="shared" si="18"/>
        <v/>
      </c>
      <c r="AG89" t="str">
        <f>VLOOKUP(J89,'Receivable Invoice Detail'!$A$1:F3101,6,FALSE)</f>
        <v>[G-D04872A 1000] Thrust Bearing Housing, 3196 MTX, Cast Iron</v>
      </c>
      <c r="AH89" s="12">
        <f t="shared" si="14"/>
        <v>0</v>
      </c>
      <c r="AM89" s="12" t="str">
        <f t="shared" si="19"/>
        <v/>
      </c>
      <c r="AN89" s="12" t="str">
        <f t="shared" si="20"/>
        <v/>
      </c>
      <c r="AO89" s="12" t="str">
        <f t="shared" si="21"/>
        <v/>
      </c>
      <c r="AP89" s="12" t="str">
        <f t="shared" si="22"/>
        <v/>
      </c>
      <c r="AQ89" s="12"/>
      <c r="AS89" s="12">
        <f t="shared" si="23"/>
        <v>2.3917693280110028</v>
      </c>
      <c r="AT89" s="16" t="str">
        <f t="shared" si="24"/>
        <v>Yes</v>
      </c>
    </row>
    <row r="90" spans="1:46" hidden="1" x14ac:dyDescent="0.25">
      <c r="A90" s="41">
        <f>CASOPOInvCL!T90</f>
        <v>1</v>
      </c>
      <c r="B90" t="str">
        <f>CASOPOInvCL!Z90</f>
        <v>SO16482</v>
      </c>
      <c r="G90" s="5" t="str">
        <f>CASOPOInvCL!I90</f>
        <v>Ian Trottier</v>
      </c>
      <c r="H90" s="31">
        <f>CASOPOInvCL!U90</f>
        <v>1</v>
      </c>
      <c r="I90" s="31">
        <f>CASOPOInvCL!V90</f>
        <v>2025</v>
      </c>
      <c r="J90" s="5" t="str">
        <f>CASOPOInvCL!AB90</f>
        <v>INV12564</v>
      </c>
      <c r="K90" s="31">
        <f>CASOPOInvCL!W90</f>
        <v>4</v>
      </c>
      <c r="L90" s="31">
        <f>CASOPOInvCL!X90</f>
        <v>2025</v>
      </c>
      <c r="M90" s="31"/>
      <c r="N90" s="5" t="str">
        <f>CASOPOInvCL!AF90</f>
        <v>Cartledge &amp; Associates Inc.</v>
      </c>
      <c r="O90" s="16" t="str">
        <f>CASOPOInvCL!AG90</f>
        <v>USD</v>
      </c>
      <c r="P90" s="16">
        <f>CASOPOInvCL!AH90</f>
        <v>3298.8116424963114</v>
      </c>
      <c r="Q90" s="16">
        <f>CASOPOInvCL!AI90</f>
        <v>2297.15</v>
      </c>
      <c r="R90" s="32" t="str">
        <f>CASOPOInvCL!AU90</f>
        <v>Yes</v>
      </c>
      <c r="S90" s="16">
        <f>CASOPOInvCL!AV90</f>
        <v>499</v>
      </c>
      <c r="T90" s="16">
        <f>CASOPOInvCL!AW90</f>
        <v>1798.15</v>
      </c>
      <c r="Y90" s="29" t="str">
        <f>IFERROR(HLOOKUP(U90,List!$D$2:$H$6,2,FALSE),"")</f>
        <v/>
      </c>
      <c r="Z90" s="29" t="str">
        <f>IFERROR(HLOOKUP(V90,List!$D$2:$H$6,3,FALSE),"")</f>
        <v/>
      </c>
      <c r="AA90" s="29" t="str">
        <f>IFERROR(HLOOKUP(W90,List!$D$2:$H$6,4,FALSE),"")</f>
        <v/>
      </c>
      <c r="AB90" s="29" t="str">
        <f>IFERROR(HLOOKUP(X90,List!$D$2:$H$6,5,FALSE),"")</f>
        <v/>
      </c>
      <c r="AC90" s="12" t="str">
        <f t="shared" si="15"/>
        <v/>
      </c>
      <c r="AD90" s="12" t="str">
        <f t="shared" si="16"/>
        <v/>
      </c>
      <c r="AE90" s="12" t="str">
        <f t="shared" si="17"/>
        <v/>
      </c>
      <c r="AF90" s="12" t="str">
        <f t="shared" si="18"/>
        <v/>
      </c>
      <c r="AG90" t="str">
        <f>VLOOKUP(J90,'Receivable Invoice Detail'!$A$1:F3102,6,FALSE)</f>
        <v>[504889] Impeller, 8x6, Denver SRL, Natural Rubber</v>
      </c>
      <c r="AH90" s="12">
        <f t="shared" si="14"/>
        <v>0</v>
      </c>
      <c r="AM90" s="12" t="str">
        <f t="shared" si="19"/>
        <v/>
      </c>
      <c r="AN90" s="12" t="str">
        <f t="shared" si="20"/>
        <v/>
      </c>
      <c r="AO90" s="12" t="str">
        <f t="shared" si="21"/>
        <v/>
      </c>
      <c r="AP90" s="12" t="str">
        <f t="shared" si="22"/>
        <v/>
      </c>
      <c r="AQ90" s="12"/>
      <c r="AS90" s="12">
        <f t="shared" si="23"/>
        <v>26.972249999999999</v>
      </c>
      <c r="AT90" s="16" t="str">
        <f t="shared" si="24"/>
        <v>Yes</v>
      </c>
    </row>
    <row r="91" spans="1:46" hidden="1" x14ac:dyDescent="0.25">
      <c r="A91" s="41">
        <f>CASOPOInvCL!T91</f>
        <v>1</v>
      </c>
      <c r="B91" t="str">
        <f>CASOPOInvCL!Z91</f>
        <v>SO16485</v>
      </c>
      <c r="G91" s="5" t="str">
        <f>CASOPOInvCL!I91</f>
        <v>Ian Trottier</v>
      </c>
      <c r="H91" s="31">
        <f>CASOPOInvCL!U91</f>
        <v>1</v>
      </c>
      <c r="I91" s="31">
        <f>CASOPOInvCL!V91</f>
        <v>2025</v>
      </c>
      <c r="J91" s="5" t="str">
        <f>CASOPOInvCL!AB91</f>
        <v>INV12686</v>
      </c>
      <c r="K91" s="31">
        <f>CASOPOInvCL!W91</f>
        <v>4</v>
      </c>
      <c r="L91" s="31">
        <f>CASOPOInvCL!X91</f>
        <v>2025</v>
      </c>
      <c r="M91" s="31"/>
      <c r="N91" s="5" t="str">
        <f>CASOPOInvCL!AF91</f>
        <v>Les Pompes du St-Laurent Inc.</v>
      </c>
      <c r="O91" s="16" t="str">
        <f>CASOPOInvCL!AG91</f>
        <v>CAD</v>
      </c>
      <c r="P91" s="16">
        <f>CASOPOInvCL!AH91</f>
        <v>1914.28</v>
      </c>
      <c r="Q91" s="16">
        <f>CASOPOInvCL!AI91</f>
        <v>1345.2145965349255</v>
      </c>
      <c r="R91" s="32" t="str">
        <f>CASOPOInvCL!AU91</f>
        <v>Yes</v>
      </c>
      <c r="S91" s="16">
        <f>CASOPOInvCL!AV91</f>
        <v>0</v>
      </c>
      <c r="T91" s="16">
        <f>CASOPOInvCL!AW91</f>
        <v>1345.2145965349255</v>
      </c>
      <c r="Y91" s="29" t="str">
        <f>IFERROR(HLOOKUP(U91,List!$D$2:$H$6,2,FALSE),"")</f>
        <v/>
      </c>
      <c r="Z91" s="29" t="str">
        <f>IFERROR(HLOOKUP(V91,List!$D$2:$H$6,3,FALSE),"")</f>
        <v/>
      </c>
      <c r="AA91" s="29" t="str">
        <f>IFERROR(HLOOKUP(W91,List!$D$2:$H$6,4,FALSE),"")</f>
        <v/>
      </c>
      <c r="AB91" s="29" t="str">
        <f>IFERROR(HLOOKUP(X91,List!$D$2:$H$6,5,FALSE),"")</f>
        <v/>
      </c>
      <c r="AC91" s="12" t="str">
        <f t="shared" si="15"/>
        <v/>
      </c>
      <c r="AD91" s="12" t="str">
        <f t="shared" si="16"/>
        <v/>
      </c>
      <c r="AE91" s="12" t="str">
        <f t="shared" si="17"/>
        <v/>
      </c>
      <c r="AF91" s="12" t="str">
        <f t="shared" si="18"/>
        <v/>
      </c>
      <c r="AG91" t="str">
        <f>VLOOKUP(J91,'Receivable Invoice Detail'!$A$1:F3103,6,FALSE)</f>
        <v>[G-RC03239A 2249] Shaft Assembly, 3180-M, Alloy Steel 4340, w/Key, Locknut &amp; Lockwasher</v>
      </c>
      <c r="AH91" s="12">
        <f t="shared" si="14"/>
        <v>0</v>
      </c>
      <c r="AM91" s="12" t="str">
        <f t="shared" si="19"/>
        <v/>
      </c>
      <c r="AN91" s="12" t="str">
        <f t="shared" si="20"/>
        <v/>
      </c>
      <c r="AO91" s="12" t="str">
        <f t="shared" si="21"/>
        <v/>
      </c>
      <c r="AP91" s="12" t="str">
        <f t="shared" si="22"/>
        <v/>
      </c>
      <c r="AQ91" s="12"/>
      <c r="AS91" s="12">
        <f t="shared" si="23"/>
        <v>20.178218948023883</v>
      </c>
      <c r="AT91" s="16" t="str">
        <f t="shared" si="24"/>
        <v>Yes</v>
      </c>
    </row>
    <row r="92" spans="1:46" hidden="1" x14ac:dyDescent="0.25">
      <c r="A92" s="41">
        <f>CASOPOInvCL!T92</f>
        <v>1</v>
      </c>
      <c r="B92" t="str">
        <f>CASOPOInvCL!Z92</f>
        <v>SO16486</v>
      </c>
      <c r="G92" s="5" t="str">
        <f>CASOPOInvCL!I92</f>
        <v>Ian Trottier</v>
      </c>
      <c r="H92" s="31">
        <f>CASOPOInvCL!U92</f>
        <v>1</v>
      </c>
      <c r="I92" s="31">
        <f>CASOPOInvCL!V92</f>
        <v>2025</v>
      </c>
      <c r="J92" s="5" t="str">
        <f>CASOPOInvCL!AB92</f>
        <v>INV12573</v>
      </c>
      <c r="K92" s="31">
        <f>CASOPOInvCL!W92</f>
        <v>3</v>
      </c>
      <c r="L92" s="31">
        <f>CASOPOInvCL!X92</f>
        <v>2025</v>
      </c>
      <c r="M92" s="31"/>
      <c r="N92" s="5" t="str">
        <f>CASOPOInvCL!AF92</f>
        <v>Sealtrac Inc.</v>
      </c>
      <c r="O92" s="16" t="str">
        <f>CASOPOInvCL!AG92</f>
        <v>CAD</v>
      </c>
      <c r="P92" s="16">
        <f>CASOPOInvCL!AH92</f>
        <v>818.44</v>
      </c>
      <c r="Q92" s="16">
        <f>CASOPOInvCL!AI92</f>
        <v>568.7505281179574</v>
      </c>
      <c r="R92" s="32" t="str">
        <f>CASOPOInvCL!AU92</f>
        <v>Yes</v>
      </c>
      <c r="S92" s="16">
        <f>CASOPOInvCL!AV92</f>
        <v>0</v>
      </c>
      <c r="T92" s="16">
        <f>CASOPOInvCL!AW92</f>
        <v>568.7505281179574</v>
      </c>
      <c r="Y92" s="29" t="str">
        <f>IFERROR(HLOOKUP(U92,List!$D$2:$H$6,2,FALSE),"")</f>
        <v/>
      </c>
      <c r="Z92" s="29" t="str">
        <f>IFERROR(HLOOKUP(V92,List!$D$2:$H$6,3,FALSE),"")</f>
        <v/>
      </c>
      <c r="AA92" s="29" t="str">
        <f>IFERROR(HLOOKUP(W92,List!$D$2:$H$6,4,FALSE),"")</f>
        <v/>
      </c>
      <c r="AB92" s="29" t="str">
        <f>IFERROR(HLOOKUP(X92,List!$D$2:$H$6,5,FALSE),"")</f>
        <v/>
      </c>
      <c r="AC92" s="12" t="str">
        <f t="shared" si="15"/>
        <v/>
      </c>
      <c r="AD92" s="12" t="str">
        <f t="shared" si="16"/>
        <v/>
      </c>
      <c r="AE92" s="12" t="str">
        <f t="shared" si="17"/>
        <v/>
      </c>
      <c r="AF92" s="12" t="str">
        <f t="shared" si="18"/>
        <v/>
      </c>
      <c r="AG92" t="str">
        <f>VLOOKUP(J92,'Receivable Invoice Detail'!$A$1:F3104,6,FALSE)</f>
        <v>[DU-CY50682AA-316] Shaft (Solid), Durco Mark 3 Group 1, 316SS</v>
      </c>
      <c r="AH92" s="12">
        <f t="shared" si="14"/>
        <v>0</v>
      </c>
      <c r="AM92" s="12" t="str">
        <f t="shared" si="19"/>
        <v/>
      </c>
      <c r="AN92" s="12" t="str">
        <f t="shared" si="20"/>
        <v/>
      </c>
      <c r="AO92" s="12" t="str">
        <f t="shared" si="21"/>
        <v/>
      </c>
      <c r="AP92" s="12" t="str">
        <f t="shared" si="22"/>
        <v/>
      </c>
      <c r="AQ92" s="12"/>
      <c r="AS92" s="12">
        <f t="shared" si="23"/>
        <v>8.5312579217693614</v>
      </c>
      <c r="AT92" s="16" t="str">
        <f t="shared" si="24"/>
        <v>Yes</v>
      </c>
    </row>
    <row r="93" spans="1:46" hidden="1" x14ac:dyDescent="0.25">
      <c r="A93" s="41">
        <f>CASOPOInvCL!T93</f>
        <v>1</v>
      </c>
      <c r="B93" t="str">
        <f>CASOPOInvCL!Z93</f>
        <v>SO16488</v>
      </c>
      <c r="G93" s="5" t="str">
        <f>CASOPOInvCL!I93</f>
        <v>Ian Trottier</v>
      </c>
      <c r="H93" s="31">
        <f>CASOPOInvCL!U93</f>
        <v>1</v>
      </c>
      <c r="I93" s="31">
        <f>CASOPOInvCL!V93</f>
        <v>2025</v>
      </c>
      <c r="J93" s="5" t="str">
        <f>CASOPOInvCL!AB93</f>
        <v>INV12568</v>
      </c>
      <c r="K93" s="31">
        <f>CASOPOInvCL!W93</f>
        <v>3</v>
      </c>
      <c r="L93" s="31">
        <f>CASOPOInvCL!X93</f>
        <v>2025</v>
      </c>
      <c r="M93" s="31"/>
      <c r="N93" s="5" t="str">
        <f>CASOPOInvCL!AF93</f>
        <v>Wajax Limited - Noranda, Wajax Limited - Noranda</v>
      </c>
      <c r="O93" s="16" t="str">
        <f>CASOPOInvCL!AG93</f>
        <v>CAD</v>
      </c>
      <c r="P93" s="16">
        <f>CASOPOInvCL!AH93</f>
        <v>1429.78</v>
      </c>
      <c r="Q93" s="16">
        <f>CASOPOInvCL!AI93</f>
        <v>997.28899090217874</v>
      </c>
      <c r="R93" s="32" t="str">
        <f>CASOPOInvCL!AU93</f>
        <v>Yes</v>
      </c>
      <c r="S93" s="16">
        <f>CASOPOInvCL!AV93</f>
        <v>0</v>
      </c>
      <c r="T93" s="16">
        <f>CASOPOInvCL!AW93</f>
        <v>997.28899090217874</v>
      </c>
      <c r="Y93" s="29" t="str">
        <f>IFERROR(HLOOKUP(U93,List!$D$2:$H$6,2,FALSE),"")</f>
        <v/>
      </c>
      <c r="Z93" s="29" t="str">
        <f>IFERROR(HLOOKUP(V93,List!$D$2:$H$6,3,FALSE),"")</f>
        <v/>
      </c>
      <c r="AA93" s="29" t="str">
        <f>IFERROR(HLOOKUP(W93,List!$D$2:$H$6,4,FALSE),"")</f>
        <v/>
      </c>
      <c r="AB93" s="29" t="str">
        <f>IFERROR(HLOOKUP(X93,List!$D$2:$H$6,5,FALSE),"")</f>
        <v/>
      </c>
      <c r="AC93" s="12" t="str">
        <f t="shared" si="15"/>
        <v/>
      </c>
      <c r="AD93" s="12" t="str">
        <f t="shared" si="16"/>
        <v/>
      </c>
      <c r="AE93" s="12" t="str">
        <f t="shared" si="17"/>
        <v/>
      </c>
      <c r="AF93" s="12" t="str">
        <f t="shared" si="18"/>
        <v/>
      </c>
      <c r="AG93" t="str">
        <f>VLOOKUP(J93,'Receivable Invoice Detail'!$A$1:F3105,6,FALSE)</f>
        <v>[AC-98-431-884-001] Suction Side Casing, 2x2-10 SRL, Cast Iron</v>
      </c>
      <c r="AH93" s="12">
        <f t="shared" si="14"/>
        <v>0</v>
      </c>
      <c r="AM93" s="12" t="str">
        <f t="shared" si="19"/>
        <v/>
      </c>
      <c r="AN93" s="12" t="str">
        <f t="shared" si="20"/>
        <v/>
      </c>
      <c r="AO93" s="12" t="str">
        <f t="shared" si="21"/>
        <v/>
      </c>
      <c r="AP93" s="12" t="str">
        <f t="shared" si="22"/>
        <v/>
      </c>
      <c r="AQ93" s="12"/>
      <c r="AS93" s="12">
        <f t="shared" si="23"/>
        <v>14.95933486353268</v>
      </c>
      <c r="AT93" s="16" t="str">
        <f t="shared" si="24"/>
        <v>Yes</v>
      </c>
    </row>
    <row r="94" spans="1:46" hidden="1" x14ac:dyDescent="0.25">
      <c r="A94" s="41">
        <f>CASOPOInvCL!T94</f>
        <v>1</v>
      </c>
      <c r="B94" t="str">
        <f>CASOPOInvCL!Z94</f>
        <v>SO16492</v>
      </c>
      <c r="D94" t="s">
        <v>5925</v>
      </c>
      <c r="G94" s="5" t="str">
        <f>CASOPOInvCL!I94</f>
        <v>Ian Trottier</v>
      </c>
      <c r="H94" s="31">
        <f>CASOPOInvCL!U94</f>
        <v>1</v>
      </c>
      <c r="I94" s="31">
        <f>CASOPOInvCL!V94</f>
        <v>2025</v>
      </c>
      <c r="J94" s="5" t="str">
        <f>CASOPOInvCL!AB94</f>
        <v>INV13050</v>
      </c>
      <c r="K94" s="31">
        <f>CASOPOInvCL!W94</f>
        <v>8</v>
      </c>
      <c r="L94" s="31">
        <f>CASOPOInvCL!X94</f>
        <v>2025</v>
      </c>
      <c r="M94">
        <v>2503</v>
      </c>
      <c r="N94" s="5" t="str">
        <f>CASOPOInvCL!AF94</f>
        <v>Resolute Forest Products - Saint-Felicien</v>
      </c>
      <c r="O94" s="16" t="str">
        <f>CASOPOInvCL!AG94</f>
        <v>CAD</v>
      </c>
      <c r="P94" s="16">
        <f>CASOPOInvCL!AH94</f>
        <v>796.11</v>
      </c>
      <c r="Q94" s="16">
        <f>CASOPOInvCL!AI94</f>
        <v>553.23295897070898</v>
      </c>
      <c r="R94" s="32" t="str">
        <f>CASOPOInvCL!AU94</f>
        <v>Yes</v>
      </c>
      <c r="S94" s="16">
        <f>CASOPOInvCL!AV94</f>
        <v>0</v>
      </c>
      <c r="T94" s="16">
        <f>CASOPOInvCL!AW94</f>
        <v>553.23295897070898</v>
      </c>
      <c r="V94" t="s">
        <v>5801</v>
      </c>
      <c r="Y94" s="29" t="str">
        <f>IFERROR(HLOOKUP(U94,List!$D$2:$H$6,2,FALSE),"")</f>
        <v/>
      </c>
      <c r="Z94" s="29">
        <f>IFERROR(HLOOKUP(V94,List!$D$2:$H$6,3,FALSE),"")</f>
        <v>0.02</v>
      </c>
      <c r="AA94" s="29" t="str">
        <f>IFERROR(HLOOKUP(W94,List!$D$2:$H$6,4,FALSE),"")</f>
        <v/>
      </c>
      <c r="AB94" s="29" t="str">
        <f>IFERROR(HLOOKUP(X94,List!$D$2:$H$6,5,FALSE),"")</f>
        <v/>
      </c>
      <c r="AC94" s="12" t="str">
        <f t="shared" si="15"/>
        <v/>
      </c>
      <c r="AD94" s="12">
        <f t="shared" si="16"/>
        <v>11.06465917941418</v>
      </c>
      <c r="AE94" s="12" t="str">
        <f t="shared" si="17"/>
        <v/>
      </c>
      <c r="AF94" s="12" t="str">
        <f t="shared" si="18"/>
        <v/>
      </c>
      <c r="AG94" t="str">
        <f>VLOOKUP(J94,'Receivable Invoice Detail'!$A$1:F3106,6,FALSE)</f>
        <v>[G-076794 1204] Impeller, 1.5x3-8, 3196 STX, Alloy 20, 5-Vane</v>
      </c>
      <c r="AH94" s="12">
        <f t="shared" si="14"/>
        <v>11.06465917941418</v>
      </c>
      <c r="AM94" s="12" t="str">
        <f t="shared" si="19"/>
        <v/>
      </c>
      <c r="AN94" s="12">
        <f t="shared" si="20"/>
        <v>11.06465917941418</v>
      </c>
      <c r="AO94" s="12" t="str">
        <f t="shared" si="21"/>
        <v/>
      </c>
      <c r="AP94" s="12" t="str">
        <f t="shared" si="22"/>
        <v/>
      </c>
      <c r="AQ94" s="64">
        <v>2503</v>
      </c>
      <c r="AR94" t="s">
        <v>5932</v>
      </c>
      <c r="AS94" s="12">
        <f t="shared" si="23"/>
        <v>8.2984943845606338</v>
      </c>
      <c r="AT94" s="16" t="str">
        <f t="shared" si="24"/>
        <v>Yes</v>
      </c>
    </row>
    <row r="95" spans="1:46" hidden="1" x14ac:dyDescent="0.25">
      <c r="A95" s="41">
        <f>CASOPOInvCL!T95</f>
        <v>1</v>
      </c>
      <c r="B95" t="str">
        <f>CASOPOInvCL!Z95</f>
        <v>SO16494</v>
      </c>
      <c r="G95" s="5" t="str">
        <f>CASOPOInvCL!I95</f>
        <v>Ian Trottier</v>
      </c>
      <c r="H95" s="31">
        <f>CASOPOInvCL!U95</f>
        <v>1</v>
      </c>
      <c r="I95" s="31">
        <f>CASOPOInvCL!V95</f>
        <v>2025</v>
      </c>
      <c r="J95" s="5" t="str">
        <f>CASOPOInvCL!AB95</f>
        <v>INV12567</v>
      </c>
      <c r="K95" s="31">
        <f>CASOPOInvCL!W95</f>
        <v>3</v>
      </c>
      <c r="L95" s="31">
        <f>CASOPOInvCL!X95</f>
        <v>2025</v>
      </c>
      <c r="M95" s="31"/>
      <c r="N95" s="5" t="str">
        <f>CASOPOInvCL!AF95</f>
        <v>DRN Industriel</v>
      </c>
      <c r="O95" s="16" t="str">
        <f>CASOPOInvCL!AG95</f>
        <v>CAD</v>
      </c>
      <c r="P95" s="16">
        <f>CASOPOInvCL!AH95</f>
        <v>1194.8699999999999</v>
      </c>
      <c r="Q95" s="16">
        <f>CASOPOInvCL!AI95</f>
        <v>833.43640039676484</v>
      </c>
      <c r="R95" s="32" t="str">
        <f>CASOPOInvCL!AU95</f>
        <v>Yes</v>
      </c>
      <c r="S95" s="16">
        <f>CASOPOInvCL!AV95</f>
        <v>0</v>
      </c>
      <c r="T95" s="16">
        <f>CASOPOInvCL!AW95</f>
        <v>833.43640039676484</v>
      </c>
      <c r="Y95" s="29" t="str">
        <f>IFERROR(HLOOKUP(U95,List!$D$2:$H$6,2,FALSE),"")</f>
        <v/>
      </c>
      <c r="Z95" s="29" t="str">
        <f>IFERROR(HLOOKUP(V95,List!$D$2:$H$6,3,FALSE),"")</f>
        <v/>
      </c>
      <c r="AA95" s="29" t="str">
        <f>IFERROR(HLOOKUP(W95,List!$D$2:$H$6,4,FALSE),"")</f>
        <v/>
      </c>
      <c r="AB95" s="29" t="str">
        <f>IFERROR(HLOOKUP(X95,List!$D$2:$H$6,5,FALSE),"")</f>
        <v/>
      </c>
      <c r="AC95" s="12" t="str">
        <f t="shared" si="15"/>
        <v/>
      </c>
      <c r="AD95" s="12" t="str">
        <f t="shared" si="16"/>
        <v/>
      </c>
      <c r="AE95" s="12" t="str">
        <f t="shared" si="17"/>
        <v/>
      </c>
      <c r="AF95" s="12" t="str">
        <f t="shared" si="18"/>
        <v/>
      </c>
      <c r="AG95" t="str">
        <f>VLOOKUP(J95,'Receivable Invoice Detail'!$A$1:F3107,6,FALSE)</f>
        <v>[AC-98-231-109-503] Gland Side Liner, 3x3-10 SRL-C, Neoprene</v>
      </c>
      <c r="AH95" s="12">
        <f t="shared" si="14"/>
        <v>0</v>
      </c>
      <c r="AM95" s="12" t="str">
        <f t="shared" si="19"/>
        <v/>
      </c>
      <c r="AN95" s="12" t="str">
        <f t="shared" si="20"/>
        <v/>
      </c>
      <c r="AO95" s="12" t="str">
        <f t="shared" si="21"/>
        <v/>
      </c>
      <c r="AP95" s="12" t="str">
        <f t="shared" si="22"/>
        <v/>
      </c>
      <c r="AQ95" s="12"/>
      <c r="AS95" s="12">
        <f t="shared" si="23"/>
        <v>12.501546005951472</v>
      </c>
      <c r="AT95" s="16" t="str">
        <f t="shared" si="24"/>
        <v>Yes</v>
      </c>
    </row>
    <row r="96" spans="1:46" hidden="1" x14ac:dyDescent="0.25">
      <c r="A96" s="41">
        <f>CASOPOInvCL!T96</f>
        <v>1</v>
      </c>
      <c r="B96" t="str">
        <f>CASOPOInvCL!Z96</f>
        <v>SO16495</v>
      </c>
      <c r="G96" s="5" t="str">
        <f>CASOPOInvCL!I96</f>
        <v>Taylor Cook</v>
      </c>
      <c r="H96" s="31">
        <f>CASOPOInvCL!U96</f>
        <v>1</v>
      </c>
      <c r="I96" s="31">
        <f>CASOPOInvCL!V96</f>
        <v>2025</v>
      </c>
      <c r="J96" s="5" t="str">
        <f>CASOPOInvCL!AB96</f>
        <v>INV12570</v>
      </c>
      <c r="K96" s="31">
        <f>CASOPOInvCL!W96</f>
        <v>2</v>
      </c>
      <c r="L96" s="31">
        <f>CASOPOInvCL!X96</f>
        <v>2025</v>
      </c>
      <c r="M96" s="31"/>
      <c r="N96" s="5" t="str">
        <f>CASOPOInvCL!AF96</f>
        <v>FMI Products</v>
      </c>
      <c r="O96" s="16" t="str">
        <f>CASOPOInvCL!AG96</f>
        <v>CAD</v>
      </c>
      <c r="P96" s="16">
        <f>CASOPOInvCL!AH96</f>
        <v>158.78</v>
      </c>
      <c r="Q96" s="16">
        <f>CASOPOInvCL!AI96</f>
        <v>110.33943704433959</v>
      </c>
      <c r="R96" s="32" t="str">
        <f>CASOPOInvCL!AU96</f>
        <v>Yes</v>
      </c>
      <c r="S96" s="16">
        <f>CASOPOInvCL!AV96</f>
        <v>0</v>
      </c>
      <c r="T96" s="16">
        <f>CASOPOInvCL!AW96</f>
        <v>110.33943704433959</v>
      </c>
      <c r="Y96" s="29" t="str">
        <f>IFERROR(HLOOKUP(U96,List!$D$2:$H$6,2,FALSE),"")</f>
        <v/>
      </c>
      <c r="Z96" s="29" t="str">
        <f>IFERROR(HLOOKUP(V96,List!$D$2:$H$6,3,FALSE),"")</f>
        <v/>
      </c>
      <c r="AA96" s="29" t="str">
        <f>IFERROR(HLOOKUP(W96,List!$D$2:$H$6,4,FALSE),"")</f>
        <v/>
      </c>
      <c r="AB96" s="29" t="str">
        <f>IFERROR(HLOOKUP(X96,List!$D$2:$H$6,5,FALSE),"")</f>
        <v/>
      </c>
      <c r="AC96" s="12" t="str">
        <f t="shared" si="15"/>
        <v/>
      </c>
      <c r="AD96" s="12" t="str">
        <f t="shared" si="16"/>
        <v/>
      </c>
      <c r="AE96" s="12" t="str">
        <f t="shared" si="17"/>
        <v/>
      </c>
      <c r="AF96" s="12" t="str">
        <f t="shared" si="18"/>
        <v/>
      </c>
      <c r="AG96" t="str">
        <f>VLOOKUP(J96,'Receivable Invoice Detail'!$A$1:F3108,6,FALSE)</f>
        <v>[G-R76293] Lantern Ring, 3196 MTX, Teflon</v>
      </c>
      <c r="AH96" s="12">
        <f t="shared" si="14"/>
        <v>0</v>
      </c>
      <c r="AM96" s="12" t="str">
        <f t="shared" si="19"/>
        <v/>
      </c>
      <c r="AN96" s="12" t="str">
        <f t="shared" si="20"/>
        <v/>
      </c>
      <c r="AO96" s="12" t="str">
        <f t="shared" si="21"/>
        <v/>
      </c>
      <c r="AP96" s="12" t="str">
        <f t="shared" si="22"/>
        <v/>
      </c>
      <c r="AQ96" s="12"/>
      <c r="AS96" s="12">
        <f t="shared" si="23"/>
        <v>1.6550915556650938</v>
      </c>
      <c r="AT96" s="16" t="str">
        <f t="shared" si="24"/>
        <v>Yes</v>
      </c>
    </row>
    <row r="97" spans="1:46" hidden="1" x14ac:dyDescent="0.25">
      <c r="A97" s="41">
        <f>CASOPOInvCL!T97</f>
        <v>2</v>
      </c>
      <c r="B97" t="str">
        <f>CASOPOInvCL!Z97</f>
        <v>SO16496</v>
      </c>
      <c r="G97" s="5" t="str">
        <f>CASOPOInvCL!I97</f>
        <v>Ian Trottier</v>
      </c>
      <c r="H97" s="31">
        <f>CASOPOInvCL!U97</f>
        <v>1</v>
      </c>
      <c r="I97" s="31">
        <f>CASOPOInvCL!V97</f>
        <v>2025</v>
      </c>
      <c r="J97" s="5" t="str">
        <f>CASOPOInvCL!AB97</f>
        <v>INV12596</v>
      </c>
      <c r="K97" s="31">
        <f>CASOPOInvCL!W97</f>
        <v>3</v>
      </c>
      <c r="L97" s="31">
        <f>CASOPOInvCL!X97</f>
        <v>2025</v>
      </c>
      <c r="M97" s="31"/>
      <c r="N97" s="5" t="str">
        <f>CASOPOInvCL!AF97</f>
        <v>ProPart Pompes du Canada 9425-4380 Quebec Inc</v>
      </c>
      <c r="O97" s="16" t="str">
        <f>CASOPOInvCL!AG97</f>
        <v>CAD</v>
      </c>
      <c r="P97" s="16">
        <f>CASOPOInvCL!AH97</f>
        <v>9500.83</v>
      </c>
      <c r="Q97" s="16">
        <f>CASOPOInvCL!AI97</f>
        <v>6602.3191438088716</v>
      </c>
      <c r="R97" s="32" t="str">
        <f>CASOPOInvCL!AU97</f>
        <v>Yes</v>
      </c>
      <c r="S97" s="16">
        <f>CASOPOInvCL!AV97</f>
        <v>0</v>
      </c>
      <c r="T97" s="16">
        <f>CASOPOInvCL!AW97</f>
        <v>6602.3191438088716</v>
      </c>
      <c r="Y97" s="29" t="str">
        <f>IFERROR(HLOOKUP(U97,List!$D$2:$H$6,2,FALSE),"")</f>
        <v/>
      </c>
      <c r="Z97" s="29" t="str">
        <f>IFERROR(HLOOKUP(V97,List!$D$2:$H$6,3,FALSE),"")</f>
        <v/>
      </c>
      <c r="AA97" s="29" t="str">
        <f>IFERROR(HLOOKUP(W97,List!$D$2:$H$6,4,FALSE),"")</f>
        <v/>
      </c>
      <c r="AB97" s="29" t="str">
        <f>IFERROR(HLOOKUP(X97,List!$D$2:$H$6,5,FALSE),"")</f>
        <v/>
      </c>
      <c r="AC97" s="12" t="str">
        <f t="shared" si="15"/>
        <v/>
      </c>
      <c r="AD97" s="12" t="str">
        <f t="shared" si="16"/>
        <v/>
      </c>
      <c r="AE97" s="12" t="str">
        <f t="shared" si="17"/>
        <v/>
      </c>
      <c r="AF97" s="12" t="str">
        <f t="shared" si="18"/>
        <v/>
      </c>
      <c r="AG97" t="str">
        <f>VLOOKUP(J97,'Receivable Invoice Detail'!$A$1:F3109,6,FALSE)</f>
        <v>[AC-98-231-135-501] Suction Side Plate, 10x8-21 SRL-C, Natural Rubber</v>
      </c>
      <c r="AH97" s="12">
        <f t="shared" si="14"/>
        <v>0</v>
      </c>
      <c r="AM97" s="12" t="str">
        <f t="shared" si="19"/>
        <v/>
      </c>
      <c r="AN97" s="12" t="str">
        <f t="shared" si="20"/>
        <v/>
      </c>
      <c r="AO97" s="12" t="str">
        <f t="shared" si="21"/>
        <v/>
      </c>
      <c r="AP97" s="12" t="str">
        <f t="shared" si="22"/>
        <v/>
      </c>
      <c r="AQ97" s="12"/>
      <c r="AS97" s="12">
        <f t="shared" si="23"/>
        <v>99.034787157133067</v>
      </c>
      <c r="AT97" s="16" t="str">
        <f t="shared" si="24"/>
        <v>Yes</v>
      </c>
    </row>
    <row r="98" spans="1:46" hidden="1" x14ac:dyDescent="0.25">
      <c r="A98" s="41">
        <f>CASOPOInvCL!T98</f>
        <v>2</v>
      </c>
      <c r="B98" t="str">
        <f>CASOPOInvCL!Z98</f>
        <v>SO16496</v>
      </c>
      <c r="G98" s="5">
        <f>CASOPOInvCL!I98</f>
        <v>0</v>
      </c>
      <c r="H98" s="31">
        <f>CASOPOInvCL!U98</f>
        <v>1</v>
      </c>
      <c r="I98" s="31">
        <f>CASOPOInvCL!V98</f>
        <v>2025</v>
      </c>
      <c r="J98" s="5" t="str">
        <f>CASOPOInvCL!AB98</f>
        <v>INV12620</v>
      </c>
      <c r="K98" s="31">
        <f>CASOPOInvCL!W98</f>
        <v>3</v>
      </c>
      <c r="L98" s="31">
        <f>CASOPOInvCL!X98</f>
        <v>2025</v>
      </c>
      <c r="M98" s="31"/>
      <c r="N98" s="5" t="str">
        <f>CASOPOInvCL!AF98</f>
        <v>ProPart Pompes du Canada 9425-4380 Quebec Inc</v>
      </c>
      <c r="O98" s="16" t="str">
        <f>CASOPOInvCL!AG98</f>
        <v>CAD</v>
      </c>
      <c r="P98" s="16">
        <f>CASOPOInvCL!AH98</f>
        <v>0</v>
      </c>
      <c r="Q98" s="16">
        <f>CASOPOInvCL!AI98</f>
        <v>0</v>
      </c>
      <c r="R98" s="32" t="str">
        <f>CASOPOInvCL!AU98</f>
        <v/>
      </c>
      <c r="S98" s="16">
        <f>CASOPOInvCL!AV98</f>
        <v>0</v>
      </c>
      <c r="T98" s="16">
        <f>CASOPOInvCL!AW98</f>
        <v>0</v>
      </c>
      <c r="Y98" s="29" t="str">
        <f>IFERROR(HLOOKUP(U98,List!$D$2:$H$6,2,FALSE),"")</f>
        <v/>
      </c>
      <c r="Z98" s="29" t="str">
        <f>IFERROR(HLOOKUP(V98,List!$D$2:$H$6,3,FALSE),"")</f>
        <v/>
      </c>
      <c r="AA98" s="29" t="str">
        <f>IFERROR(HLOOKUP(W98,List!$D$2:$H$6,4,FALSE),"")</f>
        <v/>
      </c>
      <c r="AB98" s="29" t="str">
        <f>IFERROR(HLOOKUP(X98,List!$D$2:$H$6,5,FALSE),"")</f>
        <v/>
      </c>
      <c r="AC98" s="12" t="str">
        <f t="shared" si="15"/>
        <v/>
      </c>
      <c r="AD98" s="12" t="str">
        <f t="shared" si="16"/>
        <v/>
      </c>
      <c r="AE98" s="12" t="str">
        <f t="shared" si="17"/>
        <v/>
      </c>
      <c r="AF98" s="12" t="str">
        <f t="shared" si="18"/>
        <v/>
      </c>
      <c r="AG98" t="str">
        <f>VLOOKUP(J98,'Receivable Invoice Detail'!$A$1:F3110,6,FALSE)</f>
        <v>[AC-98-233-404-001] Shaft Sleeve, 10x8-21 SRL-C (Old Style), Steel</v>
      </c>
      <c r="AH98" s="12">
        <f t="shared" si="14"/>
        <v>0</v>
      </c>
      <c r="AM98" s="12" t="str">
        <f t="shared" si="19"/>
        <v/>
      </c>
      <c r="AN98" s="12" t="str">
        <f t="shared" si="20"/>
        <v/>
      </c>
      <c r="AO98" s="12" t="str">
        <f t="shared" si="21"/>
        <v/>
      </c>
      <c r="AP98" s="12" t="str">
        <f t="shared" si="22"/>
        <v/>
      </c>
      <c r="AQ98" s="12"/>
      <c r="AS98" s="12">
        <f t="shared" si="23"/>
        <v>0</v>
      </c>
      <c r="AT98" s="16" t="str">
        <f t="shared" si="24"/>
        <v/>
      </c>
    </row>
    <row r="99" spans="1:46" hidden="1" x14ac:dyDescent="0.25">
      <c r="A99" s="41">
        <f>CASOPOInvCL!T99</f>
        <v>1</v>
      </c>
      <c r="B99" t="str">
        <f>CASOPOInvCL!Z99</f>
        <v>SO16497</v>
      </c>
      <c r="G99" s="5" t="str">
        <f>CASOPOInvCL!I99</f>
        <v>Ian Trottier</v>
      </c>
      <c r="H99" s="31">
        <f>CASOPOInvCL!U99</f>
        <v>1</v>
      </c>
      <c r="I99" s="31">
        <f>CASOPOInvCL!V99</f>
        <v>2025</v>
      </c>
      <c r="J99" s="5" t="str">
        <f>CASOPOInvCL!AB99</f>
        <v>INV12856</v>
      </c>
      <c r="K99" s="31">
        <f>CASOPOInvCL!W99</f>
        <v>6</v>
      </c>
      <c r="L99" s="31">
        <f>CASOPOInvCL!X99</f>
        <v>2025</v>
      </c>
      <c r="M99" s="31"/>
      <c r="N99" s="5" t="str">
        <f>CASOPOInvCL!AF99</f>
        <v>Tech-Flow</v>
      </c>
      <c r="O99" s="16" t="str">
        <f>CASOPOInvCL!AG99</f>
        <v>USD</v>
      </c>
      <c r="P99" s="16">
        <f>CASOPOInvCL!AH99</f>
        <v>3672.3350712508191</v>
      </c>
      <c r="Q99" s="16">
        <f>CASOPOInvCL!AI99</f>
        <v>2551.98</v>
      </c>
      <c r="R99" s="32" t="str">
        <f>CASOPOInvCL!AU99</f>
        <v>Yes</v>
      </c>
      <c r="S99" s="16">
        <f>CASOPOInvCL!AV99</f>
        <v>0</v>
      </c>
      <c r="T99" s="16">
        <f>CASOPOInvCL!AW99</f>
        <v>2551.98</v>
      </c>
      <c r="Y99" s="29" t="str">
        <f>IFERROR(HLOOKUP(U99,List!$D$2:$H$6,2,FALSE),"")</f>
        <v/>
      </c>
      <c r="Z99" s="29" t="str">
        <f>IFERROR(HLOOKUP(V99,List!$D$2:$H$6,3,FALSE),"")</f>
        <v/>
      </c>
      <c r="AA99" s="29" t="str">
        <f>IFERROR(HLOOKUP(W99,List!$D$2:$H$6,4,FALSE),"")</f>
        <v/>
      </c>
      <c r="AB99" s="29" t="str">
        <f>IFERROR(HLOOKUP(X99,List!$D$2:$H$6,5,FALSE),"")</f>
        <v/>
      </c>
      <c r="AC99" s="12" t="str">
        <f t="shared" si="15"/>
        <v/>
      </c>
      <c r="AD99" s="12" t="str">
        <f t="shared" si="16"/>
        <v/>
      </c>
      <c r="AE99" s="12" t="str">
        <f t="shared" si="17"/>
        <v/>
      </c>
      <c r="AF99" s="12" t="str">
        <f t="shared" si="18"/>
        <v/>
      </c>
      <c r="AG99" t="str">
        <f>VLOOKUP(J99,'Receivable Invoice Detail'!$A$1:F3111,6,FALSE)</f>
        <v>[SA-016628-M1] Casing, 44 WFR, Sala ST, Rubber Lined</v>
      </c>
      <c r="AH99" s="12">
        <f t="shared" si="14"/>
        <v>0</v>
      </c>
      <c r="AM99" s="12" t="str">
        <f t="shared" si="19"/>
        <v/>
      </c>
      <c r="AN99" s="12" t="str">
        <f t="shared" si="20"/>
        <v/>
      </c>
      <c r="AO99" s="12" t="str">
        <f t="shared" si="21"/>
        <v/>
      </c>
      <c r="AP99" s="12" t="str">
        <f t="shared" si="22"/>
        <v/>
      </c>
      <c r="AQ99" s="12"/>
      <c r="AS99" s="12">
        <f t="shared" si="23"/>
        <v>38.279699999999998</v>
      </c>
      <c r="AT99" s="16" t="str">
        <f t="shared" si="24"/>
        <v>Yes</v>
      </c>
    </row>
    <row r="100" spans="1:46" hidden="1" x14ac:dyDescent="0.25">
      <c r="A100" s="92">
        <f>CASOPOInvCL!T100</f>
        <v>1</v>
      </c>
      <c r="B100" s="23" t="str">
        <f>CASOPOInvCL!Z100</f>
        <v>SO16498</v>
      </c>
      <c r="C100" s="23"/>
      <c r="G100" s="5" t="str">
        <f>CASOPOInvCL!I100</f>
        <v>Ian Trottier</v>
      </c>
      <c r="H100" s="31">
        <f>CASOPOInvCL!U100</f>
        <v>1</v>
      </c>
      <c r="I100" s="31">
        <f>CASOPOInvCL!V100</f>
        <v>2025</v>
      </c>
      <c r="J100" s="5" t="str">
        <f>CASOPOInvCL!AB100</f>
        <v>INV12594</v>
      </c>
      <c r="K100" s="31">
        <f>CASOPOInvCL!W100</f>
        <v>2</v>
      </c>
      <c r="L100" s="31">
        <f>CASOPOInvCL!X100</f>
        <v>2025</v>
      </c>
      <c r="M100" s="31"/>
      <c r="N100" s="5" t="str">
        <f>CASOPOInvCL!AF100</f>
        <v>Sling-Choker Manufacturing - Timmins</v>
      </c>
      <c r="O100" s="16" t="str">
        <f>CASOPOInvCL!AG100</f>
        <v>CAD</v>
      </c>
      <c r="P100" s="16">
        <f>CASOPOInvCL!AH100</f>
        <v>5089.3900000000003</v>
      </c>
      <c r="Q100" s="16">
        <f>CASOPOInvCL!AI100</f>
        <v>3535.9474676548484</v>
      </c>
      <c r="R100" s="32" t="str">
        <f>CASOPOInvCL!AU100</f>
        <v>Yes</v>
      </c>
      <c r="S100" s="16">
        <f>CASOPOInvCL!AV100</f>
        <v>0</v>
      </c>
      <c r="T100" s="16">
        <f>CASOPOInvCL!AW100</f>
        <v>3535.9474676548484</v>
      </c>
      <c r="Y100" s="29" t="str">
        <f>IFERROR(HLOOKUP(U100,List!$D$2:$H$6,2,FALSE),"")</f>
        <v/>
      </c>
      <c r="Z100" s="29" t="str">
        <f>IFERROR(HLOOKUP(V100,List!$D$2:$H$6,3,FALSE),"")</f>
        <v/>
      </c>
      <c r="AA100" s="29" t="str">
        <f>IFERROR(HLOOKUP(W100,List!$D$2:$H$6,4,FALSE),"")</f>
        <v/>
      </c>
      <c r="AB100" s="29" t="str">
        <f>IFERROR(HLOOKUP(X100,List!$D$2:$H$6,5,FALSE),"")</f>
        <v/>
      </c>
      <c r="AC100" s="12" t="str">
        <f t="shared" si="15"/>
        <v/>
      </c>
      <c r="AD100" s="12" t="str">
        <f t="shared" si="16"/>
        <v/>
      </c>
      <c r="AE100" s="12" t="str">
        <f t="shared" si="17"/>
        <v/>
      </c>
      <c r="AF100" s="12" t="str">
        <f t="shared" si="18"/>
        <v/>
      </c>
      <c r="AG100" t="str">
        <f>VLOOKUP(J100,'Receivable Invoice Detail'!$A$1:F3112,6,FALSE)</f>
        <v>[AC-98-431-641-501] Impeller (Closed), 10x8-21 SRL-C, Natural Rubber</v>
      </c>
      <c r="AH100" s="12">
        <f t="shared" si="14"/>
        <v>0</v>
      </c>
      <c r="AM100" s="12" t="str">
        <f t="shared" si="19"/>
        <v/>
      </c>
      <c r="AN100" s="12" t="str">
        <f t="shared" si="20"/>
        <v/>
      </c>
      <c r="AO100" s="12" t="str">
        <f t="shared" si="21"/>
        <v/>
      </c>
      <c r="AP100" s="12" t="str">
        <f t="shared" si="22"/>
        <v/>
      </c>
      <c r="AQ100" s="12"/>
      <c r="AS100" s="12">
        <f t="shared" si="23"/>
        <v>53.039212014822724</v>
      </c>
      <c r="AT100" s="16" t="str">
        <f t="shared" si="24"/>
        <v>Yes</v>
      </c>
    </row>
    <row r="101" spans="1:46" hidden="1" x14ac:dyDescent="0.25">
      <c r="A101" s="41">
        <f>CASOPOInvCL!T101</f>
        <v>1</v>
      </c>
      <c r="B101" t="str">
        <f>CASOPOInvCL!Z101</f>
        <v>SO16499</v>
      </c>
      <c r="G101" s="5" t="str">
        <f>CASOPOInvCL!I101</f>
        <v>Ian Trottier</v>
      </c>
      <c r="H101" s="31">
        <f>CASOPOInvCL!U101</f>
        <v>1</v>
      </c>
      <c r="I101" s="31">
        <f>CASOPOInvCL!V101</f>
        <v>2025</v>
      </c>
      <c r="J101" s="5" t="str">
        <f>CASOPOInvCL!AB101</f>
        <v>INV12580</v>
      </c>
      <c r="K101" s="31">
        <f>CASOPOInvCL!W101</f>
        <v>2</v>
      </c>
      <c r="L101" s="31">
        <f>CASOPOInvCL!X101</f>
        <v>2025</v>
      </c>
      <c r="M101" s="31"/>
      <c r="N101" s="5" t="str">
        <f>CASOPOInvCL!AF101</f>
        <v>Wesdome Gold Mines Ltd - Eagle River Mine</v>
      </c>
      <c r="O101" s="16" t="str">
        <f>CASOPOInvCL!AG101</f>
        <v>CAD</v>
      </c>
      <c r="P101" s="16">
        <f>CASOPOInvCL!AH101</f>
        <v>3662.42</v>
      </c>
      <c r="Q101" s="16">
        <f>CASOPOInvCL!AI101</f>
        <v>2544.2030010122567</v>
      </c>
      <c r="R101" s="32" t="str">
        <f>CASOPOInvCL!AU101</f>
        <v>Yes</v>
      </c>
      <c r="S101" s="16">
        <f>CASOPOInvCL!AV101</f>
        <v>0</v>
      </c>
      <c r="T101" s="16">
        <f>CASOPOInvCL!AW101</f>
        <v>2544.2030010122567</v>
      </c>
      <c r="Y101" s="29" t="str">
        <f>IFERROR(HLOOKUP(U101,List!$D$2:$H$6,2,FALSE),"")</f>
        <v/>
      </c>
      <c r="Z101" s="29" t="str">
        <f>IFERROR(HLOOKUP(V101,List!$D$2:$H$6,3,FALSE),"")</f>
        <v/>
      </c>
      <c r="AA101" s="29" t="str">
        <f>IFERROR(HLOOKUP(W101,List!$D$2:$H$6,4,FALSE),"")</f>
        <v/>
      </c>
      <c r="AB101" s="29" t="str">
        <f>IFERROR(HLOOKUP(X101,List!$D$2:$H$6,5,FALSE),"")</f>
        <v/>
      </c>
      <c r="AC101" s="12" t="str">
        <f t="shared" si="15"/>
        <v/>
      </c>
      <c r="AD101" s="12" t="str">
        <f t="shared" si="16"/>
        <v/>
      </c>
      <c r="AE101" s="12" t="str">
        <f t="shared" si="17"/>
        <v/>
      </c>
      <c r="AF101" s="12" t="str">
        <f t="shared" si="18"/>
        <v/>
      </c>
      <c r="AG101" t="str">
        <f>VLOOKUP(J101,'Receivable Invoice Detail'!$A$1:F3113,6,FALSE)</f>
        <v>[AC-98-236-360-501] Gland Assembly, 8x6-18 &amp; 10x8-21 SRL-C, 316SS</v>
      </c>
      <c r="AH101" s="12">
        <f t="shared" si="14"/>
        <v>0</v>
      </c>
      <c r="AM101" s="12" t="str">
        <f t="shared" si="19"/>
        <v/>
      </c>
      <c r="AN101" s="12" t="str">
        <f t="shared" si="20"/>
        <v/>
      </c>
      <c r="AO101" s="12" t="str">
        <f t="shared" si="21"/>
        <v/>
      </c>
      <c r="AP101" s="12" t="str">
        <f t="shared" si="22"/>
        <v/>
      </c>
      <c r="AQ101" s="12"/>
      <c r="AS101" s="12">
        <f t="shared" si="23"/>
        <v>38.163045015183847</v>
      </c>
      <c r="AT101" s="16" t="str">
        <f t="shared" si="24"/>
        <v>Yes</v>
      </c>
    </row>
    <row r="102" spans="1:46" hidden="1" x14ac:dyDescent="0.25">
      <c r="A102" s="41">
        <f>CASOPOInvCL!T102</f>
        <v>2</v>
      </c>
      <c r="B102" t="str">
        <f>CASOPOInvCL!Z102</f>
        <v>SO16501</v>
      </c>
      <c r="G102" s="5" t="str">
        <f>CASOPOInvCL!I102</f>
        <v>Ian Trottier</v>
      </c>
      <c r="H102" s="31">
        <f>CASOPOInvCL!U102</f>
        <v>1</v>
      </c>
      <c r="I102" s="31">
        <f>CASOPOInvCL!V102</f>
        <v>2025</v>
      </c>
      <c r="J102" s="5" t="str">
        <f>CASOPOInvCL!AB102</f>
        <v>RINV/2025/00001 (Reversal of: INV12581)</v>
      </c>
      <c r="K102" s="70" t="str">
        <f>CASOPOInvCL!W102</f>
        <v/>
      </c>
      <c r="L102" s="31" t="str">
        <f>CASOPOInvCL!X102</f>
        <v/>
      </c>
      <c r="M102" s="31"/>
      <c r="N102" s="5" t="str">
        <f>CASOPOInvCL!AF102</f>
        <v>Grant Aggregate</v>
      </c>
      <c r="O102" s="16" t="str">
        <f>CASOPOInvCL!AG102</f>
        <v>CAD</v>
      </c>
      <c r="P102" s="16">
        <f>CASOPOInvCL!AH102</f>
        <v>5908.82</v>
      </c>
      <c r="Q102" s="16">
        <f>CASOPOInvCL!AI102</f>
        <v>4104.7279057129554</v>
      </c>
      <c r="R102" s="68" t="str">
        <f>CASOPOInvCL!AU102</f>
        <v/>
      </c>
      <c r="S102" s="16">
        <f>CASOPOInvCL!AV102</f>
        <v>0</v>
      </c>
      <c r="T102" s="16">
        <f>CASOPOInvCL!AW102</f>
        <v>0</v>
      </c>
      <c r="Y102" s="29" t="str">
        <f>IFERROR(HLOOKUP(U102,List!$D$2:$H$6,2,FALSE),"")</f>
        <v/>
      </c>
      <c r="Z102" s="29" t="str">
        <f>IFERROR(HLOOKUP(V102,List!$D$2:$H$6,3,FALSE),"")</f>
        <v/>
      </c>
      <c r="AA102" s="29" t="str">
        <f>IFERROR(HLOOKUP(W102,List!$D$2:$H$6,4,FALSE),"")</f>
        <v/>
      </c>
      <c r="AB102" s="29" t="str">
        <f>IFERROR(HLOOKUP(X102,List!$D$2:$H$6,5,FALSE),"")</f>
        <v/>
      </c>
      <c r="AC102" s="12" t="str">
        <f t="shared" si="15"/>
        <v/>
      </c>
      <c r="AD102" s="12" t="str">
        <f t="shared" si="16"/>
        <v/>
      </c>
      <c r="AE102" s="12" t="str">
        <f t="shared" si="17"/>
        <v/>
      </c>
      <c r="AF102" s="12" t="str">
        <f t="shared" si="18"/>
        <v/>
      </c>
      <c r="AG102" t="e">
        <f>VLOOKUP(J102,'Receivable Invoice Detail'!$A$1:F3114,6,FALSE)</f>
        <v>#N/A</v>
      </c>
      <c r="AH102" s="12">
        <f t="shared" si="14"/>
        <v>0</v>
      </c>
      <c r="AM102" s="12" t="str">
        <f t="shared" si="19"/>
        <v/>
      </c>
      <c r="AN102" s="12" t="str">
        <f t="shared" si="20"/>
        <v/>
      </c>
      <c r="AO102" s="12" t="str">
        <f t="shared" si="21"/>
        <v/>
      </c>
      <c r="AP102" s="12" t="str">
        <f t="shared" si="22"/>
        <v/>
      </c>
      <c r="AQ102" s="12"/>
      <c r="AS102" s="12">
        <f t="shared" si="23"/>
        <v>0</v>
      </c>
      <c r="AT102" s="16" t="str">
        <f t="shared" si="24"/>
        <v/>
      </c>
    </row>
    <row r="103" spans="1:46" hidden="1" x14ac:dyDescent="0.25">
      <c r="A103" s="41">
        <f>CASOPOInvCL!T103</f>
        <v>2</v>
      </c>
      <c r="B103" t="str">
        <f>CASOPOInvCL!Z103</f>
        <v>SO16501</v>
      </c>
      <c r="G103" s="5">
        <f>CASOPOInvCL!I103</f>
        <v>0</v>
      </c>
      <c r="H103" s="31">
        <f>CASOPOInvCL!U103</f>
        <v>1</v>
      </c>
      <c r="I103" s="31">
        <f>CASOPOInvCL!V103</f>
        <v>2025</v>
      </c>
      <c r="J103" s="5" t="str">
        <f>CASOPOInvCL!AB103</f>
        <v>INV12581</v>
      </c>
      <c r="K103" s="70">
        <f>CASOPOInvCL!W103</f>
        <v>3</v>
      </c>
      <c r="L103" s="31">
        <f>CASOPOInvCL!X103</f>
        <v>2025</v>
      </c>
      <c r="M103" s="31"/>
      <c r="N103" s="5" t="str">
        <f>CASOPOInvCL!AF103</f>
        <v>Grant Aggregate</v>
      </c>
      <c r="O103" s="16" t="str">
        <f>CASOPOInvCL!AG103</f>
        <v>CAD</v>
      </c>
      <c r="P103" s="16">
        <f>CASOPOInvCL!AH103</f>
        <v>0</v>
      </c>
      <c r="Q103" s="16">
        <f>CASOPOInvCL!AI103</f>
        <v>0</v>
      </c>
      <c r="R103" s="32" t="str">
        <f>CASOPOInvCL!AU103</f>
        <v/>
      </c>
      <c r="S103" s="16">
        <f>CASOPOInvCL!AV103</f>
        <v>0</v>
      </c>
      <c r="T103" s="16">
        <f>CASOPOInvCL!AW103</f>
        <v>0</v>
      </c>
      <c r="Y103" s="29" t="str">
        <f>IFERROR(HLOOKUP(U103,List!$D$2:$H$6,2,FALSE),"")</f>
        <v/>
      </c>
      <c r="Z103" s="29" t="str">
        <f>IFERROR(HLOOKUP(V103,List!$D$2:$H$6,3,FALSE),"")</f>
        <v/>
      </c>
      <c r="AA103" s="29" t="str">
        <f>IFERROR(HLOOKUP(W103,List!$D$2:$H$6,4,FALSE),"")</f>
        <v/>
      </c>
      <c r="AB103" s="29" t="str">
        <f>IFERROR(HLOOKUP(X103,List!$D$2:$H$6,5,FALSE),"")</f>
        <v/>
      </c>
      <c r="AC103" s="12" t="str">
        <f t="shared" si="15"/>
        <v/>
      </c>
      <c r="AD103" s="12" t="str">
        <f t="shared" si="16"/>
        <v/>
      </c>
      <c r="AE103" s="12" t="str">
        <f t="shared" si="17"/>
        <v/>
      </c>
      <c r="AF103" s="12" t="str">
        <f t="shared" si="18"/>
        <v/>
      </c>
      <c r="AG103" t="str">
        <f>VLOOKUP(J103,'Receivable Invoice Detail'!$A$1:F3115,6,FALSE)</f>
        <v>[AC-98-431-651-501] Impeller (Closed), 8x6-18 SRL-C, Natural Rubber</v>
      </c>
      <c r="AH103" s="12">
        <f t="shared" si="14"/>
        <v>0</v>
      </c>
      <c r="AM103" s="12" t="str">
        <f t="shared" si="19"/>
        <v/>
      </c>
      <c r="AN103" s="12" t="str">
        <f t="shared" si="20"/>
        <v/>
      </c>
      <c r="AO103" s="12" t="str">
        <f t="shared" si="21"/>
        <v/>
      </c>
      <c r="AP103" s="12" t="str">
        <f t="shared" si="22"/>
        <v/>
      </c>
      <c r="AQ103" s="12"/>
      <c r="AS103" s="12">
        <f t="shared" si="23"/>
        <v>0</v>
      </c>
      <c r="AT103" s="16" t="str">
        <f t="shared" si="24"/>
        <v/>
      </c>
    </row>
    <row r="104" spans="1:46" hidden="1" x14ac:dyDescent="0.25">
      <c r="A104" s="41">
        <f>CASOPOInvCL!T104</f>
        <v>1</v>
      </c>
      <c r="B104" t="str">
        <f>CASOPOInvCL!Z104</f>
        <v>SO16503</v>
      </c>
      <c r="G104" s="5" t="str">
        <f>CASOPOInvCL!I104</f>
        <v>Taylor Cook</v>
      </c>
      <c r="H104" s="31">
        <f>CASOPOInvCL!U104</f>
        <v>1</v>
      </c>
      <c r="I104" s="31">
        <f>CASOPOInvCL!V104</f>
        <v>2025</v>
      </c>
      <c r="J104" s="5" t="str">
        <f>CASOPOInvCL!AB104</f>
        <v>INV12576</v>
      </c>
      <c r="K104" s="31">
        <f>CASOPOInvCL!W104</f>
        <v>2</v>
      </c>
      <c r="L104" s="31">
        <f>CASOPOInvCL!X104</f>
        <v>2025</v>
      </c>
      <c r="M104" s="31"/>
      <c r="N104" s="5" t="str">
        <f>CASOPOInvCL!AF104</f>
        <v>Motion Industries Inc. (Canada) - Winnipeg</v>
      </c>
      <c r="O104" s="16" t="str">
        <f>CASOPOInvCL!AG104</f>
        <v>CAD</v>
      </c>
      <c r="P104" s="16">
        <f>CASOPOInvCL!AH104</f>
        <v>126.12</v>
      </c>
      <c r="Q104" s="16">
        <f>CASOPOInvCL!AI104</f>
        <v>87.612803143185602</v>
      </c>
      <c r="R104" s="32" t="str">
        <f>CASOPOInvCL!AU104</f>
        <v>Yes</v>
      </c>
      <c r="S104" s="16">
        <f>CASOPOInvCL!AV104</f>
        <v>0</v>
      </c>
      <c r="T104" s="16">
        <f>CASOPOInvCL!AW104</f>
        <v>87.612803143185602</v>
      </c>
      <c r="Y104" s="29" t="str">
        <f>IFERROR(HLOOKUP(U104,List!$D$2:$H$6,2,FALSE),"")</f>
        <v/>
      </c>
      <c r="Z104" s="29" t="str">
        <f>IFERROR(HLOOKUP(V104,List!$D$2:$H$6,3,FALSE),"")</f>
        <v/>
      </c>
      <c r="AA104" s="29" t="str">
        <f>IFERROR(HLOOKUP(W104,List!$D$2:$H$6,4,FALSE),"")</f>
        <v/>
      </c>
      <c r="AB104" s="29" t="str">
        <f>IFERROR(HLOOKUP(X104,List!$D$2:$H$6,5,FALSE),"")</f>
        <v/>
      </c>
      <c r="AC104" s="12" t="str">
        <f t="shared" si="15"/>
        <v/>
      </c>
      <c r="AD104" s="12" t="str">
        <f t="shared" si="16"/>
        <v/>
      </c>
      <c r="AE104" s="12" t="str">
        <f t="shared" si="17"/>
        <v/>
      </c>
      <c r="AF104" s="12" t="str">
        <f t="shared" si="18"/>
        <v/>
      </c>
      <c r="AG104" t="str">
        <f>VLOOKUP(J104,'Receivable Invoice Detail'!$A$1:F3116,6,FALSE)</f>
        <v>[DU-SA3210AA00-TFR] Impeller Gasket, Durco Mark 2&amp;3 Group 2, Teflon/Rubber</v>
      </c>
      <c r="AH104" s="12">
        <f t="shared" si="14"/>
        <v>0</v>
      </c>
      <c r="AM104" s="12" t="str">
        <f t="shared" si="19"/>
        <v/>
      </c>
      <c r="AN104" s="12" t="str">
        <f t="shared" si="20"/>
        <v/>
      </c>
      <c r="AO104" s="12" t="str">
        <f t="shared" si="21"/>
        <v/>
      </c>
      <c r="AP104" s="12" t="str">
        <f t="shared" si="22"/>
        <v/>
      </c>
      <c r="AQ104" s="12"/>
      <c r="AS104" s="12">
        <f t="shared" si="23"/>
        <v>1.3141920471477839</v>
      </c>
      <c r="AT104" s="16" t="str">
        <f t="shared" si="24"/>
        <v>Yes</v>
      </c>
    </row>
    <row r="105" spans="1:46" hidden="1" x14ac:dyDescent="0.25">
      <c r="A105" s="41">
        <f>CASOPOInvCL!T105</f>
        <v>1</v>
      </c>
      <c r="B105" t="str">
        <f>CASOPOInvCL!Z105</f>
        <v>SO16504</v>
      </c>
      <c r="G105" s="5" t="str">
        <f>CASOPOInvCL!I105</f>
        <v>Yannett Yeomans</v>
      </c>
      <c r="H105" s="31">
        <f>CASOPOInvCL!U105</f>
        <v>1</v>
      </c>
      <c r="I105" s="31">
        <f>CASOPOInvCL!V105</f>
        <v>2025</v>
      </c>
      <c r="J105" s="5" t="str">
        <f>CASOPOInvCL!AB105</f>
        <v>INV12864</v>
      </c>
      <c r="K105" s="31" t="str">
        <f>CASOPOInvCL!W105</f>
        <v/>
      </c>
      <c r="L105" s="31" t="str">
        <f>CASOPOInvCL!X105</f>
        <v/>
      </c>
      <c r="M105" s="31"/>
      <c r="N105" s="5" t="str">
        <f>CASOPOInvCL!AF105</f>
        <v>Dynapro Pumps México S de RL de CV</v>
      </c>
      <c r="O105" s="16" t="str">
        <f>CASOPOInvCL!AG105</f>
        <v>USD</v>
      </c>
      <c r="P105" s="16">
        <f>CASOPOInvCL!AH105</f>
        <v>661.94646226670147</v>
      </c>
      <c r="Q105" s="16">
        <f>CASOPOInvCL!AI105</f>
        <v>460</v>
      </c>
      <c r="R105" s="32" t="str">
        <f>CASOPOInvCL!AU105</f>
        <v/>
      </c>
      <c r="S105" s="16">
        <f>CASOPOInvCL!AV105</f>
        <v>0</v>
      </c>
      <c r="T105" s="16">
        <f>CASOPOInvCL!AW105</f>
        <v>0</v>
      </c>
      <c r="Y105" s="29" t="str">
        <f>IFERROR(HLOOKUP(U105,List!$D$2:$H$6,2,FALSE),"")</f>
        <v/>
      </c>
      <c r="Z105" s="29" t="str">
        <f>IFERROR(HLOOKUP(V105,List!$D$2:$H$6,3,FALSE),"")</f>
        <v/>
      </c>
      <c r="AA105" s="29" t="str">
        <f>IFERROR(HLOOKUP(W105,List!$D$2:$H$6,4,FALSE),"")</f>
        <v/>
      </c>
      <c r="AB105" s="29" t="str">
        <f>IFERROR(HLOOKUP(X105,List!$D$2:$H$6,5,FALSE),"")</f>
        <v/>
      </c>
      <c r="AC105" s="12" t="str">
        <f t="shared" si="15"/>
        <v/>
      </c>
      <c r="AD105" s="12" t="str">
        <f t="shared" si="16"/>
        <v/>
      </c>
      <c r="AE105" s="12" t="str">
        <f t="shared" si="17"/>
        <v/>
      </c>
      <c r="AF105" s="12" t="str">
        <f t="shared" si="18"/>
        <v/>
      </c>
      <c r="AG105" t="str">
        <f>VLOOKUP(J105,'Receivable Invoice Detail'!$A$1:F3117,6,FALSE)</f>
        <v>[W-E063/P50] Lantern Ring</v>
      </c>
      <c r="AH105" s="12">
        <f t="shared" si="14"/>
        <v>0</v>
      </c>
      <c r="AM105" s="12" t="str">
        <f t="shared" si="19"/>
        <v/>
      </c>
      <c r="AN105" s="12" t="str">
        <f t="shared" si="20"/>
        <v/>
      </c>
      <c r="AO105" s="12" t="str">
        <f t="shared" si="21"/>
        <v/>
      </c>
      <c r="AP105" s="12" t="str">
        <f t="shared" si="22"/>
        <v/>
      </c>
      <c r="AQ105" s="12"/>
      <c r="AR105" s="16" t="s">
        <v>5940</v>
      </c>
      <c r="AS105" s="12">
        <f t="shared" si="23"/>
        <v>0</v>
      </c>
      <c r="AT105" s="16" t="s">
        <v>5940</v>
      </c>
    </row>
    <row r="106" spans="1:46" hidden="1" x14ac:dyDescent="0.25">
      <c r="A106" s="41">
        <f>CASOPOInvCL!T106</f>
        <v>1</v>
      </c>
      <c r="B106" t="str">
        <f>CASOPOInvCL!Z106</f>
        <v>SO16505</v>
      </c>
      <c r="G106" s="5" t="str">
        <f>CASOPOInvCL!I106</f>
        <v>Taylor Cook</v>
      </c>
      <c r="H106" s="31">
        <f>CASOPOInvCL!U106</f>
        <v>1</v>
      </c>
      <c r="I106" s="31">
        <f>CASOPOInvCL!V106</f>
        <v>2025</v>
      </c>
      <c r="J106" s="5" t="str">
        <f>CASOPOInvCL!AB106</f>
        <v>INV12577</v>
      </c>
      <c r="K106" s="31">
        <f>CASOPOInvCL!W106</f>
        <v>3</v>
      </c>
      <c r="L106" s="31">
        <f>CASOPOInvCL!X106</f>
        <v>2025</v>
      </c>
      <c r="M106" s="31"/>
      <c r="N106" s="5" t="str">
        <f>CASOPOInvCL!AF106</f>
        <v>DRN Industriel</v>
      </c>
      <c r="O106" s="16" t="str">
        <f>CASOPOInvCL!AG106</f>
        <v>CAD</v>
      </c>
      <c r="P106" s="16">
        <f>CASOPOInvCL!AH106</f>
        <v>1194.8699999999999</v>
      </c>
      <c r="Q106" s="16">
        <f>CASOPOInvCL!AI106</f>
        <v>830.15794637014415</v>
      </c>
      <c r="R106" s="32" t="str">
        <f>CASOPOInvCL!AU106</f>
        <v>Yes</v>
      </c>
      <c r="S106" s="16">
        <f>CASOPOInvCL!AV106</f>
        <v>0</v>
      </c>
      <c r="T106" s="16">
        <f>CASOPOInvCL!AW106</f>
        <v>830.15794637014415</v>
      </c>
      <c r="Y106" s="29" t="str">
        <f>IFERROR(HLOOKUP(U106,List!$D$2:$H$6,2,FALSE),"")</f>
        <v/>
      </c>
      <c r="Z106" s="29" t="str">
        <f>IFERROR(HLOOKUP(V106,List!$D$2:$H$6,3,FALSE),"")</f>
        <v/>
      </c>
      <c r="AA106" s="29" t="str">
        <f>IFERROR(HLOOKUP(W106,List!$D$2:$H$6,4,FALSE),"")</f>
        <v/>
      </c>
      <c r="AB106" s="29" t="str">
        <f>IFERROR(HLOOKUP(X106,List!$D$2:$H$6,5,FALSE),"")</f>
        <v/>
      </c>
      <c r="AC106" s="12" t="str">
        <f t="shared" si="15"/>
        <v/>
      </c>
      <c r="AD106" s="12" t="str">
        <f t="shared" si="16"/>
        <v/>
      </c>
      <c r="AE106" s="12" t="str">
        <f t="shared" si="17"/>
        <v/>
      </c>
      <c r="AF106" s="12" t="str">
        <f t="shared" si="18"/>
        <v/>
      </c>
      <c r="AG106" t="str">
        <f>VLOOKUP(J106,'Receivable Invoice Detail'!$A$1:F3118,6,FALSE)</f>
        <v>[AC-98-231-108-503] Suction Side Liner, 3x3-10 SRL-C, Neoprene</v>
      </c>
      <c r="AH106" s="12">
        <f t="shared" si="14"/>
        <v>0</v>
      </c>
      <c r="AM106" s="12" t="str">
        <f t="shared" si="19"/>
        <v/>
      </c>
      <c r="AN106" s="12" t="str">
        <f t="shared" si="20"/>
        <v/>
      </c>
      <c r="AO106" s="12" t="str">
        <f t="shared" si="21"/>
        <v/>
      </c>
      <c r="AP106" s="12" t="str">
        <f t="shared" si="22"/>
        <v/>
      </c>
      <c r="AQ106" s="12"/>
      <c r="AS106" s="12">
        <f t="shared" si="23"/>
        <v>12.452369195552162</v>
      </c>
      <c r="AT106" s="16" t="str">
        <f t="shared" si="24"/>
        <v>Yes</v>
      </c>
    </row>
    <row r="107" spans="1:46" hidden="1" x14ac:dyDescent="0.25">
      <c r="A107" s="41">
        <f>CASOPOInvCL!T107</f>
        <v>1</v>
      </c>
      <c r="B107" t="str">
        <f>CASOPOInvCL!Z107</f>
        <v>SO16509</v>
      </c>
      <c r="D107" t="s">
        <v>5938</v>
      </c>
      <c r="G107" s="5" t="str">
        <f>CASOPOInvCL!I107</f>
        <v>Marlen Martinez</v>
      </c>
      <c r="H107" s="31">
        <f>CASOPOInvCL!U107</f>
        <v>1</v>
      </c>
      <c r="I107" s="31">
        <f>CASOPOInvCL!V107</f>
        <v>2025</v>
      </c>
      <c r="J107" s="5" t="str">
        <f>CASOPOInvCL!AB107</f>
        <v>INV12600</v>
      </c>
      <c r="K107" s="31">
        <f>CASOPOInvCL!W107</f>
        <v>5</v>
      </c>
      <c r="L107" s="31">
        <f>CASOPOInvCL!X107</f>
        <v>2025</v>
      </c>
      <c r="M107" s="31"/>
      <c r="N107" s="5" t="str">
        <f>CASOPOInvCL!AF107</f>
        <v>Covia Corp - Junction City</v>
      </c>
      <c r="O107" s="16" t="str">
        <f>CASOPOInvCL!AG107</f>
        <v>USD</v>
      </c>
      <c r="P107" s="16">
        <f>CASOPOInvCL!AH107</f>
        <v>5157.4263494866482</v>
      </c>
      <c r="Q107" s="16">
        <f>CASOPOInvCL!AI107</f>
        <v>3584</v>
      </c>
      <c r="R107" s="32" t="str">
        <f>CASOPOInvCL!AU107</f>
        <v>Yes</v>
      </c>
      <c r="S107" s="16">
        <f>CASOPOInvCL!AV107</f>
        <v>0</v>
      </c>
      <c r="T107" s="16">
        <f>CASOPOInvCL!AW107</f>
        <v>3584</v>
      </c>
      <c r="Y107" s="29" t="str">
        <f>IFERROR(HLOOKUP(U107,List!$D$2:$H$6,2,FALSE),"")</f>
        <v/>
      </c>
      <c r="Z107" s="29" t="str">
        <f>IFERROR(HLOOKUP(V107,List!$D$2:$H$6,3,FALSE),"")</f>
        <v/>
      </c>
      <c r="AA107" s="29" t="str">
        <f>IFERROR(HLOOKUP(W107,List!$D$2:$H$6,4,FALSE),"")</f>
        <v/>
      </c>
      <c r="AB107" s="29" t="str">
        <f>IFERROR(HLOOKUP(X107,List!$D$2:$H$6,5,FALSE),"")</f>
        <v/>
      </c>
      <c r="AC107" s="12" t="str">
        <f t="shared" si="15"/>
        <v/>
      </c>
      <c r="AD107" s="12" t="str">
        <f t="shared" si="16"/>
        <v/>
      </c>
      <c r="AE107" s="12" t="str">
        <f t="shared" si="17"/>
        <v/>
      </c>
      <c r="AF107" s="12" t="str">
        <f t="shared" si="18"/>
        <v/>
      </c>
      <c r="AG107" t="str">
        <f>VLOOKUP(J107,'Receivable Invoice Detail'!$A$1:F3119,6,FALSE)</f>
        <v>103982/6007 Cover Plate Liner, 12/10 F or ST-AH, Natural Rubber</v>
      </c>
      <c r="AH107" s="12">
        <f t="shared" si="14"/>
        <v>0</v>
      </c>
      <c r="AM107" s="12" t="str">
        <f t="shared" si="19"/>
        <v/>
      </c>
      <c r="AN107" s="12" t="str">
        <f t="shared" si="20"/>
        <v/>
      </c>
      <c r="AO107" s="12" t="str">
        <f t="shared" si="21"/>
        <v/>
      </c>
      <c r="AP107" s="12" t="str">
        <f t="shared" si="22"/>
        <v/>
      </c>
      <c r="AQ107" s="64">
        <f t="shared" ref="AQ107:AQ108" si="25">M107</f>
        <v>0</v>
      </c>
      <c r="AR107" t="s">
        <v>5939</v>
      </c>
      <c r="AS107" s="12">
        <f t="shared" si="23"/>
        <v>53.76</v>
      </c>
      <c r="AT107" s="16" t="str">
        <f t="shared" si="24"/>
        <v>Yes</v>
      </c>
    </row>
    <row r="108" spans="1:46" hidden="1" x14ac:dyDescent="0.25">
      <c r="A108" s="41">
        <f>CASOPOInvCL!T108</f>
        <v>1</v>
      </c>
      <c r="B108" t="str">
        <f>CASOPOInvCL!Z108</f>
        <v>SO16511</v>
      </c>
      <c r="D108" t="s">
        <v>5938</v>
      </c>
      <c r="G108" s="5" t="str">
        <f>CASOPOInvCL!I108</f>
        <v>Marlen Martinez</v>
      </c>
      <c r="H108" s="31">
        <f>CASOPOInvCL!U108</f>
        <v>1</v>
      </c>
      <c r="I108" s="31">
        <f>CASOPOInvCL!V108</f>
        <v>2025</v>
      </c>
      <c r="J108" s="5" t="str">
        <f>CASOPOInvCL!AB108</f>
        <v>INV12970</v>
      </c>
      <c r="K108" s="31">
        <f>CASOPOInvCL!W108</f>
        <v>8</v>
      </c>
      <c r="L108" s="31">
        <f>CASOPOInvCL!X108</f>
        <v>2025</v>
      </c>
      <c r="M108" s="31"/>
      <c r="N108" s="5" t="str">
        <f>CASOPOInvCL!AF108</f>
        <v>Covia Corp - Junction City</v>
      </c>
      <c r="O108" s="16" t="str">
        <f>CASOPOInvCL!AG108</f>
        <v>USD</v>
      </c>
      <c r="P108" s="16">
        <f>CASOPOInvCL!AH108</f>
        <v>8749.9968720343295</v>
      </c>
      <c r="Q108" s="16">
        <f>CASOPOInvCL!AI108</f>
        <v>6080.55</v>
      </c>
      <c r="R108" s="32" t="str">
        <f>CASOPOInvCL!AU108</f>
        <v>Yes</v>
      </c>
      <c r="S108" s="16">
        <f>CASOPOInvCL!AV108</f>
        <v>574.54999999999995</v>
      </c>
      <c r="T108" s="16">
        <f>CASOPOInvCL!AW108</f>
        <v>5506</v>
      </c>
      <c r="Y108" s="29" t="str">
        <f>IFERROR(HLOOKUP(U108,List!$D$2:$H$6,2,FALSE),"")</f>
        <v/>
      </c>
      <c r="Z108" s="29" t="str">
        <f>IFERROR(HLOOKUP(V108,List!$D$2:$H$6,3,FALSE),"")</f>
        <v/>
      </c>
      <c r="AA108" s="29" t="str">
        <f>IFERROR(HLOOKUP(W108,List!$D$2:$H$6,4,FALSE),"")</f>
        <v/>
      </c>
      <c r="AB108" s="29" t="str">
        <f>IFERROR(HLOOKUP(X108,List!$D$2:$H$6,5,FALSE),"")</f>
        <v/>
      </c>
      <c r="AC108" s="12" t="str">
        <f t="shared" si="15"/>
        <v/>
      </c>
      <c r="AD108" s="12" t="str">
        <f t="shared" si="16"/>
        <v/>
      </c>
      <c r="AE108" s="12" t="str">
        <f t="shared" si="17"/>
        <v/>
      </c>
      <c r="AF108" s="12" t="str">
        <f t="shared" si="18"/>
        <v/>
      </c>
      <c r="AG108" t="str">
        <f>VLOOKUP(J108,'Receivable Invoice Detail'!$A$1:F3120,6,FALSE)</f>
        <v>102917/0003Volute Liner, 6/4 F-HH, High Chrome</v>
      </c>
      <c r="AH108" s="12">
        <f t="shared" si="14"/>
        <v>0</v>
      </c>
      <c r="AM108" s="12" t="str">
        <f t="shared" si="19"/>
        <v/>
      </c>
      <c r="AN108" s="12" t="str">
        <f t="shared" si="20"/>
        <v/>
      </c>
      <c r="AO108" s="12" t="str">
        <f t="shared" si="21"/>
        <v/>
      </c>
      <c r="AP108" s="12" t="str">
        <f t="shared" si="22"/>
        <v/>
      </c>
      <c r="AQ108" s="64">
        <f t="shared" si="25"/>
        <v>0</v>
      </c>
      <c r="AR108" t="s">
        <v>5939</v>
      </c>
      <c r="AS108" s="12">
        <f t="shared" si="23"/>
        <v>82.59</v>
      </c>
      <c r="AT108" s="16" t="str">
        <f t="shared" si="24"/>
        <v>Yes</v>
      </c>
    </row>
    <row r="109" spans="1:46" hidden="1" x14ac:dyDescent="0.25">
      <c r="A109" s="41">
        <f>CASOPOInvCL!T109</f>
        <v>1</v>
      </c>
      <c r="B109" t="str">
        <f>CASOPOInvCL!Z109</f>
        <v>SO16512</v>
      </c>
      <c r="G109" s="5" t="str">
        <f>CASOPOInvCL!I109</f>
        <v>Ian Trottier</v>
      </c>
      <c r="H109" s="31">
        <f>CASOPOInvCL!U109</f>
        <v>1</v>
      </c>
      <c r="I109" s="31">
        <f>CASOPOInvCL!V109</f>
        <v>2025</v>
      </c>
      <c r="J109" s="5" t="str">
        <f>CASOPOInvCL!AB109</f>
        <v>INV12642</v>
      </c>
      <c r="K109" s="31">
        <f>CASOPOInvCL!W109</f>
        <v>3</v>
      </c>
      <c r="L109" s="31">
        <f>CASOPOInvCL!X109</f>
        <v>2025</v>
      </c>
      <c r="M109" s="31"/>
      <c r="N109" s="5" t="str">
        <f>CASOPOInvCL!AF109</f>
        <v>Grant Aggregate</v>
      </c>
      <c r="O109" s="16" t="str">
        <f>CASOPOInvCL!AG109</f>
        <v>CAD</v>
      </c>
      <c r="P109" s="16">
        <f>CASOPOInvCL!AH109</f>
        <v>1759.61</v>
      </c>
      <c r="Q109" s="16">
        <f>CASOPOInvCL!AI109</f>
        <v>1220.6953427153057</v>
      </c>
      <c r="R109" s="32" t="str">
        <f>CASOPOInvCL!AU109</f>
        <v>Yes</v>
      </c>
      <c r="S109" s="16">
        <f>CASOPOInvCL!AV109</f>
        <v>0</v>
      </c>
      <c r="T109" s="16">
        <f>CASOPOInvCL!AW109</f>
        <v>1220.6953427153057</v>
      </c>
      <c r="Y109" s="29" t="str">
        <f>IFERROR(HLOOKUP(U109,List!$D$2:$H$6,2,FALSE),"")</f>
        <v/>
      </c>
      <c r="Z109" s="29" t="str">
        <f>IFERROR(HLOOKUP(V109,List!$D$2:$H$6,3,FALSE),"")</f>
        <v/>
      </c>
      <c r="AA109" s="29" t="str">
        <f>IFERROR(HLOOKUP(W109,List!$D$2:$H$6,4,FALSE),"")</f>
        <v/>
      </c>
      <c r="AB109" s="29" t="str">
        <f>IFERROR(HLOOKUP(X109,List!$D$2:$H$6,5,FALSE),"")</f>
        <v/>
      </c>
      <c r="AC109" s="12" t="str">
        <f t="shared" si="15"/>
        <v/>
      </c>
      <c r="AD109" s="12" t="str">
        <f t="shared" si="16"/>
        <v/>
      </c>
      <c r="AE109" s="12" t="str">
        <f t="shared" si="17"/>
        <v/>
      </c>
      <c r="AF109" s="12" t="str">
        <f t="shared" si="18"/>
        <v/>
      </c>
      <c r="AG109" t="str">
        <f>VLOOKUP(J109,'Receivable Invoice Detail'!$A$1:F3121,6,FALSE)</f>
        <v>[G-0D02490A02 1216] Impeller, 8x10-13, 3196 XLT, CD4MCu, 5-Vane</v>
      </c>
      <c r="AH109" s="12">
        <f t="shared" si="14"/>
        <v>0</v>
      </c>
      <c r="AM109" s="12" t="str">
        <f t="shared" si="19"/>
        <v/>
      </c>
      <c r="AN109" s="12" t="str">
        <f t="shared" si="20"/>
        <v/>
      </c>
      <c r="AO109" s="12" t="str">
        <f t="shared" si="21"/>
        <v/>
      </c>
      <c r="AP109" s="12" t="str">
        <f t="shared" si="22"/>
        <v/>
      </c>
      <c r="AQ109" s="12"/>
      <c r="AS109" s="12">
        <f t="shared" si="23"/>
        <v>18.310430140729586</v>
      </c>
      <c r="AT109" s="16" t="str">
        <f t="shared" si="24"/>
        <v>Yes</v>
      </c>
    </row>
    <row r="110" spans="1:46" hidden="1" x14ac:dyDescent="0.25">
      <c r="A110" s="41">
        <f>CASOPOInvCL!T110</f>
        <v>2</v>
      </c>
      <c r="B110" t="str">
        <f>CASOPOInvCL!Z110</f>
        <v>SO16513</v>
      </c>
      <c r="G110" s="5" t="str">
        <f>CASOPOInvCL!I110</f>
        <v>Ian Trottier</v>
      </c>
      <c r="H110" s="31">
        <f>CASOPOInvCL!U110</f>
        <v>1</v>
      </c>
      <c r="I110" s="31">
        <f>CASOPOInvCL!V110</f>
        <v>2025</v>
      </c>
      <c r="J110" s="5" t="str">
        <f>CASOPOInvCL!AB110</f>
        <v>INV12915</v>
      </c>
      <c r="K110" s="31">
        <f>CASOPOInvCL!W110</f>
        <v>6</v>
      </c>
      <c r="L110" s="31">
        <f>CASOPOInvCL!X110</f>
        <v>2025</v>
      </c>
      <c r="M110" s="31"/>
      <c r="N110" s="5" t="str">
        <f>CASOPOInvCL!AF110</f>
        <v>Les Pompes du St-Laurent Inc.</v>
      </c>
      <c r="O110" s="16" t="str">
        <f>CASOPOInvCL!AG110</f>
        <v>CAD</v>
      </c>
      <c r="P110" s="16">
        <f>CASOPOInvCL!AH110</f>
        <v>16754.72</v>
      </c>
      <c r="Q110" s="16">
        <f>CASOPOInvCL!AI110</f>
        <v>11673.944700760123</v>
      </c>
      <c r="R110" s="32" t="str">
        <f>CASOPOInvCL!AU110</f>
        <v>Yes</v>
      </c>
      <c r="S110" s="16">
        <f>CASOPOInvCL!AV110</f>
        <v>0</v>
      </c>
      <c r="T110" s="16">
        <f>CASOPOInvCL!AW110</f>
        <v>11673.944700760123</v>
      </c>
      <c r="Y110" s="29" t="str">
        <f>IFERROR(HLOOKUP(U110,List!$D$2:$H$6,2,FALSE),"")</f>
        <v/>
      </c>
      <c r="Z110" s="29" t="str">
        <f>IFERROR(HLOOKUP(V110,List!$D$2:$H$6,3,FALSE),"")</f>
        <v/>
      </c>
      <c r="AA110" s="29" t="str">
        <f>IFERROR(HLOOKUP(W110,List!$D$2:$H$6,4,FALSE),"")</f>
        <v/>
      </c>
      <c r="AB110" s="29" t="str">
        <f>IFERROR(HLOOKUP(X110,List!$D$2:$H$6,5,FALSE),"")</f>
        <v/>
      </c>
      <c r="AC110" s="12" t="str">
        <f t="shared" si="15"/>
        <v/>
      </c>
      <c r="AD110" s="12" t="str">
        <f t="shared" si="16"/>
        <v/>
      </c>
      <c r="AE110" s="12" t="str">
        <f t="shared" si="17"/>
        <v/>
      </c>
      <c r="AF110" s="12" t="str">
        <f t="shared" si="18"/>
        <v/>
      </c>
      <c r="AG110" t="str">
        <f>VLOOKUP(J110,'Receivable Invoice Detail'!$A$1:F3122,6,FALSE)</f>
        <v>[D-196 1x1.5-8 STX CD4MCu] Pump, 1x1.5-8, D-196 STX, All CD4MCu</v>
      </c>
      <c r="AH110" s="12">
        <f t="shared" si="14"/>
        <v>0</v>
      </c>
      <c r="AM110" s="12" t="str">
        <f t="shared" si="19"/>
        <v/>
      </c>
      <c r="AN110" s="12" t="str">
        <f t="shared" si="20"/>
        <v/>
      </c>
      <c r="AO110" s="12" t="str">
        <f t="shared" si="21"/>
        <v/>
      </c>
      <c r="AP110" s="12" t="str">
        <f t="shared" si="22"/>
        <v/>
      </c>
      <c r="AQ110" s="12"/>
      <c r="AS110" s="12">
        <f t="shared" si="23"/>
        <v>175.10917051140183</v>
      </c>
      <c r="AT110" s="16" t="str">
        <f t="shared" si="24"/>
        <v>Yes</v>
      </c>
    </row>
    <row r="111" spans="1:46" hidden="1" x14ac:dyDescent="0.25">
      <c r="A111" s="41">
        <f>CASOPOInvCL!T111</f>
        <v>2</v>
      </c>
      <c r="B111" t="str">
        <f>CASOPOInvCL!Z111</f>
        <v>SO16513</v>
      </c>
      <c r="G111" s="5">
        <f>CASOPOInvCL!I111</f>
        <v>0</v>
      </c>
      <c r="H111" s="31">
        <f>CASOPOInvCL!U111</f>
        <v>1</v>
      </c>
      <c r="I111" s="31">
        <f>CASOPOInvCL!V111</f>
        <v>2025</v>
      </c>
      <c r="J111" s="5" t="str">
        <f>CASOPOInvCL!AB111</f>
        <v>INV12833</v>
      </c>
      <c r="K111" s="31">
        <f>CASOPOInvCL!W111</f>
        <v>5</v>
      </c>
      <c r="L111" s="31">
        <f>CASOPOInvCL!X111</f>
        <v>2025</v>
      </c>
      <c r="M111" s="31"/>
      <c r="N111" s="5" t="str">
        <f>CASOPOInvCL!AF111</f>
        <v>Les Pompes du St-Laurent Inc.</v>
      </c>
      <c r="O111" s="16" t="str">
        <f>CASOPOInvCL!AG111</f>
        <v>CAD</v>
      </c>
      <c r="P111" s="16">
        <f>CASOPOInvCL!AH111</f>
        <v>0</v>
      </c>
      <c r="Q111" s="16">
        <f>CASOPOInvCL!AI111</f>
        <v>0</v>
      </c>
      <c r="R111" s="32" t="str">
        <f>CASOPOInvCL!AU111</f>
        <v/>
      </c>
      <c r="S111" s="16">
        <f>CASOPOInvCL!AV111</f>
        <v>0</v>
      </c>
      <c r="T111" s="16">
        <f>CASOPOInvCL!AW111</f>
        <v>0</v>
      </c>
      <c r="Y111" s="29" t="str">
        <f>IFERROR(HLOOKUP(U111,List!$D$2:$H$6,2,FALSE),"")</f>
        <v/>
      </c>
      <c r="Z111" s="29" t="str">
        <f>IFERROR(HLOOKUP(V111,List!$D$2:$H$6,3,FALSE),"")</f>
        <v/>
      </c>
      <c r="AA111" s="29" t="str">
        <f>IFERROR(HLOOKUP(W111,List!$D$2:$H$6,4,FALSE),"")</f>
        <v/>
      </c>
      <c r="AB111" s="29" t="str">
        <f>IFERROR(HLOOKUP(X111,List!$D$2:$H$6,5,FALSE),"")</f>
        <v/>
      </c>
      <c r="AC111" s="12" t="str">
        <f t="shared" si="15"/>
        <v/>
      </c>
      <c r="AD111" s="12" t="str">
        <f t="shared" si="16"/>
        <v/>
      </c>
      <c r="AE111" s="12" t="str">
        <f t="shared" si="17"/>
        <v/>
      </c>
      <c r="AF111" s="12" t="str">
        <f t="shared" si="18"/>
        <v/>
      </c>
      <c r="AG111" t="str">
        <f>VLOOKUP(J111,'Receivable Invoice Detail'!$A$1:F3123,6,FALSE)</f>
        <v>[D-196 1x1.5-8 STX CD4MCu] Pump, 1x1.5-8, D-196 STX, All CD4MCu</v>
      </c>
      <c r="AH111" s="12">
        <f t="shared" si="14"/>
        <v>0</v>
      </c>
      <c r="AM111" s="12" t="str">
        <f t="shared" si="19"/>
        <v/>
      </c>
      <c r="AN111" s="12" t="str">
        <f t="shared" si="20"/>
        <v/>
      </c>
      <c r="AO111" s="12" t="str">
        <f t="shared" si="21"/>
        <v/>
      </c>
      <c r="AP111" s="12" t="str">
        <f t="shared" si="22"/>
        <v/>
      </c>
      <c r="AQ111" s="12"/>
      <c r="AS111" s="12">
        <f t="shared" si="23"/>
        <v>0</v>
      </c>
      <c r="AT111" s="16" t="str">
        <f t="shared" si="24"/>
        <v/>
      </c>
    </row>
    <row r="112" spans="1:46" hidden="1" x14ac:dyDescent="0.25">
      <c r="A112" s="41">
        <f>CASOPOInvCL!T112</f>
        <v>2</v>
      </c>
      <c r="B112" t="str">
        <f>CASOPOInvCL!Z112</f>
        <v>SO16515</v>
      </c>
      <c r="G112" s="5" t="str">
        <f>CASOPOInvCL!I112</f>
        <v>Ian Trottier</v>
      </c>
      <c r="H112" s="31">
        <f>CASOPOInvCL!U112</f>
        <v>1</v>
      </c>
      <c r="I112" s="31">
        <f>CASOPOInvCL!V112</f>
        <v>2025</v>
      </c>
      <c r="J112" s="5" t="str">
        <f>CASOPOInvCL!AB112</f>
        <v>INV12615</v>
      </c>
      <c r="K112" s="31">
        <f>CASOPOInvCL!W112</f>
        <v>3</v>
      </c>
      <c r="L112" s="31">
        <f>CASOPOInvCL!X112</f>
        <v>2025</v>
      </c>
      <c r="M112" s="31"/>
      <c r="N112" s="5" t="str">
        <f>CASOPOInvCL!AF112</f>
        <v>Canadian Bearings Ltd.</v>
      </c>
      <c r="O112" s="16" t="str">
        <f>CASOPOInvCL!AG112</f>
        <v>CAD</v>
      </c>
      <c r="P112" s="16">
        <f>CASOPOInvCL!AH112</f>
        <v>1387.4</v>
      </c>
      <c r="Q112" s="16">
        <f>CASOPOInvCL!AI112</f>
        <v>950.22183545818893</v>
      </c>
      <c r="R112" s="32" t="str">
        <f>CASOPOInvCL!AU112</f>
        <v>Yes</v>
      </c>
      <c r="S112" s="16">
        <f>CASOPOInvCL!AV112</f>
        <v>0</v>
      </c>
      <c r="T112" s="16">
        <f>CASOPOInvCL!AW112</f>
        <v>950.22183545818893</v>
      </c>
      <c r="Y112" s="29" t="str">
        <f>IFERROR(HLOOKUP(U112,List!$D$2:$H$6,2,FALSE),"")</f>
        <v/>
      </c>
      <c r="Z112" s="29" t="str">
        <f>IFERROR(HLOOKUP(V112,List!$D$2:$H$6,3,FALSE),"")</f>
        <v/>
      </c>
      <c r="AA112" s="29" t="str">
        <f>IFERROR(HLOOKUP(W112,List!$D$2:$H$6,4,FALSE),"")</f>
        <v/>
      </c>
      <c r="AB112" s="29" t="str">
        <f>IFERROR(HLOOKUP(X112,List!$D$2:$H$6,5,FALSE),"")</f>
        <v/>
      </c>
      <c r="AC112" s="12" t="str">
        <f t="shared" si="15"/>
        <v/>
      </c>
      <c r="AD112" s="12" t="str">
        <f t="shared" si="16"/>
        <v/>
      </c>
      <c r="AE112" s="12" t="str">
        <f t="shared" si="17"/>
        <v/>
      </c>
      <c r="AF112" s="12" t="str">
        <f t="shared" si="18"/>
        <v/>
      </c>
      <c r="AG112" t="str">
        <f>VLOOKUP(J112,'Receivable Invoice Detail'!$A$1:F3124,6,FALSE)</f>
        <v>[AC-52-108-475-010] Deflector (Inboard), Allis Chalmers CSO, Frame F4D1, Steel</v>
      </c>
      <c r="AH112" s="12">
        <f t="shared" si="14"/>
        <v>0</v>
      </c>
      <c r="AM112" s="12" t="str">
        <f t="shared" si="19"/>
        <v/>
      </c>
      <c r="AN112" s="12" t="str">
        <f t="shared" si="20"/>
        <v/>
      </c>
      <c r="AO112" s="12" t="str">
        <f t="shared" si="21"/>
        <v/>
      </c>
      <c r="AP112" s="12" t="str">
        <f t="shared" si="22"/>
        <v/>
      </c>
      <c r="AQ112" s="12"/>
      <c r="AS112" s="12">
        <f t="shared" si="23"/>
        <v>14.253327531872834</v>
      </c>
      <c r="AT112" s="16" t="str">
        <f t="shared" si="24"/>
        <v>Yes</v>
      </c>
    </row>
    <row r="113" spans="1:46" hidden="1" x14ac:dyDescent="0.25">
      <c r="A113" s="41">
        <f>CASOPOInvCL!T113</f>
        <v>2</v>
      </c>
      <c r="B113" t="str">
        <f>CASOPOInvCL!Z113</f>
        <v>SO16515</v>
      </c>
      <c r="G113" s="5">
        <f>CASOPOInvCL!I113</f>
        <v>0</v>
      </c>
      <c r="H113" s="31">
        <f>CASOPOInvCL!U113</f>
        <v>1</v>
      </c>
      <c r="I113" s="31">
        <f>CASOPOInvCL!V113</f>
        <v>2025</v>
      </c>
      <c r="J113" s="5" t="str">
        <f>CASOPOInvCL!AB113</f>
        <v>INV12676</v>
      </c>
      <c r="K113" s="31">
        <f>CASOPOInvCL!W113</f>
        <v>4</v>
      </c>
      <c r="L113" s="31">
        <f>CASOPOInvCL!X113</f>
        <v>2025</v>
      </c>
      <c r="M113" s="31"/>
      <c r="N113" s="5" t="str">
        <f>CASOPOInvCL!AF113</f>
        <v>Canadian Bearings Ltd.</v>
      </c>
      <c r="O113" s="16" t="str">
        <f>CASOPOInvCL!AG113</f>
        <v>CAD</v>
      </c>
      <c r="P113" s="16">
        <f>CASOPOInvCL!AH113</f>
        <v>0</v>
      </c>
      <c r="Q113" s="16">
        <f>CASOPOInvCL!AI113</f>
        <v>0</v>
      </c>
      <c r="R113" s="32" t="str">
        <f>CASOPOInvCL!AU113</f>
        <v/>
      </c>
      <c r="S113" s="16">
        <f>CASOPOInvCL!AV113</f>
        <v>0</v>
      </c>
      <c r="T113" s="16">
        <f>CASOPOInvCL!AW113</f>
        <v>0</v>
      </c>
      <c r="Y113" s="29" t="str">
        <f>IFERROR(HLOOKUP(U113,List!$D$2:$H$6,2,FALSE),"")</f>
        <v/>
      </c>
      <c r="Z113" s="29" t="str">
        <f>IFERROR(HLOOKUP(V113,List!$D$2:$H$6,3,FALSE),"")</f>
        <v/>
      </c>
      <c r="AA113" s="29" t="str">
        <f>IFERROR(HLOOKUP(W113,List!$D$2:$H$6,4,FALSE),"")</f>
        <v/>
      </c>
      <c r="AB113" s="29" t="str">
        <f>IFERROR(HLOOKUP(X113,List!$D$2:$H$6,5,FALSE),"")</f>
        <v/>
      </c>
      <c r="AC113" s="12" t="str">
        <f t="shared" si="15"/>
        <v/>
      </c>
      <c r="AD113" s="12" t="str">
        <f t="shared" si="16"/>
        <v/>
      </c>
      <c r="AE113" s="12" t="str">
        <f t="shared" si="17"/>
        <v/>
      </c>
      <c r="AF113" s="12" t="str">
        <f t="shared" si="18"/>
        <v/>
      </c>
      <c r="AG113" t="str">
        <f>VLOOKUP(J113,'Receivable Invoice Detail'!$A$1:F3125,6,FALSE)</f>
        <v>[AC-52-231-827-009] Shaft (Sleeve Type), Allis-Chalmers CSO, Frame F4D1, 4140 Steel</v>
      </c>
      <c r="AH113" s="12">
        <f t="shared" si="14"/>
        <v>0</v>
      </c>
      <c r="AM113" s="12" t="str">
        <f t="shared" si="19"/>
        <v/>
      </c>
      <c r="AN113" s="12" t="str">
        <f t="shared" si="20"/>
        <v/>
      </c>
      <c r="AO113" s="12" t="str">
        <f t="shared" si="21"/>
        <v/>
      </c>
      <c r="AP113" s="12" t="str">
        <f t="shared" si="22"/>
        <v/>
      </c>
      <c r="AQ113" s="12"/>
      <c r="AS113" s="12">
        <f t="shared" si="23"/>
        <v>0</v>
      </c>
      <c r="AT113" s="16" t="str">
        <f t="shared" si="24"/>
        <v/>
      </c>
    </row>
    <row r="114" spans="1:46" hidden="1" x14ac:dyDescent="0.25">
      <c r="A114" s="41">
        <f>CASOPOInvCL!T114</f>
        <v>2</v>
      </c>
      <c r="B114" t="str">
        <f>CASOPOInvCL!Z114</f>
        <v>SO16516</v>
      </c>
      <c r="G114" s="5" t="str">
        <f>CASOPOInvCL!I114</f>
        <v>Taylor Cook</v>
      </c>
      <c r="H114" s="31">
        <f>CASOPOInvCL!U114</f>
        <v>1</v>
      </c>
      <c r="I114" s="31">
        <f>CASOPOInvCL!V114</f>
        <v>2025</v>
      </c>
      <c r="J114" s="5" t="str">
        <f>CASOPOInvCL!AB114</f>
        <v>INV12638</v>
      </c>
      <c r="K114" s="31">
        <f>CASOPOInvCL!W114</f>
        <v>3</v>
      </c>
      <c r="L114" s="31">
        <f>CASOPOInvCL!X114</f>
        <v>2025</v>
      </c>
      <c r="M114" s="31"/>
      <c r="N114" s="5" t="str">
        <f>CASOPOInvCL!AF114</f>
        <v>Canadian Bearings Ltd.</v>
      </c>
      <c r="O114" s="16" t="str">
        <f>CASOPOInvCL!AG114</f>
        <v>CAD</v>
      </c>
      <c r="P114" s="16">
        <f>CASOPOInvCL!AH114</f>
        <v>183.84</v>
      </c>
      <c r="Q114" s="16">
        <f>CASOPOInvCL!AI114</f>
        <v>128.48034772620912</v>
      </c>
      <c r="R114" s="32" t="str">
        <f>CASOPOInvCL!AU114</f>
        <v>Yes</v>
      </c>
      <c r="S114" s="16">
        <f>CASOPOInvCL!AV114</f>
        <v>0</v>
      </c>
      <c r="T114" s="16">
        <f>CASOPOInvCL!AW114</f>
        <v>128.48034772620912</v>
      </c>
      <c r="Y114" s="29" t="str">
        <f>IFERROR(HLOOKUP(U114,List!$D$2:$H$6,2,FALSE),"")</f>
        <v/>
      </c>
      <c r="Z114" s="29" t="str">
        <f>IFERROR(HLOOKUP(V114,List!$D$2:$H$6,3,FALSE),"")</f>
        <v/>
      </c>
      <c r="AA114" s="29" t="str">
        <f>IFERROR(HLOOKUP(W114,List!$D$2:$H$6,4,FALSE),"")</f>
        <v/>
      </c>
      <c r="AB114" s="29" t="str">
        <f>IFERROR(HLOOKUP(X114,List!$D$2:$H$6,5,FALSE),"")</f>
        <v/>
      </c>
      <c r="AC114" s="12" t="str">
        <f t="shared" si="15"/>
        <v/>
      </c>
      <c r="AD114" s="12" t="str">
        <f t="shared" si="16"/>
        <v/>
      </c>
      <c r="AE114" s="12" t="str">
        <f t="shared" si="17"/>
        <v/>
      </c>
      <c r="AF114" s="12" t="str">
        <f t="shared" si="18"/>
        <v/>
      </c>
      <c r="AG114" t="str">
        <f>VLOOKUP(J114,'Receivable Invoice Detail'!$A$1:F3126,6,FALSE)</f>
        <v>[AC-52-108-475-007] Deflector (Outboard), Allis Chalmers CSO, Frame F4D1, Steel</v>
      </c>
      <c r="AH114" s="12">
        <f t="shared" si="14"/>
        <v>0</v>
      </c>
      <c r="AM114" s="12" t="str">
        <f t="shared" si="19"/>
        <v/>
      </c>
      <c r="AN114" s="12" t="str">
        <f t="shared" si="20"/>
        <v/>
      </c>
      <c r="AO114" s="12" t="str">
        <f t="shared" si="21"/>
        <v/>
      </c>
      <c r="AP114" s="12" t="str">
        <f t="shared" si="22"/>
        <v/>
      </c>
      <c r="AQ114" s="12"/>
      <c r="AS114" s="12">
        <f t="shared" si="23"/>
        <v>1.9272052158931368</v>
      </c>
      <c r="AT114" s="16" t="str">
        <f t="shared" si="24"/>
        <v>Yes</v>
      </c>
    </row>
    <row r="115" spans="1:46" hidden="1" x14ac:dyDescent="0.25">
      <c r="A115" s="41">
        <f>CASOPOInvCL!T115</f>
        <v>2</v>
      </c>
      <c r="B115" t="str">
        <f>CASOPOInvCL!Z115</f>
        <v>SO16516</v>
      </c>
      <c r="G115" s="5">
        <f>CASOPOInvCL!I115</f>
        <v>0</v>
      </c>
      <c r="H115" s="31">
        <f>CASOPOInvCL!U115</f>
        <v>1</v>
      </c>
      <c r="I115" s="31">
        <f>CASOPOInvCL!V115</f>
        <v>2025</v>
      </c>
      <c r="J115" s="5" t="str">
        <f>CASOPOInvCL!AB115</f>
        <v>INV12675</v>
      </c>
      <c r="K115" s="31">
        <f>CASOPOInvCL!W115</f>
        <v>4</v>
      </c>
      <c r="L115" s="31">
        <f>CASOPOInvCL!X115</f>
        <v>2025</v>
      </c>
      <c r="M115" s="31"/>
      <c r="N115" s="5" t="str">
        <f>CASOPOInvCL!AF115</f>
        <v>Canadian Bearings Ltd.</v>
      </c>
      <c r="O115" s="16" t="str">
        <f>CASOPOInvCL!AG115</f>
        <v>CAD</v>
      </c>
      <c r="P115" s="16">
        <f>CASOPOInvCL!AH115</f>
        <v>0</v>
      </c>
      <c r="Q115" s="16">
        <f>CASOPOInvCL!AI115</f>
        <v>0</v>
      </c>
      <c r="R115" s="32" t="str">
        <f>CASOPOInvCL!AU115</f>
        <v/>
      </c>
      <c r="S115" s="16">
        <f>CASOPOInvCL!AV115</f>
        <v>0</v>
      </c>
      <c r="T115" s="16">
        <f>CASOPOInvCL!AW115</f>
        <v>0</v>
      </c>
      <c r="Y115" s="29" t="str">
        <f>IFERROR(HLOOKUP(U115,List!$D$2:$H$6,2,FALSE),"")</f>
        <v/>
      </c>
      <c r="Z115" s="29" t="str">
        <f>IFERROR(HLOOKUP(V115,List!$D$2:$H$6,3,FALSE),"")</f>
        <v/>
      </c>
      <c r="AA115" s="29" t="str">
        <f>IFERROR(HLOOKUP(W115,List!$D$2:$H$6,4,FALSE),"")</f>
        <v/>
      </c>
      <c r="AB115" s="29" t="str">
        <f>IFERROR(HLOOKUP(X115,List!$D$2:$H$6,5,FALSE),"")</f>
        <v/>
      </c>
      <c r="AC115" s="12" t="str">
        <f t="shared" si="15"/>
        <v/>
      </c>
      <c r="AD115" s="12" t="str">
        <f t="shared" si="16"/>
        <v/>
      </c>
      <c r="AE115" s="12" t="str">
        <f t="shared" si="17"/>
        <v/>
      </c>
      <c r="AF115" s="12" t="str">
        <f t="shared" si="18"/>
        <v/>
      </c>
      <c r="AG115" t="str">
        <f>VLOOKUP(J115,'Receivable Invoice Detail'!$A$1:F3127,6,FALSE)</f>
        <v>[AC-52-431-816-011] Casing Gasket, 8x6-13, Allis Chalmers CSO</v>
      </c>
      <c r="AH115" s="12">
        <f t="shared" si="14"/>
        <v>0</v>
      </c>
      <c r="AM115" s="12" t="str">
        <f t="shared" si="19"/>
        <v/>
      </c>
      <c r="AN115" s="12" t="str">
        <f t="shared" si="20"/>
        <v/>
      </c>
      <c r="AO115" s="12" t="str">
        <f t="shared" si="21"/>
        <v/>
      </c>
      <c r="AP115" s="12" t="str">
        <f t="shared" si="22"/>
        <v/>
      </c>
      <c r="AQ115" s="12"/>
      <c r="AS115" s="12">
        <f t="shared" si="23"/>
        <v>0</v>
      </c>
      <c r="AT115" s="16" t="str">
        <f t="shared" si="24"/>
        <v/>
      </c>
    </row>
    <row r="116" spans="1:46" hidden="1" x14ac:dyDescent="0.25">
      <c r="A116" s="41">
        <f>CASOPOInvCL!T116</f>
        <v>1</v>
      </c>
      <c r="B116" t="str">
        <f>CASOPOInvCL!Z116</f>
        <v>SO16517</v>
      </c>
      <c r="G116" s="5" t="str">
        <f>CASOPOInvCL!I116</f>
        <v>Ian Trottier</v>
      </c>
      <c r="H116" s="31">
        <f>CASOPOInvCL!U116</f>
        <v>1</v>
      </c>
      <c r="I116" s="31">
        <f>CASOPOInvCL!V116</f>
        <v>2025</v>
      </c>
      <c r="J116" s="5" t="str">
        <f>CASOPOInvCL!AB116</f>
        <v>INV12587</v>
      </c>
      <c r="K116" s="31">
        <f>CASOPOInvCL!W116</f>
        <v>2</v>
      </c>
      <c r="L116" s="31">
        <f>CASOPOInvCL!X116</f>
        <v>2025</v>
      </c>
      <c r="M116" s="31"/>
      <c r="N116" s="5" t="str">
        <f>CASOPOInvCL!AF116</f>
        <v>Motion Industries Inc. (U.S.) - Tucson</v>
      </c>
      <c r="O116" s="16" t="str">
        <f>CASOPOInvCL!AG116</f>
        <v>USD</v>
      </c>
      <c r="P116" s="16">
        <f>CASOPOInvCL!AH116</f>
        <v>239.0436789380793</v>
      </c>
      <c r="Q116" s="16">
        <f>CASOPOInvCL!AI116</f>
        <v>166.08</v>
      </c>
      <c r="R116" s="32" t="str">
        <f>CASOPOInvCL!AU116</f>
        <v>Yes</v>
      </c>
      <c r="S116" s="16">
        <f>CASOPOInvCL!AV116</f>
        <v>0</v>
      </c>
      <c r="T116" s="16">
        <f>CASOPOInvCL!AW116</f>
        <v>166.08</v>
      </c>
      <c r="Y116" s="29" t="str">
        <f>IFERROR(HLOOKUP(U116,List!$D$2:$H$6,2,FALSE),"")</f>
        <v/>
      </c>
      <c r="Z116" s="29" t="str">
        <f>IFERROR(HLOOKUP(V116,List!$D$2:$H$6,3,FALSE),"")</f>
        <v/>
      </c>
      <c r="AA116" s="29" t="str">
        <f>IFERROR(HLOOKUP(W116,List!$D$2:$H$6,4,FALSE),"")</f>
        <v/>
      </c>
      <c r="AB116" s="29" t="str">
        <f>IFERROR(HLOOKUP(X116,List!$D$2:$H$6,5,FALSE),"")</f>
        <v/>
      </c>
      <c r="AC116" s="12" t="str">
        <f t="shared" si="15"/>
        <v/>
      </c>
      <c r="AD116" s="12" t="str">
        <f t="shared" si="16"/>
        <v/>
      </c>
      <c r="AE116" s="12" t="str">
        <f t="shared" si="17"/>
        <v/>
      </c>
      <c r="AF116" s="12" t="str">
        <f t="shared" si="18"/>
        <v/>
      </c>
      <c r="AG116" t="str">
        <f>VLOOKUP(J116,'Receivable Invoice Detail'!$A$1:F3128,6,FALSE)</f>
        <v>[G-73705X 2229] Shaft Sleeve, 3196 MTX, 316SS</v>
      </c>
      <c r="AH116" s="12">
        <f t="shared" si="14"/>
        <v>0</v>
      </c>
      <c r="AM116" s="12" t="str">
        <f t="shared" si="19"/>
        <v/>
      </c>
      <c r="AN116" s="12" t="str">
        <f t="shared" si="20"/>
        <v/>
      </c>
      <c r="AO116" s="12" t="str">
        <f t="shared" si="21"/>
        <v/>
      </c>
      <c r="AP116" s="12" t="str">
        <f t="shared" si="22"/>
        <v/>
      </c>
      <c r="AQ116" s="12"/>
      <c r="AS116" s="12">
        <f t="shared" si="23"/>
        <v>2.4912000000000001</v>
      </c>
      <c r="AT116" s="16" t="str">
        <f t="shared" si="24"/>
        <v>Yes</v>
      </c>
    </row>
    <row r="117" spans="1:46" hidden="1" x14ac:dyDescent="0.25">
      <c r="A117" s="41">
        <f>CASOPOInvCL!T117</f>
        <v>1</v>
      </c>
      <c r="B117" t="str">
        <f>CASOPOInvCL!Z117</f>
        <v>SO16519</v>
      </c>
      <c r="G117" s="5" t="str">
        <f>CASOPOInvCL!I117</f>
        <v>Ian Trottier</v>
      </c>
      <c r="H117" s="31">
        <f>CASOPOInvCL!U117</f>
        <v>1</v>
      </c>
      <c r="I117" s="31">
        <f>CASOPOInvCL!V117</f>
        <v>2025</v>
      </c>
      <c r="J117" s="5" t="str">
        <f>CASOPOInvCL!AB117</f>
        <v>INV12828</v>
      </c>
      <c r="K117" s="31">
        <f>CASOPOInvCL!W117</f>
        <v>6</v>
      </c>
      <c r="L117" s="31">
        <f>CASOPOInvCL!X117</f>
        <v>2025</v>
      </c>
      <c r="M117" s="31"/>
      <c r="N117" s="5" t="str">
        <f>CASOPOInvCL!AF117</f>
        <v>Resolute Forest Products - Dolbeau</v>
      </c>
      <c r="O117" s="16" t="str">
        <f>CASOPOInvCL!AG117</f>
        <v>CAD</v>
      </c>
      <c r="P117" s="16">
        <f>CASOPOInvCL!AH117</f>
        <v>5963.04</v>
      </c>
      <c r="Q117" s="16">
        <f>CASOPOInvCL!AI117</f>
        <v>4174.6515546971068</v>
      </c>
      <c r="R117" s="32" t="str">
        <f>CASOPOInvCL!AU117</f>
        <v>Yes</v>
      </c>
      <c r="S117" s="16">
        <f>CASOPOInvCL!AV117</f>
        <v>0</v>
      </c>
      <c r="T117" s="16">
        <f>CASOPOInvCL!AW117</f>
        <v>4174.6515546971068</v>
      </c>
      <c r="Y117" s="29" t="str">
        <f>IFERROR(HLOOKUP(U117,List!$D$2:$H$6,2,FALSE),"")</f>
        <v/>
      </c>
      <c r="Z117" s="29" t="str">
        <f>IFERROR(HLOOKUP(V117,List!$D$2:$H$6,3,FALSE),"")</f>
        <v/>
      </c>
      <c r="AA117" s="29" t="str">
        <f>IFERROR(HLOOKUP(W117,List!$D$2:$H$6,4,FALSE),"")</f>
        <v/>
      </c>
      <c r="AB117" s="29" t="str">
        <f>IFERROR(HLOOKUP(X117,List!$D$2:$H$6,5,FALSE),"")</f>
        <v/>
      </c>
      <c r="AC117" s="12" t="str">
        <f t="shared" si="15"/>
        <v/>
      </c>
      <c r="AD117" s="12" t="str">
        <f t="shared" si="16"/>
        <v/>
      </c>
      <c r="AE117" s="12" t="str">
        <f t="shared" si="17"/>
        <v/>
      </c>
      <c r="AF117" s="12" t="str">
        <f t="shared" si="18"/>
        <v/>
      </c>
      <c r="AG117" t="str">
        <f>VLOOKUP(J117,'Receivable Invoice Detail'!$A$1:F3129,6,FALSE)</f>
        <v>[PM 2083] Impeller, Worthington 4-FRBH-182, 316SS</v>
      </c>
      <c r="AH117" s="12">
        <f t="shared" si="14"/>
        <v>0</v>
      </c>
      <c r="AM117" s="12" t="str">
        <f t="shared" si="19"/>
        <v/>
      </c>
      <c r="AN117" s="12" t="str">
        <f t="shared" si="20"/>
        <v/>
      </c>
      <c r="AO117" s="12" t="str">
        <f t="shared" si="21"/>
        <v/>
      </c>
      <c r="AP117" s="12" t="str">
        <f t="shared" si="22"/>
        <v/>
      </c>
      <c r="AQ117" s="12"/>
      <c r="AS117" s="12">
        <f t="shared" si="23"/>
        <v>62.619773320456602</v>
      </c>
      <c r="AT117" s="16" t="str">
        <f t="shared" si="24"/>
        <v>Yes</v>
      </c>
    </row>
    <row r="118" spans="1:46" hidden="1" x14ac:dyDescent="0.25">
      <c r="A118" s="41">
        <f>CASOPOInvCL!T118</f>
        <v>1</v>
      </c>
      <c r="B118" t="str">
        <f>CASOPOInvCL!Z118</f>
        <v>SO16520</v>
      </c>
      <c r="G118" s="5" t="str">
        <f>CASOPOInvCL!I118</f>
        <v>Ian Trottier</v>
      </c>
      <c r="H118" s="31">
        <f>CASOPOInvCL!U118</f>
        <v>1</v>
      </c>
      <c r="I118" s="31">
        <f>CASOPOInvCL!V118</f>
        <v>2025</v>
      </c>
      <c r="J118" s="5" t="str">
        <f>CASOPOInvCL!AB118</f>
        <v>INV12586</v>
      </c>
      <c r="K118" s="31">
        <f>CASOPOInvCL!W118</f>
        <v>2</v>
      </c>
      <c r="L118" s="31">
        <f>CASOPOInvCL!X118</f>
        <v>2025</v>
      </c>
      <c r="M118" s="31"/>
      <c r="N118" s="5" t="str">
        <f>CASOPOInvCL!AF118</f>
        <v>Motion Industries Inc. (Canada) - Prince George</v>
      </c>
      <c r="O118" s="16" t="str">
        <f>CASOPOInvCL!AG118</f>
        <v>CAD</v>
      </c>
      <c r="P118" s="16">
        <f>CASOPOInvCL!AH118</f>
        <v>221.6</v>
      </c>
      <c r="Q118" s="16">
        <f>CASOPOInvCL!AI118</f>
        <v>153.73070620518845</v>
      </c>
      <c r="R118" s="32" t="str">
        <f>CASOPOInvCL!AU118</f>
        <v>Yes</v>
      </c>
      <c r="S118" s="16">
        <f>CASOPOInvCL!AV118</f>
        <v>0</v>
      </c>
      <c r="T118" s="16">
        <f>CASOPOInvCL!AW118</f>
        <v>153.73070620518845</v>
      </c>
      <c r="Y118" s="29" t="str">
        <f>IFERROR(HLOOKUP(U118,List!$D$2:$H$6,2,FALSE),"")</f>
        <v/>
      </c>
      <c r="Z118" s="29" t="str">
        <f>IFERROR(HLOOKUP(V118,List!$D$2:$H$6,3,FALSE),"")</f>
        <v/>
      </c>
      <c r="AA118" s="29" t="str">
        <f>IFERROR(HLOOKUP(W118,List!$D$2:$H$6,4,FALSE),"")</f>
        <v/>
      </c>
      <c r="AB118" s="29" t="str">
        <f>IFERROR(HLOOKUP(X118,List!$D$2:$H$6,5,FALSE),"")</f>
        <v/>
      </c>
      <c r="AC118" s="12" t="str">
        <f t="shared" si="15"/>
        <v/>
      </c>
      <c r="AD118" s="12" t="str">
        <f t="shared" si="16"/>
        <v/>
      </c>
      <c r="AE118" s="12" t="str">
        <f t="shared" si="17"/>
        <v/>
      </c>
      <c r="AF118" s="12" t="str">
        <f t="shared" si="18"/>
        <v/>
      </c>
      <c r="AG118" t="str">
        <f>VLOOKUP(J118,'Receivable Invoice Detail'!$A$1:F3130,6,FALSE)</f>
        <v>[W-E4124/S01] Volute Liner Seal, 6/4 D or E-AH, EPDM Rubber</v>
      </c>
      <c r="AH118" s="12">
        <f t="shared" si="14"/>
        <v>0</v>
      </c>
      <c r="AM118" s="12" t="str">
        <f t="shared" si="19"/>
        <v/>
      </c>
      <c r="AN118" s="12" t="str">
        <f t="shared" si="20"/>
        <v/>
      </c>
      <c r="AO118" s="12" t="str">
        <f t="shared" si="21"/>
        <v/>
      </c>
      <c r="AP118" s="12" t="str">
        <f t="shared" si="22"/>
        <v/>
      </c>
      <c r="AQ118" s="12"/>
      <c r="AS118" s="12">
        <f t="shared" si="23"/>
        <v>2.3059605930778266</v>
      </c>
      <c r="AT118" s="16" t="str">
        <f t="shared" si="24"/>
        <v>Yes</v>
      </c>
    </row>
    <row r="119" spans="1:46" hidden="1" x14ac:dyDescent="0.25">
      <c r="A119" s="41">
        <f>CASOPOInvCL!T119</f>
        <v>1</v>
      </c>
      <c r="B119" t="str">
        <f>CASOPOInvCL!Z119</f>
        <v>SO16521</v>
      </c>
      <c r="G119" s="5" t="str">
        <f>CASOPOInvCL!I119</f>
        <v>Ian Trottier</v>
      </c>
      <c r="H119" s="31">
        <f>CASOPOInvCL!U119</f>
        <v>1</v>
      </c>
      <c r="I119" s="31">
        <f>CASOPOInvCL!V119</f>
        <v>2025</v>
      </c>
      <c r="J119" s="5" t="str">
        <f>CASOPOInvCL!AB119</f>
        <v>INV12772</v>
      </c>
      <c r="K119" s="31">
        <f>CASOPOInvCL!W119</f>
        <v>5</v>
      </c>
      <c r="L119" s="31">
        <f>CASOPOInvCL!X119</f>
        <v>2025</v>
      </c>
      <c r="M119" s="31"/>
      <c r="N119" s="5" t="str">
        <f>CASOPOInvCL!AF119</f>
        <v>PT Vale Indonesia Tbk.</v>
      </c>
      <c r="O119" s="16" t="str">
        <f>CASOPOInvCL!AG119</f>
        <v>USD</v>
      </c>
      <c r="P119" s="16">
        <f>CASOPOInvCL!AH119</f>
        <v>3553.7020911495529</v>
      </c>
      <c r="Q119" s="16">
        <f>CASOPOInvCL!AI119</f>
        <v>2469</v>
      </c>
      <c r="R119" s="32" t="str">
        <f>CASOPOInvCL!AU119</f>
        <v>Yes</v>
      </c>
      <c r="S119" s="16">
        <f>CASOPOInvCL!AV119</f>
        <v>0</v>
      </c>
      <c r="T119" s="16">
        <f>CASOPOInvCL!AW119</f>
        <v>2469</v>
      </c>
      <c r="Y119" s="29" t="str">
        <f>IFERROR(HLOOKUP(U119,List!$D$2:$H$6,2,FALSE),"")</f>
        <v/>
      </c>
      <c r="Z119" s="29" t="str">
        <f>IFERROR(HLOOKUP(V119,List!$D$2:$H$6,3,FALSE),"")</f>
        <v/>
      </c>
      <c r="AA119" s="29" t="str">
        <f>IFERROR(HLOOKUP(W119,List!$D$2:$H$6,4,FALSE),"")</f>
        <v/>
      </c>
      <c r="AB119" s="29" t="str">
        <f>IFERROR(HLOOKUP(X119,List!$D$2:$H$6,5,FALSE),"")</f>
        <v/>
      </c>
      <c r="AC119" s="12" t="str">
        <f t="shared" si="15"/>
        <v/>
      </c>
      <c r="AD119" s="12" t="str">
        <f t="shared" si="16"/>
        <v/>
      </c>
      <c r="AE119" s="12" t="str">
        <f t="shared" si="17"/>
        <v/>
      </c>
      <c r="AF119" s="12" t="str">
        <f t="shared" si="18"/>
        <v/>
      </c>
      <c r="AG119" t="str">
        <f>VLOOKUP(J119,'Receivable Invoice Detail'!$A$1:F3131,6,FALSE)</f>
        <v>[AC-98-431-743-501] Shaft Assembly, 10x8-21 SRL-C, 1045 Steel</v>
      </c>
      <c r="AH119" s="12">
        <f t="shared" si="14"/>
        <v>0</v>
      </c>
      <c r="AM119" s="12" t="str">
        <f t="shared" si="19"/>
        <v/>
      </c>
      <c r="AN119" s="12" t="str">
        <f t="shared" si="20"/>
        <v/>
      </c>
      <c r="AO119" s="12" t="str">
        <f t="shared" si="21"/>
        <v/>
      </c>
      <c r="AP119" s="12" t="str">
        <f t="shared" si="22"/>
        <v/>
      </c>
      <c r="AQ119" s="12"/>
      <c r="AS119" s="12">
        <f t="shared" si="23"/>
        <v>37.034999999999997</v>
      </c>
      <c r="AT119" s="16" t="str">
        <f t="shared" si="24"/>
        <v>Yes</v>
      </c>
    </row>
    <row r="120" spans="1:46" hidden="1" x14ac:dyDescent="0.25">
      <c r="A120" s="41">
        <f>CASOPOInvCL!T120</f>
        <v>2</v>
      </c>
      <c r="B120" t="str">
        <f>CASOPOInvCL!Z120</f>
        <v>SO16522</v>
      </c>
      <c r="G120" s="5" t="str">
        <f>CASOPOInvCL!I120</f>
        <v>Ian Trottier</v>
      </c>
      <c r="H120" s="31">
        <f>CASOPOInvCL!U120</f>
        <v>1</v>
      </c>
      <c r="I120" s="31">
        <f>CASOPOInvCL!V120</f>
        <v>2025</v>
      </c>
      <c r="J120" s="5" t="str">
        <f>CASOPOInvCL!AB120</f>
        <v>INV12625</v>
      </c>
      <c r="K120" s="31">
        <f>CASOPOInvCL!W120</f>
        <v>2</v>
      </c>
      <c r="L120" s="31">
        <f>CASOPOInvCL!X120</f>
        <v>2025</v>
      </c>
      <c r="M120" s="31"/>
      <c r="N120" s="5" t="str">
        <f>CASOPOInvCL!AF120</f>
        <v>D&amp;H Materials Inc</v>
      </c>
      <c r="O120" s="16" t="str">
        <f>CASOPOInvCL!AG120</f>
        <v>USD</v>
      </c>
      <c r="P120" s="16">
        <f>CASOPOInvCL!AH120</f>
        <v>1011.6318583251989</v>
      </c>
      <c r="Q120" s="16">
        <f>CASOPOInvCL!AI120</f>
        <v>701.8</v>
      </c>
      <c r="R120" s="32" t="str">
        <f>CASOPOInvCL!AU120</f>
        <v>Yes</v>
      </c>
      <c r="S120" s="16">
        <f>CASOPOInvCL!AV120</f>
        <v>0</v>
      </c>
      <c r="T120" s="16">
        <f>CASOPOInvCL!AW120</f>
        <v>701.8</v>
      </c>
      <c r="Y120" s="29" t="str">
        <f>IFERROR(HLOOKUP(U120,List!$D$2:$H$6,2,FALSE),"")</f>
        <v/>
      </c>
      <c r="Z120" s="29" t="str">
        <f>IFERROR(HLOOKUP(V120,List!$D$2:$H$6,3,FALSE),"")</f>
        <v/>
      </c>
      <c r="AA120" s="29" t="str">
        <f>IFERROR(HLOOKUP(W120,List!$D$2:$H$6,4,FALSE),"")</f>
        <v/>
      </c>
      <c r="AB120" s="29" t="str">
        <f>IFERROR(HLOOKUP(X120,List!$D$2:$H$6,5,FALSE),"")</f>
        <v/>
      </c>
      <c r="AC120" s="12" t="str">
        <f t="shared" si="15"/>
        <v/>
      </c>
      <c r="AD120" s="12" t="str">
        <f t="shared" si="16"/>
        <v/>
      </c>
      <c r="AE120" s="12" t="str">
        <f t="shared" si="17"/>
        <v/>
      </c>
      <c r="AF120" s="12" t="str">
        <f t="shared" si="18"/>
        <v/>
      </c>
      <c r="AG120" t="str">
        <f>VLOOKUP(J120,'Receivable Invoice Detail'!$A$1:F3132,6,FALSE)</f>
        <v>[DE-503562] Packing Set, (5 Pre-Cut Rings), 10x8-21 Denver SRL-C, Premium Kevlar Slurry Packing</v>
      </c>
      <c r="AH120" s="12">
        <f t="shared" si="14"/>
        <v>0</v>
      </c>
      <c r="AM120" s="12" t="str">
        <f t="shared" si="19"/>
        <v/>
      </c>
      <c r="AN120" s="12" t="str">
        <f t="shared" si="20"/>
        <v/>
      </c>
      <c r="AO120" s="12" t="str">
        <f t="shared" si="21"/>
        <v/>
      </c>
      <c r="AP120" s="12" t="str">
        <f t="shared" si="22"/>
        <v/>
      </c>
      <c r="AQ120" s="12"/>
      <c r="AS120" s="12">
        <f t="shared" si="23"/>
        <v>10.526999999999999</v>
      </c>
      <c r="AT120" s="16" t="str">
        <f t="shared" si="24"/>
        <v>Yes</v>
      </c>
    </row>
    <row r="121" spans="1:46" hidden="1" x14ac:dyDescent="0.25">
      <c r="A121" s="41">
        <f>CASOPOInvCL!T121</f>
        <v>2</v>
      </c>
      <c r="B121" t="str">
        <f>CASOPOInvCL!Z121</f>
        <v>SO16522</v>
      </c>
      <c r="G121" s="5">
        <f>CASOPOInvCL!I121</f>
        <v>0</v>
      </c>
      <c r="H121" s="31">
        <f>CASOPOInvCL!U121</f>
        <v>1</v>
      </c>
      <c r="I121" s="31">
        <f>CASOPOInvCL!V121</f>
        <v>2025</v>
      </c>
      <c r="J121" s="5" t="str">
        <f>CASOPOInvCL!AB121</f>
        <v>INV12921</v>
      </c>
      <c r="K121" s="31">
        <f>CASOPOInvCL!W121</f>
        <v>4</v>
      </c>
      <c r="L121" s="31">
        <f>CASOPOInvCL!X121</f>
        <v>2025</v>
      </c>
      <c r="M121" s="31"/>
      <c r="N121" s="5" t="str">
        <f>CASOPOInvCL!AF121</f>
        <v>D&amp;H Materials Inc</v>
      </c>
      <c r="O121" s="16" t="str">
        <f>CASOPOInvCL!AG121</f>
        <v>USD</v>
      </c>
      <c r="P121" s="16">
        <f>CASOPOInvCL!AH121</f>
        <v>0</v>
      </c>
      <c r="Q121" s="16">
        <f>CASOPOInvCL!AI121</f>
        <v>0</v>
      </c>
      <c r="R121" s="32" t="str">
        <f>CASOPOInvCL!AU121</f>
        <v/>
      </c>
      <c r="S121" s="16">
        <f>CASOPOInvCL!AV121</f>
        <v>0</v>
      </c>
      <c r="T121" s="16">
        <f>CASOPOInvCL!AW121</f>
        <v>0</v>
      </c>
      <c r="Y121" s="29" t="str">
        <f>IFERROR(HLOOKUP(U121,List!$D$2:$H$6,2,FALSE),"")</f>
        <v/>
      </c>
      <c r="Z121" s="29" t="str">
        <f>IFERROR(HLOOKUP(V121,List!$D$2:$H$6,3,FALSE),"")</f>
        <v/>
      </c>
      <c r="AA121" s="29" t="str">
        <f>IFERROR(HLOOKUP(W121,List!$D$2:$H$6,4,FALSE),"")</f>
        <v/>
      </c>
      <c r="AB121" s="29" t="str">
        <f>IFERROR(HLOOKUP(X121,List!$D$2:$H$6,5,FALSE),"")</f>
        <v/>
      </c>
      <c r="AC121" s="12" t="str">
        <f t="shared" si="15"/>
        <v/>
      </c>
      <c r="AD121" s="12" t="str">
        <f t="shared" si="16"/>
        <v/>
      </c>
      <c r="AE121" s="12" t="str">
        <f t="shared" si="17"/>
        <v/>
      </c>
      <c r="AF121" s="12" t="str">
        <f t="shared" si="18"/>
        <v/>
      </c>
      <c r="AG121" t="str">
        <f>VLOOKUP(J121,'Receivable Invoice Detail'!$A$1:F3133,6,FALSE)</f>
        <v>[DE-503453] Lantern Ring, 8x6-18 SRL-C, Denver, Steel</v>
      </c>
      <c r="AH121" s="12">
        <f t="shared" si="14"/>
        <v>0</v>
      </c>
      <c r="AM121" s="12" t="str">
        <f t="shared" si="19"/>
        <v/>
      </c>
      <c r="AN121" s="12" t="str">
        <f t="shared" si="20"/>
        <v/>
      </c>
      <c r="AO121" s="12" t="str">
        <f t="shared" si="21"/>
        <v/>
      </c>
      <c r="AP121" s="12" t="str">
        <f t="shared" si="22"/>
        <v/>
      </c>
      <c r="AQ121" s="12"/>
      <c r="AS121" s="12">
        <f t="shared" si="23"/>
        <v>0</v>
      </c>
      <c r="AT121" s="16" t="str">
        <f t="shared" si="24"/>
        <v/>
      </c>
    </row>
    <row r="122" spans="1:46" hidden="1" x14ac:dyDescent="0.25">
      <c r="A122" s="41">
        <f>CASOPOInvCL!T122</f>
        <v>2</v>
      </c>
      <c r="B122" t="str">
        <f>CASOPOInvCL!Z122</f>
        <v>SO16525</v>
      </c>
      <c r="G122" s="5" t="str">
        <f>CASOPOInvCL!I122</f>
        <v>Ian Trottier</v>
      </c>
      <c r="H122" s="31">
        <f>CASOPOInvCL!U122</f>
        <v>1</v>
      </c>
      <c r="I122" s="31">
        <f>CASOPOInvCL!V122</f>
        <v>2025</v>
      </c>
      <c r="J122" s="5" t="str">
        <f>CASOPOInvCL!AB122</f>
        <v>INV12830</v>
      </c>
      <c r="K122" s="31">
        <f>CASOPOInvCL!W122</f>
        <v>5</v>
      </c>
      <c r="L122" s="31">
        <f>CASOPOInvCL!X122</f>
        <v>2025</v>
      </c>
      <c r="M122" s="31"/>
      <c r="N122" s="5" t="str">
        <f>CASOPOInvCL!AF122</f>
        <v>Cartledge &amp; Associates Inc.</v>
      </c>
      <c r="O122" s="16" t="str">
        <f>CASOPOInvCL!AG122</f>
        <v>USD</v>
      </c>
      <c r="P122" s="16">
        <f>CASOPOInvCL!AH122</f>
        <v>10249.502200717283</v>
      </c>
      <c r="Q122" s="16">
        <f>CASOPOInvCL!AI122</f>
        <v>7054.91</v>
      </c>
      <c r="R122" s="32" t="str">
        <f>CASOPOInvCL!AU122</f>
        <v>Yes</v>
      </c>
      <c r="S122" s="16">
        <f>CASOPOInvCL!AV122</f>
        <v>643</v>
      </c>
      <c r="T122" s="16">
        <f>CASOPOInvCL!AW122</f>
        <v>6411.91</v>
      </c>
      <c r="Y122" s="29" t="str">
        <f>IFERROR(HLOOKUP(U122,List!$D$2:$H$6,2,FALSE),"")</f>
        <v/>
      </c>
      <c r="Z122" s="29" t="str">
        <f>IFERROR(HLOOKUP(V122,List!$D$2:$H$6,3,FALSE),"")</f>
        <v/>
      </c>
      <c r="AA122" s="29" t="str">
        <f>IFERROR(HLOOKUP(W122,List!$D$2:$H$6,4,FALSE),"")</f>
        <v/>
      </c>
      <c r="AB122" s="29" t="str">
        <f>IFERROR(HLOOKUP(X122,List!$D$2:$H$6,5,FALSE),"")</f>
        <v/>
      </c>
      <c r="AC122" s="12" t="str">
        <f t="shared" si="15"/>
        <v/>
      </c>
      <c r="AD122" s="12" t="str">
        <f t="shared" si="16"/>
        <v/>
      </c>
      <c r="AE122" s="12" t="str">
        <f t="shared" si="17"/>
        <v/>
      </c>
      <c r="AF122" s="12" t="str">
        <f t="shared" si="18"/>
        <v/>
      </c>
      <c r="AG122" t="str">
        <f>VLOOKUP(J122,'Receivable Invoice Detail'!$A$1:F3134,6,FALSE)</f>
        <v>[504889] Impeller, 8x6, Denver SRL, Natural Rubber</v>
      </c>
      <c r="AH122" s="12">
        <f t="shared" si="14"/>
        <v>0</v>
      </c>
      <c r="AM122" s="12" t="str">
        <f t="shared" si="19"/>
        <v/>
      </c>
      <c r="AN122" s="12" t="str">
        <f t="shared" si="20"/>
        <v/>
      </c>
      <c r="AO122" s="12" t="str">
        <f t="shared" si="21"/>
        <v/>
      </c>
      <c r="AP122" s="12" t="str">
        <f t="shared" si="22"/>
        <v/>
      </c>
      <c r="AQ122" s="12"/>
      <c r="AS122" s="12">
        <f t="shared" si="23"/>
        <v>96.17864999999999</v>
      </c>
      <c r="AT122" s="16" t="str">
        <f t="shared" si="24"/>
        <v>Yes</v>
      </c>
    </row>
    <row r="123" spans="1:46" hidden="1" x14ac:dyDescent="0.25">
      <c r="A123" s="41">
        <f>CASOPOInvCL!T123</f>
        <v>2</v>
      </c>
      <c r="B123" t="str">
        <f>CASOPOInvCL!Z123</f>
        <v>SO16525</v>
      </c>
      <c r="G123" s="5">
        <f>CASOPOInvCL!I123</f>
        <v>0</v>
      </c>
      <c r="H123" s="31">
        <f>CASOPOInvCL!U123</f>
        <v>1</v>
      </c>
      <c r="I123" s="31">
        <f>CASOPOInvCL!V123</f>
        <v>2025</v>
      </c>
      <c r="J123" s="5" t="str">
        <f>CASOPOInvCL!AB123</f>
        <v>INV12604</v>
      </c>
      <c r="K123" s="31">
        <f>CASOPOInvCL!W123</f>
        <v>4</v>
      </c>
      <c r="L123" s="31">
        <f>CASOPOInvCL!X123</f>
        <v>2025</v>
      </c>
      <c r="M123" s="31"/>
      <c r="N123" s="5" t="str">
        <f>CASOPOInvCL!AF123</f>
        <v>Cartledge &amp; Associates Inc.</v>
      </c>
      <c r="O123" s="16" t="str">
        <f>CASOPOInvCL!AG123</f>
        <v>USD</v>
      </c>
      <c r="P123" s="16">
        <f>CASOPOInvCL!AH123</f>
        <v>0</v>
      </c>
      <c r="Q123" s="16">
        <f>CASOPOInvCL!AI123</f>
        <v>0</v>
      </c>
      <c r="R123" s="32" t="str">
        <f>CASOPOInvCL!AU123</f>
        <v/>
      </c>
      <c r="S123" s="16">
        <f>CASOPOInvCL!AV123</f>
        <v>605</v>
      </c>
      <c r="T123" s="16">
        <f>CASOPOInvCL!AW123</f>
        <v>0</v>
      </c>
      <c r="Y123" s="29" t="str">
        <f>IFERROR(HLOOKUP(U123,List!$D$2:$H$6,2,FALSE),"")</f>
        <v/>
      </c>
      <c r="Z123" s="29" t="str">
        <f>IFERROR(HLOOKUP(V123,List!$D$2:$H$6,3,FALSE),"")</f>
        <v/>
      </c>
      <c r="AA123" s="29" t="str">
        <f>IFERROR(HLOOKUP(W123,List!$D$2:$H$6,4,FALSE),"")</f>
        <v/>
      </c>
      <c r="AB123" s="29" t="str">
        <f>IFERROR(HLOOKUP(X123,List!$D$2:$H$6,5,FALSE),"")</f>
        <v/>
      </c>
      <c r="AC123" s="12" t="str">
        <f t="shared" si="15"/>
        <v/>
      </c>
      <c r="AD123" s="12" t="str">
        <f t="shared" si="16"/>
        <v/>
      </c>
      <c r="AE123" s="12" t="str">
        <f t="shared" si="17"/>
        <v/>
      </c>
      <c r="AF123" s="12" t="str">
        <f t="shared" si="18"/>
        <v/>
      </c>
      <c r="AG123" t="str">
        <f>VLOOKUP(J123,'Receivable Invoice Detail'!$A$1:F3135,6,FALSE)</f>
        <v>[AC-98-231-121-501] Suction Side Plate, 8x6-18 SRL-C, Natural Rubber</v>
      </c>
      <c r="AH123" s="12">
        <f t="shared" si="14"/>
        <v>0</v>
      </c>
      <c r="AM123" s="12" t="str">
        <f t="shared" si="19"/>
        <v/>
      </c>
      <c r="AN123" s="12" t="str">
        <f t="shared" si="20"/>
        <v/>
      </c>
      <c r="AO123" s="12" t="str">
        <f t="shared" si="21"/>
        <v/>
      </c>
      <c r="AP123" s="12" t="str">
        <f t="shared" si="22"/>
        <v/>
      </c>
      <c r="AQ123" s="12"/>
      <c r="AS123" s="12">
        <f t="shared" si="23"/>
        <v>0</v>
      </c>
      <c r="AT123" s="16" t="str">
        <f t="shared" si="24"/>
        <v/>
      </c>
    </row>
    <row r="124" spans="1:46" hidden="1" x14ac:dyDescent="0.25">
      <c r="A124" s="41">
        <f>CASOPOInvCL!T124</f>
        <v>1</v>
      </c>
      <c r="B124" t="str">
        <f>CASOPOInvCL!Z124</f>
        <v>SO16526</v>
      </c>
      <c r="G124" s="5" t="str">
        <f>CASOPOInvCL!I124</f>
        <v>Ian Trottier</v>
      </c>
      <c r="H124" s="31">
        <f>CASOPOInvCL!U124</f>
        <v>1</v>
      </c>
      <c r="I124" s="31">
        <f>CASOPOInvCL!V124</f>
        <v>2025</v>
      </c>
      <c r="J124" s="5" t="str">
        <f>CASOPOInvCL!AB124</f>
        <v>INV12612</v>
      </c>
      <c r="K124" s="31">
        <f>CASOPOInvCL!W124</f>
        <v>4</v>
      </c>
      <c r="L124" s="31">
        <f>CASOPOInvCL!X124</f>
        <v>2025</v>
      </c>
      <c r="M124" s="31"/>
      <c r="N124" s="5" t="str">
        <f>CASOPOInvCL!AF124</f>
        <v>Resolute Forest Products - Saint-Felicien</v>
      </c>
      <c r="O124" s="16" t="str">
        <f>CASOPOInvCL!AG124</f>
        <v>CAD</v>
      </c>
      <c r="P124" s="16">
        <f>CASOPOInvCL!AH124</f>
        <v>301.76</v>
      </c>
      <c r="Q124" s="16">
        <f>CASOPOInvCL!AI124</f>
        <v>210.85673351319636</v>
      </c>
      <c r="R124" s="32" t="str">
        <f>CASOPOInvCL!AU124</f>
        <v>Yes</v>
      </c>
      <c r="S124" s="16">
        <f>CASOPOInvCL!AV124</f>
        <v>0</v>
      </c>
      <c r="T124" s="16">
        <f>CASOPOInvCL!AW124</f>
        <v>210.85673351319636</v>
      </c>
      <c r="Y124" s="29" t="str">
        <f>IFERROR(HLOOKUP(U124,List!$D$2:$H$6,2,FALSE),"")</f>
        <v/>
      </c>
      <c r="Z124" s="29" t="str">
        <f>IFERROR(HLOOKUP(V124,List!$D$2:$H$6,3,FALSE),"")</f>
        <v/>
      </c>
      <c r="AA124" s="29" t="str">
        <f>IFERROR(HLOOKUP(W124,List!$D$2:$H$6,4,FALSE),"")</f>
        <v/>
      </c>
      <c r="AB124" s="29" t="str">
        <f>IFERROR(HLOOKUP(X124,List!$D$2:$H$6,5,FALSE),"")</f>
        <v/>
      </c>
      <c r="AC124" s="12" t="str">
        <f t="shared" si="15"/>
        <v/>
      </c>
      <c r="AD124" s="12" t="str">
        <f t="shared" si="16"/>
        <v/>
      </c>
      <c r="AE124" s="12" t="str">
        <f t="shared" si="17"/>
        <v/>
      </c>
      <c r="AF124" s="12" t="str">
        <f t="shared" si="18"/>
        <v/>
      </c>
      <c r="AG124" t="str">
        <f>VLOOKUP(J124,'Receivable Invoice Detail'!$A$1:F3136,6,FALSE)</f>
        <v>[AC-52-108-475-012] Deflector (Inboard), Allis-Chalmers PWO, Group 2</v>
      </c>
      <c r="AH124" s="12">
        <f t="shared" si="14"/>
        <v>0</v>
      </c>
      <c r="AM124" s="12" t="str">
        <f t="shared" si="19"/>
        <v/>
      </c>
      <c r="AN124" s="12" t="str">
        <f t="shared" si="20"/>
        <v/>
      </c>
      <c r="AO124" s="12" t="str">
        <f t="shared" si="21"/>
        <v/>
      </c>
      <c r="AP124" s="12" t="str">
        <f t="shared" si="22"/>
        <v/>
      </c>
      <c r="AQ124" s="12"/>
      <c r="AS124" s="12">
        <f t="shared" si="23"/>
        <v>3.1628510026979453</v>
      </c>
      <c r="AT124" s="16" t="str">
        <f t="shared" si="24"/>
        <v>Yes</v>
      </c>
    </row>
    <row r="125" spans="1:46" hidden="1" x14ac:dyDescent="0.25">
      <c r="A125" s="41">
        <f>CASOPOInvCL!T125</f>
        <v>2</v>
      </c>
      <c r="B125" t="str">
        <f>CASOPOInvCL!Z125</f>
        <v>SO16527</v>
      </c>
      <c r="D125" t="s">
        <v>5925</v>
      </c>
      <c r="G125" s="5" t="str">
        <f>CASOPOInvCL!I125</f>
        <v>Ian Trottier</v>
      </c>
      <c r="H125" s="31">
        <f>CASOPOInvCL!U125</f>
        <v>1</v>
      </c>
      <c r="I125" s="31">
        <f>CASOPOInvCL!V125</f>
        <v>2025</v>
      </c>
      <c r="J125" s="5" t="str">
        <f>CASOPOInvCL!AB125</f>
        <v>INV13100</v>
      </c>
      <c r="K125" s="31">
        <f>CASOPOInvCL!W125</f>
        <v>8</v>
      </c>
      <c r="L125" s="31">
        <f>CASOPOInvCL!X125</f>
        <v>2025</v>
      </c>
      <c r="M125">
        <v>2503</v>
      </c>
      <c r="N125" s="5" t="str">
        <f>CASOPOInvCL!AF125</f>
        <v>Resolute Forest Products - Saint-Felicien</v>
      </c>
      <c r="O125" s="16" t="str">
        <f>CASOPOInvCL!AG125</f>
        <v>CAD</v>
      </c>
      <c r="P125" s="16">
        <f>CASOPOInvCL!AH125</f>
        <v>6392.94</v>
      </c>
      <c r="Q125" s="16">
        <f>CASOPOInvCL!AI125</f>
        <v>4474.1661090711332</v>
      </c>
      <c r="R125" s="32" t="str">
        <f>CASOPOInvCL!AU125</f>
        <v>Yes</v>
      </c>
      <c r="S125" s="16">
        <f>CASOPOInvCL!AV125</f>
        <v>0</v>
      </c>
      <c r="T125" s="16">
        <f>CASOPOInvCL!AW125</f>
        <v>4474.1661090711332</v>
      </c>
      <c r="V125" t="s">
        <v>5800</v>
      </c>
      <c r="Y125" s="29" t="str">
        <f>IFERROR(HLOOKUP(U125,List!$D$2:$H$6,2,FALSE),"")</f>
        <v/>
      </c>
      <c r="Z125" s="29">
        <f>IFERROR(HLOOKUP(V125,List!$D$2:$H$6,3,FALSE),"")</f>
        <v>5.0000000000000001E-3</v>
      </c>
      <c r="AA125" s="29" t="str">
        <f>IFERROR(HLOOKUP(W125,List!$D$2:$H$6,4,FALSE),"")</f>
        <v/>
      </c>
      <c r="AB125" s="29" t="str">
        <f>IFERROR(HLOOKUP(X125,List!$D$2:$H$6,5,FALSE),"")</f>
        <v/>
      </c>
      <c r="AC125" s="12" t="str">
        <f t="shared" si="15"/>
        <v/>
      </c>
      <c r="AD125" s="12">
        <f t="shared" si="16"/>
        <v>22.370830545355666</v>
      </c>
      <c r="AE125" s="12" t="str">
        <f t="shared" si="17"/>
        <v/>
      </c>
      <c r="AF125" s="12" t="str">
        <f t="shared" si="18"/>
        <v/>
      </c>
      <c r="AG125" t="str">
        <f>VLOOKUP(J125,'Receivable Invoice Detail'!$A$1:F3137,6,FALSE)</f>
        <v>[AC-52-053-163-000] Frame Assembly, F4D1, Allis-Chalmers CSO, c/w 316SS Shaft</v>
      </c>
      <c r="AH125" s="12">
        <f t="shared" si="14"/>
        <v>22.370830545355666</v>
      </c>
      <c r="AM125" s="12" t="str">
        <f t="shared" si="19"/>
        <v/>
      </c>
      <c r="AN125" s="12">
        <f t="shared" si="20"/>
        <v>22.370830545355666</v>
      </c>
      <c r="AO125" s="12" t="str">
        <f t="shared" si="21"/>
        <v/>
      </c>
      <c r="AP125" s="12" t="str">
        <f t="shared" si="22"/>
        <v/>
      </c>
      <c r="AQ125" s="64">
        <v>2503</v>
      </c>
      <c r="AR125" t="s">
        <v>5932</v>
      </c>
      <c r="AS125" s="12">
        <f t="shared" si="23"/>
        <v>67.112491636066991</v>
      </c>
      <c r="AT125" s="16" t="str">
        <f t="shared" si="24"/>
        <v>Yes</v>
      </c>
    </row>
    <row r="126" spans="1:46" hidden="1" x14ac:dyDescent="0.25">
      <c r="A126" s="41">
        <f>CASOPOInvCL!T126</f>
        <v>2</v>
      </c>
      <c r="B126" t="str">
        <f>CASOPOInvCL!Z126</f>
        <v>SO16527</v>
      </c>
      <c r="D126" t="s">
        <v>5925</v>
      </c>
      <c r="G126" s="5">
        <f>CASOPOInvCL!I126</f>
        <v>0</v>
      </c>
      <c r="H126" s="31">
        <f>CASOPOInvCL!U126</f>
        <v>1</v>
      </c>
      <c r="I126" s="31">
        <f>CASOPOInvCL!V126</f>
        <v>2025</v>
      </c>
      <c r="J126" s="5" t="str">
        <f>CASOPOInvCL!AB126</f>
        <v>INV12624</v>
      </c>
      <c r="K126" s="31">
        <f>CASOPOInvCL!W126</f>
        <v>4</v>
      </c>
      <c r="L126" s="31">
        <f>CASOPOInvCL!X126</f>
        <v>2025</v>
      </c>
      <c r="M126">
        <v>2503</v>
      </c>
      <c r="N126" s="5" t="str">
        <f>CASOPOInvCL!AF126</f>
        <v>Resolute Forest Products - Saint-Felicien</v>
      </c>
      <c r="O126" s="16" t="str">
        <f>CASOPOInvCL!AG126</f>
        <v>CAD</v>
      </c>
      <c r="P126" s="16">
        <f>CASOPOInvCL!AH126</f>
        <v>0</v>
      </c>
      <c r="Q126" s="16">
        <f>CASOPOInvCL!AI126</f>
        <v>0</v>
      </c>
      <c r="R126" s="32" t="str">
        <f>CASOPOInvCL!AU126</f>
        <v/>
      </c>
      <c r="S126" s="16">
        <f>CASOPOInvCL!AV126</f>
        <v>0</v>
      </c>
      <c r="T126" s="16">
        <f>CASOPOInvCL!AW126</f>
        <v>0</v>
      </c>
      <c r="V126" t="s">
        <v>5800</v>
      </c>
      <c r="Y126" s="29" t="str">
        <f>IFERROR(HLOOKUP(U126,List!$D$2:$H$6,2,FALSE),"")</f>
        <v/>
      </c>
      <c r="Z126" s="29">
        <f>IFERROR(HLOOKUP(V126,List!$D$2:$H$6,3,FALSE),"")</f>
        <v>5.0000000000000001E-3</v>
      </c>
      <c r="AA126" s="29" t="str">
        <f>IFERROR(HLOOKUP(W126,List!$D$2:$H$6,4,FALSE),"")</f>
        <v/>
      </c>
      <c r="AB126" s="29" t="str">
        <f>IFERROR(HLOOKUP(X126,List!$D$2:$H$6,5,FALSE),"")</f>
        <v/>
      </c>
      <c r="AC126" s="12" t="str">
        <f t="shared" si="15"/>
        <v/>
      </c>
      <c r="AD126" s="12">
        <f t="shared" si="16"/>
        <v>0</v>
      </c>
      <c r="AE126" s="12" t="str">
        <f t="shared" si="17"/>
        <v/>
      </c>
      <c r="AF126" s="12" t="str">
        <f t="shared" si="18"/>
        <v/>
      </c>
      <c r="AG126" t="str">
        <f>VLOOKUP(J126,'Receivable Invoice Detail'!$A$1:F3138,6,FALSE)</f>
        <v>[AC-52-214-728-003] Packing Gland, Allis Chalmers CSO, Frame F4B3/F4B5/F4D1, 316SS</v>
      </c>
      <c r="AH126" s="12">
        <f t="shared" si="14"/>
        <v>0</v>
      </c>
      <c r="AM126" s="12" t="str">
        <f t="shared" si="19"/>
        <v/>
      </c>
      <c r="AN126" s="12">
        <f t="shared" si="20"/>
        <v>0</v>
      </c>
      <c r="AO126" s="12" t="str">
        <f t="shared" si="21"/>
        <v/>
      </c>
      <c r="AP126" s="12" t="str">
        <f t="shared" si="22"/>
        <v/>
      </c>
      <c r="AQ126" s="64">
        <v>2503</v>
      </c>
      <c r="AR126" t="s">
        <v>5932</v>
      </c>
      <c r="AS126" s="12">
        <f t="shared" si="23"/>
        <v>0</v>
      </c>
      <c r="AT126" s="16" t="str">
        <f t="shared" si="24"/>
        <v/>
      </c>
    </row>
    <row r="127" spans="1:46" hidden="1" x14ac:dyDescent="0.25">
      <c r="A127" s="41">
        <f>CASOPOInvCL!T127</f>
        <v>1</v>
      </c>
      <c r="B127" t="str">
        <f>CASOPOInvCL!Z127</f>
        <v>SO16528</v>
      </c>
      <c r="G127" s="5" t="str">
        <f>CASOPOInvCL!I127</f>
        <v>Taylor Cook</v>
      </c>
      <c r="H127" s="31">
        <f>CASOPOInvCL!U127</f>
        <v>2</v>
      </c>
      <c r="I127" s="31">
        <f>CASOPOInvCL!V127</f>
        <v>2025</v>
      </c>
      <c r="J127" s="5" t="str">
        <f>CASOPOInvCL!AB127</f>
        <v>INV12637</v>
      </c>
      <c r="K127" s="31">
        <f>CASOPOInvCL!W127</f>
        <v>3</v>
      </c>
      <c r="L127" s="31">
        <f>CASOPOInvCL!X127</f>
        <v>2025</v>
      </c>
      <c r="M127" s="31"/>
      <c r="N127" s="5" t="str">
        <f>CASOPOInvCL!AF127</f>
        <v>Canadian Bearings Ltd.</v>
      </c>
      <c r="O127" s="16" t="str">
        <f>CASOPOInvCL!AG127</f>
        <v>CAD</v>
      </c>
      <c r="P127" s="16">
        <f>CASOPOInvCL!AH127</f>
        <v>279.5</v>
      </c>
      <c r="Q127" s="16">
        <f>CASOPOInvCL!AI127</f>
        <v>196.28851884118686</v>
      </c>
      <c r="R127" s="32" t="str">
        <f>CASOPOInvCL!AU127</f>
        <v>Yes</v>
      </c>
      <c r="S127" s="16">
        <f>CASOPOInvCL!AV127</f>
        <v>0</v>
      </c>
      <c r="T127" s="16">
        <f>CASOPOInvCL!AW127</f>
        <v>196.28851884118686</v>
      </c>
      <c r="Y127" s="29" t="str">
        <f>IFERROR(HLOOKUP(U127,List!$D$2:$H$6,2,FALSE),"")</f>
        <v/>
      </c>
      <c r="Z127" s="29" t="str">
        <f>IFERROR(HLOOKUP(V127,List!$D$2:$H$6,3,FALSE),"")</f>
        <v/>
      </c>
      <c r="AA127" s="29" t="str">
        <f>IFERROR(HLOOKUP(W127,List!$D$2:$H$6,4,FALSE),"")</f>
        <v/>
      </c>
      <c r="AB127" s="29" t="str">
        <f>IFERROR(HLOOKUP(X127,List!$D$2:$H$6,5,FALSE),"")</f>
        <v/>
      </c>
      <c r="AC127" s="12" t="str">
        <f t="shared" si="15"/>
        <v/>
      </c>
      <c r="AD127" s="12" t="str">
        <f t="shared" si="16"/>
        <v/>
      </c>
      <c r="AE127" s="12" t="str">
        <f t="shared" si="17"/>
        <v/>
      </c>
      <c r="AF127" s="12" t="str">
        <f t="shared" si="18"/>
        <v/>
      </c>
      <c r="AG127" t="str">
        <f>VLOOKUP(J127,'Receivable Invoice Detail'!$A$1:F3139,6,FALSE)</f>
        <v>[AC-98-232-857-802] Shim Set, A-C PWO-C Group 2, Plastic</v>
      </c>
      <c r="AH127" s="12">
        <f t="shared" si="14"/>
        <v>0</v>
      </c>
      <c r="AM127" s="12" t="str">
        <f t="shared" si="19"/>
        <v/>
      </c>
      <c r="AN127" s="12" t="str">
        <f t="shared" si="20"/>
        <v/>
      </c>
      <c r="AO127" s="12" t="str">
        <f t="shared" si="21"/>
        <v/>
      </c>
      <c r="AP127" s="12" t="str">
        <f t="shared" si="22"/>
        <v/>
      </c>
      <c r="AQ127" s="12"/>
      <c r="AS127" s="12">
        <f t="shared" si="23"/>
        <v>2.9443277826178029</v>
      </c>
      <c r="AT127" s="16" t="str">
        <f t="shared" si="24"/>
        <v>Yes</v>
      </c>
    </row>
    <row r="128" spans="1:46" hidden="1" x14ac:dyDescent="0.25">
      <c r="A128" s="41">
        <f>CASOPOInvCL!T128</f>
        <v>1</v>
      </c>
      <c r="B128" t="str">
        <f>CASOPOInvCL!Z128</f>
        <v>SO16529</v>
      </c>
      <c r="G128" s="5" t="str">
        <f>CASOPOInvCL!I128</f>
        <v>Ian Trottier</v>
      </c>
      <c r="H128" s="31">
        <f>CASOPOInvCL!U128</f>
        <v>2</v>
      </c>
      <c r="I128" s="31">
        <f>CASOPOInvCL!V128</f>
        <v>2025</v>
      </c>
      <c r="J128" s="5" t="str">
        <f>CASOPOInvCL!AB128</f>
        <v>INV12744</v>
      </c>
      <c r="K128" s="31">
        <f>CASOPOInvCL!W128</f>
        <v>4</v>
      </c>
      <c r="L128" s="31">
        <f>CASOPOInvCL!X128</f>
        <v>2025</v>
      </c>
      <c r="M128" s="31"/>
      <c r="N128" s="5" t="str">
        <f>CASOPOInvCL!AF128</f>
        <v>Kumtor Gold Company</v>
      </c>
      <c r="O128" s="16" t="str">
        <f>CASOPOInvCL!AG128</f>
        <v>USD</v>
      </c>
      <c r="P128" s="16">
        <f>CASOPOInvCL!AH128</f>
        <v>21850.453852659211</v>
      </c>
      <c r="Q128" s="16">
        <f>CASOPOInvCL!AI128</f>
        <v>15402.73</v>
      </c>
      <c r="R128" s="32" t="str">
        <f>CASOPOInvCL!AU128</f>
        <v>Yes</v>
      </c>
      <c r="S128" s="16">
        <f>CASOPOInvCL!AV128</f>
        <v>0</v>
      </c>
      <c r="T128" s="16">
        <f>CASOPOInvCL!AW128</f>
        <v>15402.73</v>
      </c>
      <c r="Y128" s="29" t="str">
        <f>IFERROR(HLOOKUP(U128,List!$D$2:$H$6,2,FALSE),"")</f>
        <v/>
      </c>
      <c r="Z128" s="29" t="str">
        <f>IFERROR(HLOOKUP(V128,List!$D$2:$H$6,3,FALSE),"")</f>
        <v/>
      </c>
      <c r="AA128" s="29" t="str">
        <f>IFERROR(HLOOKUP(W128,List!$D$2:$H$6,4,FALSE),"")</f>
        <v/>
      </c>
      <c r="AB128" s="29" t="str">
        <f>IFERROR(HLOOKUP(X128,List!$D$2:$H$6,5,FALSE),"")</f>
        <v/>
      </c>
      <c r="AC128" s="12" t="str">
        <f t="shared" si="15"/>
        <v/>
      </c>
      <c r="AD128" s="12" t="str">
        <f t="shared" si="16"/>
        <v/>
      </c>
      <c r="AE128" s="12" t="str">
        <f t="shared" si="17"/>
        <v/>
      </c>
      <c r="AF128" s="12" t="str">
        <f t="shared" si="18"/>
        <v/>
      </c>
      <c r="AG128" t="str">
        <f>VLOOKUP(J128,'Receivable Invoice Detail'!$A$1:F3140,6,FALSE)</f>
        <v>[SA-013733-M1] Wear Disc, 44 WFR, Sala STGVA-180, Steel, Rubber Lined</v>
      </c>
      <c r="AH128" s="12">
        <f t="shared" si="14"/>
        <v>0</v>
      </c>
      <c r="AM128" s="12" t="str">
        <f t="shared" si="19"/>
        <v/>
      </c>
      <c r="AN128" s="12" t="str">
        <f t="shared" si="20"/>
        <v/>
      </c>
      <c r="AO128" s="12" t="str">
        <f t="shared" si="21"/>
        <v/>
      </c>
      <c r="AP128" s="12" t="str">
        <f t="shared" si="22"/>
        <v/>
      </c>
      <c r="AQ128" s="12"/>
      <c r="AS128" s="12">
        <f t="shared" si="23"/>
        <v>231.04094999999998</v>
      </c>
      <c r="AT128" s="16" t="str">
        <f t="shared" si="24"/>
        <v>Yes</v>
      </c>
    </row>
    <row r="129" spans="1:46" hidden="1" x14ac:dyDescent="0.25">
      <c r="A129" s="41">
        <f>CASOPOInvCL!T129</f>
        <v>1</v>
      </c>
      <c r="B129" t="str">
        <f>CASOPOInvCL!Z129</f>
        <v>SO16530</v>
      </c>
      <c r="G129" s="5" t="str">
        <f>CASOPOInvCL!I129</f>
        <v>Taylor Cook</v>
      </c>
      <c r="H129" s="31">
        <f>CASOPOInvCL!U129</f>
        <v>2</v>
      </c>
      <c r="I129" s="31">
        <f>CASOPOInvCL!V129</f>
        <v>2025</v>
      </c>
      <c r="J129" s="5" t="str">
        <f>CASOPOInvCL!AB129</f>
        <v>INV12696</v>
      </c>
      <c r="K129" s="31">
        <f>CASOPOInvCL!W129</f>
        <v>3</v>
      </c>
      <c r="L129" s="31">
        <f>CASOPOInvCL!X129</f>
        <v>2025</v>
      </c>
      <c r="M129" s="31"/>
      <c r="N129" s="5" t="str">
        <f>CASOPOInvCL!AF129</f>
        <v>Les Pompes Diaspec Inc.</v>
      </c>
      <c r="O129" s="16" t="str">
        <f>CASOPOInvCL!AG129</f>
        <v>CAD</v>
      </c>
      <c r="P129" s="16">
        <f>CASOPOInvCL!AH129</f>
        <v>279.94</v>
      </c>
      <c r="Q129" s="16">
        <f>CASOPOInvCL!AI129</f>
        <v>191.72920615407622</v>
      </c>
      <c r="R129" s="32" t="str">
        <f>CASOPOInvCL!AU129</f>
        <v>Yes</v>
      </c>
      <c r="S129" s="16">
        <f>CASOPOInvCL!AV129</f>
        <v>0</v>
      </c>
      <c r="T129" s="16">
        <f>CASOPOInvCL!AW129</f>
        <v>191.72920615407622</v>
      </c>
      <c r="Y129" s="29" t="str">
        <f>IFERROR(HLOOKUP(U129,List!$D$2:$H$6,2,FALSE),"")</f>
        <v/>
      </c>
      <c r="Z129" s="29" t="str">
        <f>IFERROR(HLOOKUP(V129,List!$D$2:$H$6,3,FALSE),"")</f>
        <v/>
      </c>
      <c r="AA129" s="29" t="str">
        <f>IFERROR(HLOOKUP(W129,List!$D$2:$H$6,4,FALSE),"")</f>
        <v/>
      </c>
      <c r="AB129" s="29" t="str">
        <f>IFERROR(HLOOKUP(X129,List!$D$2:$H$6,5,FALSE),"")</f>
        <v/>
      </c>
      <c r="AC129" s="12" t="str">
        <f t="shared" si="15"/>
        <v/>
      </c>
      <c r="AD129" s="12" t="str">
        <f t="shared" si="16"/>
        <v/>
      </c>
      <c r="AE129" s="12" t="str">
        <f t="shared" si="17"/>
        <v/>
      </c>
      <c r="AF129" s="12" t="str">
        <f t="shared" si="18"/>
        <v/>
      </c>
      <c r="AG129" t="str">
        <f>VLOOKUP(J129,'Receivable Invoice Detail'!$A$1:F3141,6,FALSE)</f>
        <v>[AC-98-236-245-003] Premium Slurry Packing (5 Piece Set), 5x4/5x5/6x6 SRL &amp; SRL-C, Kevlar Fiber w/Silicon Core</v>
      </c>
      <c r="AH129" s="12">
        <f t="shared" si="14"/>
        <v>0</v>
      </c>
      <c r="AM129" s="12" t="str">
        <f t="shared" si="19"/>
        <v/>
      </c>
      <c r="AN129" s="12" t="str">
        <f t="shared" si="20"/>
        <v/>
      </c>
      <c r="AO129" s="12" t="str">
        <f t="shared" si="21"/>
        <v/>
      </c>
      <c r="AP129" s="12" t="str">
        <f t="shared" si="22"/>
        <v/>
      </c>
      <c r="AQ129" s="12"/>
      <c r="AS129" s="12">
        <f t="shared" si="23"/>
        <v>2.8759380923111433</v>
      </c>
      <c r="AT129" s="16" t="str">
        <f t="shared" si="24"/>
        <v>Yes</v>
      </c>
    </row>
    <row r="130" spans="1:46" hidden="1" x14ac:dyDescent="0.25">
      <c r="A130" s="41">
        <f>CASOPOInvCL!T130</f>
        <v>4</v>
      </c>
      <c r="B130" t="str">
        <f>CASOPOInvCL!Z130</f>
        <v>SO16531</v>
      </c>
      <c r="G130" s="5" t="str">
        <f>CASOPOInvCL!I130</f>
        <v>Ian Trottier</v>
      </c>
      <c r="H130" s="31">
        <f>CASOPOInvCL!U130</f>
        <v>2</v>
      </c>
      <c r="I130" s="31">
        <f>CASOPOInvCL!V130</f>
        <v>2025</v>
      </c>
      <c r="J130" s="5" t="str">
        <f>CASOPOInvCL!AB130</f>
        <v>INV12749</v>
      </c>
      <c r="K130" s="31">
        <f>CASOPOInvCL!W130</f>
        <v>4</v>
      </c>
      <c r="L130" s="31">
        <f>CASOPOInvCL!X130</f>
        <v>2025</v>
      </c>
      <c r="M130" s="31"/>
      <c r="N130" s="5" t="str">
        <f>CASOPOInvCL!AF130</f>
        <v>Kumtor Gold Company</v>
      </c>
      <c r="O130" s="16" t="str">
        <f>CASOPOInvCL!AG130</f>
        <v>USD</v>
      </c>
      <c r="P130" s="16">
        <f>CASOPOInvCL!AH130</f>
        <v>55151.891876930713</v>
      </c>
      <c r="Q130" s="16">
        <f>CASOPOInvCL!AI130</f>
        <v>38515.040000000001</v>
      </c>
      <c r="R130" s="32" t="str">
        <f>CASOPOInvCL!AU130</f>
        <v>Yes</v>
      </c>
      <c r="S130" s="16">
        <f>CASOPOInvCL!AV130</f>
        <v>0</v>
      </c>
      <c r="T130" s="16">
        <f>CASOPOInvCL!AW130</f>
        <v>38515.040000000001</v>
      </c>
      <c r="Y130" s="29" t="str">
        <f>IFERROR(HLOOKUP(U130,List!$D$2:$H$6,2,FALSE),"")</f>
        <v/>
      </c>
      <c r="Z130" s="29" t="str">
        <f>IFERROR(HLOOKUP(V130,List!$D$2:$H$6,3,FALSE),"")</f>
        <v/>
      </c>
      <c r="AA130" s="29" t="str">
        <f>IFERROR(HLOOKUP(W130,List!$D$2:$H$6,4,FALSE),"")</f>
        <v/>
      </c>
      <c r="AB130" s="29" t="str">
        <f>IFERROR(HLOOKUP(X130,List!$D$2:$H$6,5,FALSE),"")</f>
        <v/>
      </c>
      <c r="AC130" s="12" t="str">
        <f t="shared" si="15"/>
        <v/>
      </c>
      <c r="AD130" s="12" t="str">
        <f t="shared" si="16"/>
        <v/>
      </c>
      <c r="AE130" s="12" t="str">
        <f t="shared" si="17"/>
        <v/>
      </c>
      <c r="AF130" s="12" t="str">
        <f t="shared" si="18"/>
        <v/>
      </c>
      <c r="AG130" t="str">
        <f>VLOOKUP(J130,'Receivable Invoice Detail'!$A$1:F3142,6,FALSE)</f>
        <v>[AC-98-231-121-507] Suction Side Plate, 8x6-18 SRL-C, Urethane</v>
      </c>
      <c r="AH130" s="12">
        <f t="shared" ref="AH130:AH193" si="26">SUM(AC130:AF130)</f>
        <v>0</v>
      </c>
      <c r="AM130" s="12" t="str">
        <f t="shared" si="19"/>
        <v/>
      </c>
      <c r="AN130" s="12" t="str">
        <f t="shared" si="20"/>
        <v/>
      </c>
      <c r="AO130" s="12" t="str">
        <f t="shared" si="21"/>
        <v/>
      </c>
      <c r="AP130" s="12" t="str">
        <f t="shared" si="22"/>
        <v/>
      </c>
      <c r="AQ130" s="12"/>
      <c r="AS130" s="12">
        <f t="shared" si="23"/>
        <v>577.72559999999999</v>
      </c>
      <c r="AT130" s="16" t="str">
        <f t="shared" si="24"/>
        <v>Yes</v>
      </c>
    </row>
    <row r="131" spans="1:46" hidden="1" x14ac:dyDescent="0.25">
      <c r="A131" s="41">
        <f>CASOPOInvCL!T131</f>
        <v>4</v>
      </c>
      <c r="B131" t="str">
        <f>CASOPOInvCL!Z131</f>
        <v>SO16531</v>
      </c>
      <c r="G131" s="5">
        <f>CASOPOInvCL!I131</f>
        <v>0</v>
      </c>
      <c r="H131" s="31">
        <f>CASOPOInvCL!U131</f>
        <v>2</v>
      </c>
      <c r="I131" s="31">
        <f>CASOPOInvCL!V131</f>
        <v>2025</v>
      </c>
      <c r="J131" s="5" t="str">
        <f>CASOPOInvCL!AB131</f>
        <v>INV12782</v>
      </c>
      <c r="K131" s="31">
        <f>CASOPOInvCL!W131</f>
        <v>4</v>
      </c>
      <c r="L131" s="31">
        <f>CASOPOInvCL!X131</f>
        <v>2025</v>
      </c>
      <c r="M131" s="31"/>
      <c r="N131" s="5" t="str">
        <f>CASOPOInvCL!AF131</f>
        <v>Kumtor Gold Company</v>
      </c>
      <c r="O131" s="16" t="str">
        <f>CASOPOInvCL!AG131</f>
        <v>USD</v>
      </c>
      <c r="P131" s="16">
        <f>CASOPOInvCL!AH131</f>
        <v>0</v>
      </c>
      <c r="Q131" s="16">
        <f>CASOPOInvCL!AI131</f>
        <v>0</v>
      </c>
      <c r="R131" s="32" t="str">
        <f>CASOPOInvCL!AU131</f>
        <v/>
      </c>
      <c r="S131" s="16">
        <f>CASOPOInvCL!AV131</f>
        <v>0</v>
      </c>
      <c r="T131" s="16">
        <f>CASOPOInvCL!AW131</f>
        <v>0</v>
      </c>
      <c r="Y131" s="29" t="str">
        <f>IFERROR(HLOOKUP(U131,List!$D$2:$H$6,2,FALSE),"")</f>
        <v/>
      </c>
      <c r="Z131" s="29" t="str">
        <f>IFERROR(HLOOKUP(V131,List!$D$2:$H$6,3,FALSE),"")</f>
        <v/>
      </c>
      <c r="AA131" s="29" t="str">
        <f>IFERROR(HLOOKUP(W131,List!$D$2:$H$6,4,FALSE),"")</f>
        <v/>
      </c>
      <c r="AB131" s="29" t="str">
        <f>IFERROR(HLOOKUP(X131,List!$D$2:$H$6,5,FALSE),"")</f>
        <v/>
      </c>
      <c r="AC131" s="12" t="str">
        <f t="shared" ref="AC131:AC194" si="27">IFERROR(Y131*$T131,"")</f>
        <v/>
      </c>
      <c r="AD131" s="12" t="str">
        <f t="shared" ref="AD131:AD194" si="28">IFERROR(Z131*$T131,"")</f>
        <v/>
      </c>
      <c r="AE131" s="12" t="str">
        <f t="shared" ref="AE131:AE194" si="29">IFERROR(AA131*$T131,"")</f>
        <v/>
      </c>
      <c r="AF131" s="12" t="str">
        <f t="shared" ref="AF131:AF194" si="30">IFERROR(AB131*$T131,"")</f>
        <v/>
      </c>
      <c r="AG131" t="str">
        <f>VLOOKUP(J131,'Receivable Invoice Detail'!$A$1:F3143,6,FALSE)</f>
        <v>[AC-98-233-733-513] Deflector (Water Slinger), 8x6-18 &amp; 10x8-21 SRL-C, Neoprene/Steel</v>
      </c>
      <c r="AH131" s="12">
        <f t="shared" si="26"/>
        <v>0</v>
      </c>
      <c r="AM131" s="12" t="str">
        <f t="shared" ref="AM131:AM194" si="31">IF(AI131="",AC131,0)</f>
        <v/>
      </c>
      <c r="AN131" s="12" t="str">
        <f t="shared" ref="AN131:AN194" si="32">IF(AJ131="",AD131,0)</f>
        <v/>
      </c>
      <c r="AO131" s="12" t="str">
        <f t="shared" ref="AO131:AO194" si="33">IF(AK131="",AE131,0)</f>
        <v/>
      </c>
      <c r="AP131" s="12" t="str">
        <f t="shared" ref="AP131:AP194" si="34">IF(AL131="",AF131,0)</f>
        <v/>
      </c>
      <c r="AQ131" s="12"/>
      <c r="AS131" s="12">
        <f t="shared" ref="AS131:AS194" si="35">T131*1.5%</f>
        <v>0</v>
      </c>
      <c r="AT131" s="16" t="str">
        <f t="shared" si="24"/>
        <v/>
      </c>
    </row>
    <row r="132" spans="1:46" hidden="1" x14ac:dyDescent="0.25">
      <c r="A132" s="41">
        <f>CASOPOInvCL!T132</f>
        <v>4</v>
      </c>
      <c r="B132" t="str">
        <f>CASOPOInvCL!Z132</f>
        <v>SO16531</v>
      </c>
      <c r="G132" s="5">
        <f>CASOPOInvCL!I132</f>
        <v>0</v>
      </c>
      <c r="H132" s="31">
        <f>CASOPOInvCL!U132</f>
        <v>2</v>
      </c>
      <c r="I132" s="31">
        <f>CASOPOInvCL!V132</f>
        <v>2025</v>
      </c>
      <c r="J132" s="5" t="str">
        <f>CASOPOInvCL!AB132</f>
        <v>INV12822</v>
      </c>
      <c r="K132" s="31">
        <f>CASOPOInvCL!W132</f>
        <v>4</v>
      </c>
      <c r="L132" s="31">
        <f>CASOPOInvCL!X132</f>
        <v>2025</v>
      </c>
      <c r="M132" s="31"/>
      <c r="N132" s="5" t="str">
        <f>CASOPOInvCL!AF132</f>
        <v>Kumtor Gold Company</v>
      </c>
      <c r="O132" s="16" t="str">
        <f>CASOPOInvCL!AG132</f>
        <v>USD</v>
      </c>
      <c r="P132" s="16">
        <f>CASOPOInvCL!AH132</f>
        <v>0</v>
      </c>
      <c r="Q132" s="16">
        <f>CASOPOInvCL!AI132</f>
        <v>0</v>
      </c>
      <c r="R132" s="32" t="str">
        <f>CASOPOInvCL!AU132</f>
        <v/>
      </c>
      <c r="S132" s="16">
        <f>CASOPOInvCL!AV132</f>
        <v>0</v>
      </c>
      <c r="T132" s="16">
        <f>CASOPOInvCL!AW132</f>
        <v>0</v>
      </c>
      <c r="Y132" s="29" t="str">
        <f>IFERROR(HLOOKUP(U132,List!$D$2:$H$6,2,FALSE),"")</f>
        <v/>
      </c>
      <c r="Z132" s="29" t="str">
        <f>IFERROR(HLOOKUP(V132,List!$D$2:$H$6,3,FALSE),"")</f>
        <v/>
      </c>
      <c r="AA132" s="29" t="str">
        <f>IFERROR(HLOOKUP(W132,List!$D$2:$H$6,4,FALSE),"")</f>
        <v/>
      </c>
      <c r="AB132" s="29" t="str">
        <f>IFERROR(HLOOKUP(X132,List!$D$2:$H$6,5,FALSE),"")</f>
        <v/>
      </c>
      <c r="AC132" s="12" t="str">
        <f t="shared" si="27"/>
        <v/>
      </c>
      <c r="AD132" s="12" t="str">
        <f t="shared" si="28"/>
        <v/>
      </c>
      <c r="AE132" s="12" t="str">
        <f t="shared" si="29"/>
        <v/>
      </c>
      <c r="AF132" s="12" t="str">
        <f t="shared" si="30"/>
        <v/>
      </c>
      <c r="AG132" t="str">
        <f>VLOOKUP(J132,'Receivable Invoice Detail'!$A$1:F3144,6,FALSE)</f>
        <v>[AC-98-431-743-501] Shaft Assembly, 10x8-21 SRL-C, 1045 Steel</v>
      </c>
      <c r="AH132" s="12">
        <f t="shared" si="26"/>
        <v>0</v>
      </c>
      <c r="AM132" s="12" t="str">
        <f t="shared" si="31"/>
        <v/>
      </c>
      <c r="AN132" s="12" t="str">
        <f t="shared" si="32"/>
        <v/>
      </c>
      <c r="AO132" s="12" t="str">
        <f t="shared" si="33"/>
        <v/>
      </c>
      <c r="AP132" s="12" t="str">
        <f t="shared" si="34"/>
        <v/>
      </c>
      <c r="AQ132" s="12"/>
      <c r="AS132" s="12">
        <f t="shared" si="35"/>
        <v>0</v>
      </c>
      <c r="AT132" s="16" t="str">
        <f t="shared" si="24"/>
        <v/>
      </c>
    </row>
    <row r="133" spans="1:46" hidden="1" x14ac:dyDescent="0.25">
      <c r="A133" s="41">
        <f>CASOPOInvCL!T133</f>
        <v>4</v>
      </c>
      <c r="B133" t="str">
        <f>CASOPOInvCL!Z133</f>
        <v>SO16531</v>
      </c>
      <c r="G133" s="5">
        <f>CASOPOInvCL!I133</f>
        <v>0</v>
      </c>
      <c r="H133" s="31">
        <f>CASOPOInvCL!U133</f>
        <v>2</v>
      </c>
      <c r="I133" s="31">
        <f>CASOPOInvCL!V133</f>
        <v>2025</v>
      </c>
      <c r="J133" s="5" t="str">
        <f>CASOPOInvCL!AB133</f>
        <v>INV13035</v>
      </c>
      <c r="K133" s="31">
        <f>CASOPOInvCL!W133</f>
        <v>6</v>
      </c>
      <c r="L133" s="31">
        <f>CASOPOInvCL!X133</f>
        <v>2025</v>
      </c>
      <c r="M133" s="31"/>
      <c r="N133" s="5" t="str">
        <f>CASOPOInvCL!AF133</f>
        <v>Kumtor Gold Company</v>
      </c>
      <c r="O133" s="16" t="str">
        <f>CASOPOInvCL!AG133</f>
        <v>USD</v>
      </c>
      <c r="P133" s="16">
        <f>CASOPOInvCL!AH133</f>
        <v>0</v>
      </c>
      <c r="Q133" s="16">
        <f>CASOPOInvCL!AI133</f>
        <v>0</v>
      </c>
      <c r="R133" s="32" t="str">
        <f>CASOPOInvCL!AU133</f>
        <v/>
      </c>
      <c r="S133" s="16">
        <f>CASOPOInvCL!AV133</f>
        <v>0</v>
      </c>
      <c r="T133" s="16">
        <f>CASOPOInvCL!AW133</f>
        <v>0</v>
      </c>
      <c r="Y133" s="29" t="str">
        <f>IFERROR(HLOOKUP(U133,List!$D$2:$H$6,2,FALSE),"")</f>
        <v/>
      </c>
      <c r="Z133" s="29" t="str">
        <f>IFERROR(HLOOKUP(V133,List!$D$2:$H$6,3,FALSE),"")</f>
        <v/>
      </c>
      <c r="AA133" s="29" t="str">
        <f>IFERROR(HLOOKUP(W133,List!$D$2:$H$6,4,FALSE),"")</f>
        <v/>
      </c>
      <c r="AB133" s="29" t="str">
        <f>IFERROR(HLOOKUP(X133,List!$D$2:$H$6,5,FALSE),"")</f>
        <v/>
      </c>
      <c r="AC133" s="12" t="str">
        <f t="shared" si="27"/>
        <v/>
      </c>
      <c r="AD133" s="12" t="str">
        <f t="shared" si="28"/>
        <v/>
      </c>
      <c r="AE133" s="12" t="str">
        <f t="shared" si="29"/>
        <v/>
      </c>
      <c r="AF133" s="12" t="str">
        <f t="shared" si="30"/>
        <v/>
      </c>
      <c r="AG133" t="str">
        <f>VLOOKUP(J133,'Receivable Invoice Detail'!$A$1:F3145,6,FALSE)</f>
        <v>[AC-98-236-360-501] Gland Assembly, 8x6-18 &amp; 10x8-21 SRL-C, 316SS</v>
      </c>
      <c r="AH133" s="12">
        <f t="shared" si="26"/>
        <v>0</v>
      </c>
      <c r="AM133" s="12" t="str">
        <f t="shared" si="31"/>
        <v/>
      </c>
      <c r="AN133" s="12" t="str">
        <f t="shared" si="32"/>
        <v/>
      </c>
      <c r="AO133" s="12" t="str">
        <f t="shared" si="33"/>
        <v/>
      </c>
      <c r="AP133" s="12" t="str">
        <f t="shared" si="34"/>
        <v/>
      </c>
      <c r="AQ133" s="12"/>
      <c r="AS133" s="12">
        <f t="shared" si="35"/>
        <v>0</v>
      </c>
      <c r="AT133" s="16" t="str">
        <f t="shared" si="24"/>
        <v/>
      </c>
    </row>
    <row r="134" spans="1:46" hidden="1" x14ac:dyDescent="0.25">
      <c r="A134" s="41">
        <f>CASOPOInvCL!T134</f>
        <v>1</v>
      </c>
      <c r="B134" t="str">
        <f>CASOPOInvCL!Z134</f>
        <v>SO16532</v>
      </c>
      <c r="G134" s="5" t="str">
        <f>CASOPOInvCL!I134</f>
        <v>Ian Trottier</v>
      </c>
      <c r="H134" s="31">
        <f>CASOPOInvCL!U134</f>
        <v>2</v>
      </c>
      <c r="I134" s="31">
        <f>CASOPOInvCL!V134</f>
        <v>2025</v>
      </c>
      <c r="J134" s="5" t="str">
        <f>CASOPOInvCL!AB134</f>
        <v>INV12898</v>
      </c>
      <c r="K134" s="31">
        <f>CASOPOInvCL!W134</f>
        <v>5</v>
      </c>
      <c r="L134" s="31">
        <f>CASOPOInvCL!X134</f>
        <v>2025</v>
      </c>
      <c r="M134" s="31"/>
      <c r="N134" s="5" t="str">
        <f>CASOPOInvCL!AF134</f>
        <v>John Brooks Company Limited</v>
      </c>
      <c r="O134" s="16" t="str">
        <f>CASOPOInvCL!AG134</f>
        <v>CAD</v>
      </c>
      <c r="P134" s="16">
        <f>CASOPOInvCL!AH134</f>
        <v>5382.41</v>
      </c>
      <c r="Q134" s="16">
        <f>CASOPOInvCL!AI134</f>
        <v>3782.3602067281408</v>
      </c>
      <c r="R134" s="32" t="str">
        <f>CASOPOInvCL!AU134</f>
        <v>Yes</v>
      </c>
      <c r="S134" s="16">
        <f>CASOPOInvCL!AV134</f>
        <v>0</v>
      </c>
      <c r="T134" s="16">
        <f>CASOPOInvCL!AW134</f>
        <v>3782.3602067281408</v>
      </c>
      <c r="Y134" s="29" t="str">
        <f>IFERROR(HLOOKUP(U134,List!$D$2:$H$6,2,FALSE),"")</f>
        <v/>
      </c>
      <c r="Z134" s="29" t="str">
        <f>IFERROR(HLOOKUP(V134,List!$D$2:$H$6,3,FALSE),"")</f>
        <v/>
      </c>
      <c r="AA134" s="29" t="str">
        <f>IFERROR(HLOOKUP(W134,List!$D$2:$H$6,4,FALSE),"")</f>
        <v/>
      </c>
      <c r="AB134" s="29" t="str">
        <f>IFERROR(HLOOKUP(X134,List!$D$2:$H$6,5,FALSE),"")</f>
        <v/>
      </c>
      <c r="AC134" s="12" t="str">
        <f t="shared" si="27"/>
        <v/>
      </c>
      <c r="AD134" s="12" t="str">
        <f t="shared" si="28"/>
        <v/>
      </c>
      <c r="AE134" s="12" t="str">
        <f t="shared" si="29"/>
        <v/>
      </c>
      <c r="AF134" s="12" t="str">
        <f t="shared" si="30"/>
        <v/>
      </c>
      <c r="AG134" t="str">
        <f>VLOOKUP(J134,'Receivable Invoice Detail'!$A$1:F3146,6,FALSE)</f>
        <v>[M&amp;N# 72] Impeller, 8x5-17, PWO, 3-Vane, 317SS</v>
      </c>
      <c r="AH134" s="12">
        <f t="shared" si="26"/>
        <v>0</v>
      </c>
      <c r="AM134" s="12" t="str">
        <f t="shared" si="31"/>
        <v/>
      </c>
      <c r="AN134" s="12" t="str">
        <f t="shared" si="32"/>
        <v/>
      </c>
      <c r="AO134" s="12" t="str">
        <f t="shared" si="33"/>
        <v/>
      </c>
      <c r="AP134" s="12" t="str">
        <f t="shared" si="34"/>
        <v/>
      </c>
      <c r="AQ134" s="12"/>
      <c r="AS134" s="12">
        <f t="shared" si="35"/>
        <v>56.735403100922113</v>
      </c>
      <c r="AT134" s="16" t="str">
        <f t="shared" si="24"/>
        <v>Yes</v>
      </c>
    </row>
    <row r="135" spans="1:46" hidden="1" x14ac:dyDescent="0.25">
      <c r="A135" s="41">
        <f>CASOPOInvCL!T135</f>
        <v>1</v>
      </c>
      <c r="B135" t="str">
        <f>CASOPOInvCL!Z135</f>
        <v>SO16533</v>
      </c>
      <c r="G135" s="5" t="str">
        <f>CASOPOInvCL!I135</f>
        <v>Ian Trottier</v>
      </c>
      <c r="H135" s="31">
        <f>CASOPOInvCL!U135</f>
        <v>2</v>
      </c>
      <c r="I135" s="31">
        <f>CASOPOInvCL!V135</f>
        <v>2025</v>
      </c>
      <c r="J135" s="5" t="str">
        <f>CASOPOInvCL!AB135</f>
        <v>INV12756</v>
      </c>
      <c r="K135" s="31">
        <f>CASOPOInvCL!W135</f>
        <v>5</v>
      </c>
      <c r="L135" s="31">
        <f>CASOPOInvCL!X135</f>
        <v>2025</v>
      </c>
      <c r="M135" s="31"/>
      <c r="N135" s="5" t="str">
        <f>CASOPOInvCL!AF135</f>
        <v>Canadian Bearings Ltd., Canadian Bearings Ltd. - Quebec City</v>
      </c>
      <c r="O135" s="16" t="str">
        <f>CASOPOInvCL!AG135</f>
        <v>CAD</v>
      </c>
      <c r="P135" s="16">
        <f>CASOPOInvCL!AH135</f>
        <v>5934.85</v>
      </c>
      <c r="Q135" s="16">
        <f>CASOPOInvCL!AI135</f>
        <v>4167.9531879950555</v>
      </c>
      <c r="R135" s="32" t="str">
        <f>CASOPOInvCL!AU135</f>
        <v>Yes</v>
      </c>
      <c r="S135" s="16">
        <f>CASOPOInvCL!AV135</f>
        <v>0</v>
      </c>
      <c r="T135" s="16">
        <f>CASOPOInvCL!AW135</f>
        <v>4167.9531879950555</v>
      </c>
      <c r="Y135" s="29" t="str">
        <f>IFERROR(HLOOKUP(U135,List!$D$2:$H$6,2,FALSE),"")</f>
        <v/>
      </c>
      <c r="Z135" s="29" t="str">
        <f>IFERROR(HLOOKUP(V135,List!$D$2:$H$6,3,FALSE),"")</f>
        <v/>
      </c>
      <c r="AA135" s="29" t="str">
        <f>IFERROR(HLOOKUP(W135,List!$D$2:$H$6,4,FALSE),"")</f>
        <v/>
      </c>
      <c r="AB135" s="29" t="str">
        <f>IFERROR(HLOOKUP(X135,List!$D$2:$H$6,5,FALSE),"")</f>
        <v/>
      </c>
      <c r="AC135" s="12" t="str">
        <f t="shared" si="27"/>
        <v/>
      </c>
      <c r="AD135" s="12" t="str">
        <f t="shared" si="28"/>
        <v/>
      </c>
      <c r="AE135" s="12" t="str">
        <f t="shared" si="29"/>
        <v/>
      </c>
      <c r="AF135" s="12" t="str">
        <f t="shared" si="30"/>
        <v/>
      </c>
      <c r="AG135" t="str">
        <f>VLOOKUP(J135,'Receivable Invoice Detail'!$A$1:F3147,6,FALSE)</f>
        <v>[AC-52-425-821-006] Casing, 3x1.5-13, Allis Chalmers CSO, 316SS</v>
      </c>
      <c r="AH135" s="12">
        <f t="shared" si="26"/>
        <v>0</v>
      </c>
      <c r="AM135" s="12" t="str">
        <f t="shared" si="31"/>
        <v/>
      </c>
      <c r="AN135" s="12" t="str">
        <f t="shared" si="32"/>
        <v/>
      </c>
      <c r="AO135" s="12" t="str">
        <f t="shared" si="33"/>
        <v/>
      </c>
      <c r="AP135" s="12" t="str">
        <f t="shared" si="34"/>
        <v/>
      </c>
      <c r="AQ135" s="12"/>
      <c r="AS135" s="12">
        <f t="shared" si="35"/>
        <v>62.519297819925832</v>
      </c>
      <c r="AT135" s="16" t="str">
        <f t="shared" si="24"/>
        <v>Yes</v>
      </c>
    </row>
    <row r="136" spans="1:46" hidden="1" x14ac:dyDescent="0.25">
      <c r="A136" s="41">
        <f>CASOPOInvCL!T136</f>
        <v>5</v>
      </c>
      <c r="B136" t="str">
        <f>CASOPOInvCL!Z136</f>
        <v>SO16534</v>
      </c>
      <c r="G136" s="5" t="str">
        <f>CASOPOInvCL!I136</f>
        <v>Ian Trottier</v>
      </c>
      <c r="H136" s="31">
        <f>CASOPOInvCL!U136</f>
        <v>2</v>
      </c>
      <c r="I136" s="31">
        <f>CASOPOInvCL!V136</f>
        <v>2025</v>
      </c>
      <c r="J136" s="5" t="str">
        <f>CASOPOInvCL!AB136</f>
        <v>INV12618</v>
      </c>
      <c r="K136" s="31">
        <f>CASOPOInvCL!W136</f>
        <v>3</v>
      </c>
      <c r="L136" s="31">
        <f>CASOPOInvCL!X136</f>
        <v>2025</v>
      </c>
      <c r="M136" s="31"/>
      <c r="N136" s="5" t="str">
        <f>CASOPOInvCL!AF136</f>
        <v>Kumtor Gold Company</v>
      </c>
      <c r="O136" s="16" t="str">
        <f>CASOPOInvCL!AG136</f>
        <v>USD</v>
      </c>
      <c r="P136" s="16">
        <f>CASOPOInvCL!AH136</f>
        <v>77306.715462478212</v>
      </c>
      <c r="Q136" s="16">
        <f>CASOPOInvCL!AI136</f>
        <v>52946.9</v>
      </c>
      <c r="R136" s="32" t="str">
        <f>CASOPOInvCL!AU136</f>
        <v>Yes</v>
      </c>
      <c r="S136" s="16">
        <f>CASOPOInvCL!AV136</f>
        <v>0</v>
      </c>
      <c r="T136" s="16">
        <f>CASOPOInvCL!AW136</f>
        <v>52946.9</v>
      </c>
      <c r="Y136" s="29" t="str">
        <f>IFERROR(HLOOKUP(U136,List!$D$2:$H$6,2,FALSE),"")</f>
        <v/>
      </c>
      <c r="Z136" s="29" t="str">
        <f>IFERROR(HLOOKUP(V136,List!$D$2:$H$6,3,FALSE),"")</f>
        <v/>
      </c>
      <c r="AA136" s="29" t="str">
        <f>IFERROR(HLOOKUP(W136,List!$D$2:$H$6,4,FALSE),"")</f>
        <v/>
      </c>
      <c r="AB136" s="29" t="str">
        <f>IFERROR(HLOOKUP(X136,List!$D$2:$H$6,5,FALSE),"")</f>
        <v/>
      </c>
      <c r="AC136" s="12" t="str">
        <f t="shared" si="27"/>
        <v/>
      </c>
      <c r="AD136" s="12" t="str">
        <f t="shared" si="28"/>
        <v/>
      </c>
      <c r="AE136" s="12" t="str">
        <f t="shared" si="29"/>
        <v/>
      </c>
      <c r="AF136" s="12" t="str">
        <f t="shared" si="30"/>
        <v/>
      </c>
      <c r="AG136" t="str">
        <f>VLOOKUP(J136,'Receivable Invoice Detail'!$A$1:F3148,6,FALSE)</f>
        <v>[AC-98-233-700-001] Bearing Cover Gasket (Inboard &amp; Outboard), 8x6-18 &amp; 10x8-21 SRL-C</v>
      </c>
      <c r="AH136" s="12">
        <f t="shared" si="26"/>
        <v>0</v>
      </c>
      <c r="AM136" s="12" t="str">
        <f t="shared" si="31"/>
        <v/>
      </c>
      <c r="AN136" s="12" t="str">
        <f t="shared" si="32"/>
        <v/>
      </c>
      <c r="AO136" s="12" t="str">
        <f t="shared" si="33"/>
        <v/>
      </c>
      <c r="AP136" s="12" t="str">
        <f t="shared" si="34"/>
        <v/>
      </c>
      <c r="AQ136" s="12"/>
      <c r="AS136" s="12">
        <f t="shared" si="35"/>
        <v>794.20349999999996</v>
      </c>
      <c r="AT136" s="16" t="str">
        <f t="shared" si="24"/>
        <v>Yes</v>
      </c>
    </row>
    <row r="137" spans="1:46" hidden="1" x14ac:dyDescent="0.25">
      <c r="A137" s="41">
        <f>CASOPOInvCL!T137</f>
        <v>5</v>
      </c>
      <c r="B137" t="str">
        <f>CASOPOInvCL!Z137</f>
        <v>SO16534</v>
      </c>
      <c r="G137" s="5">
        <f>CASOPOInvCL!I137</f>
        <v>0</v>
      </c>
      <c r="H137" s="31">
        <f>CASOPOInvCL!U137</f>
        <v>2</v>
      </c>
      <c r="I137" s="31">
        <f>CASOPOInvCL!V137</f>
        <v>2025</v>
      </c>
      <c r="J137" s="5" t="str">
        <f>CASOPOInvCL!AB137</f>
        <v>INV12747</v>
      </c>
      <c r="K137" s="31">
        <f>CASOPOInvCL!W137</f>
        <v>4</v>
      </c>
      <c r="L137" s="31">
        <f>CASOPOInvCL!X137</f>
        <v>2025</v>
      </c>
      <c r="M137" s="31"/>
      <c r="N137" s="5" t="str">
        <f>CASOPOInvCL!AF137</f>
        <v>Kumtor Gold Company</v>
      </c>
      <c r="O137" s="16" t="str">
        <f>CASOPOInvCL!AG137</f>
        <v>USD</v>
      </c>
      <c r="P137" s="16">
        <f>CASOPOInvCL!AH137</f>
        <v>0</v>
      </c>
      <c r="Q137" s="16">
        <f>CASOPOInvCL!AI137</f>
        <v>0</v>
      </c>
      <c r="R137" s="32" t="str">
        <f>CASOPOInvCL!AU137</f>
        <v/>
      </c>
      <c r="S137" s="16">
        <f>CASOPOInvCL!AV137</f>
        <v>0</v>
      </c>
      <c r="T137" s="16">
        <f>CASOPOInvCL!AW137</f>
        <v>0</v>
      </c>
      <c r="Y137" s="29" t="str">
        <f>IFERROR(HLOOKUP(U137,List!$D$2:$H$6,2,FALSE),"")</f>
        <v/>
      </c>
      <c r="Z137" s="29" t="str">
        <f>IFERROR(HLOOKUP(V137,List!$D$2:$H$6,3,FALSE),"")</f>
        <v/>
      </c>
      <c r="AA137" s="29" t="str">
        <f>IFERROR(HLOOKUP(W137,List!$D$2:$H$6,4,FALSE),"")</f>
        <v/>
      </c>
      <c r="AB137" s="29" t="str">
        <f>IFERROR(HLOOKUP(X137,List!$D$2:$H$6,5,FALSE),"")</f>
        <v/>
      </c>
      <c r="AC137" s="12" t="str">
        <f t="shared" si="27"/>
        <v/>
      </c>
      <c r="AD137" s="12" t="str">
        <f t="shared" si="28"/>
        <v/>
      </c>
      <c r="AE137" s="12" t="str">
        <f t="shared" si="29"/>
        <v/>
      </c>
      <c r="AF137" s="12" t="str">
        <f t="shared" si="30"/>
        <v/>
      </c>
      <c r="AG137" t="str">
        <f>VLOOKUP(J137,'Receivable Invoice Detail'!$A$1:F3149,6,FALSE)</f>
        <v>[AC-98-231-121-501] Suction Side Plate, 8x6-18 SRL-C, Natural Rubber</v>
      </c>
      <c r="AH137" s="12">
        <f t="shared" si="26"/>
        <v>0</v>
      </c>
      <c r="AM137" s="12" t="str">
        <f t="shared" si="31"/>
        <v/>
      </c>
      <c r="AN137" s="12" t="str">
        <f t="shared" si="32"/>
        <v/>
      </c>
      <c r="AO137" s="12" t="str">
        <f t="shared" si="33"/>
        <v/>
      </c>
      <c r="AP137" s="12" t="str">
        <f t="shared" si="34"/>
        <v/>
      </c>
      <c r="AQ137" s="12"/>
      <c r="AS137" s="12">
        <f t="shared" si="35"/>
        <v>0</v>
      </c>
      <c r="AT137" s="16" t="str">
        <f t="shared" si="24"/>
        <v/>
      </c>
    </row>
    <row r="138" spans="1:46" hidden="1" x14ac:dyDescent="0.25">
      <c r="A138" s="41">
        <f>CASOPOInvCL!T138</f>
        <v>5</v>
      </c>
      <c r="B138" t="str">
        <f>CASOPOInvCL!Z138</f>
        <v>SO16534</v>
      </c>
      <c r="G138" s="5">
        <f>CASOPOInvCL!I138</f>
        <v>0</v>
      </c>
      <c r="H138" s="31">
        <f>CASOPOInvCL!U138</f>
        <v>2</v>
      </c>
      <c r="I138" s="31">
        <f>CASOPOInvCL!V138</f>
        <v>2025</v>
      </c>
      <c r="J138" s="5" t="str">
        <f>CASOPOInvCL!AB138</f>
        <v>INV12840</v>
      </c>
      <c r="K138" s="31">
        <f>CASOPOInvCL!W138</f>
        <v>4</v>
      </c>
      <c r="L138" s="31">
        <f>CASOPOInvCL!X138</f>
        <v>2025</v>
      </c>
      <c r="M138" s="31"/>
      <c r="N138" s="5" t="str">
        <f>CASOPOInvCL!AF138</f>
        <v>Kumtor Gold Company</v>
      </c>
      <c r="O138" s="16" t="str">
        <f>CASOPOInvCL!AG138</f>
        <v>USD</v>
      </c>
      <c r="P138" s="16">
        <f>CASOPOInvCL!AH138</f>
        <v>0</v>
      </c>
      <c r="Q138" s="16">
        <f>CASOPOInvCL!AI138</f>
        <v>0</v>
      </c>
      <c r="R138" s="32" t="str">
        <f>CASOPOInvCL!AU138</f>
        <v/>
      </c>
      <c r="S138" s="16">
        <f>CASOPOInvCL!AV138</f>
        <v>0</v>
      </c>
      <c r="T138" s="16">
        <f>CASOPOInvCL!AW138</f>
        <v>0</v>
      </c>
      <c r="Y138" s="29" t="str">
        <f>IFERROR(HLOOKUP(U138,List!$D$2:$H$6,2,FALSE),"")</f>
        <v/>
      </c>
      <c r="Z138" s="29" t="str">
        <f>IFERROR(HLOOKUP(V138,List!$D$2:$H$6,3,FALSE),"")</f>
        <v/>
      </c>
      <c r="AA138" s="29" t="str">
        <f>IFERROR(HLOOKUP(W138,List!$D$2:$H$6,4,FALSE),"")</f>
        <v/>
      </c>
      <c r="AB138" s="29" t="str">
        <f>IFERROR(HLOOKUP(X138,List!$D$2:$H$6,5,FALSE),"")</f>
        <v/>
      </c>
      <c r="AC138" s="12" t="str">
        <f t="shared" si="27"/>
        <v/>
      </c>
      <c r="AD138" s="12" t="str">
        <f t="shared" si="28"/>
        <v/>
      </c>
      <c r="AE138" s="12" t="str">
        <f t="shared" si="29"/>
        <v/>
      </c>
      <c r="AF138" s="12" t="str">
        <f t="shared" si="30"/>
        <v/>
      </c>
      <c r="AG138" t="str">
        <f>VLOOKUP(J138,'Receivable Invoice Detail'!$A$1:F3150,6,FALSE)</f>
        <v>[AC-98-200-025-501] Bearing Cylinder Assembly, 8x6-18 SRL</v>
      </c>
      <c r="AH138" s="12">
        <f t="shared" si="26"/>
        <v>0</v>
      </c>
      <c r="AM138" s="12" t="str">
        <f t="shared" si="31"/>
        <v/>
      </c>
      <c r="AN138" s="12" t="str">
        <f t="shared" si="32"/>
        <v/>
      </c>
      <c r="AO138" s="12" t="str">
        <f t="shared" si="33"/>
        <v/>
      </c>
      <c r="AP138" s="12" t="str">
        <f t="shared" si="34"/>
        <v/>
      </c>
      <c r="AQ138" s="12"/>
      <c r="AS138" s="12">
        <f t="shared" si="35"/>
        <v>0</v>
      </c>
      <c r="AT138" s="16" t="str">
        <f t="shared" ref="AT138:AT201" si="36">R138</f>
        <v/>
      </c>
    </row>
    <row r="139" spans="1:46" hidden="1" x14ac:dyDescent="0.25">
      <c r="A139" s="41">
        <f>CASOPOInvCL!T139</f>
        <v>5</v>
      </c>
      <c r="B139" t="str">
        <f>CASOPOInvCL!Z139</f>
        <v>SO16534</v>
      </c>
      <c r="G139" s="5">
        <f>CASOPOInvCL!I139</f>
        <v>0</v>
      </c>
      <c r="H139" s="31">
        <f>CASOPOInvCL!U139</f>
        <v>2</v>
      </c>
      <c r="I139" s="31">
        <f>CASOPOInvCL!V139</f>
        <v>2025</v>
      </c>
      <c r="J139" s="5" t="str">
        <f>CASOPOInvCL!AB139</f>
        <v>INV12860</v>
      </c>
      <c r="K139" s="31">
        <f>CASOPOInvCL!W139</f>
        <v>4</v>
      </c>
      <c r="L139" s="31">
        <f>CASOPOInvCL!X139</f>
        <v>2025</v>
      </c>
      <c r="M139" s="31"/>
      <c r="N139" s="5" t="str">
        <f>CASOPOInvCL!AF139</f>
        <v>Kumtor Gold Company</v>
      </c>
      <c r="O139" s="16" t="str">
        <f>CASOPOInvCL!AG139</f>
        <v>USD</v>
      </c>
      <c r="P139" s="16">
        <f>CASOPOInvCL!AH139</f>
        <v>0</v>
      </c>
      <c r="Q139" s="16">
        <f>CASOPOInvCL!AI139</f>
        <v>0</v>
      </c>
      <c r="R139" s="32" t="str">
        <f>CASOPOInvCL!AU139</f>
        <v/>
      </c>
      <c r="S139" s="16">
        <f>CASOPOInvCL!AV139</f>
        <v>0</v>
      </c>
      <c r="T139" s="16">
        <f>CASOPOInvCL!AW139</f>
        <v>0</v>
      </c>
      <c r="Y139" s="29" t="str">
        <f>IFERROR(HLOOKUP(U139,List!$D$2:$H$6,2,FALSE),"")</f>
        <v/>
      </c>
      <c r="Z139" s="29" t="str">
        <f>IFERROR(HLOOKUP(V139,List!$D$2:$H$6,3,FALSE),"")</f>
        <v/>
      </c>
      <c r="AA139" s="29" t="str">
        <f>IFERROR(HLOOKUP(W139,List!$D$2:$H$6,4,FALSE),"")</f>
        <v/>
      </c>
      <c r="AB139" s="29" t="str">
        <f>IFERROR(HLOOKUP(X139,List!$D$2:$H$6,5,FALSE),"")</f>
        <v/>
      </c>
      <c r="AC139" s="12" t="str">
        <f t="shared" si="27"/>
        <v/>
      </c>
      <c r="AD139" s="12" t="str">
        <f t="shared" si="28"/>
        <v/>
      </c>
      <c r="AE139" s="12" t="str">
        <f t="shared" si="29"/>
        <v/>
      </c>
      <c r="AF139" s="12" t="str">
        <f t="shared" si="30"/>
        <v/>
      </c>
      <c r="AG139" t="str">
        <f>VLOOKUP(J139,'Receivable Invoice Detail'!$A$1:F3151,6,FALSE)</f>
        <v>[AC-98-231-121-501] Suction Side Plate, 8x6-18 SRL-C, Natural Rubber</v>
      </c>
      <c r="AH139" s="12">
        <f t="shared" si="26"/>
        <v>0</v>
      </c>
      <c r="AM139" s="12" t="str">
        <f t="shared" si="31"/>
        <v/>
      </c>
      <c r="AN139" s="12" t="str">
        <f t="shared" si="32"/>
        <v/>
      </c>
      <c r="AO139" s="12" t="str">
        <f t="shared" si="33"/>
        <v/>
      </c>
      <c r="AP139" s="12" t="str">
        <f t="shared" si="34"/>
        <v/>
      </c>
      <c r="AQ139" s="12"/>
      <c r="AS139" s="12">
        <f t="shared" si="35"/>
        <v>0</v>
      </c>
      <c r="AT139" s="16" t="str">
        <f t="shared" si="36"/>
        <v/>
      </c>
    </row>
    <row r="140" spans="1:46" hidden="1" x14ac:dyDescent="0.25">
      <c r="A140" s="41">
        <f>CASOPOInvCL!T140</f>
        <v>5</v>
      </c>
      <c r="B140" t="str">
        <f>CASOPOInvCL!Z140</f>
        <v>SO16534</v>
      </c>
      <c r="G140" s="5">
        <f>CASOPOInvCL!I140</f>
        <v>0</v>
      </c>
      <c r="H140" s="31">
        <f>CASOPOInvCL!U140</f>
        <v>2</v>
      </c>
      <c r="I140" s="31">
        <f>CASOPOInvCL!V140</f>
        <v>2025</v>
      </c>
      <c r="J140" s="5" t="str">
        <f>CASOPOInvCL!AB140</f>
        <v>INV13074</v>
      </c>
      <c r="K140" s="31">
        <f>CASOPOInvCL!W140</f>
        <v>6</v>
      </c>
      <c r="L140" s="31">
        <f>CASOPOInvCL!X140</f>
        <v>2025</v>
      </c>
      <c r="M140" s="31"/>
      <c r="N140" s="5" t="str">
        <f>CASOPOInvCL!AF140</f>
        <v>Kumtor Gold Company</v>
      </c>
      <c r="O140" s="16" t="str">
        <f>CASOPOInvCL!AG140</f>
        <v>USD</v>
      </c>
      <c r="P140" s="16">
        <f>CASOPOInvCL!AH140</f>
        <v>0</v>
      </c>
      <c r="Q140" s="16">
        <f>CASOPOInvCL!AI140</f>
        <v>0</v>
      </c>
      <c r="R140" s="32" t="str">
        <f>CASOPOInvCL!AU140</f>
        <v/>
      </c>
      <c r="S140" s="16">
        <f>CASOPOInvCL!AV140</f>
        <v>0</v>
      </c>
      <c r="T140" s="16">
        <f>CASOPOInvCL!AW140</f>
        <v>0</v>
      </c>
      <c r="Y140" s="29" t="str">
        <f>IFERROR(HLOOKUP(U140,List!$D$2:$H$6,2,FALSE),"")</f>
        <v/>
      </c>
      <c r="Z140" s="29" t="str">
        <f>IFERROR(HLOOKUP(V140,List!$D$2:$H$6,3,FALSE),"")</f>
        <v/>
      </c>
      <c r="AA140" s="29" t="str">
        <f>IFERROR(HLOOKUP(W140,List!$D$2:$H$6,4,FALSE),"")</f>
        <v/>
      </c>
      <c r="AB140" s="29" t="str">
        <f>IFERROR(HLOOKUP(X140,List!$D$2:$H$6,5,FALSE),"")</f>
        <v/>
      </c>
      <c r="AC140" s="12" t="str">
        <f t="shared" si="27"/>
        <v/>
      </c>
      <c r="AD140" s="12" t="str">
        <f t="shared" si="28"/>
        <v/>
      </c>
      <c r="AE140" s="12" t="str">
        <f t="shared" si="29"/>
        <v/>
      </c>
      <c r="AF140" s="12" t="str">
        <f t="shared" si="30"/>
        <v/>
      </c>
      <c r="AG140" t="str">
        <f>VLOOKUP(J140,'Receivable Invoice Detail'!$A$1:F3152,6,FALSE)</f>
        <v>[AC-98-200-025-501] Bearing Cylinder Assembly, 8x6-18 SRL</v>
      </c>
      <c r="AH140" s="12">
        <f t="shared" si="26"/>
        <v>0</v>
      </c>
      <c r="AM140" s="12" t="str">
        <f t="shared" si="31"/>
        <v/>
      </c>
      <c r="AN140" s="12" t="str">
        <f t="shared" si="32"/>
        <v/>
      </c>
      <c r="AO140" s="12" t="str">
        <f t="shared" si="33"/>
        <v/>
      </c>
      <c r="AP140" s="12" t="str">
        <f t="shared" si="34"/>
        <v/>
      </c>
      <c r="AQ140" s="12"/>
      <c r="AS140" s="12">
        <f t="shared" si="35"/>
        <v>0</v>
      </c>
      <c r="AT140" s="16" t="str">
        <f t="shared" si="36"/>
        <v/>
      </c>
    </row>
    <row r="141" spans="1:46" hidden="1" x14ac:dyDescent="0.25">
      <c r="A141" s="41">
        <f>CASOPOInvCL!T141</f>
        <v>1</v>
      </c>
      <c r="B141" s="76" t="str">
        <f>CASOPOInvCL!Z141</f>
        <v>SO16535</v>
      </c>
      <c r="G141" s="5" t="str">
        <f>CASOPOInvCL!I141</f>
        <v>Jeff Bell</v>
      </c>
      <c r="H141" s="31">
        <f>CASOPOInvCL!U141</f>
        <v>2</v>
      </c>
      <c r="I141" s="31">
        <f>CASOPOInvCL!V141</f>
        <v>2025</v>
      </c>
      <c r="J141" s="5" t="str">
        <f>CASOPOInvCL!AB141</f>
        <v>INV12644</v>
      </c>
      <c r="K141" s="31">
        <f>CASOPOInvCL!W141</f>
        <v>4</v>
      </c>
      <c r="L141" s="31">
        <f>CASOPOInvCL!X141</f>
        <v>2025</v>
      </c>
      <c r="M141" s="31"/>
      <c r="N141" s="5" t="str">
        <f>CASOPOInvCL!AF141</f>
        <v>Barrick Gold - Pueblo Viejo Dominicana Corporation</v>
      </c>
      <c r="O141" s="16" t="str">
        <f>CASOPOInvCL!AG141</f>
        <v>USD</v>
      </c>
      <c r="P141" s="16">
        <f>CASOPOInvCL!AH141</f>
        <v>22748.778120402549</v>
      </c>
      <c r="Q141" s="16">
        <f>CASOPOInvCL!AI141</f>
        <v>15580.5</v>
      </c>
      <c r="R141" s="32" t="str">
        <f>CASOPOInvCL!AU141</f>
        <v>Yes</v>
      </c>
      <c r="S141" s="16">
        <f>CASOPOInvCL!AV141</f>
        <v>0</v>
      </c>
      <c r="T141" s="16">
        <f>CASOPOInvCL!AW141</f>
        <v>15580.5</v>
      </c>
      <c r="Y141" s="29" t="str">
        <f>IFERROR(HLOOKUP(U141,List!$D$2:$H$6,2,FALSE),"")</f>
        <v/>
      </c>
      <c r="Z141" s="29" t="str">
        <f>IFERROR(HLOOKUP(V141,List!$D$2:$H$6,3,FALSE),"")</f>
        <v/>
      </c>
      <c r="AA141" s="29" t="str">
        <f>IFERROR(HLOOKUP(W141,List!$D$2:$H$6,4,FALSE),"")</f>
        <v/>
      </c>
      <c r="AB141" s="29" t="str">
        <f>IFERROR(HLOOKUP(X141,List!$D$2:$H$6,5,FALSE),"")</f>
        <v/>
      </c>
      <c r="AC141" s="12" t="str">
        <f t="shared" si="27"/>
        <v/>
      </c>
      <c r="AD141" s="12" t="str">
        <f t="shared" si="28"/>
        <v/>
      </c>
      <c r="AE141" s="12" t="str">
        <f t="shared" si="29"/>
        <v/>
      </c>
      <c r="AF141" s="12" t="str">
        <f t="shared" si="30"/>
        <v/>
      </c>
      <c r="AG141" t="str">
        <f>VLOOKUP(J141,'Receivable Invoice Detail'!$A$1:F3153,6,FALSE)</f>
        <v>[10JKM, 6-Vane Impeller, CD4] Impeller, 10JKM, Double Keyed, w/Wear Ring</v>
      </c>
      <c r="AH141" s="12">
        <f t="shared" si="26"/>
        <v>0</v>
      </c>
      <c r="AM141" s="12" t="str">
        <f t="shared" si="31"/>
        <v/>
      </c>
      <c r="AN141" s="12" t="str">
        <f t="shared" si="32"/>
        <v/>
      </c>
      <c r="AO141" s="12" t="str">
        <f t="shared" si="33"/>
        <v/>
      </c>
      <c r="AP141" s="12" t="str">
        <f t="shared" si="34"/>
        <v/>
      </c>
      <c r="AQ141" s="64">
        <v>2503</v>
      </c>
      <c r="AR141" s="64" t="s">
        <v>5934</v>
      </c>
      <c r="AS141" s="12">
        <f t="shared" si="35"/>
        <v>233.70749999999998</v>
      </c>
      <c r="AT141" s="16" t="str">
        <f t="shared" si="36"/>
        <v>Yes</v>
      </c>
    </row>
    <row r="142" spans="1:46" hidden="1" x14ac:dyDescent="0.25">
      <c r="A142" s="41">
        <f>CASOPOInvCL!T142</f>
        <v>2</v>
      </c>
      <c r="B142" t="str">
        <f>CASOPOInvCL!Z142</f>
        <v>SO16537</v>
      </c>
      <c r="G142" s="5" t="str">
        <f>CASOPOInvCL!I142</f>
        <v>Ian Trottier</v>
      </c>
      <c r="H142" s="31">
        <f>CASOPOInvCL!U142</f>
        <v>2</v>
      </c>
      <c r="I142" s="31">
        <f>CASOPOInvCL!V142</f>
        <v>2025</v>
      </c>
      <c r="J142" s="5" t="str">
        <f>CASOPOInvCL!AB142</f>
        <v>INV12832</v>
      </c>
      <c r="K142" s="31">
        <f>CASOPOInvCL!W142</f>
        <v>5</v>
      </c>
      <c r="L142" s="31">
        <f>CASOPOInvCL!X142</f>
        <v>2025</v>
      </c>
      <c r="M142" s="31"/>
      <c r="N142" s="5" t="str">
        <f>CASOPOInvCL!AF142</f>
        <v>Cartledge &amp; Associates Inc.</v>
      </c>
      <c r="O142" s="16" t="str">
        <f>CASOPOInvCL!AG142</f>
        <v>USD</v>
      </c>
      <c r="P142" s="16">
        <f>CASOPOInvCL!AH142</f>
        <v>5976.3998974636061</v>
      </c>
      <c r="Q142" s="16">
        <f>CASOPOInvCL!AI142</f>
        <v>4093.2</v>
      </c>
      <c r="R142" s="32" t="str">
        <f>CASOPOInvCL!AU142</f>
        <v>Yes</v>
      </c>
      <c r="S142" s="16">
        <f>CASOPOInvCL!AV142</f>
        <v>0</v>
      </c>
      <c r="T142" s="16">
        <f>CASOPOInvCL!AW142</f>
        <v>4093.2</v>
      </c>
      <c r="Y142" s="29" t="str">
        <f>IFERROR(HLOOKUP(U142,List!$D$2:$H$6,2,FALSE),"")</f>
        <v/>
      </c>
      <c r="Z142" s="29" t="str">
        <f>IFERROR(HLOOKUP(V142,List!$D$2:$H$6,3,FALSE),"")</f>
        <v/>
      </c>
      <c r="AA142" s="29" t="str">
        <f>IFERROR(HLOOKUP(W142,List!$D$2:$H$6,4,FALSE),"")</f>
        <v/>
      </c>
      <c r="AB142" s="29" t="str">
        <f>IFERROR(HLOOKUP(X142,List!$D$2:$H$6,5,FALSE),"")</f>
        <v/>
      </c>
      <c r="AC142" s="12" t="str">
        <f t="shared" si="27"/>
        <v/>
      </c>
      <c r="AD142" s="12" t="str">
        <f t="shared" si="28"/>
        <v/>
      </c>
      <c r="AE142" s="12" t="str">
        <f t="shared" si="29"/>
        <v/>
      </c>
      <c r="AF142" s="12" t="str">
        <f t="shared" si="30"/>
        <v/>
      </c>
      <c r="AG142" t="str">
        <f>VLOOKUP(J142,'Receivable Invoice Detail'!$A$1:F3154,6,FALSE)</f>
        <v>[AC-98-231-115-501] Suction Side Liner, 5x4-14 SRL-C, Natural Rubber</v>
      </c>
      <c r="AH142" s="12">
        <f t="shared" si="26"/>
        <v>0</v>
      </c>
      <c r="AM142" s="12" t="str">
        <f t="shared" si="31"/>
        <v/>
      </c>
      <c r="AN142" s="12" t="str">
        <f t="shared" si="32"/>
        <v/>
      </c>
      <c r="AO142" s="12" t="str">
        <f t="shared" si="33"/>
        <v/>
      </c>
      <c r="AP142" s="12" t="str">
        <f t="shared" si="34"/>
        <v/>
      </c>
      <c r="AQ142" s="12"/>
      <c r="AS142" s="12">
        <f t="shared" si="35"/>
        <v>61.397999999999996</v>
      </c>
      <c r="AT142" s="16" t="str">
        <f t="shared" si="36"/>
        <v>Yes</v>
      </c>
    </row>
    <row r="143" spans="1:46" hidden="1" x14ac:dyDescent="0.25">
      <c r="A143" s="41">
        <f>CASOPOInvCL!T143</f>
        <v>2</v>
      </c>
      <c r="B143" t="str">
        <f>CASOPOInvCL!Z143</f>
        <v>SO16537</v>
      </c>
      <c r="G143" s="5">
        <f>CASOPOInvCL!I143</f>
        <v>0</v>
      </c>
      <c r="H143" s="31">
        <f>CASOPOInvCL!U143</f>
        <v>2</v>
      </c>
      <c r="I143" s="31">
        <f>CASOPOInvCL!V143</f>
        <v>2025</v>
      </c>
      <c r="J143" s="5" t="str">
        <f>CASOPOInvCL!AB143</f>
        <v>INV12605</v>
      </c>
      <c r="K143" s="31">
        <f>CASOPOInvCL!W143</f>
        <v>4</v>
      </c>
      <c r="L143" s="31">
        <f>CASOPOInvCL!X143</f>
        <v>2025</v>
      </c>
      <c r="M143" s="31"/>
      <c r="N143" s="5" t="str">
        <f>CASOPOInvCL!AF143</f>
        <v>Cartledge &amp; Associates Inc.</v>
      </c>
      <c r="O143" s="16" t="str">
        <f>CASOPOInvCL!AG143</f>
        <v>USD</v>
      </c>
      <c r="P143" s="16">
        <f>CASOPOInvCL!AH143</f>
        <v>0</v>
      </c>
      <c r="Q143" s="16">
        <f>CASOPOInvCL!AI143</f>
        <v>0</v>
      </c>
      <c r="R143" s="32" t="str">
        <f>CASOPOInvCL!AU143</f>
        <v/>
      </c>
      <c r="S143" s="16">
        <f>CASOPOInvCL!AV143</f>
        <v>0</v>
      </c>
      <c r="T143" s="16">
        <f>CASOPOInvCL!AW143</f>
        <v>0</v>
      </c>
      <c r="Y143" s="29" t="str">
        <f>IFERROR(HLOOKUP(U143,List!$D$2:$H$6,2,FALSE),"")</f>
        <v/>
      </c>
      <c r="Z143" s="29" t="str">
        <f>IFERROR(HLOOKUP(V143,List!$D$2:$H$6,3,FALSE),"")</f>
        <v/>
      </c>
      <c r="AA143" s="29" t="str">
        <f>IFERROR(HLOOKUP(W143,List!$D$2:$H$6,4,FALSE),"")</f>
        <v/>
      </c>
      <c r="AB143" s="29" t="str">
        <f>IFERROR(HLOOKUP(X143,List!$D$2:$H$6,5,FALSE),"")</f>
        <v/>
      </c>
      <c r="AC143" s="12" t="str">
        <f t="shared" si="27"/>
        <v/>
      </c>
      <c r="AD143" s="12" t="str">
        <f t="shared" si="28"/>
        <v/>
      </c>
      <c r="AE143" s="12" t="str">
        <f t="shared" si="29"/>
        <v/>
      </c>
      <c r="AF143" s="12" t="str">
        <f t="shared" si="30"/>
        <v/>
      </c>
      <c r="AG143" t="str">
        <f>VLOOKUP(J143,'Receivable Invoice Detail'!$A$1:F3155,6,FALSE)</f>
        <v>[AC-98-231-115-501] Suction Side Liner, 5x4-14 SRL-C, Natural Rubber</v>
      </c>
      <c r="AH143" s="12">
        <f t="shared" si="26"/>
        <v>0</v>
      </c>
      <c r="AM143" s="12" t="str">
        <f t="shared" si="31"/>
        <v/>
      </c>
      <c r="AN143" s="12" t="str">
        <f t="shared" si="32"/>
        <v/>
      </c>
      <c r="AO143" s="12" t="str">
        <f t="shared" si="33"/>
        <v/>
      </c>
      <c r="AP143" s="12" t="str">
        <f t="shared" si="34"/>
        <v/>
      </c>
      <c r="AQ143" s="12"/>
      <c r="AS143" s="12">
        <f t="shared" si="35"/>
        <v>0</v>
      </c>
      <c r="AT143" s="16" t="str">
        <f t="shared" si="36"/>
        <v/>
      </c>
    </row>
    <row r="144" spans="1:46" hidden="1" x14ac:dyDescent="0.25">
      <c r="A144" s="41">
        <f>CASOPOInvCL!T144</f>
        <v>1</v>
      </c>
      <c r="B144" t="str">
        <f>CASOPOInvCL!Z144</f>
        <v>SO16539</v>
      </c>
      <c r="G144" s="5" t="str">
        <f>CASOPOInvCL!I144</f>
        <v>Ian Trottier</v>
      </c>
      <c r="H144" s="31">
        <f>CASOPOInvCL!U144</f>
        <v>2</v>
      </c>
      <c r="I144" s="31">
        <f>CASOPOInvCL!V144</f>
        <v>2025</v>
      </c>
      <c r="J144" s="5" t="str">
        <f>CASOPOInvCL!AB144</f>
        <v>INV12603</v>
      </c>
      <c r="K144" s="31">
        <f>CASOPOInvCL!W144</f>
        <v>3</v>
      </c>
      <c r="L144" s="31">
        <f>CASOPOInvCL!X144</f>
        <v>2025</v>
      </c>
      <c r="M144" s="31"/>
      <c r="N144" s="5" t="str">
        <f>CASOPOInvCL!AF144</f>
        <v>Grant Aggregate</v>
      </c>
      <c r="O144" s="16" t="str">
        <f>CASOPOInvCL!AG144</f>
        <v>CAD</v>
      </c>
      <c r="P144" s="16">
        <f>CASOPOInvCL!AH144</f>
        <v>447.11</v>
      </c>
      <c r="Q144" s="16">
        <f>CASOPOInvCL!AI144</f>
        <v>312.22099150646483</v>
      </c>
      <c r="R144" s="32" t="str">
        <f>CASOPOInvCL!AU144</f>
        <v>Yes</v>
      </c>
      <c r="S144" s="16">
        <f>CASOPOInvCL!AV144</f>
        <v>0</v>
      </c>
      <c r="T144" s="16">
        <f>CASOPOInvCL!AW144</f>
        <v>312.22099150646483</v>
      </c>
      <c r="Y144" s="29" t="str">
        <f>IFERROR(HLOOKUP(U144,List!$D$2:$H$6,2,FALSE),"")</f>
        <v/>
      </c>
      <c r="Z144" s="29" t="str">
        <f>IFERROR(HLOOKUP(V144,List!$D$2:$H$6,3,FALSE),"")</f>
        <v/>
      </c>
      <c r="AA144" s="29" t="str">
        <f>IFERROR(HLOOKUP(W144,List!$D$2:$H$6,4,FALSE),"")</f>
        <v/>
      </c>
      <c r="AB144" s="29" t="str">
        <f>IFERROR(HLOOKUP(X144,List!$D$2:$H$6,5,FALSE),"")</f>
        <v/>
      </c>
      <c r="AC144" s="12" t="str">
        <f t="shared" si="27"/>
        <v/>
      </c>
      <c r="AD144" s="12" t="str">
        <f t="shared" si="28"/>
        <v/>
      </c>
      <c r="AE144" s="12" t="str">
        <f t="shared" si="29"/>
        <v/>
      </c>
      <c r="AF144" s="12" t="str">
        <f t="shared" si="30"/>
        <v/>
      </c>
      <c r="AG144" t="str">
        <f>VLOOKUP(J144,'Receivable Invoice Detail'!$A$1:F3156,6,FALSE)</f>
        <v>[AC-98-331-936-801] Bearing Cover (Inboard), 8x6-18 &amp; 10x8-21 SRL-C, Cast Iron</v>
      </c>
      <c r="AH144" s="12">
        <f t="shared" si="26"/>
        <v>0</v>
      </c>
      <c r="AM144" s="12" t="str">
        <f t="shared" si="31"/>
        <v/>
      </c>
      <c r="AN144" s="12" t="str">
        <f t="shared" si="32"/>
        <v/>
      </c>
      <c r="AO144" s="12" t="str">
        <f t="shared" si="33"/>
        <v/>
      </c>
      <c r="AP144" s="12" t="str">
        <f t="shared" si="34"/>
        <v/>
      </c>
      <c r="AQ144" s="12"/>
      <c r="AS144" s="12">
        <f t="shared" si="35"/>
        <v>4.6833148725969727</v>
      </c>
      <c r="AT144" s="16" t="str">
        <f t="shared" si="36"/>
        <v>Yes</v>
      </c>
    </row>
    <row r="145" spans="1:46" hidden="1" x14ac:dyDescent="0.25">
      <c r="A145" s="41">
        <f>CASOPOInvCL!T145</f>
        <v>2</v>
      </c>
      <c r="B145" t="str">
        <f>CASOPOInvCL!Z145</f>
        <v>SO16544</v>
      </c>
      <c r="D145" t="s">
        <v>5925</v>
      </c>
      <c r="G145" s="5" t="str">
        <f>CASOPOInvCL!I145</f>
        <v>Ian Trottier</v>
      </c>
      <c r="H145" s="31">
        <f>CASOPOInvCL!U145</f>
        <v>2</v>
      </c>
      <c r="I145" s="31">
        <f>CASOPOInvCL!V145</f>
        <v>2025</v>
      </c>
      <c r="J145" s="5" t="str">
        <f>CASOPOInvCL!AB145</f>
        <v>INV12940</v>
      </c>
      <c r="K145" s="31">
        <f>CASOPOInvCL!W145</f>
        <v>6</v>
      </c>
      <c r="L145" s="31">
        <f>CASOPOInvCL!X145</f>
        <v>2025</v>
      </c>
      <c r="M145">
        <v>2503</v>
      </c>
      <c r="N145" s="5" t="str">
        <f>CASOPOInvCL!AF145</f>
        <v>Motion Industries Inc. (Canada) - Winnipeg</v>
      </c>
      <c r="O145" s="16" t="str">
        <f>CASOPOInvCL!AG145</f>
        <v>CAD</v>
      </c>
      <c r="P145" s="16">
        <f>CASOPOInvCL!AH145</f>
        <v>7490.32</v>
      </c>
      <c r="Q145" s="16">
        <f>CASOPOInvCL!AI145</f>
        <v>5408.7721658319424</v>
      </c>
      <c r="R145" s="32" t="str">
        <f>CASOPOInvCL!AU145</f>
        <v>Yes</v>
      </c>
      <c r="S145" s="16">
        <f>CASOPOInvCL!AV145</f>
        <v>0</v>
      </c>
      <c r="T145" s="16">
        <f>CASOPOInvCL!AW145</f>
        <v>5408.7721658319424</v>
      </c>
      <c r="V145" t="s">
        <v>5800</v>
      </c>
      <c r="Y145" s="29" t="str">
        <f>IFERROR(HLOOKUP(U145,List!$D$2:$H$6,2,FALSE),"")</f>
        <v/>
      </c>
      <c r="Z145" s="29">
        <f>IFERROR(HLOOKUP(V145,List!$D$2:$H$6,3,FALSE),"")</f>
        <v>5.0000000000000001E-3</v>
      </c>
      <c r="AA145" s="29" t="str">
        <f>IFERROR(HLOOKUP(W145,List!$D$2:$H$6,4,FALSE),"")</f>
        <v/>
      </c>
      <c r="AB145" s="29" t="str">
        <f>IFERROR(HLOOKUP(X145,List!$D$2:$H$6,5,FALSE),"")</f>
        <v/>
      </c>
      <c r="AC145" s="12" t="str">
        <f t="shared" si="27"/>
        <v/>
      </c>
      <c r="AD145" s="12">
        <f t="shared" si="28"/>
        <v>27.043860829159712</v>
      </c>
      <c r="AE145" s="12" t="str">
        <f t="shared" si="29"/>
        <v/>
      </c>
      <c r="AF145" s="12" t="str">
        <f t="shared" si="30"/>
        <v/>
      </c>
      <c r="AG145" t="str">
        <f>VLOOKUP(J145,'Receivable Invoice Detail'!$A$1:F3157,6,FALSE)</f>
        <v>[2Z104-GA, DU-AY33867K-GTB] Impeller Gasket, Durco Mark 2 Group 2, Grafoil</v>
      </c>
      <c r="AH145" s="12">
        <f t="shared" si="26"/>
        <v>27.043860829159712</v>
      </c>
      <c r="AM145" s="12" t="str">
        <f t="shared" si="31"/>
        <v/>
      </c>
      <c r="AN145" s="12">
        <f t="shared" si="32"/>
        <v>27.043860829159712</v>
      </c>
      <c r="AO145" s="12" t="str">
        <f t="shared" si="33"/>
        <v/>
      </c>
      <c r="AP145" s="12" t="str">
        <f t="shared" si="34"/>
        <v/>
      </c>
      <c r="AQ145" s="64">
        <v>2503</v>
      </c>
      <c r="AR145" t="s">
        <v>5932</v>
      </c>
      <c r="AS145" s="12">
        <f t="shared" si="35"/>
        <v>81.131582487479136</v>
      </c>
      <c r="AT145" s="16" t="str">
        <f t="shared" si="36"/>
        <v>Yes</v>
      </c>
    </row>
    <row r="146" spans="1:46" hidden="1" x14ac:dyDescent="0.25">
      <c r="A146" s="41">
        <f>CASOPOInvCL!T146</f>
        <v>2</v>
      </c>
      <c r="B146" t="str">
        <f>CASOPOInvCL!Z146</f>
        <v>SO16544</v>
      </c>
      <c r="D146" t="s">
        <v>5925</v>
      </c>
      <c r="G146" s="5">
        <f>CASOPOInvCL!I146</f>
        <v>0</v>
      </c>
      <c r="H146" s="31">
        <f>CASOPOInvCL!U146</f>
        <v>2</v>
      </c>
      <c r="I146" s="31">
        <f>CASOPOInvCL!V146</f>
        <v>2025</v>
      </c>
      <c r="J146" s="5" t="str">
        <f>CASOPOInvCL!AB146</f>
        <v>INV13261</v>
      </c>
      <c r="K146" s="31">
        <f>CASOPOInvCL!W146</f>
        <v>9</v>
      </c>
      <c r="L146" s="31">
        <f>CASOPOInvCL!X146</f>
        <v>2025</v>
      </c>
      <c r="M146">
        <v>2503</v>
      </c>
      <c r="N146" s="5" t="str">
        <f>CASOPOInvCL!AF146</f>
        <v>Motion Industries Inc. (Canada) - Winnipeg</v>
      </c>
      <c r="O146" s="16" t="str">
        <f>CASOPOInvCL!AG146</f>
        <v>CAD</v>
      </c>
      <c r="P146" s="16">
        <f>CASOPOInvCL!AH146</f>
        <v>0</v>
      </c>
      <c r="Q146" s="16">
        <f>CASOPOInvCL!AI146</f>
        <v>0</v>
      </c>
      <c r="R146" s="32" t="str">
        <f>CASOPOInvCL!AU146</f>
        <v/>
      </c>
      <c r="S146" s="16">
        <f>CASOPOInvCL!AV146</f>
        <v>0</v>
      </c>
      <c r="T146" s="16">
        <f>CASOPOInvCL!AW146</f>
        <v>0</v>
      </c>
      <c r="V146" t="s">
        <v>5800</v>
      </c>
      <c r="Y146" s="29" t="str">
        <f>IFERROR(HLOOKUP(U146,List!$D$2:$H$6,2,FALSE),"")</f>
        <v/>
      </c>
      <c r="Z146" s="29">
        <f>IFERROR(HLOOKUP(V146,List!$D$2:$H$6,3,FALSE),"")</f>
        <v>5.0000000000000001E-3</v>
      </c>
      <c r="AA146" s="29" t="str">
        <f>IFERROR(HLOOKUP(W146,List!$D$2:$H$6,4,FALSE),"")</f>
        <v/>
      </c>
      <c r="AB146" s="29" t="str">
        <f>IFERROR(HLOOKUP(X146,List!$D$2:$H$6,5,FALSE),"")</f>
        <v/>
      </c>
      <c r="AC146" s="12" t="str">
        <f t="shared" si="27"/>
        <v/>
      </c>
      <c r="AD146" s="12">
        <f t="shared" si="28"/>
        <v>0</v>
      </c>
      <c r="AE146" s="12" t="str">
        <f t="shared" si="29"/>
        <v/>
      </c>
      <c r="AF146" s="12" t="str">
        <f t="shared" si="30"/>
        <v/>
      </c>
      <c r="AG146" t="str">
        <f>VLOOKUP(J146,'Receivable Invoice Detail'!$A$1:F3158,6,FALSE)</f>
        <v>[M&amp;N# 5693] Impeller, Worthington 10-FRBH-182, CD4MCu</v>
      </c>
      <c r="AH146" s="12">
        <f t="shared" si="26"/>
        <v>0</v>
      </c>
      <c r="AM146" s="12" t="str">
        <f t="shared" si="31"/>
        <v/>
      </c>
      <c r="AN146" s="12">
        <f t="shared" si="32"/>
        <v>0</v>
      </c>
      <c r="AO146" s="12" t="str">
        <f t="shared" si="33"/>
        <v/>
      </c>
      <c r="AP146" s="12" t="str">
        <f t="shared" si="34"/>
        <v/>
      </c>
      <c r="AQ146" s="64">
        <v>2503</v>
      </c>
      <c r="AR146" t="s">
        <v>5932</v>
      </c>
      <c r="AS146" s="12">
        <f t="shared" si="35"/>
        <v>0</v>
      </c>
      <c r="AT146" s="16" t="str">
        <f t="shared" si="36"/>
        <v/>
      </c>
    </row>
    <row r="147" spans="1:46" hidden="1" x14ac:dyDescent="0.25">
      <c r="A147" s="41">
        <f>CASOPOInvCL!T147</f>
        <v>1</v>
      </c>
      <c r="B147" t="str">
        <f>CASOPOInvCL!Z147</f>
        <v>SO16545</v>
      </c>
      <c r="D147" t="s">
        <v>5925</v>
      </c>
      <c r="G147" s="5" t="str">
        <f>CASOPOInvCL!I147</f>
        <v>Ian Trottier</v>
      </c>
      <c r="H147" s="31">
        <f>CASOPOInvCL!U147</f>
        <v>2</v>
      </c>
      <c r="I147" s="31">
        <f>CASOPOInvCL!V147</f>
        <v>2025</v>
      </c>
      <c r="J147" s="5" t="str">
        <f>CASOPOInvCL!AB147</f>
        <v>INV13030</v>
      </c>
      <c r="K147" s="31">
        <f>CASOPOInvCL!W147</f>
        <v>7</v>
      </c>
      <c r="L147" s="31">
        <f>CASOPOInvCL!X147</f>
        <v>2025</v>
      </c>
      <c r="M147">
        <v>2503</v>
      </c>
      <c r="N147" s="5" t="str">
        <f>CASOPOInvCL!AF147</f>
        <v>DRN Industriel</v>
      </c>
      <c r="O147" s="16" t="str">
        <f>CASOPOInvCL!AG147</f>
        <v>CAD</v>
      </c>
      <c r="P147" s="16">
        <f>CASOPOInvCL!AH147</f>
        <v>4342.6000000000004</v>
      </c>
      <c r="Q147" s="16">
        <f>CASOPOInvCL!AI147</f>
        <v>3040.2012801235032</v>
      </c>
      <c r="R147" s="32" t="str">
        <f>CASOPOInvCL!AU147</f>
        <v>Yes</v>
      </c>
      <c r="S147" s="16">
        <f>CASOPOInvCL!AV147</f>
        <v>0</v>
      </c>
      <c r="T147" s="16">
        <f>CASOPOInvCL!AW147</f>
        <v>3040.2012801235032</v>
      </c>
      <c r="V147" t="s">
        <v>5800</v>
      </c>
      <c r="Y147" s="29" t="str">
        <f>IFERROR(HLOOKUP(U147,List!$D$2:$H$6,2,FALSE),"")</f>
        <v/>
      </c>
      <c r="Z147" s="29">
        <f>IFERROR(HLOOKUP(V147,List!$D$2:$H$6,3,FALSE),"")</f>
        <v>5.0000000000000001E-3</v>
      </c>
      <c r="AA147" s="29" t="str">
        <f>IFERROR(HLOOKUP(W147,List!$D$2:$H$6,4,FALSE),"")</f>
        <v/>
      </c>
      <c r="AB147" s="29" t="str">
        <f>IFERROR(HLOOKUP(X147,List!$D$2:$H$6,5,FALSE),"")</f>
        <v/>
      </c>
      <c r="AC147" s="12" t="str">
        <f t="shared" si="27"/>
        <v/>
      </c>
      <c r="AD147" s="12">
        <f t="shared" si="28"/>
        <v>15.201006400617516</v>
      </c>
      <c r="AE147" s="12" t="str">
        <f t="shared" si="29"/>
        <v/>
      </c>
      <c r="AF147" s="12" t="str">
        <f t="shared" si="30"/>
        <v/>
      </c>
      <c r="AG147" t="str">
        <f>VLOOKUP(J147,'Receivable Invoice Detail'!$A$1:F3159,6,FALSE)</f>
        <v>[GA-20DELSLV] Valve (Sleeve), 2" G-Series VSP, Delta Series, Natural Rubber</v>
      </c>
      <c r="AH147" s="12">
        <f t="shared" si="26"/>
        <v>15.201006400617516</v>
      </c>
      <c r="AM147" s="12" t="str">
        <f t="shared" si="31"/>
        <v/>
      </c>
      <c r="AN147" s="12">
        <f t="shared" si="32"/>
        <v>15.201006400617516</v>
      </c>
      <c r="AO147" s="12" t="str">
        <f t="shared" si="33"/>
        <v/>
      </c>
      <c r="AP147" s="12" t="str">
        <f t="shared" si="34"/>
        <v/>
      </c>
      <c r="AQ147" s="64">
        <v>2503</v>
      </c>
      <c r="AR147" t="s">
        <v>5932</v>
      </c>
      <c r="AS147" s="12">
        <f t="shared" si="35"/>
        <v>45.603019201852547</v>
      </c>
      <c r="AT147" s="16" t="str">
        <f t="shared" si="36"/>
        <v>Yes</v>
      </c>
    </row>
    <row r="148" spans="1:46" hidden="1" x14ac:dyDescent="0.25">
      <c r="A148" s="41">
        <f>CASOPOInvCL!T148</f>
        <v>1</v>
      </c>
      <c r="B148" s="76" t="str">
        <f>CASOPOInvCL!Z148</f>
        <v>SO16546</v>
      </c>
      <c r="G148" s="5" t="str">
        <f>CASOPOInvCL!I148</f>
        <v>Jeff Bell</v>
      </c>
      <c r="H148" s="31">
        <f>CASOPOInvCL!U148</f>
        <v>2</v>
      </c>
      <c r="I148" s="31">
        <f>CASOPOInvCL!V148</f>
        <v>2025</v>
      </c>
      <c r="J148" s="5" t="str">
        <f>CASOPOInvCL!AB148</f>
        <v>INV12646</v>
      </c>
      <c r="K148" s="31">
        <f>CASOPOInvCL!W148</f>
        <v>4</v>
      </c>
      <c r="L148" s="31">
        <f>CASOPOInvCL!X148</f>
        <v>2025</v>
      </c>
      <c r="M148" s="31"/>
      <c r="N148" s="5" t="str">
        <f>CASOPOInvCL!AF148</f>
        <v>Barrick Gold - Pueblo Viejo Dominicana Corporation</v>
      </c>
      <c r="O148" s="16" t="str">
        <f>CASOPOInvCL!AG148</f>
        <v>USD</v>
      </c>
      <c r="P148" s="16">
        <f>CASOPOInvCL!AH148</f>
        <v>29631.719463706959</v>
      </c>
      <c r="Q148" s="16">
        <f>CASOPOInvCL!AI148</f>
        <v>20692.099999999999</v>
      </c>
      <c r="R148" s="32" t="str">
        <f>CASOPOInvCL!AU148</f>
        <v>Yes</v>
      </c>
      <c r="S148" s="16">
        <f>CASOPOInvCL!AV148</f>
        <v>0</v>
      </c>
      <c r="T148" s="16">
        <f>CASOPOInvCL!AW148</f>
        <v>20692.099999999999</v>
      </c>
      <c r="Y148" s="29" t="str">
        <f>IFERROR(HLOOKUP(U148,List!$D$2:$H$6,2,FALSE),"")</f>
        <v/>
      </c>
      <c r="Z148" s="29" t="str">
        <f>IFERROR(HLOOKUP(V148,List!$D$2:$H$6,3,FALSE),"")</f>
        <v/>
      </c>
      <c r="AA148" s="29" t="str">
        <f>IFERROR(HLOOKUP(W148,List!$D$2:$H$6,4,FALSE),"")</f>
        <v/>
      </c>
      <c r="AB148" s="29" t="str">
        <f>IFERROR(HLOOKUP(X148,List!$D$2:$H$6,5,FALSE),"")</f>
        <v/>
      </c>
      <c r="AC148" s="12" t="str">
        <f t="shared" si="27"/>
        <v/>
      </c>
      <c r="AD148" s="12" t="str">
        <f t="shared" si="28"/>
        <v/>
      </c>
      <c r="AE148" s="12" t="str">
        <f t="shared" si="29"/>
        <v/>
      </c>
      <c r="AF148" s="12" t="str">
        <f t="shared" si="30"/>
        <v/>
      </c>
      <c r="AG148" t="str">
        <f>VLOOKUP(J148,'Receivable Invoice Detail'!$A$1:F3160,6,FALSE)</f>
        <v>[D-2001408-2507] Impeller Wear Ring, 10JKH/M, 5.12x5.48x0.88, Duplex SS 2507 w/Ion Nitriding</v>
      </c>
      <c r="AH148" s="12">
        <f t="shared" si="26"/>
        <v>0</v>
      </c>
      <c r="AM148" s="12" t="str">
        <f t="shared" si="31"/>
        <v/>
      </c>
      <c r="AN148" s="12" t="str">
        <f t="shared" si="32"/>
        <v/>
      </c>
      <c r="AO148" s="12" t="str">
        <f t="shared" si="33"/>
        <v/>
      </c>
      <c r="AP148" s="12" t="str">
        <f t="shared" si="34"/>
        <v/>
      </c>
      <c r="AQ148" s="64">
        <v>2503</v>
      </c>
      <c r="AR148" s="64" t="s">
        <v>5934</v>
      </c>
      <c r="AS148" s="12">
        <f t="shared" si="35"/>
        <v>310.38149999999996</v>
      </c>
      <c r="AT148" s="16" t="str">
        <f t="shared" si="36"/>
        <v>Yes</v>
      </c>
    </row>
    <row r="149" spans="1:46" hidden="1" x14ac:dyDescent="0.25">
      <c r="A149" s="41">
        <f>CASOPOInvCL!T149</f>
        <v>1</v>
      </c>
      <c r="B149" t="str">
        <f>CASOPOInvCL!Z149</f>
        <v>SO16547</v>
      </c>
      <c r="D149" t="s">
        <v>5938</v>
      </c>
      <c r="G149" s="5" t="str">
        <f>CASOPOInvCL!I149</f>
        <v>Marlen Martinez</v>
      </c>
      <c r="H149" s="31">
        <f>CASOPOInvCL!U149</f>
        <v>2</v>
      </c>
      <c r="I149" s="31">
        <f>CASOPOInvCL!V149</f>
        <v>2025</v>
      </c>
      <c r="J149" s="5" t="str">
        <f>CASOPOInvCL!AB149</f>
        <v>INV12962</v>
      </c>
      <c r="K149" s="31">
        <f>CASOPOInvCL!W149</f>
        <v>8</v>
      </c>
      <c r="L149" s="31">
        <f>CASOPOInvCL!X149</f>
        <v>2025</v>
      </c>
      <c r="M149" s="31"/>
      <c r="N149" s="5" t="str">
        <f>CASOPOInvCL!AF149</f>
        <v>Covia Corp - Camden</v>
      </c>
      <c r="O149" s="16" t="str">
        <f>CASOPOInvCL!AG149</f>
        <v>USD</v>
      </c>
      <c r="P149" s="16">
        <f>CASOPOInvCL!AH149</f>
        <v>895.69215173736814</v>
      </c>
      <c r="Q149" s="16">
        <f>CASOPOInvCL!AI149</f>
        <v>625.47</v>
      </c>
      <c r="R149" s="32" t="str">
        <f>CASOPOInvCL!AU149</f>
        <v>Yes</v>
      </c>
      <c r="S149" s="16">
        <f>CASOPOInvCL!AV149</f>
        <v>210.47</v>
      </c>
      <c r="T149" s="16">
        <f>CASOPOInvCL!AW149</f>
        <v>415</v>
      </c>
      <c r="Y149" s="29" t="str">
        <f>IFERROR(HLOOKUP(U149,List!$D$2:$H$6,2,FALSE),"")</f>
        <v/>
      </c>
      <c r="Z149" s="29" t="str">
        <f>IFERROR(HLOOKUP(V149,List!$D$2:$H$6,3,FALSE),"")</f>
        <v/>
      </c>
      <c r="AA149" s="29" t="str">
        <f>IFERROR(HLOOKUP(W149,List!$D$2:$H$6,4,FALSE),"")</f>
        <v/>
      </c>
      <c r="AB149" s="29" t="str">
        <f>IFERROR(HLOOKUP(X149,List!$D$2:$H$6,5,FALSE),"")</f>
        <v/>
      </c>
      <c r="AC149" s="12" t="str">
        <f t="shared" si="27"/>
        <v/>
      </c>
      <c r="AD149" s="12" t="str">
        <f t="shared" si="28"/>
        <v/>
      </c>
      <c r="AE149" s="12" t="str">
        <f t="shared" si="29"/>
        <v/>
      </c>
      <c r="AF149" s="12" t="str">
        <f t="shared" si="30"/>
        <v/>
      </c>
      <c r="AG149" t="str">
        <f>VLOOKUP(J149,'Receivable Invoice Detail'!$A$1:F3161,6,FALSE)</f>
        <v>[W-E034M/E62] Frame Plate Bolt - 1 nut, 8/6 AH</v>
      </c>
      <c r="AH149" s="12">
        <f t="shared" si="26"/>
        <v>0</v>
      </c>
      <c r="AM149" s="12" t="str">
        <f t="shared" si="31"/>
        <v/>
      </c>
      <c r="AN149" s="12" t="str">
        <f t="shared" si="32"/>
        <v/>
      </c>
      <c r="AO149" s="12" t="str">
        <f t="shared" si="33"/>
        <v/>
      </c>
      <c r="AP149" s="12" t="str">
        <f t="shared" si="34"/>
        <v/>
      </c>
      <c r="AQ149" s="64">
        <f>M149</f>
        <v>0</v>
      </c>
      <c r="AR149" t="s">
        <v>5939</v>
      </c>
      <c r="AS149" s="12">
        <f t="shared" si="35"/>
        <v>6.2249999999999996</v>
      </c>
      <c r="AT149" s="16" t="str">
        <f t="shared" si="36"/>
        <v>Yes</v>
      </c>
    </row>
    <row r="150" spans="1:46" hidden="1" x14ac:dyDescent="0.25">
      <c r="A150" s="41">
        <f>CASOPOInvCL!T150</f>
        <v>1</v>
      </c>
      <c r="B150" t="str">
        <f>CASOPOInvCL!Z150</f>
        <v>SO16549</v>
      </c>
      <c r="G150" s="5" t="str">
        <f>CASOPOInvCL!I150</f>
        <v>Ian Trottier</v>
      </c>
      <c r="H150" s="31">
        <f>CASOPOInvCL!U150</f>
        <v>2</v>
      </c>
      <c r="I150" s="31">
        <f>CASOPOInvCL!V150</f>
        <v>2025</v>
      </c>
      <c r="J150" s="5" t="str">
        <f>CASOPOInvCL!AB150</f>
        <v>INV12613</v>
      </c>
      <c r="K150" s="31">
        <f>CASOPOInvCL!W150</f>
        <v>4</v>
      </c>
      <c r="L150" s="31">
        <f>CASOPOInvCL!X150</f>
        <v>2025</v>
      </c>
      <c r="M150" s="31"/>
      <c r="N150" s="5" t="str">
        <f>CASOPOInvCL!AF150</f>
        <v>Resolute Forest Products - Saint-Felicien</v>
      </c>
      <c r="O150" s="16" t="str">
        <f>CASOPOInvCL!AG150</f>
        <v>CAD</v>
      </c>
      <c r="P150" s="16">
        <f>CASOPOInvCL!AH150</f>
        <v>4141.92</v>
      </c>
      <c r="Q150" s="16">
        <f>CASOPOInvCL!AI150</f>
        <v>2894.1931391601879</v>
      </c>
      <c r="R150" s="32" t="str">
        <f>CASOPOInvCL!AU150</f>
        <v>Yes</v>
      </c>
      <c r="S150" s="16">
        <f>CASOPOInvCL!AV150</f>
        <v>0</v>
      </c>
      <c r="T150" s="16">
        <f>CASOPOInvCL!AW150</f>
        <v>2894.1931391601879</v>
      </c>
      <c r="Y150" s="29" t="str">
        <f>IFERROR(HLOOKUP(U150,List!$D$2:$H$6,2,FALSE),"")</f>
        <v/>
      </c>
      <c r="Z150" s="29" t="str">
        <f>IFERROR(HLOOKUP(V150,List!$D$2:$H$6,3,FALSE),"")</f>
        <v/>
      </c>
      <c r="AA150" s="29" t="str">
        <f>IFERROR(HLOOKUP(W150,List!$D$2:$H$6,4,FALSE),"")</f>
        <v/>
      </c>
      <c r="AB150" s="29" t="str">
        <f>IFERROR(HLOOKUP(X150,List!$D$2:$H$6,5,FALSE),"")</f>
        <v/>
      </c>
      <c r="AC150" s="12" t="str">
        <f t="shared" si="27"/>
        <v/>
      </c>
      <c r="AD150" s="12" t="str">
        <f t="shared" si="28"/>
        <v/>
      </c>
      <c r="AE150" s="12" t="str">
        <f t="shared" si="29"/>
        <v/>
      </c>
      <c r="AF150" s="12" t="str">
        <f t="shared" si="30"/>
        <v/>
      </c>
      <c r="AG150" t="str">
        <f>VLOOKUP(J150,'Receivable Invoice Detail'!$A$1:F3162,6,FALSE)</f>
        <v>[AC-98-232-857-801] Shim Set, A-C PWO-C Group 1, Plastic</v>
      </c>
      <c r="AH150" s="12">
        <f t="shared" si="26"/>
        <v>0</v>
      </c>
      <c r="AM150" s="12" t="str">
        <f t="shared" si="31"/>
        <v/>
      </c>
      <c r="AN150" s="12" t="str">
        <f t="shared" si="32"/>
        <v/>
      </c>
      <c r="AO150" s="12" t="str">
        <f t="shared" si="33"/>
        <v/>
      </c>
      <c r="AP150" s="12" t="str">
        <f t="shared" si="34"/>
        <v/>
      </c>
      <c r="AQ150" s="12"/>
      <c r="AS150" s="12">
        <f t="shared" si="35"/>
        <v>43.412897087402818</v>
      </c>
      <c r="AT150" s="16" t="str">
        <f t="shared" si="36"/>
        <v>Yes</v>
      </c>
    </row>
    <row r="151" spans="1:46" hidden="1" x14ac:dyDescent="0.25">
      <c r="A151" s="41">
        <f>CASOPOInvCL!T151</f>
        <v>1</v>
      </c>
      <c r="B151" t="str">
        <f>CASOPOInvCL!Z151</f>
        <v>SO16550</v>
      </c>
      <c r="G151" s="5" t="str">
        <f>CASOPOInvCL!I151</f>
        <v>Ian Trottier</v>
      </c>
      <c r="H151" s="31">
        <f>CASOPOInvCL!U151</f>
        <v>2</v>
      </c>
      <c r="I151" s="31">
        <f>CASOPOInvCL!V151</f>
        <v>2025</v>
      </c>
      <c r="J151" s="5" t="str">
        <f>CASOPOInvCL!AB151</f>
        <v>INV12607</v>
      </c>
      <c r="K151" s="31">
        <f>CASOPOInvCL!W151</f>
        <v>3</v>
      </c>
      <c r="L151" s="31">
        <f>CASOPOInvCL!X151</f>
        <v>2025</v>
      </c>
      <c r="M151" s="31"/>
      <c r="N151" s="5" t="str">
        <f>CASOPOInvCL!AF151</f>
        <v>Wajax Limited - Noranda</v>
      </c>
      <c r="O151" s="16" t="str">
        <f>CASOPOInvCL!AG151</f>
        <v>CAD</v>
      </c>
      <c r="P151" s="16">
        <f>CASOPOInvCL!AH151</f>
        <v>711.25</v>
      </c>
      <c r="Q151" s="16">
        <f>CASOPOInvCL!AI151</f>
        <v>496.82325945069084</v>
      </c>
      <c r="R151" s="32" t="str">
        <f>CASOPOInvCL!AU151</f>
        <v>Yes</v>
      </c>
      <c r="S151" s="16">
        <f>CASOPOInvCL!AV151</f>
        <v>0</v>
      </c>
      <c r="T151" s="16">
        <f>CASOPOInvCL!AW151</f>
        <v>496.82325945069084</v>
      </c>
      <c r="Y151" s="29" t="str">
        <f>IFERROR(HLOOKUP(U151,List!$D$2:$H$6,2,FALSE),"")</f>
        <v/>
      </c>
      <c r="Z151" s="29" t="str">
        <f>IFERROR(HLOOKUP(V151,List!$D$2:$H$6,3,FALSE),"")</f>
        <v/>
      </c>
      <c r="AA151" s="29" t="str">
        <f>IFERROR(HLOOKUP(W151,List!$D$2:$H$6,4,FALSE),"")</f>
        <v/>
      </c>
      <c r="AB151" s="29" t="str">
        <f>IFERROR(HLOOKUP(X151,List!$D$2:$H$6,5,FALSE),"")</f>
        <v/>
      </c>
      <c r="AC151" s="12" t="str">
        <f t="shared" si="27"/>
        <v/>
      </c>
      <c r="AD151" s="12" t="str">
        <f t="shared" si="28"/>
        <v/>
      </c>
      <c r="AE151" s="12" t="str">
        <f t="shared" si="29"/>
        <v/>
      </c>
      <c r="AF151" s="12" t="str">
        <f t="shared" si="30"/>
        <v/>
      </c>
      <c r="AG151" t="str">
        <f>VLOOKUP(J151,'Receivable Invoice Detail'!$A$1:F3163,6,FALSE)</f>
        <v>[AC-98-331-958-808] Shaft Sleeve, 5x4/5x5/6x6 SRL, 316SS</v>
      </c>
      <c r="AH151" s="12">
        <f t="shared" si="26"/>
        <v>0</v>
      </c>
      <c r="AM151" s="12" t="str">
        <f t="shared" si="31"/>
        <v/>
      </c>
      <c r="AN151" s="12" t="str">
        <f t="shared" si="32"/>
        <v/>
      </c>
      <c r="AO151" s="12" t="str">
        <f t="shared" si="33"/>
        <v/>
      </c>
      <c r="AP151" s="12" t="str">
        <f t="shared" si="34"/>
        <v/>
      </c>
      <c r="AQ151" s="12"/>
      <c r="AS151" s="12">
        <f t="shared" si="35"/>
        <v>7.4523488917603622</v>
      </c>
      <c r="AT151" s="16" t="str">
        <f t="shared" si="36"/>
        <v>Yes</v>
      </c>
    </row>
    <row r="152" spans="1:46" hidden="1" x14ac:dyDescent="0.25">
      <c r="A152" s="41">
        <f>CASOPOInvCL!T152</f>
        <v>1</v>
      </c>
      <c r="B152" t="str">
        <f>CASOPOInvCL!Z152</f>
        <v>SO16551</v>
      </c>
      <c r="G152" s="5" t="str">
        <f>CASOPOInvCL!I152</f>
        <v>Ian Trottier</v>
      </c>
      <c r="H152" s="31">
        <f>CASOPOInvCL!U152</f>
        <v>2</v>
      </c>
      <c r="I152" s="31">
        <f>CASOPOInvCL!V152</f>
        <v>2025</v>
      </c>
      <c r="J152" s="5" t="str">
        <f>CASOPOInvCL!AB152</f>
        <v>INV12743</v>
      </c>
      <c r="K152" s="31">
        <f>CASOPOInvCL!W152</f>
        <v>5</v>
      </c>
      <c r="L152" s="31">
        <f>CASOPOInvCL!X152</f>
        <v>2025</v>
      </c>
      <c r="M152" s="31"/>
      <c r="N152" s="5" t="str">
        <f>CASOPOInvCL!AF152</f>
        <v>Resolute Forest Products - Kenogami</v>
      </c>
      <c r="O152" s="16" t="str">
        <f>CASOPOInvCL!AG152</f>
        <v>CAD</v>
      </c>
      <c r="P152" s="16">
        <f>CASOPOInvCL!AH152</f>
        <v>7794.2</v>
      </c>
      <c r="Q152" s="16">
        <f>CASOPOInvCL!AI152</f>
        <v>5446.2471909747983</v>
      </c>
      <c r="R152" s="32" t="str">
        <f>CASOPOInvCL!AU152</f>
        <v>Yes</v>
      </c>
      <c r="S152" s="16">
        <f>CASOPOInvCL!AV152</f>
        <v>0</v>
      </c>
      <c r="T152" s="16">
        <f>CASOPOInvCL!AW152</f>
        <v>5446.2471909747983</v>
      </c>
      <c r="Y152" s="29" t="str">
        <f>IFERROR(HLOOKUP(U152,List!$D$2:$H$6,2,FALSE),"")</f>
        <v/>
      </c>
      <c r="Z152" s="29" t="str">
        <f>IFERROR(HLOOKUP(V152,List!$D$2:$H$6,3,FALSE),"")</f>
        <v/>
      </c>
      <c r="AA152" s="29" t="str">
        <f>IFERROR(HLOOKUP(W152,List!$D$2:$H$6,4,FALSE),"")</f>
        <v/>
      </c>
      <c r="AB152" s="29" t="str">
        <f>IFERROR(HLOOKUP(X152,List!$D$2:$H$6,5,FALSE),"")</f>
        <v/>
      </c>
      <c r="AC152" s="12" t="str">
        <f t="shared" si="27"/>
        <v/>
      </c>
      <c r="AD152" s="12" t="str">
        <f t="shared" si="28"/>
        <v/>
      </c>
      <c r="AE152" s="12" t="str">
        <f t="shared" si="29"/>
        <v/>
      </c>
      <c r="AF152" s="12" t="str">
        <f t="shared" si="30"/>
        <v/>
      </c>
      <c r="AG152" t="str">
        <f>VLOOKUP(J152,'Receivable Invoice Detail'!$A$1:F3164,6,FALSE)</f>
        <v>[AC-98-432-883-502] Shaft (Fine Thread), PWO, Frame 3, 316SS</v>
      </c>
      <c r="AH152" s="12">
        <f t="shared" si="26"/>
        <v>0</v>
      </c>
      <c r="AM152" s="12" t="str">
        <f t="shared" si="31"/>
        <v/>
      </c>
      <c r="AN152" s="12" t="str">
        <f t="shared" si="32"/>
        <v/>
      </c>
      <c r="AO152" s="12" t="str">
        <f t="shared" si="33"/>
        <v/>
      </c>
      <c r="AP152" s="12" t="str">
        <f t="shared" si="34"/>
        <v/>
      </c>
      <c r="AQ152" s="12"/>
      <c r="AS152" s="12">
        <f t="shared" si="35"/>
        <v>81.69370786462197</v>
      </c>
      <c r="AT152" s="16" t="str">
        <f t="shared" si="36"/>
        <v>Yes</v>
      </c>
    </row>
    <row r="153" spans="1:46" hidden="1" x14ac:dyDescent="0.25">
      <c r="A153" s="41">
        <f>CASOPOInvCL!T153</f>
        <v>1</v>
      </c>
      <c r="B153" t="str">
        <f>CASOPOInvCL!Z153</f>
        <v>SO16552</v>
      </c>
      <c r="G153" s="5" t="str">
        <f>CASOPOInvCL!I153</f>
        <v>Taylor Cook</v>
      </c>
      <c r="H153" s="31">
        <f>CASOPOInvCL!U153</f>
        <v>2</v>
      </c>
      <c r="I153" s="31">
        <f>CASOPOInvCL!V153</f>
        <v>2025</v>
      </c>
      <c r="J153" s="5" t="str">
        <f>CASOPOInvCL!AB153</f>
        <v>INV12757</v>
      </c>
      <c r="K153" s="31">
        <f>CASOPOInvCL!W153</f>
        <v>4</v>
      </c>
      <c r="L153" s="31">
        <f>CASOPOInvCL!X153</f>
        <v>2025</v>
      </c>
      <c r="M153" s="31"/>
      <c r="N153" s="5" t="str">
        <f>CASOPOInvCL!AF153</f>
        <v>Hyperflo</v>
      </c>
      <c r="O153" s="16" t="str">
        <f>CASOPOInvCL!AG153</f>
        <v>CAD</v>
      </c>
      <c r="P153" s="16">
        <f>CASOPOInvCL!AH153</f>
        <v>172.3</v>
      </c>
      <c r="Q153" s="16">
        <f>CASOPOInvCL!AI153</f>
        <v>120.35521631403029</v>
      </c>
      <c r="R153" s="32" t="str">
        <f>CASOPOInvCL!AU153</f>
        <v>Yes</v>
      </c>
      <c r="S153" s="16">
        <f>CASOPOInvCL!AV153</f>
        <v>0</v>
      </c>
      <c r="T153" s="16">
        <f>CASOPOInvCL!AW153</f>
        <v>120.35521631403029</v>
      </c>
      <c r="Y153" s="29" t="str">
        <f>IFERROR(HLOOKUP(U153,List!$D$2:$H$6,2,FALSE),"")</f>
        <v/>
      </c>
      <c r="Z153" s="29" t="str">
        <f>IFERROR(HLOOKUP(V153,List!$D$2:$H$6,3,FALSE),"")</f>
        <v/>
      </c>
      <c r="AA153" s="29" t="str">
        <f>IFERROR(HLOOKUP(W153,List!$D$2:$H$6,4,FALSE),"")</f>
        <v/>
      </c>
      <c r="AB153" s="29" t="str">
        <f>IFERROR(HLOOKUP(X153,List!$D$2:$H$6,5,FALSE),"")</f>
        <v/>
      </c>
      <c r="AC153" s="12" t="str">
        <f t="shared" si="27"/>
        <v/>
      </c>
      <c r="AD153" s="12" t="str">
        <f t="shared" si="28"/>
        <v/>
      </c>
      <c r="AE153" s="12" t="str">
        <f t="shared" si="29"/>
        <v/>
      </c>
      <c r="AF153" s="12" t="str">
        <f t="shared" si="30"/>
        <v/>
      </c>
      <c r="AG153" t="str">
        <f>VLOOKUP(J153,'Receivable Invoice Detail'!$A$1:F3165,6,FALSE)</f>
        <v>[AC-98-233-733-513] Deflector (Water Slinger), 8x6-18 &amp; 10x8-21 SRL-C, Neoprene/Steel</v>
      </c>
      <c r="AH153" s="12">
        <f t="shared" si="26"/>
        <v>0</v>
      </c>
      <c r="AM153" s="12" t="str">
        <f t="shared" si="31"/>
        <v/>
      </c>
      <c r="AN153" s="12" t="str">
        <f t="shared" si="32"/>
        <v/>
      </c>
      <c r="AO153" s="12" t="str">
        <f t="shared" si="33"/>
        <v/>
      </c>
      <c r="AP153" s="12" t="str">
        <f t="shared" si="34"/>
        <v/>
      </c>
      <c r="AQ153" s="12"/>
      <c r="AS153" s="12">
        <f t="shared" si="35"/>
        <v>1.8053282447104542</v>
      </c>
      <c r="AT153" s="16" t="str">
        <f t="shared" si="36"/>
        <v>Yes</v>
      </c>
    </row>
    <row r="154" spans="1:46" hidden="1" x14ac:dyDescent="0.25">
      <c r="A154" s="41">
        <f>CASOPOInvCL!T154</f>
        <v>2</v>
      </c>
      <c r="B154" s="76" t="str">
        <f>CASOPOInvCL!Z154</f>
        <v>SO16554</v>
      </c>
      <c r="G154" s="5" t="str">
        <f>CASOPOInvCL!I154</f>
        <v>Jeff Bell</v>
      </c>
      <c r="H154" s="31">
        <f>CASOPOInvCL!U154</f>
        <v>2</v>
      </c>
      <c r="I154" s="31">
        <f>CASOPOInvCL!V154</f>
        <v>2025</v>
      </c>
      <c r="J154" s="5" t="str">
        <f>CASOPOInvCL!AB154</f>
        <v>INV13151</v>
      </c>
      <c r="K154" s="31">
        <f>CASOPOInvCL!W154</f>
        <v>8</v>
      </c>
      <c r="L154" s="31">
        <f>CASOPOInvCL!X154</f>
        <v>2025</v>
      </c>
      <c r="M154" s="31"/>
      <c r="N154" s="5" t="str">
        <f>CASOPOInvCL!AF154</f>
        <v>Barrick Gold - Pueblo Viejo Dominicana Corporation</v>
      </c>
      <c r="O154" s="16" t="str">
        <f>CASOPOInvCL!AG154</f>
        <v>USD</v>
      </c>
      <c r="P154" s="16">
        <f>CASOPOInvCL!AH154</f>
        <v>45189.049108657709</v>
      </c>
      <c r="Q154" s="16">
        <f>CASOPOInvCL!AI154</f>
        <v>31557.54</v>
      </c>
      <c r="R154" s="32" t="str">
        <f>CASOPOInvCL!AU154</f>
        <v>Yes</v>
      </c>
      <c r="S154" s="16">
        <f>CASOPOInvCL!AV154</f>
        <v>0</v>
      </c>
      <c r="T154" s="16">
        <f>CASOPOInvCL!AW154</f>
        <v>31557.54</v>
      </c>
      <c r="Y154" s="29" t="str">
        <f>IFERROR(HLOOKUP(U154,List!$D$2:$H$6,2,FALSE),"")</f>
        <v/>
      </c>
      <c r="Z154" s="29" t="str">
        <f>IFERROR(HLOOKUP(V154,List!$D$2:$H$6,3,FALSE),"")</f>
        <v/>
      </c>
      <c r="AA154" s="29" t="str">
        <f>IFERROR(HLOOKUP(W154,List!$D$2:$H$6,4,FALSE),"")</f>
        <v/>
      </c>
      <c r="AB154" s="29" t="str">
        <f>IFERROR(HLOOKUP(X154,List!$D$2:$H$6,5,FALSE),"")</f>
        <v/>
      </c>
      <c r="AC154" s="12" t="str">
        <f t="shared" si="27"/>
        <v/>
      </c>
      <c r="AD154" s="12" t="str">
        <f t="shared" si="28"/>
        <v/>
      </c>
      <c r="AE154" s="12" t="str">
        <f t="shared" si="29"/>
        <v/>
      </c>
      <c r="AF154" s="12" t="str">
        <f t="shared" si="30"/>
        <v/>
      </c>
      <c r="AG154" t="str">
        <f>VLOOKUP(J154,'Receivable Invoice Detail'!$A$1:F3166,6,FALSE)</f>
        <v>Pump, 3/3, Dynapro CVD, High Chrome</v>
      </c>
      <c r="AH154" s="12">
        <f t="shared" si="26"/>
        <v>0</v>
      </c>
      <c r="AM154" s="12" t="str">
        <f t="shared" si="31"/>
        <v/>
      </c>
      <c r="AN154" s="12" t="str">
        <f t="shared" si="32"/>
        <v/>
      </c>
      <c r="AO154" s="12" t="str">
        <f t="shared" si="33"/>
        <v/>
      </c>
      <c r="AP154" s="12" t="str">
        <f t="shared" si="34"/>
        <v/>
      </c>
      <c r="AQ154" s="64">
        <v>2503</v>
      </c>
      <c r="AR154" s="64" t="s">
        <v>5934</v>
      </c>
      <c r="AS154" s="12">
        <f t="shared" si="35"/>
        <v>473.36309999999997</v>
      </c>
      <c r="AT154" s="16" t="str">
        <f t="shared" si="36"/>
        <v>Yes</v>
      </c>
    </row>
    <row r="155" spans="1:46" hidden="1" x14ac:dyDescent="0.25">
      <c r="A155" s="41">
        <f>CASOPOInvCL!T155</f>
        <v>2</v>
      </c>
      <c r="B155" s="76" t="str">
        <f>CASOPOInvCL!Z155</f>
        <v>SO16554</v>
      </c>
      <c r="G155" s="5">
        <f>CASOPOInvCL!I155</f>
        <v>0</v>
      </c>
      <c r="H155" s="31">
        <f>CASOPOInvCL!U155</f>
        <v>2</v>
      </c>
      <c r="I155" s="31">
        <f>CASOPOInvCL!V155</f>
        <v>2025</v>
      </c>
      <c r="J155" s="5" t="str">
        <f>CASOPOInvCL!AB155</f>
        <v>INV12765</v>
      </c>
      <c r="K155" s="31">
        <f>CASOPOInvCL!W155</f>
        <v>5</v>
      </c>
      <c r="L155" s="31">
        <f>CASOPOInvCL!X155</f>
        <v>2025</v>
      </c>
      <c r="M155" s="31"/>
      <c r="N155" s="5" t="str">
        <f>CASOPOInvCL!AF155</f>
        <v>Barrick Gold - Pueblo Viejo Dominicana Corporation</v>
      </c>
      <c r="O155" s="16" t="str">
        <f>CASOPOInvCL!AG155</f>
        <v>USD</v>
      </c>
      <c r="P155" s="16">
        <f>CASOPOInvCL!AH155</f>
        <v>0</v>
      </c>
      <c r="Q155" s="16">
        <f>CASOPOInvCL!AI155</f>
        <v>0</v>
      </c>
      <c r="R155" s="32" t="str">
        <f>CASOPOInvCL!AU155</f>
        <v/>
      </c>
      <c r="S155" s="16">
        <f>CASOPOInvCL!AV155</f>
        <v>0</v>
      </c>
      <c r="T155" s="16">
        <f>CASOPOInvCL!AW155</f>
        <v>0</v>
      </c>
      <c r="Y155" s="29" t="str">
        <f>IFERROR(HLOOKUP(U155,List!$D$2:$H$6,2,FALSE),"")</f>
        <v/>
      </c>
      <c r="Z155" s="29" t="str">
        <f>IFERROR(HLOOKUP(V155,List!$D$2:$H$6,3,FALSE),"")</f>
        <v/>
      </c>
      <c r="AA155" s="29" t="str">
        <f>IFERROR(HLOOKUP(W155,List!$D$2:$H$6,4,FALSE),"")</f>
        <v/>
      </c>
      <c r="AB155" s="29" t="str">
        <f>IFERROR(HLOOKUP(X155,List!$D$2:$H$6,5,FALSE),"")</f>
        <v/>
      </c>
      <c r="AC155" s="12" t="str">
        <f t="shared" si="27"/>
        <v/>
      </c>
      <c r="AD155" s="12" t="str">
        <f t="shared" si="28"/>
        <v/>
      </c>
      <c r="AE155" s="12" t="str">
        <f t="shared" si="29"/>
        <v/>
      </c>
      <c r="AF155" s="12" t="str">
        <f t="shared" si="30"/>
        <v/>
      </c>
      <c r="AG155" t="str">
        <f>VLOOKUP(J155,'Receivable Invoice Detail'!$A$1:F3167,6,FALSE)</f>
        <v>[85449] Service Kit, Micropump GLH-H25, Gears on Shafts, Bushings and Seals</v>
      </c>
      <c r="AH155" s="12">
        <f t="shared" si="26"/>
        <v>0</v>
      </c>
      <c r="AM155" s="12" t="str">
        <f t="shared" si="31"/>
        <v/>
      </c>
      <c r="AN155" s="12" t="str">
        <f t="shared" si="32"/>
        <v/>
      </c>
      <c r="AO155" s="12" t="str">
        <f t="shared" si="33"/>
        <v/>
      </c>
      <c r="AP155" s="12" t="str">
        <f t="shared" si="34"/>
        <v/>
      </c>
      <c r="AQ155" s="64">
        <v>2503</v>
      </c>
      <c r="AR155" s="64" t="s">
        <v>5934</v>
      </c>
      <c r="AS155" s="12">
        <f t="shared" si="35"/>
        <v>0</v>
      </c>
      <c r="AT155" s="16" t="str">
        <f t="shared" si="36"/>
        <v/>
      </c>
    </row>
    <row r="156" spans="1:46" hidden="1" x14ac:dyDescent="0.25">
      <c r="A156" s="41">
        <f>CASOPOInvCL!T156</f>
        <v>1</v>
      </c>
      <c r="B156" t="str">
        <f>CASOPOInvCL!Z156</f>
        <v>SO16556</v>
      </c>
      <c r="G156" s="5" t="str">
        <f>CASOPOInvCL!I156</f>
        <v>Yannett Yeomans</v>
      </c>
      <c r="H156" s="31">
        <f>CASOPOInvCL!U156</f>
        <v>2</v>
      </c>
      <c r="I156" s="31">
        <f>CASOPOInvCL!V156</f>
        <v>2025</v>
      </c>
      <c r="J156" s="5" t="str">
        <f>CASOPOInvCL!AB156</f>
        <v>INV12867</v>
      </c>
      <c r="K156" s="31" t="str">
        <f>CASOPOInvCL!W156</f>
        <v/>
      </c>
      <c r="L156" s="31" t="str">
        <f>CASOPOInvCL!X156</f>
        <v/>
      </c>
      <c r="M156" s="31"/>
      <c r="N156" s="5" t="str">
        <f>CASOPOInvCL!AF156</f>
        <v>Dynapro Pumps México S de RL de CV</v>
      </c>
      <c r="O156" s="16" t="str">
        <f>CASOPOInvCL!AG156</f>
        <v>USD</v>
      </c>
      <c r="P156" s="16">
        <f>CASOPOInvCL!AH156</f>
        <v>5240.7712292499091</v>
      </c>
      <c r="Q156" s="16">
        <f>CASOPOInvCL!AI156</f>
        <v>3669</v>
      </c>
      <c r="R156" s="32" t="str">
        <f>CASOPOInvCL!AU156</f>
        <v/>
      </c>
      <c r="S156" s="16">
        <f>CASOPOInvCL!AV156</f>
        <v>0</v>
      </c>
      <c r="T156" s="16">
        <f>CASOPOInvCL!AW156</f>
        <v>0</v>
      </c>
      <c r="Y156" s="29" t="str">
        <f>IFERROR(HLOOKUP(U156,List!$D$2:$H$6,2,FALSE),"")</f>
        <v/>
      </c>
      <c r="Z156" s="29" t="str">
        <f>IFERROR(HLOOKUP(V156,List!$D$2:$H$6,3,FALSE),"")</f>
        <v/>
      </c>
      <c r="AA156" s="29" t="str">
        <f>IFERROR(HLOOKUP(W156,List!$D$2:$H$6,4,FALSE),"")</f>
        <v/>
      </c>
      <c r="AB156" s="29" t="str">
        <f>IFERROR(HLOOKUP(X156,List!$D$2:$H$6,5,FALSE),"")</f>
        <v/>
      </c>
      <c r="AC156" s="12" t="str">
        <f t="shared" si="27"/>
        <v/>
      </c>
      <c r="AD156" s="12" t="str">
        <f t="shared" si="28"/>
        <v/>
      </c>
      <c r="AE156" s="12" t="str">
        <f t="shared" si="29"/>
        <v/>
      </c>
      <c r="AF156" s="12" t="str">
        <f t="shared" si="30"/>
        <v/>
      </c>
      <c r="AG156" t="str">
        <f>VLOOKUP(J156,'Receivable Invoice Detail'!$A$1:F3168,6,FALSE)</f>
        <v>[W-RVR10073G] Shaft 1200mm, 100RV-SPR, 1045</v>
      </c>
      <c r="AH156" s="12">
        <f t="shared" si="26"/>
        <v>0</v>
      </c>
      <c r="AM156" s="12" t="str">
        <f t="shared" si="31"/>
        <v/>
      </c>
      <c r="AN156" s="12" t="str">
        <f t="shared" si="32"/>
        <v/>
      </c>
      <c r="AO156" s="12" t="str">
        <f t="shared" si="33"/>
        <v/>
      </c>
      <c r="AP156" s="12" t="str">
        <f t="shared" si="34"/>
        <v/>
      </c>
      <c r="AQ156" s="12"/>
      <c r="AR156" s="16" t="s">
        <v>5940</v>
      </c>
      <c r="AS156" s="12">
        <f t="shared" si="35"/>
        <v>0</v>
      </c>
      <c r="AT156" s="16" t="s">
        <v>5940</v>
      </c>
    </row>
    <row r="157" spans="1:46" hidden="1" x14ac:dyDescent="0.25">
      <c r="A157" s="41">
        <f>CASOPOInvCL!T157</f>
        <v>1</v>
      </c>
      <c r="B157" t="str">
        <f>CASOPOInvCL!Z157</f>
        <v>SO16557</v>
      </c>
      <c r="G157" s="5" t="str">
        <f>CASOPOInvCL!I157</f>
        <v>Taylor Cook</v>
      </c>
      <c r="H157" s="31">
        <f>CASOPOInvCL!U157</f>
        <v>2</v>
      </c>
      <c r="I157" s="31">
        <f>CASOPOInvCL!V157</f>
        <v>2025</v>
      </c>
      <c r="J157" s="5" t="str">
        <f>CASOPOInvCL!AB157</f>
        <v>INV12636</v>
      </c>
      <c r="K157" s="31">
        <f>CASOPOInvCL!W157</f>
        <v>3</v>
      </c>
      <c r="L157" s="31">
        <f>CASOPOInvCL!X157</f>
        <v>2025</v>
      </c>
      <c r="M157" s="31"/>
      <c r="N157" s="5" t="str">
        <f>CASOPOInvCL!AF157</f>
        <v>Canadian Bearings Ltd.</v>
      </c>
      <c r="O157" s="16" t="str">
        <f>CASOPOInvCL!AG157</f>
        <v>CAD</v>
      </c>
      <c r="P157" s="16">
        <f>CASOPOInvCL!AH157</f>
        <v>270.35000000000002</v>
      </c>
      <c r="Q157" s="16">
        <f>CASOPOInvCL!AI157</f>
        <v>190.5760604117369</v>
      </c>
      <c r="R157" s="32" t="str">
        <f>CASOPOInvCL!AU157</f>
        <v>Yes</v>
      </c>
      <c r="S157" s="16">
        <f>CASOPOInvCL!AV157</f>
        <v>0</v>
      </c>
      <c r="T157" s="16">
        <f>CASOPOInvCL!AW157</f>
        <v>190.5760604117369</v>
      </c>
      <c r="Y157" s="29" t="str">
        <f>IFERROR(HLOOKUP(U157,List!$D$2:$H$6,2,FALSE),"")</f>
        <v/>
      </c>
      <c r="Z157" s="29" t="str">
        <f>IFERROR(HLOOKUP(V157,List!$D$2:$H$6,3,FALSE),"")</f>
        <v/>
      </c>
      <c r="AA157" s="29" t="str">
        <f>IFERROR(HLOOKUP(W157,List!$D$2:$H$6,4,FALSE),"")</f>
        <v/>
      </c>
      <c r="AB157" s="29" t="str">
        <f>IFERROR(HLOOKUP(X157,List!$D$2:$H$6,5,FALSE),"")</f>
        <v/>
      </c>
      <c r="AC157" s="12" t="str">
        <f t="shared" si="27"/>
        <v/>
      </c>
      <c r="AD157" s="12" t="str">
        <f t="shared" si="28"/>
        <v/>
      </c>
      <c r="AE157" s="12" t="str">
        <f t="shared" si="29"/>
        <v/>
      </c>
      <c r="AF157" s="12" t="str">
        <f t="shared" si="30"/>
        <v/>
      </c>
      <c r="AG157" t="str">
        <f>VLOOKUP(J157,'Receivable Invoice Detail'!$A$1:F3169,6,FALSE)</f>
        <v>[AC-98-232-857-801] Shim Set, A-C PWO-C Group 1, Plastic</v>
      </c>
      <c r="AH157" s="12">
        <f t="shared" si="26"/>
        <v>0</v>
      </c>
      <c r="AM157" s="12" t="str">
        <f t="shared" si="31"/>
        <v/>
      </c>
      <c r="AN157" s="12" t="str">
        <f t="shared" si="32"/>
        <v/>
      </c>
      <c r="AO157" s="12" t="str">
        <f t="shared" si="33"/>
        <v/>
      </c>
      <c r="AP157" s="12" t="str">
        <f t="shared" si="34"/>
        <v/>
      </c>
      <c r="AQ157" s="12"/>
      <c r="AS157" s="12">
        <f t="shared" si="35"/>
        <v>2.8586409061760536</v>
      </c>
      <c r="AT157" s="16" t="str">
        <f t="shared" si="36"/>
        <v>Yes</v>
      </c>
    </row>
    <row r="158" spans="1:46" hidden="1" x14ac:dyDescent="0.25">
      <c r="A158" s="41">
        <f>CASOPOInvCL!T158</f>
        <v>1</v>
      </c>
      <c r="B158" t="str">
        <f>CASOPOInvCL!Z158</f>
        <v>SO16558</v>
      </c>
      <c r="G158" s="5" t="str">
        <f>CASOPOInvCL!I158</f>
        <v>Ian Trottier</v>
      </c>
      <c r="H158" s="31">
        <f>CASOPOInvCL!U158</f>
        <v>2</v>
      </c>
      <c r="I158" s="31">
        <f>CASOPOInvCL!V158</f>
        <v>2025</v>
      </c>
      <c r="J158" s="5" t="str">
        <f>CASOPOInvCL!AB158</f>
        <v>INV12977</v>
      </c>
      <c r="K158" s="31">
        <f>CASOPOInvCL!W158</f>
        <v>5</v>
      </c>
      <c r="L158" s="31">
        <f>CASOPOInvCL!X158</f>
        <v>2025</v>
      </c>
      <c r="M158" s="31"/>
      <c r="N158" s="5" t="str">
        <f>CASOPOInvCL!AF158</f>
        <v>Les Pompes du St-Laurent Inc.</v>
      </c>
      <c r="O158" s="16" t="str">
        <f>CASOPOInvCL!AG158</f>
        <v>CAD</v>
      </c>
      <c r="P158" s="16">
        <f>CASOPOInvCL!AH158</f>
        <v>3356.2</v>
      </c>
      <c r="Q158" s="16">
        <f>CASOPOInvCL!AI158</f>
        <v>2345.1662546957505</v>
      </c>
      <c r="R158" s="32" t="str">
        <f>CASOPOInvCL!AU158</f>
        <v>Yes</v>
      </c>
      <c r="S158" s="16">
        <f>CASOPOInvCL!AV158</f>
        <v>0</v>
      </c>
      <c r="T158" s="16">
        <f>CASOPOInvCL!AW158</f>
        <v>2345.1662546957505</v>
      </c>
      <c r="Y158" s="29" t="str">
        <f>IFERROR(HLOOKUP(U158,List!$D$2:$H$6,2,FALSE),"")</f>
        <v/>
      </c>
      <c r="Z158" s="29" t="str">
        <f>IFERROR(HLOOKUP(V158,List!$D$2:$H$6,3,FALSE),"")</f>
        <v/>
      </c>
      <c r="AA158" s="29" t="str">
        <f>IFERROR(HLOOKUP(W158,List!$D$2:$H$6,4,FALSE),"")</f>
        <v/>
      </c>
      <c r="AB158" s="29" t="str">
        <f>IFERROR(HLOOKUP(X158,List!$D$2:$H$6,5,FALSE),"")</f>
        <v/>
      </c>
      <c r="AC158" s="12" t="str">
        <f t="shared" si="27"/>
        <v/>
      </c>
      <c r="AD158" s="12" t="str">
        <f t="shared" si="28"/>
        <v/>
      </c>
      <c r="AE158" s="12" t="str">
        <f t="shared" si="29"/>
        <v/>
      </c>
      <c r="AF158" s="12" t="str">
        <f t="shared" si="30"/>
        <v/>
      </c>
      <c r="AG158" t="str">
        <f>VLOOKUP(J158,'Receivable Invoice Detail'!$A$1:F3170,6,FALSE)</f>
        <v>[DU-MY36862A100-HAST-C] Impeller, 3x2-10, Durco Mark 2 Group 2, Hastelloy C, Reverse Vane</v>
      </c>
      <c r="AH158" s="12">
        <f t="shared" si="26"/>
        <v>0</v>
      </c>
      <c r="AM158" s="12" t="str">
        <f t="shared" si="31"/>
        <v/>
      </c>
      <c r="AN158" s="12" t="str">
        <f t="shared" si="32"/>
        <v/>
      </c>
      <c r="AO158" s="12" t="str">
        <f t="shared" si="33"/>
        <v/>
      </c>
      <c r="AP158" s="12" t="str">
        <f t="shared" si="34"/>
        <v/>
      </c>
      <c r="AQ158" s="12"/>
      <c r="AS158" s="12">
        <f t="shared" si="35"/>
        <v>35.177493820436254</v>
      </c>
      <c r="AT158" s="16" t="str">
        <f t="shared" si="36"/>
        <v>Yes</v>
      </c>
    </row>
    <row r="159" spans="1:46" hidden="1" x14ac:dyDescent="0.25">
      <c r="A159" s="41">
        <f>CASOPOInvCL!T159</f>
        <v>1</v>
      </c>
      <c r="B159" t="str">
        <f>CASOPOInvCL!Z159</f>
        <v>SO16559</v>
      </c>
      <c r="G159" s="5" t="str">
        <f>CASOPOInvCL!I159</f>
        <v>Taylor Cook</v>
      </c>
      <c r="H159" s="31">
        <f>CASOPOInvCL!U159</f>
        <v>2</v>
      </c>
      <c r="I159" s="31">
        <f>CASOPOInvCL!V159</f>
        <v>2025</v>
      </c>
      <c r="J159" s="5" t="str">
        <f>CASOPOInvCL!AB159</f>
        <v>INV12640</v>
      </c>
      <c r="K159" s="31">
        <f>CASOPOInvCL!W159</f>
        <v>3</v>
      </c>
      <c r="L159" s="31">
        <f>CASOPOInvCL!X159</f>
        <v>2025</v>
      </c>
      <c r="M159" s="31"/>
      <c r="N159" s="5" t="str">
        <f>CASOPOInvCL!AF159</f>
        <v>Tantalum Mining Corporation of Canada</v>
      </c>
      <c r="O159" s="16" t="str">
        <f>CASOPOInvCL!AG159</f>
        <v>CAD</v>
      </c>
      <c r="P159" s="16">
        <f>CASOPOInvCL!AH159</f>
        <v>2019.47</v>
      </c>
      <c r="Q159" s="16">
        <f>CASOPOInvCL!AI159</f>
        <v>1418.2424870991472</v>
      </c>
      <c r="R159" s="32" t="str">
        <f>CASOPOInvCL!AU159</f>
        <v>Yes</v>
      </c>
      <c r="S159" s="16">
        <f>CASOPOInvCL!AV159</f>
        <v>0</v>
      </c>
      <c r="T159" s="16">
        <f>CASOPOInvCL!AW159</f>
        <v>1418.2424870991472</v>
      </c>
      <c r="Y159" s="29" t="str">
        <f>IFERROR(HLOOKUP(U159,List!$D$2:$H$6,2,FALSE),"")</f>
        <v/>
      </c>
      <c r="Z159" s="29" t="str">
        <f>IFERROR(HLOOKUP(V159,List!$D$2:$H$6,3,FALSE),"")</f>
        <v/>
      </c>
      <c r="AA159" s="29" t="str">
        <f>IFERROR(HLOOKUP(W159,List!$D$2:$H$6,4,FALSE),"")</f>
        <v/>
      </c>
      <c r="AB159" s="29" t="str">
        <f>IFERROR(HLOOKUP(X159,List!$D$2:$H$6,5,FALSE),"")</f>
        <v/>
      </c>
      <c r="AC159" s="12" t="str">
        <f t="shared" si="27"/>
        <v/>
      </c>
      <c r="AD159" s="12" t="str">
        <f t="shared" si="28"/>
        <v/>
      </c>
      <c r="AE159" s="12" t="str">
        <f t="shared" si="29"/>
        <v/>
      </c>
      <c r="AF159" s="12" t="str">
        <f t="shared" si="30"/>
        <v/>
      </c>
      <c r="AG159" t="str">
        <f>VLOOKUP(J159,'Receivable Invoice Detail'!$A$1:F3171,6,FALSE)</f>
        <v>[AC-98-236-104-001] Shaft Sleeve, 8x6-18 &amp; 10x8-21 SRL-C, Steel</v>
      </c>
      <c r="AH159" s="12">
        <f t="shared" si="26"/>
        <v>0</v>
      </c>
      <c r="AM159" s="12" t="str">
        <f t="shared" si="31"/>
        <v/>
      </c>
      <c r="AN159" s="12" t="str">
        <f t="shared" si="32"/>
        <v/>
      </c>
      <c r="AO159" s="12" t="str">
        <f t="shared" si="33"/>
        <v/>
      </c>
      <c r="AP159" s="12" t="str">
        <f t="shared" si="34"/>
        <v/>
      </c>
      <c r="AQ159" s="12"/>
      <c r="AS159" s="12">
        <f t="shared" si="35"/>
        <v>21.273637306487206</v>
      </c>
      <c r="AT159" s="16" t="str">
        <f t="shared" si="36"/>
        <v>Yes</v>
      </c>
    </row>
    <row r="160" spans="1:46" hidden="1" x14ac:dyDescent="0.25">
      <c r="A160" s="41">
        <f>CASOPOInvCL!T160</f>
        <v>1</v>
      </c>
      <c r="B160" t="str">
        <f>CASOPOInvCL!Z160</f>
        <v>SO16560</v>
      </c>
      <c r="G160" s="5" t="str">
        <f>CASOPOInvCL!I160</f>
        <v>Ian Trottier</v>
      </c>
      <c r="H160" s="31">
        <f>CASOPOInvCL!U160</f>
        <v>2</v>
      </c>
      <c r="I160" s="31">
        <f>CASOPOInvCL!V160</f>
        <v>2025</v>
      </c>
      <c r="J160" s="5" t="str">
        <f>CASOPOInvCL!AB160</f>
        <v>INV12622</v>
      </c>
      <c r="K160" s="31">
        <f>CASOPOInvCL!W160</f>
        <v>4</v>
      </c>
      <c r="L160" s="31">
        <f>CASOPOInvCL!X160</f>
        <v>2025</v>
      </c>
      <c r="M160" s="31"/>
      <c r="N160" s="5" t="str">
        <f>CASOPOInvCL!AF160</f>
        <v>Resolute Forest Products - Kenogami</v>
      </c>
      <c r="O160" s="16" t="str">
        <f>CASOPOInvCL!AG160</f>
        <v>CAD</v>
      </c>
      <c r="P160" s="16">
        <f>CASOPOInvCL!AH160</f>
        <v>939.78</v>
      </c>
      <c r="Q160" s="16">
        <f>CASOPOInvCL!AI160</f>
        <v>657.71488954735526</v>
      </c>
      <c r="R160" s="32" t="str">
        <f>CASOPOInvCL!AU160</f>
        <v>Yes</v>
      </c>
      <c r="S160" s="16">
        <f>CASOPOInvCL!AV160</f>
        <v>0</v>
      </c>
      <c r="T160" s="16">
        <f>CASOPOInvCL!AW160</f>
        <v>657.71488954735526</v>
      </c>
      <c r="Y160" s="29" t="str">
        <f>IFERROR(HLOOKUP(U160,List!$D$2:$H$6,2,FALSE),"")</f>
        <v/>
      </c>
      <c r="Z160" s="29" t="str">
        <f>IFERROR(HLOOKUP(V160,List!$D$2:$H$6,3,FALSE),"")</f>
        <v/>
      </c>
      <c r="AA160" s="29" t="str">
        <f>IFERROR(HLOOKUP(W160,List!$D$2:$H$6,4,FALSE),"")</f>
        <v/>
      </c>
      <c r="AB160" s="29" t="str">
        <f>IFERROR(HLOOKUP(X160,List!$D$2:$H$6,5,FALSE),"")</f>
        <v/>
      </c>
      <c r="AC160" s="12" t="str">
        <f t="shared" si="27"/>
        <v/>
      </c>
      <c r="AD160" s="12" t="str">
        <f t="shared" si="28"/>
        <v/>
      </c>
      <c r="AE160" s="12" t="str">
        <f t="shared" si="29"/>
        <v/>
      </c>
      <c r="AF160" s="12" t="str">
        <f t="shared" si="30"/>
        <v/>
      </c>
      <c r="AG160" t="str">
        <f>VLOOKUP(J160,'Receivable Invoice Detail'!$A$1:F3172,6,FALSE)</f>
        <v>[AC-98-130-367-001] Shaft Sleeve, PWO Frame 2, 316SS</v>
      </c>
      <c r="AH160" s="12">
        <f t="shared" si="26"/>
        <v>0</v>
      </c>
      <c r="AM160" s="12" t="str">
        <f t="shared" si="31"/>
        <v/>
      </c>
      <c r="AN160" s="12" t="str">
        <f t="shared" si="32"/>
        <v/>
      </c>
      <c r="AO160" s="12" t="str">
        <f t="shared" si="33"/>
        <v/>
      </c>
      <c r="AP160" s="12" t="str">
        <f t="shared" si="34"/>
        <v/>
      </c>
      <c r="AQ160" s="12"/>
      <c r="AS160" s="12">
        <f t="shared" si="35"/>
        <v>9.8657233432103286</v>
      </c>
      <c r="AT160" s="16" t="str">
        <f t="shared" si="36"/>
        <v>Yes</v>
      </c>
    </row>
    <row r="161" spans="1:46" hidden="1" x14ac:dyDescent="0.25">
      <c r="A161" s="41">
        <f>CASOPOInvCL!T161</f>
        <v>1</v>
      </c>
      <c r="B161" t="str">
        <f>CASOPOInvCL!Z161</f>
        <v>SO16561</v>
      </c>
      <c r="G161" s="5" t="str">
        <f>CASOPOInvCL!I161</f>
        <v>Ian Trottier</v>
      </c>
      <c r="H161" s="31">
        <f>CASOPOInvCL!U161</f>
        <v>2</v>
      </c>
      <c r="I161" s="31">
        <f>CASOPOInvCL!V161</f>
        <v>2025</v>
      </c>
      <c r="J161" s="5" t="str">
        <f>CASOPOInvCL!AB161</f>
        <v>INV12693</v>
      </c>
      <c r="K161" s="31">
        <f>CASOPOInvCL!W161</f>
        <v>4</v>
      </c>
      <c r="L161" s="31">
        <f>CASOPOInvCL!X161</f>
        <v>2025</v>
      </c>
      <c r="M161" s="31"/>
      <c r="N161" s="5" t="str">
        <f>CASOPOInvCL!AF161</f>
        <v>Sealtrac Inc.</v>
      </c>
      <c r="O161" s="16" t="str">
        <f>CASOPOInvCL!AG161</f>
        <v>CAD</v>
      </c>
      <c r="P161" s="16">
        <f>CASOPOInvCL!AH161</f>
        <v>537.27</v>
      </c>
      <c r="Q161" s="16">
        <f>CASOPOInvCL!AI161</f>
        <v>377.31639541253833</v>
      </c>
      <c r="R161" s="32" t="str">
        <f>CASOPOInvCL!AU161</f>
        <v>Yes</v>
      </c>
      <c r="S161" s="16">
        <f>CASOPOInvCL!AV161</f>
        <v>0</v>
      </c>
      <c r="T161" s="16">
        <f>CASOPOInvCL!AW161</f>
        <v>377.31639541253833</v>
      </c>
      <c r="Y161" s="29" t="str">
        <f>IFERROR(HLOOKUP(U161,List!$D$2:$H$6,2,FALSE),"")</f>
        <v/>
      </c>
      <c r="Z161" s="29" t="str">
        <f>IFERROR(HLOOKUP(V161,List!$D$2:$H$6,3,FALSE),"")</f>
        <v/>
      </c>
      <c r="AA161" s="29" t="str">
        <f>IFERROR(HLOOKUP(W161,List!$D$2:$H$6,4,FALSE),"")</f>
        <v/>
      </c>
      <c r="AB161" s="29" t="str">
        <f>IFERROR(HLOOKUP(X161,List!$D$2:$H$6,5,FALSE),"")</f>
        <v/>
      </c>
      <c r="AC161" s="12" t="str">
        <f t="shared" si="27"/>
        <v/>
      </c>
      <c r="AD161" s="12" t="str">
        <f t="shared" si="28"/>
        <v/>
      </c>
      <c r="AE161" s="12" t="str">
        <f t="shared" si="29"/>
        <v/>
      </c>
      <c r="AF161" s="12" t="str">
        <f t="shared" si="30"/>
        <v/>
      </c>
      <c r="AG161" t="str">
        <f>VLOOKUP(J161,'Receivable Invoice Detail'!$A$1:F3173,6,FALSE)</f>
        <v>[G-C04677A 3201] Coupling Guard, 3196 MTX/LTX, Fabricated Steel, Drum Style</v>
      </c>
      <c r="AH161" s="12">
        <f t="shared" si="26"/>
        <v>0</v>
      </c>
      <c r="AM161" s="12" t="str">
        <f t="shared" si="31"/>
        <v/>
      </c>
      <c r="AN161" s="12" t="str">
        <f t="shared" si="32"/>
        <v/>
      </c>
      <c r="AO161" s="12" t="str">
        <f t="shared" si="33"/>
        <v/>
      </c>
      <c r="AP161" s="12" t="str">
        <f t="shared" si="34"/>
        <v/>
      </c>
      <c r="AQ161" s="12"/>
      <c r="AS161" s="12">
        <f t="shared" si="35"/>
        <v>5.6597459311880751</v>
      </c>
      <c r="AT161" s="16" t="str">
        <f t="shared" si="36"/>
        <v>Yes</v>
      </c>
    </row>
    <row r="162" spans="1:46" hidden="1" x14ac:dyDescent="0.25">
      <c r="A162" s="41">
        <f>CASOPOInvCL!T162</f>
        <v>2</v>
      </c>
      <c r="B162" t="str">
        <f>CASOPOInvCL!Z162</f>
        <v>SO16564</v>
      </c>
      <c r="G162" s="5" t="str">
        <f>CASOPOInvCL!I162</f>
        <v>Taylor Cook</v>
      </c>
      <c r="H162" s="31">
        <f>CASOPOInvCL!U162</f>
        <v>2</v>
      </c>
      <c r="I162" s="31">
        <f>CASOPOInvCL!V162</f>
        <v>2025</v>
      </c>
      <c r="J162" s="5" t="str">
        <f>CASOPOInvCL!AB162</f>
        <v>INV12880</v>
      </c>
      <c r="K162" s="31">
        <f>CASOPOInvCL!W162</f>
        <v>5</v>
      </c>
      <c r="L162" s="31">
        <f>CASOPOInvCL!X162</f>
        <v>2025</v>
      </c>
      <c r="M162" s="31"/>
      <c r="N162" s="5" t="str">
        <f>CASOPOInvCL!AF162</f>
        <v>Sling-Choker Manufacturing - Timmins</v>
      </c>
      <c r="O162" s="16" t="str">
        <f>CASOPOInvCL!AG162</f>
        <v>CAD</v>
      </c>
      <c r="P162" s="16">
        <f>CASOPOInvCL!AH162</f>
        <v>13281.16</v>
      </c>
      <c r="Q162" s="16">
        <f>CASOPOInvCL!AI162</f>
        <v>9281.8105690133762</v>
      </c>
      <c r="R162" s="32" t="str">
        <f>CASOPOInvCL!AU162</f>
        <v>Yes</v>
      </c>
      <c r="S162" s="16">
        <f>CASOPOInvCL!AV162</f>
        <v>0</v>
      </c>
      <c r="T162" s="16">
        <f>CASOPOInvCL!AW162</f>
        <v>9281.8105690133762</v>
      </c>
      <c r="Y162" s="29" t="str">
        <f>IFERROR(HLOOKUP(U162,List!$D$2:$H$6,2,FALSE),"")</f>
        <v/>
      </c>
      <c r="Z162" s="29" t="str">
        <f>IFERROR(HLOOKUP(V162,List!$D$2:$H$6,3,FALSE),"")</f>
        <v/>
      </c>
      <c r="AA162" s="29" t="str">
        <f>IFERROR(HLOOKUP(W162,List!$D$2:$H$6,4,FALSE),"")</f>
        <v/>
      </c>
      <c r="AB162" s="29" t="str">
        <f>IFERROR(HLOOKUP(X162,List!$D$2:$H$6,5,FALSE),"")</f>
        <v/>
      </c>
      <c r="AC162" s="12" t="str">
        <f t="shared" si="27"/>
        <v/>
      </c>
      <c r="AD162" s="12" t="str">
        <f t="shared" si="28"/>
        <v/>
      </c>
      <c r="AE162" s="12" t="str">
        <f t="shared" si="29"/>
        <v/>
      </c>
      <c r="AF162" s="12" t="str">
        <f t="shared" si="30"/>
        <v/>
      </c>
      <c r="AG162" t="str">
        <f>VLOOKUP(J162,'Receivable Invoice Detail'!$A$1:F3174,6,FALSE)</f>
        <v>[G-0C02705A 1203] Impeller, 4x6-19, 3180-M, 316SS, 5-Vane</v>
      </c>
      <c r="AH162" s="12">
        <f t="shared" si="26"/>
        <v>0</v>
      </c>
      <c r="AM162" s="12" t="str">
        <f t="shared" si="31"/>
        <v/>
      </c>
      <c r="AN162" s="12" t="str">
        <f t="shared" si="32"/>
        <v/>
      </c>
      <c r="AO162" s="12" t="str">
        <f t="shared" si="33"/>
        <v/>
      </c>
      <c r="AP162" s="12" t="str">
        <f t="shared" si="34"/>
        <v/>
      </c>
      <c r="AQ162" s="12"/>
      <c r="AS162" s="12">
        <f t="shared" si="35"/>
        <v>139.22715853520063</v>
      </c>
      <c r="AT162" s="16" t="str">
        <f t="shared" si="36"/>
        <v>Yes</v>
      </c>
    </row>
    <row r="163" spans="1:46" hidden="1" x14ac:dyDescent="0.25">
      <c r="A163" s="41">
        <f>CASOPOInvCL!T163</f>
        <v>2</v>
      </c>
      <c r="B163" t="str">
        <f>CASOPOInvCL!Z163</f>
        <v>SO16564</v>
      </c>
      <c r="G163" s="5">
        <f>CASOPOInvCL!I163</f>
        <v>0</v>
      </c>
      <c r="H163" s="31">
        <f>CASOPOInvCL!U163</f>
        <v>2</v>
      </c>
      <c r="I163" s="31">
        <f>CASOPOInvCL!V163</f>
        <v>2025</v>
      </c>
      <c r="J163" s="5" t="str">
        <f>CASOPOInvCL!AB163</f>
        <v>INV12664</v>
      </c>
      <c r="K163" s="31">
        <f>CASOPOInvCL!W163</f>
        <v>3</v>
      </c>
      <c r="L163" s="31">
        <f>CASOPOInvCL!X163</f>
        <v>2025</v>
      </c>
      <c r="M163" s="31"/>
      <c r="N163" s="5" t="str">
        <f>CASOPOInvCL!AF163</f>
        <v>Sling-Choker Manufacturing - Timmins</v>
      </c>
      <c r="O163" s="16" t="str">
        <f>CASOPOInvCL!AG163</f>
        <v>CAD</v>
      </c>
      <c r="P163" s="16">
        <f>CASOPOInvCL!AH163</f>
        <v>0</v>
      </c>
      <c r="Q163" s="16">
        <f>CASOPOInvCL!AI163</f>
        <v>0</v>
      </c>
      <c r="R163" s="32" t="str">
        <f>CASOPOInvCL!AU163</f>
        <v/>
      </c>
      <c r="S163" s="16">
        <f>CASOPOInvCL!AV163</f>
        <v>0</v>
      </c>
      <c r="T163" s="16">
        <f>CASOPOInvCL!AW163</f>
        <v>0</v>
      </c>
      <c r="Y163" s="29" t="str">
        <f>IFERROR(HLOOKUP(U163,List!$D$2:$H$6,2,FALSE),"")</f>
        <v/>
      </c>
      <c r="Z163" s="29" t="str">
        <f>IFERROR(HLOOKUP(V163,List!$D$2:$H$6,3,FALSE),"")</f>
        <v/>
      </c>
      <c r="AA163" s="29" t="str">
        <f>IFERROR(HLOOKUP(W163,List!$D$2:$H$6,4,FALSE),"")</f>
        <v/>
      </c>
      <c r="AB163" s="29" t="str">
        <f>IFERROR(HLOOKUP(X163,List!$D$2:$H$6,5,FALSE),"")</f>
        <v/>
      </c>
      <c r="AC163" s="12" t="str">
        <f t="shared" si="27"/>
        <v/>
      </c>
      <c r="AD163" s="12" t="str">
        <f t="shared" si="28"/>
        <v/>
      </c>
      <c r="AE163" s="12" t="str">
        <f t="shared" si="29"/>
        <v/>
      </c>
      <c r="AF163" s="12" t="str">
        <f t="shared" si="30"/>
        <v/>
      </c>
      <c r="AG163" t="str">
        <f>VLOOKUP(J163,'Receivable Invoice Detail'!$A$1:F3175,6,FALSE)</f>
        <v>[G-A03190A02 2213] Impeller Key, 3180-M, Steel</v>
      </c>
      <c r="AH163" s="12">
        <f t="shared" si="26"/>
        <v>0</v>
      </c>
      <c r="AM163" s="12" t="str">
        <f t="shared" si="31"/>
        <v/>
      </c>
      <c r="AN163" s="12" t="str">
        <f t="shared" si="32"/>
        <v/>
      </c>
      <c r="AO163" s="12" t="str">
        <f t="shared" si="33"/>
        <v/>
      </c>
      <c r="AP163" s="12" t="str">
        <f t="shared" si="34"/>
        <v/>
      </c>
      <c r="AQ163" s="12"/>
      <c r="AS163" s="12">
        <f t="shared" si="35"/>
        <v>0</v>
      </c>
      <c r="AT163" s="16" t="str">
        <f t="shared" si="36"/>
        <v/>
      </c>
    </row>
    <row r="164" spans="1:46" hidden="1" x14ac:dyDescent="0.25">
      <c r="A164" s="41">
        <f>CASOPOInvCL!T164</f>
        <v>1</v>
      </c>
      <c r="B164" t="str">
        <f>CASOPOInvCL!Z164</f>
        <v>SO16568</v>
      </c>
      <c r="G164" s="5" t="str">
        <f>CASOPOInvCL!I164</f>
        <v>Ian Trottier</v>
      </c>
      <c r="H164" s="31">
        <f>CASOPOInvCL!U164</f>
        <v>2</v>
      </c>
      <c r="I164" s="31">
        <f>CASOPOInvCL!V164</f>
        <v>2025</v>
      </c>
      <c r="J164" s="5" t="str">
        <f>CASOPOInvCL!AB164</f>
        <v>INV12741</v>
      </c>
      <c r="K164" s="31">
        <f>CASOPOInvCL!W164</f>
        <v>4</v>
      </c>
      <c r="L164" s="31">
        <f>CASOPOInvCL!X164</f>
        <v>2025</v>
      </c>
      <c r="M164" s="31"/>
      <c r="N164" s="5" t="str">
        <f>CASOPOInvCL!AF164</f>
        <v>Les Pompes du St-Laurent Inc.</v>
      </c>
      <c r="O164" s="16" t="str">
        <f>CASOPOInvCL!AG164</f>
        <v>CAD</v>
      </c>
      <c r="P164" s="16">
        <f>CASOPOInvCL!AH164</f>
        <v>1209.1300000000001</v>
      </c>
      <c r="Q164" s="16">
        <f>CASOPOInvCL!AI164</f>
        <v>842.66590406184275</v>
      </c>
      <c r="R164" s="32" t="str">
        <f>CASOPOInvCL!AU164</f>
        <v>Yes</v>
      </c>
      <c r="S164" s="16">
        <f>CASOPOInvCL!AV164</f>
        <v>0</v>
      </c>
      <c r="T164" s="16">
        <f>CASOPOInvCL!AW164</f>
        <v>842.66590406184275</v>
      </c>
      <c r="Y164" s="29" t="str">
        <f>IFERROR(HLOOKUP(U164,List!$D$2:$H$6,2,FALSE),"")</f>
        <v/>
      </c>
      <c r="Z164" s="29" t="str">
        <f>IFERROR(HLOOKUP(V164,List!$D$2:$H$6,3,FALSE),"")</f>
        <v/>
      </c>
      <c r="AA164" s="29" t="str">
        <f>IFERROR(HLOOKUP(W164,List!$D$2:$H$6,4,FALSE),"")</f>
        <v/>
      </c>
      <c r="AB164" s="29" t="str">
        <f>IFERROR(HLOOKUP(X164,List!$D$2:$H$6,5,FALSE),"")</f>
        <v/>
      </c>
      <c r="AC164" s="12" t="str">
        <f t="shared" si="27"/>
        <v/>
      </c>
      <c r="AD164" s="12" t="str">
        <f t="shared" si="28"/>
        <v/>
      </c>
      <c r="AE164" s="12" t="str">
        <f t="shared" si="29"/>
        <v/>
      </c>
      <c r="AF164" s="12" t="str">
        <f t="shared" si="30"/>
        <v/>
      </c>
      <c r="AG164" t="str">
        <f>VLOOKUP(J164,'Receivable Invoice Detail'!$A$1:F3176,6,FALSE)</f>
        <v>[AC-98-431-858-501] Shaft Assembly, 3x3-10 SRL &amp; SRL-C, 1045 Steel</v>
      </c>
      <c r="AH164" s="12">
        <f t="shared" si="26"/>
        <v>0</v>
      </c>
      <c r="AM164" s="12" t="str">
        <f t="shared" si="31"/>
        <v/>
      </c>
      <c r="AN164" s="12" t="str">
        <f t="shared" si="32"/>
        <v/>
      </c>
      <c r="AO164" s="12" t="str">
        <f t="shared" si="33"/>
        <v/>
      </c>
      <c r="AP164" s="12" t="str">
        <f t="shared" si="34"/>
        <v/>
      </c>
      <c r="AQ164" s="12"/>
      <c r="AS164" s="12">
        <f t="shared" si="35"/>
        <v>12.639988560927641</v>
      </c>
      <c r="AT164" s="16" t="str">
        <f t="shared" si="36"/>
        <v>Yes</v>
      </c>
    </row>
    <row r="165" spans="1:46" hidden="1" x14ac:dyDescent="0.25">
      <c r="A165" s="41">
        <f>CASOPOInvCL!T165</f>
        <v>1</v>
      </c>
      <c r="B165" s="76" t="str">
        <f>CASOPOInvCL!Z165</f>
        <v>SO16569</v>
      </c>
      <c r="G165" s="5" t="str">
        <f>CASOPOInvCL!I165</f>
        <v>Jeff Bell</v>
      </c>
      <c r="H165" s="31">
        <f>CASOPOInvCL!U165</f>
        <v>2</v>
      </c>
      <c r="I165" s="31">
        <f>CASOPOInvCL!V165</f>
        <v>2025</v>
      </c>
      <c r="J165" s="5" t="str">
        <f>CASOPOInvCL!AB165</f>
        <v>INV12645</v>
      </c>
      <c r="K165" s="31">
        <f>CASOPOInvCL!W165</f>
        <v>4</v>
      </c>
      <c r="L165" s="31">
        <f>CASOPOInvCL!X165</f>
        <v>2025</v>
      </c>
      <c r="M165" s="31"/>
      <c r="N165" s="5" t="str">
        <f>CASOPOInvCL!AF165</f>
        <v>Barrick Gold - Pueblo Viejo Dominicana Corporation</v>
      </c>
      <c r="O165" s="16" t="str">
        <f>CASOPOInvCL!AG165</f>
        <v>USD</v>
      </c>
      <c r="P165" s="16">
        <f>CASOPOInvCL!AH165</f>
        <v>14139.591623106726</v>
      </c>
      <c r="Q165" s="16">
        <f>CASOPOInvCL!AI165</f>
        <v>9893.2000000000007</v>
      </c>
      <c r="R165" s="32" t="str">
        <f>CASOPOInvCL!AU165</f>
        <v>Yes</v>
      </c>
      <c r="S165" s="16">
        <f>CASOPOInvCL!AV165</f>
        <v>0</v>
      </c>
      <c r="T165" s="16">
        <f>CASOPOInvCL!AW165</f>
        <v>9893.2000000000007</v>
      </c>
      <c r="Y165" s="29" t="str">
        <f>IFERROR(HLOOKUP(U165,List!$D$2:$H$6,2,FALSE),"")</f>
        <v/>
      </c>
      <c r="Z165" s="29" t="str">
        <f>IFERROR(HLOOKUP(V165,List!$D$2:$H$6,3,FALSE),"")</f>
        <v/>
      </c>
      <c r="AA165" s="29" t="str">
        <f>IFERROR(HLOOKUP(W165,List!$D$2:$H$6,4,FALSE),"")</f>
        <v/>
      </c>
      <c r="AB165" s="29" t="str">
        <f>IFERROR(HLOOKUP(X165,List!$D$2:$H$6,5,FALSE),"")</f>
        <v/>
      </c>
      <c r="AC165" s="12" t="str">
        <f t="shared" si="27"/>
        <v/>
      </c>
      <c r="AD165" s="12" t="str">
        <f t="shared" si="28"/>
        <v/>
      </c>
      <c r="AE165" s="12" t="str">
        <f t="shared" si="29"/>
        <v/>
      </c>
      <c r="AF165" s="12" t="str">
        <f t="shared" si="30"/>
        <v/>
      </c>
      <c r="AG165" t="str">
        <f>VLOOKUP(J165,'Receivable Invoice Detail'!$A$1:F3177,6,FALSE)</f>
        <v>[D-2001408-2507] Impeller Wear Ring, 10JKH/M, 5.12x5.48x0.88, Duplex SS 2507 w/Ion Nitriding</v>
      </c>
      <c r="AH165" s="12">
        <f t="shared" si="26"/>
        <v>0</v>
      </c>
      <c r="AM165" s="12" t="str">
        <f t="shared" si="31"/>
        <v/>
      </c>
      <c r="AN165" s="12" t="str">
        <f t="shared" si="32"/>
        <v/>
      </c>
      <c r="AO165" s="12" t="str">
        <f t="shared" si="33"/>
        <v/>
      </c>
      <c r="AP165" s="12" t="str">
        <f t="shared" si="34"/>
        <v/>
      </c>
      <c r="AQ165" s="64">
        <v>2503</v>
      </c>
      <c r="AR165" s="64" t="s">
        <v>5934</v>
      </c>
      <c r="AS165" s="12">
        <f t="shared" si="35"/>
        <v>148.398</v>
      </c>
      <c r="AT165" s="16" t="str">
        <f t="shared" si="36"/>
        <v>Yes</v>
      </c>
    </row>
    <row r="166" spans="1:46" hidden="1" x14ac:dyDescent="0.25">
      <c r="A166" s="41">
        <f>CASOPOInvCL!T166</f>
        <v>2</v>
      </c>
      <c r="B166" t="str">
        <f>CASOPOInvCL!Z166</f>
        <v>SO16570</v>
      </c>
      <c r="G166" s="5" t="str">
        <f>CASOPOInvCL!I166</f>
        <v>Taylor Cook</v>
      </c>
      <c r="H166" s="31">
        <f>CASOPOInvCL!U166</f>
        <v>2</v>
      </c>
      <c r="I166" s="31">
        <f>CASOPOInvCL!V166</f>
        <v>2025</v>
      </c>
      <c r="J166" s="5" t="str">
        <f>CASOPOInvCL!AB166</f>
        <v>INV12628</v>
      </c>
      <c r="K166" s="31">
        <f>CASOPOInvCL!W166</f>
        <v>3</v>
      </c>
      <c r="L166" s="31">
        <f>CASOPOInvCL!X166</f>
        <v>2025</v>
      </c>
      <c r="M166" s="31"/>
      <c r="N166" s="5" t="str">
        <f>CASOPOInvCL!AF166</f>
        <v>Eleazar General &amp; Industrial Supplies Limited</v>
      </c>
      <c r="O166" s="16" t="str">
        <f>CASOPOInvCL!AG166</f>
        <v>USD</v>
      </c>
      <c r="P166" s="16">
        <f>CASOPOInvCL!AH166</f>
        <v>6885.1911813557999</v>
      </c>
      <c r="Q166" s="16">
        <f>CASOPOInvCL!AI166</f>
        <v>4853.4799999999996</v>
      </c>
      <c r="R166" s="32" t="str">
        <f>CASOPOInvCL!AU166</f>
        <v>Yes</v>
      </c>
      <c r="S166" s="16">
        <f>CASOPOInvCL!AV166</f>
        <v>0</v>
      </c>
      <c r="T166" s="16">
        <f>CASOPOInvCL!AW166</f>
        <v>4853.4799999999996</v>
      </c>
      <c r="Y166" s="29" t="str">
        <f>IFERROR(HLOOKUP(U166,List!$D$2:$H$6,2,FALSE),"")</f>
        <v/>
      </c>
      <c r="Z166" s="29" t="str">
        <f>IFERROR(HLOOKUP(V166,List!$D$2:$H$6,3,FALSE),"")</f>
        <v/>
      </c>
      <c r="AA166" s="29" t="str">
        <f>IFERROR(HLOOKUP(W166,List!$D$2:$H$6,4,FALSE),"")</f>
        <v/>
      </c>
      <c r="AB166" s="29" t="str">
        <f>IFERROR(HLOOKUP(X166,List!$D$2:$H$6,5,FALSE),"")</f>
        <v/>
      </c>
      <c r="AC166" s="12" t="str">
        <f t="shared" si="27"/>
        <v/>
      </c>
      <c r="AD166" s="12" t="str">
        <f t="shared" si="28"/>
        <v/>
      </c>
      <c r="AE166" s="12" t="str">
        <f t="shared" si="29"/>
        <v/>
      </c>
      <c r="AF166" s="12" t="str">
        <f t="shared" si="30"/>
        <v/>
      </c>
      <c r="AG166" t="str">
        <f>VLOOKUP(J166,'Receivable Invoice Detail'!$A$1:F3178,6,FALSE)</f>
        <v>[AC-98-331-958-831] Shaft Sleeve, 5x4/5x5/6X6 SRL-C &amp; SRL, 420SS Heat Treated, Hardened</v>
      </c>
      <c r="AH166" s="12">
        <f t="shared" si="26"/>
        <v>0</v>
      </c>
      <c r="AM166" s="12" t="str">
        <f t="shared" si="31"/>
        <v/>
      </c>
      <c r="AN166" s="12" t="str">
        <f t="shared" si="32"/>
        <v/>
      </c>
      <c r="AO166" s="12" t="str">
        <f t="shared" si="33"/>
        <v/>
      </c>
      <c r="AP166" s="12" t="str">
        <f t="shared" si="34"/>
        <v/>
      </c>
      <c r="AQ166" s="12"/>
      <c r="AS166" s="12">
        <f t="shared" si="35"/>
        <v>72.802199999999985</v>
      </c>
      <c r="AT166" s="16" t="str">
        <f t="shared" si="36"/>
        <v>Yes</v>
      </c>
    </row>
    <row r="167" spans="1:46" hidden="1" x14ac:dyDescent="0.25">
      <c r="A167" s="41">
        <f>CASOPOInvCL!T167</f>
        <v>2</v>
      </c>
      <c r="B167" t="str">
        <f>CASOPOInvCL!Z167</f>
        <v>SO16570</v>
      </c>
      <c r="G167" s="5">
        <f>CASOPOInvCL!I167</f>
        <v>0</v>
      </c>
      <c r="H167" s="31">
        <f>CASOPOInvCL!U167</f>
        <v>2</v>
      </c>
      <c r="I167" s="31">
        <f>CASOPOInvCL!V167</f>
        <v>2025</v>
      </c>
      <c r="J167" s="5" t="str">
        <f>CASOPOInvCL!AB167</f>
        <v>INV12836</v>
      </c>
      <c r="K167" s="31">
        <f>CASOPOInvCL!W167</f>
        <v>5</v>
      </c>
      <c r="L167" s="31">
        <f>CASOPOInvCL!X167</f>
        <v>2025</v>
      </c>
      <c r="M167" s="31"/>
      <c r="N167" s="5" t="str">
        <f>CASOPOInvCL!AF167</f>
        <v>Eleazar General &amp; Industrial Supplies Limited</v>
      </c>
      <c r="O167" s="16" t="str">
        <f>CASOPOInvCL!AG167</f>
        <v>USD</v>
      </c>
      <c r="P167" s="16">
        <f>CASOPOInvCL!AH167</f>
        <v>0</v>
      </c>
      <c r="Q167" s="16">
        <f>CASOPOInvCL!AI167</f>
        <v>0</v>
      </c>
      <c r="R167" s="32" t="str">
        <f>CASOPOInvCL!AU167</f>
        <v/>
      </c>
      <c r="S167" s="16">
        <f>CASOPOInvCL!AV167</f>
        <v>0</v>
      </c>
      <c r="T167" s="16">
        <f>CASOPOInvCL!AW167</f>
        <v>0</v>
      </c>
      <c r="Y167" s="29" t="str">
        <f>IFERROR(HLOOKUP(U167,List!$D$2:$H$6,2,FALSE),"")</f>
        <v/>
      </c>
      <c r="Z167" s="29" t="str">
        <f>IFERROR(HLOOKUP(V167,List!$D$2:$H$6,3,FALSE),"")</f>
        <v/>
      </c>
      <c r="AA167" s="29" t="str">
        <f>IFERROR(HLOOKUP(W167,List!$D$2:$H$6,4,FALSE),"")</f>
        <v/>
      </c>
      <c r="AB167" s="29" t="str">
        <f>IFERROR(HLOOKUP(X167,List!$D$2:$H$6,5,FALSE),"")</f>
        <v/>
      </c>
      <c r="AC167" s="12" t="str">
        <f t="shared" si="27"/>
        <v/>
      </c>
      <c r="AD167" s="12" t="str">
        <f t="shared" si="28"/>
        <v/>
      </c>
      <c r="AE167" s="12" t="str">
        <f t="shared" si="29"/>
        <v/>
      </c>
      <c r="AF167" s="12" t="str">
        <f t="shared" si="30"/>
        <v/>
      </c>
      <c r="AG167" t="str">
        <f>VLOOKUP(J167,'Receivable Invoice Detail'!$A$1:F3179,6,FALSE)</f>
        <v>[AC-98-039-047-506] Impeller (Closed), 5x4-14 SRL-C, Urethane</v>
      </c>
      <c r="AH167" s="12">
        <f t="shared" si="26"/>
        <v>0</v>
      </c>
      <c r="AM167" s="12" t="str">
        <f t="shared" si="31"/>
        <v/>
      </c>
      <c r="AN167" s="12" t="str">
        <f t="shared" si="32"/>
        <v/>
      </c>
      <c r="AO167" s="12" t="str">
        <f t="shared" si="33"/>
        <v/>
      </c>
      <c r="AP167" s="12" t="str">
        <f t="shared" si="34"/>
        <v/>
      </c>
      <c r="AQ167" s="12"/>
      <c r="AS167" s="12">
        <f t="shared" si="35"/>
        <v>0</v>
      </c>
      <c r="AT167" s="16" t="str">
        <f t="shared" si="36"/>
        <v/>
      </c>
    </row>
    <row r="168" spans="1:46" hidden="1" x14ac:dyDescent="0.25">
      <c r="A168" s="41">
        <f>CASOPOInvCL!T168</f>
        <v>1</v>
      </c>
      <c r="B168" t="str">
        <f>CASOPOInvCL!Z168</f>
        <v>SO16571</v>
      </c>
      <c r="D168" t="s">
        <v>5938</v>
      </c>
      <c r="G168" s="5" t="str">
        <f>CASOPOInvCL!I168</f>
        <v>Marlen Martinez</v>
      </c>
      <c r="H168" s="31">
        <f>CASOPOInvCL!U168</f>
        <v>2</v>
      </c>
      <c r="I168" s="31">
        <f>CASOPOInvCL!V168</f>
        <v>2025</v>
      </c>
      <c r="J168" s="5" t="str">
        <f>CASOPOInvCL!AB168</f>
        <v>INV12619</v>
      </c>
      <c r="K168" s="31">
        <f>CASOPOInvCL!W168</f>
        <v>5</v>
      </c>
      <c r="L168" s="31">
        <f>CASOPOInvCL!X168</f>
        <v>2025</v>
      </c>
      <c r="M168" s="31"/>
      <c r="N168" s="5" t="str">
        <f>CASOPOInvCL!AF168</f>
        <v>Covia Corp - Tunnel City</v>
      </c>
      <c r="O168" s="16" t="str">
        <f>CASOPOInvCL!AG168</f>
        <v>USD</v>
      </c>
      <c r="P168" s="16">
        <f>CASOPOInvCL!AH168</f>
        <v>10063.161021539487</v>
      </c>
      <c r="Q168" s="16">
        <f>CASOPOInvCL!AI168</f>
        <v>7041</v>
      </c>
      <c r="R168" s="32" t="str">
        <f>CASOPOInvCL!AU168</f>
        <v>Yes</v>
      </c>
      <c r="S168" s="16">
        <f>CASOPOInvCL!AV168</f>
        <v>671</v>
      </c>
      <c r="T168" s="16">
        <f>CASOPOInvCL!AW168</f>
        <v>6370</v>
      </c>
      <c r="Y168" s="29" t="str">
        <f>IFERROR(HLOOKUP(U168,List!$D$2:$H$6,2,FALSE),"")</f>
        <v/>
      </c>
      <c r="Z168" s="29" t="str">
        <f>IFERROR(HLOOKUP(V168,List!$D$2:$H$6,3,FALSE),"")</f>
        <v/>
      </c>
      <c r="AA168" s="29" t="str">
        <f>IFERROR(HLOOKUP(W168,List!$D$2:$H$6,4,FALSE),"")</f>
        <v/>
      </c>
      <c r="AB168" s="29" t="str">
        <f>IFERROR(HLOOKUP(X168,List!$D$2:$H$6,5,FALSE),"")</f>
        <v/>
      </c>
      <c r="AC168" s="12" t="str">
        <f t="shared" si="27"/>
        <v/>
      </c>
      <c r="AD168" s="12" t="str">
        <f t="shared" si="28"/>
        <v/>
      </c>
      <c r="AE168" s="12" t="str">
        <f t="shared" si="29"/>
        <v/>
      </c>
      <c r="AF168" s="12" t="str">
        <f t="shared" si="30"/>
        <v/>
      </c>
      <c r="AG168" t="str">
        <f>VLOOKUP(J168,'Receivable Invoice Detail'!$A$1:F3180,6,FALSE)</f>
        <v>102693 Bearing Assembly w/Shaft, 10/8 to 14/12 F-AH, Metric</v>
      </c>
      <c r="AH168" s="12">
        <f t="shared" si="26"/>
        <v>0</v>
      </c>
      <c r="AM168" s="12" t="str">
        <f t="shared" si="31"/>
        <v/>
      </c>
      <c r="AN168" s="12" t="str">
        <f t="shared" si="32"/>
        <v/>
      </c>
      <c r="AO168" s="12" t="str">
        <f t="shared" si="33"/>
        <v/>
      </c>
      <c r="AP168" s="12" t="str">
        <f t="shared" si="34"/>
        <v/>
      </c>
      <c r="AQ168" s="64">
        <f>M168</f>
        <v>0</v>
      </c>
      <c r="AR168" t="s">
        <v>5939</v>
      </c>
      <c r="AS168" s="12">
        <f t="shared" si="35"/>
        <v>95.55</v>
      </c>
      <c r="AT168" s="16" t="str">
        <f t="shared" si="36"/>
        <v>Yes</v>
      </c>
    </row>
    <row r="169" spans="1:46" hidden="1" x14ac:dyDescent="0.25">
      <c r="A169" s="41">
        <f>CASOPOInvCL!T169</f>
        <v>1</v>
      </c>
      <c r="B169" t="str">
        <f>CASOPOInvCL!Z169</f>
        <v>SO16572</v>
      </c>
      <c r="G169" s="5" t="str">
        <f>CASOPOInvCL!I169</f>
        <v>Taylor Cook</v>
      </c>
      <c r="H169" s="31">
        <f>CASOPOInvCL!U169</f>
        <v>2</v>
      </c>
      <c r="I169" s="31">
        <f>CASOPOInvCL!V169</f>
        <v>2025</v>
      </c>
      <c r="J169" s="5" t="str">
        <f>CASOPOInvCL!AB169</f>
        <v>INV12616</v>
      </c>
      <c r="K169" s="31">
        <f>CASOPOInvCL!W169</f>
        <v>4</v>
      </c>
      <c r="L169" s="31">
        <f>CASOPOInvCL!X169</f>
        <v>2025</v>
      </c>
      <c r="M169" s="31"/>
      <c r="N169" s="5" t="str">
        <f>CASOPOInvCL!AF169</f>
        <v>Hyperflo</v>
      </c>
      <c r="O169" s="16" t="str">
        <f>CASOPOInvCL!AG169</f>
        <v>CAD</v>
      </c>
      <c r="P169" s="16">
        <f>CASOPOInvCL!AH169</f>
        <v>3998.78</v>
      </c>
      <c r="Q169" s="16">
        <f>CASOPOInvCL!AI169</f>
        <v>2794.6292693679848</v>
      </c>
      <c r="R169" s="32" t="str">
        <f>CASOPOInvCL!AU169</f>
        <v>Yes</v>
      </c>
      <c r="S169" s="16">
        <f>CASOPOInvCL!AV169</f>
        <v>0</v>
      </c>
      <c r="T169" s="16">
        <f>CASOPOInvCL!AW169</f>
        <v>2794.6292693679848</v>
      </c>
      <c r="Y169" s="29" t="str">
        <f>IFERROR(HLOOKUP(U169,List!$D$2:$H$6,2,FALSE),"")</f>
        <v/>
      </c>
      <c r="Z169" s="29" t="str">
        <f>IFERROR(HLOOKUP(V169,List!$D$2:$H$6,3,FALSE),"")</f>
        <v/>
      </c>
      <c r="AA169" s="29" t="str">
        <f>IFERROR(HLOOKUP(W169,List!$D$2:$H$6,4,FALSE),"")</f>
        <v/>
      </c>
      <c r="AB169" s="29" t="str">
        <f>IFERROR(HLOOKUP(X169,List!$D$2:$H$6,5,FALSE),"")</f>
        <v/>
      </c>
      <c r="AC169" s="12" t="str">
        <f t="shared" si="27"/>
        <v/>
      </c>
      <c r="AD169" s="12" t="str">
        <f t="shared" si="28"/>
        <v/>
      </c>
      <c r="AE169" s="12" t="str">
        <f t="shared" si="29"/>
        <v/>
      </c>
      <c r="AF169" s="12" t="str">
        <f t="shared" si="30"/>
        <v/>
      </c>
      <c r="AG169" t="str">
        <f>VLOOKUP(J169,'Receivable Invoice Detail'!$A$1:F3181,6,FALSE)</f>
        <v>[AC-98-431-855-001] Suction Side Casing, 3x3-10 SRL-C, Cast Iron</v>
      </c>
      <c r="AH169" s="12">
        <f t="shared" si="26"/>
        <v>0</v>
      </c>
      <c r="AM169" s="12" t="str">
        <f t="shared" si="31"/>
        <v/>
      </c>
      <c r="AN169" s="12" t="str">
        <f t="shared" si="32"/>
        <v/>
      </c>
      <c r="AO169" s="12" t="str">
        <f t="shared" si="33"/>
        <v/>
      </c>
      <c r="AP169" s="12" t="str">
        <f t="shared" si="34"/>
        <v/>
      </c>
      <c r="AQ169" s="12"/>
      <c r="AS169" s="12">
        <f t="shared" si="35"/>
        <v>41.919439040519769</v>
      </c>
      <c r="AT169" s="16" t="str">
        <f t="shared" si="36"/>
        <v>Yes</v>
      </c>
    </row>
    <row r="170" spans="1:46" hidden="1" x14ac:dyDescent="0.25">
      <c r="A170" s="41">
        <f>CASOPOInvCL!T170</f>
        <v>1</v>
      </c>
      <c r="B170" t="str">
        <f>CASOPOInvCL!Z170</f>
        <v>SO16574</v>
      </c>
      <c r="G170" s="5" t="str">
        <f>CASOPOInvCL!I170</f>
        <v>Yannett Yeomans</v>
      </c>
      <c r="H170" s="31">
        <f>CASOPOInvCL!U170</f>
        <v>2</v>
      </c>
      <c r="I170" s="31">
        <f>CASOPOInvCL!V170</f>
        <v>2025</v>
      </c>
      <c r="J170" s="5" t="str">
        <f>CASOPOInvCL!AB170</f>
        <v>INV13016</v>
      </c>
      <c r="K170" s="31" t="str">
        <f>CASOPOInvCL!W170</f>
        <v/>
      </c>
      <c r="L170" s="31" t="str">
        <f>CASOPOInvCL!X170</f>
        <v/>
      </c>
      <c r="M170" s="31"/>
      <c r="N170" s="5" t="str">
        <f>CASOPOInvCL!AF170</f>
        <v>Dynapro Pumps México S de RL de CV</v>
      </c>
      <c r="O170" s="16" t="str">
        <f>CASOPOInvCL!AG170</f>
        <v>USD</v>
      </c>
      <c r="P170" s="16">
        <f>CASOPOInvCL!AH170</f>
        <v>18579.902468401269</v>
      </c>
      <c r="Q170" s="16">
        <f>CASOPOInvCL!AI170</f>
        <v>13000</v>
      </c>
      <c r="R170" s="32" t="str">
        <f>CASOPOInvCL!AU170</f>
        <v/>
      </c>
      <c r="S170" s="16">
        <f>CASOPOInvCL!AV170</f>
        <v>0</v>
      </c>
      <c r="T170" s="16">
        <f>CASOPOInvCL!AW170</f>
        <v>0</v>
      </c>
      <c r="Y170" s="29" t="str">
        <f>IFERROR(HLOOKUP(U170,List!$D$2:$H$6,2,FALSE),"")</f>
        <v/>
      </c>
      <c r="Z170" s="29" t="str">
        <f>IFERROR(HLOOKUP(V170,List!$D$2:$H$6,3,FALSE),"")</f>
        <v/>
      </c>
      <c r="AA170" s="29" t="str">
        <f>IFERROR(HLOOKUP(W170,List!$D$2:$H$6,4,FALSE),"")</f>
        <v/>
      </c>
      <c r="AB170" s="29" t="str">
        <f>IFERROR(HLOOKUP(X170,List!$D$2:$H$6,5,FALSE),"")</f>
        <v/>
      </c>
      <c r="AC170" s="12" t="str">
        <f t="shared" si="27"/>
        <v/>
      </c>
      <c r="AD170" s="12" t="str">
        <f t="shared" si="28"/>
        <v/>
      </c>
      <c r="AE170" s="12" t="str">
        <f t="shared" si="29"/>
        <v/>
      </c>
      <c r="AF170" s="12" t="str">
        <f t="shared" si="30"/>
        <v/>
      </c>
      <c r="AG170" t="str">
        <f>VLOOKUP(J170,'Receivable Invoice Detail'!$A$1:F3182,6,FALSE)</f>
        <v>[468425/0503] Intermediate Bowl, Vertical Turbine Pump, 18DMC-2, 420SS</v>
      </c>
      <c r="AH170" s="12">
        <f t="shared" si="26"/>
        <v>0</v>
      </c>
      <c r="AM170" s="12" t="str">
        <f t="shared" si="31"/>
        <v/>
      </c>
      <c r="AN170" s="12" t="str">
        <f t="shared" si="32"/>
        <v/>
      </c>
      <c r="AO170" s="12" t="str">
        <f t="shared" si="33"/>
        <v/>
      </c>
      <c r="AP170" s="12" t="str">
        <f t="shared" si="34"/>
        <v/>
      </c>
      <c r="AQ170" s="12"/>
      <c r="AR170" s="16" t="s">
        <v>5940</v>
      </c>
      <c r="AS170" s="12">
        <f t="shared" si="35"/>
        <v>0</v>
      </c>
      <c r="AT170" s="16" t="s">
        <v>5940</v>
      </c>
    </row>
    <row r="171" spans="1:46" hidden="1" x14ac:dyDescent="0.25">
      <c r="A171" s="41">
        <f>CASOPOInvCL!T171</f>
        <v>1</v>
      </c>
      <c r="B171" s="76" t="str">
        <f>CASOPOInvCL!Z171</f>
        <v>SO16577</v>
      </c>
      <c r="G171" s="5" t="str">
        <f>CASOPOInvCL!I171</f>
        <v>Jeff Bell</v>
      </c>
      <c r="H171" s="31">
        <f>CASOPOInvCL!U171</f>
        <v>2</v>
      </c>
      <c r="I171" s="31">
        <f>CASOPOInvCL!V171</f>
        <v>2025</v>
      </c>
      <c r="J171" s="5" t="str">
        <f>CASOPOInvCL!AB171</f>
        <v>INV12647</v>
      </c>
      <c r="K171" s="31">
        <f>CASOPOInvCL!W171</f>
        <v>4</v>
      </c>
      <c r="L171" s="31">
        <f>CASOPOInvCL!X171</f>
        <v>2025</v>
      </c>
      <c r="M171" s="31"/>
      <c r="N171" s="5" t="str">
        <f>CASOPOInvCL!AF171</f>
        <v>Barrick Gold - Pueblo Viejo Dominicana Corporation</v>
      </c>
      <c r="O171" s="16" t="str">
        <f>CASOPOInvCL!AG171</f>
        <v>USD</v>
      </c>
      <c r="P171" s="16">
        <f>CASOPOInvCL!AH171</f>
        <v>18719.218570314879</v>
      </c>
      <c r="Q171" s="16">
        <f>CASOPOInvCL!AI171</f>
        <v>13072.47</v>
      </c>
      <c r="R171" s="32" t="str">
        <f>CASOPOInvCL!AU171</f>
        <v>Yes</v>
      </c>
      <c r="S171" s="16">
        <f>CASOPOInvCL!AV171</f>
        <v>0</v>
      </c>
      <c r="T171" s="16">
        <f>CASOPOInvCL!AW171</f>
        <v>13072.47</v>
      </c>
      <c r="Y171" s="29" t="str">
        <f>IFERROR(HLOOKUP(U171,List!$D$2:$H$6,2,FALSE),"")</f>
        <v/>
      </c>
      <c r="Z171" s="29" t="str">
        <f>IFERROR(HLOOKUP(V171,List!$D$2:$H$6,3,FALSE),"")</f>
        <v/>
      </c>
      <c r="AA171" s="29" t="str">
        <f>IFERROR(HLOOKUP(W171,List!$D$2:$H$6,4,FALSE),"")</f>
        <v/>
      </c>
      <c r="AB171" s="29" t="str">
        <f>IFERROR(HLOOKUP(X171,List!$D$2:$H$6,5,FALSE),"")</f>
        <v/>
      </c>
      <c r="AC171" s="12" t="str">
        <f t="shared" si="27"/>
        <v/>
      </c>
      <c r="AD171" s="12" t="str">
        <f t="shared" si="28"/>
        <v/>
      </c>
      <c r="AE171" s="12" t="str">
        <f t="shared" si="29"/>
        <v/>
      </c>
      <c r="AF171" s="12" t="str">
        <f t="shared" si="30"/>
        <v/>
      </c>
      <c r="AG171" t="str">
        <f>VLOOKUP(J171,'Receivable Invoice Detail'!$A$1:F3183,6,FALSE)</f>
        <v>[37230] Sleeve Bearing (Bowl), ThorPlas-Blue, HPCW</v>
      </c>
      <c r="AH171" s="12">
        <f t="shared" si="26"/>
        <v>0</v>
      </c>
      <c r="AM171" s="12" t="str">
        <f t="shared" si="31"/>
        <v/>
      </c>
      <c r="AN171" s="12" t="str">
        <f t="shared" si="32"/>
        <v/>
      </c>
      <c r="AO171" s="12" t="str">
        <f t="shared" si="33"/>
        <v/>
      </c>
      <c r="AP171" s="12" t="str">
        <f t="shared" si="34"/>
        <v/>
      </c>
      <c r="AQ171" s="64">
        <v>2503</v>
      </c>
      <c r="AR171" s="64" t="s">
        <v>5934</v>
      </c>
      <c r="AS171" s="12">
        <f t="shared" si="35"/>
        <v>196.08704999999998</v>
      </c>
      <c r="AT171" s="16" t="str">
        <f t="shared" si="36"/>
        <v>Yes</v>
      </c>
    </row>
    <row r="172" spans="1:46" hidden="1" x14ac:dyDescent="0.25">
      <c r="A172" s="41">
        <f>CASOPOInvCL!T172</f>
        <v>1</v>
      </c>
      <c r="B172" t="str">
        <f>CASOPOInvCL!Z172</f>
        <v>SO16578</v>
      </c>
      <c r="G172" s="5" t="str">
        <f>CASOPOInvCL!I172</f>
        <v>Taylor Cook</v>
      </c>
      <c r="H172" s="31">
        <f>CASOPOInvCL!U172</f>
        <v>2</v>
      </c>
      <c r="I172" s="31">
        <f>CASOPOInvCL!V172</f>
        <v>2025</v>
      </c>
      <c r="J172" s="5" t="str">
        <f>CASOPOInvCL!AB172</f>
        <v>INV12692</v>
      </c>
      <c r="K172" s="31">
        <f>CASOPOInvCL!W172</f>
        <v>4</v>
      </c>
      <c r="L172" s="31">
        <f>CASOPOInvCL!X172</f>
        <v>2025</v>
      </c>
      <c r="M172" s="31"/>
      <c r="N172" s="5" t="str">
        <f>CASOPOInvCL!AF172</f>
        <v>Sealtrac Inc.</v>
      </c>
      <c r="O172" s="16" t="str">
        <f>CASOPOInvCL!AG172</f>
        <v>CAD</v>
      </c>
      <c r="P172" s="16">
        <f>CASOPOInvCL!AH172</f>
        <v>778.8</v>
      </c>
      <c r="Q172" s="16">
        <f>CASOPOInvCL!AI172</f>
        <v>548.65124550235089</v>
      </c>
      <c r="R172" s="32" t="str">
        <f>CASOPOInvCL!AU172</f>
        <v>Yes</v>
      </c>
      <c r="S172" s="16">
        <f>CASOPOInvCL!AV172</f>
        <v>0</v>
      </c>
      <c r="T172" s="16">
        <f>CASOPOInvCL!AW172</f>
        <v>548.65124550235089</v>
      </c>
      <c r="Y172" s="29" t="str">
        <f>IFERROR(HLOOKUP(U172,List!$D$2:$H$6,2,FALSE),"")</f>
        <v/>
      </c>
      <c r="Z172" s="29" t="str">
        <f>IFERROR(HLOOKUP(V172,List!$D$2:$H$6,3,FALSE),"")</f>
        <v/>
      </c>
      <c r="AA172" s="29" t="str">
        <f>IFERROR(HLOOKUP(W172,List!$D$2:$H$6,4,FALSE),"")</f>
        <v/>
      </c>
      <c r="AB172" s="29" t="str">
        <f>IFERROR(HLOOKUP(X172,List!$D$2:$H$6,5,FALSE),"")</f>
        <v/>
      </c>
      <c r="AC172" s="12" t="str">
        <f t="shared" si="27"/>
        <v/>
      </c>
      <c r="AD172" s="12" t="str">
        <f t="shared" si="28"/>
        <v/>
      </c>
      <c r="AE172" s="12" t="str">
        <f t="shared" si="29"/>
        <v/>
      </c>
      <c r="AF172" s="12" t="str">
        <f t="shared" si="30"/>
        <v/>
      </c>
      <c r="AG172" t="str">
        <f>VLOOKUP(J172,'Receivable Invoice Detail'!$A$1:F3184,6,FALSE)</f>
        <v>[G-70782 29 5117] Casing Gasket, 10", 3196 MTX, Teflon</v>
      </c>
      <c r="AH172" s="12">
        <f t="shared" si="26"/>
        <v>0</v>
      </c>
      <c r="AM172" s="12" t="str">
        <f t="shared" si="31"/>
        <v/>
      </c>
      <c r="AN172" s="12" t="str">
        <f t="shared" si="32"/>
        <v/>
      </c>
      <c r="AO172" s="12" t="str">
        <f t="shared" si="33"/>
        <v/>
      </c>
      <c r="AP172" s="12" t="str">
        <f t="shared" si="34"/>
        <v/>
      </c>
      <c r="AQ172" s="12"/>
      <c r="AS172" s="12">
        <f t="shared" si="35"/>
        <v>8.2297686825352638</v>
      </c>
      <c r="AT172" s="16" t="str">
        <f t="shared" si="36"/>
        <v>Yes</v>
      </c>
    </row>
    <row r="173" spans="1:46" hidden="1" x14ac:dyDescent="0.25">
      <c r="A173" s="41">
        <f>CASOPOInvCL!T173</f>
        <v>1</v>
      </c>
      <c r="B173" t="str">
        <f>CASOPOInvCL!Z173</f>
        <v>SO16579</v>
      </c>
      <c r="G173" s="5" t="str">
        <f>CASOPOInvCL!I173</f>
        <v>Ian Trottier</v>
      </c>
      <c r="H173" s="31">
        <f>CASOPOInvCL!U173</f>
        <v>2</v>
      </c>
      <c r="I173" s="31">
        <f>CASOPOInvCL!V173</f>
        <v>2025</v>
      </c>
      <c r="J173" s="5" t="str">
        <f>CASOPOInvCL!AB173</f>
        <v>INV12623</v>
      </c>
      <c r="K173" s="31">
        <f>CASOPOInvCL!W173</f>
        <v>4</v>
      </c>
      <c r="L173" s="31">
        <f>CASOPOInvCL!X173</f>
        <v>2025</v>
      </c>
      <c r="M173" s="31"/>
      <c r="N173" s="5" t="str">
        <f>CASOPOInvCL!AF173</f>
        <v>Resolute Forest Products - Saint-Felicien</v>
      </c>
      <c r="O173" s="16" t="str">
        <f>CASOPOInvCL!AG173</f>
        <v>CAD</v>
      </c>
      <c r="P173" s="16">
        <f>CASOPOInvCL!AH173</f>
        <v>161.57</v>
      </c>
      <c r="Q173" s="16">
        <f>CASOPOInvCL!AI173</f>
        <v>112.91650229614662</v>
      </c>
      <c r="R173" s="32" t="str">
        <f>CASOPOInvCL!AU173</f>
        <v>Yes</v>
      </c>
      <c r="S173" s="16">
        <f>CASOPOInvCL!AV173</f>
        <v>0</v>
      </c>
      <c r="T173" s="16">
        <f>CASOPOInvCL!AW173</f>
        <v>112.91650229614662</v>
      </c>
      <c r="Y173" s="29" t="str">
        <f>IFERROR(HLOOKUP(U173,List!$D$2:$H$6,2,FALSE),"")</f>
        <v/>
      </c>
      <c r="Z173" s="29" t="str">
        <f>IFERROR(HLOOKUP(V173,List!$D$2:$H$6,3,FALSE),"")</f>
        <v/>
      </c>
      <c r="AA173" s="29" t="str">
        <f>IFERROR(HLOOKUP(W173,List!$D$2:$H$6,4,FALSE),"")</f>
        <v/>
      </c>
      <c r="AB173" s="29" t="str">
        <f>IFERROR(HLOOKUP(X173,List!$D$2:$H$6,5,FALSE),"")</f>
        <v/>
      </c>
      <c r="AC173" s="12" t="str">
        <f t="shared" si="27"/>
        <v/>
      </c>
      <c r="AD173" s="12" t="str">
        <f t="shared" si="28"/>
        <v/>
      </c>
      <c r="AE173" s="12" t="str">
        <f t="shared" si="29"/>
        <v/>
      </c>
      <c r="AF173" s="12" t="str">
        <f t="shared" si="30"/>
        <v/>
      </c>
      <c r="AG173" t="str">
        <f>VLOOKUP(J173,'Receivable Invoice Detail'!$A$1:F3185,6,FALSE)</f>
        <v>[OLPWZ011004B, G-A04951A217] Bearing Isolator (Outboard), 3196 STX/STi, 303SS Rotor / Bronze Stator w/Viton</v>
      </c>
      <c r="AH173" s="12">
        <f t="shared" si="26"/>
        <v>0</v>
      </c>
      <c r="AM173" s="12" t="str">
        <f t="shared" si="31"/>
        <v/>
      </c>
      <c r="AN173" s="12" t="str">
        <f t="shared" si="32"/>
        <v/>
      </c>
      <c r="AO173" s="12" t="str">
        <f t="shared" si="33"/>
        <v/>
      </c>
      <c r="AP173" s="12" t="str">
        <f t="shared" si="34"/>
        <v/>
      </c>
      <c r="AQ173" s="12"/>
      <c r="AS173" s="12">
        <f t="shared" si="35"/>
        <v>1.6937475344421993</v>
      </c>
      <c r="AT173" s="16" t="str">
        <f t="shared" si="36"/>
        <v>Yes</v>
      </c>
    </row>
    <row r="174" spans="1:46" hidden="1" x14ac:dyDescent="0.25">
      <c r="A174" s="41">
        <f>CASOPOInvCL!T174</f>
        <v>1</v>
      </c>
      <c r="B174" t="str">
        <f>CASOPOInvCL!Z174</f>
        <v>SO16580</v>
      </c>
      <c r="D174" t="s">
        <v>5847</v>
      </c>
      <c r="G174" s="5" t="str">
        <f>CASOPOInvCL!I174</f>
        <v>Amanda Qiao</v>
      </c>
      <c r="H174" s="31">
        <f>CASOPOInvCL!U174</f>
        <v>2</v>
      </c>
      <c r="I174" s="31">
        <f>CASOPOInvCL!V174</f>
        <v>2025</v>
      </c>
      <c r="J174" s="5" t="str">
        <f>CASOPOInvCL!AB174</f>
        <v>INV12712</v>
      </c>
      <c r="K174" s="31">
        <f>CASOPOInvCL!W174</f>
        <v>7</v>
      </c>
      <c r="L174" s="31">
        <f>CASOPOInvCL!X174</f>
        <v>2025</v>
      </c>
      <c r="M174">
        <v>2503</v>
      </c>
      <c r="N174" s="5" t="str">
        <f>CASOPOInvCL!AF174</f>
        <v>Zijin Mining - Rosebel Goldmines N.V.</v>
      </c>
      <c r="O174" s="16" t="str">
        <f>CASOPOInvCL!AG174</f>
        <v>USD</v>
      </c>
      <c r="P174" s="16">
        <f>CASOPOInvCL!AH174</f>
        <v>225.24687997834616</v>
      </c>
      <c r="Q174" s="16">
        <f>CASOPOInvCL!AI174</f>
        <v>157.30000000000001</v>
      </c>
      <c r="R174" s="32" t="str">
        <f>CASOPOInvCL!AU174</f>
        <v>Yes</v>
      </c>
      <c r="S174" s="16">
        <f>CASOPOInvCL!AV174</f>
        <v>0</v>
      </c>
      <c r="T174" s="16">
        <f>CASOPOInvCL!AW174</f>
        <v>157.30000000000001</v>
      </c>
      <c r="V174" t="s">
        <v>5800</v>
      </c>
      <c r="Y174" s="29" t="str">
        <f>IFERROR(HLOOKUP(U174,List!$D$2:$H$6,2,FALSE),"")</f>
        <v/>
      </c>
      <c r="Z174" s="29">
        <f>IFERROR(HLOOKUP(V174,List!$D$2:$H$6,3,FALSE),"")</f>
        <v>5.0000000000000001E-3</v>
      </c>
      <c r="AA174" s="29" t="str">
        <f>IFERROR(HLOOKUP(W174,List!$D$2:$H$6,4,FALSE),"")</f>
        <v/>
      </c>
      <c r="AB174" s="29" t="str">
        <f>IFERROR(HLOOKUP(X174,List!$D$2:$H$6,5,FALSE),"")</f>
        <v/>
      </c>
      <c r="AC174" s="12" t="str">
        <f t="shared" si="27"/>
        <v/>
      </c>
      <c r="AD174" s="12">
        <f t="shared" si="28"/>
        <v>0.78650000000000009</v>
      </c>
      <c r="AE174" s="12" t="str">
        <f t="shared" si="29"/>
        <v/>
      </c>
      <c r="AF174" s="12" t="str">
        <f t="shared" si="30"/>
        <v/>
      </c>
      <c r="AG174" t="str">
        <f>VLOOKUP(J174,'Receivable Invoice Detail'!$A$1:F3186,6,FALSE)</f>
        <v>Gaskets &amp; Seals Set, 65QV-SP</v>
      </c>
      <c r="AH174" s="12">
        <f t="shared" si="26"/>
        <v>0.78650000000000009</v>
      </c>
      <c r="AJ174">
        <v>2503</v>
      </c>
      <c r="AM174" s="12" t="str">
        <f t="shared" si="31"/>
        <v/>
      </c>
      <c r="AN174" s="12">
        <f t="shared" si="32"/>
        <v>0</v>
      </c>
      <c r="AO174" s="12" t="str">
        <f t="shared" si="33"/>
        <v/>
      </c>
      <c r="AP174" s="12" t="str">
        <f t="shared" si="34"/>
        <v/>
      </c>
      <c r="AQ174" s="64">
        <v>2503</v>
      </c>
      <c r="AR174" t="s">
        <v>5932</v>
      </c>
      <c r="AS174" s="12">
        <f t="shared" si="35"/>
        <v>2.3595000000000002</v>
      </c>
      <c r="AT174" s="16" t="str">
        <f t="shared" si="36"/>
        <v>Yes</v>
      </c>
    </row>
    <row r="175" spans="1:46" hidden="1" x14ac:dyDescent="0.25">
      <c r="A175" s="41">
        <f>CASOPOInvCL!T175</f>
        <v>2</v>
      </c>
      <c r="B175" t="str">
        <f>CASOPOInvCL!Z175</f>
        <v>SO16581</v>
      </c>
      <c r="E175" t="s">
        <v>5847</v>
      </c>
      <c r="G175" s="5" t="str">
        <f>CASOPOInvCL!I175</f>
        <v>Amanda Qiao</v>
      </c>
      <c r="H175" s="31">
        <f>CASOPOInvCL!U175</f>
        <v>2</v>
      </c>
      <c r="I175" s="31">
        <f>CASOPOInvCL!V175</f>
        <v>2025</v>
      </c>
      <c r="J175" s="5" t="str">
        <f>CASOPOInvCL!AB175</f>
        <v>INV13214</v>
      </c>
      <c r="K175" s="31">
        <f>CASOPOInvCL!W175</f>
        <v>9</v>
      </c>
      <c r="L175" s="31">
        <f>CASOPOInvCL!X175</f>
        <v>2025</v>
      </c>
      <c r="M175">
        <v>2503</v>
      </c>
      <c r="N175" s="5" t="str">
        <f>CASOPOInvCL!AF175</f>
        <v>AGM Inc.</v>
      </c>
      <c r="O175" s="16" t="str">
        <f>CASOPOInvCL!AG175</f>
        <v>USD</v>
      </c>
      <c r="P175" s="16">
        <f>CASOPOInvCL!AH175</f>
        <v>44264.602534226957</v>
      </c>
      <c r="Q175" s="16">
        <f>CASOPOInvCL!AI175</f>
        <v>31860</v>
      </c>
      <c r="R175" s="32" t="str">
        <f>CASOPOInvCL!AU175</f>
        <v>Yes</v>
      </c>
      <c r="S175" s="16">
        <f>CASOPOInvCL!AV175</f>
        <v>0</v>
      </c>
      <c r="T175" s="16">
        <f>CASOPOInvCL!AW175</f>
        <v>31860</v>
      </c>
      <c r="W175" t="s">
        <v>5800</v>
      </c>
      <c r="Y175" s="29" t="str">
        <f>IFERROR(HLOOKUP(U175,List!$D$2:$H$6,2,FALSE),"")</f>
        <v/>
      </c>
      <c r="Z175" s="29" t="str">
        <f>IFERROR(HLOOKUP(V175,List!$D$2:$H$6,3,FALSE),"")</f>
        <v/>
      </c>
      <c r="AA175" s="29">
        <f>IFERROR(HLOOKUP(W175,List!$D$2:$H$6,4,FALSE),"")</f>
        <v>0.01</v>
      </c>
      <c r="AB175" s="29" t="str">
        <f>IFERROR(HLOOKUP(X175,List!$D$2:$H$6,5,FALSE),"")</f>
        <v/>
      </c>
      <c r="AC175" s="12" t="str">
        <f t="shared" si="27"/>
        <v/>
      </c>
      <c r="AD175" s="12" t="str">
        <f t="shared" si="28"/>
        <v/>
      </c>
      <c r="AE175" s="12">
        <f t="shared" si="29"/>
        <v>318.60000000000002</v>
      </c>
      <c r="AF175" s="12" t="str">
        <f t="shared" si="30"/>
        <v/>
      </c>
      <c r="AG175" t="str">
        <f>VLOOKUP(J175,'Receivable Invoice Detail'!$A$1:F3187,6,FALSE)</f>
        <v>[81708064] Single Cartridge Seal, 1 3/8", John Crane 4600 Series, 3196 STX or Durco Mark 3 Group 1, Standard Bore, Carbon vs Silicon Carbide w/Viton Elastomers</v>
      </c>
      <c r="AH175" s="12">
        <f t="shared" si="26"/>
        <v>318.60000000000002</v>
      </c>
      <c r="AK175">
        <v>2503</v>
      </c>
      <c r="AM175" s="12" t="str">
        <f t="shared" si="31"/>
        <v/>
      </c>
      <c r="AN175" s="12" t="str">
        <f t="shared" si="32"/>
        <v/>
      </c>
      <c r="AO175" s="12">
        <f t="shared" si="33"/>
        <v>0</v>
      </c>
      <c r="AP175" s="12" t="str">
        <f t="shared" si="34"/>
        <v/>
      </c>
      <c r="AQ175" s="64">
        <v>2503</v>
      </c>
      <c r="AR175" t="s">
        <v>5932</v>
      </c>
      <c r="AS175" s="12">
        <f t="shared" si="35"/>
        <v>477.9</v>
      </c>
      <c r="AT175" s="16" t="str">
        <f t="shared" si="36"/>
        <v>Yes</v>
      </c>
    </row>
    <row r="176" spans="1:46" hidden="1" x14ac:dyDescent="0.25">
      <c r="A176" s="41">
        <f>CASOPOInvCL!T176</f>
        <v>2</v>
      </c>
      <c r="B176" t="str">
        <f>CASOPOInvCL!Z176</f>
        <v>SO16581</v>
      </c>
      <c r="E176" t="s">
        <v>5847</v>
      </c>
      <c r="G176" s="5">
        <f>CASOPOInvCL!I176</f>
        <v>0</v>
      </c>
      <c r="H176" s="31">
        <f>CASOPOInvCL!U176</f>
        <v>2</v>
      </c>
      <c r="I176" s="31">
        <f>CASOPOInvCL!V176</f>
        <v>2025</v>
      </c>
      <c r="J176" s="5" t="str">
        <f>CASOPOInvCL!AB176</f>
        <v>INV13188</v>
      </c>
      <c r="K176" s="31">
        <f>CASOPOInvCL!W176</f>
        <v>9</v>
      </c>
      <c r="L176" s="31">
        <f>CASOPOInvCL!X176</f>
        <v>2025</v>
      </c>
      <c r="M176">
        <v>2503</v>
      </c>
      <c r="N176" s="5" t="str">
        <f>CASOPOInvCL!AF176</f>
        <v>AGM Inc.</v>
      </c>
      <c r="O176" s="16" t="str">
        <f>CASOPOInvCL!AG176</f>
        <v>USD</v>
      </c>
      <c r="P176" s="16">
        <f>CASOPOInvCL!AH176</f>
        <v>0</v>
      </c>
      <c r="Q176" s="16">
        <f>CASOPOInvCL!AI176</f>
        <v>0</v>
      </c>
      <c r="R176" s="32" t="str">
        <f>CASOPOInvCL!AU176</f>
        <v/>
      </c>
      <c r="S176" s="16">
        <f>CASOPOInvCL!AV176</f>
        <v>0</v>
      </c>
      <c r="T176" s="16">
        <f>CASOPOInvCL!AW176</f>
        <v>0</v>
      </c>
      <c r="W176" t="s">
        <v>5800</v>
      </c>
      <c r="Y176" s="29" t="str">
        <f>IFERROR(HLOOKUP(U176,List!$D$2:$H$6,2,FALSE),"")</f>
        <v/>
      </c>
      <c r="Z176" s="29" t="str">
        <f>IFERROR(HLOOKUP(V176,List!$D$2:$H$6,3,FALSE),"")</f>
        <v/>
      </c>
      <c r="AA176" s="29">
        <f>IFERROR(HLOOKUP(W176,List!$D$2:$H$6,4,FALSE),"")</f>
        <v>0.01</v>
      </c>
      <c r="AB176" s="29" t="str">
        <f>IFERROR(HLOOKUP(X176,List!$D$2:$H$6,5,FALSE),"")</f>
        <v/>
      </c>
      <c r="AC176" s="12" t="str">
        <f t="shared" si="27"/>
        <v/>
      </c>
      <c r="AD176" s="12" t="str">
        <f t="shared" si="28"/>
        <v/>
      </c>
      <c r="AE176" s="12">
        <f t="shared" si="29"/>
        <v>0</v>
      </c>
      <c r="AF176" s="12" t="str">
        <f t="shared" si="30"/>
        <v/>
      </c>
      <c r="AG176" t="str">
        <f>VLOOKUP(J176,'Receivable Invoice Detail'!$A$1:F3188,6,FALSE)</f>
        <v>[81708064] Single Cartridge Seal, 1 3/8", John Crane 4600 Series, 3196 STX or Durco Mark 3 Group 1, Standard Bore, Carbon vs Silicon Carbide w/Viton Elastomers</v>
      </c>
      <c r="AH176" s="12">
        <f t="shared" si="26"/>
        <v>0</v>
      </c>
      <c r="AK176">
        <v>2503</v>
      </c>
      <c r="AM176" s="12" t="str">
        <f t="shared" si="31"/>
        <v/>
      </c>
      <c r="AN176" s="12" t="str">
        <f t="shared" si="32"/>
        <v/>
      </c>
      <c r="AO176" s="12">
        <f t="shared" si="33"/>
        <v>0</v>
      </c>
      <c r="AP176" s="12" t="str">
        <f t="shared" si="34"/>
        <v/>
      </c>
      <c r="AQ176" s="64">
        <v>2503</v>
      </c>
      <c r="AR176" t="s">
        <v>5932</v>
      </c>
      <c r="AS176" s="12">
        <f t="shared" si="35"/>
        <v>0</v>
      </c>
      <c r="AT176" s="16" t="str">
        <f t="shared" si="36"/>
        <v/>
      </c>
    </row>
    <row r="177" spans="1:46" hidden="1" x14ac:dyDescent="0.25">
      <c r="A177" s="41">
        <f>CASOPOInvCL!T177</f>
        <v>1</v>
      </c>
      <c r="B177" t="str">
        <f>CASOPOInvCL!Z177</f>
        <v>SO16583</v>
      </c>
      <c r="G177" s="5" t="str">
        <f>CASOPOInvCL!I177</f>
        <v>Taylor Cook</v>
      </c>
      <c r="H177" s="31">
        <f>CASOPOInvCL!U177</f>
        <v>2</v>
      </c>
      <c r="I177" s="31">
        <f>CASOPOInvCL!V177</f>
        <v>2025</v>
      </c>
      <c r="J177" s="5" t="str">
        <f>CASOPOInvCL!AB177</f>
        <v>INV12632</v>
      </c>
      <c r="K177" s="31">
        <f>CASOPOInvCL!W177</f>
        <v>4</v>
      </c>
      <c r="L177" s="31">
        <f>CASOPOInvCL!X177</f>
        <v>2025</v>
      </c>
      <c r="M177" s="31"/>
      <c r="N177" s="5" t="str">
        <f>CASOPOInvCL!AF177</f>
        <v>Les Pompes du St-Laurent Inc.</v>
      </c>
      <c r="O177" s="16" t="str">
        <f>CASOPOInvCL!AG177</f>
        <v>CAD</v>
      </c>
      <c r="P177" s="16">
        <f>CASOPOInvCL!AH177</f>
        <v>3529.3</v>
      </c>
      <c r="Q177" s="16">
        <f>CASOPOInvCL!AI177</f>
        <v>2466.5235597808401</v>
      </c>
      <c r="R177" s="32" t="str">
        <f>CASOPOInvCL!AU177</f>
        <v>Yes</v>
      </c>
      <c r="S177" s="16">
        <f>CASOPOInvCL!AV177</f>
        <v>0</v>
      </c>
      <c r="T177" s="16">
        <f>CASOPOInvCL!AW177</f>
        <v>2466.5235597808401</v>
      </c>
      <c r="Y177" s="29" t="str">
        <f>IFERROR(HLOOKUP(U177,List!$D$2:$H$6,2,FALSE),"")</f>
        <v/>
      </c>
      <c r="Z177" s="29" t="str">
        <f>IFERROR(HLOOKUP(V177,List!$D$2:$H$6,3,FALSE),"")</f>
        <v/>
      </c>
      <c r="AA177" s="29" t="str">
        <f>IFERROR(HLOOKUP(W177,List!$D$2:$H$6,4,FALSE),"")</f>
        <v/>
      </c>
      <c r="AB177" s="29" t="str">
        <f>IFERROR(HLOOKUP(X177,List!$D$2:$H$6,5,FALSE),"")</f>
        <v/>
      </c>
      <c r="AC177" s="12" t="str">
        <f t="shared" si="27"/>
        <v/>
      </c>
      <c r="AD177" s="12" t="str">
        <f t="shared" si="28"/>
        <v/>
      </c>
      <c r="AE177" s="12" t="str">
        <f t="shared" si="29"/>
        <v/>
      </c>
      <c r="AF177" s="12" t="str">
        <f t="shared" si="30"/>
        <v/>
      </c>
      <c r="AG177" t="str">
        <f>VLOOKUP(J177,'Receivable Invoice Detail'!$A$1:F3189,6,FALSE)</f>
        <v>[G-R100-533 1216] Stuffing Box Cover, 13", 3196 LTX, CD4MCu, Standard Bore, Non-Jacketed</v>
      </c>
      <c r="AH177" s="12">
        <f t="shared" si="26"/>
        <v>0</v>
      </c>
      <c r="AM177" s="12" t="str">
        <f t="shared" si="31"/>
        <v/>
      </c>
      <c r="AN177" s="12" t="str">
        <f t="shared" si="32"/>
        <v/>
      </c>
      <c r="AO177" s="12" t="str">
        <f t="shared" si="33"/>
        <v/>
      </c>
      <c r="AP177" s="12" t="str">
        <f t="shared" si="34"/>
        <v/>
      </c>
      <c r="AQ177" s="12"/>
      <c r="AS177" s="12">
        <f t="shared" si="35"/>
        <v>36.9978533967126</v>
      </c>
      <c r="AT177" s="16" t="str">
        <f t="shared" si="36"/>
        <v>Yes</v>
      </c>
    </row>
    <row r="178" spans="1:46" hidden="1" x14ac:dyDescent="0.25">
      <c r="A178" s="41">
        <f>CASOPOInvCL!T178</f>
        <v>1</v>
      </c>
      <c r="B178" t="str">
        <f>CASOPOInvCL!Z178</f>
        <v>SO16584</v>
      </c>
      <c r="D178" t="s">
        <v>5938</v>
      </c>
      <c r="G178" s="5" t="str">
        <f>CASOPOInvCL!I178</f>
        <v>Marlen Martinez</v>
      </c>
      <c r="H178" s="31">
        <f>CASOPOInvCL!U178</f>
        <v>2</v>
      </c>
      <c r="I178" s="31">
        <f>CASOPOInvCL!V178</f>
        <v>2025</v>
      </c>
      <c r="J178" s="5" t="str">
        <f>CASOPOInvCL!AB178</f>
        <v>Borrador de factura INV12661</v>
      </c>
      <c r="K178" s="31" t="str">
        <f>CASOPOInvCL!W178</f>
        <v/>
      </c>
      <c r="L178" s="31" t="str">
        <f>CASOPOInvCL!X178</f>
        <v/>
      </c>
      <c r="M178" s="31"/>
      <c r="N178" s="5" t="str">
        <f>CASOPOInvCL!AF178</f>
        <v>Covia Corp - Junction City</v>
      </c>
      <c r="O178" s="16" t="str">
        <f>CASOPOInvCL!AG178</f>
        <v>USD</v>
      </c>
      <c r="P178" s="16">
        <f>CASOPOInvCL!AH178</f>
        <v>4537.8726169827014</v>
      </c>
      <c r="Q178" s="16">
        <f>CASOPOInvCL!AI178</f>
        <v>3169</v>
      </c>
      <c r="R178" s="32" t="str">
        <f>CASOPOInvCL!AU178</f>
        <v/>
      </c>
      <c r="S178" s="16">
        <f>CASOPOInvCL!AV178</f>
        <v>0</v>
      </c>
      <c r="T178" s="16">
        <f>CASOPOInvCL!AW178</f>
        <v>0</v>
      </c>
      <c r="Y178" s="29" t="str">
        <f>IFERROR(HLOOKUP(U178,List!$D$2:$H$6,2,FALSE),"")</f>
        <v/>
      </c>
      <c r="Z178" s="29" t="str">
        <f>IFERROR(HLOOKUP(V178,List!$D$2:$H$6,3,FALSE),"")</f>
        <v/>
      </c>
      <c r="AA178" s="29" t="str">
        <f>IFERROR(HLOOKUP(W178,List!$D$2:$H$6,4,FALSE),"")</f>
        <v/>
      </c>
      <c r="AB178" s="29" t="str">
        <f>IFERROR(HLOOKUP(X178,List!$D$2:$H$6,5,FALSE),"")</f>
        <v/>
      </c>
      <c r="AC178" s="12" t="str">
        <f t="shared" si="27"/>
        <v/>
      </c>
      <c r="AD178" s="12" t="str">
        <f t="shared" si="28"/>
        <v/>
      </c>
      <c r="AE178" s="12" t="str">
        <f t="shared" si="29"/>
        <v/>
      </c>
      <c r="AF178" s="12" t="str">
        <f t="shared" si="30"/>
        <v/>
      </c>
      <c r="AG178" t="e">
        <f>VLOOKUP(J178,'Receivable Invoice Detail'!$A$1:F3190,6,FALSE)</f>
        <v>#N/A</v>
      </c>
      <c r="AH178" s="12">
        <f t="shared" si="26"/>
        <v>0</v>
      </c>
      <c r="AM178" s="12" t="str">
        <f t="shared" si="31"/>
        <v/>
      </c>
      <c r="AN178" s="12" t="str">
        <f t="shared" si="32"/>
        <v/>
      </c>
      <c r="AO178" s="12" t="str">
        <f t="shared" si="33"/>
        <v/>
      </c>
      <c r="AP178" s="12" t="str">
        <f t="shared" si="34"/>
        <v/>
      </c>
      <c r="AQ178" s="64">
        <f>M178</f>
        <v>0</v>
      </c>
      <c r="AR178" t="s">
        <v>5939</v>
      </c>
      <c r="AS178" s="12">
        <f t="shared" si="35"/>
        <v>0</v>
      </c>
      <c r="AT178" s="16" t="str">
        <f t="shared" si="36"/>
        <v/>
      </c>
    </row>
    <row r="179" spans="1:46" hidden="1" x14ac:dyDescent="0.25">
      <c r="A179" s="41">
        <f>CASOPOInvCL!T179</f>
        <v>2</v>
      </c>
      <c r="B179" t="str">
        <f>CASOPOInvCL!Z179</f>
        <v>SO16586</v>
      </c>
      <c r="G179" s="5" t="str">
        <f>CASOPOInvCL!I179</f>
        <v>Ian Trottier</v>
      </c>
      <c r="H179" s="31">
        <f>CASOPOInvCL!U179</f>
        <v>2</v>
      </c>
      <c r="I179" s="31">
        <f>CASOPOInvCL!V179</f>
        <v>2025</v>
      </c>
      <c r="J179" s="5" t="str">
        <f>CASOPOInvCL!AB179</f>
        <v>INV12904</v>
      </c>
      <c r="K179" s="31">
        <f>CASOPOInvCL!W179</f>
        <v>5</v>
      </c>
      <c r="L179" s="31">
        <f>CASOPOInvCL!X179</f>
        <v>2025</v>
      </c>
      <c r="M179" s="31"/>
      <c r="N179" s="5" t="str">
        <f>CASOPOInvCL!AF179</f>
        <v>Motion Industries Inc. (Canada) - Winnipeg</v>
      </c>
      <c r="O179" s="16" t="str">
        <f>CASOPOInvCL!AG179</f>
        <v>CAD</v>
      </c>
      <c r="P179" s="16">
        <f>CASOPOInvCL!AH179</f>
        <v>122.96</v>
      </c>
      <c r="Q179" s="16">
        <f>CASOPOInvCL!AI179</f>
        <v>85.453651369883389</v>
      </c>
      <c r="R179" s="32" t="str">
        <f>CASOPOInvCL!AU179</f>
        <v>Yes</v>
      </c>
      <c r="S179" s="16">
        <f>CASOPOInvCL!AV179</f>
        <v>0</v>
      </c>
      <c r="T179" s="16">
        <f>CASOPOInvCL!AW179</f>
        <v>85.453651369883389</v>
      </c>
      <c r="Y179" s="29" t="str">
        <f>IFERROR(HLOOKUP(U179,List!$D$2:$H$6,2,FALSE),"")</f>
        <v/>
      </c>
      <c r="Z179" s="29" t="str">
        <f>IFERROR(HLOOKUP(V179,List!$D$2:$H$6,3,FALSE),"")</f>
        <v/>
      </c>
      <c r="AA179" s="29" t="str">
        <f>IFERROR(HLOOKUP(W179,List!$D$2:$H$6,4,FALSE),"")</f>
        <v/>
      </c>
      <c r="AB179" s="29" t="str">
        <f>IFERROR(HLOOKUP(X179,List!$D$2:$H$6,5,FALSE),"")</f>
        <v/>
      </c>
      <c r="AC179" s="12" t="str">
        <f t="shared" si="27"/>
        <v/>
      </c>
      <c r="AD179" s="12" t="str">
        <f t="shared" si="28"/>
        <v/>
      </c>
      <c r="AE179" s="12" t="str">
        <f t="shared" si="29"/>
        <v/>
      </c>
      <c r="AF179" s="12" t="str">
        <f t="shared" si="30"/>
        <v/>
      </c>
      <c r="AG179" t="str">
        <f>VLOOKUP(J179,'Receivable Invoice Detail'!$A$1:F3191,6,FALSE)</f>
        <v>[2Z104-GA, DU-AY33867K-GTB] Impeller Gasket, Durco Mark 2 Group 2, Grafoil</v>
      </c>
      <c r="AH179" s="12">
        <f t="shared" si="26"/>
        <v>0</v>
      </c>
      <c r="AM179" s="12" t="str">
        <f t="shared" si="31"/>
        <v/>
      </c>
      <c r="AN179" s="12" t="str">
        <f t="shared" si="32"/>
        <v/>
      </c>
      <c r="AO179" s="12" t="str">
        <f t="shared" si="33"/>
        <v/>
      </c>
      <c r="AP179" s="12" t="str">
        <f t="shared" si="34"/>
        <v/>
      </c>
      <c r="AQ179" s="12"/>
      <c r="AS179" s="12">
        <f t="shared" si="35"/>
        <v>1.2818047705482507</v>
      </c>
      <c r="AT179" s="16" t="str">
        <f t="shared" si="36"/>
        <v>Yes</v>
      </c>
    </row>
    <row r="180" spans="1:46" hidden="1" x14ac:dyDescent="0.25">
      <c r="A180" s="41">
        <f>CASOPOInvCL!T180</f>
        <v>2</v>
      </c>
      <c r="B180" t="str">
        <f>CASOPOInvCL!Z180</f>
        <v>SO16586</v>
      </c>
      <c r="G180" s="5">
        <f>CASOPOInvCL!I180</f>
        <v>0</v>
      </c>
      <c r="H180" s="31">
        <f>CASOPOInvCL!U180</f>
        <v>2</v>
      </c>
      <c r="I180" s="31">
        <f>CASOPOInvCL!V180</f>
        <v>2025</v>
      </c>
      <c r="J180" s="5" t="str">
        <f>CASOPOInvCL!AB180</f>
        <v>INV12717</v>
      </c>
      <c r="K180" s="31">
        <f>CASOPOInvCL!W180</f>
        <v>4</v>
      </c>
      <c r="L180" s="31">
        <f>CASOPOInvCL!X180</f>
        <v>2025</v>
      </c>
      <c r="M180" s="31"/>
      <c r="N180" s="5" t="str">
        <f>CASOPOInvCL!AF180</f>
        <v>Motion Industries Inc. (Canada) - Winnipeg</v>
      </c>
      <c r="O180" s="16" t="str">
        <f>CASOPOInvCL!AG180</f>
        <v>CAD</v>
      </c>
      <c r="P180" s="16">
        <f>CASOPOInvCL!AH180</f>
        <v>0</v>
      </c>
      <c r="Q180" s="16">
        <f>CASOPOInvCL!AI180</f>
        <v>0</v>
      </c>
      <c r="R180" s="32" t="str">
        <f>CASOPOInvCL!AU180</f>
        <v/>
      </c>
      <c r="S180" s="16">
        <f>CASOPOInvCL!AV180</f>
        <v>0</v>
      </c>
      <c r="T180" s="16">
        <f>CASOPOInvCL!AW180</f>
        <v>0</v>
      </c>
      <c r="Y180" s="29" t="str">
        <f>IFERROR(HLOOKUP(U180,List!$D$2:$H$6,2,FALSE),"")</f>
        <v/>
      </c>
      <c r="Z180" s="29" t="str">
        <f>IFERROR(HLOOKUP(V180,List!$D$2:$H$6,3,FALSE),"")</f>
        <v/>
      </c>
      <c r="AA180" s="29" t="str">
        <f>IFERROR(HLOOKUP(W180,List!$D$2:$H$6,4,FALSE),"")</f>
        <v/>
      </c>
      <c r="AB180" s="29" t="str">
        <f>IFERROR(HLOOKUP(X180,List!$D$2:$H$6,5,FALSE),"")</f>
        <v/>
      </c>
      <c r="AC180" s="12" t="str">
        <f t="shared" si="27"/>
        <v/>
      </c>
      <c r="AD180" s="12" t="str">
        <f t="shared" si="28"/>
        <v/>
      </c>
      <c r="AE180" s="12" t="str">
        <f t="shared" si="29"/>
        <v/>
      </c>
      <c r="AF180" s="12" t="str">
        <f t="shared" si="30"/>
        <v/>
      </c>
      <c r="AG180" t="str">
        <f>VLOOKUP(J180,'Receivable Invoice Detail'!$A$1:F3192,6,FALSE)</f>
        <v>[2Z104-GA, DU-AY33867K-GTB] Impeller Gasket, Durco Mark 2 Group 2, Grafoil</v>
      </c>
      <c r="AH180" s="12">
        <f t="shared" si="26"/>
        <v>0</v>
      </c>
      <c r="AM180" s="12" t="str">
        <f t="shared" si="31"/>
        <v/>
      </c>
      <c r="AN180" s="12" t="str">
        <f t="shared" si="32"/>
        <v/>
      </c>
      <c r="AO180" s="12" t="str">
        <f t="shared" si="33"/>
        <v/>
      </c>
      <c r="AP180" s="12" t="str">
        <f t="shared" si="34"/>
        <v/>
      </c>
      <c r="AQ180" s="12"/>
      <c r="AS180" s="12">
        <f t="shared" si="35"/>
        <v>0</v>
      </c>
      <c r="AT180" s="16" t="str">
        <f t="shared" si="36"/>
        <v/>
      </c>
    </row>
    <row r="181" spans="1:46" hidden="1" x14ac:dyDescent="0.25">
      <c r="A181" s="41">
        <f>CASOPOInvCL!T181</f>
        <v>1</v>
      </c>
      <c r="B181" t="str">
        <f>CASOPOInvCL!Z181</f>
        <v>SO16588</v>
      </c>
      <c r="G181" s="5" t="str">
        <f>CASOPOInvCL!I181</f>
        <v>Amanda Qiao</v>
      </c>
      <c r="H181" s="31">
        <f>CASOPOInvCL!U181</f>
        <v>2</v>
      </c>
      <c r="I181" s="31">
        <f>CASOPOInvCL!V181</f>
        <v>2025</v>
      </c>
      <c r="J181" s="5" t="str">
        <f>CASOPOInvCL!AB181</f>
        <v>INV12879</v>
      </c>
      <c r="K181" s="31">
        <f>CASOPOInvCL!W181</f>
        <v>6</v>
      </c>
      <c r="L181" s="31">
        <f>CASOPOInvCL!X181</f>
        <v>2025</v>
      </c>
      <c r="M181" s="31"/>
      <c r="N181" s="5" t="str">
        <f>CASOPOInvCL!AF181</f>
        <v>Resolute Forest Products - Saint-Felicien</v>
      </c>
      <c r="O181" s="16" t="str">
        <f>CASOPOInvCL!AG181</f>
        <v>CAD</v>
      </c>
      <c r="P181" s="16">
        <f>CASOPOInvCL!AH181</f>
        <v>2429.21</v>
      </c>
      <c r="Q181" s="16">
        <f>CASOPOInvCL!AI181</f>
        <v>1707.0693681429079</v>
      </c>
      <c r="R181" s="32" t="str">
        <f>CASOPOInvCL!AU181</f>
        <v>Yes</v>
      </c>
      <c r="S181" s="16">
        <f>CASOPOInvCL!AV181</f>
        <v>0</v>
      </c>
      <c r="T181" s="16">
        <f>CASOPOInvCL!AW181</f>
        <v>1707.0693681429079</v>
      </c>
      <c r="Y181" s="29" t="str">
        <f>IFERROR(HLOOKUP(U181,List!$D$2:$H$6,2,FALSE),"")</f>
        <v/>
      </c>
      <c r="Z181" s="29" t="str">
        <f>IFERROR(HLOOKUP(V181,List!$D$2:$H$6,3,FALSE),"")</f>
        <v/>
      </c>
      <c r="AA181" s="29" t="str">
        <f>IFERROR(HLOOKUP(W181,List!$D$2:$H$6,4,FALSE),"")</f>
        <v/>
      </c>
      <c r="AB181" s="29" t="str">
        <f>IFERROR(HLOOKUP(X181,List!$D$2:$H$6,5,FALSE),"")</f>
        <v/>
      </c>
      <c r="AC181" s="12" t="str">
        <f t="shared" si="27"/>
        <v/>
      </c>
      <c r="AD181" s="12" t="str">
        <f t="shared" si="28"/>
        <v/>
      </c>
      <c r="AE181" s="12" t="str">
        <f t="shared" si="29"/>
        <v/>
      </c>
      <c r="AF181" s="12" t="str">
        <f t="shared" si="30"/>
        <v/>
      </c>
      <c r="AG181" t="str">
        <f>VLOOKUP(J181,'Receivable Invoice Detail'!$A$1:F3193,6,FALSE)</f>
        <v>[AC-52-321-473-250, M&amp;N's part # 189] Impeller (Open), 4x3-13, Allis Chalmers CSO, 316SS, 6 Vanes</v>
      </c>
      <c r="AH181" s="12">
        <f t="shared" si="26"/>
        <v>0</v>
      </c>
      <c r="AM181" s="12" t="str">
        <f t="shared" si="31"/>
        <v/>
      </c>
      <c r="AN181" s="12" t="str">
        <f t="shared" si="32"/>
        <v/>
      </c>
      <c r="AO181" s="12" t="str">
        <f t="shared" si="33"/>
        <v/>
      </c>
      <c r="AP181" s="12" t="str">
        <f t="shared" si="34"/>
        <v/>
      </c>
      <c r="AQ181" s="12"/>
      <c r="AS181" s="12">
        <f t="shared" si="35"/>
        <v>25.606040522143619</v>
      </c>
      <c r="AT181" s="16" t="str">
        <f t="shared" si="36"/>
        <v>Yes</v>
      </c>
    </row>
    <row r="182" spans="1:46" hidden="1" x14ac:dyDescent="0.25">
      <c r="A182" s="41">
        <f>CASOPOInvCL!T182</f>
        <v>1</v>
      </c>
      <c r="B182" t="str">
        <f>CASOPOInvCL!Z182</f>
        <v>SO16589</v>
      </c>
      <c r="G182" s="5" t="str">
        <f>CASOPOInvCL!I182</f>
        <v>Taylor Cook</v>
      </c>
      <c r="H182" s="31">
        <f>CASOPOInvCL!U182</f>
        <v>2</v>
      </c>
      <c r="I182" s="31">
        <f>CASOPOInvCL!V182</f>
        <v>2025</v>
      </c>
      <c r="J182" s="5" t="str">
        <f>CASOPOInvCL!AB182</f>
        <v>INV12672</v>
      </c>
      <c r="K182" s="31">
        <f>CASOPOInvCL!W182</f>
        <v>3</v>
      </c>
      <c r="L182" s="31">
        <f>CASOPOInvCL!X182</f>
        <v>2025</v>
      </c>
      <c r="M182" s="31"/>
      <c r="N182" s="5" t="str">
        <f>CASOPOInvCL!AF182</f>
        <v>Cartledge &amp; Associates Inc.</v>
      </c>
      <c r="O182" s="16" t="str">
        <f>CASOPOInvCL!AG182</f>
        <v>USD</v>
      </c>
      <c r="P182" s="16">
        <f>CASOPOInvCL!AH182</f>
        <v>7479.5600468223229</v>
      </c>
      <c r="Q182" s="16">
        <f>CASOPOInvCL!AI182</f>
        <v>5272.46</v>
      </c>
      <c r="R182" s="32" t="str">
        <f>CASOPOInvCL!AU182</f>
        <v>Yes</v>
      </c>
      <c r="S182" s="16">
        <f>CASOPOInvCL!AV182</f>
        <v>590</v>
      </c>
      <c r="T182" s="16">
        <f>CASOPOInvCL!AW182</f>
        <v>4682.46</v>
      </c>
      <c r="Y182" s="29" t="str">
        <f>IFERROR(HLOOKUP(U182,List!$D$2:$H$6,2,FALSE),"")</f>
        <v/>
      </c>
      <c r="Z182" s="29" t="str">
        <f>IFERROR(HLOOKUP(V182,List!$D$2:$H$6,3,FALSE),"")</f>
        <v/>
      </c>
      <c r="AA182" s="29" t="str">
        <f>IFERROR(HLOOKUP(W182,List!$D$2:$H$6,4,FALSE),"")</f>
        <v/>
      </c>
      <c r="AB182" s="29" t="str">
        <f>IFERROR(HLOOKUP(X182,List!$D$2:$H$6,5,FALSE),"")</f>
        <v/>
      </c>
      <c r="AC182" s="12" t="str">
        <f t="shared" si="27"/>
        <v/>
      </c>
      <c r="AD182" s="12" t="str">
        <f t="shared" si="28"/>
        <v/>
      </c>
      <c r="AE182" s="12" t="str">
        <f t="shared" si="29"/>
        <v/>
      </c>
      <c r="AF182" s="12" t="str">
        <f t="shared" si="30"/>
        <v/>
      </c>
      <c r="AG182" t="str">
        <f>VLOOKUP(J182,'Receivable Invoice Detail'!$A$1:F3194,6,FALSE)</f>
        <v>[AC-98-330-307-501] Impeller (Closed), 3x3-10 SRL-C, Natural Rubber</v>
      </c>
      <c r="AH182" s="12">
        <f t="shared" si="26"/>
        <v>0</v>
      </c>
      <c r="AM182" s="12" t="str">
        <f t="shared" si="31"/>
        <v/>
      </c>
      <c r="AN182" s="12" t="str">
        <f t="shared" si="32"/>
        <v/>
      </c>
      <c r="AO182" s="12" t="str">
        <f t="shared" si="33"/>
        <v/>
      </c>
      <c r="AP182" s="12" t="str">
        <f t="shared" si="34"/>
        <v/>
      </c>
      <c r="AQ182" s="12"/>
      <c r="AS182" s="12">
        <f t="shared" si="35"/>
        <v>70.236899999999991</v>
      </c>
      <c r="AT182" s="16" t="str">
        <f t="shared" si="36"/>
        <v>Yes</v>
      </c>
    </row>
    <row r="183" spans="1:46" hidden="1" x14ac:dyDescent="0.25">
      <c r="A183" s="41">
        <f>CASOPOInvCL!T183</f>
        <v>1</v>
      </c>
      <c r="B183" t="str">
        <f>CASOPOInvCL!Z183</f>
        <v>SO16592</v>
      </c>
      <c r="E183" t="s">
        <v>5847</v>
      </c>
      <c r="G183" s="5" t="str">
        <f>CASOPOInvCL!I183</f>
        <v>Amanda Qiao</v>
      </c>
      <c r="H183" s="31">
        <f>CASOPOInvCL!U183</f>
        <v>2</v>
      </c>
      <c r="I183" s="31">
        <f>CASOPOInvCL!V183</f>
        <v>2025</v>
      </c>
      <c r="J183" s="5" t="str">
        <f>CASOPOInvCL!AB183</f>
        <v>INV12943</v>
      </c>
      <c r="K183" s="31">
        <f>CASOPOInvCL!W183</f>
        <v>9</v>
      </c>
      <c r="L183" s="31">
        <f>CASOPOInvCL!X183</f>
        <v>2025</v>
      </c>
      <c r="M183">
        <v>2503</v>
      </c>
      <c r="N183" s="5" t="str">
        <f>CASOPOInvCL!AF183</f>
        <v>Zijin Mining - Rosebel Goldmines N.V.</v>
      </c>
      <c r="O183" s="16" t="str">
        <f>CASOPOInvCL!AG183</f>
        <v>USD</v>
      </c>
      <c r="P183" s="16">
        <f>CASOPOInvCL!AH183</f>
        <v>60987.568640793208</v>
      </c>
      <c r="Q183" s="16">
        <f>CASOPOInvCL!AI183</f>
        <v>42873.38</v>
      </c>
      <c r="R183" s="32" t="str">
        <f>CASOPOInvCL!AU183</f>
        <v>Yes</v>
      </c>
      <c r="S183" s="16">
        <f>CASOPOInvCL!AV183</f>
        <v>0</v>
      </c>
      <c r="T183" s="16">
        <f>CASOPOInvCL!AW183</f>
        <v>42873.38</v>
      </c>
      <c r="W183" t="s">
        <v>5801</v>
      </c>
      <c r="Y183" s="29" t="str">
        <f>IFERROR(HLOOKUP(U183,List!$D$2:$H$6,2,FALSE),"")</f>
        <v/>
      </c>
      <c r="Z183" s="29" t="str">
        <f>IFERROR(HLOOKUP(V183,List!$D$2:$H$6,3,FALSE),"")</f>
        <v/>
      </c>
      <c r="AA183" s="29">
        <f>IFERROR(HLOOKUP(W183,List!$D$2:$H$6,4,FALSE),"")</f>
        <v>0.02</v>
      </c>
      <c r="AB183" s="29" t="str">
        <f>IFERROR(HLOOKUP(X183,List!$D$2:$H$6,5,FALSE),"")</f>
        <v/>
      </c>
      <c r="AC183" s="12" t="str">
        <f t="shared" si="27"/>
        <v/>
      </c>
      <c r="AD183" s="12" t="str">
        <f t="shared" si="28"/>
        <v/>
      </c>
      <c r="AE183" s="12">
        <f t="shared" si="29"/>
        <v>857.46759999999995</v>
      </c>
      <c r="AF183" s="12" t="str">
        <f t="shared" si="30"/>
        <v/>
      </c>
      <c r="AG183" t="str">
        <f>VLOOKUP(J183,'Receivable Invoice Detail'!$A$1:F3195,6,FALSE)</f>
        <v>[825-521-011] Pump, NM053BY01L06B with motor</v>
      </c>
      <c r="AH183" s="12">
        <f t="shared" si="26"/>
        <v>857.46759999999995</v>
      </c>
      <c r="AK183">
        <v>2503</v>
      </c>
      <c r="AM183" s="12" t="str">
        <f t="shared" si="31"/>
        <v/>
      </c>
      <c r="AN183" s="12" t="str">
        <f t="shared" si="32"/>
        <v/>
      </c>
      <c r="AO183" s="12">
        <f t="shared" si="33"/>
        <v>0</v>
      </c>
      <c r="AP183" s="12" t="str">
        <f t="shared" si="34"/>
        <v/>
      </c>
      <c r="AQ183" s="64">
        <v>2503</v>
      </c>
      <c r="AR183" t="s">
        <v>5932</v>
      </c>
      <c r="AS183" s="12">
        <f t="shared" si="35"/>
        <v>643.10069999999996</v>
      </c>
      <c r="AT183" s="16" t="str">
        <f t="shared" si="36"/>
        <v>Yes</v>
      </c>
    </row>
    <row r="184" spans="1:46" hidden="1" x14ac:dyDescent="0.25">
      <c r="A184" s="41">
        <f>CASOPOInvCL!T184</f>
        <v>1</v>
      </c>
      <c r="B184" s="76" t="str">
        <f>CASOPOInvCL!Z184</f>
        <v>SO16593</v>
      </c>
      <c r="G184" s="5" t="str">
        <f>CASOPOInvCL!I184</f>
        <v>Jeff Bell</v>
      </c>
      <c r="H184" s="31">
        <f>CASOPOInvCL!U184</f>
        <v>2</v>
      </c>
      <c r="I184" s="31">
        <f>CASOPOInvCL!V184</f>
        <v>2025</v>
      </c>
      <c r="J184" s="5" t="str">
        <f>CASOPOInvCL!AB184</f>
        <v>INV13152</v>
      </c>
      <c r="K184" s="31">
        <f>CASOPOInvCL!W184</f>
        <v>8</v>
      </c>
      <c r="L184" s="31">
        <f>CASOPOInvCL!X184</f>
        <v>2025</v>
      </c>
      <c r="M184" s="31"/>
      <c r="N184" s="5" t="str">
        <f>CASOPOInvCL!AF184</f>
        <v>Barrick Gold - Pueblo Viejo Dominicana Corporation</v>
      </c>
      <c r="O184" s="16" t="str">
        <f>CASOPOInvCL!AG184</f>
        <v>USD</v>
      </c>
      <c r="P184" s="16">
        <f>CASOPOInvCL!AH184</f>
        <v>2544.1767381932414</v>
      </c>
      <c r="Q184" s="16">
        <f>CASOPOInvCL!AI184</f>
        <v>1778.05</v>
      </c>
      <c r="R184" s="32" t="str">
        <f>CASOPOInvCL!AU184</f>
        <v>Yes</v>
      </c>
      <c r="S184" s="16">
        <f>CASOPOInvCL!AV184</f>
        <v>0</v>
      </c>
      <c r="T184" s="16">
        <f>CASOPOInvCL!AW184</f>
        <v>1778.05</v>
      </c>
      <c r="Y184" s="29" t="str">
        <f>IFERROR(HLOOKUP(U184,List!$D$2:$H$6,2,FALSE),"")</f>
        <v/>
      </c>
      <c r="Z184" s="29" t="str">
        <f>IFERROR(HLOOKUP(V184,List!$D$2:$H$6,3,FALSE),"")</f>
        <v/>
      </c>
      <c r="AA184" s="29" t="str">
        <f>IFERROR(HLOOKUP(W184,List!$D$2:$H$6,4,FALSE),"")</f>
        <v/>
      </c>
      <c r="AB184" s="29" t="str">
        <f>IFERROR(HLOOKUP(X184,List!$D$2:$H$6,5,FALSE),"")</f>
        <v/>
      </c>
      <c r="AC184" s="12" t="str">
        <f t="shared" si="27"/>
        <v/>
      </c>
      <c r="AD184" s="12" t="str">
        <f t="shared" si="28"/>
        <v/>
      </c>
      <c r="AE184" s="12" t="str">
        <f t="shared" si="29"/>
        <v/>
      </c>
      <c r="AF184" s="12" t="str">
        <f t="shared" si="30"/>
        <v/>
      </c>
      <c r="AG184" t="str">
        <f>VLOOKUP(J184,'Receivable Invoice Detail'!$A$1:F3196,6,FALSE)</f>
        <v>[PX0404] 40 HP, 1800 RPM, 230/460/3/60, 324T Frame, Premium Efficiency TEFC, Teco-Westinghouse Motor</v>
      </c>
      <c r="AH184" s="12">
        <f t="shared" si="26"/>
        <v>0</v>
      </c>
      <c r="AM184" s="12" t="str">
        <f t="shared" si="31"/>
        <v/>
      </c>
      <c r="AN184" s="12" t="str">
        <f t="shared" si="32"/>
        <v/>
      </c>
      <c r="AO184" s="12" t="str">
        <f t="shared" si="33"/>
        <v/>
      </c>
      <c r="AP184" s="12" t="str">
        <f t="shared" si="34"/>
        <v/>
      </c>
      <c r="AQ184" s="64">
        <v>2503</v>
      </c>
      <c r="AR184" s="64" t="s">
        <v>5934</v>
      </c>
      <c r="AS184" s="12">
        <f t="shared" si="35"/>
        <v>26.670749999999998</v>
      </c>
      <c r="AT184" s="16" t="str">
        <f t="shared" si="36"/>
        <v>Yes</v>
      </c>
    </row>
    <row r="185" spans="1:46" hidden="1" x14ac:dyDescent="0.25">
      <c r="A185" s="41">
        <f>CASOPOInvCL!T185</f>
        <v>1</v>
      </c>
      <c r="B185" t="str">
        <f>CASOPOInvCL!Z185</f>
        <v>SO16595</v>
      </c>
      <c r="G185" s="5" t="str">
        <f>CASOPOInvCL!I185</f>
        <v>Ian Trottier</v>
      </c>
      <c r="H185" s="31">
        <f>CASOPOInvCL!U185</f>
        <v>2</v>
      </c>
      <c r="I185" s="31">
        <f>CASOPOInvCL!V185</f>
        <v>2025</v>
      </c>
      <c r="J185" s="5" t="str">
        <f>CASOPOInvCL!AB185</f>
        <v>INV12633</v>
      </c>
      <c r="K185" s="31">
        <f>CASOPOInvCL!W185</f>
        <v>4</v>
      </c>
      <c r="L185" s="31">
        <f>CASOPOInvCL!X185</f>
        <v>2025</v>
      </c>
      <c r="M185" s="31"/>
      <c r="N185" s="5" t="str">
        <f>CASOPOInvCL!AF185</f>
        <v>Les Pompes du St-Laurent Inc.</v>
      </c>
      <c r="O185" s="16" t="str">
        <f>CASOPOInvCL!AG185</f>
        <v>CAD</v>
      </c>
      <c r="P185" s="16">
        <f>CASOPOInvCL!AH185</f>
        <v>8679.65</v>
      </c>
      <c r="Q185" s="16">
        <f>CASOPOInvCL!AI185</f>
        <v>6123.7303425838754</v>
      </c>
      <c r="R185" s="32" t="str">
        <f>CASOPOInvCL!AU185</f>
        <v>Yes</v>
      </c>
      <c r="S185" s="16">
        <f>CASOPOInvCL!AV185</f>
        <v>0</v>
      </c>
      <c r="T185" s="16">
        <f>CASOPOInvCL!AW185</f>
        <v>6123.7303425838754</v>
      </c>
      <c r="Y185" s="29" t="str">
        <f>IFERROR(HLOOKUP(U185,List!$D$2:$H$6,2,FALSE),"")</f>
        <v/>
      </c>
      <c r="Z185" s="29" t="str">
        <f>IFERROR(HLOOKUP(V185,List!$D$2:$H$6,3,FALSE),"")</f>
        <v/>
      </c>
      <c r="AA185" s="29" t="str">
        <f>IFERROR(HLOOKUP(W185,List!$D$2:$H$6,4,FALSE),"")</f>
        <v/>
      </c>
      <c r="AB185" s="29" t="str">
        <f>IFERROR(HLOOKUP(X185,List!$D$2:$H$6,5,FALSE),"")</f>
        <v/>
      </c>
      <c r="AC185" s="12" t="str">
        <f t="shared" si="27"/>
        <v/>
      </c>
      <c r="AD185" s="12" t="str">
        <f t="shared" si="28"/>
        <v/>
      </c>
      <c r="AE185" s="12" t="str">
        <f t="shared" si="29"/>
        <v/>
      </c>
      <c r="AF185" s="12" t="str">
        <f t="shared" si="30"/>
        <v/>
      </c>
      <c r="AG185" t="str">
        <f>VLOOKUP(J185,'Receivable Invoice Detail'!$A$1:F3197,6,FALSE)</f>
        <v>[G-R100-529 1216] Stuffing Box Cover, 13", 3196 MTX, CD4MCu, Standard Bore, Non-Jacketed</v>
      </c>
      <c r="AH185" s="12">
        <f t="shared" si="26"/>
        <v>0</v>
      </c>
      <c r="AM185" s="12" t="str">
        <f t="shared" si="31"/>
        <v/>
      </c>
      <c r="AN185" s="12" t="str">
        <f t="shared" si="32"/>
        <v/>
      </c>
      <c r="AO185" s="12" t="str">
        <f t="shared" si="33"/>
        <v/>
      </c>
      <c r="AP185" s="12" t="str">
        <f t="shared" si="34"/>
        <v/>
      </c>
      <c r="AQ185" s="12"/>
      <c r="AS185" s="12">
        <f t="shared" si="35"/>
        <v>91.855955138758134</v>
      </c>
      <c r="AT185" s="16" t="str">
        <f t="shared" si="36"/>
        <v>Yes</v>
      </c>
    </row>
    <row r="186" spans="1:46" hidden="1" x14ac:dyDescent="0.25">
      <c r="A186" s="41">
        <f>CASOPOInvCL!T186</f>
        <v>1</v>
      </c>
      <c r="B186" t="str">
        <f>CASOPOInvCL!Z186</f>
        <v>SO16596</v>
      </c>
      <c r="G186" s="5" t="str">
        <f>CASOPOInvCL!I186</f>
        <v>Taylor Cook</v>
      </c>
      <c r="H186" s="31">
        <f>CASOPOInvCL!U186</f>
        <v>2</v>
      </c>
      <c r="I186" s="31">
        <f>CASOPOInvCL!V186</f>
        <v>2025</v>
      </c>
      <c r="J186" s="5" t="str">
        <f>CASOPOInvCL!AB186</f>
        <v>INV12634</v>
      </c>
      <c r="K186" s="31">
        <f>CASOPOInvCL!W186</f>
        <v>4</v>
      </c>
      <c r="L186" s="31">
        <f>CASOPOInvCL!X186</f>
        <v>2025</v>
      </c>
      <c r="M186" s="31"/>
      <c r="N186" s="5" t="str">
        <f>CASOPOInvCL!AF186</f>
        <v>Les Pompes du St-Laurent Inc.</v>
      </c>
      <c r="O186" s="16" t="str">
        <f>CASOPOInvCL!AG186</f>
        <v>CAD</v>
      </c>
      <c r="P186" s="16">
        <f>CASOPOInvCL!AH186</f>
        <v>3005</v>
      </c>
      <c r="Q186" s="16">
        <f>CASOPOInvCL!AI186</f>
        <v>2111.6920526712133</v>
      </c>
      <c r="R186" s="32" t="str">
        <f>CASOPOInvCL!AU186</f>
        <v>Yes</v>
      </c>
      <c r="S186" s="16">
        <f>CASOPOInvCL!AV186</f>
        <v>0</v>
      </c>
      <c r="T186" s="16">
        <f>CASOPOInvCL!AW186</f>
        <v>2111.6920526712133</v>
      </c>
      <c r="Y186" s="29" t="str">
        <f>IFERROR(HLOOKUP(U186,List!$D$2:$H$6,2,FALSE),"")</f>
        <v/>
      </c>
      <c r="Z186" s="29" t="str">
        <f>IFERROR(HLOOKUP(V186,List!$D$2:$H$6,3,FALSE),"")</f>
        <v/>
      </c>
      <c r="AA186" s="29" t="str">
        <f>IFERROR(HLOOKUP(W186,List!$D$2:$H$6,4,FALSE),"")</f>
        <v/>
      </c>
      <c r="AB186" s="29" t="str">
        <f>IFERROR(HLOOKUP(X186,List!$D$2:$H$6,5,FALSE),"")</f>
        <v/>
      </c>
      <c r="AC186" s="12" t="str">
        <f t="shared" si="27"/>
        <v/>
      </c>
      <c r="AD186" s="12" t="str">
        <f t="shared" si="28"/>
        <v/>
      </c>
      <c r="AE186" s="12" t="str">
        <f t="shared" si="29"/>
        <v/>
      </c>
      <c r="AF186" s="12" t="str">
        <f t="shared" si="30"/>
        <v/>
      </c>
      <c r="AG186" t="str">
        <f>VLOOKUP(J186,'Receivable Invoice Detail'!$A$1:F3198,6,FALSE)</f>
        <v>[G-249-61 1216] Casing, 2x3-10, 3196 MTX, CD4MCu</v>
      </c>
      <c r="AH186" s="12">
        <f t="shared" si="26"/>
        <v>0</v>
      </c>
      <c r="AM186" s="12" t="str">
        <f t="shared" si="31"/>
        <v/>
      </c>
      <c r="AN186" s="12" t="str">
        <f t="shared" si="32"/>
        <v/>
      </c>
      <c r="AO186" s="12" t="str">
        <f t="shared" si="33"/>
        <v/>
      </c>
      <c r="AP186" s="12" t="str">
        <f t="shared" si="34"/>
        <v/>
      </c>
      <c r="AQ186" s="12"/>
      <c r="AS186" s="12">
        <f t="shared" si="35"/>
        <v>31.6753807900682</v>
      </c>
      <c r="AT186" s="16" t="str">
        <f t="shared" si="36"/>
        <v>Yes</v>
      </c>
    </row>
    <row r="187" spans="1:46" hidden="1" x14ac:dyDescent="0.25">
      <c r="A187" s="41">
        <f>CASOPOInvCL!T187</f>
        <v>1</v>
      </c>
      <c r="B187" t="str">
        <f>CASOPOInvCL!Z187</f>
        <v>SO16597</v>
      </c>
      <c r="G187" s="5" t="str">
        <f>CASOPOInvCL!I187</f>
        <v>Taylor Cook</v>
      </c>
      <c r="H187" s="31">
        <f>CASOPOInvCL!U187</f>
        <v>2</v>
      </c>
      <c r="I187" s="31">
        <f>CASOPOInvCL!V187</f>
        <v>2025</v>
      </c>
      <c r="J187" s="5" t="str">
        <f>CASOPOInvCL!AB187</f>
        <v>INV12655</v>
      </c>
      <c r="K187" s="31">
        <f>CASOPOInvCL!W187</f>
        <v>4</v>
      </c>
      <c r="L187" s="31">
        <f>CASOPOInvCL!X187</f>
        <v>2025</v>
      </c>
      <c r="M187" s="31"/>
      <c r="N187" s="5" t="str">
        <f>CASOPOInvCL!AF187</f>
        <v>Manufacture Sling-Choker (Val-d’Or) Ltée</v>
      </c>
      <c r="O187" s="16" t="str">
        <f>CASOPOInvCL!AG187</f>
        <v>CAD</v>
      </c>
      <c r="P187" s="16">
        <f>CASOPOInvCL!AH187</f>
        <v>2740.17</v>
      </c>
      <c r="Q187" s="16">
        <f>CASOPOInvCL!AI187</f>
        <v>1931.6101478025862</v>
      </c>
      <c r="R187" s="32" t="str">
        <f>CASOPOInvCL!AU187</f>
        <v>Yes</v>
      </c>
      <c r="S187" s="16">
        <f>CASOPOInvCL!AV187</f>
        <v>0</v>
      </c>
      <c r="T187" s="16">
        <f>CASOPOInvCL!AW187</f>
        <v>1931.6101478025862</v>
      </c>
      <c r="Y187" s="29" t="str">
        <f>IFERROR(HLOOKUP(U187,List!$D$2:$H$6,2,FALSE),"")</f>
        <v/>
      </c>
      <c r="Z187" s="29" t="str">
        <f>IFERROR(HLOOKUP(V187,List!$D$2:$H$6,3,FALSE),"")</f>
        <v/>
      </c>
      <c r="AA187" s="29" t="str">
        <f>IFERROR(HLOOKUP(W187,List!$D$2:$H$6,4,FALSE),"")</f>
        <v/>
      </c>
      <c r="AB187" s="29" t="str">
        <f>IFERROR(HLOOKUP(X187,List!$D$2:$H$6,5,FALSE),"")</f>
        <v/>
      </c>
      <c r="AC187" s="12" t="str">
        <f t="shared" si="27"/>
        <v/>
      </c>
      <c r="AD187" s="12" t="str">
        <f t="shared" si="28"/>
        <v/>
      </c>
      <c r="AE187" s="12" t="str">
        <f t="shared" si="29"/>
        <v/>
      </c>
      <c r="AF187" s="12" t="str">
        <f t="shared" si="30"/>
        <v/>
      </c>
      <c r="AG187" t="str">
        <f>VLOOKUP(J187,'Receivable Invoice Detail'!$A$1:F3199,6,FALSE)</f>
        <v>[AC-98-231-081-501] Suction Side Liner, 5x5-14 SRL, Natural Rubber</v>
      </c>
      <c r="AH187" s="12">
        <f t="shared" si="26"/>
        <v>0</v>
      </c>
      <c r="AM187" s="12" t="str">
        <f t="shared" si="31"/>
        <v/>
      </c>
      <c r="AN187" s="12" t="str">
        <f t="shared" si="32"/>
        <v/>
      </c>
      <c r="AO187" s="12" t="str">
        <f t="shared" si="33"/>
        <v/>
      </c>
      <c r="AP187" s="12" t="str">
        <f t="shared" si="34"/>
        <v/>
      </c>
      <c r="AQ187" s="12"/>
      <c r="AS187" s="12">
        <f t="shared" si="35"/>
        <v>28.974152217038792</v>
      </c>
      <c r="AT187" s="16" t="str">
        <f t="shared" si="36"/>
        <v>Yes</v>
      </c>
    </row>
    <row r="188" spans="1:46" hidden="1" x14ac:dyDescent="0.25">
      <c r="A188" s="41">
        <f>CASOPOInvCL!T188</f>
        <v>1</v>
      </c>
      <c r="B188" t="str">
        <f>CASOPOInvCL!Z188</f>
        <v>SO16598</v>
      </c>
      <c r="G188" s="5" t="str">
        <f>CASOPOInvCL!I188</f>
        <v>Taylor Cook</v>
      </c>
      <c r="H188" s="31">
        <f>CASOPOInvCL!U188</f>
        <v>2</v>
      </c>
      <c r="I188" s="31">
        <f>CASOPOInvCL!V188</f>
        <v>2025</v>
      </c>
      <c r="J188" s="5" t="str">
        <f>CASOPOInvCL!AB188</f>
        <v>INV12648</v>
      </c>
      <c r="K188" s="31">
        <f>CASOPOInvCL!W188</f>
        <v>3</v>
      </c>
      <c r="L188" s="31">
        <f>CASOPOInvCL!X188</f>
        <v>2025</v>
      </c>
      <c r="M188" s="31"/>
      <c r="N188" s="5" t="str">
        <f>CASOPOInvCL!AF188</f>
        <v>Advanced Engineered Pump Inc.</v>
      </c>
      <c r="O188" s="16" t="str">
        <f>CASOPOInvCL!AG188</f>
        <v>USD</v>
      </c>
      <c r="P188" s="16">
        <f>CASOPOInvCL!AH188</f>
        <v>368.12506695977095</v>
      </c>
      <c r="Q188" s="16">
        <f>CASOPOInvCL!AI188</f>
        <v>259.5</v>
      </c>
      <c r="R188" s="32" t="str">
        <f>CASOPOInvCL!AU188</f>
        <v>Yes</v>
      </c>
      <c r="S188" s="16">
        <f>CASOPOInvCL!AV188</f>
        <v>0</v>
      </c>
      <c r="T188" s="16">
        <f>CASOPOInvCL!AW188</f>
        <v>259.5</v>
      </c>
      <c r="Y188" s="29" t="str">
        <f>IFERROR(HLOOKUP(U188,List!$D$2:$H$6,2,FALSE),"")</f>
        <v/>
      </c>
      <c r="Z188" s="29" t="str">
        <f>IFERROR(HLOOKUP(V188,List!$D$2:$H$6,3,FALSE),"")</f>
        <v/>
      </c>
      <c r="AA188" s="29" t="str">
        <f>IFERROR(HLOOKUP(W188,List!$D$2:$H$6,4,FALSE),"")</f>
        <v/>
      </c>
      <c r="AB188" s="29" t="str">
        <f>IFERROR(HLOOKUP(X188,List!$D$2:$H$6,5,FALSE),"")</f>
        <v/>
      </c>
      <c r="AC188" s="12" t="str">
        <f t="shared" si="27"/>
        <v/>
      </c>
      <c r="AD188" s="12" t="str">
        <f t="shared" si="28"/>
        <v/>
      </c>
      <c r="AE188" s="12" t="str">
        <f t="shared" si="29"/>
        <v/>
      </c>
      <c r="AF188" s="12" t="str">
        <f t="shared" si="30"/>
        <v/>
      </c>
      <c r="AG188" t="str">
        <f>VLOOKUP(J188,'Receivable Invoice Detail'!$A$1:F3200,6,FALSE)</f>
        <v>[AC-52-118-634-007] Deflector (Water Slinger), 12x10-25 SRL-C, Neoprene/Steel</v>
      </c>
      <c r="AH188" s="12">
        <f t="shared" si="26"/>
        <v>0</v>
      </c>
      <c r="AM188" s="12" t="str">
        <f t="shared" si="31"/>
        <v/>
      </c>
      <c r="AN188" s="12" t="str">
        <f t="shared" si="32"/>
        <v/>
      </c>
      <c r="AO188" s="12" t="str">
        <f t="shared" si="33"/>
        <v/>
      </c>
      <c r="AP188" s="12" t="str">
        <f t="shared" si="34"/>
        <v/>
      </c>
      <c r="AQ188" s="12"/>
      <c r="AS188" s="12">
        <f t="shared" si="35"/>
        <v>3.8925000000000001</v>
      </c>
      <c r="AT188" s="16" t="str">
        <f t="shared" si="36"/>
        <v>Yes</v>
      </c>
    </row>
    <row r="189" spans="1:46" hidden="1" x14ac:dyDescent="0.25">
      <c r="A189" s="41">
        <f>CASOPOInvCL!T189</f>
        <v>1</v>
      </c>
      <c r="B189" t="str">
        <f>CASOPOInvCL!Z189</f>
        <v>SO16599</v>
      </c>
      <c r="G189" s="5" t="str">
        <f>CASOPOInvCL!I189</f>
        <v>Amanda Qiao</v>
      </c>
      <c r="H189" s="31">
        <f>CASOPOInvCL!U189</f>
        <v>2</v>
      </c>
      <c r="I189" s="31">
        <f>CASOPOInvCL!V189</f>
        <v>2025</v>
      </c>
      <c r="J189" s="5" t="str">
        <f>CASOPOInvCL!AB189</f>
        <v>INV12639</v>
      </c>
      <c r="K189" s="31">
        <f>CASOPOInvCL!W189</f>
        <v>4</v>
      </c>
      <c r="L189" s="31">
        <f>CASOPOInvCL!X189</f>
        <v>2025</v>
      </c>
      <c r="M189" s="31"/>
      <c r="N189" s="5" t="str">
        <f>CASOPOInvCL!AF189</f>
        <v>Resolute Forest Products - Clermont, Resolute Forest Products - Clermont</v>
      </c>
      <c r="O189" s="16" t="str">
        <f>CASOPOInvCL!AG189</f>
        <v>CAD</v>
      </c>
      <c r="P189" s="16">
        <f>CASOPOInvCL!AH189</f>
        <v>765.02</v>
      </c>
      <c r="Q189" s="16">
        <f>CASOPOInvCL!AI189</f>
        <v>537.26169117668974</v>
      </c>
      <c r="R189" s="32" t="str">
        <f>CASOPOInvCL!AU189</f>
        <v>Yes</v>
      </c>
      <c r="S189" s="16">
        <f>CASOPOInvCL!AV189</f>
        <v>0</v>
      </c>
      <c r="T189" s="16">
        <f>CASOPOInvCL!AW189</f>
        <v>537.26169117668974</v>
      </c>
      <c r="Y189" s="29" t="str">
        <f>IFERROR(HLOOKUP(U189,List!$D$2:$H$6,2,FALSE),"")</f>
        <v/>
      </c>
      <c r="Z189" s="29" t="str">
        <f>IFERROR(HLOOKUP(V189,List!$D$2:$H$6,3,FALSE),"")</f>
        <v/>
      </c>
      <c r="AA189" s="29" t="str">
        <f>IFERROR(HLOOKUP(W189,List!$D$2:$H$6,4,FALSE),"")</f>
        <v/>
      </c>
      <c r="AB189" s="29" t="str">
        <f>IFERROR(HLOOKUP(X189,List!$D$2:$H$6,5,FALSE),"")</f>
        <v/>
      </c>
      <c r="AC189" s="12" t="str">
        <f t="shared" si="27"/>
        <v/>
      </c>
      <c r="AD189" s="12" t="str">
        <f t="shared" si="28"/>
        <v/>
      </c>
      <c r="AE189" s="12" t="str">
        <f t="shared" si="29"/>
        <v/>
      </c>
      <c r="AF189" s="12" t="str">
        <f t="shared" si="30"/>
        <v/>
      </c>
      <c r="AG189" t="str">
        <f>VLOOKUP(J189,'Receivable Invoice Detail'!$A$1:F3201,6,FALSE)</f>
        <v>[G-B00294A 6956] Shaft Sleeve, 3175-S, 316SS, Ni-Chrome Boron</v>
      </c>
      <c r="AH189" s="12">
        <f t="shared" si="26"/>
        <v>0</v>
      </c>
      <c r="AM189" s="12" t="str">
        <f t="shared" si="31"/>
        <v/>
      </c>
      <c r="AN189" s="12" t="str">
        <f t="shared" si="32"/>
        <v/>
      </c>
      <c r="AO189" s="12" t="str">
        <f t="shared" si="33"/>
        <v/>
      </c>
      <c r="AP189" s="12" t="str">
        <f t="shared" si="34"/>
        <v/>
      </c>
      <c r="AQ189" s="12"/>
      <c r="AS189" s="12">
        <f t="shared" si="35"/>
        <v>8.0589253676503461</v>
      </c>
      <c r="AT189" s="16" t="str">
        <f t="shared" si="36"/>
        <v>Yes</v>
      </c>
    </row>
    <row r="190" spans="1:46" hidden="1" x14ac:dyDescent="0.25">
      <c r="A190" s="41">
        <f>CASOPOInvCL!T190</f>
        <v>1</v>
      </c>
      <c r="B190" t="str">
        <f>CASOPOInvCL!Z190</f>
        <v>SO16601</v>
      </c>
      <c r="G190" s="5" t="str">
        <f>CASOPOInvCL!I190</f>
        <v>Taylor Cook</v>
      </c>
      <c r="H190" s="31">
        <f>CASOPOInvCL!U190</f>
        <v>2</v>
      </c>
      <c r="I190" s="31">
        <f>CASOPOInvCL!V190</f>
        <v>2025</v>
      </c>
      <c r="J190" s="5" t="str">
        <f>CASOPOInvCL!AB190</f>
        <v>INV13505</v>
      </c>
      <c r="K190" s="31">
        <f>CASOPOInvCL!W190</f>
        <v>11</v>
      </c>
      <c r="L190" s="31">
        <f>CASOPOInvCL!X190</f>
        <v>2025</v>
      </c>
      <c r="M190" s="31"/>
      <c r="N190" s="5" t="str">
        <f>CASOPOInvCL!AF190</f>
        <v>Wajax Limited - Noranda</v>
      </c>
      <c r="O190" s="16" t="str">
        <f>CASOPOInvCL!AG190</f>
        <v>CAD</v>
      </c>
      <c r="P190" s="16">
        <f>CASOPOInvCL!AH190</f>
        <v>9717.36</v>
      </c>
      <c r="Q190" s="16">
        <f>CASOPOInvCL!AI190</f>
        <v>6855.8631145047157</v>
      </c>
      <c r="R190" s="32" t="str">
        <f>CASOPOInvCL!AU190</f>
        <v>Yes</v>
      </c>
      <c r="S190" s="16">
        <f>CASOPOInvCL!AV190</f>
        <v>0</v>
      </c>
      <c r="T190" s="16">
        <f>CASOPOInvCL!AW190</f>
        <v>6855.8631145047157</v>
      </c>
      <c r="Y190" s="29" t="str">
        <f>IFERROR(HLOOKUP(U190,List!$D$2:$H$6,2,FALSE),"")</f>
        <v/>
      </c>
      <c r="Z190" s="29" t="str">
        <f>IFERROR(HLOOKUP(V190,List!$D$2:$H$6,3,FALSE),"")</f>
        <v/>
      </c>
      <c r="AA190" s="29" t="str">
        <f>IFERROR(HLOOKUP(W190,List!$D$2:$H$6,4,FALSE),"")</f>
        <v/>
      </c>
      <c r="AB190" s="29" t="str">
        <f>IFERROR(HLOOKUP(X190,List!$D$2:$H$6,5,FALSE),"")</f>
        <v/>
      </c>
      <c r="AC190" s="12" t="str">
        <f t="shared" si="27"/>
        <v/>
      </c>
      <c r="AD190" s="12" t="str">
        <f t="shared" si="28"/>
        <v/>
      </c>
      <c r="AE190" s="12" t="str">
        <f t="shared" si="29"/>
        <v/>
      </c>
      <c r="AF190" s="12" t="str">
        <f t="shared" si="30"/>
        <v/>
      </c>
      <c r="AG190" t="str">
        <f>VLOOKUP(J190,'Receivable Invoice Detail'!$A$1:F3202,6,FALSE)</f>
        <v>[AC-SRL 2x2-10] Pump, AC-SRL 2x2-10, Natural Rubber Lined, Motor Mounting Plate, Belt Guard</v>
      </c>
      <c r="AH190" s="12">
        <f t="shared" si="26"/>
        <v>0</v>
      </c>
      <c r="AM190" s="12" t="str">
        <f t="shared" si="31"/>
        <v/>
      </c>
      <c r="AN190" s="12" t="str">
        <f t="shared" si="32"/>
        <v/>
      </c>
      <c r="AO190" s="12" t="str">
        <f t="shared" si="33"/>
        <v/>
      </c>
      <c r="AP190" s="12" t="str">
        <f t="shared" si="34"/>
        <v/>
      </c>
      <c r="AQ190" s="12"/>
      <c r="AS190" s="12">
        <f t="shared" si="35"/>
        <v>102.83794671757073</v>
      </c>
      <c r="AT190" s="16" t="str">
        <f t="shared" si="36"/>
        <v>Yes</v>
      </c>
    </row>
    <row r="191" spans="1:46" hidden="1" x14ac:dyDescent="0.25">
      <c r="A191" s="41">
        <f>CASOPOInvCL!T191</f>
        <v>1</v>
      </c>
      <c r="B191" t="str">
        <f>CASOPOInvCL!Z191</f>
        <v>SO16603</v>
      </c>
      <c r="G191" s="5" t="str">
        <f>CASOPOInvCL!I191</f>
        <v>Taylor Cook</v>
      </c>
      <c r="H191" s="31">
        <f>CASOPOInvCL!U191</f>
        <v>2</v>
      </c>
      <c r="I191" s="31">
        <f>CASOPOInvCL!V191</f>
        <v>2025</v>
      </c>
      <c r="J191" s="5" t="str">
        <f>CASOPOInvCL!AB191</f>
        <v>INV12629</v>
      </c>
      <c r="K191" s="31">
        <f>CASOPOInvCL!W191</f>
        <v>3</v>
      </c>
      <c r="L191" s="31">
        <f>CASOPOInvCL!X191</f>
        <v>2025</v>
      </c>
      <c r="M191" s="31"/>
      <c r="N191" s="5" t="str">
        <f>CASOPOInvCL!AF191</f>
        <v>Motion Industries Inc. (Canada) - Prince George</v>
      </c>
      <c r="O191" s="16" t="str">
        <f>CASOPOInvCL!AG191</f>
        <v>CAD</v>
      </c>
      <c r="P191" s="16">
        <f>CASOPOInvCL!AH191</f>
        <v>3384.38</v>
      </c>
      <c r="Q191" s="16">
        <f>CASOPOInvCL!AI191</f>
        <v>2387.7726056735032</v>
      </c>
      <c r="R191" s="32" t="str">
        <f>CASOPOInvCL!AU191</f>
        <v>Yes</v>
      </c>
      <c r="S191" s="16">
        <f>CASOPOInvCL!AV191</f>
        <v>0</v>
      </c>
      <c r="T191" s="16">
        <f>CASOPOInvCL!AW191</f>
        <v>2387.7726056735032</v>
      </c>
      <c r="Y191" s="29" t="str">
        <f>IFERROR(HLOOKUP(U191,List!$D$2:$H$6,2,FALSE),"")</f>
        <v/>
      </c>
      <c r="Z191" s="29" t="str">
        <f>IFERROR(HLOOKUP(V191,List!$D$2:$H$6,3,FALSE),"")</f>
        <v/>
      </c>
      <c r="AA191" s="29" t="str">
        <f>IFERROR(HLOOKUP(W191,List!$D$2:$H$6,4,FALSE),"")</f>
        <v/>
      </c>
      <c r="AB191" s="29" t="str">
        <f>IFERROR(HLOOKUP(X191,List!$D$2:$H$6,5,FALSE),"")</f>
        <v/>
      </c>
      <c r="AC191" s="12" t="str">
        <f t="shared" si="27"/>
        <v/>
      </c>
      <c r="AD191" s="12" t="str">
        <f t="shared" si="28"/>
        <v/>
      </c>
      <c r="AE191" s="12" t="str">
        <f t="shared" si="29"/>
        <v/>
      </c>
      <c r="AF191" s="12" t="str">
        <f t="shared" si="30"/>
        <v/>
      </c>
      <c r="AG191" t="str">
        <f>VLOOKUP(J191,'Receivable Invoice Detail'!$A$1:F3203,6,FALSE)</f>
        <v>[SA-138413-M1] Casing, Sala 2", SPV, VT50, Rubber Lined</v>
      </c>
      <c r="AH191" s="12">
        <f t="shared" si="26"/>
        <v>0</v>
      </c>
      <c r="AM191" s="12" t="str">
        <f t="shared" si="31"/>
        <v/>
      </c>
      <c r="AN191" s="12" t="str">
        <f t="shared" si="32"/>
        <v/>
      </c>
      <c r="AO191" s="12" t="str">
        <f t="shared" si="33"/>
        <v/>
      </c>
      <c r="AP191" s="12" t="str">
        <f t="shared" si="34"/>
        <v/>
      </c>
      <c r="AQ191" s="12"/>
      <c r="AS191" s="12">
        <f t="shared" si="35"/>
        <v>35.816589085102549</v>
      </c>
      <c r="AT191" s="16" t="str">
        <f t="shared" si="36"/>
        <v>Yes</v>
      </c>
    </row>
    <row r="192" spans="1:46" hidden="1" x14ac:dyDescent="0.25">
      <c r="A192" s="41">
        <f>CASOPOInvCL!T192</f>
        <v>1</v>
      </c>
      <c r="B192" t="str">
        <f>CASOPOInvCL!Z192</f>
        <v>SO16604</v>
      </c>
      <c r="D192" t="s">
        <v>5925</v>
      </c>
      <c r="G192" s="5" t="str">
        <f>CASOPOInvCL!I192</f>
        <v>Ian Trottier</v>
      </c>
      <c r="H192" s="31">
        <f>CASOPOInvCL!U192</f>
        <v>2</v>
      </c>
      <c r="I192" s="31">
        <f>CASOPOInvCL!V192</f>
        <v>2025</v>
      </c>
      <c r="J192" s="5" t="str">
        <f>CASOPOInvCL!AB192</f>
        <v>INV13207</v>
      </c>
      <c r="K192" s="31">
        <f>CASOPOInvCL!W192</f>
        <v>8</v>
      </c>
      <c r="L192" s="31">
        <f>CASOPOInvCL!X192</f>
        <v>2025</v>
      </c>
      <c r="M192">
        <v>2503</v>
      </c>
      <c r="N192" s="5" t="str">
        <f>CASOPOInvCL!AF192</f>
        <v>Corrosion Fluid Products Corp.</v>
      </c>
      <c r="O192" s="16" t="str">
        <f>CASOPOInvCL!AG192</f>
        <v>USD</v>
      </c>
      <c r="P192" s="16">
        <f>CASOPOInvCL!AH192</f>
        <v>16094.792469283144</v>
      </c>
      <c r="Q192" s="16">
        <f>CASOPOInvCL!AI192</f>
        <v>11200.18</v>
      </c>
      <c r="R192" s="32" t="str">
        <f>CASOPOInvCL!AU192</f>
        <v>Yes</v>
      </c>
      <c r="S192" s="16">
        <f>CASOPOInvCL!AV192</f>
        <v>0</v>
      </c>
      <c r="T192" s="16">
        <f>CASOPOInvCL!AW192</f>
        <v>11200.18</v>
      </c>
      <c r="V192" t="s">
        <v>5800</v>
      </c>
      <c r="Y192" s="29" t="str">
        <f>IFERROR(HLOOKUP(U192,List!$D$2:$H$6,2,FALSE),"")</f>
        <v/>
      </c>
      <c r="Z192" s="29">
        <f>IFERROR(HLOOKUP(V192,List!$D$2:$H$6,3,FALSE),"")</f>
        <v>5.0000000000000001E-3</v>
      </c>
      <c r="AA192" s="29" t="str">
        <f>IFERROR(HLOOKUP(W192,List!$D$2:$H$6,4,FALSE),"")</f>
        <v/>
      </c>
      <c r="AB192" s="29" t="str">
        <f>IFERROR(HLOOKUP(X192,List!$D$2:$H$6,5,FALSE),"")</f>
        <v/>
      </c>
      <c r="AC192" s="12" t="str">
        <f t="shared" si="27"/>
        <v/>
      </c>
      <c r="AD192" s="12">
        <f t="shared" si="28"/>
        <v>56.000900000000001</v>
      </c>
      <c r="AE192" s="12" t="str">
        <f t="shared" si="29"/>
        <v/>
      </c>
      <c r="AF192" s="12" t="str">
        <f t="shared" si="30"/>
        <v/>
      </c>
      <c r="AG192" t="str">
        <f>VLOOKUP(J192,'Receivable Invoice Detail'!$A$1:F3204,6,FALSE)</f>
        <v>[GA-21910] Shaft, 72", G-Series 4" VSP, 5000 Series, #4 Drive, Neoprene Covered</v>
      </c>
      <c r="AH192" s="12">
        <f t="shared" si="26"/>
        <v>56.000900000000001</v>
      </c>
      <c r="AM192" s="12" t="str">
        <f t="shared" si="31"/>
        <v/>
      </c>
      <c r="AN192" s="12">
        <f t="shared" si="32"/>
        <v>56.000900000000001</v>
      </c>
      <c r="AO192" s="12" t="str">
        <f t="shared" si="33"/>
        <v/>
      </c>
      <c r="AP192" s="12" t="str">
        <f t="shared" si="34"/>
        <v/>
      </c>
      <c r="AQ192" s="64">
        <v>2503</v>
      </c>
      <c r="AR192" t="s">
        <v>5932</v>
      </c>
      <c r="AS192" s="12">
        <f t="shared" si="35"/>
        <v>168.0027</v>
      </c>
      <c r="AT192" s="16" t="str">
        <f t="shared" si="36"/>
        <v>Yes</v>
      </c>
    </row>
    <row r="193" spans="1:46" hidden="1" x14ac:dyDescent="0.25">
      <c r="A193" s="41">
        <f>CASOPOInvCL!T193</f>
        <v>1</v>
      </c>
      <c r="B193" t="str">
        <f>CASOPOInvCL!Z193</f>
        <v>SO16605</v>
      </c>
      <c r="G193" s="5" t="str">
        <f>CASOPOInvCL!I193</f>
        <v>Taylor Cook</v>
      </c>
      <c r="H193" s="31">
        <f>CASOPOInvCL!U193</f>
        <v>2</v>
      </c>
      <c r="I193" s="31">
        <f>CASOPOInvCL!V193</f>
        <v>2025</v>
      </c>
      <c r="J193" s="5" t="str">
        <f>CASOPOInvCL!AB193</f>
        <v>INV12641</v>
      </c>
      <c r="K193" s="31">
        <f>CASOPOInvCL!W193</f>
        <v>3</v>
      </c>
      <c r="L193" s="31">
        <f>CASOPOInvCL!X193</f>
        <v>2025</v>
      </c>
      <c r="M193" s="31"/>
      <c r="N193" s="5" t="str">
        <f>CASOPOInvCL!AF193</f>
        <v>Grant Aggregate</v>
      </c>
      <c r="O193" s="16" t="str">
        <f>CASOPOInvCL!AG193</f>
        <v>CAD</v>
      </c>
      <c r="P193" s="16">
        <f>CASOPOInvCL!AH193</f>
        <v>171.56</v>
      </c>
      <c r="Q193" s="16">
        <f>CASOPOInvCL!AI193</f>
        <v>120.48392948978181</v>
      </c>
      <c r="R193" s="32" t="str">
        <f>CASOPOInvCL!AU193</f>
        <v>Yes</v>
      </c>
      <c r="S193" s="16">
        <f>CASOPOInvCL!AV193</f>
        <v>0</v>
      </c>
      <c r="T193" s="16">
        <f>CASOPOInvCL!AW193</f>
        <v>120.48392948978181</v>
      </c>
      <c r="Y193" s="29" t="str">
        <f>IFERROR(HLOOKUP(U193,List!$D$2:$H$6,2,FALSE),"")</f>
        <v/>
      </c>
      <c r="Z193" s="29" t="str">
        <f>IFERROR(HLOOKUP(V193,List!$D$2:$H$6,3,FALSE),"")</f>
        <v/>
      </c>
      <c r="AA193" s="29" t="str">
        <f>IFERROR(HLOOKUP(W193,List!$D$2:$H$6,4,FALSE),"")</f>
        <v/>
      </c>
      <c r="AB193" s="29" t="str">
        <f>IFERROR(HLOOKUP(X193,List!$D$2:$H$6,5,FALSE),"")</f>
        <v/>
      </c>
      <c r="AC193" s="12" t="str">
        <f t="shared" si="27"/>
        <v/>
      </c>
      <c r="AD193" s="12" t="str">
        <f t="shared" si="28"/>
        <v/>
      </c>
      <c r="AE193" s="12" t="str">
        <f t="shared" si="29"/>
        <v/>
      </c>
      <c r="AF193" s="12" t="str">
        <f t="shared" si="30"/>
        <v/>
      </c>
      <c r="AG193" t="str">
        <f>VLOOKUP(J193,'Receivable Invoice Detail'!$A$1:F3205,6,FALSE)</f>
        <v>[AC-98-233-700-001] Bearing Cover Gasket (Inboard &amp; Outboard), 8x6-18 &amp; 10x8-21 SRL-C</v>
      </c>
      <c r="AH193" s="12">
        <f t="shared" si="26"/>
        <v>0</v>
      </c>
      <c r="AM193" s="12" t="str">
        <f t="shared" si="31"/>
        <v/>
      </c>
      <c r="AN193" s="12" t="str">
        <f t="shared" si="32"/>
        <v/>
      </c>
      <c r="AO193" s="12" t="str">
        <f t="shared" si="33"/>
        <v/>
      </c>
      <c r="AP193" s="12" t="str">
        <f t="shared" si="34"/>
        <v/>
      </c>
      <c r="AQ193" s="12"/>
      <c r="AS193" s="12">
        <f t="shared" si="35"/>
        <v>1.8072589423467271</v>
      </c>
      <c r="AT193" s="16" t="str">
        <f t="shared" si="36"/>
        <v>Yes</v>
      </c>
    </row>
    <row r="194" spans="1:46" hidden="1" x14ac:dyDescent="0.25">
      <c r="A194" s="41">
        <f>CASOPOInvCL!T194</f>
        <v>1</v>
      </c>
      <c r="B194" t="str">
        <f>CASOPOInvCL!Z194</f>
        <v>SO16607</v>
      </c>
      <c r="G194" s="5" t="str">
        <f>CASOPOInvCL!I194</f>
        <v>Taylor Cook</v>
      </c>
      <c r="H194" s="31">
        <f>CASOPOInvCL!U194</f>
        <v>2</v>
      </c>
      <c r="I194" s="31">
        <f>CASOPOInvCL!V194</f>
        <v>2025</v>
      </c>
      <c r="J194" s="5" t="str">
        <f>CASOPOInvCL!AB194</f>
        <v>INV12657</v>
      </c>
      <c r="K194" s="31">
        <f>CASOPOInvCL!W194</f>
        <v>2</v>
      </c>
      <c r="L194" s="31">
        <f>CASOPOInvCL!X194</f>
        <v>2025</v>
      </c>
      <c r="M194" s="31"/>
      <c r="N194" s="5" t="str">
        <f>CASOPOInvCL!AF194</f>
        <v>Progressive Sealing Inc.</v>
      </c>
      <c r="O194" s="16" t="str">
        <f>CASOPOInvCL!AG194</f>
        <v>CAD</v>
      </c>
      <c r="P194" s="16">
        <f>CASOPOInvCL!AH194</f>
        <v>5347.22</v>
      </c>
      <c r="Q194" s="16">
        <f>CASOPOInvCL!AI194</f>
        <v>3755.7628861307608</v>
      </c>
      <c r="R194" s="32" t="str">
        <f>CASOPOInvCL!AU194</f>
        <v>Yes</v>
      </c>
      <c r="S194" s="16">
        <f>CASOPOInvCL!AV194</f>
        <v>0</v>
      </c>
      <c r="T194" s="16">
        <f>CASOPOInvCL!AW194</f>
        <v>3755.7628861307608</v>
      </c>
      <c r="Y194" s="29" t="str">
        <f>IFERROR(HLOOKUP(U194,List!$D$2:$H$6,2,FALSE),"")</f>
        <v/>
      </c>
      <c r="Z194" s="29" t="str">
        <f>IFERROR(HLOOKUP(V194,List!$D$2:$H$6,3,FALSE),"")</f>
        <v/>
      </c>
      <c r="AA194" s="29" t="str">
        <f>IFERROR(HLOOKUP(W194,List!$D$2:$H$6,4,FALSE),"")</f>
        <v/>
      </c>
      <c r="AB194" s="29" t="str">
        <f>IFERROR(HLOOKUP(X194,List!$D$2:$H$6,5,FALSE),"")</f>
        <v/>
      </c>
      <c r="AC194" s="12" t="str">
        <f t="shared" si="27"/>
        <v/>
      </c>
      <c r="AD194" s="12" t="str">
        <f t="shared" si="28"/>
        <v/>
      </c>
      <c r="AE194" s="12" t="str">
        <f t="shared" si="29"/>
        <v/>
      </c>
      <c r="AF194" s="12" t="str">
        <f t="shared" si="30"/>
        <v/>
      </c>
      <c r="AG194" t="str">
        <f>VLOOKUP(J194,'Receivable Invoice Detail'!$A$1:F3206,6,FALSE)</f>
        <v>[AC-98-431-799-001] Suction Side Casing, 5x4-14 SRL-C, Cast Iron</v>
      </c>
      <c r="AH194" s="12">
        <f t="shared" ref="AH194:AH227" si="37">SUM(AC194:AF194)</f>
        <v>0</v>
      </c>
      <c r="AM194" s="12" t="str">
        <f t="shared" si="31"/>
        <v/>
      </c>
      <c r="AN194" s="12" t="str">
        <f t="shared" si="32"/>
        <v/>
      </c>
      <c r="AO194" s="12" t="str">
        <f t="shared" si="33"/>
        <v/>
      </c>
      <c r="AP194" s="12" t="str">
        <f t="shared" si="34"/>
        <v/>
      </c>
      <c r="AQ194" s="12"/>
      <c r="AS194" s="12">
        <f t="shared" si="35"/>
        <v>56.336443291961409</v>
      </c>
      <c r="AT194" s="16" t="str">
        <f t="shared" si="36"/>
        <v>Yes</v>
      </c>
    </row>
    <row r="195" spans="1:46" hidden="1" x14ac:dyDescent="0.25">
      <c r="A195" s="41">
        <f>CASOPOInvCL!T195</f>
        <v>1</v>
      </c>
      <c r="B195" t="str">
        <f>CASOPOInvCL!Z195</f>
        <v>SO16609</v>
      </c>
      <c r="G195" s="5" t="str">
        <f>CASOPOInvCL!I195</f>
        <v>Yannett Yeomans</v>
      </c>
      <c r="H195" s="31">
        <f>CASOPOInvCL!U195</f>
        <v>2</v>
      </c>
      <c r="I195" s="31">
        <f>CASOPOInvCL!V195</f>
        <v>2025</v>
      </c>
      <c r="J195" s="5" t="str">
        <f>CASOPOInvCL!AB195</f>
        <v>INV13017</v>
      </c>
      <c r="K195" s="31" t="str">
        <f>CASOPOInvCL!W195</f>
        <v/>
      </c>
      <c r="L195" s="31" t="str">
        <f>CASOPOInvCL!X195</f>
        <v/>
      </c>
      <c r="M195" s="31"/>
      <c r="N195" s="5" t="str">
        <f>CASOPOInvCL!AF195</f>
        <v>Dynapro Pumps México S de RL de CV</v>
      </c>
      <c r="O195" s="16" t="str">
        <f>CASOPOInvCL!AG195</f>
        <v>USD</v>
      </c>
      <c r="P195" s="16">
        <f>CASOPOInvCL!AH195</f>
        <v>13095.845539576636</v>
      </c>
      <c r="Q195" s="16">
        <f>CASOPOInvCL!AI195</f>
        <v>9230</v>
      </c>
      <c r="R195" s="32" t="str">
        <f>CASOPOInvCL!AU195</f>
        <v/>
      </c>
      <c r="S195" s="16">
        <f>CASOPOInvCL!AV195</f>
        <v>0</v>
      </c>
      <c r="T195" s="16">
        <f>CASOPOInvCL!AW195</f>
        <v>0</v>
      </c>
      <c r="Y195" s="29" t="str">
        <f>IFERROR(HLOOKUP(U195,List!$D$2:$H$6,2,FALSE),"")</f>
        <v/>
      </c>
      <c r="Z195" s="29" t="str">
        <f>IFERROR(HLOOKUP(V195,List!$D$2:$H$6,3,FALSE),"")</f>
        <v/>
      </c>
      <c r="AA195" s="29" t="str">
        <f>IFERROR(HLOOKUP(W195,List!$D$2:$H$6,4,FALSE),"")</f>
        <v/>
      </c>
      <c r="AB195" s="29" t="str">
        <f>IFERROR(HLOOKUP(X195,List!$D$2:$H$6,5,FALSE),"")</f>
        <v/>
      </c>
      <c r="AC195" s="12" t="str">
        <f t="shared" ref="AC195:AC258" si="38">IFERROR(Y195*$T195,"")</f>
        <v/>
      </c>
      <c r="AD195" s="12" t="str">
        <f t="shared" ref="AD195:AD258" si="39">IFERROR(Z195*$T195,"")</f>
        <v/>
      </c>
      <c r="AE195" s="12" t="str">
        <f t="shared" ref="AE195:AE258" si="40">IFERROR(AA195*$T195,"")</f>
        <v/>
      </c>
      <c r="AF195" s="12" t="str">
        <f t="shared" ref="AF195:AF258" si="41">IFERROR(AB195*$T195,"")</f>
        <v/>
      </c>
      <c r="AG195" t="str">
        <f>VLOOKUP(J195,'Receivable Invoice Detail'!$A$1:F3207,6,FALSE)</f>
        <v>[10052/5001] Bowl Bearing, 12RJMC-2, Teflon</v>
      </c>
      <c r="AH195" s="12">
        <f t="shared" si="37"/>
        <v>0</v>
      </c>
      <c r="AM195" s="12" t="str">
        <f t="shared" ref="AM195:AM258" si="42">IF(AI195="",AC195,0)</f>
        <v/>
      </c>
      <c r="AN195" s="12" t="str">
        <f t="shared" ref="AN195:AN258" si="43">IF(AJ195="",AD195,0)</f>
        <v/>
      </c>
      <c r="AO195" s="12" t="str">
        <f t="shared" ref="AO195:AO258" si="44">IF(AK195="",AE195,0)</f>
        <v/>
      </c>
      <c r="AP195" s="12" t="str">
        <f t="shared" ref="AP195:AP258" si="45">IF(AL195="",AF195,0)</f>
        <v/>
      </c>
      <c r="AQ195" s="12"/>
      <c r="AR195" s="16" t="s">
        <v>5940</v>
      </c>
      <c r="AS195" s="12">
        <f t="shared" ref="AS195:AS258" si="46">T195*1.5%</f>
        <v>0</v>
      </c>
      <c r="AT195" s="16" t="s">
        <v>5940</v>
      </c>
    </row>
    <row r="196" spans="1:46" hidden="1" x14ac:dyDescent="0.25">
      <c r="A196" s="41">
        <f>CASOPOInvCL!T196</f>
        <v>1</v>
      </c>
      <c r="B196" t="str">
        <f>CASOPOInvCL!Z196</f>
        <v>SO16610</v>
      </c>
      <c r="G196" s="5" t="str">
        <f>CASOPOInvCL!I196</f>
        <v>Yannett Yeomans</v>
      </c>
      <c r="H196" s="31">
        <f>CASOPOInvCL!U196</f>
        <v>2</v>
      </c>
      <c r="I196" s="31">
        <f>CASOPOInvCL!V196</f>
        <v>2025</v>
      </c>
      <c r="J196" s="5" t="str">
        <f>CASOPOInvCL!AB196</f>
        <v>INV12863</v>
      </c>
      <c r="K196" s="31" t="str">
        <f>CASOPOInvCL!W196</f>
        <v/>
      </c>
      <c r="L196" s="31" t="str">
        <f>CASOPOInvCL!X196</f>
        <v/>
      </c>
      <c r="M196" s="31"/>
      <c r="N196" s="5" t="str">
        <f>CASOPOInvCL!AF196</f>
        <v>Dynapro Pumps México S de RL de CV</v>
      </c>
      <c r="O196" s="16" t="str">
        <f>CASOPOInvCL!AG196</f>
        <v>USD</v>
      </c>
      <c r="P196" s="16">
        <f>CASOPOInvCL!AH196</f>
        <v>8081.683227890413</v>
      </c>
      <c r="Q196" s="16">
        <f>CASOPOInvCL!AI196</f>
        <v>5696</v>
      </c>
      <c r="R196" s="32" t="str">
        <f>CASOPOInvCL!AU196</f>
        <v/>
      </c>
      <c r="S196" s="16">
        <f>CASOPOInvCL!AV196</f>
        <v>0</v>
      </c>
      <c r="T196" s="16">
        <f>CASOPOInvCL!AW196</f>
        <v>0</v>
      </c>
      <c r="Y196" s="29" t="str">
        <f>IFERROR(HLOOKUP(U196,List!$D$2:$H$6,2,FALSE),"")</f>
        <v/>
      </c>
      <c r="Z196" s="29" t="str">
        <f>IFERROR(HLOOKUP(V196,List!$D$2:$H$6,3,FALSE),"")</f>
        <v/>
      </c>
      <c r="AA196" s="29" t="str">
        <f>IFERROR(HLOOKUP(W196,List!$D$2:$H$6,4,FALSE),"")</f>
        <v/>
      </c>
      <c r="AB196" s="29" t="str">
        <f>IFERROR(HLOOKUP(X196,List!$D$2:$H$6,5,FALSE),"")</f>
        <v/>
      </c>
      <c r="AC196" s="12" t="str">
        <f t="shared" si="38"/>
        <v/>
      </c>
      <c r="AD196" s="12" t="str">
        <f t="shared" si="39"/>
        <v/>
      </c>
      <c r="AE196" s="12" t="str">
        <f t="shared" si="40"/>
        <v/>
      </c>
      <c r="AF196" s="12" t="str">
        <f t="shared" si="41"/>
        <v/>
      </c>
      <c r="AG196" t="str">
        <f>VLOOKUP(J196,'Receivable Invoice Detail'!$A$1:F3208,6,FALSE)</f>
        <v>[SZ-9321480153] Bearing Housing, Sulzer</v>
      </c>
      <c r="AH196" s="12">
        <f t="shared" si="37"/>
        <v>0</v>
      </c>
      <c r="AM196" s="12" t="str">
        <f t="shared" si="42"/>
        <v/>
      </c>
      <c r="AN196" s="12" t="str">
        <f t="shared" si="43"/>
        <v/>
      </c>
      <c r="AO196" s="12" t="str">
        <f t="shared" si="44"/>
        <v/>
      </c>
      <c r="AP196" s="12" t="str">
        <f t="shared" si="45"/>
        <v/>
      </c>
      <c r="AQ196" s="12"/>
      <c r="AR196" s="16" t="s">
        <v>5940</v>
      </c>
      <c r="AS196" s="12">
        <f t="shared" si="46"/>
        <v>0</v>
      </c>
      <c r="AT196" s="16" t="s">
        <v>5940</v>
      </c>
    </row>
    <row r="197" spans="1:46" hidden="1" x14ac:dyDescent="0.25">
      <c r="A197" s="41">
        <f>CASOPOInvCL!T197</f>
        <v>1</v>
      </c>
      <c r="B197" t="str">
        <f>CASOPOInvCL!Z197</f>
        <v>SO16611</v>
      </c>
      <c r="G197" s="5" t="str">
        <f>CASOPOInvCL!I197</f>
        <v>Yannett Yeomans</v>
      </c>
      <c r="H197" s="31">
        <f>CASOPOInvCL!U197</f>
        <v>2</v>
      </c>
      <c r="I197" s="31">
        <f>CASOPOInvCL!V197</f>
        <v>2025</v>
      </c>
      <c r="J197" s="5" t="str">
        <f>CASOPOInvCL!AB197</f>
        <v>INV12942</v>
      </c>
      <c r="K197" s="31" t="str">
        <f>CASOPOInvCL!W197</f>
        <v/>
      </c>
      <c r="L197" s="31" t="str">
        <f>CASOPOInvCL!X197</f>
        <v/>
      </c>
      <c r="M197" s="31"/>
      <c r="N197" s="5" t="str">
        <f>CASOPOInvCL!AF197</f>
        <v>Dynapro Pumps México S de RL de CV</v>
      </c>
      <c r="O197" s="16" t="str">
        <f>CASOPOInvCL!AG197</f>
        <v>USD</v>
      </c>
      <c r="P197" s="16">
        <f>CASOPOInvCL!AH197</f>
        <v>5587.7972360254244</v>
      </c>
      <c r="Q197" s="16">
        <f>CASOPOInvCL!AI197</f>
        <v>3938.3</v>
      </c>
      <c r="R197" s="32" t="str">
        <f>CASOPOInvCL!AU197</f>
        <v/>
      </c>
      <c r="S197" s="16">
        <f>CASOPOInvCL!AV197</f>
        <v>0</v>
      </c>
      <c r="T197" s="16">
        <f>CASOPOInvCL!AW197</f>
        <v>0</v>
      </c>
      <c r="Y197" s="29" t="str">
        <f>IFERROR(HLOOKUP(U197,List!$D$2:$H$6,2,FALSE),"")</f>
        <v/>
      </c>
      <c r="Z197" s="29" t="str">
        <f>IFERROR(HLOOKUP(V197,List!$D$2:$H$6,3,FALSE),"")</f>
        <v/>
      </c>
      <c r="AA197" s="29" t="str">
        <f>IFERROR(HLOOKUP(W197,List!$D$2:$H$6,4,FALSE),"")</f>
        <v/>
      </c>
      <c r="AB197" s="29" t="str">
        <f>IFERROR(HLOOKUP(X197,List!$D$2:$H$6,5,FALSE),"")</f>
        <v/>
      </c>
      <c r="AC197" s="12" t="str">
        <f t="shared" si="38"/>
        <v/>
      </c>
      <c r="AD197" s="12" t="str">
        <f t="shared" si="39"/>
        <v/>
      </c>
      <c r="AE197" s="12" t="str">
        <f t="shared" si="40"/>
        <v/>
      </c>
      <c r="AF197" s="12" t="str">
        <f t="shared" si="41"/>
        <v/>
      </c>
      <c r="AG197" t="str">
        <f>VLOOKUP(J197,'Receivable Invoice Detail'!$A$1:F3209,6,FALSE)</f>
        <v>[G-D04628A 1000] Thrust Bearing Housing, 3196 LTX, Cast Iron</v>
      </c>
      <c r="AH197" s="12">
        <f t="shared" si="37"/>
        <v>0</v>
      </c>
      <c r="AM197" s="12" t="str">
        <f t="shared" si="42"/>
        <v/>
      </c>
      <c r="AN197" s="12" t="str">
        <f t="shared" si="43"/>
        <v/>
      </c>
      <c r="AO197" s="12" t="str">
        <f t="shared" si="44"/>
        <v/>
      </c>
      <c r="AP197" s="12" t="str">
        <f t="shared" si="45"/>
        <v/>
      </c>
      <c r="AQ197" s="12"/>
      <c r="AR197" s="16" t="s">
        <v>5940</v>
      </c>
      <c r="AS197" s="12">
        <f t="shared" si="46"/>
        <v>0</v>
      </c>
      <c r="AT197" s="16" t="s">
        <v>5940</v>
      </c>
    </row>
    <row r="198" spans="1:46" hidden="1" x14ac:dyDescent="0.25">
      <c r="A198" s="41">
        <f>CASOPOInvCL!T198</f>
        <v>2</v>
      </c>
      <c r="B198" t="str">
        <f>CASOPOInvCL!Z198</f>
        <v>SO16612</v>
      </c>
      <c r="G198" s="5" t="str">
        <f>CASOPOInvCL!I198</f>
        <v>Taylor Cook</v>
      </c>
      <c r="H198" s="31">
        <f>CASOPOInvCL!U198</f>
        <v>2</v>
      </c>
      <c r="I198" s="31">
        <f>CASOPOInvCL!V198</f>
        <v>2025</v>
      </c>
      <c r="J198" s="5" t="str">
        <f>CASOPOInvCL!AB198</f>
        <v>INV12705</v>
      </c>
      <c r="K198" s="31">
        <f>CASOPOInvCL!W198</f>
        <v>4</v>
      </c>
      <c r="L198" s="31">
        <f>CASOPOInvCL!X198</f>
        <v>2025</v>
      </c>
      <c r="M198" s="31"/>
      <c r="N198" s="5" t="str">
        <f>CASOPOInvCL!AF198</f>
        <v>FMI Products</v>
      </c>
      <c r="O198" s="16" t="str">
        <f>CASOPOInvCL!AG198</f>
        <v>CAD</v>
      </c>
      <c r="P198" s="16">
        <f>CASOPOInvCL!AH198</f>
        <v>1188.04</v>
      </c>
      <c r="Q198" s="16">
        <f>CASOPOInvCL!AI198</f>
        <v>837.47728060499321</v>
      </c>
      <c r="R198" s="32" t="str">
        <f>CASOPOInvCL!AU198</f>
        <v>Yes</v>
      </c>
      <c r="S198" s="16">
        <f>CASOPOInvCL!AV198</f>
        <v>0</v>
      </c>
      <c r="T198" s="16">
        <f>CASOPOInvCL!AW198</f>
        <v>837.47728060499321</v>
      </c>
      <c r="Y198" s="29" t="str">
        <f>IFERROR(HLOOKUP(U198,List!$D$2:$H$6,2,FALSE),"")</f>
        <v/>
      </c>
      <c r="Z198" s="29" t="str">
        <f>IFERROR(HLOOKUP(V198,List!$D$2:$H$6,3,FALSE),"")</f>
        <v/>
      </c>
      <c r="AA198" s="29" t="str">
        <f>IFERROR(HLOOKUP(W198,List!$D$2:$H$6,4,FALSE),"")</f>
        <v/>
      </c>
      <c r="AB198" s="29" t="str">
        <f>IFERROR(HLOOKUP(X198,List!$D$2:$H$6,5,FALSE),"")</f>
        <v/>
      </c>
      <c r="AC198" s="12" t="str">
        <f t="shared" si="38"/>
        <v/>
      </c>
      <c r="AD198" s="12" t="str">
        <f t="shared" si="39"/>
        <v/>
      </c>
      <c r="AE198" s="12" t="str">
        <f t="shared" si="40"/>
        <v/>
      </c>
      <c r="AF198" s="12" t="str">
        <f t="shared" si="41"/>
        <v/>
      </c>
      <c r="AG198" t="str">
        <f>VLOOKUP(J198,'Receivable Invoice Detail'!$A$1:F3210,6,FALSE)</f>
        <v>[N1300-0393, G-58101 393] Bearing Housing Retaining Ring, 3196 MTX, Carbon Steel</v>
      </c>
      <c r="AH198" s="12">
        <f t="shared" si="37"/>
        <v>0</v>
      </c>
      <c r="AM198" s="12" t="str">
        <f t="shared" si="42"/>
        <v/>
      </c>
      <c r="AN198" s="12" t="str">
        <f t="shared" si="43"/>
        <v/>
      </c>
      <c r="AO198" s="12" t="str">
        <f t="shared" si="44"/>
        <v/>
      </c>
      <c r="AP198" s="12" t="str">
        <f t="shared" si="45"/>
        <v/>
      </c>
      <c r="AQ198" s="12"/>
      <c r="AS198" s="12">
        <f t="shared" si="46"/>
        <v>12.562159209074897</v>
      </c>
      <c r="AT198" s="16" t="str">
        <f t="shared" si="36"/>
        <v>Yes</v>
      </c>
    </row>
    <row r="199" spans="1:46" hidden="1" x14ac:dyDescent="0.25">
      <c r="A199" s="41">
        <f>CASOPOInvCL!T199</f>
        <v>2</v>
      </c>
      <c r="B199" t="str">
        <f>CASOPOInvCL!Z199</f>
        <v>SO16612</v>
      </c>
      <c r="G199" s="5">
        <f>CASOPOInvCL!I199</f>
        <v>0</v>
      </c>
      <c r="H199" s="31">
        <f>CASOPOInvCL!U199</f>
        <v>2</v>
      </c>
      <c r="I199" s="31">
        <f>CASOPOInvCL!V199</f>
        <v>2025</v>
      </c>
      <c r="J199" s="5" t="str">
        <f>CASOPOInvCL!AB199</f>
        <v>INV13052</v>
      </c>
      <c r="K199" s="31">
        <f>CASOPOInvCL!W199</f>
        <v>6</v>
      </c>
      <c r="L199" s="31">
        <f>CASOPOInvCL!X199</f>
        <v>2025</v>
      </c>
      <c r="M199" s="31"/>
      <c r="N199" s="5" t="str">
        <f>CASOPOInvCL!AF199</f>
        <v>FMI Products</v>
      </c>
      <c r="O199" s="16" t="str">
        <f>CASOPOInvCL!AG199</f>
        <v>CAD</v>
      </c>
      <c r="P199" s="16">
        <f>CASOPOInvCL!AH199</f>
        <v>0</v>
      </c>
      <c r="Q199" s="16">
        <f>CASOPOInvCL!AI199</f>
        <v>0</v>
      </c>
      <c r="R199" s="32" t="str">
        <f>CASOPOInvCL!AU199</f>
        <v/>
      </c>
      <c r="S199" s="16">
        <f>CASOPOInvCL!AV199</f>
        <v>0</v>
      </c>
      <c r="T199" s="16">
        <f>CASOPOInvCL!AW199</f>
        <v>0</v>
      </c>
      <c r="Y199" s="29" t="str">
        <f>IFERROR(HLOOKUP(U199,List!$D$2:$H$6,2,FALSE),"")</f>
        <v/>
      </c>
      <c r="Z199" s="29" t="str">
        <f>IFERROR(HLOOKUP(V199,List!$D$2:$H$6,3,FALSE),"")</f>
        <v/>
      </c>
      <c r="AA199" s="29" t="str">
        <f>IFERROR(HLOOKUP(W199,List!$D$2:$H$6,4,FALSE),"")</f>
        <v/>
      </c>
      <c r="AB199" s="29" t="str">
        <f>IFERROR(HLOOKUP(X199,List!$D$2:$H$6,5,FALSE),"")</f>
        <v/>
      </c>
      <c r="AC199" s="12" t="str">
        <f t="shared" si="38"/>
        <v/>
      </c>
      <c r="AD199" s="12" t="str">
        <f t="shared" si="39"/>
        <v/>
      </c>
      <c r="AE199" s="12" t="str">
        <f t="shared" si="40"/>
        <v/>
      </c>
      <c r="AF199" s="12" t="str">
        <f t="shared" si="41"/>
        <v/>
      </c>
      <c r="AG199" t="str">
        <f>VLOOKUP(J199,'Receivable Invoice Detail'!$A$1:F3211,6,FALSE)</f>
        <v>[G-R100-111 1012] Stuffing Box Cover, 7" &amp; 8", 3196 MTX, Ductile Iron, Standard Bore, Non-Jacketed</v>
      </c>
      <c r="AH199" s="12">
        <f t="shared" si="37"/>
        <v>0</v>
      </c>
      <c r="AM199" s="12" t="str">
        <f t="shared" si="42"/>
        <v/>
      </c>
      <c r="AN199" s="12" t="str">
        <f t="shared" si="43"/>
        <v/>
      </c>
      <c r="AO199" s="12" t="str">
        <f t="shared" si="44"/>
        <v/>
      </c>
      <c r="AP199" s="12" t="str">
        <f t="shared" si="45"/>
        <v/>
      </c>
      <c r="AQ199" s="12"/>
      <c r="AS199" s="12">
        <f t="shared" si="46"/>
        <v>0</v>
      </c>
      <c r="AT199" s="16" t="str">
        <f t="shared" si="36"/>
        <v/>
      </c>
    </row>
    <row r="200" spans="1:46" hidden="1" x14ac:dyDescent="0.25">
      <c r="A200" s="41">
        <f>CASOPOInvCL!T200</f>
        <v>1</v>
      </c>
      <c r="B200" t="str">
        <f>CASOPOInvCL!Z200</f>
        <v>SO16613</v>
      </c>
      <c r="G200" s="5" t="str">
        <f>CASOPOInvCL!I200</f>
        <v>Yannett Yeomans</v>
      </c>
      <c r="H200" s="31">
        <f>CASOPOInvCL!U200</f>
        <v>2</v>
      </c>
      <c r="I200" s="31">
        <f>CASOPOInvCL!V200</f>
        <v>2025</v>
      </c>
      <c r="J200" s="5" t="str">
        <f>CASOPOInvCL!AB200</f>
        <v>INV13018</v>
      </c>
      <c r="K200" s="31" t="str">
        <f>CASOPOInvCL!W200</f>
        <v/>
      </c>
      <c r="L200" s="31" t="str">
        <f>CASOPOInvCL!X200</f>
        <v/>
      </c>
      <c r="M200" s="31"/>
      <c r="N200" s="5" t="str">
        <f>CASOPOInvCL!AF200</f>
        <v>Dynapro Pumps México S de RL de CV</v>
      </c>
      <c r="O200" s="16" t="str">
        <f>CASOPOInvCL!AG200</f>
        <v>USD</v>
      </c>
      <c r="P200" s="16">
        <f>CASOPOInvCL!AH200</f>
        <v>11791.479330177403</v>
      </c>
      <c r="Q200" s="16">
        <f>CASOPOInvCL!AI200</f>
        <v>8312</v>
      </c>
      <c r="R200" s="32" t="str">
        <f>CASOPOInvCL!AU200</f>
        <v/>
      </c>
      <c r="S200" s="16">
        <f>CASOPOInvCL!AV200</f>
        <v>0</v>
      </c>
      <c r="T200" s="16">
        <f>CASOPOInvCL!AW200</f>
        <v>0</v>
      </c>
      <c r="Y200" s="29" t="str">
        <f>IFERROR(HLOOKUP(U200,List!$D$2:$H$6,2,FALSE),"")</f>
        <v/>
      </c>
      <c r="Z200" s="29" t="str">
        <f>IFERROR(HLOOKUP(V200,List!$D$2:$H$6,3,FALSE),"")</f>
        <v/>
      </c>
      <c r="AA200" s="29" t="str">
        <f>IFERROR(HLOOKUP(W200,List!$D$2:$H$6,4,FALSE),"")</f>
        <v/>
      </c>
      <c r="AB200" s="29" t="str">
        <f>IFERROR(HLOOKUP(X200,List!$D$2:$H$6,5,FALSE),"")</f>
        <v/>
      </c>
      <c r="AC200" s="12" t="str">
        <f t="shared" si="38"/>
        <v/>
      </c>
      <c r="AD200" s="12" t="str">
        <f t="shared" si="39"/>
        <v/>
      </c>
      <c r="AE200" s="12" t="str">
        <f t="shared" si="40"/>
        <v/>
      </c>
      <c r="AF200" s="12" t="str">
        <f t="shared" si="41"/>
        <v/>
      </c>
      <c r="AG200" t="str">
        <f>VLOOKUP(J200,'Receivable Invoice Detail'!$A$1:F3212,6,FALSE)</f>
        <v>[10023/0523] Guide Bearing Body, 150FY-40, 316LSS with Nitrile</v>
      </c>
      <c r="AH200" s="12">
        <f t="shared" si="37"/>
        <v>0</v>
      </c>
      <c r="AM200" s="12" t="str">
        <f t="shared" si="42"/>
        <v/>
      </c>
      <c r="AN200" s="12" t="str">
        <f t="shared" si="43"/>
        <v/>
      </c>
      <c r="AO200" s="12" t="str">
        <f t="shared" si="44"/>
        <v/>
      </c>
      <c r="AP200" s="12" t="str">
        <f t="shared" si="45"/>
        <v/>
      </c>
      <c r="AQ200" s="12"/>
      <c r="AR200" s="16" t="s">
        <v>5940</v>
      </c>
      <c r="AS200" s="12">
        <f t="shared" si="46"/>
        <v>0</v>
      </c>
      <c r="AT200" s="16" t="s">
        <v>5940</v>
      </c>
    </row>
    <row r="201" spans="1:46" hidden="1" x14ac:dyDescent="0.25">
      <c r="A201" s="41">
        <f>CASOPOInvCL!T201</f>
        <v>1</v>
      </c>
      <c r="B201" t="str">
        <f>CASOPOInvCL!Z201</f>
        <v>SO16615</v>
      </c>
      <c r="G201" s="5" t="str">
        <f>CASOPOInvCL!I201</f>
        <v>Taylor Cook</v>
      </c>
      <c r="H201" s="31">
        <f>CASOPOInvCL!U201</f>
        <v>2</v>
      </c>
      <c r="I201" s="31">
        <f>CASOPOInvCL!V201</f>
        <v>2025</v>
      </c>
      <c r="J201" s="5" t="str">
        <f>CASOPOInvCL!AB201</f>
        <v>INV12658</v>
      </c>
      <c r="K201" s="31">
        <f>CASOPOInvCL!W201</f>
        <v>4</v>
      </c>
      <c r="L201" s="31">
        <f>CASOPOInvCL!X201</f>
        <v>2025</v>
      </c>
      <c r="M201" s="31"/>
      <c r="N201" s="5" t="str">
        <f>CASOPOInvCL!AF201</f>
        <v>Wajax Limited - Noranda</v>
      </c>
      <c r="O201" s="16" t="str">
        <f>CASOPOInvCL!AG201</f>
        <v>CAD</v>
      </c>
      <c r="P201" s="16">
        <f>CASOPOInvCL!AH201</f>
        <v>2627.35</v>
      </c>
      <c r="Q201" s="16">
        <f>CASOPOInvCL!AI201</f>
        <v>1845.1471913323517</v>
      </c>
      <c r="R201" s="32" t="str">
        <f>CASOPOInvCL!AU201</f>
        <v>Yes</v>
      </c>
      <c r="S201" s="16">
        <f>CASOPOInvCL!AV201</f>
        <v>0</v>
      </c>
      <c r="T201" s="16">
        <f>CASOPOInvCL!AW201</f>
        <v>1845.1471913323517</v>
      </c>
      <c r="Y201" s="29" t="str">
        <f>IFERROR(HLOOKUP(U201,List!$D$2:$H$6,2,FALSE),"")</f>
        <v/>
      </c>
      <c r="Z201" s="29" t="str">
        <f>IFERROR(HLOOKUP(V201,List!$D$2:$H$6,3,FALSE),"")</f>
        <v/>
      </c>
      <c r="AA201" s="29" t="str">
        <f>IFERROR(HLOOKUP(W201,List!$D$2:$H$6,4,FALSE),"")</f>
        <v/>
      </c>
      <c r="AB201" s="29" t="str">
        <f>IFERROR(HLOOKUP(X201,List!$D$2:$H$6,5,FALSE),"")</f>
        <v/>
      </c>
      <c r="AC201" s="12" t="str">
        <f t="shared" si="38"/>
        <v/>
      </c>
      <c r="AD201" s="12" t="str">
        <f t="shared" si="39"/>
        <v/>
      </c>
      <c r="AE201" s="12" t="str">
        <f t="shared" si="40"/>
        <v/>
      </c>
      <c r="AF201" s="12" t="str">
        <f t="shared" si="41"/>
        <v/>
      </c>
      <c r="AG201" t="str">
        <f>VLOOKUP(J201,'Receivable Invoice Detail'!$A$1:F3213,6,FALSE)</f>
        <v>[W-D3110/A05] Volute Liner, 4/3 C or D-AH, High Chrome</v>
      </c>
      <c r="AH201" s="12">
        <f t="shared" si="37"/>
        <v>0</v>
      </c>
      <c r="AM201" s="12" t="str">
        <f t="shared" si="42"/>
        <v/>
      </c>
      <c r="AN201" s="12" t="str">
        <f t="shared" si="43"/>
        <v/>
      </c>
      <c r="AO201" s="12" t="str">
        <f t="shared" si="44"/>
        <v/>
      </c>
      <c r="AP201" s="12" t="str">
        <f t="shared" si="45"/>
        <v/>
      </c>
      <c r="AQ201" s="12"/>
      <c r="AS201" s="12">
        <f t="shared" si="46"/>
        <v>27.677207869985274</v>
      </c>
      <c r="AT201" s="16" t="str">
        <f t="shared" si="36"/>
        <v>Yes</v>
      </c>
    </row>
    <row r="202" spans="1:46" hidden="1" x14ac:dyDescent="0.25">
      <c r="A202" s="41">
        <f>CASOPOInvCL!T202</f>
        <v>2</v>
      </c>
      <c r="B202" t="str">
        <f>CASOPOInvCL!Z202</f>
        <v>SO16617</v>
      </c>
      <c r="D202" t="s">
        <v>5847</v>
      </c>
      <c r="G202" s="5" t="str">
        <f>CASOPOInvCL!I202</f>
        <v>Amanda Qiao</v>
      </c>
      <c r="H202" s="31">
        <f>CASOPOInvCL!U202</f>
        <v>2</v>
      </c>
      <c r="I202" s="31">
        <f>CASOPOInvCL!V202</f>
        <v>2025</v>
      </c>
      <c r="J202" s="5" t="str">
        <f>CASOPOInvCL!AB202</f>
        <v>INV12680</v>
      </c>
      <c r="K202" s="31">
        <f>CASOPOInvCL!W202</f>
        <v>5</v>
      </c>
      <c r="L202" s="31">
        <f>CASOPOInvCL!X202</f>
        <v>2025</v>
      </c>
      <c r="M202">
        <v>2503</v>
      </c>
      <c r="N202" s="5" t="str">
        <f>CASOPOInvCL!AF202</f>
        <v>Southeast Pump Specialist, Inc.</v>
      </c>
      <c r="O202" s="16" t="str">
        <f>CASOPOInvCL!AG202</f>
        <v>USD</v>
      </c>
      <c r="P202" s="16">
        <f>CASOPOInvCL!AH202</f>
        <v>4742.5097214071429</v>
      </c>
      <c r="Q202" s="16">
        <f>CASOPOInvCL!AI202</f>
        <v>3343.07</v>
      </c>
      <c r="R202" s="32" t="str">
        <f>CASOPOInvCL!AU202</f>
        <v>Yes</v>
      </c>
      <c r="S202" s="16">
        <f>CASOPOInvCL!AV202</f>
        <v>0</v>
      </c>
      <c r="T202" s="16">
        <f>CASOPOInvCL!AW202-S203</f>
        <v>2754.07</v>
      </c>
      <c r="V202" t="s">
        <v>5800</v>
      </c>
      <c r="Y202" s="29" t="str">
        <f>IFERROR(HLOOKUP(U202,List!$D$2:$H$6,2,FALSE),"")</f>
        <v/>
      </c>
      <c r="Z202" s="29">
        <f>IFERROR(HLOOKUP(V202,List!$D$2:$H$6,3,FALSE),"")</f>
        <v>5.0000000000000001E-3</v>
      </c>
      <c r="AA202" s="29" t="str">
        <f>IFERROR(HLOOKUP(W202,List!$D$2:$H$6,4,FALSE),"")</f>
        <v/>
      </c>
      <c r="AB202" s="29" t="str">
        <f>IFERROR(HLOOKUP(X202,List!$D$2:$H$6,5,FALSE),"")</f>
        <v/>
      </c>
      <c r="AC202" s="12" t="str">
        <f t="shared" si="38"/>
        <v/>
      </c>
      <c r="AD202" s="12">
        <f t="shared" si="39"/>
        <v>13.770350000000001</v>
      </c>
      <c r="AE202" s="12" t="str">
        <f t="shared" si="40"/>
        <v/>
      </c>
      <c r="AF202" s="12" t="str">
        <f t="shared" si="41"/>
        <v/>
      </c>
      <c r="AG202" t="str">
        <f>VLOOKUP(J202,'Receivable Invoice Detail'!$A$1:F3214,6,FALSE)</f>
        <v>[AC-98-331-901-801] Bearing Cover (Outboard), 8x6-18 &amp; 10x8-21 SRL-C, Cast Iron</v>
      </c>
      <c r="AH202" s="12">
        <f t="shared" si="37"/>
        <v>13.770350000000001</v>
      </c>
      <c r="AJ202">
        <v>2503</v>
      </c>
      <c r="AM202" s="12" t="str">
        <f t="shared" si="42"/>
        <v/>
      </c>
      <c r="AN202" s="12">
        <f t="shared" si="43"/>
        <v>0</v>
      </c>
      <c r="AO202" s="12" t="str">
        <f t="shared" si="44"/>
        <v/>
      </c>
      <c r="AP202" s="12" t="str">
        <f t="shared" si="45"/>
        <v/>
      </c>
      <c r="AQ202" s="64">
        <v>2503</v>
      </c>
      <c r="AR202" t="s">
        <v>5932</v>
      </c>
      <c r="AS202" s="12">
        <f t="shared" si="46"/>
        <v>41.311050000000002</v>
      </c>
      <c r="AT202" s="16" t="str">
        <f t="shared" ref="AT202:AT265" si="47">R202</f>
        <v>Yes</v>
      </c>
    </row>
    <row r="203" spans="1:46" hidden="1" x14ac:dyDescent="0.25">
      <c r="A203" s="41">
        <f>CASOPOInvCL!T203</f>
        <v>2</v>
      </c>
      <c r="B203" t="str">
        <f>CASOPOInvCL!Z203</f>
        <v>SO16617</v>
      </c>
      <c r="D203" t="s">
        <v>5847</v>
      </c>
      <c r="G203" s="5">
        <f>CASOPOInvCL!I203</f>
        <v>0</v>
      </c>
      <c r="H203" s="31">
        <f>CASOPOInvCL!U203</f>
        <v>2</v>
      </c>
      <c r="I203" s="31">
        <f>CASOPOInvCL!V203</f>
        <v>2025</v>
      </c>
      <c r="J203" s="5" t="str">
        <f>CASOPOInvCL!AB203</f>
        <v>INV12965</v>
      </c>
      <c r="K203" s="31">
        <f>CASOPOInvCL!W203</f>
        <v>7</v>
      </c>
      <c r="L203" s="31">
        <f>CASOPOInvCL!X203</f>
        <v>2025</v>
      </c>
      <c r="M203">
        <v>2503</v>
      </c>
      <c r="N203" s="5" t="str">
        <f>CASOPOInvCL!AF203</f>
        <v>Southeast Pump Specialist, Inc.</v>
      </c>
      <c r="O203" s="16" t="str">
        <f>CASOPOInvCL!AG203</f>
        <v>USD</v>
      </c>
      <c r="P203" s="16">
        <f>CASOPOInvCL!AH203</f>
        <v>0</v>
      </c>
      <c r="Q203" s="16">
        <f>CASOPOInvCL!AI203</f>
        <v>0</v>
      </c>
      <c r="R203" s="32" t="str">
        <f>CASOPOInvCL!AU203</f>
        <v/>
      </c>
      <c r="S203" s="16">
        <f>CASOPOInvCL!AV203</f>
        <v>589</v>
      </c>
      <c r="T203" s="16">
        <f>CASOPOInvCL!AW203</f>
        <v>0</v>
      </c>
      <c r="V203" t="s">
        <v>5800</v>
      </c>
      <c r="Y203" s="29" t="str">
        <f>IFERROR(HLOOKUP(U203,List!$D$2:$H$6,2,FALSE),"")</f>
        <v/>
      </c>
      <c r="Z203" s="29">
        <f>IFERROR(HLOOKUP(V203,List!$D$2:$H$6,3,FALSE),"")</f>
        <v>5.0000000000000001E-3</v>
      </c>
      <c r="AA203" s="29" t="str">
        <f>IFERROR(HLOOKUP(W203,List!$D$2:$H$6,4,FALSE),"")</f>
        <v/>
      </c>
      <c r="AB203" s="29" t="str">
        <f>IFERROR(HLOOKUP(X203,List!$D$2:$H$6,5,FALSE),"")</f>
        <v/>
      </c>
      <c r="AC203" s="12" t="str">
        <f t="shared" si="38"/>
        <v/>
      </c>
      <c r="AD203" s="12">
        <f t="shared" si="39"/>
        <v>0</v>
      </c>
      <c r="AE203" s="12" t="str">
        <f t="shared" si="40"/>
        <v/>
      </c>
      <c r="AF203" s="12" t="str">
        <f t="shared" si="41"/>
        <v/>
      </c>
      <c r="AG203" t="str">
        <f>VLOOKUP(J203,'Receivable Invoice Detail'!$A$1:F3215,6,FALSE)</f>
        <v>[AC-98-331-910-801] Bearing Cylinder, 8x6-18 &amp; 10x8-21 SRL-C, Cast Iron</v>
      </c>
      <c r="AH203" s="12">
        <f t="shared" si="37"/>
        <v>0</v>
      </c>
      <c r="AJ203">
        <v>2503</v>
      </c>
      <c r="AM203" s="12" t="str">
        <f t="shared" si="42"/>
        <v/>
      </c>
      <c r="AN203" s="12">
        <f t="shared" si="43"/>
        <v>0</v>
      </c>
      <c r="AO203" s="12" t="str">
        <f t="shared" si="44"/>
        <v/>
      </c>
      <c r="AP203" s="12" t="str">
        <f t="shared" si="45"/>
        <v/>
      </c>
      <c r="AQ203" s="64">
        <v>2503</v>
      </c>
      <c r="AR203" t="s">
        <v>5932</v>
      </c>
      <c r="AS203" s="12">
        <f t="shared" si="46"/>
        <v>0</v>
      </c>
      <c r="AT203" s="16" t="str">
        <f t="shared" si="47"/>
        <v/>
      </c>
    </row>
    <row r="204" spans="1:46" hidden="1" x14ac:dyDescent="0.25">
      <c r="A204" s="41">
        <f>CASOPOInvCL!T204</f>
        <v>1</v>
      </c>
      <c r="B204" t="str">
        <f>CASOPOInvCL!Z204</f>
        <v>SO16618</v>
      </c>
      <c r="G204" s="5" t="str">
        <f>CASOPOInvCL!I204</f>
        <v>Ian Trottier</v>
      </c>
      <c r="H204" s="31">
        <f>CASOPOInvCL!U204</f>
        <v>2</v>
      </c>
      <c r="I204" s="31">
        <f>CASOPOInvCL!V204</f>
        <v>2025</v>
      </c>
      <c r="J204" s="5" t="str">
        <f>CASOPOInvCL!AB204</f>
        <v>INV12700</v>
      </c>
      <c r="K204" s="31">
        <f>CASOPOInvCL!W204</f>
        <v>4</v>
      </c>
      <c r="L204" s="31">
        <f>CASOPOInvCL!X204</f>
        <v>2025</v>
      </c>
      <c r="M204" s="31"/>
      <c r="N204" s="5" t="str">
        <f>CASOPOInvCL!AF204</f>
        <v>Motion Industries Inc. (Canada) - Winnipeg</v>
      </c>
      <c r="O204" s="16" t="str">
        <f>CASOPOInvCL!AG204</f>
        <v>CAD</v>
      </c>
      <c r="P204" s="16">
        <f>CASOPOInvCL!AH204</f>
        <v>641.21</v>
      </c>
      <c r="Q204" s="16">
        <f>CASOPOInvCL!AI204</f>
        <v>445.25280689924449</v>
      </c>
      <c r="R204" s="32" t="str">
        <f>CASOPOInvCL!AU204</f>
        <v>Yes</v>
      </c>
      <c r="S204" s="16">
        <f>CASOPOInvCL!AV204</f>
        <v>0</v>
      </c>
      <c r="T204" s="16">
        <f>CASOPOInvCL!AW204</f>
        <v>445.25280689924449</v>
      </c>
      <c r="Y204" s="29" t="str">
        <f>IFERROR(HLOOKUP(U204,List!$D$2:$H$6,2,FALSE),"")</f>
        <v/>
      </c>
      <c r="Z204" s="29" t="str">
        <f>IFERROR(HLOOKUP(V204,List!$D$2:$H$6,3,FALSE),"")</f>
        <v/>
      </c>
      <c r="AA204" s="29" t="str">
        <f>IFERROR(HLOOKUP(W204,List!$D$2:$H$6,4,FALSE),"")</f>
        <v/>
      </c>
      <c r="AB204" s="29" t="str">
        <f>IFERROR(HLOOKUP(X204,List!$D$2:$H$6,5,FALSE),"")</f>
        <v/>
      </c>
      <c r="AC204" s="12" t="str">
        <f t="shared" si="38"/>
        <v/>
      </c>
      <c r="AD204" s="12" t="str">
        <f t="shared" si="39"/>
        <v/>
      </c>
      <c r="AE204" s="12" t="str">
        <f t="shared" si="40"/>
        <v/>
      </c>
      <c r="AF204" s="12" t="str">
        <f t="shared" si="41"/>
        <v/>
      </c>
      <c r="AG204" t="str">
        <f>VLOOKUP(J204,'Receivable Invoice Detail'!$A$1:F3216,6,FALSE)</f>
        <v>[DU-DY21857ABP-DI] Adapter (Bearing Housing), 13", Durco Mark 2&amp;3 Group 2, Ductile Iron</v>
      </c>
      <c r="AH204" s="12">
        <f t="shared" si="37"/>
        <v>0</v>
      </c>
      <c r="AM204" s="12" t="str">
        <f t="shared" si="42"/>
        <v/>
      </c>
      <c r="AN204" s="12" t="str">
        <f t="shared" si="43"/>
        <v/>
      </c>
      <c r="AO204" s="12" t="str">
        <f t="shared" si="44"/>
        <v/>
      </c>
      <c r="AP204" s="12" t="str">
        <f t="shared" si="45"/>
        <v/>
      </c>
      <c r="AQ204" s="12"/>
      <c r="AS204" s="12">
        <f t="shared" si="46"/>
        <v>6.678792103488667</v>
      </c>
      <c r="AT204" s="16" t="str">
        <f t="shared" si="47"/>
        <v>Yes</v>
      </c>
    </row>
    <row r="205" spans="1:46" hidden="1" x14ac:dyDescent="0.25">
      <c r="A205" s="41">
        <f>CASOPOInvCL!T205</f>
        <v>1</v>
      </c>
      <c r="B205" s="76" t="str">
        <f>CASOPOInvCL!Z205</f>
        <v>SO16619</v>
      </c>
      <c r="G205" s="5" t="str">
        <f>CASOPOInvCL!I205</f>
        <v>Jeff Bell</v>
      </c>
      <c r="H205" s="31">
        <f>CASOPOInvCL!U205</f>
        <v>2</v>
      </c>
      <c r="I205" s="31">
        <f>CASOPOInvCL!V205</f>
        <v>2025</v>
      </c>
      <c r="J205" s="5" t="str">
        <f>CASOPOInvCL!AB205</f>
        <v>INV12768</v>
      </c>
      <c r="K205" s="31">
        <f>CASOPOInvCL!W205</f>
        <v>5</v>
      </c>
      <c r="L205" s="31">
        <f>CASOPOInvCL!X205</f>
        <v>2025</v>
      </c>
      <c r="M205" s="31"/>
      <c r="N205" s="5" t="str">
        <f>CASOPOInvCL!AF205</f>
        <v>Barrick Gold - Pueblo Viejo Dominicana Corporation</v>
      </c>
      <c r="O205" s="16" t="str">
        <f>CASOPOInvCL!AG205</f>
        <v>USD</v>
      </c>
      <c r="P205" s="16">
        <f>CASOPOInvCL!AH205</f>
        <v>12448.678395299068</v>
      </c>
      <c r="Q205" s="16">
        <f>CASOPOInvCL!AI205</f>
        <v>8775.27</v>
      </c>
      <c r="R205" s="32" t="str">
        <f>CASOPOInvCL!AU205</f>
        <v>Yes</v>
      </c>
      <c r="S205" s="16">
        <f>CASOPOInvCL!AV205</f>
        <v>0</v>
      </c>
      <c r="T205" s="16">
        <f>CASOPOInvCL!AW205</f>
        <v>8775.27</v>
      </c>
      <c r="Y205" s="29" t="str">
        <f>IFERROR(HLOOKUP(U205,List!$D$2:$H$6,2,FALSE),"")</f>
        <v/>
      </c>
      <c r="Z205" s="29" t="str">
        <f>IFERROR(HLOOKUP(V205,List!$D$2:$H$6,3,FALSE),"")</f>
        <v/>
      </c>
      <c r="AA205" s="29" t="str">
        <f>IFERROR(HLOOKUP(W205,List!$D$2:$H$6,4,FALSE),"")</f>
        <v/>
      </c>
      <c r="AB205" s="29" t="str">
        <f>IFERROR(HLOOKUP(X205,List!$D$2:$H$6,5,FALSE),"")</f>
        <v/>
      </c>
      <c r="AC205" s="12" t="str">
        <f t="shared" si="38"/>
        <v/>
      </c>
      <c r="AD205" s="12" t="str">
        <f t="shared" si="39"/>
        <v/>
      </c>
      <c r="AE205" s="12" t="str">
        <f t="shared" si="40"/>
        <v/>
      </c>
      <c r="AF205" s="12" t="str">
        <f t="shared" si="41"/>
        <v/>
      </c>
      <c r="AG205" t="str">
        <f>VLOOKUP(J205,'Receivable Invoice Detail'!$A$1:F3217,6,FALSE)</f>
        <v>[85449] Service Kit, Micropump GLH-H25, Gears on Shafts, Bushings and Seals</v>
      </c>
      <c r="AH205" s="12">
        <f t="shared" si="37"/>
        <v>0</v>
      </c>
      <c r="AM205" s="12" t="str">
        <f t="shared" si="42"/>
        <v/>
      </c>
      <c r="AN205" s="12" t="str">
        <f t="shared" si="43"/>
        <v/>
      </c>
      <c r="AO205" s="12" t="str">
        <f t="shared" si="44"/>
        <v/>
      </c>
      <c r="AP205" s="12" t="str">
        <f t="shared" si="45"/>
        <v/>
      </c>
      <c r="AQ205" s="64">
        <v>2503</v>
      </c>
      <c r="AR205" s="64" t="s">
        <v>5934</v>
      </c>
      <c r="AS205" s="12">
        <f t="shared" si="46"/>
        <v>131.62905000000001</v>
      </c>
      <c r="AT205" s="16" t="str">
        <f t="shared" si="47"/>
        <v>Yes</v>
      </c>
    </row>
    <row r="206" spans="1:46" hidden="1" x14ac:dyDescent="0.25">
      <c r="A206" s="41">
        <f>CASOPOInvCL!T206</f>
        <v>1</v>
      </c>
      <c r="B206" t="str">
        <f>CASOPOInvCL!Z206</f>
        <v>SO16623</v>
      </c>
      <c r="G206" s="5" t="str">
        <f>CASOPOInvCL!I206</f>
        <v>Taylor Cook</v>
      </c>
      <c r="H206" s="31">
        <f>CASOPOInvCL!U206</f>
        <v>2</v>
      </c>
      <c r="I206" s="31">
        <f>CASOPOInvCL!V206</f>
        <v>2025</v>
      </c>
      <c r="J206" s="5" t="str">
        <f>CASOPOInvCL!AB206</f>
        <v>INV12670</v>
      </c>
      <c r="K206" s="31">
        <f>CASOPOInvCL!W206</f>
        <v>2</v>
      </c>
      <c r="L206" s="31">
        <f>CASOPOInvCL!X206</f>
        <v>2025</v>
      </c>
      <c r="M206" s="31"/>
      <c r="N206" s="5" t="str">
        <f>CASOPOInvCL!AF206</f>
        <v>Harvey Bearings</v>
      </c>
      <c r="O206" s="16" t="str">
        <f>CASOPOInvCL!AG206</f>
        <v>CAD</v>
      </c>
      <c r="P206" s="16">
        <f>CASOPOInvCL!AH206</f>
        <v>1508.72</v>
      </c>
      <c r="Q206" s="16">
        <f>CASOPOInvCL!AI206</f>
        <v>1059.5506767301447</v>
      </c>
      <c r="R206" s="32" t="str">
        <f>CASOPOInvCL!AU206</f>
        <v>Yes</v>
      </c>
      <c r="S206" s="16">
        <f>CASOPOInvCL!AV206</f>
        <v>0</v>
      </c>
      <c r="T206" s="16">
        <f>CASOPOInvCL!AW206</f>
        <v>1059.5506767301447</v>
      </c>
      <c r="Y206" s="29" t="str">
        <f>IFERROR(HLOOKUP(U206,List!$D$2:$H$6,2,FALSE),"")</f>
        <v/>
      </c>
      <c r="Z206" s="29" t="str">
        <f>IFERROR(HLOOKUP(V206,List!$D$2:$H$6,3,FALSE),"")</f>
        <v/>
      </c>
      <c r="AA206" s="29" t="str">
        <f>IFERROR(HLOOKUP(W206,List!$D$2:$H$6,4,FALSE),"")</f>
        <v/>
      </c>
      <c r="AB206" s="29" t="str">
        <f>IFERROR(HLOOKUP(X206,List!$D$2:$H$6,5,FALSE),"")</f>
        <v/>
      </c>
      <c r="AC206" s="12" t="str">
        <f t="shared" si="38"/>
        <v/>
      </c>
      <c r="AD206" s="12" t="str">
        <f t="shared" si="39"/>
        <v/>
      </c>
      <c r="AE206" s="12" t="str">
        <f t="shared" si="40"/>
        <v/>
      </c>
      <c r="AF206" s="12" t="str">
        <f t="shared" si="41"/>
        <v/>
      </c>
      <c r="AG206" t="str">
        <f>VLOOKUP(J206,'Receivable Invoice Detail'!$A$1:F3218,6,FALSE)</f>
        <v>[AC-98-130-366-001] Shaft Sleeve, PWO Frame 1, 316SS</v>
      </c>
      <c r="AH206" s="12">
        <f t="shared" si="37"/>
        <v>0</v>
      </c>
      <c r="AM206" s="12" t="str">
        <f t="shared" si="42"/>
        <v/>
      </c>
      <c r="AN206" s="12" t="str">
        <f t="shared" si="43"/>
        <v/>
      </c>
      <c r="AO206" s="12" t="str">
        <f t="shared" si="44"/>
        <v/>
      </c>
      <c r="AP206" s="12" t="str">
        <f t="shared" si="45"/>
        <v/>
      </c>
      <c r="AQ206" s="12"/>
      <c r="AS206" s="12">
        <f t="shared" si="46"/>
        <v>15.89326015095217</v>
      </c>
      <c r="AT206" s="16" t="str">
        <f t="shared" si="47"/>
        <v>Yes</v>
      </c>
    </row>
    <row r="207" spans="1:46" hidden="1" x14ac:dyDescent="0.25">
      <c r="A207" s="41">
        <f>CASOPOInvCL!T207</f>
        <v>1</v>
      </c>
      <c r="B207" t="str">
        <f>CASOPOInvCL!Z207</f>
        <v>SO16626</v>
      </c>
      <c r="G207" s="5" t="str">
        <f>CASOPOInvCL!I207</f>
        <v>Ian Trottier</v>
      </c>
      <c r="H207" s="31">
        <f>CASOPOInvCL!U207</f>
        <v>2</v>
      </c>
      <c r="I207" s="31">
        <f>CASOPOInvCL!V207</f>
        <v>2025</v>
      </c>
      <c r="J207" s="5" t="str">
        <f>CASOPOInvCL!AB207</f>
        <v>INV12659</v>
      </c>
      <c r="K207" s="31">
        <f>CASOPOInvCL!W207</f>
        <v>4</v>
      </c>
      <c r="L207" s="31">
        <f>CASOPOInvCL!X207</f>
        <v>2025</v>
      </c>
      <c r="M207" s="31"/>
      <c r="N207" s="5" t="str">
        <f>CASOPOInvCL!AF207</f>
        <v>Wajax Limited - Noranda</v>
      </c>
      <c r="O207" s="16" t="str">
        <f>CASOPOInvCL!AG207</f>
        <v>CAD</v>
      </c>
      <c r="P207" s="16">
        <f>CASOPOInvCL!AH207</f>
        <v>100</v>
      </c>
      <c r="Q207" s="16">
        <f>CASOPOInvCL!AI207</f>
        <v>70.429730573179498</v>
      </c>
      <c r="R207" s="32" t="str">
        <f>CASOPOInvCL!AU207</f>
        <v>Yes</v>
      </c>
      <c r="S207" s="16">
        <f>CASOPOInvCL!AV207</f>
        <v>0</v>
      </c>
      <c r="T207" s="16">
        <f>CASOPOInvCL!AW207</f>
        <v>70.429730573179498</v>
      </c>
      <c r="Y207" s="29" t="str">
        <f>IFERROR(HLOOKUP(U207,List!$D$2:$H$6,2,FALSE),"")</f>
        <v/>
      </c>
      <c r="Z207" s="29" t="str">
        <f>IFERROR(HLOOKUP(V207,List!$D$2:$H$6,3,FALSE),"")</f>
        <v/>
      </c>
      <c r="AA207" s="29" t="str">
        <f>IFERROR(HLOOKUP(W207,List!$D$2:$H$6,4,FALSE),"")</f>
        <v/>
      </c>
      <c r="AB207" s="29" t="str">
        <f>IFERROR(HLOOKUP(X207,List!$D$2:$H$6,5,FALSE),"")</f>
        <v/>
      </c>
      <c r="AC207" s="12" t="str">
        <f t="shared" si="38"/>
        <v/>
      </c>
      <c r="AD207" s="12" t="str">
        <f t="shared" si="39"/>
        <v/>
      </c>
      <c r="AE207" s="12" t="str">
        <f t="shared" si="40"/>
        <v/>
      </c>
      <c r="AF207" s="12" t="str">
        <f t="shared" si="41"/>
        <v/>
      </c>
      <c r="AG207" t="str">
        <f>VLOOKUP(J207,'Receivable Invoice Detail'!$A$1:F3219,6,FALSE)</f>
        <v>[GO351-9607-NSN, G-70782 49 5127] Casing Gasket, 15", 3196 XLT</v>
      </c>
      <c r="AH207" s="12">
        <f t="shared" si="37"/>
        <v>0</v>
      </c>
      <c r="AM207" s="12" t="str">
        <f t="shared" si="42"/>
        <v/>
      </c>
      <c r="AN207" s="12" t="str">
        <f t="shared" si="43"/>
        <v/>
      </c>
      <c r="AO207" s="12" t="str">
        <f t="shared" si="44"/>
        <v/>
      </c>
      <c r="AP207" s="12" t="str">
        <f t="shared" si="45"/>
        <v/>
      </c>
      <c r="AQ207" s="12"/>
      <c r="AS207" s="12">
        <f t="shared" si="46"/>
        <v>1.0564459585976924</v>
      </c>
      <c r="AT207" s="16" t="str">
        <f t="shared" si="47"/>
        <v>Yes</v>
      </c>
    </row>
    <row r="208" spans="1:46" hidden="1" x14ac:dyDescent="0.25">
      <c r="A208" s="41">
        <f>CASOPOInvCL!T208</f>
        <v>2</v>
      </c>
      <c r="B208" t="str">
        <f>CASOPOInvCL!Z208</f>
        <v>SO16628</v>
      </c>
      <c r="G208" s="5" t="str">
        <f>CASOPOInvCL!I208</f>
        <v>Taylor Cook</v>
      </c>
      <c r="H208" s="31">
        <f>CASOPOInvCL!U208</f>
        <v>2</v>
      </c>
      <c r="I208" s="31">
        <f>CASOPOInvCL!V208</f>
        <v>2025</v>
      </c>
      <c r="J208" s="5" t="str">
        <f>CASOPOInvCL!AB208</f>
        <v>INV12668</v>
      </c>
      <c r="K208" s="31">
        <f>CASOPOInvCL!W208</f>
        <v>4</v>
      </c>
      <c r="L208" s="31">
        <f>CASOPOInvCL!X208</f>
        <v>2025</v>
      </c>
      <c r="M208" s="31"/>
      <c r="N208" s="5" t="str">
        <f>CASOPOInvCL!AF208</f>
        <v>Fabrene Inc.</v>
      </c>
      <c r="O208" s="16" t="str">
        <f>CASOPOInvCL!AG208</f>
        <v>CAD</v>
      </c>
      <c r="P208" s="16">
        <f>CASOPOInvCL!AH208</f>
        <v>463.71</v>
      </c>
      <c r="Q208" s="16">
        <f>CASOPOInvCL!AI208</f>
        <v>325.69911242247281</v>
      </c>
      <c r="R208" s="32" t="str">
        <f>CASOPOInvCL!AU208</f>
        <v>Yes</v>
      </c>
      <c r="S208" s="16">
        <f>CASOPOInvCL!AV208</f>
        <v>0</v>
      </c>
      <c r="T208" s="16">
        <f>CASOPOInvCL!AW208</f>
        <v>325.69911242247281</v>
      </c>
      <c r="Y208" s="29" t="str">
        <f>IFERROR(HLOOKUP(U208,List!$D$2:$H$6,2,FALSE),"")</f>
        <v/>
      </c>
      <c r="Z208" s="29" t="str">
        <f>IFERROR(HLOOKUP(V208,List!$D$2:$H$6,3,FALSE),"")</f>
        <v/>
      </c>
      <c r="AA208" s="29" t="str">
        <f>IFERROR(HLOOKUP(W208,List!$D$2:$H$6,4,FALSE),"")</f>
        <v/>
      </c>
      <c r="AB208" s="29" t="str">
        <f>IFERROR(HLOOKUP(X208,List!$D$2:$H$6,5,FALSE),"")</f>
        <v/>
      </c>
      <c r="AC208" s="12" t="str">
        <f t="shared" si="38"/>
        <v/>
      </c>
      <c r="AD208" s="12" t="str">
        <f t="shared" si="39"/>
        <v/>
      </c>
      <c r="AE208" s="12" t="str">
        <f t="shared" si="40"/>
        <v/>
      </c>
      <c r="AF208" s="12" t="str">
        <f t="shared" si="41"/>
        <v/>
      </c>
      <c r="AG208" t="str">
        <f>VLOOKUP(J208,'Receivable Invoice Detail'!$A$1:F3220,6,FALSE)</f>
        <v>[G-77225 6956] Shaft Sleeve, 3196 STX, 316SS, NCB Hardcoated</v>
      </c>
      <c r="AH208" s="12">
        <f t="shared" si="37"/>
        <v>0</v>
      </c>
      <c r="AM208" s="12" t="str">
        <f t="shared" si="42"/>
        <v/>
      </c>
      <c r="AN208" s="12" t="str">
        <f t="shared" si="43"/>
        <v/>
      </c>
      <c r="AO208" s="12" t="str">
        <f t="shared" si="44"/>
        <v/>
      </c>
      <c r="AP208" s="12" t="str">
        <f t="shared" si="45"/>
        <v/>
      </c>
      <c r="AQ208" s="12"/>
      <c r="AS208" s="12">
        <f t="shared" si="46"/>
        <v>4.8854866863370923</v>
      </c>
      <c r="AT208" s="16" t="str">
        <f t="shared" si="47"/>
        <v>Yes</v>
      </c>
    </row>
    <row r="209" spans="1:46" hidden="1" x14ac:dyDescent="0.25">
      <c r="A209" s="41">
        <f>CASOPOInvCL!T209</f>
        <v>2</v>
      </c>
      <c r="B209" t="str">
        <f>CASOPOInvCL!Z209</f>
        <v>SO16628</v>
      </c>
      <c r="G209" s="5">
        <f>CASOPOInvCL!I209</f>
        <v>0</v>
      </c>
      <c r="H209" s="31">
        <f>CASOPOInvCL!U209</f>
        <v>2</v>
      </c>
      <c r="I209" s="31">
        <f>CASOPOInvCL!V209</f>
        <v>2025</v>
      </c>
      <c r="J209" s="5" t="str">
        <f>CASOPOInvCL!AB209</f>
        <v>INV12724</v>
      </c>
      <c r="K209" s="31">
        <f>CASOPOInvCL!W209</f>
        <v>4</v>
      </c>
      <c r="L209" s="31">
        <f>CASOPOInvCL!X209</f>
        <v>2025</v>
      </c>
      <c r="M209" s="31"/>
      <c r="N209" s="5" t="str">
        <f>CASOPOInvCL!AF209</f>
        <v>Fabrene Inc.</v>
      </c>
      <c r="O209" s="16" t="str">
        <f>CASOPOInvCL!AG209</f>
        <v>CAD</v>
      </c>
      <c r="P209" s="16">
        <f>CASOPOInvCL!AH209</f>
        <v>0</v>
      </c>
      <c r="Q209" s="16">
        <f>CASOPOInvCL!AI209</f>
        <v>0</v>
      </c>
      <c r="R209" s="32" t="str">
        <f>CASOPOInvCL!AU209</f>
        <v/>
      </c>
      <c r="S209" s="16">
        <f>CASOPOInvCL!AV209</f>
        <v>0</v>
      </c>
      <c r="T209" s="16">
        <f>CASOPOInvCL!AW209</f>
        <v>0</v>
      </c>
      <c r="Y209" s="29" t="str">
        <f>IFERROR(HLOOKUP(U209,List!$D$2:$H$6,2,FALSE),"")</f>
        <v/>
      </c>
      <c r="Z209" s="29" t="str">
        <f>IFERROR(HLOOKUP(V209,List!$D$2:$H$6,3,FALSE),"")</f>
        <v/>
      </c>
      <c r="AA209" s="29" t="str">
        <f>IFERROR(HLOOKUP(W209,List!$D$2:$H$6,4,FALSE),"")</f>
        <v/>
      </c>
      <c r="AB209" s="29" t="str">
        <f>IFERROR(HLOOKUP(X209,List!$D$2:$H$6,5,FALSE),"")</f>
        <v/>
      </c>
      <c r="AC209" s="12" t="str">
        <f t="shared" si="38"/>
        <v/>
      </c>
      <c r="AD209" s="12" t="str">
        <f t="shared" si="39"/>
        <v/>
      </c>
      <c r="AE209" s="12" t="str">
        <f t="shared" si="40"/>
        <v/>
      </c>
      <c r="AF209" s="12" t="str">
        <f t="shared" si="41"/>
        <v/>
      </c>
      <c r="AG209" t="str">
        <f>VLOOKUP(J209,'Receivable Invoice Detail'!$A$1:F3221,6,FALSE)</f>
        <v>[G-70782 81 5127] Casing Gasket, 6", 3196 STX, Durlon 8500</v>
      </c>
      <c r="AH209" s="12">
        <f t="shared" si="37"/>
        <v>0</v>
      </c>
      <c r="AM209" s="12" t="str">
        <f t="shared" si="42"/>
        <v/>
      </c>
      <c r="AN209" s="12" t="str">
        <f t="shared" si="43"/>
        <v/>
      </c>
      <c r="AO209" s="12" t="str">
        <f t="shared" si="44"/>
        <v/>
      </c>
      <c r="AP209" s="12" t="str">
        <f t="shared" si="45"/>
        <v/>
      </c>
      <c r="AQ209" s="12"/>
      <c r="AS209" s="12">
        <f t="shared" si="46"/>
        <v>0</v>
      </c>
      <c r="AT209" s="16" t="str">
        <f t="shared" si="47"/>
        <v/>
      </c>
    </row>
    <row r="210" spans="1:46" hidden="1" x14ac:dyDescent="0.25">
      <c r="A210" s="41">
        <f>CASOPOInvCL!T210</f>
        <v>2</v>
      </c>
      <c r="B210" t="str">
        <f>CASOPOInvCL!Z210</f>
        <v>SO16630</v>
      </c>
      <c r="G210" s="5" t="str">
        <f>CASOPOInvCL!I210</f>
        <v>Ian Trottier</v>
      </c>
      <c r="H210" s="31">
        <f>CASOPOInvCL!U210</f>
        <v>2</v>
      </c>
      <c r="I210" s="31">
        <f>CASOPOInvCL!V210</f>
        <v>2025</v>
      </c>
      <c r="J210" s="5" t="str">
        <f>CASOPOInvCL!AB210</f>
        <v>INV12952</v>
      </c>
      <c r="K210" s="31">
        <f>CASOPOInvCL!W210</f>
        <v>6</v>
      </c>
      <c r="L210" s="31">
        <f>CASOPOInvCL!X210</f>
        <v>2025</v>
      </c>
      <c r="M210" s="31"/>
      <c r="N210" s="5" t="str">
        <f>CASOPOInvCL!AF210</f>
        <v>Motion Industries Inc. (Canada) - Prince George</v>
      </c>
      <c r="O210" s="16" t="str">
        <f>CASOPOInvCL!AG210</f>
        <v>CAD</v>
      </c>
      <c r="P210" s="16">
        <f>CASOPOInvCL!AH210</f>
        <v>313.66000000000003</v>
      </c>
      <c r="Q210" s="16">
        <f>CASOPOInvCL!AI210</f>
        <v>220.3074844243877</v>
      </c>
      <c r="R210" s="32" t="str">
        <f>CASOPOInvCL!AU210</f>
        <v>Yes</v>
      </c>
      <c r="S210" s="16">
        <f>CASOPOInvCL!AV210</f>
        <v>0</v>
      </c>
      <c r="T210" s="16">
        <f>CASOPOInvCL!AW210</f>
        <v>220.3074844243877</v>
      </c>
      <c r="Y210" s="29" t="str">
        <f>IFERROR(HLOOKUP(U210,List!$D$2:$H$6,2,FALSE),"")</f>
        <v/>
      </c>
      <c r="Z210" s="29" t="str">
        <f>IFERROR(HLOOKUP(V210,List!$D$2:$H$6,3,FALSE),"")</f>
        <v/>
      </c>
      <c r="AA210" s="29" t="str">
        <f>IFERROR(HLOOKUP(W210,List!$D$2:$H$6,4,FALSE),"")</f>
        <v/>
      </c>
      <c r="AB210" s="29" t="str">
        <f>IFERROR(HLOOKUP(X210,List!$D$2:$H$6,5,FALSE),"")</f>
        <v/>
      </c>
      <c r="AC210" s="12" t="str">
        <f t="shared" si="38"/>
        <v/>
      </c>
      <c r="AD210" s="12" t="str">
        <f t="shared" si="39"/>
        <v/>
      </c>
      <c r="AE210" s="12" t="str">
        <f t="shared" si="40"/>
        <v/>
      </c>
      <c r="AF210" s="12" t="str">
        <f t="shared" si="41"/>
        <v/>
      </c>
      <c r="AG210" t="str">
        <f>VLOOKUP(J210,'Receivable Invoice Detail'!$A$1:F3222,6,FALSE)</f>
        <v>[W-M30H5-V] Hex Nut, M30, Zinc Plated</v>
      </c>
      <c r="AH210" s="12">
        <f t="shared" si="37"/>
        <v>0</v>
      </c>
      <c r="AM210" s="12" t="str">
        <f t="shared" si="42"/>
        <v/>
      </c>
      <c r="AN210" s="12" t="str">
        <f t="shared" si="43"/>
        <v/>
      </c>
      <c r="AO210" s="12" t="str">
        <f t="shared" si="44"/>
        <v/>
      </c>
      <c r="AP210" s="12" t="str">
        <f t="shared" si="45"/>
        <v/>
      </c>
      <c r="AQ210" s="12"/>
      <c r="AS210" s="12">
        <f t="shared" si="46"/>
        <v>3.3046122663658153</v>
      </c>
      <c r="AT210" s="16" t="str">
        <f t="shared" si="47"/>
        <v>Yes</v>
      </c>
    </row>
    <row r="211" spans="1:46" hidden="1" x14ac:dyDescent="0.25">
      <c r="A211" s="41">
        <f>CASOPOInvCL!T211</f>
        <v>2</v>
      </c>
      <c r="B211" t="str">
        <f>CASOPOInvCL!Z211</f>
        <v>SO16630</v>
      </c>
      <c r="G211" s="5">
        <f>CASOPOInvCL!I211</f>
        <v>0</v>
      </c>
      <c r="H211" s="31">
        <f>CASOPOInvCL!U211</f>
        <v>2</v>
      </c>
      <c r="I211" s="31">
        <f>CASOPOInvCL!V211</f>
        <v>2025</v>
      </c>
      <c r="J211" s="5" t="str">
        <f>CASOPOInvCL!AB211</f>
        <v>INV12671</v>
      </c>
      <c r="K211" s="31">
        <f>CASOPOInvCL!W211</f>
        <v>3</v>
      </c>
      <c r="L211" s="31">
        <f>CASOPOInvCL!X211</f>
        <v>2025</v>
      </c>
      <c r="M211" s="31"/>
      <c r="N211" s="5" t="str">
        <f>CASOPOInvCL!AF211</f>
        <v>Motion Industries Inc. (Canada) - Prince George</v>
      </c>
      <c r="O211" s="16" t="str">
        <f>CASOPOInvCL!AG211</f>
        <v>CAD</v>
      </c>
      <c r="P211" s="16">
        <f>CASOPOInvCL!AH211</f>
        <v>0</v>
      </c>
      <c r="Q211" s="16">
        <f>CASOPOInvCL!AI211</f>
        <v>0</v>
      </c>
      <c r="R211" s="32" t="str">
        <f>CASOPOInvCL!AU211</f>
        <v/>
      </c>
      <c r="S211" s="16">
        <f>CASOPOInvCL!AV211</f>
        <v>0</v>
      </c>
      <c r="T211" s="16">
        <f>CASOPOInvCL!AW211</f>
        <v>0</v>
      </c>
      <c r="Y211" s="29" t="str">
        <f>IFERROR(HLOOKUP(U211,List!$D$2:$H$6,2,FALSE),"")</f>
        <v/>
      </c>
      <c r="Z211" s="29" t="str">
        <f>IFERROR(HLOOKUP(V211,List!$D$2:$H$6,3,FALSE),"")</f>
        <v/>
      </c>
      <c r="AA211" s="29" t="str">
        <f>IFERROR(HLOOKUP(W211,List!$D$2:$H$6,4,FALSE),"")</f>
        <v/>
      </c>
      <c r="AB211" s="29" t="str">
        <f>IFERROR(HLOOKUP(X211,List!$D$2:$H$6,5,FALSE),"")</f>
        <v/>
      </c>
      <c r="AC211" s="12" t="str">
        <f t="shared" si="38"/>
        <v/>
      </c>
      <c r="AD211" s="12" t="str">
        <f t="shared" si="39"/>
        <v/>
      </c>
      <c r="AE211" s="12" t="str">
        <f t="shared" si="40"/>
        <v/>
      </c>
      <c r="AF211" s="12" t="str">
        <f t="shared" si="41"/>
        <v/>
      </c>
      <c r="AG211" t="str">
        <f>VLOOKUP(J211,'Receivable Invoice Detail'!$A$1:F3223,6,FALSE)</f>
        <v>[W-M30H5-V] Hex Nut, M30, Zinc Plated</v>
      </c>
      <c r="AH211" s="12">
        <f t="shared" si="37"/>
        <v>0</v>
      </c>
      <c r="AM211" s="12" t="str">
        <f t="shared" si="42"/>
        <v/>
      </c>
      <c r="AN211" s="12" t="str">
        <f t="shared" si="43"/>
        <v/>
      </c>
      <c r="AO211" s="12" t="str">
        <f t="shared" si="44"/>
        <v/>
      </c>
      <c r="AP211" s="12" t="str">
        <f t="shared" si="45"/>
        <v/>
      </c>
      <c r="AQ211" s="12"/>
      <c r="AS211" s="12">
        <f t="shared" si="46"/>
        <v>0</v>
      </c>
      <c r="AT211" s="16" t="str">
        <f t="shared" si="47"/>
        <v/>
      </c>
    </row>
    <row r="212" spans="1:46" hidden="1" x14ac:dyDescent="0.25">
      <c r="A212" s="41">
        <f>CASOPOInvCL!T212</f>
        <v>1</v>
      </c>
      <c r="B212" t="str">
        <f>CASOPOInvCL!Z212</f>
        <v>SO16636</v>
      </c>
      <c r="G212" s="5" t="str">
        <f>CASOPOInvCL!I212</f>
        <v>Ian Trottier</v>
      </c>
      <c r="H212" s="31">
        <f>CASOPOInvCL!U212</f>
        <v>2</v>
      </c>
      <c r="I212" s="31">
        <f>CASOPOInvCL!V212</f>
        <v>2025</v>
      </c>
      <c r="J212" s="5" t="str">
        <f>CASOPOInvCL!AB212</f>
        <v>INV12651</v>
      </c>
      <c r="K212" s="31">
        <f>CASOPOInvCL!W212</f>
        <v>4</v>
      </c>
      <c r="L212" s="31">
        <f>CASOPOInvCL!X212</f>
        <v>2025</v>
      </c>
      <c r="M212" s="31"/>
      <c r="N212" s="5" t="str">
        <f>CASOPOInvCL!AF212</f>
        <v>Fabrene Inc.</v>
      </c>
      <c r="O212" s="16" t="str">
        <f>CASOPOInvCL!AG212</f>
        <v>CAD</v>
      </c>
      <c r="P212" s="16">
        <f>CASOPOInvCL!AH212</f>
        <v>836.73</v>
      </c>
      <c r="Q212" s="16">
        <f>CASOPOInvCL!AI212</f>
        <v>589.46193714584251</v>
      </c>
      <c r="R212" s="32" t="str">
        <f>CASOPOInvCL!AU212</f>
        <v>Yes</v>
      </c>
      <c r="S212" s="16">
        <f>CASOPOInvCL!AV212</f>
        <v>0</v>
      </c>
      <c r="T212" s="16">
        <f>CASOPOInvCL!AW212</f>
        <v>589.46193714584251</v>
      </c>
      <c r="Y212" s="29" t="str">
        <f>IFERROR(HLOOKUP(U212,List!$D$2:$H$6,2,FALSE),"")</f>
        <v/>
      </c>
      <c r="Z212" s="29" t="str">
        <f>IFERROR(HLOOKUP(V212,List!$D$2:$H$6,3,FALSE),"")</f>
        <v/>
      </c>
      <c r="AA212" s="29" t="str">
        <f>IFERROR(HLOOKUP(W212,List!$D$2:$H$6,4,FALSE),"")</f>
        <v/>
      </c>
      <c r="AB212" s="29" t="str">
        <f>IFERROR(HLOOKUP(X212,List!$D$2:$H$6,5,FALSE),"")</f>
        <v/>
      </c>
      <c r="AC212" s="12" t="str">
        <f t="shared" si="38"/>
        <v/>
      </c>
      <c r="AD212" s="12" t="str">
        <f t="shared" si="39"/>
        <v/>
      </c>
      <c r="AE212" s="12" t="str">
        <f t="shared" si="40"/>
        <v/>
      </c>
      <c r="AF212" s="12" t="str">
        <f t="shared" si="41"/>
        <v/>
      </c>
      <c r="AG212" t="str">
        <f>VLOOKUP(J212,'Receivable Invoice Detail'!$A$1:F3224,6,FALSE)</f>
        <v>[TSSC-J01-1.375(BIG BORE)-00] Single Cartridge Seal, 1 3/8", D-196 STX or D-III Group 1, Big Bore, Carbon vs Silicon Carbide w/Aflas Elastomers</v>
      </c>
      <c r="AH212" s="12">
        <f t="shared" si="37"/>
        <v>0</v>
      </c>
      <c r="AM212" s="12" t="str">
        <f t="shared" si="42"/>
        <v/>
      </c>
      <c r="AN212" s="12" t="str">
        <f t="shared" si="43"/>
        <v/>
      </c>
      <c r="AO212" s="12" t="str">
        <f t="shared" si="44"/>
        <v/>
      </c>
      <c r="AP212" s="12" t="str">
        <f t="shared" si="45"/>
        <v/>
      </c>
      <c r="AQ212" s="12"/>
      <c r="AS212" s="12">
        <f t="shared" si="46"/>
        <v>8.8419290571876381</v>
      </c>
      <c r="AT212" s="16" t="str">
        <f t="shared" si="47"/>
        <v>Yes</v>
      </c>
    </row>
    <row r="213" spans="1:46" hidden="1" x14ac:dyDescent="0.25">
      <c r="A213" s="41">
        <f>CASOPOInvCL!T213</f>
        <v>1</v>
      </c>
      <c r="B213" t="str">
        <f>CASOPOInvCL!Z213</f>
        <v>SO16637</v>
      </c>
      <c r="G213" s="5" t="str">
        <f>CASOPOInvCL!I213</f>
        <v>Ian Trottier</v>
      </c>
      <c r="H213" s="31">
        <f>CASOPOInvCL!U213</f>
        <v>2</v>
      </c>
      <c r="I213" s="31">
        <f>CASOPOInvCL!V213</f>
        <v>2025</v>
      </c>
      <c r="J213" s="5" t="str">
        <f>CASOPOInvCL!AB213</f>
        <v>INV12694</v>
      </c>
      <c r="K213" s="31">
        <f>CASOPOInvCL!W213</f>
        <v>5</v>
      </c>
      <c r="L213" s="31">
        <f>CASOPOInvCL!X213</f>
        <v>2025</v>
      </c>
      <c r="M213" s="31"/>
      <c r="N213" s="5" t="str">
        <f>CASOPOInvCL!AF213</f>
        <v>Resolute Forest Products - Saint-Felicien</v>
      </c>
      <c r="O213" s="16" t="str">
        <f>CASOPOInvCL!AG213</f>
        <v>CAD</v>
      </c>
      <c r="P213" s="16">
        <f>CASOPOInvCL!AH213</f>
        <v>328.88</v>
      </c>
      <c r="Q213" s="16">
        <f>CASOPOInvCL!AI213</f>
        <v>227.84998040683291</v>
      </c>
      <c r="R213" s="32" t="str">
        <f>CASOPOInvCL!AU213</f>
        <v>Yes</v>
      </c>
      <c r="S213" s="16">
        <f>CASOPOInvCL!AV213</f>
        <v>0</v>
      </c>
      <c r="T213" s="16">
        <f>CASOPOInvCL!AW213</f>
        <v>227.84998040683291</v>
      </c>
      <c r="Y213" s="29" t="str">
        <f>IFERROR(HLOOKUP(U213,List!$D$2:$H$6,2,FALSE),"")</f>
        <v/>
      </c>
      <c r="Z213" s="29" t="str">
        <f>IFERROR(HLOOKUP(V213,List!$D$2:$H$6,3,FALSE),"")</f>
        <v/>
      </c>
      <c r="AA213" s="29" t="str">
        <f>IFERROR(HLOOKUP(W213,List!$D$2:$H$6,4,FALSE),"")</f>
        <v/>
      </c>
      <c r="AB213" s="29" t="str">
        <f>IFERROR(HLOOKUP(X213,List!$D$2:$H$6,5,FALSE),"")</f>
        <v/>
      </c>
      <c r="AC213" s="12" t="str">
        <f t="shared" si="38"/>
        <v/>
      </c>
      <c r="AD213" s="12" t="str">
        <f t="shared" si="39"/>
        <v/>
      </c>
      <c r="AE213" s="12" t="str">
        <f t="shared" si="40"/>
        <v/>
      </c>
      <c r="AF213" s="12" t="str">
        <f t="shared" si="41"/>
        <v/>
      </c>
      <c r="AG213" t="str">
        <f>VLOOKUP(J213,'Receivable Invoice Detail'!$A$1:F3225,6,FALSE)</f>
        <v>[AC-52-108-475-013] Deflector (Outboard), Allis-Chalmers PWO, Group 2</v>
      </c>
      <c r="AH213" s="12">
        <f t="shared" si="37"/>
        <v>0</v>
      </c>
      <c r="AM213" s="12" t="str">
        <f t="shared" si="42"/>
        <v/>
      </c>
      <c r="AN213" s="12" t="str">
        <f t="shared" si="43"/>
        <v/>
      </c>
      <c r="AO213" s="12" t="str">
        <f t="shared" si="44"/>
        <v/>
      </c>
      <c r="AP213" s="12" t="str">
        <f t="shared" si="45"/>
        <v/>
      </c>
      <c r="AQ213" s="12"/>
      <c r="AS213" s="12">
        <f t="shared" si="46"/>
        <v>3.4177497061024935</v>
      </c>
      <c r="AT213" s="16" t="str">
        <f t="shared" si="47"/>
        <v>Yes</v>
      </c>
    </row>
    <row r="214" spans="1:46" hidden="1" x14ac:dyDescent="0.25">
      <c r="A214" s="41">
        <f>CASOPOInvCL!T214</f>
        <v>1</v>
      </c>
      <c r="B214" t="str">
        <f>CASOPOInvCL!Z214</f>
        <v>SO16640</v>
      </c>
      <c r="G214" s="5" t="str">
        <f>CASOPOInvCL!I214</f>
        <v>Ian Trottier</v>
      </c>
      <c r="H214" s="31">
        <f>CASOPOInvCL!U214</f>
        <v>2</v>
      </c>
      <c r="I214" s="31">
        <f>CASOPOInvCL!V214</f>
        <v>2025</v>
      </c>
      <c r="J214" s="5" t="str">
        <f>CASOPOInvCL!AB214</f>
        <v>INV12831</v>
      </c>
      <c r="K214" s="31">
        <f>CASOPOInvCL!W214</f>
        <v>5</v>
      </c>
      <c r="L214" s="31">
        <f>CASOPOInvCL!X214</f>
        <v>2025</v>
      </c>
      <c r="M214" s="31"/>
      <c r="N214" s="5" t="str">
        <f>CASOPOInvCL!AF214</f>
        <v>Cartledge &amp; Associates Inc.</v>
      </c>
      <c r="O214" s="16" t="str">
        <f>CASOPOInvCL!AG214</f>
        <v>USD</v>
      </c>
      <c r="P214" s="16">
        <f>CASOPOInvCL!AH214</f>
        <v>5120.1867287770201</v>
      </c>
      <c r="Q214" s="16">
        <f>CASOPOInvCL!AI214</f>
        <v>3596.3</v>
      </c>
      <c r="R214" s="32" t="str">
        <f>CASOPOInvCL!AU214</f>
        <v>Yes</v>
      </c>
      <c r="S214" s="16">
        <f>CASOPOInvCL!AV214</f>
        <v>0</v>
      </c>
      <c r="T214" s="16">
        <f>CASOPOInvCL!AW214</f>
        <v>3596.3</v>
      </c>
      <c r="Y214" s="29" t="str">
        <f>IFERROR(HLOOKUP(U214,List!$D$2:$H$6,2,FALSE),"")</f>
        <v/>
      </c>
      <c r="Z214" s="29" t="str">
        <f>IFERROR(HLOOKUP(V214,List!$D$2:$H$6,3,FALSE),"")</f>
        <v/>
      </c>
      <c r="AA214" s="29" t="str">
        <f>IFERROR(HLOOKUP(W214,List!$D$2:$H$6,4,FALSE),"")</f>
        <v/>
      </c>
      <c r="AB214" s="29" t="str">
        <f>IFERROR(HLOOKUP(X214,List!$D$2:$H$6,5,FALSE),"")</f>
        <v/>
      </c>
      <c r="AC214" s="12" t="str">
        <f t="shared" si="38"/>
        <v/>
      </c>
      <c r="AD214" s="12" t="str">
        <f t="shared" si="39"/>
        <v/>
      </c>
      <c r="AE214" s="12" t="str">
        <f t="shared" si="40"/>
        <v/>
      </c>
      <c r="AF214" s="12" t="str">
        <f t="shared" si="41"/>
        <v/>
      </c>
      <c r="AG214" t="str">
        <f>VLOOKUP(J214,'Receivable Invoice Detail'!$A$1:F3226,6,FALSE)</f>
        <v>[504889] Impeller, 8x6, Denver SRL, Natural Rubber</v>
      </c>
      <c r="AH214" s="12">
        <f t="shared" si="37"/>
        <v>0</v>
      </c>
      <c r="AM214" s="12" t="str">
        <f t="shared" si="42"/>
        <v/>
      </c>
      <c r="AN214" s="12" t="str">
        <f t="shared" si="43"/>
        <v/>
      </c>
      <c r="AO214" s="12" t="str">
        <f t="shared" si="44"/>
        <v/>
      </c>
      <c r="AP214" s="12" t="str">
        <f t="shared" si="45"/>
        <v/>
      </c>
      <c r="AQ214" s="12"/>
      <c r="AS214" s="12">
        <f t="shared" si="46"/>
        <v>53.944499999999998</v>
      </c>
      <c r="AT214" s="16" t="str">
        <f t="shared" si="47"/>
        <v>Yes</v>
      </c>
    </row>
    <row r="215" spans="1:46" hidden="1" x14ac:dyDescent="0.25">
      <c r="A215" s="41">
        <f>CASOPOInvCL!T215</f>
        <v>1</v>
      </c>
      <c r="B215" s="76" t="str">
        <f>CASOPOInvCL!Z215</f>
        <v>SO16642</v>
      </c>
      <c r="G215" s="5" t="str">
        <f>CASOPOInvCL!I215</f>
        <v>Jeff Bell</v>
      </c>
      <c r="H215" s="31">
        <f>CASOPOInvCL!U215</f>
        <v>2</v>
      </c>
      <c r="I215" s="31">
        <f>CASOPOInvCL!V215</f>
        <v>2025</v>
      </c>
      <c r="J215" s="5" t="str">
        <f>CASOPOInvCL!AB215</f>
        <v>INV12766</v>
      </c>
      <c r="K215" s="31">
        <f>CASOPOInvCL!W215</f>
        <v>4</v>
      </c>
      <c r="L215" s="31">
        <f>CASOPOInvCL!X215</f>
        <v>2025</v>
      </c>
      <c r="M215" s="31"/>
      <c r="N215" s="5" t="str">
        <f>CASOPOInvCL!AF215</f>
        <v>Barrick Gold - Pueblo Viejo Dominicana Corporation</v>
      </c>
      <c r="O215" s="16" t="str">
        <f>CASOPOInvCL!AG215</f>
        <v>USD</v>
      </c>
      <c r="P215" s="16">
        <f>CASOPOInvCL!AH215</f>
        <v>249.8286500279396</v>
      </c>
      <c r="Q215" s="16">
        <f>CASOPOInvCL!AI215</f>
        <v>176</v>
      </c>
      <c r="R215" s="32" t="str">
        <f>CASOPOInvCL!AU215</f>
        <v>Yes</v>
      </c>
      <c r="S215" s="16">
        <f>CASOPOInvCL!AV215</f>
        <v>0</v>
      </c>
      <c r="T215" s="16">
        <f>CASOPOInvCL!AW215</f>
        <v>176</v>
      </c>
      <c r="Y215" s="29" t="str">
        <f>IFERROR(HLOOKUP(U215,List!$D$2:$H$6,2,FALSE),"")</f>
        <v/>
      </c>
      <c r="Z215" s="29" t="str">
        <f>IFERROR(HLOOKUP(V215,List!$D$2:$H$6,3,FALSE),"")</f>
        <v/>
      </c>
      <c r="AA215" s="29" t="str">
        <f>IFERROR(HLOOKUP(W215,List!$D$2:$H$6,4,FALSE),"")</f>
        <v/>
      </c>
      <c r="AB215" s="29" t="str">
        <f>IFERROR(HLOOKUP(X215,List!$D$2:$H$6,5,FALSE),"")</f>
        <v/>
      </c>
      <c r="AC215" s="12" t="str">
        <f t="shared" si="38"/>
        <v/>
      </c>
      <c r="AD215" s="12" t="str">
        <f t="shared" si="39"/>
        <v/>
      </c>
      <c r="AE215" s="12" t="str">
        <f t="shared" si="40"/>
        <v/>
      </c>
      <c r="AF215" s="12" t="str">
        <f t="shared" si="41"/>
        <v/>
      </c>
      <c r="AG215" t="str">
        <f>VLOOKUP(J215,'Receivable Invoice Detail'!$A$1:F3227,6,FALSE)</f>
        <v>[GATES - XPC2240] V-Belt, Wedge, Gates, SPC 2240mm, Synthetic Rubber</v>
      </c>
      <c r="AH215" s="12">
        <f t="shared" si="37"/>
        <v>0</v>
      </c>
      <c r="AM215" s="12" t="str">
        <f t="shared" si="42"/>
        <v/>
      </c>
      <c r="AN215" s="12" t="str">
        <f t="shared" si="43"/>
        <v/>
      </c>
      <c r="AO215" s="12" t="str">
        <f t="shared" si="44"/>
        <v/>
      </c>
      <c r="AP215" s="12" t="str">
        <f t="shared" si="45"/>
        <v/>
      </c>
      <c r="AQ215" s="64">
        <v>2503</v>
      </c>
      <c r="AR215" s="64" t="s">
        <v>5934</v>
      </c>
      <c r="AS215" s="12">
        <f t="shared" si="46"/>
        <v>2.6399999999999997</v>
      </c>
      <c r="AT215" s="16" t="str">
        <f t="shared" si="47"/>
        <v>Yes</v>
      </c>
    </row>
    <row r="216" spans="1:46" hidden="1" x14ac:dyDescent="0.25">
      <c r="A216" s="41">
        <f>CASOPOInvCL!T216</f>
        <v>2</v>
      </c>
      <c r="B216" t="str">
        <f>CASOPOInvCL!Z216</f>
        <v>SO16645</v>
      </c>
      <c r="E216" t="s">
        <v>5925</v>
      </c>
      <c r="G216" s="5" t="str">
        <f>CASOPOInvCL!I216</f>
        <v>Ian Trottier</v>
      </c>
      <c r="H216" s="31">
        <f>CASOPOInvCL!U216</f>
        <v>2</v>
      </c>
      <c r="I216" s="31">
        <f>CASOPOInvCL!V216</f>
        <v>2025</v>
      </c>
      <c r="J216" s="5" t="str">
        <f>CASOPOInvCL!AB216</f>
        <v>INV13221</v>
      </c>
      <c r="K216" s="31">
        <f>CASOPOInvCL!W216</f>
        <v>8</v>
      </c>
      <c r="L216" s="31">
        <f>CASOPOInvCL!X216</f>
        <v>2025</v>
      </c>
      <c r="M216">
        <v>2503</v>
      </c>
      <c r="N216" s="5" t="str">
        <f>CASOPOInvCL!AF216</f>
        <v>Corrosion Fluid Products Corp., Corrosion Fluid Products Corp. - Chicago</v>
      </c>
      <c r="O216" s="16" t="str">
        <f>CASOPOInvCL!AG216</f>
        <v>USD</v>
      </c>
      <c r="P216" s="16">
        <f>CASOPOInvCL!AH216</f>
        <v>61849.473181507048</v>
      </c>
      <c r="Q216" s="16">
        <f>CASOPOInvCL!AI216</f>
        <v>43006.8</v>
      </c>
      <c r="R216" s="32" t="str">
        <f>CASOPOInvCL!AU216</f>
        <v>Yes</v>
      </c>
      <c r="S216" s="16">
        <f>CASOPOInvCL!AV216</f>
        <v>0</v>
      </c>
      <c r="T216" s="16">
        <f>CASOPOInvCL!AW216</f>
        <v>43006.8</v>
      </c>
      <c r="W216" t="s">
        <v>5800</v>
      </c>
      <c r="Y216" s="29" t="str">
        <f>IFERROR(HLOOKUP(U216,List!$D$2:$H$6,2,FALSE),"")</f>
        <v/>
      </c>
      <c r="Z216" s="29" t="str">
        <f>IFERROR(HLOOKUP(V216,List!$D$2:$H$6,3,FALSE),"")</f>
        <v/>
      </c>
      <c r="AA216" s="29">
        <f>IFERROR(HLOOKUP(W216,List!$D$2:$H$6,4,FALSE),"")</f>
        <v>0.01</v>
      </c>
      <c r="AB216" s="29" t="str">
        <f>IFERROR(HLOOKUP(X216,List!$D$2:$H$6,5,FALSE),"")</f>
        <v/>
      </c>
      <c r="AC216" s="12" t="str">
        <f t="shared" si="38"/>
        <v/>
      </c>
      <c r="AD216" s="12" t="str">
        <f t="shared" si="39"/>
        <v/>
      </c>
      <c r="AE216" s="12">
        <f t="shared" si="40"/>
        <v>430.06800000000004</v>
      </c>
      <c r="AF216" s="12" t="str">
        <f t="shared" si="41"/>
        <v/>
      </c>
      <c r="AG216" t="str">
        <f>VLOOKUP(J216,'Receivable Invoice Detail'!$A$1:F3228,6,FALSE)</f>
        <v>[GA-4SR4*5100x72] Sump Pump, G-Series 4" VSP, 5000 Series, 72" Column, Bearing Frame 4, Acid-Proof, Neoprene Covered</v>
      </c>
      <c r="AH216" s="12">
        <f t="shared" si="37"/>
        <v>430.06800000000004</v>
      </c>
      <c r="AM216" s="12" t="str">
        <f t="shared" si="42"/>
        <v/>
      </c>
      <c r="AN216" s="12" t="str">
        <f t="shared" si="43"/>
        <v/>
      </c>
      <c r="AO216" s="12">
        <f t="shared" si="44"/>
        <v>430.06800000000004</v>
      </c>
      <c r="AP216" s="12" t="str">
        <f t="shared" si="45"/>
        <v/>
      </c>
      <c r="AQ216" s="64">
        <v>2503</v>
      </c>
      <c r="AR216" t="s">
        <v>5932</v>
      </c>
      <c r="AS216" s="12">
        <f t="shared" si="46"/>
        <v>645.10199999999998</v>
      </c>
      <c r="AT216" s="16" t="str">
        <f t="shared" si="47"/>
        <v>Yes</v>
      </c>
    </row>
    <row r="217" spans="1:46" hidden="1" x14ac:dyDescent="0.25">
      <c r="A217" s="41">
        <f>CASOPOInvCL!T217</f>
        <v>2</v>
      </c>
      <c r="B217" t="str">
        <f>CASOPOInvCL!Z217</f>
        <v>SO16645</v>
      </c>
      <c r="E217" t="s">
        <v>5925</v>
      </c>
      <c r="G217" s="5">
        <f>CASOPOInvCL!I217</f>
        <v>0</v>
      </c>
      <c r="H217" s="31">
        <f>CASOPOInvCL!U217</f>
        <v>2</v>
      </c>
      <c r="I217" s="31">
        <f>CASOPOInvCL!V217</f>
        <v>2025</v>
      </c>
      <c r="J217" s="5" t="str">
        <f>CASOPOInvCL!AB217</f>
        <v>INV13247</v>
      </c>
      <c r="K217" s="31">
        <f>CASOPOInvCL!W217</f>
        <v>9</v>
      </c>
      <c r="L217" s="31">
        <f>CASOPOInvCL!X217</f>
        <v>2025</v>
      </c>
      <c r="M217">
        <v>2503</v>
      </c>
      <c r="N217" s="5" t="str">
        <f>CASOPOInvCL!AF217</f>
        <v>Corrosion Fluid Products Corp., Corrosion Fluid Products Corp. - Chicago</v>
      </c>
      <c r="O217" s="16" t="str">
        <f>CASOPOInvCL!AG217</f>
        <v>USD</v>
      </c>
      <c r="P217" s="16">
        <f>CASOPOInvCL!AH217</f>
        <v>0</v>
      </c>
      <c r="Q217" s="16">
        <f>CASOPOInvCL!AI217</f>
        <v>0</v>
      </c>
      <c r="R217" s="32" t="str">
        <f>CASOPOInvCL!AU217</f>
        <v/>
      </c>
      <c r="S217" s="16">
        <f>CASOPOInvCL!AV217</f>
        <v>0</v>
      </c>
      <c r="T217" s="16">
        <f>CASOPOInvCL!AW217</f>
        <v>0</v>
      </c>
      <c r="W217" t="s">
        <v>5800</v>
      </c>
      <c r="Y217" s="29" t="str">
        <f>IFERROR(HLOOKUP(U217,List!$D$2:$H$6,2,FALSE),"")</f>
        <v/>
      </c>
      <c r="Z217" s="29" t="str">
        <f>IFERROR(HLOOKUP(V217,List!$D$2:$H$6,3,FALSE),"")</f>
        <v/>
      </c>
      <c r="AA217" s="29">
        <f>IFERROR(HLOOKUP(W217,List!$D$2:$H$6,4,FALSE),"")</f>
        <v>0.01</v>
      </c>
      <c r="AB217" s="29" t="str">
        <f>IFERROR(HLOOKUP(X217,List!$D$2:$H$6,5,FALSE),"")</f>
        <v/>
      </c>
      <c r="AC217" s="12" t="str">
        <f t="shared" si="38"/>
        <v/>
      </c>
      <c r="AD217" s="12" t="str">
        <f t="shared" si="39"/>
        <v/>
      </c>
      <c r="AE217" s="12">
        <f t="shared" si="40"/>
        <v>0</v>
      </c>
      <c r="AF217" s="12" t="str">
        <f t="shared" si="41"/>
        <v/>
      </c>
      <c r="AG217" t="str">
        <f>VLOOKUP(J217,'Receivable Invoice Detail'!$A$1:F3229,6,FALSE)</f>
        <v>[SHEBELTS] Sheaves and Belts</v>
      </c>
      <c r="AH217" s="12">
        <f t="shared" si="37"/>
        <v>0</v>
      </c>
      <c r="AM217" s="12" t="str">
        <f t="shared" si="42"/>
        <v/>
      </c>
      <c r="AN217" s="12" t="str">
        <f t="shared" si="43"/>
        <v/>
      </c>
      <c r="AO217" s="12">
        <f t="shared" si="44"/>
        <v>0</v>
      </c>
      <c r="AP217" s="12" t="str">
        <f t="shared" si="45"/>
        <v/>
      </c>
      <c r="AQ217" s="64">
        <v>2503</v>
      </c>
      <c r="AR217" t="s">
        <v>5932</v>
      </c>
      <c r="AS217" s="12">
        <f t="shared" si="46"/>
        <v>0</v>
      </c>
      <c r="AT217" s="16" t="str">
        <f t="shared" si="47"/>
        <v/>
      </c>
    </row>
    <row r="218" spans="1:46" hidden="1" x14ac:dyDescent="0.25">
      <c r="A218" s="41">
        <f>CASOPOInvCL!T218</f>
        <v>1</v>
      </c>
      <c r="B218" t="str">
        <f>CASOPOInvCL!Z218</f>
        <v>SO16646</v>
      </c>
      <c r="G218" s="5" t="str">
        <f>CASOPOInvCL!I218</f>
        <v>Ian Trottier</v>
      </c>
      <c r="H218" s="31">
        <f>CASOPOInvCL!U218</f>
        <v>2</v>
      </c>
      <c r="I218" s="31">
        <f>CASOPOInvCL!V218</f>
        <v>2025</v>
      </c>
      <c r="J218" s="5" t="str">
        <f>CASOPOInvCL!AB218</f>
        <v>INV12920</v>
      </c>
      <c r="K218" s="31">
        <f>CASOPOInvCL!W218</f>
        <v>5</v>
      </c>
      <c r="L218" s="31">
        <f>CASOPOInvCL!X218</f>
        <v>2025</v>
      </c>
      <c r="M218" s="31"/>
      <c r="N218" s="5" t="str">
        <f>CASOPOInvCL!AF218</f>
        <v>MAB Equipment Company Inc.</v>
      </c>
      <c r="O218" s="16" t="str">
        <f>CASOPOInvCL!AG218</f>
        <v>USD</v>
      </c>
      <c r="P218" s="16">
        <f>CASOPOInvCL!AH218</f>
        <v>5735.5251048723885</v>
      </c>
      <c r="Q218" s="16">
        <f>CASOPOInvCL!AI218</f>
        <v>4128.96</v>
      </c>
      <c r="R218" s="32" t="str">
        <f>CASOPOInvCL!AU218</f>
        <v>Yes</v>
      </c>
      <c r="S218" s="16">
        <f>CASOPOInvCL!AV218</f>
        <v>652</v>
      </c>
      <c r="T218" s="16">
        <f>CASOPOInvCL!AW218</f>
        <v>3476.96</v>
      </c>
      <c r="Y218" s="29" t="str">
        <f>IFERROR(HLOOKUP(U218,List!$D$2:$H$6,2,FALSE),"")</f>
        <v/>
      </c>
      <c r="Z218" s="29" t="str">
        <f>IFERROR(HLOOKUP(V218,List!$D$2:$H$6,3,FALSE),"")</f>
        <v/>
      </c>
      <c r="AA218" s="29" t="str">
        <f>IFERROR(HLOOKUP(W218,List!$D$2:$H$6,4,FALSE),"")</f>
        <v/>
      </c>
      <c r="AB218" s="29" t="str">
        <f>IFERROR(HLOOKUP(X218,List!$D$2:$H$6,5,FALSE),"")</f>
        <v/>
      </c>
      <c r="AC218" s="12" t="str">
        <f t="shared" si="38"/>
        <v/>
      </c>
      <c r="AD218" s="12" t="str">
        <f t="shared" si="39"/>
        <v/>
      </c>
      <c r="AE218" s="12" t="str">
        <f t="shared" si="40"/>
        <v/>
      </c>
      <c r="AF218" s="12" t="str">
        <f t="shared" si="41"/>
        <v/>
      </c>
      <c r="AG218" t="str">
        <f>VLOOKUP(J218,'Receivable Invoice Detail'!$A$1:F3230,6,FALSE)</f>
        <v>[W-F078/A05] Stuffing Box, High Chrome</v>
      </c>
      <c r="AH218" s="12">
        <f t="shared" si="37"/>
        <v>0</v>
      </c>
      <c r="AM218" s="12" t="str">
        <f t="shared" si="42"/>
        <v/>
      </c>
      <c r="AN218" s="12" t="str">
        <f t="shared" si="43"/>
        <v/>
      </c>
      <c r="AO218" s="12" t="str">
        <f t="shared" si="44"/>
        <v/>
      </c>
      <c r="AP218" s="12" t="str">
        <f t="shared" si="45"/>
        <v/>
      </c>
      <c r="AQ218" s="12"/>
      <c r="AS218" s="12">
        <f t="shared" si="46"/>
        <v>52.154399999999995</v>
      </c>
      <c r="AT218" s="16" t="str">
        <f t="shared" si="47"/>
        <v>Yes</v>
      </c>
    </row>
    <row r="219" spans="1:46" hidden="1" x14ac:dyDescent="0.25">
      <c r="A219" s="41">
        <f>CASOPOInvCL!T219</f>
        <v>1</v>
      </c>
      <c r="B219" t="str">
        <f>CASOPOInvCL!Z219</f>
        <v>SO16647</v>
      </c>
      <c r="D219" t="s">
        <v>5938</v>
      </c>
      <c r="G219" s="5" t="str">
        <f>CASOPOInvCL!I219</f>
        <v>Marlen Martinez</v>
      </c>
      <c r="H219" s="31">
        <f>CASOPOInvCL!U219</f>
        <v>2</v>
      </c>
      <c r="I219" s="31">
        <f>CASOPOInvCL!V219</f>
        <v>2025</v>
      </c>
      <c r="J219" s="5" t="str">
        <f>CASOPOInvCL!AB219</f>
        <v>INV12681</v>
      </c>
      <c r="K219" s="31">
        <f>CASOPOInvCL!W219</f>
        <v>6</v>
      </c>
      <c r="L219" s="31">
        <f>CASOPOInvCL!X219</f>
        <v>2025</v>
      </c>
      <c r="M219">
        <v>2504</v>
      </c>
      <c r="N219" s="5" t="str">
        <f>CASOPOInvCL!AF219</f>
        <v>Covia Corp - Roff</v>
      </c>
      <c r="O219" s="16" t="str">
        <f>CASOPOInvCL!AG219</f>
        <v>USD</v>
      </c>
      <c r="P219" s="16">
        <f>CASOPOInvCL!AH219</f>
        <v>9353.6698259040222</v>
      </c>
      <c r="Q219" s="16">
        <f>CASOPOInvCL!AI219</f>
        <v>6589.5</v>
      </c>
      <c r="R219" s="32" t="str">
        <f>CASOPOInvCL!AU219</f>
        <v>Yes</v>
      </c>
      <c r="S219" s="16">
        <f>CASOPOInvCL!AV219</f>
        <v>637</v>
      </c>
      <c r="T219" s="16">
        <f>CASOPOInvCL!AW219</f>
        <v>5952.5</v>
      </c>
      <c r="Y219" s="29" t="str">
        <f>IFERROR(HLOOKUP(U219,List!$D$2:$H$6,2,FALSE),"")</f>
        <v/>
      </c>
      <c r="Z219" s="29" t="str">
        <f>IFERROR(HLOOKUP(V219,List!$D$2:$H$6,3,FALSE),"")</f>
        <v/>
      </c>
      <c r="AA219" s="29" t="str">
        <f>IFERROR(HLOOKUP(W219,List!$D$2:$H$6,4,FALSE),"")</f>
        <v/>
      </c>
      <c r="AB219" s="29" t="str">
        <f>IFERROR(HLOOKUP(X219,List!$D$2:$H$6,5,FALSE),"")</f>
        <v/>
      </c>
      <c r="AC219" s="12" t="str">
        <f t="shared" si="38"/>
        <v/>
      </c>
      <c r="AD219" s="12" t="str">
        <f t="shared" si="39"/>
        <v/>
      </c>
      <c r="AE219" s="12" t="str">
        <f t="shared" si="40"/>
        <v/>
      </c>
      <c r="AF219" s="12" t="str">
        <f t="shared" si="41"/>
        <v/>
      </c>
      <c r="AG219" t="str">
        <f>VLOOKUP(J219,'Receivable Invoice Detail'!$A$1:F3231,6,FALSE)</f>
        <v>[AC-98-231-085-501] Suction Side Liner, 6X6-15 SRL, Natural Rubber</v>
      </c>
      <c r="AH219" s="12">
        <f t="shared" si="37"/>
        <v>0</v>
      </c>
      <c r="AM219" s="12" t="str">
        <f t="shared" si="42"/>
        <v/>
      </c>
      <c r="AN219" s="12" t="str">
        <f t="shared" si="43"/>
        <v/>
      </c>
      <c r="AO219" s="12" t="str">
        <f t="shared" si="44"/>
        <v/>
      </c>
      <c r="AP219" s="12" t="str">
        <f t="shared" si="45"/>
        <v/>
      </c>
      <c r="AQ219" s="64">
        <f>M219</f>
        <v>2504</v>
      </c>
      <c r="AR219" t="s">
        <v>5939</v>
      </c>
      <c r="AS219" s="12">
        <f t="shared" si="46"/>
        <v>89.287499999999994</v>
      </c>
      <c r="AT219" s="16" t="str">
        <f t="shared" si="47"/>
        <v>Yes</v>
      </c>
    </row>
    <row r="220" spans="1:46" hidden="1" x14ac:dyDescent="0.25">
      <c r="A220" s="41">
        <f>CASOPOInvCL!T220</f>
        <v>1</v>
      </c>
      <c r="B220" t="str">
        <f>CASOPOInvCL!Z220</f>
        <v>SO16648</v>
      </c>
      <c r="G220" s="5" t="str">
        <f>CASOPOInvCL!I220</f>
        <v>Ian Trottier</v>
      </c>
      <c r="H220" s="31">
        <f>CASOPOInvCL!U220</f>
        <v>2</v>
      </c>
      <c r="I220" s="31">
        <f>CASOPOInvCL!V220</f>
        <v>2025</v>
      </c>
      <c r="J220" s="5" t="str">
        <f>CASOPOInvCL!AB220</f>
        <v>INV12777</v>
      </c>
      <c r="K220" s="31">
        <f>CASOPOInvCL!W220</f>
        <v>4</v>
      </c>
      <c r="L220" s="31">
        <f>CASOPOInvCL!X220</f>
        <v>2025</v>
      </c>
      <c r="M220" s="31"/>
      <c r="N220" s="5" t="str">
        <f>CASOPOInvCL!AF220</f>
        <v>Motion Industries Inc. (Canada) - Prince George</v>
      </c>
      <c r="O220" s="16" t="str">
        <f>CASOPOInvCL!AG220</f>
        <v>CAD</v>
      </c>
      <c r="P220" s="16">
        <f>CASOPOInvCL!AH220</f>
        <v>214.2</v>
      </c>
      <c r="Q220" s="16">
        <f>CASOPOInvCL!AI220</f>
        <v>148.53977770803573</v>
      </c>
      <c r="R220" s="32" t="str">
        <f>CASOPOInvCL!AU220</f>
        <v>Yes</v>
      </c>
      <c r="S220" s="16">
        <f>CASOPOInvCL!AV220</f>
        <v>0</v>
      </c>
      <c r="T220" s="16">
        <f>CASOPOInvCL!AW220</f>
        <v>148.53977770803573</v>
      </c>
      <c r="Y220" s="29" t="str">
        <f>IFERROR(HLOOKUP(U220,List!$D$2:$H$6,2,FALSE),"")</f>
        <v/>
      </c>
      <c r="Z220" s="29" t="str">
        <f>IFERROR(HLOOKUP(V220,List!$D$2:$H$6,3,FALSE),"")</f>
        <v/>
      </c>
      <c r="AA220" s="29" t="str">
        <f>IFERROR(HLOOKUP(W220,List!$D$2:$H$6,4,FALSE),"")</f>
        <v/>
      </c>
      <c r="AB220" s="29" t="str">
        <f>IFERROR(HLOOKUP(X220,List!$D$2:$H$6,5,FALSE),"")</f>
        <v/>
      </c>
      <c r="AC220" s="12" t="str">
        <f t="shared" si="38"/>
        <v/>
      </c>
      <c r="AD220" s="12" t="str">
        <f t="shared" si="39"/>
        <v/>
      </c>
      <c r="AE220" s="12" t="str">
        <f t="shared" si="40"/>
        <v/>
      </c>
      <c r="AF220" s="12" t="str">
        <f t="shared" si="41"/>
        <v/>
      </c>
      <c r="AG220" t="str">
        <f>VLOOKUP(J220,'Receivable Invoice Detail'!$A$1:F3232,6,FALSE)</f>
        <v>Maintenance Kit, 18", 3175-M</v>
      </c>
      <c r="AH220" s="12">
        <f t="shared" si="37"/>
        <v>0</v>
      </c>
      <c r="AM220" s="12" t="str">
        <f t="shared" si="42"/>
        <v/>
      </c>
      <c r="AN220" s="12" t="str">
        <f t="shared" si="43"/>
        <v/>
      </c>
      <c r="AO220" s="12" t="str">
        <f t="shared" si="44"/>
        <v/>
      </c>
      <c r="AP220" s="12" t="str">
        <f t="shared" si="45"/>
        <v/>
      </c>
      <c r="AQ220" s="12"/>
      <c r="AS220" s="12">
        <f t="shared" si="46"/>
        <v>2.2280966656205359</v>
      </c>
      <c r="AT220" s="16" t="str">
        <f t="shared" si="47"/>
        <v>Yes</v>
      </c>
    </row>
    <row r="221" spans="1:46" hidden="1" x14ac:dyDescent="0.25">
      <c r="A221" s="41">
        <f>CASOPOInvCL!T221</f>
        <v>4</v>
      </c>
      <c r="B221" t="str">
        <f>CASOPOInvCL!Z221</f>
        <v>SO16651</v>
      </c>
      <c r="E221" t="s">
        <v>5847</v>
      </c>
      <c r="G221" s="5" t="str">
        <f>CASOPOInvCL!I221</f>
        <v>Amanda Qiao</v>
      </c>
      <c r="H221" s="31">
        <f>CASOPOInvCL!U221</f>
        <v>2</v>
      </c>
      <c r="I221" s="31">
        <f>CASOPOInvCL!V221</f>
        <v>2025</v>
      </c>
      <c r="J221" s="5" t="str">
        <f>CASOPOInvCL!AB221</f>
        <v>INV13189</v>
      </c>
      <c r="K221" s="31">
        <f>CASOPOInvCL!W221</f>
        <v>9</v>
      </c>
      <c r="L221" s="31">
        <f>CASOPOInvCL!X221</f>
        <v>2025</v>
      </c>
      <c r="M221">
        <v>2503</v>
      </c>
      <c r="N221" s="5" t="str">
        <f>CASOPOInvCL!AF221</f>
        <v>AGM Inc.</v>
      </c>
      <c r="O221" s="16" t="str">
        <f>CASOPOInvCL!AG221</f>
        <v>USD</v>
      </c>
      <c r="P221" s="16">
        <f>CASOPOInvCL!AH221</f>
        <v>77514.783186116387</v>
      </c>
      <c r="Q221" s="16">
        <f>CASOPOInvCL!AI221</f>
        <v>54023.42</v>
      </c>
      <c r="R221" s="32" t="str">
        <f>CASOPOInvCL!AU221</f>
        <v>Yes</v>
      </c>
      <c r="S221" s="16">
        <f>CASOPOInvCL!AV221</f>
        <v>0</v>
      </c>
      <c r="T221" s="16">
        <f>CASOPOInvCL!AW221</f>
        <v>54023.42</v>
      </c>
      <c r="W221" t="s">
        <v>5800</v>
      </c>
      <c r="Y221" s="29" t="str">
        <f>IFERROR(HLOOKUP(U221,List!$D$2:$H$6,2,FALSE),"")</f>
        <v/>
      </c>
      <c r="Z221" s="29" t="str">
        <f>IFERROR(HLOOKUP(V221,List!$D$2:$H$6,3,FALSE),"")</f>
        <v/>
      </c>
      <c r="AA221" s="29">
        <f>IFERROR(HLOOKUP(W221,List!$D$2:$H$6,4,FALSE),"")</f>
        <v>0.01</v>
      </c>
      <c r="AB221" s="29" t="str">
        <f>IFERROR(HLOOKUP(X221,List!$D$2:$H$6,5,FALSE),"")</f>
        <v/>
      </c>
      <c r="AC221" s="12" t="str">
        <f t="shared" si="38"/>
        <v/>
      </c>
      <c r="AD221" s="12" t="str">
        <f t="shared" si="39"/>
        <v/>
      </c>
      <c r="AE221" s="12">
        <f t="shared" si="40"/>
        <v>540.23419999999999</v>
      </c>
      <c r="AF221" s="12" t="str">
        <f t="shared" si="41"/>
        <v/>
      </c>
      <c r="AG221" t="str">
        <f>VLOOKUP(J221,'Receivable Invoice Detail'!$A$1:F3233,6,FALSE)</f>
        <v>[D-III 1.5x1-82 G1 CD4] Pump, 1.5x1-82, D-III Mark 3 Group 1, All CD4MCu</v>
      </c>
      <c r="AH221" s="12">
        <f t="shared" si="37"/>
        <v>540.23419999999999</v>
      </c>
      <c r="AK221">
        <v>2503</v>
      </c>
      <c r="AM221" s="12" t="str">
        <f t="shared" si="42"/>
        <v/>
      </c>
      <c r="AN221" s="12" t="str">
        <f t="shared" si="43"/>
        <v/>
      </c>
      <c r="AO221" s="12">
        <f t="shared" si="44"/>
        <v>0</v>
      </c>
      <c r="AP221" s="12" t="str">
        <f t="shared" si="45"/>
        <v/>
      </c>
      <c r="AQ221" s="64">
        <v>2503</v>
      </c>
      <c r="AR221" t="s">
        <v>5932</v>
      </c>
      <c r="AS221" s="12">
        <f t="shared" si="46"/>
        <v>810.35129999999992</v>
      </c>
      <c r="AT221" s="16" t="str">
        <f t="shared" si="47"/>
        <v>Yes</v>
      </c>
    </row>
    <row r="222" spans="1:46" hidden="1" x14ac:dyDescent="0.25">
      <c r="A222" s="41">
        <f>CASOPOInvCL!T222</f>
        <v>4</v>
      </c>
      <c r="B222" t="str">
        <f>CASOPOInvCL!Z222</f>
        <v>SO16651</v>
      </c>
      <c r="E222" t="s">
        <v>5847</v>
      </c>
      <c r="G222" s="5">
        <f>CASOPOInvCL!I222</f>
        <v>0</v>
      </c>
      <c r="H222" s="31">
        <f>CASOPOInvCL!U222</f>
        <v>2</v>
      </c>
      <c r="I222" s="31">
        <f>CASOPOInvCL!V222</f>
        <v>2025</v>
      </c>
      <c r="J222" s="5" t="str">
        <f>CASOPOInvCL!AB222</f>
        <v>INV12886</v>
      </c>
      <c r="K222" s="31">
        <f>CASOPOInvCL!W222</f>
        <v>9</v>
      </c>
      <c r="L222" s="31">
        <f>CASOPOInvCL!X222</f>
        <v>2025</v>
      </c>
      <c r="M222">
        <v>2503</v>
      </c>
      <c r="N222" s="5" t="str">
        <f>CASOPOInvCL!AF222</f>
        <v>AGM Inc.</v>
      </c>
      <c r="O222" s="16" t="str">
        <f>CASOPOInvCL!AG222</f>
        <v>USD</v>
      </c>
      <c r="P222" s="16">
        <f>CASOPOInvCL!AH222</f>
        <v>0</v>
      </c>
      <c r="Q222" s="16">
        <f>CASOPOInvCL!AI222</f>
        <v>0</v>
      </c>
      <c r="R222" s="32" t="str">
        <f>CASOPOInvCL!AU222</f>
        <v/>
      </c>
      <c r="S222" s="16">
        <f>CASOPOInvCL!AV222</f>
        <v>0</v>
      </c>
      <c r="T222" s="16">
        <f>CASOPOInvCL!AW222</f>
        <v>0</v>
      </c>
      <c r="W222" t="s">
        <v>5800</v>
      </c>
      <c r="Y222" s="29" t="str">
        <f>IFERROR(HLOOKUP(U222,List!$D$2:$H$6,2,FALSE),"")</f>
        <v/>
      </c>
      <c r="Z222" s="29" t="str">
        <f>IFERROR(HLOOKUP(V222,List!$D$2:$H$6,3,FALSE),"")</f>
        <v/>
      </c>
      <c r="AA222" s="29">
        <f>IFERROR(HLOOKUP(W222,List!$D$2:$H$6,4,FALSE),"")</f>
        <v>0.01</v>
      </c>
      <c r="AB222" s="29" t="str">
        <f>IFERROR(HLOOKUP(X222,List!$D$2:$H$6,5,FALSE),"")</f>
        <v/>
      </c>
      <c r="AC222" s="12" t="str">
        <f t="shared" si="38"/>
        <v/>
      </c>
      <c r="AD222" s="12" t="str">
        <f t="shared" si="39"/>
        <v/>
      </c>
      <c r="AE222" s="12">
        <f t="shared" si="40"/>
        <v>0</v>
      </c>
      <c r="AF222" s="12" t="str">
        <f t="shared" si="41"/>
        <v/>
      </c>
      <c r="AG222" t="str">
        <f>VLOOKUP(J222,'Receivable Invoice Detail'!$A$1:F3234,6,FALSE)</f>
        <v>[TSSC-J01-1.375(BIG BORE)-00] Single Cartridge Seal, 1 3/8", D-196 STX or D-III Group 1, Big Bore, Carbon vs Silicon Carbide w/Aflas Elastomers</v>
      </c>
      <c r="AH222" s="12">
        <f t="shared" si="37"/>
        <v>0</v>
      </c>
      <c r="AK222">
        <v>2503</v>
      </c>
      <c r="AM222" s="12" t="str">
        <f t="shared" si="42"/>
        <v/>
      </c>
      <c r="AN222" s="12" t="str">
        <f t="shared" si="43"/>
        <v/>
      </c>
      <c r="AO222" s="12">
        <f t="shared" si="44"/>
        <v>0</v>
      </c>
      <c r="AP222" s="12" t="str">
        <f t="shared" si="45"/>
        <v/>
      </c>
      <c r="AQ222" s="64">
        <v>2503</v>
      </c>
      <c r="AR222" t="s">
        <v>5932</v>
      </c>
      <c r="AS222" s="12">
        <f t="shared" si="46"/>
        <v>0</v>
      </c>
      <c r="AT222" s="16" t="str">
        <f t="shared" si="47"/>
        <v/>
      </c>
    </row>
    <row r="223" spans="1:46" hidden="1" x14ac:dyDescent="0.25">
      <c r="A223" s="41">
        <f>CASOPOInvCL!T223</f>
        <v>4</v>
      </c>
      <c r="B223" t="str">
        <f>CASOPOInvCL!Z223</f>
        <v>SO16651</v>
      </c>
      <c r="E223" t="s">
        <v>5847</v>
      </c>
      <c r="G223" s="5">
        <f>CASOPOInvCL!I223</f>
        <v>0</v>
      </c>
      <c r="H223" s="31">
        <f>CASOPOInvCL!U223</f>
        <v>2</v>
      </c>
      <c r="I223" s="31">
        <f>CASOPOInvCL!V223</f>
        <v>2025</v>
      </c>
      <c r="J223" s="5" t="str">
        <f>CASOPOInvCL!AB223</f>
        <v>INV12985</v>
      </c>
      <c r="K223" s="31">
        <f>CASOPOInvCL!W223</f>
        <v>9</v>
      </c>
      <c r="L223" s="31">
        <f>CASOPOInvCL!X223</f>
        <v>2025</v>
      </c>
      <c r="M223">
        <v>2503</v>
      </c>
      <c r="N223" s="5" t="str">
        <f>CASOPOInvCL!AF223</f>
        <v>AGM Inc.</v>
      </c>
      <c r="O223" s="16" t="str">
        <f>CASOPOInvCL!AG223</f>
        <v>USD</v>
      </c>
      <c r="P223" s="16">
        <f>CASOPOInvCL!AH223</f>
        <v>0</v>
      </c>
      <c r="Q223" s="16">
        <f>CASOPOInvCL!AI223</f>
        <v>0</v>
      </c>
      <c r="R223" s="32" t="str">
        <f>CASOPOInvCL!AU223</f>
        <v/>
      </c>
      <c r="S223" s="16">
        <f>CASOPOInvCL!AV223</f>
        <v>0</v>
      </c>
      <c r="T223" s="16">
        <f>CASOPOInvCL!AW223</f>
        <v>0</v>
      </c>
      <c r="W223" t="s">
        <v>5800</v>
      </c>
      <c r="Y223" s="29" t="str">
        <f>IFERROR(HLOOKUP(U223,List!$D$2:$H$6,2,FALSE),"")</f>
        <v/>
      </c>
      <c r="Z223" s="29" t="str">
        <f>IFERROR(HLOOKUP(V223,List!$D$2:$H$6,3,FALSE),"")</f>
        <v/>
      </c>
      <c r="AA223" s="29">
        <f>IFERROR(HLOOKUP(W223,List!$D$2:$H$6,4,FALSE),"")</f>
        <v>0.01</v>
      </c>
      <c r="AB223" s="29" t="str">
        <f>IFERROR(HLOOKUP(X223,List!$D$2:$H$6,5,FALSE),"")</f>
        <v/>
      </c>
      <c r="AC223" s="12" t="str">
        <f t="shared" si="38"/>
        <v/>
      </c>
      <c r="AD223" s="12" t="str">
        <f t="shared" si="39"/>
        <v/>
      </c>
      <c r="AE223" s="12">
        <f t="shared" si="40"/>
        <v>0</v>
      </c>
      <c r="AF223" s="12" t="str">
        <f t="shared" si="41"/>
        <v/>
      </c>
      <c r="AG223" t="str">
        <f>VLOOKUP(J223,'Receivable Invoice Detail'!$A$1:F3235,6,FALSE)</f>
        <v>[TSSC-J01-1.375(BIG BORE)-00] Single Cartridge Seal, 1 3/8", D-196 STX or D-III Group 1, Big Bore, Carbon vs Silicon Carbide w/Aflas Elastomers</v>
      </c>
      <c r="AH223" s="12">
        <f t="shared" si="37"/>
        <v>0</v>
      </c>
      <c r="AK223">
        <v>2503</v>
      </c>
      <c r="AM223" s="12" t="str">
        <f t="shared" si="42"/>
        <v/>
      </c>
      <c r="AN223" s="12" t="str">
        <f t="shared" si="43"/>
        <v/>
      </c>
      <c r="AO223" s="12">
        <f t="shared" si="44"/>
        <v>0</v>
      </c>
      <c r="AP223" s="12" t="str">
        <f t="shared" si="45"/>
        <v/>
      </c>
      <c r="AQ223" s="64">
        <v>2503</v>
      </c>
      <c r="AR223" t="s">
        <v>5932</v>
      </c>
      <c r="AS223" s="12">
        <f t="shared" si="46"/>
        <v>0</v>
      </c>
      <c r="AT223" s="16" t="str">
        <f t="shared" si="47"/>
        <v/>
      </c>
    </row>
    <row r="224" spans="1:46" hidden="1" x14ac:dyDescent="0.25">
      <c r="A224" s="41">
        <f>CASOPOInvCL!T224</f>
        <v>4</v>
      </c>
      <c r="B224" t="str">
        <f>CASOPOInvCL!Z224</f>
        <v>SO16651</v>
      </c>
      <c r="E224" t="s">
        <v>5847</v>
      </c>
      <c r="G224" s="5">
        <f>CASOPOInvCL!I224</f>
        <v>0</v>
      </c>
      <c r="H224" s="31">
        <f>CASOPOInvCL!U224</f>
        <v>2</v>
      </c>
      <c r="I224" s="31">
        <f>CASOPOInvCL!V224</f>
        <v>2025</v>
      </c>
      <c r="J224" s="5" t="str">
        <f>CASOPOInvCL!AB224</f>
        <v>INV13215</v>
      </c>
      <c r="K224" s="31">
        <f>CASOPOInvCL!W224</f>
        <v>9</v>
      </c>
      <c r="L224" s="31">
        <f>CASOPOInvCL!X224</f>
        <v>2025</v>
      </c>
      <c r="M224">
        <v>2503</v>
      </c>
      <c r="N224" s="5" t="str">
        <f>CASOPOInvCL!AF224</f>
        <v>AGM Inc.</v>
      </c>
      <c r="O224" s="16" t="str">
        <f>CASOPOInvCL!AG224</f>
        <v>USD</v>
      </c>
      <c r="P224" s="16">
        <f>CASOPOInvCL!AH224</f>
        <v>0</v>
      </c>
      <c r="Q224" s="16">
        <f>CASOPOInvCL!AI224</f>
        <v>0</v>
      </c>
      <c r="R224" s="32" t="str">
        <f>CASOPOInvCL!AU224</f>
        <v/>
      </c>
      <c r="S224" s="16">
        <f>CASOPOInvCL!AV224</f>
        <v>0</v>
      </c>
      <c r="T224" s="16">
        <f>CASOPOInvCL!AW224</f>
        <v>0</v>
      </c>
      <c r="W224" t="s">
        <v>5800</v>
      </c>
      <c r="Y224" s="29" t="str">
        <f>IFERROR(HLOOKUP(U224,List!$D$2:$H$6,2,FALSE),"")</f>
        <v/>
      </c>
      <c r="Z224" s="29" t="str">
        <f>IFERROR(HLOOKUP(V224,List!$D$2:$H$6,3,FALSE),"")</f>
        <v/>
      </c>
      <c r="AA224" s="29">
        <f>IFERROR(HLOOKUP(W224,List!$D$2:$H$6,4,FALSE),"")</f>
        <v>0.01</v>
      </c>
      <c r="AB224" s="29" t="str">
        <f>IFERROR(HLOOKUP(X224,List!$D$2:$H$6,5,FALSE),"")</f>
        <v/>
      </c>
      <c r="AC224" s="12" t="str">
        <f t="shared" si="38"/>
        <v/>
      </c>
      <c r="AD224" s="12" t="str">
        <f t="shared" si="39"/>
        <v/>
      </c>
      <c r="AE224" s="12">
        <f t="shared" si="40"/>
        <v>0</v>
      </c>
      <c r="AF224" s="12" t="str">
        <f t="shared" si="41"/>
        <v/>
      </c>
      <c r="AG224" t="str">
        <f>VLOOKUP(J224,'Receivable Invoice Detail'!$A$1:F3236,6,FALSE)</f>
        <v>[DU-CY53429A/FML-CD4] Rear Cover, 6" &amp; 8", Durco Mark 3 Group 1, CD4MCu, Flow Modifier Large Bore</v>
      </c>
      <c r="AH224" s="12">
        <f t="shared" si="37"/>
        <v>0</v>
      </c>
      <c r="AK224">
        <v>2503</v>
      </c>
      <c r="AM224" s="12" t="str">
        <f t="shared" si="42"/>
        <v/>
      </c>
      <c r="AN224" s="12" t="str">
        <f t="shared" si="43"/>
        <v/>
      </c>
      <c r="AO224" s="12">
        <f t="shared" si="44"/>
        <v>0</v>
      </c>
      <c r="AP224" s="12" t="str">
        <f t="shared" si="45"/>
        <v/>
      </c>
      <c r="AQ224" s="64">
        <v>2503</v>
      </c>
      <c r="AR224" t="s">
        <v>5932</v>
      </c>
      <c r="AS224" s="12">
        <f t="shared" si="46"/>
        <v>0</v>
      </c>
      <c r="AT224" s="16" t="str">
        <f t="shared" si="47"/>
        <v/>
      </c>
    </row>
    <row r="225" spans="1:46" hidden="1" x14ac:dyDescent="0.25">
      <c r="A225" s="41">
        <f>CASOPOInvCL!T225</f>
        <v>1</v>
      </c>
      <c r="B225" t="str">
        <f>CASOPOInvCL!Z225</f>
        <v>SO16653</v>
      </c>
      <c r="E225" t="s">
        <v>5847</v>
      </c>
      <c r="G225" s="5" t="str">
        <f>CASOPOInvCL!I225</f>
        <v>Amanda Qiao</v>
      </c>
      <c r="H225" s="31">
        <f>CASOPOInvCL!U225</f>
        <v>2</v>
      </c>
      <c r="I225" s="31">
        <f>CASOPOInvCL!V225</f>
        <v>2025</v>
      </c>
      <c r="J225" s="5" t="str">
        <f>CASOPOInvCL!AB225</f>
        <v>INV13374</v>
      </c>
      <c r="K225" s="31">
        <f>CASOPOInvCL!W225</f>
        <v>9</v>
      </c>
      <c r="L225" s="31">
        <f>CASOPOInvCL!X225</f>
        <v>2025</v>
      </c>
      <c r="M225">
        <v>2503</v>
      </c>
      <c r="N225" s="5" t="str">
        <f>CASOPOInvCL!AF225</f>
        <v>First Bauxite Inc.</v>
      </c>
      <c r="O225" s="16" t="str">
        <f>CASOPOInvCL!AG225</f>
        <v>USD</v>
      </c>
      <c r="P225" s="16">
        <f>CASOPOInvCL!AH225</f>
        <v>8554.704615077495</v>
      </c>
      <c r="Q225" s="16">
        <f>CASOPOInvCL!AI225</f>
        <v>6231.75</v>
      </c>
      <c r="R225" s="32" t="str">
        <f>CASOPOInvCL!AU225</f>
        <v>Yes</v>
      </c>
      <c r="S225" s="16">
        <f>CASOPOInvCL!AV225</f>
        <v>0</v>
      </c>
      <c r="T225" s="16">
        <f>CASOPOInvCL!AW225</f>
        <v>6231.75</v>
      </c>
      <c r="W225" t="s">
        <v>5800</v>
      </c>
      <c r="Y225" s="29" t="str">
        <f>IFERROR(HLOOKUP(U225,List!$D$2:$H$6,2,FALSE),"")</f>
        <v/>
      </c>
      <c r="Z225" s="29" t="str">
        <f>IFERROR(HLOOKUP(V225,List!$D$2:$H$6,3,FALSE),"")</f>
        <v/>
      </c>
      <c r="AA225" s="29">
        <f>IFERROR(HLOOKUP(W225,List!$D$2:$H$6,4,FALSE),"")</f>
        <v>0.01</v>
      </c>
      <c r="AB225" s="29" t="str">
        <f>IFERROR(HLOOKUP(X225,List!$D$2:$H$6,5,FALSE),"")</f>
        <v/>
      </c>
      <c r="AC225" s="12" t="str">
        <f t="shared" si="38"/>
        <v/>
      </c>
      <c r="AD225" s="12" t="str">
        <f t="shared" si="39"/>
        <v/>
      </c>
      <c r="AE225" s="12">
        <f t="shared" si="40"/>
        <v>62.317500000000003</v>
      </c>
      <c r="AF225" s="12" t="str">
        <f t="shared" si="41"/>
        <v/>
      </c>
      <c r="AG225" t="str">
        <f>VLOOKUP(J225,'Receivable Invoice Detail'!$A$1:F3237,6,FALSE)</f>
        <v>[D-65QW24-CI] Pump, Submersible, 65QW24, Cast Iron w/316SS Impeller</v>
      </c>
      <c r="AH225" s="12">
        <f t="shared" si="37"/>
        <v>62.317500000000003</v>
      </c>
      <c r="AK225">
        <v>2503</v>
      </c>
      <c r="AM225" s="12" t="str">
        <f t="shared" si="42"/>
        <v/>
      </c>
      <c r="AN225" s="12" t="str">
        <f t="shared" si="43"/>
        <v/>
      </c>
      <c r="AO225" s="12">
        <f t="shared" si="44"/>
        <v>0</v>
      </c>
      <c r="AP225" s="12" t="str">
        <f t="shared" si="45"/>
        <v/>
      </c>
      <c r="AQ225" s="64">
        <v>2503</v>
      </c>
      <c r="AR225" t="s">
        <v>5932</v>
      </c>
      <c r="AS225" s="12">
        <f t="shared" si="46"/>
        <v>93.476249999999993</v>
      </c>
      <c r="AT225" s="16" t="str">
        <f t="shared" si="47"/>
        <v>Yes</v>
      </c>
    </row>
    <row r="226" spans="1:46" hidden="1" x14ac:dyDescent="0.25">
      <c r="A226" s="41">
        <f>CASOPOInvCL!T226</f>
        <v>1</v>
      </c>
      <c r="B226" t="str">
        <f>CASOPOInvCL!Z226</f>
        <v>SO16654</v>
      </c>
      <c r="G226" s="5" t="str">
        <f>CASOPOInvCL!I226</f>
        <v>Ian Trottier</v>
      </c>
      <c r="H226" s="31">
        <f>CASOPOInvCL!U226</f>
        <v>2</v>
      </c>
      <c r="I226" s="31">
        <f>CASOPOInvCL!V226</f>
        <v>2025</v>
      </c>
      <c r="J226" s="5" t="str">
        <f>CASOPOInvCL!AB226</f>
        <v>INV12669</v>
      </c>
      <c r="K226" s="31">
        <f>CASOPOInvCL!W226</f>
        <v>4</v>
      </c>
      <c r="L226" s="31">
        <f>CASOPOInvCL!X226</f>
        <v>2025</v>
      </c>
      <c r="M226" s="31"/>
      <c r="N226" s="5" t="str">
        <f>CASOPOInvCL!AF226</f>
        <v>Glencore Canada Corporation - Rouyn-Noranda, Glencore Canada Corp.</v>
      </c>
      <c r="O226" s="16" t="str">
        <f>CASOPOInvCL!AG226</f>
        <v>CAD</v>
      </c>
      <c r="P226" s="16">
        <f>CASOPOInvCL!AH226</f>
        <v>2985.04</v>
      </c>
      <c r="Q226" s="16">
        <f>CASOPOInvCL!AI226</f>
        <v>2098.4400114222271</v>
      </c>
      <c r="R226" s="32" t="str">
        <f>CASOPOInvCL!AU226</f>
        <v>Yes</v>
      </c>
      <c r="S226" s="16">
        <f>CASOPOInvCL!AV226</f>
        <v>0</v>
      </c>
      <c r="T226" s="16">
        <f>CASOPOInvCL!AW226</f>
        <v>2098.4400114222271</v>
      </c>
      <c r="Y226" s="29" t="str">
        <f>IFERROR(HLOOKUP(U226,List!$D$2:$H$6,2,FALSE),"")</f>
        <v/>
      </c>
      <c r="Z226" s="29" t="str">
        <f>IFERROR(HLOOKUP(V226,List!$D$2:$H$6,3,FALSE),"")</f>
        <v/>
      </c>
      <c r="AA226" s="29" t="str">
        <f>IFERROR(HLOOKUP(W226,List!$D$2:$H$6,4,FALSE),"")</f>
        <v/>
      </c>
      <c r="AB226" s="29" t="str">
        <f>IFERROR(HLOOKUP(X226,List!$D$2:$H$6,5,FALSE),"")</f>
        <v/>
      </c>
      <c r="AC226" s="12" t="str">
        <f t="shared" si="38"/>
        <v/>
      </c>
      <c r="AD226" s="12" t="str">
        <f t="shared" si="39"/>
        <v/>
      </c>
      <c r="AE226" s="12" t="str">
        <f t="shared" si="40"/>
        <v/>
      </c>
      <c r="AF226" s="12" t="str">
        <f t="shared" si="41"/>
        <v/>
      </c>
      <c r="AG226" t="str">
        <f>VLOOKUP(J226,'Receivable Invoice Detail'!$A$1:F3238,6,FALSE)</f>
        <v>[AC-98-331-932-501] Shaft Assembly, 5x4-14 SRL-C &amp; 5x5-14 SRL, 1045 Steel</v>
      </c>
      <c r="AH226" s="12">
        <f t="shared" si="37"/>
        <v>0</v>
      </c>
      <c r="AM226" s="12" t="str">
        <f t="shared" si="42"/>
        <v/>
      </c>
      <c r="AN226" s="12" t="str">
        <f t="shared" si="43"/>
        <v/>
      </c>
      <c r="AO226" s="12" t="str">
        <f t="shared" si="44"/>
        <v/>
      </c>
      <c r="AP226" s="12" t="str">
        <f t="shared" si="45"/>
        <v/>
      </c>
      <c r="AQ226" s="12"/>
      <c r="AS226" s="12">
        <f t="shared" si="46"/>
        <v>31.476600171333406</v>
      </c>
      <c r="AT226" s="16" t="str">
        <f t="shared" si="47"/>
        <v>Yes</v>
      </c>
    </row>
    <row r="227" spans="1:46" hidden="1" x14ac:dyDescent="0.25">
      <c r="A227" s="41">
        <f>CASOPOInvCL!T227</f>
        <v>1</v>
      </c>
      <c r="B227" t="str">
        <f>CASOPOInvCL!Z227</f>
        <v>SO16656</v>
      </c>
      <c r="G227" s="5" t="str">
        <f>CASOPOInvCL!I227</f>
        <v>Ian Trottier</v>
      </c>
      <c r="H227" s="31">
        <f>CASOPOInvCL!U227</f>
        <v>2</v>
      </c>
      <c r="I227" s="31">
        <f>CASOPOInvCL!V227</f>
        <v>2025</v>
      </c>
      <c r="J227" s="5" t="str">
        <f>CASOPOInvCL!AB227</f>
        <v>INV12714</v>
      </c>
      <c r="K227" s="31">
        <f>CASOPOInvCL!W227</f>
        <v>4</v>
      </c>
      <c r="L227" s="31">
        <f>CASOPOInvCL!X227</f>
        <v>2025</v>
      </c>
      <c r="M227" s="31"/>
      <c r="N227" s="5" t="str">
        <f>CASOPOInvCL!AF227</f>
        <v>Alamos Gold Inc, Alamos Gold Inc Island Gold Division</v>
      </c>
      <c r="O227" s="16" t="str">
        <f>CASOPOInvCL!AG227</f>
        <v>CAD</v>
      </c>
      <c r="P227" s="16">
        <f>CASOPOInvCL!AH227</f>
        <v>1363.36</v>
      </c>
      <c r="Q227" s="16">
        <f>CASOPOInvCL!AI227</f>
        <v>958.42239098055916</v>
      </c>
      <c r="R227" s="32" t="str">
        <f>CASOPOInvCL!AU227</f>
        <v>Yes</v>
      </c>
      <c r="S227" s="16">
        <f>CASOPOInvCL!AV227</f>
        <v>0</v>
      </c>
      <c r="T227" s="16">
        <f>CASOPOInvCL!AW227</f>
        <v>958.42239098055916</v>
      </c>
      <c r="Y227" s="29" t="str">
        <f>IFERROR(HLOOKUP(U227,List!$D$2:$H$6,2,FALSE),"")</f>
        <v/>
      </c>
      <c r="Z227" s="29" t="str">
        <f>IFERROR(HLOOKUP(V227,List!$D$2:$H$6,3,FALSE),"")</f>
        <v/>
      </c>
      <c r="AA227" s="29" t="str">
        <f>IFERROR(HLOOKUP(W227,List!$D$2:$H$6,4,FALSE),"")</f>
        <v/>
      </c>
      <c r="AB227" s="29" t="str">
        <f>IFERROR(HLOOKUP(X227,List!$D$2:$H$6,5,FALSE),"")</f>
        <v/>
      </c>
      <c r="AC227" s="12" t="str">
        <f t="shared" si="38"/>
        <v/>
      </c>
      <c r="AD227" s="12" t="str">
        <f t="shared" si="39"/>
        <v/>
      </c>
      <c r="AE227" s="12" t="str">
        <f t="shared" si="40"/>
        <v/>
      </c>
      <c r="AF227" s="12" t="str">
        <f t="shared" si="41"/>
        <v/>
      </c>
      <c r="AG227" t="str">
        <f>VLOOKUP(J227,'Receivable Invoice Detail'!$A$1:F3239,6,FALSE)</f>
        <v>[AC-52-118-681-804] Mechanical Seal, CSO, Type-9T, Carbon vs' Ceramic/Viton, O-Ring seat</v>
      </c>
      <c r="AH227" s="12">
        <f t="shared" si="37"/>
        <v>0</v>
      </c>
      <c r="AM227" s="12" t="str">
        <f t="shared" si="42"/>
        <v/>
      </c>
      <c r="AN227" s="12" t="str">
        <f t="shared" si="43"/>
        <v/>
      </c>
      <c r="AO227" s="12" t="str">
        <f t="shared" si="44"/>
        <v/>
      </c>
      <c r="AP227" s="12" t="str">
        <f t="shared" si="45"/>
        <v/>
      </c>
      <c r="AQ227" s="12"/>
      <c r="AS227" s="12">
        <f t="shared" si="46"/>
        <v>14.376335864708388</v>
      </c>
      <c r="AT227" s="16" t="str">
        <f t="shared" si="47"/>
        <v>Yes</v>
      </c>
    </row>
    <row r="228" spans="1:46" hidden="1" x14ac:dyDescent="0.25">
      <c r="A228" s="41">
        <f>CASOPOInvCL!T228</f>
        <v>1</v>
      </c>
      <c r="B228" t="str">
        <f>CASOPOInvCL!Z228</f>
        <v>SO16657</v>
      </c>
      <c r="G228" s="5" t="str">
        <f>CASOPOInvCL!I228</f>
        <v>Ian Trottier</v>
      </c>
      <c r="H228" s="31">
        <f>CASOPOInvCL!U228</f>
        <v>2</v>
      </c>
      <c r="I228" s="31">
        <f>CASOPOInvCL!V228</f>
        <v>2025</v>
      </c>
      <c r="J228" s="5" t="str">
        <f>CASOPOInvCL!AB228</f>
        <v>INV12665</v>
      </c>
      <c r="K228" s="31">
        <f>CASOPOInvCL!W228</f>
        <v>3</v>
      </c>
      <c r="L228" s="31">
        <f>CASOPOInvCL!X228</f>
        <v>2025</v>
      </c>
      <c r="M228" s="31"/>
      <c r="N228" s="5" t="str">
        <f>CASOPOInvCL!AF228</f>
        <v>Sling-Choker Manufacturing - Timmins</v>
      </c>
      <c r="O228" s="16" t="str">
        <f>CASOPOInvCL!AG228</f>
        <v>CAD</v>
      </c>
      <c r="P228" s="16">
        <f>CASOPOInvCL!AH228</f>
        <v>149.94</v>
      </c>
      <c r="Q228" s="16">
        <f>CASOPOInvCL!AI228</f>
        <v>105.40565463533115</v>
      </c>
      <c r="R228" s="32" t="str">
        <f>CASOPOInvCL!AU228</f>
        <v>Yes</v>
      </c>
      <c r="S228" s="16">
        <f>CASOPOInvCL!AV228</f>
        <v>0</v>
      </c>
      <c r="T228" s="16">
        <f>CASOPOInvCL!AW228</f>
        <v>105.40565463533115</v>
      </c>
      <c r="Y228" s="29" t="str">
        <f>IFERROR(HLOOKUP(U228,List!$D$2:$H$6,2,FALSE),"")</f>
        <v/>
      </c>
      <c r="Z228" s="29" t="str">
        <f>IFERROR(HLOOKUP(V228,List!$D$2:$H$6,3,FALSE),"")</f>
        <v/>
      </c>
      <c r="AA228" s="29" t="str">
        <f>IFERROR(HLOOKUP(W228,List!$D$2:$H$6,4,FALSE),"")</f>
        <v/>
      </c>
      <c r="AB228" s="29" t="str">
        <f>IFERROR(HLOOKUP(X228,List!$D$2:$H$6,5,FALSE),"")</f>
        <v/>
      </c>
      <c r="AC228" s="12" t="str">
        <f t="shared" si="38"/>
        <v/>
      </c>
      <c r="AD228" s="12" t="str">
        <f t="shared" si="39"/>
        <v/>
      </c>
      <c r="AE228" s="12" t="str">
        <f t="shared" si="40"/>
        <v/>
      </c>
      <c r="AF228" s="12" t="str">
        <f t="shared" si="41"/>
        <v/>
      </c>
      <c r="AG228" t="str">
        <f>VLOOKUP(J228,'Receivable Invoice Detail'!$A$1:F3240,6,FALSE)</f>
        <v>[AC-52-118-634-007] Deflector (Water Slinger), 12x10-25 SRL-C, Neoprene/Steel</v>
      </c>
      <c r="AM228" s="12" t="str">
        <f t="shared" si="42"/>
        <v/>
      </c>
      <c r="AN228" s="12" t="str">
        <f t="shared" si="43"/>
        <v/>
      </c>
      <c r="AO228" s="12" t="str">
        <f t="shared" si="44"/>
        <v/>
      </c>
      <c r="AP228" s="12" t="str">
        <f t="shared" si="45"/>
        <v/>
      </c>
      <c r="AQ228" s="12"/>
      <c r="AS228" s="12">
        <f t="shared" si="46"/>
        <v>1.5810848195299672</v>
      </c>
      <c r="AT228" s="16" t="str">
        <f t="shared" si="47"/>
        <v>Yes</v>
      </c>
    </row>
    <row r="229" spans="1:46" hidden="1" x14ac:dyDescent="0.25">
      <c r="A229" s="41">
        <f>CASOPOInvCL!T229</f>
        <v>2</v>
      </c>
      <c r="B229" t="str">
        <f>CASOPOInvCL!Z229</f>
        <v>SO16658</v>
      </c>
      <c r="G229" s="5" t="str">
        <f>CASOPOInvCL!I229</f>
        <v>Yannett Yeomans</v>
      </c>
      <c r="H229" s="31">
        <f>CASOPOInvCL!U229</f>
        <v>2</v>
      </c>
      <c r="I229" s="31">
        <f>CASOPOInvCL!V229</f>
        <v>2025</v>
      </c>
      <c r="J229" s="5" t="str">
        <f>CASOPOInvCL!AB229</f>
        <v>INV12888</v>
      </c>
      <c r="K229" s="67" t="str">
        <f>CASOPOInvCL!W229</f>
        <v/>
      </c>
      <c r="L229" s="67" t="str">
        <f>CASOPOInvCL!X229</f>
        <v/>
      </c>
      <c r="M229" s="31"/>
      <c r="N229" s="5" t="str">
        <f>CASOPOInvCL!AF229</f>
        <v>Dynapro Pumps México S de RL de CV</v>
      </c>
      <c r="O229" s="16" t="str">
        <f>CASOPOInvCL!AG229</f>
        <v>USD</v>
      </c>
      <c r="P229" s="16">
        <f>CASOPOInvCL!AH229</f>
        <v>5468.2390441983789</v>
      </c>
      <c r="Q229" s="16">
        <f>CASOPOInvCL!AI229</f>
        <v>3844</v>
      </c>
      <c r="R229" s="55" t="str">
        <f>CASOPOInvCL!AU229</f>
        <v/>
      </c>
      <c r="S229" s="16">
        <f>CASOPOInvCL!AV229</f>
        <v>0</v>
      </c>
      <c r="T229" s="16">
        <f>CASOPOInvCL!AW229</f>
        <v>0</v>
      </c>
      <c r="Y229" s="29" t="str">
        <f>IFERROR(HLOOKUP(U229,List!$D$2:$H$6,2,FALSE),"")</f>
        <v/>
      </c>
      <c r="Z229" s="29" t="str">
        <f>IFERROR(HLOOKUP(V229,List!$D$2:$H$6,3,FALSE),"")</f>
        <v/>
      </c>
      <c r="AA229" s="29" t="str">
        <f>IFERROR(HLOOKUP(W229,List!$D$2:$H$6,4,FALSE),"")</f>
        <v/>
      </c>
      <c r="AB229" s="29" t="str">
        <f>IFERROR(HLOOKUP(X229,List!$D$2:$H$6,5,FALSE),"")</f>
        <v/>
      </c>
      <c r="AC229" s="12" t="str">
        <f t="shared" si="38"/>
        <v/>
      </c>
      <c r="AD229" s="12" t="str">
        <f t="shared" si="39"/>
        <v/>
      </c>
      <c r="AE229" s="12" t="str">
        <f t="shared" si="40"/>
        <v/>
      </c>
      <c r="AF229" s="12" t="str">
        <f t="shared" si="41"/>
        <v/>
      </c>
      <c r="AG229" t="str">
        <f>VLOOKUP(J229,'Receivable Invoice Detail'!$A$1:F3241,6,FALSE)</f>
        <v>[104088166003] Sleeve of protection, SM203-640, 316SS</v>
      </c>
      <c r="AM229" s="12" t="str">
        <f t="shared" si="42"/>
        <v/>
      </c>
      <c r="AN229" s="12" t="str">
        <f t="shared" si="43"/>
        <v/>
      </c>
      <c r="AO229" s="12" t="str">
        <f t="shared" si="44"/>
        <v/>
      </c>
      <c r="AP229" s="12" t="str">
        <f t="shared" si="45"/>
        <v/>
      </c>
      <c r="AQ229" s="12"/>
      <c r="AR229" s="16" t="s">
        <v>5940</v>
      </c>
      <c r="AS229" s="12">
        <f t="shared" si="46"/>
        <v>0</v>
      </c>
      <c r="AT229" s="16" t="s">
        <v>5940</v>
      </c>
    </row>
    <row r="230" spans="1:46" hidden="1" x14ac:dyDescent="0.25">
      <c r="A230" s="41">
        <f>CASOPOInvCL!T230</f>
        <v>2</v>
      </c>
      <c r="B230" t="str">
        <f>CASOPOInvCL!Z230</f>
        <v>SO16658</v>
      </c>
      <c r="G230" s="5">
        <f>CASOPOInvCL!I230</f>
        <v>0</v>
      </c>
      <c r="H230" s="31">
        <f>CASOPOInvCL!U230</f>
        <v>2</v>
      </c>
      <c r="I230" s="31">
        <f>CASOPOInvCL!V230</f>
        <v>2025</v>
      </c>
      <c r="J230" s="5" t="str">
        <f>CASOPOInvCL!AB230</f>
        <v>INV12887</v>
      </c>
      <c r="K230" s="67" t="str">
        <f>CASOPOInvCL!W230</f>
        <v/>
      </c>
      <c r="L230" s="67" t="str">
        <f>CASOPOInvCL!X230</f>
        <v/>
      </c>
      <c r="M230" s="31"/>
      <c r="N230" s="5" t="str">
        <f>CASOPOInvCL!AF230</f>
        <v>Dynapro Pumps México S de RL de CV</v>
      </c>
      <c r="O230" s="16" t="str">
        <f>CASOPOInvCL!AG230</f>
        <v>USD</v>
      </c>
      <c r="P230" s="16">
        <f>CASOPOInvCL!AH230</f>
        <v>0</v>
      </c>
      <c r="Q230" s="16">
        <f>CASOPOInvCL!AI230</f>
        <v>0</v>
      </c>
      <c r="R230" s="55" t="str">
        <f>CASOPOInvCL!AU230</f>
        <v/>
      </c>
      <c r="S230" s="16">
        <f>CASOPOInvCL!AV230</f>
        <v>0</v>
      </c>
      <c r="T230" s="16">
        <f>CASOPOInvCL!AW230</f>
        <v>0</v>
      </c>
      <c r="Y230" s="29" t="str">
        <f>IFERROR(HLOOKUP(U230,List!$D$2:$H$6,2,FALSE),"")</f>
        <v/>
      </c>
      <c r="Z230" s="29" t="str">
        <f>IFERROR(HLOOKUP(V230,List!$D$2:$H$6,3,FALSE),"")</f>
        <v/>
      </c>
      <c r="AA230" s="29" t="str">
        <f>IFERROR(HLOOKUP(W230,List!$D$2:$H$6,4,FALSE),"")</f>
        <v/>
      </c>
      <c r="AB230" s="29" t="str">
        <f>IFERROR(HLOOKUP(X230,List!$D$2:$H$6,5,FALSE),"")</f>
        <v/>
      </c>
      <c r="AC230" s="12" t="str">
        <f t="shared" si="38"/>
        <v/>
      </c>
      <c r="AD230" s="12" t="str">
        <f t="shared" si="39"/>
        <v/>
      </c>
      <c r="AE230" s="12" t="str">
        <f t="shared" si="40"/>
        <v/>
      </c>
      <c r="AF230" s="12" t="str">
        <f t="shared" si="41"/>
        <v/>
      </c>
      <c r="AG230" t="str">
        <f>VLOOKUP(J230,'Receivable Invoice Detail'!$A$1:F3242,6,FALSE)</f>
        <v>[18021020286] Lubrication Ring, SM203-640</v>
      </c>
      <c r="AM230" s="12" t="str">
        <f t="shared" si="42"/>
        <v/>
      </c>
      <c r="AN230" s="12" t="str">
        <f t="shared" si="43"/>
        <v/>
      </c>
      <c r="AO230" s="12" t="str">
        <f t="shared" si="44"/>
        <v/>
      </c>
      <c r="AP230" s="12" t="str">
        <f t="shared" si="45"/>
        <v/>
      </c>
      <c r="AQ230" s="12"/>
      <c r="AR230" s="16" t="s">
        <v>5940</v>
      </c>
      <c r="AS230" s="12">
        <f t="shared" si="46"/>
        <v>0</v>
      </c>
      <c r="AT230" s="16" t="s">
        <v>5940</v>
      </c>
    </row>
    <row r="231" spans="1:46" hidden="1" x14ac:dyDescent="0.25">
      <c r="A231" s="41">
        <f>CASOPOInvCL!T231</f>
        <v>1</v>
      </c>
      <c r="B231" t="str">
        <f>CASOPOInvCL!Z231</f>
        <v>SO16659</v>
      </c>
      <c r="G231" s="5" t="str">
        <f>CASOPOInvCL!I231</f>
        <v>Ian Trottier</v>
      </c>
      <c r="H231" s="31">
        <f>CASOPOInvCL!U231</f>
        <v>2</v>
      </c>
      <c r="I231" s="31">
        <f>CASOPOInvCL!V231</f>
        <v>2025</v>
      </c>
      <c r="J231" s="5" t="str">
        <f>CASOPOInvCL!AB231</f>
        <v>INV12667</v>
      </c>
      <c r="K231" s="31">
        <f>CASOPOInvCL!W231</f>
        <v>3</v>
      </c>
      <c r="L231" s="31">
        <f>CASOPOInvCL!X231</f>
        <v>2025</v>
      </c>
      <c r="M231" s="31"/>
      <c r="N231" s="5" t="str">
        <f>CASOPOInvCL!AF231</f>
        <v>Sling-Choker Manufacturing - Timmins</v>
      </c>
      <c r="O231" s="16" t="str">
        <f>CASOPOInvCL!AG231</f>
        <v>CAD</v>
      </c>
      <c r="P231" s="16">
        <f>CASOPOInvCL!AH231</f>
        <v>451.47</v>
      </c>
      <c r="Q231" s="16">
        <f>CASOPOInvCL!AI231</f>
        <v>317.37689007745064</v>
      </c>
      <c r="R231" s="32" t="str">
        <f>CASOPOInvCL!AU231</f>
        <v>Yes</v>
      </c>
      <c r="S231" s="16">
        <f>CASOPOInvCL!AV231</f>
        <v>0</v>
      </c>
      <c r="T231" s="16">
        <f>CASOPOInvCL!AW231</f>
        <v>317.37689007745064</v>
      </c>
      <c r="Y231" s="29" t="str">
        <f>IFERROR(HLOOKUP(U231,List!$D$2:$H$6,2,FALSE),"")</f>
        <v/>
      </c>
      <c r="Z231" s="29" t="str">
        <f>IFERROR(HLOOKUP(V231,List!$D$2:$H$6,3,FALSE),"")</f>
        <v/>
      </c>
      <c r="AA231" s="29" t="str">
        <f>IFERROR(HLOOKUP(W231,List!$D$2:$H$6,4,FALSE),"")</f>
        <v/>
      </c>
      <c r="AB231" s="29" t="str">
        <f>IFERROR(HLOOKUP(X231,List!$D$2:$H$6,5,FALSE),"")</f>
        <v/>
      </c>
      <c r="AC231" s="12" t="str">
        <f t="shared" si="38"/>
        <v/>
      </c>
      <c r="AD231" s="12" t="str">
        <f t="shared" si="39"/>
        <v/>
      </c>
      <c r="AE231" s="12" t="str">
        <f t="shared" si="40"/>
        <v/>
      </c>
      <c r="AF231" s="12" t="str">
        <f t="shared" si="41"/>
        <v/>
      </c>
      <c r="AG231" t="str">
        <f>VLOOKUP(J231,'Receivable Invoice Detail'!$A$1:F3243,6,FALSE)</f>
        <v>[AC-98-233-700-002] Bearing Cover Gasket (Inboard &amp; Outboard), 5x4/5x5/6x6 SRL &amp; SRL-C</v>
      </c>
      <c r="AM231" s="12" t="str">
        <f t="shared" si="42"/>
        <v/>
      </c>
      <c r="AN231" s="12" t="str">
        <f t="shared" si="43"/>
        <v/>
      </c>
      <c r="AO231" s="12" t="str">
        <f t="shared" si="44"/>
        <v/>
      </c>
      <c r="AP231" s="12" t="str">
        <f t="shared" si="45"/>
        <v/>
      </c>
      <c r="AQ231" s="12"/>
      <c r="AS231" s="12">
        <f t="shared" si="46"/>
        <v>4.7606533511617597</v>
      </c>
      <c r="AT231" s="16" t="str">
        <f t="shared" si="47"/>
        <v>Yes</v>
      </c>
    </row>
    <row r="232" spans="1:46" hidden="1" x14ac:dyDescent="0.25">
      <c r="A232" s="41">
        <f>CASOPOInvCL!T232</f>
        <v>1</v>
      </c>
      <c r="B232" t="str">
        <f>CASOPOInvCL!Z232</f>
        <v>SO16660</v>
      </c>
      <c r="G232" s="5" t="str">
        <f>CASOPOInvCL!I232</f>
        <v>Yannett Yeomans</v>
      </c>
      <c r="H232" s="31">
        <f>CASOPOInvCL!U232</f>
        <v>2</v>
      </c>
      <c r="I232" s="31">
        <f>CASOPOInvCL!V232</f>
        <v>2025</v>
      </c>
      <c r="J232" s="5" t="str">
        <f>CASOPOInvCL!AB232</f>
        <v>INV12866</v>
      </c>
      <c r="K232" s="31" t="str">
        <f>CASOPOInvCL!W232</f>
        <v/>
      </c>
      <c r="L232" s="31" t="str">
        <f>CASOPOInvCL!X232</f>
        <v/>
      </c>
      <c r="M232" s="31"/>
      <c r="N232" s="5" t="str">
        <f>CASOPOInvCL!AF232</f>
        <v>Dynapro Pumps México S de RL de CV</v>
      </c>
      <c r="O232" s="16" t="str">
        <f>CASOPOInvCL!AG232</f>
        <v>USD</v>
      </c>
      <c r="P232" s="16">
        <f>CASOPOInvCL!AH232</f>
        <v>113.80310185636584</v>
      </c>
      <c r="Q232" s="16">
        <f>CASOPOInvCL!AI232</f>
        <v>80</v>
      </c>
      <c r="R232" s="32" t="str">
        <f>CASOPOInvCL!AU232</f>
        <v/>
      </c>
      <c r="S232" s="16">
        <f>CASOPOInvCL!AV232</f>
        <v>0</v>
      </c>
      <c r="T232" s="16">
        <f>CASOPOInvCL!AW232</f>
        <v>0</v>
      </c>
      <c r="Y232" s="29" t="str">
        <f>IFERROR(HLOOKUP(U232,List!$D$2:$H$6,2,FALSE),"")</f>
        <v/>
      </c>
      <c r="Z232" s="29" t="str">
        <f>IFERROR(HLOOKUP(V232,List!$D$2:$H$6,3,FALSE),"")</f>
        <v/>
      </c>
      <c r="AA232" s="29" t="str">
        <f>IFERROR(HLOOKUP(W232,List!$D$2:$H$6,4,FALSE),"")</f>
        <v/>
      </c>
      <c r="AB232" s="29" t="str">
        <f>IFERROR(HLOOKUP(X232,List!$D$2:$H$6,5,FALSE),"")</f>
        <v/>
      </c>
      <c r="AC232" s="12" t="str">
        <f t="shared" si="38"/>
        <v/>
      </c>
      <c r="AD232" s="12" t="str">
        <f t="shared" si="39"/>
        <v/>
      </c>
      <c r="AE232" s="12" t="str">
        <f t="shared" si="40"/>
        <v/>
      </c>
      <c r="AF232" s="12" t="str">
        <f t="shared" si="41"/>
        <v/>
      </c>
      <c r="AG232" t="str">
        <f>VLOOKUP(J232,'Receivable Invoice Detail'!$A$1:F3244,6,FALSE)</f>
        <v>[10247/1501] Adjusting Nut w/Bolts, 12RJHC-8, Carbon Steel</v>
      </c>
      <c r="AM232" s="12" t="str">
        <f t="shared" si="42"/>
        <v/>
      </c>
      <c r="AN232" s="12" t="str">
        <f t="shared" si="43"/>
        <v/>
      </c>
      <c r="AO232" s="12" t="str">
        <f t="shared" si="44"/>
        <v/>
      </c>
      <c r="AP232" s="12" t="str">
        <f t="shared" si="45"/>
        <v/>
      </c>
      <c r="AQ232" s="12"/>
      <c r="AR232" s="16" t="s">
        <v>5940</v>
      </c>
      <c r="AS232" s="12">
        <f t="shared" si="46"/>
        <v>0</v>
      </c>
      <c r="AT232" s="16" t="s">
        <v>5940</v>
      </c>
    </row>
    <row r="233" spans="1:46" hidden="1" x14ac:dyDescent="0.25">
      <c r="A233" s="41">
        <f>CASOPOInvCL!T233</f>
        <v>1</v>
      </c>
      <c r="B233" t="str">
        <f>CASOPOInvCL!Z233</f>
        <v>SO16662</v>
      </c>
      <c r="G233" s="5" t="str">
        <f>CASOPOInvCL!I233</f>
        <v>Ian Trottier</v>
      </c>
      <c r="H233" s="31">
        <f>CASOPOInvCL!U233</f>
        <v>2</v>
      </c>
      <c r="I233" s="31">
        <f>CASOPOInvCL!V233</f>
        <v>2025</v>
      </c>
      <c r="J233" s="5" t="str">
        <f>CASOPOInvCL!AB233</f>
        <v>INV12689</v>
      </c>
      <c r="K233" s="31">
        <f>CASOPOInvCL!W233</f>
        <v>3</v>
      </c>
      <c r="L233" s="31">
        <f>CASOPOInvCL!X233</f>
        <v>2025</v>
      </c>
      <c r="M233" s="31"/>
      <c r="N233" s="5" t="str">
        <f>CASOPOInvCL!AF233</f>
        <v>Motion Industries Inc. (Canada) - Quesnel</v>
      </c>
      <c r="O233" s="16" t="str">
        <f>CASOPOInvCL!AG233</f>
        <v>CAD</v>
      </c>
      <c r="P233" s="16">
        <f>CASOPOInvCL!AH233</f>
        <v>1448.78</v>
      </c>
      <c r="Q233" s="16">
        <f>CASOPOInvCL!AI233</f>
        <v>1004.6753461617556</v>
      </c>
      <c r="R233" s="32" t="str">
        <f>CASOPOInvCL!AU233</f>
        <v>Yes</v>
      </c>
      <c r="S233" s="16">
        <f>CASOPOInvCL!AV233</f>
        <v>0</v>
      </c>
      <c r="T233" s="16">
        <f>CASOPOInvCL!AW233</f>
        <v>1004.6753461617556</v>
      </c>
      <c r="Y233" s="29" t="str">
        <f>IFERROR(HLOOKUP(U233,List!$D$2:$H$6,2,FALSE),"")</f>
        <v/>
      </c>
      <c r="Z233" s="29" t="str">
        <f>IFERROR(HLOOKUP(V233,List!$D$2:$H$6,3,FALSE),"")</f>
        <v/>
      </c>
      <c r="AA233" s="29" t="str">
        <f>IFERROR(HLOOKUP(W233,List!$D$2:$H$6,4,FALSE),"")</f>
        <v/>
      </c>
      <c r="AB233" s="29" t="str">
        <f>IFERROR(HLOOKUP(X233,List!$D$2:$H$6,5,FALSE),"")</f>
        <v/>
      </c>
      <c r="AC233" s="12" t="str">
        <f t="shared" si="38"/>
        <v/>
      </c>
      <c r="AD233" s="12" t="str">
        <f t="shared" si="39"/>
        <v/>
      </c>
      <c r="AE233" s="12" t="str">
        <f t="shared" si="40"/>
        <v/>
      </c>
      <c r="AF233" s="12" t="str">
        <f t="shared" si="41"/>
        <v/>
      </c>
      <c r="AG233" t="str">
        <f>VLOOKUP(J233,'Receivable Invoice Detail'!$A$1:F3245,6,FALSE)</f>
        <v>[TSSC-J01-2.5(BIG BORE)-00] Single Cartridge Seal, 2 1/2", D-196 XLT, Big Bore, Carbon vs Silicon Carbide w/Aflas Elastomers</v>
      </c>
      <c r="AM233" s="12" t="str">
        <f t="shared" si="42"/>
        <v/>
      </c>
      <c r="AN233" s="12" t="str">
        <f t="shared" si="43"/>
        <v/>
      </c>
      <c r="AO233" s="12" t="str">
        <f t="shared" si="44"/>
        <v/>
      </c>
      <c r="AP233" s="12" t="str">
        <f t="shared" si="45"/>
        <v/>
      </c>
      <c r="AQ233" s="12"/>
      <c r="AS233" s="12">
        <f t="shared" si="46"/>
        <v>15.070130192426333</v>
      </c>
      <c r="AT233" s="16" t="str">
        <f t="shared" si="47"/>
        <v>Yes</v>
      </c>
    </row>
    <row r="234" spans="1:46" hidden="1" x14ac:dyDescent="0.25">
      <c r="A234" s="41">
        <f>CASOPOInvCL!T234</f>
        <v>1</v>
      </c>
      <c r="B234" t="str">
        <f>CASOPOInvCL!Z234</f>
        <v>SO16663</v>
      </c>
      <c r="G234" s="5" t="str">
        <f>CASOPOInvCL!I234</f>
        <v>Ian Trottier</v>
      </c>
      <c r="H234" s="31">
        <f>CASOPOInvCL!U234</f>
        <v>2</v>
      </c>
      <c r="I234" s="31">
        <f>CASOPOInvCL!V234</f>
        <v>2025</v>
      </c>
      <c r="J234" s="5" t="str">
        <f>CASOPOInvCL!AB234</f>
        <v>INV12855</v>
      </c>
      <c r="K234" s="31">
        <f>CASOPOInvCL!W234</f>
        <v>5</v>
      </c>
      <c r="L234" s="31">
        <f>CASOPOInvCL!X234</f>
        <v>2025</v>
      </c>
      <c r="M234" s="31"/>
      <c r="N234" s="5" t="str">
        <f>CASOPOInvCL!AF234</f>
        <v>Cartledge &amp; Associates Inc.</v>
      </c>
      <c r="O234" s="16" t="str">
        <f>CASOPOInvCL!AG234</f>
        <v>USD</v>
      </c>
      <c r="P234" s="16">
        <f>CASOPOInvCL!AH234</f>
        <v>6427.869475214452</v>
      </c>
      <c r="Q234" s="16">
        <f>CASOPOInvCL!AI234</f>
        <v>4518.59</v>
      </c>
      <c r="R234" s="32" t="str">
        <f>CASOPOInvCL!AU234</f>
        <v>Yes</v>
      </c>
      <c r="S234" s="16">
        <f>CASOPOInvCL!AV234</f>
        <v>599</v>
      </c>
      <c r="T234" s="16">
        <f>CASOPOInvCL!AW234</f>
        <v>3919.59</v>
      </c>
      <c r="Y234" s="29" t="str">
        <f>IFERROR(HLOOKUP(U234,List!$D$2:$H$6,2,FALSE),"")</f>
        <v/>
      </c>
      <c r="Z234" s="29" t="str">
        <f>IFERROR(HLOOKUP(V234,List!$D$2:$H$6,3,FALSE),"")</f>
        <v/>
      </c>
      <c r="AA234" s="29" t="str">
        <f>IFERROR(HLOOKUP(W234,List!$D$2:$H$6,4,FALSE),"")</f>
        <v/>
      </c>
      <c r="AB234" s="29" t="str">
        <f>IFERROR(HLOOKUP(X234,List!$D$2:$H$6,5,FALSE),"")</f>
        <v/>
      </c>
      <c r="AC234" s="12" t="str">
        <f t="shared" si="38"/>
        <v/>
      </c>
      <c r="AD234" s="12" t="str">
        <f t="shared" si="39"/>
        <v/>
      </c>
      <c r="AE234" s="12" t="str">
        <f t="shared" si="40"/>
        <v/>
      </c>
      <c r="AF234" s="12" t="str">
        <f t="shared" si="41"/>
        <v/>
      </c>
      <c r="AG234" t="str">
        <f>VLOOKUP(J234,'Receivable Invoice Detail'!$A$1:F3246,6,FALSE)</f>
        <v>[AC-98-231-121-501] Suction Side Plate, 8x6-18 SRL-C, Natural Rubber</v>
      </c>
      <c r="AM234" s="12" t="str">
        <f t="shared" si="42"/>
        <v/>
      </c>
      <c r="AN234" s="12" t="str">
        <f t="shared" si="43"/>
        <v/>
      </c>
      <c r="AO234" s="12" t="str">
        <f t="shared" si="44"/>
        <v/>
      </c>
      <c r="AP234" s="12" t="str">
        <f t="shared" si="45"/>
        <v/>
      </c>
      <c r="AQ234" s="12"/>
      <c r="AS234" s="12">
        <f t="shared" si="46"/>
        <v>58.793849999999999</v>
      </c>
      <c r="AT234" s="16" t="str">
        <f t="shared" si="47"/>
        <v>Yes</v>
      </c>
    </row>
    <row r="235" spans="1:46" hidden="1" x14ac:dyDescent="0.25">
      <c r="A235" s="41">
        <f>CASOPOInvCL!T235</f>
        <v>1</v>
      </c>
      <c r="B235" t="str">
        <f>CASOPOInvCL!Z235</f>
        <v>SO16664</v>
      </c>
      <c r="G235" s="5" t="str">
        <f>CASOPOInvCL!I235</f>
        <v>Ian Trottier</v>
      </c>
      <c r="H235" s="31">
        <f>CASOPOInvCL!U235</f>
        <v>2</v>
      </c>
      <c r="I235" s="31">
        <f>CASOPOInvCL!V235</f>
        <v>2025</v>
      </c>
      <c r="J235" s="5" t="str">
        <f>CASOPOInvCL!AB235</f>
        <v>INV12821</v>
      </c>
      <c r="K235" s="31">
        <f>CASOPOInvCL!W235</f>
        <v>5</v>
      </c>
      <c r="L235" s="31">
        <f>CASOPOInvCL!X235</f>
        <v>2025</v>
      </c>
      <c r="M235" s="31"/>
      <c r="N235" s="5" t="str">
        <f>CASOPOInvCL!AF235</f>
        <v>Southeast Pump Specialist, Inc.</v>
      </c>
      <c r="O235" s="16" t="str">
        <f>CASOPOInvCL!AG235</f>
        <v>USD</v>
      </c>
      <c r="P235" s="16">
        <f>CASOPOInvCL!AH235</f>
        <v>12206.666121010217</v>
      </c>
      <c r="Q235" s="16">
        <f>CASOPOInvCL!AI235</f>
        <v>8581.11</v>
      </c>
      <c r="R235" s="32" t="str">
        <f>CASOPOInvCL!AU235</f>
        <v>Yes</v>
      </c>
      <c r="S235" s="16">
        <f>CASOPOInvCL!AV235</f>
        <v>613</v>
      </c>
      <c r="T235" s="16">
        <f>CASOPOInvCL!AW235</f>
        <v>7968.1100000000006</v>
      </c>
      <c r="Y235" s="29" t="str">
        <f>IFERROR(HLOOKUP(U235,List!$D$2:$H$6,2,FALSE),"")</f>
        <v/>
      </c>
      <c r="Z235" s="29" t="str">
        <f>IFERROR(HLOOKUP(V235,List!$D$2:$H$6,3,FALSE),"")</f>
        <v/>
      </c>
      <c r="AA235" s="29" t="str">
        <f>IFERROR(HLOOKUP(W235,List!$D$2:$H$6,4,FALSE),"")</f>
        <v/>
      </c>
      <c r="AB235" s="29" t="str">
        <f>IFERROR(HLOOKUP(X235,List!$D$2:$H$6,5,FALSE),"")</f>
        <v/>
      </c>
      <c r="AC235" s="12" t="str">
        <f t="shared" si="38"/>
        <v/>
      </c>
      <c r="AD235" s="12" t="str">
        <f t="shared" si="39"/>
        <v/>
      </c>
      <c r="AE235" s="12" t="str">
        <f t="shared" si="40"/>
        <v/>
      </c>
      <c r="AF235" s="12" t="str">
        <f t="shared" si="41"/>
        <v/>
      </c>
      <c r="AG235" t="str">
        <f>VLOOKUP(J235,'Receivable Invoice Detail'!$A$1:F3247,6,FALSE)</f>
        <v>[G-1.5x2-14-JC-HC] Pump, 1.5x2-14, Dynapro DC, Frame 2J, High Chrome</v>
      </c>
      <c r="AM235" s="12" t="str">
        <f t="shared" si="42"/>
        <v/>
      </c>
      <c r="AN235" s="12" t="str">
        <f t="shared" si="43"/>
        <v/>
      </c>
      <c r="AO235" s="12" t="str">
        <f t="shared" si="44"/>
        <v/>
      </c>
      <c r="AP235" s="12" t="str">
        <f t="shared" si="45"/>
        <v/>
      </c>
      <c r="AQ235" s="12"/>
      <c r="AS235" s="12">
        <f t="shared" si="46"/>
        <v>119.52165000000001</v>
      </c>
      <c r="AT235" s="16" t="str">
        <f t="shared" si="47"/>
        <v>Yes</v>
      </c>
    </row>
    <row r="236" spans="1:46" hidden="1" x14ac:dyDescent="0.25">
      <c r="A236" s="41">
        <f>CASOPOInvCL!T236</f>
        <v>1</v>
      </c>
      <c r="B236" s="76" t="str">
        <f>CASOPOInvCL!Z236</f>
        <v>SO16665</v>
      </c>
      <c r="G236" s="5" t="str">
        <f>CASOPOInvCL!I236</f>
        <v>Jeff Bell</v>
      </c>
      <c r="H236" s="31">
        <f>CASOPOInvCL!U236</f>
        <v>2</v>
      </c>
      <c r="I236" s="31">
        <f>CASOPOInvCL!V236</f>
        <v>2025</v>
      </c>
      <c r="J236" s="5" t="str">
        <f>CASOPOInvCL!AB236</f>
        <v>INV12760</v>
      </c>
      <c r="K236" s="31">
        <f>CASOPOInvCL!W236</f>
        <v>5</v>
      </c>
      <c r="L236" s="31">
        <f>CASOPOInvCL!X236</f>
        <v>2025</v>
      </c>
      <c r="M236" s="31"/>
      <c r="N236" s="5" t="str">
        <f>CASOPOInvCL!AF236</f>
        <v>Barrick Gold - Pueblo Viejo Dominicana Corporation</v>
      </c>
      <c r="O236" s="16" t="str">
        <f>CASOPOInvCL!AG236</f>
        <v>USD</v>
      </c>
      <c r="P236" s="16">
        <f>CASOPOInvCL!AH236</f>
        <v>3907.4579530137853</v>
      </c>
      <c r="Q236" s="16">
        <f>CASOPOInvCL!AI236</f>
        <v>2746.82</v>
      </c>
      <c r="R236" s="32" t="str">
        <f>CASOPOInvCL!AU236</f>
        <v>Yes</v>
      </c>
      <c r="S236" s="16">
        <f>CASOPOInvCL!AV236</f>
        <v>0</v>
      </c>
      <c r="T236" s="16">
        <f>CASOPOInvCL!AW236</f>
        <v>2746.82</v>
      </c>
      <c r="Y236" s="29" t="str">
        <f>IFERROR(HLOOKUP(U236,List!$D$2:$H$6,2,FALSE),"")</f>
        <v/>
      </c>
      <c r="Z236" s="29" t="str">
        <f>IFERROR(HLOOKUP(V236,List!$D$2:$H$6,3,FALSE),"")</f>
        <v/>
      </c>
      <c r="AA236" s="29" t="str">
        <f>IFERROR(HLOOKUP(W236,List!$D$2:$H$6,4,FALSE),"")</f>
        <v/>
      </c>
      <c r="AB236" s="29" t="str">
        <f>IFERROR(HLOOKUP(X236,List!$D$2:$H$6,5,FALSE),"")</f>
        <v/>
      </c>
      <c r="AC236" s="12" t="str">
        <f t="shared" si="38"/>
        <v/>
      </c>
      <c r="AD236" s="12" t="str">
        <f t="shared" si="39"/>
        <v/>
      </c>
      <c r="AE236" s="12" t="str">
        <f t="shared" si="40"/>
        <v/>
      </c>
      <c r="AF236" s="12" t="str">
        <f t="shared" si="41"/>
        <v/>
      </c>
      <c r="AG236" t="str">
        <f>VLOOKUP(J236,'Receivable Invoice Detail'!$A$1:F3248,6,FALSE)</f>
        <v>[37230] Sleeve Bearing (Bowl), ThorPlas-Blue, HPCW</v>
      </c>
      <c r="AM236" s="12" t="str">
        <f t="shared" si="42"/>
        <v/>
      </c>
      <c r="AN236" s="12" t="str">
        <f t="shared" si="43"/>
        <v/>
      </c>
      <c r="AO236" s="12" t="str">
        <f t="shared" si="44"/>
        <v/>
      </c>
      <c r="AP236" s="12" t="str">
        <f t="shared" si="45"/>
        <v/>
      </c>
      <c r="AQ236" s="64">
        <v>2503</v>
      </c>
      <c r="AR236" s="64" t="s">
        <v>5934</v>
      </c>
      <c r="AS236" s="12">
        <f t="shared" si="46"/>
        <v>41.202300000000001</v>
      </c>
      <c r="AT236" s="16" t="str">
        <f t="shared" si="47"/>
        <v>Yes</v>
      </c>
    </row>
    <row r="237" spans="1:46" hidden="1" x14ac:dyDescent="0.25">
      <c r="A237" s="41">
        <f>CASOPOInvCL!T237</f>
        <v>1</v>
      </c>
      <c r="B237" t="str">
        <f>CASOPOInvCL!Z237</f>
        <v>SO16666</v>
      </c>
      <c r="G237" s="5" t="str">
        <f>CASOPOInvCL!I237</f>
        <v>Ian Trottier</v>
      </c>
      <c r="H237" s="31">
        <f>CASOPOInvCL!U237</f>
        <v>2</v>
      </c>
      <c r="I237" s="31">
        <f>CASOPOInvCL!V237</f>
        <v>2025</v>
      </c>
      <c r="J237" s="5" t="str">
        <f>CASOPOInvCL!AB237</f>
        <v>INV12687</v>
      </c>
      <c r="K237" s="31">
        <f>CASOPOInvCL!W237</f>
        <v>4</v>
      </c>
      <c r="L237" s="31">
        <f>CASOPOInvCL!X237</f>
        <v>2025</v>
      </c>
      <c r="M237" s="31"/>
      <c r="N237" s="5" t="str">
        <f>CASOPOInvCL!AF237</f>
        <v>Hyperflo</v>
      </c>
      <c r="O237" s="16" t="str">
        <f>CASOPOInvCL!AG237</f>
        <v>CAD</v>
      </c>
      <c r="P237" s="16">
        <f>CASOPOInvCL!AH237</f>
        <v>454.78</v>
      </c>
      <c r="Q237" s="16">
        <f>CASOPOInvCL!AI237</f>
        <v>316.94491067895484</v>
      </c>
      <c r="R237" s="32" t="str">
        <f>CASOPOInvCL!AU237</f>
        <v>Yes</v>
      </c>
      <c r="S237" s="16">
        <f>CASOPOInvCL!AV237</f>
        <v>0</v>
      </c>
      <c r="T237" s="16">
        <f>CASOPOInvCL!AW237</f>
        <v>316.94491067895484</v>
      </c>
      <c r="Y237" s="29" t="str">
        <f>IFERROR(HLOOKUP(U237,List!$D$2:$H$6,2,FALSE),"")</f>
        <v/>
      </c>
      <c r="Z237" s="29" t="str">
        <f>IFERROR(HLOOKUP(V237,List!$D$2:$H$6,3,FALSE),"")</f>
        <v/>
      </c>
      <c r="AA237" s="29" t="str">
        <f>IFERROR(HLOOKUP(W237,List!$D$2:$H$6,4,FALSE),"")</f>
        <v/>
      </c>
      <c r="AB237" s="29" t="str">
        <f>IFERROR(HLOOKUP(X237,List!$D$2:$H$6,5,FALSE),"")</f>
        <v/>
      </c>
      <c r="AC237" s="12" t="str">
        <f t="shared" si="38"/>
        <v/>
      </c>
      <c r="AD237" s="12" t="str">
        <f t="shared" si="39"/>
        <v/>
      </c>
      <c r="AE237" s="12" t="str">
        <f t="shared" si="40"/>
        <v/>
      </c>
      <c r="AF237" s="12" t="str">
        <f t="shared" si="41"/>
        <v/>
      </c>
      <c r="AG237" t="str">
        <f>VLOOKUP(J237,'Receivable Invoice Detail'!$A$1:F3249,6,FALSE)</f>
        <v>[AC-98-211-426-501] Impeller, 2x2-10 SRL, Natural Rubber</v>
      </c>
      <c r="AM237" s="12" t="str">
        <f t="shared" si="42"/>
        <v/>
      </c>
      <c r="AN237" s="12" t="str">
        <f t="shared" si="43"/>
        <v/>
      </c>
      <c r="AO237" s="12" t="str">
        <f t="shared" si="44"/>
        <v/>
      </c>
      <c r="AP237" s="12" t="str">
        <f t="shared" si="45"/>
        <v/>
      </c>
      <c r="AQ237" s="12"/>
      <c r="AS237" s="12">
        <f t="shared" si="46"/>
        <v>4.7541736601843221</v>
      </c>
      <c r="AT237" s="16" t="str">
        <f t="shared" si="47"/>
        <v>Yes</v>
      </c>
    </row>
    <row r="238" spans="1:46" hidden="1" x14ac:dyDescent="0.25">
      <c r="A238" s="41">
        <f>CASOPOInvCL!T238</f>
        <v>1</v>
      </c>
      <c r="B238" t="str">
        <f>CASOPOInvCL!Z238</f>
        <v>SO16667</v>
      </c>
      <c r="G238" s="5" t="str">
        <f>CASOPOInvCL!I238</f>
        <v>Ian Trottier</v>
      </c>
      <c r="H238" s="31">
        <f>CASOPOInvCL!U238</f>
        <v>2</v>
      </c>
      <c r="I238" s="31">
        <f>CASOPOInvCL!V238</f>
        <v>2025</v>
      </c>
      <c r="J238" s="5" t="str">
        <f>CASOPOInvCL!AB238</f>
        <v>INV12673</v>
      </c>
      <c r="K238" s="31">
        <f>CASOPOInvCL!W238</f>
        <v>3</v>
      </c>
      <c r="L238" s="31">
        <f>CASOPOInvCL!X238</f>
        <v>2025</v>
      </c>
      <c r="M238" s="31"/>
      <c r="N238" s="5" t="str">
        <f>CASOPOInvCL!AF238</f>
        <v>Grant Aggregate</v>
      </c>
      <c r="O238" s="16" t="str">
        <f>CASOPOInvCL!AG238</f>
        <v>CAD</v>
      </c>
      <c r="P238" s="16">
        <f>CASOPOInvCL!AH238</f>
        <v>117.4</v>
      </c>
      <c r="Q238" s="16">
        <f>CASOPOInvCL!AI238</f>
        <v>82.092813613034537</v>
      </c>
      <c r="R238" s="32" t="str">
        <f>CASOPOInvCL!AU238</f>
        <v>Yes</v>
      </c>
      <c r="S238" s="16">
        <f>CASOPOInvCL!AV238</f>
        <v>0</v>
      </c>
      <c r="T238" s="16">
        <f>CASOPOInvCL!AW238</f>
        <v>82.092813613034537</v>
      </c>
      <c r="Y238" s="29" t="str">
        <f>IFERROR(HLOOKUP(U238,List!$D$2:$H$6,2,FALSE),"")</f>
        <v/>
      </c>
      <c r="Z238" s="29" t="str">
        <f>IFERROR(HLOOKUP(V238,List!$D$2:$H$6,3,FALSE),"")</f>
        <v/>
      </c>
      <c r="AA238" s="29" t="str">
        <f>IFERROR(HLOOKUP(W238,List!$D$2:$H$6,4,FALSE),"")</f>
        <v/>
      </c>
      <c r="AB238" s="29" t="str">
        <f>IFERROR(HLOOKUP(X238,List!$D$2:$H$6,5,FALSE),"")</f>
        <v/>
      </c>
      <c r="AC238" s="12" t="str">
        <f t="shared" si="38"/>
        <v/>
      </c>
      <c r="AD238" s="12" t="str">
        <f t="shared" si="39"/>
        <v/>
      </c>
      <c r="AE238" s="12" t="str">
        <f t="shared" si="40"/>
        <v/>
      </c>
      <c r="AF238" s="12" t="str">
        <f t="shared" si="41"/>
        <v/>
      </c>
      <c r="AG238" t="str">
        <f>VLOOKUP(J238,'Receivable Invoice Detail'!$A$1:F3250,6,FALSE)</f>
        <v>[SKF-34886, G-8690-23660] Oil Seal (Inboard), 8x6-18 &amp; 10x8-21 SRL-C</v>
      </c>
      <c r="AM238" s="12" t="str">
        <f t="shared" si="42"/>
        <v/>
      </c>
      <c r="AN238" s="12" t="str">
        <f t="shared" si="43"/>
        <v/>
      </c>
      <c r="AO238" s="12" t="str">
        <f t="shared" si="44"/>
        <v/>
      </c>
      <c r="AP238" s="12" t="str">
        <f t="shared" si="45"/>
        <v/>
      </c>
      <c r="AQ238" s="12"/>
      <c r="AS238" s="12">
        <f t="shared" si="46"/>
        <v>1.2313922041955181</v>
      </c>
      <c r="AT238" s="16" t="str">
        <f t="shared" si="47"/>
        <v>Yes</v>
      </c>
    </row>
    <row r="239" spans="1:46" hidden="1" x14ac:dyDescent="0.25">
      <c r="A239" s="41">
        <f>CASOPOInvCL!T239</f>
        <v>1</v>
      </c>
      <c r="B239" t="str">
        <f>CASOPOInvCL!Z239</f>
        <v>SO16668</v>
      </c>
      <c r="G239" s="5" t="str">
        <f>CASOPOInvCL!I239</f>
        <v>Ian Trottier</v>
      </c>
      <c r="H239" s="31">
        <f>CASOPOInvCL!U239</f>
        <v>2</v>
      </c>
      <c r="I239" s="31">
        <f>CASOPOInvCL!V239</f>
        <v>2025</v>
      </c>
      <c r="J239" s="5" t="str">
        <f>CASOPOInvCL!AB239</f>
        <v>INV12792</v>
      </c>
      <c r="K239" s="31">
        <f>CASOPOInvCL!W239</f>
        <v>4</v>
      </c>
      <c r="L239" s="31">
        <f>CASOPOInvCL!X239</f>
        <v>2025</v>
      </c>
      <c r="M239" s="31"/>
      <c r="N239" s="5" t="str">
        <f>CASOPOInvCL!AF239</f>
        <v>Sling-Choker Manufacturing - Timmins</v>
      </c>
      <c r="O239" s="16" t="str">
        <f>CASOPOInvCL!AG239</f>
        <v>CAD</v>
      </c>
      <c r="P239" s="16">
        <f>CASOPOInvCL!AH239</f>
        <v>296.05</v>
      </c>
      <c r="Q239" s="16">
        <f>CASOPOInvCL!AI239</f>
        <v>206.32292714390394</v>
      </c>
      <c r="R239" s="32" t="str">
        <f>CASOPOInvCL!AU239</f>
        <v>Yes</v>
      </c>
      <c r="S239" s="16">
        <f>CASOPOInvCL!AV239</f>
        <v>0</v>
      </c>
      <c r="T239" s="16">
        <f>CASOPOInvCL!AW239</f>
        <v>206.32292714390394</v>
      </c>
      <c r="Y239" s="29" t="str">
        <f>IFERROR(HLOOKUP(U239,List!$D$2:$H$6,2,FALSE),"")</f>
        <v/>
      </c>
      <c r="Z239" s="29" t="str">
        <f>IFERROR(HLOOKUP(V239,List!$D$2:$H$6,3,FALSE),"")</f>
        <v/>
      </c>
      <c r="AA239" s="29" t="str">
        <f>IFERROR(HLOOKUP(W239,List!$D$2:$H$6,4,FALSE),"")</f>
        <v/>
      </c>
      <c r="AB239" s="29" t="str">
        <f>IFERROR(HLOOKUP(X239,List!$D$2:$H$6,5,FALSE),"")</f>
        <v/>
      </c>
      <c r="AC239" s="12" t="str">
        <f t="shared" si="38"/>
        <v/>
      </c>
      <c r="AD239" s="12" t="str">
        <f t="shared" si="39"/>
        <v/>
      </c>
      <c r="AE239" s="12" t="str">
        <f t="shared" si="40"/>
        <v/>
      </c>
      <c r="AF239" s="12" t="str">
        <f t="shared" si="41"/>
        <v/>
      </c>
      <c r="AG239" t="str">
        <f>VLOOKUP(J239,'Receivable Invoice Detail'!$A$1:F3251,6,FALSE)</f>
        <v>[AC-98-233-979-003] Sleeve Washer (Impeller), 5x5/5x4/6x6 SRL &amp; SRL-C</v>
      </c>
      <c r="AM239" s="12" t="str">
        <f t="shared" si="42"/>
        <v/>
      </c>
      <c r="AN239" s="12" t="str">
        <f t="shared" si="43"/>
        <v/>
      </c>
      <c r="AO239" s="12" t="str">
        <f t="shared" si="44"/>
        <v/>
      </c>
      <c r="AP239" s="12" t="str">
        <f t="shared" si="45"/>
        <v/>
      </c>
      <c r="AQ239" s="12"/>
      <c r="AS239" s="12">
        <f t="shared" si="46"/>
        <v>3.0948439071585589</v>
      </c>
      <c r="AT239" s="16" t="str">
        <f t="shared" si="47"/>
        <v>Yes</v>
      </c>
    </row>
    <row r="240" spans="1:46" hidden="1" x14ac:dyDescent="0.25">
      <c r="A240" s="41">
        <f>CASOPOInvCL!T240</f>
        <v>1</v>
      </c>
      <c r="B240" s="76" t="str">
        <f>CASOPOInvCL!Z240</f>
        <v>SO16669</v>
      </c>
      <c r="G240" s="5" t="str">
        <f>CASOPOInvCL!I240</f>
        <v>Jeff Bell</v>
      </c>
      <c r="H240" s="31">
        <f>CASOPOInvCL!U240</f>
        <v>2</v>
      </c>
      <c r="I240" s="31">
        <f>CASOPOInvCL!V240</f>
        <v>2025</v>
      </c>
      <c r="J240" s="5" t="str">
        <f>CASOPOInvCL!AB240</f>
        <v>INV12764</v>
      </c>
      <c r="K240" s="31">
        <f>CASOPOInvCL!W240</f>
        <v>5</v>
      </c>
      <c r="L240" s="31">
        <f>CASOPOInvCL!X240</f>
        <v>2025</v>
      </c>
      <c r="M240" s="31"/>
      <c r="N240" s="5" t="str">
        <f>CASOPOInvCL!AF240</f>
        <v>Barrick Gold - Pueblo Viejo Dominicana Corporation</v>
      </c>
      <c r="O240" s="16" t="str">
        <f>CASOPOInvCL!AG240</f>
        <v>USD</v>
      </c>
      <c r="P240" s="16">
        <f>CASOPOInvCL!AH240</f>
        <v>1249.854978423911</v>
      </c>
      <c r="Q240" s="16">
        <f>CASOPOInvCL!AI240</f>
        <v>878.63</v>
      </c>
      <c r="R240" s="32" t="str">
        <f>CASOPOInvCL!AU240</f>
        <v>Yes</v>
      </c>
      <c r="S240" s="16">
        <f>CASOPOInvCL!AV240</f>
        <v>0</v>
      </c>
      <c r="T240" s="16">
        <f>CASOPOInvCL!AW240</f>
        <v>878.63</v>
      </c>
      <c r="Y240" s="29" t="str">
        <f>IFERROR(HLOOKUP(U240,List!$D$2:$H$6,2,FALSE),"")</f>
        <v/>
      </c>
      <c r="Z240" s="29" t="str">
        <f>IFERROR(HLOOKUP(V240,List!$D$2:$H$6,3,FALSE),"")</f>
        <v/>
      </c>
      <c r="AA240" s="29" t="str">
        <f>IFERROR(HLOOKUP(W240,List!$D$2:$H$6,4,FALSE),"")</f>
        <v/>
      </c>
      <c r="AB240" s="29" t="str">
        <f>IFERROR(HLOOKUP(X240,List!$D$2:$H$6,5,FALSE),"")</f>
        <v/>
      </c>
      <c r="AC240" s="12" t="str">
        <f t="shared" si="38"/>
        <v/>
      </c>
      <c r="AD240" s="12" t="str">
        <f t="shared" si="39"/>
        <v/>
      </c>
      <c r="AE240" s="12" t="str">
        <f t="shared" si="40"/>
        <v/>
      </c>
      <c r="AF240" s="12" t="str">
        <f t="shared" si="41"/>
        <v/>
      </c>
      <c r="AG240" t="str">
        <f>VLOOKUP(J240,'Receivable Invoice Detail'!$A$1:F3252,6,FALSE)</f>
        <v>[37231] Sleeve Bearing (Suction Bell), ThorPlas-Blue, HPCW</v>
      </c>
      <c r="AM240" s="12" t="str">
        <f t="shared" si="42"/>
        <v/>
      </c>
      <c r="AN240" s="12" t="str">
        <f t="shared" si="43"/>
        <v/>
      </c>
      <c r="AO240" s="12" t="str">
        <f t="shared" si="44"/>
        <v/>
      </c>
      <c r="AP240" s="12" t="str">
        <f t="shared" si="45"/>
        <v/>
      </c>
      <c r="AQ240" s="64">
        <v>2503</v>
      </c>
      <c r="AR240" s="64" t="s">
        <v>5934</v>
      </c>
      <c r="AS240" s="12">
        <f t="shared" si="46"/>
        <v>13.179449999999999</v>
      </c>
      <c r="AT240" s="16" t="str">
        <f t="shared" si="47"/>
        <v>Yes</v>
      </c>
    </row>
    <row r="241" spans="1:46" hidden="1" x14ac:dyDescent="0.25">
      <c r="A241" s="41">
        <f>CASOPOInvCL!T241</f>
        <v>1</v>
      </c>
      <c r="B241" t="str">
        <f>CASOPOInvCL!Z241</f>
        <v>SO16671</v>
      </c>
      <c r="D241" t="s">
        <v>5925</v>
      </c>
      <c r="G241" s="5" t="str">
        <f>CASOPOInvCL!I241</f>
        <v>Ian Trottier</v>
      </c>
      <c r="H241" s="31">
        <f>CASOPOInvCL!U241</f>
        <v>2</v>
      </c>
      <c r="I241" s="31">
        <f>CASOPOInvCL!V241</f>
        <v>2025</v>
      </c>
      <c r="J241" s="5" t="str">
        <f>CASOPOInvCL!AB241</f>
        <v>INV13192</v>
      </c>
      <c r="K241" s="31">
        <f>CASOPOInvCL!W241</f>
        <v>9</v>
      </c>
      <c r="L241" s="31">
        <f>CASOPOInvCL!X241</f>
        <v>2025</v>
      </c>
      <c r="M241">
        <v>2503</v>
      </c>
      <c r="N241" s="5" t="str">
        <f>CASOPOInvCL!AF241</f>
        <v>Cypress Sales Partnership</v>
      </c>
      <c r="O241" s="16" t="str">
        <f>CASOPOInvCL!AG241</f>
        <v>CAD</v>
      </c>
      <c r="P241" s="16">
        <f>CASOPOInvCL!AH241</f>
        <v>3969.02</v>
      </c>
      <c r="Q241" s="16">
        <f>CASOPOInvCL!AI241</f>
        <v>2752.368573850365</v>
      </c>
      <c r="R241" s="32" t="str">
        <f>CASOPOInvCL!AU241</f>
        <v>Yes</v>
      </c>
      <c r="S241" s="16">
        <f>CASOPOInvCL!AV241</f>
        <v>0</v>
      </c>
      <c r="T241" s="16">
        <f>CASOPOInvCL!AW241</f>
        <v>2752.368573850365</v>
      </c>
      <c r="V241" t="s">
        <v>5800</v>
      </c>
      <c r="Y241" s="29" t="str">
        <f>IFERROR(HLOOKUP(U241,List!$D$2:$H$6,2,FALSE),"")</f>
        <v/>
      </c>
      <c r="Z241" s="29">
        <f>IFERROR(HLOOKUP(V241,List!$D$2:$H$6,3,FALSE),"")</f>
        <v>5.0000000000000001E-3</v>
      </c>
      <c r="AA241" s="29" t="str">
        <f>IFERROR(HLOOKUP(W241,List!$D$2:$H$6,4,FALSE),"")</f>
        <v/>
      </c>
      <c r="AB241" s="29" t="str">
        <f>IFERROR(HLOOKUP(X241,List!$D$2:$H$6,5,FALSE),"")</f>
        <v/>
      </c>
      <c r="AC241" s="12" t="str">
        <f t="shared" si="38"/>
        <v/>
      </c>
      <c r="AD241" s="12">
        <f t="shared" si="39"/>
        <v>13.761842869251826</v>
      </c>
      <c r="AE241" s="12" t="str">
        <f t="shared" si="40"/>
        <v/>
      </c>
      <c r="AF241" s="12" t="str">
        <f t="shared" si="41"/>
        <v/>
      </c>
      <c r="AG241" t="str">
        <f>VLOOKUP(J241,'Receivable Invoice Detail'!$A$1:F3253,6,FALSE)</f>
        <v>[DU-CY21853A-CD4] Casing, 3x1.5-13, Durco Mark 2&amp;3 Group 2, CD4MCu , #300 Flat Face Flanges</v>
      </c>
      <c r="AH241" s="12">
        <f t="shared" ref="AH241" si="48">SUM(AC241:AF241)</f>
        <v>13.761842869251826</v>
      </c>
      <c r="AM241" s="12" t="str">
        <f t="shared" si="42"/>
        <v/>
      </c>
      <c r="AN241" s="12">
        <f t="shared" si="43"/>
        <v>13.761842869251826</v>
      </c>
      <c r="AO241" s="12" t="str">
        <f t="shared" si="44"/>
        <v/>
      </c>
      <c r="AP241" s="12" t="str">
        <f t="shared" si="45"/>
        <v/>
      </c>
      <c r="AQ241" s="64">
        <v>2503</v>
      </c>
      <c r="AR241" t="s">
        <v>5932</v>
      </c>
      <c r="AS241" s="12">
        <f t="shared" si="46"/>
        <v>41.285528607755474</v>
      </c>
      <c r="AT241" s="16" t="str">
        <f t="shared" si="47"/>
        <v>Yes</v>
      </c>
    </row>
    <row r="242" spans="1:46" hidden="1" x14ac:dyDescent="0.25">
      <c r="A242" s="41">
        <f>CASOPOInvCL!T242</f>
        <v>1</v>
      </c>
      <c r="B242" t="str">
        <f>CASOPOInvCL!Z242</f>
        <v>SO16672</v>
      </c>
      <c r="G242" s="5" t="str">
        <f>CASOPOInvCL!I242</f>
        <v>Ian Trottier</v>
      </c>
      <c r="H242" s="31">
        <f>CASOPOInvCL!U242</f>
        <v>2</v>
      </c>
      <c r="I242" s="31">
        <f>CASOPOInvCL!V242</f>
        <v>2025</v>
      </c>
      <c r="J242" s="5" t="str">
        <f>CASOPOInvCL!AB242</f>
        <v>INV12678</v>
      </c>
      <c r="K242" s="31">
        <f>CASOPOInvCL!W242</f>
        <v>4</v>
      </c>
      <c r="L242" s="31">
        <f>CASOPOInvCL!X242</f>
        <v>2025</v>
      </c>
      <c r="M242" s="31"/>
      <c r="N242" s="5" t="str">
        <f>CASOPOInvCL!AF242</f>
        <v>Resolute Forest Products - Kenogami</v>
      </c>
      <c r="O242" s="16" t="str">
        <f>CASOPOInvCL!AG242</f>
        <v>CAD</v>
      </c>
      <c r="P242" s="16">
        <f>CASOPOInvCL!AH242</f>
        <v>939.78</v>
      </c>
      <c r="Q242" s="16">
        <f>CASOPOInvCL!AI242</f>
        <v>657.14807817084829</v>
      </c>
      <c r="R242" s="32" t="str">
        <f>CASOPOInvCL!AU242</f>
        <v>Yes</v>
      </c>
      <c r="S242" s="16">
        <f>CASOPOInvCL!AV242</f>
        <v>0</v>
      </c>
      <c r="T242" s="16">
        <f>CASOPOInvCL!AW242</f>
        <v>657.14807817084829</v>
      </c>
      <c r="Y242" s="29" t="str">
        <f>IFERROR(HLOOKUP(U242,List!$D$2:$H$6,2,FALSE),"")</f>
        <v/>
      </c>
      <c r="Z242" s="29" t="str">
        <f>IFERROR(HLOOKUP(V242,List!$D$2:$H$6,3,FALSE),"")</f>
        <v/>
      </c>
      <c r="AA242" s="29" t="str">
        <f>IFERROR(HLOOKUP(W242,List!$D$2:$H$6,4,FALSE),"")</f>
        <v/>
      </c>
      <c r="AB242" s="29" t="str">
        <f>IFERROR(HLOOKUP(X242,List!$D$2:$H$6,5,FALSE),"")</f>
        <v/>
      </c>
      <c r="AC242" s="12" t="str">
        <f t="shared" si="38"/>
        <v/>
      </c>
      <c r="AD242" s="12" t="str">
        <f t="shared" si="39"/>
        <v/>
      </c>
      <c r="AE242" s="12" t="str">
        <f t="shared" si="40"/>
        <v/>
      </c>
      <c r="AF242" s="12" t="str">
        <f t="shared" si="41"/>
        <v/>
      </c>
      <c r="AG242" t="str">
        <f>VLOOKUP(J242,'Receivable Invoice Detail'!$A$1:F3254,6,FALSE)</f>
        <v>[AC-98-130-367-001] Shaft Sleeve, PWO Frame 2, 316SS</v>
      </c>
      <c r="AM242" s="12" t="str">
        <f t="shared" si="42"/>
        <v/>
      </c>
      <c r="AN242" s="12" t="str">
        <f t="shared" si="43"/>
        <v/>
      </c>
      <c r="AO242" s="12" t="str">
        <f t="shared" si="44"/>
        <v/>
      </c>
      <c r="AP242" s="12" t="str">
        <f t="shared" si="45"/>
        <v/>
      </c>
      <c r="AQ242" s="12"/>
      <c r="AS242" s="12">
        <f t="shared" si="46"/>
        <v>9.8572211725627241</v>
      </c>
      <c r="AT242" s="16" t="str">
        <f t="shared" si="47"/>
        <v>Yes</v>
      </c>
    </row>
    <row r="243" spans="1:46" hidden="1" x14ac:dyDescent="0.25">
      <c r="A243" s="41">
        <f>CASOPOInvCL!T243</f>
        <v>1</v>
      </c>
      <c r="B243" t="str">
        <f>CASOPOInvCL!Z243</f>
        <v>SO16673</v>
      </c>
      <c r="G243" s="5" t="str">
        <f>CASOPOInvCL!I243</f>
        <v>Ian Trottier</v>
      </c>
      <c r="H243" s="31">
        <f>CASOPOInvCL!U243</f>
        <v>2</v>
      </c>
      <c r="I243" s="31">
        <f>CASOPOInvCL!V243</f>
        <v>2025</v>
      </c>
      <c r="J243" s="5" t="str">
        <f>CASOPOInvCL!AB243</f>
        <v>INV12716</v>
      </c>
      <c r="K243" s="31">
        <f>CASOPOInvCL!W243</f>
        <v>4</v>
      </c>
      <c r="L243" s="31">
        <f>CASOPOInvCL!X243</f>
        <v>2025</v>
      </c>
      <c r="M243" s="31"/>
      <c r="N243" s="5" t="str">
        <f>CASOPOInvCL!AF243</f>
        <v>Wajax Limited - Noranda</v>
      </c>
      <c r="O243" s="16" t="str">
        <f>CASOPOInvCL!AG243</f>
        <v>CAD</v>
      </c>
      <c r="P243" s="16">
        <f>CASOPOInvCL!AH243</f>
        <v>1219.96</v>
      </c>
      <c r="Q243" s="16">
        <f>CASOPOInvCL!AI243</f>
        <v>850.21353892409047</v>
      </c>
      <c r="R243" s="32" t="str">
        <f>CASOPOInvCL!AU243</f>
        <v>Yes</v>
      </c>
      <c r="S243" s="16">
        <f>CASOPOInvCL!AV243</f>
        <v>0</v>
      </c>
      <c r="T243" s="16">
        <f>CASOPOInvCL!AW243</f>
        <v>850.21353892409047</v>
      </c>
      <c r="Y243" s="29" t="str">
        <f>IFERROR(HLOOKUP(U243,List!$D$2:$H$6,2,FALSE),"")</f>
        <v/>
      </c>
      <c r="Z243" s="29" t="str">
        <f>IFERROR(HLOOKUP(V243,List!$D$2:$H$6,3,FALSE),"")</f>
        <v/>
      </c>
      <c r="AA243" s="29" t="str">
        <f>IFERROR(HLOOKUP(W243,List!$D$2:$H$6,4,FALSE),"")</f>
        <v/>
      </c>
      <c r="AB243" s="29" t="str">
        <f>IFERROR(HLOOKUP(X243,List!$D$2:$H$6,5,FALSE),"")</f>
        <v/>
      </c>
      <c r="AC243" s="12" t="str">
        <f t="shared" si="38"/>
        <v/>
      </c>
      <c r="AD243" s="12" t="str">
        <f t="shared" si="39"/>
        <v/>
      </c>
      <c r="AE243" s="12" t="str">
        <f t="shared" si="40"/>
        <v/>
      </c>
      <c r="AF243" s="12" t="str">
        <f t="shared" si="41"/>
        <v/>
      </c>
      <c r="AG243" t="str">
        <f>VLOOKUP(J243,'Receivable Invoice Detail'!$A$1:F3255,6,FALSE)</f>
        <v>[AC-98-331-958-810] Shaft Sleeve, 2x2-10 SRL, 316SS</v>
      </c>
      <c r="AM243" s="12" t="str">
        <f t="shared" si="42"/>
        <v/>
      </c>
      <c r="AN243" s="12" t="str">
        <f t="shared" si="43"/>
        <v/>
      </c>
      <c r="AO243" s="12" t="str">
        <f t="shared" si="44"/>
        <v/>
      </c>
      <c r="AP243" s="12" t="str">
        <f t="shared" si="45"/>
        <v/>
      </c>
      <c r="AQ243" s="12"/>
      <c r="AS243" s="12">
        <f t="shared" si="46"/>
        <v>12.753203083861356</v>
      </c>
      <c r="AT243" s="16" t="str">
        <f t="shared" si="47"/>
        <v>Yes</v>
      </c>
    </row>
    <row r="244" spans="1:46" hidden="1" x14ac:dyDescent="0.25">
      <c r="A244" s="41">
        <f>CASOPOInvCL!T244</f>
        <v>1</v>
      </c>
      <c r="B244" s="76" t="str">
        <f>CASOPOInvCL!Z244</f>
        <v>SO16674</v>
      </c>
      <c r="G244" s="5" t="str">
        <f>CASOPOInvCL!I244</f>
        <v>Jeff Bell</v>
      </c>
      <c r="H244" s="31">
        <f>CASOPOInvCL!U244</f>
        <v>2</v>
      </c>
      <c r="I244" s="31">
        <f>CASOPOInvCL!V244</f>
        <v>2025</v>
      </c>
      <c r="J244" s="5" t="str">
        <f>CASOPOInvCL!AB244</f>
        <v>INV12763</v>
      </c>
      <c r="K244" s="31">
        <f>CASOPOInvCL!W244</f>
        <v>5</v>
      </c>
      <c r="L244" s="31">
        <f>CASOPOInvCL!X244</f>
        <v>2025</v>
      </c>
      <c r="M244" s="31"/>
      <c r="N244" s="5" t="str">
        <f>CASOPOInvCL!AF244</f>
        <v>Barrick Gold - Pueblo Viejo Dominicana Corporation</v>
      </c>
      <c r="O244" s="16" t="str">
        <f>CASOPOInvCL!AG244</f>
        <v>USD</v>
      </c>
      <c r="P244" s="16">
        <f>CASOPOInvCL!AH244</f>
        <v>45278.654187118482</v>
      </c>
      <c r="Q244" s="16">
        <f>CASOPOInvCL!AI244</f>
        <v>31830.240000000002</v>
      </c>
      <c r="R244" s="32" t="str">
        <f>CASOPOInvCL!AU244</f>
        <v>Yes</v>
      </c>
      <c r="S244" s="16">
        <f>CASOPOInvCL!AV244</f>
        <v>0</v>
      </c>
      <c r="T244" s="16">
        <f>CASOPOInvCL!AW244</f>
        <v>31830.240000000002</v>
      </c>
      <c r="Y244" s="29" t="str">
        <f>IFERROR(HLOOKUP(U244,List!$D$2:$H$6,2,FALSE),"")</f>
        <v/>
      </c>
      <c r="Z244" s="29" t="str">
        <f>IFERROR(HLOOKUP(V244,List!$D$2:$H$6,3,FALSE),"")</f>
        <v/>
      </c>
      <c r="AA244" s="29" t="str">
        <f>IFERROR(HLOOKUP(W244,List!$D$2:$H$6,4,FALSE),"")</f>
        <v/>
      </c>
      <c r="AB244" s="29" t="str">
        <f>IFERROR(HLOOKUP(X244,List!$D$2:$H$6,5,FALSE),"")</f>
        <v/>
      </c>
      <c r="AC244" s="12" t="str">
        <f t="shared" si="38"/>
        <v/>
      </c>
      <c r="AD244" s="12" t="str">
        <f t="shared" si="39"/>
        <v/>
      </c>
      <c r="AE244" s="12" t="str">
        <f t="shared" si="40"/>
        <v/>
      </c>
      <c r="AF244" s="12" t="str">
        <f t="shared" si="41"/>
        <v/>
      </c>
      <c r="AG244" t="str">
        <f>VLOOKUP(J244,'Receivable Invoice Detail'!$A$1:F3256,6,FALSE)</f>
        <v>Shaft, HPCW, 17-4PH SS</v>
      </c>
      <c r="AM244" s="12" t="str">
        <f t="shared" si="42"/>
        <v/>
      </c>
      <c r="AN244" s="12" t="str">
        <f t="shared" si="43"/>
        <v/>
      </c>
      <c r="AO244" s="12" t="str">
        <f t="shared" si="44"/>
        <v/>
      </c>
      <c r="AP244" s="12" t="str">
        <f t="shared" si="45"/>
        <v/>
      </c>
      <c r="AQ244" s="64">
        <v>2503</v>
      </c>
      <c r="AR244" s="64" t="s">
        <v>5934</v>
      </c>
      <c r="AS244" s="12">
        <f t="shared" si="46"/>
        <v>477.45359999999999</v>
      </c>
      <c r="AT244" s="16" t="str">
        <f t="shared" si="47"/>
        <v>Yes</v>
      </c>
    </row>
    <row r="245" spans="1:46" hidden="1" x14ac:dyDescent="0.25">
      <c r="A245" s="41">
        <f>CASOPOInvCL!T245</f>
        <v>1</v>
      </c>
      <c r="B245" t="str">
        <f>CASOPOInvCL!Z245</f>
        <v>SO16676</v>
      </c>
      <c r="G245" s="5" t="str">
        <f>CASOPOInvCL!I245</f>
        <v>Ian Trottier</v>
      </c>
      <c r="H245" s="31">
        <f>CASOPOInvCL!U245</f>
        <v>2</v>
      </c>
      <c r="I245" s="31">
        <f>CASOPOInvCL!V245</f>
        <v>2025</v>
      </c>
      <c r="J245" s="5" t="str">
        <f>CASOPOInvCL!AB245</f>
        <v>INV12727</v>
      </c>
      <c r="K245" s="31">
        <f>CASOPOInvCL!W245</f>
        <v>4</v>
      </c>
      <c r="L245" s="31">
        <f>CASOPOInvCL!X245</f>
        <v>2025</v>
      </c>
      <c r="M245" s="31"/>
      <c r="N245" s="5" t="str">
        <f>CASOPOInvCL!AF245</f>
        <v>Alamos Gold Inc, Alamos Gold Inc Island Gold Division</v>
      </c>
      <c r="O245" s="16" t="str">
        <f>CASOPOInvCL!AG245</f>
        <v>CAD</v>
      </c>
      <c r="P245" s="16">
        <f>CASOPOInvCL!AH245</f>
        <v>1232.19</v>
      </c>
      <c r="Q245" s="16">
        <f>CASOPOInvCL!AI245</f>
        <v>854.47819184904097</v>
      </c>
      <c r="R245" s="32" t="str">
        <f>CASOPOInvCL!AU245</f>
        <v>Yes</v>
      </c>
      <c r="S245" s="16">
        <f>CASOPOInvCL!AV245</f>
        <v>0</v>
      </c>
      <c r="T245" s="16">
        <f>CASOPOInvCL!AW245</f>
        <v>854.47819184904097</v>
      </c>
      <c r="Y245" s="29" t="str">
        <f>IFERROR(HLOOKUP(U245,List!$D$2:$H$6,2,FALSE),"")</f>
        <v/>
      </c>
      <c r="Z245" s="29" t="str">
        <f>IFERROR(HLOOKUP(V245,List!$D$2:$H$6,3,FALSE),"")</f>
        <v/>
      </c>
      <c r="AA245" s="29" t="str">
        <f>IFERROR(HLOOKUP(W245,List!$D$2:$H$6,4,FALSE),"")</f>
        <v/>
      </c>
      <c r="AB245" s="29" t="str">
        <f>IFERROR(HLOOKUP(X245,List!$D$2:$H$6,5,FALSE),"")</f>
        <v/>
      </c>
      <c r="AC245" s="12" t="str">
        <f t="shared" si="38"/>
        <v/>
      </c>
      <c r="AD245" s="12" t="str">
        <f t="shared" si="39"/>
        <v/>
      </c>
      <c r="AE245" s="12" t="str">
        <f t="shared" si="40"/>
        <v/>
      </c>
      <c r="AF245" s="12" t="str">
        <f t="shared" si="41"/>
        <v/>
      </c>
      <c r="AG245" t="str">
        <f>VLOOKUP(J245,'Receivable Invoice Detail'!$A$1:F3257,6,FALSE)</f>
        <v>[FS-58960] Single Cartridge Mechanical Seal w/F-V-D Gland, 1 3/8", VSM3, Standard Bore, Carbon vs Silicon/FKM, 316ss Gland, Hasteloy-C Springs</v>
      </c>
      <c r="AM245" s="12" t="str">
        <f t="shared" si="42"/>
        <v/>
      </c>
      <c r="AN245" s="12" t="str">
        <f t="shared" si="43"/>
        <v/>
      </c>
      <c r="AO245" s="12" t="str">
        <f t="shared" si="44"/>
        <v/>
      </c>
      <c r="AP245" s="12" t="str">
        <f t="shared" si="45"/>
        <v/>
      </c>
      <c r="AQ245" s="12"/>
      <c r="AS245" s="12">
        <f t="shared" si="46"/>
        <v>12.817172877735613</v>
      </c>
      <c r="AT245" s="16" t="str">
        <f t="shared" si="47"/>
        <v>Yes</v>
      </c>
    </row>
    <row r="246" spans="1:46" hidden="1" x14ac:dyDescent="0.25">
      <c r="A246" s="41">
        <f>CASOPOInvCL!T246</f>
        <v>1</v>
      </c>
      <c r="B246" t="str">
        <f>CASOPOInvCL!Z246</f>
        <v>SO16677</v>
      </c>
      <c r="D246" t="s">
        <v>5925</v>
      </c>
      <c r="G246" s="5" t="str">
        <f>CASOPOInvCL!I246</f>
        <v>Ian Trottier</v>
      </c>
      <c r="H246" s="31">
        <f>CASOPOInvCL!U246</f>
        <v>2</v>
      </c>
      <c r="I246" s="31">
        <f>CASOPOInvCL!V246</f>
        <v>2025</v>
      </c>
      <c r="J246" s="5" t="str">
        <f>CASOPOInvCL!AB246</f>
        <v>INV13004</v>
      </c>
      <c r="K246" s="31">
        <f>CASOPOInvCL!W246</f>
        <v>7</v>
      </c>
      <c r="L246" s="31">
        <f>CASOPOInvCL!X246</f>
        <v>2025</v>
      </c>
      <c r="M246">
        <v>2503</v>
      </c>
      <c r="N246" s="5" t="str">
        <f>CASOPOInvCL!AF246</f>
        <v>Resolute Forest Products - Saint-Felicien</v>
      </c>
      <c r="O246" s="16" t="str">
        <f>CASOPOInvCL!AG246</f>
        <v>CAD</v>
      </c>
      <c r="P246" s="16">
        <f>CASOPOInvCL!AH246</f>
        <v>283.44</v>
      </c>
      <c r="Q246" s="16">
        <f>CASOPOInvCL!AI246</f>
        <v>203.28075877326904</v>
      </c>
      <c r="R246" s="32" t="str">
        <f>CASOPOInvCL!AU246</f>
        <v>Yes</v>
      </c>
      <c r="S246" s="16">
        <f>CASOPOInvCL!AV246</f>
        <v>0</v>
      </c>
      <c r="T246" s="16">
        <f>CASOPOInvCL!AW246</f>
        <v>203.28075877326904</v>
      </c>
      <c r="V246" t="s">
        <v>5800</v>
      </c>
      <c r="Y246" s="29" t="str">
        <f>IFERROR(HLOOKUP(U246,List!$D$2:$H$6,2,FALSE),"")</f>
        <v/>
      </c>
      <c r="Z246" s="29">
        <f>IFERROR(HLOOKUP(V246,List!$D$2:$H$6,3,FALSE),"")</f>
        <v>5.0000000000000001E-3</v>
      </c>
      <c r="AA246" s="29" t="str">
        <f>IFERROR(HLOOKUP(W246,List!$D$2:$H$6,4,FALSE),"")</f>
        <v/>
      </c>
      <c r="AB246" s="29" t="str">
        <f>IFERROR(HLOOKUP(X246,List!$D$2:$H$6,5,FALSE),"")</f>
        <v/>
      </c>
      <c r="AC246" s="12" t="str">
        <f t="shared" si="38"/>
        <v/>
      </c>
      <c r="AD246" s="12">
        <f t="shared" si="39"/>
        <v>1.0164037938663453</v>
      </c>
      <c r="AE246" s="12" t="str">
        <f t="shared" si="40"/>
        <v/>
      </c>
      <c r="AF246" s="12" t="str">
        <f t="shared" si="41"/>
        <v/>
      </c>
      <c r="AG246" t="str">
        <f>VLOOKUP(J246,'Receivable Invoice Detail'!$A$1:F3258,6,FALSE)</f>
        <v>[AC-98-232-857-802] Shim Set, A-C PWO-C Group 2, Plastic</v>
      </c>
      <c r="AH246" s="12">
        <f t="shared" ref="AH246" si="49">SUM(AC246:AF246)</f>
        <v>1.0164037938663453</v>
      </c>
      <c r="AM246" s="12" t="str">
        <f t="shared" si="42"/>
        <v/>
      </c>
      <c r="AN246" s="12">
        <f t="shared" si="43"/>
        <v>1.0164037938663453</v>
      </c>
      <c r="AO246" s="12" t="str">
        <f t="shared" si="44"/>
        <v/>
      </c>
      <c r="AP246" s="12" t="str">
        <f t="shared" si="45"/>
        <v/>
      </c>
      <c r="AQ246" s="64">
        <v>2503</v>
      </c>
      <c r="AR246" t="s">
        <v>5932</v>
      </c>
      <c r="AS246" s="12">
        <f t="shared" si="46"/>
        <v>3.0492113815990356</v>
      </c>
      <c r="AT246" s="16" t="str">
        <f t="shared" si="47"/>
        <v>Yes</v>
      </c>
    </row>
    <row r="247" spans="1:46" hidden="1" x14ac:dyDescent="0.25">
      <c r="A247" s="41">
        <f>CASOPOInvCL!T247</f>
        <v>2</v>
      </c>
      <c r="B247" t="str">
        <f>CASOPOInvCL!Z247</f>
        <v>SO16679</v>
      </c>
      <c r="D247" t="s">
        <v>5851</v>
      </c>
      <c r="G247" s="5" t="str">
        <f>CASOPOInvCL!I247</f>
        <v>Alexis Gil Lamadrid</v>
      </c>
      <c r="H247" s="31">
        <f>CASOPOInvCL!U247</f>
        <v>2</v>
      </c>
      <c r="I247" s="31">
        <f>CASOPOInvCL!V247</f>
        <v>2025</v>
      </c>
      <c r="J247" s="5" t="str">
        <f>CASOPOInvCL!AB247</f>
        <v>INV13003</v>
      </c>
      <c r="K247" s="31">
        <f>CASOPOInvCL!W247</f>
        <v>7</v>
      </c>
      <c r="L247" s="31">
        <f>CASOPOInvCL!X247</f>
        <v>2025</v>
      </c>
      <c r="M247">
        <v>2502</v>
      </c>
      <c r="N247" s="5" t="str">
        <f>CASOPOInvCL!AF247</f>
        <v>ARYA OILFIELD AND NATURAL GAS EQUIPMENT AND SPARE PARTS TRADING L.L.C</v>
      </c>
      <c r="O247" s="16" t="str">
        <f>CASOPOInvCL!AG247</f>
        <v>USD</v>
      </c>
      <c r="P247" s="16">
        <f>CASOPOInvCL!AH247</f>
        <v>39478.216987228247</v>
      </c>
      <c r="Q247" s="16">
        <f>CASOPOInvCL!AI247</f>
        <v>28692.74</v>
      </c>
      <c r="R247" s="66" t="str">
        <f>CASOPOInvCL!AU247</f>
        <v>Yes</v>
      </c>
      <c r="S247" s="16">
        <f>CASOPOInvCL!AV247</f>
        <v>0</v>
      </c>
      <c r="T247" s="16">
        <f>CASOPOInvCL!AW247</f>
        <v>28692.74</v>
      </c>
      <c r="V247" s="56" t="s">
        <v>5800</v>
      </c>
      <c r="Y247" s="29" t="str">
        <f>IFERROR(HLOOKUP(U247,List!$D$2:$H$6,2,FALSE),"")</f>
        <v/>
      </c>
      <c r="Z247" s="29">
        <f>IFERROR(HLOOKUP(V247,List!$D$2:$H$6,3,FALSE),"")</f>
        <v>5.0000000000000001E-3</v>
      </c>
      <c r="AA247" s="29" t="str">
        <f>IFERROR(HLOOKUP(W247,List!$D$2:$H$6,4,FALSE),"")</f>
        <v/>
      </c>
      <c r="AB247" s="29" t="str">
        <f>IFERROR(HLOOKUP(X247,List!$D$2:$H$6,5,FALSE),"")</f>
        <v/>
      </c>
      <c r="AC247" s="12" t="str">
        <f t="shared" si="38"/>
        <v/>
      </c>
      <c r="AD247" s="12">
        <f t="shared" si="39"/>
        <v>143.46370000000002</v>
      </c>
      <c r="AE247" s="12" t="str">
        <f t="shared" si="40"/>
        <v/>
      </c>
      <c r="AF247" s="12" t="str">
        <f t="shared" si="41"/>
        <v/>
      </c>
      <c r="AG247" t="str">
        <f>VLOOKUP(J247,'Receivable Invoice Detail'!$A$1:F3259,6,FALSE)</f>
        <v>[AC-98-231-135-501] Suction Side Plate, 10x8-21 SRL-C, Natural Rubber</v>
      </c>
      <c r="AM247" s="12" t="str">
        <f t="shared" si="42"/>
        <v/>
      </c>
      <c r="AN247" s="12">
        <f t="shared" si="43"/>
        <v>143.46370000000002</v>
      </c>
      <c r="AO247" s="12" t="str">
        <f t="shared" si="44"/>
        <v/>
      </c>
      <c r="AP247" s="12" t="str">
        <f t="shared" si="45"/>
        <v/>
      </c>
      <c r="AQ247" s="64">
        <f>M247</f>
        <v>2502</v>
      </c>
      <c r="AR247" t="s">
        <v>5931</v>
      </c>
      <c r="AS247" s="12">
        <f t="shared" si="46"/>
        <v>430.39109999999999</v>
      </c>
      <c r="AT247" s="16" t="str">
        <f t="shared" si="47"/>
        <v>Yes</v>
      </c>
    </row>
    <row r="248" spans="1:46" hidden="1" x14ac:dyDescent="0.25">
      <c r="A248" s="41">
        <f>CASOPOInvCL!T248</f>
        <v>2</v>
      </c>
      <c r="B248" t="str">
        <f>CASOPOInvCL!Z248</f>
        <v>SO16679</v>
      </c>
      <c r="D248" t="s">
        <v>5851</v>
      </c>
      <c r="G248" s="5">
        <f>CASOPOInvCL!I248</f>
        <v>0</v>
      </c>
      <c r="H248" s="31">
        <f>CASOPOInvCL!U248</f>
        <v>2</v>
      </c>
      <c r="I248" s="31">
        <f>CASOPOInvCL!V248</f>
        <v>2025</v>
      </c>
      <c r="J248" s="5" t="str">
        <f>CASOPOInvCL!AB248</f>
        <v>INV13003</v>
      </c>
      <c r="K248" s="31">
        <f>CASOPOInvCL!W248</f>
        <v>7</v>
      </c>
      <c r="L248" s="31">
        <f>CASOPOInvCL!X248</f>
        <v>2025</v>
      </c>
      <c r="M248">
        <v>2502</v>
      </c>
      <c r="N248" s="5" t="str">
        <f>CASOPOInvCL!AF248</f>
        <v>ARYA OILFIELD AND NATURAL GAS EQUIPMENT AND SPARE PARTS TRADING L.L.C</v>
      </c>
      <c r="O248" s="16" t="str">
        <f>CASOPOInvCL!AG248</f>
        <v>USD</v>
      </c>
      <c r="P248" s="16">
        <f>CASOPOInvCL!AH248</f>
        <v>0</v>
      </c>
      <c r="Q248" s="16">
        <f>CASOPOInvCL!AI248</f>
        <v>0</v>
      </c>
      <c r="R248" s="32" t="str">
        <f>CASOPOInvCL!AU248</f>
        <v/>
      </c>
      <c r="S248" s="16">
        <f>CASOPOInvCL!AV248</f>
        <v>0</v>
      </c>
      <c r="T248" s="16">
        <f>CASOPOInvCL!AW248</f>
        <v>0</v>
      </c>
      <c r="V248" t="s">
        <v>5800</v>
      </c>
      <c r="Y248" s="29" t="str">
        <f>IFERROR(HLOOKUP(U248,List!$D$2:$H$6,2,FALSE),"")</f>
        <v/>
      </c>
      <c r="Z248" s="29">
        <f>IFERROR(HLOOKUP(V248,List!$D$2:$H$6,3,FALSE),"")</f>
        <v>5.0000000000000001E-3</v>
      </c>
      <c r="AA248" s="29" t="str">
        <f>IFERROR(HLOOKUP(W248,List!$D$2:$H$6,4,FALSE),"")</f>
        <v/>
      </c>
      <c r="AB248" s="29" t="str">
        <f>IFERROR(HLOOKUP(X248,List!$D$2:$H$6,5,FALSE),"")</f>
        <v/>
      </c>
      <c r="AC248" s="12" t="str">
        <f t="shared" si="38"/>
        <v/>
      </c>
      <c r="AD248" s="12">
        <f t="shared" si="39"/>
        <v>0</v>
      </c>
      <c r="AE248" s="12" t="str">
        <f t="shared" si="40"/>
        <v/>
      </c>
      <c r="AF248" s="12" t="str">
        <f t="shared" si="41"/>
        <v/>
      </c>
      <c r="AG248" t="str">
        <f>VLOOKUP(J248,'Receivable Invoice Detail'!$A$1:F3260,6,FALSE)</f>
        <v>[AC-98-231-135-501] Suction Side Plate, 10x8-21 SRL-C, Natural Rubber</v>
      </c>
      <c r="AM248" s="12" t="str">
        <f t="shared" si="42"/>
        <v/>
      </c>
      <c r="AN248" s="12">
        <f t="shared" si="43"/>
        <v>0</v>
      </c>
      <c r="AO248" s="12" t="str">
        <f t="shared" si="44"/>
        <v/>
      </c>
      <c r="AP248" s="12" t="str">
        <f t="shared" si="45"/>
        <v/>
      </c>
      <c r="AQ248" s="64">
        <f>M248</f>
        <v>2502</v>
      </c>
      <c r="AR248" t="s">
        <v>5931</v>
      </c>
      <c r="AS248" s="12">
        <f t="shared" si="46"/>
        <v>0</v>
      </c>
      <c r="AT248" s="16" t="str">
        <f t="shared" si="47"/>
        <v/>
      </c>
    </row>
    <row r="249" spans="1:46" hidden="1" x14ac:dyDescent="0.25">
      <c r="A249" s="41">
        <f>CASOPOInvCL!T249</f>
        <v>1</v>
      </c>
      <c r="B249" t="str">
        <f>CASOPOInvCL!Z249</f>
        <v>SO16680</v>
      </c>
      <c r="G249" s="5" t="str">
        <f>CASOPOInvCL!I249</f>
        <v>Ian Trottier</v>
      </c>
      <c r="H249" s="31">
        <f>CASOPOInvCL!U249</f>
        <v>2</v>
      </c>
      <c r="I249" s="31">
        <f>CASOPOInvCL!V249</f>
        <v>2025</v>
      </c>
      <c r="J249" s="5" t="str">
        <f>CASOPOInvCL!AB249</f>
        <v>INV12989</v>
      </c>
      <c r="K249" s="31">
        <f>CASOPOInvCL!W249</f>
        <v>6</v>
      </c>
      <c r="L249" s="31">
        <f>CASOPOInvCL!X249</f>
        <v>2025</v>
      </c>
      <c r="M249" s="31"/>
      <c r="N249" s="5" t="str">
        <f>CASOPOInvCL!AF249</f>
        <v>FMI Products</v>
      </c>
      <c r="O249" s="16" t="str">
        <f>CASOPOInvCL!AG249</f>
        <v>CAD</v>
      </c>
      <c r="P249" s="16">
        <f>CASOPOInvCL!AH249</f>
        <v>117.17</v>
      </c>
      <c r="Q249" s="16">
        <f>CASOPOInvCL!AI249</f>
        <v>83.753177949379946</v>
      </c>
      <c r="R249" s="32" t="str">
        <f>CASOPOInvCL!AU249</f>
        <v>Yes</v>
      </c>
      <c r="S249" s="16">
        <f>CASOPOInvCL!AV249</f>
        <v>0</v>
      </c>
      <c r="T249" s="16">
        <f>CASOPOInvCL!AW249</f>
        <v>83.753177949379946</v>
      </c>
      <c r="Y249" s="29" t="str">
        <f>IFERROR(HLOOKUP(U249,List!$D$2:$H$6,2,FALSE),"")</f>
        <v/>
      </c>
      <c r="Z249" s="29" t="str">
        <f>IFERROR(HLOOKUP(V249,List!$D$2:$H$6,3,FALSE),"")</f>
        <v/>
      </c>
      <c r="AA249" s="29" t="str">
        <f>IFERROR(HLOOKUP(W249,List!$D$2:$H$6,4,FALSE),"")</f>
        <v/>
      </c>
      <c r="AB249" s="29" t="str">
        <f>IFERROR(HLOOKUP(X249,List!$D$2:$H$6,5,FALSE),"")</f>
        <v/>
      </c>
      <c r="AC249" s="12" t="str">
        <f t="shared" si="38"/>
        <v/>
      </c>
      <c r="AD249" s="12" t="str">
        <f t="shared" si="39"/>
        <v/>
      </c>
      <c r="AE249" s="12" t="str">
        <f t="shared" si="40"/>
        <v/>
      </c>
      <c r="AF249" s="12" t="str">
        <f t="shared" si="41"/>
        <v/>
      </c>
      <c r="AG249" t="str">
        <f>VLOOKUP(J249,'Receivable Invoice Detail'!$A$1:F3261,6,FALSE)</f>
        <v>[G-R76293] Lantern Ring, 3196 MTX, Teflon</v>
      </c>
      <c r="AM249" s="12" t="str">
        <f t="shared" si="42"/>
        <v/>
      </c>
      <c r="AN249" s="12" t="str">
        <f t="shared" si="43"/>
        <v/>
      </c>
      <c r="AO249" s="12" t="str">
        <f t="shared" si="44"/>
        <v/>
      </c>
      <c r="AP249" s="12" t="str">
        <f t="shared" si="45"/>
        <v/>
      </c>
      <c r="AQ249" s="12"/>
      <c r="AS249" s="12">
        <f t="shared" si="46"/>
        <v>1.2562976692406991</v>
      </c>
      <c r="AT249" s="16" t="str">
        <f t="shared" si="47"/>
        <v>Yes</v>
      </c>
    </row>
    <row r="250" spans="1:46" hidden="1" x14ac:dyDescent="0.25">
      <c r="A250" s="41">
        <f>CASOPOInvCL!T250</f>
        <v>1</v>
      </c>
      <c r="B250" t="str">
        <f>CASOPOInvCL!Z250</f>
        <v>SO16682</v>
      </c>
      <c r="G250" s="5" t="str">
        <f>CASOPOInvCL!I250</f>
        <v>Ian Trottier</v>
      </c>
      <c r="H250" s="31">
        <f>CASOPOInvCL!U250</f>
        <v>2</v>
      </c>
      <c r="I250" s="31">
        <f>CASOPOInvCL!V250</f>
        <v>2025</v>
      </c>
      <c r="J250" s="5" t="str">
        <f>CASOPOInvCL!AB250</f>
        <v>INV12719</v>
      </c>
      <c r="K250" s="31">
        <f>CASOPOInvCL!W250</f>
        <v>4</v>
      </c>
      <c r="L250" s="31">
        <f>CASOPOInvCL!X250</f>
        <v>2025</v>
      </c>
      <c r="M250" s="31"/>
      <c r="N250" s="5" t="str">
        <f>CASOPOInvCL!AF250</f>
        <v>Tantalum Mining Corporation of Canada</v>
      </c>
      <c r="O250" s="16" t="str">
        <f>CASOPOInvCL!AG250</f>
        <v>CAD</v>
      </c>
      <c r="P250" s="16">
        <f>CASOPOInvCL!AH250</f>
        <v>1853.06</v>
      </c>
      <c r="Q250" s="16">
        <f>CASOPOInvCL!AI250</f>
        <v>1297.6955113884053</v>
      </c>
      <c r="R250" s="32" t="str">
        <f>CASOPOInvCL!AU250</f>
        <v>Yes</v>
      </c>
      <c r="S250" s="16">
        <f>CASOPOInvCL!AV250</f>
        <v>0</v>
      </c>
      <c r="T250" s="16">
        <f>CASOPOInvCL!AW250</f>
        <v>1297.6955113884053</v>
      </c>
      <c r="Y250" s="29" t="str">
        <f>IFERROR(HLOOKUP(U250,List!$D$2:$H$6,2,FALSE),"")</f>
        <v/>
      </c>
      <c r="Z250" s="29" t="str">
        <f>IFERROR(HLOOKUP(V250,List!$D$2:$H$6,3,FALSE),"")</f>
        <v/>
      </c>
      <c r="AA250" s="29" t="str">
        <f>IFERROR(HLOOKUP(W250,List!$D$2:$H$6,4,FALSE),"")</f>
        <v/>
      </c>
      <c r="AB250" s="29" t="str">
        <f>IFERROR(HLOOKUP(X250,List!$D$2:$H$6,5,FALSE),"")</f>
        <v/>
      </c>
      <c r="AC250" s="12" t="str">
        <f t="shared" si="38"/>
        <v/>
      </c>
      <c r="AD250" s="12" t="str">
        <f t="shared" si="39"/>
        <v/>
      </c>
      <c r="AE250" s="12" t="str">
        <f t="shared" si="40"/>
        <v/>
      </c>
      <c r="AF250" s="12" t="str">
        <f t="shared" si="41"/>
        <v/>
      </c>
      <c r="AG250" t="str">
        <f>VLOOKUP(J250,'Receivable Invoice Detail'!$A$1:F3262,6,FALSE)</f>
        <v>[AC-98-231-108-501] Suction Side Liner, 3x3-10 SRL-C, Natural Rubber</v>
      </c>
      <c r="AM250" s="12" t="str">
        <f t="shared" si="42"/>
        <v/>
      </c>
      <c r="AN250" s="12" t="str">
        <f t="shared" si="43"/>
        <v/>
      </c>
      <c r="AO250" s="12" t="str">
        <f t="shared" si="44"/>
        <v/>
      </c>
      <c r="AP250" s="12" t="str">
        <f t="shared" si="45"/>
        <v/>
      </c>
      <c r="AQ250" s="12"/>
      <c r="AS250" s="12">
        <f t="shared" si="46"/>
        <v>19.465432670826079</v>
      </c>
      <c r="AT250" s="16" t="str">
        <f t="shared" si="47"/>
        <v>Yes</v>
      </c>
    </row>
    <row r="251" spans="1:46" hidden="1" x14ac:dyDescent="0.25">
      <c r="A251" s="41">
        <f>CASOPOInvCL!T251</f>
        <v>1</v>
      </c>
      <c r="B251" t="str">
        <f>CASOPOInvCL!Z251</f>
        <v>SO16683</v>
      </c>
      <c r="G251" s="5" t="str">
        <f>CASOPOInvCL!I251</f>
        <v>Ian Trottier</v>
      </c>
      <c r="H251" s="31">
        <f>CASOPOInvCL!U251</f>
        <v>2</v>
      </c>
      <c r="I251" s="31">
        <f>CASOPOInvCL!V251</f>
        <v>2025</v>
      </c>
      <c r="J251" s="5" t="str">
        <f>CASOPOInvCL!AB251</f>
        <v>INV12698</v>
      </c>
      <c r="K251" s="31">
        <f>CASOPOInvCL!W251</f>
        <v>5</v>
      </c>
      <c r="L251" s="31">
        <f>CASOPOInvCL!X251</f>
        <v>2025</v>
      </c>
      <c r="M251" s="31"/>
      <c r="N251" s="5" t="str">
        <f>CASOPOInvCL!AF251</f>
        <v>Resolute Forest Products - Dolbeau</v>
      </c>
      <c r="O251" s="16" t="str">
        <f>CASOPOInvCL!AG251</f>
        <v>CAD</v>
      </c>
      <c r="P251" s="16">
        <f>CASOPOInvCL!AH251</f>
        <v>221.34</v>
      </c>
      <c r="Q251" s="16">
        <f>CASOPOInvCL!AI251</f>
        <v>153.34564176370839</v>
      </c>
      <c r="R251" s="32" t="str">
        <f>CASOPOInvCL!AU251</f>
        <v>Yes</v>
      </c>
      <c r="S251" s="16">
        <f>CASOPOInvCL!AV251</f>
        <v>0</v>
      </c>
      <c r="T251" s="16">
        <f>CASOPOInvCL!AW251</f>
        <v>153.34564176370839</v>
      </c>
      <c r="Y251" s="29" t="str">
        <f>IFERROR(HLOOKUP(U251,List!$D$2:$H$6,2,FALSE),"")</f>
        <v/>
      </c>
      <c r="Z251" s="29" t="str">
        <f>IFERROR(HLOOKUP(V251,List!$D$2:$H$6,3,FALSE),"")</f>
        <v/>
      </c>
      <c r="AA251" s="29" t="str">
        <f>IFERROR(HLOOKUP(W251,List!$D$2:$H$6,4,FALSE),"")</f>
        <v/>
      </c>
      <c r="AB251" s="29" t="str">
        <f>IFERROR(HLOOKUP(X251,List!$D$2:$H$6,5,FALSE),"")</f>
        <v/>
      </c>
      <c r="AC251" s="12" t="str">
        <f t="shared" si="38"/>
        <v/>
      </c>
      <c r="AD251" s="12" t="str">
        <f t="shared" si="39"/>
        <v/>
      </c>
      <c r="AE251" s="12" t="str">
        <f t="shared" si="40"/>
        <v/>
      </c>
      <c r="AF251" s="12" t="str">
        <f t="shared" si="41"/>
        <v/>
      </c>
      <c r="AG251" t="str">
        <f>VLOOKUP(J251,'Receivable Invoice Detail'!$A$1:F3263,6,FALSE)</f>
        <v>[WO-9070000-012] Casing Gasket, 18", Worthington FRBH</v>
      </c>
      <c r="AM251" s="12" t="str">
        <f t="shared" si="42"/>
        <v/>
      </c>
      <c r="AN251" s="12" t="str">
        <f t="shared" si="43"/>
        <v/>
      </c>
      <c r="AO251" s="12" t="str">
        <f t="shared" si="44"/>
        <v/>
      </c>
      <c r="AP251" s="12" t="str">
        <f t="shared" si="45"/>
        <v/>
      </c>
      <c r="AQ251" s="12"/>
      <c r="AS251" s="12">
        <f t="shared" si="46"/>
        <v>2.3001846264556258</v>
      </c>
      <c r="AT251" s="16" t="str">
        <f t="shared" si="47"/>
        <v>Yes</v>
      </c>
    </row>
    <row r="252" spans="1:46" hidden="1" x14ac:dyDescent="0.25">
      <c r="A252" s="41">
        <f>CASOPOInvCL!T252</f>
        <v>1</v>
      </c>
      <c r="B252" t="str">
        <f>CASOPOInvCL!Z252</f>
        <v>SO16685</v>
      </c>
      <c r="G252" s="5" t="str">
        <f>CASOPOInvCL!I252</f>
        <v>Ian Trottier</v>
      </c>
      <c r="H252" s="31">
        <f>CASOPOInvCL!U252</f>
        <v>2</v>
      </c>
      <c r="I252" s="31">
        <f>CASOPOInvCL!V252</f>
        <v>2025</v>
      </c>
      <c r="J252" s="5" t="str">
        <f>CASOPOInvCL!AB252</f>
        <v>INV12709</v>
      </c>
      <c r="K252" s="31">
        <f>CASOPOInvCL!W252</f>
        <v>3</v>
      </c>
      <c r="L252" s="31">
        <f>CASOPOInvCL!X252</f>
        <v>2025</v>
      </c>
      <c r="M252" s="31"/>
      <c r="N252" s="5" t="str">
        <f>CASOPOInvCL!AF252</f>
        <v>Glencore Canada Corporation</v>
      </c>
      <c r="O252" s="16" t="str">
        <f>CASOPOInvCL!AG252</f>
        <v>CAD</v>
      </c>
      <c r="P252" s="16">
        <f>CASOPOInvCL!AH252</f>
        <v>3715.09</v>
      </c>
      <c r="Q252" s="16">
        <f>CASOPOInvCL!AI252</f>
        <v>2576.2775105758478</v>
      </c>
      <c r="R252" s="32" t="str">
        <f>CASOPOInvCL!AU252</f>
        <v>Yes</v>
      </c>
      <c r="S252" s="16">
        <f>CASOPOInvCL!AV252</f>
        <v>0</v>
      </c>
      <c r="T252" s="16">
        <f>CASOPOInvCL!AW252</f>
        <v>2576.2775105758478</v>
      </c>
      <c r="Y252" s="29" t="str">
        <f>IFERROR(HLOOKUP(U252,List!$D$2:$H$6,2,FALSE),"")</f>
        <v/>
      </c>
      <c r="Z252" s="29" t="str">
        <f>IFERROR(HLOOKUP(V252,List!$D$2:$H$6,3,FALSE),"")</f>
        <v/>
      </c>
      <c r="AA252" s="29" t="str">
        <f>IFERROR(HLOOKUP(W252,List!$D$2:$H$6,4,FALSE),"")</f>
        <v/>
      </c>
      <c r="AB252" s="29" t="str">
        <f>IFERROR(HLOOKUP(X252,List!$D$2:$H$6,5,FALSE),"")</f>
        <v/>
      </c>
      <c r="AC252" s="12" t="str">
        <f t="shared" si="38"/>
        <v/>
      </c>
      <c r="AD252" s="12" t="str">
        <f t="shared" si="39"/>
        <v/>
      </c>
      <c r="AE252" s="12" t="str">
        <f t="shared" si="40"/>
        <v/>
      </c>
      <c r="AF252" s="12" t="str">
        <f t="shared" si="41"/>
        <v/>
      </c>
      <c r="AG252" t="str">
        <f>VLOOKUP(J252,'Receivable Invoice Detail'!$A$1:F3264,6,FALSE)</f>
        <v>[AC-98-231-115-501] Suction Side Liner, 5x4-14 SRL-C, Natural Rubber</v>
      </c>
      <c r="AM252" s="12" t="str">
        <f t="shared" si="42"/>
        <v/>
      </c>
      <c r="AN252" s="12" t="str">
        <f t="shared" si="43"/>
        <v/>
      </c>
      <c r="AO252" s="12" t="str">
        <f t="shared" si="44"/>
        <v/>
      </c>
      <c r="AP252" s="12" t="str">
        <f t="shared" si="45"/>
        <v/>
      </c>
      <c r="AQ252" s="12"/>
      <c r="AS252" s="12">
        <f t="shared" si="46"/>
        <v>38.644162658637718</v>
      </c>
      <c r="AT252" s="16" t="str">
        <f t="shared" si="47"/>
        <v>Yes</v>
      </c>
    </row>
    <row r="253" spans="1:46" hidden="1" x14ac:dyDescent="0.25">
      <c r="A253" s="41">
        <f>CASOPOInvCL!T253</f>
        <v>1</v>
      </c>
      <c r="B253" t="str">
        <f>CASOPOInvCL!Z253</f>
        <v>SO16687</v>
      </c>
      <c r="G253" s="5" t="str">
        <f>CASOPOInvCL!I253</f>
        <v>Ian Trottier</v>
      </c>
      <c r="H253" s="31">
        <f>CASOPOInvCL!U253</f>
        <v>2</v>
      </c>
      <c r="I253" s="31">
        <f>CASOPOInvCL!V253</f>
        <v>2025</v>
      </c>
      <c r="J253" s="5" t="str">
        <f>CASOPOInvCL!AB253</f>
        <v>INV12896</v>
      </c>
      <c r="K253" s="31">
        <f>CASOPOInvCL!W253</f>
        <v>4</v>
      </c>
      <c r="L253" s="31">
        <f>CASOPOInvCL!X253</f>
        <v>2025</v>
      </c>
      <c r="M253" s="31"/>
      <c r="N253" s="5" t="str">
        <f>CASOPOInvCL!AF253</f>
        <v>Norsearch Industries (2002)Ltd</v>
      </c>
      <c r="O253" s="16" t="str">
        <f>CASOPOInvCL!AG253</f>
        <v>CAD</v>
      </c>
      <c r="P253" s="16">
        <f>CASOPOInvCL!AH253</f>
        <v>10842.06</v>
      </c>
      <c r="Q253" s="16">
        <f>CASOPOInvCL!AI253</f>
        <v>7539.2454370914156</v>
      </c>
      <c r="R253" s="32" t="str">
        <f>CASOPOInvCL!AU253</f>
        <v>Yes</v>
      </c>
      <c r="S253" s="16">
        <f>CASOPOInvCL!AV253</f>
        <v>0</v>
      </c>
      <c r="T253" s="16">
        <f>CASOPOInvCL!AW253</f>
        <v>7539.2454370914156</v>
      </c>
      <c r="Y253" s="29" t="str">
        <f>IFERROR(HLOOKUP(U253,List!$D$2:$H$6,2,FALSE),"")</f>
        <v/>
      </c>
      <c r="Z253" s="29" t="str">
        <f>IFERROR(HLOOKUP(V253,List!$D$2:$H$6,3,FALSE),"")</f>
        <v/>
      </c>
      <c r="AA253" s="29" t="str">
        <f>IFERROR(HLOOKUP(W253,List!$D$2:$H$6,4,FALSE),"")</f>
        <v/>
      </c>
      <c r="AB253" s="29" t="str">
        <f>IFERROR(HLOOKUP(X253,List!$D$2:$H$6,5,FALSE),"")</f>
        <v/>
      </c>
      <c r="AC253" s="12" t="str">
        <f t="shared" si="38"/>
        <v/>
      </c>
      <c r="AD253" s="12" t="str">
        <f t="shared" si="39"/>
        <v/>
      </c>
      <c r="AE253" s="12" t="str">
        <f t="shared" si="40"/>
        <v/>
      </c>
      <c r="AF253" s="12" t="str">
        <f t="shared" si="41"/>
        <v/>
      </c>
      <c r="AG253" t="str">
        <f>VLOOKUP(J253,'Receivable Invoice Detail'!$A$1:F3265,6,FALSE)</f>
        <v>[G-D08742A 1216] Casing, 4x6-10G, 3196 MTX/LTX, CD4MCu</v>
      </c>
      <c r="AM253" s="12" t="str">
        <f t="shared" si="42"/>
        <v/>
      </c>
      <c r="AN253" s="12" t="str">
        <f t="shared" si="43"/>
        <v/>
      </c>
      <c r="AO253" s="12" t="str">
        <f t="shared" si="44"/>
        <v/>
      </c>
      <c r="AP253" s="12" t="str">
        <f t="shared" si="45"/>
        <v/>
      </c>
      <c r="AQ253" s="12"/>
      <c r="AS253" s="12">
        <f t="shared" si="46"/>
        <v>113.08868155637123</v>
      </c>
      <c r="AT253" s="16" t="str">
        <f t="shared" si="47"/>
        <v>Yes</v>
      </c>
    </row>
    <row r="254" spans="1:46" hidden="1" x14ac:dyDescent="0.25">
      <c r="A254" s="41">
        <f>CASOPOInvCL!T254</f>
        <v>3</v>
      </c>
      <c r="B254" t="str">
        <f>CASOPOInvCL!Z254</f>
        <v>SO16692</v>
      </c>
      <c r="G254" s="5" t="str">
        <f>CASOPOInvCL!I254</f>
        <v>Ian Trottier</v>
      </c>
      <c r="H254" s="31">
        <f>CASOPOInvCL!U254</f>
        <v>2</v>
      </c>
      <c r="I254" s="31">
        <f>CASOPOInvCL!V254</f>
        <v>2025</v>
      </c>
      <c r="J254" s="5" t="str">
        <f>CASOPOInvCL!AB254</f>
        <v>INV12807</v>
      </c>
      <c r="K254" s="31">
        <f>CASOPOInvCL!W254</f>
        <v>5</v>
      </c>
      <c r="L254" s="31">
        <f>CASOPOInvCL!X254</f>
        <v>2025</v>
      </c>
      <c r="M254" s="31"/>
      <c r="N254" s="5" t="str">
        <f>CASOPOInvCL!AF254</f>
        <v>Sling-Choker Manufacturing - Timmins</v>
      </c>
      <c r="O254" s="16" t="str">
        <f>CASOPOInvCL!AG254</f>
        <v>CAD</v>
      </c>
      <c r="P254" s="16">
        <f>CASOPOInvCL!AH254</f>
        <v>3409.71</v>
      </c>
      <c r="Q254" s="16">
        <f>CASOPOInvCL!AI254</f>
        <v>2362.2669566193817</v>
      </c>
      <c r="R254" s="32" t="str">
        <f>CASOPOInvCL!AU254</f>
        <v>Yes</v>
      </c>
      <c r="S254" s="16">
        <f>CASOPOInvCL!AV254</f>
        <v>0</v>
      </c>
      <c r="T254" s="16">
        <f>CASOPOInvCL!AW254</f>
        <v>2362.2669566193817</v>
      </c>
      <c r="Y254" s="29" t="str">
        <f>IFERROR(HLOOKUP(U254,List!$D$2:$H$6,2,FALSE),"")</f>
        <v/>
      </c>
      <c r="Z254" s="29" t="str">
        <f>IFERROR(HLOOKUP(V254,List!$D$2:$H$6,3,FALSE),"")</f>
        <v/>
      </c>
      <c r="AA254" s="29" t="str">
        <f>IFERROR(HLOOKUP(W254,List!$D$2:$H$6,4,FALSE),"")</f>
        <v/>
      </c>
      <c r="AB254" s="29" t="str">
        <f>IFERROR(HLOOKUP(X254,List!$D$2:$H$6,5,FALSE),"")</f>
        <v/>
      </c>
      <c r="AC254" s="12" t="str">
        <f t="shared" si="38"/>
        <v/>
      </c>
      <c r="AD254" s="12" t="str">
        <f t="shared" si="39"/>
        <v/>
      </c>
      <c r="AE254" s="12" t="str">
        <f t="shared" si="40"/>
        <v/>
      </c>
      <c r="AF254" s="12" t="str">
        <f t="shared" si="41"/>
        <v/>
      </c>
      <c r="AG254" t="str">
        <f>VLOOKUP(J254,'Receivable Invoice Detail'!$A$1:F3266,6,FALSE)</f>
        <v>[AC-98-233-700-001] Bearing Cover Gasket (Inboard &amp; Outboard), 8x6-18 &amp; 10x8-21 SRL-C</v>
      </c>
      <c r="AM254" s="12" t="str">
        <f t="shared" si="42"/>
        <v/>
      </c>
      <c r="AN254" s="12" t="str">
        <f t="shared" si="43"/>
        <v/>
      </c>
      <c r="AO254" s="12" t="str">
        <f t="shared" si="44"/>
        <v/>
      </c>
      <c r="AP254" s="12" t="str">
        <f t="shared" si="45"/>
        <v/>
      </c>
      <c r="AQ254" s="12"/>
      <c r="AS254" s="12">
        <f t="shared" si="46"/>
        <v>35.434004349290724</v>
      </c>
      <c r="AT254" s="16" t="str">
        <f t="shared" si="47"/>
        <v>Yes</v>
      </c>
    </row>
    <row r="255" spans="1:46" hidden="1" x14ac:dyDescent="0.25">
      <c r="A255" s="41">
        <f>CASOPOInvCL!T255</f>
        <v>3</v>
      </c>
      <c r="B255" t="str">
        <f>CASOPOInvCL!Z255</f>
        <v>SO16692</v>
      </c>
      <c r="G255" s="5">
        <f>CASOPOInvCL!I255</f>
        <v>0</v>
      </c>
      <c r="H255" s="31">
        <f>CASOPOInvCL!U255</f>
        <v>2</v>
      </c>
      <c r="I255" s="31">
        <f>CASOPOInvCL!V255</f>
        <v>2025</v>
      </c>
      <c r="J255" s="5" t="str">
        <f>CASOPOInvCL!AB255</f>
        <v>INV12793</v>
      </c>
      <c r="K255" s="31">
        <f>CASOPOInvCL!W255</f>
        <v>4</v>
      </c>
      <c r="L255" s="31">
        <f>CASOPOInvCL!X255</f>
        <v>2025</v>
      </c>
      <c r="M255" s="31"/>
      <c r="N255" s="5" t="str">
        <f>CASOPOInvCL!AF255</f>
        <v>Sling-Choker Manufacturing - Timmins</v>
      </c>
      <c r="O255" s="16" t="str">
        <f>CASOPOInvCL!AG255</f>
        <v>CAD</v>
      </c>
      <c r="P255" s="16">
        <f>CASOPOInvCL!AH255</f>
        <v>0</v>
      </c>
      <c r="Q255" s="16">
        <f>CASOPOInvCL!AI255</f>
        <v>0</v>
      </c>
      <c r="R255" s="32" t="str">
        <f>CASOPOInvCL!AU255</f>
        <v/>
      </c>
      <c r="S255" s="16">
        <f>CASOPOInvCL!AV255</f>
        <v>0</v>
      </c>
      <c r="T255" s="16">
        <f>CASOPOInvCL!AW255</f>
        <v>0</v>
      </c>
      <c r="Y255" s="29" t="str">
        <f>IFERROR(HLOOKUP(U255,List!$D$2:$H$6,2,FALSE),"")</f>
        <v/>
      </c>
      <c r="Z255" s="29" t="str">
        <f>IFERROR(HLOOKUP(V255,List!$D$2:$H$6,3,FALSE),"")</f>
        <v/>
      </c>
      <c r="AA255" s="29" t="str">
        <f>IFERROR(HLOOKUP(W255,List!$D$2:$H$6,4,FALSE),"")</f>
        <v/>
      </c>
      <c r="AB255" s="29" t="str">
        <f>IFERROR(HLOOKUP(X255,List!$D$2:$H$6,5,FALSE),"")</f>
        <v/>
      </c>
      <c r="AC255" s="12" t="str">
        <f t="shared" si="38"/>
        <v/>
      </c>
      <c r="AD255" s="12" t="str">
        <f t="shared" si="39"/>
        <v/>
      </c>
      <c r="AE255" s="12" t="str">
        <f t="shared" si="40"/>
        <v/>
      </c>
      <c r="AF255" s="12" t="str">
        <f t="shared" si="41"/>
        <v/>
      </c>
      <c r="AG255" t="str">
        <f>VLOOKUP(J255,'Receivable Invoice Detail'!$A$1:F3267,6,FALSE)</f>
        <v>[AC-98-039-047-501] Impeller (Closed), 5x4-14 SRL-C, Natural Rubber</v>
      </c>
      <c r="AM255" s="12" t="str">
        <f t="shared" si="42"/>
        <v/>
      </c>
      <c r="AN255" s="12" t="str">
        <f t="shared" si="43"/>
        <v/>
      </c>
      <c r="AO255" s="12" t="str">
        <f t="shared" si="44"/>
        <v/>
      </c>
      <c r="AP255" s="12" t="str">
        <f t="shared" si="45"/>
        <v/>
      </c>
      <c r="AQ255" s="12"/>
      <c r="AS255" s="12">
        <f t="shared" si="46"/>
        <v>0</v>
      </c>
      <c r="AT255" s="16" t="str">
        <f t="shared" si="47"/>
        <v/>
      </c>
    </row>
    <row r="256" spans="1:46" hidden="1" x14ac:dyDescent="0.25">
      <c r="A256" s="41">
        <f>CASOPOInvCL!T256</f>
        <v>3</v>
      </c>
      <c r="B256" t="str">
        <f>CASOPOInvCL!Z256</f>
        <v>SO16692</v>
      </c>
      <c r="G256" s="5">
        <f>CASOPOInvCL!I256</f>
        <v>0</v>
      </c>
      <c r="H256" s="31">
        <f>CASOPOInvCL!U256</f>
        <v>2</v>
      </c>
      <c r="I256" s="31">
        <f>CASOPOInvCL!V256</f>
        <v>2025</v>
      </c>
      <c r="J256" s="5" t="str">
        <f>CASOPOInvCL!AB256</f>
        <v>INV12853</v>
      </c>
      <c r="K256" s="31">
        <f>CASOPOInvCL!W256</f>
        <v>5</v>
      </c>
      <c r="L256" s="31">
        <f>CASOPOInvCL!X256</f>
        <v>2025</v>
      </c>
      <c r="M256" s="31"/>
      <c r="N256" s="5" t="str">
        <f>CASOPOInvCL!AF256</f>
        <v>Sling-Choker Manufacturing - Timmins</v>
      </c>
      <c r="O256" s="16" t="str">
        <f>CASOPOInvCL!AG256</f>
        <v>CAD</v>
      </c>
      <c r="P256" s="16">
        <f>CASOPOInvCL!AH256</f>
        <v>0</v>
      </c>
      <c r="Q256" s="16">
        <f>CASOPOInvCL!AI256</f>
        <v>0</v>
      </c>
      <c r="R256" s="32" t="str">
        <f>CASOPOInvCL!AU256</f>
        <v/>
      </c>
      <c r="S256" s="16">
        <f>CASOPOInvCL!AV256</f>
        <v>0</v>
      </c>
      <c r="T256" s="16">
        <f>CASOPOInvCL!AW256</f>
        <v>0</v>
      </c>
      <c r="Y256" s="29" t="str">
        <f>IFERROR(HLOOKUP(U256,List!$D$2:$H$6,2,FALSE),"")</f>
        <v/>
      </c>
      <c r="Z256" s="29" t="str">
        <f>IFERROR(HLOOKUP(V256,List!$D$2:$H$6,3,FALSE),"")</f>
        <v/>
      </c>
      <c r="AA256" s="29" t="str">
        <f>IFERROR(HLOOKUP(W256,List!$D$2:$H$6,4,FALSE),"")</f>
        <v/>
      </c>
      <c r="AB256" s="29" t="str">
        <f>IFERROR(HLOOKUP(X256,List!$D$2:$H$6,5,FALSE),"")</f>
        <v/>
      </c>
      <c r="AC256" s="12" t="str">
        <f t="shared" si="38"/>
        <v/>
      </c>
      <c r="AD256" s="12" t="str">
        <f t="shared" si="39"/>
        <v/>
      </c>
      <c r="AE256" s="12" t="str">
        <f t="shared" si="40"/>
        <v/>
      </c>
      <c r="AF256" s="12" t="str">
        <f t="shared" si="41"/>
        <v/>
      </c>
      <c r="AG256" t="str">
        <f>VLOOKUP(J256,'Receivable Invoice Detail'!$A$1:F3268,6,FALSE)</f>
        <v>[AC-98-331-932-501] Shaft Assembly, 5x4-14 SRL-C &amp; 5x5-14 SRL, 1045 Steel</v>
      </c>
      <c r="AM256" s="12" t="str">
        <f t="shared" si="42"/>
        <v/>
      </c>
      <c r="AN256" s="12" t="str">
        <f t="shared" si="43"/>
        <v/>
      </c>
      <c r="AO256" s="12" t="str">
        <f t="shared" si="44"/>
        <v/>
      </c>
      <c r="AP256" s="12" t="str">
        <f t="shared" si="45"/>
        <v/>
      </c>
      <c r="AQ256" s="12"/>
      <c r="AS256" s="12">
        <f t="shared" si="46"/>
        <v>0</v>
      </c>
      <c r="AT256" s="16" t="str">
        <f t="shared" si="47"/>
        <v/>
      </c>
    </row>
    <row r="257" spans="1:46" hidden="1" x14ac:dyDescent="0.25">
      <c r="A257" s="41">
        <f>CASOPOInvCL!T257</f>
        <v>2</v>
      </c>
      <c r="B257" t="str">
        <f>CASOPOInvCL!Z257</f>
        <v>SO16693</v>
      </c>
      <c r="D257" t="s">
        <v>5938</v>
      </c>
      <c r="G257" s="5" t="str">
        <f>CASOPOInvCL!I257</f>
        <v>Marlen Martinez</v>
      </c>
      <c r="H257" s="31">
        <f>CASOPOInvCL!U257</f>
        <v>2</v>
      </c>
      <c r="I257" s="31">
        <f>CASOPOInvCL!V257</f>
        <v>2025</v>
      </c>
      <c r="J257" s="5" t="str">
        <f>CASOPOInvCL!AB257</f>
        <v>INV12734</v>
      </c>
      <c r="K257" s="31">
        <f>CASOPOInvCL!W257</f>
        <v>6</v>
      </c>
      <c r="L257" s="31">
        <f>CASOPOInvCL!X257</f>
        <v>2025</v>
      </c>
      <c r="M257" s="31"/>
      <c r="N257" s="5" t="str">
        <f>CASOPOInvCL!AF257</f>
        <v>Covia Corp - Blue Mountain</v>
      </c>
      <c r="O257" s="16" t="str">
        <f>CASOPOInvCL!AG257</f>
        <v>USD</v>
      </c>
      <c r="P257" s="16">
        <f>CASOPOInvCL!AH257</f>
        <v>11873.686477370158</v>
      </c>
      <c r="Q257" s="16">
        <f>CASOPOInvCL!AI257</f>
        <v>8275</v>
      </c>
      <c r="R257" s="32" t="str">
        <f>CASOPOInvCL!AU257</f>
        <v/>
      </c>
      <c r="S257" s="16">
        <f>CASOPOInvCL!AV257</f>
        <v>395</v>
      </c>
      <c r="T257" s="16">
        <f>CASOPOInvCL!AW257</f>
        <v>0</v>
      </c>
      <c r="Y257" s="29" t="str">
        <f>IFERROR(HLOOKUP(U257,List!$D$2:$H$6,2,FALSE),"")</f>
        <v/>
      </c>
      <c r="Z257" s="29" t="str">
        <f>IFERROR(HLOOKUP(V257,List!$D$2:$H$6,3,FALSE),"")</f>
        <v/>
      </c>
      <c r="AA257" s="29" t="str">
        <f>IFERROR(HLOOKUP(W257,List!$D$2:$H$6,4,FALSE),"")</f>
        <v/>
      </c>
      <c r="AB257" s="29" t="str">
        <f>IFERROR(HLOOKUP(X257,List!$D$2:$H$6,5,FALSE),"")</f>
        <v/>
      </c>
      <c r="AC257" s="12" t="str">
        <f t="shared" si="38"/>
        <v/>
      </c>
      <c r="AD257" s="12" t="str">
        <f t="shared" si="39"/>
        <v/>
      </c>
      <c r="AE257" s="12" t="str">
        <f t="shared" si="40"/>
        <v/>
      </c>
      <c r="AF257" s="12" t="str">
        <f t="shared" si="41"/>
        <v/>
      </c>
      <c r="AG257" t="str">
        <f>VLOOKUP(J257,'Receivable Invoice Detail'!$A$1:F3269,6,FALSE)</f>
        <v>100512/6518 O-Ring Impeller Seal, 1.5/1 or 2/1.5 B-AH, Viton</v>
      </c>
      <c r="AM257" s="12" t="str">
        <f t="shared" si="42"/>
        <v/>
      </c>
      <c r="AN257" s="12" t="str">
        <f t="shared" si="43"/>
        <v/>
      </c>
      <c r="AO257" s="12" t="str">
        <f t="shared" si="44"/>
        <v/>
      </c>
      <c r="AP257" s="12" t="str">
        <f t="shared" si="45"/>
        <v/>
      </c>
      <c r="AQ257" s="64">
        <f t="shared" ref="AQ257:AQ258" si="50">M257</f>
        <v>0</v>
      </c>
      <c r="AR257" t="s">
        <v>5939</v>
      </c>
      <c r="AS257" s="12">
        <f t="shared" si="46"/>
        <v>0</v>
      </c>
      <c r="AT257" s="16" t="str">
        <f t="shared" si="47"/>
        <v/>
      </c>
    </row>
    <row r="258" spans="1:46" hidden="1" x14ac:dyDescent="0.25">
      <c r="A258" s="41">
        <f>CASOPOInvCL!T258</f>
        <v>2</v>
      </c>
      <c r="B258" t="str">
        <f>CASOPOInvCL!Z258</f>
        <v>SO16693</v>
      </c>
      <c r="G258" s="5">
        <f>CASOPOInvCL!I258</f>
        <v>0</v>
      </c>
      <c r="H258" s="31">
        <f>CASOPOInvCL!U258</f>
        <v>2</v>
      </c>
      <c r="I258" s="31">
        <f>CASOPOInvCL!V258</f>
        <v>2025</v>
      </c>
      <c r="J258" s="5" t="str">
        <f>CASOPOInvCL!AB258</f>
        <v>INV13075</v>
      </c>
      <c r="K258" s="31">
        <f>CASOPOInvCL!W258</f>
        <v>9</v>
      </c>
      <c r="L258" s="31">
        <f>CASOPOInvCL!X258</f>
        <v>2025</v>
      </c>
      <c r="M258" s="31"/>
      <c r="N258" s="5" t="str">
        <f>CASOPOInvCL!AF258</f>
        <v>Covia Corp - Blue Mountain</v>
      </c>
      <c r="O258" s="16" t="str">
        <f>CASOPOInvCL!AG258</f>
        <v>USD</v>
      </c>
      <c r="P258" s="16">
        <f>CASOPOInvCL!AH258</f>
        <v>0</v>
      </c>
      <c r="Q258" s="16">
        <f>CASOPOInvCL!AI258</f>
        <v>0</v>
      </c>
      <c r="R258" s="32" t="str">
        <f>CASOPOInvCL!AU258</f>
        <v/>
      </c>
      <c r="S258" s="16">
        <f>CASOPOInvCL!AV258</f>
        <v>282.64999999999998</v>
      </c>
      <c r="T258" s="16">
        <f>CASOPOInvCL!AW258</f>
        <v>0</v>
      </c>
      <c r="Y258" s="29" t="str">
        <f>IFERROR(HLOOKUP(U258,List!$D$2:$H$6,2,FALSE),"")</f>
        <v/>
      </c>
      <c r="Z258" s="29" t="str">
        <f>IFERROR(HLOOKUP(V258,List!$D$2:$H$6,3,FALSE),"")</f>
        <v/>
      </c>
      <c r="AA258" s="29" t="str">
        <f>IFERROR(HLOOKUP(W258,List!$D$2:$H$6,4,FALSE),"")</f>
        <v/>
      </c>
      <c r="AB258" s="29" t="str">
        <f>IFERROR(HLOOKUP(X258,List!$D$2:$H$6,5,FALSE),"")</f>
        <v/>
      </c>
      <c r="AC258" s="12" t="str">
        <f t="shared" si="38"/>
        <v/>
      </c>
      <c r="AD258" s="12" t="str">
        <f t="shared" si="39"/>
        <v/>
      </c>
      <c r="AE258" s="12" t="str">
        <f t="shared" si="40"/>
        <v/>
      </c>
      <c r="AF258" s="12" t="str">
        <f t="shared" si="41"/>
        <v/>
      </c>
      <c r="AG258" t="str">
        <f>VLOOKUP(J258,'Receivable Invoice Detail'!$A$1:F3270,6,FALSE)</f>
        <v>100425/1002Frame Plate, 2/1.5 B-AH, Ductile Iron</v>
      </c>
      <c r="AM258" s="12" t="str">
        <f t="shared" si="42"/>
        <v/>
      </c>
      <c r="AN258" s="12" t="str">
        <f t="shared" si="43"/>
        <v/>
      </c>
      <c r="AO258" s="12" t="str">
        <f t="shared" si="44"/>
        <v/>
      </c>
      <c r="AP258" s="12" t="str">
        <f t="shared" si="45"/>
        <v/>
      </c>
      <c r="AQ258" s="64">
        <f t="shared" si="50"/>
        <v>0</v>
      </c>
      <c r="AR258" t="s">
        <v>5939</v>
      </c>
      <c r="AS258" s="12">
        <f t="shared" si="46"/>
        <v>0</v>
      </c>
      <c r="AT258" s="16" t="str">
        <f t="shared" si="47"/>
        <v/>
      </c>
    </row>
    <row r="259" spans="1:46" hidden="1" x14ac:dyDescent="0.25">
      <c r="A259" s="41">
        <f>CASOPOInvCL!T259</f>
        <v>1</v>
      </c>
      <c r="B259" t="str">
        <f>CASOPOInvCL!Z259</f>
        <v>SO16694</v>
      </c>
      <c r="G259" s="5" t="str">
        <f>CASOPOInvCL!I259</f>
        <v>Ian Trottier</v>
      </c>
      <c r="H259" s="31">
        <f>CASOPOInvCL!U259</f>
        <v>2</v>
      </c>
      <c r="I259" s="31">
        <f>CASOPOInvCL!V259</f>
        <v>2025</v>
      </c>
      <c r="J259" s="5" t="str">
        <f>CASOPOInvCL!AB259</f>
        <v>INV12775</v>
      </c>
      <c r="K259" s="31">
        <f>CASOPOInvCL!W259</f>
        <v>5</v>
      </c>
      <c r="L259" s="31">
        <f>CASOPOInvCL!X259</f>
        <v>2025</v>
      </c>
      <c r="M259" s="31"/>
      <c r="N259" s="5" t="str">
        <f>CASOPOInvCL!AF259</f>
        <v>Resolute Forest Products - Saint-Felicien</v>
      </c>
      <c r="O259" s="16" t="str">
        <f>CASOPOInvCL!AG259</f>
        <v>CAD</v>
      </c>
      <c r="P259" s="16">
        <f>CASOPOInvCL!AH259</f>
        <v>1948.11</v>
      </c>
      <c r="Q259" s="16">
        <f>CASOPOInvCL!AI259</f>
        <v>1349.6619597736421</v>
      </c>
      <c r="R259" s="32" t="str">
        <f>CASOPOInvCL!AU259</f>
        <v>Yes</v>
      </c>
      <c r="S259" s="16">
        <f>CASOPOInvCL!AV259</f>
        <v>0</v>
      </c>
      <c r="T259" s="16">
        <f>CASOPOInvCL!AW259</f>
        <v>1349.6619597736421</v>
      </c>
      <c r="Y259" s="29" t="str">
        <f>IFERROR(HLOOKUP(U259,List!$D$2:$H$6,2,FALSE),"")</f>
        <v/>
      </c>
      <c r="Z259" s="29" t="str">
        <f>IFERROR(HLOOKUP(V259,List!$D$2:$H$6,3,FALSE),"")</f>
        <v/>
      </c>
      <c r="AA259" s="29" t="str">
        <f>IFERROR(HLOOKUP(W259,List!$D$2:$H$6,4,FALSE),"")</f>
        <v/>
      </c>
      <c r="AB259" s="29" t="str">
        <f>IFERROR(HLOOKUP(X259,List!$D$2:$H$6,5,FALSE),"")</f>
        <v/>
      </c>
      <c r="AC259" s="12" t="str">
        <f t="shared" ref="AC259:AC322" si="51">IFERROR(Y259*$T259,"")</f>
        <v/>
      </c>
      <c r="AD259" s="12" t="str">
        <f t="shared" ref="AD259:AD322" si="52">IFERROR(Z259*$T259,"")</f>
        <v/>
      </c>
      <c r="AE259" s="12" t="str">
        <f t="shared" ref="AE259:AE322" si="53">IFERROR(AA259*$T259,"")</f>
        <v/>
      </c>
      <c r="AF259" s="12" t="str">
        <f t="shared" ref="AF259:AF322" si="54">IFERROR(AB259*$T259,"")</f>
        <v/>
      </c>
      <c r="AG259" t="str">
        <f>VLOOKUP(J259,'Receivable Invoice Detail'!$A$1:F3271,6,FALSE)</f>
        <v>[AC-52-430-274-501] Frame, Allis-Chalmers CSO, F4D1, Cast Iron</v>
      </c>
      <c r="AM259" s="12" t="str">
        <f t="shared" ref="AM259:AM322" si="55">IF(AI259="",AC259,0)</f>
        <v/>
      </c>
      <c r="AN259" s="12" t="str">
        <f t="shared" ref="AN259:AN322" si="56">IF(AJ259="",AD259,0)</f>
        <v/>
      </c>
      <c r="AO259" s="12" t="str">
        <f t="shared" ref="AO259:AO322" si="57">IF(AK259="",AE259,0)</f>
        <v/>
      </c>
      <c r="AP259" s="12" t="str">
        <f t="shared" ref="AP259:AP322" si="58">IF(AL259="",AF259,0)</f>
        <v/>
      </c>
      <c r="AQ259" s="12"/>
      <c r="AS259" s="12">
        <f t="shared" ref="AS259:AS322" si="59">T259*1.5%</f>
        <v>20.244929396604633</v>
      </c>
      <c r="AT259" s="16" t="str">
        <f t="shared" si="47"/>
        <v>Yes</v>
      </c>
    </row>
    <row r="260" spans="1:46" hidden="1" x14ac:dyDescent="0.25">
      <c r="A260" s="41">
        <f>CASOPOInvCL!T260</f>
        <v>1</v>
      </c>
      <c r="B260" t="str">
        <f>CASOPOInvCL!Z260</f>
        <v>SO16696</v>
      </c>
      <c r="G260" s="5" t="str">
        <f>CASOPOInvCL!I260</f>
        <v>Ian Trottier</v>
      </c>
      <c r="H260" s="31">
        <f>CASOPOInvCL!U260</f>
        <v>2</v>
      </c>
      <c r="I260" s="31">
        <f>CASOPOInvCL!V260</f>
        <v>2025</v>
      </c>
      <c r="J260" s="5" t="str">
        <f>CASOPOInvCL!AB260</f>
        <v>INV12767</v>
      </c>
      <c r="K260" s="31">
        <f>CASOPOInvCL!W260</f>
        <v>4</v>
      </c>
      <c r="L260" s="31">
        <f>CASOPOInvCL!X260</f>
        <v>2025</v>
      </c>
      <c r="M260" s="31"/>
      <c r="N260" s="5" t="str">
        <f>CASOPOInvCL!AF260</f>
        <v>Corrosion Fluid Products Corp.</v>
      </c>
      <c r="O260" s="16" t="str">
        <f>CASOPOInvCL!AG260</f>
        <v>USD</v>
      </c>
      <c r="P260" s="16">
        <f>CASOPOInvCL!AH260</f>
        <v>182.06320590254907</v>
      </c>
      <c r="Q260" s="16">
        <f>CASOPOInvCL!AI260</f>
        <v>127.04</v>
      </c>
      <c r="R260" s="32" t="str">
        <f>CASOPOInvCL!AU260</f>
        <v>Yes</v>
      </c>
      <c r="S260" s="16">
        <f>CASOPOInvCL!AV260</f>
        <v>0</v>
      </c>
      <c r="T260" s="16">
        <f>CASOPOInvCL!AW260</f>
        <v>127.04</v>
      </c>
      <c r="Y260" s="29" t="str">
        <f>IFERROR(HLOOKUP(U260,List!$D$2:$H$6,2,FALSE),"")</f>
        <v/>
      </c>
      <c r="Z260" s="29" t="str">
        <f>IFERROR(HLOOKUP(V260,List!$D$2:$H$6,3,FALSE),"")</f>
        <v/>
      </c>
      <c r="AA260" s="29" t="str">
        <f>IFERROR(HLOOKUP(W260,List!$D$2:$H$6,4,FALSE),"")</f>
        <v/>
      </c>
      <c r="AB260" s="29" t="str">
        <f>IFERROR(HLOOKUP(X260,List!$D$2:$H$6,5,FALSE),"")</f>
        <v/>
      </c>
      <c r="AC260" s="12" t="str">
        <f t="shared" si="51"/>
        <v/>
      </c>
      <c r="AD260" s="12" t="str">
        <f t="shared" si="52"/>
        <v/>
      </c>
      <c r="AE260" s="12" t="str">
        <f t="shared" si="53"/>
        <v/>
      </c>
      <c r="AF260" s="12" t="str">
        <f t="shared" si="54"/>
        <v/>
      </c>
      <c r="AG260" t="str">
        <f>VLOOKUP(J260,'Receivable Invoice Detail'!$A$1:F3272,6,FALSE)</f>
        <v>[W-C111] Premium Slurry Packing (Single Piece), 3/2 C-AH, Kevlar Fiber w/Silicon Core</v>
      </c>
      <c r="AM260" s="12" t="str">
        <f t="shared" si="55"/>
        <v/>
      </c>
      <c r="AN260" s="12" t="str">
        <f t="shared" si="56"/>
        <v/>
      </c>
      <c r="AO260" s="12" t="str">
        <f t="shared" si="57"/>
        <v/>
      </c>
      <c r="AP260" s="12" t="str">
        <f t="shared" si="58"/>
        <v/>
      </c>
      <c r="AQ260" s="12"/>
      <c r="AS260" s="12">
        <f t="shared" si="59"/>
        <v>1.9056</v>
      </c>
      <c r="AT260" s="16" t="str">
        <f t="shared" si="47"/>
        <v>Yes</v>
      </c>
    </row>
    <row r="261" spans="1:46" hidden="1" x14ac:dyDescent="0.25">
      <c r="A261" s="41">
        <f>CASOPOInvCL!T261</f>
        <v>1</v>
      </c>
      <c r="B261" t="str">
        <f>CASOPOInvCL!Z261</f>
        <v>SO16698</v>
      </c>
      <c r="G261" s="5" t="str">
        <f>CASOPOInvCL!I261</f>
        <v>Ian Trottier</v>
      </c>
      <c r="H261" s="31">
        <f>CASOPOInvCL!U261</f>
        <v>2</v>
      </c>
      <c r="I261" s="31">
        <f>CASOPOInvCL!V261</f>
        <v>2025</v>
      </c>
      <c r="J261" s="5" t="str">
        <f>CASOPOInvCL!AB261</f>
        <v>INV12730</v>
      </c>
      <c r="K261" s="31">
        <f>CASOPOInvCL!W261</f>
        <v>4</v>
      </c>
      <c r="L261" s="31">
        <f>CASOPOInvCL!X261</f>
        <v>2025</v>
      </c>
      <c r="M261" s="31"/>
      <c r="N261" s="5" t="str">
        <f>CASOPOInvCL!AF261</f>
        <v>Glencore Canada Corporation Closed Sites</v>
      </c>
      <c r="O261" s="16" t="str">
        <f>CASOPOInvCL!AG261</f>
        <v>CAD</v>
      </c>
      <c r="P261" s="16">
        <f>CASOPOInvCL!AH261</f>
        <v>2092.58</v>
      </c>
      <c r="Q261" s="16">
        <f>CASOPOInvCL!AI261</f>
        <v>1453.1865193874928</v>
      </c>
      <c r="R261" s="32" t="str">
        <f>CASOPOInvCL!AU261</f>
        <v>Yes</v>
      </c>
      <c r="S261" s="16">
        <f>CASOPOInvCL!AV261</f>
        <v>0</v>
      </c>
      <c r="T261" s="16">
        <f>CASOPOInvCL!AW261</f>
        <v>1453.1865193874928</v>
      </c>
      <c r="Y261" s="29" t="str">
        <f>IFERROR(HLOOKUP(U261,List!$D$2:$H$6,2,FALSE),"")</f>
        <v/>
      </c>
      <c r="Z261" s="29" t="str">
        <f>IFERROR(HLOOKUP(V261,List!$D$2:$H$6,3,FALSE),"")</f>
        <v/>
      </c>
      <c r="AA261" s="29" t="str">
        <f>IFERROR(HLOOKUP(W261,List!$D$2:$H$6,4,FALSE),"")</f>
        <v/>
      </c>
      <c r="AB261" s="29" t="str">
        <f>IFERROR(HLOOKUP(X261,List!$D$2:$H$6,5,FALSE),"")</f>
        <v/>
      </c>
      <c r="AC261" s="12" t="str">
        <f t="shared" si="51"/>
        <v/>
      </c>
      <c r="AD261" s="12" t="str">
        <f t="shared" si="52"/>
        <v/>
      </c>
      <c r="AE261" s="12" t="str">
        <f t="shared" si="53"/>
        <v/>
      </c>
      <c r="AF261" s="12" t="str">
        <f t="shared" si="54"/>
        <v/>
      </c>
      <c r="AG261" t="str">
        <f>VLOOKUP(J261,'Receivable Invoice Detail'!$A$1:F3273,6,FALSE)</f>
        <v>[AC-98-231-055-501] Gland Side Liner, 2x2-10 SRL, Natural Rubber</v>
      </c>
      <c r="AM261" s="12" t="str">
        <f t="shared" si="55"/>
        <v/>
      </c>
      <c r="AN261" s="12" t="str">
        <f t="shared" si="56"/>
        <v/>
      </c>
      <c r="AO261" s="12" t="str">
        <f t="shared" si="57"/>
        <v/>
      </c>
      <c r="AP261" s="12" t="str">
        <f t="shared" si="58"/>
        <v/>
      </c>
      <c r="AQ261" s="12"/>
      <c r="AS261" s="12">
        <f t="shared" si="59"/>
        <v>21.797797790812393</v>
      </c>
      <c r="AT261" s="16" t="str">
        <f t="shared" si="47"/>
        <v>Yes</v>
      </c>
    </row>
    <row r="262" spans="1:46" hidden="1" x14ac:dyDescent="0.25">
      <c r="A262" s="41">
        <f>CASOPOInvCL!T262</f>
        <v>2</v>
      </c>
      <c r="B262" t="str">
        <f>CASOPOInvCL!Z262</f>
        <v>SO16703</v>
      </c>
      <c r="D262" t="s">
        <v>5925</v>
      </c>
      <c r="G262" s="5" t="str">
        <f>CASOPOInvCL!I262</f>
        <v>Ian Trottier</v>
      </c>
      <c r="H262" s="31">
        <f>CASOPOInvCL!U262</f>
        <v>3</v>
      </c>
      <c r="I262" s="31">
        <f>CASOPOInvCL!V262</f>
        <v>2025</v>
      </c>
      <c r="J262" s="5" t="str">
        <f>CASOPOInvCL!AB262</f>
        <v>INV13091</v>
      </c>
      <c r="K262" s="31">
        <f>CASOPOInvCL!W262</f>
        <v>8</v>
      </c>
      <c r="L262" s="31">
        <f>CASOPOInvCL!X262</f>
        <v>2025</v>
      </c>
      <c r="M262">
        <v>2503</v>
      </c>
      <c r="N262" s="5" t="str">
        <f>CASOPOInvCL!AF262</f>
        <v>Hyperflo</v>
      </c>
      <c r="O262" s="16" t="str">
        <f>CASOPOInvCL!AG262</f>
        <v>CAD</v>
      </c>
      <c r="P262" s="16">
        <f>CASOPOInvCL!AH262</f>
        <v>631.62</v>
      </c>
      <c r="Q262" s="16">
        <f>CASOPOInvCL!AI262</f>
        <v>438.59356200574041</v>
      </c>
      <c r="R262" s="32" t="str">
        <f>CASOPOInvCL!AU262</f>
        <v>Yes</v>
      </c>
      <c r="S262" s="16">
        <f>CASOPOInvCL!AV262</f>
        <v>0</v>
      </c>
      <c r="T262" s="16">
        <f>CASOPOInvCL!AW262</f>
        <v>438.59356200574041</v>
      </c>
      <c r="V262" t="s">
        <v>5800</v>
      </c>
      <c r="Y262" s="29" t="str">
        <f>IFERROR(HLOOKUP(U262,List!$D$2:$H$6,2,FALSE),"")</f>
        <v/>
      </c>
      <c r="Z262" s="29">
        <f>IFERROR(HLOOKUP(V262,List!$D$2:$H$6,3,FALSE),"")</f>
        <v>5.0000000000000001E-3</v>
      </c>
      <c r="AA262" s="29" t="str">
        <f>IFERROR(HLOOKUP(W262,List!$D$2:$H$6,4,FALSE),"")</f>
        <v/>
      </c>
      <c r="AB262" s="29" t="str">
        <f>IFERROR(HLOOKUP(X262,List!$D$2:$H$6,5,FALSE),"")</f>
        <v/>
      </c>
      <c r="AC262" s="12" t="str">
        <f t="shared" si="51"/>
        <v/>
      </c>
      <c r="AD262" s="12">
        <f t="shared" si="52"/>
        <v>2.1929678100287022</v>
      </c>
      <c r="AE262" s="12" t="str">
        <f t="shared" si="53"/>
        <v/>
      </c>
      <c r="AF262" s="12" t="str">
        <f t="shared" si="54"/>
        <v/>
      </c>
      <c r="AG262" t="str">
        <f>VLOOKUP(J262,'Receivable Invoice Detail'!$A$1:F3274,6,FALSE)</f>
        <v>[AC125-CS02-3SS, AC-52-108-789-004] Packing Base Ring, Allis Chalmers CSO, Frame F4B3/F4B5/F4D1, 316SS</v>
      </c>
      <c r="AH262" s="12">
        <f t="shared" ref="AH262:AH263" si="60">SUM(AC262:AF262)</f>
        <v>2.1929678100287022</v>
      </c>
      <c r="AM262" s="12" t="str">
        <f t="shared" si="55"/>
        <v/>
      </c>
      <c r="AN262" s="12">
        <f t="shared" si="56"/>
        <v>2.1929678100287022</v>
      </c>
      <c r="AO262" s="12" t="str">
        <f t="shared" si="57"/>
        <v/>
      </c>
      <c r="AP262" s="12" t="str">
        <f t="shared" si="58"/>
        <v/>
      </c>
      <c r="AQ262" s="64">
        <v>2503</v>
      </c>
      <c r="AR262" t="s">
        <v>5932</v>
      </c>
      <c r="AS262" s="12">
        <f t="shared" si="59"/>
        <v>6.5789034300861058</v>
      </c>
      <c r="AT262" s="16" t="str">
        <f t="shared" si="47"/>
        <v>Yes</v>
      </c>
    </row>
    <row r="263" spans="1:46" hidden="1" x14ac:dyDescent="0.25">
      <c r="A263" s="41">
        <f>CASOPOInvCL!T263</f>
        <v>2</v>
      </c>
      <c r="B263" t="str">
        <f>CASOPOInvCL!Z263</f>
        <v>SO16703</v>
      </c>
      <c r="D263" t="s">
        <v>5925</v>
      </c>
      <c r="G263" s="5">
        <f>CASOPOInvCL!I263</f>
        <v>0</v>
      </c>
      <c r="H263" s="31">
        <f>CASOPOInvCL!U263</f>
        <v>3</v>
      </c>
      <c r="I263" s="31">
        <f>CASOPOInvCL!V263</f>
        <v>2025</v>
      </c>
      <c r="J263" s="5" t="str">
        <f>CASOPOInvCL!AB263</f>
        <v>INV12721</v>
      </c>
      <c r="K263" s="31">
        <f>CASOPOInvCL!W263</f>
        <v>4</v>
      </c>
      <c r="L263" s="31">
        <f>CASOPOInvCL!X263</f>
        <v>2025</v>
      </c>
      <c r="M263">
        <v>2503</v>
      </c>
      <c r="N263" s="5" t="str">
        <f>CASOPOInvCL!AF263</f>
        <v>Hyperflo</v>
      </c>
      <c r="O263" s="16" t="str">
        <f>CASOPOInvCL!AG263</f>
        <v>CAD</v>
      </c>
      <c r="P263" s="16">
        <f>CASOPOInvCL!AH263</f>
        <v>0</v>
      </c>
      <c r="Q263" s="16">
        <f>CASOPOInvCL!AI263</f>
        <v>0</v>
      </c>
      <c r="R263" s="32" t="str">
        <f>CASOPOInvCL!AU263</f>
        <v/>
      </c>
      <c r="S263" s="16">
        <f>CASOPOInvCL!AV263</f>
        <v>0</v>
      </c>
      <c r="T263" s="16">
        <f>CASOPOInvCL!AW263</f>
        <v>0</v>
      </c>
      <c r="V263" t="s">
        <v>5800</v>
      </c>
      <c r="Y263" s="29" t="str">
        <f>IFERROR(HLOOKUP(U263,List!$D$2:$H$6,2,FALSE),"")</f>
        <v/>
      </c>
      <c r="Z263" s="29">
        <f>IFERROR(HLOOKUP(V263,List!$D$2:$H$6,3,FALSE),"")</f>
        <v>5.0000000000000001E-3</v>
      </c>
      <c r="AA263" s="29" t="str">
        <f>IFERROR(HLOOKUP(W263,List!$D$2:$H$6,4,FALSE),"")</f>
        <v/>
      </c>
      <c r="AB263" s="29" t="str">
        <f>IFERROR(HLOOKUP(X263,List!$D$2:$H$6,5,FALSE),"")</f>
        <v/>
      </c>
      <c r="AC263" s="12" t="str">
        <f t="shared" si="51"/>
        <v/>
      </c>
      <c r="AD263" s="12">
        <f t="shared" si="52"/>
        <v>0</v>
      </c>
      <c r="AE263" s="12" t="str">
        <f t="shared" si="53"/>
        <v/>
      </c>
      <c r="AF263" s="12" t="str">
        <f t="shared" si="54"/>
        <v/>
      </c>
      <c r="AG263" t="str">
        <f>VLOOKUP(J263,'Receivable Invoice Detail'!$A$1:F3275,6,FALSE)</f>
        <v>[AC-52-050-313-000] Shim Kit, Allis Chalmers CSO, Frame F4D1/F4B5</v>
      </c>
      <c r="AH263" s="12">
        <f t="shared" si="60"/>
        <v>0</v>
      </c>
      <c r="AM263" s="12" t="str">
        <f t="shared" si="55"/>
        <v/>
      </c>
      <c r="AN263" s="12">
        <f t="shared" si="56"/>
        <v>0</v>
      </c>
      <c r="AO263" s="12" t="str">
        <f t="shared" si="57"/>
        <v/>
      </c>
      <c r="AP263" s="12" t="str">
        <f t="shared" si="58"/>
        <v/>
      </c>
      <c r="AQ263" s="64">
        <v>2503</v>
      </c>
      <c r="AR263" t="s">
        <v>5932</v>
      </c>
      <c r="AS263" s="12">
        <f t="shared" si="59"/>
        <v>0</v>
      </c>
      <c r="AT263" s="16" t="str">
        <f t="shared" si="47"/>
        <v/>
      </c>
    </row>
    <row r="264" spans="1:46" hidden="1" x14ac:dyDescent="0.25">
      <c r="A264" s="41">
        <f>CASOPOInvCL!T264</f>
        <v>1</v>
      </c>
      <c r="B264" t="str">
        <f>CASOPOInvCL!Z264</f>
        <v>SO16704</v>
      </c>
      <c r="G264" s="5" t="str">
        <f>CASOPOInvCL!I264</f>
        <v>Ian Trottier</v>
      </c>
      <c r="H264" s="31">
        <f>CASOPOInvCL!U264</f>
        <v>3</v>
      </c>
      <c r="I264" s="31">
        <f>CASOPOInvCL!V264</f>
        <v>2025</v>
      </c>
      <c r="J264" s="5" t="str">
        <f>CASOPOInvCL!AB264</f>
        <v>INV12702</v>
      </c>
      <c r="K264" s="31">
        <f>CASOPOInvCL!W264</f>
        <v>1</v>
      </c>
      <c r="L264" s="31">
        <f>CASOPOInvCL!X264</f>
        <v>1900</v>
      </c>
      <c r="M264" s="31"/>
      <c r="N264" s="5" t="str">
        <f>CASOPOInvCL!AF264</f>
        <v>Quality Concrete Inc.</v>
      </c>
      <c r="O264" s="16" t="str">
        <f>CASOPOInvCL!AG264</f>
        <v>CAD</v>
      </c>
      <c r="P264" s="16">
        <f>CASOPOInvCL!AH264</f>
        <v>0</v>
      </c>
      <c r="Q264" s="16">
        <f>CASOPOInvCL!AI264</f>
        <v>0</v>
      </c>
      <c r="R264" s="32" t="str">
        <f>CASOPOInvCL!AU264</f>
        <v>Yes</v>
      </c>
      <c r="S264" s="16">
        <f>CASOPOInvCL!AV264</f>
        <v>0</v>
      </c>
      <c r="T264" s="16">
        <f>CASOPOInvCL!AW264</f>
        <v>0</v>
      </c>
      <c r="Y264" s="29" t="str">
        <f>IFERROR(HLOOKUP(U264,List!$D$2:$H$6,2,FALSE),"")</f>
        <v/>
      </c>
      <c r="Z264" s="29" t="str">
        <f>IFERROR(HLOOKUP(V264,List!$D$2:$H$6,3,FALSE),"")</f>
        <v/>
      </c>
      <c r="AA264" s="29" t="str">
        <f>IFERROR(HLOOKUP(W264,List!$D$2:$H$6,4,FALSE),"")</f>
        <v/>
      </c>
      <c r="AB264" s="29" t="str">
        <f>IFERROR(HLOOKUP(X264,List!$D$2:$H$6,5,FALSE),"")</f>
        <v/>
      </c>
      <c r="AC264" s="12" t="str">
        <f t="shared" si="51"/>
        <v/>
      </c>
      <c r="AD264" s="12" t="str">
        <f t="shared" si="52"/>
        <v/>
      </c>
      <c r="AE264" s="12" t="str">
        <f t="shared" si="53"/>
        <v/>
      </c>
      <c r="AF264" s="12" t="str">
        <f t="shared" si="54"/>
        <v/>
      </c>
      <c r="AG264" t="str">
        <f>VLOOKUP(J264,'Receivable Invoice Detail'!$A$1:F3276,6,FALSE)</f>
        <v>[AC-98-530-586-001] Pedestal, 8x6-18 &amp; 10x8-21 SRL-C, Cast Iron</v>
      </c>
      <c r="AM264" s="12" t="str">
        <f t="shared" si="55"/>
        <v/>
      </c>
      <c r="AN264" s="12" t="str">
        <f t="shared" si="56"/>
        <v/>
      </c>
      <c r="AO264" s="12" t="str">
        <f t="shared" si="57"/>
        <v/>
      </c>
      <c r="AP264" s="12" t="str">
        <f t="shared" si="58"/>
        <v/>
      </c>
      <c r="AQ264" s="12"/>
      <c r="AS264" s="12">
        <f t="shared" si="59"/>
        <v>0</v>
      </c>
      <c r="AT264" s="16" t="str">
        <f t="shared" si="47"/>
        <v>Yes</v>
      </c>
    </row>
    <row r="265" spans="1:46" hidden="1" x14ac:dyDescent="0.25">
      <c r="A265" s="41">
        <f>CASOPOInvCL!T265</f>
        <v>1</v>
      </c>
      <c r="B265" t="str">
        <f>CASOPOInvCL!Z265</f>
        <v>SO16705</v>
      </c>
      <c r="G265" s="5" t="str">
        <f>CASOPOInvCL!I265</f>
        <v>Ian Trottier</v>
      </c>
      <c r="H265" s="31">
        <f>CASOPOInvCL!U265</f>
        <v>3</v>
      </c>
      <c r="I265" s="31">
        <f>CASOPOInvCL!V265</f>
        <v>2025</v>
      </c>
      <c r="J265" s="5" t="str">
        <f>CASOPOInvCL!AB265</f>
        <v>INV12699</v>
      </c>
      <c r="K265" s="31">
        <f>CASOPOInvCL!W265</f>
        <v>4</v>
      </c>
      <c r="L265" s="31">
        <f>CASOPOInvCL!X265</f>
        <v>2025</v>
      </c>
      <c r="M265" s="31"/>
      <c r="N265" s="5" t="str">
        <f>CASOPOInvCL!AF265</f>
        <v>Canadian Bearings Ltd.</v>
      </c>
      <c r="O265" s="16" t="str">
        <f>CASOPOInvCL!AG265</f>
        <v>CAD</v>
      </c>
      <c r="P265" s="16">
        <f>CASOPOInvCL!AH265</f>
        <v>270.35000000000002</v>
      </c>
      <c r="Q265" s="16">
        <f>CASOPOInvCL!AI265</f>
        <v>187.72959926577988</v>
      </c>
      <c r="R265" s="32" t="str">
        <f>CASOPOInvCL!AU265</f>
        <v>Yes</v>
      </c>
      <c r="S265" s="16">
        <f>CASOPOInvCL!AV265</f>
        <v>0</v>
      </c>
      <c r="T265" s="16">
        <f>CASOPOInvCL!AW265</f>
        <v>187.72959926577988</v>
      </c>
      <c r="Y265" s="29" t="str">
        <f>IFERROR(HLOOKUP(U265,List!$D$2:$H$6,2,FALSE),"")</f>
        <v/>
      </c>
      <c r="Z265" s="29" t="str">
        <f>IFERROR(HLOOKUP(V265,List!$D$2:$H$6,3,FALSE),"")</f>
        <v/>
      </c>
      <c r="AA265" s="29" t="str">
        <f>IFERROR(HLOOKUP(W265,List!$D$2:$H$6,4,FALSE),"")</f>
        <v/>
      </c>
      <c r="AB265" s="29" t="str">
        <f>IFERROR(HLOOKUP(X265,List!$D$2:$H$6,5,FALSE),"")</f>
        <v/>
      </c>
      <c r="AC265" s="12" t="str">
        <f t="shared" si="51"/>
        <v/>
      </c>
      <c r="AD265" s="12" t="str">
        <f t="shared" si="52"/>
        <v/>
      </c>
      <c r="AE265" s="12" t="str">
        <f t="shared" si="53"/>
        <v/>
      </c>
      <c r="AF265" s="12" t="str">
        <f t="shared" si="54"/>
        <v/>
      </c>
      <c r="AG265" t="str">
        <f>VLOOKUP(J265,'Receivable Invoice Detail'!$A$1:F3277,6,FALSE)</f>
        <v>[AC-98-232-857-801] Shim Set, A-C PWO-C Group 1, Plastic</v>
      </c>
      <c r="AM265" s="12" t="str">
        <f t="shared" si="55"/>
        <v/>
      </c>
      <c r="AN265" s="12" t="str">
        <f t="shared" si="56"/>
        <v/>
      </c>
      <c r="AO265" s="12" t="str">
        <f t="shared" si="57"/>
        <v/>
      </c>
      <c r="AP265" s="12" t="str">
        <f t="shared" si="58"/>
        <v/>
      </c>
      <c r="AQ265" s="12"/>
      <c r="AS265" s="12">
        <f t="shared" si="59"/>
        <v>2.8159439889866982</v>
      </c>
      <c r="AT265" s="16" t="str">
        <f t="shared" si="47"/>
        <v>Yes</v>
      </c>
    </row>
    <row r="266" spans="1:46" hidden="1" x14ac:dyDescent="0.25">
      <c r="A266" s="41">
        <f>CASOPOInvCL!T266</f>
        <v>1</v>
      </c>
      <c r="B266" t="str">
        <f>CASOPOInvCL!Z266</f>
        <v>SO16706</v>
      </c>
      <c r="G266" s="5" t="str">
        <f>CASOPOInvCL!I266</f>
        <v>Ian Trottier</v>
      </c>
      <c r="H266" s="31">
        <f>CASOPOInvCL!U266</f>
        <v>3</v>
      </c>
      <c r="I266" s="31">
        <f>CASOPOInvCL!V266</f>
        <v>2025</v>
      </c>
      <c r="J266" s="5" t="str">
        <f>CASOPOInvCL!AB266</f>
        <v>INV12755</v>
      </c>
      <c r="K266" s="31">
        <f>CASOPOInvCL!W266</f>
        <v>4</v>
      </c>
      <c r="L266" s="31">
        <f>CASOPOInvCL!X266</f>
        <v>2025</v>
      </c>
      <c r="M266" s="31"/>
      <c r="N266" s="5" t="str">
        <f>CASOPOInvCL!AF266</f>
        <v>Hyperflo</v>
      </c>
      <c r="O266" s="16" t="str">
        <f>CASOPOInvCL!AG266</f>
        <v>CAD</v>
      </c>
      <c r="P266" s="16">
        <f>CASOPOInvCL!AH266</f>
        <v>6571.4</v>
      </c>
      <c r="Q266" s="16">
        <f>CASOPOInvCL!AI266</f>
        <v>4591.6199700849475</v>
      </c>
      <c r="R266" s="32" t="str">
        <f>CASOPOInvCL!AU266</f>
        <v>Yes</v>
      </c>
      <c r="S266" s="16">
        <f>CASOPOInvCL!AV266</f>
        <v>0</v>
      </c>
      <c r="T266" s="16">
        <f>CASOPOInvCL!AW266</f>
        <v>4591.6199700849475</v>
      </c>
      <c r="Y266" s="29" t="str">
        <f>IFERROR(HLOOKUP(U266,List!$D$2:$H$6,2,FALSE),"")</f>
        <v/>
      </c>
      <c r="Z266" s="29" t="str">
        <f>IFERROR(HLOOKUP(V266,List!$D$2:$H$6,3,FALSE),"")</f>
        <v/>
      </c>
      <c r="AA266" s="29" t="str">
        <f>IFERROR(HLOOKUP(W266,List!$D$2:$H$6,4,FALSE),"")</f>
        <v/>
      </c>
      <c r="AB266" s="29" t="str">
        <f>IFERROR(HLOOKUP(X266,List!$D$2:$H$6,5,FALSE),"")</f>
        <v/>
      </c>
      <c r="AC266" s="12" t="str">
        <f t="shared" si="51"/>
        <v/>
      </c>
      <c r="AD266" s="12" t="str">
        <f t="shared" si="52"/>
        <v/>
      </c>
      <c r="AE266" s="12" t="str">
        <f t="shared" si="53"/>
        <v/>
      </c>
      <c r="AF266" s="12" t="str">
        <f t="shared" si="54"/>
        <v/>
      </c>
      <c r="AG266" t="str">
        <f>VLOOKUP(J266,'Receivable Invoice Detail'!$A$1:F3278,6,FALSE)</f>
        <v>[AC-98-431-833-001] Suction Side Casing, 5x5-14 SRL, Cast Iron</v>
      </c>
      <c r="AM266" s="12" t="str">
        <f t="shared" si="55"/>
        <v/>
      </c>
      <c r="AN266" s="12" t="str">
        <f t="shared" si="56"/>
        <v/>
      </c>
      <c r="AO266" s="12" t="str">
        <f t="shared" si="57"/>
        <v/>
      </c>
      <c r="AP266" s="12" t="str">
        <f t="shared" si="58"/>
        <v/>
      </c>
      <c r="AQ266" s="12"/>
      <c r="AS266" s="12">
        <f t="shared" si="59"/>
        <v>68.874299551274206</v>
      </c>
      <c r="AT266" s="16" t="str">
        <f t="shared" ref="AT266:AT329" si="61">R266</f>
        <v>Yes</v>
      </c>
    </row>
    <row r="267" spans="1:46" hidden="1" x14ac:dyDescent="0.25">
      <c r="A267" s="41">
        <f>CASOPOInvCL!T267</f>
        <v>2</v>
      </c>
      <c r="B267" t="str">
        <f>CASOPOInvCL!Z267</f>
        <v>SO16707</v>
      </c>
      <c r="G267" s="5" t="str">
        <f>CASOPOInvCL!I267</f>
        <v>Ian Trottier</v>
      </c>
      <c r="H267" s="31">
        <f>CASOPOInvCL!U267</f>
        <v>3</v>
      </c>
      <c r="I267" s="31">
        <f>CASOPOInvCL!V267</f>
        <v>2025</v>
      </c>
      <c r="J267" s="5" t="str">
        <f>CASOPOInvCL!AB267</f>
        <v>INV12803</v>
      </c>
      <c r="K267" s="31">
        <f>CASOPOInvCL!W267</f>
        <v>4</v>
      </c>
      <c r="L267" s="31">
        <f>CASOPOInvCL!X267</f>
        <v>2025</v>
      </c>
      <c r="M267" s="31"/>
      <c r="N267" s="5" t="str">
        <f>CASOPOInvCL!AF267</f>
        <v>D&amp;H Materials Inc</v>
      </c>
      <c r="O267" s="16" t="str">
        <f>CASOPOInvCL!AG267</f>
        <v>USD</v>
      </c>
      <c r="P267" s="16">
        <f>CASOPOInvCL!AH267</f>
        <v>6126.7031251243734</v>
      </c>
      <c r="Q267" s="16">
        <f>CASOPOInvCL!AI267</f>
        <v>4254.3500000000004</v>
      </c>
      <c r="R267" s="32" t="str">
        <f>CASOPOInvCL!AU267</f>
        <v>Yes</v>
      </c>
      <c r="S267" s="16">
        <f>CASOPOInvCL!AV267</f>
        <v>0</v>
      </c>
      <c r="T267" s="16">
        <f>CASOPOInvCL!AW267</f>
        <v>4254.3500000000004</v>
      </c>
      <c r="Y267" s="29" t="str">
        <f>IFERROR(HLOOKUP(U267,List!$D$2:$H$6,2,FALSE),"")</f>
        <v/>
      </c>
      <c r="Z267" s="29" t="str">
        <f>IFERROR(HLOOKUP(V267,List!$D$2:$H$6,3,FALSE),"")</f>
        <v/>
      </c>
      <c r="AA267" s="29" t="str">
        <f>IFERROR(HLOOKUP(W267,List!$D$2:$H$6,4,FALSE),"")</f>
        <v/>
      </c>
      <c r="AB267" s="29" t="str">
        <f>IFERROR(HLOOKUP(X267,List!$D$2:$H$6,5,FALSE),"")</f>
        <v/>
      </c>
      <c r="AC267" s="12" t="str">
        <f t="shared" si="51"/>
        <v/>
      </c>
      <c r="AD267" s="12" t="str">
        <f t="shared" si="52"/>
        <v/>
      </c>
      <c r="AE267" s="12" t="str">
        <f t="shared" si="53"/>
        <v/>
      </c>
      <c r="AF267" s="12" t="str">
        <f t="shared" si="54"/>
        <v/>
      </c>
      <c r="AG267" t="str">
        <f>VLOOKUP(J267,'Receivable Invoice Detail'!$A$1:F3279,6,FALSE)</f>
        <v>[DE-503562 Packing Set, (5 Pre-Cut Rings), 10x8-21 Denver SRL-C, Premium Kevlar Slurry Packing</v>
      </c>
      <c r="AM267" s="12" t="str">
        <f t="shared" si="55"/>
        <v/>
      </c>
      <c r="AN267" s="12" t="str">
        <f t="shared" si="56"/>
        <v/>
      </c>
      <c r="AO267" s="12" t="str">
        <f t="shared" si="57"/>
        <v/>
      </c>
      <c r="AP267" s="12" t="str">
        <f t="shared" si="58"/>
        <v/>
      </c>
      <c r="AQ267" s="12"/>
      <c r="AS267" s="12">
        <f t="shared" si="59"/>
        <v>63.815250000000006</v>
      </c>
      <c r="AT267" s="16" t="str">
        <f t="shared" si="61"/>
        <v>Yes</v>
      </c>
    </row>
    <row r="268" spans="1:46" hidden="1" x14ac:dyDescent="0.25">
      <c r="A268" s="41">
        <f>CASOPOInvCL!T268</f>
        <v>2</v>
      </c>
      <c r="B268" t="str">
        <f>CASOPOInvCL!Z268</f>
        <v>SO16707</v>
      </c>
      <c r="G268" s="5">
        <f>CASOPOInvCL!I268</f>
        <v>0</v>
      </c>
      <c r="H268" s="31">
        <f>CASOPOInvCL!U268</f>
        <v>3</v>
      </c>
      <c r="I268" s="31">
        <f>CASOPOInvCL!V268</f>
        <v>2025</v>
      </c>
      <c r="J268" s="5" t="str">
        <f>CASOPOInvCL!AB268</f>
        <v>INV12946</v>
      </c>
      <c r="K268" s="31">
        <f>CASOPOInvCL!W268</f>
        <v>5</v>
      </c>
      <c r="L268" s="31">
        <f>CASOPOInvCL!X268</f>
        <v>2025</v>
      </c>
      <c r="M268" s="31"/>
      <c r="N268" s="5" t="str">
        <f>CASOPOInvCL!AF268</f>
        <v>D&amp;H Materials Inc</v>
      </c>
      <c r="O268" s="16" t="str">
        <f>CASOPOInvCL!AG268</f>
        <v>USD</v>
      </c>
      <c r="P268" s="16">
        <f>CASOPOInvCL!AH268</f>
        <v>0</v>
      </c>
      <c r="Q268" s="16">
        <f>CASOPOInvCL!AI268</f>
        <v>0</v>
      </c>
      <c r="R268" s="32" t="str">
        <f>CASOPOInvCL!AU268</f>
        <v/>
      </c>
      <c r="S268" s="16">
        <f>CASOPOInvCL!AV268</f>
        <v>0</v>
      </c>
      <c r="T268" s="16">
        <f>CASOPOInvCL!AW268</f>
        <v>0</v>
      </c>
      <c r="Y268" s="29" t="str">
        <f>IFERROR(HLOOKUP(U268,List!$D$2:$H$6,2,FALSE),"")</f>
        <v/>
      </c>
      <c r="Z268" s="29" t="str">
        <f>IFERROR(HLOOKUP(V268,List!$D$2:$H$6,3,FALSE),"")</f>
        <v/>
      </c>
      <c r="AA268" s="29" t="str">
        <f>IFERROR(HLOOKUP(W268,List!$D$2:$H$6,4,FALSE),"")</f>
        <v/>
      </c>
      <c r="AB268" s="29" t="str">
        <f>IFERROR(HLOOKUP(X268,List!$D$2:$H$6,5,FALSE),"")</f>
        <v/>
      </c>
      <c r="AC268" s="12" t="str">
        <f t="shared" si="51"/>
        <v/>
      </c>
      <c r="AD268" s="12" t="str">
        <f t="shared" si="52"/>
        <v/>
      </c>
      <c r="AE268" s="12" t="str">
        <f t="shared" si="53"/>
        <v/>
      </c>
      <c r="AF268" s="12" t="str">
        <f t="shared" si="54"/>
        <v/>
      </c>
      <c r="AG268" t="str">
        <f>VLOOKUP(J268,'Receivable Invoice Detail'!$A$1:F3280,6,FALSE)</f>
        <v>[DE-503453] Lantern Ring, 8x6-18 SRL-C, Denver, Steel</v>
      </c>
      <c r="AM268" s="12" t="str">
        <f t="shared" si="55"/>
        <v/>
      </c>
      <c r="AN268" s="12" t="str">
        <f t="shared" si="56"/>
        <v/>
      </c>
      <c r="AO268" s="12" t="str">
        <f t="shared" si="57"/>
        <v/>
      </c>
      <c r="AP268" s="12" t="str">
        <f t="shared" si="58"/>
        <v/>
      </c>
      <c r="AQ268" s="12"/>
      <c r="AS268" s="12">
        <f t="shared" si="59"/>
        <v>0</v>
      </c>
      <c r="AT268" s="16" t="str">
        <f t="shared" si="61"/>
        <v/>
      </c>
    </row>
    <row r="269" spans="1:46" hidden="1" x14ac:dyDescent="0.25">
      <c r="A269" s="41">
        <f>CASOPOInvCL!T269</f>
        <v>1</v>
      </c>
      <c r="B269" t="str">
        <f>CASOPOInvCL!Z269</f>
        <v>SO16708</v>
      </c>
      <c r="G269" s="5" t="str">
        <f>CASOPOInvCL!I269</f>
        <v>Ian Trottier</v>
      </c>
      <c r="H269" s="31">
        <f>CASOPOInvCL!U269</f>
        <v>3</v>
      </c>
      <c r="I269" s="31">
        <f>CASOPOInvCL!V269</f>
        <v>2025</v>
      </c>
      <c r="J269" s="5" t="str">
        <f>CASOPOInvCL!AB269</f>
        <v>INV12713</v>
      </c>
      <c r="K269" s="31">
        <f>CASOPOInvCL!W269</f>
        <v>4</v>
      </c>
      <c r="L269" s="31">
        <f>CASOPOInvCL!X269</f>
        <v>2025</v>
      </c>
      <c r="M269" s="31"/>
      <c r="N269" s="5" t="str">
        <f>CASOPOInvCL!AF269</f>
        <v>SCG Process</v>
      </c>
      <c r="O269" s="16" t="str">
        <f>CASOPOInvCL!AG269</f>
        <v>CAD</v>
      </c>
      <c r="P269" s="16">
        <f>CASOPOInvCL!AH269</f>
        <v>1421.5</v>
      </c>
      <c r="Q269" s="16">
        <f>CASOPOInvCL!AI269</f>
        <v>995.47460386529212</v>
      </c>
      <c r="R269" s="32" t="str">
        <f>CASOPOInvCL!AU269</f>
        <v>Yes</v>
      </c>
      <c r="S269" s="16">
        <f>CASOPOInvCL!AV269</f>
        <v>0</v>
      </c>
      <c r="T269" s="16">
        <f>CASOPOInvCL!AW269</f>
        <v>995.47460386529212</v>
      </c>
      <c r="Y269" s="29" t="str">
        <f>IFERROR(HLOOKUP(U269,List!$D$2:$H$6,2,FALSE),"")</f>
        <v/>
      </c>
      <c r="Z269" s="29" t="str">
        <f>IFERROR(HLOOKUP(V269,List!$D$2:$H$6,3,FALSE),"")</f>
        <v/>
      </c>
      <c r="AA269" s="29" t="str">
        <f>IFERROR(HLOOKUP(W269,List!$D$2:$H$6,4,FALSE),"")</f>
        <v/>
      </c>
      <c r="AB269" s="29" t="str">
        <f>IFERROR(HLOOKUP(X269,List!$D$2:$H$6,5,FALSE),"")</f>
        <v/>
      </c>
      <c r="AC269" s="12" t="str">
        <f t="shared" si="51"/>
        <v/>
      </c>
      <c r="AD269" s="12" t="str">
        <f t="shared" si="52"/>
        <v/>
      </c>
      <c r="AE269" s="12" t="str">
        <f t="shared" si="53"/>
        <v/>
      </c>
      <c r="AF269" s="12" t="str">
        <f t="shared" si="54"/>
        <v/>
      </c>
      <c r="AG269" t="str">
        <f>VLOOKUP(J269,'Receivable Invoice Detail'!$A$1:F3281,6,FALSE)</f>
        <v>[AC-98-039-047-503] Impeller (Closed), 5x4-14 SRL-C, Neoprene</v>
      </c>
      <c r="AM269" s="12" t="str">
        <f t="shared" si="55"/>
        <v/>
      </c>
      <c r="AN269" s="12" t="str">
        <f t="shared" si="56"/>
        <v/>
      </c>
      <c r="AO269" s="12" t="str">
        <f t="shared" si="57"/>
        <v/>
      </c>
      <c r="AP269" s="12" t="str">
        <f t="shared" si="58"/>
        <v/>
      </c>
      <c r="AQ269" s="12"/>
      <c r="AS269" s="12">
        <f t="shared" si="59"/>
        <v>14.932119057979381</v>
      </c>
      <c r="AT269" s="16" t="str">
        <f t="shared" si="61"/>
        <v>Yes</v>
      </c>
    </row>
    <row r="270" spans="1:46" hidden="1" x14ac:dyDescent="0.25">
      <c r="A270" s="41">
        <f>CASOPOInvCL!T270</f>
        <v>2</v>
      </c>
      <c r="B270" t="str">
        <f>CASOPOInvCL!Z270</f>
        <v>SO16711</v>
      </c>
      <c r="G270" s="5" t="str">
        <f>CASOPOInvCL!I270</f>
        <v>Ian Trottier</v>
      </c>
      <c r="H270" s="31">
        <f>CASOPOInvCL!U270</f>
        <v>3</v>
      </c>
      <c r="I270" s="31">
        <f>CASOPOInvCL!V270</f>
        <v>2025</v>
      </c>
      <c r="J270" s="5" t="str">
        <f>CASOPOInvCL!AB270</f>
        <v>INV12750</v>
      </c>
      <c r="K270" s="31">
        <f>CASOPOInvCL!W270</f>
        <v>4</v>
      </c>
      <c r="L270" s="31">
        <f>CASOPOInvCL!X270</f>
        <v>2025</v>
      </c>
      <c r="M270" s="31"/>
      <c r="N270" s="5" t="str">
        <f>CASOPOInvCL!AF270</f>
        <v>Wajax Limited - Lachine</v>
      </c>
      <c r="O270" s="16" t="str">
        <f>CASOPOInvCL!AG270</f>
        <v>CAD</v>
      </c>
      <c r="P270" s="16">
        <f>CASOPOInvCL!AH270</f>
        <v>1995.22</v>
      </c>
      <c r="Q270" s="16">
        <f>CASOPOInvCL!AI270</f>
        <v>1387.3687694021708</v>
      </c>
      <c r="R270" s="32" t="str">
        <f>CASOPOInvCL!AU270</f>
        <v>Yes</v>
      </c>
      <c r="S270" s="16">
        <f>CASOPOInvCL!AV270</f>
        <v>0</v>
      </c>
      <c r="T270" s="16">
        <f>CASOPOInvCL!AW270</f>
        <v>1387.3687694021708</v>
      </c>
      <c r="Y270" s="29" t="str">
        <f>IFERROR(HLOOKUP(U270,List!$D$2:$H$6,2,FALSE),"")</f>
        <v/>
      </c>
      <c r="Z270" s="29" t="str">
        <f>IFERROR(HLOOKUP(V270,List!$D$2:$H$6,3,FALSE),"")</f>
        <v/>
      </c>
      <c r="AA270" s="29" t="str">
        <f>IFERROR(HLOOKUP(W270,List!$D$2:$H$6,4,FALSE),"")</f>
        <v/>
      </c>
      <c r="AB270" s="29" t="str">
        <f>IFERROR(HLOOKUP(X270,List!$D$2:$H$6,5,FALSE),"")</f>
        <v/>
      </c>
      <c r="AC270" s="12" t="str">
        <f t="shared" si="51"/>
        <v/>
      </c>
      <c r="AD270" s="12" t="str">
        <f t="shared" si="52"/>
        <v/>
      </c>
      <c r="AE270" s="12" t="str">
        <f t="shared" si="53"/>
        <v/>
      </c>
      <c r="AF270" s="12" t="str">
        <f t="shared" si="54"/>
        <v/>
      </c>
      <c r="AG270" t="str">
        <f>VLOOKUP(J270,'Receivable Invoice Detail'!$A$1:F3282,6,FALSE)</f>
        <v>[AC-98-331-958-803] Shaft Sleeve, 5x4/5x5/6x6 SRL &amp; SRL-C, Steel</v>
      </c>
      <c r="AM270" s="12" t="str">
        <f t="shared" si="55"/>
        <v/>
      </c>
      <c r="AN270" s="12" t="str">
        <f t="shared" si="56"/>
        <v/>
      </c>
      <c r="AO270" s="12" t="str">
        <f t="shared" si="57"/>
        <v/>
      </c>
      <c r="AP270" s="12" t="str">
        <f t="shared" si="58"/>
        <v/>
      </c>
      <c r="AQ270" s="12"/>
      <c r="AS270" s="12">
        <f t="shared" si="59"/>
        <v>20.81053154103256</v>
      </c>
      <c r="AT270" s="16" t="str">
        <f t="shared" si="61"/>
        <v>Yes</v>
      </c>
    </row>
    <row r="271" spans="1:46" hidden="1" x14ac:dyDescent="0.25">
      <c r="A271" s="41">
        <f>CASOPOInvCL!T271</f>
        <v>2</v>
      </c>
      <c r="B271" t="str">
        <f>CASOPOInvCL!Z271</f>
        <v>SO16711</v>
      </c>
      <c r="G271" s="5">
        <f>CASOPOInvCL!I271</f>
        <v>0</v>
      </c>
      <c r="H271" s="31">
        <f>CASOPOInvCL!U271</f>
        <v>3</v>
      </c>
      <c r="I271" s="31">
        <f>CASOPOInvCL!V271</f>
        <v>2025</v>
      </c>
      <c r="J271" s="5" t="str">
        <f>CASOPOInvCL!AB271</f>
        <v>INV12817</v>
      </c>
      <c r="K271" s="31">
        <f>CASOPOInvCL!W271</f>
        <v>5</v>
      </c>
      <c r="L271" s="31">
        <f>CASOPOInvCL!X271</f>
        <v>2025</v>
      </c>
      <c r="M271" s="31"/>
      <c r="N271" s="5" t="str">
        <f>CASOPOInvCL!AF271</f>
        <v>Wajax Limited - Lachine</v>
      </c>
      <c r="O271" s="16" t="str">
        <f>CASOPOInvCL!AG271</f>
        <v>CAD</v>
      </c>
      <c r="P271" s="16">
        <f>CASOPOInvCL!AH271</f>
        <v>0</v>
      </c>
      <c r="Q271" s="16">
        <f>CASOPOInvCL!AI271</f>
        <v>0</v>
      </c>
      <c r="R271" s="32" t="str">
        <f>CASOPOInvCL!AU271</f>
        <v/>
      </c>
      <c r="S271" s="16">
        <f>CASOPOInvCL!AV271</f>
        <v>0</v>
      </c>
      <c r="T271" s="16">
        <f>CASOPOInvCL!AW271</f>
        <v>0</v>
      </c>
      <c r="Y271" s="29" t="str">
        <f>IFERROR(HLOOKUP(U271,List!$D$2:$H$6,2,FALSE),"")</f>
        <v/>
      </c>
      <c r="Z271" s="29" t="str">
        <f>IFERROR(HLOOKUP(V271,List!$D$2:$H$6,3,FALSE),"")</f>
        <v/>
      </c>
      <c r="AA271" s="29" t="str">
        <f>IFERROR(HLOOKUP(W271,List!$D$2:$H$6,4,FALSE),"")</f>
        <v/>
      </c>
      <c r="AB271" s="29" t="str">
        <f>IFERROR(HLOOKUP(X271,List!$D$2:$H$6,5,FALSE),"")</f>
        <v/>
      </c>
      <c r="AC271" s="12" t="str">
        <f t="shared" si="51"/>
        <v/>
      </c>
      <c r="AD271" s="12" t="str">
        <f t="shared" si="52"/>
        <v/>
      </c>
      <c r="AE271" s="12" t="str">
        <f t="shared" si="53"/>
        <v/>
      </c>
      <c r="AF271" s="12" t="str">
        <f t="shared" si="54"/>
        <v/>
      </c>
      <c r="AG271" t="str">
        <f>VLOOKUP(J271,'Receivable Invoice Detail'!$A$1:F3283,6,FALSE)</f>
        <v>[AC-98-331-932-501] Shaft Assembly, 5x4-14 SRL-C &amp; 5x5-14 SRL, 1045 Steel</v>
      </c>
      <c r="AM271" s="12" t="str">
        <f t="shared" si="55"/>
        <v/>
      </c>
      <c r="AN271" s="12" t="str">
        <f t="shared" si="56"/>
        <v/>
      </c>
      <c r="AO271" s="12" t="str">
        <f t="shared" si="57"/>
        <v/>
      </c>
      <c r="AP271" s="12" t="str">
        <f t="shared" si="58"/>
        <v/>
      </c>
      <c r="AQ271" s="12"/>
      <c r="AS271" s="12">
        <f t="shared" si="59"/>
        <v>0</v>
      </c>
      <c r="AT271" s="16" t="str">
        <f t="shared" si="61"/>
        <v/>
      </c>
    </row>
    <row r="272" spans="1:46" hidden="1" x14ac:dyDescent="0.25">
      <c r="A272" s="41">
        <f>CASOPOInvCL!T272</f>
        <v>2</v>
      </c>
      <c r="B272" t="str">
        <f>CASOPOInvCL!Z272</f>
        <v>SO16712</v>
      </c>
      <c r="G272" s="5" t="str">
        <f>CASOPOInvCL!I272</f>
        <v>Amanda Qiao</v>
      </c>
      <c r="H272" s="31">
        <f>CASOPOInvCL!U272</f>
        <v>3</v>
      </c>
      <c r="I272" s="31">
        <f>CASOPOInvCL!V272</f>
        <v>2025</v>
      </c>
      <c r="J272" s="5" t="str">
        <f>CASOPOInvCL!AB272</f>
        <v>INV12703</v>
      </c>
      <c r="K272" s="31">
        <f>CASOPOInvCL!W272</f>
        <v>3</v>
      </c>
      <c r="L272" s="31">
        <f>CASOPOInvCL!X272</f>
        <v>2025</v>
      </c>
      <c r="M272" s="31"/>
      <c r="N272" s="5" t="str">
        <f>CASOPOInvCL!AF272</f>
        <v>First Bauxite Inc.</v>
      </c>
      <c r="O272" s="16" t="str">
        <f>CASOPOInvCL!AG272</f>
        <v>USD</v>
      </c>
      <c r="P272" s="16">
        <f>CASOPOInvCL!AH272</f>
        <v>10642.179877209002</v>
      </c>
      <c r="Q272" s="16">
        <f>CASOPOInvCL!AI272</f>
        <v>7400</v>
      </c>
      <c r="R272" s="32" t="str">
        <f>CASOPOInvCL!AU272</f>
        <v/>
      </c>
      <c r="S272" s="16">
        <f>CASOPOInvCL!AV272</f>
        <v>0</v>
      </c>
      <c r="T272" s="16">
        <f>CASOPOInvCL!AW272</f>
        <v>0</v>
      </c>
      <c r="Y272" s="29" t="str">
        <f>IFERROR(HLOOKUP(U272,List!$D$2:$H$6,2,FALSE),"")</f>
        <v/>
      </c>
      <c r="Z272" s="29" t="str">
        <f>IFERROR(HLOOKUP(V272,List!$D$2:$H$6,3,FALSE),"")</f>
        <v/>
      </c>
      <c r="AA272" s="29" t="str">
        <f>IFERROR(HLOOKUP(W272,List!$D$2:$H$6,4,FALSE),"")</f>
        <v/>
      </c>
      <c r="AB272" s="29" t="str">
        <f>IFERROR(HLOOKUP(X272,List!$D$2:$H$6,5,FALSE),"")</f>
        <v/>
      </c>
      <c r="AC272" s="12" t="str">
        <f t="shared" si="51"/>
        <v/>
      </c>
      <c r="AD272" s="12" t="str">
        <f t="shared" si="52"/>
        <v/>
      </c>
      <c r="AE272" s="12" t="str">
        <f t="shared" si="53"/>
        <v/>
      </c>
      <c r="AF272" s="12" t="str">
        <f t="shared" si="54"/>
        <v/>
      </c>
      <c r="AG272" t="str">
        <f>VLOOKUP(J272,'Receivable Invoice Detail'!$A$1:F3284,6,FALSE)</f>
        <v>[D-MCL-108S17-DC] Drive Coupling, MCL-108S17</v>
      </c>
      <c r="AM272" s="12" t="str">
        <f t="shared" si="55"/>
        <v/>
      </c>
      <c r="AN272" s="12" t="str">
        <f t="shared" si="56"/>
        <v/>
      </c>
      <c r="AO272" s="12" t="str">
        <f t="shared" si="57"/>
        <v/>
      </c>
      <c r="AP272" s="12" t="str">
        <f t="shared" si="58"/>
        <v/>
      </c>
      <c r="AQ272" s="12"/>
      <c r="AS272" s="12">
        <f t="shared" si="59"/>
        <v>0</v>
      </c>
      <c r="AT272" s="16" t="str">
        <f t="shared" si="61"/>
        <v/>
      </c>
    </row>
    <row r="273" spans="1:46" hidden="1" x14ac:dyDescent="0.25">
      <c r="A273" s="41">
        <f>CASOPOInvCL!T273</f>
        <v>2</v>
      </c>
      <c r="B273" t="str">
        <f>CASOPOInvCL!Z273</f>
        <v>SO16712</v>
      </c>
      <c r="G273" s="5">
        <f>CASOPOInvCL!I273</f>
        <v>0</v>
      </c>
      <c r="H273" s="31">
        <f>CASOPOInvCL!U273</f>
        <v>3</v>
      </c>
      <c r="I273" s="31">
        <f>CASOPOInvCL!V273</f>
        <v>2025</v>
      </c>
      <c r="J273" s="5" t="str">
        <f>CASOPOInvCL!AB273</f>
        <v>INV12703</v>
      </c>
      <c r="K273" s="31">
        <f>CASOPOInvCL!W273</f>
        <v>3</v>
      </c>
      <c r="L273" s="31">
        <f>CASOPOInvCL!X273</f>
        <v>2025</v>
      </c>
      <c r="M273" s="31"/>
      <c r="N273" s="5" t="str">
        <f>CASOPOInvCL!AF273</f>
        <v>First Bauxite Inc.</v>
      </c>
      <c r="O273" s="16" t="str">
        <f>CASOPOInvCL!AG273</f>
        <v>USD</v>
      </c>
      <c r="P273" s="16">
        <f>CASOPOInvCL!AH273</f>
        <v>0</v>
      </c>
      <c r="Q273" s="16">
        <f>CASOPOInvCL!AI273</f>
        <v>0</v>
      </c>
      <c r="R273" s="32" t="str">
        <f>CASOPOInvCL!AU273</f>
        <v/>
      </c>
      <c r="S273" s="16">
        <f>CASOPOInvCL!AV273</f>
        <v>0</v>
      </c>
      <c r="T273" s="16">
        <f>CASOPOInvCL!AW273</f>
        <v>0</v>
      </c>
      <c r="Y273" s="29" t="str">
        <f>IFERROR(HLOOKUP(U273,List!$D$2:$H$6,2,FALSE),"")</f>
        <v/>
      </c>
      <c r="Z273" s="29" t="str">
        <f>IFERROR(HLOOKUP(V273,List!$D$2:$H$6,3,FALSE),"")</f>
        <v/>
      </c>
      <c r="AA273" s="29" t="str">
        <f>IFERROR(HLOOKUP(W273,List!$D$2:$H$6,4,FALSE),"")</f>
        <v/>
      </c>
      <c r="AB273" s="29" t="str">
        <f>IFERROR(HLOOKUP(X273,List!$D$2:$H$6,5,FALSE),"")</f>
        <v/>
      </c>
      <c r="AC273" s="12" t="str">
        <f t="shared" si="51"/>
        <v/>
      </c>
      <c r="AD273" s="12" t="str">
        <f t="shared" si="52"/>
        <v/>
      </c>
      <c r="AE273" s="12" t="str">
        <f t="shared" si="53"/>
        <v/>
      </c>
      <c r="AF273" s="12" t="str">
        <f t="shared" si="54"/>
        <v/>
      </c>
      <c r="AG273" t="str">
        <f>VLOOKUP(J273,'Receivable Invoice Detail'!$A$1:F3285,6,FALSE)</f>
        <v>[D-MCL-108S17-DC] Drive Coupling, MCL-108S17</v>
      </c>
      <c r="AM273" s="12" t="str">
        <f t="shared" si="55"/>
        <v/>
      </c>
      <c r="AN273" s="12" t="str">
        <f t="shared" si="56"/>
        <v/>
      </c>
      <c r="AO273" s="12" t="str">
        <f t="shared" si="57"/>
        <v/>
      </c>
      <c r="AP273" s="12" t="str">
        <f t="shared" si="58"/>
        <v/>
      </c>
      <c r="AQ273" s="12"/>
      <c r="AS273" s="12">
        <f t="shared" si="59"/>
        <v>0</v>
      </c>
      <c r="AT273" s="16" t="str">
        <f t="shared" si="61"/>
        <v/>
      </c>
    </row>
    <row r="274" spans="1:46" hidden="1" x14ac:dyDescent="0.25">
      <c r="A274" s="41">
        <f>CASOPOInvCL!T274</f>
        <v>1</v>
      </c>
      <c r="B274" t="str">
        <f>CASOPOInvCL!Z274</f>
        <v>SO16714</v>
      </c>
      <c r="G274" s="5" t="str">
        <f>CASOPOInvCL!I274</f>
        <v>Ian Trottier</v>
      </c>
      <c r="H274" s="31">
        <f>CASOPOInvCL!U274</f>
        <v>3</v>
      </c>
      <c r="I274" s="31">
        <f>CASOPOInvCL!V274</f>
        <v>2025</v>
      </c>
      <c r="J274" s="5" t="str">
        <f>CASOPOInvCL!AB274</f>
        <v>INV12715</v>
      </c>
      <c r="K274" s="31">
        <f>CASOPOInvCL!W274</f>
        <v>4</v>
      </c>
      <c r="L274" s="31">
        <f>CASOPOInvCL!X274</f>
        <v>2025</v>
      </c>
      <c r="M274" s="31"/>
      <c r="N274" s="5" t="str">
        <f>CASOPOInvCL!AF274</f>
        <v>Wajax Limited - Timmins</v>
      </c>
      <c r="O274" s="16" t="str">
        <f>CASOPOInvCL!AG274</f>
        <v>CAD</v>
      </c>
      <c r="P274" s="16">
        <f>CASOPOInvCL!AH274</f>
        <v>298.77999999999997</v>
      </c>
      <c r="Q274" s="16">
        <f>CASOPOInvCL!AI274</f>
        <v>209.23524596754982</v>
      </c>
      <c r="R274" s="32" t="str">
        <f>CASOPOInvCL!AU274</f>
        <v>Yes</v>
      </c>
      <c r="S274" s="16">
        <f>CASOPOInvCL!AV274</f>
        <v>0</v>
      </c>
      <c r="T274" s="16">
        <f>CASOPOInvCL!AW274</f>
        <v>209.23524596754982</v>
      </c>
      <c r="Y274" s="29" t="str">
        <f>IFERROR(HLOOKUP(U274,List!$D$2:$H$6,2,FALSE),"")</f>
        <v/>
      </c>
      <c r="Z274" s="29" t="str">
        <f>IFERROR(HLOOKUP(V274,List!$D$2:$H$6,3,FALSE),"")</f>
        <v/>
      </c>
      <c r="AA274" s="29" t="str">
        <f>IFERROR(HLOOKUP(W274,List!$D$2:$H$6,4,FALSE),"")</f>
        <v/>
      </c>
      <c r="AB274" s="29" t="str">
        <f>IFERROR(HLOOKUP(X274,List!$D$2:$H$6,5,FALSE),"")</f>
        <v/>
      </c>
      <c r="AC274" s="12" t="str">
        <f t="shared" si="51"/>
        <v/>
      </c>
      <c r="AD274" s="12" t="str">
        <f t="shared" si="52"/>
        <v/>
      </c>
      <c r="AE274" s="12" t="str">
        <f t="shared" si="53"/>
        <v/>
      </c>
      <c r="AF274" s="12" t="str">
        <f t="shared" si="54"/>
        <v/>
      </c>
      <c r="AG274" t="str">
        <f>VLOOKUP(J274,'Receivable Invoice Detail'!$A$1:F3286,6,FALSE)</f>
        <v>[GA-24563] Impeller Nut, 4", G-Series VSP, Natural Rubber</v>
      </c>
      <c r="AM274" s="12" t="str">
        <f t="shared" si="55"/>
        <v/>
      </c>
      <c r="AN274" s="12" t="str">
        <f t="shared" si="56"/>
        <v/>
      </c>
      <c r="AO274" s="12" t="str">
        <f t="shared" si="57"/>
        <v/>
      </c>
      <c r="AP274" s="12" t="str">
        <f t="shared" si="58"/>
        <v/>
      </c>
      <c r="AQ274" s="12"/>
      <c r="AS274" s="12">
        <f t="shared" si="59"/>
        <v>3.1385286895132469</v>
      </c>
      <c r="AT274" s="16" t="str">
        <f t="shared" si="61"/>
        <v>Yes</v>
      </c>
    </row>
    <row r="275" spans="1:46" hidden="1" x14ac:dyDescent="0.25">
      <c r="A275" s="41">
        <f>CASOPOInvCL!T275</f>
        <v>1</v>
      </c>
      <c r="B275" t="str">
        <f>CASOPOInvCL!Z275</f>
        <v>SO16715</v>
      </c>
      <c r="G275" s="5" t="str">
        <f>CASOPOInvCL!I275</f>
        <v>Ian Trottier</v>
      </c>
      <c r="H275" s="31">
        <f>CASOPOInvCL!U275</f>
        <v>3</v>
      </c>
      <c r="I275" s="31">
        <f>CASOPOInvCL!V275</f>
        <v>2025</v>
      </c>
      <c r="J275" s="5" t="str">
        <f>CASOPOInvCL!AB275</f>
        <v>INV12725</v>
      </c>
      <c r="K275" s="31">
        <f>CASOPOInvCL!W275</f>
        <v>4</v>
      </c>
      <c r="L275" s="31">
        <f>CASOPOInvCL!X275</f>
        <v>2025</v>
      </c>
      <c r="M275" s="31"/>
      <c r="N275" s="5" t="str">
        <f>CASOPOInvCL!AF275</f>
        <v>Wajax Limited - Noranda</v>
      </c>
      <c r="O275" s="16" t="str">
        <f>CASOPOInvCL!AG275</f>
        <v>CAD</v>
      </c>
      <c r="P275" s="16">
        <f>CASOPOInvCL!AH275</f>
        <v>711.25</v>
      </c>
      <c r="Q275" s="16">
        <f>CASOPOInvCL!AI275</f>
        <v>497.88775997583059</v>
      </c>
      <c r="R275" s="32" t="str">
        <f>CASOPOInvCL!AU275</f>
        <v>Yes</v>
      </c>
      <c r="S275" s="16">
        <f>CASOPOInvCL!AV275</f>
        <v>0</v>
      </c>
      <c r="T275" s="16">
        <f>CASOPOInvCL!AW275</f>
        <v>497.88775997583059</v>
      </c>
      <c r="Y275" s="29" t="str">
        <f>IFERROR(HLOOKUP(U275,List!$D$2:$H$6,2,FALSE),"")</f>
        <v/>
      </c>
      <c r="Z275" s="29" t="str">
        <f>IFERROR(HLOOKUP(V275,List!$D$2:$H$6,3,FALSE),"")</f>
        <v/>
      </c>
      <c r="AA275" s="29" t="str">
        <f>IFERROR(HLOOKUP(W275,List!$D$2:$H$6,4,FALSE),"")</f>
        <v/>
      </c>
      <c r="AB275" s="29" t="str">
        <f>IFERROR(HLOOKUP(X275,List!$D$2:$H$6,5,FALSE),"")</f>
        <v/>
      </c>
      <c r="AC275" s="12" t="str">
        <f t="shared" si="51"/>
        <v/>
      </c>
      <c r="AD275" s="12" t="str">
        <f t="shared" si="52"/>
        <v/>
      </c>
      <c r="AE275" s="12" t="str">
        <f t="shared" si="53"/>
        <v/>
      </c>
      <c r="AF275" s="12" t="str">
        <f t="shared" si="54"/>
        <v/>
      </c>
      <c r="AG275" t="str">
        <f>VLOOKUP(J275,'Receivable Invoice Detail'!$A$1:F3287,6,FALSE)</f>
        <v>[AC-98-331-958-808] Shaft Sleeve, 5x4/5x5/6x6 SRL, 316SS</v>
      </c>
      <c r="AM275" s="12" t="str">
        <f t="shared" si="55"/>
        <v/>
      </c>
      <c r="AN275" s="12" t="str">
        <f t="shared" si="56"/>
        <v/>
      </c>
      <c r="AO275" s="12" t="str">
        <f t="shared" si="57"/>
        <v/>
      </c>
      <c r="AP275" s="12" t="str">
        <f t="shared" si="58"/>
        <v/>
      </c>
      <c r="AQ275" s="12"/>
      <c r="AS275" s="12">
        <f t="shared" si="59"/>
        <v>7.4683163996374589</v>
      </c>
      <c r="AT275" s="16" t="str">
        <f t="shared" si="61"/>
        <v>Yes</v>
      </c>
    </row>
    <row r="276" spans="1:46" hidden="1" x14ac:dyDescent="0.25">
      <c r="A276" s="41">
        <f>CASOPOInvCL!T276</f>
        <v>2</v>
      </c>
      <c r="B276" t="str">
        <f>CASOPOInvCL!Z276</f>
        <v>SO16718</v>
      </c>
      <c r="G276" s="5" t="str">
        <f>CASOPOInvCL!I276</f>
        <v>Ian Trottier</v>
      </c>
      <c r="H276" s="31">
        <f>CASOPOInvCL!U276</f>
        <v>3</v>
      </c>
      <c r="I276" s="31">
        <f>CASOPOInvCL!V276</f>
        <v>2025</v>
      </c>
      <c r="J276" s="5" t="str">
        <f>CASOPOInvCL!AB276</f>
        <v>INV12710</v>
      </c>
      <c r="K276" s="31">
        <f>CASOPOInvCL!W276</f>
        <v>4</v>
      </c>
      <c r="L276" s="31">
        <f>CASOPOInvCL!X276</f>
        <v>2025</v>
      </c>
      <c r="M276" s="31"/>
      <c r="N276" s="5" t="str">
        <f>CASOPOInvCL!AF276</f>
        <v>Les Pompes du St-Laurent Inc.</v>
      </c>
      <c r="O276" s="16" t="str">
        <f>CASOPOInvCL!AG276</f>
        <v>CAD</v>
      </c>
      <c r="P276" s="16">
        <f>CASOPOInvCL!AH276</f>
        <v>1352.55</v>
      </c>
      <c r="Q276" s="16">
        <f>CASOPOInvCL!AI276</f>
        <v>940.49058703045591</v>
      </c>
      <c r="R276" s="32" t="str">
        <f>CASOPOInvCL!AU276</f>
        <v>Yes</v>
      </c>
      <c r="S276" s="16">
        <f>CASOPOInvCL!AV276</f>
        <v>0</v>
      </c>
      <c r="T276" s="16">
        <f>CASOPOInvCL!AW276</f>
        <v>940.49058703045591</v>
      </c>
      <c r="Y276" s="29" t="str">
        <f>IFERROR(HLOOKUP(U276,List!$D$2:$H$6,2,FALSE),"")</f>
        <v/>
      </c>
      <c r="Z276" s="29" t="str">
        <f>IFERROR(HLOOKUP(V276,List!$D$2:$H$6,3,FALSE),"")</f>
        <v/>
      </c>
      <c r="AA276" s="29" t="str">
        <f>IFERROR(HLOOKUP(W276,List!$D$2:$H$6,4,FALSE),"")</f>
        <v/>
      </c>
      <c r="AB276" s="29" t="str">
        <f>IFERROR(HLOOKUP(X276,List!$D$2:$H$6,5,FALSE),"")</f>
        <v/>
      </c>
      <c r="AC276" s="12" t="str">
        <f t="shared" si="51"/>
        <v/>
      </c>
      <c r="AD276" s="12" t="str">
        <f t="shared" si="52"/>
        <v/>
      </c>
      <c r="AE276" s="12" t="str">
        <f t="shared" si="53"/>
        <v/>
      </c>
      <c r="AF276" s="12" t="str">
        <f t="shared" si="54"/>
        <v/>
      </c>
      <c r="AG276" t="str">
        <f>VLOOKUP(J276,'Receivable Invoice Detail'!$A$1:F3288,6,FALSE)</f>
        <v>Shaft Sleeve, 3196 XLT, 316SS, NCB Hardcoated</v>
      </c>
      <c r="AM276" s="12" t="str">
        <f t="shared" si="55"/>
        <v/>
      </c>
      <c r="AN276" s="12" t="str">
        <f t="shared" si="56"/>
        <v/>
      </c>
      <c r="AO276" s="12" t="str">
        <f t="shared" si="57"/>
        <v/>
      </c>
      <c r="AP276" s="12" t="str">
        <f t="shared" si="58"/>
        <v/>
      </c>
      <c r="AQ276" s="12"/>
      <c r="AS276" s="12">
        <f t="shared" si="59"/>
        <v>14.107358805456839</v>
      </c>
      <c r="AT276" s="16" t="str">
        <f t="shared" si="61"/>
        <v>Yes</v>
      </c>
    </row>
    <row r="277" spans="1:46" hidden="1" x14ac:dyDescent="0.25">
      <c r="A277" s="41">
        <f>CASOPOInvCL!T277</f>
        <v>2</v>
      </c>
      <c r="B277" t="str">
        <f>CASOPOInvCL!Z277</f>
        <v>SO16718</v>
      </c>
      <c r="G277" s="5">
        <f>CASOPOInvCL!I277</f>
        <v>0</v>
      </c>
      <c r="H277" s="31">
        <f>CASOPOInvCL!U277</f>
        <v>3</v>
      </c>
      <c r="I277" s="31">
        <f>CASOPOInvCL!V277</f>
        <v>2025</v>
      </c>
      <c r="J277" s="5" t="str">
        <f>CASOPOInvCL!AB277</f>
        <v>INV12780</v>
      </c>
      <c r="K277" s="31">
        <f>CASOPOInvCL!W277</f>
        <v>4</v>
      </c>
      <c r="L277" s="31">
        <f>CASOPOInvCL!X277</f>
        <v>2025</v>
      </c>
      <c r="M277" s="31"/>
      <c r="N277" s="5" t="str">
        <f>CASOPOInvCL!AF277</f>
        <v>Les Pompes du St-Laurent Inc.</v>
      </c>
      <c r="O277" s="16" t="str">
        <f>CASOPOInvCL!AG277</f>
        <v>CAD</v>
      </c>
      <c r="P277" s="16">
        <f>CASOPOInvCL!AH277</f>
        <v>0</v>
      </c>
      <c r="Q277" s="16">
        <f>CASOPOInvCL!AI277</f>
        <v>0</v>
      </c>
      <c r="R277" s="32" t="str">
        <f>CASOPOInvCL!AU277</f>
        <v/>
      </c>
      <c r="S277" s="16">
        <f>CASOPOInvCL!AV277</f>
        <v>0</v>
      </c>
      <c r="T277" s="16">
        <f>CASOPOInvCL!AW277</f>
        <v>0</v>
      </c>
      <c r="Y277" s="29" t="str">
        <f>IFERROR(HLOOKUP(U277,List!$D$2:$H$6,2,FALSE),"")</f>
        <v/>
      </c>
      <c r="Z277" s="29" t="str">
        <f>IFERROR(HLOOKUP(V277,List!$D$2:$H$6,3,FALSE),"")</f>
        <v/>
      </c>
      <c r="AA277" s="29" t="str">
        <f>IFERROR(HLOOKUP(W277,List!$D$2:$H$6,4,FALSE),"")</f>
        <v/>
      </c>
      <c r="AB277" s="29" t="str">
        <f>IFERROR(HLOOKUP(X277,List!$D$2:$H$6,5,FALSE),"")</f>
        <v/>
      </c>
      <c r="AC277" s="12" t="str">
        <f t="shared" si="51"/>
        <v/>
      </c>
      <c r="AD277" s="12" t="str">
        <f t="shared" si="52"/>
        <v/>
      </c>
      <c r="AE277" s="12" t="str">
        <f t="shared" si="53"/>
        <v/>
      </c>
      <c r="AF277" s="12" t="str">
        <f t="shared" si="54"/>
        <v/>
      </c>
      <c r="AG277" t="str">
        <f>VLOOKUP(J277,'Receivable Invoice Detail'!$A$1:F3289,6,FALSE)</f>
        <v>[DU-SA3210AA00-TFR] Impeller Gasket, Durco Mark 2&amp;3 Group 2, Teflon/Rubber</v>
      </c>
      <c r="AM277" s="12" t="str">
        <f t="shared" si="55"/>
        <v/>
      </c>
      <c r="AN277" s="12" t="str">
        <f t="shared" si="56"/>
        <v/>
      </c>
      <c r="AO277" s="12" t="str">
        <f t="shared" si="57"/>
        <v/>
      </c>
      <c r="AP277" s="12" t="str">
        <f t="shared" si="58"/>
        <v/>
      </c>
      <c r="AQ277" s="12"/>
      <c r="AS277" s="12">
        <f t="shared" si="59"/>
        <v>0</v>
      </c>
      <c r="AT277" s="16" t="str">
        <f t="shared" si="61"/>
        <v/>
      </c>
    </row>
    <row r="278" spans="1:46" hidden="1" x14ac:dyDescent="0.25">
      <c r="A278" s="41">
        <f>CASOPOInvCL!T278</f>
        <v>1</v>
      </c>
      <c r="B278" t="str">
        <f>CASOPOInvCL!Z278</f>
        <v>SO16719</v>
      </c>
      <c r="G278" s="5" t="str">
        <f>CASOPOInvCL!I278</f>
        <v>Yannett Yeomans</v>
      </c>
      <c r="H278" s="31">
        <f>CASOPOInvCL!U278</f>
        <v>3</v>
      </c>
      <c r="I278" s="31">
        <f>CASOPOInvCL!V278</f>
        <v>2025</v>
      </c>
      <c r="J278" s="5" t="str">
        <f>CASOPOInvCL!AB278</f>
        <v>INV12889</v>
      </c>
      <c r="K278" s="31" t="str">
        <f>CASOPOInvCL!W278</f>
        <v/>
      </c>
      <c r="L278" s="31" t="str">
        <f>CASOPOInvCL!X278</f>
        <v/>
      </c>
      <c r="M278" s="31"/>
      <c r="N278" s="5" t="str">
        <f>CASOPOInvCL!AF278</f>
        <v>Dynapro Pumps México S de RL de CV</v>
      </c>
      <c r="O278" s="16" t="str">
        <f>CASOPOInvCL!AG278</f>
        <v>USD</v>
      </c>
      <c r="P278" s="16">
        <f>CASOPOInvCL!AH278</f>
        <v>86.406193074726431</v>
      </c>
      <c r="Q278" s="16">
        <f>CASOPOInvCL!AI278</f>
        <v>60</v>
      </c>
      <c r="R278" s="32" t="str">
        <f>CASOPOInvCL!AU278</f>
        <v/>
      </c>
      <c r="S278" s="16">
        <f>CASOPOInvCL!AV278</f>
        <v>0</v>
      </c>
      <c r="T278" s="16">
        <f>CASOPOInvCL!AW278</f>
        <v>0</v>
      </c>
      <c r="Y278" s="29" t="str">
        <f>IFERROR(HLOOKUP(U278,List!$D$2:$H$6,2,FALSE),"")</f>
        <v/>
      </c>
      <c r="Z278" s="29" t="str">
        <f>IFERROR(HLOOKUP(V278,List!$D$2:$H$6,3,FALSE),"")</f>
        <v/>
      </c>
      <c r="AA278" s="29" t="str">
        <f>IFERROR(HLOOKUP(W278,List!$D$2:$H$6,4,FALSE),"")</f>
        <v/>
      </c>
      <c r="AB278" s="29" t="str">
        <f>IFERROR(HLOOKUP(X278,List!$D$2:$H$6,5,FALSE),"")</f>
        <v/>
      </c>
      <c r="AC278" s="12" t="str">
        <f t="shared" si="51"/>
        <v/>
      </c>
      <c r="AD278" s="12" t="str">
        <f t="shared" si="52"/>
        <v/>
      </c>
      <c r="AE278" s="12" t="str">
        <f t="shared" si="53"/>
        <v/>
      </c>
      <c r="AF278" s="12" t="str">
        <f t="shared" si="54"/>
        <v/>
      </c>
      <c r="AG278" t="str">
        <f>VLOOKUP(J278,'Receivable Invoice Detail'!$A$1:F3290,6,FALSE)</f>
        <v>Seal Guard Top A388509-01</v>
      </c>
      <c r="AM278" s="12" t="str">
        <f t="shared" si="55"/>
        <v/>
      </c>
      <c r="AN278" s="12" t="str">
        <f t="shared" si="56"/>
        <v/>
      </c>
      <c r="AO278" s="12" t="str">
        <f t="shared" si="57"/>
        <v/>
      </c>
      <c r="AP278" s="12" t="str">
        <f t="shared" si="58"/>
        <v/>
      </c>
      <c r="AQ278" s="12"/>
      <c r="AR278" s="16" t="s">
        <v>5940</v>
      </c>
      <c r="AS278" s="12">
        <f t="shared" si="59"/>
        <v>0</v>
      </c>
      <c r="AT278" s="16" t="s">
        <v>5940</v>
      </c>
    </row>
    <row r="279" spans="1:46" hidden="1" x14ac:dyDescent="0.25">
      <c r="A279" s="41">
        <f>CASOPOInvCL!T279</f>
        <v>1</v>
      </c>
      <c r="B279" t="str">
        <f>CASOPOInvCL!Z279</f>
        <v>SO16720</v>
      </c>
      <c r="D279" t="s">
        <v>5925</v>
      </c>
      <c r="G279" s="5" t="str">
        <f>CASOPOInvCL!I279</f>
        <v>Ian Trottier</v>
      </c>
      <c r="H279" s="31">
        <f>CASOPOInvCL!U279</f>
        <v>3</v>
      </c>
      <c r="I279" s="31">
        <f>CASOPOInvCL!V279</f>
        <v>2025</v>
      </c>
      <c r="J279" s="5" t="str">
        <f>CASOPOInvCL!AB279</f>
        <v>INV13090</v>
      </c>
      <c r="K279" s="31">
        <f>CASOPOInvCL!W279</f>
        <v>8</v>
      </c>
      <c r="L279" s="31">
        <f>CASOPOInvCL!X279</f>
        <v>2025</v>
      </c>
      <c r="M279">
        <v>2503</v>
      </c>
      <c r="N279" s="5" t="str">
        <f>CASOPOInvCL!AF279</f>
        <v>Hyperflo</v>
      </c>
      <c r="O279" s="16" t="str">
        <f>CASOPOInvCL!AG279</f>
        <v>CAD</v>
      </c>
      <c r="P279" s="16">
        <f>CASOPOInvCL!AH279</f>
        <v>1185.8900000000001</v>
      </c>
      <c r="Q279" s="16">
        <f>CASOPOInvCL!AI279</f>
        <v>824.60417896088677</v>
      </c>
      <c r="R279" s="32" t="str">
        <f>CASOPOInvCL!AU279</f>
        <v>Yes</v>
      </c>
      <c r="S279" s="16">
        <f>CASOPOInvCL!AV279</f>
        <v>0</v>
      </c>
      <c r="T279" s="16">
        <f>CASOPOInvCL!AW279</f>
        <v>824.60417896088677</v>
      </c>
      <c r="V279" t="s">
        <v>5800</v>
      </c>
      <c r="Y279" s="29" t="str">
        <f>IFERROR(HLOOKUP(U279,List!$D$2:$H$6,2,FALSE),"")</f>
        <v/>
      </c>
      <c r="Z279" s="29">
        <f>IFERROR(HLOOKUP(V279,List!$D$2:$H$6,3,FALSE),"")</f>
        <v>5.0000000000000001E-3</v>
      </c>
      <c r="AA279" s="29" t="str">
        <f>IFERROR(HLOOKUP(W279,List!$D$2:$H$6,4,FALSE),"")</f>
        <v/>
      </c>
      <c r="AB279" s="29" t="str">
        <f>IFERROR(HLOOKUP(X279,List!$D$2:$H$6,5,FALSE),"")</f>
        <v/>
      </c>
      <c r="AC279" s="12" t="str">
        <f t="shared" si="51"/>
        <v/>
      </c>
      <c r="AD279" s="12">
        <f t="shared" si="52"/>
        <v>4.1230208948044336</v>
      </c>
      <c r="AE279" s="12" t="str">
        <f t="shared" si="53"/>
        <v/>
      </c>
      <c r="AF279" s="12" t="str">
        <f t="shared" si="54"/>
        <v/>
      </c>
      <c r="AG279" t="str">
        <f>VLOOKUP(J279,'Receivable Invoice Detail'!$A$1:F3291,6,FALSE)</f>
        <v>[AC-52-231-827-009] Shaft (Sleeve Type), Allis-Chalmers CSO, Frame F4D1, 4140 Steel</v>
      </c>
      <c r="AH279" s="12">
        <f t="shared" ref="AH279" si="62">SUM(AC279:AF279)</f>
        <v>4.1230208948044336</v>
      </c>
      <c r="AM279" s="12" t="str">
        <f t="shared" si="55"/>
        <v/>
      </c>
      <c r="AN279" s="12">
        <f t="shared" si="56"/>
        <v>4.1230208948044336</v>
      </c>
      <c r="AO279" s="12" t="str">
        <f t="shared" si="57"/>
        <v/>
      </c>
      <c r="AP279" s="12" t="str">
        <f t="shared" si="58"/>
        <v/>
      </c>
      <c r="AQ279" s="64">
        <v>2503</v>
      </c>
      <c r="AR279" t="s">
        <v>5932</v>
      </c>
      <c r="AS279" s="12">
        <f t="shared" si="59"/>
        <v>12.369062684413301</v>
      </c>
      <c r="AT279" s="16" t="str">
        <f t="shared" si="61"/>
        <v>Yes</v>
      </c>
    </row>
    <row r="280" spans="1:46" hidden="1" x14ac:dyDescent="0.25">
      <c r="A280" s="41">
        <f>CASOPOInvCL!T280</f>
        <v>1</v>
      </c>
      <c r="B280" t="str">
        <f>CASOPOInvCL!Z280</f>
        <v>SO16725</v>
      </c>
      <c r="G280" s="5" t="str">
        <f>CASOPOInvCL!I280</f>
        <v>Ian Trottier</v>
      </c>
      <c r="H280" s="31">
        <f>CASOPOInvCL!U280</f>
        <v>3</v>
      </c>
      <c r="I280" s="31">
        <f>CASOPOInvCL!V280</f>
        <v>2025</v>
      </c>
      <c r="J280" s="5" t="str">
        <f>CASOPOInvCL!AB280</f>
        <v>INV12718</v>
      </c>
      <c r="K280" s="31">
        <f>CASOPOInvCL!W280</f>
        <v>4</v>
      </c>
      <c r="L280" s="31">
        <f>CASOPOInvCL!X280</f>
        <v>2025</v>
      </c>
      <c r="M280" s="31"/>
      <c r="N280" s="5" t="str">
        <f>CASOPOInvCL!AF280</f>
        <v>Wajax Limited - Noranda</v>
      </c>
      <c r="O280" s="16" t="str">
        <f>CASOPOInvCL!AG280</f>
        <v>CAD</v>
      </c>
      <c r="P280" s="16">
        <f>CASOPOInvCL!AH280</f>
        <v>1946.57</v>
      </c>
      <c r="Q280" s="16">
        <f>CASOPOInvCL!AI280</f>
        <v>1363.1804429448209</v>
      </c>
      <c r="R280" s="32" t="str">
        <f>CASOPOInvCL!AU280</f>
        <v>Yes</v>
      </c>
      <c r="S280" s="16">
        <f>CASOPOInvCL!AV280</f>
        <v>0</v>
      </c>
      <c r="T280" s="16">
        <f>CASOPOInvCL!AW280</f>
        <v>1363.1804429448209</v>
      </c>
      <c r="Y280" s="29" t="str">
        <f>IFERROR(HLOOKUP(U280,List!$D$2:$H$6,2,FALSE),"")</f>
        <v/>
      </c>
      <c r="Z280" s="29" t="str">
        <f>IFERROR(HLOOKUP(V280,List!$D$2:$H$6,3,FALSE),"")</f>
        <v/>
      </c>
      <c r="AA280" s="29" t="str">
        <f>IFERROR(HLOOKUP(W280,List!$D$2:$H$6,4,FALSE),"")</f>
        <v/>
      </c>
      <c r="AB280" s="29" t="str">
        <f>IFERROR(HLOOKUP(X280,List!$D$2:$H$6,5,FALSE),"")</f>
        <v/>
      </c>
      <c r="AC280" s="12" t="str">
        <f t="shared" si="51"/>
        <v/>
      </c>
      <c r="AD280" s="12" t="str">
        <f t="shared" si="52"/>
        <v/>
      </c>
      <c r="AE280" s="12" t="str">
        <f t="shared" si="53"/>
        <v/>
      </c>
      <c r="AF280" s="12" t="str">
        <f t="shared" si="54"/>
        <v/>
      </c>
      <c r="AG280" t="str">
        <f>VLOOKUP(J280,'Receivable Invoice Detail'!$A$1:F3292,6,FALSE)</f>
        <v>[W-D3110/A05] Volute Liner, 4/3 C or D-AH, High Chrome</v>
      </c>
      <c r="AM280" s="12" t="str">
        <f t="shared" si="55"/>
        <v/>
      </c>
      <c r="AN280" s="12" t="str">
        <f t="shared" si="56"/>
        <v/>
      </c>
      <c r="AO280" s="12" t="str">
        <f t="shared" si="57"/>
        <v/>
      </c>
      <c r="AP280" s="12" t="str">
        <f t="shared" si="58"/>
        <v/>
      </c>
      <c r="AQ280" s="12"/>
      <c r="AS280" s="12">
        <f t="shared" si="59"/>
        <v>20.447706644172314</v>
      </c>
      <c r="AT280" s="16" t="str">
        <f t="shared" si="61"/>
        <v>Yes</v>
      </c>
    </row>
    <row r="281" spans="1:46" hidden="1" x14ac:dyDescent="0.25">
      <c r="A281" s="41">
        <f>CASOPOInvCL!T281</f>
        <v>1</v>
      </c>
      <c r="B281" t="str">
        <f>CASOPOInvCL!Z281</f>
        <v>SO16727</v>
      </c>
      <c r="G281" s="5" t="str">
        <f>CASOPOInvCL!I281</f>
        <v>Ian Trottier</v>
      </c>
      <c r="H281" s="31">
        <f>CASOPOInvCL!U281</f>
        <v>3</v>
      </c>
      <c r="I281" s="31">
        <f>CASOPOInvCL!V281</f>
        <v>2025</v>
      </c>
      <c r="J281" s="5" t="str">
        <f>CASOPOInvCL!AB281</f>
        <v>INV12862</v>
      </c>
      <c r="K281" s="31">
        <f>CASOPOInvCL!W281</f>
        <v>5</v>
      </c>
      <c r="L281" s="31">
        <f>CASOPOInvCL!X281</f>
        <v>2025</v>
      </c>
      <c r="M281" s="31"/>
      <c r="N281" s="5" t="str">
        <f>CASOPOInvCL!AF281</f>
        <v>MAB Equipment Company Inc.</v>
      </c>
      <c r="O281" s="16" t="str">
        <f>CASOPOInvCL!AG281</f>
        <v>USD</v>
      </c>
      <c r="P281" s="16">
        <f>CASOPOInvCL!AH281</f>
        <v>8672.1050961676501</v>
      </c>
      <c r="Q281" s="16">
        <f>CASOPOInvCL!AI281</f>
        <v>6106.22</v>
      </c>
      <c r="R281" s="32" t="str">
        <f>CASOPOInvCL!AU281</f>
        <v>Yes</v>
      </c>
      <c r="S281" s="16">
        <f>CASOPOInvCL!AV281</f>
        <v>608</v>
      </c>
      <c r="T281" s="16">
        <f>CASOPOInvCL!AW281</f>
        <v>5498.22</v>
      </c>
      <c r="Y281" s="29" t="str">
        <f>IFERROR(HLOOKUP(U281,List!$D$2:$H$6,2,FALSE),"")</f>
        <v/>
      </c>
      <c r="Z281" s="29" t="str">
        <f>IFERROR(HLOOKUP(V281,List!$D$2:$H$6,3,FALSE),"")</f>
        <v/>
      </c>
      <c r="AA281" s="29" t="str">
        <f>IFERROR(HLOOKUP(W281,List!$D$2:$H$6,4,FALSE),"")</f>
        <v/>
      </c>
      <c r="AB281" s="29" t="str">
        <f>IFERROR(HLOOKUP(X281,List!$D$2:$H$6,5,FALSE),"")</f>
        <v/>
      </c>
      <c r="AC281" s="12" t="str">
        <f t="shared" si="51"/>
        <v/>
      </c>
      <c r="AD281" s="12" t="str">
        <f t="shared" si="52"/>
        <v/>
      </c>
      <c r="AE281" s="12" t="str">
        <f t="shared" si="53"/>
        <v/>
      </c>
      <c r="AF281" s="12" t="str">
        <f t="shared" si="54"/>
        <v/>
      </c>
      <c r="AG281" t="str">
        <f>VLOOKUP(J281,'Receivable Invoice Detail'!$A$1:F3293,6,FALSE)</f>
        <v>[W-SP15092/A05] Casing w/Flange, 150SV-SP, High Chrome</v>
      </c>
      <c r="AM281" s="12" t="str">
        <f t="shared" si="55"/>
        <v/>
      </c>
      <c r="AN281" s="12" t="str">
        <f t="shared" si="56"/>
        <v/>
      </c>
      <c r="AO281" s="12" t="str">
        <f t="shared" si="57"/>
        <v/>
      </c>
      <c r="AP281" s="12" t="str">
        <f t="shared" si="58"/>
        <v/>
      </c>
      <c r="AQ281" s="12"/>
      <c r="AS281" s="12">
        <f t="shared" si="59"/>
        <v>82.473299999999995</v>
      </c>
      <c r="AT281" s="16" t="str">
        <f t="shared" si="61"/>
        <v>Yes</v>
      </c>
    </row>
    <row r="282" spans="1:46" hidden="1" x14ac:dyDescent="0.25">
      <c r="A282" s="41">
        <f>CASOPOInvCL!T282</f>
        <v>1</v>
      </c>
      <c r="B282" t="str">
        <f>CASOPOInvCL!Z282</f>
        <v>SO16732</v>
      </c>
      <c r="G282" s="5" t="str">
        <f>CASOPOInvCL!I282</f>
        <v>Taylor Cook</v>
      </c>
      <c r="H282" s="31">
        <f>CASOPOInvCL!U282</f>
        <v>3</v>
      </c>
      <c r="I282" s="31">
        <f>CASOPOInvCL!V282</f>
        <v>2025</v>
      </c>
      <c r="J282" s="5" t="str">
        <f>CASOPOInvCL!AB282</f>
        <v>INV12971</v>
      </c>
      <c r="K282" s="31" t="str">
        <f>CASOPOInvCL!W282</f>
        <v/>
      </c>
      <c r="L282" s="31" t="str">
        <f>CASOPOInvCL!X282</f>
        <v/>
      </c>
      <c r="M282" s="31"/>
      <c r="N282" s="5" t="str">
        <f>CASOPOInvCL!AF282</f>
        <v>Sling-Choker Manufacturing - Timmins</v>
      </c>
      <c r="O282" s="16" t="str">
        <f>CASOPOInvCL!AG282</f>
        <v>CAD</v>
      </c>
      <c r="P282" s="16">
        <f>CASOPOInvCL!AH282</f>
        <v>0</v>
      </c>
      <c r="Q282" s="16">
        <f>CASOPOInvCL!AI282</f>
        <v>0</v>
      </c>
      <c r="R282" s="32" t="str">
        <f>CASOPOInvCL!AU282</f>
        <v/>
      </c>
      <c r="S282" s="16">
        <f>CASOPOInvCL!AV282</f>
        <v>0</v>
      </c>
      <c r="T282" s="16">
        <f>CASOPOInvCL!AW282</f>
        <v>0</v>
      </c>
      <c r="Y282" s="29" t="str">
        <f>IFERROR(HLOOKUP(U282,List!$D$2:$H$6,2,FALSE),"")</f>
        <v/>
      </c>
      <c r="Z282" s="29" t="str">
        <f>IFERROR(HLOOKUP(V282,List!$D$2:$H$6,3,FALSE),"")</f>
        <v/>
      </c>
      <c r="AA282" s="29" t="str">
        <f>IFERROR(HLOOKUP(W282,List!$D$2:$H$6,4,FALSE),"")</f>
        <v/>
      </c>
      <c r="AB282" s="29" t="str">
        <f>IFERROR(HLOOKUP(X282,List!$D$2:$H$6,5,FALSE),"")</f>
        <v/>
      </c>
      <c r="AC282" s="12" t="str">
        <f t="shared" si="51"/>
        <v/>
      </c>
      <c r="AD282" s="12" t="str">
        <f t="shared" si="52"/>
        <v/>
      </c>
      <c r="AE282" s="12" t="str">
        <f t="shared" si="53"/>
        <v/>
      </c>
      <c r="AF282" s="12" t="str">
        <f t="shared" si="54"/>
        <v/>
      </c>
      <c r="AG282" t="e">
        <f>VLOOKUP(J282,'Receivable Invoice Detail'!$A$1:F3294,6,FALSE)</f>
        <v>#N/A</v>
      </c>
      <c r="AM282" s="12" t="str">
        <f t="shared" si="55"/>
        <v/>
      </c>
      <c r="AN282" s="12" t="str">
        <f t="shared" si="56"/>
        <v/>
      </c>
      <c r="AO282" s="12" t="str">
        <f t="shared" si="57"/>
        <v/>
      </c>
      <c r="AP282" s="12" t="str">
        <f t="shared" si="58"/>
        <v/>
      </c>
      <c r="AQ282" s="12"/>
      <c r="AS282" s="12">
        <f t="shared" si="59"/>
        <v>0</v>
      </c>
      <c r="AT282" s="16" t="str">
        <f t="shared" si="61"/>
        <v/>
      </c>
    </row>
    <row r="283" spans="1:46" hidden="1" x14ac:dyDescent="0.25">
      <c r="A283" s="41">
        <f>CASOPOInvCL!T283</f>
        <v>3</v>
      </c>
      <c r="B283" t="str">
        <f>CASOPOInvCL!Z283</f>
        <v>SO16733</v>
      </c>
      <c r="G283" s="5" t="str">
        <f>CASOPOInvCL!I283</f>
        <v>Ian Trottier</v>
      </c>
      <c r="H283" s="31">
        <f>CASOPOInvCL!U283</f>
        <v>3</v>
      </c>
      <c r="I283" s="31">
        <f>CASOPOInvCL!V283</f>
        <v>2025</v>
      </c>
      <c r="J283" s="5" t="str">
        <f>CASOPOInvCL!AB283</f>
        <v>INV12804</v>
      </c>
      <c r="K283" s="31">
        <f>CASOPOInvCL!W283</f>
        <v>5</v>
      </c>
      <c r="L283" s="31">
        <f>CASOPOInvCL!X283</f>
        <v>2025</v>
      </c>
      <c r="M283" s="31"/>
      <c r="N283" s="5" t="str">
        <f>CASOPOInvCL!AF283</f>
        <v>Sling-Choker Manufacturing - Timmins</v>
      </c>
      <c r="O283" s="16" t="str">
        <f>CASOPOInvCL!AG283</f>
        <v>CAD</v>
      </c>
      <c r="P283" s="16">
        <f>CASOPOInvCL!AH283</f>
        <v>8495.61</v>
      </c>
      <c r="Q283" s="16">
        <f>CASOPOInvCL!AI283</f>
        <v>5872.7461918467798</v>
      </c>
      <c r="R283" s="32" t="str">
        <f>CASOPOInvCL!AU283</f>
        <v>Yes</v>
      </c>
      <c r="S283" s="16">
        <f>CASOPOInvCL!AV283</f>
        <v>0</v>
      </c>
      <c r="T283" s="16">
        <f>CASOPOInvCL!AW283</f>
        <v>5872.7461918467798</v>
      </c>
      <c r="Y283" s="29" t="str">
        <f>IFERROR(HLOOKUP(U283,List!$D$2:$H$6,2,FALSE),"")</f>
        <v/>
      </c>
      <c r="Z283" s="29" t="str">
        <f>IFERROR(HLOOKUP(V283,List!$D$2:$H$6,3,FALSE),"")</f>
        <v/>
      </c>
      <c r="AA283" s="29" t="str">
        <f>IFERROR(HLOOKUP(W283,List!$D$2:$H$6,4,FALSE),"")</f>
        <v/>
      </c>
      <c r="AB283" s="29" t="str">
        <f>IFERROR(HLOOKUP(X283,List!$D$2:$H$6,5,FALSE),"")</f>
        <v/>
      </c>
      <c r="AC283" s="12" t="str">
        <f t="shared" si="51"/>
        <v/>
      </c>
      <c r="AD283" s="12" t="str">
        <f t="shared" si="52"/>
        <v/>
      </c>
      <c r="AE283" s="12" t="str">
        <f t="shared" si="53"/>
        <v/>
      </c>
      <c r="AF283" s="12" t="str">
        <f t="shared" si="54"/>
        <v/>
      </c>
      <c r="AG283" t="str">
        <f>VLOOKUP(J283,'Receivable Invoice Detail'!$A$1:F3295,6,FALSE)</f>
        <v>[AC-98-233-700-001] Bearing Cover Gasket (Inboard &amp; Outboard), 8x6-18 &amp; 10x8-21 SRL-C</v>
      </c>
      <c r="AM283" s="12" t="str">
        <f t="shared" si="55"/>
        <v/>
      </c>
      <c r="AN283" s="12" t="str">
        <f t="shared" si="56"/>
        <v/>
      </c>
      <c r="AO283" s="12" t="str">
        <f t="shared" si="57"/>
        <v/>
      </c>
      <c r="AP283" s="12" t="str">
        <f t="shared" si="58"/>
        <v/>
      </c>
      <c r="AQ283" s="12"/>
      <c r="AS283" s="12">
        <f t="shared" si="59"/>
        <v>88.091192877701687</v>
      </c>
      <c r="AT283" s="16" t="str">
        <f t="shared" si="61"/>
        <v>Yes</v>
      </c>
    </row>
    <row r="284" spans="1:46" hidden="1" x14ac:dyDescent="0.25">
      <c r="A284" s="41">
        <f>CASOPOInvCL!T284</f>
        <v>3</v>
      </c>
      <c r="B284" t="str">
        <f>CASOPOInvCL!Z284</f>
        <v>SO16733</v>
      </c>
      <c r="G284" s="5">
        <f>CASOPOInvCL!I284</f>
        <v>0</v>
      </c>
      <c r="H284" s="31">
        <f>CASOPOInvCL!U284</f>
        <v>3</v>
      </c>
      <c r="I284" s="31">
        <f>CASOPOInvCL!V284</f>
        <v>2025</v>
      </c>
      <c r="J284" s="5" t="str">
        <f>CASOPOInvCL!AB284</f>
        <v>INV12794</v>
      </c>
      <c r="K284" s="31">
        <f>CASOPOInvCL!W284</f>
        <v>4</v>
      </c>
      <c r="L284" s="31">
        <f>CASOPOInvCL!X284</f>
        <v>2025</v>
      </c>
      <c r="M284" s="31"/>
      <c r="N284" s="5" t="str">
        <f>CASOPOInvCL!AF284</f>
        <v>Sling-Choker Manufacturing - Timmins</v>
      </c>
      <c r="O284" s="16" t="str">
        <f>CASOPOInvCL!AG284</f>
        <v>CAD</v>
      </c>
      <c r="P284" s="16">
        <f>CASOPOInvCL!AH284</f>
        <v>0</v>
      </c>
      <c r="Q284" s="16">
        <f>CASOPOInvCL!AI284</f>
        <v>0</v>
      </c>
      <c r="R284" s="32" t="str">
        <f>CASOPOInvCL!AU284</f>
        <v/>
      </c>
      <c r="S284" s="16">
        <f>CASOPOInvCL!AV284</f>
        <v>0</v>
      </c>
      <c r="T284" s="16">
        <f>CASOPOInvCL!AW284</f>
        <v>0</v>
      </c>
      <c r="Y284" s="29" t="str">
        <f>IFERROR(HLOOKUP(U284,List!$D$2:$H$6,2,FALSE),"")</f>
        <v/>
      </c>
      <c r="Z284" s="29" t="str">
        <f>IFERROR(HLOOKUP(V284,List!$D$2:$H$6,3,FALSE),"")</f>
        <v/>
      </c>
      <c r="AA284" s="29" t="str">
        <f>IFERROR(HLOOKUP(W284,List!$D$2:$H$6,4,FALSE),"")</f>
        <v/>
      </c>
      <c r="AB284" s="29" t="str">
        <f>IFERROR(HLOOKUP(X284,List!$D$2:$H$6,5,FALSE),"")</f>
        <v/>
      </c>
      <c r="AC284" s="12" t="str">
        <f t="shared" si="51"/>
        <v/>
      </c>
      <c r="AD284" s="12" t="str">
        <f t="shared" si="52"/>
        <v/>
      </c>
      <c r="AE284" s="12" t="str">
        <f t="shared" si="53"/>
        <v/>
      </c>
      <c r="AF284" s="12" t="str">
        <f t="shared" si="54"/>
        <v/>
      </c>
      <c r="AG284" t="str">
        <f>VLOOKUP(J284,'Receivable Invoice Detail'!$A$1:F3296,6,FALSE)</f>
        <v>[AC-98-234-013-001] Waterseal Bushing, 3x3-10 SRL, Cast Iron</v>
      </c>
      <c r="AM284" s="12" t="str">
        <f t="shared" si="55"/>
        <v/>
      </c>
      <c r="AN284" s="12" t="str">
        <f t="shared" si="56"/>
        <v/>
      </c>
      <c r="AO284" s="12" t="str">
        <f t="shared" si="57"/>
        <v/>
      </c>
      <c r="AP284" s="12" t="str">
        <f t="shared" si="58"/>
        <v/>
      </c>
      <c r="AQ284" s="12"/>
      <c r="AS284" s="12">
        <f t="shared" si="59"/>
        <v>0</v>
      </c>
      <c r="AT284" s="16" t="str">
        <f t="shared" si="61"/>
        <v/>
      </c>
    </row>
    <row r="285" spans="1:46" hidden="1" x14ac:dyDescent="0.25">
      <c r="A285" s="41">
        <f>CASOPOInvCL!T285</f>
        <v>3</v>
      </c>
      <c r="B285" t="str">
        <f>CASOPOInvCL!Z285</f>
        <v>SO16733</v>
      </c>
      <c r="G285" s="5">
        <f>CASOPOInvCL!I285</f>
        <v>0</v>
      </c>
      <c r="H285" s="31">
        <f>CASOPOInvCL!U285</f>
        <v>3</v>
      </c>
      <c r="I285" s="31">
        <f>CASOPOInvCL!V285</f>
        <v>2025</v>
      </c>
      <c r="J285" s="5" t="str">
        <f>CASOPOInvCL!AB285</f>
        <v>INV12852</v>
      </c>
      <c r="K285" s="31">
        <f>CASOPOInvCL!W285</f>
        <v>5</v>
      </c>
      <c r="L285" s="31">
        <f>CASOPOInvCL!X285</f>
        <v>2025</v>
      </c>
      <c r="M285" s="31"/>
      <c r="N285" s="5" t="str">
        <f>CASOPOInvCL!AF285</f>
        <v>Sling-Choker Manufacturing - Timmins</v>
      </c>
      <c r="O285" s="16" t="str">
        <f>CASOPOInvCL!AG285</f>
        <v>CAD</v>
      </c>
      <c r="P285" s="16">
        <f>CASOPOInvCL!AH285</f>
        <v>0</v>
      </c>
      <c r="Q285" s="16">
        <f>CASOPOInvCL!AI285</f>
        <v>0</v>
      </c>
      <c r="R285" s="32" t="str">
        <f>CASOPOInvCL!AU285</f>
        <v/>
      </c>
      <c r="S285" s="16">
        <f>CASOPOInvCL!AV285</f>
        <v>0</v>
      </c>
      <c r="T285" s="16">
        <f>CASOPOInvCL!AW285</f>
        <v>0</v>
      </c>
      <c r="Y285" s="29" t="str">
        <f>IFERROR(HLOOKUP(U285,List!$D$2:$H$6,2,FALSE),"")</f>
        <v/>
      </c>
      <c r="Z285" s="29" t="str">
        <f>IFERROR(HLOOKUP(V285,List!$D$2:$H$6,3,FALSE),"")</f>
        <v/>
      </c>
      <c r="AA285" s="29" t="str">
        <f>IFERROR(HLOOKUP(W285,List!$D$2:$H$6,4,FALSE),"")</f>
        <v/>
      </c>
      <c r="AB285" s="29" t="str">
        <f>IFERROR(HLOOKUP(X285,List!$D$2:$H$6,5,FALSE),"")</f>
        <v/>
      </c>
      <c r="AC285" s="12" t="str">
        <f t="shared" si="51"/>
        <v/>
      </c>
      <c r="AD285" s="12" t="str">
        <f t="shared" si="52"/>
        <v/>
      </c>
      <c r="AE285" s="12" t="str">
        <f t="shared" si="53"/>
        <v/>
      </c>
      <c r="AF285" s="12" t="str">
        <f t="shared" si="54"/>
        <v/>
      </c>
      <c r="AG285" t="str">
        <f>VLOOKUP(J285,'Receivable Invoice Detail'!$A$1:F3297,6,FALSE)</f>
        <v>[AC-98-236-570-001] Sleeve Washer (Impeller), 16x14-34 SRL-C</v>
      </c>
      <c r="AM285" s="12" t="str">
        <f t="shared" si="55"/>
        <v/>
      </c>
      <c r="AN285" s="12" t="str">
        <f t="shared" si="56"/>
        <v/>
      </c>
      <c r="AO285" s="12" t="str">
        <f t="shared" si="57"/>
        <v/>
      </c>
      <c r="AP285" s="12" t="str">
        <f t="shared" si="58"/>
        <v/>
      </c>
      <c r="AQ285" s="12"/>
      <c r="AS285" s="12">
        <f t="shared" si="59"/>
        <v>0</v>
      </c>
      <c r="AT285" s="16" t="str">
        <f t="shared" si="61"/>
        <v/>
      </c>
    </row>
    <row r="286" spans="1:46" hidden="1" x14ac:dyDescent="0.25">
      <c r="A286" s="41">
        <f>CASOPOInvCL!T286</f>
        <v>1</v>
      </c>
      <c r="B286" t="str">
        <f>CASOPOInvCL!Z286</f>
        <v>SO16734</v>
      </c>
      <c r="G286" s="5" t="str">
        <f>CASOPOInvCL!I286</f>
        <v>Ian Trottier</v>
      </c>
      <c r="H286" s="31">
        <f>CASOPOInvCL!U286</f>
        <v>3</v>
      </c>
      <c r="I286" s="31">
        <f>CASOPOInvCL!V286</f>
        <v>2025</v>
      </c>
      <c r="J286" s="5" t="str">
        <f>CASOPOInvCL!AB286</f>
        <v>INV12736</v>
      </c>
      <c r="K286" s="31">
        <f>CASOPOInvCL!W286</f>
        <v>4</v>
      </c>
      <c r="L286" s="31">
        <f>CASOPOInvCL!X286</f>
        <v>2025</v>
      </c>
      <c r="M286" s="31"/>
      <c r="N286" s="5" t="str">
        <f>CASOPOInvCL!AF286</f>
        <v>Wajax Limited - Lachine</v>
      </c>
      <c r="O286" s="16" t="str">
        <f>CASOPOInvCL!AG286</f>
        <v>CAD</v>
      </c>
      <c r="P286" s="16">
        <f>CASOPOInvCL!AH286</f>
        <v>1906.1</v>
      </c>
      <c r="Q286" s="16">
        <f>CASOPOInvCL!AI286</f>
        <v>1334.3041958382153</v>
      </c>
      <c r="R286" s="32" t="str">
        <f>CASOPOInvCL!AU286</f>
        <v>Yes</v>
      </c>
      <c r="S286" s="16">
        <f>CASOPOInvCL!AV286</f>
        <v>0</v>
      </c>
      <c r="T286" s="16">
        <f>CASOPOInvCL!AW286</f>
        <v>1334.3041958382153</v>
      </c>
      <c r="Y286" s="29" t="str">
        <f>IFERROR(HLOOKUP(U286,List!$D$2:$H$6,2,FALSE),"")</f>
        <v/>
      </c>
      <c r="Z286" s="29" t="str">
        <f>IFERROR(HLOOKUP(V286,List!$D$2:$H$6,3,FALSE),"")</f>
        <v/>
      </c>
      <c r="AA286" s="29" t="str">
        <f>IFERROR(HLOOKUP(W286,List!$D$2:$H$6,4,FALSE),"")</f>
        <v/>
      </c>
      <c r="AB286" s="29" t="str">
        <f>IFERROR(HLOOKUP(X286,List!$D$2:$H$6,5,FALSE),"")</f>
        <v/>
      </c>
      <c r="AC286" s="12" t="str">
        <f t="shared" si="51"/>
        <v/>
      </c>
      <c r="AD286" s="12" t="str">
        <f t="shared" si="52"/>
        <v/>
      </c>
      <c r="AE286" s="12" t="str">
        <f t="shared" si="53"/>
        <v/>
      </c>
      <c r="AF286" s="12" t="str">
        <f t="shared" si="54"/>
        <v/>
      </c>
      <c r="AG286" t="str">
        <f>VLOOKUP(J286,'Receivable Invoice Detail'!$A$1:F3298,6,FALSE)</f>
        <v>[AC-98-234-268-001-SS] Waterseal Bushing, 5x4/5x5/6x6 SRL, 316SS</v>
      </c>
      <c r="AM286" s="12" t="str">
        <f t="shared" si="55"/>
        <v/>
      </c>
      <c r="AN286" s="12" t="str">
        <f t="shared" si="56"/>
        <v/>
      </c>
      <c r="AO286" s="12" t="str">
        <f t="shared" si="57"/>
        <v/>
      </c>
      <c r="AP286" s="12" t="str">
        <f t="shared" si="58"/>
        <v/>
      </c>
      <c r="AQ286" s="12"/>
      <c r="AS286" s="12">
        <f t="shared" si="59"/>
        <v>20.014562937573228</v>
      </c>
      <c r="AT286" s="16" t="str">
        <f t="shared" si="61"/>
        <v>Yes</v>
      </c>
    </row>
    <row r="287" spans="1:46" hidden="1" x14ac:dyDescent="0.25">
      <c r="A287" s="41">
        <f>CASOPOInvCL!T287</f>
        <v>1</v>
      </c>
      <c r="B287" t="str">
        <f>CASOPOInvCL!Z287</f>
        <v>SO16736</v>
      </c>
      <c r="G287" s="5" t="str">
        <f>CASOPOInvCL!I287</f>
        <v>Ian Trottier</v>
      </c>
      <c r="H287" s="31">
        <f>CASOPOInvCL!U287</f>
        <v>3</v>
      </c>
      <c r="I287" s="31">
        <f>CASOPOInvCL!V287</f>
        <v>2025</v>
      </c>
      <c r="J287" s="5" t="str">
        <f>CASOPOInvCL!AB287</f>
        <v>INV12720</v>
      </c>
      <c r="K287" s="31">
        <f>CASOPOInvCL!W287</f>
        <v>4</v>
      </c>
      <c r="L287" s="31">
        <f>CASOPOInvCL!X287</f>
        <v>2025</v>
      </c>
      <c r="M287" s="31"/>
      <c r="N287" s="5" t="str">
        <f>CASOPOInvCL!AF287</f>
        <v>Fabrene Inc.</v>
      </c>
      <c r="O287" s="16" t="str">
        <f>CASOPOInvCL!AG287</f>
        <v>CAD</v>
      </c>
      <c r="P287" s="16">
        <f>CASOPOInvCL!AH287</f>
        <v>836.73</v>
      </c>
      <c r="Q287" s="16">
        <f>CASOPOInvCL!AI287</f>
        <v>581.50320194146491</v>
      </c>
      <c r="R287" s="32" t="str">
        <f>CASOPOInvCL!AU287</f>
        <v>Yes</v>
      </c>
      <c r="S287" s="16">
        <f>CASOPOInvCL!AV287</f>
        <v>0</v>
      </c>
      <c r="T287" s="16">
        <f>CASOPOInvCL!AW287</f>
        <v>581.50320194146491</v>
      </c>
      <c r="Y287" s="29" t="str">
        <f>IFERROR(HLOOKUP(U287,List!$D$2:$H$6,2,FALSE),"")</f>
        <v/>
      </c>
      <c r="Z287" s="29" t="str">
        <f>IFERROR(HLOOKUP(V287,List!$D$2:$H$6,3,FALSE),"")</f>
        <v/>
      </c>
      <c r="AA287" s="29" t="str">
        <f>IFERROR(HLOOKUP(W287,List!$D$2:$H$6,4,FALSE),"")</f>
        <v/>
      </c>
      <c r="AB287" s="29" t="str">
        <f>IFERROR(HLOOKUP(X287,List!$D$2:$H$6,5,FALSE),"")</f>
        <v/>
      </c>
      <c r="AC287" s="12" t="str">
        <f t="shared" si="51"/>
        <v/>
      </c>
      <c r="AD287" s="12" t="str">
        <f t="shared" si="52"/>
        <v/>
      </c>
      <c r="AE287" s="12" t="str">
        <f t="shared" si="53"/>
        <v/>
      </c>
      <c r="AF287" s="12" t="str">
        <f t="shared" si="54"/>
        <v/>
      </c>
      <c r="AG287" t="str">
        <f>VLOOKUP(J287,'Receivable Invoice Detail'!$A$1:F3299,6,FALSE)</f>
        <v>[TSSC-J01-1.375(BIG BORE)-00] Single Cartridge Seal, 1 3/8", D-196 STX or D-III Group 1, Big Bore, Carbon vs Silicon Carbide w/Aflas Elastomers</v>
      </c>
      <c r="AM287" s="12" t="str">
        <f t="shared" si="55"/>
        <v/>
      </c>
      <c r="AN287" s="12" t="str">
        <f t="shared" si="56"/>
        <v/>
      </c>
      <c r="AO287" s="12" t="str">
        <f t="shared" si="57"/>
        <v/>
      </c>
      <c r="AP287" s="12" t="str">
        <f t="shared" si="58"/>
        <v/>
      </c>
      <c r="AQ287" s="12"/>
      <c r="AS287" s="12">
        <f t="shared" si="59"/>
        <v>8.7225480291219739</v>
      </c>
      <c r="AT287" s="16" t="str">
        <f t="shared" si="61"/>
        <v>Yes</v>
      </c>
    </row>
    <row r="288" spans="1:46" hidden="1" x14ac:dyDescent="0.25">
      <c r="A288" s="41">
        <f>CASOPOInvCL!T288</f>
        <v>1</v>
      </c>
      <c r="B288" t="str">
        <f>CASOPOInvCL!Z288</f>
        <v>SO16737</v>
      </c>
      <c r="G288" s="5" t="str">
        <f>CASOPOInvCL!I288</f>
        <v>Taylor Cook</v>
      </c>
      <c r="H288" s="31">
        <f>CASOPOInvCL!U288</f>
        <v>3</v>
      </c>
      <c r="I288" s="31">
        <f>CASOPOInvCL!V288</f>
        <v>2025</v>
      </c>
      <c r="J288" s="5" t="str">
        <f>CASOPOInvCL!AB288</f>
        <v>INV12988</v>
      </c>
      <c r="K288" s="31">
        <f>CASOPOInvCL!W288</f>
        <v>6</v>
      </c>
      <c r="L288" s="31">
        <f>CASOPOInvCL!X288</f>
        <v>2025</v>
      </c>
      <c r="M288" s="31"/>
      <c r="N288" s="5" t="str">
        <f>CASOPOInvCL!AF288</f>
        <v>Canadian Industrial Pumps Ltd, Canadian Industrial Pumps Ltd</v>
      </c>
      <c r="O288" s="16" t="str">
        <f>CASOPOInvCL!AG288</f>
        <v>CAD</v>
      </c>
      <c r="P288" s="16">
        <f>CASOPOInvCL!AH288</f>
        <v>3726.65</v>
      </c>
      <c r="Q288" s="16">
        <f>CASOPOInvCL!AI288</f>
        <v>2663.811390330774</v>
      </c>
      <c r="R288" s="32" t="str">
        <f>CASOPOInvCL!AU288</f>
        <v>Yes</v>
      </c>
      <c r="S288" s="16">
        <f>CASOPOInvCL!AV288</f>
        <v>0</v>
      </c>
      <c r="T288" s="16">
        <f>CASOPOInvCL!AW288</f>
        <v>2663.811390330774</v>
      </c>
      <c r="Y288" s="29" t="str">
        <f>IFERROR(HLOOKUP(U288,List!$D$2:$H$6,2,FALSE),"")</f>
        <v/>
      </c>
      <c r="Z288" s="29" t="str">
        <f>IFERROR(HLOOKUP(V288,List!$D$2:$H$6,3,FALSE),"")</f>
        <v/>
      </c>
      <c r="AA288" s="29" t="str">
        <f>IFERROR(HLOOKUP(W288,List!$D$2:$H$6,4,FALSE),"")</f>
        <v/>
      </c>
      <c r="AB288" s="29" t="str">
        <f>IFERROR(HLOOKUP(X288,List!$D$2:$H$6,5,FALSE),"")</f>
        <v/>
      </c>
      <c r="AC288" s="12" t="str">
        <f t="shared" si="51"/>
        <v/>
      </c>
      <c r="AD288" s="12" t="str">
        <f t="shared" si="52"/>
        <v/>
      </c>
      <c r="AE288" s="12" t="str">
        <f t="shared" si="53"/>
        <v/>
      </c>
      <c r="AF288" s="12" t="str">
        <f t="shared" si="54"/>
        <v/>
      </c>
      <c r="AG288" t="str">
        <f>VLOOKUP(J288,'Receivable Invoice Detail'!$A$1:F3300,6,FALSE)</f>
        <v>[AC-98-236-104-004] Shaft Sleeve, 8x6-18 &amp; 10x8-21 SRL-C, 420SS Heat Treated, Hardened</v>
      </c>
      <c r="AM288" s="12" t="str">
        <f t="shared" si="55"/>
        <v/>
      </c>
      <c r="AN288" s="12" t="str">
        <f t="shared" si="56"/>
        <v/>
      </c>
      <c r="AO288" s="12" t="str">
        <f t="shared" si="57"/>
        <v/>
      </c>
      <c r="AP288" s="12" t="str">
        <f t="shared" si="58"/>
        <v/>
      </c>
      <c r="AQ288" s="12"/>
      <c r="AS288" s="12">
        <f t="shared" si="59"/>
        <v>39.95717085496161</v>
      </c>
      <c r="AT288" s="16" t="str">
        <f t="shared" si="61"/>
        <v>Yes</v>
      </c>
    </row>
    <row r="289" spans="1:46" hidden="1" x14ac:dyDescent="0.25">
      <c r="A289" s="41">
        <f>CASOPOInvCL!T289</f>
        <v>1</v>
      </c>
      <c r="B289" t="str">
        <f>CASOPOInvCL!Z289</f>
        <v>SO16738</v>
      </c>
      <c r="G289" s="5" t="str">
        <f>CASOPOInvCL!I289</f>
        <v>Yannett Yeomans</v>
      </c>
      <c r="H289" s="31">
        <f>CASOPOInvCL!U289</f>
        <v>3</v>
      </c>
      <c r="I289" s="31">
        <f>CASOPOInvCL!V289</f>
        <v>2025</v>
      </c>
      <c r="J289" s="5" t="str">
        <f>CASOPOInvCL!AB289</f>
        <v>INV12865</v>
      </c>
      <c r="K289" s="31" t="str">
        <f>CASOPOInvCL!W289</f>
        <v/>
      </c>
      <c r="L289" s="31" t="str">
        <f>CASOPOInvCL!X289</f>
        <v/>
      </c>
      <c r="M289" s="31"/>
      <c r="N289" s="5" t="str">
        <f>CASOPOInvCL!AF289</f>
        <v>Dynapro Pumps México S de RL de CV</v>
      </c>
      <c r="O289" s="16" t="str">
        <f>CASOPOInvCL!AG289</f>
        <v>USD</v>
      </c>
      <c r="P289" s="16">
        <f>CASOPOInvCL!AH289</f>
        <v>197.05876899150439</v>
      </c>
      <c r="Q289" s="16">
        <f>CASOPOInvCL!AI289</f>
        <v>138</v>
      </c>
      <c r="R289" s="32" t="str">
        <f>CASOPOInvCL!AU289</f>
        <v/>
      </c>
      <c r="S289" s="16">
        <f>CASOPOInvCL!AV289</f>
        <v>0</v>
      </c>
      <c r="T289" s="16">
        <f>CASOPOInvCL!AW289</f>
        <v>0</v>
      </c>
      <c r="Y289" s="29" t="str">
        <f>IFERROR(HLOOKUP(U289,List!$D$2:$H$6,2,FALSE),"")</f>
        <v/>
      </c>
      <c r="Z289" s="29" t="str">
        <f>IFERROR(HLOOKUP(V289,List!$D$2:$H$6,3,FALSE),"")</f>
        <v/>
      </c>
      <c r="AA289" s="29" t="str">
        <f>IFERROR(HLOOKUP(W289,List!$D$2:$H$6,4,FALSE),"")</f>
        <v/>
      </c>
      <c r="AB289" s="29" t="str">
        <f>IFERROR(HLOOKUP(X289,List!$D$2:$H$6,5,FALSE),"")</f>
        <v/>
      </c>
      <c r="AC289" s="12" t="str">
        <f t="shared" si="51"/>
        <v/>
      </c>
      <c r="AD289" s="12" t="str">
        <f t="shared" si="52"/>
        <v/>
      </c>
      <c r="AE289" s="12" t="str">
        <f t="shared" si="53"/>
        <v/>
      </c>
      <c r="AF289" s="12" t="str">
        <f t="shared" si="54"/>
        <v/>
      </c>
      <c r="AG289" t="str">
        <f>VLOOKUP(J289,'Receivable Invoice Detail'!$A$1:F3301,6,FALSE)</f>
        <v>Labyrinth, 4/3 or 6/4 D-AH, Ductile Iron</v>
      </c>
      <c r="AM289" s="12" t="str">
        <f t="shared" si="55"/>
        <v/>
      </c>
      <c r="AN289" s="12" t="str">
        <f t="shared" si="56"/>
        <v/>
      </c>
      <c r="AO289" s="12" t="str">
        <f t="shared" si="57"/>
        <v/>
      </c>
      <c r="AP289" s="12" t="str">
        <f t="shared" si="58"/>
        <v/>
      </c>
      <c r="AQ289" s="12"/>
      <c r="AR289" s="16" t="s">
        <v>5940</v>
      </c>
      <c r="AS289" s="12">
        <f t="shared" si="59"/>
        <v>0</v>
      </c>
      <c r="AT289" s="16" t="s">
        <v>5940</v>
      </c>
    </row>
    <row r="290" spans="1:46" hidden="1" x14ac:dyDescent="0.25">
      <c r="A290" s="41">
        <f>CASOPOInvCL!T290</f>
        <v>1</v>
      </c>
      <c r="B290" t="str">
        <f>CASOPOInvCL!Z290</f>
        <v>SO16739</v>
      </c>
      <c r="G290" s="5" t="str">
        <f>CASOPOInvCL!I290</f>
        <v>Ian Trottier</v>
      </c>
      <c r="H290" s="31">
        <f>CASOPOInvCL!U290</f>
        <v>3</v>
      </c>
      <c r="I290" s="31">
        <f>CASOPOInvCL!V290</f>
        <v>2025</v>
      </c>
      <c r="J290" s="5" t="str">
        <f>CASOPOInvCL!AB290</f>
        <v>INV12737</v>
      </c>
      <c r="K290" s="31">
        <f>CASOPOInvCL!W290</f>
        <v>4</v>
      </c>
      <c r="L290" s="31">
        <f>CASOPOInvCL!X290</f>
        <v>2025</v>
      </c>
      <c r="M290" s="31"/>
      <c r="N290" s="5" t="str">
        <f>CASOPOInvCL!AF290</f>
        <v>FMI Products</v>
      </c>
      <c r="O290" s="16" t="str">
        <f>CASOPOInvCL!AG290</f>
        <v>CAD</v>
      </c>
      <c r="P290" s="16">
        <f>CASOPOInvCL!AH290</f>
        <v>1129.78</v>
      </c>
      <c r="Q290" s="16">
        <f>CASOPOInvCL!AI290</f>
        <v>790.86626849278571</v>
      </c>
      <c r="R290" s="32" t="str">
        <f>CASOPOInvCL!AU290</f>
        <v>Yes</v>
      </c>
      <c r="S290" s="16">
        <f>CASOPOInvCL!AV290</f>
        <v>0</v>
      </c>
      <c r="T290" s="16">
        <f>CASOPOInvCL!AW290</f>
        <v>790.86626849278571</v>
      </c>
      <c r="Y290" s="29" t="str">
        <f>IFERROR(HLOOKUP(U290,List!$D$2:$H$6,2,FALSE),"")</f>
        <v/>
      </c>
      <c r="Z290" s="29" t="str">
        <f>IFERROR(HLOOKUP(V290,List!$D$2:$H$6,3,FALSE),"")</f>
        <v/>
      </c>
      <c r="AA290" s="29" t="str">
        <f>IFERROR(HLOOKUP(W290,List!$D$2:$H$6,4,FALSE),"")</f>
        <v/>
      </c>
      <c r="AB290" s="29" t="str">
        <f>IFERROR(HLOOKUP(X290,List!$D$2:$H$6,5,FALSE),"")</f>
        <v/>
      </c>
      <c r="AC290" s="12" t="str">
        <f t="shared" si="51"/>
        <v/>
      </c>
      <c r="AD290" s="12" t="str">
        <f t="shared" si="52"/>
        <v/>
      </c>
      <c r="AE290" s="12" t="str">
        <f t="shared" si="53"/>
        <v/>
      </c>
      <c r="AF290" s="12" t="str">
        <f t="shared" si="54"/>
        <v/>
      </c>
      <c r="AG290" t="str">
        <f>VLOOKUP(J290,'Receivable Invoice Detail'!$A$1:F3302,6,FALSE)</f>
        <v>[AC-98-231-115-501] Suction Side Liner, 5x4-14 SRL-C, Natural Rubber</v>
      </c>
      <c r="AM290" s="12" t="str">
        <f t="shared" si="55"/>
        <v/>
      </c>
      <c r="AN290" s="12" t="str">
        <f t="shared" si="56"/>
        <v/>
      </c>
      <c r="AO290" s="12" t="str">
        <f t="shared" si="57"/>
        <v/>
      </c>
      <c r="AP290" s="12" t="str">
        <f t="shared" si="58"/>
        <v/>
      </c>
      <c r="AQ290" s="12"/>
      <c r="AS290" s="12">
        <f t="shared" si="59"/>
        <v>11.862994027391785</v>
      </c>
      <c r="AT290" s="16" t="str">
        <f t="shared" si="61"/>
        <v>Yes</v>
      </c>
    </row>
    <row r="291" spans="1:46" hidden="1" x14ac:dyDescent="0.25">
      <c r="A291" s="41">
        <f>CASOPOInvCL!T291</f>
        <v>1</v>
      </c>
      <c r="B291" t="str">
        <f>CASOPOInvCL!Z291</f>
        <v>SO16740</v>
      </c>
      <c r="G291" s="5" t="str">
        <f>CASOPOInvCL!I291</f>
        <v>Ian Trottier</v>
      </c>
      <c r="H291" s="31">
        <f>CASOPOInvCL!U291</f>
        <v>3</v>
      </c>
      <c r="I291" s="31">
        <f>CASOPOInvCL!V291</f>
        <v>2025</v>
      </c>
      <c r="J291" s="5" t="str">
        <f>CASOPOInvCL!AB291</f>
        <v>INV12742</v>
      </c>
      <c r="K291" s="31">
        <f>CASOPOInvCL!W291</f>
        <v>5</v>
      </c>
      <c r="L291" s="31">
        <f>CASOPOInvCL!X291</f>
        <v>2025</v>
      </c>
      <c r="M291" s="31"/>
      <c r="N291" s="5" t="str">
        <f>CASOPOInvCL!AF291</f>
        <v>Moffatt Supply &amp; Specialties - Red Lake</v>
      </c>
      <c r="O291" s="16" t="str">
        <f>CASOPOInvCL!AG291</f>
        <v>CAD</v>
      </c>
      <c r="P291" s="16">
        <f>CASOPOInvCL!AH291</f>
        <v>1904.9</v>
      </c>
      <c r="Q291" s="16">
        <f>CASOPOInvCL!AI291</f>
        <v>1322.9971705725284</v>
      </c>
      <c r="R291" s="32" t="str">
        <f>CASOPOInvCL!AU291</f>
        <v>Yes</v>
      </c>
      <c r="S291" s="16">
        <f>CASOPOInvCL!AV291</f>
        <v>0</v>
      </c>
      <c r="T291" s="16">
        <f>CASOPOInvCL!AW291</f>
        <v>1322.9971705725284</v>
      </c>
      <c r="Y291" s="29" t="str">
        <f>IFERROR(HLOOKUP(U291,List!$D$2:$H$6,2,FALSE),"")</f>
        <v/>
      </c>
      <c r="Z291" s="29" t="str">
        <f>IFERROR(HLOOKUP(V291,List!$D$2:$H$6,3,FALSE),"")</f>
        <v/>
      </c>
      <c r="AA291" s="29" t="str">
        <f>IFERROR(HLOOKUP(W291,List!$D$2:$H$6,4,FALSE),"")</f>
        <v/>
      </c>
      <c r="AB291" s="29" t="str">
        <f>IFERROR(HLOOKUP(X291,List!$D$2:$H$6,5,FALSE),"")</f>
        <v/>
      </c>
      <c r="AC291" s="12" t="str">
        <f t="shared" si="51"/>
        <v/>
      </c>
      <c r="AD291" s="12" t="str">
        <f t="shared" si="52"/>
        <v/>
      </c>
      <c r="AE291" s="12" t="str">
        <f t="shared" si="53"/>
        <v/>
      </c>
      <c r="AF291" s="12" t="str">
        <f t="shared" si="54"/>
        <v/>
      </c>
      <c r="AG291" t="str">
        <f>VLOOKUP(J291,'Receivable Invoice Detail'!$A$1:F3303,6,FALSE)</f>
        <v>[AC-98-330-307-501] Impeller (Closed), 3x3-10 SRL-C, Natural Rubber</v>
      </c>
      <c r="AM291" s="12" t="str">
        <f t="shared" si="55"/>
        <v/>
      </c>
      <c r="AN291" s="12" t="str">
        <f t="shared" si="56"/>
        <v/>
      </c>
      <c r="AO291" s="12" t="str">
        <f t="shared" si="57"/>
        <v/>
      </c>
      <c r="AP291" s="12" t="str">
        <f t="shared" si="58"/>
        <v/>
      </c>
      <c r="AQ291" s="12"/>
      <c r="AS291" s="12">
        <f t="shared" si="59"/>
        <v>19.844957558587925</v>
      </c>
      <c r="AT291" s="16" t="str">
        <f t="shared" si="61"/>
        <v>Yes</v>
      </c>
    </row>
    <row r="292" spans="1:46" hidden="1" x14ac:dyDescent="0.25">
      <c r="A292" s="41">
        <f>CASOPOInvCL!T292</f>
        <v>1</v>
      </c>
      <c r="B292" t="str">
        <f>CASOPOInvCL!Z292</f>
        <v>SO16742</v>
      </c>
      <c r="G292" s="5" t="str">
        <f>CASOPOInvCL!I292</f>
        <v>Ian Trottier</v>
      </c>
      <c r="H292" s="31">
        <f>CASOPOInvCL!U292</f>
        <v>3</v>
      </c>
      <c r="I292" s="31">
        <f>CASOPOInvCL!V292</f>
        <v>2025</v>
      </c>
      <c r="J292" s="5" t="str">
        <f>CASOPOInvCL!AB292</f>
        <v>INV12731</v>
      </c>
      <c r="K292" s="31">
        <f>CASOPOInvCL!W292</f>
        <v>4</v>
      </c>
      <c r="L292" s="31">
        <f>CASOPOInvCL!X292</f>
        <v>2025</v>
      </c>
      <c r="M292" s="31"/>
      <c r="N292" s="5" t="str">
        <f>CASOPOInvCL!AF292</f>
        <v>Wajax Limited - Noranda</v>
      </c>
      <c r="O292" s="16" t="str">
        <f>CASOPOInvCL!AG292</f>
        <v>CAD</v>
      </c>
      <c r="P292" s="16">
        <f>CASOPOInvCL!AH292</f>
        <v>199.07</v>
      </c>
      <c r="Q292" s="16">
        <f>CASOPOInvCL!AI292</f>
        <v>138.25872578396402</v>
      </c>
      <c r="R292" s="32" t="str">
        <f>CASOPOInvCL!AU292</f>
        <v>Yes</v>
      </c>
      <c r="S292" s="16">
        <f>CASOPOInvCL!AV292</f>
        <v>0</v>
      </c>
      <c r="T292" s="16">
        <f>CASOPOInvCL!AW292</f>
        <v>138.25872578396402</v>
      </c>
      <c r="Y292" s="29" t="str">
        <f>IFERROR(HLOOKUP(U292,List!$D$2:$H$6,2,FALSE),"")</f>
        <v/>
      </c>
      <c r="Z292" s="29" t="str">
        <f>IFERROR(HLOOKUP(V292,List!$D$2:$H$6,3,FALSE),"")</f>
        <v/>
      </c>
      <c r="AA292" s="29" t="str">
        <f>IFERROR(HLOOKUP(W292,List!$D$2:$H$6,4,FALSE),"")</f>
        <v/>
      </c>
      <c r="AB292" s="29" t="str">
        <f>IFERROR(HLOOKUP(X292,List!$D$2:$H$6,5,FALSE),"")</f>
        <v/>
      </c>
      <c r="AC292" s="12" t="str">
        <f t="shared" si="51"/>
        <v/>
      </c>
      <c r="AD292" s="12" t="str">
        <f t="shared" si="52"/>
        <v/>
      </c>
      <c r="AE292" s="12" t="str">
        <f t="shared" si="53"/>
        <v/>
      </c>
      <c r="AF292" s="12" t="str">
        <f t="shared" si="54"/>
        <v/>
      </c>
      <c r="AG292" t="str">
        <f>VLOOKUP(J292,'Receivable Invoice Detail'!$A$1:F3304,6,FALSE)</f>
        <v>[AC-98-131-246-511] Deflector (Water Slinger), 5x5/5x4/6x6 SRL &amp; SRL-C, Neoprene/Steel</v>
      </c>
      <c r="AM292" s="12" t="str">
        <f t="shared" si="55"/>
        <v/>
      </c>
      <c r="AN292" s="12" t="str">
        <f t="shared" si="56"/>
        <v/>
      </c>
      <c r="AO292" s="12" t="str">
        <f t="shared" si="57"/>
        <v/>
      </c>
      <c r="AP292" s="12" t="str">
        <f t="shared" si="58"/>
        <v/>
      </c>
      <c r="AQ292" s="12"/>
      <c r="AS292" s="12">
        <f t="shared" si="59"/>
        <v>2.0738808867594605</v>
      </c>
      <c r="AT292" s="16" t="str">
        <f t="shared" si="61"/>
        <v>Yes</v>
      </c>
    </row>
    <row r="293" spans="1:46" hidden="1" x14ac:dyDescent="0.25">
      <c r="A293" s="41">
        <f>CASOPOInvCL!T293</f>
        <v>1</v>
      </c>
      <c r="B293" s="76" t="str">
        <f>CASOPOInvCL!Z293</f>
        <v>SO16744</v>
      </c>
      <c r="G293" s="5" t="str">
        <f>CASOPOInvCL!I293</f>
        <v>Jeff Bell</v>
      </c>
      <c r="H293" s="31">
        <f>CASOPOInvCL!U293</f>
        <v>3</v>
      </c>
      <c r="I293" s="31">
        <f>CASOPOInvCL!V293</f>
        <v>2025</v>
      </c>
      <c r="J293" s="5" t="str">
        <f>CASOPOInvCL!AB293</f>
        <v>INV12762</v>
      </c>
      <c r="K293" s="31">
        <f>CASOPOInvCL!W293</f>
        <v>5</v>
      </c>
      <c r="L293" s="31">
        <f>CASOPOInvCL!X293</f>
        <v>2025</v>
      </c>
      <c r="M293" s="31"/>
      <c r="N293" s="5" t="str">
        <f>CASOPOInvCL!AF293</f>
        <v>Barrick Gold - Pueblo Viejo Dominicana Corporation</v>
      </c>
      <c r="O293" s="16" t="str">
        <f>CASOPOInvCL!AG293</f>
        <v>USD</v>
      </c>
      <c r="P293" s="16">
        <f>CASOPOInvCL!AH293</f>
        <v>1262.6018070500875</v>
      </c>
      <c r="Q293" s="16">
        <f>CASOPOInvCL!AI293</f>
        <v>878.63</v>
      </c>
      <c r="R293" s="32" t="str">
        <f>CASOPOInvCL!AU293</f>
        <v>Yes</v>
      </c>
      <c r="S293" s="16">
        <f>CASOPOInvCL!AV293</f>
        <v>0</v>
      </c>
      <c r="T293" s="16">
        <f>CASOPOInvCL!AW293</f>
        <v>878.63</v>
      </c>
      <c r="Y293" s="29" t="str">
        <f>IFERROR(HLOOKUP(U293,List!$D$2:$H$6,2,FALSE),"")</f>
        <v/>
      </c>
      <c r="Z293" s="29" t="str">
        <f>IFERROR(HLOOKUP(V293,List!$D$2:$H$6,3,FALSE),"")</f>
        <v/>
      </c>
      <c r="AA293" s="29" t="str">
        <f>IFERROR(HLOOKUP(W293,List!$D$2:$H$6,4,FALSE),"")</f>
        <v/>
      </c>
      <c r="AB293" s="29" t="str">
        <f>IFERROR(HLOOKUP(X293,List!$D$2:$H$6,5,FALSE),"")</f>
        <v/>
      </c>
      <c r="AC293" s="12" t="str">
        <f t="shared" si="51"/>
        <v/>
      </c>
      <c r="AD293" s="12" t="str">
        <f t="shared" si="52"/>
        <v/>
      </c>
      <c r="AE293" s="12" t="str">
        <f t="shared" si="53"/>
        <v/>
      </c>
      <c r="AF293" s="12" t="str">
        <f t="shared" si="54"/>
        <v/>
      </c>
      <c r="AG293" t="str">
        <f>VLOOKUP(J293,'Receivable Invoice Detail'!$A$1:F3305,6,FALSE)</f>
        <v>[37231] Sleeve Bearing (Suction Bell), ThorPlas-Blue, HPCW</v>
      </c>
      <c r="AM293" s="12" t="str">
        <f t="shared" si="55"/>
        <v/>
      </c>
      <c r="AN293" s="12" t="str">
        <f t="shared" si="56"/>
        <v/>
      </c>
      <c r="AO293" s="12" t="str">
        <f t="shared" si="57"/>
        <v/>
      </c>
      <c r="AP293" s="12" t="str">
        <f t="shared" si="58"/>
        <v/>
      </c>
      <c r="AQ293" s="64">
        <v>2503</v>
      </c>
      <c r="AR293" s="64" t="s">
        <v>5934</v>
      </c>
      <c r="AS293" s="12">
        <f t="shared" si="59"/>
        <v>13.179449999999999</v>
      </c>
      <c r="AT293" s="16" t="str">
        <f t="shared" si="61"/>
        <v>Yes</v>
      </c>
    </row>
    <row r="294" spans="1:46" hidden="1" x14ac:dyDescent="0.25">
      <c r="A294" s="41">
        <f>CASOPOInvCL!T294</f>
        <v>2</v>
      </c>
      <c r="B294" t="str">
        <f>CASOPOInvCL!Z294</f>
        <v>SO16746</v>
      </c>
      <c r="G294" s="5" t="str">
        <f>CASOPOInvCL!I294</f>
        <v>Ian Trottier</v>
      </c>
      <c r="H294" s="31">
        <f>CASOPOInvCL!U294</f>
        <v>3</v>
      </c>
      <c r="I294" s="31">
        <f>CASOPOInvCL!V294</f>
        <v>2025</v>
      </c>
      <c r="J294" s="5" t="str">
        <f>CASOPOInvCL!AB294</f>
        <v>INV13036</v>
      </c>
      <c r="K294" s="31">
        <f>CASOPOInvCL!W294</f>
        <v>6</v>
      </c>
      <c r="L294" s="31">
        <f>CASOPOInvCL!X294</f>
        <v>2025</v>
      </c>
      <c r="M294" s="31"/>
      <c r="N294" s="5" t="str">
        <f>CASOPOInvCL!AF294</f>
        <v>Kumtor Gold Company</v>
      </c>
      <c r="O294" s="16" t="str">
        <f>CASOPOInvCL!AG294</f>
        <v>USD</v>
      </c>
      <c r="P294" s="16">
        <f>CASOPOInvCL!AH294</f>
        <v>4613.8861090402879</v>
      </c>
      <c r="Q294" s="16">
        <f>CASOPOInvCL!AI294</f>
        <v>3210.75</v>
      </c>
      <c r="R294" s="32" t="str">
        <f>CASOPOInvCL!AU294</f>
        <v>Yes</v>
      </c>
      <c r="S294" s="16">
        <f>CASOPOInvCL!AV294</f>
        <v>0</v>
      </c>
      <c r="T294" s="16">
        <f>CASOPOInvCL!AW294</f>
        <v>3210.75</v>
      </c>
      <c r="Y294" s="29" t="str">
        <f>IFERROR(HLOOKUP(U294,List!$D$2:$H$6,2,FALSE),"")</f>
        <v/>
      </c>
      <c r="Z294" s="29" t="str">
        <f>IFERROR(HLOOKUP(V294,List!$D$2:$H$6,3,FALSE),"")</f>
        <v/>
      </c>
      <c r="AA294" s="29" t="str">
        <f>IFERROR(HLOOKUP(W294,List!$D$2:$H$6,4,FALSE),"")</f>
        <v/>
      </c>
      <c r="AB294" s="29" t="str">
        <f>IFERROR(HLOOKUP(X294,List!$D$2:$H$6,5,FALSE),"")</f>
        <v/>
      </c>
      <c r="AC294" s="12" t="str">
        <f t="shared" si="51"/>
        <v/>
      </c>
      <c r="AD294" s="12" t="str">
        <f t="shared" si="52"/>
        <v/>
      </c>
      <c r="AE294" s="12" t="str">
        <f t="shared" si="53"/>
        <v/>
      </c>
      <c r="AF294" s="12" t="str">
        <f t="shared" si="54"/>
        <v/>
      </c>
      <c r="AG294" t="str">
        <f>VLOOKUP(J294,'Receivable Invoice Detail'!$A$1:F3306,6,FALSE)</f>
        <v>[AC-98-236-360-501] Gland Assembly, 8x6-18 &amp; 10x8-21 SRL-C, 316SS</v>
      </c>
      <c r="AM294" s="12" t="str">
        <f t="shared" si="55"/>
        <v/>
      </c>
      <c r="AN294" s="12" t="str">
        <f t="shared" si="56"/>
        <v/>
      </c>
      <c r="AO294" s="12" t="str">
        <f t="shared" si="57"/>
        <v/>
      </c>
      <c r="AP294" s="12" t="str">
        <f t="shared" si="58"/>
        <v/>
      </c>
      <c r="AQ294" s="12"/>
      <c r="AS294" s="12">
        <f t="shared" si="59"/>
        <v>48.161249999999995</v>
      </c>
      <c r="AT294" s="16" t="str">
        <f t="shared" si="61"/>
        <v>Yes</v>
      </c>
    </row>
    <row r="295" spans="1:46" hidden="1" x14ac:dyDescent="0.25">
      <c r="A295" s="41">
        <f>CASOPOInvCL!T295</f>
        <v>2</v>
      </c>
      <c r="B295" t="str">
        <f>CASOPOInvCL!Z295</f>
        <v>SO16746</v>
      </c>
      <c r="G295" s="5">
        <f>CASOPOInvCL!I295</f>
        <v>0</v>
      </c>
      <c r="H295" s="31">
        <f>CASOPOInvCL!U295</f>
        <v>3</v>
      </c>
      <c r="I295" s="31">
        <f>CASOPOInvCL!V295</f>
        <v>2025</v>
      </c>
      <c r="J295" s="5" t="str">
        <f>CASOPOInvCL!AB295</f>
        <v>INV12748</v>
      </c>
      <c r="K295" s="31">
        <f>CASOPOInvCL!W295</f>
        <v>4</v>
      </c>
      <c r="L295" s="31">
        <f>CASOPOInvCL!X295</f>
        <v>2025</v>
      </c>
      <c r="M295" s="31"/>
      <c r="N295" s="5" t="str">
        <f>CASOPOInvCL!AF295</f>
        <v>Kumtor Gold Company</v>
      </c>
      <c r="O295" s="16" t="str">
        <f>CASOPOInvCL!AG295</f>
        <v>USD</v>
      </c>
      <c r="P295" s="16">
        <f>CASOPOInvCL!AH295</f>
        <v>0</v>
      </c>
      <c r="Q295" s="16">
        <f>CASOPOInvCL!AI295</f>
        <v>0</v>
      </c>
      <c r="R295" s="32" t="str">
        <f>CASOPOInvCL!AU295</f>
        <v/>
      </c>
      <c r="S295" s="16">
        <f>CASOPOInvCL!AV295</f>
        <v>0</v>
      </c>
      <c r="T295" s="16">
        <f>CASOPOInvCL!AW295</f>
        <v>0</v>
      </c>
      <c r="Y295" s="29" t="str">
        <f>IFERROR(HLOOKUP(U295,List!$D$2:$H$6,2,FALSE),"")</f>
        <v/>
      </c>
      <c r="Z295" s="29" t="str">
        <f>IFERROR(HLOOKUP(V295,List!$D$2:$H$6,3,FALSE),"")</f>
        <v/>
      </c>
      <c r="AA295" s="29" t="str">
        <f>IFERROR(HLOOKUP(W295,List!$D$2:$H$6,4,FALSE),"")</f>
        <v/>
      </c>
      <c r="AB295" s="29" t="str">
        <f>IFERROR(HLOOKUP(X295,List!$D$2:$H$6,5,FALSE),"")</f>
        <v/>
      </c>
      <c r="AC295" s="12" t="str">
        <f t="shared" si="51"/>
        <v/>
      </c>
      <c r="AD295" s="12" t="str">
        <f t="shared" si="52"/>
        <v/>
      </c>
      <c r="AE295" s="12" t="str">
        <f t="shared" si="53"/>
        <v/>
      </c>
      <c r="AF295" s="12" t="str">
        <f t="shared" si="54"/>
        <v/>
      </c>
      <c r="AG295" t="str">
        <f>VLOOKUP(J295,'Receivable Invoice Detail'!$A$1:F3307,6,FALSE)</f>
        <v>[AN18] Bearing Lock Nut, 8x6-18 &amp; 10x8-21 SRL-C, Steel</v>
      </c>
      <c r="AM295" s="12" t="str">
        <f t="shared" si="55"/>
        <v/>
      </c>
      <c r="AN295" s="12" t="str">
        <f t="shared" si="56"/>
        <v/>
      </c>
      <c r="AO295" s="12" t="str">
        <f t="shared" si="57"/>
        <v/>
      </c>
      <c r="AP295" s="12" t="str">
        <f t="shared" si="58"/>
        <v/>
      </c>
      <c r="AQ295" s="12"/>
      <c r="AS295" s="12">
        <f t="shared" si="59"/>
        <v>0</v>
      </c>
      <c r="AT295" s="16" t="str">
        <f t="shared" si="61"/>
        <v/>
      </c>
    </row>
    <row r="296" spans="1:46" hidden="1" x14ac:dyDescent="0.25">
      <c r="A296" s="41">
        <f>CASOPOInvCL!T296</f>
        <v>1</v>
      </c>
      <c r="B296" t="str">
        <f>CASOPOInvCL!Z296</f>
        <v>SO16747</v>
      </c>
      <c r="E296" t="s">
        <v>5925</v>
      </c>
      <c r="G296" s="5" t="str">
        <f>CASOPOInvCL!I296</f>
        <v>Ian Trottier</v>
      </c>
      <c r="H296" s="31">
        <f>CASOPOInvCL!U296</f>
        <v>3</v>
      </c>
      <c r="I296" s="31">
        <f>CASOPOInvCL!V296</f>
        <v>2025</v>
      </c>
      <c r="J296" s="5" t="str">
        <f>CASOPOInvCL!AB296</f>
        <v>INV13095</v>
      </c>
      <c r="K296" s="31">
        <f>CASOPOInvCL!W296</f>
        <v>8</v>
      </c>
      <c r="L296" s="31">
        <f>CASOPOInvCL!X296</f>
        <v>2025</v>
      </c>
      <c r="M296">
        <v>2503</v>
      </c>
      <c r="N296" s="5" t="str">
        <f>CASOPOInvCL!AF296</f>
        <v>Southeast Pump Specialist, Inc.</v>
      </c>
      <c r="O296" s="16" t="str">
        <f>CASOPOInvCL!AG296</f>
        <v>USD</v>
      </c>
      <c r="P296" s="16">
        <f>CASOPOInvCL!AH296</f>
        <v>12276.551135094038</v>
      </c>
      <c r="Q296" s="16">
        <f>CASOPOInvCL!AI296</f>
        <v>8543.11</v>
      </c>
      <c r="R296" s="32" t="str">
        <f>CASOPOInvCL!AU296</f>
        <v>Yes</v>
      </c>
      <c r="S296" s="16">
        <f>CASOPOInvCL!AV296</f>
        <v>575</v>
      </c>
      <c r="T296" s="16">
        <f>CASOPOInvCL!AW296</f>
        <v>7968.1100000000006</v>
      </c>
      <c r="W296" t="s">
        <v>5800</v>
      </c>
      <c r="Y296" s="29" t="str">
        <f>IFERROR(HLOOKUP(U296,List!$D$2:$H$6,2,FALSE),"")</f>
        <v/>
      </c>
      <c r="Z296" s="29" t="str">
        <f>IFERROR(HLOOKUP(V296,List!$D$2:$H$6,3,FALSE),"")</f>
        <v/>
      </c>
      <c r="AA296" s="29">
        <f>IFERROR(HLOOKUP(W296,List!$D$2:$H$6,4,FALSE),"")</f>
        <v>0.01</v>
      </c>
      <c r="AB296" s="29" t="str">
        <f>IFERROR(HLOOKUP(X296,List!$D$2:$H$6,5,FALSE),"")</f>
        <v/>
      </c>
      <c r="AC296" s="12" t="str">
        <f t="shared" si="51"/>
        <v/>
      </c>
      <c r="AD296" s="12" t="str">
        <f t="shared" si="52"/>
        <v/>
      </c>
      <c r="AE296" s="12">
        <f t="shared" si="53"/>
        <v>79.681100000000001</v>
      </c>
      <c r="AF296" s="12" t="str">
        <f t="shared" si="54"/>
        <v/>
      </c>
      <c r="AG296" t="str">
        <f>VLOOKUP(J296,'Receivable Invoice Detail'!$A$1:F3308,6,FALSE)</f>
        <v>[G-1.5x2-14-JC-HC] Pump, 1.5x2-14, Dynapro DC, Frame 2J, High Chrome</v>
      </c>
      <c r="AH296" s="12">
        <f t="shared" ref="AH296" si="63">SUM(AC296:AF296)</f>
        <v>79.681100000000001</v>
      </c>
      <c r="AM296" s="12" t="str">
        <f t="shared" si="55"/>
        <v/>
      </c>
      <c r="AN296" s="12" t="str">
        <f t="shared" si="56"/>
        <v/>
      </c>
      <c r="AO296" s="12">
        <f t="shared" si="57"/>
        <v>79.681100000000001</v>
      </c>
      <c r="AP296" s="12" t="str">
        <f t="shared" si="58"/>
        <v/>
      </c>
      <c r="AQ296" s="64">
        <v>2503</v>
      </c>
      <c r="AR296" t="s">
        <v>5932</v>
      </c>
      <c r="AS296" s="12">
        <f t="shared" si="59"/>
        <v>119.52165000000001</v>
      </c>
      <c r="AT296" s="16" t="str">
        <f t="shared" si="61"/>
        <v>Yes</v>
      </c>
    </row>
    <row r="297" spans="1:46" hidden="1" x14ac:dyDescent="0.25">
      <c r="A297" s="41">
        <f>CASOPOInvCL!T297</f>
        <v>1</v>
      </c>
      <c r="B297" t="str">
        <f>CASOPOInvCL!Z297</f>
        <v>SO16749</v>
      </c>
      <c r="G297" s="5" t="str">
        <f>CASOPOInvCL!I297</f>
        <v>Ian Trottier</v>
      </c>
      <c r="H297" s="31">
        <f>CASOPOInvCL!U297</f>
        <v>3</v>
      </c>
      <c r="I297" s="31">
        <f>CASOPOInvCL!V297</f>
        <v>2025</v>
      </c>
      <c r="J297" s="5" t="str">
        <f>CASOPOInvCL!AB297</f>
        <v>INV12732</v>
      </c>
      <c r="K297" s="31">
        <f>CASOPOInvCL!W297</f>
        <v>4</v>
      </c>
      <c r="L297" s="31">
        <f>CASOPOInvCL!X297</f>
        <v>2025</v>
      </c>
      <c r="M297" s="31"/>
      <c r="N297" s="5" t="str">
        <f>CASOPOInvCL!AF297</f>
        <v>Wajax Limited - Noranda</v>
      </c>
      <c r="O297" s="16" t="str">
        <f>CASOPOInvCL!AG297</f>
        <v>CAD</v>
      </c>
      <c r="P297" s="16">
        <f>CASOPOInvCL!AH297</f>
        <v>168.59</v>
      </c>
      <c r="Q297" s="16">
        <f>CASOPOInvCL!AI297</f>
        <v>117.23246211875248</v>
      </c>
      <c r="R297" s="32" t="str">
        <f>CASOPOInvCL!AU297</f>
        <v>Yes</v>
      </c>
      <c r="S297" s="16">
        <f>CASOPOInvCL!AV297</f>
        <v>0</v>
      </c>
      <c r="T297" s="16">
        <f>CASOPOInvCL!AW297</f>
        <v>117.23246211875248</v>
      </c>
      <c r="Y297" s="29" t="str">
        <f>IFERROR(HLOOKUP(U297,List!$D$2:$H$6,2,FALSE),"")</f>
        <v/>
      </c>
      <c r="Z297" s="29" t="str">
        <f>IFERROR(HLOOKUP(V297,List!$D$2:$H$6,3,FALSE),"")</f>
        <v/>
      </c>
      <c r="AA297" s="29" t="str">
        <f>IFERROR(HLOOKUP(W297,List!$D$2:$H$6,4,FALSE),"")</f>
        <v/>
      </c>
      <c r="AB297" s="29" t="str">
        <f>IFERROR(HLOOKUP(X297,List!$D$2:$H$6,5,FALSE),"")</f>
        <v/>
      </c>
      <c r="AC297" s="12" t="str">
        <f t="shared" si="51"/>
        <v/>
      </c>
      <c r="AD297" s="12" t="str">
        <f t="shared" si="52"/>
        <v/>
      </c>
      <c r="AE297" s="12" t="str">
        <f t="shared" si="53"/>
        <v/>
      </c>
      <c r="AF297" s="12" t="str">
        <f t="shared" si="54"/>
        <v/>
      </c>
      <c r="AG297" t="str">
        <f>VLOOKUP(J297,'Receivable Invoice Detail'!$A$1:F3309,6,FALSE)</f>
        <v>[AC-98-5414-HC6] Stuffing Box Gasket, 5x4-14 SRL-C, Rubber, 3-Piece Design</v>
      </c>
      <c r="AM297" s="12" t="str">
        <f t="shared" si="55"/>
        <v/>
      </c>
      <c r="AN297" s="12" t="str">
        <f t="shared" si="56"/>
        <v/>
      </c>
      <c r="AO297" s="12" t="str">
        <f t="shared" si="57"/>
        <v/>
      </c>
      <c r="AP297" s="12" t="str">
        <f t="shared" si="58"/>
        <v/>
      </c>
      <c r="AQ297" s="12"/>
      <c r="AS297" s="12">
        <f t="shared" si="59"/>
        <v>1.7584869317812872</v>
      </c>
      <c r="AT297" s="16" t="str">
        <f t="shared" si="61"/>
        <v>Yes</v>
      </c>
    </row>
    <row r="298" spans="1:46" hidden="1" x14ac:dyDescent="0.25">
      <c r="A298" s="41">
        <f>CASOPOInvCL!T298</f>
        <v>1</v>
      </c>
      <c r="B298" t="str">
        <f>CASOPOInvCL!Z298</f>
        <v>SO16750</v>
      </c>
      <c r="G298" s="5" t="str">
        <f>CASOPOInvCL!I298</f>
        <v>Ian Trottier</v>
      </c>
      <c r="H298" s="31">
        <f>CASOPOInvCL!U298</f>
        <v>3</v>
      </c>
      <c r="I298" s="31">
        <f>CASOPOInvCL!V298</f>
        <v>2025</v>
      </c>
      <c r="J298" s="5" t="str">
        <f>CASOPOInvCL!AB298</f>
        <v>INV12808</v>
      </c>
      <c r="K298" s="31">
        <f>CASOPOInvCL!W298</f>
        <v>5</v>
      </c>
      <c r="L298" s="31">
        <f>CASOPOInvCL!X298</f>
        <v>2025</v>
      </c>
      <c r="M298" s="31"/>
      <c r="N298" s="5" t="str">
        <f>CASOPOInvCL!AF298</f>
        <v>Tech-Flow</v>
      </c>
      <c r="O298" s="16" t="str">
        <f>CASOPOInvCL!AG298</f>
        <v>USD</v>
      </c>
      <c r="P298" s="16">
        <f>CASOPOInvCL!AH298</f>
        <v>624.04502339629346</v>
      </c>
      <c r="Q298" s="16">
        <f>CASOPOInvCL!AI298</f>
        <v>435.76</v>
      </c>
      <c r="R298" s="32" t="str">
        <f>CASOPOInvCL!AU298</f>
        <v>Yes</v>
      </c>
      <c r="S298" s="16">
        <f>CASOPOInvCL!AV298</f>
        <v>0</v>
      </c>
      <c r="T298" s="16">
        <f>CASOPOInvCL!AW298</f>
        <v>435.76</v>
      </c>
      <c r="Y298" s="29" t="str">
        <f>IFERROR(HLOOKUP(U298,List!$D$2:$H$6,2,FALSE),"")</f>
        <v/>
      </c>
      <c r="Z298" s="29" t="str">
        <f>IFERROR(HLOOKUP(V298,List!$D$2:$H$6,3,FALSE),"")</f>
        <v/>
      </c>
      <c r="AA298" s="29" t="str">
        <f>IFERROR(HLOOKUP(W298,List!$D$2:$H$6,4,FALSE),"")</f>
        <v/>
      </c>
      <c r="AB298" s="29" t="str">
        <f>IFERROR(HLOOKUP(X298,List!$D$2:$H$6,5,FALSE),"")</f>
        <v/>
      </c>
      <c r="AC298" s="12" t="str">
        <f t="shared" si="51"/>
        <v/>
      </c>
      <c r="AD298" s="12" t="str">
        <f t="shared" si="52"/>
        <v/>
      </c>
      <c r="AE298" s="12" t="str">
        <f t="shared" si="53"/>
        <v/>
      </c>
      <c r="AF298" s="12" t="str">
        <f t="shared" si="54"/>
        <v/>
      </c>
      <c r="AG298" t="str">
        <f>VLOOKUP(J298,'Receivable Invoice Detail'!$A$1:F3310,6,FALSE)</f>
        <v>[DE-503191] Expeller, 5x4, 5x5, 6x6, D-SRL, Cast Steel</v>
      </c>
      <c r="AM298" s="12" t="str">
        <f t="shared" si="55"/>
        <v/>
      </c>
      <c r="AN298" s="12" t="str">
        <f t="shared" si="56"/>
        <v/>
      </c>
      <c r="AO298" s="12" t="str">
        <f t="shared" si="57"/>
        <v/>
      </c>
      <c r="AP298" s="12" t="str">
        <f t="shared" si="58"/>
        <v/>
      </c>
      <c r="AQ298" s="12"/>
      <c r="AS298" s="12">
        <f t="shared" si="59"/>
        <v>6.5363999999999995</v>
      </c>
      <c r="AT298" s="16" t="str">
        <f t="shared" si="61"/>
        <v>Yes</v>
      </c>
    </row>
    <row r="299" spans="1:46" hidden="1" x14ac:dyDescent="0.25">
      <c r="A299" s="41">
        <f>CASOPOInvCL!T299</f>
        <v>1</v>
      </c>
      <c r="B299" t="str">
        <f>CASOPOInvCL!Z299</f>
        <v>SO16751</v>
      </c>
      <c r="E299" t="s">
        <v>5847</v>
      </c>
      <c r="G299" s="5" t="str">
        <f>CASOPOInvCL!I299</f>
        <v>Amanda Qiao</v>
      </c>
      <c r="H299" s="31">
        <f>CASOPOInvCL!U299</f>
        <v>3</v>
      </c>
      <c r="I299" s="31">
        <f>CASOPOInvCL!V299</f>
        <v>2025</v>
      </c>
      <c r="J299" s="5" t="str">
        <f>CASOPOInvCL!AB299</f>
        <v>INV13179</v>
      </c>
      <c r="K299" s="31">
        <f>CASOPOInvCL!W299</f>
        <v>8</v>
      </c>
      <c r="L299" s="31">
        <f>CASOPOInvCL!X299</f>
        <v>2025</v>
      </c>
      <c r="M299">
        <v>2503</v>
      </c>
      <c r="N299" s="5" t="str">
        <f>CASOPOInvCL!AF299</f>
        <v>Tencarva Machinery Company</v>
      </c>
      <c r="O299" s="16" t="str">
        <f>CASOPOInvCL!AG299</f>
        <v>USD</v>
      </c>
      <c r="P299" s="16">
        <f>CASOPOInvCL!AH299</f>
        <v>38671.550944448398</v>
      </c>
      <c r="Q299" s="16">
        <f>CASOPOInvCL!AI299</f>
        <v>27833.48</v>
      </c>
      <c r="R299" s="32" t="str">
        <f>CASOPOInvCL!AU299</f>
        <v>Yes</v>
      </c>
      <c r="S299" s="16">
        <f>CASOPOInvCL!AV299</f>
        <v>1250</v>
      </c>
      <c r="T299" s="16">
        <f>CASOPOInvCL!AW299</f>
        <v>26583.48</v>
      </c>
      <c r="W299" t="s">
        <v>5800</v>
      </c>
      <c r="Y299" s="29" t="str">
        <f>IFERROR(HLOOKUP(U299,List!$D$2:$H$6,2,FALSE),"")</f>
        <v/>
      </c>
      <c r="Z299" s="29" t="str">
        <f>IFERROR(HLOOKUP(V299,List!$D$2:$H$6,3,FALSE),"")</f>
        <v/>
      </c>
      <c r="AA299" s="29">
        <f>IFERROR(HLOOKUP(W299,List!$D$2:$H$6,4,FALSE),"")</f>
        <v>0.01</v>
      </c>
      <c r="AB299" s="29" t="str">
        <f>IFERROR(HLOOKUP(X299,List!$D$2:$H$6,5,FALSE),"")</f>
        <v/>
      </c>
      <c r="AC299" s="12" t="str">
        <f t="shared" si="51"/>
        <v/>
      </c>
      <c r="AD299" s="12" t="str">
        <f t="shared" si="52"/>
        <v/>
      </c>
      <c r="AE299" s="12">
        <f t="shared" si="53"/>
        <v>265.83479999999997</v>
      </c>
      <c r="AF299" s="12" t="str">
        <f t="shared" si="54"/>
        <v/>
      </c>
      <c r="AG299" t="str">
        <f>VLOOKUP(J299,'Receivable Invoice Detail'!$A$1:F3311,6,FALSE)</f>
        <v>[W-65QVSPR-1500-RBR] Sump Pump, W-Series, 65QV-SPR, Natural Rubber, 1500mm Column</v>
      </c>
      <c r="AK299">
        <v>2503</v>
      </c>
      <c r="AM299" s="12" t="str">
        <f t="shared" si="55"/>
        <v/>
      </c>
      <c r="AN299" s="12" t="str">
        <f t="shared" si="56"/>
        <v/>
      </c>
      <c r="AO299" s="12">
        <f t="shared" si="57"/>
        <v>0</v>
      </c>
      <c r="AP299" s="12" t="str">
        <f t="shared" si="58"/>
        <v/>
      </c>
      <c r="AQ299" s="64">
        <v>2503</v>
      </c>
      <c r="AR299" t="s">
        <v>5932</v>
      </c>
      <c r="AS299" s="12">
        <f t="shared" si="59"/>
        <v>398.75219999999996</v>
      </c>
      <c r="AT299" s="16" t="str">
        <f t="shared" si="61"/>
        <v>Yes</v>
      </c>
    </row>
    <row r="300" spans="1:46" ht="15.75" hidden="1" thickBot="1" x14ac:dyDescent="0.3">
      <c r="A300" s="93">
        <f>CASOPOInvCL!T300</f>
        <v>1</v>
      </c>
      <c r="B300" s="94" t="str">
        <f>CASOPOInvCL!Z300</f>
        <v>SO16752</v>
      </c>
      <c r="C300" s="95"/>
      <c r="G300" s="5" t="str">
        <f>CASOPOInvCL!I300</f>
        <v>Ian Trottier</v>
      </c>
      <c r="H300" s="31">
        <f>CASOPOInvCL!U300</f>
        <v>3</v>
      </c>
      <c r="I300" s="31">
        <f>CASOPOInvCL!V300</f>
        <v>2025</v>
      </c>
      <c r="J300" s="5" t="str">
        <f>CASOPOInvCL!AB300</f>
        <v>INV12726</v>
      </c>
      <c r="K300" s="31">
        <f>CASOPOInvCL!W300</f>
        <v>5</v>
      </c>
      <c r="L300" s="31">
        <f>CASOPOInvCL!X300</f>
        <v>2025</v>
      </c>
      <c r="M300" s="31"/>
      <c r="N300" s="5" t="str">
        <f>CASOPOInvCL!AF300</f>
        <v>Grant Aggregate</v>
      </c>
      <c r="O300" s="16" t="str">
        <f>CASOPOInvCL!AG300</f>
        <v>CAD</v>
      </c>
      <c r="P300" s="16">
        <f>CASOPOInvCL!AH300</f>
        <v>1242.28</v>
      </c>
      <c r="Q300" s="16">
        <f>CASOPOInvCL!AI300</f>
        <v>858.74882900785428</v>
      </c>
      <c r="R300" s="32" t="str">
        <f>CASOPOInvCL!AU300</f>
        <v>Yes</v>
      </c>
      <c r="S300" s="16">
        <f>CASOPOInvCL!AV300</f>
        <v>0</v>
      </c>
      <c r="T300" s="16">
        <f>CASOPOInvCL!AW300</f>
        <v>858.74882900785428</v>
      </c>
      <c r="Y300" s="29" t="str">
        <f>IFERROR(HLOOKUP(U300,List!$D$2:$H$6,2,FALSE),"")</f>
        <v/>
      </c>
      <c r="Z300" s="29" t="str">
        <f>IFERROR(HLOOKUP(V300,List!$D$2:$H$6,3,FALSE),"")</f>
        <v/>
      </c>
      <c r="AA300" s="29" t="str">
        <f>IFERROR(HLOOKUP(W300,List!$D$2:$H$6,4,FALSE),"")</f>
        <v/>
      </c>
      <c r="AB300" s="29" t="str">
        <f>IFERROR(HLOOKUP(X300,List!$D$2:$H$6,5,FALSE),"")</f>
        <v/>
      </c>
      <c r="AC300" s="12" t="str">
        <f t="shared" si="51"/>
        <v/>
      </c>
      <c r="AD300" s="12" t="str">
        <f t="shared" si="52"/>
        <v/>
      </c>
      <c r="AE300" s="12" t="str">
        <f t="shared" si="53"/>
        <v/>
      </c>
      <c r="AF300" s="12" t="str">
        <f t="shared" si="54"/>
        <v/>
      </c>
      <c r="AG300" t="str">
        <f>VLOOKUP(J300,'Receivable Invoice Detail'!$A$1:F3312,6,FALSE)</f>
        <v>[AC-98-236-104-004] Shaft Sleeve, 8x6-18 &amp; 10x8-21 SRL-C, 420SS Heat Treated, Hardened</v>
      </c>
      <c r="AM300" s="12" t="str">
        <f t="shared" si="55"/>
        <v/>
      </c>
      <c r="AN300" s="12" t="str">
        <f t="shared" si="56"/>
        <v/>
      </c>
      <c r="AO300" s="12" t="str">
        <f t="shared" si="57"/>
        <v/>
      </c>
      <c r="AP300" s="12" t="str">
        <f t="shared" si="58"/>
        <v/>
      </c>
      <c r="AQ300" s="12"/>
      <c r="AS300" s="12">
        <f t="shared" si="59"/>
        <v>12.881232435117814</v>
      </c>
      <c r="AT300" s="16" t="str">
        <f t="shared" si="61"/>
        <v>Yes</v>
      </c>
    </row>
    <row r="301" spans="1:46" hidden="1" x14ac:dyDescent="0.25">
      <c r="A301" s="41">
        <f>CASOPOInvCL!T301</f>
        <v>1</v>
      </c>
      <c r="B301" t="str">
        <f>CASOPOInvCL!Z301</f>
        <v>SO16753</v>
      </c>
      <c r="G301" s="5" t="str">
        <f>CASOPOInvCL!I301</f>
        <v>Ian Trottier</v>
      </c>
      <c r="H301" s="31">
        <f>CASOPOInvCL!U301</f>
        <v>3</v>
      </c>
      <c r="I301" s="31">
        <f>CASOPOInvCL!V301</f>
        <v>2025</v>
      </c>
      <c r="J301" s="5" t="str">
        <f>CASOPOInvCL!AB301</f>
        <v>INV12854</v>
      </c>
      <c r="K301" s="31">
        <f>CASOPOInvCL!W301</f>
        <v>5</v>
      </c>
      <c r="L301" s="31">
        <f>CASOPOInvCL!X301</f>
        <v>2025</v>
      </c>
      <c r="M301" s="31"/>
      <c r="N301" s="5" t="str">
        <f>CASOPOInvCL!AF301</f>
        <v>Cartledge &amp; Associates Inc.</v>
      </c>
      <c r="O301" s="16" t="str">
        <f>CASOPOInvCL!AG301</f>
        <v>USD</v>
      </c>
      <c r="P301" s="16">
        <f>CASOPOInvCL!AH301</f>
        <v>1877.4992191993795</v>
      </c>
      <c r="Q301" s="16">
        <f>CASOPOInvCL!AI301</f>
        <v>1306.53</v>
      </c>
      <c r="R301" s="32" t="str">
        <f>CASOPOInvCL!AU301</f>
        <v>Yes</v>
      </c>
      <c r="S301" s="16">
        <f>CASOPOInvCL!AV301</f>
        <v>0</v>
      </c>
      <c r="T301" s="16">
        <f>CASOPOInvCL!AW301</f>
        <v>1306.53</v>
      </c>
      <c r="Y301" s="29" t="str">
        <f>IFERROR(HLOOKUP(U301,List!$D$2:$H$6,2,FALSE),"")</f>
        <v/>
      </c>
      <c r="Z301" s="29" t="str">
        <f>IFERROR(HLOOKUP(V301,List!$D$2:$H$6,3,FALSE),"")</f>
        <v/>
      </c>
      <c r="AA301" s="29" t="str">
        <f>IFERROR(HLOOKUP(W301,List!$D$2:$H$6,4,FALSE),"")</f>
        <v/>
      </c>
      <c r="AB301" s="29" t="str">
        <f>IFERROR(HLOOKUP(X301,List!$D$2:$H$6,5,FALSE),"")</f>
        <v/>
      </c>
      <c r="AC301" s="12" t="str">
        <f t="shared" si="51"/>
        <v/>
      </c>
      <c r="AD301" s="12" t="str">
        <f t="shared" si="52"/>
        <v/>
      </c>
      <c r="AE301" s="12" t="str">
        <f t="shared" si="53"/>
        <v/>
      </c>
      <c r="AF301" s="12" t="str">
        <f t="shared" si="54"/>
        <v/>
      </c>
      <c r="AG301" t="str">
        <f>VLOOKUP(J301,'Receivable Invoice Detail'!$A$1:F3313,6,FALSE)</f>
        <v>[AC-98-231-121-501] Suction Side Plate, 8x6-18 SRL-C, Natural Rubber</v>
      </c>
      <c r="AM301" s="12" t="str">
        <f t="shared" si="55"/>
        <v/>
      </c>
      <c r="AN301" s="12" t="str">
        <f t="shared" si="56"/>
        <v/>
      </c>
      <c r="AO301" s="12" t="str">
        <f t="shared" si="57"/>
        <v/>
      </c>
      <c r="AP301" s="12" t="str">
        <f t="shared" si="58"/>
        <v/>
      </c>
      <c r="AQ301" s="12"/>
      <c r="AS301" s="12">
        <f t="shared" si="59"/>
        <v>19.597949999999997</v>
      </c>
      <c r="AT301" s="16" t="str">
        <f t="shared" si="61"/>
        <v>Yes</v>
      </c>
    </row>
    <row r="302" spans="1:46" hidden="1" x14ac:dyDescent="0.25">
      <c r="A302" s="41">
        <f>CASOPOInvCL!T302</f>
        <v>1</v>
      </c>
      <c r="B302" t="str">
        <f>CASOPOInvCL!Z302</f>
        <v>SO16754</v>
      </c>
      <c r="G302" s="5" t="str">
        <f>CASOPOInvCL!I302</f>
        <v>Ian Trottier</v>
      </c>
      <c r="H302" s="31">
        <f>CASOPOInvCL!U302</f>
        <v>3</v>
      </c>
      <c r="I302" s="31">
        <f>CASOPOInvCL!V302</f>
        <v>2025</v>
      </c>
      <c r="J302" s="5" t="str">
        <f>CASOPOInvCL!AB302</f>
        <v>INV12753</v>
      </c>
      <c r="K302" s="31">
        <f>CASOPOInvCL!W302</f>
        <v>5</v>
      </c>
      <c r="L302" s="31">
        <f>CASOPOInvCL!X302</f>
        <v>2025</v>
      </c>
      <c r="M302" s="31"/>
      <c r="N302" s="5" t="str">
        <f>CASOPOInvCL!AF302</f>
        <v>Resolute Forest Products - Saint-Felicien</v>
      </c>
      <c r="O302" s="16" t="str">
        <f>CASOPOInvCL!AG302</f>
        <v>CAD</v>
      </c>
      <c r="P302" s="16">
        <f>CASOPOInvCL!AH302</f>
        <v>523.41</v>
      </c>
      <c r="Q302" s="16">
        <f>CASOPOInvCL!AI302</f>
        <v>366.39639008639642</v>
      </c>
      <c r="R302" s="32" t="str">
        <f>CASOPOInvCL!AU302</f>
        <v>Yes</v>
      </c>
      <c r="S302" s="16">
        <f>CASOPOInvCL!AV302</f>
        <v>0</v>
      </c>
      <c r="T302" s="16">
        <f>CASOPOInvCL!AW302</f>
        <v>366.39639008639642</v>
      </c>
      <c r="Y302" s="29" t="str">
        <f>IFERROR(HLOOKUP(U302,List!$D$2:$H$6,2,FALSE),"")</f>
        <v/>
      </c>
      <c r="Z302" s="29" t="str">
        <f>IFERROR(HLOOKUP(V302,List!$D$2:$H$6,3,FALSE),"")</f>
        <v/>
      </c>
      <c r="AA302" s="29" t="str">
        <f>IFERROR(HLOOKUP(W302,List!$D$2:$H$6,4,FALSE),"")</f>
        <v/>
      </c>
      <c r="AB302" s="29" t="str">
        <f>IFERROR(HLOOKUP(X302,List!$D$2:$H$6,5,FALSE),"")</f>
        <v/>
      </c>
      <c r="AC302" s="12" t="str">
        <f t="shared" si="51"/>
        <v/>
      </c>
      <c r="AD302" s="12" t="str">
        <f t="shared" si="52"/>
        <v/>
      </c>
      <c r="AE302" s="12" t="str">
        <f t="shared" si="53"/>
        <v/>
      </c>
      <c r="AF302" s="12" t="str">
        <f t="shared" si="54"/>
        <v/>
      </c>
      <c r="AG302" t="str">
        <f>VLOOKUP(J302,'Receivable Invoice Detail'!$A$1:F3314,6,FALSE)</f>
        <v>[AC-52-108-475-013] Deflector (Outboard), Allis-Chalmers PWO, Group 2</v>
      </c>
      <c r="AM302" s="12" t="str">
        <f t="shared" si="55"/>
        <v/>
      </c>
      <c r="AN302" s="12" t="str">
        <f t="shared" si="56"/>
        <v/>
      </c>
      <c r="AO302" s="12" t="str">
        <f t="shared" si="57"/>
        <v/>
      </c>
      <c r="AP302" s="12" t="str">
        <f t="shared" si="58"/>
        <v/>
      </c>
      <c r="AQ302" s="12"/>
      <c r="AS302" s="12">
        <f t="shared" si="59"/>
        <v>5.4959458512959465</v>
      </c>
      <c r="AT302" s="16" t="str">
        <f t="shared" si="61"/>
        <v>Yes</v>
      </c>
    </row>
    <row r="303" spans="1:46" hidden="1" x14ac:dyDescent="0.25">
      <c r="A303" s="41">
        <f>CASOPOInvCL!T303</f>
        <v>1</v>
      </c>
      <c r="B303" t="str">
        <f>CASOPOInvCL!Z303</f>
        <v>SO16755</v>
      </c>
      <c r="G303" s="5" t="str">
        <f>CASOPOInvCL!I303</f>
        <v>Ian Trottier</v>
      </c>
      <c r="H303" s="31">
        <f>CASOPOInvCL!U303</f>
        <v>3</v>
      </c>
      <c r="I303" s="31">
        <f>CASOPOInvCL!V303</f>
        <v>2025</v>
      </c>
      <c r="J303" s="5" t="str">
        <f>CASOPOInvCL!AB303</f>
        <v>INV12729</v>
      </c>
      <c r="K303" s="31">
        <f>CASOPOInvCL!W303</f>
        <v>5</v>
      </c>
      <c r="L303" s="31">
        <f>CASOPOInvCL!X303</f>
        <v>2025</v>
      </c>
      <c r="M303" s="31"/>
      <c r="N303" s="5" t="str">
        <f>CASOPOInvCL!AF303</f>
        <v>Resolute Forest Products - Saint-Felicien</v>
      </c>
      <c r="O303" s="16" t="str">
        <f>CASOPOInvCL!AG303</f>
        <v>CAD</v>
      </c>
      <c r="P303" s="16">
        <f>CASOPOInvCL!AH303</f>
        <v>301.76</v>
      </c>
      <c r="Q303" s="16">
        <f>CASOPOInvCL!AI303</f>
        <v>209.55641556851828</v>
      </c>
      <c r="R303" s="32" t="str">
        <f>CASOPOInvCL!AU303</f>
        <v>Yes</v>
      </c>
      <c r="S303" s="16">
        <f>CASOPOInvCL!AV303</f>
        <v>0</v>
      </c>
      <c r="T303" s="16">
        <f>CASOPOInvCL!AW303</f>
        <v>209.55641556851828</v>
      </c>
      <c r="Y303" s="29" t="str">
        <f>IFERROR(HLOOKUP(U303,List!$D$2:$H$6,2,FALSE),"")</f>
        <v/>
      </c>
      <c r="Z303" s="29" t="str">
        <f>IFERROR(HLOOKUP(V303,List!$D$2:$H$6,3,FALSE),"")</f>
        <v/>
      </c>
      <c r="AA303" s="29" t="str">
        <f>IFERROR(HLOOKUP(W303,List!$D$2:$H$6,4,FALSE),"")</f>
        <v/>
      </c>
      <c r="AB303" s="29" t="str">
        <f>IFERROR(HLOOKUP(X303,List!$D$2:$H$6,5,FALSE),"")</f>
        <v/>
      </c>
      <c r="AC303" s="12" t="str">
        <f t="shared" si="51"/>
        <v/>
      </c>
      <c r="AD303" s="12" t="str">
        <f t="shared" si="52"/>
        <v/>
      </c>
      <c r="AE303" s="12" t="str">
        <f t="shared" si="53"/>
        <v/>
      </c>
      <c r="AF303" s="12" t="str">
        <f t="shared" si="54"/>
        <v/>
      </c>
      <c r="AG303" t="str">
        <f>VLOOKUP(J303,'Receivable Invoice Detail'!$A$1:F3315,6,FALSE)</f>
        <v>[AC-52-108-475-012] Deflector (Inboard), Allis-Chalmers PWO, Group 2</v>
      </c>
      <c r="AM303" s="12" t="str">
        <f t="shared" si="55"/>
        <v/>
      </c>
      <c r="AN303" s="12" t="str">
        <f t="shared" si="56"/>
        <v/>
      </c>
      <c r="AO303" s="12" t="str">
        <f t="shared" si="57"/>
        <v/>
      </c>
      <c r="AP303" s="12" t="str">
        <f t="shared" si="58"/>
        <v/>
      </c>
      <c r="AQ303" s="12"/>
      <c r="AS303" s="12">
        <f t="shared" si="59"/>
        <v>3.1433462335277742</v>
      </c>
      <c r="AT303" s="16" t="str">
        <f t="shared" si="61"/>
        <v>Yes</v>
      </c>
    </row>
    <row r="304" spans="1:46" hidden="1" x14ac:dyDescent="0.25">
      <c r="A304" s="41">
        <f>CASOPOInvCL!T304</f>
        <v>1</v>
      </c>
      <c r="B304" t="str">
        <f>CASOPOInvCL!Z304</f>
        <v>SO16756</v>
      </c>
      <c r="G304" s="5" t="str">
        <f>CASOPOInvCL!I304</f>
        <v>Ian Trottier</v>
      </c>
      <c r="H304" s="31">
        <f>CASOPOInvCL!U304</f>
        <v>3</v>
      </c>
      <c r="I304" s="31">
        <f>CASOPOInvCL!V304</f>
        <v>2025</v>
      </c>
      <c r="J304" s="5" t="str">
        <f>CASOPOInvCL!AB304</f>
        <v>INV12796</v>
      </c>
      <c r="K304" s="31">
        <f>CASOPOInvCL!W304</f>
        <v>4</v>
      </c>
      <c r="L304" s="31">
        <f>CASOPOInvCL!X304</f>
        <v>2025</v>
      </c>
      <c r="M304" s="31"/>
      <c r="N304" s="5" t="str">
        <f>CASOPOInvCL!AF304</f>
        <v>Sling-Choker Manufacturing - Timmins</v>
      </c>
      <c r="O304" s="16" t="str">
        <f>CASOPOInvCL!AG304</f>
        <v>CAD</v>
      </c>
      <c r="P304" s="16">
        <f>CASOPOInvCL!AH304</f>
        <v>2816.85</v>
      </c>
      <c r="Q304" s="16">
        <f>CASOPOInvCL!AI304</f>
        <v>1956.3675678131274</v>
      </c>
      <c r="R304" s="32" t="str">
        <f>CASOPOInvCL!AU304</f>
        <v>Yes</v>
      </c>
      <c r="S304" s="16">
        <f>CASOPOInvCL!AV304</f>
        <v>0</v>
      </c>
      <c r="T304" s="16">
        <f>CASOPOInvCL!AW304</f>
        <v>1956.3675678131274</v>
      </c>
      <c r="Y304" s="29" t="str">
        <f>IFERROR(HLOOKUP(U304,List!$D$2:$H$6,2,FALSE),"")</f>
        <v/>
      </c>
      <c r="Z304" s="29" t="str">
        <f>IFERROR(HLOOKUP(V304,List!$D$2:$H$6,3,FALSE),"")</f>
        <v/>
      </c>
      <c r="AA304" s="29" t="str">
        <f>IFERROR(HLOOKUP(W304,List!$D$2:$H$6,4,FALSE),"")</f>
        <v/>
      </c>
      <c r="AB304" s="29" t="str">
        <f>IFERROR(HLOOKUP(X304,List!$D$2:$H$6,5,FALSE),"")</f>
        <v/>
      </c>
      <c r="AC304" s="12" t="str">
        <f t="shared" si="51"/>
        <v/>
      </c>
      <c r="AD304" s="12" t="str">
        <f t="shared" si="52"/>
        <v/>
      </c>
      <c r="AE304" s="12" t="str">
        <f t="shared" si="53"/>
        <v/>
      </c>
      <c r="AF304" s="12" t="str">
        <f t="shared" si="54"/>
        <v/>
      </c>
      <c r="AG304" t="str">
        <f>VLOOKUP(J304,'Receivable Invoice Detail'!$A$1:F3316,6,FALSE)</f>
        <v>[G-B02191A02 3211] Throttle Bushing, 3180-M, 316SS</v>
      </c>
      <c r="AM304" s="12" t="str">
        <f t="shared" si="55"/>
        <v/>
      </c>
      <c r="AN304" s="12" t="str">
        <f t="shared" si="56"/>
        <v/>
      </c>
      <c r="AO304" s="12" t="str">
        <f t="shared" si="57"/>
        <v/>
      </c>
      <c r="AP304" s="12" t="str">
        <f t="shared" si="58"/>
        <v/>
      </c>
      <c r="AQ304" s="12"/>
      <c r="AS304" s="12">
        <f t="shared" si="59"/>
        <v>29.34551351719691</v>
      </c>
      <c r="AT304" s="16" t="str">
        <f t="shared" si="61"/>
        <v>Yes</v>
      </c>
    </row>
    <row r="305" spans="1:46" hidden="1" x14ac:dyDescent="0.25">
      <c r="A305" s="41">
        <f>CASOPOInvCL!T305</f>
        <v>1</v>
      </c>
      <c r="B305" t="str">
        <f>CASOPOInvCL!Z305</f>
        <v>SO16757</v>
      </c>
      <c r="G305" s="5" t="str">
        <f>CASOPOInvCL!I305</f>
        <v>Ian Trottier</v>
      </c>
      <c r="H305" s="31">
        <f>CASOPOInvCL!U305</f>
        <v>3</v>
      </c>
      <c r="I305" s="31">
        <f>CASOPOInvCL!V305</f>
        <v>2025</v>
      </c>
      <c r="J305" s="5" t="str">
        <f>CASOPOInvCL!AB305</f>
        <v>INV12740</v>
      </c>
      <c r="K305" s="31">
        <f>CASOPOInvCL!W305</f>
        <v>4</v>
      </c>
      <c r="L305" s="31">
        <f>CASOPOInvCL!X305</f>
        <v>2025</v>
      </c>
      <c r="M305" s="31"/>
      <c r="N305" s="5" t="str">
        <f>CASOPOInvCL!AF305</f>
        <v>Glencore Canada Corporation - Rouyn-Noranda</v>
      </c>
      <c r="O305" s="16" t="str">
        <f>CASOPOInvCL!AG305</f>
        <v>CAD</v>
      </c>
      <c r="P305" s="16">
        <f>CASOPOInvCL!AH305</f>
        <v>1752.46</v>
      </c>
      <c r="Q305" s="16">
        <f>CASOPOInvCL!AI305</f>
        <v>1216.9911056044725</v>
      </c>
      <c r="R305" s="32" t="str">
        <f>CASOPOInvCL!AU305</f>
        <v>Yes</v>
      </c>
      <c r="S305" s="16">
        <f>CASOPOInvCL!AV305</f>
        <v>0</v>
      </c>
      <c r="T305" s="16">
        <f>CASOPOInvCL!AW305</f>
        <v>1216.9911056044725</v>
      </c>
      <c r="Y305" s="29" t="str">
        <f>IFERROR(HLOOKUP(U305,List!$D$2:$H$6,2,FALSE),"")</f>
        <v/>
      </c>
      <c r="Z305" s="29" t="str">
        <f>IFERROR(HLOOKUP(V305,List!$D$2:$H$6,3,FALSE),"")</f>
        <v/>
      </c>
      <c r="AA305" s="29" t="str">
        <f>IFERROR(HLOOKUP(W305,List!$D$2:$H$6,4,FALSE),"")</f>
        <v/>
      </c>
      <c r="AB305" s="29" t="str">
        <f>IFERROR(HLOOKUP(X305,List!$D$2:$H$6,5,FALSE),"")</f>
        <v/>
      </c>
      <c r="AC305" s="12" t="str">
        <f t="shared" si="51"/>
        <v/>
      </c>
      <c r="AD305" s="12" t="str">
        <f t="shared" si="52"/>
        <v/>
      </c>
      <c r="AE305" s="12" t="str">
        <f t="shared" si="53"/>
        <v/>
      </c>
      <c r="AF305" s="12" t="str">
        <f t="shared" si="54"/>
        <v/>
      </c>
      <c r="AG305" t="str">
        <f>VLOOKUP(J305,'Receivable Invoice Detail'!$A$1:F3317,6,FALSE)</f>
        <v>[AC-98-331-958-831] Shaft Sleeve, 5x4/5x5/6X6 SRL-C &amp; SRL, 420SS Heat Treated, Hardened</v>
      </c>
      <c r="AM305" s="12" t="str">
        <f t="shared" si="55"/>
        <v/>
      </c>
      <c r="AN305" s="12" t="str">
        <f t="shared" si="56"/>
        <v/>
      </c>
      <c r="AO305" s="12" t="str">
        <f t="shared" si="57"/>
        <v/>
      </c>
      <c r="AP305" s="12" t="str">
        <f t="shared" si="58"/>
        <v/>
      </c>
      <c r="AQ305" s="12"/>
      <c r="AS305" s="12">
        <f t="shared" si="59"/>
        <v>18.254866584067088</v>
      </c>
      <c r="AT305" s="16" t="str">
        <f t="shared" si="61"/>
        <v>Yes</v>
      </c>
    </row>
    <row r="306" spans="1:46" hidden="1" x14ac:dyDescent="0.25">
      <c r="A306" s="41">
        <f>CASOPOInvCL!T306</f>
        <v>1</v>
      </c>
      <c r="B306" t="str">
        <f>CASOPOInvCL!Z306</f>
        <v>SO16760</v>
      </c>
      <c r="G306" s="5" t="str">
        <f>CASOPOInvCL!I306</f>
        <v>Ian Trottier</v>
      </c>
      <c r="H306" s="31">
        <f>CASOPOInvCL!U306</f>
        <v>3</v>
      </c>
      <c r="I306" s="31">
        <f>CASOPOInvCL!V306</f>
        <v>2025</v>
      </c>
      <c r="J306" s="5" t="str">
        <f>CASOPOInvCL!AB306</f>
        <v>INV12728</v>
      </c>
      <c r="K306" s="31">
        <f>CASOPOInvCL!W306</f>
        <v>4</v>
      </c>
      <c r="L306" s="31">
        <f>CASOPOInvCL!X306</f>
        <v>2025</v>
      </c>
      <c r="M306" s="31"/>
      <c r="N306" s="5" t="str">
        <f>CASOPOInvCL!AF306</f>
        <v>Wajax Limited - Noranda</v>
      </c>
      <c r="O306" s="16" t="str">
        <f>CASOPOInvCL!AG306</f>
        <v>CAD</v>
      </c>
      <c r="P306" s="16">
        <f>CASOPOInvCL!AH306</f>
        <v>321.89999999999998</v>
      </c>
      <c r="Q306" s="16">
        <f>CASOPOInvCL!AI306</f>
        <v>223.54258407842667</v>
      </c>
      <c r="R306" s="32" t="str">
        <f>CASOPOInvCL!AU306</f>
        <v>Yes</v>
      </c>
      <c r="S306" s="16">
        <f>CASOPOInvCL!AV306</f>
        <v>0</v>
      </c>
      <c r="T306" s="16">
        <f>CASOPOInvCL!AW306</f>
        <v>223.54258407842667</v>
      </c>
      <c r="Y306" s="29" t="str">
        <f>IFERROR(HLOOKUP(U306,List!$D$2:$H$6,2,FALSE),"")</f>
        <v/>
      </c>
      <c r="Z306" s="29" t="str">
        <f>IFERROR(HLOOKUP(V306,List!$D$2:$H$6,3,FALSE),"")</f>
        <v/>
      </c>
      <c r="AA306" s="29" t="str">
        <f>IFERROR(HLOOKUP(W306,List!$D$2:$H$6,4,FALSE),"")</f>
        <v/>
      </c>
      <c r="AB306" s="29" t="str">
        <f>IFERROR(HLOOKUP(X306,List!$D$2:$H$6,5,FALSE),"")</f>
        <v/>
      </c>
      <c r="AC306" s="12" t="str">
        <f t="shared" si="51"/>
        <v/>
      </c>
      <c r="AD306" s="12" t="str">
        <f t="shared" si="52"/>
        <v/>
      </c>
      <c r="AE306" s="12" t="str">
        <f t="shared" si="53"/>
        <v/>
      </c>
      <c r="AF306" s="12" t="str">
        <f t="shared" si="54"/>
        <v/>
      </c>
      <c r="AG306" t="str">
        <f>VLOOKUP(J306,'Receivable Invoice Detail'!$A$1:F3318,6,FALSE)</f>
        <v>[G-76772X 2229] Shaft Sleeve, 3196 STX, 316SS</v>
      </c>
      <c r="AM306" s="12" t="str">
        <f t="shared" si="55"/>
        <v/>
      </c>
      <c r="AN306" s="12" t="str">
        <f t="shared" si="56"/>
        <v/>
      </c>
      <c r="AO306" s="12" t="str">
        <f t="shared" si="57"/>
        <v/>
      </c>
      <c r="AP306" s="12" t="str">
        <f t="shared" si="58"/>
        <v/>
      </c>
      <c r="AQ306" s="12"/>
      <c r="AS306" s="12">
        <f t="shared" si="59"/>
        <v>3.3531387611764001</v>
      </c>
      <c r="AT306" s="16" t="str">
        <f t="shared" si="61"/>
        <v>Yes</v>
      </c>
    </row>
    <row r="307" spans="1:46" hidden="1" x14ac:dyDescent="0.25">
      <c r="A307" s="41">
        <f>CASOPOInvCL!T307</f>
        <v>1</v>
      </c>
      <c r="B307" t="str">
        <f>CASOPOInvCL!Z307</f>
        <v>SO16761</v>
      </c>
      <c r="G307" s="5" t="str">
        <f>CASOPOInvCL!I307</f>
        <v>Yannett Yeomans</v>
      </c>
      <c r="H307" s="31">
        <f>CASOPOInvCL!U307</f>
        <v>3</v>
      </c>
      <c r="I307" s="31">
        <f>CASOPOInvCL!V307</f>
        <v>2025</v>
      </c>
      <c r="J307" s="5" t="str">
        <f>CASOPOInvCL!AB307</f>
        <v>INV13019</v>
      </c>
      <c r="K307" s="31" t="str">
        <f>CASOPOInvCL!W307</f>
        <v/>
      </c>
      <c r="L307" s="31" t="str">
        <f>CASOPOInvCL!X307</f>
        <v/>
      </c>
      <c r="M307" s="31"/>
      <c r="N307" s="5" t="str">
        <f>CASOPOInvCL!AF307</f>
        <v>Dynapro Pumps México S de RL de CV</v>
      </c>
      <c r="O307" s="16" t="str">
        <f>CASOPOInvCL!AG307</f>
        <v>USD</v>
      </c>
      <c r="P307" s="16">
        <f>CASOPOInvCL!AH307</f>
        <v>520.78184550969513</v>
      </c>
      <c r="Q307" s="16">
        <f>CASOPOInvCL!AI307</f>
        <v>360</v>
      </c>
      <c r="R307" s="32" t="str">
        <f>CASOPOInvCL!AU307</f>
        <v/>
      </c>
      <c r="S307" s="16">
        <f>CASOPOInvCL!AV307</f>
        <v>0</v>
      </c>
      <c r="T307" s="16">
        <f>CASOPOInvCL!AW307</f>
        <v>0</v>
      </c>
      <c r="Y307" s="29" t="str">
        <f>IFERROR(HLOOKUP(U307,List!$D$2:$H$6,2,FALSE),"")</f>
        <v/>
      </c>
      <c r="Z307" s="29" t="str">
        <f>IFERROR(HLOOKUP(V307,List!$D$2:$H$6,3,FALSE),"")</f>
        <v/>
      </c>
      <c r="AA307" s="29" t="str">
        <f>IFERROR(HLOOKUP(W307,List!$D$2:$H$6,4,FALSE),"")</f>
        <v/>
      </c>
      <c r="AB307" s="29" t="str">
        <f>IFERROR(HLOOKUP(X307,List!$D$2:$H$6,5,FALSE),"")</f>
        <v/>
      </c>
      <c r="AC307" s="12" t="str">
        <f t="shared" si="51"/>
        <v/>
      </c>
      <c r="AD307" s="12" t="str">
        <f t="shared" si="52"/>
        <v/>
      </c>
      <c r="AE307" s="12" t="str">
        <f t="shared" si="53"/>
        <v/>
      </c>
      <c r="AF307" s="12" t="str">
        <f t="shared" si="54"/>
        <v/>
      </c>
      <c r="AG307" t="str">
        <f>VLOOKUP(J307,'Receivable Invoice Detail'!$A$1:F3319,6,FALSE)</f>
        <v>[468440/6505] Intermediate Bowl Bushing (Bearing), Vertical Turbine Pump, 18DMC 2-Stages, NBR</v>
      </c>
      <c r="AM307" s="12" t="str">
        <f t="shared" si="55"/>
        <v/>
      </c>
      <c r="AN307" s="12" t="str">
        <f t="shared" si="56"/>
        <v/>
      </c>
      <c r="AO307" s="12" t="str">
        <f t="shared" si="57"/>
        <v/>
      </c>
      <c r="AP307" s="12" t="str">
        <f t="shared" si="58"/>
        <v/>
      </c>
      <c r="AQ307" s="12"/>
      <c r="AR307" s="16" t="s">
        <v>5940</v>
      </c>
      <c r="AS307" s="12">
        <f t="shared" si="59"/>
        <v>0</v>
      </c>
      <c r="AT307" s="16" t="s">
        <v>5940</v>
      </c>
    </row>
    <row r="308" spans="1:46" hidden="1" x14ac:dyDescent="0.25">
      <c r="A308" s="41">
        <f>CASOPOInvCL!T308</f>
        <v>1</v>
      </c>
      <c r="B308" t="str">
        <f>CASOPOInvCL!Z308</f>
        <v>SO16762</v>
      </c>
      <c r="G308" s="5" t="str">
        <f>CASOPOInvCL!I308</f>
        <v>Ian Trottier</v>
      </c>
      <c r="H308" s="31">
        <f>CASOPOInvCL!U308</f>
        <v>3</v>
      </c>
      <c r="I308" s="31">
        <f>CASOPOInvCL!V308</f>
        <v>2025</v>
      </c>
      <c r="J308" s="5" t="str">
        <f>CASOPOInvCL!AB308</f>
        <v>INV12751</v>
      </c>
      <c r="K308" s="31">
        <f>CASOPOInvCL!W308</f>
        <v>4</v>
      </c>
      <c r="L308" s="31">
        <f>CASOPOInvCL!X308</f>
        <v>2025</v>
      </c>
      <c r="M308" s="31"/>
      <c r="N308" s="5" t="str">
        <f>CASOPOInvCL!AF308</f>
        <v>Wajax Limited - Lachine</v>
      </c>
      <c r="O308" s="16" t="str">
        <f>CASOPOInvCL!AG308</f>
        <v>CAD</v>
      </c>
      <c r="P308" s="16">
        <f>CASOPOInvCL!AH308</f>
        <v>798.97</v>
      </c>
      <c r="Q308" s="16">
        <f>CASOPOInvCL!AI308</f>
        <v>558.26256315226135</v>
      </c>
      <c r="R308" s="32" t="str">
        <f>CASOPOInvCL!AU308</f>
        <v>Yes</v>
      </c>
      <c r="S308" s="16">
        <f>CASOPOInvCL!AV308</f>
        <v>0</v>
      </c>
      <c r="T308" s="16">
        <f>CASOPOInvCL!AW308</f>
        <v>558.26256315226135</v>
      </c>
      <c r="Y308" s="29" t="str">
        <f>IFERROR(HLOOKUP(U308,List!$D$2:$H$6,2,FALSE),"")</f>
        <v/>
      </c>
      <c r="Z308" s="29" t="str">
        <f>IFERROR(HLOOKUP(V308,List!$D$2:$H$6,3,FALSE),"")</f>
        <v/>
      </c>
      <c r="AA308" s="29" t="str">
        <f>IFERROR(HLOOKUP(W308,List!$D$2:$H$6,4,FALSE),"")</f>
        <v/>
      </c>
      <c r="AB308" s="29" t="str">
        <f>IFERROR(HLOOKUP(X308,List!$D$2:$H$6,5,FALSE),"")</f>
        <v/>
      </c>
      <c r="AC308" s="12" t="str">
        <f t="shared" si="51"/>
        <v/>
      </c>
      <c r="AD308" s="12" t="str">
        <f t="shared" si="52"/>
        <v/>
      </c>
      <c r="AE308" s="12" t="str">
        <f t="shared" si="53"/>
        <v/>
      </c>
      <c r="AF308" s="12" t="str">
        <f t="shared" si="54"/>
        <v/>
      </c>
      <c r="AG308" t="str">
        <f>VLOOKUP(J308,'Receivable Invoice Detail'!$A$1:F3320,6,FALSE)</f>
        <v>[W-S239M/C21] Release Collar Assembly, 10/8 to 14/12 ST-AH, 420SS, Metric</v>
      </c>
      <c r="AM308" s="12" t="str">
        <f t="shared" si="55"/>
        <v/>
      </c>
      <c r="AN308" s="12" t="str">
        <f t="shared" si="56"/>
        <v/>
      </c>
      <c r="AO308" s="12" t="str">
        <f t="shared" si="57"/>
        <v/>
      </c>
      <c r="AP308" s="12" t="str">
        <f t="shared" si="58"/>
        <v/>
      </c>
      <c r="AQ308" s="12"/>
      <c r="AS308" s="12">
        <f t="shared" si="59"/>
        <v>8.3739384472839191</v>
      </c>
      <c r="AT308" s="16" t="str">
        <f t="shared" si="61"/>
        <v>Yes</v>
      </c>
    </row>
    <row r="309" spans="1:46" hidden="1" x14ac:dyDescent="0.25">
      <c r="A309" s="41">
        <f>CASOPOInvCL!T309</f>
        <v>1</v>
      </c>
      <c r="B309" t="str">
        <f>CASOPOInvCL!Z309</f>
        <v>SO16764</v>
      </c>
      <c r="G309" s="5" t="str">
        <f>CASOPOInvCL!I309</f>
        <v>Ian Trottier</v>
      </c>
      <c r="H309" s="31">
        <f>CASOPOInvCL!U309</f>
        <v>3</v>
      </c>
      <c r="I309" s="31">
        <f>CASOPOInvCL!V309</f>
        <v>2025</v>
      </c>
      <c r="J309" s="5" t="str">
        <f>CASOPOInvCL!AB309</f>
        <v>INV12735</v>
      </c>
      <c r="K309" s="31">
        <f>CASOPOInvCL!W309</f>
        <v>4</v>
      </c>
      <c r="L309" s="31">
        <f>CASOPOInvCL!X309</f>
        <v>2025</v>
      </c>
      <c r="M309" s="31"/>
      <c r="N309" s="5" t="str">
        <f>CASOPOInvCL!AF309</f>
        <v>Wajax Limited - Noranda</v>
      </c>
      <c r="O309" s="16" t="str">
        <f>CASOPOInvCL!AG309</f>
        <v>CAD</v>
      </c>
      <c r="P309" s="16">
        <f>CASOPOInvCL!AH309</f>
        <v>296.2</v>
      </c>
      <c r="Q309" s="16">
        <f>CASOPOInvCL!AI309</f>
        <v>205.96865341701468</v>
      </c>
      <c r="R309" s="32" t="str">
        <f>CASOPOInvCL!AU309</f>
        <v>Yes</v>
      </c>
      <c r="S309" s="16">
        <f>CASOPOInvCL!AV309</f>
        <v>0</v>
      </c>
      <c r="T309" s="16">
        <f>CASOPOInvCL!AW309</f>
        <v>205.96865341701468</v>
      </c>
      <c r="Y309" s="29" t="str">
        <f>IFERROR(HLOOKUP(U309,List!$D$2:$H$6,2,FALSE),"")</f>
        <v/>
      </c>
      <c r="Z309" s="29" t="str">
        <f>IFERROR(HLOOKUP(V309,List!$D$2:$H$6,3,FALSE),"")</f>
        <v/>
      </c>
      <c r="AA309" s="29" t="str">
        <f>IFERROR(HLOOKUP(W309,List!$D$2:$H$6,4,FALSE),"")</f>
        <v/>
      </c>
      <c r="AB309" s="29" t="str">
        <f>IFERROR(HLOOKUP(X309,List!$D$2:$H$6,5,FALSE),"")</f>
        <v/>
      </c>
      <c r="AC309" s="12" t="str">
        <f t="shared" si="51"/>
        <v/>
      </c>
      <c r="AD309" s="12" t="str">
        <f t="shared" si="52"/>
        <v/>
      </c>
      <c r="AE309" s="12" t="str">
        <f t="shared" si="53"/>
        <v/>
      </c>
      <c r="AF309" s="12" t="str">
        <f t="shared" si="54"/>
        <v/>
      </c>
      <c r="AG309" t="str">
        <f>VLOOKUP(J309,'Receivable Invoice Detail'!$A$1:F3321,6,FALSE)</f>
        <v>[W-B075/C21] Shaft Sleeve, 1.5/1 or 2/1.5 B-AH, 420SS Heat Treated, Hardened</v>
      </c>
      <c r="AM309" s="12" t="str">
        <f t="shared" si="55"/>
        <v/>
      </c>
      <c r="AN309" s="12" t="str">
        <f t="shared" si="56"/>
        <v/>
      </c>
      <c r="AO309" s="12" t="str">
        <f t="shared" si="57"/>
        <v/>
      </c>
      <c r="AP309" s="12" t="str">
        <f t="shared" si="58"/>
        <v/>
      </c>
      <c r="AQ309" s="12"/>
      <c r="AS309" s="12">
        <f t="shared" si="59"/>
        <v>3.0895298012552201</v>
      </c>
      <c r="AT309" s="16" t="str">
        <f t="shared" si="61"/>
        <v>Yes</v>
      </c>
    </row>
    <row r="310" spans="1:46" hidden="1" x14ac:dyDescent="0.25">
      <c r="A310" s="41">
        <f>CASOPOInvCL!T310</f>
        <v>1</v>
      </c>
      <c r="B310" t="str">
        <f>CASOPOInvCL!Z310</f>
        <v>SO16765</v>
      </c>
      <c r="G310" s="5" t="str">
        <f>CASOPOInvCL!I310</f>
        <v>Ian Trottier</v>
      </c>
      <c r="H310" s="31">
        <f>CASOPOInvCL!U310</f>
        <v>3</v>
      </c>
      <c r="I310" s="31">
        <f>CASOPOInvCL!V310</f>
        <v>2025</v>
      </c>
      <c r="J310" s="5" t="str">
        <f>CASOPOInvCL!AB310</f>
        <v>INV12738</v>
      </c>
      <c r="K310" s="31">
        <f>CASOPOInvCL!W310</f>
        <v>4</v>
      </c>
      <c r="L310" s="31">
        <f>CASOPOInvCL!X310</f>
        <v>2025</v>
      </c>
      <c r="M310" s="31"/>
      <c r="N310" s="5" t="str">
        <f>CASOPOInvCL!AF310</f>
        <v>Glencore Canada Corporation - Rouyn-Noranda</v>
      </c>
      <c r="O310" s="16" t="str">
        <f>CASOPOInvCL!AG310</f>
        <v>CAD</v>
      </c>
      <c r="P310" s="16">
        <f>CASOPOInvCL!AH310</f>
        <v>4082.22</v>
      </c>
      <c r="Q310" s="16">
        <f>CASOPOInvCL!AI310</f>
        <v>2835.196340833947</v>
      </c>
      <c r="R310" s="32" t="str">
        <f>CASOPOInvCL!AU310</f>
        <v>Yes</v>
      </c>
      <c r="S310" s="16">
        <f>CASOPOInvCL!AV310</f>
        <v>0</v>
      </c>
      <c r="T310" s="16">
        <f>CASOPOInvCL!AW310</f>
        <v>2835.196340833947</v>
      </c>
      <c r="Y310" s="29" t="str">
        <f>IFERROR(HLOOKUP(U310,List!$D$2:$H$6,2,FALSE),"")</f>
        <v/>
      </c>
      <c r="Z310" s="29" t="str">
        <f>IFERROR(HLOOKUP(V310,List!$D$2:$H$6,3,FALSE),"")</f>
        <v/>
      </c>
      <c r="AA310" s="29" t="str">
        <f>IFERROR(HLOOKUP(W310,List!$D$2:$H$6,4,FALSE),"")</f>
        <v/>
      </c>
      <c r="AB310" s="29" t="str">
        <f>IFERROR(HLOOKUP(X310,List!$D$2:$H$6,5,FALSE),"")</f>
        <v/>
      </c>
      <c r="AC310" s="12" t="str">
        <f t="shared" si="51"/>
        <v/>
      </c>
      <c r="AD310" s="12" t="str">
        <f t="shared" si="52"/>
        <v/>
      </c>
      <c r="AE310" s="12" t="str">
        <f t="shared" si="53"/>
        <v/>
      </c>
      <c r="AF310" s="12" t="str">
        <f t="shared" si="54"/>
        <v/>
      </c>
      <c r="AG310" t="str">
        <f>VLOOKUP(J310,'Receivable Invoice Detail'!$A$1:F3322,6,FALSE)</f>
        <v>[AC-98-331-958-831] Shaft Sleeve, 5x4/5x5/6X6 SRL-C &amp; SRL, 420SS Heat Treated, Hardened</v>
      </c>
      <c r="AM310" s="12" t="str">
        <f t="shared" si="55"/>
        <v/>
      </c>
      <c r="AN310" s="12" t="str">
        <f t="shared" si="56"/>
        <v/>
      </c>
      <c r="AO310" s="12" t="str">
        <f t="shared" si="57"/>
        <v/>
      </c>
      <c r="AP310" s="12" t="str">
        <f t="shared" si="58"/>
        <v/>
      </c>
      <c r="AQ310" s="12"/>
      <c r="AS310" s="12">
        <f t="shared" si="59"/>
        <v>42.527945112509201</v>
      </c>
      <c r="AT310" s="16" t="str">
        <f t="shared" si="61"/>
        <v>Yes</v>
      </c>
    </row>
    <row r="311" spans="1:46" hidden="1" x14ac:dyDescent="0.25">
      <c r="A311" s="41">
        <f>CASOPOInvCL!T311</f>
        <v>1</v>
      </c>
      <c r="B311" t="str">
        <f>CASOPOInvCL!Z311</f>
        <v>SO16766</v>
      </c>
      <c r="G311" s="5" t="str">
        <f>CASOPOInvCL!I311</f>
        <v>Ian Trottier</v>
      </c>
      <c r="H311" s="31">
        <f>CASOPOInvCL!U311</f>
        <v>3</v>
      </c>
      <c r="I311" s="31">
        <f>CASOPOInvCL!V311</f>
        <v>2025</v>
      </c>
      <c r="J311" s="5" t="str">
        <f>CASOPOInvCL!AB311</f>
        <v>INV12883</v>
      </c>
      <c r="K311" s="31">
        <f>CASOPOInvCL!W311</f>
        <v>6</v>
      </c>
      <c r="L311" s="31">
        <f>CASOPOInvCL!X311</f>
        <v>2025</v>
      </c>
      <c r="M311" s="31"/>
      <c r="N311" s="5" t="str">
        <f>CASOPOInvCL!AF311</f>
        <v>Resolute Forest Products - Alma</v>
      </c>
      <c r="O311" s="16" t="str">
        <f>CASOPOInvCL!AG311</f>
        <v>CAD</v>
      </c>
      <c r="P311" s="16">
        <f>CASOPOInvCL!AH311</f>
        <v>743.88</v>
      </c>
      <c r="Q311" s="16">
        <f>CASOPOInvCL!AI311</f>
        <v>535.40053596873713</v>
      </c>
      <c r="R311" s="32" t="str">
        <f>CASOPOInvCL!AU311</f>
        <v>Yes</v>
      </c>
      <c r="S311" s="16">
        <f>CASOPOInvCL!AV311</f>
        <v>0</v>
      </c>
      <c r="T311" s="16">
        <f>CASOPOInvCL!AW311</f>
        <v>535.40053596873713</v>
      </c>
      <c r="Y311" s="29" t="str">
        <f>IFERROR(HLOOKUP(U311,List!$D$2:$H$6,2,FALSE),"")</f>
        <v/>
      </c>
      <c r="Z311" s="29" t="str">
        <f>IFERROR(HLOOKUP(V311,List!$D$2:$H$6,3,FALSE),"")</f>
        <v/>
      </c>
      <c r="AA311" s="29" t="str">
        <f>IFERROR(HLOOKUP(W311,List!$D$2:$H$6,4,FALSE),"")</f>
        <v/>
      </c>
      <c r="AB311" s="29" t="str">
        <f>IFERROR(HLOOKUP(X311,List!$D$2:$H$6,5,FALSE),"")</f>
        <v/>
      </c>
      <c r="AC311" s="12" t="str">
        <f t="shared" si="51"/>
        <v/>
      </c>
      <c r="AD311" s="12" t="str">
        <f t="shared" si="52"/>
        <v/>
      </c>
      <c r="AE311" s="12" t="str">
        <f t="shared" si="53"/>
        <v/>
      </c>
      <c r="AF311" s="12" t="str">
        <f t="shared" si="54"/>
        <v/>
      </c>
      <c r="AG311" t="str">
        <f>VLOOKUP(J311,'Receivable Invoice Detail'!$A$1:F3323,6,FALSE)</f>
        <v>[G-73705X 2229] Shaft Sleeve, 3196 MTX, 316SS</v>
      </c>
      <c r="AM311" s="12" t="str">
        <f t="shared" si="55"/>
        <v/>
      </c>
      <c r="AN311" s="12" t="str">
        <f t="shared" si="56"/>
        <v/>
      </c>
      <c r="AO311" s="12" t="str">
        <f t="shared" si="57"/>
        <v/>
      </c>
      <c r="AP311" s="12" t="str">
        <f t="shared" si="58"/>
        <v/>
      </c>
      <c r="AQ311" s="12"/>
      <c r="AS311" s="12">
        <f t="shared" si="59"/>
        <v>8.0310080395310575</v>
      </c>
      <c r="AT311" s="16" t="str">
        <f t="shared" si="61"/>
        <v>Yes</v>
      </c>
    </row>
    <row r="312" spans="1:46" hidden="1" x14ac:dyDescent="0.25">
      <c r="A312" s="41">
        <f>CASOPOInvCL!T312</f>
        <v>1</v>
      </c>
      <c r="B312" t="str">
        <f>CASOPOInvCL!Z312</f>
        <v>SO16769</v>
      </c>
      <c r="G312" s="5" t="str">
        <f>CASOPOInvCL!I312</f>
        <v>Ian Trottier</v>
      </c>
      <c r="H312" s="31">
        <f>CASOPOInvCL!U312</f>
        <v>3</v>
      </c>
      <c r="I312" s="31">
        <f>CASOPOInvCL!V312</f>
        <v>2025</v>
      </c>
      <c r="J312" s="5" t="str">
        <f>CASOPOInvCL!AB312</f>
        <v>INV12975</v>
      </c>
      <c r="K312" s="31">
        <f>CASOPOInvCL!W312</f>
        <v>5</v>
      </c>
      <c r="L312" s="31">
        <f>CASOPOInvCL!X312</f>
        <v>2025</v>
      </c>
      <c r="M312" s="31"/>
      <c r="N312" s="5" t="str">
        <f>CASOPOInvCL!AF312</f>
        <v>Resolute Forest Products - Clermont</v>
      </c>
      <c r="O312" s="16" t="str">
        <f>CASOPOInvCL!AG312</f>
        <v>CAD</v>
      </c>
      <c r="P312" s="16">
        <f>CASOPOInvCL!AH312</f>
        <v>1037.54</v>
      </c>
      <c r="Q312" s="16">
        <f>CASOPOInvCL!AI312</f>
        <v>720.76520106593875</v>
      </c>
      <c r="R312" s="32" t="str">
        <f>CASOPOInvCL!AU312</f>
        <v>Yes</v>
      </c>
      <c r="S312" s="16">
        <f>CASOPOInvCL!AV312</f>
        <v>0</v>
      </c>
      <c r="T312" s="16">
        <f>CASOPOInvCL!AW312</f>
        <v>720.76520106593875</v>
      </c>
      <c r="Y312" s="29" t="str">
        <f>IFERROR(HLOOKUP(U312,List!$D$2:$H$6,2,FALSE),"")</f>
        <v/>
      </c>
      <c r="Z312" s="29" t="str">
        <f>IFERROR(HLOOKUP(V312,List!$D$2:$H$6,3,FALSE),"")</f>
        <v/>
      </c>
      <c r="AA312" s="29" t="str">
        <f>IFERROR(HLOOKUP(W312,List!$D$2:$H$6,4,FALSE),"")</f>
        <v/>
      </c>
      <c r="AB312" s="29" t="str">
        <f>IFERROR(HLOOKUP(X312,List!$D$2:$H$6,5,FALSE),"")</f>
        <v/>
      </c>
      <c r="AC312" s="12" t="str">
        <f t="shared" si="51"/>
        <v/>
      </c>
      <c r="AD312" s="12" t="str">
        <f t="shared" si="52"/>
        <v/>
      </c>
      <c r="AE312" s="12" t="str">
        <f t="shared" si="53"/>
        <v/>
      </c>
      <c r="AF312" s="12" t="str">
        <f t="shared" si="54"/>
        <v/>
      </c>
      <c r="AG312" t="str">
        <f>VLOOKUP(J312,'Receivable Invoice Detail'!$A$1:F3324,6,FALSE)</f>
        <v>[G-75752 1203] Shaft Sleeve, 3175-L, 316SS</v>
      </c>
      <c r="AM312" s="12" t="str">
        <f t="shared" si="55"/>
        <v/>
      </c>
      <c r="AN312" s="12" t="str">
        <f t="shared" si="56"/>
        <v/>
      </c>
      <c r="AO312" s="12" t="str">
        <f t="shared" si="57"/>
        <v/>
      </c>
      <c r="AP312" s="12" t="str">
        <f t="shared" si="58"/>
        <v/>
      </c>
      <c r="AQ312" s="12"/>
      <c r="AS312" s="12">
        <f t="shared" si="59"/>
        <v>10.811478015989081</v>
      </c>
      <c r="AT312" s="16" t="str">
        <f t="shared" si="61"/>
        <v>Yes</v>
      </c>
    </row>
    <row r="313" spans="1:46" hidden="1" x14ac:dyDescent="0.25">
      <c r="A313" s="41">
        <f>CASOPOInvCL!T313</f>
        <v>2</v>
      </c>
      <c r="B313" t="str">
        <f>CASOPOInvCL!Z313</f>
        <v>SO16770</v>
      </c>
      <c r="G313" s="5" t="str">
        <f>CASOPOInvCL!I313</f>
        <v>Ian Trottier</v>
      </c>
      <c r="H313" s="31">
        <f>CASOPOInvCL!U313</f>
        <v>3</v>
      </c>
      <c r="I313" s="31">
        <f>CASOPOInvCL!V313</f>
        <v>2025</v>
      </c>
      <c r="J313" s="5" t="str">
        <f>CASOPOInvCL!AB313</f>
        <v>INV12739</v>
      </c>
      <c r="K313" s="31">
        <f>CASOPOInvCL!W313</f>
        <v>4</v>
      </c>
      <c r="L313" s="31">
        <f>CASOPOInvCL!X313</f>
        <v>2025</v>
      </c>
      <c r="M313" s="31"/>
      <c r="N313" s="5" t="str">
        <f>CASOPOInvCL!AF313</f>
        <v>Glencore Canada Corporation - Rouyn-Noranda</v>
      </c>
      <c r="O313" s="16" t="str">
        <f>CASOPOInvCL!AG313</f>
        <v>CAD</v>
      </c>
      <c r="P313" s="16">
        <f>CASOPOInvCL!AH313</f>
        <v>346.78</v>
      </c>
      <c r="Q313" s="16">
        <f>CASOPOInvCL!AI313</f>
        <v>241.14047816324214</v>
      </c>
      <c r="R313" s="32" t="str">
        <f>CASOPOInvCL!AU313</f>
        <v>Yes</v>
      </c>
      <c r="S313" s="16">
        <f>CASOPOInvCL!AV313</f>
        <v>0</v>
      </c>
      <c r="T313" s="16">
        <f>CASOPOInvCL!AW313</f>
        <v>241.14047816324214</v>
      </c>
      <c r="Y313" s="29" t="str">
        <f>IFERROR(HLOOKUP(U313,List!$D$2:$H$6,2,FALSE),"")</f>
        <v/>
      </c>
      <c r="Z313" s="29" t="str">
        <f>IFERROR(HLOOKUP(V313,List!$D$2:$H$6,3,FALSE),"")</f>
        <v/>
      </c>
      <c r="AA313" s="29" t="str">
        <f>IFERROR(HLOOKUP(W313,List!$D$2:$H$6,4,FALSE),"")</f>
        <v/>
      </c>
      <c r="AB313" s="29" t="str">
        <f>IFERROR(HLOOKUP(X313,List!$D$2:$H$6,5,FALSE),"")</f>
        <v/>
      </c>
      <c r="AC313" s="12" t="str">
        <f t="shared" si="51"/>
        <v/>
      </c>
      <c r="AD313" s="12" t="str">
        <f t="shared" si="52"/>
        <v/>
      </c>
      <c r="AE313" s="12" t="str">
        <f t="shared" si="53"/>
        <v/>
      </c>
      <c r="AF313" s="12" t="str">
        <f t="shared" si="54"/>
        <v/>
      </c>
      <c r="AG313" t="str">
        <f>VLOOKUP(J313,'Receivable Invoice Detail'!$A$1:F3325,6,FALSE)</f>
        <v>[AC-98-233-700-002] Bearing Cover Gasket (Inboard &amp; Outboard), 5x4/5x5/6x6 SRL &amp; SRL-C</v>
      </c>
      <c r="AM313" s="12" t="str">
        <f t="shared" si="55"/>
        <v/>
      </c>
      <c r="AN313" s="12" t="str">
        <f t="shared" si="56"/>
        <v/>
      </c>
      <c r="AO313" s="12" t="str">
        <f t="shared" si="57"/>
        <v/>
      </c>
      <c r="AP313" s="12" t="str">
        <f t="shared" si="58"/>
        <v/>
      </c>
      <c r="AQ313" s="12"/>
      <c r="AS313" s="12">
        <f t="shared" si="59"/>
        <v>3.6171071724486321</v>
      </c>
      <c r="AT313" s="16" t="str">
        <f t="shared" si="61"/>
        <v>Yes</v>
      </c>
    </row>
    <row r="314" spans="1:46" hidden="1" x14ac:dyDescent="0.25">
      <c r="A314" s="41">
        <f>CASOPOInvCL!T314</f>
        <v>2</v>
      </c>
      <c r="B314" t="str">
        <f>CASOPOInvCL!Z314</f>
        <v>SO16770</v>
      </c>
      <c r="G314" s="5">
        <f>CASOPOInvCL!I314</f>
        <v>0</v>
      </c>
      <c r="H314" s="31">
        <f>CASOPOInvCL!U314</f>
        <v>3</v>
      </c>
      <c r="I314" s="31">
        <f>CASOPOInvCL!V314</f>
        <v>2025</v>
      </c>
      <c r="J314" s="5" t="str">
        <f>CASOPOInvCL!AB314</f>
        <v>INV12787</v>
      </c>
      <c r="K314" s="31">
        <f>CASOPOInvCL!W314</f>
        <v>5</v>
      </c>
      <c r="L314" s="31">
        <f>CASOPOInvCL!X314</f>
        <v>2025</v>
      </c>
      <c r="M314" s="31"/>
      <c r="N314" s="5" t="str">
        <f>CASOPOInvCL!AF314</f>
        <v>Glencore Canada Corporation - Rouyn-Noranda</v>
      </c>
      <c r="O314" s="16" t="str">
        <f>CASOPOInvCL!AG314</f>
        <v>CAD</v>
      </c>
      <c r="P314" s="16">
        <f>CASOPOInvCL!AH314</f>
        <v>0</v>
      </c>
      <c r="Q314" s="16">
        <f>CASOPOInvCL!AI314</f>
        <v>0</v>
      </c>
      <c r="R314" s="32" t="str">
        <f>CASOPOInvCL!AU314</f>
        <v/>
      </c>
      <c r="S314" s="16">
        <f>CASOPOInvCL!AV314</f>
        <v>0</v>
      </c>
      <c r="T314" s="16">
        <f>CASOPOInvCL!AW314</f>
        <v>0</v>
      </c>
      <c r="Y314" s="29" t="str">
        <f>IFERROR(HLOOKUP(U314,List!$D$2:$H$6,2,FALSE),"")</f>
        <v/>
      </c>
      <c r="Z314" s="29" t="str">
        <f>IFERROR(HLOOKUP(V314,List!$D$2:$H$6,3,FALSE),"")</f>
        <v/>
      </c>
      <c r="AA314" s="29" t="str">
        <f>IFERROR(HLOOKUP(W314,List!$D$2:$H$6,4,FALSE),"")</f>
        <v/>
      </c>
      <c r="AB314" s="29" t="str">
        <f>IFERROR(HLOOKUP(X314,List!$D$2:$H$6,5,FALSE),"")</f>
        <v/>
      </c>
      <c r="AC314" s="12" t="str">
        <f t="shared" si="51"/>
        <v/>
      </c>
      <c r="AD314" s="12" t="str">
        <f t="shared" si="52"/>
        <v/>
      </c>
      <c r="AE314" s="12" t="str">
        <f t="shared" si="53"/>
        <v/>
      </c>
      <c r="AF314" s="12" t="str">
        <f t="shared" si="54"/>
        <v/>
      </c>
      <c r="AG314" t="str">
        <f>VLOOKUP(J314,'Receivable Invoice Detail'!$A$1:F3326,6,FALSE)</f>
        <v>[AC-98-236-245-003] Premium Slurry Packing (5 Piece Set), 5x4/5x5/6x6 SRL &amp; SRL-C, Kevlar Fiber w/Silicon Core</v>
      </c>
      <c r="AM314" s="12" t="str">
        <f t="shared" si="55"/>
        <v/>
      </c>
      <c r="AN314" s="12" t="str">
        <f t="shared" si="56"/>
        <v/>
      </c>
      <c r="AO314" s="12" t="str">
        <f t="shared" si="57"/>
        <v/>
      </c>
      <c r="AP314" s="12" t="str">
        <f t="shared" si="58"/>
        <v/>
      </c>
      <c r="AQ314" s="12"/>
      <c r="AS314" s="12">
        <f t="shared" si="59"/>
        <v>0</v>
      </c>
      <c r="AT314" s="16" t="str">
        <f t="shared" si="61"/>
        <v/>
      </c>
    </row>
    <row r="315" spans="1:46" hidden="1" x14ac:dyDescent="0.25">
      <c r="A315" s="41">
        <f>CASOPOInvCL!T315</f>
        <v>1</v>
      </c>
      <c r="B315" t="str">
        <f>CASOPOInvCL!Z315</f>
        <v>SO16772</v>
      </c>
      <c r="G315" s="5" t="str">
        <f>CASOPOInvCL!I315</f>
        <v>Ian Trottier</v>
      </c>
      <c r="H315" s="31">
        <f>CASOPOInvCL!U315</f>
        <v>3</v>
      </c>
      <c r="I315" s="31">
        <f>CASOPOInvCL!V315</f>
        <v>2025</v>
      </c>
      <c r="J315" s="5" t="str">
        <f>CASOPOInvCL!AB315</f>
        <v>INV12812</v>
      </c>
      <c r="K315" s="31">
        <f>CASOPOInvCL!W315</f>
        <v>6</v>
      </c>
      <c r="L315" s="31">
        <f>CASOPOInvCL!X315</f>
        <v>2025</v>
      </c>
      <c r="M315" s="31"/>
      <c r="N315" s="5" t="str">
        <f>CASOPOInvCL!AF315</f>
        <v>Resolute Forest Products - Saint-Felicien</v>
      </c>
      <c r="O315" s="16" t="str">
        <f>CASOPOInvCL!AG315</f>
        <v>CAD</v>
      </c>
      <c r="P315" s="16">
        <f>CASOPOInvCL!AH315</f>
        <v>2306.88</v>
      </c>
      <c r="Q315" s="16">
        <f>CASOPOInvCL!AI315</f>
        <v>1607.3315191951583</v>
      </c>
      <c r="R315" s="32" t="str">
        <f>CASOPOInvCL!AU315</f>
        <v>Yes</v>
      </c>
      <c r="S315" s="16">
        <f>CASOPOInvCL!AV315</f>
        <v>0</v>
      </c>
      <c r="T315" s="16">
        <f>CASOPOInvCL!AW315</f>
        <v>1607.3315191951583</v>
      </c>
      <c r="Y315" s="29" t="str">
        <f>IFERROR(HLOOKUP(U315,List!$D$2:$H$6,2,FALSE),"")</f>
        <v/>
      </c>
      <c r="Z315" s="29" t="str">
        <f>IFERROR(HLOOKUP(V315,List!$D$2:$H$6,3,FALSE),"")</f>
        <v/>
      </c>
      <c r="AA315" s="29" t="str">
        <f>IFERROR(HLOOKUP(W315,List!$D$2:$H$6,4,FALSE),"")</f>
        <v/>
      </c>
      <c r="AB315" s="29" t="str">
        <f>IFERROR(HLOOKUP(X315,List!$D$2:$H$6,5,FALSE),"")</f>
        <v/>
      </c>
      <c r="AC315" s="12" t="str">
        <f t="shared" si="51"/>
        <v/>
      </c>
      <c r="AD315" s="12" t="str">
        <f t="shared" si="52"/>
        <v/>
      </c>
      <c r="AE315" s="12" t="str">
        <f t="shared" si="53"/>
        <v/>
      </c>
      <c r="AF315" s="12" t="str">
        <f t="shared" si="54"/>
        <v/>
      </c>
      <c r="AG315" t="str">
        <f>VLOOKUP(J315,'Receivable Invoice Detail'!$A$1:F3327,6,FALSE)</f>
        <v>[52-108-475-015] Deflector (Inboard), Allis-Chalmers PWO, Group 3</v>
      </c>
      <c r="AM315" s="12" t="str">
        <f t="shared" si="55"/>
        <v/>
      </c>
      <c r="AN315" s="12" t="str">
        <f t="shared" si="56"/>
        <v/>
      </c>
      <c r="AO315" s="12" t="str">
        <f t="shared" si="57"/>
        <v/>
      </c>
      <c r="AP315" s="12" t="str">
        <f t="shared" si="58"/>
        <v/>
      </c>
      <c r="AQ315" s="12"/>
      <c r="AS315" s="12">
        <f t="shared" si="59"/>
        <v>24.109972787927372</v>
      </c>
      <c r="AT315" s="16" t="str">
        <f t="shared" si="61"/>
        <v>Yes</v>
      </c>
    </row>
    <row r="316" spans="1:46" hidden="1" x14ac:dyDescent="0.25">
      <c r="A316" s="41">
        <f>CASOPOInvCL!T316</f>
        <v>1</v>
      </c>
      <c r="B316" t="str">
        <f>CASOPOInvCL!Z316</f>
        <v>SO16774</v>
      </c>
      <c r="G316" s="5" t="str">
        <f>CASOPOInvCL!I316</f>
        <v>Ian Trottier</v>
      </c>
      <c r="H316" s="31">
        <f>CASOPOInvCL!U316</f>
        <v>3</v>
      </c>
      <c r="I316" s="31">
        <f>CASOPOInvCL!V316</f>
        <v>2025</v>
      </c>
      <c r="J316" s="5" t="str">
        <f>CASOPOInvCL!AB316</f>
        <v>INV12733</v>
      </c>
      <c r="K316" s="31">
        <f>CASOPOInvCL!W316</f>
        <v>5</v>
      </c>
      <c r="L316" s="31">
        <f>CASOPOInvCL!X316</f>
        <v>2025</v>
      </c>
      <c r="M316" s="31"/>
      <c r="N316" s="5" t="str">
        <f>CASOPOInvCL!AF316</f>
        <v>Advanced Engineered Pump Inc.</v>
      </c>
      <c r="O316" s="16" t="str">
        <f>CASOPOInvCL!AG316</f>
        <v>USD</v>
      </c>
      <c r="P316" s="16">
        <f>CASOPOInvCL!AH316</f>
        <v>747.27529430177378</v>
      </c>
      <c r="Q316" s="16">
        <f>CASOPOInvCL!AI316</f>
        <v>519</v>
      </c>
      <c r="R316" s="32" t="str">
        <f>CASOPOInvCL!AU316</f>
        <v>Yes</v>
      </c>
      <c r="S316" s="16">
        <f>CASOPOInvCL!AV316</f>
        <v>0</v>
      </c>
      <c r="T316" s="16">
        <f>CASOPOInvCL!AW316</f>
        <v>519</v>
      </c>
      <c r="Y316" s="29" t="str">
        <f>IFERROR(HLOOKUP(U316,List!$D$2:$H$6,2,FALSE),"")</f>
        <v/>
      </c>
      <c r="Z316" s="29" t="str">
        <f>IFERROR(HLOOKUP(V316,List!$D$2:$H$6,3,FALSE),"")</f>
        <v/>
      </c>
      <c r="AA316" s="29" t="str">
        <f>IFERROR(HLOOKUP(W316,List!$D$2:$H$6,4,FALSE),"")</f>
        <v/>
      </c>
      <c r="AB316" s="29" t="str">
        <f>IFERROR(HLOOKUP(X316,List!$D$2:$H$6,5,FALSE),"")</f>
        <v/>
      </c>
      <c r="AC316" s="12" t="str">
        <f t="shared" si="51"/>
        <v/>
      </c>
      <c r="AD316" s="12" t="str">
        <f t="shared" si="52"/>
        <v/>
      </c>
      <c r="AE316" s="12" t="str">
        <f t="shared" si="53"/>
        <v/>
      </c>
      <c r="AF316" s="12" t="str">
        <f t="shared" si="54"/>
        <v/>
      </c>
      <c r="AG316" t="str">
        <f>VLOOKUP(J316,'Receivable Invoice Detail'!$A$1:F3328,6,FALSE)</f>
        <v>[AC-52-118-634-007] Deflector (Water Slinger), 12x10-25 SRL-C, Neoprene/Steel</v>
      </c>
      <c r="AM316" s="12" t="str">
        <f t="shared" si="55"/>
        <v/>
      </c>
      <c r="AN316" s="12" t="str">
        <f t="shared" si="56"/>
        <v/>
      </c>
      <c r="AO316" s="12" t="str">
        <f t="shared" si="57"/>
        <v/>
      </c>
      <c r="AP316" s="12" t="str">
        <f t="shared" si="58"/>
        <v/>
      </c>
      <c r="AQ316" s="12"/>
      <c r="AS316" s="12">
        <f t="shared" si="59"/>
        <v>7.7850000000000001</v>
      </c>
      <c r="AT316" s="16" t="str">
        <f t="shared" si="61"/>
        <v>Yes</v>
      </c>
    </row>
    <row r="317" spans="1:46" hidden="1" x14ac:dyDescent="0.25">
      <c r="A317" s="41">
        <f>CASOPOInvCL!T317</f>
        <v>1</v>
      </c>
      <c r="B317" t="str">
        <f>CASOPOInvCL!Z317</f>
        <v>SO16775</v>
      </c>
      <c r="D317" t="s">
        <v>5925</v>
      </c>
      <c r="G317" s="5" t="str">
        <f>CASOPOInvCL!I317</f>
        <v>Ian Trottier</v>
      </c>
      <c r="H317" s="31">
        <f>CASOPOInvCL!U317</f>
        <v>3</v>
      </c>
      <c r="I317" s="31">
        <f>CASOPOInvCL!V317</f>
        <v>2025</v>
      </c>
      <c r="J317" s="5" t="str">
        <f>CASOPOInvCL!AB317</f>
        <v>INV13191</v>
      </c>
      <c r="K317" s="31">
        <f>CASOPOInvCL!W317</f>
        <v>9</v>
      </c>
      <c r="L317" s="31">
        <f>CASOPOInvCL!X317</f>
        <v>2025</v>
      </c>
      <c r="M317">
        <v>2503</v>
      </c>
      <c r="N317" s="5" t="str">
        <f>CASOPOInvCL!AF317</f>
        <v>Cypress Sales Partnership</v>
      </c>
      <c r="O317" s="16" t="str">
        <f>CASOPOInvCL!AG317</f>
        <v>CAD</v>
      </c>
      <c r="P317" s="16">
        <f>CASOPOInvCL!AH317</f>
        <v>7938.04</v>
      </c>
      <c r="Q317" s="16">
        <f>CASOPOInvCL!AI317</f>
        <v>5556.7704101209729</v>
      </c>
      <c r="R317" s="32" t="str">
        <f>CASOPOInvCL!AU317</f>
        <v>Yes</v>
      </c>
      <c r="S317" s="16">
        <f>CASOPOInvCL!AV317</f>
        <v>0</v>
      </c>
      <c r="T317" s="16">
        <f>CASOPOInvCL!AW317</f>
        <v>5556.7704101209729</v>
      </c>
      <c r="V317" t="s">
        <v>5800</v>
      </c>
      <c r="Y317" s="29" t="str">
        <f>IFERROR(HLOOKUP(U317,List!$D$2:$H$6,2,FALSE),"")</f>
        <v/>
      </c>
      <c r="Z317" s="29">
        <f>IFERROR(HLOOKUP(V317,List!$D$2:$H$6,3,FALSE),"")</f>
        <v>5.0000000000000001E-3</v>
      </c>
      <c r="AA317" s="29" t="str">
        <f>IFERROR(HLOOKUP(W317,List!$D$2:$H$6,4,FALSE),"")</f>
        <v/>
      </c>
      <c r="AB317" s="29" t="str">
        <f>IFERROR(HLOOKUP(X317,List!$D$2:$H$6,5,FALSE),"")</f>
        <v/>
      </c>
      <c r="AC317" s="12" t="str">
        <f t="shared" si="51"/>
        <v/>
      </c>
      <c r="AD317" s="12">
        <f t="shared" si="52"/>
        <v>27.783852050604864</v>
      </c>
      <c r="AE317" s="12" t="str">
        <f t="shared" si="53"/>
        <v/>
      </c>
      <c r="AF317" s="12" t="str">
        <f t="shared" si="54"/>
        <v/>
      </c>
      <c r="AG317" t="str">
        <f>VLOOKUP(J317,'Receivable Invoice Detail'!$A$1:F3329,6,FALSE)</f>
        <v>[DU-CY21853A-CD4] Casing, 3x1.5-13, Durco Mark 2&amp;3 Group 2, CD4MCu , #300 Flat Face Flanges</v>
      </c>
      <c r="AH317" s="12">
        <f t="shared" ref="AH317" si="64">SUM(AC317:AF317)</f>
        <v>27.783852050604864</v>
      </c>
      <c r="AM317" s="12" t="str">
        <f t="shared" si="55"/>
        <v/>
      </c>
      <c r="AN317" s="12">
        <f t="shared" si="56"/>
        <v>27.783852050604864</v>
      </c>
      <c r="AO317" s="12" t="str">
        <f t="shared" si="57"/>
        <v/>
      </c>
      <c r="AP317" s="12" t="str">
        <f t="shared" si="58"/>
        <v/>
      </c>
      <c r="AQ317" s="64">
        <v>2503</v>
      </c>
      <c r="AR317" t="s">
        <v>5932</v>
      </c>
      <c r="AS317" s="12">
        <f t="shared" si="59"/>
        <v>83.351556151814592</v>
      </c>
      <c r="AT317" s="16" t="str">
        <f t="shared" si="61"/>
        <v>Yes</v>
      </c>
    </row>
    <row r="318" spans="1:46" hidden="1" x14ac:dyDescent="0.25">
      <c r="A318" s="41">
        <f>CASOPOInvCL!T318</f>
        <v>1</v>
      </c>
      <c r="B318" t="str">
        <f>CASOPOInvCL!Z318</f>
        <v>SO16778</v>
      </c>
      <c r="G318" s="5" t="str">
        <f>CASOPOInvCL!I318</f>
        <v>Ian Trottier</v>
      </c>
      <c r="H318" s="31">
        <f>CASOPOInvCL!U318</f>
        <v>3</v>
      </c>
      <c r="I318" s="31">
        <f>CASOPOInvCL!V318</f>
        <v>2025</v>
      </c>
      <c r="J318" s="5" t="str">
        <f>CASOPOInvCL!AB318</f>
        <v>INV12759</v>
      </c>
      <c r="K318" s="31">
        <f>CASOPOInvCL!W318</f>
        <v>4</v>
      </c>
      <c r="L318" s="31">
        <f>CASOPOInvCL!X318</f>
        <v>2025</v>
      </c>
      <c r="M318" s="31"/>
      <c r="N318" s="5" t="str">
        <f>CASOPOInvCL!AF318</f>
        <v>Motion Industries Inc. (Canada) - Red Deer</v>
      </c>
      <c r="O318" s="16" t="str">
        <f>CASOPOInvCL!AG318</f>
        <v>CAD</v>
      </c>
      <c r="P318" s="16">
        <f>CASOPOInvCL!AH318</f>
        <v>171.09</v>
      </c>
      <c r="Q318" s="16">
        <f>CASOPOInvCL!AI318</f>
        <v>119.40589572991151</v>
      </c>
      <c r="R318" s="32" t="str">
        <f>CASOPOInvCL!AU318</f>
        <v>Yes</v>
      </c>
      <c r="S318" s="16">
        <f>CASOPOInvCL!AV318</f>
        <v>0</v>
      </c>
      <c r="T318" s="16">
        <f>CASOPOInvCL!AW318</f>
        <v>119.40589572991151</v>
      </c>
      <c r="Y318" s="29" t="str">
        <f>IFERROR(HLOOKUP(U318,List!$D$2:$H$6,2,FALSE),"")</f>
        <v/>
      </c>
      <c r="Z318" s="29" t="str">
        <f>IFERROR(HLOOKUP(V318,List!$D$2:$H$6,3,FALSE),"")</f>
        <v/>
      </c>
      <c r="AA318" s="29" t="str">
        <f>IFERROR(HLOOKUP(W318,List!$D$2:$H$6,4,FALSE),"")</f>
        <v/>
      </c>
      <c r="AB318" s="29" t="str">
        <f>IFERROR(HLOOKUP(X318,List!$D$2:$H$6,5,FALSE),"")</f>
        <v/>
      </c>
      <c r="AC318" s="12" t="str">
        <f t="shared" si="51"/>
        <v/>
      </c>
      <c r="AD318" s="12" t="str">
        <f t="shared" si="52"/>
        <v/>
      </c>
      <c r="AE318" s="12" t="str">
        <f t="shared" si="53"/>
        <v/>
      </c>
      <c r="AF318" s="12" t="str">
        <f t="shared" si="54"/>
        <v/>
      </c>
      <c r="AG318" t="str">
        <f>VLOOKUP(J318,'Receivable Invoice Detail'!$A$1:F3330,6,FALSE)</f>
        <v>[OLPWZ011004B, G-A04951A217] Bearing Isolator (Outboard), 3196 STX/STi, 303SS Rotor / Bronze Stator w/Viton</v>
      </c>
      <c r="AM318" s="12" t="str">
        <f t="shared" si="55"/>
        <v/>
      </c>
      <c r="AN318" s="12" t="str">
        <f t="shared" si="56"/>
        <v/>
      </c>
      <c r="AO318" s="12" t="str">
        <f t="shared" si="57"/>
        <v/>
      </c>
      <c r="AP318" s="12" t="str">
        <f t="shared" si="58"/>
        <v/>
      </c>
      <c r="AQ318" s="12"/>
      <c r="AS318" s="12">
        <f t="shared" si="59"/>
        <v>1.7910884359486725</v>
      </c>
      <c r="AT318" s="16" t="str">
        <f t="shared" si="61"/>
        <v>Yes</v>
      </c>
    </row>
    <row r="319" spans="1:46" hidden="1" x14ac:dyDescent="0.25">
      <c r="A319" s="41">
        <f>CASOPOInvCL!T319</f>
        <v>2</v>
      </c>
      <c r="B319" t="str">
        <f>CASOPOInvCL!Z319</f>
        <v>SO16783</v>
      </c>
      <c r="G319" s="5" t="str">
        <f>CASOPOInvCL!I319</f>
        <v>Ian Trottier</v>
      </c>
      <c r="H319" s="31">
        <f>CASOPOInvCL!U319</f>
        <v>3</v>
      </c>
      <c r="I319" s="31">
        <f>CASOPOInvCL!V319</f>
        <v>2025</v>
      </c>
      <c r="J319" s="5" t="str">
        <f>CASOPOInvCL!AB319</f>
        <v>INV12917</v>
      </c>
      <c r="K319" s="31">
        <f>CASOPOInvCL!W319</f>
        <v>5</v>
      </c>
      <c r="L319" s="31">
        <f>CASOPOInvCL!X319</f>
        <v>2025</v>
      </c>
      <c r="M319" s="31"/>
      <c r="N319" s="5" t="str">
        <f>CASOPOInvCL!AF319</f>
        <v>Kumtor Gold Company</v>
      </c>
      <c r="O319" s="16" t="str">
        <f>CASOPOInvCL!AG319</f>
        <v>USD</v>
      </c>
      <c r="P319" s="16">
        <f>CASOPOInvCL!AH319</f>
        <v>8032.4271236151872</v>
      </c>
      <c r="Q319" s="16">
        <f>CASOPOInvCL!AI319</f>
        <v>5580.02</v>
      </c>
      <c r="R319" s="32" t="str">
        <f>CASOPOInvCL!AU319</f>
        <v>Yes</v>
      </c>
      <c r="S319" s="16">
        <f>CASOPOInvCL!AV319</f>
        <v>0</v>
      </c>
      <c r="T319" s="16">
        <f>CASOPOInvCL!AW319</f>
        <v>5580.02</v>
      </c>
      <c r="Y319" s="29" t="str">
        <f>IFERROR(HLOOKUP(U319,List!$D$2:$H$6,2,FALSE),"")</f>
        <v/>
      </c>
      <c r="Z319" s="29" t="str">
        <f>IFERROR(HLOOKUP(V319,List!$D$2:$H$6,3,FALSE),"")</f>
        <v/>
      </c>
      <c r="AA319" s="29" t="str">
        <f>IFERROR(HLOOKUP(W319,List!$D$2:$H$6,4,FALSE),"")</f>
        <v/>
      </c>
      <c r="AB319" s="29" t="str">
        <f>IFERROR(HLOOKUP(X319,List!$D$2:$H$6,5,FALSE),"")</f>
        <v/>
      </c>
      <c r="AC319" s="12" t="str">
        <f t="shared" si="51"/>
        <v/>
      </c>
      <c r="AD319" s="12" t="str">
        <f t="shared" si="52"/>
        <v/>
      </c>
      <c r="AE319" s="12" t="str">
        <f t="shared" si="53"/>
        <v/>
      </c>
      <c r="AF319" s="12" t="str">
        <f t="shared" si="54"/>
        <v/>
      </c>
      <c r="AG319" t="str">
        <f>VLOOKUP(J319,'Receivable Invoice Detail'!$A$1:F3331,6,FALSE)</f>
        <v>[AC-98-233-731-001] Half Seal Cage, 8x6-18 &amp; 10x8-21 SRL-C,  Steel</v>
      </c>
      <c r="AM319" s="12" t="str">
        <f t="shared" si="55"/>
        <v/>
      </c>
      <c r="AN319" s="12" t="str">
        <f t="shared" si="56"/>
        <v/>
      </c>
      <c r="AO319" s="12" t="str">
        <f t="shared" si="57"/>
        <v/>
      </c>
      <c r="AP319" s="12" t="str">
        <f t="shared" si="58"/>
        <v/>
      </c>
      <c r="AQ319" s="12"/>
      <c r="AS319" s="12">
        <f t="shared" si="59"/>
        <v>83.700299999999999</v>
      </c>
      <c r="AT319" s="16" t="str">
        <f t="shared" si="61"/>
        <v>Yes</v>
      </c>
    </row>
    <row r="320" spans="1:46" hidden="1" x14ac:dyDescent="0.25">
      <c r="A320" s="41">
        <f>CASOPOInvCL!T320</f>
        <v>2</v>
      </c>
      <c r="B320" t="str">
        <f>CASOPOInvCL!Z320</f>
        <v>SO16783</v>
      </c>
      <c r="G320" s="5">
        <f>CASOPOInvCL!I320</f>
        <v>0</v>
      </c>
      <c r="H320" s="31">
        <f>CASOPOInvCL!U320</f>
        <v>3</v>
      </c>
      <c r="I320" s="31">
        <f>CASOPOInvCL!V320</f>
        <v>2025</v>
      </c>
      <c r="J320" s="5" t="str">
        <f>CASOPOInvCL!AB320</f>
        <v>INV12823</v>
      </c>
      <c r="K320" s="31">
        <f>CASOPOInvCL!W320</f>
        <v>4</v>
      </c>
      <c r="L320" s="31">
        <f>CASOPOInvCL!X320</f>
        <v>2025</v>
      </c>
      <c r="M320" s="31"/>
      <c r="N320" s="5" t="str">
        <f>CASOPOInvCL!AF320</f>
        <v>Kumtor Gold Company</v>
      </c>
      <c r="O320" s="16" t="str">
        <f>CASOPOInvCL!AG320</f>
        <v>USD</v>
      </c>
      <c r="P320" s="16">
        <f>CASOPOInvCL!AH320</f>
        <v>0</v>
      </c>
      <c r="Q320" s="16">
        <f>CASOPOInvCL!AI320</f>
        <v>0</v>
      </c>
      <c r="R320" s="32" t="str">
        <f>CASOPOInvCL!AU320</f>
        <v/>
      </c>
      <c r="S320" s="16">
        <f>CASOPOInvCL!AV320</f>
        <v>0</v>
      </c>
      <c r="T320" s="16">
        <f>CASOPOInvCL!AW320</f>
        <v>0</v>
      </c>
      <c r="Y320" s="29" t="str">
        <f>IFERROR(HLOOKUP(U320,List!$D$2:$H$6,2,FALSE),"")</f>
        <v/>
      </c>
      <c r="Z320" s="29" t="str">
        <f>IFERROR(HLOOKUP(V320,List!$D$2:$H$6,3,FALSE),"")</f>
        <v/>
      </c>
      <c r="AA320" s="29" t="str">
        <f>IFERROR(HLOOKUP(W320,List!$D$2:$H$6,4,FALSE),"")</f>
        <v/>
      </c>
      <c r="AB320" s="29" t="str">
        <f>IFERROR(HLOOKUP(X320,List!$D$2:$H$6,5,FALSE),"")</f>
        <v/>
      </c>
      <c r="AC320" s="12" t="str">
        <f t="shared" si="51"/>
        <v/>
      </c>
      <c r="AD320" s="12" t="str">
        <f t="shared" si="52"/>
        <v/>
      </c>
      <c r="AE320" s="12" t="str">
        <f t="shared" si="53"/>
        <v/>
      </c>
      <c r="AF320" s="12" t="str">
        <f t="shared" si="54"/>
        <v/>
      </c>
      <c r="AG320" t="str">
        <f>VLOOKUP(J320,'Receivable Invoice Detail'!$A$1:F3332,6,FALSE)</f>
        <v>[AC-98-233-731-001] Half Seal Cage, 8x6-18 &amp; 10x8-21 SRL-C,  Steel</v>
      </c>
      <c r="AM320" s="12" t="str">
        <f t="shared" si="55"/>
        <v/>
      </c>
      <c r="AN320" s="12" t="str">
        <f t="shared" si="56"/>
        <v/>
      </c>
      <c r="AO320" s="12" t="str">
        <f t="shared" si="57"/>
        <v/>
      </c>
      <c r="AP320" s="12" t="str">
        <f t="shared" si="58"/>
        <v/>
      </c>
      <c r="AQ320" s="12"/>
      <c r="AS320" s="12">
        <f t="shared" si="59"/>
        <v>0</v>
      </c>
      <c r="AT320" s="16" t="str">
        <f t="shared" si="61"/>
        <v/>
      </c>
    </row>
    <row r="321" spans="1:46" hidden="1" x14ac:dyDescent="0.25">
      <c r="A321" s="41">
        <f>CASOPOInvCL!T321</f>
        <v>1</v>
      </c>
      <c r="B321" t="str">
        <f>CASOPOInvCL!Z321</f>
        <v>SO16787</v>
      </c>
      <c r="G321" s="5" t="str">
        <f>CASOPOInvCL!I321</f>
        <v>Yannett Yeomans</v>
      </c>
      <c r="H321" s="31">
        <f>CASOPOInvCL!U321</f>
        <v>3</v>
      </c>
      <c r="I321" s="31">
        <f>CASOPOInvCL!V321</f>
        <v>2025</v>
      </c>
      <c r="J321" s="5" t="str">
        <f>CASOPOInvCL!AB321</f>
        <v>INV12958</v>
      </c>
      <c r="K321" s="31" t="str">
        <f>CASOPOInvCL!W321</f>
        <v/>
      </c>
      <c r="L321" s="31" t="str">
        <f>CASOPOInvCL!X321</f>
        <v/>
      </c>
      <c r="M321" s="31"/>
      <c r="N321" s="5" t="str">
        <f>CASOPOInvCL!AF321</f>
        <v>Dynapro Pumps México S de RL de CV</v>
      </c>
      <c r="O321" s="16" t="str">
        <f>CASOPOInvCL!AG321</f>
        <v>USD</v>
      </c>
      <c r="P321" s="16">
        <f>CASOPOInvCL!AH321</f>
        <v>1291.2927768448997</v>
      </c>
      <c r="Q321" s="16">
        <f>CASOPOInvCL!AI321</f>
        <v>899</v>
      </c>
      <c r="R321" s="32" t="str">
        <f>CASOPOInvCL!AU321</f>
        <v/>
      </c>
      <c r="S321" s="16">
        <f>CASOPOInvCL!AV321</f>
        <v>0</v>
      </c>
      <c r="T321" s="16">
        <f>CASOPOInvCL!AW321</f>
        <v>0</v>
      </c>
      <c r="Y321" s="29" t="str">
        <f>IFERROR(HLOOKUP(U321,List!$D$2:$H$6,2,FALSE),"")</f>
        <v/>
      </c>
      <c r="Z321" s="29" t="str">
        <f>IFERROR(HLOOKUP(V321,List!$D$2:$H$6,3,FALSE),"")</f>
        <v/>
      </c>
      <c r="AA321" s="29" t="str">
        <f>IFERROR(HLOOKUP(W321,List!$D$2:$H$6,4,FALSE),"")</f>
        <v/>
      </c>
      <c r="AB321" s="29" t="str">
        <f>IFERROR(HLOOKUP(X321,List!$D$2:$H$6,5,FALSE),"")</f>
        <v/>
      </c>
      <c r="AC321" s="12" t="str">
        <f t="shared" si="51"/>
        <v/>
      </c>
      <c r="AD321" s="12" t="str">
        <f t="shared" si="52"/>
        <v/>
      </c>
      <c r="AE321" s="12" t="str">
        <f t="shared" si="53"/>
        <v/>
      </c>
      <c r="AF321" s="12" t="str">
        <f t="shared" si="54"/>
        <v/>
      </c>
      <c r="AG321" t="str">
        <f>VLOOKUP(J321,'Receivable Invoice Detail'!$A$1:F3333,6,FALSE)</f>
        <v>[W-0352] DYNAPRO SUBMERGED PUMP, 316SS</v>
      </c>
      <c r="AM321" s="12" t="str">
        <f t="shared" si="55"/>
        <v/>
      </c>
      <c r="AN321" s="12" t="str">
        <f t="shared" si="56"/>
        <v/>
      </c>
      <c r="AO321" s="12" t="str">
        <f t="shared" si="57"/>
        <v/>
      </c>
      <c r="AP321" s="12" t="str">
        <f t="shared" si="58"/>
        <v/>
      </c>
      <c r="AQ321" s="12"/>
      <c r="AR321" s="16" t="s">
        <v>5940</v>
      </c>
      <c r="AS321" s="12">
        <f t="shared" si="59"/>
        <v>0</v>
      </c>
      <c r="AT321" s="16" t="s">
        <v>5940</v>
      </c>
    </row>
    <row r="322" spans="1:46" hidden="1" x14ac:dyDescent="0.25">
      <c r="A322" s="41">
        <f>CASOPOInvCL!T322</f>
        <v>2</v>
      </c>
      <c r="B322" t="str">
        <f>CASOPOInvCL!Z322</f>
        <v>SO16788</v>
      </c>
      <c r="G322" s="5" t="str">
        <f>CASOPOInvCL!I322</f>
        <v>Ian Trottier</v>
      </c>
      <c r="H322" s="31">
        <f>CASOPOInvCL!U322</f>
        <v>3</v>
      </c>
      <c r="I322" s="31">
        <f>CASOPOInvCL!V322</f>
        <v>2025</v>
      </c>
      <c r="J322" s="5" t="str">
        <f>CASOPOInvCL!AB322</f>
        <v>INV12799</v>
      </c>
      <c r="K322" s="31">
        <f>CASOPOInvCL!W322</f>
        <v>5</v>
      </c>
      <c r="L322" s="31">
        <f>CASOPOInvCL!X322</f>
        <v>2025</v>
      </c>
      <c r="M322" s="31"/>
      <c r="N322" s="5" t="str">
        <f>CASOPOInvCL!AF322</f>
        <v>Glencore Canada Corporation - Rouyn-Noranda, Glencore Canada Corp.</v>
      </c>
      <c r="O322" s="16" t="str">
        <f>CASOPOInvCL!AG322</f>
        <v>CAD</v>
      </c>
      <c r="P322" s="16">
        <f>CASOPOInvCL!AH322</f>
        <v>2750.02</v>
      </c>
      <c r="Q322" s="16">
        <f>CASOPOInvCL!AI322</f>
        <v>1921.5154685657562</v>
      </c>
      <c r="R322" s="32" t="str">
        <f>CASOPOInvCL!AU322</f>
        <v>Yes</v>
      </c>
      <c r="S322" s="16">
        <f>CASOPOInvCL!AV322</f>
        <v>0</v>
      </c>
      <c r="T322" s="16">
        <f>CASOPOInvCL!AW322</f>
        <v>1921.5154685657562</v>
      </c>
      <c r="Y322" s="29" t="str">
        <f>IFERROR(HLOOKUP(U322,List!$D$2:$H$6,2,FALSE),"")</f>
        <v/>
      </c>
      <c r="Z322" s="29" t="str">
        <f>IFERROR(HLOOKUP(V322,List!$D$2:$H$6,3,FALSE),"")</f>
        <v/>
      </c>
      <c r="AA322" s="29" t="str">
        <f>IFERROR(HLOOKUP(W322,List!$D$2:$H$6,4,FALSE),"")</f>
        <v/>
      </c>
      <c r="AB322" s="29" t="str">
        <f>IFERROR(HLOOKUP(X322,List!$D$2:$H$6,5,FALSE),"")</f>
        <v/>
      </c>
      <c r="AC322" s="12" t="str">
        <f t="shared" si="51"/>
        <v/>
      </c>
      <c r="AD322" s="12" t="str">
        <f t="shared" si="52"/>
        <v/>
      </c>
      <c r="AE322" s="12" t="str">
        <f t="shared" si="53"/>
        <v/>
      </c>
      <c r="AF322" s="12" t="str">
        <f t="shared" si="54"/>
        <v/>
      </c>
      <c r="AG322" t="str">
        <f>VLOOKUP(J322,'Receivable Invoice Detail'!$A$1:F3334,6,FALSE)</f>
        <v>[AC-98-236-245-002] Premium Slurry Packing (5 Piece Set), 3x3-10 SRL and SRL-C, Kevlar Fiber w/Silicon Core</v>
      </c>
      <c r="AM322" s="12" t="str">
        <f t="shared" si="55"/>
        <v/>
      </c>
      <c r="AN322" s="12" t="str">
        <f t="shared" si="56"/>
        <v/>
      </c>
      <c r="AO322" s="12" t="str">
        <f t="shared" si="57"/>
        <v/>
      </c>
      <c r="AP322" s="12" t="str">
        <f t="shared" si="58"/>
        <v/>
      </c>
      <c r="AQ322" s="12"/>
      <c r="AS322" s="12">
        <f t="shared" si="59"/>
        <v>28.822732028486342</v>
      </c>
      <c r="AT322" s="16" t="str">
        <f t="shared" si="61"/>
        <v>Yes</v>
      </c>
    </row>
    <row r="323" spans="1:46" hidden="1" x14ac:dyDescent="0.25">
      <c r="A323" s="41">
        <f>CASOPOInvCL!T323</f>
        <v>2</v>
      </c>
      <c r="B323" t="str">
        <f>CASOPOInvCL!Z323</f>
        <v>SO16788</v>
      </c>
      <c r="G323" s="5">
        <f>CASOPOInvCL!I323</f>
        <v>0</v>
      </c>
      <c r="H323" s="31">
        <f>CASOPOInvCL!U323</f>
        <v>3</v>
      </c>
      <c r="I323" s="31">
        <f>CASOPOInvCL!V323</f>
        <v>2025</v>
      </c>
      <c r="J323" s="5" t="str">
        <f>CASOPOInvCL!AB323</f>
        <v>INV12813</v>
      </c>
      <c r="K323" s="31">
        <f>CASOPOInvCL!W323</f>
        <v>5</v>
      </c>
      <c r="L323" s="31">
        <f>CASOPOInvCL!X323</f>
        <v>2025</v>
      </c>
      <c r="M323" s="31"/>
      <c r="N323" s="5" t="str">
        <f>CASOPOInvCL!AF323</f>
        <v>Glencore Canada Corporation - Rouyn-Noranda, Glencore Canada Corp.</v>
      </c>
      <c r="O323" s="16" t="str">
        <f>CASOPOInvCL!AG323</f>
        <v>CAD</v>
      </c>
      <c r="P323" s="16">
        <f>CASOPOInvCL!AH323</f>
        <v>0</v>
      </c>
      <c r="Q323" s="16">
        <f>CASOPOInvCL!AI323</f>
        <v>0</v>
      </c>
      <c r="R323" s="32" t="str">
        <f>CASOPOInvCL!AU323</f>
        <v/>
      </c>
      <c r="S323" s="16">
        <f>CASOPOInvCL!AV323</f>
        <v>0</v>
      </c>
      <c r="T323" s="16">
        <f>CASOPOInvCL!AW323</f>
        <v>0</v>
      </c>
      <c r="Y323" s="29" t="str">
        <f>IFERROR(HLOOKUP(U323,List!$D$2:$H$6,2,FALSE),"")</f>
        <v/>
      </c>
      <c r="Z323" s="29" t="str">
        <f>IFERROR(HLOOKUP(V323,List!$D$2:$H$6,3,FALSE),"")</f>
        <v/>
      </c>
      <c r="AA323" s="29" t="str">
        <f>IFERROR(HLOOKUP(W323,List!$D$2:$H$6,4,FALSE),"")</f>
        <v/>
      </c>
      <c r="AB323" s="29" t="str">
        <f>IFERROR(HLOOKUP(X323,List!$D$2:$H$6,5,FALSE),"")</f>
        <v/>
      </c>
      <c r="AC323" s="12" t="str">
        <f t="shared" ref="AC323:AC386" si="65">IFERROR(Y323*$T323,"")</f>
        <v/>
      </c>
      <c r="AD323" s="12" t="str">
        <f t="shared" ref="AD323:AD386" si="66">IFERROR(Z323*$T323,"")</f>
        <v/>
      </c>
      <c r="AE323" s="12" t="str">
        <f t="shared" ref="AE323:AE386" si="67">IFERROR(AA323*$T323,"")</f>
        <v/>
      </c>
      <c r="AF323" s="12" t="str">
        <f t="shared" ref="AF323:AF386" si="68">IFERROR(AB323*$T323,"")</f>
        <v/>
      </c>
      <c r="AG323" t="str">
        <f>VLOOKUP(J323,'Receivable Invoice Detail'!$A$1:F3335,6,FALSE)</f>
        <v>[AC-98-234-108-001] Half Seal Cage, 2x2-10 SRL, Cast Iron</v>
      </c>
      <c r="AM323" s="12" t="str">
        <f t="shared" ref="AM323:AM386" si="69">IF(AI323="",AC323,0)</f>
        <v/>
      </c>
      <c r="AN323" s="12" t="str">
        <f t="shared" ref="AN323:AN386" si="70">IF(AJ323="",AD323,0)</f>
        <v/>
      </c>
      <c r="AO323" s="12" t="str">
        <f t="shared" ref="AO323:AO386" si="71">IF(AK323="",AE323,0)</f>
        <v/>
      </c>
      <c r="AP323" s="12" t="str">
        <f t="shared" ref="AP323:AP386" si="72">IF(AL323="",AF323,0)</f>
        <v/>
      </c>
      <c r="AQ323" s="12"/>
      <c r="AS323" s="12">
        <f t="shared" ref="AS323:AS386" si="73">T323*1.5%</f>
        <v>0</v>
      </c>
      <c r="AT323" s="16" t="str">
        <f t="shared" si="61"/>
        <v/>
      </c>
    </row>
    <row r="324" spans="1:46" hidden="1" x14ac:dyDescent="0.25">
      <c r="A324" s="41">
        <f>CASOPOInvCL!T324</f>
        <v>1</v>
      </c>
      <c r="B324" t="str">
        <f>CASOPOInvCL!Z324</f>
        <v>SO16792</v>
      </c>
      <c r="D324" t="s">
        <v>5938</v>
      </c>
      <c r="G324" s="5" t="str">
        <f>CASOPOInvCL!I324</f>
        <v>Marlen Martinez</v>
      </c>
      <c r="H324" s="31">
        <f>CASOPOInvCL!U324</f>
        <v>3</v>
      </c>
      <c r="I324" s="31">
        <f>CASOPOInvCL!V324</f>
        <v>2025</v>
      </c>
      <c r="J324" s="5" t="str">
        <f>CASOPOInvCL!AB324</f>
        <v>INV12802</v>
      </c>
      <c r="K324" s="31">
        <f>CASOPOInvCL!W324</f>
        <v>7</v>
      </c>
      <c r="L324" s="31">
        <f>CASOPOInvCL!X324</f>
        <v>2025</v>
      </c>
      <c r="M324">
        <v>2504</v>
      </c>
      <c r="N324" s="5" t="str">
        <f>CASOPOInvCL!AF324</f>
        <v>Covia Corp - Junction City</v>
      </c>
      <c r="O324" s="16" t="str">
        <f>CASOPOInvCL!AG324</f>
        <v>USD</v>
      </c>
      <c r="P324" s="16">
        <f>CASOPOInvCL!AH324</f>
        <v>15979.247006926034</v>
      </c>
      <c r="Q324" s="16">
        <f>CASOPOInvCL!AI324</f>
        <v>11179</v>
      </c>
      <c r="R324" s="32" t="str">
        <f>CASOPOInvCL!AU324</f>
        <v>Yes</v>
      </c>
      <c r="S324" s="16">
        <f>CASOPOInvCL!AV324</f>
        <v>749</v>
      </c>
      <c r="T324" s="16">
        <f>CASOPOInvCL!AW324</f>
        <v>10430</v>
      </c>
      <c r="Y324" s="29" t="str">
        <f>IFERROR(HLOOKUP(U324,List!$D$2:$H$6,2,FALSE),"")</f>
        <v/>
      </c>
      <c r="Z324" s="29" t="str">
        <f>IFERROR(HLOOKUP(V324,List!$D$2:$H$6,3,FALSE),"")</f>
        <v/>
      </c>
      <c r="AA324" s="29" t="str">
        <f>IFERROR(HLOOKUP(W324,List!$D$2:$H$6,4,FALSE),"")</f>
        <v/>
      </c>
      <c r="AB324" s="29" t="str">
        <f>IFERROR(HLOOKUP(X324,List!$D$2:$H$6,5,FALSE),"")</f>
        <v/>
      </c>
      <c r="AC324" s="12" t="str">
        <f t="shared" si="65"/>
        <v/>
      </c>
      <c r="AD324" s="12" t="str">
        <f t="shared" si="66"/>
        <v/>
      </c>
      <c r="AE324" s="12" t="str">
        <f t="shared" si="67"/>
        <v/>
      </c>
      <c r="AF324" s="12" t="str">
        <f t="shared" si="68"/>
        <v/>
      </c>
      <c r="AG324" t="str">
        <f>VLOOKUP(J324,'Receivable Invoice Detail'!$A$1:F3336,6,FALSE)</f>
        <v>102813/1003 Labyrinth, 8/6 to 14/12 F-AH, Zinc Plated</v>
      </c>
      <c r="AM324" s="12" t="str">
        <f t="shared" si="69"/>
        <v/>
      </c>
      <c r="AN324" s="12" t="str">
        <f t="shared" si="70"/>
        <v/>
      </c>
      <c r="AO324" s="12" t="str">
        <f t="shared" si="71"/>
        <v/>
      </c>
      <c r="AP324" s="12" t="str">
        <f t="shared" si="72"/>
        <v/>
      </c>
      <c r="AQ324" s="64">
        <f>M324</f>
        <v>2504</v>
      </c>
      <c r="AR324" t="s">
        <v>5939</v>
      </c>
      <c r="AS324" s="12">
        <f t="shared" si="73"/>
        <v>156.44999999999999</v>
      </c>
      <c r="AT324" s="16" t="str">
        <f t="shared" si="61"/>
        <v>Yes</v>
      </c>
    </row>
    <row r="325" spans="1:46" hidden="1" x14ac:dyDescent="0.25">
      <c r="A325" s="41">
        <f>CASOPOInvCL!T325</f>
        <v>1</v>
      </c>
      <c r="B325" t="str">
        <f>CASOPOInvCL!Z325</f>
        <v>SO16793</v>
      </c>
      <c r="G325" s="5" t="str">
        <f>CASOPOInvCL!I325</f>
        <v>Ian Trottier</v>
      </c>
      <c r="H325" s="31">
        <f>CASOPOInvCL!U325</f>
        <v>3</v>
      </c>
      <c r="I325" s="31">
        <f>CASOPOInvCL!V325</f>
        <v>2025</v>
      </c>
      <c r="J325" s="5" t="str">
        <f>CASOPOInvCL!AB325</f>
        <v>INV12752</v>
      </c>
      <c r="K325" s="31">
        <f>CASOPOInvCL!W325</f>
        <v>5</v>
      </c>
      <c r="L325" s="31">
        <f>CASOPOInvCL!X325</f>
        <v>2025</v>
      </c>
      <c r="M325" s="31"/>
      <c r="N325" s="5" t="str">
        <f>CASOPOInvCL!AF325</f>
        <v>Process and Steam Specialties, Process and Steam Specialties</v>
      </c>
      <c r="O325" s="16" t="str">
        <f>CASOPOInvCL!AG325</f>
        <v>CAD</v>
      </c>
      <c r="P325" s="16">
        <f>CASOPOInvCL!AH325</f>
        <v>1487.32</v>
      </c>
      <c r="Q325" s="16">
        <f>CASOPOInvCL!AI325</f>
        <v>1039.2318552982238</v>
      </c>
      <c r="R325" s="32" t="str">
        <f>CASOPOInvCL!AU325</f>
        <v>Yes</v>
      </c>
      <c r="S325" s="16">
        <f>CASOPOInvCL!AV325</f>
        <v>0</v>
      </c>
      <c r="T325" s="16">
        <f>CASOPOInvCL!AW325</f>
        <v>1039.2318552982238</v>
      </c>
      <c r="Y325" s="29" t="str">
        <f>IFERROR(HLOOKUP(U325,List!$D$2:$H$6,2,FALSE),"")</f>
        <v/>
      </c>
      <c r="Z325" s="29" t="str">
        <f>IFERROR(HLOOKUP(V325,List!$D$2:$H$6,3,FALSE),"")</f>
        <v/>
      </c>
      <c r="AA325" s="29" t="str">
        <f>IFERROR(HLOOKUP(W325,List!$D$2:$H$6,4,FALSE),"")</f>
        <v/>
      </c>
      <c r="AB325" s="29" t="str">
        <f>IFERROR(HLOOKUP(X325,List!$D$2:$H$6,5,FALSE),"")</f>
        <v/>
      </c>
      <c r="AC325" s="12" t="str">
        <f t="shared" si="65"/>
        <v/>
      </c>
      <c r="AD325" s="12" t="str">
        <f t="shared" si="66"/>
        <v/>
      </c>
      <c r="AE325" s="12" t="str">
        <f t="shared" si="67"/>
        <v/>
      </c>
      <c r="AF325" s="12" t="str">
        <f t="shared" si="68"/>
        <v/>
      </c>
      <c r="AG325" t="str">
        <f>VLOOKUP(J325,'Receivable Invoice Detail'!$A$1:F3337,6,FALSE)</f>
        <v>[SA-013733-M1] Wear Disc, 44 WFR, Sala STGVA-180, Steel, Rubber Lined</v>
      </c>
      <c r="AM325" s="12" t="str">
        <f t="shared" si="69"/>
        <v/>
      </c>
      <c r="AN325" s="12" t="str">
        <f t="shared" si="70"/>
        <v/>
      </c>
      <c r="AO325" s="12" t="str">
        <f t="shared" si="71"/>
        <v/>
      </c>
      <c r="AP325" s="12" t="str">
        <f t="shared" si="72"/>
        <v/>
      </c>
      <c r="AQ325" s="12"/>
      <c r="AS325" s="12">
        <f t="shared" si="73"/>
        <v>15.588477829473355</v>
      </c>
      <c r="AT325" s="16" t="str">
        <f t="shared" si="61"/>
        <v>Yes</v>
      </c>
    </row>
    <row r="326" spans="1:46" hidden="1" x14ac:dyDescent="0.25">
      <c r="A326" s="41">
        <f>CASOPOInvCL!T326</f>
        <v>2</v>
      </c>
      <c r="B326" t="str">
        <f>CASOPOInvCL!Z326</f>
        <v>SO16794</v>
      </c>
      <c r="E326" t="s">
        <v>5925</v>
      </c>
      <c r="G326" s="5" t="str">
        <f>CASOPOInvCL!I326</f>
        <v>Ian Trottier</v>
      </c>
      <c r="H326" s="31">
        <f>CASOPOInvCL!U326</f>
        <v>3</v>
      </c>
      <c r="I326" s="31">
        <f>CASOPOInvCL!V326</f>
        <v>2025</v>
      </c>
      <c r="J326" s="5" t="str">
        <f>CASOPOInvCL!AB326</f>
        <v>INV12795</v>
      </c>
      <c r="K326" s="31">
        <f>CASOPOInvCL!W326</f>
        <v>4</v>
      </c>
      <c r="L326" s="31">
        <f>CASOPOInvCL!X326</f>
        <v>2025</v>
      </c>
      <c r="M326">
        <v>2503</v>
      </c>
      <c r="N326" s="5" t="str">
        <f>CASOPOInvCL!AF326</f>
        <v>Sling-Choker Manufacturing - Timmins</v>
      </c>
      <c r="O326" s="16" t="str">
        <f>CASOPOInvCL!AG326</f>
        <v>CAD</v>
      </c>
      <c r="P326" s="16">
        <f>CASOPOInvCL!AH326</f>
        <v>12557.71</v>
      </c>
      <c r="Q326" s="16">
        <f>CASOPOInvCL!AI326</f>
        <v>8762.5144822173206</v>
      </c>
      <c r="R326" s="32" t="str">
        <f>CASOPOInvCL!AU326</f>
        <v>Yes</v>
      </c>
      <c r="S326" s="16">
        <f>CASOPOInvCL!AV326</f>
        <v>0</v>
      </c>
      <c r="T326" s="16">
        <f>CASOPOInvCL!AW326</f>
        <v>8762.5144822173206</v>
      </c>
      <c r="W326" t="s">
        <v>5800</v>
      </c>
      <c r="Y326" s="29" t="str">
        <f>IFERROR(HLOOKUP(U326,List!$D$2:$H$6,2,FALSE),"")</f>
        <v/>
      </c>
      <c r="Z326" s="29" t="str">
        <f>IFERROR(HLOOKUP(V326,List!$D$2:$H$6,3,FALSE),"")</f>
        <v/>
      </c>
      <c r="AA326" s="29">
        <f>IFERROR(HLOOKUP(W326,List!$D$2:$H$6,4,FALSE),"")</f>
        <v>0.01</v>
      </c>
      <c r="AB326" s="29" t="str">
        <f>IFERROR(HLOOKUP(X326,List!$D$2:$H$6,5,FALSE),"")</f>
        <v/>
      </c>
      <c r="AC326" s="12" t="str">
        <f t="shared" si="65"/>
        <v/>
      </c>
      <c r="AD326" s="12" t="str">
        <f t="shared" si="66"/>
        <v/>
      </c>
      <c r="AE326" s="12">
        <f t="shared" si="67"/>
        <v>87.625144822173212</v>
      </c>
      <c r="AF326" s="12" t="str">
        <f t="shared" si="68"/>
        <v/>
      </c>
      <c r="AG326" t="str">
        <f>VLOOKUP(J326,'Receivable Invoice Detail'!$A$1:F3338,6,FALSE)</f>
        <v>[G-73705X 2229] Shaft Sleeve, 3196 MTX, 316SS</v>
      </c>
      <c r="AH326" s="12">
        <f t="shared" ref="AH326:AH327" si="74">SUM(AC326:AF326)</f>
        <v>87.625144822173212</v>
      </c>
      <c r="AM326" s="12" t="str">
        <f t="shared" si="69"/>
        <v/>
      </c>
      <c r="AN326" s="12" t="str">
        <f t="shared" si="70"/>
        <v/>
      </c>
      <c r="AO326" s="12">
        <f t="shared" si="71"/>
        <v>87.625144822173212</v>
      </c>
      <c r="AP326" s="12" t="str">
        <f t="shared" si="72"/>
        <v/>
      </c>
      <c r="AQ326" s="64">
        <v>2503</v>
      </c>
      <c r="AR326" t="s">
        <v>5932</v>
      </c>
      <c r="AS326" s="12">
        <f t="shared" si="73"/>
        <v>131.4377172332598</v>
      </c>
      <c r="AT326" s="16" t="str">
        <f t="shared" si="61"/>
        <v>Yes</v>
      </c>
    </row>
    <row r="327" spans="1:46" hidden="1" x14ac:dyDescent="0.25">
      <c r="A327" s="41">
        <f>CASOPOInvCL!T327</f>
        <v>2</v>
      </c>
      <c r="B327" t="str">
        <f>CASOPOInvCL!Z327</f>
        <v>SO16794</v>
      </c>
      <c r="E327" t="s">
        <v>5925</v>
      </c>
      <c r="G327" s="5">
        <f>CASOPOInvCL!I327</f>
        <v>0</v>
      </c>
      <c r="H327" s="31">
        <f>CASOPOInvCL!U327</f>
        <v>3</v>
      </c>
      <c r="I327" s="31">
        <f>CASOPOInvCL!V327</f>
        <v>2025</v>
      </c>
      <c r="J327" s="5" t="str">
        <f>CASOPOInvCL!AB327</f>
        <v>INV13161</v>
      </c>
      <c r="K327" s="31">
        <f>CASOPOInvCL!W327</f>
        <v>8</v>
      </c>
      <c r="L327" s="31">
        <f>CASOPOInvCL!X327</f>
        <v>2025</v>
      </c>
      <c r="M327">
        <v>2503</v>
      </c>
      <c r="N327" s="5" t="str">
        <f>CASOPOInvCL!AF327</f>
        <v>Sling-Choker Manufacturing - Timmins</v>
      </c>
      <c r="O327" s="16" t="str">
        <f>CASOPOInvCL!AG327</f>
        <v>CAD</v>
      </c>
      <c r="P327" s="16">
        <f>CASOPOInvCL!AH327</f>
        <v>0</v>
      </c>
      <c r="Q327" s="16">
        <f>CASOPOInvCL!AI327</f>
        <v>0</v>
      </c>
      <c r="R327" s="32" t="str">
        <f>CASOPOInvCL!AU327</f>
        <v/>
      </c>
      <c r="S327" s="16">
        <f>CASOPOInvCL!AV327</f>
        <v>0</v>
      </c>
      <c r="T327" s="16">
        <f>CASOPOInvCL!AW327</f>
        <v>0</v>
      </c>
      <c r="W327" t="s">
        <v>5800</v>
      </c>
      <c r="Y327" s="29" t="str">
        <f>IFERROR(HLOOKUP(U327,List!$D$2:$H$6,2,FALSE),"")</f>
        <v/>
      </c>
      <c r="Z327" s="29" t="str">
        <f>IFERROR(HLOOKUP(V327,List!$D$2:$H$6,3,FALSE),"")</f>
        <v/>
      </c>
      <c r="AA327" s="29">
        <f>IFERROR(HLOOKUP(W327,List!$D$2:$H$6,4,FALSE),"")</f>
        <v>0.01</v>
      </c>
      <c r="AB327" s="29" t="str">
        <f>IFERROR(HLOOKUP(X327,List!$D$2:$H$6,5,FALSE),"")</f>
        <v/>
      </c>
      <c r="AC327" s="12" t="str">
        <f t="shared" si="65"/>
        <v/>
      </c>
      <c r="AD327" s="12" t="str">
        <f t="shared" si="66"/>
        <v/>
      </c>
      <c r="AE327" s="12">
        <f t="shared" si="67"/>
        <v>0</v>
      </c>
      <c r="AF327" s="12" t="str">
        <f t="shared" si="68"/>
        <v/>
      </c>
      <c r="AG327" t="str">
        <f>VLOOKUP(J327,'Receivable Invoice Detail'!$A$1:F3339,6,FALSE)</f>
        <v>[D-196 2x3-13 LTX CD4MCu] Pump, 2x3-13, D-196 LTX, CD4MCu</v>
      </c>
      <c r="AH327" s="12">
        <f t="shared" si="74"/>
        <v>0</v>
      </c>
      <c r="AM327" s="12" t="str">
        <f t="shared" si="69"/>
        <v/>
      </c>
      <c r="AN327" s="12" t="str">
        <f t="shared" si="70"/>
        <v/>
      </c>
      <c r="AO327" s="12">
        <f t="shared" si="71"/>
        <v>0</v>
      </c>
      <c r="AP327" s="12" t="str">
        <f t="shared" si="72"/>
        <v/>
      </c>
      <c r="AQ327" s="64">
        <v>2503</v>
      </c>
      <c r="AR327" t="s">
        <v>5932</v>
      </c>
      <c r="AS327" s="12">
        <f t="shared" si="73"/>
        <v>0</v>
      </c>
      <c r="AT327" s="16" t="str">
        <f t="shared" si="61"/>
        <v/>
      </c>
    </row>
    <row r="328" spans="1:46" hidden="1" x14ac:dyDescent="0.25">
      <c r="A328" s="41">
        <f>CASOPOInvCL!T328</f>
        <v>1</v>
      </c>
      <c r="B328" t="str">
        <f>CASOPOInvCL!Z328</f>
        <v>SO16796</v>
      </c>
      <c r="G328" s="5" t="str">
        <f>CASOPOInvCL!I328</f>
        <v>Ian Trottier</v>
      </c>
      <c r="H328" s="31">
        <f>CASOPOInvCL!U328</f>
        <v>3</v>
      </c>
      <c r="I328" s="31">
        <f>CASOPOInvCL!V328</f>
        <v>2025</v>
      </c>
      <c r="J328" s="5" t="str">
        <f>CASOPOInvCL!AB328</f>
        <v>INV12754</v>
      </c>
      <c r="K328" s="31">
        <f>CASOPOInvCL!W328</f>
        <v>4</v>
      </c>
      <c r="L328" s="31">
        <f>CASOPOInvCL!X328</f>
        <v>2025</v>
      </c>
      <c r="M328" s="31"/>
      <c r="N328" s="5" t="str">
        <f>CASOPOInvCL!AF328</f>
        <v>Wajax Limited - Noranda</v>
      </c>
      <c r="O328" s="16" t="str">
        <f>CASOPOInvCL!AG328</f>
        <v>CAD</v>
      </c>
      <c r="P328" s="16">
        <f>CASOPOInvCL!AH328</f>
        <v>147.72999999999999</v>
      </c>
      <c r="Q328" s="16">
        <f>CASOPOInvCL!AI328</f>
        <v>103.08298761939596</v>
      </c>
      <c r="R328" s="32" t="str">
        <f>CASOPOInvCL!AU328</f>
        <v>Yes</v>
      </c>
      <c r="S328" s="16">
        <f>CASOPOInvCL!AV328</f>
        <v>0</v>
      </c>
      <c r="T328" s="16">
        <f>CASOPOInvCL!AW328</f>
        <v>103.08298761939596</v>
      </c>
      <c r="Y328" s="29" t="str">
        <f>IFERROR(HLOOKUP(U328,List!$D$2:$H$6,2,FALSE),"")</f>
        <v/>
      </c>
      <c r="Z328" s="29" t="str">
        <f>IFERROR(HLOOKUP(V328,List!$D$2:$H$6,3,FALSE),"")</f>
        <v/>
      </c>
      <c r="AA328" s="29" t="str">
        <f>IFERROR(HLOOKUP(W328,List!$D$2:$H$6,4,FALSE),"")</f>
        <v/>
      </c>
      <c r="AB328" s="29" t="str">
        <f>IFERROR(HLOOKUP(X328,List!$D$2:$H$6,5,FALSE),"")</f>
        <v/>
      </c>
      <c r="AC328" s="12" t="str">
        <f t="shared" si="65"/>
        <v/>
      </c>
      <c r="AD328" s="12" t="str">
        <f t="shared" si="66"/>
        <v/>
      </c>
      <c r="AE328" s="12" t="str">
        <f t="shared" si="67"/>
        <v/>
      </c>
      <c r="AF328" s="12" t="str">
        <f t="shared" si="68"/>
        <v/>
      </c>
      <c r="AG328" t="str">
        <f>VLOOKUP(J328,'Receivable Invoice Detail'!$A$1:F3340,6,FALSE)</f>
        <v>[AC-98-233-979-003] Sleeve Washer (Impeller), 5x5/5x4/6x6 SRL &amp; SRL-C</v>
      </c>
      <c r="AM328" s="12" t="str">
        <f t="shared" si="69"/>
        <v/>
      </c>
      <c r="AN328" s="12" t="str">
        <f t="shared" si="70"/>
        <v/>
      </c>
      <c r="AO328" s="12" t="str">
        <f t="shared" si="71"/>
        <v/>
      </c>
      <c r="AP328" s="12" t="str">
        <f t="shared" si="72"/>
        <v/>
      </c>
      <c r="AQ328" s="12"/>
      <c r="AS328" s="12">
        <f t="shared" si="73"/>
        <v>1.5462448142909395</v>
      </c>
      <c r="AT328" s="16" t="str">
        <f t="shared" si="61"/>
        <v>Yes</v>
      </c>
    </row>
    <row r="329" spans="1:46" hidden="1" x14ac:dyDescent="0.25">
      <c r="A329" s="41">
        <f>CASOPOInvCL!T329</f>
        <v>1</v>
      </c>
      <c r="B329" t="str">
        <f>CASOPOInvCL!Z329</f>
        <v>SO16797</v>
      </c>
      <c r="G329" s="5" t="str">
        <f>CASOPOInvCL!I329</f>
        <v>Ian Trottier</v>
      </c>
      <c r="H329" s="31">
        <f>CASOPOInvCL!U329</f>
        <v>3</v>
      </c>
      <c r="I329" s="31">
        <f>CASOPOInvCL!V329</f>
        <v>2025</v>
      </c>
      <c r="J329" s="5" t="str">
        <f>CASOPOInvCL!AB329</f>
        <v>INV12826</v>
      </c>
      <c r="K329" s="31">
        <f>CASOPOInvCL!W329</f>
        <v>5</v>
      </c>
      <c r="L329" s="31">
        <f>CASOPOInvCL!X329</f>
        <v>2025</v>
      </c>
      <c r="M329" s="31"/>
      <c r="N329" s="5" t="str">
        <f>CASOPOInvCL!AF329</f>
        <v>Grant Aggregate</v>
      </c>
      <c r="O329" s="16" t="str">
        <f>CASOPOInvCL!AG329</f>
        <v>CAD</v>
      </c>
      <c r="P329" s="16">
        <f>CASOPOInvCL!AH329</f>
        <v>1182.8900000000001</v>
      </c>
      <c r="Q329" s="16">
        <f>CASOPOInvCL!AI329</f>
        <v>825.55403588728143</v>
      </c>
      <c r="R329" s="32" t="str">
        <f>CASOPOInvCL!AU329</f>
        <v>Yes</v>
      </c>
      <c r="S329" s="16">
        <f>CASOPOInvCL!AV329</f>
        <v>0</v>
      </c>
      <c r="T329" s="16">
        <f>CASOPOInvCL!AW329</f>
        <v>825.55403588728143</v>
      </c>
      <c r="Y329" s="29" t="str">
        <f>IFERROR(HLOOKUP(U329,List!$D$2:$H$6,2,FALSE),"")</f>
        <v/>
      </c>
      <c r="Z329" s="29" t="str">
        <f>IFERROR(HLOOKUP(V329,List!$D$2:$H$6,3,FALSE),"")</f>
        <v/>
      </c>
      <c r="AA329" s="29" t="str">
        <f>IFERROR(HLOOKUP(W329,List!$D$2:$H$6,4,FALSE),"")</f>
        <v/>
      </c>
      <c r="AB329" s="29" t="str">
        <f>IFERROR(HLOOKUP(X329,List!$D$2:$H$6,5,FALSE),"")</f>
        <v/>
      </c>
      <c r="AC329" s="12" t="str">
        <f t="shared" si="65"/>
        <v/>
      </c>
      <c r="AD329" s="12" t="str">
        <f t="shared" si="66"/>
        <v/>
      </c>
      <c r="AE329" s="12" t="str">
        <f t="shared" si="67"/>
        <v/>
      </c>
      <c r="AF329" s="12" t="str">
        <f t="shared" si="68"/>
        <v/>
      </c>
      <c r="AG329" t="str">
        <f>VLOOKUP(J329,'Receivable Invoice Detail'!$A$1:F3341,6,FALSE)</f>
        <v>[ML2225-7/8] Packing 7/8" x 7/8", Synthetic Filament w/PTFE Lubricant, 10 lbs.</v>
      </c>
      <c r="AM329" s="12" t="str">
        <f t="shared" si="69"/>
        <v/>
      </c>
      <c r="AN329" s="12" t="str">
        <f t="shared" si="70"/>
        <v/>
      </c>
      <c r="AO329" s="12" t="str">
        <f t="shared" si="71"/>
        <v/>
      </c>
      <c r="AP329" s="12" t="str">
        <f t="shared" si="72"/>
        <v/>
      </c>
      <c r="AQ329" s="12"/>
      <c r="AS329" s="12">
        <f t="shared" si="73"/>
        <v>12.383310538309221</v>
      </c>
      <c r="AT329" s="16" t="str">
        <f t="shared" si="61"/>
        <v>Yes</v>
      </c>
    </row>
    <row r="330" spans="1:46" hidden="1" x14ac:dyDescent="0.25">
      <c r="A330" s="41">
        <f>CASOPOInvCL!T330</f>
        <v>3</v>
      </c>
      <c r="B330" t="str">
        <f>CASOPOInvCL!Z330</f>
        <v>SO16798</v>
      </c>
      <c r="D330" t="s">
        <v>5925</v>
      </c>
      <c r="G330" s="5" t="str">
        <f>CASOPOInvCL!I330</f>
        <v>Ian Trottier</v>
      </c>
      <c r="H330" s="31">
        <f>CASOPOInvCL!U330</f>
        <v>3</v>
      </c>
      <c r="I330" s="31">
        <f>CASOPOInvCL!V330</f>
        <v>2025</v>
      </c>
      <c r="J330" s="5" t="str">
        <f>CASOPOInvCL!AB330</f>
        <v>INV12968</v>
      </c>
      <c r="K330" s="31">
        <f>CASOPOInvCL!W330</f>
        <v>5</v>
      </c>
      <c r="L330" s="31">
        <f>CASOPOInvCL!X330</f>
        <v>2025</v>
      </c>
      <c r="M330">
        <v>2503</v>
      </c>
      <c r="N330" s="5" t="str">
        <f>CASOPOInvCL!AF330</f>
        <v>Kumtor Gold Company</v>
      </c>
      <c r="O330" s="16" t="str">
        <f>CASOPOInvCL!AG330</f>
        <v>USD</v>
      </c>
      <c r="P330" s="16">
        <f>CASOPOInvCL!AH330</f>
        <v>12832.083881218166</v>
      </c>
      <c r="Q330" s="16">
        <f>CASOPOInvCL!AI330</f>
        <v>9235.77</v>
      </c>
      <c r="R330" s="32" t="str">
        <f>CASOPOInvCL!AU330</f>
        <v>Yes</v>
      </c>
      <c r="S330" s="16">
        <f>CASOPOInvCL!AV330</f>
        <v>0</v>
      </c>
      <c r="T330" s="16">
        <f>CASOPOInvCL!AW330</f>
        <v>9235.77</v>
      </c>
      <c r="V330" t="s">
        <v>5800</v>
      </c>
      <c r="Y330" s="29" t="str">
        <f>IFERROR(HLOOKUP(U330,List!$D$2:$H$6,2,FALSE),"")</f>
        <v/>
      </c>
      <c r="Z330" s="29">
        <f>IFERROR(HLOOKUP(V330,List!$D$2:$H$6,3,FALSE),"")</f>
        <v>5.0000000000000001E-3</v>
      </c>
      <c r="AA330" s="29" t="str">
        <f>IFERROR(HLOOKUP(W330,List!$D$2:$H$6,4,FALSE),"")</f>
        <v/>
      </c>
      <c r="AB330" s="29" t="str">
        <f>IFERROR(HLOOKUP(X330,List!$D$2:$H$6,5,FALSE),"")</f>
        <v/>
      </c>
      <c r="AC330" s="12" t="str">
        <f t="shared" si="65"/>
        <v/>
      </c>
      <c r="AD330" s="12">
        <f t="shared" si="66"/>
        <v>46.178850000000004</v>
      </c>
      <c r="AE330" s="12" t="str">
        <f t="shared" si="67"/>
        <v/>
      </c>
      <c r="AF330" s="12" t="str">
        <f t="shared" si="68"/>
        <v/>
      </c>
      <c r="AG330" t="str">
        <f>VLOOKUP(J330,'Receivable Invoice Detail'!$A$1:F3342,6,FALSE)</f>
        <v>[SA-202316-M1] Impeller (Agitator), Sala VS150, High Chrome</v>
      </c>
      <c r="AH330" s="12">
        <f t="shared" ref="AH330:AH332" si="75">SUM(AC330:AF330)</f>
        <v>46.178850000000004</v>
      </c>
      <c r="AM330" s="12" t="str">
        <f t="shared" si="69"/>
        <v/>
      </c>
      <c r="AN330" s="12">
        <f t="shared" si="70"/>
        <v>46.178850000000004</v>
      </c>
      <c r="AO330" s="12" t="str">
        <f t="shared" si="71"/>
        <v/>
      </c>
      <c r="AP330" s="12" t="str">
        <f t="shared" si="72"/>
        <v/>
      </c>
      <c r="AQ330" s="64">
        <v>2503</v>
      </c>
      <c r="AR330" t="s">
        <v>5932</v>
      </c>
      <c r="AS330" s="12">
        <f t="shared" si="73"/>
        <v>138.53655000000001</v>
      </c>
      <c r="AT330" s="16" t="str">
        <f t="shared" ref="AT330:AT393" si="76">R330</f>
        <v>Yes</v>
      </c>
    </row>
    <row r="331" spans="1:46" hidden="1" x14ac:dyDescent="0.25">
      <c r="A331" s="41">
        <f>CASOPOInvCL!T331</f>
        <v>3</v>
      </c>
      <c r="B331" t="str">
        <f>CASOPOInvCL!Z331</f>
        <v>SO16798</v>
      </c>
      <c r="D331" t="s">
        <v>5925</v>
      </c>
      <c r="G331" s="5">
        <f>CASOPOInvCL!I331</f>
        <v>0</v>
      </c>
      <c r="H331" s="31">
        <f>CASOPOInvCL!U331</f>
        <v>3</v>
      </c>
      <c r="I331" s="31">
        <f>CASOPOInvCL!V331</f>
        <v>2025</v>
      </c>
      <c r="J331" s="5" t="str">
        <f>CASOPOInvCL!AB331</f>
        <v>INV12916</v>
      </c>
      <c r="K331" s="31">
        <f>CASOPOInvCL!W331</f>
        <v>5</v>
      </c>
      <c r="L331" s="31">
        <f>CASOPOInvCL!X331</f>
        <v>2025</v>
      </c>
      <c r="M331">
        <v>2503</v>
      </c>
      <c r="N331" s="5" t="str">
        <f>CASOPOInvCL!AF331</f>
        <v>Kumtor Gold Company</v>
      </c>
      <c r="O331" s="16" t="str">
        <f>CASOPOInvCL!AG331</f>
        <v>USD</v>
      </c>
      <c r="P331" s="16">
        <f>CASOPOInvCL!AH331</f>
        <v>0</v>
      </c>
      <c r="Q331" s="16">
        <f>CASOPOInvCL!AI331</f>
        <v>0</v>
      </c>
      <c r="R331" s="32" t="str">
        <f>CASOPOInvCL!AU331</f>
        <v/>
      </c>
      <c r="S331" s="16">
        <f>CASOPOInvCL!AV331</f>
        <v>0</v>
      </c>
      <c r="T331" s="16">
        <f>CASOPOInvCL!AW331</f>
        <v>0</v>
      </c>
      <c r="V331" t="s">
        <v>5800</v>
      </c>
      <c r="Y331" s="29" t="str">
        <f>IFERROR(HLOOKUP(U331,List!$D$2:$H$6,2,FALSE),"")</f>
        <v/>
      </c>
      <c r="Z331" s="29">
        <f>IFERROR(HLOOKUP(V331,List!$D$2:$H$6,3,FALSE),"")</f>
        <v>5.0000000000000001E-3</v>
      </c>
      <c r="AA331" s="29" t="str">
        <f>IFERROR(HLOOKUP(W331,List!$D$2:$H$6,4,FALSE),"")</f>
        <v/>
      </c>
      <c r="AB331" s="29" t="str">
        <f>IFERROR(HLOOKUP(X331,List!$D$2:$H$6,5,FALSE),"")</f>
        <v/>
      </c>
      <c r="AC331" s="12" t="str">
        <f t="shared" si="65"/>
        <v/>
      </c>
      <c r="AD331" s="12">
        <f t="shared" si="66"/>
        <v>0</v>
      </c>
      <c r="AE331" s="12" t="str">
        <f t="shared" si="67"/>
        <v/>
      </c>
      <c r="AF331" s="12" t="str">
        <f t="shared" si="68"/>
        <v/>
      </c>
      <c r="AG331" t="str">
        <f>VLOOKUP(J331,'Receivable Invoice Detail'!$A$1:F3343,6,FALSE)</f>
        <v>[SA-202316-M1] Impeller (Agitator), Sala VS150, High Chrome</v>
      </c>
      <c r="AH331" s="12">
        <f t="shared" si="75"/>
        <v>0</v>
      </c>
      <c r="AM331" s="12" t="str">
        <f t="shared" si="69"/>
        <v/>
      </c>
      <c r="AN331" s="12">
        <f t="shared" si="70"/>
        <v>0</v>
      </c>
      <c r="AO331" s="12" t="str">
        <f t="shared" si="71"/>
        <v/>
      </c>
      <c r="AP331" s="12" t="str">
        <f t="shared" si="72"/>
        <v/>
      </c>
      <c r="AQ331" s="64">
        <v>2503</v>
      </c>
      <c r="AR331" t="s">
        <v>5932</v>
      </c>
      <c r="AS331" s="12">
        <f t="shared" si="73"/>
        <v>0</v>
      </c>
      <c r="AT331" s="16" t="str">
        <f t="shared" si="76"/>
        <v/>
      </c>
    </row>
    <row r="332" spans="1:46" hidden="1" x14ac:dyDescent="0.25">
      <c r="A332" s="41">
        <f>CASOPOInvCL!T332</f>
        <v>3</v>
      </c>
      <c r="B332" t="str">
        <f>CASOPOInvCL!Z332</f>
        <v>SO16798</v>
      </c>
      <c r="D332" t="s">
        <v>5925</v>
      </c>
      <c r="G332" s="5">
        <f>CASOPOInvCL!I332</f>
        <v>0</v>
      </c>
      <c r="H332" s="31">
        <f>CASOPOInvCL!U332</f>
        <v>3</v>
      </c>
      <c r="I332" s="31">
        <f>CASOPOInvCL!V332</f>
        <v>2025</v>
      </c>
      <c r="J332" s="5" t="str">
        <f>CASOPOInvCL!AB332</f>
        <v>INV13275</v>
      </c>
      <c r="K332" s="31">
        <f>CASOPOInvCL!W332</f>
        <v>8</v>
      </c>
      <c r="L332" s="31">
        <f>CASOPOInvCL!X332</f>
        <v>2025</v>
      </c>
      <c r="M332">
        <v>2503</v>
      </c>
      <c r="N332" s="5" t="str">
        <f>CASOPOInvCL!AF332</f>
        <v>Kumtor Gold Company</v>
      </c>
      <c r="O332" s="16" t="str">
        <f>CASOPOInvCL!AG332</f>
        <v>USD</v>
      </c>
      <c r="P332" s="16">
        <f>CASOPOInvCL!AH332</f>
        <v>0</v>
      </c>
      <c r="Q332" s="16">
        <f>CASOPOInvCL!AI332</f>
        <v>0</v>
      </c>
      <c r="R332" s="32" t="str">
        <f>CASOPOInvCL!AU332</f>
        <v/>
      </c>
      <c r="S332" s="16">
        <f>CASOPOInvCL!AV332</f>
        <v>0</v>
      </c>
      <c r="T332" s="16">
        <f>CASOPOInvCL!AW332</f>
        <v>0</v>
      </c>
      <c r="V332" t="s">
        <v>5800</v>
      </c>
      <c r="Y332" s="29" t="str">
        <f>IFERROR(HLOOKUP(U332,List!$D$2:$H$6,2,FALSE),"")</f>
        <v/>
      </c>
      <c r="Z332" s="29">
        <f>IFERROR(HLOOKUP(V332,List!$D$2:$H$6,3,FALSE),"")</f>
        <v>5.0000000000000001E-3</v>
      </c>
      <c r="AA332" s="29" t="str">
        <f>IFERROR(HLOOKUP(W332,List!$D$2:$H$6,4,FALSE),"")</f>
        <v/>
      </c>
      <c r="AB332" s="29" t="str">
        <f>IFERROR(HLOOKUP(X332,List!$D$2:$H$6,5,FALSE),"")</f>
        <v/>
      </c>
      <c r="AC332" s="12" t="str">
        <f t="shared" si="65"/>
        <v/>
      </c>
      <c r="AD332" s="12">
        <f t="shared" si="66"/>
        <v>0</v>
      </c>
      <c r="AE332" s="12" t="str">
        <f t="shared" si="67"/>
        <v/>
      </c>
      <c r="AF332" s="12" t="str">
        <f t="shared" si="68"/>
        <v/>
      </c>
      <c r="AG332" t="str">
        <f>VLOOKUP(J332,'Receivable Invoice Detail'!$A$1:F3344,6,FALSE)</f>
        <v>[FAS-10570, FASM-2157] Mechanical Seal, Ingersoll Dresser, 40-25CPX200 &amp; 65-40CPX160, Sil-Carb vs' Sil-Carb, Viton Bellows</v>
      </c>
      <c r="AH332" s="12">
        <f t="shared" si="75"/>
        <v>0</v>
      </c>
      <c r="AM332" s="12" t="str">
        <f t="shared" si="69"/>
        <v/>
      </c>
      <c r="AN332" s="12">
        <f t="shared" si="70"/>
        <v>0</v>
      </c>
      <c r="AO332" s="12" t="str">
        <f t="shared" si="71"/>
        <v/>
      </c>
      <c r="AP332" s="12" t="str">
        <f t="shared" si="72"/>
        <v/>
      </c>
      <c r="AQ332" s="64">
        <v>2503</v>
      </c>
      <c r="AR332" t="s">
        <v>5932</v>
      </c>
      <c r="AS332" s="12">
        <f t="shared" si="73"/>
        <v>0</v>
      </c>
      <c r="AT332" s="16" t="str">
        <f t="shared" si="76"/>
        <v/>
      </c>
    </row>
    <row r="333" spans="1:46" hidden="1" x14ac:dyDescent="0.25">
      <c r="A333" s="41">
        <f>CASOPOInvCL!T333</f>
        <v>1</v>
      </c>
      <c r="B333" t="str">
        <f>CASOPOInvCL!Z333</f>
        <v>SO16799</v>
      </c>
      <c r="G333" s="5" t="str">
        <f>CASOPOInvCL!I333</f>
        <v>Ian Trottier</v>
      </c>
      <c r="H333" s="31">
        <f>CASOPOInvCL!U333</f>
        <v>3</v>
      </c>
      <c r="I333" s="31">
        <f>CASOPOInvCL!V333</f>
        <v>2025</v>
      </c>
      <c r="J333" s="5" t="str">
        <f>CASOPOInvCL!AB333</f>
        <v>INV12788</v>
      </c>
      <c r="K333" s="31">
        <f>CASOPOInvCL!W333</f>
        <v>5</v>
      </c>
      <c r="L333" s="31">
        <f>CASOPOInvCL!X333</f>
        <v>2025</v>
      </c>
      <c r="M333" s="31"/>
      <c r="N333" s="5" t="str">
        <f>CASOPOInvCL!AF333</f>
        <v>Glencore Canada Corporation - Rouyn-Noranda</v>
      </c>
      <c r="O333" s="16" t="str">
        <f>CASOPOInvCL!AG333</f>
        <v>CAD</v>
      </c>
      <c r="P333" s="16">
        <f>CASOPOInvCL!AH333</f>
        <v>5315.42</v>
      </c>
      <c r="Q333" s="16">
        <f>CASOPOInvCL!AI333</f>
        <v>3708.9919045007082</v>
      </c>
      <c r="R333" s="32" t="str">
        <f>CASOPOInvCL!AU333</f>
        <v>Yes</v>
      </c>
      <c r="S333" s="16">
        <f>CASOPOInvCL!AV333</f>
        <v>0</v>
      </c>
      <c r="T333" s="16">
        <f>CASOPOInvCL!AW333</f>
        <v>3708.9919045007082</v>
      </c>
      <c r="Y333" s="29" t="str">
        <f>IFERROR(HLOOKUP(U333,List!$D$2:$H$6,2,FALSE),"")</f>
        <v/>
      </c>
      <c r="Z333" s="29" t="str">
        <f>IFERROR(HLOOKUP(V333,List!$D$2:$H$6,3,FALSE),"")</f>
        <v/>
      </c>
      <c r="AA333" s="29" t="str">
        <f>IFERROR(HLOOKUP(W333,List!$D$2:$H$6,4,FALSE),"")</f>
        <v/>
      </c>
      <c r="AB333" s="29" t="str">
        <f>IFERROR(HLOOKUP(X333,List!$D$2:$H$6,5,FALSE),"")</f>
        <v/>
      </c>
      <c r="AC333" s="12" t="str">
        <f t="shared" si="65"/>
        <v/>
      </c>
      <c r="AD333" s="12" t="str">
        <f t="shared" si="66"/>
        <v/>
      </c>
      <c r="AE333" s="12" t="str">
        <f t="shared" si="67"/>
        <v/>
      </c>
      <c r="AF333" s="12" t="str">
        <f t="shared" si="68"/>
        <v/>
      </c>
      <c r="AG333" t="str">
        <f>VLOOKUP(J333,'Receivable Invoice Detail'!$A$1:F3345,6,FALSE)</f>
        <v>[AC-98-331-958-831] Shaft Sleeve, 5x4/5x5/6X6 SRL-C &amp; SRL, 420SS Heat Treated, Hardened</v>
      </c>
      <c r="AM333" s="12" t="str">
        <f t="shared" si="69"/>
        <v/>
      </c>
      <c r="AN333" s="12" t="str">
        <f t="shared" si="70"/>
        <v/>
      </c>
      <c r="AO333" s="12" t="str">
        <f t="shared" si="71"/>
        <v/>
      </c>
      <c r="AP333" s="12" t="str">
        <f t="shared" si="72"/>
        <v/>
      </c>
      <c r="AQ333" s="12"/>
      <c r="AS333" s="12">
        <f t="shared" si="73"/>
        <v>55.634878567510619</v>
      </c>
      <c r="AT333" s="16" t="str">
        <f t="shared" si="76"/>
        <v>Yes</v>
      </c>
    </row>
    <row r="334" spans="1:46" hidden="1" x14ac:dyDescent="0.25">
      <c r="A334" s="41">
        <f>CASOPOInvCL!T334</f>
        <v>1</v>
      </c>
      <c r="B334" t="str">
        <f>CASOPOInvCL!Z334</f>
        <v>SO16803</v>
      </c>
      <c r="G334" s="5" t="str">
        <f>CASOPOInvCL!I334</f>
        <v>Ian Trottier</v>
      </c>
      <c r="H334" s="31">
        <f>CASOPOInvCL!U334</f>
        <v>3</v>
      </c>
      <c r="I334" s="31">
        <f>CASOPOInvCL!V334</f>
        <v>2025</v>
      </c>
      <c r="J334" s="5" t="str">
        <f>CASOPOInvCL!AB334</f>
        <v>INV12848</v>
      </c>
      <c r="K334" s="31">
        <f>CASOPOInvCL!W334</f>
        <v>6</v>
      </c>
      <c r="L334" s="31">
        <f>CASOPOInvCL!X334</f>
        <v>2025</v>
      </c>
      <c r="M334" s="31"/>
      <c r="N334" s="5" t="str">
        <f>CASOPOInvCL!AF334</f>
        <v>Resolute Forest Products - Saint-Felicien</v>
      </c>
      <c r="O334" s="16" t="str">
        <f>CASOPOInvCL!AG334</f>
        <v>CAD</v>
      </c>
      <c r="P334" s="16">
        <f>CASOPOInvCL!AH334</f>
        <v>1796.44</v>
      </c>
      <c r="Q334" s="16">
        <f>CASOPOInvCL!AI334</f>
        <v>1264.9129288859272</v>
      </c>
      <c r="R334" s="32" t="str">
        <f>CASOPOInvCL!AU334</f>
        <v>Yes</v>
      </c>
      <c r="S334" s="16">
        <f>CASOPOInvCL!AV334</f>
        <v>0</v>
      </c>
      <c r="T334" s="16">
        <f>CASOPOInvCL!AW334</f>
        <v>1264.9129288859272</v>
      </c>
      <c r="Y334" s="29" t="str">
        <f>IFERROR(HLOOKUP(U334,List!$D$2:$H$6,2,FALSE),"")</f>
        <v/>
      </c>
      <c r="Z334" s="29" t="str">
        <f>IFERROR(HLOOKUP(V334,List!$D$2:$H$6,3,FALSE),"")</f>
        <v/>
      </c>
      <c r="AA334" s="29" t="str">
        <f>IFERROR(HLOOKUP(W334,List!$D$2:$H$6,4,FALSE),"")</f>
        <v/>
      </c>
      <c r="AB334" s="29" t="str">
        <f>IFERROR(HLOOKUP(X334,List!$D$2:$H$6,5,FALSE),"")</f>
        <v/>
      </c>
      <c r="AC334" s="12" t="str">
        <f t="shared" si="65"/>
        <v/>
      </c>
      <c r="AD334" s="12" t="str">
        <f t="shared" si="66"/>
        <v/>
      </c>
      <c r="AE334" s="12" t="str">
        <f t="shared" si="67"/>
        <v/>
      </c>
      <c r="AF334" s="12" t="str">
        <f t="shared" si="68"/>
        <v/>
      </c>
      <c r="AG334" t="str">
        <f>VLOOKUP(J334,'Receivable Invoice Detail'!$A$1:F3346,6,FALSE)</f>
        <v>[AC-98-330-286-503] Impeller (Open), 3x3-10 SRL, Neoprene</v>
      </c>
      <c r="AM334" s="12" t="str">
        <f t="shared" si="69"/>
        <v/>
      </c>
      <c r="AN334" s="12" t="str">
        <f t="shared" si="70"/>
        <v/>
      </c>
      <c r="AO334" s="12" t="str">
        <f t="shared" si="71"/>
        <v/>
      </c>
      <c r="AP334" s="12" t="str">
        <f t="shared" si="72"/>
        <v/>
      </c>
      <c r="AQ334" s="12"/>
      <c r="AS334" s="12">
        <f t="shared" si="73"/>
        <v>18.973693933288907</v>
      </c>
      <c r="AT334" s="16" t="str">
        <f t="shared" si="76"/>
        <v>Yes</v>
      </c>
    </row>
    <row r="335" spans="1:46" hidden="1" x14ac:dyDescent="0.25">
      <c r="A335" s="41">
        <f>CASOPOInvCL!T335</f>
        <v>1</v>
      </c>
      <c r="B335" t="str">
        <f>CASOPOInvCL!Z335</f>
        <v>SO16804</v>
      </c>
      <c r="G335" s="5" t="str">
        <f>CASOPOInvCL!I335</f>
        <v>Ian Trottier</v>
      </c>
      <c r="H335" s="31">
        <f>CASOPOInvCL!U335</f>
        <v>3</v>
      </c>
      <c r="I335" s="31">
        <f>CASOPOInvCL!V335</f>
        <v>2025</v>
      </c>
      <c r="J335" s="5" t="str">
        <f>CASOPOInvCL!AB335</f>
        <v>INV12758</v>
      </c>
      <c r="K335" s="31">
        <f>CASOPOInvCL!W335</f>
        <v>5</v>
      </c>
      <c r="L335" s="31">
        <f>CASOPOInvCL!X335</f>
        <v>2025</v>
      </c>
      <c r="M335" s="31"/>
      <c r="N335" s="5" t="str">
        <f>CASOPOInvCL!AF335</f>
        <v>Resolute Forest Products - Saint-Felicien</v>
      </c>
      <c r="O335" s="16" t="str">
        <f>CASOPOInvCL!AG335</f>
        <v>CAD</v>
      </c>
      <c r="P335" s="16">
        <f>CASOPOInvCL!AH335</f>
        <v>301.76</v>
      </c>
      <c r="Q335" s="16">
        <f>CASOPOInvCL!AI335</f>
        <v>210.60215731754099</v>
      </c>
      <c r="R335" s="32" t="str">
        <f>CASOPOInvCL!AU335</f>
        <v>Yes</v>
      </c>
      <c r="S335" s="16">
        <f>CASOPOInvCL!AV335</f>
        <v>0</v>
      </c>
      <c r="T335" s="16">
        <f>CASOPOInvCL!AW335</f>
        <v>210.60215731754099</v>
      </c>
      <c r="Y335" s="29" t="str">
        <f>IFERROR(HLOOKUP(U335,List!$D$2:$H$6,2,FALSE),"")</f>
        <v/>
      </c>
      <c r="Z335" s="29" t="str">
        <f>IFERROR(HLOOKUP(V335,List!$D$2:$H$6,3,FALSE),"")</f>
        <v/>
      </c>
      <c r="AA335" s="29" t="str">
        <f>IFERROR(HLOOKUP(W335,List!$D$2:$H$6,4,FALSE),"")</f>
        <v/>
      </c>
      <c r="AB335" s="29" t="str">
        <f>IFERROR(HLOOKUP(X335,List!$D$2:$H$6,5,FALSE),"")</f>
        <v/>
      </c>
      <c r="AC335" s="12" t="str">
        <f t="shared" si="65"/>
        <v/>
      </c>
      <c r="AD335" s="12" t="str">
        <f t="shared" si="66"/>
        <v/>
      </c>
      <c r="AE335" s="12" t="str">
        <f t="shared" si="67"/>
        <v/>
      </c>
      <c r="AF335" s="12" t="str">
        <f t="shared" si="68"/>
        <v/>
      </c>
      <c r="AG335" t="str">
        <f>VLOOKUP(J335,'Receivable Invoice Detail'!$A$1:F3347,6,FALSE)</f>
        <v>[AC-52-108-475-012] Deflector (Inboard), Allis-Chalmers PWO, Group 2</v>
      </c>
      <c r="AM335" s="12" t="str">
        <f t="shared" si="69"/>
        <v/>
      </c>
      <c r="AN335" s="12" t="str">
        <f t="shared" si="70"/>
        <v/>
      </c>
      <c r="AO335" s="12" t="str">
        <f t="shared" si="71"/>
        <v/>
      </c>
      <c r="AP335" s="12" t="str">
        <f t="shared" si="72"/>
        <v/>
      </c>
      <c r="AQ335" s="12"/>
      <c r="AS335" s="12">
        <f t="shared" si="73"/>
        <v>3.1590323597631147</v>
      </c>
      <c r="AT335" s="16" t="str">
        <f t="shared" si="76"/>
        <v>Yes</v>
      </c>
    </row>
    <row r="336" spans="1:46" hidden="1" x14ac:dyDescent="0.25">
      <c r="A336" s="41">
        <f>CASOPOInvCL!T336</f>
        <v>1</v>
      </c>
      <c r="B336" t="str">
        <f>CASOPOInvCL!Z336</f>
        <v>SO16805</v>
      </c>
      <c r="G336" s="5" t="str">
        <f>CASOPOInvCL!I336</f>
        <v>Ian Trottier</v>
      </c>
      <c r="H336" s="31">
        <f>CASOPOInvCL!U336</f>
        <v>3</v>
      </c>
      <c r="I336" s="31">
        <f>CASOPOInvCL!V336</f>
        <v>2025</v>
      </c>
      <c r="J336" s="5" t="str">
        <f>CASOPOInvCL!AB336</f>
        <v>INV13049</v>
      </c>
      <c r="K336" s="31">
        <f>CASOPOInvCL!W336</f>
        <v>6</v>
      </c>
      <c r="L336" s="31">
        <f>CASOPOInvCL!X336</f>
        <v>2025</v>
      </c>
      <c r="M336" s="31"/>
      <c r="N336" s="5" t="str">
        <f>CASOPOInvCL!AF336</f>
        <v>Algoma Steel Inc.</v>
      </c>
      <c r="O336" s="16" t="str">
        <f>CASOPOInvCL!AG336</f>
        <v>CAD</v>
      </c>
      <c r="P336" s="16">
        <f>CASOPOInvCL!AH336</f>
        <v>12281.56</v>
      </c>
      <c r="Q336" s="16">
        <f>CASOPOInvCL!AI336</f>
        <v>8614.6373803377737</v>
      </c>
      <c r="R336" s="32" t="str">
        <f>CASOPOInvCL!AU336</f>
        <v>Yes</v>
      </c>
      <c r="S336" s="16">
        <f>CASOPOInvCL!AV336</f>
        <v>0</v>
      </c>
      <c r="T336" s="16">
        <f>CASOPOInvCL!AW336</f>
        <v>8614.6373803377737</v>
      </c>
      <c r="Y336" s="29" t="str">
        <f>IFERROR(HLOOKUP(U336,List!$D$2:$H$6,2,FALSE),"")</f>
        <v/>
      </c>
      <c r="Z336" s="29" t="str">
        <f>IFERROR(HLOOKUP(V336,List!$D$2:$H$6,3,FALSE),"")</f>
        <v/>
      </c>
      <c r="AA336" s="29" t="str">
        <f>IFERROR(HLOOKUP(W336,List!$D$2:$H$6,4,FALSE),"")</f>
        <v/>
      </c>
      <c r="AB336" s="29" t="str">
        <f>IFERROR(HLOOKUP(X336,List!$D$2:$H$6,5,FALSE),"")</f>
        <v/>
      </c>
      <c r="AC336" s="12" t="str">
        <f t="shared" si="65"/>
        <v/>
      </c>
      <c r="AD336" s="12" t="str">
        <f t="shared" si="66"/>
        <v/>
      </c>
      <c r="AE336" s="12" t="str">
        <f t="shared" si="67"/>
        <v/>
      </c>
      <c r="AF336" s="12" t="str">
        <f t="shared" si="68"/>
        <v/>
      </c>
      <c r="AG336" t="str">
        <f>VLOOKUP(J336,'Receivable Invoice Detail'!$A$1:F3348,6,FALSE)</f>
        <v>[G-C03061A01 1001] Suction Side Plate, 18x18-22XL, 3180-XL, Ductile Iron</v>
      </c>
      <c r="AM336" s="12" t="str">
        <f t="shared" si="69"/>
        <v/>
      </c>
      <c r="AN336" s="12" t="str">
        <f t="shared" si="70"/>
        <v/>
      </c>
      <c r="AO336" s="12" t="str">
        <f t="shared" si="71"/>
        <v/>
      </c>
      <c r="AP336" s="12" t="str">
        <f t="shared" si="72"/>
        <v/>
      </c>
      <c r="AQ336" s="12"/>
      <c r="AS336" s="12">
        <f t="shared" si="73"/>
        <v>129.21956070506661</v>
      </c>
      <c r="AT336" s="16" t="str">
        <f t="shared" si="76"/>
        <v>Yes</v>
      </c>
    </row>
    <row r="337" spans="1:46" hidden="1" x14ac:dyDescent="0.25">
      <c r="A337" s="41">
        <f>CASOPOInvCL!T337</f>
        <v>2</v>
      </c>
      <c r="B337" t="str">
        <f>CASOPOInvCL!Z337</f>
        <v>SO16809</v>
      </c>
      <c r="G337" s="5" t="str">
        <f>CASOPOInvCL!I337</f>
        <v>Ian Trottier</v>
      </c>
      <c r="H337" s="31">
        <f>CASOPOInvCL!U337</f>
        <v>3</v>
      </c>
      <c r="I337" s="31">
        <f>CASOPOInvCL!V337</f>
        <v>2025</v>
      </c>
      <c r="J337" s="5" t="str">
        <f>CASOPOInvCL!AB337</f>
        <v>INV13438</v>
      </c>
      <c r="K337" s="31" t="str">
        <f>CASOPOInvCL!W337</f>
        <v/>
      </c>
      <c r="L337" s="31" t="str">
        <f>CASOPOInvCL!X337</f>
        <v/>
      </c>
      <c r="M337" s="31"/>
      <c r="N337" s="5" t="str">
        <f>CASOPOInvCL!AF337</f>
        <v>Wajax Limited - Noranda</v>
      </c>
      <c r="O337" s="16" t="str">
        <f>CASOPOInvCL!AG337</f>
        <v>CAD</v>
      </c>
      <c r="P337" s="16">
        <f>CASOPOInvCL!AH337</f>
        <v>7992.87</v>
      </c>
      <c r="Q337" s="16">
        <f>CASOPOInvCL!AI337</f>
        <v>5809.2122255165123</v>
      </c>
      <c r="R337" s="32" t="str">
        <f>CASOPOInvCL!AU337</f>
        <v/>
      </c>
      <c r="S337" s="16">
        <f>CASOPOInvCL!AV337</f>
        <v>0</v>
      </c>
      <c r="T337" s="16">
        <f>CASOPOInvCL!AW337</f>
        <v>0</v>
      </c>
      <c r="Y337" s="29" t="str">
        <f>IFERROR(HLOOKUP(U337,List!$D$2:$H$6,2,FALSE),"")</f>
        <v/>
      </c>
      <c r="Z337" s="29" t="str">
        <f>IFERROR(HLOOKUP(V337,List!$D$2:$H$6,3,FALSE),"")</f>
        <v/>
      </c>
      <c r="AA337" s="29" t="str">
        <f>IFERROR(HLOOKUP(W337,List!$D$2:$H$6,4,FALSE),"")</f>
        <v/>
      </c>
      <c r="AB337" s="29" t="str">
        <f>IFERROR(HLOOKUP(X337,List!$D$2:$H$6,5,FALSE),"")</f>
        <v/>
      </c>
      <c r="AC337" s="12" t="str">
        <f t="shared" si="65"/>
        <v/>
      </c>
      <c r="AD337" s="12" t="str">
        <f t="shared" si="66"/>
        <v/>
      </c>
      <c r="AE337" s="12" t="str">
        <f t="shared" si="67"/>
        <v/>
      </c>
      <c r="AF337" s="12" t="str">
        <f t="shared" si="68"/>
        <v/>
      </c>
      <c r="AG337" t="e">
        <f>VLOOKUP(J337,'Receivable Invoice Detail'!$A$1:F3349,6,FALSE)</f>
        <v>#N/A</v>
      </c>
      <c r="AM337" s="12" t="str">
        <f t="shared" si="69"/>
        <v/>
      </c>
      <c r="AN337" s="12" t="str">
        <f t="shared" si="70"/>
        <v/>
      </c>
      <c r="AO337" s="12" t="str">
        <f t="shared" si="71"/>
        <v/>
      </c>
      <c r="AP337" s="12" t="str">
        <f t="shared" si="72"/>
        <v/>
      </c>
      <c r="AQ337" s="12"/>
      <c r="AS337" s="12">
        <f t="shared" si="73"/>
        <v>0</v>
      </c>
      <c r="AT337" s="16" t="str">
        <f t="shared" si="76"/>
        <v/>
      </c>
    </row>
    <row r="338" spans="1:46" hidden="1" x14ac:dyDescent="0.25">
      <c r="A338" s="41">
        <f>CASOPOInvCL!T338</f>
        <v>2</v>
      </c>
      <c r="B338" t="str">
        <f>CASOPOInvCL!Z338</f>
        <v>SO16809</v>
      </c>
      <c r="G338" s="5">
        <f>CASOPOInvCL!I338</f>
        <v>0</v>
      </c>
      <c r="H338" s="31">
        <f>CASOPOInvCL!U338</f>
        <v>3</v>
      </c>
      <c r="I338" s="31">
        <f>CASOPOInvCL!V338</f>
        <v>2025</v>
      </c>
      <c r="J338" s="5" t="str">
        <f>CASOPOInvCL!AB338</f>
        <v>INV13026</v>
      </c>
      <c r="K338" s="31">
        <f>CASOPOInvCL!W338</f>
        <v>7</v>
      </c>
      <c r="L338" s="31">
        <f>CASOPOInvCL!X338</f>
        <v>2025</v>
      </c>
      <c r="M338" s="31"/>
      <c r="N338" s="5" t="str">
        <f>CASOPOInvCL!AF338</f>
        <v>Wajax Limited - Noranda</v>
      </c>
      <c r="O338" s="16" t="str">
        <f>CASOPOInvCL!AG338</f>
        <v>CAD</v>
      </c>
      <c r="P338" s="16">
        <f>CASOPOInvCL!AH338</f>
        <v>0</v>
      </c>
      <c r="Q338" s="16">
        <f>CASOPOInvCL!AI338</f>
        <v>0</v>
      </c>
      <c r="R338" s="32" t="str">
        <f>CASOPOInvCL!AU338</f>
        <v/>
      </c>
      <c r="S338" s="16">
        <f>CASOPOInvCL!AV338</f>
        <v>0</v>
      </c>
      <c r="T338" s="16">
        <f>CASOPOInvCL!AW338</f>
        <v>0</v>
      </c>
      <c r="Y338" s="29" t="str">
        <f>IFERROR(HLOOKUP(U338,List!$D$2:$H$6,2,FALSE),"")</f>
        <v/>
      </c>
      <c r="Z338" s="29" t="str">
        <f>IFERROR(HLOOKUP(V338,List!$D$2:$H$6,3,FALSE),"")</f>
        <v/>
      </c>
      <c r="AA338" s="29" t="str">
        <f>IFERROR(HLOOKUP(W338,List!$D$2:$H$6,4,FALSE),"")</f>
        <v/>
      </c>
      <c r="AB338" s="29" t="str">
        <f>IFERROR(HLOOKUP(X338,List!$D$2:$H$6,5,FALSE),"")</f>
        <v/>
      </c>
      <c r="AC338" s="12" t="str">
        <f t="shared" si="65"/>
        <v/>
      </c>
      <c r="AD338" s="12" t="str">
        <f t="shared" si="66"/>
        <v/>
      </c>
      <c r="AE338" s="12" t="str">
        <f t="shared" si="67"/>
        <v/>
      </c>
      <c r="AF338" s="12" t="str">
        <f t="shared" si="68"/>
        <v/>
      </c>
      <c r="AG338" t="str">
        <f>VLOOKUP(J338,'Receivable Invoice Detail'!$A$1:F3350,6,FALSE)</f>
        <v>[G-C02495A032 5302] Shaft Sleeve O-Ring, 5x4-14 SRL-C, Buna</v>
      </c>
      <c r="AM338" s="12" t="str">
        <f t="shared" si="69"/>
        <v/>
      </c>
      <c r="AN338" s="12" t="str">
        <f t="shared" si="70"/>
        <v/>
      </c>
      <c r="AO338" s="12" t="str">
        <f t="shared" si="71"/>
        <v/>
      </c>
      <c r="AP338" s="12" t="str">
        <f t="shared" si="72"/>
        <v/>
      </c>
      <c r="AQ338" s="12"/>
      <c r="AS338" s="12">
        <f t="shared" si="73"/>
        <v>0</v>
      </c>
      <c r="AT338" s="16" t="str">
        <f t="shared" si="76"/>
        <v/>
      </c>
    </row>
    <row r="339" spans="1:46" hidden="1" x14ac:dyDescent="0.25">
      <c r="A339" s="41">
        <f>CASOPOInvCL!T339</f>
        <v>1</v>
      </c>
      <c r="B339" t="str">
        <f>CASOPOInvCL!Z339</f>
        <v>SO16812</v>
      </c>
      <c r="G339" s="5" t="str">
        <f>CASOPOInvCL!I339</f>
        <v>Amanda Qiao</v>
      </c>
      <c r="H339" s="31">
        <f>CASOPOInvCL!U339</f>
        <v>3</v>
      </c>
      <c r="I339" s="31">
        <f>CASOPOInvCL!V339</f>
        <v>2025</v>
      </c>
      <c r="J339" s="5" t="str">
        <f>CASOPOInvCL!AB339</f>
        <v>INV12869</v>
      </c>
      <c r="K339" s="31">
        <f>CASOPOInvCL!W339</f>
        <v>5</v>
      </c>
      <c r="L339" s="31">
        <f>CASOPOInvCL!X339</f>
        <v>2025</v>
      </c>
      <c r="M339" s="31"/>
      <c r="N339" s="5" t="str">
        <f>CASOPOInvCL!AF339</f>
        <v>Hisco Pump Inc.</v>
      </c>
      <c r="O339" s="16" t="str">
        <f>CASOPOInvCL!AG339</f>
        <v>USD</v>
      </c>
      <c r="P339" s="16">
        <f>CASOPOInvCL!AH339</f>
        <v>6778.1829007718588</v>
      </c>
      <c r="Q339" s="16">
        <f>CASOPOInvCL!AI339</f>
        <v>4776.59</v>
      </c>
      <c r="R339" s="32" t="str">
        <f>CASOPOInvCL!AU339</f>
        <v>Yes</v>
      </c>
      <c r="S339" s="16">
        <f>CASOPOInvCL!AV339</f>
        <v>543</v>
      </c>
      <c r="T339" s="16">
        <f>CASOPOInvCL!AW339</f>
        <v>4233.59</v>
      </c>
      <c r="Y339" s="29" t="str">
        <f>IFERROR(HLOOKUP(U339,List!$D$2:$H$6,2,FALSE),"")</f>
        <v/>
      </c>
      <c r="Z339" s="29" t="str">
        <f>IFERROR(HLOOKUP(V339,List!$D$2:$H$6,3,FALSE),"")</f>
        <v/>
      </c>
      <c r="AA339" s="29" t="str">
        <f>IFERROR(HLOOKUP(W339,List!$D$2:$H$6,4,FALSE),"")</f>
        <v/>
      </c>
      <c r="AB339" s="29" t="str">
        <f>IFERROR(HLOOKUP(X339,List!$D$2:$H$6,5,FALSE),"")</f>
        <v/>
      </c>
      <c r="AC339" s="12" t="str">
        <f t="shared" si="65"/>
        <v/>
      </c>
      <c r="AD339" s="12" t="str">
        <f t="shared" si="66"/>
        <v/>
      </c>
      <c r="AE339" s="12" t="str">
        <f t="shared" si="67"/>
        <v/>
      </c>
      <c r="AF339" s="12" t="str">
        <f t="shared" si="68"/>
        <v/>
      </c>
      <c r="AG339" t="str">
        <f>VLOOKUP(J339,'Receivable Invoice Detail'!$A$1:F3351,6,FALSE)</f>
        <v>[AC-98-431-641-501] Impeller (Closed), 10x8-21 SRL-C, Natural Rubber</v>
      </c>
      <c r="AM339" s="12" t="str">
        <f t="shared" si="69"/>
        <v/>
      </c>
      <c r="AN339" s="12" t="str">
        <f t="shared" si="70"/>
        <v/>
      </c>
      <c r="AO339" s="12" t="str">
        <f t="shared" si="71"/>
        <v/>
      </c>
      <c r="AP339" s="12" t="str">
        <f t="shared" si="72"/>
        <v/>
      </c>
      <c r="AQ339" s="12"/>
      <c r="AS339" s="12">
        <f t="shared" si="73"/>
        <v>63.50385</v>
      </c>
      <c r="AT339" s="16" t="str">
        <f t="shared" si="76"/>
        <v>Yes</v>
      </c>
    </row>
    <row r="340" spans="1:46" hidden="1" x14ac:dyDescent="0.25">
      <c r="A340" s="41">
        <f>CASOPOInvCL!T340</f>
        <v>2</v>
      </c>
      <c r="B340" t="str">
        <f>CASOPOInvCL!Z340</f>
        <v>SO16813</v>
      </c>
      <c r="E340" t="s">
        <v>5847</v>
      </c>
      <c r="G340" s="5" t="str">
        <f>CASOPOInvCL!I340</f>
        <v>Amanda Qiao</v>
      </c>
      <c r="H340" s="31">
        <f>CASOPOInvCL!U340</f>
        <v>3</v>
      </c>
      <c r="I340" s="31">
        <f>CASOPOInvCL!V340</f>
        <v>2025</v>
      </c>
      <c r="J340" s="5" t="str">
        <f>CASOPOInvCL!AB340</f>
        <v>INV12986</v>
      </c>
      <c r="K340" s="31">
        <f>CASOPOInvCL!W340</f>
        <v>7</v>
      </c>
      <c r="L340" s="31">
        <f>CASOPOInvCL!X340</f>
        <v>2025</v>
      </c>
      <c r="M340">
        <v>2503</v>
      </c>
      <c r="N340" s="5" t="str">
        <f>CASOPOInvCL!AF340</f>
        <v>AGM Inc.</v>
      </c>
      <c r="O340" s="16" t="str">
        <f>CASOPOInvCL!AG340</f>
        <v>USD</v>
      </c>
      <c r="P340" s="16">
        <f>CASOPOInvCL!AH340</f>
        <v>19956.495994094497</v>
      </c>
      <c r="Q340" s="16">
        <f>CASOPOInvCL!AI340</f>
        <v>13904.8</v>
      </c>
      <c r="R340" s="32" t="str">
        <f>CASOPOInvCL!AU340</f>
        <v>Yes</v>
      </c>
      <c r="S340" s="16">
        <f>CASOPOInvCL!AV340</f>
        <v>0</v>
      </c>
      <c r="T340" s="16">
        <f>CASOPOInvCL!AW340</f>
        <v>13904.8</v>
      </c>
      <c r="W340" t="s">
        <v>5800</v>
      </c>
      <c r="Y340" s="29" t="str">
        <f>IFERROR(HLOOKUP(U340,List!$D$2:$H$6,2,FALSE),"")</f>
        <v/>
      </c>
      <c r="Z340" s="29" t="str">
        <f>IFERROR(HLOOKUP(V340,List!$D$2:$H$6,3,FALSE),"")</f>
        <v/>
      </c>
      <c r="AA340" s="29">
        <f>IFERROR(HLOOKUP(W340,List!$D$2:$H$6,4,FALSE),"")</f>
        <v>0.01</v>
      </c>
      <c r="AB340" s="29" t="str">
        <f>IFERROR(HLOOKUP(X340,List!$D$2:$H$6,5,FALSE),"")</f>
        <v/>
      </c>
      <c r="AC340" s="12" t="str">
        <f t="shared" si="65"/>
        <v/>
      </c>
      <c r="AD340" s="12" t="str">
        <f t="shared" si="66"/>
        <v/>
      </c>
      <c r="AE340" s="12">
        <f t="shared" si="67"/>
        <v>139.048</v>
      </c>
      <c r="AF340" s="12" t="str">
        <f t="shared" si="68"/>
        <v/>
      </c>
      <c r="AG340" t="str">
        <f>VLOOKUP(J340,'Receivable Invoice Detail'!$A$1:F3352,6,FALSE)</f>
        <v>[W-SH075/C21] Shaft Sleeve, 10/8 to 14/12 ST-AH, 420SS Heat Treated, Hardened</v>
      </c>
      <c r="AK340">
        <v>2503</v>
      </c>
      <c r="AM340" s="12" t="str">
        <f t="shared" si="69"/>
        <v/>
      </c>
      <c r="AN340" s="12" t="str">
        <f t="shared" si="70"/>
        <v/>
      </c>
      <c r="AO340" s="12">
        <f t="shared" si="71"/>
        <v>0</v>
      </c>
      <c r="AP340" s="12" t="str">
        <f t="shared" si="72"/>
        <v/>
      </c>
      <c r="AQ340" s="64">
        <v>2503</v>
      </c>
      <c r="AR340" t="s">
        <v>5932</v>
      </c>
      <c r="AS340" s="12">
        <f t="shared" si="73"/>
        <v>208.57199999999997</v>
      </c>
      <c r="AT340" s="16" t="str">
        <f t="shared" si="76"/>
        <v>Yes</v>
      </c>
    </row>
    <row r="341" spans="1:46" hidden="1" x14ac:dyDescent="0.25">
      <c r="A341" s="41">
        <f>CASOPOInvCL!T341</f>
        <v>2</v>
      </c>
      <c r="B341" t="str">
        <f>CASOPOInvCL!Z341</f>
        <v>SO16813</v>
      </c>
      <c r="E341" t="s">
        <v>5847</v>
      </c>
      <c r="G341" s="5">
        <f>CASOPOInvCL!I341</f>
        <v>0</v>
      </c>
      <c r="H341" s="31">
        <f>CASOPOInvCL!U341</f>
        <v>3</v>
      </c>
      <c r="I341" s="31">
        <f>CASOPOInvCL!V341</f>
        <v>2025</v>
      </c>
      <c r="J341" s="5" t="str">
        <f>CASOPOInvCL!AB341</f>
        <v>INV12845</v>
      </c>
      <c r="K341" s="31">
        <f>CASOPOInvCL!W341</f>
        <v>8</v>
      </c>
      <c r="L341" s="31">
        <f>CASOPOInvCL!X341</f>
        <v>2025</v>
      </c>
      <c r="M341">
        <v>2503</v>
      </c>
      <c r="N341" s="5" t="str">
        <f>CASOPOInvCL!AF341</f>
        <v>AGM Inc.</v>
      </c>
      <c r="O341" s="16" t="str">
        <f>CASOPOInvCL!AG341</f>
        <v>USD</v>
      </c>
      <c r="P341" s="16">
        <f>CASOPOInvCL!AH341</f>
        <v>0</v>
      </c>
      <c r="Q341" s="16">
        <f>CASOPOInvCL!AI341</f>
        <v>0</v>
      </c>
      <c r="R341" s="32" t="str">
        <f>CASOPOInvCL!AU341</f>
        <v/>
      </c>
      <c r="S341" s="16">
        <f>CASOPOInvCL!AV341</f>
        <v>0</v>
      </c>
      <c r="T341" s="16">
        <f>CASOPOInvCL!AW341</f>
        <v>0</v>
      </c>
      <c r="W341" t="s">
        <v>5800</v>
      </c>
      <c r="Y341" s="29" t="str">
        <f>IFERROR(HLOOKUP(U341,List!$D$2:$H$6,2,FALSE),"")</f>
        <v/>
      </c>
      <c r="Z341" s="29" t="str">
        <f>IFERROR(HLOOKUP(V341,List!$D$2:$H$6,3,FALSE),"")</f>
        <v/>
      </c>
      <c r="AA341" s="29">
        <f>IFERROR(HLOOKUP(W341,List!$D$2:$H$6,4,FALSE),"")</f>
        <v>0.01</v>
      </c>
      <c r="AB341" s="29" t="str">
        <f>IFERROR(HLOOKUP(X341,List!$D$2:$H$6,5,FALSE),"")</f>
        <v/>
      </c>
      <c r="AC341" s="12" t="str">
        <f t="shared" si="65"/>
        <v/>
      </c>
      <c r="AD341" s="12" t="str">
        <f t="shared" si="66"/>
        <v/>
      </c>
      <c r="AE341" s="12">
        <f t="shared" si="67"/>
        <v>0</v>
      </c>
      <c r="AF341" s="12" t="str">
        <f t="shared" si="68"/>
        <v/>
      </c>
      <c r="AG341" t="str">
        <f>VLOOKUP(J341,'Receivable Invoice Detail'!$A$1:F3353,6,FALSE)</f>
        <v>[W-SH075/C21] Shaft Sleeve, 10/8 to 14/12 ST-AH, 420SS Heat Treated, Hardened</v>
      </c>
      <c r="AK341">
        <v>2503</v>
      </c>
      <c r="AM341" s="12" t="str">
        <f t="shared" si="69"/>
        <v/>
      </c>
      <c r="AN341" s="12" t="str">
        <f t="shared" si="70"/>
        <v/>
      </c>
      <c r="AO341" s="12">
        <f t="shared" si="71"/>
        <v>0</v>
      </c>
      <c r="AP341" s="12" t="str">
        <f t="shared" si="72"/>
        <v/>
      </c>
      <c r="AQ341" s="64">
        <v>2503</v>
      </c>
      <c r="AR341" t="s">
        <v>5932</v>
      </c>
      <c r="AS341" s="12">
        <f t="shared" si="73"/>
        <v>0</v>
      </c>
      <c r="AT341" s="16" t="str">
        <f t="shared" si="76"/>
        <v/>
      </c>
    </row>
    <row r="342" spans="1:46" hidden="1" x14ac:dyDescent="0.25">
      <c r="A342" s="41">
        <f>CASOPOInvCL!T342</f>
        <v>1</v>
      </c>
      <c r="B342" t="str">
        <f>CASOPOInvCL!Z342</f>
        <v>SO16814</v>
      </c>
      <c r="G342" s="5" t="str">
        <f>CASOPOInvCL!I342</f>
        <v>Ian Trottier</v>
      </c>
      <c r="H342" s="31">
        <f>CASOPOInvCL!U342</f>
        <v>3</v>
      </c>
      <c r="I342" s="31">
        <f>CASOPOInvCL!V342</f>
        <v>2025</v>
      </c>
      <c r="J342" s="5" t="str">
        <f>CASOPOInvCL!AB342</f>
        <v>INV12781</v>
      </c>
      <c r="K342" s="31">
        <f>CASOPOInvCL!W342</f>
        <v>4</v>
      </c>
      <c r="L342" s="31">
        <f>CASOPOInvCL!X342</f>
        <v>2025</v>
      </c>
      <c r="M342" s="31"/>
      <c r="N342" s="5" t="str">
        <f>CASOPOInvCL!AF342</f>
        <v>Kumtor Gold Company</v>
      </c>
      <c r="O342" s="16" t="str">
        <f>CASOPOInvCL!AG342</f>
        <v>USD</v>
      </c>
      <c r="P342" s="16">
        <f>CASOPOInvCL!AH342</f>
        <v>7831.9305086640406</v>
      </c>
      <c r="Q342" s="16">
        <f>CASOPOInvCL!AI342</f>
        <v>5473.35</v>
      </c>
      <c r="R342" s="32" t="str">
        <f>CASOPOInvCL!AU342</f>
        <v>Yes</v>
      </c>
      <c r="S342" s="16">
        <f>CASOPOInvCL!AV342</f>
        <v>0</v>
      </c>
      <c r="T342" s="16">
        <f>CASOPOInvCL!AW342</f>
        <v>5473.35</v>
      </c>
      <c r="Y342" s="29" t="str">
        <f>IFERROR(HLOOKUP(U342,List!$D$2:$H$6,2,FALSE),"")</f>
        <v/>
      </c>
      <c r="Z342" s="29" t="str">
        <f>IFERROR(HLOOKUP(V342,List!$D$2:$H$6,3,FALSE),"")</f>
        <v/>
      </c>
      <c r="AA342" s="29" t="str">
        <f>IFERROR(HLOOKUP(W342,List!$D$2:$H$6,4,FALSE),"")</f>
        <v/>
      </c>
      <c r="AB342" s="29" t="str">
        <f>IFERROR(HLOOKUP(X342,List!$D$2:$H$6,5,FALSE),"")</f>
        <v/>
      </c>
      <c r="AC342" s="12" t="str">
        <f t="shared" si="65"/>
        <v/>
      </c>
      <c r="AD342" s="12" t="str">
        <f t="shared" si="66"/>
        <v/>
      </c>
      <c r="AE342" s="12" t="str">
        <f t="shared" si="67"/>
        <v/>
      </c>
      <c r="AF342" s="12" t="str">
        <f t="shared" si="68"/>
        <v/>
      </c>
      <c r="AG342" t="str">
        <f>VLOOKUP(J342,'Receivable Invoice Detail'!$A$1:F3354,6,FALSE)</f>
        <v>[AC-98-236-104-004] Shaft Sleeve, 8x6-18 &amp; 10x8-21 SRL-C, 420SS Heat Treated, Hardened</v>
      </c>
      <c r="AM342" s="12" t="str">
        <f t="shared" si="69"/>
        <v/>
      </c>
      <c r="AN342" s="12" t="str">
        <f t="shared" si="70"/>
        <v/>
      </c>
      <c r="AO342" s="12" t="str">
        <f t="shared" si="71"/>
        <v/>
      </c>
      <c r="AP342" s="12" t="str">
        <f t="shared" si="72"/>
        <v/>
      </c>
      <c r="AQ342" s="12"/>
      <c r="AS342" s="12">
        <f t="shared" si="73"/>
        <v>82.100250000000003</v>
      </c>
      <c r="AT342" s="16" t="str">
        <f t="shared" si="76"/>
        <v>Yes</v>
      </c>
    </row>
    <row r="343" spans="1:46" hidden="1" x14ac:dyDescent="0.25">
      <c r="A343" s="41">
        <f>CASOPOInvCL!T343</f>
        <v>1</v>
      </c>
      <c r="B343" t="str">
        <f>CASOPOInvCL!Z343</f>
        <v>SO16815</v>
      </c>
      <c r="G343" s="5" t="str">
        <f>CASOPOInvCL!I343</f>
        <v>Ian Trottier</v>
      </c>
      <c r="H343" s="31">
        <f>CASOPOInvCL!U343</f>
        <v>3</v>
      </c>
      <c r="I343" s="31">
        <f>CASOPOInvCL!V343</f>
        <v>2025</v>
      </c>
      <c r="J343" s="5" t="str">
        <f>CASOPOInvCL!AB343</f>
        <v>INV12814</v>
      </c>
      <c r="K343" s="31">
        <f>CASOPOInvCL!W343</f>
        <v>5</v>
      </c>
      <c r="L343" s="31">
        <f>CASOPOInvCL!X343</f>
        <v>2025</v>
      </c>
      <c r="M343" s="31"/>
      <c r="N343" s="5" t="str">
        <f>CASOPOInvCL!AF343</f>
        <v>Canadian Bearings Ltd.</v>
      </c>
      <c r="O343" s="16" t="str">
        <f>CASOPOInvCL!AG343</f>
        <v>CAD</v>
      </c>
      <c r="P343" s="16">
        <f>CASOPOInvCL!AH343</f>
        <v>2155.7800000000002</v>
      </c>
      <c r="Q343" s="16">
        <f>CASOPOInvCL!AI343</f>
        <v>1505.6641489296369</v>
      </c>
      <c r="R343" s="32" t="str">
        <f>CASOPOInvCL!AU343</f>
        <v>Yes</v>
      </c>
      <c r="S343" s="16">
        <f>CASOPOInvCL!AV343</f>
        <v>0</v>
      </c>
      <c r="T343" s="16">
        <f>CASOPOInvCL!AW343</f>
        <v>1505.6641489296369</v>
      </c>
      <c r="Y343" s="29" t="str">
        <f>IFERROR(HLOOKUP(U343,List!$D$2:$H$6,2,FALSE),"")</f>
        <v/>
      </c>
      <c r="Z343" s="29" t="str">
        <f>IFERROR(HLOOKUP(V343,List!$D$2:$H$6,3,FALSE),"")</f>
        <v/>
      </c>
      <c r="AA343" s="29" t="str">
        <f>IFERROR(HLOOKUP(W343,List!$D$2:$H$6,4,FALSE),"")</f>
        <v/>
      </c>
      <c r="AB343" s="29" t="str">
        <f>IFERROR(HLOOKUP(X343,List!$D$2:$H$6,5,FALSE),"")</f>
        <v/>
      </c>
      <c r="AC343" s="12" t="str">
        <f t="shared" si="65"/>
        <v/>
      </c>
      <c r="AD343" s="12" t="str">
        <f t="shared" si="66"/>
        <v/>
      </c>
      <c r="AE343" s="12" t="str">
        <f t="shared" si="67"/>
        <v/>
      </c>
      <c r="AF343" s="12" t="str">
        <f t="shared" si="68"/>
        <v/>
      </c>
      <c r="AG343" t="str">
        <f>VLOOKUP(J343,'Receivable Invoice Detail'!$A$1:F3355,6,FALSE)</f>
        <v>[AC-98-236-348-501] Packing Gland (2 Half/Set), Allis Chalmers PWO, Group 3 &amp; 4, 316SS</v>
      </c>
      <c r="AM343" s="12" t="str">
        <f t="shared" si="69"/>
        <v/>
      </c>
      <c r="AN343" s="12" t="str">
        <f t="shared" si="70"/>
        <v/>
      </c>
      <c r="AO343" s="12" t="str">
        <f t="shared" si="71"/>
        <v/>
      </c>
      <c r="AP343" s="12" t="str">
        <f t="shared" si="72"/>
        <v/>
      </c>
      <c r="AQ343" s="12"/>
      <c r="AS343" s="12">
        <f t="shared" si="73"/>
        <v>22.584962233944552</v>
      </c>
      <c r="AT343" s="16" t="str">
        <f t="shared" si="76"/>
        <v>Yes</v>
      </c>
    </row>
    <row r="344" spans="1:46" hidden="1" x14ac:dyDescent="0.25">
      <c r="A344" s="41">
        <f>CASOPOInvCL!T344</f>
        <v>1</v>
      </c>
      <c r="B344" t="str">
        <f>CASOPOInvCL!Z344</f>
        <v>SO16816</v>
      </c>
      <c r="G344" s="5" t="str">
        <f>CASOPOInvCL!I344</f>
        <v>Ian Trottier</v>
      </c>
      <c r="H344" s="31">
        <f>CASOPOInvCL!U344</f>
        <v>3</v>
      </c>
      <c r="I344" s="31">
        <f>CASOPOInvCL!V344</f>
        <v>2025</v>
      </c>
      <c r="J344" s="5" t="str">
        <f>CASOPOInvCL!AB344</f>
        <v>INV12778</v>
      </c>
      <c r="K344" s="31">
        <f>CASOPOInvCL!W344</f>
        <v>5</v>
      </c>
      <c r="L344" s="31">
        <f>CASOPOInvCL!X344</f>
        <v>2025</v>
      </c>
      <c r="M344" s="31"/>
      <c r="N344" s="5" t="str">
        <f>CASOPOInvCL!AF344</f>
        <v>Canadian Bearings Ltd.</v>
      </c>
      <c r="O344" s="16" t="str">
        <f>CASOPOInvCL!AG344</f>
        <v>CAD</v>
      </c>
      <c r="P344" s="16">
        <f>CASOPOInvCL!AH344</f>
        <v>160.08000000000001</v>
      </c>
      <c r="Q344" s="16">
        <f>CASOPOInvCL!AI344</f>
        <v>111.99115447832716</v>
      </c>
      <c r="R344" s="32" t="str">
        <f>CASOPOInvCL!AU344</f>
        <v>Yes</v>
      </c>
      <c r="S344" s="16">
        <f>CASOPOInvCL!AV344</f>
        <v>0</v>
      </c>
      <c r="T344" s="16">
        <f>CASOPOInvCL!AW344</f>
        <v>111.99115447832716</v>
      </c>
      <c r="Y344" s="29" t="str">
        <f>IFERROR(HLOOKUP(U344,List!$D$2:$H$6,2,FALSE),"")</f>
        <v/>
      </c>
      <c r="Z344" s="29" t="str">
        <f>IFERROR(HLOOKUP(V344,List!$D$2:$H$6,3,FALSE),"")</f>
        <v/>
      </c>
      <c r="AA344" s="29" t="str">
        <f>IFERROR(HLOOKUP(W344,List!$D$2:$H$6,4,FALSE),"")</f>
        <v/>
      </c>
      <c r="AB344" s="29" t="str">
        <f>IFERROR(HLOOKUP(X344,List!$D$2:$H$6,5,FALSE),"")</f>
        <v/>
      </c>
      <c r="AC344" s="12" t="str">
        <f t="shared" si="65"/>
        <v/>
      </c>
      <c r="AD344" s="12" t="str">
        <f t="shared" si="66"/>
        <v/>
      </c>
      <c r="AE344" s="12" t="str">
        <f t="shared" si="67"/>
        <v/>
      </c>
      <c r="AF344" s="12" t="str">
        <f t="shared" si="68"/>
        <v/>
      </c>
      <c r="AG344" t="str">
        <f>VLOOKUP(J344,'Receivable Invoice Detail'!$A$1:F3356,6,FALSE)</f>
        <v>[AC-98-430-807-163] Casing Gasket, 21", PWO Frame 3</v>
      </c>
      <c r="AM344" s="12" t="str">
        <f t="shared" si="69"/>
        <v/>
      </c>
      <c r="AN344" s="12" t="str">
        <f t="shared" si="70"/>
        <v/>
      </c>
      <c r="AO344" s="12" t="str">
        <f t="shared" si="71"/>
        <v/>
      </c>
      <c r="AP344" s="12" t="str">
        <f t="shared" si="72"/>
        <v/>
      </c>
      <c r="AQ344" s="12"/>
      <c r="AS344" s="12">
        <f t="shared" si="73"/>
        <v>1.6798673171749074</v>
      </c>
      <c r="AT344" s="16" t="str">
        <f t="shared" si="76"/>
        <v>Yes</v>
      </c>
    </row>
    <row r="345" spans="1:46" hidden="1" x14ac:dyDescent="0.25">
      <c r="A345" s="41">
        <f>CASOPOInvCL!T345</f>
        <v>1</v>
      </c>
      <c r="B345" t="str">
        <f>CASOPOInvCL!Z345</f>
        <v>SO16817</v>
      </c>
      <c r="G345" s="5" t="str">
        <f>CASOPOInvCL!I345</f>
        <v>Amanda Qiao</v>
      </c>
      <c r="H345" s="31">
        <f>CASOPOInvCL!U345</f>
        <v>3</v>
      </c>
      <c r="I345" s="31">
        <f>CASOPOInvCL!V345</f>
        <v>2025</v>
      </c>
      <c r="J345" s="5" t="str">
        <f>CASOPOInvCL!AB345</f>
        <v>INV13007</v>
      </c>
      <c r="K345" s="31">
        <f>CASOPOInvCL!W345</f>
        <v>7</v>
      </c>
      <c r="L345" s="31">
        <f>CASOPOInvCL!X345</f>
        <v>2025</v>
      </c>
      <c r="M345" s="31"/>
      <c r="N345" s="5" t="str">
        <f>CASOPOInvCL!AF345</f>
        <v>Hisco Pump Inc.</v>
      </c>
      <c r="O345" s="16" t="str">
        <f>CASOPOInvCL!AG345</f>
        <v>USD</v>
      </c>
      <c r="P345" s="16">
        <f>CASOPOInvCL!AH345</f>
        <v>1995.3120069597298</v>
      </c>
      <c r="Q345" s="16">
        <f>CASOPOInvCL!AI345</f>
        <v>1439.12</v>
      </c>
      <c r="R345" s="32" t="str">
        <f>CASOPOInvCL!AU345</f>
        <v>Yes</v>
      </c>
      <c r="S345" s="16">
        <f>CASOPOInvCL!AV345</f>
        <v>0</v>
      </c>
      <c r="T345" s="16">
        <f>CASOPOInvCL!AW345</f>
        <v>1439.12</v>
      </c>
      <c r="Y345" s="29" t="str">
        <f>IFERROR(HLOOKUP(U345,List!$D$2:$H$6,2,FALSE),"")</f>
        <v/>
      </c>
      <c r="Z345" s="29" t="str">
        <f>IFERROR(HLOOKUP(V345,List!$D$2:$H$6,3,FALSE),"")</f>
        <v/>
      </c>
      <c r="AA345" s="29" t="str">
        <f>IFERROR(HLOOKUP(W345,List!$D$2:$H$6,4,FALSE),"")</f>
        <v/>
      </c>
      <c r="AB345" s="29" t="str">
        <f>IFERROR(HLOOKUP(X345,List!$D$2:$H$6,5,FALSE),"")</f>
        <v/>
      </c>
      <c r="AC345" s="12" t="str">
        <f t="shared" si="65"/>
        <v/>
      </c>
      <c r="AD345" s="12" t="str">
        <f t="shared" si="66"/>
        <v/>
      </c>
      <c r="AE345" s="12" t="str">
        <f t="shared" si="67"/>
        <v/>
      </c>
      <c r="AF345" s="12" t="str">
        <f t="shared" si="68"/>
        <v/>
      </c>
      <c r="AG345" t="str">
        <f>VLOOKUP(J345,'Receivable Invoice Detail'!$A$1:F3357,6,FALSE)</f>
        <v>[AC-98-233-404-001] Shaft Sleeve, 10x8-21 SRL-C (Old Style), Steel</v>
      </c>
      <c r="AM345" s="12" t="str">
        <f t="shared" si="69"/>
        <v/>
      </c>
      <c r="AN345" s="12" t="str">
        <f t="shared" si="70"/>
        <v/>
      </c>
      <c r="AO345" s="12" t="str">
        <f t="shared" si="71"/>
        <v/>
      </c>
      <c r="AP345" s="12" t="str">
        <f t="shared" si="72"/>
        <v/>
      </c>
      <c r="AQ345" s="12"/>
      <c r="AS345" s="12">
        <f t="shared" si="73"/>
        <v>21.586799999999997</v>
      </c>
      <c r="AT345" s="16" t="str">
        <f t="shared" si="76"/>
        <v>Yes</v>
      </c>
    </row>
    <row r="346" spans="1:46" hidden="1" x14ac:dyDescent="0.25">
      <c r="A346" s="41">
        <f>CASOPOInvCL!T346</f>
        <v>1</v>
      </c>
      <c r="B346" s="76" t="str">
        <f>CASOPOInvCL!Z346</f>
        <v>SO16819</v>
      </c>
      <c r="G346" s="5" t="str">
        <f>CASOPOInvCL!I346</f>
        <v>Jeff Bell</v>
      </c>
      <c r="H346" s="31">
        <f>CASOPOInvCL!U346</f>
        <v>3</v>
      </c>
      <c r="I346" s="31">
        <f>CASOPOInvCL!V346</f>
        <v>2025</v>
      </c>
      <c r="J346" s="5" t="str">
        <f>CASOPOInvCL!AB346</f>
        <v>INV12835</v>
      </c>
      <c r="K346" s="31">
        <f>CASOPOInvCL!W346</f>
        <v>5</v>
      </c>
      <c r="L346" s="31">
        <f>CASOPOInvCL!X346</f>
        <v>2025</v>
      </c>
      <c r="M346" s="31"/>
      <c r="N346" s="5" t="str">
        <f>CASOPOInvCL!AF346</f>
        <v>Barrick Gold - Pueblo Viejo Dominicana Corporation</v>
      </c>
      <c r="O346" s="16" t="str">
        <f>CASOPOInvCL!AG346</f>
        <v>USD</v>
      </c>
      <c r="P346" s="16">
        <f>CASOPOInvCL!AH346</f>
        <v>29807.296648534691</v>
      </c>
      <c r="Q346" s="16">
        <f>CASOPOInvCL!AI346</f>
        <v>20774</v>
      </c>
      <c r="R346" s="32" t="str">
        <f>CASOPOInvCL!AU346</f>
        <v>Yes</v>
      </c>
      <c r="S346" s="16">
        <f>CASOPOInvCL!AV346</f>
        <v>0</v>
      </c>
      <c r="T346" s="16">
        <f>CASOPOInvCL!AW346</f>
        <v>20774</v>
      </c>
      <c r="Y346" s="29" t="str">
        <f>IFERROR(HLOOKUP(U346,List!$D$2:$H$6,2,FALSE),"")</f>
        <v/>
      </c>
      <c r="Z346" s="29" t="str">
        <f>IFERROR(HLOOKUP(V346,List!$D$2:$H$6,3,FALSE),"")</f>
        <v/>
      </c>
      <c r="AA346" s="29" t="str">
        <f>IFERROR(HLOOKUP(W346,List!$D$2:$H$6,4,FALSE),"")</f>
        <v/>
      </c>
      <c r="AB346" s="29" t="str">
        <f>IFERROR(HLOOKUP(X346,List!$D$2:$H$6,5,FALSE),"")</f>
        <v/>
      </c>
      <c r="AC346" s="12" t="str">
        <f t="shared" si="65"/>
        <v/>
      </c>
      <c r="AD346" s="12" t="str">
        <f t="shared" si="66"/>
        <v/>
      </c>
      <c r="AE346" s="12" t="str">
        <f t="shared" si="67"/>
        <v/>
      </c>
      <c r="AF346" s="12" t="str">
        <f t="shared" si="68"/>
        <v/>
      </c>
      <c r="AG346" t="str">
        <f>VLOOKUP(J346,'Receivable Invoice Detail'!$A$1:F3358,6,FALSE)</f>
        <v>[10JKH, 7-Vane Impeller, CD4MCu] Impeller, 10JKH, Double Keyed, w/Wear Ring</v>
      </c>
      <c r="AM346" s="12" t="str">
        <f t="shared" si="69"/>
        <v/>
      </c>
      <c r="AN346" s="12" t="str">
        <f t="shared" si="70"/>
        <v/>
      </c>
      <c r="AO346" s="12" t="str">
        <f t="shared" si="71"/>
        <v/>
      </c>
      <c r="AP346" s="12" t="str">
        <f t="shared" si="72"/>
        <v/>
      </c>
      <c r="AQ346" s="64">
        <v>2503</v>
      </c>
      <c r="AR346" s="64" t="s">
        <v>5934</v>
      </c>
      <c r="AS346" s="12">
        <f t="shared" si="73"/>
        <v>311.61</v>
      </c>
      <c r="AT346" s="16" t="str">
        <f t="shared" si="76"/>
        <v>Yes</v>
      </c>
    </row>
    <row r="347" spans="1:46" hidden="1" x14ac:dyDescent="0.25">
      <c r="A347" s="41">
        <f>CASOPOInvCL!T347</f>
        <v>1</v>
      </c>
      <c r="B347" t="str">
        <f>CASOPOInvCL!Z347</f>
        <v>SO16821</v>
      </c>
      <c r="G347" s="5" t="str">
        <f>CASOPOInvCL!I347</f>
        <v>Ian Trottier</v>
      </c>
      <c r="H347" s="31">
        <f>CASOPOInvCL!U347</f>
        <v>3</v>
      </c>
      <c r="I347" s="31">
        <f>CASOPOInvCL!V347</f>
        <v>2025</v>
      </c>
      <c r="J347" s="5" t="str">
        <f>CASOPOInvCL!AB347</f>
        <v>INV12976</v>
      </c>
      <c r="K347" s="31">
        <f>CASOPOInvCL!W347</f>
        <v>6</v>
      </c>
      <c r="L347" s="31">
        <f>CASOPOInvCL!X347</f>
        <v>2025</v>
      </c>
      <c r="M347" s="31"/>
      <c r="N347" s="5" t="str">
        <f>CASOPOInvCL!AF347</f>
        <v>Canadian Bearings Ltd.</v>
      </c>
      <c r="O347" s="16" t="str">
        <f>CASOPOInvCL!AG347</f>
        <v>CAD</v>
      </c>
      <c r="P347" s="16">
        <f>CASOPOInvCL!AH347</f>
        <v>270.35000000000002</v>
      </c>
      <c r="Q347" s="16">
        <f>CASOPOInvCL!AI347</f>
        <v>188.36787185046947</v>
      </c>
      <c r="R347" s="32" t="str">
        <f>CASOPOInvCL!AU347</f>
        <v>Yes</v>
      </c>
      <c r="S347" s="16">
        <f>CASOPOInvCL!AV347</f>
        <v>0</v>
      </c>
      <c r="T347" s="16">
        <f>CASOPOInvCL!AW347</f>
        <v>188.36787185046947</v>
      </c>
      <c r="Y347" s="29" t="str">
        <f>IFERROR(HLOOKUP(U347,List!$D$2:$H$6,2,FALSE),"")</f>
        <v/>
      </c>
      <c r="Z347" s="29" t="str">
        <f>IFERROR(HLOOKUP(V347,List!$D$2:$H$6,3,FALSE),"")</f>
        <v/>
      </c>
      <c r="AA347" s="29" t="str">
        <f>IFERROR(HLOOKUP(W347,List!$D$2:$H$6,4,FALSE),"")</f>
        <v/>
      </c>
      <c r="AB347" s="29" t="str">
        <f>IFERROR(HLOOKUP(X347,List!$D$2:$H$6,5,FALSE),"")</f>
        <v/>
      </c>
      <c r="AC347" s="12" t="str">
        <f t="shared" si="65"/>
        <v/>
      </c>
      <c r="AD347" s="12" t="str">
        <f t="shared" si="66"/>
        <v/>
      </c>
      <c r="AE347" s="12" t="str">
        <f t="shared" si="67"/>
        <v/>
      </c>
      <c r="AF347" s="12" t="str">
        <f t="shared" si="68"/>
        <v/>
      </c>
      <c r="AG347" t="str">
        <f>VLOOKUP(J347,'Receivable Invoice Detail'!$A$1:F3359,6,FALSE)</f>
        <v>[AC-98-232-857-801] Shim Set, A-C PWO-C Group 1, Plastic</v>
      </c>
      <c r="AM347" s="12" t="str">
        <f t="shared" si="69"/>
        <v/>
      </c>
      <c r="AN347" s="12" t="str">
        <f t="shared" si="70"/>
        <v/>
      </c>
      <c r="AO347" s="12" t="str">
        <f t="shared" si="71"/>
        <v/>
      </c>
      <c r="AP347" s="12" t="str">
        <f t="shared" si="72"/>
        <v/>
      </c>
      <c r="AQ347" s="12"/>
      <c r="AS347" s="12">
        <f t="shared" si="73"/>
        <v>2.8255180777570419</v>
      </c>
      <c r="AT347" s="16" t="str">
        <f t="shared" si="76"/>
        <v>Yes</v>
      </c>
    </row>
    <row r="348" spans="1:46" hidden="1" x14ac:dyDescent="0.25">
      <c r="A348" s="41">
        <f>CASOPOInvCL!T348</f>
        <v>1</v>
      </c>
      <c r="B348" t="str">
        <f>CASOPOInvCL!Z348</f>
        <v>SO16822</v>
      </c>
      <c r="G348" s="5" t="str">
        <f>CASOPOInvCL!I348</f>
        <v>Ian Trottier</v>
      </c>
      <c r="H348" s="31">
        <f>CASOPOInvCL!U348</f>
        <v>3</v>
      </c>
      <c r="I348" s="31">
        <f>CASOPOInvCL!V348</f>
        <v>2025</v>
      </c>
      <c r="J348" s="5" t="str">
        <f>CASOPOInvCL!AB348</f>
        <v>INV12937</v>
      </c>
      <c r="K348" s="31">
        <f>CASOPOInvCL!W348</f>
        <v>6</v>
      </c>
      <c r="L348" s="31">
        <f>CASOPOInvCL!X348</f>
        <v>2025</v>
      </c>
      <c r="M348" s="31"/>
      <c r="N348" s="5" t="str">
        <f>CASOPOInvCL!AF348</f>
        <v>Sealtrac Inc.</v>
      </c>
      <c r="O348" s="16" t="str">
        <f>CASOPOInvCL!AG348</f>
        <v>CAD</v>
      </c>
      <c r="P348" s="16">
        <f>CASOPOInvCL!AH348</f>
        <v>4501.3500000000004</v>
      </c>
      <c r="Q348" s="16">
        <f>CASOPOInvCL!AI348</f>
        <v>3250.4321028564359</v>
      </c>
      <c r="R348" s="32" t="str">
        <f>CASOPOInvCL!AU348</f>
        <v>Yes</v>
      </c>
      <c r="S348" s="16">
        <f>CASOPOInvCL!AV348</f>
        <v>0</v>
      </c>
      <c r="T348" s="16">
        <f>CASOPOInvCL!AW348</f>
        <v>3250.4321028564359</v>
      </c>
      <c r="Y348" s="29" t="str">
        <f>IFERROR(HLOOKUP(U348,List!$D$2:$H$6,2,FALSE),"")</f>
        <v/>
      </c>
      <c r="Z348" s="29" t="str">
        <f>IFERROR(HLOOKUP(V348,List!$D$2:$H$6,3,FALSE),"")</f>
        <v/>
      </c>
      <c r="AA348" s="29" t="str">
        <f>IFERROR(HLOOKUP(W348,List!$D$2:$H$6,4,FALSE),"")</f>
        <v/>
      </c>
      <c r="AB348" s="29" t="str">
        <f>IFERROR(HLOOKUP(X348,List!$D$2:$H$6,5,FALSE),"")</f>
        <v/>
      </c>
      <c r="AC348" s="12" t="str">
        <f t="shared" si="65"/>
        <v/>
      </c>
      <c r="AD348" s="12" t="str">
        <f t="shared" si="66"/>
        <v/>
      </c>
      <c r="AE348" s="12" t="str">
        <f t="shared" si="67"/>
        <v/>
      </c>
      <c r="AF348" s="12" t="str">
        <f t="shared" si="68"/>
        <v/>
      </c>
      <c r="AG348" t="str">
        <f>VLOOKUP(J348,'Receivable Invoice Detail'!$A$1:F3360,6,FALSE)</f>
        <v>[DU-AY38913AA-316] Shaft Sleeve, Durco Mark 2&amp;3 Group 2, 316SS</v>
      </c>
      <c r="AM348" s="12" t="str">
        <f t="shared" si="69"/>
        <v/>
      </c>
      <c r="AN348" s="12" t="str">
        <f t="shared" si="70"/>
        <v/>
      </c>
      <c r="AO348" s="12" t="str">
        <f t="shared" si="71"/>
        <v/>
      </c>
      <c r="AP348" s="12" t="str">
        <f t="shared" si="72"/>
        <v/>
      </c>
      <c r="AQ348" s="12"/>
      <c r="AS348" s="12">
        <f t="shared" si="73"/>
        <v>48.756481542846537</v>
      </c>
      <c r="AT348" s="16" t="str">
        <f t="shared" si="76"/>
        <v>Yes</v>
      </c>
    </row>
    <row r="349" spans="1:46" hidden="1" x14ac:dyDescent="0.25">
      <c r="A349" s="41">
        <f>CASOPOInvCL!T349</f>
        <v>1</v>
      </c>
      <c r="B349" t="str">
        <f>CASOPOInvCL!Z349</f>
        <v>SO16824</v>
      </c>
      <c r="G349" s="5" t="str">
        <f>CASOPOInvCL!I349</f>
        <v>Ian Trottier</v>
      </c>
      <c r="H349" s="31">
        <f>CASOPOInvCL!U349</f>
        <v>3</v>
      </c>
      <c r="I349" s="31">
        <f>CASOPOInvCL!V349</f>
        <v>2025</v>
      </c>
      <c r="J349" s="5" t="str">
        <f>CASOPOInvCL!AB349</f>
        <v>INV12798</v>
      </c>
      <c r="K349" s="31">
        <f>CASOPOInvCL!W349</f>
        <v>5</v>
      </c>
      <c r="L349" s="31">
        <f>CASOPOInvCL!X349</f>
        <v>2025</v>
      </c>
      <c r="M349" s="31"/>
      <c r="N349" s="5" t="str">
        <f>CASOPOInvCL!AF349</f>
        <v>Motion Industries Inc. (Canada) - Thunder Bay, Motion Industries Canada</v>
      </c>
      <c r="O349" s="16" t="str">
        <f>CASOPOInvCL!AG349</f>
        <v>CAD</v>
      </c>
      <c r="P349" s="16">
        <f>CASOPOInvCL!AH349</f>
        <v>546.22</v>
      </c>
      <c r="Q349" s="16">
        <f>CASOPOInvCL!AI349</f>
        <v>381.49712467336474</v>
      </c>
      <c r="R349" s="32" t="str">
        <f>CASOPOInvCL!AU349</f>
        <v>Yes</v>
      </c>
      <c r="S349" s="16">
        <f>CASOPOInvCL!AV349</f>
        <v>0</v>
      </c>
      <c r="T349" s="16">
        <f>CASOPOInvCL!AW349</f>
        <v>381.49712467336474</v>
      </c>
      <c r="Y349" s="29" t="str">
        <f>IFERROR(HLOOKUP(U349,List!$D$2:$H$6,2,FALSE),"")</f>
        <v/>
      </c>
      <c r="Z349" s="29" t="str">
        <f>IFERROR(HLOOKUP(V349,List!$D$2:$H$6,3,FALSE),"")</f>
        <v/>
      </c>
      <c r="AA349" s="29" t="str">
        <f>IFERROR(HLOOKUP(W349,List!$D$2:$H$6,4,FALSE),"")</f>
        <v/>
      </c>
      <c r="AB349" s="29" t="str">
        <f>IFERROR(HLOOKUP(X349,List!$D$2:$H$6,5,FALSE),"")</f>
        <v/>
      </c>
      <c r="AC349" s="12" t="str">
        <f t="shared" si="65"/>
        <v/>
      </c>
      <c r="AD349" s="12" t="str">
        <f t="shared" si="66"/>
        <v/>
      </c>
      <c r="AE349" s="12" t="str">
        <f t="shared" si="67"/>
        <v/>
      </c>
      <c r="AF349" s="12" t="str">
        <f t="shared" si="68"/>
        <v/>
      </c>
      <c r="AG349" t="str">
        <f>VLOOKUP(J349,'Receivable Invoice Detail'!$A$1:F3361,6,FALSE)</f>
        <v>[OLPWZ011009B, G-A04951A222] Bearing Isolator (Inboard), 3196 XLT/XLTi, 303SS Rotor / Bronze Stator w/Viton</v>
      </c>
      <c r="AM349" s="12" t="str">
        <f t="shared" si="69"/>
        <v/>
      </c>
      <c r="AN349" s="12" t="str">
        <f t="shared" si="70"/>
        <v/>
      </c>
      <c r="AO349" s="12" t="str">
        <f t="shared" si="71"/>
        <v/>
      </c>
      <c r="AP349" s="12" t="str">
        <f t="shared" si="72"/>
        <v/>
      </c>
      <c r="AQ349" s="12"/>
      <c r="AS349" s="12">
        <f t="shared" si="73"/>
        <v>5.722456870100471</v>
      </c>
      <c r="AT349" s="16" t="str">
        <f t="shared" si="76"/>
        <v>Yes</v>
      </c>
    </row>
    <row r="350" spans="1:46" hidden="1" x14ac:dyDescent="0.25">
      <c r="A350" s="41">
        <f>CASOPOInvCL!T350</f>
        <v>1</v>
      </c>
      <c r="B350" t="str">
        <f>CASOPOInvCL!Z350</f>
        <v>SO16826</v>
      </c>
      <c r="G350" s="5" t="str">
        <f>CASOPOInvCL!I350</f>
        <v>Ian Trottier</v>
      </c>
      <c r="H350" s="31">
        <f>CASOPOInvCL!U350</f>
        <v>3</v>
      </c>
      <c r="I350" s="31">
        <f>CASOPOInvCL!V350</f>
        <v>2025</v>
      </c>
      <c r="J350" s="5" t="str">
        <f>CASOPOInvCL!AB350</f>
        <v>INV12784</v>
      </c>
      <c r="K350" s="31">
        <f>CASOPOInvCL!W350</f>
        <v>4</v>
      </c>
      <c r="L350" s="31">
        <f>CASOPOInvCL!X350</f>
        <v>2025</v>
      </c>
      <c r="M350" s="31"/>
      <c r="N350" s="5" t="str">
        <f>CASOPOInvCL!AF350</f>
        <v>Wajax Limited - Noranda</v>
      </c>
      <c r="O350" s="16" t="str">
        <f>CASOPOInvCL!AG350</f>
        <v>CAD</v>
      </c>
      <c r="P350" s="16">
        <f>CASOPOInvCL!AH350</f>
        <v>164.89</v>
      </c>
      <c r="Q350" s="16">
        <f>CASOPOInvCL!AI350</f>
        <v>115.23348943170686</v>
      </c>
      <c r="R350" s="32" t="str">
        <f>CASOPOInvCL!AU350</f>
        <v>Yes</v>
      </c>
      <c r="S350" s="16">
        <f>CASOPOInvCL!AV350</f>
        <v>0</v>
      </c>
      <c r="T350" s="16">
        <f>CASOPOInvCL!AW350</f>
        <v>115.23348943170686</v>
      </c>
      <c r="Y350" s="29" t="str">
        <f>IFERROR(HLOOKUP(U350,List!$D$2:$H$6,2,FALSE),"")</f>
        <v/>
      </c>
      <c r="Z350" s="29" t="str">
        <f>IFERROR(HLOOKUP(V350,List!$D$2:$H$6,3,FALSE),"")</f>
        <v/>
      </c>
      <c r="AA350" s="29" t="str">
        <f>IFERROR(HLOOKUP(W350,List!$D$2:$H$6,4,FALSE),"")</f>
        <v/>
      </c>
      <c r="AB350" s="29" t="str">
        <f>IFERROR(HLOOKUP(X350,List!$D$2:$H$6,5,FALSE),"")</f>
        <v/>
      </c>
      <c r="AC350" s="12" t="str">
        <f t="shared" si="65"/>
        <v/>
      </c>
      <c r="AD350" s="12" t="str">
        <f t="shared" si="66"/>
        <v/>
      </c>
      <c r="AE350" s="12" t="str">
        <f t="shared" si="67"/>
        <v/>
      </c>
      <c r="AF350" s="12" t="str">
        <f t="shared" si="68"/>
        <v/>
      </c>
      <c r="AG350" t="str">
        <f>VLOOKUP(J350,'Receivable Invoice Detail'!$A$1:F3362,6,FALSE)</f>
        <v>[AC-98-5414-HC7] Suction Side Plate Gasket, 5x4-14 SRL-C, Rubber, 3-Piece Design</v>
      </c>
      <c r="AM350" s="12" t="str">
        <f t="shared" si="69"/>
        <v/>
      </c>
      <c r="AN350" s="12" t="str">
        <f t="shared" si="70"/>
        <v/>
      </c>
      <c r="AO350" s="12" t="str">
        <f t="shared" si="71"/>
        <v/>
      </c>
      <c r="AP350" s="12" t="str">
        <f t="shared" si="72"/>
        <v/>
      </c>
      <c r="AQ350" s="12"/>
      <c r="AS350" s="12">
        <f t="shared" si="73"/>
        <v>1.7285023414756029</v>
      </c>
      <c r="AT350" s="16" t="str">
        <f t="shared" si="76"/>
        <v>Yes</v>
      </c>
    </row>
    <row r="351" spans="1:46" hidden="1" x14ac:dyDescent="0.25">
      <c r="A351" s="41">
        <f>CASOPOInvCL!T351</f>
        <v>1</v>
      </c>
      <c r="B351" t="str">
        <f>CASOPOInvCL!Z351</f>
        <v>SO16827</v>
      </c>
      <c r="G351" s="5" t="str">
        <f>CASOPOInvCL!I351</f>
        <v>Ian Trottier</v>
      </c>
      <c r="H351" s="31">
        <f>CASOPOInvCL!U351</f>
        <v>3</v>
      </c>
      <c r="I351" s="31">
        <f>CASOPOInvCL!V351</f>
        <v>2025</v>
      </c>
      <c r="J351" s="5" t="str">
        <f>CASOPOInvCL!AB351</f>
        <v>INV12791</v>
      </c>
      <c r="K351" s="31">
        <f>CASOPOInvCL!W351</f>
        <v>5</v>
      </c>
      <c r="L351" s="31">
        <f>CASOPOInvCL!X351</f>
        <v>2025</v>
      </c>
      <c r="M351" s="31"/>
      <c r="N351" s="5" t="str">
        <f>CASOPOInvCL!AF351</f>
        <v>Moffatt Supply &amp; Specialties - Red Lake</v>
      </c>
      <c r="O351" s="16" t="str">
        <f>CASOPOInvCL!AG351</f>
        <v>CAD</v>
      </c>
      <c r="P351" s="16">
        <f>CASOPOInvCL!AH351</f>
        <v>3197.94</v>
      </c>
      <c r="Q351" s="16">
        <f>CASOPOInvCL!AI351</f>
        <v>2234.8825592409034</v>
      </c>
      <c r="R351" s="32" t="str">
        <f>CASOPOInvCL!AU351</f>
        <v>Yes</v>
      </c>
      <c r="S351" s="16">
        <f>CASOPOInvCL!AV351</f>
        <v>0</v>
      </c>
      <c r="T351" s="16">
        <f>CASOPOInvCL!AW351</f>
        <v>2234.8825592409034</v>
      </c>
      <c r="Y351" s="29" t="str">
        <f>IFERROR(HLOOKUP(U351,List!$D$2:$H$6,2,FALSE),"")</f>
        <v/>
      </c>
      <c r="Z351" s="29" t="str">
        <f>IFERROR(HLOOKUP(V351,List!$D$2:$H$6,3,FALSE),"")</f>
        <v/>
      </c>
      <c r="AA351" s="29" t="str">
        <f>IFERROR(HLOOKUP(W351,List!$D$2:$H$6,4,FALSE),"")</f>
        <v/>
      </c>
      <c r="AB351" s="29" t="str">
        <f>IFERROR(HLOOKUP(X351,List!$D$2:$H$6,5,FALSE),"")</f>
        <v/>
      </c>
      <c r="AC351" s="12" t="str">
        <f t="shared" si="65"/>
        <v/>
      </c>
      <c r="AD351" s="12" t="str">
        <f t="shared" si="66"/>
        <v/>
      </c>
      <c r="AE351" s="12" t="str">
        <f t="shared" si="67"/>
        <v/>
      </c>
      <c r="AF351" s="12" t="str">
        <f t="shared" si="68"/>
        <v/>
      </c>
      <c r="AG351" t="str">
        <f>VLOOKUP(J351,'Receivable Invoice Detail'!$A$1:F3363,6,FALSE)</f>
        <v>[AC-98-039-047-501] Impeller (Closed), 5x4-14 SRL-C, Natural Rubber</v>
      </c>
      <c r="AM351" s="12" t="str">
        <f t="shared" si="69"/>
        <v/>
      </c>
      <c r="AN351" s="12" t="str">
        <f t="shared" si="70"/>
        <v/>
      </c>
      <c r="AO351" s="12" t="str">
        <f t="shared" si="71"/>
        <v/>
      </c>
      <c r="AP351" s="12" t="str">
        <f t="shared" si="72"/>
        <v/>
      </c>
      <c r="AQ351" s="12"/>
      <c r="AS351" s="12">
        <f t="shared" si="73"/>
        <v>33.523238388613549</v>
      </c>
      <c r="AT351" s="16" t="str">
        <f t="shared" si="76"/>
        <v>Yes</v>
      </c>
    </row>
    <row r="352" spans="1:46" hidden="1" x14ac:dyDescent="0.25">
      <c r="A352" s="41">
        <f>CASOPOInvCL!T352</f>
        <v>1</v>
      </c>
      <c r="B352" t="str">
        <f>CASOPOInvCL!Z352</f>
        <v>SO16829</v>
      </c>
      <c r="G352" s="5" t="str">
        <f>CASOPOInvCL!I352</f>
        <v>Ian Trottier</v>
      </c>
      <c r="H352" s="31">
        <f>CASOPOInvCL!U352</f>
        <v>3</v>
      </c>
      <c r="I352" s="31">
        <f>CASOPOInvCL!V352</f>
        <v>2025</v>
      </c>
      <c r="J352" s="5" t="str">
        <f>CASOPOInvCL!AB352</f>
        <v>INV12797</v>
      </c>
      <c r="K352" s="31">
        <f>CASOPOInvCL!W352</f>
        <v>5</v>
      </c>
      <c r="L352" s="31">
        <f>CASOPOInvCL!X352</f>
        <v>2025</v>
      </c>
      <c r="M352" s="31"/>
      <c r="N352" s="5" t="str">
        <f>CASOPOInvCL!AF352</f>
        <v>Motion Industries Inc. (Canada) - Prince George</v>
      </c>
      <c r="O352" s="16" t="str">
        <f>CASOPOInvCL!AG352</f>
        <v>CAD</v>
      </c>
      <c r="P352" s="16">
        <f>CASOPOInvCL!AH352</f>
        <v>264.24</v>
      </c>
      <c r="Q352" s="16">
        <f>CASOPOInvCL!AI352</f>
        <v>184.55347703066519</v>
      </c>
      <c r="R352" s="32" t="str">
        <f>CASOPOInvCL!AU352</f>
        <v>Yes</v>
      </c>
      <c r="S352" s="16">
        <f>CASOPOInvCL!AV352</f>
        <v>0</v>
      </c>
      <c r="T352" s="16">
        <f>CASOPOInvCL!AW352</f>
        <v>184.55347703066519</v>
      </c>
      <c r="Y352" s="29" t="str">
        <f>IFERROR(HLOOKUP(U352,List!$D$2:$H$6,2,FALSE),"")</f>
        <v/>
      </c>
      <c r="Z352" s="29" t="str">
        <f>IFERROR(HLOOKUP(V352,List!$D$2:$H$6,3,FALSE),"")</f>
        <v/>
      </c>
      <c r="AA352" s="29" t="str">
        <f>IFERROR(HLOOKUP(W352,List!$D$2:$H$6,4,FALSE),"")</f>
        <v/>
      </c>
      <c r="AB352" s="29" t="str">
        <f>IFERROR(HLOOKUP(X352,List!$D$2:$H$6,5,FALSE),"")</f>
        <v/>
      </c>
      <c r="AC352" s="12" t="str">
        <f t="shared" si="65"/>
        <v/>
      </c>
      <c r="AD352" s="12" t="str">
        <f t="shared" si="66"/>
        <v/>
      </c>
      <c r="AE352" s="12" t="str">
        <f t="shared" si="67"/>
        <v/>
      </c>
      <c r="AF352" s="12" t="str">
        <f t="shared" si="68"/>
        <v/>
      </c>
      <c r="AG352" t="str">
        <f>VLOOKUP(J352,'Receivable Invoice Detail'!$A$1:F3364,6,FALSE)</f>
        <v>[W-D111] Premium Slurry Packing (Single Piece), 4/3 or 6/4 DH, Kevlar Fiber w/Silicon Core</v>
      </c>
      <c r="AM352" s="12" t="str">
        <f t="shared" si="69"/>
        <v/>
      </c>
      <c r="AN352" s="12" t="str">
        <f t="shared" si="70"/>
        <v/>
      </c>
      <c r="AO352" s="12" t="str">
        <f t="shared" si="71"/>
        <v/>
      </c>
      <c r="AP352" s="12" t="str">
        <f t="shared" si="72"/>
        <v/>
      </c>
      <c r="AQ352" s="12"/>
      <c r="AS352" s="12">
        <f t="shared" si="73"/>
        <v>2.7683021554599776</v>
      </c>
      <c r="AT352" s="16" t="str">
        <f t="shared" si="76"/>
        <v>Yes</v>
      </c>
    </row>
    <row r="353" spans="1:46" hidden="1" x14ac:dyDescent="0.25">
      <c r="A353" s="41">
        <f>CASOPOInvCL!T353</f>
        <v>1</v>
      </c>
      <c r="B353" t="str">
        <f>CASOPOInvCL!Z353</f>
        <v>SO16830</v>
      </c>
      <c r="G353" s="5" t="str">
        <f>CASOPOInvCL!I353</f>
        <v>Ian Trottier</v>
      </c>
      <c r="H353" s="31">
        <f>CASOPOInvCL!U353</f>
        <v>3</v>
      </c>
      <c r="I353" s="31">
        <f>CASOPOInvCL!V353</f>
        <v>2025</v>
      </c>
      <c r="J353" s="5" t="str">
        <f>CASOPOInvCL!AB353</f>
        <v>INV12786</v>
      </c>
      <c r="K353" s="31">
        <f>CASOPOInvCL!W353</f>
        <v>4</v>
      </c>
      <c r="L353" s="31">
        <f>CASOPOInvCL!X353</f>
        <v>2025</v>
      </c>
      <c r="M353" s="31"/>
      <c r="N353" s="5" t="str">
        <f>CASOPOInvCL!AF353</f>
        <v>Hyperflo</v>
      </c>
      <c r="O353" s="16" t="str">
        <f>CASOPOInvCL!AG353</f>
        <v>CAD</v>
      </c>
      <c r="P353" s="16">
        <f>CASOPOInvCL!AH353</f>
        <v>516.9</v>
      </c>
      <c r="Q353" s="16">
        <f>CASOPOInvCL!AI353</f>
        <v>361.2359190202514</v>
      </c>
      <c r="R353" s="32" t="str">
        <f>CASOPOInvCL!AU353</f>
        <v>Yes</v>
      </c>
      <c r="S353" s="16">
        <f>CASOPOInvCL!AV353</f>
        <v>0</v>
      </c>
      <c r="T353" s="16">
        <f>CASOPOInvCL!AW353</f>
        <v>361.2359190202514</v>
      </c>
      <c r="Y353" s="29" t="str">
        <f>IFERROR(HLOOKUP(U353,List!$D$2:$H$6,2,FALSE),"")</f>
        <v/>
      </c>
      <c r="Z353" s="29" t="str">
        <f>IFERROR(HLOOKUP(V353,List!$D$2:$H$6,3,FALSE),"")</f>
        <v/>
      </c>
      <c r="AA353" s="29" t="str">
        <f>IFERROR(HLOOKUP(W353,List!$D$2:$H$6,4,FALSE),"")</f>
        <v/>
      </c>
      <c r="AB353" s="29" t="str">
        <f>IFERROR(HLOOKUP(X353,List!$D$2:$H$6,5,FALSE),"")</f>
        <v/>
      </c>
      <c r="AC353" s="12" t="str">
        <f t="shared" si="65"/>
        <v/>
      </c>
      <c r="AD353" s="12" t="str">
        <f t="shared" si="66"/>
        <v/>
      </c>
      <c r="AE353" s="12" t="str">
        <f t="shared" si="67"/>
        <v/>
      </c>
      <c r="AF353" s="12" t="str">
        <f t="shared" si="68"/>
        <v/>
      </c>
      <c r="AG353" t="str">
        <f>VLOOKUP(J353,'Receivable Invoice Detail'!$A$1:F3365,6,FALSE)</f>
        <v>[AC-98-233-733-513] Deflector (Water Slinger), 8x6-18 &amp; 10x8-21 SRL-C, Neoprene/Steel</v>
      </c>
      <c r="AM353" s="12" t="str">
        <f t="shared" si="69"/>
        <v/>
      </c>
      <c r="AN353" s="12" t="str">
        <f t="shared" si="70"/>
        <v/>
      </c>
      <c r="AO353" s="12" t="str">
        <f t="shared" si="71"/>
        <v/>
      </c>
      <c r="AP353" s="12" t="str">
        <f t="shared" si="72"/>
        <v/>
      </c>
      <c r="AQ353" s="12"/>
      <c r="AS353" s="12">
        <f t="shared" si="73"/>
        <v>5.4185387853037712</v>
      </c>
      <c r="AT353" s="16" t="str">
        <f t="shared" si="76"/>
        <v>Yes</v>
      </c>
    </row>
    <row r="354" spans="1:46" hidden="1" x14ac:dyDescent="0.25">
      <c r="A354" s="41">
        <f>CASOPOInvCL!T354</f>
        <v>1</v>
      </c>
      <c r="B354" t="str">
        <f>CASOPOInvCL!Z354</f>
        <v>SO16833</v>
      </c>
      <c r="G354" s="5" t="str">
        <f>CASOPOInvCL!I354</f>
        <v>Ian Trottier</v>
      </c>
      <c r="H354" s="31">
        <f>CASOPOInvCL!U354</f>
        <v>3</v>
      </c>
      <c r="I354" s="31">
        <f>CASOPOInvCL!V354</f>
        <v>2025</v>
      </c>
      <c r="J354" s="5" t="str">
        <f>CASOPOInvCL!AB354</f>
        <v>INV12785</v>
      </c>
      <c r="K354" s="31">
        <f>CASOPOInvCL!W354</f>
        <v>4</v>
      </c>
      <c r="L354" s="31">
        <f>CASOPOInvCL!X354</f>
        <v>2025</v>
      </c>
      <c r="M354" s="31"/>
      <c r="N354" s="5" t="str">
        <f>CASOPOInvCL!AF354</f>
        <v>Hyperflo</v>
      </c>
      <c r="O354" s="16" t="str">
        <f>CASOPOInvCL!AG354</f>
        <v>CAD</v>
      </c>
      <c r="P354" s="16">
        <f>CASOPOInvCL!AH354</f>
        <v>344.6</v>
      </c>
      <c r="Q354" s="16">
        <f>CASOPOInvCL!AI354</f>
        <v>241.71229398092726</v>
      </c>
      <c r="R354" s="32" t="str">
        <f>CASOPOInvCL!AU354</f>
        <v>Yes</v>
      </c>
      <c r="S354" s="16">
        <f>CASOPOInvCL!AV354</f>
        <v>0</v>
      </c>
      <c r="T354" s="16">
        <f>CASOPOInvCL!AW354</f>
        <v>241.71229398092726</v>
      </c>
      <c r="Y354" s="29" t="str">
        <f>IFERROR(HLOOKUP(U354,List!$D$2:$H$6,2,FALSE),"")</f>
        <v/>
      </c>
      <c r="Z354" s="29" t="str">
        <f>IFERROR(HLOOKUP(V354,List!$D$2:$H$6,3,FALSE),"")</f>
        <v/>
      </c>
      <c r="AA354" s="29" t="str">
        <f>IFERROR(HLOOKUP(W354,List!$D$2:$H$6,4,FALSE),"")</f>
        <v/>
      </c>
      <c r="AB354" s="29" t="str">
        <f>IFERROR(HLOOKUP(X354,List!$D$2:$H$6,5,FALSE),"")</f>
        <v/>
      </c>
      <c r="AC354" s="12" t="str">
        <f t="shared" si="65"/>
        <v/>
      </c>
      <c r="AD354" s="12" t="str">
        <f t="shared" si="66"/>
        <v/>
      </c>
      <c r="AE354" s="12" t="str">
        <f t="shared" si="67"/>
        <v/>
      </c>
      <c r="AF354" s="12" t="str">
        <f t="shared" si="68"/>
        <v/>
      </c>
      <c r="AG354" t="str">
        <f>VLOOKUP(J354,'Receivable Invoice Detail'!$A$1:F3366,6,FALSE)</f>
        <v>[AC-98-233-733-513] Deflector (Water Slinger), 8x6-18 &amp; 10x8-21 SRL-C, Neoprene/Steel</v>
      </c>
      <c r="AM354" s="12" t="str">
        <f t="shared" si="69"/>
        <v/>
      </c>
      <c r="AN354" s="12" t="str">
        <f t="shared" si="70"/>
        <v/>
      </c>
      <c r="AO354" s="12" t="str">
        <f t="shared" si="71"/>
        <v/>
      </c>
      <c r="AP354" s="12" t="str">
        <f t="shared" si="72"/>
        <v/>
      </c>
      <c r="AQ354" s="12"/>
      <c r="AS354" s="12">
        <f t="shared" si="73"/>
        <v>3.6256844097139087</v>
      </c>
      <c r="AT354" s="16" t="str">
        <f t="shared" si="76"/>
        <v>Yes</v>
      </c>
    </row>
    <row r="355" spans="1:46" hidden="1" x14ac:dyDescent="0.25">
      <c r="A355" s="41">
        <f>CASOPOInvCL!T355</f>
        <v>2</v>
      </c>
      <c r="B355" s="23" t="str">
        <f>CASOPOInvCL!Z355</f>
        <v>SO16834</v>
      </c>
      <c r="D355" t="s">
        <v>5915</v>
      </c>
      <c r="G355" s="5" t="str">
        <f>CASOPOInvCL!I355</f>
        <v>Wilka Nuñez</v>
      </c>
      <c r="H355" s="31">
        <f>CASOPOInvCL!U355</f>
        <v>3</v>
      </c>
      <c r="I355" s="31">
        <f>CASOPOInvCL!V355</f>
        <v>2025</v>
      </c>
      <c r="J355" s="73" t="str">
        <f>CASOPOInvCL!AB355</f>
        <v>INV12908</v>
      </c>
      <c r="K355" s="31">
        <f>CASOPOInvCL!W355</f>
        <v>6</v>
      </c>
      <c r="L355" s="31">
        <f>CASOPOInvCL!X355</f>
        <v>2025</v>
      </c>
      <c r="M355">
        <v>2503</v>
      </c>
      <c r="N355" s="73" t="str">
        <f>CASOPOInvCL!AF355</f>
        <v>Barrick Gold - Pueblo Viejo Dominicana Corporation</v>
      </c>
      <c r="O355" s="16" t="str">
        <f>CASOPOInvCL!AG355</f>
        <v>USD</v>
      </c>
      <c r="P355" s="16">
        <f>CASOPOInvCL!AH355</f>
        <v>57048.635802780322</v>
      </c>
      <c r="Q355" s="16">
        <f>CASOPOInvCL!AI355</f>
        <v>39865.5</v>
      </c>
      <c r="R355" s="32" t="str">
        <f>CASOPOInvCL!AU355</f>
        <v>Yes</v>
      </c>
      <c r="S355" s="16">
        <f>CASOPOInvCL!AV355</f>
        <v>0</v>
      </c>
      <c r="T355" s="16">
        <f>CASOPOInvCL!AW355</f>
        <v>39865.5</v>
      </c>
      <c r="V355" s="72" t="s">
        <v>5800</v>
      </c>
      <c r="Y355" s="29" t="str">
        <f>IFERROR(HLOOKUP(U355,List!$D$2:$H$6,2,FALSE),"")</f>
        <v/>
      </c>
      <c r="Z355" s="29">
        <f>IFERROR(HLOOKUP(V355,List!$D$2:$H$6,3,FALSE),"")</f>
        <v>5.0000000000000001E-3</v>
      </c>
      <c r="AA355" s="29" t="str">
        <f>IFERROR(HLOOKUP(W355,List!$D$2:$H$6,4,FALSE),"")</f>
        <v/>
      </c>
      <c r="AB355" s="29" t="str">
        <f>IFERROR(HLOOKUP(X355,List!$D$2:$H$6,5,FALSE),"")</f>
        <v/>
      </c>
      <c r="AC355" s="12" t="str">
        <f t="shared" si="65"/>
        <v/>
      </c>
      <c r="AD355" s="12">
        <f t="shared" si="66"/>
        <v>199.32750000000001</v>
      </c>
      <c r="AE355" s="12" t="str">
        <f t="shared" si="67"/>
        <v/>
      </c>
      <c r="AF355" s="12" t="str">
        <f t="shared" si="68"/>
        <v/>
      </c>
      <c r="AG355" t="str">
        <f>VLOOKUP(J355,'Receivable Invoice Detail'!$A$1:F3367,6,FALSE)</f>
        <v>[AM-MH150S12-15-CD4] Backplate, DW-ME6/6-12S, CD4MCu</v>
      </c>
      <c r="AJ355">
        <v>2503</v>
      </c>
      <c r="AM355" s="12" t="str">
        <f t="shared" si="69"/>
        <v/>
      </c>
      <c r="AN355" s="12">
        <f t="shared" si="70"/>
        <v>0</v>
      </c>
      <c r="AO355" s="12" t="str">
        <f t="shared" si="71"/>
        <v/>
      </c>
      <c r="AP355" s="12" t="str">
        <f t="shared" si="72"/>
        <v/>
      </c>
      <c r="AQ355" s="64">
        <f t="shared" ref="AQ355:AQ356" si="77">M355</f>
        <v>2503</v>
      </c>
      <c r="AR355" t="s">
        <v>5933</v>
      </c>
      <c r="AS355" s="12">
        <f t="shared" si="73"/>
        <v>597.98249999999996</v>
      </c>
      <c r="AT355" s="16" t="str">
        <f t="shared" si="76"/>
        <v>Yes</v>
      </c>
    </row>
    <row r="356" spans="1:46" hidden="1" x14ac:dyDescent="0.25">
      <c r="A356" s="41">
        <f>CASOPOInvCL!T356</f>
        <v>2</v>
      </c>
      <c r="B356" s="23" t="str">
        <f>CASOPOInvCL!Z356</f>
        <v>SO16834</v>
      </c>
      <c r="D356" t="s">
        <v>5915</v>
      </c>
      <c r="G356" s="5">
        <f>CASOPOInvCL!I356</f>
        <v>0</v>
      </c>
      <c r="H356" s="31">
        <f>CASOPOInvCL!U356</f>
        <v>3</v>
      </c>
      <c r="I356" s="31">
        <f>CASOPOInvCL!V356</f>
        <v>2025</v>
      </c>
      <c r="J356" s="73" t="str">
        <f>CASOPOInvCL!AB356</f>
        <v>INV12982</v>
      </c>
      <c r="K356" s="31">
        <f>CASOPOInvCL!W356</f>
        <v>6</v>
      </c>
      <c r="L356" s="31">
        <f>CASOPOInvCL!X356</f>
        <v>2025</v>
      </c>
      <c r="M356">
        <v>2503</v>
      </c>
      <c r="N356" s="73" t="str">
        <f>CASOPOInvCL!AF356</f>
        <v>Barrick Gold - Pueblo Viejo Dominicana Corporation</v>
      </c>
      <c r="O356" s="16" t="str">
        <f>CASOPOInvCL!AG356</f>
        <v>USD</v>
      </c>
      <c r="P356" s="16">
        <f>CASOPOInvCL!AH356</f>
        <v>0</v>
      </c>
      <c r="Q356" s="16">
        <f>CASOPOInvCL!AI356</f>
        <v>0</v>
      </c>
      <c r="R356" s="32" t="str">
        <f>CASOPOInvCL!AU356</f>
        <v/>
      </c>
      <c r="S356" s="16">
        <f>CASOPOInvCL!AV356</f>
        <v>0</v>
      </c>
      <c r="T356" s="16">
        <f>CASOPOInvCL!AW356</f>
        <v>0</v>
      </c>
      <c r="V356" s="72" t="s">
        <v>5800</v>
      </c>
      <c r="Y356" s="29" t="str">
        <f>IFERROR(HLOOKUP(U356,List!$D$2:$H$6,2,FALSE),"")</f>
        <v/>
      </c>
      <c r="Z356" s="29">
        <f>IFERROR(HLOOKUP(V356,List!$D$2:$H$6,3,FALSE),"")</f>
        <v>5.0000000000000001E-3</v>
      </c>
      <c r="AA356" s="29" t="str">
        <f>IFERROR(HLOOKUP(W356,List!$D$2:$H$6,4,FALSE),"")</f>
        <v/>
      </c>
      <c r="AB356" s="29" t="str">
        <f>IFERROR(HLOOKUP(X356,List!$D$2:$H$6,5,FALSE),"")</f>
        <v/>
      </c>
      <c r="AC356" s="12" t="str">
        <f t="shared" si="65"/>
        <v/>
      </c>
      <c r="AD356" s="12">
        <f t="shared" si="66"/>
        <v>0</v>
      </c>
      <c r="AE356" s="12" t="str">
        <f t="shared" si="67"/>
        <v/>
      </c>
      <c r="AF356" s="12" t="str">
        <f t="shared" si="68"/>
        <v/>
      </c>
      <c r="AG356" t="str">
        <f>VLOOKUP(J356,'Receivable Invoice Detail'!$A$1:F3368,6,FALSE)</f>
        <v>[AM-MH150S12-06-CD4, L-P 6614S G0904 CD4 ZD] Shaft, DW-ME6/6-12S, CD4MCu</v>
      </c>
      <c r="AJ356">
        <v>2503</v>
      </c>
      <c r="AM356" s="12" t="str">
        <f t="shared" si="69"/>
        <v/>
      </c>
      <c r="AN356" s="12">
        <f t="shared" si="70"/>
        <v>0</v>
      </c>
      <c r="AO356" s="12" t="str">
        <f t="shared" si="71"/>
        <v/>
      </c>
      <c r="AP356" s="12" t="str">
        <f t="shared" si="72"/>
        <v/>
      </c>
      <c r="AQ356" s="64">
        <f t="shared" si="77"/>
        <v>2503</v>
      </c>
      <c r="AR356" t="s">
        <v>5933</v>
      </c>
      <c r="AS356" s="12">
        <f t="shared" si="73"/>
        <v>0</v>
      </c>
      <c r="AT356" s="16" t="str">
        <f t="shared" si="76"/>
        <v/>
      </c>
    </row>
    <row r="357" spans="1:46" hidden="1" x14ac:dyDescent="0.25">
      <c r="A357" s="41">
        <f>CASOPOInvCL!T357</f>
        <v>2</v>
      </c>
      <c r="B357" t="str">
        <f>CASOPOInvCL!Z357</f>
        <v>SO16835</v>
      </c>
      <c r="G357" s="5" t="str">
        <f>CASOPOInvCL!I357</f>
        <v>Ian Trottier</v>
      </c>
      <c r="H357" s="31">
        <f>CASOPOInvCL!U357</f>
        <v>3</v>
      </c>
      <c r="I357" s="31">
        <f>CASOPOInvCL!V357</f>
        <v>2025</v>
      </c>
      <c r="J357" s="5" t="str">
        <f>CASOPOInvCL!AB357</f>
        <v>INV12825</v>
      </c>
      <c r="K357" s="31">
        <f>CASOPOInvCL!W357</f>
        <v>4</v>
      </c>
      <c r="L357" s="31">
        <f>CASOPOInvCL!X357</f>
        <v>2025</v>
      </c>
      <c r="M357" s="31"/>
      <c r="N357" s="5" t="str">
        <f>CASOPOInvCL!AF357</f>
        <v>MAB Equipment Company Inc.</v>
      </c>
      <c r="O357" s="16" t="str">
        <f>CASOPOInvCL!AG357</f>
        <v>USD</v>
      </c>
      <c r="P357" s="16">
        <f>CASOPOInvCL!AH357</f>
        <v>6611.1906801346231</v>
      </c>
      <c r="Q357" s="16">
        <f>CASOPOInvCL!AI357</f>
        <v>4619.8900000000003</v>
      </c>
      <c r="R357" s="32" t="str">
        <f>CASOPOInvCL!AU357</f>
        <v>Yes</v>
      </c>
      <c r="S357" s="16">
        <f>CASOPOInvCL!AV357</f>
        <v>645</v>
      </c>
      <c r="T357" s="16">
        <f>CASOPOInvCL!AW357</f>
        <v>3974.8900000000003</v>
      </c>
      <c r="Y357" s="29" t="str">
        <f>IFERROR(HLOOKUP(U357,List!$D$2:$H$6,2,FALSE),"")</f>
        <v/>
      </c>
      <c r="Z357" s="29" t="str">
        <f>IFERROR(HLOOKUP(V357,List!$D$2:$H$6,3,FALSE),"")</f>
        <v/>
      </c>
      <c r="AA357" s="29" t="str">
        <f>IFERROR(HLOOKUP(W357,List!$D$2:$H$6,4,FALSE),"")</f>
        <v/>
      </c>
      <c r="AB357" s="29" t="str">
        <f>IFERROR(HLOOKUP(X357,List!$D$2:$H$6,5,FALSE),"")</f>
        <v/>
      </c>
      <c r="AC357" s="12" t="str">
        <f t="shared" si="65"/>
        <v/>
      </c>
      <c r="AD357" s="12" t="str">
        <f t="shared" si="66"/>
        <v/>
      </c>
      <c r="AE357" s="12" t="str">
        <f t="shared" si="67"/>
        <v/>
      </c>
      <c r="AF357" s="12" t="str">
        <f t="shared" si="68"/>
        <v/>
      </c>
      <c r="AG357" t="str">
        <f>VLOOKUP(J357,'Receivable Invoice Detail'!$A$1:F3369,6,FALSE)</f>
        <v>[W-F6015M/E62] Cover Plate Bolt w/2 Nuts Metric, 8/6 E, F or R-AH</v>
      </c>
      <c r="AM357" s="12" t="str">
        <f t="shared" si="69"/>
        <v/>
      </c>
      <c r="AN357" s="12" t="str">
        <f t="shared" si="70"/>
        <v/>
      </c>
      <c r="AO357" s="12" t="str">
        <f t="shared" si="71"/>
        <v/>
      </c>
      <c r="AP357" s="12" t="str">
        <f t="shared" si="72"/>
        <v/>
      </c>
      <c r="AQ357" s="12"/>
      <c r="AS357" s="12">
        <f t="shared" si="73"/>
        <v>59.623350000000002</v>
      </c>
      <c r="AT357" s="16" t="str">
        <f t="shared" si="76"/>
        <v>Yes</v>
      </c>
    </row>
    <row r="358" spans="1:46" hidden="1" x14ac:dyDescent="0.25">
      <c r="A358" s="41">
        <f>CASOPOInvCL!T358</f>
        <v>2</v>
      </c>
      <c r="B358" t="str">
        <f>CASOPOInvCL!Z358</f>
        <v>SO16835</v>
      </c>
      <c r="G358" s="5">
        <f>CASOPOInvCL!I358</f>
        <v>0</v>
      </c>
      <c r="H358" s="31">
        <f>CASOPOInvCL!U358</f>
        <v>3</v>
      </c>
      <c r="I358" s="31">
        <f>CASOPOInvCL!V358</f>
        <v>2025</v>
      </c>
      <c r="J358" s="5" t="str">
        <f>CASOPOInvCL!AB358</f>
        <v>INV13129</v>
      </c>
      <c r="K358" s="31">
        <f>CASOPOInvCL!W358</f>
        <v>6</v>
      </c>
      <c r="L358" s="31">
        <f>CASOPOInvCL!X358</f>
        <v>2025</v>
      </c>
      <c r="M358" s="31"/>
      <c r="N358" s="5" t="str">
        <f>CASOPOInvCL!AF358</f>
        <v>MAB Equipment Company Inc.</v>
      </c>
      <c r="O358" s="16" t="str">
        <f>CASOPOInvCL!AG358</f>
        <v>USD</v>
      </c>
      <c r="P358" s="16">
        <f>CASOPOInvCL!AH358</f>
        <v>0</v>
      </c>
      <c r="Q358" s="16">
        <f>CASOPOInvCL!AI358</f>
        <v>0</v>
      </c>
      <c r="R358" s="32" t="str">
        <f>CASOPOInvCL!AU358</f>
        <v/>
      </c>
      <c r="S358" s="16">
        <f>CASOPOInvCL!AV358</f>
        <v>0</v>
      </c>
      <c r="T358" s="16">
        <f>CASOPOInvCL!AW358</f>
        <v>0</v>
      </c>
      <c r="Y358" s="29" t="str">
        <f>IFERROR(HLOOKUP(U358,List!$D$2:$H$6,2,FALSE),"")</f>
        <v/>
      </c>
      <c r="Z358" s="29" t="str">
        <f>IFERROR(HLOOKUP(V358,List!$D$2:$H$6,3,FALSE),"")</f>
        <v/>
      </c>
      <c r="AA358" s="29" t="str">
        <f>IFERROR(HLOOKUP(W358,List!$D$2:$H$6,4,FALSE),"")</f>
        <v/>
      </c>
      <c r="AB358" s="29" t="str">
        <f>IFERROR(HLOOKUP(X358,List!$D$2:$H$6,5,FALSE),"")</f>
        <v/>
      </c>
      <c r="AC358" s="12" t="str">
        <f t="shared" si="65"/>
        <v/>
      </c>
      <c r="AD358" s="12" t="str">
        <f t="shared" si="66"/>
        <v/>
      </c>
      <c r="AE358" s="12" t="str">
        <f t="shared" si="67"/>
        <v/>
      </c>
      <c r="AF358" s="12" t="str">
        <f t="shared" si="68"/>
        <v/>
      </c>
      <c r="AG358" t="str">
        <f>VLOOKUP(J358,'Receivable Invoice Detail'!$A$1:F3370,6,FALSE)</f>
        <v>[W-D3147/U38] Impeller, 4/3 C or D-AH, Urethane</v>
      </c>
      <c r="AM358" s="12" t="str">
        <f t="shared" si="69"/>
        <v/>
      </c>
      <c r="AN358" s="12" t="str">
        <f t="shared" si="70"/>
        <v/>
      </c>
      <c r="AO358" s="12" t="str">
        <f t="shared" si="71"/>
        <v/>
      </c>
      <c r="AP358" s="12" t="str">
        <f t="shared" si="72"/>
        <v/>
      </c>
      <c r="AQ358" s="12"/>
      <c r="AS358" s="12">
        <f t="shared" si="73"/>
        <v>0</v>
      </c>
      <c r="AT358" s="16" t="str">
        <f t="shared" si="76"/>
        <v/>
      </c>
    </row>
    <row r="359" spans="1:46" hidden="1" x14ac:dyDescent="0.25">
      <c r="A359" s="41">
        <f>CASOPOInvCL!T359</f>
        <v>1</v>
      </c>
      <c r="B359" t="str">
        <f>CASOPOInvCL!Z359</f>
        <v>SO16836</v>
      </c>
      <c r="G359" s="5" t="str">
        <f>CASOPOInvCL!I359</f>
        <v>Ian Trottier</v>
      </c>
      <c r="H359" s="31">
        <f>CASOPOInvCL!U359</f>
        <v>3</v>
      </c>
      <c r="I359" s="31">
        <f>CASOPOInvCL!V359</f>
        <v>2025</v>
      </c>
      <c r="J359" s="5" t="str">
        <f>CASOPOInvCL!AB359</f>
        <v>INV12790</v>
      </c>
      <c r="K359" s="31">
        <f>CASOPOInvCL!W359</f>
        <v>4</v>
      </c>
      <c r="L359" s="31">
        <f>CASOPOInvCL!X359</f>
        <v>2025</v>
      </c>
      <c r="M359" s="31"/>
      <c r="N359" s="5" t="str">
        <f>CASOPOInvCL!AF359</f>
        <v>Wajax Limited - Noranda</v>
      </c>
      <c r="O359" s="16" t="str">
        <f>CASOPOInvCL!AG359</f>
        <v>CAD</v>
      </c>
      <c r="P359" s="16">
        <f>CASOPOInvCL!AH359</f>
        <v>2002.8</v>
      </c>
      <c r="Q359" s="16">
        <f>CASOPOInvCL!AI359</f>
        <v>1398.8181342605819</v>
      </c>
      <c r="R359" s="32" t="str">
        <f>CASOPOInvCL!AU359</f>
        <v>Yes</v>
      </c>
      <c r="S359" s="16">
        <f>CASOPOInvCL!AV359</f>
        <v>0</v>
      </c>
      <c r="T359" s="16">
        <f>CASOPOInvCL!AW359</f>
        <v>1398.8181342605819</v>
      </c>
      <c r="Y359" s="29" t="str">
        <f>IFERROR(HLOOKUP(U359,List!$D$2:$H$6,2,FALSE),"")</f>
        <v/>
      </c>
      <c r="Z359" s="29" t="str">
        <f>IFERROR(HLOOKUP(V359,List!$D$2:$H$6,3,FALSE),"")</f>
        <v/>
      </c>
      <c r="AA359" s="29" t="str">
        <f>IFERROR(HLOOKUP(W359,List!$D$2:$H$6,4,FALSE),"")</f>
        <v/>
      </c>
      <c r="AB359" s="29" t="str">
        <f>IFERROR(HLOOKUP(X359,List!$D$2:$H$6,5,FALSE),"")</f>
        <v/>
      </c>
      <c r="AC359" s="12" t="str">
        <f t="shared" si="65"/>
        <v/>
      </c>
      <c r="AD359" s="12" t="str">
        <f t="shared" si="66"/>
        <v/>
      </c>
      <c r="AE359" s="12" t="str">
        <f t="shared" si="67"/>
        <v/>
      </c>
      <c r="AF359" s="12" t="str">
        <f t="shared" si="68"/>
        <v/>
      </c>
      <c r="AG359" t="str">
        <f>VLOOKUP(J359,'Receivable Invoice Detail'!$A$1:F3371,6,FALSE)</f>
        <v>[AC-98-331-958-808] Shaft Sleeve, 5x4/5x5/6x6 SRL, 316SS</v>
      </c>
      <c r="AM359" s="12" t="str">
        <f t="shared" si="69"/>
        <v/>
      </c>
      <c r="AN359" s="12" t="str">
        <f t="shared" si="70"/>
        <v/>
      </c>
      <c r="AO359" s="12" t="str">
        <f t="shared" si="71"/>
        <v/>
      </c>
      <c r="AP359" s="12" t="str">
        <f t="shared" si="72"/>
        <v/>
      </c>
      <c r="AQ359" s="12"/>
      <c r="AS359" s="12">
        <f t="shared" si="73"/>
        <v>20.982272013908727</v>
      </c>
      <c r="AT359" s="16" t="str">
        <f t="shared" si="76"/>
        <v>Yes</v>
      </c>
    </row>
    <row r="360" spans="1:46" hidden="1" x14ac:dyDescent="0.25">
      <c r="A360" s="41">
        <f>CASOPOInvCL!T360</f>
        <v>1</v>
      </c>
      <c r="B360" t="str">
        <f>CASOPOInvCL!Z360</f>
        <v>SO16837</v>
      </c>
      <c r="G360" s="5" t="str">
        <f>CASOPOInvCL!I360</f>
        <v>Ian Trottier</v>
      </c>
      <c r="H360" s="31">
        <f>CASOPOInvCL!U360</f>
        <v>3</v>
      </c>
      <c r="I360" s="31">
        <f>CASOPOInvCL!V360</f>
        <v>2025</v>
      </c>
      <c r="J360" s="5" t="str">
        <f>CASOPOInvCL!AB360</f>
        <v>INV12789</v>
      </c>
      <c r="K360" s="31">
        <f>CASOPOInvCL!W360</f>
        <v>4</v>
      </c>
      <c r="L360" s="31">
        <f>CASOPOInvCL!X360</f>
        <v>2025</v>
      </c>
      <c r="M360" s="31"/>
      <c r="N360" s="5" t="str">
        <f>CASOPOInvCL!AF360</f>
        <v>Wajax Limited - Noranda</v>
      </c>
      <c r="O360" s="16" t="str">
        <f>CASOPOInvCL!AG360</f>
        <v>CAD</v>
      </c>
      <c r="P360" s="16">
        <f>CASOPOInvCL!AH360</f>
        <v>3099.56</v>
      </c>
      <c r="Q360" s="16">
        <f>CASOPOInvCL!AI360</f>
        <v>2174.1200172127765</v>
      </c>
      <c r="R360" s="32" t="str">
        <f>CASOPOInvCL!AU360</f>
        <v>Yes</v>
      </c>
      <c r="S360" s="16">
        <f>CASOPOInvCL!AV360</f>
        <v>0</v>
      </c>
      <c r="T360" s="16">
        <f>CASOPOInvCL!AW360</f>
        <v>2174.1200172127765</v>
      </c>
      <c r="Y360" s="29" t="str">
        <f>IFERROR(HLOOKUP(U360,List!$D$2:$H$6,2,FALSE),"")</f>
        <v/>
      </c>
      <c r="Z360" s="29" t="str">
        <f>IFERROR(HLOOKUP(V360,List!$D$2:$H$6,3,FALSE),"")</f>
        <v/>
      </c>
      <c r="AA360" s="29" t="str">
        <f>IFERROR(HLOOKUP(W360,List!$D$2:$H$6,4,FALSE),"")</f>
        <v/>
      </c>
      <c r="AB360" s="29" t="str">
        <f>IFERROR(HLOOKUP(X360,List!$D$2:$H$6,5,FALSE),"")</f>
        <v/>
      </c>
      <c r="AC360" s="12" t="str">
        <f t="shared" si="65"/>
        <v/>
      </c>
      <c r="AD360" s="12" t="str">
        <f t="shared" si="66"/>
        <v/>
      </c>
      <c r="AE360" s="12" t="str">
        <f t="shared" si="67"/>
        <v/>
      </c>
      <c r="AF360" s="12" t="str">
        <f t="shared" si="68"/>
        <v/>
      </c>
      <c r="AG360" t="str">
        <f>VLOOKUP(J360,'Receivable Invoice Detail'!$A$1:F3372,6,FALSE)</f>
        <v>[AC-98-236-104-004] Shaft Sleeve, 8x6-18 &amp; 10x8-21 SRL-C, 420SS Heat Treated, Hardened</v>
      </c>
      <c r="AM360" s="12" t="str">
        <f t="shared" si="69"/>
        <v/>
      </c>
      <c r="AN360" s="12" t="str">
        <f t="shared" si="70"/>
        <v/>
      </c>
      <c r="AO360" s="12" t="str">
        <f t="shared" si="71"/>
        <v/>
      </c>
      <c r="AP360" s="12" t="str">
        <f t="shared" si="72"/>
        <v/>
      </c>
      <c r="AQ360" s="12"/>
      <c r="AS360" s="12">
        <f t="shared" si="73"/>
        <v>32.611800258191643</v>
      </c>
      <c r="AT360" s="16" t="str">
        <f t="shared" si="76"/>
        <v>Yes</v>
      </c>
    </row>
    <row r="361" spans="1:46" hidden="1" x14ac:dyDescent="0.25">
      <c r="A361" s="41">
        <f>CASOPOInvCL!T361</f>
        <v>1</v>
      </c>
      <c r="B361" t="str">
        <f>CASOPOInvCL!Z361</f>
        <v>SO16839</v>
      </c>
      <c r="G361" s="5" t="str">
        <f>CASOPOInvCL!I361</f>
        <v>Ian Trottier</v>
      </c>
      <c r="H361" s="31">
        <f>CASOPOInvCL!U361</f>
        <v>3</v>
      </c>
      <c r="I361" s="31">
        <f>CASOPOInvCL!V361</f>
        <v>2025</v>
      </c>
      <c r="J361" s="5" t="str">
        <f>CASOPOInvCL!AB361</f>
        <v>INV12927</v>
      </c>
      <c r="K361" s="31">
        <f>CASOPOInvCL!W361</f>
        <v>6</v>
      </c>
      <c r="L361" s="31">
        <f>CASOPOInvCL!X361</f>
        <v>2025</v>
      </c>
      <c r="M361" s="31"/>
      <c r="N361" s="5" t="str">
        <f>CASOPOInvCL!AF361</f>
        <v>Hyperflo</v>
      </c>
      <c r="O361" s="16" t="str">
        <f>CASOPOInvCL!AG361</f>
        <v>CAD</v>
      </c>
      <c r="P361" s="16">
        <f>CASOPOInvCL!AH361</f>
        <v>2071.7800000000002</v>
      </c>
      <c r="Q361" s="16">
        <f>CASOPOInvCL!AI361</f>
        <v>1446.9959228072635</v>
      </c>
      <c r="R361" s="32" t="str">
        <f>CASOPOInvCL!AU361</f>
        <v>Yes</v>
      </c>
      <c r="S361" s="16">
        <f>CASOPOInvCL!AV361</f>
        <v>0</v>
      </c>
      <c r="T361" s="16">
        <f>CASOPOInvCL!AW361</f>
        <v>1446.9959228072635</v>
      </c>
      <c r="Y361" s="29" t="str">
        <f>IFERROR(HLOOKUP(U361,List!$D$2:$H$6,2,FALSE),"")</f>
        <v/>
      </c>
      <c r="Z361" s="29" t="str">
        <f>IFERROR(HLOOKUP(V361,List!$D$2:$H$6,3,FALSE),"")</f>
        <v/>
      </c>
      <c r="AA361" s="29" t="str">
        <f>IFERROR(HLOOKUP(W361,List!$D$2:$H$6,4,FALSE),"")</f>
        <v/>
      </c>
      <c r="AB361" s="29" t="str">
        <f>IFERROR(HLOOKUP(X361,List!$D$2:$H$6,5,FALSE),"")</f>
        <v/>
      </c>
      <c r="AC361" s="12" t="str">
        <f t="shared" si="65"/>
        <v/>
      </c>
      <c r="AD361" s="12" t="str">
        <f t="shared" si="66"/>
        <v/>
      </c>
      <c r="AE361" s="12" t="str">
        <f t="shared" si="67"/>
        <v/>
      </c>
      <c r="AF361" s="12" t="str">
        <f t="shared" si="68"/>
        <v/>
      </c>
      <c r="AG361" t="str">
        <f>VLOOKUP(J361,'Receivable Invoice Detail'!$A$1:F3373,6,FALSE)</f>
        <v>[AC-98-431-743-501] Shaft Assembly, 10x8-21 SRL-C, 1045 Steel</v>
      </c>
      <c r="AM361" s="12" t="str">
        <f t="shared" si="69"/>
        <v/>
      </c>
      <c r="AN361" s="12" t="str">
        <f t="shared" si="70"/>
        <v/>
      </c>
      <c r="AO361" s="12" t="str">
        <f t="shared" si="71"/>
        <v/>
      </c>
      <c r="AP361" s="12" t="str">
        <f t="shared" si="72"/>
        <v/>
      </c>
      <c r="AQ361" s="12"/>
      <c r="AS361" s="12">
        <f t="shared" si="73"/>
        <v>21.704938842108952</v>
      </c>
      <c r="AT361" s="16" t="str">
        <f t="shared" si="76"/>
        <v>Yes</v>
      </c>
    </row>
    <row r="362" spans="1:46" hidden="1" x14ac:dyDescent="0.25">
      <c r="A362" s="41">
        <f>CASOPOInvCL!T362</f>
        <v>1</v>
      </c>
      <c r="B362" s="76" t="str">
        <f>CASOPOInvCL!Z362</f>
        <v>SO16840</v>
      </c>
      <c r="G362" s="5" t="str">
        <f>CASOPOInvCL!I362</f>
        <v>Amanda Qiao</v>
      </c>
      <c r="H362" s="31">
        <f>CASOPOInvCL!U362</f>
        <v>3</v>
      </c>
      <c r="I362" s="31">
        <f>CASOPOInvCL!V362</f>
        <v>2025</v>
      </c>
      <c r="J362" s="5" t="str">
        <f>CASOPOInvCL!AB362</f>
        <v>INV12834</v>
      </c>
      <c r="K362" s="31">
        <f>CASOPOInvCL!W362</f>
        <v>5</v>
      </c>
      <c r="L362" s="31">
        <f>CASOPOInvCL!X362</f>
        <v>2025</v>
      </c>
      <c r="M362" s="31"/>
      <c r="N362" s="5" t="str">
        <f>CASOPOInvCL!AF362</f>
        <v>Barrick Gold - Pueblo Viejo Dominicana Corporation</v>
      </c>
      <c r="O362" s="16" t="str">
        <f>CASOPOInvCL!AG362</f>
        <v>USD</v>
      </c>
      <c r="P362" s="16">
        <f>CASOPOInvCL!AH362</f>
        <v>19780.634545922367</v>
      </c>
      <c r="Q362" s="16">
        <f>CASOPOInvCL!AI362</f>
        <v>13823.71</v>
      </c>
      <c r="R362" s="32" t="str">
        <f>CASOPOInvCL!AU362</f>
        <v>Yes</v>
      </c>
      <c r="S362" s="16">
        <f>CASOPOInvCL!AV362</f>
        <v>0</v>
      </c>
      <c r="T362" s="16">
        <f>CASOPOInvCL!AW362</f>
        <v>13823.71</v>
      </c>
      <c r="Y362" s="29" t="str">
        <f>IFERROR(HLOOKUP(U362,List!$D$2:$H$6,2,FALSE),"")</f>
        <v/>
      </c>
      <c r="Z362" s="29" t="str">
        <f>IFERROR(HLOOKUP(V362,List!$D$2:$H$6,3,FALSE),"")</f>
        <v/>
      </c>
      <c r="AA362" s="29" t="str">
        <f>IFERROR(HLOOKUP(W362,List!$D$2:$H$6,4,FALSE),"")</f>
        <v/>
      </c>
      <c r="AB362" s="29" t="str">
        <f>IFERROR(HLOOKUP(X362,List!$D$2:$H$6,5,FALSE),"")</f>
        <v/>
      </c>
      <c r="AC362" s="12" t="str">
        <f t="shared" si="65"/>
        <v/>
      </c>
      <c r="AD362" s="12" t="str">
        <f t="shared" si="66"/>
        <v/>
      </c>
      <c r="AE362" s="12" t="str">
        <f t="shared" si="67"/>
        <v/>
      </c>
      <c r="AF362" s="12" t="str">
        <f t="shared" si="68"/>
        <v/>
      </c>
      <c r="AG362" t="str">
        <f>VLOOKUP(J362,'Receivable Invoice Detail'!$A$1:F3374,6,FALSE)</f>
        <v>[37230] Sleeve Bearing (Bowl), ThorPlas-Blue, HPCW</v>
      </c>
      <c r="AM362" s="12" t="str">
        <f t="shared" si="69"/>
        <v/>
      </c>
      <c r="AN362" s="12" t="str">
        <f t="shared" si="70"/>
        <v/>
      </c>
      <c r="AO362" s="12" t="str">
        <f t="shared" si="71"/>
        <v/>
      </c>
      <c r="AP362" s="12" t="str">
        <f t="shared" si="72"/>
        <v/>
      </c>
      <c r="AQ362" s="64">
        <v>2503</v>
      </c>
      <c r="AR362" s="64" t="s">
        <v>5934</v>
      </c>
      <c r="AS362" s="12">
        <f t="shared" si="73"/>
        <v>207.35564999999997</v>
      </c>
      <c r="AT362" s="16" t="str">
        <f t="shared" si="76"/>
        <v>Yes</v>
      </c>
    </row>
    <row r="363" spans="1:46" hidden="1" x14ac:dyDescent="0.25">
      <c r="A363" s="41">
        <f>CASOPOInvCL!T363</f>
        <v>1</v>
      </c>
      <c r="B363" t="str">
        <f>CASOPOInvCL!Z363</f>
        <v>SO16842</v>
      </c>
      <c r="G363" s="5" t="str">
        <f>CASOPOInvCL!I363</f>
        <v>Ian Trottier</v>
      </c>
      <c r="H363" s="31">
        <f>CASOPOInvCL!U363</f>
        <v>3</v>
      </c>
      <c r="I363" s="31">
        <f>CASOPOInvCL!V363</f>
        <v>2025</v>
      </c>
      <c r="J363" s="5" t="str">
        <f>CASOPOInvCL!AB363</f>
        <v>INV12810</v>
      </c>
      <c r="K363" s="31">
        <f>CASOPOInvCL!W363</f>
        <v>5</v>
      </c>
      <c r="L363" s="31">
        <f>CASOPOInvCL!X363</f>
        <v>2025</v>
      </c>
      <c r="M363" s="31"/>
      <c r="N363" s="5" t="str">
        <f>CASOPOInvCL!AF363</f>
        <v>Tantalum Mining Corporation of Canada</v>
      </c>
      <c r="O363" s="16" t="str">
        <f>CASOPOInvCL!AG363</f>
        <v>CAD</v>
      </c>
      <c r="P363" s="16">
        <f>CASOPOInvCL!AH363</f>
        <v>861.07</v>
      </c>
      <c r="Q363" s="16">
        <f>CASOPOInvCL!AI363</f>
        <v>599.95532981055578</v>
      </c>
      <c r="R363" s="32" t="str">
        <f>CASOPOInvCL!AU363</f>
        <v>Yes</v>
      </c>
      <c r="S363" s="16">
        <f>CASOPOInvCL!AV363</f>
        <v>0</v>
      </c>
      <c r="T363" s="16">
        <f>CASOPOInvCL!AW363</f>
        <v>599.95532981055578</v>
      </c>
      <c r="Y363" s="29" t="str">
        <f>IFERROR(HLOOKUP(U363,List!$D$2:$H$6,2,FALSE),"")</f>
        <v/>
      </c>
      <c r="Z363" s="29" t="str">
        <f>IFERROR(HLOOKUP(V363,List!$D$2:$H$6,3,FALSE),"")</f>
        <v/>
      </c>
      <c r="AA363" s="29" t="str">
        <f>IFERROR(HLOOKUP(W363,List!$D$2:$H$6,4,FALSE),"")</f>
        <v/>
      </c>
      <c r="AB363" s="29" t="str">
        <f>IFERROR(HLOOKUP(X363,List!$D$2:$H$6,5,FALSE),"")</f>
        <v/>
      </c>
      <c r="AC363" s="12" t="str">
        <f t="shared" si="65"/>
        <v/>
      </c>
      <c r="AD363" s="12" t="str">
        <f t="shared" si="66"/>
        <v/>
      </c>
      <c r="AE363" s="12" t="str">
        <f t="shared" si="67"/>
        <v/>
      </c>
      <c r="AF363" s="12" t="str">
        <f t="shared" si="68"/>
        <v/>
      </c>
      <c r="AG363" t="str">
        <f>VLOOKUP(J363,'Receivable Invoice Detail'!$A$1:F3375,6,FALSE)</f>
        <v>[AC-98-236-104-001] Shaft Sleeve, 8x6-18 &amp; 10x8-21 SRL-C, Steel</v>
      </c>
      <c r="AM363" s="12" t="str">
        <f t="shared" si="69"/>
        <v/>
      </c>
      <c r="AN363" s="12" t="str">
        <f t="shared" si="70"/>
        <v/>
      </c>
      <c r="AO363" s="12" t="str">
        <f t="shared" si="71"/>
        <v/>
      </c>
      <c r="AP363" s="12" t="str">
        <f t="shared" si="72"/>
        <v/>
      </c>
      <c r="AQ363" s="12"/>
      <c r="AS363" s="12">
        <f t="shared" si="73"/>
        <v>8.999329947158337</v>
      </c>
      <c r="AT363" s="16" t="str">
        <f t="shared" si="76"/>
        <v>Yes</v>
      </c>
    </row>
    <row r="364" spans="1:46" hidden="1" x14ac:dyDescent="0.25">
      <c r="A364" s="41">
        <f>CASOPOInvCL!T364</f>
        <v>2</v>
      </c>
      <c r="B364" t="str">
        <f>CASOPOInvCL!Z364</f>
        <v>SO16844</v>
      </c>
      <c r="G364" s="5" t="str">
        <f>CASOPOInvCL!I364</f>
        <v>Ian Trottier</v>
      </c>
      <c r="H364" s="31">
        <f>CASOPOInvCL!U364</f>
        <v>3</v>
      </c>
      <c r="I364" s="31">
        <f>CASOPOInvCL!V364</f>
        <v>2025</v>
      </c>
      <c r="J364" s="5" t="str">
        <f>CASOPOInvCL!AB364</f>
        <v>INV12824</v>
      </c>
      <c r="K364" s="31" t="str">
        <f>CASOPOInvCL!W364</f>
        <v/>
      </c>
      <c r="L364" s="31" t="str">
        <f>CASOPOInvCL!X364</f>
        <v/>
      </c>
      <c r="M364" s="31"/>
      <c r="N364" s="5" t="str">
        <f>CASOPOInvCL!AF364</f>
        <v>Kumtor Gold Company</v>
      </c>
      <c r="O364" s="16" t="str">
        <f>CASOPOInvCL!AG364</f>
        <v>USD</v>
      </c>
      <c r="P364" s="16">
        <f>CASOPOInvCL!AH364</f>
        <v>1698.1058482378539</v>
      </c>
      <c r="Q364" s="16">
        <f>CASOPOInvCL!AI364</f>
        <v>1191.0999999999999</v>
      </c>
      <c r="R364" s="32" t="str">
        <f>CASOPOInvCL!AU364</f>
        <v/>
      </c>
      <c r="S364" s="16">
        <f>CASOPOInvCL!AV364</f>
        <v>0</v>
      </c>
      <c r="T364" s="16">
        <f>CASOPOInvCL!AW364</f>
        <v>0</v>
      </c>
      <c r="Y364" s="29" t="str">
        <f>IFERROR(HLOOKUP(U364,List!$D$2:$H$6,2,FALSE),"")</f>
        <v/>
      </c>
      <c r="Z364" s="29" t="str">
        <f>IFERROR(HLOOKUP(V364,List!$D$2:$H$6,3,FALSE),"")</f>
        <v/>
      </c>
      <c r="AA364" s="29" t="str">
        <f>IFERROR(HLOOKUP(W364,List!$D$2:$H$6,4,FALSE),"")</f>
        <v/>
      </c>
      <c r="AB364" s="29" t="str">
        <f>IFERROR(HLOOKUP(X364,List!$D$2:$H$6,5,FALSE),"")</f>
        <v/>
      </c>
      <c r="AC364" s="12" t="str">
        <f t="shared" si="65"/>
        <v/>
      </c>
      <c r="AD364" s="12" t="str">
        <f t="shared" si="66"/>
        <v/>
      </c>
      <c r="AE364" s="12" t="str">
        <f t="shared" si="67"/>
        <v/>
      </c>
      <c r="AF364" s="12" t="str">
        <f t="shared" si="68"/>
        <v/>
      </c>
      <c r="AG364" t="str">
        <f>VLOOKUP(J364,'Receivable Invoice Detail'!$A$1:F3376,6,FALSE)</f>
        <v>[W-C2127/R55] Impeller, 3/2 C-AH, Natural Rubber</v>
      </c>
      <c r="AM364" s="12" t="str">
        <f t="shared" si="69"/>
        <v/>
      </c>
      <c r="AN364" s="12" t="str">
        <f t="shared" si="70"/>
        <v/>
      </c>
      <c r="AO364" s="12" t="str">
        <f t="shared" si="71"/>
        <v/>
      </c>
      <c r="AP364" s="12" t="str">
        <f t="shared" si="72"/>
        <v/>
      </c>
      <c r="AQ364" s="12"/>
      <c r="AS364" s="12">
        <f t="shared" si="73"/>
        <v>0</v>
      </c>
      <c r="AT364" s="16" t="str">
        <f t="shared" si="76"/>
        <v/>
      </c>
    </row>
    <row r="365" spans="1:46" hidden="1" x14ac:dyDescent="0.25">
      <c r="A365" s="41">
        <f>CASOPOInvCL!T365</f>
        <v>2</v>
      </c>
      <c r="B365" t="str">
        <f>CASOPOInvCL!Z365</f>
        <v>SO16844</v>
      </c>
      <c r="G365" s="5">
        <f>CASOPOInvCL!I365</f>
        <v>0</v>
      </c>
      <c r="H365" s="31">
        <f>CASOPOInvCL!U365</f>
        <v>3</v>
      </c>
      <c r="I365" s="31">
        <f>CASOPOInvCL!V365</f>
        <v>2025</v>
      </c>
      <c r="J365" s="5" t="str">
        <f>CASOPOInvCL!AB365</f>
        <v>INV12918</v>
      </c>
      <c r="K365" s="31">
        <f>CASOPOInvCL!W365</f>
        <v>5</v>
      </c>
      <c r="L365" s="31">
        <f>CASOPOInvCL!X365</f>
        <v>2025</v>
      </c>
      <c r="M365" s="31"/>
      <c r="N365" s="5" t="str">
        <f>CASOPOInvCL!AF365</f>
        <v>Kumtor Gold Company</v>
      </c>
      <c r="O365" s="16" t="str">
        <f>CASOPOInvCL!AG365</f>
        <v>USD</v>
      </c>
      <c r="P365" s="16">
        <f>CASOPOInvCL!AH365</f>
        <v>0</v>
      </c>
      <c r="Q365" s="16">
        <f>CASOPOInvCL!AI365</f>
        <v>0</v>
      </c>
      <c r="R365" s="32" t="str">
        <f>CASOPOInvCL!AU365</f>
        <v/>
      </c>
      <c r="S365" s="16">
        <f>CASOPOInvCL!AV365</f>
        <v>0</v>
      </c>
      <c r="T365" s="16">
        <f>CASOPOInvCL!AW365</f>
        <v>0</v>
      </c>
      <c r="Y365" s="29" t="str">
        <f>IFERROR(HLOOKUP(U365,List!$D$2:$H$6,2,FALSE),"")</f>
        <v/>
      </c>
      <c r="Z365" s="29" t="str">
        <f>IFERROR(HLOOKUP(V365,List!$D$2:$H$6,3,FALSE),"")</f>
        <v/>
      </c>
      <c r="AA365" s="29" t="str">
        <f>IFERROR(HLOOKUP(W365,List!$D$2:$H$6,4,FALSE),"")</f>
        <v/>
      </c>
      <c r="AB365" s="29" t="str">
        <f>IFERROR(HLOOKUP(X365,List!$D$2:$H$6,5,FALSE),"")</f>
        <v/>
      </c>
      <c r="AC365" s="12" t="str">
        <f t="shared" si="65"/>
        <v/>
      </c>
      <c r="AD365" s="12" t="str">
        <f t="shared" si="66"/>
        <v/>
      </c>
      <c r="AE365" s="12" t="str">
        <f t="shared" si="67"/>
        <v/>
      </c>
      <c r="AF365" s="12" t="str">
        <f t="shared" si="68"/>
        <v/>
      </c>
      <c r="AG365" t="str">
        <f>VLOOKUP(J365,'Receivable Invoice Detail'!$A$1:F3377,6,FALSE)</f>
        <v>[W-C2036HS1/R55] Frame Plate Liner (Hi-Seal), 3/2 C-AH, Natural Rubber</v>
      </c>
      <c r="AM365" s="12" t="str">
        <f t="shared" si="69"/>
        <v/>
      </c>
      <c r="AN365" s="12" t="str">
        <f t="shared" si="70"/>
        <v/>
      </c>
      <c r="AO365" s="12" t="str">
        <f t="shared" si="71"/>
        <v/>
      </c>
      <c r="AP365" s="12" t="str">
        <f t="shared" si="72"/>
        <v/>
      </c>
      <c r="AQ365" s="12"/>
      <c r="AS365" s="12">
        <f t="shared" si="73"/>
        <v>0</v>
      </c>
      <c r="AT365" s="16" t="str">
        <f t="shared" si="76"/>
        <v/>
      </c>
    </row>
    <row r="366" spans="1:46" hidden="1" x14ac:dyDescent="0.25">
      <c r="A366" s="41">
        <f>CASOPOInvCL!T366</f>
        <v>1</v>
      </c>
      <c r="B366" t="str">
        <f>CASOPOInvCL!Z366</f>
        <v>SO16846</v>
      </c>
      <c r="G366" s="5" t="str">
        <f>CASOPOInvCL!I366</f>
        <v>Taylor Cook</v>
      </c>
      <c r="H366" s="31">
        <f>CASOPOInvCL!U366</f>
        <v>3</v>
      </c>
      <c r="I366" s="31">
        <f>CASOPOInvCL!V366</f>
        <v>2025</v>
      </c>
      <c r="J366" s="5" t="str">
        <f>CASOPOInvCL!AB366</f>
        <v>INV12974</v>
      </c>
      <c r="K366" s="31">
        <f>CASOPOInvCL!W366</f>
        <v>6</v>
      </c>
      <c r="L366" s="31">
        <f>CASOPOInvCL!X366</f>
        <v>2025</v>
      </c>
      <c r="M366" s="31"/>
      <c r="N366" s="5" t="str">
        <f>CASOPOInvCL!AF366</f>
        <v>Canadian Bearings Ltd.</v>
      </c>
      <c r="O366" s="16" t="str">
        <f>CASOPOInvCL!AG366</f>
        <v>CAD</v>
      </c>
      <c r="P366" s="16">
        <f>CASOPOInvCL!AH366</f>
        <v>2041.05</v>
      </c>
      <c r="Q366" s="16">
        <f>CASOPOInvCL!AI366</f>
        <v>1417.8902149658172</v>
      </c>
      <c r="R366" s="32" t="str">
        <f>CASOPOInvCL!AU366</f>
        <v>Yes</v>
      </c>
      <c r="S366" s="16">
        <f>CASOPOInvCL!AV366</f>
        <v>0</v>
      </c>
      <c r="T366" s="16">
        <f>CASOPOInvCL!AW366</f>
        <v>1417.8902149658172</v>
      </c>
      <c r="Y366" s="29" t="str">
        <f>IFERROR(HLOOKUP(U366,List!$D$2:$H$6,2,FALSE),"")</f>
        <v/>
      </c>
      <c r="Z366" s="29" t="str">
        <f>IFERROR(HLOOKUP(V366,List!$D$2:$H$6,3,FALSE),"")</f>
        <v/>
      </c>
      <c r="AA366" s="29" t="str">
        <f>IFERROR(HLOOKUP(W366,List!$D$2:$H$6,4,FALSE),"")</f>
        <v/>
      </c>
      <c r="AB366" s="29" t="str">
        <f>IFERROR(HLOOKUP(X366,List!$D$2:$H$6,5,FALSE),"")</f>
        <v/>
      </c>
      <c r="AC366" s="12" t="str">
        <f t="shared" si="65"/>
        <v/>
      </c>
      <c r="AD366" s="12" t="str">
        <f t="shared" si="66"/>
        <v/>
      </c>
      <c r="AE366" s="12" t="str">
        <f t="shared" si="67"/>
        <v/>
      </c>
      <c r="AF366" s="12" t="str">
        <f t="shared" si="68"/>
        <v/>
      </c>
      <c r="AG366" t="str">
        <f>VLOOKUP(J366,'Receivable Invoice Detail'!$A$1:F3378,6,FALSE)</f>
        <v>[AC-98-233-017-003] Shaft Sleeve, PWO Frame 3&amp;4, 316SS</v>
      </c>
      <c r="AM366" s="12" t="str">
        <f t="shared" si="69"/>
        <v/>
      </c>
      <c r="AN366" s="12" t="str">
        <f t="shared" si="70"/>
        <v/>
      </c>
      <c r="AO366" s="12" t="str">
        <f t="shared" si="71"/>
        <v/>
      </c>
      <c r="AP366" s="12" t="str">
        <f t="shared" si="72"/>
        <v/>
      </c>
      <c r="AQ366" s="12"/>
      <c r="AS366" s="12">
        <f t="shared" si="73"/>
        <v>21.268353224487257</v>
      </c>
      <c r="AT366" s="16" t="str">
        <f t="shared" si="76"/>
        <v>Yes</v>
      </c>
    </row>
    <row r="367" spans="1:46" hidden="1" x14ac:dyDescent="0.25">
      <c r="A367" s="41">
        <f>CASOPOInvCL!T367</f>
        <v>1</v>
      </c>
      <c r="B367" t="str">
        <f>CASOPOInvCL!Z367</f>
        <v>SO16847</v>
      </c>
      <c r="G367" s="5" t="str">
        <f>CASOPOInvCL!I367</f>
        <v>Yannett Yeomans</v>
      </c>
      <c r="H367" s="31">
        <f>CASOPOInvCL!U367</f>
        <v>3</v>
      </c>
      <c r="I367" s="31">
        <f>CASOPOInvCL!V367</f>
        <v>2025</v>
      </c>
      <c r="J367" s="5" t="str">
        <f>CASOPOInvCL!AB367</f>
        <v>INV13115</v>
      </c>
      <c r="K367" s="31" t="str">
        <f>CASOPOInvCL!W367</f>
        <v/>
      </c>
      <c r="L367" s="31" t="str">
        <f>CASOPOInvCL!X367</f>
        <v/>
      </c>
      <c r="M367" s="31"/>
      <c r="N367" s="5" t="str">
        <f>CASOPOInvCL!AF367</f>
        <v>Dynapro Pumps México S de RL de CV</v>
      </c>
      <c r="O367" s="16" t="str">
        <f>CASOPOInvCL!AG367</f>
        <v>USD</v>
      </c>
      <c r="P367" s="16">
        <f>CASOPOInvCL!AH367</f>
        <v>3227.6984639497118</v>
      </c>
      <c r="Q367" s="16">
        <f>CASOPOInvCL!AI367</f>
        <v>2264</v>
      </c>
      <c r="R367" s="32" t="str">
        <f>CASOPOInvCL!AU367</f>
        <v/>
      </c>
      <c r="S367" s="16">
        <f>CASOPOInvCL!AV367</f>
        <v>0</v>
      </c>
      <c r="T367" s="16">
        <f>CASOPOInvCL!AW367</f>
        <v>0</v>
      </c>
      <c r="Y367" s="29" t="str">
        <f>IFERROR(HLOOKUP(U367,List!$D$2:$H$6,2,FALSE),"")</f>
        <v/>
      </c>
      <c r="Z367" s="29" t="str">
        <f>IFERROR(HLOOKUP(V367,List!$D$2:$H$6,3,FALSE),"")</f>
        <v/>
      </c>
      <c r="AA367" s="29" t="str">
        <f>IFERROR(HLOOKUP(W367,List!$D$2:$H$6,4,FALSE),"")</f>
        <v/>
      </c>
      <c r="AB367" s="29" t="str">
        <f>IFERROR(HLOOKUP(X367,List!$D$2:$H$6,5,FALSE),"")</f>
        <v/>
      </c>
      <c r="AC367" s="12" t="str">
        <f t="shared" si="65"/>
        <v/>
      </c>
      <c r="AD367" s="12" t="str">
        <f t="shared" si="66"/>
        <v/>
      </c>
      <c r="AE367" s="12" t="str">
        <f t="shared" si="67"/>
        <v/>
      </c>
      <c r="AF367" s="12" t="str">
        <f t="shared" si="68"/>
        <v/>
      </c>
      <c r="AG367" t="str">
        <f>VLOOKUP(J367,'Receivable Invoice Detail'!$A$1:F3379,6,FALSE)</f>
        <v>[W-SP10116-1/R55] Upper Strainer, 100RV-SP, Natural Rubber</v>
      </c>
      <c r="AM367" s="12" t="str">
        <f t="shared" si="69"/>
        <v/>
      </c>
      <c r="AN367" s="12" t="str">
        <f t="shared" si="70"/>
        <v/>
      </c>
      <c r="AO367" s="12" t="str">
        <f t="shared" si="71"/>
        <v/>
      </c>
      <c r="AP367" s="12" t="str">
        <f t="shared" si="72"/>
        <v/>
      </c>
      <c r="AQ367" s="12"/>
      <c r="AR367" s="16" t="s">
        <v>5940</v>
      </c>
      <c r="AS367" s="12">
        <f t="shared" si="73"/>
        <v>0</v>
      </c>
      <c r="AT367" s="16" t="s">
        <v>5940</v>
      </c>
    </row>
    <row r="368" spans="1:46" hidden="1" x14ac:dyDescent="0.25">
      <c r="A368" s="41">
        <f>CASOPOInvCL!T368</f>
        <v>2</v>
      </c>
      <c r="B368" t="str">
        <f>CASOPOInvCL!Z368</f>
        <v>SO16848</v>
      </c>
      <c r="G368" s="5" t="str">
        <f>CASOPOInvCL!I368</f>
        <v>Ian Trottier</v>
      </c>
      <c r="H368" s="31">
        <f>CASOPOInvCL!U368</f>
        <v>3</v>
      </c>
      <c r="I368" s="31">
        <f>CASOPOInvCL!V368</f>
        <v>2025</v>
      </c>
      <c r="J368" s="5" t="str">
        <f>CASOPOInvCL!AB368</f>
        <v>INV12805</v>
      </c>
      <c r="K368" s="31">
        <f>CASOPOInvCL!W368</f>
        <v>5</v>
      </c>
      <c r="L368" s="31">
        <f>CASOPOInvCL!X368</f>
        <v>2025</v>
      </c>
      <c r="M368" s="31"/>
      <c r="N368" s="5" t="str">
        <f>CASOPOInvCL!AF368</f>
        <v>Sling-Choker Manufacturing - Timmins</v>
      </c>
      <c r="O368" s="16" t="str">
        <f>CASOPOInvCL!AG368</f>
        <v>CAD</v>
      </c>
      <c r="P368" s="16">
        <f>CASOPOInvCL!AH368</f>
        <v>343.22</v>
      </c>
      <c r="Q368" s="16">
        <f>CASOPOInvCL!AI368</f>
        <v>239.71557821096312</v>
      </c>
      <c r="R368" s="32" t="str">
        <f>CASOPOInvCL!AU368</f>
        <v>Yes</v>
      </c>
      <c r="S368" s="16">
        <f>CASOPOInvCL!AV368</f>
        <v>0</v>
      </c>
      <c r="T368" s="16">
        <f>CASOPOInvCL!AW368</f>
        <v>239.71557821096312</v>
      </c>
      <c r="Y368" s="29" t="str">
        <f>IFERROR(HLOOKUP(U368,List!$D$2:$H$6,2,FALSE),"")</f>
        <v/>
      </c>
      <c r="Z368" s="29" t="str">
        <f>IFERROR(HLOOKUP(V368,List!$D$2:$H$6,3,FALSE),"")</f>
        <v/>
      </c>
      <c r="AA368" s="29" t="str">
        <f>IFERROR(HLOOKUP(W368,List!$D$2:$H$6,4,FALSE),"")</f>
        <v/>
      </c>
      <c r="AB368" s="29" t="str">
        <f>IFERROR(HLOOKUP(X368,List!$D$2:$H$6,5,FALSE),"")</f>
        <v/>
      </c>
      <c r="AC368" s="12" t="str">
        <f t="shared" si="65"/>
        <v/>
      </c>
      <c r="AD368" s="12" t="str">
        <f t="shared" si="66"/>
        <v/>
      </c>
      <c r="AE368" s="12" t="str">
        <f t="shared" si="67"/>
        <v/>
      </c>
      <c r="AF368" s="12" t="str">
        <f t="shared" si="68"/>
        <v/>
      </c>
      <c r="AG368" t="str">
        <f>VLOOKUP(J368,'Receivable Invoice Detail'!$A$1:F3380,6,FALSE)</f>
        <v>[AC-98-233-700-002] Bearing Cover Gasket (Inboard &amp; Outboard), 5x4/5x5/6x6 SRL &amp; SRL-C</v>
      </c>
      <c r="AM368" s="12" t="str">
        <f t="shared" si="69"/>
        <v/>
      </c>
      <c r="AN368" s="12" t="str">
        <f t="shared" si="70"/>
        <v/>
      </c>
      <c r="AO368" s="12" t="str">
        <f t="shared" si="71"/>
        <v/>
      </c>
      <c r="AP368" s="12" t="str">
        <f t="shared" si="72"/>
        <v/>
      </c>
      <c r="AQ368" s="12"/>
      <c r="AS368" s="12">
        <f t="shared" si="73"/>
        <v>3.5957336731644465</v>
      </c>
      <c r="AT368" s="16" t="str">
        <f t="shared" si="76"/>
        <v>Yes</v>
      </c>
    </row>
    <row r="369" spans="1:46" hidden="1" x14ac:dyDescent="0.25">
      <c r="A369" s="41">
        <f>CASOPOInvCL!T369</f>
        <v>2</v>
      </c>
      <c r="B369" t="str">
        <f>CASOPOInvCL!Z369</f>
        <v>SO16848</v>
      </c>
      <c r="G369" s="5">
        <f>CASOPOInvCL!I369</f>
        <v>0</v>
      </c>
      <c r="H369" s="31">
        <f>CASOPOInvCL!U369</f>
        <v>3</v>
      </c>
      <c r="I369" s="31">
        <f>CASOPOInvCL!V369</f>
        <v>2025</v>
      </c>
      <c r="J369" s="5" t="str">
        <f>CASOPOInvCL!AB369</f>
        <v>INV12900</v>
      </c>
      <c r="K369" s="31">
        <f>CASOPOInvCL!W369</f>
        <v>5</v>
      </c>
      <c r="L369" s="31">
        <f>CASOPOInvCL!X369</f>
        <v>2025</v>
      </c>
      <c r="M369" s="31"/>
      <c r="N369" s="5" t="str">
        <f>CASOPOInvCL!AF369</f>
        <v>Sling-Choker Manufacturing - Timmins</v>
      </c>
      <c r="O369" s="16" t="str">
        <f>CASOPOInvCL!AG369</f>
        <v>CAD</v>
      </c>
      <c r="P369" s="16">
        <f>CASOPOInvCL!AH369</f>
        <v>0</v>
      </c>
      <c r="Q369" s="16">
        <f>CASOPOInvCL!AI369</f>
        <v>0</v>
      </c>
      <c r="R369" s="32" t="str">
        <f>CASOPOInvCL!AU369</f>
        <v/>
      </c>
      <c r="S369" s="16">
        <f>CASOPOInvCL!AV369</f>
        <v>0</v>
      </c>
      <c r="T369" s="16">
        <f>CASOPOInvCL!AW369</f>
        <v>0</v>
      </c>
      <c r="Y369" s="29" t="str">
        <f>IFERROR(HLOOKUP(U369,List!$D$2:$H$6,2,FALSE),"")</f>
        <v/>
      </c>
      <c r="Z369" s="29" t="str">
        <f>IFERROR(HLOOKUP(V369,List!$D$2:$H$6,3,FALSE),"")</f>
        <v/>
      </c>
      <c r="AA369" s="29" t="str">
        <f>IFERROR(HLOOKUP(W369,List!$D$2:$H$6,4,FALSE),"")</f>
        <v/>
      </c>
      <c r="AB369" s="29" t="str">
        <f>IFERROR(HLOOKUP(X369,List!$D$2:$H$6,5,FALSE),"")</f>
        <v/>
      </c>
      <c r="AC369" s="12" t="str">
        <f t="shared" si="65"/>
        <v/>
      </c>
      <c r="AD369" s="12" t="str">
        <f t="shared" si="66"/>
        <v/>
      </c>
      <c r="AE369" s="12" t="str">
        <f t="shared" si="67"/>
        <v/>
      </c>
      <c r="AF369" s="12" t="str">
        <f t="shared" si="68"/>
        <v/>
      </c>
      <c r="AG369" t="str">
        <f>VLOOKUP(J369,'Receivable Invoice Detail'!$A$1:F3381,6,FALSE)</f>
        <v>[AC-52-431-816-110] Casing Gasket, 19", Goulds PS+, F23A1</v>
      </c>
      <c r="AM369" s="12" t="str">
        <f t="shared" si="69"/>
        <v/>
      </c>
      <c r="AN369" s="12" t="str">
        <f t="shared" si="70"/>
        <v/>
      </c>
      <c r="AO369" s="12" t="str">
        <f t="shared" si="71"/>
        <v/>
      </c>
      <c r="AP369" s="12" t="str">
        <f t="shared" si="72"/>
        <v/>
      </c>
      <c r="AQ369" s="12"/>
      <c r="AS369" s="12">
        <f t="shared" si="73"/>
        <v>0</v>
      </c>
      <c r="AT369" s="16" t="str">
        <f t="shared" si="76"/>
        <v/>
      </c>
    </row>
    <row r="370" spans="1:46" hidden="1" x14ac:dyDescent="0.25">
      <c r="A370" s="41">
        <f>CASOPOInvCL!T370</f>
        <v>1</v>
      </c>
      <c r="B370" t="str">
        <f>CASOPOInvCL!Z370</f>
        <v>SO16850</v>
      </c>
      <c r="G370" s="5" t="str">
        <f>CASOPOInvCL!I370</f>
        <v>Ian Trottier</v>
      </c>
      <c r="H370" s="31">
        <f>CASOPOInvCL!U370</f>
        <v>3</v>
      </c>
      <c r="I370" s="31">
        <f>CASOPOInvCL!V370</f>
        <v>2025</v>
      </c>
      <c r="J370" s="5" t="str">
        <f>CASOPOInvCL!AB370</f>
        <v>INV12818</v>
      </c>
      <c r="K370" s="31">
        <f>CASOPOInvCL!W370</f>
        <v>5</v>
      </c>
      <c r="L370" s="31">
        <f>CASOPOInvCL!X370</f>
        <v>2025</v>
      </c>
      <c r="M370" s="31"/>
      <c r="N370" s="5" t="str">
        <f>CASOPOInvCL!AF370</f>
        <v>Motion Industries Inc. (Canada) - Prince George</v>
      </c>
      <c r="O370" s="16" t="str">
        <f>CASOPOInvCL!AG370</f>
        <v>CAD</v>
      </c>
      <c r="P370" s="16">
        <f>CASOPOInvCL!AH370</f>
        <v>1027.3399999999999</v>
      </c>
      <c r="Q370" s="16">
        <f>CASOPOInvCL!AI370</f>
        <v>719.15643069746181</v>
      </c>
      <c r="R370" s="32" t="str">
        <f>CASOPOInvCL!AU370</f>
        <v>Yes</v>
      </c>
      <c r="S370" s="16">
        <f>CASOPOInvCL!AV370</f>
        <v>0</v>
      </c>
      <c r="T370" s="16">
        <f>CASOPOInvCL!AW370</f>
        <v>719.15643069746181</v>
      </c>
      <c r="Y370" s="29" t="str">
        <f>IFERROR(HLOOKUP(U370,List!$D$2:$H$6,2,FALSE),"")</f>
        <v/>
      </c>
      <c r="Z370" s="29" t="str">
        <f>IFERROR(HLOOKUP(V370,List!$D$2:$H$6,3,FALSE),"")</f>
        <v/>
      </c>
      <c r="AA370" s="29" t="str">
        <f>IFERROR(HLOOKUP(W370,List!$D$2:$H$6,4,FALSE),"")</f>
        <v/>
      </c>
      <c r="AB370" s="29" t="str">
        <f>IFERROR(HLOOKUP(X370,List!$D$2:$H$6,5,FALSE),"")</f>
        <v/>
      </c>
      <c r="AC370" s="12" t="str">
        <f t="shared" si="65"/>
        <v/>
      </c>
      <c r="AD370" s="12" t="str">
        <f t="shared" si="66"/>
        <v/>
      </c>
      <c r="AE370" s="12" t="str">
        <f t="shared" si="67"/>
        <v/>
      </c>
      <c r="AF370" s="12" t="str">
        <f t="shared" si="68"/>
        <v/>
      </c>
      <c r="AG370" t="str">
        <f>VLOOKUP(J370,'Receivable Invoice Detail'!$A$1:F3382,6,FALSE)</f>
        <v>[M48x200MM 8.8GR] Throatbush Set Screw - Pusher, 650 MCR</v>
      </c>
      <c r="AM370" s="12" t="str">
        <f t="shared" si="69"/>
        <v/>
      </c>
      <c r="AN370" s="12" t="str">
        <f t="shared" si="70"/>
        <v/>
      </c>
      <c r="AO370" s="12" t="str">
        <f t="shared" si="71"/>
        <v/>
      </c>
      <c r="AP370" s="12" t="str">
        <f t="shared" si="72"/>
        <v/>
      </c>
      <c r="AQ370" s="12"/>
      <c r="AS370" s="12">
        <f t="shared" si="73"/>
        <v>10.787346460461928</v>
      </c>
      <c r="AT370" s="16" t="str">
        <f t="shared" si="76"/>
        <v>Yes</v>
      </c>
    </row>
    <row r="371" spans="1:46" hidden="1" x14ac:dyDescent="0.25">
      <c r="A371" s="41">
        <f>CASOPOInvCL!T371</f>
        <v>1</v>
      </c>
      <c r="B371" t="str">
        <f>CASOPOInvCL!Z371</f>
        <v>SO16853</v>
      </c>
      <c r="G371" s="5" t="str">
        <f>CASOPOInvCL!I371</f>
        <v>Ian Trottier</v>
      </c>
      <c r="H371" s="31">
        <f>CASOPOInvCL!U371</f>
        <v>3</v>
      </c>
      <c r="I371" s="31">
        <f>CASOPOInvCL!V371</f>
        <v>2025</v>
      </c>
      <c r="J371" s="5" t="str">
        <f>CASOPOInvCL!AB371</f>
        <v>INV12806</v>
      </c>
      <c r="K371" s="31">
        <f>CASOPOInvCL!W371</f>
        <v>5</v>
      </c>
      <c r="L371" s="31">
        <f>CASOPOInvCL!X371</f>
        <v>2025</v>
      </c>
      <c r="M371" s="31"/>
      <c r="N371" s="5" t="str">
        <f>CASOPOInvCL!AF371</f>
        <v>Sling-Choker Manufacturing - Timmins</v>
      </c>
      <c r="O371" s="16" t="str">
        <f>CASOPOInvCL!AG371</f>
        <v>CAD</v>
      </c>
      <c r="P371" s="16">
        <f>CASOPOInvCL!AH371</f>
        <v>5557.87</v>
      </c>
      <c r="Q371" s="16">
        <f>CASOPOInvCL!AI371</f>
        <v>3890.9580740428664</v>
      </c>
      <c r="R371" s="32" t="str">
        <f>CASOPOInvCL!AU371</f>
        <v>Yes</v>
      </c>
      <c r="S371" s="16">
        <f>CASOPOInvCL!AV371</f>
        <v>0</v>
      </c>
      <c r="T371" s="16">
        <f>CASOPOInvCL!AW371</f>
        <v>3890.9580740428664</v>
      </c>
      <c r="Y371" s="29" t="str">
        <f>IFERROR(HLOOKUP(U371,List!$D$2:$H$6,2,FALSE),"")</f>
        <v/>
      </c>
      <c r="Z371" s="29" t="str">
        <f>IFERROR(HLOOKUP(V371,List!$D$2:$H$6,3,FALSE),"")</f>
        <v/>
      </c>
      <c r="AA371" s="29" t="str">
        <f>IFERROR(HLOOKUP(W371,List!$D$2:$H$6,4,FALSE),"")</f>
        <v/>
      </c>
      <c r="AB371" s="29" t="str">
        <f>IFERROR(HLOOKUP(X371,List!$D$2:$H$6,5,FALSE),"")</f>
        <v/>
      </c>
      <c r="AC371" s="12" t="str">
        <f t="shared" si="65"/>
        <v/>
      </c>
      <c r="AD371" s="12" t="str">
        <f t="shared" si="66"/>
        <v/>
      </c>
      <c r="AE371" s="12" t="str">
        <f t="shared" si="67"/>
        <v/>
      </c>
      <c r="AF371" s="12" t="str">
        <f t="shared" si="68"/>
        <v/>
      </c>
      <c r="AG371" t="str">
        <f>VLOOKUP(J371,'Receivable Invoice Detail'!$A$1:F3383,6,FALSE)</f>
        <v>[AC-98-231-115-501] Suction Side Liner, 5x4-14 SRL-C, Natural Rubber</v>
      </c>
      <c r="AM371" s="12" t="str">
        <f t="shared" si="69"/>
        <v/>
      </c>
      <c r="AN371" s="12" t="str">
        <f t="shared" si="70"/>
        <v/>
      </c>
      <c r="AO371" s="12" t="str">
        <f t="shared" si="71"/>
        <v/>
      </c>
      <c r="AP371" s="12" t="str">
        <f t="shared" si="72"/>
        <v/>
      </c>
      <c r="AQ371" s="12"/>
      <c r="AS371" s="12">
        <f t="shared" si="73"/>
        <v>58.364371110642992</v>
      </c>
      <c r="AT371" s="16" t="str">
        <f t="shared" si="76"/>
        <v>Yes</v>
      </c>
    </row>
    <row r="372" spans="1:46" hidden="1" x14ac:dyDescent="0.25">
      <c r="A372" s="41">
        <f>CASOPOInvCL!T372</f>
        <v>1</v>
      </c>
      <c r="B372" t="str">
        <f>CASOPOInvCL!Z372</f>
        <v>SO16856</v>
      </c>
      <c r="G372" s="5" t="str">
        <f>CASOPOInvCL!I372</f>
        <v>Ian Trottier</v>
      </c>
      <c r="H372" s="31">
        <f>CASOPOInvCL!U372</f>
        <v>3</v>
      </c>
      <c r="I372" s="31">
        <f>CASOPOInvCL!V372</f>
        <v>2025</v>
      </c>
      <c r="J372" s="5" t="str">
        <f>CASOPOInvCL!AB372</f>
        <v>INV12893</v>
      </c>
      <c r="K372" s="31">
        <f>CASOPOInvCL!W372</f>
        <v>5</v>
      </c>
      <c r="L372" s="31">
        <f>CASOPOInvCL!X372</f>
        <v>2025</v>
      </c>
      <c r="M372" s="31"/>
      <c r="N372" s="5" t="str">
        <f>CASOPOInvCL!AF372</f>
        <v>Motion Industries Inc. (Canada) - Thunder Bay</v>
      </c>
      <c r="O372" s="16" t="str">
        <f>CASOPOInvCL!AG372</f>
        <v>CAD</v>
      </c>
      <c r="P372" s="16">
        <f>CASOPOInvCL!AH372</f>
        <v>1465.07</v>
      </c>
      <c r="Q372" s="16">
        <f>CASOPOInvCL!AI372</f>
        <v>1025.6673771675091</v>
      </c>
      <c r="R372" s="32" t="str">
        <f>CASOPOInvCL!AU372</f>
        <v>Yes</v>
      </c>
      <c r="S372" s="16">
        <f>CASOPOInvCL!AV372</f>
        <v>0</v>
      </c>
      <c r="T372" s="16">
        <f>CASOPOInvCL!AW372</f>
        <v>1025.6673771675091</v>
      </c>
      <c r="Y372" s="29" t="str">
        <f>IFERROR(HLOOKUP(U372,List!$D$2:$H$6,2,FALSE),"")</f>
        <v/>
      </c>
      <c r="Z372" s="29" t="str">
        <f>IFERROR(HLOOKUP(V372,List!$D$2:$H$6,3,FALSE),"")</f>
        <v/>
      </c>
      <c r="AA372" s="29" t="str">
        <f>IFERROR(HLOOKUP(W372,List!$D$2:$H$6,4,FALSE),"")</f>
        <v/>
      </c>
      <c r="AB372" s="29" t="str">
        <f>IFERROR(HLOOKUP(X372,List!$D$2:$H$6,5,FALSE),"")</f>
        <v/>
      </c>
      <c r="AC372" s="12" t="str">
        <f t="shared" si="65"/>
        <v/>
      </c>
      <c r="AD372" s="12" t="str">
        <f t="shared" si="66"/>
        <v/>
      </c>
      <c r="AE372" s="12" t="str">
        <f t="shared" si="67"/>
        <v/>
      </c>
      <c r="AF372" s="12" t="str">
        <f t="shared" si="68"/>
        <v/>
      </c>
      <c r="AG372" t="str">
        <f>VLOOKUP(J372,'Receivable Invoice Detail'!$A$1:F3384,6,FALSE)</f>
        <v>[G-C04110A01 1203] Stuffing Box Cover, 10", 3196 MTX, 316SS, VPE Enlarged Taper Bore</v>
      </c>
      <c r="AM372" s="12" t="str">
        <f t="shared" si="69"/>
        <v/>
      </c>
      <c r="AN372" s="12" t="str">
        <f t="shared" si="70"/>
        <v/>
      </c>
      <c r="AO372" s="12" t="str">
        <f t="shared" si="71"/>
        <v/>
      </c>
      <c r="AP372" s="12" t="str">
        <f t="shared" si="72"/>
        <v/>
      </c>
      <c r="AQ372" s="12"/>
      <c r="AS372" s="12">
        <f t="shared" si="73"/>
        <v>15.385010657512636</v>
      </c>
      <c r="AT372" s="16" t="str">
        <f t="shared" si="76"/>
        <v>Yes</v>
      </c>
    </row>
    <row r="373" spans="1:46" hidden="1" x14ac:dyDescent="0.25">
      <c r="A373" s="41">
        <f>CASOPOInvCL!T373</f>
        <v>1</v>
      </c>
      <c r="B373" t="str">
        <f>CASOPOInvCL!Z373</f>
        <v>SO16860</v>
      </c>
      <c r="G373" s="5" t="str">
        <f>CASOPOInvCL!I373</f>
        <v>Ian Trottier</v>
      </c>
      <c r="H373" s="31">
        <f>CASOPOInvCL!U373</f>
        <v>3</v>
      </c>
      <c r="I373" s="31">
        <f>CASOPOInvCL!V373</f>
        <v>2025</v>
      </c>
      <c r="J373" s="5" t="str">
        <f>CASOPOInvCL!AB373</f>
        <v>INV12827</v>
      </c>
      <c r="K373" s="31">
        <f>CASOPOInvCL!W373</f>
        <v>5</v>
      </c>
      <c r="L373" s="31">
        <f>CASOPOInvCL!X373</f>
        <v>2025</v>
      </c>
      <c r="M373" s="31"/>
      <c r="N373" s="5" t="str">
        <f>CASOPOInvCL!AF373</f>
        <v>Motion Industries Inc. (Canada) - Chicoutimi, Motion Industries Inc. (Canada) - Chicoutimi</v>
      </c>
      <c r="O373" s="16" t="str">
        <f>CASOPOInvCL!AG373</f>
        <v>CAD</v>
      </c>
      <c r="P373" s="16">
        <f>CASOPOInvCL!AH373</f>
        <v>149.68</v>
      </c>
      <c r="Q373" s="16">
        <f>CASOPOInvCL!AI373</f>
        <v>105.44962868003657</v>
      </c>
      <c r="R373" s="32" t="str">
        <f>CASOPOInvCL!AU373</f>
        <v>Yes</v>
      </c>
      <c r="S373" s="16">
        <f>CASOPOInvCL!AV373</f>
        <v>0</v>
      </c>
      <c r="T373" s="16">
        <f>CASOPOInvCL!AW373</f>
        <v>105.44962868003657</v>
      </c>
      <c r="Y373" s="29" t="str">
        <f>IFERROR(HLOOKUP(U373,List!$D$2:$H$6,2,FALSE),"")</f>
        <v/>
      </c>
      <c r="Z373" s="29" t="str">
        <f>IFERROR(HLOOKUP(V373,List!$D$2:$H$6,3,FALSE),"")</f>
        <v/>
      </c>
      <c r="AA373" s="29" t="str">
        <f>IFERROR(HLOOKUP(W373,List!$D$2:$H$6,4,FALSE),"")</f>
        <v/>
      </c>
      <c r="AB373" s="29" t="str">
        <f>IFERROR(HLOOKUP(X373,List!$D$2:$H$6,5,FALSE),"")</f>
        <v/>
      </c>
      <c r="AC373" s="12" t="str">
        <f t="shared" si="65"/>
        <v/>
      </c>
      <c r="AD373" s="12" t="str">
        <f t="shared" si="66"/>
        <v/>
      </c>
      <c r="AE373" s="12" t="str">
        <f t="shared" si="67"/>
        <v/>
      </c>
      <c r="AF373" s="12" t="str">
        <f t="shared" si="68"/>
        <v/>
      </c>
      <c r="AG373" t="str">
        <f>VLOOKUP(J373,'Receivable Invoice Detail'!$A$1:F3385,6,FALSE)</f>
        <v>[AC-52-235-695-005] Oil Slinger, Allis Chalmers CSO, Steel</v>
      </c>
      <c r="AM373" s="12" t="str">
        <f t="shared" si="69"/>
        <v/>
      </c>
      <c r="AN373" s="12" t="str">
        <f t="shared" si="70"/>
        <v/>
      </c>
      <c r="AO373" s="12" t="str">
        <f t="shared" si="71"/>
        <v/>
      </c>
      <c r="AP373" s="12" t="str">
        <f t="shared" si="72"/>
        <v/>
      </c>
      <c r="AQ373" s="12"/>
      <c r="AS373" s="12">
        <f t="shared" si="73"/>
        <v>1.5817444302005486</v>
      </c>
      <c r="AT373" s="16" t="str">
        <f t="shared" si="76"/>
        <v>Yes</v>
      </c>
    </row>
    <row r="374" spans="1:46" hidden="1" x14ac:dyDescent="0.25">
      <c r="A374" s="41">
        <f>CASOPOInvCL!T374</f>
        <v>1</v>
      </c>
      <c r="B374" t="str">
        <f>CASOPOInvCL!Z374</f>
        <v>SO16865</v>
      </c>
      <c r="G374" s="5" t="str">
        <f>CASOPOInvCL!I374</f>
        <v>Ian Trottier</v>
      </c>
      <c r="H374" s="31">
        <f>CASOPOInvCL!U374</f>
        <v>3</v>
      </c>
      <c r="I374" s="31">
        <f>CASOPOInvCL!V374</f>
        <v>2025</v>
      </c>
      <c r="J374" s="5" t="str">
        <f>CASOPOInvCL!AB374</f>
        <v>INV12857</v>
      </c>
      <c r="K374" s="31">
        <f>CASOPOInvCL!W374</f>
        <v>6</v>
      </c>
      <c r="L374" s="31">
        <f>CASOPOInvCL!X374</f>
        <v>2025</v>
      </c>
      <c r="M374" s="31"/>
      <c r="N374" s="5" t="str">
        <f>CASOPOInvCL!AF374</f>
        <v>Tech-Flow</v>
      </c>
      <c r="O374" s="16" t="str">
        <f>CASOPOInvCL!AG374</f>
        <v>USD</v>
      </c>
      <c r="P374" s="16">
        <f>CASOPOInvCL!AH374</f>
        <v>3654.6503093603656</v>
      </c>
      <c r="Q374" s="16">
        <f>CASOPOInvCL!AI374</f>
        <v>2551.98</v>
      </c>
      <c r="R374" s="32" t="str">
        <f>CASOPOInvCL!AU374</f>
        <v>Yes</v>
      </c>
      <c r="S374" s="16">
        <f>CASOPOInvCL!AV374</f>
        <v>0</v>
      </c>
      <c r="T374" s="16">
        <f>CASOPOInvCL!AW374</f>
        <v>2551.98</v>
      </c>
      <c r="Y374" s="29" t="str">
        <f>IFERROR(HLOOKUP(U374,List!$D$2:$H$6,2,FALSE),"")</f>
        <v/>
      </c>
      <c r="Z374" s="29" t="str">
        <f>IFERROR(HLOOKUP(V374,List!$D$2:$H$6,3,FALSE),"")</f>
        <v/>
      </c>
      <c r="AA374" s="29" t="str">
        <f>IFERROR(HLOOKUP(W374,List!$D$2:$H$6,4,FALSE),"")</f>
        <v/>
      </c>
      <c r="AB374" s="29" t="str">
        <f>IFERROR(HLOOKUP(X374,List!$D$2:$H$6,5,FALSE),"")</f>
        <v/>
      </c>
      <c r="AC374" s="12" t="str">
        <f t="shared" si="65"/>
        <v/>
      </c>
      <c r="AD374" s="12" t="str">
        <f t="shared" si="66"/>
        <v/>
      </c>
      <c r="AE374" s="12" t="str">
        <f t="shared" si="67"/>
        <v/>
      </c>
      <c r="AF374" s="12" t="str">
        <f t="shared" si="68"/>
        <v/>
      </c>
      <c r="AG374" t="str">
        <f>VLOOKUP(J374,'Receivable Invoice Detail'!$A$1:F3386,6,FALSE)</f>
        <v>[SA-016628-M1] Casing, 44 WFR, Sala ST, Rubber Lined</v>
      </c>
      <c r="AM374" s="12" t="str">
        <f t="shared" si="69"/>
        <v/>
      </c>
      <c r="AN374" s="12" t="str">
        <f t="shared" si="70"/>
        <v/>
      </c>
      <c r="AO374" s="12" t="str">
        <f t="shared" si="71"/>
        <v/>
      </c>
      <c r="AP374" s="12" t="str">
        <f t="shared" si="72"/>
        <v/>
      </c>
      <c r="AQ374" s="12"/>
      <c r="AS374" s="12">
        <f t="shared" si="73"/>
        <v>38.279699999999998</v>
      </c>
      <c r="AT374" s="16" t="str">
        <f t="shared" si="76"/>
        <v>Yes</v>
      </c>
    </row>
    <row r="375" spans="1:46" hidden="1" x14ac:dyDescent="0.25">
      <c r="A375" s="41">
        <f>CASOPOInvCL!T375</f>
        <v>1</v>
      </c>
      <c r="B375" t="str">
        <f>CASOPOInvCL!Z375</f>
        <v>SO16866</v>
      </c>
      <c r="G375" s="5" t="str">
        <f>CASOPOInvCL!I375</f>
        <v>Ian Trottier</v>
      </c>
      <c r="H375" s="31">
        <f>CASOPOInvCL!U375</f>
        <v>3</v>
      </c>
      <c r="I375" s="31">
        <f>CASOPOInvCL!V375</f>
        <v>2025</v>
      </c>
      <c r="J375" s="5" t="str">
        <f>CASOPOInvCL!AB375</f>
        <v>INV12882</v>
      </c>
      <c r="K375" s="31">
        <f>CASOPOInvCL!W375</f>
        <v>6</v>
      </c>
      <c r="L375" s="31">
        <f>CASOPOInvCL!X375</f>
        <v>2025</v>
      </c>
      <c r="M375" s="31"/>
      <c r="N375" s="5" t="str">
        <f>CASOPOInvCL!AF375</f>
        <v>Resolute Forest Products - Saint-Felicien</v>
      </c>
      <c r="O375" s="16" t="str">
        <f>CASOPOInvCL!AG375</f>
        <v>CAD</v>
      </c>
      <c r="P375" s="16">
        <f>CASOPOInvCL!AH375</f>
        <v>625.44000000000005</v>
      </c>
      <c r="Q375" s="16">
        <f>CASOPOInvCL!AI375</f>
        <v>440.38606479616055</v>
      </c>
      <c r="R375" s="32" t="str">
        <f>CASOPOInvCL!AU375</f>
        <v>Yes</v>
      </c>
      <c r="S375" s="16">
        <f>CASOPOInvCL!AV375</f>
        <v>0</v>
      </c>
      <c r="T375" s="16">
        <f>CASOPOInvCL!AW375</f>
        <v>440.38606479616055</v>
      </c>
      <c r="Y375" s="29" t="str">
        <f>IFERROR(HLOOKUP(U375,List!$D$2:$H$6,2,FALSE),"")</f>
        <v/>
      </c>
      <c r="Z375" s="29" t="str">
        <f>IFERROR(HLOOKUP(V375,List!$D$2:$H$6,3,FALSE),"")</f>
        <v/>
      </c>
      <c r="AA375" s="29" t="str">
        <f>IFERROR(HLOOKUP(W375,List!$D$2:$H$6,4,FALSE),"")</f>
        <v/>
      </c>
      <c r="AB375" s="29" t="str">
        <f>IFERROR(HLOOKUP(X375,List!$D$2:$H$6,5,FALSE),"")</f>
        <v/>
      </c>
      <c r="AC375" s="12" t="str">
        <f t="shared" si="65"/>
        <v/>
      </c>
      <c r="AD375" s="12" t="str">
        <f t="shared" si="66"/>
        <v/>
      </c>
      <c r="AE375" s="12" t="str">
        <f t="shared" si="67"/>
        <v/>
      </c>
      <c r="AF375" s="12" t="str">
        <f t="shared" si="68"/>
        <v/>
      </c>
      <c r="AG375" t="str">
        <f>VLOOKUP(J375,'Receivable Invoice Detail'!$A$1:F3387,6,FALSE)</f>
        <v>[AC-52-108-475-013] Deflector (Outboard), Allis-Chalmers PWO, Group 2</v>
      </c>
      <c r="AM375" s="12" t="str">
        <f t="shared" si="69"/>
        <v/>
      </c>
      <c r="AN375" s="12" t="str">
        <f t="shared" si="70"/>
        <v/>
      </c>
      <c r="AO375" s="12" t="str">
        <f t="shared" si="71"/>
        <v/>
      </c>
      <c r="AP375" s="12" t="str">
        <f t="shared" si="72"/>
        <v/>
      </c>
      <c r="AQ375" s="12"/>
      <c r="AS375" s="12">
        <f t="shared" si="73"/>
        <v>6.6057909719424082</v>
      </c>
      <c r="AT375" s="16" t="str">
        <f t="shared" si="76"/>
        <v>Yes</v>
      </c>
    </row>
    <row r="376" spans="1:46" hidden="1" x14ac:dyDescent="0.25">
      <c r="A376" s="41">
        <f>CASOPOInvCL!T376</f>
        <v>1</v>
      </c>
      <c r="B376" t="str">
        <f>CASOPOInvCL!Z376</f>
        <v>SO16867</v>
      </c>
      <c r="G376" s="5" t="str">
        <f>CASOPOInvCL!I376</f>
        <v>Ian Trottier</v>
      </c>
      <c r="H376" s="31">
        <f>CASOPOInvCL!U376</f>
        <v>3</v>
      </c>
      <c r="I376" s="31">
        <f>CASOPOInvCL!V376</f>
        <v>2025</v>
      </c>
      <c r="J376" s="5" t="str">
        <f>CASOPOInvCL!AB376</f>
        <v>INV12809</v>
      </c>
      <c r="K376" s="31">
        <f>CASOPOInvCL!W376</f>
        <v>5</v>
      </c>
      <c r="L376" s="31">
        <f>CASOPOInvCL!X376</f>
        <v>2025</v>
      </c>
      <c r="M376" s="31"/>
      <c r="N376" s="5" t="str">
        <f>CASOPOInvCL!AF376</f>
        <v>Resolute Forest Products - Saint-Felicien</v>
      </c>
      <c r="O376" s="16" t="str">
        <f>CASOPOInvCL!AG376</f>
        <v>CAD</v>
      </c>
      <c r="P376" s="16">
        <f>CASOPOInvCL!AH376</f>
        <v>301.76</v>
      </c>
      <c r="Q376" s="16">
        <f>CASOPOInvCL!AI376</f>
        <v>210.2529647109217</v>
      </c>
      <c r="R376" s="32" t="str">
        <f>CASOPOInvCL!AU376</f>
        <v>Yes</v>
      </c>
      <c r="S376" s="16">
        <f>CASOPOInvCL!AV376</f>
        <v>0</v>
      </c>
      <c r="T376" s="16">
        <f>CASOPOInvCL!AW376</f>
        <v>210.2529647109217</v>
      </c>
      <c r="Y376" s="29" t="str">
        <f>IFERROR(HLOOKUP(U376,List!$D$2:$H$6,2,FALSE),"")</f>
        <v/>
      </c>
      <c r="Z376" s="29" t="str">
        <f>IFERROR(HLOOKUP(V376,List!$D$2:$H$6,3,FALSE),"")</f>
        <v/>
      </c>
      <c r="AA376" s="29" t="str">
        <f>IFERROR(HLOOKUP(W376,List!$D$2:$H$6,4,FALSE),"")</f>
        <v/>
      </c>
      <c r="AB376" s="29" t="str">
        <f>IFERROR(HLOOKUP(X376,List!$D$2:$H$6,5,FALSE),"")</f>
        <v/>
      </c>
      <c r="AC376" s="12" t="str">
        <f t="shared" si="65"/>
        <v/>
      </c>
      <c r="AD376" s="12" t="str">
        <f t="shared" si="66"/>
        <v/>
      </c>
      <c r="AE376" s="12" t="str">
        <f t="shared" si="67"/>
        <v/>
      </c>
      <c r="AF376" s="12" t="str">
        <f t="shared" si="68"/>
        <v/>
      </c>
      <c r="AG376" t="str">
        <f>VLOOKUP(J376,'Receivable Invoice Detail'!$A$1:F3388,6,FALSE)</f>
        <v>[AC-52-108-475-012] Deflector (Inboard), Allis-Chalmers PWO, Group 2</v>
      </c>
      <c r="AM376" s="12" t="str">
        <f t="shared" si="69"/>
        <v/>
      </c>
      <c r="AN376" s="12" t="str">
        <f t="shared" si="70"/>
        <v/>
      </c>
      <c r="AO376" s="12" t="str">
        <f t="shared" si="71"/>
        <v/>
      </c>
      <c r="AP376" s="12" t="str">
        <f t="shared" si="72"/>
        <v/>
      </c>
      <c r="AQ376" s="12"/>
      <c r="AS376" s="12">
        <f t="shared" si="73"/>
        <v>3.1537944706638252</v>
      </c>
      <c r="AT376" s="16" t="str">
        <f t="shared" si="76"/>
        <v>Yes</v>
      </c>
    </row>
    <row r="377" spans="1:46" hidden="1" x14ac:dyDescent="0.25">
      <c r="A377" s="41">
        <f>CASOPOInvCL!T377</f>
        <v>1</v>
      </c>
      <c r="B377" t="str">
        <f>CASOPOInvCL!Z377</f>
        <v>SO16868</v>
      </c>
      <c r="G377" s="5" t="str">
        <f>CASOPOInvCL!I377</f>
        <v>Ian Trottier</v>
      </c>
      <c r="H377" s="31">
        <f>CASOPOInvCL!U377</f>
        <v>3</v>
      </c>
      <c r="I377" s="31">
        <f>CASOPOInvCL!V377</f>
        <v>2025</v>
      </c>
      <c r="J377" s="5" t="str">
        <f>CASOPOInvCL!AB377</f>
        <v>INV12885</v>
      </c>
      <c r="K377" s="31">
        <f>CASOPOInvCL!W377</f>
        <v>6</v>
      </c>
      <c r="L377" s="31">
        <f>CASOPOInvCL!X377</f>
        <v>2025</v>
      </c>
      <c r="M377" s="31"/>
      <c r="N377" s="5" t="str">
        <f>CASOPOInvCL!AF377</f>
        <v>PT Vale Indonesia Tbk.</v>
      </c>
      <c r="O377" s="16" t="str">
        <f>CASOPOInvCL!AG377</f>
        <v>USD</v>
      </c>
      <c r="P377" s="16">
        <f>CASOPOInvCL!AH377</f>
        <v>416.39281026874033</v>
      </c>
      <c r="Q377" s="16">
        <f>CASOPOInvCL!AI377</f>
        <v>290.76</v>
      </c>
      <c r="R377" s="32" t="str">
        <f>CASOPOInvCL!AU377</f>
        <v>Yes</v>
      </c>
      <c r="S377" s="16">
        <f>CASOPOInvCL!AV377</f>
        <v>0</v>
      </c>
      <c r="T377" s="16">
        <f>CASOPOInvCL!AW377</f>
        <v>290.76</v>
      </c>
      <c r="Y377" s="29" t="str">
        <f>IFERROR(HLOOKUP(U377,List!$D$2:$H$6,2,FALSE),"")</f>
        <v/>
      </c>
      <c r="Z377" s="29" t="str">
        <f>IFERROR(HLOOKUP(V377,List!$D$2:$H$6,3,FALSE),"")</f>
        <v/>
      </c>
      <c r="AA377" s="29" t="str">
        <f>IFERROR(HLOOKUP(W377,List!$D$2:$H$6,4,FALSE),"")</f>
        <v/>
      </c>
      <c r="AB377" s="29" t="str">
        <f>IFERROR(HLOOKUP(X377,List!$D$2:$H$6,5,FALSE),"")</f>
        <v/>
      </c>
      <c r="AC377" s="12" t="str">
        <f t="shared" si="65"/>
        <v/>
      </c>
      <c r="AD377" s="12" t="str">
        <f t="shared" si="66"/>
        <v/>
      </c>
      <c r="AE377" s="12" t="str">
        <f t="shared" si="67"/>
        <v/>
      </c>
      <c r="AF377" s="12" t="str">
        <f t="shared" si="68"/>
        <v/>
      </c>
      <c r="AG377" t="str">
        <f>VLOOKUP(J377,'Receivable Invoice Detail'!$A$1:F3389,6,FALSE)</f>
        <v>[G-67868-211-212 5108] Gasket Material (2 Piece Set), Armstrong Syntheseal N-8090, 16" x 17 3/4"</v>
      </c>
      <c r="AM377" s="12" t="str">
        <f t="shared" si="69"/>
        <v/>
      </c>
      <c r="AN377" s="12" t="str">
        <f t="shared" si="70"/>
        <v/>
      </c>
      <c r="AO377" s="12" t="str">
        <f t="shared" si="71"/>
        <v/>
      </c>
      <c r="AP377" s="12" t="str">
        <f t="shared" si="72"/>
        <v/>
      </c>
      <c r="AQ377" s="12"/>
      <c r="AS377" s="12">
        <f t="shared" si="73"/>
        <v>4.3613999999999997</v>
      </c>
      <c r="AT377" s="16" t="str">
        <f t="shared" si="76"/>
        <v>Yes</v>
      </c>
    </row>
    <row r="378" spans="1:46" hidden="1" x14ac:dyDescent="0.25">
      <c r="A378" s="41">
        <f>CASOPOInvCL!T378</f>
        <v>1</v>
      </c>
      <c r="B378" t="str">
        <f>CASOPOInvCL!Z378</f>
        <v>SO16870</v>
      </c>
      <c r="G378" s="5" t="str">
        <f>CASOPOInvCL!I378</f>
        <v>Amanda Qiao</v>
      </c>
      <c r="H378" s="31">
        <f>CASOPOInvCL!U378</f>
        <v>4</v>
      </c>
      <c r="I378" s="31">
        <f>CASOPOInvCL!V378</f>
        <v>2025</v>
      </c>
      <c r="J378" s="5" t="str">
        <f>CASOPOInvCL!AB378</f>
        <v>INV12871</v>
      </c>
      <c r="K378" s="31">
        <f>CASOPOInvCL!W378</f>
        <v>5</v>
      </c>
      <c r="L378" s="31">
        <f>CASOPOInvCL!X378</f>
        <v>2025</v>
      </c>
      <c r="M378" s="31"/>
      <c r="N378" s="5" t="str">
        <f>CASOPOInvCL!AF378</f>
        <v>Mill-Right Mine Services Inc.</v>
      </c>
      <c r="O378" s="16" t="str">
        <f>CASOPOInvCL!AG378</f>
        <v>USD</v>
      </c>
      <c r="P378" s="16">
        <f>CASOPOInvCL!AH378</f>
        <v>20860.686811386335</v>
      </c>
      <c r="Q378" s="16">
        <f>CASOPOInvCL!AI378</f>
        <v>14534.8</v>
      </c>
      <c r="R378" s="32" t="str">
        <f>CASOPOInvCL!AU378</f>
        <v>Yes</v>
      </c>
      <c r="S378" s="16">
        <f>CASOPOInvCL!AV378</f>
        <v>0</v>
      </c>
      <c r="T378" s="16">
        <f>CASOPOInvCL!AW378</f>
        <v>14534.8</v>
      </c>
      <c r="Y378" s="29" t="str">
        <f>IFERROR(HLOOKUP(U378,List!$D$2:$H$6,2,FALSE),"")</f>
        <v/>
      </c>
      <c r="Z378" s="29" t="str">
        <f>IFERROR(HLOOKUP(V378,List!$D$2:$H$6,3,FALSE),"")</f>
        <v/>
      </c>
      <c r="AA378" s="29" t="str">
        <f>IFERROR(HLOOKUP(W378,List!$D$2:$H$6,4,FALSE),"")</f>
        <v/>
      </c>
      <c r="AB378" s="29" t="str">
        <f>IFERROR(HLOOKUP(X378,List!$D$2:$H$6,5,FALSE),"")</f>
        <v/>
      </c>
      <c r="AC378" s="12" t="str">
        <f t="shared" si="65"/>
        <v/>
      </c>
      <c r="AD378" s="12" t="str">
        <f t="shared" si="66"/>
        <v/>
      </c>
      <c r="AE378" s="12" t="str">
        <f t="shared" si="67"/>
        <v/>
      </c>
      <c r="AF378" s="12" t="str">
        <f t="shared" si="68"/>
        <v/>
      </c>
      <c r="AG378" t="str">
        <f>VLOOKUP(J378,'Receivable Invoice Detail'!$A$1:F3390,6,FALSE)</f>
        <v>[FS58979M4] Single Cartridge Mechanical Seal, 1 7/8", VBRB3, Big Bore, Carbon vs Silicon Carbide, TFEP, A276 Bellows, 316SS</v>
      </c>
      <c r="AM378" s="12" t="str">
        <f t="shared" si="69"/>
        <v/>
      </c>
      <c r="AN378" s="12" t="str">
        <f t="shared" si="70"/>
        <v/>
      </c>
      <c r="AO378" s="12" t="str">
        <f t="shared" si="71"/>
        <v/>
      </c>
      <c r="AP378" s="12" t="str">
        <f t="shared" si="72"/>
        <v/>
      </c>
      <c r="AQ378" s="12"/>
      <c r="AS378" s="12">
        <f t="shared" si="73"/>
        <v>218.02199999999999</v>
      </c>
      <c r="AT378" s="16" t="str">
        <f t="shared" si="76"/>
        <v>Yes</v>
      </c>
    </row>
    <row r="379" spans="1:46" hidden="1" x14ac:dyDescent="0.25">
      <c r="A379" s="41">
        <f>CASOPOInvCL!T379</f>
        <v>2</v>
      </c>
      <c r="B379" t="str">
        <f>CASOPOInvCL!Z379</f>
        <v>SO16874</v>
      </c>
      <c r="D379" t="s">
        <v>5925</v>
      </c>
      <c r="G379" s="5" t="str">
        <f>CASOPOInvCL!I379</f>
        <v>Ian Trottier</v>
      </c>
      <c r="H379" s="31">
        <f>CASOPOInvCL!U379</f>
        <v>4</v>
      </c>
      <c r="I379" s="31">
        <f>CASOPOInvCL!V379</f>
        <v>2025</v>
      </c>
      <c r="J379" s="5" t="str">
        <f>CASOPOInvCL!AB379</f>
        <v>INV12963</v>
      </c>
      <c r="K379" s="31">
        <f>CASOPOInvCL!W379</f>
        <v>6</v>
      </c>
      <c r="L379" s="31">
        <f>CASOPOInvCL!X379</f>
        <v>2025</v>
      </c>
      <c r="M379">
        <v>2503</v>
      </c>
      <c r="N379" s="5" t="str">
        <f>CASOPOInvCL!AF379</f>
        <v>MAB Equipment Company Inc.</v>
      </c>
      <c r="O379" s="16" t="str">
        <f>CASOPOInvCL!AG379</f>
        <v>USD</v>
      </c>
      <c r="P379" s="16">
        <f>CASOPOInvCL!AH379</f>
        <v>8484.1057146154453</v>
      </c>
      <c r="Q379" s="16">
        <f>CASOPOInvCL!AI379</f>
        <v>6126.92</v>
      </c>
      <c r="R379" s="32" t="str">
        <f>CASOPOInvCL!AU379</f>
        <v>Yes</v>
      </c>
      <c r="S379" s="16">
        <f>CASOPOInvCL!AV379</f>
        <v>695</v>
      </c>
      <c r="T379" s="16">
        <f>CASOPOInvCL!AW379</f>
        <v>5431.92</v>
      </c>
      <c r="V379" t="s">
        <v>5801</v>
      </c>
      <c r="Y379" s="29" t="str">
        <f>IFERROR(HLOOKUP(U379,List!$D$2:$H$6,2,FALSE),"")</f>
        <v/>
      </c>
      <c r="Z379" s="29">
        <f>IFERROR(HLOOKUP(V379,List!$D$2:$H$6,3,FALSE),"")</f>
        <v>0.02</v>
      </c>
      <c r="AA379" s="29" t="str">
        <f>IFERROR(HLOOKUP(W379,List!$D$2:$H$6,4,FALSE),"")</f>
        <v/>
      </c>
      <c r="AB379" s="29" t="str">
        <f>IFERROR(HLOOKUP(X379,List!$D$2:$H$6,5,FALSE),"")</f>
        <v/>
      </c>
      <c r="AC379" s="12" t="str">
        <f t="shared" si="65"/>
        <v/>
      </c>
      <c r="AD379" s="12">
        <f t="shared" si="66"/>
        <v>108.6384</v>
      </c>
      <c r="AE379" s="12" t="str">
        <f t="shared" si="67"/>
        <v/>
      </c>
      <c r="AF379" s="12" t="str">
        <f t="shared" si="68"/>
        <v/>
      </c>
      <c r="AG379" t="str">
        <f>VLOOKUP(J379,'Receivable Invoice Detail'!$A$1:F3391,6,FALSE)</f>
        <v>[W-D026M/E62] Liner Stud w/Nut, 4/3 C or D-AH, Metric</v>
      </c>
      <c r="AH379" s="12">
        <f t="shared" ref="AH379:AH380" si="78">SUM(AC379:AF379)</f>
        <v>108.6384</v>
      </c>
      <c r="AM379" s="12" t="str">
        <f t="shared" si="69"/>
        <v/>
      </c>
      <c r="AN379" s="12">
        <f t="shared" si="70"/>
        <v>108.6384</v>
      </c>
      <c r="AO379" s="12" t="str">
        <f t="shared" si="71"/>
        <v/>
      </c>
      <c r="AP379" s="12" t="str">
        <f t="shared" si="72"/>
        <v/>
      </c>
      <c r="AQ379" s="64">
        <v>2503</v>
      </c>
      <c r="AR379" t="s">
        <v>5932</v>
      </c>
      <c r="AS379" s="12">
        <f t="shared" si="73"/>
        <v>81.478799999999993</v>
      </c>
      <c r="AT379" s="16" t="str">
        <f t="shared" si="76"/>
        <v>Yes</v>
      </c>
    </row>
    <row r="380" spans="1:46" hidden="1" x14ac:dyDescent="0.25">
      <c r="A380" s="41">
        <f>CASOPOInvCL!T380</f>
        <v>2</v>
      </c>
      <c r="B380" t="str">
        <f>CASOPOInvCL!Z380</f>
        <v>SO16874</v>
      </c>
      <c r="D380" t="s">
        <v>5925</v>
      </c>
      <c r="G380" s="5">
        <f>CASOPOInvCL!I380</f>
        <v>0</v>
      </c>
      <c r="H380" s="31">
        <f>CASOPOInvCL!U380</f>
        <v>4</v>
      </c>
      <c r="I380" s="31">
        <f>CASOPOInvCL!V380</f>
        <v>2025</v>
      </c>
      <c r="J380" s="5" t="str">
        <f>CASOPOInvCL!AB380</f>
        <v>INV13301</v>
      </c>
      <c r="K380" s="31">
        <f>CASOPOInvCL!W380</f>
        <v>9</v>
      </c>
      <c r="L380" s="31">
        <f>CASOPOInvCL!X380</f>
        <v>2025</v>
      </c>
      <c r="M380">
        <v>2503</v>
      </c>
      <c r="N380" s="5" t="str">
        <f>CASOPOInvCL!AF380</f>
        <v>MAB Equipment Company Inc.</v>
      </c>
      <c r="O380" s="16" t="str">
        <f>CASOPOInvCL!AG380</f>
        <v>USD</v>
      </c>
      <c r="P380" s="16">
        <f>CASOPOInvCL!AH380</f>
        <v>0</v>
      </c>
      <c r="Q380" s="16">
        <f>CASOPOInvCL!AI380</f>
        <v>0</v>
      </c>
      <c r="R380" s="32" t="str">
        <f>CASOPOInvCL!AU380</f>
        <v/>
      </c>
      <c r="S380" s="16">
        <f>CASOPOInvCL!AV380</f>
        <v>698</v>
      </c>
      <c r="T380" s="16">
        <f>CASOPOInvCL!AW380</f>
        <v>0</v>
      </c>
      <c r="V380" t="s">
        <v>5801</v>
      </c>
      <c r="Y380" s="29" t="str">
        <f>IFERROR(HLOOKUP(U380,List!$D$2:$H$6,2,FALSE),"")</f>
        <v/>
      </c>
      <c r="Z380" s="29">
        <f>IFERROR(HLOOKUP(V380,List!$D$2:$H$6,3,FALSE),"")</f>
        <v>0.02</v>
      </c>
      <c r="AA380" s="29" t="str">
        <f>IFERROR(HLOOKUP(W380,List!$D$2:$H$6,4,FALSE),"")</f>
        <v/>
      </c>
      <c r="AB380" s="29" t="str">
        <f>IFERROR(HLOOKUP(X380,List!$D$2:$H$6,5,FALSE),"")</f>
        <v/>
      </c>
      <c r="AC380" s="12" t="str">
        <f t="shared" si="65"/>
        <v/>
      </c>
      <c r="AD380" s="12">
        <f t="shared" si="66"/>
        <v>0</v>
      </c>
      <c r="AE380" s="12" t="str">
        <f t="shared" si="67"/>
        <v/>
      </c>
      <c r="AF380" s="12" t="str">
        <f t="shared" si="68"/>
        <v/>
      </c>
      <c r="AG380" t="str">
        <f>VLOOKUP(J380,'Receivable Invoice Detail'!$A$1:F3392,6,FALSE)</f>
        <v>[W-C076/C21] Shaft Sleeve (Long), 4/3 C-AH, 420SS</v>
      </c>
      <c r="AH380" s="12">
        <f t="shared" si="78"/>
        <v>0</v>
      </c>
      <c r="AM380" s="12" t="str">
        <f t="shared" si="69"/>
        <v/>
      </c>
      <c r="AN380" s="12">
        <f t="shared" si="70"/>
        <v>0</v>
      </c>
      <c r="AO380" s="12" t="str">
        <f t="shared" si="71"/>
        <v/>
      </c>
      <c r="AP380" s="12" t="str">
        <f t="shared" si="72"/>
        <v/>
      </c>
      <c r="AQ380" s="64">
        <v>2503</v>
      </c>
      <c r="AR380" t="s">
        <v>5932</v>
      </c>
      <c r="AS380" s="12">
        <f t="shared" si="73"/>
        <v>0</v>
      </c>
      <c r="AT380" s="16" t="str">
        <f t="shared" si="76"/>
        <v/>
      </c>
    </row>
    <row r="381" spans="1:46" hidden="1" x14ac:dyDescent="0.25">
      <c r="A381" s="41">
        <f>CASOPOInvCL!T381</f>
        <v>1</v>
      </c>
      <c r="B381" t="str">
        <f>CASOPOInvCL!Z381</f>
        <v>SO16875</v>
      </c>
      <c r="G381" s="5" t="str">
        <f>CASOPOInvCL!I381</f>
        <v>Ian Trottier</v>
      </c>
      <c r="H381" s="31">
        <f>CASOPOInvCL!U381</f>
        <v>4</v>
      </c>
      <c r="I381" s="31">
        <f>CASOPOInvCL!V381</f>
        <v>2025</v>
      </c>
      <c r="J381" s="5" t="str">
        <f>CASOPOInvCL!AB381</f>
        <v>INV12906</v>
      </c>
      <c r="K381" s="31">
        <f>CASOPOInvCL!W381</f>
        <v>4</v>
      </c>
      <c r="L381" s="31">
        <f>CASOPOInvCL!X381</f>
        <v>2025</v>
      </c>
      <c r="M381" s="31"/>
      <c r="N381" s="5" t="str">
        <f>CASOPOInvCL!AF381</f>
        <v>Pompaction Inc.</v>
      </c>
      <c r="O381" s="16" t="str">
        <f>CASOPOInvCL!AG381</f>
        <v>CAD</v>
      </c>
      <c r="P381" s="16">
        <f>CASOPOInvCL!AH381</f>
        <v>1640.55</v>
      </c>
      <c r="Q381" s="16">
        <f>CASOPOInvCL!AI381</f>
        <v>1146.4138467937316</v>
      </c>
      <c r="R381" s="32" t="str">
        <f>CASOPOInvCL!AU381</f>
        <v>Yes</v>
      </c>
      <c r="S381" s="16">
        <f>CASOPOInvCL!AV381</f>
        <v>0</v>
      </c>
      <c r="T381" s="16">
        <f>CASOPOInvCL!AW381</f>
        <v>1146.4138467937316</v>
      </c>
      <c r="Y381" s="29" t="str">
        <f>IFERROR(HLOOKUP(U381,List!$D$2:$H$6,2,FALSE),"")</f>
        <v/>
      </c>
      <c r="Z381" s="29" t="str">
        <f>IFERROR(HLOOKUP(V381,List!$D$2:$H$6,3,FALSE),"")</f>
        <v/>
      </c>
      <c r="AA381" s="29" t="str">
        <f>IFERROR(HLOOKUP(W381,List!$D$2:$H$6,4,FALSE),"")</f>
        <v/>
      </c>
      <c r="AB381" s="29" t="str">
        <f>IFERROR(HLOOKUP(X381,List!$D$2:$H$6,5,FALSE),"")</f>
        <v/>
      </c>
      <c r="AC381" s="12" t="str">
        <f t="shared" si="65"/>
        <v/>
      </c>
      <c r="AD381" s="12" t="str">
        <f t="shared" si="66"/>
        <v/>
      </c>
      <c r="AE381" s="12" t="str">
        <f t="shared" si="67"/>
        <v/>
      </c>
      <c r="AF381" s="12" t="str">
        <f t="shared" si="68"/>
        <v/>
      </c>
      <c r="AG381" t="str">
        <f>VLOOKUP(J381,'Receivable Invoice Detail'!$A$1:F3393,6,FALSE)</f>
        <v>[AC-98-234-109-001] Sleeve Spacer, 2x2-10 SRL, Steel</v>
      </c>
      <c r="AM381" s="12" t="str">
        <f t="shared" si="69"/>
        <v/>
      </c>
      <c r="AN381" s="12" t="str">
        <f t="shared" si="70"/>
        <v/>
      </c>
      <c r="AO381" s="12" t="str">
        <f t="shared" si="71"/>
        <v/>
      </c>
      <c r="AP381" s="12" t="str">
        <f t="shared" si="72"/>
        <v/>
      </c>
      <c r="AQ381" s="12"/>
      <c r="AS381" s="12">
        <f t="shared" si="73"/>
        <v>17.196207701905973</v>
      </c>
      <c r="AT381" s="16" t="str">
        <f t="shared" si="76"/>
        <v>Yes</v>
      </c>
    </row>
    <row r="382" spans="1:46" hidden="1" x14ac:dyDescent="0.25">
      <c r="A382" s="41">
        <f>CASOPOInvCL!T382</f>
        <v>1</v>
      </c>
      <c r="B382" t="str">
        <f>CASOPOInvCL!Z382</f>
        <v>SO16876</v>
      </c>
      <c r="G382" s="5" t="str">
        <f>CASOPOInvCL!I382</f>
        <v>Ian Trottier</v>
      </c>
      <c r="H382" s="31">
        <f>CASOPOInvCL!U382</f>
        <v>4</v>
      </c>
      <c r="I382" s="31">
        <f>CASOPOInvCL!V382</f>
        <v>2025</v>
      </c>
      <c r="J382" s="5" t="str">
        <f>CASOPOInvCL!AB382</f>
        <v>INV12815</v>
      </c>
      <c r="K382" s="31">
        <f>CASOPOInvCL!W382</f>
        <v>5</v>
      </c>
      <c r="L382" s="31">
        <f>CASOPOInvCL!X382</f>
        <v>2025</v>
      </c>
      <c r="M382" s="31"/>
      <c r="N382" s="5" t="str">
        <f>CASOPOInvCL!AF382</f>
        <v>Moffatt Supply &amp; Specialties - Red Lake</v>
      </c>
      <c r="O382" s="16" t="str">
        <f>CASOPOInvCL!AG382</f>
        <v>CAD</v>
      </c>
      <c r="P382" s="16">
        <f>CASOPOInvCL!AH382</f>
        <v>1904.9</v>
      </c>
      <c r="Q382" s="16">
        <f>CASOPOInvCL!AI382</f>
        <v>1323.3086257016662</v>
      </c>
      <c r="R382" s="32" t="str">
        <f>CASOPOInvCL!AU382</f>
        <v>Yes</v>
      </c>
      <c r="S382" s="16">
        <f>CASOPOInvCL!AV382</f>
        <v>0</v>
      </c>
      <c r="T382" s="16">
        <f>CASOPOInvCL!AW382</f>
        <v>1323.3086257016662</v>
      </c>
      <c r="Y382" s="29" t="str">
        <f>IFERROR(HLOOKUP(U382,List!$D$2:$H$6,2,FALSE),"")</f>
        <v/>
      </c>
      <c r="Z382" s="29" t="str">
        <f>IFERROR(HLOOKUP(V382,List!$D$2:$H$6,3,FALSE),"")</f>
        <v/>
      </c>
      <c r="AA382" s="29" t="str">
        <f>IFERROR(HLOOKUP(W382,List!$D$2:$H$6,4,FALSE),"")</f>
        <v/>
      </c>
      <c r="AB382" s="29" t="str">
        <f>IFERROR(HLOOKUP(X382,List!$D$2:$H$6,5,FALSE),"")</f>
        <v/>
      </c>
      <c r="AC382" s="12" t="str">
        <f t="shared" si="65"/>
        <v/>
      </c>
      <c r="AD382" s="12" t="str">
        <f t="shared" si="66"/>
        <v/>
      </c>
      <c r="AE382" s="12" t="str">
        <f t="shared" si="67"/>
        <v/>
      </c>
      <c r="AF382" s="12" t="str">
        <f t="shared" si="68"/>
        <v/>
      </c>
      <c r="AG382" t="str">
        <f>VLOOKUP(J382,'Receivable Invoice Detail'!$A$1:F3394,6,FALSE)</f>
        <v>[AC-98-330-307-501] Impeller (Closed), 3x3-10 SRL-C, Natural Rubber</v>
      </c>
      <c r="AM382" s="12" t="str">
        <f t="shared" si="69"/>
        <v/>
      </c>
      <c r="AN382" s="12" t="str">
        <f t="shared" si="70"/>
        <v/>
      </c>
      <c r="AO382" s="12" t="str">
        <f t="shared" si="71"/>
        <v/>
      </c>
      <c r="AP382" s="12" t="str">
        <f t="shared" si="72"/>
        <v/>
      </c>
      <c r="AQ382" s="12"/>
      <c r="AS382" s="12">
        <f t="shared" si="73"/>
        <v>19.849629385524992</v>
      </c>
      <c r="AT382" s="16" t="str">
        <f t="shared" si="76"/>
        <v>Yes</v>
      </c>
    </row>
    <row r="383" spans="1:46" hidden="1" x14ac:dyDescent="0.25">
      <c r="A383" s="41">
        <f>CASOPOInvCL!T383</f>
        <v>1</v>
      </c>
      <c r="B383" t="str">
        <f>CASOPOInvCL!Z383</f>
        <v>SO16879</v>
      </c>
      <c r="G383" s="5" t="str">
        <f>CASOPOInvCL!I383</f>
        <v>Ian Trottier</v>
      </c>
      <c r="H383" s="31">
        <f>CASOPOInvCL!U383</f>
        <v>4</v>
      </c>
      <c r="I383" s="31">
        <f>CASOPOInvCL!V383</f>
        <v>2025</v>
      </c>
      <c r="J383" s="5" t="str">
        <f>CASOPOInvCL!AB383</f>
        <v>INV12894</v>
      </c>
      <c r="K383" s="31">
        <f>CASOPOInvCL!W383</f>
        <v>5</v>
      </c>
      <c r="L383" s="31">
        <f>CASOPOInvCL!X383</f>
        <v>2025</v>
      </c>
      <c r="M383" s="31"/>
      <c r="N383" s="5" t="str">
        <f>CASOPOInvCL!AF383</f>
        <v>Motion Industries Inc. (Canada) - Ottawa</v>
      </c>
      <c r="O383" s="16" t="str">
        <f>CASOPOInvCL!AG383</f>
        <v>CAD</v>
      </c>
      <c r="P383" s="16">
        <f>CASOPOInvCL!AH383</f>
        <v>201.87</v>
      </c>
      <c r="Q383" s="16">
        <f>CASOPOInvCL!AI383</f>
        <v>144.67251352655083</v>
      </c>
      <c r="R383" s="32" t="str">
        <f>CASOPOInvCL!AU383</f>
        <v>Yes</v>
      </c>
      <c r="S383" s="16">
        <f>CASOPOInvCL!AV383</f>
        <v>0</v>
      </c>
      <c r="T383" s="16">
        <f>CASOPOInvCL!AW383</f>
        <v>144.67251352655083</v>
      </c>
      <c r="Y383" s="29" t="str">
        <f>IFERROR(HLOOKUP(U383,List!$D$2:$H$6,2,FALSE),"")</f>
        <v/>
      </c>
      <c r="Z383" s="29" t="str">
        <f>IFERROR(HLOOKUP(V383,List!$D$2:$H$6,3,FALSE),"")</f>
        <v/>
      </c>
      <c r="AA383" s="29" t="str">
        <f>IFERROR(HLOOKUP(W383,List!$D$2:$H$6,4,FALSE),"")</f>
        <v/>
      </c>
      <c r="AB383" s="29" t="str">
        <f>IFERROR(HLOOKUP(X383,List!$D$2:$H$6,5,FALSE),"")</f>
        <v/>
      </c>
      <c r="AC383" s="12" t="str">
        <f t="shared" si="65"/>
        <v/>
      </c>
      <c r="AD383" s="12" t="str">
        <f t="shared" si="66"/>
        <v/>
      </c>
      <c r="AE383" s="12" t="str">
        <f t="shared" si="67"/>
        <v/>
      </c>
      <c r="AF383" s="12" t="str">
        <f t="shared" si="68"/>
        <v/>
      </c>
      <c r="AG383" t="str">
        <f>VLOOKUP(J383,'Receivable Invoice Detail'!$A$1:F3395,6,FALSE)</f>
        <v>[DU-BY50424B-TSSR] Oil Seal (Outboard), Durco Mark 2&amp;3 Group 1, Teflon/Stainless Steel/Rubber</v>
      </c>
      <c r="AM383" s="12" t="str">
        <f t="shared" si="69"/>
        <v/>
      </c>
      <c r="AN383" s="12" t="str">
        <f t="shared" si="70"/>
        <v/>
      </c>
      <c r="AO383" s="12" t="str">
        <f t="shared" si="71"/>
        <v/>
      </c>
      <c r="AP383" s="12" t="str">
        <f t="shared" si="72"/>
        <v/>
      </c>
      <c r="AQ383" s="12"/>
      <c r="AS383" s="12">
        <f t="shared" si="73"/>
        <v>2.1700877028982624</v>
      </c>
      <c r="AT383" s="16" t="str">
        <f t="shared" si="76"/>
        <v>Yes</v>
      </c>
    </row>
    <row r="384" spans="1:46" hidden="1" x14ac:dyDescent="0.25">
      <c r="A384" s="41">
        <f>CASOPOInvCL!T384</f>
        <v>2</v>
      </c>
      <c r="B384" t="str">
        <f>CASOPOInvCL!Z384</f>
        <v>SO16881</v>
      </c>
      <c r="G384" s="5" t="str">
        <f>CASOPOInvCL!I384</f>
        <v>Ian Trottier</v>
      </c>
      <c r="H384" s="31">
        <f>CASOPOInvCL!U384</f>
        <v>4</v>
      </c>
      <c r="I384" s="31">
        <f>CASOPOInvCL!V384</f>
        <v>2025</v>
      </c>
      <c r="J384" s="5" t="str">
        <f>CASOPOInvCL!AB384</f>
        <v>INV12881</v>
      </c>
      <c r="K384" s="31">
        <f>CASOPOInvCL!W384</f>
        <v>5</v>
      </c>
      <c r="L384" s="31">
        <f>CASOPOInvCL!X384</f>
        <v>2025</v>
      </c>
      <c r="M384" s="31"/>
      <c r="N384" s="5" t="str">
        <f>CASOPOInvCL!AF384</f>
        <v>Sling-Choker Manufacturing - Timmins</v>
      </c>
      <c r="O384" s="16" t="str">
        <f>CASOPOInvCL!AG384</f>
        <v>CAD</v>
      </c>
      <c r="P384" s="16">
        <f>CASOPOInvCL!AH384</f>
        <v>4854.8</v>
      </c>
      <c r="Q384" s="16">
        <f>CASOPOInvCL!AI384</f>
        <v>3412.7976324864967</v>
      </c>
      <c r="R384" s="32" t="str">
        <f>CASOPOInvCL!AU384</f>
        <v>Yes</v>
      </c>
      <c r="S384" s="16">
        <f>CASOPOInvCL!AV384</f>
        <v>0</v>
      </c>
      <c r="T384" s="16">
        <f>CASOPOInvCL!AW384</f>
        <v>3412.7976324864967</v>
      </c>
      <c r="Y384" s="29" t="str">
        <f>IFERROR(HLOOKUP(U384,List!$D$2:$H$6,2,FALSE),"")</f>
        <v/>
      </c>
      <c r="Z384" s="29" t="str">
        <f>IFERROR(HLOOKUP(V384,List!$D$2:$H$6,3,FALSE),"")</f>
        <v/>
      </c>
      <c r="AA384" s="29" t="str">
        <f>IFERROR(HLOOKUP(W384,List!$D$2:$H$6,4,FALSE),"")</f>
        <v/>
      </c>
      <c r="AB384" s="29" t="str">
        <f>IFERROR(HLOOKUP(X384,List!$D$2:$H$6,5,FALSE),"")</f>
        <v/>
      </c>
      <c r="AC384" s="12" t="str">
        <f t="shared" si="65"/>
        <v/>
      </c>
      <c r="AD384" s="12" t="str">
        <f t="shared" si="66"/>
        <v/>
      </c>
      <c r="AE384" s="12" t="str">
        <f t="shared" si="67"/>
        <v/>
      </c>
      <c r="AF384" s="12" t="str">
        <f t="shared" si="68"/>
        <v/>
      </c>
      <c r="AG384" t="str">
        <f>VLOOKUP(J384,'Receivable Invoice Detail'!$A$1:F3396,6,FALSE)</f>
        <v>[AC-98-233-700-001] Bearing Cover Gasket (Inboard &amp; Outboard), 8x6-18 &amp; 10x8-21 SRL-C</v>
      </c>
      <c r="AM384" s="12" t="str">
        <f t="shared" si="69"/>
        <v/>
      </c>
      <c r="AN384" s="12" t="str">
        <f t="shared" si="70"/>
        <v/>
      </c>
      <c r="AO384" s="12" t="str">
        <f t="shared" si="71"/>
        <v/>
      </c>
      <c r="AP384" s="12" t="str">
        <f t="shared" si="72"/>
        <v/>
      </c>
      <c r="AQ384" s="12"/>
      <c r="AS384" s="12">
        <f t="shared" si="73"/>
        <v>51.191964487297447</v>
      </c>
      <c r="AT384" s="16" t="str">
        <f t="shared" si="76"/>
        <v>Yes</v>
      </c>
    </row>
    <row r="385" spans="1:46" hidden="1" x14ac:dyDescent="0.25">
      <c r="A385" s="41">
        <f>CASOPOInvCL!T385</f>
        <v>2</v>
      </c>
      <c r="B385" t="str">
        <f>CASOPOInvCL!Z385</f>
        <v>SO16881</v>
      </c>
      <c r="G385" s="5">
        <f>CASOPOInvCL!I385</f>
        <v>0</v>
      </c>
      <c r="H385" s="31">
        <f>CASOPOInvCL!U385</f>
        <v>4</v>
      </c>
      <c r="I385" s="31">
        <f>CASOPOInvCL!V385</f>
        <v>2025</v>
      </c>
      <c r="J385" s="5" t="str">
        <f>CASOPOInvCL!AB385</f>
        <v>INV13022</v>
      </c>
      <c r="K385" s="31">
        <f>CASOPOInvCL!W385</f>
        <v>6</v>
      </c>
      <c r="L385" s="31">
        <f>CASOPOInvCL!X385</f>
        <v>2025</v>
      </c>
      <c r="M385" s="31"/>
      <c r="N385" s="5" t="str">
        <f>CASOPOInvCL!AF385</f>
        <v>Sling-Choker Manufacturing - Timmins</v>
      </c>
      <c r="O385" s="16" t="str">
        <f>CASOPOInvCL!AG385</f>
        <v>CAD</v>
      </c>
      <c r="P385" s="16">
        <f>CASOPOInvCL!AH385</f>
        <v>0</v>
      </c>
      <c r="Q385" s="16">
        <f>CASOPOInvCL!AI385</f>
        <v>0</v>
      </c>
      <c r="R385" s="32" t="str">
        <f>CASOPOInvCL!AU385</f>
        <v/>
      </c>
      <c r="S385" s="16">
        <f>CASOPOInvCL!AV385</f>
        <v>0</v>
      </c>
      <c r="T385" s="16">
        <f>CASOPOInvCL!AW385</f>
        <v>0</v>
      </c>
      <c r="Y385" s="29" t="str">
        <f>IFERROR(HLOOKUP(U385,List!$D$2:$H$6,2,FALSE),"")</f>
        <v/>
      </c>
      <c r="Z385" s="29" t="str">
        <f>IFERROR(HLOOKUP(V385,List!$D$2:$H$6,3,FALSE),"")</f>
        <v/>
      </c>
      <c r="AA385" s="29" t="str">
        <f>IFERROR(HLOOKUP(W385,List!$D$2:$H$6,4,FALSE),"")</f>
        <v/>
      </c>
      <c r="AB385" s="29" t="str">
        <f>IFERROR(HLOOKUP(X385,List!$D$2:$H$6,5,FALSE),"")</f>
        <v/>
      </c>
      <c r="AC385" s="12" t="str">
        <f t="shared" si="65"/>
        <v/>
      </c>
      <c r="AD385" s="12" t="str">
        <f t="shared" si="66"/>
        <v/>
      </c>
      <c r="AE385" s="12" t="str">
        <f t="shared" si="67"/>
        <v/>
      </c>
      <c r="AF385" s="12" t="str">
        <f t="shared" si="68"/>
        <v/>
      </c>
      <c r="AG385" t="str">
        <f>VLOOKUP(J385,'Receivable Invoice Detail'!$A$1:F3397,6,FALSE)</f>
        <v>[AC-98-230-834-001] Water Seal Bushing, 16x14-34 SRL-C</v>
      </c>
      <c r="AM385" s="12" t="str">
        <f t="shared" si="69"/>
        <v/>
      </c>
      <c r="AN385" s="12" t="str">
        <f t="shared" si="70"/>
        <v/>
      </c>
      <c r="AO385" s="12" t="str">
        <f t="shared" si="71"/>
        <v/>
      </c>
      <c r="AP385" s="12" t="str">
        <f t="shared" si="72"/>
        <v/>
      </c>
      <c r="AQ385" s="12"/>
      <c r="AS385" s="12">
        <f t="shared" si="73"/>
        <v>0</v>
      </c>
      <c r="AT385" s="16" t="str">
        <f t="shared" si="76"/>
        <v/>
      </c>
    </row>
    <row r="386" spans="1:46" hidden="1" x14ac:dyDescent="0.25">
      <c r="A386" s="41">
        <f>CASOPOInvCL!T386</f>
        <v>1</v>
      </c>
      <c r="B386" t="str">
        <f>CASOPOInvCL!Z386</f>
        <v>SO16882</v>
      </c>
      <c r="G386" s="5" t="str">
        <f>CASOPOInvCL!I386</f>
        <v>Ian Trottier</v>
      </c>
      <c r="H386" s="31">
        <f>CASOPOInvCL!U386</f>
        <v>4</v>
      </c>
      <c r="I386" s="31">
        <f>CASOPOInvCL!V386</f>
        <v>2025</v>
      </c>
      <c r="J386" s="5" t="str">
        <f>CASOPOInvCL!AB386</f>
        <v>INV12819</v>
      </c>
      <c r="K386" s="31">
        <f>CASOPOInvCL!W386</f>
        <v>5</v>
      </c>
      <c r="L386" s="31">
        <f>CASOPOInvCL!X386</f>
        <v>2025</v>
      </c>
      <c r="M386" s="31"/>
      <c r="N386" s="5" t="str">
        <f>CASOPOInvCL!AF386</f>
        <v>Cameco Corporation - Blind River Refinery</v>
      </c>
      <c r="O386" s="16" t="str">
        <f>CASOPOInvCL!AG386</f>
        <v>CAD</v>
      </c>
      <c r="P386" s="16">
        <f>CASOPOInvCL!AH386</f>
        <v>678.84</v>
      </c>
      <c r="Q386" s="16">
        <f>CASOPOInvCL!AI386</f>
        <v>486.49868272830912</v>
      </c>
      <c r="R386" s="32" t="str">
        <f>CASOPOInvCL!AU386</f>
        <v>Yes</v>
      </c>
      <c r="S386" s="16">
        <f>CASOPOInvCL!AV386</f>
        <v>0</v>
      </c>
      <c r="T386" s="16">
        <f>CASOPOInvCL!AW386</f>
        <v>486.49868272830912</v>
      </c>
      <c r="Y386" s="29" t="str">
        <f>IFERROR(HLOOKUP(U386,List!$D$2:$H$6,2,FALSE),"")</f>
        <v/>
      </c>
      <c r="Z386" s="29" t="str">
        <f>IFERROR(HLOOKUP(V386,List!$D$2:$H$6,3,FALSE),"")</f>
        <v/>
      </c>
      <c r="AA386" s="29" t="str">
        <f>IFERROR(HLOOKUP(W386,List!$D$2:$H$6,4,FALSE),"")</f>
        <v/>
      </c>
      <c r="AB386" s="29" t="str">
        <f>IFERROR(HLOOKUP(X386,List!$D$2:$H$6,5,FALSE),"")</f>
        <v/>
      </c>
      <c r="AC386" s="12" t="str">
        <f t="shared" si="65"/>
        <v/>
      </c>
      <c r="AD386" s="12" t="str">
        <f t="shared" si="66"/>
        <v/>
      </c>
      <c r="AE386" s="12" t="str">
        <f t="shared" si="67"/>
        <v/>
      </c>
      <c r="AF386" s="12" t="str">
        <f t="shared" si="68"/>
        <v/>
      </c>
      <c r="AG386" t="str">
        <f>VLOOKUP(J386,'Receivable Invoice Detail'!$A$1:F3398,6,FALSE)</f>
        <v>[G-73705X 2229] Shaft Sleeve, 3196 MTX, 316SS</v>
      </c>
      <c r="AM386" s="12" t="str">
        <f t="shared" si="69"/>
        <v/>
      </c>
      <c r="AN386" s="12" t="str">
        <f t="shared" si="70"/>
        <v/>
      </c>
      <c r="AO386" s="12" t="str">
        <f t="shared" si="71"/>
        <v/>
      </c>
      <c r="AP386" s="12" t="str">
        <f t="shared" si="72"/>
        <v/>
      </c>
      <c r="AQ386" s="12"/>
      <c r="AS386" s="12">
        <f t="shared" si="73"/>
        <v>7.2974802409246369</v>
      </c>
      <c r="AT386" s="16" t="str">
        <f t="shared" si="76"/>
        <v>Yes</v>
      </c>
    </row>
    <row r="387" spans="1:46" hidden="1" x14ac:dyDescent="0.25">
      <c r="A387" s="41">
        <f>CASOPOInvCL!T387</f>
        <v>1</v>
      </c>
      <c r="B387" s="76" t="str">
        <f>CASOPOInvCL!Z387</f>
        <v>SO16884</v>
      </c>
      <c r="C387" t="s">
        <v>5853</v>
      </c>
      <c r="D387" t="s">
        <v>5915</v>
      </c>
      <c r="G387" s="5" t="str">
        <f>CASOPOInvCL!I387</f>
        <v>Wilka Nuñez</v>
      </c>
      <c r="H387" s="31">
        <f>CASOPOInvCL!U387</f>
        <v>4</v>
      </c>
      <c r="I387" s="31">
        <f>CASOPOInvCL!V387</f>
        <v>2025</v>
      </c>
      <c r="J387" s="5" t="str">
        <f>CASOPOInvCL!AB387</f>
        <v>INV13122</v>
      </c>
      <c r="K387" s="31">
        <f>CASOPOInvCL!W387</f>
        <v>7</v>
      </c>
      <c r="L387" s="31">
        <f>CASOPOInvCL!X387</f>
        <v>2025</v>
      </c>
      <c r="M387">
        <v>2503</v>
      </c>
      <c r="N387" s="5" t="str">
        <f>CASOPOInvCL!AF387</f>
        <v>Barrick Gold - Pueblo Viejo Dominicana Corporation</v>
      </c>
      <c r="O387" s="16" t="str">
        <f>CASOPOInvCL!AG387</f>
        <v>USD</v>
      </c>
      <c r="P387" s="16">
        <f>CASOPOInvCL!AH387</f>
        <v>53490.450380327929</v>
      </c>
      <c r="Q387" s="16">
        <f>CASOPOInvCL!AI387</f>
        <v>38507.360000000001</v>
      </c>
      <c r="R387" s="32" t="str">
        <f>CASOPOInvCL!AU387</f>
        <v>Yes</v>
      </c>
      <c r="S387" s="16">
        <f>CASOPOInvCL!AV387</f>
        <v>0</v>
      </c>
      <c r="T387" s="16">
        <f>CASOPOInvCL!AW387</f>
        <v>38507.360000000001</v>
      </c>
      <c r="V387" s="59"/>
      <c r="Y387" s="29" t="str">
        <f>IFERROR(HLOOKUP(U387,List!$D$2:$H$6,2,FALSE),"")</f>
        <v/>
      </c>
      <c r="Z387" s="29" t="str">
        <f>IFERROR(HLOOKUP(V387,List!$D$2:$H$6,3,FALSE),"")</f>
        <v/>
      </c>
      <c r="AA387" s="29" t="str">
        <f>IFERROR(HLOOKUP(W387,List!$D$2:$H$6,4,FALSE),"")</f>
        <v/>
      </c>
      <c r="AB387" s="29" t="str">
        <f>IFERROR(HLOOKUP(X387,List!$D$2:$H$6,5,FALSE),"")</f>
        <v/>
      </c>
      <c r="AC387" s="12" t="str">
        <f t="shared" ref="AC387:AC450" si="79">IFERROR(Y387*$T387,"")</f>
        <v/>
      </c>
      <c r="AD387" s="12" t="str">
        <f t="shared" ref="AD387:AD450" si="80">IFERROR(Z387*$T387,"")</f>
        <v/>
      </c>
      <c r="AE387" s="12" t="str">
        <f t="shared" ref="AE387:AE450" si="81">IFERROR(AA387*$T387,"")</f>
        <v/>
      </c>
      <c r="AF387" s="12" t="str">
        <f t="shared" ref="AF387:AF450" si="82">IFERROR(AB387*$T387,"")</f>
        <v/>
      </c>
      <c r="AG387" t="str">
        <f>VLOOKUP(J387,'Receivable Invoice Detail'!$A$1:F3399,6,FALSE)</f>
        <v>Mag Drive Gear Pump, Micropump GLH-H25, With Motor</v>
      </c>
      <c r="AM387" s="12" t="str">
        <f t="shared" ref="AM387:AM450" si="83">IF(AI387="",AC387,0)</f>
        <v/>
      </c>
      <c r="AN387" s="12" t="str">
        <f t="shared" ref="AN387:AN450" si="84">IF(AJ387="",AD387,0)</f>
        <v/>
      </c>
      <c r="AO387" s="12" t="str">
        <f t="shared" ref="AO387:AO450" si="85">IF(AK387="",AE387,0)</f>
        <v/>
      </c>
      <c r="AP387" s="12" t="str">
        <f t="shared" ref="AP387:AP450" si="86">IF(AL387="",AF387,0)</f>
        <v/>
      </c>
      <c r="AQ387" s="64">
        <f>M387</f>
        <v>2503</v>
      </c>
      <c r="AR387" s="64" t="s">
        <v>5934</v>
      </c>
      <c r="AS387" s="12">
        <f t="shared" ref="AS387:AS450" si="87">T387*1.5%</f>
        <v>577.61040000000003</v>
      </c>
      <c r="AT387" s="16" t="str">
        <f t="shared" si="76"/>
        <v>Yes</v>
      </c>
    </row>
    <row r="388" spans="1:46" hidden="1" x14ac:dyDescent="0.25">
      <c r="A388" s="41">
        <f>CASOPOInvCL!T388</f>
        <v>1</v>
      </c>
      <c r="B388" t="str">
        <f>CASOPOInvCL!Z388</f>
        <v>SO16885</v>
      </c>
      <c r="G388" s="5" t="str">
        <f>CASOPOInvCL!I388</f>
        <v>Ian Trottier</v>
      </c>
      <c r="H388" s="31">
        <f>CASOPOInvCL!U388</f>
        <v>4</v>
      </c>
      <c r="I388" s="31">
        <f>CASOPOInvCL!V388</f>
        <v>2025</v>
      </c>
      <c r="J388" s="5" t="str">
        <f>CASOPOInvCL!AB388</f>
        <v>INV13098</v>
      </c>
      <c r="K388" s="31">
        <f>CASOPOInvCL!W388</f>
        <v>8</v>
      </c>
      <c r="L388" s="31">
        <f>CASOPOInvCL!X388</f>
        <v>2025</v>
      </c>
      <c r="M388" s="31"/>
      <c r="N388" s="5" t="str">
        <f>CASOPOInvCL!AF388</f>
        <v>Thunder Bay Pulp and Paper Inc</v>
      </c>
      <c r="O388" s="16" t="str">
        <f>CASOPOInvCL!AG388</f>
        <v>CAD</v>
      </c>
      <c r="P388" s="16">
        <f>CASOPOInvCL!AH388</f>
        <v>32959.279999999999</v>
      </c>
      <c r="Q388" s="16">
        <f>CASOPOInvCL!AI388</f>
        <v>23207.354210979145</v>
      </c>
      <c r="R388" s="32" t="str">
        <f>CASOPOInvCL!AU388</f>
        <v>Yes</v>
      </c>
      <c r="S388" s="16">
        <f>CASOPOInvCL!AV388</f>
        <v>0</v>
      </c>
      <c r="T388" s="16">
        <f>CASOPOInvCL!AW388</f>
        <v>23207.354210979145</v>
      </c>
      <c r="Y388" s="29" t="str">
        <f>IFERROR(HLOOKUP(U388,List!$D$2:$H$6,2,FALSE),"")</f>
        <v/>
      </c>
      <c r="Z388" s="29" t="str">
        <f>IFERROR(HLOOKUP(V388,List!$D$2:$H$6,3,FALSE),"")</f>
        <v/>
      </c>
      <c r="AA388" s="29" t="str">
        <f>IFERROR(HLOOKUP(W388,List!$D$2:$H$6,4,FALSE),"")</f>
        <v/>
      </c>
      <c r="AB388" s="29" t="str">
        <f>IFERROR(HLOOKUP(X388,List!$D$2:$H$6,5,FALSE),"")</f>
        <v/>
      </c>
      <c r="AC388" s="12" t="str">
        <f t="shared" si="79"/>
        <v/>
      </c>
      <c r="AD388" s="12" t="str">
        <f t="shared" si="80"/>
        <v/>
      </c>
      <c r="AE388" s="12" t="str">
        <f t="shared" si="81"/>
        <v/>
      </c>
      <c r="AF388" s="12" t="str">
        <f t="shared" si="82"/>
        <v/>
      </c>
      <c r="AG388" t="str">
        <f>VLOOKUP(J388,'Receivable Invoice Detail'!$A$1:F3400,6,FALSE)</f>
        <v>[AC-98-432-073-005P] Impeller, 12x10-17, PWO, 4-Vane, 317SS</v>
      </c>
      <c r="AM388" s="12" t="str">
        <f t="shared" si="83"/>
        <v/>
      </c>
      <c r="AN388" s="12" t="str">
        <f t="shared" si="84"/>
        <v/>
      </c>
      <c r="AO388" s="12" t="str">
        <f t="shared" si="85"/>
        <v/>
      </c>
      <c r="AP388" s="12" t="str">
        <f t="shared" si="86"/>
        <v/>
      </c>
      <c r="AQ388" s="12"/>
      <c r="AS388" s="12">
        <f t="shared" si="87"/>
        <v>348.11031316468717</v>
      </c>
      <c r="AT388" s="16" t="str">
        <f t="shared" si="76"/>
        <v>Yes</v>
      </c>
    </row>
    <row r="389" spans="1:46" hidden="1" x14ac:dyDescent="0.25">
      <c r="A389" s="41">
        <f>CASOPOInvCL!T389</f>
        <v>2</v>
      </c>
      <c r="B389" t="str">
        <f>CASOPOInvCL!Z389</f>
        <v>SO16888</v>
      </c>
      <c r="D389" t="s">
        <v>5925</v>
      </c>
      <c r="G389" s="5" t="str">
        <f>CASOPOInvCL!I389</f>
        <v>Ian Trottier</v>
      </c>
      <c r="H389" s="31">
        <f>CASOPOInvCL!U389</f>
        <v>4</v>
      </c>
      <c r="I389" s="31">
        <f>CASOPOInvCL!V389</f>
        <v>2025</v>
      </c>
      <c r="J389" s="5" t="str">
        <f>CASOPOInvCL!AB389</f>
        <v>INV12829</v>
      </c>
      <c r="K389" s="31">
        <f>CASOPOInvCL!W389</f>
        <v>4</v>
      </c>
      <c r="L389" s="31">
        <f>CASOPOInvCL!X389</f>
        <v>2025</v>
      </c>
      <c r="M389">
        <v>2503</v>
      </c>
      <c r="N389" s="5" t="str">
        <f>CASOPOInvCL!AF389</f>
        <v>Mertec Engineering</v>
      </c>
      <c r="O389" s="16" t="str">
        <f>CASOPOInvCL!AG389</f>
        <v>USD</v>
      </c>
      <c r="P389" s="16">
        <f>CASOPOInvCL!AH389</f>
        <v>27268.948828934303</v>
      </c>
      <c r="Q389" s="16">
        <f>CASOPOInvCL!AI389</f>
        <v>19055.5</v>
      </c>
      <c r="R389" s="32" t="str">
        <f>CASOPOInvCL!AU389</f>
        <v>Yes</v>
      </c>
      <c r="S389" s="16">
        <f>CASOPOInvCL!AV389</f>
        <v>743</v>
      </c>
      <c r="T389" s="16">
        <f>CASOPOInvCL!AW389</f>
        <v>18312.5</v>
      </c>
      <c r="V389" t="s">
        <v>5800</v>
      </c>
      <c r="Y389" s="29" t="str">
        <f>IFERROR(HLOOKUP(U389,List!$D$2:$H$6,2,FALSE),"")</f>
        <v/>
      </c>
      <c r="Z389" s="29">
        <f>IFERROR(HLOOKUP(V389,List!$D$2:$H$6,3,FALSE),"")</f>
        <v>5.0000000000000001E-3</v>
      </c>
      <c r="AA389" s="29" t="str">
        <f>IFERROR(HLOOKUP(W389,List!$D$2:$H$6,4,FALSE),"")</f>
        <v/>
      </c>
      <c r="AB389" s="29" t="str">
        <f>IFERROR(HLOOKUP(X389,List!$D$2:$H$6,5,FALSE),"")</f>
        <v/>
      </c>
      <c r="AC389" s="12" t="str">
        <f t="shared" si="79"/>
        <v/>
      </c>
      <c r="AD389" s="12">
        <f t="shared" si="80"/>
        <v>91.5625</v>
      </c>
      <c r="AE389" s="12" t="str">
        <f t="shared" si="81"/>
        <v/>
      </c>
      <c r="AF389" s="12" t="str">
        <f t="shared" si="82"/>
        <v/>
      </c>
      <c r="AG389" t="str">
        <f>VLOOKUP(J389,'Receivable Invoice Detail'!$A$1:F3401,6,FALSE)</f>
        <v>[AC-98-332-251-504] Suction Wear Plate, 12x10-25 SRL-C, Urethane</v>
      </c>
      <c r="AH389" s="12">
        <f t="shared" ref="AH389:AH390" si="88">SUM(AC389:AF389)</f>
        <v>91.5625</v>
      </c>
      <c r="AM389" s="12" t="str">
        <f t="shared" si="83"/>
        <v/>
      </c>
      <c r="AN389" s="12">
        <f t="shared" si="84"/>
        <v>91.5625</v>
      </c>
      <c r="AO389" s="12" t="str">
        <f t="shared" si="85"/>
        <v/>
      </c>
      <c r="AP389" s="12" t="str">
        <f t="shared" si="86"/>
        <v/>
      </c>
      <c r="AQ389" s="64">
        <v>2503</v>
      </c>
      <c r="AR389" t="s">
        <v>5932</v>
      </c>
      <c r="AS389" s="12">
        <f t="shared" si="87"/>
        <v>274.6875</v>
      </c>
      <c r="AT389" s="16" t="str">
        <f t="shared" si="76"/>
        <v>Yes</v>
      </c>
    </row>
    <row r="390" spans="1:46" hidden="1" x14ac:dyDescent="0.25">
      <c r="A390" s="41">
        <f>CASOPOInvCL!T390</f>
        <v>2</v>
      </c>
      <c r="B390" t="str">
        <f>CASOPOInvCL!Z390</f>
        <v>SO16888</v>
      </c>
      <c r="D390" t="s">
        <v>5925</v>
      </c>
      <c r="G390" s="5">
        <f>CASOPOInvCL!I390</f>
        <v>0</v>
      </c>
      <c r="H390" s="31">
        <f>CASOPOInvCL!U390</f>
        <v>4</v>
      </c>
      <c r="I390" s="31">
        <f>CASOPOInvCL!V390</f>
        <v>2025</v>
      </c>
      <c r="J390" s="5" t="str">
        <f>CASOPOInvCL!AB390</f>
        <v>INV13216</v>
      </c>
      <c r="K390" s="31">
        <f>CASOPOInvCL!W390</f>
        <v>7</v>
      </c>
      <c r="L390" s="31">
        <f>CASOPOInvCL!X390</f>
        <v>2025</v>
      </c>
      <c r="M390">
        <v>2503</v>
      </c>
      <c r="N390" s="5" t="str">
        <f>CASOPOInvCL!AF390</f>
        <v>Mertec Engineering</v>
      </c>
      <c r="O390" s="16" t="str">
        <f>CASOPOInvCL!AG390</f>
        <v>USD</v>
      </c>
      <c r="P390" s="16">
        <f>CASOPOInvCL!AH390</f>
        <v>0</v>
      </c>
      <c r="Q390" s="16">
        <f>CASOPOInvCL!AI390</f>
        <v>0</v>
      </c>
      <c r="R390" s="32" t="str">
        <f>CASOPOInvCL!AU390</f>
        <v/>
      </c>
      <c r="S390" s="16">
        <f>CASOPOInvCL!AV390</f>
        <v>690</v>
      </c>
      <c r="T390" s="16">
        <f>CASOPOInvCL!AW390</f>
        <v>0</v>
      </c>
      <c r="V390" t="s">
        <v>5800</v>
      </c>
      <c r="Y390" s="29" t="str">
        <f>IFERROR(HLOOKUP(U390,List!$D$2:$H$6,2,FALSE),"")</f>
        <v/>
      </c>
      <c r="Z390" s="29">
        <f>IFERROR(HLOOKUP(V390,List!$D$2:$H$6,3,FALSE),"")</f>
        <v>5.0000000000000001E-3</v>
      </c>
      <c r="AA390" s="29" t="str">
        <f>IFERROR(HLOOKUP(W390,List!$D$2:$H$6,4,FALSE),"")</f>
        <v/>
      </c>
      <c r="AB390" s="29" t="str">
        <f>IFERROR(HLOOKUP(X390,List!$D$2:$H$6,5,FALSE),"")</f>
        <v/>
      </c>
      <c r="AC390" s="12" t="str">
        <f t="shared" si="79"/>
        <v/>
      </c>
      <c r="AD390" s="12">
        <f t="shared" si="80"/>
        <v>0</v>
      </c>
      <c r="AE390" s="12" t="str">
        <f t="shared" si="81"/>
        <v/>
      </c>
      <c r="AF390" s="12" t="str">
        <f t="shared" si="82"/>
        <v/>
      </c>
      <c r="AG390" t="str">
        <f>VLOOKUP(J390,'Receivable Invoice Detail'!$A$1:F3402,6,FALSE)</f>
        <v>[AC-98-234-903-504] Suction Side Liner, 12x10-25 SRL-C, Urethane</v>
      </c>
      <c r="AH390" s="12">
        <f t="shared" si="88"/>
        <v>0</v>
      </c>
      <c r="AM390" s="12" t="str">
        <f t="shared" si="83"/>
        <v/>
      </c>
      <c r="AN390" s="12">
        <f t="shared" si="84"/>
        <v>0</v>
      </c>
      <c r="AO390" s="12" t="str">
        <f t="shared" si="85"/>
        <v/>
      </c>
      <c r="AP390" s="12" t="str">
        <f t="shared" si="86"/>
        <v/>
      </c>
      <c r="AQ390" s="64">
        <v>2503</v>
      </c>
      <c r="AR390" t="s">
        <v>5932</v>
      </c>
      <c r="AS390" s="12">
        <f t="shared" si="87"/>
        <v>0</v>
      </c>
      <c r="AT390" s="16" t="str">
        <f t="shared" si="76"/>
        <v/>
      </c>
    </row>
    <row r="391" spans="1:46" hidden="1" x14ac:dyDescent="0.25">
      <c r="A391" s="41">
        <f>CASOPOInvCL!T391</f>
        <v>1</v>
      </c>
      <c r="B391" t="str">
        <f>CASOPOInvCL!Z391</f>
        <v>SO16903</v>
      </c>
      <c r="G391" s="5" t="str">
        <f>CASOPOInvCL!I391</f>
        <v>Ian Trottier</v>
      </c>
      <c r="H391" s="31">
        <f>CASOPOInvCL!U391</f>
        <v>4</v>
      </c>
      <c r="I391" s="31">
        <f>CASOPOInvCL!V391</f>
        <v>2025</v>
      </c>
      <c r="J391" s="5" t="str">
        <f>CASOPOInvCL!AB391</f>
        <v>INV12843</v>
      </c>
      <c r="K391" s="31">
        <f>CASOPOInvCL!W391</f>
        <v>5</v>
      </c>
      <c r="L391" s="31">
        <f>CASOPOInvCL!X391</f>
        <v>2025</v>
      </c>
      <c r="M391" s="31"/>
      <c r="N391" s="5" t="str">
        <f>CASOPOInvCL!AF391</f>
        <v>Motion Industries Inc. (Canada) - Scarborough</v>
      </c>
      <c r="O391" s="16" t="str">
        <f>CASOPOInvCL!AG391</f>
        <v>CAD</v>
      </c>
      <c r="P391" s="16">
        <f>CASOPOInvCL!AH391</f>
        <v>168.53</v>
      </c>
      <c r="Q391" s="16">
        <f>CASOPOInvCL!AI391</f>
        <v>118.66568096075871</v>
      </c>
      <c r="R391" s="32" t="str">
        <f>CASOPOInvCL!AU391</f>
        <v>Yes</v>
      </c>
      <c r="S391" s="16">
        <f>CASOPOInvCL!AV391</f>
        <v>0</v>
      </c>
      <c r="T391" s="16">
        <f>CASOPOInvCL!AW391</f>
        <v>118.66568096075871</v>
      </c>
      <c r="Y391" s="29" t="str">
        <f>IFERROR(HLOOKUP(U391,List!$D$2:$H$6,2,FALSE),"")</f>
        <v/>
      </c>
      <c r="Z391" s="29" t="str">
        <f>IFERROR(HLOOKUP(V391,List!$D$2:$H$6,3,FALSE),"")</f>
        <v/>
      </c>
      <c r="AA391" s="29" t="str">
        <f>IFERROR(HLOOKUP(W391,List!$D$2:$H$6,4,FALSE),"")</f>
        <v/>
      </c>
      <c r="AB391" s="29" t="str">
        <f>IFERROR(HLOOKUP(X391,List!$D$2:$H$6,5,FALSE),"")</f>
        <v/>
      </c>
      <c r="AC391" s="12" t="str">
        <f t="shared" si="79"/>
        <v/>
      </c>
      <c r="AD391" s="12" t="str">
        <f t="shared" si="80"/>
        <v/>
      </c>
      <c r="AE391" s="12" t="str">
        <f t="shared" si="81"/>
        <v/>
      </c>
      <c r="AF391" s="12" t="str">
        <f t="shared" si="82"/>
        <v/>
      </c>
      <c r="AG391" t="str">
        <f>VLOOKUP(J391,'Receivable Invoice Detail'!$A$1:F3403,6,FALSE)</f>
        <v>[G-76772X 2229] Shaft Sleeve, 3196 STX, 316SS</v>
      </c>
      <c r="AM391" s="12" t="str">
        <f t="shared" si="83"/>
        <v/>
      </c>
      <c r="AN391" s="12" t="str">
        <f t="shared" si="84"/>
        <v/>
      </c>
      <c r="AO391" s="12" t="str">
        <f t="shared" si="85"/>
        <v/>
      </c>
      <c r="AP391" s="12" t="str">
        <f t="shared" si="86"/>
        <v/>
      </c>
      <c r="AQ391" s="12"/>
      <c r="AS391" s="12">
        <f t="shared" si="87"/>
        <v>1.7799852144113806</v>
      </c>
      <c r="AT391" s="16" t="str">
        <f t="shared" si="76"/>
        <v>Yes</v>
      </c>
    </row>
    <row r="392" spans="1:46" hidden="1" x14ac:dyDescent="0.25">
      <c r="A392" s="41">
        <f>CASOPOInvCL!T392</f>
        <v>3</v>
      </c>
      <c r="B392" s="23" t="str">
        <f>CASOPOInvCL!Z392</f>
        <v>SO16918</v>
      </c>
      <c r="G392" s="5" t="str">
        <f>CASOPOInvCL!I392</f>
        <v>Wilka Nuñez</v>
      </c>
      <c r="H392" s="31">
        <f>CASOPOInvCL!U392</f>
        <v>4</v>
      </c>
      <c r="I392" s="31">
        <f>CASOPOInvCL!V392</f>
        <v>2025</v>
      </c>
      <c r="J392" s="73" t="str">
        <f>CASOPOInvCL!AB392</f>
        <v>INV13121</v>
      </c>
      <c r="K392" s="31">
        <f>CASOPOInvCL!W392</f>
        <v>7</v>
      </c>
      <c r="L392" s="31">
        <f>CASOPOInvCL!X392</f>
        <v>2025</v>
      </c>
      <c r="M392" s="31"/>
      <c r="N392" s="73" t="str">
        <f>CASOPOInvCL!AF392</f>
        <v>Barrick Gold - Pueblo Viejo Dominicana Corporation</v>
      </c>
      <c r="O392" s="16" t="str">
        <f>CASOPOInvCL!AG392</f>
        <v>USD</v>
      </c>
      <c r="P392" s="16">
        <f>CASOPOInvCL!AH392</f>
        <v>52513.420293417817</v>
      </c>
      <c r="Q392" s="16">
        <f>CASOPOInvCL!AI392</f>
        <v>38432.82</v>
      </c>
      <c r="R392" s="32" t="str">
        <f>CASOPOInvCL!AU392</f>
        <v>Yes</v>
      </c>
      <c r="S392" s="16">
        <f>CASOPOInvCL!AV392</f>
        <v>0</v>
      </c>
      <c r="T392" s="16">
        <f>CASOPOInvCL!AW392</f>
        <v>38432.82</v>
      </c>
      <c r="Y392" s="29" t="str">
        <f>IFERROR(HLOOKUP(U392,List!$D$2:$H$6,2,FALSE),"")</f>
        <v/>
      </c>
      <c r="Z392" s="29" t="str">
        <f>IFERROR(HLOOKUP(V392,List!$D$2:$H$6,3,FALSE),"")</f>
        <v/>
      </c>
      <c r="AA392" s="29" t="str">
        <f>IFERROR(HLOOKUP(W392,List!$D$2:$H$6,4,FALSE),"")</f>
        <v/>
      </c>
      <c r="AB392" s="29" t="str">
        <f>IFERROR(HLOOKUP(X392,List!$D$2:$H$6,5,FALSE),"")</f>
        <v/>
      </c>
      <c r="AC392" s="12" t="str">
        <f t="shared" si="79"/>
        <v/>
      </c>
      <c r="AD392" s="12" t="str">
        <f t="shared" si="80"/>
        <v/>
      </c>
      <c r="AE392" s="12" t="str">
        <f t="shared" si="81"/>
        <v/>
      </c>
      <c r="AF392" s="12" t="str">
        <f t="shared" si="82"/>
        <v/>
      </c>
      <c r="AG392" t="str">
        <f>VLOOKUP(J392,'Receivable Invoice Detail'!$A$1:F3404,6,FALSE)</f>
        <v>[AM-HH200C21-07-316SS] Wear Ring, DW-AE8/6-21W, 316SS</v>
      </c>
      <c r="AM392" s="12" t="str">
        <f t="shared" si="83"/>
        <v/>
      </c>
      <c r="AN392" s="12" t="str">
        <f t="shared" si="84"/>
        <v/>
      </c>
      <c r="AO392" s="12" t="str">
        <f t="shared" si="85"/>
        <v/>
      </c>
      <c r="AP392" s="12" t="str">
        <f t="shared" si="86"/>
        <v/>
      </c>
      <c r="AQ392" s="64">
        <v>2503</v>
      </c>
      <c r="AR392" t="s">
        <v>5933</v>
      </c>
      <c r="AS392" s="71">
        <f t="shared" si="87"/>
        <v>576.4923</v>
      </c>
      <c r="AT392" s="24" t="str">
        <f t="shared" si="76"/>
        <v>Yes</v>
      </c>
    </row>
    <row r="393" spans="1:46" hidden="1" x14ac:dyDescent="0.25">
      <c r="A393" s="41">
        <f>CASOPOInvCL!T393</f>
        <v>3</v>
      </c>
      <c r="B393" t="str">
        <f>CASOPOInvCL!Z393</f>
        <v>SO16918</v>
      </c>
      <c r="G393" s="5">
        <f>CASOPOInvCL!I393</f>
        <v>0</v>
      </c>
      <c r="H393" s="31">
        <f>CASOPOInvCL!U393</f>
        <v>4</v>
      </c>
      <c r="I393" s="31">
        <f>CASOPOInvCL!V393</f>
        <v>2025</v>
      </c>
      <c r="J393" s="5" t="str">
        <f>CASOPOInvCL!AB393</f>
        <v>INV13251</v>
      </c>
      <c r="K393" s="31" t="str">
        <f>CASOPOInvCL!W393</f>
        <v/>
      </c>
      <c r="L393" s="31" t="str">
        <f>CASOPOInvCL!X393</f>
        <v/>
      </c>
      <c r="M393" s="31"/>
      <c r="N393" s="5" t="str">
        <f>CASOPOInvCL!AF393</f>
        <v>Barrick Gold - Pueblo Viejo Dominicana Corporation</v>
      </c>
      <c r="O393" s="16" t="str">
        <f>CASOPOInvCL!AG393</f>
        <v>USD</v>
      </c>
      <c r="P393" s="16">
        <f>CASOPOInvCL!AH393</f>
        <v>0</v>
      </c>
      <c r="Q393" s="16">
        <f>CASOPOInvCL!AI393</f>
        <v>0</v>
      </c>
      <c r="R393" s="32" t="str">
        <f>CASOPOInvCL!AU393</f>
        <v/>
      </c>
      <c r="S393" s="16">
        <f>CASOPOInvCL!AV393</f>
        <v>0</v>
      </c>
      <c r="T393" s="16">
        <f>CASOPOInvCL!AW393</f>
        <v>0</v>
      </c>
      <c r="Y393" s="29" t="str">
        <f>IFERROR(HLOOKUP(U393,List!$D$2:$H$6,2,FALSE),"")</f>
        <v/>
      </c>
      <c r="Z393" s="29" t="str">
        <f>IFERROR(HLOOKUP(V393,List!$D$2:$H$6,3,FALSE),"")</f>
        <v/>
      </c>
      <c r="AA393" s="29" t="str">
        <f>IFERROR(HLOOKUP(W393,List!$D$2:$H$6,4,FALSE),"")</f>
        <v/>
      </c>
      <c r="AB393" s="29" t="str">
        <f>IFERROR(HLOOKUP(X393,List!$D$2:$H$6,5,FALSE),"")</f>
        <v/>
      </c>
      <c r="AC393" s="12" t="str">
        <f t="shared" si="79"/>
        <v/>
      </c>
      <c r="AD393" s="12" t="str">
        <f t="shared" si="80"/>
        <v/>
      </c>
      <c r="AE393" s="12" t="str">
        <f t="shared" si="81"/>
        <v/>
      </c>
      <c r="AF393" s="12" t="str">
        <f t="shared" si="82"/>
        <v/>
      </c>
      <c r="AG393" t="str">
        <f>VLOOKUP(J393,'Receivable Invoice Detail'!$A$1:F3405,6,FALSE)</f>
        <v>[AM-HH200C21-11] Gasket, Casing, DW-AE8/6-21W, Aramid Fiber</v>
      </c>
      <c r="AM393" s="12" t="str">
        <f t="shared" si="83"/>
        <v/>
      </c>
      <c r="AN393" s="12" t="str">
        <f t="shared" si="84"/>
        <v/>
      </c>
      <c r="AO393" s="12" t="str">
        <f t="shared" si="85"/>
        <v/>
      </c>
      <c r="AP393" s="12" t="str">
        <f t="shared" si="86"/>
        <v/>
      </c>
      <c r="AQ393" s="64"/>
      <c r="AR393" t="s">
        <v>5933</v>
      </c>
      <c r="AS393" s="12">
        <f t="shared" si="87"/>
        <v>0</v>
      </c>
      <c r="AT393" s="16" t="str">
        <f t="shared" si="76"/>
        <v/>
      </c>
    </row>
    <row r="394" spans="1:46" hidden="1" x14ac:dyDescent="0.25">
      <c r="A394" s="41">
        <f>CASOPOInvCL!T394</f>
        <v>3</v>
      </c>
      <c r="B394" t="str">
        <f>CASOPOInvCL!Z394</f>
        <v>SO16918</v>
      </c>
      <c r="G394" s="5">
        <f>CASOPOInvCL!I394</f>
        <v>0</v>
      </c>
      <c r="H394" s="31">
        <f>CASOPOInvCL!U394</f>
        <v>4</v>
      </c>
      <c r="I394" s="31">
        <f>CASOPOInvCL!V394</f>
        <v>2025</v>
      </c>
      <c r="J394" s="5" t="str">
        <f>CASOPOInvCL!AB394</f>
        <v>INV13475</v>
      </c>
      <c r="K394" s="31">
        <f>CASOPOInvCL!W394</f>
        <v>12</v>
      </c>
      <c r="L394" s="31">
        <f>CASOPOInvCL!X394</f>
        <v>2025</v>
      </c>
      <c r="M394" s="31"/>
      <c r="N394" s="5" t="str">
        <f>CASOPOInvCL!AF394</f>
        <v>Barrick Gold - Pueblo Viejo Dominicana Corporation</v>
      </c>
      <c r="O394" s="16" t="str">
        <f>CASOPOInvCL!AG394</f>
        <v>USD</v>
      </c>
      <c r="P394" s="16">
        <f>CASOPOInvCL!AH394</f>
        <v>0</v>
      </c>
      <c r="Q394" s="16">
        <f>CASOPOInvCL!AI394</f>
        <v>0</v>
      </c>
      <c r="R394" s="32" t="str">
        <f>CASOPOInvCL!AU394</f>
        <v/>
      </c>
      <c r="S394" s="16">
        <f>CASOPOInvCL!AV394</f>
        <v>0</v>
      </c>
      <c r="T394" s="16">
        <f>CASOPOInvCL!AW394</f>
        <v>0</v>
      </c>
      <c r="Y394" s="29" t="str">
        <f>IFERROR(HLOOKUP(U394,List!$D$2:$H$6,2,FALSE),"")</f>
        <v/>
      </c>
      <c r="Z394" s="29" t="str">
        <f>IFERROR(HLOOKUP(V394,List!$D$2:$H$6,3,FALSE),"")</f>
        <v/>
      </c>
      <c r="AA394" s="29" t="str">
        <f>IFERROR(HLOOKUP(W394,List!$D$2:$H$6,4,FALSE),"")</f>
        <v/>
      </c>
      <c r="AB394" s="29" t="str">
        <f>IFERROR(HLOOKUP(X394,List!$D$2:$H$6,5,FALSE),"")</f>
        <v/>
      </c>
      <c r="AC394" s="12" t="str">
        <f t="shared" si="79"/>
        <v/>
      </c>
      <c r="AD394" s="12" t="str">
        <f t="shared" si="80"/>
        <v/>
      </c>
      <c r="AE394" s="12" t="str">
        <f t="shared" si="81"/>
        <v/>
      </c>
      <c r="AF394" s="12" t="str">
        <f t="shared" si="82"/>
        <v/>
      </c>
      <c r="AG394" t="str">
        <f>VLOOKUP(J394,'Receivable Invoice Detail'!$A$1:F3406,6,FALSE)</f>
        <v>[AM-HH200C21-BLT] Diesel Engine Belt, QSC8.3-C260, DW-AE8/6-21W</v>
      </c>
      <c r="AM394" s="12" t="str">
        <f t="shared" si="83"/>
        <v/>
      </c>
      <c r="AN394" s="12" t="str">
        <f t="shared" si="84"/>
        <v/>
      </c>
      <c r="AO394" s="12" t="str">
        <f t="shared" si="85"/>
        <v/>
      </c>
      <c r="AP394" s="12" t="str">
        <f t="shared" si="86"/>
        <v/>
      </c>
      <c r="AQ394" s="64"/>
      <c r="AR394" t="s">
        <v>5933</v>
      </c>
      <c r="AS394" s="12">
        <f t="shared" si="87"/>
        <v>0</v>
      </c>
      <c r="AT394" s="16" t="str">
        <f t="shared" ref="AT394:AT457" si="89">R394</f>
        <v/>
      </c>
    </row>
    <row r="395" spans="1:46" hidden="1" x14ac:dyDescent="0.25">
      <c r="A395" s="41">
        <f>CASOPOInvCL!T395</f>
        <v>1</v>
      </c>
      <c r="B395" t="str">
        <f>CASOPOInvCL!Z395</f>
        <v>SO16923</v>
      </c>
      <c r="D395" t="s">
        <v>5847</v>
      </c>
      <c r="G395" s="5" t="str">
        <f>CASOPOInvCL!I395</f>
        <v>Amanda Qiao</v>
      </c>
      <c r="H395" s="31">
        <f>CASOPOInvCL!U395</f>
        <v>4</v>
      </c>
      <c r="I395" s="31">
        <f>CASOPOInvCL!V395</f>
        <v>2025</v>
      </c>
      <c r="J395" s="5" t="str">
        <f>CASOPOInvCL!AB395</f>
        <v>INV13044</v>
      </c>
      <c r="K395" s="31">
        <f>CASOPOInvCL!W395</f>
        <v>8</v>
      </c>
      <c r="L395" s="31">
        <f>CASOPOInvCL!X395</f>
        <v>2025</v>
      </c>
      <c r="M395">
        <v>2503</v>
      </c>
      <c r="N395" s="5" t="str">
        <f>CASOPOInvCL!AF395</f>
        <v>Zijin Mining - Rosebel Goldmines N.V.</v>
      </c>
      <c r="O395" s="16" t="str">
        <f>CASOPOInvCL!AG395</f>
        <v>USD</v>
      </c>
      <c r="P395" s="16">
        <f>CASOPOInvCL!AH395</f>
        <v>4250.395895533301</v>
      </c>
      <c r="Q395" s="16">
        <f>CASOPOInvCL!AI395</f>
        <v>3047.03</v>
      </c>
      <c r="R395" s="32" t="str">
        <f>CASOPOInvCL!AU395</f>
        <v>Yes</v>
      </c>
      <c r="S395" s="16">
        <f>CASOPOInvCL!AV395</f>
        <v>214.7</v>
      </c>
      <c r="T395" s="16">
        <f>CASOPOInvCL!AW395</f>
        <v>2832.3300000000004</v>
      </c>
      <c r="V395" t="s">
        <v>5800</v>
      </c>
      <c r="Y395" s="29" t="str">
        <f>IFERROR(HLOOKUP(U395,List!$D$2:$H$6,2,FALSE),"")</f>
        <v/>
      </c>
      <c r="Z395" s="29">
        <f>IFERROR(HLOOKUP(V395,List!$D$2:$H$6,3,FALSE),"")</f>
        <v>5.0000000000000001E-3</v>
      </c>
      <c r="AA395" s="29" t="str">
        <f>IFERROR(HLOOKUP(W395,List!$D$2:$H$6,4,FALSE),"")</f>
        <v/>
      </c>
      <c r="AB395" s="29" t="str">
        <f>IFERROR(HLOOKUP(X395,List!$D$2:$H$6,5,FALSE),"")</f>
        <v/>
      </c>
      <c r="AC395" s="12" t="str">
        <f t="shared" si="79"/>
        <v/>
      </c>
      <c r="AD395" s="12">
        <f t="shared" si="80"/>
        <v>14.161650000000002</v>
      </c>
      <c r="AE395" s="12" t="str">
        <f t="shared" si="81"/>
        <v/>
      </c>
      <c r="AF395" s="12" t="str">
        <f t="shared" si="82"/>
        <v/>
      </c>
      <c r="AG395" t="str">
        <f>VLOOKUP(J395,'Receivable Invoice Detail'!$A$1:F3407,6,FALSE)</f>
        <v>[W-SPR65153/R55] Column Clamp, 65QV-SPR, Natural Rubber</v>
      </c>
      <c r="AH395" s="12">
        <f t="shared" ref="AH395" si="90">SUM(AC395:AF395)</f>
        <v>14.161650000000002</v>
      </c>
      <c r="AJ395">
        <v>2503</v>
      </c>
      <c r="AM395" s="12" t="str">
        <f t="shared" si="83"/>
        <v/>
      </c>
      <c r="AN395" s="12">
        <f t="shared" si="84"/>
        <v>0</v>
      </c>
      <c r="AO395" s="12" t="str">
        <f t="shared" si="85"/>
        <v/>
      </c>
      <c r="AP395" s="12" t="str">
        <f t="shared" si="86"/>
        <v/>
      </c>
      <c r="AQ395" s="64">
        <v>2503</v>
      </c>
      <c r="AR395" t="s">
        <v>5932</v>
      </c>
      <c r="AS395" s="12">
        <f t="shared" si="87"/>
        <v>42.484950000000005</v>
      </c>
      <c r="AT395" s="16" t="str">
        <f t="shared" si="89"/>
        <v>Yes</v>
      </c>
    </row>
    <row r="396" spans="1:46" hidden="1" x14ac:dyDescent="0.25">
      <c r="A396" s="41">
        <f>CASOPOInvCL!T396</f>
        <v>1</v>
      </c>
      <c r="B396" t="str">
        <f>CASOPOInvCL!Z396</f>
        <v>SO16931</v>
      </c>
      <c r="G396" s="5" t="str">
        <f>CASOPOInvCL!I396</f>
        <v>Amanda Qiao</v>
      </c>
      <c r="H396" s="31">
        <f>CASOPOInvCL!U396</f>
        <v>4</v>
      </c>
      <c r="I396" s="31">
        <f>CASOPOInvCL!V396</f>
        <v>2025</v>
      </c>
      <c r="J396" s="5" t="str">
        <f>CASOPOInvCL!AB396</f>
        <v>INV13234</v>
      </c>
      <c r="K396" s="31" t="str">
        <f>CASOPOInvCL!W396</f>
        <v/>
      </c>
      <c r="L396" s="31" t="str">
        <f>CASOPOInvCL!X396</f>
        <v/>
      </c>
      <c r="M396" s="31"/>
      <c r="N396" s="5" t="str">
        <f>CASOPOInvCL!AF396</f>
        <v>Mill-Right Mine Services Inc.</v>
      </c>
      <c r="O396" s="16" t="str">
        <f>CASOPOInvCL!AG396</f>
        <v>USD</v>
      </c>
      <c r="P396" s="16">
        <f>CASOPOInvCL!AH396</f>
        <v>3213.1940714052807</v>
      </c>
      <c r="Q396" s="16">
        <f>CASOPOInvCL!AI396</f>
        <v>2264.34</v>
      </c>
      <c r="R396" s="32" t="str">
        <f>CASOPOInvCL!AU396</f>
        <v/>
      </c>
      <c r="S396" s="16">
        <f>CASOPOInvCL!AV396</f>
        <v>0</v>
      </c>
      <c r="T396" s="16">
        <f>CASOPOInvCL!AW396</f>
        <v>0</v>
      </c>
      <c r="Y396" s="29" t="str">
        <f>IFERROR(HLOOKUP(U396,List!$D$2:$H$6,2,FALSE),"")</f>
        <v/>
      </c>
      <c r="Z396" s="29" t="str">
        <f>IFERROR(HLOOKUP(V396,List!$D$2:$H$6,3,FALSE),"")</f>
        <v/>
      </c>
      <c r="AA396" s="29" t="str">
        <f>IFERROR(HLOOKUP(W396,List!$D$2:$H$6,4,FALSE),"")</f>
        <v/>
      </c>
      <c r="AB396" s="29" t="str">
        <f>IFERROR(HLOOKUP(X396,List!$D$2:$H$6,5,FALSE),"")</f>
        <v/>
      </c>
      <c r="AC396" s="12" t="str">
        <f t="shared" si="79"/>
        <v/>
      </c>
      <c r="AD396" s="12" t="str">
        <f t="shared" si="80"/>
        <v/>
      </c>
      <c r="AE396" s="12" t="str">
        <f t="shared" si="81"/>
        <v/>
      </c>
      <c r="AF396" s="12" t="str">
        <f t="shared" si="82"/>
        <v/>
      </c>
      <c r="AG396" t="e">
        <f>VLOOKUP(J396,'Receivable Invoice Detail'!$A$1:F3408,6,FALSE)</f>
        <v>#N/A</v>
      </c>
      <c r="AM396" s="12" t="str">
        <f t="shared" si="83"/>
        <v/>
      </c>
      <c r="AN396" s="12" t="str">
        <f t="shared" si="84"/>
        <v/>
      </c>
      <c r="AO396" s="12" t="str">
        <f t="shared" si="85"/>
        <v/>
      </c>
      <c r="AP396" s="12" t="str">
        <f t="shared" si="86"/>
        <v/>
      </c>
      <c r="AQ396" s="12"/>
      <c r="AS396" s="12">
        <f t="shared" si="87"/>
        <v>0</v>
      </c>
      <c r="AT396" s="16" t="str">
        <f t="shared" si="89"/>
        <v/>
      </c>
    </row>
    <row r="397" spans="1:46" hidden="1" x14ac:dyDescent="0.25">
      <c r="A397" s="41">
        <f>CASOPOInvCL!T397</f>
        <v>1</v>
      </c>
      <c r="B397" t="str">
        <f>CASOPOInvCL!Z397</f>
        <v>SO16932</v>
      </c>
      <c r="G397" s="5" t="str">
        <f>CASOPOInvCL!I397</f>
        <v>Ian Trottier</v>
      </c>
      <c r="H397" s="31">
        <f>CASOPOInvCL!U397</f>
        <v>4</v>
      </c>
      <c r="I397" s="31">
        <f>CASOPOInvCL!V397</f>
        <v>2025</v>
      </c>
      <c r="J397" s="5" t="str">
        <f>CASOPOInvCL!AB397</f>
        <v>INV13407</v>
      </c>
      <c r="K397" s="31" t="str">
        <f>CASOPOInvCL!W397</f>
        <v/>
      </c>
      <c r="L397" s="31" t="str">
        <f>CASOPOInvCL!X397</f>
        <v/>
      </c>
      <c r="M397" s="31"/>
      <c r="N397" s="5" t="str">
        <f>CASOPOInvCL!AF397</f>
        <v>Process and Steam Specialties, Process and Steam Specialties</v>
      </c>
      <c r="O397" s="16" t="str">
        <f>CASOPOInvCL!AG397</f>
        <v>CAD</v>
      </c>
      <c r="P397" s="16">
        <f>CASOPOInvCL!AH397</f>
        <v>6931.99</v>
      </c>
      <c r="Q397" s="16">
        <f>CASOPOInvCL!AI397</f>
        <v>5061.7476091082808</v>
      </c>
      <c r="R397" s="32" t="str">
        <f>CASOPOInvCL!AU397</f>
        <v/>
      </c>
      <c r="S397" s="16">
        <f>CASOPOInvCL!AV397</f>
        <v>0</v>
      </c>
      <c r="T397" s="16">
        <f>CASOPOInvCL!AW397</f>
        <v>0</v>
      </c>
      <c r="Y397" s="29" t="str">
        <f>IFERROR(HLOOKUP(U397,List!$D$2:$H$6,2,FALSE),"")</f>
        <v/>
      </c>
      <c r="Z397" s="29" t="str">
        <f>IFERROR(HLOOKUP(V397,List!$D$2:$H$6,3,FALSE),"")</f>
        <v/>
      </c>
      <c r="AA397" s="29" t="str">
        <f>IFERROR(HLOOKUP(W397,List!$D$2:$H$6,4,FALSE),"")</f>
        <v/>
      </c>
      <c r="AB397" s="29" t="str">
        <f>IFERROR(HLOOKUP(X397,List!$D$2:$H$6,5,FALSE),"")</f>
        <v/>
      </c>
      <c r="AC397" s="12" t="str">
        <f t="shared" si="79"/>
        <v/>
      </c>
      <c r="AD397" s="12" t="str">
        <f t="shared" si="80"/>
        <v/>
      </c>
      <c r="AE397" s="12" t="str">
        <f t="shared" si="81"/>
        <v/>
      </c>
      <c r="AF397" s="12" t="str">
        <f t="shared" si="82"/>
        <v/>
      </c>
      <c r="AG397" t="str">
        <f>VLOOKUP(J397,'Receivable Invoice Detail'!$A$1:F3409,6,FALSE)</f>
        <v>[SA-055496-M1] Casing, Sala VT80, Rubber Lined</v>
      </c>
      <c r="AM397" s="12" t="str">
        <f t="shared" si="83"/>
        <v/>
      </c>
      <c r="AN397" s="12" t="str">
        <f t="shared" si="84"/>
        <v/>
      </c>
      <c r="AO397" s="12" t="str">
        <f t="shared" si="85"/>
        <v/>
      </c>
      <c r="AP397" s="12" t="str">
        <f t="shared" si="86"/>
        <v/>
      </c>
      <c r="AQ397" s="12"/>
      <c r="AS397" s="12">
        <f t="shared" si="87"/>
        <v>0</v>
      </c>
      <c r="AT397" s="16" t="str">
        <f t="shared" si="89"/>
        <v/>
      </c>
    </row>
    <row r="398" spans="1:46" hidden="1" x14ac:dyDescent="0.25">
      <c r="A398" s="41">
        <f>CASOPOInvCL!T398</f>
        <v>1</v>
      </c>
      <c r="B398" t="str">
        <f>CASOPOInvCL!Z398</f>
        <v>SO16934</v>
      </c>
      <c r="G398" s="5" t="str">
        <f>CASOPOInvCL!I398</f>
        <v>Ian Trottier</v>
      </c>
      <c r="H398" s="31">
        <f>CASOPOInvCL!U398</f>
        <v>4</v>
      </c>
      <c r="I398" s="31">
        <f>CASOPOInvCL!V398</f>
        <v>2025</v>
      </c>
      <c r="J398" s="5" t="str">
        <f>CASOPOInvCL!AB398</f>
        <v>INV12842</v>
      </c>
      <c r="K398" s="31">
        <f>CASOPOInvCL!W398</f>
        <v>6</v>
      </c>
      <c r="L398" s="31">
        <f>CASOPOInvCL!X398</f>
        <v>2025</v>
      </c>
      <c r="M398" s="31"/>
      <c r="N398" s="5" t="str">
        <f>CASOPOInvCL!AF398</f>
        <v>Resolute Forest Products - Saint-Felicien</v>
      </c>
      <c r="O398" s="16" t="str">
        <f>CASOPOInvCL!AG398</f>
        <v>CAD</v>
      </c>
      <c r="P398" s="16">
        <f>CASOPOInvCL!AH398</f>
        <v>2103.86</v>
      </c>
      <c r="Q398" s="16">
        <f>CASOPOInvCL!AI398</f>
        <v>1481.3741146745499</v>
      </c>
      <c r="R398" s="32" t="str">
        <f>CASOPOInvCL!AU398</f>
        <v>Yes</v>
      </c>
      <c r="S398" s="16">
        <f>CASOPOInvCL!AV398</f>
        <v>0</v>
      </c>
      <c r="T398" s="16">
        <f>CASOPOInvCL!AW398</f>
        <v>1481.3741146745499</v>
      </c>
      <c r="Y398" s="29" t="str">
        <f>IFERROR(HLOOKUP(U398,List!$D$2:$H$6,2,FALSE),"")</f>
        <v/>
      </c>
      <c r="Z398" s="29" t="str">
        <f>IFERROR(HLOOKUP(V398,List!$D$2:$H$6,3,FALSE),"")</f>
        <v/>
      </c>
      <c r="AA398" s="29" t="str">
        <f>IFERROR(HLOOKUP(W398,List!$D$2:$H$6,4,FALSE),"")</f>
        <v/>
      </c>
      <c r="AB398" s="29" t="str">
        <f>IFERROR(HLOOKUP(X398,List!$D$2:$H$6,5,FALSE),"")</f>
        <v/>
      </c>
      <c r="AC398" s="12" t="str">
        <f t="shared" si="79"/>
        <v/>
      </c>
      <c r="AD398" s="12" t="str">
        <f t="shared" si="80"/>
        <v/>
      </c>
      <c r="AE398" s="12" t="str">
        <f t="shared" si="81"/>
        <v/>
      </c>
      <c r="AF398" s="12" t="str">
        <f t="shared" si="82"/>
        <v/>
      </c>
      <c r="AG398" t="str">
        <f>VLOOKUP(J398,'Receivable Invoice Detail'!$A$1:F3410,6,FALSE)</f>
        <v>[AC-98-037-796-503] Impeller (Open), 6x6-15 SRL, Neoprene</v>
      </c>
      <c r="AM398" s="12" t="str">
        <f t="shared" si="83"/>
        <v/>
      </c>
      <c r="AN398" s="12" t="str">
        <f t="shared" si="84"/>
        <v/>
      </c>
      <c r="AO398" s="12" t="str">
        <f t="shared" si="85"/>
        <v/>
      </c>
      <c r="AP398" s="12" t="str">
        <f t="shared" si="86"/>
        <v/>
      </c>
      <c r="AQ398" s="12"/>
      <c r="AS398" s="12">
        <f t="shared" si="87"/>
        <v>22.220611720118249</v>
      </c>
      <c r="AT398" s="16" t="str">
        <f t="shared" si="89"/>
        <v>Yes</v>
      </c>
    </row>
    <row r="399" spans="1:46" hidden="1" x14ac:dyDescent="0.25">
      <c r="A399" s="41">
        <f>CASOPOInvCL!T399</f>
        <v>4</v>
      </c>
      <c r="B399" t="str">
        <f>CASOPOInvCL!Z399</f>
        <v>SO16939</v>
      </c>
      <c r="G399" s="5" t="str">
        <f>CASOPOInvCL!I399</f>
        <v>Ian Trottier</v>
      </c>
      <c r="H399" s="31">
        <f>CASOPOInvCL!U399</f>
        <v>4</v>
      </c>
      <c r="I399" s="31">
        <f>CASOPOInvCL!V399</f>
        <v>2025</v>
      </c>
      <c r="J399" s="5" t="str">
        <f>CASOPOInvCL!AB399</f>
        <v>INV12841</v>
      </c>
      <c r="K399" s="31">
        <f>CASOPOInvCL!W399</f>
        <v>5</v>
      </c>
      <c r="L399" s="31">
        <f>CASOPOInvCL!X399</f>
        <v>2025</v>
      </c>
      <c r="M399" s="31"/>
      <c r="N399" s="5" t="str">
        <f>CASOPOInvCL!AF399</f>
        <v>Cartledge &amp; Associates Inc.</v>
      </c>
      <c r="O399" s="16" t="str">
        <f>CASOPOInvCL!AG399</f>
        <v>USD</v>
      </c>
      <c r="P399" s="16">
        <f>CASOPOInvCL!AH399</f>
        <v>13846.246870949491</v>
      </c>
      <c r="Q399" s="16">
        <f>CASOPOInvCL!AI399</f>
        <v>9733.5499999999993</v>
      </c>
      <c r="R399" s="32" t="str">
        <f>CASOPOInvCL!AU399</f>
        <v>Yes</v>
      </c>
      <c r="S399" s="16">
        <f>CASOPOInvCL!AV399</f>
        <v>615</v>
      </c>
      <c r="T399" s="16">
        <f>CASOPOInvCL!AW399</f>
        <v>9118.5499999999993</v>
      </c>
      <c r="Y399" s="29" t="str">
        <f>IFERROR(HLOOKUP(U399,List!$D$2:$H$6,2,FALSE),"")</f>
        <v/>
      </c>
      <c r="Z399" s="29" t="str">
        <f>IFERROR(HLOOKUP(V399,List!$D$2:$H$6,3,FALSE),"")</f>
        <v/>
      </c>
      <c r="AA399" s="29" t="str">
        <f>IFERROR(HLOOKUP(W399,List!$D$2:$H$6,4,FALSE),"")</f>
        <v/>
      </c>
      <c r="AB399" s="29" t="str">
        <f>IFERROR(HLOOKUP(X399,List!$D$2:$H$6,5,FALSE),"")</f>
        <v/>
      </c>
      <c r="AC399" s="12" t="str">
        <f t="shared" si="79"/>
        <v/>
      </c>
      <c r="AD399" s="12" t="str">
        <f t="shared" si="80"/>
        <v/>
      </c>
      <c r="AE399" s="12" t="str">
        <f t="shared" si="81"/>
        <v/>
      </c>
      <c r="AF399" s="12" t="str">
        <f t="shared" si="82"/>
        <v/>
      </c>
      <c r="AG399" t="str">
        <f>VLOOKUP(J399,'Receivable Invoice Detail'!$A$1:F3411,6,FALSE)</f>
        <v>[DE-504978] Impeller, 10x8, Denver SRL, Natural Rubber</v>
      </c>
      <c r="AM399" s="12" t="str">
        <f t="shared" si="83"/>
        <v/>
      </c>
      <c r="AN399" s="12" t="str">
        <f t="shared" si="84"/>
        <v/>
      </c>
      <c r="AO399" s="12" t="str">
        <f t="shared" si="85"/>
        <v/>
      </c>
      <c r="AP399" s="12" t="str">
        <f t="shared" si="86"/>
        <v/>
      </c>
      <c r="AQ399" s="12"/>
      <c r="AS399" s="12">
        <f t="shared" si="87"/>
        <v>136.77824999999999</v>
      </c>
      <c r="AT399" s="16" t="str">
        <f t="shared" si="89"/>
        <v>Yes</v>
      </c>
    </row>
    <row r="400" spans="1:46" ht="15.75" hidden="1" thickBot="1" x14ac:dyDescent="0.3">
      <c r="A400" s="93">
        <f>CASOPOInvCL!T400</f>
        <v>4</v>
      </c>
      <c r="B400" s="94" t="str">
        <f>CASOPOInvCL!Z400</f>
        <v>SO16939</v>
      </c>
      <c r="C400" s="95"/>
      <c r="G400" s="5">
        <f>CASOPOInvCL!I400</f>
        <v>0</v>
      </c>
      <c r="H400" s="31">
        <f>CASOPOInvCL!U400</f>
        <v>4</v>
      </c>
      <c r="I400" s="31">
        <f>CASOPOInvCL!V400</f>
        <v>2025</v>
      </c>
      <c r="J400" s="5" t="str">
        <f>CASOPOInvCL!AB400</f>
        <v>(* 72154)</v>
      </c>
      <c r="K400" s="31" t="str">
        <f>CASOPOInvCL!W400</f>
        <v/>
      </c>
      <c r="L400" s="31" t="str">
        <f>CASOPOInvCL!X400</f>
        <v/>
      </c>
      <c r="M400" s="31"/>
      <c r="N400" s="5" t="str">
        <f>CASOPOInvCL!AF400</f>
        <v>Cartledge &amp; Associates Inc.</v>
      </c>
      <c r="O400" s="16" t="str">
        <f>CASOPOInvCL!AG400</f>
        <v>USD</v>
      </c>
      <c r="P400" s="16">
        <f>CASOPOInvCL!AH400</f>
        <v>0</v>
      </c>
      <c r="Q400" s="16">
        <f>CASOPOInvCL!AI400</f>
        <v>0</v>
      </c>
      <c r="R400" s="32" t="str">
        <f>CASOPOInvCL!AU400</f>
        <v/>
      </c>
      <c r="S400" s="16">
        <f>CASOPOInvCL!AV400</f>
        <v>0</v>
      </c>
      <c r="T400" s="16">
        <f>CASOPOInvCL!AW400</f>
        <v>0</v>
      </c>
      <c r="Y400" s="29" t="str">
        <f>IFERROR(HLOOKUP(U400,List!$D$2:$H$6,2,FALSE),"")</f>
        <v/>
      </c>
      <c r="Z400" s="29" t="str">
        <f>IFERROR(HLOOKUP(V400,List!$D$2:$H$6,3,FALSE),"")</f>
        <v/>
      </c>
      <c r="AA400" s="29" t="str">
        <f>IFERROR(HLOOKUP(W400,List!$D$2:$H$6,4,FALSE),"")</f>
        <v/>
      </c>
      <c r="AB400" s="29" t="str">
        <f>IFERROR(HLOOKUP(X400,List!$D$2:$H$6,5,FALSE),"")</f>
        <v/>
      </c>
      <c r="AC400" s="12" t="str">
        <f t="shared" si="79"/>
        <v/>
      </c>
      <c r="AD400" s="12" t="str">
        <f t="shared" si="80"/>
        <v/>
      </c>
      <c r="AE400" s="12" t="str">
        <f t="shared" si="81"/>
        <v/>
      </c>
      <c r="AF400" s="12" t="str">
        <f t="shared" si="82"/>
        <v/>
      </c>
      <c r="AG400" t="e">
        <f>VLOOKUP(J400,'Receivable Invoice Detail'!$A$1:F3412,6,FALSE)</f>
        <v>#N/A</v>
      </c>
      <c r="AM400" s="12" t="str">
        <f t="shared" si="83"/>
        <v/>
      </c>
      <c r="AN400" s="12" t="str">
        <f t="shared" si="84"/>
        <v/>
      </c>
      <c r="AO400" s="12" t="str">
        <f t="shared" si="85"/>
        <v/>
      </c>
      <c r="AP400" s="12" t="str">
        <f t="shared" si="86"/>
        <v/>
      </c>
      <c r="AQ400" s="12"/>
      <c r="AS400" s="12">
        <f t="shared" si="87"/>
        <v>0</v>
      </c>
      <c r="AT400" s="16" t="str">
        <f t="shared" si="89"/>
        <v/>
      </c>
    </row>
    <row r="401" spans="1:46" hidden="1" x14ac:dyDescent="0.25">
      <c r="A401" s="41">
        <f>CASOPOInvCL!T401</f>
        <v>4</v>
      </c>
      <c r="B401" t="str">
        <f>CASOPOInvCL!Z401</f>
        <v>SO16939</v>
      </c>
      <c r="G401" s="5">
        <f>CASOPOInvCL!I401</f>
        <v>0</v>
      </c>
      <c r="H401" s="31">
        <f>CASOPOInvCL!U401</f>
        <v>4</v>
      </c>
      <c r="I401" s="31">
        <f>CASOPOInvCL!V401</f>
        <v>2025</v>
      </c>
      <c r="J401" s="5" t="str">
        <f>CASOPOInvCL!AB401</f>
        <v>INV12838</v>
      </c>
      <c r="K401" s="31" t="str">
        <f>CASOPOInvCL!W401</f>
        <v/>
      </c>
      <c r="L401" s="31" t="str">
        <f>CASOPOInvCL!X401</f>
        <v/>
      </c>
      <c r="M401" s="31"/>
      <c r="N401" s="5" t="str">
        <f>CASOPOInvCL!AF401</f>
        <v>Cartledge &amp; Associates Inc.</v>
      </c>
      <c r="O401" s="16" t="str">
        <f>CASOPOInvCL!AG401</f>
        <v>USD</v>
      </c>
      <c r="P401" s="16">
        <f>CASOPOInvCL!AH401</f>
        <v>0</v>
      </c>
      <c r="Q401" s="16">
        <f>CASOPOInvCL!AI401</f>
        <v>0</v>
      </c>
      <c r="R401" s="32" t="str">
        <f>CASOPOInvCL!AU401</f>
        <v/>
      </c>
      <c r="S401" s="16">
        <f>CASOPOInvCL!AV401</f>
        <v>0</v>
      </c>
      <c r="T401" s="16">
        <f>CASOPOInvCL!AW401</f>
        <v>0</v>
      </c>
      <c r="Y401" s="29" t="str">
        <f>IFERROR(HLOOKUP(U401,List!$D$2:$H$6,2,FALSE),"")</f>
        <v/>
      </c>
      <c r="Z401" s="29" t="str">
        <f>IFERROR(HLOOKUP(V401,List!$D$2:$H$6,3,FALSE),"")</f>
        <v/>
      </c>
      <c r="AA401" s="29" t="str">
        <f>IFERROR(HLOOKUP(W401,List!$D$2:$H$6,4,FALSE),"")</f>
        <v/>
      </c>
      <c r="AB401" s="29" t="str">
        <f>IFERROR(HLOOKUP(X401,List!$D$2:$H$6,5,FALSE),"")</f>
        <v/>
      </c>
      <c r="AC401" s="12" t="str">
        <f t="shared" si="79"/>
        <v/>
      </c>
      <c r="AD401" s="12" t="str">
        <f t="shared" si="80"/>
        <v/>
      </c>
      <c r="AE401" s="12" t="str">
        <f t="shared" si="81"/>
        <v/>
      </c>
      <c r="AF401" s="12" t="str">
        <f t="shared" si="82"/>
        <v/>
      </c>
      <c r="AG401" t="e">
        <f>VLOOKUP(J401,'Receivable Invoice Detail'!$A$1:F3413,6,FALSE)</f>
        <v>#N/A</v>
      </c>
      <c r="AM401" s="12" t="str">
        <f t="shared" si="83"/>
        <v/>
      </c>
      <c r="AN401" s="12" t="str">
        <f t="shared" si="84"/>
        <v/>
      </c>
      <c r="AO401" s="12" t="str">
        <f t="shared" si="85"/>
        <v/>
      </c>
      <c r="AP401" s="12" t="str">
        <f t="shared" si="86"/>
        <v/>
      </c>
      <c r="AQ401" s="12"/>
      <c r="AS401" s="12">
        <f t="shared" si="87"/>
        <v>0</v>
      </c>
      <c r="AT401" s="16" t="str">
        <f t="shared" si="89"/>
        <v/>
      </c>
    </row>
    <row r="402" spans="1:46" hidden="1" x14ac:dyDescent="0.25">
      <c r="A402" s="41">
        <f>CASOPOInvCL!T402</f>
        <v>4</v>
      </c>
      <c r="B402" t="str">
        <f>CASOPOInvCL!Z402</f>
        <v>SO16939</v>
      </c>
      <c r="G402" s="5">
        <f>CASOPOInvCL!I402</f>
        <v>0</v>
      </c>
      <c r="H402" s="31">
        <f>CASOPOInvCL!U402</f>
        <v>4</v>
      </c>
      <c r="I402" s="31">
        <f>CASOPOInvCL!V402</f>
        <v>2025</v>
      </c>
      <c r="J402" s="5" t="str">
        <f>CASOPOInvCL!AB402</f>
        <v>INV12839</v>
      </c>
      <c r="K402" s="31" t="str">
        <f>CASOPOInvCL!W402</f>
        <v/>
      </c>
      <c r="L402" s="31" t="str">
        <f>CASOPOInvCL!X402</f>
        <v/>
      </c>
      <c r="M402" s="31"/>
      <c r="N402" s="5" t="str">
        <f>CASOPOInvCL!AF402</f>
        <v>Cartledge &amp; Associates Inc.</v>
      </c>
      <c r="O402" s="16" t="str">
        <f>CASOPOInvCL!AG402</f>
        <v>USD</v>
      </c>
      <c r="P402" s="16">
        <f>CASOPOInvCL!AH402</f>
        <v>0</v>
      </c>
      <c r="Q402" s="16">
        <f>CASOPOInvCL!AI402</f>
        <v>0</v>
      </c>
      <c r="R402" s="32" t="str">
        <f>CASOPOInvCL!AU402</f>
        <v/>
      </c>
      <c r="S402" s="16">
        <f>CASOPOInvCL!AV402</f>
        <v>0</v>
      </c>
      <c r="T402" s="16">
        <f>CASOPOInvCL!AW402</f>
        <v>0</v>
      </c>
      <c r="Y402" s="29" t="str">
        <f>IFERROR(HLOOKUP(U402,List!$D$2:$H$6,2,FALSE),"")</f>
        <v/>
      </c>
      <c r="Z402" s="29" t="str">
        <f>IFERROR(HLOOKUP(V402,List!$D$2:$H$6,3,FALSE),"")</f>
        <v/>
      </c>
      <c r="AA402" s="29" t="str">
        <f>IFERROR(HLOOKUP(W402,List!$D$2:$H$6,4,FALSE),"")</f>
        <v/>
      </c>
      <c r="AB402" s="29" t="str">
        <f>IFERROR(HLOOKUP(X402,List!$D$2:$H$6,5,FALSE),"")</f>
        <v/>
      </c>
      <c r="AC402" s="12" t="str">
        <f t="shared" si="79"/>
        <v/>
      </c>
      <c r="AD402" s="12" t="str">
        <f t="shared" si="80"/>
        <v/>
      </c>
      <c r="AE402" s="12" t="str">
        <f t="shared" si="81"/>
        <v/>
      </c>
      <c r="AF402" s="12" t="str">
        <f t="shared" si="82"/>
        <v/>
      </c>
      <c r="AG402" t="e">
        <f>VLOOKUP(J402,'Receivable Invoice Detail'!$A$1:F3414,6,FALSE)</f>
        <v>#N/A</v>
      </c>
      <c r="AM402" s="12" t="str">
        <f t="shared" si="83"/>
        <v/>
      </c>
      <c r="AN402" s="12" t="str">
        <f t="shared" si="84"/>
        <v/>
      </c>
      <c r="AO402" s="12" t="str">
        <f t="shared" si="85"/>
        <v/>
      </c>
      <c r="AP402" s="12" t="str">
        <f t="shared" si="86"/>
        <v/>
      </c>
      <c r="AQ402" s="12"/>
      <c r="AS402" s="12">
        <f t="shared" si="87"/>
        <v>0</v>
      </c>
      <c r="AT402" s="16" t="str">
        <f t="shared" si="89"/>
        <v/>
      </c>
    </row>
    <row r="403" spans="1:46" hidden="1" x14ac:dyDescent="0.25">
      <c r="A403" s="41">
        <f>CASOPOInvCL!T403</f>
        <v>1</v>
      </c>
      <c r="B403" t="str">
        <f>CASOPOInvCL!Z403</f>
        <v>SO16941</v>
      </c>
      <c r="E403" t="s">
        <v>5925</v>
      </c>
      <c r="G403" s="5" t="str">
        <f>CASOPOInvCL!I403</f>
        <v>Ian Trottier</v>
      </c>
      <c r="H403" s="31">
        <f>CASOPOInvCL!U403</f>
        <v>4</v>
      </c>
      <c r="I403" s="31">
        <f>CASOPOInvCL!V403</f>
        <v>2025</v>
      </c>
      <c r="J403" s="5" t="str">
        <f>CASOPOInvCL!AB403</f>
        <v>INV13135</v>
      </c>
      <c r="K403" s="31">
        <f>CASOPOInvCL!W403</f>
        <v>7</v>
      </c>
      <c r="L403" s="31">
        <f>CASOPOInvCL!X403</f>
        <v>2025</v>
      </c>
      <c r="M403">
        <v>2503</v>
      </c>
      <c r="N403" s="5" t="str">
        <f>CASOPOInvCL!AF403</f>
        <v>Sealtrac Inc.</v>
      </c>
      <c r="O403" s="16" t="str">
        <f>CASOPOInvCL!AG403</f>
        <v>CAD</v>
      </c>
      <c r="P403" s="16">
        <f>CASOPOInvCL!AH403</f>
        <v>4380</v>
      </c>
      <c r="Q403" s="16">
        <f>CASOPOInvCL!AI403</f>
        <v>3086.5889142084957</v>
      </c>
      <c r="R403" s="32" t="str">
        <f>CASOPOInvCL!AU403</f>
        <v>Yes</v>
      </c>
      <c r="S403" s="16">
        <f>CASOPOInvCL!AV403</f>
        <v>0</v>
      </c>
      <c r="T403" s="16">
        <f>CASOPOInvCL!AW403</f>
        <v>3086.5889142084957</v>
      </c>
      <c r="W403" t="s">
        <v>5800</v>
      </c>
      <c r="Y403" s="29" t="str">
        <f>IFERROR(HLOOKUP(U403,List!$D$2:$H$6,2,FALSE),"")</f>
        <v/>
      </c>
      <c r="Z403" s="29" t="str">
        <f>IFERROR(HLOOKUP(V403,List!$D$2:$H$6,3,FALSE),"")</f>
        <v/>
      </c>
      <c r="AA403" s="29">
        <f>IFERROR(HLOOKUP(W403,List!$D$2:$H$6,4,FALSE),"")</f>
        <v>0.01</v>
      </c>
      <c r="AB403" s="29" t="str">
        <f>IFERROR(HLOOKUP(X403,List!$D$2:$H$6,5,FALSE),"")</f>
        <v/>
      </c>
      <c r="AC403" s="12" t="str">
        <f t="shared" si="79"/>
        <v/>
      </c>
      <c r="AD403" s="12" t="str">
        <f t="shared" si="80"/>
        <v/>
      </c>
      <c r="AE403" s="12">
        <f t="shared" si="81"/>
        <v>30.865889142084956</v>
      </c>
      <c r="AF403" s="12" t="str">
        <f t="shared" si="82"/>
        <v/>
      </c>
      <c r="AG403" t="str">
        <f>VLOOKUP(J403,'Receivable Invoice Detail'!$A$1:F3415,6,FALSE)</f>
        <v>[G-22BF1JAA0] Pump, 1x2-7, 3656-S, Gould's, Closed Coupled, Cast Iron, Bronze Fitted</v>
      </c>
      <c r="AH403" s="12">
        <f t="shared" ref="AH403" si="91">SUM(AC403:AF403)</f>
        <v>30.865889142084956</v>
      </c>
      <c r="AM403" s="12" t="str">
        <f t="shared" si="83"/>
        <v/>
      </c>
      <c r="AN403" s="12" t="str">
        <f t="shared" si="84"/>
        <v/>
      </c>
      <c r="AO403" s="12">
        <f t="shared" si="85"/>
        <v>30.865889142084956</v>
      </c>
      <c r="AP403" s="12" t="str">
        <f t="shared" si="86"/>
        <v/>
      </c>
      <c r="AQ403" s="64">
        <v>2503</v>
      </c>
      <c r="AR403" t="s">
        <v>5932</v>
      </c>
      <c r="AS403" s="12">
        <f t="shared" si="87"/>
        <v>46.298833713127436</v>
      </c>
      <c r="AT403" s="16" t="str">
        <f t="shared" si="89"/>
        <v>Yes</v>
      </c>
    </row>
    <row r="404" spans="1:46" hidden="1" x14ac:dyDescent="0.25">
      <c r="A404" s="41">
        <f>CASOPOInvCL!T404</f>
        <v>1</v>
      </c>
      <c r="B404" t="str">
        <f>CASOPOInvCL!Z404</f>
        <v>SO16942</v>
      </c>
      <c r="G404" s="5" t="str">
        <f>CASOPOInvCL!I404</f>
        <v>Ian Trottier</v>
      </c>
      <c r="H404" s="31">
        <f>CASOPOInvCL!U404</f>
        <v>4</v>
      </c>
      <c r="I404" s="31">
        <f>CASOPOInvCL!V404</f>
        <v>2025</v>
      </c>
      <c r="J404" s="5" t="str">
        <f>CASOPOInvCL!AB404</f>
        <v>INV12884</v>
      </c>
      <c r="K404" s="31">
        <f>CASOPOInvCL!W404</f>
        <v>6</v>
      </c>
      <c r="L404" s="31">
        <f>CASOPOInvCL!X404</f>
        <v>2025</v>
      </c>
      <c r="M404" s="31"/>
      <c r="N404" s="5" t="str">
        <f>CASOPOInvCL!AF404</f>
        <v>PT Vale Indonesia Tbk.</v>
      </c>
      <c r="O404" s="16" t="str">
        <f>CASOPOInvCL!AG404</f>
        <v>USD</v>
      </c>
      <c r="P404" s="16">
        <f>CASOPOInvCL!AH404</f>
        <v>45.478218375028149</v>
      </c>
      <c r="Q404" s="16">
        <f>CASOPOInvCL!AI404</f>
        <v>31.97</v>
      </c>
      <c r="R404" s="32" t="str">
        <f>CASOPOInvCL!AU404</f>
        <v>Yes</v>
      </c>
      <c r="S404" s="16">
        <f>CASOPOInvCL!AV404</f>
        <v>0</v>
      </c>
      <c r="T404" s="16">
        <f>CASOPOInvCL!AW404</f>
        <v>31.97</v>
      </c>
      <c r="Y404" s="29" t="str">
        <f>IFERROR(HLOOKUP(U404,List!$D$2:$H$6,2,FALSE),"")</f>
        <v/>
      </c>
      <c r="Z404" s="29" t="str">
        <f>IFERROR(HLOOKUP(V404,List!$D$2:$H$6,3,FALSE),"")</f>
        <v/>
      </c>
      <c r="AA404" s="29" t="str">
        <f>IFERROR(HLOOKUP(W404,List!$D$2:$H$6,4,FALSE),"")</f>
        <v/>
      </c>
      <c r="AB404" s="29" t="str">
        <f>IFERROR(HLOOKUP(X404,List!$D$2:$H$6,5,FALSE),"")</f>
        <v/>
      </c>
      <c r="AC404" s="12" t="str">
        <f t="shared" si="79"/>
        <v/>
      </c>
      <c r="AD404" s="12" t="str">
        <f t="shared" si="80"/>
        <v/>
      </c>
      <c r="AE404" s="12" t="str">
        <f t="shared" si="81"/>
        <v/>
      </c>
      <c r="AF404" s="12" t="str">
        <f t="shared" si="82"/>
        <v/>
      </c>
      <c r="AG404" t="str">
        <f>VLOOKUP(J404,'Receivable Invoice Detail'!$A$1:F3416,6,FALSE)</f>
        <v>[G-735192] Deflector, 3196 MTX, Plastic</v>
      </c>
      <c r="AM404" s="12" t="str">
        <f t="shared" si="83"/>
        <v/>
      </c>
      <c r="AN404" s="12" t="str">
        <f t="shared" si="84"/>
        <v/>
      </c>
      <c r="AO404" s="12" t="str">
        <f t="shared" si="85"/>
        <v/>
      </c>
      <c r="AP404" s="12" t="str">
        <f t="shared" si="86"/>
        <v/>
      </c>
      <c r="AQ404" s="12"/>
      <c r="AS404" s="12">
        <f t="shared" si="87"/>
        <v>0.47954999999999998</v>
      </c>
      <c r="AT404" s="16" t="str">
        <f t="shared" si="89"/>
        <v>Yes</v>
      </c>
    </row>
    <row r="405" spans="1:46" hidden="1" x14ac:dyDescent="0.25">
      <c r="A405" s="41">
        <f>CASOPOInvCL!T405</f>
        <v>1</v>
      </c>
      <c r="B405" t="str">
        <f>CASOPOInvCL!Z405</f>
        <v>SO16947</v>
      </c>
      <c r="D405" t="s">
        <v>5925</v>
      </c>
      <c r="G405" s="5" t="str">
        <f>CASOPOInvCL!I405</f>
        <v>Ian Trottier</v>
      </c>
      <c r="H405" s="31">
        <f>CASOPOInvCL!U405</f>
        <v>4</v>
      </c>
      <c r="I405" s="31">
        <f>CASOPOInvCL!V405</f>
        <v>2025</v>
      </c>
      <c r="J405" s="5" t="str">
        <f>CASOPOInvCL!AB405</f>
        <v>INV13123</v>
      </c>
      <c r="K405" s="31">
        <f>CASOPOInvCL!W405</f>
        <v>8</v>
      </c>
      <c r="L405" s="31">
        <f>CASOPOInvCL!X405</f>
        <v>2025</v>
      </c>
      <c r="M405">
        <v>2503</v>
      </c>
      <c r="N405" s="5" t="str">
        <f>CASOPOInvCL!AF405</f>
        <v>Southeast Pump Specialist, Inc.</v>
      </c>
      <c r="O405" s="16" t="str">
        <f>CASOPOInvCL!AG405</f>
        <v>USD</v>
      </c>
      <c r="P405" s="16">
        <f>CASOPOInvCL!AH405</f>
        <v>2860.0682424951929</v>
      </c>
      <c r="Q405" s="16">
        <f>CASOPOInvCL!AI405</f>
        <v>2089.7800000000002</v>
      </c>
      <c r="R405" s="32" t="str">
        <f>CASOPOInvCL!AU405</f>
        <v>Yes</v>
      </c>
      <c r="S405" s="16">
        <f>CASOPOInvCL!AV405</f>
        <v>595</v>
      </c>
      <c r="T405" s="16">
        <f>CASOPOInvCL!AW405</f>
        <v>1494.7800000000002</v>
      </c>
      <c r="V405" t="s">
        <v>5800</v>
      </c>
      <c r="Y405" s="29" t="str">
        <f>IFERROR(HLOOKUP(U405,List!$D$2:$H$6,2,FALSE),"")</f>
        <v/>
      </c>
      <c r="Z405" s="29">
        <f>IFERROR(HLOOKUP(V405,List!$D$2:$H$6,3,FALSE),"")</f>
        <v>5.0000000000000001E-3</v>
      </c>
      <c r="AA405" s="29" t="str">
        <f>IFERROR(HLOOKUP(W405,List!$D$2:$H$6,4,FALSE),"")</f>
        <v/>
      </c>
      <c r="AB405" s="29" t="str">
        <f>IFERROR(HLOOKUP(X405,List!$D$2:$H$6,5,FALSE),"")</f>
        <v/>
      </c>
      <c r="AC405" s="12" t="str">
        <f t="shared" si="79"/>
        <v/>
      </c>
      <c r="AD405" s="12">
        <f t="shared" si="80"/>
        <v>7.4739000000000013</v>
      </c>
      <c r="AE405" s="12" t="str">
        <f t="shared" si="81"/>
        <v/>
      </c>
      <c r="AF405" s="12" t="str">
        <f t="shared" si="82"/>
        <v/>
      </c>
      <c r="AG405" t="str">
        <f>VLOOKUP(J405,'Receivable Invoice Detail'!$A$1:F3417,6,FALSE)</f>
        <v>[AC-98-431-849-001] Suction Side Casing, 3x3-10 SRL, Cast Iron</v>
      </c>
      <c r="AH405" s="12">
        <f t="shared" ref="AH405" si="92">SUM(AC405:AF405)</f>
        <v>7.4739000000000013</v>
      </c>
      <c r="AM405" s="12" t="str">
        <f t="shared" si="83"/>
        <v/>
      </c>
      <c r="AN405" s="12">
        <f t="shared" si="84"/>
        <v>7.4739000000000013</v>
      </c>
      <c r="AO405" s="12" t="str">
        <f t="shared" si="85"/>
        <v/>
      </c>
      <c r="AP405" s="12" t="str">
        <f t="shared" si="86"/>
        <v/>
      </c>
      <c r="AQ405" s="64">
        <v>2503</v>
      </c>
      <c r="AR405" t="s">
        <v>5932</v>
      </c>
      <c r="AS405" s="12">
        <f t="shared" si="87"/>
        <v>22.421700000000001</v>
      </c>
      <c r="AT405" s="16" t="str">
        <f t="shared" si="89"/>
        <v>Yes</v>
      </c>
    </row>
    <row r="406" spans="1:46" hidden="1" x14ac:dyDescent="0.25">
      <c r="A406" s="41">
        <f>CASOPOInvCL!T406</f>
        <v>2</v>
      </c>
      <c r="B406" t="str">
        <f>CASOPOInvCL!Z406</f>
        <v>SO16948</v>
      </c>
      <c r="G406" s="5" t="str">
        <f>CASOPOInvCL!I406</f>
        <v>Ian Trottier</v>
      </c>
      <c r="H406" s="31">
        <f>CASOPOInvCL!U406</f>
        <v>4</v>
      </c>
      <c r="I406" s="31">
        <f>CASOPOInvCL!V406</f>
        <v>2025</v>
      </c>
      <c r="J406" s="5" t="str">
        <f>CASOPOInvCL!AB406</f>
        <v>INV12913</v>
      </c>
      <c r="K406" s="31">
        <f>CASOPOInvCL!W406</f>
        <v>5</v>
      </c>
      <c r="L406" s="31">
        <f>CASOPOInvCL!X406</f>
        <v>2025</v>
      </c>
      <c r="M406" s="31"/>
      <c r="N406" s="5" t="str">
        <f>CASOPOInvCL!AF406</f>
        <v>Wajax Limited - Lachine</v>
      </c>
      <c r="O406" s="16" t="str">
        <f>CASOPOInvCL!AG406</f>
        <v>CAD</v>
      </c>
      <c r="P406" s="16">
        <f>CASOPOInvCL!AH406</f>
        <v>1196.32</v>
      </c>
      <c r="Q406" s="16">
        <f>CASOPOInvCL!AI406</f>
        <v>843.04749996481894</v>
      </c>
      <c r="R406" s="32" t="str">
        <f>CASOPOInvCL!AU406</f>
        <v>Yes</v>
      </c>
      <c r="S406" s="16">
        <f>CASOPOInvCL!AV406</f>
        <v>0</v>
      </c>
      <c r="T406" s="16">
        <f>CASOPOInvCL!AW406</f>
        <v>843.04749996481894</v>
      </c>
      <c r="Y406" s="29" t="str">
        <f>IFERROR(HLOOKUP(U406,List!$D$2:$H$6,2,FALSE),"")</f>
        <v/>
      </c>
      <c r="Z406" s="29" t="str">
        <f>IFERROR(HLOOKUP(V406,List!$D$2:$H$6,3,FALSE),"")</f>
        <v/>
      </c>
      <c r="AA406" s="29" t="str">
        <f>IFERROR(HLOOKUP(W406,List!$D$2:$H$6,4,FALSE),"")</f>
        <v/>
      </c>
      <c r="AB406" s="29" t="str">
        <f>IFERROR(HLOOKUP(X406,List!$D$2:$H$6,5,FALSE),"")</f>
        <v/>
      </c>
      <c r="AC406" s="12" t="str">
        <f t="shared" si="79"/>
        <v/>
      </c>
      <c r="AD406" s="12" t="str">
        <f t="shared" si="80"/>
        <v/>
      </c>
      <c r="AE406" s="12" t="str">
        <f t="shared" si="81"/>
        <v/>
      </c>
      <c r="AF406" s="12" t="str">
        <f t="shared" si="82"/>
        <v/>
      </c>
      <c r="AG406" t="str">
        <f>VLOOKUP(J406,'Receivable Invoice Detail'!$A$1:F3418,6,FALSE)</f>
        <v>[AC-98-233-979-003] Sleeve Washer (Impeller), 5x5/5x4/6x6 SRL &amp; SRL-C</v>
      </c>
      <c r="AM406" s="12" t="str">
        <f t="shared" si="83"/>
        <v/>
      </c>
      <c r="AN406" s="12" t="str">
        <f t="shared" si="84"/>
        <v/>
      </c>
      <c r="AO406" s="12" t="str">
        <f t="shared" si="85"/>
        <v/>
      </c>
      <c r="AP406" s="12" t="str">
        <f t="shared" si="86"/>
        <v/>
      </c>
      <c r="AQ406" s="12"/>
      <c r="AS406" s="12">
        <f t="shared" si="87"/>
        <v>12.645712499472284</v>
      </c>
      <c r="AT406" s="16" t="str">
        <f t="shared" si="89"/>
        <v>Yes</v>
      </c>
    </row>
    <row r="407" spans="1:46" hidden="1" x14ac:dyDescent="0.25">
      <c r="A407" s="41">
        <f>CASOPOInvCL!T407</f>
        <v>2</v>
      </c>
      <c r="B407" t="str">
        <f>CASOPOInvCL!Z407</f>
        <v>SO16948</v>
      </c>
      <c r="G407" s="5">
        <f>CASOPOInvCL!I407</f>
        <v>0</v>
      </c>
      <c r="H407" s="31">
        <f>CASOPOInvCL!U407</f>
        <v>4</v>
      </c>
      <c r="I407" s="31">
        <f>CASOPOInvCL!V407</f>
        <v>2025</v>
      </c>
      <c r="J407" s="5" t="str">
        <f>CASOPOInvCL!AB407</f>
        <v>INV12851</v>
      </c>
      <c r="K407" s="31">
        <f>CASOPOInvCL!W407</f>
        <v>5</v>
      </c>
      <c r="L407" s="31">
        <f>CASOPOInvCL!X407</f>
        <v>2025</v>
      </c>
      <c r="M407" s="31"/>
      <c r="N407" s="5" t="str">
        <f>CASOPOInvCL!AF407</f>
        <v>Wajax Limited - Lachine</v>
      </c>
      <c r="O407" s="16" t="str">
        <f>CASOPOInvCL!AG407</f>
        <v>CAD</v>
      </c>
      <c r="P407" s="16">
        <f>CASOPOInvCL!AH407</f>
        <v>0</v>
      </c>
      <c r="Q407" s="16">
        <f>CASOPOInvCL!AI407</f>
        <v>0</v>
      </c>
      <c r="R407" s="32" t="str">
        <f>CASOPOInvCL!AU407</f>
        <v/>
      </c>
      <c r="S407" s="16">
        <f>CASOPOInvCL!AV407</f>
        <v>0</v>
      </c>
      <c r="T407" s="16">
        <f>CASOPOInvCL!AW407</f>
        <v>0</v>
      </c>
      <c r="Y407" s="29" t="str">
        <f>IFERROR(HLOOKUP(U407,List!$D$2:$H$6,2,FALSE),"")</f>
        <v/>
      </c>
      <c r="Z407" s="29" t="str">
        <f>IFERROR(HLOOKUP(V407,List!$D$2:$H$6,3,FALSE),"")</f>
        <v/>
      </c>
      <c r="AA407" s="29" t="str">
        <f>IFERROR(HLOOKUP(W407,List!$D$2:$H$6,4,FALSE),"")</f>
        <v/>
      </c>
      <c r="AB407" s="29" t="str">
        <f>IFERROR(HLOOKUP(X407,List!$D$2:$H$6,5,FALSE),"")</f>
        <v/>
      </c>
      <c r="AC407" s="12" t="str">
        <f t="shared" si="79"/>
        <v/>
      </c>
      <c r="AD407" s="12" t="str">
        <f t="shared" si="80"/>
        <v/>
      </c>
      <c r="AE407" s="12" t="str">
        <f t="shared" si="81"/>
        <v/>
      </c>
      <c r="AF407" s="12" t="str">
        <f t="shared" si="82"/>
        <v/>
      </c>
      <c r="AG407" t="str">
        <f>VLOOKUP(J407,'Receivable Invoice Detail'!$A$1:F3419,6,FALSE)</f>
        <v>[AC-98-233-979-003] Sleeve Washer (Impeller), 5x5/5x4/6x6 SRL &amp; SRL-C</v>
      </c>
      <c r="AM407" s="12" t="str">
        <f t="shared" si="83"/>
        <v/>
      </c>
      <c r="AN407" s="12" t="str">
        <f t="shared" si="84"/>
        <v/>
      </c>
      <c r="AO407" s="12" t="str">
        <f t="shared" si="85"/>
        <v/>
      </c>
      <c r="AP407" s="12" t="str">
        <f t="shared" si="86"/>
        <v/>
      </c>
      <c r="AQ407" s="12"/>
      <c r="AS407" s="12">
        <f t="shared" si="87"/>
        <v>0</v>
      </c>
      <c r="AT407" s="16" t="str">
        <f t="shared" si="89"/>
        <v/>
      </c>
    </row>
    <row r="408" spans="1:46" hidden="1" x14ac:dyDescent="0.25">
      <c r="A408" s="41">
        <f>CASOPOInvCL!T408</f>
        <v>1</v>
      </c>
      <c r="B408" t="str">
        <f>CASOPOInvCL!Z408</f>
        <v>SO16949</v>
      </c>
      <c r="G408" s="5" t="str">
        <f>CASOPOInvCL!I408</f>
        <v>Ian Trottier</v>
      </c>
      <c r="H408" s="31">
        <f>CASOPOInvCL!U408</f>
        <v>4</v>
      </c>
      <c r="I408" s="31">
        <f>CASOPOInvCL!V408</f>
        <v>2025</v>
      </c>
      <c r="J408" s="5" t="str">
        <f>CASOPOInvCL!AB408</f>
        <v>INV12847</v>
      </c>
      <c r="K408" s="31">
        <f>CASOPOInvCL!W408</f>
        <v>5</v>
      </c>
      <c r="L408" s="31">
        <f>CASOPOInvCL!X408</f>
        <v>2025</v>
      </c>
      <c r="M408" s="31"/>
      <c r="N408" s="5" t="str">
        <f>CASOPOInvCL!AF408</f>
        <v>Glencore Canada Corporation - Rouyn-Noranda</v>
      </c>
      <c r="O408" s="16" t="str">
        <f>CASOPOInvCL!AG408</f>
        <v>CAD</v>
      </c>
      <c r="P408" s="16">
        <f>CASOPOInvCL!AH408</f>
        <v>1404.51</v>
      </c>
      <c r="Q408" s="16">
        <f>CASOPOInvCL!AI408</f>
        <v>989.75913148287032</v>
      </c>
      <c r="R408" s="32" t="str">
        <f>CASOPOInvCL!AU408</f>
        <v>Yes</v>
      </c>
      <c r="S408" s="16">
        <f>CASOPOInvCL!AV408</f>
        <v>0</v>
      </c>
      <c r="T408" s="16">
        <f>CASOPOInvCL!AW408</f>
        <v>989.75913148287032</v>
      </c>
      <c r="Y408" s="29" t="str">
        <f>IFERROR(HLOOKUP(U408,List!$D$2:$H$6,2,FALSE),"")</f>
        <v/>
      </c>
      <c r="Z408" s="29" t="str">
        <f>IFERROR(HLOOKUP(V408,List!$D$2:$H$6,3,FALSE),"")</f>
        <v/>
      </c>
      <c r="AA408" s="29" t="str">
        <f>IFERROR(HLOOKUP(W408,List!$D$2:$H$6,4,FALSE),"")</f>
        <v/>
      </c>
      <c r="AB408" s="29" t="str">
        <f>IFERROR(HLOOKUP(X408,List!$D$2:$H$6,5,FALSE),"")</f>
        <v/>
      </c>
      <c r="AC408" s="12" t="str">
        <f t="shared" si="79"/>
        <v/>
      </c>
      <c r="AD408" s="12" t="str">
        <f t="shared" si="80"/>
        <v/>
      </c>
      <c r="AE408" s="12" t="str">
        <f t="shared" si="81"/>
        <v/>
      </c>
      <c r="AF408" s="12" t="str">
        <f t="shared" si="82"/>
        <v/>
      </c>
      <c r="AG408" t="str">
        <f>VLOOKUP(J408,'Receivable Invoice Detail'!$A$1:F3420,6,FALSE)</f>
        <v>[AC-98-233-815-001] Half Seal Cage, 5x4/5x5/6x6 SRL &amp; SRL-C, Steel</v>
      </c>
      <c r="AM408" s="12" t="str">
        <f t="shared" si="83"/>
        <v/>
      </c>
      <c r="AN408" s="12" t="str">
        <f t="shared" si="84"/>
        <v/>
      </c>
      <c r="AO408" s="12" t="str">
        <f t="shared" si="85"/>
        <v/>
      </c>
      <c r="AP408" s="12" t="str">
        <f t="shared" si="86"/>
        <v/>
      </c>
      <c r="AQ408" s="12"/>
      <c r="AS408" s="12">
        <f t="shared" si="87"/>
        <v>14.846386972243055</v>
      </c>
      <c r="AT408" s="16" t="str">
        <f t="shared" si="89"/>
        <v>Yes</v>
      </c>
    </row>
    <row r="409" spans="1:46" hidden="1" x14ac:dyDescent="0.25">
      <c r="A409" s="41">
        <f>CASOPOInvCL!T409</f>
        <v>1</v>
      </c>
      <c r="B409" t="str">
        <f>CASOPOInvCL!Z409</f>
        <v>SO16951</v>
      </c>
      <c r="G409" s="5" t="str">
        <f>CASOPOInvCL!I409</f>
        <v>Ian Trottier</v>
      </c>
      <c r="H409" s="31">
        <f>CASOPOInvCL!U409</f>
        <v>4</v>
      </c>
      <c r="I409" s="31">
        <f>CASOPOInvCL!V409</f>
        <v>2025</v>
      </c>
      <c r="J409" s="5" t="str">
        <f>CASOPOInvCL!AB409</f>
        <v>INV12874</v>
      </c>
      <c r="K409" s="31">
        <f>CASOPOInvCL!W409</f>
        <v>6</v>
      </c>
      <c r="L409" s="31">
        <f>CASOPOInvCL!X409</f>
        <v>2025</v>
      </c>
      <c r="M409" s="31"/>
      <c r="N409" s="5" t="str">
        <f>CASOPOInvCL!AF409</f>
        <v>Resolute Forest Products - Clermont</v>
      </c>
      <c r="O409" s="16" t="str">
        <f>CASOPOInvCL!AG409</f>
        <v>CAD</v>
      </c>
      <c r="P409" s="16">
        <f>CASOPOInvCL!AH409</f>
        <v>26.73</v>
      </c>
      <c r="Q409" s="16">
        <f>CASOPOInvCL!AI409</f>
        <v>18.836648784655956</v>
      </c>
      <c r="R409" s="32" t="str">
        <f>CASOPOInvCL!AU409</f>
        <v>Yes</v>
      </c>
      <c r="S409" s="16">
        <f>CASOPOInvCL!AV409</f>
        <v>0</v>
      </c>
      <c r="T409" s="16">
        <f>CASOPOInvCL!AW409</f>
        <v>18.836648784655956</v>
      </c>
      <c r="Y409" s="29" t="str">
        <f>IFERROR(HLOOKUP(U409,List!$D$2:$H$6,2,FALSE),"")</f>
        <v/>
      </c>
      <c r="Z409" s="29" t="str">
        <f>IFERROR(HLOOKUP(V409,List!$D$2:$H$6,3,FALSE),"")</f>
        <v/>
      </c>
      <c r="AA409" s="29" t="str">
        <f>IFERROR(HLOOKUP(W409,List!$D$2:$H$6,4,FALSE),"")</f>
        <v/>
      </c>
      <c r="AB409" s="29" t="str">
        <f>IFERROR(HLOOKUP(X409,List!$D$2:$H$6,5,FALSE),"")</f>
        <v/>
      </c>
      <c r="AC409" s="12" t="str">
        <f t="shared" si="79"/>
        <v/>
      </c>
      <c r="AD409" s="12" t="str">
        <f t="shared" si="80"/>
        <v/>
      </c>
      <c r="AE409" s="12" t="str">
        <f t="shared" si="81"/>
        <v/>
      </c>
      <c r="AF409" s="12" t="str">
        <f t="shared" si="82"/>
        <v/>
      </c>
      <c r="AG409" t="str">
        <f>VLOOKUP(J409,'Receivable Invoice Detail'!$A$1:F3421,6,FALSE)</f>
        <v>[156 Teflon, G-C02495A998 6359] Shaft Sleeve O-Ring, 3175-L, Teflon</v>
      </c>
      <c r="AM409" s="12" t="str">
        <f t="shared" si="83"/>
        <v/>
      </c>
      <c r="AN409" s="12" t="str">
        <f t="shared" si="84"/>
        <v/>
      </c>
      <c r="AO409" s="12" t="str">
        <f t="shared" si="85"/>
        <v/>
      </c>
      <c r="AP409" s="12" t="str">
        <f t="shared" si="86"/>
        <v/>
      </c>
      <c r="AQ409" s="12"/>
      <c r="AS409" s="12">
        <f t="shared" si="87"/>
        <v>0.28254973176983933</v>
      </c>
      <c r="AT409" s="16" t="str">
        <f t="shared" si="89"/>
        <v>Yes</v>
      </c>
    </row>
    <row r="410" spans="1:46" hidden="1" x14ac:dyDescent="0.25">
      <c r="A410" s="41">
        <f>CASOPOInvCL!T410</f>
        <v>1</v>
      </c>
      <c r="B410" t="str">
        <f>CASOPOInvCL!Z410</f>
        <v>SO16952</v>
      </c>
      <c r="G410" s="5" t="str">
        <f>CASOPOInvCL!I410</f>
        <v>Ian Trottier</v>
      </c>
      <c r="H410" s="31">
        <f>CASOPOInvCL!U410</f>
        <v>4</v>
      </c>
      <c r="I410" s="31">
        <f>CASOPOInvCL!V410</f>
        <v>2025</v>
      </c>
      <c r="J410" s="5" t="str">
        <f>CASOPOInvCL!AB410</f>
        <v>INV12925</v>
      </c>
      <c r="K410" s="31">
        <f>CASOPOInvCL!W410</f>
        <v>6</v>
      </c>
      <c r="L410" s="31">
        <f>CASOPOInvCL!X410</f>
        <v>2025</v>
      </c>
      <c r="M410" s="31"/>
      <c r="N410" s="5" t="str">
        <f>CASOPOInvCL!AF410</f>
        <v>Wajax Limited - Noranda</v>
      </c>
      <c r="O410" s="16" t="str">
        <f>CASOPOInvCL!AG410</f>
        <v>CAD</v>
      </c>
      <c r="P410" s="16">
        <f>CASOPOInvCL!AH410</f>
        <v>3281.44</v>
      </c>
      <c r="Q410" s="16">
        <f>CASOPOInvCL!AI410</f>
        <v>2361.7851464607907</v>
      </c>
      <c r="R410" s="32" t="str">
        <f>CASOPOInvCL!AU410</f>
        <v>Yes</v>
      </c>
      <c r="S410" s="16">
        <f>CASOPOInvCL!AV410</f>
        <v>0</v>
      </c>
      <c r="T410" s="16">
        <f>CASOPOInvCL!AW410</f>
        <v>2361.7851464607907</v>
      </c>
      <c r="Y410" s="29" t="str">
        <f>IFERROR(HLOOKUP(U410,List!$D$2:$H$6,2,FALSE),"")</f>
        <v/>
      </c>
      <c r="Z410" s="29" t="str">
        <f>IFERROR(HLOOKUP(V410,List!$D$2:$H$6,3,FALSE),"")</f>
        <v/>
      </c>
      <c r="AA410" s="29" t="str">
        <f>IFERROR(HLOOKUP(W410,List!$D$2:$H$6,4,FALSE),"")</f>
        <v/>
      </c>
      <c r="AB410" s="29" t="str">
        <f>IFERROR(HLOOKUP(X410,List!$D$2:$H$6,5,FALSE),"")</f>
        <v/>
      </c>
      <c r="AC410" s="12" t="str">
        <f t="shared" si="79"/>
        <v/>
      </c>
      <c r="AD410" s="12" t="str">
        <f t="shared" si="80"/>
        <v/>
      </c>
      <c r="AE410" s="12" t="str">
        <f t="shared" si="81"/>
        <v/>
      </c>
      <c r="AF410" s="12" t="str">
        <f t="shared" si="82"/>
        <v/>
      </c>
      <c r="AG410" t="str">
        <f>VLOOKUP(J410,'Receivable Invoice Detail'!$A$1:F3422,6,FALSE)</f>
        <v>[AC-98-233-700-002] Bearing Cover Gasket (Inboard &amp; Outboard), 5x4/5x5/6x6 SRL &amp; SRL-C</v>
      </c>
      <c r="AM410" s="12" t="str">
        <f t="shared" si="83"/>
        <v/>
      </c>
      <c r="AN410" s="12" t="str">
        <f t="shared" si="84"/>
        <v/>
      </c>
      <c r="AO410" s="12" t="str">
        <f t="shared" si="85"/>
        <v/>
      </c>
      <c r="AP410" s="12" t="str">
        <f t="shared" si="86"/>
        <v/>
      </c>
      <c r="AQ410" s="12"/>
      <c r="AS410" s="12">
        <f t="shared" si="87"/>
        <v>35.426777196911857</v>
      </c>
      <c r="AT410" s="16" t="str">
        <f t="shared" si="89"/>
        <v>Yes</v>
      </c>
    </row>
    <row r="411" spans="1:46" hidden="1" x14ac:dyDescent="0.25">
      <c r="A411" s="41">
        <f>CASOPOInvCL!T411</f>
        <v>1</v>
      </c>
      <c r="B411" t="str">
        <f>CASOPOInvCL!Z411</f>
        <v>SO16953</v>
      </c>
      <c r="G411" s="5" t="str">
        <f>CASOPOInvCL!I411</f>
        <v>Yannett Yeomans</v>
      </c>
      <c r="H411" s="31">
        <f>CASOPOInvCL!U411</f>
        <v>4</v>
      </c>
      <c r="I411" s="31">
        <f>CASOPOInvCL!V411</f>
        <v>2025</v>
      </c>
      <c r="J411" s="5" t="str">
        <f>CASOPOInvCL!AB411</f>
        <v>INV13204</v>
      </c>
      <c r="K411" s="31" t="str">
        <f>CASOPOInvCL!W411</f>
        <v/>
      </c>
      <c r="L411" s="31" t="str">
        <f>CASOPOInvCL!X411</f>
        <v/>
      </c>
      <c r="M411" s="31"/>
      <c r="N411" s="5" t="str">
        <f>CASOPOInvCL!AF411</f>
        <v>Dynapro Pumps México S de RL de CV</v>
      </c>
      <c r="O411" s="16" t="str">
        <f>CASOPOInvCL!AG411</f>
        <v>USD</v>
      </c>
      <c r="P411" s="16">
        <f>CASOPOInvCL!AH411</f>
        <v>7382.9200302282179</v>
      </c>
      <c r="Q411" s="16">
        <f>CASOPOInvCL!AI411</f>
        <v>5190</v>
      </c>
      <c r="R411" s="32" t="str">
        <f>CASOPOInvCL!AU411</f>
        <v/>
      </c>
      <c r="S411" s="16">
        <f>CASOPOInvCL!AV411</f>
        <v>0</v>
      </c>
      <c r="T411" s="16">
        <f>CASOPOInvCL!AW411</f>
        <v>0</v>
      </c>
      <c r="Y411" s="29" t="str">
        <f>IFERROR(HLOOKUP(U411,List!$D$2:$H$6,2,FALSE),"")</f>
        <v/>
      </c>
      <c r="Z411" s="29" t="str">
        <f>IFERROR(HLOOKUP(V411,List!$D$2:$H$6,3,FALSE),"")</f>
        <v/>
      </c>
      <c r="AA411" s="29" t="str">
        <f>IFERROR(HLOOKUP(W411,List!$D$2:$H$6,4,FALSE),"")</f>
        <v/>
      </c>
      <c r="AB411" s="29" t="str">
        <f>IFERROR(HLOOKUP(X411,List!$D$2:$H$6,5,FALSE),"")</f>
        <v/>
      </c>
      <c r="AC411" s="12" t="str">
        <f t="shared" si="79"/>
        <v/>
      </c>
      <c r="AD411" s="12" t="str">
        <f t="shared" si="80"/>
        <v/>
      </c>
      <c r="AE411" s="12" t="str">
        <f t="shared" si="81"/>
        <v/>
      </c>
      <c r="AF411" s="12" t="str">
        <f t="shared" si="82"/>
        <v/>
      </c>
      <c r="AG411" t="str">
        <f>VLOOKUP(J411,'Receivable Invoice Detail'!$A$1:F3423,6,FALSE)</f>
        <v>[10374/0505] Lineshaft, 316SS, 45MM, 12RJHC-8</v>
      </c>
      <c r="AM411" s="12" t="str">
        <f t="shared" si="83"/>
        <v/>
      </c>
      <c r="AN411" s="12" t="str">
        <f t="shared" si="84"/>
        <v/>
      </c>
      <c r="AO411" s="12" t="str">
        <f t="shared" si="85"/>
        <v/>
      </c>
      <c r="AP411" s="12" t="str">
        <f t="shared" si="86"/>
        <v/>
      </c>
      <c r="AQ411" s="12"/>
      <c r="AR411" s="16" t="s">
        <v>5940</v>
      </c>
      <c r="AS411" s="12">
        <f t="shared" si="87"/>
        <v>0</v>
      </c>
      <c r="AT411" s="16" t="s">
        <v>5940</v>
      </c>
    </row>
    <row r="412" spans="1:46" hidden="1" x14ac:dyDescent="0.25">
      <c r="A412" s="41">
        <f>CASOPOInvCL!T412</f>
        <v>3</v>
      </c>
      <c r="B412" t="str">
        <f>CASOPOInvCL!Z412</f>
        <v>SO16957</v>
      </c>
      <c r="G412" s="5" t="str">
        <f>CASOPOInvCL!I412</f>
        <v>Ian Trottier</v>
      </c>
      <c r="H412" s="31">
        <f>CASOPOInvCL!U412</f>
        <v>4</v>
      </c>
      <c r="I412" s="31">
        <f>CASOPOInvCL!V412</f>
        <v>2025</v>
      </c>
      <c r="J412" s="5" t="str">
        <f>CASOPOInvCL!AB412</f>
        <v>INV12902</v>
      </c>
      <c r="K412" s="31">
        <f>CASOPOInvCL!W412</f>
        <v>5</v>
      </c>
      <c r="L412" s="31">
        <f>CASOPOInvCL!X412</f>
        <v>2025</v>
      </c>
      <c r="M412" s="31"/>
      <c r="N412" s="5" t="str">
        <f>CASOPOInvCL!AF412</f>
        <v>Sling-Choker Manufacturing - Timmins</v>
      </c>
      <c r="O412" s="16" t="str">
        <f>CASOPOInvCL!AG412</f>
        <v>CAD</v>
      </c>
      <c r="P412" s="16">
        <f>CASOPOInvCL!AH412</f>
        <v>5196.1499999999996</v>
      </c>
      <c r="Q412" s="16">
        <f>CASOPOInvCL!AI412</f>
        <v>3739.8794092783164</v>
      </c>
      <c r="R412" s="32" t="str">
        <f>CASOPOInvCL!AU412</f>
        <v>Yes</v>
      </c>
      <c r="S412" s="16">
        <f>CASOPOInvCL!AV412</f>
        <v>0</v>
      </c>
      <c r="T412" s="16">
        <f>CASOPOInvCL!AW412</f>
        <v>3739.8794092783164</v>
      </c>
      <c r="Y412" s="29" t="str">
        <f>IFERROR(HLOOKUP(U412,List!$D$2:$H$6,2,FALSE),"")</f>
        <v/>
      </c>
      <c r="Z412" s="29" t="str">
        <f>IFERROR(HLOOKUP(V412,List!$D$2:$H$6,3,FALSE),"")</f>
        <v/>
      </c>
      <c r="AA412" s="29" t="str">
        <f>IFERROR(HLOOKUP(W412,List!$D$2:$H$6,4,FALSE),"")</f>
        <v/>
      </c>
      <c r="AB412" s="29" t="str">
        <f>IFERROR(HLOOKUP(X412,List!$D$2:$H$6,5,FALSE),"")</f>
        <v/>
      </c>
      <c r="AC412" s="12" t="str">
        <f t="shared" si="79"/>
        <v/>
      </c>
      <c r="AD412" s="12" t="str">
        <f t="shared" si="80"/>
        <v/>
      </c>
      <c r="AE412" s="12" t="str">
        <f t="shared" si="81"/>
        <v/>
      </c>
      <c r="AF412" s="12" t="str">
        <f t="shared" si="82"/>
        <v/>
      </c>
      <c r="AG412" t="str">
        <f>VLOOKUP(J412,'Receivable Invoice Detail'!$A$1:F3424,6,FALSE)</f>
        <v>[AC-98-432-133-501] Shaft Assembly, 12x10-25 SRL-C, 1045 Steel</v>
      </c>
      <c r="AM412" s="12" t="str">
        <f t="shared" si="83"/>
        <v/>
      </c>
      <c r="AN412" s="12" t="str">
        <f t="shared" si="84"/>
        <v/>
      </c>
      <c r="AO412" s="12" t="str">
        <f t="shared" si="85"/>
        <v/>
      </c>
      <c r="AP412" s="12" t="str">
        <f t="shared" si="86"/>
        <v/>
      </c>
      <c r="AQ412" s="12"/>
      <c r="AS412" s="12">
        <f t="shared" si="87"/>
        <v>56.098191139174745</v>
      </c>
      <c r="AT412" s="16" t="str">
        <f t="shared" si="89"/>
        <v>Yes</v>
      </c>
    </row>
    <row r="413" spans="1:46" hidden="1" x14ac:dyDescent="0.25">
      <c r="A413" s="41">
        <f>CASOPOInvCL!T413</f>
        <v>3</v>
      </c>
      <c r="B413" t="str">
        <f>CASOPOInvCL!Z413</f>
        <v>SO16957</v>
      </c>
      <c r="G413" s="5">
        <f>CASOPOInvCL!I413</f>
        <v>0</v>
      </c>
      <c r="H413" s="31">
        <f>CASOPOInvCL!U413</f>
        <v>4</v>
      </c>
      <c r="I413" s="31">
        <f>CASOPOInvCL!V413</f>
        <v>2025</v>
      </c>
      <c r="J413" s="5" t="str">
        <f>CASOPOInvCL!AB413</f>
        <v>INV12973</v>
      </c>
      <c r="K413" s="31" t="str">
        <f>CASOPOInvCL!W413</f>
        <v/>
      </c>
      <c r="L413" s="31" t="str">
        <f>CASOPOInvCL!X413</f>
        <v/>
      </c>
      <c r="M413" s="31"/>
      <c r="N413" s="5" t="str">
        <f>CASOPOInvCL!AF413</f>
        <v>Sling-Choker Manufacturing - Timmins</v>
      </c>
      <c r="O413" s="16" t="str">
        <f>CASOPOInvCL!AG413</f>
        <v>CAD</v>
      </c>
      <c r="P413" s="16">
        <f>CASOPOInvCL!AH413</f>
        <v>0</v>
      </c>
      <c r="Q413" s="16">
        <f>CASOPOInvCL!AI413</f>
        <v>0</v>
      </c>
      <c r="R413" s="32" t="str">
        <f>CASOPOInvCL!AU413</f>
        <v/>
      </c>
      <c r="S413" s="16">
        <f>CASOPOInvCL!AV413</f>
        <v>0</v>
      </c>
      <c r="T413" s="16">
        <f>CASOPOInvCL!AW413</f>
        <v>0</v>
      </c>
      <c r="Y413" s="29" t="str">
        <f>IFERROR(HLOOKUP(U413,List!$D$2:$H$6,2,FALSE),"")</f>
        <v/>
      </c>
      <c r="Z413" s="29" t="str">
        <f>IFERROR(HLOOKUP(V413,List!$D$2:$H$6,3,FALSE),"")</f>
        <v/>
      </c>
      <c r="AA413" s="29" t="str">
        <f>IFERROR(HLOOKUP(W413,List!$D$2:$H$6,4,FALSE),"")</f>
        <v/>
      </c>
      <c r="AB413" s="29" t="str">
        <f>IFERROR(HLOOKUP(X413,List!$D$2:$H$6,5,FALSE),"")</f>
        <v/>
      </c>
      <c r="AC413" s="12" t="str">
        <f t="shared" si="79"/>
        <v/>
      </c>
      <c r="AD413" s="12" t="str">
        <f t="shared" si="80"/>
        <v/>
      </c>
      <c r="AE413" s="12" t="str">
        <f t="shared" si="81"/>
        <v/>
      </c>
      <c r="AF413" s="12" t="str">
        <f t="shared" si="82"/>
        <v/>
      </c>
      <c r="AG413" t="str">
        <f>VLOOKUP(J413,'Receivable Invoice Detail'!$A$1:F3425,6,FALSE)</f>
        <v>[AC-98-236-570-001] Sleeve Washer (Impeller), 16x14-34 SRL-C</v>
      </c>
      <c r="AM413" s="12" t="str">
        <f t="shared" si="83"/>
        <v/>
      </c>
      <c r="AN413" s="12" t="str">
        <f t="shared" si="84"/>
        <v/>
      </c>
      <c r="AO413" s="12" t="str">
        <f t="shared" si="85"/>
        <v/>
      </c>
      <c r="AP413" s="12" t="str">
        <f t="shared" si="86"/>
        <v/>
      </c>
      <c r="AQ413" s="12"/>
      <c r="AS413" s="12">
        <f t="shared" si="87"/>
        <v>0</v>
      </c>
      <c r="AT413" s="16" t="str">
        <f t="shared" si="89"/>
        <v/>
      </c>
    </row>
    <row r="414" spans="1:46" hidden="1" x14ac:dyDescent="0.25">
      <c r="A414" s="41">
        <f>CASOPOInvCL!T414</f>
        <v>3</v>
      </c>
      <c r="B414" t="str">
        <f>CASOPOInvCL!Z414</f>
        <v>SO16957</v>
      </c>
      <c r="G414" s="5">
        <f>CASOPOInvCL!I414</f>
        <v>0</v>
      </c>
      <c r="H414" s="31">
        <f>CASOPOInvCL!U414</f>
        <v>4</v>
      </c>
      <c r="I414" s="31">
        <f>CASOPOInvCL!V414</f>
        <v>2025</v>
      </c>
      <c r="J414" s="5" t="str">
        <f>CASOPOInvCL!AB414</f>
        <v>INV13008</v>
      </c>
      <c r="K414" s="31">
        <f>CASOPOInvCL!W414</f>
        <v>6</v>
      </c>
      <c r="L414" s="31">
        <f>CASOPOInvCL!X414</f>
        <v>2025</v>
      </c>
      <c r="M414" s="31"/>
      <c r="N414" s="5" t="str">
        <f>CASOPOInvCL!AF414</f>
        <v>Sling-Choker Manufacturing - Timmins</v>
      </c>
      <c r="O414" s="16" t="str">
        <f>CASOPOInvCL!AG414</f>
        <v>CAD</v>
      </c>
      <c r="P414" s="16">
        <f>CASOPOInvCL!AH414</f>
        <v>0</v>
      </c>
      <c r="Q414" s="16">
        <f>CASOPOInvCL!AI414</f>
        <v>0</v>
      </c>
      <c r="R414" s="32" t="str">
        <f>CASOPOInvCL!AU414</f>
        <v/>
      </c>
      <c r="S414" s="16">
        <f>CASOPOInvCL!AV414</f>
        <v>0</v>
      </c>
      <c r="T414" s="16">
        <f>CASOPOInvCL!AW414</f>
        <v>0</v>
      </c>
      <c r="Y414" s="29" t="str">
        <f>IFERROR(HLOOKUP(U414,List!$D$2:$H$6,2,FALSE),"")</f>
        <v/>
      </c>
      <c r="Z414" s="29" t="str">
        <f>IFERROR(HLOOKUP(V414,List!$D$2:$H$6,3,FALSE),"")</f>
        <v/>
      </c>
      <c r="AA414" s="29" t="str">
        <f>IFERROR(HLOOKUP(W414,List!$D$2:$H$6,4,FALSE),"")</f>
        <v/>
      </c>
      <c r="AB414" s="29" t="str">
        <f>IFERROR(HLOOKUP(X414,List!$D$2:$H$6,5,FALSE),"")</f>
        <v/>
      </c>
      <c r="AC414" s="12" t="str">
        <f t="shared" si="79"/>
        <v/>
      </c>
      <c r="AD414" s="12" t="str">
        <f t="shared" si="80"/>
        <v/>
      </c>
      <c r="AE414" s="12" t="str">
        <f t="shared" si="81"/>
        <v/>
      </c>
      <c r="AF414" s="12" t="str">
        <f t="shared" si="82"/>
        <v/>
      </c>
      <c r="AG414" t="str">
        <f>VLOOKUP(J414,'Receivable Invoice Detail'!$A$1:F3426,6,FALSE)</f>
        <v>[AC-98-236-570-001] Sleeve Washer (Impeller), 16x14-34 SRL-C</v>
      </c>
      <c r="AM414" s="12" t="str">
        <f t="shared" si="83"/>
        <v/>
      </c>
      <c r="AN414" s="12" t="str">
        <f t="shared" si="84"/>
        <v/>
      </c>
      <c r="AO414" s="12" t="str">
        <f t="shared" si="85"/>
        <v/>
      </c>
      <c r="AP414" s="12" t="str">
        <f t="shared" si="86"/>
        <v/>
      </c>
      <c r="AQ414" s="12"/>
      <c r="AS414" s="12">
        <f t="shared" si="87"/>
        <v>0</v>
      </c>
      <c r="AT414" s="16" t="str">
        <f t="shared" si="89"/>
        <v/>
      </c>
    </row>
    <row r="415" spans="1:46" hidden="1" x14ac:dyDescent="0.25">
      <c r="A415" s="41">
        <f>CASOPOInvCL!T415</f>
        <v>1</v>
      </c>
      <c r="B415" t="str">
        <f>CASOPOInvCL!Z415</f>
        <v>SO16958</v>
      </c>
      <c r="D415" t="s">
        <v>5925</v>
      </c>
      <c r="G415" s="5" t="str">
        <f>CASOPOInvCL!I415</f>
        <v>Ian Trottier</v>
      </c>
      <c r="H415" s="31">
        <f>CASOPOInvCL!U415</f>
        <v>4</v>
      </c>
      <c r="I415" s="31">
        <f>CASOPOInvCL!V415</f>
        <v>2025</v>
      </c>
      <c r="J415" s="5" t="str">
        <f>CASOPOInvCL!AB415</f>
        <v>INV12999</v>
      </c>
      <c r="K415" s="31">
        <f>CASOPOInvCL!W415</f>
        <v>7</v>
      </c>
      <c r="L415" s="31">
        <f>CASOPOInvCL!X415</f>
        <v>2025</v>
      </c>
      <c r="M415">
        <v>2503</v>
      </c>
      <c r="N415" s="5" t="str">
        <f>CASOPOInvCL!AF415</f>
        <v>Tech-Flow</v>
      </c>
      <c r="O415" s="16" t="str">
        <f>CASOPOInvCL!AG415</f>
        <v>USD</v>
      </c>
      <c r="P415" s="16">
        <f>CASOPOInvCL!AH415</f>
        <v>319.35276609093216</v>
      </c>
      <c r="Q415" s="16">
        <f>CASOPOInvCL!AI415</f>
        <v>230.24</v>
      </c>
      <c r="R415" s="32" t="str">
        <f>CASOPOInvCL!AU415</f>
        <v>Yes</v>
      </c>
      <c r="S415" s="16">
        <f>CASOPOInvCL!AV415</f>
        <v>0</v>
      </c>
      <c r="T415" s="16">
        <f>CASOPOInvCL!AW415</f>
        <v>230.24</v>
      </c>
      <c r="V415" t="s">
        <v>5800</v>
      </c>
      <c r="Y415" s="29" t="str">
        <f>IFERROR(HLOOKUP(U415,List!$D$2:$H$6,2,FALSE),"")</f>
        <v/>
      </c>
      <c r="Z415" s="29">
        <f>IFERROR(HLOOKUP(V415,List!$D$2:$H$6,3,FALSE),"")</f>
        <v>5.0000000000000001E-3</v>
      </c>
      <c r="AA415" s="29" t="str">
        <f>IFERROR(HLOOKUP(W415,List!$D$2:$H$6,4,FALSE),"")</f>
        <v/>
      </c>
      <c r="AB415" s="29" t="str">
        <f>IFERROR(HLOOKUP(X415,List!$D$2:$H$6,5,FALSE),"")</f>
        <v/>
      </c>
      <c r="AC415" s="12" t="str">
        <f t="shared" si="79"/>
        <v/>
      </c>
      <c r="AD415" s="12">
        <f t="shared" si="80"/>
        <v>1.1512</v>
      </c>
      <c r="AE415" s="12" t="str">
        <f t="shared" si="81"/>
        <v/>
      </c>
      <c r="AF415" s="12" t="str">
        <f t="shared" si="82"/>
        <v/>
      </c>
      <c r="AG415" t="str">
        <f>VLOOKUP(J415,'Receivable Invoice Detail'!$A$1:F3427,6,FALSE)</f>
        <v>[SA-100201-1] Stud 5/8 UNC X 3-1/4 GR 5</v>
      </c>
      <c r="AH415" s="12">
        <f t="shared" ref="AH415" si="93">SUM(AC415:AF415)</f>
        <v>1.1512</v>
      </c>
      <c r="AM415" s="12" t="str">
        <f t="shared" si="83"/>
        <v/>
      </c>
      <c r="AN415" s="12">
        <f t="shared" si="84"/>
        <v>1.1512</v>
      </c>
      <c r="AO415" s="12" t="str">
        <f t="shared" si="85"/>
        <v/>
      </c>
      <c r="AP415" s="12" t="str">
        <f t="shared" si="86"/>
        <v/>
      </c>
      <c r="AQ415" s="64">
        <v>2503</v>
      </c>
      <c r="AR415" t="s">
        <v>5932</v>
      </c>
      <c r="AS415" s="12">
        <f t="shared" si="87"/>
        <v>3.4536000000000002</v>
      </c>
      <c r="AT415" s="16" t="str">
        <f t="shared" si="89"/>
        <v>Yes</v>
      </c>
    </row>
    <row r="416" spans="1:46" hidden="1" x14ac:dyDescent="0.25">
      <c r="A416" s="41">
        <f>CASOPOInvCL!T416</f>
        <v>1</v>
      </c>
      <c r="B416" t="str">
        <f>CASOPOInvCL!Z416</f>
        <v>SO16962</v>
      </c>
      <c r="G416" s="5" t="str">
        <f>CASOPOInvCL!I416</f>
        <v>Ian Trottier</v>
      </c>
      <c r="H416" s="31">
        <f>CASOPOInvCL!U416</f>
        <v>4</v>
      </c>
      <c r="I416" s="31">
        <f>CASOPOInvCL!V416</f>
        <v>2025</v>
      </c>
      <c r="J416" s="5" t="str">
        <f>CASOPOInvCL!AB416</f>
        <v>INV12861</v>
      </c>
      <c r="K416" s="31">
        <f>CASOPOInvCL!W416</f>
        <v>5</v>
      </c>
      <c r="L416" s="31">
        <f>CASOPOInvCL!X416</f>
        <v>2025</v>
      </c>
      <c r="M416" s="31"/>
      <c r="N416" s="5" t="str">
        <f>CASOPOInvCL!AF416</f>
        <v>Motion Industries Inc. (Canada) - Calgary</v>
      </c>
      <c r="O416" s="16" t="str">
        <f>CASOPOInvCL!AG416</f>
        <v>CAD</v>
      </c>
      <c r="P416" s="16">
        <f>CASOPOInvCL!AH416</f>
        <v>146.22</v>
      </c>
      <c r="Q416" s="16">
        <f>CASOPOInvCL!AI416</f>
        <v>104.36463081715209</v>
      </c>
      <c r="R416" s="32" t="str">
        <f>CASOPOInvCL!AU416</f>
        <v>Yes</v>
      </c>
      <c r="S416" s="16">
        <f>CASOPOInvCL!AV416</f>
        <v>0</v>
      </c>
      <c r="T416" s="16">
        <f>CASOPOInvCL!AW416</f>
        <v>104.36463081715209</v>
      </c>
      <c r="Y416" s="29" t="str">
        <f>IFERROR(HLOOKUP(U416,List!$D$2:$H$6,2,FALSE),"")</f>
        <v/>
      </c>
      <c r="Z416" s="29" t="str">
        <f>IFERROR(HLOOKUP(V416,List!$D$2:$H$6,3,FALSE),"")</f>
        <v/>
      </c>
      <c r="AA416" s="29" t="str">
        <f>IFERROR(HLOOKUP(W416,List!$D$2:$H$6,4,FALSE),"")</f>
        <v/>
      </c>
      <c r="AB416" s="29" t="str">
        <f>IFERROR(HLOOKUP(X416,List!$D$2:$H$6,5,FALSE),"")</f>
        <v/>
      </c>
      <c r="AC416" s="12" t="str">
        <f t="shared" si="79"/>
        <v/>
      </c>
      <c r="AD416" s="12" t="str">
        <f t="shared" si="80"/>
        <v/>
      </c>
      <c r="AE416" s="12" t="str">
        <f t="shared" si="81"/>
        <v/>
      </c>
      <c r="AF416" s="12" t="str">
        <f t="shared" si="82"/>
        <v/>
      </c>
      <c r="AG416" t="str">
        <f>VLOOKUP(J416,'Receivable Invoice Detail'!$A$1:F3428,6,FALSE)</f>
        <v>[WO-9070000-012] Casing Gasket, 18", Worthington FRBH</v>
      </c>
      <c r="AM416" s="12" t="str">
        <f t="shared" si="83"/>
        <v/>
      </c>
      <c r="AN416" s="12" t="str">
        <f t="shared" si="84"/>
        <v/>
      </c>
      <c r="AO416" s="12" t="str">
        <f t="shared" si="85"/>
        <v/>
      </c>
      <c r="AP416" s="12" t="str">
        <f t="shared" si="86"/>
        <v/>
      </c>
      <c r="AQ416" s="12"/>
      <c r="AS416" s="12">
        <f t="shared" si="87"/>
        <v>1.5654694622572813</v>
      </c>
      <c r="AT416" s="16" t="str">
        <f t="shared" si="89"/>
        <v>Yes</v>
      </c>
    </row>
    <row r="417" spans="1:46" hidden="1" x14ac:dyDescent="0.25">
      <c r="A417" s="41">
        <f>CASOPOInvCL!T417</f>
        <v>1</v>
      </c>
      <c r="B417" t="str">
        <f>CASOPOInvCL!Z417</f>
        <v>SO16963</v>
      </c>
      <c r="G417" s="5" t="str">
        <f>CASOPOInvCL!I417</f>
        <v>Ian Trottier</v>
      </c>
      <c r="H417" s="31">
        <f>CASOPOInvCL!U417</f>
        <v>4</v>
      </c>
      <c r="I417" s="31">
        <f>CASOPOInvCL!V417</f>
        <v>2025</v>
      </c>
      <c r="J417" s="5" t="str">
        <f>CASOPOInvCL!AB417</f>
        <v>INV12868</v>
      </c>
      <c r="K417" s="31">
        <f>CASOPOInvCL!W417</f>
        <v>5</v>
      </c>
      <c r="L417" s="31">
        <f>CASOPOInvCL!X417</f>
        <v>2025</v>
      </c>
      <c r="M417" s="31"/>
      <c r="N417" s="5" t="str">
        <f>CASOPOInvCL!AF417</f>
        <v>Wajax Limited - Lachine</v>
      </c>
      <c r="O417" s="16" t="str">
        <f>CASOPOInvCL!AG417</f>
        <v>CAD</v>
      </c>
      <c r="P417" s="16">
        <f>CASOPOInvCL!AH417</f>
        <v>798.97</v>
      </c>
      <c r="Q417" s="16">
        <f>CASOPOInvCL!AI417</f>
        <v>570.26541570222935</v>
      </c>
      <c r="R417" s="32" t="str">
        <f>CASOPOInvCL!AU417</f>
        <v>Yes</v>
      </c>
      <c r="S417" s="16">
        <f>CASOPOInvCL!AV417</f>
        <v>0</v>
      </c>
      <c r="T417" s="16">
        <f>CASOPOInvCL!AW417</f>
        <v>570.26541570222935</v>
      </c>
      <c r="Y417" s="29" t="str">
        <f>IFERROR(HLOOKUP(U417,List!$D$2:$H$6,2,FALSE),"")</f>
        <v/>
      </c>
      <c r="Z417" s="29" t="str">
        <f>IFERROR(HLOOKUP(V417,List!$D$2:$H$6,3,FALSE),"")</f>
        <v/>
      </c>
      <c r="AA417" s="29" t="str">
        <f>IFERROR(HLOOKUP(W417,List!$D$2:$H$6,4,FALSE),"")</f>
        <v/>
      </c>
      <c r="AB417" s="29" t="str">
        <f>IFERROR(HLOOKUP(X417,List!$D$2:$H$6,5,FALSE),"")</f>
        <v/>
      </c>
      <c r="AC417" s="12" t="str">
        <f t="shared" si="79"/>
        <v/>
      </c>
      <c r="AD417" s="12" t="str">
        <f t="shared" si="80"/>
        <v/>
      </c>
      <c r="AE417" s="12" t="str">
        <f t="shared" si="81"/>
        <v/>
      </c>
      <c r="AF417" s="12" t="str">
        <f t="shared" si="82"/>
        <v/>
      </c>
      <c r="AG417" t="str">
        <f>VLOOKUP(J417,'Receivable Invoice Detail'!$A$1:F3429,6,FALSE)</f>
        <v>[W-S239M/C21] Release Collar Assembly, 10/8 to 14/12 ST-AH, 420SS, Metric</v>
      </c>
      <c r="AM417" s="12" t="str">
        <f t="shared" si="83"/>
        <v/>
      </c>
      <c r="AN417" s="12" t="str">
        <f t="shared" si="84"/>
        <v/>
      </c>
      <c r="AO417" s="12" t="str">
        <f t="shared" si="85"/>
        <v/>
      </c>
      <c r="AP417" s="12" t="str">
        <f t="shared" si="86"/>
        <v/>
      </c>
      <c r="AQ417" s="12"/>
      <c r="AS417" s="12">
        <f t="shared" si="87"/>
        <v>8.5539812355334401</v>
      </c>
      <c r="AT417" s="16" t="str">
        <f t="shared" si="89"/>
        <v>Yes</v>
      </c>
    </row>
    <row r="418" spans="1:46" hidden="1" x14ac:dyDescent="0.25">
      <c r="A418" s="41">
        <f>CASOPOInvCL!T418</f>
        <v>1</v>
      </c>
      <c r="B418" t="str">
        <f>CASOPOInvCL!Z418</f>
        <v>SO16964</v>
      </c>
      <c r="E418" t="s">
        <v>5925</v>
      </c>
      <c r="G418" s="5" t="str">
        <f>CASOPOInvCL!I418</f>
        <v>Ian Trottier</v>
      </c>
      <c r="H418" s="31">
        <f>CASOPOInvCL!U418</f>
        <v>4</v>
      </c>
      <c r="I418" s="31">
        <f>CASOPOInvCL!V418</f>
        <v>2025</v>
      </c>
      <c r="J418" s="5" t="str">
        <f>CASOPOInvCL!AB418</f>
        <v>INV13001</v>
      </c>
      <c r="K418" s="31">
        <f>CASOPOInvCL!W418</f>
        <v>7</v>
      </c>
      <c r="L418" s="31">
        <f>CASOPOInvCL!X418</f>
        <v>2025</v>
      </c>
      <c r="M418">
        <v>2503</v>
      </c>
      <c r="N418" s="5" t="str">
        <f>CASOPOInvCL!AF418</f>
        <v>Tech-Flow</v>
      </c>
      <c r="O418" s="16" t="str">
        <f>CASOPOInvCL!AG418</f>
        <v>USD</v>
      </c>
      <c r="P418" s="16">
        <f>CASOPOInvCL!AH418</f>
        <v>7867.7558519108898</v>
      </c>
      <c r="Q418" s="16">
        <f>CASOPOInvCL!AI418</f>
        <v>5539.86</v>
      </c>
      <c r="R418" s="32" t="str">
        <f>CASOPOInvCL!AU418</f>
        <v>Yes</v>
      </c>
      <c r="S418" s="16">
        <f>CASOPOInvCL!AV418</f>
        <v>0</v>
      </c>
      <c r="T418" s="16">
        <f>CASOPOInvCL!AW418</f>
        <v>5539.86</v>
      </c>
      <c r="W418" t="s">
        <v>5800</v>
      </c>
      <c r="Y418" s="29" t="str">
        <f>IFERROR(HLOOKUP(U418,List!$D$2:$H$6,2,FALSE),"")</f>
        <v/>
      </c>
      <c r="Z418" s="29" t="str">
        <f>IFERROR(HLOOKUP(V418,List!$D$2:$H$6,3,FALSE),"")</f>
        <v/>
      </c>
      <c r="AA418" s="29">
        <f>IFERROR(HLOOKUP(W418,List!$D$2:$H$6,4,FALSE),"")</f>
        <v>0.01</v>
      </c>
      <c r="AB418" s="29" t="str">
        <f>IFERROR(HLOOKUP(X418,List!$D$2:$H$6,5,FALSE),"")</f>
        <v/>
      </c>
      <c r="AC418" s="12" t="str">
        <f t="shared" si="79"/>
        <v/>
      </c>
      <c r="AD418" s="12" t="str">
        <f t="shared" si="80"/>
        <v/>
      </c>
      <c r="AE418" s="12">
        <f t="shared" si="81"/>
        <v>55.398599999999995</v>
      </c>
      <c r="AF418" s="12" t="str">
        <f t="shared" si="82"/>
        <v/>
      </c>
      <c r="AG418" t="str">
        <f>VLOOKUP(J418,'Receivable Invoice Detail'!$A$1:F3430,6,FALSE)</f>
        <v>[SA-13168-M1] Bearing Cylinder Assembly, Sala STHM 22WFR, 1045 Steel Shaft</v>
      </c>
      <c r="AH418" s="12">
        <f t="shared" ref="AH418" si="94">SUM(AC418:AF418)</f>
        <v>55.398599999999995</v>
      </c>
      <c r="AM418" s="12" t="str">
        <f t="shared" si="83"/>
        <v/>
      </c>
      <c r="AN418" s="12" t="str">
        <f t="shared" si="84"/>
        <v/>
      </c>
      <c r="AO418" s="12">
        <f t="shared" si="85"/>
        <v>55.398599999999995</v>
      </c>
      <c r="AP418" s="12" t="str">
        <f t="shared" si="86"/>
        <v/>
      </c>
      <c r="AQ418" s="64">
        <v>2503</v>
      </c>
      <c r="AR418" t="s">
        <v>5932</v>
      </c>
      <c r="AS418" s="12">
        <f t="shared" si="87"/>
        <v>83.097899999999996</v>
      </c>
      <c r="AT418" s="16" t="str">
        <f t="shared" si="89"/>
        <v>Yes</v>
      </c>
    </row>
    <row r="419" spans="1:46" hidden="1" x14ac:dyDescent="0.25">
      <c r="A419" s="41">
        <f>CASOPOInvCL!T419</f>
        <v>1</v>
      </c>
      <c r="B419" t="str">
        <f>CASOPOInvCL!Z419</f>
        <v>SO16965</v>
      </c>
      <c r="G419" s="5" t="str">
        <f>CASOPOInvCL!I419</f>
        <v>Ian Trottier</v>
      </c>
      <c r="H419" s="31">
        <f>CASOPOInvCL!U419</f>
        <v>4</v>
      </c>
      <c r="I419" s="31">
        <f>CASOPOInvCL!V419</f>
        <v>2025</v>
      </c>
      <c r="J419" s="5" t="str">
        <f>CASOPOInvCL!AB419</f>
        <v>INV12873</v>
      </c>
      <c r="K419" s="31">
        <f>CASOPOInvCL!W419</f>
        <v>5</v>
      </c>
      <c r="L419" s="31">
        <f>CASOPOInvCL!X419</f>
        <v>2025</v>
      </c>
      <c r="M419" s="31"/>
      <c r="N419" s="5" t="str">
        <f>CASOPOInvCL!AF419</f>
        <v>Hyperflo</v>
      </c>
      <c r="O419" s="16" t="str">
        <f>CASOPOInvCL!AG419</f>
        <v>CAD</v>
      </c>
      <c r="P419" s="16">
        <f>CASOPOInvCL!AH419</f>
        <v>198.69</v>
      </c>
      <c r="Q419" s="16">
        <f>CASOPOInvCL!AI419</f>
        <v>143.00523268756848</v>
      </c>
      <c r="R419" s="32" t="str">
        <f>CASOPOInvCL!AU419</f>
        <v>Yes</v>
      </c>
      <c r="S419" s="16">
        <f>CASOPOInvCL!AV419</f>
        <v>0</v>
      </c>
      <c r="T419" s="16">
        <f>CASOPOInvCL!AW419</f>
        <v>143.00523268756848</v>
      </c>
      <c r="Y419" s="29" t="str">
        <f>IFERROR(HLOOKUP(U419,List!$D$2:$H$6,2,FALSE),"")</f>
        <v/>
      </c>
      <c r="Z419" s="29" t="str">
        <f>IFERROR(HLOOKUP(V419,List!$D$2:$H$6,3,FALSE),"")</f>
        <v/>
      </c>
      <c r="AA419" s="29" t="str">
        <f>IFERROR(HLOOKUP(W419,List!$D$2:$H$6,4,FALSE),"")</f>
        <v/>
      </c>
      <c r="AB419" s="29" t="str">
        <f>IFERROR(HLOOKUP(X419,List!$D$2:$H$6,5,FALSE),"")</f>
        <v/>
      </c>
      <c r="AC419" s="12" t="str">
        <f t="shared" si="79"/>
        <v/>
      </c>
      <c r="AD419" s="12" t="str">
        <f t="shared" si="80"/>
        <v/>
      </c>
      <c r="AE419" s="12" t="str">
        <f t="shared" si="81"/>
        <v/>
      </c>
      <c r="AF419" s="12" t="str">
        <f t="shared" si="82"/>
        <v/>
      </c>
      <c r="AG419" t="str">
        <f>VLOOKUP(J419,'Receivable Invoice Detail'!$A$1:F3431,6,FALSE)</f>
        <v>[AC-98-233-733-513] Deflector (Water Slinger), 8x6-18 &amp; 10x8-21 SRL-C, Neoprene/Steel</v>
      </c>
      <c r="AM419" s="12" t="str">
        <f t="shared" si="83"/>
        <v/>
      </c>
      <c r="AN419" s="12" t="str">
        <f t="shared" si="84"/>
        <v/>
      </c>
      <c r="AO419" s="12" t="str">
        <f t="shared" si="85"/>
        <v/>
      </c>
      <c r="AP419" s="12" t="str">
        <f t="shared" si="86"/>
        <v/>
      </c>
      <c r="AQ419" s="12"/>
      <c r="AS419" s="12">
        <f t="shared" si="87"/>
        <v>2.1450784903135269</v>
      </c>
      <c r="AT419" s="16" t="str">
        <f t="shared" si="89"/>
        <v>Yes</v>
      </c>
    </row>
    <row r="420" spans="1:46" hidden="1" x14ac:dyDescent="0.25">
      <c r="A420" s="41">
        <f>CASOPOInvCL!T420</f>
        <v>1</v>
      </c>
      <c r="B420" t="str">
        <f>CASOPOInvCL!Z420</f>
        <v>SO16967</v>
      </c>
      <c r="D420" t="s">
        <v>5925</v>
      </c>
      <c r="G420" s="5" t="str">
        <f>CASOPOInvCL!I420</f>
        <v>Ian Trottier</v>
      </c>
      <c r="H420" s="31">
        <f>CASOPOInvCL!U420</f>
        <v>4</v>
      </c>
      <c r="I420" s="31">
        <f>CASOPOInvCL!V420</f>
        <v>2025</v>
      </c>
      <c r="J420" s="5" t="str">
        <f>CASOPOInvCL!AB420</f>
        <v>INV13141</v>
      </c>
      <c r="K420" s="31">
        <f>CASOPOInvCL!W420</f>
        <v>8</v>
      </c>
      <c r="L420" s="31">
        <f>CASOPOInvCL!X420</f>
        <v>2025</v>
      </c>
      <c r="M420">
        <v>2503</v>
      </c>
      <c r="N420" s="5" t="str">
        <f>CASOPOInvCL!AF420</f>
        <v>Resolute Forest Products - Saint-Felicien</v>
      </c>
      <c r="O420" s="16" t="str">
        <f>CASOPOInvCL!AG420</f>
        <v>CAD</v>
      </c>
      <c r="P420" s="16">
        <f>CASOPOInvCL!AH420</f>
        <v>9878.11</v>
      </c>
      <c r="Q420" s="16">
        <f>CASOPOInvCL!AI420</f>
        <v>7079.2638955355278</v>
      </c>
      <c r="R420" s="32" t="str">
        <f>CASOPOInvCL!AU420</f>
        <v>Yes</v>
      </c>
      <c r="S420" s="16">
        <f>CASOPOInvCL!AV420</f>
        <v>0</v>
      </c>
      <c r="T420" s="16">
        <f>CASOPOInvCL!AW420</f>
        <v>7079.2638955355278</v>
      </c>
      <c r="V420" t="s">
        <v>5801</v>
      </c>
      <c r="Y420" s="29" t="str">
        <f>IFERROR(HLOOKUP(U420,List!$D$2:$H$6,2,FALSE),"")</f>
        <v/>
      </c>
      <c r="Z420" s="29">
        <f>IFERROR(HLOOKUP(V420,List!$D$2:$H$6,3,FALSE),"")</f>
        <v>0.02</v>
      </c>
      <c r="AA420" s="29" t="str">
        <f>IFERROR(HLOOKUP(W420,List!$D$2:$H$6,4,FALSE),"")</f>
        <v/>
      </c>
      <c r="AB420" s="29" t="str">
        <f>IFERROR(HLOOKUP(X420,List!$D$2:$H$6,5,FALSE),"")</f>
        <v/>
      </c>
      <c r="AC420" s="12" t="str">
        <f t="shared" si="79"/>
        <v/>
      </c>
      <c r="AD420" s="12">
        <f t="shared" si="80"/>
        <v>141.58527791071057</v>
      </c>
      <c r="AE420" s="12" t="str">
        <f t="shared" si="81"/>
        <v/>
      </c>
      <c r="AF420" s="12" t="str">
        <f t="shared" si="82"/>
        <v/>
      </c>
      <c r="AG420" t="str">
        <f>VLOOKUP(J420,'Receivable Invoice Detail'!$A$1:F3432,6,FALSE)</f>
        <v>[G-RC04063A03 1220] Stuffing Box Cover, 13", 3196 XLT, Titanium, Big Bore, Non-Jacketed</v>
      </c>
      <c r="AH420" s="12">
        <f t="shared" ref="AH420" si="95">SUM(AC420:AF420)</f>
        <v>141.58527791071057</v>
      </c>
      <c r="AM420" s="12" t="str">
        <f t="shared" si="83"/>
        <v/>
      </c>
      <c r="AN420" s="12">
        <f t="shared" si="84"/>
        <v>141.58527791071057</v>
      </c>
      <c r="AO420" s="12" t="str">
        <f t="shared" si="85"/>
        <v/>
      </c>
      <c r="AP420" s="12" t="str">
        <f t="shared" si="86"/>
        <v/>
      </c>
      <c r="AQ420" s="64">
        <v>2503</v>
      </c>
      <c r="AR420" t="s">
        <v>5932</v>
      </c>
      <c r="AS420" s="12">
        <f t="shared" si="87"/>
        <v>106.18895843303291</v>
      </c>
      <c r="AT420" s="16" t="str">
        <f t="shared" si="89"/>
        <v>Yes</v>
      </c>
    </row>
    <row r="421" spans="1:46" hidden="1" x14ac:dyDescent="0.25">
      <c r="A421" s="41">
        <f>CASOPOInvCL!T421</f>
        <v>1</v>
      </c>
      <c r="B421" t="str">
        <f>CASOPOInvCL!Z421</f>
        <v>SO16968</v>
      </c>
      <c r="G421" s="5" t="str">
        <f>CASOPOInvCL!I421</f>
        <v>Taylor Cook</v>
      </c>
      <c r="H421" s="31">
        <f>CASOPOInvCL!U421</f>
        <v>4</v>
      </c>
      <c r="I421" s="31">
        <f>CASOPOInvCL!V421</f>
        <v>2025</v>
      </c>
      <c r="J421" s="5" t="str">
        <f>CASOPOInvCL!AB421</f>
        <v>INV12870</v>
      </c>
      <c r="K421" s="31">
        <f>CASOPOInvCL!W421</f>
        <v>5</v>
      </c>
      <c r="L421" s="31">
        <f>CASOPOInvCL!X421</f>
        <v>2025</v>
      </c>
      <c r="M421" s="31"/>
      <c r="N421" s="5" t="str">
        <f>CASOPOInvCL!AF421</f>
        <v>Pierce Pump Company, Pierce Pump Company</v>
      </c>
      <c r="O421" s="16" t="str">
        <f>CASOPOInvCL!AG421</f>
        <v>USD</v>
      </c>
      <c r="P421" s="16">
        <f>CASOPOInvCL!AH421</f>
        <v>4700.4922272652111</v>
      </c>
      <c r="Q421" s="16">
        <f>CASOPOInvCL!AI421</f>
        <v>3312.44</v>
      </c>
      <c r="R421" s="32" t="str">
        <f>CASOPOInvCL!AU421</f>
        <v>Yes</v>
      </c>
      <c r="S421" s="16">
        <f>CASOPOInvCL!AV421</f>
        <v>0</v>
      </c>
      <c r="T421" s="16">
        <f>CASOPOInvCL!AW421</f>
        <v>3312.44</v>
      </c>
      <c r="Y421" s="29" t="str">
        <f>IFERROR(HLOOKUP(U421,List!$D$2:$H$6,2,FALSE),"")</f>
        <v/>
      </c>
      <c r="Z421" s="29" t="str">
        <f>IFERROR(HLOOKUP(V421,List!$D$2:$H$6,3,FALSE),"")</f>
        <v/>
      </c>
      <c r="AA421" s="29" t="str">
        <f>IFERROR(HLOOKUP(W421,List!$D$2:$H$6,4,FALSE),"")</f>
        <v/>
      </c>
      <c r="AB421" s="29" t="str">
        <f>IFERROR(HLOOKUP(X421,List!$D$2:$H$6,5,FALSE),"")</f>
        <v/>
      </c>
      <c r="AC421" s="12" t="str">
        <f t="shared" si="79"/>
        <v/>
      </c>
      <c r="AD421" s="12" t="str">
        <f t="shared" si="80"/>
        <v/>
      </c>
      <c r="AE421" s="12" t="str">
        <f t="shared" si="81"/>
        <v/>
      </c>
      <c r="AF421" s="12" t="str">
        <f t="shared" si="82"/>
        <v/>
      </c>
      <c r="AG421" t="str">
        <f>VLOOKUP(J421,'Receivable Invoice Detail'!$A$1:F3433,6,FALSE)</f>
        <v>[NSK-22218EAE4, AC-00-813-261-537] Roller Bearing (Inboard), 8x6-18 &amp; 10x8-21 SRL-C</v>
      </c>
      <c r="AM421" s="12" t="str">
        <f t="shared" si="83"/>
        <v/>
      </c>
      <c r="AN421" s="12" t="str">
        <f t="shared" si="84"/>
        <v/>
      </c>
      <c r="AO421" s="12" t="str">
        <f t="shared" si="85"/>
        <v/>
      </c>
      <c r="AP421" s="12" t="str">
        <f t="shared" si="86"/>
        <v/>
      </c>
      <c r="AQ421" s="12"/>
      <c r="AS421" s="12">
        <f t="shared" si="87"/>
        <v>49.686599999999999</v>
      </c>
      <c r="AT421" s="16" t="str">
        <f t="shared" si="89"/>
        <v>Yes</v>
      </c>
    </row>
    <row r="422" spans="1:46" hidden="1" x14ac:dyDescent="0.25">
      <c r="A422" s="41">
        <f>CASOPOInvCL!T422</f>
        <v>1</v>
      </c>
      <c r="B422" t="str">
        <f>CASOPOInvCL!Z422</f>
        <v>SO16970</v>
      </c>
      <c r="G422" s="5" t="str">
        <f>CASOPOInvCL!I422</f>
        <v>Ian Trottier</v>
      </c>
      <c r="H422" s="31">
        <f>CASOPOInvCL!U422</f>
        <v>4</v>
      </c>
      <c r="I422" s="31">
        <f>CASOPOInvCL!V422</f>
        <v>2025</v>
      </c>
      <c r="J422" s="5" t="str">
        <f>CASOPOInvCL!AB422</f>
        <v>INV12877</v>
      </c>
      <c r="K422" s="31">
        <f>CASOPOInvCL!W422</f>
        <v>6</v>
      </c>
      <c r="L422" s="31">
        <f>CASOPOInvCL!X422</f>
        <v>2025</v>
      </c>
      <c r="M422" s="31"/>
      <c r="N422" s="5" t="str">
        <f>CASOPOInvCL!AF422</f>
        <v>Resolute Forest Products - Kenogami</v>
      </c>
      <c r="O422" s="16" t="str">
        <f>CASOPOInvCL!AG422</f>
        <v>CAD</v>
      </c>
      <c r="P422" s="16">
        <f>CASOPOInvCL!AH422</f>
        <v>939.78</v>
      </c>
      <c r="Q422" s="16">
        <f>CASOPOInvCL!AI422</f>
        <v>676.16740747662323</v>
      </c>
      <c r="R422" s="32" t="str">
        <f>CASOPOInvCL!AU422</f>
        <v>Yes</v>
      </c>
      <c r="S422" s="16">
        <f>CASOPOInvCL!AV422</f>
        <v>0</v>
      </c>
      <c r="T422" s="16">
        <f>CASOPOInvCL!AW422</f>
        <v>676.16740747662323</v>
      </c>
      <c r="Y422" s="29" t="str">
        <f>IFERROR(HLOOKUP(U422,List!$D$2:$H$6,2,FALSE),"")</f>
        <v/>
      </c>
      <c r="Z422" s="29" t="str">
        <f>IFERROR(HLOOKUP(V422,List!$D$2:$H$6,3,FALSE),"")</f>
        <v/>
      </c>
      <c r="AA422" s="29" t="str">
        <f>IFERROR(HLOOKUP(W422,List!$D$2:$H$6,4,FALSE),"")</f>
        <v/>
      </c>
      <c r="AB422" s="29" t="str">
        <f>IFERROR(HLOOKUP(X422,List!$D$2:$H$6,5,FALSE),"")</f>
        <v/>
      </c>
      <c r="AC422" s="12" t="str">
        <f t="shared" si="79"/>
        <v/>
      </c>
      <c r="AD422" s="12" t="str">
        <f t="shared" si="80"/>
        <v/>
      </c>
      <c r="AE422" s="12" t="str">
        <f t="shared" si="81"/>
        <v/>
      </c>
      <c r="AF422" s="12" t="str">
        <f t="shared" si="82"/>
        <v/>
      </c>
      <c r="AG422" t="str">
        <f>VLOOKUP(J422,'Receivable Invoice Detail'!$A$1:F3434,6,FALSE)</f>
        <v>[AC-98-130-367-001] Shaft Sleeve, PWO Frame 2, 316SS</v>
      </c>
      <c r="AM422" s="12" t="str">
        <f t="shared" si="83"/>
        <v/>
      </c>
      <c r="AN422" s="12" t="str">
        <f t="shared" si="84"/>
        <v/>
      </c>
      <c r="AO422" s="12" t="str">
        <f t="shared" si="85"/>
        <v/>
      </c>
      <c r="AP422" s="12" t="str">
        <f t="shared" si="86"/>
        <v/>
      </c>
      <c r="AQ422" s="12"/>
      <c r="AS422" s="12">
        <f t="shared" si="87"/>
        <v>10.142511112149348</v>
      </c>
      <c r="AT422" s="16" t="str">
        <f t="shared" si="89"/>
        <v>Yes</v>
      </c>
    </row>
    <row r="423" spans="1:46" hidden="1" x14ac:dyDescent="0.25">
      <c r="A423" s="41">
        <f>CASOPOInvCL!T423</f>
        <v>1</v>
      </c>
      <c r="B423" t="str">
        <f>CASOPOInvCL!Z423</f>
        <v>SO16976</v>
      </c>
      <c r="D423" t="s">
        <v>5847</v>
      </c>
      <c r="G423" s="5" t="str">
        <f>CASOPOInvCL!I423</f>
        <v>Amanda Qiao</v>
      </c>
      <c r="H423" s="31">
        <f>CASOPOInvCL!U423</f>
        <v>4</v>
      </c>
      <c r="I423" s="31">
        <f>CASOPOInvCL!V423</f>
        <v>2025</v>
      </c>
      <c r="J423" s="5" t="str">
        <f>CASOPOInvCL!AB423</f>
        <v>INV12969</v>
      </c>
      <c r="K423" s="31">
        <f>CASOPOInvCL!W423</f>
        <v>8</v>
      </c>
      <c r="L423" s="31">
        <f>CASOPOInvCL!X423</f>
        <v>2025</v>
      </c>
      <c r="M423">
        <v>2503</v>
      </c>
      <c r="N423" s="5" t="str">
        <f>CASOPOInvCL!AF423</f>
        <v>AGM Inc.</v>
      </c>
      <c r="O423" s="16" t="str">
        <f>CASOPOInvCL!AG423</f>
        <v>USD</v>
      </c>
      <c r="P423" s="16">
        <f>CASOPOInvCL!AH423</f>
        <v>6239.7361669568727</v>
      </c>
      <c r="Q423" s="16">
        <f>CASOPOInvCL!AI423</f>
        <v>4530</v>
      </c>
      <c r="R423" s="32" t="str">
        <f>CASOPOInvCL!AU423</f>
        <v>Yes</v>
      </c>
      <c r="S423" s="16">
        <f>CASOPOInvCL!AV423</f>
        <v>0</v>
      </c>
      <c r="T423" s="16">
        <f>CASOPOInvCL!AW423</f>
        <v>4530</v>
      </c>
      <c r="V423" t="s">
        <v>5800</v>
      </c>
      <c r="Y423" s="29" t="str">
        <f>IFERROR(HLOOKUP(U423,List!$D$2:$H$6,2,FALSE),"")</f>
        <v/>
      </c>
      <c r="Z423" s="29">
        <f>IFERROR(HLOOKUP(V423,List!$D$2:$H$6,3,FALSE),"")</f>
        <v>5.0000000000000001E-3</v>
      </c>
      <c r="AA423" s="29" t="str">
        <f>IFERROR(HLOOKUP(W423,List!$D$2:$H$6,4,FALSE),"")</f>
        <v/>
      </c>
      <c r="AB423" s="29" t="str">
        <f>IFERROR(HLOOKUP(X423,List!$D$2:$H$6,5,FALSE),"")</f>
        <v/>
      </c>
      <c r="AC423" s="12" t="str">
        <f t="shared" si="79"/>
        <v/>
      </c>
      <c r="AD423" s="12">
        <f t="shared" si="80"/>
        <v>22.650000000000002</v>
      </c>
      <c r="AE423" s="12" t="str">
        <f t="shared" si="81"/>
        <v/>
      </c>
      <c r="AF423" s="12" t="str">
        <f t="shared" si="82"/>
        <v/>
      </c>
      <c r="AG423" t="str">
        <f>VLOOKUP(J423,'Receivable Invoice Detail'!$A$1:F3435,6,FALSE)</f>
        <v>[W-G078/G01] Stuffing Box, 10/8 to 14/12, Cast Iron</v>
      </c>
      <c r="AH423" s="12">
        <f t="shared" ref="AH423" si="96">SUM(AC423:AF423)</f>
        <v>22.650000000000002</v>
      </c>
      <c r="AJ423">
        <v>2503</v>
      </c>
      <c r="AM423" s="12" t="str">
        <f t="shared" si="83"/>
        <v/>
      </c>
      <c r="AN423" s="12">
        <f t="shared" si="84"/>
        <v>0</v>
      </c>
      <c r="AO423" s="12" t="str">
        <f t="shared" si="85"/>
        <v/>
      </c>
      <c r="AP423" s="12" t="str">
        <f t="shared" si="86"/>
        <v/>
      </c>
      <c r="AQ423" s="64">
        <v>2503</v>
      </c>
      <c r="AR423" t="s">
        <v>5932</v>
      </c>
      <c r="AS423" s="12">
        <f t="shared" si="87"/>
        <v>67.95</v>
      </c>
      <c r="AT423" s="16" t="str">
        <f t="shared" si="89"/>
        <v>Yes</v>
      </c>
    </row>
    <row r="424" spans="1:46" hidden="1" x14ac:dyDescent="0.25">
      <c r="A424" s="41">
        <f>CASOPOInvCL!T424</f>
        <v>1</v>
      </c>
      <c r="B424" t="str">
        <f>CASOPOInvCL!Z424</f>
        <v>SO16983</v>
      </c>
      <c r="G424" s="5" t="str">
        <f>CASOPOInvCL!I424</f>
        <v>Ian Trottier</v>
      </c>
      <c r="H424" s="31">
        <f>CASOPOInvCL!U424</f>
        <v>4</v>
      </c>
      <c r="I424" s="31">
        <f>CASOPOInvCL!V424</f>
        <v>2025</v>
      </c>
      <c r="J424" s="5" t="str">
        <f>CASOPOInvCL!AB424</f>
        <v>INV12890</v>
      </c>
      <c r="K424" s="31">
        <f>CASOPOInvCL!W424</f>
        <v>5</v>
      </c>
      <c r="L424" s="31">
        <f>CASOPOInvCL!X424</f>
        <v>2025</v>
      </c>
      <c r="M424" s="31"/>
      <c r="N424" s="5" t="str">
        <f>CASOPOInvCL!AF424</f>
        <v>Motion Industries Inc. (Canada) - Winnipeg</v>
      </c>
      <c r="O424" s="16" t="str">
        <f>CASOPOInvCL!AG424</f>
        <v>CAD</v>
      </c>
      <c r="P424" s="16">
        <f>CASOPOInvCL!AH424</f>
        <v>194.97</v>
      </c>
      <c r="Q424" s="16">
        <f>CASOPOInvCL!AI424</f>
        <v>140.69421807694806</v>
      </c>
      <c r="R424" s="32" t="str">
        <f>CASOPOInvCL!AU424</f>
        <v>Yes</v>
      </c>
      <c r="S424" s="16">
        <f>CASOPOInvCL!AV424</f>
        <v>0</v>
      </c>
      <c r="T424" s="16">
        <f>CASOPOInvCL!AW424</f>
        <v>140.69421807694806</v>
      </c>
      <c r="Y424" s="29" t="str">
        <f>IFERROR(HLOOKUP(U424,List!$D$2:$H$6,2,FALSE),"")</f>
        <v/>
      </c>
      <c r="Z424" s="29" t="str">
        <f>IFERROR(HLOOKUP(V424,List!$D$2:$H$6,3,FALSE),"")</f>
        <v/>
      </c>
      <c r="AA424" s="29" t="str">
        <f>IFERROR(HLOOKUP(W424,List!$D$2:$H$6,4,FALSE),"")</f>
        <v/>
      </c>
      <c r="AB424" s="29" t="str">
        <f>IFERROR(HLOOKUP(X424,List!$D$2:$H$6,5,FALSE),"")</f>
        <v/>
      </c>
      <c r="AC424" s="12" t="str">
        <f t="shared" si="79"/>
        <v/>
      </c>
      <c r="AD424" s="12" t="str">
        <f t="shared" si="80"/>
        <v/>
      </c>
      <c r="AE424" s="12" t="str">
        <f t="shared" si="81"/>
        <v/>
      </c>
      <c r="AF424" s="12" t="str">
        <f t="shared" si="82"/>
        <v/>
      </c>
      <c r="AG424" t="str">
        <f>VLOOKUP(J424,'Receivable Invoice Detail'!$A$1:F3436,6,FALSE)</f>
        <v>[WO-390078-00] Seal Ring, Worthington FRBH, Frame Size 5, Rubber</v>
      </c>
      <c r="AM424" s="12" t="str">
        <f t="shared" si="83"/>
        <v/>
      </c>
      <c r="AN424" s="12" t="str">
        <f t="shared" si="84"/>
        <v/>
      </c>
      <c r="AO424" s="12" t="str">
        <f t="shared" si="85"/>
        <v/>
      </c>
      <c r="AP424" s="12" t="str">
        <f t="shared" si="86"/>
        <v/>
      </c>
      <c r="AQ424" s="12"/>
      <c r="AS424" s="12">
        <f t="shared" si="87"/>
        <v>2.1104132711542207</v>
      </c>
      <c r="AT424" s="16" t="str">
        <f t="shared" si="89"/>
        <v>Yes</v>
      </c>
    </row>
    <row r="425" spans="1:46" hidden="1" x14ac:dyDescent="0.25">
      <c r="A425" s="41">
        <f>CASOPOInvCL!T425</f>
        <v>1</v>
      </c>
      <c r="B425" t="str">
        <f>CASOPOInvCL!Z425</f>
        <v>SO16985</v>
      </c>
      <c r="D425" t="s">
        <v>5938</v>
      </c>
      <c r="G425" s="5" t="str">
        <f>CASOPOInvCL!I425</f>
        <v>Marlen Martinez</v>
      </c>
      <c r="H425" s="31">
        <f>CASOPOInvCL!U425</f>
        <v>4</v>
      </c>
      <c r="I425" s="31">
        <f>CASOPOInvCL!V425</f>
        <v>2025</v>
      </c>
      <c r="J425" s="5" t="str">
        <f>CASOPOInvCL!AB425</f>
        <v>INV12903</v>
      </c>
      <c r="K425" s="31">
        <f>CASOPOInvCL!W425</f>
        <v>7</v>
      </c>
      <c r="L425" s="31">
        <f>CASOPOInvCL!X425</f>
        <v>2025</v>
      </c>
      <c r="M425">
        <v>2504</v>
      </c>
      <c r="N425" s="5" t="str">
        <f>CASOPOInvCL!AF425</f>
        <v>Covia Corp - Junction City</v>
      </c>
      <c r="O425" s="16" t="str">
        <f>CASOPOInvCL!AG425</f>
        <v>USD</v>
      </c>
      <c r="P425" s="16">
        <f>CASOPOInvCL!AH425</f>
        <v>1482.7766417934688</v>
      </c>
      <c r="Q425" s="16">
        <f>CASOPOInvCL!AI425</f>
        <v>1069.02</v>
      </c>
      <c r="R425" s="32" t="str">
        <f>CASOPOInvCL!AU425</f>
        <v>Yes</v>
      </c>
      <c r="S425" s="16">
        <f>CASOPOInvCL!AV425</f>
        <v>171.5</v>
      </c>
      <c r="T425" s="16">
        <f>CASOPOInvCL!AW425</f>
        <v>897.52</v>
      </c>
      <c r="Y425" s="29" t="str">
        <f>IFERROR(HLOOKUP(U425,List!$D$2:$H$6,2,FALSE),"")</f>
        <v/>
      </c>
      <c r="Z425" s="29" t="str">
        <f>IFERROR(HLOOKUP(V425,List!$D$2:$H$6,3,FALSE),"")</f>
        <v/>
      </c>
      <c r="AA425" s="29" t="str">
        <f>IFERROR(HLOOKUP(W425,List!$D$2:$H$6,4,FALSE),"")</f>
        <v/>
      </c>
      <c r="AB425" s="29" t="str">
        <f>IFERROR(HLOOKUP(X425,List!$D$2:$H$6,5,FALSE),"")</f>
        <v/>
      </c>
      <c r="AC425" s="12" t="str">
        <f t="shared" si="79"/>
        <v/>
      </c>
      <c r="AD425" s="12" t="str">
        <f t="shared" si="80"/>
        <v/>
      </c>
      <c r="AE425" s="12" t="str">
        <f t="shared" si="81"/>
        <v/>
      </c>
      <c r="AF425" s="12" t="str">
        <f t="shared" si="82"/>
        <v/>
      </c>
      <c r="AG425" t="str">
        <f>VLOOKUP(J425,'Receivable Invoice Detail'!$A$1:F3437,6,FALSE)</f>
        <v>106003/0505 Lantern Ring, 300 RSL, 316SS</v>
      </c>
      <c r="AM425" s="12" t="str">
        <f t="shared" si="83"/>
        <v/>
      </c>
      <c r="AN425" s="12" t="str">
        <f t="shared" si="84"/>
        <v/>
      </c>
      <c r="AO425" s="12" t="str">
        <f t="shared" si="85"/>
        <v/>
      </c>
      <c r="AP425" s="12" t="str">
        <f t="shared" si="86"/>
        <v/>
      </c>
      <c r="AQ425" s="64">
        <f>M425</f>
        <v>2504</v>
      </c>
      <c r="AR425" t="s">
        <v>5939</v>
      </c>
      <c r="AS425" s="12">
        <f t="shared" si="87"/>
        <v>13.4628</v>
      </c>
      <c r="AT425" s="16" t="str">
        <f t="shared" si="89"/>
        <v>Yes</v>
      </c>
    </row>
    <row r="426" spans="1:46" hidden="1" x14ac:dyDescent="0.25">
      <c r="A426" s="41">
        <f>CASOPOInvCL!T426</f>
        <v>2</v>
      </c>
      <c r="B426" t="str">
        <f>CASOPOInvCL!Z426</f>
        <v>SO16989</v>
      </c>
      <c r="D426" t="s">
        <v>5925</v>
      </c>
      <c r="G426" s="5" t="str">
        <f>CASOPOInvCL!I426</f>
        <v>Ian Trottier</v>
      </c>
      <c r="H426" s="31">
        <f>CASOPOInvCL!U426</f>
        <v>4</v>
      </c>
      <c r="I426" s="31">
        <f>CASOPOInvCL!V426</f>
        <v>2025</v>
      </c>
      <c r="J426" s="5" t="str">
        <f>CASOPOInvCL!AB426</f>
        <v>INV12923</v>
      </c>
      <c r="K426" s="31">
        <f>CASOPOInvCL!W426</f>
        <v>5</v>
      </c>
      <c r="L426" s="31">
        <f>CASOPOInvCL!X426</f>
        <v>2025</v>
      </c>
      <c r="M426">
        <v>2503</v>
      </c>
      <c r="N426" s="5" t="str">
        <f>CASOPOInvCL!AF426</f>
        <v>Motion Industries Inc. (Canada) - Prince George</v>
      </c>
      <c r="O426" s="16" t="str">
        <f>CASOPOInvCL!AG426</f>
        <v>CAD</v>
      </c>
      <c r="P426" s="16">
        <f>CASOPOInvCL!AH426</f>
        <v>1699.77</v>
      </c>
      <c r="Q426" s="16">
        <f>CASOPOInvCL!AI426</f>
        <v>1223.3932475985112</v>
      </c>
      <c r="R426" s="32" t="str">
        <f>CASOPOInvCL!AU426</f>
        <v>Yes</v>
      </c>
      <c r="S426" s="16">
        <f>CASOPOInvCL!AV426</f>
        <v>0</v>
      </c>
      <c r="T426" s="16">
        <f>CASOPOInvCL!AW426</f>
        <v>1223.3932475985112</v>
      </c>
      <c r="V426" t="s">
        <v>5800</v>
      </c>
      <c r="Y426" s="29" t="str">
        <f>IFERROR(HLOOKUP(U426,List!$D$2:$H$6,2,FALSE),"")</f>
        <v/>
      </c>
      <c r="Z426" s="29">
        <f>IFERROR(HLOOKUP(V426,List!$D$2:$H$6,3,FALSE),"")</f>
        <v>5.0000000000000001E-3</v>
      </c>
      <c r="AA426" s="29" t="str">
        <f>IFERROR(HLOOKUP(W426,List!$D$2:$H$6,4,FALSE),"")</f>
        <v/>
      </c>
      <c r="AB426" s="29" t="str">
        <f>IFERROR(HLOOKUP(X426,List!$D$2:$H$6,5,FALSE),"")</f>
        <v/>
      </c>
      <c r="AC426" s="12" t="str">
        <f t="shared" si="79"/>
        <v/>
      </c>
      <c r="AD426" s="12">
        <f t="shared" si="80"/>
        <v>6.116966237992556</v>
      </c>
      <c r="AE426" s="12" t="str">
        <f t="shared" si="81"/>
        <v/>
      </c>
      <c r="AF426" s="12" t="str">
        <f t="shared" si="82"/>
        <v/>
      </c>
      <c r="AG426" t="str">
        <f>VLOOKUP(J426,'Receivable Invoice Detail'!$A$1:F3438,6,FALSE)</f>
        <v>[W-U111-TEFKVSC-PIECE] Premium Slurry Packing (Single Piece), 20/18 U-AH, PTFE Lubricated Kevlar w/Silicon Core</v>
      </c>
      <c r="AH426" s="12">
        <f t="shared" ref="AH426:AH427" si="97">SUM(AC426:AF426)</f>
        <v>6.116966237992556</v>
      </c>
      <c r="AM426" s="12" t="str">
        <f t="shared" si="83"/>
        <v/>
      </c>
      <c r="AN426" s="12">
        <f t="shared" si="84"/>
        <v>6.116966237992556</v>
      </c>
      <c r="AO426" s="12" t="str">
        <f t="shared" si="85"/>
        <v/>
      </c>
      <c r="AP426" s="12" t="str">
        <f t="shared" si="86"/>
        <v/>
      </c>
      <c r="AQ426" s="64">
        <v>2503</v>
      </c>
      <c r="AR426" t="s">
        <v>5932</v>
      </c>
      <c r="AS426" s="12">
        <f t="shared" si="87"/>
        <v>18.350898713977667</v>
      </c>
      <c r="AT426" s="16" t="str">
        <f t="shared" si="89"/>
        <v>Yes</v>
      </c>
    </row>
    <row r="427" spans="1:46" hidden="1" x14ac:dyDescent="0.25">
      <c r="A427" s="41">
        <f>CASOPOInvCL!T427</f>
        <v>2</v>
      </c>
      <c r="B427" t="str">
        <f>CASOPOInvCL!Z427</f>
        <v>SO16989</v>
      </c>
      <c r="D427" t="s">
        <v>5925</v>
      </c>
      <c r="G427" s="5">
        <f>CASOPOInvCL!I427</f>
        <v>0</v>
      </c>
      <c r="H427" s="31">
        <f>CASOPOInvCL!U427</f>
        <v>4</v>
      </c>
      <c r="I427" s="31">
        <f>CASOPOInvCL!V427</f>
        <v>2025</v>
      </c>
      <c r="J427" s="5" t="str">
        <f>CASOPOInvCL!AB427</f>
        <v>INV13125</v>
      </c>
      <c r="K427" s="31">
        <f>CASOPOInvCL!W427</f>
        <v>7</v>
      </c>
      <c r="L427" s="31">
        <f>CASOPOInvCL!X427</f>
        <v>2025</v>
      </c>
      <c r="M427">
        <v>2503</v>
      </c>
      <c r="N427" s="5" t="str">
        <f>CASOPOInvCL!AF427</f>
        <v>Motion Industries Inc. (Canada) - Prince George</v>
      </c>
      <c r="O427" s="16" t="str">
        <f>CASOPOInvCL!AG427</f>
        <v>CAD</v>
      </c>
      <c r="P427" s="16">
        <f>CASOPOInvCL!AH427</f>
        <v>0</v>
      </c>
      <c r="Q427" s="16">
        <f>CASOPOInvCL!AI427</f>
        <v>0</v>
      </c>
      <c r="R427" s="32" t="str">
        <f>CASOPOInvCL!AU427</f>
        <v/>
      </c>
      <c r="S427" s="16">
        <f>CASOPOInvCL!AV427</f>
        <v>0</v>
      </c>
      <c r="T427" s="16">
        <f>CASOPOInvCL!AW427</f>
        <v>0</v>
      </c>
      <c r="V427" t="s">
        <v>5800</v>
      </c>
      <c r="Y427" s="29" t="str">
        <f>IFERROR(HLOOKUP(U427,List!$D$2:$H$6,2,FALSE),"")</f>
        <v/>
      </c>
      <c r="Z427" s="29">
        <f>IFERROR(HLOOKUP(V427,List!$D$2:$H$6,3,FALSE),"")</f>
        <v>5.0000000000000001E-3</v>
      </c>
      <c r="AA427" s="29" t="str">
        <f>IFERROR(HLOOKUP(W427,List!$D$2:$H$6,4,FALSE),"")</f>
        <v/>
      </c>
      <c r="AB427" s="29" t="str">
        <f>IFERROR(HLOOKUP(X427,List!$D$2:$H$6,5,FALSE),"")</f>
        <v/>
      </c>
      <c r="AC427" s="12" t="str">
        <f t="shared" si="79"/>
        <v/>
      </c>
      <c r="AD427" s="12">
        <f t="shared" si="80"/>
        <v>0</v>
      </c>
      <c r="AE427" s="12" t="str">
        <f t="shared" si="81"/>
        <v/>
      </c>
      <c r="AF427" s="12" t="str">
        <f t="shared" si="82"/>
        <v/>
      </c>
      <c r="AG427" t="str">
        <f>VLOOKUP(J427,'Receivable Invoice Detail'!$A$1:F3439,6,FALSE)</f>
        <v>[W-M48H5-V] Hex Nut, M48, Zinc Plated</v>
      </c>
      <c r="AH427" s="12">
        <f t="shared" si="97"/>
        <v>0</v>
      </c>
      <c r="AM427" s="12" t="str">
        <f t="shared" si="83"/>
        <v/>
      </c>
      <c r="AN427" s="12">
        <f t="shared" si="84"/>
        <v>0</v>
      </c>
      <c r="AO427" s="12" t="str">
        <f t="shared" si="85"/>
        <v/>
      </c>
      <c r="AP427" s="12" t="str">
        <f t="shared" si="86"/>
        <v/>
      </c>
      <c r="AQ427" s="64">
        <v>2503</v>
      </c>
      <c r="AR427" t="s">
        <v>5932</v>
      </c>
      <c r="AS427" s="12">
        <f t="shared" si="87"/>
        <v>0</v>
      </c>
      <c r="AT427" s="16" t="str">
        <f t="shared" si="89"/>
        <v/>
      </c>
    </row>
    <row r="428" spans="1:46" hidden="1" x14ac:dyDescent="0.25">
      <c r="A428" s="41">
        <f>CASOPOInvCL!T428</f>
        <v>1</v>
      </c>
      <c r="B428" t="str">
        <f>CASOPOInvCL!Z428</f>
        <v>SO16990</v>
      </c>
      <c r="G428" s="5" t="str">
        <f>CASOPOInvCL!I428</f>
        <v>Ian Trottier</v>
      </c>
      <c r="H428" s="31">
        <f>CASOPOInvCL!U428</f>
        <v>4</v>
      </c>
      <c r="I428" s="31">
        <f>CASOPOInvCL!V428</f>
        <v>2025</v>
      </c>
      <c r="J428" s="5" t="str">
        <f>CASOPOInvCL!AB428</f>
        <v>INV12878</v>
      </c>
      <c r="K428" s="31">
        <f>CASOPOInvCL!W428</f>
        <v>5</v>
      </c>
      <c r="L428" s="31">
        <f>CASOPOInvCL!X428</f>
        <v>2025</v>
      </c>
      <c r="M428" s="31"/>
      <c r="N428" s="5" t="str">
        <f>CASOPOInvCL!AF428</f>
        <v>Hyperflo, Hyperflo</v>
      </c>
      <c r="O428" s="16" t="str">
        <f>CASOPOInvCL!AG428</f>
        <v>CAD</v>
      </c>
      <c r="P428" s="16">
        <f>CASOPOInvCL!AH428</f>
        <v>92.11</v>
      </c>
      <c r="Q428" s="16">
        <f>CASOPOInvCL!AI428</f>
        <v>66.044165627372251</v>
      </c>
      <c r="R428" s="32" t="str">
        <f>CASOPOInvCL!AU428</f>
        <v>Yes</v>
      </c>
      <c r="S428" s="16">
        <f>CASOPOInvCL!AV428</f>
        <v>0</v>
      </c>
      <c r="T428" s="16">
        <f>CASOPOInvCL!AW428</f>
        <v>66.044165627372251</v>
      </c>
      <c r="Y428" s="29" t="str">
        <f>IFERROR(HLOOKUP(U428,List!$D$2:$H$6,2,FALSE),"")</f>
        <v/>
      </c>
      <c r="Z428" s="29" t="str">
        <f>IFERROR(HLOOKUP(V428,List!$D$2:$H$6,3,FALSE),"")</f>
        <v/>
      </c>
      <c r="AA428" s="29" t="str">
        <f>IFERROR(HLOOKUP(W428,List!$D$2:$H$6,4,FALSE),"")</f>
        <v/>
      </c>
      <c r="AB428" s="29" t="str">
        <f>IFERROR(HLOOKUP(X428,List!$D$2:$H$6,5,FALSE),"")</f>
        <v/>
      </c>
      <c r="AC428" s="12" t="str">
        <f t="shared" si="79"/>
        <v/>
      </c>
      <c r="AD428" s="12" t="str">
        <f t="shared" si="80"/>
        <v/>
      </c>
      <c r="AE428" s="12" t="str">
        <f t="shared" si="81"/>
        <v/>
      </c>
      <c r="AF428" s="12" t="str">
        <f t="shared" si="82"/>
        <v/>
      </c>
      <c r="AG428" t="str">
        <f>VLOOKUP(J428,'Receivable Invoice Detail'!$A$1:F3440,6,FALSE)</f>
        <v>[AC-98-233-979-004] Sleeve Washer (Impeller), 3x3-10 SRL &amp; SRL-C, Steel</v>
      </c>
      <c r="AM428" s="12" t="str">
        <f t="shared" si="83"/>
        <v/>
      </c>
      <c r="AN428" s="12" t="str">
        <f t="shared" si="84"/>
        <v/>
      </c>
      <c r="AO428" s="12" t="str">
        <f t="shared" si="85"/>
        <v/>
      </c>
      <c r="AP428" s="12" t="str">
        <f t="shared" si="86"/>
        <v/>
      </c>
      <c r="AQ428" s="12"/>
      <c r="AS428" s="12">
        <f t="shared" si="87"/>
        <v>0.99066248441058369</v>
      </c>
      <c r="AT428" s="16" t="str">
        <f t="shared" si="89"/>
        <v>Yes</v>
      </c>
    </row>
    <row r="429" spans="1:46" hidden="1" x14ac:dyDescent="0.25">
      <c r="A429" s="41">
        <f>CASOPOInvCL!T429</f>
        <v>1</v>
      </c>
      <c r="B429" t="str">
        <f>CASOPOInvCL!Z429</f>
        <v>SO16991</v>
      </c>
      <c r="G429" s="5" t="str">
        <f>CASOPOInvCL!I429</f>
        <v>Ian Trottier</v>
      </c>
      <c r="H429" s="31">
        <f>CASOPOInvCL!U429</f>
        <v>4</v>
      </c>
      <c r="I429" s="31">
        <f>CASOPOInvCL!V429</f>
        <v>2025</v>
      </c>
      <c r="J429" s="5" t="str">
        <f>CASOPOInvCL!AB429</f>
        <v>INV12876</v>
      </c>
      <c r="K429" s="31">
        <f>CASOPOInvCL!W429</f>
        <v>6</v>
      </c>
      <c r="L429" s="31">
        <f>CASOPOInvCL!X429</f>
        <v>2025</v>
      </c>
      <c r="M429" s="31"/>
      <c r="N429" s="5" t="str">
        <f>CASOPOInvCL!AF429</f>
        <v>Resolute Forest Products - Saint-Felicien</v>
      </c>
      <c r="O429" s="16" t="str">
        <f>CASOPOInvCL!AG429</f>
        <v>CAD</v>
      </c>
      <c r="P429" s="16">
        <f>CASOPOInvCL!AH429</f>
        <v>296.56</v>
      </c>
      <c r="Q429" s="16">
        <f>CASOPOInvCL!AI429</f>
        <v>212.63769143907842</v>
      </c>
      <c r="R429" s="32" t="str">
        <f>CASOPOInvCL!AU429</f>
        <v>Yes</v>
      </c>
      <c r="S429" s="16">
        <f>CASOPOInvCL!AV429</f>
        <v>0</v>
      </c>
      <c r="T429" s="16">
        <f>CASOPOInvCL!AW429</f>
        <v>212.63769143907842</v>
      </c>
      <c r="Y429" s="29" t="str">
        <f>IFERROR(HLOOKUP(U429,List!$D$2:$H$6,2,FALSE),"")</f>
        <v/>
      </c>
      <c r="Z429" s="29" t="str">
        <f>IFERROR(HLOOKUP(V429,List!$D$2:$H$6,3,FALSE),"")</f>
        <v/>
      </c>
      <c r="AA429" s="29" t="str">
        <f>IFERROR(HLOOKUP(W429,List!$D$2:$H$6,4,FALSE),"")</f>
        <v/>
      </c>
      <c r="AB429" s="29" t="str">
        <f>IFERROR(HLOOKUP(X429,List!$D$2:$H$6,5,FALSE),"")</f>
        <v/>
      </c>
      <c r="AC429" s="12" t="str">
        <f t="shared" si="79"/>
        <v/>
      </c>
      <c r="AD429" s="12" t="str">
        <f t="shared" si="80"/>
        <v/>
      </c>
      <c r="AE429" s="12" t="str">
        <f t="shared" si="81"/>
        <v/>
      </c>
      <c r="AF429" s="12" t="str">
        <f t="shared" si="82"/>
        <v/>
      </c>
      <c r="AG429" t="str">
        <f>VLOOKUP(J429,'Receivable Invoice Detail'!$A$1:F3441,6,FALSE)</f>
        <v>[AC-98-131-246-511] Deflector (Water Slinger), 5x5/5x4/6x6 SRL &amp; SRL-C, Neoprene/Steel</v>
      </c>
      <c r="AM429" s="12" t="str">
        <f t="shared" si="83"/>
        <v/>
      </c>
      <c r="AN429" s="12" t="str">
        <f t="shared" si="84"/>
        <v/>
      </c>
      <c r="AO429" s="12" t="str">
        <f t="shared" si="85"/>
        <v/>
      </c>
      <c r="AP429" s="12" t="str">
        <f t="shared" si="86"/>
        <v/>
      </c>
      <c r="AQ429" s="12"/>
      <c r="AS429" s="12">
        <f t="shared" si="87"/>
        <v>3.189565371586176</v>
      </c>
      <c r="AT429" s="16" t="str">
        <f t="shared" si="89"/>
        <v>Yes</v>
      </c>
    </row>
    <row r="430" spans="1:46" hidden="1" x14ac:dyDescent="0.25">
      <c r="A430" s="41">
        <f>CASOPOInvCL!T430</f>
        <v>1</v>
      </c>
      <c r="B430" t="str">
        <f>CASOPOInvCL!Z430</f>
        <v>SO16992</v>
      </c>
      <c r="G430" s="5" t="str">
        <f>CASOPOInvCL!I430</f>
        <v>Ian Trottier</v>
      </c>
      <c r="H430" s="31">
        <f>CASOPOInvCL!U430</f>
        <v>4</v>
      </c>
      <c r="I430" s="31">
        <f>CASOPOInvCL!V430</f>
        <v>2025</v>
      </c>
      <c r="J430" s="5" t="str">
        <f>CASOPOInvCL!AB430</f>
        <v>INV12984</v>
      </c>
      <c r="K430" s="31">
        <f>CASOPOInvCL!W430</f>
        <v>6</v>
      </c>
      <c r="L430" s="31">
        <f>CASOPOInvCL!X430</f>
        <v>2025</v>
      </c>
      <c r="M430" s="31"/>
      <c r="N430" s="5" t="str">
        <f>CASOPOInvCL!AF430</f>
        <v>Motion Industries Inc. (U.S.) - Wichita, Motion Industries Inc. (U.S.) - Wichita</v>
      </c>
      <c r="O430" s="16" t="str">
        <f>CASOPOInvCL!AG430</f>
        <v>USD</v>
      </c>
      <c r="P430" s="16">
        <f>CASOPOInvCL!AH430</f>
        <v>145.10175590784112</v>
      </c>
      <c r="Q430" s="16">
        <f>CASOPOInvCL!AI430</f>
        <v>104.04</v>
      </c>
      <c r="R430" s="32" t="str">
        <f>CASOPOInvCL!AU430</f>
        <v>Yes</v>
      </c>
      <c r="S430" s="16">
        <f>CASOPOInvCL!AV430</f>
        <v>0</v>
      </c>
      <c r="T430" s="16">
        <f>CASOPOInvCL!AW430</f>
        <v>104.04</v>
      </c>
      <c r="Y430" s="29" t="str">
        <f>IFERROR(HLOOKUP(U430,List!$D$2:$H$6,2,FALSE),"")</f>
        <v/>
      </c>
      <c r="Z430" s="29" t="str">
        <f>IFERROR(HLOOKUP(V430,List!$D$2:$H$6,3,FALSE),"")</f>
        <v/>
      </c>
      <c r="AA430" s="29" t="str">
        <f>IFERROR(HLOOKUP(W430,List!$D$2:$H$6,4,FALSE),"")</f>
        <v/>
      </c>
      <c r="AB430" s="29" t="str">
        <f>IFERROR(HLOOKUP(X430,List!$D$2:$H$6,5,FALSE),"")</f>
        <v/>
      </c>
      <c r="AC430" s="12" t="str">
        <f t="shared" si="79"/>
        <v/>
      </c>
      <c r="AD430" s="12" t="str">
        <f t="shared" si="80"/>
        <v/>
      </c>
      <c r="AE430" s="12" t="str">
        <f t="shared" si="81"/>
        <v/>
      </c>
      <c r="AF430" s="12" t="str">
        <f t="shared" si="82"/>
        <v/>
      </c>
      <c r="AG430" t="str">
        <f>VLOOKUP(J430,'Receivable Invoice Detail'!$A$1:F3442,6,FALSE)</f>
        <v>[023-Teflon, G-C02495A23 6359] Impeller O-Ring, 3196 STX, Teflon</v>
      </c>
      <c r="AM430" s="12" t="str">
        <f t="shared" si="83"/>
        <v/>
      </c>
      <c r="AN430" s="12" t="str">
        <f t="shared" si="84"/>
        <v/>
      </c>
      <c r="AO430" s="12" t="str">
        <f t="shared" si="85"/>
        <v/>
      </c>
      <c r="AP430" s="12" t="str">
        <f t="shared" si="86"/>
        <v/>
      </c>
      <c r="AQ430" s="12"/>
      <c r="AS430" s="12">
        <f t="shared" si="87"/>
        <v>1.5606</v>
      </c>
      <c r="AT430" s="16" t="str">
        <f t="shared" si="89"/>
        <v>Yes</v>
      </c>
    </row>
    <row r="431" spans="1:46" hidden="1" x14ac:dyDescent="0.25">
      <c r="A431" s="41">
        <f>CASOPOInvCL!T431</f>
        <v>1</v>
      </c>
      <c r="B431" t="str">
        <f>CASOPOInvCL!Z431</f>
        <v>SO16994</v>
      </c>
      <c r="G431" s="5" t="str">
        <f>CASOPOInvCL!I431</f>
        <v>Ian Trottier</v>
      </c>
      <c r="H431" s="31">
        <f>CASOPOInvCL!U431</f>
        <v>4</v>
      </c>
      <c r="I431" s="31">
        <f>CASOPOInvCL!V431</f>
        <v>2025</v>
      </c>
      <c r="J431" s="5" t="str">
        <f>CASOPOInvCL!AB431</f>
        <v>INV12912</v>
      </c>
      <c r="K431" s="31">
        <f>CASOPOInvCL!W431</f>
        <v>5</v>
      </c>
      <c r="L431" s="31">
        <f>CASOPOInvCL!X431</f>
        <v>2025</v>
      </c>
      <c r="M431" s="31"/>
      <c r="N431" s="5" t="str">
        <f>CASOPOInvCL!AF431</f>
        <v>Wajax Limited - Noranda</v>
      </c>
      <c r="O431" s="16" t="str">
        <f>CASOPOInvCL!AG431</f>
        <v>CAD</v>
      </c>
      <c r="P431" s="16">
        <f>CASOPOInvCL!AH431</f>
        <v>295.45999999999998</v>
      </c>
      <c r="Q431" s="16">
        <f>CASOPOInvCL!AI431</f>
        <v>212.79007465120969</v>
      </c>
      <c r="R431" s="32" t="str">
        <f>CASOPOInvCL!AU431</f>
        <v>Yes</v>
      </c>
      <c r="S431" s="16">
        <f>CASOPOInvCL!AV431</f>
        <v>0</v>
      </c>
      <c r="T431" s="16">
        <f>CASOPOInvCL!AW431</f>
        <v>212.79007465120969</v>
      </c>
      <c r="Y431" s="29" t="str">
        <f>IFERROR(HLOOKUP(U431,List!$D$2:$H$6,2,FALSE),"")</f>
        <v/>
      </c>
      <c r="Z431" s="29" t="str">
        <f>IFERROR(HLOOKUP(V431,List!$D$2:$H$6,3,FALSE),"")</f>
        <v/>
      </c>
      <c r="AA431" s="29" t="str">
        <f>IFERROR(HLOOKUP(W431,List!$D$2:$H$6,4,FALSE),"")</f>
        <v/>
      </c>
      <c r="AB431" s="29" t="str">
        <f>IFERROR(HLOOKUP(X431,List!$D$2:$H$6,5,FALSE),"")</f>
        <v/>
      </c>
      <c r="AC431" s="12" t="str">
        <f t="shared" si="79"/>
        <v/>
      </c>
      <c r="AD431" s="12" t="str">
        <f t="shared" si="80"/>
        <v/>
      </c>
      <c r="AE431" s="12" t="str">
        <f t="shared" si="81"/>
        <v/>
      </c>
      <c r="AF431" s="12" t="str">
        <f t="shared" si="82"/>
        <v/>
      </c>
      <c r="AG431" t="str">
        <f>VLOOKUP(J431,'Receivable Invoice Detail'!$A$1:F3443,6,FALSE)</f>
        <v>[AC-98-233-979-003] Sleeve Washer (Impeller), 5x5/5x4/6x6 SRL &amp; SRL-C</v>
      </c>
      <c r="AM431" s="12" t="str">
        <f t="shared" si="83"/>
        <v/>
      </c>
      <c r="AN431" s="12" t="str">
        <f t="shared" si="84"/>
        <v/>
      </c>
      <c r="AO431" s="12" t="str">
        <f t="shared" si="85"/>
        <v/>
      </c>
      <c r="AP431" s="12" t="str">
        <f t="shared" si="86"/>
        <v/>
      </c>
      <c r="AQ431" s="12"/>
      <c r="AS431" s="12">
        <f t="shared" si="87"/>
        <v>3.1918511197681454</v>
      </c>
      <c r="AT431" s="16" t="str">
        <f t="shared" si="89"/>
        <v>Yes</v>
      </c>
    </row>
    <row r="432" spans="1:46" hidden="1" x14ac:dyDescent="0.25">
      <c r="A432" s="41">
        <f>CASOPOInvCL!T432</f>
        <v>1</v>
      </c>
      <c r="B432" t="str">
        <f>CASOPOInvCL!Z432</f>
        <v>SO16995</v>
      </c>
      <c r="G432" s="5" t="str">
        <f>CASOPOInvCL!I432</f>
        <v>Ian Trottier</v>
      </c>
      <c r="H432" s="31">
        <f>CASOPOInvCL!U432</f>
        <v>4</v>
      </c>
      <c r="I432" s="31">
        <f>CASOPOInvCL!V432</f>
        <v>2025</v>
      </c>
      <c r="J432" s="5" t="str">
        <f>CASOPOInvCL!AB432</f>
        <v>INV12895</v>
      </c>
      <c r="K432" s="31">
        <f>CASOPOInvCL!W432</f>
        <v>5</v>
      </c>
      <c r="L432" s="31">
        <f>CASOPOInvCL!X432</f>
        <v>2025</v>
      </c>
      <c r="M432" s="31"/>
      <c r="N432" s="5" t="str">
        <f>CASOPOInvCL!AF432</f>
        <v>Manufacture Sling-Choker (Val-d’Or) Ltée, Manufacture Sling-Choker (Val-d’Or) Ltée</v>
      </c>
      <c r="O432" s="16" t="str">
        <f>CASOPOInvCL!AG432</f>
        <v>CAD</v>
      </c>
      <c r="P432" s="16">
        <f>CASOPOInvCL!AH432</f>
        <v>102.2</v>
      </c>
      <c r="Q432" s="16">
        <f>CASOPOInvCL!AI432</f>
        <v>73.278837554200905</v>
      </c>
      <c r="R432" s="32" t="str">
        <f>CASOPOInvCL!AU432</f>
        <v>Yes</v>
      </c>
      <c r="S432" s="16">
        <f>CASOPOInvCL!AV432</f>
        <v>0</v>
      </c>
      <c r="T432" s="16">
        <f>CASOPOInvCL!AW432</f>
        <v>73.278837554200905</v>
      </c>
      <c r="Y432" s="29" t="str">
        <f>IFERROR(HLOOKUP(U432,List!$D$2:$H$6,2,FALSE),"")</f>
        <v/>
      </c>
      <c r="Z432" s="29" t="str">
        <f>IFERROR(HLOOKUP(V432,List!$D$2:$H$6,3,FALSE),"")</f>
        <v/>
      </c>
      <c r="AA432" s="29" t="str">
        <f>IFERROR(HLOOKUP(W432,List!$D$2:$H$6,4,FALSE),"")</f>
        <v/>
      </c>
      <c r="AB432" s="29" t="str">
        <f>IFERROR(HLOOKUP(X432,List!$D$2:$H$6,5,FALSE),"")</f>
        <v/>
      </c>
      <c r="AC432" s="12" t="str">
        <f t="shared" si="79"/>
        <v/>
      </c>
      <c r="AD432" s="12" t="str">
        <f t="shared" si="80"/>
        <v/>
      </c>
      <c r="AE432" s="12" t="str">
        <f t="shared" si="81"/>
        <v/>
      </c>
      <c r="AF432" s="12" t="str">
        <f t="shared" si="82"/>
        <v/>
      </c>
      <c r="AG432" t="str">
        <f>VLOOKUP(J432,'Receivable Invoice Detail'!$A$1:F3444,6,FALSE)</f>
        <v>[CR 17386, G-8690-93904] Bearing Seal (Inboard), 3x3-10 SRL &amp; SRL-C, Neoprene/Steel</v>
      </c>
      <c r="AM432" s="12" t="str">
        <f t="shared" si="83"/>
        <v/>
      </c>
      <c r="AN432" s="12" t="str">
        <f t="shared" si="84"/>
        <v/>
      </c>
      <c r="AO432" s="12" t="str">
        <f t="shared" si="85"/>
        <v/>
      </c>
      <c r="AP432" s="12" t="str">
        <f t="shared" si="86"/>
        <v/>
      </c>
      <c r="AQ432" s="12"/>
      <c r="AS432" s="12">
        <f t="shared" si="87"/>
        <v>1.0991825633130134</v>
      </c>
      <c r="AT432" s="16" t="str">
        <f t="shared" si="89"/>
        <v>Yes</v>
      </c>
    </row>
    <row r="433" spans="1:46" hidden="1" x14ac:dyDescent="0.25">
      <c r="A433" s="41">
        <f>CASOPOInvCL!T433</f>
        <v>1</v>
      </c>
      <c r="B433" t="str">
        <f>CASOPOInvCL!Z433</f>
        <v>SO16996</v>
      </c>
      <c r="G433" s="5" t="str">
        <f>CASOPOInvCL!I433</f>
        <v>Taylor Cook</v>
      </c>
      <c r="H433" s="31">
        <f>CASOPOInvCL!U433</f>
        <v>4</v>
      </c>
      <c r="I433" s="31">
        <f>CASOPOInvCL!V433</f>
        <v>2025</v>
      </c>
      <c r="J433" s="5" t="str">
        <f>CASOPOInvCL!AB433</f>
        <v>INV12966</v>
      </c>
      <c r="K433" s="31">
        <f>CASOPOInvCL!W433</f>
        <v>5</v>
      </c>
      <c r="L433" s="31">
        <f>CASOPOInvCL!X433</f>
        <v>2025</v>
      </c>
      <c r="M433" s="31"/>
      <c r="N433" s="5" t="str">
        <f>CASOPOInvCL!AF433</f>
        <v>Wild Rows Pump &amp; Compression LTD., Wild Rows Pump &amp; Compression LTD.</v>
      </c>
      <c r="O433" s="16" t="str">
        <f>CASOPOInvCL!AG433</f>
        <v>CAD</v>
      </c>
      <c r="P433" s="16">
        <f>CASOPOInvCL!AH433</f>
        <v>456.4</v>
      </c>
      <c r="Q433" s="16">
        <f>CASOPOInvCL!AI433</f>
        <v>327.24521976259581</v>
      </c>
      <c r="R433" s="32" t="str">
        <f>CASOPOInvCL!AU433</f>
        <v>Yes</v>
      </c>
      <c r="S433" s="16">
        <f>CASOPOInvCL!AV433</f>
        <v>0</v>
      </c>
      <c r="T433" s="16">
        <f>CASOPOInvCL!AW433</f>
        <v>327.24521976259581</v>
      </c>
      <c r="Y433" s="29" t="str">
        <f>IFERROR(HLOOKUP(U433,List!$D$2:$H$6,2,FALSE),"")</f>
        <v/>
      </c>
      <c r="Z433" s="29" t="str">
        <f>IFERROR(HLOOKUP(V433,List!$D$2:$H$6,3,FALSE),"")</f>
        <v/>
      </c>
      <c r="AA433" s="29" t="str">
        <f>IFERROR(HLOOKUP(W433,List!$D$2:$H$6,4,FALSE),"")</f>
        <v/>
      </c>
      <c r="AB433" s="29" t="str">
        <f>IFERROR(HLOOKUP(X433,List!$D$2:$H$6,5,FALSE),"")</f>
        <v/>
      </c>
      <c r="AC433" s="12" t="str">
        <f t="shared" si="79"/>
        <v/>
      </c>
      <c r="AD433" s="12" t="str">
        <f t="shared" si="80"/>
        <v/>
      </c>
      <c r="AE433" s="12" t="str">
        <f t="shared" si="81"/>
        <v/>
      </c>
      <c r="AF433" s="12" t="str">
        <f t="shared" si="82"/>
        <v/>
      </c>
      <c r="AG433" t="str">
        <f>VLOOKUP(J433,'Receivable Invoice Detail'!$A$1:F3445,6,FALSE)</f>
        <v>[W-C2017/U38] Cover Plate Liner, 3/2 C-AH, Urethane</v>
      </c>
      <c r="AM433" s="12" t="str">
        <f t="shared" si="83"/>
        <v/>
      </c>
      <c r="AN433" s="12" t="str">
        <f t="shared" si="84"/>
        <v/>
      </c>
      <c r="AO433" s="12" t="str">
        <f t="shared" si="85"/>
        <v/>
      </c>
      <c r="AP433" s="12" t="str">
        <f t="shared" si="86"/>
        <v/>
      </c>
      <c r="AQ433" s="12"/>
      <c r="AS433" s="12">
        <f t="shared" si="87"/>
        <v>4.9086782964389366</v>
      </c>
      <c r="AT433" s="16" t="str">
        <f t="shared" si="89"/>
        <v>Yes</v>
      </c>
    </row>
    <row r="434" spans="1:46" hidden="1" x14ac:dyDescent="0.25">
      <c r="A434" s="41">
        <f>CASOPOInvCL!T434</f>
        <v>1</v>
      </c>
      <c r="B434" t="str">
        <f>CASOPOInvCL!Z434</f>
        <v>SO17000</v>
      </c>
      <c r="G434" s="5" t="str">
        <f>CASOPOInvCL!I434</f>
        <v>Ian Trottier</v>
      </c>
      <c r="H434" s="31">
        <f>CASOPOInvCL!U434</f>
        <v>4</v>
      </c>
      <c r="I434" s="31">
        <f>CASOPOInvCL!V434</f>
        <v>2025</v>
      </c>
      <c r="J434" s="5" t="str">
        <f>CASOPOInvCL!AB434</f>
        <v>INV12875</v>
      </c>
      <c r="K434" s="31">
        <f>CASOPOInvCL!W434</f>
        <v>5</v>
      </c>
      <c r="L434" s="31">
        <f>CASOPOInvCL!X434</f>
        <v>2025</v>
      </c>
      <c r="M434" s="31"/>
      <c r="N434" s="5" t="str">
        <f>CASOPOInvCL!AF434</f>
        <v>Glencore Canada Corporation - Rouyn-Noranda, Glencore Canada Corp.</v>
      </c>
      <c r="O434" s="16" t="str">
        <f>CASOPOInvCL!AG434</f>
        <v>CAD</v>
      </c>
      <c r="P434" s="16">
        <f>CASOPOInvCL!AH434</f>
        <v>42.52</v>
      </c>
      <c r="Q434" s="16">
        <f>CASOPOInvCL!AI434</f>
        <v>30.487438090064799</v>
      </c>
      <c r="R434" s="32" t="str">
        <f>CASOPOInvCL!AU434</f>
        <v>Yes</v>
      </c>
      <c r="S434" s="16">
        <f>CASOPOInvCL!AV434</f>
        <v>0</v>
      </c>
      <c r="T434" s="16">
        <f>CASOPOInvCL!AW434</f>
        <v>30.487438090064799</v>
      </c>
      <c r="Y434" s="29" t="str">
        <f>IFERROR(HLOOKUP(U434,List!$D$2:$H$6,2,FALSE),"")</f>
        <v/>
      </c>
      <c r="Z434" s="29" t="str">
        <f>IFERROR(HLOOKUP(V434,List!$D$2:$H$6,3,FALSE),"")</f>
        <v/>
      </c>
      <c r="AA434" s="29" t="str">
        <f>IFERROR(HLOOKUP(W434,List!$D$2:$H$6,4,FALSE),"")</f>
        <v/>
      </c>
      <c r="AB434" s="29" t="str">
        <f>IFERROR(HLOOKUP(X434,List!$D$2:$H$6,5,FALSE),"")</f>
        <v/>
      </c>
      <c r="AC434" s="12" t="str">
        <f t="shared" si="79"/>
        <v/>
      </c>
      <c r="AD434" s="12" t="str">
        <f t="shared" si="80"/>
        <v/>
      </c>
      <c r="AE434" s="12" t="str">
        <f t="shared" si="81"/>
        <v/>
      </c>
      <c r="AF434" s="12" t="str">
        <f t="shared" si="82"/>
        <v/>
      </c>
      <c r="AG434" t="str">
        <f>VLOOKUP(J434,'Receivable Invoice Detail'!$A$1:F3446,6,FALSE)</f>
        <v>[AC-98-233-700-002] Bearing Cover Gasket (Inboard &amp; Outboard), 5x4/5x5/6x6 SRL &amp; SRL-C</v>
      </c>
      <c r="AM434" s="12" t="str">
        <f t="shared" si="83"/>
        <v/>
      </c>
      <c r="AN434" s="12" t="str">
        <f t="shared" si="84"/>
        <v/>
      </c>
      <c r="AO434" s="12" t="str">
        <f t="shared" si="85"/>
        <v/>
      </c>
      <c r="AP434" s="12" t="str">
        <f t="shared" si="86"/>
        <v/>
      </c>
      <c r="AQ434" s="12"/>
      <c r="AS434" s="12">
        <f t="shared" si="87"/>
        <v>0.45731157135097195</v>
      </c>
      <c r="AT434" s="16" t="str">
        <f t="shared" si="89"/>
        <v>Yes</v>
      </c>
    </row>
    <row r="435" spans="1:46" hidden="1" x14ac:dyDescent="0.25">
      <c r="A435" s="41">
        <f>CASOPOInvCL!T435</f>
        <v>1</v>
      </c>
      <c r="B435" t="str">
        <f>CASOPOInvCL!Z435</f>
        <v>SO17001</v>
      </c>
      <c r="G435" s="5" t="str">
        <f>CASOPOInvCL!I435</f>
        <v>Ian Trottier</v>
      </c>
      <c r="H435" s="31">
        <f>CASOPOInvCL!U435</f>
        <v>4</v>
      </c>
      <c r="I435" s="31">
        <f>CASOPOInvCL!V435</f>
        <v>2025</v>
      </c>
      <c r="J435" s="5" t="str">
        <f>CASOPOInvCL!AB435</f>
        <v>INV12932</v>
      </c>
      <c r="K435" s="31">
        <f>CASOPOInvCL!W435</f>
        <v>6</v>
      </c>
      <c r="L435" s="31">
        <f>CASOPOInvCL!X435</f>
        <v>2025</v>
      </c>
      <c r="M435" s="31"/>
      <c r="N435" s="5" t="str">
        <f>CASOPOInvCL!AF435</f>
        <v>Glencore Canada Corporation - Rouyn-Noranda, Glencore Canada Corp.</v>
      </c>
      <c r="O435" s="16" t="str">
        <f>CASOPOInvCL!AG435</f>
        <v>CAD</v>
      </c>
      <c r="P435" s="16">
        <f>CASOPOInvCL!AH435</f>
        <v>1492.52</v>
      </c>
      <c r="Q435" s="16">
        <f>CASOPOInvCL!AI435</f>
        <v>1074.9118060597832</v>
      </c>
      <c r="R435" s="32" t="str">
        <f>CASOPOInvCL!AU435</f>
        <v>Yes</v>
      </c>
      <c r="S435" s="16">
        <f>CASOPOInvCL!AV435</f>
        <v>0</v>
      </c>
      <c r="T435" s="16">
        <f>CASOPOInvCL!AW435</f>
        <v>1074.9118060597832</v>
      </c>
      <c r="Y435" s="29" t="str">
        <f>IFERROR(HLOOKUP(U435,List!$D$2:$H$6,2,FALSE),"")</f>
        <v/>
      </c>
      <c r="Z435" s="29" t="str">
        <f>IFERROR(HLOOKUP(V435,List!$D$2:$H$6,3,FALSE),"")</f>
        <v/>
      </c>
      <c r="AA435" s="29" t="str">
        <f>IFERROR(HLOOKUP(W435,List!$D$2:$H$6,4,FALSE),"")</f>
        <v/>
      </c>
      <c r="AB435" s="29" t="str">
        <f>IFERROR(HLOOKUP(X435,List!$D$2:$H$6,5,FALSE),"")</f>
        <v/>
      </c>
      <c r="AC435" s="12" t="str">
        <f t="shared" si="79"/>
        <v/>
      </c>
      <c r="AD435" s="12" t="str">
        <f t="shared" si="80"/>
        <v/>
      </c>
      <c r="AE435" s="12" t="str">
        <f t="shared" si="81"/>
        <v/>
      </c>
      <c r="AF435" s="12" t="str">
        <f t="shared" si="82"/>
        <v/>
      </c>
      <c r="AG435" t="str">
        <f>VLOOKUP(J435,'Receivable Invoice Detail'!$A$1:F3447,6,FALSE)</f>
        <v>[AC-98-331-932-501] Shaft Assembly, 5x4-14 SRL-C &amp; 5x5-14 SRL, 1045 Steel</v>
      </c>
      <c r="AM435" s="12" t="str">
        <f t="shared" si="83"/>
        <v/>
      </c>
      <c r="AN435" s="12" t="str">
        <f t="shared" si="84"/>
        <v/>
      </c>
      <c r="AO435" s="12" t="str">
        <f t="shared" si="85"/>
        <v/>
      </c>
      <c r="AP435" s="12" t="str">
        <f t="shared" si="86"/>
        <v/>
      </c>
      <c r="AQ435" s="12"/>
      <c r="AS435" s="12">
        <f t="shared" si="87"/>
        <v>16.123677090896749</v>
      </c>
      <c r="AT435" s="16" t="str">
        <f t="shared" si="89"/>
        <v>Yes</v>
      </c>
    </row>
    <row r="436" spans="1:46" hidden="1" x14ac:dyDescent="0.25">
      <c r="A436" s="41">
        <f>CASOPOInvCL!T436</f>
        <v>1</v>
      </c>
      <c r="B436" t="str">
        <f>CASOPOInvCL!Z436</f>
        <v>SO17003</v>
      </c>
      <c r="G436" s="5" t="str">
        <f>CASOPOInvCL!I436</f>
        <v>Ian Trottier</v>
      </c>
      <c r="H436" s="31">
        <f>CASOPOInvCL!U436</f>
        <v>4</v>
      </c>
      <c r="I436" s="31">
        <f>CASOPOInvCL!V436</f>
        <v>2025</v>
      </c>
      <c r="J436" s="5" t="str">
        <f>CASOPOInvCL!AB436</f>
        <v>INV12891</v>
      </c>
      <c r="K436" s="31">
        <f>CASOPOInvCL!W436</f>
        <v>6</v>
      </c>
      <c r="L436" s="31">
        <f>CASOPOInvCL!X436</f>
        <v>2025</v>
      </c>
      <c r="M436" s="31"/>
      <c r="N436" s="5" t="str">
        <f>CASOPOInvCL!AF436</f>
        <v>PT Vale Indonesia Tbk.</v>
      </c>
      <c r="O436" s="16" t="str">
        <f>CASOPOInvCL!AG436</f>
        <v>USD</v>
      </c>
      <c r="P436" s="16">
        <f>CASOPOInvCL!AH436</f>
        <v>471.88329232267211</v>
      </c>
      <c r="Q436" s="16">
        <f>CASOPOInvCL!AI436</f>
        <v>339.85</v>
      </c>
      <c r="R436" s="32" t="str">
        <f>CASOPOInvCL!AU436</f>
        <v>Yes</v>
      </c>
      <c r="S436" s="16">
        <f>CASOPOInvCL!AV436</f>
        <v>0</v>
      </c>
      <c r="T436" s="16">
        <f>CASOPOInvCL!AW436</f>
        <v>339.85</v>
      </c>
      <c r="Y436" s="29" t="str">
        <f>IFERROR(HLOOKUP(U436,List!$D$2:$H$6,2,FALSE),"")</f>
        <v/>
      </c>
      <c r="Z436" s="29" t="str">
        <f>IFERROR(HLOOKUP(V436,List!$D$2:$H$6,3,FALSE),"")</f>
        <v/>
      </c>
      <c r="AA436" s="29" t="str">
        <f>IFERROR(HLOOKUP(W436,List!$D$2:$H$6,4,FALSE),"")</f>
        <v/>
      </c>
      <c r="AB436" s="29" t="str">
        <f>IFERROR(HLOOKUP(X436,List!$D$2:$H$6,5,FALSE),"")</f>
        <v/>
      </c>
      <c r="AC436" s="12" t="str">
        <f t="shared" si="79"/>
        <v/>
      </c>
      <c r="AD436" s="12" t="str">
        <f t="shared" si="80"/>
        <v/>
      </c>
      <c r="AE436" s="12" t="str">
        <f t="shared" si="81"/>
        <v/>
      </c>
      <c r="AF436" s="12" t="str">
        <f t="shared" si="82"/>
        <v/>
      </c>
      <c r="AG436" t="str">
        <f>VLOOKUP(J436,'Receivable Invoice Detail'!$A$1:F3448,6,FALSE)</f>
        <v>[W-B073M/E05] Shaft, 1.5/1 or 2/1.5 B-AH, 1045 Steel, Metric</v>
      </c>
      <c r="AM436" s="12" t="str">
        <f t="shared" si="83"/>
        <v/>
      </c>
      <c r="AN436" s="12" t="str">
        <f t="shared" si="84"/>
        <v/>
      </c>
      <c r="AO436" s="12" t="str">
        <f t="shared" si="85"/>
        <v/>
      </c>
      <c r="AP436" s="12" t="str">
        <f t="shared" si="86"/>
        <v/>
      </c>
      <c r="AQ436" s="12"/>
      <c r="AS436" s="12">
        <f t="shared" si="87"/>
        <v>5.0977500000000004</v>
      </c>
      <c r="AT436" s="16" t="str">
        <f t="shared" si="89"/>
        <v>Yes</v>
      </c>
    </row>
    <row r="437" spans="1:46" hidden="1" x14ac:dyDescent="0.25">
      <c r="A437" s="41">
        <f>CASOPOInvCL!T437</f>
        <v>1</v>
      </c>
      <c r="B437" t="str">
        <f>CASOPOInvCL!Z437</f>
        <v>SO17004</v>
      </c>
      <c r="D437" t="s">
        <v>5925</v>
      </c>
      <c r="G437" s="5" t="str">
        <f>CASOPOInvCL!I437</f>
        <v>Ian Trottier</v>
      </c>
      <c r="H437" s="31">
        <f>CASOPOInvCL!U437</f>
        <v>4</v>
      </c>
      <c r="I437" s="31">
        <f>CASOPOInvCL!V437</f>
        <v>2025</v>
      </c>
      <c r="J437" s="5" t="str">
        <f>CASOPOInvCL!AB437</f>
        <v>INV13056</v>
      </c>
      <c r="K437" s="31">
        <f>CASOPOInvCL!W437</f>
        <v>8</v>
      </c>
      <c r="L437" s="31">
        <f>CASOPOInvCL!X437</f>
        <v>2025</v>
      </c>
      <c r="M437">
        <v>2503</v>
      </c>
      <c r="N437" s="5" t="str">
        <f>CASOPOInvCL!AF437</f>
        <v>Quality Concrete Inc.</v>
      </c>
      <c r="O437" s="16" t="str">
        <f>CASOPOInvCL!AG437</f>
        <v>CAD</v>
      </c>
      <c r="P437" s="16">
        <f>CASOPOInvCL!AH437</f>
        <v>6357.14</v>
      </c>
      <c r="Q437" s="16">
        <f>CASOPOInvCL!AI437</f>
        <v>4587.4382802774253</v>
      </c>
      <c r="R437" s="32" t="str">
        <f>CASOPOInvCL!AU437</f>
        <v>Yes</v>
      </c>
      <c r="S437" s="16">
        <f>CASOPOInvCL!AV437</f>
        <v>0</v>
      </c>
      <c r="T437" s="16">
        <f>CASOPOInvCL!AW437</f>
        <v>4587.4382802774253</v>
      </c>
      <c r="V437" t="s">
        <v>5800</v>
      </c>
      <c r="Y437" s="29" t="str">
        <f>IFERROR(HLOOKUP(U437,List!$D$2:$H$6,2,FALSE),"")</f>
        <v/>
      </c>
      <c r="Z437" s="29">
        <f>IFERROR(HLOOKUP(V437,List!$D$2:$H$6,3,FALSE),"")</f>
        <v>5.0000000000000001E-3</v>
      </c>
      <c r="AA437" s="29" t="str">
        <f>IFERROR(HLOOKUP(W437,List!$D$2:$H$6,4,FALSE),"")</f>
        <v/>
      </c>
      <c r="AB437" s="29" t="str">
        <f>IFERROR(HLOOKUP(X437,List!$D$2:$H$6,5,FALSE),"")</f>
        <v/>
      </c>
      <c r="AC437" s="12" t="str">
        <f t="shared" si="79"/>
        <v/>
      </c>
      <c r="AD437" s="12">
        <f t="shared" si="80"/>
        <v>22.937191401387128</v>
      </c>
      <c r="AE437" s="12" t="str">
        <f t="shared" si="81"/>
        <v/>
      </c>
      <c r="AF437" s="12" t="str">
        <f t="shared" si="82"/>
        <v/>
      </c>
      <c r="AG437" t="str">
        <f>VLOOKUP(J437,'Receivable Invoice Detail'!$A$1:F3449,6,FALSE)</f>
        <v>[RDNPRO159] REPAIR - P/N 4533-1AL - 8X6 LINATEX OLD STYLE IMPELLER, RUBBER LINED, REMOVE OLD RUBBER AND REBUILD BACK TO OEM SPEC USING LINATEX RED RUBBER.</v>
      </c>
      <c r="AH437" s="12">
        <f t="shared" ref="AH437" si="98">SUM(AC437:AF437)</f>
        <v>22.937191401387128</v>
      </c>
      <c r="AM437" s="12" t="str">
        <f t="shared" si="83"/>
        <v/>
      </c>
      <c r="AN437" s="12">
        <f t="shared" si="84"/>
        <v>22.937191401387128</v>
      </c>
      <c r="AO437" s="12" t="str">
        <f t="shared" si="85"/>
        <v/>
      </c>
      <c r="AP437" s="12" t="str">
        <f t="shared" si="86"/>
        <v/>
      </c>
      <c r="AQ437" s="64">
        <v>2503</v>
      </c>
      <c r="AR437" t="s">
        <v>5932</v>
      </c>
      <c r="AS437" s="12">
        <f t="shared" si="87"/>
        <v>68.811574204161374</v>
      </c>
      <c r="AT437" s="16" t="str">
        <f t="shared" si="89"/>
        <v>Yes</v>
      </c>
    </row>
    <row r="438" spans="1:46" hidden="1" x14ac:dyDescent="0.25">
      <c r="A438" s="41">
        <f>CASOPOInvCL!T438</f>
        <v>1</v>
      </c>
      <c r="B438" t="str">
        <f>CASOPOInvCL!Z438</f>
        <v>SO17005</v>
      </c>
      <c r="G438" s="5" t="str">
        <f>CASOPOInvCL!I438</f>
        <v>Ian Trottier</v>
      </c>
      <c r="H438" s="31">
        <f>CASOPOInvCL!U438</f>
        <v>4</v>
      </c>
      <c r="I438" s="31">
        <f>CASOPOInvCL!V438</f>
        <v>2025</v>
      </c>
      <c r="J438" s="5" t="str">
        <f>CASOPOInvCL!AB438</f>
        <v>INV12930</v>
      </c>
      <c r="K438" s="31">
        <f>CASOPOInvCL!W438</f>
        <v>6</v>
      </c>
      <c r="L438" s="31">
        <f>CASOPOInvCL!X438</f>
        <v>2025</v>
      </c>
      <c r="M438" s="31"/>
      <c r="N438" s="5" t="str">
        <f>CASOPOInvCL!AF438</f>
        <v>Wajax Limited - Lachine</v>
      </c>
      <c r="O438" s="16" t="str">
        <f>CASOPOInvCL!AG438</f>
        <v>CAD</v>
      </c>
      <c r="P438" s="16">
        <f>CASOPOInvCL!AH438</f>
        <v>449.67</v>
      </c>
      <c r="Q438" s="16">
        <f>CASOPOInvCL!AI438</f>
        <v>323.7139423594781</v>
      </c>
      <c r="R438" s="32" t="str">
        <f>CASOPOInvCL!AU438</f>
        <v>Yes</v>
      </c>
      <c r="S438" s="16">
        <f>CASOPOInvCL!AV438</f>
        <v>0</v>
      </c>
      <c r="T438" s="16">
        <f>CASOPOInvCL!AW438</f>
        <v>323.7139423594781</v>
      </c>
      <c r="Y438" s="29" t="str">
        <f>IFERROR(HLOOKUP(U438,List!$D$2:$H$6,2,FALSE),"")</f>
        <v/>
      </c>
      <c r="Z438" s="29" t="str">
        <f>IFERROR(HLOOKUP(V438,List!$D$2:$H$6,3,FALSE),"")</f>
        <v/>
      </c>
      <c r="AA438" s="29" t="str">
        <f>IFERROR(HLOOKUP(W438,List!$D$2:$H$6,4,FALSE),"")</f>
        <v/>
      </c>
      <c r="AB438" s="29" t="str">
        <f>IFERROR(HLOOKUP(X438,List!$D$2:$H$6,5,FALSE),"")</f>
        <v/>
      </c>
      <c r="AC438" s="12" t="str">
        <f t="shared" si="79"/>
        <v/>
      </c>
      <c r="AD438" s="12" t="str">
        <f t="shared" si="80"/>
        <v/>
      </c>
      <c r="AE438" s="12" t="str">
        <f t="shared" si="81"/>
        <v/>
      </c>
      <c r="AF438" s="12" t="str">
        <f t="shared" si="82"/>
        <v/>
      </c>
      <c r="AG438" t="str">
        <f>VLOOKUP(J438,'Receivable Invoice Detail'!$A$1:F3450,6,FALSE)</f>
        <v>[W-G039M/E62] Frame Plate Stud w/2 Nuts, 10/8 to 14/12, Metric</v>
      </c>
      <c r="AM438" s="12" t="str">
        <f t="shared" si="83"/>
        <v/>
      </c>
      <c r="AN438" s="12" t="str">
        <f t="shared" si="84"/>
        <v/>
      </c>
      <c r="AO438" s="12" t="str">
        <f t="shared" si="85"/>
        <v/>
      </c>
      <c r="AP438" s="12" t="str">
        <f t="shared" si="86"/>
        <v/>
      </c>
      <c r="AQ438" s="12"/>
      <c r="AS438" s="12">
        <f t="shared" si="87"/>
        <v>4.8557091353921713</v>
      </c>
      <c r="AT438" s="16" t="str">
        <f t="shared" si="89"/>
        <v>Yes</v>
      </c>
    </row>
    <row r="439" spans="1:46" hidden="1" x14ac:dyDescent="0.25">
      <c r="A439" s="41">
        <f>CASOPOInvCL!T439</f>
        <v>1</v>
      </c>
      <c r="B439" t="str">
        <f>CASOPOInvCL!Z439</f>
        <v>SO17006</v>
      </c>
      <c r="G439" s="5" t="str">
        <f>CASOPOInvCL!I439</f>
        <v>Ian Trottier</v>
      </c>
      <c r="H439" s="31">
        <f>CASOPOInvCL!U439</f>
        <v>4</v>
      </c>
      <c r="I439" s="31">
        <f>CASOPOInvCL!V439</f>
        <v>2025</v>
      </c>
      <c r="J439" s="5" t="str">
        <f>CASOPOInvCL!AB439</f>
        <v>INV12892</v>
      </c>
      <c r="K439" s="31">
        <f>CASOPOInvCL!W439</f>
        <v>5</v>
      </c>
      <c r="L439" s="31">
        <f>CASOPOInvCL!X439</f>
        <v>2025</v>
      </c>
      <c r="M439" s="31"/>
      <c r="N439" s="5" t="str">
        <f>CASOPOInvCL!AF439</f>
        <v>Manufacture Sling-Choker (Val-d’Or) Ltée</v>
      </c>
      <c r="O439" s="16" t="str">
        <f>CASOPOInvCL!AG439</f>
        <v>CAD</v>
      </c>
      <c r="P439" s="16">
        <f>CASOPOInvCL!AH439</f>
        <v>124.98</v>
      </c>
      <c r="Q439" s="16">
        <f>CASOPOInvCL!AI439</f>
        <v>90.188046239200744</v>
      </c>
      <c r="R439" s="32" t="str">
        <f>CASOPOInvCL!AU439</f>
        <v>Yes</v>
      </c>
      <c r="S439" s="16">
        <f>CASOPOInvCL!AV439</f>
        <v>0</v>
      </c>
      <c r="T439" s="16">
        <f>CASOPOInvCL!AW439</f>
        <v>90.188046239200744</v>
      </c>
      <c r="Y439" s="29" t="str">
        <f>IFERROR(HLOOKUP(U439,List!$D$2:$H$6,2,FALSE),"")</f>
        <v/>
      </c>
      <c r="Z439" s="29" t="str">
        <f>IFERROR(HLOOKUP(V439,List!$D$2:$H$6,3,FALSE),"")</f>
        <v/>
      </c>
      <c r="AA439" s="29" t="str">
        <f>IFERROR(HLOOKUP(W439,List!$D$2:$H$6,4,FALSE),"")</f>
        <v/>
      </c>
      <c r="AB439" s="29" t="str">
        <f>IFERROR(HLOOKUP(X439,List!$D$2:$H$6,5,FALSE),"")</f>
        <v/>
      </c>
      <c r="AC439" s="12" t="str">
        <f t="shared" si="79"/>
        <v/>
      </c>
      <c r="AD439" s="12" t="str">
        <f t="shared" si="80"/>
        <v/>
      </c>
      <c r="AE439" s="12" t="str">
        <f t="shared" si="81"/>
        <v/>
      </c>
      <c r="AF439" s="12" t="str">
        <f t="shared" si="82"/>
        <v/>
      </c>
      <c r="AG439" t="str">
        <f>VLOOKUP(J439,'Receivable Invoice Detail'!$A$1:F3451,6,FALSE)</f>
        <v>[AC-98-131-246-504] Deflector (Water Slinger), 3x3-10 SRL/SRL-C, Neoprene/Steel</v>
      </c>
      <c r="AM439" s="12" t="str">
        <f t="shared" si="83"/>
        <v/>
      </c>
      <c r="AN439" s="12" t="str">
        <f t="shared" si="84"/>
        <v/>
      </c>
      <c r="AO439" s="12" t="str">
        <f t="shared" si="85"/>
        <v/>
      </c>
      <c r="AP439" s="12" t="str">
        <f t="shared" si="86"/>
        <v/>
      </c>
      <c r="AQ439" s="12"/>
      <c r="AS439" s="12">
        <f t="shared" si="87"/>
        <v>1.3528206935880112</v>
      </c>
      <c r="AT439" s="16" t="str">
        <f t="shared" si="89"/>
        <v>Yes</v>
      </c>
    </row>
    <row r="440" spans="1:46" hidden="1" x14ac:dyDescent="0.25">
      <c r="A440" s="41">
        <f>CASOPOInvCL!T440</f>
        <v>1</v>
      </c>
      <c r="B440" t="str">
        <f>CASOPOInvCL!Z440</f>
        <v>SO17008</v>
      </c>
      <c r="G440" s="5" t="str">
        <f>CASOPOInvCL!I440</f>
        <v>Ian Trottier</v>
      </c>
      <c r="H440" s="31">
        <f>CASOPOInvCL!U440</f>
        <v>4</v>
      </c>
      <c r="I440" s="31">
        <f>CASOPOInvCL!V440</f>
        <v>2025</v>
      </c>
      <c r="J440" s="5" t="str">
        <f>CASOPOInvCL!AB440</f>
        <v>INV13372</v>
      </c>
      <c r="K440" s="31">
        <f>CASOPOInvCL!W440</f>
        <v>9</v>
      </c>
      <c r="L440" s="31">
        <f>CASOPOInvCL!X440</f>
        <v>2025</v>
      </c>
      <c r="M440" s="31"/>
      <c r="N440" s="5" t="str">
        <f>CASOPOInvCL!AF440</f>
        <v>MJR Admin</v>
      </c>
      <c r="O440" s="16" t="str">
        <f>CASOPOInvCL!AG440</f>
        <v>CAD</v>
      </c>
      <c r="P440" s="16">
        <f>CASOPOInvCL!AH440</f>
        <v>7183.59</v>
      </c>
      <c r="Q440" s="16">
        <f>CASOPOInvCL!AI440</f>
        <v>5212.4284452710053</v>
      </c>
      <c r="R440" s="32" t="str">
        <f>CASOPOInvCL!AU440</f>
        <v>Yes</v>
      </c>
      <c r="S440" s="16">
        <f>CASOPOInvCL!AV440</f>
        <v>0</v>
      </c>
      <c r="T440" s="16">
        <f>CASOPOInvCL!AW440</f>
        <v>5212.4284452710053</v>
      </c>
      <c r="Y440" s="29" t="str">
        <f>IFERROR(HLOOKUP(U440,List!$D$2:$H$6,2,FALSE),"")</f>
        <v/>
      </c>
      <c r="Z440" s="29" t="str">
        <f>IFERROR(HLOOKUP(V440,List!$D$2:$H$6,3,FALSE),"")</f>
        <v/>
      </c>
      <c r="AA440" s="29" t="str">
        <f>IFERROR(HLOOKUP(W440,List!$D$2:$H$6,4,FALSE),"")</f>
        <v/>
      </c>
      <c r="AB440" s="29" t="str">
        <f>IFERROR(HLOOKUP(X440,List!$D$2:$H$6,5,FALSE),"")</f>
        <v/>
      </c>
      <c r="AC440" s="12" t="str">
        <f t="shared" si="79"/>
        <v/>
      </c>
      <c r="AD440" s="12" t="str">
        <f t="shared" si="80"/>
        <v/>
      </c>
      <c r="AE440" s="12" t="str">
        <f t="shared" si="81"/>
        <v/>
      </c>
      <c r="AF440" s="12" t="str">
        <f t="shared" si="82"/>
        <v/>
      </c>
      <c r="AG440" t="str">
        <f>VLOOKUP(J440,'Receivable Invoice Detail'!$A$1:F3452,6,FALSE)</f>
        <v>[AC-98-331-958-831] Shaft Sleeve, 5x4/5x5/6X6 SRL-C &amp; SRL, 420SS Heat Treated, Hardened</v>
      </c>
      <c r="AM440" s="12" t="str">
        <f t="shared" si="83"/>
        <v/>
      </c>
      <c r="AN440" s="12" t="str">
        <f t="shared" si="84"/>
        <v/>
      </c>
      <c r="AO440" s="12" t="str">
        <f t="shared" si="85"/>
        <v/>
      </c>
      <c r="AP440" s="12" t="str">
        <f t="shared" si="86"/>
        <v/>
      </c>
      <c r="AQ440" s="12"/>
      <c r="AS440" s="12">
        <f t="shared" si="87"/>
        <v>78.186426679065079</v>
      </c>
      <c r="AT440" s="16" t="str">
        <f t="shared" si="89"/>
        <v>Yes</v>
      </c>
    </row>
    <row r="441" spans="1:46" hidden="1" x14ac:dyDescent="0.25">
      <c r="A441" s="41">
        <f>CASOPOInvCL!T441</f>
        <v>1</v>
      </c>
      <c r="B441" t="str">
        <f>CASOPOInvCL!Z441</f>
        <v>SO17009</v>
      </c>
      <c r="D441" t="s">
        <v>5915</v>
      </c>
      <c r="G441" s="5" t="str">
        <f>CASOPOInvCL!I441</f>
        <v>Ian Trottier</v>
      </c>
      <c r="H441" s="31">
        <f>CASOPOInvCL!U441</f>
        <v>4</v>
      </c>
      <c r="I441" s="31">
        <f>CASOPOInvCL!V441</f>
        <v>2025</v>
      </c>
      <c r="J441" s="5" t="str">
        <f>CASOPOInvCL!AB441</f>
        <v>INV13230</v>
      </c>
      <c r="K441" s="31">
        <f>CASOPOInvCL!W441</f>
        <v>8</v>
      </c>
      <c r="L441" s="31">
        <f>CASOPOInvCL!X441</f>
        <v>2025</v>
      </c>
      <c r="M441">
        <v>2503</v>
      </c>
      <c r="N441" s="5" t="str">
        <f>CASOPOInvCL!AF441</f>
        <v>Sling-Choker Manufacturing - Timmins</v>
      </c>
      <c r="O441" s="16" t="str">
        <f>CASOPOInvCL!AG441</f>
        <v>CAD</v>
      </c>
      <c r="P441" s="16">
        <f>CASOPOInvCL!AH441</f>
        <v>721.19</v>
      </c>
      <c r="Q441" s="16">
        <f>CASOPOInvCL!AI441</f>
        <v>526.61382347822223</v>
      </c>
      <c r="R441" s="32" t="str">
        <f>CASOPOInvCL!AU441</f>
        <v>Yes</v>
      </c>
      <c r="S441" s="16">
        <f>CASOPOInvCL!AV441</f>
        <v>0</v>
      </c>
      <c r="T441" s="16">
        <f>CASOPOInvCL!AW441</f>
        <v>526.61382347822223</v>
      </c>
      <c r="V441" t="s">
        <v>5800</v>
      </c>
      <c r="Y441" s="29" t="str">
        <f>IFERROR(HLOOKUP(U441,List!$D$2:$H$6,2,FALSE),"")</f>
        <v/>
      </c>
      <c r="Z441" s="29">
        <f>IFERROR(HLOOKUP(V441,List!$D$2:$H$6,3,FALSE),"")</f>
        <v>5.0000000000000001E-3</v>
      </c>
      <c r="AA441" s="29" t="str">
        <f>IFERROR(HLOOKUP(W441,List!$D$2:$H$6,4,FALSE),"")</f>
        <v/>
      </c>
      <c r="AB441" s="29" t="str">
        <f>IFERROR(HLOOKUP(X441,List!$D$2:$H$6,5,FALSE),"")</f>
        <v/>
      </c>
      <c r="AC441" s="12" t="str">
        <f t="shared" si="79"/>
        <v/>
      </c>
      <c r="AD441" s="12">
        <f t="shared" si="80"/>
        <v>2.6330691173911114</v>
      </c>
      <c r="AE441" s="12" t="str">
        <f t="shared" si="81"/>
        <v/>
      </c>
      <c r="AF441" s="12" t="str">
        <f t="shared" si="82"/>
        <v/>
      </c>
      <c r="AG441" t="str">
        <f>VLOOKUP(J441,'Receivable Invoice Detail'!$A$1:F3453,6,FALSE)</f>
        <v>[AC-98-233-700-002] Bearing Cover Gasket (Inboard &amp; Outboard), 5x4/5x5/6x6 SRL &amp; SRL-C</v>
      </c>
      <c r="AJ441">
        <v>2503</v>
      </c>
      <c r="AM441" s="12" t="str">
        <f t="shared" si="83"/>
        <v/>
      </c>
      <c r="AN441" s="12">
        <f t="shared" si="84"/>
        <v>0</v>
      </c>
      <c r="AO441" s="12" t="str">
        <f t="shared" si="85"/>
        <v/>
      </c>
      <c r="AP441" s="12" t="str">
        <f t="shared" si="86"/>
        <v/>
      </c>
      <c r="AQ441" s="64">
        <f>M441</f>
        <v>2503</v>
      </c>
      <c r="AR441" t="s">
        <v>5931</v>
      </c>
      <c r="AS441" s="12">
        <f t="shared" si="87"/>
        <v>7.8992073521733328</v>
      </c>
      <c r="AT441" s="16" t="str">
        <f t="shared" si="89"/>
        <v>Yes</v>
      </c>
    </row>
    <row r="442" spans="1:46" hidden="1" x14ac:dyDescent="0.25">
      <c r="A442" s="41">
        <f>CASOPOInvCL!T442</f>
        <v>1</v>
      </c>
      <c r="B442" t="str">
        <f>CASOPOInvCL!Z442</f>
        <v>SO17010</v>
      </c>
      <c r="G442" s="5" t="str">
        <f>CASOPOInvCL!I442</f>
        <v>Yannett Yeomans</v>
      </c>
      <c r="H442" s="31">
        <f>CASOPOInvCL!U442</f>
        <v>4</v>
      </c>
      <c r="I442" s="31">
        <f>CASOPOInvCL!V442</f>
        <v>2025</v>
      </c>
      <c r="J442" s="5" t="str">
        <f>CASOPOInvCL!AB442</f>
        <v>INV13272</v>
      </c>
      <c r="K442" s="31" t="str">
        <f>CASOPOInvCL!W442</f>
        <v/>
      </c>
      <c r="L442" s="31" t="str">
        <f>CASOPOInvCL!X442</f>
        <v/>
      </c>
      <c r="M442" s="31"/>
      <c r="N442" s="5" t="str">
        <f>CASOPOInvCL!AF442</f>
        <v>Dynapro Pumps México S de RL de CV</v>
      </c>
      <c r="O442" s="16" t="str">
        <f>CASOPOInvCL!AG442</f>
        <v>USD</v>
      </c>
      <c r="P442" s="16">
        <f>CASOPOInvCL!AH442</f>
        <v>21452.99658682627</v>
      </c>
      <c r="Q442" s="16">
        <f>CASOPOInvCL!AI442</f>
        <v>15492</v>
      </c>
      <c r="R442" s="32" t="str">
        <f>CASOPOInvCL!AU442</f>
        <v/>
      </c>
      <c r="S442" s="16">
        <f>CASOPOInvCL!AV442</f>
        <v>0</v>
      </c>
      <c r="T442" s="16">
        <f>CASOPOInvCL!AW442</f>
        <v>0</v>
      </c>
      <c r="Y442" s="29" t="str">
        <f>IFERROR(HLOOKUP(U442,List!$D$2:$H$6,2,FALSE),"")</f>
        <v/>
      </c>
      <c r="Z442" s="29" t="str">
        <f>IFERROR(HLOOKUP(V442,List!$D$2:$H$6,3,FALSE),"")</f>
        <v/>
      </c>
      <c r="AA442" s="29" t="str">
        <f>IFERROR(HLOOKUP(W442,List!$D$2:$H$6,4,FALSE),"")</f>
        <v/>
      </c>
      <c r="AB442" s="29" t="str">
        <f>IFERROR(HLOOKUP(X442,List!$D$2:$H$6,5,FALSE),"")</f>
        <v/>
      </c>
      <c r="AC442" s="12" t="str">
        <f t="shared" si="79"/>
        <v/>
      </c>
      <c r="AD442" s="12" t="str">
        <f t="shared" si="80"/>
        <v/>
      </c>
      <c r="AE442" s="12" t="str">
        <f t="shared" si="81"/>
        <v/>
      </c>
      <c r="AF442" s="12" t="str">
        <f t="shared" si="82"/>
        <v/>
      </c>
      <c r="AG442" t="str">
        <f>VLOOKUP(J442,'Receivable Invoice Detail'!$A$1:F3454,6,FALSE)</f>
        <v>[6254C-00-0028G] Pump Casing, Dynapro 6X8 MDX-025, High Chrome</v>
      </c>
      <c r="AM442" s="12" t="str">
        <f t="shared" si="83"/>
        <v/>
      </c>
      <c r="AN442" s="12" t="str">
        <f t="shared" si="84"/>
        <v/>
      </c>
      <c r="AO442" s="12" t="str">
        <f t="shared" si="85"/>
        <v/>
      </c>
      <c r="AP442" s="12" t="str">
        <f t="shared" si="86"/>
        <v/>
      </c>
      <c r="AQ442" s="12"/>
      <c r="AR442" s="16" t="s">
        <v>5940</v>
      </c>
      <c r="AS442" s="12">
        <f t="shared" si="87"/>
        <v>0</v>
      </c>
      <c r="AT442" s="16" t="s">
        <v>5940</v>
      </c>
    </row>
    <row r="443" spans="1:46" hidden="1" x14ac:dyDescent="0.25">
      <c r="A443" s="41">
        <f>CASOPOInvCL!T443</f>
        <v>1</v>
      </c>
      <c r="B443" t="str">
        <f>CASOPOInvCL!Z443</f>
        <v>SO17013</v>
      </c>
      <c r="G443" s="5" t="str">
        <f>CASOPOInvCL!I443</f>
        <v>Ian Trottier</v>
      </c>
      <c r="H443" s="31">
        <f>CASOPOInvCL!U443</f>
        <v>4</v>
      </c>
      <c r="I443" s="31">
        <f>CASOPOInvCL!V443</f>
        <v>2025</v>
      </c>
      <c r="J443" s="5" t="str">
        <f>CASOPOInvCL!AB443</f>
        <v>INV12905</v>
      </c>
      <c r="K443" s="31">
        <f>CASOPOInvCL!W443</f>
        <v>6</v>
      </c>
      <c r="L443" s="31">
        <f>CASOPOInvCL!X443</f>
        <v>2025</v>
      </c>
      <c r="M443" s="31"/>
      <c r="N443" s="5" t="str">
        <f>CASOPOInvCL!AF443</f>
        <v>Glencore Canada Corporation - Rouyn-Noranda, Glencore Canada Corp.</v>
      </c>
      <c r="O443" s="16" t="str">
        <f>CASOPOInvCL!AG443</f>
        <v>CAD</v>
      </c>
      <c r="P443" s="16">
        <f>CASOPOInvCL!AH443</f>
        <v>519.21</v>
      </c>
      <c r="Q443" s="16">
        <f>CASOPOInvCL!AI443</f>
        <v>376.05301731452425</v>
      </c>
      <c r="R443" s="32" t="str">
        <f>CASOPOInvCL!AU443</f>
        <v>Yes</v>
      </c>
      <c r="S443" s="16">
        <f>CASOPOInvCL!AV443</f>
        <v>0</v>
      </c>
      <c r="T443" s="16">
        <f>CASOPOInvCL!AW443</f>
        <v>376.05301731452425</v>
      </c>
      <c r="Y443" s="29" t="str">
        <f>IFERROR(HLOOKUP(U443,List!$D$2:$H$6,2,FALSE),"")</f>
        <v/>
      </c>
      <c r="Z443" s="29" t="str">
        <f>IFERROR(HLOOKUP(V443,List!$D$2:$H$6,3,FALSE),"")</f>
        <v/>
      </c>
      <c r="AA443" s="29" t="str">
        <f>IFERROR(HLOOKUP(W443,List!$D$2:$H$6,4,FALSE),"")</f>
        <v/>
      </c>
      <c r="AB443" s="29" t="str">
        <f>IFERROR(HLOOKUP(X443,List!$D$2:$H$6,5,FALSE),"")</f>
        <v/>
      </c>
      <c r="AC443" s="12" t="str">
        <f t="shared" si="79"/>
        <v/>
      </c>
      <c r="AD443" s="12" t="str">
        <f t="shared" si="80"/>
        <v/>
      </c>
      <c r="AE443" s="12" t="str">
        <f t="shared" si="81"/>
        <v/>
      </c>
      <c r="AF443" s="12" t="str">
        <f t="shared" si="82"/>
        <v/>
      </c>
      <c r="AG443" t="str">
        <f>VLOOKUP(J443,'Receivable Invoice Detail'!$A$1:F3455,6,FALSE)</f>
        <v>[AC-98-233-700-002] Bearing Cover Gasket (Inboard &amp; Outboard), 5x4/5x5/6x6 SRL &amp; SRL-C</v>
      </c>
      <c r="AM443" s="12" t="str">
        <f t="shared" si="83"/>
        <v/>
      </c>
      <c r="AN443" s="12" t="str">
        <f t="shared" si="84"/>
        <v/>
      </c>
      <c r="AO443" s="12" t="str">
        <f t="shared" si="85"/>
        <v/>
      </c>
      <c r="AP443" s="12" t="str">
        <f t="shared" si="86"/>
        <v/>
      </c>
      <c r="AQ443" s="12"/>
      <c r="AS443" s="12">
        <f t="shared" si="87"/>
        <v>5.6407952597178639</v>
      </c>
      <c r="AT443" s="16" t="str">
        <f t="shared" si="89"/>
        <v>Yes</v>
      </c>
    </row>
    <row r="444" spans="1:46" hidden="1" x14ac:dyDescent="0.25">
      <c r="A444" s="41">
        <f>CASOPOInvCL!T444</f>
        <v>1</v>
      </c>
      <c r="B444" t="str">
        <f>CASOPOInvCL!Z444</f>
        <v>SO17015</v>
      </c>
      <c r="D444" t="s">
        <v>5925</v>
      </c>
      <c r="G444" s="5" t="str">
        <f>CASOPOInvCL!I444</f>
        <v>Ian Trottier</v>
      </c>
      <c r="H444" s="31">
        <f>CASOPOInvCL!U444</f>
        <v>4</v>
      </c>
      <c r="I444" s="31">
        <f>CASOPOInvCL!V444</f>
        <v>2025</v>
      </c>
      <c r="J444" s="5" t="str">
        <f>CASOPOInvCL!AB444</f>
        <v>INV13105</v>
      </c>
      <c r="K444" s="31">
        <f>CASOPOInvCL!W444</f>
        <v>7</v>
      </c>
      <c r="L444" s="31">
        <f>CASOPOInvCL!X444</f>
        <v>2025</v>
      </c>
      <c r="M444">
        <v>2503</v>
      </c>
      <c r="N444" s="5" t="str">
        <f>CASOPOInvCL!AF444</f>
        <v>Motion Industries Inc. (Canada) - Prince George</v>
      </c>
      <c r="O444" s="16" t="str">
        <f>CASOPOInvCL!AG444</f>
        <v>CAD</v>
      </c>
      <c r="P444" s="16">
        <f>CASOPOInvCL!AH444</f>
        <v>15825.1</v>
      </c>
      <c r="Q444" s="16">
        <f>CASOPOInvCL!AI444</f>
        <v>11392.366644946247</v>
      </c>
      <c r="R444" s="32" t="str">
        <f>CASOPOInvCL!AU444</f>
        <v>Yes</v>
      </c>
      <c r="S444" s="16">
        <f>CASOPOInvCL!AV444</f>
        <v>0</v>
      </c>
      <c r="T444" s="16">
        <f>CASOPOInvCL!AW444</f>
        <v>11392.366644946247</v>
      </c>
      <c r="V444" t="s">
        <v>5800</v>
      </c>
      <c r="Y444" s="29" t="str">
        <f>IFERROR(HLOOKUP(U444,List!$D$2:$H$6,2,FALSE),"")</f>
        <v/>
      </c>
      <c r="Z444" s="29">
        <f>IFERROR(HLOOKUP(V444,List!$D$2:$H$6,3,FALSE),"")</f>
        <v>5.0000000000000001E-3</v>
      </c>
      <c r="AA444" s="29" t="str">
        <f>IFERROR(HLOOKUP(W444,List!$D$2:$H$6,4,FALSE),"")</f>
        <v/>
      </c>
      <c r="AB444" s="29" t="str">
        <f>IFERROR(HLOOKUP(X444,List!$D$2:$H$6,5,FALSE),"")</f>
        <v/>
      </c>
      <c r="AC444" s="12" t="str">
        <f t="shared" si="79"/>
        <v/>
      </c>
      <c r="AD444" s="12">
        <f t="shared" si="80"/>
        <v>56.961833224731237</v>
      </c>
      <c r="AE444" s="12" t="str">
        <f t="shared" si="81"/>
        <v/>
      </c>
      <c r="AF444" s="12" t="str">
        <f t="shared" si="82"/>
        <v/>
      </c>
      <c r="AG444" t="str">
        <f>VLOOKUP(J444,'Receivable Invoice Detail'!$A$1:F3456,6,FALSE)</f>
        <v>[W-G12043TL1M/R55] Frame Plate Liner (Thick), 14/12 ST-AH, Natural Rubber, Metric</v>
      </c>
      <c r="AH444" s="12">
        <f t="shared" ref="AH444:AH446" si="99">SUM(AC444:AF444)</f>
        <v>56.961833224731237</v>
      </c>
      <c r="AM444" s="12" t="str">
        <f t="shared" si="83"/>
        <v/>
      </c>
      <c r="AN444" s="12">
        <f t="shared" si="84"/>
        <v>56.961833224731237</v>
      </c>
      <c r="AO444" s="12" t="str">
        <f t="shared" si="85"/>
        <v/>
      </c>
      <c r="AP444" s="12" t="str">
        <f t="shared" si="86"/>
        <v/>
      </c>
      <c r="AQ444" s="64">
        <v>2503</v>
      </c>
      <c r="AR444" t="s">
        <v>5932</v>
      </c>
      <c r="AS444" s="12">
        <f t="shared" si="87"/>
        <v>170.88549967419371</v>
      </c>
      <c r="AT444" s="16" t="str">
        <f t="shared" si="89"/>
        <v>Yes</v>
      </c>
    </row>
    <row r="445" spans="1:46" hidden="1" x14ac:dyDescent="0.25">
      <c r="A445" s="41">
        <f>CASOPOInvCL!T445</f>
        <v>2</v>
      </c>
      <c r="B445" t="str">
        <f>CASOPOInvCL!Z445</f>
        <v>SO17017</v>
      </c>
      <c r="D445" t="s">
        <v>5925</v>
      </c>
      <c r="G445" s="5" t="str">
        <f>CASOPOInvCL!I445</f>
        <v>Ian Trottier</v>
      </c>
      <c r="H445" s="31">
        <f>CASOPOInvCL!U445</f>
        <v>4</v>
      </c>
      <c r="I445" s="31">
        <f>CASOPOInvCL!V445</f>
        <v>2025</v>
      </c>
      <c r="J445" s="5" t="str">
        <f>CASOPOInvCL!AB445</f>
        <v>INV12914</v>
      </c>
      <c r="K445" s="31">
        <f>CASOPOInvCL!W445</f>
        <v>6</v>
      </c>
      <c r="L445" s="31">
        <f>CASOPOInvCL!X445</f>
        <v>2025</v>
      </c>
      <c r="M445">
        <v>2503</v>
      </c>
      <c r="N445" s="5" t="str">
        <f>CASOPOInvCL!AF445</f>
        <v>Glencore Canada Corporation - Rouyn-Noranda</v>
      </c>
      <c r="O445" s="16" t="str">
        <f>CASOPOInvCL!AG445</f>
        <v>CAD</v>
      </c>
      <c r="P445" s="16">
        <f>CASOPOInvCL!AH445</f>
        <v>8124.96</v>
      </c>
      <c r="Q445" s="16">
        <f>CASOPOInvCL!AI445</f>
        <v>5848.0413418337903</v>
      </c>
      <c r="R445" s="32" t="str">
        <f>CASOPOInvCL!AU445</f>
        <v>Yes</v>
      </c>
      <c r="S445" s="16">
        <f>CASOPOInvCL!AV445</f>
        <v>0</v>
      </c>
      <c r="T445" s="16">
        <f>CASOPOInvCL!AW445</f>
        <v>5848.0413418337903</v>
      </c>
      <c r="V445" t="s">
        <v>5800</v>
      </c>
      <c r="Y445" s="29" t="str">
        <f>IFERROR(HLOOKUP(U445,List!$D$2:$H$6,2,FALSE),"")</f>
        <v/>
      </c>
      <c r="Z445" s="29">
        <f>IFERROR(HLOOKUP(V445,List!$D$2:$H$6,3,FALSE),"")</f>
        <v>5.0000000000000001E-3</v>
      </c>
      <c r="AA445" s="29" t="str">
        <f>IFERROR(HLOOKUP(W445,List!$D$2:$H$6,4,FALSE),"")</f>
        <v/>
      </c>
      <c r="AB445" s="29" t="str">
        <f>IFERROR(HLOOKUP(X445,List!$D$2:$H$6,5,FALSE),"")</f>
        <v/>
      </c>
      <c r="AC445" s="12" t="str">
        <f t="shared" si="79"/>
        <v/>
      </c>
      <c r="AD445" s="12">
        <f t="shared" si="80"/>
        <v>29.240206709168952</v>
      </c>
      <c r="AE445" s="12" t="str">
        <f t="shared" si="81"/>
        <v/>
      </c>
      <c r="AF445" s="12" t="str">
        <f t="shared" si="82"/>
        <v/>
      </c>
      <c r="AG445" t="str">
        <f>VLOOKUP(J445,'Receivable Invoice Detail'!$A$1:F3457,6,FALSE)</f>
        <v>[AC-98-331-958-831] Shaft Sleeve, 5x4/5x5/6X6 SRL-C &amp; SRL, 420SS Heat Treated, Hardened</v>
      </c>
      <c r="AH445" s="12">
        <f t="shared" si="99"/>
        <v>29.240206709168952</v>
      </c>
      <c r="AM445" s="12" t="str">
        <f t="shared" si="83"/>
        <v/>
      </c>
      <c r="AN445" s="12">
        <f t="shared" si="84"/>
        <v>29.240206709168952</v>
      </c>
      <c r="AO445" s="12" t="str">
        <f t="shared" si="85"/>
        <v/>
      </c>
      <c r="AP445" s="12" t="str">
        <f t="shared" si="86"/>
        <v/>
      </c>
      <c r="AQ445" s="64">
        <v>2503</v>
      </c>
      <c r="AR445" t="s">
        <v>5932</v>
      </c>
      <c r="AS445" s="12">
        <f t="shared" si="87"/>
        <v>87.720620127506848</v>
      </c>
      <c r="AT445" s="16" t="str">
        <f t="shared" si="89"/>
        <v>Yes</v>
      </c>
    </row>
    <row r="446" spans="1:46" hidden="1" x14ac:dyDescent="0.25">
      <c r="A446" s="41">
        <f>CASOPOInvCL!T446</f>
        <v>2</v>
      </c>
      <c r="B446" t="str">
        <f>CASOPOInvCL!Z446</f>
        <v>SO17017</v>
      </c>
      <c r="D446" t="s">
        <v>5925</v>
      </c>
      <c r="G446" s="5">
        <f>CASOPOInvCL!I446</f>
        <v>0</v>
      </c>
      <c r="H446" s="31">
        <f>CASOPOInvCL!U446</f>
        <v>4</v>
      </c>
      <c r="I446" s="31">
        <f>CASOPOInvCL!V446</f>
        <v>2025</v>
      </c>
      <c r="J446" s="5" t="str">
        <f>CASOPOInvCL!AB446</f>
        <v>INV13032</v>
      </c>
      <c r="K446" s="31">
        <f>CASOPOInvCL!W446</f>
        <v>7</v>
      </c>
      <c r="L446" s="31">
        <f>CASOPOInvCL!X446</f>
        <v>2025</v>
      </c>
      <c r="M446">
        <v>2503</v>
      </c>
      <c r="N446" s="5" t="str">
        <f>CASOPOInvCL!AF446</f>
        <v>Glencore Canada Corporation - Rouyn-Noranda</v>
      </c>
      <c r="O446" s="16" t="str">
        <f>CASOPOInvCL!AG446</f>
        <v>CAD</v>
      </c>
      <c r="P446" s="16">
        <f>CASOPOInvCL!AH446</f>
        <v>0</v>
      </c>
      <c r="Q446" s="16">
        <f>CASOPOInvCL!AI446</f>
        <v>0</v>
      </c>
      <c r="R446" s="32" t="str">
        <f>CASOPOInvCL!AU446</f>
        <v/>
      </c>
      <c r="S446" s="16">
        <f>CASOPOInvCL!AV446</f>
        <v>0</v>
      </c>
      <c r="T446" s="16">
        <f>CASOPOInvCL!AW446</f>
        <v>0</v>
      </c>
      <c r="V446" t="s">
        <v>5800</v>
      </c>
      <c r="Y446" s="29" t="str">
        <f>IFERROR(HLOOKUP(U446,List!$D$2:$H$6,2,FALSE),"")</f>
        <v/>
      </c>
      <c r="Z446" s="29">
        <f>IFERROR(HLOOKUP(V446,List!$D$2:$H$6,3,FALSE),"")</f>
        <v>5.0000000000000001E-3</v>
      </c>
      <c r="AA446" s="29" t="str">
        <f>IFERROR(HLOOKUP(W446,List!$D$2:$H$6,4,FALSE),"")</f>
        <v/>
      </c>
      <c r="AB446" s="29" t="str">
        <f>IFERROR(HLOOKUP(X446,List!$D$2:$H$6,5,FALSE),"")</f>
        <v/>
      </c>
      <c r="AC446" s="12" t="str">
        <f t="shared" si="79"/>
        <v/>
      </c>
      <c r="AD446" s="12">
        <f t="shared" si="80"/>
        <v>0</v>
      </c>
      <c r="AE446" s="12" t="str">
        <f t="shared" si="81"/>
        <v/>
      </c>
      <c r="AF446" s="12" t="str">
        <f t="shared" si="82"/>
        <v/>
      </c>
      <c r="AG446" t="str">
        <f>VLOOKUP(J446,'Receivable Invoice Detail'!$A$1:F3458,6,FALSE)</f>
        <v>[AC-98-236-256-501] Gland Assembly, 5x4-14 SRL-C, 316SS</v>
      </c>
      <c r="AH446" s="12">
        <f t="shared" si="99"/>
        <v>0</v>
      </c>
      <c r="AM446" s="12" t="str">
        <f t="shared" si="83"/>
        <v/>
      </c>
      <c r="AN446" s="12">
        <f t="shared" si="84"/>
        <v>0</v>
      </c>
      <c r="AO446" s="12" t="str">
        <f t="shared" si="85"/>
        <v/>
      </c>
      <c r="AP446" s="12" t="str">
        <f t="shared" si="86"/>
        <v/>
      </c>
      <c r="AQ446" s="64">
        <v>2503</v>
      </c>
      <c r="AR446" t="s">
        <v>5932</v>
      </c>
      <c r="AS446" s="12">
        <f t="shared" si="87"/>
        <v>0</v>
      </c>
      <c r="AT446" s="16" t="str">
        <f t="shared" si="89"/>
        <v/>
      </c>
    </row>
    <row r="447" spans="1:46" hidden="1" x14ac:dyDescent="0.25">
      <c r="A447" s="41">
        <f>CASOPOInvCL!T447</f>
        <v>1</v>
      </c>
      <c r="B447" t="str">
        <f>CASOPOInvCL!Z447</f>
        <v>SO17020</v>
      </c>
      <c r="G447" s="5" t="str">
        <f>CASOPOInvCL!I447</f>
        <v>Ian Trottier</v>
      </c>
      <c r="H447" s="31">
        <f>CASOPOInvCL!U447</f>
        <v>4</v>
      </c>
      <c r="I447" s="31">
        <f>CASOPOInvCL!V447</f>
        <v>2025</v>
      </c>
      <c r="J447" s="5" t="str">
        <f>CASOPOInvCL!AB447</f>
        <v>INV12911</v>
      </c>
      <c r="K447" s="31">
        <f>CASOPOInvCL!W447</f>
        <v>6</v>
      </c>
      <c r="L447" s="31">
        <f>CASOPOInvCL!X447</f>
        <v>2025</v>
      </c>
      <c r="M447" s="31"/>
      <c r="N447" s="5" t="str">
        <f>CASOPOInvCL!AF447</f>
        <v>Resolute Forest Products - Kenogami</v>
      </c>
      <c r="O447" s="16" t="str">
        <f>CASOPOInvCL!AG447</f>
        <v>CAD</v>
      </c>
      <c r="P447" s="16">
        <f>CASOPOInvCL!AH447</f>
        <v>1879.56</v>
      </c>
      <c r="Q447" s="16">
        <f>CASOPOInvCL!AI447</f>
        <v>1352.8367628218623</v>
      </c>
      <c r="R447" s="32" t="str">
        <f>CASOPOInvCL!AU447</f>
        <v>Yes</v>
      </c>
      <c r="S447" s="16">
        <f>CASOPOInvCL!AV447</f>
        <v>0</v>
      </c>
      <c r="T447" s="16">
        <f>CASOPOInvCL!AW447</f>
        <v>1352.8367628218623</v>
      </c>
      <c r="Y447" s="29" t="str">
        <f>IFERROR(HLOOKUP(U447,List!$D$2:$H$6,2,FALSE),"")</f>
        <v/>
      </c>
      <c r="Z447" s="29" t="str">
        <f>IFERROR(HLOOKUP(V447,List!$D$2:$H$6,3,FALSE),"")</f>
        <v/>
      </c>
      <c r="AA447" s="29" t="str">
        <f>IFERROR(HLOOKUP(W447,List!$D$2:$H$6,4,FALSE),"")</f>
        <v/>
      </c>
      <c r="AB447" s="29" t="str">
        <f>IFERROR(HLOOKUP(X447,List!$D$2:$H$6,5,FALSE),"")</f>
        <v/>
      </c>
      <c r="AC447" s="12" t="str">
        <f t="shared" si="79"/>
        <v/>
      </c>
      <c r="AD447" s="12" t="str">
        <f t="shared" si="80"/>
        <v/>
      </c>
      <c r="AE447" s="12" t="str">
        <f t="shared" si="81"/>
        <v/>
      </c>
      <c r="AF447" s="12" t="str">
        <f t="shared" si="82"/>
        <v/>
      </c>
      <c r="AG447" t="str">
        <f>VLOOKUP(J447,'Receivable Invoice Detail'!$A$1:F3459,6,FALSE)</f>
        <v>[AC-98-130-367-001] Shaft Sleeve, PWO Frame 2, 316SS</v>
      </c>
      <c r="AM447" s="12" t="str">
        <f t="shared" si="83"/>
        <v/>
      </c>
      <c r="AN447" s="12" t="str">
        <f t="shared" si="84"/>
        <v/>
      </c>
      <c r="AO447" s="12" t="str">
        <f t="shared" si="85"/>
        <v/>
      </c>
      <c r="AP447" s="12" t="str">
        <f t="shared" si="86"/>
        <v/>
      </c>
      <c r="AQ447" s="12"/>
      <c r="AS447" s="12">
        <f t="shared" si="87"/>
        <v>20.292551442327934</v>
      </c>
      <c r="AT447" s="16" t="str">
        <f t="shared" si="89"/>
        <v>Yes</v>
      </c>
    </row>
    <row r="448" spans="1:46" hidden="1" x14ac:dyDescent="0.25">
      <c r="A448" s="41">
        <f>CASOPOInvCL!T448</f>
        <v>1</v>
      </c>
      <c r="B448" t="str">
        <f>CASOPOInvCL!Z448</f>
        <v>SO17022</v>
      </c>
      <c r="G448" s="5" t="str">
        <f>CASOPOInvCL!I448</f>
        <v>Ian Trottier</v>
      </c>
      <c r="H448" s="31">
        <f>CASOPOInvCL!U448</f>
        <v>4</v>
      </c>
      <c r="I448" s="31">
        <f>CASOPOInvCL!V448</f>
        <v>2025</v>
      </c>
      <c r="J448" s="5" t="str">
        <f>CASOPOInvCL!AB448</f>
        <v>INV12926</v>
      </c>
      <c r="K448" s="31">
        <f>CASOPOInvCL!W448</f>
        <v>4</v>
      </c>
      <c r="L448" s="31">
        <f>CASOPOInvCL!X448</f>
        <v>2025</v>
      </c>
      <c r="M448" s="31"/>
      <c r="N448" s="5" t="str">
        <f>CASOPOInvCL!AF448</f>
        <v>Industrial Pump Repair Canada</v>
      </c>
      <c r="O448" s="16" t="str">
        <f>CASOPOInvCL!AG448</f>
        <v>CAD</v>
      </c>
      <c r="P448" s="16">
        <f>CASOPOInvCL!AH448</f>
        <v>419.88</v>
      </c>
      <c r="Q448" s="16">
        <f>CASOPOInvCL!AI448</f>
        <v>302.98329431768587</v>
      </c>
      <c r="R448" s="32" t="str">
        <f>CASOPOInvCL!AU448</f>
        <v>Yes</v>
      </c>
      <c r="S448" s="16">
        <f>CASOPOInvCL!AV448</f>
        <v>0</v>
      </c>
      <c r="T448" s="16">
        <f>CASOPOInvCL!AW448</f>
        <v>302.98329431768587</v>
      </c>
      <c r="Y448" s="29" t="str">
        <f>IFERROR(HLOOKUP(U448,List!$D$2:$H$6,2,FALSE),"")</f>
        <v/>
      </c>
      <c r="Z448" s="29" t="str">
        <f>IFERROR(HLOOKUP(V448,List!$D$2:$H$6,3,FALSE),"")</f>
        <v/>
      </c>
      <c r="AA448" s="29" t="str">
        <f>IFERROR(HLOOKUP(W448,List!$D$2:$H$6,4,FALSE),"")</f>
        <v/>
      </c>
      <c r="AB448" s="29" t="str">
        <f>IFERROR(HLOOKUP(X448,List!$D$2:$H$6,5,FALSE),"")</f>
        <v/>
      </c>
      <c r="AC448" s="12" t="str">
        <f t="shared" si="79"/>
        <v/>
      </c>
      <c r="AD448" s="12" t="str">
        <f t="shared" si="80"/>
        <v/>
      </c>
      <c r="AE448" s="12" t="str">
        <f t="shared" si="81"/>
        <v/>
      </c>
      <c r="AF448" s="12" t="str">
        <f t="shared" si="82"/>
        <v/>
      </c>
      <c r="AG448" t="str">
        <f>VLOOKUP(J448,'Receivable Invoice Detail'!$A$1:F3460,6,FALSE)</f>
        <v>[DU-CY50682AA-316] Shaft (Solid), Durco Mark 3 Group 1, 316SS</v>
      </c>
      <c r="AM448" s="12" t="str">
        <f t="shared" si="83"/>
        <v/>
      </c>
      <c r="AN448" s="12" t="str">
        <f t="shared" si="84"/>
        <v/>
      </c>
      <c r="AO448" s="12" t="str">
        <f t="shared" si="85"/>
        <v/>
      </c>
      <c r="AP448" s="12" t="str">
        <f t="shared" si="86"/>
        <v/>
      </c>
      <c r="AQ448" s="12"/>
      <c r="AS448" s="12">
        <f t="shared" si="87"/>
        <v>4.5447494147652883</v>
      </c>
      <c r="AT448" s="16" t="str">
        <f t="shared" si="89"/>
        <v>Yes</v>
      </c>
    </row>
    <row r="449" spans="1:46" hidden="1" x14ac:dyDescent="0.25">
      <c r="A449" s="41">
        <f>CASOPOInvCL!T449</f>
        <v>1</v>
      </c>
      <c r="B449" s="76" t="str">
        <f>CASOPOInvCL!Z449</f>
        <v>SO17024</v>
      </c>
      <c r="D449" t="s">
        <v>5915</v>
      </c>
      <c r="G449" s="5" t="str">
        <f>CASOPOInvCL!I449</f>
        <v>Wilka Nuñez</v>
      </c>
      <c r="H449" s="31">
        <f>CASOPOInvCL!U449</f>
        <v>4</v>
      </c>
      <c r="I449" s="31">
        <f>CASOPOInvCL!V449</f>
        <v>2025</v>
      </c>
      <c r="J449" s="5" t="str">
        <f>CASOPOInvCL!AB449</f>
        <v>INV13067</v>
      </c>
      <c r="K449" s="31">
        <f>CASOPOInvCL!W449</f>
        <v>7</v>
      </c>
      <c r="L449" s="31">
        <f>CASOPOInvCL!X449</f>
        <v>2025</v>
      </c>
      <c r="M449">
        <v>2503</v>
      </c>
      <c r="N449" s="5" t="str">
        <f>CASOPOInvCL!AF449</f>
        <v>Barrick Gold - Pueblo Viejo Dominicana Corporation</v>
      </c>
      <c r="O449" s="16" t="str">
        <f>CASOPOInvCL!AG449</f>
        <v>USD</v>
      </c>
      <c r="P449" s="16">
        <f>CASOPOInvCL!AH449</f>
        <v>1750.5775013536083</v>
      </c>
      <c r="Q449" s="16">
        <f>CASOPOInvCL!AI449</f>
        <v>1260</v>
      </c>
      <c r="R449" s="32" t="str">
        <f>CASOPOInvCL!AU449</f>
        <v>Yes</v>
      </c>
      <c r="S449" s="16">
        <f>CASOPOInvCL!AV449</f>
        <v>0</v>
      </c>
      <c r="T449" s="16">
        <f>CASOPOInvCL!AW449</f>
        <v>1260</v>
      </c>
      <c r="V449" s="72" t="s">
        <v>5801</v>
      </c>
      <c r="Y449" s="29" t="str">
        <f>IFERROR(HLOOKUP(U449,List!$D$2:$H$6,2,FALSE),"")</f>
        <v/>
      </c>
      <c r="Z449" s="29">
        <f>IFERROR(HLOOKUP(V449,List!$D$2:$H$6,3,FALSE),"")</f>
        <v>0.02</v>
      </c>
      <c r="AA449" s="29" t="str">
        <f>IFERROR(HLOOKUP(W449,List!$D$2:$H$6,4,FALSE),"")</f>
        <v/>
      </c>
      <c r="AB449" s="29" t="str">
        <f>IFERROR(HLOOKUP(X449,List!$D$2:$H$6,5,FALSE),"")</f>
        <v/>
      </c>
      <c r="AC449" s="12" t="str">
        <f t="shared" si="79"/>
        <v/>
      </c>
      <c r="AD449" s="12">
        <f t="shared" si="80"/>
        <v>25.2</v>
      </c>
      <c r="AE449" s="12" t="str">
        <f t="shared" si="81"/>
        <v/>
      </c>
      <c r="AF449" s="12" t="str">
        <f t="shared" si="82"/>
        <v/>
      </c>
      <c r="AG449" t="str">
        <f>VLOOKUP(J449,'Receivable Invoice Detail'!$A$1:F3461,6,FALSE)</f>
        <v>[DVT‐GV16D20‐4/0503-LR] Lantern Ring, Dynapro Vertical Turbine Pump, 16DMC 4-Stages, Teflon</v>
      </c>
      <c r="AJ449">
        <v>2503</v>
      </c>
      <c r="AM449" s="12" t="str">
        <f t="shared" si="83"/>
        <v/>
      </c>
      <c r="AN449" s="12">
        <f t="shared" si="84"/>
        <v>0</v>
      </c>
      <c r="AO449" s="12" t="str">
        <f t="shared" si="85"/>
        <v/>
      </c>
      <c r="AP449" s="12" t="str">
        <f t="shared" si="86"/>
        <v/>
      </c>
      <c r="AQ449" s="64">
        <f t="shared" ref="AQ449" si="100">M449</f>
        <v>2503</v>
      </c>
      <c r="AR449" s="64" t="s">
        <v>5934</v>
      </c>
      <c r="AS449" s="12">
        <f t="shared" si="87"/>
        <v>18.899999999999999</v>
      </c>
      <c r="AT449" s="16" t="str">
        <f t="shared" si="89"/>
        <v>Yes</v>
      </c>
    </row>
    <row r="450" spans="1:46" hidden="1" x14ac:dyDescent="0.25">
      <c r="A450" s="41">
        <f>CASOPOInvCL!T450</f>
        <v>1</v>
      </c>
      <c r="B450" s="76" t="str">
        <f>CASOPOInvCL!Z450</f>
        <v>SO17025</v>
      </c>
      <c r="G450" s="5" t="str">
        <f>CASOPOInvCL!I450</f>
        <v>Wilka Nuñez</v>
      </c>
      <c r="H450" s="31">
        <f>CASOPOInvCL!U450</f>
        <v>4</v>
      </c>
      <c r="I450" s="31">
        <f>CASOPOInvCL!V450</f>
        <v>2025</v>
      </c>
      <c r="J450" s="5" t="str">
        <f>CASOPOInvCL!AB450</f>
        <v>INV12909</v>
      </c>
      <c r="K450" s="31">
        <f>CASOPOInvCL!W450</f>
        <v>6</v>
      </c>
      <c r="L450" s="31">
        <f>CASOPOInvCL!X450</f>
        <v>2025</v>
      </c>
      <c r="M450" s="31"/>
      <c r="N450" s="5" t="str">
        <f>CASOPOInvCL!AF450</f>
        <v>Barrick Gold - Pueblo Viejo Dominicana Corporation</v>
      </c>
      <c r="O450" s="16" t="str">
        <f>CASOPOInvCL!AG450</f>
        <v>USD</v>
      </c>
      <c r="P450" s="16">
        <f>CASOPOInvCL!AH450</f>
        <v>10352.63747356058</v>
      </c>
      <c r="Q450" s="16">
        <f>CASOPOInvCL!AI450</f>
        <v>7451.44</v>
      </c>
      <c r="R450" s="32" t="str">
        <f>CASOPOInvCL!AU450</f>
        <v>Yes</v>
      </c>
      <c r="S450" s="16">
        <f>CASOPOInvCL!AV450</f>
        <v>0</v>
      </c>
      <c r="T450" s="16">
        <f>CASOPOInvCL!AW450</f>
        <v>7451.44</v>
      </c>
      <c r="Y450" s="29" t="str">
        <f>IFERROR(HLOOKUP(U450,List!$D$2:$H$6,2,FALSE),"")</f>
        <v/>
      </c>
      <c r="Z450" s="29" t="str">
        <f>IFERROR(HLOOKUP(V450,List!$D$2:$H$6,3,FALSE),"")</f>
        <v/>
      </c>
      <c r="AA450" s="29" t="str">
        <f>IFERROR(HLOOKUP(W450,List!$D$2:$H$6,4,FALSE),"")</f>
        <v/>
      </c>
      <c r="AB450" s="29" t="str">
        <f>IFERROR(HLOOKUP(X450,List!$D$2:$H$6,5,FALSE),"")</f>
        <v/>
      </c>
      <c r="AC450" s="12" t="str">
        <f t="shared" si="79"/>
        <v/>
      </c>
      <c r="AD450" s="12" t="str">
        <f t="shared" si="80"/>
        <v/>
      </c>
      <c r="AE450" s="12" t="str">
        <f t="shared" si="81"/>
        <v/>
      </c>
      <c r="AF450" s="12" t="str">
        <f t="shared" si="82"/>
        <v/>
      </c>
      <c r="AG450" t="str">
        <f>VLOOKUP(J450,'Receivable Invoice Detail'!$A$1:F3462,6,FALSE)</f>
        <v>[D-2001407-2507] Bowl Wear Ring, 10JKH/M, 05.50x05.88x0.88, Duplex SS 2507 w/Ion Nitriding</v>
      </c>
      <c r="AM450" s="12" t="str">
        <f t="shared" si="83"/>
        <v/>
      </c>
      <c r="AN450" s="12" t="str">
        <f t="shared" si="84"/>
        <v/>
      </c>
      <c r="AO450" s="12" t="str">
        <f t="shared" si="85"/>
        <v/>
      </c>
      <c r="AP450" s="12" t="str">
        <f t="shared" si="86"/>
        <v/>
      </c>
      <c r="AQ450" s="64">
        <v>2503</v>
      </c>
      <c r="AR450" s="64" t="s">
        <v>5934</v>
      </c>
      <c r="AS450" s="12">
        <f t="shared" si="87"/>
        <v>111.77159999999999</v>
      </c>
      <c r="AT450" s="16" t="str">
        <f t="shared" si="89"/>
        <v>Yes</v>
      </c>
    </row>
    <row r="451" spans="1:46" hidden="1" x14ac:dyDescent="0.25">
      <c r="A451" s="41">
        <f>CASOPOInvCL!T451</f>
        <v>1</v>
      </c>
      <c r="B451" t="str">
        <f>CASOPOInvCL!Z451</f>
        <v>SO17026</v>
      </c>
      <c r="G451" s="5" t="str">
        <f>CASOPOInvCL!I451</f>
        <v>Ian Trottier</v>
      </c>
      <c r="H451" s="31">
        <f>CASOPOInvCL!U451</f>
        <v>4</v>
      </c>
      <c r="I451" s="31">
        <f>CASOPOInvCL!V451</f>
        <v>2025</v>
      </c>
      <c r="J451" s="5" t="str">
        <f>CASOPOInvCL!AB451</f>
        <v>INV12931</v>
      </c>
      <c r="K451" s="31">
        <f>CASOPOInvCL!W451</f>
        <v>6</v>
      </c>
      <c r="L451" s="31">
        <f>CASOPOInvCL!X451</f>
        <v>2025</v>
      </c>
      <c r="M451" s="31"/>
      <c r="N451" s="5" t="str">
        <f>CASOPOInvCL!AF451</f>
        <v>Wajax Limited - Lachine</v>
      </c>
      <c r="O451" s="16" t="str">
        <f>CASOPOInvCL!AG451</f>
        <v>CAD</v>
      </c>
      <c r="P451" s="16">
        <f>CASOPOInvCL!AH451</f>
        <v>297.88</v>
      </c>
      <c r="Q451" s="16">
        <f>CASOPOInvCL!AI451</f>
        <v>214.44149965539472</v>
      </c>
      <c r="R451" s="32" t="str">
        <f>CASOPOInvCL!AU451</f>
        <v>Yes</v>
      </c>
      <c r="S451" s="16">
        <f>CASOPOInvCL!AV451</f>
        <v>0</v>
      </c>
      <c r="T451" s="16">
        <f>CASOPOInvCL!AW451</f>
        <v>214.44149965539472</v>
      </c>
      <c r="Y451" s="29" t="str">
        <f>IFERROR(HLOOKUP(U451,List!$D$2:$H$6,2,FALSE),"")</f>
        <v/>
      </c>
      <c r="Z451" s="29" t="str">
        <f>IFERROR(HLOOKUP(V451,List!$D$2:$H$6,3,FALSE),"")</f>
        <v/>
      </c>
      <c r="AA451" s="29" t="str">
        <f>IFERROR(HLOOKUP(W451,List!$D$2:$H$6,4,FALSE),"")</f>
        <v/>
      </c>
      <c r="AB451" s="29" t="str">
        <f>IFERROR(HLOOKUP(X451,List!$D$2:$H$6,5,FALSE),"")</f>
        <v/>
      </c>
      <c r="AC451" s="12" t="str">
        <f t="shared" ref="AC451:AC514" si="101">IFERROR(Y451*$T451,"")</f>
        <v/>
      </c>
      <c r="AD451" s="12" t="str">
        <f t="shared" ref="AD451:AD514" si="102">IFERROR(Z451*$T451,"")</f>
        <v/>
      </c>
      <c r="AE451" s="12" t="str">
        <f t="shared" ref="AE451:AE514" si="103">IFERROR(AA451*$T451,"")</f>
        <v/>
      </c>
      <c r="AF451" s="12" t="str">
        <f t="shared" ref="AF451:AF514" si="104">IFERROR(AB451*$T451,"")</f>
        <v/>
      </c>
      <c r="AG451" t="str">
        <f>VLOOKUP(J451,'Receivable Invoice Detail'!$A$1:F3463,6,FALSE)</f>
        <v>[G-76230X 2229] Shaft Sleeve, 13" and 15", 3196 XLT, 316SS</v>
      </c>
      <c r="AM451" s="12" t="str">
        <f t="shared" ref="AM451:AM514" si="105">IF(AI451="",AC451,0)</f>
        <v/>
      </c>
      <c r="AN451" s="12" t="str">
        <f t="shared" ref="AN451:AN514" si="106">IF(AJ451="",AD451,0)</f>
        <v/>
      </c>
      <c r="AO451" s="12" t="str">
        <f t="shared" ref="AO451:AO514" si="107">IF(AK451="",AE451,0)</f>
        <v/>
      </c>
      <c r="AP451" s="12" t="str">
        <f t="shared" ref="AP451:AP514" si="108">IF(AL451="",AF451,0)</f>
        <v/>
      </c>
      <c r="AQ451" s="12"/>
      <c r="AS451" s="12">
        <f t="shared" ref="AS451:AS514" si="109">T451*1.5%</f>
        <v>3.2166224948309208</v>
      </c>
      <c r="AT451" s="16" t="str">
        <f t="shared" si="89"/>
        <v>Yes</v>
      </c>
    </row>
    <row r="452" spans="1:46" hidden="1" x14ac:dyDescent="0.25">
      <c r="A452" s="41">
        <f>CASOPOInvCL!T452</f>
        <v>1</v>
      </c>
      <c r="B452" s="76" t="str">
        <f>CASOPOInvCL!Z452</f>
        <v>SO17027</v>
      </c>
      <c r="G452" s="5" t="str">
        <f>CASOPOInvCL!I452</f>
        <v>Wilka Nuñez</v>
      </c>
      <c r="H452" s="31">
        <f>CASOPOInvCL!U452</f>
        <v>4</v>
      </c>
      <c r="I452" s="31">
        <f>CASOPOInvCL!V452</f>
        <v>2025</v>
      </c>
      <c r="J452" s="5" t="str">
        <f>CASOPOInvCL!AB452</f>
        <v>INV12910</v>
      </c>
      <c r="K452" s="31">
        <f>CASOPOInvCL!W452</f>
        <v>6</v>
      </c>
      <c r="L452" s="31">
        <f>CASOPOInvCL!X452</f>
        <v>2025</v>
      </c>
      <c r="M452" s="31"/>
      <c r="N452" s="5" t="str">
        <f>CASOPOInvCL!AF452</f>
        <v>Barrick Gold - Pueblo Viejo Dominicana Corporation</v>
      </c>
      <c r="O452" s="16" t="str">
        <f>CASOPOInvCL!AG452</f>
        <v>USD</v>
      </c>
      <c r="P452" s="16">
        <f>CASOPOInvCL!AH452</f>
        <v>8414.5814578953414</v>
      </c>
      <c r="Q452" s="16">
        <f>CASOPOInvCL!AI452</f>
        <v>6056.5</v>
      </c>
      <c r="R452" s="32" t="str">
        <f>CASOPOInvCL!AU452</f>
        <v>Yes</v>
      </c>
      <c r="S452" s="16">
        <f>CASOPOInvCL!AV452</f>
        <v>0</v>
      </c>
      <c r="T452" s="16">
        <f>CASOPOInvCL!AW452</f>
        <v>6056.5</v>
      </c>
      <c r="Y452" s="29" t="str">
        <f>IFERROR(HLOOKUP(U452,List!$D$2:$H$6,2,FALSE),"")</f>
        <v/>
      </c>
      <c r="Z452" s="29" t="str">
        <f>IFERROR(HLOOKUP(V452,List!$D$2:$H$6,3,FALSE),"")</f>
        <v/>
      </c>
      <c r="AA452" s="29" t="str">
        <f>IFERROR(HLOOKUP(W452,List!$D$2:$H$6,4,FALSE),"")</f>
        <v/>
      </c>
      <c r="AB452" s="29" t="str">
        <f>IFERROR(HLOOKUP(X452,List!$D$2:$H$6,5,FALSE),"")</f>
        <v/>
      </c>
      <c r="AC452" s="12" t="str">
        <f t="shared" si="101"/>
        <v/>
      </c>
      <c r="AD452" s="12" t="str">
        <f t="shared" si="102"/>
        <v/>
      </c>
      <c r="AE452" s="12" t="str">
        <f t="shared" si="103"/>
        <v/>
      </c>
      <c r="AF452" s="12" t="str">
        <f t="shared" si="104"/>
        <v/>
      </c>
      <c r="AG452" t="str">
        <f>VLOOKUP(J452,'Receivable Invoice Detail'!$A$1:F3464,6,FALSE)</f>
        <v>[D-2001417-CD4] Bell,10JKH/M, BW-FLG-STD-STEP-CUT_NR, CD4MCu</v>
      </c>
      <c r="AM452" s="12" t="str">
        <f t="shared" si="105"/>
        <v/>
      </c>
      <c r="AN452" s="12" t="str">
        <f t="shared" si="106"/>
        <v/>
      </c>
      <c r="AO452" s="12" t="str">
        <f t="shared" si="107"/>
        <v/>
      </c>
      <c r="AP452" s="12" t="str">
        <f t="shared" si="108"/>
        <v/>
      </c>
      <c r="AQ452" s="64">
        <v>2503</v>
      </c>
      <c r="AR452" s="64" t="s">
        <v>5934</v>
      </c>
      <c r="AS452" s="12">
        <f t="shared" si="109"/>
        <v>90.847499999999997</v>
      </c>
      <c r="AT452" s="16" t="str">
        <f t="shared" si="89"/>
        <v>Yes</v>
      </c>
    </row>
    <row r="453" spans="1:46" hidden="1" x14ac:dyDescent="0.25">
      <c r="A453" s="41">
        <f>CASOPOInvCL!T453</f>
        <v>1</v>
      </c>
      <c r="B453" t="str">
        <f>CASOPOInvCL!Z453</f>
        <v>SO17028</v>
      </c>
      <c r="G453" s="5" t="str">
        <f>CASOPOInvCL!I453</f>
        <v>Ian Trottier</v>
      </c>
      <c r="H453" s="31">
        <f>CASOPOInvCL!U453</f>
        <v>4</v>
      </c>
      <c r="I453" s="31">
        <f>CASOPOInvCL!V453</f>
        <v>2025</v>
      </c>
      <c r="J453" s="5" t="str">
        <f>CASOPOInvCL!AB453</f>
        <v>INV12933</v>
      </c>
      <c r="K453" s="31">
        <f>CASOPOInvCL!W453</f>
        <v>6</v>
      </c>
      <c r="L453" s="31">
        <f>CASOPOInvCL!X453</f>
        <v>2025</v>
      </c>
      <c r="M453" s="31"/>
      <c r="N453" s="5" t="str">
        <f>CASOPOInvCL!AF453</f>
        <v>Les Pompes du St-Laurent Inc.</v>
      </c>
      <c r="O453" s="16" t="str">
        <f>CASOPOInvCL!AG453</f>
        <v>CAD</v>
      </c>
      <c r="P453" s="16">
        <f>CASOPOInvCL!AH453</f>
        <v>3521.29</v>
      </c>
      <c r="Q453" s="16">
        <f>CASOPOInvCL!AI453</f>
        <v>2534.9493363822507</v>
      </c>
      <c r="R453" s="32" t="str">
        <f>CASOPOInvCL!AU453</f>
        <v>Yes</v>
      </c>
      <c r="S453" s="16">
        <f>CASOPOInvCL!AV453</f>
        <v>0</v>
      </c>
      <c r="T453" s="16">
        <f>CASOPOInvCL!AW453</f>
        <v>2534.9493363822507</v>
      </c>
      <c r="Y453" s="29" t="str">
        <f>IFERROR(HLOOKUP(U453,List!$D$2:$H$6,2,FALSE),"")</f>
        <v/>
      </c>
      <c r="Z453" s="29" t="str">
        <f>IFERROR(HLOOKUP(V453,List!$D$2:$H$6,3,FALSE),"")</f>
        <v/>
      </c>
      <c r="AA453" s="29" t="str">
        <f>IFERROR(HLOOKUP(W453,List!$D$2:$H$6,4,FALSE),"")</f>
        <v/>
      </c>
      <c r="AB453" s="29" t="str">
        <f>IFERROR(HLOOKUP(X453,List!$D$2:$H$6,5,FALSE),"")</f>
        <v/>
      </c>
      <c r="AC453" s="12" t="str">
        <f t="shared" si="101"/>
        <v/>
      </c>
      <c r="AD453" s="12" t="str">
        <f t="shared" si="102"/>
        <v/>
      </c>
      <c r="AE453" s="12" t="str">
        <f t="shared" si="103"/>
        <v/>
      </c>
      <c r="AF453" s="12" t="str">
        <f t="shared" si="104"/>
        <v/>
      </c>
      <c r="AG453" t="str">
        <f>VLOOKUP(J453,'Receivable Invoice Detail'!$A$1:F3465,6,FALSE)</f>
        <v>[DU-CY21805A/CBS-DC20] Rear Cover, 10", Durco Mark 2&amp;3 Group 2, Alloy 20, Small Bore</v>
      </c>
      <c r="AM453" s="12" t="str">
        <f t="shared" si="105"/>
        <v/>
      </c>
      <c r="AN453" s="12" t="str">
        <f t="shared" si="106"/>
        <v/>
      </c>
      <c r="AO453" s="12" t="str">
        <f t="shared" si="107"/>
        <v/>
      </c>
      <c r="AP453" s="12" t="str">
        <f t="shared" si="108"/>
        <v/>
      </c>
      <c r="AQ453" s="12"/>
      <c r="AS453" s="12">
        <f t="shared" si="109"/>
        <v>38.024240045733762</v>
      </c>
      <c r="AT453" s="16" t="str">
        <f t="shared" si="89"/>
        <v>Yes</v>
      </c>
    </row>
    <row r="454" spans="1:46" hidden="1" x14ac:dyDescent="0.25">
      <c r="A454" s="41">
        <f>CASOPOInvCL!T454</f>
        <v>1</v>
      </c>
      <c r="B454" t="str">
        <f>CASOPOInvCL!Z454</f>
        <v>SO17029</v>
      </c>
      <c r="D454" t="s">
        <v>5925</v>
      </c>
      <c r="G454" s="5" t="str">
        <f>CASOPOInvCL!I454</f>
        <v>Ian Trottier</v>
      </c>
      <c r="H454" s="31">
        <f>CASOPOInvCL!U454</f>
        <v>4</v>
      </c>
      <c r="I454" s="31">
        <f>CASOPOInvCL!V454</f>
        <v>2025</v>
      </c>
      <c r="J454" s="5" t="str">
        <f>CASOPOInvCL!AB454</f>
        <v>INV12919</v>
      </c>
      <c r="K454" s="31">
        <f>CASOPOInvCL!W454</f>
        <v>7</v>
      </c>
      <c r="L454" s="31">
        <f>CASOPOInvCL!X454</f>
        <v>2025</v>
      </c>
      <c r="M454">
        <v>2503</v>
      </c>
      <c r="N454" s="5" t="str">
        <f>CASOPOInvCL!AF454</f>
        <v>Southeast Pump Specialist, Inc.</v>
      </c>
      <c r="O454" s="16" t="str">
        <f>CASOPOInvCL!AG454</f>
        <v>USD</v>
      </c>
      <c r="P454" s="16">
        <f>CASOPOInvCL!AH454</f>
        <v>8471.5457172204988</v>
      </c>
      <c r="Q454" s="16">
        <f>CASOPOInvCL!AI454</f>
        <v>6098.6</v>
      </c>
      <c r="R454" s="32" t="str">
        <f>CASOPOInvCL!AU454</f>
        <v>Yes</v>
      </c>
      <c r="S454" s="16">
        <f>CASOPOInvCL!AV454</f>
        <v>562</v>
      </c>
      <c r="T454" s="16">
        <f>CASOPOInvCL!AW454</f>
        <v>5536.6</v>
      </c>
      <c r="V454" t="s">
        <v>5800</v>
      </c>
      <c r="Y454" s="29" t="str">
        <f>IFERROR(HLOOKUP(U454,List!$D$2:$H$6,2,FALSE),"")</f>
        <v/>
      </c>
      <c r="Z454" s="29">
        <f>IFERROR(HLOOKUP(V454,List!$D$2:$H$6,3,FALSE),"")</f>
        <v>5.0000000000000001E-3</v>
      </c>
      <c r="AA454" s="29" t="str">
        <f>IFERROR(HLOOKUP(W454,List!$D$2:$H$6,4,FALSE),"")</f>
        <v/>
      </c>
      <c r="AB454" s="29" t="str">
        <f>IFERROR(HLOOKUP(X454,List!$D$2:$H$6,5,FALSE),"")</f>
        <v/>
      </c>
      <c r="AC454" s="12" t="str">
        <f t="shared" si="101"/>
        <v/>
      </c>
      <c r="AD454" s="12">
        <f t="shared" si="102"/>
        <v>27.683000000000003</v>
      </c>
      <c r="AE454" s="12" t="str">
        <f t="shared" si="103"/>
        <v/>
      </c>
      <c r="AF454" s="12" t="str">
        <f t="shared" si="104"/>
        <v/>
      </c>
      <c r="AG454" t="str">
        <f>VLOOKUP(J454,'Receivable Invoice Detail'!$A$1:F3466,6,FALSE)</f>
        <v>[D-1J2311-2] Casing, 2x3-11, Goulds JC, Frame 1J, High Chrome, OEM# 055891G0001228</v>
      </c>
      <c r="AH454" s="12">
        <f t="shared" ref="AH454:AH455" si="110">SUM(AC454:AF454)</f>
        <v>27.683000000000003</v>
      </c>
      <c r="AM454" s="12" t="str">
        <f t="shared" si="105"/>
        <v/>
      </c>
      <c r="AN454" s="12">
        <f t="shared" si="106"/>
        <v>27.683000000000003</v>
      </c>
      <c r="AO454" s="12" t="str">
        <f t="shared" si="107"/>
        <v/>
      </c>
      <c r="AP454" s="12" t="str">
        <f t="shared" si="108"/>
        <v/>
      </c>
      <c r="AQ454" s="64">
        <v>2503</v>
      </c>
      <c r="AR454" t="s">
        <v>5932</v>
      </c>
      <c r="AS454" s="12">
        <f t="shared" si="109"/>
        <v>83.049000000000007</v>
      </c>
      <c r="AT454" s="16" t="str">
        <f t="shared" si="89"/>
        <v>Yes</v>
      </c>
    </row>
    <row r="455" spans="1:46" hidden="1" x14ac:dyDescent="0.25">
      <c r="A455" s="41">
        <f>CASOPOInvCL!T455</f>
        <v>1</v>
      </c>
      <c r="B455" t="str">
        <f>CASOPOInvCL!Z455</f>
        <v>SO17030</v>
      </c>
      <c r="D455" t="s">
        <v>5925</v>
      </c>
      <c r="G455" s="5" t="str">
        <f>CASOPOInvCL!I455</f>
        <v>Ian Trottier</v>
      </c>
      <c r="H455" s="31">
        <f>CASOPOInvCL!U455</f>
        <v>4</v>
      </c>
      <c r="I455" s="31">
        <f>CASOPOInvCL!V455</f>
        <v>2025</v>
      </c>
      <c r="J455" s="5" t="str">
        <f>CASOPOInvCL!AB455</f>
        <v>INV12922</v>
      </c>
      <c r="K455" s="31">
        <f>CASOPOInvCL!W455</f>
        <v>7</v>
      </c>
      <c r="L455" s="31">
        <f>CASOPOInvCL!X455</f>
        <v>2025</v>
      </c>
      <c r="M455">
        <v>2503</v>
      </c>
      <c r="N455" s="5" t="str">
        <f>CASOPOInvCL!AF455</f>
        <v>PT Vale Indonesia Tbk.</v>
      </c>
      <c r="O455" s="16" t="str">
        <f>CASOPOInvCL!AG455</f>
        <v>USD</v>
      </c>
      <c r="P455" s="16">
        <f>CASOPOInvCL!AH455</f>
        <v>472.08454596093964</v>
      </c>
      <c r="Q455" s="16">
        <f>CASOPOInvCL!AI455</f>
        <v>339.85</v>
      </c>
      <c r="R455" s="32" t="str">
        <f>CASOPOInvCL!AU455</f>
        <v>Yes</v>
      </c>
      <c r="S455" s="16">
        <f>CASOPOInvCL!AV455</f>
        <v>0</v>
      </c>
      <c r="T455" s="16">
        <f>CASOPOInvCL!AW455</f>
        <v>339.85</v>
      </c>
      <c r="V455" t="s">
        <v>5800</v>
      </c>
      <c r="Y455" s="29" t="str">
        <f>IFERROR(HLOOKUP(U455,List!$D$2:$H$6,2,FALSE),"")</f>
        <v/>
      </c>
      <c r="Z455" s="29">
        <f>IFERROR(HLOOKUP(V455,List!$D$2:$H$6,3,FALSE),"")</f>
        <v>5.0000000000000001E-3</v>
      </c>
      <c r="AA455" s="29" t="str">
        <f>IFERROR(HLOOKUP(W455,List!$D$2:$H$6,4,FALSE),"")</f>
        <v/>
      </c>
      <c r="AB455" s="29" t="str">
        <f>IFERROR(HLOOKUP(X455,List!$D$2:$H$6,5,FALSE),"")</f>
        <v/>
      </c>
      <c r="AC455" s="12" t="str">
        <f t="shared" si="101"/>
        <v/>
      </c>
      <c r="AD455" s="12">
        <f t="shared" si="102"/>
        <v>1.6992500000000001</v>
      </c>
      <c r="AE455" s="12" t="str">
        <f t="shared" si="103"/>
        <v/>
      </c>
      <c r="AF455" s="12" t="str">
        <f t="shared" si="104"/>
        <v/>
      </c>
      <c r="AG455" t="str">
        <f>VLOOKUP(J455,'Receivable Invoice Detail'!$A$1:F3467,6,FALSE)</f>
        <v>[W-B073M/E05] Shaft, 1.5/1 or 2/1.5 B-AH, 1045 Steel, Metric</v>
      </c>
      <c r="AH455" s="12">
        <f t="shared" si="110"/>
        <v>1.6992500000000001</v>
      </c>
      <c r="AM455" s="12" t="str">
        <f t="shared" si="105"/>
        <v/>
      </c>
      <c r="AN455" s="12">
        <f t="shared" si="106"/>
        <v>1.6992500000000001</v>
      </c>
      <c r="AO455" s="12" t="str">
        <f t="shared" si="107"/>
        <v/>
      </c>
      <c r="AP455" s="12" t="str">
        <f t="shared" si="108"/>
        <v/>
      </c>
      <c r="AQ455" s="64">
        <v>2503</v>
      </c>
      <c r="AR455" t="s">
        <v>5932</v>
      </c>
      <c r="AS455" s="12">
        <f t="shared" si="109"/>
        <v>5.0977500000000004</v>
      </c>
      <c r="AT455" s="16" t="str">
        <f t="shared" si="89"/>
        <v>Yes</v>
      </c>
    </row>
    <row r="456" spans="1:46" hidden="1" x14ac:dyDescent="0.25">
      <c r="A456" s="41">
        <f>CASOPOInvCL!T456</f>
        <v>1</v>
      </c>
      <c r="B456" t="str">
        <f>CASOPOInvCL!Z456</f>
        <v>SO17031</v>
      </c>
      <c r="G456" s="5" t="str">
        <f>CASOPOInvCL!I456</f>
        <v>Ian Trottier</v>
      </c>
      <c r="H456" s="31">
        <f>CASOPOInvCL!U456</f>
        <v>4</v>
      </c>
      <c r="I456" s="31">
        <f>CASOPOInvCL!V456</f>
        <v>2025</v>
      </c>
      <c r="J456" s="5" t="str">
        <f>CASOPOInvCL!AB456</f>
        <v>INV12945</v>
      </c>
      <c r="K456" s="31">
        <f>CASOPOInvCL!W456</f>
        <v>5</v>
      </c>
      <c r="L456" s="31">
        <f>CASOPOInvCL!X456</f>
        <v>2025</v>
      </c>
      <c r="M456" s="31"/>
      <c r="N456" s="5" t="str">
        <f>CASOPOInvCL!AF456</f>
        <v>Canadian Bearings Ltd.</v>
      </c>
      <c r="O456" s="16" t="str">
        <f>CASOPOInvCL!AG456</f>
        <v>CAD</v>
      </c>
      <c r="P456" s="16">
        <f>CASOPOInvCL!AH456</f>
        <v>442.49</v>
      </c>
      <c r="Q456" s="16">
        <f>CASOPOInvCL!AI456</f>
        <v>317.11567102770829</v>
      </c>
      <c r="R456" s="32" t="str">
        <f>CASOPOInvCL!AU456</f>
        <v>Yes</v>
      </c>
      <c r="S456" s="16">
        <f>CASOPOInvCL!AV456</f>
        <v>0</v>
      </c>
      <c r="T456" s="16">
        <f>CASOPOInvCL!AW456</f>
        <v>317.11567102770829</v>
      </c>
      <c r="Y456" s="29" t="str">
        <f>IFERROR(HLOOKUP(U456,List!$D$2:$H$6,2,FALSE),"")</f>
        <v/>
      </c>
      <c r="Z456" s="29" t="str">
        <f>IFERROR(HLOOKUP(V456,List!$D$2:$H$6,3,FALSE),"")</f>
        <v/>
      </c>
      <c r="AA456" s="29" t="str">
        <f>IFERROR(HLOOKUP(W456,List!$D$2:$H$6,4,FALSE),"")</f>
        <v/>
      </c>
      <c r="AB456" s="29" t="str">
        <f>IFERROR(HLOOKUP(X456,List!$D$2:$H$6,5,FALSE),"")</f>
        <v/>
      </c>
      <c r="AC456" s="12" t="str">
        <f t="shared" si="101"/>
        <v/>
      </c>
      <c r="AD456" s="12" t="str">
        <f t="shared" si="102"/>
        <v/>
      </c>
      <c r="AE456" s="12" t="str">
        <f t="shared" si="103"/>
        <v/>
      </c>
      <c r="AF456" s="12" t="str">
        <f t="shared" si="104"/>
        <v/>
      </c>
      <c r="AG456" t="str">
        <f>VLOOKUP(J456,'Receivable Invoice Detail'!$A$1:F3468,6,FALSE)</f>
        <v>[AC-52-050-313-000] Shim Kit, Allis Chalmers CSO, Frame F4D1/F4B5</v>
      </c>
      <c r="AM456" s="12" t="str">
        <f t="shared" si="105"/>
        <v/>
      </c>
      <c r="AN456" s="12" t="str">
        <f t="shared" si="106"/>
        <v/>
      </c>
      <c r="AO456" s="12" t="str">
        <f t="shared" si="107"/>
        <v/>
      </c>
      <c r="AP456" s="12" t="str">
        <f t="shared" si="108"/>
        <v/>
      </c>
      <c r="AQ456" s="12"/>
      <c r="AS456" s="12">
        <f t="shared" si="109"/>
        <v>4.756735065415624</v>
      </c>
      <c r="AT456" s="16" t="str">
        <f t="shared" si="89"/>
        <v>Yes</v>
      </c>
    </row>
    <row r="457" spans="1:46" hidden="1" x14ac:dyDescent="0.25">
      <c r="A457" s="41">
        <f>CASOPOInvCL!T457</f>
        <v>1</v>
      </c>
      <c r="B457" t="str">
        <f>CASOPOInvCL!Z457</f>
        <v>SO17033</v>
      </c>
      <c r="G457" s="5" t="str">
        <f>CASOPOInvCL!I457</f>
        <v>Ian Trottier</v>
      </c>
      <c r="H457" s="31">
        <f>CASOPOInvCL!U457</f>
        <v>4</v>
      </c>
      <c r="I457" s="31">
        <f>CASOPOInvCL!V457</f>
        <v>2025</v>
      </c>
      <c r="J457" s="5" t="str">
        <f>CASOPOInvCL!AB457</f>
        <v>INV12948</v>
      </c>
      <c r="K457" s="31">
        <f>CASOPOInvCL!W457</f>
        <v>6</v>
      </c>
      <c r="L457" s="31">
        <f>CASOPOInvCL!X457</f>
        <v>2025</v>
      </c>
      <c r="M457" s="31"/>
      <c r="N457" s="5" t="str">
        <f>CASOPOInvCL!AF457</f>
        <v>Tantalum Mining Corporation of Canada</v>
      </c>
      <c r="O457" s="16" t="str">
        <f>CASOPOInvCL!AG457</f>
        <v>CAD</v>
      </c>
      <c r="P457" s="16">
        <f>CASOPOInvCL!AH457</f>
        <v>2084.9299999999998</v>
      </c>
      <c r="Q457" s="16">
        <f>CASOPOInvCL!AI457</f>
        <v>1494.1896449542357</v>
      </c>
      <c r="R457" s="32" t="str">
        <f>CASOPOInvCL!AU457</f>
        <v>Yes</v>
      </c>
      <c r="S457" s="16">
        <f>CASOPOInvCL!AV457</f>
        <v>0</v>
      </c>
      <c r="T457" s="16">
        <f>CASOPOInvCL!AW457</f>
        <v>1494.1896449542357</v>
      </c>
      <c r="Y457" s="29" t="str">
        <f>IFERROR(HLOOKUP(U457,List!$D$2:$H$6,2,FALSE),"")</f>
        <v/>
      </c>
      <c r="Z457" s="29" t="str">
        <f>IFERROR(HLOOKUP(V457,List!$D$2:$H$6,3,FALSE),"")</f>
        <v/>
      </c>
      <c r="AA457" s="29" t="str">
        <f>IFERROR(HLOOKUP(W457,List!$D$2:$H$6,4,FALSE),"")</f>
        <v/>
      </c>
      <c r="AB457" s="29" t="str">
        <f>IFERROR(HLOOKUP(X457,List!$D$2:$H$6,5,FALSE),"")</f>
        <v/>
      </c>
      <c r="AC457" s="12" t="str">
        <f t="shared" si="101"/>
        <v/>
      </c>
      <c r="AD457" s="12" t="str">
        <f t="shared" si="102"/>
        <v/>
      </c>
      <c r="AE457" s="12" t="str">
        <f t="shared" si="103"/>
        <v/>
      </c>
      <c r="AF457" s="12" t="str">
        <f t="shared" si="104"/>
        <v/>
      </c>
      <c r="AG457" t="str">
        <f>VLOOKUP(J457,'Receivable Invoice Detail'!$A$1:F3469,6,FALSE)</f>
        <v>[AC-98-331-958-822] Shaft Sleeve, 3x3-10 SRL &amp; SRL-C, 420SS Heat Treated, Hardened</v>
      </c>
      <c r="AM457" s="12" t="str">
        <f t="shared" si="105"/>
        <v/>
      </c>
      <c r="AN457" s="12" t="str">
        <f t="shared" si="106"/>
        <v/>
      </c>
      <c r="AO457" s="12" t="str">
        <f t="shared" si="107"/>
        <v/>
      </c>
      <c r="AP457" s="12" t="str">
        <f t="shared" si="108"/>
        <v/>
      </c>
      <c r="AQ457" s="12"/>
      <c r="AS457" s="12">
        <f t="shared" si="109"/>
        <v>22.412844674313536</v>
      </c>
      <c r="AT457" s="16" t="str">
        <f t="shared" si="89"/>
        <v>Yes</v>
      </c>
    </row>
    <row r="458" spans="1:46" hidden="1" x14ac:dyDescent="0.25">
      <c r="A458" s="41">
        <f>CASOPOInvCL!T458</f>
        <v>1</v>
      </c>
      <c r="B458" t="str">
        <f>CASOPOInvCL!Z458</f>
        <v>SO17037</v>
      </c>
      <c r="G458" s="5" t="str">
        <f>CASOPOInvCL!I458</f>
        <v>Ian Trottier</v>
      </c>
      <c r="H458" s="31">
        <f>CASOPOInvCL!U458</f>
        <v>4</v>
      </c>
      <c r="I458" s="31">
        <f>CASOPOInvCL!V458</f>
        <v>2025</v>
      </c>
      <c r="J458" s="5" t="str">
        <f>CASOPOInvCL!AB458</f>
        <v>INV12939</v>
      </c>
      <c r="K458" s="31">
        <f>CASOPOInvCL!W458</f>
        <v>6</v>
      </c>
      <c r="L458" s="31">
        <f>CASOPOInvCL!X458</f>
        <v>2025</v>
      </c>
      <c r="M458" s="31"/>
      <c r="N458" s="5" t="str">
        <f>CASOPOInvCL!AF458</f>
        <v>Process and Steam Specialties, Process and Steam Specialties</v>
      </c>
      <c r="O458" s="16" t="str">
        <f>CASOPOInvCL!AG458</f>
        <v>CAD</v>
      </c>
      <c r="P458" s="16">
        <f>CASOPOInvCL!AH458</f>
        <v>997.63</v>
      </c>
      <c r="Q458" s="16">
        <f>CASOPOInvCL!AI458</f>
        <v>720.39023376823968</v>
      </c>
      <c r="R458" s="32" t="str">
        <f>CASOPOInvCL!AU458</f>
        <v>Yes</v>
      </c>
      <c r="S458" s="16">
        <f>CASOPOInvCL!AV458</f>
        <v>0</v>
      </c>
      <c r="T458" s="16">
        <f>CASOPOInvCL!AW458</f>
        <v>720.39023376823968</v>
      </c>
      <c r="Y458" s="29" t="str">
        <f>IFERROR(HLOOKUP(U458,List!$D$2:$H$6,2,FALSE),"")</f>
        <v/>
      </c>
      <c r="Z458" s="29" t="str">
        <f>IFERROR(HLOOKUP(V458,List!$D$2:$H$6,3,FALSE),"")</f>
        <v/>
      </c>
      <c r="AA458" s="29" t="str">
        <f>IFERROR(HLOOKUP(W458,List!$D$2:$H$6,4,FALSE),"")</f>
        <v/>
      </c>
      <c r="AB458" s="29" t="str">
        <f>IFERROR(HLOOKUP(X458,List!$D$2:$H$6,5,FALSE),"")</f>
        <v/>
      </c>
      <c r="AC458" s="12" t="str">
        <f t="shared" si="101"/>
        <v/>
      </c>
      <c r="AD458" s="12" t="str">
        <f t="shared" si="102"/>
        <v/>
      </c>
      <c r="AE458" s="12" t="str">
        <f t="shared" si="103"/>
        <v/>
      </c>
      <c r="AF458" s="12" t="str">
        <f t="shared" si="104"/>
        <v/>
      </c>
      <c r="AG458" t="str">
        <f>VLOOKUP(J458,'Receivable Invoice Detail'!$A$1:F3470,6,FALSE)</f>
        <v>[SA-234602-M1] Impeller, VT50, Natural Rubber</v>
      </c>
      <c r="AM458" s="12" t="str">
        <f t="shared" si="105"/>
        <v/>
      </c>
      <c r="AN458" s="12" t="str">
        <f t="shared" si="106"/>
        <v/>
      </c>
      <c r="AO458" s="12" t="str">
        <f t="shared" si="107"/>
        <v/>
      </c>
      <c r="AP458" s="12" t="str">
        <f t="shared" si="108"/>
        <v/>
      </c>
      <c r="AQ458" s="12"/>
      <c r="AS458" s="12">
        <f t="shared" si="109"/>
        <v>10.805853506523595</v>
      </c>
      <c r="AT458" s="16" t="str">
        <f t="shared" ref="AT458:AT521" si="111">R458</f>
        <v>Yes</v>
      </c>
    </row>
    <row r="459" spans="1:46" hidden="1" x14ac:dyDescent="0.25">
      <c r="A459" s="41">
        <f>CASOPOInvCL!T459</f>
        <v>1</v>
      </c>
      <c r="B459" t="str">
        <f>CASOPOInvCL!Z459</f>
        <v>SO17044</v>
      </c>
      <c r="D459" t="s">
        <v>5925</v>
      </c>
      <c r="G459" s="5" t="str">
        <f>CASOPOInvCL!I459</f>
        <v>Ian Trottier</v>
      </c>
      <c r="H459" s="31">
        <f>CASOPOInvCL!U459</f>
        <v>4</v>
      </c>
      <c r="I459" s="31">
        <f>CASOPOInvCL!V459</f>
        <v>2025</v>
      </c>
      <c r="J459" s="5" t="str">
        <f>CASOPOInvCL!AB459</f>
        <v>INV13088</v>
      </c>
      <c r="K459" s="31">
        <f>CASOPOInvCL!W459</f>
        <v>8</v>
      </c>
      <c r="L459" s="31">
        <f>CASOPOInvCL!X459</f>
        <v>2025</v>
      </c>
      <c r="M459">
        <v>2503</v>
      </c>
      <c r="N459" s="5" t="str">
        <f>CASOPOInvCL!AF459</f>
        <v>Resolute Forest Products - Saint-Felicien</v>
      </c>
      <c r="O459" s="16" t="str">
        <f>CASOPOInvCL!AG459</f>
        <v>CAD</v>
      </c>
      <c r="P459" s="16">
        <f>CASOPOInvCL!AH459</f>
        <v>1839.56</v>
      </c>
      <c r="Q459" s="16">
        <f>CASOPOInvCL!AI459</f>
        <v>1335.5062741481445</v>
      </c>
      <c r="R459" s="32" t="str">
        <f>CASOPOInvCL!AU459</f>
        <v>Yes</v>
      </c>
      <c r="S459" s="16">
        <f>CASOPOInvCL!AV459</f>
        <v>0</v>
      </c>
      <c r="T459" s="16">
        <f>CASOPOInvCL!AW459</f>
        <v>1335.5062741481445</v>
      </c>
      <c r="V459" t="s">
        <v>5801</v>
      </c>
      <c r="Y459" s="29" t="str">
        <f>IFERROR(HLOOKUP(U459,List!$D$2:$H$6,2,FALSE),"")</f>
        <v/>
      </c>
      <c r="Z459" s="29">
        <f>IFERROR(HLOOKUP(V459,List!$D$2:$H$6,3,FALSE),"")</f>
        <v>0.02</v>
      </c>
      <c r="AA459" s="29" t="str">
        <f>IFERROR(HLOOKUP(W459,List!$D$2:$H$6,4,FALSE),"")</f>
        <v/>
      </c>
      <c r="AB459" s="29" t="str">
        <f>IFERROR(HLOOKUP(X459,List!$D$2:$H$6,5,FALSE),"")</f>
        <v/>
      </c>
      <c r="AC459" s="12" t="str">
        <f t="shared" si="101"/>
        <v/>
      </c>
      <c r="AD459" s="12">
        <f t="shared" si="102"/>
        <v>26.710125482962891</v>
      </c>
      <c r="AE459" s="12" t="str">
        <f t="shared" si="103"/>
        <v/>
      </c>
      <c r="AF459" s="12" t="str">
        <f t="shared" si="104"/>
        <v/>
      </c>
      <c r="AG459" t="str">
        <f>VLOOKUP(J459,'Receivable Invoice Detail'!$A$1:F3471,6,FALSE)</f>
        <v>[G-A02827A04 2156] Impeller Nut &amp; Washer, 3196 XLT, Titanium</v>
      </c>
      <c r="AH459" s="12">
        <f t="shared" ref="AH459" si="112">SUM(AC459:AF459)</f>
        <v>26.710125482962891</v>
      </c>
      <c r="AM459" s="12" t="str">
        <f t="shared" si="105"/>
        <v/>
      </c>
      <c r="AN459" s="12">
        <f t="shared" si="106"/>
        <v>26.710125482962891</v>
      </c>
      <c r="AO459" s="12" t="str">
        <f t="shared" si="107"/>
        <v/>
      </c>
      <c r="AP459" s="12" t="str">
        <f t="shared" si="108"/>
        <v/>
      </c>
      <c r="AQ459" s="64">
        <v>2503</v>
      </c>
      <c r="AR459" t="s">
        <v>5932</v>
      </c>
      <c r="AS459" s="12">
        <f t="shared" si="109"/>
        <v>20.032594112222167</v>
      </c>
      <c r="AT459" s="16" t="str">
        <f t="shared" si="111"/>
        <v>Yes</v>
      </c>
    </row>
    <row r="460" spans="1:46" hidden="1" x14ac:dyDescent="0.25">
      <c r="A460" s="41">
        <f>CASOPOInvCL!T460</f>
        <v>1</v>
      </c>
      <c r="B460" t="str">
        <f>CASOPOInvCL!Z460</f>
        <v>SO17046</v>
      </c>
      <c r="G460" s="5" t="str">
        <f>CASOPOInvCL!I460</f>
        <v>Ian Trottier</v>
      </c>
      <c r="H460" s="31">
        <f>CASOPOInvCL!U460</f>
        <v>4</v>
      </c>
      <c r="I460" s="31">
        <f>CASOPOInvCL!V460</f>
        <v>2025</v>
      </c>
      <c r="J460" s="5" t="str">
        <f>CASOPOInvCL!AB460</f>
        <v>INV12956</v>
      </c>
      <c r="K460" s="31">
        <f>CASOPOInvCL!W460</f>
        <v>6</v>
      </c>
      <c r="L460" s="31">
        <f>CASOPOInvCL!X460</f>
        <v>2025</v>
      </c>
      <c r="M460" s="31"/>
      <c r="N460" s="5" t="str">
        <f>CASOPOInvCL!AF460</f>
        <v>Glencore Canada Corporation - Rouyn-Noranda, Glencore Canada Corp.</v>
      </c>
      <c r="O460" s="16" t="str">
        <f>CASOPOInvCL!AG460</f>
        <v>CAD</v>
      </c>
      <c r="P460" s="16">
        <f>CASOPOInvCL!AH460</f>
        <v>152.13</v>
      </c>
      <c r="Q460" s="16">
        <f>CASOPOInvCL!AI460</f>
        <v>109.76486958699009</v>
      </c>
      <c r="R460" s="32" t="str">
        <f>CASOPOInvCL!AU460</f>
        <v>Yes</v>
      </c>
      <c r="S460" s="16">
        <f>CASOPOInvCL!AV460</f>
        <v>0</v>
      </c>
      <c r="T460" s="16">
        <f>CASOPOInvCL!AW460</f>
        <v>109.76486958699009</v>
      </c>
      <c r="Y460" s="29" t="str">
        <f>IFERROR(HLOOKUP(U460,List!$D$2:$H$6,2,FALSE),"")</f>
        <v/>
      </c>
      <c r="Z460" s="29" t="str">
        <f>IFERROR(HLOOKUP(V460,List!$D$2:$H$6,3,FALSE),"")</f>
        <v/>
      </c>
      <c r="AA460" s="29" t="str">
        <f>IFERROR(HLOOKUP(W460,List!$D$2:$H$6,4,FALSE),"")</f>
        <v/>
      </c>
      <c r="AB460" s="29" t="str">
        <f>IFERROR(HLOOKUP(X460,List!$D$2:$H$6,5,FALSE),"")</f>
        <v/>
      </c>
      <c r="AC460" s="12" t="str">
        <f t="shared" si="101"/>
        <v/>
      </c>
      <c r="AD460" s="12" t="str">
        <f t="shared" si="102"/>
        <v/>
      </c>
      <c r="AE460" s="12" t="str">
        <f t="shared" si="103"/>
        <v/>
      </c>
      <c r="AF460" s="12" t="str">
        <f t="shared" si="104"/>
        <v/>
      </c>
      <c r="AG460" t="str">
        <f>VLOOKUP(J460,'Receivable Invoice Detail'!$A$1:F3472,6,FALSE)</f>
        <v>[AC-98-236-245-003] Premium Slurry Packing (5 Piece Set), 5x4/5x5/6x6 SRL &amp; SRL-C, Kevlar Fiber w/Silicon Core</v>
      </c>
      <c r="AM460" s="12" t="str">
        <f t="shared" si="105"/>
        <v/>
      </c>
      <c r="AN460" s="12" t="str">
        <f t="shared" si="106"/>
        <v/>
      </c>
      <c r="AO460" s="12" t="str">
        <f t="shared" si="107"/>
        <v/>
      </c>
      <c r="AP460" s="12" t="str">
        <f t="shared" si="108"/>
        <v/>
      </c>
      <c r="AQ460" s="12"/>
      <c r="AS460" s="12">
        <f t="shared" si="109"/>
        <v>1.6464730438048512</v>
      </c>
      <c r="AT460" s="16" t="str">
        <f t="shared" si="111"/>
        <v>Yes</v>
      </c>
    </row>
    <row r="461" spans="1:46" hidden="1" x14ac:dyDescent="0.25">
      <c r="A461" s="41">
        <f>CASOPOInvCL!T461</f>
        <v>1</v>
      </c>
      <c r="B461" t="str">
        <f>CASOPOInvCL!Z461</f>
        <v>SO17047</v>
      </c>
      <c r="G461" s="5" t="str">
        <f>CASOPOInvCL!I461</f>
        <v>Ian Trottier</v>
      </c>
      <c r="H461" s="31">
        <f>CASOPOInvCL!U461</f>
        <v>4</v>
      </c>
      <c r="I461" s="31">
        <f>CASOPOInvCL!V461</f>
        <v>2025</v>
      </c>
      <c r="J461" s="5" t="str">
        <f>CASOPOInvCL!AB461</f>
        <v>INV12929</v>
      </c>
      <c r="K461" s="31">
        <f>CASOPOInvCL!W461</f>
        <v>7</v>
      </c>
      <c r="L461" s="31">
        <f>CASOPOInvCL!X461</f>
        <v>2025</v>
      </c>
      <c r="M461" s="31"/>
      <c r="N461" s="5" t="str">
        <f>CASOPOInvCL!AF461</f>
        <v>Southeast Pump Specialist, Inc.</v>
      </c>
      <c r="O461" s="16" t="str">
        <f>CASOPOInvCL!AG461</f>
        <v>USD</v>
      </c>
      <c r="P461" s="16">
        <f>CASOPOInvCL!AH461</f>
        <v>2608.1714134156036</v>
      </c>
      <c r="Q461" s="16">
        <f>CASOPOInvCL!AI461</f>
        <v>1881.12</v>
      </c>
      <c r="R461" s="32" t="str">
        <f>CASOPOInvCL!AU461</f>
        <v>Yes</v>
      </c>
      <c r="S461" s="16">
        <f>CASOPOInvCL!AV461</f>
        <v>562</v>
      </c>
      <c r="T461" s="16">
        <f>CASOPOInvCL!AW461</f>
        <v>1319.12</v>
      </c>
      <c r="Y461" s="29" t="str">
        <f>IFERROR(HLOOKUP(U461,List!$D$2:$H$6,2,FALSE),"")</f>
        <v/>
      </c>
      <c r="Z461" s="29" t="str">
        <f>IFERROR(HLOOKUP(V461,List!$D$2:$H$6,3,FALSE),"")</f>
        <v/>
      </c>
      <c r="AA461" s="29" t="str">
        <f>IFERROR(HLOOKUP(W461,List!$D$2:$H$6,4,FALSE),"")</f>
        <v/>
      </c>
      <c r="AB461" s="29" t="str">
        <f>IFERROR(HLOOKUP(X461,List!$D$2:$H$6,5,FALSE),"")</f>
        <v/>
      </c>
      <c r="AC461" s="12" t="str">
        <f t="shared" si="101"/>
        <v/>
      </c>
      <c r="AD461" s="12" t="str">
        <f t="shared" si="102"/>
        <v/>
      </c>
      <c r="AE461" s="12" t="str">
        <f t="shared" si="103"/>
        <v/>
      </c>
      <c r="AF461" s="12" t="str">
        <f t="shared" si="104"/>
        <v/>
      </c>
      <c r="AG461" t="str">
        <f>VLOOKUP(J461,'Receivable Invoice Detail'!$A$1:F3473,6,FALSE)</f>
        <v>[W-S009] Bearing, 10/8 to 14/12 ST, FF-AH or 150/200 SV-SP or 300/350 Type L</v>
      </c>
      <c r="AM461" s="12" t="str">
        <f t="shared" si="105"/>
        <v/>
      </c>
      <c r="AN461" s="12" t="str">
        <f t="shared" si="106"/>
        <v/>
      </c>
      <c r="AO461" s="12" t="str">
        <f t="shared" si="107"/>
        <v/>
      </c>
      <c r="AP461" s="12" t="str">
        <f t="shared" si="108"/>
        <v/>
      </c>
      <c r="AQ461" s="12"/>
      <c r="AS461" s="12">
        <f t="shared" si="109"/>
        <v>19.786799999999996</v>
      </c>
      <c r="AT461" s="16" t="str">
        <f t="shared" si="111"/>
        <v>Yes</v>
      </c>
    </row>
    <row r="462" spans="1:46" hidden="1" x14ac:dyDescent="0.25">
      <c r="A462" s="41">
        <f>CASOPOInvCL!T462</f>
        <v>1</v>
      </c>
      <c r="B462" t="str">
        <f>CASOPOInvCL!Z462</f>
        <v>SO17048</v>
      </c>
      <c r="G462" s="5" t="str">
        <f>CASOPOInvCL!I462</f>
        <v>Ian Trottier</v>
      </c>
      <c r="H462" s="31">
        <f>CASOPOInvCL!U462</f>
        <v>4</v>
      </c>
      <c r="I462" s="31">
        <f>CASOPOInvCL!V462</f>
        <v>2025</v>
      </c>
      <c r="J462" s="5" t="str">
        <f>CASOPOInvCL!AB462</f>
        <v>INV12936</v>
      </c>
      <c r="K462" s="31">
        <f>CASOPOInvCL!W462</f>
        <v>6</v>
      </c>
      <c r="L462" s="31">
        <f>CASOPOInvCL!X462</f>
        <v>2025</v>
      </c>
      <c r="M462" s="31"/>
      <c r="N462" s="5" t="str">
        <f>CASOPOInvCL!AF462</f>
        <v>Sealtrac Inc.</v>
      </c>
      <c r="O462" s="16" t="str">
        <f>CASOPOInvCL!AG462</f>
        <v>CAD</v>
      </c>
      <c r="P462" s="16">
        <f>CASOPOInvCL!AH462</f>
        <v>1074.54</v>
      </c>
      <c r="Q462" s="16">
        <f>CASOPOInvCL!AI462</f>
        <v>775.3023267337428</v>
      </c>
      <c r="R462" s="32" t="str">
        <f>CASOPOInvCL!AU462</f>
        <v>Yes</v>
      </c>
      <c r="S462" s="16">
        <f>CASOPOInvCL!AV462</f>
        <v>0</v>
      </c>
      <c r="T462" s="16">
        <f>CASOPOInvCL!AW462</f>
        <v>775.3023267337428</v>
      </c>
      <c r="Y462" s="29" t="str">
        <f>IFERROR(HLOOKUP(U462,List!$D$2:$H$6,2,FALSE),"")</f>
        <v/>
      </c>
      <c r="Z462" s="29" t="str">
        <f>IFERROR(HLOOKUP(V462,List!$D$2:$H$6,3,FALSE),"")</f>
        <v/>
      </c>
      <c r="AA462" s="29" t="str">
        <f>IFERROR(HLOOKUP(W462,List!$D$2:$H$6,4,FALSE),"")</f>
        <v/>
      </c>
      <c r="AB462" s="29" t="str">
        <f>IFERROR(HLOOKUP(X462,List!$D$2:$H$6,5,FALSE),"")</f>
        <v/>
      </c>
      <c r="AC462" s="12" t="str">
        <f t="shared" si="101"/>
        <v/>
      </c>
      <c r="AD462" s="12" t="str">
        <f t="shared" si="102"/>
        <v/>
      </c>
      <c r="AE462" s="12" t="str">
        <f t="shared" si="103"/>
        <v/>
      </c>
      <c r="AF462" s="12" t="str">
        <f t="shared" si="104"/>
        <v/>
      </c>
      <c r="AG462" t="str">
        <f>VLOOKUP(J462,'Receivable Invoice Detail'!$A$1:F3474,6,FALSE)</f>
        <v>[G-C04677A 3201] Coupling Guard, 3196 MTX/LTX, Fabricated Steel, Drum Style</v>
      </c>
      <c r="AM462" s="12" t="str">
        <f t="shared" si="105"/>
        <v/>
      </c>
      <c r="AN462" s="12" t="str">
        <f t="shared" si="106"/>
        <v/>
      </c>
      <c r="AO462" s="12" t="str">
        <f t="shared" si="107"/>
        <v/>
      </c>
      <c r="AP462" s="12" t="str">
        <f t="shared" si="108"/>
        <v/>
      </c>
      <c r="AQ462" s="12"/>
      <c r="AS462" s="12">
        <f t="shared" si="109"/>
        <v>11.629534901006142</v>
      </c>
      <c r="AT462" s="16" t="str">
        <f t="shared" si="111"/>
        <v>Yes</v>
      </c>
    </row>
    <row r="463" spans="1:46" hidden="1" x14ac:dyDescent="0.25">
      <c r="A463" s="41">
        <f>CASOPOInvCL!T463</f>
        <v>1</v>
      </c>
      <c r="B463" t="str">
        <f>CASOPOInvCL!Z463</f>
        <v>SO17049</v>
      </c>
      <c r="G463" s="5" t="str">
        <f>CASOPOInvCL!I463</f>
        <v>Ian Trottier</v>
      </c>
      <c r="H463" s="31">
        <f>CASOPOInvCL!U463</f>
        <v>4</v>
      </c>
      <c r="I463" s="31">
        <f>CASOPOInvCL!V463</f>
        <v>2025</v>
      </c>
      <c r="J463" s="5" t="str">
        <f>CASOPOInvCL!AB463</f>
        <v>INV12938</v>
      </c>
      <c r="K463" s="31">
        <f>CASOPOInvCL!W463</f>
        <v>5</v>
      </c>
      <c r="L463" s="31">
        <f>CASOPOInvCL!X463</f>
        <v>2025</v>
      </c>
      <c r="M463" s="31"/>
      <c r="N463" s="5" t="str">
        <f>CASOPOInvCL!AF463</f>
        <v>Alamos Gold Inc, Alamos Gold Inc Island Gold Division</v>
      </c>
      <c r="O463" s="16" t="str">
        <f>CASOPOInvCL!AG463</f>
        <v>CAD</v>
      </c>
      <c r="P463" s="16">
        <f>CASOPOInvCL!AH463</f>
        <v>90.56</v>
      </c>
      <c r="Q463" s="16">
        <f>CASOPOInvCL!AI463</f>
        <v>64.900890795880727</v>
      </c>
      <c r="R463" s="32" t="str">
        <f>CASOPOInvCL!AU463</f>
        <v>Yes</v>
      </c>
      <c r="S463" s="16">
        <f>CASOPOInvCL!AV463</f>
        <v>0</v>
      </c>
      <c r="T463" s="16">
        <f>CASOPOInvCL!AW463</f>
        <v>64.900890795880727</v>
      </c>
      <c r="Y463" s="29" t="str">
        <f>IFERROR(HLOOKUP(U463,List!$D$2:$H$6,2,FALSE),"")</f>
        <v/>
      </c>
      <c r="Z463" s="29" t="str">
        <f>IFERROR(HLOOKUP(V463,List!$D$2:$H$6,3,FALSE),"")</f>
        <v/>
      </c>
      <c r="AA463" s="29" t="str">
        <f>IFERROR(HLOOKUP(W463,List!$D$2:$H$6,4,FALSE),"")</f>
        <v/>
      </c>
      <c r="AB463" s="29" t="str">
        <f>IFERROR(HLOOKUP(X463,List!$D$2:$H$6,5,FALSE),"")</f>
        <v/>
      </c>
      <c r="AC463" s="12" t="str">
        <f t="shared" si="101"/>
        <v/>
      </c>
      <c r="AD463" s="12" t="str">
        <f t="shared" si="102"/>
        <v/>
      </c>
      <c r="AE463" s="12" t="str">
        <f t="shared" si="103"/>
        <v/>
      </c>
      <c r="AF463" s="12" t="str">
        <f t="shared" si="104"/>
        <v/>
      </c>
      <c r="AG463" t="str">
        <f>VLOOKUP(J463,'Receivable Invoice Detail'!$A$1:F3475,6,FALSE)</f>
        <v>[023-Teflon, G-C02495A23 6359] Impeller O-Ring, 3196 STX, Teflon</v>
      </c>
      <c r="AM463" s="12" t="str">
        <f t="shared" si="105"/>
        <v/>
      </c>
      <c r="AN463" s="12" t="str">
        <f t="shared" si="106"/>
        <v/>
      </c>
      <c r="AO463" s="12" t="str">
        <f t="shared" si="107"/>
        <v/>
      </c>
      <c r="AP463" s="12" t="str">
        <f t="shared" si="108"/>
        <v/>
      </c>
      <c r="AQ463" s="12"/>
      <c r="AS463" s="12">
        <f t="shared" si="109"/>
        <v>0.97351336193821092</v>
      </c>
      <c r="AT463" s="16" t="str">
        <f t="shared" si="111"/>
        <v>Yes</v>
      </c>
    </row>
    <row r="464" spans="1:46" hidden="1" x14ac:dyDescent="0.25">
      <c r="A464" s="41">
        <f>CASOPOInvCL!T464</f>
        <v>1</v>
      </c>
      <c r="B464" t="str">
        <f>CASOPOInvCL!Z464</f>
        <v>SO17051</v>
      </c>
      <c r="G464" s="5" t="str">
        <f>CASOPOInvCL!I464</f>
        <v>Ian Trottier</v>
      </c>
      <c r="H464" s="31">
        <f>CASOPOInvCL!U464</f>
        <v>4</v>
      </c>
      <c r="I464" s="31">
        <f>CASOPOInvCL!V464</f>
        <v>2025</v>
      </c>
      <c r="J464" s="5" t="str">
        <f>CASOPOInvCL!AB464</f>
        <v>INV13133</v>
      </c>
      <c r="K464" s="31">
        <f>CASOPOInvCL!W464</f>
        <v>6</v>
      </c>
      <c r="L464" s="31">
        <f>CASOPOInvCL!X464</f>
        <v>2025</v>
      </c>
      <c r="M464" s="31"/>
      <c r="N464" s="5" t="str">
        <f>CASOPOInvCL!AF464</f>
        <v>Jindal Drilling &amp; Industries Limited</v>
      </c>
      <c r="O464" s="16" t="str">
        <f>CASOPOInvCL!AG464</f>
        <v>USD</v>
      </c>
      <c r="P464" s="16">
        <f>CASOPOInvCL!AH464</f>
        <v>28589.292236776691</v>
      </c>
      <c r="Q464" s="16">
        <f>CASOPOInvCL!AI464</f>
        <v>20808.13</v>
      </c>
      <c r="R464" s="32" t="str">
        <f>CASOPOInvCL!AU464</f>
        <v>Yes</v>
      </c>
      <c r="S464" s="16">
        <f>CASOPOInvCL!AV464</f>
        <v>0</v>
      </c>
      <c r="T464" s="16">
        <f>CASOPOInvCL!AW464</f>
        <v>20808.13</v>
      </c>
      <c r="Y464" s="29" t="str">
        <f>IFERROR(HLOOKUP(U464,List!$D$2:$H$6,2,FALSE),"")</f>
        <v/>
      </c>
      <c r="Z464" s="29" t="str">
        <f>IFERROR(HLOOKUP(V464,List!$D$2:$H$6,3,FALSE),"")</f>
        <v/>
      </c>
      <c r="AA464" s="29" t="str">
        <f>IFERROR(HLOOKUP(W464,List!$D$2:$H$6,4,FALSE),"")</f>
        <v/>
      </c>
      <c r="AB464" s="29" t="str">
        <f>IFERROR(HLOOKUP(X464,List!$D$2:$H$6,5,FALSE),"")</f>
        <v/>
      </c>
      <c r="AC464" s="12" t="str">
        <f t="shared" si="101"/>
        <v/>
      </c>
      <c r="AD464" s="12" t="str">
        <f t="shared" si="102"/>
        <v/>
      </c>
      <c r="AE464" s="12" t="str">
        <f t="shared" si="103"/>
        <v/>
      </c>
      <c r="AF464" s="12" t="str">
        <f t="shared" si="104"/>
        <v/>
      </c>
      <c r="AG464" t="str">
        <f>VLOOKUP(J464,'Receivable Invoice Detail'!$A$1:F3476,6,FALSE)</f>
        <v>[G-056185G180 1228] Casing, 4x6-14, Goulds JC, Frame 3J, High Chrome, OEM# 056185G1801228</v>
      </c>
      <c r="AM464" s="12" t="str">
        <f t="shared" si="105"/>
        <v/>
      </c>
      <c r="AN464" s="12" t="str">
        <f t="shared" si="106"/>
        <v/>
      </c>
      <c r="AO464" s="12" t="str">
        <f t="shared" si="107"/>
        <v/>
      </c>
      <c r="AP464" s="12" t="str">
        <f t="shared" si="108"/>
        <v/>
      </c>
      <c r="AQ464" s="12"/>
      <c r="AS464" s="12">
        <f t="shared" si="109"/>
        <v>312.12195000000003</v>
      </c>
      <c r="AT464" s="16" t="str">
        <f t="shared" si="111"/>
        <v>Yes</v>
      </c>
    </row>
    <row r="465" spans="1:46" hidden="1" x14ac:dyDescent="0.25">
      <c r="A465" s="41">
        <f>CASOPOInvCL!T465</f>
        <v>1</v>
      </c>
      <c r="B465" t="str">
        <f>CASOPOInvCL!Z465</f>
        <v>SO17053</v>
      </c>
      <c r="G465" s="5" t="str">
        <f>CASOPOInvCL!I465</f>
        <v>Ian Trottier</v>
      </c>
      <c r="H465" s="31">
        <f>CASOPOInvCL!U465</f>
        <v>4</v>
      </c>
      <c r="I465" s="31">
        <f>CASOPOInvCL!V465</f>
        <v>2025</v>
      </c>
      <c r="J465" s="5" t="str">
        <f>CASOPOInvCL!AB465</f>
        <v>INV12934</v>
      </c>
      <c r="K465" s="31">
        <f>CASOPOInvCL!W465</f>
        <v>6</v>
      </c>
      <c r="L465" s="31">
        <f>CASOPOInvCL!X465</f>
        <v>2025</v>
      </c>
      <c r="M465" s="31"/>
      <c r="N465" s="5" t="str">
        <f>CASOPOInvCL!AF465</f>
        <v>Fabrene Inc.</v>
      </c>
      <c r="O465" s="16" t="str">
        <f>CASOPOInvCL!AG465</f>
        <v>CAD</v>
      </c>
      <c r="P465" s="16">
        <f>CASOPOInvCL!AH465</f>
        <v>229.88</v>
      </c>
      <c r="Q465" s="16">
        <f>CASOPOInvCL!AI465</f>
        <v>165.86306593477462</v>
      </c>
      <c r="R465" s="32" t="str">
        <f>CASOPOInvCL!AU465</f>
        <v>Yes</v>
      </c>
      <c r="S465" s="16">
        <f>CASOPOInvCL!AV465</f>
        <v>0</v>
      </c>
      <c r="T465" s="16">
        <f>CASOPOInvCL!AW465</f>
        <v>165.86306593477462</v>
      </c>
      <c r="Y465" s="29" t="str">
        <f>IFERROR(HLOOKUP(U465,List!$D$2:$H$6,2,FALSE),"")</f>
        <v/>
      </c>
      <c r="Z465" s="29" t="str">
        <f>IFERROR(HLOOKUP(V465,List!$D$2:$H$6,3,FALSE),"")</f>
        <v/>
      </c>
      <c r="AA465" s="29" t="str">
        <f>IFERROR(HLOOKUP(W465,List!$D$2:$H$6,4,FALSE),"")</f>
        <v/>
      </c>
      <c r="AB465" s="29" t="str">
        <f>IFERROR(HLOOKUP(X465,List!$D$2:$H$6,5,FALSE),"")</f>
        <v/>
      </c>
      <c r="AC465" s="12" t="str">
        <f t="shared" si="101"/>
        <v/>
      </c>
      <c r="AD465" s="12" t="str">
        <f t="shared" si="102"/>
        <v/>
      </c>
      <c r="AE465" s="12" t="str">
        <f t="shared" si="103"/>
        <v/>
      </c>
      <c r="AF465" s="12" t="str">
        <f t="shared" si="104"/>
        <v/>
      </c>
      <c r="AG465" t="str">
        <f>VLOOKUP(J465,'Receivable Invoice Detail'!$A$1:F3477,6,FALSE)</f>
        <v>[G-73705X 2229] Shaft Sleeve, 3196 MTX, 316SS</v>
      </c>
      <c r="AM465" s="12" t="str">
        <f t="shared" si="105"/>
        <v/>
      </c>
      <c r="AN465" s="12" t="str">
        <f t="shared" si="106"/>
        <v/>
      </c>
      <c r="AO465" s="12" t="str">
        <f t="shared" si="107"/>
        <v/>
      </c>
      <c r="AP465" s="12" t="str">
        <f t="shared" si="108"/>
        <v/>
      </c>
      <c r="AQ465" s="12"/>
      <c r="AS465" s="12">
        <f t="shared" si="109"/>
        <v>2.4879459890216191</v>
      </c>
      <c r="AT465" s="16" t="str">
        <f t="shared" si="111"/>
        <v>Yes</v>
      </c>
    </row>
    <row r="466" spans="1:46" hidden="1" x14ac:dyDescent="0.25">
      <c r="A466" s="41">
        <f>CASOPOInvCL!T466</f>
        <v>1</v>
      </c>
      <c r="B466" t="str">
        <f>CASOPOInvCL!Z466</f>
        <v>SO17054</v>
      </c>
      <c r="G466" s="5" t="str">
        <f>CASOPOInvCL!I466</f>
        <v>Ian Trottier</v>
      </c>
      <c r="H466" s="31">
        <f>CASOPOInvCL!U466</f>
        <v>4</v>
      </c>
      <c r="I466" s="31">
        <f>CASOPOInvCL!V466</f>
        <v>2025</v>
      </c>
      <c r="J466" s="5" t="str">
        <f>CASOPOInvCL!AB466</f>
        <v>INV12924</v>
      </c>
      <c r="K466" s="31">
        <f>CASOPOInvCL!W466</f>
        <v>6</v>
      </c>
      <c r="L466" s="31">
        <f>CASOPOInvCL!X466</f>
        <v>2025</v>
      </c>
      <c r="M466" s="31"/>
      <c r="N466" s="5" t="str">
        <f>CASOPOInvCL!AF466</f>
        <v>Fabrene Inc.</v>
      </c>
      <c r="O466" s="16" t="str">
        <f>CASOPOInvCL!AG466</f>
        <v>CAD</v>
      </c>
      <c r="P466" s="16">
        <f>CASOPOInvCL!AH466</f>
        <v>425.21</v>
      </c>
      <c r="Q466" s="16">
        <f>CASOPOInvCL!AI466</f>
        <v>306.79760860503541</v>
      </c>
      <c r="R466" s="32" t="str">
        <f>CASOPOInvCL!AU466</f>
        <v>Yes</v>
      </c>
      <c r="S466" s="16">
        <f>CASOPOInvCL!AV466</f>
        <v>0</v>
      </c>
      <c r="T466" s="16">
        <f>CASOPOInvCL!AW466</f>
        <v>306.79760860503541</v>
      </c>
      <c r="Y466" s="29" t="str">
        <f>IFERROR(HLOOKUP(U466,List!$D$2:$H$6,2,FALSE),"")</f>
        <v/>
      </c>
      <c r="Z466" s="29" t="str">
        <f>IFERROR(HLOOKUP(V466,List!$D$2:$H$6,3,FALSE),"")</f>
        <v/>
      </c>
      <c r="AA466" s="29" t="str">
        <f>IFERROR(HLOOKUP(W466,List!$D$2:$H$6,4,FALSE),"")</f>
        <v/>
      </c>
      <c r="AB466" s="29" t="str">
        <f>IFERROR(HLOOKUP(X466,List!$D$2:$H$6,5,FALSE),"")</f>
        <v/>
      </c>
      <c r="AC466" s="12" t="str">
        <f t="shared" si="101"/>
        <v/>
      </c>
      <c r="AD466" s="12" t="str">
        <f t="shared" si="102"/>
        <v/>
      </c>
      <c r="AE466" s="12" t="str">
        <f t="shared" si="103"/>
        <v/>
      </c>
      <c r="AF466" s="12" t="str">
        <f t="shared" si="104"/>
        <v/>
      </c>
      <c r="AG466" t="str">
        <f>VLOOKUP(J466,'Receivable Invoice Detail'!$A$1:F3478,6,FALSE)</f>
        <v>[G-77225 6956] Shaft Sleeve, 3196 STX, 316SS, NCB Hardcoated</v>
      </c>
      <c r="AM466" s="12" t="str">
        <f t="shared" si="105"/>
        <v/>
      </c>
      <c r="AN466" s="12" t="str">
        <f t="shared" si="106"/>
        <v/>
      </c>
      <c r="AO466" s="12" t="str">
        <f t="shared" si="107"/>
        <v/>
      </c>
      <c r="AP466" s="12" t="str">
        <f t="shared" si="108"/>
        <v/>
      </c>
      <c r="AQ466" s="12"/>
      <c r="AS466" s="12">
        <f t="shared" si="109"/>
        <v>4.6019641290755313</v>
      </c>
      <c r="AT466" s="16" t="str">
        <f t="shared" si="111"/>
        <v>Yes</v>
      </c>
    </row>
    <row r="467" spans="1:46" hidden="1" x14ac:dyDescent="0.25">
      <c r="A467" s="41">
        <f>CASOPOInvCL!T467</f>
        <v>1</v>
      </c>
      <c r="B467" t="str">
        <f>CASOPOInvCL!Z467</f>
        <v>SO17055</v>
      </c>
      <c r="G467" s="5" t="str">
        <f>CASOPOInvCL!I467</f>
        <v>Ian Trottier</v>
      </c>
      <c r="H467" s="31">
        <f>CASOPOInvCL!U467</f>
        <v>4</v>
      </c>
      <c r="I467" s="31">
        <f>CASOPOInvCL!V467</f>
        <v>2025</v>
      </c>
      <c r="J467" s="5" t="str">
        <f>CASOPOInvCL!AB467</f>
        <v>INV12928</v>
      </c>
      <c r="K467" s="31">
        <f>CASOPOInvCL!W467</f>
        <v>6</v>
      </c>
      <c r="L467" s="31">
        <f>CASOPOInvCL!X467</f>
        <v>2025</v>
      </c>
      <c r="M467" s="31"/>
      <c r="N467" s="5" t="str">
        <f>CASOPOInvCL!AF467</f>
        <v>Tech-Flow</v>
      </c>
      <c r="O467" s="16" t="str">
        <f>CASOPOInvCL!AG467</f>
        <v>USD</v>
      </c>
      <c r="P467" s="16">
        <f>CASOPOInvCL!AH467</f>
        <v>3538.3182803905934</v>
      </c>
      <c r="Q467" s="16">
        <f>CASOPOInvCL!AI467</f>
        <v>2551.98</v>
      </c>
      <c r="R467" s="32" t="str">
        <f>CASOPOInvCL!AU467</f>
        <v>Yes</v>
      </c>
      <c r="S467" s="16">
        <f>CASOPOInvCL!AV467</f>
        <v>0</v>
      </c>
      <c r="T467" s="16">
        <f>CASOPOInvCL!AW467</f>
        <v>2551.98</v>
      </c>
      <c r="Y467" s="29" t="str">
        <f>IFERROR(HLOOKUP(U467,List!$D$2:$H$6,2,FALSE),"")</f>
        <v/>
      </c>
      <c r="Z467" s="29" t="str">
        <f>IFERROR(HLOOKUP(V467,List!$D$2:$H$6,3,FALSE),"")</f>
        <v/>
      </c>
      <c r="AA467" s="29" t="str">
        <f>IFERROR(HLOOKUP(W467,List!$D$2:$H$6,4,FALSE),"")</f>
        <v/>
      </c>
      <c r="AB467" s="29" t="str">
        <f>IFERROR(HLOOKUP(X467,List!$D$2:$H$6,5,FALSE),"")</f>
        <v/>
      </c>
      <c r="AC467" s="12" t="str">
        <f t="shared" si="101"/>
        <v/>
      </c>
      <c r="AD467" s="12" t="str">
        <f t="shared" si="102"/>
        <v/>
      </c>
      <c r="AE467" s="12" t="str">
        <f t="shared" si="103"/>
        <v/>
      </c>
      <c r="AF467" s="12" t="str">
        <f t="shared" si="104"/>
        <v/>
      </c>
      <c r="AG467" t="str">
        <f>VLOOKUP(J467,'Receivable Invoice Detail'!$A$1:F3479,6,FALSE)</f>
        <v>[SA-016628-M1] Casing, 44 WFR, Sala ST, Rubber Lined</v>
      </c>
      <c r="AM467" s="12" t="str">
        <f t="shared" si="105"/>
        <v/>
      </c>
      <c r="AN467" s="12" t="str">
        <f t="shared" si="106"/>
        <v/>
      </c>
      <c r="AO467" s="12" t="str">
        <f t="shared" si="107"/>
        <v/>
      </c>
      <c r="AP467" s="12" t="str">
        <f t="shared" si="108"/>
        <v/>
      </c>
      <c r="AQ467" s="12"/>
      <c r="AS467" s="12">
        <f t="shared" si="109"/>
        <v>38.279699999999998</v>
      </c>
      <c r="AT467" s="16" t="str">
        <f t="shared" si="111"/>
        <v>Yes</v>
      </c>
    </row>
    <row r="468" spans="1:46" hidden="1" x14ac:dyDescent="0.25">
      <c r="A468" s="41">
        <f>CASOPOInvCL!T468</f>
        <v>2</v>
      </c>
      <c r="B468" t="str">
        <f>CASOPOInvCL!Z468</f>
        <v>SO17059</v>
      </c>
      <c r="G468" s="5" t="str">
        <f>CASOPOInvCL!I468</f>
        <v>Yannett Yeomans</v>
      </c>
      <c r="H468" s="31">
        <f>CASOPOInvCL!U468</f>
        <v>4</v>
      </c>
      <c r="I468" s="31">
        <f>CASOPOInvCL!V468</f>
        <v>2025</v>
      </c>
      <c r="J468" s="5" t="str">
        <f>CASOPOInvCL!AB468</f>
        <v>INV13394</v>
      </c>
      <c r="K468" s="67" t="str">
        <f>CASOPOInvCL!W468</f>
        <v/>
      </c>
      <c r="L468" s="67" t="str">
        <f>CASOPOInvCL!X468</f>
        <v/>
      </c>
      <c r="M468" s="31"/>
      <c r="N468" s="5" t="str">
        <f>CASOPOInvCL!AF468</f>
        <v>Dynapro Pumps México S de RL de CV</v>
      </c>
      <c r="O468" s="16" t="str">
        <f>CASOPOInvCL!AG468</f>
        <v>USD</v>
      </c>
      <c r="P468" s="16">
        <f>CASOPOInvCL!AH468</f>
        <v>42958.715898354742</v>
      </c>
      <c r="Q468" s="16">
        <f>CASOPOInvCL!AI468</f>
        <v>30984</v>
      </c>
      <c r="R468" s="55" t="str">
        <f>CASOPOInvCL!AU468</f>
        <v/>
      </c>
      <c r="S468" s="16">
        <f>CASOPOInvCL!AV468</f>
        <v>0</v>
      </c>
      <c r="T468" s="16">
        <f>CASOPOInvCL!AW468</f>
        <v>0</v>
      </c>
      <c r="Y468" s="29" t="str">
        <f>IFERROR(HLOOKUP(U468,List!$D$2:$H$6,2,FALSE),"")</f>
        <v/>
      </c>
      <c r="Z468" s="29" t="str">
        <f>IFERROR(HLOOKUP(V468,List!$D$2:$H$6,3,FALSE),"")</f>
        <v/>
      </c>
      <c r="AA468" s="29" t="str">
        <f>IFERROR(HLOOKUP(W468,List!$D$2:$H$6,4,FALSE),"")</f>
        <v/>
      </c>
      <c r="AB468" s="29" t="str">
        <f>IFERROR(HLOOKUP(X468,List!$D$2:$H$6,5,FALSE),"")</f>
        <v/>
      </c>
      <c r="AC468" s="12" t="str">
        <f t="shared" si="101"/>
        <v/>
      </c>
      <c r="AD468" s="12" t="str">
        <f t="shared" si="102"/>
        <v/>
      </c>
      <c r="AE468" s="12" t="str">
        <f t="shared" si="103"/>
        <v/>
      </c>
      <c r="AF468" s="12" t="str">
        <f t="shared" si="104"/>
        <v/>
      </c>
      <c r="AG468" t="str">
        <f>VLOOKUP(J468,'Receivable Invoice Detail'!$A$1:F3480,6,FALSE)</f>
        <v>[6254C-00-0028G] Pump Casing, Dynapro 6X8 MDX-025, High Chrome</v>
      </c>
      <c r="AM468" s="12" t="str">
        <f t="shared" si="105"/>
        <v/>
      </c>
      <c r="AN468" s="12" t="str">
        <f t="shared" si="106"/>
        <v/>
      </c>
      <c r="AO468" s="12" t="str">
        <f t="shared" si="107"/>
        <v/>
      </c>
      <c r="AP468" s="12" t="str">
        <f t="shared" si="108"/>
        <v/>
      </c>
      <c r="AQ468" s="12"/>
      <c r="AR468" s="16" t="s">
        <v>5940</v>
      </c>
      <c r="AS468" s="12">
        <f t="shared" si="109"/>
        <v>0</v>
      </c>
      <c r="AT468" s="16" t="s">
        <v>5940</v>
      </c>
    </row>
    <row r="469" spans="1:46" hidden="1" x14ac:dyDescent="0.25">
      <c r="A469" s="41">
        <f>CASOPOInvCL!T469</f>
        <v>2</v>
      </c>
      <c r="B469" t="str">
        <f>CASOPOInvCL!Z469</f>
        <v>SO17059</v>
      </c>
      <c r="G469" s="5">
        <f>CASOPOInvCL!I469</f>
        <v>0</v>
      </c>
      <c r="H469" s="31">
        <f>CASOPOInvCL!U469</f>
        <v>4</v>
      </c>
      <c r="I469" s="31">
        <f>CASOPOInvCL!V469</f>
        <v>2025</v>
      </c>
      <c r="J469" s="5" t="str">
        <f>CASOPOInvCL!AB469</f>
        <v>INV13273</v>
      </c>
      <c r="K469" s="67" t="str">
        <f>CASOPOInvCL!W469</f>
        <v/>
      </c>
      <c r="L469" s="67" t="str">
        <f>CASOPOInvCL!X469</f>
        <v/>
      </c>
      <c r="M469" s="31"/>
      <c r="N469" s="5" t="str">
        <f>CASOPOInvCL!AF469</f>
        <v>Dynapro Pumps México S de RL de CV</v>
      </c>
      <c r="O469" s="16" t="str">
        <f>CASOPOInvCL!AG469</f>
        <v>USD</v>
      </c>
      <c r="P469" s="16">
        <f>CASOPOInvCL!AH469</f>
        <v>0</v>
      </c>
      <c r="Q469" s="16">
        <f>CASOPOInvCL!AI469</f>
        <v>0</v>
      </c>
      <c r="R469" s="55" t="str">
        <f>CASOPOInvCL!AU469</f>
        <v/>
      </c>
      <c r="S469" s="16">
        <f>CASOPOInvCL!AV469</f>
        <v>0</v>
      </c>
      <c r="T469" s="16">
        <f>CASOPOInvCL!AW469</f>
        <v>0</v>
      </c>
      <c r="Y469" s="29" t="str">
        <f>IFERROR(HLOOKUP(U469,List!$D$2:$H$6,2,FALSE),"")</f>
        <v/>
      </c>
      <c r="Z469" s="29" t="str">
        <f>IFERROR(HLOOKUP(V469,List!$D$2:$H$6,3,FALSE),"")</f>
        <v/>
      </c>
      <c r="AA469" s="29" t="str">
        <f>IFERROR(HLOOKUP(W469,List!$D$2:$H$6,4,FALSE),"")</f>
        <v/>
      </c>
      <c r="AB469" s="29" t="str">
        <f>IFERROR(HLOOKUP(X469,List!$D$2:$H$6,5,FALSE),"")</f>
        <v/>
      </c>
      <c r="AC469" s="12" t="str">
        <f t="shared" si="101"/>
        <v/>
      </c>
      <c r="AD469" s="12" t="str">
        <f t="shared" si="102"/>
        <v/>
      </c>
      <c r="AE469" s="12" t="str">
        <f t="shared" si="103"/>
        <v/>
      </c>
      <c r="AF469" s="12" t="str">
        <f t="shared" si="104"/>
        <v/>
      </c>
      <c r="AG469" t="str">
        <f>VLOOKUP(J469,'Receivable Invoice Detail'!$A$1:F3481,6,FALSE)</f>
        <v>[6254C-00-0028G] Pump Casing, Dynapro 6X8 MDX-025, High Chrome</v>
      </c>
      <c r="AM469" s="12" t="str">
        <f t="shared" si="105"/>
        <v/>
      </c>
      <c r="AN469" s="12" t="str">
        <f t="shared" si="106"/>
        <v/>
      </c>
      <c r="AO469" s="12" t="str">
        <f t="shared" si="107"/>
        <v/>
      </c>
      <c r="AP469" s="12" t="str">
        <f t="shared" si="108"/>
        <v/>
      </c>
      <c r="AQ469" s="12"/>
      <c r="AR469" s="16" t="s">
        <v>5940</v>
      </c>
      <c r="AS469" s="12">
        <f t="shared" si="109"/>
        <v>0</v>
      </c>
      <c r="AT469" s="16" t="s">
        <v>5940</v>
      </c>
    </row>
    <row r="470" spans="1:46" hidden="1" x14ac:dyDescent="0.25">
      <c r="A470" s="41">
        <f>CASOPOInvCL!T470</f>
        <v>2</v>
      </c>
      <c r="B470" t="str">
        <f>CASOPOInvCL!Z470</f>
        <v>SO17060</v>
      </c>
      <c r="G470" s="5" t="str">
        <f>CASOPOInvCL!I470</f>
        <v>Taylor Cook</v>
      </c>
      <c r="H470" s="31">
        <f>CASOPOInvCL!U470</f>
        <v>4</v>
      </c>
      <c r="I470" s="31">
        <f>CASOPOInvCL!V470</f>
        <v>2025</v>
      </c>
      <c r="J470" s="5" t="str">
        <f>CASOPOInvCL!AB470</f>
        <v>INV13021</v>
      </c>
      <c r="K470" s="31">
        <f>CASOPOInvCL!W470</f>
        <v>6</v>
      </c>
      <c r="L470" s="31">
        <f>CASOPOInvCL!X470</f>
        <v>2025</v>
      </c>
      <c r="M470" s="31"/>
      <c r="N470" s="5" t="str">
        <f>CASOPOInvCL!AF470</f>
        <v>Sling-Choker Manufacturing - Timmins</v>
      </c>
      <c r="O470" s="16" t="str">
        <f>CASOPOInvCL!AG470</f>
        <v>CAD</v>
      </c>
      <c r="P470" s="16">
        <f>CASOPOInvCL!AH470</f>
        <v>16904.79</v>
      </c>
      <c r="Q470" s="16">
        <f>CASOPOInvCL!AI470</f>
        <v>12115.0168917546</v>
      </c>
      <c r="R470" s="32" t="str">
        <f>CASOPOInvCL!AU470</f>
        <v>Yes</v>
      </c>
      <c r="S470" s="16">
        <f>CASOPOInvCL!AV470</f>
        <v>0</v>
      </c>
      <c r="T470" s="16">
        <f>CASOPOInvCL!AW470</f>
        <v>12115.0168917546</v>
      </c>
      <c r="Y470" s="29" t="str">
        <f>IFERROR(HLOOKUP(U470,List!$D$2:$H$6,2,FALSE),"")</f>
        <v/>
      </c>
      <c r="Z470" s="29" t="str">
        <f>IFERROR(HLOOKUP(V470,List!$D$2:$H$6,3,FALSE),"")</f>
        <v/>
      </c>
      <c r="AA470" s="29" t="str">
        <f>IFERROR(HLOOKUP(W470,List!$D$2:$H$6,4,FALSE),"")</f>
        <v/>
      </c>
      <c r="AB470" s="29" t="str">
        <f>IFERROR(HLOOKUP(X470,List!$D$2:$H$6,5,FALSE),"")</f>
        <v/>
      </c>
      <c r="AC470" s="12" t="str">
        <f t="shared" si="101"/>
        <v/>
      </c>
      <c r="AD470" s="12" t="str">
        <f t="shared" si="102"/>
        <v/>
      </c>
      <c r="AE470" s="12" t="str">
        <f t="shared" si="103"/>
        <v/>
      </c>
      <c r="AF470" s="12" t="str">
        <f t="shared" si="104"/>
        <v/>
      </c>
      <c r="AG470" t="str">
        <f>VLOOKUP(J470,'Receivable Invoice Detail'!$A$1:F3482,6,FALSE)</f>
        <v>[AC-98-131-246-511] Deflector (Water Slinger), 5x5/5x4/6x6 SRL &amp; SRL-C, Neoprene/Steel</v>
      </c>
      <c r="AM470" s="12" t="str">
        <f t="shared" si="105"/>
        <v/>
      </c>
      <c r="AN470" s="12" t="str">
        <f t="shared" si="106"/>
        <v/>
      </c>
      <c r="AO470" s="12" t="str">
        <f t="shared" si="107"/>
        <v/>
      </c>
      <c r="AP470" s="12" t="str">
        <f t="shared" si="108"/>
        <v/>
      </c>
      <c r="AQ470" s="12"/>
      <c r="AS470" s="12">
        <f t="shared" si="109"/>
        <v>181.72525337631899</v>
      </c>
      <c r="AT470" s="16" t="str">
        <f t="shared" si="111"/>
        <v>Yes</v>
      </c>
    </row>
    <row r="471" spans="1:46" hidden="1" x14ac:dyDescent="0.25">
      <c r="A471" s="41">
        <f>CASOPOInvCL!T471</f>
        <v>2</v>
      </c>
      <c r="B471" t="str">
        <f>CASOPOInvCL!Z471</f>
        <v>SO17060</v>
      </c>
      <c r="G471" s="5">
        <f>CASOPOInvCL!I471</f>
        <v>0</v>
      </c>
      <c r="H471" s="31">
        <f>CASOPOInvCL!U471</f>
        <v>4</v>
      </c>
      <c r="I471" s="31">
        <f>CASOPOInvCL!V471</f>
        <v>2025</v>
      </c>
      <c r="J471" s="5" t="str">
        <f>CASOPOInvCL!AB471</f>
        <v>INV13114</v>
      </c>
      <c r="K471" s="31">
        <f>CASOPOInvCL!W471</f>
        <v>7</v>
      </c>
      <c r="L471" s="31">
        <f>CASOPOInvCL!X471</f>
        <v>2025</v>
      </c>
      <c r="M471" s="31"/>
      <c r="N471" s="5" t="str">
        <f>CASOPOInvCL!AF471</f>
        <v>Sling-Choker Manufacturing - Timmins</v>
      </c>
      <c r="O471" s="16" t="str">
        <f>CASOPOInvCL!AG471</f>
        <v>CAD</v>
      </c>
      <c r="P471" s="16">
        <f>CASOPOInvCL!AH471</f>
        <v>0</v>
      </c>
      <c r="Q471" s="16">
        <f>CASOPOInvCL!AI471</f>
        <v>0</v>
      </c>
      <c r="R471" s="32" t="str">
        <f>CASOPOInvCL!AU471</f>
        <v/>
      </c>
      <c r="S471" s="16">
        <f>CASOPOInvCL!AV471</f>
        <v>0</v>
      </c>
      <c r="T471" s="16">
        <f>CASOPOInvCL!AW471</f>
        <v>0</v>
      </c>
      <c r="Y471" s="29" t="str">
        <f>IFERROR(HLOOKUP(U471,List!$D$2:$H$6,2,FALSE),"")</f>
        <v/>
      </c>
      <c r="Z471" s="29" t="str">
        <f>IFERROR(HLOOKUP(V471,List!$D$2:$H$6,3,FALSE),"")</f>
        <v/>
      </c>
      <c r="AA471" s="29" t="str">
        <f>IFERROR(HLOOKUP(W471,List!$D$2:$H$6,4,FALSE),"")</f>
        <v/>
      </c>
      <c r="AB471" s="29" t="str">
        <f>IFERROR(HLOOKUP(X471,List!$D$2:$H$6,5,FALSE),"")</f>
        <v/>
      </c>
      <c r="AC471" s="12" t="str">
        <f t="shared" si="101"/>
        <v/>
      </c>
      <c r="AD471" s="12" t="str">
        <f t="shared" si="102"/>
        <v/>
      </c>
      <c r="AE471" s="12" t="str">
        <f t="shared" si="103"/>
        <v/>
      </c>
      <c r="AF471" s="12" t="str">
        <f t="shared" si="104"/>
        <v/>
      </c>
      <c r="AG471" t="str">
        <f>VLOOKUP(J471,'Receivable Invoice Detail'!$A$1:F3483,6,FALSE)</f>
        <v>[G-RC03132A 2229] Shaft (Less Sleeve), 3196 LTX, 316SS</v>
      </c>
      <c r="AM471" s="12" t="str">
        <f t="shared" si="105"/>
        <v/>
      </c>
      <c r="AN471" s="12" t="str">
        <f t="shared" si="106"/>
        <v/>
      </c>
      <c r="AO471" s="12" t="str">
        <f t="shared" si="107"/>
        <v/>
      </c>
      <c r="AP471" s="12" t="str">
        <f t="shared" si="108"/>
        <v/>
      </c>
      <c r="AQ471" s="12"/>
      <c r="AS471" s="12">
        <f t="shared" si="109"/>
        <v>0</v>
      </c>
      <c r="AT471" s="16" t="str">
        <f t="shared" si="111"/>
        <v/>
      </c>
    </row>
    <row r="472" spans="1:46" hidden="1" x14ac:dyDescent="0.25">
      <c r="A472" s="41">
        <f>CASOPOInvCL!T472</f>
        <v>1</v>
      </c>
      <c r="B472" t="str">
        <f>CASOPOInvCL!Z472</f>
        <v>SO17061</v>
      </c>
      <c r="G472" s="5" t="str">
        <f>CASOPOInvCL!I472</f>
        <v>Ian Trottier</v>
      </c>
      <c r="H472" s="31">
        <f>CASOPOInvCL!U472</f>
        <v>4</v>
      </c>
      <c r="I472" s="31">
        <f>CASOPOInvCL!V472</f>
        <v>2025</v>
      </c>
      <c r="J472" s="5" t="str">
        <f>CASOPOInvCL!AB472</f>
        <v>INV12995</v>
      </c>
      <c r="K472" s="31">
        <f>CASOPOInvCL!W472</f>
        <v>6</v>
      </c>
      <c r="L472" s="31">
        <f>CASOPOInvCL!X472</f>
        <v>2025</v>
      </c>
      <c r="M472" s="31"/>
      <c r="N472" s="5" t="str">
        <f>CASOPOInvCL!AF472</f>
        <v>Motion Industries Inc. (U.S.) - Westlake</v>
      </c>
      <c r="O472" s="16" t="str">
        <f>CASOPOInvCL!AG472</f>
        <v>USD</v>
      </c>
      <c r="P472" s="16">
        <f>CASOPOInvCL!AH472</f>
        <v>185.1531058877263</v>
      </c>
      <c r="Q472" s="16">
        <f>CASOPOInvCL!AI472</f>
        <v>133.54</v>
      </c>
      <c r="R472" s="32" t="str">
        <f>CASOPOInvCL!AU472</f>
        <v>Yes</v>
      </c>
      <c r="S472" s="16">
        <f>CASOPOInvCL!AV472</f>
        <v>0</v>
      </c>
      <c r="T472" s="16">
        <f>CASOPOInvCL!AW472</f>
        <v>133.54</v>
      </c>
      <c r="Y472" s="29" t="str">
        <f>IFERROR(HLOOKUP(U472,List!$D$2:$H$6,2,FALSE),"")</f>
        <v/>
      </c>
      <c r="Z472" s="29" t="str">
        <f>IFERROR(HLOOKUP(V472,List!$D$2:$H$6,3,FALSE),"")</f>
        <v/>
      </c>
      <c r="AA472" s="29" t="str">
        <f>IFERROR(HLOOKUP(W472,List!$D$2:$H$6,4,FALSE),"")</f>
        <v/>
      </c>
      <c r="AB472" s="29" t="str">
        <f>IFERROR(HLOOKUP(X472,List!$D$2:$H$6,5,FALSE),"")</f>
        <v/>
      </c>
      <c r="AC472" s="12" t="str">
        <f t="shared" si="101"/>
        <v/>
      </c>
      <c r="AD472" s="12" t="str">
        <f t="shared" si="102"/>
        <v/>
      </c>
      <c r="AE472" s="12" t="str">
        <f t="shared" si="103"/>
        <v/>
      </c>
      <c r="AF472" s="12" t="str">
        <f t="shared" si="104"/>
        <v/>
      </c>
      <c r="AG472" t="str">
        <f>VLOOKUP(J472,'Receivable Invoice Detail'!$A$1:F3484,6,FALSE)</f>
        <v>[AC-52-118-010-002] Shaft Sleeve, Allis Chalmers 2000 Series, 330 Frame, Bronze</v>
      </c>
      <c r="AM472" s="12" t="str">
        <f t="shared" si="105"/>
        <v/>
      </c>
      <c r="AN472" s="12" t="str">
        <f t="shared" si="106"/>
        <v/>
      </c>
      <c r="AO472" s="12" t="str">
        <f t="shared" si="107"/>
        <v/>
      </c>
      <c r="AP472" s="12" t="str">
        <f t="shared" si="108"/>
        <v/>
      </c>
      <c r="AQ472" s="12"/>
      <c r="AS472" s="12">
        <f t="shared" si="109"/>
        <v>2.0030999999999999</v>
      </c>
      <c r="AT472" s="16" t="str">
        <f t="shared" si="111"/>
        <v>Yes</v>
      </c>
    </row>
    <row r="473" spans="1:46" hidden="1" x14ac:dyDescent="0.25">
      <c r="A473" s="41">
        <f>CASOPOInvCL!T473</f>
        <v>1</v>
      </c>
      <c r="B473" s="76" t="str">
        <f>CASOPOInvCL!Z473</f>
        <v>SO17062</v>
      </c>
      <c r="D473" t="s">
        <v>5915</v>
      </c>
      <c r="G473" s="5" t="str">
        <f>CASOPOInvCL!I473</f>
        <v>Wilka Nuñez</v>
      </c>
      <c r="H473" s="31">
        <f>CASOPOInvCL!U473</f>
        <v>4</v>
      </c>
      <c r="I473" s="31">
        <f>CASOPOInvCL!V473</f>
        <v>2025</v>
      </c>
      <c r="J473" s="5" t="str">
        <f>CASOPOInvCL!AB473</f>
        <v>INV13187</v>
      </c>
      <c r="K473" s="31">
        <f>CASOPOInvCL!W473</f>
        <v>8</v>
      </c>
      <c r="L473" s="31">
        <f>CASOPOInvCL!X473</f>
        <v>2025</v>
      </c>
      <c r="M473">
        <v>2503</v>
      </c>
      <c r="N473" s="5" t="str">
        <f>CASOPOInvCL!AF473</f>
        <v>Barrick Gold - Pueblo Viejo Dominicana Corporation</v>
      </c>
      <c r="O473" s="16" t="str">
        <f>CASOPOInvCL!AG473</f>
        <v>USD</v>
      </c>
      <c r="P473" s="16">
        <f>CASOPOInvCL!AH473</f>
        <v>20638.65095481052</v>
      </c>
      <c r="Q473" s="16">
        <f>CASOPOInvCL!AI473</f>
        <v>14885.44</v>
      </c>
      <c r="R473" s="32" t="str">
        <f>CASOPOInvCL!AU473</f>
        <v>Yes</v>
      </c>
      <c r="S473" s="16">
        <f>CASOPOInvCL!AV473</f>
        <v>0</v>
      </c>
      <c r="T473" s="16">
        <f>CASOPOInvCL!AW473</f>
        <v>14885.44</v>
      </c>
      <c r="V473" s="72" t="s">
        <v>5801</v>
      </c>
      <c r="Y473" s="29" t="str">
        <f>IFERROR(HLOOKUP(U473,List!$D$2:$H$6,2,FALSE),"")</f>
        <v/>
      </c>
      <c r="Z473" s="29">
        <f>IFERROR(HLOOKUP(V473,List!$D$2:$H$6,3,FALSE),"")</f>
        <v>0.02</v>
      </c>
      <c r="AA473" s="29" t="str">
        <f>IFERROR(HLOOKUP(W473,List!$D$2:$H$6,4,FALSE),"")</f>
        <v/>
      </c>
      <c r="AB473" s="29" t="str">
        <f>IFERROR(HLOOKUP(X473,List!$D$2:$H$6,5,FALSE),"")</f>
        <v/>
      </c>
      <c r="AC473" s="12" t="str">
        <f t="shared" si="101"/>
        <v/>
      </c>
      <c r="AD473" s="12">
        <f t="shared" si="102"/>
        <v>297.7088</v>
      </c>
      <c r="AE473" s="12" t="str">
        <f t="shared" si="103"/>
        <v/>
      </c>
      <c r="AF473" s="12" t="str">
        <f t="shared" si="104"/>
        <v/>
      </c>
      <c r="AG473" t="str">
        <f>VLOOKUP(J473,'Receivable Invoice Detail'!$A$1:F3485,6,FALSE)</f>
        <v>[85449] Service Kit, Micropump GLH-H25, Gears on Shafts, Bushings and Seals</v>
      </c>
      <c r="AJ473">
        <v>2503</v>
      </c>
      <c r="AM473" s="12" t="str">
        <f t="shared" si="105"/>
        <v/>
      </c>
      <c r="AN473" s="12">
        <f t="shared" si="106"/>
        <v>0</v>
      </c>
      <c r="AO473" s="12" t="str">
        <f t="shared" si="107"/>
        <v/>
      </c>
      <c r="AP473" s="12" t="str">
        <f t="shared" si="108"/>
        <v/>
      </c>
      <c r="AQ473" s="64">
        <f>M473</f>
        <v>2503</v>
      </c>
      <c r="AR473" s="64" t="s">
        <v>5934</v>
      </c>
      <c r="AS473" s="12">
        <f t="shared" si="109"/>
        <v>223.2816</v>
      </c>
      <c r="AT473" s="16" t="str">
        <f t="shared" si="111"/>
        <v>Yes</v>
      </c>
    </row>
    <row r="474" spans="1:46" hidden="1" x14ac:dyDescent="0.25">
      <c r="A474" s="41">
        <f>CASOPOInvCL!T474</f>
        <v>1</v>
      </c>
      <c r="B474" t="str">
        <f>CASOPOInvCL!Z474</f>
        <v>SO17063</v>
      </c>
      <c r="G474" s="5" t="str">
        <f>CASOPOInvCL!I474</f>
        <v>Ian Trottier</v>
      </c>
      <c r="H474" s="31">
        <f>CASOPOInvCL!U474</f>
        <v>4</v>
      </c>
      <c r="I474" s="31">
        <f>CASOPOInvCL!V474</f>
        <v>2025</v>
      </c>
      <c r="J474" s="5" t="str">
        <f>CASOPOInvCL!AB474</f>
        <v>INV13386</v>
      </c>
      <c r="K474" s="31">
        <f>CASOPOInvCL!W474</f>
        <v>10</v>
      </c>
      <c r="L474" s="31">
        <f>CASOPOInvCL!X474</f>
        <v>2025</v>
      </c>
      <c r="M474" s="31"/>
      <c r="N474" s="5" t="str">
        <f>CASOPOInvCL!AF474</f>
        <v>Les Pompes du St-Laurent Inc.</v>
      </c>
      <c r="O474" s="16" t="str">
        <f>CASOPOInvCL!AG474</f>
        <v>CAD</v>
      </c>
      <c r="P474" s="16">
        <f>CASOPOInvCL!AH474</f>
        <v>1734.82</v>
      </c>
      <c r="Q474" s="16">
        <f>CASOPOInvCL!AI474</f>
        <v>1262.4764740178982</v>
      </c>
      <c r="R474" s="32" t="str">
        <f>CASOPOInvCL!AU474</f>
        <v>Yes</v>
      </c>
      <c r="S474" s="16">
        <f>CASOPOInvCL!AV474</f>
        <v>0</v>
      </c>
      <c r="T474" s="16">
        <f>CASOPOInvCL!AW474</f>
        <v>1262.4764740178982</v>
      </c>
      <c r="Y474" s="29" t="str">
        <f>IFERROR(HLOOKUP(U474,List!$D$2:$H$6,2,FALSE),"")</f>
        <v/>
      </c>
      <c r="Z474" s="29" t="str">
        <f>IFERROR(HLOOKUP(V474,List!$D$2:$H$6,3,FALSE),"")</f>
        <v/>
      </c>
      <c r="AA474" s="29" t="str">
        <f>IFERROR(HLOOKUP(W474,List!$D$2:$H$6,4,FALSE),"")</f>
        <v/>
      </c>
      <c r="AB474" s="29" t="str">
        <f>IFERROR(HLOOKUP(X474,List!$D$2:$H$6,5,FALSE),"")</f>
        <v/>
      </c>
      <c r="AC474" s="12" t="str">
        <f t="shared" si="101"/>
        <v/>
      </c>
      <c r="AD474" s="12" t="str">
        <f t="shared" si="102"/>
        <v/>
      </c>
      <c r="AE474" s="12" t="str">
        <f t="shared" si="103"/>
        <v/>
      </c>
      <c r="AF474" s="12" t="str">
        <f t="shared" si="104"/>
        <v/>
      </c>
      <c r="AG474" t="str">
        <f>VLOOKUP(J474,'Receivable Invoice Detail'!$A$1:F3486,6,FALSE)</f>
        <v>[G-RC03355A 1203] Plain Gland Assembly, 3196 XLT, 316SS</v>
      </c>
      <c r="AM474" s="12" t="str">
        <f t="shared" si="105"/>
        <v/>
      </c>
      <c r="AN474" s="12" t="str">
        <f t="shared" si="106"/>
        <v/>
      </c>
      <c r="AO474" s="12" t="str">
        <f t="shared" si="107"/>
        <v/>
      </c>
      <c r="AP474" s="12" t="str">
        <f t="shared" si="108"/>
        <v/>
      </c>
      <c r="AQ474" s="12"/>
      <c r="AS474" s="12">
        <f t="shared" si="109"/>
        <v>18.937147110268473</v>
      </c>
      <c r="AT474" s="16" t="str">
        <f t="shared" si="111"/>
        <v>Yes</v>
      </c>
    </row>
    <row r="475" spans="1:46" hidden="1" x14ac:dyDescent="0.25">
      <c r="A475" s="41">
        <f>CASOPOInvCL!T475</f>
        <v>1</v>
      </c>
      <c r="B475" t="str">
        <f>CASOPOInvCL!Z475</f>
        <v>SO17073</v>
      </c>
      <c r="G475" s="5" t="str">
        <f>CASOPOInvCL!I475</f>
        <v>Ian Trottier</v>
      </c>
      <c r="H475" s="31">
        <f>CASOPOInvCL!U475</f>
        <v>4</v>
      </c>
      <c r="I475" s="31">
        <f>CASOPOInvCL!V475</f>
        <v>2025</v>
      </c>
      <c r="J475" s="5" t="str">
        <f>CASOPOInvCL!AB475</f>
        <v>INV12949</v>
      </c>
      <c r="K475" s="31">
        <f>CASOPOInvCL!W475</f>
        <v>5</v>
      </c>
      <c r="L475" s="31">
        <f>CASOPOInvCL!X475</f>
        <v>2025</v>
      </c>
      <c r="M475" s="31"/>
      <c r="N475" s="5" t="str">
        <f>CASOPOInvCL!AF475</f>
        <v>FMI Products</v>
      </c>
      <c r="O475" s="16" t="str">
        <f>CASOPOInvCL!AG475</f>
        <v>CAD</v>
      </c>
      <c r="P475" s="16">
        <f>CASOPOInvCL!AH475</f>
        <v>136.80000000000001</v>
      </c>
      <c r="Q475" s="16">
        <f>CASOPOInvCL!AI475</f>
        <v>98.039331502611361</v>
      </c>
      <c r="R475" s="32" t="str">
        <f>CASOPOInvCL!AU475</f>
        <v>Yes</v>
      </c>
      <c r="S475" s="16">
        <f>CASOPOInvCL!AV475</f>
        <v>0</v>
      </c>
      <c r="T475" s="16">
        <f>CASOPOInvCL!AW475</f>
        <v>98.039331502611361</v>
      </c>
      <c r="Y475" s="29" t="str">
        <f>IFERROR(HLOOKUP(U475,List!$D$2:$H$6,2,FALSE),"")</f>
        <v/>
      </c>
      <c r="Z475" s="29" t="str">
        <f>IFERROR(HLOOKUP(V475,List!$D$2:$H$6,3,FALSE),"")</f>
        <v/>
      </c>
      <c r="AA475" s="29" t="str">
        <f>IFERROR(HLOOKUP(W475,List!$D$2:$H$6,4,FALSE),"")</f>
        <v/>
      </c>
      <c r="AB475" s="29" t="str">
        <f>IFERROR(HLOOKUP(X475,List!$D$2:$H$6,5,FALSE),"")</f>
        <v/>
      </c>
      <c r="AC475" s="12" t="str">
        <f t="shared" si="101"/>
        <v/>
      </c>
      <c r="AD475" s="12" t="str">
        <f t="shared" si="102"/>
        <v/>
      </c>
      <c r="AE475" s="12" t="str">
        <f t="shared" si="103"/>
        <v/>
      </c>
      <c r="AF475" s="12" t="str">
        <f t="shared" si="104"/>
        <v/>
      </c>
      <c r="AG475" t="str">
        <f>VLOOKUP(J475,'Receivable Invoice Detail'!$A$1:F3487,6,FALSE)</f>
        <v>[G-70782 29 5127] Casing Gasket, 10", 3196 MTX, Durlon 8500</v>
      </c>
      <c r="AM475" s="12" t="str">
        <f t="shared" si="105"/>
        <v/>
      </c>
      <c r="AN475" s="12" t="str">
        <f t="shared" si="106"/>
        <v/>
      </c>
      <c r="AO475" s="12" t="str">
        <f t="shared" si="107"/>
        <v/>
      </c>
      <c r="AP475" s="12" t="str">
        <f t="shared" si="108"/>
        <v/>
      </c>
      <c r="AQ475" s="12"/>
      <c r="AS475" s="12">
        <f t="shared" si="109"/>
        <v>1.4705899725391705</v>
      </c>
      <c r="AT475" s="16" t="str">
        <f t="shared" si="111"/>
        <v>Yes</v>
      </c>
    </row>
    <row r="476" spans="1:46" hidden="1" x14ac:dyDescent="0.25">
      <c r="A476" s="41">
        <f>CASOPOInvCL!T476</f>
        <v>1</v>
      </c>
      <c r="B476" t="str">
        <f>CASOPOInvCL!Z476</f>
        <v>SO17079</v>
      </c>
      <c r="G476" s="5" t="str">
        <f>CASOPOInvCL!I476</f>
        <v>Taylor Cook</v>
      </c>
      <c r="H476" s="31">
        <f>CASOPOInvCL!U476</f>
        <v>5</v>
      </c>
      <c r="I476" s="31">
        <f>CASOPOInvCL!V476</f>
        <v>2025</v>
      </c>
      <c r="J476" s="5" t="str">
        <f>CASOPOInvCL!AB476</f>
        <v>INV12944</v>
      </c>
      <c r="K476" s="31">
        <f>CASOPOInvCL!W476</f>
        <v>6</v>
      </c>
      <c r="L476" s="31">
        <f>CASOPOInvCL!X476</f>
        <v>2025</v>
      </c>
      <c r="M476" s="31"/>
      <c r="N476" s="5" t="str">
        <f>CASOPOInvCL!AF476</f>
        <v>Manufacture Sling-Choker (Val-d’Or) Ltée</v>
      </c>
      <c r="O476" s="16" t="str">
        <f>CASOPOInvCL!AG476</f>
        <v>CAD</v>
      </c>
      <c r="P476" s="16">
        <f>CASOPOInvCL!AH476</f>
        <v>481.71</v>
      </c>
      <c r="Q476" s="16">
        <f>CASOPOInvCL!AI476</f>
        <v>349.25390016075994</v>
      </c>
      <c r="R476" s="32" t="str">
        <f>CASOPOInvCL!AU476</f>
        <v>Yes</v>
      </c>
      <c r="S476" s="16">
        <f>CASOPOInvCL!AV476</f>
        <v>0</v>
      </c>
      <c r="T476" s="16">
        <f>CASOPOInvCL!AW476</f>
        <v>349.25390016075994</v>
      </c>
      <c r="Y476" s="29" t="str">
        <f>IFERROR(HLOOKUP(U476,List!$D$2:$H$6,2,FALSE),"")</f>
        <v/>
      </c>
      <c r="Z476" s="29" t="str">
        <f>IFERROR(HLOOKUP(V476,List!$D$2:$H$6,3,FALSE),"")</f>
        <v/>
      </c>
      <c r="AA476" s="29" t="str">
        <f>IFERROR(HLOOKUP(W476,List!$D$2:$H$6,4,FALSE),"")</f>
        <v/>
      </c>
      <c r="AB476" s="29" t="str">
        <f>IFERROR(HLOOKUP(X476,List!$D$2:$H$6,5,FALSE),"")</f>
        <v/>
      </c>
      <c r="AC476" s="12" t="str">
        <f t="shared" si="101"/>
        <v/>
      </c>
      <c r="AD476" s="12" t="str">
        <f t="shared" si="102"/>
        <v/>
      </c>
      <c r="AE476" s="12" t="str">
        <f t="shared" si="103"/>
        <v/>
      </c>
      <c r="AF476" s="12" t="str">
        <f t="shared" si="104"/>
        <v/>
      </c>
      <c r="AG476" t="str">
        <f>VLOOKUP(J476,'Receivable Invoice Detail'!$A$1:F3488,6,FALSE)</f>
        <v>[AC-98-233-732-001] Waterseal Bushing, 8x6-18 &amp; 10x8-21 SRL-C, Steel</v>
      </c>
      <c r="AM476" s="12" t="str">
        <f t="shared" si="105"/>
        <v/>
      </c>
      <c r="AN476" s="12" t="str">
        <f t="shared" si="106"/>
        <v/>
      </c>
      <c r="AO476" s="12" t="str">
        <f t="shared" si="107"/>
        <v/>
      </c>
      <c r="AP476" s="12" t="str">
        <f t="shared" si="108"/>
        <v/>
      </c>
      <c r="AQ476" s="12"/>
      <c r="AS476" s="12">
        <f t="shared" si="109"/>
        <v>5.2388085024113993</v>
      </c>
      <c r="AT476" s="16" t="str">
        <f t="shared" si="111"/>
        <v>Yes</v>
      </c>
    </row>
    <row r="477" spans="1:46" hidden="1" x14ac:dyDescent="0.25">
      <c r="A477" s="41">
        <f>CASOPOInvCL!T477</f>
        <v>1</v>
      </c>
      <c r="B477" t="str">
        <f>CASOPOInvCL!Z477</f>
        <v>SO17080</v>
      </c>
      <c r="G477" s="5" t="str">
        <f>CASOPOInvCL!I477</f>
        <v>Ian Trottier</v>
      </c>
      <c r="H477" s="31">
        <f>CASOPOInvCL!U477</f>
        <v>5</v>
      </c>
      <c r="I477" s="31">
        <f>CASOPOInvCL!V477</f>
        <v>2025</v>
      </c>
      <c r="J477" s="5" t="str">
        <f>CASOPOInvCL!AB477</f>
        <v>INV12941</v>
      </c>
      <c r="K477" s="31">
        <f>CASOPOInvCL!W477</f>
        <v>6</v>
      </c>
      <c r="L477" s="31">
        <f>CASOPOInvCL!X477</f>
        <v>2025</v>
      </c>
      <c r="M477" s="31"/>
      <c r="N477" s="5" t="str">
        <f>CASOPOInvCL!AF477</f>
        <v>Hyperflo</v>
      </c>
      <c r="O477" s="16" t="str">
        <f>CASOPOInvCL!AG477</f>
        <v>CAD</v>
      </c>
      <c r="P477" s="16">
        <f>CASOPOInvCL!AH477</f>
        <v>1906.8</v>
      </c>
      <c r="Q477" s="16">
        <f>CASOPOInvCL!AI477</f>
        <v>1382.4860119709722</v>
      </c>
      <c r="R477" s="32" t="str">
        <f>CASOPOInvCL!AU477</f>
        <v>Yes</v>
      </c>
      <c r="S477" s="16">
        <f>CASOPOInvCL!AV477</f>
        <v>0</v>
      </c>
      <c r="T477" s="16">
        <f>CASOPOInvCL!AW477</f>
        <v>1382.4860119709722</v>
      </c>
      <c r="Y477" s="29" t="str">
        <f>IFERROR(HLOOKUP(U477,List!$D$2:$H$6,2,FALSE),"")</f>
        <v/>
      </c>
      <c r="Z477" s="29" t="str">
        <f>IFERROR(HLOOKUP(V477,List!$D$2:$H$6,3,FALSE),"")</f>
        <v/>
      </c>
      <c r="AA477" s="29" t="str">
        <f>IFERROR(HLOOKUP(W477,List!$D$2:$H$6,4,FALSE),"")</f>
        <v/>
      </c>
      <c r="AB477" s="29" t="str">
        <f>IFERROR(HLOOKUP(X477,List!$D$2:$H$6,5,FALSE),"")</f>
        <v/>
      </c>
      <c r="AC477" s="12" t="str">
        <f t="shared" si="101"/>
        <v/>
      </c>
      <c r="AD477" s="12" t="str">
        <f t="shared" si="102"/>
        <v/>
      </c>
      <c r="AE477" s="12" t="str">
        <f t="shared" si="103"/>
        <v/>
      </c>
      <c r="AF477" s="12" t="str">
        <f t="shared" si="104"/>
        <v/>
      </c>
      <c r="AG477" t="str">
        <f>VLOOKUP(J477,'Receivable Invoice Detail'!$A$1:F3489,6,FALSE)</f>
        <v>[AC-98-231-054-501] Suction Side Liner, 2x2-10 SRL, Natural Rubber</v>
      </c>
      <c r="AM477" s="12" t="str">
        <f t="shared" si="105"/>
        <v/>
      </c>
      <c r="AN477" s="12" t="str">
        <f t="shared" si="106"/>
        <v/>
      </c>
      <c r="AO477" s="12" t="str">
        <f t="shared" si="107"/>
        <v/>
      </c>
      <c r="AP477" s="12" t="str">
        <f t="shared" si="108"/>
        <v/>
      </c>
      <c r="AQ477" s="12"/>
      <c r="AS477" s="12">
        <f t="shared" si="109"/>
        <v>20.737290179564582</v>
      </c>
      <c r="AT477" s="16" t="str">
        <f t="shared" si="111"/>
        <v>Yes</v>
      </c>
    </row>
    <row r="478" spans="1:46" hidden="1" x14ac:dyDescent="0.25">
      <c r="A478" s="41">
        <f>CASOPOInvCL!T478</f>
        <v>1</v>
      </c>
      <c r="B478" t="str">
        <f>CASOPOInvCL!Z478</f>
        <v>SO17082</v>
      </c>
      <c r="G478" s="5" t="str">
        <f>CASOPOInvCL!I478</f>
        <v>Ian Trottier</v>
      </c>
      <c r="H478" s="31">
        <f>CASOPOInvCL!U478</f>
        <v>5</v>
      </c>
      <c r="I478" s="31">
        <f>CASOPOInvCL!V478</f>
        <v>2025</v>
      </c>
      <c r="J478" s="5" t="str">
        <f>CASOPOInvCL!AB478</f>
        <v>INV12961</v>
      </c>
      <c r="K478" s="31">
        <f>CASOPOInvCL!W478</f>
        <v>6</v>
      </c>
      <c r="L478" s="31">
        <f>CASOPOInvCL!X478</f>
        <v>2025</v>
      </c>
      <c r="M478" s="31"/>
      <c r="N478" s="5" t="str">
        <f>CASOPOInvCL!AF478</f>
        <v>Hyperflo</v>
      </c>
      <c r="O478" s="16" t="str">
        <f>CASOPOInvCL!AG478</f>
        <v>CAD</v>
      </c>
      <c r="P478" s="16">
        <f>CASOPOInvCL!AH478</f>
        <v>5131.7</v>
      </c>
      <c r="Q478" s="16">
        <f>CASOPOInvCL!AI478</f>
        <v>3725.5743476951202</v>
      </c>
      <c r="R478" s="32" t="str">
        <f>CASOPOInvCL!AU478</f>
        <v>Yes</v>
      </c>
      <c r="S478" s="16">
        <f>CASOPOInvCL!AV478</f>
        <v>0</v>
      </c>
      <c r="T478" s="16">
        <f>CASOPOInvCL!AW478</f>
        <v>3725.5743476951202</v>
      </c>
      <c r="Y478" s="29" t="str">
        <f>IFERROR(HLOOKUP(U478,List!$D$2:$H$6,2,FALSE),"")</f>
        <v/>
      </c>
      <c r="Z478" s="29" t="str">
        <f>IFERROR(HLOOKUP(V478,List!$D$2:$H$6,3,FALSE),"")</f>
        <v/>
      </c>
      <c r="AA478" s="29" t="str">
        <f>IFERROR(HLOOKUP(W478,List!$D$2:$H$6,4,FALSE),"")</f>
        <v/>
      </c>
      <c r="AB478" s="29" t="str">
        <f>IFERROR(HLOOKUP(X478,List!$D$2:$H$6,5,FALSE),"")</f>
        <v/>
      </c>
      <c r="AC478" s="12" t="str">
        <f t="shared" si="101"/>
        <v/>
      </c>
      <c r="AD478" s="12" t="str">
        <f t="shared" si="102"/>
        <v/>
      </c>
      <c r="AE478" s="12" t="str">
        <f t="shared" si="103"/>
        <v/>
      </c>
      <c r="AF478" s="12" t="str">
        <f t="shared" si="104"/>
        <v/>
      </c>
      <c r="AG478" t="str">
        <f>VLOOKUP(J478,'Receivable Invoice Detail'!$A$1:F3490,6,FALSE)</f>
        <v>[AC-98-431-775-001] Suction Side Casing, 8x6-18 SRL-C, Cast Iron</v>
      </c>
      <c r="AM478" s="12" t="str">
        <f t="shared" si="105"/>
        <v/>
      </c>
      <c r="AN478" s="12" t="str">
        <f t="shared" si="106"/>
        <v/>
      </c>
      <c r="AO478" s="12" t="str">
        <f t="shared" si="107"/>
        <v/>
      </c>
      <c r="AP478" s="12" t="str">
        <f t="shared" si="108"/>
        <v/>
      </c>
      <c r="AQ478" s="12"/>
      <c r="AS478" s="12">
        <f t="shared" si="109"/>
        <v>55.883615215426801</v>
      </c>
      <c r="AT478" s="16" t="str">
        <f t="shared" si="111"/>
        <v>Yes</v>
      </c>
    </row>
    <row r="479" spans="1:46" hidden="1" x14ac:dyDescent="0.25">
      <c r="A479" s="41">
        <f>CASOPOInvCL!T479</f>
        <v>2</v>
      </c>
      <c r="B479" t="str">
        <f>CASOPOInvCL!Z479</f>
        <v>SO17086</v>
      </c>
      <c r="G479" s="5" t="str">
        <f>CASOPOInvCL!I479</f>
        <v>Amanda Qiao</v>
      </c>
      <c r="H479" s="31">
        <f>CASOPOInvCL!U479</f>
        <v>5</v>
      </c>
      <c r="I479" s="31">
        <f>CASOPOInvCL!V479</f>
        <v>2025</v>
      </c>
      <c r="J479" s="5" t="str">
        <f>CASOPOInvCL!AB479</f>
        <v>INV13109</v>
      </c>
      <c r="K479" s="31" t="str">
        <f>CASOPOInvCL!W479</f>
        <v/>
      </c>
      <c r="L479" s="31" t="str">
        <f>CASOPOInvCL!X479</f>
        <v/>
      </c>
      <c r="M479" s="31"/>
      <c r="N479" s="5" t="str">
        <f>CASOPOInvCL!AF479</f>
        <v>First Bauxite Inc.</v>
      </c>
      <c r="O479" s="16" t="str">
        <f>CASOPOInvCL!AG479</f>
        <v>USD</v>
      </c>
      <c r="P479" s="16">
        <f>CASOPOInvCL!AH479</f>
        <v>10427.161285638142</v>
      </c>
      <c r="Q479" s="16">
        <f>CASOPOInvCL!AI479</f>
        <v>7529.47</v>
      </c>
      <c r="R479" s="32" t="str">
        <f>CASOPOInvCL!AU479</f>
        <v>Yes</v>
      </c>
      <c r="S479" s="16">
        <f>CASOPOInvCL!AV479</f>
        <v>129.47</v>
      </c>
      <c r="T479" s="16">
        <f>CASOPOInvCL!AW479</f>
        <v>7400</v>
      </c>
      <c r="Y479" s="29" t="str">
        <f>IFERROR(HLOOKUP(U479,List!$D$2:$H$6,2,FALSE),"")</f>
        <v/>
      </c>
      <c r="Z479" s="29" t="str">
        <f>IFERROR(HLOOKUP(V479,List!$D$2:$H$6,3,FALSE),"")</f>
        <v/>
      </c>
      <c r="AA479" s="29" t="str">
        <f>IFERROR(HLOOKUP(W479,List!$D$2:$H$6,4,FALSE),"")</f>
        <v/>
      </c>
      <c r="AB479" s="29" t="str">
        <f>IFERROR(HLOOKUP(X479,List!$D$2:$H$6,5,FALSE),"")</f>
        <v/>
      </c>
      <c r="AC479" s="12" t="str">
        <f t="shared" si="101"/>
        <v/>
      </c>
      <c r="AD479" s="12" t="str">
        <f t="shared" si="102"/>
        <v/>
      </c>
      <c r="AE479" s="12" t="str">
        <f t="shared" si="103"/>
        <v/>
      </c>
      <c r="AF479" s="12" t="str">
        <f t="shared" si="104"/>
        <v/>
      </c>
      <c r="AG479" t="str">
        <f>VLOOKUP(J479,'Receivable Invoice Detail'!$A$1:F3491,6,FALSE)</f>
        <v>[D-MCL-108S17-DC] Drive Coupling, MCL-108S17</v>
      </c>
      <c r="AM479" s="12" t="str">
        <f t="shared" si="105"/>
        <v/>
      </c>
      <c r="AN479" s="12" t="str">
        <f t="shared" si="106"/>
        <v/>
      </c>
      <c r="AO479" s="12" t="str">
        <f t="shared" si="107"/>
        <v/>
      </c>
      <c r="AP479" s="12" t="str">
        <f t="shared" si="108"/>
        <v/>
      </c>
      <c r="AQ479" s="12"/>
      <c r="AS479" s="12">
        <f t="shared" si="109"/>
        <v>111</v>
      </c>
      <c r="AT479" s="16" t="str">
        <f t="shared" si="111"/>
        <v>Yes</v>
      </c>
    </row>
    <row r="480" spans="1:46" hidden="1" x14ac:dyDescent="0.25">
      <c r="A480" s="41">
        <f>CASOPOInvCL!T480</f>
        <v>2</v>
      </c>
      <c r="B480" t="str">
        <f>CASOPOInvCL!Z480</f>
        <v>SO17086</v>
      </c>
      <c r="G480" s="5">
        <f>CASOPOInvCL!I480</f>
        <v>0</v>
      </c>
      <c r="H480" s="31">
        <f>CASOPOInvCL!U480</f>
        <v>5</v>
      </c>
      <c r="I480" s="31">
        <f>CASOPOInvCL!V480</f>
        <v>2025</v>
      </c>
      <c r="J480" s="5" t="str">
        <f>CASOPOInvCL!AB480</f>
        <v>INV12935</v>
      </c>
      <c r="K480" s="31" t="str">
        <f>CASOPOInvCL!W480</f>
        <v/>
      </c>
      <c r="L480" s="31" t="str">
        <f>CASOPOInvCL!X480</f>
        <v/>
      </c>
      <c r="M480" s="31"/>
      <c r="N480" s="5" t="str">
        <f>CASOPOInvCL!AF480</f>
        <v>First Bauxite Inc.</v>
      </c>
      <c r="O480" s="16" t="str">
        <f>CASOPOInvCL!AG480</f>
        <v>USD</v>
      </c>
      <c r="P480" s="16">
        <f>CASOPOInvCL!AH480</f>
        <v>0</v>
      </c>
      <c r="Q480" s="16">
        <f>CASOPOInvCL!AI480</f>
        <v>0</v>
      </c>
      <c r="R480" s="32" t="str">
        <f>CASOPOInvCL!AU480</f>
        <v/>
      </c>
      <c r="S480" s="16">
        <f>CASOPOInvCL!AV480</f>
        <v>0</v>
      </c>
      <c r="T480" s="16">
        <f>CASOPOInvCL!AW480</f>
        <v>0</v>
      </c>
      <c r="Y480" s="29" t="str">
        <f>IFERROR(HLOOKUP(U480,List!$D$2:$H$6,2,FALSE),"")</f>
        <v/>
      </c>
      <c r="Z480" s="29" t="str">
        <f>IFERROR(HLOOKUP(V480,List!$D$2:$H$6,3,FALSE),"")</f>
        <v/>
      </c>
      <c r="AA480" s="29" t="str">
        <f>IFERROR(HLOOKUP(W480,List!$D$2:$H$6,4,FALSE),"")</f>
        <v/>
      </c>
      <c r="AB480" s="29" t="str">
        <f>IFERROR(HLOOKUP(X480,List!$D$2:$H$6,5,FALSE),"")</f>
        <v/>
      </c>
      <c r="AC480" s="12" t="str">
        <f t="shared" si="101"/>
        <v/>
      </c>
      <c r="AD480" s="12" t="str">
        <f t="shared" si="102"/>
        <v/>
      </c>
      <c r="AE480" s="12" t="str">
        <f t="shared" si="103"/>
        <v/>
      </c>
      <c r="AF480" s="12" t="str">
        <f t="shared" si="104"/>
        <v/>
      </c>
      <c r="AG480" t="str">
        <f>VLOOKUP(J480,'Receivable Invoice Detail'!$A$1:F3492,6,FALSE)</f>
        <v>Down payment of 100.0%</v>
      </c>
      <c r="AM480" s="12" t="str">
        <f t="shared" si="105"/>
        <v/>
      </c>
      <c r="AN480" s="12" t="str">
        <f t="shared" si="106"/>
        <v/>
      </c>
      <c r="AO480" s="12" t="str">
        <f t="shared" si="107"/>
        <v/>
      </c>
      <c r="AP480" s="12" t="str">
        <f t="shared" si="108"/>
        <v/>
      </c>
      <c r="AQ480" s="12"/>
      <c r="AS480" s="12">
        <f t="shared" si="109"/>
        <v>0</v>
      </c>
      <c r="AT480" s="16" t="str">
        <f t="shared" si="111"/>
        <v/>
      </c>
    </row>
    <row r="481" spans="1:46" hidden="1" x14ac:dyDescent="0.25">
      <c r="A481" s="41">
        <f>CASOPOInvCL!T481</f>
        <v>1</v>
      </c>
      <c r="B481" t="str">
        <f>CASOPOInvCL!Z481</f>
        <v>SO17095</v>
      </c>
      <c r="G481" s="5" t="str">
        <f>CASOPOInvCL!I481</f>
        <v>Taylor Cook</v>
      </c>
      <c r="H481" s="31">
        <f>CASOPOInvCL!U481</f>
        <v>5</v>
      </c>
      <c r="I481" s="31">
        <f>CASOPOInvCL!V481</f>
        <v>2025</v>
      </c>
      <c r="J481" s="5" t="str">
        <f>CASOPOInvCL!AB481</f>
        <v>INV12960</v>
      </c>
      <c r="K481" s="31">
        <f>CASOPOInvCL!W481</f>
        <v>6</v>
      </c>
      <c r="L481" s="31">
        <f>CASOPOInvCL!X481</f>
        <v>2025</v>
      </c>
      <c r="M481" s="31"/>
      <c r="N481" s="5" t="str">
        <f>CASOPOInvCL!AF481</f>
        <v>Canadian Industrial Pumps Ltd</v>
      </c>
      <c r="O481" s="16" t="str">
        <f>CASOPOInvCL!AG481</f>
        <v>CAD</v>
      </c>
      <c r="P481" s="16">
        <f>CASOPOInvCL!AH481</f>
        <v>1389.92</v>
      </c>
      <c r="Q481" s="16">
        <f>CASOPOInvCL!AI481</f>
        <v>1009.0711260105625</v>
      </c>
      <c r="R481" s="32" t="str">
        <f>CASOPOInvCL!AU481</f>
        <v>Yes</v>
      </c>
      <c r="S481" s="16">
        <f>CASOPOInvCL!AV481</f>
        <v>0</v>
      </c>
      <c r="T481" s="16">
        <f>CASOPOInvCL!AW481</f>
        <v>1009.0711260105625</v>
      </c>
      <c r="Y481" s="29" t="str">
        <f>IFERROR(HLOOKUP(U481,List!$D$2:$H$6,2,FALSE),"")</f>
        <v/>
      </c>
      <c r="Z481" s="29" t="str">
        <f>IFERROR(HLOOKUP(V481,List!$D$2:$H$6,3,FALSE),"")</f>
        <v/>
      </c>
      <c r="AA481" s="29" t="str">
        <f>IFERROR(HLOOKUP(W481,List!$D$2:$H$6,4,FALSE),"")</f>
        <v/>
      </c>
      <c r="AB481" s="29" t="str">
        <f>IFERROR(HLOOKUP(X481,List!$D$2:$H$6,5,FALSE),"")</f>
        <v/>
      </c>
      <c r="AC481" s="12" t="str">
        <f t="shared" si="101"/>
        <v/>
      </c>
      <c r="AD481" s="12" t="str">
        <f t="shared" si="102"/>
        <v/>
      </c>
      <c r="AE481" s="12" t="str">
        <f t="shared" si="103"/>
        <v/>
      </c>
      <c r="AF481" s="12" t="str">
        <f t="shared" si="104"/>
        <v/>
      </c>
      <c r="AG481" t="str">
        <f>VLOOKUP(J481,'Receivable Invoice Detail'!$A$1:F3493,6,FALSE)</f>
        <v>[AC-98-236-104-004] Shaft Sleeve, 8x6-18 &amp; 10x8-21 SRL-C, 420SS Heat Treated, Hardened</v>
      </c>
      <c r="AM481" s="12" t="str">
        <f t="shared" si="105"/>
        <v/>
      </c>
      <c r="AN481" s="12" t="str">
        <f t="shared" si="106"/>
        <v/>
      </c>
      <c r="AO481" s="12" t="str">
        <f t="shared" si="107"/>
        <v/>
      </c>
      <c r="AP481" s="12" t="str">
        <f t="shared" si="108"/>
        <v/>
      </c>
      <c r="AQ481" s="12"/>
      <c r="AS481" s="12">
        <f t="shared" si="109"/>
        <v>15.136066890158437</v>
      </c>
      <c r="AT481" s="16" t="str">
        <f t="shared" si="111"/>
        <v>Yes</v>
      </c>
    </row>
    <row r="482" spans="1:46" hidden="1" x14ac:dyDescent="0.25">
      <c r="A482" s="41">
        <f>CASOPOInvCL!T482</f>
        <v>1</v>
      </c>
      <c r="B482" t="str">
        <f>CASOPOInvCL!Z482</f>
        <v>SO17099</v>
      </c>
      <c r="G482" s="5" t="str">
        <f>CASOPOInvCL!I482</f>
        <v>Ian Trottier</v>
      </c>
      <c r="H482" s="31">
        <f>CASOPOInvCL!U482</f>
        <v>5</v>
      </c>
      <c r="I482" s="31">
        <f>CASOPOInvCL!V482</f>
        <v>2025</v>
      </c>
      <c r="J482" s="5" t="str">
        <f>CASOPOInvCL!AB482</f>
        <v>INV12950</v>
      </c>
      <c r="K482" s="31">
        <f>CASOPOInvCL!W482</f>
        <v>6</v>
      </c>
      <c r="L482" s="31">
        <f>CASOPOInvCL!X482</f>
        <v>2025</v>
      </c>
      <c r="M482" s="31"/>
      <c r="N482" s="5" t="str">
        <f>CASOPOInvCL!AF482</f>
        <v>Glencore Canada Corporation - Rouyn-Noranda, Glencore Canada Corp.</v>
      </c>
      <c r="O482" s="16" t="str">
        <f>CASOPOInvCL!AG482</f>
        <v>CAD</v>
      </c>
      <c r="P482" s="16">
        <f>CASOPOInvCL!AH482</f>
        <v>3038.47</v>
      </c>
      <c r="Q482" s="16">
        <f>CASOPOInvCL!AI482</f>
        <v>2193.5481362451369</v>
      </c>
      <c r="R482" s="32" t="str">
        <f>CASOPOInvCL!AU482</f>
        <v>Yes</v>
      </c>
      <c r="S482" s="16">
        <f>CASOPOInvCL!AV482</f>
        <v>0</v>
      </c>
      <c r="T482" s="16">
        <f>CASOPOInvCL!AW482</f>
        <v>2193.5481362451369</v>
      </c>
      <c r="Y482" s="29" t="str">
        <f>IFERROR(HLOOKUP(U482,List!$D$2:$H$6,2,FALSE),"")</f>
        <v/>
      </c>
      <c r="Z482" s="29" t="str">
        <f>IFERROR(HLOOKUP(V482,List!$D$2:$H$6,3,FALSE),"")</f>
        <v/>
      </c>
      <c r="AA482" s="29" t="str">
        <f>IFERROR(HLOOKUP(W482,List!$D$2:$H$6,4,FALSE),"")</f>
        <v/>
      </c>
      <c r="AB482" s="29" t="str">
        <f>IFERROR(HLOOKUP(X482,List!$D$2:$H$6,5,FALSE),"")</f>
        <v/>
      </c>
      <c r="AC482" s="12" t="str">
        <f t="shared" si="101"/>
        <v/>
      </c>
      <c r="AD482" s="12" t="str">
        <f t="shared" si="102"/>
        <v/>
      </c>
      <c r="AE482" s="12" t="str">
        <f t="shared" si="103"/>
        <v/>
      </c>
      <c r="AF482" s="12" t="str">
        <f t="shared" si="104"/>
        <v/>
      </c>
      <c r="AG482" t="str">
        <f>VLOOKUP(J482,'Receivable Invoice Detail'!$A$1:F3494,6,FALSE)</f>
        <v>[AC-98-431-799-001] Suction Side Casing, 5x4-14 SRL-C, Cast Iron</v>
      </c>
      <c r="AM482" s="12" t="str">
        <f t="shared" si="105"/>
        <v/>
      </c>
      <c r="AN482" s="12" t="str">
        <f t="shared" si="106"/>
        <v/>
      </c>
      <c r="AO482" s="12" t="str">
        <f t="shared" si="107"/>
        <v/>
      </c>
      <c r="AP482" s="12" t="str">
        <f t="shared" si="108"/>
        <v/>
      </c>
      <c r="AQ482" s="12"/>
      <c r="AS482" s="12">
        <f t="shared" si="109"/>
        <v>32.903222043677054</v>
      </c>
      <c r="AT482" s="16" t="str">
        <f t="shared" si="111"/>
        <v>Yes</v>
      </c>
    </row>
    <row r="483" spans="1:46" hidden="1" x14ac:dyDescent="0.25">
      <c r="A483" s="41">
        <f>CASOPOInvCL!T483</f>
        <v>1</v>
      </c>
      <c r="B483" t="str">
        <f>CASOPOInvCL!Z483</f>
        <v>SO17100</v>
      </c>
      <c r="G483" s="5" t="str">
        <f>CASOPOInvCL!I483</f>
        <v>Ian Trottier</v>
      </c>
      <c r="H483" s="31">
        <f>CASOPOInvCL!U483</f>
        <v>5</v>
      </c>
      <c r="I483" s="31">
        <f>CASOPOInvCL!V483</f>
        <v>2025</v>
      </c>
      <c r="J483" s="5" t="str">
        <f>CASOPOInvCL!AB483</f>
        <v>INV13099</v>
      </c>
      <c r="K483" s="31">
        <f>CASOPOInvCL!W483</f>
        <v>12</v>
      </c>
      <c r="L483" s="31">
        <f>CASOPOInvCL!X483</f>
        <v>2025</v>
      </c>
      <c r="M483" s="31"/>
      <c r="N483" s="5" t="str">
        <f>CASOPOInvCL!AF483</f>
        <v>Resolute Forest Products - Saint-Felicien</v>
      </c>
      <c r="O483" s="16" t="str">
        <f>CASOPOInvCL!AG483</f>
        <v>CAD</v>
      </c>
      <c r="P483" s="16">
        <f>CASOPOInvCL!AH483</f>
        <v>6197.11</v>
      </c>
      <c r="Q483" s="16">
        <f>CASOPOInvCL!AI483</f>
        <v>4473.8500266930723</v>
      </c>
      <c r="R483" s="32" t="str">
        <f>CASOPOInvCL!AU483</f>
        <v>Yes</v>
      </c>
      <c r="S483" s="16">
        <f>CASOPOInvCL!AV483</f>
        <v>0</v>
      </c>
      <c r="T483" s="16">
        <f>CASOPOInvCL!AW483</f>
        <v>4473.8500266930723</v>
      </c>
      <c r="Y483" s="29" t="str">
        <f>IFERROR(HLOOKUP(U483,List!$D$2:$H$6,2,FALSE),"")</f>
        <v/>
      </c>
      <c r="Z483" s="29" t="str">
        <f>IFERROR(HLOOKUP(V483,List!$D$2:$H$6,3,FALSE),"")</f>
        <v/>
      </c>
      <c r="AA483" s="29" t="str">
        <f>IFERROR(HLOOKUP(W483,List!$D$2:$H$6,4,FALSE),"")</f>
        <v/>
      </c>
      <c r="AB483" s="29" t="str">
        <f>IFERROR(HLOOKUP(X483,List!$D$2:$H$6,5,FALSE),"")</f>
        <v/>
      </c>
      <c r="AC483" s="12" t="str">
        <f t="shared" si="101"/>
        <v/>
      </c>
      <c r="AD483" s="12" t="str">
        <f t="shared" si="102"/>
        <v/>
      </c>
      <c r="AE483" s="12" t="str">
        <f t="shared" si="103"/>
        <v/>
      </c>
      <c r="AF483" s="12" t="str">
        <f t="shared" si="104"/>
        <v/>
      </c>
      <c r="AG483" t="str">
        <f>VLOOKUP(J483,'Receivable Invoice Detail'!$A$1:F3495,6,FALSE)</f>
        <v>[M&amp;N # 75] Impeller, 12x10-17, PWO, 4-Vane, 316SS</v>
      </c>
      <c r="AM483" s="12" t="str">
        <f t="shared" si="105"/>
        <v/>
      </c>
      <c r="AN483" s="12" t="str">
        <f t="shared" si="106"/>
        <v/>
      </c>
      <c r="AO483" s="12" t="str">
        <f t="shared" si="107"/>
        <v/>
      </c>
      <c r="AP483" s="12" t="str">
        <f t="shared" si="108"/>
        <v/>
      </c>
      <c r="AQ483" s="12"/>
      <c r="AS483" s="12">
        <f t="shared" si="109"/>
        <v>67.107750400396085</v>
      </c>
      <c r="AT483" s="16" t="str">
        <f t="shared" si="111"/>
        <v>Yes</v>
      </c>
    </row>
    <row r="484" spans="1:46" hidden="1" x14ac:dyDescent="0.25">
      <c r="A484" s="41">
        <f>CASOPOInvCL!T484</f>
        <v>1</v>
      </c>
      <c r="B484" t="str">
        <f>CASOPOInvCL!Z484</f>
        <v>SO17101</v>
      </c>
      <c r="G484" s="5" t="str">
        <f>CASOPOInvCL!I484</f>
        <v>Yannett Yeomans</v>
      </c>
      <c r="H484" s="31">
        <f>CASOPOInvCL!U484</f>
        <v>5</v>
      </c>
      <c r="I484" s="31">
        <f>CASOPOInvCL!V484</f>
        <v>2025</v>
      </c>
      <c r="J484" s="5" t="str">
        <f>CASOPOInvCL!AB484</f>
        <v>INV13206</v>
      </c>
      <c r="K484" s="31" t="str">
        <f>CASOPOInvCL!W484</f>
        <v/>
      </c>
      <c r="L484" s="31" t="str">
        <f>CASOPOInvCL!X484</f>
        <v/>
      </c>
      <c r="M484" s="31"/>
      <c r="N484" s="5" t="str">
        <f>CASOPOInvCL!AF484</f>
        <v>Dynapro Pumps México S de RL de CV</v>
      </c>
      <c r="O484" s="16" t="str">
        <f>CASOPOInvCL!AG484</f>
        <v>USD</v>
      </c>
      <c r="P484" s="16">
        <f>CASOPOInvCL!AH484</f>
        <v>3358.0370879727457</v>
      </c>
      <c r="Q484" s="16">
        <f>CASOPOInvCL!AI484</f>
        <v>2430</v>
      </c>
      <c r="R484" s="32" t="str">
        <f>CASOPOInvCL!AU484</f>
        <v/>
      </c>
      <c r="S484" s="16">
        <f>CASOPOInvCL!AV484</f>
        <v>0</v>
      </c>
      <c r="T484" s="16">
        <f>CASOPOInvCL!AW484</f>
        <v>0</v>
      </c>
      <c r="Y484" s="29" t="str">
        <f>IFERROR(HLOOKUP(U484,List!$D$2:$H$6,2,FALSE),"")</f>
        <v/>
      </c>
      <c r="Z484" s="29" t="str">
        <f>IFERROR(HLOOKUP(V484,List!$D$2:$H$6,3,FALSE),"")</f>
        <v/>
      </c>
      <c r="AA484" s="29" t="str">
        <f>IFERROR(HLOOKUP(W484,List!$D$2:$H$6,4,FALSE),"")</f>
        <v/>
      </c>
      <c r="AB484" s="29" t="str">
        <f>IFERROR(HLOOKUP(X484,List!$D$2:$H$6,5,FALSE),"")</f>
        <v/>
      </c>
      <c r="AC484" s="12" t="str">
        <f t="shared" si="101"/>
        <v/>
      </c>
      <c r="AD484" s="12" t="str">
        <f t="shared" si="102"/>
        <v/>
      </c>
      <c r="AE484" s="12" t="str">
        <f t="shared" si="103"/>
        <v/>
      </c>
      <c r="AF484" s="12" t="str">
        <f t="shared" si="104"/>
        <v/>
      </c>
      <c r="AG484" t="str">
        <f>VLOOKUP(J484,'Receivable Invoice Detail'!$A$1:F3496,6,FALSE)</f>
        <v>[10251/0505] Impeller, 12RJHC-8, 316SS</v>
      </c>
      <c r="AM484" s="12" t="str">
        <f t="shared" si="105"/>
        <v/>
      </c>
      <c r="AN484" s="12" t="str">
        <f t="shared" si="106"/>
        <v/>
      </c>
      <c r="AO484" s="12" t="str">
        <f t="shared" si="107"/>
        <v/>
      </c>
      <c r="AP484" s="12" t="str">
        <f t="shared" si="108"/>
        <v/>
      </c>
      <c r="AQ484" s="12"/>
      <c r="AR484" s="16" t="s">
        <v>5940</v>
      </c>
      <c r="AS484" s="12">
        <f t="shared" si="109"/>
        <v>0</v>
      </c>
      <c r="AT484" s="16" t="s">
        <v>5940</v>
      </c>
    </row>
    <row r="485" spans="1:46" hidden="1" x14ac:dyDescent="0.25">
      <c r="A485" s="41">
        <f>CASOPOInvCL!T485</f>
        <v>1</v>
      </c>
      <c r="B485" t="str">
        <f>CASOPOInvCL!Z485</f>
        <v>SO17102</v>
      </c>
      <c r="G485" s="5" t="str">
        <f>CASOPOInvCL!I485</f>
        <v>Ian Trottier</v>
      </c>
      <c r="H485" s="31">
        <f>CASOPOInvCL!U485</f>
        <v>5</v>
      </c>
      <c r="I485" s="31">
        <f>CASOPOInvCL!V485</f>
        <v>2025</v>
      </c>
      <c r="J485" s="5" t="str">
        <f>CASOPOInvCL!AB485</f>
        <v>INV12947</v>
      </c>
      <c r="K485" s="31">
        <f>CASOPOInvCL!W485</f>
        <v>6</v>
      </c>
      <c r="L485" s="31">
        <f>CASOPOInvCL!X485</f>
        <v>2025</v>
      </c>
      <c r="M485" s="31"/>
      <c r="N485" s="5" t="str">
        <f>CASOPOInvCL!AF485</f>
        <v>Hyperflo</v>
      </c>
      <c r="O485" s="16" t="str">
        <f>CASOPOInvCL!AG485</f>
        <v>CAD</v>
      </c>
      <c r="P485" s="16">
        <f>CASOPOInvCL!AH485</f>
        <v>1095.73</v>
      </c>
      <c r="Q485" s="16">
        <f>CASOPOInvCL!AI485</f>
        <v>795.37534176839563</v>
      </c>
      <c r="R485" s="32" t="str">
        <f>CASOPOInvCL!AU485</f>
        <v>Yes</v>
      </c>
      <c r="S485" s="16">
        <f>CASOPOInvCL!AV485</f>
        <v>0</v>
      </c>
      <c r="T485" s="16">
        <f>CASOPOInvCL!AW485</f>
        <v>795.37534176839563</v>
      </c>
      <c r="Y485" s="29" t="str">
        <f>IFERROR(HLOOKUP(U485,List!$D$2:$H$6,2,FALSE),"")</f>
        <v/>
      </c>
      <c r="Z485" s="29" t="str">
        <f>IFERROR(HLOOKUP(V485,List!$D$2:$H$6,3,FALSE),"")</f>
        <v/>
      </c>
      <c r="AA485" s="29" t="str">
        <f>IFERROR(HLOOKUP(W485,List!$D$2:$H$6,4,FALSE),"")</f>
        <v/>
      </c>
      <c r="AB485" s="29" t="str">
        <f>IFERROR(HLOOKUP(X485,List!$D$2:$H$6,5,FALSE),"")</f>
        <v/>
      </c>
      <c r="AC485" s="12" t="str">
        <f t="shared" si="101"/>
        <v/>
      </c>
      <c r="AD485" s="12" t="str">
        <f t="shared" si="102"/>
        <v/>
      </c>
      <c r="AE485" s="12" t="str">
        <f t="shared" si="103"/>
        <v/>
      </c>
      <c r="AF485" s="12" t="str">
        <f t="shared" si="104"/>
        <v/>
      </c>
      <c r="AG485" t="str">
        <f>VLOOKUP(J485,'Receivable Invoice Detail'!$A$1:F3497,6,FALSE)</f>
        <v>[AC-98-331-983-801] Bearing Cylinder, 3x3-10 SRL &amp; SRL-C, Cast Iron</v>
      </c>
      <c r="AM485" s="12" t="str">
        <f t="shared" si="105"/>
        <v/>
      </c>
      <c r="AN485" s="12" t="str">
        <f t="shared" si="106"/>
        <v/>
      </c>
      <c r="AO485" s="12" t="str">
        <f t="shared" si="107"/>
        <v/>
      </c>
      <c r="AP485" s="12" t="str">
        <f t="shared" si="108"/>
        <v/>
      </c>
      <c r="AQ485" s="12"/>
      <c r="AS485" s="12">
        <f t="shared" si="109"/>
        <v>11.930630126525934</v>
      </c>
      <c r="AT485" s="16" t="str">
        <f t="shared" si="111"/>
        <v>Yes</v>
      </c>
    </row>
    <row r="486" spans="1:46" hidden="1" x14ac:dyDescent="0.25">
      <c r="A486" s="41">
        <f>CASOPOInvCL!T486</f>
        <v>1</v>
      </c>
      <c r="B486" t="str">
        <f>CASOPOInvCL!Z486</f>
        <v>SO17103</v>
      </c>
      <c r="G486" s="5" t="str">
        <f>CASOPOInvCL!I486</f>
        <v>Ian Trottier</v>
      </c>
      <c r="H486" s="31">
        <f>CASOPOInvCL!U486</f>
        <v>5</v>
      </c>
      <c r="I486" s="31">
        <f>CASOPOInvCL!V486</f>
        <v>2025</v>
      </c>
      <c r="J486" s="5" t="str">
        <f>CASOPOInvCL!AB486</f>
        <v>INV12987</v>
      </c>
      <c r="K486" s="31">
        <f>CASOPOInvCL!W486</f>
        <v>5</v>
      </c>
      <c r="L486" s="31">
        <f>CASOPOInvCL!X486</f>
        <v>2025</v>
      </c>
      <c r="M486" s="31"/>
      <c r="N486" s="5" t="str">
        <f>CASOPOInvCL!AF486</f>
        <v>Algoma Steel Inc.</v>
      </c>
      <c r="O486" s="16" t="str">
        <f>CASOPOInvCL!AG486</f>
        <v>CAD</v>
      </c>
      <c r="P486" s="16">
        <f>CASOPOInvCL!AH486</f>
        <v>11129.88</v>
      </c>
      <c r="Q486" s="16">
        <f>CASOPOInvCL!AI486</f>
        <v>7955.6441085196266</v>
      </c>
      <c r="R486" s="32" t="str">
        <f>CASOPOInvCL!AU486</f>
        <v>Yes</v>
      </c>
      <c r="S486" s="16">
        <f>CASOPOInvCL!AV486</f>
        <v>0</v>
      </c>
      <c r="T486" s="16">
        <f>CASOPOInvCL!AW486</f>
        <v>7955.6441085196266</v>
      </c>
      <c r="Y486" s="29" t="str">
        <f>IFERROR(HLOOKUP(U486,List!$D$2:$H$6,2,FALSE),"")</f>
        <v/>
      </c>
      <c r="Z486" s="29" t="str">
        <f>IFERROR(HLOOKUP(V486,List!$D$2:$H$6,3,FALSE),"")</f>
        <v/>
      </c>
      <c r="AA486" s="29" t="str">
        <f>IFERROR(HLOOKUP(W486,List!$D$2:$H$6,4,FALSE),"")</f>
        <v/>
      </c>
      <c r="AB486" s="29" t="str">
        <f>IFERROR(HLOOKUP(X486,List!$D$2:$H$6,5,FALSE),"")</f>
        <v/>
      </c>
      <c r="AC486" s="12" t="str">
        <f t="shared" si="101"/>
        <v/>
      </c>
      <c r="AD486" s="12" t="str">
        <f t="shared" si="102"/>
        <v/>
      </c>
      <c r="AE486" s="12" t="str">
        <f t="shared" si="103"/>
        <v/>
      </c>
      <c r="AF486" s="12" t="str">
        <f t="shared" si="104"/>
        <v/>
      </c>
      <c r="AG486" t="str">
        <f>VLOOKUP(J486,'Receivable Invoice Detail'!$A$1:F3498,6,FALSE)</f>
        <v>[G-254-50 1216] Casing, 6x8-13, 3196 XLT, CD4MCu</v>
      </c>
      <c r="AM486" s="12" t="str">
        <f t="shared" si="105"/>
        <v/>
      </c>
      <c r="AN486" s="12" t="str">
        <f t="shared" si="106"/>
        <v/>
      </c>
      <c r="AO486" s="12" t="str">
        <f t="shared" si="107"/>
        <v/>
      </c>
      <c r="AP486" s="12" t="str">
        <f t="shared" si="108"/>
        <v/>
      </c>
      <c r="AQ486" s="12"/>
      <c r="AS486" s="12">
        <f t="shared" si="109"/>
        <v>119.33466162779439</v>
      </c>
      <c r="AT486" s="16" t="str">
        <f t="shared" si="111"/>
        <v>Yes</v>
      </c>
    </row>
    <row r="487" spans="1:46" hidden="1" x14ac:dyDescent="0.25">
      <c r="A487" s="41">
        <f>CASOPOInvCL!T487</f>
        <v>1</v>
      </c>
      <c r="B487" t="str">
        <f>CASOPOInvCL!Z487</f>
        <v>SO17104</v>
      </c>
      <c r="G487" s="5" t="str">
        <f>CASOPOInvCL!I487</f>
        <v>Yannett Yeomans</v>
      </c>
      <c r="H487" s="31">
        <f>CASOPOInvCL!U487</f>
        <v>5</v>
      </c>
      <c r="I487" s="31">
        <f>CASOPOInvCL!V487</f>
        <v>2025</v>
      </c>
      <c r="J487" s="5" t="str">
        <f>CASOPOInvCL!AB487</f>
        <v>INV13116</v>
      </c>
      <c r="K487" s="31" t="str">
        <f>CASOPOInvCL!W487</f>
        <v/>
      </c>
      <c r="L487" s="31" t="str">
        <f>CASOPOInvCL!X487</f>
        <v/>
      </c>
      <c r="M487" s="31"/>
      <c r="N487" s="5" t="str">
        <f>CASOPOInvCL!AF487</f>
        <v>Dynapro Pumps México S de RL de CV</v>
      </c>
      <c r="O487" s="16" t="str">
        <f>CASOPOInvCL!AG487</f>
        <v>USD</v>
      </c>
      <c r="P487" s="16">
        <f>CASOPOInvCL!AH487</f>
        <v>5722.9243428655509</v>
      </c>
      <c r="Q487" s="16">
        <f>CASOPOInvCL!AI487</f>
        <v>4141.32</v>
      </c>
      <c r="R487" s="32" t="str">
        <f>CASOPOInvCL!AU487</f>
        <v/>
      </c>
      <c r="S487" s="16">
        <f>CASOPOInvCL!AV487</f>
        <v>0</v>
      </c>
      <c r="T487" s="16">
        <f>CASOPOInvCL!AW487</f>
        <v>0</v>
      </c>
      <c r="Y487" s="29" t="str">
        <f>IFERROR(HLOOKUP(U487,List!$D$2:$H$6,2,FALSE),"")</f>
        <v/>
      </c>
      <c r="Z487" s="29" t="str">
        <f>IFERROR(HLOOKUP(V487,List!$D$2:$H$6,3,FALSE),"")</f>
        <v/>
      </c>
      <c r="AA487" s="29" t="str">
        <f>IFERROR(HLOOKUP(W487,List!$D$2:$H$6,4,FALSE),"")</f>
        <v/>
      </c>
      <c r="AB487" s="29" t="str">
        <f>IFERROR(HLOOKUP(X487,List!$D$2:$H$6,5,FALSE),"")</f>
        <v/>
      </c>
      <c r="AC487" s="12" t="str">
        <f t="shared" si="101"/>
        <v/>
      </c>
      <c r="AD487" s="12" t="str">
        <f t="shared" si="102"/>
        <v/>
      </c>
      <c r="AE487" s="12" t="str">
        <f t="shared" si="103"/>
        <v/>
      </c>
      <c r="AF487" s="12" t="str">
        <f t="shared" si="104"/>
        <v/>
      </c>
      <c r="AG487" t="str">
        <f>VLOOKUP(J487,'Receivable Invoice Detail'!$A$1:F3499,6,FALSE)</f>
        <v>[W-SP15116L/D21] Lower Strainer, 150 or 200 SV-SP, Ductile Iron</v>
      </c>
      <c r="AM487" s="12" t="str">
        <f t="shared" si="105"/>
        <v/>
      </c>
      <c r="AN487" s="12" t="str">
        <f t="shared" si="106"/>
        <v/>
      </c>
      <c r="AO487" s="12" t="str">
        <f t="shared" si="107"/>
        <v/>
      </c>
      <c r="AP487" s="12" t="str">
        <f t="shared" si="108"/>
        <v/>
      </c>
      <c r="AQ487" s="12"/>
      <c r="AR487" s="16" t="s">
        <v>5940</v>
      </c>
      <c r="AS487" s="12">
        <f t="shared" si="109"/>
        <v>0</v>
      </c>
      <c r="AT487" s="16" t="s">
        <v>5940</v>
      </c>
    </row>
    <row r="488" spans="1:46" hidden="1" x14ac:dyDescent="0.25">
      <c r="A488" s="41">
        <f>CASOPOInvCL!T488</f>
        <v>1</v>
      </c>
      <c r="B488" t="str">
        <f>CASOPOInvCL!Z488</f>
        <v>SO17105</v>
      </c>
      <c r="G488" s="5" t="str">
        <f>CASOPOInvCL!I488</f>
        <v>Ian Trottier</v>
      </c>
      <c r="H488" s="31">
        <f>CASOPOInvCL!U488</f>
        <v>5</v>
      </c>
      <c r="I488" s="31">
        <f>CASOPOInvCL!V488</f>
        <v>2025</v>
      </c>
      <c r="J488" s="5" t="str">
        <f>CASOPOInvCL!AB488</f>
        <v>INV13436</v>
      </c>
      <c r="K488" s="31" t="str">
        <f>CASOPOInvCL!W488</f>
        <v/>
      </c>
      <c r="L488" s="31" t="str">
        <f>CASOPOInvCL!X488</f>
        <v/>
      </c>
      <c r="M488" s="31"/>
      <c r="N488" s="5" t="str">
        <f>CASOPOInvCL!AF488</f>
        <v>Wajax Limited - Noranda</v>
      </c>
      <c r="O488" s="16" t="str">
        <f>CASOPOInvCL!AG488</f>
        <v>CAD</v>
      </c>
      <c r="P488" s="16">
        <f>CASOPOInvCL!AH488</f>
        <v>1609.78</v>
      </c>
      <c r="Q488" s="16">
        <f>CASOPOInvCL!AI488</f>
        <v>1176.3240462326269</v>
      </c>
      <c r="R488" s="32" t="str">
        <f>CASOPOInvCL!AU488</f>
        <v/>
      </c>
      <c r="S488" s="16">
        <f>CASOPOInvCL!AV488</f>
        <v>0</v>
      </c>
      <c r="T488" s="16">
        <f>CASOPOInvCL!AW488</f>
        <v>0</v>
      </c>
      <c r="Y488" s="29" t="str">
        <f>IFERROR(HLOOKUP(U488,List!$D$2:$H$6,2,FALSE),"")</f>
        <v/>
      </c>
      <c r="Z488" s="29" t="str">
        <f>IFERROR(HLOOKUP(V488,List!$D$2:$H$6,3,FALSE),"")</f>
        <v/>
      </c>
      <c r="AA488" s="29" t="str">
        <f>IFERROR(HLOOKUP(W488,List!$D$2:$H$6,4,FALSE),"")</f>
        <v/>
      </c>
      <c r="AB488" s="29" t="str">
        <f>IFERROR(HLOOKUP(X488,List!$D$2:$H$6,5,FALSE),"")</f>
        <v/>
      </c>
      <c r="AC488" s="12" t="str">
        <f t="shared" si="101"/>
        <v/>
      </c>
      <c r="AD488" s="12" t="str">
        <f t="shared" si="102"/>
        <v/>
      </c>
      <c r="AE488" s="12" t="str">
        <f t="shared" si="103"/>
        <v/>
      </c>
      <c r="AF488" s="12" t="str">
        <f t="shared" si="104"/>
        <v/>
      </c>
      <c r="AG488" t="e">
        <f>VLOOKUP(J488,'Receivable Invoice Detail'!$A$1:F3500,6,FALSE)</f>
        <v>#N/A</v>
      </c>
      <c r="AM488" s="12" t="str">
        <f t="shared" si="105"/>
        <v/>
      </c>
      <c r="AN488" s="12" t="str">
        <f t="shared" si="106"/>
        <v/>
      </c>
      <c r="AO488" s="12" t="str">
        <f t="shared" si="107"/>
        <v/>
      </c>
      <c r="AP488" s="12" t="str">
        <f t="shared" si="108"/>
        <v/>
      </c>
      <c r="AQ488" s="12"/>
      <c r="AS488" s="12">
        <f t="shared" si="109"/>
        <v>0</v>
      </c>
      <c r="AT488" s="16" t="str">
        <f t="shared" si="111"/>
        <v/>
      </c>
    </row>
    <row r="489" spans="1:46" hidden="1" x14ac:dyDescent="0.25">
      <c r="A489" s="41">
        <f>CASOPOInvCL!T489</f>
        <v>1</v>
      </c>
      <c r="B489" t="str">
        <f>CASOPOInvCL!Z489</f>
        <v>SO17106</v>
      </c>
      <c r="G489" s="5" t="str">
        <f>CASOPOInvCL!I489</f>
        <v>Ian Trottier</v>
      </c>
      <c r="H489" s="31">
        <f>CASOPOInvCL!U489</f>
        <v>5</v>
      </c>
      <c r="I489" s="31">
        <f>CASOPOInvCL!V489</f>
        <v>2025</v>
      </c>
      <c r="J489" s="5" t="str">
        <f>CASOPOInvCL!AB489</f>
        <v>INV12955</v>
      </c>
      <c r="K489" s="31">
        <f>CASOPOInvCL!W489</f>
        <v>6</v>
      </c>
      <c r="L489" s="31">
        <f>CASOPOInvCL!X489</f>
        <v>2025</v>
      </c>
      <c r="M489" s="31"/>
      <c r="N489" s="5" t="str">
        <f>CASOPOInvCL!AF489</f>
        <v>Grant Aggregate</v>
      </c>
      <c r="O489" s="16" t="str">
        <f>CASOPOInvCL!AG489</f>
        <v>CAD</v>
      </c>
      <c r="P489" s="16">
        <f>CASOPOInvCL!AH489</f>
        <v>119.4</v>
      </c>
      <c r="Q489" s="16">
        <f>CASOPOInvCL!AI489</f>
        <v>86.197871780096349</v>
      </c>
      <c r="R489" s="32" t="str">
        <f>CASOPOInvCL!AU489</f>
        <v>Yes</v>
      </c>
      <c r="S489" s="16">
        <f>CASOPOInvCL!AV489</f>
        <v>0</v>
      </c>
      <c r="T489" s="16">
        <f>CASOPOInvCL!AW489</f>
        <v>86.197871780096349</v>
      </c>
      <c r="Y489" s="29" t="str">
        <f>IFERROR(HLOOKUP(U489,List!$D$2:$H$6,2,FALSE),"")</f>
        <v/>
      </c>
      <c r="Z489" s="29" t="str">
        <f>IFERROR(HLOOKUP(V489,List!$D$2:$H$6,3,FALSE),"")</f>
        <v/>
      </c>
      <c r="AA489" s="29" t="str">
        <f>IFERROR(HLOOKUP(W489,List!$D$2:$H$6,4,FALSE),"")</f>
        <v/>
      </c>
      <c r="AB489" s="29" t="str">
        <f>IFERROR(HLOOKUP(X489,List!$D$2:$H$6,5,FALSE),"")</f>
        <v/>
      </c>
      <c r="AC489" s="12" t="str">
        <f t="shared" si="101"/>
        <v/>
      </c>
      <c r="AD489" s="12" t="str">
        <f t="shared" si="102"/>
        <v/>
      </c>
      <c r="AE489" s="12" t="str">
        <f t="shared" si="103"/>
        <v/>
      </c>
      <c r="AF489" s="12" t="str">
        <f t="shared" si="104"/>
        <v/>
      </c>
      <c r="AG489" t="str">
        <f>VLOOKUP(J489,'Receivable Invoice Detail'!$A$1:F3501,6,FALSE)</f>
        <v>[G-A01081A12] Premium Packing, 3196 XLT, 5 Pre-Cut Rings, Graphite</v>
      </c>
      <c r="AM489" s="12" t="str">
        <f t="shared" si="105"/>
        <v/>
      </c>
      <c r="AN489" s="12" t="str">
        <f t="shared" si="106"/>
        <v/>
      </c>
      <c r="AO489" s="12" t="str">
        <f t="shared" si="107"/>
        <v/>
      </c>
      <c r="AP489" s="12" t="str">
        <f t="shared" si="108"/>
        <v/>
      </c>
      <c r="AQ489" s="12"/>
      <c r="AS489" s="12">
        <f t="shared" si="109"/>
        <v>1.2929680767014451</v>
      </c>
      <c r="AT489" s="16" t="str">
        <f t="shared" si="111"/>
        <v>Yes</v>
      </c>
    </row>
    <row r="490" spans="1:46" hidden="1" x14ac:dyDescent="0.25">
      <c r="A490" s="41">
        <f>CASOPOInvCL!T490</f>
        <v>1</v>
      </c>
      <c r="B490" t="str">
        <f>CASOPOInvCL!Z490</f>
        <v>SO17114</v>
      </c>
      <c r="G490" s="5" t="str">
        <f>CASOPOInvCL!I490</f>
        <v>Ian Trottier</v>
      </c>
      <c r="H490" s="31">
        <f>CASOPOInvCL!U490</f>
        <v>5</v>
      </c>
      <c r="I490" s="31">
        <f>CASOPOInvCL!V490</f>
        <v>2025</v>
      </c>
      <c r="J490" s="5" t="str">
        <f>CASOPOInvCL!AB490</f>
        <v>INV12957</v>
      </c>
      <c r="K490" s="31">
        <f>CASOPOInvCL!W490</f>
        <v>6</v>
      </c>
      <c r="L490" s="31">
        <f>CASOPOInvCL!X490</f>
        <v>2025</v>
      </c>
      <c r="M490" s="31"/>
      <c r="N490" s="5" t="str">
        <f>CASOPOInvCL!AF490</f>
        <v>Manufacture Sling-Choker (Val-d’Or) Ltée</v>
      </c>
      <c r="O490" s="16" t="str">
        <f>CASOPOInvCL!AG490</f>
        <v>CAD</v>
      </c>
      <c r="P490" s="16">
        <f>CASOPOInvCL!AH490</f>
        <v>112.37</v>
      </c>
      <c r="Q490" s="16">
        <f>CASOPOInvCL!AI490</f>
        <v>81.567838020784876</v>
      </c>
      <c r="R490" s="32" t="str">
        <f>CASOPOInvCL!AU490</f>
        <v>Yes</v>
      </c>
      <c r="S490" s="16">
        <f>CASOPOInvCL!AV490</f>
        <v>0</v>
      </c>
      <c r="T490" s="16">
        <f>CASOPOInvCL!AW490</f>
        <v>81.567838020784876</v>
      </c>
      <c r="Y490" s="29" t="str">
        <f>IFERROR(HLOOKUP(U490,List!$D$2:$H$6,2,FALSE),"")</f>
        <v/>
      </c>
      <c r="Z490" s="29" t="str">
        <f>IFERROR(HLOOKUP(V490,List!$D$2:$H$6,3,FALSE),"")</f>
        <v/>
      </c>
      <c r="AA490" s="29" t="str">
        <f>IFERROR(HLOOKUP(W490,List!$D$2:$H$6,4,FALSE),"")</f>
        <v/>
      </c>
      <c r="AB490" s="29" t="str">
        <f>IFERROR(HLOOKUP(X490,List!$D$2:$H$6,5,FALSE),"")</f>
        <v/>
      </c>
      <c r="AC490" s="12" t="str">
        <f t="shared" si="101"/>
        <v/>
      </c>
      <c r="AD490" s="12" t="str">
        <f t="shared" si="102"/>
        <v/>
      </c>
      <c r="AE490" s="12" t="str">
        <f t="shared" si="103"/>
        <v/>
      </c>
      <c r="AF490" s="12" t="str">
        <f t="shared" si="104"/>
        <v/>
      </c>
      <c r="AG490" t="str">
        <f>VLOOKUP(J490,'Receivable Invoice Detail'!$A$1:F3502,6,FALSE)</f>
        <v>[AN18] Bearing Lock Nut, 8x6-18 &amp; 10x8-21 SRL-C, Steel</v>
      </c>
      <c r="AM490" s="12" t="str">
        <f t="shared" si="105"/>
        <v/>
      </c>
      <c r="AN490" s="12" t="str">
        <f t="shared" si="106"/>
        <v/>
      </c>
      <c r="AO490" s="12" t="str">
        <f t="shared" si="107"/>
        <v/>
      </c>
      <c r="AP490" s="12" t="str">
        <f t="shared" si="108"/>
        <v/>
      </c>
      <c r="AQ490" s="12"/>
      <c r="AS490" s="12">
        <f t="shared" si="109"/>
        <v>1.2235175703117731</v>
      </c>
      <c r="AT490" s="16" t="str">
        <f t="shared" si="111"/>
        <v>Yes</v>
      </c>
    </row>
    <row r="491" spans="1:46" hidden="1" x14ac:dyDescent="0.25">
      <c r="A491" s="41">
        <f>CASOPOInvCL!T491</f>
        <v>1</v>
      </c>
      <c r="B491" t="str">
        <f>CASOPOInvCL!Z491</f>
        <v>SO17116</v>
      </c>
      <c r="G491" s="5" t="str">
        <f>CASOPOInvCL!I491</f>
        <v>Ian Trottier</v>
      </c>
      <c r="H491" s="31">
        <f>CASOPOInvCL!U491</f>
        <v>5</v>
      </c>
      <c r="I491" s="31">
        <f>CASOPOInvCL!V491</f>
        <v>2025</v>
      </c>
      <c r="J491" s="5" t="str">
        <f>CASOPOInvCL!AB491</f>
        <v>INV12959</v>
      </c>
      <c r="K491" s="31">
        <f>CASOPOInvCL!W491</f>
        <v>5</v>
      </c>
      <c r="L491" s="31">
        <f>CASOPOInvCL!X491</f>
        <v>2025</v>
      </c>
      <c r="M491" s="31"/>
      <c r="N491" s="5" t="str">
        <f>CASOPOInvCL!AF491</f>
        <v>MJR Admin</v>
      </c>
      <c r="O491" s="16" t="str">
        <f>CASOPOInvCL!AG491</f>
        <v>CAD</v>
      </c>
      <c r="P491" s="16">
        <f>CASOPOInvCL!AH491</f>
        <v>1237.1099999999999</v>
      </c>
      <c r="Q491" s="16">
        <f>CASOPOInvCL!AI491</f>
        <v>898.13225271880856</v>
      </c>
      <c r="R491" s="32" t="str">
        <f>CASOPOInvCL!AU491</f>
        <v>Yes</v>
      </c>
      <c r="S491" s="16">
        <f>CASOPOInvCL!AV491</f>
        <v>0</v>
      </c>
      <c r="T491" s="16">
        <f>CASOPOInvCL!AW491</f>
        <v>898.13225271880856</v>
      </c>
      <c r="Y491" s="29" t="str">
        <f>IFERROR(HLOOKUP(U491,List!$D$2:$H$6,2,FALSE),"")</f>
        <v/>
      </c>
      <c r="Z491" s="29" t="str">
        <f>IFERROR(HLOOKUP(V491,List!$D$2:$H$6,3,FALSE),"")</f>
        <v/>
      </c>
      <c r="AA491" s="29" t="str">
        <f>IFERROR(HLOOKUP(W491,List!$D$2:$H$6,4,FALSE),"")</f>
        <v/>
      </c>
      <c r="AB491" s="29" t="str">
        <f>IFERROR(HLOOKUP(X491,List!$D$2:$H$6,5,FALSE),"")</f>
        <v/>
      </c>
      <c r="AC491" s="12" t="str">
        <f t="shared" si="101"/>
        <v/>
      </c>
      <c r="AD491" s="12" t="str">
        <f t="shared" si="102"/>
        <v/>
      </c>
      <c r="AE491" s="12" t="str">
        <f t="shared" si="103"/>
        <v/>
      </c>
      <c r="AF491" s="12" t="str">
        <f t="shared" si="104"/>
        <v/>
      </c>
      <c r="AG491" t="str">
        <f>VLOOKUP(J491,'Receivable Invoice Detail'!$A$1:F3503,6,FALSE)</f>
        <v>[AC-98-331-958-831] Shaft Sleeve, 5x4/5x5/6X6 SRL-C &amp; SRL, 420SS Heat Treated, Hardened</v>
      </c>
      <c r="AM491" s="12" t="str">
        <f t="shared" si="105"/>
        <v/>
      </c>
      <c r="AN491" s="12" t="str">
        <f t="shared" si="106"/>
        <v/>
      </c>
      <c r="AO491" s="12" t="str">
        <f t="shared" si="107"/>
        <v/>
      </c>
      <c r="AP491" s="12" t="str">
        <f t="shared" si="108"/>
        <v/>
      </c>
      <c r="AQ491" s="12"/>
      <c r="AS491" s="12">
        <f t="shared" si="109"/>
        <v>13.471983790782128</v>
      </c>
      <c r="AT491" s="16" t="str">
        <f t="shared" si="111"/>
        <v>Yes</v>
      </c>
    </row>
    <row r="492" spans="1:46" hidden="1" x14ac:dyDescent="0.25">
      <c r="A492" s="41">
        <f>CASOPOInvCL!T492</f>
        <v>1</v>
      </c>
      <c r="B492" t="str">
        <f>CASOPOInvCL!Z492</f>
        <v>SO17119</v>
      </c>
      <c r="D492" t="s">
        <v>5925</v>
      </c>
      <c r="G492" s="5" t="str">
        <f>CASOPOInvCL!I492</f>
        <v>Ian Trottier</v>
      </c>
      <c r="H492" s="31">
        <f>CASOPOInvCL!U492</f>
        <v>5</v>
      </c>
      <c r="I492" s="31">
        <f>CASOPOInvCL!V492</f>
        <v>2025</v>
      </c>
      <c r="J492" s="5" t="str">
        <f>CASOPOInvCL!AB492</f>
        <v>INV13089</v>
      </c>
      <c r="K492" s="31">
        <f>CASOPOInvCL!W492</f>
        <v>8</v>
      </c>
      <c r="L492" s="31">
        <f>CASOPOInvCL!X492</f>
        <v>2025</v>
      </c>
      <c r="M492">
        <v>2503</v>
      </c>
      <c r="N492" s="5" t="str">
        <f>CASOPOInvCL!AF492</f>
        <v>Hyperflo</v>
      </c>
      <c r="O492" s="16" t="str">
        <f>CASOPOInvCL!AG492</f>
        <v>CAD</v>
      </c>
      <c r="P492" s="16">
        <f>CASOPOInvCL!AH492</f>
        <v>149.6</v>
      </c>
      <c r="Q492" s="16">
        <f>CASOPOInvCL!AI492</f>
        <v>106.82091557240609</v>
      </c>
      <c r="R492" s="32" t="str">
        <f>CASOPOInvCL!AU492</f>
        <v>Yes</v>
      </c>
      <c r="S492" s="16">
        <f>CASOPOInvCL!AV492</f>
        <v>0</v>
      </c>
      <c r="T492" s="16">
        <f>CASOPOInvCL!AW492</f>
        <v>106.82091557240609</v>
      </c>
      <c r="V492" t="s">
        <v>5800</v>
      </c>
      <c r="Y492" s="29" t="str">
        <f>IFERROR(HLOOKUP(U492,List!$D$2:$H$6,2,FALSE),"")</f>
        <v/>
      </c>
      <c r="Z492" s="29">
        <f>IFERROR(HLOOKUP(V492,List!$D$2:$H$6,3,FALSE),"")</f>
        <v>5.0000000000000001E-3</v>
      </c>
      <c r="AA492" s="29" t="str">
        <f>IFERROR(HLOOKUP(W492,List!$D$2:$H$6,4,FALSE),"")</f>
        <v/>
      </c>
      <c r="AB492" s="29" t="str">
        <f>IFERROR(HLOOKUP(X492,List!$D$2:$H$6,5,FALSE),"")</f>
        <v/>
      </c>
      <c r="AC492" s="12" t="str">
        <f t="shared" si="101"/>
        <v/>
      </c>
      <c r="AD492" s="12">
        <f t="shared" si="102"/>
        <v>0.53410457786203047</v>
      </c>
      <c r="AE492" s="12" t="str">
        <f t="shared" si="103"/>
        <v/>
      </c>
      <c r="AF492" s="12" t="str">
        <f t="shared" si="104"/>
        <v/>
      </c>
      <c r="AG492" t="str">
        <f>VLOOKUP(J492,'Receivable Invoice Detail'!$A$1:F3504,6,FALSE)</f>
        <v>[G-9008-31365] Breather, 3196 MTX, Carbon Steel</v>
      </c>
      <c r="AH492" s="12">
        <f t="shared" ref="AH492:AH494" si="113">SUM(AC492:AF492)</f>
        <v>0.53410457786203047</v>
      </c>
      <c r="AM492" s="12" t="str">
        <f t="shared" si="105"/>
        <v/>
      </c>
      <c r="AN492" s="12">
        <f t="shared" si="106"/>
        <v>0.53410457786203047</v>
      </c>
      <c r="AO492" s="12" t="str">
        <f t="shared" si="107"/>
        <v/>
      </c>
      <c r="AP492" s="12" t="str">
        <f t="shared" si="108"/>
        <v/>
      </c>
      <c r="AQ492" s="64">
        <v>2503</v>
      </c>
      <c r="AR492" t="s">
        <v>5932</v>
      </c>
      <c r="AS492" s="12">
        <f t="shared" si="109"/>
        <v>1.6023137335860913</v>
      </c>
      <c r="AT492" s="16" t="str">
        <f t="shared" si="111"/>
        <v>Yes</v>
      </c>
    </row>
    <row r="493" spans="1:46" hidden="1" x14ac:dyDescent="0.25">
      <c r="A493" s="41">
        <f>CASOPOInvCL!T493</f>
        <v>1</v>
      </c>
      <c r="B493" t="str">
        <f>CASOPOInvCL!Z493</f>
        <v>SO17126</v>
      </c>
      <c r="D493" t="s">
        <v>5925</v>
      </c>
      <c r="G493" s="5" t="str">
        <f>CASOPOInvCL!I493</f>
        <v>Ian Trottier</v>
      </c>
      <c r="H493" s="31">
        <f>CASOPOInvCL!U493</f>
        <v>5</v>
      </c>
      <c r="I493" s="31">
        <f>CASOPOInvCL!V493</f>
        <v>2025</v>
      </c>
      <c r="J493" s="5" t="str">
        <f>CASOPOInvCL!AB493</f>
        <v>INV13058</v>
      </c>
      <c r="K493" s="31">
        <f>CASOPOInvCL!W493</f>
        <v>8</v>
      </c>
      <c r="L493" s="31">
        <f>CASOPOInvCL!X493</f>
        <v>2025</v>
      </c>
      <c r="M493">
        <v>2503</v>
      </c>
      <c r="N493" s="5" t="str">
        <f>CASOPOInvCL!AF493</f>
        <v>Quality Concrete Inc.</v>
      </c>
      <c r="O493" s="16" t="str">
        <f>CASOPOInvCL!AG493</f>
        <v>CAD</v>
      </c>
      <c r="P493" s="16">
        <f>CASOPOInvCL!AH493</f>
        <v>814.38</v>
      </c>
      <c r="Q493" s="16">
        <f>CASOPOInvCL!AI493</f>
        <v>591.23355560066875</v>
      </c>
      <c r="R493" s="32" t="str">
        <f>CASOPOInvCL!AU493</f>
        <v>Yes</v>
      </c>
      <c r="S493" s="16">
        <f>CASOPOInvCL!AV493</f>
        <v>0</v>
      </c>
      <c r="T493" s="16">
        <f>CASOPOInvCL!AW493</f>
        <v>591.23355560066875</v>
      </c>
      <c r="V493" t="s">
        <v>5801</v>
      </c>
      <c r="Y493" s="29" t="str">
        <f>IFERROR(HLOOKUP(U493,List!$D$2:$H$6,2,FALSE),"")</f>
        <v/>
      </c>
      <c r="Z493" s="29">
        <f>IFERROR(HLOOKUP(V493,List!$D$2:$H$6,3,FALSE),"")</f>
        <v>0.02</v>
      </c>
      <c r="AA493" s="29" t="str">
        <f>IFERROR(HLOOKUP(W493,List!$D$2:$H$6,4,FALSE),"")</f>
        <v/>
      </c>
      <c r="AB493" s="29" t="str">
        <f>IFERROR(HLOOKUP(X493,List!$D$2:$H$6,5,FALSE),"")</f>
        <v/>
      </c>
      <c r="AC493" s="12" t="str">
        <f t="shared" si="101"/>
        <v/>
      </c>
      <c r="AD493" s="12">
        <f t="shared" si="102"/>
        <v>11.824671112013375</v>
      </c>
      <c r="AE493" s="12" t="str">
        <f t="shared" si="103"/>
        <v/>
      </c>
      <c r="AF493" s="12" t="str">
        <f t="shared" si="104"/>
        <v/>
      </c>
      <c r="AG493" t="str">
        <f>VLOOKUP(J493,'Receivable Invoice Detail'!$A$1:F3505,6,FALSE)</f>
        <v>[LX-4533-1-6] Gland Seal, Linatex SRL, Linatex Red Rubber</v>
      </c>
      <c r="AH493" s="12">
        <f t="shared" si="113"/>
        <v>11.824671112013375</v>
      </c>
      <c r="AM493" s="12" t="str">
        <f t="shared" si="105"/>
        <v/>
      </c>
      <c r="AN493" s="12">
        <f t="shared" si="106"/>
        <v>11.824671112013375</v>
      </c>
      <c r="AO493" s="12" t="str">
        <f t="shared" si="107"/>
        <v/>
      </c>
      <c r="AP493" s="12" t="str">
        <f t="shared" si="108"/>
        <v/>
      </c>
      <c r="AQ493" s="64">
        <v>2503</v>
      </c>
      <c r="AR493" t="s">
        <v>5932</v>
      </c>
      <c r="AS493" s="12">
        <f t="shared" si="109"/>
        <v>8.8685033340100308</v>
      </c>
      <c r="AT493" s="16" t="str">
        <f t="shared" si="111"/>
        <v>Yes</v>
      </c>
    </row>
    <row r="494" spans="1:46" hidden="1" x14ac:dyDescent="0.25">
      <c r="A494" s="41">
        <f>CASOPOInvCL!T494</f>
        <v>1</v>
      </c>
      <c r="B494" t="str">
        <f>CASOPOInvCL!Z494</f>
        <v>SO17129</v>
      </c>
      <c r="D494" t="s">
        <v>5925</v>
      </c>
      <c r="G494" s="5" t="str">
        <f>CASOPOInvCL!I494</f>
        <v>Ian Trottier</v>
      </c>
      <c r="H494" s="31">
        <f>CASOPOInvCL!U494</f>
        <v>5</v>
      </c>
      <c r="I494" s="31">
        <f>CASOPOInvCL!V494</f>
        <v>2025</v>
      </c>
      <c r="J494" s="5" t="str">
        <f>CASOPOInvCL!AB494</f>
        <v>INV13028</v>
      </c>
      <c r="K494" s="31">
        <f>CASOPOInvCL!W494</f>
        <v>7</v>
      </c>
      <c r="L494" s="31">
        <f>CASOPOInvCL!X494</f>
        <v>2025</v>
      </c>
      <c r="M494">
        <v>2503</v>
      </c>
      <c r="N494" s="5" t="str">
        <f>CASOPOInvCL!AF494</f>
        <v>Wajax Limited - Pointe-aux-Trembles</v>
      </c>
      <c r="O494" s="16" t="str">
        <f>CASOPOInvCL!AG494</f>
        <v>CAD</v>
      </c>
      <c r="P494" s="16">
        <f>CASOPOInvCL!AH494</f>
        <v>128.94</v>
      </c>
      <c r="Q494" s="16">
        <f>CASOPOInvCL!AI494</f>
        <v>93.085038419812591</v>
      </c>
      <c r="R494" s="32" t="str">
        <f>CASOPOInvCL!AU494</f>
        <v>Yes</v>
      </c>
      <c r="S494" s="16">
        <f>CASOPOInvCL!AV494</f>
        <v>0</v>
      </c>
      <c r="T494" s="16">
        <f>CASOPOInvCL!AW494</f>
        <v>93.085038419812591</v>
      </c>
      <c r="V494" t="s">
        <v>5800</v>
      </c>
      <c r="Y494" s="29" t="str">
        <f>IFERROR(HLOOKUP(U494,List!$D$2:$H$6,2,FALSE),"")</f>
        <v/>
      </c>
      <c r="Z494" s="29">
        <f>IFERROR(HLOOKUP(V494,List!$D$2:$H$6,3,FALSE),"")</f>
        <v>5.0000000000000001E-3</v>
      </c>
      <c r="AA494" s="29" t="str">
        <f>IFERROR(HLOOKUP(W494,List!$D$2:$H$6,4,FALSE),"")</f>
        <v/>
      </c>
      <c r="AB494" s="29" t="str">
        <f>IFERROR(HLOOKUP(X494,List!$D$2:$H$6,5,FALSE),"")</f>
        <v/>
      </c>
      <c r="AC494" s="12" t="str">
        <f t="shared" si="101"/>
        <v/>
      </c>
      <c r="AD494" s="12">
        <f t="shared" si="102"/>
        <v>0.46542519209906297</v>
      </c>
      <c r="AE494" s="12" t="str">
        <f t="shared" si="103"/>
        <v/>
      </c>
      <c r="AF494" s="12" t="str">
        <f t="shared" si="104"/>
        <v/>
      </c>
      <c r="AG494" t="str">
        <f>VLOOKUP(J494,'Receivable Invoice Detail'!$A$1:F3506,6,FALSE)</f>
        <v>[G-A01154A04] Sight Glass, 3/4", Goulds, Bronze, Threaded</v>
      </c>
      <c r="AH494" s="12">
        <f t="shared" si="113"/>
        <v>0.46542519209906297</v>
      </c>
      <c r="AM494" s="12" t="str">
        <f t="shared" si="105"/>
        <v/>
      </c>
      <c r="AN494" s="12">
        <f t="shared" si="106"/>
        <v>0.46542519209906297</v>
      </c>
      <c r="AO494" s="12" t="str">
        <f t="shared" si="107"/>
        <v/>
      </c>
      <c r="AP494" s="12" t="str">
        <f t="shared" si="108"/>
        <v/>
      </c>
      <c r="AQ494" s="64">
        <v>2503</v>
      </c>
      <c r="AR494" t="s">
        <v>5932</v>
      </c>
      <c r="AS494" s="12">
        <f t="shared" si="109"/>
        <v>1.3962755762971888</v>
      </c>
      <c r="AT494" s="16" t="str">
        <f t="shared" si="111"/>
        <v>Yes</v>
      </c>
    </row>
    <row r="495" spans="1:46" hidden="1" x14ac:dyDescent="0.25">
      <c r="A495" s="41">
        <f>CASOPOInvCL!T495</f>
        <v>1</v>
      </c>
      <c r="B495" t="str">
        <f>CASOPOInvCL!Z495</f>
        <v>SO17130</v>
      </c>
      <c r="G495" s="5" t="str">
        <f>CASOPOInvCL!I495</f>
        <v>Ian Trottier</v>
      </c>
      <c r="H495" s="31">
        <f>CASOPOInvCL!U495</f>
        <v>5</v>
      </c>
      <c r="I495" s="31">
        <f>CASOPOInvCL!V495</f>
        <v>2025</v>
      </c>
      <c r="J495" s="5" t="str">
        <f>CASOPOInvCL!AB495</f>
        <v>INV13595</v>
      </c>
      <c r="K495" s="31" t="str">
        <f>CASOPOInvCL!W495</f>
        <v/>
      </c>
      <c r="L495" s="31" t="str">
        <f>CASOPOInvCL!X495</f>
        <v/>
      </c>
      <c r="M495" s="31"/>
      <c r="N495" s="5" t="str">
        <f>CASOPOInvCL!AF495</f>
        <v>PT Vale Indonesia Tbk.</v>
      </c>
      <c r="O495" s="16" t="str">
        <f>CASOPOInvCL!AG495</f>
        <v>USD</v>
      </c>
      <c r="P495" s="16">
        <f>CASOPOInvCL!AH495</f>
        <v>3401.367925688362</v>
      </c>
      <c r="Q495" s="16">
        <f>CASOPOInvCL!AI495</f>
        <v>2442.7800000000002</v>
      </c>
      <c r="R495" s="32" t="str">
        <f>CASOPOInvCL!AU495</f>
        <v/>
      </c>
      <c r="S495" s="16">
        <f>CASOPOInvCL!AV495</f>
        <v>0</v>
      </c>
      <c r="T495" s="16">
        <f>CASOPOInvCL!AW495</f>
        <v>0</v>
      </c>
      <c r="Y495" s="29" t="str">
        <f>IFERROR(HLOOKUP(U495,List!$D$2:$H$6,2,FALSE),"")</f>
        <v/>
      </c>
      <c r="Z495" s="29" t="str">
        <f>IFERROR(HLOOKUP(V495,List!$D$2:$H$6,3,FALSE),"")</f>
        <v/>
      </c>
      <c r="AA495" s="29" t="str">
        <f>IFERROR(HLOOKUP(W495,List!$D$2:$H$6,4,FALSE),"")</f>
        <v/>
      </c>
      <c r="AB495" s="29" t="str">
        <f>IFERROR(HLOOKUP(X495,List!$D$2:$H$6,5,FALSE),"")</f>
        <v/>
      </c>
      <c r="AC495" s="12" t="str">
        <f t="shared" si="101"/>
        <v/>
      </c>
      <c r="AD495" s="12" t="str">
        <f t="shared" si="102"/>
        <v/>
      </c>
      <c r="AE495" s="12" t="str">
        <f t="shared" si="103"/>
        <v/>
      </c>
      <c r="AF495" s="12" t="str">
        <f t="shared" si="104"/>
        <v/>
      </c>
      <c r="AG495" t="str">
        <f>VLOOKUP(J495,'Receivable Invoice Detail'!$A$1:F3507,6,FALSE)</f>
        <v>[AC-52-127-508-001] Casing Wear Ring,  Allis Chalmers 9100-M Series 14x10-20L, Bronze</v>
      </c>
      <c r="AM495" s="12" t="str">
        <f t="shared" si="105"/>
        <v/>
      </c>
      <c r="AN495" s="12" t="str">
        <f t="shared" si="106"/>
        <v/>
      </c>
      <c r="AO495" s="12" t="str">
        <f t="shared" si="107"/>
        <v/>
      </c>
      <c r="AP495" s="12" t="str">
        <f t="shared" si="108"/>
        <v/>
      </c>
      <c r="AQ495" s="12"/>
      <c r="AS495" s="12">
        <f t="shared" si="109"/>
        <v>0</v>
      </c>
      <c r="AT495" s="16" t="str">
        <f t="shared" si="111"/>
        <v/>
      </c>
    </row>
    <row r="496" spans="1:46" hidden="1" x14ac:dyDescent="0.25">
      <c r="A496" s="41">
        <f>CASOPOInvCL!T496</f>
        <v>1</v>
      </c>
      <c r="B496" t="str">
        <f>CASOPOInvCL!Z496</f>
        <v>SO17133</v>
      </c>
      <c r="G496" s="5" t="str">
        <f>CASOPOInvCL!I496</f>
        <v>Ian Trottier</v>
      </c>
      <c r="H496" s="31">
        <f>CASOPOInvCL!U496</f>
        <v>5</v>
      </c>
      <c r="I496" s="31">
        <f>CASOPOInvCL!V496</f>
        <v>2025</v>
      </c>
      <c r="J496" s="5" t="str">
        <f>CASOPOInvCL!AB496</f>
        <v>INV12964</v>
      </c>
      <c r="K496" s="31">
        <f>CASOPOInvCL!W496</f>
        <v>6</v>
      </c>
      <c r="L496" s="31">
        <f>CASOPOInvCL!X496</f>
        <v>2025</v>
      </c>
      <c r="M496" s="31"/>
      <c r="N496" s="5" t="str">
        <f>CASOPOInvCL!AF496</f>
        <v>Wajax Limited - Noranda</v>
      </c>
      <c r="O496" s="16" t="str">
        <f>CASOPOInvCL!AG496</f>
        <v>CAD</v>
      </c>
      <c r="P496" s="16">
        <f>CASOPOInvCL!AH496</f>
        <v>2627.35</v>
      </c>
      <c r="Q496" s="16">
        <f>CASOPOInvCL!AI496</f>
        <v>1888.0460944774479</v>
      </c>
      <c r="R496" s="32" t="str">
        <f>CASOPOInvCL!AU496</f>
        <v>Yes</v>
      </c>
      <c r="S496" s="16">
        <f>CASOPOInvCL!AV496</f>
        <v>0</v>
      </c>
      <c r="T496" s="16">
        <f>CASOPOInvCL!AW496</f>
        <v>1888.0460944774479</v>
      </c>
      <c r="Y496" s="29" t="str">
        <f>IFERROR(HLOOKUP(U496,List!$D$2:$H$6,2,FALSE),"")</f>
        <v/>
      </c>
      <c r="Z496" s="29" t="str">
        <f>IFERROR(HLOOKUP(V496,List!$D$2:$H$6,3,FALSE),"")</f>
        <v/>
      </c>
      <c r="AA496" s="29" t="str">
        <f>IFERROR(HLOOKUP(W496,List!$D$2:$H$6,4,FALSE),"")</f>
        <v/>
      </c>
      <c r="AB496" s="29" t="str">
        <f>IFERROR(HLOOKUP(X496,List!$D$2:$H$6,5,FALSE),"")</f>
        <v/>
      </c>
      <c r="AC496" s="12" t="str">
        <f t="shared" si="101"/>
        <v/>
      </c>
      <c r="AD496" s="12" t="str">
        <f t="shared" si="102"/>
        <v/>
      </c>
      <c r="AE496" s="12" t="str">
        <f t="shared" si="103"/>
        <v/>
      </c>
      <c r="AF496" s="12" t="str">
        <f t="shared" si="104"/>
        <v/>
      </c>
      <c r="AG496" t="str">
        <f>VLOOKUP(J496,'Receivable Invoice Detail'!$A$1:F3508,6,FALSE)</f>
        <v>[W-D3110/A05] Volute Liner, 4/3 C or D-AH, High Chrome</v>
      </c>
      <c r="AM496" s="12" t="str">
        <f t="shared" si="105"/>
        <v/>
      </c>
      <c r="AN496" s="12" t="str">
        <f t="shared" si="106"/>
        <v/>
      </c>
      <c r="AO496" s="12" t="str">
        <f t="shared" si="107"/>
        <v/>
      </c>
      <c r="AP496" s="12" t="str">
        <f t="shared" si="108"/>
        <v/>
      </c>
      <c r="AQ496" s="12"/>
      <c r="AS496" s="12">
        <f t="shared" si="109"/>
        <v>28.320691417161719</v>
      </c>
      <c r="AT496" s="16" t="str">
        <f t="shared" si="111"/>
        <v>Yes</v>
      </c>
    </row>
    <row r="497" spans="1:46" hidden="1" x14ac:dyDescent="0.25">
      <c r="A497" s="41">
        <f>CASOPOInvCL!T497</f>
        <v>2</v>
      </c>
      <c r="B497" t="str">
        <f>CASOPOInvCL!Z497</f>
        <v>SO17134</v>
      </c>
      <c r="D497" t="s">
        <v>5938</v>
      </c>
      <c r="G497" s="5" t="str">
        <f>CASOPOInvCL!I497</f>
        <v>Marlen Martinez</v>
      </c>
      <c r="H497" s="31">
        <f>CASOPOInvCL!U497</f>
        <v>5</v>
      </c>
      <c r="I497" s="31">
        <f>CASOPOInvCL!V497</f>
        <v>2025</v>
      </c>
      <c r="J497" s="5" t="str">
        <f>CASOPOInvCL!AB497</f>
        <v>INV13063</v>
      </c>
      <c r="K497" s="31">
        <f>CASOPOInvCL!W497</f>
        <v>9</v>
      </c>
      <c r="L497" s="31">
        <f>CASOPOInvCL!X497</f>
        <v>2025</v>
      </c>
      <c r="M497">
        <v>2504</v>
      </c>
      <c r="N497" s="5" t="str">
        <f>CASOPOInvCL!AF497</f>
        <v>Covia Corp - Junction City</v>
      </c>
      <c r="O497" s="16" t="str">
        <f>CASOPOInvCL!AG497</f>
        <v>USD</v>
      </c>
      <c r="P497" s="16">
        <f>CASOPOInvCL!AH497</f>
        <v>4676.6753320898888</v>
      </c>
      <c r="Q497" s="16">
        <f>CASOPOInvCL!AI497</f>
        <v>3342.89</v>
      </c>
      <c r="R497" s="32" t="str">
        <f>CASOPOInvCL!AU497</f>
        <v>Yes</v>
      </c>
      <c r="S497" s="16">
        <f>CASOPOInvCL!AV497</f>
        <v>184.82</v>
      </c>
      <c r="T497" s="16">
        <f>CASOPOInvCL!AW497</f>
        <v>3158.0699999999997</v>
      </c>
      <c r="Y497" s="29" t="str">
        <f>IFERROR(HLOOKUP(U497,List!$D$2:$H$6,2,FALSE),"")</f>
        <v/>
      </c>
      <c r="Z497" s="29" t="str">
        <f>IFERROR(HLOOKUP(V497,List!$D$2:$H$6,3,FALSE),"")</f>
        <v/>
      </c>
      <c r="AA497" s="29" t="str">
        <f>IFERROR(HLOOKUP(W497,List!$D$2:$H$6,4,FALSE),"")</f>
        <v/>
      </c>
      <c r="AB497" s="29" t="str">
        <f>IFERROR(HLOOKUP(X497,List!$D$2:$H$6,5,FALSE),"")</f>
        <v/>
      </c>
      <c r="AC497" s="12" t="str">
        <f t="shared" si="101"/>
        <v/>
      </c>
      <c r="AD497" s="12" t="str">
        <f t="shared" si="102"/>
        <v/>
      </c>
      <c r="AE497" s="12" t="str">
        <f t="shared" si="103"/>
        <v/>
      </c>
      <c r="AF497" s="12" t="str">
        <f t="shared" si="104"/>
        <v/>
      </c>
      <c r="AG497" t="str">
        <f>VLOOKUP(J497,'Receivable Invoice Detail'!$A$1:F3509,6,FALSE)</f>
        <v>106804/6502Discharge Joint Ring, EPDM</v>
      </c>
      <c r="AM497" s="12" t="str">
        <f t="shared" si="105"/>
        <v/>
      </c>
      <c r="AN497" s="12" t="str">
        <f t="shared" si="106"/>
        <v/>
      </c>
      <c r="AO497" s="12" t="str">
        <f t="shared" si="107"/>
        <v/>
      </c>
      <c r="AP497" s="12" t="str">
        <f t="shared" si="108"/>
        <v/>
      </c>
      <c r="AQ497" s="64">
        <f t="shared" ref="AQ497:AQ498" si="114">M497</f>
        <v>2504</v>
      </c>
      <c r="AR497" t="s">
        <v>5939</v>
      </c>
      <c r="AS497" s="12">
        <f t="shared" si="109"/>
        <v>47.371049999999997</v>
      </c>
      <c r="AT497" s="16" t="str">
        <f t="shared" si="111"/>
        <v>Yes</v>
      </c>
    </row>
    <row r="498" spans="1:46" hidden="1" x14ac:dyDescent="0.25">
      <c r="A498" s="41">
        <f>CASOPOInvCL!T498</f>
        <v>2</v>
      </c>
      <c r="B498" t="str">
        <f>CASOPOInvCL!Z498</f>
        <v>SO17134</v>
      </c>
      <c r="G498" s="5">
        <f>CASOPOInvCL!I498</f>
        <v>0</v>
      </c>
      <c r="H498" s="31">
        <f>CASOPOInvCL!U498</f>
        <v>5</v>
      </c>
      <c r="I498" s="31">
        <f>CASOPOInvCL!V498</f>
        <v>2025</v>
      </c>
      <c r="J498" s="5" t="str">
        <f>CASOPOInvCL!AB498</f>
        <v>INV12996</v>
      </c>
      <c r="K498" s="31">
        <f>CASOPOInvCL!W498</f>
        <v>8</v>
      </c>
      <c r="L498" s="31">
        <f>CASOPOInvCL!X498</f>
        <v>2025</v>
      </c>
      <c r="M498" s="31"/>
      <c r="N498" s="5" t="str">
        <f>CASOPOInvCL!AF498</f>
        <v>Covia Corp - Junction City</v>
      </c>
      <c r="O498" s="16" t="str">
        <f>CASOPOInvCL!AG498</f>
        <v>USD</v>
      </c>
      <c r="P498" s="16">
        <f>CASOPOInvCL!AH498</f>
        <v>0</v>
      </c>
      <c r="Q498" s="16">
        <f>CASOPOInvCL!AI498</f>
        <v>0</v>
      </c>
      <c r="R498" s="32" t="str">
        <f>CASOPOInvCL!AU498</f>
        <v/>
      </c>
      <c r="S498" s="16">
        <f>CASOPOInvCL!AV498</f>
        <v>517.53</v>
      </c>
      <c r="T498" s="16">
        <f>CASOPOInvCL!AW498</f>
        <v>0</v>
      </c>
      <c r="Y498" s="29" t="str">
        <f>IFERROR(HLOOKUP(U498,List!$D$2:$H$6,2,FALSE),"")</f>
        <v/>
      </c>
      <c r="Z498" s="29" t="str">
        <f>IFERROR(HLOOKUP(V498,List!$D$2:$H$6,3,FALSE),"")</f>
        <v/>
      </c>
      <c r="AA498" s="29" t="str">
        <f>IFERROR(HLOOKUP(W498,List!$D$2:$H$6,4,FALSE),"")</f>
        <v/>
      </c>
      <c r="AB498" s="29" t="str">
        <f>IFERROR(HLOOKUP(X498,List!$D$2:$H$6,5,FALSE),"")</f>
        <v/>
      </c>
      <c r="AC498" s="12" t="str">
        <f t="shared" si="101"/>
        <v/>
      </c>
      <c r="AD498" s="12" t="str">
        <f t="shared" si="102"/>
        <v/>
      </c>
      <c r="AE498" s="12" t="str">
        <f t="shared" si="103"/>
        <v/>
      </c>
      <c r="AF498" s="12" t="str">
        <f t="shared" si="104"/>
        <v/>
      </c>
      <c r="AG498" t="str">
        <f>VLOOKUP(J498,'Receivable Invoice Detail'!$A$1:F3510,6,FALSE)</f>
        <v>106154/0003 Throatbush, 300 RSL, High Chrome</v>
      </c>
      <c r="AM498" s="12" t="str">
        <f t="shared" si="105"/>
        <v/>
      </c>
      <c r="AN498" s="12" t="str">
        <f t="shared" si="106"/>
        <v/>
      </c>
      <c r="AO498" s="12" t="str">
        <f t="shared" si="107"/>
        <v/>
      </c>
      <c r="AP498" s="12" t="str">
        <f t="shared" si="108"/>
        <v/>
      </c>
      <c r="AQ498" s="64">
        <f t="shared" si="114"/>
        <v>0</v>
      </c>
      <c r="AR498" t="s">
        <v>5939</v>
      </c>
      <c r="AS498" s="12">
        <f t="shared" si="109"/>
        <v>0</v>
      </c>
      <c r="AT498" s="16" t="str">
        <f t="shared" si="111"/>
        <v/>
      </c>
    </row>
    <row r="499" spans="1:46" hidden="1" x14ac:dyDescent="0.25">
      <c r="A499" s="41">
        <f>CASOPOInvCL!T499</f>
        <v>2</v>
      </c>
      <c r="B499" s="76" t="str">
        <f>CASOPOInvCL!Z499</f>
        <v>SO17139</v>
      </c>
      <c r="G499" s="5" t="str">
        <f>CASOPOInvCL!I499</f>
        <v>Wilka Nuñez</v>
      </c>
      <c r="H499" s="31">
        <f>CASOPOInvCL!U499</f>
        <v>5</v>
      </c>
      <c r="I499" s="31">
        <f>CASOPOInvCL!V499</f>
        <v>2025</v>
      </c>
      <c r="J499" s="5" t="str">
        <f>CASOPOInvCL!AB499</f>
        <v>INV12978</v>
      </c>
      <c r="K499" s="31">
        <f>CASOPOInvCL!W499</f>
        <v>7</v>
      </c>
      <c r="L499" s="31">
        <f>CASOPOInvCL!X499</f>
        <v>2025</v>
      </c>
      <c r="M499" s="31"/>
      <c r="N499" s="5" t="str">
        <f>CASOPOInvCL!AF499</f>
        <v>Barrick Gold - Pueblo Viejo Dominicana Corporation</v>
      </c>
      <c r="O499" s="16" t="str">
        <f>CASOPOInvCL!AG499</f>
        <v>USD</v>
      </c>
      <c r="P499" s="16">
        <f>CASOPOInvCL!AH499</f>
        <v>16789.984759494782</v>
      </c>
      <c r="Q499" s="16">
        <f>CASOPOInvCL!AI499</f>
        <v>12065.49</v>
      </c>
      <c r="R499" s="32" t="str">
        <f>CASOPOInvCL!AU499</f>
        <v>Yes</v>
      </c>
      <c r="S499" s="16">
        <f>CASOPOInvCL!AV499</f>
        <v>0</v>
      </c>
      <c r="T499" s="16">
        <f>CASOPOInvCL!AW499</f>
        <v>12065.49</v>
      </c>
      <c r="Y499" s="29" t="str">
        <f>IFERROR(HLOOKUP(U499,List!$D$2:$H$6,2,FALSE),"")</f>
        <v/>
      </c>
      <c r="Z499" s="29" t="str">
        <f>IFERROR(HLOOKUP(V499,List!$D$2:$H$6,3,FALSE),"")</f>
        <v/>
      </c>
      <c r="AA499" s="29" t="str">
        <f>IFERROR(HLOOKUP(W499,List!$D$2:$H$6,4,FALSE),"")</f>
        <v/>
      </c>
      <c r="AB499" s="29" t="str">
        <f>IFERROR(HLOOKUP(X499,List!$D$2:$H$6,5,FALSE),"")</f>
        <v/>
      </c>
      <c r="AC499" s="12" t="str">
        <f t="shared" si="101"/>
        <v/>
      </c>
      <c r="AD499" s="12" t="str">
        <f t="shared" si="102"/>
        <v/>
      </c>
      <c r="AE499" s="12" t="str">
        <f t="shared" si="103"/>
        <v/>
      </c>
      <c r="AF499" s="12" t="str">
        <f t="shared" si="104"/>
        <v/>
      </c>
      <c r="AG499" t="str">
        <f>VLOOKUP(J499,'Receivable Invoice Detail'!$A$1:F3511,6,FALSE)</f>
        <v>[D-2001408-2507] Impeller Wear Ring, 10JKH/M, 5.12x5.48x0.88, Duplex SS 2507 w/Ion Nitriding</v>
      </c>
      <c r="AM499" s="12" t="str">
        <f t="shared" si="105"/>
        <v/>
      </c>
      <c r="AN499" s="12" t="str">
        <f t="shared" si="106"/>
        <v/>
      </c>
      <c r="AO499" s="12" t="str">
        <f t="shared" si="107"/>
        <v/>
      </c>
      <c r="AP499" s="12" t="str">
        <f t="shared" si="108"/>
        <v/>
      </c>
      <c r="AQ499" s="64">
        <v>2503</v>
      </c>
      <c r="AR499" s="64" t="s">
        <v>5934</v>
      </c>
      <c r="AS499" s="12">
        <f t="shared" si="109"/>
        <v>180.98235</v>
      </c>
      <c r="AT499" s="16" t="str">
        <f t="shared" si="111"/>
        <v>Yes</v>
      </c>
    </row>
    <row r="500" spans="1:46" ht="15.75" hidden="1" thickBot="1" x14ac:dyDescent="0.3">
      <c r="A500" s="93">
        <f>CASOPOInvCL!T500</f>
        <v>2</v>
      </c>
      <c r="B500" s="96" t="str">
        <f>CASOPOInvCL!Z500</f>
        <v>SO17139</v>
      </c>
      <c r="C500" s="95"/>
      <c r="G500" s="5">
        <f>CASOPOInvCL!I500</f>
        <v>0</v>
      </c>
      <c r="H500" s="31">
        <f>CASOPOInvCL!U500</f>
        <v>5</v>
      </c>
      <c r="I500" s="31">
        <f>CASOPOInvCL!V500</f>
        <v>2025</v>
      </c>
      <c r="J500" s="5" t="str">
        <f>CASOPOInvCL!AB500</f>
        <v>INV13066</v>
      </c>
      <c r="K500" s="31">
        <f>CASOPOInvCL!W500</f>
        <v>7</v>
      </c>
      <c r="L500" s="31">
        <f>CASOPOInvCL!X500</f>
        <v>2025</v>
      </c>
      <c r="M500" s="31"/>
      <c r="N500" s="5" t="str">
        <f>CASOPOInvCL!AF500</f>
        <v>Barrick Gold - Pueblo Viejo Dominicana Corporation</v>
      </c>
      <c r="O500" s="16" t="str">
        <f>CASOPOInvCL!AG500</f>
        <v>USD</v>
      </c>
      <c r="P500" s="16">
        <f>CASOPOInvCL!AH500</f>
        <v>0</v>
      </c>
      <c r="Q500" s="16">
        <f>CASOPOInvCL!AI500</f>
        <v>0</v>
      </c>
      <c r="R500" s="32" t="str">
        <f>CASOPOInvCL!AU500</f>
        <v/>
      </c>
      <c r="S500" s="16">
        <f>CASOPOInvCL!AV500</f>
        <v>0</v>
      </c>
      <c r="T500" s="16">
        <f>CASOPOInvCL!AW500</f>
        <v>0</v>
      </c>
      <c r="Y500" s="29" t="str">
        <f>IFERROR(HLOOKUP(U500,List!$D$2:$H$6,2,FALSE),"")</f>
        <v/>
      </c>
      <c r="Z500" s="29" t="str">
        <f>IFERROR(HLOOKUP(V500,List!$D$2:$H$6,3,FALSE),"")</f>
        <v/>
      </c>
      <c r="AA500" s="29" t="str">
        <f>IFERROR(HLOOKUP(W500,List!$D$2:$H$6,4,FALSE),"")</f>
        <v/>
      </c>
      <c r="AB500" s="29" t="str">
        <f>IFERROR(HLOOKUP(X500,List!$D$2:$H$6,5,FALSE),"")</f>
        <v/>
      </c>
      <c r="AC500" s="12" t="str">
        <f t="shared" si="101"/>
        <v/>
      </c>
      <c r="AD500" s="12" t="str">
        <f t="shared" si="102"/>
        <v/>
      </c>
      <c r="AE500" s="12" t="str">
        <f t="shared" si="103"/>
        <v/>
      </c>
      <c r="AF500" s="12" t="str">
        <f t="shared" si="104"/>
        <v/>
      </c>
      <c r="AG500" t="str">
        <f>VLOOKUP(J500,'Receivable Invoice Detail'!$A$1:F3512,6,FALSE)</f>
        <v>[37230] Sleeve Bearing (Bowl), ThorPlas-Blue, HPCW</v>
      </c>
      <c r="AM500" s="12" t="str">
        <f t="shared" si="105"/>
        <v/>
      </c>
      <c r="AN500" s="12" t="str">
        <f t="shared" si="106"/>
        <v/>
      </c>
      <c r="AO500" s="12" t="str">
        <f t="shared" si="107"/>
        <v/>
      </c>
      <c r="AP500" s="12" t="str">
        <f t="shared" si="108"/>
        <v/>
      </c>
      <c r="AQ500" s="64">
        <v>2503</v>
      </c>
      <c r="AR500" s="64" t="s">
        <v>5934</v>
      </c>
      <c r="AS500" s="12">
        <f t="shared" si="109"/>
        <v>0</v>
      </c>
      <c r="AT500" s="16" t="str">
        <f t="shared" si="111"/>
        <v/>
      </c>
    </row>
    <row r="501" spans="1:46" hidden="1" x14ac:dyDescent="0.25">
      <c r="A501" s="41">
        <f>CASOPOInvCL!T501</f>
        <v>1</v>
      </c>
      <c r="B501" t="str">
        <f>CASOPOInvCL!Z501</f>
        <v>SO17140</v>
      </c>
      <c r="G501" s="5" t="str">
        <f>CASOPOInvCL!I501</f>
        <v>Ian Trottier</v>
      </c>
      <c r="H501" s="31">
        <f>CASOPOInvCL!U501</f>
        <v>5</v>
      </c>
      <c r="I501" s="31">
        <f>CASOPOInvCL!V501</f>
        <v>2025</v>
      </c>
      <c r="J501" s="5" t="str">
        <f>CASOPOInvCL!AB501</f>
        <v>INV12967</v>
      </c>
      <c r="K501" s="31">
        <f>CASOPOInvCL!W501</f>
        <v>6</v>
      </c>
      <c r="L501" s="31">
        <f>CASOPOInvCL!X501</f>
        <v>2025</v>
      </c>
      <c r="M501" s="31"/>
      <c r="N501" s="5" t="str">
        <f>CASOPOInvCL!AF501</f>
        <v>Glencore Canada Corporation - Rouyn-Noranda, Glencore Canada Corp.</v>
      </c>
      <c r="O501" s="16" t="str">
        <f>CASOPOInvCL!AG501</f>
        <v>CAD</v>
      </c>
      <c r="P501" s="16">
        <f>CASOPOInvCL!AH501</f>
        <v>1072.28</v>
      </c>
      <c r="Q501" s="16">
        <f>CASOPOInvCL!AI501</f>
        <v>769.88359609220959</v>
      </c>
      <c r="R501" s="32" t="str">
        <f>CASOPOInvCL!AU501</f>
        <v>Yes</v>
      </c>
      <c r="S501" s="16">
        <f>CASOPOInvCL!AV501</f>
        <v>0</v>
      </c>
      <c r="T501" s="16">
        <f>CASOPOInvCL!AW501</f>
        <v>769.88359609220959</v>
      </c>
      <c r="Y501" s="29" t="str">
        <f>IFERROR(HLOOKUP(U501,List!$D$2:$H$6,2,FALSE),"")</f>
        <v/>
      </c>
      <c r="Z501" s="29" t="str">
        <f>IFERROR(HLOOKUP(V501,List!$D$2:$H$6,3,FALSE),"")</f>
        <v/>
      </c>
      <c r="AA501" s="29" t="str">
        <f>IFERROR(HLOOKUP(W501,List!$D$2:$H$6,4,FALSE),"")</f>
        <v/>
      </c>
      <c r="AB501" s="29" t="str">
        <f>IFERROR(HLOOKUP(X501,List!$D$2:$H$6,5,FALSE),"")</f>
        <v/>
      </c>
      <c r="AC501" s="12" t="str">
        <f t="shared" si="101"/>
        <v/>
      </c>
      <c r="AD501" s="12" t="str">
        <f t="shared" si="102"/>
        <v/>
      </c>
      <c r="AE501" s="12" t="str">
        <f t="shared" si="103"/>
        <v/>
      </c>
      <c r="AF501" s="12" t="str">
        <f t="shared" si="104"/>
        <v/>
      </c>
      <c r="AG501" t="str">
        <f>VLOOKUP(J501,'Receivable Invoice Detail'!$A$1:F3513,6,FALSE)</f>
        <v>[AC-98-233-700-003] Bearing End Cover Gasket, 3x3-10 SRL &amp; SRL-C</v>
      </c>
      <c r="AM501" s="12" t="str">
        <f t="shared" si="105"/>
        <v/>
      </c>
      <c r="AN501" s="12" t="str">
        <f t="shared" si="106"/>
        <v/>
      </c>
      <c r="AO501" s="12" t="str">
        <f t="shared" si="107"/>
        <v/>
      </c>
      <c r="AP501" s="12" t="str">
        <f t="shared" si="108"/>
        <v/>
      </c>
      <c r="AQ501" s="12"/>
      <c r="AS501" s="12">
        <f t="shared" si="109"/>
        <v>11.548253941383143</v>
      </c>
      <c r="AT501" s="16" t="str">
        <f t="shared" si="111"/>
        <v>Yes</v>
      </c>
    </row>
    <row r="502" spans="1:46" hidden="1" x14ac:dyDescent="0.25">
      <c r="A502" s="41">
        <f>CASOPOInvCL!T502</f>
        <v>1</v>
      </c>
      <c r="B502" t="str">
        <f>CASOPOInvCL!Z502</f>
        <v>SO17142</v>
      </c>
      <c r="D502" t="s">
        <v>5925</v>
      </c>
      <c r="G502" s="5" t="str">
        <f>CASOPOInvCL!I502</f>
        <v>Ian Trottier</v>
      </c>
      <c r="H502" s="31">
        <f>CASOPOInvCL!U502</f>
        <v>5</v>
      </c>
      <c r="I502" s="31">
        <f>CASOPOInvCL!V502</f>
        <v>2025</v>
      </c>
      <c r="J502" s="5" t="str">
        <f>CASOPOInvCL!AB502</f>
        <v>INV13015</v>
      </c>
      <c r="K502" s="31">
        <f>CASOPOInvCL!W502</f>
        <v>7</v>
      </c>
      <c r="L502" s="31">
        <f>CASOPOInvCL!X502</f>
        <v>2025</v>
      </c>
      <c r="M502">
        <v>2503</v>
      </c>
      <c r="N502" s="5" t="str">
        <f>CASOPOInvCL!AF502</f>
        <v>PT Vale Indonesia Tbk.</v>
      </c>
      <c r="O502" s="16" t="str">
        <f>CASOPOInvCL!AG502</f>
        <v>USD</v>
      </c>
      <c r="P502" s="16">
        <f>CASOPOInvCL!AH502</f>
        <v>1362.7653808484563</v>
      </c>
      <c r="Q502" s="16">
        <f>CASOPOInvCL!AI502</f>
        <v>979.3</v>
      </c>
      <c r="R502" s="32" t="str">
        <f>CASOPOInvCL!AU502</f>
        <v>Yes</v>
      </c>
      <c r="S502" s="16">
        <f>CASOPOInvCL!AV502</f>
        <v>0</v>
      </c>
      <c r="T502" s="16">
        <f>CASOPOInvCL!AW502</f>
        <v>979.3</v>
      </c>
      <c r="V502" t="s">
        <v>5800</v>
      </c>
      <c r="Y502" s="29" t="str">
        <f>IFERROR(HLOOKUP(U502,List!$D$2:$H$6,2,FALSE),"")</f>
        <v/>
      </c>
      <c r="Z502" s="29">
        <f>IFERROR(HLOOKUP(V502,List!$D$2:$H$6,3,FALSE),"")</f>
        <v>5.0000000000000001E-3</v>
      </c>
      <c r="AA502" s="29" t="str">
        <f>IFERROR(HLOOKUP(W502,List!$D$2:$H$6,4,FALSE),"")</f>
        <v/>
      </c>
      <c r="AB502" s="29" t="str">
        <f>IFERROR(HLOOKUP(X502,List!$D$2:$H$6,5,FALSE),"")</f>
        <v/>
      </c>
      <c r="AC502" s="12" t="str">
        <f t="shared" si="101"/>
        <v/>
      </c>
      <c r="AD502" s="12">
        <f t="shared" si="102"/>
        <v>4.8964999999999996</v>
      </c>
      <c r="AE502" s="12" t="str">
        <f t="shared" si="103"/>
        <v/>
      </c>
      <c r="AF502" s="12" t="str">
        <f t="shared" si="104"/>
        <v/>
      </c>
      <c r="AG502" t="str">
        <f>VLOOKUP(J502,'Receivable Invoice Detail'!$A$1:F3514,6,FALSE)</f>
        <v>[G-67868-205-206 5108] Gasket Material, Garlock 3000, 1/64" Thick, 24" x 36"</v>
      </c>
      <c r="AH502" s="12">
        <f t="shared" ref="AH502:AH504" si="115">SUM(AC502:AF502)</f>
        <v>4.8964999999999996</v>
      </c>
      <c r="AM502" s="12" t="str">
        <f t="shared" si="105"/>
        <v/>
      </c>
      <c r="AN502" s="12">
        <f t="shared" si="106"/>
        <v>4.8964999999999996</v>
      </c>
      <c r="AO502" s="12" t="str">
        <f t="shared" si="107"/>
        <v/>
      </c>
      <c r="AP502" s="12" t="str">
        <f t="shared" si="108"/>
        <v/>
      </c>
      <c r="AQ502" s="64">
        <v>2503</v>
      </c>
      <c r="AR502" t="s">
        <v>5932</v>
      </c>
      <c r="AS502" s="12">
        <f t="shared" si="109"/>
        <v>14.689499999999999</v>
      </c>
      <c r="AT502" s="16" t="str">
        <f t="shared" si="111"/>
        <v>Yes</v>
      </c>
    </row>
    <row r="503" spans="1:46" hidden="1" x14ac:dyDescent="0.25">
      <c r="A503" s="41">
        <f>CASOPOInvCL!T503</f>
        <v>1</v>
      </c>
      <c r="B503" t="str">
        <f>CASOPOInvCL!Z503</f>
        <v>SO17143</v>
      </c>
      <c r="D503" t="s">
        <v>5925</v>
      </c>
      <c r="G503" s="5" t="str">
        <f>CASOPOInvCL!I503</f>
        <v>Ian Trottier</v>
      </c>
      <c r="H503" s="31">
        <f>CASOPOInvCL!U503</f>
        <v>5</v>
      </c>
      <c r="I503" s="31">
        <f>CASOPOInvCL!V503</f>
        <v>2025</v>
      </c>
      <c r="J503" s="5" t="str">
        <f>CASOPOInvCL!AB503</f>
        <v>INV12993</v>
      </c>
      <c r="K503" s="31">
        <f>CASOPOInvCL!W503</f>
        <v>7</v>
      </c>
      <c r="L503" s="31">
        <f>CASOPOInvCL!X503</f>
        <v>2025</v>
      </c>
      <c r="M503">
        <v>2503</v>
      </c>
      <c r="N503" s="5" t="str">
        <f>CASOPOInvCL!AF503</f>
        <v>Resolute Forest Products - Saint-Felicien</v>
      </c>
      <c r="O503" s="16" t="str">
        <f>CASOPOInvCL!AG503</f>
        <v>CAD</v>
      </c>
      <c r="P503" s="16">
        <f>CASOPOInvCL!AH503</f>
        <v>408.64</v>
      </c>
      <c r="Q503" s="16">
        <f>CASOPOInvCL!AI503</f>
        <v>292.09608805355128</v>
      </c>
      <c r="R503" s="32" t="str">
        <f>CASOPOInvCL!AU503</f>
        <v>Yes</v>
      </c>
      <c r="S503" s="16">
        <f>CASOPOInvCL!AV503</f>
        <v>0</v>
      </c>
      <c r="T503" s="16">
        <f>CASOPOInvCL!AW503</f>
        <v>292.09608805355128</v>
      </c>
      <c r="V503" t="s">
        <v>5800</v>
      </c>
      <c r="Y503" s="29" t="str">
        <f>IFERROR(HLOOKUP(U503,List!$D$2:$H$6,2,FALSE),"")</f>
        <v/>
      </c>
      <c r="Z503" s="29">
        <f>IFERROR(HLOOKUP(V503,List!$D$2:$H$6,3,FALSE),"")</f>
        <v>5.0000000000000001E-3</v>
      </c>
      <c r="AA503" s="29" t="str">
        <f>IFERROR(HLOOKUP(W503,List!$D$2:$H$6,4,FALSE),"")</f>
        <v/>
      </c>
      <c r="AB503" s="29" t="str">
        <f>IFERROR(HLOOKUP(X503,List!$D$2:$H$6,5,FALSE),"")</f>
        <v/>
      </c>
      <c r="AC503" s="12" t="str">
        <f t="shared" si="101"/>
        <v/>
      </c>
      <c r="AD503" s="12">
        <f t="shared" si="102"/>
        <v>1.4604804402677565</v>
      </c>
      <c r="AE503" s="12" t="str">
        <f t="shared" si="103"/>
        <v/>
      </c>
      <c r="AF503" s="12" t="str">
        <f t="shared" si="104"/>
        <v/>
      </c>
      <c r="AG503" t="str">
        <f>VLOOKUP(J503,'Receivable Invoice Detail'!$A$1:F3515,6,FALSE)</f>
        <v>[AC-98-233-992-001] Half Seal Cage, 3x3-10 SRL &amp; SRL-C, Cast Iron</v>
      </c>
      <c r="AH503" s="12">
        <f t="shared" si="115"/>
        <v>1.4604804402677565</v>
      </c>
      <c r="AM503" s="12" t="str">
        <f t="shared" si="105"/>
        <v/>
      </c>
      <c r="AN503" s="12">
        <f t="shared" si="106"/>
        <v>1.4604804402677565</v>
      </c>
      <c r="AO503" s="12" t="str">
        <f t="shared" si="107"/>
        <v/>
      </c>
      <c r="AP503" s="12" t="str">
        <f t="shared" si="108"/>
        <v/>
      </c>
      <c r="AQ503" s="64">
        <v>2503</v>
      </c>
      <c r="AR503" t="s">
        <v>5932</v>
      </c>
      <c r="AS503" s="12">
        <f t="shared" si="109"/>
        <v>4.381441320803269</v>
      </c>
      <c r="AT503" s="16" t="str">
        <f t="shared" si="111"/>
        <v>Yes</v>
      </c>
    </row>
    <row r="504" spans="1:46" hidden="1" x14ac:dyDescent="0.25">
      <c r="A504" s="41">
        <f>CASOPOInvCL!T504</f>
        <v>1</v>
      </c>
      <c r="B504" t="str">
        <f>CASOPOInvCL!Z504</f>
        <v>SO17144</v>
      </c>
      <c r="D504" t="s">
        <v>5925</v>
      </c>
      <c r="G504" s="5" t="str">
        <f>CASOPOInvCL!I504</f>
        <v>Ian Trottier</v>
      </c>
      <c r="H504" s="31">
        <f>CASOPOInvCL!U504</f>
        <v>5</v>
      </c>
      <c r="I504" s="31">
        <f>CASOPOInvCL!V504</f>
        <v>2025</v>
      </c>
      <c r="J504" s="5" t="str">
        <f>CASOPOInvCL!AB504</f>
        <v>INV13084</v>
      </c>
      <c r="K504" s="31">
        <f>CASOPOInvCL!W504</f>
        <v>7</v>
      </c>
      <c r="L504" s="31">
        <f>CASOPOInvCL!X504</f>
        <v>2025</v>
      </c>
      <c r="M504">
        <v>2503</v>
      </c>
      <c r="N504" s="5" t="str">
        <f>CASOPOInvCL!AF504</f>
        <v>Motion Industries Inc. (U.S.) - Tucson</v>
      </c>
      <c r="O504" s="16" t="str">
        <f>CASOPOInvCL!AG504</f>
        <v>USD</v>
      </c>
      <c r="P504" s="16">
        <f>CASOPOInvCL!AH504</f>
        <v>625.55700939221788</v>
      </c>
      <c r="Q504" s="16">
        <f>CASOPOInvCL!AI504</f>
        <v>448.78</v>
      </c>
      <c r="R504" s="32" t="str">
        <f>CASOPOInvCL!AU504</f>
        <v>Yes</v>
      </c>
      <c r="S504" s="16">
        <f>CASOPOInvCL!AV504</f>
        <v>0</v>
      </c>
      <c r="T504" s="16">
        <f>CASOPOInvCL!AW504</f>
        <v>448.78</v>
      </c>
      <c r="V504" t="s">
        <v>5800</v>
      </c>
      <c r="Y504" s="29" t="str">
        <f>IFERROR(HLOOKUP(U504,List!$D$2:$H$6,2,FALSE),"")</f>
        <v/>
      </c>
      <c r="Z504" s="29">
        <f>IFERROR(HLOOKUP(V504,List!$D$2:$H$6,3,FALSE),"")</f>
        <v>5.0000000000000001E-3</v>
      </c>
      <c r="AA504" s="29" t="str">
        <f>IFERROR(HLOOKUP(W504,List!$D$2:$H$6,4,FALSE),"")</f>
        <v/>
      </c>
      <c r="AB504" s="29" t="str">
        <f>IFERROR(HLOOKUP(X504,List!$D$2:$H$6,5,FALSE),"")</f>
        <v/>
      </c>
      <c r="AC504" s="12" t="str">
        <f t="shared" si="101"/>
        <v/>
      </c>
      <c r="AD504" s="12">
        <f t="shared" si="102"/>
        <v>2.2439</v>
      </c>
      <c r="AE504" s="12" t="str">
        <f t="shared" si="103"/>
        <v/>
      </c>
      <c r="AF504" s="12" t="str">
        <f t="shared" si="104"/>
        <v/>
      </c>
      <c r="AG504" t="str">
        <f>VLOOKUP(J504,'Receivable Invoice Detail'!$A$1:F3516,6,FALSE)</f>
        <v>[IR-1895A162X18W004-379] Shaft Sleeve, Ingersoll-Rand, HOC-2, 316SS</v>
      </c>
      <c r="AH504" s="12">
        <f t="shared" si="115"/>
        <v>2.2439</v>
      </c>
      <c r="AM504" s="12" t="str">
        <f t="shared" si="105"/>
        <v/>
      </c>
      <c r="AN504" s="12">
        <f t="shared" si="106"/>
        <v>2.2439</v>
      </c>
      <c r="AO504" s="12" t="str">
        <f t="shared" si="107"/>
        <v/>
      </c>
      <c r="AP504" s="12" t="str">
        <f t="shared" si="108"/>
        <v/>
      </c>
      <c r="AQ504" s="64">
        <v>2503</v>
      </c>
      <c r="AR504" t="s">
        <v>5932</v>
      </c>
      <c r="AS504" s="12">
        <f t="shared" si="109"/>
        <v>6.7316999999999991</v>
      </c>
      <c r="AT504" s="16" t="str">
        <f t="shared" si="111"/>
        <v>Yes</v>
      </c>
    </row>
    <row r="505" spans="1:46" hidden="1" x14ac:dyDescent="0.25">
      <c r="A505" s="41">
        <f>CASOPOInvCL!T505</f>
        <v>1</v>
      </c>
      <c r="B505" s="76" t="str">
        <f>CASOPOInvCL!Z505</f>
        <v>SO17145</v>
      </c>
      <c r="G505" s="5" t="str">
        <f>CASOPOInvCL!I505</f>
        <v>Wilka Nuñez</v>
      </c>
      <c r="H505" s="31">
        <f>CASOPOInvCL!U505</f>
        <v>5</v>
      </c>
      <c r="I505" s="31">
        <f>CASOPOInvCL!V505</f>
        <v>2025</v>
      </c>
      <c r="J505" s="5" t="str">
        <f>CASOPOInvCL!AB505</f>
        <v>INV12981</v>
      </c>
      <c r="K505" s="31">
        <f>CASOPOInvCL!W505</f>
        <v>6</v>
      </c>
      <c r="L505" s="31">
        <f>CASOPOInvCL!X505</f>
        <v>2025</v>
      </c>
      <c r="M505" s="31"/>
      <c r="N505" s="5" t="str">
        <f>CASOPOInvCL!AF505</f>
        <v>Barrick Gold - Pueblo Viejo Dominicana Corporation</v>
      </c>
      <c r="O505" s="16" t="str">
        <f>CASOPOInvCL!AG505</f>
        <v>USD</v>
      </c>
      <c r="P505" s="16">
        <f>CASOPOInvCL!AH505</f>
        <v>25856.602644889022</v>
      </c>
      <c r="Q505" s="16">
        <f>CASOPOInvCL!AI505</f>
        <v>18549.75</v>
      </c>
      <c r="R505" s="32" t="str">
        <f>CASOPOInvCL!AU505</f>
        <v>Yes</v>
      </c>
      <c r="S505" s="16">
        <f>CASOPOInvCL!AV505</f>
        <v>0</v>
      </c>
      <c r="T505" s="16">
        <f>CASOPOInvCL!AW505</f>
        <v>18549.75</v>
      </c>
      <c r="Y505" s="29" t="str">
        <f>IFERROR(HLOOKUP(U505,List!$D$2:$H$6,2,FALSE),"")</f>
        <v/>
      </c>
      <c r="Z505" s="29" t="str">
        <f>IFERROR(HLOOKUP(V505,List!$D$2:$H$6,3,FALSE),"")</f>
        <v/>
      </c>
      <c r="AA505" s="29" t="str">
        <f>IFERROR(HLOOKUP(W505,List!$D$2:$H$6,4,FALSE),"")</f>
        <v/>
      </c>
      <c r="AB505" s="29" t="str">
        <f>IFERROR(HLOOKUP(X505,List!$D$2:$H$6,5,FALSE),"")</f>
        <v/>
      </c>
      <c r="AC505" s="12" t="str">
        <f t="shared" si="101"/>
        <v/>
      </c>
      <c r="AD505" s="12" t="str">
        <f t="shared" si="102"/>
        <v/>
      </c>
      <c r="AE505" s="12" t="str">
        <f t="shared" si="103"/>
        <v/>
      </c>
      <c r="AF505" s="12" t="str">
        <f t="shared" si="104"/>
        <v/>
      </c>
      <c r="AG505" t="str">
        <f>VLOOKUP(J505,'Receivable Invoice Detail'!$A$1:F3517,6,FALSE)</f>
        <v>[D-2001408-2507] Impeller Wear Ring, 10JKH/M, 5.12x5.48x0.88, Duplex SS 2507 w/Ion Nitriding</v>
      </c>
      <c r="AM505" s="12" t="str">
        <f t="shared" si="105"/>
        <v/>
      </c>
      <c r="AN505" s="12" t="str">
        <f t="shared" si="106"/>
        <v/>
      </c>
      <c r="AO505" s="12" t="str">
        <f t="shared" si="107"/>
        <v/>
      </c>
      <c r="AP505" s="12" t="str">
        <f t="shared" si="108"/>
        <v/>
      </c>
      <c r="AQ505" s="64">
        <v>2503</v>
      </c>
      <c r="AR505" s="64" t="s">
        <v>5934</v>
      </c>
      <c r="AS505" s="12">
        <f t="shared" si="109"/>
        <v>278.24624999999997</v>
      </c>
      <c r="AT505" s="16" t="str">
        <f t="shared" si="111"/>
        <v>Yes</v>
      </c>
    </row>
    <row r="506" spans="1:46" hidden="1" x14ac:dyDescent="0.25">
      <c r="A506" s="41">
        <f>CASOPOInvCL!T506</f>
        <v>2</v>
      </c>
      <c r="B506" s="76" t="str">
        <f>CASOPOInvCL!Z506</f>
        <v>SO17146</v>
      </c>
      <c r="G506" s="5" t="str">
        <f>CASOPOInvCL!I506</f>
        <v>Wilka Nuñez</v>
      </c>
      <c r="H506" s="31">
        <f>CASOPOInvCL!U506</f>
        <v>5</v>
      </c>
      <c r="I506" s="31">
        <f>CASOPOInvCL!V506</f>
        <v>2025</v>
      </c>
      <c r="J506" s="5" t="str">
        <f>CASOPOInvCL!AB506</f>
        <v>INV12980</v>
      </c>
      <c r="K506" s="31">
        <f>CASOPOInvCL!W506</f>
        <v>6</v>
      </c>
      <c r="L506" s="31">
        <f>CASOPOInvCL!X506</f>
        <v>2025</v>
      </c>
      <c r="M506" s="31"/>
      <c r="N506" s="5" t="str">
        <f>CASOPOInvCL!AF506</f>
        <v>Barrick Gold - Pueblo Viejo Dominicana Corporation</v>
      </c>
      <c r="O506" s="16" t="str">
        <f>CASOPOInvCL!AG506</f>
        <v>USD</v>
      </c>
      <c r="P506" s="16">
        <f>CASOPOInvCL!AH506</f>
        <v>17084.87939524692</v>
      </c>
      <c r="Q506" s="16">
        <f>CASOPOInvCL!AI506</f>
        <v>12256.84</v>
      </c>
      <c r="R506" s="32" t="str">
        <f>CASOPOInvCL!AU506</f>
        <v>Yes</v>
      </c>
      <c r="S506" s="16">
        <f>CASOPOInvCL!AV506</f>
        <v>0</v>
      </c>
      <c r="T506" s="16">
        <f>CASOPOInvCL!AW506</f>
        <v>12256.84</v>
      </c>
      <c r="Y506" s="29" t="str">
        <f>IFERROR(HLOOKUP(U506,List!$D$2:$H$6,2,FALSE),"")</f>
        <v/>
      </c>
      <c r="Z506" s="29" t="str">
        <f>IFERROR(HLOOKUP(V506,List!$D$2:$H$6,3,FALSE),"")</f>
        <v/>
      </c>
      <c r="AA506" s="29" t="str">
        <f>IFERROR(HLOOKUP(W506,List!$D$2:$H$6,4,FALSE),"")</f>
        <v/>
      </c>
      <c r="AB506" s="29" t="str">
        <f>IFERROR(HLOOKUP(X506,List!$D$2:$H$6,5,FALSE),"")</f>
        <v/>
      </c>
      <c r="AC506" s="12" t="str">
        <f t="shared" si="101"/>
        <v/>
      </c>
      <c r="AD506" s="12" t="str">
        <f t="shared" si="102"/>
        <v/>
      </c>
      <c r="AE506" s="12" t="str">
        <f t="shared" si="103"/>
        <v/>
      </c>
      <c r="AF506" s="12" t="str">
        <f t="shared" si="104"/>
        <v/>
      </c>
      <c r="AG506" t="str">
        <f>VLOOKUP(J506,'Receivable Invoice Detail'!$A$1:F3518,6,FALSE)</f>
        <v>[2-170V70B (brown)] O-Ring, 10JKH/M, 07.75IDx.09RD, Viton</v>
      </c>
      <c r="AM506" s="12" t="str">
        <f t="shared" si="105"/>
        <v/>
      </c>
      <c r="AN506" s="12" t="str">
        <f t="shared" si="106"/>
        <v/>
      </c>
      <c r="AO506" s="12" t="str">
        <f t="shared" si="107"/>
        <v/>
      </c>
      <c r="AP506" s="12" t="str">
        <f t="shared" si="108"/>
        <v/>
      </c>
      <c r="AQ506" s="64">
        <v>2503</v>
      </c>
      <c r="AR506" s="64" t="s">
        <v>5934</v>
      </c>
      <c r="AS506" s="12">
        <f t="shared" si="109"/>
        <v>183.8526</v>
      </c>
      <c r="AT506" s="16" t="str">
        <f t="shared" si="111"/>
        <v>Yes</v>
      </c>
    </row>
    <row r="507" spans="1:46" hidden="1" x14ac:dyDescent="0.25">
      <c r="A507" s="41">
        <f>CASOPOInvCL!T507</f>
        <v>2</v>
      </c>
      <c r="B507" s="76" t="str">
        <f>CASOPOInvCL!Z507</f>
        <v>SO17146</v>
      </c>
      <c r="G507" s="5">
        <f>CASOPOInvCL!I507</f>
        <v>0</v>
      </c>
      <c r="H507" s="31">
        <f>CASOPOInvCL!U507</f>
        <v>5</v>
      </c>
      <c r="I507" s="31">
        <f>CASOPOInvCL!V507</f>
        <v>2025</v>
      </c>
      <c r="J507" s="5" t="str">
        <f>CASOPOInvCL!AB507</f>
        <v>INV13068</v>
      </c>
      <c r="K507" s="31">
        <f>CASOPOInvCL!W507</f>
        <v>8</v>
      </c>
      <c r="L507" s="31">
        <f>CASOPOInvCL!X507</f>
        <v>2025</v>
      </c>
      <c r="M507" s="31"/>
      <c r="N507" s="5" t="str">
        <f>CASOPOInvCL!AF507</f>
        <v>Barrick Gold - Pueblo Viejo Dominicana Corporation</v>
      </c>
      <c r="O507" s="16" t="str">
        <f>CASOPOInvCL!AG507</f>
        <v>USD</v>
      </c>
      <c r="P507" s="16">
        <f>CASOPOInvCL!AH507</f>
        <v>0</v>
      </c>
      <c r="Q507" s="16">
        <f>CASOPOInvCL!AI507</f>
        <v>0</v>
      </c>
      <c r="R507" s="32" t="str">
        <f>CASOPOInvCL!AU507</f>
        <v/>
      </c>
      <c r="S507" s="16">
        <f>CASOPOInvCL!AV507</f>
        <v>0</v>
      </c>
      <c r="T507" s="16">
        <f>CASOPOInvCL!AW507</f>
        <v>0</v>
      </c>
      <c r="Y507" s="29" t="str">
        <f>IFERROR(HLOOKUP(U507,List!$D$2:$H$6,2,FALSE),"")</f>
        <v/>
      </c>
      <c r="Z507" s="29" t="str">
        <f>IFERROR(HLOOKUP(V507,List!$D$2:$H$6,3,FALSE),"")</f>
        <v/>
      </c>
      <c r="AA507" s="29" t="str">
        <f>IFERROR(HLOOKUP(W507,List!$D$2:$H$6,4,FALSE),"")</f>
        <v/>
      </c>
      <c r="AB507" s="29" t="str">
        <f>IFERROR(HLOOKUP(X507,List!$D$2:$H$6,5,FALSE),"")</f>
        <v/>
      </c>
      <c r="AC507" s="12" t="str">
        <f t="shared" si="101"/>
        <v/>
      </c>
      <c r="AD507" s="12" t="str">
        <f t="shared" si="102"/>
        <v/>
      </c>
      <c r="AE507" s="12" t="str">
        <f t="shared" si="103"/>
        <v/>
      </c>
      <c r="AF507" s="12" t="str">
        <f t="shared" si="104"/>
        <v/>
      </c>
      <c r="AG507" t="str">
        <f>VLOOKUP(J507,'Receivable Invoice Detail'!$A$1:F3519,6,FALSE)</f>
        <v>[37230] Sleeve Bearing (Bowl), ThorPlas-Blue, HPCW</v>
      </c>
      <c r="AM507" s="12" t="str">
        <f t="shared" si="105"/>
        <v/>
      </c>
      <c r="AN507" s="12" t="str">
        <f t="shared" si="106"/>
        <v/>
      </c>
      <c r="AO507" s="12" t="str">
        <f t="shared" si="107"/>
        <v/>
      </c>
      <c r="AP507" s="12" t="str">
        <f t="shared" si="108"/>
        <v/>
      </c>
      <c r="AQ507" s="64">
        <v>2503</v>
      </c>
      <c r="AR507" s="64" t="s">
        <v>5934</v>
      </c>
      <c r="AS507" s="12">
        <f t="shared" si="109"/>
        <v>0</v>
      </c>
      <c r="AT507" s="16" t="str">
        <f t="shared" si="111"/>
        <v/>
      </c>
    </row>
    <row r="508" spans="1:46" hidden="1" x14ac:dyDescent="0.25">
      <c r="A508" s="41">
        <f>CASOPOInvCL!T508</f>
        <v>1</v>
      </c>
      <c r="B508" t="str">
        <f>CASOPOInvCL!Z508</f>
        <v>SO17148</v>
      </c>
      <c r="D508" t="s">
        <v>5925</v>
      </c>
      <c r="G508" s="5" t="str">
        <f>CASOPOInvCL!I508</f>
        <v>Ian Trottier</v>
      </c>
      <c r="H508" s="31">
        <f>CASOPOInvCL!U508</f>
        <v>5</v>
      </c>
      <c r="I508" s="31">
        <f>CASOPOInvCL!V508</f>
        <v>2025</v>
      </c>
      <c r="J508" s="5" t="str">
        <f>CASOPOInvCL!AB508</f>
        <v>INV13086</v>
      </c>
      <c r="K508" s="31">
        <f>CASOPOInvCL!W508</f>
        <v>7</v>
      </c>
      <c r="L508" s="31">
        <f>CASOPOInvCL!X508</f>
        <v>2025</v>
      </c>
      <c r="M508">
        <v>2503</v>
      </c>
      <c r="N508" s="5" t="str">
        <f>CASOPOInvCL!AF508</f>
        <v>Wajax Limited - Témiscaming</v>
      </c>
      <c r="O508" s="16" t="str">
        <f>CASOPOInvCL!AG508</f>
        <v>CAD</v>
      </c>
      <c r="P508" s="16">
        <f>CASOPOInvCL!AH508</f>
        <v>5859.97</v>
      </c>
      <c r="Q508" s="16">
        <f>CASOPOInvCL!AI508</f>
        <v>4198.0835354412602</v>
      </c>
      <c r="R508" s="32" t="str">
        <f>CASOPOInvCL!AU508</f>
        <v>Yes</v>
      </c>
      <c r="S508" s="16">
        <f>CASOPOInvCL!AV508</f>
        <v>0</v>
      </c>
      <c r="T508" s="16">
        <f>CASOPOInvCL!AW508</f>
        <v>4198.0835354412602</v>
      </c>
      <c r="V508" t="s">
        <v>5800</v>
      </c>
      <c r="Y508" s="29" t="str">
        <f>IFERROR(HLOOKUP(U508,List!$D$2:$H$6,2,FALSE),"")</f>
        <v/>
      </c>
      <c r="Z508" s="29">
        <f>IFERROR(HLOOKUP(V508,List!$D$2:$H$6,3,FALSE),"")</f>
        <v>5.0000000000000001E-3</v>
      </c>
      <c r="AA508" s="29" t="str">
        <f>IFERROR(HLOOKUP(W508,List!$D$2:$H$6,4,FALSE),"")</f>
        <v/>
      </c>
      <c r="AB508" s="29" t="str">
        <f>IFERROR(HLOOKUP(X508,List!$D$2:$H$6,5,FALSE),"")</f>
        <v/>
      </c>
      <c r="AC508" s="12" t="str">
        <f t="shared" si="101"/>
        <v/>
      </c>
      <c r="AD508" s="12">
        <f t="shared" si="102"/>
        <v>20.990417677206302</v>
      </c>
      <c r="AE508" s="12" t="str">
        <f t="shared" si="103"/>
        <v/>
      </c>
      <c r="AF508" s="12" t="str">
        <f t="shared" si="104"/>
        <v/>
      </c>
      <c r="AG508" t="str">
        <f>VLOOKUP(J508,'Receivable Invoice Detail'!$A$1:F3520,6,FALSE)</f>
        <v>[SA-134421-2] Sleeve, Sala 3x3 STHM, 316SS</v>
      </c>
      <c r="AH508" s="12">
        <f t="shared" ref="AH508" si="116">SUM(AC508:AF508)</f>
        <v>20.990417677206302</v>
      </c>
      <c r="AM508" s="12" t="str">
        <f t="shared" si="105"/>
        <v/>
      </c>
      <c r="AN508" s="12">
        <f t="shared" si="106"/>
        <v>20.990417677206302</v>
      </c>
      <c r="AO508" s="12" t="str">
        <f t="shared" si="107"/>
        <v/>
      </c>
      <c r="AP508" s="12" t="str">
        <f t="shared" si="108"/>
        <v/>
      </c>
      <c r="AQ508" s="64">
        <v>2503</v>
      </c>
      <c r="AR508" t="s">
        <v>5932</v>
      </c>
      <c r="AS508" s="12">
        <f t="shared" si="109"/>
        <v>62.9712530316189</v>
      </c>
      <c r="AT508" s="16" t="str">
        <f t="shared" si="111"/>
        <v>Yes</v>
      </c>
    </row>
    <row r="509" spans="1:46" hidden="1" x14ac:dyDescent="0.25">
      <c r="A509" s="41">
        <f>CASOPOInvCL!T509</f>
        <v>1</v>
      </c>
      <c r="B509" t="str">
        <f>CASOPOInvCL!Z509</f>
        <v>SO17149</v>
      </c>
      <c r="E509" t="s">
        <v>5847</v>
      </c>
      <c r="G509" s="5" t="str">
        <f>CASOPOInvCL!I509</f>
        <v>Amanda Qiao</v>
      </c>
      <c r="H509" s="31">
        <f>CASOPOInvCL!U509</f>
        <v>5</v>
      </c>
      <c r="I509" s="31">
        <f>CASOPOInvCL!V509</f>
        <v>2025</v>
      </c>
      <c r="J509" s="5" t="str">
        <f>CASOPOInvCL!AB509</f>
        <v>INV13190</v>
      </c>
      <c r="K509" s="31">
        <f>CASOPOInvCL!W509</f>
        <v>8</v>
      </c>
      <c r="L509" s="31">
        <f>CASOPOInvCL!X509</f>
        <v>2025</v>
      </c>
      <c r="M509">
        <v>2503</v>
      </c>
      <c r="N509" s="5" t="str">
        <f>CASOPOInvCL!AF509</f>
        <v>AGM Inc.</v>
      </c>
      <c r="O509" s="16" t="str">
        <f>CASOPOInvCL!AG509</f>
        <v>USD</v>
      </c>
      <c r="P509" s="16">
        <f>CASOPOInvCL!AH509</f>
        <v>5514.8485938753311</v>
      </c>
      <c r="Q509" s="16">
        <f>CASOPOInvCL!AI509</f>
        <v>3956.4</v>
      </c>
      <c r="R509" s="32" t="str">
        <f>CASOPOInvCL!AU509</f>
        <v>Yes</v>
      </c>
      <c r="S509" s="16">
        <f>CASOPOInvCL!AV509</f>
        <v>0</v>
      </c>
      <c r="T509" s="16">
        <f>CASOPOInvCL!AW509</f>
        <v>3956.4</v>
      </c>
      <c r="W509" t="s">
        <v>5801</v>
      </c>
      <c r="Y509" s="29" t="str">
        <f>IFERROR(HLOOKUP(U509,List!$D$2:$H$6,2,FALSE),"")</f>
        <v/>
      </c>
      <c r="Z509" s="29" t="str">
        <f>IFERROR(HLOOKUP(V509,List!$D$2:$H$6,3,FALSE),"")</f>
        <v/>
      </c>
      <c r="AA509" s="29">
        <f>IFERROR(HLOOKUP(W509,List!$D$2:$H$6,4,FALSE),"")</f>
        <v>0.02</v>
      </c>
      <c r="AB509" s="29" t="str">
        <f>IFERROR(HLOOKUP(X509,List!$D$2:$H$6,5,FALSE),"")</f>
        <v/>
      </c>
      <c r="AC509" s="12" t="str">
        <f t="shared" si="101"/>
        <v/>
      </c>
      <c r="AD509" s="12" t="str">
        <f t="shared" si="102"/>
        <v/>
      </c>
      <c r="AE509" s="12">
        <f t="shared" si="103"/>
        <v>79.128</v>
      </c>
      <c r="AF509" s="12" t="str">
        <f t="shared" si="104"/>
        <v/>
      </c>
      <c r="AG509" t="str">
        <f>VLOOKUP(J509,'Receivable Invoice Detail'!$A$1:F3521,6,FALSE)</f>
        <v>[D-7J] 7JE EPDM Sleeve</v>
      </c>
      <c r="AK509">
        <v>2503</v>
      </c>
      <c r="AM509" s="12" t="str">
        <f t="shared" si="105"/>
        <v/>
      </c>
      <c r="AN509" s="12" t="str">
        <f t="shared" si="106"/>
        <v/>
      </c>
      <c r="AO509" s="12">
        <f t="shared" si="107"/>
        <v>0</v>
      </c>
      <c r="AP509" s="12" t="str">
        <f t="shared" si="108"/>
        <v/>
      </c>
      <c r="AQ509" s="64">
        <v>2503</v>
      </c>
      <c r="AR509" t="s">
        <v>5932</v>
      </c>
      <c r="AS509" s="12">
        <f t="shared" si="109"/>
        <v>59.345999999999997</v>
      </c>
      <c r="AT509" s="16" t="str">
        <f t="shared" si="111"/>
        <v>Yes</v>
      </c>
    </row>
    <row r="510" spans="1:46" hidden="1" x14ac:dyDescent="0.25">
      <c r="A510" s="41">
        <f>CASOPOInvCL!T510</f>
        <v>1</v>
      </c>
      <c r="B510" s="76" t="str">
        <f>CASOPOInvCL!Z510</f>
        <v>SO17151</v>
      </c>
      <c r="G510" s="5" t="str">
        <f>CASOPOInvCL!I510</f>
        <v>Wilka Nuñez</v>
      </c>
      <c r="H510" s="31">
        <f>CASOPOInvCL!U510</f>
        <v>5</v>
      </c>
      <c r="I510" s="31">
        <f>CASOPOInvCL!V510</f>
        <v>2025</v>
      </c>
      <c r="J510" s="5" t="str">
        <f>CASOPOInvCL!AB510</f>
        <v>INV12983</v>
      </c>
      <c r="K510" s="31">
        <f>CASOPOInvCL!W510</f>
        <v>6</v>
      </c>
      <c r="L510" s="31">
        <f>CASOPOInvCL!X510</f>
        <v>2025</v>
      </c>
      <c r="M510" s="31"/>
      <c r="N510" s="5" t="str">
        <f>CASOPOInvCL!AF510</f>
        <v>Barrick Gold - Pueblo Viejo Dominicana Corporation</v>
      </c>
      <c r="O510" s="16" t="str">
        <f>CASOPOInvCL!AG510</f>
        <v>USD</v>
      </c>
      <c r="P510" s="16">
        <f>CASOPOInvCL!AH510</f>
        <v>58023.109828698012</v>
      </c>
      <c r="Q510" s="16">
        <f>CASOPOInvCL!AI510</f>
        <v>41626.28</v>
      </c>
      <c r="R510" s="32" t="str">
        <f>CASOPOInvCL!AU510</f>
        <v>Yes</v>
      </c>
      <c r="S510" s="16">
        <f>CASOPOInvCL!AV510</f>
        <v>0</v>
      </c>
      <c r="T510" s="16">
        <f>CASOPOInvCL!AW510</f>
        <v>41626.28</v>
      </c>
      <c r="Y510" s="29" t="str">
        <f>IFERROR(HLOOKUP(U510,List!$D$2:$H$6,2,FALSE),"")</f>
        <v/>
      </c>
      <c r="Z510" s="29" t="str">
        <f>IFERROR(HLOOKUP(V510,List!$D$2:$H$6,3,FALSE),"")</f>
        <v/>
      </c>
      <c r="AA510" s="29" t="str">
        <f>IFERROR(HLOOKUP(W510,List!$D$2:$H$6,4,FALSE),"")</f>
        <v/>
      </c>
      <c r="AB510" s="29" t="str">
        <f>IFERROR(HLOOKUP(X510,List!$D$2:$H$6,5,FALSE),"")</f>
        <v/>
      </c>
      <c r="AC510" s="12" t="str">
        <f t="shared" si="101"/>
        <v/>
      </c>
      <c r="AD510" s="12" t="str">
        <f t="shared" si="102"/>
        <v/>
      </c>
      <c r="AE510" s="12" t="str">
        <f t="shared" si="103"/>
        <v/>
      </c>
      <c r="AF510" s="12" t="str">
        <f t="shared" si="104"/>
        <v/>
      </c>
      <c r="AG510" t="str">
        <f>VLOOKUP(J510,'Receivable Invoice Detail'!$A$1:F3522,6,FALSE)</f>
        <v>[10JKM, 6-Vane Impeller, CD4] Impeller, 10JKM, Double Keyed, w/Wear Ring</v>
      </c>
      <c r="AM510" s="12" t="str">
        <f t="shared" si="105"/>
        <v/>
      </c>
      <c r="AN510" s="12" t="str">
        <f t="shared" si="106"/>
        <v/>
      </c>
      <c r="AO510" s="12" t="str">
        <f t="shared" si="107"/>
        <v/>
      </c>
      <c r="AP510" s="12" t="str">
        <f t="shared" si="108"/>
        <v/>
      </c>
      <c r="AQ510" s="64">
        <v>2503</v>
      </c>
      <c r="AR510" s="64" t="s">
        <v>5934</v>
      </c>
      <c r="AS510" s="12">
        <f t="shared" si="109"/>
        <v>624.39419999999996</v>
      </c>
      <c r="AT510" s="16" t="str">
        <f t="shared" si="111"/>
        <v>Yes</v>
      </c>
    </row>
    <row r="511" spans="1:46" hidden="1" x14ac:dyDescent="0.25">
      <c r="A511" s="41">
        <f>CASOPOInvCL!T511</f>
        <v>1</v>
      </c>
      <c r="B511" t="str">
        <f>CASOPOInvCL!Z511</f>
        <v>SO17152</v>
      </c>
      <c r="G511" s="5" t="str">
        <f>CASOPOInvCL!I511</f>
        <v>Taylor Cook</v>
      </c>
      <c r="H511" s="31">
        <f>CASOPOInvCL!U511</f>
        <v>5</v>
      </c>
      <c r="I511" s="31">
        <f>CASOPOInvCL!V511</f>
        <v>2025</v>
      </c>
      <c r="J511" s="5" t="str">
        <f>CASOPOInvCL!AB511</f>
        <v>INV12991</v>
      </c>
      <c r="K511" s="31">
        <f>CASOPOInvCL!W511</f>
        <v>6</v>
      </c>
      <c r="L511" s="31">
        <f>CASOPOInvCL!X511</f>
        <v>2025</v>
      </c>
      <c r="M511" s="31"/>
      <c r="N511" s="5" t="str">
        <f>CASOPOInvCL!AF511</f>
        <v>Progressive Sealing Inc.</v>
      </c>
      <c r="O511" s="16" t="str">
        <f>CASOPOInvCL!AG511</f>
        <v>CAD</v>
      </c>
      <c r="P511" s="16">
        <f>CASOPOInvCL!AH511</f>
        <v>2087.66</v>
      </c>
      <c r="Q511" s="16">
        <f>CASOPOInvCL!AI511</f>
        <v>1490.6801644645</v>
      </c>
      <c r="R511" s="32" t="str">
        <f>CASOPOInvCL!AU511</f>
        <v>Yes</v>
      </c>
      <c r="S511" s="16">
        <f>CASOPOInvCL!AV511</f>
        <v>0</v>
      </c>
      <c r="T511" s="16">
        <f>CASOPOInvCL!AW511</f>
        <v>1490.6801644645</v>
      </c>
      <c r="Y511" s="29" t="str">
        <f>IFERROR(HLOOKUP(U511,List!$D$2:$H$6,2,FALSE),"")</f>
        <v/>
      </c>
      <c r="Z511" s="29" t="str">
        <f>IFERROR(HLOOKUP(V511,List!$D$2:$H$6,3,FALSE),"")</f>
        <v/>
      </c>
      <c r="AA511" s="29" t="str">
        <f>IFERROR(HLOOKUP(W511,List!$D$2:$H$6,4,FALSE),"")</f>
        <v/>
      </c>
      <c r="AB511" s="29" t="str">
        <f>IFERROR(HLOOKUP(X511,List!$D$2:$H$6,5,FALSE),"")</f>
        <v/>
      </c>
      <c r="AC511" s="12" t="str">
        <f t="shared" si="101"/>
        <v/>
      </c>
      <c r="AD511" s="12" t="str">
        <f t="shared" si="102"/>
        <v/>
      </c>
      <c r="AE511" s="12" t="str">
        <f t="shared" si="103"/>
        <v/>
      </c>
      <c r="AF511" s="12" t="str">
        <f t="shared" si="104"/>
        <v/>
      </c>
      <c r="AG511" t="str">
        <f>VLOOKUP(J511,'Receivable Invoice Detail'!$A$1:F3523,6,FALSE)</f>
        <v>[AC-98-039-047-501] Impeller (Closed), 5x4-14 SRL-C, Natural Rubber</v>
      </c>
      <c r="AM511" s="12" t="str">
        <f t="shared" si="105"/>
        <v/>
      </c>
      <c r="AN511" s="12" t="str">
        <f t="shared" si="106"/>
        <v/>
      </c>
      <c r="AO511" s="12" t="str">
        <f t="shared" si="107"/>
        <v/>
      </c>
      <c r="AP511" s="12" t="str">
        <f t="shared" si="108"/>
        <v/>
      </c>
      <c r="AQ511" s="12"/>
      <c r="AS511" s="12">
        <f t="shared" si="109"/>
        <v>22.3602024669675</v>
      </c>
      <c r="AT511" s="16" t="str">
        <f t="shared" si="111"/>
        <v>Yes</v>
      </c>
    </row>
    <row r="512" spans="1:46" hidden="1" x14ac:dyDescent="0.25">
      <c r="A512" s="41">
        <f>CASOPOInvCL!T512</f>
        <v>1</v>
      </c>
      <c r="B512" t="str">
        <f>CASOPOInvCL!Z512</f>
        <v>SO17153</v>
      </c>
      <c r="D512" t="s">
        <v>5925</v>
      </c>
      <c r="G512" s="5" t="str">
        <f>CASOPOInvCL!I512</f>
        <v>Ian Trottier</v>
      </c>
      <c r="H512" s="31">
        <f>CASOPOInvCL!U512</f>
        <v>5</v>
      </c>
      <c r="I512" s="31">
        <f>CASOPOInvCL!V512</f>
        <v>2025</v>
      </c>
      <c r="J512" s="5" t="str">
        <f>CASOPOInvCL!AB512</f>
        <v>INV13302</v>
      </c>
      <c r="K512" s="31">
        <f>CASOPOInvCL!W512</f>
        <v>9</v>
      </c>
      <c r="L512" s="31">
        <f>CASOPOInvCL!X512</f>
        <v>2025</v>
      </c>
      <c r="M512">
        <v>2503</v>
      </c>
      <c r="N512" s="5" t="str">
        <f>CASOPOInvCL!AF512</f>
        <v>MAB Equipment Company Inc.</v>
      </c>
      <c r="O512" s="16" t="str">
        <f>CASOPOInvCL!AG512</f>
        <v>USD</v>
      </c>
      <c r="P512" s="16">
        <f>CASOPOInvCL!AH512</f>
        <v>13791.540540793088</v>
      </c>
      <c r="Q512" s="16">
        <f>CASOPOInvCL!AI512</f>
        <v>10043.700000000001</v>
      </c>
      <c r="R512" s="32" t="str">
        <f>CASOPOInvCL!AU512</f>
        <v>Yes</v>
      </c>
      <c r="S512" s="16">
        <f>CASOPOInvCL!AV512</f>
        <v>817</v>
      </c>
      <c r="T512" s="16">
        <f>CASOPOInvCL!AW512</f>
        <v>9226.7000000000007</v>
      </c>
      <c r="V512" t="s">
        <v>5801</v>
      </c>
      <c r="Y512" s="29" t="str">
        <f>IFERROR(HLOOKUP(U512,List!$D$2:$H$6,2,FALSE),"")</f>
        <v/>
      </c>
      <c r="Z512" s="29">
        <f>IFERROR(HLOOKUP(V512,List!$D$2:$H$6,3,FALSE),"")</f>
        <v>0.02</v>
      </c>
      <c r="AA512" s="29" t="str">
        <f>IFERROR(HLOOKUP(W512,List!$D$2:$H$6,4,FALSE),"")</f>
        <v/>
      </c>
      <c r="AB512" s="29" t="str">
        <f>IFERROR(HLOOKUP(X512,List!$D$2:$H$6,5,FALSE),"")</f>
        <v/>
      </c>
      <c r="AC512" s="12" t="str">
        <f t="shared" si="101"/>
        <v/>
      </c>
      <c r="AD512" s="12">
        <f t="shared" si="102"/>
        <v>184.53400000000002</v>
      </c>
      <c r="AE512" s="12" t="str">
        <f t="shared" si="103"/>
        <v/>
      </c>
      <c r="AF512" s="12" t="str">
        <f t="shared" si="104"/>
        <v/>
      </c>
      <c r="AG512" t="str">
        <f>VLOOKUP(J512,'Receivable Invoice Detail'!$A$1:F3524,6,FALSE)</f>
        <v>[W-F6147/U38] Impeller, 8/6 E, F or R-AH, Urethane</v>
      </c>
      <c r="AH512" s="12">
        <f t="shared" ref="AH512" si="117">SUM(AC512:AF512)</f>
        <v>184.53400000000002</v>
      </c>
      <c r="AM512" s="12" t="str">
        <f t="shared" si="105"/>
        <v/>
      </c>
      <c r="AN512" s="12">
        <f t="shared" si="106"/>
        <v>184.53400000000002</v>
      </c>
      <c r="AO512" s="12" t="str">
        <f t="shared" si="107"/>
        <v/>
      </c>
      <c r="AP512" s="12" t="str">
        <f t="shared" si="108"/>
        <v/>
      </c>
      <c r="AQ512" s="64">
        <v>2503</v>
      </c>
      <c r="AR512" t="s">
        <v>5932</v>
      </c>
      <c r="AS512" s="12">
        <f t="shared" si="109"/>
        <v>138.40049999999999</v>
      </c>
      <c r="AT512" s="16" t="str">
        <f t="shared" si="111"/>
        <v>Yes</v>
      </c>
    </row>
    <row r="513" spans="1:46" hidden="1" x14ac:dyDescent="0.25">
      <c r="A513" s="41">
        <f>CASOPOInvCL!T513</f>
        <v>1</v>
      </c>
      <c r="B513" t="str">
        <f>CASOPOInvCL!Z513</f>
        <v>SO17159</v>
      </c>
      <c r="G513" s="5" t="str">
        <f>CASOPOInvCL!I513</f>
        <v>Ian Trottier</v>
      </c>
      <c r="H513" s="31">
        <f>CASOPOInvCL!U513</f>
        <v>5</v>
      </c>
      <c r="I513" s="31">
        <f>CASOPOInvCL!V513</f>
        <v>2025</v>
      </c>
      <c r="J513" s="5" t="str">
        <f>CASOPOInvCL!AB513</f>
        <v>INV13340</v>
      </c>
      <c r="K513" s="31">
        <f>CASOPOInvCL!W513</f>
        <v>11</v>
      </c>
      <c r="L513" s="31">
        <f>CASOPOInvCL!X513</f>
        <v>2025</v>
      </c>
      <c r="M513" s="31"/>
      <c r="N513" s="5" t="str">
        <f>CASOPOInvCL!AF513</f>
        <v>SRM Materials</v>
      </c>
      <c r="O513" s="16" t="str">
        <f>CASOPOInvCL!AG513</f>
        <v>USD</v>
      </c>
      <c r="P513" s="16">
        <f>CASOPOInvCL!AH513</f>
        <v>13922.076002534595</v>
      </c>
      <c r="Q513" s="16">
        <f>CASOPOInvCL!AI513</f>
        <v>10160.64</v>
      </c>
      <c r="R513" s="32" t="str">
        <f>CASOPOInvCL!AU513</f>
        <v>Yes</v>
      </c>
      <c r="S513" s="16">
        <f>CASOPOInvCL!AV513</f>
        <v>643</v>
      </c>
      <c r="T513" s="16">
        <f>CASOPOInvCL!AW513</f>
        <v>9517.64</v>
      </c>
      <c r="Y513" s="29" t="str">
        <f>IFERROR(HLOOKUP(U513,List!$D$2:$H$6,2,FALSE),"")</f>
        <v/>
      </c>
      <c r="Z513" s="29" t="str">
        <f>IFERROR(HLOOKUP(V513,List!$D$2:$H$6,3,FALSE),"")</f>
        <v/>
      </c>
      <c r="AA513" s="29" t="str">
        <f>IFERROR(HLOOKUP(W513,List!$D$2:$H$6,4,FALSE),"")</f>
        <v/>
      </c>
      <c r="AB513" s="29" t="str">
        <f>IFERROR(HLOOKUP(X513,List!$D$2:$H$6,5,FALSE),"")</f>
        <v/>
      </c>
      <c r="AC513" s="12" t="str">
        <f t="shared" si="101"/>
        <v/>
      </c>
      <c r="AD513" s="12" t="str">
        <f t="shared" si="102"/>
        <v/>
      </c>
      <c r="AE513" s="12" t="str">
        <f t="shared" si="103"/>
        <v/>
      </c>
      <c r="AF513" s="12" t="str">
        <f t="shared" si="104"/>
        <v/>
      </c>
      <c r="AG513" t="str">
        <f>VLOOKUP(J513,'Receivable Invoice Detail'!$A$1:F3525,6,FALSE)</f>
        <v>[5530] Impeller (Closed), Ahlstrom APT 53-8, CD4MCu</v>
      </c>
      <c r="AM513" s="12" t="str">
        <f t="shared" si="105"/>
        <v/>
      </c>
      <c r="AN513" s="12" t="str">
        <f t="shared" si="106"/>
        <v/>
      </c>
      <c r="AO513" s="12" t="str">
        <f t="shared" si="107"/>
        <v/>
      </c>
      <c r="AP513" s="12" t="str">
        <f t="shared" si="108"/>
        <v/>
      </c>
      <c r="AQ513" s="12"/>
      <c r="AS513" s="12">
        <f t="shared" si="109"/>
        <v>142.76459999999997</v>
      </c>
      <c r="AT513" s="16" t="str">
        <f t="shared" si="111"/>
        <v>Yes</v>
      </c>
    </row>
    <row r="514" spans="1:46" hidden="1" x14ac:dyDescent="0.25">
      <c r="A514" s="41">
        <f>CASOPOInvCL!T514</f>
        <v>1</v>
      </c>
      <c r="B514" t="str">
        <f>CASOPOInvCL!Z514</f>
        <v>SO17163</v>
      </c>
      <c r="G514" s="5" t="str">
        <f>CASOPOInvCL!I514</f>
        <v>Ian Trottier</v>
      </c>
      <c r="H514" s="31">
        <f>CASOPOInvCL!U514</f>
        <v>5</v>
      </c>
      <c r="I514" s="31">
        <f>CASOPOInvCL!V514</f>
        <v>2025</v>
      </c>
      <c r="J514" s="5" t="str">
        <f>CASOPOInvCL!AB514</f>
        <v>INV13440</v>
      </c>
      <c r="K514" s="31">
        <f>CASOPOInvCL!W514</f>
        <v>10</v>
      </c>
      <c r="L514" s="31">
        <f>CASOPOInvCL!X514</f>
        <v>2025</v>
      </c>
      <c r="M514" s="31"/>
      <c r="N514" s="5" t="str">
        <f>CASOPOInvCL!AF514</f>
        <v>Motion Industries Inc. (U.S.) - Charleston</v>
      </c>
      <c r="O514" s="16" t="str">
        <f>CASOPOInvCL!AG514</f>
        <v>USD</v>
      </c>
      <c r="P514" s="16">
        <f>CASOPOInvCL!AH514</f>
        <v>4966.9068883080045</v>
      </c>
      <c r="Q514" s="16">
        <f>CASOPOInvCL!AI514</f>
        <v>3654.99</v>
      </c>
      <c r="R514" s="32" t="str">
        <f>CASOPOInvCL!AU514</f>
        <v>Yes</v>
      </c>
      <c r="S514" s="16">
        <f>CASOPOInvCL!AV514</f>
        <v>0</v>
      </c>
      <c r="T514" s="16">
        <f>CASOPOInvCL!AW514</f>
        <v>3654.99</v>
      </c>
      <c r="Y514" s="29" t="str">
        <f>IFERROR(HLOOKUP(U514,List!$D$2:$H$6,2,FALSE),"")</f>
        <v/>
      </c>
      <c r="Z514" s="29" t="str">
        <f>IFERROR(HLOOKUP(V514,List!$D$2:$H$6,3,FALSE),"")</f>
        <v/>
      </c>
      <c r="AA514" s="29" t="str">
        <f>IFERROR(HLOOKUP(W514,List!$D$2:$H$6,4,FALSE),"")</f>
        <v/>
      </c>
      <c r="AB514" s="29" t="str">
        <f>IFERROR(HLOOKUP(X514,List!$D$2:$H$6,5,FALSE),"")</f>
        <v/>
      </c>
      <c r="AC514" s="12" t="str">
        <f t="shared" si="101"/>
        <v/>
      </c>
      <c r="AD514" s="12" t="str">
        <f t="shared" si="102"/>
        <v/>
      </c>
      <c r="AE514" s="12" t="str">
        <f t="shared" si="103"/>
        <v/>
      </c>
      <c r="AF514" s="12" t="str">
        <f t="shared" si="104"/>
        <v/>
      </c>
      <c r="AG514" t="str">
        <f>VLOOKUP(J514,'Receivable Invoice Detail'!$A$1:F3526,6,FALSE)</f>
        <v>[GA-22702] Impeller, G-Series 3.5" VSP, High Chrome</v>
      </c>
      <c r="AM514" s="12" t="str">
        <f t="shared" si="105"/>
        <v/>
      </c>
      <c r="AN514" s="12" t="str">
        <f t="shared" si="106"/>
        <v/>
      </c>
      <c r="AO514" s="12" t="str">
        <f t="shared" si="107"/>
        <v/>
      </c>
      <c r="AP514" s="12" t="str">
        <f t="shared" si="108"/>
        <v/>
      </c>
      <c r="AQ514" s="12"/>
      <c r="AS514" s="12">
        <f t="shared" si="109"/>
        <v>54.824849999999998</v>
      </c>
      <c r="AT514" s="16" t="str">
        <f t="shared" si="111"/>
        <v>Yes</v>
      </c>
    </row>
    <row r="515" spans="1:46" hidden="1" x14ac:dyDescent="0.25">
      <c r="A515" s="41">
        <f>CASOPOInvCL!T515</f>
        <v>1</v>
      </c>
      <c r="B515" t="str">
        <f>CASOPOInvCL!Z515</f>
        <v>SO17164</v>
      </c>
      <c r="D515" t="s">
        <v>5925</v>
      </c>
      <c r="G515" s="5" t="str">
        <f>CASOPOInvCL!I515</f>
        <v>Ian Trottier</v>
      </c>
      <c r="H515" s="31">
        <f>CASOPOInvCL!U515</f>
        <v>5</v>
      </c>
      <c r="I515" s="31">
        <f>CASOPOInvCL!V515</f>
        <v>2025</v>
      </c>
      <c r="J515" s="5" t="str">
        <f>CASOPOInvCL!AB515</f>
        <v>INV12997</v>
      </c>
      <c r="K515" s="31">
        <f>CASOPOInvCL!W515</f>
        <v>7</v>
      </c>
      <c r="L515" s="31">
        <f>CASOPOInvCL!X515</f>
        <v>2025</v>
      </c>
      <c r="M515">
        <v>2503</v>
      </c>
      <c r="N515" s="5" t="str">
        <f>CASOPOInvCL!AF515</f>
        <v>Windsor Pump Company, Ltd.</v>
      </c>
      <c r="O515" s="16" t="str">
        <f>CASOPOInvCL!AG515</f>
        <v>CAD</v>
      </c>
      <c r="P515" s="16">
        <f>CASOPOInvCL!AH515</f>
        <v>2749.33</v>
      </c>
      <c r="Q515" s="16">
        <f>CASOPOInvCL!AI515</f>
        <v>1965.2225376083354</v>
      </c>
      <c r="R515" s="32" t="str">
        <f>CASOPOInvCL!AU515</f>
        <v>Yes</v>
      </c>
      <c r="S515" s="16">
        <f>CASOPOInvCL!AV515</f>
        <v>0</v>
      </c>
      <c r="T515" s="16">
        <f>CASOPOInvCL!AW515</f>
        <v>1965.2225376083354</v>
      </c>
      <c r="V515" t="s">
        <v>5800</v>
      </c>
      <c r="Y515" s="29" t="str">
        <f>IFERROR(HLOOKUP(U515,List!$D$2:$H$6,2,FALSE),"")</f>
        <v/>
      </c>
      <c r="Z515" s="29">
        <f>IFERROR(HLOOKUP(V515,List!$D$2:$H$6,3,FALSE),"")</f>
        <v>5.0000000000000001E-3</v>
      </c>
      <c r="AA515" s="29" t="str">
        <f>IFERROR(HLOOKUP(W515,List!$D$2:$H$6,4,FALSE),"")</f>
        <v/>
      </c>
      <c r="AB515" s="29" t="str">
        <f>IFERROR(HLOOKUP(X515,List!$D$2:$H$6,5,FALSE),"")</f>
        <v/>
      </c>
      <c r="AC515" s="12" t="str">
        <f t="shared" ref="AC515:AC578" si="118">IFERROR(Y515*$T515,"")</f>
        <v/>
      </c>
      <c r="AD515" s="12">
        <f t="shared" ref="AD515:AD578" si="119">IFERROR(Z515*$T515,"")</f>
        <v>9.8261126880416771</v>
      </c>
      <c r="AE515" s="12" t="str">
        <f t="shared" ref="AE515:AE578" si="120">IFERROR(AA515*$T515,"")</f>
        <v/>
      </c>
      <c r="AF515" s="12" t="str">
        <f t="shared" ref="AF515:AF578" si="121">IFERROR(AB515*$T515,"")</f>
        <v/>
      </c>
      <c r="AG515" t="str">
        <f>VLOOKUP(J515,'Receivable Invoice Detail'!$A$1:F3527,6,FALSE)</f>
        <v>[AC-98-231-079-501] Gland Side Liner, 5x5-14 SRL, Natural Rubber</v>
      </c>
      <c r="AH515" s="12">
        <f t="shared" ref="AH515" si="122">SUM(AC515:AF515)</f>
        <v>9.8261126880416771</v>
      </c>
      <c r="AM515" s="12" t="str">
        <f t="shared" ref="AM515:AM578" si="123">IF(AI515="",AC515,0)</f>
        <v/>
      </c>
      <c r="AN515" s="12">
        <f t="shared" ref="AN515:AN578" si="124">IF(AJ515="",AD515,0)</f>
        <v>9.8261126880416771</v>
      </c>
      <c r="AO515" s="12" t="str">
        <f t="shared" ref="AO515:AO578" si="125">IF(AK515="",AE515,0)</f>
        <v/>
      </c>
      <c r="AP515" s="12" t="str">
        <f t="shared" ref="AP515:AP578" si="126">IF(AL515="",AF515,0)</f>
        <v/>
      </c>
      <c r="AQ515" s="64">
        <v>2503</v>
      </c>
      <c r="AR515" t="s">
        <v>5932</v>
      </c>
      <c r="AS515" s="12">
        <f t="shared" ref="AS515:AS540" si="127">T515*1.5%</f>
        <v>29.47833806412503</v>
      </c>
      <c r="AT515" s="16" t="str">
        <f t="shared" si="111"/>
        <v>Yes</v>
      </c>
    </row>
    <row r="516" spans="1:46" hidden="1" x14ac:dyDescent="0.25">
      <c r="A516" s="41">
        <f>CASOPOInvCL!T516</f>
        <v>1</v>
      </c>
      <c r="B516" t="str">
        <f>CASOPOInvCL!Z516</f>
        <v>SO17165</v>
      </c>
      <c r="G516" s="5" t="str">
        <f>CASOPOInvCL!I516</f>
        <v>Yannett Yeomans</v>
      </c>
      <c r="H516" s="31">
        <f>CASOPOInvCL!U516</f>
        <v>5</v>
      </c>
      <c r="I516" s="31">
        <f>CASOPOInvCL!V516</f>
        <v>2025</v>
      </c>
      <c r="J516" s="5" t="str">
        <f>CASOPOInvCL!AB516</f>
        <v>INV13347</v>
      </c>
      <c r="K516" s="31" t="str">
        <f>CASOPOInvCL!W516</f>
        <v/>
      </c>
      <c r="L516" s="31" t="str">
        <f>CASOPOInvCL!X516</f>
        <v/>
      </c>
      <c r="M516" s="31"/>
      <c r="N516" s="5" t="str">
        <f>CASOPOInvCL!AF516</f>
        <v>Dynapro Pumps México S de RL de CV</v>
      </c>
      <c r="O516" s="16" t="str">
        <f>CASOPOInvCL!AG516</f>
        <v>USD</v>
      </c>
      <c r="P516" s="16">
        <f>CASOPOInvCL!AH516</f>
        <v>17040.977324016007</v>
      </c>
      <c r="Q516" s="16">
        <f>CASOPOInvCL!AI516</f>
        <v>12168</v>
      </c>
      <c r="R516" s="32" t="str">
        <f>CASOPOInvCL!AU516</f>
        <v/>
      </c>
      <c r="S516" s="16">
        <f>CASOPOInvCL!AV516</f>
        <v>0</v>
      </c>
      <c r="T516" s="16">
        <f>CASOPOInvCL!AW516</f>
        <v>0</v>
      </c>
      <c r="Y516" s="29" t="str">
        <f>IFERROR(HLOOKUP(U516,List!$D$2:$H$6,2,FALSE),"")</f>
        <v/>
      </c>
      <c r="Z516" s="29" t="str">
        <f>IFERROR(HLOOKUP(V516,List!$D$2:$H$6,3,FALSE),"")</f>
        <v/>
      </c>
      <c r="AA516" s="29" t="str">
        <f>IFERROR(HLOOKUP(W516,List!$D$2:$H$6,4,FALSE),"")</f>
        <v/>
      </c>
      <c r="AB516" s="29" t="str">
        <f>IFERROR(HLOOKUP(X516,List!$D$2:$H$6,5,FALSE),"")</f>
        <v/>
      </c>
      <c r="AC516" s="12" t="str">
        <f t="shared" si="118"/>
        <v/>
      </c>
      <c r="AD516" s="12" t="str">
        <f t="shared" si="119"/>
        <v/>
      </c>
      <c r="AE516" s="12" t="str">
        <f t="shared" si="120"/>
        <v/>
      </c>
      <c r="AF516" s="12" t="str">
        <f t="shared" si="121"/>
        <v/>
      </c>
      <c r="AG516" t="str">
        <f>VLOOKUP(J516,'Receivable Invoice Detail'!$A$1:F3528,6,FALSE)</f>
        <v>[CB38-83-185-105] Pump Coupling, XS500-710, Cast Iron</v>
      </c>
      <c r="AM516" s="12" t="str">
        <f t="shared" si="123"/>
        <v/>
      </c>
      <c r="AN516" s="12" t="str">
        <f t="shared" si="124"/>
        <v/>
      </c>
      <c r="AO516" s="12" t="str">
        <f t="shared" si="125"/>
        <v/>
      </c>
      <c r="AP516" s="12" t="str">
        <f t="shared" si="126"/>
        <v/>
      </c>
      <c r="AQ516" s="12"/>
      <c r="AR516" s="16" t="s">
        <v>5940</v>
      </c>
      <c r="AS516" s="12">
        <f t="shared" si="127"/>
        <v>0</v>
      </c>
      <c r="AT516" s="16" t="s">
        <v>5940</v>
      </c>
    </row>
    <row r="517" spans="1:46" hidden="1" x14ac:dyDescent="0.25">
      <c r="A517" s="41">
        <f>CASOPOInvCL!T517</f>
        <v>2</v>
      </c>
      <c r="B517" t="str">
        <f>CASOPOInvCL!Z517</f>
        <v>SO17169</v>
      </c>
      <c r="G517" s="5" t="str">
        <f>CASOPOInvCL!I517</f>
        <v>Ian Trottier</v>
      </c>
      <c r="H517" s="31">
        <f>CASOPOInvCL!U517</f>
        <v>5</v>
      </c>
      <c r="I517" s="31">
        <f>CASOPOInvCL!V517</f>
        <v>2025</v>
      </c>
      <c r="J517" s="5" t="str">
        <f>CASOPOInvCL!AB517</f>
        <v>INV13445</v>
      </c>
      <c r="K517" s="31" t="str">
        <f>CASOPOInvCL!W517</f>
        <v/>
      </c>
      <c r="L517" s="31" t="str">
        <f>CASOPOInvCL!X517</f>
        <v/>
      </c>
      <c r="M517" s="31"/>
      <c r="N517" s="5" t="str">
        <f>CASOPOInvCL!AF517</f>
        <v>DRN Industriel</v>
      </c>
      <c r="O517" s="16" t="str">
        <f>CASOPOInvCL!AG517</f>
        <v>CAD</v>
      </c>
      <c r="P517" s="16">
        <f>CASOPOInvCL!AH517</f>
        <v>4342.6000000000004</v>
      </c>
      <c r="Q517" s="16">
        <f>CASOPOInvCL!AI517</f>
        <v>3142.0298516540806</v>
      </c>
      <c r="R517" s="32" t="str">
        <f>CASOPOInvCL!AU517</f>
        <v/>
      </c>
      <c r="S517" s="16">
        <f>CASOPOInvCL!AV517</f>
        <v>0</v>
      </c>
      <c r="T517" s="16">
        <f>CASOPOInvCL!AW517</f>
        <v>0</v>
      </c>
      <c r="Y517" s="29" t="str">
        <f>IFERROR(HLOOKUP(U517,List!$D$2:$H$6,2,FALSE),"")</f>
        <v/>
      </c>
      <c r="Z517" s="29" t="str">
        <f>IFERROR(HLOOKUP(V517,List!$D$2:$H$6,3,FALSE),"")</f>
        <v/>
      </c>
      <c r="AA517" s="29" t="str">
        <f>IFERROR(HLOOKUP(W517,List!$D$2:$H$6,4,FALSE),"")</f>
        <v/>
      </c>
      <c r="AB517" s="29" t="str">
        <f>IFERROR(HLOOKUP(X517,List!$D$2:$H$6,5,FALSE),"")</f>
        <v/>
      </c>
      <c r="AC517" s="12" t="str">
        <f t="shared" si="118"/>
        <v/>
      </c>
      <c r="AD517" s="12" t="str">
        <f t="shared" si="119"/>
        <v/>
      </c>
      <c r="AE517" s="12" t="str">
        <f t="shared" si="120"/>
        <v/>
      </c>
      <c r="AF517" s="12" t="str">
        <f t="shared" si="121"/>
        <v/>
      </c>
      <c r="AG517" t="e">
        <f>VLOOKUP(J517,'Receivable Invoice Detail'!$A$1:F3529,6,FALSE)</f>
        <v>#N/A</v>
      </c>
      <c r="AM517" s="12" t="str">
        <f t="shared" si="123"/>
        <v/>
      </c>
      <c r="AN517" s="12" t="str">
        <f t="shared" si="124"/>
        <v/>
      </c>
      <c r="AO517" s="12" t="str">
        <f t="shared" si="125"/>
        <v/>
      </c>
      <c r="AP517" s="12" t="str">
        <f t="shared" si="126"/>
        <v/>
      </c>
      <c r="AQ517" s="12"/>
      <c r="AS517" s="12">
        <f t="shared" si="127"/>
        <v>0</v>
      </c>
      <c r="AT517" s="16" t="str">
        <f t="shared" si="111"/>
        <v/>
      </c>
    </row>
    <row r="518" spans="1:46" hidden="1" x14ac:dyDescent="0.25">
      <c r="A518" s="41">
        <f>CASOPOInvCL!T518</f>
        <v>2</v>
      </c>
      <c r="B518" t="str">
        <f>CASOPOInvCL!Z518</f>
        <v>SO17169</v>
      </c>
      <c r="G518" s="5">
        <f>CASOPOInvCL!I518</f>
        <v>0</v>
      </c>
      <c r="H518" s="31">
        <f>CASOPOInvCL!U518</f>
        <v>5</v>
      </c>
      <c r="I518" s="31">
        <f>CASOPOInvCL!V518</f>
        <v>2025</v>
      </c>
      <c r="J518" s="5" t="str">
        <f>CASOPOInvCL!AB518</f>
        <v>INV13213</v>
      </c>
      <c r="K518" s="31">
        <f>CASOPOInvCL!W518</f>
        <v>9</v>
      </c>
      <c r="L518" s="31">
        <f>CASOPOInvCL!X518</f>
        <v>2025</v>
      </c>
      <c r="M518" s="31"/>
      <c r="N518" s="5" t="str">
        <f>CASOPOInvCL!AF518</f>
        <v>DRN Industriel</v>
      </c>
      <c r="O518" s="16" t="str">
        <f>CASOPOInvCL!AG518</f>
        <v>CAD</v>
      </c>
      <c r="P518" s="16">
        <f>CASOPOInvCL!AH518</f>
        <v>0</v>
      </c>
      <c r="Q518" s="16">
        <f>CASOPOInvCL!AI518</f>
        <v>0</v>
      </c>
      <c r="R518" s="32" t="str">
        <f>CASOPOInvCL!AU518</f>
        <v/>
      </c>
      <c r="S518" s="16">
        <f>CASOPOInvCL!AV518</f>
        <v>0</v>
      </c>
      <c r="T518" s="16">
        <f>CASOPOInvCL!AW518</f>
        <v>0</v>
      </c>
      <c r="Y518" s="29" t="str">
        <f>IFERROR(HLOOKUP(U518,List!$D$2:$H$6,2,FALSE),"")</f>
        <v/>
      </c>
      <c r="Z518" s="29" t="str">
        <f>IFERROR(HLOOKUP(V518,List!$D$2:$H$6,3,FALSE),"")</f>
        <v/>
      </c>
      <c r="AA518" s="29" t="str">
        <f>IFERROR(HLOOKUP(W518,List!$D$2:$H$6,4,FALSE),"")</f>
        <v/>
      </c>
      <c r="AB518" s="29" t="str">
        <f>IFERROR(HLOOKUP(X518,List!$D$2:$H$6,5,FALSE),"")</f>
        <v/>
      </c>
      <c r="AC518" s="12" t="str">
        <f t="shared" si="118"/>
        <v/>
      </c>
      <c r="AD518" s="12" t="str">
        <f t="shared" si="119"/>
        <v/>
      </c>
      <c r="AE518" s="12" t="str">
        <f t="shared" si="120"/>
        <v/>
      </c>
      <c r="AF518" s="12" t="str">
        <f t="shared" si="121"/>
        <v/>
      </c>
      <c r="AG518" t="str">
        <f>VLOOKUP(J518,'Receivable Invoice Detail'!$A$1:F3530,6,FALSE)</f>
        <v>[GA-40DELSLV] Valve (Sleeve), 4" G-Series VSP, Delta Series, Natural Rubber</v>
      </c>
      <c r="AM518" s="12" t="str">
        <f t="shared" si="123"/>
        <v/>
      </c>
      <c r="AN518" s="12" t="str">
        <f t="shared" si="124"/>
        <v/>
      </c>
      <c r="AO518" s="12" t="str">
        <f t="shared" si="125"/>
        <v/>
      </c>
      <c r="AP518" s="12" t="str">
        <f t="shared" si="126"/>
        <v/>
      </c>
      <c r="AQ518" s="12"/>
      <c r="AS518" s="12">
        <f t="shared" si="127"/>
        <v>0</v>
      </c>
      <c r="AT518" s="16" t="str">
        <f t="shared" si="111"/>
        <v/>
      </c>
    </row>
    <row r="519" spans="1:46" hidden="1" x14ac:dyDescent="0.25">
      <c r="A519" s="41">
        <f>CASOPOInvCL!T519</f>
        <v>1</v>
      </c>
      <c r="B519" t="str">
        <f>CASOPOInvCL!Z519</f>
        <v>SO17170</v>
      </c>
      <c r="D519" t="s">
        <v>5925</v>
      </c>
      <c r="G519" s="5" t="str">
        <f>CASOPOInvCL!I519</f>
        <v>Ian Trottier</v>
      </c>
      <c r="H519" s="31">
        <f>CASOPOInvCL!U519</f>
        <v>5</v>
      </c>
      <c r="I519" s="31">
        <f>CASOPOInvCL!V519</f>
        <v>2025</v>
      </c>
      <c r="J519" s="5" t="str">
        <f>CASOPOInvCL!AB519</f>
        <v>INV12990</v>
      </c>
      <c r="K519" s="31">
        <f>CASOPOInvCL!W519</f>
        <v>7</v>
      </c>
      <c r="L519" s="31">
        <f>CASOPOInvCL!X519</f>
        <v>2025</v>
      </c>
      <c r="M519">
        <v>2503</v>
      </c>
      <c r="N519" s="5" t="str">
        <f>CASOPOInvCL!AF519</f>
        <v>Hyperflo</v>
      </c>
      <c r="O519" s="16" t="str">
        <f>CASOPOInvCL!AG519</f>
        <v>CAD</v>
      </c>
      <c r="P519" s="16">
        <f>CASOPOInvCL!AH519</f>
        <v>2113.38</v>
      </c>
      <c r="Q519" s="16">
        <f>CASOPOInvCL!AI519</f>
        <v>1514.0258025435026</v>
      </c>
      <c r="R519" s="32" t="str">
        <f>CASOPOInvCL!AU519</f>
        <v>Yes</v>
      </c>
      <c r="S519" s="16">
        <f>CASOPOInvCL!AV519</f>
        <v>0</v>
      </c>
      <c r="T519" s="16">
        <f>CASOPOInvCL!AW519</f>
        <v>1514.0258025435026</v>
      </c>
      <c r="V519" t="s">
        <v>5800</v>
      </c>
      <c r="Y519" s="29" t="str">
        <f>IFERROR(HLOOKUP(U519,List!$D$2:$H$6,2,FALSE),"")</f>
        <v/>
      </c>
      <c r="Z519" s="29">
        <f>IFERROR(HLOOKUP(V519,List!$D$2:$H$6,3,FALSE),"")</f>
        <v>5.0000000000000001E-3</v>
      </c>
      <c r="AA519" s="29" t="str">
        <f>IFERROR(HLOOKUP(W519,List!$D$2:$H$6,4,FALSE),"")</f>
        <v/>
      </c>
      <c r="AB519" s="29" t="str">
        <f>IFERROR(HLOOKUP(X519,List!$D$2:$H$6,5,FALSE),"")</f>
        <v/>
      </c>
      <c r="AC519" s="12" t="str">
        <f t="shared" si="118"/>
        <v/>
      </c>
      <c r="AD519" s="12">
        <f t="shared" si="119"/>
        <v>7.5701290127175129</v>
      </c>
      <c r="AE519" s="12" t="str">
        <f t="shared" si="120"/>
        <v/>
      </c>
      <c r="AF519" s="12" t="str">
        <f t="shared" si="121"/>
        <v/>
      </c>
      <c r="AG519" t="str">
        <f>VLOOKUP(J519,'Receivable Invoice Detail'!$A$1:F3531,6,FALSE)</f>
        <v>[AC-98-431-743-501] Shaft Assembly, 10x8-21 SRL-C, 1045 Steel</v>
      </c>
      <c r="AH519" s="12">
        <f t="shared" ref="AH519" si="128">SUM(AC519:AF519)</f>
        <v>7.5701290127175129</v>
      </c>
      <c r="AM519" s="12" t="str">
        <f t="shared" si="123"/>
        <v/>
      </c>
      <c r="AN519" s="12">
        <f t="shared" si="124"/>
        <v>7.5701290127175129</v>
      </c>
      <c r="AO519" s="12" t="str">
        <f t="shared" si="125"/>
        <v/>
      </c>
      <c r="AP519" s="12" t="str">
        <f t="shared" si="126"/>
        <v/>
      </c>
      <c r="AQ519" s="64">
        <v>2503</v>
      </c>
      <c r="AR519" t="s">
        <v>5932</v>
      </c>
      <c r="AS519" s="12">
        <f t="shared" si="127"/>
        <v>22.710387038152536</v>
      </c>
      <c r="AT519" s="16" t="str">
        <f t="shared" si="111"/>
        <v>Yes</v>
      </c>
    </row>
    <row r="520" spans="1:46" hidden="1" x14ac:dyDescent="0.25">
      <c r="A520" s="41">
        <f>CASOPOInvCL!T520</f>
        <v>2</v>
      </c>
      <c r="B520" t="str">
        <f>CASOPOInvCL!Z520</f>
        <v>SO17172</v>
      </c>
      <c r="D520" t="s">
        <v>5938</v>
      </c>
      <c r="G520" s="5" t="str">
        <f>CASOPOInvCL!I520</f>
        <v>Marlen Martinez</v>
      </c>
      <c r="H520" s="31">
        <f>CASOPOInvCL!U520</f>
        <v>5</v>
      </c>
      <c r="I520" s="31">
        <f>CASOPOInvCL!V520</f>
        <v>2025</v>
      </c>
      <c r="J520" s="5" t="str">
        <f>CASOPOInvCL!AB520</f>
        <v>INV13305</v>
      </c>
      <c r="K520" s="31">
        <f>CASOPOInvCL!W520</f>
        <v>11</v>
      </c>
      <c r="L520" s="31">
        <f>CASOPOInvCL!X520</f>
        <v>2025</v>
      </c>
      <c r="M520">
        <v>2504</v>
      </c>
      <c r="N520" s="5" t="str">
        <f>CASOPOInvCL!AF520</f>
        <v>Covia Corp - Camden</v>
      </c>
      <c r="O520" s="16" t="str">
        <f>CASOPOInvCL!AG520</f>
        <v>USD</v>
      </c>
      <c r="P520" s="16">
        <f>CASOPOInvCL!AH520</f>
        <v>14073.231182717327</v>
      </c>
      <c r="Q520" s="16">
        <f>CASOPOInvCL!AI520</f>
        <v>10048.9</v>
      </c>
      <c r="R520" s="32" t="str">
        <f>CASOPOInvCL!AU520</f>
        <v>Yes</v>
      </c>
      <c r="S520" s="16">
        <f>CASOPOInvCL!AV520</f>
        <v>540.91999999999996</v>
      </c>
      <c r="T520" s="16">
        <f>CASOPOInvCL!AW520</f>
        <v>9507.98</v>
      </c>
      <c r="Y520" s="29" t="str">
        <f>IFERROR(HLOOKUP(U520,List!$D$2:$H$6,2,FALSE),"")</f>
        <v/>
      </c>
      <c r="Z520" s="29" t="str">
        <f>IFERROR(HLOOKUP(V520,List!$D$2:$H$6,3,FALSE),"")</f>
        <v/>
      </c>
      <c r="AA520" s="29" t="str">
        <f>IFERROR(HLOOKUP(W520,List!$D$2:$H$6,4,FALSE),"")</f>
        <v/>
      </c>
      <c r="AB520" s="29" t="str">
        <f>IFERROR(HLOOKUP(X520,List!$D$2:$H$6,5,FALSE),"")</f>
        <v/>
      </c>
      <c r="AC520" s="12" t="str">
        <f t="shared" si="118"/>
        <v/>
      </c>
      <c r="AD520" s="12" t="str">
        <f t="shared" si="119"/>
        <v/>
      </c>
      <c r="AE520" s="12" t="str">
        <f t="shared" si="120"/>
        <v/>
      </c>
      <c r="AF520" s="12" t="str">
        <f t="shared" si="121"/>
        <v/>
      </c>
      <c r="AG520" t="str">
        <f>VLOOKUP(J520,'Receivable Invoice Detail'!$A$1:F3532,6,FALSE)</f>
        <v>[W-EAM029/R55] Expeller Ring, 8/6 E or R-AH, Natural Rubber</v>
      </c>
      <c r="AM520" s="12" t="str">
        <f t="shared" si="123"/>
        <v/>
      </c>
      <c r="AN520" s="12" t="str">
        <f t="shared" si="124"/>
        <v/>
      </c>
      <c r="AO520" s="12" t="str">
        <f t="shared" si="125"/>
        <v/>
      </c>
      <c r="AP520" s="12" t="str">
        <f t="shared" si="126"/>
        <v/>
      </c>
      <c r="AQ520" s="64">
        <f t="shared" ref="AQ520:AQ521" si="129">M520</f>
        <v>2504</v>
      </c>
      <c r="AR520" t="s">
        <v>5939</v>
      </c>
      <c r="AS520" s="12">
        <f t="shared" si="127"/>
        <v>142.61969999999999</v>
      </c>
      <c r="AT520" s="16" t="str">
        <f t="shared" si="111"/>
        <v>Yes</v>
      </c>
    </row>
    <row r="521" spans="1:46" hidden="1" x14ac:dyDescent="0.25">
      <c r="A521" s="41">
        <f>CASOPOInvCL!T521</f>
        <v>2</v>
      </c>
      <c r="B521" t="str">
        <f>CASOPOInvCL!Z521</f>
        <v>SO17172</v>
      </c>
      <c r="G521" s="5">
        <f>CASOPOInvCL!I521</f>
        <v>0</v>
      </c>
      <c r="H521" s="31">
        <f>CASOPOInvCL!U521</f>
        <v>5</v>
      </c>
      <c r="I521" s="31">
        <f>CASOPOInvCL!V521</f>
        <v>2025</v>
      </c>
      <c r="J521" s="5" t="str">
        <f>CASOPOInvCL!AB521</f>
        <v>INV13037</v>
      </c>
      <c r="K521" s="31">
        <f>CASOPOInvCL!W521</f>
        <v>9</v>
      </c>
      <c r="L521" s="31">
        <f>CASOPOInvCL!X521</f>
        <v>2025</v>
      </c>
      <c r="M521" s="31"/>
      <c r="N521" s="5" t="str">
        <f>CASOPOInvCL!AF521</f>
        <v>Covia Corp - Camden</v>
      </c>
      <c r="O521" s="16" t="str">
        <f>CASOPOInvCL!AG521</f>
        <v>USD</v>
      </c>
      <c r="P521" s="16">
        <f>CASOPOInvCL!AH521</f>
        <v>0</v>
      </c>
      <c r="Q521" s="16">
        <f>CASOPOInvCL!AI521</f>
        <v>0</v>
      </c>
      <c r="R521" s="32" t="str">
        <f>CASOPOInvCL!AU521</f>
        <v/>
      </c>
      <c r="S521" s="16">
        <f>CASOPOInvCL!AV521</f>
        <v>519.94000000000005</v>
      </c>
      <c r="T521" s="16">
        <f>CASOPOInvCL!AW521</f>
        <v>0</v>
      </c>
      <c r="Y521" s="29" t="str">
        <f>IFERROR(HLOOKUP(U521,List!$D$2:$H$6,2,FALSE),"")</f>
        <v/>
      </c>
      <c r="Z521" s="29" t="str">
        <f>IFERROR(HLOOKUP(V521,List!$D$2:$H$6,3,FALSE),"")</f>
        <v/>
      </c>
      <c r="AA521" s="29" t="str">
        <f>IFERROR(HLOOKUP(W521,List!$D$2:$H$6,4,FALSE),"")</f>
        <v/>
      </c>
      <c r="AB521" s="29" t="str">
        <f>IFERROR(HLOOKUP(X521,List!$D$2:$H$6,5,FALSE),"")</f>
        <v/>
      </c>
      <c r="AC521" s="12" t="str">
        <f t="shared" si="118"/>
        <v/>
      </c>
      <c r="AD521" s="12" t="str">
        <f t="shared" si="119"/>
        <v/>
      </c>
      <c r="AE521" s="12" t="str">
        <f t="shared" si="120"/>
        <v/>
      </c>
      <c r="AF521" s="12" t="str">
        <f t="shared" si="121"/>
        <v/>
      </c>
      <c r="AG521" t="str">
        <f>VLOOKUP(J521,'Receivable Invoice Detail'!$A$1:F3533,6,FALSE)</f>
        <v>101881/6007 Expeller Ring, 8/6 E or R-AH, Natural Rubber</v>
      </c>
      <c r="AM521" s="12" t="str">
        <f t="shared" si="123"/>
        <v/>
      </c>
      <c r="AN521" s="12" t="str">
        <f t="shared" si="124"/>
        <v/>
      </c>
      <c r="AO521" s="12" t="str">
        <f t="shared" si="125"/>
        <v/>
      </c>
      <c r="AP521" s="12" t="str">
        <f t="shared" si="126"/>
        <v/>
      </c>
      <c r="AQ521" s="64">
        <f t="shared" si="129"/>
        <v>0</v>
      </c>
      <c r="AR521" t="s">
        <v>5939</v>
      </c>
      <c r="AS521" s="12">
        <f t="shared" si="127"/>
        <v>0</v>
      </c>
      <c r="AT521" s="16" t="str">
        <f t="shared" si="111"/>
        <v/>
      </c>
    </row>
    <row r="522" spans="1:46" hidden="1" x14ac:dyDescent="0.25">
      <c r="A522" s="41">
        <f>CASOPOInvCL!T522</f>
        <v>1</v>
      </c>
      <c r="B522" t="str">
        <f>CASOPOInvCL!Z522</f>
        <v>SO17175</v>
      </c>
      <c r="D522" t="s">
        <v>5925</v>
      </c>
      <c r="G522" s="5" t="str">
        <f>CASOPOInvCL!I522</f>
        <v>Ian Trottier</v>
      </c>
      <c r="H522" s="31">
        <f>CASOPOInvCL!U522</f>
        <v>5</v>
      </c>
      <c r="I522" s="31">
        <f>CASOPOInvCL!V522</f>
        <v>2025</v>
      </c>
      <c r="J522" s="5" t="str">
        <f>CASOPOInvCL!AB522</f>
        <v>INV12998</v>
      </c>
      <c r="K522" s="31">
        <f>CASOPOInvCL!W522</f>
        <v>7</v>
      </c>
      <c r="L522" s="31">
        <f>CASOPOInvCL!X522</f>
        <v>2025</v>
      </c>
      <c r="M522">
        <v>2503</v>
      </c>
      <c r="N522" s="5" t="str">
        <f>CASOPOInvCL!AF522</f>
        <v>Resolute Forest Products - Saint-Felicien</v>
      </c>
      <c r="O522" s="16" t="str">
        <f>CASOPOInvCL!AG522</f>
        <v>CAD</v>
      </c>
      <c r="P522" s="16">
        <f>CASOPOInvCL!AH522</f>
        <v>7486.9</v>
      </c>
      <c r="Q522" s="16">
        <f>CASOPOInvCL!AI522</f>
        <v>5351.6400784263251</v>
      </c>
      <c r="R522" s="32" t="str">
        <f>CASOPOInvCL!AU522</f>
        <v>Yes</v>
      </c>
      <c r="S522" s="16">
        <f>CASOPOInvCL!AV522</f>
        <v>0</v>
      </c>
      <c r="T522" s="16">
        <f>CASOPOInvCL!AW522</f>
        <v>5351.6400784263251</v>
      </c>
      <c r="V522" t="s">
        <v>5800</v>
      </c>
      <c r="Y522" s="29" t="str">
        <f>IFERROR(HLOOKUP(U522,List!$D$2:$H$6,2,FALSE),"")</f>
        <v/>
      </c>
      <c r="Z522" s="29">
        <f>IFERROR(HLOOKUP(V522,List!$D$2:$H$6,3,FALSE),"")</f>
        <v>5.0000000000000001E-3</v>
      </c>
      <c r="AA522" s="29" t="str">
        <f>IFERROR(HLOOKUP(W522,List!$D$2:$H$6,4,FALSE),"")</f>
        <v/>
      </c>
      <c r="AB522" s="29" t="str">
        <f>IFERROR(HLOOKUP(X522,List!$D$2:$H$6,5,FALSE),"")</f>
        <v/>
      </c>
      <c r="AC522" s="12" t="str">
        <f t="shared" si="118"/>
        <v/>
      </c>
      <c r="AD522" s="12">
        <f t="shared" si="119"/>
        <v>26.758200392131627</v>
      </c>
      <c r="AE522" s="12" t="str">
        <f t="shared" si="120"/>
        <v/>
      </c>
      <c r="AF522" s="12" t="str">
        <f t="shared" si="121"/>
        <v/>
      </c>
      <c r="AG522" t="str">
        <f>VLOOKUP(J522,'Receivable Invoice Detail'!$A$1:F3534,6,FALSE)</f>
        <v>[AC-52-108-475-013] Deflector (Outboard), Allis-Chalmers PWO, Group 2</v>
      </c>
      <c r="AH522" s="12">
        <f t="shared" ref="AH522:AH523" si="130">SUM(AC522:AF522)</f>
        <v>26.758200392131627</v>
      </c>
      <c r="AM522" s="12" t="str">
        <f t="shared" si="123"/>
        <v/>
      </c>
      <c r="AN522" s="12">
        <f t="shared" si="124"/>
        <v>26.758200392131627</v>
      </c>
      <c r="AO522" s="12" t="str">
        <f t="shared" si="125"/>
        <v/>
      </c>
      <c r="AP522" s="12" t="str">
        <f t="shared" si="126"/>
        <v/>
      </c>
      <c r="AQ522" s="64">
        <v>2503</v>
      </c>
      <c r="AR522" t="s">
        <v>5932</v>
      </c>
      <c r="AS522" s="12">
        <f t="shared" si="127"/>
        <v>80.274601176394867</v>
      </c>
      <c r="AT522" s="16" t="str">
        <f t="shared" ref="AT522:AT534" si="131">R522</f>
        <v>Yes</v>
      </c>
    </row>
    <row r="523" spans="1:46" hidden="1" x14ac:dyDescent="0.25">
      <c r="A523" s="41">
        <f>CASOPOInvCL!T523</f>
        <v>1</v>
      </c>
      <c r="B523" t="str">
        <f>CASOPOInvCL!Z523</f>
        <v>SO17176</v>
      </c>
      <c r="D523" t="s">
        <v>5925</v>
      </c>
      <c r="G523" s="5" t="str">
        <f>CASOPOInvCL!I523</f>
        <v>Ian Trottier</v>
      </c>
      <c r="H523" s="31">
        <f>CASOPOInvCL!U523</f>
        <v>5</v>
      </c>
      <c r="I523" s="31">
        <f>CASOPOInvCL!V523</f>
        <v>2025</v>
      </c>
      <c r="J523" s="5" t="str">
        <f>CASOPOInvCL!AB523</f>
        <v>INV13006</v>
      </c>
      <c r="K523" s="31">
        <f>CASOPOInvCL!W523</f>
        <v>7</v>
      </c>
      <c r="L523" s="31">
        <f>CASOPOInvCL!X523</f>
        <v>2025</v>
      </c>
      <c r="M523">
        <v>2503</v>
      </c>
      <c r="N523" s="5" t="str">
        <f>CASOPOInvCL!AF523</f>
        <v>Wajax Limited - Noranda</v>
      </c>
      <c r="O523" s="16" t="str">
        <f>CASOPOInvCL!AG523</f>
        <v>CAD</v>
      </c>
      <c r="P523" s="16">
        <f>CASOPOInvCL!AH523</f>
        <v>321.89999999999998</v>
      </c>
      <c r="Q523" s="16">
        <f>CASOPOInvCL!AI523</f>
        <v>233.95669082491841</v>
      </c>
      <c r="R523" s="32" t="str">
        <f>CASOPOInvCL!AU523</f>
        <v>Yes</v>
      </c>
      <c r="S523" s="16">
        <f>CASOPOInvCL!AV523</f>
        <v>0</v>
      </c>
      <c r="T523" s="16">
        <f>CASOPOInvCL!AW523</f>
        <v>233.95669082491841</v>
      </c>
      <c r="V523" t="s">
        <v>5800</v>
      </c>
      <c r="Y523" s="29" t="str">
        <f>IFERROR(HLOOKUP(U523,List!$D$2:$H$6,2,FALSE),"")</f>
        <v/>
      </c>
      <c r="Z523" s="29">
        <f>IFERROR(HLOOKUP(V523,List!$D$2:$H$6,3,FALSE),"")</f>
        <v>5.0000000000000001E-3</v>
      </c>
      <c r="AA523" s="29" t="str">
        <f>IFERROR(HLOOKUP(W523,List!$D$2:$H$6,4,FALSE),"")</f>
        <v/>
      </c>
      <c r="AB523" s="29" t="str">
        <f>IFERROR(HLOOKUP(X523,List!$D$2:$H$6,5,FALSE),"")</f>
        <v/>
      </c>
      <c r="AC523" s="12" t="str">
        <f t="shared" si="118"/>
        <v/>
      </c>
      <c r="AD523" s="12">
        <f t="shared" si="119"/>
        <v>1.1697834541245922</v>
      </c>
      <c r="AE523" s="12" t="str">
        <f t="shared" si="120"/>
        <v/>
      </c>
      <c r="AF523" s="12" t="str">
        <f t="shared" si="121"/>
        <v/>
      </c>
      <c r="AG523" t="str">
        <f>VLOOKUP(J523,'Receivable Invoice Detail'!$A$1:F3535,6,FALSE)</f>
        <v>[G-76772X 2229] Shaft Sleeve, 3196 STX, 316SS</v>
      </c>
      <c r="AH523" s="12">
        <f t="shared" si="130"/>
        <v>1.1697834541245922</v>
      </c>
      <c r="AM523" s="12" t="str">
        <f t="shared" si="123"/>
        <v/>
      </c>
      <c r="AN523" s="12">
        <f t="shared" si="124"/>
        <v>1.1697834541245922</v>
      </c>
      <c r="AO523" s="12" t="str">
        <f t="shared" si="125"/>
        <v/>
      </c>
      <c r="AP523" s="12" t="str">
        <f t="shared" si="126"/>
        <v/>
      </c>
      <c r="AQ523" s="64">
        <v>2503</v>
      </c>
      <c r="AR523" t="s">
        <v>5932</v>
      </c>
      <c r="AS523" s="12">
        <f t="shared" si="127"/>
        <v>3.5093503623737758</v>
      </c>
      <c r="AT523" s="16" t="str">
        <f t="shared" si="131"/>
        <v>Yes</v>
      </c>
    </row>
    <row r="524" spans="1:46" hidden="1" x14ac:dyDescent="0.25">
      <c r="A524" s="41">
        <f>CASOPOInvCL!T524</f>
        <v>1</v>
      </c>
      <c r="B524" t="str">
        <f>CASOPOInvCL!Z524</f>
        <v>SO17180</v>
      </c>
      <c r="G524" s="5" t="str">
        <f>CASOPOInvCL!I524</f>
        <v>Ian Trottier</v>
      </c>
      <c r="H524" s="31">
        <f>CASOPOInvCL!U524</f>
        <v>5</v>
      </c>
      <c r="I524" s="31">
        <f>CASOPOInvCL!V524</f>
        <v>2025</v>
      </c>
      <c r="J524" s="5" t="str">
        <f>CASOPOInvCL!AB524</f>
        <v>INV12992</v>
      </c>
      <c r="K524" s="31">
        <f>CASOPOInvCL!W524</f>
        <v>6</v>
      </c>
      <c r="L524" s="31">
        <f>CASOPOInvCL!X524</f>
        <v>2025</v>
      </c>
      <c r="M524" s="31"/>
      <c r="N524" s="5" t="str">
        <f>CASOPOInvCL!AF524</f>
        <v>Fabrene Inc.</v>
      </c>
      <c r="O524" s="16" t="str">
        <f>CASOPOInvCL!AG524</f>
        <v>CAD</v>
      </c>
      <c r="P524" s="16">
        <f>CASOPOInvCL!AH524</f>
        <v>919.94</v>
      </c>
      <c r="Q524" s="16">
        <f>CASOPOInvCL!AI524</f>
        <v>657.57359838484751</v>
      </c>
      <c r="R524" s="32" t="str">
        <f>CASOPOInvCL!AU524</f>
        <v>Yes</v>
      </c>
      <c r="S524" s="16">
        <f>CASOPOInvCL!AV524</f>
        <v>0</v>
      </c>
      <c r="T524" s="16">
        <f>CASOPOInvCL!AW524</f>
        <v>657.57359838484751</v>
      </c>
      <c r="Y524" s="29" t="str">
        <f>IFERROR(HLOOKUP(U524,List!$D$2:$H$6,2,FALSE),"")</f>
        <v/>
      </c>
      <c r="Z524" s="29" t="str">
        <f>IFERROR(HLOOKUP(V524,List!$D$2:$H$6,3,FALSE),"")</f>
        <v/>
      </c>
      <c r="AA524" s="29" t="str">
        <f>IFERROR(HLOOKUP(W524,List!$D$2:$H$6,4,FALSE),"")</f>
        <v/>
      </c>
      <c r="AB524" s="29" t="str">
        <f>IFERROR(HLOOKUP(X524,List!$D$2:$H$6,5,FALSE),"")</f>
        <v/>
      </c>
      <c r="AC524" s="12" t="str">
        <f t="shared" si="118"/>
        <v/>
      </c>
      <c r="AD524" s="12" t="str">
        <f t="shared" si="119"/>
        <v/>
      </c>
      <c r="AE524" s="12" t="str">
        <f t="shared" si="120"/>
        <v/>
      </c>
      <c r="AF524" s="12" t="str">
        <f t="shared" si="121"/>
        <v/>
      </c>
      <c r="AG524" t="str">
        <f>VLOOKUP(J524,'Receivable Invoice Detail'!$A$1:F3536,6,FALSE)</f>
        <v>[TSSC-J01-1.75(BIG BORE)-00] Single Cartridge Seal, 1 3/4", D-196 MTX, Big Bore, Carbon vs Silicon Carbide w/Aflas Elastomers</v>
      </c>
      <c r="AM524" s="12" t="str">
        <f t="shared" si="123"/>
        <v/>
      </c>
      <c r="AN524" s="12" t="str">
        <f t="shared" si="124"/>
        <v/>
      </c>
      <c r="AO524" s="12" t="str">
        <f t="shared" si="125"/>
        <v/>
      </c>
      <c r="AP524" s="12" t="str">
        <f t="shared" si="126"/>
        <v/>
      </c>
      <c r="AQ524" s="12"/>
      <c r="AS524" s="12">
        <f t="shared" si="127"/>
        <v>9.8636039757727119</v>
      </c>
      <c r="AT524" s="16" t="str">
        <f t="shared" si="131"/>
        <v>Yes</v>
      </c>
    </row>
    <row r="525" spans="1:46" hidden="1" x14ac:dyDescent="0.25">
      <c r="A525" s="41">
        <f>CASOPOInvCL!T525</f>
        <v>1</v>
      </c>
      <c r="B525" t="str">
        <f>CASOPOInvCL!Z525</f>
        <v>SO17190</v>
      </c>
      <c r="D525" t="s">
        <v>5925</v>
      </c>
      <c r="G525" s="5" t="str">
        <f>CASOPOInvCL!I525</f>
        <v>Ian Trottier</v>
      </c>
      <c r="H525" s="31">
        <f>CASOPOInvCL!U525</f>
        <v>5</v>
      </c>
      <c r="I525" s="31">
        <f>CASOPOInvCL!V525</f>
        <v>2025</v>
      </c>
      <c r="J525" s="5" t="str">
        <f>CASOPOInvCL!AB525</f>
        <v>INV13014</v>
      </c>
      <c r="K525" s="31">
        <f>CASOPOInvCL!W525</f>
        <v>7</v>
      </c>
      <c r="L525" s="31">
        <f>CASOPOInvCL!X525</f>
        <v>2025</v>
      </c>
      <c r="M525">
        <v>2503</v>
      </c>
      <c r="N525" s="5" t="str">
        <f>CASOPOInvCL!AF525</f>
        <v>PT Vale Indonesia Tbk.</v>
      </c>
      <c r="O525" s="16" t="str">
        <f>CASOPOInvCL!AG525</f>
        <v>USD</v>
      </c>
      <c r="P525" s="16">
        <f>CASOPOInvCL!AH525</f>
        <v>507.5829522437603</v>
      </c>
      <c r="Q525" s="16">
        <f>CASOPOInvCL!AI525</f>
        <v>363.45</v>
      </c>
      <c r="R525" s="32" t="str">
        <f>CASOPOInvCL!AU525</f>
        <v>Yes</v>
      </c>
      <c r="S525" s="16">
        <f>CASOPOInvCL!AV525</f>
        <v>0</v>
      </c>
      <c r="T525" s="16">
        <f>CASOPOInvCL!AW525</f>
        <v>363.45</v>
      </c>
      <c r="V525" t="s">
        <v>5800</v>
      </c>
      <c r="Y525" s="29" t="str">
        <f>IFERROR(HLOOKUP(U525,List!$D$2:$H$6,2,FALSE),"")</f>
        <v/>
      </c>
      <c r="Z525" s="29">
        <f>IFERROR(HLOOKUP(V525,List!$D$2:$H$6,3,FALSE),"")</f>
        <v>5.0000000000000001E-3</v>
      </c>
      <c r="AA525" s="29" t="str">
        <f>IFERROR(HLOOKUP(W525,List!$D$2:$H$6,4,FALSE),"")</f>
        <v/>
      </c>
      <c r="AB525" s="29" t="str">
        <f>IFERROR(HLOOKUP(X525,List!$D$2:$H$6,5,FALSE),"")</f>
        <v/>
      </c>
      <c r="AC525" s="12" t="str">
        <f t="shared" si="118"/>
        <v/>
      </c>
      <c r="AD525" s="12">
        <f t="shared" si="119"/>
        <v>1.81725</v>
      </c>
      <c r="AE525" s="12" t="str">
        <f t="shared" si="120"/>
        <v/>
      </c>
      <c r="AF525" s="12" t="str">
        <f t="shared" si="121"/>
        <v/>
      </c>
      <c r="AG525" t="str">
        <f>VLOOKUP(J525,'Receivable Invoice Detail'!$A$1:F3537,6,FALSE)</f>
        <v>[G-67868-211-212 5108] Gasket Material (2 Piece Set), Armstrong Syntheseal N-8090, 16" x 17 3/4"</v>
      </c>
      <c r="AH525" s="12">
        <f t="shared" ref="AH525" si="132">SUM(AC525:AF525)</f>
        <v>1.81725</v>
      </c>
      <c r="AM525" s="12" t="str">
        <f t="shared" si="123"/>
        <v/>
      </c>
      <c r="AN525" s="12">
        <f t="shared" si="124"/>
        <v>1.81725</v>
      </c>
      <c r="AO525" s="12" t="str">
        <f t="shared" si="125"/>
        <v/>
      </c>
      <c r="AP525" s="12" t="str">
        <f t="shared" si="126"/>
        <v/>
      </c>
      <c r="AQ525" s="64">
        <v>2503</v>
      </c>
      <c r="AR525" t="s">
        <v>5932</v>
      </c>
      <c r="AS525" s="12">
        <f t="shared" si="127"/>
        <v>5.4517499999999997</v>
      </c>
      <c r="AT525" s="16" t="str">
        <f t="shared" si="131"/>
        <v>Yes</v>
      </c>
    </row>
    <row r="526" spans="1:46" hidden="1" x14ac:dyDescent="0.25">
      <c r="A526" s="41">
        <f>CASOPOInvCL!T526</f>
        <v>1</v>
      </c>
      <c r="B526" t="str">
        <f>CASOPOInvCL!Z526</f>
        <v>SO17191</v>
      </c>
      <c r="G526" s="5" t="str">
        <f>CASOPOInvCL!I526</f>
        <v>Ian Trottier</v>
      </c>
      <c r="H526" s="31">
        <f>CASOPOInvCL!U526</f>
        <v>5</v>
      </c>
      <c r="I526" s="31">
        <f>CASOPOInvCL!V526</f>
        <v>2025</v>
      </c>
      <c r="J526" s="5" t="str">
        <f>CASOPOInvCL!AB526</f>
        <v>INV12994</v>
      </c>
      <c r="K526" s="31">
        <f>CASOPOInvCL!W526</f>
        <v>6</v>
      </c>
      <c r="L526" s="31">
        <f>CASOPOInvCL!X526</f>
        <v>2025</v>
      </c>
      <c r="M526" s="31"/>
      <c r="N526" s="5" t="str">
        <f>CASOPOInvCL!AF526</f>
        <v>Process and Steam Specialties, Process and Steam Specialties</v>
      </c>
      <c r="O526" s="16" t="str">
        <f>CASOPOInvCL!AG526</f>
        <v>CAD</v>
      </c>
      <c r="P526" s="16">
        <f>CASOPOInvCL!AH526</f>
        <v>1859.15</v>
      </c>
      <c r="Q526" s="16">
        <f>CASOPOInvCL!AI526</f>
        <v>1328.9214029580069</v>
      </c>
      <c r="R526" s="32" t="str">
        <f>CASOPOInvCL!AU526</f>
        <v>Yes</v>
      </c>
      <c r="S526" s="16">
        <f>CASOPOInvCL!AV526</f>
        <v>0</v>
      </c>
      <c r="T526" s="16">
        <f>CASOPOInvCL!AW526</f>
        <v>1328.9214029580069</v>
      </c>
      <c r="Y526" s="29" t="str">
        <f>IFERROR(HLOOKUP(U526,List!$D$2:$H$6,2,FALSE),"")</f>
        <v/>
      </c>
      <c r="Z526" s="29" t="str">
        <f>IFERROR(HLOOKUP(V526,List!$D$2:$H$6,3,FALSE),"")</f>
        <v/>
      </c>
      <c r="AA526" s="29" t="str">
        <f>IFERROR(HLOOKUP(W526,List!$D$2:$H$6,4,FALSE),"")</f>
        <v/>
      </c>
      <c r="AB526" s="29" t="str">
        <f>IFERROR(HLOOKUP(X526,List!$D$2:$H$6,5,FALSE),"")</f>
        <v/>
      </c>
      <c r="AC526" s="12" t="str">
        <f t="shared" si="118"/>
        <v/>
      </c>
      <c r="AD526" s="12" t="str">
        <f t="shared" si="119"/>
        <v/>
      </c>
      <c r="AE526" s="12" t="str">
        <f t="shared" si="120"/>
        <v/>
      </c>
      <c r="AF526" s="12" t="str">
        <f t="shared" si="121"/>
        <v/>
      </c>
      <c r="AG526" t="str">
        <f>VLOOKUP(J526,'Receivable Invoice Detail'!$A$1:F3538,6,FALSE)</f>
        <v>[SA-013733-M1] Wear Disc, 44 WFR, Sala STGVA-180, Steel, Rubber Lined</v>
      </c>
      <c r="AM526" s="12" t="str">
        <f t="shared" si="123"/>
        <v/>
      </c>
      <c r="AN526" s="12" t="str">
        <f t="shared" si="124"/>
        <v/>
      </c>
      <c r="AO526" s="12" t="str">
        <f t="shared" si="125"/>
        <v/>
      </c>
      <c r="AP526" s="12" t="str">
        <f t="shared" si="126"/>
        <v/>
      </c>
      <c r="AQ526" s="12"/>
      <c r="AS526" s="12">
        <f t="shared" si="127"/>
        <v>19.933821044370102</v>
      </c>
      <c r="AT526" s="16" t="str">
        <f t="shared" si="131"/>
        <v>Yes</v>
      </c>
    </row>
    <row r="527" spans="1:46" hidden="1" x14ac:dyDescent="0.25">
      <c r="A527" s="41">
        <f>CASOPOInvCL!T527</f>
        <v>1</v>
      </c>
      <c r="B527" t="str">
        <f>CASOPOInvCL!Z527</f>
        <v>SO17193</v>
      </c>
      <c r="G527" s="5" t="str">
        <f>CASOPOInvCL!I527</f>
        <v>Yannett Yeomans</v>
      </c>
      <c r="H527" s="31">
        <f>CASOPOInvCL!U527</f>
        <v>5</v>
      </c>
      <c r="I527" s="31">
        <f>CASOPOInvCL!V527</f>
        <v>2025</v>
      </c>
      <c r="J527" s="5" t="str">
        <f>CASOPOInvCL!AB527</f>
        <v>INV13205</v>
      </c>
      <c r="K527" s="31" t="str">
        <f>CASOPOInvCL!W527</f>
        <v/>
      </c>
      <c r="L527" s="31" t="str">
        <f>CASOPOInvCL!X527</f>
        <v/>
      </c>
      <c r="M527" s="31"/>
      <c r="N527" s="5" t="str">
        <f>CASOPOInvCL!AF527</f>
        <v>Dynapro Pumps México S de RL de CV</v>
      </c>
      <c r="O527" s="16" t="str">
        <f>CASOPOInvCL!AG527</f>
        <v>USD</v>
      </c>
      <c r="P527" s="16">
        <f>CASOPOInvCL!AH527</f>
        <v>670.35305290137558</v>
      </c>
      <c r="Q527" s="16">
        <f>CASOPOInvCL!AI527</f>
        <v>480</v>
      </c>
      <c r="R527" s="32" t="str">
        <f>CASOPOInvCL!AU527</f>
        <v/>
      </c>
      <c r="S527" s="16">
        <f>CASOPOInvCL!AV527</f>
        <v>0</v>
      </c>
      <c r="T527" s="16">
        <f>CASOPOInvCL!AW527</f>
        <v>0</v>
      </c>
      <c r="Y527" s="29" t="str">
        <f>IFERROR(HLOOKUP(U527,List!$D$2:$H$6,2,FALSE),"")</f>
        <v/>
      </c>
      <c r="Z527" s="29" t="str">
        <f>IFERROR(HLOOKUP(V527,List!$D$2:$H$6,3,FALSE),"")</f>
        <v/>
      </c>
      <c r="AA527" s="29" t="str">
        <f>IFERROR(HLOOKUP(W527,List!$D$2:$H$6,4,FALSE),"")</f>
        <v/>
      </c>
      <c r="AB527" s="29" t="str">
        <f>IFERROR(HLOOKUP(X527,List!$D$2:$H$6,5,FALSE),"")</f>
        <v/>
      </c>
      <c r="AC527" s="12" t="str">
        <f t="shared" si="118"/>
        <v/>
      </c>
      <c r="AD527" s="12" t="str">
        <f t="shared" si="119"/>
        <v/>
      </c>
      <c r="AE527" s="12" t="str">
        <f t="shared" si="120"/>
        <v/>
      </c>
      <c r="AF527" s="12" t="str">
        <f t="shared" si="121"/>
        <v/>
      </c>
      <c r="AG527" t="str">
        <f>VLOOKUP(J527,'Receivable Invoice Detail'!$A$1:F3539,6,FALSE)</f>
        <v>[10064/2001] Spider w/Bearing, 18BHC-1, Cast Iron/Teflon</v>
      </c>
      <c r="AM527" s="12" t="str">
        <f t="shared" si="123"/>
        <v/>
      </c>
      <c r="AN527" s="12" t="str">
        <f t="shared" si="124"/>
        <v/>
      </c>
      <c r="AO527" s="12" t="str">
        <f t="shared" si="125"/>
        <v/>
      </c>
      <c r="AP527" s="12" t="str">
        <f t="shared" si="126"/>
        <v/>
      </c>
      <c r="AQ527" s="12"/>
      <c r="AR527" s="16" t="s">
        <v>5940</v>
      </c>
      <c r="AS527" s="12">
        <f t="shared" si="127"/>
        <v>0</v>
      </c>
      <c r="AT527" s="16" t="s">
        <v>5940</v>
      </c>
    </row>
    <row r="528" spans="1:46" hidden="1" x14ac:dyDescent="0.25">
      <c r="A528" s="41">
        <f>CASOPOInvCL!T528</f>
        <v>1</v>
      </c>
      <c r="B528" t="str">
        <f>CASOPOInvCL!Z528</f>
        <v>SO17194</v>
      </c>
      <c r="D528" t="s">
        <v>5925</v>
      </c>
      <c r="G528" s="5" t="str">
        <f>CASOPOInvCL!I528</f>
        <v>Ian Trottier</v>
      </c>
      <c r="H528" s="31">
        <f>CASOPOInvCL!U528</f>
        <v>5</v>
      </c>
      <c r="I528" s="31">
        <f>CASOPOInvCL!V528</f>
        <v>2025</v>
      </c>
      <c r="J528" s="5" t="str">
        <f>CASOPOInvCL!AB528</f>
        <v>INV13000</v>
      </c>
      <c r="K528" s="31">
        <f>CASOPOInvCL!W528</f>
        <v>9</v>
      </c>
      <c r="L528" s="31">
        <f>CASOPOInvCL!X528</f>
        <v>2025</v>
      </c>
      <c r="M528">
        <v>2503</v>
      </c>
      <c r="N528" s="5" t="str">
        <f>CASOPOInvCL!AF528</f>
        <v>MAB Equipment Company Inc.</v>
      </c>
      <c r="O528" s="16" t="str">
        <f>CASOPOInvCL!AG528</f>
        <v>USD</v>
      </c>
      <c r="P528" s="16">
        <f>CASOPOInvCL!AH528</f>
        <v>3330.6761928057358</v>
      </c>
      <c r="Q528" s="16">
        <f>CASOPOInvCL!AI528</f>
        <v>2387.6999999999998</v>
      </c>
      <c r="R528" s="32" t="str">
        <f>CASOPOInvCL!AU528</f>
        <v>Yes</v>
      </c>
      <c r="S528" s="16">
        <f>CASOPOInvCL!AV528</f>
        <v>644</v>
      </c>
      <c r="T528" s="16">
        <f>CASOPOInvCL!AW528</f>
        <v>1743.6999999999998</v>
      </c>
      <c r="V528" t="s">
        <v>5800</v>
      </c>
      <c r="Y528" s="29" t="str">
        <f>IFERROR(HLOOKUP(U528,List!$D$2:$H$6,2,FALSE),"")</f>
        <v/>
      </c>
      <c r="Z528" s="29">
        <f>IFERROR(HLOOKUP(V528,List!$D$2:$H$6,3,FALSE),"")</f>
        <v>5.0000000000000001E-3</v>
      </c>
      <c r="AA528" s="29" t="str">
        <f>IFERROR(HLOOKUP(W528,List!$D$2:$H$6,4,FALSE),"")</f>
        <v/>
      </c>
      <c r="AB528" s="29" t="str">
        <f>IFERROR(HLOOKUP(X528,List!$D$2:$H$6,5,FALSE),"")</f>
        <v/>
      </c>
      <c r="AC528" s="12" t="str">
        <f t="shared" si="118"/>
        <v/>
      </c>
      <c r="AD528" s="12">
        <f t="shared" si="119"/>
        <v>8.7184999999999988</v>
      </c>
      <c r="AE528" s="12" t="str">
        <f t="shared" si="120"/>
        <v/>
      </c>
      <c r="AF528" s="12" t="str">
        <f t="shared" si="121"/>
        <v/>
      </c>
      <c r="AG528" t="str">
        <f>VLOOKUP(J528,'Receivable Invoice Detail'!$A$1:F3540,6,FALSE)</f>
        <v>[W-F6018/R55] Cover Plate Liner, 8/6 E or F-AH, Natural Rubber</v>
      </c>
      <c r="AH528" s="12">
        <f t="shared" ref="AH528" si="133">SUM(AC528:AF528)</f>
        <v>8.7184999999999988</v>
      </c>
      <c r="AM528" s="12" t="str">
        <f t="shared" si="123"/>
        <v/>
      </c>
      <c r="AN528" s="12">
        <f t="shared" si="124"/>
        <v>8.7184999999999988</v>
      </c>
      <c r="AO528" s="12" t="str">
        <f t="shared" si="125"/>
        <v/>
      </c>
      <c r="AP528" s="12" t="str">
        <f t="shared" si="126"/>
        <v/>
      </c>
      <c r="AQ528" s="64">
        <v>2503</v>
      </c>
      <c r="AR528" t="s">
        <v>5932</v>
      </c>
      <c r="AS528" s="12">
        <f t="shared" si="127"/>
        <v>26.155499999999996</v>
      </c>
      <c r="AT528" s="16" t="str">
        <f t="shared" si="131"/>
        <v>Yes</v>
      </c>
    </row>
    <row r="529" spans="1:46" hidden="1" x14ac:dyDescent="0.25">
      <c r="A529" s="41">
        <f>CASOPOInvCL!T529</f>
        <v>1</v>
      </c>
      <c r="B529" t="str">
        <f>CASOPOInvCL!Z529</f>
        <v>SO17197</v>
      </c>
      <c r="D529" t="s">
        <v>5938</v>
      </c>
      <c r="G529" s="5" t="str">
        <f>CASOPOInvCL!I529</f>
        <v>Marlen Martinez</v>
      </c>
      <c r="H529" s="31">
        <f>CASOPOInvCL!U529</f>
        <v>5</v>
      </c>
      <c r="I529" s="31">
        <f>CASOPOInvCL!V529</f>
        <v>2025</v>
      </c>
      <c r="J529" s="5" t="str">
        <f>CASOPOInvCL!AB529</f>
        <v>INV13033</v>
      </c>
      <c r="K529" s="31">
        <f>CASOPOInvCL!W529</f>
        <v>9</v>
      </c>
      <c r="L529" s="31">
        <f>CASOPOInvCL!X529</f>
        <v>2025</v>
      </c>
      <c r="M529">
        <v>2504</v>
      </c>
      <c r="N529" s="5" t="str">
        <f>CASOPOInvCL!AF529</f>
        <v>Covia Corp - Junction City</v>
      </c>
      <c r="O529" s="16" t="str">
        <f>CASOPOInvCL!AG529</f>
        <v>USD</v>
      </c>
      <c r="P529" s="16">
        <f>CASOPOInvCL!AH529</f>
        <v>14434.739312631444</v>
      </c>
      <c r="Q529" s="16">
        <f>CASOPOInvCL!AI529</f>
        <v>10512.11</v>
      </c>
      <c r="R529" s="32" t="str">
        <f>CASOPOInvCL!AU529</f>
        <v>Yes</v>
      </c>
      <c r="S529" s="16">
        <f>CASOPOInvCL!AV529</f>
        <v>658.69</v>
      </c>
      <c r="T529" s="16">
        <f>CASOPOInvCL!AW529</f>
        <v>9853.42</v>
      </c>
      <c r="Y529" s="29" t="str">
        <f>IFERROR(HLOOKUP(U529,List!$D$2:$H$6,2,FALSE),"")</f>
        <v/>
      </c>
      <c r="Z529" s="29" t="str">
        <f>IFERROR(HLOOKUP(V529,List!$D$2:$H$6,3,FALSE),"")</f>
        <v/>
      </c>
      <c r="AA529" s="29" t="str">
        <f>IFERROR(HLOOKUP(W529,List!$D$2:$H$6,4,FALSE),"")</f>
        <v/>
      </c>
      <c r="AB529" s="29" t="str">
        <f>IFERROR(HLOOKUP(X529,List!$D$2:$H$6,5,FALSE),"")</f>
        <v/>
      </c>
      <c r="AC529" s="12" t="str">
        <f t="shared" si="118"/>
        <v/>
      </c>
      <c r="AD529" s="12" t="str">
        <f t="shared" si="119"/>
        <v/>
      </c>
      <c r="AE529" s="12" t="str">
        <f t="shared" si="120"/>
        <v/>
      </c>
      <c r="AF529" s="12" t="str">
        <f t="shared" si="121"/>
        <v/>
      </c>
      <c r="AG529" t="str">
        <f>VLOOKUP(J529,'Receivable Invoice Detail'!$A$1:F3541,6,FALSE)</f>
        <v>106163/0003Volute Liner, 300 RSL, High Chrome</v>
      </c>
      <c r="AM529" s="12" t="str">
        <f t="shared" si="123"/>
        <v/>
      </c>
      <c r="AN529" s="12" t="str">
        <f t="shared" si="124"/>
        <v/>
      </c>
      <c r="AO529" s="12" t="str">
        <f t="shared" si="125"/>
        <v/>
      </c>
      <c r="AP529" s="12" t="str">
        <f t="shared" si="126"/>
        <v/>
      </c>
      <c r="AQ529" s="64">
        <f>M529</f>
        <v>2504</v>
      </c>
      <c r="AR529" t="s">
        <v>5939</v>
      </c>
      <c r="AS529" s="12">
        <f t="shared" si="127"/>
        <v>147.8013</v>
      </c>
      <c r="AT529" s="16" t="str">
        <f t="shared" si="131"/>
        <v>Yes</v>
      </c>
    </row>
    <row r="530" spans="1:46" hidden="1" x14ac:dyDescent="0.25">
      <c r="A530" s="41">
        <f>CASOPOInvCL!T530</f>
        <v>1</v>
      </c>
      <c r="B530" t="str">
        <f>CASOPOInvCL!Z530</f>
        <v>SO17199</v>
      </c>
      <c r="G530" s="5" t="str">
        <f>CASOPOInvCL!I530</f>
        <v>Ian Trottier</v>
      </c>
      <c r="H530" s="31">
        <f>CASOPOInvCL!U530</f>
        <v>5</v>
      </c>
      <c r="I530" s="31">
        <f>CASOPOInvCL!V530</f>
        <v>2025</v>
      </c>
      <c r="J530" s="5" t="str">
        <f>CASOPOInvCL!AB530</f>
        <v>INV13073</v>
      </c>
      <c r="K530" s="31">
        <f>CASOPOInvCL!W530</f>
        <v>6</v>
      </c>
      <c r="L530" s="31">
        <f>CASOPOInvCL!X530</f>
        <v>2025</v>
      </c>
      <c r="M530" s="31"/>
      <c r="N530" s="5" t="str">
        <f>CASOPOInvCL!AF530</f>
        <v>F H Pumps, Inc., F H Pumps, Inc</v>
      </c>
      <c r="O530" s="16" t="str">
        <f>CASOPOInvCL!AG530</f>
        <v>USD</v>
      </c>
      <c r="P530" s="16">
        <f>CASOPOInvCL!AH530</f>
        <v>2858.5271188601314</v>
      </c>
      <c r="Q530" s="16">
        <f>CASOPOInvCL!AI530</f>
        <v>2069.85</v>
      </c>
      <c r="R530" s="32" t="str">
        <f>CASOPOInvCL!AU530</f>
        <v>Yes</v>
      </c>
      <c r="S530" s="16">
        <f>CASOPOInvCL!AV530</f>
        <v>0</v>
      </c>
      <c r="T530" s="16">
        <f>CASOPOInvCL!AW530</f>
        <v>2069.85</v>
      </c>
      <c r="Y530" s="29" t="str">
        <f>IFERROR(HLOOKUP(U530,List!$D$2:$H$6,2,FALSE),"")</f>
        <v/>
      </c>
      <c r="Z530" s="29" t="str">
        <f>IFERROR(HLOOKUP(V530,List!$D$2:$H$6,3,FALSE),"")</f>
        <v/>
      </c>
      <c r="AA530" s="29" t="str">
        <f>IFERROR(HLOOKUP(W530,List!$D$2:$H$6,4,FALSE),"")</f>
        <v/>
      </c>
      <c r="AB530" s="29" t="str">
        <f>IFERROR(HLOOKUP(X530,List!$D$2:$H$6,5,FALSE),"")</f>
        <v/>
      </c>
      <c r="AC530" s="12" t="str">
        <f t="shared" si="118"/>
        <v/>
      </c>
      <c r="AD530" s="12" t="str">
        <f t="shared" si="119"/>
        <v/>
      </c>
      <c r="AE530" s="12" t="str">
        <f t="shared" si="120"/>
        <v/>
      </c>
      <c r="AF530" s="12" t="str">
        <f t="shared" si="121"/>
        <v/>
      </c>
      <c r="AG530" t="str">
        <f>VLOOKUP(J530,'Receivable Invoice Detail'!$A$1:F3542,6,FALSE)</f>
        <v>[AC-98-236-198-801] Shaft Collar, 8x8-25 SRL-XT, Steel</v>
      </c>
      <c r="AM530" s="12" t="str">
        <f t="shared" si="123"/>
        <v/>
      </c>
      <c r="AN530" s="12" t="str">
        <f t="shared" si="124"/>
        <v/>
      </c>
      <c r="AO530" s="12" t="str">
        <f t="shared" si="125"/>
        <v/>
      </c>
      <c r="AP530" s="12" t="str">
        <f t="shared" si="126"/>
        <v/>
      </c>
      <c r="AQ530" s="12"/>
      <c r="AS530" s="12">
        <f t="shared" si="127"/>
        <v>31.047749999999997</v>
      </c>
      <c r="AT530" s="16" t="str">
        <f t="shared" si="131"/>
        <v>Yes</v>
      </c>
    </row>
    <row r="531" spans="1:46" hidden="1" x14ac:dyDescent="0.25">
      <c r="A531" s="41">
        <f>CASOPOInvCL!T531</f>
        <v>1</v>
      </c>
      <c r="B531" t="str">
        <f>CASOPOInvCL!Z531</f>
        <v>SO17200</v>
      </c>
      <c r="D531" t="s">
        <v>5925</v>
      </c>
      <c r="G531" s="5" t="str">
        <f>CASOPOInvCL!I531</f>
        <v>Ian Trottier</v>
      </c>
      <c r="H531" s="31">
        <f>CASOPOInvCL!U531</f>
        <v>5</v>
      </c>
      <c r="I531" s="31">
        <f>CASOPOInvCL!V531</f>
        <v>2025</v>
      </c>
      <c r="J531" s="5" t="str">
        <f>CASOPOInvCL!AB531</f>
        <v>INV13160</v>
      </c>
      <c r="K531" s="31">
        <f>CASOPOInvCL!W531</f>
        <v>8</v>
      </c>
      <c r="L531" s="31">
        <f>CASOPOInvCL!X531</f>
        <v>2025</v>
      </c>
      <c r="M531">
        <v>2503</v>
      </c>
      <c r="N531" s="5" t="str">
        <f>CASOPOInvCL!AF531</f>
        <v>Industrial Pump Repair Canada</v>
      </c>
      <c r="O531" s="16" t="str">
        <f>CASOPOInvCL!AG531</f>
        <v>CAD</v>
      </c>
      <c r="P531" s="16">
        <f>CASOPOInvCL!AH531</f>
        <v>7759.78</v>
      </c>
      <c r="Q531" s="16">
        <f>CASOPOInvCL!AI531</f>
        <v>5613.0886001693507</v>
      </c>
      <c r="R531" s="32" t="str">
        <f>CASOPOInvCL!AU531</f>
        <v>Yes</v>
      </c>
      <c r="S531" s="16">
        <f>CASOPOInvCL!AV531</f>
        <v>0</v>
      </c>
      <c r="T531" s="16">
        <f>CASOPOInvCL!AW531</f>
        <v>5613.0886001693507</v>
      </c>
      <c r="V531" t="s">
        <v>5801</v>
      </c>
      <c r="Y531" s="29" t="str">
        <f>IFERROR(HLOOKUP(U531,List!$D$2:$H$6,2,FALSE),"")</f>
        <v/>
      </c>
      <c r="Z531" s="29">
        <f>IFERROR(HLOOKUP(V531,List!$D$2:$H$6,3,FALSE),"")</f>
        <v>0.02</v>
      </c>
      <c r="AA531" s="29" t="str">
        <f>IFERROR(HLOOKUP(W531,List!$D$2:$H$6,4,FALSE),"")</f>
        <v/>
      </c>
      <c r="AB531" s="29" t="str">
        <f>IFERROR(HLOOKUP(X531,List!$D$2:$H$6,5,FALSE),"")</f>
        <v/>
      </c>
      <c r="AC531" s="12" t="str">
        <f t="shared" si="118"/>
        <v/>
      </c>
      <c r="AD531" s="12">
        <f t="shared" si="119"/>
        <v>112.26177200338702</v>
      </c>
      <c r="AE531" s="12" t="str">
        <f t="shared" si="120"/>
        <v/>
      </c>
      <c r="AF531" s="12" t="str">
        <f t="shared" si="121"/>
        <v/>
      </c>
      <c r="AG531" t="str">
        <f>VLOOKUP(J531,'Receivable Invoice Detail'!$A$1:F3543,6,FALSE)</f>
        <v>[WO-2114552-317] Impeller, Worthington 6-FRBH-223, 317SS</v>
      </c>
      <c r="AH531" s="12">
        <f t="shared" ref="AH531" si="134">SUM(AC531:AF531)</f>
        <v>112.26177200338702</v>
      </c>
      <c r="AM531" s="12" t="str">
        <f t="shared" si="123"/>
        <v/>
      </c>
      <c r="AN531" s="12">
        <f t="shared" si="124"/>
        <v>112.26177200338702</v>
      </c>
      <c r="AO531" s="12" t="str">
        <f t="shared" si="125"/>
        <v/>
      </c>
      <c r="AP531" s="12" t="str">
        <f t="shared" si="126"/>
        <v/>
      </c>
      <c r="AQ531" s="64">
        <v>2503</v>
      </c>
      <c r="AR531" t="s">
        <v>5932</v>
      </c>
      <c r="AS531" s="12">
        <f t="shared" si="127"/>
        <v>84.196329002540253</v>
      </c>
      <c r="AT531" s="16" t="str">
        <f t="shared" si="131"/>
        <v>Yes</v>
      </c>
    </row>
    <row r="532" spans="1:46" hidden="1" x14ac:dyDescent="0.25">
      <c r="A532" s="41">
        <f>CASOPOInvCL!T532</f>
        <v>4</v>
      </c>
      <c r="B532" s="74" t="str">
        <f>CASOPOInvCL!Z532</f>
        <v>SO17201</v>
      </c>
      <c r="G532" s="5" t="str">
        <f>CASOPOInvCL!I532</f>
        <v>Wilka Nuñez</v>
      </c>
      <c r="H532" s="31">
        <f>CASOPOInvCL!U532</f>
        <v>5</v>
      </c>
      <c r="I532" s="31">
        <f>CASOPOInvCL!V532</f>
        <v>2025</v>
      </c>
      <c r="J532" s="5" t="str">
        <f>CASOPOInvCL!AB532</f>
        <v>INV13742</v>
      </c>
      <c r="K532" s="31" t="str">
        <f>CASOPOInvCL!W532</f>
        <v/>
      </c>
      <c r="L532" s="31" t="str">
        <f>CASOPOInvCL!X532</f>
        <v/>
      </c>
      <c r="M532" s="31"/>
      <c r="N532" s="5" t="str">
        <f>CASOPOInvCL!AF532</f>
        <v>Barrick Gold - Pueblo Viejo Dominicana Corporation</v>
      </c>
      <c r="O532" s="16" t="str">
        <f>CASOPOInvCL!AG532</f>
        <v>USD</v>
      </c>
      <c r="P532" s="16">
        <f>CASOPOInvCL!AH532</f>
        <v>112468.27118251254</v>
      </c>
      <c r="Q532" s="16">
        <f>CASOPOInvCL!AI532</f>
        <v>82081.84</v>
      </c>
      <c r="R532" s="32" t="str">
        <f>CASOPOInvCL!AU532</f>
        <v/>
      </c>
      <c r="S532" s="16">
        <f>CASOPOInvCL!AV532</f>
        <v>0</v>
      </c>
      <c r="T532" s="16">
        <f>CASOPOInvCL!AW532</f>
        <v>0</v>
      </c>
      <c r="Y532" s="29" t="str">
        <f>IFERROR(HLOOKUP(U532,List!$D$2:$H$6,2,FALSE),"")</f>
        <v/>
      </c>
      <c r="Z532" s="29" t="str">
        <f>IFERROR(HLOOKUP(V532,List!$D$2:$H$6,3,FALSE),"")</f>
        <v/>
      </c>
      <c r="AA532" s="29" t="str">
        <f>IFERROR(HLOOKUP(W532,List!$D$2:$H$6,4,FALSE),"")</f>
        <v/>
      </c>
      <c r="AB532" s="29" t="str">
        <f>IFERROR(HLOOKUP(X532,List!$D$2:$H$6,5,FALSE),"")</f>
        <v/>
      </c>
      <c r="AC532" s="12" t="str">
        <f t="shared" si="118"/>
        <v/>
      </c>
      <c r="AD532" s="12" t="str">
        <f t="shared" si="119"/>
        <v/>
      </c>
      <c r="AE532" s="12" t="str">
        <f t="shared" si="120"/>
        <v/>
      </c>
      <c r="AF532" s="12" t="str">
        <f t="shared" si="121"/>
        <v/>
      </c>
      <c r="AG532" t="str">
        <f>VLOOKUP(J532,'Receivable Invoice Detail'!$A$1:F3544,6,FALSE)</f>
        <v>[G-247-45 1204] Casing, 3x4-8G, 3196 MTX, Alloy 20</v>
      </c>
      <c r="AM532" s="12" t="str">
        <f t="shared" si="123"/>
        <v/>
      </c>
      <c r="AN532" s="12" t="str">
        <f t="shared" si="124"/>
        <v/>
      </c>
      <c r="AO532" s="12" t="str">
        <f t="shared" si="125"/>
        <v/>
      </c>
      <c r="AP532" s="12" t="str">
        <f t="shared" si="126"/>
        <v/>
      </c>
      <c r="AQ532" s="64"/>
      <c r="AR532" s="64"/>
      <c r="AS532" s="12">
        <f t="shared" si="127"/>
        <v>0</v>
      </c>
      <c r="AT532" s="16" t="str">
        <f t="shared" si="131"/>
        <v/>
      </c>
    </row>
    <row r="533" spans="1:46" hidden="1" x14ac:dyDescent="0.25">
      <c r="A533" s="41">
        <f>CASOPOInvCL!T533</f>
        <v>4</v>
      </c>
      <c r="B533" s="74" t="str">
        <f>CASOPOInvCL!Z533</f>
        <v>SO17201</v>
      </c>
      <c r="G533" s="5">
        <f>CASOPOInvCL!I533</f>
        <v>0</v>
      </c>
      <c r="H533" s="31">
        <f>CASOPOInvCL!U533</f>
        <v>5</v>
      </c>
      <c r="I533" s="31">
        <f>CASOPOInvCL!V533</f>
        <v>2025</v>
      </c>
      <c r="J533" s="5" t="str">
        <f>CASOPOInvCL!AB533</f>
        <v>INV13250</v>
      </c>
      <c r="K533" s="31">
        <f>CASOPOInvCL!W533</f>
        <v>9</v>
      </c>
      <c r="L533" s="31">
        <f>CASOPOInvCL!X533</f>
        <v>2025</v>
      </c>
      <c r="M533" s="31"/>
      <c r="N533" s="5" t="str">
        <f>CASOPOInvCL!AF533</f>
        <v>Barrick Gold - Pueblo Viejo Dominicana Corporation</v>
      </c>
      <c r="O533" s="16" t="str">
        <f>CASOPOInvCL!AG533</f>
        <v>USD</v>
      </c>
      <c r="P533" s="16">
        <f>CASOPOInvCL!AH533</f>
        <v>0</v>
      </c>
      <c r="Q533" s="16">
        <f>CASOPOInvCL!AI533</f>
        <v>0</v>
      </c>
      <c r="R533" s="32" t="str">
        <f>CASOPOInvCL!AU533</f>
        <v/>
      </c>
      <c r="S533" s="16">
        <f>CASOPOInvCL!AV533</f>
        <v>0</v>
      </c>
      <c r="T533" s="16">
        <f>CASOPOInvCL!AW533</f>
        <v>0</v>
      </c>
      <c r="Y533" s="29" t="str">
        <f>IFERROR(HLOOKUP(U533,List!$D$2:$H$6,2,FALSE),"")</f>
        <v/>
      </c>
      <c r="Z533" s="29" t="str">
        <f>IFERROR(HLOOKUP(V533,List!$D$2:$H$6,3,FALSE),"")</f>
        <v/>
      </c>
      <c r="AA533" s="29" t="str">
        <f>IFERROR(HLOOKUP(W533,List!$D$2:$H$6,4,FALSE),"")</f>
        <v/>
      </c>
      <c r="AB533" s="29" t="str">
        <f>IFERROR(HLOOKUP(X533,List!$D$2:$H$6,5,FALSE),"")</f>
        <v/>
      </c>
      <c r="AC533" s="12" t="str">
        <f t="shared" si="118"/>
        <v/>
      </c>
      <c r="AD533" s="12" t="str">
        <f t="shared" si="119"/>
        <v/>
      </c>
      <c r="AE533" s="12" t="str">
        <f t="shared" si="120"/>
        <v/>
      </c>
      <c r="AF533" s="12" t="str">
        <f t="shared" si="121"/>
        <v/>
      </c>
      <c r="AG533" t="str">
        <f>VLOOKUP(J533,'Receivable Invoice Detail'!$A$1:F3545,6,FALSE)</f>
        <v>[G-R196-MKM8] Maintenance Kit, 8", 3196 MTX</v>
      </c>
      <c r="AM533" s="12" t="str">
        <f t="shared" si="123"/>
        <v/>
      </c>
      <c r="AN533" s="12" t="str">
        <f t="shared" si="124"/>
        <v/>
      </c>
      <c r="AO533" s="12" t="str">
        <f t="shared" si="125"/>
        <v/>
      </c>
      <c r="AP533" s="12" t="str">
        <f t="shared" si="126"/>
        <v/>
      </c>
      <c r="AQ533" s="64"/>
      <c r="AR533" s="64"/>
      <c r="AS533" s="12">
        <f t="shared" si="127"/>
        <v>0</v>
      </c>
      <c r="AT533" s="16" t="str">
        <f t="shared" si="131"/>
        <v/>
      </c>
    </row>
    <row r="534" spans="1:46" hidden="1" x14ac:dyDescent="0.25">
      <c r="A534" s="41">
        <f>CASOPOInvCL!T534</f>
        <v>4</v>
      </c>
      <c r="B534" s="74" t="str">
        <f>CASOPOInvCL!Z534</f>
        <v>SO17201</v>
      </c>
      <c r="G534" s="5">
        <f>CASOPOInvCL!I534</f>
        <v>0</v>
      </c>
      <c r="H534" s="31">
        <f>CASOPOInvCL!U534</f>
        <v>5</v>
      </c>
      <c r="I534" s="31">
        <f>CASOPOInvCL!V534</f>
        <v>2025</v>
      </c>
      <c r="J534" s="5" t="str">
        <f>CASOPOInvCL!AB534</f>
        <v>INV13476</v>
      </c>
      <c r="K534" s="31">
        <f>CASOPOInvCL!W534</f>
        <v>11</v>
      </c>
      <c r="L534" s="31">
        <f>CASOPOInvCL!X534</f>
        <v>2025</v>
      </c>
      <c r="M534" s="31"/>
      <c r="N534" s="5" t="str">
        <f>CASOPOInvCL!AF534</f>
        <v>Barrick Gold - Pueblo Viejo Dominicana Corporation</v>
      </c>
      <c r="O534" s="16" t="str">
        <f>CASOPOInvCL!AG534</f>
        <v>USD</v>
      </c>
      <c r="P534" s="16">
        <f>CASOPOInvCL!AH534</f>
        <v>0</v>
      </c>
      <c r="Q534" s="16">
        <f>CASOPOInvCL!AI534</f>
        <v>0</v>
      </c>
      <c r="R534" s="32" t="str">
        <f>CASOPOInvCL!AU534</f>
        <v/>
      </c>
      <c r="S534" s="16">
        <f>CASOPOInvCL!AV534</f>
        <v>0</v>
      </c>
      <c r="T534" s="16">
        <f>CASOPOInvCL!AW534</f>
        <v>0</v>
      </c>
      <c r="Y534" s="29" t="str">
        <f>IFERROR(HLOOKUP(U534,List!$D$2:$H$6,2,FALSE),"")</f>
        <v/>
      </c>
      <c r="Z534" s="29" t="str">
        <f>IFERROR(HLOOKUP(V534,List!$D$2:$H$6,3,FALSE),"")</f>
        <v/>
      </c>
      <c r="AA534" s="29" t="str">
        <f>IFERROR(HLOOKUP(W534,List!$D$2:$H$6,4,FALSE),"")</f>
        <v/>
      </c>
      <c r="AB534" s="29" t="str">
        <f>IFERROR(HLOOKUP(X534,List!$D$2:$H$6,5,FALSE),"")</f>
        <v/>
      </c>
      <c r="AC534" s="12" t="str">
        <f t="shared" si="118"/>
        <v/>
      </c>
      <c r="AD534" s="12" t="str">
        <f t="shared" si="119"/>
        <v/>
      </c>
      <c r="AE534" s="12" t="str">
        <f t="shared" si="120"/>
        <v/>
      </c>
      <c r="AF534" s="12" t="str">
        <f t="shared" si="121"/>
        <v/>
      </c>
      <c r="AG534" t="str">
        <f>VLOOKUP(J534,'Receivable Invoice Detail'!$A$1:F3546,6,FALSE)</f>
        <v>[G-D04872A 1216] Thrust Bearing Housing, 3196 MTX, CD4MCu</v>
      </c>
      <c r="AM534" s="12" t="str">
        <f t="shared" si="123"/>
        <v/>
      </c>
      <c r="AN534" s="12" t="str">
        <f t="shared" si="124"/>
        <v/>
      </c>
      <c r="AO534" s="12" t="str">
        <f t="shared" si="125"/>
        <v/>
      </c>
      <c r="AP534" s="12" t="str">
        <f t="shared" si="126"/>
        <v/>
      </c>
      <c r="AQ534" s="64"/>
      <c r="AR534" s="64"/>
      <c r="AS534" s="12">
        <f t="shared" si="127"/>
        <v>0</v>
      </c>
      <c r="AT534" s="16" t="str">
        <f t="shared" si="131"/>
        <v/>
      </c>
    </row>
    <row r="535" spans="1:46" hidden="1" x14ac:dyDescent="0.25">
      <c r="A535" s="41">
        <f>CASOPOInvCL!T535</f>
        <v>4</v>
      </c>
      <c r="B535" t="str">
        <f>CASOPOInvCL!Z535</f>
        <v>SO17201</v>
      </c>
      <c r="C535" s="59"/>
      <c r="D535" s="59"/>
      <c r="E535" s="59"/>
      <c r="F535" s="59"/>
      <c r="G535" s="5">
        <f>CASOPOInvCL!I535</f>
        <v>0</v>
      </c>
      <c r="H535" s="31">
        <f>CASOPOInvCL!U535</f>
        <v>5</v>
      </c>
      <c r="I535" s="31">
        <f>CASOPOInvCL!V535</f>
        <v>2025</v>
      </c>
      <c r="J535" s="5" t="str">
        <f>CASOPOInvCL!AB535</f>
        <v>INV13644</v>
      </c>
      <c r="K535" s="31">
        <f>CASOPOInvCL!W535</f>
        <v>12</v>
      </c>
      <c r="L535" s="31">
        <f>CASOPOInvCL!X535</f>
        <v>2025</v>
      </c>
      <c r="M535" s="70"/>
      <c r="N535" s="5" t="str">
        <f>CASOPOInvCL!AF535</f>
        <v>Barrick Gold - Pueblo Viejo Dominicana Corporation</v>
      </c>
      <c r="O535" s="16" t="str">
        <f>CASOPOInvCL!AG535</f>
        <v>USD</v>
      </c>
      <c r="P535" s="16">
        <f>CASOPOInvCL!AH535</f>
        <v>0</v>
      </c>
      <c r="Q535" s="16">
        <f>CASOPOInvCL!AI535</f>
        <v>0</v>
      </c>
      <c r="R535" s="32" t="str">
        <f>CASOPOInvCL!AU535</f>
        <v/>
      </c>
      <c r="S535" s="16">
        <f>CASOPOInvCL!AV535</f>
        <v>0</v>
      </c>
      <c r="T535" s="16">
        <f>CASOPOInvCL!AW535</f>
        <v>0</v>
      </c>
      <c r="U535" s="59"/>
      <c r="V535" s="59"/>
      <c r="W535" s="59"/>
      <c r="X535" s="59"/>
      <c r="Y535" s="29" t="str">
        <f>IFERROR(HLOOKUP(U535,List!$D$2:$H$6,2,FALSE),"")</f>
        <v/>
      </c>
      <c r="Z535" s="29" t="str">
        <f>IFERROR(HLOOKUP(V535,List!$D$2:$H$6,3,FALSE),"")</f>
        <v/>
      </c>
      <c r="AA535" s="29" t="str">
        <f>IFERROR(HLOOKUP(W535,List!$D$2:$H$6,4,FALSE),"")</f>
        <v/>
      </c>
      <c r="AB535" s="29" t="str">
        <f>IFERROR(HLOOKUP(X535,List!$D$2:$H$6,5,FALSE),"")</f>
        <v/>
      </c>
      <c r="AC535" s="12" t="str">
        <f t="shared" si="118"/>
        <v/>
      </c>
      <c r="AD535" s="12" t="str">
        <f t="shared" si="119"/>
        <v/>
      </c>
      <c r="AE535" s="12" t="str">
        <f t="shared" si="120"/>
        <v/>
      </c>
      <c r="AF535" s="12" t="str">
        <f t="shared" si="121"/>
        <v/>
      </c>
      <c r="AG535" t="str">
        <f>VLOOKUP(J535,'Receivable Invoice Detail'!$A$1:F3547,6,FALSE)</f>
        <v>[G-247-45 1204] Casing, 3x4-8G, 3196 MTX, Alloy 20</v>
      </c>
      <c r="AI535" s="59"/>
      <c r="AJ535" s="59"/>
      <c r="AK535" s="59"/>
      <c r="AL535" s="59"/>
      <c r="AM535" s="12" t="str">
        <f t="shared" si="123"/>
        <v/>
      </c>
      <c r="AN535" s="12" t="str">
        <f t="shared" si="124"/>
        <v/>
      </c>
      <c r="AO535" s="12" t="str">
        <f t="shared" si="125"/>
        <v/>
      </c>
      <c r="AP535" s="12" t="str">
        <f t="shared" si="126"/>
        <v/>
      </c>
      <c r="AQ535" s="98"/>
      <c r="AR535" s="98"/>
      <c r="AS535" s="12">
        <f t="shared" si="127"/>
        <v>0</v>
      </c>
      <c r="AT535" s="16"/>
    </row>
    <row r="536" spans="1:46" hidden="1" x14ac:dyDescent="0.25">
      <c r="A536" s="41">
        <f>CASOPOInvCL!T536</f>
        <v>1</v>
      </c>
      <c r="B536" t="str">
        <f>CASOPOInvCL!Z536</f>
        <v>SO17202</v>
      </c>
      <c r="G536" s="5" t="str">
        <f>CASOPOInvCL!I536</f>
        <v>Ian Trottier</v>
      </c>
      <c r="H536" s="31">
        <f>CASOPOInvCL!U536</f>
        <v>5</v>
      </c>
      <c r="I536" s="31">
        <f>CASOPOInvCL!V536</f>
        <v>2025</v>
      </c>
      <c r="J536" s="5" t="str">
        <f>CASOPOInvCL!AB536</f>
        <v>INV13002</v>
      </c>
      <c r="K536" s="31">
        <f>CASOPOInvCL!W536</f>
        <v>6</v>
      </c>
      <c r="L536" s="31">
        <f>CASOPOInvCL!X536</f>
        <v>2025</v>
      </c>
      <c r="M536" s="31"/>
      <c r="N536" s="5" t="str">
        <f>CASOPOInvCL!AF536</f>
        <v>Les Pompes Diaspec Inc.</v>
      </c>
      <c r="O536" s="16" t="str">
        <f>CASOPOInvCL!AG536</f>
        <v>CAD</v>
      </c>
      <c r="P536" s="16">
        <f>CASOPOInvCL!AH536</f>
        <v>2110.85</v>
      </c>
      <c r="Q536" s="16">
        <f>CASOPOInvCL!AI536</f>
        <v>1534.1642771909874</v>
      </c>
      <c r="R536" s="32" t="str">
        <f>CASOPOInvCL!AU536</f>
        <v>Yes</v>
      </c>
      <c r="S536" s="16">
        <f>CASOPOInvCL!AV536</f>
        <v>45</v>
      </c>
      <c r="T536" s="16">
        <f>CASOPOInvCL!AW536</f>
        <v>1489.1642771909874</v>
      </c>
      <c r="Y536" s="29" t="str">
        <f>IFERROR(HLOOKUP(U536,List!$D$2:$H$6,2,FALSE),"")</f>
        <v/>
      </c>
      <c r="Z536" s="29" t="str">
        <f>IFERROR(HLOOKUP(V536,List!$D$2:$H$6,3,FALSE),"")</f>
        <v/>
      </c>
      <c r="AA536" s="29" t="str">
        <f>IFERROR(HLOOKUP(W536,List!$D$2:$H$6,4,FALSE),"")</f>
        <v/>
      </c>
      <c r="AB536" s="29" t="str">
        <f>IFERROR(HLOOKUP(X536,List!$D$2:$H$6,5,FALSE),"")</f>
        <v/>
      </c>
      <c r="AC536" s="12" t="str">
        <f t="shared" si="118"/>
        <v/>
      </c>
      <c r="AD536" s="12" t="str">
        <f t="shared" si="119"/>
        <v/>
      </c>
      <c r="AE536" s="12" t="str">
        <f t="shared" si="120"/>
        <v/>
      </c>
      <c r="AF536" s="12" t="str">
        <f t="shared" si="121"/>
        <v/>
      </c>
      <c r="AG536" t="str">
        <f>VLOOKUP(J536,'Receivable Invoice Detail'!$A$1:F3548,6,FALSE)</f>
        <v>[AC-98-432-884-801] Bearing Housing, PWO, Frame 2, Oil</v>
      </c>
      <c r="AH536" s="12">
        <f t="shared" ref="AH536" si="135">SUM(AC536:AF536)</f>
        <v>0</v>
      </c>
      <c r="AM536" s="12" t="str">
        <f t="shared" si="123"/>
        <v/>
      </c>
      <c r="AN536" s="12" t="str">
        <f t="shared" si="124"/>
        <v/>
      </c>
      <c r="AO536" s="12" t="str">
        <f t="shared" si="125"/>
        <v/>
      </c>
      <c r="AP536" s="12" t="str">
        <f t="shared" si="126"/>
        <v/>
      </c>
      <c r="AQ536" s="12"/>
      <c r="AS536" s="12">
        <f t="shared" si="127"/>
        <v>22.337464157864808</v>
      </c>
      <c r="AT536" s="16" t="str">
        <f>R536</f>
        <v>Yes</v>
      </c>
    </row>
    <row r="537" spans="1:46" hidden="1" x14ac:dyDescent="0.25">
      <c r="A537" s="41">
        <f>CASOPOInvCL!T537</f>
        <v>1</v>
      </c>
      <c r="B537" t="str">
        <f>CASOPOInvCL!Z537</f>
        <v>SO17205</v>
      </c>
      <c r="D537" t="s">
        <v>5925</v>
      </c>
      <c r="G537" s="5" t="str">
        <f>CASOPOInvCL!I537</f>
        <v>Ian Trottier</v>
      </c>
      <c r="H537" s="31">
        <f>CASOPOInvCL!U537</f>
        <v>5</v>
      </c>
      <c r="I537" s="31">
        <f>CASOPOInvCL!V537</f>
        <v>2025</v>
      </c>
      <c r="J537" s="5" t="str">
        <f>CASOPOInvCL!AB537</f>
        <v>INV13047</v>
      </c>
      <c r="K537" s="31">
        <f>CASOPOInvCL!W537</f>
        <v>7</v>
      </c>
      <c r="L537" s="31">
        <f>CASOPOInvCL!X537</f>
        <v>2025</v>
      </c>
      <c r="M537">
        <v>2503</v>
      </c>
      <c r="N537" s="5" t="str">
        <f>CASOPOInvCL!AF537</f>
        <v>Motion Industries Inc. (Canada) - Chicoutimi, Motion Industries Inc. (Canada) - Chicoutimi</v>
      </c>
      <c r="O537" s="16" t="str">
        <f>CASOPOInvCL!AG537</f>
        <v>CAD</v>
      </c>
      <c r="P537" s="16">
        <f>CASOPOInvCL!AH537</f>
        <v>153.41999999999999</v>
      </c>
      <c r="Q537" s="16">
        <f>CASOPOInvCL!AI537</f>
        <v>111.00497854759105</v>
      </c>
      <c r="R537" s="32" t="str">
        <f>CASOPOInvCL!AU537</f>
        <v>Yes</v>
      </c>
      <c r="S537" s="16">
        <f>CASOPOInvCL!AV537</f>
        <v>0</v>
      </c>
      <c r="T537" s="16">
        <f>CASOPOInvCL!AW537</f>
        <v>111.00497854759105</v>
      </c>
      <c r="V537" t="s">
        <v>5800</v>
      </c>
      <c r="Y537" s="29" t="str">
        <f>IFERROR(HLOOKUP(U537,List!$D$2:$H$6,2,FALSE),"")</f>
        <v/>
      </c>
      <c r="Z537" s="29">
        <f>IFERROR(HLOOKUP(V537,List!$D$2:$H$6,3,FALSE),"")</f>
        <v>5.0000000000000001E-3</v>
      </c>
      <c r="AA537" s="29" t="str">
        <f>IFERROR(HLOOKUP(W537,List!$D$2:$H$6,4,FALSE),"")</f>
        <v/>
      </c>
      <c r="AB537" s="29" t="str">
        <f>IFERROR(HLOOKUP(X537,List!$D$2:$H$6,5,FALSE),"")</f>
        <v/>
      </c>
      <c r="AC537" s="12" t="str">
        <f t="shared" si="118"/>
        <v/>
      </c>
      <c r="AD537" s="12">
        <f t="shared" si="119"/>
        <v>0.5550248927379553</v>
      </c>
      <c r="AE537" s="12" t="str">
        <f t="shared" si="120"/>
        <v/>
      </c>
      <c r="AF537" s="12" t="str">
        <f t="shared" si="121"/>
        <v/>
      </c>
      <c r="AG537" t="str">
        <f>VLOOKUP(J537,'Receivable Invoice Detail'!$A$1:F3549,6,FALSE)</f>
        <v>[AC-52-235-695-005] Oil Slinger, Allis Chalmers CSO, Steel</v>
      </c>
      <c r="AM537" s="12" t="str">
        <f t="shared" si="123"/>
        <v/>
      </c>
      <c r="AN537" s="12">
        <f t="shared" si="124"/>
        <v>0.5550248927379553</v>
      </c>
      <c r="AO537" s="12" t="str">
        <f t="shared" si="125"/>
        <v/>
      </c>
      <c r="AP537" s="12" t="str">
        <f t="shared" si="126"/>
        <v/>
      </c>
      <c r="AQ537" s="64">
        <v>2503</v>
      </c>
      <c r="AR537" t="s">
        <v>5932</v>
      </c>
      <c r="AS537" s="12">
        <f t="shared" si="127"/>
        <v>1.6650746782138657</v>
      </c>
      <c r="AT537" s="16" t="str">
        <f>R537</f>
        <v>Yes</v>
      </c>
    </row>
    <row r="538" spans="1:46" hidden="1" x14ac:dyDescent="0.25">
      <c r="A538" s="41">
        <f>CASOPOInvCL!T538</f>
        <v>1</v>
      </c>
      <c r="B538" s="76" t="str">
        <f>CASOPOInvCL!Z538</f>
        <v>SO17207</v>
      </c>
      <c r="G538" s="5" t="str">
        <f>CASOPOInvCL!I538</f>
        <v>Wilka Nuñez</v>
      </c>
      <c r="H538" s="31">
        <f>CASOPOInvCL!U538</f>
        <v>5</v>
      </c>
      <c r="I538" s="31">
        <f>CASOPOInvCL!V538</f>
        <v>2025</v>
      </c>
      <c r="J538" s="5" t="str">
        <f>CASOPOInvCL!AB538</f>
        <v>INV13069</v>
      </c>
      <c r="K538" s="31">
        <f>CASOPOInvCL!W538</f>
        <v>8</v>
      </c>
      <c r="L538" s="31">
        <f>CASOPOInvCL!X538</f>
        <v>2025</v>
      </c>
      <c r="M538" s="31"/>
      <c r="N538" s="5" t="str">
        <f>CASOPOInvCL!AF538</f>
        <v>Barrick Gold - Pueblo Viejo Dominicana Corporation</v>
      </c>
      <c r="O538" s="16" t="str">
        <f>CASOPOInvCL!AG538</f>
        <v>USD</v>
      </c>
      <c r="P538" s="16">
        <f>CASOPOInvCL!AH538</f>
        <v>1350.8788535565316</v>
      </c>
      <c r="Q538" s="16">
        <f>CASOPOInvCL!AI538</f>
        <v>968.42</v>
      </c>
      <c r="R538" s="32" t="str">
        <f>CASOPOInvCL!AU538</f>
        <v>Yes</v>
      </c>
      <c r="S538" s="16">
        <f>CASOPOInvCL!AV538</f>
        <v>0</v>
      </c>
      <c r="T538" s="16">
        <f>CASOPOInvCL!AW538</f>
        <v>968.42</v>
      </c>
      <c r="Y538" s="29" t="str">
        <f>IFERROR(HLOOKUP(U538,List!$D$2:$H$6,2,FALSE),"")</f>
        <v/>
      </c>
      <c r="Z538" s="29" t="str">
        <f>IFERROR(HLOOKUP(V538,List!$D$2:$H$6,3,FALSE),"")</f>
        <v/>
      </c>
      <c r="AA538" s="29" t="str">
        <f>IFERROR(HLOOKUP(W538,List!$D$2:$H$6,4,FALSE),"")</f>
        <v/>
      </c>
      <c r="AB538" s="29" t="str">
        <f>IFERROR(HLOOKUP(X538,List!$D$2:$H$6,5,FALSE),"")</f>
        <v/>
      </c>
      <c r="AC538" s="12" t="str">
        <f t="shared" si="118"/>
        <v/>
      </c>
      <c r="AD538" s="12" t="str">
        <f t="shared" si="119"/>
        <v/>
      </c>
      <c r="AE538" s="12" t="str">
        <f t="shared" si="120"/>
        <v/>
      </c>
      <c r="AF538" s="12" t="str">
        <f t="shared" si="121"/>
        <v/>
      </c>
      <c r="AG538" t="str">
        <f>VLOOKUP(J538,'Receivable Invoice Detail'!$A$1:F3550,6,FALSE)</f>
        <v>[37229] Sleeve Bearing (Stuffing Box), ThorPlas-Blue, HPCW</v>
      </c>
      <c r="AM538" s="12" t="str">
        <f t="shared" si="123"/>
        <v/>
      </c>
      <c r="AN538" s="12" t="str">
        <f t="shared" si="124"/>
        <v/>
      </c>
      <c r="AO538" s="12" t="str">
        <f t="shared" si="125"/>
        <v/>
      </c>
      <c r="AP538" s="12" t="str">
        <f t="shared" si="126"/>
        <v/>
      </c>
      <c r="AQ538" s="64">
        <v>2503</v>
      </c>
      <c r="AR538" s="64" t="s">
        <v>5934</v>
      </c>
      <c r="AS538" s="12">
        <f t="shared" si="127"/>
        <v>14.526299999999999</v>
      </c>
      <c r="AT538" s="16" t="s">
        <v>5940</v>
      </c>
    </row>
    <row r="539" spans="1:46" hidden="1" x14ac:dyDescent="0.25">
      <c r="A539" s="41">
        <f>CASOPOInvCL!T539</f>
        <v>1</v>
      </c>
      <c r="B539" t="str">
        <f>CASOPOInvCL!Z539</f>
        <v>SO17209</v>
      </c>
      <c r="G539" s="5" t="str">
        <f>CASOPOInvCL!I539</f>
        <v>Yannett Yeomans</v>
      </c>
      <c r="H539" s="31">
        <f>CASOPOInvCL!U539</f>
        <v>5</v>
      </c>
      <c r="I539" s="31">
        <f>CASOPOInvCL!V539</f>
        <v>2025</v>
      </c>
      <c r="J539" s="5" t="str">
        <f>CASOPOInvCL!AB539</f>
        <v>INV13322</v>
      </c>
      <c r="K539" s="31" t="str">
        <f>CASOPOInvCL!W539</f>
        <v/>
      </c>
      <c r="L539" s="31" t="str">
        <f>CASOPOInvCL!X539</f>
        <v/>
      </c>
      <c r="M539" s="31"/>
      <c r="N539" s="5" t="str">
        <f>CASOPOInvCL!AF539</f>
        <v>Dynapro Pumps México S de RL de CV</v>
      </c>
      <c r="O539" s="16" t="str">
        <f>CASOPOInvCL!AG539</f>
        <v>USD</v>
      </c>
      <c r="P539" s="16">
        <f>CASOPOInvCL!AH539</f>
        <v>22413.747567115872</v>
      </c>
      <c r="Q539" s="16">
        <f>CASOPOInvCL!AI539</f>
        <v>16068</v>
      </c>
      <c r="R539" s="32" t="str">
        <f>CASOPOInvCL!AU539</f>
        <v/>
      </c>
      <c r="S539" s="16">
        <f>CASOPOInvCL!AV539</f>
        <v>0</v>
      </c>
      <c r="T539" s="16">
        <f>CASOPOInvCL!AW539</f>
        <v>0</v>
      </c>
      <c r="Y539" s="29" t="str">
        <f>IFERROR(HLOOKUP(U539,List!$D$2:$H$6,2,FALSE),"")</f>
        <v/>
      </c>
      <c r="Z539" s="29" t="str">
        <f>IFERROR(HLOOKUP(V539,List!$D$2:$H$6,3,FALSE),"")</f>
        <v/>
      </c>
      <c r="AA539" s="29" t="str">
        <f>IFERROR(HLOOKUP(W539,List!$D$2:$H$6,4,FALSE),"")</f>
        <v/>
      </c>
      <c r="AB539" s="29" t="str">
        <f>IFERROR(HLOOKUP(X539,List!$D$2:$H$6,5,FALSE),"")</f>
        <v/>
      </c>
      <c r="AC539" s="12" t="str">
        <f t="shared" si="118"/>
        <v/>
      </c>
      <c r="AD539" s="12" t="str">
        <f t="shared" si="119"/>
        <v/>
      </c>
      <c r="AE539" s="12" t="str">
        <f t="shared" si="120"/>
        <v/>
      </c>
      <c r="AF539" s="12" t="str">
        <f t="shared" si="121"/>
        <v/>
      </c>
      <c r="AG539" t="str">
        <f>VLOOKUP(J539,'Receivable Invoice Detail'!$A$1:F3551,6,FALSE)</f>
        <v>[150SV-SP] Vertical Sump Pump, 150SV-SP, High Chrome</v>
      </c>
      <c r="AM539" s="12" t="str">
        <f t="shared" si="123"/>
        <v/>
      </c>
      <c r="AN539" s="12" t="str">
        <f t="shared" si="124"/>
        <v/>
      </c>
      <c r="AO539" s="12" t="str">
        <f t="shared" si="125"/>
        <v/>
      </c>
      <c r="AP539" s="12" t="str">
        <f t="shared" si="126"/>
        <v/>
      </c>
      <c r="AQ539" s="12"/>
      <c r="AR539" s="16" t="s">
        <v>5940</v>
      </c>
      <c r="AS539" s="12">
        <f t="shared" si="127"/>
        <v>0</v>
      </c>
      <c r="AT539" s="16" t="str">
        <f t="shared" ref="AT539:AT577" si="136">R539</f>
        <v/>
      </c>
    </row>
    <row r="540" spans="1:46" hidden="1" x14ac:dyDescent="0.25">
      <c r="A540" s="41">
        <f>CASOPOInvCL!T540</f>
        <v>1</v>
      </c>
      <c r="B540" t="str">
        <f>CASOPOInvCL!Z540</f>
        <v>SO17210</v>
      </c>
      <c r="G540" s="5" t="str">
        <f>CASOPOInvCL!I540</f>
        <v>Taylor Cook</v>
      </c>
      <c r="H540" s="31">
        <f>CASOPOInvCL!U540</f>
        <v>5</v>
      </c>
      <c r="I540" s="31">
        <f>CASOPOInvCL!V540</f>
        <v>2025</v>
      </c>
      <c r="J540" s="5" t="str">
        <f>CASOPOInvCL!AB540</f>
        <v>INV13005</v>
      </c>
      <c r="K540" s="31">
        <f>CASOPOInvCL!W540</f>
        <v>6</v>
      </c>
      <c r="L540" s="31">
        <f>CASOPOInvCL!X540</f>
        <v>2025</v>
      </c>
      <c r="M540" s="31"/>
      <c r="N540" s="5" t="str">
        <f>CASOPOInvCL!AF540</f>
        <v>Wild Rows Pump &amp; Compression LTD.</v>
      </c>
      <c r="O540" s="16" t="str">
        <f>CASOPOInvCL!AG540</f>
        <v>CAD</v>
      </c>
      <c r="P540" s="16">
        <f>CASOPOInvCL!AH540</f>
        <v>190.55</v>
      </c>
      <c r="Q540" s="16">
        <f>CASOPOInvCL!AI540</f>
        <v>137.50292597914748</v>
      </c>
      <c r="R540" s="32" t="str">
        <f>CASOPOInvCL!AU540</f>
        <v>Yes</v>
      </c>
      <c r="S540" s="16">
        <f>CASOPOInvCL!AV540</f>
        <v>0</v>
      </c>
      <c r="T540" s="16">
        <f>CASOPOInvCL!AW540</f>
        <v>137.50292597914748</v>
      </c>
      <c r="Y540" s="29" t="str">
        <f>IFERROR(HLOOKUP(U540,List!$D$2:$H$6,2,FALSE),"")</f>
        <v/>
      </c>
      <c r="Z540" s="29" t="str">
        <f>IFERROR(HLOOKUP(V540,List!$D$2:$H$6,3,FALSE),"")</f>
        <v/>
      </c>
      <c r="AA540" s="29" t="str">
        <f>IFERROR(HLOOKUP(W540,List!$D$2:$H$6,4,FALSE),"")</f>
        <v/>
      </c>
      <c r="AB540" s="29" t="str">
        <f>IFERROR(HLOOKUP(X540,List!$D$2:$H$6,5,FALSE),"")</f>
        <v/>
      </c>
      <c r="AC540" s="12" t="str">
        <f t="shared" si="118"/>
        <v/>
      </c>
      <c r="AD540" s="12" t="str">
        <f t="shared" si="119"/>
        <v/>
      </c>
      <c r="AE540" s="12" t="str">
        <f t="shared" si="120"/>
        <v/>
      </c>
      <c r="AF540" s="12" t="str">
        <f t="shared" si="121"/>
        <v/>
      </c>
      <c r="AG540" t="str">
        <f>VLOOKUP(J540,'Receivable Invoice Detail'!$A$1:F3552,6,FALSE)</f>
        <v>[W-C2060/S01] Intake Joint Ring, 3/2 C-AH, EPDM</v>
      </c>
      <c r="AH540" s="12">
        <f t="shared" ref="AH540" si="137">SUM(AC540:AF540)</f>
        <v>0</v>
      </c>
      <c r="AM540" s="12" t="str">
        <f t="shared" si="123"/>
        <v/>
      </c>
      <c r="AN540" s="12" t="str">
        <f t="shared" si="124"/>
        <v/>
      </c>
      <c r="AO540" s="12" t="str">
        <f t="shared" si="125"/>
        <v/>
      </c>
      <c r="AP540" s="12" t="str">
        <f t="shared" si="126"/>
        <v/>
      </c>
      <c r="AQ540" s="12"/>
      <c r="AS540" s="12">
        <f t="shared" si="127"/>
        <v>2.0625438896872121</v>
      </c>
      <c r="AT540" s="16" t="str">
        <f t="shared" si="136"/>
        <v>Yes</v>
      </c>
    </row>
    <row r="541" spans="1:46" hidden="1" x14ac:dyDescent="0.25">
      <c r="A541" s="97">
        <f>CASOPOInvCL!T541</f>
        <v>0</v>
      </c>
      <c r="B541" t="str">
        <f>CASOPOInvCL!Z541</f>
        <v>SO17211</v>
      </c>
      <c r="C541" s="59"/>
      <c r="D541" s="59"/>
      <c r="E541" s="59"/>
      <c r="F541" s="59"/>
      <c r="G541" s="5" t="str">
        <f>CASOPOInvCL!I541</f>
        <v>Ian Trottier</v>
      </c>
      <c r="H541" s="31">
        <f>CASOPOInvCL!U541</f>
        <v>5</v>
      </c>
      <c r="I541" s="31">
        <f>CASOPOInvCL!V541</f>
        <v>2025</v>
      </c>
      <c r="J541" s="5" t="str">
        <f>CASOPOInvCL!AB541</f>
        <v>No Inv</v>
      </c>
      <c r="K541" s="31" t="str">
        <f>CASOPOInvCL!W541</f>
        <v/>
      </c>
      <c r="L541" s="31" t="str">
        <f>CASOPOInvCL!X541</f>
        <v/>
      </c>
      <c r="M541" s="70"/>
      <c r="N541" s="5" t="str">
        <f>CASOPOInvCL!AF541</f>
        <v>Agnico Eagle Mines Ltd. - Cochrane</v>
      </c>
      <c r="O541" s="16" t="str">
        <f>CASOPOInvCL!AG541</f>
        <v>CAD</v>
      </c>
      <c r="P541" s="16">
        <f>CASOPOInvCL!AH541</f>
        <v>8971.0400000000009</v>
      </c>
      <c r="Q541" s="16">
        <f>CASOPOInvCL!AI541</f>
        <v>6476.420064104821</v>
      </c>
      <c r="R541" s="32" t="str">
        <f>CASOPOInvCL!AU541</f>
        <v/>
      </c>
      <c r="S541" s="16">
        <f>CASOPOInvCL!AV541</f>
        <v>0</v>
      </c>
      <c r="T541" s="16">
        <f>CASOPOInvCL!AW541</f>
        <v>0</v>
      </c>
      <c r="U541" s="59"/>
      <c r="V541" s="59"/>
      <c r="W541" s="59"/>
      <c r="X541" s="59"/>
      <c r="Y541" s="29" t="str">
        <f>IFERROR(HLOOKUP(U541,List!$D$2:$H$6,2,FALSE),"")</f>
        <v/>
      </c>
      <c r="Z541" s="29" t="str">
        <f>IFERROR(HLOOKUP(V541,List!$D$2:$H$6,3,FALSE),"")</f>
        <v/>
      </c>
      <c r="AA541" s="29" t="str">
        <f>IFERROR(HLOOKUP(W541,List!$D$2:$H$6,4,FALSE),"")</f>
        <v/>
      </c>
      <c r="AB541" s="29" t="str">
        <f>IFERROR(HLOOKUP(X541,List!$D$2:$H$6,5,FALSE),"")</f>
        <v/>
      </c>
      <c r="AC541" s="12" t="str">
        <f t="shared" si="118"/>
        <v/>
      </c>
      <c r="AD541" s="12" t="str">
        <f t="shared" si="119"/>
        <v/>
      </c>
      <c r="AE541" s="12" t="str">
        <f t="shared" si="120"/>
        <v/>
      </c>
      <c r="AF541" s="12" t="str">
        <f t="shared" si="121"/>
        <v/>
      </c>
      <c r="AG541" t="e">
        <f>VLOOKUP(J541,'Receivable Invoice Detail'!$A$1:F3553,6,FALSE)</f>
        <v>#N/A</v>
      </c>
      <c r="AI541" s="59"/>
      <c r="AJ541" s="59"/>
      <c r="AK541" s="59"/>
      <c r="AL541" s="59"/>
      <c r="AM541" s="12" t="str">
        <f t="shared" si="123"/>
        <v/>
      </c>
      <c r="AN541" s="12" t="str">
        <f t="shared" si="124"/>
        <v/>
      </c>
      <c r="AO541" s="12" t="str">
        <f t="shared" si="125"/>
        <v/>
      </c>
      <c r="AP541" s="12" t="str">
        <f t="shared" si="126"/>
        <v/>
      </c>
      <c r="AQ541" s="60"/>
      <c r="AR541" s="59"/>
      <c r="AS541" s="12"/>
      <c r="AT541" s="16" t="str">
        <f t="shared" si="136"/>
        <v/>
      </c>
    </row>
    <row r="542" spans="1:46" hidden="1" x14ac:dyDescent="0.25">
      <c r="A542" s="41">
        <f>CASOPOInvCL!T542</f>
        <v>1</v>
      </c>
      <c r="B542" t="str">
        <f>CASOPOInvCL!Z542</f>
        <v>SO17212</v>
      </c>
      <c r="D542" t="s">
        <v>5925</v>
      </c>
      <c r="G542" s="5" t="str">
        <f>CASOPOInvCL!I542</f>
        <v>Ian Trottier</v>
      </c>
      <c r="H542" s="31">
        <f>CASOPOInvCL!U542</f>
        <v>5</v>
      </c>
      <c r="I542" s="31">
        <f>CASOPOInvCL!V542</f>
        <v>2025</v>
      </c>
      <c r="J542" s="5" t="str">
        <f>CASOPOInvCL!AB542</f>
        <v>INV13055</v>
      </c>
      <c r="K542" s="31">
        <f>CASOPOInvCL!W542</f>
        <v>7</v>
      </c>
      <c r="L542" s="31">
        <f>CASOPOInvCL!X542</f>
        <v>2025</v>
      </c>
      <c r="M542">
        <v>2503</v>
      </c>
      <c r="N542" s="5" t="str">
        <f>CASOPOInvCL!AF542</f>
        <v>Cameco Corporation - Blind River Refinery</v>
      </c>
      <c r="O542" s="16" t="str">
        <f>CASOPOInvCL!AG542</f>
        <v>CAD</v>
      </c>
      <c r="P542" s="16">
        <f>CASOPOInvCL!AH542</f>
        <v>29586.69</v>
      </c>
      <c r="Q542" s="16">
        <f>CASOPOInvCL!AI542</f>
        <v>21503.58522790526</v>
      </c>
      <c r="R542" s="32" t="str">
        <f>CASOPOInvCL!AU542</f>
        <v>Yes</v>
      </c>
      <c r="S542" s="16">
        <f>CASOPOInvCL!AV542</f>
        <v>0</v>
      </c>
      <c r="T542" s="16">
        <f>CASOPOInvCL!AW542</f>
        <v>21503.58522790526</v>
      </c>
      <c r="V542" t="s">
        <v>5800</v>
      </c>
      <c r="Y542" s="29" t="str">
        <f>IFERROR(HLOOKUP(U542,List!$D$2:$H$6,2,FALSE),"")</f>
        <v/>
      </c>
      <c r="Z542" s="29">
        <f>IFERROR(HLOOKUP(V542,List!$D$2:$H$6,3,FALSE),"")</f>
        <v>5.0000000000000001E-3</v>
      </c>
      <c r="AA542" s="29" t="str">
        <f>IFERROR(HLOOKUP(W542,List!$D$2:$H$6,4,FALSE),"")</f>
        <v/>
      </c>
      <c r="AB542" s="29" t="str">
        <f>IFERROR(HLOOKUP(X542,List!$D$2:$H$6,5,FALSE),"")</f>
        <v/>
      </c>
      <c r="AC542" s="12" t="str">
        <f t="shared" si="118"/>
        <v/>
      </c>
      <c r="AD542" s="12">
        <f t="shared" si="119"/>
        <v>107.5179261395263</v>
      </c>
      <c r="AE542" s="12" t="str">
        <f t="shared" si="120"/>
        <v/>
      </c>
      <c r="AF542" s="12" t="str">
        <f t="shared" si="121"/>
        <v/>
      </c>
      <c r="AG542" t="str">
        <f>VLOOKUP(J542,'Receivable Invoice Detail'!$A$1:F3554,6,FALSE)</f>
        <v>[G-259-63 01 1203] Casing, 10x12-18, 3175-M, 316SS</v>
      </c>
      <c r="AM542" s="12" t="str">
        <f t="shared" si="123"/>
        <v/>
      </c>
      <c r="AN542" s="12">
        <f t="shared" si="124"/>
        <v>107.5179261395263</v>
      </c>
      <c r="AO542" s="12" t="str">
        <f t="shared" si="125"/>
        <v/>
      </c>
      <c r="AP542" s="12" t="str">
        <f t="shared" si="126"/>
        <v/>
      </c>
      <c r="AQ542" s="64">
        <v>2503</v>
      </c>
      <c r="AR542" t="s">
        <v>5932</v>
      </c>
      <c r="AS542" s="12">
        <f t="shared" ref="AS542:AS580" si="138">T540*1.5%</f>
        <v>2.0625438896872121</v>
      </c>
      <c r="AT542" s="16" t="str">
        <f t="shared" si="136"/>
        <v>Yes</v>
      </c>
    </row>
    <row r="543" spans="1:46" hidden="1" x14ac:dyDescent="0.25">
      <c r="A543" s="41">
        <f>CASOPOInvCL!T543</f>
        <v>3</v>
      </c>
      <c r="B543" t="str">
        <f>CASOPOInvCL!Z543</f>
        <v>SO17214</v>
      </c>
      <c r="D543" t="s">
        <v>5925</v>
      </c>
      <c r="G543" s="5" t="str">
        <f>CASOPOInvCL!I543</f>
        <v>Ian Trottier</v>
      </c>
      <c r="H543" s="31">
        <f>CASOPOInvCL!U543</f>
        <v>5</v>
      </c>
      <c r="I543" s="31">
        <f>CASOPOInvCL!V543</f>
        <v>2025</v>
      </c>
      <c r="J543" s="5" t="str">
        <f>CASOPOInvCL!AB543</f>
        <v>INV13020</v>
      </c>
      <c r="K543" s="31">
        <f>CASOPOInvCL!W543</f>
        <v>6</v>
      </c>
      <c r="L543" s="31">
        <f>CASOPOInvCL!X543</f>
        <v>2025</v>
      </c>
      <c r="M543">
        <v>2504</v>
      </c>
      <c r="N543" s="5" t="str">
        <f>CASOPOInvCL!AF543</f>
        <v>Sling-Choker Manufacturing - Timmins</v>
      </c>
      <c r="O543" s="16" t="str">
        <f>CASOPOInvCL!AG543</f>
        <v>CAD</v>
      </c>
      <c r="P543" s="16">
        <f>CASOPOInvCL!AH543</f>
        <v>6469.1</v>
      </c>
      <c r="Q543" s="16">
        <f>CASOPOInvCL!AI543</f>
        <v>4668.1720202136048</v>
      </c>
      <c r="R543" s="32" t="str">
        <f>CASOPOInvCL!AU543</f>
        <v>Yes</v>
      </c>
      <c r="S543" s="16">
        <f>CASOPOInvCL!AV543</f>
        <v>0</v>
      </c>
      <c r="T543" s="16">
        <f>CASOPOInvCL!AW543</f>
        <v>4668.1720202136048</v>
      </c>
      <c r="V543" t="s">
        <v>5800</v>
      </c>
      <c r="Y543" s="29" t="str">
        <f>IFERROR(HLOOKUP(U543,List!$D$2:$H$6,2,FALSE),"")</f>
        <v/>
      </c>
      <c r="Z543" s="29">
        <f>IFERROR(HLOOKUP(V543,List!$D$2:$H$6,3,FALSE),"")</f>
        <v>5.0000000000000001E-3</v>
      </c>
      <c r="AA543" s="29" t="str">
        <f>IFERROR(HLOOKUP(W543,List!$D$2:$H$6,4,FALSE),"")</f>
        <v/>
      </c>
      <c r="AB543" s="29" t="str">
        <f>IFERROR(HLOOKUP(X543,List!$D$2:$H$6,5,FALSE),"")</f>
        <v/>
      </c>
      <c r="AC543" s="12" t="str">
        <f t="shared" si="118"/>
        <v/>
      </c>
      <c r="AD543" s="12">
        <f t="shared" si="119"/>
        <v>23.340860101068024</v>
      </c>
      <c r="AE543" s="12" t="str">
        <f t="shared" si="120"/>
        <v/>
      </c>
      <c r="AF543" s="12" t="str">
        <f t="shared" si="121"/>
        <v/>
      </c>
      <c r="AG543" t="str">
        <f>VLOOKUP(J543,'Receivable Invoice Detail'!$A$1:F3555,6,FALSE)</f>
        <v>[G-00-737-851-110] Sight Glass (Press-In), PWO Frame 2</v>
      </c>
      <c r="AM543" s="12" t="str">
        <f t="shared" si="123"/>
        <v/>
      </c>
      <c r="AN543" s="12">
        <f t="shared" si="124"/>
        <v>23.340860101068024</v>
      </c>
      <c r="AO543" s="12" t="str">
        <f t="shared" si="125"/>
        <v/>
      </c>
      <c r="AP543" s="12" t="str">
        <f t="shared" si="126"/>
        <v/>
      </c>
      <c r="AQ543" s="12"/>
      <c r="AS543" s="12">
        <f t="shared" si="138"/>
        <v>0</v>
      </c>
      <c r="AT543" s="16" t="str">
        <f t="shared" si="136"/>
        <v>Yes</v>
      </c>
    </row>
    <row r="544" spans="1:46" hidden="1" x14ac:dyDescent="0.25">
      <c r="A544" s="41">
        <f>CASOPOInvCL!T544</f>
        <v>3</v>
      </c>
      <c r="B544" t="str">
        <f>CASOPOInvCL!Z544</f>
        <v>SO17214</v>
      </c>
      <c r="D544" t="s">
        <v>5925</v>
      </c>
      <c r="G544" s="5">
        <f>CASOPOInvCL!I544</f>
        <v>0</v>
      </c>
      <c r="H544" s="31">
        <f>CASOPOInvCL!U544</f>
        <v>5</v>
      </c>
      <c r="I544" s="31">
        <f>CASOPOInvCL!V544</f>
        <v>2025</v>
      </c>
      <c r="J544" s="5" t="str">
        <f>CASOPOInvCL!AB544</f>
        <v>INV13163</v>
      </c>
      <c r="K544" s="31">
        <f>CASOPOInvCL!W544</f>
        <v>8</v>
      </c>
      <c r="L544" s="31">
        <f>CASOPOInvCL!X544</f>
        <v>2025</v>
      </c>
      <c r="M544">
        <v>2504</v>
      </c>
      <c r="N544" s="5" t="str">
        <f>CASOPOInvCL!AF544</f>
        <v>Sling-Choker Manufacturing - Timmins</v>
      </c>
      <c r="O544" s="16" t="str">
        <f>CASOPOInvCL!AG544</f>
        <v>CAD</v>
      </c>
      <c r="P544" s="16">
        <f>CASOPOInvCL!AH544</f>
        <v>0</v>
      </c>
      <c r="Q544" s="16">
        <f>CASOPOInvCL!AI544</f>
        <v>0</v>
      </c>
      <c r="R544" s="32" t="str">
        <f>CASOPOInvCL!AU544</f>
        <v/>
      </c>
      <c r="S544" s="16">
        <f>CASOPOInvCL!AV544</f>
        <v>0</v>
      </c>
      <c r="T544" s="16">
        <f>CASOPOInvCL!AW544</f>
        <v>0</v>
      </c>
      <c r="V544" t="s">
        <v>5800</v>
      </c>
      <c r="Y544" s="29" t="str">
        <f>IFERROR(HLOOKUP(U544,List!$D$2:$H$6,2,FALSE),"")</f>
        <v/>
      </c>
      <c r="Z544" s="29">
        <f>IFERROR(HLOOKUP(V544,List!$D$2:$H$6,3,FALSE),"")</f>
        <v>5.0000000000000001E-3</v>
      </c>
      <c r="AA544" s="29" t="str">
        <f>IFERROR(HLOOKUP(W544,List!$D$2:$H$6,4,FALSE),"")</f>
        <v/>
      </c>
      <c r="AB544" s="29" t="str">
        <f>IFERROR(HLOOKUP(X544,List!$D$2:$H$6,5,FALSE),"")</f>
        <v/>
      </c>
      <c r="AC544" s="12" t="str">
        <f t="shared" si="118"/>
        <v/>
      </c>
      <c r="AD544" s="12">
        <f t="shared" si="119"/>
        <v>0</v>
      </c>
      <c r="AE544" s="12" t="str">
        <f t="shared" si="120"/>
        <v/>
      </c>
      <c r="AF544" s="12" t="str">
        <f t="shared" si="121"/>
        <v/>
      </c>
      <c r="AG544" t="str">
        <f>VLOOKUP(J544,'Receivable Invoice Detail'!$A$1:F3556,6,FALSE)</f>
        <v>[AC-98-331-932-501] Shaft Assembly, 5x4-14 SRL-C &amp; 5x5-14 SRL, 1045 Steel</v>
      </c>
      <c r="AM544" s="12" t="str">
        <f t="shared" si="123"/>
        <v/>
      </c>
      <c r="AN544" s="12">
        <f t="shared" si="124"/>
        <v>0</v>
      </c>
      <c r="AO544" s="12" t="str">
        <f t="shared" si="125"/>
        <v/>
      </c>
      <c r="AP544" s="12" t="str">
        <f t="shared" si="126"/>
        <v/>
      </c>
      <c r="AQ544" s="12"/>
      <c r="AS544" s="12">
        <f t="shared" si="138"/>
        <v>322.55377841857887</v>
      </c>
      <c r="AT544" s="16" t="str">
        <f t="shared" si="136"/>
        <v/>
      </c>
    </row>
    <row r="545" spans="1:46" hidden="1" x14ac:dyDescent="0.25">
      <c r="A545" s="41">
        <f>CASOPOInvCL!T545</f>
        <v>3</v>
      </c>
      <c r="B545" t="str">
        <f>CASOPOInvCL!Z545</f>
        <v>SO17214</v>
      </c>
      <c r="D545" t="s">
        <v>5925</v>
      </c>
      <c r="G545" s="5">
        <f>CASOPOInvCL!I545</f>
        <v>0</v>
      </c>
      <c r="H545" s="31">
        <f>CASOPOInvCL!U545</f>
        <v>5</v>
      </c>
      <c r="I545" s="31">
        <f>CASOPOInvCL!V545</f>
        <v>2025</v>
      </c>
      <c r="J545" s="5" t="str">
        <f>CASOPOInvCL!AB545</f>
        <v>INV13388</v>
      </c>
      <c r="K545" s="31">
        <f>CASOPOInvCL!W545</f>
        <v>10</v>
      </c>
      <c r="L545" s="31">
        <f>CASOPOInvCL!X545</f>
        <v>2025</v>
      </c>
      <c r="M545">
        <v>2504</v>
      </c>
      <c r="N545" s="5" t="str">
        <f>CASOPOInvCL!AF545</f>
        <v>Sling-Choker Manufacturing - Timmins</v>
      </c>
      <c r="O545" s="16" t="str">
        <f>CASOPOInvCL!AG545</f>
        <v>CAD</v>
      </c>
      <c r="P545" s="16">
        <f>CASOPOInvCL!AH545</f>
        <v>0</v>
      </c>
      <c r="Q545" s="16">
        <f>CASOPOInvCL!AI545</f>
        <v>0</v>
      </c>
      <c r="R545" s="32" t="str">
        <f>CASOPOInvCL!AU545</f>
        <v/>
      </c>
      <c r="S545" s="16">
        <f>CASOPOInvCL!AV545</f>
        <v>0</v>
      </c>
      <c r="T545" s="16">
        <f>CASOPOInvCL!AW545</f>
        <v>0</v>
      </c>
      <c r="V545" t="s">
        <v>5800</v>
      </c>
      <c r="Y545" s="29" t="str">
        <f>IFERROR(HLOOKUP(U545,List!$D$2:$H$6,2,FALSE),"")</f>
        <v/>
      </c>
      <c r="Z545" s="29">
        <f>IFERROR(HLOOKUP(V545,List!$D$2:$H$6,3,FALSE),"")</f>
        <v>5.0000000000000001E-3</v>
      </c>
      <c r="AA545" s="29" t="str">
        <f>IFERROR(HLOOKUP(W545,List!$D$2:$H$6,4,FALSE),"")</f>
        <v/>
      </c>
      <c r="AB545" s="29" t="str">
        <f>IFERROR(HLOOKUP(X545,List!$D$2:$H$6,5,FALSE),"")</f>
        <v/>
      </c>
      <c r="AC545" s="12" t="str">
        <f t="shared" si="118"/>
        <v/>
      </c>
      <c r="AD545" s="12">
        <f t="shared" si="119"/>
        <v>0</v>
      </c>
      <c r="AE545" s="12" t="str">
        <f t="shared" si="120"/>
        <v/>
      </c>
      <c r="AF545" s="12" t="str">
        <f t="shared" si="121"/>
        <v/>
      </c>
      <c r="AG545" t="str">
        <f>VLOOKUP(J545,'Receivable Invoice Detail'!$A$1:F3557,6,FALSE)</f>
        <v>[W-PVR4005E] Bearing Assembly, 40 PV-SP, Rubber, 900mm</v>
      </c>
      <c r="AH545" s="12">
        <f t="shared" ref="AH545" si="139">SUM(AC545:AF545)</f>
        <v>0</v>
      </c>
      <c r="AM545" s="12" t="str">
        <f t="shared" si="123"/>
        <v/>
      </c>
      <c r="AN545" s="12">
        <f t="shared" si="124"/>
        <v>0</v>
      </c>
      <c r="AO545" s="12" t="str">
        <f t="shared" si="125"/>
        <v/>
      </c>
      <c r="AP545" s="12" t="str">
        <f t="shared" si="126"/>
        <v/>
      </c>
      <c r="AQ545" s="12"/>
      <c r="AS545" s="12">
        <f t="shared" si="138"/>
        <v>70.022580303204066</v>
      </c>
      <c r="AT545" s="16" t="str">
        <f t="shared" si="136"/>
        <v/>
      </c>
    </row>
    <row r="546" spans="1:46" hidden="1" x14ac:dyDescent="0.25">
      <c r="A546" s="41">
        <f>CASOPOInvCL!T546</f>
        <v>1</v>
      </c>
      <c r="B546" t="str">
        <f>CASOPOInvCL!Z546</f>
        <v>SO17216</v>
      </c>
      <c r="G546" s="5" t="str">
        <f>CASOPOInvCL!I546</f>
        <v>Ian Trottier</v>
      </c>
      <c r="H546" s="31">
        <f>CASOPOInvCL!U546</f>
        <v>5</v>
      </c>
      <c r="I546" s="31">
        <f>CASOPOInvCL!V546</f>
        <v>2025</v>
      </c>
      <c r="J546" s="5" t="str">
        <f>CASOPOInvCL!AB546</f>
        <v>INV13040</v>
      </c>
      <c r="K546" s="31">
        <f>CASOPOInvCL!W546</f>
        <v>7</v>
      </c>
      <c r="L546" s="31">
        <f>CASOPOInvCL!X546</f>
        <v>2025</v>
      </c>
      <c r="M546" s="31"/>
      <c r="N546" s="5" t="str">
        <f>CASOPOInvCL!AF546</f>
        <v>Resolute Forest Products - Saint-Felicien</v>
      </c>
      <c r="O546" s="16" t="str">
        <f>CASOPOInvCL!AG546</f>
        <v>CAD</v>
      </c>
      <c r="P546" s="16">
        <f>CASOPOInvCL!AH546</f>
        <v>2202.98</v>
      </c>
      <c r="Q546" s="16">
        <f>CASOPOInvCL!AI546</f>
        <v>1593.9365639471523</v>
      </c>
      <c r="R546" s="32" t="str">
        <f>CASOPOInvCL!AU546</f>
        <v>Yes</v>
      </c>
      <c r="S546" s="16">
        <f>CASOPOInvCL!AV546</f>
        <v>0</v>
      </c>
      <c r="T546" s="16">
        <f>CASOPOInvCL!AW546</f>
        <v>1593.9365639471523</v>
      </c>
      <c r="Y546" s="29" t="str">
        <f>IFERROR(HLOOKUP(U546,List!$D$2:$H$6,2,FALSE),"")</f>
        <v/>
      </c>
      <c r="Z546" s="29" t="str">
        <f>IFERROR(HLOOKUP(V546,List!$D$2:$H$6,3,FALSE),"")</f>
        <v/>
      </c>
      <c r="AA546" s="29" t="str">
        <f>IFERROR(HLOOKUP(W546,List!$D$2:$H$6,4,FALSE),"")</f>
        <v/>
      </c>
      <c r="AB546" s="29" t="str">
        <f>IFERROR(HLOOKUP(X546,List!$D$2:$H$6,5,FALSE),"")</f>
        <v/>
      </c>
      <c r="AC546" s="12" t="str">
        <f t="shared" si="118"/>
        <v/>
      </c>
      <c r="AD546" s="12" t="str">
        <f t="shared" si="119"/>
        <v/>
      </c>
      <c r="AE546" s="12" t="str">
        <f t="shared" si="120"/>
        <v/>
      </c>
      <c r="AF546" s="12" t="str">
        <f t="shared" si="121"/>
        <v/>
      </c>
      <c r="AG546" t="str">
        <f>VLOOKUP(J546,'Receivable Invoice Detail'!$A$1:F3558,6,FALSE)</f>
        <v>[AC-98-432-884-801] Bearing Housing, PWO, Frame 2, Oil</v>
      </c>
      <c r="AM546" s="12" t="str">
        <f t="shared" si="123"/>
        <v/>
      </c>
      <c r="AN546" s="12" t="str">
        <f t="shared" si="124"/>
        <v/>
      </c>
      <c r="AO546" s="12" t="str">
        <f t="shared" si="125"/>
        <v/>
      </c>
      <c r="AP546" s="12" t="str">
        <f t="shared" si="126"/>
        <v/>
      </c>
      <c r="AQ546" s="12"/>
      <c r="AS546" s="12">
        <f t="shared" si="138"/>
        <v>0</v>
      </c>
      <c r="AT546" s="16" t="str">
        <f t="shared" si="136"/>
        <v>Yes</v>
      </c>
    </row>
    <row r="547" spans="1:46" hidden="1" x14ac:dyDescent="0.25">
      <c r="A547" s="41">
        <f>CASOPOInvCL!T547</f>
        <v>1</v>
      </c>
      <c r="B547" t="str">
        <f>CASOPOInvCL!Z547</f>
        <v>SO17218</v>
      </c>
      <c r="D547" t="s">
        <v>5925</v>
      </c>
      <c r="G547" s="5" t="str">
        <f>CASOPOInvCL!I547</f>
        <v>Ian Trottier</v>
      </c>
      <c r="H547" s="31">
        <f>CASOPOInvCL!U547</f>
        <v>5</v>
      </c>
      <c r="I547" s="31">
        <f>CASOPOInvCL!V547</f>
        <v>2025</v>
      </c>
      <c r="J547" s="5" t="str">
        <f>CASOPOInvCL!AB547</f>
        <v>INV13118</v>
      </c>
      <c r="K547" s="31">
        <f>CASOPOInvCL!W547</f>
        <v>7</v>
      </c>
      <c r="L547" s="31">
        <f>CASOPOInvCL!X547</f>
        <v>2025</v>
      </c>
      <c r="M547">
        <v>2503</v>
      </c>
      <c r="N547" s="5" t="str">
        <f>CASOPOInvCL!AF547</f>
        <v>Canadian Bearings Ltd., Canadian Bearings Ltd. - Quebec City</v>
      </c>
      <c r="O547" s="16" t="str">
        <f>CASOPOInvCL!AG547</f>
        <v>CAD</v>
      </c>
      <c r="P547" s="16">
        <f>CASOPOInvCL!AH547</f>
        <v>5934.85</v>
      </c>
      <c r="Q547" s="16">
        <f>CASOPOInvCL!AI547</f>
        <v>4294.0809342534931</v>
      </c>
      <c r="R547" s="32" t="str">
        <f>CASOPOInvCL!AU547</f>
        <v>Yes</v>
      </c>
      <c r="S547" s="16">
        <f>CASOPOInvCL!AV547</f>
        <v>0</v>
      </c>
      <c r="T547" s="16">
        <f>CASOPOInvCL!AW547</f>
        <v>4294.0809342534931</v>
      </c>
      <c r="V547" t="s">
        <v>5800</v>
      </c>
      <c r="Y547" s="29" t="str">
        <f>IFERROR(HLOOKUP(U547,List!$D$2:$H$6,2,FALSE),"")</f>
        <v/>
      </c>
      <c r="Z547" s="29">
        <f>IFERROR(HLOOKUP(V547,List!$D$2:$H$6,3,FALSE),"")</f>
        <v>5.0000000000000001E-3</v>
      </c>
      <c r="AA547" s="29" t="str">
        <f>IFERROR(HLOOKUP(W547,List!$D$2:$H$6,4,FALSE),"")</f>
        <v/>
      </c>
      <c r="AB547" s="29" t="str">
        <f>IFERROR(HLOOKUP(X547,List!$D$2:$H$6,5,FALSE),"")</f>
        <v/>
      </c>
      <c r="AC547" s="12" t="str">
        <f t="shared" si="118"/>
        <v/>
      </c>
      <c r="AD547" s="12">
        <f t="shared" si="119"/>
        <v>21.470404671267467</v>
      </c>
      <c r="AE547" s="12" t="str">
        <f t="shared" si="120"/>
        <v/>
      </c>
      <c r="AF547" s="12" t="str">
        <f t="shared" si="121"/>
        <v/>
      </c>
      <c r="AG547" t="str">
        <f>VLOOKUP(J547,'Receivable Invoice Detail'!$A$1:F3559,6,FALSE)</f>
        <v>[AC-52-425-821-006] Casing, 3x1.5-13, Allis Chalmers CSO, 316SS</v>
      </c>
      <c r="AM547" s="12" t="str">
        <f t="shared" si="123"/>
        <v/>
      </c>
      <c r="AN547" s="12">
        <f t="shared" si="124"/>
        <v>21.470404671267467</v>
      </c>
      <c r="AO547" s="12" t="str">
        <f t="shared" si="125"/>
        <v/>
      </c>
      <c r="AP547" s="12" t="str">
        <f t="shared" si="126"/>
        <v/>
      </c>
      <c r="AQ547" s="64">
        <v>2503</v>
      </c>
      <c r="AR547" t="s">
        <v>5932</v>
      </c>
      <c r="AS547" s="12">
        <f t="shared" si="138"/>
        <v>0</v>
      </c>
      <c r="AT547" s="16" t="str">
        <f t="shared" si="136"/>
        <v>Yes</v>
      </c>
    </row>
    <row r="548" spans="1:46" hidden="1" x14ac:dyDescent="0.25">
      <c r="A548" s="41">
        <f>CASOPOInvCL!T548</f>
        <v>1</v>
      </c>
      <c r="B548" t="str">
        <f>CASOPOInvCL!Z548</f>
        <v>SO17219</v>
      </c>
      <c r="G548" s="5" t="str">
        <f>CASOPOInvCL!I548</f>
        <v>Taylor Cook</v>
      </c>
      <c r="H548" s="31">
        <f>CASOPOInvCL!U548</f>
        <v>5</v>
      </c>
      <c r="I548" s="31">
        <f>CASOPOInvCL!V548</f>
        <v>2025</v>
      </c>
      <c r="J548" s="5" t="str">
        <f>CASOPOInvCL!AB548</f>
        <v>INV13024</v>
      </c>
      <c r="K548" s="31">
        <f>CASOPOInvCL!W548</f>
        <v>6</v>
      </c>
      <c r="L548" s="31">
        <f>CASOPOInvCL!X548</f>
        <v>2025</v>
      </c>
      <c r="M548" s="31"/>
      <c r="N548" s="5" t="str">
        <f>CASOPOInvCL!AF548</f>
        <v>FMI Products</v>
      </c>
      <c r="O548" s="16" t="str">
        <f>CASOPOInvCL!AG548</f>
        <v>CAD</v>
      </c>
      <c r="P548" s="16">
        <f>CASOPOInvCL!AH548</f>
        <v>158.78</v>
      </c>
      <c r="Q548" s="16">
        <f>CASOPOInvCL!AI548</f>
        <v>115.40119095737975</v>
      </c>
      <c r="R548" s="32" t="str">
        <f>CASOPOInvCL!AU548</f>
        <v>Yes</v>
      </c>
      <c r="S548" s="16">
        <f>CASOPOInvCL!AV548</f>
        <v>0</v>
      </c>
      <c r="T548" s="16">
        <f>CASOPOInvCL!AW548</f>
        <v>115.40119095737975</v>
      </c>
      <c r="Y548" s="29" t="str">
        <f>IFERROR(HLOOKUP(U548,List!$D$2:$H$6,2,FALSE),"")</f>
        <v/>
      </c>
      <c r="Z548" s="29" t="str">
        <f>IFERROR(HLOOKUP(V548,List!$D$2:$H$6,3,FALSE),"")</f>
        <v/>
      </c>
      <c r="AA548" s="29" t="str">
        <f>IFERROR(HLOOKUP(W548,List!$D$2:$H$6,4,FALSE),"")</f>
        <v/>
      </c>
      <c r="AB548" s="29" t="str">
        <f>IFERROR(HLOOKUP(X548,List!$D$2:$H$6,5,FALSE),"")</f>
        <v/>
      </c>
      <c r="AC548" s="12" t="str">
        <f t="shared" si="118"/>
        <v/>
      </c>
      <c r="AD548" s="12" t="str">
        <f t="shared" si="119"/>
        <v/>
      </c>
      <c r="AE548" s="12" t="str">
        <f t="shared" si="120"/>
        <v/>
      </c>
      <c r="AF548" s="12" t="str">
        <f t="shared" si="121"/>
        <v/>
      </c>
      <c r="AG548" t="str">
        <f>VLOOKUP(J548,'Receivable Invoice Detail'!$A$1:F3560,6,FALSE)</f>
        <v>[G-R76293] Lantern Ring, 3196 MTX, Teflon</v>
      </c>
      <c r="AH548" s="12">
        <f t="shared" ref="AH548:AH552" si="140">SUM(AC548:AF548)</f>
        <v>0</v>
      </c>
      <c r="AM548" s="12" t="str">
        <f t="shared" si="123"/>
        <v/>
      </c>
      <c r="AN548" s="12" t="str">
        <f t="shared" si="124"/>
        <v/>
      </c>
      <c r="AO548" s="12" t="str">
        <f t="shared" si="125"/>
        <v/>
      </c>
      <c r="AP548" s="12" t="str">
        <f t="shared" si="126"/>
        <v/>
      </c>
      <c r="AQ548" s="12"/>
      <c r="AS548" s="12">
        <f t="shared" si="138"/>
        <v>23.909048459207284</v>
      </c>
      <c r="AT548" s="16" t="str">
        <f t="shared" si="136"/>
        <v>Yes</v>
      </c>
    </row>
    <row r="549" spans="1:46" hidden="1" x14ac:dyDescent="0.25">
      <c r="A549" s="41">
        <f>CASOPOInvCL!T549</f>
        <v>1</v>
      </c>
      <c r="B549" s="76" t="str">
        <f>CASOPOInvCL!Z549</f>
        <v>SO17220</v>
      </c>
      <c r="G549" s="5" t="str">
        <f>CASOPOInvCL!I549</f>
        <v>Wilka Nuñez</v>
      </c>
      <c r="H549" s="31">
        <f>CASOPOInvCL!U549</f>
        <v>5</v>
      </c>
      <c r="I549" s="31">
        <f>CASOPOInvCL!V549</f>
        <v>2025</v>
      </c>
      <c r="J549" s="5" t="str">
        <f>CASOPOInvCL!AB549</f>
        <v>INV13070</v>
      </c>
      <c r="K549" s="31">
        <f>CASOPOInvCL!W549</f>
        <v>7</v>
      </c>
      <c r="L549" s="31">
        <f>CASOPOInvCL!X549</f>
        <v>2025</v>
      </c>
      <c r="M549" s="31"/>
      <c r="N549" s="5" t="str">
        <f>CASOPOInvCL!AF549</f>
        <v>Barrick Gold - Pueblo Viejo Dominicana Corporation</v>
      </c>
      <c r="O549" s="16" t="str">
        <f>CASOPOInvCL!AG549</f>
        <v>USD</v>
      </c>
      <c r="P549" s="16">
        <f>CASOPOInvCL!AH549</f>
        <v>3563.166161780624</v>
      </c>
      <c r="Q549" s="16">
        <f>CASOPOInvCL!AI549</f>
        <v>2577.44</v>
      </c>
      <c r="R549" s="32" t="str">
        <f>CASOPOInvCL!AU549</f>
        <v>Yes</v>
      </c>
      <c r="S549" s="16">
        <f>CASOPOInvCL!AV549</f>
        <v>0</v>
      </c>
      <c r="T549" s="16">
        <f>CASOPOInvCL!AW549</f>
        <v>2577.44</v>
      </c>
      <c r="Y549" s="29" t="str">
        <f>IFERROR(HLOOKUP(U549,List!$D$2:$H$6,2,FALSE),"")</f>
        <v/>
      </c>
      <c r="Z549" s="29" t="str">
        <f>IFERROR(HLOOKUP(V549,List!$D$2:$H$6,3,FALSE),"")</f>
        <v/>
      </c>
      <c r="AA549" s="29" t="str">
        <f>IFERROR(HLOOKUP(W549,List!$D$2:$H$6,4,FALSE),"")</f>
        <v/>
      </c>
      <c r="AB549" s="29" t="str">
        <f>IFERROR(HLOOKUP(X549,List!$D$2:$H$6,5,FALSE),"")</f>
        <v/>
      </c>
      <c r="AC549" s="12" t="str">
        <f t="shared" si="118"/>
        <v/>
      </c>
      <c r="AD549" s="12" t="str">
        <f t="shared" si="119"/>
        <v/>
      </c>
      <c r="AE549" s="12" t="str">
        <f t="shared" si="120"/>
        <v/>
      </c>
      <c r="AF549" s="12" t="str">
        <f t="shared" si="121"/>
        <v/>
      </c>
      <c r="AG549" t="str">
        <f>VLOOKUP(J549,'Receivable Invoice Detail'!$A$1:F3561,6,FALSE)</f>
        <v>[OLPWZ011005B, G-A04951A218] Bearing Isolator (Inboard), 3196 MTX/MTi, 303SS Rotor / Bronze Stator w/Viton</v>
      </c>
      <c r="AH549" s="12">
        <f t="shared" si="140"/>
        <v>0</v>
      </c>
      <c r="AM549" s="12" t="str">
        <f t="shared" si="123"/>
        <v/>
      </c>
      <c r="AN549" s="12" t="str">
        <f t="shared" si="124"/>
        <v/>
      </c>
      <c r="AO549" s="12" t="str">
        <f t="shared" si="125"/>
        <v/>
      </c>
      <c r="AP549" s="12" t="str">
        <f t="shared" si="126"/>
        <v/>
      </c>
      <c r="AQ549" s="64">
        <v>2503</v>
      </c>
      <c r="AR549" s="64" t="s">
        <v>5934</v>
      </c>
      <c r="AS549" s="12">
        <f t="shared" si="138"/>
        <v>64.411214013802393</v>
      </c>
      <c r="AT549" s="16" t="str">
        <f t="shared" si="136"/>
        <v>Yes</v>
      </c>
    </row>
    <row r="550" spans="1:46" hidden="1" x14ac:dyDescent="0.25">
      <c r="A550" s="41">
        <f>CASOPOInvCL!T550</f>
        <v>1</v>
      </c>
      <c r="B550" t="str">
        <f>CASOPOInvCL!Z550</f>
        <v>SO17221</v>
      </c>
      <c r="D550" t="s">
        <v>5925</v>
      </c>
      <c r="G550" s="5" t="str">
        <f>CASOPOInvCL!I550</f>
        <v>Ian Trottier</v>
      </c>
      <c r="H550" s="31">
        <f>CASOPOInvCL!U550</f>
        <v>5</v>
      </c>
      <c r="I550" s="31">
        <f>CASOPOInvCL!V550</f>
        <v>2025</v>
      </c>
      <c r="J550" s="5" t="str">
        <f>CASOPOInvCL!AB550</f>
        <v>INV13013</v>
      </c>
      <c r="K550" s="31">
        <f>CASOPOInvCL!W550</f>
        <v>7</v>
      </c>
      <c r="L550" s="31">
        <f>CASOPOInvCL!X550</f>
        <v>2025</v>
      </c>
      <c r="M550">
        <v>2503</v>
      </c>
      <c r="N550" s="5" t="str">
        <f>CASOPOInvCL!AF550</f>
        <v>PT Vale Indonesia Tbk.</v>
      </c>
      <c r="O550" s="16" t="str">
        <f>CASOPOInvCL!AG550</f>
        <v>USD</v>
      </c>
      <c r="P550" s="16">
        <f>CASOPOInvCL!AH550</f>
        <v>3548.636676570371</v>
      </c>
      <c r="Q550" s="16">
        <f>CASOPOInvCL!AI550</f>
        <v>2566.9299999999998</v>
      </c>
      <c r="R550" s="32" t="str">
        <f>CASOPOInvCL!AU550</f>
        <v>Yes</v>
      </c>
      <c r="S550" s="16">
        <f>CASOPOInvCL!AV550</f>
        <v>0</v>
      </c>
      <c r="T550" s="16">
        <f>CASOPOInvCL!AW550</f>
        <v>2566.9299999999998</v>
      </c>
      <c r="V550" t="s">
        <v>5800</v>
      </c>
      <c r="Y550" s="29" t="str">
        <f>IFERROR(HLOOKUP(U550,List!$D$2:$H$6,2,FALSE),"")</f>
        <v/>
      </c>
      <c r="Z550" s="29">
        <f>IFERROR(HLOOKUP(V550,List!$D$2:$H$6,3,FALSE),"")</f>
        <v>5.0000000000000001E-3</v>
      </c>
      <c r="AA550" s="29" t="str">
        <f>IFERROR(HLOOKUP(W550,List!$D$2:$H$6,4,FALSE),"")</f>
        <v/>
      </c>
      <c r="AB550" s="29" t="str">
        <f>IFERROR(HLOOKUP(X550,List!$D$2:$H$6,5,FALSE),"")</f>
        <v/>
      </c>
      <c r="AC550" s="12" t="str">
        <f t="shared" si="118"/>
        <v/>
      </c>
      <c r="AD550" s="12">
        <f t="shared" si="119"/>
        <v>12.83465</v>
      </c>
      <c r="AE550" s="12" t="str">
        <f t="shared" si="120"/>
        <v/>
      </c>
      <c r="AF550" s="12" t="str">
        <f t="shared" si="121"/>
        <v/>
      </c>
      <c r="AG550" t="str">
        <f>VLOOKUP(J550,'Receivable Invoice Detail'!$A$1:F3562,6,FALSE)</f>
        <v>[AC-98-431-641-503] Impeller (Closed), 10x8-21 SRL-C, Neoprene</v>
      </c>
      <c r="AH550" s="12">
        <f t="shared" si="140"/>
        <v>12.83465</v>
      </c>
      <c r="AM550" s="12" t="str">
        <f t="shared" si="123"/>
        <v/>
      </c>
      <c r="AN550" s="12">
        <f t="shared" si="124"/>
        <v>12.83465</v>
      </c>
      <c r="AO550" s="12" t="str">
        <f t="shared" si="125"/>
        <v/>
      </c>
      <c r="AP550" s="12" t="str">
        <f t="shared" si="126"/>
        <v/>
      </c>
      <c r="AQ550" s="64">
        <v>2503</v>
      </c>
      <c r="AR550" t="s">
        <v>5932</v>
      </c>
      <c r="AS550" s="12">
        <f t="shared" si="138"/>
        <v>1.7310178643606962</v>
      </c>
      <c r="AT550" s="16" t="str">
        <f t="shared" si="136"/>
        <v>Yes</v>
      </c>
    </row>
    <row r="551" spans="1:46" hidden="1" x14ac:dyDescent="0.25">
      <c r="A551" s="41">
        <f>CASOPOInvCL!T551</f>
        <v>1</v>
      </c>
      <c r="B551" t="str">
        <f>CASOPOInvCL!Z551</f>
        <v>SO17222</v>
      </c>
      <c r="D551" t="s">
        <v>5925</v>
      </c>
      <c r="G551" s="5" t="str">
        <f>CASOPOInvCL!I551</f>
        <v>Ian Trottier</v>
      </c>
      <c r="H551" s="31">
        <f>CASOPOInvCL!U551</f>
        <v>5</v>
      </c>
      <c r="I551" s="31">
        <f>CASOPOInvCL!V551</f>
        <v>2025</v>
      </c>
      <c r="J551" s="5" t="str">
        <f>CASOPOInvCL!AB551</f>
        <v>INV13012</v>
      </c>
      <c r="K551" s="31">
        <f>CASOPOInvCL!W551</f>
        <v>7</v>
      </c>
      <c r="L551" s="31">
        <f>CASOPOInvCL!X551</f>
        <v>2025</v>
      </c>
      <c r="M551">
        <v>2503</v>
      </c>
      <c r="N551" s="5" t="str">
        <f>CASOPOInvCL!AF551</f>
        <v>PT Vale Indonesia Tbk.</v>
      </c>
      <c r="O551" s="16" t="str">
        <f>CASOPOInvCL!AG551</f>
        <v>USD</v>
      </c>
      <c r="P551" s="16">
        <f>CASOPOInvCL!AH551</f>
        <v>2706.700702950176</v>
      </c>
      <c r="Q551" s="16">
        <f>CASOPOInvCL!AI551</f>
        <v>1957.91</v>
      </c>
      <c r="R551" s="32" t="str">
        <f>CASOPOInvCL!AU551</f>
        <v>Yes</v>
      </c>
      <c r="S551" s="16">
        <f>CASOPOInvCL!AV551</f>
        <v>0</v>
      </c>
      <c r="T551" s="16">
        <f>CASOPOInvCL!AW551</f>
        <v>1957.91</v>
      </c>
      <c r="V551" t="s">
        <v>5800</v>
      </c>
      <c r="Y551" s="29" t="str">
        <f>IFERROR(HLOOKUP(U551,List!$D$2:$H$6,2,FALSE),"")</f>
        <v/>
      </c>
      <c r="Z551" s="29">
        <f>IFERROR(HLOOKUP(V551,List!$D$2:$H$6,3,FALSE),"")</f>
        <v>5.0000000000000001E-3</v>
      </c>
      <c r="AA551" s="29" t="str">
        <f>IFERROR(HLOOKUP(W551,List!$D$2:$H$6,4,FALSE),"")</f>
        <v/>
      </c>
      <c r="AB551" s="29" t="str">
        <f>IFERROR(HLOOKUP(X551,List!$D$2:$H$6,5,FALSE),"")</f>
        <v/>
      </c>
      <c r="AC551" s="12" t="str">
        <f t="shared" si="118"/>
        <v/>
      </c>
      <c r="AD551" s="12">
        <f t="shared" si="119"/>
        <v>9.7895500000000002</v>
      </c>
      <c r="AE551" s="12" t="str">
        <f t="shared" si="120"/>
        <v/>
      </c>
      <c r="AF551" s="12" t="str">
        <f t="shared" si="121"/>
        <v/>
      </c>
      <c r="AG551" t="str">
        <f>VLOOKUP(J551,'Receivable Invoice Detail'!$A$1:F3563,6,FALSE)</f>
        <v>[AC-98-231-135-503] Suction Side Plate, 10x8-21 SRL-C, Neoprene</v>
      </c>
      <c r="AH551" s="12">
        <f t="shared" si="140"/>
        <v>9.7895500000000002</v>
      </c>
      <c r="AM551" s="12" t="str">
        <f t="shared" si="123"/>
        <v/>
      </c>
      <c r="AN551" s="12">
        <f t="shared" si="124"/>
        <v>9.7895500000000002</v>
      </c>
      <c r="AO551" s="12" t="str">
        <f t="shared" si="125"/>
        <v/>
      </c>
      <c r="AP551" s="12" t="str">
        <f t="shared" si="126"/>
        <v/>
      </c>
      <c r="AQ551" s="64">
        <v>2503</v>
      </c>
      <c r="AR551" t="s">
        <v>5932</v>
      </c>
      <c r="AS551" s="12">
        <f t="shared" si="138"/>
        <v>38.6616</v>
      </c>
      <c r="AT551" s="16" t="str">
        <f t="shared" si="136"/>
        <v>Yes</v>
      </c>
    </row>
    <row r="552" spans="1:46" hidden="1" x14ac:dyDescent="0.25">
      <c r="A552" s="41">
        <f>CASOPOInvCL!T552</f>
        <v>1</v>
      </c>
      <c r="B552" t="str">
        <f>CASOPOInvCL!Z552</f>
        <v>SO17223</v>
      </c>
      <c r="D552" t="s">
        <v>5925</v>
      </c>
      <c r="G552" s="5" t="str">
        <f>CASOPOInvCL!I552</f>
        <v>Ian Trottier</v>
      </c>
      <c r="H552" s="31">
        <f>CASOPOInvCL!U552</f>
        <v>5</v>
      </c>
      <c r="I552" s="31">
        <f>CASOPOInvCL!V552</f>
        <v>2025</v>
      </c>
      <c r="J552" s="5" t="str">
        <f>CASOPOInvCL!AB552</f>
        <v>INV13011</v>
      </c>
      <c r="K552" s="31">
        <f>CASOPOInvCL!W552</f>
        <v>7</v>
      </c>
      <c r="L552" s="31">
        <f>CASOPOInvCL!X552</f>
        <v>2025</v>
      </c>
      <c r="M552">
        <v>2503</v>
      </c>
      <c r="N552" s="5" t="str">
        <f>CASOPOInvCL!AF552</f>
        <v>PT Vale Indonesia Tbk.</v>
      </c>
      <c r="O552" s="16" t="str">
        <f>CASOPOInvCL!AG552</f>
        <v>USD</v>
      </c>
      <c r="P552" s="16">
        <f>CASOPOInvCL!AH552</f>
        <v>3525.093657243006</v>
      </c>
      <c r="Q552" s="16">
        <f>CASOPOInvCL!AI552</f>
        <v>2549.9</v>
      </c>
      <c r="R552" s="32" t="str">
        <f>CASOPOInvCL!AU552</f>
        <v>Yes</v>
      </c>
      <c r="S552" s="16">
        <f>CASOPOInvCL!AV552</f>
        <v>0</v>
      </c>
      <c r="T552" s="16">
        <f>CASOPOInvCL!AW552</f>
        <v>2549.9</v>
      </c>
      <c r="V552" t="s">
        <v>5800</v>
      </c>
      <c r="Y552" s="29" t="str">
        <f>IFERROR(HLOOKUP(U552,List!$D$2:$H$6,2,FALSE),"")</f>
        <v/>
      </c>
      <c r="Z552" s="29">
        <f>IFERROR(HLOOKUP(V552,List!$D$2:$H$6,3,FALSE),"")</f>
        <v>5.0000000000000001E-3</v>
      </c>
      <c r="AA552" s="29" t="str">
        <f>IFERROR(HLOOKUP(W552,List!$D$2:$H$6,4,FALSE),"")</f>
        <v/>
      </c>
      <c r="AB552" s="29" t="str">
        <f>IFERROR(HLOOKUP(X552,List!$D$2:$H$6,5,FALSE),"")</f>
        <v/>
      </c>
      <c r="AC552" s="12" t="str">
        <f t="shared" si="118"/>
        <v/>
      </c>
      <c r="AD552" s="12">
        <f t="shared" si="119"/>
        <v>12.749500000000001</v>
      </c>
      <c r="AE552" s="12" t="str">
        <f t="shared" si="120"/>
        <v/>
      </c>
      <c r="AF552" s="12" t="str">
        <f t="shared" si="121"/>
        <v/>
      </c>
      <c r="AG552" t="str">
        <f>VLOOKUP(J552,'Receivable Invoice Detail'!$A$1:F3564,6,FALSE)</f>
        <v>[AC-98-231-136-503] Gland Side Liner, 10x8-21 SRL-C, Neoprene</v>
      </c>
      <c r="AH552" s="12">
        <f t="shared" si="140"/>
        <v>12.749500000000001</v>
      </c>
      <c r="AM552" s="12" t="str">
        <f t="shared" si="123"/>
        <v/>
      </c>
      <c r="AN552" s="12">
        <f t="shared" si="124"/>
        <v>12.749500000000001</v>
      </c>
      <c r="AO552" s="12" t="str">
        <f t="shared" si="125"/>
        <v/>
      </c>
      <c r="AP552" s="12" t="str">
        <f t="shared" si="126"/>
        <v/>
      </c>
      <c r="AQ552" s="64">
        <v>2503</v>
      </c>
      <c r="AR552" t="s">
        <v>5932</v>
      </c>
      <c r="AS552" s="12">
        <f t="shared" si="138"/>
        <v>38.503949999999996</v>
      </c>
      <c r="AT552" s="16" t="str">
        <f t="shared" si="136"/>
        <v>Yes</v>
      </c>
    </row>
    <row r="553" spans="1:46" hidden="1" x14ac:dyDescent="0.25">
      <c r="A553" s="41">
        <f>CASOPOInvCL!T553</f>
        <v>1</v>
      </c>
      <c r="B553" t="str">
        <f>CASOPOInvCL!Z553</f>
        <v>SO17224</v>
      </c>
      <c r="D553" t="s">
        <v>5925</v>
      </c>
      <c r="G553" s="5" t="str">
        <f>CASOPOInvCL!I553</f>
        <v>Ian Trottier</v>
      </c>
      <c r="H553" s="31">
        <f>CASOPOInvCL!U553</f>
        <v>5</v>
      </c>
      <c r="I553" s="31">
        <f>CASOPOInvCL!V553</f>
        <v>2025</v>
      </c>
      <c r="J553" s="5" t="str">
        <f>CASOPOInvCL!AB553</f>
        <v>INV13010</v>
      </c>
      <c r="K553" s="31">
        <f>CASOPOInvCL!W553</f>
        <v>7</v>
      </c>
      <c r="L553" s="31">
        <f>CASOPOInvCL!X553</f>
        <v>2025</v>
      </c>
      <c r="M553">
        <v>2503</v>
      </c>
      <c r="N553" s="5" t="str">
        <f>CASOPOInvCL!AF553</f>
        <v>PT Vale Indonesia Tbk.</v>
      </c>
      <c r="O553" s="16" t="str">
        <f>CASOPOInvCL!AG553</f>
        <v>USD</v>
      </c>
      <c r="P553" s="16">
        <f>CASOPOInvCL!AH553</f>
        <v>2605.4781618374527</v>
      </c>
      <c r="Q553" s="16">
        <f>CASOPOInvCL!AI553</f>
        <v>1884.69</v>
      </c>
      <c r="R553" s="32" t="str">
        <f>CASOPOInvCL!AU553</f>
        <v>Yes</v>
      </c>
      <c r="S553" s="16">
        <f>CASOPOInvCL!AV553</f>
        <v>0</v>
      </c>
      <c r="T553" s="16">
        <f>CASOPOInvCL!AW553</f>
        <v>1884.69</v>
      </c>
      <c r="V553" t="s">
        <v>5800</v>
      </c>
      <c r="Y553" s="29" t="str">
        <f>IFERROR(HLOOKUP(U553,List!$D$2:$H$6,2,FALSE),"")</f>
        <v/>
      </c>
      <c r="Z553" s="29">
        <f>IFERROR(HLOOKUP(V553,List!$D$2:$H$6,3,FALSE),"")</f>
        <v>5.0000000000000001E-3</v>
      </c>
      <c r="AA553" s="29" t="str">
        <f>IFERROR(HLOOKUP(W553,List!$D$2:$H$6,4,FALSE),"")</f>
        <v/>
      </c>
      <c r="AB553" s="29" t="str">
        <f>IFERROR(HLOOKUP(X553,List!$D$2:$H$6,5,FALSE),"")</f>
        <v/>
      </c>
      <c r="AC553" s="12" t="str">
        <f t="shared" si="118"/>
        <v/>
      </c>
      <c r="AD553" s="12">
        <f t="shared" si="119"/>
        <v>9.4234500000000008</v>
      </c>
      <c r="AE553" s="12" t="str">
        <f t="shared" si="120"/>
        <v/>
      </c>
      <c r="AF553" s="12" t="str">
        <f t="shared" si="121"/>
        <v/>
      </c>
      <c r="AG553" t="str">
        <f>VLOOKUP(J553,'Receivable Invoice Detail'!$A$1:F3565,6,FALSE)</f>
        <v>[AC-98-231-134-503] Suction Side Liner, 10x8-21 SRL-C, Neoprene</v>
      </c>
      <c r="AM553" s="12" t="str">
        <f t="shared" si="123"/>
        <v/>
      </c>
      <c r="AN553" s="12">
        <f t="shared" si="124"/>
        <v>9.4234500000000008</v>
      </c>
      <c r="AO553" s="12" t="str">
        <f t="shared" si="125"/>
        <v/>
      </c>
      <c r="AP553" s="12" t="str">
        <f t="shared" si="126"/>
        <v/>
      </c>
      <c r="AQ553" s="64">
        <v>2503</v>
      </c>
      <c r="AR553" t="s">
        <v>5932</v>
      </c>
      <c r="AS553" s="12">
        <f t="shared" si="138"/>
        <v>29.368649999999999</v>
      </c>
      <c r="AT553" s="16" t="str">
        <f t="shared" si="136"/>
        <v>Yes</v>
      </c>
    </row>
    <row r="554" spans="1:46" hidden="1" x14ac:dyDescent="0.25">
      <c r="A554" s="41">
        <f>CASOPOInvCL!T554</f>
        <v>1</v>
      </c>
      <c r="B554" t="str">
        <f>CASOPOInvCL!Z554</f>
        <v>SO17225</v>
      </c>
      <c r="D554" t="s">
        <v>5925</v>
      </c>
      <c r="G554" s="5" t="str">
        <f>CASOPOInvCL!I554</f>
        <v>Ian Trottier</v>
      </c>
      <c r="H554" s="31">
        <f>CASOPOInvCL!U554</f>
        <v>5</v>
      </c>
      <c r="I554" s="31">
        <f>CASOPOInvCL!V554</f>
        <v>2025</v>
      </c>
      <c r="J554" s="5" t="str">
        <f>CASOPOInvCL!AB554</f>
        <v>INV13025</v>
      </c>
      <c r="K554" s="31">
        <f>CASOPOInvCL!W554</f>
        <v>7</v>
      </c>
      <c r="L554" s="31">
        <f>CASOPOInvCL!X554</f>
        <v>2025</v>
      </c>
      <c r="M554">
        <v>2503</v>
      </c>
      <c r="N554" s="5" t="str">
        <f>CASOPOInvCL!AF554</f>
        <v>Wajax Limited - Noranda</v>
      </c>
      <c r="O554" s="16" t="str">
        <f>CASOPOInvCL!AG554</f>
        <v>CAD</v>
      </c>
      <c r="P554" s="16">
        <f>CASOPOInvCL!AH554</f>
        <v>373.11</v>
      </c>
      <c r="Q554" s="16">
        <f>CASOPOInvCL!AI554</f>
        <v>271.17608236621709</v>
      </c>
      <c r="R554" s="32" t="str">
        <f>CASOPOInvCL!AU554</f>
        <v>Yes</v>
      </c>
      <c r="S554" s="16">
        <f>CASOPOInvCL!AV554</f>
        <v>0</v>
      </c>
      <c r="T554" s="16">
        <f>CASOPOInvCL!AW554</f>
        <v>271.17608236621709</v>
      </c>
      <c r="V554" t="s">
        <v>5800</v>
      </c>
      <c r="Y554" s="29" t="str">
        <f>IFERROR(HLOOKUP(U554,List!$D$2:$H$6,2,FALSE),"")</f>
        <v/>
      </c>
      <c r="Z554" s="29">
        <f>IFERROR(HLOOKUP(V554,List!$D$2:$H$6,3,FALSE),"")</f>
        <v>5.0000000000000001E-3</v>
      </c>
      <c r="AA554" s="29" t="str">
        <f>IFERROR(HLOOKUP(W554,List!$D$2:$H$6,4,FALSE),"")</f>
        <v/>
      </c>
      <c r="AB554" s="29" t="str">
        <f>IFERROR(HLOOKUP(X554,List!$D$2:$H$6,5,FALSE),"")</f>
        <v/>
      </c>
      <c r="AC554" s="12" t="str">
        <f t="shared" si="118"/>
        <v/>
      </c>
      <c r="AD554" s="12">
        <f t="shared" si="119"/>
        <v>1.3558804118310854</v>
      </c>
      <c r="AE554" s="12" t="str">
        <f t="shared" si="120"/>
        <v/>
      </c>
      <c r="AF554" s="12" t="str">
        <f t="shared" si="121"/>
        <v/>
      </c>
      <c r="AG554" t="str">
        <f>VLOOKUP(J554,'Receivable Invoice Detail'!$A$1:F3566,6,FALSE)</f>
        <v>[AC-98-234-268-001-SS] Waterseal Bushing, 5x4/5x5/6x6 SRL, 316SS</v>
      </c>
      <c r="AH554" s="12">
        <f t="shared" ref="AH554:AH556" si="141">SUM(AC554:AF554)</f>
        <v>1.3558804118310854</v>
      </c>
      <c r="AM554" s="12" t="str">
        <f t="shared" si="123"/>
        <v/>
      </c>
      <c r="AN554" s="12">
        <f t="shared" si="124"/>
        <v>1.3558804118310854</v>
      </c>
      <c r="AO554" s="12" t="str">
        <f t="shared" si="125"/>
        <v/>
      </c>
      <c r="AP554" s="12" t="str">
        <f t="shared" si="126"/>
        <v/>
      </c>
      <c r="AQ554" s="64">
        <v>2503</v>
      </c>
      <c r="AR554" t="s">
        <v>5932</v>
      </c>
      <c r="AS554" s="12">
        <f t="shared" si="138"/>
        <v>38.2485</v>
      </c>
      <c r="AT554" s="16" t="str">
        <f t="shared" si="136"/>
        <v>Yes</v>
      </c>
    </row>
    <row r="555" spans="1:46" hidden="1" x14ac:dyDescent="0.25">
      <c r="A555" s="41">
        <f>CASOPOInvCL!T555</f>
        <v>1</v>
      </c>
      <c r="B555" s="76" t="str">
        <f>CASOPOInvCL!Z555</f>
        <v>SO17226</v>
      </c>
      <c r="G555" s="5" t="str">
        <f>CASOPOInvCL!I555</f>
        <v>Jeff Bell</v>
      </c>
      <c r="H555" s="31">
        <f>CASOPOInvCL!U555</f>
        <v>5</v>
      </c>
      <c r="I555" s="31">
        <f>CASOPOInvCL!V555</f>
        <v>2025</v>
      </c>
      <c r="J555" s="5" t="str">
        <f>CASOPOInvCL!AB555</f>
        <v>INV13186</v>
      </c>
      <c r="K555" s="31">
        <f>CASOPOInvCL!W555</f>
        <v>8</v>
      </c>
      <c r="L555" s="31">
        <f>CASOPOInvCL!X555</f>
        <v>2025</v>
      </c>
      <c r="M555" s="31"/>
      <c r="N555" s="5" t="str">
        <f>CASOPOInvCL!AF555</f>
        <v>Barrick Gold - Pueblo Viejo Dominicana Corporation</v>
      </c>
      <c r="O555" s="16" t="str">
        <f>CASOPOInvCL!AG555</f>
        <v>USD</v>
      </c>
      <c r="P555" s="16">
        <f>CASOPOInvCL!AH555</f>
        <v>48556.660366353062</v>
      </c>
      <c r="Q555" s="16">
        <f>CASOPOInvCL!AI555</f>
        <v>34786</v>
      </c>
      <c r="R555" s="32" t="str">
        <f>CASOPOInvCL!AU555</f>
        <v>Yes</v>
      </c>
      <c r="S555" s="16">
        <f>CASOPOInvCL!AV555</f>
        <v>0</v>
      </c>
      <c r="T555" s="16">
        <f>CASOPOInvCL!AW555</f>
        <v>34786</v>
      </c>
      <c r="Y555" s="29" t="str">
        <f>IFERROR(HLOOKUP(U555,List!$D$2:$H$6,2,FALSE),"")</f>
        <v/>
      </c>
      <c r="Z555" s="29" t="str">
        <f>IFERROR(HLOOKUP(V555,List!$D$2:$H$6,3,FALSE),"")</f>
        <v/>
      </c>
      <c r="AA555" s="29" t="str">
        <f>IFERROR(HLOOKUP(W555,List!$D$2:$H$6,4,FALSE),"")</f>
        <v/>
      </c>
      <c r="AB555" s="29" t="str">
        <f>IFERROR(HLOOKUP(X555,List!$D$2:$H$6,5,FALSE),"")</f>
        <v/>
      </c>
      <c r="AC555" s="12" t="str">
        <f t="shared" si="118"/>
        <v/>
      </c>
      <c r="AD555" s="12" t="str">
        <f t="shared" si="119"/>
        <v/>
      </c>
      <c r="AE555" s="12" t="str">
        <f t="shared" si="120"/>
        <v/>
      </c>
      <c r="AF555" s="12" t="str">
        <f t="shared" si="121"/>
        <v/>
      </c>
      <c r="AG555" t="str">
        <f>VLOOKUP(J555,'Receivable Invoice Detail'!$A$1:F3567,6,FALSE)</f>
        <v>Mag Drive Gear Pump, Micropump GLH-H25, With Motor</v>
      </c>
      <c r="AH555" s="12">
        <f t="shared" si="141"/>
        <v>0</v>
      </c>
      <c r="AM555" s="12" t="str">
        <f t="shared" si="123"/>
        <v/>
      </c>
      <c r="AN555" s="12" t="str">
        <f t="shared" si="124"/>
        <v/>
      </c>
      <c r="AO555" s="12" t="str">
        <f t="shared" si="125"/>
        <v/>
      </c>
      <c r="AP555" s="12" t="str">
        <f t="shared" si="126"/>
        <v/>
      </c>
      <c r="AQ555" s="64">
        <v>2503</v>
      </c>
      <c r="AR555" s="64" t="s">
        <v>5934</v>
      </c>
      <c r="AS555" s="12">
        <f t="shared" si="138"/>
        <v>28.270350000000001</v>
      </c>
      <c r="AT555" s="16" t="str">
        <f t="shared" si="136"/>
        <v>Yes</v>
      </c>
    </row>
    <row r="556" spans="1:46" hidden="1" x14ac:dyDescent="0.25">
      <c r="A556" s="41">
        <f>CASOPOInvCL!T556</f>
        <v>1</v>
      </c>
      <c r="B556" t="str">
        <f>CASOPOInvCL!Z556</f>
        <v>SO17227</v>
      </c>
      <c r="D556" t="s">
        <v>5925</v>
      </c>
      <c r="G556" s="5" t="str">
        <f>CASOPOInvCL!I556</f>
        <v>Ian Trottier</v>
      </c>
      <c r="H556" s="31">
        <f>CASOPOInvCL!U556</f>
        <v>5</v>
      </c>
      <c r="I556" s="31">
        <f>CASOPOInvCL!V556</f>
        <v>2025</v>
      </c>
      <c r="J556" s="5" t="str">
        <f>CASOPOInvCL!AB556</f>
        <v>INV13009</v>
      </c>
      <c r="K556" s="31">
        <f>CASOPOInvCL!W556</f>
        <v>7</v>
      </c>
      <c r="L556" s="31">
        <f>CASOPOInvCL!X556</f>
        <v>2025</v>
      </c>
      <c r="M556">
        <v>2503</v>
      </c>
      <c r="N556" s="5" t="str">
        <f>CASOPOInvCL!AF556</f>
        <v>PT Vale Indonesia Tbk.</v>
      </c>
      <c r="O556" s="16" t="str">
        <f>CASOPOInvCL!AG556</f>
        <v>USD</v>
      </c>
      <c r="P556" s="16">
        <f>CASOPOInvCL!AH556</f>
        <v>134.69150751997572</v>
      </c>
      <c r="Q556" s="16">
        <f>CASOPOInvCL!AI556</f>
        <v>97.43</v>
      </c>
      <c r="R556" s="32" t="str">
        <f>CASOPOInvCL!AU556</f>
        <v>Yes</v>
      </c>
      <c r="S556" s="16">
        <f>CASOPOInvCL!AV556</f>
        <v>0</v>
      </c>
      <c r="T556" s="16">
        <f>CASOPOInvCL!AW556</f>
        <v>97.43</v>
      </c>
      <c r="V556" t="s">
        <v>5800</v>
      </c>
      <c r="Y556" s="29" t="str">
        <f>IFERROR(HLOOKUP(U556,List!$D$2:$H$6,2,FALSE),"")</f>
        <v/>
      </c>
      <c r="Z556" s="29">
        <f>IFERROR(HLOOKUP(V556,List!$D$2:$H$6,3,FALSE),"")</f>
        <v>5.0000000000000001E-3</v>
      </c>
      <c r="AA556" s="29" t="str">
        <f>IFERROR(HLOOKUP(W556,List!$D$2:$H$6,4,FALSE),"")</f>
        <v/>
      </c>
      <c r="AB556" s="29" t="str">
        <f>IFERROR(HLOOKUP(X556,List!$D$2:$H$6,5,FALSE),"")</f>
        <v/>
      </c>
      <c r="AC556" s="12" t="str">
        <f t="shared" si="118"/>
        <v/>
      </c>
      <c r="AD556" s="12">
        <f t="shared" si="119"/>
        <v>0.48715000000000003</v>
      </c>
      <c r="AE556" s="12" t="str">
        <f t="shared" si="120"/>
        <v/>
      </c>
      <c r="AF556" s="12" t="str">
        <f t="shared" si="121"/>
        <v/>
      </c>
      <c r="AG556" t="str">
        <f>VLOOKUP(J556,'Receivable Invoice Detail'!$A$1:F3568,6,FALSE)</f>
        <v>[AC-98-233-733-513] Deflector (Water Slinger), 8x6-18 &amp; 10x8-21 SRL-C, Neoprene/Steel</v>
      </c>
      <c r="AH556" s="12">
        <f t="shared" si="141"/>
        <v>0.48715000000000003</v>
      </c>
      <c r="AM556" s="12" t="str">
        <f t="shared" si="123"/>
        <v/>
      </c>
      <c r="AN556" s="12">
        <f t="shared" si="124"/>
        <v>0.48715000000000003</v>
      </c>
      <c r="AO556" s="12" t="str">
        <f t="shared" si="125"/>
        <v/>
      </c>
      <c r="AP556" s="12" t="str">
        <f t="shared" si="126"/>
        <v/>
      </c>
      <c r="AQ556" s="64">
        <v>2503</v>
      </c>
      <c r="AR556" t="s">
        <v>5932</v>
      </c>
      <c r="AS556" s="12">
        <f t="shared" si="138"/>
        <v>4.0676412354932561</v>
      </c>
      <c r="AT556" s="16" t="str">
        <f t="shared" si="136"/>
        <v>Yes</v>
      </c>
    </row>
    <row r="557" spans="1:46" hidden="1" x14ac:dyDescent="0.25">
      <c r="A557" s="41">
        <f>CASOPOInvCL!T557</f>
        <v>1</v>
      </c>
      <c r="B557" t="str">
        <f>CASOPOInvCL!Z557</f>
        <v>SO17229</v>
      </c>
      <c r="D557" t="s">
        <v>5925</v>
      </c>
      <c r="G557" s="5" t="str">
        <f>CASOPOInvCL!I557</f>
        <v>Ian Trottier</v>
      </c>
      <c r="H557" s="31">
        <f>CASOPOInvCL!U557</f>
        <v>5</v>
      </c>
      <c r="I557" s="31">
        <f>CASOPOInvCL!V557</f>
        <v>2025</v>
      </c>
      <c r="J557" s="5" t="str">
        <f>CASOPOInvCL!AB557</f>
        <v>INV13023</v>
      </c>
      <c r="K557" s="31">
        <f>CASOPOInvCL!W557</f>
        <v>7</v>
      </c>
      <c r="L557" s="31">
        <f>CASOPOInvCL!X557</f>
        <v>2025</v>
      </c>
      <c r="M557">
        <v>2503</v>
      </c>
      <c r="N557" s="5" t="str">
        <f>CASOPOInvCL!AF557</f>
        <v>SCG Process, SCG Process</v>
      </c>
      <c r="O557" s="16" t="str">
        <f>CASOPOInvCL!AG557</f>
        <v>CAD</v>
      </c>
      <c r="P557" s="16">
        <f>CASOPOInvCL!AH557</f>
        <v>4331.1499999999996</v>
      </c>
      <c r="Q557" s="16">
        <f>CASOPOInvCL!AI557</f>
        <v>3147.8767364595997</v>
      </c>
      <c r="R557" s="32" t="str">
        <f>CASOPOInvCL!AU557</f>
        <v>Yes</v>
      </c>
      <c r="S557" s="16">
        <f>CASOPOInvCL!AV557</f>
        <v>0</v>
      </c>
      <c r="T557" s="16">
        <f>CASOPOInvCL!AW557</f>
        <v>3147.8767364595997</v>
      </c>
      <c r="V557" t="s">
        <v>5800</v>
      </c>
      <c r="Y557" s="29" t="str">
        <f>IFERROR(HLOOKUP(U557,List!$D$2:$H$6,2,FALSE),"")</f>
        <v/>
      </c>
      <c r="Z557" s="29">
        <f>IFERROR(HLOOKUP(V557,List!$D$2:$H$6,3,FALSE),"")</f>
        <v>5.0000000000000001E-3</v>
      </c>
      <c r="AA557" s="29" t="str">
        <f>IFERROR(HLOOKUP(W557,List!$D$2:$H$6,4,FALSE),"")</f>
        <v/>
      </c>
      <c r="AB557" s="29" t="str">
        <f>IFERROR(HLOOKUP(X557,List!$D$2:$H$6,5,FALSE),"")</f>
        <v/>
      </c>
      <c r="AC557" s="12" t="str">
        <f t="shared" si="118"/>
        <v/>
      </c>
      <c r="AD557" s="12">
        <f t="shared" si="119"/>
        <v>15.739383682298</v>
      </c>
      <c r="AE557" s="12" t="str">
        <f t="shared" si="120"/>
        <v/>
      </c>
      <c r="AF557" s="12" t="str">
        <f t="shared" si="121"/>
        <v/>
      </c>
      <c r="AG557" t="str">
        <f>VLOOKUP(J557,'Receivable Invoice Detail'!$A$1:F3569,6,FALSE)</f>
        <v>[AC-98-231-116-503] Gland Side Liner, 5X4-14 SRL-C, Neoprene</v>
      </c>
      <c r="AM557" s="12" t="str">
        <f t="shared" si="123"/>
        <v/>
      </c>
      <c r="AN557" s="12">
        <f t="shared" si="124"/>
        <v>15.739383682298</v>
      </c>
      <c r="AO557" s="12" t="str">
        <f t="shared" si="125"/>
        <v/>
      </c>
      <c r="AP557" s="12" t="str">
        <f t="shared" si="126"/>
        <v/>
      </c>
      <c r="AQ557" s="64">
        <v>2503</v>
      </c>
      <c r="AR557" t="s">
        <v>5932</v>
      </c>
      <c r="AS557" s="12">
        <f t="shared" si="138"/>
        <v>521.79</v>
      </c>
      <c r="AT557" s="16" t="str">
        <f t="shared" si="136"/>
        <v>Yes</v>
      </c>
    </row>
    <row r="558" spans="1:46" hidden="1" x14ac:dyDescent="0.25">
      <c r="A558" s="41">
        <f>CASOPOInvCL!T558</f>
        <v>1</v>
      </c>
      <c r="B558" t="str">
        <f>CASOPOInvCL!Z558</f>
        <v>SO17230</v>
      </c>
      <c r="D558" t="s">
        <v>5925</v>
      </c>
      <c r="G558" s="5" t="str">
        <f>CASOPOInvCL!I558</f>
        <v>Ian Trottier</v>
      </c>
      <c r="H558" s="31">
        <f>CASOPOInvCL!U558</f>
        <v>5</v>
      </c>
      <c r="I558" s="31">
        <f>CASOPOInvCL!V558</f>
        <v>2025</v>
      </c>
      <c r="J558" s="5" t="str">
        <f>CASOPOInvCL!AB558</f>
        <v>INV13027</v>
      </c>
      <c r="K558" s="31">
        <f>CASOPOInvCL!W558</f>
        <v>7</v>
      </c>
      <c r="L558" s="31">
        <f>CASOPOInvCL!X558</f>
        <v>2025</v>
      </c>
      <c r="M558">
        <v>2503</v>
      </c>
      <c r="N558" s="5" t="str">
        <f>CASOPOInvCL!AF558</f>
        <v>Resolute Forest Products - Saint-Felicien</v>
      </c>
      <c r="O558" s="16" t="str">
        <f>CASOPOInvCL!AG558</f>
        <v>CAD</v>
      </c>
      <c r="P558" s="16">
        <f>CASOPOInvCL!AH558</f>
        <v>525.22</v>
      </c>
      <c r="Q558" s="16">
        <f>CASOPOInvCL!AI558</f>
        <v>381.72952207226979</v>
      </c>
      <c r="R558" s="32" t="str">
        <f>CASOPOInvCL!AU558</f>
        <v>Yes</v>
      </c>
      <c r="S558" s="16">
        <f>CASOPOInvCL!AV558</f>
        <v>0</v>
      </c>
      <c r="T558" s="16">
        <f>CASOPOInvCL!AW558</f>
        <v>381.72952207226979</v>
      </c>
      <c r="V558" t="s">
        <v>5800</v>
      </c>
      <c r="Y558" s="29" t="str">
        <f>IFERROR(HLOOKUP(U558,List!$D$2:$H$6,2,FALSE),"")</f>
        <v/>
      </c>
      <c r="Z558" s="29">
        <f>IFERROR(HLOOKUP(V558,List!$D$2:$H$6,3,FALSE),"")</f>
        <v>5.0000000000000001E-3</v>
      </c>
      <c r="AA558" s="29" t="str">
        <f>IFERROR(HLOOKUP(W558,List!$D$2:$H$6,4,FALSE),"")</f>
        <v/>
      </c>
      <c r="AB558" s="29" t="str">
        <f>IFERROR(HLOOKUP(X558,List!$D$2:$H$6,5,FALSE),"")</f>
        <v/>
      </c>
      <c r="AC558" s="12" t="str">
        <f t="shared" si="118"/>
        <v/>
      </c>
      <c r="AD558" s="12">
        <f t="shared" si="119"/>
        <v>1.908647610361349</v>
      </c>
      <c r="AE558" s="12" t="str">
        <f t="shared" si="120"/>
        <v/>
      </c>
      <c r="AF558" s="12" t="str">
        <f t="shared" si="121"/>
        <v/>
      </c>
      <c r="AG558" t="str">
        <f>VLOOKUP(J558,'Receivable Invoice Detail'!$A$1:F3570,6,FALSE)</f>
        <v>[AC-98-232-857-802] Shim Set, A-C PWO-C Group 2, Plastic</v>
      </c>
      <c r="AH558" s="12">
        <f t="shared" ref="AH558:AH559" si="142">SUM(AC558:AF558)</f>
        <v>1.908647610361349</v>
      </c>
      <c r="AM558" s="12" t="str">
        <f t="shared" si="123"/>
        <v/>
      </c>
      <c r="AN558" s="12">
        <f t="shared" si="124"/>
        <v>1.908647610361349</v>
      </c>
      <c r="AO558" s="12" t="str">
        <f t="shared" si="125"/>
        <v/>
      </c>
      <c r="AP558" s="12" t="str">
        <f t="shared" si="126"/>
        <v/>
      </c>
      <c r="AQ558" s="64">
        <v>2503</v>
      </c>
      <c r="AR558" t="s">
        <v>5932</v>
      </c>
      <c r="AS558" s="12">
        <f t="shared" si="138"/>
        <v>1.4614500000000001</v>
      </c>
      <c r="AT558" s="16" t="str">
        <f t="shared" si="136"/>
        <v>Yes</v>
      </c>
    </row>
    <row r="559" spans="1:46" hidden="1" x14ac:dyDescent="0.25">
      <c r="A559" s="41">
        <f>CASOPOInvCL!T559</f>
        <v>1</v>
      </c>
      <c r="B559" t="str">
        <f>CASOPOInvCL!Z559</f>
        <v>SO17234</v>
      </c>
      <c r="G559" s="5" t="str">
        <f>CASOPOInvCL!I559</f>
        <v>Taylor Cook</v>
      </c>
      <c r="H559" s="31">
        <f>CASOPOInvCL!U559</f>
        <v>5</v>
      </c>
      <c r="I559" s="31">
        <f>CASOPOInvCL!V559</f>
        <v>2025</v>
      </c>
      <c r="J559" s="5" t="str">
        <f>CASOPOInvCL!AB559</f>
        <v>INV13031</v>
      </c>
      <c r="K559" s="31">
        <f>CASOPOInvCL!W559</f>
        <v>6</v>
      </c>
      <c r="L559" s="31">
        <f>CASOPOInvCL!X559</f>
        <v>2025</v>
      </c>
      <c r="M559" s="31"/>
      <c r="N559" s="5" t="str">
        <f>CASOPOInvCL!AF559</f>
        <v>Motion Industries Inc. (Canada) - Winnipeg</v>
      </c>
      <c r="O559" s="16" t="str">
        <f>CASOPOInvCL!AG559</f>
        <v>CAD</v>
      </c>
      <c r="P559" s="16">
        <f>CASOPOInvCL!AH559</f>
        <v>126.12</v>
      </c>
      <c r="Q559" s="16">
        <f>CASOPOInvCL!AI559</f>
        <v>91.535653775790749</v>
      </c>
      <c r="R559" s="32" t="str">
        <f>CASOPOInvCL!AU559</f>
        <v>Yes</v>
      </c>
      <c r="S559" s="16">
        <f>CASOPOInvCL!AV559</f>
        <v>0</v>
      </c>
      <c r="T559" s="16">
        <f>CASOPOInvCL!AW559</f>
        <v>91.535653775790749</v>
      </c>
      <c r="Y559" s="29" t="str">
        <f>IFERROR(HLOOKUP(U559,List!$D$2:$H$6,2,FALSE),"")</f>
        <v/>
      </c>
      <c r="Z559" s="29" t="str">
        <f>IFERROR(HLOOKUP(V559,List!$D$2:$H$6,3,FALSE),"")</f>
        <v/>
      </c>
      <c r="AA559" s="29" t="str">
        <f>IFERROR(HLOOKUP(W559,List!$D$2:$H$6,4,FALSE),"")</f>
        <v/>
      </c>
      <c r="AB559" s="29" t="str">
        <f>IFERROR(HLOOKUP(X559,List!$D$2:$H$6,5,FALSE),"")</f>
        <v/>
      </c>
      <c r="AC559" s="12" t="str">
        <f t="shared" si="118"/>
        <v/>
      </c>
      <c r="AD559" s="12" t="str">
        <f t="shared" si="119"/>
        <v/>
      </c>
      <c r="AE559" s="12" t="str">
        <f t="shared" si="120"/>
        <v/>
      </c>
      <c r="AF559" s="12" t="str">
        <f t="shared" si="121"/>
        <v/>
      </c>
      <c r="AG559" t="str">
        <f>VLOOKUP(J559,'Receivable Invoice Detail'!$A$1:F3571,6,FALSE)</f>
        <v>[DU-SA3210AA00-TFR] Impeller Gasket, Durco Mark 2&amp;3 Group 2, Teflon/Rubber</v>
      </c>
      <c r="AH559" s="12">
        <f t="shared" si="142"/>
        <v>0</v>
      </c>
      <c r="AM559" s="12" t="str">
        <f t="shared" si="123"/>
        <v/>
      </c>
      <c r="AN559" s="12" t="str">
        <f t="shared" si="124"/>
        <v/>
      </c>
      <c r="AO559" s="12" t="str">
        <f t="shared" si="125"/>
        <v/>
      </c>
      <c r="AP559" s="12" t="str">
        <f t="shared" si="126"/>
        <v/>
      </c>
      <c r="AQ559" s="12"/>
      <c r="AS559" s="12">
        <f t="shared" si="138"/>
        <v>47.218151046893993</v>
      </c>
      <c r="AT559" s="16" t="str">
        <f t="shared" si="136"/>
        <v>Yes</v>
      </c>
    </row>
    <row r="560" spans="1:46" hidden="1" x14ac:dyDescent="0.25">
      <c r="A560" s="41">
        <f>CASOPOInvCL!T560</f>
        <v>1</v>
      </c>
      <c r="B560" t="str">
        <f>CASOPOInvCL!Z560</f>
        <v>SO17235</v>
      </c>
      <c r="D560" t="s">
        <v>5925</v>
      </c>
      <c r="G560" s="5" t="str">
        <f>CASOPOInvCL!I560</f>
        <v>Ian Trottier</v>
      </c>
      <c r="H560" s="31">
        <f>CASOPOInvCL!U560</f>
        <v>5</v>
      </c>
      <c r="I560" s="31">
        <f>CASOPOInvCL!V560</f>
        <v>2025</v>
      </c>
      <c r="J560" s="5" t="str">
        <f>CASOPOInvCL!AB560</f>
        <v>INV13079</v>
      </c>
      <c r="K560" s="31">
        <f>CASOPOInvCL!W560</f>
        <v>8</v>
      </c>
      <c r="L560" s="31">
        <f>CASOPOInvCL!X560</f>
        <v>2025</v>
      </c>
      <c r="M560">
        <v>2503</v>
      </c>
      <c r="N560" s="5" t="str">
        <f>CASOPOInvCL!AF560</f>
        <v>Hyperflo</v>
      </c>
      <c r="O560" s="16" t="str">
        <f>CASOPOInvCL!AG560</f>
        <v>CAD</v>
      </c>
      <c r="P560" s="16">
        <f>CASOPOInvCL!AH560</f>
        <v>1059.76</v>
      </c>
      <c r="Q560" s="16">
        <f>CASOPOInvCL!AI560</f>
        <v>765.06747569241963</v>
      </c>
      <c r="R560" s="32" t="str">
        <f>CASOPOInvCL!AU560</f>
        <v>Yes</v>
      </c>
      <c r="S560" s="16">
        <f>CASOPOInvCL!AV560</f>
        <v>0</v>
      </c>
      <c r="T560" s="16">
        <f>CASOPOInvCL!AW560</f>
        <v>765.06747569241963</v>
      </c>
      <c r="V560" t="s">
        <v>5800</v>
      </c>
      <c r="Y560" s="29" t="str">
        <f>IFERROR(HLOOKUP(U560,List!$D$2:$H$6,2,FALSE),"")</f>
        <v/>
      </c>
      <c r="Z560" s="29">
        <f>IFERROR(HLOOKUP(V560,List!$D$2:$H$6,3,FALSE),"")</f>
        <v>5.0000000000000001E-3</v>
      </c>
      <c r="AA560" s="29" t="str">
        <f>IFERROR(HLOOKUP(W560,List!$D$2:$H$6,4,FALSE),"")</f>
        <v/>
      </c>
      <c r="AB560" s="29" t="str">
        <f>IFERROR(HLOOKUP(X560,List!$D$2:$H$6,5,FALSE),"")</f>
        <v/>
      </c>
      <c r="AC560" s="12" t="str">
        <f t="shared" si="118"/>
        <v/>
      </c>
      <c r="AD560" s="12">
        <f t="shared" si="119"/>
        <v>3.8253373784620983</v>
      </c>
      <c r="AE560" s="12" t="str">
        <f t="shared" si="120"/>
        <v/>
      </c>
      <c r="AF560" s="12" t="str">
        <f t="shared" si="121"/>
        <v/>
      </c>
      <c r="AG560" t="str">
        <f>VLOOKUP(J560,'Receivable Invoice Detail'!$A$1:F3572,6,FALSE)</f>
        <v>[AC-98-331-958-810] Shaft Sleeve, 2x2-10 SRL, 316SS</v>
      </c>
      <c r="AM560" s="12" t="str">
        <f t="shared" si="123"/>
        <v/>
      </c>
      <c r="AN560" s="12">
        <f t="shared" si="124"/>
        <v>3.8253373784620983</v>
      </c>
      <c r="AO560" s="12" t="str">
        <f t="shared" si="125"/>
        <v/>
      </c>
      <c r="AP560" s="12" t="str">
        <f t="shared" si="126"/>
        <v/>
      </c>
      <c r="AQ560" s="64">
        <v>2503</v>
      </c>
      <c r="AR560" t="s">
        <v>5932</v>
      </c>
      <c r="AS560" s="12">
        <f t="shared" si="138"/>
        <v>5.7259428310840468</v>
      </c>
      <c r="AT560" s="16" t="str">
        <f t="shared" si="136"/>
        <v>Yes</v>
      </c>
    </row>
    <row r="561" spans="1:46" hidden="1" x14ac:dyDescent="0.25">
      <c r="A561" s="41">
        <f>CASOPOInvCL!T561</f>
        <v>1</v>
      </c>
      <c r="B561" t="str">
        <f>CASOPOInvCL!Z561</f>
        <v>SO17237</v>
      </c>
      <c r="D561" t="s">
        <v>5925</v>
      </c>
      <c r="G561" s="5" t="str">
        <f>CASOPOInvCL!I561</f>
        <v>Ian Trottier</v>
      </c>
      <c r="H561" s="31">
        <f>CASOPOInvCL!U561</f>
        <v>5</v>
      </c>
      <c r="I561" s="31">
        <f>CASOPOInvCL!V561</f>
        <v>2025</v>
      </c>
      <c r="J561" s="5" t="str">
        <f>CASOPOInvCL!AB561</f>
        <v>INV13029</v>
      </c>
      <c r="K561" s="31">
        <f>CASOPOInvCL!W561</f>
        <v>8</v>
      </c>
      <c r="L561" s="31">
        <f>CASOPOInvCL!X561</f>
        <v>2025</v>
      </c>
      <c r="M561">
        <v>2503</v>
      </c>
      <c r="N561" s="5" t="str">
        <f>CASOPOInvCL!AF561</f>
        <v>Hyperflo</v>
      </c>
      <c r="O561" s="16" t="str">
        <f>CASOPOInvCL!AG561</f>
        <v>CAD</v>
      </c>
      <c r="P561" s="16">
        <f>CASOPOInvCL!AH561</f>
        <v>1034.78</v>
      </c>
      <c r="Q561" s="16">
        <f>CASOPOInvCL!AI561</f>
        <v>751.02492716549909</v>
      </c>
      <c r="R561" s="32" t="str">
        <f>CASOPOInvCL!AU561</f>
        <v>Yes</v>
      </c>
      <c r="S561" s="16">
        <f>CASOPOInvCL!AV561</f>
        <v>0</v>
      </c>
      <c r="T561" s="16">
        <f>CASOPOInvCL!AW561</f>
        <v>751.02492716549909</v>
      </c>
      <c r="V561" t="s">
        <v>5800</v>
      </c>
      <c r="Y561" s="29" t="str">
        <f>IFERROR(HLOOKUP(U561,List!$D$2:$H$6,2,FALSE),"")</f>
        <v/>
      </c>
      <c r="Z561" s="29">
        <f>IFERROR(HLOOKUP(V561,List!$D$2:$H$6,3,FALSE),"")</f>
        <v>5.0000000000000001E-3</v>
      </c>
      <c r="AA561" s="29" t="str">
        <f>IFERROR(HLOOKUP(W561,List!$D$2:$H$6,4,FALSE),"")</f>
        <v/>
      </c>
      <c r="AB561" s="29" t="str">
        <f>IFERROR(HLOOKUP(X561,List!$D$2:$H$6,5,FALSE),"")</f>
        <v/>
      </c>
      <c r="AC561" s="12" t="str">
        <f t="shared" si="118"/>
        <v/>
      </c>
      <c r="AD561" s="12">
        <f t="shared" si="119"/>
        <v>3.7551246358274954</v>
      </c>
      <c r="AE561" s="12" t="str">
        <f t="shared" si="120"/>
        <v/>
      </c>
      <c r="AF561" s="12" t="str">
        <f t="shared" si="121"/>
        <v/>
      </c>
      <c r="AG561" t="str">
        <f>VLOOKUP(J561,'Receivable Invoice Detail'!$A$1:F3573,6,FALSE)</f>
        <v>[AC-98-039-047-501] Impeller (Closed), 5x4-14 SRL-C, Natural Rubber</v>
      </c>
      <c r="AH561" s="12">
        <f t="shared" ref="AH561" si="143">SUM(AC561:AF561)</f>
        <v>3.7551246358274954</v>
      </c>
      <c r="AM561" s="12" t="str">
        <f t="shared" si="123"/>
        <v/>
      </c>
      <c r="AN561" s="12">
        <f t="shared" si="124"/>
        <v>3.7551246358274954</v>
      </c>
      <c r="AO561" s="12" t="str">
        <f t="shared" si="125"/>
        <v/>
      </c>
      <c r="AP561" s="12" t="str">
        <f t="shared" si="126"/>
        <v/>
      </c>
      <c r="AQ561" s="64">
        <v>2503</v>
      </c>
      <c r="AR561" t="s">
        <v>5932</v>
      </c>
      <c r="AS561" s="12">
        <f t="shared" si="138"/>
        <v>1.3730348066368612</v>
      </c>
      <c r="AT561" s="16" t="str">
        <f t="shared" si="136"/>
        <v>Yes</v>
      </c>
    </row>
    <row r="562" spans="1:46" hidden="1" x14ac:dyDescent="0.25">
      <c r="A562" s="41">
        <f>CASOPOInvCL!T562</f>
        <v>1</v>
      </c>
      <c r="B562" t="str">
        <f>CASOPOInvCL!Z562</f>
        <v>SO17238</v>
      </c>
      <c r="G562" s="5" t="str">
        <f>CASOPOInvCL!I562</f>
        <v>Amanda Qiao</v>
      </c>
      <c r="H562" s="31">
        <f>CASOPOInvCL!U562</f>
        <v>5</v>
      </c>
      <c r="I562" s="31">
        <f>CASOPOInvCL!V562</f>
        <v>2025</v>
      </c>
      <c r="J562" s="5" t="str">
        <f>CASOPOInvCL!AB562</f>
        <v>INV13045</v>
      </c>
      <c r="K562" s="31">
        <f>CASOPOInvCL!W562</f>
        <v>7</v>
      </c>
      <c r="L562" s="31">
        <f>CASOPOInvCL!X562</f>
        <v>2025</v>
      </c>
      <c r="M562" s="31"/>
      <c r="N562" s="5" t="str">
        <f>CASOPOInvCL!AF562</f>
        <v>Mill-Right Mine Services Inc.</v>
      </c>
      <c r="O562" s="16" t="str">
        <f>CASOPOInvCL!AG562</f>
        <v>USD</v>
      </c>
      <c r="P562" s="16">
        <f>CASOPOInvCL!AH562</f>
        <v>5353.8560423250119</v>
      </c>
      <c r="Q562" s="16">
        <f>CASOPOInvCL!AI562</f>
        <v>3897.24</v>
      </c>
      <c r="R562" s="32" t="str">
        <f>CASOPOInvCL!AU562</f>
        <v>Yes</v>
      </c>
      <c r="S562" s="16">
        <f>CASOPOInvCL!AV562</f>
        <v>263.54000000000002</v>
      </c>
      <c r="T562" s="16">
        <f>CASOPOInvCL!AW562</f>
        <v>3633.7</v>
      </c>
      <c r="Y562" s="29" t="str">
        <f>IFERROR(HLOOKUP(U562,List!$D$2:$H$6,2,FALSE),"")</f>
        <v/>
      </c>
      <c r="Z562" s="29" t="str">
        <f>IFERROR(HLOOKUP(V562,List!$D$2:$H$6,3,FALSE),"")</f>
        <v/>
      </c>
      <c r="AA562" s="29" t="str">
        <f>IFERROR(HLOOKUP(W562,List!$D$2:$H$6,4,FALSE),"")</f>
        <v/>
      </c>
      <c r="AB562" s="29" t="str">
        <f>IFERROR(HLOOKUP(X562,List!$D$2:$H$6,5,FALSE),"")</f>
        <v/>
      </c>
      <c r="AC562" s="12" t="str">
        <f t="shared" si="118"/>
        <v/>
      </c>
      <c r="AD562" s="12" t="str">
        <f t="shared" si="119"/>
        <v/>
      </c>
      <c r="AE562" s="12" t="str">
        <f t="shared" si="120"/>
        <v/>
      </c>
      <c r="AF562" s="12" t="str">
        <f t="shared" si="121"/>
        <v/>
      </c>
      <c r="AG562" t="str">
        <f>VLOOKUP(J562,'Receivable Invoice Detail'!$A$1:F3574,6,FALSE)</f>
        <v>[FS58979M4] Single Cartridge Mechanical Seal, 1 7/8", VBRB3, Big Bore, Carbon vs Silicon Carbide, TFEP, A276 Bellows, 316SS</v>
      </c>
      <c r="AM562" s="12" t="str">
        <f t="shared" si="123"/>
        <v/>
      </c>
      <c r="AN562" s="12" t="str">
        <f t="shared" si="124"/>
        <v/>
      </c>
      <c r="AO562" s="12" t="str">
        <f t="shared" si="125"/>
        <v/>
      </c>
      <c r="AP562" s="12" t="str">
        <f t="shared" si="126"/>
        <v/>
      </c>
      <c r="AQ562" s="12"/>
      <c r="AS562" s="12">
        <f t="shared" si="138"/>
        <v>11.476012135386295</v>
      </c>
      <c r="AT562" s="16" t="str">
        <f t="shared" si="136"/>
        <v>Yes</v>
      </c>
    </row>
    <row r="563" spans="1:46" hidden="1" x14ac:dyDescent="0.25">
      <c r="A563" s="41">
        <f>CASOPOInvCL!T563</f>
        <v>1</v>
      </c>
      <c r="B563" t="str">
        <f>CASOPOInvCL!Z563</f>
        <v>SO17241</v>
      </c>
      <c r="D563" t="s">
        <v>5925</v>
      </c>
      <c r="G563" s="5" t="str">
        <f>CASOPOInvCL!I563</f>
        <v>Ian Trottier</v>
      </c>
      <c r="H563" s="31">
        <f>CASOPOInvCL!U563</f>
        <v>5</v>
      </c>
      <c r="I563" s="31">
        <f>CASOPOInvCL!V563</f>
        <v>2025</v>
      </c>
      <c r="J563" s="5" t="str">
        <f>CASOPOInvCL!AB563</f>
        <v>INV13041</v>
      </c>
      <c r="K563" s="31">
        <f>CASOPOInvCL!W563</f>
        <v>7</v>
      </c>
      <c r="L563" s="31">
        <f>CASOPOInvCL!X563</f>
        <v>2025</v>
      </c>
      <c r="M563">
        <v>2503</v>
      </c>
      <c r="N563" s="5" t="str">
        <f>CASOPOInvCL!AF563</f>
        <v>Wajax Limited - Noranda</v>
      </c>
      <c r="O563" s="16" t="str">
        <f>CASOPOInvCL!AG563</f>
        <v>CAD</v>
      </c>
      <c r="P563" s="16">
        <f>CASOPOInvCL!AH563</f>
        <v>286.35000000000002</v>
      </c>
      <c r="Q563" s="16">
        <f>CASOPOInvCL!AI563</f>
        <v>207.18469304590474</v>
      </c>
      <c r="R563" s="32" t="str">
        <f>CASOPOInvCL!AU563</f>
        <v>Yes</v>
      </c>
      <c r="S563" s="16">
        <f>CASOPOInvCL!AV563</f>
        <v>0</v>
      </c>
      <c r="T563" s="16">
        <f>CASOPOInvCL!AW563</f>
        <v>207.18469304590474</v>
      </c>
      <c r="V563" t="s">
        <v>5800</v>
      </c>
      <c r="Y563" s="29" t="str">
        <f>IFERROR(HLOOKUP(U563,List!$D$2:$H$6,2,FALSE),"")</f>
        <v/>
      </c>
      <c r="Z563" s="29">
        <f>IFERROR(HLOOKUP(V563,List!$D$2:$H$6,3,FALSE),"")</f>
        <v>5.0000000000000001E-3</v>
      </c>
      <c r="AA563" s="29" t="str">
        <f>IFERROR(HLOOKUP(W563,List!$D$2:$H$6,4,FALSE),"")</f>
        <v/>
      </c>
      <c r="AB563" s="29" t="str">
        <f>IFERROR(HLOOKUP(X563,List!$D$2:$H$6,5,FALSE),"")</f>
        <v/>
      </c>
      <c r="AC563" s="12" t="str">
        <f t="shared" si="118"/>
        <v/>
      </c>
      <c r="AD563" s="12">
        <f t="shared" si="119"/>
        <v>1.0359234652295237</v>
      </c>
      <c r="AE563" s="12" t="str">
        <f t="shared" si="120"/>
        <v/>
      </c>
      <c r="AF563" s="12" t="str">
        <f t="shared" si="121"/>
        <v/>
      </c>
      <c r="AG563" t="str">
        <f>VLOOKUP(J563,'Receivable Invoice Detail'!$A$1:F3575,6,FALSE)</f>
        <v>[SKF-22340] Bearing Seal (Inboard &amp; Outboard), 5x4-14 SRL/SRL-C, 6x6-15 SRL</v>
      </c>
      <c r="AH563" s="12">
        <f t="shared" ref="AH563:AH567" si="144">SUM(AC563:AF563)</f>
        <v>1.0359234652295237</v>
      </c>
      <c r="AM563" s="12" t="str">
        <f t="shared" si="123"/>
        <v/>
      </c>
      <c r="AN563" s="12">
        <f t="shared" si="124"/>
        <v>1.0359234652295237</v>
      </c>
      <c r="AO563" s="12" t="str">
        <f t="shared" si="125"/>
        <v/>
      </c>
      <c r="AP563" s="12" t="str">
        <f t="shared" si="126"/>
        <v/>
      </c>
      <c r="AQ563" s="64">
        <v>2503</v>
      </c>
      <c r="AR563" t="s">
        <v>5932</v>
      </c>
      <c r="AS563" s="12">
        <f t="shared" si="138"/>
        <v>11.265373907482486</v>
      </c>
      <c r="AT563" s="16" t="str">
        <f t="shared" si="136"/>
        <v>Yes</v>
      </c>
    </row>
    <row r="564" spans="1:46" hidden="1" x14ac:dyDescent="0.25">
      <c r="A564" s="41">
        <f>CASOPOInvCL!T564</f>
        <v>1</v>
      </c>
      <c r="B564" t="str">
        <f>CASOPOInvCL!Z564</f>
        <v>SO17242</v>
      </c>
      <c r="G564" s="5" t="str">
        <f>CASOPOInvCL!I564</f>
        <v>Amanda Qiao</v>
      </c>
      <c r="H564" s="31">
        <f>CASOPOInvCL!U564</f>
        <v>5</v>
      </c>
      <c r="I564" s="31">
        <f>CASOPOInvCL!V564</f>
        <v>2025</v>
      </c>
      <c r="J564" s="5" t="str">
        <f>CASOPOInvCL!AB564</f>
        <v>INV13482</v>
      </c>
      <c r="K564" s="31">
        <f>CASOPOInvCL!W564</f>
        <v>10</v>
      </c>
      <c r="L564" s="31">
        <f>CASOPOInvCL!X564</f>
        <v>2025</v>
      </c>
      <c r="M564" s="31"/>
      <c r="N564" s="5" t="str">
        <f>CASOPOInvCL!AF564</f>
        <v>Mill-Right Mine Services Inc.</v>
      </c>
      <c r="O564" s="16" t="str">
        <f>CASOPOInvCL!AG564</f>
        <v>USD</v>
      </c>
      <c r="P564" s="16">
        <f>CASOPOInvCL!AH564</f>
        <v>3636.7582305189817</v>
      </c>
      <c r="Q564" s="16">
        <f>CASOPOInvCL!AI564</f>
        <v>2660</v>
      </c>
      <c r="R564" s="32" t="str">
        <f>CASOPOInvCL!AU564</f>
        <v>Yes</v>
      </c>
      <c r="S564" s="16">
        <f>CASOPOInvCL!AV564</f>
        <v>0</v>
      </c>
      <c r="T564" s="16">
        <f>CASOPOInvCL!AW564</f>
        <v>2660</v>
      </c>
      <c r="Y564" s="29" t="str">
        <f>IFERROR(HLOOKUP(U564,List!$D$2:$H$6,2,FALSE),"")</f>
        <v/>
      </c>
      <c r="Z564" s="29" t="str">
        <f>IFERROR(HLOOKUP(V564,List!$D$2:$H$6,3,FALSE),"")</f>
        <v/>
      </c>
      <c r="AA564" s="29" t="str">
        <f>IFERROR(HLOOKUP(W564,List!$D$2:$H$6,4,FALSE),"")</f>
        <v/>
      </c>
      <c r="AB564" s="29" t="str">
        <f>IFERROR(HLOOKUP(X564,List!$D$2:$H$6,5,FALSE),"")</f>
        <v/>
      </c>
      <c r="AC564" s="12" t="str">
        <f t="shared" si="118"/>
        <v/>
      </c>
      <c r="AD564" s="12" t="str">
        <f t="shared" si="119"/>
        <v/>
      </c>
      <c r="AE564" s="12" t="str">
        <f t="shared" si="120"/>
        <v/>
      </c>
      <c r="AF564" s="12" t="str">
        <f t="shared" si="121"/>
        <v/>
      </c>
      <c r="AG564" t="str">
        <f>VLOOKUP(J564,'Receivable Invoice Detail'!$A$1:F3576,6,FALSE)</f>
        <v>[GA-556540] Impeller, G-Series 6" VSP, 8100 Series, High Chrome</v>
      </c>
      <c r="AH564" s="12">
        <f t="shared" si="144"/>
        <v>0</v>
      </c>
      <c r="AM564" s="12" t="str">
        <f t="shared" si="123"/>
        <v/>
      </c>
      <c r="AN564" s="12" t="str">
        <f t="shared" si="124"/>
        <v/>
      </c>
      <c r="AO564" s="12" t="str">
        <f t="shared" si="125"/>
        <v/>
      </c>
      <c r="AP564" s="12" t="str">
        <f t="shared" si="126"/>
        <v/>
      </c>
      <c r="AQ564" s="12"/>
      <c r="AS564" s="12">
        <f t="shared" si="138"/>
        <v>54.505499999999998</v>
      </c>
      <c r="AT564" s="16" t="str">
        <f t="shared" si="136"/>
        <v>Yes</v>
      </c>
    </row>
    <row r="565" spans="1:46" hidden="1" x14ac:dyDescent="0.25">
      <c r="A565" s="41">
        <f>CASOPOInvCL!T565</f>
        <v>1</v>
      </c>
      <c r="B565" t="str">
        <f>CASOPOInvCL!Z565</f>
        <v>SO17243</v>
      </c>
      <c r="D565" t="s">
        <v>5925</v>
      </c>
      <c r="G565" s="5" t="str">
        <f>CASOPOInvCL!I565</f>
        <v>Ian Trottier</v>
      </c>
      <c r="H565" s="31">
        <f>CASOPOInvCL!U565</f>
        <v>5</v>
      </c>
      <c r="I565" s="31">
        <f>CASOPOInvCL!V565</f>
        <v>2025</v>
      </c>
      <c r="J565" s="5" t="str">
        <f>CASOPOInvCL!AB565</f>
        <v>INV13338</v>
      </c>
      <c r="K565" s="31">
        <f>CASOPOInvCL!W565</f>
        <v>9</v>
      </c>
      <c r="L565" s="31">
        <f>CASOPOInvCL!X565</f>
        <v>2025</v>
      </c>
      <c r="M565">
        <v>2503</v>
      </c>
      <c r="N565" s="5" t="str">
        <f>CASOPOInvCL!AF565</f>
        <v>Les Pompes du St-Laurent Inc.</v>
      </c>
      <c r="O565" s="16" t="str">
        <f>CASOPOInvCL!AG565</f>
        <v>CAD</v>
      </c>
      <c r="P565" s="16">
        <f>CASOPOInvCL!AH565</f>
        <v>18048.939999999999</v>
      </c>
      <c r="Q565" s="16">
        <f>CASOPOInvCL!AI565</f>
        <v>13189.008517319087</v>
      </c>
      <c r="R565" s="32" t="str">
        <f>CASOPOInvCL!AU565</f>
        <v>Yes</v>
      </c>
      <c r="S565" s="16">
        <f>CASOPOInvCL!AV565</f>
        <v>0</v>
      </c>
      <c r="T565" s="16">
        <f>CASOPOInvCL!AW565</f>
        <v>13189.008517319087</v>
      </c>
      <c r="V565" t="s">
        <v>5800</v>
      </c>
      <c r="Y565" s="29" t="str">
        <f>IFERROR(HLOOKUP(U565,List!$D$2:$H$6,2,FALSE),"")</f>
        <v/>
      </c>
      <c r="Z565" s="29">
        <f>IFERROR(HLOOKUP(V565,List!$D$2:$H$6,3,FALSE),"")</f>
        <v>5.0000000000000001E-3</v>
      </c>
      <c r="AA565" s="29" t="str">
        <f>IFERROR(HLOOKUP(W565,List!$D$2:$H$6,4,FALSE),"")</f>
        <v/>
      </c>
      <c r="AB565" s="29" t="str">
        <f>IFERROR(HLOOKUP(X565,List!$D$2:$H$6,5,FALSE),"")</f>
        <v/>
      </c>
      <c r="AC565" s="12" t="str">
        <f t="shared" si="118"/>
        <v/>
      </c>
      <c r="AD565" s="12">
        <f t="shared" si="119"/>
        <v>65.945042586595434</v>
      </c>
      <c r="AE565" s="12" t="str">
        <f t="shared" si="120"/>
        <v/>
      </c>
      <c r="AF565" s="12" t="str">
        <f t="shared" si="121"/>
        <v/>
      </c>
      <c r="AG565" t="str">
        <f>VLOOKUP(J565,'Receivable Invoice Detail'!$A$1:F3577,6,FALSE)</f>
        <v>[G-243-90 1216] Impeller, 6x8-13, 3171-L, CD4MCu</v>
      </c>
      <c r="AH565" s="12">
        <f t="shared" si="144"/>
        <v>65.945042586595434</v>
      </c>
      <c r="AM565" s="12" t="str">
        <f t="shared" si="123"/>
        <v/>
      </c>
      <c r="AN565" s="12">
        <f t="shared" si="124"/>
        <v>65.945042586595434</v>
      </c>
      <c r="AO565" s="12" t="str">
        <f t="shared" si="125"/>
        <v/>
      </c>
      <c r="AP565" s="12" t="str">
        <f t="shared" si="126"/>
        <v/>
      </c>
      <c r="AQ565" s="64">
        <v>2503</v>
      </c>
      <c r="AR565" t="s">
        <v>5932</v>
      </c>
      <c r="AS565" s="12">
        <f t="shared" si="138"/>
        <v>3.1077703956885712</v>
      </c>
      <c r="AT565" s="16" t="str">
        <f t="shared" si="136"/>
        <v>Yes</v>
      </c>
    </row>
    <row r="566" spans="1:46" hidden="1" x14ac:dyDescent="0.25">
      <c r="A566" s="41">
        <f>CASOPOInvCL!T566</f>
        <v>1</v>
      </c>
      <c r="B566" t="str">
        <f>CASOPOInvCL!Z566</f>
        <v>SO17245</v>
      </c>
      <c r="D566" t="s">
        <v>5925</v>
      </c>
      <c r="G566" s="5" t="str">
        <f>CASOPOInvCL!I566</f>
        <v>Ian Trottier</v>
      </c>
      <c r="H566" s="31">
        <f>CASOPOInvCL!U566</f>
        <v>5</v>
      </c>
      <c r="I566" s="31">
        <f>CASOPOInvCL!V566</f>
        <v>2025</v>
      </c>
      <c r="J566" s="5" t="str">
        <f>CASOPOInvCL!AB566</f>
        <v>INV13269</v>
      </c>
      <c r="K566" s="31">
        <f>CASOPOInvCL!W566</f>
        <v>9</v>
      </c>
      <c r="L566" s="31">
        <f>CASOPOInvCL!X566</f>
        <v>2025</v>
      </c>
      <c r="M566">
        <v>2503</v>
      </c>
      <c r="N566" s="5" t="str">
        <f>CASOPOInvCL!AF566</f>
        <v>Motion Industries Inc. (Canada) - Winnipeg</v>
      </c>
      <c r="O566" s="16" t="str">
        <f>CASOPOInvCL!AG566</f>
        <v>CAD</v>
      </c>
      <c r="P566" s="16">
        <f>CASOPOInvCL!AH566</f>
        <v>419.88</v>
      </c>
      <c r="Q566" s="16">
        <f>CASOPOInvCL!AI566</f>
        <v>304.74143916412163</v>
      </c>
      <c r="R566" s="32" t="str">
        <f>CASOPOInvCL!AU566</f>
        <v>Yes</v>
      </c>
      <c r="S566" s="16">
        <f>CASOPOInvCL!AV566</f>
        <v>0</v>
      </c>
      <c r="T566" s="16">
        <f>CASOPOInvCL!AW566</f>
        <v>304.74143916412163</v>
      </c>
      <c r="V566" t="s">
        <v>5800</v>
      </c>
      <c r="Y566" s="29" t="str">
        <f>IFERROR(HLOOKUP(U566,List!$D$2:$H$6,2,FALSE),"")</f>
        <v/>
      </c>
      <c r="Z566" s="29">
        <f>IFERROR(HLOOKUP(V566,List!$D$2:$H$6,3,FALSE),"")</f>
        <v>5.0000000000000001E-3</v>
      </c>
      <c r="AA566" s="29" t="str">
        <f>IFERROR(HLOOKUP(W566,List!$D$2:$H$6,4,FALSE),"")</f>
        <v/>
      </c>
      <c r="AB566" s="29" t="str">
        <f>IFERROR(HLOOKUP(X566,List!$D$2:$H$6,5,FALSE),"")</f>
        <v/>
      </c>
      <c r="AC566" s="12" t="str">
        <f t="shared" si="118"/>
        <v/>
      </c>
      <c r="AD566" s="12">
        <f t="shared" si="119"/>
        <v>1.5237071958206081</v>
      </c>
      <c r="AE566" s="12" t="str">
        <f t="shared" si="120"/>
        <v/>
      </c>
      <c r="AF566" s="12" t="str">
        <f t="shared" si="121"/>
        <v/>
      </c>
      <c r="AG566" t="str">
        <f>VLOOKUP(J566,'Receivable Invoice Detail'!$A$1:F3578,6,FALSE)</f>
        <v>[WO-960617-00] Impeller Washer, Worthington D1011/D1012, Frame 5, 316SS</v>
      </c>
      <c r="AH566" s="12">
        <f t="shared" si="144"/>
        <v>1.5237071958206081</v>
      </c>
      <c r="AM566" s="12" t="str">
        <f t="shared" si="123"/>
        <v/>
      </c>
      <c r="AN566" s="12">
        <f t="shared" si="124"/>
        <v>1.5237071958206081</v>
      </c>
      <c r="AO566" s="12" t="str">
        <f t="shared" si="125"/>
        <v/>
      </c>
      <c r="AP566" s="12" t="str">
        <f t="shared" si="126"/>
        <v/>
      </c>
      <c r="AQ566" s="64">
        <v>2503</v>
      </c>
      <c r="AR566" t="s">
        <v>5932</v>
      </c>
      <c r="AS566" s="12">
        <f t="shared" si="138"/>
        <v>39.9</v>
      </c>
      <c r="AT566" s="16" t="str">
        <f t="shared" si="136"/>
        <v>Yes</v>
      </c>
    </row>
    <row r="567" spans="1:46" hidden="1" x14ac:dyDescent="0.25">
      <c r="A567" s="41">
        <f>CASOPOInvCL!T567</f>
        <v>1</v>
      </c>
      <c r="B567" t="str">
        <f>CASOPOInvCL!Z567</f>
        <v>SO17246</v>
      </c>
      <c r="D567" t="s">
        <v>5925</v>
      </c>
      <c r="G567" s="5" t="str">
        <f>CASOPOInvCL!I567</f>
        <v>Ian Trottier</v>
      </c>
      <c r="H567" s="31">
        <f>CASOPOInvCL!U567</f>
        <v>5</v>
      </c>
      <c r="I567" s="31">
        <f>CASOPOInvCL!V567</f>
        <v>2025</v>
      </c>
      <c r="J567" s="5" t="str">
        <f>CASOPOInvCL!AB567</f>
        <v>INV13042</v>
      </c>
      <c r="K567" s="31">
        <f>CASOPOInvCL!W567</f>
        <v>7</v>
      </c>
      <c r="L567" s="31">
        <f>CASOPOInvCL!X567</f>
        <v>2025</v>
      </c>
      <c r="M567">
        <v>2503</v>
      </c>
      <c r="N567" s="5" t="str">
        <f>CASOPOInvCL!AF567</f>
        <v>Wajax Limited - Noranda</v>
      </c>
      <c r="O567" s="16" t="str">
        <f>CASOPOInvCL!AG567</f>
        <v>CAD</v>
      </c>
      <c r="P567" s="16">
        <f>CASOPOInvCL!AH567</f>
        <v>711.25</v>
      </c>
      <c r="Q567" s="16">
        <f>CASOPOInvCL!AI567</f>
        <v>515.01376453166131</v>
      </c>
      <c r="R567" s="32" t="str">
        <f>CASOPOInvCL!AU567</f>
        <v>Yes</v>
      </c>
      <c r="S567" s="16">
        <f>CASOPOInvCL!AV567</f>
        <v>0</v>
      </c>
      <c r="T567" s="16">
        <f>CASOPOInvCL!AW567</f>
        <v>515.01376453166131</v>
      </c>
      <c r="V567" t="s">
        <v>5800</v>
      </c>
      <c r="Y567" s="29" t="str">
        <f>IFERROR(HLOOKUP(U567,List!$D$2:$H$6,2,FALSE),"")</f>
        <v/>
      </c>
      <c r="Z567" s="29">
        <f>IFERROR(HLOOKUP(V567,List!$D$2:$H$6,3,FALSE),"")</f>
        <v>5.0000000000000001E-3</v>
      </c>
      <c r="AA567" s="29" t="str">
        <f>IFERROR(HLOOKUP(W567,List!$D$2:$H$6,4,FALSE),"")</f>
        <v/>
      </c>
      <c r="AB567" s="29" t="str">
        <f>IFERROR(HLOOKUP(X567,List!$D$2:$H$6,5,FALSE),"")</f>
        <v/>
      </c>
      <c r="AC567" s="12" t="str">
        <f t="shared" si="118"/>
        <v/>
      </c>
      <c r="AD567" s="12">
        <f t="shared" si="119"/>
        <v>2.5750688226583067</v>
      </c>
      <c r="AE567" s="12" t="str">
        <f t="shared" si="120"/>
        <v/>
      </c>
      <c r="AF567" s="12" t="str">
        <f t="shared" si="121"/>
        <v/>
      </c>
      <c r="AG567" t="str">
        <f>VLOOKUP(J567,'Receivable Invoice Detail'!$A$1:F3579,6,FALSE)</f>
        <v>[AC-98-331-958-808] Shaft Sleeve, 5x4/5x5/6x6 SRL, 316SS</v>
      </c>
      <c r="AH567" s="12">
        <f t="shared" si="144"/>
        <v>2.5750688226583067</v>
      </c>
      <c r="AM567" s="12" t="str">
        <f t="shared" si="123"/>
        <v/>
      </c>
      <c r="AN567" s="12">
        <f t="shared" si="124"/>
        <v>2.5750688226583067</v>
      </c>
      <c r="AO567" s="12" t="str">
        <f t="shared" si="125"/>
        <v/>
      </c>
      <c r="AP567" s="12" t="str">
        <f t="shared" si="126"/>
        <v/>
      </c>
      <c r="AQ567" s="64">
        <v>2503</v>
      </c>
      <c r="AR567" t="s">
        <v>5932</v>
      </c>
      <c r="AS567" s="12">
        <f t="shared" si="138"/>
        <v>197.8351277597863</v>
      </c>
      <c r="AT567" s="16" t="str">
        <f t="shared" si="136"/>
        <v>Yes</v>
      </c>
    </row>
    <row r="568" spans="1:46" hidden="1" x14ac:dyDescent="0.25">
      <c r="A568" s="41">
        <f>CASOPOInvCL!T568</f>
        <v>2</v>
      </c>
      <c r="B568" t="str">
        <f>CASOPOInvCL!Z568</f>
        <v>SO17249</v>
      </c>
      <c r="D568" t="s">
        <v>5925</v>
      </c>
      <c r="G568" s="5" t="str">
        <f>CASOPOInvCL!I568</f>
        <v>Ian Trottier</v>
      </c>
      <c r="H568" s="31">
        <f>CASOPOInvCL!U568</f>
        <v>5</v>
      </c>
      <c r="I568" s="31">
        <f>CASOPOInvCL!V568</f>
        <v>2025</v>
      </c>
      <c r="J568" s="5" t="str">
        <f>CASOPOInvCL!AB568</f>
        <v>(* 77703)</v>
      </c>
      <c r="K568" s="31" t="str">
        <f>CASOPOInvCL!W568</f>
        <v/>
      </c>
      <c r="L568" s="31" t="str">
        <f>CASOPOInvCL!X568</f>
        <v/>
      </c>
      <c r="M568">
        <v>2503</v>
      </c>
      <c r="N568" s="5" t="str">
        <f>CASOPOInvCL!AF568</f>
        <v>Sling-Choker Manufacturing - Timmins</v>
      </c>
      <c r="O568" s="16" t="str">
        <f>CASOPOInvCL!AG568</f>
        <v>CAD</v>
      </c>
      <c r="P568" s="16">
        <f>CASOPOInvCL!AH568</f>
        <v>4343.46</v>
      </c>
      <c r="Q568" s="16">
        <f>CASOPOInvCL!AI568</f>
        <v>3142.6520930929478</v>
      </c>
      <c r="R568" s="32" t="str">
        <f>CASOPOInvCL!AU568</f>
        <v>Yes</v>
      </c>
      <c r="S568" s="16">
        <f>CASOPOInvCL!AV568</f>
        <v>0</v>
      </c>
      <c r="T568" s="16">
        <f>CASOPOInvCL!AW568</f>
        <v>3142.6520930929478</v>
      </c>
      <c r="V568" t="s">
        <v>5800</v>
      </c>
      <c r="Y568" s="29" t="str">
        <f>IFERROR(HLOOKUP(U568,List!$D$2:$H$6,2,FALSE),"")</f>
        <v/>
      </c>
      <c r="Z568" s="29">
        <f>IFERROR(HLOOKUP(V568,List!$D$2:$H$6,3,FALSE),"")</f>
        <v>5.0000000000000001E-3</v>
      </c>
      <c r="AA568" s="29" t="str">
        <f>IFERROR(HLOOKUP(W568,List!$D$2:$H$6,4,FALSE),"")</f>
        <v/>
      </c>
      <c r="AB568" s="29" t="str">
        <f>IFERROR(HLOOKUP(X568,List!$D$2:$H$6,5,FALSE),"")</f>
        <v/>
      </c>
      <c r="AC568" s="12" t="str">
        <f t="shared" si="118"/>
        <v/>
      </c>
      <c r="AD568" s="12">
        <f t="shared" si="119"/>
        <v>15.713260465464739</v>
      </c>
      <c r="AE568" s="12" t="str">
        <f t="shared" si="120"/>
        <v/>
      </c>
      <c r="AF568" s="12" t="str">
        <f t="shared" si="121"/>
        <v/>
      </c>
      <c r="AG568" t="e">
        <f>VLOOKUP(J568,'Receivable Invoice Detail'!$A$1:F3580,6,FALSE)</f>
        <v>#N/A</v>
      </c>
      <c r="AH568" s="12">
        <f t="shared" ref="AH568" si="145">SUM(AC568:AF568)</f>
        <v>15.713260465464739</v>
      </c>
      <c r="AM568" s="12" t="str">
        <f t="shared" si="123"/>
        <v/>
      </c>
      <c r="AN568" s="12">
        <f t="shared" si="124"/>
        <v>15.713260465464739</v>
      </c>
      <c r="AO568" s="12" t="str">
        <f t="shared" si="125"/>
        <v/>
      </c>
      <c r="AP568" s="12" t="str">
        <f t="shared" si="126"/>
        <v/>
      </c>
      <c r="AQ568" s="64">
        <v>2503</v>
      </c>
      <c r="AR568" t="s">
        <v>5932</v>
      </c>
      <c r="AS568" s="12">
        <f t="shared" si="138"/>
        <v>4.5711215874618238</v>
      </c>
      <c r="AT568" s="16" t="str">
        <f t="shared" si="136"/>
        <v>Yes</v>
      </c>
    </row>
    <row r="569" spans="1:46" hidden="1" x14ac:dyDescent="0.25">
      <c r="A569" s="41">
        <f>CASOPOInvCL!T569</f>
        <v>2</v>
      </c>
      <c r="B569" t="str">
        <f>CASOPOInvCL!Z569</f>
        <v>SO17249</v>
      </c>
      <c r="D569" t="s">
        <v>5925</v>
      </c>
      <c r="G569" s="5">
        <f>CASOPOInvCL!I569</f>
        <v>0</v>
      </c>
      <c r="H569" s="31">
        <f>CASOPOInvCL!U569</f>
        <v>5</v>
      </c>
      <c r="I569" s="31">
        <f>CASOPOInvCL!V569</f>
        <v>2025</v>
      </c>
      <c r="J569" s="5" t="str">
        <f>CASOPOInvCL!AB569</f>
        <v>INV13112</v>
      </c>
      <c r="K569" s="31">
        <f>CASOPOInvCL!W569</f>
        <v>7</v>
      </c>
      <c r="L569" s="31">
        <f>CASOPOInvCL!X569</f>
        <v>2025</v>
      </c>
      <c r="M569">
        <v>2503</v>
      </c>
      <c r="N569" s="5" t="str">
        <f>CASOPOInvCL!AF569</f>
        <v>Sling-Choker Manufacturing - Timmins</v>
      </c>
      <c r="O569" s="16" t="str">
        <f>CASOPOInvCL!AG569</f>
        <v>CAD</v>
      </c>
      <c r="P569" s="16">
        <f>CASOPOInvCL!AH569</f>
        <v>0</v>
      </c>
      <c r="Q569" s="16">
        <f>CASOPOInvCL!AI569</f>
        <v>0</v>
      </c>
      <c r="R569" s="32" t="str">
        <f>CASOPOInvCL!AU569</f>
        <v/>
      </c>
      <c r="S569" s="16">
        <f>CASOPOInvCL!AV569</f>
        <v>0</v>
      </c>
      <c r="T569" s="16">
        <f>CASOPOInvCL!AW569</f>
        <v>0</v>
      </c>
      <c r="V569" t="s">
        <v>5800</v>
      </c>
      <c r="Y569" s="29" t="str">
        <f>IFERROR(HLOOKUP(U569,List!$D$2:$H$6,2,FALSE),"")</f>
        <v/>
      </c>
      <c r="Z569" s="29">
        <f>IFERROR(HLOOKUP(V569,List!$D$2:$H$6,3,FALSE),"")</f>
        <v>5.0000000000000001E-3</v>
      </c>
      <c r="AA569" s="29" t="str">
        <f>IFERROR(HLOOKUP(W569,List!$D$2:$H$6,4,FALSE),"")</f>
        <v/>
      </c>
      <c r="AB569" s="29" t="str">
        <f>IFERROR(HLOOKUP(X569,List!$D$2:$H$6,5,FALSE),"")</f>
        <v/>
      </c>
      <c r="AC569" s="12" t="str">
        <f t="shared" si="118"/>
        <v/>
      </c>
      <c r="AD569" s="12">
        <f t="shared" si="119"/>
        <v>0</v>
      </c>
      <c r="AE569" s="12" t="str">
        <f t="shared" si="120"/>
        <v/>
      </c>
      <c r="AF569" s="12" t="str">
        <f t="shared" si="121"/>
        <v/>
      </c>
      <c r="AG569" t="str">
        <f>VLOOKUP(J569,'Receivable Invoice Detail'!$A$1:F3581,6,FALSE)</f>
        <v>[AC-98-231-135-501] Suction Side Plate, 10x8-21 SRL-C, Natural Rubber</v>
      </c>
      <c r="AM569" s="12" t="str">
        <f t="shared" si="123"/>
        <v/>
      </c>
      <c r="AN569" s="12">
        <f t="shared" si="124"/>
        <v>0</v>
      </c>
      <c r="AO569" s="12" t="str">
        <f t="shared" si="125"/>
        <v/>
      </c>
      <c r="AP569" s="12" t="str">
        <f t="shared" si="126"/>
        <v/>
      </c>
      <c r="AQ569" s="64">
        <v>2503</v>
      </c>
      <c r="AR569" t="s">
        <v>5932</v>
      </c>
      <c r="AS569" s="12">
        <f t="shared" si="138"/>
        <v>7.7252064679749193</v>
      </c>
      <c r="AT569" s="16" t="str">
        <f t="shared" si="136"/>
        <v/>
      </c>
    </row>
    <row r="570" spans="1:46" hidden="1" x14ac:dyDescent="0.25">
      <c r="A570" s="77">
        <f>CASOPOInvCL!T570</f>
        <v>1</v>
      </c>
      <c r="B570" t="str">
        <f>CASOPOInvCL!Z570</f>
        <v>SO17250</v>
      </c>
      <c r="D570" t="s">
        <v>5847</v>
      </c>
      <c r="G570" s="5" t="str">
        <f>CASOPOInvCL!I570</f>
        <v>Amanda Qiao</v>
      </c>
      <c r="H570" s="31">
        <f>CASOPOInvCL!U570</f>
        <v>5</v>
      </c>
      <c r="I570" s="31">
        <f>CASOPOInvCL!V570</f>
        <v>2025</v>
      </c>
      <c r="J570" s="5" t="str">
        <f>CASOPOInvCL!AB570</f>
        <v>INV13048</v>
      </c>
      <c r="K570" s="31">
        <f>CASOPOInvCL!W570</f>
        <v>7</v>
      </c>
      <c r="L570" s="31">
        <f>CASOPOInvCL!X570</f>
        <v>2025</v>
      </c>
      <c r="M570">
        <v>2503</v>
      </c>
      <c r="N570" s="5" t="str">
        <f>CASOPOInvCL!AF570</f>
        <v>Resolute Forest Products - Dolbeau</v>
      </c>
      <c r="O570" s="16" t="str">
        <f>CASOPOInvCL!AG570</f>
        <v>USD</v>
      </c>
      <c r="P570" s="16">
        <f>CASOPOInvCL!AH570</f>
        <v>349.59387408832549</v>
      </c>
      <c r="Q570" s="16">
        <f>CASOPOInvCL!AI570</f>
        <v>254.29</v>
      </c>
      <c r="R570" s="32" t="str">
        <f>CASOPOInvCL!AU570</f>
        <v>Yes</v>
      </c>
      <c r="S570" s="16">
        <f>CASOPOInvCL!AV570</f>
        <v>0</v>
      </c>
      <c r="T570" s="16">
        <f>CASOPOInvCL!AW570</f>
        <v>254.29</v>
      </c>
      <c r="V570" t="s">
        <v>5800</v>
      </c>
      <c r="Y570" s="29" t="str">
        <f>IFERROR(HLOOKUP(U570,List!$D$2:$H$6,2,FALSE),"")</f>
        <v/>
      </c>
      <c r="Z570" s="29">
        <f>IFERROR(HLOOKUP(V570,List!$D$2:$H$6,3,FALSE),"")</f>
        <v>5.0000000000000001E-3</v>
      </c>
      <c r="AA570" s="29" t="str">
        <f>IFERROR(HLOOKUP(W570,List!$D$2:$H$6,4,FALSE),"")</f>
        <v/>
      </c>
      <c r="AB570" s="29" t="str">
        <f>IFERROR(HLOOKUP(X570,List!$D$2:$H$6,5,FALSE),"")</f>
        <v/>
      </c>
      <c r="AC570" s="12" t="str">
        <f t="shared" si="118"/>
        <v/>
      </c>
      <c r="AD570" s="12">
        <f t="shared" si="119"/>
        <v>1.27145</v>
      </c>
      <c r="AE570" s="12" t="str">
        <f t="shared" si="120"/>
        <v/>
      </c>
      <c r="AF570" s="12" t="str">
        <f t="shared" si="121"/>
        <v/>
      </c>
      <c r="AG570" t="str">
        <f>VLOOKUP(J570,'Receivable Invoice Detail'!$A$1:F3582,6,FALSE)</f>
        <v>[G-D08717A03 6241] Labyrinth Seal (Outboard), 3196 MTX, Carbon Teflon</v>
      </c>
      <c r="AJ570">
        <v>2503</v>
      </c>
      <c r="AM570" s="12" t="str">
        <f t="shared" si="123"/>
        <v/>
      </c>
      <c r="AN570" s="12">
        <f t="shared" si="124"/>
        <v>0</v>
      </c>
      <c r="AO570" s="12" t="str">
        <f t="shared" si="125"/>
        <v/>
      </c>
      <c r="AP570" s="12" t="str">
        <f t="shared" si="126"/>
        <v/>
      </c>
      <c r="AQ570" s="64">
        <v>2503</v>
      </c>
      <c r="AR570" t="s">
        <v>5932</v>
      </c>
      <c r="AS570" s="12">
        <f t="shared" si="138"/>
        <v>47.139781396394213</v>
      </c>
      <c r="AT570" s="16" t="str">
        <f t="shared" si="136"/>
        <v>Yes</v>
      </c>
    </row>
    <row r="571" spans="1:46" hidden="1" x14ac:dyDescent="0.25">
      <c r="A571" s="41">
        <f>CASOPOInvCL!T571</f>
        <v>2</v>
      </c>
      <c r="B571" s="76" t="str">
        <f>CASOPOInvCL!Z571</f>
        <v>SO17253</v>
      </c>
      <c r="D571" t="s">
        <v>5915</v>
      </c>
      <c r="G571" s="5" t="str">
        <f>CASOPOInvCL!I571</f>
        <v>Wilka Nuñez</v>
      </c>
      <c r="H571" s="31">
        <f>CASOPOInvCL!U571</f>
        <v>5</v>
      </c>
      <c r="I571" s="31">
        <f>CASOPOInvCL!V571</f>
        <v>2025</v>
      </c>
      <c r="J571" s="5" t="str">
        <f>CASOPOInvCL!AB571</f>
        <v>INV13071</v>
      </c>
      <c r="K571" s="31">
        <f>CASOPOInvCL!W571</f>
        <v>7</v>
      </c>
      <c r="L571" s="31">
        <f>CASOPOInvCL!X571</f>
        <v>2025</v>
      </c>
      <c r="M571">
        <v>2504</v>
      </c>
      <c r="N571" s="5" t="str">
        <f>CASOPOInvCL!AF571</f>
        <v>Barrick Gold - Pueblo Viejo Dominicana Corporation</v>
      </c>
      <c r="O571" s="16" t="str">
        <f>CASOPOInvCL!AG571</f>
        <v>USD</v>
      </c>
      <c r="P571" s="16">
        <f>CASOPOInvCL!AH571</f>
        <v>206959.96434205474</v>
      </c>
      <c r="Q571" s="16">
        <f>CASOPOInvCL!AI571</f>
        <v>149743.1</v>
      </c>
      <c r="R571" s="32" t="str">
        <f>CASOPOInvCL!AU571</f>
        <v>Yes</v>
      </c>
      <c r="S571" s="16">
        <f>CASOPOInvCL!AV571</f>
        <v>0</v>
      </c>
      <c r="T571" s="16">
        <f>CASOPOInvCL!AW571</f>
        <v>149743.1</v>
      </c>
      <c r="V571" t="s">
        <v>5803</v>
      </c>
      <c r="Y571" s="29" t="str">
        <f>IFERROR(HLOOKUP(U571,List!$D$2:$H$6,2,FALSE),"")</f>
        <v/>
      </c>
      <c r="Z571" s="29">
        <f>IFERROR(HLOOKUP(V571,List!$D$2:$H$6,3,FALSE),"")</f>
        <v>0</v>
      </c>
      <c r="AA571" s="29" t="str">
        <f>IFERROR(HLOOKUP(W571,List!$D$2:$H$6,4,FALSE),"")</f>
        <v/>
      </c>
      <c r="AB571" s="29" t="str">
        <f>IFERROR(HLOOKUP(X571,List!$D$2:$H$6,5,FALSE),"")</f>
        <v/>
      </c>
      <c r="AC571" s="12" t="str">
        <f t="shared" si="118"/>
        <v/>
      </c>
      <c r="AD571" s="12">
        <f t="shared" si="119"/>
        <v>0</v>
      </c>
      <c r="AE571" s="12" t="str">
        <f t="shared" si="120"/>
        <v/>
      </c>
      <c r="AF571" s="12" t="str">
        <f t="shared" si="121"/>
        <v/>
      </c>
      <c r="AG571" t="str">
        <f>VLOOKUP(J571,'Receivable Invoice Detail'!$A$1:F3583,6,FALSE)</f>
        <v>[D-2001405-CD4] Bowl,10JKH/M, BW-INT-STEP-NO-SL-SP, CD4MCu</v>
      </c>
      <c r="AH571" s="12">
        <f t="shared" ref="AH571" si="146">SUM(AC571:AF571)</f>
        <v>0</v>
      </c>
      <c r="AM571" s="12" t="str">
        <f t="shared" si="123"/>
        <v/>
      </c>
      <c r="AN571" s="12">
        <f t="shared" si="124"/>
        <v>0</v>
      </c>
      <c r="AO571" s="12" t="str">
        <f t="shared" si="125"/>
        <v/>
      </c>
      <c r="AP571" s="12" t="str">
        <f t="shared" si="126"/>
        <v/>
      </c>
      <c r="AQ571" s="64">
        <v>2503</v>
      </c>
      <c r="AR571" s="64" t="s">
        <v>5934</v>
      </c>
      <c r="AS571" s="12">
        <f t="shared" si="138"/>
        <v>0</v>
      </c>
      <c r="AT571" s="16" t="str">
        <f t="shared" si="136"/>
        <v>Yes</v>
      </c>
    </row>
    <row r="572" spans="1:46" hidden="1" x14ac:dyDescent="0.25">
      <c r="A572" s="41">
        <f>CASOPOInvCL!T572</f>
        <v>2</v>
      </c>
      <c r="B572" s="76" t="str">
        <f>CASOPOInvCL!Z572</f>
        <v>SO17253</v>
      </c>
      <c r="D572" t="s">
        <v>5915</v>
      </c>
      <c r="G572" s="5">
        <f>CASOPOInvCL!I572</f>
        <v>0</v>
      </c>
      <c r="H572" s="31">
        <f>CASOPOInvCL!U572</f>
        <v>5</v>
      </c>
      <c r="I572" s="31">
        <f>CASOPOInvCL!V572</f>
        <v>2025</v>
      </c>
      <c r="J572" s="5" t="str">
        <f>CASOPOInvCL!AB572</f>
        <v>INV13477</v>
      </c>
      <c r="K572" s="31">
        <f>CASOPOInvCL!W572</f>
        <v>11</v>
      </c>
      <c r="L572" s="31">
        <f>CASOPOInvCL!X572</f>
        <v>2025</v>
      </c>
      <c r="M572">
        <v>2504</v>
      </c>
      <c r="N572" s="5" t="str">
        <f>CASOPOInvCL!AF572</f>
        <v>Barrick Gold - Pueblo Viejo Dominicana Corporation</v>
      </c>
      <c r="O572" s="16" t="str">
        <f>CASOPOInvCL!AG572</f>
        <v>USD</v>
      </c>
      <c r="P572" s="16">
        <f>CASOPOInvCL!AH572</f>
        <v>0</v>
      </c>
      <c r="Q572" s="16">
        <f>CASOPOInvCL!AI572</f>
        <v>0</v>
      </c>
      <c r="R572" s="32" t="str">
        <f>CASOPOInvCL!AU572</f>
        <v/>
      </c>
      <c r="S572" s="16">
        <f>CASOPOInvCL!AV572</f>
        <v>0</v>
      </c>
      <c r="T572" s="16">
        <f>CASOPOInvCL!AW572</f>
        <v>0</v>
      </c>
      <c r="V572" t="s">
        <v>5803</v>
      </c>
      <c r="Y572" s="29" t="str">
        <f>IFERROR(HLOOKUP(U572,List!$D$2:$H$6,2,FALSE),"")</f>
        <v/>
      </c>
      <c r="Z572" s="29">
        <f>IFERROR(HLOOKUP(V572,List!$D$2:$H$6,3,FALSE),"")</f>
        <v>0</v>
      </c>
      <c r="AA572" s="29" t="str">
        <f>IFERROR(HLOOKUP(W572,List!$D$2:$H$6,4,FALSE),"")</f>
        <v/>
      </c>
      <c r="AB572" s="29" t="str">
        <f>IFERROR(HLOOKUP(X572,List!$D$2:$H$6,5,FALSE),"")</f>
        <v/>
      </c>
      <c r="AC572" s="12" t="str">
        <f t="shared" si="118"/>
        <v/>
      </c>
      <c r="AD572" s="12">
        <f t="shared" si="119"/>
        <v>0</v>
      </c>
      <c r="AE572" s="12" t="str">
        <f t="shared" si="120"/>
        <v/>
      </c>
      <c r="AF572" s="12" t="str">
        <f t="shared" si="121"/>
        <v/>
      </c>
      <c r="AG572" t="str">
        <f>VLOOKUP(J572,'Receivable Invoice Detail'!$A$1:F3584,6,FALSE)</f>
        <v>[10JKM, 6-Vane Impeller, CD4] Impeller, 10JKM, Double Keyed, w/Wear Ring</v>
      </c>
      <c r="AM572" s="12" t="str">
        <f t="shared" si="123"/>
        <v/>
      </c>
      <c r="AN572" s="12">
        <f t="shared" si="124"/>
        <v>0</v>
      </c>
      <c r="AO572" s="12" t="str">
        <f t="shared" si="125"/>
        <v/>
      </c>
      <c r="AP572" s="12" t="str">
        <f t="shared" si="126"/>
        <v/>
      </c>
      <c r="AQ572" s="64">
        <v>2503</v>
      </c>
      <c r="AR572" s="64" t="s">
        <v>5934</v>
      </c>
      <c r="AS572" s="12">
        <f t="shared" si="138"/>
        <v>3.8143499999999997</v>
      </c>
      <c r="AT572" s="16" t="str">
        <f t="shared" si="136"/>
        <v/>
      </c>
    </row>
    <row r="573" spans="1:46" hidden="1" x14ac:dyDescent="0.25">
      <c r="A573" s="41">
        <f>CASOPOInvCL!T573</f>
        <v>1</v>
      </c>
      <c r="B573" t="str">
        <f>CASOPOInvCL!Z573</f>
        <v>SO17254</v>
      </c>
      <c r="D573" t="s">
        <v>5925</v>
      </c>
      <c r="G573" s="5" t="str">
        <f>CASOPOInvCL!I573</f>
        <v>Ian Trottier</v>
      </c>
      <c r="H573" s="31">
        <f>CASOPOInvCL!U573</f>
        <v>5</v>
      </c>
      <c r="I573" s="31">
        <f>CASOPOInvCL!V573</f>
        <v>2025</v>
      </c>
      <c r="J573" s="5" t="str">
        <f>CASOPOInvCL!AB573</f>
        <v>INV13046</v>
      </c>
      <c r="K573" s="31">
        <f>CASOPOInvCL!W573</f>
        <v>7</v>
      </c>
      <c r="L573" s="31">
        <f>CASOPOInvCL!X573</f>
        <v>2025</v>
      </c>
      <c r="M573">
        <v>2503</v>
      </c>
      <c r="N573" s="5" t="str">
        <f>CASOPOInvCL!AF573</f>
        <v>Motion Industries Inc. (Canada) - Prince George</v>
      </c>
      <c r="O573" s="16" t="str">
        <f>CASOPOInvCL!AG573</f>
        <v>CAD</v>
      </c>
      <c r="P573" s="16">
        <f>CASOPOInvCL!AH573</f>
        <v>3384.38</v>
      </c>
      <c r="Q573" s="16">
        <f>CASOPOInvCL!AI573</f>
        <v>2461.7536346834399</v>
      </c>
      <c r="R573" s="32" t="str">
        <f>CASOPOInvCL!AU573</f>
        <v>Yes</v>
      </c>
      <c r="S573" s="16">
        <f>CASOPOInvCL!AV573</f>
        <v>0</v>
      </c>
      <c r="T573" s="16">
        <f>CASOPOInvCL!AW573</f>
        <v>2461.7536346834399</v>
      </c>
      <c r="V573" t="s">
        <v>5800</v>
      </c>
      <c r="Y573" s="29" t="str">
        <f>IFERROR(HLOOKUP(U573,List!$D$2:$H$6,2,FALSE),"")</f>
        <v/>
      </c>
      <c r="Z573" s="29">
        <f>IFERROR(HLOOKUP(V573,List!$D$2:$H$6,3,FALSE),"")</f>
        <v>5.0000000000000001E-3</v>
      </c>
      <c r="AA573" s="29" t="str">
        <f>IFERROR(HLOOKUP(W573,List!$D$2:$H$6,4,FALSE),"")</f>
        <v/>
      </c>
      <c r="AB573" s="29" t="str">
        <f>IFERROR(HLOOKUP(X573,List!$D$2:$H$6,5,FALSE),"")</f>
        <v/>
      </c>
      <c r="AC573" s="12" t="str">
        <f t="shared" si="118"/>
        <v/>
      </c>
      <c r="AD573" s="12">
        <f t="shared" si="119"/>
        <v>12.308768173417199</v>
      </c>
      <c r="AE573" s="12" t="str">
        <f t="shared" si="120"/>
        <v/>
      </c>
      <c r="AF573" s="12" t="str">
        <f t="shared" si="121"/>
        <v/>
      </c>
      <c r="AG573" t="str">
        <f>VLOOKUP(J573,'Receivable Invoice Detail'!$A$1:F3585,6,FALSE)</f>
        <v>[SA-138413-M1] Casing, Sala 2", SPV, VT50, Rubber Lined</v>
      </c>
      <c r="AM573" s="12" t="str">
        <f t="shared" si="123"/>
        <v/>
      </c>
      <c r="AN573" s="12">
        <f t="shared" si="124"/>
        <v>12.308768173417199</v>
      </c>
      <c r="AO573" s="12" t="str">
        <f t="shared" si="125"/>
        <v/>
      </c>
      <c r="AP573" s="12" t="str">
        <f t="shared" si="126"/>
        <v/>
      </c>
      <c r="AQ573" s="64">
        <v>2503</v>
      </c>
      <c r="AR573" t="s">
        <v>5932</v>
      </c>
      <c r="AS573" s="12">
        <f t="shared" si="138"/>
        <v>2246.1464999999998</v>
      </c>
      <c r="AT573" s="16" t="str">
        <f t="shared" si="136"/>
        <v>Yes</v>
      </c>
    </row>
    <row r="574" spans="1:46" hidden="1" x14ac:dyDescent="0.25">
      <c r="A574" s="41">
        <f>CASOPOInvCL!T574</f>
        <v>1</v>
      </c>
      <c r="B574" t="str">
        <f>CASOPOInvCL!Z574</f>
        <v>SO17256</v>
      </c>
      <c r="D574" t="s">
        <v>5851</v>
      </c>
      <c r="G574" s="5" t="str">
        <f>CASOPOInvCL!I574</f>
        <v>Alexis Gil Lamadrid</v>
      </c>
      <c r="H574" s="31">
        <f>CASOPOInvCL!U574</f>
        <v>5</v>
      </c>
      <c r="I574" s="31">
        <f>CASOPOInvCL!V574</f>
        <v>2025</v>
      </c>
      <c r="J574" s="5" t="str">
        <f>CASOPOInvCL!AB574</f>
        <v>INV13061</v>
      </c>
      <c r="K574" s="31">
        <f>CASOPOInvCL!W574</f>
        <v>7</v>
      </c>
      <c r="L574" s="31">
        <f>CASOPOInvCL!X574</f>
        <v>2025</v>
      </c>
      <c r="M574">
        <v>2503</v>
      </c>
      <c r="N574" s="5" t="str">
        <f>CASOPOInvCL!AF574</f>
        <v>Motion Industries Inc. (Canada) - Quesnel</v>
      </c>
      <c r="O574" s="16" t="str">
        <f>CASOPOInvCL!AG574</f>
        <v>CAD</v>
      </c>
      <c r="P574" s="16">
        <f>CASOPOInvCL!AH574</f>
        <v>568.13</v>
      </c>
      <c r="Q574" s="16">
        <f>CASOPOInvCL!AI574</f>
        <v>413.99784815665294</v>
      </c>
      <c r="R574" s="32" t="str">
        <f>CASOPOInvCL!AU574</f>
        <v>Yes</v>
      </c>
      <c r="S574" s="16">
        <f>CASOPOInvCL!AV574</f>
        <v>0</v>
      </c>
      <c r="T574" s="16">
        <f>CASOPOInvCL!AW574</f>
        <v>413.99784815665294</v>
      </c>
      <c r="V574" t="s">
        <v>5800</v>
      </c>
      <c r="Y574" s="29" t="str">
        <f>IFERROR(HLOOKUP(U574,List!$D$2:$H$6,2,FALSE),"")</f>
        <v/>
      </c>
      <c r="Z574" s="29">
        <f>IFERROR(HLOOKUP(V574,List!$D$2:$H$6,3,FALSE),"")</f>
        <v>5.0000000000000001E-3</v>
      </c>
      <c r="AA574" s="29" t="str">
        <f>IFERROR(HLOOKUP(W574,List!$D$2:$H$6,4,FALSE),"")</f>
        <v/>
      </c>
      <c r="AB574" s="29" t="str">
        <f>IFERROR(HLOOKUP(X574,List!$D$2:$H$6,5,FALSE),"")</f>
        <v/>
      </c>
      <c r="AC574" s="12" t="str">
        <f t="shared" si="118"/>
        <v/>
      </c>
      <c r="AD574" s="12">
        <f t="shared" si="119"/>
        <v>2.0699892407832645</v>
      </c>
      <c r="AE574" s="12" t="str">
        <f t="shared" si="120"/>
        <v/>
      </c>
      <c r="AF574" s="12" t="str">
        <f t="shared" si="121"/>
        <v/>
      </c>
      <c r="AG574" t="str">
        <f>VLOOKUP(J574,'Receivable Invoice Detail'!$A$1:F3586,6,FALSE)</f>
        <v>[OLPWZ011009B, G-A04951A222] Bearing Isolator (Inboard), 3196 XLT/XLTi, 303SS Rotor / Bronze Stator w/Viton</v>
      </c>
      <c r="AH574" s="12">
        <f t="shared" ref="AH574:AH577" si="147">SUM(AC574:AF574)</f>
        <v>2.0699892407832645</v>
      </c>
      <c r="AJ574">
        <v>2503</v>
      </c>
      <c r="AM574" s="12" t="str">
        <f t="shared" si="123"/>
        <v/>
      </c>
      <c r="AN574" s="12">
        <f t="shared" si="124"/>
        <v>0</v>
      </c>
      <c r="AO574" s="12" t="str">
        <f t="shared" si="125"/>
        <v/>
      </c>
      <c r="AP574" s="12" t="str">
        <f t="shared" si="126"/>
        <v/>
      </c>
      <c r="AQ574" s="64">
        <f>M574</f>
        <v>2503</v>
      </c>
      <c r="AR574" t="s">
        <v>5931</v>
      </c>
      <c r="AS574" s="12">
        <f t="shared" si="138"/>
        <v>0</v>
      </c>
      <c r="AT574" s="16" t="str">
        <f t="shared" si="136"/>
        <v>Yes</v>
      </c>
    </row>
    <row r="575" spans="1:46" hidden="1" x14ac:dyDescent="0.25">
      <c r="A575" s="41">
        <f>CASOPOInvCL!T575</f>
        <v>1</v>
      </c>
      <c r="B575" t="str">
        <f>CASOPOInvCL!Z575</f>
        <v>SO17257</v>
      </c>
      <c r="G575" s="5" t="str">
        <f>CASOPOInvCL!I575</f>
        <v>Ian Trottier</v>
      </c>
      <c r="H575" s="31">
        <f>CASOPOInvCL!U575</f>
        <v>5</v>
      </c>
      <c r="I575" s="31">
        <f>CASOPOInvCL!V575</f>
        <v>2025</v>
      </c>
      <c r="J575" s="5" t="str">
        <f>CASOPOInvCL!AB575</f>
        <v>INV13077</v>
      </c>
      <c r="K575" s="31">
        <f>CASOPOInvCL!W575</f>
        <v>6</v>
      </c>
      <c r="L575" s="31">
        <f>CASOPOInvCL!X575</f>
        <v>2025</v>
      </c>
      <c r="M575" s="31"/>
      <c r="N575" s="5" t="str">
        <f>CASOPOInvCL!AF575</f>
        <v>TC Industries of Canada Co.</v>
      </c>
      <c r="O575" s="16" t="str">
        <f>CASOPOInvCL!AG575</f>
        <v>CAD</v>
      </c>
      <c r="P575" s="16">
        <f>CASOPOInvCL!AH575</f>
        <v>763.98</v>
      </c>
      <c r="Q575" s="16">
        <f>CASOPOInvCL!AI575</f>
        <v>555.70903439491258</v>
      </c>
      <c r="R575" s="32" t="str">
        <f>CASOPOInvCL!AU575</f>
        <v>Yes</v>
      </c>
      <c r="S575" s="16">
        <f>CASOPOInvCL!AV575</f>
        <v>0</v>
      </c>
      <c r="T575" s="16">
        <f>CASOPOInvCL!AW575</f>
        <v>555.70903439491258</v>
      </c>
      <c r="Y575" s="29" t="str">
        <f>IFERROR(HLOOKUP(U575,List!$D$2:$H$6,2,FALSE),"")</f>
        <v/>
      </c>
      <c r="Z575" s="29" t="str">
        <f>IFERROR(HLOOKUP(V575,List!$D$2:$H$6,3,FALSE),"")</f>
        <v/>
      </c>
      <c r="AA575" s="29" t="str">
        <f>IFERROR(HLOOKUP(W575,List!$D$2:$H$6,4,FALSE),"")</f>
        <v/>
      </c>
      <c r="AB575" s="29" t="str">
        <f>IFERROR(HLOOKUP(X575,List!$D$2:$H$6,5,FALSE),"")</f>
        <v/>
      </c>
      <c r="AC575" s="12" t="str">
        <f t="shared" si="118"/>
        <v/>
      </c>
      <c r="AD575" s="12" t="str">
        <f t="shared" si="119"/>
        <v/>
      </c>
      <c r="AE575" s="12" t="str">
        <f t="shared" si="120"/>
        <v/>
      </c>
      <c r="AF575" s="12" t="str">
        <f t="shared" si="121"/>
        <v/>
      </c>
      <c r="AG575" t="str">
        <f>VLOOKUP(J575,'Receivable Invoice Detail'!$A$1:F3587,6,FALSE)</f>
        <v>[G-A01075A268 5026] Packing (5 Piece Set), 3175-M, Teflon Impregnated Kevlar</v>
      </c>
      <c r="AH575" s="12">
        <f t="shared" si="147"/>
        <v>0</v>
      </c>
      <c r="AM575" s="12" t="str">
        <f t="shared" si="123"/>
        <v/>
      </c>
      <c r="AN575" s="12" t="str">
        <f t="shared" si="124"/>
        <v/>
      </c>
      <c r="AO575" s="12" t="str">
        <f t="shared" si="125"/>
        <v/>
      </c>
      <c r="AP575" s="12" t="str">
        <f t="shared" si="126"/>
        <v/>
      </c>
      <c r="AQ575" s="12"/>
      <c r="AS575" s="12">
        <f t="shared" si="138"/>
        <v>36.926304520251598</v>
      </c>
      <c r="AT575" s="16" t="str">
        <f t="shared" si="136"/>
        <v>Yes</v>
      </c>
    </row>
    <row r="576" spans="1:46" hidden="1" x14ac:dyDescent="0.25">
      <c r="A576" s="41">
        <f>CASOPOInvCL!T576</f>
        <v>1</v>
      </c>
      <c r="B576" t="str">
        <f>CASOPOInvCL!Z576</f>
        <v>SO17259</v>
      </c>
      <c r="D576" t="s">
        <v>5847</v>
      </c>
      <c r="G576" s="5" t="str">
        <f>CASOPOInvCL!I576</f>
        <v>Amanda Qiao</v>
      </c>
      <c r="H576" s="31">
        <f>CASOPOInvCL!U576</f>
        <v>5</v>
      </c>
      <c r="I576" s="31">
        <f>CASOPOInvCL!V576</f>
        <v>2025</v>
      </c>
      <c r="J576" s="5" t="str">
        <f>CASOPOInvCL!AB576</f>
        <v>INV13059</v>
      </c>
      <c r="K576" s="31">
        <f>CASOPOInvCL!W576</f>
        <v>8</v>
      </c>
      <c r="L576" s="31">
        <f>CASOPOInvCL!X576</f>
        <v>2025</v>
      </c>
      <c r="M576">
        <v>2503</v>
      </c>
      <c r="N576" s="5" t="str">
        <f>CASOPOInvCL!AF576</f>
        <v>Resolute Forest Products - Clermont</v>
      </c>
      <c r="O576" s="16" t="str">
        <f>CASOPOInvCL!AG576</f>
        <v>CAD</v>
      </c>
      <c r="P576" s="16">
        <f>CASOPOInvCL!AH576</f>
        <v>26.73</v>
      </c>
      <c r="Q576" s="16">
        <f>CASOPOInvCL!AI576</f>
        <v>19.44305150576718</v>
      </c>
      <c r="R576" s="32" t="str">
        <f>CASOPOInvCL!AU576</f>
        <v>Yes</v>
      </c>
      <c r="S576" s="16">
        <f>CASOPOInvCL!AV576</f>
        <v>0</v>
      </c>
      <c r="T576" s="16">
        <f>CASOPOInvCL!AW576</f>
        <v>19.44305150576718</v>
      </c>
      <c r="V576" t="s">
        <v>5800</v>
      </c>
      <c r="Y576" s="29" t="str">
        <f>IFERROR(HLOOKUP(U576,List!$D$2:$H$6,2,FALSE),"")</f>
        <v/>
      </c>
      <c r="Z576" s="29">
        <f>IFERROR(HLOOKUP(V576,List!$D$2:$H$6,3,FALSE),"")</f>
        <v>5.0000000000000001E-3</v>
      </c>
      <c r="AA576" s="29" t="str">
        <f>IFERROR(HLOOKUP(W576,List!$D$2:$H$6,4,FALSE),"")</f>
        <v/>
      </c>
      <c r="AB576" s="29" t="str">
        <f>IFERROR(HLOOKUP(X576,List!$D$2:$H$6,5,FALSE),"")</f>
        <v/>
      </c>
      <c r="AC576" s="12" t="str">
        <f t="shared" si="118"/>
        <v/>
      </c>
      <c r="AD576" s="12">
        <f t="shared" si="119"/>
        <v>9.7215257528835905E-2</v>
      </c>
      <c r="AE576" s="12" t="str">
        <f t="shared" si="120"/>
        <v/>
      </c>
      <c r="AF576" s="12" t="str">
        <f t="shared" si="121"/>
        <v/>
      </c>
      <c r="AG576" t="str">
        <f>VLOOKUP(J576,'Receivable Invoice Detail'!$A$1:F3588,6,FALSE)</f>
        <v>[156 Teflon, G-C02495A998 6359] Shaft Sleeve O-Ring, 3175-L, Teflon</v>
      </c>
      <c r="AH576" s="12">
        <f t="shared" si="147"/>
        <v>9.7215257528835905E-2</v>
      </c>
      <c r="AJ576">
        <v>2503</v>
      </c>
      <c r="AM576" s="12" t="str">
        <f t="shared" si="123"/>
        <v/>
      </c>
      <c r="AN576" s="12">
        <f t="shared" si="124"/>
        <v>0</v>
      </c>
      <c r="AO576" s="12" t="str">
        <f t="shared" si="125"/>
        <v/>
      </c>
      <c r="AP576" s="12" t="str">
        <f t="shared" si="126"/>
        <v/>
      </c>
      <c r="AQ576" s="64">
        <v>2503</v>
      </c>
      <c r="AR576" t="s">
        <v>5932</v>
      </c>
      <c r="AS576" s="12">
        <f t="shared" si="138"/>
        <v>6.209967722349794</v>
      </c>
      <c r="AT576" s="16" t="str">
        <f t="shared" si="136"/>
        <v>Yes</v>
      </c>
    </row>
    <row r="577" spans="1:46" hidden="1" x14ac:dyDescent="0.25">
      <c r="A577" s="41">
        <f>CASOPOInvCL!T577</f>
        <v>1</v>
      </c>
      <c r="B577" t="str">
        <f>CASOPOInvCL!Z577</f>
        <v>SO17260</v>
      </c>
      <c r="D577" t="s">
        <v>5925</v>
      </c>
      <c r="G577" s="5" t="str">
        <f>CASOPOInvCL!I577</f>
        <v>Ian Trottier</v>
      </c>
      <c r="H577" s="31">
        <f>CASOPOInvCL!U577</f>
        <v>5</v>
      </c>
      <c r="I577" s="31">
        <f>CASOPOInvCL!V577</f>
        <v>2025</v>
      </c>
      <c r="J577" s="5" t="str">
        <f>CASOPOInvCL!AB577</f>
        <v>INV13064</v>
      </c>
      <c r="K577" s="31">
        <f>CASOPOInvCL!W577</f>
        <v>7</v>
      </c>
      <c r="L577" s="31">
        <f>CASOPOInvCL!X577</f>
        <v>2025</v>
      </c>
      <c r="M577">
        <v>2503</v>
      </c>
      <c r="N577" s="5" t="str">
        <f>CASOPOInvCL!AF577</f>
        <v>Cartledge &amp; Associates Inc.</v>
      </c>
      <c r="O577" s="16" t="str">
        <f>CASOPOInvCL!AG577</f>
        <v>USD</v>
      </c>
      <c r="P577" s="16">
        <f>CASOPOInvCL!AH577</f>
        <v>3001.2515237273528</v>
      </c>
      <c r="Q577" s="16">
        <f>CASOPOInvCL!AI577</f>
        <v>2187.02</v>
      </c>
      <c r="R577" s="32" t="str">
        <f>CASOPOInvCL!AU577</f>
        <v>Yes</v>
      </c>
      <c r="S577" s="16">
        <f>CASOPOInvCL!AV577</f>
        <v>589</v>
      </c>
      <c r="T577" s="16">
        <f>CASOPOInvCL!AW577</f>
        <v>1598.02</v>
      </c>
      <c r="V577" t="s">
        <v>5800</v>
      </c>
      <c r="Y577" s="29" t="str">
        <f>IFERROR(HLOOKUP(U577,List!$D$2:$H$6,2,FALSE),"")</f>
        <v/>
      </c>
      <c r="Z577" s="29">
        <f>IFERROR(HLOOKUP(V577,List!$D$2:$H$6,3,FALSE),"")</f>
        <v>5.0000000000000001E-3</v>
      </c>
      <c r="AA577" s="29" t="str">
        <f>IFERROR(HLOOKUP(W577,List!$D$2:$H$6,4,FALSE),"")</f>
        <v/>
      </c>
      <c r="AB577" s="29" t="str">
        <f>IFERROR(HLOOKUP(X577,List!$D$2:$H$6,5,FALSE),"")</f>
        <v/>
      </c>
      <c r="AC577" s="12" t="str">
        <f t="shared" si="118"/>
        <v/>
      </c>
      <c r="AD577" s="12">
        <f t="shared" si="119"/>
        <v>7.9901</v>
      </c>
      <c r="AE577" s="12" t="str">
        <f t="shared" si="120"/>
        <v/>
      </c>
      <c r="AF577" s="12" t="str">
        <f t="shared" si="121"/>
        <v/>
      </c>
      <c r="AG577" t="str">
        <f>VLOOKUP(J577,'Receivable Invoice Detail'!$A$1:F3589,6,FALSE)</f>
        <v>[AC-98-231-123-501] Gland Side Liner, 8x6-18 SRL-C, Natural Rubber</v>
      </c>
      <c r="AH577" s="12">
        <f t="shared" si="147"/>
        <v>7.9901</v>
      </c>
      <c r="AM577" s="12" t="str">
        <f t="shared" si="123"/>
        <v/>
      </c>
      <c r="AN577" s="12">
        <f t="shared" si="124"/>
        <v>7.9901</v>
      </c>
      <c r="AO577" s="12" t="str">
        <f t="shared" si="125"/>
        <v/>
      </c>
      <c r="AP577" s="12" t="str">
        <f t="shared" si="126"/>
        <v/>
      </c>
      <c r="AQ577" s="64">
        <v>2503</v>
      </c>
      <c r="AR577" t="s">
        <v>5932</v>
      </c>
      <c r="AS577" s="12">
        <f t="shared" si="138"/>
        <v>8.3356355159236877</v>
      </c>
      <c r="AT577" s="16" t="str">
        <f t="shared" si="136"/>
        <v>Yes</v>
      </c>
    </row>
    <row r="578" spans="1:46" hidden="1" x14ac:dyDescent="0.25">
      <c r="A578" s="41">
        <f>CASOPOInvCL!T578</f>
        <v>1</v>
      </c>
      <c r="B578" t="str">
        <f>CASOPOInvCL!Z578</f>
        <v>SO17261</v>
      </c>
      <c r="D578" t="s">
        <v>5925</v>
      </c>
      <c r="G578" s="5" t="str">
        <f>CASOPOInvCL!I578</f>
        <v>Ian Trottier</v>
      </c>
      <c r="H578" s="31">
        <f>CASOPOInvCL!U578</f>
        <v>5</v>
      </c>
      <c r="I578" s="31">
        <f>CASOPOInvCL!V578</f>
        <v>2025</v>
      </c>
      <c r="J578" s="5" t="str">
        <f>CASOPOInvCL!AB578</f>
        <v>INV13053</v>
      </c>
      <c r="K578" s="31">
        <f>CASOPOInvCL!W578</f>
        <v>7</v>
      </c>
      <c r="L578" s="31">
        <f>CASOPOInvCL!X578</f>
        <v>2025</v>
      </c>
      <c r="M578">
        <v>2503</v>
      </c>
      <c r="N578" s="5" t="str">
        <f>CASOPOInvCL!AF578</f>
        <v>Moffatt Supply &amp; Specialties - Red Lake</v>
      </c>
      <c r="O578" s="16" t="str">
        <f>CASOPOInvCL!AG578</f>
        <v>CAD</v>
      </c>
      <c r="P578" s="16">
        <f>CASOPOInvCL!AH578</f>
        <v>2804.45</v>
      </c>
      <c r="Q578" s="16">
        <f>CASOPOInvCL!AI578</f>
        <v>2039.9201569528161</v>
      </c>
      <c r="R578" s="32" t="str">
        <f>CASOPOInvCL!AU578</f>
        <v>Yes</v>
      </c>
      <c r="S578" s="16">
        <f>CASOPOInvCL!AV578</f>
        <v>0</v>
      </c>
      <c r="T578" s="16">
        <f>CASOPOInvCL!AW578</f>
        <v>2039.9201569528161</v>
      </c>
      <c r="V578" t="s">
        <v>5800</v>
      </c>
      <c r="Y578" s="29" t="str">
        <f>IFERROR(HLOOKUP(U578,List!$D$2:$H$6,2,FALSE),"")</f>
        <v/>
      </c>
      <c r="Z578" s="29">
        <f>IFERROR(HLOOKUP(V578,List!$D$2:$H$6,3,FALSE),"")</f>
        <v>5.0000000000000001E-3</v>
      </c>
      <c r="AA578" s="29" t="str">
        <f>IFERROR(HLOOKUP(W578,List!$D$2:$H$6,4,FALSE),"")</f>
        <v/>
      </c>
      <c r="AB578" s="29" t="str">
        <f>IFERROR(HLOOKUP(X578,List!$D$2:$H$6,5,FALSE),"")</f>
        <v/>
      </c>
      <c r="AC578" s="12" t="str">
        <f t="shared" si="118"/>
        <v/>
      </c>
      <c r="AD578" s="12">
        <f t="shared" si="119"/>
        <v>10.199600784764081</v>
      </c>
      <c r="AE578" s="12" t="str">
        <f t="shared" si="120"/>
        <v/>
      </c>
      <c r="AF578" s="12" t="str">
        <f t="shared" si="121"/>
        <v/>
      </c>
      <c r="AG578" t="str">
        <f>VLOOKUP(J578,'Receivable Invoice Detail'!$A$1:F3590,6,FALSE)</f>
        <v>[AC-98-330-307-501] Impeller (Closed), 3x3-10 SRL-C, Natural Rubber</v>
      </c>
      <c r="AM578" s="12" t="str">
        <f t="shared" si="123"/>
        <v/>
      </c>
      <c r="AN578" s="12">
        <f t="shared" si="124"/>
        <v>10.199600784764081</v>
      </c>
      <c r="AO578" s="12" t="str">
        <f t="shared" si="125"/>
        <v/>
      </c>
      <c r="AP578" s="12" t="str">
        <f t="shared" si="126"/>
        <v/>
      </c>
      <c r="AQ578" s="64">
        <v>2503</v>
      </c>
      <c r="AR578" t="s">
        <v>5932</v>
      </c>
      <c r="AS578" s="12">
        <f t="shared" si="138"/>
        <v>0.2916457725865077</v>
      </c>
      <c r="AT578" s="16" t="s">
        <v>5940</v>
      </c>
    </row>
    <row r="579" spans="1:46" hidden="1" x14ac:dyDescent="0.25">
      <c r="A579" s="41">
        <f>CASOPOInvCL!T579</f>
        <v>1</v>
      </c>
      <c r="B579" t="str">
        <f>CASOPOInvCL!Z579</f>
        <v>SO17262</v>
      </c>
      <c r="D579" t="s">
        <v>5925</v>
      </c>
      <c r="G579" s="5" t="str">
        <f>CASOPOInvCL!I579</f>
        <v>Ian Trottier</v>
      </c>
      <c r="H579" s="31">
        <f>CASOPOInvCL!U579</f>
        <v>5</v>
      </c>
      <c r="I579" s="31">
        <f>CASOPOInvCL!V579</f>
        <v>2025</v>
      </c>
      <c r="J579" s="5" t="str">
        <f>CASOPOInvCL!AB579</f>
        <v>INV13085</v>
      </c>
      <c r="K579" s="31">
        <f>CASOPOInvCL!W579</f>
        <v>7</v>
      </c>
      <c r="L579" s="31">
        <f>CASOPOInvCL!X579</f>
        <v>2025</v>
      </c>
      <c r="M579">
        <v>2503</v>
      </c>
      <c r="N579" s="5" t="str">
        <f>CASOPOInvCL!AF579</f>
        <v>Motion Industries Inc. (Canada) - Quesnel</v>
      </c>
      <c r="O579" s="16" t="str">
        <f>CASOPOInvCL!AG579</f>
        <v>CAD</v>
      </c>
      <c r="P579" s="16">
        <f>CASOPOInvCL!AH579</f>
        <v>2075.88</v>
      </c>
      <c r="Q579" s="16">
        <f>CASOPOInvCL!AI579</f>
        <v>1516.9200518663336</v>
      </c>
      <c r="R579" s="32" t="str">
        <f>CASOPOInvCL!AU579</f>
        <v>Yes</v>
      </c>
      <c r="S579" s="16">
        <f>CASOPOInvCL!AV579</f>
        <v>0</v>
      </c>
      <c r="T579" s="16">
        <f>CASOPOInvCL!AW579</f>
        <v>1516.9200518663336</v>
      </c>
      <c r="V579" t="s">
        <v>5801</v>
      </c>
      <c r="Y579" s="29" t="str">
        <f>IFERROR(HLOOKUP(U579,List!$D$2:$H$6,2,FALSE),"")</f>
        <v/>
      </c>
      <c r="Z579" s="29">
        <f>IFERROR(HLOOKUP(V579,List!$D$2:$H$6,3,FALSE),"")</f>
        <v>0.02</v>
      </c>
      <c r="AA579" s="29" t="str">
        <f>IFERROR(HLOOKUP(W579,List!$D$2:$H$6,4,FALSE),"")</f>
        <v/>
      </c>
      <c r="AB579" s="29" t="str">
        <f>IFERROR(HLOOKUP(X579,List!$D$2:$H$6,5,FALSE),"")</f>
        <v/>
      </c>
      <c r="AC579" s="12" t="str">
        <f t="shared" ref="AC579:AC642" si="148">IFERROR(Y579*$T579,"")</f>
        <v/>
      </c>
      <c r="AD579" s="12">
        <f t="shared" ref="AD579:AD642" si="149">IFERROR(Z579*$T579,"")</f>
        <v>30.338401037326673</v>
      </c>
      <c r="AE579" s="12" t="str">
        <f t="shared" ref="AE579:AE642" si="150">IFERROR(AA579*$T579,"")</f>
        <v/>
      </c>
      <c r="AF579" s="12" t="str">
        <f t="shared" ref="AF579:AF642" si="151">IFERROR(AB579*$T579,"")</f>
        <v/>
      </c>
      <c r="AG579" t="str">
        <f>VLOOKUP(J579,'Receivable Invoice Detail'!$A$1:F3591,6,FALSE)</f>
        <v>[G-70782 28 5127] Casing Gasket, 13", 3196 MTX/LTX, Durlon 8500</v>
      </c>
      <c r="AH579" s="12">
        <f t="shared" ref="AH579:AH581" si="152">SUM(AC579:AF579)</f>
        <v>30.338401037326673</v>
      </c>
      <c r="AM579" s="12" t="str">
        <f t="shared" ref="AM579:AM642" si="153">IF(AI579="",AC579,0)</f>
        <v/>
      </c>
      <c r="AN579" s="12">
        <f t="shared" ref="AN579:AN642" si="154">IF(AJ579="",AD579,0)</f>
        <v>30.338401037326673</v>
      </c>
      <c r="AO579" s="12" t="str">
        <f t="shared" ref="AO579:AO642" si="155">IF(AK579="",AE579,0)</f>
        <v/>
      </c>
      <c r="AP579" s="12" t="str">
        <f t="shared" ref="AP579:AP642" si="156">IF(AL579="",AF579,0)</f>
        <v/>
      </c>
      <c r="AQ579" s="64">
        <v>2503</v>
      </c>
      <c r="AR579" t="s">
        <v>5932</v>
      </c>
      <c r="AS579" s="12">
        <f t="shared" si="138"/>
        <v>23.970299999999998</v>
      </c>
      <c r="AT579" s="16" t="str">
        <f t="shared" ref="AT579:AT585" si="157">R579</f>
        <v>Yes</v>
      </c>
    </row>
    <row r="580" spans="1:46" hidden="1" x14ac:dyDescent="0.25">
      <c r="A580" s="41">
        <f>CASOPOInvCL!T580</f>
        <v>1</v>
      </c>
      <c r="B580" t="str">
        <f>CASOPOInvCL!Z580</f>
        <v>SO17263</v>
      </c>
      <c r="G580" s="5" t="str">
        <f>CASOPOInvCL!I580</f>
        <v>Yannett Yeomans</v>
      </c>
      <c r="H580" s="31">
        <f>CASOPOInvCL!U580</f>
        <v>5</v>
      </c>
      <c r="I580" s="31">
        <f>CASOPOInvCL!V580</f>
        <v>2025</v>
      </c>
      <c r="J580" s="5" t="str">
        <f>CASOPOInvCL!AB580</f>
        <v>INV13315</v>
      </c>
      <c r="K580" s="31" t="str">
        <f>CASOPOInvCL!W580</f>
        <v/>
      </c>
      <c r="L580" s="31" t="str">
        <f>CASOPOInvCL!X580</f>
        <v/>
      </c>
      <c r="M580" s="31"/>
      <c r="N580" s="5" t="str">
        <f>CASOPOInvCL!AF580</f>
        <v>Dynapro Pumps México S de RL de CV</v>
      </c>
      <c r="O580" s="16" t="str">
        <f>CASOPOInvCL!AG580</f>
        <v>USD</v>
      </c>
      <c r="P580" s="16">
        <f>CASOPOInvCL!AH580</f>
        <v>20508.311092626496</v>
      </c>
      <c r="Q580" s="16">
        <f>CASOPOInvCL!AI580</f>
        <v>14850</v>
      </c>
      <c r="R580" s="32" t="str">
        <f>CASOPOInvCL!AU580</f>
        <v/>
      </c>
      <c r="S580" s="16">
        <f>CASOPOInvCL!AV580</f>
        <v>0</v>
      </c>
      <c r="T580" s="16">
        <f>CASOPOInvCL!AW580</f>
        <v>0</v>
      </c>
      <c r="Y580" s="29" t="str">
        <f>IFERROR(HLOOKUP(U580,List!$D$2:$H$6,2,FALSE),"")</f>
        <v/>
      </c>
      <c r="Z580" s="29" t="str">
        <f>IFERROR(HLOOKUP(V580,List!$D$2:$H$6,3,FALSE),"")</f>
        <v/>
      </c>
      <c r="AA580" s="29" t="str">
        <f>IFERROR(HLOOKUP(W580,List!$D$2:$H$6,4,FALSE),"")</f>
        <v/>
      </c>
      <c r="AB580" s="29" t="str">
        <f>IFERROR(HLOOKUP(X580,List!$D$2:$H$6,5,FALSE),"")</f>
        <v/>
      </c>
      <c r="AC580" s="12" t="str">
        <f t="shared" si="148"/>
        <v/>
      </c>
      <c r="AD580" s="12" t="str">
        <f t="shared" si="149"/>
        <v/>
      </c>
      <c r="AE580" s="12" t="str">
        <f t="shared" si="150"/>
        <v/>
      </c>
      <c r="AF580" s="12" t="str">
        <f t="shared" si="151"/>
        <v/>
      </c>
      <c r="AG580" t="str">
        <f>VLOOKUP(J580,'Receivable Invoice Detail'!$A$1:F3592,6,FALSE)</f>
        <v>[10045/5001] Bowl Bearing, 12RJHC-8, Teflon</v>
      </c>
      <c r="AH580" s="12">
        <f t="shared" si="152"/>
        <v>0</v>
      </c>
      <c r="AM580" s="12" t="str">
        <f t="shared" si="153"/>
        <v/>
      </c>
      <c r="AN580" s="12" t="str">
        <f t="shared" si="154"/>
        <v/>
      </c>
      <c r="AO580" s="12" t="str">
        <f t="shared" si="155"/>
        <v/>
      </c>
      <c r="AP580" s="12" t="str">
        <f t="shared" si="156"/>
        <v/>
      </c>
      <c r="AQ580" s="12"/>
      <c r="AR580" s="16" t="s">
        <v>5940</v>
      </c>
      <c r="AS580" s="12">
        <f t="shared" si="138"/>
        <v>30.598802354292239</v>
      </c>
      <c r="AT580" s="16" t="str">
        <f t="shared" si="157"/>
        <v/>
      </c>
    </row>
    <row r="581" spans="1:46" hidden="1" x14ac:dyDescent="0.25">
      <c r="A581" s="41">
        <f>CASOPOInvCL!T581</f>
        <v>3</v>
      </c>
      <c r="B581" t="str">
        <f>CASOPOInvCL!Z581</f>
        <v>SO17264</v>
      </c>
      <c r="D581" t="s">
        <v>5925</v>
      </c>
      <c r="G581" s="5" t="str">
        <f>CASOPOInvCL!I581</f>
        <v>Ian Trottier</v>
      </c>
      <c r="H581" s="31">
        <f>CASOPOInvCL!U581</f>
        <v>6</v>
      </c>
      <c r="I581" s="31">
        <f>CASOPOInvCL!V581</f>
        <v>2025</v>
      </c>
      <c r="J581" s="5" t="str">
        <f>CASOPOInvCL!AB581</f>
        <v>INV13126</v>
      </c>
      <c r="K581" s="31">
        <f>CASOPOInvCL!W581</f>
        <v>7</v>
      </c>
      <c r="L581" s="31">
        <f>CASOPOInvCL!X581</f>
        <v>2025</v>
      </c>
      <c r="M581">
        <v>2503</v>
      </c>
      <c r="N581" s="5" t="str">
        <f>CASOPOInvCL!AF581</f>
        <v>Motion Industries Inc. (Canada) - Prince George</v>
      </c>
      <c r="O581" s="16" t="str">
        <f>CASOPOInvCL!AG581</f>
        <v>CAD</v>
      </c>
      <c r="P581" s="16">
        <f>CASOPOInvCL!AH581</f>
        <v>4332.75</v>
      </c>
      <c r="Q581" s="16">
        <f>CASOPOInvCL!AI581</f>
        <v>3170.1973672359454</v>
      </c>
      <c r="R581" s="32" t="str">
        <f>CASOPOInvCL!AU581</f>
        <v>Yes</v>
      </c>
      <c r="S581" s="16">
        <f>CASOPOInvCL!AV581</f>
        <v>0</v>
      </c>
      <c r="T581" s="16">
        <f>CASOPOInvCL!AW581</f>
        <v>3170.1973672359454</v>
      </c>
      <c r="V581" t="s">
        <v>5800</v>
      </c>
      <c r="Y581" s="29" t="str">
        <f>IFERROR(HLOOKUP(U581,List!$D$2:$H$6,2,FALSE),"")</f>
        <v/>
      </c>
      <c r="Z581" s="29">
        <f>IFERROR(HLOOKUP(V581,List!$D$2:$H$6,3,FALSE),"")</f>
        <v>5.0000000000000001E-3</v>
      </c>
      <c r="AA581" s="29" t="str">
        <f>IFERROR(HLOOKUP(W581,List!$D$2:$H$6,4,FALSE),"")</f>
        <v/>
      </c>
      <c r="AB581" s="29" t="str">
        <f>IFERROR(HLOOKUP(X581,List!$D$2:$H$6,5,FALSE),"")</f>
        <v/>
      </c>
      <c r="AC581" s="12" t="str">
        <f t="shared" si="148"/>
        <v/>
      </c>
      <c r="AD581" s="12">
        <f t="shared" si="149"/>
        <v>15.850986836179727</v>
      </c>
      <c r="AE581" s="12" t="str">
        <f t="shared" si="150"/>
        <v/>
      </c>
      <c r="AF581" s="12" t="str">
        <f t="shared" si="151"/>
        <v/>
      </c>
      <c r="AG581" t="str">
        <f>VLOOKUP(J581,'Receivable Invoice Detail'!$A$1:F3593,6,FALSE)</f>
        <v>[W-U111-TEFKVSC-PIECE] Premium Slurry Packing (Single Piece), 20/18 U-AH, PTFE Lubricated Kevlar w/Silicon Core</v>
      </c>
      <c r="AH581" s="12">
        <f t="shared" si="152"/>
        <v>15.850986836179727</v>
      </c>
      <c r="AM581" s="12" t="str">
        <f t="shared" si="153"/>
        <v/>
      </c>
      <c r="AN581" s="12">
        <f t="shared" si="154"/>
        <v>15.850986836179727</v>
      </c>
      <c r="AO581" s="12" t="str">
        <f t="shared" si="155"/>
        <v/>
      </c>
      <c r="AP581" s="12" t="str">
        <f t="shared" si="156"/>
        <v/>
      </c>
      <c r="AQ581" s="64">
        <v>2503</v>
      </c>
      <c r="AR581" t="s">
        <v>5932</v>
      </c>
      <c r="AS581" s="12">
        <f t="shared" ref="AS581:AS644" si="158">T579*1.5%</f>
        <v>22.753800777995004</v>
      </c>
      <c r="AT581" s="16" t="str">
        <f t="shared" si="157"/>
        <v>Yes</v>
      </c>
    </row>
    <row r="582" spans="1:46" hidden="1" x14ac:dyDescent="0.25">
      <c r="A582" s="41">
        <f>CASOPOInvCL!T582</f>
        <v>3</v>
      </c>
      <c r="B582" t="str">
        <f>CASOPOInvCL!Z582</f>
        <v>SO17264</v>
      </c>
      <c r="D582" t="s">
        <v>5925</v>
      </c>
      <c r="G582" s="5">
        <f>CASOPOInvCL!I582</f>
        <v>0</v>
      </c>
      <c r="H582" s="31">
        <f>CASOPOInvCL!U582</f>
        <v>6</v>
      </c>
      <c r="I582" s="31">
        <f>CASOPOInvCL!V582</f>
        <v>2025</v>
      </c>
      <c r="J582" s="5" t="str">
        <f>CASOPOInvCL!AB582</f>
        <v>INV13094</v>
      </c>
      <c r="K582" s="31">
        <f>CASOPOInvCL!W582</f>
        <v>7</v>
      </c>
      <c r="L582" s="31">
        <f>CASOPOInvCL!X582</f>
        <v>2025</v>
      </c>
      <c r="M582">
        <v>2503</v>
      </c>
      <c r="N582" s="5" t="str">
        <f>CASOPOInvCL!AF582</f>
        <v>Motion Industries Inc. (Canada) - Prince George</v>
      </c>
      <c r="O582" s="16" t="str">
        <f>CASOPOInvCL!AG582</f>
        <v>CAD</v>
      </c>
      <c r="P582" s="16">
        <f>CASOPOInvCL!AH582</f>
        <v>0</v>
      </c>
      <c r="Q582" s="16">
        <f>CASOPOInvCL!AI582</f>
        <v>0</v>
      </c>
      <c r="R582" s="32" t="str">
        <f>CASOPOInvCL!AU582</f>
        <v/>
      </c>
      <c r="S582" s="16">
        <f>CASOPOInvCL!AV582</f>
        <v>0</v>
      </c>
      <c r="T582" s="16">
        <f>CASOPOInvCL!AW582</f>
        <v>0</v>
      </c>
      <c r="V582" t="s">
        <v>5800</v>
      </c>
      <c r="Y582" s="29" t="str">
        <f>IFERROR(HLOOKUP(U582,List!$D$2:$H$6,2,FALSE),"")</f>
        <v/>
      </c>
      <c r="Z582" s="29">
        <f>IFERROR(HLOOKUP(V582,List!$D$2:$H$6,3,FALSE),"")</f>
        <v>5.0000000000000001E-3</v>
      </c>
      <c r="AA582" s="29" t="str">
        <f>IFERROR(HLOOKUP(W582,List!$D$2:$H$6,4,FALSE),"")</f>
        <v/>
      </c>
      <c r="AB582" s="29" t="str">
        <f>IFERROR(HLOOKUP(X582,List!$D$2:$H$6,5,FALSE),"")</f>
        <v/>
      </c>
      <c r="AC582" s="12" t="str">
        <f t="shared" si="148"/>
        <v/>
      </c>
      <c r="AD582" s="12">
        <f t="shared" si="149"/>
        <v>0</v>
      </c>
      <c r="AE582" s="12" t="str">
        <f t="shared" si="150"/>
        <v/>
      </c>
      <c r="AF582" s="12" t="str">
        <f t="shared" si="151"/>
        <v/>
      </c>
      <c r="AG582" t="str">
        <f>VLOOKUP(J582,'Receivable Invoice Detail'!$A$1:F3594,6,FALSE)</f>
        <v>[W-U111-TEFKVSC-PIECE] Premium Slurry Packing (Single Piece), 20/18 U-AH, PTFE Lubricated Kevlar w/Silicon Core</v>
      </c>
      <c r="AM582" s="12" t="str">
        <f t="shared" si="153"/>
        <v/>
      </c>
      <c r="AN582" s="12">
        <f t="shared" si="154"/>
        <v>0</v>
      </c>
      <c r="AO582" s="12" t="str">
        <f t="shared" si="155"/>
        <v/>
      </c>
      <c r="AP582" s="12" t="str">
        <f t="shared" si="156"/>
        <v/>
      </c>
      <c r="AQ582" s="64">
        <v>2503</v>
      </c>
      <c r="AR582" t="s">
        <v>5932</v>
      </c>
      <c r="AS582" s="12">
        <f t="shared" si="158"/>
        <v>0</v>
      </c>
      <c r="AT582" s="16" t="str">
        <f t="shared" si="157"/>
        <v/>
      </c>
    </row>
    <row r="583" spans="1:46" hidden="1" x14ac:dyDescent="0.25">
      <c r="A583" s="41">
        <f>CASOPOInvCL!T583</f>
        <v>3</v>
      </c>
      <c r="B583" t="str">
        <f>CASOPOInvCL!Z583</f>
        <v>SO17264</v>
      </c>
      <c r="D583" t="s">
        <v>5925</v>
      </c>
      <c r="G583" s="5">
        <f>CASOPOInvCL!I583</f>
        <v>0</v>
      </c>
      <c r="H583" s="31">
        <f>CASOPOInvCL!U583</f>
        <v>6</v>
      </c>
      <c r="I583" s="31">
        <f>CASOPOInvCL!V583</f>
        <v>2025</v>
      </c>
      <c r="J583" s="5" t="str">
        <f>CASOPOInvCL!AB583</f>
        <v>INV13197</v>
      </c>
      <c r="K583" s="31">
        <f>CASOPOInvCL!W583</f>
        <v>8</v>
      </c>
      <c r="L583" s="31">
        <f>CASOPOInvCL!X583</f>
        <v>2025</v>
      </c>
      <c r="M583">
        <v>2503</v>
      </c>
      <c r="N583" s="5" t="str">
        <f>CASOPOInvCL!AF583</f>
        <v>Motion Industries Inc. (Canada) - Prince George</v>
      </c>
      <c r="O583" s="16" t="str">
        <f>CASOPOInvCL!AG583</f>
        <v>CAD</v>
      </c>
      <c r="P583" s="16">
        <f>CASOPOInvCL!AH583</f>
        <v>0</v>
      </c>
      <c r="Q583" s="16">
        <f>CASOPOInvCL!AI583</f>
        <v>0</v>
      </c>
      <c r="R583" s="32" t="str">
        <f>CASOPOInvCL!AU583</f>
        <v/>
      </c>
      <c r="S583" s="16">
        <f>CASOPOInvCL!AV583</f>
        <v>0</v>
      </c>
      <c r="T583" s="16">
        <f>CASOPOInvCL!AW583</f>
        <v>0</v>
      </c>
      <c r="V583" t="s">
        <v>5800</v>
      </c>
      <c r="Y583" s="29" t="str">
        <f>IFERROR(HLOOKUP(U583,List!$D$2:$H$6,2,FALSE),"")</f>
        <v/>
      </c>
      <c r="Z583" s="29">
        <f>IFERROR(HLOOKUP(V583,List!$D$2:$H$6,3,FALSE),"")</f>
        <v>5.0000000000000001E-3</v>
      </c>
      <c r="AA583" s="29" t="str">
        <f>IFERROR(HLOOKUP(W583,List!$D$2:$H$6,4,FALSE),"")</f>
        <v/>
      </c>
      <c r="AB583" s="29" t="str">
        <f>IFERROR(HLOOKUP(X583,List!$D$2:$H$6,5,FALSE),"")</f>
        <v/>
      </c>
      <c r="AC583" s="12" t="str">
        <f t="shared" si="148"/>
        <v/>
      </c>
      <c r="AD583" s="12">
        <f t="shared" si="149"/>
        <v>0</v>
      </c>
      <c r="AE583" s="12" t="str">
        <f t="shared" si="150"/>
        <v/>
      </c>
      <c r="AF583" s="12" t="str">
        <f t="shared" si="151"/>
        <v/>
      </c>
      <c r="AG583" t="str">
        <f>VLOOKUP(J583,'Receivable Invoice Detail'!$A$1:F3595,6,FALSE)</f>
        <v>[SA-234602-M1] Impeller, VT50, Natural Rubber</v>
      </c>
      <c r="AM583" s="12" t="str">
        <f t="shared" si="153"/>
        <v/>
      </c>
      <c r="AN583" s="12">
        <f t="shared" si="154"/>
        <v>0</v>
      </c>
      <c r="AO583" s="12" t="str">
        <f t="shared" si="155"/>
        <v/>
      </c>
      <c r="AP583" s="12" t="str">
        <f t="shared" si="156"/>
        <v/>
      </c>
      <c r="AQ583" s="64">
        <v>2503</v>
      </c>
      <c r="AR583" t="s">
        <v>5932</v>
      </c>
      <c r="AS583" s="12">
        <f t="shared" si="158"/>
        <v>47.552960508539179</v>
      </c>
      <c r="AT583" s="16" t="str">
        <f t="shared" si="157"/>
        <v/>
      </c>
    </row>
    <row r="584" spans="1:46" hidden="1" x14ac:dyDescent="0.25">
      <c r="A584" s="41">
        <f>CASOPOInvCL!T584</f>
        <v>1</v>
      </c>
      <c r="B584" t="str">
        <f>CASOPOInvCL!Z584</f>
        <v>SO17265</v>
      </c>
      <c r="G584" s="5" t="str">
        <f>CASOPOInvCL!I584</f>
        <v>Amanda Qiao</v>
      </c>
      <c r="H584" s="31">
        <f>CASOPOInvCL!U584</f>
        <v>6</v>
      </c>
      <c r="I584" s="31">
        <f>CASOPOInvCL!V584</f>
        <v>2025</v>
      </c>
      <c r="J584" s="5" t="str">
        <f>CASOPOInvCL!AB584</f>
        <v>INV13043</v>
      </c>
      <c r="K584" s="31">
        <f>CASOPOInvCL!W584</f>
        <v>7</v>
      </c>
      <c r="L584" s="31">
        <f>CASOPOInvCL!X584</f>
        <v>2025</v>
      </c>
      <c r="M584" s="31"/>
      <c r="N584" s="5" t="str">
        <f>CASOPOInvCL!AF584</f>
        <v>Mill-Right Mine Services Inc.</v>
      </c>
      <c r="O584" s="16" t="str">
        <f>CASOPOInvCL!AG584</f>
        <v>USD</v>
      </c>
      <c r="P584" s="16">
        <f>CASOPOInvCL!AH584</f>
        <v>2677.3028925918761</v>
      </c>
      <c r="Q584" s="16">
        <f>CASOPOInvCL!AI584</f>
        <v>1948.62</v>
      </c>
      <c r="R584" s="32" t="str">
        <f>CASOPOInvCL!AU584</f>
        <v>Yes</v>
      </c>
      <c r="S584" s="16">
        <f>CASOPOInvCL!AV584</f>
        <v>131.77000000000001</v>
      </c>
      <c r="T584" s="16">
        <f>CASOPOInvCL!AW584</f>
        <v>1816.85</v>
      </c>
      <c r="Y584" s="29" t="str">
        <f>IFERROR(HLOOKUP(U584,List!$D$2:$H$6,2,FALSE),"")</f>
        <v/>
      </c>
      <c r="Z584" s="29" t="str">
        <f>IFERROR(HLOOKUP(V584,List!$D$2:$H$6,3,FALSE),"")</f>
        <v/>
      </c>
      <c r="AA584" s="29" t="str">
        <f>IFERROR(HLOOKUP(W584,List!$D$2:$H$6,4,FALSE),"")</f>
        <v/>
      </c>
      <c r="AB584" s="29" t="str">
        <f>IFERROR(HLOOKUP(X584,List!$D$2:$H$6,5,FALSE),"")</f>
        <v/>
      </c>
      <c r="AC584" s="12" t="str">
        <f t="shared" si="148"/>
        <v/>
      </c>
      <c r="AD584" s="12" t="str">
        <f t="shared" si="149"/>
        <v/>
      </c>
      <c r="AE584" s="12" t="str">
        <f t="shared" si="150"/>
        <v/>
      </c>
      <c r="AF584" s="12" t="str">
        <f t="shared" si="151"/>
        <v/>
      </c>
      <c r="AG584" t="str">
        <f>VLOOKUP(J584,'Receivable Invoice Detail'!$A$1:F3596,6,FALSE)</f>
        <v>[FS58979M4] Single Cartridge Mechanical Seal, 1 7/8", VBRB3, Big Bore, Carbon vs Silicon Carbide, TFEP, A276 Bellows, 316SS</v>
      </c>
      <c r="AH584" s="12">
        <f t="shared" ref="AH584:AH588" si="159">SUM(AC584:AF584)</f>
        <v>0</v>
      </c>
      <c r="AM584" s="12" t="str">
        <f t="shared" si="153"/>
        <v/>
      </c>
      <c r="AN584" s="12" t="str">
        <f t="shared" si="154"/>
        <v/>
      </c>
      <c r="AO584" s="12" t="str">
        <f t="shared" si="155"/>
        <v/>
      </c>
      <c r="AP584" s="12" t="str">
        <f t="shared" si="156"/>
        <v/>
      </c>
      <c r="AQ584" s="12"/>
      <c r="AS584" s="12">
        <f t="shared" si="158"/>
        <v>0</v>
      </c>
      <c r="AT584" s="16" t="str">
        <f t="shared" si="157"/>
        <v>Yes</v>
      </c>
    </row>
    <row r="585" spans="1:46" hidden="1" x14ac:dyDescent="0.25">
      <c r="A585" s="41">
        <f>CASOPOInvCL!T585</f>
        <v>1</v>
      </c>
      <c r="B585" t="str">
        <f>CASOPOInvCL!Z585</f>
        <v>SO17267</v>
      </c>
      <c r="G585" s="5" t="str">
        <f>CASOPOInvCL!I585</f>
        <v>Ian Trottier</v>
      </c>
      <c r="H585" s="31">
        <f>CASOPOInvCL!U585</f>
        <v>6</v>
      </c>
      <c r="I585" s="31">
        <f>CASOPOInvCL!V585</f>
        <v>2025</v>
      </c>
      <c r="J585" s="5" t="str">
        <f>CASOPOInvCL!AB585</f>
        <v>INV13603</v>
      </c>
      <c r="K585" s="31">
        <f>CASOPOInvCL!W585</f>
        <v>11</v>
      </c>
      <c r="L585" s="31">
        <f>CASOPOInvCL!X585</f>
        <v>2025</v>
      </c>
      <c r="M585" s="31"/>
      <c r="N585" s="5" t="str">
        <f>CASOPOInvCL!AF585</f>
        <v>Thunder Bay Pulp and Paper Inc</v>
      </c>
      <c r="O585" s="16" t="str">
        <f>CASOPOInvCL!AG585</f>
        <v>CAD</v>
      </c>
      <c r="P585" s="16">
        <f>CASOPOInvCL!AH585</f>
        <v>12103.08</v>
      </c>
      <c r="Q585" s="16">
        <f>CASOPOInvCL!AI585</f>
        <v>8852.4424114400717</v>
      </c>
      <c r="R585" s="32" t="str">
        <f>CASOPOInvCL!AU585</f>
        <v>Yes</v>
      </c>
      <c r="S585" s="16">
        <f>CASOPOInvCL!AV585</f>
        <v>0</v>
      </c>
      <c r="T585" s="16">
        <f>CASOPOInvCL!AW585</f>
        <v>8852.4424114400717</v>
      </c>
      <c r="Y585" s="29" t="str">
        <f>IFERROR(HLOOKUP(U585,List!$D$2:$H$6,2,FALSE),"")</f>
        <v/>
      </c>
      <c r="Z585" s="29" t="str">
        <f>IFERROR(HLOOKUP(V585,List!$D$2:$H$6,3,FALSE),"")</f>
        <v/>
      </c>
      <c r="AA585" s="29" t="str">
        <f>IFERROR(HLOOKUP(W585,List!$D$2:$H$6,4,FALSE),"")</f>
        <v/>
      </c>
      <c r="AB585" s="29" t="str">
        <f>IFERROR(HLOOKUP(X585,List!$D$2:$H$6,5,FALSE),"")</f>
        <v/>
      </c>
      <c r="AC585" s="12" t="str">
        <f t="shared" si="148"/>
        <v/>
      </c>
      <c r="AD585" s="12" t="str">
        <f t="shared" si="149"/>
        <v/>
      </c>
      <c r="AE585" s="12" t="str">
        <f t="shared" si="150"/>
        <v/>
      </c>
      <c r="AF585" s="12" t="str">
        <f t="shared" si="151"/>
        <v/>
      </c>
      <c r="AG585" t="str">
        <f>VLOOKUP(J585,'Receivable Invoice Detail'!$A$1:F3597,6,FALSE)</f>
        <v>[M&amp;N # 7346] Casing, 4x3-11, Worthington 3M111, High Chrome</v>
      </c>
      <c r="AH585" s="12">
        <f t="shared" si="159"/>
        <v>0</v>
      </c>
      <c r="AM585" s="12" t="str">
        <f t="shared" si="153"/>
        <v/>
      </c>
      <c r="AN585" s="12" t="str">
        <f t="shared" si="154"/>
        <v/>
      </c>
      <c r="AO585" s="12" t="str">
        <f t="shared" si="155"/>
        <v/>
      </c>
      <c r="AP585" s="12" t="str">
        <f t="shared" si="156"/>
        <v/>
      </c>
      <c r="AQ585" s="12"/>
      <c r="AS585" s="12">
        <f t="shared" si="158"/>
        <v>0</v>
      </c>
      <c r="AT585" s="16" t="str">
        <f t="shared" si="157"/>
        <v>Yes</v>
      </c>
    </row>
    <row r="586" spans="1:46" hidden="1" x14ac:dyDescent="0.25">
      <c r="A586" s="41">
        <f>CASOPOInvCL!T586</f>
        <v>1</v>
      </c>
      <c r="B586" t="str">
        <f>CASOPOInvCL!Z586</f>
        <v>SO17269</v>
      </c>
      <c r="D586" t="s">
        <v>5925</v>
      </c>
      <c r="G586" s="5" t="str">
        <f>CASOPOInvCL!I586</f>
        <v>Ian Trottier</v>
      </c>
      <c r="H586" s="31">
        <f>CASOPOInvCL!U586</f>
        <v>6</v>
      </c>
      <c r="I586" s="31">
        <f>CASOPOInvCL!V586</f>
        <v>2025</v>
      </c>
      <c r="J586" s="5" t="str">
        <f>CASOPOInvCL!AB586</f>
        <v>INV13260</v>
      </c>
      <c r="K586" s="31">
        <f>CASOPOInvCL!W586</f>
        <v>9</v>
      </c>
      <c r="L586" s="31">
        <f>CASOPOInvCL!X586</f>
        <v>2025</v>
      </c>
      <c r="M586">
        <v>2503</v>
      </c>
      <c r="N586" s="5" t="str">
        <f>CASOPOInvCL!AF586</f>
        <v>Progressive Sealing Inc.</v>
      </c>
      <c r="O586" s="16" t="str">
        <f>CASOPOInvCL!AG586</f>
        <v>CAD</v>
      </c>
      <c r="P586" s="16">
        <f>CASOPOInvCL!AH586</f>
        <v>5710.29</v>
      </c>
      <c r="Q586" s="16">
        <f>CASOPOInvCL!AI586</f>
        <v>4172.2621692048751</v>
      </c>
      <c r="R586" s="32" t="str">
        <f>CASOPOInvCL!AU586</f>
        <v>Yes</v>
      </c>
      <c r="S586" s="16">
        <f>CASOPOInvCL!AV586</f>
        <v>0</v>
      </c>
      <c r="T586" s="16">
        <f>CASOPOInvCL!AW586</f>
        <v>4172.2621692048751</v>
      </c>
      <c r="V586" t="s">
        <v>5800</v>
      </c>
      <c r="Y586" s="29" t="str">
        <f>IFERROR(HLOOKUP(U586,List!$D$2:$H$6,2,FALSE),"")</f>
        <v/>
      </c>
      <c r="Z586" s="29">
        <f>IFERROR(HLOOKUP(V586,List!$D$2:$H$6,3,FALSE),"")</f>
        <v>5.0000000000000001E-3</v>
      </c>
      <c r="AA586" s="29" t="str">
        <f>IFERROR(HLOOKUP(W586,List!$D$2:$H$6,4,FALSE),"")</f>
        <v/>
      </c>
      <c r="AB586" s="29" t="str">
        <f>IFERROR(HLOOKUP(X586,List!$D$2:$H$6,5,FALSE),"")</f>
        <v/>
      </c>
      <c r="AC586" s="12" t="str">
        <f t="shared" si="148"/>
        <v/>
      </c>
      <c r="AD586" s="12">
        <f t="shared" si="149"/>
        <v>20.861310846024377</v>
      </c>
      <c r="AE586" s="12" t="str">
        <f t="shared" si="150"/>
        <v/>
      </c>
      <c r="AF586" s="12" t="str">
        <f t="shared" si="151"/>
        <v/>
      </c>
      <c r="AG586" t="str">
        <f>VLOOKUP(J586,'Receivable Invoice Detail'!$A$1:F3598,6,FALSE)</f>
        <v>[WO-2114547-CD4] Impeller, Worthington 8-FRBH-152, CD4MCu</v>
      </c>
      <c r="AH586" s="12">
        <f t="shared" si="159"/>
        <v>20.861310846024377</v>
      </c>
      <c r="AM586" s="12" t="str">
        <f t="shared" si="153"/>
        <v/>
      </c>
      <c r="AN586" s="12">
        <f t="shared" si="154"/>
        <v>20.861310846024377</v>
      </c>
      <c r="AO586" s="12" t="str">
        <f t="shared" si="155"/>
        <v/>
      </c>
      <c r="AP586" s="12" t="str">
        <f t="shared" si="156"/>
        <v/>
      </c>
      <c r="AQ586" s="64">
        <v>2503</v>
      </c>
      <c r="AR586" t="s">
        <v>5932</v>
      </c>
      <c r="AS586" s="12">
        <f t="shared" si="158"/>
        <v>27.252749999999999</v>
      </c>
      <c r="AT586" s="16" t="str">
        <f t="shared" ref="AT586:AT649" si="160">R586</f>
        <v>Yes</v>
      </c>
    </row>
    <row r="587" spans="1:46" hidden="1" x14ac:dyDescent="0.25">
      <c r="A587" s="41">
        <f>CASOPOInvCL!T587</f>
        <v>1</v>
      </c>
      <c r="B587" t="str">
        <f>CASOPOInvCL!Z587</f>
        <v>SO17271</v>
      </c>
      <c r="D587" t="s">
        <v>5925</v>
      </c>
      <c r="G587" s="5" t="str">
        <f>CASOPOInvCL!I587</f>
        <v>Ian Trottier</v>
      </c>
      <c r="H587" s="31">
        <f>CASOPOInvCL!U587</f>
        <v>6</v>
      </c>
      <c r="I587" s="31">
        <f>CASOPOInvCL!V587</f>
        <v>2025</v>
      </c>
      <c r="J587" s="5" t="str">
        <f>CASOPOInvCL!AB587</f>
        <v>INV13060</v>
      </c>
      <c r="K587" s="31">
        <f>CASOPOInvCL!W587</f>
        <v>8</v>
      </c>
      <c r="L587" s="31">
        <f>CASOPOInvCL!X587</f>
        <v>2025</v>
      </c>
      <c r="M587">
        <v>2503</v>
      </c>
      <c r="N587" s="5" t="str">
        <f>CASOPOInvCL!AF587</f>
        <v>Resolute Forest Products - Saint-Felicien</v>
      </c>
      <c r="O587" s="16" t="str">
        <f>CASOPOInvCL!AG587</f>
        <v>CAD</v>
      </c>
      <c r="P587" s="16">
        <f>CASOPOInvCL!AH587</f>
        <v>243.55</v>
      </c>
      <c r="Q587" s="16">
        <f>CASOPOInvCL!AI587</f>
        <v>177.47553538548013</v>
      </c>
      <c r="R587" s="32" t="str">
        <f>CASOPOInvCL!AU587</f>
        <v>Yes</v>
      </c>
      <c r="S587" s="16">
        <f>CASOPOInvCL!AV587</f>
        <v>0</v>
      </c>
      <c r="T587" s="16">
        <f>CASOPOInvCL!AW587</f>
        <v>177.47553538548013</v>
      </c>
      <c r="V587" t="s">
        <v>5800</v>
      </c>
      <c r="Y587" s="29" t="str">
        <f>IFERROR(HLOOKUP(U587,List!$D$2:$H$6,2,FALSE),"")</f>
        <v/>
      </c>
      <c r="Z587" s="29">
        <f>IFERROR(HLOOKUP(V587,List!$D$2:$H$6,3,FALSE),"")</f>
        <v>5.0000000000000001E-3</v>
      </c>
      <c r="AA587" s="29" t="str">
        <f>IFERROR(HLOOKUP(W587,List!$D$2:$H$6,4,FALSE),"")</f>
        <v/>
      </c>
      <c r="AB587" s="29" t="str">
        <f>IFERROR(HLOOKUP(X587,List!$D$2:$H$6,5,FALSE),"")</f>
        <v/>
      </c>
      <c r="AC587" s="12" t="str">
        <f t="shared" si="148"/>
        <v/>
      </c>
      <c r="AD587" s="12">
        <f t="shared" si="149"/>
        <v>0.88737767692740066</v>
      </c>
      <c r="AE587" s="12" t="str">
        <f t="shared" si="150"/>
        <v/>
      </c>
      <c r="AF587" s="12" t="str">
        <f t="shared" si="151"/>
        <v/>
      </c>
      <c r="AG587" t="str">
        <f>VLOOKUP(J587,'Receivable Invoice Detail'!$A$1:F3599,6,FALSE)</f>
        <v>[OLPWZ011006B, G-A04951A219] Bearing Isolator (Outboard), 3196 MTX/MTi, 303SS Rotor / Bronze Stator w/Viton</v>
      </c>
      <c r="AH587" s="12">
        <f t="shared" si="159"/>
        <v>0.88737767692740066</v>
      </c>
      <c r="AM587" s="12" t="str">
        <f t="shared" si="153"/>
        <v/>
      </c>
      <c r="AN587" s="12">
        <f t="shared" si="154"/>
        <v>0.88737767692740066</v>
      </c>
      <c r="AO587" s="12" t="str">
        <f t="shared" si="155"/>
        <v/>
      </c>
      <c r="AP587" s="12" t="str">
        <f t="shared" si="156"/>
        <v/>
      </c>
      <c r="AQ587" s="64">
        <v>2503</v>
      </c>
      <c r="AR587" t="s">
        <v>5932</v>
      </c>
      <c r="AS587" s="12">
        <f t="shared" si="158"/>
        <v>132.78663617160106</v>
      </c>
      <c r="AT587" s="16" t="str">
        <f t="shared" si="160"/>
        <v>Yes</v>
      </c>
    </row>
    <row r="588" spans="1:46" hidden="1" x14ac:dyDescent="0.25">
      <c r="A588" s="41">
        <f>CASOPOInvCL!T588</f>
        <v>1</v>
      </c>
      <c r="B588" t="str">
        <f>CASOPOInvCL!Z588</f>
        <v>SO17274</v>
      </c>
      <c r="D588" t="s">
        <v>5925</v>
      </c>
      <c r="G588" s="5" t="str">
        <f>CASOPOInvCL!I588</f>
        <v>Ian Trottier</v>
      </c>
      <c r="H588" s="31">
        <f>CASOPOInvCL!U588</f>
        <v>6</v>
      </c>
      <c r="I588" s="31">
        <f>CASOPOInvCL!V588</f>
        <v>2025</v>
      </c>
      <c r="J588" s="5" t="str">
        <f>CASOPOInvCL!AB588</f>
        <v>INV13065</v>
      </c>
      <c r="K588" s="31">
        <f>CASOPOInvCL!W588</f>
        <v>8</v>
      </c>
      <c r="L588" s="31">
        <f>CASOPOInvCL!X588</f>
        <v>2025</v>
      </c>
      <c r="M588">
        <v>2503</v>
      </c>
      <c r="N588" s="5" t="str">
        <f>CASOPOInvCL!AF588</f>
        <v>BDI Canada Inc - Saskatoon</v>
      </c>
      <c r="O588" s="16" t="str">
        <f>CASOPOInvCL!AG588</f>
        <v>CAD</v>
      </c>
      <c r="P588" s="16">
        <f>CASOPOInvCL!AH588</f>
        <v>268.29000000000002</v>
      </c>
      <c r="Q588" s="16">
        <f>CASOPOInvCL!AI588</f>
        <v>196.23284110864822</v>
      </c>
      <c r="R588" s="32" t="str">
        <f>CASOPOInvCL!AU588</f>
        <v>Yes</v>
      </c>
      <c r="S588" s="16">
        <f>CASOPOInvCL!AV588</f>
        <v>0</v>
      </c>
      <c r="T588" s="16">
        <f>CASOPOInvCL!AW588</f>
        <v>196.23284110864822</v>
      </c>
      <c r="V588" t="s">
        <v>5800</v>
      </c>
      <c r="Y588" s="29" t="str">
        <f>IFERROR(HLOOKUP(U588,List!$D$2:$H$6,2,FALSE),"")</f>
        <v/>
      </c>
      <c r="Z588" s="29">
        <f>IFERROR(HLOOKUP(V588,List!$D$2:$H$6,3,FALSE),"")</f>
        <v>5.0000000000000001E-3</v>
      </c>
      <c r="AA588" s="29" t="str">
        <f>IFERROR(HLOOKUP(W588,List!$D$2:$H$6,4,FALSE),"")</f>
        <v/>
      </c>
      <c r="AB588" s="29" t="str">
        <f>IFERROR(HLOOKUP(X588,List!$D$2:$H$6,5,FALSE),"")</f>
        <v/>
      </c>
      <c r="AC588" s="12" t="str">
        <f t="shared" si="148"/>
        <v/>
      </c>
      <c r="AD588" s="12">
        <f t="shared" si="149"/>
        <v>0.98116420554324113</v>
      </c>
      <c r="AE588" s="12" t="str">
        <f t="shared" si="150"/>
        <v/>
      </c>
      <c r="AF588" s="12" t="str">
        <f t="shared" si="151"/>
        <v/>
      </c>
      <c r="AG588" t="str">
        <f>VLOOKUP(J588,'Receivable Invoice Detail'!$A$1:F3600,6,FALSE)</f>
        <v>[OLPWZ011009B, G-A04951A222] Bearing Isolator (Inboard), 3196 XLT/XLTi, 303SS Rotor / Bronze Stator w/Viton</v>
      </c>
      <c r="AH588" s="12">
        <f t="shared" si="159"/>
        <v>0.98116420554324113</v>
      </c>
      <c r="AM588" s="12" t="str">
        <f t="shared" si="153"/>
        <v/>
      </c>
      <c r="AN588" s="12">
        <f t="shared" si="154"/>
        <v>0.98116420554324113</v>
      </c>
      <c r="AO588" s="12" t="str">
        <f t="shared" si="155"/>
        <v/>
      </c>
      <c r="AP588" s="12" t="str">
        <f t="shared" si="156"/>
        <v/>
      </c>
      <c r="AQ588" s="64">
        <v>2503</v>
      </c>
      <c r="AR588" t="s">
        <v>5932</v>
      </c>
      <c r="AS588" s="12">
        <f t="shared" si="158"/>
        <v>62.583932538073128</v>
      </c>
      <c r="AT588" s="16" t="str">
        <f t="shared" si="160"/>
        <v>Yes</v>
      </c>
    </row>
    <row r="589" spans="1:46" hidden="1" x14ac:dyDescent="0.25">
      <c r="A589" s="41">
        <f>CASOPOInvCL!T589</f>
        <v>1</v>
      </c>
      <c r="B589" t="str">
        <f>CASOPOInvCL!Z589</f>
        <v>SO17276</v>
      </c>
      <c r="D589" t="s">
        <v>5925</v>
      </c>
      <c r="G589" s="5" t="str">
        <f>CASOPOInvCL!I589</f>
        <v>Ian Trottier</v>
      </c>
      <c r="H589" s="31">
        <f>CASOPOInvCL!U589</f>
        <v>6</v>
      </c>
      <c r="I589" s="31">
        <f>CASOPOInvCL!V589</f>
        <v>2025</v>
      </c>
      <c r="J589" s="5" t="str">
        <f>CASOPOInvCL!AB589</f>
        <v>INV13081</v>
      </c>
      <c r="K589" s="31">
        <f>CASOPOInvCL!W589</f>
        <v>7</v>
      </c>
      <c r="L589" s="31">
        <f>CASOPOInvCL!X589</f>
        <v>2025</v>
      </c>
      <c r="M589">
        <v>2503</v>
      </c>
      <c r="N589" s="5" t="str">
        <f>CASOPOInvCL!AF589</f>
        <v>Les Pompes du St-Laurent Inc.</v>
      </c>
      <c r="O589" s="16" t="str">
        <f>CASOPOInvCL!AG589</f>
        <v>CAD</v>
      </c>
      <c r="P589" s="16">
        <f>CASOPOInvCL!AH589</f>
        <v>314.95</v>
      </c>
      <c r="Q589" s="16">
        <f>CASOPOInvCL!AI589</f>
        <v>230.14527349138766</v>
      </c>
      <c r="R589" s="32" t="str">
        <f>CASOPOInvCL!AU589</f>
        <v>Yes</v>
      </c>
      <c r="S589" s="16">
        <f>CASOPOInvCL!AV589</f>
        <v>0</v>
      </c>
      <c r="T589" s="16">
        <f>CASOPOInvCL!AW589</f>
        <v>230.14527349138766</v>
      </c>
      <c r="V589" t="s">
        <v>5800</v>
      </c>
      <c r="Y589" s="29" t="str">
        <f>IFERROR(HLOOKUP(U589,List!$D$2:$H$6,2,FALSE),"")</f>
        <v/>
      </c>
      <c r="Z589" s="29">
        <f>IFERROR(HLOOKUP(V589,List!$D$2:$H$6,3,FALSE),"")</f>
        <v>5.0000000000000001E-3</v>
      </c>
      <c r="AA589" s="29" t="str">
        <f>IFERROR(HLOOKUP(W589,List!$D$2:$H$6,4,FALSE),"")</f>
        <v/>
      </c>
      <c r="AB589" s="29" t="str">
        <f>IFERROR(HLOOKUP(X589,List!$D$2:$H$6,5,FALSE),"")</f>
        <v/>
      </c>
      <c r="AC589" s="12" t="str">
        <f t="shared" si="148"/>
        <v/>
      </c>
      <c r="AD589" s="12">
        <f t="shared" si="149"/>
        <v>1.1507263674569383</v>
      </c>
      <c r="AE589" s="12" t="str">
        <f t="shared" si="150"/>
        <v/>
      </c>
      <c r="AF589" s="12" t="str">
        <f t="shared" si="151"/>
        <v/>
      </c>
      <c r="AG589" t="str">
        <f>VLOOKUP(J589,'Receivable Invoice Detail'!$A$1:F3601,6,FALSE)</f>
        <v>[G-B02092A 1001] Frame Foot, 3196 MTX, 8.25" Centerline</v>
      </c>
      <c r="AM589" s="12" t="str">
        <f t="shared" si="153"/>
        <v/>
      </c>
      <c r="AN589" s="12">
        <f t="shared" si="154"/>
        <v>1.1507263674569383</v>
      </c>
      <c r="AO589" s="12" t="str">
        <f t="shared" si="155"/>
        <v/>
      </c>
      <c r="AP589" s="12" t="str">
        <f t="shared" si="156"/>
        <v/>
      </c>
      <c r="AQ589" s="64">
        <v>2503</v>
      </c>
      <c r="AR589" t="s">
        <v>5932</v>
      </c>
      <c r="AS589" s="12">
        <f t="shared" si="158"/>
        <v>2.662133030782202</v>
      </c>
      <c r="AT589" s="16" t="str">
        <f t="shared" si="160"/>
        <v>Yes</v>
      </c>
    </row>
    <row r="590" spans="1:46" hidden="1" x14ac:dyDescent="0.25">
      <c r="A590" s="41">
        <f>CASOPOInvCL!T590</f>
        <v>1</v>
      </c>
      <c r="B590" t="str">
        <f>CASOPOInvCL!Z590</f>
        <v>SO17277</v>
      </c>
      <c r="D590" t="s">
        <v>5925</v>
      </c>
      <c r="G590" s="5" t="str">
        <f>CASOPOInvCL!I590</f>
        <v>Ian Trottier</v>
      </c>
      <c r="H590" s="31">
        <f>CASOPOInvCL!U590</f>
        <v>6</v>
      </c>
      <c r="I590" s="31">
        <f>CASOPOInvCL!V590</f>
        <v>2025</v>
      </c>
      <c r="J590" s="5" t="str">
        <f>CASOPOInvCL!AB590</f>
        <v>INV13054</v>
      </c>
      <c r="K590" s="31">
        <f>CASOPOInvCL!W590</f>
        <v>7</v>
      </c>
      <c r="L590" s="31">
        <f>CASOPOInvCL!X590</f>
        <v>2025</v>
      </c>
      <c r="M590">
        <v>2503</v>
      </c>
      <c r="N590" s="5" t="str">
        <f>CASOPOInvCL!AF590</f>
        <v>Motion Industries Inc. (U.S.) - Tucson</v>
      </c>
      <c r="O590" s="16" t="str">
        <f>CASOPOInvCL!AG590</f>
        <v>USD</v>
      </c>
      <c r="P590" s="16">
        <f>CASOPOInvCL!AH590</f>
        <v>227.91188606443416</v>
      </c>
      <c r="Q590" s="16">
        <f>CASOPOInvCL!AI590</f>
        <v>166.08</v>
      </c>
      <c r="R590" s="32" t="str">
        <f>CASOPOInvCL!AU590</f>
        <v>Yes</v>
      </c>
      <c r="S590" s="16">
        <f>CASOPOInvCL!AV590</f>
        <v>0</v>
      </c>
      <c r="T590" s="16">
        <f>CASOPOInvCL!AW590</f>
        <v>166.08</v>
      </c>
      <c r="V590" t="s">
        <v>5800</v>
      </c>
      <c r="Y590" s="29" t="str">
        <f>IFERROR(HLOOKUP(U590,List!$D$2:$H$6,2,FALSE),"")</f>
        <v/>
      </c>
      <c r="Z590" s="29">
        <f>IFERROR(HLOOKUP(V590,List!$D$2:$H$6,3,FALSE),"")</f>
        <v>5.0000000000000001E-3</v>
      </c>
      <c r="AA590" s="29" t="str">
        <f>IFERROR(HLOOKUP(W590,List!$D$2:$H$6,4,FALSE),"")</f>
        <v/>
      </c>
      <c r="AB590" s="29" t="str">
        <f>IFERROR(HLOOKUP(X590,List!$D$2:$H$6,5,FALSE),"")</f>
        <v/>
      </c>
      <c r="AC590" s="12" t="str">
        <f t="shared" si="148"/>
        <v/>
      </c>
      <c r="AD590" s="12">
        <f t="shared" si="149"/>
        <v>0.83040000000000003</v>
      </c>
      <c r="AE590" s="12" t="str">
        <f t="shared" si="150"/>
        <v/>
      </c>
      <c r="AF590" s="12" t="str">
        <f t="shared" si="151"/>
        <v/>
      </c>
      <c r="AG590" t="str">
        <f>VLOOKUP(J590,'Receivable Invoice Detail'!$A$1:F3602,6,FALSE)</f>
        <v>[G-73705X 2229] Shaft Sleeve, 3196 MTX, 316SS</v>
      </c>
      <c r="AH590" s="12">
        <f t="shared" ref="AH590:AH591" si="161">SUM(AC590:AF590)</f>
        <v>0.83040000000000003</v>
      </c>
      <c r="AM590" s="12" t="str">
        <f t="shared" si="153"/>
        <v/>
      </c>
      <c r="AN590" s="12">
        <f t="shared" si="154"/>
        <v>0.83040000000000003</v>
      </c>
      <c r="AO590" s="12" t="str">
        <f t="shared" si="155"/>
        <v/>
      </c>
      <c r="AP590" s="12" t="str">
        <f t="shared" si="156"/>
        <v/>
      </c>
      <c r="AQ590" s="64">
        <v>2503</v>
      </c>
      <c r="AR590" t="s">
        <v>5932</v>
      </c>
      <c r="AS590" s="12">
        <f t="shared" si="158"/>
        <v>2.9434926166297233</v>
      </c>
      <c r="AT590" s="16" t="str">
        <f t="shared" si="160"/>
        <v>Yes</v>
      </c>
    </row>
    <row r="591" spans="1:46" hidden="1" x14ac:dyDescent="0.25">
      <c r="A591" s="41">
        <f>CASOPOInvCL!T591</f>
        <v>1</v>
      </c>
      <c r="B591" t="str">
        <f>CASOPOInvCL!Z591</f>
        <v>SO17278</v>
      </c>
      <c r="G591" s="5" t="str">
        <f>CASOPOInvCL!I591</f>
        <v>Ian Trottier</v>
      </c>
      <c r="H591" s="31">
        <f>CASOPOInvCL!U591</f>
        <v>6</v>
      </c>
      <c r="I591" s="31">
        <f>CASOPOInvCL!V591</f>
        <v>2025</v>
      </c>
      <c r="J591" s="5" t="str">
        <f>CASOPOInvCL!AB591</f>
        <v>INV13131</v>
      </c>
      <c r="K591" s="31" t="str">
        <f>CASOPOInvCL!W591</f>
        <v/>
      </c>
      <c r="L591" s="31" t="str">
        <f>CASOPOInvCL!X591</f>
        <v/>
      </c>
      <c r="M591" s="31"/>
      <c r="N591" s="5" t="str">
        <f>CASOPOInvCL!AF591</f>
        <v>Resolute Forest Products - Clermont</v>
      </c>
      <c r="O591" s="16" t="str">
        <f>CASOPOInvCL!AG591</f>
        <v>CAD</v>
      </c>
      <c r="P591" s="16">
        <f>CASOPOInvCL!AH591</f>
        <v>0</v>
      </c>
      <c r="Q591" s="16">
        <f>CASOPOInvCL!AI591</f>
        <v>0</v>
      </c>
      <c r="R591" s="32" t="str">
        <f>CASOPOInvCL!AU591</f>
        <v/>
      </c>
      <c r="S591" s="16">
        <f>CASOPOInvCL!AV591</f>
        <v>0</v>
      </c>
      <c r="T591" s="16">
        <f>CASOPOInvCL!AW591</f>
        <v>0</v>
      </c>
      <c r="Y591" s="29" t="str">
        <f>IFERROR(HLOOKUP(U591,List!$D$2:$H$6,2,FALSE),"")</f>
        <v/>
      </c>
      <c r="Z591" s="29" t="str">
        <f>IFERROR(HLOOKUP(V591,List!$D$2:$H$6,3,FALSE),"")</f>
        <v/>
      </c>
      <c r="AA591" s="29" t="str">
        <f>IFERROR(HLOOKUP(W591,List!$D$2:$H$6,4,FALSE),"")</f>
        <v/>
      </c>
      <c r="AB591" s="29" t="str">
        <f>IFERROR(HLOOKUP(X591,List!$D$2:$H$6,5,FALSE),"")</f>
        <v/>
      </c>
      <c r="AC591" s="12" t="str">
        <f t="shared" si="148"/>
        <v/>
      </c>
      <c r="AD591" s="12" t="str">
        <f t="shared" si="149"/>
        <v/>
      </c>
      <c r="AE591" s="12" t="str">
        <f t="shared" si="150"/>
        <v/>
      </c>
      <c r="AF591" s="12" t="str">
        <f t="shared" si="151"/>
        <v/>
      </c>
      <c r="AG591" t="e">
        <f>VLOOKUP(J591,'Receivable Invoice Detail'!$A$1:F3603,6,FALSE)</f>
        <v>#N/A</v>
      </c>
      <c r="AH591" s="12">
        <f t="shared" si="161"/>
        <v>0</v>
      </c>
      <c r="AM591" s="12" t="str">
        <f t="shared" si="153"/>
        <v/>
      </c>
      <c r="AN591" s="12" t="str">
        <f t="shared" si="154"/>
        <v/>
      </c>
      <c r="AO591" s="12" t="str">
        <f t="shared" si="155"/>
        <v/>
      </c>
      <c r="AP591" s="12" t="str">
        <f t="shared" si="156"/>
        <v/>
      </c>
      <c r="AQ591" s="12"/>
      <c r="AS591" s="12">
        <f t="shared" si="158"/>
        <v>3.4521791023708146</v>
      </c>
      <c r="AT591" s="16" t="str">
        <f t="shared" si="160"/>
        <v/>
      </c>
    </row>
    <row r="592" spans="1:46" hidden="1" x14ac:dyDescent="0.25">
      <c r="A592" s="41">
        <f>CASOPOInvCL!T592</f>
        <v>1</v>
      </c>
      <c r="B592" t="str">
        <f>CASOPOInvCL!Z592</f>
        <v>SO17282</v>
      </c>
      <c r="D592" t="s">
        <v>5925</v>
      </c>
      <c r="G592" s="5" t="str">
        <f>CASOPOInvCL!I592</f>
        <v>Ian Trottier</v>
      </c>
      <c r="H592" s="31">
        <f>CASOPOInvCL!U592</f>
        <v>6</v>
      </c>
      <c r="I592" s="31">
        <f>CASOPOInvCL!V592</f>
        <v>2025</v>
      </c>
      <c r="J592" s="5" t="str">
        <f>CASOPOInvCL!AB592</f>
        <v>INV13087</v>
      </c>
      <c r="K592" s="31">
        <f>CASOPOInvCL!W592</f>
        <v>8</v>
      </c>
      <c r="L592" s="31">
        <f>CASOPOInvCL!X592</f>
        <v>2025</v>
      </c>
      <c r="M592">
        <v>2503</v>
      </c>
      <c r="N592" s="5" t="str">
        <f>CASOPOInvCL!AF592</f>
        <v>Resolute Forest Products - Dolbeau</v>
      </c>
      <c r="O592" s="16" t="str">
        <f>CASOPOInvCL!AG592</f>
        <v>CAD</v>
      </c>
      <c r="P592" s="16">
        <f>CASOPOInvCL!AH592</f>
        <v>147.56</v>
      </c>
      <c r="Q592" s="16">
        <f>CASOPOInvCL!AI592</f>
        <v>107.92842832007207</v>
      </c>
      <c r="R592" s="32" t="str">
        <f>CASOPOInvCL!AU592</f>
        <v>Yes</v>
      </c>
      <c r="S592" s="16">
        <f>CASOPOInvCL!AV592</f>
        <v>0</v>
      </c>
      <c r="T592" s="16">
        <f>CASOPOInvCL!AW592</f>
        <v>107.92842832007207</v>
      </c>
      <c r="V592" t="s">
        <v>5800</v>
      </c>
      <c r="Y592" s="29" t="str">
        <f>IFERROR(HLOOKUP(U592,List!$D$2:$H$6,2,FALSE),"")</f>
        <v/>
      </c>
      <c r="Z592" s="29">
        <f>IFERROR(HLOOKUP(V592,List!$D$2:$H$6,3,FALSE),"")</f>
        <v>5.0000000000000001E-3</v>
      </c>
      <c r="AA592" s="29" t="str">
        <f>IFERROR(HLOOKUP(W592,List!$D$2:$H$6,4,FALSE),"")</f>
        <v/>
      </c>
      <c r="AB592" s="29" t="str">
        <f>IFERROR(HLOOKUP(X592,List!$D$2:$H$6,5,FALSE),"")</f>
        <v/>
      </c>
      <c r="AC592" s="12" t="str">
        <f t="shared" si="148"/>
        <v/>
      </c>
      <c r="AD592" s="12">
        <f t="shared" si="149"/>
        <v>0.53964214160036039</v>
      </c>
      <c r="AE592" s="12" t="str">
        <f t="shared" si="150"/>
        <v/>
      </c>
      <c r="AF592" s="12" t="str">
        <f t="shared" si="151"/>
        <v/>
      </c>
      <c r="AG592" t="str">
        <f>VLOOKUP(J592,'Receivable Invoice Detail'!$A$1:F3604,6,FALSE)</f>
        <v>[WO-9070000-012] Casing Gasket, 18", Worthington FRBH</v>
      </c>
      <c r="AM592" s="12" t="str">
        <f t="shared" si="153"/>
        <v/>
      </c>
      <c r="AN592" s="12">
        <f t="shared" si="154"/>
        <v>0.53964214160036039</v>
      </c>
      <c r="AO592" s="12" t="str">
        <f t="shared" si="155"/>
        <v/>
      </c>
      <c r="AP592" s="12" t="str">
        <f t="shared" si="156"/>
        <v/>
      </c>
      <c r="AQ592" s="64">
        <v>2503</v>
      </c>
      <c r="AR592" t="s">
        <v>5932</v>
      </c>
      <c r="AS592" s="12">
        <f t="shared" si="158"/>
        <v>2.4912000000000001</v>
      </c>
      <c r="AT592" s="16" t="str">
        <f t="shared" si="160"/>
        <v>Yes</v>
      </c>
    </row>
    <row r="593" spans="1:46" hidden="1" x14ac:dyDescent="0.25">
      <c r="A593" s="41">
        <f>CASOPOInvCL!T593</f>
        <v>1</v>
      </c>
      <c r="B593" t="str">
        <f>CASOPOInvCL!Z593</f>
        <v>SO17283</v>
      </c>
      <c r="D593" t="s">
        <v>5925</v>
      </c>
      <c r="G593" s="5" t="str">
        <f>CASOPOInvCL!I593</f>
        <v>Ian Trottier</v>
      </c>
      <c r="H593" s="31">
        <f>CASOPOInvCL!U593</f>
        <v>6</v>
      </c>
      <c r="I593" s="31">
        <f>CASOPOInvCL!V593</f>
        <v>2025</v>
      </c>
      <c r="J593" s="5" t="str">
        <f>CASOPOInvCL!AB593</f>
        <v>INV13076</v>
      </c>
      <c r="K593" s="31">
        <f>CASOPOInvCL!W593</f>
        <v>8</v>
      </c>
      <c r="L593" s="31">
        <f>CASOPOInvCL!X593</f>
        <v>2025</v>
      </c>
      <c r="M593">
        <v>2503</v>
      </c>
      <c r="N593" s="5" t="str">
        <f>CASOPOInvCL!AF593</f>
        <v>Resolute Forest Products - Saint-Felicien</v>
      </c>
      <c r="O593" s="16" t="str">
        <f>CASOPOInvCL!AG593</f>
        <v>CAD</v>
      </c>
      <c r="P593" s="16">
        <f>CASOPOInvCL!AH593</f>
        <v>236.55</v>
      </c>
      <c r="Q593" s="16">
        <f>CASOPOInvCL!AI593</f>
        <v>173.0794962136433</v>
      </c>
      <c r="R593" s="32" t="str">
        <f>CASOPOInvCL!AU593</f>
        <v>Yes</v>
      </c>
      <c r="S593" s="16">
        <f>CASOPOInvCL!AV593</f>
        <v>0</v>
      </c>
      <c r="T593" s="16">
        <f>CASOPOInvCL!AW593</f>
        <v>173.0794962136433</v>
      </c>
      <c r="V593" t="s">
        <v>5800</v>
      </c>
      <c r="Y593" s="29" t="str">
        <f>IFERROR(HLOOKUP(U593,List!$D$2:$H$6,2,FALSE),"")</f>
        <v/>
      </c>
      <c r="Z593" s="29">
        <f>IFERROR(HLOOKUP(V593,List!$D$2:$H$6,3,FALSE),"")</f>
        <v>5.0000000000000001E-3</v>
      </c>
      <c r="AA593" s="29" t="str">
        <f>IFERROR(HLOOKUP(W593,List!$D$2:$H$6,4,FALSE),"")</f>
        <v/>
      </c>
      <c r="AB593" s="29" t="str">
        <f>IFERROR(HLOOKUP(X593,List!$D$2:$H$6,5,FALSE),"")</f>
        <v/>
      </c>
      <c r="AC593" s="12" t="str">
        <f t="shared" si="148"/>
        <v/>
      </c>
      <c r="AD593" s="12">
        <f t="shared" si="149"/>
        <v>0.86539748106821646</v>
      </c>
      <c r="AE593" s="12" t="str">
        <f t="shared" si="150"/>
        <v/>
      </c>
      <c r="AF593" s="12" t="str">
        <f t="shared" si="151"/>
        <v/>
      </c>
      <c r="AG593" t="str">
        <f>VLOOKUP(J593,'Receivable Invoice Detail'!$A$1:F3605,6,FALSE)</f>
        <v>[OLPWZ011003B, G-A04951A216] Bearing Isolator (Inboard), 3196 STX/STi, 303SS Rotor / Bronze Stator w/Viton</v>
      </c>
      <c r="AM593" s="12" t="str">
        <f t="shared" si="153"/>
        <v/>
      </c>
      <c r="AN593" s="12">
        <f t="shared" si="154"/>
        <v>0.86539748106821646</v>
      </c>
      <c r="AO593" s="12" t="str">
        <f t="shared" si="155"/>
        <v/>
      </c>
      <c r="AP593" s="12" t="str">
        <f t="shared" si="156"/>
        <v/>
      </c>
      <c r="AQ593" s="64">
        <v>2503</v>
      </c>
      <c r="AR593" t="s">
        <v>5932</v>
      </c>
      <c r="AS593" s="12">
        <f t="shared" si="158"/>
        <v>0</v>
      </c>
      <c r="AT593" s="16" t="str">
        <f t="shared" si="160"/>
        <v>Yes</v>
      </c>
    </row>
    <row r="594" spans="1:46" hidden="1" x14ac:dyDescent="0.25">
      <c r="A594" s="41">
        <f>CASOPOInvCL!T594</f>
        <v>1</v>
      </c>
      <c r="B594" t="str">
        <f>CASOPOInvCL!Z594</f>
        <v>SO17284</v>
      </c>
      <c r="G594" s="5" t="str">
        <f>CASOPOInvCL!I594</f>
        <v>Ian Trottier</v>
      </c>
      <c r="H594" s="31">
        <f>CASOPOInvCL!U594</f>
        <v>6</v>
      </c>
      <c r="I594" s="31">
        <f>CASOPOInvCL!V594</f>
        <v>2025</v>
      </c>
      <c r="J594" s="5" t="str">
        <f>CASOPOInvCL!AB594</f>
        <v>INV13132</v>
      </c>
      <c r="K594" s="31" t="str">
        <f>CASOPOInvCL!W594</f>
        <v/>
      </c>
      <c r="L594" s="31" t="str">
        <f>CASOPOInvCL!X594</f>
        <v/>
      </c>
      <c r="M594" s="31"/>
      <c r="N594" s="5" t="str">
        <f>CASOPOInvCL!AF594</f>
        <v>Resolute Forest Products - Clermont</v>
      </c>
      <c r="O594" s="16" t="str">
        <f>CASOPOInvCL!AG594</f>
        <v>CAD</v>
      </c>
      <c r="P594" s="16">
        <f>CASOPOInvCL!AH594</f>
        <v>0</v>
      </c>
      <c r="Q594" s="16">
        <f>CASOPOInvCL!AI594</f>
        <v>0</v>
      </c>
      <c r="R594" s="32" t="str">
        <f>CASOPOInvCL!AU594</f>
        <v/>
      </c>
      <c r="S594" s="16">
        <f>CASOPOInvCL!AV594</f>
        <v>0</v>
      </c>
      <c r="T594" s="16">
        <f>CASOPOInvCL!AW594</f>
        <v>0</v>
      </c>
      <c r="Y594" s="29" t="str">
        <f>IFERROR(HLOOKUP(U594,List!$D$2:$H$6,2,FALSE),"")</f>
        <v/>
      </c>
      <c r="Z594" s="29" t="str">
        <f>IFERROR(HLOOKUP(V594,List!$D$2:$H$6,3,FALSE),"")</f>
        <v/>
      </c>
      <c r="AA594" s="29" t="str">
        <f>IFERROR(HLOOKUP(W594,List!$D$2:$H$6,4,FALSE),"")</f>
        <v/>
      </c>
      <c r="AB594" s="29" t="str">
        <f>IFERROR(HLOOKUP(X594,List!$D$2:$H$6,5,FALSE),"")</f>
        <v/>
      </c>
      <c r="AC594" s="12" t="str">
        <f t="shared" si="148"/>
        <v/>
      </c>
      <c r="AD594" s="12" t="str">
        <f t="shared" si="149"/>
        <v/>
      </c>
      <c r="AE594" s="12" t="str">
        <f t="shared" si="150"/>
        <v/>
      </c>
      <c r="AF594" s="12" t="str">
        <f t="shared" si="151"/>
        <v/>
      </c>
      <c r="AG594" t="e">
        <f>VLOOKUP(J594,'Receivable Invoice Detail'!$A$1:F3606,6,FALSE)</f>
        <v>#N/A</v>
      </c>
      <c r="AH594" s="12">
        <f t="shared" ref="AH594" si="162">SUM(AC594:AF594)</f>
        <v>0</v>
      </c>
      <c r="AM594" s="12" t="str">
        <f t="shared" si="153"/>
        <v/>
      </c>
      <c r="AN594" s="12" t="str">
        <f t="shared" si="154"/>
        <v/>
      </c>
      <c r="AO594" s="12" t="str">
        <f t="shared" si="155"/>
        <v/>
      </c>
      <c r="AP594" s="12" t="str">
        <f t="shared" si="156"/>
        <v/>
      </c>
      <c r="AQ594" s="12"/>
      <c r="AS594" s="12">
        <f t="shared" si="158"/>
        <v>1.6189264248010811</v>
      </c>
      <c r="AT594" s="16" t="str">
        <f t="shared" si="160"/>
        <v/>
      </c>
    </row>
    <row r="595" spans="1:46" hidden="1" x14ac:dyDescent="0.25">
      <c r="A595" s="41">
        <f>CASOPOInvCL!T595</f>
        <v>1</v>
      </c>
      <c r="B595" t="str">
        <f>CASOPOInvCL!Z595</f>
        <v>SO17285</v>
      </c>
      <c r="G595" s="5" t="str">
        <f>CASOPOInvCL!I595</f>
        <v>Ian Trottier</v>
      </c>
      <c r="H595" s="31">
        <f>CASOPOInvCL!U595</f>
        <v>6</v>
      </c>
      <c r="I595" s="31">
        <f>CASOPOInvCL!V595</f>
        <v>2025</v>
      </c>
      <c r="J595" s="5" t="str">
        <f>CASOPOInvCL!AB595</f>
        <v>INV13544</v>
      </c>
      <c r="K595" s="31">
        <f>CASOPOInvCL!W595</f>
        <v>11</v>
      </c>
      <c r="L595" s="31">
        <f>CASOPOInvCL!X595</f>
        <v>2025</v>
      </c>
      <c r="M595" s="31"/>
      <c r="N595" s="5" t="str">
        <f>CASOPOInvCL!AF595</f>
        <v>DRN Industriel</v>
      </c>
      <c r="O595" s="16" t="str">
        <f>CASOPOInvCL!AG595</f>
        <v>CAD</v>
      </c>
      <c r="P595" s="16">
        <f>CASOPOInvCL!AH595</f>
        <v>273.10000000000002</v>
      </c>
      <c r="Q595" s="16">
        <f>CASOPOInvCL!AI595</f>
        <v>194.64506277227406</v>
      </c>
      <c r="R595" s="32" t="str">
        <f>CASOPOInvCL!AU595</f>
        <v>Yes</v>
      </c>
      <c r="S595" s="16">
        <f>CASOPOInvCL!AV595</f>
        <v>0</v>
      </c>
      <c r="T595" s="16">
        <f>CASOPOInvCL!AW595</f>
        <v>194.64506277227406</v>
      </c>
      <c r="Y595" s="29" t="str">
        <f>IFERROR(HLOOKUP(U595,List!$D$2:$H$6,2,FALSE),"")</f>
        <v/>
      </c>
      <c r="Z595" s="29" t="str">
        <f>IFERROR(HLOOKUP(V595,List!$D$2:$H$6,3,FALSE),"")</f>
        <v/>
      </c>
      <c r="AA595" s="29" t="str">
        <f>IFERROR(HLOOKUP(W595,List!$D$2:$H$6,4,FALSE),"")</f>
        <v/>
      </c>
      <c r="AB595" s="29" t="str">
        <f>IFERROR(HLOOKUP(X595,List!$D$2:$H$6,5,FALSE),"")</f>
        <v/>
      </c>
      <c r="AC595" s="12" t="str">
        <f t="shared" si="148"/>
        <v/>
      </c>
      <c r="AD595" s="12" t="str">
        <f t="shared" si="149"/>
        <v/>
      </c>
      <c r="AE595" s="12" t="str">
        <f t="shared" si="150"/>
        <v/>
      </c>
      <c r="AF595" s="12" t="str">
        <f t="shared" si="151"/>
        <v/>
      </c>
      <c r="AG595" t="str">
        <f>VLOOKUP(J595,'Receivable Invoice Detail'!$A$1:F3607,6,FALSE)</f>
        <v>[AC-98-232-857-802] Shim Set, A-C PWO-C Group 2, Plastic</v>
      </c>
      <c r="AM595" s="12" t="str">
        <f t="shared" si="153"/>
        <v/>
      </c>
      <c r="AN595" s="12" t="str">
        <f t="shared" si="154"/>
        <v/>
      </c>
      <c r="AO595" s="12" t="str">
        <f t="shared" si="155"/>
        <v/>
      </c>
      <c r="AP595" s="12" t="str">
        <f t="shared" si="156"/>
        <v/>
      </c>
      <c r="AQ595" s="12"/>
      <c r="AS595" s="12">
        <f t="shared" si="158"/>
        <v>2.5961924432046493</v>
      </c>
      <c r="AT595" s="16" t="s">
        <v>5940</v>
      </c>
    </row>
    <row r="596" spans="1:46" hidden="1" x14ac:dyDescent="0.25">
      <c r="A596" s="41">
        <f>CASOPOInvCL!T596</f>
        <v>1</v>
      </c>
      <c r="B596" t="str">
        <f>CASOPOInvCL!Z596</f>
        <v>SO17286</v>
      </c>
      <c r="D596" t="s">
        <v>5925</v>
      </c>
      <c r="G596" s="5" t="str">
        <f>CASOPOInvCL!I596</f>
        <v>Ian Trottier</v>
      </c>
      <c r="H596" s="31">
        <f>CASOPOInvCL!U596</f>
        <v>6</v>
      </c>
      <c r="I596" s="31">
        <f>CASOPOInvCL!V596</f>
        <v>2025</v>
      </c>
      <c r="J596" s="5" t="str">
        <f>CASOPOInvCL!AB596</f>
        <v>INV13078</v>
      </c>
      <c r="K596" s="31">
        <f>CASOPOInvCL!W596</f>
        <v>7</v>
      </c>
      <c r="L596" s="31">
        <f>CASOPOInvCL!X596</f>
        <v>2025</v>
      </c>
      <c r="M596">
        <v>2503</v>
      </c>
      <c r="N596" s="5" t="str">
        <f>CASOPOInvCL!AF596</f>
        <v>Wajax Limited - Pointe-aux-Trembles</v>
      </c>
      <c r="O596" s="16" t="str">
        <f>CASOPOInvCL!AG596</f>
        <v>CAD</v>
      </c>
      <c r="P596" s="16">
        <f>CASOPOInvCL!AH596</f>
        <v>846.78</v>
      </c>
      <c r="Q596" s="16">
        <f>CASOPOInvCL!AI596</f>
        <v>619.13327081249929</v>
      </c>
      <c r="R596" s="32" t="str">
        <f>CASOPOInvCL!AU596</f>
        <v>Yes</v>
      </c>
      <c r="S596" s="16">
        <f>CASOPOInvCL!AV596</f>
        <v>0</v>
      </c>
      <c r="T596" s="16">
        <f>CASOPOInvCL!AW596</f>
        <v>619.13327081249929</v>
      </c>
      <c r="V596" t="s">
        <v>5800</v>
      </c>
      <c r="Y596" s="29" t="str">
        <f>IFERROR(HLOOKUP(U596,List!$D$2:$H$6,2,FALSE),"")</f>
        <v/>
      </c>
      <c r="Z596" s="29">
        <f>IFERROR(HLOOKUP(V596,List!$D$2:$H$6,3,FALSE),"")</f>
        <v>5.0000000000000001E-3</v>
      </c>
      <c r="AA596" s="29" t="str">
        <f>IFERROR(HLOOKUP(W596,List!$D$2:$H$6,4,FALSE),"")</f>
        <v/>
      </c>
      <c r="AB596" s="29" t="str">
        <f>IFERROR(HLOOKUP(X596,List!$D$2:$H$6,5,FALSE),"")</f>
        <v/>
      </c>
      <c r="AC596" s="12" t="str">
        <f t="shared" si="148"/>
        <v/>
      </c>
      <c r="AD596" s="12">
        <f t="shared" si="149"/>
        <v>3.0956663540624967</v>
      </c>
      <c r="AE596" s="12" t="str">
        <f t="shared" si="150"/>
        <v/>
      </c>
      <c r="AF596" s="12" t="str">
        <f t="shared" si="151"/>
        <v/>
      </c>
      <c r="AG596" t="str">
        <f>VLOOKUP(J596,'Receivable Invoice Detail'!$A$1:F3608,6,FALSE)</f>
        <v>[AC-98-331-954-801] Bearing Cover (Inboard), 5x4/5x5/6x6 SRL &amp; SRL-C, Cast Iron</v>
      </c>
      <c r="AH596" s="12">
        <f t="shared" ref="AH596:AH597" si="163">SUM(AC596:AF596)</f>
        <v>3.0956663540624967</v>
      </c>
      <c r="AM596" s="12" t="str">
        <f t="shared" si="153"/>
        <v/>
      </c>
      <c r="AN596" s="12">
        <f t="shared" si="154"/>
        <v>3.0956663540624967</v>
      </c>
      <c r="AO596" s="12" t="str">
        <f t="shared" si="155"/>
        <v/>
      </c>
      <c r="AP596" s="12" t="str">
        <f t="shared" si="156"/>
        <v/>
      </c>
      <c r="AQ596" s="64">
        <v>2503</v>
      </c>
      <c r="AR596" t="s">
        <v>5932</v>
      </c>
      <c r="AS596" s="12">
        <f t="shared" si="158"/>
        <v>0</v>
      </c>
      <c r="AT596" s="16" t="str">
        <f t="shared" si="160"/>
        <v>Yes</v>
      </c>
    </row>
    <row r="597" spans="1:46" hidden="1" x14ac:dyDescent="0.25">
      <c r="A597" s="41">
        <f>CASOPOInvCL!T597</f>
        <v>1</v>
      </c>
      <c r="B597" t="str">
        <f>CASOPOInvCL!Z597</f>
        <v>SO17289</v>
      </c>
      <c r="G597" s="5" t="str">
        <f>CASOPOInvCL!I597</f>
        <v>Yannett Yeomans</v>
      </c>
      <c r="H597" s="31">
        <f>CASOPOInvCL!U597</f>
        <v>6</v>
      </c>
      <c r="I597" s="31">
        <f>CASOPOInvCL!V597</f>
        <v>2025</v>
      </c>
      <c r="J597" s="5" t="str">
        <f>CASOPOInvCL!AB597</f>
        <v>INV13316</v>
      </c>
      <c r="K597" s="31" t="str">
        <f>CASOPOInvCL!W597</f>
        <v/>
      </c>
      <c r="L597" s="31" t="str">
        <f>CASOPOInvCL!X597</f>
        <v/>
      </c>
      <c r="M597" s="31"/>
      <c r="N597" s="5" t="str">
        <f>CASOPOInvCL!AF597</f>
        <v>Dynapro Pumps México S de RL de CV</v>
      </c>
      <c r="O597" s="16" t="str">
        <f>CASOPOInvCL!AG597</f>
        <v>USD</v>
      </c>
      <c r="P597" s="16">
        <f>CASOPOInvCL!AH597</f>
        <v>3459.0219260199337</v>
      </c>
      <c r="Q597" s="16">
        <f>CASOPOInvCL!AI597</f>
        <v>2530</v>
      </c>
      <c r="R597" s="32" t="str">
        <f>CASOPOInvCL!AU597</f>
        <v/>
      </c>
      <c r="S597" s="16">
        <f>CASOPOInvCL!AV597</f>
        <v>0</v>
      </c>
      <c r="T597" s="16">
        <f>CASOPOInvCL!AW597</f>
        <v>0</v>
      </c>
      <c r="Y597" s="29" t="str">
        <f>IFERROR(HLOOKUP(U597,List!$D$2:$H$6,2,FALSE),"")</f>
        <v/>
      </c>
      <c r="Z597" s="29" t="str">
        <f>IFERROR(HLOOKUP(V597,List!$D$2:$H$6,3,FALSE),"")</f>
        <v/>
      </c>
      <c r="AA597" s="29" t="str">
        <f>IFERROR(HLOOKUP(W597,List!$D$2:$H$6,4,FALSE),"")</f>
        <v/>
      </c>
      <c r="AB597" s="29" t="str">
        <f>IFERROR(HLOOKUP(X597,List!$D$2:$H$6,5,FALSE),"")</f>
        <v/>
      </c>
      <c r="AC597" s="12" t="str">
        <f t="shared" si="148"/>
        <v/>
      </c>
      <c r="AD597" s="12" t="str">
        <f t="shared" si="149"/>
        <v/>
      </c>
      <c r="AE597" s="12" t="str">
        <f t="shared" si="150"/>
        <v/>
      </c>
      <c r="AF597" s="12" t="str">
        <f t="shared" si="151"/>
        <v/>
      </c>
      <c r="AG597" t="str">
        <f>VLOOKUP(J597,'Receivable Invoice Detail'!$A$1:F3609,6,FALSE)</f>
        <v>[10257/1501] Adjusting Nut, 11CLC-7, Carbon Steel</v>
      </c>
      <c r="AH597" s="12">
        <f t="shared" si="163"/>
        <v>0</v>
      </c>
      <c r="AM597" s="12" t="str">
        <f t="shared" si="153"/>
        <v/>
      </c>
      <c r="AN597" s="12" t="str">
        <f t="shared" si="154"/>
        <v/>
      </c>
      <c r="AO597" s="12" t="str">
        <f t="shared" si="155"/>
        <v/>
      </c>
      <c r="AP597" s="12" t="str">
        <f t="shared" si="156"/>
        <v/>
      </c>
      <c r="AQ597" s="12"/>
      <c r="AR597" s="16" t="s">
        <v>5940</v>
      </c>
      <c r="AS597" s="12">
        <f t="shared" si="158"/>
        <v>2.9196759415841109</v>
      </c>
      <c r="AT597" s="16" t="str">
        <f t="shared" si="160"/>
        <v/>
      </c>
    </row>
    <row r="598" spans="1:46" hidden="1" x14ac:dyDescent="0.25">
      <c r="A598" s="41">
        <f>CASOPOInvCL!T598</f>
        <v>2</v>
      </c>
      <c r="B598" t="str">
        <f>CASOPOInvCL!Z598</f>
        <v>SO17291</v>
      </c>
      <c r="D598" t="s">
        <v>5925</v>
      </c>
      <c r="G598" s="5" t="str">
        <f>CASOPOInvCL!I598</f>
        <v>Ian Trottier</v>
      </c>
      <c r="H598" s="31">
        <f>CASOPOInvCL!U598</f>
        <v>6</v>
      </c>
      <c r="I598" s="31">
        <f>CASOPOInvCL!V598</f>
        <v>2025</v>
      </c>
      <c r="J598" s="5" t="str">
        <f>CASOPOInvCL!AB598</f>
        <v>INV13138</v>
      </c>
      <c r="K598" s="31">
        <f>CASOPOInvCL!W598</f>
        <v>8</v>
      </c>
      <c r="L598" s="31">
        <f>CASOPOInvCL!X598</f>
        <v>2025</v>
      </c>
      <c r="M598">
        <v>2503</v>
      </c>
      <c r="N598" s="5" t="str">
        <f>CASOPOInvCL!AF598</f>
        <v>EcoVac Solutions Ltd.</v>
      </c>
      <c r="O598" s="16" t="str">
        <f>CASOPOInvCL!AG598</f>
        <v>CAD</v>
      </c>
      <c r="P598" s="16">
        <f>CASOPOInvCL!AH598</f>
        <v>7778.63</v>
      </c>
      <c r="Q598" s="16">
        <f>CASOPOInvCL!AI598</f>
        <v>5691.4874725526615</v>
      </c>
      <c r="R598" s="32" t="str">
        <f>CASOPOInvCL!AU598</f>
        <v>Yes</v>
      </c>
      <c r="S598" s="16">
        <f>CASOPOInvCL!AV598</f>
        <v>0</v>
      </c>
      <c r="T598" s="16">
        <f>CASOPOInvCL!AW598</f>
        <v>5691.4874725526615</v>
      </c>
      <c r="V598" t="s">
        <v>5800</v>
      </c>
      <c r="Y598" s="29" t="str">
        <f>IFERROR(HLOOKUP(U598,List!$D$2:$H$6,2,FALSE),"")</f>
        <v/>
      </c>
      <c r="Z598" s="29">
        <f>IFERROR(HLOOKUP(V598,List!$D$2:$H$6,3,FALSE),"")</f>
        <v>5.0000000000000001E-3</v>
      </c>
      <c r="AA598" s="29" t="str">
        <f>IFERROR(HLOOKUP(W598,List!$D$2:$H$6,4,FALSE),"")</f>
        <v/>
      </c>
      <c r="AB598" s="29" t="str">
        <f>IFERROR(HLOOKUP(X598,List!$D$2:$H$6,5,FALSE),"")</f>
        <v/>
      </c>
      <c r="AC598" s="12" t="str">
        <f t="shared" si="148"/>
        <v/>
      </c>
      <c r="AD598" s="12">
        <f t="shared" si="149"/>
        <v>28.457437362763308</v>
      </c>
      <c r="AE598" s="12" t="str">
        <f t="shared" si="150"/>
        <v/>
      </c>
      <c r="AF598" s="12" t="str">
        <f t="shared" si="151"/>
        <v/>
      </c>
      <c r="AG598" t="str">
        <f>VLOOKUP(J598,'Receivable Invoice Detail'!$A$1:F3610,6,FALSE)</f>
        <v>[W-F064/S10] O-Ring Impeller Seal, 6/4 to 8/6 AH and 150 to 200 SV-SP, Nitrile</v>
      </c>
      <c r="AM598" s="12" t="str">
        <f t="shared" si="153"/>
        <v/>
      </c>
      <c r="AN598" s="12">
        <f t="shared" si="154"/>
        <v>28.457437362763308</v>
      </c>
      <c r="AO598" s="12" t="str">
        <f t="shared" si="155"/>
        <v/>
      </c>
      <c r="AP598" s="12" t="str">
        <f t="shared" si="156"/>
        <v/>
      </c>
      <c r="AQ598" s="64">
        <v>2503</v>
      </c>
      <c r="AR598" t="s">
        <v>5932</v>
      </c>
      <c r="AS598" s="12">
        <f t="shared" si="158"/>
        <v>9.2869990621874887</v>
      </c>
      <c r="AT598" s="16" t="str">
        <f t="shared" si="160"/>
        <v>Yes</v>
      </c>
    </row>
    <row r="599" spans="1:46" hidden="1" x14ac:dyDescent="0.25">
      <c r="A599" s="41">
        <f>CASOPOInvCL!T599</f>
        <v>2</v>
      </c>
      <c r="B599" t="str">
        <f>CASOPOInvCL!Z599</f>
        <v>SO17291</v>
      </c>
      <c r="D599" t="s">
        <v>5925</v>
      </c>
      <c r="G599" s="5">
        <f>CASOPOInvCL!I599</f>
        <v>0</v>
      </c>
      <c r="H599" s="31">
        <f>CASOPOInvCL!U599</f>
        <v>6</v>
      </c>
      <c r="I599" s="31">
        <f>CASOPOInvCL!V599</f>
        <v>2025</v>
      </c>
      <c r="J599" s="5" t="str">
        <f>CASOPOInvCL!AB599</f>
        <v>INV13311</v>
      </c>
      <c r="K599" s="31">
        <f>CASOPOInvCL!W599</f>
        <v>9</v>
      </c>
      <c r="L599" s="31">
        <f>CASOPOInvCL!X599</f>
        <v>2025</v>
      </c>
      <c r="M599">
        <v>2503</v>
      </c>
      <c r="N599" s="5" t="str">
        <f>CASOPOInvCL!AF599</f>
        <v>EcoVac Solutions Ltd.</v>
      </c>
      <c r="O599" s="16" t="str">
        <f>CASOPOInvCL!AG599</f>
        <v>CAD</v>
      </c>
      <c r="P599" s="16">
        <f>CASOPOInvCL!AH599</f>
        <v>0</v>
      </c>
      <c r="Q599" s="16">
        <f>CASOPOInvCL!AI599</f>
        <v>0</v>
      </c>
      <c r="R599" s="32" t="str">
        <f>CASOPOInvCL!AU599</f>
        <v/>
      </c>
      <c r="S599" s="16">
        <f>CASOPOInvCL!AV599</f>
        <v>0</v>
      </c>
      <c r="T599" s="16">
        <f>CASOPOInvCL!AW599</f>
        <v>0</v>
      </c>
      <c r="V599" t="s">
        <v>5800</v>
      </c>
      <c r="Y599" s="29" t="str">
        <f>IFERROR(HLOOKUP(U599,List!$D$2:$H$6,2,FALSE),"")</f>
        <v/>
      </c>
      <c r="Z599" s="29">
        <f>IFERROR(HLOOKUP(V599,List!$D$2:$H$6,3,FALSE),"")</f>
        <v>5.0000000000000001E-3</v>
      </c>
      <c r="AA599" s="29" t="str">
        <f>IFERROR(HLOOKUP(W599,List!$D$2:$H$6,4,FALSE),"")</f>
        <v/>
      </c>
      <c r="AB599" s="29" t="str">
        <f>IFERROR(HLOOKUP(X599,List!$D$2:$H$6,5,FALSE),"")</f>
        <v/>
      </c>
      <c r="AC599" s="12" t="str">
        <f t="shared" si="148"/>
        <v/>
      </c>
      <c r="AD599" s="12">
        <f t="shared" si="149"/>
        <v>0</v>
      </c>
      <c r="AE599" s="12" t="str">
        <f t="shared" si="150"/>
        <v/>
      </c>
      <c r="AF599" s="12" t="str">
        <f t="shared" si="151"/>
        <v/>
      </c>
      <c r="AG599" t="str">
        <f>VLOOKUP(J599,'Receivable Invoice Detail'!$A$1:F3611,6,FALSE)</f>
        <v>[W-E063HS1/P05] Lantern Ring (Hi-Seal), 6/4 to 8/6 E-AH, Ryton</v>
      </c>
      <c r="AM599" s="12" t="str">
        <f t="shared" si="153"/>
        <v/>
      </c>
      <c r="AN599" s="12">
        <f t="shared" si="154"/>
        <v>0</v>
      </c>
      <c r="AO599" s="12" t="str">
        <f t="shared" si="155"/>
        <v/>
      </c>
      <c r="AP599" s="12" t="str">
        <f t="shared" si="156"/>
        <v/>
      </c>
      <c r="AQ599" s="64">
        <v>2503</v>
      </c>
      <c r="AR599" t="s">
        <v>5932</v>
      </c>
      <c r="AS599" s="12">
        <f t="shared" si="158"/>
        <v>0</v>
      </c>
      <c r="AT599" s="16" t="str">
        <f t="shared" si="160"/>
        <v/>
      </c>
    </row>
    <row r="600" spans="1:46" hidden="1" x14ac:dyDescent="0.25">
      <c r="A600" s="41">
        <f>CASOPOInvCL!T600</f>
        <v>2</v>
      </c>
      <c r="B600" t="str">
        <f>CASOPOInvCL!Z600</f>
        <v>SO17293</v>
      </c>
      <c r="G600" s="5" t="str">
        <f>CASOPOInvCL!I600</f>
        <v>Ian Trottier</v>
      </c>
      <c r="H600" s="31">
        <f>CASOPOInvCL!U600</f>
        <v>6</v>
      </c>
      <c r="I600" s="31">
        <f>CASOPOInvCL!V600</f>
        <v>2025</v>
      </c>
      <c r="J600" s="5" t="str">
        <f>CASOPOInvCL!AB600</f>
        <v>INV13147</v>
      </c>
      <c r="K600" s="31">
        <f>CASOPOInvCL!W600</f>
        <v>7</v>
      </c>
      <c r="L600" s="31">
        <f>CASOPOInvCL!X600</f>
        <v>2025</v>
      </c>
      <c r="M600" s="31"/>
      <c r="N600" s="5" t="str">
        <f>CASOPOInvCL!AF600</f>
        <v>Jindal Drilling &amp; Industries Limited</v>
      </c>
      <c r="O600" s="16" t="str">
        <f>CASOPOInvCL!AG600</f>
        <v>USD</v>
      </c>
      <c r="P600" s="16">
        <f>CASOPOInvCL!AH600</f>
        <v>13638.311886808056</v>
      </c>
      <c r="Q600" s="16">
        <f>CASOPOInvCL!AI600</f>
        <v>9934.0499999999993</v>
      </c>
      <c r="R600" s="32" t="str">
        <f>CASOPOInvCL!AU600</f>
        <v>Yes</v>
      </c>
      <c r="S600" s="16">
        <f>CASOPOInvCL!AV600</f>
        <v>0</v>
      </c>
      <c r="T600" s="16">
        <f>CASOPOInvCL!AW600</f>
        <v>9934.0499999999993</v>
      </c>
      <c r="Y600" s="29" t="str">
        <f>IFERROR(HLOOKUP(U600,List!$D$2:$H$6,2,FALSE),"")</f>
        <v/>
      </c>
      <c r="Z600" s="29" t="str">
        <f>IFERROR(HLOOKUP(V600,List!$D$2:$H$6,3,FALSE),"")</f>
        <v/>
      </c>
      <c r="AA600" s="29" t="str">
        <f>IFERROR(HLOOKUP(W600,List!$D$2:$H$6,4,FALSE),"")</f>
        <v/>
      </c>
      <c r="AB600" s="29" t="str">
        <f>IFERROR(HLOOKUP(X600,List!$D$2:$H$6,5,FALSE),"")</f>
        <v/>
      </c>
      <c r="AC600" s="12" t="str">
        <f t="shared" si="148"/>
        <v/>
      </c>
      <c r="AD600" s="12" t="str">
        <f t="shared" si="149"/>
        <v/>
      </c>
      <c r="AE600" s="12" t="str">
        <f t="shared" si="150"/>
        <v/>
      </c>
      <c r="AF600" s="12" t="str">
        <f t="shared" si="151"/>
        <v/>
      </c>
      <c r="AG600" t="str">
        <f>VLOOKUP(J600,'Receivable Invoice Detail'!$A$1:F3612,6,FALSE)</f>
        <v>[D-PE3J-304] Shaft, Goulds JC Frame 3J, 4140 Steel</v>
      </c>
      <c r="AM600" s="12" t="str">
        <f t="shared" si="153"/>
        <v/>
      </c>
      <c r="AN600" s="12" t="str">
        <f t="shared" si="154"/>
        <v/>
      </c>
      <c r="AO600" s="12" t="str">
        <f t="shared" si="155"/>
        <v/>
      </c>
      <c r="AP600" s="12" t="str">
        <f t="shared" si="156"/>
        <v/>
      </c>
      <c r="AQ600" s="12"/>
      <c r="AS600" s="12">
        <f t="shared" si="158"/>
        <v>85.372312088289917</v>
      </c>
      <c r="AT600" s="16" t="str">
        <f t="shared" si="160"/>
        <v>Yes</v>
      </c>
    </row>
    <row r="601" spans="1:46" hidden="1" x14ac:dyDescent="0.25">
      <c r="A601" s="41">
        <f>CASOPOInvCL!T601</f>
        <v>2</v>
      </c>
      <c r="B601" t="str">
        <f>CASOPOInvCL!Z601</f>
        <v>SO17293</v>
      </c>
      <c r="G601" s="5">
        <f>CASOPOInvCL!I601</f>
        <v>0</v>
      </c>
      <c r="H601" s="31">
        <f>CASOPOInvCL!U601</f>
        <v>6</v>
      </c>
      <c r="I601" s="31">
        <f>CASOPOInvCL!V601</f>
        <v>2025</v>
      </c>
      <c r="J601" s="5" t="str">
        <f>CASOPOInvCL!AB601</f>
        <v>INV13289</v>
      </c>
      <c r="K601" s="31">
        <f>CASOPOInvCL!W601</f>
        <v>8</v>
      </c>
      <c r="L601" s="31">
        <f>CASOPOInvCL!X601</f>
        <v>2025</v>
      </c>
      <c r="M601" s="31"/>
      <c r="N601" s="5" t="str">
        <f>CASOPOInvCL!AF601</f>
        <v>Jindal Drilling &amp; Industries Limited</v>
      </c>
      <c r="O601" s="16" t="str">
        <f>CASOPOInvCL!AG601</f>
        <v>USD</v>
      </c>
      <c r="P601" s="16">
        <f>CASOPOInvCL!AH601</f>
        <v>0</v>
      </c>
      <c r="Q601" s="16">
        <f>CASOPOInvCL!AI601</f>
        <v>0</v>
      </c>
      <c r="R601" s="32" t="str">
        <f>CASOPOInvCL!AU601</f>
        <v/>
      </c>
      <c r="S601" s="16">
        <f>CASOPOInvCL!AV601</f>
        <v>0</v>
      </c>
      <c r="T601" s="16">
        <f>CASOPOInvCL!AW601</f>
        <v>0</v>
      </c>
      <c r="Y601" s="29" t="str">
        <f>IFERROR(HLOOKUP(U601,List!$D$2:$H$6,2,FALSE),"")</f>
        <v/>
      </c>
      <c r="Z601" s="29" t="str">
        <f>IFERROR(HLOOKUP(V601,List!$D$2:$H$6,3,FALSE),"")</f>
        <v/>
      </c>
      <c r="AA601" s="29" t="str">
        <f>IFERROR(HLOOKUP(W601,List!$D$2:$H$6,4,FALSE),"")</f>
        <v/>
      </c>
      <c r="AB601" s="29" t="str">
        <f>IFERROR(HLOOKUP(X601,List!$D$2:$H$6,5,FALSE),"")</f>
        <v/>
      </c>
      <c r="AC601" s="12" t="str">
        <f t="shared" si="148"/>
        <v/>
      </c>
      <c r="AD601" s="12" t="str">
        <f t="shared" si="149"/>
        <v/>
      </c>
      <c r="AE601" s="12" t="str">
        <f t="shared" si="150"/>
        <v/>
      </c>
      <c r="AF601" s="12" t="str">
        <f t="shared" si="151"/>
        <v/>
      </c>
      <c r="AG601" t="str">
        <f>VLOOKUP(J601,'Receivable Invoice Detail'!$A$1:F3613,6,FALSE)</f>
        <v>[Timken National 416271] Oil Seal, Goulds JC, Frame 3J</v>
      </c>
      <c r="AM601" s="12" t="str">
        <f t="shared" si="153"/>
        <v/>
      </c>
      <c r="AN601" s="12" t="str">
        <f t="shared" si="154"/>
        <v/>
      </c>
      <c r="AO601" s="12" t="str">
        <f t="shared" si="155"/>
        <v/>
      </c>
      <c r="AP601" s="12" t="str">
        <f t="shared" si="156"/>
        <v/>
      </c>
      <c r="AQ601" s="12"/>
      <c r="AS601" s="12">
        <f t="shared" si="158"/>
        <v>0</v>
      </c>
      <c r="AT601" s="16" t="str">
        <f t="shared" si="160"/>
        <v/>
      </c>
    </row>
    <row r="602" spans="1:46" hidden="1" x14ac:dyDescent="0.25">
      <c r="A602" s="41">
        <f>CASOPOInvCL!T602</f>
        <v>2</v>
      </c>
      <c r="B602" t="str">
        <f>CASOPOInvCL!Z602</f>
        <v>SO17294</v>
      </c>
      <c r="D602" t="s">
        <v>5925</v>
      </c>
      <c r="G602" s="5" t="str">
        <f>CASOPOInvCL!I602</f>
        <v>Ian Trottier</v>
      </c>
      <c r="H602" s="31">
        <f>CASOPOInvCL!U602</f>
        <v>6</v>
      </c>
      <c r="I602" s="31">
        <f>CASOPOInvCL!V602</f>
        <v>2025</v>
      </c>
      <c r="J602" s="5" t="str">
        <f>CASOPOInvCL!AB602</f>
        <v>INV13082</v>
      </c>
      <c r="K602" s="31">
        <f>CASOPOInvCL!W602</f>
        <v>8</v>
      </c>
      <c r="L602" s="31">
        <f>CASOPOInvCL!X602</f>
        <v>2025</v>
      </c>
      <c r="M602">
        <v>2504</v>
      </c>
      <c r="N602" s="5" t="str">
        <f>CASOPOInvCL!AF602</f>
        <v>Resolute Forest Products - Saint-Felicien</v>
      </c>
      <c r="O602" s="16" t="str">
        <f>CASOPOInvCL!AG602</f>
        <v>CAD</v>
      </c>
      <c r="P602" s="16">
        <f>CASOPOInvCL!AH602</f>
        <v>4648.8900000000003</v>
      </c>
      <c r="Q602" s="16">
        <f>CASOPOInvCL!AI602</f>
        <v>3397.110844519375</v>
      </c>
      <c r="R602" s="32" t="str">
        <f>CASOPOInvCL!AU602</f>
        <v>Yes</v>
      </c>
      <c r="S602" s="16">
        <f>CASOPOInvCL!AV602</f>
        <v>0</v>
      </c>
      <c r="T602" s="16">
        <f>CASOPOInvCL!AW602</f>
        <v>3397.110844519375</v>
      </c>
      <c r="V602" t="s">
        <v>5800</v>
      </c>
      <c r="Y602" s="29" t="str">
        <f>IFERROR(HLOOKUP(U602,List!$D$2:$H$6,2,FALSE),"")</f>
        <v/>
      </c>
      <c r="Z602" s="29">
        <f>IFERROR(HLOOKUP(V602,List!$D$2:$H$6,3,FALSE),"")</f>
        <v>5.0000000000000001E-3</v>
      </c>
      <c r="AA602" s="29" t="str">
        <f>IFERROR(HLOOKUP(W602,List!$D$2:$H$6,4,FALSE),"")</f>
        <v/>
      </c>
      <c r="AB602" s="29" t="str">
        <f>IFERROR(HLOOKUP(X602,List!$D$2:$H$6,5,FALSE),"")</f>
        <v/>
      </c>
      <c r="AC602" s="12" t="str">
        <f t="shared" si="148"/>
        <v/>
      </c>
      <c r="AD602" s="12">
        <f t="shared" si="149"/>
        <v>16.985554222596875</v>
      </c>
      <c r="AE602" s="12" t="str">
        <f t="shared" si="150"/>
        <v/>
      </c>
      <c r="AF602" s="12" t="str">
        <f t="shared" si="151"/>
        <v/>
      </c>
      <c r="AG602" t="str">
        <f>VLOOKUP(J602,'Receivable Invoice Detail'!$A$1:F3614,6,FALSE)</f>
        <v>[AC-98-432-884-801] Bearing Housing, PWO, Frame 2, Oil</v>
      </c>
      <c r="AH602" s="12">
        <f t="shared" ref="AH602" si="164">SUM(AC602:AF602)</f>
        <v>16.985554222596875</v>
      </c>
      <c r="AM602" s="12" t="str">
        <f t="shared" si="153"/>
        <v/>
      </c>
      <c r="AN602" s="12">
        <f t="shared" si="154"/>
        <v>16.985554222596875</v>
      </c>
      <c r="AO602" s="12" t="str">
        <f t="shared" si="155"/>
        <v/>
      </c>
      <c r="AP602" s="12" t="str">
        <f t="shared" si="156"/>
        <v/>
      </c>
      <c r="AQ602" s="12"/>
      <c r="AS602" s="12">
        <f t="shared" si="158"/>
        <v>149.01074999999997</v>
      </c>
      <c r="AT602" s="16" t="str">
        <f t="shared" si="160"/>
        <v>Yes</v>
      </c>
    </row>
    <row r="603" spans="1:46" hidden="1" x14ac:dyDescent="0.25">
      <c r="A603" s="41">
        <f>CASOPOInvCL!T603</f>
        <v>2</v>
      </c>
      <c r="B603" t="str">
        <f>CASOPOInvCL!Z603</f>
        <v>SO17294</v>
      </c>
      <c r="D603" t="s">
        <v>5925</v>
      </c>
      <c r="G603" s="5">
        <f>CASOPOInvCL!I603</f>
        <v>0</v>
      </c>
      <c r="H603" s="31">
        <f>CASOPOInvCL!U603</f>
        <v>6</v>
      </c>
      <c r="I603" s="31">
        <f>CASOPOInvCL!V603</f>
        <v>2025</v>
      </c>
      <c r="J603" s="5" t="str">
        <f>CASOPOInvCL!AB603</f>
        <v>INV13257</v>
      </c>
      <c r="K603" s="31">
        <f>CASOPOInvCL!W603</f>
        <v>10</v>
      </c>
      <c r="L603" s="31">
        <f>CASOPOInvCL!X603</f>
        <v>2025</v>
      </c>
      <c r="M603">
        <v>2504</v>
      </c>
      <c r="N603" s="5" t="str">
        <f>CASOPOInvCL!AF603</f>
        <v>Resolute Forest Products - Saint-Felicien</v>
      </c>
      <c r="O603" s="16" t="str">
        <f>CASOPOInvCL!AG603</f>
        <v>CAD</v>
      </c>
      <c r="P603" s="16">
        <f>CASOPOInvCL!AH603</f>
        <v>0</v>
      </c>
      <c r="Q603" s="16">
        <f>CASOPOInvCL!AI603</f>
        <v>0</v>
      </c>
      <c r="R603" s="32" t="str">
        <f>CASOPOInvCL!AU603</f>
        <v/>
      </c>
      <c r="S603" s="16">
        <f>CASOPOInvCL!AV603</f>
        <v>0</v>
      </c>
      <c r="T603" s="16">
        <f>CASOPOInvCL!AW603</f>
        <v>0</v>
      </c>
      <c r="V603" t="s">
        <v>5800</v>
      </c>
      <c r="Y603" s="29" t="str">
        <f>IFERROR(HLOOKUP(U603,List!$D$2:$H$6,2,FALSE),"")</f>
        <v/>
      </c>
      <c r="Z603" s="29">
        <f>IFERROR(HLOOKUP(V603,List!$D$2:$H$6,3,FALSE),"")</f>
        <v>5.0000000000000001E-3</v>
      </c>
      <c r="AA603" s="29" t="str">
        <f>IFERROR(HLOOKUP(W603,List!$D$2:$H$6,4,FALSE),"")</f>
        <v/>
      </c>
      <c r="AB603" s="29" t="str">
        <f>IFERROR(HLOOKUP(X603,List!$D$2:$H$6,5,FALSE),"")</f>
        <v/>
      </c>
      <c r="AC603" s="12" t="str">
        <f t="shared" si="148"/>
        <v/>
      </c>
      <c r="AD603" s="12">
        <f t="shared" si="149"/>
        <v>0</v>
      </c>
      <c r="AE603" s="12" t="str">
        <f t="shared" si="150"/>
        <v/>
      </c>
      <c r="AF603" s="12" t="str">
        <f t="shared" si="151"/>
        <v/>
      </c>
      <c r="AG603" t="str">
        <f>VLOOKUP(J603,'Receivable Invoice Detail'!$A$1:F3615,6,FALSE)</f>
        <v>Impeller, 1x1.5-8, 3196 STX, Titanium, 5-Vane</v>
      </c>
      <c r="AM603" s="12" t="str">
        <f t="shared" si="153"/>
        <v/>
      </c>
      <c r="AN603" s="12">
        <f t="shared" si="154"/>
        <v>0</v>
      </c>
      <c r="AO603" s="12" t="str">
        <f t="shared" si="155"/>
        <v/>
      </c>
      <c r="AP603" s="12" t="str">
        <f t="shared" si="156"/>
        <v/>
      </c>
      <c r="AQ603" s="12"/>
      <c r="AS603" s="12">
        <f t="shared" si="158"/>
        <v>0</v>
      </c>
      <c r="AT603" s="16" t="str">
        <f t="shared" si="160"/>
        <v/>
      </c>
    </row>
    <row r="604" spans="1:46" hidden="1" x14ac:dyDescent="0.25">
      <c r="A604" s="41">
        <f>CASOPOInvCL!T604</f>
        <v>1</v>
      </c>
      <c r="B604" t="str">
        <f>CASOPOInvCL!Z604</f>
        <v>SO17297</v>
      </c>
      <c r="D604" t="s">
        <v>5925</v>
      </c>
      <c r="G604" s="5" t="str">
        <f>CASOPOInvCL!I604</f>
        <v>Ian Trottier</v>
      </c>
      <c r="H604" s="31">
        <f>CASOPOInvCL!U604</f>
        <v>6</v>
      </c>
      <c r="I604" s="31">
        <f>CASOPOInvCL!V604</f>
        <v>2025</v>
      </c>
      <c r="J604" s="5" t="str">
        <f>CASOPOInvCL!AB604</f>
        <v>INV13097</v>
      </c>
      <c r="K604" s="31">
        <f>CASOPOInvCL!W604</f>
        <v>7</v>
      </c>
      <c r="L604" s="31">
        <f>CASOPOInvCL!X604</f>
        <v>2025</v>
      </c>
      <c r="M604">
        <v>2503</v>
      </c>
      <c r="N604" s="5" t="str">
        <f>CASOPOInvCL!AF604</f>
        <v>Wajax Limited - Lachine</v>
      </c>
      <c r="O604" s="16" t="str">
        <f>CASOPOInvCL!AG604</f>
        <v>CAD</v>
      </c>
      <c r="P604" s="16">
        <f>CASOPOInvCL!AH604</f>
        <v>3048.78</v>
      </c>
      <c r="Q604" s="16">
        <f>CASOPOInvCL!AI604</f>
        <v>2245.7192139086615</v>
      </c>
      <c r="R604" s="32" t="str">
        <f>CASOPOInvCL!AU604</f>
        <v>Yes</v>
      </c>
      <c r="S604" s="16">
        <f>CASOPOInvCL!AV604</f>
        <v>0</v>
      </c>
      <c r="T604" s="16">
        <f>CASOPOInvCL!AW604</f>
        <v>2245.7192139086615</v>
      </c>
      <c r="V604" t="s">
        <v>5800</v>
      </c>
      <c r="Y604" s="29" t="str">
        <f>IFERROR(HLOOKUP(U604,List!$D$2:$H$6,2,FALSE),"")</f>
        <v/>
      </c>
      <c r="Z604" s="29">
        <f>IFERROR(HLOOKUP(V604,List!$D$2:$H$6,3,FALSE),"")</f>
        <v>5.0000000000000001E-3</v>
      </c>
      <c r="AA604" s="29" t="str">
        <f>IFERROR(HLOOKUP(W604,List!$D$2:$H$6,4,FALSE),"")</f>
        <v/>
      </c>
      <c r="AB604" s="29" t="str">
        <f>IFERROR(HLOOKUP(X604,List!$D$2:$H$6,5,FALSE),"")</f>
        <v/>
      </c>
      <c r="AC604" s="12" t="str">
        <f t="shared" si="148"/>
        <v/>
      </c>
      <c r="AD604" s="12">
        <f t="shared" si="149"/>
        <v>11.228596069543308</v>
      </c>
      <c r="AE604" s="12" t="str">
        <f t="shared" si="150"/>
        <v/>
      </c>
      <c r="AF604" s="12" t="str">
        <f t="shared" si="151"/>
        <v/>
      </c>
      <c r="AG604" t="str">
        <f>VLOOKUP(J604,'Receivable Invoice Detail'!$A$1:F3616,6,FALSE)</f>
        <v>[AC-98-431-797-501] Gland Side Casing, 5x4-14 SRL-C, Cast Iron</v>
      </c>
      <c r="AH604" s="12">
        <f t="shared" ref="AH604" si="165">SUM(AC604:AF604)</f>
        <v>11.228596069543308</v>
      </c>
      <c r="AM604" s="12" t="str">
        <f t="shared" si="153"/>
        <v/>
      </c>
      <c r="AN604" s="12">
        <f t="shared" si="154"/>
        <v>11.228596069543308</v>
      </c>
      <c r="AO604" s="12" t="str">
        <f t="shared" si="155"/>
        <v/>
      </c>
      <c r="AP604" s="12" t="str">
        <f t="shared" si="156"/>
        <v/>
      </c>
      <c r="AQ604" s="64">
        <v>2503</v>
      </c>
      <c r="AR604" t="s">
        <v>5932</v>
      </c>
      <c r="AS604" s="12">
        <f t="shared" si="158"/>
        <v>50.956662667790624</v>
      </c>
      <c r="AT604" s="16" t="str">
        <f t="shared" si="160"/>
        <v>Yes</v>
      </c>
    </row>
    <row r="605" spans="1:46" hidden="1" x14ac:dyDescent="0.25">
      <c r="A605" s="41">
        <f>CASOPOInvCL!T605</f>
        <v>1</v>
      </c>
      <c r="B605" t="str">
        <f>CASOPOInvCL!Z605</f>
        <v>SO17298</v>
      </c>
      <c r="G605" s="5" t="str">
        <f>CASOPOInvCL!I605</f>
        <v>Ian Trottier</v>
      </c>
      <c r="H605" s="31">
        <f>CASOPOInvCL!U605</f>
        <v>6</v>
      </c>
      <c r="I605" s="31">
        <f>CASOPOInvCL!V605</f>
        <v>2025</v>
      </c>
      <c r="J605" s="5" t="str">
        <f>CASOPOInvCL!AB605</f>
        <v>INV13622</v>
      </c>
      <c r="K605" s="31">
        <f>CASOPOInvCL!W605</f>
        <v>12</v>
      </c>
      <c r="L605" s="31">
        <f>CASOPOInvCL!X605</f>
        <v>2025</v>
      </c>
      <c r="M605" s="31"/>
      <c r="N605" s="5" t="str">
        <f>CASOPOInvCL!AF605</f>
        <v>Cameco Corporation - Blind River Refinery</v>
      </c>
      <c r="O605" s="16" t="str">
        <f>CASOPOInvCL!AG605</f>
        <v>CAD</v>
      </c>
      <c r="P605" s="16">
        <f>CASOPOInvCL!AH605</f>
        <v>6327.03</v>
      </c>
      <c r="Q605" s="16">
        <f>CASOPOInvCL!AI605</f>
        <v>4594.26038508691</v>
      </c>
      <c r="R605" s="32" t="str">
        <f>CASOPOInvCL!AU605</f>
        <v>Yes</v>
      </c>
      <c r="S605" s="16">
        <f>CASOPOInvCL!AV605</f>
        <v>0</v>
      </c>
      <c r="T605" s="16">
        <f>CASOPOInvCL!AW605</f>
        <v>4594.26038508691</v>
      </c>
      <c r="Y605" s="29" t="str">
        <f>IFERROR(HLOOKUP(U605,List!$D$2:$H$6,2,FALSE),"")</f>
        <v/>
      </c>
      <c r="Z605" s="29" t="str">
        <f>IFERROR(HLOOKUP(V605,List!$D$2:$H$6,3,FALSE),"")</f>
        <v/>
      </c>
      <c r="AA605" s="29" t="str">
        <f>IFERROR(HLOOKUP(W605,List!$D$2:$H$6,4,FALSE),"")</f>
        <v/>
      </c>
      <c r="AB605" s="29" t="str">
        <f>IFERROR(HLOOKUP(X605,List!$D$2:$H$6,5,FALSE),"")</f>
        <v/>
      </c>
      <c r="AC605" s="12" t="str">
        <f t="shared" si="148"/>
        <v/>
      </c>
      <c r="AD605" s="12" t="str">
        <f t="shared" si="149"/>
        <v/>
      </c>
      <c r="AE605" s="12" t="str">
        <f t="shared" si="150"/>
        <v/>
      </c>
      <c r="AF605" s="12" t="str">
        <f t="shared" si="151"/>
        <v/>
      </c>
      <c r="AG605" t="str">
        <f>VLOOKUP(J605,'Receivable Invoice Detail'!$A$1:F3617,6,FALSE)</f>
        <v>[G-259-84 1216] Impeller, 10x12-18, 3175-M, CD4MCu</v>
      </c>
      <c r="AM605" s="12" t="str">
        <f t="shared" si="153"/>
        <v/>
      </c>
      <c r="AN605" s="12" t="str">
        <f t="shared" si="154"/>
        <v/>
      </c>
      <c r="AO605" s="12" t="str">
        <f t="shared" si="155"/>
        <v/>
      </c>
      <c r="AP605" s="12" t="str">
        <f t="shared" si="156"/>
        <v/>
      </c>
      <c r="AQ605" s="12"/>
      <c r="AS605" s="12">
        <f t="shared" si="158"/>
        <v>0</v>
      </c>
      <c r="AT605" s="16" t="str">
        <f t="shared" si="160"/>
        <v>Yes</v>
      </c>
    </row>
    <row r="606" spans="1:46" hidden="1" x14ac:dyDescent="0.25">
      <c r="A606" s="41">
        <f>CASOPOInvCL!T606</f>
        <v>1</v>
      </c>
      <c r="B606" t="str">
        <f>CASOPOInvCL!Z606</f>
        <v>SO17299</v>
      </c>
      <c r="D606" t="s">
        <v>5925</v>
      </c>
      <c r="G606" s="5" t="str">
        <f>CASOPOInvCL!I606</f>
        <v>Ian Trottier</v>
      </c>
      <c r="H606" s="31">
        <f>CASOPOInvCL!U606</f>
        <v>6</v>
      </c>
      <c r="I606" s="31">
        <f>CASOPOInvCL!V606</f>
        <v>2025</v>
      </c>
      <c r="J606" s="5" t="str">
        <f>CASOPOInvCL!AB606</f>
        <v>INV13080</v>
      </c>
      <c r="K606" s="31">
        <f>CASOPOInvCL!W606</f>
        <v>8</v>
      </c>
      <c r="L606" s="31">
        <f>CASOPOInvCL!X606</f>
        <v>2025</v>
      </c>
      <c r="M606">
        <v>2503</v>
      </c>
      <c r="N606" s="5" t="str">
        <f>CASOPOInvCL!AF606</f>
        <v>Resolute Forest Products - Fibrek, Resolute Forest Products - Fibrek</v>
      </c>
      <c r="O606" s="16" t="str">
        <f>CASOPOInvCL!AG606</f>
        <v>CAD</v>
      </c>
      <c r="P606" s="16">
        <f>CASOPOInvCL!AH606</f>
        <v>1339.85</v>
      </c>
      <c r="Q606" s="16">
        <f>CASOPOInvCL!AI606</f>
        <v>979.07650321459164</v>
      </c>
      <c r="R606" s="32" t="str">
        <f>CASOPOInvCL!AU606</f>
        <v/>
      </c>
      <c r="S606" s="16">
        <f>CASOPOInvCL!AV606</f>
        <v>0</v>
      </c>
      <c r="T606" s="16">
        <f>CASOPOInvCL!AW606</f>
        <v>0</v>
      </c>
      <c r="V606" t="s">
        <v>5800</v>
      </c>
      <c r="Y606" s="29" t="str">
        <f>IFERROR(HLOOKUP(U606,List!$D$2:$H$6,2,FALSE),"")</f>
        <v/>
      </c>
      <c r="Z606" s="29">
        <f>IFERROR(HLOOKUP(V606,List!$D$2:$H$6,3,FALSE),"")</f>
        <v>5.0000000000000001E-3</v>
      </c>
      <c r="AA606" s="29" t="str">
        <f>IFERROR(HLOOKUP(W606,List!$D$2:$H$6,4,FALSE),"")</f>
        <v/>
      </c>
      <c r="AB606" s="29" t="str">
        <f>IFERROR(HLOOKUP(X606,List!$D$2:$H$6,5,FALSE),"")</f>
        <v/>
      </c>
      <c r="AC606" s="12" t="str">
        <f t="shared" si="148"/>
        <v/>
      </c>
      <c r="AD606" s="12">
        <f t="shared" si="149"/>
        <v>0</v>
      </c>
      <c r="AE606" s="12" t="str">
        <f t="shared" si="150"/>
        <v/>
      </c>
      <c r="AF606" s="12" t="str">
        <f t="shared" si="151"/>
        <v/>
      </c>
      <c r="AG606" t="str">
        <f>VLOOKUP(J606,'Receivable Invoice Detail'!$A$1:F3618,6,FALSE)</f>
        <v>[AC-98-332-783-801] Bearing Housing Assembly, PWO Frame 1, Cast Iron</v>
      </c>
      <c r="AM606" s="12" t="str">
        <f t="shared" si="153"/>
        <v/>
      </c>
      <c r="AN606" s="12">
        <f t="shared" si="154"/>
        <v>0</v>
      </c>
      <c r="AO606" s="12" t="str">
        <f t="shared" si="155"/>
        <v/>
      </c>
      <c r="AP606" s="12" t="str">
        <f t="shared" si="156"/>
        <v/>
      </c>
      <c r="AQ606" s="64">
        <v>2503</v>
      </c>
      <c r="AR606" t="s">
        <v>5932</v>
      </c>
      <c r="AS606" s="12">
        <f t="shared" si="158"/>
        <v>33.685788208629923</v>
      </c>
      <c r="AT606" s="16" t="str">
        <f t="shared" si="160"/>
        <v/>
      </c>
    </row>
    <row r="607" spans="1:46" hidden="1" x14ac:dyDescent="0.25">
      <c r="A607" s="41">
        <f>CASOPOInvCL!T607</f>
        <v>1</v>
      </c>
      <c r="B607" s="76" t="str">
        <f>CASOPOInvCL!Z607</f>
        <v>SO17300</v>
      </c>
      <c r="G607" s="5" t="str">
        <f>CASOPOInvCL!I607</f>
        <v>Wilka Nuñez</v>
      </c>
      <c r="H607" s="31">
        <f>CASOPOInvCL!U607</f>
        <v>6</v>
      </c>
      <c r="I607" s="31">
        <f>CASOPOInvCL!V607</f>
        <v>2025</v>
      </c>
      <c r="J607" s="5" t="str">
        <f>CASOPOInvCL!AB607</f>
        <v>INV13072</v>
      </c>
      <c r="K607" s="31">
        <f>CASOPOInvCL!W607</f>
        <v>7</v>
      </c>
      <c r="L607" s="31">
        <f>CASOPOInvCL!X607</f>
        <v>2025</v>
      </c>
      <c r="M607" s="31"/>
      <c r="N607" s="5" t="str">
        <f>CASOPOInvCL!AF607</f>
        <v>Barrick Gold - Pueblo Viejo Dominicana Corporation</v>
      </c>
      <c r="O607" s="16" t="str">
        <f>CASOPOInvCL!AG607</f>
        <v>USD</v>
      </c>
      <c r="P607" s="16">
        <f>CASOPOInvCL!AH607</f>
        <v>15638.95534546069</v>
      </c>
      <c r="Q607" s="16">
        <f>CASOPOInvCL!AI607</f>
        <v>11442.75</v>
      </c>
      <c r="R607" s="32" t="str">
        <f>CASOPOInvCL!AU607</f>
        <v>Yes</v>
      </c>
      <c r="S607" s="16">
        <f>CASOPOInvCL!AV607</f>
        <v>0</v>
      </c>
      <c r="T607" s="16">
        <f>CASOPOInvCL!AW607</f>
        <v>11442.75</v>
      </c>
      <c r="Y607" s="29" t="str">
        <f>IFERROR(HLOOKUP(U607,List!$D$2:$H$6,2,FALSE),"")</f>
        <v/>
      </c>
      <c r="Z607" s="29" t="str">
        <f>IFERROR(HLOOKUP(V607,List!$D$2:$H$6,3,FALSE),"")</f>
        <v/>
      </c>
      <c r="AA607" s="29" t="str">
        <f>IFERROR(HLOOKUP(W607,List!$D$2:$H$6,4,FALSE),"")</f>
        <v/>
      </c>
      <c r="AB607" s="29" t="str">
        <f>IFERROR(HLOOKUP(X607,List!$D$2:$H$6,5,FALSE),"")</f>
        <v/>
      </c>
      <c r="AC607" s="12" t="str">
        <f t="shared" si="148"/>
        <v/>
      </c>
      <c r="AD607" s="12" t="str">
        <f t="shared" si="149"/>
        <v/>
      </c>
      <c r="AE607" s="12" t="str">
        <f t="shared" si="150"/>
        <v/>
      </c>
      <c r="AF607" s="12" t="str">
        <f t="shared" si="151"/>
        <v/>
      </c>
      <c r="AG607" t="str">
        <f>VLOOKUP(J607,'Receivable Invoice Detail'!$A$1:F3619,6,FALSE)</f>
        <v>[D-2001417-CD4] Bell,10JKH/M, BW-FLG-STD-STEP-CUT_NR, CD4MCu</v>
      </c>
      <c r="AM607" s="12" t="str">
        <f t="shared" si="153"/>
        <v/>
      </c>
      <c r="AN607" s="12" t="str">
        <f t="shared" si="154"/>
        <v/>
      </c>
      <c r="AO607" s="12" t="str">
        <f t="shared" si="155"/>
        <v/>
      </c>
      <c r="AP607" s="12" t="str">
        <f t="shared" si="156"/>
        <v/>
      </c>
      <c r="AQ607" s="64">
        <v>2503</v>
      </c>
      <c r="AR607" s="64" t="s">
        <v>5934</v>
      </c>
      <c r="AS607" s="12">
        <f t="shared" si="158"/>
        <v>68.91390577630365</v>
      </c>
      <c r="AT607" s="16" t="str">
        <f t="shared" si="160"/>
        <v>Yes</v>
      </c>
    </row>
    <row r="608" spans="1:46" hidden="1" x14ac:dyDescent="0.25">
      <c r="A608" s="41">
        <f>CASOPOInvCL!T608</f>
        <v>2</v>
      </c>
      <c r="B608" t="str">
        <f>CASOPOInvCL!Z608</f>
        <v>SO17304</v>
      </c>
      <c r="G608" s="5" t="str">
        <f>CASOPOInvCL!I608</f>
        <v>Ian Trottier</v>
      </c>
      <c r="H608" s="31">
        <f>CASOPOInvCL!U608</f>
        <v>6</v>
      </c>
      <c r="I608" s="31">
        <f>CASOPOInvCL!V608</f>
        <v>2025</v>
      </c>
      <c r="J608" s="5" t="str">
        <f>CASOPOInvCL!AB608</f>
        <v>INV13330</v>
      </c>
      <c r="K608" s="31">
        <f>CASOPOInvCL!W608</f>
        <v>10</v>
      </c>
      <c r="L608" s="31">
        <f>CASOPOInvCL!X608</f>
        <v>2025</v>
      </c>
      <c r="M608" s="31"/>
      <c r="N608" s="5" t="str">
        <f>CASOPOInvCL!AF608</f>
        <v>Sling-Choker Manufacturing - Timmins</v>
      </c>
      <c r="O608" s="16" t="str">
        <f>CASOPOInvCL!AG608</f>
        <v>CAD</v>
      </c>
      <c r="P608" s="16">
        <f>CASOPOInvCL!AH608</f>
        <v>8487.59</v>
      </c>
      <c r="Q608" s="16">
        <f>CASOPOInvCL!AI608</f>
        <v>6205.8024020589301</v>
      </c>
      <c r="R608" s="32" t="str">
        <f>CASOPOInvCL!AU608</f>
        <v>Yes</v>
      </c>
      <c r="S608" s="16">
        <f>CASOPOInvCL!AV608</f>
        <v>0</v>
      </c>
      <c r="T608" s="16">
        <f>CASOPOInvCL!AW608</f>
        <v>6205.8024020589301</v>
      </c>
      <c r="Y608" s="29" t="str">
        <f>IFERROR(HLOOKUP(U608,List!$D$2:$H$6,2,FALSE),"")</f>
        <v/>
      </c>
      <c r="Z608" s="29" t="str">
        <f>IFERROR(HLOOKUP(V608,List!$D$2:$H$6,3,FALSE),"")</f>
        <v/>
      </c>
      <c r="AA608" s="29" t="str">
        <f>IFERROR(HLOOKUP(W608,List!$D$2:$H$6,4,FALSE),"")</f>
        <v/>
      </c>
      <c r="AB608" s="29" t="str">
        <f>IFERROR(HLOOKUP(X608,List!$D$2:$H$6,5,FALSE),"")</f>
        <v/>
      </c>
      <c r="AC608" s="12" t="str">
        <f t="shared" si="148"/>
        <v/>
      </c>
      <c r="AD608" s="12" t="str">
        <f t="shared" si="149"/>
        <v/>
      </c>
      <c r="AE608" s="12" t="str">
        <f t="shared" si="150"/>
        <v/>
      </c>
      <c r="AF608" s="12" t="str">
        <f t="shared" si="151"/>
        <v/>
      </c>
      <c r="AG608" t="str">
        <f>VLOOKUP(J608,'Receivable Invoice Detail'!$A$1:F3620,6,FALSE)</f>
        <v>[G-0C02705A 1203] Impeller, 4x6-19, 3180-M, 316SS, 5-Vane</v>
      </c>
      <c r="AM608" s="12" t="str">
        <f t="shared" si="153"/>
        <v/>
      </c>
      <c r="AN608" s="12" t="str">
        <f t="shared" si="154"/>
        <v/>
      </c>
      <c r="AO608" s="12" t="str">
        <f t="shared" si="155"/>
        <v/>
      </c>
      <c r="AP608" s="12" t="str">
        <f t="shared" si="156"/>
        <v/>
      </c>
      <c r="AQ608" s="12"/>
      <c r="AS608" s="12">
        <f t="shared" si="158"/>
        <v>0</v>
      </c>
      <c r="AT608" s="16" t="str">
        <f t="shared" si="160"/>
        <v>Yes</v>
      </c>
    </row>
    <row r="609" spans="1:46" hidden="1" x14ac:dyDescent="0.25">
      <c r="A609" s="41">
        <f>CASOPOInvCL!T609</f>
        <v>2</v>
      </c>
      <c r="B609" t="str">
        <f>CASOPOInvCL!Z609</f>
        <v>SO17304</v>
      </c>
      <c r="G609" s="5">
        <f>CASOPOInvCL!I609</f>
        <v>0</v>
      </c>
      <c r="H609" s="31">
        <f>CASOPOInvCL!U609</f>
        <v>6</v>
      </c>
      <c r="I609" s="31">
        <f>CASOPOInvCL!V609</f>
        <v>2025</v>
      </c>
      <c r="J609" s="5" t="str">
        <f>CASOPOInvCL!AB609</f>
        <v>INV13164</v>
      </c>
      <c r="K609" s="31">
        <f>CASOPOInvCL!W609</f>
        <v>8</v>
      </c>
      <c r="L609" s="31">
        <f>CASOPOInvCL!X609</f>
        <v>2025</v>
      </c>
      <c r="M609" s="31"/>
      <c r="N609" s="5" t="str">
        <f>CASOPOInvCL!AF609</f>
        <v>Sling-Choker Manufacturing - Timmins</v>
      </c>
      <c r="O609" s="16" t="str">
        <f>CASOPOInvCL!AG609</f>
        <v>CAD</v>
      </c>
      <c r="P609" s="16">
        <f>CASOPOInvCL!AH609</f>
        <v>0</v>
      </c>
      <c r="Q609" s="16">
        <f>CASOPOInvCL!AI609</f>
        <v>0</v>
      </c>
      <c r="R609" s="32" t="str">
        <f>CASOPOInvCL!AU609</f>
        <v/>
      </c>
      <c r="S609" s="16">
        <f>CASOPOInvCL!AV609</f>
        <v>0</v>
      </c>
      <c r="T609" s="16">
        <f>CASOPOInvCL!AW609</f>
        <v>0</v>
      </c>
      <c r="Y609" s="29" t="str">
        <f>IFERROR(HLOOKUP(U609,List!$D$2:$H$6,2,FALSE),"")</f>
        <v/>
      </c>
      <c r="Z609" s="29" t="str">
        <f>IFERROR(HLOOKUP(V609,List!$D$2:$H$6,3,FALSE),"")</f>
        <v/>
      </c>
      <c r="AA609" s="29" t="str">
        <f>IFERROR(HLOOKUP(W609,List!$D$2:$H$6,4,FALSE),"")</f>
        <v/>
      </c>
      <c r="AB609" s="29" t="str">
        <f>IFERROR(HLOOKUP(X609,List!$D$2:$H$6,5,FALSE),"")</f>
        <v/>
      </c>
      <c r="AC609" s="12" t="str">
        <f t="shared" si="148"/>
        <v/>
      </c>
      <c r="AD609" s="12" t="str">
        <f t="shared" si="149"/>
        <v/>
      </c>
      <c r="AE609" s="12" t="str">
        <f t="shared" si="150"/>
        <v/>
      </c>
      <c r="AF609" s="12" t="str">
        <f t="shared" si="151"/>
        <v/>
      </c>
      <c r="AG609" t="str">
        <f>VLOOKUP(J609,'Receivable Invoice Detail'!$A$1:F3621,6,FALSE)</f>
        <v>[G-B02191A02 3211] Throttle Bushing, 3180-M, 316SS</v>
      </c>
      <c r="AM609" s="12" t="str">
        <f t="shared" si="153"/>
        <v/>
      </c>
      <c r="AN609" s="12" t="str">
        <f t="shared" si="154"/>
        <v/>
      </c>
      <c r="AO609" s="12" t="str">
        <f t="shared" si="155"/>
        <v/>
      </c>
      <c r="AP609" s="12" t="str">
        <f t="shared" si="156"/>
        <v/>
      </c>
      <c r="AQ609" s="12"/>
      <c r="AS609" s="12">
        <f t="shared" si="158"/>
        <v>171.64124999999999</v>
      </c>
      <c r="AT609" s="16" t="str">
        <f t="shared" si="160"/>
        <v/>
      </c>
    </row>
    <row r="610" spans="1:46" hidden="1" x14ac:dyDescent="0.25">
      <c r="A610" s="41">
        <f>CASOPOInvCL!T610</f>
        <v>1</v>
      </c>
      <c r="B610" t="str">
        <f>CASOPOInvCL!Z610</f>
        <v>SO17311</v>
      </c>
      <c r="G610" s="5" t="str">
        <f>CASOPOInvCL!I610</f>
        <v>Ian Trottier</v>
      </c>
      <c r="H610" s="31">
        <f>CASOPOInvCL!U610</f>
        <v>6</v>
      </c>
      <c r="I610" s="31">
        <f>CASOPOInvCL!V610</f>
        <v>2025</v>
      </c>
      <c r="J610" s="5" t="str">
        <f>CASOPOInvCL!AB610</f>
        <v>INV13585</v>
      </c>
      <c r="K610" s="31">
        <f>CASOPOInvCL!W610</f>
        <v>12</v>
      </c>
      <c r="L610" s="31">
        <f>CASOPOInvCL!X610</f>
        <v>2025</v>
      </c>
      <c r="M610" s="31"/>
      <c r="N610" s="5" t="str">
        <f>CASOPOInvCL!AF610</f>
        <v>Thunder Bay Pulp and Paper Inc</v>
      </c>
      <c r="O610" s="16" t="str">
        <f>CASOPOInvCL!AG610</f>
        <v>CAD</v>
      </c>
      <c r="P610" s="16">
        <f>CASOPOInvCL!AH610</f>
        <v>43730.44</v>
      </c>
      <c r="Q610" s="16">
        <f>CASOPOInvCL!AI610</f>
        <v>32255.143844827067</v>
      </c>
      <c r="R610" s="32" t="str">
        <f>CASOPOInvCL!AU610</f>
        <v>Yes</v>
      </c>
      <c r="S610" s="16">
        <f>CASOPOInvCL!AV610</f>
        <v>0</v>
      </c>
      <c r="T610" s="16">
        <f>CASOPOInvCL!AW610</f>
        <v>32255.143844827067</v>
      </c>
      <c r="Y610" s="29" t="str">
        <f>IFERROR(HLOOKUP(U610,List!$D$2:$H$6,2,FALSE),"")</f>
        <v/>
      </c>
      <c r="Z610" s="29" t="str">
        <f>IFERROR(HLOOKUP(V610,List!$D$2:$H$6,3,FALSE),"")</f>
        <v/>
      </c>
      <c r="AA610" s="29" t="str">
        <f>IFERROR(HLOOKUP(W610,List!$D$2:$H$6,4,FALSE),"")</f>
        <v/>
      </c>
      <c r="AB610" s="29" t="str">
        <f>IFERROR(HLOOKUP(X610,List!$D$2:$H$6,5,FALSE),"")</f>
        <v/>
      </c>
      <c r="AC610" s="12" t="str">
        <f t="shared" si="148"/>
        <v/>
      </c>
      <c r="AD610" s="12" t="str">
        <f t="shared" si="149"/>
        <v/>
      </c>
      <c r="AE610" s="12" t="str">
        <f t="shared" si="150"/>
        <v/>
      </c>
      <c r="AF610" s="12" t="str">
        <f t="shared" si="151"/>
        <v/>
      </c>
      <c r="AG610" t="str">
        <f>VLOOKUP(J610,'Receivable Invoice Detail'!$A$1:F3622,6,FALSE)</f>
        <v>Back Pullout, Worthington FRBH, Frame 2, 316SS</v>
      </c>
      <c r="AM610" s="12" t="str">
        <f t="shared" si="153"/>
        <v/>
      </c>
      <c r="AN610" s="12" t="str">
        <f t="shared" si="154"/>
        <v/>
      </c>
      <c r="AO610" s="12" t="str">
        <f t="shared" si="155"/>
        <v/>
      </c>
      <c r="AP610" s="12" t="str">
        <f t="shared" si="156"/>
        <v/>
      </c>
      <c r="AQ610" s="12"/>
      <c r="AS610" s="12">
        <f t="shared" si="158"/>
        <v>93.087036030883951</v>
      </c>
      <c r="AT610" s="16" t="s">
        <v>5940</v>
      </c>
    </row>
    <row r="611" spans="1:46" hidden="1" x14ac:dyDescent="0.25">
      <c r="A611" s="41">
        <f>CASOPOInvCL!T611</f>
        <v>1</v>
      </c>
      <c r="B611" t="str">
        <f>CASOPOInvCL!Z611</f>
        <v>SO17312</v>
      </c>
      <c r="G611" s="5" t="str">
        <f>CASOPOInvCL!I611</f>
        <v>Ian Trottier</v>
      </c>
      <c r="H611" s="31">
        <f>CASOPOInvCL!U611</f>
        <v>6</v>
      </c>
      <c r="I611" s="31">
        <f>CASOPOInvCL!V611</f>
        <v>2025</v>
      </c>
      <c r="J611" s="5" t="str">
        <f>CASOPOInvCL!AB611</f>
        <v>INV13490</v>
      </c>
      <c r="K611" s="31">
        <f>CASOPOInvCL!W611</f>
        <v>10</v>
      </c>
      <c r="L611" s="31">
        <f>CASOPOInvCL!X611</f>
        <v>2025</v>
      </c>
      <c r="M611" s="31"/>
      <c r="N611" s="5" t="str">
        <f>CASOPOInvCL!AF611</f>
        <v>QI Supply Limited</v>
      </c>
      <c r="O611" s="16" t="str">
        <f>CASOPOInvCL!AG611</f>
        <v>CAD</v>
      </c>
      <c r="P611" s="16">
        <f>CASOPOInvCL!AH611</f>
        <v>9932.14</v>
      </c>
      <c r="Q611" s="16">
        <f>CASOPOInvCL!AI611</f>
        <v>7269.0018418519558</v>
      </c>
      <c r="R611" s="32" t="str">
        <f>CASOPOInvCL!AU611</f>
        <v>Yes</v>
      </c>
      <c r="S611" s="16">
        <f>CASOPOInvCL!AV611</f>
        <v>0</v>
      </c>
      <c r="T611" s="16">
        <f>CASOPOInvCL!AW611</f>
        <v>7269.0018418519558</v>
      </c>
      <c r="Y611" s="29" t="str">
        <f>IFERROR(HLOOKUP(U611,List!$D$2:$H$6,2,FALSE),"")</f>
        <v/>
      </c>
      <c r="Z611" s="29" t="str">
        <f>IFERROR(HLOOKUP(V611,List!$D$2:$H$6,3,FALSE),"")</f>
        <v/>
      </c>
      <c r="AA611" s="29" t="str">
        <f>IFERROR(HLOOKUP(W611,List!$D$2:$H$6,4,FALSE),"")</f>
        <v/>
      </c>
      <c r="AB611" s="29" t="str">
        <f>IFERROR(HLOOKUP(X611,List!$D$2:$H$6,5,FALSE),"")</f>
        <v/>
      </c>
      <c r="AC611" s="12" t="str">
        <f t="shared" si="148"/>
        <v/>
      </c>
      <c r="AD611" s="12" t="str">
        <f t="shared" si="149"/>
        <v/>
      </c>
      <c r="AE611" s="12" t="str">
        <f t="shared" si="150"/>
        <v/>
      </c>
      <c r="AF611" s="12" t="str">
        <f t="shared" si="151"/>
        <v/>
      </c>
      <c r="AG611" t="str">
        <f>VLOOKUP(J611,'Receivable Invoice Detail'!$A$1:F3623,6,FALSE)</f>
        <v>[DE-503628] Bearing Assembly, 10x8-21 SRL-C, Denver</v>
      </c>
      <c r="AM611" s="12" t="str">
        <f t="shared" si="153"/>
        <v/>
      </c>
      <c r="AN611" s="12" t="str">
        <f t="shared" si="154"/>
        <v/>
      </c>
      <c r="AO611" s="12" t="str">
        <f t="shared" si="155"/>
        <v/>
      </c>
      <c r="AP611" s="12" t="str">
        <f t="shared" si="156"/>
        <v/>
      </c>
      <c r="AQ611" s="12"/>
      <c r="AS611" s="12">
        <f t="shared" si="158"/>
        <v>0</v>
      </c>
      <c r="AT611" s="16" t="str">
        <f t="shared" si="160"/>
        <v>Yes</v>
      </c>
    </row>
    <row r="612" spans="1:46" hidden="1" x14ac:dyDescent="0.25">
      <c r="A612" s="41">
        <f>CASOPOInvCL!T612</f>
        <v>1</v>
      </c>
      <c r="B612" t="str">
        <f>CASOPOInvCL!Z612</f>
        <v>SO17313</v>
      </c>
      <c r="G612" s="5" t="str">
        <f>CASOPOInvCL!I612</f>
        <v>Yannett Yeomans</v>
      </c>
      <c r="H612" s="31">
        <f>CASOPOInvCL!U612</f>
        <v>6</v>
      </c>
      <c r="I612" s="31">
        <f>CASOPOInvCL!V612</f>
        <v>2025</v>
      </c>
      <c r="J612" s="5" t="str">
        <f>CASOPOInvCL!AB612</f>
        <v>INV13346</v>
      </c>
      <c r="K612" s="31" t="str">
        <f>CASOPOInvCL!W612</f>
        <v/>
      </c>
      <c r="L612" s="31" t="str">
        <f>CASOPOInvCL!X612</f>
        <v/>
      </c>
      <c r="M612" s="31"/>
      <c r="N612" s="5" t="str">
        <f>CASOPOInvCL!AF612</f>
        <v>Dynapro Pumps México S de RL de CV</v>
      </c>
      <c r="O612" s="16" t="str">
        <f>CASOPOInvCL!AG612</f>
        <v>USD</v>
      </c>
      <c r="P612" s="16">
        <f>CASOPOInvCL!AH612</f>
        <v>3670.8508662060403</v>
      </c>
      <c r="Q612" s="16">
        <f>CASOPOInvCL!AI612</f>
        <v>2680</v>
      </c>
      <c r="R612" s="32" t="str">
        <f>CASOPOInvCL!AU612</f>
        <v/>
      </c>
      <c r="S612" s="16">
        <f>CASOPOInvCL!AV612</f>
        <v>0</v>
      </c>
      <c r="T612" s="16">
        <f>CASOPOInvCL!AW612</f>
        <v>0</v>
      </c>
      <c r="Y612" s="29" t="str">
        <f>IFERROR(HLOOKUP(U612,List!$D$2:$H$6,2,FALSE),"")</f>
        <v/>
      </c>
      <c r="Z612" s="29" t="str">
        <f>IFERROR(HLOOKUP(V612,List!$D$2:$H$6,3,FALSE),"")</f>
        <v/>
      </c>
      <c r="AA612" s="29" t="str">
        <f>IFERROR(HLOOKUP(W612,List!$D$2:$H$6,4,FALSE),"")</f>
        <v/>
      </c>
      <c r="AB612" s="29" t="str">
        <f>IFERROR(HLOOKUP(X612,List!$D$2:$H$6,5,FALSE),"")</f>
        <v/>
      </c>
      <c r="AC612" s="12" t="str">
        <f t="shared" si="148"/>
        <v/>
      </c>
      <c r="AD612" s="12" t="str">
        <f t="shared" si="149"/>
        <v/>
      </c>
      <c r="AE612" s="12" t="str">
        <f t="shared" si="150"/>
        <v/>
      </c>
      <c r="AF612" s="12" t="str">
        <f t="shared" si="151"/>
        <v/>
      </c>
      <c r="AG612" t="str">
        <f>VLOOKUP(J612,'Receivable Invoice Detail'!$A$1:F3624,6,FALSE)</f>
        <v>[D-JC20-CS-1/2-316SS] Cyclone Separator, 1/2" NPT, 316SS, Female Connections, JC Type 20</v>
      </c>
      <c r="AH612" s="12">
        <f t="shared" ref="AH612:AH613" si="166">SUM(AC612:AF612)</f>
        <v>0</v>
      </c>
      <c r="AM612" s="12" t="str">
        <f t="shared" si="153"/>
        <v/>
      </c>
      <c r="AN612" s="12" t="str">
        <f t="shared" si="154"/>
        <v/>
      </c>
      <c r="AO612" s="12" t="str">
        <f t="shared" si="155"/>
        <v/>
      </c>
      <c r="AP612" s="12" t="str">
        <f t="shared" si="156"/>
        <v/>
      </c>
      <c r="AQ612" s="12"/>
      <c r="AR612" s="16" t="s">
        <v>5940</v>
      </c>
      <c r="AS612" s="12">
        <f t="shared" si="158"/>
        <v>483.82715767240597</v>
      </c>
      <c r="AT612" s="16" t="str">
        <f t="shared" si="160"/>
        <v/>
      </c>
    </row>
    <row r="613" spans="1:46" hidden="1" x14ac:dyDescent="0.25">
      <c r="A613" s="41">
        <f>CASOPOInvCL!T613</f>
        <v>1</v>
      </c>
      <c r="B613" t="str">
        <f>CASOPOInvCL!Z613</f>
        <v>SO17315</v>
      </c>
      <c r="G613" s="5" t="str">
        <f>CASOPOInvCL!I613</f>
        <v>Amanda Qiao</v>
      </c>
      <c r="H613" s="31">
        <f>CASOPOInvCL!U613</f>
        <v>6</v>
      </c>
      <c r="I613" s="31">
        <f>CASOPOInvCL!V613</f>
        <v>2025</v>
      </c>
      <c r="J613" s="5" t="str">
        <f>CASOPOInvCL!AB613</f>
        <v>INV13535</v>
      </c>
      <c r="K613" s="31" t="str">
        <f>CASOPOInvCL!W613</f>
        <v/>
      </c>
      <c r="L613" s="31" t="str">
        <f>CASOPOInvCL!X613</f>
        <v/>
      </c>
      <c r="M613" s="31"/>
      <c r="N613" s="5" t="str">
        <f>CASOPOInvCL!AF613</f>
        <v>Mill-Right Mine Services Inc.</v>
      </c>
      <c r="O613" s="16" t="str">
        <f>CASOPOInvCL!AG613</f>
        <v>USD</v>
      </c>
      <c r="P613" s="16">
        <f>CASOPOInvCL!AH613</f>
        <v>9028.6394719735035</v>
      </c>
      <c r="Q613" s="16">
        <f>CASOPOInvCL!AI613</f>
        <v>6597</v>
      </c>
      <c r="R613" s="32" t="str">
        <f>CASOPOInvCL!AU613</f>
        <v/>
      </c>
      <c r="S613" s="16">
        <f>CASOPOInvCL!AV613</f>
        <v>667</v>
      </c>
      <c r="T613" s="16">
        <f>CASOPOInvCL!AW613</f>
        <v>0</v>
      </c>
      <c r="Y613" s="29" t="str">
        <f>IFERROR(HLOOKUP(U613,List!$D$2:$H$6,2,FALSE),"")</f>
        <v/>
      </c>
      <c r="Z613" s="29" t="str">
        <f>IFERROR(HLOOKUP(V613,List!$D$2:$H$6,3,FALSE),"")</f>
        <v/>
      </c>
      <c r="AA613" s="29" t="str">
        <f>IFERROR(HLOOKUP(W613,List!$D$2:$H$6,4,FALSE),"")</f>
        <v/>
      </c>
      <c r="AB613" s="29" t="str">
        <f>IFERROR(HLOOKUP(X613,List!$D$2:$H$6,5,FALSE),"")</f>
        <v/>
      </c>
      <c r="AC613" s="12" t="str">
        <f t="shared" si="148"/>
        <v/>
      </c>
      <c r="AD613" s="12" t="str">
        <f t="shared" si="149"/>
        <v/>
      </c>
      <c r="AE613" s="12" t="str">
        <f t="shared" si="150"/>
        <v/>
      </c>
      <c r="AF613" s="12" t="str">
        <f t="shared" si="151"/>
        <v/>
      </c>
      <c r="AG613" t="str">
        <f>VLOOKUP(J613,'Receivable Invoice Detail'!$A$1:F3625,6,FALSE)</f>
        <v>[W-SPR65116/S44] Upper Strainer, 65QV-SPR, Neoprene</v>
      </c>
      <c r="AH613" s="12">
        <f t="shared" si="166"/>
        <v>0</v>
      </c>
      <c r="AM613" s="12" t="str">
        <f t="shared" si="153"/>
        <v/>
      </c>
      <c r="AN613" s="12" t="str">
        <f t="shared" si="154"/>
        <v/>
      </c>
      <c r="AO613" s="12" t="str">
        <f t="shared" si="155"/>
        <v/>
      </c>
      <c r="AP613" s="12" t="str">
        <f t="shared" si="156"/>
        <v/>
      </c>
      <c r="AQ613" s="12"/>
      <c r="AS613" s="12">
        <f t="shared" si="158"/>
        <v>109.03502762777933</v>
      </c>
      <c r="AT613" s="16" t="str">
        <f t="shared" si="160"/>
        <v/>
      </c>
    </row>
    <row r="614" spans="1:46" hidden="1" x14ac:dyDescent="0.25">
      <c r="A614" s="41">
        <f>CASOPOInvCL!T614</f>
        <v>1</v>
      </c>
      <c r="B614" t="str">
        <f>CASOPOInvCL!Z614</f>
        <v>SO17316</v>
      </c>
      <c r="D614" t="s">
        <v>5925</v>
      </c>
      <c r="G614" s="5" t="str">
        <f>CASOPOInvCL!I614</f>
        <v>Ian Trottier</v>
      </c>
      <c r="H614" s="31">
        <f>CASOPOInvCL!U614</f>
        <v>6</v>
      </c>
      <c r="I614" s="31">
        <f>CASOPOInvCL!V614</f>
        <v>2025</v>
      </c>
      <c r="J614" s="5" t="str">
        <f>CASOPOInvCL!AB614</f>
        <v>INV13092</v>
      </c>
      <c r="K614" s="31">
        <f>CASOPOInvCL!W614</f>
        <v>7</v>
      </c>
      <c r="L614" s="31">
        <f>CASOPOInvCL!X614</f>
        <v>2025</v>
      </c>
      <c r="M614">
        <v>2503</v>
      </c>
      <c r="N614" s="5" t="str">
        <f>CASOPOInvCL!AF614</f>
        <v>Wajax Limited - Noranda</v>
      </c>
      <c r="O614" s="16" t="str">
        <f>CASOPOInvCL!AG614</f>
        <v>CAD</v>
      </c>
      <c r="P614" s="16">
        <f>CASOPOInvCL!AH614</f>
        <v>1422.5</v>
      </c>
      <c r="Q614" s="16">
        <f>CASOPOInvCL!AI614</f>
        <v>1044.5391721548419</v>
      </c>
      <c r="R614" s="32" t="str">
        <f>CASOPOInvCL!AU614</f>
        <v>Yes</v>
      </c>
      <c r="S614" s="16">
        <f>CASOPOInvCL!AV614</f>
        <v>0</v>
      </c>
      <c r="T614" s="16">
        <f>CASOPOInvCL!AW614</f>
        <v>1044.5391721548419</v>
      </c>
      <c r="V614" t="s">
        <v>5800</v>
      </c>
      <c r="Y614" s="29" t="str">
        <f>IFERROR(HLOOKUP(U614,List!$D$2:$H$6,2,FALSE),"")</f>
        <v/>
      </c>
      <c r="Z614" s="29">
        <f>IFERROR(HLOOKUP(V614,List!$D$2:$H$6,3,FALSE),"")</f>
        <v>5.0000000000000001E-3</v>
      </c>
      <c r="AA614" s="29" t="str">
        <f>IFERROR(HLOOKUP(W614,List!$D$2:$H$6,4,FALSE),"")</f>
        <v/>
      </c>
      <c r="AB614" s="29" t="str">
        <f>IFERROR(HLOOKUP(X614,List!$D$2:$H$6,5,FALSE),"")</f>
        <v/>
      </c>
      <c r="AC614" s="12" t="str">
        <f t="shared" si="148"/>
        <v/>
      </c>
      <c r="AD614" s="12">
        <f t="shared" si="149"/>
        <v>5.22269586077421</v>
      </c>
      <c r="AE614" s="12" t="str">
        <f t="shared" si="150"/>
        <v/>
      </c>
      <c r="AF614" s="12" t="str">
        <f t="shared" si="151"/>
        <v/>
      </c>
      <c r="AG614" t="str">
        <f>VLOOKUP(J614,'Receivable Invoice Detail'!$A$1:F3626,6,FALSE)</f>
        <v>[AC-98-331-958-808] Shaft Sleeve, 5x4/5x5/6x6 SRL, 316SS</v>
      </c>
      <c r="AM614" s="12" t="str">
        <f t="shared" si="153"/>
        <v/>
      </c>
      <c r="AN614" s="12">
        <f t="shared" si="154"/>
        <v>5.22269586077421</v>
      </c>
      <c r="AO614" s="12" t="str">
        <f t="shared" si="155"/>
        <v/>
      </c>
      <c r="AP614" s="12" t="str">
        <f t="shared" si="156"/>
        <v/>
      </c>
      <c r="AQ614" s="64">
        <v>2503</v>
      </c>
      <c r="AR614" t="s">
        <v>5932</v>
      </c>
      <c r="AS614" s="12">
        <f t="shared" si="158"/>
        <v>0</v>
      </c>
      <c r="AT614" s="16" t="str">
        <f t="shared" si="160"/>
        <v>Yes</v>
      </c>
    </row>
    <row r="615" spans="1:46" hidden="1" x14ac:dyDescent="0.25">
      <c r="A615" s="41">
        <f>CASOPOInvCL!T615</f>
        <v>1</v>
      </c>
      <c r="B615" t="str">
        <f>CASOPOInvCL!Z615</f>
        <v>SO17317</v>
      </c>
      <c r="D615" t="s">
        <v>5925</v>
      </c>
      <c r="G615" s="5" t="str">
        <f>CASOPOInvCL!I615</f>
        <v>Ian Trottier</v>
      </c>
      <c r="H615" s="31">
        <f>CASOPOInvCL!U615</f>
        <v>6</v>
      </c>
      <c r="I615" s="31">
        <f>CASOPOInvCL!V615</f>
        <v>2025</v>
      </c>
      <c r="J615" s="5" t="str">
        <f>CASOPOInvCL!AB615</f>
        <v>INV13083</v>
      </c>
      <c r="K615" s="31">
        <f>CASOPOInvCL!W615</f>
        <v>8</v>
      </c>
      <c r="L615" s="31">
        <f>CASOPOInvCL!X615</f>
        <v>2025</v>
      </c>
      <c r="M615">
        <v>2503</v>
      </c>
      <c r="N615" s="5" t="str">
        <f>CASOPOInvCL!AF615</f>
        <v>Resolute Forest Products - Kenogami</v>
      </c>
      <c r="O615" s="16" t="str">
        <f>CASOPOInvCL!AG615</f>
        <v>CAD</v>
      </c>
      <c r="P615" s="16">
        <f>CASOPOInvCL!AH615</f>
        <v>1879.56</v>
      </c>
      <c r="Q615" s="16">
        <f>CASOPOInvCL!AI615</f>
        <v>1373.461978864812</v>
      </c>
      <c r="R615" s="32" t="str">
        <f>CASOPOInvCL!AU615</f>
        <v>Yes</v>
      </c>
      <c r="S615" s="16">
        <f>CASOPOInvCL!AV615</f>
        <v>0</v>
      </c>
      <c r="T615" s="16">
        <f>CASOPOInvCL!AW615</f>
        <v>1373.461978864812</v>
      </c>
      <c r="V615" t="s">
        <v>5800</v>
      </c>
      <c r="Y615" s="29" t="str">
        <f>IFERROR(HLOOKUP(U615,List!$D$2:$H$6,2,FALSE),"")</f>
        <v/>
      </c>
      <c r="Z615" s="29">
        <f>IFERROR(HLOOKUP(V615,List!$D$2:$H$6,3,FALSE),"")</f>
        <v>5.0000000000000001E-3</v>
      </c>
      <c r="AA615" s="29" t="str">
        <f>IFERROR(HLOOKUP(W615,List!$D$2:$H$6,4,FALSE),"")</f>
        <v/>
      </c>
      <c r="AB615" s="29" t="str">
        <f>IFERROR(HLOOKUP(X615,List!$D$2:$H$6,5,FALSE),"")</f>
        <v/>
      </c>
      <c r="AC615" s="12" t="str">
        <f t="shared" si="148"/>
        <v/>
      </c>
      <c r="AD615" s="12">
        <f t="shared" si="149"/>
        <v>6.8673098943240598</v>
      </c>
      <c r="AE615" s="12" t="str">
        <f t="shared" si="150"/>
        <v/>
      </c>
      <c r="AF615" s="12" t="str">
        <f t="shared" si="151"/>
        <v/>
      </c>
      <c r="AG615" t="str">
        <f>VLOOKUP(J615,'Receivable Invoice Detail'!$A$1:F3627,6,FALSE)</f>
        <v>[AC-98-130-367-001] Shaft Sleeve, PWO Frame 2, 316SS</v>
      </c>
      <c r="AM615" s="12" t="str">
        <f t="shared" si="153"/>
        <v/>
      </c>
      <c r="AN615" s="12">
        <f t="shared" si="154"/>
        <v>6.8673098943240598</v>
      </c>
      <c r="AO615" s="12" t="str">
        <f t="shared" si="155"/>
        <v/>
      </c>
      <c r="AP615" s="12" t="str">
        <f t="shared" si="156"/>
        <v/>
      </c>
      <c r="AQ615" s="64">
        <v>2503</v>
      </c>
      <c r="AR615" t="s">
        <v>5932</v>
      </c>
      <c r="AS615" s="12">
        <f t="shared" si="158"/>
        <v>0</v>
      </c>
      <c r="AT615" s="16" t="str">
        <f t="shared" si="160"/>
        <v>Yes</v>
      </c>
    </row>
    <row r="616" spans="1:46" hidden="1" x14ac:dyDescent="0.25">
      <c r="A616" s="41">
        <f>CASOPOInvCL!T616</f>
        <v>1</v>
      </c>
      <c r="B616" t="str">
        <f>CASOPOInvCL!Z616</f>
        <v>SO17318</v>
      </c>
      <c r="D616" t="s">
        <v>5938</v>
      </c>
      <c r="G616" s="5" t="str">
        <f>CASOPOInvCL!I616</f>
        <v>Marlen Martinez</v>
      </c>
      <c r="H616" s="31">
        <f>CASOPOInvCL!U616</f>
        <v>6</v>
      </c>
      <c r="I616" s="31">
        <f>CASOPOInvCL!V616</f>
        <v>2025</v>
      </c>
      <c r="J616" s="5" t="str">
        <f>CASOPOInvCL!AB616</f>
        <v>INV13093</v>
      </c>
      <c r="K616" s="31">
        <f>CASOPOInvCL!W616</f>
        <v>7</v>
      </c>
      <c r="L616" s="31">
        <f>CASOPOInvCL!X616</f>
        <v>2025</v>
      </c>
      <c r="M616">
        <v>2504</v>
      </c>
      <c r="N616" s="5" t="str">
        <f>CASOPOInvCL!AF616</f>
        <v>Wajax Limited - Pointe-aux-Trembles, Wajax Limited</v>
      </c>
      <c r="O616" s="16" t="str">
        <f>CASOPOInvCL!AG616</f>
        <v>CAD</v>
      </c>
      <c r="P616" s="16">
        <f>CASOPOInvCL!AH616</f>
        <v>457.66</v>
      </c>
      <c r="Q616" s="16">
        <f>CASOPOInvCL!AI616</f>
        <v>336.05890863155349</v>
      </c>
      <c r="R616" s="32" t="str">
        <f>CASOPOInvCL!AU616</f>
        <v>Yes</v>
      </c>
      <c r="S616" s="16">
        <f>CASOPOInvCL!AV616</f>
        <v>0</v>
      </c>
      <c r="T616" s="16">
        <f>CASOPOInvCL!AW616</f>
        <v>336.05890863155349</v>
      </c>
      <c r="Y616" s="29" t="str">
        <f>IFERROR(HLOOKUP(U616,List!$D$2:$H$6,2,FALSE),"")</f>
        <v/>
      </c>
      <c r="Z616" s="29" t="str">
        <f>IFERROR(HLOOKUP(V616,List!$D$2:$H$6,3,FALSE),"")</f>
        <v/>
      </c>
      <c r="AA616" s="29" t="str">
        <f>IFERROR(HLOOKUP(W616,List!$D$2:$H$6,4,FALSE),"")</f>
        <v/>
      </c>
      <c r="AB616" s="29" t="str">
        <f>IFERROR(HLOOKUP(X616,List!$D$2:$H$6,5,FALSE),"")</f>
        <v/>
      </c>
      <c r="AC616" s="12" t="str">
        <f t="shared" si="148"/>
        <v/>
      </c>
      <c r="AD616" s="12" t="str">
        <f t="shared" si="149"/>
        <v/>
      </c>
      <c r="AE616" s="12" t="str">
        <f t="shared" si="150"/>
        <v/>
      </c>
      <c r="AF616" s="12" t="str">
        <f t="shared" si="151"/>
        <v/>
      </c>
      <c r="AG616" t="str">
        <f>VLOOKUP(J616,'Receivable Invoice Detail'!$A$1:F3628,6,FALSE)</f>
        <v>[OLPWZ011006B, G-A04951A219] Bearing Isolator (Outboard), 3196 MTX/MTi, 303SS Rotor / Bronze Stator w/Viton</v>
      </c>
      <c r="AH616" s="12">
        <f t="shared" ref="AH616:AH619" si="167">SUM(AC616:AF616)</f>
        <v>0</v>
      </c>
      <c r="AM616" s="12" t="str">
        <f t="shared" si="153"/>
        <v/>
      </c>
      <c r="AN616" s="12" t="str">
        <f t="shared" si="154"/>
        <v/>
      </c>
      <c r="AO616" s="12" t="str">
        <f t="shared" si="155"/>
        <v/>
      </c>
      <c r="AP616" s="12" t="str">
        <f t="shared" si="156"/>
        <v/>
      </c>
      <c r="AQ616" s="64">
        <f>M616</f>
        <v>2504</v>
      </c>
      <c r="AR616" s="23" t="s">
        <v>5931</v>
      </c>
      <c r="AS616" s="12">
        <f t="shared" si="158"/>
        <v>15.668087582322629</v>
      </c>
      <c r="AT616" s="16" t="str">
        <f t="shared" si="160"/>
        <v>Yes</v>
      </c>
    </row>
    <row r="617" spans="1:46" hidden="1" x14ac:dyDescent="0.25">
      <c r="A617" s="41">
        <f>CASOPOInvCL!T617</f>
        <v>1</v>
      </c>
      <c r="B617" t="str">
        <f>CASOPOInvCL!Z617</f>
        <v>SO17319</v>
      </c>
      <c r="G617" s="5" t="str">
        <f>CASOPOInvCL!I617</f>
        <v>Ian Trottier</v>
      </c>
      <c r="H617" s="31">
        <f>CASOPOInvCL!U617</f>
        <v>6</v>
      </c>
      <c r="I617" s="31">
        <f>CASOPOInvCL!V617</f>
        <v>2025</v>
      </c>
      <c r="J617" s="5" t="str">
        <f>CASOPOInvCL!AB617</f>
        <v>INV13102</v>
      </c>
      <c r="K617" s="31">
        <f>CASOPOInvCL!W617</f>
        <v>8</v>
      </c>
      <c r="L617" s="31">
        <f>CASOPOInvCL!X617</f>
        <v>2025</v>
      </c>
      <c r="M617" s="31"/>
      <c r="N617" s="5" t="str">
        <f>CASOPOInvCL!AF617</f>
        <v>Hyperflo</v>
      </c>
      <c r="O617" s="16" t="str">
        <f>CASOPOInvCL!AG617</f>
        <v>CAD</v>
      </c>
      <c r="P617" s="16">
        <f>CASOPOInvCL!AH617</f>
        <v>454.78</v>
      </c>
      <c r="Q617" s="16">
        <f>CASOPOInvCL!AI617</f>
        <v>332.3240751814995</v>
      </c>
      <c r="R617" s="32" t="str">
        <f>CASOPOInvCL!AU617</f>
        <v>Yes</v>
      </c>
      <c r="S617" s="16">
        <f>CASOPOInvCL!AV617</f>
        <v>0</v>
      </c>
      <c r="T617" s="16">
        <f>CASOPOInvCL!AW617</f>
        <v>332.3240751814995</v>
      </c>
      <c r="Y617" s="29" t="str">
        <f>IFERROR(HLOOKUP(U617,List!$D$2:$H$6,2,FALSE),"")</f>
        <v/>
      </c>
      <c r="Z617" s="29" t="str">
        <f>IFERROR(HLOOKUP(V617,List!$D$2:$H$6,3,FALSE),"")</f>
        <v/>
      </c>
      <c r="AA617" s="29" t="str">
        <f>IFERROR(HLOOKUP(W617,List!$D$2:$H$6,4,FALSE),"")</f>
        <v/>
      </c>
      <c r="AB617" s="29" t="str">
        <f>IFERROR(HLOOKUP(X617,List!$D$2:$H$6,5,FALSE),"")</f>
        <v/>
      </c>
      <c r="AC617" s="12" t="str">
        <f t="shared" si="148"/>
        <v/>
      </c>
      <c r="AD617" s="12" t="str">
        <f t="shared" si="149"/>
        <v/>
      </c>
      <c r="AE617" s="12" t="str">
        <f t="shared" si="150"/>
        <v/>
      </c>
      <c r="AF617" s="12" t="str">
        <f t="shared" si="151"/>
        <v/>
      </c>
      <c r="AG617" t="str">
        <f>VLOOKUP(J617,'Receivable Invoice Detail'!$A$1:F3629,6,FALSE)</f>
        <v>[AC-98-211-426-501] Impeller, 2x2-10 SRL, Natural Rubber</v>
      </c>
      <c r="AH617" s="12">
        <f t="shared" si="167"/>
        <v>0</v>
      </c>
      <c r="AM617" s="12" t="str">
        <f t="shared" si="153"/>
        <v/>
      </c>
      <c r="AN617" s="12" t="str">
        <f t="shared" si="154"/>
        <v/>
      </c>
      <c r="AO617" s="12" t="str">
        <f t="shared" si="155"/>
        <v/>
      </c>
      <c r="AP617" s="12" t="str">
        <f t="shared" si="156"/>
        <v/>
      </c>
      <c r="AQ617" s="12"/>
      <c r="AS617" s="12">
        <f t="shared" si="158"/>
        <v>20.60192968297218</v>
      </c>
      <c r="AT617" s="16" t="str">
        <f t="shared" si="160"/>
        <v>Yes</v>
      </c>
    </row>
    <row r="618" spans="1:46" hidden="1" x14ac:dyDescent="0.25">
      <c r="A618" s="41">
        <f>CASOPOInvCL!T618</f>
        <v>1</v>
      </c>
      <c r="B618" t="str">
        <f>CASOPOInvCL!Z618</f>
        <v>SO17320</v>
      </c>
      <c r="D618" t="s">
        <v>5925</v>
      </c>
      <c r="G618" s="5" t="str">
        <f>CASOPOInvCL!I618</f>
        <v>Ian Trottier</v>
      </c>
      <c r="H618" s="31">
        <f>CASOPOInvCL!U618</f>
        <v>6</v>
      </c>
      <c r="I618" s="31">
        <f>CASOPOInvCL!V618</f>
        <v>2025</v>
      </c>
      <c r="J618" s="5" t="str">
        <f>CASOPOInvCL!AB618</f>
        <v>INV13218</v>
      </c>
      <c r="K618" s="31">
        <f>CASOPOInvCL!W618</f>
        <v>8</v>
      </c>
      <c r="L618" s="31">
        <f>CASOPOInvCL!X618</f>
        <v>2025</v>
      </c>
      <c r="M618">
        <v>2503</v>
      </c>
      <c r="N618" s="5" t="str">
        <f>CASOPOInvCL!AF618</f>
        <v>Hyperflo</v>
      </c>
      <c r="O618" s="16" t="str">
        <f>CASOPOInvCL!AG618</f>
        <v>CAD</v>
      </c>
      <c r="P618" s="16">
        <f>CASOPOInvCL!AH618</f>
        <v>4996.2700000000004</v>
      </c>
      <c r="Q618" s="16">
        <f>CASOPOInvCL!AI618</f>
        <v>3656.6032931865307</v>
      </c>
      <c r="R618" s="32" t="str">
        <f>CASOPOInvCL!AU618</f>
        <v>Yes</v>
      </c>
      <c r="S618" s="16">
        <f>CASOPOInvCL!AV618</f>
        <v>0</v>
      </c>
      <c r="T618" s="16">
        <f>CASOPOInvCL!AW618</f>
        <v>3656.6032931865307</v>
      </c>
      <c r="V618" t="s">
        <v>5800</v>
      </c>
      <c r="Y618" s="29" t="str">
        <f>IFERROR(HLOOKUP(U618,List!$D$2:$H$6,2,FALSE),"")</f>
        <v/>
      </c>
      <c r="Z618" s="29">
        <f>IFERROR(HLOOKUP(V618,List!$D$2:$H$6,3,FALSE),"")</f>
        <v>5.0000000000000001E-3</v>
      </c>
      <c r="AA618" s="29" t="str">
        <f>IFERROR(HLOOKUP(W618,List!$D$2:$H$6,4,FALSE),"")</f>
        <v/>
      </c>
      <c r="AB618" s="29" t="str">
        <f>IFERROR(HLOOKUP(X618,List!$D$2:$H$6,5,FALSE),"")</f>
        <v/>
      </c>
      <c r="AC618" s="12" t="str">
        <f t="shared" si="148"/>
        <v/>
      </c>
      <c r="AD618" s="12">
        <f t="shared" si="149"/>
        <v>18.283016465932654</v>
      </c>
      <c r="AE618" s="12" t="str">
        <f t="shared" si="150"/>
        <v/>
      </c>
      <c r="AF618" s="12" t="str">
        <f t="shared" si="151"/>
        <v/>
      </c>
      <c r="AG618" t="str">
        <f>VLOOKUP(J618,'Receivable Invoice Detail'!$A$1:F3630,6,FALSE)</f>
        <v>[AC-52-431-816-007] Casing Gasket, 10",  Allis Chalmers CSO</v>
      </c>
      <c r="AH618" s="12">
        <f t="shared" si="167"/>
        <v>18.283016465932654</v>
      </c>
      <c r="AM618" s="12" t="str">
        <f t="shared" si="153"/>
        <v/>
      </c>
      <c r="AN618" s="12">
        <f t="shared" si="154"/>
        <v>18.283016465932654</v>
      </c>
      <c r="AO618" s="12" t="str">
        <f t="shared" si="155"/>
        <v/>
      </c>
      <c r="AP618" s="12" t="str">
        <f t="shared" si="156"/>
        <v/>
      </c>
      <c r="AQ618" s="64">
        <v>2503</v>
      </c>
      <c r="AR618" t="s">
        <v>5932</v>
      </c>
      <c r="AS618" s="12">
        <f t="shared" si="158"/>
        <v>5.0408836294733019</v>
      </c>
      <c r="AT618" s="16" t="str">
        <f t="shared" si="160"/>
        <v>Yes</v>
      </c>
    </row>
    <row r="619" spans="1:46" hidden="1" x14ac:dyDescent="0.25">
      <c r="A619" s="41">
        <f>CASOPOInvCL!T619</f>
        <v>3</v>
      </c>
      <c r="B619" t="str">
        <f>CASOPOInvCL!Z619</f>
        <v>SO17321</v>
      </c>
      <c r="D619" t="s">
        <v>5925</v>
      </c>
      <c r="G619" s="5" t="str">
        <f>CASOPOInvCL!I619</f>
        <v>Ian Trottier</v>
      </c>
      <c r="H619" s="31">
        <f>CASOPOInvCL!U619</f>
        <v>6</v>
      </c>
      <c r="I619" s="31">
        <f>CASOPOInvCL!V619</f>
        <v>2025</v>
      </c>
      <c r="J619" s="5" t="str">
        <f>CASOPOInvCL!AB619</f>
        <v>INV13284</v>
      </c>
      <c r="K619" s="31">
        <f>CASOPOInvCL!W619</f>
        <v>8</v>
      </c>
      <c r="L619" s="31">
        <f>CASOPOInvCL!X619</f>
        <v>2025</v>
      </c>
      <c r="M619">
        <v>2503</v>
      </c>
      <c r="N619" s="5" t="str">
        <f>CASOPOInvCL!AF619</f>
        <v>Alpha Industrial &amp; Mining Supplies Limited</v>
      </c>
      <c r="O619" s="16" t="str">
        <f>CASOPOInvCL!AG619</f>
        <v>CAD</v>
      </c>
      <c r="P619" s="16">
        <f>CASOPOInvCL!AH619</f>
        <v>6945.69</v>
      </c>
      <c r="Q619" s="16">
        <f>CASOPOInvCL!AI619</f>
        <v>5100.207580066196</v>
      </c>
      <c r="R619" s="32" t="str">
        <f>CASOPOInvCL!AU619</f>
        <v>Yes</v>
      </c>
      <c r="S619" s="16">
        <f>CASOPOInvCL!AV619</f>
        <v>0</v>
      </c>
      <c r="T619" s="16">
        <f>CASOPOInvCL!AW619</f>
        <v>5100.207580066196</v>
      </c>
      <c r="V619" t="s">
        <v>5801</v>
      </c>
      <c r="Y619" s="29" t="str">
        <f>IFERROR(HLOOKUP(U619,List!$D$2:$H$6,2,FALSE),"")</f>
        <v/>
      </c>
      <c r="Z619" s="29">
        <f>IFERROR(HLOOKUP(V619,List!$D$2:$H$6,3,FALSE),"")</f>
        <v>0.02</v>
      </c>
      <c r="AA619" s="29" t="str">
        <f>IFERROR(HLOOKUP(W619,List!$D$2:$H$6,4,FALSE),"")</f>
        <v/>
      </c>
      <c r="AB619" s="29" t="str">
        <f>IFERROR(HLOOKUP(X619,List!$D$2:$H$6,5,FALSE),"")</f>
        <v/>
      </c>
      <c r="AC619" s="12" t="str">
        <f t="shared" si="148"/>
        <v/>
      </c>
      <c r="AD619" s="12">
        <f t="shared" si="149"/>
        <v>102.00415160132393</v>
      </c>
      <c r="AE619" s="12" t="str">
        <f t="shared" si="150"/>
        <v/>
      </c>
      <c r="AF619" s="12" t="str">
        <f t="shared" si="151"/>
        <v/>
      </c>
      <c r="AG619" t="str">
        <f>VLOOKUP(J619,'Receivable Invoice Detail'!$A$1:F3631,6,FALSE)</f>
        <v>[SA-567450] Bearing Housing, Sala STHM-33WFR, Cast Iron</v>
      </c>
      <c r="AH619" s="12">
        <f t="shared" si="167"/>
        <v>102.00415160132393</v>
      </c>
      <c r="AM619" s="12" t="str">
        <f t="shared" si="153"/>
        <v/>
      </c>
      <c r="AN619" s="12">
        <f t="shared" si="154"/>
        <v>102.00415160132393</v>
      </c>
      <c r="AO619" s="12" t="str">
        <f t="shared" si="155"/>
        <v/>
      </c>
      <c r="AP619" s="12" t="str">
        <f t="shared" si="156"/>
        <v/>
      </c>
      <c r="AQ619" s="64">
        <v>2503</v>
      </c>
      <c r="AR619" t="s">
        <v>5932</v>
      </c>
      <c r="AS619" s="12">
        <f t="shared" si="158"/>
        <v>4.9848611277224926</v>
      </c>
      <c r="AT619" s="16" t="str">
        <f t="shared" si="160"/>
        <v>Yes</v>
      </c>
    </row>
    <row r="620" spans="1:46" hidden="1" x14ac:dyDescent="0.25">
      <c r="A620" s="41">
        <f>CASOPOInvCL!T620</f>
        <v>3</v>
      </c>
      <c r="B620" t="str">
        <f>CASOPOInvCL!Z620</f>
        <v>SO17321</v>
      </c>
      <c r="D620" t="s">
        <v>5925</v>
      </c>
      <c r="G620" s="5">
        <f>CASOPOInvCL!I620</f>
        <v>0</v>
      </c>
      <c r="H620" s="31">
        <f>CASOPOInvCL!U620</f>
        <v>6</v>
      </c>
      <c r="I620" s="31">
        <f>CASOPOInvCL!V620</f>
        <v>2025</v>
      </c>
      <c r="J620" s="73" t="str">
        <f>CASOPOInvCL!AB620</f>
        <v>INV13142</v>
      </c>
      <c r="K620" s="31">
        <f>CASOPOInvCL!W620</f>
        <v>7</v>
      </c>
      <c r="L620" s="31">
        <f>CASOPOInvCL!X620</f>
        <v>2025</v>
      </c>
      <c r="M620">
        <v>2503</v>
      </c>
      <c r="N620" s="73" t="str">
        <f>CASOPOInvCL!AF620</f>
        <v>Alpha Industrial &amp; Mining Supplies Limited</v>
      </c>
      <c r="O620" s="16" t="str">
        <f>CASOPOInvCL!AG620</f>
        <v>CAD</v>
      </c>
      <c r="P620" s="16">
        <f>CASOPOInvCL!AH620</f>
        <v>0</v>
      </c>
      <c r="Q620" s="16">
        <f>CASOPOInvCL!AI620</f>
        <v>0</v>
      </c>
      <c r="R620" s="32" t="str">
        <f>CASOPOInvCL!AU620</f>
        <v/>
      </c>
      <c r="S620" s="16">
        <f>CASOPOInvCL!AV620</f>
        <v>0</v>
      </c>
      <c r="T620" s="16">
        <f>CASOPOInvCL!AW620</f>
        <v>0</v>
      </c>
      <c r="V620" t="s">
        <v>5801</v>
      </c>
      <c r="Y620" s="29" t="str">
        <f>IFERROR(HLOOKUP(U620,List!$D$2:$H$6,2,FALSE),"")</f>
        <v/>
      </c>
      <c r="Z620" s="29">
        <f>IFERROR(HLOOKUP(V620,List!$D$2:$H$6,3,FALSE),"")</f>
        <v>0.02</v>
      </c>
      <c r="AA620" s="29" t="str">
        <f>IFERROR(HLOOKUP(W620,List!$D$2:$H$6,4,FALSE),"")</f>
        <v/>
      </c>
      <c r="AB620" s="29" t="str">
        <f>IFERROR(HLOOKUP(X620,List!$D$2:$H$6,5,FALSE),"")</f>
        <v/>
      </c>
      <c r="AC620" s="12" t="str">
        <f t="shared" si="148"/>
        <v/>
      </c>
      <c r="AD620" s="12">
        <f t="shared" si="149"/>
        <v>0</v>
      </c>
      <c r="AE620" s="12" t="str">
        <f t="shared" si="150"/>
        <v/>
      </c>
      <c r="AF620" s="12" t="str">
        <f t="shared" si="151"/>
        <v/>
      </c>
      <c r="AG620" t="str">
        <f>VLOOKUP(J620,'Receivable Invoice Detail'!$A$1:F3632,6,FALSE)</f>
        <v>[SA-567131] Labyrinth Ring, Sala STHM-33WFR, Steel</v>
      </c>
      <c r="AM620" s="12" t="str">
        <f t="shared" si="153"/>
        <v/>
      </c>
      <c r="AN620" s="12">
        <f t="shared" si="154"/>
        <v>0</v>
      </c>
      <c r="AO620" s="12" t="str">
        <f t="shared" si="155"/>
        <v/>
      </c>
      <c r="AP620" s="12" t="str">
        <f t="shared" si="156"/>
        <v/>
      </c>
      <c r="AQ620" s="64">
        <v>2503</v>
      </c>
      <c r="AR620" t="s">
        <v>5932</v>
      </c>
      <c r="AS620" s="12">
        <f t="shared" si="158"/>
        <v>54.849049397797955</v>
      </c>
      <c r="AT620" s="16" t="str">
        <f t="shared" si="160"/>
        <v/>
      </c>
    </row>
    <row r="621" spans="1:46" hidden="1" x14ac:dyDescent="0.25">
      <c r="A621" s="41">
        <f>CASOPOInvCL!T621</f>
        <v>3</v>
      </c>
      <c r="B621" t="str">
        <f>CASOPOInvCL!Z621</f>
        <v>SO17321</v>
      </c>
      <c r="D621" t="s">
        <v>5925</v>
      </c>
      <c r="G621" s="5">
        <f>CASOPOInvCL!I621</f>
        <v>0</v>
      </c>
      <c r="H621" s="31">
        <f>CASOPOInvCL!U621</f>
        <v>6</v>
      </c>
      <c r="I621" s="31">
        <f>CASOPOInvCL!V621</f>
        <v>2025</v>
      </c>
      <c r="J621" s="5" t="str">
        <f>CASOPOInvCL!AB621</f>
        <v>INV13170</v>
      </c>
      <c r="K621" s="31">
        <f>CASOPOInvCL!W621</f>
        <v>7</v>
      </c>
      <c r="L621" s="31">
        <f>CASOPOInvCL!X621</f>
        <v>2025</v>
      </c>
      <c r="M621">
        <v>2503</v>
      </c>
      <c r="N621" s="5" t="str">
        <f>CASOPOInvCL!AF621</f>
        <v>Alpha Industrial &amp; Mining Supplies Limited</v>
      </c>
      <c r="O621" s="16" t="str">
        <f>CASOPOInvCL!AG621</f>
        <v>CAD</v>
      </c>
      <c r="P621" s="16">
        <f>CASOPOInvCL!AH621</f>
        <v>0</v>
      </c>
      <c r="Q621" s="16">
        <f>CASOPOInvCL!AI621</f>
        <v>0</v>
      </c>
      <c r="R621" s="32" t="str">
        <f>CASOPOInvCL!AU621</f>
        <v/>
      </c>
      <c r="S621" s="16">
        <f>CASOPOInvCL!AV621</f>
        <v>0</v>
      </c>
      <c r="T621" s="16">
        <f>CASOPOInvCL!AW621</f>
        <v>0</v>
      </c>
      <c r="V621" t="s">
        <v>5801</v>
      </c>
      <c r="Y621" s="29" t="str">
        <f>IFERROR(HLOOKUP(U621,List!$D$2:$H$6,2,FALSE),"")</f>
        <v/>
      </c>
      <c r="Z621" s="29">
        <f>IFERROR(HLOOKUP(V621,List!$D$2:$H$6,3,FALSE),"")</f>
        <v>0.02</v>
      </c>
      <c r="AA621" s="29" t="str">
        <f>IFERROR(HLOOKUP(W621,List!$D$2:$H$6,4,FALSE),"")</f>
        <v/>
      </c>
      <c r="AB621" s="29" t="str">
        <f>IFERROR(HLOOKUP(X621,List!$D$2:$H$6,5,FALSE),"")</f>
        <v/>
      </c>
      <c r="AC621" s="12" t="str">
        <f t="shared" si="148"/>
        <v/>
      </c>
      <c r="AD621" s="12">
        <f t="shared" si="149"/>
        <v>0</v>
      </c>
      <c r="AE621" s="12" t="str">
        <f t="shared" si="150"/>
        <v/>
      </c>
      <c r="AF621" s="12" t="str">
        <f t="shared" si="151"/>
        <v/>
      </c>
      <c r="AG621" t="str">
        <f>VLOOKUP(J621,'Receivable Invoice Detail'!$A$1:F3633,6,FALSE)</f>
        <v>[SA-567162] Shaft Sleeve, Sala STHM-22/33/44WFR, 316SS</v>
      </c>
      <c r="AM621" s="12" t="str">
        <f t="shared" si="153"/>
        <v/>
      </c>
      <c r="AN621" s="12">
        <f t="shared" si="154"/>
        <v>0</v>
      </c>
      <c r="AO621" s="12" t="str">
        <f t="shared" si="155"/>
        <v/>
      </c>
      <c r="AP621" s="12" t="str">
        <f t="shared" si="156"/>
        <v/>
      </c>
      <c r="AQ621" s="64">
        <v>2503</v>
      </c>
      <c r="AR621" t="s">
        <v>5932</v>
      </c>
      <c r="AS621" s="12">
        <f t="shared" si="158"/>
        <v>76.503113700992941</v>
      </c>
      <c r="AT621" s="16" t="str">
        <f t="shared" si="160"/>
        <v/>
      </c>
    </row>
    <row r="622" spans="1:46" hidden="1" x14ac:dyDescent="0.25">
      <c r="A622" s="41">
        <f>CASOPOInvCL!T622</f>
        <v>1</v>
      </c>
      <c r="B622" s="23" t="str">
        <f>CASOPOInvCL!Z622</f>
        <v>SO17322</v>
      </c>
      <c r="D622" t="s">
        <v>5915</v>
      </c>
      <c r="G622" s="5" t="str">
        <f>CASOPOInvCL!I622</f>
        <v>Wilka Nuñez</v>
      </c>
      <c r="H622" s="31">
        <f>CASOPOInvCL!U622</f>
        <v>6</v>
      </c>
      <c r="I622" s="31">
        <f>CASOPOInvCL!V622</f>
        <v>2025</v>
      </c>
      <c r="J622" s="5" t="str">
        <f>CASOPOInvCL!AB622</f>
        <v>INV13120</v>
      </c>
      <c r="K622" s="31">
        <f>CASOPOInvCL!W622</f>
        <v>8</v>
      </c>
      <c r="L622" s="31">
        <f>CASOPOInvCL!X622</f>
        <v>2025</v>
      </c>
      <c r="M622">
        <v>2503</v>
      </c>
      <c r="N622" s="5" t="str">
        <f>CASOPOInvCL!AF622</f>
        <v>Barrick Gold - Pueblo Viejo Dominicana Corporation</v>
      </c>
      <c r="O622" s="16" t="str">
        <f>CASOPOInvCL!AG622</f>
        <v>USD</v>
      </c>
      <c r="P622" s="16">
        <f>CASOPOInvCL!AH622</f>
        <v>25507.710590544375</v>
      </c>
      <c r="Q622" s="16">
        <f>CASOPOInvCL!AI622</f>
        <v>18639.400000000001</v>
      </c>
      <c r="R622" s="32" t="str">
        <f>CASOPOInvCL!AU622</f>
        <v>Yes</v>
      </c>
      <c r="S622" s="16">
        <f>CASOPOInvCL!AV622</f>
        <v>0</v>
      </c>
      <c r="T622" s="16">
        <f>CASOPOInvCL!AW622</f>
        <v>18639.400000000001</v>
      </c>
      <c r="V622" s="72" t="s">
        <v>5801</v>
      </c>
      <c r="Y622" s="29" t="str">
        <f>IFERROR(HLOOKUP(U622,List!$D$2:$H$6,2,FALSE),"")</f>
        <v/>
      </c>
      <c r="Z622" s="29">
        <f>IFERROR(HLOOKUP(V622,List!$D$2:$H$6,3,FALSE),"")</f>
        <v>0.02</v>
      </c>
      <c r="AA622" s="29" t="str">
        <f>IFERROR(HLOOKUP(W622,List!$D$2:$H$6,4,FALSE),"")</f>
        <v/>
      </c>
      <c r="AB622" s="29" t="str">
        <f>IFERROR(HLOOKUP(X622,List!$D$2:$H$6,5,FALSE),"")</f>
        <v/>
      </c>
      <c r="AC622" s="12" t="str">
        <f t="shared" si="148"/>
        <v/>
      </c>
      <c r="AD622" s="12">
        <f t="shared" si="149"/>
        <v>372.78800000000001</v>
      </c>
      <c r="AE622" s="12" t="str">
        <f t="shared" si="150"/>
        <v/>
      </c>
      <c r="AF622" s="12" t="str">
        <f t="shared" si="151"/>
        <v/>
      </c>
      <c r="AG622" t="str">
        <f>VLOOKUP(J622,'Receivable Invoice Detail'!$A$1:F3634,6,FALSE)</f>
        <v>[AM-HH200C21-09-CD4] Impeller, DW-AE8/6-21W, CD4MCu</v>
      </c>
      <c r="AJ622">
        <v>2503</v>
      </c>
      <c r="AM622" s="12" t="str">
        <f t="shared" si="153"/>
        <v/>
      </c>
      <c r="AN622" s="12">
        <f t="shared" si="154"/>
        <v>0</v>
      </c>
      <c r="AO622" s="12" t="str">
        <f t="shared" si="155"/>
        <v/>
      </c>
      <c r="AP622" s="12" t="str">
        <f t="shared" si="156"/>
        <v/>
      </c>
      <c r="AQ622" s="64">
        <v>2503</v>
      </c>
      <c r="AR622" t="s">
        <v>5933</v>
      </c>
      <c r="AS622" s="12">
        <f t="shared" si="158"/>
        <v>0</v>
      </c>
      <c r="AT622" s="16" t="str">
        <f t="shared" si="160"/>
        <v>Yes</v>
      </c>
    </row>
    <row r="623" spans="1:46" hidden="1" x14ac:dyDescent="0.25">
      <c r="A623" s="41">
        <f>CASOPOInvCL!T623</f>
        <v>1</v>
      </c>
      <c r="B623" t="str">
        <f>CASOPOInvCL!Z623</f>
        <v>SO17325</v>
      </c>
      <c r="G623" s="5" t="str">
        <f>CASOPOInvCL!I623</f>
        <v>Ian Trottier</v>
      </c>
      <c r="H623" s="31">
        <f>CASOPOInvCL!U623</f>
        <v>6</v>
      </c>
      <c r="I623" s="31">
        <f>CASOPOInvCL!V623</f>
        <v>2025</v>
      </c>
      <c r="J623" s="5" t="str">
        <f>CASOPOInvCL!AB623</f>
        <v>INV13139</v>
      </c>
      <c r="K623" s="31">
        <f>CASOPOInvCL!W623</f>
        <v>7</v>
      </c>
      <c r="L623" s="31">
        <f>CASOPOInvCL!X623</f>
        <v>2025</v>
      </c>
      <c r="M623" s="31"/>
      <c r="N623" s="5" t="str">
        <f>CASOPOInvCL!AF623</f>
        <v>Middle Georgia Fluid Sealing LLC</v>
      </c>
      <c r="O623" s="16" t="str">
        <f>CASOPOInvCL!AG623</f>
        <v>USD</v>
      </c>
      <c r="P623" s="16">
        <f>CASOPOInvCL!AH623</f>
        <v>17703.053358786648</v>
      </c>
      <c r="Q623" s="16">
        <f>CASOPOInvCL!AI623</f>
        <v>12999.32</v>
      </c>
      <c r="R623" s="32" t="str">
        <f>CASOPOInvCL!AU623</f>
        <v>Yes</v>
      </c>
      <c r="S623" s="16">
        <f>CASOPOInvCL!AV623</f>
        <v>628</v>
      </c>
      <c r="T623" s="16">
        <f>CASOPOInvCL!AW623</f>
        <v>12371.32</v>
      </c>
      <c r="Y623" s="29" t="str">
        <f>IFERROR(HLOOKUP(U623,List!$D$2:$H$6,2,FALSE),"")</f>
        <v/>
      </c>
      <c r="Z623" s="29" t="str">
        <f>IFERROR(HLOOKUP(V623,List!$D$2:$H$6,3,FALSE),"")</f>
        <v/>
      </c>
      <c r="AA623" s="29" t="str">
        <f>IFERROR(HLOOKUP(W623,List!$D$2:$H$6,4,FALSE),"")</f>
        <v/>
      </c>
      <c r="AB623" s="29" t="str">
        <f>IFERROR(HLOOKUP(X623,List!$D$2:$H$6,5,FALSE),"")</f>
        <v/>
      </c>
      <c r="AC623" s="12" t="str">
        <f t="shared" si="148"/>
        <v/>
      </c>
      <c r="AD623" s="12" t="str">
        <f t="shared" si="149"/>
        <v/>
      </c>
      <c r="AE623" s="12" t="str">
        <f t="shared" si="150"/>
        <v/>
      </c>
      <c r="AF623" s="12" t="str">
        <f t="shared" si="151"/>
        <v/>
      </c>
      <c r="AG623" t="str">
        <f>VLOOKUP(J623,'Receivable Invoice Detail'!$A$1:F3635,6,FALSE)</f>
        <v>[G-1.5x2-14-JC-HC] Pump, 1.5x2-14, Dynapro DC, Frame 2J, High Chrome</v>
      </c>
      <c r="AM623" s="12" t="str">
        <f t="shared" si="153"/>
        <v/>
      </c>
      <c r="AN623" s="12" t="str">
        <f t="shared" si="154"/>
        <v/>
      </c>
      <c r="AO623" s="12" t="str">
        <f t="shared" si="155"/>
        <v/>
      </c>
      <c r="AP623" s="12" t="str">
        <f t="shared" si="156"/>
        <v/>
      </c>
      <c r="AQ623" s="12"/>
      <c r="AS623" s="12">
        <f t="shared" si="158"/>
        <v>0</v>
      </c>
      <c r="AT623" s="16" t="str">
        <f t="shared" si="160"/>
        <v>Yes</v>
      </c>
    </row>
    <row r="624" spans="1:46" hidden="1" x14ac:dyDescent="0.25">
      <c r="A624" s="41">
        <f>CASOPOInvCL!T624</f>
        <v>1</v>
      </c>
      <c r="B624" t="str">
        <f>CASOPOInvCL!Z624</f>
        <v>SO17329</v>
      </c>
      <c r="D624" t="s">
        <v>5851</v>
      </c>
      <c r="G624" s="5" t="str">
        <f>CASOPOInvCL!I624</f>
        <v>Ian Trottier</v>
      </c>
      <c r="H624" s="31">
        <f>CASOPOInvCL!U624</f>
        <v>6</v>
      </c>
      <c r="I624" s="31">
        <f>CASOPOInvCL!V624</f>
        <v>2025</v>
      </c>
      <c r="J624" s="5" t="str">
        <f>CASOPOInvCL!AB624</f>
        <v>INV13096</v>
      </c>
      <c r="K624" s="31">
        <f>CASOPOInvCL!W624</f>
        <v>7</v>
      </c>
      <c r="L624" s="31">
        <f>CASOPOInvCL!X624</f>
        <v>2025</v>
      </c>
      <c r="M624">
        <v>2503</v>
      </c>
      <c r="N624" s="5" t="str">
        <f>CASOPOInvCL!AF624</f>
        <v>Motion Industries Inc. (Canada) - Prince George</v>
      </c>
      <c r="O624" s="16" t="str">
        <f>CASOPOInvCL!AG624</f>
        <v>CAD</v>
      </c>
      <c r="P624" s="16">
        <f>CASOPOInvCL!AH624</f>
        <v>572.4</v>
      </c>
      <c r="Q624" s="16">
        <f>CASOPOInvCL!AI624</f>
        <v>421.62756185796195</v>
      </c>
      <c r="R624" s="32" t="str">
        <f>CASOPOInvCL!AU624</f>
        <v>Yes</v>
      </c>
      <c r="S624" s="16">
        <f>CASOPOInvCL!AV624</f>
        <v>0</v>
      </c>
      <c r="T624" s="16">
        <f>CASOPOInvCL!AW624</f>
        <v>421.62756185796195</v>
      </c>
      <c r="V624" t="s">
        <v>5800</v>
      </c>
      <c r="Y624" s="29" t="str">
        <f>IFERROR(HLOOKUP(U624,List!$D$2:$H$6,2,FALSE),"")</f>
        <v/>
      </c>
      <c r="Z624" s="29">
        <f>IFERROR(HLOOKUP(V624,List!$D$2:$H$6,3,FALSE),"")</f>
        <v>5.0000000000000001E-3</v>
      </c>
      <c r="AA624" s="29" t="str">
        <f>IFERROR(HLOOKUP(W624,List!$D$2:$H$6,4,FALSE),"")</f>
        <v/>
      </c>
      <c r="AB624" s="29" t="str">
        <f>IFERROR(HLOOKUP(X624,List!$D$2:$H$6,5,FALSE),"")</f>
        <v/>
      </c>
      <c r="AC624" s="12" t="str">
        <f t="shared" si="148"/>
        <v/>
      </c>
      <c r="AD624" s="12">
        <f t="shared" si="149"/>
        <v>2.10813780928981</v>
      </c>
      <c r="AE624" s="12" t="str">
        <f t="shared" si="150"/>
        <v/>
      </c>
      <c r="AF624" s="12" t="str">
        <f t="shared" si="151"/>
        <v/>
      </c>
      <c r="AG624" t="str">
        <f>VLOOKUP(J624,'Receivable Invoice Detail'!$A$1:F3636,6,FALSE)</f>
        <v>[W-E4124/S01] Volute Liner Seal, 6/4 D or E-AH, EPDM Rubber</v>
      </c>
      <c r="AJ624">
        <v>2503</v>
      </c>
      <c r="AM624" s="12" t="str">
        <f t="shared" si="153"/>
        <v/>
      </c>
      <c r="AN624" s="12">
        <f t="shared" si="154"/>
        <v>0</v>
      </c>
      <c r="AO624" s="12" t="str">
        <f t="shared" si="155"/>
        <v/>
      </c>
      <c r="AP624" s="12" t="str">
        <f t="shared" si="156"/>
        <v/>
      </c>
      <c r="AQ624" s="64">
        <f>M624</f>
        <v>2503</v>
      </c>
      <c r="AR624" t="s">
        <v>5931</v>
      </c>
      <c r="AS624" s="12">
        <f t="shared" si="158"/>
        <v>279.59100000000001</v>
      </c>
      <c r="AT624" s="16" t="str">
        <f t="shared" si="160"/>
        <v>Yes</v>
      </c>
    </row>
    <row r="625" spans="1:46" hidden="1" x14ac:dyDescent="0.25">
      <c r="A625" s="41">
        <f>CASOPOInvCL!T625</f>
        <v>2</v>
      </c>
      <c r="B625" t="str">
        <f>CASOPOInvCL!Z625</f>
        <v>SO17332</v>
      </c>
      <c r="D625" t="s">
        <v>5925</v>
      </c>
      <c r="G625" s="5" t="str">
        <f>CASOPOInvCL!I625</f>
        <v>Ian Trottier</v>
      </c>
      <c r="H625" s="31">
        <f>CASOPOInvCL!U625</f>
        <v>6</v>
      </c>
      <c r="I625" s="31">
        <f>CASOPOInvCL!V625</f>
        <v>2025</v>
      </c>
      <c r="J625" s="5" t="str">
        <f>CASOPOInvCL!AB625</f>
        <v>INV13130</v>
      </c>
      <c r="K625" s="31">
        <f>CASOPOInvCL!W625</f>
        <v>8</v>
      </c>
      <c r="L625" s="31">
        <f>CASOPOInvCL!X625</f>
        <v>2025</v>
      </c>
      <c r="M625">
        <v>2504</v>
      </c>
      <c r="N625" s="5" t="str">
        <f>CASOPOInvCL!AF625</f>
        <v>MAB Equipment Company Inc.</v>
      </c>
      <c r="O625" s="16" t="str">
        <f>CASOPOInvCL!AG625</f>
        <v>USD</v>
      </c>
      <c r="P625" s="16">
        <f>CASOPOInvCL!AH625</f>
        <v>3642.0081710789732</v>
      </c>
      <c r="Q625" s="16">
        <f>CASOPOInvCL!AI625</f>
        <v>2674.32</v>
      </c>
      <c r="R625" s="32" t="str">
        <f>CASOPOInvCL!AU625</f>
        <v>Yes</v>
      </c>
      <c r="S625" s="16">
        <f>CASOPOInvCL!AV625</f>
        <v>143</v>
      </c>
      <c r="T625" s="16">
        <f>CASOPOInvCL!AW625</f>
        <v>2531.3200000000002</v>
      </c>
      <c r="V625" t="s">
        <v>5801</v>
      </c>
      <c r="Y625" s="29" t="str">
        <f>IFERROR(HLOOKUP(U625,List!$D$2:$H$6,2,FALSE),"")</f>
        <v/>
      </c>
      <c r="Z625" s="29">
        <f>IFERROR(HLOOKUP(V625,List!$D$2:$H$6,3,FALSE),"")</f>
        <v>0.02</v>
      </c>
      <c r="AA625" s="29" t="str">
        <f>IFERROR(HLOOKUP(W625,List!$D$2:$H$6,4,FALSE),"")</f>
        <v/>
      </c>
      <c r="AB625" s="29" t="str">
        <f>IFERROR(HLOOKUP(X625,List!$D$2:$H$6,5,FALSE),"")</f>
        <v/>
      </c>
      <c r="AC625" s="12" t="str">
        <f t="shared" si="148"/>
        <v/>
      </c>
      <c r="AD625" s="12">
        <f t="shared" si="149"/>
        <v>50.626400000000004</v>
      </c>
      <c r="AE625" s="12" t="str">
        <f t="shared" si="150"/>
        <v/>
      </c>
      <c r="AF625" s="12" t="str">
        <f t="shared" si="151"/>
        <v/>
      </c>
      <c r="AG625" t="str">
        <f>VLOOKUP(J625,'Receivable Invoice Detail'!$A$1:F3637,6,FALSE)</f>
        <v>[W-E118/C02] Lantern Restrictor, 6/4 or 8/6 E-AH and 8/6 R-AH, Ni Resist</v>
      </c>
      <c r="AM625" s="12" t="str">
        <f t="shared" si="153"/>
        <v/>
      </c>
      <c r="AN625" s="12">
        <f t="shared" si="154"/>
        <v>50.626400000000004</v>
      </c>
      <c r="AO625" s="12" t="str">
        <f t="shared" si="155"/>
        <v/>
      </c>
      <c r="AP625" s="12" t="str">
        <f t="shared" si="156"/>
        <v/>
      </c>
      <c r="AQ625" s="12"/>
      <c r="AS625" s="12">
        <f t="shared" si="158"/>
        <v>185.56979999999999</v>
      </c>
      <c r="AT625" s="16" t="str">
        <f t="shared" si="160"/>
        <v>Yes</v>
      </c>
    </row>
    <row r="626" spans="1:46" hidden="1" x14ac:dyDescent="0.25">
      <c r="A626" s="41">
        <f>CASOPOInvCL!T626</f>
        <v>2</v>
      </c>
      <c r="B626" t="str">
        <f>CASOPOInvCL!Z626</f>
        <v>SO17332</v>
      </c>
      <c r="D626" t="s">
        <v>5925</v>
      </c>
      <c r="G626" s="5">
        <f>CASOPOInvCL!I626</f>
        <v>0</v>
      </c>
      <c r="H626" s="31">
        <f>CASOPOInvCL!U626</f>
        <v>6</v>
      </c>
      <c r="I626" s="31">
        <f>CASOPOInvCL!V626</f>
        <v>2025</v>
      </c>
      <c r="J626" s="5" t="str">
        <f>CASOPOInvCL!AB626</f>
        <v>INV13414</v>
      </c>
      <c r="K626" s="31">
        <f>CASOPOInvCL!W626</f>
        <v>11</v>
      </c>
      <c r="L626" s="31">
        <f>CASOPOInvCL!X626</f>
        <v>2025</v>
      </c>
      <c r="M626">
        <v>2504</v>
      </c>
      <c r="N626" s="5" t="str">
        <f>CASOPOInvCL!AF626</f>
        <v>MAB Equipment Company Inc.</v>
      </c>
      <c r="O626" s="16" t="str">
        <f>CASOPOInvCL!AG626</f>
        <v>USD</v>
      </c>
      <c r="P626" s="16">
        <f>CASOPOInvCL!AH626</f>
        <v>0</v>
      </c>
      <c r="Q626" s="16">
        <f>CASOPOInvCL!AI626</f>
        <v>0</v>
      </c>
      <c r="R626" s="32" t="str">
        <f>CASOPOInvCL!AU626</f>
        <v/>
      </c>
      <c r="S626" s="16">
        <f>CASOPOInvCL!AV626</f>
        <v>648</v>
      </c>
      <c r="T626" s="16">
        <f>CASOPOInvCL!AW626</f>
        <v>0</v>
      </c>
      <c r="V626" t="s">
        <v>5801</v>
      </c>
      <c r="Y626" s="29" t="str">
        <f>IFERROR(HLOOKUP(U626,List!$D$2:$H$6,2,FALSE),"")</f>
        <v/>
      </c>
      <c r="Z626" s="29">
        <f>IFERROR(HLOOKUP(V626,List!$D$2:$H$6,3,FALSE),"")</f>
        <v>0.02</v>
      </c>
      <c r="AA626" s="29" t="str">
        <f>IFERROR(HLOOKUP(W626,List!$D$2:$H$6,4,FALSE),"")</f>
        <v/>
      </c>
      <c r="AB626" s="29" t="str">
        <f>IFERROR(HLOOKUP(X626,List!$D$2:$H$6,5,FALSE),"")</f>
        <v/>
      </c>
      <c r="AC626" s="12" t="str">
        <f t="shared" si="148"/>
        <v/>
      </c>
      <c r="AD626" s="12">
        <f t="shared" si="149"/>
        <v>0</v>
      </c>
      <c r="AE626" s="12" t="str">
        <f t="shared" si="150"/>
        <v/>
      </c>
      <c r="AF626" s="12" t="str">
        <f t="shared" si="151"/>
        <v/>
      </c>
      <c r="AG626" t="str">
        <f>VLOOKUP(J626,'Receivable Invoice Detail'!$A$1:F3638,6,FALSE)</f>
        <v>[W-DAM078HS1/D21] Stuffing Box (High-Seal), 6/4 D-AH, Ductile Iron</v>
      </c>
      <c r="AM626" s="12" t="str">
        <f t="shared" si="153"/>
        <v/>
      </c>
      <c r="AN626" s="12">
        <f t="shared" si="154"/>
        <v>0</v>
      </c>
      <c r="AO626" s="12" t="str">
        <f t="shared" si="155"/>
        <v/>
      </c>
      <c r="AP626" s="12" t="str">
        <f t="shared" si="156"/>
        <v/>
      </c>
      <c r="AQ626" s="12"/>
      <c r="AS626" s="12">
        <f t="shared" si="158"/>
        <v>6.3244134278694286</v>
      </c>
      <c r="AT626" s="16" t="str">
        <f t="shared" si="160"/>
        <v/>
      </c>
    </row>
    <row r="627" spans="1:46" hidden="1" x14ac:dyDescent="0.25">
      <c r="A627" s="41">
        <f>CASOPOInvCL!T627</f>
        <v>1</v>
      </c>
      <c r="B627" t="str">
        <f>CASOPOInvCL!Z627</f>
        <v>SO17333</v>
      </c>
      <c r="D627" t="s">
        <v>5938</v>
      </c>
      <c r="G627" s="5" t="str">
        <f>CASOPOInvCL!I627</f>
        <v>Marlen Martinez</v>
      </c>
      <c r="H627" s="31">
        <f>CASOPOInvCL!U627</f>
        <v>6</v>
      </c>
      <c r="I627" s="31">
        <f>CASOPOInvCL!V627</f>
        <v>2025</v>
      </c>
      <c r="J627" s="5" t="str">
        <f>CASOPOInvCL!AB627</f>
        <v>INV13157</v>
      </c>
      <c r="K627" s="31">
        <f>CASOPOInvCL!W627</f>
        <v>8</v>
      </c>
      <c r="L627" s="31">
        <f>CASOPOInvCL!X627</f>
        <v>2025</v>
      </c>
      <c r="M627">
        <v>2504</v>
      </c>
      <c r="N627" s="5" t="str">
        <f>CASOPOInvCL!AF627</f>
        <v>Wajax Limited - Pointe-aux-Trembles, Wajax Limited</v>
      </c>
      <c r="O627" s="16" t="str">
        <f>CASOPOInvCL!AG627</f>
        <v>CAD</v>
      </c>
      <c r="P627" s="16">
        <f>CASOPOInvCL!AH627</f>
        <v>683.13</v>
      </c>
      <c r="Q627" s="16">
        <f>CASOPOInvCL!AI627</f>
        <v>501.62112103630022</v>
      </c>
      <c r="R627" s="32" t="str">
        <f>CASOPOInvCL!AU627</f>
        <v>Yes</v>
      </c>
      <c r="S627" s="16">
        <f>CASOPOInvCL!AV627</f>
        <v>0</v>
      </c>
      <c r="T627" s="16">
        <f>CASOPOInvCL!AW627</f>
        <v>501.62112103630022</v>
      </c>
      <c r="Y627" s="29" t="str">
        <f>IFERROR(HLOOKUP(U627,List!$D$2:$H$6,2,FALSE),"")</f>
        <v/>
      </c>
      <c r="Z627" s="29" t="str">
        <f>IFERROR(HLOOKUP(V627,List!$D$2:$H$6,3,FALSE),"")</f>
        <v/>
      </c>
      <c r="AA627" s="29" t="str">
        <f>IFERROR(HLOOKUP(W627,List!$D$2:$H$6,4,FALSE),"")</f>
        <v/>
      </c>
      <c r="AB627" s="29" t="str">
        <f>IFERROR(HLOOKUP(X627,List!$D$2:$H$6,5,FALSE),"")</f>
        <v/>
      </c>
      <c r="AC627" s="12" t="str">
        <f t="shared" si="148"/>
        <v/>
      </c>
      <c r="AD627" s="12" t="str">
        <f t="shared" si="149"/>
        <v/>
      </c>
      <c r="AE627" s="12" t="str">
        <f t="shared" si="150"/>
        <v/>
      </c>
      <c r="AF627" s="12" t="str">
        <f t="shared" si="151"/>
        <v/>
      </c>
      <c r="AG627" t="str">
        <f>VLOOKUP(J627,'Receivable Invoice Detail'!$A$1:F3639,6,FALSE)</f>
        <v>[OLPWZ011005B, G-A04951A218] Bearing Isolator (Inboard), 3196 MTX/MTi, 303SS Rotor / Bronze Stator w/Viton</v>
      </c>
      <c r="AM627" s="12" t="str">
        <f t="shared" si="153"/>
        <v/>
      </c>
      <c r="AN627" s="12" t="str">
        <f t="shared" si="154"/>
        <v/>
      </c>
      <c r="AO627" s="12" t="str">
        <f t="shared" si="155"/>
        <v/>
      </c>
      <c r="AP627" s="12" t="str">
        <f t="shared" si="156"/>
        <v/>
      </c>
      <c r="AQ627" s="64">
        <f>M627</f>
        <v>2504</v>
      </c>
      <c r="AR627" s="23" t="s">
        <v>5931</v>
      </c>
      <c r="AS627" s="12">
        <f t="shared" si="158"/>
        <v>37.969799999999999</v>
      </c>
      <c r="AT627" s="16" t="str">
        <f t="shared" si="160"/>
        <v>Yes</v>
      </c>
    </row>
    <row r="628" spans="1:46" hidden="1" x14ac:dyDescent="0.25">
      <c r="A628" s="41">
        <f>CASOPOInvCL!T628</f>
        <v>1</v>
      </c>
      <c r="B628" t="str">
        <f>CASOPOInvCL!Z628</f>
        <v>SO17334</v>
      </c>
      <c r="G628" s="5" t="str">
        <f>CASOPOInvCL!I628</f>
        <v>Amanda Qiao</v>
      </c>
      <c r="H628" s="31">
        <f>CASOPOInvCL!U628</f>
        <v>6</v>
      </c>
      <c r="I628" s="31">
        <f>CASOPOInvCL!V628</f>
        <v>2025</v>
      </c>
      <c r="J628" s="5" t="str">
        <f>CASOPOInvCL!AB628</f>
        <v>INV13223</v>
      </c>
      <c r="K628" s="31" t="str">
        <f>CASOPOInvCL!W628</f>
        <v/>
      </c>
      <c r="L628" s="31" t="str">
        <f>CASOPOInvCL!X628</f>
        <v/>
      </c>
      <c r="M628" s="31"/>
      <c r="N628" s="5" t="str">
        <f>CASOPOInvCL!AF628</f>
        <v>Zijin Mining - Rosebel Goldmines N.V.</v>
      </c>
      <c r="O628" s="16" t="str">
        <f>CASOPOInvCL!AG628</f>
        <v>USD</v>
      </c>
      <c r="P628" s="16">
        <f>CASOPOInvCL!AH628</f>
        <v>14951.741528068627</v>
      </c>
      <c r="Q628" s="16">
        <f>CASOPOInvCL!AI628</f>
        <v>10918.16</v>
      </c>
      <c r="R628" s="32" t="str">
        <f>CASOPOInvCL!AU628</f>
        <v/>
      </c>
      <c r="S628" s="16">
        <f>CASOPOInvCL!AV628</f>
        <v>0</v>
      </c>
      <c r="T628" s="16">
        <f>CASOPOInvCL!AW628</f>
        <v>0</v>
      </c>
      <c r="Y628" s="29" t="str">
        <f>IFERROR(HLOOKUP(U628,List!$D$2:$H$6,2,FALSE),"")</f>
        <v/>
      </c>
      <c r="Z628" s="29" t="str">
        <f>IFERROR(HLOOKUP(V628,List!$D$2:$H$6,3,FALSE),"")</f>
        <v/>
      </c>
      <c r="AA628" s="29" t="str">
        <f>IFERROR(HLOOKUP(W628,List!$D$2:$H$6,4,FALSE),"")</f>
        <v/>
      </c>
      <c r="AB628" s="29" t="str">
        <f>IFERROR(HLOOKUP(X628,List!$D$2:$H$6,5,FALSE),"")</f>
        <v/>
      </c>
      <c r="AC628" s="12" t="str">
        <f t="shared" si="148"/>
        <v/>
      </c>
      <c r="AD628" s="12" t="str">
        <f t="shared" si="149"/>
        <v/>
      </c>
      <c r="AE628" s="12" t="str">
        <f t="shared" si="150"/>
        <v/>
      </c>
      <c r="AF628" s="12" t="str">
        <f t="shared" si="151"/>
        <v/>
      </c>
      <c r="AG628" t="str">
        <f>VLOOKUP(J628,'Receivable Invoice Detail'!$A$1:F3640,6,FALSE)</f>
        <v>[W-SP15092/A05] Casing w/Flange, 150SV-SP, High Chrome</v>
      </c>
      <c r="AH628" s="12">
        <f t="shared" ref="AH628" si="168">SUM(AC628:AF628)</f>
        <v>0</v>
      </c>
      <c r="AM628" s="12" t="str">
        <f t="shared" si="153"/>
        <v/>
      </c>
      <c r="AN628" s="12" t="str">
        <f t="shared" si="154"/>
        <v/>
      </c>
      <c r="AO628" s="12" t="str">
        <f t="shared" si="155"/>
        <v/>
      </c>
      <c r="AP628" s="12" t="str">
        <f t="shared" si="156"/>
        <v/>
      </c>
      <c r="AQ628" s="12"/>
      <c r="AS628" s="12">
        <f t="shared" si="158"/>
        <v>0</v>
      </c>
      <c r="AT628" s="16" t="str">
        <f t="shared" si="160"/>
        <v/>
      </c>
    </row>
    <row r="629" spans="1:46" hidden="1" x14ac:dyDescent="0.25">
      <c r="A629" s="41">
        <f>CASOPOInvCL!T629</f>
        <v>1</v>
      </c>
      <c r="B629" t="str">
        <f>CASOPOInvCL!Z629</f>
        <v>SO17337</v>
      </c>
      <c r="G629" s="5" t="str">
        <f>CASOPOInvCL!I629</f>
        <v>Taylor Cook</v>
      </c>
      <c r="H629" s="31">
        <f>CASOPOInvCL!U629</f>
        <v>6</v>
      </c>
      <c r="I629" s="31">
        <f>CASOPOInvCL!V629</f>
        <v>2025</v>
      </c>
      <c r="J629" s="5" t="str">
        <f>CASOPOInvCL!AB629</f>
        <v>INV13235</v>
      </c>
      <c r="K629" s="31">
        <f>CASOPOInvCL!W629</f>
        <v>10</v>
      </c>
      <c r="L629" s="31">
        <f>CASOPOInvCL!X629</f>
        <v>2025</v>
      </c>
      <c r="M629" s="31"/>
      <c r="N629" s="5" t="str">
        <f>CASOPOInvCL!AF629</f>
        <v>Canadian Industrial Pumps Ltd, Canadian Industrial Pumps Ltd</v>
      </c>
      <c r="O629" s="16" t="str">
        <f>CASOPOInvCL!AG629</f>
        <v>CAD</v>
      </c>
      <c r="P629" s="16">
        <f>CASOPOInvCL!AH629</f>
        <v>2720.49</v>
      </c>
      <c r="Q629" s="16">
        <f>CASOPOInvCL!AI629</f>
        <v>1997.43387246153</v>
      </c>
      <c r="R629" s="32" t="str">
        <f>CASOPOInvCL!AU629</f>
        <v>Yes</v>
      </c>
      <c r="S629" s="16">
        <f>CASOPOInvCL!AV629</f>
        <v>0</v>
      </c>
      <c r="T629" s="16">
        <f>CASOPOInvCL!AW629</f>
        <v>1997.43387246153</v>
      </c>
      <c r="Y629" s="29" t="str">
        <f>IFERROR(HLOOKUP(U629,List!$D$2:$H$6,2,FALSE),"")</f>
        <v/>
      </c>
      <c r="Z629" s="29" t="str">
        <f>IFERROR(HLOOKUP(V629,List!$D$2:$H$6,3,FALSE),"")</f>
        <v/>
      </c>
      <c r="AA629" s="29" t="str">
        <f>IFERROR(HLOOKUP(W629,List!$D$2:$H$6,4,FALSE),"")</f>
        <v/>
      </c>
      <c r="AB629" s="29" t="str">
        <f>IFERROR(HLOOKUP(X629,List!$D$2:$H$6,5,FALSE),"")</f>
        <v/>
      </c>
      <c r="AC629" s="12" t="str">
        <f t="shared" si="148"/>
        <v/>
      </c>
      <c r="AD629" s="12" t="str">
        <f t="shared" si="149"/>
        <v/>
      </c>
      <c r="AE629" s="12" t="str">
        <f t="shared" si="150"/>
        <v/>
      </c>
      <c r="AF629" s="12" t="str">
        <f t="shared" si="151"/>
        <v/>
      </c>
      <c r="AG629" t="str">
        <f>VLOOKUP(J629,'Receivable Invoice Detail'!$A$1:F3641,6,FALSE)</f>
        <v>[AC-98-431-971-501] Bearing Cover (Outboard), 12x10-25 SRL-C, Cast Iron</v>
      </c>
      <c r="AM629" s="12" t="str">
        <f t="shared" si="153"/>
        <v/>
      </c>
      <c r="AN629" s="12" t="str">
        <f t="shared" si="154"/>
        <v/>
      </c>
      <c r="AO629" s="12" t="str">
        <f t="shared" si="155"/>
        <v/>
      </c>
      <c r="AP629" s="12" t="str">
        <f t="shared" si="156"/>
        <v/>
      </c>
      <c r="AQ629" s="12"/>
      <c r="AS629" s="12">
        <f t="shared" si="158"/>
        <v>7.5243168155445028</v>
      </c>
      <c r="AT629" s="16" t="str">
        <f t="shared" si="160"/>
        <v>Yes</v>
      </c>
    </row>
    <row r="630" spans="1:46" hidden="1" x14ac:dyDescent="0.25">
      <c r="A630" s="41">
        <f>CASOPOInvCL!T630</f>
        <v>1</v>
      </c>
      <c r="B630" t="str">
        <f>CASOPOInvCL!Z630</f>
        <v>SO17338</v>
      </c>
      <c r="D630" t="s">
        <v>5925</v>
      </c>
      <c r="G630" s="5" t="str">
        <f>CASOPOInvCL!I630</f>
        <v>Ian Trottier</v>
      </c>
      <c r="H630" s="31">
        <f>CASOPOInvCL!U630</f>
        <v>6</v>
      </c>
      <c r="I630" s="31">
        <f>CASOPOInvCL!V630</f>
        <v>2025</v>
      </c>
      <c r="J630" s="5" t="str">
        <f>CASOPOInvCL!AB630</f>
        <v>INV13101</v>
      </c>
      <c r="K630" s="31">
        <f>CASOPOInvCL!W630</f>
        <v>7</v>
      </c>
      <c r="L630" s="31">
        <f>CASOPOInvCL!X630</f>
        <v>2025</v>
      </c>
      <c r="M630">
        <v>2503</v>
      </c>
      <c r="N630" s="5" t="str">
        <f>CASOPOInvCL!AF630</f>
        <v>Grant Aggregate</v>
      </c>
      <c r="O630" s="16" t="str">
        <f>CASOPOInvCL!AG630</f>
        <v>CAD</v>
      </c>
      <c r="P630" s="16">
        <f>CASOPOInvCL!AH630</f>
        <v>235.74</v>
      </c>
      <c r="Q630" s="16">
        <f>CASOPOInvCL!AI630</f>
        <v>173.87951298865349</v>
      </c>
      <c r="R630" s="32" t="str">
        <f>CASOPOInvCL!AU630</f>
        <v>Yes</v>
      </c>
      <c r="S630" s="16">
        <f>CASOPOInvCL!AV630</f>
        <v>0</v>
      </c>
      <c r="T630" s="16">
        <f>CASOPOInvCL!AW630</f>
        <v>173.87951298865349</v>
      </c>
      <c r="V630" t="s">
        <v>5800</v>
      </c>
      <c r="Y630" s="29" t="str">
        <f>IFERROR(HLOOKUP(U630,List!$D$2:$H$6,2,FALSE),"")</f>
        <v/>
      </c>
      <c r="Z630" s="29">
        <f>IFERROR(HLOOKUP(V630,List!$D$2:$H$6,3,FALSE),"")</f>
        <v>5.0000000000000001E-3</v>
      </c>
      <c r="AA630" s="29" t="str">
        <f>IFERROR(HLOOKUP(W630,List!$D$2:$H$6,4,FALSE),"")</f>
        <v/>
      </c>
      <c r="AB630" s="29" t="str">
        <f>IFERROR(HLOOKUP(X630,List!$D$2:$H$6,5,FALSE),"")</f>
        <v/>
      </c>
      <c r="AC630" s="12" t="str">
        <f t="shared" si="148"/>
        <v/>
      </c>
      <c r="AD630" s="12">
        <f t="shared" si="149"/>
        <v>0.86939756494326748</v>
      </c>
      <c r="AE630" s="12" t="str">
        <f t="shared" si="150"/>
        <v/>
      </c>
      <c r="AF630" s="12" t="str">
        <f t="shared" si="151"/>
        <v/>
      </c>
      <c r="AG630" t="str">
        <f>VLOOKUP(J630,'Receivable Invoice Detail'!$A$1:F3642,6,FALSE)</f>
        <v>[G-A01081A12] Premium Packing, 3196 XLT, 5 Pre-Cut Rings, Graphite</v>
      </c>
      <c r="AH630" s="12">
        <f t="shared" ref="AH630" si="169">SUM(AC630:AF630)</f>
        <v>0.86939756494326748</v>
      </c>
      <c r="AM630" s="12" t="str">
        <f t="shared" si="153"/>
        <v/>
      </c>
      <c r="AN630" s="12">
        <f t="shared" si="154"/>
        <v>0.86939756494326748</v>
      </c>
      <c r="AO630" s="12" t="str">
        <f t="shared" si="155"/>
        <v/>
      </c>
      <c r="AP630" s="12" t="str">
        <f t="shared" si="156"/>
        <v/>
      </c>
      <c r="AQ630" s="64">
        <v>2503</v>
      </c>
      <c r="AR630" t="s">
        <v>5932</v>
      </c>
      <c r="AS630" s="12">
        <f t="shared" si="158"/>
        <v>0</v>
      </c>
      <c r="AT630" s="16" t="str">
        <f t="shared" si="160"/>
        <v>Yes</v>
      </c>
    </row>
    <row r="631" spans="1:46" hidden="1" x14ac:dyDescent="0.25">
      <c r="A631" s="41">
        <f>CASOPOInvCL!T631</f>
        <v>1</v>
      </c>
      <c r="B631" t="str">
        <f>CASOPOInvCL!Z631</f>
        <v>SO17345</v>
      </c>
      <c r="G631" s="5" t="str">
        <f>CASOPOInvCL!I631</f>
        <v>Ian Trottier</v>
      </c>
      <c r="H631" s="31">
        <f>CASOPOInvCL!U631</f>
        <v>6</v>
      </c>
      <c r="I631" s="31">
        <f>CASOPOInvCL!V631</f>
        <v>2025</v>
      </c>
      <c r="J631" s="5" t="str">
        <f>CASOPOInvCL!AB631</f>
        <v>INV13258</v>
      </c>
      <c r="K631" s="31">
        <f>CASOPOInvCL!W631</f>
        <v>10</v>
      </c>
      <c r="L631" s="31">
        <f>CASOPOInvCL!X631</f>
        <v>2025</v>
      </c>
      <c r="M631" s="31"/>
      <c r="N631" s="5" t="str">
        <f>CASOPOInvCL!AF631</f>
        <v>Resolute Forest Products - Saint-Felicien</v>
      </c>
      <c r="O631" s="16" t="str">
        <f>CASOPOInvCL!AG631</f>
        <v>CAD</v>
      </c>
      <c r="P631" s="16">
        <f>CASOPOInvCL!AH631</f>
        <v>1589.1</v>
      </c>
      <c r="Q631" s="16">
        <f>CASOPOInvCL!AI631</f>
        <v>1170.5247354096562</v>
      </c>
      <c r="R631" s="32" t="str">
        <f>CASOPOInvCL!AU631</f>
        <v>Yes</v>
      </c>
      <c r="S631" s="16">
        <f>CASOPOInvCL!AV631</f>
        <v>0</v>
      </c>
      <c r="T631" s="16">
        <f>CASOPOInvCL!AW631</f>
        <v>1170.5247354096562</v>
      </c>
      <c r="Y631" s="29" t="str">
        <f>IFERROR(HLOOKUP(U631,List!$D$2:$H$6,2,FALSE),"")</f>
        <v/>
      </c>
      <c r="Z631" s="29" t="str">
        <f>IFERROR(HLOOKUP(V631,List!$D$2:$H$6,3,FALSE),"")</f>
        <v/>
      </c>
      <c r="AA631" s="29" t="str">
        <f>IFERROR(HLOOKUP(W631,List!$D$2:$H$6,4,FALSE),"")</f>
        <v/>
      </c>
      <c r="AB631" s="29" t="str">
        <f>IFERROR(HLOOKUP(X631,List!$D$2:$H$6,5,FALSE),"")</f>
        <v/>
      </c>
      <c r="AC631" s="12" t="str">
        <f t="shared" si="148"/>
        <v/>
      </c>
      <c r="AD631" s="12" t="str">
        <f t="shared" si="149"/>
        <v/>
      </c>
      <c r="AE631" s="12" t="str">
        <f t="shared" si="150"/>
        <v/>
      </c>
      <c r="AF631" s="12" t="str">
        <f t="shared" si="151"/>
        <v/>
      </c>
      <c r="AG631" t="str">
        <f>VLOOKUP(J631,'Receivable Invoice Detail'!$A$1:F3643,6,FALSE)</f>
        <v>[G-RC04057A01 1204] Stuffing Box Cover, 8", 3196 STX, Alloy 20, Big Bore, Non-Jacketed</v>
      </c>
      <c r="AM631" s="12" t="str">
        <f t="shared" si="153"/>
        <v/>
      </c>
      <c r="AN631" s="12" t="str">
        <f t="shared" si="154"/>
        <v/>
      </c>
      <c r="AO631" s="12" t="str">
        <f t="shared" si="155"/>
        <v/>
      </c>
      <c r="AP631" s="12" t="str">
        <f t="shared" si="156"/>
        <v/>
      </c>
      <c r="AQ631" s="12"/>
      <c r="AS631" s="12">
        <f t="shared" si="158"/>
        <v>29.961508086922947</v>
      </c>
      <c r="AT631" s="16" t="str">
        <f t="shared" si="160"/>
        <v>Yes</v>
      </c>
    </row>
    <row r="632" spans="1:46" hidden="1" x14ac:dyDescent="0.25">
      <c r="A632" s="41">
        <f>CASOPOInvCL!T632</f>
        <v>1</v>
      </c>
      <c r="B632" t="str">
        <f>CASOPOInvCL!Z632</f>
        <v>SO17346</v>
      </c>
      <c r="D632" t="s">
        <v>5925</v>
      </c>
      <c r="G632" s="5" t="str">
        <f>CASOPOInvCL!I632</f>
        <v>Ian Trottier</v>
      </c>
      <c r="H632" s="31">
        <f>CASOPOInvCL!U632</f>
        <v>6</v>
      </c>
      <c r="I632" s="31">
        <f>CASOPOInvCL!V632</f>
        <v>2025</v>
      </c>
      <c r="J632" s="5" t="str">
        <f>CASOPOInvCL!AB632</f>
        <v>INV13113</v>
      </c>
      <c r="K632" s="31">
        <f>CASOPOInvCL!W632</f>
        <v>7</v>
      </c>
      <c r="L632" s="31">
        <f>CASOPOInvCL!X632</f>
        <v>2025</v>
      </c>
      <c r="M632">
        <v>2503</v>
      </c>
      <c r="N632" s="5" t="str">
        <f>CASOPOInvCL!AF632</f>
        <v>Sling-Choker Manufacturing - Timmins</v>
      </c>
      <c r="O632" s="16" t="str">
        <f>CASOPOInvCL!AG632</f>
        <v>CAD</v>
      </c>
      <c r="P632" s="16">
        <f>CASOPOInvCL!AH632</f>
        <v>3944.87</v>
      </c>
      <c r="Q632" s="16">
        <f>CASOPOInvCL!AI632</f>
        <v>2905.7755414860567</v>
      </c>
      <c r="R632" s="32" t="str">
        <f>CASOPOInvCL!AU632</f>
        <v>Yes</v>
      </c>
      <c r="S632" s="16">
        <f>CASOPOInvCL!AV632</f>
        <v>0</v>
      </c>
      <c r="T632" s="16">
        <f>CASOPOInvCL!AW632</f>
        <v>2905.7755414860567</v>
      </c>
      <c r="V632" t="s">
        <v>5800</v>
      </c>
      <c r="Y632" s="29" t="str">
        <f>IFERROR(HLOOKUP(U632,List!$D$2:$H$6,2,FALSE),"")</f>
        <v/>
      </c>
      <c r="Z632" s="29">
        <f>IFERROR(HLOOKUP(V632,List!$D$2:$H$6,3,FALSE),"")</f>
        <v>5.0000000000000001E-3</v>
      </c>
      <c r="AA632" s="29" t="str">
        <f>IFERROR(HLOOKUP(W632,List!$D$2:$H$6,4,FALSE),"")</f>
        <v/>
      </c>
      <c r="AB632" s="29" t="str">
        <f>IFERROR(HLOOKUP(X632,List!$D$2:$H$6,5,FALSE),"")</f>
        <v/>
      </c>
      <c r="AC632" s="12" t="str">
        <f t="shared" si="148"/>
        <v/>
      </c>
      <c r="AD632" s="12">
        <f t="shared" si="149"/>
        <v>14.528877707430283</v>
      </c>
      <c r="AE632" s="12" t="str">
        <f t="shared" si="150"/>
        <v/>
      </c>
      <c r="AF632" s="12" t="str">
        <f t="shared" si="151"/>
        <v/>
      </c>
      <c r="AG632" t="str">
        <f>VLOOKUP(J632,'Receivable Invoice Detail'!$A$1:F3644,6,FALSE)</f>
        <v>[G-00-737-851-110] Sight Glass (Press-In), PWO Frame 2</v>
      </c>
      <c r="AM632" s="12" t="str">
        <f t="shared" si="153"/>
        <v/>
      </c>
      <c r="AN632" s="12">
        <f t="shared" si="154"/>
        <v>14.528877707430283</v>
      </c>
      <c r="AO632" s="12" t="str">
        <f t="shared" si="155"/>
        <v/>
      </c>
      <c r="AP632" s="12" t="str">
        <f t="shared" si="156"/>
        <v/>
      </c>
      <c r="AQ632" s="64">
        <v>2503</v>
      </c>
      <c r="AR632" t="s">
        <v>5932</v>
      </c>
      <c r="AS632" s="12">
        <f t="shared" si="158"/>
        <v>2.6081926948298024</v>
      </c>
      <c r="AT632" s="16" t="str">
        <f t="shared" si="160"/>
        <v>Yes</v>
      </c>
    </row>
    <row r="633" spans="1:46" hidden="1" x14ac:dyDescent="0.25">
      <c r="A633" s="41">
        <f>CASOPOInvCL!T633</f>
        <v>1</v>
      </c>
      <c r="B633" t="str">
        <f>CASOPOInvCL!Z633</f>
        <v>SO17349</v>
      </c>
      <c r="G633" s="5" t="str">
        <f>CASOPOInvCL!I633</f>
        <v>Taylor Cook</v>
      </c>
      <c r="H633" s="31">
        <f>CASOPOInvCL!U633</f>
        <v>6</v>
      </c>
      <c r="I633" s="31">
        <f>CASOPOInvCL!V633</f>
        <v>2025</v>
      </c>
      <c r="J633" s="5" t="str">
        <f>CASOPOInvCL!AB633</f>
        <v>INV13107</v>
      </c>
      <c r="K633" s="31">
        <f>CASOPOInvCL!W633</f>
        <v>7</v>
      </c>
      <c r="L633" s="31">
        <f>CASOPOInvCL!X633</f>
        <v>2025</v>
      </c>
      <c r="M633" s="31"/>
      <c r="N633" s="5" t="str">
        <f>CASOPOInvCL!AF633</f>
        <v>Tantalum Mining Corporation of Canada</v>
      </c>
      <c r="O633" s="16" t="str">
        <f>CASOPOInvCL!AG633</f>
        <v>CAD</v>
      </c>
      <c r="P633" s="16">
        <f>CASOPOInvCL!AH633</f>
        <v>955.55</v>
      </c>
      <c r="Q633" s="16">
        <f>CASOPOInvCL!AI633</f>
        <v>704.80431253206018</v>
      </c>
      <c r="R633" s="32" t="str">
        <f>CASOPOInvCL!AU633</f>
        <v>Yes</v>
      </c>
      <c r="S633" s="16">
        <f>CASOPOInvCL!AV633</f>
        <v>0</v>
      </c>
      <c r="T633" s="16">
        <f>CASOPOInvCL!AW633</f>
        <v>704.80431253206018</v>
      </c>
      <c r="Y633" s="29" t="str">
        <f>IFERROR(HLOOKUP(U633,List!$D$2:$H$6,2,FALSE),"")</f>
        <v/>
      </c>
      <c r="Z633" s="29" t="str">
        <f>IFERROR(HLOOKUP(V633,List!$D$2:$H$6,3,FALSE),"")</f>
        <v/>
      </c>
      <c r="AA633" s="29" t="str">
        <f>IFERROR(HLOOKUP(W633,List!$D$2:$H$6,4,FALSE),"")</f>
        <v/>
      </c>
      <c r="AB633" s="29" t="str">
        <f>IFERROR(HLOOKUP(X633,List!$D$2:$H$6,5,FALSE),"")</f>
        <v/>
      </c>
      <c r="AC633" s="12" t="str">
        <f t="shared" si="148"/>
        <v/>
      </c>
      <c r="AD633" s="12" t="str">
        <f t="shared" si="149"/>
        <v/>
      </c>
      <c r="AE633" s="12" t="str">
        <f t="shared" si="150"/>
        <v/>
      </c>
      <c r="AF633" s="12" t="str">
        <f t="shared" si="151"/>
        <v/>
      </c>
      <c r="AG633" t="str">
        <f>VLOOKUP(J633,'Receivable Invoice Detail'!$A$1:F3645,6,FALSE)</f>
        <v>[AC-98-231-109-501] Gland Side Liner, 3x3-10 SRL-C, Natural Rubber</v>
      </c>
      <c r="AM633" s="12" t="str">
        <f t="shared" si="153"/>
        <v/>
      </c>
      <c r="AN633" s="12" t="str">
        <f t="shared" si="154"/>
        <v/>
      </c>
      <c r="AO633" s="12" t="str">
        <f t="shared" si="155"/>
        <v/>
      </c>
      <c r="AP633" s="12" t="str">
        <f t="shared" si="156"/>
        <v/>
      </c>
      <c r="AQ633" s="12"/>
      <c r="AS633" s="12">
        <f t="shared" si="158"/>
        <v>17.557871031144842</v>
      </c>
      <c r="AT633" s="16" t="str">
        <f t="shared" si="160"/>
        <v>Yes</v>
      </c>
    </row>
    <row r="634" spans="1:46" hidden="1" x14ac:dyDescent="0.25">
      <c r="A634" s="41">
        <f>CASOPOInvCL!T634</f>
        <v>1</v>
      </c>
      <c r="B634" t="str">
        <f>CASOPOInvCL!Z634</f>
        <v>SO17353</v>
      </c>
      <c r="D634" t="s">
        <v>5851</v>
      </c>
      <c r="G634" s="5" t="str">
        <f>CASOPOInvCL!I634</f>
        <v>Ian Trottier</v>
      </c>
      <c r="H634" s="31">
        <f>CASOPOInvCL!U634</f>
        <v>6</v>
      </c>
      <c r="I634" s="31">
        <f>CASOPOInvCL!V634</f>
        <v>2025</v>
      </c>
      <c r="J634" s="5" t="str">
        <f>CASOPOInvCL!AB634</f>
        <v>INV13103</v>
      </c>
      <c r="K634" s="31">
        <f>CASOPOInvCL!W634</f>
        <v>7</v>
      </c>
      <c r="L634" s="31">
        <f>CASOPOInvCL!X634</f>
        <v>2025</v>
      </c>
      <c r="M634">
        <v>2503</v>
      </c>
      <c r="N634" s="5" t="str">
        <f>CASOPOInvCL!AF634</f>
        <v>Wajax Limited - Noranda</v>
      </c>
      <c r="O634" s="16" t="str">
        <f>CASOPOInvCL!AG634</f>
        <v>CAD</v>
      </c>
      <c r="P634" s="16">
        <f>CASOPOInvCL!AH634</f>
        <v>2627.35</v>
      </c>
      <c r="Q634" s="16">
        <f>CASOPOInvCL!AI634</f>
        <v>1937.9076035069945</v>
      </c>
      <c r="R634" s="32" t="str">
        <f>CASOPOInvCL!AU634</f>
        <v>Yes</v>
      </c>
      <c r="S634" s="16">
        <f>CASOPOInvCL!AV634</f>
        <v>0</v>
      </c>
      <c r="T634" s="16">
        <f>CASOPOInvCL!AW634</f>
        <v>1937.9076035069945</v>
      </c>
      <c r="V634" t="s">
        <v>5800</v>
      </c>
      <c r="Y634" s="29" t="str">
        <f>IFERROR(HLOOKUP(U634,List!$D$2:$H$6,2,FALSE),"")</f>
        <v/>
      </c>
      <c r="Z634" s="29">
        <f>IFERROR(HLOOKUP(V634,List!$D$2:$H$6,3,FALSE),"")</f>
        <v>5.0000000000000001E-3</v>
      </c>
      <c r="AA634" s="29" t="str">
        <f>IFERROR(HLOOKUP(W634,List!$D$2:$H$6,4,FALSE),"")</f>
        <v/>
      </c>
      <c r="AB634" s="29" t="str">
        <f>IFERROR(HLOOKUP(X634,List!$D$2:$H$6,5,FALSE),"")</f>
        <v/>
      </c>
      <c r="AC634" s="12" t="str">
        <f t="shared" si="148"/>
        <v/>
      </c>
      <c r="AD634" s="12">
        <f t="shared" si="149"/>
        <v>9.6895380175349732</v>
      </c>
      <c r="AE634" s="12" t="str">
        <f t="shared" si="150"/>
        <v/>
      </c>
      <c r="AF634" s="12" t="str">
        <f t="shared" si="151"/>
        <v/>
      </c>
      <c r="AG634" t="str">
        <f>VLOOKUP(J634,'Receivable Invoice Detail'!$A$1:F3646,6,FALSE)</f>
        <v>[W-D3110/A05] Volute Liner, 4/3 C or D-AH, High Chrome</v>
      </c>
      <c r="AH634" s="12">
        <f t="shared" ref="AH634" si="170">SUM(AC634:AF634)</f>
        <v>9.6895380175349732</v>
      </c>
      <c r="AJ634">
        <v>2503</v>
      </c>
      <c r="AM634" s="12" t="str">
        <f t="shared" si="153"/>
        <v/>
      </c>
      <c r="AN634" s="12">
        <f t="shared" si="154"/>
        <v>0</v>
      </c>
      <c r="AO634" s="12" t="str">
        <f t="shared" si="155"/>
        <v/>
      </c>
      <c r="AP634" s="12" t="str">
        <f t="shared" si="156"/>
        <v/>
      </c>
      <c r="AQ634" s="64">
        <f>M634</f>
        <v>2503</v>
      </c>
      <c r="AR634" t="s">
        <v>5931</v>
      </c>
      <c r="AS634" s="12">
        <f t="shared" si="158"/>
        <v>43.586633122290849</v>
      </c>
      <c r="AT634" s="16" t="str">
        <f t="shared" si="160"/>
        <v>Yes</v>
      </c>
    </row>
    <row r="635" spans="1:46" hidden="1" x14ac:dyDescent="0.25">
      <c r="A635" s="41">
        <f>CASOPOInvCL!T635</f>
        <v>1</v>
      </c>
      <c r="B635" t="str">
        <f>CASOPOInvCL!Z635</f>
        <v>SO17355</v>
      </c>
      <c r="D635" t="s">
        <v>5851</v>
      </c>
      <c r="G635" s="5" t="str">
        <f>CASOPOInvCL!I635</f>
        <v>Ian Trottier</v>
      </c>
      <c r="H635" s="31">
        <f>CASOPOInvCL!U635</f>
        <v>6</v>
      </c>
      <c r="I635" s="31">
        <f>CASOPOInvCL!V635</f>
        <v>2025</v>
      </c>
      <c r="J635" s="5" t="str">
        <f>CASOPOInvCL!AB635</f>
        <v>INV13104</v>
      </c>
      <c r="K635" s="31">
        <f>CASOPOInvCL!W635</f>
        <v>7</v>
      </c>
      <c r="L635" s="31">
        <f>CASOPOInvCL!X635</f>
        <v>2025</v>
      </c>
      <c r="M635">
        <v>2503</v>
      </c>
      <c r="N635" s="5" t="str">
        <f>CASOPOInvCL!AF635</f>
        <v>Motion Industries Inc. (U.S.) - Huntington, Motion Industries, Inc.</v>
      </c>
      <c r="O635" s="16" t="str">
        <f>CASOPOInvCL!AG635</f>
        <v>USD</v>
      </c>
      <c r="P635" s="16">
        <f>CASOPOInvCL!AH635</f>
        <v>466.65950534610732</v>
      </c>
      <c r="Q635" s="16">
        <f>CASOPOInvCL!AI635</f>
        <v>343.4</v>
      </c>
      <c r="R635" s="32" t="str">
        <f>CASOPOInvCL!AU635</f>
        <v>Yes</v>
      </c>
      <c r="S635" s="16">
        <f>CASOPOInvCL!AV635</f>
        <v>0</v>
      </c>
      <c r="T635" s="16">
        <f>CASOPOInvCL!AW635</f>
        <v>343.4</v>
      </c>
      <c r="V635" t="s">
        <v>5800</v>
      </c>
      <c r="Y635" s="29" t="str">
        <f>IFERROR(HLOOKUP(U635,List!$D$2:$H$6,2,FALSE),"")</f>
        <v/>
      </c>
      <c r="Z635" s="29">
        <f>IFERROR(HLOOKUP(V635,List!$D$2:$H$6,3,FALSE),"")</f>
        <v>5.0000000000000001E-3</v>
      </c>
      <c r="AA635" s="29" t="str">
        <f>IFERROR(HLOOKUP(W635,List!$D$2:$H$6,4,FALSE),"")</f>
        <v/>
      </c>
      <c r="AB635" s="29" t="str">
        <f>IFERROR(HLOOKUP(X635,List!$D$2:$H$6,5,FALSE),"")</f>
        <v/>
      </c>
      <c r="AC635" s="12" t="str">
        <f t="shared" si="148"/>
        <v/>
      </c>
      <c r="AD635" s="12">
        <f t="shared" si="149"/>
        <v>1.7169999999999999</v>
      </c>
      <c r="AE635" s="12" t="str">
        <f t="shared" si="150"/>
        <v/>
      </c>
      <c r="AF635" s="12" t="str">
        <f t="shared" si="151"/>
        <v/>
      </c>
      <c r="AG635" t="str">
        <f>VLOOKUP(J635,'Receivable Invoice Detail'!$A$1:F3647,6,FALSE)</f>
        <v>[W-C2132L/S01] Discharge Joint Ring, 3/2 C-AH, EPDM Rubber</v>
      </c>
      <c r="AJ635">
        <v>2503</v>
      </c>
      <c r="AM635" s="12" t="str">
        <f t="shared" si="153"/>
        <v/>
      </c>
      <c r="AN635" s="12">
        <f t="shared" si="154"/>
        <v>0</v>
      </c>
      <c r="AO635" s="12" t="str">
        <f t="shared" si="155"/>
        <v/>
      </c>
      <c r="AP635" s="12" t="str">
        <f t="shared" si="156"/>
        <v/>
      </c>
      <c r="AQ635" s="64">
        <f>M635</f>
        <v>2503</v>
      </c>
      <c r="AR635" t="s">
        <v>5931</v>
      </c>
      <c r="AS635" s="12">
        <f t="shared" si="158"/>
        <v>10.572064687980902</v>
      </c>
      <c r="AT635" s="16" t="str">
        <f t="shared" si="160"/>
        <v>Yes</v>
      </c>
    </row>
    <row r="636" spans="1:46" hidden="1" x14ac:dyDescent="0.25">
      <c r="A636" s="41">
        <f>CASOPOInvCL!T636</f>
        <v>1</v>
      </c>
      <c r="B636" t="str">
        <f>CASOPOInvCL!Z636</f>
        <v>SO17356</v>
      </c>
      <c r="D636" t="s">
        <v>5925</v>
      </c>
      <c r="G636" s="5" t="str">
        <f>CASOPOInvCL!I636</f>
        <v>Ian Trottier</v>
      </c>
      <c r="H636" s="31">
        <f>CASOPOInvCL!U636</f>
        <v>6</v>
      </c>
      <c r="I636" s="31">
        <f>CASOPOInvCL!V636</f>
        <v>2025</v>
      </c>
      <c r="J636" s="5" t="str">
        <f>CASOPOInvCL!AB636</f>
        <v>INV13287</v>
      </c>
      <c r="K636" s="31">
        <f>CASOPOInvCL!W636</f>
        <v>9</v>
      </c>
      <c r="L636" s="31">
        <f>CASOPOInvCL!X636</f>
        <v>2025</v>
      </c>
      <c r="M636">
        <v>2503</v>
      </c>
      <c r="N636" s="5" t="str">
        <f>CASOPOInvCL!AF636</f>
        <v>John Brooks Company Limited</v>
      </c>
      <c r="O636" s="16" t="str">
        <f>CASOPOInvCL!AG636</f>
        <v>CAD</v>
      </c>
      <c r="P636" s="16">
        <f>CASOPOInvCL!AH636</f>
        <v>10764.82</v>
      </c>
      <c r="Q636" s="16">
        <f>CASOPOInvCL!AI636</f>
        <v>7940.0257020892386</v>
      </c>
      <c r="R636" s="32" t="str">
        <f>CASOPOInvCL!AU636</f>
        <v>Yes</v>
      </c>
      <c r="S636" s="16">
        <f>CASOPOInvCL!AV636</f>
        <v>0</v>
      </c>
      <c r="T636" s="16">
        <f>CASOPOInvCL!AW636</f>
        <v>7940.0257020892386</v>
      </c>
      <c r="V636" t="s">
        <v>5801</v>
      </c>
      <c r="Y636" s="29" t="str">
        <f>IFERROR(HLOOKUP(U636,List!$D$2:$H$6,2,FALSE),"")</f>
        <v/>
      </c>
      <c r="Z636" s="29">
        <f>IFERROR(HLOOKUP(V636,List!$D$2:$H$6,3,FALSE),"")</f>
        <v>0.02</v>
      </c>
      <c r="AA636" s="29" t="str">
        <f>IFERROR(HLOOKUP(W636,List!$D$2:$H$6,4,FALSE),"")</f>
        <v/>
      </c>
      <c r="AB636" s="29" t="str">
        <f>IFERROR(HLOOKUP(X636,List!$D$2:$H$6,5,FALSE),"")</f>
        <v/>
      </c>
      <c r="AC636" s="12" t="str">
        <f t="shared" si="148"/>
        <v/>
      </c>
      <c r="AD636" s="12">
        <f t="shared" si="149"/>
        <v>158.80051404178477</v>
      </c>
      <c r="AE636" s="12" t="str">
        <f t="shared" si="150"/>
        <v/>
      </c>
      <c r="AF636" s="12" t="str">
        <f t="shared" si="151"/>
        <v/>
      </c>
      <c r="AG636" t="str">
        <f>VLOOKUP(J636,'Receivable Invoice Detail'!$A$1:F3648,6,FALSE)</f>
        <v>[M&amp;N# 72] Impeller, 8x5-17, PWO, 3-Vane, 317SS</v>
      </c>
      <c r="AM636" s="12" t="str">
        <f t="shared" si="153"/>
        <v/>
      </c>
      <c r="AN636" s="12">
        <f t="shared" si="154"/>
        <v>158.80051404178477</v>
      </c>
      <c r="AO636" s="12" t="str">
        <f t="shared" si="155"/>
        <v/>
      </c>
      <c r="AP636" s="12" t="str">
        <f t="shared" si="156"/>
        <v/>
      </c>
      <c r="AQ636" s="64">
        <v>2503</v>
      </c>
      <c r="AR636" t="s">
        <v>5932</v>
      </c>
      <c r="AS636" s="12">
        <f t="shared" si="158"/>
        <v>29.068614052604918</v>
      </c>
      <c r="AT636" s="16" t="str">
        <f t="shared" si="160"/>
        <v>Yes</v>
      </c>
    </row>
    <row r="637" spans="1:46" hidden="1" x14ac:dyDescent="0.25">
      <c r="A637" s="41">
        <f>CASOPOInvCL!T637</f>
        <v>1</v>
      </c>
      <c r="B637" t="str">
        <f>CASOPOInvCL!Z637</f>
        <v>SO17357</v>
      </c>
      <c r="D637" t="s">
        <v>5851</v>
      </c>
      <c r="G637" s="5" t="str">
        <f>CASOPOInvCL!I637</f>
        <v>Alexis Gil Lamadrid</v>
      </c>
      <c r="H637" s="31">
        <f>CASOPOInvCL!U637</f>
        <v>6</v>
      </c>
      <c r="I637" s="31">
        <f>CASOPOInvCL!V637</f>
        <v>2025</v>
      </c>
      <c r="J637" s="5" t="str">
        <f>CASOPOInvCL!AB637</f>
        <v>INV13106</v>
      </c>
      <c r="K637" s="31">
        <f>CASOPOInvCL!W637</f>
        <v>7</v>
      </c>
      <c r="L637" s="31">
        <f>CASOPOInvCL!X637</f>
        <v>2025</v>
      </c>
      <c r="M637">
        <v>2503</v>
      </c>
      <c r="N637" s="5" t="str">
        <f>CASOPOInvCL!AF637</f>
        <v>Fabrene Inc.</v>
      </c>
      <c r="O637" s="16" t="str">
        <f>CASOPOInvCL!AG637</f>
        <v>CAD</v>
      </c>
      <c r="P637" s="16">
        <f>CASOPOInvCL!AH637</f>
        <v>283.8</v>
      </c>
      <c r="Q637" s="16">
        <f>CASOPOInvCL!AI637</f>
        <v>208.8394619278549</v>
      </c>
      <c r="R637" s="32" t="str">
        <f>CASOPOInvCL!AU637</f>
        <v>Yes</v>
      </c>
      <c r="S637" s="16">
        <f>CASOPOInvCL!AV637</f>
        <v>0</v>
      </c>
      <c r="T637" s="16">
        <f>CASOPOInvCL!AW637</f>
        <v>208.8394619278549</v>
      </c>
      <c r="V637" t="s">
        <v>5800</v>
      </c>
      <c r="Y637" s="29" t="str">
        <f>IFERROR(HLOOKUP(U637,List!$D$2:$H$6,2,FALSE),"")</f>
        <v/>
      </c>
      <c r="Z637" s="29">
        <f>IFERROR(HLOOKUP(V637,List!$D$2:$H$6,3,FALSE),"")</f>
        <v>5.0000000000000001E-3</v>
      </c>
      <c r="AA637" s="29" t="str">
        <f>IFERROR(HLOOKUP(W637,List!$D$2:$H$6,4,FALSE),"")</f>
        <v/>
      </c>
      <c r="AB637" s="29" t="str">
        <f>IFERROR(HLOOKUP(X637,List!$D$2:$H$6,5,FALSE),"")</f>
        <v/>
      </c>
      <c r="AC637" s="12" t="str">
        <f t="shared" si="148"/>
        <v/>
      </c>
      <c r="AD637" s="12">
        <f t="shared" si="149"/>
        <v>1.0441973096392745</v>
      </c>
      <c r="AE637" s="12" t="str">
        <f t="shared" si="150"/>
        <v/>
      </c>
      <c r="AF637" s="12" t="str">
        <f t="shared" si="151"/>
        <v/>
      </c>
      <c r="AG637" t="str">
        <f>VLOOKUP(J637,'Receivable Invoice Detail'!$A$1:F3649,6,FALSE)</f>
        <v>[G-C03340A 1000] Thrust Bearing Housing, 3196 STX, Cast Iron</v>
      </c>
      <c r="AJ637">
        <v>2503</v>
      </c>
      <c r="AM637" s="12" t="str">
        <f t="shared" si="153"/>
        <v/>
      </c>
      <c r="AN637" s="12">
        <f t="shared" si="154"/>
        <v>0</v>
      </c>
      <c r="AO637" s="12" t="str">
        <f t="shared" si="155"/>
        <v/>
      </c>
      <c r="AP637" s="12" t="str">
        <f t="shared" si="156"/>
        <v/>
      </c>
      <c r="AQ637" s="64">
        <f>M637</f>
        <v>2503</v>
      </c>
      <c r="AR637" t="s">
        <v>5931</v>
      </c>
      <c r="AS637" s="12">
        <f t="shared" si="158"/>
        <v>5.1509999999999998</v>
      </c>
      <c r="AT637" s="16" t="str">
        <f t="shared" si="160"/>
        <v>Yes</v>
      </c>
    </row>
    <row r="638" spans="1:46" hidden="1" x14ac:dyDescent="0.25">
      <c r="A638" s="41">
        <f>CASOPOInvCL!T638</f>
        <v>1</v>
      </c>
      <c r="B638" t="str">
        <f>CASOPOInvCL!Z638</f>
        <v>SO17358</v>
      </c>
      <c r="G638" s="5" t="str">
        <f>CASOPOInvCL!I638</f>
        <v>Amanda Qiao</v>
      </c>
      <c r="H638" s="31">
        <f>CASOPOInvCL!U638</f>
        <v>6</v>
      </c>
      <c r="I638" s="31">
        <f>CASOPOInvCL!V638</f>
        <v>2025</v>
      </c>
      <c r="J638" s="5" t="str">
        <f>CASOPOInvCL!AB638</f>
        <v>INV13380</v>
      </c>
      <c r="K638" s="31">
        <f>CASOPOInvCL!W638</f>
        <v>11</v>
      </c>
      <c r="L638" s="31">
        <f>CASOPOInvCL!X638</f>
        <v>2025</v>
      </c>
      <c r="M638" s="31"/>
      <c r="N638" s="5" t="str">
        <f>CASOPOInvCL!AF638</f>
        <v>Zijin Mining - Rosebel Goldmines N.V.</v>
      </c>
      <c r="O638" s="16" t="str">
        <f>CASOPOInvCL!AG638</f>
        <v>USD</v>
      </c>
      <c r="P638" s="16">
        <f>CASOPOInvCL!AH638</f>
        <v>7496.7878283992541</v>
      </c>
      <c r="Q638" s="16">
        <f>CASOPOInvCL!AI638</f>
        <v>5422.32</v>
      </c>
      <c r="R638" s="32" t="str">
        <f>CASOPOInvCL!AU638</f>
        <v>Yes</v>
      </c>
      <c r="S638" s="16">
        <f>CASOPOInvCL!AV638</f>
        <v>890</v>
      </c>
      <c r="T638" s="16">
        <f>CASOPOInvCL!AW638</f>
        <v>4532.32</v>
      </c>
      <c r="Y638" s="29" t="str">
        <f>IFERROR(HLOOKUP(U638,List!$D$2:$H$6,2,FALSE),"")</f>
        <v/>
      </c>
      <c r="Z638" s="29" t="str">
        <f>IFERROR(HLOOKUP(V638,List!$D$2:$H$6,3,FALSE),"")</f>
        <v/>
      </c>
      <c r="AA638" s="29" t="str">
        <f>IFERROR(HLOOKUP(W638,List!$D$2:$H$6,4,FALSE),"")</f>
        <v/>
      </c>
      <c r="AB638" s="29" t="str">
        <f>IFERROR(HLOOKUP(X638,List!$D$2:$H$6,5,FALSE),"")</f>
        <v/>
      </c>
      <c r="AC638" s="12" t="str">
        <f t="shared" si="148"/>
        <v/>
      </c>
      <c r="AD638" s="12" t="str">
        <f t="shared" si="149"/>
        <v/>
      </c>
      <c r="AE638" s="12" t="str">
        <f t="shared" si="150"/>
        <v/>
      </c>
      <c r="AF638" s="12" t="str">
        <f t="shared" si="151"/>
        <v/>
      </c>
      <c r="AG638" t="str">
        <f>VLOOKUP(J638,'Receivable Invoice Detail'!$A$1:F3650,6,FALSE)</f>
        <v>[DU-PE2YRB-LHS-4140-H] Power End, Durco Mark 3 Group 2, 4140 Steel Shaft (Hook Sleeve), 316SS Sleeve</v>
      </c>
      <c r="AM638" s="12" t="str">
        <f t="shared" si="153"/>
        <v/>
      </c>
      <c r="AN638" s="12" t="str">
        <f t="shared" si="154"/>
        <v/>
      </c>
      <c r="AO638" s="12" t="str">
        <f t="shared" si="155"/>
        <v/>
      </c>
      <c r="AP638" s="12" t="str">
        <f t="shared" si="156"/>
        <v/>
      </c>
      <c r="AQ638" s="12"/>
      <c r="AS638" s="12">
        <f t="shared" si="158"/>
        <v>119.10038553133857</v>
      </c>
      <c r="AT638" s="16" t="str">
        <f t="shared" si="160"/>
        <v>Yes</v>
      </c>
    </row>
    <row r="639" spans="1:46" hidden="1" x14ac:dyDescent="0.25">
      <c r="A639" s="41">
        <f>CASOPOInvCL!T639</f>
        <v>1</v>
      </c>
      <c r="B639" t="str">
        <f>CASOPOInvCL!Z639</f>
        <v>SO17360</v>
      </c>
      <c r="D639" t="s">
        <v>5915</v>
      </c>
      <c r="G639" s="5" t="str">
        <f>CASOPOInvCL!I639</f>
        <v>Wilka Nuñez</v>
      </c>
      <c r="H639" s="31">
        <f>CASOPOInvCL!U639</f>
        <v>6</v>
      </c>
      <c r="I639" s="31">
        <f>CASOPOInvCL!V639</f>
        <v>2025</v>
      </c>
      <c r="J639" s="5" t="str">
        <f>CASOPOInvCL!AB639</f>
        <v>INV13228</v>
      </c>
      <c r="K639" s="31">
        <f>CASOPOInvCL!W639</f>
        <v>8</v>
      </c>
      <c r="L639" s="31">
        <f>CASOPOInvCL!X639</f>
        <v>2025</v>
      </c>
      <c r="M639">
        <v>2503</v>
      </c>
      <c r="N639" s="5" t="str">
        <f>CASOPOInvCL!AF639</f>
        <v>Alpha Industrial &amp; Mining Supplies Limited</v>
      </c>
      <c r="O639" s="16" t="str">
        <f>CASOPOInvCL!AG639</f>
        <v>CAD</v>
      </c>
      <c r="P639" s="16">
        <f>CASOPOInvCL!AH639</f>
        <v>5181.7</v>
      </c>
      <c r="Q639" s="16">
        <f>CASOPOInvCL!AI639</f>
        <v>3772.2432918371774</v>
      </c>
      <c r="R639" s="32" t="str">
        <f>CASOPOInvCL!AU639</f>
        <v>Yes</v>
      </c>
      <c r="S639" s="16">
        <f>CASOPOInvCL!AV639</f>
        <v>0</v>
      </c>
      <c r="T639" s="16">
        <f>CASOPOInvCL!AW639</f>
        <v>3772.2432918371774</v>
      </c>
      <c r="V639" t="s">
        <v>5800</v>
      </c>
      <c r="Y639" s="29" t="str">
        <f>IFERROR(HLOOKUP(U639,List!$D$2:$H$6,2,FALSE),"")</f>
        <v/>
      </c>
      <c r="Z639" s="29">
        <f>IFERROR(HLOOKUP(V639,List!$D$2:$H$6,3,FALSE),"")</f>
        <v>5.0000000000000001E-3</v>
      </c>
      <c r="AA639" s="29" t="str">
        <f>IFERROR(HLOOKUP(W639,List!$D$2:$H$6,4,FALSE),"")</f>
        <v/>
      </c>
      <c r="AB639" s="29" t="str">
        <f>IFERROR(HLOOKUP(X639,List!$D$2:$H$6,5,FALSE),"")</f>
        <v/>
      </c>
      <c r="AC639" s="12" t="str">
        <f t="shared" si="148"/>
        <v/>
      </c>
      <c r="AD639" s="12">
        <f t="shared" si="149"/>
        <v>18.861216459185886</v>
      </c>
      <c r="AE639" s="12" t="str">
        <f t="shared" si="150"/>
        <v/>
      </c>
      <c r="AF639" s="12" t="str">
        <f t="shared" si="151"/>
        <v/>
      </c>
      <c r="AG639" t="str">
        <f>VLOOKUP(J639,'Receivable Invoice Detail'!$A$1:F3651,6,FALSE)</f>
        <v>[Alternate OEM P/N: 567428-PS, SA-14007-M4] Shaft, 22/33/44 WFR, Sala STGVA-180, 1045 Steel</v>
      </c>
      <c r="AJ639">
        <v>2503</v>
      </c>
      <c r="AM639" s="12" t="str">
        <f t="shared" si="153"/>
        <v/>
      </c>
      <c r="AN639" s="12">
        <f t="shared" si="154"/>
        <v>0</v>
      </c>
      <c r="AO639" s="12" t="str">
        <f t="shared" si="155"/>
        <v/>
      </c>
      <c r="AP639" s="12" t="str">
        <f t="shared" si="156"/>
        <v/>
      </c>
      <c r="AQ639" s="64">
        <f>M639</f>
        <v>2503</v>
      </c>
      <c r="AR639" t="s">
        <v>5931</v>
      </c>
      <c r="AS639" s="12">
        <f t="shared" si="158"/>
        <v>3.1325919289178232</v>
      </c>
      <c r="AT639" s="16" t="str">
        <f t="shared" si="160"/>
        <v>Yes</v>
      </c>
    </row>
    <row r="640" spans="1:46" hidden="1" x14ac:dyDescent="0.25">
      <c r="A640" s="41">
        <f>CASOPOInvCL!T640</f>
        <v>2</v>
      </c>
      <c r="B640" t="str">
        <f>CASOPOInvCL!Z640</f>
        <v>SO17366</v>
      </c>
      <c r="G640" s="5" t="str">
        <f>CASOPOInvCL!I640</f>
        <v>Amanda Qiao</v>
      </c>
      <c r="H640" s="31">
        <f>CASOPOInvCL!U640</f>
        <v>6</v>
      </c>
      <c r="I640" s="31">
        <f>CASOPOInvCL!V640</f>
        <v>2025</v>
      </c>
      <c r="J640" s="5" t="str">
        <f>CASOPOInvCL!AB640</f>
        <v>INV13145</v>
      </c>
      <c r="K640" s="31">
        <f>CASOPOInvCL!W640</f>
        <v>10</v>
      </c>
      <c r="L640" s="31">
        <f>CASOPOInvCL!X640</f>
        <v>2025</v>
      </c>
      <c r="M640" s="31"/>
      <c r="N640" s="5" t="str">
        <f>CASOPOInvCL!AF640</f>
        <v>Mill-Right Mine Services Inc.</v>
      </c>
      <c r="O640" s="16" t="str">
        <f>CASOPOInvCL!AG640</f>
        <v>USD</v>
      </c>
      <c r="P640" s="16">
        <f>CASOPOInvCL!AH640</f>
        <v>2778.8255372946637</v>
      </c>
      <c r="Q640" s="16">
        <f>CASOPOInvCL!AI640</f>
        <v>2044.85</v>
      </c>
      <c r="R640" s="32" t="str">
        <f>CASOPOInvCL!AU640</f>
        <v/>
      </c>
      <c r="S640" s="16">
        <f>CASOPOInvCL!AV640</f>
        <v>228</v>
      </c>
      <c r="T640" s="16">
        <f>CASOPOInvCL!AW640</f>
        <v>0</v>
      </c>
      <c r="Y640" s="29" t="str">
        <f>IFERROR(HLOOKUP(U640,List!$D$2:$H$6,2,FALSE),"")</f>
        <v/>
      </c>
      <c r="Z640" s="29" t="str">
        <f>IFERROR(HLOOKUP(V640,List!$D$2:$H$6,3,FALSE),"")</f>
        <v/>
      </c>
      <c r="AA640" s="29" t="str">
        <f>IFERROR(HLOOKUP(W640,List!$D$2:$H$6,4,FALSE),"")</f>
        <v/>
      </c>
      <c r="AB640" s="29" t="str">
        <f>IFERROR(HLOOKUP(X640,List!$D$2:$H$6,5,FALSE),"")</f>
        <v/>
      </c>
      <c r="AC640" s="12" t="str">
        <f t="shared" si="148"/>
        <v/>
      </c>
      <c r="AD640" s="12" t="str">
        <f t="shared" si="149"/>
        <v/>
      </c>
      <c r="AE640" s="12" t="str">
        <f t="shared" si="150"/>
        <v/>
      </c>
      <c r="AF640" s="12" t="str">
        <f t="shared" si="151"/>
        <v/>
      </c>
      <c r="AG640" t="str">
        <f>VLOOKUP(J640,'Receivable Invoice Detail'!$A$1:F3652,6,FALSE)</f>
        <v>[FS58979M4] Single Cartridge Mechanical Seal, 1 7/8", VBRB3, Big Bore, Carbon vs Silicon Carbide, TFEP, A276 Bellows, 316SS</v>
      </c>
      <c r="AH640" s="12">
        <f t="shared" ref="AH640:AH641" si="171">SUM(AC640:AF640)</f>
        <v>0</v>
      </c>
      <c r="AM640" s="12" t="str">
        <f t="shared" si="153"/>
        <v/>
      </c>
      <c r="AN640" s="12" t="str">
        <f t="shared" si="154"/>
        <v/>
      </c>
      <c r="AO640" s="12" t="str">
        <f t="shared" si="155"/>
        <v/>
      </c>
      <c r="AP640" s="12" t="str">
        <f t="shared" si="156"/>
        <v/>
      </c>
      <c r="AQ640" s="12"/>
      <c r="AS640" s="12">
        <f t="shared" si="158"/>
        <v>67.984799999999993</v>
      </c>
      <c r="AT640" s="16" t="str">
        <f t="shared" si="160"/>
        <v/>
      </c>
    </row>
    <row r="641" spans="1:46" hidden="1" x14ac:dyDescent="0.25">
      <c r="A641" s="41">
        <f>CASOPOInvCL!T641</f>
        <v>2</v>
      </c>
      <c r="B641" t="str">
        <f>CASOPOInvCL!Z641</f>
        <v>SO17366</v>
      </c>
      <c r="G641" s="5">
        <f>CASOPOInvCL!I641</f>
        <v>0</v>
      </c>
      <c r="H641" s="31">
        <f>CASOPOInvCL!U641</f>
        <v>6</v>
      </c>
      <c r="I641" s="31">
        <f>CASOPOInvCL!V641</f>
        <v>2025</v>
      </c>
      <c r="J641" s="5" t="str">
        <f>CASOPOInvCL!AB641</f>
        <v>INV13145</v>
      </c>
      <c r="K641" s="31">
        <f>CASOPOInvCL!W641</f>
        <v>10</v>
      </c>
      <c r="L641" s="31">
        <f>CASOPOInvCL!X641</f>
        <v>2025</v>
      </c>
      <c r="M641" s="31"/>
      <c r="N641" s="5" t="str">
        <f>CASOPOInvCL!AF641</f>
        <v>Mill-Right Mine Services Inc.</v>
      </c>
      <c r="O641" s="16" t="str">
        <f>CASOPOInvCL!AG641</f>
        <v>USD</v>
      </c>
      <c r="P641" s="16">
        <f>CASOPOInvCL!AH641</f>
        <v>0</v>
      </c>
      <c r="Q641" s="16">
        <f>CASOPOInvCL!AI641</f>
        <v>0</v>
      </c>
      <c r="R641" s="32" t="str">
        <f>CASOPOInvCL!AU641</f>
        <v/>
      </c>
      <c r="S641" s="16">
        <f>CASOPOInvCL!AV641</f>
        <v>228</v>
      </c>
      <c r="T641" s="16">
        <f>CASOPOInvCL!AW641</f>
        <v>0</v>
      </c>
      <c r="Y641" s="29" t="str">
        <f>IFERROR(HLOOKUP(U641,List!$D$2:$H$6,2,FALSE),"")</f>
        <v/>
      </c>
      <c r="Z641" s="29" t="str">
        <f>IFERROR(HLOOKUP(V641,List!$D$2:$H$6,3,FALSE),"")</f>
        <v/>
      </c>
      <c r="AA641" s="29" t="str">
        <f>IFERROR(HLOOKUP(W641,List!$D$2:$H$6,4,FALSE),"")</f>
        <v/>
      </c>
      <c r="AB641" s="29" t="str">
        <f>IFERROR(HLOOKUP(X641,List!$D$2:$H$6,5,FALSE),"")</f>
        <v/>
      </c>
      <c r="AC641" s="12" t="str">
        <f t="shared" si="148"/>
        <v/>
      </c>
      <c r="AD641" s="12" t="str">
        <f t="shared" si="149"/>
        <v/>
      </c>
      <c r="AE641" s="12" t="str">
        <f t="shared" si="150"/>
        <v/>
      </c>
      <c r="AF641" s="12" t="str">
        <f t="shared" si="151"/>
        <v/>
      </c>
      <c r="AG641" t="str">
        <f>VLOOKUP(J641,'Receivable Invoice Detail'!$A$1:F3653,6,FALSE)</f>
        <v>[FS58979M4] Single Cartridge Mechanical Seal, 1 7/8", VBRB3, Big Bore, Carbon vs Silicon Carbide, TFEP, A276 Bellows, 316SS</v>
      </c>
      <c r="AH641" s="12">
        <f t="shared" si="171"/>
        <v>0</v>
      </c>
      <c r="AM641" s="12" t="str">
        <f t="shared" si="153"/>
        <v/>
      </c>
      <c r="AN641" s="12" t="str">
        <f t="shared" si="154"/>
        <v/>
      </c>
      <c r="AO641" s="12" t="str">
        <f t="shared" si="155"/>
        <v/>
      </c>
      <c r="AP641" s="12" t="str">
        <f t="shared" si="156"/>
        <v/>
      </c>
      <c r="AQ641" s="12"/>
      <c r="AS641" s="12">
        <f t="shared" si="158"/>
        <v>56.583649377557656</v>
      </c>
      <c r="AT641" s="16" t="str">
        <f t="shared" si="160"/>
        <v/>
      </c>
    </row>
    <row r="642" spans="1:46" hidden="1" x14ac:dyDescent="0.25">
      <c r="A642" s="41">
        <f>CASOPOInvCL!T642</f>
        <v>2</v>
      </c>
      <c r="B642" t="str">
        <f>CASOPOInvCL!Z642</f>
        <v>SO17367</v>
      </c>
      <c r="D642" t="s">
        <v>5925</v>
      </c>
      <c r="G642" s="5" t="str">
        <f>CASOPOInvCL!I642</f>
        <v>Ian Trottier</v>
      </c>
      <c r="H642" s="31">
        <f>CASOPOInvCL!U642</f>
        <v>6</v>
      </c>
      <c r="I642" s="31">
        <f>CASOPOInvCL!V642</f>
        <v>2025</v>
      </c>
      <c r="J642" s="5" t="str">
        <f>CASOPOInvCL!AB642</f>
        <v>INV13117</v>
      </c>
      <c r="K642" s="31">
        <f>CASOPOInvCL!W642</f>
        <v>7</v>
      </c>
      <c r="L642" s="31">
        <f>CASOPOInvCL!X642</f>
        <v>2025</v>
      </c>
      <c r="M642">
        <v>2503</v>
      </c>
      <c r="N642" s="5" t="str">
        <f>CASOPOInvCL!AF642</f>
        <v>Canadian Bearings Ltd.</v>
      </c>
      <c r="O642" s="16" t="str">
        <f>CASOPOInvCL!AG642</f>
        <v>CAD</v>
      </c>
      <c r="P642" s="16">
        <f>CASOPOInvCL!AH642</f>
        <v>585.46</v>
      </c>
      <c r="Q642" s="16">
        <f>CASOPOInvCL!AI642</f>
        <v>427.78091117595301</v>
      </c>
      <c r="R642" s="32" t="str">
        <f>CASOPOInvCL!AU642</f>
        <v>Yes</v>
      </c>
      <c r="S642" s="16">
        <f>CASOPOInvCL!AV642</f>
        <v>0</v>
      </c>
      <c r="T642" s="16">
        <f>CASOPOInvCL!AW642</f>
        <v>427.78091117595301</v>
      </c>
      <c r="V642" t="s">
        <v>5800</v>
      </c>
      <c r="Y642" s="29" t="str">
        <f>IFERROR(HLOOKUP(U642,List!$D$2:$H$6,2,FALSE),"")</f>
        <v/>
      </c>
      <c r="Z642" s="29">
        <f>IFERROR(HLOOKUP(V642,List!$D$2:$H$6,3,FALSE),"")</f>
        <v>5.0000000000000001E-3</v>
      </c>
      <c r="AA642" s="29" t="str">
        <f>IFERROR(HLOOKUP(W642,List!$D$2:$H$6,4,FALSE),"")</f>
        <v/>
      </c>
      <c r="AB642" s="29" t="str">
        <f>IFERROR(HLOOKUP(X642,List!$D$2:$H$6,5,FALSE),"")</f>
        <v/>
      </c>
      <c r="AC642" s="12" t="str">
        <f t="shared" si="148"/>
        <v/>
      </c>
      <c r="AD642" s="12">
        <f t="shared" si="149"/>
        <v>2.138904555879765</v>
      </c>
      <c r="AE642" s="12" t="str">
        <f t="shared" si="150"/>
        <v/>
      </c>
      <c r="AF642" s="12" t="str">
        <f t="shared" si="151"/>
        <v/>
      </c>
      <c r="AG642" t="str">
        <f>VLOOKUP(J642,'Receivable Invoice Detail'!$A$1:F3654,6,FALSE)</f>
        <v>[AC-52-050-313-000] Shim Kit, Allis Chalmers CSO, Frame F4D1/F4B5</v>
      </c>
      <c r="AM642" s="12" t="str">
        <f t="shared" si="153"/>
        <v/>
      </c>
      <c r="AN642" s="12">
        <f t="shared" si="154"/>
        <v>2.138904555879765</v>
      </c>
      <c r="AO642" s="12" t="str">
        <f t="shared" si="155"/>
        <v/>
      </c>
      <c r="AP642" s="12" t="str">
        <f t="shared" si="156"/>
        <v/>
      </c>
      <c r="AQ642" s="64">
        <v>2503</v>
      </c>
      <c r="AR642" t="s">
        <v>5932</v>
      </c>
      <c r="AS642" s="12">
        <f t="shared" si="158"/>
        <v>0</v>
      </c>
      <c r="AT642" s="16" t="str">
        <f t="shared" si="160"/>
        <v>Yes</v>
      </c>
    </row>
    <row r="643" spans="1:46" hidden="1" x14ac:dyDescent="0.25">
      <c r="A643" s="77">
        <f>CASOPOInvCL!T643</f>
        <v>2</v>
      </c>
      <c r="B643" t="str">
        <f>CASOPOInvCL!Z643</f>
        <v>SO17367</v>
      </c>
      <c r="D643" t="s">
        <v>5925</v>
      </c>
      <c r="G643" s="5">
        <f>CASOPOInvCL!I643</f>
        <v>0</v>
      </c>
      <c r="H643" s="31">
        <f>CASOPOInvCL!U643</f>
        <v>6</v>
      </c>
      <c r="I643" s="31">
        <f>CASOPOInvCL!V643</f>
        <v>2025</v>
      </c>
      <c r="J643" s="5" t="str">
        <f>CASOPOInvCL!AB643</f>
        <v>INV13159</v>
      </c>
      <c r="K643" s="31">
        <f>CASOPOInvCL!W643</f>
        <v>7</v>
      </c>
      <c r="L643" s="31">
        <f>CASOPOInvCL!X643</f>
        <v>2025</v>
      </c>
      <c r="M643">
        <v>2503</v>
      </c>
      <c r="N643" s="5" t="str">
        <f>CASOPOInvCL!AF643</f>
        <v>Canadian Bearings Ltd.</v>
      </c>
      <c r="O643" s="16" t="str">
        <f>CASOPOInvCL!AG643</f>
        <v>CAD</v>
      </c>
      <c r="P643" s="16">
        <f>CASOPOInvCL!AH643</f>
        <v>0</v>
      </c>
      <c r="Q643" s="16">
        <f>CASOPOInvCL!AI643</f>
        <v>0</v>
      </c>
      <c r="R643" s="32" t="str">
        <f>CASOPOInvCL!AU643</f>
        <v/>
      </c>
      <c r="S643" s="16">
        <f>CASOPOInvCL!AV643</f>
        <v>0</v>
      </c>
      <c r="T643" s="16">
        <f>CASOPOInvCL!AW643</f>
        <v>0</v>
      </c>
      <c r="V643" t="s">
        <v>5800</v>
      </c>
      <c r="Y643" s="29" t="str">
        <f>IFERROR(HLOOKUP(U643,List!$D$2:$H$6,2,FALSE),"")</f>
        <v/>
      </c>
      <c r="Z643" s="29">
        <f>IFERROR(HLOOKUP(V643,List!$D$2:$H$6,3,FALSE),"")</f>
        <v>5.0000000000000001E-3</v>
      </c>
      <c r="AA643" s="29" t="str">
        <f>IFERROR(HLOOKUP(W643,List!$D$2:$H$6,4,FALSE),"")</f>
        <v/>
      </c>
      <c r="AB643" s="29" t="str">
        <f>IFERROR(HLOOKUP(X643,List!$D$2:$H$6,5,FALSE),"")</f>
        <v/>
      </c>
      <c r="AC643" s="12" t="str">
        <f t="shared" ref="AC643:AC706" si="172">IFERROR(Y643*$T643,"")</f>
        <v/>
      </c>
      <c r="AD643" s="12">
        <f t="shared" ref="AD643:AD706" si="173">IFERROR(Z643*$T643,"")</f>
        <v>0</v>
      </c>
      <c r="AE643" s="12" t="str">
        <f t="shared" ref="AE643:AE706" si="174">IFERROR(AA643*$T643,"")</f>
        <v/>
      </c>
      <c r="AF643" s="12" t="str">
        <f t="shared" ref="AF643:AF706" si="175">IFERROR(AB643*$T643,"")</f>
        <v/>
      </c>
      <c r="AG643" t="str">
        <f>VLOOKUP(J643,'Receivable Invoice Detail'!$A$1:F3655,6,FALSE)</f>
        <v>[AC-52-431-816-007] Casing Gasket, 10",  Allis Chalmers CSO</v>
      </c>
      <c r="AM643" s="12" t="str">
        <f t="shared" ref="AM643:AM706" si="176">IF(AI643="",AC643,0)</f>
        <v/>
      </c>
      <c r="AN643" s="12">
        <f t="shared" ref="AN643:AN706" si="177">IF(AJ643="",AD643,0)</f>
        <v>0</v>
      </c>
      <c r="AO643" s="12" t="str">
        <f t="shared" ref="AO643:AO706" si="178">IF(AK643="",AE643,0)</f>
        <v/>
      </c>
      <c r="AP643" s="12" t="str">
        <f t="shared" ref="AP643:AP706" si="179">IF(AL643="",AF643,0)</f>
        <v/>
      </c>
      <c r="AQ643" s="64">
        <v>2503</v>
      </c>
      <c r="AR643" t="s">
        <v>5932</v>
      </c>
      <c r="AS643" s="12">
        <f t="shared" si="158"/>
        <v>0</v>
      </c>
      <c r="AT643" s="16" t="str">
        <f t="shared" si="160"/>
        <v/>
      </c>
    </row>
    <row r="644" spans="1:46" hidden="1" x14ac:dyDescent="0.25">
      <c r="A644" s="41">
        <f>CASOPOInvCL!T644</f>
        <v>2</v>
      </c>
      <c r="B644" s="76" t="str">
        <f>CASOPOInvCL!Z644</f>
        <v>SO17368</v>
      </c>
      <c r="D644" t="s">
        <v>5915</v>
      </c>
      <c r="G644" s="5" t="str">
        <f>CASOPOInvCL!I644</f>
        <v>Wilka Nuñez</v>
      </c>
      <c r="H644" s="31">
        <f>CASOPOInvCL!U644</f>
        <v>6</v>
      </c>
      <c r="I644" s="31">
        <f>CASOPOInvCL!V644</f>
        <v>2025</v>
      </c>
      <c r="J644" s="5" t="str">
        <f>CASOPOInvCL!AB644</f>
        <v>INV13185</v>
      </c>
      <c r="K644" s="31">
        <f>CASOPOInvCL!W644</f>
        <v>8</v>
      </c>
      <c r="L644" s="31">
        <f>CASOPOInvCL!X644</f>
        <v>2025</v>
      </c>
      <c r="M644">
        <v>2504</v>
      </c>
      <c r="N644" s="5" t="str">
        <f>CASOPOInvCL!AF644</f>
        <v>Barrick Gold - Pueblo Viejo Dominicana Corporation</v>
      </c>
      <c r="O644" s="16" t="str">
        <f>CASOPOInvCL!AG644</f>
        <v>USD</v>
      </c>
      <c r="P644" s="16">
        <f>CASOPOInvCL!AH644</f>
        <v>21669.460688981169</v>
      </c>
      <c r="Q644" s="16">
        <f>CASOPOInvCL!AI644</f>
        <v>15835.75</v>
      </c>
      <c r="R644" s="32" t="str">
        <f>CASOPOInvCL!AU644</f>
        <v>Yes</v>
      </c>
      <c r="S644" s="16">
        <f>CASOPOInvCL!AV644</f>
        <v>0</v>
      </c>
      <c r="T644" s="16">
        <f>CASOPOInvCL!AW644</f>
        <v>15835.75</v>
      </c>
      <c r="V644" t="s">
        <v>5803</v>
      </c>
      <c r="Y644" s="29" t="str">
        <f>IFERROR(HLOOKUP(U644,List!$D$2:$H$6,2,FALSE),"")</f>
        <v/>
      </c>
      <c r="Z644" s="29">
        <f>IFERROR(HLOOKUP(V644,List!$D$2:$H$6,3,FALSE),"")</f>
        <v>0</v>
      </c>
      <c r="AA644" s="29" t="str">
        <f>IFERROR(HLOOKUP(W644,List!$D$2:$H$6,4,FALSE),"")</f>
        <v/>
      </c>
      <c r="AB644" s="29" t="str">
        <f>IFERROR(HLOOKUP(X644,List!$D$2:$H$6,5,FALSE),"")</f>
        <v/>
      </c>
      <c r="AC644" s="12" t="str">
        <f t="shared" si="172"/>
        <v/>
      </c>
      <c r="AD644" s="12">
        <f t="shared" si="173"/>
        <v>0</v>
      </c>
      <c r="AE644" s="12" t="str">
        <f t="shared" si="174"/>
        <v/>
      </c>
      <c r="AF644" s="12" t="str">
        <f t="shared" si="175"/>
        <v/>
      </c>
      <c r="AG644" t="str">
        <f>VLOOKUP(J644,'Receivable Invoice Detail'!$A$1:F3656,6,FALSE)</f>
        <v>[D-2001407-2507] Bowl Wear Ring, 10JKH/M, 05.50x05.88x0.88, Duplex SS 2507 w/Ion Nitriding</v>
      </c>
      <c r="AH644" s="12">
        <f t="shared" ref="AH644:AH645" si="180">SUM(AC644:AF644)</f>
        <v>0</v>
      </c>
      <c r="AM644" s="12" t="str">
        <f t="shared" si="176"/>
        <v/>
      </c>
      <c r="AN644" s="12">
        <f t="shared" si="177"/>
        <v>0</v>
      </c>
      <c r="AO644" s="12" t="str">
        <f t="shared" si="178"/>
        <v/>
      </c>
      <c r="AP644" s="12" t="str">
        <f t="shared" si="179"/>
        <v/>
      </c>
      <c r="AQ644" s="64">
        <v>2503</v>
      </c>
      <c r="AR644" s="64" t="s">
        <v>5934</v>
      </c>
      <c r="AS644" s="12">
        <f t="shared" si="158"/>
        <v>6.4167136676392946</v>
      </c>
      <c r="AT644" s="16" t="str">
        <f t="shared" si="160"/>
        <v>Yes</v>
      </c>
    </row>
    <row r="645" spans="1:46" hidden="1" x14ac:dyDescent="0.25">
      <c r="A645" s="41">
        <f>CASOPOInvCL!T645</f>
        <v>2</v>
      </c>
      <c r="B645" s="76" t="str">
        <f>CASOPOInvCL!Z645</f>
        <v>SO17368</v>
      </c>
      <c r="D645" t="s">
        <v>5915</v>
      </c>
      <c r="G645" s="5">
        <f>CASOPOInvCL!I645</f>
        <v>0</v>
      </c>
      <c r="H645" s="31">
        <f>CASOPOInvCL!U645</f>
        <v>6</v>
      </c>
      <c r="I645" s="31">
        <f>CASOPOInvCL!V645</f>
        <v>2025</v>
      </c>
      <c r="J645" s="5" t="str">
        <f>CASOPOInvCL!AB645</f>
        <v>INV13248</v>
      </c>
      <c r="K645" s="31">
        <f>CASOPOInvCL!W645</f>
        <v>10</v>
      </c>
      <c r="L645" s="31">
        <f>CASOPOInvCL!X645</f>
        <v>2025</v>
      </c>
      <c r="M645">
        <v>2504</v>
      </c>
      <c r="N645" s="5" t="str">
        <f>CASOPOInvCL!AF645</f>
        <v>Barrick Gold - Pueblo Viejo Dominicana Corporation</v>
      </c>
      <c r="O645" s="16" t="str">
        <f>CASOPOInvCL!AG645</f>
        <v>USD</v>
      </c>
      <c r="P645" s="16">
        <f>CASOPOInvCL!AH645</f>
        <v>0</v>
      </c>
      <c r="Q645" s="16">
        <f>CASOPOInvCL!AI645</f>
        <v>0</v>
      </c>
      <c r="R645" s="32" t="str">
        <f>CASOPOInvCL!AU645</f>
        <v/>
      </c>
      <c r="S645" s="16">
        <f>CASOPOInvCL!AV645</f>
        <v>0</v>
      </c>
      <c r="T645" s="16">
        <f>CASOPOInvCL!AW645</f>
        <v>0</v>
      </c>
      <c r="V645" t="s">
        <v>5803</v>
      </c>
      <c r="Y645" s="29" t="str">
        <f>IFERROR(HLOOKUP(U645,List!$D$2:$H$6,2,FALSE),"")</f>
        <v/>
      </c>
      <c r="Z645" s="29">
        <f>IFERROR(HLOOKUP(V645,List!$D$2:$H$6,3,FALSE),"")</f>
        <v>0</v>
      </c>
      <c r="AA645" s="29" t="str">
        <f>IFERROR(HLOOKUP(W645,List!$D$2:$H$6,4,FALSE),"")</f>
        <v/>
      </c>
      <c r="AB645" s="29" t="str">
        <f>IFERROR(HLOOKUP(X645,List!$D$2:$H$6,5,FALSE),"")</f>
        <v/>
      </c>
      <c r="AC645" s="12" t="str">
        <f t="shared" si="172"/>
        <v/>
      </c>
      <c r="AD645" s="12">
        <f t="shared" si="173"/>
        <v>0</v>
      </c>
      <c r="AE645" s="12" t="str">
        <f t="shared" si="174"/>
        <v/>
      </c>
      <c r="AF645" s="12" t="str">
        <f t="shared" si="175"/>
        <v/>
      </c>
      <c r="AG645" t="str">
        <f>VLOOKUP(J645,'Receivable Invoice Detail'!$A$1:F3657,6,FALSE)</f>
        <v>[37230] Sleeve Bearing (Bowl), ThorPlas-Blue, HPCW</v>
      </c>
      <c r="AH645" s="12">
        <f t="shared" si="180"/>
        <v>0</v>
      </c>
      <c r="AM645" s="12" t="str">
        <f t="shared" si="176"/>
        <v/>
      </c>
      <c r="AN645" s="12">
        <f t="shared" si="177"/>
        <v>0</v>
      </c>
      <c r="AO645" s="12" t="str">
        <f t="shared" si="178"/>
        <v/>
      </c>
      <c r="AP645" s="12" t="str">
        <f t="shared" si="179"/>
        <v/>
      </c>
      <c r="AQ645" s="64">
        <v>2503</v>
      </c>
      <c r="AR645" s="64" t="s">
        <v>5934</v>
      </c>
      <c r="AS645" s="12">
        <f t="shared" ref="AS645:AS708" si="181">T643*1.5%</f>
        <v>0</v>
      </c>
      <c r="AT645" s="16" t="str">
        <f t="shared" si="160"/>
        <v/>
      </c>
    </row>
    <row r="646" spans="1:46" hidden="1" x14ac:dyDescent="0.25">
      <c r="A646" s="41">
        <f>CASOPOInvCL!T646</f>
        <v>1</v>
      </c>
      <c r="B646" t="str">
        <f>CASOPOInvCL!Z646</f>
        <v>SO17369</v>
      </c>
      <c r="D646" t="s">
        <v>5925</v>
      </c>
      <c r="G646" s="5" t="str">
        <f>CASOPOInvCL!I646</f>
        <v>Ian Trottier</v>
      </c>
      <c r="H646" s="31">
        <f>CASOPOInvCL!U646</f>
        <v>6</v>
      </c>
      <c r="I646" s="31">
        <f>CASOPOInvCL!V646</f>
        <v>2025</v>
      </c>
      <c r="J646" s="5" t="str">
        <f>CASOPOInvCL!AB646</f>
        <v>INV13111</v>
      </c>
      <c r="K646" s="31">
        <f>CASOPOInvCL!W646</f>
        <v>7</v>
      </c>
      <c r="L646" s="31">
        <f>CASOPOInvCL!X646</f>
        <v>2025</v>
      </c>
      <c r="M646">
        <v>2503</v>
      </c>
      <c r="N646" s="5" t="str">
        <f>CASOPOInvCL!AF646</f>
        <v>Glencore Canada Corporation - Rouyn-Noranda, Glencore Canada Corp.</v>
      </c>
      <c r="O646" s="16" t="str">
        <f>CASOPOInvCL!AG646</f>
        <v>CAD</v>
      </c>
      <c r="P646" s="16">
        <f>CASOPOInvCL!AH646</f>
        <v>2497.21</v>
      </c>
      <c r="Q646" s="16">
        <f>CASOPOInvCL!AI646</f>
        <v>1817.9523459113259</v>
      </c>
      <c r="R646" s="32" t="str">
        <f>CASOPOInvCL!AU646</f>
        <v>Yes</v>
      </c>
      <c r="S646" s="16">
        <f>CASOPOInvCL!AV646</f>
        <v>0</v>
      </c>
      <c r="T646" s="16">
        <f>CASOPOInvCL!AW646</f>
        <v>1817.9523459113259</v>
      </c>
      <c r="V646" t="s">
        <v>5800</v>
      </c>
      <c r="Y646" s="29" t="str">
        <f>IFERROR(HLOOKUP(U646,List!$D$2:$H$6,2,FALSE),"")</f>
        <v/>
      </c>
      <c r="Z646" s="29">
        <f>IFERROR(HLOOKUP(V646,List!$D$2:$H$6,3,FALSE),"")</f>
        <v>5.0000000000000001E-3</v>
      </c>
      <c r="AA646" s="29" t="str">
        <f>IFERROR(HLOOKUP(W646,List!$D$2:$H$6,4,FALSE),"")</f>
        <v/>
      </c>
      <c r="AB646" s="29" t="str">
        <f>IFERROR(HLOOKUP(X646,List!$D$2:$H$6,5,FALSE),"")</f>
        <v/>
      </c>
      <c r="AC646" s="12" t="str">
        <f t="shared" si="172"/>
        <v/>
      </c>
      <c r="AD646" s="12">
        <f t="shared" si="173"/>
        <v>9.0897617295566295</v>
      </c>
      <c r="AE646" s="12" t="str">
        <f t="shared" si="174"/>
        <v/>
      </c>
      <c r="AF646" s="12" t="str">
        <f t="shared" si="175"/>
        <v/>
      </c>
      <c r="AG646" t="str">
        <f>VLOOKUP(J646,'Receivable Invoice Detail'!$A$1:F3658,6,FALSE)</f>
        <v>[AC-98-431-857-501] Gland Side Casing, 3x3-10 SRL-C, Cast Iron</v>
      </c>
      <c r="AM646" s="12" t="str">
        <f t="shared" si="176"/>
        <v/>
      </c>
      <c r="AN646" s="12">
        <f t="shared" si="177"/>
        <v>9.0897617295566295</v>
      </c>
      <c r="AO646" s="12" t="str">
        <f t="shared" si="178"/>
        <v/>
      </c>
      <c r="AP646" s="12" t="str">
        <f t="shared" si="179"/>
        <v/>
      </c>
      <c r="AQ646" s="64">
        <v>2503</v>
      </c>
      <c r="AR646" t="s">
        <v>5932</v>
      </c>
      <c r="AS646" s="12">
        <f t="shared" si="181"/>
        <v>237.53625</v>
      </c>
      <c r="AT646" s="16" t="str">
        <f t="shared" si="160"/>
        <v>Yes</v>
      </c>
    </row>
    <row r="647" spans="1:46" hidden="1" x14ac:dyDescent="0.25">
      <c r="A647" s="41">
        <f>CASOPOInvCL!T647</f>
        <v>1</v>
      </c>
      <c r="B647" t="str">
        <f>CASOPOInvCL!Z647</f>
        <v>SO17370</v>
      </c>
      <c r="D647" t="s">
        <v>5925</v>
      </c>
      <c r="G647" s="5" t="str">
        <f>CASOPOInvCL!I647</f>
        <v>Ian Trottier</v>
      </c>
      <c r="H647" s="31">
        <f>CASOPOInvCL!U647</f>
        <v>6</v>
      </c>
      <c r="I647" s="31">
        <f>CASOPOInvCL!V647</f>
        <v>2025</v>
      </c>
      <c r="J647" s="5" t="str">
        <f>CASOPOInvCL!AB647</f>
        <v>INV13110</v>
      </c>
      <c r="K647" s="31">
        <f>CASOPOInvCL!W647</f>
        <v>8</v>
      </c>
      <c r="L647" s="31">
        <f>CASOPOInvCL!X647</f>
        <v>2025</v>
      </c>
      <c r="M647">
        <v>2503</v>
      </c>
      <c r="N647" s="5" t="str">
        <f>CASOPOInvCL!AF647</f>
        <v>SCG Process, SCG Process</v>
      </c>
      <c r="O647" s="16" t="str">
        <f>CASOPOInvCL!AG647</f>
        <v>CAD</v>
      </c>
      <c r="P647" s="16">
        <f>CASOPOInvCL!AH647</f>
        <v>4331.1499999999996</v>
      </c>
      <c r="Q647" s="16">
        <f>CASOPOInvCL!AI647</f>
        <v>3153.0485233495938</v>
      </c>
      <c r="R647" s="32" t="str">
        <f>CASOPOInvCL!AU647</f>
        <v>Yes</v>
      </c>
      <c r="S647" s="16">
        <f>CASOPOInvCL!AV647</f>
        <v>0</v>
      </c>
      <c r="T647" s="16">
        <f>CASOPOInvCL!AW647</f>
        <v>3153.0485233495938</v>
      </c>
      <c r="V647" t="s">
        <v>5800</v>
      </c>
      <c r="Y647" s="29" t="str">
        <f>IFERROR(HLOOKUP(U647,List!$D$2:$H$6,2,FALSE),"")</f>
        <v/>
      </c>
      <c r="Z647" s="29">
        <f>IFERROR(HLOOKUP(V647,List!$D$2:$H$6,3,FALSE),"")</f>
        <v>5.0000000000000001E-3</v>
      </c>
      <c r="AA647" s="29" t="str">
        <f>IFERROR(HLOOKUP(W647,List!$D$2:$H$6,4,FALSE),"")</f>
        <v/>
      </c>
      <c r="AB647" s="29" t="str">
        <f>IFERROR(HLOOKUP(X647,List!$D$2:$H$6,5,FALSE),"")</f>
        <v/>
      </c>
      <c r="AC647" s="12" t="str">
        <f t="shared" si="172"/>
        <v/>
      </c>
      <c r="AD647" s="12">
        <f t="shared" si="173"/>
        <v>15.765242616747969</v>
      </c>
      <c r="AE647" s="12" t="str">
        <f t="shared" si="174"/>
        <v/>
      </c>
      <c r="AF647" s="12" t="str">
        <f t="shared" si="175"/>
        <v/>
      </c>
      <c r="AG647" t="str">
        <f>VLOOKUP(J647,'Receivable Invoice Detail'!$A$1:F3659,6,FALSE)</f>
        <v>[AC-98-039-047-503] Impeller (Closed), 5x4-14 SRL-C, Neoprene</v>
      </c>
      <c r="AM647" s="12" t="str">
        <f t="shared" si="176"/>
        <v/>
      </c>
      <c r="AN647" s="12">
        <f t="shared" si="177"/>
        <v>15.765242616747969</v>
      </c>
      <c r="AO647" s="12" t="str">
        <f t="shared" si="178"/>
        <v/>
      </c>
      <c r="AP647" s="12" t="str">
        <f t="shared" si="179"/>
        <v/>
      </c>
      <c r="AQ647" s="64">
        <v>2503</v>
      </c>
      <c r="AR647" t="s">
        <v>5932</v>
      </c>
      <c r="AS647" s="12">
        <f t="shared" si="181"/>
        <v>0</v>
      </c>
      <c r="AT647" s="16" t="str">
        <f t="shared" si="160"/>
        <v>Yes</v>
      </c>
    </row>
    <row r="648" spans="1:46" hidden="1" x14ac:dyDescent="0.25">
      <c r="A648" s="41">
        <f>CASOPOInvCL!T648</f>
        <v>1</v>
      </c>
      <c r="B648" t="str">
        <f>CASOPOInvCL!Z648</f>
        <v>SO17372</v>
      </c>
      <c r="G648" s="5" t="str">
        <f>CASOPOInvCL!I648</f>
        <v>Ian Trottier</v>
      </c>
      <c r="H648" s="31">
        <f>CASOPOInvCL!U648</f>
        <v>6</v>
      </c>
      <c r="I648" s="31">
        <f>CASOPOInvCL!V648</f>
        <v>2025</v>
      </c>
      <c r="J648" s="5" t="str">
        <f>CASOPOInvCL!AB648</f>
        <v>INV13406</v>
      </c>
      <c r="K648" s="31">
        <f>CASOPOInvCL!W648</f>
        <v>10</v>
      </c>
      <c r="L648" s="31">
        <f>CASOPOInvCL!X648</f>
        <v>2025</v>
      </c>
      <c r="M648" s="31"/>
      <c r="N648" s="5" t="str">
        <f>CASOPOInvCL!AF648</f>
        <v>Les Pompes du St-Laurent Inc.</v>
      </c>
      <c r="O648" s="16" t="str">
        <f>CASOPOInvCL!AG648</f>
        <v>CAD</v>
      </c>
      <c r="P648" s="16">
        <f>CASOPOInvCL!AH648</f>
        <v>1058.6400000000001</v>
      </c>
      <c r="Q648" s="16">
        <f>CASOPOInvCL!AI648</f>
        <v>765.69925362629476</v>
      </c>
      <c r="R648" s="32" t="str">
        <f>CASOPOInvCL!AU648</f>
        <v>Yes</v>
      </c>
      <c r="S648" s="16">
        <f>CASOPOInvCL!AV648</f>
        <v>0</v>
      </c>
      <c r="T648" s="16">
        <f>CASOPOInvCL!AW648</f>
        <v>765.69925362629476</v>
      </c>
      <c r="Y648" s="29" t="str">
        <f>IFERROR(HLOOKUP(U648,List!$D$2:$H$6,2,FALSE),"")</f>
        <v/>
      </c>
      <c r="Z648" s="29" t="str">
        <f>IFERROR(HLOOKUP(V648,List!$D$2:$H$6,3,FALSE),"")</f>
        <v/>
      </c>
      <c r="AA648" s="29" t="str">
        <f>IFERROR(HLOOKUP(W648,List!$D$2:$H$6,4,FALSE),"")</f>
        <v/>
      </c>
      <c r="AB648" s="29" t="str">
        <f>IFERROR(HLOOKUP(X648,List!$D$2:$H$6,5,FALSE),"")</f>
        <v/>
      </c>
      <c r="AC648" s="12" t="str">
        <f t="shared" si="172"/>
        <v/>
      </c>
      <c r="AD648" s="12" t="str">
        <f t="shared" si="173"/>
        <v/>
      </c>
      <c r="AE648" s="12" t="str">
        <f t="shared" si="174"/>
        <v/>
      </c>
      <c r="AF648" s="12" t="str">
        <f t="shared" si="175"/>
        <v/>
      </c>
      <c r="AG648" t="str">
        <f>VLOOKUP(J648,'Receivable Invoice Detail'!$A$1:F3660,6,FALSE)</f>
        <v>Impeller, 2x3-13, 3196 MTX, Alloy-20, 5-Vane</v>
      </c>
      <c r="AM648" s="12" t="str">
        <f t="shared" si="176"/>
        <v/>
      </c>
      <c r="AN648" s="12" t="str">
        <f t="shared" si="177"/>
        <v/>
      </c>
      <c r="AO648" s="12" t="str">
        <f t="shared" si="178"/>
        <v/>
      </c>
      <c r="AP648" s="12" t="str">
        <f t="shared" si="179"/>
        <v/>
      </c>
      <c r="AQ648" s="12"/>
      <c r="AS648" s="12">
        <f t="shared" si="181"/>
        <v>27.269285188669887</v>
      </c>
      <c r="AT648" s="16" t="str">
        <f t="shared" si="160"/>
        <v>Yes</v>
      </c>
    </row>
    <row r="649" spans="1:46" hidden="1" x14ac:dyDescent="0.25">
      <c r="A649" s="41">
        <f>CASOPOInvCL!T649</f>
        <v>1</v>
      </c>
      <c r="B649" t="str">
        <f>CASOPOInvCL!Z649</f>
        <v>SO17375</v>
      </c>
      <c r="D649" t="s">
        <v>5915</v>
      </c>
      <c r="G649" s="5" t="str">
        <f>CASOPOInvCL!I649</f>
        <v>Wilka Nuñez</v>
      </c>
      <c r="H649" s="31">
        <f>CASOPOInvCL!U649</f>
        <v>6</v>
      </c>
      <c r="I649" s="31">
        <f>CASOPOInvCL!V649</f>
        <v>2025</v>
      </c>
      <c r="J649" s="5" t="str">
        <f>CASOPOInvCL!AB649</f>
        <v>INV13124</v>
      </c>
      <c r="K649" s="31">
        <f>CASOPOInvCL!W649</f>
        <v>8</v>
      </c>
      <c r="L649" s="31">
        <f>CASOPOInvCL!X649</f>
        <v>2025</v>
      </c>
      <c r="M649">
        <v>2503</v>
      </c>
      <c r="N649" s="5" t="str">
        <f>CASOPOInvCL!AF649</f>
        <v>Fabrene Inc.</v>
      </c>
      <c r="O649" s="16" t="str">
        <f>CASOPOInvCL!AG649</f>
        <v>CAD</v>
      </c>
      <c r="P649" s="16">
        <f>CASOPOInvCL!AH649</f>
        <v>425.21</v>
      </c>
      <c r="Q649" s="16">
        <f>CASOPOInvCL!AI649</f>
        <v>309.51919718226395</v>
      </c>
      <c r="R649" s="32" t="str">
        <f>CASOPOInvCL!AU649</f>
        <v>Yes</v>
      </c>
      <c r="S649" s="16">
        <f>CASOPOInvCL!AV649</f>
        <v>0</v>
      </c>
      <c r="T649" s="16">
        <f>CASOPOInvCL!AW649</f>
        <v>309.51919718226395</v>
      </c>
      <c r="V649" t="s">
        <v>5800</v>
      </c>
      <c r="Y649" s="29" t="str">
        <f>IFERROR(HLOOKUP(U649,List!$D$2:$H$6,2,FALSE),"")</f>
        <v/>
      </c>
      <c r="Z649" s="29">
        <f>IFERROR(HLOOKUP(V649,List!$D$2:$H$6,3,FALSE),"")</f>
        <v>5.0000000000000001E-3</v>
      </c>
      <c r="AA649" s="29" t="str">
        <f>IFERROR(HLOOKUP(W649,List!$D$2:$H$6,4,FALSE),"")</f>
        <v/>
      </c>
      <c r="AB649" s="29" t="str">
        <f>IFERROR(HLOOKUP(X649,List!$D$2:$H$6,5,FALSE),"")</f>
        <v/>
      </c>
      <c r="AC649" s="12" t="str">
        <f t="shared" si="172"/>
        <v/>
      </c>
      <c r="AD649" s="12">
        <f t="shared" si="173"/>
        <v>1.5475959859113197</v>
      </c>
      <c r="AE649" s="12" t="str">
        <f t="shared" si="174"/>
        <v/>
      </c>
      <c r="AF649" s="12" t="str">
        <f t="shared" si="175"/>
        <v/>
      </c>
      <c r="AG649" t="str">
        <f>VLOOKUP(J649,'Receivable Invoice Detail'!$A$1:F3661,6,FALSE)</f>
        <v>[G-77225 6956] Shaft Sleeve, 3196 STX, 316SS, NCB Hardcoated</v>
      </c>
      <c r="AJ649">
        <v>2503</v>
      </c>
      <c r="AM649" s="12" t="str">
        <f t="shared" si="176"/>
        <v/>
      </c>
      <c r="AN649" s="12">
        <f t="shared" si="177"/>
        <v>0</v>
      </c>
      <c r="AO649" s="12" t="str">
        <f t="shared" si="178"/>
        <v/>
      </c>
      <c r="AP649" s="12" t="str">
        <f t="shared" si="179"/>
        <v/>
      </c>
      <c r="AQ649" s="64">
        <f>M649</f>
        <v>2503</v>
      </c>
      <c r="AR649" t="s">
        <v>5931</v>
      </c>
      <c r="AS649" s="12">
        <f t="shared" si="181"/>
        <v>47.295727850243907</v>
      </c>
      <c r="AT649" s="16" t="str">
        <f t="shared" si="160"/>
        <v>Yes</v>
      </c>
    </row>
    <row r="650" spans="1:46" hidden="1" x14ac:dyDescent="0.25">
      <c r="A650" s="41">
        <f>CASOPOInvCL!T650</f>
        <v>1</v>
      </c>
      <c r="B650" t="str">
        <f>CASOPOInvCL!Z650</f>
        <v>SO17379</v>
      </c>
      <c r="G650" s="5" t="str">
        <f>CASOPOInvCL!I650</f>
        <v>Ian Trottier</v>
      </c>
      <c r="H650" s="31">
        <f>CASOPOInvCL!U650</f>
        <v>6</v>
      </c>
      <c r="I650" s="31">
        <f>CASOPOInvCL!V650</f>
        <v>2025</v>
      </c>
      <c r="J650" s="5" t="str">
        <f>CASOPOInvCL!AB650</f>
        <v>INV13503</v>
      </c>
      <c r="K650" s="31">
        <f>CASOPOInvCL!W650</f>
        <v>12</v>
      </c>
      <c r="L650" s="31">
        <f>CASOPOInvCL!X650</f>
        <v>2025</v>
      </c>
      <c r="M650" s="31"/>
      <c r="N650" s="5" t="str">
        <f>CASOPOInvCL!AF650</f>
        <v>Resolute Forest Products - Saint-Felicien</v>
      </c>
      <c r="O650" s="16" t="str">
        <f>CASOPOInvCL!AG650</f>
        <v>CAD</v>
      </c>
      <c r="P650" s="16">
        <f>CASOPOInvCL!AH650</f>
        <v>6197.11</v>
      </c>
      <c r="Q650" s="16">
        <f>CASOPOInvCL!AI650</f>
        <v>4499.9212861367714</v>
      </c>
      <c r="R650" s="32" t="str">
        <f>CASOPOInvCL!AU650</f>
        <v>Yes</v>
      </c>
      <c r="S650" s="16">
        <f>CASOPOInvCL!AV650</f>
        <v>0</v>
      </c>
      <c r="T650" s="16">
        <f>CASOPOInvCL!AW650</f>
        <v>4499.9212861367714</v>
      </c>
      <c r="Y650" s="29" t="str">
        <f>IFERROR(HLOOKUP(U650,List!$D$2:$H$6,2,FALSE),"")</f>
        <v/>
      </c>
      <c r="Z650" s="29" t="str">
        <f>IFERROR(HLOOKUP(V650,List!$D$2:$H$6,3,FALSE),"")</f>
        <v/>
      </c>
      <c r="AA650" s="29" t="str">
        <f>IFERROR(HLOOKUP(W650,List!$D$2:$H$6,4,FALSE),"")</f>
        <v/>
      </c>
      <c r="AB650" s="29" t="str">
        <f>IFERROR(HLOOKUP(X650,List!$D$2:$H$6,5,FALSE),"")</f>
        <v/>
      </c>
      <c r="AC650" s="12" t="str">
        <f t="shared" si="172"/>
        <v/>
      </c>
      <c r="AD650" s="12" t="str">
        <f t="shared" si="173"/>
        <v/>
      </c>
      <c r="AE650" s="12" t="str">
        <f t="shared" si="174"/>
        <v/>
      </c>
      <c r="AF650" s="12" t="str">
        <f t="shared" si="175"/>
        <v/>
      </c>
      <c r="AG650" t="str">
        <f>VLOOKUP(J650,'Receivable Invoice Detail'!$A$1:F3662,6,FALSE)</f>
        <v>[M&amp;N # 75] Impeller, 12x10-17, PWO, 4-Vane, 316SS</v>
      </c>
      <c r="AM650" s="12" t="str">
        <f t="shared" si="176"/>
        <v/>
      </c>
      <c r="AN650" s="12" t="str">
        <f t="shared" si="177"/>
        <v/>
      </c>
      <c r="AO650" s="12" t="str">
        <f t="shared" si="178"/>
        <v/>
      </c>
      <c r="AP650" s="12" t="str">
        <f t="shared" si="179"/>
        <v/>
      </c>
      <c r="AQ650" s="12"/>
      <c r="AS650" s="12">
        <f t="shared" si="181"/>
        <v>11.485488804394421</v>
      </c>
      <c r="AT650" s="16" t="str">
        <f t="shared" ref="AT650:AT713" si="182">R650</f>
        <v>Yes</v>
      </c>
    </row>
    <row r="651" spans="1:46" hidden="1" x14ac:dyDescent="0.25">
      <c r="A651" s="41">
        <f>CASOPOInvCL!T651</f>
        <v>2</v>
      </c>
      <c r="B651" t="str">
        <f>CASOPOInvCL!Z651</f>
        <v>SO17382</v>
      </c>
      <c r="D651" t="s">
        <v>5915</v>
      </c>
      <c r="G651" s="5" t="str">
        <f>CASOPOInvCL!I651</f>
        <v>Wilka Nuñez</v>
      </c>
      <c r="H651" s="31">
        <f>CASOPOInvCL!U651</f>
        <v>6</v>
      </c>
      <c r="I651" s="31">
        <f>CASOPOInvCL!V651</f>
        <v>2025</v>
      </c>
      <c r="J651" s="5" t="str">
        <f>CASOPOInvCL!AB651</f>
        <v>INV13227</v>
      </c>
      <c r="K651" s="31">
        <f>CASOPOInvCL!W651</f>
        <v>8</v>
      </c>
      <c r="L651" s="31">
        <f>CASOPOInvCL!X651</f>
        <v>2025</v>
      </c>
      <c r="M651">
        <v>2503</v>
      </c>
      <c r="N651" s="5" t="str">
        <f>CASOPOInvCL!AF651</f>
        <v>Alpha Industrial &amp; Mining Supplies Limited</v>
      </c>
      <c r="O651" s="16" t="str">
        <f>CASOPOInvCL!AG651</f>
        <v>CAD</v>
      </c>
      <c r="P651" s="16">
        <f>CASOPOInvCL!AH651</f>
        <v>481.52</v>
      </c>
      <c r="Q651" s="16">
        <f>CASOPOInvCL!AI651</f>
        <v>351.15139236293976</v>
      </c>
      <c r="R651" s="32" t="str">
        <f>CASOPOInvCL!AU651</f>
        <v>Yes</v>
      </c>
      <c r="S651" s="16">
        <f>CASOPOInvCL!AV651</f>
        <v>0</v>
      </c>
      <c r="T651" s="16">
        <f>CASOPOInvCL!AW651</f>
        <v>351.15139236293976</v>
      </c>
      <c r="V651" t="s">
        <v>5800</v>
      </c>
      <c r="Y651" s="29" t="str">
        <f>IFERROR(HLOOKUP(U651,List!$D$2:$H$6,2,FALSE),"")</f>
        <v/>
      </c>
      <c r="Z651" s="29">
        <f>IFERROR(HLOOKUP(V651,List!$D$2:$H$6,3,FALSE),"")</f>
        <v>5.0000000000000001E-3</v>
      </c>
      <c r="AA651" s="29" t="str">
        <f>IFERROR(HLOOKUP(W651,List!$D$2:$H$6,4,FALSE),"")</f>
        <v/>
      </c>
      <c r="AB651" s="29" t="str">
        <f>IFERROR(HLOOKUP(X651,List!$D$2:$H$6,5,FALSE),"")</f>
        <v/>
      </c>
      <c r="AC651" s="12" t="str">
        <f t="shared" si="172"/>
        <v/>
      </c>
      <c r="AD651" s="12">
        <f t="shared" si="173"/>
        <v>1.7557569618146989</v>
      </c>
      <c r="AE651" s="12" t="str">
        <f t="shared" si="174"/>
        <v/>
      </c>
      <c r="AF651" s="12" t="str">
        <f t="shared" si="175"/>
        <v/>
      </c>
      <c r="AG651" t="str">
        <f>VLOOKUP(J651,'Receivable Invoice Detail'!$A$1:F3663,6,FALSE)</f>
        <v>[SA-567046] Impeller Washer, 33/44 WFR, Sala STGVA-180, 316SS</v>
      </c>
      <c r="AJ651">
        <v>2503</v>
      </c>
      <c r="AM651" s="12" t="str">
        <f t="shared" si="176"/>
        <v/>
      </c>
      <c r="AN651" s="12">
        <f t="shared" si="177"/>
        <v>0</v>
      </c>
      <c r="AO651" s="12" t="str">
        <f t="shared" si="178"/>
        <v/>
      </c>
      <c r="AP651" s="12" t="str">
        <f t="shared" si="179"/>
        <v/>
      </c>
      <c r="AQ651" s="64">
        <f>M651</f>
        <v>2503</v>
      </c>
      <c r="AR651" t="s">
        <v>5931</v>
      </c>
      <c r="AS651" s="12">
        <f t="shared" si="181"/>
        <v>4.642787957733959</v>
      </c>
      <c r="AT651" s="16" t="str">
        <f t="shared" si="182"/>
        <v>Yes</v>
      </c>
    </row>
    <row r="652" spans="1:46" hidden="1" x14ac:dyDescent="0.25">
      <c r="A652" s="41">
        <f>CASOPOInvCL!T652</f>
        <v>2</v>
      </c>
      <c r="B652" t="str">
        <f>CASOPOInvCL!Z652</f>
        <v>SO17382</v>
      </c>
      <c r="D652" t="s">
        <v>5915</v>
      </c>
      <c r="G652" s="5">
        <f>CASOPOInvCL!I652</f>
        <v>0</v>
      </c>
      <c r="H652" s="31">
        <f>CASOPOInvCL!U652</f>
        <v>6</v>
      </c>
      <c r="I652" s="31">
        <f>CASOPOInvCL!V652</f>
        <v>2025</v>
      </c>
      <c r="J652" s="5" t="str">
        <f>CASOPOInvCL!AB652</f>
        <v>INV13169</v>
      </c>
      <c r="K652" s="31">
        <f>CASOPOInvCL!W652</f>
        <v>8</v>
      </c>
      <c r="L652" s="31">
        <f>CASOPOInvCL!X652</f>
        <v>2025</v>
      </c>
      <c r="M652">
        <v>2503</v>
      </c>
      <c r="N652" s="5" t="str">
        <f>CASOPOInvCL!AF652</f>
        <v>Alpha Industrial &amp; Mining Supplies Limited</v>
      </c>
      <c r="O652" s="16" t="str">
        <f>CASOPOInvCL!AG652</f>
        <v>CAD</v>
      </c>
      <c r="P652" s="16">
        <f>CASOPOInvCL!AH652</f>
        <v>0</v>
      </c>
      <c r="Q652" s="16">
        <f>CASOPOInvCL!AI652</f>
        <v>0</v>
      </c>
      <c r="R652" s="32" t="str">
        <f>CASOPOInvCL!AU652</f>
        <v/>
      </c>
      <c r="S652" s="16">
        <f>CASOPOInvCL!AV652</f>
        <v>0</v>
      </c>
      <c r="T652" s="16">
        <f>CASOPOInvCL!AW652</f>
        <v>0</v>
      </c>
      <c r="V652" t="s">
        <v>5800</v>
      </c>
      <c r="Y652" s="29" t="str">
        <f>IFERROR(HLOOKUP(U652,List!$D$2:$H$6,2,FALSE),"")</f>
        <v/>
      </c>
      <c r="Z652" s="29">
        <f>IFERROR(HLOOKUP(V652,List!$D$2:$H$6,3,FALSE),"")</f>
        <v>5.0000000000000001E-3</v>
      </c>
      <c r="AA652" s="29" t="str">
        <f>IFERROR(HLOOKUP(W652,List!$D$2:$H$6,4,FALSE),"")</f>
        <v/>
      </c>
      <c r="AB652" s="29" t="str">
        <f>IFERROR(HLOOKUP(X652,List!$D$2:$H$6,5,FALSE),"")</f>
        <v/>
      </c>
      <c r="AC652" s="12" t="str">
        <f t="shared" si="172"/>
        <v/>
      </c>
      <c r="AD652" s="12">
        <f t="shared" si="173"/>
        <v>0</v>
      </c>
      <c r="AE652" s="12" t="str">
        <f t="shared" si="174"/>
        <v/>
      </c>
      <c r="AF652" s="12" t="str">
        <f t="shared" si="175"/>
        <v/>
      </c>
      <c r="AG652" t="str">
        <f>VLOOKUP(J652,'Receivable Invoice Detail'!$A$1:F3664,6,FALSE)</f>
        <v>[SA-567046] Impeller Washer, 33/44 WFR, Sala STGVA-180, 316SS</v>
      </c>
      <c r="AJ652">
        <v>2503</v>
      </c>
      <c r="AM652" s="12" t="str">
        <f t="shared" si="176"/>
        <v/>
      </c>
      <c r="AN652" s="12">
        <f t="shared" si="177"/>
        <v>0</v>
      </c>
      <c r="AO652" s="12" t="str">
        <f t="shared" si="178"/>
        <v/>
      </c>
      <c r="AP652" s="12" t="str">
        <f t="shared" si="179"/>
        <v/>
      </c>
      <c r="AQ652" s="64">
        <f>M652</f>
        <v>2503</v>
      </c>
      <c r="AR652" t="s">
        <v>5931</v>
      </c>
      <c r="AS652" s="12">
        <f t="shared" si="181"/>
        <v>67.498819292051564</v>
      </c>
      <c r="AT652" s="16" t="str">
        <f t="shared" si="182"/>
        <v/>
      </c>
    </row>
    <row r="653" spans="1:46" hidden="1" x14ac:dyDescent="0.25">
      <c r="A653" s="41">
        <f>CASOPOInvCL!T653</f>
        <v>1</v>
      </c>
      <c r="B653" t="str">
        <f>CASOPOInvCL!Z653</f>
        <v>SO17383</v>
      </c>
      <c r="D653" t="s">
        <v>5851</v>
      </c>
      <c r="G653" s="5" t="str">
        <f>CASOPOInvCL!I653</f>
        <v>Alexis Gil Lamadrid</v>
      </c>
      <c r="H653" s="31">
        <f>CASOPOInvCL!U653</f>
        <v>6</v>
      </c>
      <c r="I653" s="31">
        <f>CASOPOInvCL!V653</f>
        <v>2025</v>
      </c>
      <c r="J653" s="5" t="str">
        <f>CASOPOInvCL!AB653</f>
        <v>INV13526</v>
      </c>
      <c r="K653" s="31">
        <f>CASOPOInvCL!W653</f>
        <v>10</v>
      </c>
      <c r="L653" s="31">
        <f>CASOPOInvCL!X653</f>
        <v>2025</v>
      </c>
      <c r="M653">
        <v>2504</v>
      </c>
      <c r="N653" s="5" t="str">
        <f>CASOPOInvCL!AF653</f>
        <v>Jindal Drilling &amp; Industries Limited</v>
      </c>
      <c r="O653" s="16" t="str">
        <f>CASOPOInvCL!AG653</f>
        <v>USD</v>
      </c>
      <c r="P653" s="16">
        <f>CASOPOInvCL!AH653</f>
        <v>5802.1430563067106</v>
      </c>
      <c r="Q653" s="16">
        <f>CASOPOInvCL!AI653</f>
        <v>4226.24</v>
      </c>
      <c r="R653" s="32" t="str">
        <f>CASOPOInvCL!AU653</f>
        <v>Yes</v>
      </c>
      <c r="S653" s="16">
        <f>CASOPOInvCL!AV653</f>
        <v>0</v>
      </c>
      <c r="T653" s="16">
        <f>CASOPOInvCL!AW653</f>
        <v>4226.24</v>
      </c>
      <c r="V653" t="s">
        <v>5800</v>
      </c>
      <c r="Y653" s="29" t="str">
        <f>IFERROR(HLOOKUP(U653,List!$D$2:$H$6,2,FALSE),"")</f>
        <v/>
      </c>
      <c r="Z653" s="29">
        <f>IFERROR(HLOOKUP(V653,List!$D$2:$H$6,3,FALSE),"")</f>
        <v>5.0000000000000001E-3</v>
      </c>
      <c r="AA653" s="29" t="str">
        <f>IFERROR(HLOOKUP(W653,List!$D$2:$H$6,4,FALSE),"")</f>
        <v/>
      </c>
      <c r="AB653" s="29" t="str">
        <f>IFERROR(HLOOKUP(X653,List!$D$2:$H$6,5,FALSE),"")</f>
        <v/>
      </c>
      <c r="AC653" s="12" t="str">
        <f t="shared" si="172"/>
        <v/>
      </c>
      <c r="AD653" s="12">
        <f t="shared" si="173"/>
        <v>21.1312</v>
      </c>
      <c r="AE653" s="12" t="str">
        <f t="shared" si="174"/>
        <v/>
      </c>
      <c r="AF653" s="12" t="str">
        <f t="shared" si="175"/>
        <v/>
      </c>
      <c r="AG653" t="str">
        <f>VLOOKUP(J653,'Receivable Invoice Detail'!$A$1:F3665,6,FALSE)</f>
        <v>[G-056185G180 1228] Casing, 4x6-14, Goulds JC, Frame 3J, High Chrome, OEM# 056185G1801228</v>
      </c>
      <c r="AM653" s="12" t="str">
        <f t="shared" si="176"/>
        <v/>
      </c>
      <c r="AN653" s="12">
        <f t="shared" si="177"/>
        <v>21.1312</v>
      </c>
      <c r="AO653" s="12" t="str">
        <f t="shared" si="178"/>
        <v/>
      </c>
      <c r="AP653" s="12" t="str">
        <f t="shared" si="179"/>
        <v/>
      </c>
      <c r="AQ653" s="64">
        <f>M653</f>
        <v>2504</v>
      </c>
      <c r="AR653" t="s">
        <v>5931</v>
      </c>
      <c r="AS653" s="12">
        <f t="shared" si="181"/>
        <v>5.2672708854440966</v>
      </c>
      <c r="AT653" s="16" t="str">
        <f t="shared" si="182"/>
        <v>Yes</v>
      </c>
    </row>
    <row r="654" spans="1:46" hidden="1" x14ac:dyDescent="0.25">
      <c r="A654" s="41">
        <f>CASOPOInvCL!T654</f>
        <v>2</v>
      </c>
      <c r="B654" t="str">
        <f>CASOPOInvCL!Z654</f>
        <v>SO17384</v>
      </c>
      <c r="D654" t="s">
        <v>5851</v>
      </c>
      <c r="G654" s="5" t="str">
        <f>CASOPOInvCL!I654</f>
        <v>Alexis Gil Lamadrid</v>
      </c>
      <c r="H654" s="31">
        <f>CASOPOInvCL!U654</f>
        <v>6</v>
      </c>
      <c r="I654" s="31">
        <f>CASOPOInvCL!V654</f>
        <v>2025</v>
      </c>
      <c r="J654" s="5" t="str">
        <f>CASOPOInvCL!AB654</f>
        <v>INV13148</v>
      </c>
      <c r="K654" s="31">
        <f>CASOPOInvCL!W654</f>
        <v>7</v>
      </c>
      <c r="L654" s="31">
        <f>CASOPOInvCL!X654</f>
        <v>2025</v>
      </c>
      <c r="M654">
        <v>2504</v>
      </c>
      <c r="N654" s="5" t="str">
        <f>CASOPOInvCL!AF654</f>
        <v>Jindal Drilling &amp; Industries Limited</v>
      </c>
      <c r="O654" s="16" t="str">
        <f>CASOPOInvCL!AG654</f>
        <v>USD</v>
      </c>
      <c r="P654" s="16">
        <f>CASOPOInvCL!AH654</f>
        <v>8492.4217651063773</v>
      </c>
      <c r="Q654" s="16">
        <f>CASOPOInvCL!AI654</f>
        <v>6185.82</v>
      </c>
      <c r="R654" s="32" t="str">
        <f>CASOPOInvCL!AU654</f>
        <v>Yes</v>
      </c>
      <c r="S654" s="16">
        <f>CASOPOInvCL!AV654</f>
        <v>0</v>
      </c>
      <c r="T654" s="16">
        <f>CASOPOInvCL!AW654</f>
        <v>6185.82</v>
      </c>
      <c r="V654" t="s">
        <v>5800</v>
      </c>
      <c r="Y654" s="29" t="str">
        <f>IFERROR(HLOOKUP(U654,List!$D$2:$H$6,2,FALSE),"")</f>
        <v/>
      </c>
      <c r="Z654" s="29">
        <f>IFERROR(HLOOKUP(V654,List!$D$2:$H$6,3,FALSE),"")</f>
        <v>5.0000000000000001E-3</v>
      </c>
      <c r="AA654" s="29" t="str">
        <f>IFERROR(HLOOKUP(W654,List!$D$2:$H$6,4,FALSE),"")</f>
        <v/>
      </c>
      <c r="AB654" s="29" t="str">
        <f>IFERROR(HLOOKUP(X654,List!$D$2:$H$6,5,FALSE),"")</f>
        <v/>
      </c>
      <c r="AC654" s="12" t="str">
        <f t="shared" si="172"/>
        <v/>
      </c>
      <c r="AD654" s="12">
        <f t="shared" si="173"/>
        <v>30.929099999999998</v>
      </c>
      <c r="AE654" s="12" t="str">
        <f t="shared" si="174"/>
        <v/>
      </c>
      <c r="AF654" s="12" t="str">
        <f t="shared" si="175"/>
        <v/>
      </c>
      <c r="AG654" t="str">
        <f>VLOOKUP(J654,'Receivable Invoice Detail'!$A$1:F3666,6,FALSE)</f>
        <v>[D-PE3J-304] Shaft, Goulds JC Frame 3J, 4140 Steel</v>
      </c>
      <c r="AH654" s="12">
        <f t="shared" ref="AH654:AH655" si="183">SUM(AC654:AF654)</f>
        <v>30.929099999999998</v>
      </c>
      <c r="AM654" s="12" t="str">
        <f t="shared" si="176"/>
        <v/>
      </c>
      <c r="AN654" s="12">
        <f t="shared" si="177"/>
        <v>30.929099999999998</v>
      </c>
      <c r="AO654" s="12" t="str">
        <f t="shared" si="178"/>
        <v/>
      </c>
      <c r="AP654" s="12" t="str">
        <f t="shared" si="179"/>
        <v/>
      </c>
      <c r="AQ654" s="64">
        <f>M654</f>
        <v>2504</v>
      </c>
      <c r="AR654" t="s">
        <v>5931</v>
      </c>
      <c r="AS654" s="12">
        <f t="shared" si="181"/>
        <v>0</v>
      </c>
      <c r="AT654" s="16" t="str">
        <f t="shared" si="182"/>
        <v>Yes</v>
      </c>
    </row>
    <row r="655" spans="1:46" hidden="1" x14ac:dyDescent="0.25">
      <c r="A655" s="41">
        <f>CASOPOInvCL!T655</f>
        <v>2</v>
      </c>
      <c r="B655" t="str">
        <f>CASOPOInvCL!Z655</f>
        <v>SO17384</v>
      </c>
      <c r="D655" t="s">
        <v>5851</v>
      </c>
      <c r="G655" s="5">
        <f>CASOPOInvCL!I655</f>
        <v>0</v>
      </c>
      <c r="H655" s="31">
        <f>CASOPOInvCL!U655</f>
        <v>6</v>
      </c>
      <c r="I655" s="31">
        <f>CASOPOInvCL!V655</f>
        <v>2025</v>
      </c>
      <c r="J655" s="5" t="str">
        <f>CASOPOInvCL!AB655</f>
        <v>INV13290</v>
      </c>
      <c r="K655" s="31">
        <f>CASOPOInvCL!W655</f>
        <v>8</v>
      </c>
      <c r="L655" s="31">
        <f>CASOPOInvCL!X655</f>
        <v>2025</v>
      </c>
      <c r="M655">
        <v>2504</v>
      </c>
      <c r="N655" s="5" t="str">
        <f>CASOPOInvCL!AF655</f>
        <v>Jindal Drilling &amp; Industries Limited</v>
      </c>
      <c r="O655" s="16" t="str">
        <f>CASOPOInvCL!AG655</f>
        <v>USD</v>
      </c>
      <c r="P655" s="16">
        <f>CASOPOInvCL!AH655</f>
        <v>0</v>
      </c>
      <c r="Q655" s="16">
        <f>CASOPOInvCL!AI655</f>
        <v>0</v>
      </c>
      <c r="R655" s="32" t="str">
        <f>CASOPOInvCL!AU655</f>
        <v/>
      </c>
      <c r="S655" s="16">
        <f>CASOPOInvCL!AV655</f>
        <v>0</v>
      </c>
      <c r="T655" s="16">
        <f>CASOPOInvCL!AW655</f>
        <v>0</v>
      </c>
      <c r="V655" t="s">
        <v>5800</v>
      </c>
      <c r="Y655" s="29" t="str">
        <f>IFERROR(HLOOKUP(U655,List!$D$2:$H$6,2,FALSE),"")</f>
        <v/>
      </c>
      <c r="Z655" s="29">
        <f>IFERROR(HLOOKUP(V655,List!$D$2:$H$6,3,FALSE),"")</f>
        <v>5.0000000000000001E-3</v>
      </c>
      <c r="AA655" s="29" t="str">
        <f>IFERROR(HLOOKUP(W655,List!$D$2:$H$6,4,FALSE),"")</f>
        <v/>
      </c>
      <c r="AB655" s="29" t="str">
        <f>IFERROR(HLOOKUP(X655,List!$D$2:$H$6,5,FALSE),"")</f>
        <v/>
      </c>
      <c r="AC655" s="12" t="str">
        <f t="shared" si="172"/>
        <v/>
      </c>
      <c r="AD655" s="12">
        <f t="shared" si="173"/>
        <v>0</v>
      </c>
      <c r="AE655" s="12" t="str">
        <f t="shared" si="174"/>
        <v/>
      </c>
      <c r="AF655" s="12" t="str">
        <f t="shared" si="175"/>
        <v/>
      </c>
      <c r="AG655" t="str">
        <f>VLOOKUP(J655,'Receivable Invoice Detail'!$A$1:F3667,6,FALSE)</f>
        <v>[Timken National 416271] Oil Seal, Goulds JC, Frame 3J</v>
      </c>
      <c r="AH655" s="12">
        <f t="shared" si="183"/>
        <v>0</v>
      </c>
      <c r="AM655" s="12" t="str">
        <f t="shared" si="176"/>
        <v/>
      </c>
      <c r="AN655" s="12">
        <f t="shared" si="177"/>
        <v>0</v>
      </c>
      <c r="AO655" s="12" t="str">
        <f t="shared" si="178"/>
        <v/>
      </c>
      <c r="AP655" s="12" t="str">
        <f t="shared" si="179"/>
        <v/>
      </c>
      <c r="AQ655" s="64">
        <f>M655</f>
        <v>2504</v>
      </c>
      <c r="AR655" t="s">
        <v>5931</v>
      </c>
      <c r="AS655" s="12">
        <f t="shared" si="181"/>
        <v>63.393599999999992</v>
      </c>
      <c r="AT655" s="16" t="str">
        <f t="shared" si="182"/>
        <v/>
      </c>
    </row>
    <row r="656" spans="1:46" hidden="1" x14ac:dyDescent="0.25">
      <c r="A656" s="41">
        <f>CASOPOInvCL!T656</f>
        <v>1</v>
      </c>
      <c r="B656" t="str">
        <f>CASOPOInvCL!Z656</f>
        <v>SO17385</v>
      </c>
      <c r="D656" t="s">
        <v>5925</v>
      </c>
      <c r="G656" s="5" t="str">
        <f>CASOPOInvCL!I656</f>
        <v>Ian Trottier</v>
      </c>
      <c r="H656" s="31">
        <f>CASOPOInvCL!U656</f>
        <v>6</v>
      </c>
      <c r="I656" s="31">
        <f>CASOPOInvCL!V656</f>
        <v>2025</v>
      </c>
      <c r="J656" s="5" t="str">
        <f>CASOPOInvCL!AB656</f>
        <v>INV13127</v>
      </c>
      <c r="K656" s="31">
        <f>CASOPOInvCL!W656</f>
        <v>8</v>
      </c>
      <c r="L656" s="31">
        <f>CASOPOInvCL!X656</f>
        <v>2025</v>
      </c>
      <c r="M656">
        <v>2503</v>
      </c>
      <c r="N656" s="5" t="str">
        <f>CASOPOInvCL!AF656</f>
        <v>PT Vale Indonesia Tbk.</v>
      </c>
      <c r="O656" s="16" t="str">
        <f>CASOPOInvCL!AG656</f>
        <v>USD</v>
      </c>
      <c r="P656" s="16">
        <f>CASOPOInvCL!AH656</f>
        <v>116.65406969182565</v>
      </c>
      <c r="Q656" s="16">
        <f>CASOPOInvCL!AI656</f>
        <v>84.97</v>
      </c>
      <c r="R656" s="32" t="str">
        <f>CASOPOInvCL!AU656</f>
        <v>Yes</v>
      </c>
      <c r="S656" s="16">
        <f>CASOPOInvCL!AV656</f>
        <v>0</v>
      </c>
      <c r="T656" s="16">
        <f>CASOPOInvCL!AW656</f>
        <v>84.97</v>
      </c>
      <c r="V656" t="s">
        <v>5800</v>
      </c>
      <c r="Y656" s="29" t="str">
        <f>IFERROR(HLOOKUP(U656,List!$D$2:$H$6,2,FALSE),"")</f>
        <v/>
      </c>
      <c r="Z656" s="29">
        <f>IFERROR(HLOOKUP(V656,List!$D$2:$H$6,3,FALSE),"")</f>
        <v>5.0000000000000001E-3</v>
      </c>
      <c r="AA656" s="29" t="str">
        <f>IFERROR(HLOOKUP(W656,List!$D$2:$H$6,4,FALSE),"")</f>
        <v/>
      </c>
      <c r="AB656" s="29" t="str">
        <f>IFERROR(HLOOKUP(X656,List!$D$2:$H$6,5,FALSE),"")</f>
        <v/>
      </c>
      <c r="AC656" s="12" t="str">
        <f t="shared" si="172"/>
        <v/>
      </c>
      <c r="AD656" s="12">
        <f t="shared" si="173"/>
        <v>0.42485000000000001</v>
      </c>
      <c r="AE656" s="12" t="str">
        <f t="shared" si="174"/>
        <v/>
      </c>
      <c r="AF656" s="12" t="str">
        <f t="shared" si="175"/>
        <v/>
      </c>
      <c r="AG656" t="str">
        <f>VLOOKUP(J656,'Receivable Invoice Detail'!$A$1:F3668,6,FALSE)</f>
        <v>Down payment of 100.0%</v>
      </c>
      <c r="AM656" s="12" t="str">
        <f t="shared" si="176"/>
        <v/>
      </c>
      <c r="AN656" s="12">
        <f t="shared" si="177"/>
        <v>0.42485000000000001</v>
      </c>
      <c r="AO656" s="12" t="str">
        <f t="shared" si="178"/>
        <v/>
      </c>
      <c r="AP656" s="12" t="str">
        <f t="shared" si="179"/>
        <v/>
      </c>
      <c r="AQ656" s="64">
        <v>2503</v>
      </c>
      <c r="AR656" t="s">
        <v>5932</v>
      </c>
      <c r="AS656" s="12">
        <f t="shared" si="181"/>
        <v>92.787299999999988</v>
      </c>
      <c r="AT656" s="16" t="str">
        <f t="shared" si="182"/>
        <v>Yes</v>
      </c>
    </row>
    <row r="657" spans="1:46" hidden="1" x14ac:dyDescent="0.25">
      <c r="A657" s="41">
        <f>CASOPOInvCL!T657</f>
        <v>1</v>
      </c>
      <c r="B657" t="str">
        <f>CASOPOInvCL!Z657</f>
        <v>SO17386</v>
      </c>
      <c r="D657" t="s">
        <v>5925</v>
      </c>
      <c r="G657" s="5" t="str">
        <f>CASOPOInvCL!I657</f>
        <v>Ian Trottier</v>
      </c>
      <c r="H657" s="31">
        <f>CASOPOInvCL!U657</f>
        <v>6</v>
      </c>
      <c r="I657" s="31">
        <f>CASOPOInvCL!V657</f>
        <v>2025</v>
      </c>
      <c r="J657" s="5" t="str">
        <f>CASOPOInvCL!AB657</f>
        <v>INV13128</v>
      </c>
      <c r="K657" s="31">
        <f>CASOPOInvCL!W657</f>
        <v>8</v>
      </c>
      <c r="L657" s="31">
        <f>CASOPOInvCL!X657</f>
        <v>2025</v>
      </c>
      <c r="M657">
        <v>2503</v>
      </c>
      <c r="N657" s="5" t="str">
        <f>CASOPOInvCL!AF657</f>
        <v>PT Vale Indonesia Tbk.</v>
      </c>
      <c r="O657" s="16" t="str">
        <f>CASOPOInvCL!AG657</f>
        <v>USD</v>
      </c>
      <c r="P657" s="16">
        <f>CASOPOInvCL!AH657</f>
        <v>270.84282533604056</v>
      </c>
      <c r="Q657" s="16">
        <f>CASOPOInvCL!AI657</f>
        <v>197.28</v>
      </c>
      <c r="R657" s="32" t="str">
        <f>CASOPOInvCL!AU657</f>
        <v>Yes</v>
      </c>
      <c r="S657" s="16">
        <f>CASOPOInvCL!AV657</f>
        <v>0</v>
      </c>
      <c r="T657" s="16">
        <f>CASOPOInvCL!AW657</f>
        <v>197.28</v>
      </c>
      <c r="V657" t="s">
        <v>5800</v>
      </c>
      <c r="Y657" s="29" t="str">
        <f>IFERROR(HLOOKUP(U657,List!$D$2:$H$6,2,FALSE),"")</f>
        <v/>
      </c>
      <c r="Z657" s="29">
        <f>IFERROR(HLOOKUP(V657,List!$D$2:$H$6,3,FALSE),"")</f>
        <v>5.0000000000000001E-3</v>
      </c>
      <c r="AA657" s="29" t="str">
        <f>IFERROR(HLOOKUP(W657,List!$D$2:$H$6,4,FALSE),"")</f>
        <v/>
      </c>
      <c r="AB657" s="29" t="str">
        <f>IFERROR(HLOOKUP(X657,List!$D$2:$H$6,5,FALSE),"")</f>
        <v/>
      </c>
      <c r="AC657" s="12" t="str">
        <f t="shared" si="172"/>
        <v/>
      </c>
      <c r="AD657" s="12">
        <f t="shared" si="173"/>
        <v>0.98640000000000005</v>
      </c>
      <c r="AE657" s="12" t="str">
        <f t="shared" si="174"/>
        <v/>
      </c>
      <c r="AF657" s="12" t="str">
        <f t="shared" si="175"/>
        <v/>
      </c>
      <c r="AG657" t="str">
        <f>VLOOKUP(J657,'Receivable Invoice Detail'!$A$1:F3669,6,FALSE)</f>
        <v>[52-108-475-015] Deflector (Inboard), Allis-Chalmers PWO, Group 3</v>
      </c>
      <c r="AH657" s="12">
        <f t="shared" ref="AH657" si="184">SUM(AC657:AF657)</f>
        <v>0.98640000000000005</v>
      </c>
      <c r="AM657" s="12" t="str">
        <f t="shared" si="176"/>
        <v/>
      </c>
      <c r="AN657" s="12">
        <f t="shared" si="177"/>
        <v>0.98640000000000005</v>
      </c>
      <c r="AO657" s="12" t="str">
        <f t="shared" si="178"/>
        <v/>
      </c>
      <c r="AP657" s="12" t="str">
        <f t="shared" si="179"/>
        <v/>
      </c>
      <c r="AQ657" s="64">
        <v>2503</v>
      </c>
      <c r="AR657" t="s">
        <v>5932</v>
      </c>
      <c r="AS657" s="12">
        <f t="shared" si="181"/>
        <v>0</v>
      </c>
      <c r="AT657" s="16" t="str">
        <f t="shared" si="182"/>
        <v>Yes</v>
      </c>
    </row>
    <row r="658" spans="1:46" hidden="1" x14ac:dyDescent="0.25">
      <c r="A658" s="41">
        <f>CASOPOInvCL!T658</f>
        <v>1</v>
      </c>
      <c r="B658" t="str">
        <f>CASOPOInvCL!Z658</f>
        <v>SO17388</v>
      </c>
      <c r="G658" s="5" t="str">
        <f>CASOPOInvCL!I658</f>
        <v>Ian Trottier</v>
      </c>
      <c r="H658" s="31">
        <f>CASOPOInvCL!U658</f>
        <v>6</v>
      </c>
      <c r="I658" s="31">
        <f>CASOPOInvCL!V658</f>
        <v>2025</v>
      </c>
      <c r="J658" s="5" t="str">
        <f>CASOPOInvCL!AB658</f>
        <v>INV13497</v>
      </c>
      <c r="K658" s="31">
        <f>CASOPOInvCL!W658</f>
        <v>12</v>
      </c>
      <c r="L658" s="31">
        <f>CASOPOInvCL!X658</f>
        <v>2025</v>
      </c>
      <c r="M658" s="31"/>
      <c r="N658" s="5" t="str">
        <f>CASOPOInvCL!AF658</f>
        <v>Grant Aggregate</v>
      </c>
      <c r="O658" s="16" t="str">
        <f>CASOPOInvCL!AG658</f>
        <v>CAD</v>
      </c>
      <c r="P658" s="16">
        <f>CASOPOInvCL!AH658</f>
        <v>2274.2199999999998</v>
      </c>
      <c r="Q658" s="16">
        <f>CASOPOInvCL!AI658</f>
        <v>1661.0422290258998</v>
      </c>
      <c r="R658" s="32" t="str">
        <f>CASOPOInvCL!AU658</f>
        <v>Yes</v>
      </c>
      <c r="S658" s="16">
        <f>CASOPOInvCL!AV658</f>
        <v>0</v>
      </c>
      <c r="T658" s="16">
        <f>CASOPOInvCL!AW658</f>
        <v>1661.0422290258998</v>
      </c>
      <c r="Y658" s="29" t="str">
        <f>IFERROR(HLOOKUP(U658,List!$D$2:$H$6,2,FALSE),"")</f>
        <v/>
      </c>
      <c r="Z658" s="29" t="str">
        <f>IFERROR(HLOOKUP(V658,List!$D$2:$H$6,3,FALSE),"")</f>
        <v/>
      </c>
      <c r="AA658" s="29" t="str">
        <f>IFERROR(HLOOKUP(W658,List!$D$2:$H$6,4,FALSE),"")</f>
        <v/>
      </c>
      <c r="AB658" s="29" t="str">
        <f>IFERROR(HLOOKUP(X658,List!$D$2:$H$6,5,FALSE),"")</f>
        <v/>
      </c>
      <c r="AC658" s="12" t="str">
        <f t="shared" si="172"/>
        <v/>
      </c>
      <c r="AD658" s="12" t="str">
        <f t="shared" si="173"/>
        <v/>
      </c>
      <c r="AE658" s="12" t="str">
        <f t="shared" si="174"/>
        <v/>
      </c>
      <c r="AF658" s="12" t="str">
        <f t="shared" si="175"/>
        <v/>
      </c>
      <c r="AG658" t="str">
        <f>VLOOKUP(J658,'Receivable Invoice Detail'!$A$1:F3670,6,FALSE)</f>
        <v>[AC-98-037-796-501] Impeller (Open), 6x6-15 AC SRL, Natural Rubber</v>
      </c>
      <c r="AM658" s="12" t="str">
        <f t="shared" si="176"/>
        <v/>
      </c>
      <c r="AN658" s="12" t="str">
        <f t="shared" si="177"/>
        <v/>
      </c>
      <c r="AO658" s="12" t="str">
        <f t="shared" si="178"/>
        <v/>
      </c>
      <c r="AP658" s="12" t="str">
        <f t="shared" si="179"/>
        <v/>
      </c>
      <c r="AQ658" s="12"/>
      <c r="AS658" s="12">
        <f t="shared" si="181"/>
        <v>1.2745499999999998</v>
      </c>
      <c r="AT658" s="16" t="str">
        <f t="shared" si="182"/>
        <v>Yes</v>
      </c>
    </row>
    <row r="659" spans="1:46" hidden="1" x14ac:dyDescent="0.25">
      <c r="A659" s="41">
        <f>CASOPOInvCL!T659</f>
        <v>1</v>
      </c>
      <c r="B659" t="str">
        <f>CASOPOInvCL!Z659</f>
        <v>SO17389</v>
      </c>
      <c r="E659" t="s">
        <v>5925</v>
      </c>
      <c r="G659" s="5" t="str">
        <f>CASOPOInvCL!I659</f>
        <v>Ian Trottier</v>
      </c>
      <c r="H659" s="31">
        <f>CASOPOInvCL!U659</f>
        <v>6</v>
      </c>
      <c r="I659" s="31">
        <f>CASOPOInvCL!V659</f>
        <v>2025</v>
      </c>
      <c r="J659" s="5" t="str">
        <f>CASOPOInvCL!AB659</f>
        <v>INV13155</v>
      </c>
      <c r="K659" s="31">
        <f>CASOPOInvCL!W659</f>
        <v>8</v>
      </c>
      <c r="L659" s="31">
        <f>CASOPOInvCL!X659</f>
        <v>2025</v>
      </c>
      <c r="M659">
        <v>2503</v>
      </c>
      <c r="N659" s="5" t="str">
        <f>CASOPOInvCL!AF659</f>
        <v>Motion Industries Inc. (U.S.) - Greer</v>
      </c>
      <c r="O659" s="16" t="str">
        <f>CASOPOInvCL!AG659</f>
        <v>USD</v>
      </c>
      <c r="P659" s="16">
        <f>CASOPOInvCL!AH659</f>
        <v>15199.174653780587</v>
      </c>
      <c r="Q659" s="16">
        <f>CASOPOInvCL!AI659</f>
        <v>11173.11</v>
      </c>
      <c r="R659" s="32" t="str">
        <f>CASOPOInvCL!AU659</f>
        <v>Yes</v>
      </c>
      <c r="S659" s="16">
        <f>CASOPOInvCL!AV659</f>
        <v>0</v>
      </c>
      <c r="T659" s="16">
        <f>CASOPOInvCL!AW659</f>
        <v>11173.11</v>
      </c>
      <c r="W659" t="s">
        <v>5800</v>
      </c>
      <c r="Y659" s="29" t="str">
        <f>IFERROR(HLOOKUP(U659,List!$D$2:$H$6,2,FALSE),"")</f>
        <v/>
      </c>
      <c r="Z659" s="29" t="str">
        <f>IFERROR(HLOOKUP(V659,List!$D$2:$H$6,3,FALSE),"")</f>
        <v/>
      </c>
      <c r="AA659" s="29">
        <f>IFERROR(HLOOKUP(W659,List!$D$2:$H$6,4,FALSE),"")</f>
        <v>0.01</v>
      </c>
      <c r="AB659" s="29" t="str">
        <f>IFERROR(HLOOKUP(X659,List!$D$2:$H$6,5,FALSE),"")</f>
        <v/>
      </c>
      <c r="AC659" s="12" t="str">
        <f t="shared" si="172"/>
        <v/>
      </c>
      <c r="AD659" s="12" t="str">
        <f t="shared" si="173"/>
        <v/>
      </c>
      <c r="AE659" s="12">
        <f t="shared" si="174"/>
        <v>111.73110000000001</v>
      </c>
      <c r="AF659" s="12" t="str">
        <f t="shared" si="175"/>
        <v/>
      </c>
      <c r="AG659" t="str">
        <f>VLOOKUP(J659,'Receivable Invoice Detail'!$A$1:F3671,6,FALSE)</f>
        <v>Pump, 2x3-14, Dynapro DC, Frame 2J, High Chrome</v>
      </c>
      <c r="AM659" s="12" t="str">
        <f t="shared" si="176"/>
        <v/>
      </c>
      <c r="AN659" s="12" t="str">
        <f t="shared" si="177"/>
        <v/>
      </c>
      <c r="AO659" s="12">
        <f t="shared" si="178"/>
        <v>111.73110000000001</v>
      </c>
      <c r="AP659" s="12" t="str">
        <f t="shared" si="179"/>
        <v/>
      </c>
      <c r="AQ659" s="64">
        <v>2503</v>
      </c>
      <c r="AR659" t="s">
        <v>5932</v>
      </c>
      <c r="AS659" s="12">
        <f t="shared" si="181"/>
        <v>2.9592000000000001</v>
      </c>
      <c r="AT659" s="16" t="str">
        <f t="shared" si="182"/>
        <v>Yes</v>
      </c>
    </row>
    <row r="660" spans="1:46" hidden="1" x14ac:dyDescent="0.25">
      <c r="A660" s="41">
        <f>CASOPOInvCL!T660</f>
        <v>1</v>
      </c>
      <c r="B660" t="str">
        <f>CASOPOInvCL!Z660</f>
        <v>SO17390</v>
      </c>
      <c r="D660" t="s">
        <v>5915</v>
      </c>
      <c r="G660" s="5" t="str">
        <f>CASOPOInvCL!I660</f>
        <v>Wilka Nuñez</v>
      </c>
      <c r="H660" s="31">
        <f>CASOPOInvCL!U660</f>
        <v>6</v>
      </c>
      <c r="I660" s="31">
        <f>CASOPOInvCL!V660</f>
        <v>2025</v>
      </c>
      <c r="J660" s="5" t="str">
        <f>CASOPOInvCL!AB660</f>
        <v>INV13177</v>
      </c>
      <c r="K660" s="31">
        <f>CASOPOInvCL!W660</f>
        <v>9</v>
      </c>
      <c r="L660" s="31">
        <f>CASOPOInvCL!X660</f>
        <v>2025</v>
      </c>
      <c r="M660">
        <v>2503</v>
      </c>
      <c r="N660" s="5" t="str">
        <f>CASOPOInvCL!AF660</f>
        <v>PT Vale Indonesia Tbk.</v>
      </c>
      <c r="O660" s="16" t="str">
        <f>CASOPOInvCL!AG660</f>
        <v>USD</v>
      </c>
      <c r="P660" s="16">
        <f>CASOPOInvCL!AH660</f>
        <v>2304.8006099244394</v>
      </c>
      <c r="Q660" s="16">
        <f>CASOPOInvCL!AI660</f>
        <v>1673.59</v>
      </c>
      <c r="R660" s="32" t="str">
        <f>CASOPOInvCL!AU660</f>
        <v>Yes</v>
      </c>
      <c r="S660" s="16">
        <f>CASOPOInvCL!AV660</f>
        <v>0</v>
      </c>
      <c r="T660" s="16">
        <f>CASOPOInvCL!AW660</f>
        <v>1673.59</v>
      </c>
      <c r="V660" t="s">
        <v>5800</v>
      </c>
      <c r="Y660" s="29" t="str">
        <f>IFERROR(HLOOKUP(U660,List!$D$2:$H$6,2,FALSE),"")</f>
        <v/>
      </c>
      <c r="Z660" s="29">
        <f>IFERROR(HLOOKUP(V660,List!$D$2:$H$6,3,FALSE),"")</f>
        <v>5.0000000000000001E-3</v>
      </c>
      <c r="AA660" s="29" t="str">
        <f>IFERROR(HLOOKUP(W660,List!$D$2:$H$6,4,FALSE),"")</f>
        <v/>
      </c>
      <c r="AB660" s="29" t="str">
        <f>IFERROR(HLOOKUP(X660,List!$D$2:$H$6,5,FALSE),"")</f>
        <v/>
      </c>
      <c r="AC660" s="12" t="str">
        <f t="shared" si="172"/>
        <v/>
      </c>
      <c r="AD660" s="12">
        <f t="shared" si="173"/>
        <v>8.3679500000000004</v>
      </c>
      <c r="AE660" s="12" t="str">
        <f t="shared" si="174"/>
        <v/>
      </c>
      <c r="AF660" s="12" t="str">
        <f t="shared" si="175"/>
        <v/>
      </c>
      <c r="AG660" t="str">
        <f>VLOOKUP(J660,'Receivable Invoice Detail'!$A$1:F3672,6,FALSE)</f>
        <v>[AC-98-432-883-501] Shaft (Fine Thread), PWO, Frame 3, 1045 Steel</v>
      </c>
      <c r="AJ660">
        <v>2503</v>
      </c>
      <c r="AM660" s="12" t="str">
        <f t="shared" si="176"/>
        <v/>
      </c>
      <c r="AN660" s="12">
        <f t="shared" si="177"/>
        <v>0</v>
      </c>
      <c r="AO660" s="12" t="str">
        <f t="shared" si="178"/>
        <v/>
      </c>
      <c r="AP660" s="12" t="str">
        <f t="shared" si="179"/>
        <v/>
      </c>
      <c r="AQ660" s="64">
        <f>M660</f>
        <v>2503</v>
      </c>
      <c r="AR660" t="s">
        <v>5931</v>
      </c>
      <c r="AS660" s="12">
        <f t="shared" si="181"/>
        <v>24.915633435388497</v>
      </c>
      <c r="AT660" s="16" t="str">
        <f t="shared" si="182"/>
        <v>Yes</v>
      </c>
    </row>
    <row r="661" spans="1:46" hidden="1" x14ac:dyDescent="0.25">
      <c r="A661" s="41">
        <f>CASOPOInvCL!T661</f>
        <v>2</v>
      </c>
      <c r="B661" t="str">
        <f>CASOPOInvCL!Z661</f>
        <v>SO17391</v>
      </c>
      <c r="D661" t="s">
        <v>5915</v>
      </c>
      <c r="G661" s="5" t="str">
        <f>CASOPOInvCL!I661</f>
        <v>Wilka Nuñez</v>
      </c>
      <c r="H661" s="31">
        <f>CASOPOInvCL!U661</f>
        <v>6</v>
      </c>
      <c r="I661" s="31">
        <f>CASOPOInvCL!V661</f>
        <v>2025</v>
      </c>
      <c r="J661" s="5" t="str">
        <f>CASOPOInvCL!AB661</f>
        <v>INV13203</v>
      </c>
      <c r="K661" s="31">
        <f>CASOPOInvCL!W661</f>
        <v>9</v>
      </c>
      <c r="L661" s="31">
        <f>CASOPOInvCL!X661</f>
        <v>2025</v>
      </c>
      <c r="M661">
        <v>2503</v>
      </c>
      <c r="N661" s="5" t="str">
        <f>CASOPOInvCL!AF661</f>
        <v>PT Vale Indonesia Tbk.</v>
      </c>
      <c r="O661" s="16" t="str">
        <f>CASOPOInvCL!AG661</f>
        <v>USD</v>
      </c>
      <c r="P661" s="16">
        <f>CASOPOInvCL!AH661</f>
        <v>1404.0831158458536</v>
      </c>
      <c r="Q661" s="16">
        <f>CASOPOInvCL!AI661</f>
        <v>1019.55</v>
      </c>
      <c r="R661" s="32" t="str">
        <f>CASOPOInvCL!AU661</f>
        <v>Yes</v>
      </c>
      <c r="S661" s="16">
        <f>CASOPOInvCL!AV661</f>
        <v>0</v>
      </c>
      <c r="T661" s="16">
        <f>CASOPOInvCL!AW661</f>
        <v>1019.55</v>
      </c>
      <c r="V661" t="s">
        <v>5800</v>
      </c>
      <c r="Y661" s="29" t="str">
        <f>IFERROR(HLOOKUP(U661,List!$D$2:$H$6,2,FALSE),"")</f>
        <v/>
      </c>
      <c r="Z661" s="29">
        <f>IFERROR(HLOOKUP(V661,List!$D$2:$H$6,3,FALSE),"")</f>
        <v>5.0000000000000001E-3</v>
      </c>
      <c r="AA661" s="29" t="str">
        <f>IFERROR(HLOOKUP(W661,List!$D$2:$H$6,4,FALSE),"")</f>
        <v/>
      </c>
      <c r="AB661" s="29" t="str">
        <f>IFERROR(HLOOKUP(X661,List!$D$2:$H$6,5,FALSE),"")</f>
        <v/>
      </c>
      <c r="AC661" s="12" t="str">
        <f t="shared" si="172"/>
        <v/>
      </c>
      <c r="AD661" s="12">
        <f t="shared" si="173"/>
        <v>5.0977499999999996</v>
      </c>
      <c r="AE661" s="12" t="str">
        <f t="shared" si="174"/>
        <v/>
      </c>
      <c r="AF661" s="12" t="str">
        <f t="shared" si="175"/>
        <v/>
      </c>
      <c r="AG661" t="str">
        <f>VLOOKUP(J661,'Receivable Invoice Detail'!$A$1:F3673,6,FALSE)</f>
        <v>[W-B073M/E05] Shaft, 1.5/1 or 2/1.5 B-AH, 1045 Steel, Metric</v>
      </c>
      <c r="AH661" s="12">
        <f t="shared" ref="AH661" si="185">SUM(AC661:AF661)</f>
        <v>5.0977499999999996</v>
      </c>
      <c r="AJ661">
        <v>2503</v>
      </c>
      <c r="AM661" s="12" t="str">
        <f t="shared" si="176"/>
        <v/>
      </c>
      <c r="AN661" s="12">
        <f t="shared" si="177"/>
        <v>0</v>
      </c>
      <c r="AO661" s="12" t="str">
        <f t="shared" si="178"/>
        <v/>
      </c>
      <c r="AP661" s="12" t="str">
        <f t="shared" si="179"/>
        <v/>
      </c>
      <c r="AQ661" s="64">
        <f>M661</f>
        <v>2503</v>
      </c>
      <c r="AR661" t="s">
        <v>5931</v>
      </c>
      <c r="AS661" s="12">
        <f t="shared" si="181"/>
        <v>167.59665000000001</v>
      </c>
      <c r="AT661" s="16" t="str">
        <f t="shared" si="182"/>
        <v>Yes</v>
      </c>
    </row>
    <row r="662" spans="1:46" hidden="1" x14ac:dyDescent="0.25">
      <c r="A662" s="41">
        <f>CASOPOInvCL!T662</f>
        <v>2</v>
      </c>
      <c r="B662" t="str">
        <f>CASOPOInvCL!Z662</f>
        <v>SO17391</v>
      </c>
      <c r="D662" t="s">
        <v>5915</v>
      </c>
      <c r="G662" s="5">
        <f>CASOPOInvCL!I662</f>
        <v>0</v>
      </c>
      <c r="H662" s="31">
        <f>CASOPOInvCL!U662</f>
        <v>6</v>
      </c>
      <c r="I662" s="31">
        <f>CASOPOInvCL!V662</f>
        <v>2025</v>
      </c>
      <c r="J662" s="5" t="str">
        <f>CASOPOInvCL!AB662</f>
        <v>INV13136</v>
      </c>
      <c r="K662" s="31">
        <f>CASOPOInvCL!W662</f>
        <v>9</v>
      </c>
      <c r="L662" s="31">
        <f>CASOPOInvCL!X662</f>
        <v>2025</v>
      </c>
      <c r="M662">
        <v>2503</v>
      </c>
      <c r="N662" s="5" t="str">
        <f>CASOPOInvCL!AF662</f>
        <v>PT Vale Indonesia Tbk.</v>
      </c>
      <c r="O662" s="16" t="str">
        <f>CASOPOInvCL!AG662</f>
        <v>USD</v>
      </c>
      <c r="P662" s="16">
        <f>CASOPOInvCL!AH662</f>
        <v>0</v>
      </c>
      <c r="Q662" s="16">
        <f>CASOPOInvCL!AI662</f>
        <v>0</v>
      </c>
      <c r="R662" s="32" t="str">
        <f>CASOPOInvCL!AU662</f>
        <v/>
      </c>
      <c r="S662" s="16">
        <f>CASOPOInvCL!AV662</f>
        <v>0</v>
      </c>
      <c r="T662" s="16">
        <f>CASOPOInvCL!AW662</f>
        <v>0</v>
      </c>
      <c r="V662" t="s">
        <v>5800</v>
      </c>
      <c r="Y662" s="29" t="str">
        <f>IFERROR(HLOOKUP(U662,List!$D$2:$H$6,2,FALSE),"")</f>
        <v/>
      </c>
      <c r="Z662" s="29">
        <f>IFERROR(HLOOKUP(V662,List!$D$2:$H$6,3,FALSE),"")</f>
        <v>5.0000000000000001E-3</v>
      </c>
      <c r="AA662" s="29" t="str">
        <f>IFERROR(HLOOKUP(W662,List!$D$2:$H$6,4,FALSE),"")</f>
        <v/>
      </c>
      <c r="AB662" s="29" t="str">
        <f>IFERROR(HLOOKUP(X662,List!$D$2:$H$6,5,FALSE),"")</f>
        <v/>
      </c>
      <c r="AC662" s="12" t="str">
        <f t="shared" si="172"/>
        <v/>
      </c>
      <c r="AD662" s="12">
        <f t="shared" si="173"/>
        <v>0</v>
      </c>
      <c r="AE662" s="12" t="str">
        <f t="shared" si="174"/>
        <v/>
      </c>
      <c r="AF662" s="12" t="str">
        <f t="shared" si="175"/>
        <v/>
      </c>
      <c r="AG662" t="str">
        <f>VLOOKUP(J662,'Receivable Invoice Detail'!$A$1:F3674,6,FALSE)</f>
        <v>[W-B073M/E05] Shaft, 1.5/1 or 2/1.5 B-AH, 1045 Steel, Metric</v>
      </c>
      <c r="AJ662">
        <v>2503</v>
      </c>
      <c r="AM662" s="12" t="str">
        <f t="shared" si="176"/>
        <v/>
      </c>
      <c r="AN662" s="12">
        <f t="shared" si="177"/>
        <v>0</v>
      </c>
      <c r="AO662" s="12" t="str">
        <f t="shared" si="178"/>
        <v/>
      </c>
      <c r="AP662" s="12" t="str">
        <f t="shared" si="179"/>
        <v/>
      </c>
      <c r="AQ662" s="64">
        <f>M662</f>
        <v>2503</v>
      </c>
      <c r="AR662" t="s">
        <v>5931</v>
      </c>
      <c r="AS662" s="12">
        <f t="shared" si="181"/>
        <v>25.103849999999998</v>
      </c>
      <c r="AT662" s="16" t="str">
        <f t="shared" si="182"/>
        <v/>
      </c>
    </row>
    <row r="663" spans="1:46" hidden="1" x14ac:dyDescent="0.25">
      <c r="A663" s="41">
        <f>CASOPOInvCL!T663</f>
        <v>1</v>
      </c>
      <c r="B663" t="str">
        <f>CASOPOInvCL!Z663</f>
        <v>SO17395</v>
      </c>
      <c r="D663" t="s">
        <v>5925</v>
      </c>
      <c r="G663" s="5" t="str">
        <f>CASOPOInvCL!I663</f>
        <v>Ian Trottier</v>
      </c>
      <c r="H663" s="31">
        <f>CASOPOInvCL!U663</f>
        <v>6</v>
      </c>
      <c r="I663" s="31">
        <f>CASOPOInvCL!V663</f>
        <v>2025</v>
      </c>
      <c r="J663" s="5" t="str">
        <f>CASOPOInvCL!AB663</f>
        <v>INV13172</v>
      </c>
      <c r="K663" s="31">
        <f>CASOPOInvCL!W663</f>
        <v>8</v>
      </c>
      <c r="L663" s="31">
        <f>CASOPOInvCL!X663</f>
        <v>2025</v>
      </c>
      <c r="M663">
        <v>2503</v>
      </c>
      <c r="N663" s="5" t="str">
        <f>CASOPOInvCL!AF663</f>
        <v>Les Pompes du St-Laurent Inc.</v>
      </c>
      <c r="O663" s="16" t="str">
        <f>CASOPOInvCL!AG663</f>
        <v>CAD</v>
      </c>
      <c r="P663" s="16">
        <f>CASOPOInvCL!AH663</f>
        <v>3005</v>
      </c>
      <c r="Q663" s="16">
        <f>CASOPOInvCL!AI663</f>
        <v>2194.7884981324714</v>
      </c>
      <c r="R663" s="32" t="str">
        <f>CASOPOInvCL!AU663</f>
        <v>Yes</v>
      </c>
      <c r="S663" s="16">
        <f>CASOPOInvCL!AV663</f>
        <v>0</v>
      </c>
      <c r="T663" s="16">
        <f>CASOPOInvCL!AW663</f>
        <v>2194.7884981324714</v>
      </c>
      <c r="V663" t="s">
        <v>5800</v>
      </c>
      <c r="Y663" s="29" t="str">
        <f>IFERROR(HLOOKUP(U663,List!$D$2:$H$6,2,FALSE),"")</f>
        <v/>
      </c>
      <c r="Z663" s="29">
        <f>IFERROR(HLOOKUP(V663,List!$D$2:$H$6,3,FALSE),"")</f>
        <v>5.0000000000000001E-3</v>
      </c>
      <c r="AA663" s="29" t="str">
        <f>IFERROR(HLOOKUP(W663,List!$D$2:$H$6,4,FALSE),"")</f>
        <v/>
      </c>
      <c r="AB663" s="29" t="str">
        <f>IFERROR(HLOOKUP(X663,List!$D$2:$H$6,5,FALSE),"")</f>
        <v/>
      </c>
      <c r="AC663" s="12" t="str">
        <f t="shared" si="172"/>
        <v/>
      </c>
      <c r="AD663" s="12">
        <f t="shared" si="173"/>
        <v>10.973942490662358</v>
      </c>
      <c r="AE663" s="12" t="str">
        <f t="shared" si="174"/>
        <v/>
      </c>
      <c r="AF663" s="12" t="str">
        <f t="shared" si="175"/>
        <v/>
      </c>
      <c r="AG663" t="str">
        <f>VLOOKUP(J663,'Receivable Invoice Detail'!$A$1:F3675,6,FALSE)</f>
        <v>[G-249-61 1216] Casing, 2x3-10, 3196 MTX, CD4MCu</v>
      </c>
      <c r="AM663" s="12" t="str">
        <f t="shared" si="176"/>
        <v/>
      </c>
      <c r="AN663" s="12">
        <f t="shared" si="177"/>
        <v>10.973942490662358</v>
      </c>
      <c r="AO663" s="12" t="str">
        <f t="shared" si="178"/>
        <v/>
      </c>
      <c r="AP663" s="12" t="str">
        <f t="shared" si="179"/>
        <v/>
      </c>
      <c r="AQ663" s="64">
        <v>2503</v>
      </c>
      <c r="AR663" t="s">
        <v>5932</v>
      </c>
      <c r="AS663" s="12">
        <f t="shared" si="181"/>
        <v>15.293249999999999</v>
      </c>
      <c r="AT663" s="16" t="str">
        <f t="shared" si="182"/>
        <v>Yes</v>
      </c>
    </row>
    <row r="664" spans="1:46" hidden="1" x14ac:dyDescent="0.25">
      <c r="A664" s="41">
        <f>CASOPOInvCL!T664</f>
        <v>1</v>
      </c>
      <c r="B664" t="str">
        <f>CASOPOInvCL!Z664</f>
        <v>SO17396</v>
      </c>
      <c r="D664" t="s">
        <v>5915</v>
      </c>
      <c r="G664" s="5" t="str">
        <f>CASOPOInvCL!I664</f>
        <v>Ian Trottier</v>
      </c>
      <c r="H664" s="31">
        <f>CASOPOInvCL!U664</f>
        <v>6</v>
      </c>
      <c r="I664" s="31">
        <f>CASOPOInvCL!V664</f>
        <v>2025</v>
      </c>
      <c r="J664" s="5" t="str">
        <f>CASOPOInvCL!AB664</f>
        <v>INV13180</v>
      </c>
      <c r="K664" s="31">
        <f>CASOPOInvCL!W664</f>
        <v>8</v>
      </c>
      <c r="L664" s="31">
        <f>CASOPOInvCL!X664</f>
        <v>2025</v>
      </c>
      <c r="M664">
        <v>2503</v>
      </c>
      <c r="N664" s="5" t="str">
        <f>CASOPOInvCL!AF664</f>
        <v>Flowstar Industrial Inc</v>
      </c>
      <c r="O664" s="16" t="str">
        <f>CASOPOInvCL!AG664</f>
        <v>CAD</v>
      </c>
      <c r="P664" s="16">
        <f>CASOPOInvCL!AH664</f>
        <v>1225.8</v>
      </c>
      <c r="Q664" s="16">
        <f>CASOPOInvCL!AI664</f>
        <v>895.29841630974499</v>
      </c>
      <c r="R664" s="32" t="str">
        <f>CASOPOInvCL!AU664</f>
        <v>Yes</v>
      </c>
      <c r="S664" s="16">
        <f>CASOPOInvCL!AV664</f>
        <v>0</v>
      </c>
      <c r="T664" s="16">
        <f>CASOPOInvCL!AW664</f>
        <v>895.29841630974499</v>
      </c>
      <c r="V664" t="s">
        <v>5800</v>
      </c>
      <c r="Y664" s="29" t="str">
        <f>IFERROR(HLOOKUP(U664,List!$D$2:$H$6,2,FALSE),"")</f>
        <v/>
      </c>
      <c r="Z664" s="29">
        <f>IFERROR(HLOOKUP(V664,List!$D$2:$H$6,3,FALSE),"")</f>
        <v>5.0000000000000001E-3</v>
      </c>
      <c r="AA664" s="29" t="str">
        <f>IFERROR(HLOOKUP(W664,List!$D$2:$H$6,4,FALSE),"")</f>
        <v/>
      </c>
      <c r="AB664" s="29" t="str">
        <f>IFERROR(HLOOKUP(X664,List!$D$2:$H$6,5,FALSE),"")</f>
        <v/>
      </c>
      <c r="AC664" s="12" t="str">
        <f t="shared" si="172"/>
        <v/>
      </c>
      <c r="AD664" s="12">
        <f t="shared" si="173"/>
        <v>4.4764920815487255</v>
      </c>
      <c r="AE664" s="12" t="str">
        <f t="shared" si="174"/>
        <v/>
      </c>
      <c r="AF664" s="12" t="str">
        <f t="shared" si="175"/>
        <v/>
      </c>
      <c r="AG664" t="str">
        <f>VLOOKUP(J664,'Receivable Invoice Detail'!$A$1:F3676,6,FALSE)</f>
        <v>[AC-98-331-958-805] Shaft Sleeve, 2x2-10 SRL, Steel</v>
      </c>
      <c r="AJ664">
        <v>2503</v>
      </c>
      <c r="AM664" s="12" t="str">
        <f t="shared" si="176"/>
        <v/>
      </c>
      <c r="AN664" s="12">
        <f t="shared" si="177"/>
        <v>0</v>
      </c>
      <c r="AO664" s="12" t="str">
        <f t="shared" si="178"/>
        <v/>
      </c>
      <c r="AP664" s="12" t="str">
        <f t="shared" si="179"/>
        <v/>
      </c>
      <c r="AQ664" s="64">
        <f>M664</f>
        <v>2503</v>
      </c>
      <c r="AR664" t="s">
        <v>5931</v>
      </c>
      <c r="AS664" s="12">
        <f t="shared" si="181"/>
        <v>0</v>
      </c>
      <c r="AT664" s="16" t="str">
        <f t="shared" si="182"/>
        <v>Yes</v>
      </c>
    </row>
    <row r="665" spans="1:46" hidden="1" x14ac:dyDescent="0.25">
      <c r="A665" s="41">
        <f>CASOPOInvCL!T665</f>
        <v>3</v>
      </c>
      <c r="B665" t="str">
        <f>CASOPOInvCL!Z665</f>
        <v>SO17397</v>
      </c>
      <c r="D665" t="s">
        <v>5915</v>
      </c>
      <c r="G665" s="5" t="str">
        <f>CASOPOInvCL!I665</f>
        <v>Ian Trottier</v>
      </c>
      <c r="H665" s="31">
        <f>CASOPOInvCL!U665</f>
        <v>6</v>
      </c>
      <c r="I665" s="31">
        <f>CASOPOInvCL!V665</f>
        <v>2025</v>
      </c>
      <c r="J665" s="5" t="str">
        <f>CASOPOInvCL!AB665</f>
        <v>INV13162</v>
      </c>
      <c r="K665" s="31">
        <f>CASOPOInvCL!W665</f>
        <v>8</v>
      </c>
      <c r="L665" s="31">
        <f>CASOPOInvCL!X665</f>
        <v>2025</v>
      </c>
      <c r="M665">
        <v>2503</v>
      </c>
      <c r="N665" s="5" t="str">
        <f>CASOPOInvCL!AF665</f>
        <v>Sling-Choker Manufacturing - Timmins</v>
      </c>
      <c r="O665" s="16" t="str">
        <f>CASOPOInvCL!AG665</f>
        <v>CAD</v>
      </c>
      <c r="P665" s="16">
        <f>CASOPOInvCL!AH665</f>
        <v>775.58</v>
      </c>
      <c r="Q665" s="16">
        <f>CASOPOInvCL!AI665</f>
        <v>568.97918717227765</v>
      </c>
      <c r="R665" s="32" t="str">
        <f>CASOPOInvCL!AU665</f>
        <v>Yes</v>
      </c>
      <c r="S665" s="16">
        <f>CASOPOInvCL!AV665</f>
        <v>0</v>
      </c>
      <c r="T665" s="16">
        <f>CASOPOInvCL!AW665</f>
        <v>568.97918717227765</v>
      </c>
      <c r="V665" t="s">
        <v>5800</v>
      </c>
      <c r="Y665" s="29" t="str">
        <f>IFERROR(HLOOKUP(U665,List!$D$2:$H$6,2,FALSE),"")</f>
        <v/>
      </c>
      <c r="Z665" s="29">
        <f>IFERROR(HLOOKUP(V665,List!$D$2:$H$6,3,FALSE),"")</f>
        <v>5.0000000000000001E-3</v>
      </c>
      <c r="AA665" s="29" t="str">
        <f>IFERROR(HLOOKUP(W665,List!$D$2:$H$6,4,FALSE),"")</f>
        <v/>
      </c>
      <c r="AB665" s="29" t="str">
        <f>IFERROR(HLOOKUP(X665,List!$D$2:$H$6,5,FALSE),"")</f>
        <v/>
      </c>
      <c r="AC665" s="12" t="str">
        <f t="shared" si="172"/>
        <v/>
      </c>
      <c r="AD665" s="12">
        <f t="shared" si="173"/>
        <v>2.8448959358613881</v>
      </c>
      <c r="AE665" s="12" t="str">
        <f t="shared" si="174"/>
        <v/>
      </c>
      <c r="AF665" s="12" t="str">
        <f t="shared" si="175"/>
        <v/>
      </c>
      <c r="AG665" t="str">
        <f>VLOOKUP(J665,'Receivable Invoice Detail'!$A$1:F3677,6,FALSE)</f>
        <v>[AC-98-233-193-501] Slinger Assembly, PWO Frame 2, Oil</v>
      </c>
      <c r="AJ665">
        <v>2503</v>
      </c>
      <c r="AM665" s="12" t="str">
        <f t="shared" si="176"/>
        <v/>
      </c>
      <c r="AN665" s="12">
        <f t="shared" si="177"/>
        <v>0</v>
      </c>
      <c r="AO665" s="12" t="str">
        <f t="shared" si="178"/>
        <v/>
      </c>
      <c r="AP665" s="12" t="str">
        <f t="shared" si="179"/>
        <v/>
      </c>
      <c r="AQ665" s="64">
        <f>M665</f>
        <v>2503</v>
      </c>
      <c r="AR665" t="s">
        <v>5931</v>
      </c>
      <c r="AS665" s="12">
        <f t="shared" si="181"/>
        <v>32.921827471987072</v>
      </c>
      <c r="AT665" s="16" t="str">
        <f t="shared" si="182"/>
        <v>Yes</v>
      </c>
    </row>
    <row r="666" spans="1:46" hidden="1" x14ac:dyDescent="0.25">
      <c r="A666" s="41">
        <f>CASOPOInvCL!T666</f>
        <v>3</v>
      </c>
      <c r="B666" t="str">
        <f>CASOPOInvCL!Z666</f>
        <v>SO17397</v>
      </c>
      <c r="D666" t="s">
        <v>5915</v>
      </c>
      <c r="G666" s="5">
        <f>CASOPOInvCL!I666</f>
        <v>0</v>
      </c>
      <c r="H666" s="31">
        <f>CASOPOInvCL!U666</f>
        <v>6</v>
      </c>
      <c r="I666" s="31">
        <f>CASOPOInvCL!V666</f>
        <v>2025</v>
      </c>
      <c r="J666" s="5" t="str">
        <f>CASOPOInvCL!AB666</f>
        <v>(* 78441)</v>
      </c>
      <c r="K666" s="31" t="str">
        <f>CASOPOInvCL!W666</f>
        <v/>
      </c>
      <c r="L666" s="31" t="str">
        <f>CASOPOInvCL!X666</f>
        <v/>
      </c>
      <c r="M666">
        <v>2503</v>
      </c>
      <c r="N666" s="5" t="str">
        <f>CASOPOInvCL!AF666</f>
        <v>Sling-Choker Manufacturing - Timmins</v>
      </c>
      <c r="O666" s="16" t="str">
        <f>CASOPOInvCL!AG666</f>
        <v>CAD</v>
      </c>
      <c r="P666" s="16">
        <f>CASOPOInvCL!AH666</f>
        <v>0</v>
      </c>
      <c r="Q666" s="16">
        <f>CASOPOInvCL!AI666</f>
        <v>0</v>
      </c>
      <c r="R666" s="32" t="str">
        <f>CASOPOInvCL!AU666</f>
        <v/>
      </c>
      <c r="S666" s="16">
        <f>CASOPOInvCL!AV666</f>
        <v>0</v>
      </c>
      <c r="T666" s="16">
        <f>CASOPOInvCL!AW666</f>
        <v>0</v>
      </c>
      <c r="V666" t="s">
        <v>5800</v>
      </c>
      <c r="Y666" s="29" t="str">
        <f>IFERROR(HLOOKUP(U666,List!$D$2:$H$6,2,FALSE),"")</f>
        <v/>
      </c>
      <c r="Z666" s="29">
        <f>IFERROR(HLOOKUP(V666,List!$D$2:$H$6,3,FALSE),"")</f>
        <v>5.0000000000000001E-3</v>
      </c>
      <c r="AA666" s="29" t="str">
        <f>IFERROR(HLOOKUP(W666,List!$D$2:$H$6,4,FALSE),"")</f>
        <v/>
      </c>
      <c r="AB666" s="29" t="str">
        <f>IFERROR(HLOOKUP(X666,List!$D$2:$H$6,5,FALSE),"")</f>
        <v/>
      </c>
      <c r="AC666" s="12" t="str">
        <f t="shared" si="172"/>
        <v/>
      </c>
      <c r="AD666" s="12">
        <f t="shared" si="173"/>
        <v>0</v>
      </c>
      <c r="AE666" s="12" t="str">
        <f t="shared" si="174"/>
        <v/>
      </c>
      <c r="AF666" s="12" t="str">
        <f t="shared" si="175"/>
        <v/>
      </c>
      <c r="AG666" t="e">
        <f>VLOOKUP(J666,'Receivable Invoice Detail'!$A$1:F3678,6,FALSE)</f>
        <v>#N/A</v>
      </c>
      <c r="AJ666">
        <v>2503</v>
      </c>
      <c r="AM666" s="12" t="str">
        <f t="shared" si="176"/>
        <v/>
      </c>
      <c r="AN666" s="12">
        <f t="shared" si="177"/>
        <v>0</v>
      </c>
      <c r="AO666" s="12" t="str">
        <f t="shared" si="178"/>
        <v/>
      </c>
      <c r="AP666" s="12" t="str">
        <f t="shared" si="179"/>
        <v/>
      </c>
      <c r="AQ666" s="64">
        <f>M666</f>
        <v>2503</v>
      </c>
      <c r="AR666" t="s">
        <v>5931</v>
      </c>
      <c r="AS666" s="12">
        <f t="shared" si="181"/>
        <v>13.429476244646175</v>
      </c>
      <c r="AT666" s="16" t="str">
        <f t="shared" si="182"/>
        <v/>
      </c>
    </row>
    <row r="667" spans="1:46" hidden="1" x14ac:dyDescent="0.25">
      <c r="A667" s="41">
        <f>CASOPOInvCL!T667</f>
        <v>3</v>
      </c>
      <c r="B667" t="str">
        <f>CASOPOInvCL!Z667</f>
        <v>SO17397</v>
      </c>
      <c r="D667" t="s">
        <v>5915</v>
      </c>
      <c r="G667" s="5">
        <f>CASOPOInvCL!I667</f>
        <v>0</v>
      </c>
      <c r="H667" s="31">
        <f>CASOPOInvCL!U667</f>
        <v>6</v>
      </c>
      <c r="I667" s="31">
        <f>CASOPOInvCL!V667</f>
        <v>2025</v>
      </c>
      <c r="J667" s="5" t="str">
        <f>CASOPOInvCL!AB667</f>
        <v>INV13231</v>
      </c>
      <c r="K667" s="31">
        <f>CASOPOInvCL!W667</f>
        <v>8</v>
      </c>
      <c r="L667" s="31">
        <f>CASOPOInvCL!X667</f>
        <v>2025</v>
      </c>
      <c r="M667">
        <v>2503</v>
      </c>
      <c r="N667" s="5" t="str">
        <f>CASOPOInvCL!AF667</f>
        <v>Sling-Choker Manufacturing - Timmins</v>
      </c>
      <c r="O667" s="16" t="str">
        <f>CASOPOInvCL!AG667</f>
        <v>CAD</v>
      </c>
      <c r="P667" s="16">
        <f>CASOPOInvCL!AH667</f>
        <v>0</v>
      </c>
      <c r="Q667" s="16">
        <f>CASOPOInvCL!AI667</f>
        <v>0</v>
      </c>
      <c r="R667" s="32" t="str">
        <f>CASOPOInvCL!AU667</f>
        <v/>
      </c>
      <c r="S667" s="16">
        <f>CASOPOInvCL!AV667</f>
        <v>0</v>
      </c>
      <c r="T667" s="16">
        <f>CASOPOInvCL!AW667</f>
        <v>0</v>
      </c>
      <c r="V667" t="s">
        <v>5800</v>
      </c>
      <c r="Y667" s="29" t="str">
        <f>IFERROR(HLOOKUP(U667,List!$D$2:$H$6,2,FALSE),"")</f>
        <v/>
      </c>
      <c r="Z667" s="29">
        <f>IFERROR(HLOOKUP(V667,List!$D$2:$H$6,3,FALSE),"")</f>
        <v>5.0000000000000001E-3</v>
      </c>
      <c r="AA667" s="29" t="str">
        <f>IFERROR(HLOOKUP(W667,List!$D$2:$H$6,4,FALSE),"")</f>
        <v/>
      </c>
      <c r="AB667" s="29" t="str">
        <f>IFERROR(HLOOKUP(X667,List!$D$2:$H$6,5,FALSE),"")</f>
        <v/>
      </c>
      <c r="AC667" s="12" t="str">
        <f t="shared" si="172"/>
        <v/>
      </c>
      <c r="AD667" s="12">
        <f t="shared" si="173"/>
        <v>0</v>
      </c>
      <c r="AE667" s="12" t="str">
        <f t="shared" si="174"/>
        <v/>
      </c>
      <c r="AF667" s="12" t="str">
        <f t="shared" si="175"/>
        <v/>
      </c>
      <c r="AG667" t="str">
        <f>VLOOKUP(J667,'Receivable Invoice Detail'!$A$1:F3679,6,FALSE)</f>
        <v>[AC-98-234-802-001] Water Seal Bushing, 12x10-25 SRL-C, One-Piece, Steel</v>
      </c>
      <c r="AJ667">
        <v>2503</v>
      </c>
      <c r="AM667" s="12" t="str">
        <f t="shared" si="176"/>
        <v/>
      </c>
      <c r="AN667" s="12">
        <f t="shared" si="177"/>
        <v>0</v>
      </c>
      <c r="AO667" s="12" t="str">
        <f t="shared" si="178"/>
        <v/>
      </c>
      <c r="AP667" s="12" t="str">
        <f t="shared" si="179"/>
        <v/>
      </c>
      <c r="AQ667" s="64">
        <f>M667</f>
        <v>2503</v>
      </c>
      <c r="AR667" t="s">
        <v>5931</v>
      </c>
      <c r="AS667" s="12">
        <f t="shared" si="181"/>
        <v>8.5346878075841648</v>
      </c>
      <c r="AT667" s="16" t="str">
        <f t="shared" si="182"/>
        <v/>
      </c>
    </row>
    <row r="668" spans="1:46" hidden="1" x14ac:dyDescent="0.25">
      <c r="A668" s="41">
        <f>CASOPOInvCL!T668</f>
        <v>1</v>
      </c>
      <c r="B668" t="str">
        <f>CASOPOInvCL!Z668</f>
        <v>SO17398</v>
      </c>
      <c r="D668" t="s">
        <v>5851</v>
      </c>
      <c r="G668" s="5" t="str">
        <f>CASOPOInvCL!I668</f>
        <v>Alexis Gil Lamadrid</v>
      </c>
      <c r="H668" s="31">
        <f>CASOPOInvCL!U668</f>
        <v>6</v>
      </c>
      <c r="I668" s="31">
        <f>CASOPOInvCL!V668</f>
        <v>2025</v>
      </c>
      <c r="J668" s="5" t="str">
        <f>CASOPOInvCL!AB668</f>
        <v>INV13134</v>
      </c>
      <c r="K668" s="31">
        <f>CASOPOInvCL!W668</f>
        <v>8</v>
      </c>
      <c r="L668" s="31">
        <f>CASOPOInvCL!X668</f>
        <v>2025</v>
      </c>
      <c r="M668">
        <v>2503</v>
      </c>
      <c r="N668" s="5" t="str">
        <f>CASOPOInvCL!AF668</f>
        <v>Motion Industries Inc. (Canada) - Edmonton</v>
      </c>
      <c r="O668" s="16" t="str">
        <f>CASOPOInvCL!AG668</f>
        <v>CAD</v>
      </c>
      <c r="P668" s="16">
        <f>CASOPOInvCL!AH668</f>
        <v>126.12</v>
      </c>
      <c r="Q668" s="16">
        <f>CASOPOInvCL!AI668</f>
        <v>92.115382823450034</v>
      </c>
      <c r="R668" s="32" t="str">
        <f>CASOPOInvCL!AU668</f>
        <v>Yes</v>
      </c>
      <c r="S668" s="16">
        <f>CASOPOInvCL!AV668</f>
        <v>0</v>
      </c>
      <c r="T668" s="16">
        <f>CASOPOInvCL!AW668</f>
        <v>92.115382823450034</v>
      </c>
      <c r="V668" t="s">
        <v>5800</v>
      </c>
      <c r="Y668" s="29" t="str">
        <f>IFERROR(HLOOKUP(U668,List!$D$2:$H$6,2,FALSE),"")</f>
        <v/>
      </c>
      <c r="Z668" s="29">
        <f>IFERROR(HLOOKUP(V668,List!$D$2:$H$6,3,FALSE),"")</f>
        <v>5.0000000000000001E-3</v>
      </c>
      <c r="AA668" s="29" t="str">
        <f>IFERROR(HLOOKUP(W668,List!$D$2:$H$6,4,FALSE),"")</f>
        <v/>
      </c>
      <c r="AB668" s="29" t="str">
        <f>IFERROR(HLOOKUP(X668,List!$D$2:$H$6,5,FALSE),"")</f>
        <v/>
      </c>
      <c r="AC668" s="12" t="str">
        <f t="shared" si="172"/>
        <v/>
      </c>
      <c r="AD668" s="12">
        <f t="shared" si="173"/>
        <v>0.46057691411725016</v>
      </c>
      <c r="AE668" s="12" t="str">
        <f t="shared" si="174"/>
        <v/>
      </c>
      <c r="AF668" s="12" t="str">
        <f t="shared" si="175"/>
        <v/>
      </c>
      <c r="AG668" t="str">
        <f>VLOOKUP(J668,'Receivable Invoice Detail'!$A$1:F3680,6,FALSE)</f>
        <v>[DU-SA3210AA00-TFR] Impeller Gasket, Durco Mark 2&amp;3 Group 2, Teflon/Rubber</v>
      </c>
      <c r="AJ668">
        <v>2503</v>
      </c>
      <c r="AM668" s="12" t="str">
        <f t="shared" si="176"/>
        <v/>
      </c>
      <c r="AN668" s="12">
        <f t="shared" si="177"/>
        <v>0</v>
      </c>
      <c r="AO668" s="12" t="str">
        <f t="shared" si="178"/>
        <v/>
      </c>
      <c r="AP668" s="12" t="str">
        <f t="shared" si="179"/>
        <v/>
      </c>
      <c r="AQ668" s="64">
        <f>M668</f>
        <v>2503</v>
      </c>
      <c r="AR668" t="s">
        <v>5931</v>
      </c>
      <c r="AS668" s="12">
        <f t="shared" si="181"/>
        <v>0</v>
      </c>
      <c r="AT668" s="16" t="str">
        <f t="shared" si="182"/>
        <v>Yes</v>
      </c>
    </row>
    <row r="669" spans="1:46" hidden="1" x14ac:dyDescent="0.25">
      <c r="A669" s="41">
        <f>CASOPOInvCL!T669</f>
        <v>1</v>
      </c>
      <c r="B669" t="str">
        <f>CASOPOInvCL!Z669</f>
        <v>SO17400</v>
      </c>
      <c r="G669" s="5" t="str">
        <f>CASOPOInvCL!I669</f>
        <v>Amanda Qiao</v>
      </c>
      <c r="H669" s="31">
        <f>CASOPOInvCL!U669</f>
        <v>6</v>
      </c>
      <c r="I669" s="31">
        <f>CASOPOInvCL!V669</f>
        <v>2025</v>
      </c>
      <c r="J669" s="5" t="str">
        <f>CASOPOInvCL!AB669</f>
        <v>INV13587</v>
      </c>
      <c r="K669" s="31" t="str">
        <f>CASOPOInvCL!W669</f>
        <v/>
      </c>
      <c r="L669" s="31" t="str">
        <f>CASOPOInvCL!X669</f>
        <v/>
      </c>
      <c r="M669" s="31"/>
      <c r="N669" s="5" t="str">
        <f>CASOPOInvCL!AF669</f>
        <v>Zijin Mining - Rosebel Goldmines N.V.</v>
      </c>
      <c r="O669" s="16" t="str">
        <f>CASOPOInvCL!AG669</f>
        <v>USD</v>
      </c>
      <c r="P669" s="16">
        <f>CASOPOInvCL!AH669</f>
        <v>16766.226630204583</v>
      </c>
      <c r="Q669" s="16">
        <f>CASOPOInvCL!AI669</f>
        <v>12300</v>
      </c>
      <c r="R669" s="32" t="str">
        <f>CASOPOInvCL!AU669</f>
        <v/>
      </c>
      <c r="S669" s="16">
        <f>CASOPOInvCL!AV669</f>
        <v>0</v>
      </c>
      <c r="T669" s="16">
        <f>CASOPOInvCL!AW669</f>
        <v>0</v>
      </c>
      <c r="Y669" s="29" t="str">
        <f>IFERROR(HLOOKUP(U669,List!$D$2:$H$6,2,FALSE),"")</f>
        <v/>
      </c>
      <c r="Z669" s="29" t="str">
        <f>IFERROR(HLOOKUP(V669,List!$D$2:$H$6,3,FALSE),"")</f>
        <v/>
      </c>
      <c r="AA669" s="29" t="str">
        <f>IFERROR(HLOOKUP(W669,List!$D$2:$H$6,4,FALSE),"")</f>
        <v/>
      </c>
      <c r="AB669" s="29" t="str">
        <f>IFERROR(HLOOKUP(X669,List!$D$2:$H$6,5,FALSE),"")</f>
        <v/>
      </c>
      <c r="AC669" s="12" t="str">
        <f t="shared" si="172"/>
        <v/>
      </c>
      <c r="AD669" s="12" t="str">
        <f t="shared" si="173"/>
        <v/>
      </c>
      <c r="AE669" s="12" t="str">
        <f t="shared" si="174"/>
        <v/>
      </c>
      <c r="AF669" s="12" t="str">
        <f t="shared" si="175"/>
        <v/>
      </c>
      <c r="AG669" t="str">
        <f>VLOOKUP(J669,'Receivable Invoice Detail'!$A$1:F3681,6,FALSE)</f>
        <v>[D-196 LF 1.5x3-13 LTX DI/316] Pump, 1.5x3-13, D-196 Low-Flow LTX, Ductile Iron w/316SS Impeller</v>
      </c>
      <c r="AM669" s="12" t="str">
        <f t="shared" si="176"/>
        <v/>
      </c>
      <c r="AN669" s="12" t="str">
        <f t="shared" si="177"/>
        <v/>
      </c>
      <c r="AO669" s="12" t="str">
        <f t="shared" si="178"/>
        <v/>
      </c>
      <c r="AP669" s="12" t="str">
        <f t="shared" si="179"/>
        <v/>
      </c>
      <c r="AQ669" s="12"/>
      <c r="AS669" s="12">
        <f t="shared" si="181"/>
        <v>0</v>
      </c>
      <c r="AT669" s="16" t="str">
        <f t="shared" si="182"/>
        <v/>
      </c>
    </row>
    <row r="670" spans="1:46" hidden="1" x14ac:dyDescent="0.25">
      <c r="A670" s="41">
        <f>CASOPOInvCL!T670</f>
        <v>1</v>
      </c>
      <c r="B670" t="str">
        <f>CASOPOInvCL!Z670</f>
        <v>SO17402</v>
      </c>
      <c r="D670" t="s">
        <v>5851</v>
      </c>
      <c r="G670" s="5" t="str">
        <f>CASOPOInvCL!I670</f>
        <v>Alexis Gil Lamadrid</v>
      </c>
      <c r="H670" s="31">
        <f>CASOPOInvCL!U670</f>
        <v>6</v>
      </c>
      <c r="I670" s="31">
        <f>CASOPOInvCL!V670</f>
        <v>2025</v>
      </c>
      <c r="J670" s="5" t="str">
        <f>CASOPOInvCL!AB670</f>
        <v>INV13175</v>
      </c>
      <c r="K670" s="31">
        <f>CASOPOInvCL!W670</f>
        <v>8</v>
      </c>
      <c r="L670" s="31">
        <f>CASOPOInvCL!X670</f>
        <v>2025</v>
      </c>
      <c r="M670">
        <v>2503</v>
      </c>
      <c r="N670" s="5" t="str">
        <f>CASOPOInvCL!AF670</f>
        <v>Fabrene Inc.</v>
      </c>
      <c r="O670" s="16" t="str">
        <f>CASOPOInvCL!AG670</f>
        <v>CAD</v>
      </c>
      <c r="P670" s="16">
        <f>CASOPOInvCL!AH670</f>
        <v>105</v>
      </c>
      <c r="Q670" s="16">
        <f>CASOPOInvCL!AI670</f>
        <v>76.689781132748593</v>
      </c>
      <c r="R670" s="32" t="str">
        <f>CASOPOInvCL!AU670</f>
        <v>Yes</v>
      </c>
      <c r="S670" s="16">
        <f>CASOPOInvCL!AV670</f>
        <v>0</v>
      </c>
      <c r="T670" s="16">
        <f>CASOPOInvCL!AW670</f>
        <v>76.689781132748593</v>
      </c>
      <c r="V670" t="s">
        <v>5800</v>
      </c>
      <c r="Y670" s="29" t="str">
        <f>IFERROR(HLOOKUP(U670,List!$D$2:$H$6,2,FALSE),"")</f>
        <v/>
      </c>
      <c r="Z670" s="29">
        <f>IFERROR(HLOOKUP(V670,List!$D$2:$H$6,3,FALSE),"")</f>
        <v>5.0000000000000001E-3</v>
      </c>
      <c r="AA670" s="29" t="str">
        <f>IFERROR(HLOOKUP(W670,List!$D$2:$H$6,4,FALSE),"")</f>
        <v/>
      </c>
      <c r="AB670" s="29" t="str">
        <f>IFERROR(HLOOKUP(X670,List!$D$2:$H$6,5,FALSE),"")</f>
        <v/>
      </c>
      <c r="AC670" s="12" t="str">
        <f t="shared" si="172"/>
        <v/>
      </c>
      <c r="AD670" s="12">
        <f t="shared" si="173"/>
        <v>0.38344890566374296</v>
      </c>
      <c r="AE670" s="12" t="str">
        <f t="shared" si="174"/>
        <v/>
      </c>
      <c r="AF670" s="12" t="str">
        <f t="shared" si="175"/>
        <v/>
      </c>
      <c r="AG670" t="str">
        <f>VLOOKUP(J670,'Receivable Invoice Detail'!$A$1:F3682,6,FALSE)</f>
        <v>[G-70782 81 5127] Casing Gasket, 6", 3196 STX, Durlon 8500</v>
      </c>
      <c r="AJ670">
        <v>2503</v>
      </c>
      <c r="AM670" s="12" t="str">
        <f t="shared" si="176"/>
        <v/>
      </c>
      <c r="AN670" s="12">
        <f t="shared" si="177"/>
        <v>0</v>
      </c>
      <c r="AO670" s="12" t="str">
        <f t="shared" si="178"/>
        <v/>
      </c>
      <c r="AP670" s="12" t="str">
        <f t="shared" si="179"/>
        <v/>
      </c>
      <c r="AQ670" s="64">
        <f>M670</f>
        <v>2503</v>
      </c>
      <c r="AR670" t="s">
        <v>5931</v>
      </c>
      <c r="AS670" s="12">
        <f t="shared" si="181"/>
        <v>1.3817307423517504</v>
      </c>
      <c r="AT670" s="16" t="str">
        <f t="shared" si="182"/>
        <v>Yes</v>
      </c>
    </row>
    <row r="671" spans="1:46" hidden="1" x14ac:dyDescent="0.25">
      <c r="A671" s="41">
        <f>CASOPOInvCL!T671</f>
        <v>1</v>
      </c>
      <c r="B671" t="str">
        <f>CASOPOInvCL!Z671</f>
        <v>SO17404</v>
      </c>
      <c r="D671" t="s">
        <v>5915</v>
      </c>
      <c r="G671" s="5" t="str">
        <f>CASOPOInvCL!I671</f>
        <v>Wilka Nuñez</v>
      </c>
      <c r="H671" s="31">
        <f>CASOPOInvCL!U671</f>
        <v>6</v>
      </c>
      <c r="I671" s="31">
        <f>CASOPOInvCL!V671</f>
        <v>2025</v>
      </c>
      <c r="J671" s="5" t="str">
        <f>CASOPOInvCL!AB671</f>
        <v>INV13268</v>
      </c>
      <c r="K671" s="31">
        <f>CASOPOInvCL!W671</f>
        <v>8</v>
      </c>
      <c r="L671" s="31">
        <f>CASOPOInvCL!X671</f>
        <v>2025</v>
      </c>
      <c r="M671">
        <v>2503</v>
      </c>
      <c r="N671" s="5" t="str">
        <f>CASOPOInvCL!AF671</f>
        <v>Industrial Pump Repair Canada</v>
      </c>
      <c r="O671" s="16" t="str">
        <f>CASOPOInvCL!AG671</f>
        <v>CAD</v>
      </c>
      <c r="P671" s="16">
        <f>CASOPOInvCL!AH671</f>
        <v>133</v>
      </c>
      <c r="Q671" s="16">
        <f>CASOPOInvCL!AI671</f>
        <v>97.108804205701688</v>
      </c>
      <c r="R671" s="32" t="str">
        <f>CASOPOInvCL!AU671</f>
        <v>Yes</v>
      </c>
      <c r="S671" s="16">
        <f>CASOPOInvCL!AV671</f>
        <v>0</v>
      </c>
      <c r="T671" s="16">
        <f>CASOPOInvCL!AW671</f>
        <v>97.108804205701688</v>
      </c>
      <c r="V671" t="s">
        <v>5800</v>
      </c>
      <c r="Y671" s="29" t="str">
        <f>IFERROR(HLOOKUP(U671,List!$D$2:$H$6,2,FALSE),"")</f>
        <v/>
      </c>
      <c r="Z671" s="29">
        <f>IFERROR(HLOOKUP(V671,List!$D$2:$H$6,3,FALSE),"")</f>
        <v>5.0000000000000001E-3</v>
      </c>
      <c r="AA671" s="29" t="str">
        <f>IFERROR(HLOOKUP(W671,List!$D$2:$H$6,4,FALSE),"")</f>
        <v/>
      </c>
      <c r="AB671" s="29" t="str">
        <f>IFERROR(HLOOKUP(X671,List!$D$2:$H$6,5,FALSE),"")</f>
        <v/>
      </c>
      <c r="AC671" s="12" t="str">
        <f t="shared" si="172"/>
        <v/>
      </c>
      <c r="AD671" s="12">
        <f t="shared" si="173"/>
        <v>0.48554402102850847</v>
      </c>
      <c r="AE671" s="12" t="str">
        <f t="shared" si="174"/>
        <v/>
      </c>
      <c r="AF671" s="12" t="str">
        <f t="shared" si="175"/>
        <v/>
      </c>
      <c r="AG671" t="str">
        <f>VLOOKUP(J671,'Receivable Invoice Detail'!$A$1:F3683,6,FALSE)</f>
        <v>[WO-4670386] Impeller Washer, Worthington D-1011, Frame 3, Steel.</v>
      </c>
      <c r="AJ671">
        <v>2503</v>
      </c>
      <c r="AM671" s="12" t="str">
        <f t="shared" si="176"/>
        <v/>
      </c>
      <c r="AN671" s="12">
        <f t="shared" si="177"/>
        <v>0</v>
      </c>
      <c r="AO671" s="12" t="str">
        <f t="shared" si="178"/>
        <v/>
      </c>
      <c r="AP671" s="12" t="str">
        <f t="shared" si="179"/>
        <v/>
      </c>
      <c r="AQ671" s="64">
        <f>M671</f>
        <v>2503</v>
      </c>
      <c r="AR671" t="s">
        <v>5931</v>
      </c>
      <c r="AS671" s="12">
        <f t="shared" si="181"/>
        <v>0</v>
      </c>
      <c r="AT671" s="16" t="str">
        <f t="shared" si="182"/>
        <v>Yes</v>
      </c>
    </row>
    <row r="672" spans="1:46" hidden="1" x14ac:dyDescent="0.25">
      <c r="A672" s="41">
        <f>CASOPOInvCL!T672</f>
        <v>1</v>
      </c>
      <c r="B672" t="str">
        <f>CASOPOInvCL!Z672</f>
        <v>SO17407</v>
      </c>
      <c r="D672" t="s">
        <v>5915</v>
      </c>
      <c r="G672" s="5" t="str">
        <f>CASOPOInvCL!I672</f>
        <v>Wilka Nuñez</v>
      </c>
      <c r="H672" s="31">
        <f>CASOPOInvCL!U672</f>
        <v>6</v>
      </c>
      <c r="I672" s="31">
        <f>CASOPOInvCL!V672</f>
        <v>2025</v>
      </c>
      <c r="J672" s="5" t="str">
        <f>CASOPOInvCL!AB672</f>
        <v>INV13143</v>
      </c>
      <c r="K672" s="31">
        <f>CASOPOInvCL!W672</f>
        <v>8</v>
      </c>
      <c r="L672" s="31">
        <f>CASOPOInvCL!X672</f>
        <v>2025</v>
      </c>
      <c r="M672">
        <v>2503</v>
      </c>
      <c r="N672" s="5" t="str">
        <f>CASOPOInvCL!AF672</f>
        <v>Motion Industries Inc. (Canada) - Winnipeg</v>
      </c>
      <c r="O672" s="16" t="str">
        <f>CASOPOInvCL!AG672</f>
        <v>CAD</v>
      </c>
      <c r="P672" s="16">
        <f>CASOPOInvCL!AH672</f>
        <v>264.91000000000003</v>
      </c>
      <c r="Q672" s="16">
        <f>CASOPOInvCL!AI672</f>
        <v>193.92694972173189</v>
      </c>
      <c r="R672" s="32" t="str">
        <f>CASOPOInvCL!AU672</f>
        <v>Yes</v>
      </c>
      <c r="S672" s="16">
        <f>CASOPOInvCL!AV672</f>
        <v>0</v>
      </c>
      <c r="T672" s="16">
        <f>CASOPOInvCL!AW672</f>
        <v>193.92694972173189</v>
      </c>
      <c r="V672" t="s">
        <v>5800</v>
      </c>
      <c r="Y672" s="29" t="str">
        <f>IFERROR(HLOOKUP(U672,List!$D$2:$H$6,2,FALSE),"")</f>
        <v/>
      </c>
      <c r="Z672" s="29">
        <f>IFERROR(HLOOKUP(V672,List!$D$2:$H$6,3,FALSE),"")</f>
        <v>5.0000000000000001E-3</v>
      </c>
      <c r="AA672" s="29" t="str">
        <f>IFERROR(HLOOKUP(W672,List!$D$2:$H$6,4,FALSE),"")</f>
        <v/>
      </c>
      <c r="AB672" s="29" t="str">
        <f>IFERROR(HLOOKUP(X672,List!$D$2:$H$6,5,FALSE),"")</f>
        <v/>
      </c>
      <c r="AC672" s="12" t="str">
        <f t="shared" si="172"/>
        <v/>
      </c>
      <c r="AD672" s="12">
        <f t="shared" si="173"/>
        <v>0.9696347486086595</v>
      </c>
      <c r="AE672" s="12" t="str">
        <f t="shared" si="174"/>
        <v/>
      </c>
      <c r="AF672" s="12" t="str">
        <f t="shared" si="175"/>
        <v/>
      </c>
      <c r="AG672" t="str">
        <f>VLOOKUP(J672,'Receivable Invoice Detail'!$A$1:F3684,6,FALSE)</f>
        <v>[OLPWZ011009B, G-A04951A222] Bearing Isolator (Inboard), 3196 XLT/XLTi, 303SS Rotor / Bronze Stator w/Viton</v>
      </c>
      <c r="AJ672">
        <v>2503</v>
      </c>
      <c r="AM672" s="12" t="str">
        <f t="shared" si="176"/>
        <v/>
      </c>
      <c r="AN672" s="12">
        <f t="shared" si="177"/>
        <v>0</v>
      </c>
      <c r="AO672" s="12" t="str">
        <f t="shared" si="178"/>
        <v/>
      </c>
      <c r="AP672" s="12" t="str">
        <f t="shared" si="179"/>
        <v/>
      </c>
      <c r="AQ672" s="64">
        <f>M672</f>
        <v>2503</v>
      </c>
      <c r="AR672" t="s">
        <v>5931</v>
      </c>
      <c r="AS672" s="12">
        <f t="shared" si="181"/>
        <v>1.1503467169912289</v>
      </c>
      <c r="AT672" s="16" t="str">
        <f t="shared" si="182"/>
        <v>Yes</v>
      </c>
    </row>
    <row r="673" spans="1:46" hidden="1" x14ac:dyDescent="0.25">
      <c r="A673" s="41">
        <f>CASOPOInvCL!T673</f>
        <v>1</v>
      </c>
      <c r="B673" t="str">
        <f>CASOPOInvCL!Z673</f>
        <v>SO17408</v>
      </c>
      <c r="D673" t="s">
        <v>5851</v>
      </c>
      <c r="G673" s="5" t="str">
        <f>CASOPOInvCL!I673</f>
        <v>Ian Trottier</v>
      </c>
      <c r="H673" s="31">
        <f>CASOPOInvCL!U673</f>
        <v>6</v>
      </c>
      <c r="I673" s="31">
        <f>CASOPOInvCL!V673</f>
        <v>2025</v>
      </c>
      <c r="J673" s="5" t="str">
        <f>CASOPOInvCL!AB673</f>
        <v>INV13140</v>
      </c>
      <c r="K673" s="31">
        <f>CASOPOInvCL!W673</f>
        <v>8</v>
      </c>
      <c r="L673" s="31">
        <f>CASOPOInvCL!X673</f>
        <v>2025</v>
      </c>
      <c r="M673">
        <v>2503</v>
      </c>
      <c r="N673" s="5" t="str">
        <f>CASOPOInvCL!AF673</f>
        <v>Motion Industries Inc. (Canada) - Prince George</v>
      </c>
      <c r="O673" s="16" t="str">
        <f>CASOPOInvCL!AG673</f>
        <v>CAD</v>
      </c>
      <c r="P673" s="16">
        <f>CASOPOInvCL!AH673</f>
        <v>198.18</v>
      </c>
      <c r="Q673" s="16">
        <f>CASOPOInvCL!AI673</f>
        <v>145.38834847959211</v>
      </c>
      <c r="R673" s="32" t="str">
        <f>CASOPOInvCL!AU673</f>
        <v>Yes</v>
      </c>
      <c r="S673" s="16">
        <f>CASOPOInvCL!AV673</f>
        <v>0</v>
      </c>
      <c r="T673" s="16">
        <f>CASOPOInvCL!AW673</f>
        <v>145.38834847959211</v>
      </c>
      <c r="V673" t="s">
        <v>5800</v>
      </c>
      <c r="Y673" s="29" t="str">
        <f>IFERROR(HLOOKUP(U673,List!$D$2:$H$6,2,FALSE),"")</f>
        <v/>
      </c>
      <c r="Z673" s="29">
        <f>IFERROR(HLOOKUP(V673,List!$D$2:$H$6,3,FALSE),"")</f>
        <v>5.0000000000000001E-3</v>
      </c>
      <c r="AA673" s="29" t="str">
        <f>IFERROR(HLOOKUP(W673,List!$D$2:$H$6,4,FALSE),"")</f>
        <v/>
      </c>
      <c r="AB673" s="29" t="str">
        <f>IFERROR(HLOOKUP(X673,List!$D$2:$H$6,5,FALSE),"")</f>
        <v/>
      </c>
      <c r="AC673" s="12" t="str">
        <f t="shared" si="172"/>
        <v/>
      </c>
      <c r="AD673" s="12">
        <f t="shared" si="173"/>
        <v>0.72694174239796061</v>
      </c>
      <c r="AE673" s="12" t="str">
        <f t="shared" si="174"/>
        <v/>
      </c>
      <c r="AF673" s="12" t="str">
        <f t="shared" si="175"/>
        <v/>
      </c>
      <c r="AG673" t="str">
        <f>VLOOKUP(J673,'Receivable Invoice Detail'!$A$1:F3685,6,FALSE)</f>
        <v>[W-D111] Premium Slurry Packing (Single Piece), 4/3 or 6/4 DH, Kevlar Fiber w/Silicon Core</v>
      </c>
      <c r="AJ673">
        <v>2503</v>
      </c>
      <c r="AM673" s="12" t="str">
        <f t="shared" si="176"/>
        <v/>
      </c>
      <c r="AN673" s="12">
        <f t="shared" si="177"/>
        <v>0</v>
      </c>
      <c r="AO673" s="12" t="str">
        <f t="shared" si="178"/>
        <v/>
      </c>
      <c r="AP673" s="12" t="str">
        <f t="shared" si="179"/>
        <v/>
      </c>
      <c r="AQ673" s="64">
        <f>M673</f>
        <v>2503</v>
      </c>
      <c r="AR673" t="s">
        <v>5931</v>
      </c>
      <c r="AS673" s="12">
        <f t="shared" si="181"/>
        <v>1.4566320630855252</v>
      </c>
      <c r="AT673" s="16" t="str">
        <f t="shared" si="182"/>
        <v>Yes</v>
      </c>
    </row>
    <row r="674" spans="1:46" hidden="1" x14ac:dyDescent="0.25">
      <c r="A674" s="41">
        <f>CASOPOInvCL!T674</f>
        <v>2</v>
      </c>
      <c r="B674" t="str">
        <f>CASOPOInvCL!Z674</f>
        <v>SO17410</v>
      </c>
      <c r="G674" s="5" t="str">
        <f>CASOPOInvCL!I674</f>
        <v>Ian Trottier</v>
      </c>
      <c r="H674" s="31">
        <f>CASOPOInvCL!U674</f>
        <v>6</v>
      </c>
      <c r="I674" s="31">
        <f>CASOPOInvCL!V674</f>
        <v>2025</v>
      </c>
      <c r="J674" s="5" t="str">
        <f>CASOPOInvCL!AB674</f>
        <v>INV13153</v>
      </c>
      <c r="K674" s="31">
        <f>CASOPOInvCL!W674</f>
        <v>7</v>
      </c>
      <c r="L674" s="31">
        <f>CASOPOInvCL!X674</f>
        <v>2025</v>
      </c>
      <c r="M674" s="31"/>
      <c r="N674" s="5" t="str">
        <f>CASOPOInvCL!AF674</f>
        <v>Canadian Bearings Ltd.</v>
      </c>
      <c r="O674" s="16" t="str">
        <f>CASOPOInvCL!AG674</f>
        <v>CAD</v>
      </c>
      <c r="P674" s="16">
        <f>CASOPOInvCL!AH674</f>
        <v>4196.78</v>
      </c>
      <c r="Q674" s="16">
        <f>CASOPOInvCL!AI674</f>
        <v>3075.2708768597663</v>
      </c>
      <c r="R674" s="32" t="str">
        <f>CASOPOInvCL!AU674</f>
        <v>Yes</v>
      </c>
      <c r="S674" s="16">
        <f>CASOPOInvCL!AV674</f>
        <v>0</v>
      </c>
      <c r="T674" s="16">
        <f>CASOPOInvCL!AW674</f>
        <v>3075.2708768597663</v>
      </c>
      <c r="Y674" s="29" t="str">
        <f>IFERROR(HLOOKUP(U674,List!$D$2:$H$6,2,FALSE),"")</f>
        <v/>
      </c>
      <c r="Z674" s="29" t="str">
        <f>IFERROR(HLOOKUP(V674,List!$D$2:$H$6,3,FALSE),"")</f>
        <v/>
      </c>
      <c r="AA674" s="29" t="str">
        <f>IFERROR(HLOOKUP(W674,List!$D$2:$H$6,4,FALSE),"")</f>
        <v/>
      </c>
      <c r="AB674" s="29" t="str">
        <f>IFERROR(HLOOKUP(X674,List!$D$2:$H$6,5,FALSE),"")</f>
        <v/>
      </c>
      <c r="AC674" s="12" t="str">
        <f t="shared" si="172"/>
        <v/>
      </c>
      <c r="AD674" s="12" t="str">
        <f t="shared" si="173"/>
        <v/>
      </c>
      <c r="AE674" s="12" t="str">
        <f t="shared" si="174"/>
        <v/>
      </c>
      <c r="AF674" s="12" t="str">
        <f t="shared" si="175"/>
        <v/>
      </c>
      <c r="AG674" t="str">
        <f>VLOOKUP(J674,'Receivable Invoice Detail'!$A$1:F3686,6,FALSE)</f>
        <v>[AC-98-233-017-003] Shaft Sleeve, PWO Frame 3&amp;4, 316SS</v>
      </c>
      <c r="AM674" s="12" t="str">
        <f t="shared" si="176"/>
        <v/>
      </c>
      <c r="AN674" s="12" t="str">
        <f t="shared" si="177"/>
        <v/>
      </c>
      <c r="AO674" s="12" t="str">
        <f t="shared" si="178"/>
        <v/>
      </c>
      <c r="AP674" s="12" t="str">
        <f t="shared" si="179"/>
        <v/>
      </c>
      <c r="AQ674" s="12"/>
      <c r="AS674" s="12">
        <f t="shared" si="181"/>
        <v>2.9089042458259784</v>
      </c>
      <c r="AT674" s="16" t="str">
        <f t="shared" si="182"/>
        <v>Yes</v>
      </c>
    </row>
    <row r="675" spans="1:46" hidden="1" x14ac:dyDescent="0.25">
      <c r="A675" s="41">
        <f>CASOPOInvCL!T675</f>
        <v>2</v>
      </c>
      <c r="B675" t="str">
        <f>CASOPOInvCL!Z675</f>
        <v>SO17410</v>
      </c>
      <c r="G675" s="5">
        <f>CASOPOInvCL!I675</f>
        <v>0</v>
      </c>
      <c r="H675" s="31">
        <f>CASOPOInvCL!U675</f>
        <v>6</v>
      </c>
      <c r="I675" s="31">
        <f>CASOPOInvCL!V675</f>
        <v>2025</v>
      </c>
      <c r="J675" s="5" t="str">
        <f>CASOPOInvCL!AB675</f>
        <v>INV13259</v>
      </c>
      <c r="K675" s="31">
        <f>CASOPOInvCL!W675</f>
        <v>10</v>
      </c>
      <c r="L675" s="31">
        <f>CASOPOInvCL!X675</f>
        <v>2025</v>
      </c>
      <c r="M675" s="31"/>
      <c r="N675" s="5" t="str">
        <f>CASOPOInvCL!AF675</f>
        <v>Canadian Bearings Ltd.</v>
      </c>
      <c r="O675" s="16" t="str">
        <f>CASOPOInvCL!AG675</f>
        <v>CAD</v>
      </c>
      <c r="P675" s="16">
        <f>CASOPOInvCL!AH675</f>
        <v>0</v>
      </c>
      <c r="Q675" s="16">
        <f>CASOPOInvCL!AI675</f>
        <v>0</v>
      </c>
      <c r="R675" s="32" t="str">
        <f>CASOPOInvCL!AU675</f>
        <v/>
      </c>
      <c r="S675" s="16">
        <f>CASOPOInvCL!AV675</f>
        <v>0</v>
      </c>
      <c r="T675" s="16">
        <f>CASOPOInvCL!AW675</f>
        <v>0</v>
      </c>
      <c r="Y675" s="29" t="str">
        <f>IFERROR(HLOOKUP(U675,List!$D$2:$H$6,2,FALSE),"")</f>
        <v/>
      </c>
      <c r="Z675" s="29" t="str">
        <f>IFERROR(HLOOKUP(V675,List!$D$2:$H$6,3,FALSE),"")</f>
        <v/>
      </c>
      <c r="AA675" s="29" t="str">
        <f>IFERROR(HLOOKUP(W675,List!$D$2:$H$6,4,FALSE),"")</f>
        <v/>
      </c>
      <c r="AB675" s="29" t="str">
        <f>IFERROR(HLOOKUP(X675,List!$D$2:$H$6,5,FALSE),"")</f>
        <v/>
      </c>
      <c r="AC675" s="12" t="str">
        <f t="shared" si="172"/>
        <v/>
      </c>
      <c r="AD675" s="12" t="str">
        <f t="shared" si="173"/>
        <v/>
      </c>
      <c r="AE675" s="12" t="str">
        <f t="shared" si="174"/>
        <v/>
      </c>
      <c r="AF675" s="12" t="str">
        <f t="shared" si="175"/>
        <v/>
      </c>
      <c r="AG675" t="str">
        <f>VLOOKUP(J675,'Receivable Invoice Detail'!$A$1:F3687,6,FALSE)</f>
        <v>[AC-98-236-348-501] Packing Gland (2 Half/Set), Allis Chalmers PWO, Group 3 &amp; 4, 316SS</v>
      </c>
      <c r="AM675" s="12" t="str">
        <f t="shared" si="176"/>
        <v/>
      </c>
      <c r="AN675" s="12" t="str">
        <f t="shared" si="177"/>
        <v/>
      </c>
      <c r="AO675" s="12" t="str">
        <f t="shared" si="178"/>
        <v/>
      </c>
      <c r="AP675" s="12" t="str">
        <f t="shared" si="179"/>
        <v/>
      </c>
      <c r="AQ675" s="12"/>
      <c r="AS675" s="12">
        <f t="shared" si="181"/>
        <v>2.1808252271938815</v>
      </c>
      <c r="AT675" s="16" t="str">
        <f t="shared" si="182"/>
        <v/>
      </c>
    </row>
    <row r="676" spans="1:46" hidden="1" x14ac:dyDescent="0.25">
      <c r="A676" s="41">
        <f>CASOPOInvCL!T676</f>
        <v>1</v>
      </c>
      <c r="B676" t="str">
        <f>CASOPOInvCL!Z676</f>
        <v>SO17413</v>
      </c>
      <c r="D676" t="s">
        <v>5851</v>
      </c>
      <c r="G676" s="5" t="str">
        <f>CASOPOInvCL!I676</f>
        <v>Alexis Gil Lamadrid</v>
      </c>
      <c r="H676" s="31">
        <f>CASOPOInvCL!U676</f>
        <v>6</v>
      </c>
      <c r="I676" s="31">
        <f>CASOPOInvCL!V676</f>
        <v>2025</v>
      </c>
      <c r="J676" s="5" t="str">
        <f>CASOPOInvCL!AB676</f>
        <v>INV13154</v>
      </c>
      <c r="K676" s="31">
        <f>CASOPOInvCL!W676</f>
        <v>7</v>
      </c>
      <c r="L676" s="31">
        <f>CASOPOInvCL!X676</f>
        <v>2025</v>
      </c>
      <c r="M676">
        <v>2503</v>
      </c>
      <c r="N676" s="5" t="str">
        <f>CASOPOInvCL!AF676</f>
        <v>Vallen Canada Inc. - IS Div</v>
      </c>
      <c r="O676" s="16" t="str">
        <f>CASOPOInvCL!AG676</f>
        <v>CAD</v>
      </c>
      <c r="P676" s="16">
        <f>CASOPOInvCL!AH676</f>
        <v>1749.28</v>
      </c>
      <c r="Q676" s="16">
        <f>CASOPOInvCL!AI676</f>
        <v>1277.4681275837183</v>
      </c>
      <c r="R676" s="32" t="str">
        <f>CASOPOInvCL!AU676</f>
        <v>Yes</v>
      </c>
      <c r="S676" s="16">
        <f>CASOPOInvCL!AV676</f>
        <v>0</v>
      </c>
      <c r="T676" s="16">
        <f>CASOPOInvCL!AW676</f>
        <v>1277.4681275837183</v>
      </c>
      <c r="V676" t="s">
        <v>5800</v>
      </c>
      <c r="Y676" s="29" t="str">
        <f>IFERROR(HLOOKUP(U676,List!$D$2:$H$6,2,FALSE),"")</f>
        <v/>
      </c>
      <c r="Z676" s="29">
        <f>IFERROR(HLOOKUP(V676,List!$D$2:$H$6,3,FALSE),"")</f>
        <v>5.0000000000000001E-3</v>
      </c>
      <c r="AA676" s="29" t="str">
        <f>IFERROR(HLOOKUP(W676,List!$D$2:$H$6,4,FALSE),"")</f>
        <v/>
      </c>
      <c r="AB676" s="29" t="str">
        <f>IFERROR(HLOOKUP(X676,List!$D$2:$H$6,5,FALSE),"")</f>
        <v/>
      </c>
      <c r="AC676" s="12" t="str">
        <f t="shared" si="172"/>
        <v/>
      </c>
      <c r="AD676" s="12">
        <f t="shared" si="173"/>
        <v>6.3873406379185917</v>
      </c>
      <c r="AE676" s="12" t="str">
        <f t="shared" si="174"/>
        <v/>
      </c>
      <c r="AF676" s="12" t="str">
        <f t="shared" si="175"/>
        <v/>
      </c>
      <c r="AG676" t="str">
        <f>VLOOKUP(J676,'Receivable Invoice Detail'!$A$1:F3688,6,FALSE)</f>
        <v>[W-SH076/C21] Shaft Sleeve (Long), 10/8 to 14/12 ST-AH, 420SS</v>
      </c>
      <c r="AJ676">
        <v>2503</v>
      </c>
      <c r="AM676" s="12" t="str">
        <f t="shared" si="176"/>
        <v/>
      </c>
      <c r="AN676" s="12">
        <f t="shared" si="177"/>
        <v>0</v>
      </c>
      <c r="AO676" s="12" t="str">
        <f t="shared" si="178"/>
        <v/>
      </c>
      <c r="AP676" s="12" t="str">
        <f t="shared" si="179"/>
        <v/>
      </c>
      <c r="AQ676" s="64">
        <f t="shared" ref="AQ676:AQ681" si="186">M676</f>
        <v>2503</v>
      </c>
      <c r="AR676" t="s">
        <v>5931</v>
      </c>
      <c r="AS676" s="12">
        <f t="shared" si="181"/>
        <v>46.129063152896492</v>
      </c>
      <c r="AT676" s="16" t="str">
        <f t="shared" si="182"/>
        <v>Yes</v>
      </c>
    </row>
    <row r="677" spans="1:46" hidden="1" x14ac:dyDescent="0.25">
      <c r="A677" s="41">
        <f>CASOPOInvCL!T677</f>
        <v>2</v>
      </c>
      <c r="B677" t="str">
        <f>CASOPOInvCL!Z677</f>
        <v>SO17421</v>
      </c>
      <c r="D677" t="s">
        <v>5851</v>
      </c>
      <c r="G677" s="5" t="str">
        <f>CASOPOInvCL!I677</f>
        <v>Ian Trottier</v>
      </c>
      <c r="H677" s="31">
        <f>CASOPOInvCL!U677</f>
        <v>7</v>
      </c>
      <c r="I677" s="31">
        <f>CASOPOInvCL!V677</f>
        <v>2025</v>
      </c>
      <c r="J677" s="5" t="str">
        <f>CASOPOInvCL!AB677</f>
        <v>INV13149</v>
      </c>
      <c r="K677" s="31">
        <f>CASOPOInvCL!W677</f>
        <v>8</v>
      </c>
      <c r="L677" s="31">
        <f>CASOPOInvCL!X677</f>
        <v>2025</v>
      </c>
      <c r="M677">
        <v>2504</v>
      </c>
      <c r="N677" s="5" t="str">
        <f>CASOPOInvCL!AF677</f>
        <v>Hyperflo</v>
      </c>
      <c r="O677" s="16" t="str">
        <f>CASOPOInvCL!AG677</f>
        <v>CAD</v>
      </c>
      <c r="P677" s="16">
        <f>CASOPOInvCL!AH677</f>
        <v>11084.43</v>
      </c>
      <c r="Q677" s="16">
        <f>CASOPOInvCL!AI677</f>
        <v>8114.3395844024626</v>
      </c>
      <c r="R677" s="32" t="str">
        <f>CASOPOInvCL!AU677</f>
        <v>Yes</v>
      </c>
      <c r="S677" s="16">
        <f>CASOPOInvCL!AV677</f>
        <v>0</v>
      </c>
      <c r="T677" s="16">
        <f>CASOPOInvCL!AW677</f>
        <v>8114.3395844024626</v>
      </c>
      <c r="V677" t="s">
        <v>5800</v>
      </c>
      <c r="Y677" s="29" t="str">
        <f>IFERROR(HLOOKUP(U677,List!$D$2:$H$6,2,FALSE),"")</f>
        <v/>
      </c>
      <c r="Z677" s="29">
        <f>IFERROR(HLOOKUP(V677,List!$D$2:$H$6,3,FALSE),"")</f>
        <v>5.0000000000000001E-3</v>
      </c>
      <c r="AA677" s="29" t="str">
        <f>IFERROR(HLOOKUP(W677,List!$D$2:$H$6,4,FALSE),"")</f>
        <v/>
      </c>
      <c r="AB677" s="29" t="str">
        <f>IFERROR(HLOOKUP(X677,List!$D$2:$H$6,5,FALSE),"")</f>
        <v/>
      </c>
      <c r="AC677" s="12" t="str">
        <f t="shared" si="172"/>
        <v/>
      </c>
      <c r="AD677" s="12">
        <f t="shared" si="173"/>
        <v>40.571697922012312</v>
      </c>
      <c r="AE677" s="12" t="str">
        <f t="shared" si="174"/>
        <v/>
      </c>
      <c r="AF677" s="12" t="str">
        <f t="shared" si="175"/>
        <v/>
      </c>
      <c r="AG677" t="str">
        <f>VLOOKUP(J677,'Receivable Invoice Detail'!$A$1:F3689,6,FALSE)</f>
        <v>[AC-98-231-134-507] Suction Side Liner, 10x8-21 SRL-C, Urethane</v>
      </c>
      <c r="AM677" s="12" t="str">
        <f t="shared" si="176"/>
        <v/>
      </c>
      <c r="AN677" s="12">
        <f t="shared" si="177"/>
        <v>40.571697922012312</v>
      </c>
      <c r="AO677" s="12" t="str">
        <f t="shared" si="178"/>
        <v/>
      </c>
      <c r="AP677" s="12" t="str">
        <f t="shared" si="179"/>
        <v/>
      </c>
      <c r="AQ677" s="64">
        <f t="shared" si="186"/>
        <v>2504</v>
      </c>
      <c r="AR677" t="s">
        <v>5931</v>
      </c>
      <c r="AS677" s="12">
        <f t="shared" si="181"/>
        <v>0</v>
      </c>
      <c r="AT677" s="16" t="str">
        <f t="shared" si="182"/>
        <v>Yes</v>
      </c>
    </row>
    <row r="678" spans="1:46" hidden="1" x14ac:dyDescent="0.25">
      <c r="A678" s="41">
        <f>CASOPOInvCL!T678</f>
        <v>2</v>
      </c>
      <c r="B678" t="str">
        <f>CASOPOInvCL!Z678</f>
        <v>SO17421</v>
      </c>
      <c r="D678" t="s">
        <v>5851</v>
      </c>
      <c r="G678" s="5">
        <f>CASOPOInvCL!I678</f>
        <v>0</v>
      </c>
      <c r="H678" s="31">
        <f>CASOPOInvCL!U678</f>
        <v>7</v>
      </c>
      <c r="I678" s="31">
        <f>CASOPOInvCL!V678</f>
        <v>2025</v>
      </c>
      <c r="J678" s="5" t="str">
        <f>CASOPOInvCL!AB678</f>
        <v>INV13502</v>
      </c>
      <c r="K678" s="31">
        <f>CASOPOInvCL!W678</f>
        <v>11</v>
      </c>
      <c r="L678" s="31">
        <f>CASOPOInvCL!X678</f>
        <v>2025</v>
      </c>
      <c r="M678">
        <v>2504</v>
      </c>
      <c r="N678" s="5" t="str">
        <f>CASOPOInvCL!AF678</f>
        <v>Hyperflo</v>
      </c>
      <c r="O678" s="16" t="str">
        <f>CASOPOInvCL!AG678</f>
        <v>CAD</v>
      </c>
      <c r="P678" s="16">
        <f>CASOPOInvCL!AH678</f>
        <v>0</v>
      </c>
      <c r="Q678" s="16">
        <f>CASOPOInvCL!AI678</f>
        <v>0</v>
      </c>
      <c r="R678" s="32" t="str">
        <f>CASOPOInvCL!AU678</f>
        <v/>
      </c>
      <c r="S678" s="16">
        <f>CASOPOInvCL!AV678</f>
        <v>0</v>
      </c>
      <c r="T678" s="16">
        <f>CASOPOInvCL!AW678</f>
        <v>0</v>
      </c>
      <c r="V678" t="s">
        <v>5800</v>
      </c>
      <c r="Y678" s="29" t="str">
        <f>IFERROR(HLOOKUP(U678,List!$D$2:$H$6,2,FALSE),"")</f>
        <v/>
      </c>
      <c r="Z678" s="29">
        <f>IFERROR(HLOOKUP(V678,List!$D$2:$H$6,3,FALSE),"")</f>
        <v>5.0000000000000001E-3</v>
      </c>
      <c r="AA678" s="29" t="str">
        <f>IFERROR(HLOOKUP(W678,List!$D$2:$H$6,4,FALSE),"")</f>
        <v/>
      </c>
      <c r="AB678" s="29" t="str">
        <f>IFERROR(HLOOKUP(X678,List!$D$2:$H$6,5,FALSE),"")</f>
        <v/>
      </c>
      <c r="AC678" s="12" t="str">
        <f t="shared" si="172"/>
        <v/>
      </c>
      <c r="AD678" s="12">
        <f t="shared" si="173"/>
        <v>0</v>
      </c>
      <c r="AE678" s="12" t="str">
        <f t="shared" si="174"/>
        <v/>
      </c>
      <c r="AF678" s="12" t="str">
        <f t="shared" si="175"/>
        <v/>
      </c>
      <c r="AG678" t="str">
        <f>VLOOKUP(J678,'Receivable Invoice Detail'!$A$1:F3690,6,FALSE)</f>
        <v>[AC-98-231-134-507] Suction Side Liner, 10x8-21 SRL-C, Urethane</v>
      </c>
      <c r="AM678" s="12" t="str">
        <f t="shared" si="176"/>
        <v/>
      </c>
      <c r="AN678" s="12">
        <f t="shared" si="177"/>
        <v>0</v>
      </c>
      <c r="AO678" s="12" t="str">
        <f t="shared" si="178"/>
        <v/>
      </c>
      <c r="AP678" s="12" t="str">
        <f t="shared" si="179"/>
        <v/>
      </c>
      <c r="AQ678" s="64">
        <f t="shared" si="186"/>
        <v>2504</v>
      </c>
      <c r="AR678" t="s">
        <v>5931</v>
      </c>
      <c r="AS678" s="12">
        <f t="shared" si="181"/>
        <v>19.162021913755776</v>
      </c>
      <c r="AT678" s="16" t="str">
        <f t="shared" si="182"/>
        <v/>
      </c>
    </row>
    <row r="679" spans="1:46" hidden="1" x14ac:dyDescent="0.25">
      <c r="A679" s="41">
        <f>CASOPOInvCL!T679</f>
        <v>1</v>
      </c>
      <c r="B679" t="str">
        <f>CASOPOInvCL!Z679</f>
        <v>SO17422</v>
      </c>
      <c r="D679" t="s">
        <v>5851</v>
      </c>
      <c r="G679" s="5" t="str">
        <f>CASOPOInvCL!I679</f>
        <v>Alexis Gil Lamadrid</v>
      </c>
      <c r="H679" s="31">
        <f>CASOPOInvCL!U679</f>
        <v>7</v>
      </c>
      <c r="I679" s="31">
        <f>CASOPOInvCL!V679</f>
        <v>2025</v>
      </c>
      <c r="J679" s="5" t="str">
        <f>CASOPOInvCL!AB679</f>
        <v>INV13455</v>
      </c>
      <c r="K679" s="31">
        <f>CASOPOInvCL!W679</f>
        <v>11</v>
      </c>
      <c r="L679" s="31">
        <f>CASOPOInvCL!X679</f>
        <v>2025</v>
      </c>
      <c r="M679">
        <v>2504</v>
      </c>
      <c r="N679" s="5" t="str">
        <f>CASOPOInvCL!AF679</f>
        <v>Tech-Flow</v>
      </c>
      <c r="O679" s="16" t="str">
        <f>CASOPOInvCL!AG679</f>
        <v>USD</v>
      </c>
      <c r="P679" s="16">
        <f>CASOPOInvCL!AH679</f>
        <v>4840.9709671762084</v>
      </c>
      <c r="Q679" s="16">
        <f>CASOPOInvCL!AI679</f>
        <v>3556.88</v>
      </c>
      <c r="R679" s="32" t="str">
        <f>CASOPOInvCL!AU679</f>
        <v>Yes</v>
      </c>
      <c r="S679" s="16">
        <f>CASOPOInvCL!AV679</f>
        <v>0</v>
      </c>
      <c r="T679" s="16">
        <f>CASOPOInvCL!AW679</f>
        <v>3556.88</v>
      </c>
      <c r="V679" t="s">
        <v>5800</v>
      </c>
      <c r="Y679" s="29" t="str">
        <f>IFERROR(HLOOKUP(U679,List!$D$2:$H$6,2,FALSE),"")</f>
        <v/>
      </c>
      <c r="Z679" s="29">
        <f>IFERROR(HLOOKUP(V679,List!$D$2:$H$6,3,FALSE),"")</f>
        <v>5.0000000000000001E-3</v>
      </c>
      <c r="AA679" s="29" t="str">
        <f>IFERROR(HLOOKUP(W679,List!$D$2:$H$6,4,FALSE),"")</f>
        <v/>
      </c>
      <c r="AB679" s="29" t="str">
        <f>IFERROR(HLOOKUP(X679,List!$D$2:$H$6,5,FALSE),"")</f>
        <v/>
      </c>
      <c r="AC679" s="12" t="str">
        <f t="shared" si="172"/>
        <v/>
      </c>
      <c r="AD679" s="12">
        <f t="shared" si="173"/>
        <v>17.784400000000002</v>
      </c>
      <c r="AE679" s="12" t="str">
        <f t="shared" si="174"/>
        <v/>
      </c>
      <c r="AF679" s="12" t="str">
        <f t="shared" si="175"/>
        <v/>
      </c>
      <c r="AG679" t="str">
        <f>VLOOKUP(J679,'Receivable Invoice Detail'!$A$1:F3691,6,FALSE)</f>
        <v>[SA-10237M1] Impeller, Sala Vasa G 253-3, Natural Rubber</v>
      </c>
      <c r="AM679" s="12" t="str">
        <f t="shared" si="176"/>
        <v/>
      </c>
      <c r="AN679" s="12">
        <f t="shared" si="177"/>
        <v>17.784400000000002</v>
      </c>
      <c r="AO679" s="12" t="str">
        <f t="shared" si="178"/>
        <v/>
      </c>
      <c r="AP679" s="12" t="str">
        <f t="shared" si="179"/>
        <v/>
      </c>
      <c r="AQ679" s="64">
        <f t="shared" si="186"/>
        <v>2504</v>
      </c>
      <c r="AR679" t="s">
        <v>5931</v>
      </c>
      <c r="AS679" s="12">
        <f t="shared" si="181"/>
        <v>121.71509376603693</v>
      </c>
      <c r="AT679" s="16" t="str">
        <f t="shared" si="182"/>
        <v>Yes</v>
      </c>
    </row>
    <row r="680" spans="1:46" hidden="1" x14ac:dyDescent="0.25">
      <c r="A680" s="41">
        <f>CASOPOInvCL!T680</f>
        <v>1</v>
      </c>
      <c r="B680" t="str">
        <f>CASOPOInvCL!Z680</f>
        <v>SO17423</v>
      </c>
      <c r="D680" t="s">
        <v>5851</v>
      </c>
      <c r="G680" s="5" t="str">
        <f>CASOPOInvCL!I680</f>
        <v>Ian Trottier</v>
      </c>
      <c r="H680" s="31">
        <f>CASOPOInvCL!U680</f>
        <v>7</v>
      </c>
      <c r="I680" s="31">
        <f>CASOPOInvCL!V680</f>
        <v>2025</v>
      </c>
      <c r="J680" s="5" t="str">
        <f>CASOPOInvCL!AB680</f>
        <v>INV13456</v>
      </c>
      <c r="K680" s="31">
        <f>CASOPOInvCL!W680</f>
        <v>11</v>
      </c>
      <c r="L680" s="31">
        <f>CASOPOInvCL!X680</f>
        <v>2025</v>
      </c>
      <c r="M680">
        <v>2504</v>
      </c>
      <c r="N680" s="5" t="str">
        <f>CASOPOInvCL!AF680</f>
        <v>Tech-Flow</v>
      </c>
      <c r="O680" s="16" t="str">
        <f>CASOPOInvCL!AG680</f>
        <v>USD</v>
      </c>
      <c r="P680" s="16">
        <f>CASOPOInvCL!AH680</f>
        <v>5852.0646181648326</v>
      </c>
      <c r="Q680" s="16">
        <f>CASOPOInvCL!AI680</f>
        <v>4276.6099999999997</v>
      </c>
      <c r="R680" s="32" t="str">
        <f>CASOPOInvCL!AU680</f>
        <v>Yes</v>
      </c>
      <c r="S680" s="16">
        <f>CASOPOInvCL!AV680</f>
        <v>0</v>
      </c>
      <c r="T680" s="16">
        <f>CASOPOInvCL!AW680</f>
        <v>4276.6099999999997</v>
      </c>
      <c r="V680" t="s">
        <v>5800</v>
      </c>
      <c r="Y680" s="29" t="str">
        <f>IFERROR(HLOOKUP(U680,List!$D$2:$H$6,2,FALSE),"")</f>
        <v/>
      </c>
      <c r="Z680" s="29">
        <f>IFERROR(HLOOKUP(V680,List!$D$2:$H$6,3,FALSE),"")</f>
        <v>5.0000000000000001E-3</v>
      </c>
      <c r="AA680" s="29" t="str">
        <f>IFERROR(HLOOKUP(W680,List!$D$2:$H$6,4,FALSE),"")</f>
        <v/>
      </c>
      <c r="AB680" s="29" t="str">
        <f>IFERROR(HLOOKUP(X680,List!$D$2:$H$6,5,FALSE),"")</f>
        <v/>
      </c>
      <c r="AC680" s="12" t="str">
        <f t="shared" si="172"/>
        <v/>
      </c>
      <c r="AD680" s="12">
        <f t="shared" si="173"/>
        <v>21.383049999999997</v>
      </c>
      <c r="AE680" s="12" t="str">
        <f t="shared" si="174"/>
        <v/>
      </c>
      <c r="AF680" s="12" t="str">
        <f t="shared" si="175"/>
        <v/>
      </c>
      <c r="AG680" t="str">
        <f>VLOOKUP(J680,'Receivable Invoice Detail'!$A$1:F3692,6,FALSE)</f>
        <v>[SA-11177-M1] Casing, Type C, Natural Rubber Lined, VASA G 253-3</v>
      </c>
      <c r="AM680" s="12" t="str">
        <f t="shared" si="176"/>
        <v/>
      </c>
      <c r="AN680" s="12">
        <f t="shared" si="177"/>
        <v>21.383049999999997</v>
      </c>
      <c r="AO680" s="12" t="str">
        <f t="shared" si="178"/>
        <v/>
      </c>
      <c r="AP680" s="12" t="str">
        <f t="shared" si="179"/>
        <v/>
      </c>
      <c r="AQ680" s="64">
        <f t="shared" si="186"/>
        <v>2504</v>
      </c>
      <c r="AR680" t="s">
        <v>5931</v>
      </c>
      <c r="AS680" s="12">
        <f t="shared" si="181"/>
        <v>0</v>
      </c>
      <c r="AT680" s="16" t="str">
        <f t="shared" si="182"/>
        <v>Yes</v>
      </c>
    </row>
    <row r="681" spans="1:46" hidden="1" x14ac:dyDescent="0.25">
      <c r="A681" s="41">
        <f>CASOPOInvCL!T681</f>
        <v>2</v>
      </c>
      <c r="B681" t="str">
        <f>CASOPOInvCL!Z681</f>
        <v>SO17425</v>
      </c>
      <c r="E681" t="s">
        <v>5847</v>
      </c>
      <c r="G681" s="5" t="str">
        <f>CASOPOInvCL!I681</f>
        <v>Amanda Qiao</v>
      </c>
      <c r="H681" s="31">
        <f>CASOPOInvCL!U681</f>
        <v>7</v>
      </c>
      <c r="I681" s="31">
        <f>CASOPOInvCL!V681</f>
        <v>2025</v>
      </c>
      <c r="J681" s="5" t="str">
        <f>CASOPOInvCL!AB681</f>
        <v>INV13379</v>
      </c>
      <c r="K681" s="31">
        <f>CASOPOInvCL!W681</f>
        <v>11</v>
      </c>
      <c r="L681" s="31">
        <f>CASOPOInvCL!X681</f>
        <v>2025</v>
      </c>
      <c r="M681">
        <v>2504</v>
      </c>
      <c r="N681" s="5" t="str">
        <f>CASOPOInvCL!AF681</f>
        <v>Zijin Mining - Rosebel Goldmines N.V.</v>
      </c>
      <c r="O681" s="16" t="str">
        <f>CASOPOInvCL!AG681</f>
        <v>USD</v>
      </c>
      <c r="P681" s="16">
        <f>CASOPOInvCL!AH681</f>
        <v>35193.886801052977</v>
      </c>
      <c r="Q681" s="16">
        <f>CASOPOInvCL!AI681</f>
        <v>25840</v>
      </c>
      <c r="R681" s="32" t="str">
        <f>CASOPOInvCL!AU681</f>
        <v>Yes</v>
      </c>
      <c r="S681" s="16">
        <f>CASOPOInvCL!AV681</f>
        <v>0</v>
      </c>
      <c r="T681" s="16">
        <f>CASOPOInvCL!AW681</f>
        <v>25840</v>
      </c>
      <c r="W681" t="s">
        <v>5800</v>
      </c>
      <c r="Y681" s="29" t="str">
        <f>IFERROR(HLOOKUP(U681,List!$D$2:$H$6,2,FALSE),"")</f>
        <v/>
      </c>
      <c r="Z681" s="29" t="str">
        <f>IFERROR(HLOOKUP(V681,List!$D$2:$H$6,3,FALSE),"")</f>
        <v/>
      </c>
      <c r="AA681" s="29">
        <f>IFERROR(HLOOKUP(W681,List!$D$2:$H$6,4,FALSE),"")</f>
        <v>0.01</v>
      </c>
      <c r="AB681" s="29" t="str">
        <f>IFERROR(HLOOKUP(X681,List!$D$2:$H$6,5,FALSE),"")</f>
        <v/>
      </c>
      <c r="AC681" s="12" t="str">
        <f t="shared" si="172"/>
        <v/>
      </c>
      <c r="AD681" s="12" t="str">
        <f t="shared" si="173"/>
        <v/>
      </c>
      <c r="AE681" s="12">
        <f t="shared" si="174"/>
        <v>258.39999999999998</v>
      </c>
      <c r="AF681" s="12" t="str">
        <f t="shared" si="175"/>
        <v/>
      </c>
      <c r="AG681" t="str">
        <f>VLOOKUP(J681,'Receivable Invoice Detail'!$A$1:F3693,6,FALSE)</f>
        <v>[D-196 LF 1.5x3-13 LTX DI/316] Pump, 1.5x3-13, D-196 Low-Flow LTX, Ductile Iron w/316SS Impeller</v>
      </c>
      <c r="AM681" s="12" t="str">
        <f t="shared" si="176"/>
        <v/>
      </c>
      <c r="AN681" s="12" t="str">
        <f t="shared" si="177"/>
        <v/>
      </c>
      <c r="AO681" s="12">
        <f t="shared" si="178"/>
        <v>258.39999999999998</v>
      </c>
      <c r="AP681" s="12" t="str">
        <f t="shared" si="179"/>
        <v/>
      </c>
      <c r="AQ681" s="12">
        <f t="shared" si="186"/>
        <v>2504</v>
      </c>
      <c r="AS681" s="12">
        <f t="shared" si="181"/>
        <v>53.353200000000001</v>
      </c>
      <c r="AT681" s="16" t="str">
        <f t="shared" si="182"/>
        <v>Yes</v>
      </c>
    </row>
    <row r="682" spans="1:46" hidden="1" x14ac:dyDescent="0.25">
      <c r="A682" s="41">
        <f>CASOPOInvCL!T682</f>
        <v>2</v>
      </c>
      <c r="B682" t="str">
        <f>CASOPOInvCL!Z682</f>
        <v>SO17425</v>
      </c>
      <c r="G682" s="5">
        <f>CASOPOInvCL!I682</f>
        <v>0</v>
      </c>
      <c r="H682" s="31">
        <f>CASOPOInvCL!U682</f>
        <v>7</v>
      </c>
      <c r="I682" s="31">
        <f>CASOPOInvCL!V682</f>
        <v>2025</v>
      </c>
      <c r="J682" s="5" t="str">
        <f>CASOPOInvCL!AB682</f>
        <v>INV13193</v>
      </c>
      <c r="K682" s="31">
        <f>CASOPOInvCL!W682</f>
        <v>8</v>
      </c>
      <c r="L682" s="31">
        <f>CASOPOInvCL!X682</f>
        <v>2025</v>
      </c>
      <c r="M682" s="31"/>
      <c r="N682" s="5" t="str">
        <f>CASOPOInvCL!AF682</f>
        <v>Zijin Mining - Rosebel Goldmines N.V.</v>
      </c>
      <c r="O682" s="16" t="str">
        <f>CASOPOInvCL!AG682</f>
        <v>USD</v>
      </c>
      <c r="P682" s="16">
        <f>CASOPOInvCL!AH682</f>
        <v>0</v>
      </c>
      <c r="Q682" s="16">
        <f>CASOPOInvCL!AI682</f>
        <v>0</v>
      </c>
      <c r="R682" s="32" t="str">
        <f>CASOPOInvCL!AU682</f>
        <v/>
      </c>
      <c r="S682" s="16">
        <f>CASOPOInvCL!AV682</f>
        <v>1240</v>
      </c>
      <c r="T682" s="16">
        <f>CASOPOInvCL!AW682</f>
        <v>0</v>
      </c>
      <c r="Y682" s="29" t="str">
        <f>IFERROR(HLOOKUP(U682,List!$D$2:$H$6,2,FALSE),"")</f>
        <v/>
      </c>
      <c r="Z682" s="29" t="str">
        <f>IFERROR(HLOOKUP(V682,List!$D$2:$H$6,3,FALSE),"")</f>
        <v/>
      </c>
      <c r="AA682" s="29" t="str">
        <f>IFERROR(HLOOKUP(W682,List!$D$2:$H$6,4,FALSE),"")</f>
        <v/>
      </c>
      <c r="AB682" s="29" t="str">
        <f>IFERROR(HLOOKUP(X682,List!$D$2:$H$6,5,FALSE),"")</f>
        <v/>
      </c>
      <c r="AC682" s="12" t="str">
        <f t="shared" si="172"/>
        <v/>
      </c>
      <c r="AD682" s="12" t="str">
        <f t="shared" si="173"/>
        <v/>
      </c>
      <c r="AE682" s="12" t="str">
        <f t="shared" si="174"/>
        <v/>
      </c>
      <c r="AF682" s="12" t="str">
        <f t="shared" si="175"/>
        <v/>
      </c>
      <c r="AG682" t="str">
        <f>VLOOKUP(J682,'Receivable Invoice Detail'!$A$1:F3694,6,FALSE)</f>
        <v>[D-196 LF 1.5x3-13 LTX DI/316] Pump, 1.5x3-13, D-196 Low-Flow LTX, Ductile Iron w/316SS Impeller</v>
      </c>
      <c r="AM682" s="12" t="str">
        <f t="shared" si="176"/>
        <v/>
      </c>
      <c r="AN682" s="12" t="str">
        <f t="shared" si="177"/>
        <v/>
      </c>
      <c r="AO682" s="12" t="str">
        <f t="shared" si="178"/>
        <v/>
      </c>
      <c r="AP682" s="12" t="str">
        <f t="shared" si="179"/>
        <v/>
      </c>
      <c r="AQ682" s="12"/>
      <c r="AS682" s="12">
        <f t="shared" si="181"/>
        <v>64.149149999999992</v>
      </c>
      <c r="AT682" s="16" t="str">
        <f t="shared" si="182"/>
        <v/>
      </c>
    </row>
    <row r="683" spans="1:46" hidden="1" x14ac:dyDescent="0.25">
      <c r="A683" s="41">
        <f>CASOPOInvCL!T683</f>
        <v>2</v>
      </c>
      <c r="B683" t="str">
        <f>CASOPOInvCL!Z683</f>
        <v>SO17430</v>
      </c>
      <c r="D683" t="s">
        <v>5915</v>
      </c>
      <c r="G683" s="5" t="str">
        <f>CASOPOInvCL!I683</f>
        <v>Ian Trottier</v>
      </c>
      <c r="H683" s="31">
        <f>CASOPOInvCL!U683</f>
        <v>7</v>
      </c>
      <c r="I683" s="31">
        <f>CASOPOInvCL!V683</f>
        <v>2025</v>
      </c>
      <c r="J683" s="5" t="str">
        <f>CASOPOInvCL!AB683</f>
        <v>INV13523</v>
      </c>
      <c r="K683" s="31">
        <f>CASOPOInvCL!W683</f>
        <v>11</v>
      </c>
      <c r="L683" s="31">
        <f>CASOPOInvCL!X683</f>
        <v>2025</v>
      </c>
      <c r="M683">
        <v>2504</v>
      </c>
      <c r="N683" s="5" t="str">
        <f>CASOPOInvCL!AF683</f>
        <v>Sling-Choker Manufacturing - Timmins</v>
      </c>
      <c r="O683" s="16" t="str">
        <f>CASOPOInvCL!AG683</f>
        <v>CAD</v>
      </c>
      <c r="P683" s="16">
        <f>CASOPOInvCL!AH683</f>
        <v>3388.05</v>
      </c>
      <c r="Q683" s="16">
        <f>CASOPOInvCL!AI683</f>
        <v>2498.3303118685494</v>
      </c>
      <c r="R683" s="32" t="str">
        <f>CASOPOInvCL!AU683</f>
        <v>Yes</v>
      </c>
      <c r="S683" s="16">
        <f>CASOPOInvCL!AV683</f>
        <v>0</v>
      </c>
      <c r="T683" s="16">
        <f>CASOPOInvCL!AW683</f>
        <v>2498.3303118685494</v>
      </c>
      <c r="V683" t="s">
        <v>5800</v>
      </c>
      <c r="Y683" s="29" t="str">
        <f>IFERROR(HLOOKUP(U683,List!$D$2:$H$6,2,FALSE),"")</f>
        <v/>
      </c>
      <c r="Z683" s="29">
        <f>IFERROR(HLOOKUP(V683,List!$D$2:$H$6,3,FALSE),"")</f>
        <v>5.0000000000000001E-3</v>
      </c>
      <c r="AA683" s="29" t="str">
        <f>IFERROR(HLOOKUP(W683,List!$D$2:$H$6,4,FALSE),"")</f>
        <v/>
      </c>
      <c r="AB683" s="29" t="str">
        <f>IFERROR(HLOOKUP(X683,List!$D$2:$H$6,5,FALSE),"")</f>
        <v/>
      </c>
      <c r="AC683" s="12" t="str">
        <f t="shared" si="172"/>
        <v/>
      </c>
      <c r="AD683" s="12">
        <f t="shared" si="173"/>
        <v>12.491651559342747</v>
      </c>
      <c r="AE683" s="12" t="str">
        <f t="shared" si="174"/>
        <v/>
      </c>
      <c r="AF683" s="12" t="str">
        <f t="shared" si="175"/>
        <v/>
      </c>
      <c r="AG683" t="str">
        <f>VLOOKUP(J683,'Receivable Invoice Detail'!$A$1:F3695,6,FALSE)</f>
        <v>[AC-52-226-071-229] Impeller, 3x2.5-9, Allis Chalmers 2000 Series, Cast Iron</v>
      </c>
      <c r="AM683" s="12" t="str">
        <f t="shared" si="176"/>
        <v/>
      </c>
      <c r="AN683" s="12">
        <f t="shared" si="177"/>
        <v>12.491651559342747</v>
      </c>
      <c r="AO683" s="12" t="str">
        <f t="shared" si="178"/>
        <v/>
      </c>
      <c r="AP683" s="12" t="str">
        <f t="shared" si="179"/>
        <v/>
      </c>
      <c r="AQ683" s="64">
        <f>M683</f>
        <v>2504</v>
      </c>
      <c r="AR683" t="s">
        <v>5931</v>
      </c>
      <c r="AS683" s="12">
        <f t="shared" si="181"/>
        <v>387.59999999999997</v>
      </c>
      <c r="AT683" s="16" t="str">
        <f t="shared" si="182"/>
        <v>Yes</v>
      </c>
    </row>
    <row r="684" spans="1:46" hidden="1" x14ac:dyDescent="0.25">
      <c r="A684" s="41">
        <f>CASOPOInvCL!T684</f>
        <v>2</v>
      </c>
      <c r="B684" t="str">
        <f>CASOPOInvCL!Z684</f>
        <v>SO17430</v>
      </c>
      <c r="D684" t="s">
        <v>5915</v>
      </c>
      <c r="G684" s="5">
        <f>CASOPOInvCL!I684</f>
        <v>0</v>
      </c>
      <c r="H684" s="31">
        <f>CASOPOInvCL!U684</f>
        <v>7</v>
      </c>
      <c r="I684" s="31">
        <f>CASOPOInvCL!V684</f>
        <v>2025</v>
      </c>
      <c r="J684" s="5" t="str">
        <f>CASOPOInvCL!AB684</f>
        <v>INV13326</v>
      </c>
      <c r="K684" s="31">
        <f>CASOPOInvCL!W684</f>
        <v>9</v>
      </c>
      <c r="L684" s="31">
        <f>CASOPOInvCL!X684</f>
        <v>2025</v>
      </c>
      <c r="M684">
        <v>2504</v>
      </c>
      <c r="N684" s="5" t="str">
        <f>CASOPOInvCL!AF684</f>
        <v>Sling-Choker Manufacturing - Timmins</v>
      </c>
      <c r="O684" s="16" t="str">
        <f>CASOPOInvCL!AG684</f>
        <v>CAD</v>
      </c>
      <c r="P684" s="16">
        <f>CASOPOInvCL!AH684</f>
        <v>0</v>
      </c>
      <c r="Q684" s="16">
        <f>CASOPOInvCL!AI684</f>
        <v>0</v>
      </c>
      <c r="R684" s="32" t="str">
        <f>CASOPOInvCL!AU684</f>
        <v/>
      </c>
      <c r="S684" s="16">
        <f>CASOPOInvCL!AV684</f>
        <v>0</v>
      </c>
      <c r="T684" s="16">
        <f>CASOPOInvCL!AW684</f>
        <v>0</v>
      </c>
      <c r="V684" t="s">
        <v>5800</v>
      </c>
      <c r="Y684" s="29" t="str">
        <f>IFERROR(HLOOKUP(U684,List!$D$2:$H$6,2,FALSE),"")</f>
        <v/>
      </c>
      <c r="Z684" s="29">
        <f>IFERROR(HLOOKUP(V684,List!$D$2:$H$6,3,FALSE),"")</f>
        <v>5.0000000000000001E-3</v>
      </c>
      <c r="AA684" s="29" t="str">
        <f>IFERROR(HLOOKUP(W684,List!$D$2:$H$6,4,FALSE),"")</f>
        <v/>
      </c>
      <c r="AB684" s="29" t="str">
        <f>IFERROR(HLOOKUP(X684,List!$D$2:$H$6,5,FALSE),"")</f>
        <v/>
      </c>
      <c r="AC684" s="12" t="str">
        <f t="shared" si="172"/>
        <v/>
      </c>
      <c r="AD684" s="12">
        <f t="shared" si="173"/>
        <v>0</v>
      </c>
      <c r="AE684" s="12" t="str">
        <f t="shared" si="174"/>
        <v/>
      </c>
      <c r="AF684" s="12" t="str">
        <f t="shared" si="175"/>
        <v/>
      </c>
      <c r="AG684" t="str">
        <f>VLOOKUP(J684,'Receivable Invoice Detail'!$A$1:F3696,6,FALSE)</f>
        <v>[G-A01081A06] Premium Packing, 3196 MTX, 5 Pre-Cut Rings, Graphite</v>
      </c>
      <c r="AM684" s="12" t="str">
        <f t="shared" si="176"/>
        <v/>
      </c>
      <c r="AN684" s="12">
        <f t="shared" si="177"/>
        <v>0</v>
      </c>
      <c r="AO684" s="12" t="str">
        <f t="shared" si="178"/>
        <v/>
      </c>
      <c r="AP684" s="12" t="str">
        <f t="shared" si="179"/>
        <v/>
      </c>
      <c r="AQ684" s="64">
        <f>M684</f>
        <v>2504</v>
      </c>
      <c r="AR684" t="s">
        <v>5931</v>
      </c>
      <c r="AS684" s="12">
        <f t="shared" si="181"/>
        <v>0</v>
      </c>
      <c r="AT684" s="16" t="str">
        <f t="shared" si="182"/>
        <v/>
      </c>
    </row>
    <row r="685" spans="1:46" hidden="1" x14ac:dyDescent="0.25">
      <c r="A685" s="41">
        <f>CASOPOInvCL!T685</f>
        <v>2</v>
      </c>
      <c r="B685" t="str">
        <f>CASOPOInvCL!Z685</f>
        <v>SO17431</v>
      </c>
      <c r="D685" t="s">
        <v>5915</v>
      </c>
      <c r="G685" s="5" t="str">
        <f>CASOPOInvCL!I685</f>
        <v>Ian Trottier</v>
      </c>
      <c r="H685" s="31">
        <f>CASOPOInvCL!U685</f>
        <v>7</v>
      </c>
      <c r="I685" s="31">
        <f>CASOPOInvCL!V685</f>
        <v>2025</v>
      </c>
      <c r="J685" s="5" t="str">
        <f>CASOPOInvCL!AB685</f>
        <v>INV13496</v>
      </c>
      <c r="K685" s="31">
        <f>CASOPOInvCL!W685</f>
        <v>12</v>
      </c>
      <c r="L685" s="31">
        <f>CASOPOInvCL!X685</f>
        <v>2025</v>
      </c>
      <c r="M685">
        <v>2504</v>
      </c>
      <c r="N685" s="5" t="str">
        <f>CASOPOInvCL!AF685</f>
        <v>Lake Shore Gold Corp</v>
      </c>
      <c r="O685" s="16" t="str">
        <f>CASOPOInvCL!AG685</f>
        <v>CAD</v>
      </c>
      <c r="P685" s="16">
        <f>CASOPOInvCL!AH685</f>
        <v>429.43</v>
      </c>
      <c r="Q685" s="16">
        <f>CASOPOInvCL!AI685</f>
        <v>313.29403374402921</v>
      </c>
      <c r="R685" s="32" t="str">
        <f>CASOPOInvCL!AU685</f>
        <v>Yes</v>
      </c>
      <c r="S685" s="16">
        <f>CASOPOInvCL!AV685</f>
        <v>0</v>
      </c>
      <c r="T685" s="16">
        <f>CASOPOInvCL!AW685</f>
        <v>313.29403374402921</v>
      </c>
      <c r="V685" t="s">
        <v>5800</v>
      </c>
      <c r="Y685" s="29" t="str">
        <f>IFERROR(HLOOKUP(U685,List!$D$2:$H$6,2,FALSE),"")</f>
        <v/>
      </c>
      <c r="Z685" s="29">
        <f>IFERROR(HLOOKUP(V685,List!$D$2:$H$6,3,FALSE),"")</f>
        <v>5.0000000000000001E-3</v>
      </c>
      <c r="AA685" s="29" t="str">
        <f>IFERROR(HLOOKUP(W685,List!$D$2:$H$6,4,FALSE),"")</f>
        <v/>
      </c>
      <c r="AB685" s="29" t="str">
        <f>IFERROR(HLOOKUP(X685,List!$D$2:$H$6,5,FALSE),"")</f>
        <v/>
      </c>
      <c r="AC685" s="12" t="str">
        <f t="shared" si="172"/>
        <v/>
      </c>
      <c r="AD685" s="12">
        <f t="shared" si="173"/>
        <v>1.5664701687201461</v>
      </c>
      <c r="AE685" s="12" t="str">
        <f t="shared" si="174"/>
        <v/>
      </c>
      <c r="AF685" s="12" t="str">
        <f t="shared" si="175"/>
        <v/>
      </c>
      <c r="AG685" t="str">
        <f>VLOOKUP(J685,'Receivable Invoice Detail'!$A$1:F3697,6,FALSE)</f>
        <v>[AC-52-118-013-001] Shaft Sleeve, Allis Chalmers 2000 Series, 316SS</v>
      </c>
      <c r="AM685" s="12" t="str">
        <f t="shared" si="176"/>
        <v/>
      </c>
      <c r="AN685" s="12">
        <f t="shared" si="177"/>
        <v>1.5664701687201461</v>
      </c>
      <c r="AO685" s="12" t="str">
        <f t="shared" si="178"/>
        <v/>
      </c>
      <c r="AP685" s="12" t="str">
        <f t="shared" si="179"/>
        <v/>
      </c>
      <c r="AQ685" s="64">
        <f>M685</f>
        <v>2504</v>
      </c>
      <c r="AR685" t="s">
        <v>5931</v>
      </c>
      <c r="AS685" s="12">
        <f t="shared" si="181"/>
        <v>37.47495467802824</v>
      </c>
      <c r="AT685" s="16" t="str">
        <f t="shared" si="182"/>
        <v>Yes</v>
      </c>
    </row>
    <row r="686" spans="1:46" hidden="1" x14ac:dyDescent="0.25">
      <c r="A686" s="41">
        <f>CASOPOInvCL!T686</f>
        <v>2</v>
      </c>
      <c r="B686" t="str">
        <f>CASOPOInvCL!Z686</f>
        <v>SO17431</v>
      </c>
      <c r="D686" t="s">
        <v>5915</v>
      </c>
      <c r="G686" s="5">
        <f>CASOPOInvCL!I686</f>
        <v>0</v>
      </c>
      <c r="H686" s="31">
        <f>CASOPOInvCL!U686</f>
        <v>7</v>
      </c>
      <c r="I686" s="31">
        <f>CASOPOInvCL!V686</f>
        <v>2025</v>
      </c>
      <c r="J686" s="5" t="str">
        <f>CASOPOInvCL!AB686</f>
        <v>INV13156</v>
      </c>
      <c r="K686" s="31">
        <f>CASOPOInvCL!W686</f>
        <v>9</v>
      </c>
      <c r="L686" s="31">
        <f>CASOPOInvCL!X686</f>
        <v>2025</v>
      </c>
      <c r="M686">
        <v>2504</v>
      </c>
      <c r="N686" s="5" t="str">
        <f>CASOPOInvCL!AF686</f>
        <v>Lake Shore Gold Corp</v>
      </c>
      <c r="O686" s="16" t="str">
        <f>CASOPOInvCL!AG686</f>
        <v>CAD</v>
      </c>
      <c r="P686" s="16">
        <f>CASOPOInvCL!AH686</f>
        <v>0</v>
      </c>
      <c r="Q686" s="16">
        <f>CASOPOInvCL!AI686</f>
        <v>0</v>
      </c>
      <c r="R686" s="32" t="str">
        <f>CASOPOInvCL!AU686</f>
        <v/>
      </c>
      <c r="S686" s="16">
        <f>CASOPOInvCL!AV686</f>
        <v>0</v>
      </c>
      <c r="T686" s="16">
        <f>CASOPOInvCL!AW686</f>
        <v>0</v>
      </c>
      <c r="V686" t="s">
        <v>5800</v>
      </c>
      <c r="Y686" s="29" t="str">
        <f>IFERROR(HLOOKUP(U686,List!$D$2:$H$6,2,FALSE),"")</f>
        <v/>
      </c>
      <c r="Z686" s="29">
        <f>IFERROR(HLOOKUP(V686,List!$D$2:$H$6,3,FALSE),"")</f>
        <v>5.0000000000000001E-3</v>
      </c>
      <c r="AA686" s="29" t="str">
        <f>IFERROR(HLOOKUP(W686,List!$D$2:$H$6,4,FALSE),"")</f>
        <v/>
      </c>
      <c r="AB686" s="29" t="str">
        <f>IFERROR(HLOOKUP(X686,List!$D$2:$H$6,5,FALSE),"")</f>
        <v/>
      </c>
      <c r="AC686" s="12" t="str">
        <f t="shared" si="172"/>
        <v/>
      </c>
      <c r="AD686" s="12">
        <f t="shared" si="173"/>
        <v>0</v>
      </c>
      <c r="AE686" s="12" t="str">
        <f t="shared" si="174"/>
        <v/>
      </c>
      <c r="AF686" s="12" t="str">
        <f t="shared" si="175"/>
        <v/>
      </c>
      <c r="AG686" t="str">
        <f>VLOOKUP(J686,'Receivable Invoice Detail'!$A$1:F3698,6,FALSE)</f>
        <v>[AC-52-431-816-003] Casing Gasket, 8", Allis Chalmers CSO &amp; 731+</v>
      </c>
      <c r="AM686" s="12" t="str">
        <f t="shared" si="176"/>
        <v/>
      </c>
      <c r="AN686" s="12">
        <f t="shared" si="177"/>
        <v>0</v>
      </c>
      <c r="AO686" s="12" t="str">
        <f t="shared" si="178"/>
        <v/>
      </c>
      <c r="AP686" s="12" t="str">
        <f t="shared" si="179"/>
        <v/>
      </c>
      <c r="AQ686" s="64">
        <f>M686</f>
        <v>2504</v>
      </c>
      <c r="AR686" t="s">
        <v>5931</v>
      </c>
      <c r="AS686" s="12">
        <f t="shared" si="181"/>
        <v>0</v>
      </c>
      <c r="AT686" s="16" t="s">
        <v>5940</v>
      </c>
    </row>
    <row r="687" spans="1:46" hidden="1" x14ac:dyDescent="0.25">
      <c r="A687" s="41">
        <f>CASOPOInvCL!T687</f>
        <v>1</v>
      </c>
      <c r="B687" t="str">
        <f>CASOPOInvCL!Z687</f>
        <v>SO17432</v>
      </c>
      <c r="G687" s="5" t="str">
        <f>CASOPOInvCL!I687</f>
        <v>Amanda Qiao</v>
      </c>
      <c r="H687" s="31">
        <f>CASOPOInvCL!U687</f>
        <v>7</v>
      </c>
      <c r="I687" s="31">
        <f>CASOPOInvCL!V687</f>
        <v>2025</v>
      </c>
      <c r="J687" s="5" t="str">
        <f>CASOPOInvCL!AB687</f>
        <v>INV13534</v>
      </c>
      <c r="K687" s="31" t="str">
        <f>CASOPOInvCL!W687</f>
        <v/>
      </c>
      <c r="L687" s="31" t="str">
        <f>CASOPOInvCL!X687</f>
        <v/>
      </c>
      <c r="M687" s="31"/>
      <c r="N687" s="5" t="str">
        <f>CASOPOInvCL!AF687</f>
        <v>Mill-Right Mine Services Inc.</v>
      </c>
      <c r="O687" s="16" t="str">
        <f>CASOPOInvCL!AG687</f>
        <v>USD</v>
      </c>
      <c r="P687" s="16">
        <f>CASOPOInvCL!AH687</f>
        <v>861.18106716155762</v>
      </c>
      <c r="Q687" s="16">
        <f>CASOPOInvCL!AI687</f>
        <v>627.70000000000005</v>
      </c>
      <c r="R687" s="32" t="str">
        <f>CASOPOInvCL!AU687</f>
        <v/>
      </c>
      <c r="S687" s="16">
        <f>CASOPOInvCL!AV687</f>
        <v>0</v>
      </c>
      <c r="T687" s="16">
        <f>CASOPOInvCL!AW687</f>
        <v>0</v>
      </c>
      <c r="Y687" s="29" t="str">
        <f>IFERROR(HLOOKUP(U687,List!$D$2:$H$6,2,FALSE),"")</f>
        <v/>
      </c>
      <c r="Z687" s="29" t="str">
        <f>IFERROR(HLOOKUP(V687,List!$D$2:$H$6,3,FALSE),"")</f>
        <v/>
      </c>
      <c r="AA687" s="29" t="str">
        <f>IFERROR(HLOOKUP(W687,List!$D$2:$H$6,4,FALSE),"")</f>
        <v/>
      </c>
      <c r="AB687" s="29" t="str">
        <f>IFERROR(HLOOKUP(X687,List!$D$2:$H$6,5,FALSE),"")</f>
        <v/>
      </c>
      <c r="AC687" s="12" t="str">
        <f t="shared" si="172"/>
        <v/>
      </c>
      <c r="AD687" s="12" t="str">
        <f t="shared" si="173"/>
        <v/>
      </c>
      <c r="AE687" s="12" t="str">
        <f t="shared" si="174"/>
        <v/>
      </c>
      <c r="AF687" s="12" t="str">
        <f t="shared" si="175"/>
        <v/>
      </c>
      <c r="AG687" t="str">
        <f>VLOOKUP(J687,'Receivable Invoice Detail'!$A$1:F3699,6,FALSE)</f>
        <v>[W-SV024L-1/HT200] Lower End Cover, 150SV-SP or 200SV-SP, Cast Iron</v>
      </c>
      <c r="AM687" s="12" t="str">
        <f t="shared" si="176"/>
        <v/>
      </c>
      <c r="AN687" s="12" t="str">
        <f t="shared" si="177"/>
        <v/>
      </c>
      <c r="AO687" s="12" t="str">
        <f t="shared" si="178"/>
        <v/>
      </c>
      <c r="AP687" s="12" t="str">
        <f t="shared" si="179"/>
        <v/>
      </c>
      <c r="AQ687" s="12"/>
      <c r="AS687" s="12">
        <f t="shared" si="181"/>
        <v>4.6994105061604383</v>
      </c>
      <c r="AT687" s="16" t="str">
        <f t="shared" si="182"/>
        <v/>
      </c>
    </row>
    <row r="688" spans="1:46" hidden="1" x14ac:dyDescent="0.25">
      <c r="A688" s="41">
        <f>CASOPOInvCL!T688</f>
        <v>1</v>
      </c>
      <c r="B688" t="str">
        <f>CASOPOInvCL!Z688</f>
        <v>SO17434</v>
      </c>
      <c r="G688" s="5" t="str">
        <f>CASOPOInvCL!I688</f>
        <v>Yannett Yeomans</v>
      </c>
      <c r="H688" s="31">
        <f>CASOPOInvCL!U688</f>
        <v>7</v>
      </c>
      <c r="I688" s="31">
        <f>CASOPOInvCL!V688</f>
        <v>2025</v>
      </c>
      <c r="J688" s="5" t="str">
        <f>CASOPOInvCL!AB688</f>
        <v>INV13358</v>
      </c>
      <c r="K688" s="31" t="str">
        <f>CASOPOInvCL!W688</f>
        <v/>
      </c>
      <c r="L688" s="31" t="str">
        <f>CASOPOInvCL!X688</f>
        <v/>
      </c>
      <c r="M688" s="31"/>
      <c r="N688" s="5" t="str">
        <f>CASOPOInvCL!AF688</f>
        <v>Dynapro Pumps México S de RL de CV</v>
      </c>
      <c r="O688" s="16" t="str">
        <f>CASOPOInvCL!AG688</f>
        <v>USD</v>
      </c>
      <c r="P688" s="16">
        <f>CASOPOInvCL!AH688</f>
        <v>1195.8294354227753</v>
      </c>
      <c r="Q688" s="16">
        <f>CASOPOInvCL!AI688</f>
        <v>878</v>
      </c>
      <c r="R688" s="32" t="str">
        <f>CASOPOInvCL!AU688</f>
        <v/>
      </c>
      <c r="S688" s="16">
        <f>CASOPOInvCL!AV688</f>
        <v>0</v>
      </c>
      <c r="T688" s="16">
        <f>CASOPOInvCL!AW688</f>
        <v>0</v>
      </c>
      <c r="Y688" s="29" t="str">
        <f>IFERROR(HLOOKUP(U688,List!$D$2:$H$6,2,FALSE),"")</f>
        <v/>
      </c>
      <c r="Z688" s="29" t="str">
        <f>IFERROR(HLOOKUP(V688,List!$D$2:$H$6,3,FALSE),"")</f>
        <v/>
      </c>
      <c r="AA688" s="29" t="str">
        <f>IFERROR(HLOOKUP(W688,List!$D$2:$H$6,4,FALSE),"")</f>
        <v/>
      </c>
      <c r="AB688" s="29" t="str">
        <f>IFERROR(HLOOKUP(X688,List!$D$2:$H$6,5,FALSE),"")</f>
        <v/>
      </c>
      <c r="AC688" s="12" t="str">
        <f t="shared" si="172"/>
        <v/>
      </c>
      <c r="AD688" s="12" t="str">
        <f t="shared" si="173"/>
        <v/>
      </c>
      <c r="AE688" s="12" t="str">
        <f t="shared" si="174"/>
        <v/>
      </c>
      <c r="AF688" s="12" t="str">
        <f t="shared" si="175"/>
        <v/>
      </c>
      <c r="AG688" t="str">
        <f>VLOOKUP(J688,'Receivable Invoice Detail'!$A$1:F3700,6,FALSE)</f>
        <v>[D-2J3411-1] Casing, 3x4-11, Goulds JC, Frame 2J, Cast Iron, OEM#056185G4011002</v>
      </c>
      <c r="AM688" s="12" t="str">
        <f t="shared" si="176"/>
        <v/>
      </c>
      <c r="AN688" s="12" t="str">
        <f t="shared" si="177"/>
        <v/>
      </c>
      <c r="AO688" s="12" t="str">
        <f t="shared" si="178"/>
        <v/>
      </c>
      <c r="AP688" s="12" t="str">
        <f t="shared" si="179"/>
        <v/>
      </c>
      <c r="AQ688" s="12"/>
      <c r="AR688" s="16" t="s">
        <v>5940</v>
      </c>
      <c r="AS688" s="12">
        <f t="shared" si="181"/>
        <v>0</v>
      </c>
      <c r="AT688" s="16" t="str">
        <f t="shared" si="182"/>
        <v/>
      </c>
    </row>
    <row r="689" spans="1:46" hidden="1" x14ac:dyDescent="0.25">
      <c r="A689" s="41">
        <f>CASOPOInvCL!T689</f>
        <v>0</v>
      </c>
      <c r="B689" t="str">
        <f>CASOPOInvCL!Z689</f>
        <v>SO17437</v>
      </c>
      <c r="G689" s="5" t="str">
        <f>CASOPOInvCL!I689</f>
        <v>Wilka Nuñez</v>
      </c>
      <c r="H689" s="31">
        <f>CASOPOInvCL!U689</f>
        <v>7</v>
      </c>
      <c r="I689" s="31">
        <f>CASOPOInvCL!V689</f>
        <v>2025</v>
      </c>
      <c r="J689" s="5" t="str">
        <f>CASOPOInvCL!AB689</f>
        <v>No Inv</v>
      </c>
      <c r="K689" s="31" t="str">
        <f>CASOPOInvCL!W689</f>
        <v/>
      </c>
      <c r="L689" s="31" t="str">
        <f>CASOPOInvCL!X689</f>
        <v/>
      </c>
      <c r="M689" s="31"/>
      <c r="N689" s="5" t="str">
        <f>CASOPOInvCL!AF689</f>
        <v>Burlington Pump Inc.</v>
      </c>
      <c r="O689" s="16" t="str">
        <f>CASOPOInvCL!AG689</f>
        <v>CAD</v>
      </c>
      <c r="P689" s="16">
        <f>CASOPOInvCL!AH689</f>
        <v>1744</v>
      </c>
      <c r="Q689" s="16">
        <f>CASOPOInvCL!AI689</f>
        <v>1252.4985279673406</v>
      </c>
      <c r="R689" s="32" t="str">
        <f>CASOPOInvCL!AU689</f>
        <v/>
      </c>
      <c r="S689" s="16">
        <f>CASOPOInvCL!AV689</f>
        <v>0</v>
      </c>
      <c r="T689" s="16">
        <f>CASOPOInvCL!AW689</f>
        <v>0</v>
      </c>
      <c r="Y689" s="29" t="str">
        <f>IFERROR(HLOOKUP(U689,List!$D$2:$H$6,2,FALSE),"")</f>
        <v/>
      </c>
      <c r="Z689" s="29" t="str">
        <f>IFERROR(HLOOKUP(V689,List!$D$2:$H$6,3,FALSE),"")</f>
        <v/>
      </c>
      <c r="AA689" s="29" t="str">
        <f>IFERROR(HLOOKUP(W689,List!$D$2:$H$6,4,FALSE),"")</f>
        <v/>
      </c>
      <c r="AB689" s="29" t="str">
        <f>IFERROR(HLOOKUP(X689,List!$D$2:$H$6,5,FALSE),"")</f>
        <v/>
      </c>
      <c r="AC689" s="12" t="str">
        <f t="shared" si="172"/>
        <v/>
      </c>
      <c r="AD689" s="12" t="str">
        <f t="shared" si="173"/>
        <v/>
      </c>
      <c r="AE689" s="12" t="str">
        <f t="shared" si="174"/>
        <v/>
      </c>
      <c r="AF689" s="12" t="str">
        <f t="shared" si="175"/>
        <v/>
      </c>
      <c r="AG689" t="e">
        <f>VLOOKUP(J689,'Receivable Invoice Detail'!$A$1:F3701,6,FALSE)</f>
        <v>#N/A</v>
      </c>
      <c r="AM689" s="12" t="str">
        <f t="shared" si="176"/>
        <v/>
      </c>
      <c r="AN689" s="12" t="str">
        <f t="shared" si="177"/>
        <v/>
      </c>
      <c r="AO689" s="12" t="str">
        <f t="shared" si="178"/>
        <v/>
      </c>
      <c r="AP689" s="12" t="str">
        <f t="shared" si="179"/>
        <v/>
      </c>
      <c r="AQ689" s="12"/>
      <c r="AS689" s="12">
        <f t="shared" si="181"/>
        <v>0</v>
      </c>
      <c r="AT689" s="16" t="str">
        <f t="shared" si="182"/>
        <v/>
      </c>
    </row>
    <row r="690" spans="1:46" hidden="1" x14ac:dyDescent="0.25">
      <c r="A690" s="41">
        <f>CASOPOInvCL!T690</f>
        <v>1</v>
      </c>
      <c r="B690" t="str">
        <f>CASOPOInvCL!Z690</f>
        <v>SO17439</v>
      </c>
      <c r="G690" s="5" t="str">
        <f>CASOPOInvCL!I690</f>
        <v>Ian Trottier</v>
      </c>
      <c r="H690" s="31">
        <f>CASOPOInvCL!U690</f>
        <v>7</v>
      </c>
      <c r="I690" s="31">
        <f>CASOPOInvCL!V690</f>
        <v>2025</v>
      </c>
      <c r="J690" s="5" t="str">
        <f>CASOPOInvCL!AB690</f>
        <v>INV13146</v>
      </c>
      <c r="K690" s="31">
        <f>CASOPOInvCL!W690</f>
        <v>1</v>
      </c>
      <c r="L690" s="31">
        <f>CASOPOInvCL!X690</f>
        <v>1900</v>
      </c>
      <c r="M690" s="31"/>
      <c r="N690" s="5" t="str">
        <f>CASOPOInvCL!AF690</f>
        <v>Kumtor Gold Company</v>
      </c>
      <c r="O690" s="16" t="str">
        <f>CASOPOInvCL!AG690</f>
        <v>USD</v>
      </c>
      <c r="P690" s="16">
        <f>CASOPOInvCL!AH690</f>
        <v>0</v>
      </c>
      <c r="Q690" s="16">
        <f>CASOPOInvCL!AI690</f>
        <v>0</v>
      </c>
      <c r="R690" s="32" t="str">
        <f>CASOPOInvCL!AU690</f>
        <v>Yes</v>
      </c>
      <c r="S690" s="16">
        <f>CASOPOInvCL!AV690</f>
        <v>0</v>
      </c>
      <c r="T690" s="16">
        <f>CASOPOInvCL!AW690</f>
        <v>0</v>
      </c>
      <c r="Y690" s="29" t="str">
        <f>IFERROR(HLOOKUP(U690,List!$D$2:$H$6,2,FALSE),"")</f>
        <v/>
      </c>
      <c r="Z690" s="29" t="str">
        <f>IFERROR(HLOOKUP(V690,List!$D$2:$H$6,3,FALSE),"")</f>
        <v/>
      </c>
      <c r="AA690" s="29" t="str">
        <f>IFERROR(HLOOKUP(W690,List!$D$2:$H$6,4,FALSE),"")</f>
        <v/>
      </c>
      <c r="AB690" s="29" t="str">
        <f>IFERROR(HLOOKUP(X690,List!$D$2:$H$6,5,FALSE),"")</f>
        <v/>
      </c>
      <c r="AC690" s="12" t="str">
        <f t="shared" si="172"/>
        <v/>
      </c>
      <c r="AD690" s="12" t="str">
        <f t="shared" si="173"/>
        <v/>
      </c>
      <c r="AE690" s="12" t="str">
        <f t="shared" si="174"/>
        <v/>
      </c>
      <c r="AF690" s="12" t="str">
        <f t="shared" si="175"/>
        <v/>
      </c>
      <c r="AG690" t="str">
        <f>VLOOKUP(J690,'Receivable Invoice Detail'!$A$1:F3702,6,FALSE)</f>
        <v>[SA-202316-M1] Impeller (Agitator), Sala VS150, High Chrome</v>
      </c>
      <c r="AM690" s="12" t="str">
        <f t="shared" si="176"/>
        <v/>
      </c>
      <c r="AN690" s="12" t="str">
        <f t="shared" si="177"/>
        <v/>
      </c>
      <c r="AO690" s="12" t="str">
        <f t="shared" si="178"/>
        <v/>
      </c>
      <c r="AP690" s="12" t="str">
        <f t="shared" si="179"/>
        <v/>
      </c>
      <c r="AQ690" s="12"/>
      <c r="AS690" s="12">
        <f t="shared" si="181"/>
        <v>0</v>
      </c>
      <c r="AT690" s="16" t="str">
        <f t="shared" si="182"/>
        <v>Yes</v>
      </c>
    </row>
    <row r="691" spans="1:46" hidden="1" x14ac:dyDescent="0.25">
      <c r="A691" s="41">
        <f>CASOPOInvCL!T691</f>
        <v>1</v>
      </c>
      <c r="B691" t="str">
        <f>CASOPOInvCL!Z691</f>
        <v>SO17440</v>
      </c>
      <c r="D691" t="s">
        <v>5851</v>
      </c>
      <c r="G691" s="5" t="str">
        <f>CASOPOInvCL!I691</f>
        <v>Alexis Gil Lamadrid</v>
      </c>
      <c r="H691" s="31">
        <f>CASOPOInvCL!U691</f>
        <v>7</v>
      </c>
      <c r="I691" s="31">
        <f>CASOPOInvCL!V691</f>
        <v>2025</v>
      </c>
      <c r="J691" s="5" t="str">
        <f>CASOPOInvCL!AB691</f>
        <v>INV13150</v>
      </c>
      <c r="K691" s="31">
        <f>CASOPOInvCL!W691</f>
        <v>9</v>
      </c>
      <c r="L691" s="31">
        <f>CASOPOInvCL!X691</f>
        <v>2025</v>
      </c>
      <c r="M691">
        <v>2503</v>
      </c>
      <c r="N691" s="5" t="str">
        <f>CASOPOInvCL!AF691</f>
        <v>Resolute Forest Products - Fibrek</v>
      </c>
      <c r="O691" s="16" t="str">
        <f>CASOPOInvCL!AG691</f>
        <v>CAD</v>
      </c>
      <c r="P691" s="16">
        <f>CASOPOInvCL!AH691</f>
        <v>196.96</v>
      </c>
      <c r="Q691" s="16">
        <f>CASOPOInvCL!AI691</f>
        <v>145.23727165349666</v>
      </c>
      <c r="R691" s="32" t="str">
        <f>CASOPOInvCL!AU691</f>
        <v>Yes</v>
      </c>
      <c r="S691" s="16">
        <f>CASOPOInvCL!AV691</f>
        <v>0</v>
      </c>
      <c r="T691" s="16">
        <f>CASOPOInvCL!AW691</f>
        <v>145.23727165349666</v>
      </c>
      <c r="V691" t="s">
        <v>5800</v>
      </c>
      <c r="Y691" s="29" t="str">
        <f>IFERROR(HLOOKUP(U691,List!$D$2:$H$6,2,FALSE),"")</f>
        <v/>
      </c>
      <c r="Z691" s="29">
        <f>IFERROR(HLOOKUP(V691,List!$D$2:$H$6,3,FALSE),"")</f>
        <v>5.0000000000000001E-3</v>
      </c>
      <c r="AA691" s="29" t="str">
        <f>IFERROR(HLOOKUP(W691,List!$D$2:$H$6,4,FALSE),"")</f>
        <v/>
      </c>
      <c r="AB691" s="29" t="str">
        <f>IFERROR(HLOOKUP(X691,List!$D$2:$H$6,5,FALSE),"")</f>
        <v/>
      </c>
      <c r="AC691" s="12" t="str">
        <f t="shared" si="172"/>
        <v/>
      </c>
      <c r="AD691" s="12">
        <f t="shared" si="173"/>
        <v>0.72618635826748335</v>
      </c>
      <c r="AE691" s="12" t="str">
        <f t="shared" si="174"/>
        <v/>
      </c>
      <c r="AF691" s="12" t="str">
        <f t="shared" si="175"/>
        <v/>
      </c>
      <c r="AG691" t="str">
        <f>VLOOKUP(J691,'Receivable Invoice Detail'!$A$1:F3703,6,FALSE)</f>
        <v>[AC-52-050-313-000] Shim Kit, Allis Chalmers CSO, Frame F4D1/F4B5</v>
      </c>
      <c r="AJ691">
        <v>2503</v>
      </c>
      <c r="AM691" s="12" t="str">
        <f t="shared" si="176"/>
        <v/>
      </c>
      <c r="AN691" s="12">
        <f t="shared" si="177"/>
        <v>0</v>
      </c>
      <c r="AO691" s="12" t="str">
        <f t="shared" si="178"/>
        <v/>
      </c>
      <c r="AP691" s="12" t="str">
        <f t="shared" si="179"/>
        <v/>
      </c>
      <c r="AQ691" s="64">
        <f>M691</f>
        <v>2503</v>
      </c>
      <c r="AR691" t="s">
        <v>5931</v>
      </c>
      <c r="AS691" s="12">
        <f t="shared" si="181"/>
        <v>0</v>
      </c>
      <c r="AT691" s="16" t="str">
        <f t="shared" si="182"/>
        <v>Yes</v>
      </c>
    </row>
    <row r="692" spans="1:46" hidden="1" x14ac:dyDescent="0.25">
      <c r="A692" s="41">
        <f>CASOPOInvCL!T692</f>
        <v>1</v>
      </c>
      <c r="B692" t="str">
        <f>CASOPOInvCL!Z692</f>
        <v>SO17441</v>
      </c>
      <c r="G692" s="5" t="str">
        <f>CASOPOInvCL!I692</f>
        <v>Amanda Qiao</v>
      </c>
      <c r="H692" s="31">
        <f>CASOPOInvCL!U692</f>
        <v>7</v>
      </c>
      <c r="I692" s="31">
        <f>CASOPOInvCL!V692</f>
        <v>2025</v>
      </c>
      <c r="J692" s="5" t="str">
        <f>CASOPOInvCL!AB692</f>
        <v>INV13586</v>
      </c>
      <c r="K692" s="31" t="str">
        <f>CASOPOInvCL!W692</f>
        <v/>
      </c>
      <c r="L692" s="31" t="str">
        <f>CASOPOInvCL!X692</f>
        <v/>
      </c>
      <c r="M692" s="31"/>
      <c r="N692" s="5" t="str">
        <f>CASOPOInvCL!AF692</f>
        <v>Zijin Mining - Rosebel Goldmines N.V.</v>
      </c>
      <c r="O692" s="16" t="str">
        <f>CASOPOInvCL!AG692</f>
        <v>USD</v>
      </c>
      <c r="P692" s="16">
        <f>CASOPOInvCL!AH692</f>
        <v>16680.346390558723</v>
      </c>
      <c r="Q692" s="16">
        <f>CASOPOInvCL!AI692</f>
        <v>12300</v>
      </c>
      <c r="R692" s="32" t="str">
        <f>CASOPOInvCL!AU692</f>
        <v/>
      </c>
      <c r="S692" s="16">
        <f>CASOPOInvCL!AV692</f>
        <v>0</v>
      </c>
      <c r="T692" s="16">
        <f>CASOPOInvCL!AW692</f>
        <v>0</v>
      </c>
      <c r="Y692" s="29" t="str">
        <f>IFERROR(HLOOKUP(U692,List!$D$2:$H$6,2,FALSE),"")</f>
        <v/>
      </c>
      <c r="Z692" s="29" t="str">
        <f>IFERROR(HLOOKUP(V692,List!$D$2:$H$6,3,FALSE),"")</f>
        <v/>
      </c>
      <c r="AA692" s="29" t="str">
        <f>IFERROR(HLOOKUP(W692,List!$D$2:$H$6,4,FALSE),"")</f>
        <v/>
      </c>
      <c r="AB692" s="29" t="str">
        <f>IFERROR(HLOOKUP(X692,List!$D$2:$H$6,5,FALSE),"")</f>
        <v/>
      </c>
      <c r="AC692" s="12" t="str">
        <f t="shared" si="172"/>
        <v/>
      </c>
      <c r="AD692" s="12" t="str">
        <f t="shared" si="173"/>
        <v/>
      </c>
      <c r="AE692" s="12" t="str">
        <f t="shared" si="174"/>
        <v/>
      </c>
      <c r="AF692" s="12" t="str">
        <f t="shared" si="175"/>
        <v/>
      </c>
      <c r="AG692" t="str">
        <f>VLOOKUP(J692,'Receivable Invoice Detail'!$A$1:F3704,6,FALSE)</f>
        <v>[D-196 LF 1.5x3-13 LTX DI/316] Pump, 1.5x3-13, D-196 Low-Flow LTX, Ductile Iron w/316SS Impeller</v>
      </c>
      <c r="AH692" s="12">
        <f t="shared" ref="AH692" si="187">SUM(AC692:AF692)</f>
        <v>0</v>
      </c>
      <c r="AM692" s="12" t="str">
        <f t="shared" si="176"/>
        <v/>
      </c>
      <c r="AN692" s="12" t="str">
        <f t="shared" si="177"/>
        <v/>
      </c>
      <c r="AO692" s="12" t="str">
        <f t="shared" si="178"/>
        <v/>
      </c>
      <c r="AP692" s="12" t="str">
        <f t="shared" si="179"/>
        <v/>
      </c>
      <c r="AQ692" s="12"/>
      <c r="AS692" s="12">
        <f t="shared" si="181"/>
        <v>0</v>
      </c>
      <c r="AT692" s="16" t="str">
        <f t="shared" si="182"/>
        <v/>
      </c>
    </row>
    <row r="693" spans="1:46" hidden="1" x14ac:dyDescent="0.25">
      <c r="A693" s="41">
        <f>CASOPOInvCL!T693</f>
        <v>1</v>
      </c>
      <c r="B693" t="str">
        <f>CASOPOInvCL!Z693</f>
        <v>SO17442</v>
      </c>
      <c r="D693" t="s">
        <v>5915</v>
      </c>
      <c r="G693" s="5" t="str">
        <f>CASOPOInvCL!I693</f>
        <v>Wilka Nuñez</v>
      </c>
      <c r="H693" s="31">
        <f>CASOPOInvCL!U693</f>
        <v>7</v>
      </c>
      <c r="I693" s="31">
        <f>CASOPOInvCL!V693</f>
        <v>2025</v>
      </c>
      <c r="J693" s="5" t="str">
        <f>CASOPOInvCL!AB693</f>
        <v>INV13278</v>
      </c>
      <c r="K693" s="31">
        <f>CASOPOInvCL!W693</f>
        <v>9</v>
      </c>
      <c r="L693" s="31">
        <f>CASOPOInvCL!X693</f>
        <v>2025</v>
      </c>
      <c r="M693">
        <v>2503</v>
      </c>
      <c r="N693" s="5" t="str">
        <f>CASOPOInvCL!AF693</f>
        <v>Agnico Eagle Mines Ltd. - Cochrane</v>
      </c>
      <c r="O693" s="16" t="str">
        <f>CASOPOInvCL!AG693</f>
        <v>CAD</v>
      </c>
      <c r="P693" s="16">
        <f>CASOPOInvCL!AH693</f>
        <v>450</v>
      </c>
      <c r="Q693" s="16">
        <f>CASOPOInvCL!AI693</f>
        <v>328.56362325237416</v>
      </c>
      <c r="R693" s="32" t="str">
        <f>CASOPOInvCL!AU693</f>
        <v>Yes</v>
      </c>
      <c r="S693" s="16">
        <f>CASOPOInvCL!AV693</f>
        <v>0</v>
      </c>
      <c r="T693" s="16">
        <f>CASOPOInvCL!AW693</f>
        <v>328.56362325237416</v>
      </c>
      <c r="V693" t="s">
        <v>5800</v>
      </c>
      <c r="Y693" s="29" t="str">
        <f>IFERROR(HLOOKUP(U693,List!$D$2:$H$6,2,FALSE),"")</f>
        <v/>
      </c>
      <c r="Z693" s="29">
        <f>IFERROR(HLOOKUP(V693,List!$D$2:$H$6,3,FALSE),"")</f>
        <v>5.0000000000000001E-3</v>
      </c>
      <c r="AA693" s="29" t="str">
        <f>IFERROR(HLOOKUP(W693,List!$D$2:$H$6,4,FALSE),"")</f>
        <v/>
      </c>
      <c r="AB693" s="29" t="str">
        <f>IFERROR(HLOOKUP(X693,List!$D$2:$H$6,5,FALSE),"")</f>
        <v/>
      </c>
      <c r="AC693" s="12" t="str">
        <f t="shared" si="172"/>
        <v/>
      </c>
      <c r="AD693" s="12">
        <f t="shared" si="173"/>
        <v>1.6428181162618709</v>
      </c>
      <c r="AE693" s="12" t="str">
        <f t="shared" si="174"/>
        <v/>
      </c>
      <c r="AF693" s="12" t="str">
        <f t="shared" si="175"/>
        <v/>
      </c>
      <c r="AG693" t="str">
        <f>VLOOKUP(J693,'Receivable Invoice Detail'!$A$1:F3705,6,FALSE)</f>
        <v>[G-RC01298A 1203] Gland Assembly, 3196 LTX, 316SS</v>
      </c>
      <c r="AJ693">
        <v>2503</v>
      </c>
      <c r="AM693" s="12" t="str">
        <f t="shared" si="176"/>
        <v/>
      </c>
      <c r="AN693" s="12">
        <f t="shared" si="177"/>
        <v>0</v>
      </c>
      <c r="AO693" s="12" t="str">
        <f t="shared" si="178"/>
        <v/>
      </c>
      <c r="AP693" s="12" t="str">
        <f t="shared" si="179"/>
        <v/>
      </c>
      <c r="AQ693" s="64">
        <f>M693</f>
        <v>2503</v>
      </c>
      <c r="AR693" t="s">
        <v>5931</v>
      </c>
      <c r="AS693" s="12">
        <f t="shared" si="181"/>
        <v>2.1785590748024499</v>
      </c>
      <c r="AT693" s="16" t="str">
        <f t="shared" si="182"/>
        <v>Yes</v>
      </c>
    </row>
    <row r="694" spans="1:46" hidden="1" x14ac:dyDescent="0.25">
      <c r="A694" s="41">
        <f>CASOPOInvCL!T694</f>
        <v>1</v>
      </c>
      <c r="B694" t="str">
        <f>CASOPOInvCL!Z694</f>
        <v>SO17443</v>
      </c>
      <c r="D694" t="s">
        <v>5925</v>
      </c>
      <c r="G694" s="5" t="str">
        <f>CASOPOInvCL!I694</f>
        <v>Ian Trottier</v>
      </c>
      <c r="H694" s="31">
        <f>CASOPOInvCL!U694</f>
        <v>7</v>
      </c>
      <c r="I694" s="31">
        <f>CASOPOInvCL!V694</f>
        <v>2025</v>
      </c>
      <c r="J694" s="5" t="str">
        <f>CASOPOInvCL!AB694</f>
        <v>INV13178</v>
      </c>
      <c r="K694" s="31">
        <f>CASOPOInvCL!W694</f>
        <v>8</v>
      </c>
      <c r="L694" s="31">
        <f>CASOPOInvCL!X694</f>
        <v>2025</v>
      </c>
      <c r="M694">
        <v>2503</v>
      </c>
      <c r="N694" s="5" t="str">
        <f>CASOPOInvCL!AF694</f>
        <v>Cartledge &amp; Associates Inc.</v>
      </c>
      <c r="O694" s="16" t="str">
        <f>CASOPOInvCL!AG694</f>
        <v>USD</v>
      </c>
      <c r="P694" s="16">
        <f>CASOPOInvCL!AH694</f>
        <v>1297.7597660549909</v>
      </c>
      <c r="Q694" s="16">
        <f>CASOPOInvCL!AI694</f>
        <v>954</v>
      </c>
      <c r="R694" s="32" t="str">
        <f>CASOPOInvCL!AU694</f>
        <v>Yes</v>
      </c>
      <c r="S694" s="16">
        <f>CASOPOInvCL!AV694</f>
        <v>0</v>
      </c>
      <c r="T694" s="16">
        <f>CASOPOInvCL!AW694</f>
        <v>954</v>
      </c>
      <c r="V694" t="s">
        <v>5800</v>
      </c>
      <c r="Y694" s="29" t="str">
        <f>IFERROR(HLOOKUP(U694,List!$D$2:$H$6,2,FALSE),"")</f>
        <v/>
      </c>
      <c r="Z694" s="29">
        <f>IFERROR(HLOOKUP(V694,List!$D$2:$H$6,3,FALSE),"")</f>
        <v>5.0000000000000001E-3</v>
      </c>
      <c r="AA694" s="29" t="str">
        <f>IFERROR(HLOOKUP(W694,List!$D$2:$H$6,4,FALSE),"")</f>
        <v/>
      </c>
      <c r="AB694" s="29" t="str">
        <f>IFERROR(HLOOKUP(X694,List!$D$2:$H$6,5,FALSE),"")</f>
        <v/>
      </c>
      <c r="AC694" s="12" t="str">
        <f t="shared" si="172"/>
        <v/>
      </c>
      <c r="AD694" s="12">
        <f t="shared" si="173"/>
        <v>4.7700000000000005</v>
      </c>
      <c r="AE694" s="12" t="str">
        <f t="shared" si="174"/>
        <v/>
      </c>
      <c r="AF694" s="12" t="str">
        <f t="shared" si="175"/>
        <v/>
      </c>
      <c r="AG694" t="str">
        <f>VLOOKUP(J694,'Receivable Invoice Detail'!$A$1:F3706,6,FALSE)</f>
        <v>[AC-98-231-115-501] Suction Side Liner, 5x4-14 SRL-C, Natural Rubber</v>
      </c>
      <c r="AM694" s="12" t="str">
        <f t="shared" si="176"/>
        <v/>
      </c>
      <c r="AN694" s="12">
        <f t="shared" si="177"/>
        <v>4.7700000000000005</v>
      </c>
      <c r="AO694" s="12" t="str">
        <f t="shared" si="178"/>
        <v/>
      </c>
      <c r="AP694" s="12" t="str">
        <f t="shared" si="179"/>
        <v/>
      </c>
      <c r="AQ694" s="64">
        <v>2503</v>
      </c>
      <c r="AR694" t="s">
        <v>5932</v>
      </c>
      <c r="AS694" s="12">
        <f t="shared" si="181"/>
        <v>0</v>
      </c>
      <c r="AT694" s="16" t="str">
        <f t="shared" si="182"/>
        <v>Yes</v>
      </c>
    </row>
    <row r="695" spans="1:46" hidden="1" x14ac:dyDescent="0.25">
      <c r="A695" s="41">
        <f>CASOPOInvCL!T695</f>
        <v>1</v>
      </c>
      <c r="B695" t="str">
        <f>CASOPOInvCL!Z695</f>
        <v>SO17444</v>
      </c>
      <c r="G695" s="5" t="str">
        <f>CASOPOInvCL!I695</f>
        <v>Ian Trottier</v>
      </c>
      <c r="H695" s="31">
        <f>CASOPOInvCL!U695</f>
        <v>7</v>
      </c>
      <c r="I695" s="31">
        <f>CASOPOInvCL!V695</f>
        <v>2025</v>
      </c>
      <c r="J695" s="5" t="str">
        <f>CASOPOInvCL!AB695</f>
        <v>INV13451</v>
      </c>
      <c r="K695" s="31">
        <f>CASOPOInvCL!W695</f>
        <v>10</v>
      </c>
      <c r="L695" s="31">
        <f>CASOPOInvCL!X695</f>
        <v>2025</v>
      </c>
      <c r="M695" s="31"/>
      <c r="N695" s="5" t="str">
        <f>CASOPOInvCL!AF695</f>
        <v>Corrosion Fluid Products Corp., Corrosion Fluid Products Corp. - Chicago</v>
      </c>
      <c r="O695" s="16" t="str">
        <f>CASOPOInvCL!AG695</f>
        <v>USD</v>
      </c>
      <c r="P695" s="16">
        <f>CASOPOInvCL!AH695</f>
        <v>1935.2409193740741</v>
      </c>
      <c r="Q695" s="16">
        <f>CASOPOInvCL!AI695</f>
        <v>1411.18</v>
      </c>
      <c r="R695" s="32" t="str">
        <f>CASOPOInvCL!AU695</f>
        <v>Yes</v>
      </c>
      <c r="S695" s="16">
        <f>CASOPOInvCL!AV695</f>
        <v>0</v>
      </c>
      <c r="T695" s="16">
        <f>CASOPOInvCL!AW695</f>
        <v>1411.18</v>
      </c>
      <c r="Y695" s="29" t="str">
        <f>IFERROR(HLOOKUP(U695,List!$D$2:$H$6,2,FALSE),"")</f>
        <v/>
      </c>
      <c r="Z695" s="29" t="str">
        <f>IFERROR(HLOOKUP(V695,List!$D$2:$H$6,3,FALSE),"")</f>
        <v/>
      </c>
      <c r="AA695" s="29" t="str">
        <f>IFERROR(HLOOKUP(W695,List!$D$2:$H$6,4,FALSE),"")</f>
        <v/>
      </c>
      <c r="AB695" s="29" t="str">
        <f>IFERROR(HLOOKUP(X695,List!$D$2:$H$6,5,FALSE),"")</f>
        <v/>
      </c>
      <c r="AC695" s="12" t="str">
        <f t="shared" si="172"/>
        <v/>
      </c>
      <c r="AD695" s="12" t="str">
        <f t="shared" si="173"/>
        <v/>
      </c>
      <c r="AE695" s="12" t="str">
        <f t="shared" si="174"/>
        <v/>
      </c>
      <c r="AF695" s="12" t="str">
        <f t="shared" si="175"/>
        <v/>
      </c>
      <c r="AG695" t="str">
        <f>VLOOKUP(J695,'Receivable Invoice Detail'!$A$1:F3707,6,FALSE)</f>
        <v>[462-902A1-462D] Lower Bearing, 1.5" VSP, 5100 Series, Drive #1</v>
      </c>
      <c r="AM695" s="12" t="str">
        <f t="shared" si="176"/>
        <v/>
      </c>
      <c r="AN695" s="12" t="str">
        <f t="shared" si="177"/>
        <v/>
      </c>
      <c r="AO695" s="12" t="str">
        <f t="shared" si="178"/>
        <v/>
      </c>
      <c r="AP695" s="12" t="str">
        <f t="shared" si="179"/>
        <v/>
      </c>
      <c r="AQ695" s="12"/>
      <c r="AS695" s="12">
        <f t="shared" si="181"/>
        <v>4.9284543487856123</v>
      </c>
      <c r="AT695" s="16" t="str">
        <f t="shared" si="182"/>
        <v>Yes</v>
      </c>
    </row>
    <row r="696" spans="1:46" hidden="1" x14ac:dyDescent="0.25">
      <c r="A696" s="41">
        <f>CASOPOInvCL!T696</f>
        <v>1</v>
      </c>
      <c r="B696" t="str">
        <f>CASOPOInvCL!Z696</f>
        <v>SO17446</v>
      </c>
      <c r="G696" s="5" t="str">
        <f>CASOPOInvCL!I696</f>
        <v>Amanda Qiao</v>
      </c>
      <c r="H696" s="31">
        <f>CASOPOInvCL!U696</f>
        <v>7</v>
      </c>
      <c r="I696" s="31">
        <f>CASOPOInvCL!V696</f>
        <v>2025</v>
      </c>
      <c r="J696" s="5" t="str">
        <f>CASOPOInvCL!AB696</f>
        <v>INV13756</v>
      </c>
      <c r="K696" s="31" t="str">
        <f>CASOPOInvCL!W696</f>
        <v/>
      </c>
      <c r="L696" s="31" t="str">
        <f>CASOPOInvCL!X696</f>
        <v/>
      </c>
      <c r="M696" s="31"/>
      <c r="N696" s="5" t="str">
        <f>CASOPOInvCL!AF696</f>
        <v>Mill-Right Mine Services Inc.</v>
      </c>
      <c r="O696" s="16" t="str">
        <f>CASOPOInvCL!AG696</f>
        <v>USD</v>
      </c>
      <c r="P696" s="16">
        <f>CASOPOInvCL!AH696</f>
        <v>870.13021619575488</v>
      </c>
      <c r="Q696" s="16">
        <f>CASOPOInvCL!AI696</f>
        <v>635.46</v>
      </c>
      <c r="R696" s="32" t="str">
        <f>CASOPOInvCL!AU696</f>
        <v/>
      </c>
      <c r="S696" s="16">
        <f>CASOPOInvCL!AV696</f>
        <v>0</v>
      </c>
      <c r="T696" s="16">
        <f>CASOPOInvCL!AW696</f>
        <v>0</v>
      </c>
      <c r="Y696" s="29" t="str">
        <f>IFERROR(HLOOKUP(U696,List!$D$2:$H$6,2,FALSE),"")</f>
        <v/>
      </c>
      <c r="Z696" s="29" t="str">
        <f>IFERROR(HLOOKUP(V696,List!$D$2:$H$6,3,FALSE),"")</f>
        <v/>
      </c>
      <c r="AA696" s="29" t="str">
        <f>IFERROR(HLOOKUP(W696,List!$D$2:$H$6,4,FALSE),"")</f>
        <v/>
      </c>
      <c r="AB696" s="29" t="str">
        <f>IFERROR(HLOOKUP(X696,List!$D$2:$H$6,5,FALSE),"")</f>
        <v/>
      </c>
      <c r="AC696" s="12" t="str">
        <f t="shared" si="172"/>
        <v/>
      </c>
      <c r="AD696" s="12" t="str">
        <f t="shared" si="173"/>
        <v/>
      </c>
      <c r="AE696" s="12" t="str">
        <f t="shared" si="174"/>
        <v/>
      </c>
      <c r="AF696" s="12" t="str">
        <f t="shared" si="175"/>
        <v/>
      </c>
      <c r="AG696" t="str">
        <f>VLOOKUP(J696,'Receivable Invoice Detail'!$A$1:F3708,6,FALSE)</f>
        <v>[W-P009] Bearing, 40PV-SP</v>
      </c>
      <c r="AM696" s="12" t="str">
        <f t="shared" si="176"/>
        <v/>
      </c>
      <c r="AN696" s="12" t="str">
        <f t="shared" si="177"/>
        <v/>
      </c>
      <c r="AO696" s="12" t="str">
        <f t="shared" si="178"/>
        <v/>
      </c>
      <c r="AP696" s="12" t="str">
        <f t="shared" si="179"/>
        <v/>
      </c>
      <c r="AQ696" s="12"/>
      <c r="AS696" s="12">
        <f t="shared" si="181"/>
        <v>14.309999999999999</v>
      </c>
      <c r="AT696" s="16" t="str">
        <f t="shared" si="182"/>
        <v/>
      </c>
    </row>
    <row r="697" spans="1:46" hidden="1" x14ac:dyDescent="0.25">
      <c r="A697" s="41">
        <f>CASOPOInvCL!T697</f>
        <v>1</v>
      </c>
      <c r="B697" t="str">
        <f>CASOPOInvCL!Z697</f>
        <v>SO17450</v>
      </c>
      <c r="D697" t="s">
        <v>5938</v>
      </c>
      <c r="G697" s="5" t="str">
        <f>CASOPOInvCL!I697</f>
        <v>Marlen Martinez</v>
      </c>
      <c r="H697" s="31">
        <f>CASOPOInvCL!U697</f>
        <v>7</v>
      </c>
      <c r="I697" s="31">
        <f>CASOPOInvCL!V697</f>
        <v>2025</v>
      </c>
      <c r="J697" s="5" t="str">
        <f>CASOPOInvCL!AB697</f>
        <v>INV13184</v>
      </c>
      <c r="K697" s="31">
        <f>CASOPOInvCL!W697</f>
        <v>11</v>
      </c>
      <c r="L697" s="31">
        <f>CASOPOInvCL!X697</f>
        <v>2025</v>
      </c>
      <c r="M697">
        <v>2504</v>
      </c>
      <c r="N697" s="5" t="str">
        <f>CASOPOInvCL!AF697</f>
        <v>Covia Corp - Junction City</v>
      </c>
      <c r="O697" s="16" t="str">
        <f>CASOPOInvCL!AG697</f>
        <v>USD</v>
      </c>
      <c r="P697" s="16">
        <f>CASOPOInvCL!AH697</f>
        <v>625.39667900904408</v>
      </c>
      <c r="Q697" s="16">
        <f>CASOPOInvCL!AI697</f>
        <v>456.73</v>
      </c>
      <c r="R697" s="32" t="str">
        <f>CASOPOInvCL!AU697</f>
        <v>Yes</v>
      </c>
      <c r="S697" s="16">
        <f>CASOPOInvCL!AV697</f>
        <v>173.61</v>
      </c>
      <c r="T697" s="16">
        <f>CASOPOInvCL!AW697</f>
        <v>283.12</v>
      </c>
      <c r="Y697" s="29" t="str">
        <f>IFERROR(HLOOKUP(U697,List!$D$2:$H$6,2,FALSE),"")</f>
        <v/>
      </c>
      <c r="Z697" s="29" t="str">
        <f>IFERROR(HLOOKUP(V697,List!$D$2:$H$6,3,FALSE),"")</f>
        <v/>
      </c>
      <c r="AA697" s="29" t="str">
        <f>IFERROR(HLOOKUP(W697,List!$D$2:$H$6,4,FALSE),"")</f>
        <v/>
      </c>
      <c r="AB697" s="29" t="str">
        <f>IFERROR(HLOOKUP(X697,List!$D$2:$H$6,5,FALSE),"")</f>
        <v/>
      </c>
      <c r="AC697" s="12" t="str">
        <f t="shared" si="172"/>
        <v/>
      </c>
      <c r="AD697" s="12" t="str">
        <f t="shared" si="173"/>
        <v/>
      </c>
      <c r="AE697" s="12" t="str">
        <f t="shared" si="174"/>
        <v/>
      </c>
      <c r="AF697" s="12" t="str">
        <f t="shared" si="175"/>
        <v/>
      </c>
      <c r="AG697" t="str">
        <f>VLOOKUP(J697,'Receivable Invoice Detail'!$A$1:F3709,6,FALSE)</f>
        <v>104233/6502Volute Liner Seal, 14/12 F, G or ST-AH, EPDM Rubber</v>
      </c>
      <c r="AH697" s="12">
        <f t="shared" ref="AH697" si="188">SUM(AC697:AF697)</f>
        <v>0</v>
      </c>
      <c r="AM697" s="12" t="str">
        <f t="shared" si="176"/>
        <v/>
      </c>
      <c r="AN697" s="12" t="str">
        <f t="shared" si="177"/>
        <v/>
      </c>
      <c r="AO697" s="12" t="str">
        <f t="shared" si="178"/>
        <v/>
      </c>
      <c r="AP697" s="12" t="str">
        <f t="shared" si="179"/>
        <v/>
      </c>
      <c r="AQ697" s="64">
        <f>M697</f>
        <v>2504</v>
      </c>
      <c r="AR697" t="s">
        <v>5939</v>
      </c>
      <c r="AS697" s="12">
        <f t="shared" si="181"/>
        <v>21.1677</v>
      </c>
      <c r="AT697" s="16" t="str">
        <f t="shared" si="182"/>
        <v>Yes</v>
      </c>
    </row>
    <row r="698" spans="1:46" hidden="1" x14ac:dyDescent="0.25">
      <c r="A698" s="41">
        <f>CASOPOInvCL!T698</f>
        <v>1</v>
      </c>
      <c r="B698" t="str">
        <f>CASOPOInvCL!Z698</f>
        <v>SO17451</v>
      </c>
      <c r="D698" t="s">
        <v>5851</v>
      </c>
      <c r="G698" s="5" t="str">
        <f>CASOPOInvCL!I698</f>
        <v>Ian Trottier</v>
      </c>
      <c r="H698" s="31">
        <f>CASOPOInvCL!U698</f>
        <v>7</v>
      </c>
      <c r="I698" s="31">
        <f>CASOPOInvCL!V698</f>
        <v>2025</v>
      </c>
      <c r="J698" s="5" t="str">
        <f>CASOPOInvCL!AB698</f>
        <v>INV13183</v>
      </c>
      <c r="K698" s="31">
        <f>CASOPOInvCL!W698</f>
        <v>8</v>
      </c>
      <c r="L698" s="31">
        <f>CASOPOInvCL!X698</f>
        <v>2025</v>
      </c>
      <c r="M698">
        <v>2503</v>
      </c>
      <c r="N698" s="5" t="str">
        <f>CASOPOInvCL!AF698</f>
        <v>Manufacture Sling-Choker (Val-d’Or) Ltée</v>
      </c>
      <c r="O698" s="16" t="str">
        <f>CASOPOInvCL!AG698</f>
        <v>CAD</v>
      </c>
      <c r="P698" s="16">
        <f>CASOPOInvCL!AH698</f>
        <v>126.16</v>
      </c>
      <c r="Q698" s="16">
        <f>CASOPOInvCL!AI698</f>
        <v>92.114637132265599</v>
      </c>
      <c r="R698" s="32" t="str">
        <f>CASOPOInvCL!AU698</f>
        <v>Yes</v>
      </c>
      <c r="S698" s="16">
        <f>CASOPOInvCL!AV698</f>
        <v>0</v>
      </c>
      <c r="T698" s="16">
        <f>CASOPOInvCL!AW698</f>
        <v>92.114637132265599</v>
      </c>
      <c r="V698" t="s">
        <v>5800</v>
      </c>
      <c r="Y698" s="29" t="str">
        <f>IFERROR(HLOOKUP(U698,List!$D$2:$H$6,2,FALSE),"")</f>
        <v/>
      </c>
      <c r="Z698" s="29">
        <f>IFERROR(HLOOKUP(V698,List!$D$2:$H$6,3,FALSE),"")</f>
        <v>5.0000000000000001E-3</v>
      </c>
      <c r="AA698" s="29" t="str">
        <f>IFERROR(HLOOKUP(W698,List!$D$2:$H$6,4,FALSE),"")</f>
        <v/>
      </c>
      <c r="AB698" s="29" t="str">
        <f>IFERROR(HLOOKUP(X698,List!$D$2:$H$6,5,FALSE),"")</f>
        <v/>
      </c>
      <c r="AC698" s="12" t="str">
        <f t="shared" si="172"/>
        <v/>
      </c>
      <c r="AD698" s="12">
        <f t="shared" si="173"/>
        <v>0.46057318566132799</v>
      </c>
      <c r="AE698" s="12" t="str">
        <f t="shared" si="174"/>
        <v/>
      </c>
      <c r="AF698" s="12" t="str">
        <f t="shared" si="175"/>
        <v/>
      </c>
      <c r="AG698" t="str">
        <f>VLOOKUP(J698,'Receivable Invoice Detail'!$A$1:F3710,6,FALSE)</f>
        <v>[W18] Bearing Lock Washer, 8x6-18 &amp; 10x8-21 SRL-C, Steel</v>
      </c>
      <c r="AJ698">
        <v>2503</v>
      </c>
      <c r="AM698" s="12" t="str">
        <f t="shared" si="176"/>
        <v/>
      </c>
      <c r="AN698" s="12">
        <f t="shared" si="177"/>
        <v>0</v>
      </c>
      <c r="AO698" s="12" t="str">
        <f t="shared" si="178"/>
        <v/>
      </c>
      <c r="AP698" s="12" t="str">
        <f t="shared" si="179"/>
        <v/>
      </c>
      <c r="AQ698" s="64">
        <f>M698</f>
        <v>2503</v>
      </c>
      <c r="AR698" t="s">
        <v>5931</v>
      </c>
      <c r="AS698" s="12">
        <f t="shared" si="181"/>
        <v>0</v>
      </c>
      <c r="AT698" s="16" t="str">
        <f t="shared" si="182"/>
        <v>Yes</v>
      </c>
    </row>
    <row r="699" spans="1:46" hidden="1" x14ac:dyDescent="0.25">
      <c r="A699" s="41">
        <f>CASOPOInvCL!T699</f>
        <v>1</v>
      </c>
      <c r="B699" t="str">
        <f>CASOPOInvCL!Z699</f>
        <v>SO17452</v>
      </c>
      <c r="E699" t="s">
        <v>5925</v>
      </c>
      <c r="G699" s="5" t="str">
        <f>CASOPOInvCL!I699</f>
        <v>Ian Trottier</v>
      </c>
      <c r="H699" s="31">
        <f>CASOPOInvCL!U699</f>
        <v>7</v>
      </c>
      <c r="I699" s="31">
        <f>CASOPOInvCL!V699</f>
        <v>2025</v>
      </c>
      <c r="J699" s="5" t="str">
        <f>CASOPOInvCL!AB699</f>
        <v>INV13239</v>
      </c>
      <c r="K699" s="31">
        <f>CASOPOInvCL!W699</f>
        <v>9</v>
      </c>
      <c r="L699" s="31">
        <f>CASOPOInvCL!X699</f>
        <v>2025</v>
      </c>
      <c r="M699">
        <v>2503</v>
      </c>
      <c r="N699" s="5" t="str">
        <f>CASOPOInvCL!AF699</f>
        <v>Middle Georgia Fluid Sealing LLC</v>
      </c>
      <c r="O699" s="16" t="str">
        <f>CASOPOInvCL!AG699</f>
        <v>USD</v>
      </c>
      <c r="P699" s="16">
        <f>CASOPOInvCL!AH699</f>
        <v>31601.619184801144</v>
      </c>
      <c r="Q699" s="16">
        <f>CASOPOInvCL!AI699</f>
        <v>23073.65</v>
      </c>
      <c r="R699" s="32" t="str">
        <f>CASOPOInvCL!AU699</f>
        <v>Yes</v>
      </c>
      <c r="S699" s="16">
        <f>CASOPOInvCL!AV699</f>
        <v>895</v>
      </c>
      <c r="T699" s="16">
        <f>CASOPOInvCL!AW699</f>
        <v>22178.65</v>
      </c>
      <c r="W699" t="s">
        <v>5801</v>
      </c>
      <c r="Y699" s="29" t="str">
        <f>IFERROR(HLOOKUP(U699,List!$D$2:$H$6,2,FALSE),"")</f>
        <v/>
      </c>
      <c r="Z699" s="29" t="str">
        <f>IFERROR(HLOOKUP(V699,List!$D$2:$H$6,3,FALSE),"")</f>
        <v/>
      </c>
      <c r="AA699" s="29">
        <f>IFERROR(HLOOKUP(W699,List!$D$2:$H$6,4,FALSE),"")</f>
        <v>0.02</v>
      </c>
      <c r="AB699" s="29" t="str">
        <f>IFERROR(HLOOKUP(X699,List!$D$2:$H$6,5,FALSE),"")</f>
        <v/>
      </c>
      <c r="AC699" s="12" t="str">
        <f t="shared" si="172"/>
        <v/>
      </c>
      <c r="AD699" s="12" t="str">
        <f t="shared" si="173"/>
        <v/>
      </c>
      <c r="AE699" s="12">
        <f t="shared" si="174"/>
        <v>443.57300000000004</v>
      </c>
      <c r="AF699" s="12" t="str">
        <f t="shared" si="175"/>
        <v/>
      </c>
      <c r="AG699" t="str">
        <f>VLOOKUP(J699,'Receivable Invoice Detail'!$A$1:F3711,6,FALSE)</f>
        <v>[G-1.5x2-14-JC-HC] Pump, 1.5x2-14, Dynapro DC, Frame 2J, High Chrome</v>
      </c>
      <c r="AM699" s="12" t="str">
        <f t="shared" si="176"/>
        <v/>
      </c>
      <c r="AN699" s="12" t="str">
        <f t="shared" si="177"/>
        <v/>
      </c>
      <c r="AO699" s="12">
        <f t="shared" si="178"/>
        <v>443.57300000000004</v>
      </c>
      <c r="AP699" s="12" t="str">
        <f t="shared" si="179"/>
        <v/>
      </c>
      <c r="AQ699" s="64">
        <v>2503</v>
      </c>
      <c r="AR699" t="s">
        <v>5932</v>
      </c>
      <c r="AS699" s="12">
        <f t="shared" si="181"/>
        <v>4.2468000000000004</v>
      </c>
      <c r="AT699" s="16" t="str">
        <f t="shared" si="182"/>
        <v>Yes</v>
      </c>
    </row>
    <row r="700" spans="1:46" hidden="1" x14ac:dyDescent="0.25">
      <c r="A700" s="41">
        <f>CASOPOInvCL!T700</f>
        <v>2</v>
      </c>
      <c r="B700" t="str">
        <f>CASOPOInvCL!Z700</f>
        <v>SO17453</v>
      </c>
      <c r="D700" t="s">
        <v>5851</v>
      </c>
      <c r="G700" s="5" t="str">
        <f>CASOPOInvCL!I700</f>
        <v>Alexis Gil Lamadrid</v>
      </c>
      <c r="H700" s="31">
        <f>CASOPOInvCL!U700</f>
        <v>7</v>
      </c>
      <c r="I700" s="31">
        <f>CASOPOInvCL!V700</f>
        <v>2025</v>
      </c>
      <c r="J700" s="5" t="str">
        <f>CASOPOInvCL!AB700</f>
        <v>INV13267</v>
      </c>
      <c r="K700" s="31">
        <f>CASOPOInvCL!W700</f>
        <v>10</v>
      </c>
      <c r="L700" s="31">
        <f>CASOPOInvCL!X700</f>
        <v>2025</v>
      </c>
      <c r="M700">
        <v>2504</v>
      </c>
      <c r="N700" s="5" t="str">
        <f>CASOPOInvCL!AF700</f>
        <v>Resolute Forest Products - Fibrek</v>
      </c>
      <c r="O700" s="16" t="str">
        <f>CASOPOInvCL!AG700</f>
        <v>CAD</v>
      </c>
      <c r="P700" s="16">
        <f>CASOPOInvCL!AH700</f>
        <v>1315.82</v>
      </c>
      <c r="Q700" s="16">
        <f>CASOPOInvCL!AI700</f>
        <v>960.73463721764199</v>
      </c>
      <c r="R700" s="32" t="str">
        <f>CASOPOInvCL!AU700</f>
        <v>Yes</v>
      </c>
      <c r="S700" s="16">
        <f>CASOPOInvCL!AV700</f>
        <v>0</v>
      </c>
      <c r="T700" s="16">
        <f>CASOPOInvCL!AW700</f>
        <v>960.73463721764199</v>
      </c>
      <c r="V700" t="s">
        <v>5800</v>
      </c>
      <c r="Y700" s="29" t="str">
        <f>IFERROR(HLOOKUP(U700,List!$D$2:$H$6,2,FALSE),"")</f>
        <v/>
      </c>
      <c r="Z700" s="29">
        <f>IFERROR(HLOOKUP(V700,List!$D$2:$H$6,3,FALSE),"")</f>
        <v>5.0000000000000001E-3</v>
      </c>
      <c r="AA700" s="29" t="str">
        <f>IFERROR(HLOOKUP(W700,List!$D$2:$H$6,4,FALSE),"")</f>
        <v/>
      </c>
      <c r="AB700" s="29" t="str">
        <f>IFERROR(HLOOKUP(X700,List!$D$2:$H$6,5,FALSE),"")</f>
        <v/>
      </c>
      <c r="AC700" s="12" t="str">
        <f t="shared" si="172"/>
        <v/>
      </c>
      <c r="AD700" s="12">
        <f t="shared" si="173"/>
        <v>4.8036731860882105</v>
      </c>
      <c r="AE700" s="12" t="str">
        <f t="shared" si="174"/>
        <v/>
      </c>
      <c r="AF700" s="12" t="str">
        <f t="shared" si="175"/>
        <v/>
      </c>
      <c r="AG700" t="str">
        <f>VLOOKUP(J700,'Receivable Invoice Detail'!$A$1:F3712,6,FALSE)</f>
        <v>[G-76772X 2156] Shaft Sleeve, 3196 STX, Titanium</v>
      </c>
      <c r="AM700" s="12" t="str">
        <f t="shared" si="176"/>
        <v/>
      </c>
      <c r="AN700" s="12">
        <f t="shared" si="177"/>
        <v>4.8036731860882105</v>
      </c>
      <c r="AO700" s="12" t="str">
        <f t="shared" si="178"/>
        <v/>
      </c>
      <c r="AP700" s="12" t="str">
        <f t="shared" si="179"/>
        <v/>
      </c>
      <c r="AQ700" s="64">
        <f t="shared" ref="AQ700:AQ706" si="189">M700</f>
        <v>2504</v>
      </c>
      <c r="AR700" t="s">
        <v>5931</v>
      </c>
      <c r="AS700" s="12">
        <f t="shared" si="181"/>
        <v>1.381719556983984</v>
      </c>
      <c r="AT700" s="16" t="str">
        <f t="shared" si="182"/>
        <v>Yes</v>
      </c>
    </row>
    <row r="701" spans="1:46" hidden="1" x14ac:dyDescent="0.25">
      <c r="A701" s="41">
        <f>CASOPOInvCL!T701</f>
        <v>2</v>
      </c>
      <c r="B701" t="str">
        <f>CASOPOInvCL!Z701</f>
        <v>SO17453</v>
      </c>
      <c r="D701" t="s">
        <v>5851</v>
      </c>
      <c r="G701" s="5">
        <f>CASOPOInvCL!I701</f>
        <v>0</v>
      </c>
      <c r="H701" s="31">
        <f>CASOPOInvCL!U701</f>
        <v>7</v>
      </c>
      <c r="I701" s="31">
        <f>CASOPOInvCL!V701</f>
        <v>2025</v>
      </c>
      <c r="J701" s="5" t="str">
        <f>CASOPOInvCL!AB701</f>
        <v>INV13158</v>
      </c>
      <c r="K701" s="31">
        <f>CASOPOInvCL!W701</f>
        <v>9</v>
      </c>
      <c r="L701" s="31">
        <f>CASOPOInvCL!X701</f>
        <v>2025</v>
      </c>
      <c r="M701">
        <v>2504</v>
      </c>
      <c r="N701" s="5" t="str">
        <f>CASOPOInvCL!AF701</f>
        <v>Resolute Forest Products - Fibrek</v>
      </c>
      <c r="O701" s="16" t="str">
        <f>CASOPOInvCL!AG701</f>
        <v>CAD</v>
      </c>
      <c r="P701" s="16">
        <f>CASOPOInvCL!AH701</f>
        <v>0</v>
      </c>
      <c r="Q701" s="16">
        <f>CASOPOInvCL!AI701</f>
        <v>0</v>
      </c>
      <c r="R701" s="32" t="str">
        <f>CASOPOInvCL!AU701</f>
        <v/>
      </c>
      <c r="S701" s="16">
        <f>CASOPOInvCL!AV701</f>
        <v>0</v>
      </c>
      <c r="T701" s="16">
        <f>CASOPOInvCL!AW701</f>
        <v>0</v>
      </c>
      <c r="V701" t="s">
        <v>5800</v>
      </c>
      <c r="Y701" s="29" t="str">
        <f>IFERROR(HLOOKUP(U701,List!$D$2:$H$6,2,FALSE),"")</f>
        <v/>
      </c>
      <c r="Z701" s="29">
        <f>IFERROR(HLOOKUP(V701,List!$D$2:$H$6,3,FALSE),"")</f>
        <v>5.0000000000000001E-3</v>
      </c>
      <c r="AA701" s="29" t="str">
        <f>IFERROR(HLOOKUP(W701,List!$D$2:$H$6,4,FALSE),"")</f>
        <v/>
      </c>
      <c r="AB701" s="29" t="str">
        <f>IFERROR(HLOOKUP(X701,List!$D$2:$H$6,5,FALSE),"")</f>
        <v/>
      </c>
      <c r="AC701" s="12" t="str">
        <f t="shared" si="172"/>
        <v/>
      </c>
      <c r="AD701" s="12">
        <f t="shared" si="173"/>
        <v>0</v>
      </c>
      <c r="AE701" s="12" t="str">
        <f t="shared" si="174"/>
        <v/>
      </c>
      <c r="AF701" s="12" t="str">
        <f t="shared" si="175"/>
        <v/>
      </c>
      <c r="AG701" t="str">
        <f>VLOOKUP(J701,'Receivable Invoice Detail'!$A$1:F3713,6,FALSE)</f>
        <v>[G-262-94 1013] Frame Adapter, 13", 3196 MTX/LTX, Ductile Iron</v>
      </c>
      <c r="AM701" s="12" t="str">
        <f t="shared" si="176"/>
        <v/>
      </c>
      <c r="AN701" s="12">
        <f t="shared" si="177"/>
        <v>0</v>
      </c>
      <c r="AO701" s="12" t="str">
        <f t="shared" si="178"/>
        <v/>
      </c>
      <c r="AP701" s="12" t="str">
        <f t="shared" si="179"/>
        <v/>
      </c>
      <c r="AQ701" s="64">
        <f t="shared" si="189"/>
        <v>2504</v>
      </c>
      <c r="AR701" t="s">
        <v>5931</v>
      </c>
      <c r="AS701" s="12">
        <f t="shared" si="181"/>
        <v>332.67975000000001</v>
      </c>
      <c r="AT701" s="16" t="str">
        <f t="shared" si="182"/>
        <v/>
      </c>
    </row>
    <row r="702" spans="1:46" hidden="1" x14ac:dyDescent="0.25">
      <c r="A702" s="41">
        <f>CASOPOInvCL!T702</f>
        <v>1</v>
      </c>
      <c r="B702" t="str">
        <f>CASOPOInvCL!Z702</f>
        <v>SO17454</v>
      </c>
      <c r="D702" t="s">
        <v>5851</v>
      </c>
      <c r="G702" s="5" t="str">
        <f>CASOPOInvCL!I702</f>
        <v>Alexis Gil Lamadrid</v>
      </c>
      <c r="H702" s="31">
        <f>CASOPOInvCL!U702</f>
        <v>7</v>
      </c>
      <c r="I702" s="31">
        <f>CASOPOInvCL!V702</f>
        <v>2025</v>
      </c>
      <c r="J702" s="5" t="str">
        <f>CASOPOInvCL!AB702</f>
        <v>INV13266</v>
      </c>
      <c r="K702" s="31">
        <f>CASOPOInvCL!W702</f>
        <v>10</v>
      </c>
      <c r="L702" s="31">
        <f>CASOPOInvCL!X702</f>
        <v>2025</v>
      </c>
      <c r="M702">
        <v>2504</v>
      </c>
      <c r="N702" s="5" t="str">
        <f>CASOPOInvCL!AF702</f>
        <v>Resolute Forest Products - Clermont</v>
      </c>
      <c r="O702" s="16" t="str">
        <f>CASOPOInvCL!AG702</f>
        <v>CAD</v>
      </c>
      <c r="P702" s="16">
        <f>CASOPOInvCL!AH702</f>
        <v>765.02</v>
      </c>
      <c r="Q702" s="16">
        <f>CASOPOInvCL!AI702</f>
        <v>558.12635748517152</v>
      </c>
      <c r="R702" s="32" t="str">
        <f>CASOPOInvCL!AU702</f>
        <v>Yes</v>
      </c>
      <c r="S702" s="16">
        <f>CASOPOInvCL!AV702</f>
        <v>0</v>
      </c>
      <c r="T702" s="16">
        <f>CASOPOInvCL!AW702</f>
        <v>558.12635748517152</v>
      </c>
      <c r="V702" t="s">
        <v>5800</v>
      </c>
      <c r="Y702" s="29" t="str">
        <f>IFERROR(HLOOKUP(U702,List!$D$2:$H$6,2,FALSE),"")</f>
        <v/>
      </c>
      <c r="Z702" s="29">
        <f>IFERROR(HLOOKUP(V702,List!$D$2:$H$6,3,FALSE),"")</f>
        <v>5.0000000000000001E-3</v>
      </c>
      <c r="AA702" s="29" t="str">
        <f>IFERROR(HLOOKUP(W702,List!$D$2:$H$6,4,FALSE),"")</f>
        <v/>
      </c>
      <c r="AB702" s="29" t="str">
        <f>IFERROR(HLOOKUP(X702,List!$D$2:$H$6,5,FALSE),"")</f>
        <v/>
      </c>
      <c r="AC702" s="12" t="str">
        <f t="shared" si="172"/>
        <v/>
      </c>
      <c r="AD702" s="12">
        <f t="shared" si="173"/>
        <v>2.7906317874258577</v>
      </c>
      <c r="AE702" s="12" t="str">
        <f t="shared" si="174"/>
        <v/>
      </c>
      <c r="AF702" s="12" t="str">
        <f t="shared" si="175"/>
        <v/>
      </c>
      <c r="AG702" t="str">
        <f>VLOOKUP(J702,'Receivable Invoice Detail'!$A$1:F3714,6,FALSE)</f>
        <v>[G-B00294A 6956] Shaft Sleeve, 3175-S, 316SS, Ni-Chrome Boron</v>
      </c>
      <c r="AM702" s="12" t="str">
        <f t="shared" si="176"/>
        <v/>
      </c>
      <c r="AN702" s="12">
        <f t="shared" si="177"/>
        <v>2.7906317874258577</v>
      </c>
      <c r="AO702" s="12" t="str">
        <f t="shared" si="178"/>
        <v/>
      </c>
      <c r="AP702" s="12" t="str">
        <f t="shared" si="179"/>
        <v/>
      </c>
      <c r="AQ702" s="64">
        <f t="shared" si="189"/>
        <v>2504</v>
      </c>
      <c r="AR702" t="s">
        <v>5931</v>
      </c>
      <c r="AS702" s="12">
        <f t="shared" si="181"/>
        <v>14.411019558264629</v>
      </c>
      <c r="AT702" s="16" t="str">
        <f t="shared" si="182"/>
        <v>Yes</v>
      </c>
    </row>
    <row r="703" spans="1:46" hidden="1" x14ac:dyDescent="0.25">
      <c r="A703" s="41">
        <f>CASOPOInvCL!T703</f>
        <v>1</v>
      </c>
      <c r="B703" t="str">
        <f>CASOPOInvCL!Z703</f>
        <v>SO17455</v>
      </c>
      <c r="D703" t="s">
        <v>5915</v>
      </c>
      <c r="G703" s="5" t="str">
        <f>CASOPOInvCL!I703</f>
        <v>Ian Trottier</v>
      </c>
      <c r="H703" s="31">
        <f>CASOPOInvCL!U703</f>
        <v>7</v>
      </c>
      <c r="I703" s="31">
        <f>CASOPOInvCL!V703</f>
        <v>2025</v>
      </c>
      <c r="J703" s="5" t="str">
        <f>CASOPOInvCL!AB703</f>
        <v>INV13323</v>
      </c>
      <c r="K703" s="31">
        <f>CASOPOInvCL!W703</f>
        <v>10</v>
      </c>
      <c r="L703" s="31">
        <f>CASOPOInvCL!X703</f>
        <v>2025</v>
      </c>
      <c r="M703">
        <v>2504</v>
      </c>
      <c r="N703" s="5" t="str">
        <f>CASOPOInvCL!AF703</f>
        <v>Glencore Canada Corporation - Rouyn-Noranda, Glencore Canada Corp.</v>
      </c>
      <c r="O703" s="16" t="str">
        <f>CASOPOInvCL!AG703</f>
        <v>CAD</v>
      </c>
      <c r="P703" s="16">
        <f>CASOPOInvCL!AH703</f>
        <v>109.66</v>
      </c>
      <c r="Q703" s="16">
        <f>CASOPOInvCL!AI703</f>
        <v>80.003315418974552</v>
      </c>
      <c r="R703" s="32" t="str">
        <f>CASOPOInvCL!AU703</f>
        <v>Yes</v>
      </c>
      <c r="S703" s="16">
        <f>CASOPOInvCL!AV703</f>
        <v>0</v>
      </c>
      <c r="T703" s="16">
        <f>CASOPOInvCL!AW703</f>
        <v>80.003315418974552</v>
      </c>
      <c r="V703" t="s">
        <v>5800</v>
      </c>
      <c r="Y703" s="29" t="str">
        <f>IFERROR(HLOOKUP(U703,List!$D$2:$H$6,2,FALSE),"")</f>
        <v/>
      </c>
      <c r="Z703" s="29">
        <f>IFERROR(HLOOKUP(V703,List!$D$2:$H$6,3,FALSE),"")</f>
        <v>5.0000000000000001E-3</v>
      </c>
      <c r="AA703" s="29" t="str">
        <f>IFERROR(HLOOKUP(W703,List!$D$2:$H$6,4,FALSE),"")</f>
        <v/>
      </c>
      <c r="AB703" s="29" t="str">
        <f>IFERROR(HLOOKUP(X703,List!$D$2:$H$6,5,FALSE),"")</f>
        <v/>
      </c>
      <c r="AC703" s="12" t="str">
        <f t="shared" si="172"/>
        <v/>
      </c>
      <c r="AD703" s="12">
        <f t="shared" si="173"/>
        <v>0.40001657709487276</v>
      </c>
      <c r="AE703" s="12" t="str">
        <f t="shared" si="174"/>
        <v/>
      </c>
      <c r="AF703" s="12" t="str">
        <f t="shared" si="175"/>
        <v/>
      </c>
      <c r="AG703" t="str">
        <f>VLOOKUP(J703,'Receivable Invoice Detail'!$A$1:F3715,6,FALSE)</f>
        <v>[AC-98-236-245-002] Premium Slurry Packing (5 Piece Set), 3x3-10 SRL and SRL-C, Kevlar Fiber w/Silicon Core</v>
      </c>
      <c r="AM703" s="12" t="str">
        <f t="shared" si="176"/>
        <v/>
      </c>
      <c r="AN703" s="12">
        <f t="shared" si="177"/>
        <v>0.40001657709487276</v>
      </c>
      <c r="AO703" s="12" t="str">
        <f t="shared" si="178"/>
        <v/>
      </c>
      <c r="AP703" s="12" t="str">
        <f t="shared" si="179"/>
        <v/>
      </c>
      <c r="AQ703" s="64">
        <f t="shared" si="189"/>
        <v>2504</v>
      </c>
      <c r="AR703" t="s">
        <v>5931</v>
      </c>
      <c r="AS703" s="12">
        <f t="shared" si="181"/>
        <v>0</v>
      </c>
      <c r="AT703" s="16" t="str">
        <f t="shared" si="182"/>
        <v>Yes</v>
      </c>
    </row>
    <row r="704" spans="1:46" hidden="1" x14ac:dyDescent="0.25">
      <c r="A704" s="41">
        <f>CASOPOInvCL!T704</f>
        <v>2</v>
      </c>
      <c r="B704" t="str">
        <f>CASOPOInvCL!Z704</f>
        <v>SO17456</v>
      </c>
      <c r="D704" t="s">
        <v>5915</v>
      </c>
      <c r="G704" s="5" t="str">
        <f>CASOPOInvCL!I704</f>
        <v>Wilka Nuñez</v>
      </c>
      <c r="H704" s="31">
        <f>CASOPOInvCL!U704</f>
        <v>7</v>
      </c>
      <c r="I704" s="31">
        <f>CASOPOInvCL!V704</f>
        <v>2025</v>
      </c>
      <c r="J704" s="5" t="str">
        <f>CASOPOInvCL!AB704</f>
        <v>INV13276</v>
      </c>
      <c r="K704" s="31">
        <f>CASOPOInvCL!W704</f>
        <v>9</v>
      </c>
      <c r="L704" s="31">
        <f>CASOPOInvCL!X704</f>
        <v>2025</v>
      </c>
      <c r="M704">
        <v>2503</v>
      </c>
      <c r="N704" s="5" t="str">
        <f>CASOPOInvCL!AF704</f>
        <v>PT Vale Indonesia Tbk.</v>
      </c>
      <c r="O704" s="16" t="str">
        <f>CASOPOInvCL!AG704</f>
        <v>USD</v>
      </c>
      <c r="P704" s="16">
        <f>CASOPOInvCL!AH704</f>
        <v>504.7155770502157</v>
      </c>
      <c r="Q704" s="16">
        <f>CASOPOInvCL!AI704</f>
        <v>369.84</v>
      </c>
      <c r="R704" s="32" t="str">
        <f>CASOPOInvCL!AU704</f>
        <v>Yes</v>
      </c>
      <c r="S704" s="16">
        <f>CASOPOInvCL!AV704</f>
        <v>0</v>
      </c>
      <c r="T704" s="16">
        <f>CASOPOInvCL!AW704</f>
        <v>369.84</v>
      </c>
      <c r="V704" t="s">
        <v>5800</v>
      </c>
      <c r="Y704" s="29" t="str">
        <f>IFERROR(HLOOKUP(U704,List!$D$2:$H$6,2,FALSE),"")</f>
        <v/>
      </c>
      <c r="Z704" s="29">
        <f>IFERROR(HLOOKUP(V704,List!$D$2:$H$6,3,FALSE),"")</f>
        <v>5.0000000000000001E-3</v>
      </c>
      <c r="AA704" s="29" t="str">
        <f>IFERROR(HLOOKUP(W704,List!$D$2:$H$6,4,FALSE),"")</f>
        <v/>
      </c>
      <c r="AB704" s="29" t="str">
        <f>IFERROR(HLOOKUP(X704,List!$D$2:$H$6,5,FALSE),"")</f>
        <v/>
      </c>
      <c r="AC704" s="12" t="str">
        <f t="shared" si="172"/>
        <v/>
      </c>
      <c r="AD704" s="12">
        <f t="shared" si="173"/>
        <v>1.8492</v>
      </c>
      <c r="AE704" s="12" t="str">
        <f t="shared" si="174"/>
        <v/>
      </c>
      <c r="AF704" s="12" t="str">
        <f t="shared" si="175"/>
        <v/>
      </c>
      <c r="AG704" t="str">
        <f>VLOOKUP(J704,'Receivable Invoice Detail'!$A$1:F3716,6,FALSE)</f>
        <v>[G-D08717A03 6241] Labyrinth Seal (Outboard), 3196 MTX, Carbon Teflon</v>
      </c>
      <c r="AJ704">
        <v>2503</v>
      </c>
      <c r="AM704" s="12" t="str">
        <f t="shared" si="176"/>
        <v/>
      </c>
      <c r="AN704" s="12">
        <f t="shared" si="177"/>
        <v>0</v>
      </c>
      <c r="AO704" s="12" t="str">
        <f t="shared" si="178"/>
        <v/>
      </c>
      <c r="AP704" s="12" t="str">
        <f t="shared" si="179"/>
        <v/>
      </c>
      <c r="AQ704" s="64">
        <f t="shared" si="189"/>
        <v>2503</v>
      </c>
      <c r="AR704" t="s">
        <v>5931</v>
      </c>
      <c r="AS704" s="12">
        <f t="shared" si="181"/>
        <v>8.3718953622775718</v>
      </c>
      <c r="AT704" s="16" t="str">
        <f t="shared" si="182"/>
        <v>Yes</v>
      </c>
    </row>
    <row r="705" spans="1:46" hidden="1" x14ac:dyDescent="0.25">
      <c r="A705" s="41">
        <f>CASOPOInvCL!T705</f>
        <v>2</v>
      </c>
      <c r="B705" t="str">
        <f>CASOPOInvCL!Z705</f>
        <v>SO17456</v>
      </c>
      <c r="D705" t="s">
        <v>5915</v>
      </c>
      <c r="G705" s="5">
        <f>CASOPOInvCL!I705</f>
        <v>0</v>
      </c>
      <c r="H705" s="31">
        <f>CASOPOInvCL!U705</f>
        <v>7</v>
      </c>
      <c r="I705" s="31">
        <f>CASOPOInvCL!V705</f>
        <v>2025</v>
      </c>
      <c r="J705" s="5" t="str">
        <f>CASOPOInvCL!AB705</f>
        <v>INV13176</v>
      </c>
      <c r="K705" s="31">
        <f>CASOPOInvCL!W705</f>
        <v>9</v>
      </c>
      <c r="L705" s="31">
        <f>CASOPOInvCL!X705</f>
        <v>2025</v>
      </c>
      <c r="M705">
        <v>2503</v>
      </c>
      <c r="N705" s="5" t="str">
        <f>CASOPOInvCL!AF705</f>
        <v>PT Vale Indonesia Tbk.</v>
      </c>
      <c r="O705" s="16" t="str">
        <f>CASOPOInvCL!AG705</f>
        <v>USD</v>
      </c>
      <c r="P705" s="16">
        <f>CASOPOInvCL!AH705</f>
        <v>0</v>
      </c>
      <c r="Q705" s="16">
        <f>CASOPOInvCL!AI705</f>
        <v>0</v>
      </c>
      <c r="R705" s="32" t="str">
        <f>CASOPOInvCL!AU705</f>
        <v/>
      </c>
      <c r="S705" s="16">
        <f>CASOPOInvCL!AV705</f>
        <v>0</v>
      </c>
      <c r="T705" s="16">
        <f>CASOPOInvCL!AW705</f>
        <v>0</v>
      </c>
      <c r="V705" t="s">
        <v>5800</v>
      </c>
      <c r="Y705" s="29" t="str">
        <f>IFERROR(HLOOKUP(U705,List!$D$2:$H$6,2,FALSE),"")</f>
        <v/>
      </c>
      <c r="Z705" s="29">
        <f>IFERROR(HLOOKUP(V705,List!$D$2:$H$6,3,FALSE),"")</f>
        <v>5.0000000000000001E-3</v>
      </c>
      <c r="AA705" s="29" t="str">
        <f>IFERROR(HLOOKUP(W705,List!$D$2:$H$6,4,FALSE),"")</f>
        <v/>
      </c>
      <c r="AB705" s="29" t="str">
        <f>IFERROR(HLOOKUP(X705,List!$D$2:$H$6,5,FALSE),"")</f>
        <v/>
      </c>
      <c r="AC705" s="12" t="str">
        <f t="shared" si="172"/>
        <v/>
      </c>
      <c r="AD705" s="12">
        <f t="shared" si="173"/>
        <v>0</v>
      </c>
      <c r="AE705" s="12" t="str">
        <f t="shared" si="174"/>
        <v/>
      </c>
      <c r="AF705" s="12" t="str">
        <f t="shared" si="175"/>
        <v/>
      </c>
      <c r="AG705" t="str">
        <f>VLOOKUP(J705,'Receivable Invoice Detail'!$A$1:F3717,6,FALSE)</f>
        <v>[G-D08717A03 6241] Labyrinth Seal (Outboard), 3196 MTX, Carbon Teflon</v>
      </c>
      <c r="AH705" s="12">
        <f t="shared" ref="AH705" si="190">SUM(AC705:AF705)</f>
        <v>0</v>
      </c>
      <c r="AJ705">
        <v>2503</v>
      </c>
      <c r="AM705" s="12" t="str">
        <f t="shared" si="176"/>
        <v/>
      </c>
      <c r="AN705" s="12">
        <f t="shared" si="177"/>
        <v>0</v>
      </c>
      <c r="AO705" s="12" t="str">
        <f t="shared" si="178"/>
        <v/>
      </c>
      <c r="AP705" s="12" t="str">
        <f t="shared" si="179"/>
        <v/>
      </c>
      <c r="AQ705" s="64">
        <f t="shared" si="189"/>
        <v>2503</v>
      </c>
      <c r="AR705" t="s">
        <v>5931</v>
      </c>
      <c r="AS705" s="12">
        <f t="shared" si="181"/>
        <v>1.2000497312846183</v>
      </c>
      <c r="AT705" s="16" t="str">
        <f t="shared" si="182"/>
        <v/>
      </c>
    </row>
    <row r="706" spans="1:46" hidden="1" x14ac:dyDescent="0.25">
      <c r="A706" s="41">
        <f>CASOPOInvCL!T706</f>
        <v>1</v>
      </c>
      <c r="B706" t="str">
        <f>CASOPOInvCL!Z706</f>
        <v>SO17457</v>
      </c>
      <c r="D706" t="s">
        <v>5915</v>
      </c>
      <c r="G706" s="5" t="str">
        <f>CASOPOInvCL!I706</f>
        <v>Wilka Nuñez</v>
      </c>
      <c r="H706" s="31">
        <f>CASOPOInvCL!U706</f>
        <v>7</v>
      </c>
      <c r="I706" s="31">
        <f>CASOPOInvCL!V706</f>
        <v>2025</v>
      </c>
      <c r="J706" s="5" t="str">
        <f>CASOPOInvCL!AB706</f>
        <v>INV13393</v>
      </c>
      <c r="K706" s="31">
        <f>CASOPOInvCL!W706</f>
        <v>10</v>
      </c>
      <c r="L706" s="31">
        <f>CASOPOInvCL!X706</f>
        <v>2025</v>
      </c>
      <c r="M706">
        <v>2504</v>
      </c>
      <c r="N706" s="5" t="str">
        <f>CASOPOInvCL!AF706</f>
        <v>Eleazar General &amp; Industrial Supplies Limited</v>
      </c>
      <c r="O706" s="16" t="str">
        <f>CASOPOInvCL!AG706</f>
        <v>USD</v>
      </c>
      <c r="P706" s="16">
        <f>CASOPOInvCL!AH706</f>
        <v>627.21827607109424</v>
      </c>
      <c r="Q706" s="16">
        <f>CASOPOInvCL!AI706</f>
        <v>453</v>
      </c>
      <c r="R706" s="32" t="str">
        <f>CASOPOInvCL!AU706</f>
        <v>Yes</v>
      </c>
      <c r="S706" s="16">
        <f>CASOPOInvCL!AV706</f>
        <v>0</v>
      </c>
      <c r="T706" s="16">
        <f>CASOPOInvCL!AW706</f>
        <v>453</v>
      </c>
      <c r="V706" t="s">
        <v>5800</v>
      </c>
      <c r="Y706" s="29" t="str">
        <f>IFERROR(HLOOKUP(U706,List!$D$2:$H$6,2,FALSE),"")</f>
        <v/>
      </c>
      <c r="Z706" s="29">
        <f>IFERROR(HLOOKUP(V706,List!$D$2:$H$6,3,FALSE),"")</f>
        <v>5.0000000000000001E-3</v>
      </c>
      <c r="AA706" s="29" t="str">
        <f>IFERROR(HLOOKUP(W706,List!$D$2:$H$6,4,FALSE),"")</f>
        <v/>
      </c>
      <c r="AB706" s="29" t="str">
        <f>IFERROR(HLOOKUP(X706,List!$D$2:$H$6,5,FALSE),"")</f>
        <v/>
      </c>
      <c r="AC706" s="12" t="str">
        <f t="shared" si="172"/>
        <v/>
      </c>
      <c r="AD706" s="12">
        <f t="shared" si="173"/>
        <v>2.2650000000000001</v>
      </c>
      <c r="AE706" s="12" t="str">
        <f t="shared" si="174"/>
        <v/>
      </c>
      <c r="AF706" s="12" t="str">
        <f t="shared" si="175"/>
        <v/>
      </c>
      <c r="AG706" t="str">
        <f>VLOOKUP(J706,'Receivable Invoice Detail'!$A$1:F3718,6,FALSE)</f>
        <v>[AC-98-131-246-511] Deflector (Water Slinger), 5x5/5x4/6x6 SRL &amp; SRL-C, Neoprene/Steel</v>
      </c>
      <c r="AM706" s="12" t="str">
        <f t="shared" si="176"/>
        <v/>
      </c>
      <c r="AN706" s="12">
        <f t="shared" si="177"/>
        <v>2.2650000000000001</v>
      </c>
      <c r="AO706" s="12" t="str">
        <f t="shared" si="178"/>
        <v/>
      </c>
      <c r="AP706" s="12" t="str">
        <f t="shared" si="179"/>
        <v/>
      </c>
      <c r="AQ706" s="64">
        <f t="shared" si="189"/>
        <v>2504</v>
      </c>
      <c r="AR706" t="s">
        <v>5931</v>
      </c>
      <c r="AS706" s="12">
        <f t="shared" si="181"/>
        <v>5.5475999999999992</v>
      </c>
      <c r="AT706" s="16" t="str">
        <f t="shared" si="182"/>
        <v>Yes</v>
      </c>
    </row>
    <row r="707" spans="1:46" hidden="1" x14ac:dyDescent="0.25">
      <c r="A707" s="41">
        <f>CASOPOInvCL!T707</f>
        <v>1</v>
      </c>
      <c r="B707" t="str">
        <f>CASOPOInvCL!Z707</f>
        <v>SO17459</v>
      </c>
      <c r="D707" t="s">
        <v>5925</v>
      </c>
      <c r="G707" s="5" t="str">
        <f>CASOPOInvCL!I707</f>
        <v>Ian Trottier</v>
      </c>
      <c r="H707" s="31">
        <f>CASOPOInvCL!U707</f>
        <v>7</v>
      </c>
      <c r="I707" s="31">
        <f>CASOPOInvCL!V707</f>
        <v>2025</v>
      </c>
      <c r="J707" s="5" t="str">
        <f>CASOPOInvCL!AB707</f>
        <v>INV13173</v>
      </c>
      <c r="K707" s="31">
        <f>CASOPOInvCL!W707</f>
        <v>8</v>
      </c>
      <c r="L707" s="31">
        <f>CASOPOInvCL!X707</f>
        <v>2025</v>
      </c>
      <c r="M707">
        <v>2503</v>
      </c>
      <c r="N707" s="5" t="str">
        <f>CASOPOInvCL!AF707</f>
        <v>Wajax Limited - Noranda</v>
      </c>
      <c r="O707" s="16" t="str">
        <f>CASOPOInvCL!AG707</f>
        <v>CAD</v>
      </c>
      <c r="P707" s="16">
        <f>CASOPOInvCL!AH707</f>
        <v>3048.78</v>
      </c>
      <c r="Q707" s="16">
        <f>CASOPOInvCL!AI707</f>
        <v>2226.040451776385</v>
      </c>
      <c r="R707" s="32" t="str">
        <f>CASOPOInvCL!AU707</f>
        <v>Yes</v>
      </c>
      <c r="S707" s="16">
        <f>CASOPOInvCL!AV707</f>
        <v>0</v>
      </c>
      <c r="T707" s="16">
        <f>CASOPOInvCL!AW707</f>
        <v>2226.040451776385</v>
      </c>
      <c r="V707" t="s">
        <v>5800</v>
      </c>
      <c r="Y707" s="29" t="str">
        <f>IFERROR(HLOOKUP(U707,List!$D$2:$H$6,2,FALSE),"")</f>
        <v/>
      </c>
      <c r="Z707" s="29">
        <f>IFERROR(HLOOKUP(V707,List!$D$2:$H$6,3,FALSE),"")</f>
        <v>5.0000000000000001E-3</v>
      </c>
      <c r="AA707" s="29" t="str">
        <f>IFERROR(HLOOKUP(W707,List!$D$2:$H$6,4,FALSE),"")</f>
        <v/>
      </c>
      <c r="AB707" s="29" t="str">
        <f>IFERROR(HLOOKUP(X707,List!$D$2:$H$6,5,FALSE),"")</f>
        <v/>
      </c>
      <c r="AC707" s="12" t="str">
        <f t="shared" ref="AC707:AC770" si="191">IFERROR(Y707*$T707,"")</f>
        <v/>
      </c>
      <c r="AD707" s="12">
        <f t="shared" ref="AD707:AD770" si="192">IFERROR(Z707*$T707,"")</f>
        <v>11.130202258881924</v>
      </c>
      <c r="AE707" s="12" t="str">
        <f t="shared" ref="AE707:AE770" si="193">IFERROR(AA707*$T707,"")</f>
        <v/>
      </c>
      <c r="AF707" s="12" t="str">
        <f t="shared" ref="AF707:AF770" si="194">IFERROR(AB707*$T707,"")</f>
        <v/>
      </c>
      <c r="AG707" t="str">
        <f>VLOOKUP(J707,'Receivable Invoice Detail'!$A$1:F3719,6,FALSE)</f>
        <v>[AC-98-431-797-501] Gland Side Casing, 5x4-14 SRL-C, Cast Iron</v>
      </c>
      <c r="AM707" s="12" t="str">
        <f t="shared" ref="AM707:AM770" si="195">IF(AI707="",AC707,0)</f>
        <v/>
      </c>
      <c r="AN707" s="12">
        <f t="shared" ref="AN707:AN770" si="196">IF(AJ707="",AD707,0)</f>
        <v>11.130202258881924</v>
      </c>
      <c r="AO707" s="12" t="str">
        <f t="shared" ref="AO707:AO770" si="197">IF(AK707="",AE707,0)</f>
        <v/>
      </c>
      <c r="AP707" s="12" t="str">
        <f t="shared" ref="AP707:AP770" si="198">IF(AL707="",AF707,0)</f>
        <v/>
      </c>
      <c r="AQ707" s="64">
        <v>2503</v>
      </c>
      <c r="AR707" t="s">
        <v>5932</v>
      </c>
      <c r="AS707" s="12">
        <f t="shared" si="181"/>
        <v>0</v>
      </c>
      <c r="AT707" s="16" t="str">
        <f t="shared" si="182"/>
        <v>Yes</v>
      </c>
    </row>
    <row r="708" spans="1:46" hidden="1" x14ac:dyDescent="0.25">
      <c r="A708" s="41">
        <f>CASOPOInvCL!T708</f>
        <v>2</v>
      </c>
      <c r="B708" t="str">
        <f>CASOPOInvCL!Z708</f>
        <v>SO17461</v>
      </c>
      <c r="D708" t="s">
        <v>5851</v>
      </c>
      <c r="G708" s="5" t="str">
        <f>CASOPOInvCL!I708</f>
        <v>Ian Trottier</v>
      </c>
      <c r="H708" s="31">
        <f>CASOPOInvCL!U708</f>
        <v>7</v>
      </c>
      <c r="I708" s="31">
        <f>CASOPOInvCL!V708</f>
        <v>2025</v>
      </c>
      <c r="J708" s="5" t="str">
        <f>CASOPOInvCL!AB708</f>
        <v>INV13201</v>
      </c>
      <c r="K708" s="31">
        <f>CASOPOInvCL!W708</f>
        <v>8</v>
      </c>
      <c r="L708" s="31">
        <f>CASOPOInvCL!X708</f>
        <v>2025</v>
      </c>
      <c r="M708">
        <v>2503</v>
      </c>
      <c r="N708" s="5" t="str">
        <f>CASOPOInvCL!AF708</f>
        <v>Wajax Limited - Noranda</v>
      </c>
      <c r="O708" s="16" t="str">
        <f>CASOPOInvCL!AG708</f>
        <v>CAD</v>
      </c>
      <c r="P708" s="16">
        <f>CASOPOInvCL!AH708</f>
        <v>984.36</v>
      </c>
      <c r="Q708" s="16">
        <f>CASOPOInvCL!AI708</f>
        <v>718.72197374379334</v>
      </c>
      <c r="R708" s="32" t="str">
        <f>CASOPOInvCL!AU708</f>
        <v>Yes</v>
      </c>
      <c r="S708" s="16">
        <f>CASOPOInvCL!AV708</f>
        <v>0</v>
      </c>
      <c r="T708" s="16">
        <f>CASOPOInvCL!AW708</f>
        <v>718.72197374379334</v>
      </c>
      <c r="V708" t="s">
        <v>5800</v>
      </c>
      <c r="Y708" s="29" t="str">
        <f>IFERROR(HLOOKUP(U708,List!$D$2:$H$6,2,FALSE),"")</f>
        <v/>
      </c>
      <c r="Z708" s="29">
        <f>IFERROR(HLOOKUP(V708,List!$D$2:$H$6,3,FALSE),"")</f>
        <v>5.0000000000000001E-3</v>
      </c>
      <c r="AA708" s="29" t="str">
        <f>IFERROR(HLOOKUP(W708,List!$D$2:$H$6,4,FALSE),"")</f>
        <v/>
      </c>
      <c r="AB708" s="29" t="str">
        <f>IFERROR(HLOOKUP(X708,List!$D$2:$H$6,5,FALSE),"")</f>
        <v/>
      </c>
      <c r="AC708" s="12" t="str">
        <f t="shared" si="191"/>
        <v/>
      </c>
      <c r="AD708" s="12">
        <f t="shared" si="192"/>
        <v>3.5936098687189668</v>
      </c>
      <c r="AE708" s="12" t="str">
        <f t="shared" si="193"/>
        <v/>
      </c>
      <c r="AF708" s="12" t="str">
        <f t="shared" si="194"/>
        <v/>
      </c>
      <c r="AG708" t="str">
        <f>VLOOKUP(J708,'Receivable Invoice Detail'!$A$1:F3720,6,FALSE)</f>
        <v>[W-E025] End Cover Shim Set, 6/4 or 8/6 E-AH</v>
      </c>
      <c r="AJ708">
        <v>2503</v>
      </c>
      <c r="AM708" s="12" t="str">
        <f t="shared" si="195"/>
        <v/>
      </c>
      <c r="AN708" s="12">
        <f t="shared" si="196"/>
        <v>0</v>
      </c>
      <c r="AO708" s="12" t="str">
        <f t="shared" si="197"/>
        <v/>
      </c>
      <c r="AP708" s="12" t="str">
        <f t="shared" si="198"/>
        <v/>
      </c>
      <c r="AQ708" s="64">
        <f>M708</f>
        <v>2503</v>
      </c>
      <c r="AR708" t="s">
        <v>5931</v>
      </c>
      <c r="AS708" s="12">
        <f t="shared" si="181"/>
        <v>6.7949999999999999</v>
      </c>
      <c r="AT708" s="16" t="str">
        <f t="shared" si="182"/>
        <v>Yes</v>
      </c>
    </row>
    <row r="709" spans="1:46" hidden="1" x14ac:dyDescent="0.25">
      <c r="A709" s="41">
        <f>CASOPOInvCL!T709</f>
        <v>2</v>
      </c>
      <c r="B709" t="str">
        <f>CASOPOInvCL!Z709</f>
        <v>SO17461</v>
      </c>
      <c r="D709" t="s">
        <v>5851</v>
      </c>
      <c r="G709" s="5">
        <f>CASOPOInvCL!I709</f>
        <v>0</v>
      </c>
      <c r="H709" s="31">
        <f>CASOPOInvCL!U709</f>
        <v>7</v>
      </c>
      <c r="I709" s="31">
        <f>CASOPOInvCL!V709</f>
        <v>2025</v>
      </c>
      <c r="J709" s="5" t="str">
        <f>CASOPOInvCL!AB709</f>
        <v>INV13174</v>
      </c>
      <c r="K709" s="31">
        <f>CASOPOInvCL!W709</f>
        <v>8</v>
      </c>
      <c r="L709" s="31">
        <f>CASOPOInvCL!X709</f>
        <v>2025</v>
      </c>
      <c r="M709">
        <v>2503</v>
      </c>
      <c r="N709" s="5" t="str">
        <f>CASOPOInvCL!AF709</f>
        <v>Wajax Limited - Noranda</v>
      </c>
      <c r="O709" s="16" t="str">
        <f>CASOPOInvCL!AG709</f>
        <v>CAD</v>
      </c>
      <c r="P709" s="16">
        <f>CASOPOInvCL!AH709</f>
        <v>0</v>
      </c>
      <c r="Q709" s="16">
        <f>CASOPOInvCL!AI709</f>
        <v>0</v>
      </c>
      <c r="R709" s="32" t="str">
        <f>CASOPOInvCL!AU709</f>
        <v/>
      </c>
      <c r="S709" s="16">
        <f>CASOPOInvCL!AV709</f>
        <v>0</v>
      </c>
      <c r="T709" s="16">
        <f>CASOPOInvCL!AW709</f>
        <v>0</v>
      </c>
      <c r="V709" t="s">
        <v>5800</v>
      </c>
      <c r="Y709" s="29" t="str">
        <f>IFERROR(HLOOKUP(U709,List!$D$2:$H$6,2,FALSE),"")</f>
        <v/>
      </c>
      <c r="Z709" s="29">
        <f>IFERROR(HLOOKUP(V709,List!$D$2:$H$6,3,FALSE),"")</f>
        <v>5.0000000000000001E-3</v>
      </c>
      <c r="AA709" s="29" t="str">
        <f>IFERROR(HLOOKUP(W709,List!$D$2:$H$6,4,FALSE),"")</f>
        <v/>
      </c>
      <c r="AB709" s="29" t="str">
        <f>IFERROR(HLOOKUP(X709,List!$D$2:$H$6,5,FALSE),"")</f>
        <v/>
      </c>
      <c r="AC709" s="12" t="str">
        <f t="shared" si="191"/>
        <v/>
      </c>
      <c r="AD709" s="12">
        <f t="shared" si="192"/>
        <v>0</v>
      </c>
      <c r="AE709" s="12" t="str">
        <f t="shared" si="193"/>
        <v/>
      </c>
      <c r="AF709" s="12" t="str">
        <f t="shared" si="194"/>
        <v/>
      </c>
      <c r="AG709" t="str">
        <f>VLOOKUP(J709,'Receivable Invoice Detail'!$A$1:F3721,6,FALSE)</f>
        <v>[AC-98-234-268-001-SS] Waterseal Bushing, 5x4/5x5/6x6 SRL, 316SS</v>
      </c>
      <c r="AJ709">
        <v>2503</v>
      </c>
      <c r="AM709" s="12" t="str">
        <f t="shared" si="195"/>
        <v/>
      </c>
      <c r="AN709" s="12">
        <f t="shared" si="196"/>
        <v>0</v>
      </c>
      <c r="AO709" s="12" t="str">
        <f t="shared" si="197"/>
        <v/>
      </c>
      <c r="AP709" s="12" t="str">
        <f t="shared" si="198"/>
        <v/>
      </c>
      <c r="AQ709" s="64">
        <f>M709</f>
        <v>2503</v>
      </c>
      <c r="AR709" t="s">
        <v>5931</v>
      </c>
      <c r="AS709" s="12">
        <f t="shared" ref="AS709:AS772" si="199">T707*1.5%</f>
        <v>33.390606776645775</v>
      </c>
      <c r="AT709" s="16" t="str">
        <f t="shared" si="182"/>
        <v/>
      </c>
    </row>
    <row r="710" spans="1:46" hidden="1" x14ac:dyDescent="0.25">
      <c r="A710" s="41">
        <f>CASOPOInvCL!T710</f>
        <v>1</v>
      </c>
      <c r="B710" t="str">
        <f>CASOPOInvCL!Z710</f>
        <v>SO17462</v>
      </c>
      <c r="G710" s="5" t="str">
        <f>CASOPOInvCL!I710</f>
        <v>Ian Trottier</v>
      </c>
      <c r="H710" s="31">
        <f>CASOPOInvCL!U710</f>
        <v>7</v>
      </c>
      <c r="I710" s="31">
        <f>CASOPOInvCL!V710</f>
        <v>2025</v>
      </c>
      <c r="J710" s="5" t="str">
        <f>CASOPOInvCL!AB710</f>
        <v>INV13466</v>
      </c>
      <c r="K710" s="31">
        <f>CASOPOInvCL!W710</f>
        <v>11</v>
      </c>
      <c r="L710" s="31">
        <f>CASOPOInvCL!X710</f>
        <v>2025</v>
      </c>
      <c r="M710" s="31"/>
      <c r="N710" s="5" t="str">
        <f>CASOPOInvCL!AF710</f>
        <v>Sealtrac Inc.</v>
      </c>
      <c r="O710" s="16" t="str">
        <f>CASOPOInvCL!AG710</f>
        <v>CAD</v>
      </c>
      <c r="P710" s="16">
        <f>CASOPOInvCL!AH710</f>
        <v>730.78</v>
      </c>
      <c r="Q710" s="16">
        <f>CASOPOInvCL!AI710</f>
        <v>523.96019993539267</v>
      </c>
      <c r="R710" s="32" t="str">
        <f>CASOPOInvCL!AU710</f>
        <v>Yes</v>
      </c>
      <c r="S710" s="16">
        <f>CASOPOInvCL!AV710</f>
        <v>0</v>
      </c>
      <c r="T710" s="16">
        <f>CASOPOInvCL!AW710</f>
        <v>523.96019993539267</v>
      </c>
      <c r="Y710" s="29" t="str">
        <f>IFERROR(HLOOKUP(U710,List!$D$2:$H$6,2,FALSE),"")</f>
        <v/>
      </c>
      <c r="Z710" s="29" t="str">
        <f>IFERROR(HLOOKUP(V710,List!$D$2:$H$6,3,FALSE),"")</f>
        <v/>
      </c>
      <c r="AA710" s="29" t="str">
        <f>IFERROR(HLOOKUP(W710,List!$D$2:$H$6,4,FALSE),"")</f>
        <v/>
      </c>
      <c r="AB710" s="29" t="str">
        <f>IFERROR(HLOOKUP(X710,List!$D$2:$H$6,5,FALSE),"")</f>
        <v/>
      </c>
      <c r="AC710" s="12" t="str">
        <f t="shared" si="191"/>
        <v/>
      </c>
      <c r="AD710" s="12" t="str">
        <f t="shared" si="192"/>
        <v/>
      </c>
      <c r="AE710" s="12" t="str">
        <f t="shared" si="193"/>
        <v/>
      </c>
      <c r="AF710" s="12" t="str">
        <f t="shared" si="194"/>
        <v/>
      </c>
      <c r="AG710" t="str">
        <f>VLOOKUP(J710,'Receivable Invoice Detail'!$A$1:F3722,6,FALSE)</f>
        <v>[G-R104-733 2238] Shaft (Sleeve Type), 3196 MTX, 4140</v>
      </c>
      <c r="AM710" s="12" t="str">
        <f t="shared" si="195"/>
        <v/>
      </c>
      <c r="AN710" s="12" t="str">
        <f t="shared" si="196"/>
        <v/>
      </c>
      <c r="AO710" s="12" t="str">
        <f t="shared" si="197"/>
        <v/>
      </c>
      <c r="AP710" s="12" t="str">
        <f t="shared" si="198"/>
        <v/>
      </c>
      <c r="AQ710" s="12"/>
      <c r="AS710" s="12">
        <f t="shared" si="199"/>
        <v>10.7808296061569</v>
      </c>
      <c r="AT710" s="16" t="str">
        <f t="shared" si="182"/>
        <v>Yes</v>
      </c>
    </row>
    <row r="711" spans="1:46" hidden="1" x14ac:dyDescent="0.25">
      <c r="A711" s="41">
        <f>CASOPOInvCL!T711</f>
        <v>2</v>
      </c>
      <c r="B711" t="str">
        <f>CASOPOInvCL!Z711</f>
        <v>SO17464</v>
      </c>
      <c r="D711" t="s">
        <v>5851</v>
      </c>
      <c r="G711" s="5" t="str">
        <f>CASOPOInvCL!I711</f>
        <v>Ian Trottier</v>
      </c>
      <c r="H711" s="31">
        <f>CASOPOInvCL!U711</f>
        <v>7</v>
      </c>
      <c r="I711" s="31">
        <f>CASOPOInvCL!V711</f>
        <v>2025</v>
      </c>
      <c r="J711" s="5" t="str">
        <f>CASOPOInvCL!AB711</f>
        <v>INV13181</v>
      </c>
      <c r="K711" s="31">
        <f>CASOPOInvCL!W711</f>
        <v>7</v>
      </c>
      <c r="L711" s="31">
        <f>CASOPOInvCL!X711</f>
        <v>2025</v>
      </c>
      <c r="M711">
        <v>2504</v>
      </c>
      <c r="N711" s="5" t="str">
        <f>CASOPOInvCL!AF711</f>
        <v>Canadian Bearings Ltd.</v>
      </c>
      <c r="O711" s="16" t="str">
        <f>CASOPOInvCL!AG711</f>
        <v>CAD</v>
      </c>
      <c r="P711" s="16">
        <f>CASOPOInvCL!AH711</f>
        <v>2870</v>
      </c>
      <c r="Q711" s="16">
        <f>CASOPOInvCL!AI711</f>
        <v>2097.763626303074</v>
      </c>
      <c r="R711" s="32" t="str">
        <f>CASOPOInvCL!AU711</f>
        <v>Yes</v>
      </c>
      <c r="S711" s="16">
        <f>CASOPOInvCL!AV711</f>
        <v>0</v>
      </c>
      <c r="T711" s="16">
        <f>CASOPOInvCL!AW711</f>
        <v>2097.763626303074</v>
      </c>
      <c r="V711" t="s">
        <v>5800</v>
      </c>
      <c r="Y711" s="29" t="str">
        <f>IFERROR(HLOOKUP(U711,List!$D$2:$H$6,2,FALSE),"")</f>
        <v/>
      </c>
      <c r="Z711" s="29">
        <f>IFERROR(HLOOKUP(V711,List!$D$2:$H$6,3,FALSE),"")</f>
        <v>5.0000000000000001E-3</v>
      </c>
      <c r="AA711" s="29" t="str">
        <f>IFERROR(HLOOKUP(W711,List!$D$2:$H$6,4,FALSE),"")</f>
        <v/>
      </c>
      <c r="AB711" s="29" t="str">
        <f>IFERROR(HLOOKUP(X711,List!$D$2:$H$6,5,FALSE),"")</f>
        <v/>
      </c>
      <c r="AC711" s="12" t="str">
        <f t="shared" si="191"/>
        <v/>
      </c>
      <c r="AD711" s="12">
        <f t="shared" si="192"/>
        <v>10.488818131515371</v>
      </c>
      <c r="AE711" s="12" t="str">
        <f t="shared" si="193"/>
        <v/>
      </c>
      <c r="AF711" s="12" t="str">
        <f t="shared" si="194"/>
        <v/>
      </c>
      <c r="AG711" t="str">
        <f>VLOOKUP(J711,'Receivable Invoice Detail'!$A$1:F3723,6,FALSE)</f>
        <v>[AC-52-109-019-003] Shaft Sleeve, Allis-Chalmers CSO, Frame F4B3/F4B5/F4D1, 316SS</v>
      </c>
      <c r="AM711" s="12" t="str">
        <f t="shared" si="195"/>
        <v/>
      </c>
      <c r="AN711" s="12">
        <f t="shared" si="196"/>
        <v>10.488818131515371</v>
      </c>
      <c r="AO711" s="12" t="str">
        <f t="shared" si="197"/>
        <v/>
      </c>
      <c r="AP711" s="12" t="str">
        <f t="shared" si="198"/>
        <v/>
      </c>
      <c r="AQ711" s="64">
        <f>M711</f>
        <v>2504</v>
      </c>
      <c r="AR711" t="s">
        <v>5931</v>
      </c>
      <c r="AS711" s="12">
        <f t="shared" si="199"/>
        <v>0</v>
      </c>
      <c r="AT711" s="16" t="str">
        <f t="shared" si="182"/>
        <v>Yes</v>
      </c>
    </row>
    <row r="712" spans="1:46" hidden="1" x14ac:dyDescent="0.25">
      <c r="A712" s="41">
        <f>CASOPOInvCL!T712</f>
        <v>2</v>
      </c>
      <c r="B712" t="str">
        <f>CASOPOInvCL!Z712</f>
        <v>SO17464</v>
      </c>
      <c r="D712" t="s">
        <v>5851</v>
      </c>
      <c r="G712" s="5">
        <f>CASOPOInvCL!I712</f>
        <v>0</v>
      </c>
      <c r="H712" s="31">
        <f>CASOPOInvCL!U712</f>
        <v>7</v>
      </c>
      <c r="I712" s="31">
        <f>CASOPOInvCL!V712</f>
        <v>2025</v>
      </c>
      <c r="J712" s="5" t="str">
        <f>CASOPOInvCL!AB712</f>
        <v>INV13271</v>
      </c>
      <c r="K712" s="31">
        <f>CASOPOInvCL!W712</f>
        <v>10</v>
      </c>
      <c r="L712" s="31">
        <f>CASOPOInvCL!X712</f>
        <v>2025</v>
      </c>
      <c r="M712">
        <v>2504</v>
      </c>
      <c r="N712" s="5" t="str">
        <f>CASOPOInvCL!AF712</f>
        <v>Canadian Bearings Ltd.</v>
      </c>
      <c r="O712" s="16" t="str">
        <f>CASOPOInvCL!AG712</f>
        <v>CAD</v>
      </c>
      <c r="P712" s="16">
        <f>CASOPOInvCL!AH712</f>
        <v>0</v>
      </c>
      <c r="Q712" s="16">
        <f>CASOPOInvCL!AI712</f>
        <v>0</v>
      </c>
      <c r="R712" s="32" t="str">
        <f>CASOPOInvCL!AU712</f>
        <v/>
      </c>
      <c r="S712" s="16">
        <f>CASOPOInvCL!AV712</f>
        <v>0</v>
      </c>
      <c r="T712" s="16">
        <f>CASOPOInvCL!AW712</f>
        <v>0</v>
      </c>
      <c r="V712" t="s">
        <v>5800</v>
      </c>
      <c r="Y712" s="29" t="str">
        <f>IFERROR(HLOOKUP(U712,List!$D$2:$H$6,2,FALSE),"")</f>
        <v/>
      </c>
      <c r="Z712" s="29">
        <f>IFERROR(HLOOKUP(V712,List!$D$2:$H$6,3,FALSE),"")</f>
        <v>5.0000000000000001E-3</v>
      </c>
      <c r="AA712" s="29" t="str">
        <f>IFERROR(HLOOKUP(W712,List!$D$2:$H$6,4,FALSE),"")</f>
        <v/>
      </c>
      <c r="AB712" s="29" t="str">
        <f>IFERROR(HLOOKUP(X712,List!$D$2:$H$6,5,FALSE),"")</f>
        <v/>
      </c>
      <c r="AC712" s="12" t="str">
        <f t="shared" si="191"/>
        <v/>
      </c>
      <c r="AD712" s="12">
        <f t="shared" si="192"/>
        <v>0</v>
      </c>
      <c r="AE712" s="12" t="str">
        <f t="shared" si="193"/>
        <v/>
      </c>
      <c r="AF712" s="12" t="str">
        <f t="shared" si="194"/>
        <v/>
      </c>
      <c r="AG712" t="str">
        <f>VLOOKUP(J712,'Receivable Invoice Detail'!$A$1:F3724,6,FALSE)</f>
        <v>[AC-52-231-827-009] Shaft (Sleeve Type), Allis-Chalmers CSO, Frame F4D1, 4140 Steel</v>
      </c>
      <c r="AM712" s="12" t="str">
        <f t="shared" si="195"/>
        <v/>
      </c>
      <c r="AN712" s="12">
        <f t="shared" si="196"/>
        <v>0</v>
      </c>
      <c r="AO712" s="12" t="str">
        <f t="shared" si="197"/>
        <v/>
      </c>
      <c r="AP712" s="12" t="str">
        <f t="shared" si="198"/>
        <v/>
      </c>
      <c r="AQ712" s="64">
        <f>M712</f>
        <v>2504</v>
      </c>
      <c r="AR712" t="s">
        <v>5931</v>
      </c>
      <c r="AS712" s="12">
        <f t="shared" si="199"/>
        <v>7.8594029990308893</v>
      </c>
      <c r="AT712" s="16" t="str">
        <f t="shared" si="182"/>
        <v/>
      </c>
    </row>
    <row r="713" spans="1:46" hidden="1" x14ac:dyDescent="0.25">
      <c r="A713" s="41">
        <f>CASOPOInvCL!T713</f>
        <v>1</v>
      </c>
      <c r="B713" t="str">
        <f>CASOPOInvCL!Z713</f>
        <v>SO17466</v>
      </c>
      <c r="D713" t="s">
        <v>5851</v>
      </c>
      <c r="G713" s="5" t="str">
        <f>CASOPOInvCL!I713</f>
        <v>Alexis Gil Lamadrid</v>
      </c>
      <c r="H713" s="31">
        <f>CASOPOInvCL!U713</f>
        <v>7</v>
      </c>
      <c r="I713" s="31">
        <f>CASOPOInvCL!V713</f>
        <v>2025</v>
      </c>
      <c r="J713" s="5" t="str">
        <f>CASOPOInvCL!AB713</f>
        <v>INV13167</v>
      </c>
      <c r="K713" s="31">
        <f>CASOPOInvCL!W713</f>
        <v>9</v>
      </c>
      <c r="L713" s="31">
        <f>CASOPOInvCL!X713</f>
        <v>2025</v>
      </c>
      <c r="M713">
        <v>2503</v>
      </c>
      <c r="N713" s="5" t="str">
        <f>CASOPOInvCL!AF713</f>
        <v>Resolute Forest Products - Clermont</v>
      </c>
      <c r="O713" s="16" t="str">
        <f>CASOPOInvCL!AG713</f>
        <v>USD</v>
      </c>
      <c r="P713" s="16">
        <f>CASOPOInvCL!AH713</f>
        <v>1379.4385475830861</v>
      </c>
      <c r="Q713" s="16">
        <f>CASOPOInvCL!AI713</f>
        <v>1010.81</v>
      </c>
      <c r="R713" s="32" t="str">
        <f>CASOPOInvCL!AU713</f>
        <v>Yes</v>
      </c>
      <c r="S713" s="16">
        <f>CASOPOInvCL!AV713</f>
        <v>0</v>
      </c>
      <c r="T713" s="16">
        <f>CASOPOInvCL!AW713</f>
        <v>1010.81</v>
      </c>
      <c r="V713" t="s">
        <v>5800</v>
      </c>
      <c r="Y713" s="29" t="str">
        <f>IFERROR(HLOOKUP(U713,List!$D$2:$H$6,2,FALSE),"")</f>
        <v/>
      </c>
      <c r="Z713" s="29">
        <f>IFERROR(HLOOKUP(V713,List!$D$2:$H$6,3,FALSE),"")</f>
        <v>5.0000000000000001E-3</v>
      </c>
      <c r="AA713" s="29" t="str">
        <f>IFERROR(HLOOKUP(W713,List!$D$2:$H$6,4,FALSE),"")</f>
        <v/>
      </c>
      <c r="AB713" s="29" t="str">
        <f>IFERROR(HLOOKUP(X713,List!$D$2:$H$6,5,FALSE),"")</f>
        <v/>
      </c>
      <c r="AC713" s="12" t="str">
        <f t="shared" si="191"/>
        <v/>
      </c>
      <c r="AD713" s="12">
        <f t="shared" si="192"/>
        <v>5.0540500000000002</v>
      </c>
      <c r="AE713" s="12" t="str">
        <f t="shared" si="193"/>
        <v/>
      </c>
      <c r="AF713" s="12" t="str">
        <f t="shared" si="194"/>
        <v/>
      </c>
      <c r="AG713" t="str">
        <f>VLOOKUP(J713,'Receivable Invoice Detail'!$A$1:F3725,6,FALSE)</f>
        <v>[G-75752 1203] Shaft Sleeve, 3175-L, 316SS</v>
      </c>
      <c r="AH713" s="12">
        <f t="shared" ref="AH713:AH714" si="200">SUM(AC713:AF713)</f>
        <v>5.0540500000000002</v>
      </c>
      <c r="AJ713">
        <v>2503</v>
      </c>
      <c r="AM713" s="12" t="str">
        <f t="shared" si="195"/>
        <v/>
      </c>
      <c r="AN713" s="12">
        <f t="shared" si="196"/>
        <v>0</v>
      </c>
      <c r="AO713" s="12" t="str">
        <f t="shared" si="197"/>
        <v/>
      </c>
      <c r="AP713" s="12" t="str">
        <f t="shared" si="198"/>
        <v/>
      </c>
      <c r="AQ713" s="64">
        <f>M713</f>
        <v>2503</v>
      </c>
      <c r="AR713" t="s">
        <v>5931</v>
      </c>
      <c r="AS713" s="12">
        <f t="shared" si="199"/>
        <v>31.466454394546108</v>
      </c>
      <c r="AT713" s="16" t="str">
        <f t="shared" si="182"/>
        <v>Yes</v>
      </c>
    </row>
    <row r="714" spans="1:46" hidden="1" x14ac:dyDescent="0.25">
      <c r="A714" s="41">
        <f>CASOPOInvCL!T714</f>
        <v>1</v>
      </c>
      <c r="B714" t="str">
        <f>CASOPOInvCL!Z714</f>
        <v>SO17467</v>
      </c>
      <c r="D714" t="s">
        <v>5851</v>
      </c>
      <c r="G714" s="5" t="str">
        <f>CASOPOInvCL!I714</f>
        <v>Ian Trottier</v>
      </c>
      <c r="H714" s="31">
        <f>CASOPOInvCL!U714</f>
        <v>7</v>
      </c>
      <c r="I714" s="31">
        <f>CASOPOInvCL!V714</f>
        <v>2025</v>
      </c>
      <c r="J714" s="5" t="str">
        <f>CASOPOInvCL!AB714</f>
        <v>INV13166</v>
      </c>
      <c r="K714" s="31">
        <f>CASOPOInvCL!W714</f>
        <v>8</v>
      </c>
      <c r="L714" s="31">
        <f>CASOPOInvCL!X714</f>
        <v>2025</v>
      </c>
      <c r="M714">
        <v>2503</v>
      </c>
      <c r="N714" s="5" t="str">
        <f>CASOPOInvCL!AF714</f>
        <v>Hyperflo</v>
      </c>
      <c r="O714" s="16" t="str">
        <f>CASOPOInvCL!AG714</f>
        <v>CAD</v>
      </c>
      <c r="P714" s="16">
        <f>CASOPOInvCL!AH714</f>
        <v>213.9</v>
      </c>
      <c r="Q714" s="16">
        <f>CASOPOInvCL!AI714</f>
        <v>156.05242721246267</v>
      </c>
      <c r="R714" s="32" t="str">
        <f>CASOPOInvCL!AU714</f>
        <v>Yes</v>
      </c>
      <c r="S714" s="16">
        <f>CASOPOInvCL!AV714</f>
        <v>0</v>
      </c>
      <c r="T714" s="16">
        <f>CASOPOInvCL!AW714</f>
        <v>156.05242721246267</v>
      </c>
      <c r="V714" t="s">
        <v>5800</v>
      </c>
      <c r="Y714" s="29" t="str">
        <f>IFERROR(HLOOKUP(U714,List!$D$2:$H$6,2,FALSE),"")</f>
        <v/>
      </c>
      <c r="Z714" s="29">
        <f>IFERROR(HLOOKUP(V714,List!$D$2:$H$6,3,FALSE),"")</f>
        <v>5.0000000000000001E-3</v>
      </c>
      <c r="AA714" s="29" t="str">
        <f>IFERROR(HLOOKUP(W714,List!$D$2:$H$6,4,FALSE),"")</f>
        <v/>
      </c>
      <c r="AB714" s="29" t="str">
        <f>IFERROR(HLOOKUP(X714,List!$D$2:$H$6,5,FALSE),"")</f>
        <v/>
      </c>
      <c r="AC714" s="12" t="str">
        <f t="shared" si="191"/>
        <v/>
      </c>
      <c r="AD714" s="12">
        <f t="shared" si="192"/>
        <v>0.78026213606231343</v>
      </c>
      <c r="AE714" s="12" t="str">
        <f t="shared" si="193"/>
        <v/>
      </c>
      <c r="AF714" s="12" t="str">
        <f t="shared" si="194"/>
        <v/>
      </c>
      <c r="AG714" t="str">
        <f>VLOOKUP(J714,'Receivable Invoice Detail'!$A$1:F3726,6,FALSE)</f>
        <v>[AC-98-233-733-513] Deflector (Water Slinger), 8x6-18 &amp; 10x8-21 SRL-C, Neoprene/Steel</v>
      </c>
      <c r="AH714" s="12">
        <f t="shared" si="200"/>
        <v>0.78026213606231343</v>
      </c>
      <c r="AJ714">
        <v>2503</v>
      </c>
      <c r="AM714" s="12" t="str">
        <f t="shared" si="195"/>
        <v/>
      </c>
      <c r="AN714" s="12">
        <f t="shared" si="196"/>
        <v>0</v>
      </c>
      <c r="AO714" s="12" t="str">
        <f t="shared" si="197"/>
        <v/>
      </c>
      <c r="AP714" s="12" t="str">
        <f t="shared" si="198"/>
        <v/>
      </c>
      <c r="AQ714" s="64">
        <f>M714</f>
        <v>2503</v>
      </c>
      <c r="AR714" t="s">
        <v>5931</v>
      </c>
      <c r="AS714" s="12">
        <f t="shared" si="199"/>
        <v>0</v>
      </c>
      <c r="AT714" s="16" t="str">
        <f t="shared" ref="AT714:AT777" si="201">R714</f>
        <v>Yes</v>
      </c>
    </row>
    <row r="715" spans="1:46" hidden="1" x14ac:dyDescent="0.25">
      <c r="A715" s="41">
        <f>CASOPOInvCL!T715</f>
        <v>1</v>
      </c>
      <c r="B715" t="str">
        <f>CASOPOInvCL!Z715</f>
        <v>SO17468</v>
      </c>
      <c r="D715" t="s">
        <v>5925</v>
      </c>
      <c r="G715" s="5" t="str">
        <f>CASOPOInvCL!I715</f>
        <v>Ian Trottier</v>
      </c>
      <c r="H715" s="31">
        <f>CASOPOInvCL!U715</f>
        <v>7</v>
      </c>
      <c r="I715" s="31">
        <f>CASOPOInvCL!V715</f>
        <v>2025</v>
      </c>
      <c r="J715" s="5" t="str">
        <f>CASOPOInvCL!AB715</f>
        <v>INV13182</v>
      </c>
      <c r="K715" s="31">
        <f>CASOPOInvCL!W715</f>
        <v>9</v>
      </c>
      <c r="L715" s="31">
        <f>CASOPOInvCL!X715</f>
        <v>2025</v>
      </c>
      <c r="M715">
        <v>2503</v>
      </c>
      <c r="N715" s="5" t="str">
        <f>CASOPOInvCL!AF715</f>
        <v>Resolute Forest Products - Saint-Felicien</v>
      </c>
      <c r="O715" s="16" t="str">
        <f>CASOPOInvCL!AG715</f>
        <v>CAD</v>
      </c>
      <c r="P715" s="16">
        <f>CASOPOInvCL!AH715</f>
        <v>398.12</v>
      </c>
      <c r="Q715" s="16">
        <f>CASOPOInvCL!AI715</f>
        <v>290.99709230096863</v>
      </c>
      <c r="R715" s="32" t="str">
        <f>CASOPOInvCL!AU715</f>
        <v>Yes</v>
      </c>
      <c r="S715" s="16">
        <f>CASOPOInvCL!AV715</f>
        <v>0</v>
      </c>
      <c r="T715" s="16">
        <f>CASOPOInvCL!AW715</f>
        <v>290.99709230096863</v>
      </c>
      <c r="V715" t="s">
        <v>5800</v>
      </c>
      <c r="Y715" s="29" t="str">
        <f>IFERROR(HLOOKUP(U715,List!$D$2:$H$6,2,FALSE),"")</f>
        <v/>
      </c>
      <c r="Z715" s="29">
        <f>IFERROR(HLOOKUP(V715,List!$D$2:$H$6,3,FALSE),"")</f>
        <v>5.0000000000000001E-3</v>
      </c>
      <c r="AA715" s="29" t="str">
        <f>IFERROR(HLOOKUP(W715,List!$D$2:$H$6,4,FALSE),"")</f>
        <v/>
      </c>
      <c r="AB715" s="29" t="str">
        <f>IFERROR(HLOOKUP(X715,List!$D$2:$H$6,5,FALSE),"")</f>
        <v/>
      </c>
      <c r="AC715" s="12" t="str">
        <f t="shared" si="191"/>
        <v/>
      </c>
      <c r="AD715" s="12">
        <f t="shared" si="192"/>
        <v>1.4549854615048432</v>
      </c>
      <c r="AE715" s="12" t="str">
        <f t="shared" si="193"/>
        <v/>
      </c>
      <c r="AF715" s="12" t="str">
        <f t="shared" si="194"/>
        <v/>
      </c>
      <c r="AG715" t="str">
        <f>VLOOKUP(J715,'Receivable Invoice Detail'!$A$1:F3727,6,FALSE)</f>
        <v>[OLPWZ011004B, G-A04951A217] Bearing Isolator (Outboard), 3196 STX/STi, 303SS Rotor / Bronze Stator w/Viton</v>
      </c>
      <c r="AM715" s="12" t="str">
        <f t="shared" si="195"/>
        <v/>
      </c>
      <c r="AN715" s="12">
        <f t="shared" si="196"/>
        <v>1.4549854615048432</v>
      </c>
      <c r="AO715" s="12" t="str">
        <f t="shared" si="197"/>
        <v/>
      </c>
      <c r="AP715" s="12" t="str">
        <f t="shared" si="198"/>
        <v/>
      </c>
      <c r="AQ715" s="64">
        <v>2503</v>
      </c>
      <c r="AR715" t="s">
        <v>5932</v>
      </c>
      <c r="AS715" s="12">
        <f t="shared" si="199"/>
        <v>15.162149999999999</v>
      </c>
      <c r="AT715" s="16" t="str">
        <f t="shared" si="201"/>
        <v>Yes</v>
      </c>
    </row>
    <row r="716" spans="1:46" hidden="1" x14ac:dyDescent="0.25">
      <c r="A716" s="41">
        <f>CASOPOInvCL!T716</f>
        <v>1</v>
      </c>
      <c r="B716" t="str">
        <f>CASOPOInvCL!Z716</f>
        <v>SO17471</v>
      </c>
      <c r="D716" t="s">
        <v>5925</v>
      </c>
      <c r="G716" s="5" t="str">
        <f>CASOPOInvCL!I716</f>
        <v>Ian Trottier</v>
      </c>
      <c r="H716" s="31">
        <f>CASOPOInvCL!U716</f>
        <v>7</v>
      </c>
      <c r="I716" s="31">
        <f>CASOPOInvCL!V716</f>
        <v>2025</v>
      </c>
      <c r="J716" s="5" t="str">
        <f>CASOPOInvCL!AB716</f>
        <v>INV13304</v>
      </c>
      <c r="K716" s="31">
        <f>CASOPOInvCL!W716</f>
        <v>9</v>
      </c>
      <c r="L716" s="31">
        <f>CASOPOInvCL!X716</f>
        <v>2025</v>
      </c>
      <c r="M716">
        <v>2503</v>
      </c>
      <c r="N716" s="5" t="str">
        <f>CASOPOInvCL!AF716</f>
        <v>Sealtrac Inc.</v>
      </c>
      <c r="O716" s="16" t="str">
        <f>CASOPOInvCL!AG716</f>
        <v>CAD</v>
      </c>
      <c r="P716" s="16">
        <f>CASOPOInvCL!AH716</f>
        <v>894.72</v>
      </c>
      <c r="Q716" s="16">
        <f>CASOPOInvCL!AI716</f>
        <v>652.75001250834316</v>
      </c>
      <c r="R716" s="32" t="str">
        <f>CASOPOInvCL!AU716</f>
        <v>Yes</v>
      </c>
      <c r="S716" s="16">
        <f>CASOPOInvCL!AV716</f>
        <v>0</v>
      </c>
      <c r="T716" s="16">
        <f>CASOPOInvCL!AW716</f>
        <v>652.75001250834316</v>
      </c>
      <c r="V716" t="s">
        <v>5800</v>
      </c>
      <c r="Y716" s="29" t="str">
        <f>IFERROR(HLOOKUP(U716,List!$D$2:$H$6,2,FALSE),"")</f>
        <v/>
      </c>
      <c r="Z716" s="29">
        <f>IFERROR(HLOOKUP(V716,List!$D$2:$H$6,3,FALSE),"")</f>
        <v>5.0000000000000001E-3</v>
      </c>
      <c r="AA716" s="29" t="str">
        <f>IFERROR(HLOOKUP(W716,List!$D$2:$H$6,4,FALSE),"")</f>
        <v/>
      </c>
      <c r="AB716" s="29" t="str">
        <f>IFERROR(HLOOKUP(X716,List!$D$2:$H$6,5,FALSE),"")</f>
        <v/>
      </c>
      <c r="AC716" s="12" t="str">
        <f t="shared" si="191"/>
        <v/>
      </c>
      <c r="AD716" s="12">
        <f t="shared" si="192"/>
        <v>3.2637500625417157</v>
      </c>
      <c r="AE716" s="12" t="str">
        <f t="shared" si="193"/>
        <v/>
      </c>
      <c r="AF716" s="12" t="str">
        <f t="shared" si="194"/>
        <v/>
      </c>
      <c r="AG716" t="str">
        <f>VLOOKUP(J716,'Receivable Invoice Detail'!$A$1:F3728,6,FALSE)</f>
        <v>[DU-BY26972AB-A20] Mechanical Seal Gland, Durco Mark 2&amp;3 Group 2, Alloy 20, Standard Bore</v>
      </c>
      <c r="AH716" s="12">
        <f t="shared" ref="AH716" si="202">SUM(AC716:AF716)</f>
        <v>3.2637500625417157</v>
      </c>
      <c r="AM716" s="12" t="str">
        <f t="shared" si="195"/>
        <v/>
      </c>
      <c r="AN716" s="12">
        <f t="shared" si="196"/>
        <v>3.2637500625417157</v>
      </c>
      <c r="AO716" s="12" t="str">
        <f t="shared" si="197"/>
        <v/>
      </c>
      <c r="AP716" s="12" t="str">
        <f t="shared" si="198"/>
        <v/>
      </c>
      <c r="AQ716" s="64">
        <v>2503</v>
      </c>
      <c r="AR716" t="s">
        <v>5932</v>
      </c>
      <c r="AS716" s="12">
        <f t="shared" si="199"/>
        <v>2.3407864081869398</v>
      </c>
      <c r="AT716" s="16" t="str">
        <f t="shared" si="201"/>
        <v>Yes</v>
      </c>
    </row>
    <row r="717" spans="1:46" hidden="1" x14ac:dyDescent="0.25">
      <c r="A717" s="41">
        <f>CASOPOInvCL!T717</f>
        <v>1</v>
      </c>
      <c r="B717" t="str">
        <f>CASOPOInvCL!Z717</f>
        <v>SO17472</v>
      </c>
      <c r="D717" t="s">
        <v>5915</v>
      </c>
      <c r="G717" s="5" t="str">
        <f>CASOPOInvCL!I717</f>
        <v>Ian Trottier</v>
      </c>
      <c r="H717" s="31">
        <f>CASOPOInvCL!U717</f>
        <v>7</v>
      </c>
      <c r="I717" s="31">
        <f>CASOPOInvCL!V717</f>
        <v>2025</v>
      </c>
      <c r="J717" s="5" t="str">
        <f>CASOPOInvCL!AB717</f>
        <v>INV13331</v>
      </c>
      <c r="K717" s="31">
        <f>CASOPOInvCL!W717</f>
        <v>10</v>
      </c>
      <c r="L717" s="31">
        <f>CASOPOInvCL!X717</f>
        <v>2025</v>
      </c>
      <c r="M717">
        <v>2504</v>
      </c>
      <c r="N717" s="5" t="str">
        <f>CASOPOInvCL!AF717</f>
        <v>Eleazar General &amp; Industrial Supplies Limited</v>
      </c>
      <c r="O717" s="16" t="str">
        <f>CASOPOInvCL!AG717</f>
        <v>USD</v>
      </c>
      <c r="P717" s="16">
        <f>CASOPOInvCL!AH717</f>
        <v>4600.0945529951023</v>
      </c>
      <c r="Q717" s="16">
        <f>CASOPOInvCL!AI717</f>
        <v>3330.81</v>
      </c>
      <c r="R717" s="32" t="str">
        <f>CASOPOInvCL!AU717</f>
        <v>Yes</v>
      </c>
      <c r="S717" s="16">
        <f>CASOPOInvCL!AV717</f>
        <v>0</v>
      </c>
      <c r="T717" s="16">
        <f>CASOPOInvCL!AW717</f>
        <v>3330.81</v>
      </c>
      <c r="V717" t="s">
        <v>5800</v>
      </c>
      <c r="Y717" s="29" t="str">
        <f>IFERROR(HLOOKUP(U717,List!$D$2:$H$6,2,FALSE),"")</f>
        <v/>
      </c>
      <c r="Z717" s="29">
        <f>IFERROR(HLOOKUP(V717,List!$D$2:$H$6,3,FALSE),"")</f>
        <v>5.0000000000000001E-3</v>
      </c>
      <c r="AA717" s="29" t="str">
        <f>IFERROR(HLOOKUP(W717,List!$D$2:$H$6,4,FALSE),"")</f>
        <v/>
      </c>
      <c r="AB717" s="29" t="str">
        <f>IFERROR(HLOOKUP(X717,List!$D$2:$H$6,5,FALSE),"")</f>
        <v/>
      </c>
      <c r="AC717" s="12" t="str">
        <f t="shared" si="191"/>
        <v/>
      </c>
      <c r="AD717" s="12">
        <f t="shared" si="192"/>
        <v>16.654050000000002</v>
      </c>
      <c r="AE717" s="12" t="str">
        <f t="shared" si="193"/>
        <v/>
      </c>
      <c r="AF717" s="12" t="str">
        <f t="shared" si="194"/>
        <v/>
      </c>
      <c r="AG717" t="str">
        <f>VLOOKUP(J717,'Receivable Invoice Detail'!$A$1:F3729,6,FALSE)</f>
        <v>[AC-98-331-932-501] Shaft Assembly, 5x4-14 SRL-C &amp; 5x5-14 SRL, 1045 Steel</v>
      </c>
      <c r="AM717" s="12" t="str">
        <f t="shared" si="195"/>
        <v/>
      </c>
      <c r="AN717" s="12">
        <f t="shared" si="196"/>
        <v>16.654050000000002</v>
      </c>
      <c r="AO717" s="12" t="str">
        <f t="shared" si="197"/>
        <v/>
      </c>
      <c r="AP717" s="12" t="str">
        <f t="shared" si="198"/>
        <v/>
      </c>
      <c r="AQ717" s="64">
        <f>M717</f>
        <v>2504</v>
      </c>
      <c r="AR717" t="s">
        <v>5931</v>
      </c>
      <c r="AS717" s="12">
        <f t="shared" si="199"/>
        <v>4.3649563845145289</v>
      </c>
      <c r="AT717" s="16" t="str">
        <f t="shared" si="201"/>
        <v>Yes</v>
      </c>
    </row>
    <row r="718" spans="1:46" hidden="1" x14ac:dyDescent="0.25">
      <c r="A718" s="41">
        <f>CASOPOInvCL!T718</f>
        <v>1</v>
      </c>
      <c r="B718" t="str">
        <f>CASOPOInvCL!Z718</f>
        <v>SO17475</v>
      </c>
      <c r="D718" t="s">
        <v>5847</v>
      </c>
      <c r="G718" s="5" t="str">
        <f>CASOPOInvCL!I718</f>
        <v>Amanda Qiao</v>
      </c>
      <c r="H718" s="31">
        <f>CASOPOInvCL!U718</f>
        <v>7</v>
      </c>
      <c r="I718" s="31">
        <f>CASOPOInvCL!V718</f>
        <v>2025</v>
      </c>
      <c r="J718" s="5" t="str">
        <f>CASOPOInvCL!AB718</f>
        <v>INV13220</v>
      </c>
      <c r="K718" s="31">
        <f>CASOPOInvCL!W718</f>
        <v>9</v>
      </c>
      <c r="L718" s="31">
        <f>CASOPOInvCL!X718</f>
        <v>2025</v>
      </c>
      <c r="M718">
        <v>2503</v>
      </c>
      <c r="N718" s="5" t="str">
        <f>CASOPOInvCL!AF718</f>
        <v>Mill-Right Mine Services Inc.</v>
      </c>
      <c r="O718" s="16" t="str">
        <f>CASOPOInvCL!AG718</f>
        <v>CAD</v>
      </c>
      <c r="P718" s="16">
        <f>CASOPOInvCL!AH718</f>
        <v>9803.7199999999993</v>
      </c>
      <c r="Q718" s="16">
        <f>CASOPOInvCL!AI718</f>
        <v>7152.3810271686043</v>
      </c>
      <c r="R718" s="32" t="str">
        <f>CASOPOInvCL!AU718</f>
        <v>Yes</v>
      </c>
      <c r="S718" s="16">
        <f>CASOPOInvCL!AV718</f>
        <v>276.14000000000004</v>
      </c>
      <c r="T718" s="16">
        <f>CASOPOInvCL!AW718</f>
        <v>6876.241027168604</v>
      </c>
      <c r="V718" t="s">
        <v>5800</v>
      </c>
      <c r="Y718" s="29" t="str">
        <f>IFERROR(HLOOKUP(U718,List!$D$2:$H$6,2,FALSE),"")</f>
        <v/>
      </c>
      <c r="Z718" s="29">
        <f>IFERROR(HLOOKUP(V718,List!$D$2:$H$6,3,FALSE),"")</f>
        <v>5.0000000000000001E-3</v>
      </c>
      <c r="AA718" s="29" t="str">
        <f>IFERROR(HLOOKUP(W718,List!$D$2:$H$6,4,FALSE),"")</f>
        <v/>
      </c>
      <c r="AB718" s="29" t="str">
        <f>IFERROR(HLOOKUP(X718,List!$D$2:$H$6,5,FALSE),"")</f>
        <v/>
      </c>
      <c r="AC718" s="12" t="str">
        <f t="shared" si="191"/>
        <v/>
      </c>
      <c r="AD718" s="12">
        <f t="shared" si="192"/>
        <v>34.381205135843018</v>
      </c>
      <c r="AE718" s="12" t="str">
        <f t="shared" si="193"/>
        <v/>
      </c>
      <c r="AF718" s="12" t="str">
        <f t="shared" si="194"/>
        <v/>
      </c>
      <c r="AG718" t="str">
        <f>VLOOKUP(J718,'Receivable Invoice Detail'!$A$1:F3730,6,FALSE)</f>
        <v>[W-SP10092/A05] Casing w/Flange, 100RV-SP, High Chrome</v>
      </c>
      <c r="AJ718">
        <v>2503</v>
      </c>
      <c r="AM718" s="12" t="str">
        <f t="shared" si="195"/>
        <v/>
      </c>
      <c r="AN718" s="12">
        <f t="shared" si="196"/>
        <v>0</v>
      </c>
      <c r="AO718" s="12" t="str">
        <f t="shared" si="197"/>
        <v/>
      </c>
      <c r="AP718" s="12" t="str">
        <f t="shared" si="198"/>
        <v/>
      </c>
      <c r="AQ718" s="64">
        <v>2503</v>
      </c>
      <c r="AR718" t="s">
        <v>5932</v>
      </c>
      <c r="AS718" s="12">
        <f t="shared" si="199"/>
        <v>9.7912501876251472</v>
      </c>
      <c r="AT718" s="16" t="str">
        <f t="shared" si="201"/>
        <v>Yes</v>
      </c>
    </row>
    <row r="719" spans="1:46" hidden="1" x14ac:dyDescent="0.25">
      <c r="A719" s="41">
        <f>CASOPOInvCL!T719</f>
        <v>2</v>
      </c>
      <c r="B719" s="74" t="str">
        <f>CASOPOInvCL!Z719</f>
        <v>SO17477</v>
      </c>
      <c r="D719" t="s">
        <v>5915</v>
      </c>
      <c r="G719" s="5" t="str">
        <f>CASOPOInvCL!I719</f>
        <v>Wilka Nuñez</v>
      </c>
      <c r="H719" s="31">
        <f>CASOPOInvCL!U719</f>
        <v>7</v>
      </c>
      <c r="I719" s="31">
        <f>CASOPOInvCL!V719</f>
        <v>2025</v>
      </c>
      <c r="J719" s="5" t="str">
        <f>CASOPOInvCL!AB719</f>
        <v>INV13252</v>
      </c>
      <c r="K719" s="31">
        <f>CASOPOInvCL!W719</f>
        <v>9</v>
      </c>
      <c r="L719" s="31">
        <f>CASOPOInvCL!X719</f>
        <v>2025</v>
      </c>
      <c r="M719">
        <v>2503</v>
      </c>
      <c r="N719" s="5" t="str">
        <f>CASOPOInvCL!AF719</f>
        <v>Barrick Gold - Pueblo Viejo Dominicana Corporation</v>
      </c>
      <c r="O719" s="16" t="str">
        <f>CASOPOInvCL!AG719</f>
        <v>USD</v>
      </c>
      <c r="P719" s="16">
        <f>CASOPOInvCL!AH719</f>
        <v>92841.399648577761</v>
      </c>
      <c r="Q719" s="16">
        <f>CASOPOInvCL!AI719</f>
        <v>67700.06</v>
      </c>
      <c r="R719" s="32" t="str">
        <f>CASOPOInvCL!AU719</f>
        <v>Yes</v>
      </c>
      <c r="S719" s="16">
        <f>CASOPOInvCL!AV719</f>
        <v>0</v>
      </c>
      <c r="T719" s="16">
        <f>CASOPOInvCL!AW719</f>
        <v>67700.06</v>
      </c>
      <c r="V719" t="s">
        <v>5803</v>
      </c>
      <c r="Y719" s="29" t="str">
        <f>IFERROR(HLOOKUP(U719,List!$D$2:$H$6,2,FALSE),"")</f>
        <v/>
      </c>
      <c r="Z719" s="29">
        <f>IFERROR(HLOOKUP(V719,List!$D$2:$H$6,3,FALSE),"")</f>
        <v>0</v>
      </c>
      <c r="AA719" s="29" t="str">
        <f>IFERROR(HLOOKUP(W719,List!$D$2:$H$6,4,FALSE),"")</f>
        <v/>
      </c>
      <c r="AB719" s="29" t="str">
        <f>IFERROR(HLOOKUP(X719,List!$D$2:$H$6,5,FALSE),"")</f>
        <v/>
      </c>
      <c r="AC719" s="12" t="str">
        <f t="shared" si="191"/>
        <v/>
      </c>
      <c r="AD719" s="12">
        <f t="shared" si="192"/>
        <v>0</v>
      </c>
      <c r="AE719" s="12" t="str">
        <f t="shared" si="193"/>
        <v/>
      </c>
      <c r="AF719" s="12" t="str">
        <f t="shared" si="194"/>
        <v/>
      </c>
      <c r="AG719" t="str">
        <f>VLOOKUP(J719,'Receivable Invoice Detail'!$A$1:F3731,6,FALSE)</f>
        <v>[106345/6516] Upper Strainer, 100ZJL-RV, Neoprene</v>
      </c>
      <c r="AM719" s="12" t="str">
        <f t="shared" si="195"/>
        <v/>
      </c>
      <c r="AN719" s="12">
        <f t="shared" si="196"/>
        <v>0</v>
      </c>
      <c r="AO719" s="12" t="str">
        <f t="shared" si="197"/>
        <v/>
      </c>
      <c r="AP719" s="12" t="str">
        <f t="shared" si="198"/>
        <v/>
      </c>
      <c r="AQ719" s="64"/>
      <c r="AR719" s="64" t="s">
        <v>5933</v>
      </c>
      <c r="AS719" s="12">
        <f t="shared" si="199"/>
        <v>49.962149999999994</v>
      </c>
      <c r="AT719" s="16" t="str">
        <f t="shared" si="201"/>
        <v>Yes</v>
      </c>
    </row>
    <row r="720" spans="1:46" hidden="1" x14ac:dyDescent="0.25">
      <c r="A720" s="41">
        <f>CASOPOInvCL!T720</f>
        <v>2</v>
      </c>
      <c r="B720" s="74" t="str">
        <f>CASOPOInvCL!Z720</f>
        <v>SO17477</v>
      </c>
      <c r="D720" t="s">
        <v>5915</v>
      </c>
      <c r="G720" s="5">
        <f>CASOPOInvCL!I720</f>
        <v>0</v>
      </c>
      <c r="H720" s="31">
        <f>CASOPOInvCL!U720</f>
        <v>7</v>
      </c>
      <c r="I720" s="31">
        <f>CASOPOInvCL!V720</f>
        <v>2025</v>
      </c>
      <c r="J720" s="5" t="str">
        <f>CASOPOInvCL!AB720</f>
        <v>INV13574</v>
      </c>
      <c r="K720" s="31">
        <f>CASOPOInvCL!W720</f>
        <v>12</v>
      </c>
      <c r="L720" s="31">
        <f>CASOPOInvCL!X720</f>
        <v>2025</v>
      </c>
      <c r="M720">
        <v>2503</v>
      </c>
      <c r="N720" s="5" t="str">
        <f>CASOPOInvCL!AF720</f>
        <v>Barrick Gold - Pueblo Viejo Dominicana Corporation</v>
      </c>
      <c r="O720" s="16" t="str">
        <f>CASOPOInvCL!AG720</f>
        <v>USD</v>
      </c>
      <c r="P720" s="16">
        <f>CASOPOInvCL!AH720</f>
        <v>0</v>
      </c>
      <c r="Q720" s="16">
        <f>CASOPOInvCL!AI720</f>
        <v>0</v>
      </c>
      <c r="R720" s="32" t="str">
        <f>CASOPOInvCL!AU720</f>
        <v/>
      </c>
      <c r="S720" s="16">
        <f>CASOPOInvCL!AV720</f>
        <v>0</v>
      </c>
      <c r="T720" s="16">
        <f>CASOPOInvCL!AW720</f>
        <v>0</v>
      </c>
      <c r="V720" t="s">
        <v>5803</v>
      </c>
      <c r="Y720" s="29" t="str">
        <f>IFERROR(HLOOKUP(U720,List!$D$2:$H$6,2,FALSE),"")</f>
        <v/>
      </c>
      <c r="Z720" s="29">
        <f>IFERROR(HLOOKUP(V720,List!$D$2:$H$6,3,FALSE),"")</f>
        <v>0</v>
      </c>
      <c r="AA720" s="29" t="str">
        <f>IFERROR(HLOOKUP(W720,List!$D$2:$H$6,4,FALSE),"")</f>
        <v/>
      </c>
      <c r="AB720" s="29" t="str">
        <f>IFERROR(HLOOKUP(X720,List!$D$2:$H$6,5,FALSE),"")</f>
        <v/>
      </c>
      <c r="AC720" s="12" t="str">
        <f t="shared" si="191"/>
        <v/>
      </c>
      <c r="AD720" s="12">
        <f t="shared" si="192"/>
        <v>0</v>
      </c>
      <c r="AE720" s="12" t="str">
        <f t="shared" si="193"/>
        <v/>
      </c>
      <c r="AF720" s="12" t="str">
        <f t="shared" si="194"/>
        <v/>
      </c>
      <c r="AG720" t="str">
        <f>VLOOKUP(J720,'Receivable Invoice Detail'!$A$1:F3732,6,FALSE)</f>
        <v>[W-RV10005L/0512] Bearing Assembly, 100ZJL-RV, 316L-SS Bearing Cylinder, 1800mm 316SS Shaft</v>
      </c>
      <c r="AH720" s="12">
        <f t="shared" ref="AH720" si="203">SUM(AC720:AF720)</f>
        <v>0</v>
      </c>
      <c r="AM720" s="12" t="str">
        <f t="shared" si="195"/>
        <v/>
      </c>
      <c r="AN720" s="12">
        <f t="shared" si="196"/>
        <v>0</v>
      </c>
      <c r="AO720" s="12" t="str">
        <f t="shared" si="197"/>
        <v/>
      </c>
      <c r="AP720" s="12" t="str">
        <f t="shared" si="198"/>
        <v/>
      </c>
      <c r="AQ720" s="64"/>
      <c r="AR720" s="64" t="s">
        <v>5933</v>
      </c>
      <c r="AS720" s="12">
        <f t="shared" si="199"/>
        <v>103.14361540752905</v>
      </c>
      <c r="AT720" s="16" t="str">
        <f t="shared" si="201"/>
        <v/>
      </c>
    </row>
    <row r="721" spans="1:46" hidden="1" x14ac:dyDescent="0.25">
      <c r="A721" s="41">
        <f>CASOPOInvCL!T721</f>
        <v>1</v>
      </c>
      <c r="B721" t="str">
        <f>CASOPOInvCL!Z721</f>
        <v>SO17478</v>
      </c>
      <c r="G721" s="5" t="str">
        <f>CASOPOInvCL!I721</f>
        <v>Ian Trottier</v>
      </c>
      <c r="H721" s="31">
        <f>CASOPOInvCL!U721</f>
        <v>7</v>
      </c>
      <c r="I721" s="31">
        <f>CASOPOInvCL!V721</f>
        <v>2025</v>
      </c>
      <c r="J721" s="5" t="str">
        <f>CASOPOInvCL!AB721</f>
        <v>INV13165</v>
      </c>
      <c r="K721" s="31">
        <f>CASOPOInvCL!W721</f>
        <v>11</v>
      </c>
      <c r="L721" s="31">
        <f>CASOPOInvCL!X721</f>
        <v>2025</v>
      </c>
      <c r="M721" s="31"/>
      <c r="N721" s="5" t="str">
        <f>CASOPOInvCL!AF721</f>
        <v>Stroudsburg Electric Motor Service/BDS</v>
      </c>
      <c r="O721" s="16" t="str">
        <f>CASOPOInvCL!AG721</f>
        <v>USD</v>
      </c>
      <c r="P721" s="16">
        <f>CASOPOInvCL!AH721</f>
        <v>1530.0598253198971</v>
      </c>
      <c r="Q721" s="16">
        <f>CASOPOInvCL!AI721</f>
        <v>1117.1600000000001</v>
      </c>
      <c r="R721" s="32" t="str">
        <f>CASOPOInvCL!AU721</f>
        <v>Yes</v>
      </c>
      <c r="S721" s="16">
        <f>CASOPOInvCL!AV721</f>
        <v>377.6</v>
      </c>
      <c r="T721" s="16">
        <f>CASOPOInvCL!AW721</f>
        <v>739.56000000000006</v>
      </c>
      <c r="Y721" s="29" t="str">
        <f>IFERROR(HLOOKUP(U721,List!$D$2:$H$6,2,FALSE),"")</f>
        <v/>
      </c>
      <c r="Z721" s="29" t="str">
        <f>IFERROR(HLOOKUP(V721,List!$D$2:$H$6,3,FALSE),"")</f>
        <v/>
      </c>
      <c r="AA721" s="29" t="str">
        <f>IFERROR(HLOOKUP(W721,List!$D$2:$H$6,4,FALSE),"")</f>
        <v/>
      </c>
      <c r="AB721" s="29" t="str">
        <f>IFERROR(HLOOKUP(X721,List!$D$2:$H$6,5,FALSE),"")</f>
        <v/>
      </c>
      <c r="AC721" s="12" t="str">
        <f t="shared" si="191"/>
        <v/>
      </c>
      <c r="AD721" s="12" t="str">
        <f t="shared" si="192"/>
        <v/>
      </c>
      <c r="AE721" s="12" t="str">
        <f t="shared" si="193"/>
        <v/>
      </c>
      <c r="AF721" s="12" t="str">
        <f t="shared" si="194"/>
        <v/>
      </c>
      <c r="AG721" t="str">
        <f>VLOOKUP(J721,'Receivable Invoice Detail'!$A$1:F3733,6,FALSE)</f>
        <v>[AC-98-211-426-501] Impeller, 2x2-10 SRL, Natural Rubber</v>
      </c>
      <c r="AM721" s="12" t="str">
        <f t="shared" si="195"/>
        <v/>
      </c>
      <c r="AN721" s="12" t="str">
        <f t="shared" si="196"/>
        <v/>
      </c>
      <c r="AO721" s="12" t="str">
        <f t="shared" si="197"/>
        <v/>
      </c>
      <c r="AP721" s="12" t="str">
        <f t="shared" si="198"/>
        <v/>
      </c>
      <c r="AQ721" s="12"/>
      <c r="AS721" s="12">
        <f t="shared" si="199"/>
        <v>1015.5008999999999</v>
      </c>
      <c r="AT721" s="16" t="str">
        <f t="shared" si="201"/>
        <v>Yes</v>
      </c>
    </row>
    <row r="722" spans="1:46" hidden="1" x14ac:dyDescent="0.25">
      <c r="A722" s="41">
        <f>CASOPOInvCL!T722</f>
        <v>1</v>
      </c>
      <c r="B722" t="str">
        <f>CASOPOInvCL!Z722</f>
        <v>SO17481</v>
      </c>
      <c r="E722" t="s">
        <v>5925</v>
      </c>
      <c r="G722" s="5" t="str">
        <f>CASOPOInvCL!I722</f>
        <v>Ian Trottier</v>
      </c>
      <c r="H722" s="31">
        <f>CASOPOInvCL!U722</f>
        <v>7</v>
      </c>
      <c r="I722" s="31">
        <f>CASOPOInvCL!V722</f>
        <v>2025</v>
      </c>
      <c r="J722" s="5" t="str">
        <f>CASOPOInvCL!AB722</f>
        <v>INV13229</v>
      </c>
      <c r="K722" s="31">
        <f>CASOPOInvCL!W722</f>
        <v>9</v>
      </c>
      <c r="L722" s="31">
        <f>CASOPOInvCL!X722</f>
        <v>2025</v>
      </c>
      <c r="M722">
        <v>2503</v>
      </c>
      <c r="N722" s="5" t="str">
        <f>CASOPOInvCL!AF722</f>
        <v>Southeast Pump Specialist, Inc.</v>
      </c>
      <c r="O722" s="16" t="str">
        <f>CASOPOInvCL!AG722</f>
        <v>USD</v>
      </c>
      <c r="P722" s="16">
        <f>CASOPOInvCL!AH722</f>
        <v>11693.903252188224</v>
      </c>
      <c r="Q722" s="16">
        <f>CASOPOInvCL!AI722</f>
        <v>8540.11</v>
      </c>
      <c r="R722" s="32" t="str">
        <f>CASOPOInvCL!AU722</f>
        <v>Yes</v>
      </c>
      <c r="S722" s="16">
        <f>CASOPOInvCL!AV722</f>
        <v>572</v>
      </c>
      <c r="T722" s="16">
        <f>CASOPOInvCL!AW722</f>
        <v>7968.1100000000006</v>
      </c>
      <c r="W722" t="s">
        <v>5801</v>
      </c>
      <c r="Y722" s="29" t="str">
        <f>IFERROR(HLOOKUP(U722,List!$D$2:$H$6,2,FALSE),"")</f>
        <v/>
      </c>
      <c r="Z722" s="29" t="str">
        <f>IFERROR(HLOOKUP(V722,List!$D$2:$H$6,3,FALSE),"")</f>
        <v/>
      </c>
      <c r="AA722" s="29">
        <f>IFERROR(HLOOKUP(W722,List!$D$2:$H$6,4,FALSE),"")</f>
        <v>0.02</v>
      </c>
      <c r="AB722" s="29" t="str">
        <f>IFERROR(HLOOKUP(X722,List!$D$2:$H$6,5,FALSE),"")</f>
        <v/>
      </c>
      <c r="AC722" s="12" t="str">
        <f t="shared" si="191"/>
        <v/>
      </c>
      <c r="AD722" s="12" t="str">
        <f t="shared" si="192"/>
        <v/>
      </c>
      <c r="AE722" s="12">
        <f t="shared" si="193"/>
        <v>159.3622</v>
      </c>
      <c r="AF722" s="12" t="str">
        <f t="shared" si="194"/>
        <v/>
      </c>
      <c r="AG722" t="str">
        <f>VLOOKUP(J722,'Receivable Invoice Detail'!$A$1:F3734,6,FALSE)</f>
        <v>[G-1.5x2-14-JC-HC] Pump, 1.5x2-14, Dynapro DC, Frame 2J, High Chrome</v>
      </c>
      <c r="AM722" s="12" t="str">
        <f t="shared" si="195"/>
        <v/>
      </c>
      <c r="AN722" s="12" t="str">
        <f t="shared" si="196"/>
        <v/>
      </c>
      <c r="AO722" s="12">
        <f t="shared" si="197"/>
        <v>159.3622</v>
      </c>
      <c r="AP722" s="12" t="str">
        <f t="shared" si="198"/>
        <v/>
      </c>
      <c r="AQ722" s="64">
        <v>2503</v>
      </c>
      <c r="AR722" t="s">
        <v>5932</v>
      </c>
      <c r="AS722" s="12">
        <f t="shared" si="199"/>
        <v>0</v>
      </c>
      <c r="AT722" s="16" t="str">
        <f t="shared" si="201"/>
        <v>Yes</v>
      </c>
    </row>
    <row r="723" spans="1:46" hidden="1" x14ac:dyDescent="0.25">
      <c r="A723" s="41">
        <f>CASOPOInvCL!T723</f>
        <v>1</v>
      </c>
      <c r="B723" t="str">
        <f>CASOPOInvCL!Z723</f>
        <v>SO17482</v>
      </c>
      <c r="G723" s="5" t="str">
        <f>CASOPOInvCL!I723</f>
        <v>Ian Trottier</v>
      </c>
      <c r="H723" s="31">
        <f>CASOPOInvCL!U723</f>
        <v>7</v>
      </c>
      <c r="I723" s="31">
        <f>CASOPOInvCL!V723</f>
        <v>2025</v>
      </c>
      <c r="J723" s="5" t="str">
        <f>CASOPOInvCL!AB723</f>
        <v>INV13668</v>
      </c>
      <c r="K723" s="31" t="str">
        <f>CASOPOInvCL!W723</f>
        <v/>
      </c>
      <c r="L723" s="31" t="str">
        <f>CASOPOInvCL!X723</f>
        <v/>
      </c>
      <c r="M723" s="31"/>
      <c r="N723" s="5" t="str">
        <f>CASOPOInvCL!AF723</f>
        <v>Southeast Pump Specialist, Inc.</v>
      </c>
      <c r="O723" s="16" t="str">
        <f>CASOPOInvCL!AG723</f>
        <v>USD</v>
      </c>
      <c r="P723" s="16">
        <f>CASOPOInvCL!AH723</f>
        <v>5167.2176633580812</v>
      </c>
      <c r="Q723" s="16">
        <f>CASOPOInvCL!AI723</f>
        <v>3773.24</v>
      </c>
      <c r="R723" s="32" t="str">
        <f>CASOPOInvCL!AU723</f>
        <v/>
      </c>
      <c r="S723" s="16">
        <f>CASOPOInvCL!AV723</f>
        <v>658</v>
      </c>
      <c r="T723" s="16">
        <f>CASOPOInvCL!AW723</f>
        <v>0</v>
      </c>
      <c r="Y723" s="29" t="str">
        <f>IFERROR(HLOOKUP(U723,List!$D$2:$H$6,2,FALSE),"")</f>
        <v/>
      </c>
      <c r="Z723" s="29" t="str">
        <f>IFERROR(HLOOKUP(V723,List!$D$2:$H$6,3,FALSE),"")</f>
        <v/>
      </c>
      <c r="AA723" s="29" t="str">
        <f>IFERROR(HLOOKUP(W723,List!$D$2:$H$6,4,FALSE),"")</f>
        <v/>
      </c>
      <c r="AB723" s="29" t="str">
        <f>IFERROR(HLOOKUP(X723,List!$D$2:$H$6,5,FALSE),"")</f>
        <v/>
      </c>
      <c r="AC723" s="12" t="str">
        <f t="shared" si="191"/>
        <v/>
      </c>
      <c r="AD723" s="12" t="str">
        <f t="shared" si="192"/>
        <v/>
      </c>
      <c r="AE723" s="12" t="str">
        <f t="shared" si="193"/>
        <v/>
      </c>
      <c r="AF723" s="12" t="str">
        <f t="shared" si="194"/>
        <v/>
      </c>
      <c r="AG723" t="str">
        <f>VLOOKUP(J723,'Receivable Invoice Detail'!$A$1:F3735,6,FALSE)</f>
        <v>[D-2J15214-2] Casing, 1.5x2-14, Goulds JC, Frame 2J, High Chrome, OEM# 055892G0001228</v>
      </c>
      <c r="AM723" s="12" t="str">
        <f t="shared" si="195"/>
        <v/>
      </c>
      <c r="AN723" s="12" t="str">
        <f t="shared" si="196"/>
        <v/>
      </c>
      <c r="AO723" s="12" t="str">
        <f t="shared" si="197"/>
        <v/>
      </c>
      <c r="AP723" s="12" t="str">
        <f t="shared" si="198"/>
        <v/>
      </c>
      <c r="AQ723" s="12"/>
      <c r="AS723" s="12">
        <f t="shared" si="199"/>
        <v>11.093400000000001</v>
      </c>
      <c r="AT723" s="16" t="str">
        <f t="shared" si="201"/>
        <v/>
      </c>
    </row>
    <row r="724" spans="1:46" hidden="1" x14ac:dyDescent="0.25">
      <c r="A724" s="41">
        <f>CASOPOInvCL!T724</f>
        <v>2</v>
      </c>
      <c r="B724" s="74" t="str">
        <f>CASOPOInvCL!Z724</f>
        <v>SO17483</v>
      </c>
      <c r="D724" t="s">
        <v>5915</v>
      </c>
      <c r="G724" s="5" t="str">
        <f>CASOPOInvCL!I724</f>
        <v>Wilka Nuñez</v>
      </c>
      <c r="H724" s="31">
        <f>CASOPOInvCL!U724</f>
        <v>7</v>
      </c>
      <c r="I724" s="31">
        <f>CASOPOInvCL!V724</f>
        <v>2025</v>
      </c>
      <c r="J724" s="5" t="str">
        <f>CASOPOInvCL!AB724</f>
        <v>INV13249</v>
      </c>
      <c r="K724" s="31">
        <f>CASOPOInvCL!W724</f>
        <v>9</v>
      </c>
      <c r="L724" s="31">
        <f>CASOPOInvCL!X724</f>
        <v>2025</v>
      </c>
      <c r="M724">
        <v>2503</v>
      </c>
      <c r="N724" s="5" t="str">
        <f>CASOPOInvCL!AF724</f>
        <v>Barrick Gold - Pueblo Viejo Dominicana Corporation</v>
      </c>
      <c r="O724" s="16" t="str">
        <f>CASOPOInvCL!AG724</f>
        <v>USD</v>
      </c>
      <c r="P724" s="16">
        <f>CASOPOInvCL!AH724</f>
        <v>35091.878637381451</v>
      </c>
      <c r="Q724" s="16">
        <f>CASOPOInvCL!AI724</f>
        <v>25589.040000000001</v>
      </c>
      <c r="R724" s="32" t="str">
        <f>CASOPOInvCL!AU724</f>
        <v>Yes</v>
      </c>
      <c r="S724" s="16">
        <f>CASOPOInvCL!AV724</f>
        <v>0</v>
      </c>
      <c r="T724" s="16">
        <f>CASOPOInvCL!AW724</f>
        <v>25589.040000000001</v>
      </c>
      <c r="V724" t="s">
        <v>5803</v>
      </c>
      <c r="Y724" s="29" t="str">
        <f>IFERROR(HLOOKUP(U724,List!$D$2:$H$6,2,FALSE),"")</f>
        <v/>
      </c>
      <c r="Z724" s="29">
        <f>IFERROR(HLOOKUP(V724,List!$D$2:$H$6,3,FALSE),"")</f>
        <v>0</v>
      </c>
      <c r="AA724" s="29" t="str">
        <f>IFERROR(HLOOKUP(W724,List!$D$2:$H$6,4,FALSE),"")</f>
        <v/>
      </c>
      <c r="AB724" s="29" t="str">
        <f>IFERROR(HLOOKUP(X724,List!$D$2:$H$6,5,FALSE),"")</f>
        <v/>
      </c>
      <c r="AC724" s="12" t="str">
        <f t="shared" si="191"/>
        <v/>
      </c>
      <c r="AD724" s="12">
        <f t="shared" si="192"/>
        <v>0</v>
      </c>
      <c r="AE724" s="12" t="str">
        <f t="shared" si="193"/>
        <v/>
      </c>
      <c r="AF724" s="12" t="str">
        <f t="shared" si="194"/>
        <v/>
      </c>
      <c r="AG724" t="str">
        <f>VLOOKUP(J724,'Receivable Invoice Detail'!$A$1:F3736,6,FALSE)</f>
        <v>[W-SP10092/A05] Casing w/Flange, 100RV-SP, High Chrome</v>
      </c>
      <c r="AH724" s="12">
        <f t="shared" ref="AH724:AH726" si="204">SUM(AC724:AF724)</f>
        <v>0</v>
      </c>
      <c r="AM724" s="12" t="str">
        <f t="shared" si="195"/>
        <v/>
      </c>
      <c r="AN724" s="12">
        <f t="shared" si="196"/>
        <v>0</v>
      </c>
      <c r="AO724" s="12" t="str">
        <f t="shared" si="197"/>
        <v/>
      </c>
      <c r="AP724" s="12" t="str">
        <f t="shared" si="198"/>
        <v/>
      </c>
      <c r="AQ724" s="64"/>
      <c r="AR724" s="64" t="s">
        <v>5933</v>
      </c>
      <c r="AS724" s="12">
        <f t="shared" si="199"/>
        <v>119.52165000000001</v>
      </c>
      <c r="AT724" s="16" t="str">
        <f t="shared" si="201"/>
        <v>Yes</v>
      </c>
    </row>
    <row r="725" spans="1:46" hidden="1" x14ac:dyDescent="0.25">
      <c r="A725" s="41">
        <f>CASOPOInvCL!T725</f>
        <v>2</v>
      </c>
      <c r="B725" s="74" t="str">
        <f>CASOPOInvCL!Z725</f>
        <v>SO17483</v>
      </c>
      <c r="D725" t="s">
        <v>5915</v>
      </c>
      <c r="G725" s="5">
        <f>CASOPOInvCL!I725</f>
        <v>0</v>
      </c>
      <c r="H725" s="31">
        <f>CASOPOInvCL!U725</f>
        <v>7</v>
      </c>
      <c r="I725" s="31">
        <f>CASOPOInvCL!V725</f>
        <v>2025</v>
      </c>
      <c r="J725" s="5" t="str">
        <f>CASOPOInvCL!AB725</f>
        <v>INV13576</v>
      </c>
      <c r="K725" s="31" t="str">
        <f>CASOPOInvCL!W725</f>
        <v/>
      </c>
      <c r="L725" s="31" t="str">
        <f>CASOPOInvCL!X725</f>
        <v/>
      </c>
      <c r="M725">
        <v>2503</v>
      </c>
      <c r="N725" s="5" t="str">
        <f>CASOPOInvCL!AF725</f>
        <v>Barrick Gold - Pueblo Viejo Dominicana Corporation</v>
      </c>
      <c r="O725" s="16" t="str">
        <f>CASOPOInvCL!AG725</f>
        <v>USD</v>
      </c>
      <c r="P725" s="16">
        <f>CASOPOInvCL!AH725</f>
        <v>0</v>
      </c>
      <c r="Q725" s="16">
        <f>CASOPOInvCL!AI725</f>
        <v>0</v>
      </c>
      <c r="R725" s="32" t="str">
        <f>CASOPOInvCL!AU725</f>
        <v/>
      </c>
      <c r="S725" s="16">
        <f>CASOPOInvCL!AV725</f>
        <v>0</v>
      </c>
      <c r="T725" s="16">
        <f>CASOPOInvCL!AW725</f>
        <v>0</v>
      </c>
      <c r="V725" t="s">
        <v>5803</v>
      </c>
      <c r="Y725" s="29" t="str">
        <f>IFERROR(HLOOKUP(U725,List!$D$2:$H$6,2,FALSE),"")</f>
        <v/>
      </c>
      <c r="Z725" s="29">
        <f>IFERROR(HLOOKUP(V725,List!$D$2:$H$6,3,FALSE),"")</f>
        <v>0</v>
      </c>
      <c r="AA725" s="29" t="str">
        <f>IFERROR(HLOOKUP(W725,List!$D$2:$H$6,4,FALSE),"")</f>
        <v/>
      </c>
      <c r="AB725" s="29" t="str">
        <f>IFERROR(HLOOKUP(X725,List!$D$2:$H$6,5,FALSE),"")</f>
        <v/>
      </c>
      <c r="AC725" s="12" t="str">
        <f t="shared" si="191"/>
        <v/>
      </c>
      <c r="AD725" s="12">
        <f t="shared" si="192"/>
        <v>0</v>
      </c>
      <c r="AE725" s="12" t="str">
        <f t="shared" si="193"/>
        <v/>
      </c>
      <c r="AF725" s="12" t="str">
        <f t="shared" si="194"/>
        <v/>
      </c>
      <c r="AG725" t="str">
        <f>VLOOKUP(J725,'Receivable Invoice Detail'!$A$1:F3737,6,FALSE)</f>
        <v>[W-RV10154L/C41-CC] Discharge Pipe, 100ZJL-RV, 1800mm, 316L-SS, Ceramic Coated</v>
      </c>
      <c r="AH725" s="12">
        <f t="shared" si="204"/>
        <v>0</v>
      </c>
      <c r="AM725" s="12" t="str">
        <f t="shared" si="195"/>
        <v/>
      </c>
      <c r="AN725" s="12">
        <f t="shared" si="196"/>
        <v>0</v>
      </c>
      <c r="AO725" s="12" t="str">
        <f t="shared" si="197"/>
        <v/>
      </c>
      <c r="AP725" s="12" t="str">
        <f t="shared" si="198"/>
        <v/>
      </c>
      <c r="AQ725" s="64"/>
      <c r="AR725" s="64" t="s">
        <v>5933</v>
      </c>
      <c r="AS725" s="12">
        <f t="shared" si="199"/>
        <v>0</v>
      </c>
      <c r="AT725" s="16" t="str">
        <f t="shared" si="201"/>
        <v/>
      </c>
    </row>
    <row r="726" spans="1:46" hidden="1" x14ac:dyDescent="0.25">
      <c r="A726" s="41">
        <f>CASOPOInvCL!T726</f>
        <v>2</v>
      </c>
      <c r="B726" t="str">
        <f>CASOPOInvCL!Z726</f>
        <v>SO17484</v>
      </c>
      <c r="D726" t="s">
        <v>5925</v>
      </c>
      <c r="G726" s="5" t="str">
        <f>CASOPOInvCL!I726</f>
        <v>Ian Trottier</v>
      </c>
      <c r="H726" s="31">
        <f>CASOPOInvCL!U726</f>
        <v>7</v>
      </c>
      <c r="I726" s="31">
        <f>CASOPOInvCL!V726</f>
        <v>2025</v>
      </c>
      <c r="J726" s="5" t="str">
        <f>CASOPOInvCL!AB726</f>
        <v>INV13303</v>
      </c>
      <c r="K726" s="31">
        <f>CASOPOInvCL!W726</f>
        <v>9</v>
      </c>
      <c r="L726" s="31">
        <f>CASOPOInvCL!X726</f>
        <v>2025</v>
      </c>
      <c r="M726">
        <v>2503</v>
      </c>
      <c r="N726" s="5" t="str">
        <f>CASOPOInvCL!AF726</f>
        <v>Sealtrac Inc.</v>
      </c>
      <c r="O726" s="16" t="str">
        <f>CASOPOInvCL!AG726</f>
        <v>CAD</v>
      </c>
      <c r="P726" s="16">
        <f>CASOPOInvCL!AH726</f>
        <v>1114.5999999999999</v>
      </c>
      <c r="Q726" s="16">
        <f>CASOPOInvCL!AI726</f>
        <v>813.16519575040149</v>
      </c>
      <c r="R726" s="32" t="str">
        <f>CASOPOInvCL!AU726</f>
        <v>Yes</v>
      </c>
      <c r="S726" s="16">
        <f>CASOPOInvCL!AV726</f>
        <v>0</v>
      </c>
      <c r="T726" s="16">
        <f>CASOPOInvCL!AW726</f>
        <v>813.16519575040149</v>
      </c>
      <c r="V726" t="s">
        <v>5800</v>
      </c>
      <c r="Y726" s="29" t="str">
        <f>IFERROR(HLOOKUP(U726,List!$D$2:$H$6,2,FALSE),"")</f>
        <v/>
      </c>
      <c r="Z726" s="29">
        <f>IFERROR(HLOOKUP(V726,List!$D$2:$H$6,3,FALSE),"")</f>
        <v>5.0000000000000001E-3</v>
      </c>
      <c r="AA726" s="29" t="str">
        <f>IFERROR(HLOOKUP(W726,List!$D$2:$H$6,4,FALSE),"")</f>
        <v/>
      </c>
      <c r="AB726" s="29" t="str">
        <f>IFERROR(HLOOKUP(X726,List!$D$2:$H$6,5,FALSE),"")</f>
        <v/>
      </c>
      <c r="AC726" s="12" t="str">
        <f t="shared" si="191"/>
        <v/>
      </c>
      <c r="AD726" s="12">
        <f t="shared" si="192"/>
        <v>4.0658259787520077</v>
      </c>
      <c r="AE726" s="12" t="str">
        <f t="shared" si="193"/>
        <v/>
      </c>
      <c r="AF726" s="12" t="str">
        <f t="shared" si="194"/>
        <v/>
      </c>
      <c r="AG726" t="str">
        <f>VLOOKUP(J726,'Receivable Invoice Detail'!$A$1:F3738,6,FALSE)</f>
        <v>[G-70782 28 5117] Casing Gasket, 13", 3196 MTX, Teflon</v>
      </c>
      <c r="AH726" s="12">
        <f t="shared" si="204"/>
        <v>4.0658259787520077</v>
      </c>
      <c r="AM726" s="12" t="str">
        <f t="shared" si="195"/>
        <v/>
      </c>
      <c r="AN726" s="12">
        <f t="shared" si="196"/>
        <v>4.0658259787520077</v>
      </c>
      <c r="AO726" s="12" t="str">
        <f t="shared" si="197"/>
        <v/>
      </c>
      <c r="AP726" s="12" t="str">
        <f t="shared" si="198"/>
        <v/>
      </c>
      <c r="AQ726" s="64">
        <v>2503</v>
      </c>
      <c r="AR726" t="s">
        <v>5932</v>
      </c>
      <c r="AS726" s="12">
        <f t="shared" si="199"/>
        <v>383.8356</v>
      </c>
      <c r="AT726" s="16" t="str">
        <f t="shared" si="201"/>
        <v>Yes</v>
      </c>
    </row>
    <row r="727" spans="1:46" hidden="1" x14ac:dyDescent="0.25">
      <c r="A727" s="41">
        <f>CASOPOInvCL!T727</f>
        <v>2</v>
      </c>
      <c r="B727" t="str">
        <f>CASOPOInvCL!Z727</f>
        <v>SO17484</v>
      </c>
      <c r="D727" t="s">
        <v>5925</v>
      </c>
      <c r="G727" s="5">
        <f>CASOPOInvCL!I727</f>
        <v>0</v>
      </c>
      <c r="H727" s="31">
        <f>CASOPOInvCL!U727</f>
        <v>7</v>
      </c>
      <c r="I727" s="31">
        <f>CASOPOInvCL!V727</f>
        <v>2025</v>
      </c>
      <c r="J727" s="5" t="str">
        <f>CASOPOInvCL!AB727</f>
        <v>INV13168</v>
      </c>
      <c r="K727" s="31">
        <f>CASOPOInvCL!W727</f>
        <v>9</v>
      </c>
      <c r="L727" s="31">
        <f>CASOPOInvCL!X727</f>
        <v>2025</v>
      </c>
      <c r="M727">
        <v>2503</v>
      </c>
      <c r="N727" s="5" t="str">
        <f>CASOPOInvCL!AF727</f>
        <v>Sealtrac Inc.</v>
      </c>
      <c r="O727" s="16" t="str">
        <f>CASOPOInvCL!AG727</f>
        <v>CAD</v>
      </c>
      <c r="P727" s="16">
        <f>CASOPOInvCL!AH727</f>
        <v>0</v>
      </c>
      <c r="Q727" s="16">
        <f>CASOPOInvCL!AI727</f>
        <v>0</v>
      </c>
      <c r="R727" s="32" t="str">
        <f>CASOPOInvCL!AU727</f>
        <v/>
      </c>
      <c r="S727" s="16">
        <f>CASOPOInvCL!AV727</f>
        <v>0</v>
      </c>
      <c r="T727" s="16">
        <f>CASOPOInvCL!AW727</f>
        <v>0</v>
      </c>
      <c r="V727" t="s">
        <v>5800</v>
      </c>
      <c r="Y727" s="29" t="str">
        <f>IFERROR(HLOOKUP(U727,List!$D$2:$H$6,2,FALSE),"")</f>
        <v/>
      </c>
      <c r="Z727" s="29">
        <f>IFERROR(HLOOKUP(V727,List!$D$2:$H$6,3,FALSE),"")</f>
        <v>5.0000000000000001E-3</v>
      </c>
      <c r="AA727" s="29" t="str">
        <f>IFERROR(HLOOKUP(W727,List!$D$2:$H$6,4,FALSE),"")</f>
        <v/>
      </c>
      <c r="AB727" s="29" t="str">
        <f>IFERROR(HLOOKUP(X727,List!$D$2:$H$6,5,FALSE),"")</f>
        <v/>
      </c>
      <c r="AC727" s="12" t="str">
        <f t="shared" si="191"/>
        <v/>
      </c>
      <c r="AD727" s="12">
        <f t="shared" si="192"/>
        <v>0</v>
      </c>
      <c r="AE727" s="12" t="str">
        <f t="shared" si="193"/>
        <v/>
      </c>
      <c r="AF727" s="12" t="str">
        <f t="shared" si="194"/>
        <v/>
      </c>
      <c r="AG727" t="str">
        <f>VLOOKUP(J727,'Receivable Invoice Detail'!$A$1:F3739,6,FALSE)</f>
        <v>[G-70782 28 5117] Casing Gasket, 13", 3196 MTX, Teflon</v>
      </c>
      <c r="AM727" s="12" t="str">
        <f t="shared" si="195"/>
        <v/>
      </c>
      <c r="AN727" s="12">
        <f t="shared" si="196"/>
        <v>0</v>
      </c>
      <c r="AO727" s="12" t="str">
        <f t="shared" si="197"/>
        <v/>
      </c>
      <c r="AP727" s="12" t="str">
        <f t="shared" si="198"/>
        <v/>
      </c>
      <c r="AQ727" s="64">
        <v>2503</v>
      </c>
      <c r="AR727" t="s">
        <v>5932</v>
      </c>
      <c r="AS727" s="12">
        <f t="shared" si="199"/>
        <v>0</v>
      </c>
      <c r="AT727" s="16" t="s">
        <v>5940</v>
      </c>
    </row>
    <row r="728" spans="1:46" hidden="1" x14ac:dyDescent="0.25">
      <c r="A728" s="41">
        <f>CASOPOInvCL!T728</f>
        <v>1</v>
      </c>
      <c r="B728" t="str">
        <f>CASOPOInvCL!Z728</f>
        <v>SO17485</v>
      </c>
      <c r="D728" t="s">
        <v>5925</v>
      </c>
      <c r="G728" s="5" t="str">
        <f>CASOPOInvCL!I728</f>
        <v>Ian Trottier</v>
      </c>
      <c r="H728" s="31">
        <f>CASOPOInvCL!U728</f>
        <v>7</v>
      </c>
      <c r="I728" s="31">
        <f>CASOPOInvCL!V728</f>
        <v>2025</v>
      </c>
      <c r="J728" s="5" t="str">
        <f>CASOPOInvCL!AB728</f>
        <v>INV13171</v>
      </c>
      <c r="K728" s="31">
        <f>CASOPOInvCL!W728</f>
        <v>8</v>
      </c>
      <c r="L728" s="31">
        <f>CASOPOInvCL!X728</f>
        <v>2025</v>
      </c>
      <c r="M728">
        <v>2503</v>
      </c>
      <c r="N728" s="5" t="str">
        <f>CASOPOInvCL!AF728</f>
        <v>Les Pompes du St-Laurent Inc.</v>
      </c>
      <c r="O728" s="16" t="str">
        <f>CASOPOInvCL!AG728</f>
        <v>CAD</v>
      </c>
      <c r="P728" s="16">
        <f>CASOPOInvCL!AH728</f>
        <v>786.58</v>
      </c>
      <c r="Q728" s="16">
        <f>CASOPOInvCL!AI728</f>
        <v>574.93341922560012</v>
      </c>
      <c r="R728" s="32" t="str">
        <f>CASOPOInvCL!AU728</f>
        <v>Yes</v>
      </c>
      <c r="S728" s="16">
        <f>CASOPOInvCL!AV728</f>
        <v>0</v>
      </c>
      <c r="T728" s="16">
        <f>CASOPOInvCL!AW728</f>
        <v>574.93341922560012</v>
      </c>
      <c r="V728" t="s">
        <v>5800</v>
      </c>
      <c r="Y728" s="29" t="str">
        <f>IFERROR(HLOOKUP(U728,List!$D$2:$H$6,2,FALSE),"")</f>
        <v/>
      </c>
      <c r="Z728" s="29">
        <f>IFERROR(HLOOKUP(V728,List!$D$2:$H$6,3,FALSE),"")</f>
        <v>5.0000000000000001E-3</v>
      </c>
      <c r="AA728" s="29" t="str">
        <f>IFERROR(HLOOKUP(W728,List!$D$2:$H$6,4,FALSE),"")</f>
        <v/>
      </c>
      <c r="AB728" s="29" t="str">
        <f>IFERROR(HLOOKUP(X728,List!$D$2:$H$6,5,FALSE),"")</f>
        <v/>
      </c>
      <c r="AC728" s="12" t="str">
        <f t="shared" si="191"/>
        <v/>
      </c>
      <c r="AD728" s="12">
        <f t="shared" si="192"/>
        <v>2.8746670961280008</v>
      </c>
      <c r="AE728" s="12" t="str">
        <f t="shared" si="193"/>
        <v/>
      </c>
      <c r="AF728" s="12" t="str">
        <f t="shared" si="194"/>
        <v/>
      </c>
      <c r="AG728" t="str">
        <f>VLOOKUP(J728,'Receivable Invoice Detail'!$A$1:F3740,6,FALSE)</f>
        <v>[G-0100-161 1216] Impeller, 2x3-8, 3196 MTX, CD4MCu, 5-Vane</v>
      </c>
      <c r="AM728" s="12" t="str">
        <f t="shared" si="195"/>
        <v/>
      </c>
      <c r="AN728" s="12">
        <f t="shared" si="196"/>
        <v>2.8746670961280008</v>
      </c>
      <c r="AO728" s="12" t="str">
        <f t="shared" si="197"/>
        <v/>
      </c>
      <c r="AP728" s="12" t="str">
        <f t="shared" si="198"/>
        <v/>
      </c>
      <c r="AQ728" s="64">
        <v>2503</v>
      </c>
      <c r="AR728" t="s">
        <v>5932</v>
      </c>
      <c r="AS728" s="12">
        <f t="shared" si="199"/>
        <v>12.197477936256021</v>
      </c>
      <c r="AT728" s="16" t="str">
        <f t="shared" si="201"/>
        <v>Yes</v>
      </c>
    </row>
    <row r="729" spans="1:46" hidden="1" x14ac:dyDescent="0.25">
      <c r="A729" s="41">
        <f>CASOPOInvCL!T729</f>
        <v>1</v>
      </c>
      <c r="B729" t="str">
        <f>CASOPOInvCL!Z729</f>
        <v>SO17486</v>
      </c>
      <c r="G729" s="5" t="str">
        <f>CASOPOInvCL!I729</f>
        <v>Yannett Yeomans</v>
      </c>
      <c r="H729" s="31">
        <f>CASOPOInvCL!U729</f>
        <v>7</v>
      </c>
      <c r="I729" s="31">
        <f>CASOPOInvCL!V729</f>
        <v>2025</v>
      </c>
      <c r="J729" s="5" t="str">
        <f>CASOPOInvCL!AB729</f>
        <v>INV13355</v>
      </c>
      <c r="K729" s="31" t="str">
        <f>CASOPOInvCL!W729</f>
        <v/>
      </c>
      <c r="L729" s="31" t="str">
        <f>CASOPOInvCL!X729</f>
        <v/>
      </c>
      <c r="M729" s="31"/>
      <c r="N729" s="5" t="str">
        <f>CASOPOInvCL!AF729</f>
        <v>Dynapro Pumps México S de RL de CV</v>
      </c>
      <c r="O729" s="16" t="str">
        <f>CASOPOInvCL!AG729</f>
        <v>USD</v>
      </c>
      <c r="P729" s="16">
        <f>CASOPOInvCL!AH729</f>
        <v>3207.5979366421989</v>
      </c>
      <c r="Q729" s="16">
        <f>CASOPOInvCL!AI729</f>
        <v>2342</v>
      </c>
      <c r="R729" s="32" t="str">
        <f>CASOPOInvCL!AU729</f>
        <v/>
      </c>
      <c r="S729" s="16">
        <f>CASOPOInvCL!AV729</f>
        <v>0</v>
      </c>
      <c r="T729" s="16">
        <f>CASOPOInvCL!AW729</f>
        <v>0</v>
      </c>
      <c r="Y729" s="29" t="str">
        <f>IFERROR(HLOOKUP(U729,List!$D$2:$H$6,2,FALSE),"")</f>
        <v/>
      </c>
      <c r="Z729" s="29" t="str">
        <f>IFERROR(HLOOKUP(V729,List!$D$2:$H$6,3,FALSE),"")</f>
        <v/>
      </c>
      <c r="AA729" s="29" t="str">
        <f>IFERROR(HLOOKUP(W729,List!$D$2:$H$6,4,FALSE),"")</f>
        <v/>
      </c>
      <c r="AB729" s="29" t="str">
        <f>IFERROR(HLOOKUP(X729,List!$D$2:$H$6,5,FALSE),"")</f>
        <v/>
      </c>
      <c r="AC729" s="12" t="str">
        <f t="shared" si="191"/>
        <v/>
      </c>
      <c r="AD729" s="12" t="str">
        <f t="shared" si="192"/>
        <v/>
      </c>
      <c r="AE729" s="12" t="str">
        <f t="shared" si="193"/>
        <v/>
      </c>
      <c r="AF729" s="12" t="str">
        <f t="shared" si="194"/>
        <v/>
      </c>
      <c r="AG729" t="str">
        <f>VLOOKUP(J729,'Receivable Invoice Detail'!$A$1:F3741,6,FALSE)</f>
        <v>[W-RVR10102L/R55] Column 1800mm, 100RV-SPR, Natural Rubber</v>
      </c>
      <c r="AM729" s="12" t="str">
        <f t="shared" si="195"/>
        <v/>
      </c>
      <c r="AN729" s="12" t="str">
        <f t="shared" si="196"/>
        <v/>
      </c>
      <c r="AO729" s="12" t="str">
        <f t="shared" si="197"/>
        <v/>
      </c>
      <c r="AP729" s="12" t="str">
        <f t="shared" si="198"/>
        <v/>
      </c>
      <c r="AQ729" s="12"/>
      <c r="AR729" s="16" t="s">
        <v>5940</v>
      </c>
      <c r="AS729" s="12">
        <f t="shared" si="199"/>
        <v>0</v>
      </c>
      <c r="AT729" s="16" t="str">
        <f t="shared" si="201"/>
        <v/>
      </c>
    </row>
    <row r="730" spans="1:46" hidden="1" x14ac:dyDescent="0.25">
      <c r="A730" s="41">
        <f>CASOPOInvCL!T730</f>
        <v>2</v>
      </c>
      <c r="B730" t="str">
        <f>CASOPOInvCL!Z730</f>
        <v>SO17488</v>
      </c>
      <c r="D730" t="s">
        <v>5851</v>
      </c>
      <c r="G730" s="5" t="str">
        <f>CASOPOInvCL!I730</f>
        <v>Ian Trottier</v>
      </c>
      <c r="H730" s="31">
        <f>CASOPOInvCL!U730</f>
        <v>7</v>
      </c>
      <c r="I730" s="31">
        <f>CASOPOInvCL!V730</f>
        <v>2025</v>
      </c>
      <c r="J730" s="5" t="str">
        <f>CASOPOInvCL!AB730</f>
        <v>INV13208</v>
      </c>
      <c r="K730" s="31">
        <f>CASOPOInvCL!W730</f>
        <v>7</v>
      </c>
      <c r="L730" s="31">
        <f>CASOPOInvCL!X730</f>
        <v>2025</v>
      </c>
      <c r="M730">
        <v>2504</v>
      </c>
      <c r="N730" s="5" t="str">
        <f>CASOPOInvCL!AF730</f>
        <v>Canadian Bearings Ltd.</v>
      </c>
      <c r="O730" s="16" t="str">
        <f>CASOPOInvCL!AG730</f>
        <v>CAD</v>
      </c>
      <c r="P730" s="16">
        <f>CASOPOInvCL!AH730</f>
        <v>3861.59</v>
      </c>
      <c r="Q730" s="16">
        <f>CASOPOInvCL!AI730</f>
        <v>2815.8636943690262</v>
      </c>
      <c r="R730" s="32" t="str">
        <f>CASOPOInvCL!AU730</f>
        <v>Yes</v>
      </c>
      <c r="S730" s="16">
        <f>CASOPOInvCL!AV730</f>
        <v>0</v>
      </c>
      <c r="T730" s="16">
        <f>CASOPOInvCL!AW730</f>
        <v>2815.8636943690262</v>
      </c>
      <c r="V730" t="s">
        <v>5800</v>
      </c>
      <c r="Y730" s="29" t="str">
        <f>IFERROR(HLOOKUP(U730,List!$D$2:$H$6,2,FALSE),"")</f>
        <v/>
      </c>
      <c r="Z730" s="29">
        <f>IFERROR(HLOOKUP(V730,List!$D$2:$H$6,3,FALSE),"")</f>
        <v>5.0000000000000001E-3</v>
      </c>
      <c r="AA730" s="29" t="str">
        <f>IFERROR(HLOOKUP(W730,List!$D$2:$H$6,4,FALSE),"")</f>
        <v/>
      </c>
      <c r="AB730" s="29" t="str">
        <f>IFERROR(HLOOKUP(X730,List!$D$2:$H$6,5,FALSE),"")</f>
        <v/>
      </c>
      <c r="AC730" s="12" t="str">
        <f t="shared" si="191"/>
        <v/>
      </c>
      <c r="AD730" s="12">
        <f t="shared" si="192"/>
        <v>14.079318471845131</v>
      </c>
      <c r="AE730" s="12" t="str">
        <f t="shared" si="193"/>
        <v/>
      </c>
      <c r="AF730" s="12" t="str">
        <f t="shared" si="194"/>
        <v/>
      </c>
      <c r="AG730" t="str">
        <f>VLOOKUP(J730,'Receivable Invoice Detail'!$A$1:F3742,6,FALSE)</f>
        <v>[AC-52-431-816-011] Casing Gasket, 8x6-13, Allis Chalmers CSO</v>
      </c>
      <c r="AM730" s="12" t="str">
        <f t="shared" si="195"/>
        <v/>
      </c>
      <c r="AN730" s="12">
        <f t="shared" si="196"/>
        <v>14.079318471845131</v>
      </c>
      <c r="AO730" s="12" t="str">
        <f t="shared" si="197"/>
        <v/>
      </c>
      <c r="AP730" s="12" t="str">
        <f t="shared" si="198"/>
        <v/>
      </c>
      <c r="AQ730" s="64">
        <f>M730</f>
        <v>2504</v>
      </c>
      <c r="AR730" t="s">
        <v>5931</v>
      </c>
      <c r="AS730" s="12">
        <f t="shared" si="199"/>
        <v>8.6240012883840009</v>
      </c>
      <c r="AT730" s="16" t="str">
        <f t="shared" si="201"/>
        <v>Yes</v>
      </c>
    </row>
    <row r="731" spans="1:46" hidden="1" x14ac:dyDescent="0.25">
      <c r="A731" s="41">
        <f>CASOPOInvCL!T731</f>
        <v>2</v>
      </c>
      <c r="B731" t="str">
        <f>CASOPOInvCL!Z731</f>
        <v>SO17488</v>
      </c>
      <c r="D731" t="s">
        <v>5851</v>
      </c>
      <c r="G731" s="5">
        <f>CASOPOInvCL!I731</f>
        <v>0</v>
      </c>
      <c r="H731" s="31">
        <f>CASOPOInvCL!U731</f>
        <v>7</v>
      </c>
      <c r="I731" s="31">
        <f>CASOPOInvCL!V731</f>
        <v>2025</v>
      </c>
      <c r="J731" s="5" t="str">
        <f>CASOPOInvCL!AB731</f>
        <v>INV13310</v>
      </c>
      <c r="K731" s="31">
        <f>CASOPOInvCL!W731</f>
        <v>10</v>
      </c>
      <c r="L731" s="31">
        <f>CASOPOInvCL!X731</f>
        <v>2025</v>
      </c>
      <c r="M731">
        <v>2504</v>
      </c>
      <c r="N731" s="5" t="str">
        <f>CASOPOInvCL!AF731</f>
        <v>Canadian Bearings Ltd.</v>
      </c>
      <c r="O731" s="16" t="str">
        <f>CASOPOInvCL!AG731</f>
        <v>CAD</v>
      </c>
      <c r="P731" s="16">
        <f>CASOPOInvCL!AH731</f>
        <v>0</v>
      </c>
      <c r="Q731" s="16">
        <f>CASOPOInvCL!AI731</f>
        <v>0</v>
      </c>
      <c r="R731" s="32" t="str">
        <f>CASOPOInvCL!AU731</f>
        <v/>
      </c>
      <c r="S731" s="16">
        <f>CASOPOInvCL!AV731</f>
        <v>0</v>
      </c>
      <c r="T731" s="16">
        <f>CASOPOInvCL!AW731</f>
        <v>0</v>
      </c>
      <c r="V731" t="s">
        <v>5800</v>
      </c>
      <c r="Y731" s="29" t="str">
        <f>IFERROR(HLOOKUP(U731,List!$D$2:$H$6,2,FALSE),"")</f>
        <v/>
      </c>
      <c r="Z731" s="29">
        <f>IFERROR(HLOOKUP(V731,List!$D$2:$H$6,3,FALSE),"")</f>
        <v>5.0000000000000001E-3</v>
      </c>
      <c r="AA731" s="29" t="str">
        <f>IFERROR(HLOOKUP(W731,List!$D$2:$H$6,4,FALSE),"")</f>
        <v/>
      </c>
      <c r="AB731" s="29" t="str">
        <f>IFERROR(HLOOKUP(X731,List!$D$2:$H$6,5,FALSE),"")</f>
        <v/>
      </c>
      <c r="AC731" s="12" t="str">
        <f t="shared" si="191"/>
        <v/>
      </c>
      <c r="AD731" s="12">
        <f t="shared" si="192"/>
        <v>0</v>
      </c>
      <c r="AE731" s="12" t="str">
        <f t="shared" si="193"/>
        <v/>
      </c>
      <c r="AF731" s="12" t="str">
        <f t="shared" si="194"/>
        <v/>
      </c>
      <c r="AG731" t="str">
        <f>VLOOKUP(J731,'Receivable Invoice Detail'!$A$1:F3743,6,FALSE)</f>
        <v>[AC-52-321-368-101] Impeller, 3x1.5-13, Allis Chalmers CSO, 316SS</v>
      </c>
      <c r="AM731" s="12" t="str">
        <f t="shared" si="195"/>
        <v/>
      </c>
      <c r="AN731" s="12">
        <f t="shared" si="196"/>
        <v>0</v>
      </c>
      <c r="AO731" s="12" t="str">
        <f t="shared" si="197"/>
        <v/>
      </c>
      <c r="AP731" s="12" t="str">
        <f t="shared" si="198"/>
        <v/>
      </c>
      <c r="AQ731" s="64">
        <f>M731</f>
        <v>2504</v>
      </c>
      <c r="AR731" t="s">
        <v>5931</v>
      </c>
      <c r="AS731" s="12">
        <f t="shared" si="199"/>
        <v>0</v>
      </c>
      <c r="AT731" s="16" t="str">
        <f t="shared" si="201"/>
        <v/>
      </c>
    </row>
    <row r="732" spans="1:46" hidden="1" x14ac:dyDescent="0.25">
      <c r="A732" s="41">
        <f>CASOPOInvCL!T732</f>
        <v>0</v>
      </c>
      <c r="B732" t="str">
        <f>CASOPOInvCL!Z732</f>
        <v>SO17489</v>
      </c>
      <c r="G732" s="5" t="str">
        <f>CASOPOInvCL!I732</f>
        <v>Alexis Gil Lamadrid</v>
      </c>
      <c r="H732" s="31">
        <f>CASOPOInvCL!U732</f>
        <v>7</v>
      </c>
      <c r="I732" s="31">
        <f>CASOPOInvCL!V732</f>
        <v>2025</v>
      </c>
      <c r="J732" s="5" t="str">
        <f>CASOPOInvCL!AB732</f>
        <v>No Inv</v>
      </c>
      <c r="K732" s="31" t="str">
        <f>CASOPOInvCL!W732</f>
        <v/>
      </c>
      <c r="L732" s="31" t="str">
        <f>CASOPOInvCL!X732</f>
        <v/>
      </c>
      <c r="M732" s="31"/>
      <c r="N732" s="5" t="str">
        <f>CASOPOInvCL!AF732</f>
        <v>Wajax Limited - Timmins</v>
      </c>
      <c r="O732" s="16" t="str">
        <f>CASOPOInvCL!AG732</f>
        <v>CAD</v>
      </c>
      <c r="P732" s="16">
        <f>CASOPOInvCL!AH732</f>
        <v>1610</v>
      </c>
      <c r="Q732" s="16">
        <f>CASOPOInvCL!AI732</f>
        <v>1164.4407368990296</v>
      </c>
      <c r="R732" s="32" t="str">
        <f>CASOPOInvCL!AU732</f>
        <v/>
      </c>
      <c r="S732" s="16">
        <f>CASOPOInvCL!AV732</f>
        <v>0</v>
      </c>
      <c r="T732" s="16">
        <f>CASOPOInvCL!AW732</f>
        <v>0</v>
      </c>
      <c r="Y732" s="29" t="str">
        <f>IFERROR(HLOOKUP(U732,List!$D$2:$H$6,2,FALSE),"")</f>
        <v/>
      </c>
      <c r="Z732" s="29" t="str">
        <f>IFERROR(HLOOKUP(V732,List!$D$2:$H$6,3,FALSE),"")</f>
        <v/>
      </c>
      <c r="AA732" s="29" t="str">
        <f>IFERROR(HLOOKUP(W732,List!$D$2:$H$6,4,FALSE),"")</f>
        <v/>
      </c>
      <c r="AB732" s="29" t="str">
        <f>IFERROR(HLOOKUP(X732,List!$D$2:$H$6,5,FALSE),"")</f>
        <v/>
      </c>
      <c r="AC732" s="12" t="str">
        <f t="shared" si="191"/>
        <v/>
      </c>
      <c r="AD732" s="12" t="str">
        <f t="shared" si="192"/>
        <v/>
      </c>
      <c r="AE732" s="12" t="str">
        <f t="shared" si="193"/>
        <v/>
      </c>
      <c r="AF732" s="12" t="str">
        <f t="shared" si="194"/>
        <v/>
      </c>
      <c r="AG732" t="e">
        <f>VLOOKUP(J732,'Receivable Invoice Detail'!$A$1:F3744,6,FALSE)</f>
        <v>#N/A</v>
      </c>
      <c r="AM732" s="12" t="str">
        <f t="shared" si="195"/>
        <v/>
      </c>
      <c r="AN732" s="12" t="str">
        <f t="shared" si="196"/>
        <v/>
      </c>
      <c r="AO732" s="12" t="str">
        <f t="shared" si="197"/>
        <v/>
      </c>
      <c r="AP732" s="12" t="str">
        <f t="shared" si="198"/>
        <v/>
      </c>
      <c r="AQ732" s="12"/>
      <c r="AS732" s="12">
        <f t="shared" si="199"/>
        <v>42.237955415535389</v>
      </c>
      <c r="AT732" s="16" t="str">
        <f t="shared" si="201"/>
        <v/>
      </c>
    </row>
    <row r="733" spans="1:46" hidden="1" x14ac:dyDescent="0.25">
      <c r="A733" s="41">
        <f>CASOPOInvCL!T733</f>
        <v>1</v>
      </c>
      <c r="B733" t="str">
        <f>CASOPOInvCL!Z733</f>
        <v>SO17491</v>
      </c>
      <c r="D733" t="s">
        <v>5851</v>
      </c>
      <c r="G733" s="5" t="str">
        <f>CASOPOInvCL!I733</f>
        <v>Ian Trottier</v>
      </c>
      <c r="H733" s="31">
        <f>CASOPOInvCL!U733</f>
        <v>7</v>
      </c>
      <c r="I733" s="31">
        <f>CASOPOInvCL!V733</f>
        <v>2025</v>
      </c>
      <c r="J733" s="5" t="str">
        <f>CASOPOInvCL!AB733</f>
        <v>INV13401</v>
      </c>
      <c r="K733" s="31">
        <f>CASOPOInvCL!W733</f>
        <v>11</v>
      </c>
      <c r="L733" s="31">
        <f>CASOPOInvCL!X733</f>
        <v>2025</v>
      </c>
      <c r="M733">
        <v>2504</v>
      </c>
      <c r="N733" s="5" t="str">
        <f>CASOPOInvCL!AF733</f>
        <v>Resolute Forest Products - Alma</v>
      </c>
      <c r="O733" s="16" t="str">
        <f>CASOPOInvCL!AG733</f>
        <v>CAD</v>
      </c>
      <c r="P733" s="16">
        <f>CASOPOInvCL!AH733</f>
        <v>2068.5</v>
      </c>
      <c r="Q733" s="16">
        <f>CASOPOInvCL!AI733</f>
        <v>1510.4212397075696</v>
      </c>
      <c r="R733" s="32" t="str">
        <f>CASOPOInvCL!AU733</f>
        <v>Yes</v>
      </c>
      <c r="S733" s="16">
        <f>CASOPOInvCL!AV733</f>
        <v>0</v>
      </c>
      <c r="T733" s="16">
        <f>CASOPOInvCL!AW733</f>
        <v>1510.4212397075696</v>
      </c>
      <c r="V733" s="59" t="s">
        <v>5800</v>
      </c>
      <c r="Y733" s="29" t="str">
        <f>IFERROR(HLOOKUP(U733,List!$D$2:$H$6,2,FALSE),"")</f>
        <v/>
      </c>
      <c r="Z733" s="29">
        <f>IFERROR(HLOOKUP(V733,List!$D$2:$H$6,3,FALSE),"")</f>
        <v>5.0000000000000001E-3</v>
      </c>
      <c r="AA733" s="29" t="str">
        <f>IFERROR(HLOOKUP(W733,List!$D$2:$H$6,4,FALSE),"")</f>
        <v/>
      </c>
      <c r="AB733" s="29" t="str">
        <f>IFERROR(HLOOKUP(X733,List!$D$2:$H$6,5,FALSE),"")</f>
        <v/>
      </c>
      <c r="AC733" s="12" t="str">
        <f t="shared" si="191"/>
        <v/>
      </c>
      <c r="AD733" s="12">
        <f t="shared" si="192"/>
        <v>7.5521061985378486</v>
      </c>
      <c r="AE733" s="12" t="str">
        <f t="shared" si="193"/>
        <v/>
      </c>
      <c r="AF733" s="12" t="str">
        <f t="shared" si="194"/>
        <v/>
      </c>
      <c r="AG733" t="str">
        <f>VLOOKUP(J733,'Receivable Invoice Detail'!$A$1:F3745,6,FALSE)</f>
        <v>[G-71940 2229] Shaft Sleeve, 3138-M, 316SS</v>
      </c>
      <c r="AM733" s="12" t="str">
        <f t="shared" si="195"/>
        <v/>
      </c>
      <c r="AN733" s="12">
        <f t="shared" si="196"/>
        <v>7.5521061985378486</v>
      </c>
      <c r="AO733" s="12" t="str">
        <f t="shared" si="197"/>
        <v/>
      </c>
      <c r="AP733" s="12" t="str">
        <f t="shared" si="198"/>
        <v/>
      </c>
      <c r="AQ733" s="64">
        <f>M733</f>
        <v>2504</v>
      </c>
      <c r="AR733" t="s">
        <v>5931</v>
      </c>
      <c r="AS733" s="12">
        <f t="shared" si="199"/>
        <v>0</v>
      </c>
      <c r="AT733" s="16" t="str">
        <f t="shared" si="201"/>
        <v>Yes</v>
      </c>
    </row>
    <row r="734" spans="1:46" hidden="1" x14ac:dyDescent="0.25">
      <c r="A734" s="41">
        <f>CASOPOInvCL!T734</f>
        <v>2</v>
      </c>
      <c r="B734" t="str">
        <f>CASOPOInvCL!Z734</f>
        <v>SO17494</v>
      </c>
      <c r="D734" t="s">
        <v>5851</v>
      </c>
      <c r="G734" s="5" t="str">
        <f>CASOPOInvCL!I734</f>
        <v>Alexis Gil Lamadrid</v>
      </c>
      <c r="H734" s="31">
        <f>CASOPOInvCL!U734</f>
        <v>7</v>
      </c>
      <c r="I734" s="31">
        <f>CASOPOInvCL!V734</f>
        <v>2025</v>
      </c>
      <c r="J734" s="5" t="str">
        <f>CASOPOInvCL!AB734</f>
        <v>INV13245</v>
      </c>
      <c r="K734" s="67">
        <f>CASOPOInvCL!W734</f>
        <v>9</v>
      </c>
      <c r="L734" s="67">
        <f>CASOPOInvCL!X734</f>
        <v>2025</v>
      </c>
      <c r="M734">
        <v>2504</v>
      </c>
      <c r="N734" s="5" t="str">
        <f>CASOPOInvCL!AF734</f>
        <v>Canadian Bearings Ltd.</v>
      </c>
      <c r="O734" s="16" t="str">
        <f>CASOPOInvCL!AG734</f>
        <v>CAD</v>
      </c>
      <c r="P734" s="16">
        <f>CASOPOInvCL!AH734</f>
        <v>3159.68</v>
      </c>
      <c r="Q734" s="16">
        <f>CASOPOInvCL!AI734</f>
        <v>2309.4988762220555</v>
      </c>
      <c r="R734" s="55" t="str">
        <f>CASOPOInvCL!AU734</f>
        <v>Yes</v>
      </c>
      <c r="S734" s="16">
        <f>CASOPOInvCL!AV734</f>
        <v>0</v>
      </c>
      <c r="T734" s="16">
        <f>CASOPOInvCL!AW734</f>
        <v>2309.4988762220555</v>
      </c>
      <c r="V734" t="s">
        <v>5800</v>
      </c>
      <c r="Y734" s="29" t="str">
        <f>IFERROR(HLOOKUP(U734,List!$D$2:$H$6,2,FALSE),"")</f>
        <v/>
      </c>
      <c r="Z734" s="29">
        <f>IFERROR(HLOOKUP(V734,List!$D$2:$H$6,3,FALSE),"")</f>
        <v>5.0000000000000001E-3</v>
      </c>
      <c r="AA734" s="29" t="str">
        <f>IFERROR(HLOOKUP(W734,List!$D$2:$H$6,4,FALSE),"")</f>
        <v/>
      </c>
      <c r="AB734" s="29" t="str">
        <f>IFERROR(HLOOKUP(X734,List!$D$2:$H$6,5,FALSE),"")</f>
        <v/>
      </c>
      <c r="AC734" s="12" t="str">
        <f t="shared" si="191"/>
        <v/>
      </c>
      <c r="AD734" s="12">
        <f t="shared" si="192"/>
        <v>11.547494381110278</v>
      </c>
      <c r="AE734" s="12" t="str">
        <f t="shared" si="193"/>
        <v/>
      </c>
      <c r="AF734" s="12" t="str">
        <f t="shared" si="194"/>
        <v/>
      </c>
      <c r="AG734" t="str">
        <f>VLOOKUP(J734,'Receivable Invoice Detail'!$A$1:F3746,6,FALSE)</f>
        <v>[AC-52-050-313-000] Shim Kit, Allis Chalmers CSO, Frame F4D1/F4B5</v>
      </c>
      <c r="AM734" s="12" t="str">
        <f t="shared" si="195"/>
        <v/>
      </c>
      <c r="AN734" s="12">
        <f t="shared" si="196"/>
        <v>11.547494381110278</v>
      </c>
      <c r="AO734" s="12" t="str">
        <f t="shared" si="197"/>
        <v/>
      </c>
      <c r="AP734" s="12" t="str">
        <f t="shared" si="198"/>
        <v/>
      </c>
      <c r="AQ734" s="64">
        <f>M734</f>
        <v>2504</v>
      </c>
      <c r="AR734" t="s">
        <v>5931</v>
      </c>
      <c r="AS734" s="12">
        <f t="shared" si="199"/>
        <v>0</v>
      </c>
      <c r="AT734" s="16" t="s">
        <v>5940</v>
      </c>
    </row>
    <row r="735" spans="1:46" hidden="1" x14ac:dyDescent="0.25">
      <c r="A735" s="41">
        <f>CASOPOInvCL!T735</f>
        <v>2</v>
      </c>
      <c r="B735" t="str">
        <f>CASOPOInvCL!Z735</f>
        <v>SO17494</v>
      </c>
      <c r="D735" t="s">
        <v>5851</v>
      </c>
      <c r="G735" s="5">
        <f>CASOPOInvCL!I735</f>
        <v>0</v>
      </c>
      <c r="H735" s="31">
        <f>CASOPOInvCL!U735</f>
        <v>7</v>
      </c>
      <c r="I735" s="31">
        <f>CASOPOInvCL!V735</f>
        <v>2025</v>
      </c>
      <c r="J735" s="5" t="str">
        <f>CASOPOInvCL!AB735</f>
        <v>INV13382</v>
      </c>
      <c r="K735" s="67">
        <f>CASOPOInvCL!W735</f>
        <v>10</v>
      </c>
      <c r="L735" s="67">
        <f>CASOPOInvCL!X735</f>
        <v>2025</v>
      </c>
      <c r="M735">
        <v>2504</v>
      </c>
      <c r="N735" s="5" t="str">
        <f>CASOPOInvCL!AF735</f>
        <v>Canadian Bearings Ltd.</v>
      </c>
      <c r="O735" s="16" t="str">
        <f>CASOPOInvCL!AG735</f>
        <v>CAD</v>
      </c>
      <c r="P735" s="16">
        <f>CASOPOInvCL!AH735</f>
        <v>0</v>
      </c>
      <c r="Q735" s="16">
        <f>CASOPOInvCL!AI735</f>
        <v>0</v>
      </c>
      <c r="R735" s="55" t="str">
        <f>CASOPOInvCL!AU735</f>
        <v/>
      </c>
      <c r="S735" s="16">
        <f>CASOPOInvCL!AV735</f>
        <v>0</v>
      </c>
      <c r="T735" s="16">
        <f>CASOPOInvCL!AW735</f>
        <v>0</v>
      </c>
      <c r="V735" t="s">
        <v>5800</v>
      </c>
      <c r="Y735" s="29" t="str">
        <f>IFERROR(HLOOKUP(U735,List!$D$2:$H$6,2,FALSE),"")</f>
        <v/>
      </c>
      <c r="Z735" s="29">
        <f>IFERROR(HLOOKUP(V735,List!$D$2:$H$6,3,FALSE),"")</f>
        <v>5.0000000000000001E-3</v>
      </c>
      <c r="AA735" s="29" t="str">
        <f>IFERROR(HLOOKUP(W735,List!$D$2:$H$6,4,FALSE),"")</f>
        <v/>
      </c>
      <c r="AB735" s="29" t="str">
        <f>IFERROR(HLOOKUP(X735,List!$D$2:$H$6,5,FALSE),"")</f>
        <v/>
      </c>
      <c r="AC735" s="12" t="str">
        <f t="shared" si="191"/>
        <v/>
      </c>
      <c r="AD735" s="12">
        <f t="shared" si="192"/>
        <v>0</v>
      </c>
      <c r="AE735" s="12" t="str">
        <f t="shared" si="193"/>
        <v/>
      </c>
      <c r="AF735" s="12" t="str">
        <f t="shared" si="194"/>
        <v/>
      </c>
      <c r="AG735" t="str">
        <f>VLOOKUP(J735,'Receivable Invoice Detail'!$A$1:F3747,6,FALSE)</f>
        <v>[AC-52-320-795-003] Stuffing Box Cover, 13", Allis Chalmers CSO, Frame F4B, 316SS</v>
      </c>
      <c r="AM735" s="12" t="str">
        <f t="shared" si="195"/>
        <v/>
      </c>
      <c r="AN735" s="12">
        <f t="shared" si="196"/>
        <v>0</v>
      </c>
      <c r="AO735" s="12" t="str">
        <f t="shared" si="197"/>
        <v/>
      </c>
      <c r="AP735" s="12" t="str">
        <f t="shared" si="198"/>
        <v/>
      </c>
      <c r="AQ735" s="64">
        <f>M735</f>
        <v>2504</v>
      </c>
      <c r="AR735" t="s">
        <v>5931</v>
      </c>
      <c r="AS735" s="12">
        <f t="shared" si="199"/>
        <v>22.656318595613545</v>
      </c>
      <c r="AT735" s="16" t="s">
        <v>5940</v>
      </c>
    </row>
    <row r="736" spans="1:46" hidden="1" x14ac:dyDescent="0.25">
      <c r="A736" s="41">
        <f>CASOPOInvCL!T736</f>
        <v>2</v>
      </c>
      <c r="B736" t="str">
        <f>CASOPOInvCL!Z736</f>
        <v>SO17496</v>
      </c>
      <c r="G736" s="5" t="str">
        <f>CASOPOInvCL!I736</f>
        <v>Yannett Yeomans</v>
      </c>
      <c r="H736" s="31">
        <f>CASOPOInvCL!U736</f>
        <v>7</v>
      </c>
      <c r="I736" s="31">
        <f>CASOPOInvCL!V736</f>
        <v>2025</v>
      </c>
      <c r="J736" s="5" t="str">
        <f>CASOPOInvCL!AB736</f>
        <v>INV13682</v>
      </c>
      <c r="K736" s="31" t="str">
        <f>CASOPOInvCL!W736</f>
        <v/>
      </c>
      <c r="L736" s="31" t="str">
        <f>CASOPOInvCL!X736</f>
        <v/>
      </c>
      <c r="M736" s="31"/>
      <c r="N736" s="5" t="str">
        <f>CASOPOInvCL!AF736</f>
        <v>Dynapro Pumps México S de RL de CV</v>
      </c>
      <c r="O736" s="16" t="str">
        <f>CASOPOInvCL!AG736</f>
        <v>USD</v>
      </c>
      <c r="P736" s="16">
        <f>CASOPOInvCL!AH736</f>
        <v>15706.547027076318</v>
      </c>
      <c r="Q736" s="16">
        <f>CASOPOInvCL!AI736</f>
        <v>11468</v>
      </c>
      <c r="R736" s="32" t="str">
        <f>CASOPOInvCL!AU736</f>
        <v>Yes</v>
      </c>
      <c r="S736" s="16">
        <f>CASOPOInvCL!AV736</f>
        <v>0</v>
      </c>
      <c r="T736" s="16">
        <f>CASOPOInvCL!AW736</f>
        <v>11468</v>
      </c>
      <c r="Y736" s="29" t="str">
        <f>IFERROR(HLOOKUP(U736,List!$D$2:$H$6,2,FALSE),"")</f>
        <v/>
      </c>
      <c r="Z736" s="29" t="str">
        <f>IFERROR(HLOOKUP(V736,List!$D$2:$H$6,3,FALSE),"")</f>
        <v/>
      </c>
      <c r="AA736" s="29" t="str">
        <f>IFERROR(HLOOKUP(W736,List!$D$2:$H$6,4,FALSE),"")</f>
        <v/>
      </c>
      <c r="AB736" s="29" t="str">
        <f>IFERROR(HLOOKUP(X736,List!$D$2:$H$6,5,FALSE),"")</f>
        <v/>
      </c>
      <c r="AC736" s="12" t="str">
        <f t="shared" si="191"/>
        <v/>
      </c>
      <c r="AD736" s="12" t="str">
        <f t="shared" si="192"/>
        <v/>
      </c>
      <c r="AE736" s="12" t="str">
        <f t="shared" si="193"/>
        <v/>
      </c>
      <c r="AF736" s="12" t="str">
        <f t="shared" si="194"/>
        <v/>
      </c>
      <c r="AG736" t="str">
        <f>VLOOKUP(J736,'Receivable Invoice Detail'!$A$1:F3748,6,FALSE)</f>
        <v>[104081867006] Impeller, SM203-640, 316SS</v>
      </c>
      <c r="AM736" s="12" t="str">
        <f t="shared" si="195"/>
        <v/>
      </c>
      <c r="AN736" s="12" t="str">
        <f t="shared" si="196"/>
        <v/>
      </c>
      <c r="AO736" s="12" t="str">
        <f t="shared" si="197"/>
        <v/>
      </c>
      <c r="AP736" s="12" t="str">
        <f t="shared" si="198"/>
        <v/>
      </c>
      <c r="AQ736" s="12"/>
      <c r="AR736" s="16" t="s">
        <v>5940</v>
      </c>
      <c r="AS736" s="12">
        <f t="shared" si="199"/>
        <v>34.642483143330828</v>
      </c>
      <c r="AT736" s="16" t="str">
        <f t="shared" si="201"/>
        <v>Yes</v>
      </c>
    </row>
    <row r="737" spans="1:46" hidden="1" x14ac:dyDescent="0.25">
      <c r="A737" s="41">
        <f>CASOPOInvCL!T737</f>
        <v>2</v>
      </c>
      <c r="B737" t="str">
        <f>CASOPOInvCL!Z737</f>
        <v>SO17496</v>
      </c>
      <c r="G737" s="5">
        <f>CASOPOInvCL!I737</f>
        <v>0</v>
      </c>
      <c r="H737" s="31">
        <f>CASOPOInvCL!U737</f>
        <v>7</v>
      </c>
      <c r="I737" s="31">
        <f>CASOPOInvCL!V737</f>
        <v>2025</v>
      </c>
      <c r="J737" s="5" t="str">
        <f>CASOPOInvCL!AB737</f>
        <v>INV13369</v>
      </c>
      <c r="K737" s="31" t="str">
        <f>CASOPOInvCL!W737</f>
        <v/>
      </c>
      <c r="L737" s="31" t="str">
        <f>CASOPOInvCL!X737</f>
        <v/>
      </c>
      <c r="M737" s="31"/>
      <c r="N737" s="5" t="str">
        <f>CASOPOInvCL!AF737</f>
        <v>Dynapro Pumps México S de RL de CV</v>
      </c>
      <c r="O737" s="16" t="str">
        <f>CASOPOInvCL!AG737</f>
        <v>USD</v>
      </c>
      <c r="P737" s="16">
        <f>CASOPOInvCL!AH737</f>
        <v>0</v>
      </c>
      <c r="Q737" s="16">
        <f>CASOPOInvCL!AI737</f>
        <v>0</v>
      </c>
      <c r="R737" s="32" t="str">
        <f>CASOPOInvCL!AU737</f>
        <v/>
      </c>
      <c r="S737" s="16">
        <f>CASOPOInvCL!AV737</f>
        <v>0</v>
      </c>
      <c r="T737" s="16">
        <f>CASOPOInvCL!AW737</f>
        <v>0</v>
      </c>
      <c r="Y737" s="29" t="str">
        <f>IFERROR(HLOOKUP(U737,List!$D$2:$H$6,2,FALSE),"")</f>
        <v/>
      </c>
      <c r="Z737" s="29" t="str">
        <f>IFERROR(HLOOKUP(V737,List!$D$2:$H$6,3,FALSE),"")</f>
        <v/>
      </c>
      <c r="AA737" s="29" t="str">
        <f>IFERROR(HLOOKUP(W737,List!$D$2:$H$6,4,FALSE),"")</f>
        <v/>
      </c>
      <c r="AB737" s="29" t="str">
        <f>IFERROR(HLOOKUP(X737,List!$D$2:$H$6,5,FALSE),"")</f>
        <v/>
      </c>
      <c r="AC737" s="12" t="str">
        <f t="shared" si="191"/>
        <v/>
      </c>
      <c r="AD737" s="12" t="str">
        <f t="shared" si="192"/>
        <v/>
      </c>
      <c r="AE737" s="12" t="str">
        <f t="shared" si="193"/>
        <v/>
      </c>
      <c r="AF737" s="12" t="str">
        <f t="shared" si="194"/>
        <v/>
      </c>
      <c r="AG737" t="str">
        <f>VLOOKUP(J737,'Receivable Invoice Detail'!$A$1:F3749,6,FALSE)</f>
        <v>Key, item 444, Sulzer SM203-640</v>
      </c>
      <c r="AM737" s="12" t="str">
        <f t="shared" si="195"/>
        <v/>
      </c>
      <c r="AN737" s="12" t="str">
        <f t="shared" si="196"/>
        <v/>
      </c>
      <c r="AO737" s="12" t="str">
        <f t="shared" si="197"/>
        <v/>
      </c>
      <c r="AP737" s="12" t="str">
        <f t="shared" si="198"/>
        <v/>
      </c>
      <c r="AQ737" s="12"/>
      <c r="AR737" s="16" t="s">
        <v>5940</v>
      </c>
      <c r="AS737" s="12">
        <f t="shared" si="199"/>
        <v>0</v>
      </c>
      <c r="AT737" s="16" t="str">
        <f t="shared" si="201"/>
        <v/>
      </c>
    </row>
    <row r="738" spans="1:46" hidden="1" x14ac:dyDescent="0.25">
      <c r="A738" s="41">
        <f>CASOPOInvCL!T738</f>
        <v>1</v>
      </c>
      <c r="B738" t="str">
        <f>CASOPOInvCL!Z738</f>
        <v>SO17497</v>
      </c>
      <c r="G738" s="5" t="str">
        <f>CASOPOInvCL!I738</f>
        <v>Ian Trottier</v>
      </c>
      <c r="H738" s="31">
        <f>CASOPOInvCL!U738</f>
        <v>7</v>
      </c>
      <c r="I738" s="31">
        <f>CASOPOInvCL!V738</f>
        <v>2025</v>
      </c>
      <c r="J738" s="5" t="str">
        <f>CASOPOInvCL!AB738</f>
        <v>INV13352</v>
      </c>
      <c r="K738" s="31">
        <f>CASOPOInvCL!W738</f>
        <v>1</v>
      </c>
      <c r="L738" s="31">
        <f>CASOPOInvCL!X738</f>
        <v>1900</v>
      </c>
      <c r="M738" s="31"/>
      <c r="N738" s="5" t="str">
        <f>CASOPOInvCL!AF738</f>
        <v>Kumtor Gold Company</v>
      </c>
      <c r="O738" s="16" t="str">
        <f>CASOPOInvCL!AG738</f>
        <v>USD</v>
      </c>
      <c r="P738" s="16">
        <f>CASOPOInvCL!AH738</f>
        <v>0</v>
      </c>
      <c r="Q738" s="16">
        <f>CASOPOInvCL!AI738</f>
        <v>0</v>
      </c>
      <c r="R738" s="32" t="str">
        <f>CASOPOInvCL!AU738</f>
        <v>Yes</v>
      </c>
      <c r="S738" s="16">
        <f>CASOPOInvCL!AV738</f>
        <v>0</v>
      </c>
      <c r="T738" s="16">
        <f>CASOPOInvCL!AW738</f>
        <v>0</v>
      </c>
      <c r="Y738" s="29" t="str">
        <f>IFERROR(HLOOKUP(U738,List!$D$2:$H$6,2,FALSE),"")</f>
        <v/>
      </c>
      <c r="Z738" s="29" t="str">
        <f>IFERROR(HLOOKUP(V738,List!$D$2:$H$6,3,FALSE),"")</f>
        <v/>
      </c>
      <c r="AA738" s="29" t="str">
        <f>IFERROR(HLOOKUP(W738,List!$D$2:$H$6,4,FALSE),"")</f>
        <v/>
      </c>
      <c r="AB738" s="29" t="str">
        <f>IFERROR(HLOOKUP(X738,List!$D$2:$H$6,5,FALSE),"")</f>
        <v/>
      </c>
      <c r="AC738" s="12" t="str">
        <f t="shared" si="191"/>
        <v/>
      </c>
      <c r="AD738" s="12" t="str">
        <f t="shared" si="192"/>
        <v/>
      </c>
      <c r="AE738" s="12" t="str">
        <f t="shared" si="193"/>
        <v/>
      </c>
      <c r="AF738" s="12" t="str">
        <f t="shared" si="194"/>
        <v/>
      </c>
      <c r="AG738" t="str">
        <f>VLOOKUP(J738,'Receivable Invoice Detail'!$A$1:F3750,6,FALSE)</f>
        <v>[SA-202316-M1] Impeller (Agitator), Sala VS150, High Chrome</v>
      </c>
      <c r="AM738" s="12" t="str">
        <f t="shared" si="195"/>
        <v/>
      </c>
      <c r="AN738" s="12" t="str">
        <f t="shared" si="196"/>
        <v/>
      </c>
      <c r="AO738" s="12" t="str">
        <f t="shared" si="197"/>
        <v/>
      </c>
      <c r="AP738" s="12" t="str">
        <f t="shared" si="198"/>
        <v/>
      </c>
      <c r="AQ738" s="12"/>
      <c r="AS738" s="12">
        <f t="shared" si="199"/>
        <v>172.01999999999998</v>
      </c>
      <c r="AT738" s="16" t="str">
        <f t="shared" si="201"/>
        <v>Yes</v>
      </c>
    </row>
    <row r="739" spans="1:46" hidden="1" x14ac:dyDescent="0.25">
      <c r="A739" s="41">
        <f>CASOPOInvCL!T739</f>
        <v>2</v>
      </c>
      <c r="B739" t="str">
        <f>CASOPOInvCL!Z739</f>
        <v>SO17506</v>
      </c>
      <c r="D739" t="s">
        <v>5851</v>
      </c>
      <c r="G739" s="5" t="str">
        <f>CASOPOInvCL!I739</f>
        <v>Alexis Gil Lamadrid</v>
      </c>
      <c r="H739" s="31">
        <f>CASOPOInvCL!U739</f>
        <v>7</v>
      </c>
      <c r="I739" s="31">
        <f>CASOPOInvCL!V739</f>
        <v>2025</v>
      </c>
      <c r="J739" s="5" t="str">
        <f>CASOPOInvCL!AB739</f>
        <v>INV13210</v>
      </c>
      <c r="K739" s="31">
        <f>CASOPOInvCL!W739</f>
        <v>9</v>
      </c>
      <c r="L739" s="31">
        <f>CASOPOInvCL!X739</f>
        <v>2025</v>
      </c>
      <c r="M739">
        <v>2503</v>
      </c>
      <c r="N739" s="5" t="str">
        <f>CASOPOInvCL!AF739</f>
        <v>Resolute Forest Products - Fibrek</v>
      </c>
      <c r="O739" s="16" t="str">
        <f>CASOPOInvCL!AG739</f>
        <v>CAD</v>
      </c>
      <c r="P739" s="16">
        <f>CASOPOInvCL!AH739</f>
        <v>3769.5</v>
      </c>
      <c r="Q739" s="16">
        <f>CASOPOInvCL!AI739</f>
        <v>2748.7118507982573</v>
      </c>
      <c r="R739" s="32" t="str">
        <f>CASOPOInvCL!AU739</f>
        <v>Yes</v>
      </c>
      <c r="S739" s="16">
        <f>CASOPOInvCL!AV739</f>
        <v>0</v>
      </c>
      <c r="T739" s="16">
        <f>CASOPOInvCL!AW739</f>
        <v>2748.7118507982573</v>
      </c>
      <c r="V739" t="s">
        <v>5800</v>
      </c>
      <c r="Y739" s="29" t="str">
        <f>IFERROR(HLOOKUP(U739,List!$D$2:$H$6,2,FALSE),"")</f>
        <v/>
      </c>
      <c r="Z739" s="29">
        <f>IFERROR(HLOOKUP(V739,List!$D$2:$H$6,3,FALSE),"")</f>
        <v>5.0000000000000001E-3</v>
      </c>
      <c r="AA739" s="29" t="str">
        <f>IFERROR(HLOOKUP(W739,List!$D$2:$H$6,4,FALSE),"")</f>
        <v/>
      </c>
      <c r="AB739" s="29" t="str">
        <f>IFERROR(HLOOKUP(X739,List!$D$2:$H$6,5,FALSE),"")</f>
        <v/>
      </c>
      <c r="AC739" s="12" t="str">
        <f t="shared" si="191"/>
        <v/>
      </c>
      <c r="AD739" s="12">
        <f t="shared" si="192"/>
        <v>13.743559253991286</v>
      </c>
      <c r="AE739" s="12" t="str">
        <f t="shared" si="193"/>
        <v/>
      </c>
      <c r="AF739" s="12" t="str">
        <f t="shared" si="194"/>
        <v/>
      </c>
      <c r="AG739" t="str">
        <f>VLOOKUP(J739,'Receivable Invoice Detail'!$A$1:F3751,6,FALSE)</f>
        <v>[AC-98-233-992-001] Half Seal Cage, 3x3-10 SRL &amp; SRL-C, Cast Iron</v>
      </c>
      <c r="AJ739">
        <v>2503</v>
      </c>
      <c r="AM739" s="12" t="str">
        <f t="shared" si="195"/>
        <v/>
      </c>
      <c r="AN739" s="12">
        <f t="shared" si="196"/>
        <v>0</v>
      </c>
      <c r="AO739" s="12" t="str">
        <f t="shared" si="197"/>
        <v/>
      </c>
      <c r="AP739" s="12" t="str">
        <f t="shared" si="198"/>
        <v/>
      </c>
      <c r="AQ739" s="64">
        <f>M739</f>
        <v>2503</v>
      </c>
      <c r="AR739" t="s">
        <v>5931</v>
      </c>
      <c r="AS739" s="12">
        <f t="shared" si="199"/>
        <v>0</v>
      </c>
      <c r="AT739" s="16" t="str">
        <f t="shared" si="201"/>
        <v>Yes</v>
      </c>
    </row>
    <row r="740" spans="1:46" hidden="1" x14ac:dyDescent="0.25">
      <c r="A740" s="41">
        <f>CASOPOInvCL!T740</f>
        <v>2</v>
      </c>
      <c r="B740" t="str">
        <f>CASOPOInvCL!Z740</f>
        <v>SO17506</v>
      </c>
      <c r="D740" t="s">
        <v>5851</v>
      </c>
      <c r="G740" s="5">
        <f>CASOPOInvCL!I740</f>
        <v>0</v>
      </c>
      <c r="H740" s="31">
        <f>CASOPOInvCL!U740</f>
        <v>7</v>
      </c>
      <c r="I740" s="31">
        <f>CASOPOInvCL!V740</f>
        <v>2025</v>
      </c>
      <c r="J740" s="5" t="str">
        <f>CASOPOInvCL!AB740</f>
        <v>INV13233</v>
      </c>
      <c r="K740" s="31">
        <f>CASOPOInvCL!W740</f>
        <v>9</v>
      </c>
      <c r="L740" s="31">
        <f>CASOPOInvCL!X740</f>
        <v>2025</v>
      </c>
      <c r="M740">
        <v>2503</v>
      </c>
      <c r="N740" s="5" t="str">
        <f>CASOPOInvCL!AF740</f>
        <v>Resolute Forest Products - Fibrek</v>
      </c>
      <c r="O740" s="16" t="str">
        <f>CASOPOInvCL!AG740</f>
        <v>CAD</v>
      </c>
      <c r="P740" s="16">
        <f>CASOPOInvCL!AH740</f>
        <v>0</v>
      </c>
      <c r="Q740" s="16">
        <f>CASOPOInvCL!AI740</f>
        <v>0</v>
      </c>
      <c r="R740" s="32" t="str">
        <f>CASOPOInvCL!AU740</f>
        <v/>
      </c>
      <c r="S740" s="16">
        <f>CASOPOInvCL!AV740</f>
        <v>0</v>
      </c>
      <c r="T740" s="16">
        <f>CASOPOInvCL!AW740</f>
        <v>0</v>
      </c>
      <c r="V740" t="s">
        <v>5800</v>
      </c>
      <c r="Y740" s="29" t="str">
        <f>IFERROR(HLOOKUP(U740,List!$D$2:$H$6,2,FALSE),"")</f>
        <v/>
      </c>
      <c r="Z740" s="29">
        <f>IFERROR(HLOOKUP(V740,List!$D$2:$H$6,3,FALSE),"")</f>
        <v>5.0000000000000001E-3</v>
      </c>
      <c r="AA740" s="29" t="str">
        <f>IFERROR(HLOOKUP(W740,List!$D$2:$H$6,4,FALSE),"")</f>
        <v/>
      </c>
      <c r="AB740" s="29" t="str">
        <f>IFERROR(HLOOKUP(X740,List!$D$2:$H$6,5,FALSE),"")</f>
        <v/>
      </c>
      <c r="AC740" s="12" t="str">
        <f t="shared" si="191"/>
        <v/>
      </c>
      <c r="AD740" s="12">
        <f t="shared" si="192"/>
        <v>0</v>
      </c>
      <c r="AE740" s="12" t="str">
        <f t="shared" si="193"/>
        <v/>
      </c>
      <c r="AF740" s="12" t="str">
        <f t="shared" si="194"/>
        <v/>
      </c>
      <c r="AG740" t="str">
        <f>VLOOKUP(J740,'Receivable Invoice Detail'!$A$1:F3752,6,FALSE)</f>
        <v>[AC-98-432-884-801] Bearing Housing, PWO, Frame 2, Oil</v>
      </c>
      <c r="AJ740">
        <v>2503</v>
      </c>
      <c r="AM740" s="12" t="str">
        <f t="shared" si="195"/>
        <v/>
      </c>
      <c r="AN740" s="12">
        <f t="shared" si="196"/>
        <v>0</v>
      </c>
      <c r="AO740" s="12" t="str">
        <f t="shared" si="197"/>
        <v/>
      </c>
      <c r="AP740" s="12" t="str">
        <f t="shared" si="198"/>
        <v/>
      </c>
      <c r="AQ740" s="64">
        <f>M740</f>
        <v>2503</v>
      </c>
      <c r="AR740" t="s">
        <v>5931</v>
      </c>
      <c r="AS740" s="12">
        <f t="shared" si="199"/>
        <v>0</v>
      </c>
      <c r="AT740" s="16" t="str">
        <f t="shared" si="201"/>
        <v/>
      </c>
    </row>
    <row r="741" spans="1:46" hidden="1" x14ac:dyDescent="0.25">
      <c r="A741" s="41">
        <f>CASOPOInvCL!T741</f>
        <v>1</v>
      </c>
      <c r="B741" t="str">
        <f>CASOPOInvCL!Z741</f>
        <v>SO17507</v>
      </c>
      <c r="D741" t="s">
        <v>5915</v>
      </c>
      <c r="G741" s="5" t="str">
        <f>CASOPOInvCL!I741</f>
        <v>Wilka Nuñez</v>
      </c>
      <c r="H741" s="31">
        <f>CASOPOInvCL!U741</f>
        <v>7</v>
      </c>
      <c r="I741" s="31">
        <f>CASOPOInvCL!V741</f>
        <v>2025</v>
      </c>
      <c r="J741" s="5" t="str">
        <f>CASOPOInvCL!AB741</f>
        <v>INV13329</v>
      </c>
      <c r="K741" s="31">
        <f>CASOPOInvCL!W741</f>
        <v>10</v>
      </c>
      <c r="L741" s="31">
        <f>CASOPOInvCL!X741</f>
        <v>2025</v>
      </c>
      <c r="M741">
        <v>2504</v>
      </c>
      <c r="N741" s="5" t="str">
        <f>CASOPOInvCL!AF741</f>
        <v>Sling-Choker Manufacturing - Timmins</v>
      </c>
      <c r="O741" s="16" t="str">
        <f>CASOPOInvCL!AG741</f>
        <v>CAD</v>
      </c>
      <c r="P741" s="16">
        <f>CASOPOInvCL!AH741</f>
        <v>1842.22</v>
      </c>
      <c r="Q741" s="16">
        <f>CASOPOInvCL!AI741</f>
        <v>1344.0060891039877</v>
      </c>
      <c r="R741" s="32" t="str">
        <f>CASOPOInvCL!AU741</f>
        <v>Yes</v>
      </c>
      <c r="S741" s="16">
        <f>CASOPOInvCL!AV741</f>
        <v>0</v>
      </c>
      <c r="T741" s="16">
        <f>CASOPOInvCL!AW741</f>
        <v>1344.0060891039877</v>
      </c>
      <c r="V741" t="s">
        <v>5800</v>
      </c>
      <c r="Y741" s="29" t="str">
        <f>IFERROR(HLOOKUP(U741,List!$D$2:$H$6,2,FALSE),"")</f>
        <v/>
      </c>
      <c r="Z741" s="29">
        <f>IFERROR(HLOOKUP(V741,List!$D$2:$H$6,3,FALSE),"")</f>
        <v>5.0000000000000001E-3</v>
      </c>
      <c r="AA741" s="29" t="str">
        <f>IFERROR(HLOOKUP(W741,List!$D$2:$H$6,4,FALSE),"")</f>
        <v/>
      </c>
      <c r="AB741" s="29" t="str">
        <f>IFERROR(HLOOKUP(X741,List!$D$2:$H$6,5,FALSE),"")</f>
        <v/>
      </c>
      <c r="AC741" s="12" t="str">
        <f t="shared" si="191"/>
        <v/>
      </c>
      <c r="AD741" s="12">
        <f t="shared" si="192"/>
        <v>6.7200304455199387</v>
      </c>
      <c r="AE741" s="12" t="str">
        <f t="shared" si="193"/>
        <v/>
      </c>
      <c r="AF741" s="12" t="str">
        <f t="shared" si="194"/>
        <v/>
      </c>
      <c r="AG741" t="str">
        <f>VLOOKUP(J741,'Receivable Invoice Detail'!$A$1:F3753,6,FALSE)</f>
        <v>[G-0B10588 1216] Impeller, 2x3-13, 3196 LTX, CD4MCu, 5-Vane</v>
      </c>
      <c r="AM741" s="12" t="str">
        <f t="shared" si="195"/>
        <v/>
      </c>
      <c r="AN741" s="12">
        <f t="shared" si="196"/>
        <v>6.7200304455199387</v>
      </c>
      <c r="AO741" s="12" t="str">
        <f t="shared" si="197"/>
        <v/>
      </c>
      <c r="AP741" s="12" t="str">
        <f t="shared" si="198"/>
        <v/>
      </c>
      <c r="AQ741" s="64">
        <f>M741</f>
        <v>2504</v>
      </c>
      <c r="AR741" t="s">
        <v>5931</v>
      </c>
      <c r="AS741" s="12">
        <f t="shared" si="199"/>
        <v>41.230677761973858</v>
      </c>
      <c r="AT741" s="16" t="str">
        <f t="shared" si="201"/>
        <v>Yes</v>
      </c>
    </row>
    <row r="742" spans="1:46" hidden="1" x14ac:dyDescent="0.25">
      <c r="A742" s="41">
        <f>CASOPOInvCL!T742</f>
        <v>3</v>
      </c>
      <c r="B742" t="str">
        <f>CASOPOInvCL!Z742</f>
        <v>SO17509</v>
      </c>
      <c r="G742" s="5" t="str">
        <f>CASOPOInvCL!I742</f>
        <v>Ian Trottier</v>
      </c>
      <c r="H742" s="31">
        <f>CASOPOInvCL!U742</f>
        <v>7</v>
      </c>
      <c r="I742" s="31">
        <f>CASOPOInvCL!V742</f>
        <v>2025</v>
      </c>
      <c r="J742" s="5" t="str">
        <f>CASOPOInvCL!AB742</f>
        <v>INV13671</v>
      </c>
      <c r="K742" s="31">
        <f>CASOPOInvCL!W742</f>
        <v>12</v>
      </c>
      <c r="L742" s="31">
        <f>CASOPOInvCL!X742</f>
        <v>2025</v>
      </c>
      <c r="M742" s="31"/>
      <c r="N742" s="5" t="str">
        <f>CASOPOInvCL!AF742</f>
        <v>Middle Georgia Fluid Sealing LLC</v>
      </c>
      <c r="O742" s="16" t="str">
        <f>CASOPOInvCL!AG742</f>
        <v>USD</v>
      </c>
      <c r="P742" s="16">
        <f>CASOPOInvCL!AH742</f>
        <v>29253.178105538074</v>
      </c>
      <c r="Q742" s="16">
        <f>CASOPOInvCL!AI742</f>
        <v>21361.45</v>
      </c>
      <c r="R742" s="32" t="str">
        <f>CASOPOInvCL!AU742</f>
        <v>Yes</v>
      </c>
      <c r="S742" s="16">
        <f>CASOPOInvCL!AV742</f>
        <v>782</v>
      </c>
      <c r="T742" s="16">
        <f>CASOPOInvCL!AW742</f>
        <v>20579.45</v>
      </c>
      <c r="Y742" s="29" t="str">
        <f>IFERROR(HLOOKUP(U742,List!$D$2:$H$6,2,FALSE),"")</f>
        <v/>
      </c>
      <c r="Z742" s="29" t="str">
        <f>IFERROR(HLOOKUP(V742,List!$D$2:$H$6,3,FALSE),"")</f>
        <v/>
      </c>
      <c r="AA742" s="29" t="str">
        <f>IFERROR(HLOOKUP(W742,List!$D$2:$H$6,4,FALSE),"")</f>
        <v/>
      </c>
      <c r="AB742" s="29" t="str">
        <f>IFERROR(HLOOKUP(X742,List!$D$2:$H$6,5,FALSE),"")</f>
        <v/>
      </c>
      <c r="AC742" s="12" t="str">
        <f t="shared" si="191"/>
        <v/>
      </c>
      <c r="AD742" s="12" t="str">
        <f t="shared" si="192"/>
        <v/>
      </c>
      <c r="AE742" s="12" t="str">
        <f t="shared" si="193"/>
        <v/>
      </c>
      <c r="AF742" s="12" t="str">
        <f t="shared" si="194"/>
        <v/>
      </c>
      <c r="AG742" t="str">
        <f>VLOOKUP(J742,'Receivable Invoice Detail'!$A$1:F3754,6,FALSE)</f>
        <v>[G-1.5x2-14-JC-HC] Pump, 1.5x2-14, Dynapro DC, Frame 2J, High Chrome</v>
      </c>
      <c r="AM742" s="12" t="str">
        <f t="shared" si="195"/>
        <v/>
      </c>
      <c r="AN742" s="12" t="str">
        <f t="shared" si="196"/>
        <v/>
      </c>
      <c r="AO742" s="12" t="str">
        <f t="shared" si="197"/>
        <v/>
      </c>
      <c r="AP742" s="12" t="str">
        <f t="shared" si="198"/>
        <v/>
      </c>
      <c r="AQ742" s="12"/>
      <c r="AS742" s="12">
        <f t="shared" si="199"/>
        <v>0</v>
      </c>
      <c r="AT742" s="16" t="str">
        <f t="shared" si="201"/>
        <v>Yes</v>
      </c>
    </row>
    <row r="743" spans="1:46" hidden="1" x14ac:dyDescent="0.25">
      <c r="A743" s="41">
        <f>CASOPOInvCL!T743</f>
        <v>3</v>
      </c>
      <c r="B743" t="str">
        <f>CASOPOInvCL!Z743</f>
        <v>SO17509</v>
      </c>
      <c r="G743" s="5">
        <f>CASOPOInvCL!I743</f>
        <v>0</v>
      </c>
      <c r="H743" s="31">
        <f>CASOPOInvCL!U743</f>
        <v>7</v>
      </c>
      <c r="I743" s="31">
        <f>CASOPOInvCL!V743</f>
        <v>2025</v>
      </c>
      <c r="J743" s="5" t="str">
        <f>CASOPOInvCL!AB743</f>
        <v>INV13238</v>
      </c>
      <c r="K743" s="31">
        <f>CASOPOInvCL!W743</f>
        <v>9</v>
      </c>
      <c r="L743" s="31">
        <f>CASOPOInvCL!X743</f>
        <v>2025</v>
      </c>
      <c r="M743" s="31"/>
      <c r="N743" s="5" t="str">
        <f>CASOPOInvCL!AF743</f>
        <v>Middle Georgia Fluid Sealing LLC</v>
      </c>
      <c r="O743" s="16" t="str">
        <f>CASOPOInvCL!AG743</f>
        <v>USD</v>
      </c>
      <c r="P743" s="16">
        <f>CASOPOInvCL!AH743</f>
        <v>0</v>
      </c>
      <c r="Q743" s="16">
        <f>CASOPOInvCL!AI743</f>
        <v>0</v>
      </c>
      <c r="R743" s="32" t="str">
        <f>CASOPOInvCL!AU743</f>
        <v/>
      </c>
      <c r="S743" s="16">
        <f>CASOPOInvCL!AV743</f>
        <v>0</v>
      </c>
      <c r="T743" s="16">
        <f>CASOPOInvCL!AW743</f>
        <v>0</v>
      </c>
      <c r="Y743" s="29" t="str">
        <f>IFERROR(HLOOKUP(U743,List!$D$2:$H$6,2,FALSE),"")</f>
        <v/>
      </c>
      <c r="Z743" s="29" t="str">
        <f>IFERROR(HLOOKUP(V743,List!$D$2:$H$6,3,FALSE),"")</f>
        <v/>
      </c>
      <c r="AA743" s="29" t="str">
        <f>IFERROR(HLOOKUP(W743,List!$D$2:$H$6,4,FALSE),"")</f>
        <v/>
      </c>
      <c r="AB743" s="29" t="str">
        <f>IFERROR(HLOOKUP(X743,List!$D$2:$H$6,5,FALSE),"")</f>
        <v/>
      </c>
      <c r="AC743" s="12" t="str">
        <f t="shared" si="191"/>
        <v/>
      </c>
      <c r="AD743" s="12" t="str">
        <f t="shared" si="192"/>
        <v/>
      </c>
      <c r="AE743" s="12" t="str">
        <f t="shared" si="193"/>
        <v/>
      </c>
      <c r="AF743" s="12" t="str">
        <f t="shared" si="194"/>
        <v/>
      </c>
      <c r="AG743" t="str">
        <f>VLOOKUP(J743,'Receivable Invoice Detail'!$A$1:F3755,6,FALSE)</f>
        <v>[D-WE1J-8] Stuffing Box Cover, Goulds JC, Frame 1J, High Chrome, OEM# 048945G0001228</v>
      </c>
      <c r="AM743" s="12" t="str">
        <f t="shared" si="195"/>
        <v/>
      </c>
      <c r="AN743" s="12" t="str">
        <f t="shared" si="196"/>
        <v/>
      </c>
      <c r="AO743" s="12" t="str">
        <f t="shared" si="197"/>
        <v/>
      </c>
      <c r="AP743" s="12" t="str">
        <f t="shared" si="198"/>
        <v/>
      </c>
      <c r="AQ743" s="12"/>
      <c r="AS743" s="12">
        <f t="shared" si="199"/>
        <v>20.160091336559816</v>
      </c>
      <c r="AT743" s="16" t="s">
        <v>5940</v>
      </c>
    </row>
    <row r="744" spans="1:46" hidden="1" x14ac:dyDescent="0.25">
      <c r="A744" s="41">
        <f>CASOPOInvCL!T744</f>
        <v>3</v>
      </c>
      <c r="B744" t="str">
        <f>CASOPOInvCL!Z744</f>
        <v>SO17509</v>
      </c>
      <c r="G744" s="5">
        <f>CASOPOInvCL!I744</f>
        <v>0</v>
      </c>
      <c r="H744" s="31">
        <f>CASOPOInvCL!U744</f>
        <v>7</v>
      </c>
      <c r="I744" s="31">
        <f>CASOPOInvCL!V744</f>
        <v>2025</v>
      </c>
      <c r="J744" s="5" t="str">
        <f>CASOPOInvCL!AB744</f>
        <v>INV13681</v>
      </c>
      <c r="K744" s="31">
        <f>CASOPOInvCL!W744</f>
        <v>12</v>
      </c>
      <c r="L744" s="31">
        <f>CASOPOInvCL!X744</f>
        <v>2025</v>
      </c>
      <c r="M744" s="31"/>
      <c r="N744" s="5" t="str">
        <f>CASOPOInvCL!AF744</f>
        <v>Middle Georgia Fluid Sealing LLC</v>
      </c>
      <c r="O744" s="16" t="str">
        <f>CASOPOInvCL!AG744</f>
        <v>USD</v>
      </c>
      <c r="P744" s="16">
        <f>CASOPOInvCL!AH744</f>
        <v>0</v>
      </c>
      <c r="Q744" s="16">
        <f>CASOPOInvCL!AI744</f>
        <v>0</v>
      </c>
      <c r="R744" s="32" t="str">
        <f>CASOPOInvCL!AU744</f>
        <v/>
      </c>
      <c r="S744" s="16">
        <f>CASOPOInvCL!AV744</f>
        <v>0</v>
      </c>
      <c r="T744" s="16">
        <f>CASOPOInvCL!AW744</f>
        <v>0</v>
      </c>
      <c r="Y744" s="29" t="str">
        <f>IFERROR(HLOOKUP(U744,List!$D$2:$H$6,2,FALSE),"")</f>
        <v/>
      </c>
      <c r="Z744" s="29" t="str">
        <f>IFERROR(HLOOKUP(V744,List!$D$2:$H$6,3,FALSE),"")</f>
        <v/>
      </c>
      <c r="AA744" s="29" t="str">
        <f>IFERROR(HLOOKUP(W744,List!$D$2:$H$6,4,FALSE),"")</f>
        <v/>
      </c>
      <c r="AB744" s="29" t="str">
        <f>IFERROR(HLOOKUP(X744,List!$D$2:$H$6,5,FALSE),"")</f>
        <v/>
      </c>
      <c r="AC744" s="12" t="str">
        <f t="shared" si="191"/>
        <v/>
      </c>
      <c r="AD744" s="12" t="str">
        <f t="shared" si="192"/>
        <v/>
      </c>
      <c r="AE744" s="12" t="str">
        <f t="shared" si="193"/>
        <v/>
      </c>
      <c r="AF744" s="12" t="str">
        <f t="shared" si="194"/>
        <v/>
      </c>
      <c r="AG744" t="str">
        <f>VLOOKUP(J744,'Receivable Invoice Detail'!$A$1:F3756,6,FALSE)</f>
        <v>[D-2J15214-14] Suction Cover, 1.5x2-14, Goulds JC Frame 2J, High Chrome, OEM# 050049G0001228</v>
      </c>
      <c r="AM744" s="12" t="str">
        <f t="shared" si="195"/>
        <v/>
      </c>
      <c r="AN744" s="12" t="str">
        <f t="shared" si="196"/>
        <v/>
      </c>
      <c r="AO744" s="12" t="str">
        <f t="shared" si="197"/>
        <v/>
      </c>
      <c r="AP744" s="12" t="str">
        <f t="shared" si="198"/>
        <v/>
      </c>
      <c r="AQ744" s="12"/>
      <c r="AS744" s="12">
        <f t="shared" si="199"/>
        <v>308.69175000000001</v>
      </c>
      <c r="AT744" s="16" t="s">
        <v>5940</v>
      </c>
    </row>
    <row r="745" spans="1:46" hidden="1" x14ac:dyDescent="0.25">
      <c r="A745" s="41">
        <f>CASOPOInvCL!T745</f>
        <v>1</v>
      </c>
      <c r="B745" t="str">
        <f>CASOPOInvCL!Z745</f>
        <v>SO17512</v>
      </c>
      <c r="G745" s="5" t="str">
        <f>CASOPOInvCL!I745</f>
        <v>Yannett Yeomans</v>
      </c>
      <c r="H745" s="31">
        <f>CASOPOInvCL!U745</f>
        <v>7</v>
      </c>
      <c r="I745" s="31">
        <f>CASOPOInvCL!V745</f>
        <v>2025</v>
      </c>
      <c r="J745" s="5" t="str">
        <f>CASOPOInvCL!AB745</f>
        <v>INV13317</v>
      </c>
      <c r="K745" s="31" t="str">
        <f>CASOPOInvCL!W745</f>
        <v/>
      </c>
      <c r="L745" s="31" t="str">
        <f>CASOPOInvCL!X745</f>
        <v/>
      </c>
      <c r="M745" s="31"/>
      <c r="N745" s="5" t="str">
        <f>CASOPOInvCL!AF745</f>
        <v>Dynapro Pumps México S de RL de CV</v>
      </c>
      <c r="O745" s="16" t="str">
        <f>CASOPOInvCL!AG745</f>
        <v>USD</v>
      </c>
      <c r="P745" s="16">
        <f>CASOPOInvCL!AH745</f>
        <v>1684.408552313248</v>
      </c>
      <c r="Q745" s="16">
        <f>CASOPOInvCL!AI745</f>
        <v>1230</v>
      </c>
      <c r="R745" s="32" t="str">
        <f>CASOPOInvCL!AU745</f>
        <v/>
      </c>
      <c r="S745" s="16">
        <f>CASOPOInvCL!AV745</f>
        <v>0</v>
      </c>
      <c r="T745" s="16">
        <f>CASOPOInvCL!AW745</f>
        <v>0</v>
      </c>
      <c r="Y745" s="29" t="str">
        <f>IFERROR(HLOOKUP(U745,List!$D$2:$H$6,2,FALSE),"")</f>
        <v/>
      </c>
      <c r="Z745" s="29" t="str">
        <f>IFERROR(HLOOKUP(V745,List!$D$2:$H$6,3,FALSE),"")</f>
        <v/>
      </c>
      <c r="AA745" s="29" t="str">
        <f>IFERROR(HLOOKUP(W745,List!$D$2:$H$6,4,FALSE),"")</f>
        <v/>
      </c>
      <c r="AB745" s="29" t="str">
        <f>IFERROR(HLOOKUP(X745,List!$D$2:$H$6,5,FALSE),"")</f>
        <v/>
      </c>
      <c r="AC745" s="12" t="str">
        <f t="shared" si="191"/>
        <v/>
      </c>
      <c r="AD745" s="12" t="str">
        <f t="shared" si="192"/>
        <v/>
      </c>
      <c r="AE745" s="12" t="str">
        <f t="shared" si="193"/>
        <v/>
      </c>
      <c r="AF745" s="12" t="str">
        <f t="shared" si="194"/>
        <v/>
      </c>
      <c r="AG745" t="str">
        <f>VLOOKUP(J745,'Receivable Invoice Detail'!$A$1:F3757,6,FALSE)</f>
        <v>[10039/5001] Bowl Bearing, 11CLC-1, Teflon</v>
      </c>
      <c r="AH745" s="12">
        <f t="shared" ref="AH745" si="205">SUM(AC745:AF745)</f>
        <v>0</v>
      </c>
      <c r="AM745" s="12" t="str">
        <f t="shared" si="195"/>
        <v/>
      </c>
      <c r="AN745" s="12" t="str">
        <f t="shared" si="196"/>
        <v/>
      </c>
      <c r="AO745" s="12" t="str">
        <f t="shared" si="197"/>
        <v/>
      </c>
      <c r="AP745" s="12" t="str">
        <f t="shared" si="198"/>
        <v/>
      </c>
      <c r="AQ745" s="12"/>
      <c r="AR745" s="16" t="s">
        <v>5940</v>
      </c>
      <c r="AS745" s="12">
        <f t="shared" si="199"/>
        <v>0</v>
      </c>
      <c r="AT745" s="16" t="str">
        <f t="shared" si="201"/>
        <v/>
      </c>
    </row>
    <row r="746" spans="1:46" hidden="1" x14ac:dyDescent="0.25">
      <c r="A746" s="41">
        <f>CASOPOInvCL!T746</f>
        <v>1</v>
      </c>
      <c r="B746" t="str">
        <f>CASOPOInvCL!Z746</f>
        <v>SO17513</v>
      </c>
      <c r="G746" s="5" t="str">
        <f>CASOPOInvCL!I746</f>
        <v>Yannett Yeomans</v>
      </c>
      <c r="H746" s="31">
        <f>CASOPOInvCL!U746</f>
        <v>7</v>
      </c>
      <c r="I746" s="31">
        <f>CASOPOInvCL!V746</f>
        <v>2025</v>
      </c>
      <c r="J746" s="5" t="str">
        <f>CASOPOInvCL!AB746</f>
        <v>INV13458</v>
      </c>
      <c r="K746" s="31" t="str">
        <f>CASOPOInvCL!W746</f>
        <v/>
      </c>
      <c r="L746" s="31" t="str">
        <f>CASOPOInvCL!X746</f>
        <v/>
      </c>
      <c r="M746" s="31"/>
      <c r="N746" s="5" t="str">
        <f>CASOPOInvCL!AF746</f>
        <v>Dynapro Pumps México S de RL de CV</v>
      </c>
      <c r="O746" s="16" t="str">
        <f>CASOPOInvCL!AG746</f>
        <v>USD</v>
      </c>
      <c r="P746" s="16">
        <f>CASOPOInvCL!AH746</f>
        <v>7029.3244707511394</v>
      </c>
      <c r="Q746" s="16">
        <f>CASOPOInvCL!AI746</f>
        <v>5133</v>
      </c>
      <c r="R746" s="32" t="str">
        <f>CASOPOInvCL!AU746</f>
        <v/>
      </c>
      <c r="S746" s="16">
        <f>CASOPOInvCL!AV746</f>
        <v>0</v>
      </c>
      <c r="T746" s="16">
        <f>CASOPOInvCL!AW746</f>
        <v>0</v>
      </c>
      <c r="Y746" s="29" t="str">
        <f>IFERROR(HLOOKUP(U746,List!$D$2:$H$6,2,FALSE),"")</f>
        <v/>
      </c>
      <c r="Z746" s="29" t="str">
        <f>IFERROR(HLOOKUP(V746,List!$D$2:$H$6,3,FALSE),"")</f>
        <v/>
      </c>
      <c r="AA746" s="29" t="str">
        <f>IFERROR(HLOOKUP(W746,List!$D$2:$H$6,4,FALSE),"")</f>
        <v/>
      </c>
      <c r="AB746" s="29" t="str">
        <f>IFERROR(HLOOKUP(X746,List!$D$2:$H$6,5,FALSE),"")</f>
        <v/>
      </c>
      <c r="AC746" s="12" t="str">
        <f t="shared" si="191"/>
        <v/>
      </c>
      <c r="AD746" s="12" t="str">
        <f t="shared" si="192"/>
        <v/>
      </c>
      <c r="AE746" s="12" t="str">
        <f t="shared" si="193"/>
        <v/>
      </c>
      <c r="AF746" s="12" t="str">
        <f t="shared" si="194"/>
        <v/>
      </c>
      <c r="AG746" t="str">
        <f>VLOOKUP(J746,'Receivable Invoice Detail'!$A$1:F3758,6,FALSE)</f>
        <v>[G-RD04573A01 1216] Stuffing Box Cover, 17", 3196 X17, CD4MCu, Standard Bore, Non-Jacketed</v>
      </c>
      <c r="AM746" s="12" t="str">
        <f t="shared" si="195"/>
        <v/>
      </c>
      <c r="AN746" s="12" t="str">
        <f t="shared" si="196"/>
        <v/>
      </c>
      <c r="AO746" s="12" t="str">
        <f t="shared" si="197"/>
        <v/>
      </c>
      <c r="AP746" s="12" t="str">
        <f t="shared" si="198"/>
        <v/>
      </c>
      <c r="AQ746" s="12"/>
      <c r="AR746" s="16" t="s">
        <v>5940</v>
      </c>
      <c r="AS746" s="12">
        <f t="shared" si="199"/>
        <v>0</v>
      </c>
      <c r="AT746" s="16" t="str">
        <f t="shared" si="201"/>
        <v/>
      </c>
    </row>
    <row r="747" spans="1:46" hidden="1" x14ac:dyDescent="0.25">
      <c r="A747" s="41">
        <f>CASOPOInvCL!T747</f>
        <v>1</v>
      </c>
      <c r="B747" t="str">
        <f>CASOPOInvCL!Z747</f>
        <v>SO17515</v>
      </c>
      <c r="D747" t="s">
        <v>5925</v>
      </c>
      <c r="G747" s="5" t="str">
        <f>CASOPOInvCL!I747</f>
        <v>Ian Trottier</v>
      </c>
      <c r="H747" s="31">
        <f>CASOPOInvCL!U747</f>
        <v>7</v>
      </c>
      <c r="I747" s="31">
        <f>CASOPOInvCL!V747</f>
        <v>2025</v>
      </c>
      <c r="J747" s="5" t="str">
        <f>CASOPOInvCL!AB747</f>
        <v>INV13299</v>
      </c>
      <c r="K747" s="31">
        <f>CASOPOInvCL!W747</f>
        <v>9</v>
      </c>
      <c r="L747" s="31">
        <f>CASOPOInvCL!X747</f>
        <v>2025</v>
      </c>
      <c r="M747">
        <v>2503</v>
      </c>
      <c r="N747" s="5" t="str">
        <f>CASOPOInvCL!AF747</f>
        <v>Alamos Gold Inc</v>
      </c>
      <c r="O747" s="16" t="str">
        <f>CASOPOInvCL!AG747</f>
        <v>CAD</v>
      </c>
      <c r="P747" s="16">
        <f>CASOPOInvCL!AH747</f>
        <v>7934.6</v>
      </c>
      <c r="Q747" s="16">
        <f>CASOPOInvCL!AI747</f>
        <v>5785.4161697389609</v>
      </c>
      <c r="R747" s="32" t="str">
        <f>CASOPOInvCL!AU747</f>
        <v>Yes</v>
      </c>
      <c r="S747" s="16">
        <f>CASOPOInvCL!AV747</f>
        <v>0</v>
      </c>
      <c r="T747" s="16">
        <f>CASOPOInvCL!AW747</f>
        <v>5785.4161697389609</v>
      </c>
      <c r="V747" t="s">
        <v>5801</v>
      </c>
      <c r="Y747" s="29" t="str">
        <f>IFERROR(HLOOKUP(U747,List!$D$2:$H$6,2,FALSE),"")</f>
        <v/>
      </c>
      <c r="Z747" s="29">
        <f>IFERROR(HLOOKUP(V747,List!$D$2:$H$6,3,FALSE),"")</f>
        <v>0.02</v>
      </c>
      <c r="AA747" s="29" t="str">
        <f>IFERROR(HLOOKUP(W747,List!$D$2:$H$6,4,FALSE),"")</f>
        <v/>
      </c>
      <c r="AB747" s="29" t="str">
        <f>IFERROR(HLOOKUP(X747,List!$D$2:$H$6,5,FALSE),"")</f>
        <v/>
      </c>
      <c r="AC747" s="12" t="str">
        <f t="shared" si="191"/>
        <v/>
      </c>
      <c r="AD747" s="12">
        <f t="shared" si="192"/>
        <v>115.70832339477921</v>
      </c>
      <c r="AE747" s="12" t="str">
        <f t="shared" si="193"/>
        <v/>
      </c>
      <c r="AF747" s="12" t="str">
        <f t="shared" si="194"/>
        <v/>
      </c>
      <c r="AG747" t="str">
        <f>VLOOKUP(J747,'Receivable Invoice Detail'!$A$1:F3759,6,FALSE)</f>
        <v>[G-R196-MKM8] Maintenance Kit, 8", 3196 MTX</v>
      </c>
      <c r="AM747" s="12" t="str">
        <f t="shared" si="195"/>
        <v/>
      </c>
      <c r="AN747" s="12">
        <f t="shared" si="196"/>
        <v>115.70832339477921</v>
      </c>
      <c r="AO747" s="12" t="str">
        <f t="shared" si="197"/>
        <v/>
      </c>
      <c r="AP747" s="12" t="str">
        <f t="shared" si="198"/>
        <v/>
      </c>
      <c r="AQ747" s="64">
        <v>2503</v>
      </c>
      <c r="AR747" t="s">
        <v>5932</v>
      </c>
      <c r="AS747" s="12">
        <f t="shared" si="199"/>
        <v>0</v>
      </c>
      <c r="AT747" s="16" t="s">
        <v>5940</v>
      </c>
    </row>
    <row r="748" spans="1:46" hidden="1" x14ac:dyDescent="0.25">
      <c r="A748" s="41">
        <f>CASOPOInvCL!T748</f>
        <v>1</v>
      </c>
      <c r="B748" t="str">
        <f>CASOPOInvCL!Z748</f>
        <v>SO17516</v>
      </c>
      <c r="G748" s="5" t="str">
        <f>CASOPOInvCL!I748</f>
        <v>Wilka Nuñez</v>
      </c>
      <c r="H748" s="31">
        <f>CASOPOInvCL!U748</f>
        <v>7</v>
      </c>
      <c r="I748" s="31">
        <f>CASOPOInvCL!V748</f>
        <v>2025</v>
      </c>
      <c r="J748" s="5" t="str">
        <f>CASOPOInvCL!AB748</f>
        <v>INV13300</v>
      </c>
      <c r="K748" s="31">
        <f>CASOPOInvCL!W748</f>
        <v>10</v>
      </c>
      <c r="L748" s="31">
        <f>CASOPOInvCL!X748</f>
        <v>2025</v>
      </c>
      <c r="M748" s="31"/>
      <c r="N748" s="5" t="str">
        <f>CASOPOInvCL!AF748</f>
        <v>Wajax Limited - Pointe-aux-Trembles, Wajax Limited</v>
      </c>
      <c r="O748" s="16" t="str">
        <f>CASOPOInvCL!AG748</f>
        <v>CAD</v>
      </c>
      <c r="P748" s="16">
        <f>CASOPOInvCL!AH748</f>
        <v>774.75</v>
      </c>
      <c r="Q748" s="16">
        <f>CASOPOInvCL!AI748</f>
        <v>561.1272614535867</v>
      </c>
      <c r="R748" s="32" t="str">
        <f>CASOPOInvCL!AU748</f>
        <v>Yes</v>
      </c>
      <c r="S748" s="16">
        <f>CASOPOInvCL!AV748</f>
        <v>0</v>
      </c>
      <c r="T748" s="16">
        <f>CASOPOInvCL!AW748</f>
        <v>561.1272614535867</v>
      </c>
      <c r="Y748" s="29" t="str">
        <f>IFERROR(HLOOKUP(U748,List!$D$2:$H$6,2,FALSE),"")</f>
        <v/>
      </c>
      <c r="Z748" s="29" t="str">
        <f>IFERROR(HLOOKUP(V748,List!$D$2:$H$6,3,FALSE),"")</f>
        <v/>
      </c>
      <c r="AA748" s="29" t="str">
        <f>IFERROR(HLOOKUP(W748,List!$D$2:$H$6,4,FALSE),"")</f>
        <v/>
      </c>
      <c r="AB748" s="29" t="str">
        <f>IFERROR(HLOOKUP(X748,List!$D$2:$H$6,5,FALSE),"")</f>
        <v/>
      </c>
      <c r="AC748" s="12" t="str">
        <f t="shared" si="191"/>
        <v/>
      </c>
      <c r="AD748" s="12" t="str">
        <f t="shared" si="192"/>
        <v/>
      </c>
      <c r="AE748" s="12" t="str">
        <f t="shared" si="193"/>
        <v/>
      </c>
      <c r="AF748" s="12" t="str">
        <f t="shared" si="194"/>
        <v/>
      </c>
      <c r="AG748" t="str">
        <f>VLOOKUP(J748,'Receivable Invoice Detail'!$A$1:F3760,6,FALSE)</f>
        <v>[W-SPR65092/R55] Casing, 65QV-SPR, Natural Rubber</v>
      </c>
      <c r="AM748" s="12" t="str">
        <f t="shared" si="195"/>
        <v/>
      </c>
      <c r="AN748" s="12" t="str">
        <f t="shared" si="196"/>
        <v/>
      </c>
      <c r="AO748" s="12" t="str">
        <f t="shared" si="197"/>
        <v/>
      </c>
      <c r="AP748" s="12" t="str">
        <f t="shared" si="198"/>
        <v/>
      </c>
      <c r="AQ748" s="12"/>
      <c r="AS748" s="12">
        <f t="shared" si="199"/>
        <v>0</v>
      </c>
      <c r="AT748" s="16" t="str">
        <f t="shared" si="201"/>
        <v>Yes</v>
      </c>
    </row>
    <row r="749" spans="1:46" hidden="1" x14ac:dyDescent="0.25">
      <c r="A749" s="41">
        <f>CASOPOInvCL!T749</f>
        <v>1</v>
      </c>
      <c r="B749" t="str">
        <f>CASOPOInvCL!Z749</f>
        <v>SO17518</v>
      </c>
      <c r="G749" s="5" t="str">
        <f>CASOPOInvCL!I749</f>
        <v>Yannett Yeomans</v>
      </c>
      <c r="H749" s="31">
        <f>CASOPOInvCL!U749</f>
        <v>7</v>
      </c>
      <c r="I749" s="31">
        <f>CASOPOInvCL!V749</f>
        <v>2025</v>
      </c>
      <c r="J749" s="5" t="str">
        <f>CASOPOInvCL!AB749</f>
        <v>INV13469</v>
      </c>
      <c r="K749" s="31" t="str">
        <f>CASOPOInvCL!W749</f>
        <v/>
      </c>
      <c r="L749" s="31" t="str">
        <f>CASOPOInvCL!X749</f>
        <v/>
      </c>
      <c r="M749" s="31"/>
      <c r="N749" s="5" t="str">
        <f>CASOPOInvCL!AF749</f>
        <v>Dynapro Pumps México S de RL de CV</v>
      </c>
      <c r="O749" s="16" t="str">
        <f>CASOPOInvCL!AG749</f>
        <v>USD</v>
      </c>
      <c r="P749" s="16">
        <f>CASOPOInvCL!AH749</f>
        <v>3971.5079755905626</v>
      </c>
      <c r="Q749" s="16">
        <f>CASOPOInvCL!AI749</f>
        <v>2900</v>
      </c>
      <c r="R749" s="32" t="str">
        <f>CASOPOInvCL!AU749</f>
        <v/>
      </c>
      <c r="S749" s="16">
        <f>CASOPOInvCL!AV749</f>
        <v>0</v>
      </c>
      <c r="T749" s="16">
        <f>CASOPOInvCL!AW749</f>
        <v>0</v>
      </c>
      <c r="Y749" s="29" t="str">
        <f>IFERROR(HLOOKUP(U749,List!$D$2:$H$6,2,FALSE),"")</f>
        <v/>
      </c>
      <c r="Z749" s="29" t="str">
        <f>IFERROR(HLOOKUP(V749,List!$D$2:$H$6,3,FALSE),"")</f>
        <v/>
      </c>
      <c r="AA749" s="29" t="str">
        <f>IFERROR(HLOOKUP(W749,List!$D$2:$H$6,4,FALSE),"")</f>
        <v/>
      </c>
      <c r="AB749" s="29" t="str">
        <f>IFERROR(HLOOKUP(X749,List!$D$2:$H$6,5,FALSE),"")</f>
        <v/>
      </c>
      <c r="AC749" s="12" t="str">
        <f t="shared" si="191"/>
        <v/>
      </c>
      <c r="AD749" s="12" t="str">
        <f t="shared" si="192"/>
        <v/>
      </c>
      <c r="AE749" s="12" t="str">
        <f t="shared" si="193"/>
        <v/>
      </c>
      <c r="AF749" s="12" t="str">
        <f t="shared" si="194"/>
        <v/>
      </c>
      <c r="AG749" t="str">
        <f>VLOOKUP(J749,'Receivable Invoice Detail'!$A$1:F3761,6,FALSE)</f>
        <v>[JC-SCS-1 3/4-4610-MT-SB] Single Cartridge Seal, 1 3/4", D-196 MT, Standard Bore, Carbon vs Silicon Carbide 316SS Gland</v>
      </c>
      <c r="AM749" s="12" t="str">
        <f t="shared" si="195"/>
        <v/>
      </c>
      <c r="AN749" s="12" t="str">
        <f t="shared" si="196"/>
        <v/>
      </c>
      <c r="AO749" s="12" t="str">
        <f t="shared" si="197"/>
        <v/>
      </c>
      <c r="AP749" s="12" t="str">
        <f t="shared" si="198"/>
        <v/>
      </c>
      <c r="AQ749" s="12"/>
      <c r="AR749" s="16" t="s">
        <v>5940</v>
      </c>
      <c r="AS749" s="12">
        <f t="shared" si="199"/>
        <v>86.781242546084414</v>
      </c>
      <c r="AT749" s="16" t="str">
        <f t="shared" si="201"/>
        <v/>
      </c>
    </row>
    <row r="750" spans="1:46" hidden="1" x14ac:dyDescent="0.25">
      <c r="A750" s="41">
        <f>CASOPOInvCL!T750</f>
        <v>1</v>
      </c>
      <c r="B750" t="str">
        <f>CASOPOInvCL!Z750</f>
        <v>SO17519</v>
      </c>
      <c r="D750" t="s">
        <v>5851</v>
      </c>
      <c r="G750" s="5" t="str">
        <f>CASOPOInvCL!I750</f>
        <v>Alexis Gil Lamadrid</v>
      </c>
      <c r="H750" s="31">
        <f>CASOPOInvCL!U750</f>
        <v>7</v>
      </c>
      <c r="I750" s="31">
        <f>CASOPOInvCL!V750</f>
        <v>2025</v>
      </c>
      <c r="J750" s="5" t="str">
        <f>CASOPOInvCL!AB750</f>
        <v>INV13198</v>
      </c>
      <c r="K750" s="31">
        <f>CASOPOInvCL!W750</f>
        <v>8</v>
      </c>
      <c r="L750" s="31">
        <f>CASOPOInvCL!X750</f>
        <v>2025</v>
      </c>
      <c r="M750">
        <v>2503</v>
      </c>
      <c r="N750" s="5" t="str">
        <f>CASOPOInvCL!AF750</f>
        <v>Fabrene Inc.</v>
      </c>
      <c r="O750" s="16" t="str">
        <f>CASOPOInvCL!AG750</f>
        <v>CAD</v>
      </c>
      <c r="P750" s="16">
        <f>CASOPOInvCL!AH750</f>
        <v>114.56</v>
      </c>
      <c r="Q750" s="16">
        <f>CASOPOInvCL!AI750</f>
        <v>83.578148954930924</v>
      </c>
      <c r="R750" s="32" t="str">
        <f>CASOPOInvCL!AU750</f>
        <v>Yes</v>
      </c>
      <c r="S750" s="16">
        <f>CASOPOInvCL!AV750</f>
        <v>0</v>
      </c>
      <c r="T750" s="16">
        <f>CASOPOInvCL!AW750</f>
        <v>83.578148954930924</v>
      </c>
      <c r="V750" t="s">
        <v>5800</v>
      </c>
      <c r="Y750" s="29" t="str">
        <f>IFERROR(HLOOKUP(U750,List!$D$2:$H$6,2,FALSE),"")</f>
        <v/>
      </c>
      <c r="Z750" s="29">
        <f>IFERROR(HLOOKUP(V750,List!$D$2:$H$6,3,FALSE),"")</f>
        <v>5.0000000000000001E-3</v>
      </c>
      <c r="AA750" s="29" t="str">
        <f>IFERROR(HLOOKUP(W750,List!$D$2:$H$6,4,FALSE),"")</f>
        <v/>
      </c>
      <c r="AB750" s="29" t="str">
        <f>IFERROR(HLOOKUP(X750,List!$D$2:$H$6,5,FALSE),"")</f>
        <v/>
      </c>
      <c r="AC750" s="12" t="str">
        <f t="shared" si="191"/>
        <v/>
      </c>
      <c r="AD750" s="12">
        <f t="shared" si="192"/>
        <v>0.41789074477465465</v>
      </c>
      <c r="AE750" s="12" t="str">
        <f t="shared" si="193"/>
        <v/>
      </c>
      <c r="AF750" s="12" t="str">
        <f t="shared" si="194"/>
        <v/>
      </c>
      <c r="AG750" t="str">
        <f>VLOOKUP(J750,'Receivable Invoice Detail'!$A$1:F3762,6,FALSE)</f>
        <v>[AC-52-118-634-001] Deflector (Inboard), Allis-Chalmers CSO, Frame F4C1</v>
      </c>
      <c r="AH750" s="12">
        <f t="shared" ref="AH750" si="206">SUM(AC750:AF750)</f>
        <v>0.41789074477465465</v>
      </c>
      <c r="AJ750">
        <v>2503</v>
      </c>
      <c r="AM750" s="12" t="str">
        <f t="shared" si="195"/>
        <v/>
      </c>
      <c r="AN750" s="12">
        <f t="shared" si="196"/>
        <v>0</v>
      </c>
      <c r="AO750" s="12" t="str">
        <f t="shared" si="197"/>
        <v/>
      </c>
      <c r="AP750" s="12" t="str">
        <f t="shared" si="198"/>
        <v/>
      </c>
      <c r="AQ750" s="64">
        <f>M750</f>
        <v>2503</v>
      </c>
      <c r="AR750" t="s">
        <v>5931</v>
      </c>
      <c r="AS750" s="12">
        <f t="shared" si="199"/>
        <v>8.4169089218038007</v>
      </c>
      <c r="AT750" s="16" t="str">
        <f t="shared" si="201"/>
        <v>Yes</v>
      </c>
    </row>
    <row r="751" spans="1:46" hidden="1" x14ac:dyDescent="0.25">
      <c r="A751" s="41">
        <f>CASOPOInvCL!T751</f>
        <v>1</v>
      </c>
      <c r="B751" t="str">
        <f>CASOPOInvCL!Z751</f>
        <v>SO17520</v>
      </c>
      <c r="D751" t="s">
        <v>5851</v>
      </c>
      <c r="G751" s="5" t="str">
        <f>CASOPOInvCL!I751</f>
        <v>Ian Trottier</v>
      </c>
      <c r="H751" s="31">
        <f>CASOPOInvCL!U751</f>
        <v>7</v>
      </c>
      <c r="I751" s="31">
        <f>CASOPOInvCL!V751</f>
        <v>2025</v>
      </c>
      <c r="J751" s="5" t="str">
        <f>CASOPOInvCL!AB751</f>
        <v>INV13217</v>
      </c>
      <c r="K751" s="31">
        <f>CASOPOInvCL!W751</f>
        <v>8</v>
      </c>
      <c r="L751" s="31">
        <f>CASOPOInvCL!X751</f>
        <v>2025</v>
      </c>
      <c r="M751">
        <v>2503</v>
      </c>
      <c r="N751" s="5" t="str">
        <f>CASOPOInvCL!AF751</f>
        <v>Hyperflo</v>
      </c>
      <c r="O751" s="16" t="str">
        <f>CASOPOInvCL!AG751</f>
        <v>CAD</v>
      </c>
      <c r="P751" s="16">
        <f>CASOPOInvCL!AH751</f>
        <v>1210.56</v>
      </c>
      <c r="Q751" s="16">
        <f>CASOPOInvCL!AI751</f>
        <v>880.43940798411234</v>
      </c>
      <c r="R751" s="32" t="str">
        <f>CASOPOInvCL!AU751</f>
        <v>Yes</v>
      </c>
      <c r="S751" s="16">
        <f>CASOPOInvCL!AV751</f>
        <v>0</v>
      </c>
      <c r="T751" s="16">
        <f>CASOPOInvCL!AW751</f>
        <v>880.43940798411234</v>
      </c>
      <c r="V751" t="s">
        <v>5800</v>
      </c>
      <c r="Y751" s="29" t="str">
        <f>IFERROR(HLOOKUP(U751,List!$D$2:$H$6,2,FALSE),"")</f>
        <v/>
      </c>
      <c r="Z751" s="29">
        <f>IFERROR(HLOOKUP(V751,List!$D$2:$H$6,3,FALSE),"")</f>
        <v>5.0000000000000001E-3</v>
      </c>
      <c r="AA751" s="29" t="str">
        <f>IFERROR(HLOOKUP(W751,List!$D$2:$H$6,4,FALSE),"")</f>
        <v/>
      </c>
      <c r="AB751" s="29" t="str">
        <f>IFERROR(HLOOKUP(X751,List!$D$2:$H$6,5,FALSE),"")</f>
        <v/>
      </c>
      <c r="AC751" s="12" t="str">
        <f t="shared" si="191"/>
        <v/>
      </c>
      <c r="AD751" s="12">
        <f t="shared" si="192"/>
        <v>4.4021970399205621</v>
      </c>
      <c r="AE751" s="12" t="str">
        <f t="shared" si="193"/>
        <v/>
      </c>
      <c r="AF751" s="12" t="str">
        <f t="shared" si="194"/>
        <v/>
      </c>
      <c r="AG751" t="str">
        <f>VLOOKUP(J751,'Receivable Invoice Detail'!$A$1:F3763,6,FALSE)</f>
        <v>[AC-98-231-055-501] Gland Side Liner, 2x2-10 SRL, Natural Rubber</v>
      </c>
      <c r="AJ751">
        <v>2503</v>
      </c>
      <c r="AM751" s="12" t="str">
        <f t="shared" si="195"/>
        <v/>
      </c>
      <c r="AN751" s="12">
        <f t="shared" si="196"/>
        <v>0</v>
      </c>
      <c r="AO751" s="12" t="str">
        <f t="shared" si="197"/>
        <v/>
      </c>
      <c r="AP751" s="12" t="str">
        <f t="shared" si="198"/>
        <v/>
      </c>
      <c r="AQ751" s="64">
        <f>M751</f>
        <v>2503</v>
      </c>
      <c r="AR751" t="s">
        <v>5931</v>
      </c>
      <c r="AS751" s="12">
        <f t="shared" si="199"/>
        <v>0</v>
      </c>
      <c r="AT751" s="16" t="str">
        <f t="shared" si="201"/>
        <v>Yes</v>
      </c>
    </row>
    <row r="752" spans="1:46" hidden="1" x14ac:dyDescent="0.25">
      <c r="A752" s="41">
        <f>CASOPOInvCL!T752</f>
        <v>1</v>
      </c>
      <c r="B752" t="str">
        <f>CASOPOInvCL!Z752</f>
        <v>SO17521</v>
      </c>
      <c r="D752" t="s">
        <v>5925</v>
      </c>
      <c r="G752" s="5" t="str">
        <f>CASOPOInvCL!I752</f>
        <v>Ian Trottier</v>
      </c>
      <c r="H752" s="31">
        <f>CASOPOInvCL!U752</f>
        <v>7</v>
      </c>
      <c r="I752" s="31">
        <f>CASOPOInvCL!V752</f>
        <v>2025</v>
      </c>
      <c r="J752" s="5" t="str">
        <f>CASOPOInvCL!AB752</f>
        <v>INV13200</v>
      </c>
      <c r="K752" s="31">
        <f>CASOPOInvCL!W752</f>
        <v>8</v>
      </c>
      <c r="L752" s="31">
        <f>CASOPOInvCL!X752</f>
        <v>2025</v>
      </c>
      <c r="M752">
        <v>2503</v>
      </c>
      <c r="N752" s="5" t="str">
        <f>CASOPOInvCL!AF752</f>
        <v>Les Pompes du St-Laurent Inc.</v>
      </c>
      <c r="O752" s="16" t="str">
        <f>CASOPOInvCL!AG752</f>
        <v>CAD</v>
      </c>
      <c r="P752" s="16">
        <f>CASOPOInvCL!AH752</f>
        <v>1299.76</v>
      </c>
      <c r="Q752" s="16">
        <f>CASOPOInvCL!AI752</f>
        <v>948.25012993768348</v>
      </c>
      <c r="R752" s="32" t="str">
        <f>CASOPOInvCL!AU752</f>
        <v>Yes</v>
      </c>
      <c r="S752" s="16">
        <f>CASOPOInvCL!AV752</f>
        <v>0</v>
      </c>
      <c r="T752" s="16">
        <f>CASOPOInvCL!AW752</f>
        <v>948.25012993768348</v>
      </c>
      <c r="V752" t="s">
        <v>5800</v>
      </c>
      <c r="Y752" s="29" t="str">
        <f>IFERROR(HLOOKUP(U752,List!$D$2:$H$6,2,FALSE),"")</f>
        <v/>
      </c>
      <c r="Z752" s="29">
        <f>IFERROR(HLOOKUP(V752,List!$D$2:$H$6,3,FALSE),"")</f>
        <v>5.0000000000000001E-3</v>
      </c>
      <c r="AA752" s="29" t="str">
        <f>IFERROR(HLOOKUP(W752,List!$D$2:$H$6,4,FALSE),"")</f>
        <v/>
      </c>
      <c r="AB752" s="29" t="str">
        <f>IFERROR(HLOOKUP(X752,List!$D$2:$H$6,5,FALSE),"")</f>
        <v/>
      </c>
      <c r="AC752" s="12" t="str">
        <f t="shared" si="191"/>
        <v/>
      </c>
      <c r="AD752" s="12">
        <f t="shared" si="192"/>
        <v>4.7412506496884177</v>
      </c>
      <c r="AE752" s="12" t="str">
        <f t="shared" si="193"/>
        <v/>
      </c>
      <c r="AF752" s="12" t="str">
        <f t="shared" si="194"/>
        <v/>
      </c>
      <c r="AG752" t="str">
        <f>VLOOKUP(J752,'Receivable Invoice Detail'!$A$1:F3764,6,FALSE)</f>
        <v>[DU-MY49112A130-CD4] Impeller, 3x2-13, Durco Mark 2&amp;3 Group 2, CD4MCu, Reverse Vane</v>
      </c>
      <c r="AM752" s="12" t="str">
        <f t="shared" si="195"/>
        <v/>
      </c>
      <c r="AN752" s="12">
        <f t="shared" si="196"/>
        <v>4.7412506496884177</v>
      </c>
      <c r="AO752" s="12" t="str">
        <f t="shared" si="197"/>
        <v/>
      </c>
      <c r="AP752" s="12" t="str">
        <f t="shared" si="198"/>
        <v/>
      </c>
      <c r="AQ752" s="64">
        <v>2503</v>
      </c>
      <c r="AR752" t="s">
        <v>5932</v>
      </c>
      <c r="AS752" s="12">
        <f t="shared" si="199"/>
        <v>1.2536722343239639</v>
      </c>
      <c r="AT752" s="16" t="str">
        <f t="shared" si="201"/>
        <v>Yes</v>
      </c>
    </row>
    <row r="753" spans="1:46" hidden="1" x14ac:dyDescent="0.25">
      <c r="A753" s="41">
        <f>CASOPOInvCL!T753</f>
        <v>1</v>
      </c>
      <c r="B753" t="str">
        <f>CASOPOInvCL!Z753</f>
        <v>SO17522</v>
      </c>
      <c r="D753" t="s">
        <v>5851</v>
      </c>
      <c r="G753" s="5" t="str">
        <f>CASOPOInvCL!I753</f>
        <v>Alexis Gil Lamadrid</v>
      </c>
      <c r="H753" s="31">
        <f>CASOPOInvCL!U753</f>
        <v>7</v>
      </c>
      <c r="I753" s="31">
        <f>CASOPOInvCL!V753</f>
        <v>2025</v>
      </c>
      <c r="J753" s="5" t="str">
        <f>CASOPOInvCL!AB753</f>
        <v>INV13209</v>
      </c>
      <c r="K753" s="31">
        <f>CASOPOInvCL!W753</f>
        <v>9</v>
      </c>
      <c r="L753" s="31">
        <f>CASOPOInvCL!X753</f>
        <v>2025</v>
      </c>
      <c r="M753">
        <v>2503</v>
      </c>
      <c r="N753" s="5" t="str">
        <f>CASOPOInvCL!AF753</f>
        <v>Resolute Forest Products - Dolbeau</v>
      </c>
      <c r="O753" s="16" t="str">
        <f>CASOPOInvCL!AG753</f>
        <v>CAD</v>
      </c>
      <c r="P753" s="16">
        <f>CASOPOInvCL!AH753</f>
        <v>1018.48</v>
      </c>
      <c r="Q753" s="16">
        <f>CASOPOInvCL!AI753</f>
        <v>743.04009381649837</v>
      </c>
      <c r="R753" s="32" t="str">
        <f>CASOPOInvCL!AU753</f>
        <v>Yes</v>
      </c>
      <c r="S753" s="16">
        <f>CASOPOInvCL!AV753</f>
        <v>0</v>
      </c>
      <c r="T753" s="16">
        <f>CASOPOInvCL!AW753</f>
        <v>743.04009381649837</v>
      </c>
      <c r="V753" t="s">
        <v>5800</v>
      </c>
      <c r="Y753" s="29" t="str">
        <f>IFERROR(HLOOKUP(U753,List!$D$2:$H$6,2,FALSE),"")</f>
        <v/>
      </c>
      <c r="Z753" s="29">
        <f>IFERROR(HLOOKUP(V753,List!$D$2:$H$6,3,FALSE),"")</f>
        <v>5.0000000000000001E-3</v>
      </c>
      <c r="AA753" s="29" t="str">
        <f>IFERROR(HLOOKUP(W753,List!$D$2:$H$6,4,FALSE),"")</f>
        <v/>
      </c>
      <c r="AB753" s="29" t="str">
        <f>IFERROR(HLOOKUP(X753,List!$D$2:$H$6,5,FALSE),"")</f>
        <v/>
      </c>
      <c r="AC753" s="12" t="str">
        <f t="shared" si="191"/>
        <v/>
      </c>
      <c r="AD753" s="12">
        <f t="shared" si="192"/>
        <v>3.7152004690824918</v>
      </c>
      <c r="AE753" s="12" t="str">
        <f t="shared" si="193"/>
        <v/>
      </c>
      <c r="AF753" s="12" t="str">
        <f t="shared" si="194"/>
        <v/>
      </c>
      <c r="AG753" t="str">
        <f>VLOOKUP(J753,'Receivable Invoice Detail'!$A$1:F3765,6,FALSE)</f>
        <v>[JC-SCS-13/4-5610-MTX-SB] Single Cartridge Seal, 1 3/4", D-196 MTX, Standard Bore, Carbon vs Silicon Carbide, 316SS Gland w/Aflas Elastomers</v>
      </c>
      <c r="AJ753">
        <v>2503</v>
      </c>
      <c r="AM753" s="12" t="str">
        <f t="shared" si="195"/>
        <v/>
      </c>
      <c r="AN753" s="12">
        <f t="shared" si="196"/>
        <v>0</v>
      </c>
      <c r="AO753" s="12" t="str">
        <f t="shared" si="197"/>
        <v/>
      </c>
      <c r="AP753" s="12" t="str">
        <f t="shared" si="198"/>
        <v/>
      </c>
      <c r="AQ753" s="64">
        <f>M753</f>
        <v>2503</v>
      </c>
      <c r="AR753" t="s">
        <v>5931</v>
      </c>
      <c r="AS753" s="12">
        <f t="shared" si="199"/>
        <v>13.206591119761685</v>
      </c>
      <c r="AT753" s="16" t="str">
        <f t="shared" si="201"/>
        <v>Yes</v>
      </c>
    </row>
    <row r="754" spans="1:46" hidden="1" x14ac:dyDescent="0.25">
      <c r="A754" s="41">
        <f>CASOPOInvCL!T754</f>
        <v>1</v>
      </c>
      <c r="B754" s="74" t="str">
        <f>CASOPOInvCL!Z754</f>
        <v>SO17523</v>
      </c>
      <c r="D754" t="s">
        <v>5915</v>
      </c>
      <c r="G754" s="5" t="str">
        <f>CASOPOInvCL!I754</f>
        <v>Wilka Nuñez</v>
      </c>
      <c r="H754" s="31">
        <f>CASOPOInvCL!U754</f>
        <v>7</v>
      </c>
      <c r="I754" s="31">
        <f>CASOPOInvCL!V754</f>
        <v>2025</v>
      </c>
      <c r="J754" s="5" t="str">
        <f>CASOPOInvCL!AB754</f>
        <v>INV13253</v>
      </c>
      <c r="K754" s="31">
        <f>CASOPOInvCL!W754</f>
        <v>9</v>
      </c>
      <c r="L754" s="31">
        <f>CASOPOInvCL!X754</f>
        <v>2025</v>
      </c>
      <c r="M754">
        <v>2503</v>
      </c>
      <c r="N754" s="5" t="str">
        <f>CASOPOInvCL!AF754</f>
        <v>Barrick Gold - Pueblo Viejo Dominicana Corporation</v>
      </c>
      <c r="O754" s="16" t="str">
        <f>CASOPOInvCL!AG754</f>
        <v>USD</v>
      </c>
      <c r="P754" s="16">
        <f>CASOPOInvCL!AH754</f>
        <v>15081.43177621778</v>
      </c>
      <c r="Q754" s="16">
        <f>CASOPOInvCL!AI754</f>
        <v>11012.48</v>
      </c>
      <c r="R754" s="32" t="str">
        <f>CASOPOInvCL!AU754</f>
        <v>Yes</v>
      </c>
      <c r="S754" s="16">
        <f>CASOPOInvCL!AV754</f>
        <v>0</v>
      </c>
      <c r="T754" s="16">
        <f>CASOPOInvCL!AW754</f>
        <v>11012.48</v>
      </c>
      <c r="V754" s="59" t="s">
        <v>5801</v>
      </c>
      <c r="Y754" s="29" t="str">
        <f>IFERROR(HLOOKUP(U754,List!$D$2:$H$6,2,FALSE),"")</f>
        <v/>
      </c>
      <c r="Z754" s="29">
        <f>IFERROR(HLOOKUP(V754,List!$D$2:$H$6,3,FALSE),"")</f>
        <v>0.02</v>
      </c>
      <c r="AA754" s="29" t="str">
        <f>IFERROR(HLOOKUP(W754,List!$D$2:$H$6,4,FALSE),"")</f>
        <v/>
      </c>
      <c r="AB754" s="29" t="str">
        <f>IFERROR(HLOOKUP(X754,List!$D$2:$H$6,5,FALSE),"")</f>
        <v/>
      </c>
      <c r="AC754" s="12" t="str">
        <f t="shared" si="191"/>
        <v/>
      </c>
      <c r="AD754" s="12">
        <f t="shared" si="192"/>
        <v>220.24959999999999</v>
      </c>
      <c r="AE754" s="12" t="str">
        <f t="shared" si="193"/>
        <v/>
      </c>
      <c r="AF754" s="12" t="str">
        <f t="shared" si="194"/>
        <v/>
      </c>
      <c r="AG754" t="str">
        <f>VLOOKUP(J754,'Receivable Invoice Detail'!$A$1:F3766,6,FALSE)</f>
        <v>[W-SP15092/A05] Casing w/Flange, 150SV-SP, High Chrome</v>
      </c>
      <c r="AJ754">
        <v>2503</v>
      </c>
      <c r="AM754" s="12" t="str">
        <f t="shared" si="195"/>
        <v/>
      </c>
      <c r="AN754" s="12">
        <f t="shared" si="196"/>
        <v>0</v>
      </c>
      <c r="AO754" s="12" t="str">
        <f t="shared" si="197"/>
        <v/>
      </c>
      <c r="AP754" s="12" t="str">
        <f t="shared" si="198"/>
        <v/>
      </c>
      <c r="AQ754" s="75">
        <v>2504</v>
      </c>
      <c r="AR754" s="64" t="s">
        <v>5933</v>
      </c>
      <c r="AS754" s="12">
        <f t="shared" si="199"/>
        <v>14.223751949065251</v>
      </c>
      <c r="AT754" s="16" t="str">
        <f t="shared" si="201"/>
        <v>Yes</v>
      </c>
    </row>
    <row r="755" spans="1:46" hidden="1" x14ac:dyDescent="0.25">
      <c r="A755" s="41">
        <f>CASOPOInvCL!T755</f>
        <v>1</v>
      </c>
      <c r="B755" t="str">
        <f>CASOPOInvCL!Z755</f>
        <v>SO17524</v>
      </c>
      <c r="G755" s="5" t="str">
        <f>CASOPOInvCL!I755</f>
        <v>Ian Trottier</v>
      </c>
      <c r="H755" s="31">
        <f>CASOPOInvCL!U755</f>
        <v>7</v>
      </c>
      <c r="I755" s="31">
        <f>CASOPOInvCL!V755</f>
        <v>2025</v>
      </c>
      <c r="J755" s="5" t="str">
        <f>CASOPOInvCL!AB755</f>
        <v>INV13404</v>
      </c>
      <c r="K755" s="31">
        <f>CASOPOInvCL!W755</f>
        <v>10</v>
      </c>
      <c r="L755" s="31">
        <f>CASOPOInvCL!X755</f>
        <v>2025</v>
      </c>
      <c r="M755" s="31"/>
      <c r="N755" s="5" t="str">
        <f>CASOPOInvCL!AF755</f>
        <v>Les Pompes du St-Laurent Inc.</v>
      </c>
      <c r="O755" s="16" t="str">
        <f>CASOPOInvCL!AG755</f>
        <v>CAD</v>
      </c>
      <c r="P755" s="16">
        <f>CASOPOInvCL!AH755</f>
        <v>1299.76</v>
      </c>
      <c r="Q755" s="16">
        <f>CASOPOInvCL!AI755</f>
        <v>948.25012993768348</v>
      </c>
      <c r="R755" s="32" t="str">
        <f>CASOPOInvCL!AU755</f>
        <v>Yes</v>
      </c>
      <c r="S755" s="16">
        <f>CASOPOInvCL!AV755</f>
        <v>0</v>
      </c>
      <c r="T755" s="16">
        <f>CASOPOInvCL!AW755</f>
        <v>948.25012993768348</v>
      </c>
      <c r="Y755" s="29" t="str">
        <f>IFERROR(HLOOKUP(U755,List!$D$2:$H$6,2,FALSE),"")</f>
        <v/>
      </c>
      <c r="Z755" s="29" t="str">
        <f>IFERROR(HLOOKUP(V755,List!$D$2:$H$6,3,FALSE),"")</f>
        <v/>
      </c>
      <c r="AA755" s="29" t="str">
        <f>IFERROR(HLOOKUP(W755,List!$D$2:$H$6,4,FALSE),"")</f>
        <v/>
      </c>
      <c r="AB755" s="29" t="str">
        <f>IFERROR(HLOOKUP(X755,List!$D$2:$H$6,5,FALSE),"")</f>
        <v/>
      </c>
      <c r="AC755" s="12" t="str">
        <f t="shared" si="191"/>
        <v/>
      </c>
      <c r="AD755" s="12" t="str">
        <f t="shared" si="192"/>
        <v/>
      </c>
      <c r="AE755" s="12" t="str">
        <f t="shared" si="193"/>
        <v/>
      </c>
      <c r="AF755" s="12" t="str">
        <f t="shared" si="194"/>
        <v/>
      </c>
      <c r="AG755" t="str">
        <f>VLOOKUP(J755,'Receivable Invoice Detail'!$A$1:F3767,6,FALSE)</f>
        <v>[DU-MY49112A130-CD4] Impeller, 3x2-13, Durco Mark 2&amp;3 Group 2, CD4MCu, Reverse Vane</v>
      </c>
      <c r="AM755" s="12" t="str">
        <f t="shared" si="195"/>
        <v/>
      </c>
      <c r="AN755" s="12" t="str">
        <f t="shared" si="196"/>
        <v/>
      </c>
      <c r="AO755" s="12" t="str">
        <f t="shared" si="197"/>
        <v/>
      </c>
      <c r="AP755" s="12" t="str">
        <f t="shared" si="198"/>
        <v/>
      </c>
      <c r="AQ755" s="12"/>
      <c r="AS755" s="12">
        <f t="shared" si="199"/>
        <v>11.145601407247476</v>
      </c>
      <c r="AT755" s="16" t="str">
        <f t="shared" si="201"/>
        <v>Yes</v>
      </c>
    </row>
    <row r="756" spans="1:46" hidden="1" x14ac:dyDescent="0.25">
      <c r="A756" s="41">
        <f>CASOPOInvCL!T756</f>
        <v>1</v>
      </c>
      <c r="B756" t="str">
        <f>CASOPOInvCL!Z756</f>
        <v>SO17525</v>
      </c>
      <c r="D756" t="s">
        <v>5851</v>
      </c>
      <c r="G756" s="5" t="str">
        <f>CASOPOInvCL!I756</f>
        <v>Alexis Gil Lamadrid</v>
      </c>
      <c r="H756" s="31">
        <f>CASOPOInvCL!U756</f>
        <v>7</v>
      </c>
      <c r="I756" s="31">
        <f>CASOPOInvCL!V756</f>
        <v>2025</v>
      </c>
      <c r="J756" s="5" t="str">
        <f>CASOPOInvCL!AB756</f>
        <v>INV13256</v>
      </c>
      <c r="K756" s="31">
        <f>CASOPOInvCL!W756</f>
        <v>10</v>
      </c>
      <c r="L756" s="31">
        <f>CASOPOInvCL!X756</f>
        <v>2025</v>
      </c>
      <c r="M756">
        <v>2504</v>
      </c>
      <c r="N756" s="5" t="str">
        <f>CASOPOInvCL!AF756</f>
        <v>Wajax Limited - Val D'Or, Composants Industriels Wajax SC -57</v>
      </c>
      <c r="O756" s="16" t="str">
        <f>CASOPOInvCL!AG756</f>
        <v>CAD</v>
      </c>
      <c r="P756" s="16">
        <f>CASOPOInvCL!AH756</f>
        <v>297.88</v>
      </c>
      <c r="Q756" s="16">
        <f>CASOPOInvCL!AI756</f>
        <v>217.32069667156793</v>
      </c>
      <c r="R756" s="32" t="str">
        <f>CASOPOInvCL!AU756</f>
        <v>Yes</v>
      </c>
      <c r="S756" s="16">
        <f>CASOPOInvCL!AV756</f>
        <v>0</v>
      </c>
      <c r="T756" s="16">
        <f>CASOPOInvCL!AW756</f>
        <v>217.32069667156793</v>
      </c>
      <c r="V756" t="s">
        <v>5800</v>
      </c>
      <c r="Y756" s="29" t="str">
        <f>IFERROR(HLOOKUP(U756,List!$D$2:$H$6,2,FALSE),"")</f>
        <v/>
      </c>
      <c r="Z756" s="29">
        <f>IFERROR(HLOOKUP(V756,List!$D$2:$H$6,3,FALSE),"")</f>
        <v>5.0000000000000001E-3</v>
      </c>
      <c r="AA756" s="29" t="str">
        <f>IFERROR(HLOOKUP(W756,List!$D$2:$H$6,4,FALSE),"")</f>
        <v/>
      </c>
      <c r="AB756" s="29" t="str">
        <f>IFERROR(HLOOKUP(X756,List!$D$2:$H$6,5,FALSE),"")</f>
        <v/>
      </c>
      <c r="AC756" s="12" t="str">
        <f t="shared" si="191"/>
        <v/>
      </c>
      <c r="AD756" s="12">
        <f t="shared" si="192"/>
        <v>1.0866034833578397</v>
      </c>
      <c r="AE756" s="12" t="str">
        <f t="shared" si="193"/>
        <v/>
      </c>
      <c r="AF756" s="12" t="str">
        <f t="shared" si="194"/>
        <v/>
      </c>
      <c r="AG756" t="str">
        <f>VLOOKUP(J756,'Receivable Invoice Detail'!$A$1:F3768,6,FALSE)</f>
        <v>[G-76230X 2229] Shaft Sleeve, 13" and 15", 3196 XLT, 316SS</v>
      </c>
      <c r="AM756" s="12" t="str">
        <f t="shared" si="195"/>
        <v/>
      </c>
      <c r="AN756" s="12">
        <f t="shared" si="196"/>
        <v>1.0866034833578397</v>
      </c>
      <c r="AO756" s="12" t="str">
        <f t="shared" si="197"/>
        <v/>
      </c>
      <c r="AP756" s="12" t="str">
        <f t="shared" si="198"/>
        <v/>
      </c>
      <c r="AQ756" s="64">
        <f t="shared" ref="AQ756:AQ761" si="207">M756</f>
        <v>2504</v>
      </c>
      <c r="AR756" t="s">
        <v>5931</v>
      </c>
      <c r="AS756" s="12">
        <f t="shared" si="199"/>
        <v>165.18719999999999</v>
      </c>
      <c r="AT756" s="16" t="str">
        <f t="shared" si="201"/>
        <v>Yes</v>
      </c>
    </row>
    <row r="757" spans="1:46" hidden="1" x14ac:dyDescent="0.25">
      <c r="A757" s="41">
        <f>CASOPOInvCL!T757</f>
        <v>2</v>
      </c>
      <c r="B757" t="str">
        <f>CASOPOInvCL!Z757</f>
        <v>SO17529</v>
      </c>
      <c r="D757" t="s">
        <v>5915</v>
      </c>
      <c r="G757" s="5" t="str">
        <f>CASOPOInvCL!I757</f>
        <v>Wilka Nuñez</v>
      </c>
      <c r="H757" s="31">
        <f>CASOPOInvCL!U757</f>
        <v>7</v>
      </c>
      <c r="I757" s="31">
        <f>CASOPOInvCL!V757</f>
        <v>2025</v>
      </c>
      <c r="J757" s="5" t="str">
        <f>CASOPOInvCL!AB757</f>
        <v>INV13225</v>
      </c>
      <c r="K757" s="31">
        <f>CASOPOInvCL!W757</f>
        <v>8</v>
      </c>
      <c r="L757" s="31">
        <f>CASOPOInvCL!X757</f>
        <v>2025</v>
      </c>
      <c r="M757">
        <v>2503</v>
      </c>
      <c r="N757" s="5" t="str">
        <f>CASOPOInvCL!AF757</f>
        <v>Hyperflo</v>
      </c>
      <c r="O757" s="16" t="str">
        <f>CASOPOInvCL!AG757</f>
        <v>CAD</v>
      </c>
      <c r="P757" s="16">
        <f>CASOPOInvCL!AH757</f>
        <v>363.32</v>
      </c>
      <c r="Q757" s="16">
        <f>CASOPOInvCL!AI757</f>
        <v>266.94761244432834</v>
      </c>
      <c r="R757" s="32" t="str">
        <f>CASOPOInvCL!AU757</f>
        <v>Yes</v>
      </c>
      <c r="S757" s="16">
        <f>CASOPOInvCL!AV757</f>
        <v>0</v>
      </c>
      <c r="T757" s="16">
        <f>CASOPOInvCL!AW757</f>
        <v>266.94761244432834</v>
      </c>
      <c r="V757" t="s">
        <v>5800</v>
      </c>
      <c r="Y757" s="29" t="str">
        <f>IFERROR(HLOOKUP(U757,List!$D$2:$H$6,2,FALSE),"")</f>
        <v/>
      </c>
      <c r="Z757" s="29">
        <f>IFERROR(HLOOKUP(V757,List!$D$2:$H$6,3,FALSE),"")</f>
        <v>5.0000000000000001E-3</v>
      </c>
      <c r="AA757" s="29" t="str">
        <f>IFERROR(HLOOKUP(W757,List!$D$2:$H$6,4,FALSE),"")</f>
        <v/>
      </c>
      <c r="AB757" s="29" t="str">
        <f>IFERROR(HLOOKUP(X757,List!$D$2:$H$6,5,FALSE),"")</f>
        <v/>
      </c>
      <c r="AC757" s="12" t="str">
        <f t="shared" si="191"/>
        <v/>
      </c>
      <c r="AD757" s="12">
        <f t="shared" si="192"/>
        <v>1.3347380622216418</v>
      </c>
      <c r="AE757" s="12" t="str">
        <f t="shared" si="193"/>
        <v/>
      </c>
      <c r="AF757" s="12" t="str">
        <f t="shared" si="194"/>
        <v/>
      </c>
      <c r="AG757" t="str">
        <f>VLOOKUP(J757,'Receivable Invoice Detail'!$A$1:F3769,6,FALSE)</f>
        <v>[AC-52-108-475-013] Deflector (Outboard), Allis-Chalmers PWO, Group 2</v>
      </c>
      <c r="AJ757">
        <v>2503</v>
      </c>
      <c r="AM757" s="12" t="str">
        <f t="shared" si="195"/>
        <v/>
      </c>
      <c r="AN757" s="12">
        <f t="shared" si="196"/>
        <v>0</v>
      </c>
      <c r="AO757" s="12" t="str">
        <f t="shared" si="197"/>
        <v/>
      </c>
      <c r="AP757" s="12" t="str">
        <f t="shared" si="198"/>
        <v/>
      </c>
      <c r="AQ757" s="64">
        <f t="shared" si="207"/>
        <v>2503</v>
      </c>
      <c r="AR757" t="s">
        <v>5931</v>
      </c>
      <c r="AS757" s="12">
        <f t="shared" si="199"/>
        <v>14.223751949065251</v>
      </c>
      <c r="AT757" s="16" t="str">
        <f t="shared" si="201"/>
        <v>Yes</v>
      </c>
    </row>
    <row r="758" spans="1:46" hidden="1" x14ac:dyDescent="0.25">
      <c r="A758" s="41">
        <f>CASOPOInvCL!T758</f>
        <v>2</v>
      </c>
      <c r="B758" t="str">
        <f>CASOPOInvCL!Z758</f>
        <v>SO17529</v>
      </c>
      <c r="D758" t="s">
        <v>5915</v>
      </c>
      <c r="G758" s="5">
        <f>CASOPOInvCL!I758</f>
        <v>0</v>
      </c>
      <c r="H758" s="31">
        <f>CASOPOInvCL!U758</f>
        <v>7</v>
      </c>
      <c r="I758" s="31">
        <f>CASOPOInvCL!V758</f>
        <v>2025</v>
      </c>
      <c r="J758" s="5" t="str">
        <f>CASOPOInvCL!AB758</f>
        <v>INV13243</v>
      </c>
      <c r="K758" s="31">
        <f>CASOPOInvCL!W758</f>
        <v>9</v>
      </c>
      <c r="L758" s="31">
        <f>CASOPOInvCL!X758</f>
        <v>2025</v>
      </c>
      <c r="M758">
        <v>2503</v>
      </c>
      <c r="N758" s="5" t="str">
        <f>CASOPOInvCL!AF758</f>
        <v>Hyperflo</v>
      </c>
      <c r="O758" s="16" t="str">
        <f>CASOPOInvCL!AG758</f>
        <v>CAD</v>
      </c>
      <c r="P758" s="16">
        <f>CASOPOInvCL!AH758</f>
        <v>0</v>
      </c>
      <c r="Q758" s="16">
        <f>CASOPOInvCL!AI758</f>
        <v>0</v>
      </c>
      <c r="R758" s="32" t="str">
        <f>CASOPOInvCL!AU758</f>
        <v/>
      </c>
      <c r="S758" s="16">
        <f>CASOPOInvCL!AV758</f>
        <v>0</v>
      </c>
      <c r="T758" s="16">
        <f>CASOPOInvCL!AW758</f>
        <v>0</v>
      </c>
      <c r="V758" t="s">
        <v>5800</v>
      </c>
      <c r="Y758" s="29" t="str">
        <f>IFERROR(HLOOKUP(U758,List!$D$2:$H$6,2,FALSE),"")</f>
        <v/>
      </c>
      <c r="Z758" s="29">
        <f>IFERROR(HLOOKUP(V758,List!$D$2:$H$6,3,FALSE),"")</f>
        <v>5.0000000000000001E-3</v>
      </c>
      <c r="AA758" s="29" t="str">
        <f>IFERROR(HLOOKUP(W758,List!$D$2:$H$6,4,FALSE),"")</f>
        <v/>
      </c>
      <c r="AB758" s="29" t="str">
        <f>IFERROR(HLOOKUP(X758,List!$D$2:$H$6,5,FALSE),"")</f>
        <v/>
      </c>
      <c r="AC758" s="12" t="str">
        <f t="shared" si="191"/>
        <v/>
      </c>
      <c r="AD758" s="12">
        <f t="shared" si="192"/>
        <v>0</v>
      </c>
      <c r="AE758" s="12" t="str">
        <f t="shared" si="193"/>
        <v/>
      </c>
      <c r="AF758" s="12" t="str">
        <f t="shared" si="194"/>
        <v/>
      </c>
      <c r="AG758" t="str">
        <f>VLOOKUP(J758,'Receivable Invoice Detail'!$A$1:F3770,6,FALSE)</f>
        <v>[ARR-N1300-0625, G-58101 625] Bearing Housing Retaining Ring, PWO-C Group 2, Carbon Steel</v>
      </c>
      <c r="AJ758">
        <v>2503</v>
      </c>
      <c r="AM758" s="12" t="str">
        <f t="shared" si="195"/>
        <v/>
      </c>
      <c r="AN758" s="12">
        <f t="shared" si="196"/>
        <v>0</v>
      </c>
      <c r="AO758" s="12" t="str">
        <f t="shared" si="197"/>
        <v/>
      </c>
      <c r="AP758" s="12" t="str">
        <f t="shared" si="198"/>
        <v/>
      </c>
      <c r="AQ758" s="64">
        <f t="shared" si="207"/>
        <v>2503</v>
      </c>
      <c r="AR758" t="s">
        <v>5931</v>
      </c>
      <c r="AS758" s="12">
        <f t="shared" si="199"/>
        <v>3.2598104500735188</v>
      </c>
      <c r="AT758" s="16" t="str">
        <f t="shared" si="201"/>
        <v/>
      </c>
    </row>
    <row r="759" spans="1:46" hidden="1" x14ac:dyDescent="0.25">
      <c r="A759" s="41">
        <f>CASOPOInvCL!T759</f>
        <v>1</v>
      </c>
      <c r="B759" t="str">
        <f>CASOPOInvCL!Z759</f>
        <v>SO17530</v>
      </c>
      <c r="D759" t="s">
        <v>5851</v>
      </c>
      <c r="G759" s="5" t="str">
        <f>CASOPOInvCL!I759</f>
        <v>Ian Trottier</v>
      </c>
      <c r="H759" s="31">
        <f>CASOPOInvCL!U759</f>
        <v>7</v>
      </c>
      <c r="I759" s="31">
        <f>CASOPOInvCL!V759</f>
        <v>2025</v>
      </c>
      <c r="J759" s="5" t="str">
        <f>CASOPOInvCL!AB759</f>
        <v>INV13461</v>
      </c>
      <c r="K759" s="31">
        <f>CASOPOInvCL!W759</f>
        <v>11</v>
      </c>
      <c r="L759" s="31">
        <f>CASOPOInvCL!X759</f>
        <v>2025</v>
      </c>
      <c r="M759">
        <v>2504</v>
      </c>
      <c r="N759" s="5" t="str">
        <f>CASOPOInvCL!AF759</f>
        <v>Resolute Forest Products - Saint-Felicien</v>
      </c>
      <c r="O759" s="16" t="str">
        <f>CASOPOInvCL!AG759</f>
        <v>CAD</v>
      </c>
      <c r="P759" s="16">
        <f>CASOPOInvCL!AH759</f>
        <v>3198.73</v>
      </c>
      <c r="Q759" s="16">
        <f>CASOPOInvCL!AI759</f>
        <v>2333.6586278509617</v>
      </c>
      <c r="R759" s="32" t="str">
        <f>CASOPOInvCL!AU759</f>
        <v>Yes</v>
      </c>
      <c r="S759" s="16">
        <f>CASOPOInvCL!AV759</f>
        <v>0</v>
      </c>
      <c r="T759" s="16">
        <f>CASOPOInvCL!AW759</f>
        <v>2333.6586278509617</v>
      </c>
      <c r="V759" s="59" t="s">
        <v>5800</v>
      </c>
      <c r="Y759" s="29" t="str">
        <f>IFERROR(HLOOKUP(U759,List!$D$2:$H$6,2,FALSE),"")</f>
        <v/>
      </c>
      <c r="Z759" s="29">
        <f>IFERROR(HLOOKUP(V759,List!$D$2:$H$6,3,FALSE),"")</f>
        <v>5.0000000000000001E-3</v>
      </c>
      <c r="AA759" s="29" t="str">
        <f>IFERROR(HLOOKUP(W759,List!$D$2:$H$6,4,FALSE),"")</f>
        <v/>
      </c>
      <c r="AB759" s="29" t="str">
        <f>IFERROR(HLOOKUP(X759,List!$D$2:$H$6,5,FALSE),"")</f>
        <v/>
      </c>
      <c r="AC759" s="12" t="str">
        <f t="shared" si="191"/>
        <v/>
      </c>
      <c r="AD759" s="12">
        <f t="shared" si="192"/>
        <v>11.668293139254809</v>
      </c>
      <c r="AE759" s="12" t="str">
        <f t="shared" si="193"/>
        <v/>
      </c>
      <c r="AF759" s="12" t="str">
        <f t="shared" si="194"/>
        <v/>
      </c>
      <c r="AG759" t="str">
        <f>VLOOKUP(J759,'Receivable Invoice Detail'!$A$1:F3771,6,FALSE)</f>
        <v>[AC-52-423-692-016] Stuffing Box Cover, 11", CSO F4D1, 317SS</v>
      </c>
      <c r="AM759" s="12" t="str">
        <f t="shared" si="195"/>
        <v/>
      </c>
      <c r="AN759" s="12">
        <f t="shared" si="196"/>
        <v>11.668293139254809</v>
      </c>
      <c r="AO759" s="12" t="str">
        <f t="shared" si="197"/>
        <v/>
      </c>
      <c r="AP759" s="12" t="str">
        <f t="shared" si="198"/>
        <v/>
      </c>
      <c r="AQ759" s="64">
        <f t="shared" si="207"/>
        <v>2504</v>
      </c>
      <c r="AR759" t="s">
        <v>5931</v>
      </c>
      <c r="AS759" s="12">
        <f t="shared" si="199"/>
        <v>4.0042141866649246</v>
      </c>
      <c r="AT759" s="16" t="str">
        <f t="shared" si="201"/>
        <v>Yes</v>
      </c>
    </row>
    <row r="760" spans="1:46" hidden="1" x14ac:dyDescent="0.25">
      <c r="A760" s="41">
        <f>CASOPOInvCL!T760</f>
        <v>2</v>
      </c>
      <c r="B760" t="str">
        <f>CASOPOInvCL!Z760</f>
        <v>SO17531</v>
      </c>
      <c r="D760" t="s">
        <v>5915</v>
      </c>
      <c r="G760" s="5" t="str">
        <f>CASOPOInvCL!I760</f>
        <v>Wilka Nuñez</v>
      </c>
      <c r="H760" s="31">
        <f>CASOPOInvCL!U760</f>
        <v>7</v>
      </c>
      <c r="I760" s="31">
        <f>CASOPOInvCL!V760</f>
        <v>2025</v>
      </c>
      <c r="J760" s="5" t="str">
        <f>CASOPOInvCL!AB760</f>
        <v>INV13196</v>
      </c>
      <c r="K760" s="31">
        <f>CASOPOInvCL!W760</f>
        <v>7</v>
      </c>
      <c r="L760" s="31">
        <f>CASOPOInvCL!X760</f>
        <v>2025</v>
      </c>
      <c r="M760">
        <v>2504</v>
      </c>
      <c r="N760" s="5" t="str">
        <f>CASOPOInvCL!AF760</f>
        <v>Canadian Bearings Ltd.</v>
      </c>
      <c r="O760" s="16" t="str">
        <f>CASOPOInvCL!AG760</f>
        <v>CAD</v>
      </c>
      <c r="P760" s="16">
        <f>CASOPOInvCL!AH760</f>
        <v>1589.84</v>
      </c>
      <c r="Q760" s="16">
        <f>CASOPOInvCL!AI760</f>
        <v>1156.2894762667372</v>
      </c>
      <c r="R760" s="32" t="str">
        <f>CASOPOInvCL!AU760</f>
        <v>Yes</v>
      </c>
      <c r="S760" s="16">
        <f>CASOPOInvCL!AV760</f>
        <v>0</v>
      </c>
      <c r="T760" s="16">
        <f>CASOPOInvCL!AW760</f>
        <v>1156.2894762667372</v>
      </c>
      <c r="V760" t="s">
        <v>5800</v>
      </c>
      <c r="Y760" s="29" t="str">
        <f>IFERROR(HLOOKUP(U760,List!$D$2:$H$6,2,FALSE),"")</f>
        <v/>
      </c>
      <c r="Z760" s="29">
        <f>IFERROR(HLOOKUP(V760,List!$D$2:$H$6,3,FALSE),"")</f>
        <v>5.0000000000000001E-3</v>
      </c>
      <c r="AA760" s="29" t="str">
        <f>IFERROR(HLOOKUP(W760,List!$D$2:$H$6,4,FALSE),"")</f>
        <v/>
      </c>
      <c r="AB760" s="29" t="str">
        <f>IFERROR(HLOOKUP(X760,List!$D$2:$H$6,5,FALSE),"")</f>
        <v/>
      </c>
      <c r="AC760" s="12" t="str">
        <f t="shared" si="191"/>
        <v/>
      </c>
      <c r="AD760" s="12">
        <f t="shared" si="192"/>
        <v>5.7814473813336864</v>
      </c>
      <c r="AE760" s="12" t="str">
        <f t="shared" si="193"/>
        <v/>
      </c>
      <c r="AF760" s="12" t="str">
        <f t="shared" si="194"/>
        <v/>
      </c>
      <c r="AG760" t="str">
        <f>VLOOKUP(J760,'Receivable Invoice Detail'!$A$1:F3772,6,FALSE)</f>
        <v>[AC-52-108-475-007] Deflector (Outboard), Allis Chalmers CSO, Frame F4D1, Steel</v>
      </c>
      <c r="AM760" s="12" t="str">
        <f t="shared" si="195"/>
        <v/>
      </c>
      <c r="AN760" s="12">
        <f t="shared" si="196"/>
        <v>5.7814473813336864</v>
      </c>
      <c r="AO760" s="12" t="str">
        <f t="shared" si="197"/>
        <v/>
      </c>
      <c r="AP760" s="12" t="str">
        <f t="shared" si="198"/>
        <v/>
      </c>
      <c r="AQ760" s="64">
        <f t="shared" si="207"/>
        <v>2504</v>
      </c>
      <c r="AR760" t="s">
        <v>5931</v>
      </c>
      <c r="AS760" s="12">
        <f t="shared" si="199"/>
        <v>0</v>
      </c>
      <c r="AT760" s="16" t="str">
        <f t="shared" si="201"/>
        <v>Yes</v>
      </c>
    </row>
    <row r="761" spans="1:46" hidden="1" x14ac:dyDescent="0.25">
      <c r="A761" s="41">
        <f>CASOPOInvCL!T761</f>
        <v>2</v>
      </c>
      <c r="B761" t="str">
        <f>CASOPOInvCL!Z761</f>
        <v>SO17531</v>
      </c>
      <c r="D761" t="s">
        <v>5915</v>
      </c>
      <c r="G761" s="5">
        <f>CASOPOInvCL!I761</f>
        <v>0</v>
      </c>
      <c r="H761" s="31">
        <f>CASOPOInvCL!U761</f>
        <v>7</v>
      </c>
      <c r="I761" s="31">
        <f>CASOPOInvCL!V761</f>
        <v>2025</v>
      </c>
      <c r="J761" s="5" t="str">
        <f>CASOPOInvCL!AB761</f>
        <v>INV13270</v>
      </c>
      <c r="K761" s="31">
        <f>CASOPOInvCL!W761</f>
        <v>10</v>
      </c>
      <c r="L761" s="31">
        <f>CASOPOInvCL!X761</f>
        <v>2025</v>
      </c>
      <c r="M761">
        <v>2504</v>
      </c>
      <c r="N761" s="5" t="str">
        <f>CASOPOInvCL!AF761</f>
        <v>Canadian Bearings Ltd.</v>
      </c>
      <c r="O761" s="16" t="str">
        <f>CASOPOInvCL!AG761</f>
        <v>CAD</v>
      </c>
      <c r="P761" s="16">
        <f>CASOPOInvCL!AH761</f>
        <v>0</v>
      </c>
      <c r="Q761" s="16">
        <f>CASOPOInvCL!AI761</f>
        <v>0</v>
      </c>
      <c r="R761" s="32" t="str">
        <f>CASOPOInvCL!AU761</f>
        <v/>
      </c>
      <c r="S761" s="16">
        <f>CASOPOInvCL!AV761</f>
        <v>0</v>
      </c>
      <c r="T761" s="16">
        <f>CASOPOInvCL!AW761</f>
        <v>0</v>
      </c>
      <c r="V761" t="s">
        <v>5800</v>
      </c>
      <c r="Y761" s="29" t="str">
        <f>IFERROR(HLOOKUP(U761,List!$D$2:$H$6,2,FALSE),"")</f>
        <v/>
      </c>
      <c r="Z761" s="29">
        <f>IFERROR(HLOOKUP(V761,List!$D$2:$H$6,3,FALSE),"")</f>
        <v>5.0000000000000001E-3</v>
      </c>
      <c r="AA761" s="29" t="str">
        <f>IFERROR(HLOOKUP(W761,List!$D$2:$H$6,4,FALSE),"")</f>
        <v/>
      </c>
      <c r="AB761" s="29" t="str">
        <f>IFERROR(HLOOKUP(X761,List!$D$2:$H$6,5,FALSE),"")</f>
        <v/>
      </c>
      <c r="AC761" s="12" t="str">
        <f t="shared" si="191"/>
        <v/>
      </c>
      <c r="AD761" s="12">
        <f t="shared" si="192"/>
        <v>0</v>
      </c>
      <c r="AE761" s="12" t="str">
        <f t="shared" si="193"/>
        <v/>
      </c>
      <c r="AF761" s="12" t="str">
        <f t="shared" si="194"/>
        <v/>
      </c>
      <c r="AG761" t="str">
        <f>VLOOKUP(J761,'Receivable Invoice Detail'!$A$1:F3773,6,FALSE)</f>
        <v>[AC-52-231-827-009] Shaft (Sleeve Type), Allis-Chalmers CSO, Frame F4D1, 4140 Steel</v>
      </c>
      <c r="AM761" s="12" t="str">
        <f t="shared" si="195"/>
        <v/>
      </c>
      <c r="AN761" s="12">
        <f t="shared" si="196"/>
        <v>0</v>
      </c>
      <c r="AO761" s="12" t="str">
        <f t="shared" si="197"/>
        <v/>
      </c>
      <c r="AP761" s="12" t="str">
        <f t="shared" si="198"/>
        <v/>
      </c>
      <c r="AQ761" s="64">
        <f t="shared" si="207"/>
        <v>2504</v>
      </c>
      <c r="AR761" t="s">
        <v>5931</v>
      </c>
      <c r="AS761" s="12">
        <f t="shared" si="199"/>
        <v>35.004879417764421</v>
      </c>
      <c r="AT761" s="16" t="str">
        <f t="shared" si="201"/>
        <v/>
      </c>
    </row>
    <row r="762" spans="1:46" hidden="1" x14ac:dyDescent="0.25">
      <c r="A762" s="41">
        <f>CASOPOInvCL!T762</f>
        <v>2</v>
      </c>
      <c r="B762" t="str">
        <f>CASOPOInvCL!Z762</f>
        <v>SO17532</v>
      </c>
      <c r="G762" s="5" t="str">
        <f>CASOPOInvCL!I762</f>
        <v>Ian Trottier</v>
      </c>
      <c r="H762" s="31">
        <f>CASOPOInvCL!U762</f>
        <v>7</v>
      </c>
      <c r="I762" s="31">
        <f>CASOPOInvCL!V762</f>
        <v>2025</v>
      </c>
      <c r="J762" s="5" t="str">
        <f>CASOPOInvCL!AB762</f>
        <v>INV13719</v>
      </c>
      <c r="K762" s="31" t="str">
        <f>CASOPOInvCL!W762</f>
        <v/>
      </c>
      <c r="L762" s="31" t="str">
        <f>CASOPOInvCL!X762</f>
        <v/>
      </c>
      <c r="M762" s="31"/>
      <c r="N762" s="5" t="str">
        <f>CASOPOInvCL!AF762</f>
        <v>Les Pompes du St-Laurent Inc.</v>
      </c>
      <c r="O762" s="16" t="str">
        <f>CASOPOInvCL!AG762</f>
        <v>CAD</v>
      </c>
      <c r="P762" s="16">
        <f>CASOPOInvCL!AH762</f>
        <v>24548.44</v>
      </c>
      <c r="Q762" s="16">
        <f>CASOPOInvCL!AI762</f>
        <v>17932.303493647378</v>
      </c>
      <c r="R762" s="32" t="str">
        <f>CASOPOInvCL!AU762</f>
        <v/>
      </c>
      <c r="S762" s="16">
        <f>CASOPOInvCL!AV762</f>
        <v>0</v>
      </c>
      <c r="T762" s="16">
        <f>CASOPOInvCL!AW762</f>
        <v>0</v>
      </c>
      <c r="Y762" s="29" t="str">
        <f>IFERROR(HLOOKUP(U762,List!$D$2:$H$6,2,FALSE),"")</f>
        <v/>
      </c>
      <c r="Z762" s="29" t="str">
        <f>IFERROR(HLOOKUP(V762,List!$D$2:$H$6,3,FALSE),"")</f>
        <v/>
      </c>
      <c r="AA762" s="29" t="str">
        <f>IFERROR(HLOOKUP(W762,List!$D$2:$H$6,4,FALSE),"")</f>
        <v/>
      </c>
      <c r="AB762" s="29" t="str">
        <f>IFERROR(HLOOKUP(X762,List!$D$2:$H$6,5,FALSE),"")</f>
        <v/>
      </c>
      <c r="AC762" s="12" t="str">
        <f t="shared" si="191"/>
        <v/>
      </c>
      <c r="AD762" s="12" t="str">
        <f t="shared" si="192"/>
        <v/>
      </c>
      <c r="AE762" s="12" t="str">
        <f t="shared" si="193"/>
        <v/>
      </c>
      <c r="AF762" s="12" t="str">
        <f t="shared" si="194"/>
        <v/>
      </c>
      <c r="AG762" t="str">
        <f>VLOOKUP(J762,'Receivable Invoice Detail'!$A$1:F3774,6,FALSE)</f>
        <v>Rear Cover, 13", Durco Mark 2&amp;3 Group 2, Hastelloy-C, Small Bore</v>
      </c>
      <c r="AM762" s="12" t="str">
        <f t="shared" si="195"/>
        <v/>
      </c>
      <c r="AN762" s="12" t="str">
        <f t="shared" si="196"/>
        <v/>
      </c>
      <c r="AO762" s="12" t="str">
        <f t="shared" si="197"/>
        <v/>
      </c>
      <c r="AP762" s="12" t="str">
        <f t="shared" si="198"/>
        <v/>
      </c>
      <c r="AQ762" s="12"/>
      <c r="AS762" s="12">
        <f t="shared" si="199"/>
        <v>17.344342144001057</v>
      </c>
      <c r="AT762" s="16" t="str">
        <f t="shared" si="201"/>
        <v/>
      </c>
    </row>
    <row r="763" spans="1:46" hidden="1" x14ac:dyDescent="0.25">
      <c r="A763" s="41">
        <f>CASOPOInvCL!T763</f>
        <v>2</v>
      </c>
      <c r="B763" t="str">
        <f>CASOPOInvCL!Z763</f>
        <v>SO17532</v>
      </c>
      <c r="G763" s="5">
        <f>CASOPOInvCL!I763</f>
        <v>0</v>
      </c>
      <c r="H763" s="31">
        <f>CASOPOInvCL!U763</f>
        <v>7</v>
      </c>
      <c r="I763" s="31">
        <f>CASOPOInvCL!V763</f>
        <v>2025</v>
      </c>
      <c r="J763" s="5" t="str">
        <f>CASOPOInvCL!AB763</f>
        <v>INV13511</v>
      </c>
      <c r="K763" s="31" t="str">
        <f>CASOPOInvCL!W763</f>
        <v/>
      </c>
      <c r="L763" s="31" t="str">
        <f>CASOPOInvCL!X763</f>
        <v/>
      </c>
      <c r="M763" s="31"/>
      <c r="N763" s="5" t="str">
        <f>CASOPOInvCL!AF763</f>
        <v>Les Pompes du St-Laurent Inc.</v>
      </c>
      <c r="O763" s="16" t="str">
        <f>CASOPOInvCL!AG763</f>
        <v>CAD</v>
      </c>
      <c r="P763" s="16">
        <f>CASOPOInvCL!AH763</f>
        <v>0</v>
      </c>
      <c r="Q763" s="16">
        <f>CASOPOInvCL!AI763</f>
        <v>0</v>
      </c>
      <c r="R763" s="32" t="str">
        <f>CASOPOInvCL!AU763</f>
        <v/>
      </c>
      <c r="S763" s="16">
        <f>CASOPOInvCL!AV763</f>
        <v>0</v>
      </c>
      <c r="T763" s="16">
        <f>CASOPOInvCL!AW763</f>
        <v>0</v>
      </c>
      <c r="Y763" s="29" t="str">
        <f>IFERROR(HLOOKUP(U763,List!$D$2:$H$6,2,FALSE),"")</f>
        <v/>
      </c>
      <c r="Z763" s="29" t="str">
        <f>IFERROR(HLOOKUP(V763,List!$D$2:$H$6,3,FALSE),"")</f>
        <v/>
      </c>
      <c r="AA763" s="29" t="str">
        <f>IFERROR(HLOOKUP(W763,List!$D$2:$H$6,4,FALSE),"")</f>
        <v/>
      </c>
      <c r="AB763" s="29" t="str">
        <f>IFERROR(HLOOKUP(X763,List!$D$2:$H$6,5,FALSE),"")</f>
        <v/>
      </c>
      <c r="AC763" s="12" t="str">
        <f t="shared" si="191"/>
        <v/>
      </c>
      <c r="AD763" s="12" t="str">
        <f t="shared" si="192"/>
        <v/>
      </c>
      <c r="AE763" s="12" t="str">
        <f t="shared" si="193"/>
        <v/>
      </c>
      <c r="AF763" s="12" t="str">
        <f t="shared" si="194"/>
        <v/>
      </c>
      <c r="AG763" t="e">
        <f>VLOOKUP(J763,'Receivable Invoice Detail'!$A$1:F3775,6,FALSE)</f>
        <v>#N/A</v>
      </c>
      <c r="AM763" s="12" t="str">
        <f t="shared" si="195"/>
        <v/>
      </c>
      <c r="AN763" s="12" t="str">
        <f t="shared" si="196"/>
        <v/>
      </c>
      <c r="AO763" s="12" t="str">
        <f t="shared" si="197"/>
        <v/>
      </c>
      <c r="AP763" s="12" t="str">
        <f t="shared" si="198"/>
        <v/>
      </c>
      <c r="AQ763" s="12"/>
      <c r="AS763" s="12">
        <f t="shared" si="199"/>
        <v>0</v>
      </c>
      <c r="AT763" s="16" t="str">
        <f t="shared" si="201"/>
        <v/>
      </c>
    </row>
    <row r="764" spans="1:46" hidden="1" x14ac:dyDescent="0.25">
      <c r="A764" s="41">
        <f>CASOPOInvCL!T764</f>
        <v>2</v>
      </c>
      <c r="B764" t="str">
        <f>CASOPOInvCL!Z764</f>
        <v>SO17535</v>
      </c>
      <c r="D764" t="s">
        <v>5925</v>
      </c>
      <c r="G764" s="5" t="str">
        <f>CASOPOInvCL!I764</f>
        <v>Ian Trottier</v>
      </c>
      <c r="H764" s="31">
        <f>CASOPOInvCL!U764</f>
        <v>7</v>
      </c>
      <c r="I764" s="31">
        <f>CASOPOInvCL!V764</f>
        <v>2025</v>
      </c>
      <c r="J764" s="5" t="str">
        <f>CASOPOInvCL!AB764</f>
        <v>INV13555</v>
      </c>
      <c r="K764" s="31">
        <f>CASOPOInvCL!W764</f>
        <v>12</v>
      </c>
      <c r="L764" s="31">
        <f>CASOPOInvCL!X764</f>
        <v>2025</v>
      </c>
      <c r="M764">
        <v>2504</v>
      </c>
      <c r="N764" s="5" t="str">
        <f>CASOPOInvCL!AF764</f>
        <v>Hisco Pump Inc.</v>
      </c>
      <c r="O764" s="16" t="str">
        <f>CASOPOInvCL!AG764</f>
        <v>USD</v>
      </c>
      <c r="P764" s="16">
        <f>CASOPOInvCL!AH764</f>
        <v>3595.2725631936241</v>
      </c>
      <c r="Q764" s="16">
        <f>CASOPOInvCL!AI764</f>
        <v>2613.3200000000002</v>
      </c>
      <c r="R764" s="32" t="str">
        <f>CASOPOInvCL!AU764</f>
        <v>Yes</v>
      </c>
      <c r="S764" s="16">
        <f>CASOPOInvCL!AV764</f>
        <v>0</v>
      </c>
      <c r="T764" s="16">
        <f>CASOPOInvCL!AW764</f>
        <v>2613.3200000000002</v>
      </c>
      <c r="V764" t="s">
        <v>5800</v>
      </c>
      <c r="Y764" s="29" t="str">
        <f>IFERROR(HLOOKUP(U764,List!$D$2:$H$6,2,FALSE),"")</f>
        <v/>
      </c>
      <c r="Z764" s="29">
        <f>IFERROR(HLOOKUP(V764,List!$D$2:$H$6,3,FALSE),"")</f>
        <v>5.0000000000000001E-3</v>
      </c>
      <c r="AA764" s="29" t="str">
        <f>IFERROR(HLOOKUP(W764,List!$D$2:$H$6,4,FALSE),"")</f>
        <v/>
      </c>
      <c r="AB764" s="29" t="str">
        <f>IFERROR(HLOOKUP(X764,List!$D$2:$H$6,5,FALSE),"")</f>
        <v/>
      </c>
      <c r="AC764" s="12" t="str">
        <f t="shared" si="191"/>
        <v/>
      </c>
      <c r="AD764" s="12">
        <f t="shared" si="192"/>
        <v>13.066600000000001</v>
      </c>
      <c r="AE764" s="12" t="str">
        <f t="shared" si="193"/>
        <v/>
      </c>
      <c r="AF764" s="12" t="str">
        <f t="shared" si="194"/>
        <v/>
      </c>
      <c r="AG764" t="str">
        <f>VLOOKUP(J764,'Receivable Invoice Detail'!$A$1:F3776,6,FALSE)</f>
        <v>[W-E044/C23] Gland Split w/Bolt &amp; Nut, 6/4 or 8/6 E-AH, 316SS</v>
      </c>
      <c r="AM764" s="12" t="str">
        <f t="shared" si="195"/>
        <v/>
      </c>
      <c r="AN764" s="12">
        <f t="shared" si="196"/>
        <v>13.066600000000001</v>
      </c>
      <c r="AO764" s="12" t="str">
        <f t="shared" si="197"/>
        <v/>
      </c>
      <c r="AP764" s="12" t="str">
        <f t="shared" si="198"/>
        <v/>
      </c>
      <c r="AQ764" s="12"/>
      <c r="AS764" s="12">
        <f t="shared" si="199"/>
        <v>0</v>
      </c>
      <c r="AT764" s="16" t="str">
        <f t="shared" si="201"/>
        <v>Yes</v>
      </c>
    </row>
    <row r="765" spans="1:46" hidden="1" x14ac:dyDescent="0.25">
      <c r="A765" s="41">
        <f>CASOPOInvCL!T765</f>
        <v>2</v>
      </c>
      <c r="B765" t="str">
        <f>CASOPOInvCL!Z765</f>
        <v>SO17535</v>
      </c>
      <c r="D765" t="s">
        <v>5925</v>
      </c>
      <c r="G765" s="5">
        <f>CASOPOInvCL!I765</f>
        <v>0</v>
      </c>
      <c r="H765" s="31">
        <f>CASOPOInvCL!U765</f>
        <v>7</v>
      </c>
      <c r="I765" s="31">
        <f>CASOPOInvCL!V765</f>
        <v>2025</v>
      </c>
      <c r="J765" s="5" t="str">
        <f>CASOPOInvCL!AB765</f>
        <v>INV13288</v>
      </c>
      <c r="K765" s="31">
        <f>CASOPOInvCL!W765</f>
        <v>10</v>
      </c>
      <c r="L765" s="31">
        <f>CASOPOInvCL!X765</f>
        <v>2025</v>
      </c>
      <c r="M765">
        <v>2504</v>
      </c>
      <c r="N765" s="5" t="str">
        <f>CASOPOInvCL!AF765</f>
        <v>Hisco Pump Inc.</v>
      </c>
      <c r="O765" s="16" t="str">
        <f>CASOPOInvCL!AG765</f>
        <v>USD</v>
      </c>
      <c r="P765" s="16">
        <f>CASOPOInvCL!AH765</f>
        <v>0</v>
      </c>
      <c r="Q765" s="16">
        <f>CASOPOInvCL!AI765</f>
        <v>0</v>
      </c>
      <c r="R765" s="32" t="str">
        <f>CASOPOInvCL!AU765</f>
        <v/>
      </c>
      <c r="S765" s="16">
        <f>CASOPOInvCL!AV765</f>
        <v>0</v>
      </c>
      <c r="T765" s="16">
        <f>CASOPOInvCL!AW765</f>
        <v>0</v>
      </c>
      <c r="V765" t="s">
        <v>5800</v>
      </c>
      <c r="Y765" s="29" t="str">
        <f>IFERROR(HLOOKUP(U765,List!$D$2:$H$6,2,FALSE),"")</f>
        <v/>
      </c>
      <c r="Z765" s="29">
        <f>IFERROR(HLOOKUP(V765,List!$D$2:$H$6,3,FALSE),"")</f>
        <v>5.0000000000000001E-3</v>
      </c>
      <c r="AA765" s="29" t="str">
        <f>IFERROR(HLOOKUP(W765,List!$D$2:$H$6,4,FALSE),"")</f>
        <v/>
      </c>
      <c r="AB765" s="29" t="str">
        <f>IFERROR(HLOOKUP(X765,List!$D$2:$H$6,5,FALSE),"")</f>
        <v/>
      </c>
      <c r="AC765" s="12" t="str">
        <f t="shared" si="191"/>
        <v/>
      </c>
      <c r="AD765" s="12">
        <f t="shared" si="192"/>
        <v>0</v>
      </c>
      <c r="AE765" s="12" t="str">
        <f t="shared" si="193"/>
        <v/>
      </c>
      <c r="AF765" s="12" t="str">
        <f t="shared" si="194"/>
        <v/>
      </c>
      <c r="AG765" t="str">
        <f>VLOOKUP(J765,'Receivable Invoice Detail'!$A$1:F3777,6,FALSE)</f>
        <v>[W-E044/C23] Gland Split w/Bolt &amp; Nut, 6/4 or 8/6 E-AH, 316SS</v>
      </c>
      <c r="AM765" s="12" t="str">
        <f t="shared" si="195"/>
        <v/>
      </c>
      <c r="AN765" s="12">
        <f t="shared" si="196"/>
        <v>0</v>
      </c>
      <c r="AO765" s="12" t="str">
        <f t="shared" si="197"/>
        <v/>
      </c>
      <c r="AP765" s="12" t="str">
        <f t="shared" si="198"/>
        <v/>
      </c>
      <c r="AQ765" s="12"/>
      <c r="AS765" s="12">
        <f t="shared" si="199"/>
        <v>0</v>
      </c>
      <c r="AT765" s="16" t="str">
        <f t="shared" si="201"/>
        <v/>
      </c>
    </row>
    <row r="766" spans="1:46" hidden="1" x14ac:dyDescent="0.25">
      <c r="A766" s="41">
        <f>CASOPOInvCL!T766</f>
        <v>2</v>
      </c>
      <c r="B766" t="str">
        <f>CASOPOInvCL!Z766</f>
        <v>SO17536</v>
      </c>
      <c r="D766" t="s">
        <v>5925</v>
      </c>
      <c r="G766" s="5" t="str">
        <f>CASOPOInvCL!I766</f>
        <v>Ian Trottier</v>
      </c>
      <c r="H766" s="31">
        <f>CASOPOInvCL!U766</f>
        <v>7</v>
      </c>
      <c r="I766" s="31">
        <f>CASOPOInvCL!V766</f>
        <v>2025</v>
      </c>
      <c r="J766" s="5" t="str">
        <f>CASOPOInvCL!AB766</f>
        <v>INV13325</v>
      </c>
      <c r="K766" s="31">
        <f>CASOPOInvCL!W766</f>
        <v>9</v>
      </c>
      <c r="L766" s="31">
        <f>CASOPOInvCL!X766</f>
        <v>2025</v>
      </c>
      <c r="M766">
        <v>2504</v>
      </c>
      <c r="N766" s="5" t="str">
        <f>CASOPOInvCL!AF766</f>
        <v>Gibraltar Mine (Canada)</v>
      </c>
      <c r="O766" s="16" t="str">
        <f>CASOPOInvCL!AG766</f>
        <v>CAD</v>
      </c>
      <c r="P766" s="16">
        <f>CASOPOInvCL!AH766</f>
        <v>7365.39</v>
      </c>
      <c r="Q766" s="16">
        <f>CASOPOInvCL!AI766</f>
        <v>5370.8276372863711</v>
      </c>
      <c r="R766" s="32" t="str">
        <f>CASOPOInvCL!AU766</f>
        <v>Yes</v>
      </c>
      <c r="S766" s="16">
        <f>CASOPOInvCL!AV766</f>
        <v>0</v>
      </c>
      <c r="T766" s="16">
        <f>CASOPOInvCL!AW766</f>
        <v>5370.8276372863711</v>
      </c>
      <c r="V766" t="s">
        <v>5800</v>
      </c>
      <c r="Y766" s="29" t="str">
        <f>IFERROR(HLOOKUP(U766,List!$D$2:$H$6,2,FALSE),"")</f>
        <v/>
      </c>
      <c r="Z766" s="29">
        <f>IFERROR(HLOOKUP(V766,List!$D$2:$H$6,3,FALSE),"")</f>
        <v>5.0000000000000001E-3</v>
      </c>
      <c r="AA766" s="29" t="str">
        <f>IFERROR(HLOOKUP(W766,List!$D$2:$H$6,4,FALSE),"")</f>
        <v/>
      </c>
      <c r="AB766" s="29" t="str">
        <f>IFERROR(HLOOKUP(X766,List!$D$2:$H$6,5,FALSE),"")</f>
        <v/>
      </c>
      <c r="AC766" s="12" t="str">
        <f t="shared" si="191"/>
        <v/>
      </c>
      <c r="AD766" s="12">
        <f t="shared" si="192"/>
        <v>26.854138186431857</v>
      </c>
      <c r="AE766" s="12" t="str">
        <f t="shared" si="193"/>
        <v/>
      </c>
      <c r="AF766" s="12" t="str">
        <f t="shared" si="194"/>
        <v/>
      </c>
      <c r="AG766" t="str">
        <f>VLOOKUP(J766,'Receivable Invoice Detail'!$A$1:F3778,6,FALSE)</f>
        <v>[GA-23965] Impeller, G-Series 2.5" VSP, 1000 Series, Urethane</v>
      </c>
      <c r="AM766" s="12" t="str">
        <f t="shared" si="195"/>
        <v/>
      </c>
      <c r="AN766" s="12">
        <f t="shared" si="196"/>
        <v>26.854138186431857</v>
      </c>
      <c r="AO766" s="12" t="str">
        <f t="shared" si="197"/>
        <v/>
      </c>
      <c r="AP766" s="12" t="str">
        <f t="shared" si="198"/>
        <v/>
      </c>
      <c r="AQ766" s="12"/>
      <c r="AS766" s="12">
        <f t="shared" si="199"/>
        <v>39.199800000000003</v>
      </c>
      <c r="AT766" s="16" t="str">
        <f t="shared" si="201"/>
        <v>Yes</v>
      </c>
    </row>
    <row r="767" spans="1:46" hidden="1" x14ac:dyDescent="0.25">
      <c r="A767" s="41">
        <f>CASOPOInvCL!T767</f>
        <v>2</v>
      </c>
      <c r="B767" t="str">
        <f>CASOPOInvCL!Z767</f>
        <v>SO17536</v>
      </c>
      <c r="D767" t="s">
        <v>5925</v>
      </c>
      <c r="G767" s="5">
        <f>CASOPOInvCL!I767</f>
        <v>0</v>
      </c>
      <c r="H767" s="31">
        <f>CASOPOInvCL!U767</f>
        <v>7</v>
      </c>
      <c r="I767" s="31">
        <f>CASOPOInvCL!V767</f>
        <v>2025</v>
      </c>
      <c r="J767" s="5" t="str">
        <f>CASOPOInvCL!AB767</f>
        <v>INV13491</v>
      </c>
      <c r="K767" s="31">
        <f>CASOPOInvCL!W767</f>
        <v>11</v>
      </c>
      <c r="L767" s="31">
        <f>CASOPOInvCL!X767</f>
        <v>2025</v>
      </c>
      <c r="M767">
        <v>2504</v>
      </c>
      <c r="N767" s="5" t="str">
        <f>CASOPOInvCL!AF767</f>
        <v>Gibraltar Mine (Canada)</v>
      </c>
      <c r="O767" s="16" t="str">
        <f>CASOPOInvCL!AG767</f>
        <v>CAD</v>
      </c>
      <c r="P767" s="16">
        <f>CASOPOInvCL!AH767</f>
        <v>0</v>
      </c>
      <c r="Q767" s="16">
        <f>CASOPOInvCL!AI767</f>
        <v>0</v>
      </c>
      <c r="R767" s="32" t="str">
        <f>CASOPOInvCL!AU767</f>
        <v/>
      </c>
      <c r="S767" s="16">
        <f>CASOPOInvCL!AV767</f>
        <v>0</v>
      </c>
      <c r="T767" s="16">
        <f>CASOPOInvCL!AW767</f>
        <v>0</v>
      </c>
      <c r="V767" t="s">
        <v>5800</v>
      </c>
      <c r="Y767" s="29" t="str">
        <f>IFERROR(HLOOKUP(U767,List!$D$2:$H$6,2,FALSE),"")</f>
        <v/>
      </c>
      <c r="Z767" s="29">
        <f>IFERROR(HLOOKUP(V767,List!$D$2:$H$6,3,FALSE),"")</f>
        <v>5.0000000000000001E-3</v>
      </c>
      <c r="AA767" s="29" t="str">
        <f>IFERROR(HLOOKUP(W767,List!$D$2:$H$6,4,FALSE),"")</f>
        <v/>
      </c>
      <c r="AB767" s="29" t="str">
        <f>IFERROR(HLOOKUP(X767,List!$D$2:$H$6,5,FALSE),"")</f>
        <v/>
      </c>
      <c r="AC767" s="12" t="str">
        <f t="shared" si="191"/>
        <v/>
      </c>
      <c r="AD767" s="12">
        <f t="shared" si="192"/>
        <v>0</v>
      </c>
      <c r="AE767" s="12" t="str">
        <f t="shared" si="193"/>
        <v/>
      </c>
      <c r="AF767" s="12" t="str">
        <f t="shared" si="194"/>
        <v/>
      </c>
      <c r="AG767" t="str">
        <f>VLOOKUP(J767,'Receivable Invoice Detail'!$A$1:F3779,6,FALSE)</f>
        <v>[GA-20442] Discharge Pipe, 60", G-Series 2.5" VSP, 1000 Series, Rubber Lined Inside</v>
      </c>
      <c r="AM767" s="12" t="str">
        <f t="shared" si="195"/>
        <v/>
      </c>
      <c r="AN767" s="12">
        <f t="shared" si="196"/>
        <v>0</v>
      </c>
      <c r="AO767" s="12" t="str">
        <f t="shared" si="197"/>
        <v/>
      </c>
      <c r="AP767" s="12" t="str">
        <f t="shared" si="198"/>
        <v/>
      </c>
      <c r="AQ767" s="12"/>
      <c r="AS767" s="12">
        <f t="shared" si="199"/>
        <v>0</v>
      </c>
      <c r="AT767" s="16" t="s">
        <v>5940</v>
      </c>
    </row>
    <row r="768" spans="1:46" hidden="1" x14ac:dyDescent="0.25">
      <c r="A768" s="41">
        <f>CASOPOInvCL!T768</f>
        <v>1</v>
      </c>
      <c r="B768" t="str">
        <f>CASOPOInvCL!Z768</f>
        <v>SO17539</v>
      </c>
      <c r="G768" s="5" t="str">
        <f>CASOPOInvCL!I768</f>
        <v>Alexis Gil Lamadrid</v>
      </c>
      <c r="H768" s="31">
        <f>CASOPOInvCL!U768</f>
        <v>7</v>
      </c>
      <c r="I768" s="31">
        <f>CASOPOInvCL!V768</f>
        <v>2025</v>
      </c>
      <c r="J768" s="5" t="str">
        <f>CASOPOInvCL!AB768</f>
        <v>INV13693</v>
      </c>
      <c r="K768" s="31">
        <f>CASOPOInvCL!W768</f>
        <v>1</v>
      </c>
      <c r="L768" s="31">
        <f>CASOPOInvCL!X768</f>
        <v>2026</v>
      </c>
      <c r="M768" s="31"/>
      <c r="N768" s="5" t="str">
        <f>CASOPOInvCL!AF768</f>
        <v>Wajax Limited - Val D'Or, Composants Industriels Wajax SC -57</v>
      </c>
      <c r="O768" s="16" t="str">
        <f>CASOPOInvCL!AG768</f>
        <v>CAD</v>
      </c>
      <c r="P768" s="16">
        <f>CASOPOInvCL!AH768</f>
        <v>12687.26</v>
      </c>
      <c r="Q768" s="16">
        <f>CASOPOInvCL!AI768</f>
        <v>9054.8229830007876</v>
      </c>
      <c r="R768" s="32" t="str">
        <f>CASOPOInvCL!AU768</f>
        <v>Yes</v>
      </c>
      <c r="S768" s="16">
        <f>CASOPOInvCL!AV768</f>
        <v>0</v>
      </c>
      <c r="T768" s="16">
        <f>CASOPOInvCL!AW768</f>
        <v>9054.8229830007876</v>
      </c>
      <c r="Y768" s="29" t="str">
        <f>IFERROR(HLOOKUP(U768,List!$D$2:$H$6,2,FALSE),"")</f>
        <v/>
      </c>
      <c r="Z768" s="29" t="str">
        <f>IFERROR(HLOOKUP(V768,List!$D$2:$H$6,3,FALSE),"")</f>
        <v/>
      </c>
      <c r="AA768" s="29" t="str">
        <f>IFERROR(HLOOKUP(W768,List!$D$2:$H$6,4,FALSE),"")</f>
        <v/>
      </c>
      <c r="AB768" s="29" t="str">
        <f>IFERROR(HLOOKUP(X768,List!$D$2:$H$6,5,FALSE),"")</f>
        <v/>
      </c>
      <c r="AC768" s="12" t="str">
        <f t="shared" si="191"/>
        <v/>
      </c>
      <c r="AD768" s="12" t="str">
        <f t="shared" si="192"/>
        <v/>
      </c>
      <c r="AE768" s="12" t="str">
        <f t="shared" si="193"/>
        <v/>
      </c>
      <c r="AF768" s="12" t="str">
        <f t="shared" si="194"/>
        <v/>
      </c>
      <c r="AG768" t="str">
        <f>VLOOKUP(J768,'Receivable Invoice Detail'!$A$1:F3780,6,FALSE)</f>
        <v>[G-254-50 1216] Casing, 6x8-13, 3196 XLT, CD4MCu</v>
      </c>
      <c r="AM768" s="12" t="str">
        <f t="shared" si="195"/>
        <v/>
      </c>
      <c r="AN768" s="12" t="str">
        <f t="shared" si="196"/>
        <v/>
      </c>
      <c r="AO768" s="12" t="str">
        <f t="shared" si="197"/>
        <v/>
      </c>
      <c r="AP768" s="12" t="str">
        <f t="shared" si="198"/>
        <v/>
      </c>
      <c r="AQ768" s="12"/>
      <c r="AS768" s="12">
        <f t="shared" si="199"/>
        <v>80.562414559295561</v>
      </c>
      <c r="AT768" s="16" t="str">
        <f t="shared" si="201"/>
        <v>Yes</v>
      </c>
    </row>
    <row r="769" spans="1:46" hidden="1" x14ac:dyDescent="0.25">
      <c r="A769" s="41">
        <f>CASOPOInvCL!T769</f>
        <v>1</v>
      </c>
      <c r="B769" t="str">
        <f>CASOPOInvCL!Z769</f>
        <v>SO17543</v>
      </c>
      <c r="G769" s="5" t="str">
        <f>CASOPOInvCL!I769</f>
        <v>Yannett Yeomans</v>
      </c>
      <c r="H769" s="31">
        <f>CASOPOInvCL!U769</f>
        <v>7</v>
      </c>
      <c r="I769" s="31">
        <f>CASOPOInvCL!V769</f>
        <v>2025</v>
      </c>
      <c r="J769" s="5" t="str">
        <f>CASOPOInvCL!AB769</f>
        <v>INV13709</v>
      </c>
      <c r="K769" s="31" t="str">
        <f>CASOPOInvCL!W769</f>
        <v/>
      </c>
      <c r="L769" s="31" t="str">
        <f>CASOPOInvCL!X769</f>
        <v/>
      </c>
      <c r="M769" s="31"/>
      <c r="N769" s="5" t="str">
        <f>CASOPOInvCL!AF769</f>
        <v>Dynapro Pumps México S de RL de CV</v>
      </c>
      <c r="O769" s="16" t="str">
        <f>CASOPOInvCL!AG769</f>
        <v>USD</v>
      </c>
      <c r="P769" s="16">
        <f>CASOPOInvCL!AH769</f>
        <v>85549.377409693567</v>
      </c>
      <c r="Q769" s="16">
        <f>CASOPOInvCL!AI769</f>
        <v>62220</v>
      </c>
      <c r="R769" s="32" t="str">
        <f>CASOPOInvCL!AU769</f>
        <v/>
      </c>
      <c r="S769" s="16">
        <f>CASOPOInvCL!AV769</f>
        <v>0</v>
      </c>
      <c r="T769" s="16">
        <f>CASOPOInvCL!AW769</f>
        <v>0</v>
      </c>
      <c r="Y769" s="29" t="str">
        <f>IFERROR(HLOOKUP(U769,List!$D$2:$H$6,2,FALSE),"")</f>
        <v/>
      </c>
      <c r="Z769" s="29" t="str">
        <f>IFERROR(HLOOKUP(V769,List!$D$2:$H$6,3,FALSE),"")</f>
        <v/>
      </c>
      <c r="AA769" s="29" t="str">
        <f>IFERROR(HLOOKUP(W769,List!$D$2:$H$6,4,FALSE),"")</f>
        <v/>
      </c>
      <c r="AB769" s="29" t="str">
        <f>IFERROR(HLOOKUP(X769,List!$D$2:$H$6,5,FALSE),"")</f>
        <v/>
      </c>
      <c r="AC769" s="12" t="str">
        <f t="shared" si="191"/>
        <v/>
      </c>
      <c r="AD769" s="12" t="str">
        <f t="shared" si="192"/>
        <v/>
      </c>
      <c r="AE769" s="12" t="str">
        <f t="shared" si="193"/>
        <v/>
      </c>
      <c r="AF769" s="12" t="str">
        <f t="shared" si="194"/>
        <v/>
      </c>
      <c r="AG769" t="str">
        <f>VLOOKUP(J769,'Receivable Invoice Detail'!$A$1:F3781,6,FALSE)</f>
        <v>[XS500-710] Horizontal Split Case Pump 24/20, 420SS</v>
      </c>
      <c r="AH769" s="12">
        <f t="shared" ref="AH769" si="208">SUM(AC769:AF769)</f>
        <v>0</v>
      </c>
      <c r="AM769" s="12" t="str">
        <f t="shared" si="195"/>
        <v/>
      </c>
      <c r="AN769" s="12" t="str">
        <f t="shared" si="196"/>
        <v/>
      </c>
      <c r="AO769" s="12" t="str">
        <f t="shared" si="197"/>
        <v/>
      </c>
      <c r="AP769" s="12" t="str">
        <f t="shared" si="198"/>
        <v/>
      </c>
      <c r="AQ769" s="12"/>
      <c r="AR769" s="16" t="s">
        <v>5940</v>
      </c>
      <c r="AS769" s="12">
        <f t="shared" si="199"/>
        <v>0</v>
      </c>
      <c r="AT769" s="16" t="str">
        <f t="shared" si="201"/>
        <v/>
      </c>
    </row>
    <row r="770" spans="1:46" hidden="1" x14ac:dyDescent="0.25">
      <c r="A770" s="41">
        <f>CASOPOInvCL!T770</f>
        <v>1</v>
      </c>
      <c r="B770" t="str">
        <f>CASOPOInvCL!Z770</f>
        <v>SO17544</v>
      </c>
      <c r="G770" s="5" t="str">
        <f>CASOPOInvCL!I770</f>
        <v>Ian Trottier</v>
      </c>
      <c r="H770" s="31">
        <f>CASOPOInvCL!U770</f>
        <v>7</v>
      </c>
      <c r="I770" s="31">
        <f>CASOPOInvCL!V770</f>
        <v>2025</v>
      </c>
      <c r="J770" s="5" t="str">
        <f>CASOPOInvCL!AB770</f>
        <v>INV13199</v>
      </c>
      <c r="K770" s="31">
        <f>CASOPOInvCL!W770</f>
        <v>9</v>
      </c>
      <c r="L770" s="31">
        <f>CASOPOInvCL!X770</f>
        <v>2025</v>
      </c>
      <c r="M770" s="31"/>
      <c r="N770" s="5" t="str">
        <f>CASOPOInvCL!AF770</f>
        <v>Sealtrac Inc.</v>
      </c>
      <c r="O770" s="16" t="str">
        <f>CASOPOInvCL!AG770</f>
        <v>CAD</v>
      </c>
      <c r="P770" s="16">
        <f>CASOPOInvCL!AH770</f>
        <v>1573.14</v>
      </c>
      <c r="Q770" s="16">
        <f>CASOPOInvCL!AI770</f>
        <v>1147.1305374624671</v>
      </c>
      <c r="R770" s="32" t="str">
        <f>CASOPOInvCL!AU770</f>
        <v>Yes</v>
      </c>
      <c r="S770" s="16">
        <f>CASOPOInvCL!AV770</f>
        <v>0</v>
      </c>
      <c r="T770" s="16">
        <f>CASOPOInvCL!AW770</f>
        <v>1147.1305374624671</v>
      </c>
      <c r="Y770" s="29" t="str">
        <f>IFERROR(HLOOKUP(U770,List!$D$2:$H$6,2,FALSE),"")</f>
        <v/>
      </c>
      <c r="Z770" s="29" t="str">
        <f>IFERROR(HLOOKUP(V770,List!$D$2:$H$6,3,FALSE),"")</f>
        <v/>
      </c>
      <c r="AA770" s="29" t="str">
        <f>IFERROR(HLOOKUP(W770,List!$D$2:$H$6,4,FALSE),"")</f>
        <v/>
      </c>
      <c r="AB770" s="29" t="str">
        <f>IFERROR(HLOOKUP(X770,List!$D$2:$H$6,5,FALSE),"")</f>
        <v/>
      </c>
      <c r="AC770" s="12" t="str">
        <f t="shared" si="191"/>
        <v/>
      </c>
      <c r="AD770" s="12" t="str">
        <f t="shared" si="192"/>
        <v/>
      </c>
      <c r="AE770" s="12" t="str">
        <f t="shared" si="193"/>
        <v/>
      </c>
      <c r="AF770" s="12" t="str">
        <f t="shared" si="194"/>
        <v/>
      </c>
      <c r="AG770" t="str">
        <f>VLOOKUP(J770,'Receivable Invoice Detail'!$A$1:F3782,6,FALSE)</f>
        <v>[DU-MY36847AA130-CD4] Impeller, 4x3-13, Durco Mark 2&amp;3 Group 2, CD4MCu, Reverse Vane</v>
      </c>
      <c r="AM770" s="12" t="str">
        <f t="shared" si="195"/>
        <v/>
      </c>
      <c r="AN770" s="12" t="str">
        <f t="shared" si="196"/>
        <v/>
      </c>
      <c r="AO770" s="12" t="str">
        <f t="shared" si="197"/>
        <v/>
      </c>
      <c r="AP770" s="12" t="str">
        <f t="shared" si="198"/>
        <v/>
      </c>
      <c r="AQ770" s="12"/>
      <c r="AS770" s="12">
        <f t="shared" si="199"/>
        <v>135.8223447450118</v>
      </c>
      <c r="AT770" s="16" t="s">
        <v>5940</v>
      </c>
    </row>
    <row r="771" spans="1:46" hidden="1" x14ac:dyDescent="0.25">
      <c r="A771" s="41">
        <f>CASOPOInvCL!T771</f>
        <v>1</v>
      </c>
      <c r="B771" t="str">
        <f>CASOPOInvCL!Z771</f>
        <v>SO17547</v>
      </c>
      <c r="D771" t="s">
        <v>5925</v>
      </c>
      <c r="G771" s="5" t="str">
        <f>CASOPOInvCL!I771</f>
        <v>Ian Trottier</v>
      </c>
      <c r="H771" s="31">
        <f>CASOPOInvCL!U771</f>
        <v>7</v>
      </c>
      <c r="I771" s="31">
        <f>CASOPOInvCL!V771</f>
        <v>2025</v>
      </c>
      <c r="J771" s="5" t="str">
        <f>CASOPOInvCL!AB771</f>
        <v>INV13240</v>
      </c>
      <c r="K771" s="31">
        <f>CASOPOInvCL!W771</f>
        <v>9</v>
      </c>
      <c r="L771" s="31">
        <f>CASOPOInvCL!X771</f>
        <v>2025</v>
      </c>
      <c r="M771">
        <v>2503</v>
      </c>
      <c r="N771" s="5" t="str">
        <f>CASOPOInvCL!AF771</f>
        <v>Middle Georgia Fluid Sealing LLC</v>
      </c>
      <c r="O771" s="16" t="str">
        <f>CASOPOInvCL!AG771</f>
        <v>USD</v>
      </c>
      <c r="P771" s="16">
        <f>CASOPOInvCL!AH771</f>
        <v>20421.256608515894</v>
      </c>
      <c r="Q771" s="16">
        <f>CASOPOInvCL!AI771</f>
        <v>14878.98</v>
      </c>
      <c r="R771" s="32" t="str">
        <f>CASOPOInvCL!AU771</f>
        <v>Yes</v>
      </c>
      <c r="S771" s="16">
        <f>CASOPOInvCL!AV771</f>
        <v>0</v>
      </c>
      <c r="T771" s="16">
        <f>CASOPOInvCL!AW771</f>
        <v>14878.98</v>
      </c>
      <c r="V771" t="s">
        <v>5801</v>
      </c>
      <c r="Y771" s="29" t="str">
        <f>IFERROR(HLOOKUP(U771,List!$D$2:$H$6,2,FALSE),"")</f>
        <v/>
      </c>
      <c r="Z771" s="29">
        <f>IFERROR(HLOOKUP(V771,List!$D$2:$H$6,3,FALSE),"")</f>
        <v>0.02</v>
      </c>
      <c r="AA771" s="29" t="str">
        <f>IFERROR(HLOOKUP(W771,List!$D$2:$H$6,4,FALSE),"")</f>
        <v/>
      </c>
      <c r="AB771" s="29" t="str">
        <f>IFERROR(HLOOKUP(X771,List!$D$2:$H$6,5,FALSE),"")</f>
        <v/>
      </c>
      <c r="AC771" s="12" t="str">
        <f t="shared" ref="AC771:AC834" si="209">IFERROR(Y771*$T771,"")</f>
        <v/>
      </c>
      <c r="AD771" s="12">
        <f t="shared" ref="AD771:AD834" si="210">IFERROR(Z771*$T771,"")</f>
        <v>297.57959999999997</v>
      </c>
      <c r="AE771" s="12" t="str">
        <f t="shared" ref="AE771:AE834" si="211">IFERROR(AA771*$T771,"")</f>
        <v/>
      </c>
      <c r="AF771" s="12" t="str">
        <f t="shared" ref="AF771:AF834" si="212">IFERROR(AB771*$T771,"")</f>
        <v/>
      </c>
      <c r="AG771" t="str">
        <f>VLOOKUP(J771,'Receivable Invoice Detail'!$A$1:F3783,6,FALSE)</f>
        <v>[D-2J15214-4] Casing, 1.5x2-14, Goulds JC, Frame 2J, CD4MCu, OEM# 055892G0001247</v>
      </c>
      <c r="AM771" s="12" t="str">
        <f t="shared" ref="AM771:AM834" si="213">IF(AI771="",AC771,0)</f>
        <v/>
      </c>
      <c r="AN771" s="12">
        <f t="shared" ref="AN771:AN834" si="214">IF(AJ771="",AD771,0)</f>
        <v>297.57959999999997</v>
      </c>
      <c r="AO771" s="12" t="str">
        <f t="shared" ref="AO771:AO834" si="215">IF(AK771="",AE771,0)</f>
        <v/>
      </c>
      <c r="AP771" s="12" t="str">
        <f t="shared" ref="AP771:AP834" si="216">IF(AL771="",AF771,0)</f>
        <v/>
      </c>
      <c r="AQ771" s="64">
        <v>2503</v>
      </c>
      <c r="AR771" t="s">
        <v>5932</v>
      </c>
      <c r="AS771" s="12">
        <f t="shared" si="199"/>
        <v>0</v>
      </c>
      <c r="AT771" s="16" t="s">
        <v>5940</v>
      </c>
    </row>
    <row r="772" spans="1:46" hidden="1" x14ac:dyDescent="0.25">
      <c r="A772" s="41">
        <f>CASOPOInvCL!T772</f>
        <v>1</v>
      </c>
      <c r="B772" t="str">
        <f>CASOPOInvCL!Z772</f>
        <v>SO17548</v>
      </c>
      <c r="G772" s="5" t="str">
        <f>CASOPOInvCL!I772</f>
        <v>Yannett Yeomans</v>
      </c>
      <c r="H772" s="31">
        <f>CASOPOInvCL!U772</f>
        <v>7</v>
      </c>
      <c r="I772" s="31">
        <f>CASOPOInvCL!V772</f>
        <v>2025</v>
      </c>
      <c r="J772" s="5" t="str">
        <f>CASOPOInvCL!AB772</f>
        <v>INV13356</v>
      </c>
      <c r="K772" s="31" t="str">
        <f>CASOPOInvCL!W772</f>
        <v/>
      </c>
      <c r="L772" s="31" t="str">
        <f>CASOPOInvCL!X772</f>
        <v/>
      </c>
      <c r="M772" s="31"/>
      <c r="N772" s="5" t="str">
        <f>CASOPOInvCL!AF772</f>
        <v>Dynapro Pumps México S de RL de CV</v>
      </c>
      <c r="O772" s="16" t="str">
        <f>CASOPOInvCL!AG772</f>
        <v>USD</v>
      </c>
      <c r="P772" s="16">
        <f>CASOPOInvCL!AH772</f>
        <v>1223.7053342113031</v>
      </c>
      <c r="Q772" s="16">
        <f>CASOPOInvCL!AI772</f>
        <v>890</v>
      </c>
      <c r="R772" s="32" t="str">
        <f>CASOPOInvCL!AU772</f>
        <v/>
      </c>
      <c r="S772" s="16">
        <f>CASOPOInvCL!AV772</f>
        <v>0</v>
      </c>
      <c r="T772" s="16">
        <f>CASOPOInvCL!AW772</f>
        <v>0</v>
      </c>
      <c r="Y772" s="29" t="str">
        <f>IFERROR(HLOOKUP(U772,List!$D$2:$H$6,2,FALSE),"")</f>
        <v/>
      </c>
      <c r="Z772" s="29" t="str">
        <f>IFERROR(HLOOKUP(V772,List!$D$2:$H$6,3,FALSE),"")</f>
        <v/>
      </c>
      <c r="AA772" s="29" t="str">
        <f>IFERROR(HLOOKUP(W772,List!$D$2:$H$6,4,FALSE),"")</f>
        <v/>
      </c>
      <c r="AB772" s="29" t="str">
        <f>IFERROR(HLOOKUP(X772,List!$D$2:$H$6,5,FALSE),"")</f>
        <v/>
      </c>
      <c r="AC772" s="12" t="str">
        <f t="shared" si="209"/>
        <v/>
      </c>
      <c r="AD772" s="12" t="str">
        <f t="shared" si="210"/>
        <v/>
      </c>
      <c r="AE772" s="12" t="str">
        <f t="shared" si="211"/>
        <v/>
      </c>
      <c r="AF772" s="12" t="str">
        <f t="shared" si="212"/>
        <v/>
      </c>
      <c r="AG772" t="str">
        <f>VLOOKUP(J772,'Receivable Invoice Detail'!$A$1:F3784,6,FALSE)</f>
        <v>[W-RVR10154L/R55] Discharge Pipe 1800mm, 100RV-SPR, Natural Rubber</v>
      </c>
      <c r="AM772" s="12" t="str">
        <f t="shared" si="213"/>
        <v/>
      </c>
      <c r="AN772" s="12" t="str">
        <f t="shared" si="214"/>
        <v/>
      </c>
      <c r="AO772" s="12" t="str">
        <f t="shared" si="215"/>
        <v/>
      </c>
      <c r="AP772" s="12" t="str">
        <f t="shared" si="216"/>
        <v/>
      </c>
      <c r="AQ772" s="12"/>
      <c r="AR772" s="16" t="s">
        <v>5940</v>
      </c>
      <c r="AS772" s="12">
        <f t="shared" si="199"/>
        <v>17.206958061937005</v>
      </c>
      <c r="AT772" s="16" t="str">
        <f t="shared" si="201"/>
        <v/>
      </c>
    </row>
    <row r="773" spans="1:46" hidden="1" x14ac:dyDescent="0.25">
      <c r="A773" s="41">
        <f>CASOPOInvCL!T773</f>
        <v>1</v>
      </c>
      <c r="B773" t="str">
        <f>CASOPOInvCL!Z773</f>
        <v>SO17549</v>
      </c>
      <c r="G773" s="5" t="str">
        <f>CASOPOInvCL!I773</f>
        <v>Yannett Yeomans</v>
      </c>
      <c r="H773" s="31">
        <f>CASOPOInvCL!U773</f>
        <v>7</v>
      </c>
      <c r="I773" s="31">
        <f>CASOPOInvCL!V773</f>
        <v>2025</v>
      </c>
      <c r="J773" s="5" t="str">
        <f>CASOPOInvCL!AB773</f>
        <v>INV13371</v>
      </c>
      <c r="K773" s="31" t="str">
        <f>CASOPOInvCL!W773</f>
        <v/>
      </c>
      <c r="L773" s="31" t="str">
        <f>CASOPOInvCL!X773</f>
        <v/>
      </c>
      <c r="M773" s="31"/>
      <c r="N773" s="5" t="str">
        <f>CASOPOInvCL!AF773</f>
        <v>Dynapro Pumps México S de RL de CV</v>
      </c>
      <c r="O773" s="16" t="str">
        <f>CASOPOInvCL!AG773</f>
        <v>USD</v>
      </c>
      <c r="P773" s="16">
        <f>CASOPOInvCL!AH773</f>
        <v>206.24247205808479</v>
      </c>
      <c r="Q773" s="16">
        <f>CASOPOInvCL!AI773</f>
        <v>150</v>
      </c>
      <c r="R773" s="32" t="str">
        <f>CASOPOInvCL!AU773</f>
        <v/>
      </c>
      <c r="S773" s="16">
        <f>CASOPOInvCL!AV773</f>
        <v>0</v>
      </c>
      <c r="T773" s="16">
        <f>CASOPOInvCL!AW773</f>
        <v>0</v>
      </c>
      <c r="Y773" s="29" t="str">
        <f>IFERROR(HLOOKUP(U773,List!$D$2:$H$6,2,FALSE),"")</f>
        <v/>
      </c>
      <c r="Z773" s="29" t="str">
        <f>IFERROR(HLOOKUP(V773,List!$D$2:$H$6,3,FALSE),"")</f>
        <v/>
      </c>
      <c r="AA773" s="29" t="str">
        <f>IFERROR(HLOOKUP(W773,List!$D$2:$H$6,4,FALSE),"")</f>
        <v/>
      </c>
      <c r="AB773" s="29" t="str">
        <f>IFERROR(HLOOKUP(X773,List!$D$2:$H$6,5,FALSE),"")</f>
        <v/>
      </c>
      <c r="AC773" s="12" t="str">
        <f t="shared" si="209"/>
        <v/>
      </c>
      <c r="AD773" s="12" t="str">
        <f t="shared" si="210"/>
        <v/>
      </c>
      <c r="AE773" s="12" t="str">
        <f t="shared" si="211"/>
        <v/>
      </c>
      <c r="AF773" s="12" t="str">
        <f t="shared" si="212"/>
        <v/>
      </c>
      <c r="AG773" t="str">
        <f>VLOOKUP(J773,'Receivable Invoice Detail'!$A$1:F3785,6,FALSE)</f>
        <v>[D-500S-98B-17/E05] Right Round Nut, 500S-98B, M105x2 RH, 1045 Steel</v>
      </c>
      <c r="AH773" s="12">
        <f t="shared" ref="AH773:AH774" si="217">SUM(AC773:AF773)</f>
        <v>0</v>
      </c>
      <c r="AM773" s="12" t="str">
        <f t="shared" si="213"/>
        <v/>
      </c>
      <c r="AN773" s="12" t="str">
        <f t="shared" si="214"/>
        <v/>
      </c>
      <c r="AO773" s="12" t="str">
        <f t="shared" si="215"/>
        <v/>
      </c>
      <c r="AP773" s="12" t="str">
        <f t="shared" si="216"/>
        <v/>
      </c>
      <c r="AQ773" s="12"/>
      <c r="AR773" s="16" t="s">
        <v>5940</v>
      </c>
      <c r="AS773" s="12">
        <f t="shared" ref="AS773:AS798" si="218">T771*1.5%</f>
        <v>223.18469999999999</v>
      </c>
      <c r="AT773" s="16" t="str">
        <f t="shared" si="201"/>
        <v/>
      </c>
    </row>
    <row r="774" spans="1:46" hidden="1" x14ac:dyDescent="0.25">
      <c r="A774" s="41">
        <f>CASOPOInvCL!T774</f>
        <v>1</v>
      </c>
      <c r="B774" t="str">
        <f>CASOPOInvCL!Z774</f>
        <v>SO17550</v>
      </c>
      <c r="D774" t="s">
        <v>5915</v>
      </c>
      <c r="G774" s="5" t="str">
        <f>CASOPOInvCL!I774</f>
        <v>Wilka Nuñez</v>
      </c>
      <c r="H774" s="31">
        <f>CASOPOInvCL!U774</f>
        <v>7</v>
      </c>
      <c r="I774" s="31">
        <f>CASOPOInvCL!V774</f>
        <v>2025</v>
      </c>
      <c r="J774" s="5" t="str">
        <f>CASOPOInvCL!AB774</f>
        <v>INV13219</v>
      </c>
      <c r="K774" s="31">
        <f>CASOPOInvCL!W774</f>
        <v>8</v>
      </c>
      <c r="L774" s="31">
        <f>CASOPOInvCL!X774</f>
        <v>2025</v>
      </c>
      <c r="M774">
        <v>2503</v>
      </c>
      <c r="N774" s="5" t="str">
        <f>CASOPOInvCL!AF774</f>
        <v>Hyperflo</v>
      </c>
      <c r="O774" s="16" t="str">
        <f>CASOPOInvCL!AG774</f>
        <v>CAD</v>
      </c>
      <c r="P774" s="16">
        <f>CASOPOInvCL!AH774</f>
        <v>810.36</v>
      </c>
      <c r="Q774" s="16">
        <f>CASOPOInvCL!AI774</f>
        <v>591.20451106073517</v>
      </c>
      <c r="R774" s="32" t="str">
        <f>CASOPOInvCL!AU774</f>
        <v>Yes</v>
      </c>
      <c r="S774" s="16">
        <f>CASOPOInvCL!AV774</f>
        <v>0</v>
      </c>
      <c r="T774" s="16">
        <f>CASOPOInvCL!AW774</f>
        <v>591.20451106073517</v>
      </c>
      <c r="V774" t="s">
        <v>5800</v>
      </c>
      <c r="Y774" s="29" t="str">
        <f>IFERROR(HLOOKUP(U774,List!$D$2:$H$6,2,FALSE),"")</f>
        <v/>
      </c>
      <c r="Z774" s="29">
        <f>IFERROR(HLOOKUP(V774,List!$D$2:$H$6,3,FALSE),"")</f>
        <v>5.0000000000000001E-3</v>
      </c>
      <c r="AA774" s="29" t="str">
        <f>IFERROR(HLOOKUP(W774,List!$D$2:$H$6,4,FALSE),"")</f>
        <v/>
      </c>
      <c r="AB774" s="29" t="str">
        <f>IFERROR(HLOOKUP(X774,List!$D$2:$H$6,5,FALSE),"")</f>
        <v/>
      </c>
      <c r="AC774" s="12" t="str">
        <f t="shared" si="209"/>
        <v/>
      </c>
      <c r="AD774" s="12">
        <f t="shared" si="210"/>
        <v>2.9560225553036759</v>
      </c>
      <c r="AE774" s="12" t="str">
        <f t="shared" si="211"/>
        <v/>
      </c>
      <c r="AF774" s="12" t="str">
        <f t="shared" si="212"/>
        <v/>
      </c>
      <c r="AG774" t="str">
        <f>VLOOKUP(J774,'Receivable Invoice Detail'!$A$1:F3786,6,FALSE)</f>
        <v>[AC-98-432-037-001] Bearing Cylinder Strap (Set of 2), 8x6/10x8 SRL-C, Cast Iron</v>
      </c>
      <c r="AH774" s="12">
        <f t="shared" si="217"/>
        <v>2.9560225553036759</v>
      </c>
      <c r="AJ774">
        <v>2503</v>
      </c>
      <c r="AM774" s="12" t="str">
        <f t="shared" si="213"/>
        <v/>
      </c>
      <c r="AN774" s="12">
        <f t="shared" si="214"/>
        <v>0</v>
      </c>
      <c r="AO774" s="12" t="str">
        <f t="shared" si="215"/>
        <v/>
      </c>
      <c r="AP774" s="12" t="str">
        <f t="shared" si="216"/>
        <v/>
      </c>
      <c r="AQ774" s="64">
        <f>M774</f>
        <v>2503</v>
      </c>
      <c r="AR774" t="s">
        <v>5931</v>
      </c>
      <c r="AS774" s="12">
        <f t="shared" si="218"/>
        <v>0</v>
      </c>
      <c r="AT774" s="16" t="str">
        <f t="shared" si="201"/>
        <v>Yes</v>
      </c>
    </row>
    <row r="775" spans="1:46" hidden="1" x14ac:dyDescent="0.25">
      <c r="A775" s="41">
        <f>CASOPOInvCL!T775</f>
        <v>1</v>
      </c>
      <c r="B775" t="str">
        <f>CASOPOInvCL!Z775</f>
        <v>SO17551</v>
      </c>
      <c r="D775" t="s">
        <v>5925</v>
      </c>
      <c r="G775" s="5" t="str">
        <f>CASOPOInvCL!I775</f>
        <v>Ian Trottier</v>
      </c>
      <c r="H775" s="31">
        <f>CASOPOInvCL!U775</f>
        <v>7</v>
      </c>
      <c r="I775" s="31">
        <f>CASOPOInvCL!V775</f>
        <v>2025</v>
      </c>
      <c r="J775" s="5" t="str">
        <f>CASOPOInvCL!AB775</f>
        <v>INV13212</v>
      </c>
      <c r="K775" s="31">
        <f>CASOPOInvCL!W775</f>
        <v>8</v>
      </c>
      <c r="L775" s="31">
        <f>CASOPOInvCL!X775</f>
        <v>2025</v>
      </c>
      <c r="M775">
        <v>2503</v>
      </c>
      <c r="N775" s="5" t="str">
        <f>CASOPOInvCL!AF775</f>
        <v>Les Pompes du St-Laurent Inc.</v>
      </c>
      <c r="O775" s="16" t="str">
        <f>CASOPOInvCL!AG775</f>
        <v>CAD</v>
      </c>
      <c r="P775" s="16">
        <f>CASOPOInvCL!AH775</f>
        <v>1557.64</v>
      </c>
      <c r="Q775" s="16">
        <f>CASOPOInvCL!AI775</f>
        <v>1137.8349587120367</v>
      </c>
      <c r="R775" s="32" t="str">
        <f>CASOPOInvCL!AU775</f>
        <v>Yes</v>
      </c>
      <c r="S775" s="16">
        <f>CASOPOInvCL!AV775</f>
        <v>0</v>
      </c>
      <c r="T775" s="16">
        <f>CASOPOInvCL!AW775</f>
        <v>1137.8349587120367</v>
      </c>
      <c r="V775" t="s">
        <v>5800</v>
      </c>
      <c r="Y775" s="29" t="str">
        <f>IFERROR(HLOOKUP(U775,List!$D$2:$H$6,2,FALSE),"")</f>
        <v/>
      </c>
      <c r="Z775" s="29">
        <f>IFERROR(HLOOKUP(V775,List!$D$2:$H$6,3,FALSE),"")</f>
        <v>5.0000000000000001E-3</v>
      </c>
      <c r="AA775" s="29" t="str">
        <f>IFERROR(HLOOKUP(W775,List!$D$2:$H$6,4,FALSE),"")</f>
        <v/>
      </c>
      <c r="AB775" s="29" t="str">
        <f>IFERROR(HLOOKUP(X775,List!$D$2:$H$6,5,FALSE),"")</f>
        <v/>
      </c>
      <c r="AC775" s="12" t="str">
        <f t="shared" si="209"/>
        <v/>
      </c>
      <c r="AD775" s="12">
        <f t="shared" si="210"/>
        <v>5.6891747935601833</v>
      </c>
      <c r="AE775" s="12" t="str">
        <f t="shared" si="211"/>
        <v/>
      </c>
      <c r="AF775" s="12" t="str">
        <f t="shared" si="212"/>
        <v/>
      </c>
      <c r="AG775" t="str">
        <f>VLOOKUP(J775,'Receivable Invoice Detail'!$A$1:F3787,6,FALSE)</f>
        <v>[DU-DY55718A-CI] Bearing Housing, Durco Mark 3 Group 2, Cast Iron</v>
      </c>
      <c r="AM775" s="12" t="str">
        <f t="shared" si="213"/>
        <v/>
      </c>
      <c r="AN775" s="12">
        <f t="shared" si="214"/>
        <v>5.6891747935601833</v>
      </c>
      <c r="AO775" s="12" t="str">
        <f t="shared" si="215"/>
        <v/>
      </c>
      <c r="AP775" s="12" t="str">
        <f t="shared" si="216"/>
        <v/>
      </c>
      <c r="AQ775" s="64">
        <v>2503</v>
      </c>
      <c r="AR775" t="s">
        <v>5932</v>
      </c>
      <c r="AS775" s="12">
        <f t="shared" si="218"/>
        <v>0</v>
      </c>
      <c r="AT775" s="16" t="str">
        <f t="shared" si="201"/>
        <v>Yes</v>
      </c>
    </row>
    <row r="776" spans="1:46" hidden="1" x14ac:dyDescent="0.25">
      <c r="A776" s="41">
        <f>CASOPOInvCL!T776</f>
        <v>1</v>
      </c>
      <c r="B776" t="str">
        <f>CASOPOInvCL!Z776</f>
        <v>SO17552</v>
      </c>
      <c r="D776" t="s">
        <v>5925</v>
      </c>
      <c r="G776" s="5" t="str">
        <f>CASOPOInvCL!I776</f>
        <v>Ian Trottier</v>
      </c>
      <c r="H776" s="31">
        <f>CASOPOInvCL!U776</f>
        <v>7</v>
      </c>
      <c r="I776" s="31">
        <f>CASOPOInvCL!V776</f>
        <v>2025</v>
      </c>
      <c r="J776" s="5" t="str">
        <f>CASOPOInvCL!AB776</f>
        <v>INV13277</v>
      </c>
      <c r="K776" s="31">
        <f>CASOPOInvCL!W776</f>
        <v>9</v>
      </c>
      <c r="L776" s="31">
        <f>CASOPOInvCL!X776</f>
        <v>2025</v>
      </c>
      <c r="M776">
        <v>2503</v>
      </c>
      <c r="N776" s="5" t="str">
        <f>CASOPOInvCL!AF776</f>
        <v>Alamos Gold Inc, Alamos Gold Inc Island Gold Division</v>
      </c>
      <c r="O776" s="16" t="str">
        <f>CASOPOInvCL!AG776</f>
        <v>CAD</v>
      </c>
      <c r="P776" s="16">
        <f>CASOPOInvCL!AH776</f>
        <v>1363.36</v>
      </c>
      <c r="Q776" s="16">
        <f>CASOPOInvCL!AI776</f>
        <v>995.91604562648774</v>
      </c>
      <c r="R776" s="32" t="str">
        <f>CASOPOInvCL!AU776</f>
        <v>Yes</v>
      </c>
      <c r="S776" s="16">
        <f>CASOPOInvCL!AV776</f>
        <v>0</v>
      </c>
      <c r="T776" s="16">
        <f>CASOPOInvCL!AW776</f>
        <v>995.91604562648774</v>
      </c>
      <c r="V776" t="s">
        <v>5800</v>
      </c>
      <c r="Y776" s="29" t="str">
        <f>IFERROR(HLOOKUP(U776,List!$D$2:$H$6,2,FALSE),"")</f>
        <v/>
      </c>
      <c r="Z776" s="29">
        <f>IFERROR(HLOOKUP(V776,List!$D$2:$H$6,3,FALSE),"")</f>
        <v>5.0000000000000001E-3</v>
      </c>
      <c r="AA776" s="29" t="str">
        <f>IFERROR(HLOOKUP(W776,List!$D$2:$H$6,4,FALSE),"")</f>
        <v/>
      </c>
      <c r="AB776" s="29" t="str">
        <f>IFERROR(HLOOKUP(X776,List!$D$2:$H$6,5,FALSE),"")</f>
        <v/>
      </c>
      <c r="AC776" s="12" t="str">
        <f t="shared" si="209"/>
        <v/>
      </c>
      <c r="AD776" s="12">
        <f t="shared" si="210"/>
        <v>4.9795802281324386</v>
      </c>
      <c r="AE776" s="12" t="str">
        <f t="shared" si="211"/>
        <v/>
      </c>
      <c r="AF776" s="12" t="str">
        <f t="shared" si="212"/>
        <v/>
      </c>
      <c r="AG776" t="str">
        <f>VLOOKUP(J776,'Receivable Invoice Detail'!$A$1:F3788,6,FALSE)</f>
        <v>[AC-52-118-681-804] Mechanical Seal, CSO, Type-9T, Carbon vs' Ceramic/Viton, O-Ring seat</v>
      </c>
      <c r="AM776" s="12" t="str">
        <f t="shared" si="213"/>
        <v/>
      </c>
      <c r="AN776" s="12">
        <f t="shared" si="214"/>
        <v>4.9795802281324386</v>
      </c>
      <c r="AO776" s="12" t="str">
        <f t="shared" si="215"/>
        <v/>
      </c>
      <c r="AP776" s="12" t="str">
        <f t="shared" si="216"/>
        <v/>
      </c>
      <c r="AQ776" s="64">
        <v>2503</v>
      </c>
      <c r="AR776" t="s">
        <v>5932</v>
      </c>
      <c r="AS776" s="12">
        <f t="shared" si="218"/>
        <v>8.8680676659110276</v>
      </c>
      <c r="AT776" s="16" t="str">
        <f t="shared" si="201"/>
        <v>Yes</v>
      </c>
    </row>
    <row r="777" spans="1:46" hidden="1" x14ac:dyDescent="0.25">
      <c r="A777" s="41">
        <f>CASOPOInvCL!T777</f>
        <v>1</v>
      </c>
      <c r="B777" t="str">
        <f>CASOPOInvCL!Z777</f>
        <v>SO17553</v>
      </c>
      <c r="D777" t="s">
        <v>5851</v>
      </c>
      <c r="G777" s="5" t="str">
        <f>CASOPOInvCL!I777</f>
        <v>Alexis Gil Lamadrid</v>
      </c>
      <c r="H777" s="31">
        <f>CASOPOInvCL!U777</f>
        <v>7</v>
      </c>
      <c r="I777" s="31">
        <f>CASOPOInvCL!V777</f>
        <v>2025</v>
      </c>
      <c r="J777" s="5" t="str">
        <f>CASOPOInvCL!AB777</f>
        <v>INV13237</v>
      </c>
      <c r="K777" s="31">
        <f>CASOPOInvCL!W777</f>
        <v>9</v>
      </c>
      <c r="L777" s="31">
        <f>CASOPOInvCL!X777</f>
        <v>2025</v>
      </c>
      <c r="M777">
        <v>2503</v>
      </c>
      <c r="N777" s="5" t="str">
        <f>CASOPOInvCL!AF777</f>
        <v>Manufacture Sling-Choker (Val-d’Or) Ltée</v>
      </c>
      <c r="O777" s="16" t="str">
        <f>CASOPOInvCL!AG777</f>
        <v>CAD</v>
      </c>
      <c r="P777" s="16">
        <f>CASOPOInvCL!AH777</f>
        <v>1079.28</v>
      </c>
      <c r="Q777" s="16">
        <f>CASOPOInvCL!AI777</f>
        <v>786.94376070323199</v>
      </c>
      <c r="R777" s="32" t="str">
        <f>CASOPOInvCL!AU777</f>
        <v>Yes</v>
      </c>
      <c r="S777" s="16">
        <f>CASOPOInvCL!AV777</f>
        <v>0</v>
      </c>
      <c r="T777" s="16">
        <f>CASOPOInvCL!AW777</f>
        <v>786.94376070323199</v>
      </c>
      <c r="V777" t="s">
        <v>5800</v>
      </c>
      <c r="Y777" s="29" t="str">
        <f>IFERROR(HLOOKUP(U777,List!$D$2:$H$6,2,FALSE),"")</f>
        <v/>
      </c>
      <c r="Z777" s="29">
        <f>IFERROR(HLOOKUP(V777,List!$D$2:$H$6,3,FALSE),"")</f>
        <v>5.0000000000000001E-3</v>
      </c>
      <c r="AA777" s="29" t="str">
        <f>IFERROR(HLOOKUP(W777,List!$D$2:$H$6,4,FALSE),"")</f>
        <v/>
      </c>
      <c r="AB777" s="29" t="str">
        <f>IFERROR(HLOOKUP(X777,List!$D$2:$H$6,5,FALSE),"")</f>
        <v/>
      </c>
      <c r="AC777" s="12" t="str">
        <f t="shared" si="209"/>
        <v/>
      </c>
      <c r="AD777" s="12">
        <f t="shared" si="210"/>
        <v>3.93471880351616</v>
      </c>
      <c r="AE777" s="12" t="str">
        <f t="shared" si="211"/>
        <v/>
      </c>
      <c r="AF777" s="12" t="str">
        <f t="shared" si="212"/>
        <v/>
      </c>
      <c r="AG777" t="str">
        <f>VLOOKUP(J777,'Receivable Invoice Detail'!$A$1:F3789,6,FALSE)</f>
        <v>[AC-98-330-286-501] Impeller (Open), 3x3-10 SRL, Natural Rubber</v>
      </c>
      <c r="AJ777">
        <v>2503</v>
      </c>
      <c r="AM777" s="12" t="str">
        <f t="shared" si="213"/>
        <v/>
      </c>
      <c r="AN777" s="12">
        <f t="shared" si="214"/>
        <v>0</v>
      </c>
      <c r="AO777" s="12" t="str">
        <f t="shared" si="215"/>
        <v/>
      </c>
      <c r="AP777" s="12" t="str">
        <f t="shared" si="216"/>
        <v/>
      </c>
      <c r="AQ777" s="64">
        <f>M777</f>
        <v>2503</v>
      </c>
      <c r="AR777" t="s">
        <v>5931</v>
      </c>
      <c r="AS777" s="12">
        <f t="shared" si="218"/>
        <v>17.067524380680549</v>
      </c>
      <c r="AT777" s="16" t="str">
        <f t="shared" si="201"/>
        <v>Yes</v>
      </c>
    </row>
    <row r="778" spans="1:46" hidden="1" x14ac:dyDescent="0.25">
      <c r="A778" s="41">
        <f>CASOPOInvCL!T778</f>
        <v>1</v>
      </c>
      <c r="B778" t="str">
        <f>CASOPOInvCL!Z778</f>
        <v>SO17554</v>
      </c>
      <c r="G778" s="5" t="str">
        <f>CASOPOInvCL!I778</f>
        <v>Amanda Qiao</v>
      </c>
      <c r="H778" s="31">
        <f>CASOPOInvCL!U778</f>
        <v>7</v>
      </c>
      <c r="I778" s="31">
        <f>CASOPOInvCL!V778</f>
        <v>2025</v>
      </c>
      <c r="J778" s="5" t="str">
        <f>CASOPOInvCL!AB778</f>
        <v>INV13222</v>
      </c>
      <c r="K778" s="31">
        <f>CASOPOInvCL!W778</f>
        <v>9</v>
      </c>
      <c r="L778" s="31">
        <f>CASOPOInvCL!X778</f>
        <v>2025</v>
      </c>
      <c r="M778" s="31"/>
      <c r="N778" s="5" t="str">
        <f>CASOPOInvCL!AF778</f>
        <v>Mill-Right Mine Services Inc.</v>
      </c>
      <c r="O778" s="16" t="str">
        <f>CASOPOInvCL!AG778</f>
        <v>USD</v>
      </c>
      <c r="P778" s="16">
        <f>CASOPOInvCL!AH778</f>
        <v>2724.7250700423742</v>
      </c>
      <c r="Q778" s="16">
        <f>CASOPOInvCL!AI778</f>
        <v>1984.85</v>
      </c>
      <c r="R778" s="32" t="str">
        <f>CASOPOInvCL!AU778</f>
        <v>Yes</v>
      </c>
      <c r="S778" s="16">
        <f>CASOPOInvCL!AV778</f>
        <v>168</v>
      </c>
      <c r="T778" s="16">
        <f>CASOPOInvCL!AW778</f>
        <v>1816.85</v>
      </c>
      <c r="Y778" s="29" t="str">
        <f>IFERROR(HLOOKUP(U778,List!$D$2:$H$6,2,FALSE),"")</f>
        <v/>
      </c>
      <c r="Z778" s="29" t="str">
        <f>IFERROR(HLOOKUP(V778,List!$D$2:$H$6,3,FALSE),"")</f>
        <v/>
      </c>
      <c r="AA778" s="29" t="str">
        <f>IFERROR(HLOOKUP(W778,List!$D$2:$H$6,4,FALSE),"")</f>
        <v/>
      </c>
      <c r="AB778" s="29" t="str">
        <f>IFERROR(HLOOKUP(X778,List!$D$2:$H$6,5,FALSE),"")</f>
        <v/>
      </c>
      <c r="AC778" s="12" t="str">
        <f t="shared" si="209"/>
        <v/>
      </c>
      <c r="AD778" s="12" t="str">
        <f t="shared" si="210"/>
        <v/>
      </c>
      <c r="AE778" s="12" t="str">
        <f t="shared" si="211"/>
        <v/>
      </c>
      <c r="AF778" s="12" t="str">
        <f t="shared" si="212"/>
        <v/>
      </c>
      <c r="AG778" t="str">
        <f>VLOOKUP(J778,'Receivable Invoice Detail'!$A$1:F3790,6,FALSE)</f>
        <v>[FS58979M4] Single Cartridge Mechanical Seal, 1 7/8", VBRB3, Big Bore, Carbon vs Silicon Carbide, TFEP, A276 Bellows, 316SS</v>
      </c>
      <c r="AM778" s="12" t="str">
        <f t="shared" si="213"/>
        <v/>
      </c>
      <c r="AN778" s="12" t="str">
        <f t="shared" si="214"/>
        <v/>
      </c>
      <c r="AO778" s="12" t="str">
        <f t="shared" si="215"/>
        <v/>
      </c>
      <c r="AP778" s="12" t="str">
        <f t="shared" si="216"/>
        <v/>
      </c>
      <c r="AQ778" s="12"/>
      <c r="AS778" s="12">
        <f t="shared" si="218"/>
        <v>14.938740684397315</v>
      </c>
      <c r="AT778" s="16" t="str">
        <f t="shared" ref="AT778:AT797" si="219">R778</f>
        <v>Yes</v>
      </c>
    </row>
    <row r="779" spans="1:46" hidden="1" x14ac:dyDescent="0.25">
      <c r="A779" s="41">
        <f>CASOPOInvCL!T779</f>
        <v>1</v>
      </c>
      <c r="B779" t="str">
        <f>CASOPOInvCL!Z779</f>
        <v>SO17555</v>
      </c>
      <c r="D779" t="s">
        <v>5938</v>
      </c>
      <c r="G779" s="5" t="str">
        <f>CASOPOInvCL!I779</f>
        <v>Marlen Martinez</v>
      </c>
      <c r="H779" s="31">
        <f>CASOPOInvCL!U779</f>
        <v>7</v>
      </c>
      <c r="I779" s="31">
        <f>CASOPOInvCL!V779</f>
        <v>2025</v>
      </c>
      <c r="J779" s="5" t="str">
        <f>CASOPOInvCL!AB779</f>
        <v>INV13242</v>
      </c>
      <c r="K779" s="31">
        <f>CASOPOInvCL!W779</f>
        <v>10</v>
      </c>
      <c r="L779" s="31">
        <f>CASOPOInvCL!X779</f>
        <v>2025</v>
      </c>
      <c r="M779">
        <v>2504</v>
      </c>
      <c r="N779" s="5" t="str">
        <f>CASOPOInvCL!AF779</f>
        <v>Covia Corp - Junction City</v>
      </c>
      <c r="O779" s="16" t="str">
        <f>CASOPOInvCL!AG779</f>
        <v>USD</v>
      </c>
      <c r="P779" s="16">
        <f>CASOPOInvCL!AH779</f>
        <v>8294.6309971653172</v>
      </c>
      <c r="Q779" s="16">
        <f>CASOPOInvCL!AI779</f>
        <v>6094.44</v>
      </c>
      <c r="R779" s="32" t="str">
        <f>CASOPOInvCL!AU779</f>
        <v>Yes</v>
      </c>
      <c r="S779" s="16">
        <f>CASOPOInvCL!AV779</f>
        <v>498.44</v>
      </c>
      <c r="T779" s="16">
        <f>CASOPOInvCL!AW779</f>
        <v>5596</v>
      </c>
      <c r="Y779" s="29" t="str">
        <f>IFERROR(HLOOKUP(U779,List!$D$2:$H$6,2,FALSE),"")</f>
        <v/>
      </c>
      <c r="Z779" s="29" t="str">
        <f>IFERROR(HLOOKUP(V779,List!$D$2:$H$6,3,FALSE),"")</f>
        <v/>
      </c>
      <c r="AA779" s="29" t="str">
        <f>IFERROR(HLOOKUP(W779,List!$D$2:$H$6,4,FALSE),"")</f>
        <v/>
      </c>
      <c r="AB779" s="29" t="str">
        <f>IFERROR(HLOOKUP(X779,List!$D$2:$H$6,5,FALSE),"")</f>
        <v/>
      </c>
      <c r="AC779" s="12" t="str">
        <f t="shared" si="209"/>
        <v/>
      </c>
      <c r="AD779" s="12" t="str">
        <f t="shared" si="210"/>
        <v/>
      </c>
      <c r="AE779" s="12" t="str">
        <f t="shared" si="211"/>
        <v/>
      </c>
      <c r="AF779" s="12" t="str">
        <f t="shared" si="212"/>
        <v/>
      </c>
      <c r="AG779" t="str">
        <f>VLOOKUP(J779,'Receivable Invoice Detail'!$A$1:F3791,6,FALSE)</f>
        <v>[W-RSL30147/A05] Impeller, 300 RSL, High Chrome, 5-Vane</v>
      </c>
      <c r="AM779" s="12" t="str">
        <f t="shared" si="213"/>
        <v/>
      </c>
      <c r="AN779" s="12" t="str">
        <f t="shared" si="214"/>
        <v/>
      </c>
      <c r="AO779" s="12" t="str">
        <f t="shared" si="215"/>
        <v/>
      </c>
      <c r="AP779" s="12" t="str">
        <f t="shared" si="216"/>
        <v/>
      </c>
      <c r="AQ779" s="64">
        <f>M779</f>
        <v>2504</v>
      </c>
      <c r="AR779" t="s">
        <v>5939</v>
      </c>
      <c r="AS779" s="12">
        <f t="shared" si="218"/>
        <v>11.80415641054848</v>
      </c>
      <c r="AT779" s="16" t="str">
        <f t="shared" si="219"/>
        <v>Yes</v>
      </c>
    </row>
    <row r="780" spans="1:46" hidden="1" x14ac:dyDescent="0.25">
      <c r="A780" s="41">
        <f>CASOPOInvCL!T780</f>
        <v>1</v>
      </c>
      <c r="B780" t="str">
        <f>CASOPOInvCL!Z780</f>
        <v>SO17558</v>
      </c>
      <c r="G780" s="5" t="str">
        <f>CASOPOInvCL!I780</f>
        <v>Amanda Qiao</v>
      </c>
      <c r="H780" s="31">
        <f>CASOPOInvCL!U780</f>
        <v>7</v>
      </c>
      <c r="I780" s="31">
        <f>CASOPOInvCL!V780</f>
        <v>2025</v>
      </c>
      <c r="J780" s="5" t="str">
        <f>CASOPOInvCL!AB780</f>
        <v>INV13674</v>
      </c>
      <c r="K780" s="31" t="str">
        <f>CASOPOInvCL!W780</f>
        <v/>
      </c>
      <c r="L780" s="31" t="str">
        <f>CASOPOInvCL!X780</f>
        <v/>
      </c>
      <c r="M780" s="31"/>
      <c r="N780" s="5" t="str">
        <f>CASOPOInvCL!AF780</f>
        <v>Adriatic Metals plc - Eastern Mining d.o.o.</v>
      </c>
      <c r="O780" s="16" t="str">
        <f>CASOPOInvCL!AG780</f>
        <v>USD</v>
      </c>
      <c r="P780" s="16">
        <f>CASOPOInvCL!AH780</f>
        <v>49612.772467809154</v>
      </c>
      <c r="Q780" s="16">
        <f>CASOPOInvCL!AI780</f>
        <v>36046</v>
      </c>
      <c r="R780" s="32" t="str">
        <f>CASOPOInvCL!AU780</f>
        <v/>
      </c>
      <c r="S780" s="16">
        <f>CASOPOInvCL!AV780</f>
        <v>0</v>
      </c>
      <c r="T780" s="16">
        <f>CASOPOInvCL!AW780</f>
        <v>0</v>
      </c>
      <c r="Y780" s="29" t="str">
        <f>IFERROR(HLOOKUP(U780,List!$D$2:$H$6,2,FALSE),"")</f>
        <v/>
      </c>
      <c r="Z780" s="29" t="str">
        <f>IFERROR(HLOOKUP(V780,List!$D$2:$H$6,3,FALSE),"")</f>
        <v/>
      </c>
      <c r="AA780" s="29" t="str">
        <f>IFERROR(HLOOKUP(W780,List!$D$2:$H$6,4,FALSE),"")</f>
        <v/>
      </c>
      <c r="AB780" s="29" t="str">
        <f>IFERROR(HLOOKUP(X780,List!$D$2:$H$6,5,FALSE),"")</f>
        <v/>
      </c>
      <c r="AC780" s="12" t="str">
        <f t="shared" si="209"/>
        <v/>
      </c>
      <c r="AD780" s="12" t="str">
        <f t="shared" si="210"/>
        <v/>
      </c>
      <c r="AE780" s="12" t="str">
        <f t="shared" si="211"/>
        <v/>
      </c>
      <c r="AF780" s="12" t="str">
        <f t="shared" si="212"/>
        <v/>
      </c>
      <c r="AG780" t="e">
        <f>VLOOKUP(J780,'Receivable Invoice Detail'!$A$1:F3792,6,FALSE)</f>
        <v>#N/A</v>
      </c>
      <c r="AM780" s="12" t="str">
        <f t="shared" si="213"/>
        <v/>
      </c>
      <c r="AN780" s="12" t="str">
        <f t="shared" si="214"/>
        <v/>
      </c>
      <c r="AO780" s="12" t="str">
        <f t="shared" si="215"/>
        <v/>
      </c>
      <c r="AP780" s="12" t="str">
        <f t="shared" si="216"/>
        <v/>
      </c>
      <c r="AQ780" s="12"/>
      <c r="AS780" s="12">
        <f t="shared" si="218"/>
        <v>27.252749999999999</v>
      </c>
      <c r="AT780" s="16" t="str">
        <f t="shared" si="219"/>
        <v/>
      </c>
    </row>
    <row r="781" spans="1:46" hidden="1" x14ac:dyDescent="0.25">
      <c r="A781" s="41">
        <f>CASOPOInvCL!T781</f>
        <v>1</v>
      </c>
      <c r="B781" t="str">
        <f>CASOPOInvCL!Z781</f>
        <v>SO17560</v>
      </c>
      <c r="D781" t="s">
        <v>5851</v>
      </c>
      <c r="G781" s="5" t="str">
        <f>CASOPOInvCL!I781</f>
        <v>Ian Trottier</v>
      </c>
      <c r="H781" s="31">
        <f>CASOPOInvCL!U781</f>
        <v>7</v>
      </c>
      <c r="I781" s="31">
        <f>CASOPOInvCL!V781</f>
        <v>2025</v>
      </c>
      <c r="J781" s="5" t="str">
        <f>CASOPOInvCL!AB781</f>
        <v>INV13296</v>
      </c>
      <c r="K781" s="31">
        <f>CASOPOInvCL!W781</f>
        <v>10</v>
      </c>
      <c r="L781" s="31">
        <f>CASOPOInvCL!X781</f>
        <v>2025</v>
      </c>
      <c r="M781">
        <v>2504</v>
      </c>
      <c r="N781" s="5" t="str">
        <f>CASOPOInvCL!AF781</f>
        <v>Wajax Limited - Noranda, Wajax Limited - Noranda</v>
      </c>
      <c r="O781" s="16" t="str">
        <f>CASOPOInvCL!AG781</f>
        <v>CAD</v>
      </c>
      <c r="P781" s="16">
        <f>CASOPOInvCL!AH781</f>
        <v>2582.38</v>
      </c>
      <c r="Q781" s="16">
        <f>CASOPOInvCL!AI781</f>
        <v>1876.2198693974844</v>
      </c>
      <c r="R781" s="32" t="str">
        <f>CASOPOInvCL!AU781</f>
        <v>Yes</v>
      </c>
      <c r="S781" s="16">
        <f>CASOPOInvCL!AV781</f>
        <v>0</v>
      </c>
      <c r="T781" s="16">
        <f>CASOPOInvCL!AW781</f>
        <v>1876.2198693974844</v>
      </c>
      <c r="V781" t="s">
        <v>5800</v>
      </c>
      <c r="Y781" s="29" t="str">
        <f>IFERROR(HLOOKUP(U781,List!$D$2:$H$6,2,FALSE),"")</f>
        <v/>
      </c>
      <c r="Z781" s="29">
        <f>IFERROR(HLOOKUP(V781,List!$D$2:$H$6,3,FALSE),"")</f>
        <v>5.0000000000000001E-3</v>
      </c>
      <c r="AA781" s="29" t="str">
        <f>IFERROR(HLOOKUP(W781,List!$D$2:$H$6,4,FALSE),"")</f>
        <v/>
      </c>
      <c r="AB781" s="29" t="str">
        <f>IFERROR(HLOOKUP(X781,List!$D$2:$H$6,5,FALSE),"")</f>
        <v/>
      </c>
      <c r="AC781" s="12" t="str">
        <f t="shared" si="209"/>
        <v/>
      </c>
      <c r="AD781" s="12">
        <f t="shared" si="210"/>
        <v>9.3810993469874226</v>
      </c>
      <c r="AE781" s="12" t="str">
        <f t="shared" si="211"/>
        <v/>
      </c>
      <c r="AF781" s="12" t="str">
        <f t="shared" si="212"/>
        <v/>
      </c>
      <c r="AG781" t="str">
        <f>VLOOKUP(J781,'Receivable Invoice Detail'!$A$1:F3793,6,FALSE)</f>
        <v>[AC-98-231-116-501] Gland Side Liner, 5x4-14 SRL-C, Natural Rubber</v>
      </c>
      <c r="AM781" s="12" t="str">
        <f t="shared" si="213"/>
        <v/>
      </c>
      <c r="AN781" s="12">
        <f t="shared" si="214"/>
        <v>9.3810993469874226</v>
      </c>
      <c r="AO781" s="12" t="str">
        <f t="shared" si="215"/>
        <v/>
      </c>
      <c r="AP781" s="12" t="str">
        <f t="shared" si="216"/>
        <v/>
      </c>
      <c r="AQ781" s="64">
        <f>M781</f>
        <v>2504</v>
      </c>
      <c r="AR781" t="s">
        <v>5931</v>
      </c>
      <c r="AS781" s="12">
        <f t="shared" si="218"/>
        <v>83.94</v>
      </c>
      <c r="AT781" s="16" t="str">
        <f t="shared" si="219"/>
        <v>Yes</v>
      </c>
    </row>
    <row r="782" spans="1:46" hidden="1" x14ac:dyDescent="0.25">
      <c r="A782" s="41">
        <f>CASOPOInvCL!T782</f>
        <v>1</v>
      </c>
      <c r="B782" t="str">
        <f>CASOPOInvCL!Z782</f>
        <v>SO17562</v>
      </c>
      <c r="G782" s="5" t="str">
        <f>CASOPOInvCL!I782</f>
        <v>Alexis Gil Lamadrid</v>
      </c>
      <c r="H782" s="31">
        <f>CASOPOInvCL!U782</f>
        <v>7</v>
      </c>
      <c r="I782" s="31">
        <f>CASOPOInvCL!V782</f>
        <v>2025</v>
      </c>
      <c r="J782" s="5" t="str">
        <f>CASOPOInvCL!AB782</f>
        <v>INV13274</v>
      </c>
      <c r="K782" s="31" t="str">
        <f>CASOPOInvCL!W782</f>
        <v/>
      </c>
      <c r="L782" s="31" t="str">
        <f>CASOPOInvCL!X782</f>
        <v/>
      </c>
      <c r="M782" s="31"/>
      <c r="N782" s="5" t="str">
        <f>CASOPOInvCL!AF782</f>
        <v>Motion Industries Inc. (U.S.) - Clewiston</v>
      </c>
      <c r="O782" s="16" t="str">
        <f>CASOPOInvCL!AG782</f>
        <v>USD</v>
      </c>
      <c r="P782" s="16">
        <f>CASOPOInvCL!AH782</f>
        <v>8131.744589596985</v>
      </c>
      <c r="Q782" s="16">
        <f>CASOPOInvCL!AI782</f>
        <v>5974.76</v>
      </c>
      <c r="R782" s="32" t="str">
        <f>CASOPOInvCL!AU782</f>
        <v/>
      </c>
      <c r="S782" s="16">
        <f>CASOPOInvCL!AV782</f>
        <v>0</v>
      </c>
      <c r="T782" s="16">
        <f>CASOPOInvCL!AW782</f>
        <v>0</v>
      </c>
      <c r="Y782" s="29" t="str">
        <f>IFERROR(HLOOKUP(U782,List!$D$2:$H$6,2,FALSE),"")</f>
        <v/>
      </c>
      <c r="Z782" s="29" t="str">
        <f>IFERROR(HLOOKUP(V782,List!$D$2:$H$6,3,FALSE),"")</f>
        <v/>
      </c>
      <c r="AA782" s="29" t="str">
        <f>IFERROR(HLOOKUP(W782,List!$D$2:$H$6,4,FALSE),"")</f>
        <v/>
      </c>
      <c r="AB782" s="29" t="str">
        <f>IFERROR(HLOOKUP(X782,List!$D$2:$H$6,5,FALSE),"")</f>
        <v/>
      </c>
      <c r="AC782" s="12" t="str">
        <f t="shared" si="209"/>
        <v/>
      </c>
      <c r="AD782" s="12" t="str">
        <f t="shared" si="210"/>
        <v/>
      </c>
      <c r="AE782" s="12" t="str">
        <f t="shared" si="211"/>
        <v/>
      </c>
      <c r="AF782" s="12" t="str">
        <f t="shared" si="212"/>
        <v/>
      </c>
      <c r="AG782" t="str">
        <f>VLOOKUP(J782,'Receivable Invoice Detail'!$A$1:F3794,6,FALSE)</f>
        <v>[G-0C03124A 1203] Impeller 4-Vane Open 316SS</v>
      </c>
      <c r="AM782" s="12" t="str">
        <f t="shared" si="213"/>
        <v/>
      </c>
      <c r="AN782" s="12" t="str">
        <f t="shared" si="214"/>
        <v/>
      </c>
      <c r="AO782" s="12" t="str">
        <f t="shared" si="215"/>
        <v/>
      </c>
      <c r="AP782" s="12" t="str">
        <f t="shared" si="216"/>
        <v/>
      </c>
      <c r="AQ782" s="12"/>
      <c r="AS782" s="12">
        <f t="shared" si="218"/>
        <v>0</v>
      </c>
      <c r="AT782" s="16" t="str">
        <f t="shared" si="219"/>
        <v/>
      </c>
    </row>
    <row r="783" spans="1:46" hidden="1" x14ac:dyDescent="0.25">
      <c r="A783" s="41">
        <f>CASOPOInvCL!T783</f>
        <v>1</v>
      </c>
      <c r="B783" t="str">
        <f>CASOPOInvCL!Z783</f>
        <v>SO17563</v>
      </c>
      <c r="D783" t="s">
        <v>5915</v>
      </c>
      <c r="G783" s="5" t="str">
        <f>CASOPOInvCL!I783</f>
        <v>Wilka Nuñez</v>
      </c>
      <c r="H783" s="31">
        <f>CASOPOInvCL!U783</f>
        <v>7</v>
      </c>
      <c r="I783" s="31">
        <f>CASOPOInvCL!V783</f>
        <v>2025</v>
      </c>
      <c r="J783" s="5" t="str">
        <f>CASOPOInvCL!AB783</f>
        <v>INV13263</v>
      </c>
      <c r="K783" s="31">
        <f>CASOPOInvCL!W783</f>
        <v>9</v>
      </c>
      <c r="L783" s="31">
        <f>CASOPOInvCL!X783</f>
        <v>2025</v>
      </c>
      <c r="M783">
        <v>2503</v>
      </c>
      <c r="N783" s="5" t="str">
        <f>CASOPOInvCL!AF783</f>
        <v>Motion Industries Inc. (Canada) - Prince George</v>
      </c>
      <c r="O783" s="16" t="str">
        <f>CASOPOInvCL!AG783</f>
        <v>CAD</v>
      </c>
      <c r="P783" s="16">
        <f>CASOPOInvCL!AH783</f>
        <v>2609.71</v>
      </c>
      <c r="Q783" s="16">
        <f>CASOPOInvCL!AI783</f>
        <v>1884.8636441569529</v>
      </c>
      <c r="R783" s="32" t="str">
        <f>CASOPOInvCL!AU783</f>
        <v>Yes</v>
      </c>
      <c r="S783" s="16">
        <f>CASOPOInvCL!AV783</f>
        <v>0</v>
      </c>
      <c r="T783" s="16">
        <f>CASOPOInvCL!AW783</f>
        <v>1884.8636441569529</v>
      </c>
      <c r="V783" t="s">
        <v>5800</v>
      </c>
      <c r="Y783" s="29" t="str">
        <f>IFERROR(HLOOKUP(U783,List!$D$2:$H$6,2,FALSE),"")</f>
        <v/>
      </c>
      <c r="Z783" s="29">
        <f>IFERROR(HLOOKUP(V783,List!$D$2:$H$6,3,FALSE),"")</f>
        <v>5.0000000000000001E-3</v>
      </c>
      <c r="AA783" s="29" t="str">
        <f>IFERROR(HLOOKUP(W783,List!$D$2:$H$6,4,FALSE),"")</f>
        <v/>
      </c>
      <c r="AB783" s="29" t="str">
        <f>IFERROR(HLOOKUP(X783,List!$D$2:$H$6,5,FALSE),"")</f>
        <v/>
      </c>
      <c r="AC783" s="12" t="str">
        <f t="shared" si="209"/>
        <v/>
      </c>
      <c r="AD783" s="12">
        <f t="shared" si="210"/>
        <v>9.4243182207847642</v>
      </c>
      <c r="AE783" s="12" t="str">
        <f t="shared" si="211"/>
        <v/>
      </c>
      <c r="AF783" s="12" t="str">
        <f t="shared" si="212"/>
        <v/>
      </c>
      <c r="AG783" t="str">
        <f>VLOOKUP(J783,'Receivable Invoice Detail'!$A$1:F3795,6,FALSE)</f>
        <v>[W-E4041M/A05] Frame Plate Liner Insert, 6/4 D or E-AH, High Chrome</v>
      </c>
      <c r="AJ783">
        <v>2503</v>
      </c>
      <c r="AM783" s="12" t="str">
        <f t="shared" si="213"/>
        <v/>
      </c>
      <c r="AN783" s="12">
        <f t="shared" si="214"/>
        <v>0</v>
      </c>
      <c r="AO783" s="12" t="str">
        <f t="shared" si="215"/>
        <v/>
      </c>
      <c r="AP783" s="12" t="str">
        <f t="shared" si="216"/>
        <v/>
      </c>
      <c r="AQ783" s="64">
        <f>M783</f>
        <v>2503</v>
      </c>
      <c r="AR783" t="s">
        <v>5931</v>
      </c>
      <c r="AS783" s="12">
        <f t="shared" si="218"/>
        <v>28.143298040962264</v>
      </c>
      <c r="AT783" s="16" t="str">
        <f t="shared" si="219"/>
        <v>Yes</v>
      </c>
    </row>
    <row r="784" spans="1:46" hidden="1" x14ac:dyDescent="0.25">
      <c r="A784" s="41">
        <f>CASOPOInvCL!T784</f>
        <v>2</v>
      </c>
      <c r="B784" t="str">
        <f>CASOPOInvCL!Z784</f>
        <v>SO17564</v>
      </c>
      <c r="D784" t="s">
        <v>5851</v>
      </c>
      <c r="G784" s="5" t="str">
        <f>CASOPOInvCL!I784</f>
        <v>Alexis Gil Lamadrid</v>
      </c>
      <c r="H784" s="31">
        <f>CASOPOInvCL!U784</f>
        <v>7</v>
      </c>
      <c r="I784" s="31">
        <f>CASOPOInvCL!V784</f>
        <v>2025</v>
      </c>
      <c r="J784" s="5" t="str">
        <f>CASOPOInvCL!AB784</f>
        <v>INV13262</v>
      </c>
      <c r="K784" s="31">
        <f>CASOPOInvCL!W784</f>
        <v>9</v>
      </c>
      <c r="L784" s="31">
        <f>CASOPOInvCL!X784</f>
        <v>2025</v>
      </c>
      <c r="M784">
        <v>2504</v>
      </c>
      <c r="N784" s="5" t="str">
        <f>CASOPOInvCL!AF784</f>
        <v>Motion Industries Inc. (Canada) - Prince George</v>
      </c>
      <c r="O784" s="16" t="str">
        <f>CASOPOInvCL!AG784</f>
        <v>CAD</v>
      </c>
      <c r="P784" s="16">
        <f>CASOPOInvCL!AH784</f>
        <v>15140.5</v>
      </c>
      <c r="Q784" s="16">
        <f>CASOPOInvCL!AI784</f>
        <v>11039.509681386935</v>
      </c>
      <c r="R784" s="32" t="str">
        <f>CASOPOInvCL!AU784</f>
        <v>Yes</v>
      </c>
      <c r="S784" s="16">
        <f>CASOPOInvCL!AV784</f>
        <v>0</v>
      </c>
      <c r="T784" s="16">
        <f>CASOPOInvCL!AW784</f>
        <v>11039.509681386935</v>
      </c>
      <c r="V784" t="s">
        <v>5800</v>
      </c>
      <c r="Y784" s="29" t="str">
        <f>IFERROR(HLOOKUP(U784,List!$D$2:$H$6,2,FALSE),"")</f>
        <v/>
      </c>
      <c r="Z784" s="29">
        <f>IFERROR(HLOOKUP(V784,List!$D$2:$H$6,3,FALSE),"")</f>
        <v>5.0000000000000001E-3</v>
      </c>
      <c r="AA784" s="29" t="str">
        <f>IFERROR(HLOOKUP(W784,List!$D$2:$H$6,4,FALSE),"")</f>
        <v/>
      </c>
      <c r="AB784" s="29" t="str">
        <f>IFERROR(HLOOKUP(X784,List!$D$2:$H$6,5,FALSE),"")</f>
        <v/>
      </c>
      <c r="AC784" s="12" t="str">
        <f t="shared" si="209"/>
        <v/>
      </c>
      <c r="AD784" s="12">
        <f t="shared" si="210"/>
        <v>55.197548406934679</v>
      </c>
      <c r="AE784" s="12" t="str">
        <f t="shared" si="211"/>
        <v/>
      </c>
      <c r="AF784" s="12" t="str">
        <f t="shared" si="212"/>
        <v/>
      </c>
      <c r="AG784" t="str">
        <f>VLOOKUP(J784,'Receivable Invoice Detail'!$A$1:F3796,6,FALSE)</f>
        <v>[W-E111] Premium Slurry Packing (Single Piece), 6/4 or 8/6 E, R-AH, Kevlar Fiber w/Silicon Core</v>
      </c>
      <c r="AM784" s="12" t="str">
        <f t="shared" si="213"/>
        <v/>
      </c>
      <c r="AN784" s="12">
        <f t="shared" si="214"/>
        <v>55.197548406934679</v>
      </c>
      <c r="AO784" s="12" t="str">
        <f t="shared" si="215"/>
        <v/>
      </c>
      <c r="AP784" s="12" t="str">
        <f t="shared" si="216"/>
        <v/>
      </c>
      <c r="AQ784" s="64">
        <f>M784</f>
        <v>2504</v>
      </c>
      <c r="AR784" t="s">
        <v>5931</v>
      </c>
      <c r="AS784" s="12">
        <f t="shared" si="218"/>
        <v>0</v>
      </c>
      <c r="AT784" s="16" t="str">
        <f t="shared" si="219"/>
        <v>Yes</v>
      </c>
    </row>
    <row r="785" spans="1:46" hidden="1" x14ac:dyDescent="0.25">
      <c r="A785" s="41">
        <f>CASOPOInvCL!T785</f>
        <v>2</v>
      </c>
      <c r="B785" t="str">
        <f>CASOPOInvCL!Z785</f>
        <v>SO17564</v>
      </c>
      <c r="D785" t="s">
        <v>5851</v>
      </c>
      <c r="G785" s="5">
        <f>CASOPOInvCL!I785</f>
        <v>0</v>
      </c>
      <c r="H785" s="31">
        <f>CASOPOInvCL!U785</f>
        <v>7</v>
      </c>
      <c r="I785" s="31">
        <f>CASOPOInvCL!V785</f>
        <v>2025</v>
      </c>
      <c r="J785" s="5" t="str">
        <f>CASOPOInvCL!AB785</f>
        <v>INV13495</v>
      </c>
      <c r="K785" s="31">
        <f>CASOPOInvCL!W785</f>
        <v>10</v>
      </c>
      <c r="L785" s="31">
        <f>CASOPOInvCL!X785</f>
        <v>2025</v>
      </c>
      <c r="M785">
        <v>2504</v>
      </c>
      <c r="N785" s="5" t="str">
        <f>CASOPOInvCL!AF785</f>
        <v>Motion Industries Inc. (Canada) - Prince George</v>
      </c>
      <c r="O785" s="16" t="str">
        <f>CASOPOInvCL!AG785</f>
        <v>CAD</v>
      </c>
      <c r="P785" s="16">
        <f>CASOPOInvCL!AH785</f>
        <v>0</v>
      </c>
      <c r="Q785" s="16">
        <f>CASOPOInvCL!AI785</f>
        <v>0</v>
      </c>
      <c r="R785" s="32" t="str">
        <f>CASOPOInvCL!AU785</f>
        <v/>
      </c>
      <c r="S785" s="16">
        <f>CASOPOInvCL!AV785</f>
        <v>0</v>
      </c>
      <c r="T785" s="16">
        <f>CASOPOInvCL!AW785</f>
        <v>0</v>
      </c>
      <c r="V785" t="s">
        <v>5800</v>
      </c>
      <c r="Y785" s="29" t="str">
        <f>IFERROR(HLOOKUP(U785,List!$D$2:$H$6,2,FALSE),"")</f>
        <v/>
      </c>
      <c r="Z785" s="29">
        <f>IFERROR(HLOOKUP(V785,List!$D$2:$H$6,3,FALSE),"")</f>
        <v>5.0000000000000001E-3</v>
      </c>
      <c r="AA785" s="29" t="str">
        <f>IFERROR(HLOOKUP(W785,List!$D$2:$H$6,4,FALSE),"")</f>
        <v/>
      </c>
      <c r="AB785" s="29" t="str">
        <f>IFERROR(HLOOKUP(X785,List!$D$2:$H$6,5,FALSE),"")</f>
        <v/>
      </c>
      <c r="AC785" s="12" t="str">
        <f t="shared" si="209"/>
        <v/>
      </c>
      <c r="AD785" s="12">
        <f t="shared" si="210"/>
        <v>0</v>
      </c>
      <c r="AE785" s="12" t="str">
        <f t="shared" si="211"/>
        <v/>
      </c>
      <c r="AF785" s="12" t="str">
        <f t="shared" si="212"/>
        <v/>
      </c>
      <c r="AG785" t="str">
        <f>VLOOKUP(J785,'Receivable Invoice Detail'!$A$1:F3797,6,FALSE)</f>
        <v>[W-D111] Premium Slurry Packing (Single Piece), 4/3 or 6/4 DH, Kevlar Fiber w/Silicon Core</v>
      </c>
      <c r="AM785" s="12" t="str">
        <f t="shared" si="213"/>
        <v/>
      </c>
      <c r="AN785" s="12">
        <f t="shared" si="214"/>
        <v>0</v>
      </c>
      <c r="AO785" s="12" t="str">
        <f t="shared" si="215"/>
        <v/>
      </c>
      <c r="AP785" s="12" t="str">
        <f t="shared" si="216"/>
        <v/>
      </c>
      <c r="AQ785" s="64">
        <f>M785</f>
        <v>2504</v>
      </c>
      <c r="AR785" t="s">
        <v>5931</v>
      </c>
      <c r="AS785" s="12">
        <f t="shared" si="218"/>
        <v>28.272954662354291</v>
      </c>
      <c r="AT785" s="16" t="str">
        <f t="shared" si="219"/>
        <v/>
      </c>
    </row>
    <row r="786" spans="1:46" hidden="1" x14ac:dyDescent="0.25">
      <c r="A786" s="41">
        <f>CASOPOInvCL!T786</f>
        <v>1</v>
      </c>
      <c r="B786" t="str">
        <f>CASOPOInvCL!Z786</f>
        <v>SO17565</v>
      </c>
      <c r="D786" t="s">
        <v>5851</v>
      </c>
      <c r="G786" s="5" t="str">
        <f>CASOPOInvCL!I786</f>
        <v>Alexis Gil Lamadrid</v>
      </c>
      <c r="H786" s="31">
        <f>CASOPOInvCL!U786</f>
        <v>7</v>
      </c>
      <c r="I786" s="31">
        <f>CASOPOInvCL!V786</f>
        <v>2025</v>
      </c>
      <c r="J786" s="5" t="str">
        <f>CASOPOInvCL!AB786</f>
        <v>INV13226</v>
      </c>
      <c r="K786" s="31">
        <f>CASOPOInvCL!W786</f>
        <v>10</v>
      </c>
      <c r="L786" s="31">
        <f>CASOPOInvCL!X786</f>
        <v>2025</v>
      </c>
      <c r="M786">
        <v>2504</v>
      </c>
      <c r="N786" s="5" t="str">
        <f>CASOPOInvCL!AF786</f>
        <v>Hyperflo</v>
      </c>
      <c r="O786" s="16" t="str">
        <f>CASOPOInvCL!AG786</f>
        <v>CAD</v>
      </c>
      <c r="P786" s="16">
        <f>CASOPOInvCL!AH786</f>
        <v>83.62</v>
      </c>
      <c r="Q786" s="16">
        <f>CASOPOInvCL!AI786</f>
        <v>61.005628627892143</v>
      </c>
      <c r="R786" s="32" t="str">
        <f>CASOPOInvCL!AU786</f>
        <v>Yes</v>
      </c>
      <c r="S786" s="16">
        <f>CASOPOInvCL!AV786</f>
        <v>0</v>
      </c>
      <c r="T786" s="16">
        <f>CASOPOInvCL!AW786</f>
        <v>61.005628627892143</v>
      </c>
      <c r="V786" t="s">
        <v>5800</v>
      </c>
      <c r="Y786" s="29" t="str">
        <f>IFERROR(HLOOKUP(U786,List!$D$2:$H$6,2,FALSE),"")</f>
        <v/>
      </c>
      <c r="Z786" s="29">
        <f>IFERROR(HLOOKUP(V786,List!$D$2:$H$6,3,FALSE),"")</f>
        <v>5.0000000000000001E-3</v>
      </c>
      <c r="AA786" s="29" t="str">
        <f>IFERROR(HLOOKUP(W786,List!$D$2:$H$6,4,FALSE),"")</f>
        <v/>
      </c>
      <c r="AB786" s="29" t="str">
        <f>IFERROR(HLOOKUP(X786,List!$D$2:$H$6,5,FALSE),"")</f>
        <v/>
      </c>
      <c r="AC786" s="12" t="str">
        <f t="shared" si="209"/>
        <v/>
      </c>
      <c r="AD786" s="12">
        <f t="shared" si="210"/>
        <v>0.30502814313946075</v>
      </c>
      <c r="AE786" s="12" t="str">
        <f t="shared" si="211"/>
        <v/>
      </c>
      <c r="AF786" s="12" t="str">
        <f t="shared" si="212"/>
        <v/>
      </c>
      <c r="AG786" t="str">
        <f>VLOOKUP(J786,'Receivable Invoice Detail'!$A$1:F3798,6,FALSE)</f>
        <v>[AC-98-332-013-820] Fastener Kit (Suction Side Liner), 8x8/10x10/14x12 SRL-XT</v>
      </c>
      <c r="AH786" s="12">
        <f t="shared" ref="AH786:AH787" si="220">SUM(AC786:AF786)</f>
        <v>0.30502814313946075</v>
      </c>
      <c r="AM786" s="12" t="str">
        <f t="shared" si="213"/>
        <v/>
      </c>
      <c r="AN786" s="12">
        <f t="shared" si="214"/>
        <v>0.30502814313946075</v>
      </c>
      <c r="AO786" s="12" t="str">
        <f t="shared" si="215"/>
        <v/>
      </c>
      <c r="AP786" s="12" t="str">
        <f t="shared" si="216"/>
        <v/>
      </c>
      <c r="AQ786" s="64">
        <f>M786</f>
        <v>2504</v>
      </c>
      <c r="AR786" t="s">
        <v>5931</v>
      </c>
      <c r="AS786" s="12">
        <f t="shared" si="218"/>
        <v>165.59264522080403</v>
      </c>
      <c r="AT786" s="16" t="str">
        <f t="shared" si="219"/>
        <v>Yes</v>
      </c>
    </row>
    <row r="787" spans="1:46" hidden="1" x14ac:dyDescent="0.25">
      <c r="A787" s="41">
        <f>CASOPOInvCL!T787</f>
        <v>1</v>
      </c>
      <c r="B787" t="str">
        <f>CASOPOInvCL!Z787</f>
        <v>SO17566</v>
      </c>
      <c r="D787" t="s">
        <v>5915</v>
      </c>
      <c r="G787" s="5" t="str">
        <f>CASOPOInvCL!I787</f>
        <v>Wilka Nuñez</v>
      </c>
      <c r="H787" s="31">
        <f>CASOPOInvCL!U787</f>
        <v>7</v>
      </c>
      <c r="I787" s="31">
        <f>CASOPOInvCL!V787</f>
        <v>2025</v>
      </c>
      <c r="J787" s="5" t="str">
        <f>CASOPOInvCL!AB787</f>
        <v>INV13224</v>
      </c>
      <c r="K787" s="31">
        <f>CASOPOInvCL!W787</f>
        <v>8</v>
      </c>
      <c r="L787" s="31">
        <f>CASOPOInvCL!X787</f>
        <v>2025</v>
      </c>
      <c r="M787">
        <v>2503</v>
      </c>
      <c r="N787" s="5" t="str">
        <f>CASOPOInvCL!AF787</f>
        <v>Hyperflo</v>
      </c>
      <c r="O787" s="16" t="str">
        <f>CASOPOInvCL!AG787</f>
        <v>CAD</v>
      </c>
      <c r="P787" s="16">
        <f>CASOPOInvCL!AH787</f>
        <v>102.81</v>
      </c>
      <c r="Q787" s="16">
        <f>CASOPOInvCL!AI787</f>
        <v>75.539150157991301</v>
      </c>
      <c r="R787" s="32" t="str">
        <f>CASOPOInvCL!AU787</f>
        <v>Yes</v>
      </c>
      <c r="S787" s="16">
        <f>CASOPOInvCL!AV787</f>
        <v>0</v>
      </c>
      <c r="T787" s="16">
        <f>CASOPOInvCL!AW787</f>
        <v>75.539150157991301</v>
      </c>
      <c r="V787" t="s">
        <v>5800</v>
      </c>
      <c r="Y787" s="29" t="str">
        <f>IFERROR(HLOOKUP(U787,List!$D$2:$H$6,2,FALSE),"")</f>
        <v/>
      </c>
      <c r="Z787" s="29">
        <f>IFERROR(HLOOKUP(V787,List!$D$2:$H$6,3,FALSE),"")</f>
        <v>5.0000000000000001E-3</v>
      </c>
      <c r="AA787" s="29" t="str">
        <f>IFERROR(HLOOKUP(W787,List!$D$2:$H$6,4,FALSE),"")</f>
        <v/>
      </c>
      <c r="AB787" s="29" t="str">
        <f>IFERROR(HLOOKUP(X787,List!$D$2:$H$6,5,FALSE),"")</f>
        <v/>
      </c>
      <c r="AC787" s="12" t="str">
        <f t="shared" si="209"/>
        <v/>
      </c>
      <c r="AD787" s="12">
        <f t="shared" si="210"/>
        <v>0.37769575078995654</v>
      </c>
      <c r="AE787" s="12" t="str">
        <f t="shared" si="211"/>
        <v/>
      </c>
      <c r="AF787" s="12" t="str">
        <f t="shared" si="212"/>
        <v/>
      </c>
      <c r="AG787" t="str">
        <f>VLOOKUP(J787,'Receivable Invoice Detail'!$A$1:F3799,6,FALSE)</f>
        <v>[AC-98-332-015-816] Fastener Kit (Suction Side Plate), 12x10-25 SRL-C</v>
      </c>
      <c r="AH787" s="12">
        <f t="shared" si="220"/>
        <v>0.37769575078995654</v>
      </c>
      <c r="AJ787">
        <v>2503</v>
      </c>
      <c r="AM787" s="12" t="str">
        <f t="shared" si="213"/>
        <v/>
      </c>
      <c r="AN787" s="12">
        <f t="shared" si="214"/>
        <v>0</v>
      </c>
      <c r="AO787" s="12" t="str">
        <f t="shared" si="215"/>
        <v/>
      </c>
      <c r="AP787" s="12" t="str">
        <f t="shared" si="216"/>
        <v/>
      </c>
      <c r="AQ787" s="64">
        <f>M787</f>
        <v>2503</v>
      </c>
      <c r="AR787" t="s">
        <v>5931</v>
      </c>
      <c r="AS787" s="12">
        <f t="shared" si="218"/>
        <v>0</v>
      </c>
      <c r="AT787" s="16" t="str">
        <f t="shared" si="219"/>
        <v>Yes</v>
      </c>
    </row>
    <row r="788" spans="1:46" hidden="1" x14ac:dyDescent="0.25">
      <c r="A788" s="41">
        <f>CASOPOInvCL!T788</f>
        <v>1</v>
      </c>
      <c r="B788" t="str">
        <f>CASOPOInvCL!Z788</f>
        <v>SO17567</v>
      </c>
      <c r="D788" t="s">
        <v>5925</v>
      </c>
      <c r="G788" s="5" t="str">
        <f>CASOPOInvCL!I788</f>
        <v>Ian Trottier</v>
      </c>
      <c r="H788" s="31">
        <f>CASOPOInvCL!U788</f>
        <v>7</v>
      </c>
      <c r="I788" s="31">
        <f>CASOPOInvCL!V788</f>
        <v>2025</v>
      </c>
      <c r="J788" s="5" t="str">
        <f>CASOPOInvCL!AB788</f>
        <v>INV13244</v>
      </c>
      <c r="K788" s="31">
        <f>CASOPOInvCL!W788</f>
        <v>9</v>
      </c>
      <c r="L788" s="31">
        <f>CASOPOInvCL!X788</f>
        <v>2025</v>
      </c>
      <c r="M788">
        <v>2503</v>
      </c>
      <c r="N788" s="5" t="str">
        <f>CASOPOInvCL!AF788</f>
        <v>Les Pompes du St-Laurent Inc.</v>
      </c>
      <c r="O788" s="16" t="str">
        <f>CASOPOInvCL!AG788</f>
        <v>CAD</v>
      </c>
      <c r="P788" s="16">
        <f>CASOPOInvCL!AH788</f>
        <v>5764.56</v>
      </c>
      <c r="Q788" s="16">
        <f>CASOPOInvCL!AI788</f>
        <v>4183.5011965807353</v>
      </c>
      <c r="R788" s="32" t="str">
        <f>CASOPOInvCL!AU788</f>
        <v>Yes</v>
      </c>
      <c r="S788" s="16">
        <f>CASOPOInvCL!AV788</f>
        <v>0</v>
      </c>
      <c r="T788" s="16">
        <f>CASOPOInvCL!AW788</f>
        <v>4183.5011965807353</v>
      </c>
      <c r="V788" t="s">
        <v>5801</v>
      </c>
      <c r="Y788" s="29" t="str">
        <f>IFERROR(HLOOKUP(U788,List!$D$2:$H$6,2,FALSE),"")</f>
        <v/>
      </c>
      <c r="Z788" s="29">
        <f>IFERROR(HLOOKUP(V788,List!$D$2:$H$6,3,FALSE),"")</f>
        <v>0.02</v>
      </c>
      <c r="AA788" s="29" t="str">
        <f>IFERROR(HLOOKUP(W788,List!$D$2:$H$6,4,FALSE),"")</f>
        <v/>
      </c>
      <c r="AB788" s="29" t="str">
        <f>IFERROR(HLOOKUP(X788,List!$D$2:$H$6,5,FALSE),"")</f>
        <v/>
      </c>
      <c r="AC788" s="12" t="str">
        <f t="shared" si="209"/>
        <v/>
      </c>
      <c r="AD788" s="12">
        <f t="shared" si="210"/>
        <v>83.670023931614708</v>
      </c>
      <c r="AE788" s="12" t="str">
        <f t="shared" si="211"/>
        <v/>
      </c>
      <c r="AF788" s="12" t="str">
        <f t="shared" si="212"/>
        <v/>
      </c>
      <c r="AG788" t="str">
        <f>VLOOKUP(J788,'Receivable Invoice Detail'!$A$1:F3800,6,FALSE)</f>
        <v>[AC-98-331-606-808] Suction Side Plate, 8x4(5)(6)-17, PWO, CD4MCu</v>
      </c>
      <c r="AM788" s="12" t="str">
        <f t="shared" si="213"/>
        <v/>
      </c>
      <c r="AN788" s="12">
        <f t="shared" si="214"/>
        <v>83.670023931614708</v>
      </c>
      <c r="AO788" s="12" t="str">
        <f t="shared" si="215"/>
        <v/>
      </c>
      <c r="AP788" s="12" t="str">
        <f t="shared" si="216"/>
        <v/>
      </c>
      <c r="AQ788" s="64">
        <v>2503</v>
      </c>
      <c r="AR788" t="s">
        <v>5932</v>
      </c>
      <c r="AS788" s="12">
        <f t="shared" si="218"/>
        <v>0.91508442941838208</v>
      </c>
      <c r="AT788" s="16" t="str">
        <f t="shared" si="219"/>
        <v>Yes</v>
      </c>
    </row>
    <row r="789" spans="1:46" hidden="1" x14ac:dyDescent="0.25">
      <c r="A789" s="41">
        <f>CASOPOInvCL!T789</f>
        <v>1</v>
      </c>
      <c r="B789" t="str">
        <f>CASOPOInvCL!Z789</f>
        <v>SO17568</v>
      </c>
      <c r="D789" t="s">
        <v>5925</v>
      </c>
      <c r="G789" s="5" t="str">
        <f>CASOPOInvCL!I789</f>
        <v>Ian Trottier</v>
      </c>
      <c r="H789" s="31">
        <f>CASOPOInvCL!U789</f>
        <v>7</v>
      </c>
      <c r="I789" s="31">
        <f>CASOPOInvCL!V789</f>
        <v>2025</v>
      </c>
      <c r="J789" s="5" t="str">
        <f>CASOPOInvCL!AB789</f>
        <v>INV13236</v>
      </c>
      <c r="K789" s="31">
        <f>CASOPOInvCL!W789</f>
        <v>9</v>
      </c>
      <c r="L789" s="31">
        <f>CASOPOInvCL!X789</f>
        <v>2025</v>
      </c>
      <c r="M789">
        <v>2503</v>
      </c>
      <c r="N789" s="5" t="str">
        <f>CASOPOInvCL!AF789</f>
        <v>Canadian Industrial Pumps Ltd, Canadian Industrial Pumps Ltd</v>
      </c>
      <c r="O789" s="16" t="str">
        <f>CASOPOInvCL!AG789</f>
        <v>CAD</v>
      </c>
      <c r="P789" s="16">
        <f>CASOPOInvCL!AH789</f>
        <v>1389.92</v>
      </c>
      <c r="Q789" s="16">
        <f>CASOPOInvCL!AI789</f>
        <v>1013.0886723689759</v>
      </c>
      <c r="R789" s="32" t="str">
        <f>CASOPOInvCL!AU789</f>
        <v>Yes</v>
      </c>
      <c r="S789" s="16">
        <f>CASOPOInvCL!AV789</f>
        <v>0</v>
      </c>
      <c r="T789" s="16">
        <f>CASOPOInvCL!AW789</f>
        <v>1013.0886723689759</v>
      </c>
      <c r="V789" t="s">
        <v>5800</v>
      </c>
      <c r="Y789" s="29" t="str">
        <f>IFERROR(HLOOKUP(U789,List!$D$2:$H$6,2,FALSE),"")</f>
        <v/>
      </c>
      <c r="Z789" s="29">
        <f>IFERROR(HLOOKUP(V789,List!$D$2:$H$6,3,FALSE),"")</f>
        <v>5.0000000000000001E-3</v>
      </c>
      <c r="AA789" s="29" t="str">
        <f>IFERROR(HLOOKUP(W789,List!$D$2:$H$6,4,FALSE),"")</f>
        <v/>
      </c>
      <c r="AB789" s="29" t="str">
        <f>IFERROR(HLOOKUP(X789,List!$D$2:$H$6,5,FALSE),"")</f>
        <v/>
      </c>
      <c r="AC789" s="12" t="str">
        <f t="shared" si="209"/>
        <v/>
      </c>
      <c r="AD789" s="12">
        <f t="shared" si="210"/>
        <v>5.0654433618448795</v>
      </c>
      <c r="AE789" s="12" t="str">
        <f t="shared" si="211"/>
        <v/>
      </c>
      <c r="AF789" s="12" t="str">
        <f t="shared" si="212"/>
        <v/>
      </c>
      <c r="AG789" t="str">
        <f>VLOOKUP(J789,'Receivable Invoice Detail'!$A$1:F3801,6,FALSE)</f>
        <v>[AC-98-236-104-004] Shaft Sleeve, 8x6-18 &amp; 10x8-21 SRL-C, 420SS Heat Treated, Hardened</v>
      </c>
      <c r="AM789" s="12" t="str">
        <f t="shared" si="213"/>
        <v/>
      </c>
      <c r="AN789" s="12">
        <f t="shared" si="214"/>
        <v>5.0654433618448795</v>
      </c>
      <c r="AO789" s="12" t="str">
        <f t="shared" si="215"/>
        <v/>
      </c>
      <c r="AP789" s="12" t="str">
        <f t="shared" si="216"/>
        <v/>
      </c>
      <c r="AQ789" s="64">
        <v>2503</v>
      </c>
      <c r="AR789" t="s">
        <v>5932</v>
      </c>
      <c r="AS789" s="12">
        <f t="shared" si="218"/>
        <v>1.1330872523698694</v>
      </c>
      <c r="AT789" s="16" t="str">
        <f t="shared" si="219"/>
        <v>Yes</v>
      </c>
    </row>
    <row r="790" spans="1:46" hidden="1" x14ac:dyDescent="0.25">
      <c r="A790" s="41">
        <f>CASOPOInvCL!T790</f>
        <v>1</v>
      </c>
      <c r="B790" t="str">
        <f>CASOPOInvCL!Z790</f>
        <v>SO17570</v>
      </c>
      <c r="G790" s="5" t="str">
        <f>CASOPOInvCL!I790</f>
        <v>Alexis Gil Lamadrid</v>
      </c>
      <c r="H790" s="31">
        <f>CASOPOInvCL!U790</f>
        <v>7</v>
      </c>
      <c r="I790" s="31">
        <f>CASOPOInvCL!V790</f>
        <v>2025</v>
      </c>
      <c r="J790" s="5" t="str">
        <f>CASOPOInvCL!AB790</f>
        <v>INV13506</v>
      </c>
      <c r="K790" s="31">
        <f>CASOPOInvCL!W790</f>
        <v>12</v>
      </c>
      <c r="L790" s="31">
        <f>CASOPOInvCL!X790</f>
        <v>2025</v>
      </c>
      <c r="M790" s="31"/>
      <c r="N790" s="5" t="str">
        <f>CASOPOInvCL!AF790</f>
        <v>Resolute Forest Products - Fibrek</v>
      </c>
      <c r="O790" s="16" t="str">
        <f>CASOPOInvCL!AG790</f>
        <v>CAD</v>
      </c>
      <c r="P790" s="16">
        <f>CASOPOInvCL!AH790</f>
        <v>9404</v>
      </c>
      <c r="Q790" s="16">
        <f>CASOPOInvCL!AI790</f>
        <v>6909.5435082749755</v>
      </c>
      <c r="R790" s="32" t="str">
        <f>CASOPOInvCL!AU790</f>
        <v>Yes</v>
      </c>
      <c r="S790" s="16">
        <f>CASOPOInvCL!AV790</f>
        <v>0</v>
      </c>
      <c r="T790" s="16">
        <f>CASOPOInvCL!AW790</f>
        <v>6909.5435082749755</v>
      </c>
      <c r="Y790" s="29" t="str">
        <f>IFERROR(HLOOKUP(U790,List!$D$2:$H$6,2,FALSE),"")</f>
        <v/>
      </c>
      <c r="Z790" s="29" t="str">
        <f>IFERROR(HLOOKUP(V790,List!$D$2:$H$6,3,FALSE),"")</f>
        <v/>
      </c>
      <c r="AA790" s="29" t="str">
        <f>IFERROR(HLOOKUP(W790,List!$D$2:$H$6,4,FALSE),"")</f>
        <v/>
      </c>
      <c r="AB790" s="29" t="str">
        <f>IFERROR(HLOOKUP(X790,List!$D$2:$H$6,5,FALSE),"")</f>
        <v/>
      </c>
      <c r="AC790" s="12" t="str">
        <f t="shared" si="209"/>
        <v/>
      </c>
      <c r="AD790" s="12" t="str">
        <f t="shared" si="210"/>
        <v/>
      </c>
      <c r="AE790" s="12" t="str">
        <f t="shared" si="211"/>
        <v/>
      </c>
      <c r="AF790" s="12" t="str">
        <f t="shared" si="212"/>
        <v/>
      </c>
      <c r="AG790" t="str">
        <f>VLOOKUP(J790,'Receivable Invoice Detail'!$A$1:F3802,6,FALSE)</f>
        <v>[SA-573563PS-329] Casing Cover, Sala STHM 5x4, 329SS</v>
      </c>
      <c r="AM790" s="12" t="str">
        <f t="shared" si="213"/>
        <v/>
      </c>
      <c r="AN790" s="12" t="str">
        <f t="shared" si="214"/>
        <v/>
      </c>
      <c r="AO790" s="12" t="str">
        <f t="shared" si="215"/>
        <v/>
      </c>
      <c r="AP790" s="12" t="str">
        <f t="shared" si="216"/>
        <v/>
      </c>
      <c r="AQ790" s="12"/>
      <c r="AS790" s="12">
        <f t="shared" si="218"/>
        <v>62.752517948711024</v>
      </c>
      <c r="AT790" s="16" t="str">
        <f t="shared" si="219"/>
        <v>Yes</v>
      </c>
    </row>
    <row r="791" spans="1:46" hidden="1" x14ac:dyDescent="0.25">
      <c r="A791" s="41">
        <f>CASOPOInvCL!T791</f>
        <v>2</v>
      </c>
      <c r="B791" t="str">
        <f>CASOPOInvCL!Z791</f>
        <v>SO17571</v>
      </c>
      <c r="G791" s="5" t="str">
        <f>CASOPOInvCL!I791</f>
        <v>Ian Trottier</v>
      </c>
      <c r="H791" s="31">
        <f>CASOPOInvCL!U791</f>
        <v>7</v>
      </c>
      <c r="I791" s="31">
        <f>CASOPOInvCL!V791</f>
        <v>2025</v>
      </c>
      <c r="J791" s="5" t="str">
        <f>CASOPOInvCL!AB791</f>
        <v>INV13232</v>
      </c>
      <c r="K791" s="31">
        <f>CASOPOInvCL!W791</f>
        <v>9</v>
      </c>
      <c r="L791" s="31">
        <f>CASOPOInvCL!X791</f>
        <v>2025</v>
      </c>
      <c r="M791" s="31"/>
      <c r="N791" s="5" t="str">
        <f>CASOPOInvCL!AF791</f>
        <v>Grant Aggregate</v>
      </c>
      <c r="O791" s="16" t="str">
        <f>CASOPOInvCL!AG791</f>
        <v>CAD</v>
      </c>
      <c r="P791" s="16">
        <f>CASOPOInvCL!AH791</f>
        <v>2476.7399999999998</v>
      </c>
      <c r="Q791" s="16">
        <f>CASOPOInvCL!AI791</f>
        <v>1815.2601237334939</v>
      </c>
      <c r="R791" s="32" t="str">
        <f>CASOPOInvCL!AU791</f>
        <v>Yes</v>
      </c>
      <c r="S791" s="16">
        <f>CASOPOInvCL!AV791</f>
        <v>0</v>
      </c>
      <c r="T791" s="16">
        <f>CASOPOInvCL!AW791</f>
        <v>1815.2601237334939</v>
      </c>
      <c r="Y791" s="29" t="str">
        <f>IFERROR(HLOOKUP(U791,List!$D$2:$H$6,2,FALSE),"")</f>
        <v/>
      </c>
      <c r="Z791" s="29" t="str">
        <f>IFERROR(HLOOKUP(V791,List!$D$2:$H$6,3,FALSE),"")</f>
        <v/>
      </c>
      <c r="AA791" s="29" t="str">
        <f>IFERROR(HLOOKUP(W791,List!$D$2:$H$6,4,FALSE),"")</f>
        <v/>
      </c>
      <c r="AB791" s="29" t="str">
        <f>IFERROR(HLOOKUP(X791,List!$D$2:$H$6,5,FALSE),"")</f>
        <v/>
      </c>
      <c r="AC791" s="12" t="str">
        <f t="shared" si="209"/>
        <v/>
      </c>
      <c r="AD791" s="12" t="str">
        <f t="shared" si="210"/>
        <v/>
      </c>
      <c r="AE791" s="12" t="str">
        <f t="shared" si="211"/>
        <v/>
      </c>
      <c r="AF791" s="12" t="str">
        <f t="shared" si="212"/>
        <v/>
      </c>
      <c r="AG791" t="str">
        <f>VLOOKUP(J791,'Receivable Invoice Detail'!$A$1:F3803,6,FALSE)</f>
        <v>[AC-98-236-104-004] Shaft Sleeve, 8x6-18 &amp; 10x8-21 SRL-C, 420SS Heat Treated, Hardened</v>
      </c>
      <c r="AM791" s="12" t="str">
        <f t="shared" si="213"/>
        <v/>
      </c>
      <c r="AN791" s="12" t="str">
        <f t="shared" si="214"/>
        <v/>
      </c>
      <c r="AO791" s="12" t="str">
        <f t="shared" si="215"/>
        <v/>
      </c>
      <c r="AP791" s="12" t="str">
        <f t="shared" si="216"/>
        <v/>
      </c>
      <c r="AQ791" s="12"/>
      <c r="AS791" s="12">
        <f t="shared" si="218"/>
        <v>15.196330085534639</v>
      </c>
      <c r="AT791" s="16" t="str">
        <f t="shared" si="219"/>
        <v>Yes</v>
      </c>
    </row>
    <row r="792" spans="1:46" hidden="1" x14ac:dyDescent="0.25">
      <c r="A792" s="41">
        <f>CASOPOInvCL!T792</f>
        <v>2</v>
      </c>
      <c r="B792" t="str">
        <f>CASOPOInvCL!Z792</f>
        <v>SO17571</v>
      </c>
      <c r="G792" s="5">
        <f>CASOPOInvCL!I792</f>
        <v>0</v>
      </c>
      <c r="H792" s="31">
        <f>CASOPOInvCL!U792</f>
        <v>7</v>
      </c>
      <c r="I792" s="31">
        <f>CASOPOInvCL!V792</f>
        <v>2025</v>
      </c>
      <c r="J792" s="5" t="str">
        <f>CASOPOInvCL!AB792</f>
        <v>(* 78449)</v>
      </c>
      <c r="K792" s="31" t="str">
        <f>CASOPOInvCL!W792</f>
        <v/>
      </c>
      <c r="L792" s="31" t="str">
        <f>CASOPOInvCL!X792</f>
        <v/>
      </c>
      <c r="M792" s="31"/>
      <c r="N792" s="5" t="str">
        <f>CASOPOInvCL!AF792</f>
        <v>Grant Aggregate</v>
      </c>
      <c r="O792" s="16" t="str">
        <f>CASOPOInvCL!AG792</f>
        <v>CAD</v>
      </c>
      <c r="P792" s="16">
        <f>CASOPOInvCL!AH792</f>
        <v>0</v>
      </c>
      <c r="Q792" s="16">
        <f>CASOPOInvCL!AI792</f>
        <v>0</v>
      </c>
      <c r="R792" s="32" t="str">
        <f>CASOPOInvCL!AU792</f>
        <v/>
      </c>
      <c r="S792" s="16">
        <f>CASOPOInvCL!AV792</f>
        <v>0</v>
      </c>
      <c r="T792" s="16">
        <f>CASOPOInvCL!AW792</f>
        <v>0</v>
      </c>
      <c r="Y792" s="29" t="str">
        <f>IFERROR(HLOOKUP(U792,List!$D$2:$H$6,2,FALSE),"")</f>
        <v/>
      </c>
      <c r="Z792" s="29" t="str">
        <f>IFERROR(HLOOKUP(V792,List!$D$2:$H$6,3,FALSE),"")</f>
        <v/>
      </c>
      <c r="AA792" s="29" t="str">
        <f>IFERROR(HLOOKUP(W792,List!$D$2:$H$6,4,FALSE),"")</f>
        <v/>
      </c>
      <c r="AB792" s="29" t="str">
        <f>IFERROR(HLOOKUP(X792,List!$D$2:$H$6,5,FALSE),"")</f>
        <v/>
      </c>
      <c r="AC792" s="12" t="str">
        <f t="shared" si="209"/>
        <v/>
      </c>
      <c r="AD792" s="12" t="str">
        <f t="shared" si="210"/>
        <v/>
      </c>
      <c r="AE792" s="12" t="str">
        <f t="shared" si="211"/>
        <v/>
      </c>
      <c r="AF792" s="12" t="str">
        <f t="shared" si="212"/>
        <v/>
      </c>
      <c r="AG792" t="e">
        <f>VLOOKUP(J792,'Receivable Invoice Detail'!$A$1:F3804,6,FALSE)</f>
        <v>#N/A</v>
      </c>
      <c r="AM792" s="12" t="str">
        <f t="shared" si="213"/>
        <v/>
      </c>
      <c r="AN792" s="12" t="str">
        <f t="shared" si="214"/>
        <v/>
      </c>
      <c r="AO792" s="12" t="str">
        <f t="shared" si="215"/>
        <v/>
      </c>
      <c r="AP792" s="12" t="str">
        <f t="shared" si="216"/>
        <v/>
      </c>
      <c r="AQ792" s="12"/>
      <c r="AS792" s="12">
        <f t="shared" si="218"/>
        <v>103.64315262412462</v>
      </c>
      <c r="AT792" s="16" t="str">
        <f t="shared" si="219"/>
        <v/>
      </c>
    </row>
    <row r="793" spans="1:46" hidden="1" x14ac:dyDescent="0.25">
      <c r="A793" s="41">
        <f>CASOPOInvCL!T793</f>
        <v>1</v>
      </c>
      <c r="B793" t="str">
        <f>CASOPOInvCL!Z793</f>
        <v>SO17573</v>
      </c>
      <c r="D793" t="s">
        <v>5851</v>
      </c>
      <c r="G793" s="5" t="str">
        <f>CASOPOInvCL!I793</f>
        <v>Ian Trottier</v>
      </c>
      <c r="H793" s="31">
        <f>CASOPOInvCL!U793</f>
        <v>7</v>
      </c>
      <c r="I793" s="31">
        <f>CASOPOInvCL!V793</f>
        <v>2025</v>
      </c>
      <c r="J793" s="5" t="str">
        <f>CASOPOInvCL!AB793</f>
        <v>INV13431</v>
      </c>
      <c r="K793" s="31">
        <f>CASOPOInvCL!W793</f>
        <v>11</v>
      </c>
      <c r="L793" s="31">
        <f>CASOPOInvCL!X793</f>
        <v>2025</v>
      </c>
      <c r="M793">
        <v>2504</v>
      </c>
      <c r="N793" s="5" t="str">
        <f>CASOPOInvCL!AF793</f>
        <v>Resolute Forest Products - Saint-Felicien</v>
      </c>
      <c r="O793" s="16" t="str">
        <f>CASOPOInvCL!AG793</f>
        <v>CAD</v>
      </c>
      <c r="P793" s="16">
        <f>CASOPOInvCL!AH793</f>
        <v>1434.48</v>
      </c>
      <c r="Q793" s="16">
        <f>CASOPOInvCL!AI793</f>
        <v>1053.9772407220639</v>
      </c>
      <c r="R793" s="32" t="str">
        <f>CASOPOInvCL!AU793</f>
        <v>Yes</v>
      </c>
      <c r="S793" s="16">
        <f>CASOPOInvCL!AV793</f>
        <v>0</v>
      </c>
      <c r="T793" s="16">
        <f>CASOPOInvCL!AW793</f>
        <v>1053.9772407220639</v>
      </c>
      <c r="V793" s="59" t="s">
        <v>5800</v>
      </c>
      <c r="Y793" s="29" t="str">
        <f>IFERROR(HLOOKUP(U793,List!$D$2:$H$6,2,FALSE),"")</f>
        <v/>
      </c>
      <c r="Z793" s="29">
        <f>IFERROR(HLOOKUP(V793,List!$D$2:$H$6,3,FALSE),"")</f>
        <v>5.0000000000000001E-3</v>
      </c>
      <c r="AA793" s="29" t="str">
        <f>IFERROR(HLOOKUP(W793,List!$D$2:$H$6,4,FALSE),"")</f>
        <v/>
      </c>
      <c r="AB793" s="29" t="str">
        <f>IFERROR(HLOOKUP(X793,List!$D$2:$H$6,5,FALSE),"")</f>
        <v/>
      </c>
      <c r="AC793" s="12" t="str">
        <f t="shared" si="209"/>
        <v/>
      </c>
      <c r="AD793" s="12">
        <f t="shared" si="210"/>
        <v>5.2698862036103193</v>
      </c>
      <c r="AE793" s="12" t="str">
        <f t="shared" si="211"/>
        <v/>
      </c>
      <c r="AF793" s="12" t="str">
        <f t="shared" si="212"/>
        <v/>
      </c>
      <c r="AG793" t="str">
        <f>VLOOKUP(J793,'Receivable Invoice Detail'!$A$1:F3805,6,FALSE)</f>
        <v>[52-321-237-100] Impeller, 2x1-10, Allis-Chalmers CSO, 317SS</v>
      </c>
      <c r="AM793" s="12" t="str">
        <f t="shared" si="213"/>
        <v/>
      </c>
      <c r="AN793" s="12">
        <f t="shared" si="214"/>
        <v>5.2698862036103193</v>
      </c>
      <c r="AO793" s="12" t="str">
        <f t="shared" si="215"/>
        <v/>
      </c>
      <c r="AP793" s="12" t="str">
        <f t="shared" si="216"/>
        <v/>
      </c>
      <c r="AQ793" s="64">
        <f>M793</f>
        <v>2504</v>
      </c>
      <c r="AR793" t="s">
        <v>5931</v>
      </c>
      <c r="AS793" s="12">
        <f t="shared" si="218"/>
        <v>27.228901856002405</v>
      </c>
      <c r="AT793" s="16" t="str">
        <f t="shared" si="219"/>
        <v>Yes</v>
      </c>
    </row>
    <row r="794" spans="1:46" hidden="1" x14ac:dyDescent="0.25">
      <c r="A794" s="41">
        <f>CASOPOInvCL!T794</f>
        <v>1</v>
      </c>
      <c r="B794" t="str">
        <f>CASOPOInvCL!Z794</f>
        <v>SO17574</v>
      </c>
      <c r="G794" s="5" t="str">
        <f>CASOPOInvCL!I794</f>
        <v>Ian Trottier</v>
      </c>
      <c r="H794" s="31">
        <f>CASOPOInvCL!U794</f>
        <v>7</v>
      </c>
      <c r="I794" s="31">
        <f>CASOPOInvCL!V794</f>
        <v>2025</v>
      </c>
      <c r="J794" s="5" t="str">
        <f>CASOPOInvCL!AB794</f>
        <v>INV13551</v>
      </c>
      <c r="K794" s="31">
        <f>CASOPOInvCL!W794</f>
        <v>9</v>
      </c>
      <c r="L794" s="31">
        <f>CASOPOInvCL!X794</f>
        <v>2025</v>
      </c>
      <c r="M794" s="31"/>
      <c r="N794" s="5" t="str">
        <f>CASOPOInvCL!AF794</f>
        <v>Irathane Systems Inc, Irathane Systems LLC</v>
      </c>
      <c r="O794" s="16" t="str">
        <f>CASOPOInvCL!AG794</f>
        <v>USD</v>
      </c>
      <c r="P794" s="16">
        <f>CASOPOInvCL!AH794</f>
        <v>2377.8706255453958</v>
      </c>
      <c r="Q794" s="16">
        <f>CASOPOInvCL!AI794</f>
        <v>1719.88</v>
      </c>
      <c r="R794" s="32" t="str">
        <f>CASOPOInvCL!AU794</f>
        <v>Yes</v>
      </c>
      <c r="S794" s="16">
        <f>CASOPOInvCL!AV794</f>
        <v>0</v>
      </c>
      <c r="T794" s="16">
        <f>CASOPOInvCL!AW794</f>
        <v>1719.88</v>
      </c>
      <c r="Y794" s="29" t="str">
        <f>IFERROR(HLOOKUP(U794,List!$D$2:$H$6,2,FALSE),"")</f>
        <v/>
      </c>
      <c r="Z794" s="29" t="str">
        <f>IFERROR(HLOOKUP(V794,List!$D$2:$H$6,3,FALSE),"")</f>
        <v/>
      </c>
      <c r="AA794" s="29" t="str">
        <f>IFERROR(HLOOKUP(W794,List!$D$2:$H$6,4,FALSE),"")</f>
        <v/>
      </c>
      <c r="AB794" s="29" t="str">
        <f>IFERROR(HLOOKUP(X794,List!$D$2:$H$6,5,FALSE),"")</f>
        <v/>
      </c>
      <c r="AC794" s="12" t="str">
        <f t="shared" si="209"/>
        <v/>
      </c>
      <c r="AD794" s="12" t="str">
        <f t="shared" si="210"/>
        <v/>
      </c>
      <c r="AE794" s="12" t="str">
        <f t="shared" si="211"/>
        <v/>
      </c>
      <c r="AF794" s="12" t="str">
        <f t="shared" si="212"/>
        <v/>
      </c>
      <c r="AG794" t="str">
        <f>VLOOKUP(J794,'Receivable Invoice Detail'!$A$1:F3806,6,FALSE)</f>
        <v>[SA-57396] Casing, Sala VT40, Natural Rubber</v>
      </c>
      <c r="AM794" s="12" t="str">
        <f t="shared" si="213"/>
        <v/>
      </c>
      <c r="AN794" s="12" t="str">
        <f t="shared" si="214"/>
        <v/>
      </c>
      <c r="AO794" s="12" t="str">
        <f t="shared" si="215"/>
        <v/>
      </c>
      <c r="AP794" s="12" t="str">
        <f t="shared" si="216"/>
        <v/>
      </c>
      <c r="AQ794" s="12"/>
      <c r="AS794" s="12">
        <f t="shared" si="218"/>
        <v>0</v>
      </c>
      <c r="AT794" s="16" t="str">
        <f t="shared" si="219"/>
        <v>Yes</v>
      </c>
    </row>
    <row r="795" spans="1:46" hidden="1" x14ac:dyDescent="0.25">
      <c r="A795" s="41">
        <f>CASOPOInvCL!T795</f>
        <v>1</v>
      </c>
      <c r="B795" t="str">
        <f>CASOPOInvCL!Z795</f>
        <v>SO17575</v>
      </c>
      <c r="G795" s="5" t="str">
        <f>CASOPOInvCL!I795</f>
        <v>Amanda Qiao</v>
      </c>
      <c r="H795" s="31">
        <f>CASOPOInvCL!U795</f>
        <v>7</v>
      </c>
      <c r="I795" s="31">
        <f>CASOPOInvCL!V795</f>
        <v>2025</v>
      </c>
      <c r="J795" s="5" t="str">
        <f>CASOPOInvCL!AB795</f>
        <v>INV13433</v>
      </c>
      <c r="K795" s="31">
        <f>CASOPOInvCL!W795</f>
        <v>11</v>
      </c>
      <c r="L795" s="31">
        <f>CASOPOInvCL!X795</f>
        <v>2025</v>
      </c>
      <c r="M795" s="31"/>
      <c r="N795" s="5" t="str">
        <f>CASOPOInvCL!AF795</f>
        <v>AGM Inc.</v>
      </c>
      <c r="O795" s="16" t="str">
        <f>CASOPOInvCL!AG795</f>
        <v>USD</v>
      </c>
      <c r="P795" s="16">
        <f>CASOPOInvCL!AH795</f>
        <v>76679.635983130938</v>
      </c>
      <c r="Q795" s="16">
        <f>CASOPOInvCL!AI795</f>
        <v>55662.04</v>
      </c>
      <c r="R795" s="32" t="str">
        <f>CASOPOInvCL!AU795</f>
        <v>Yes</v>
      </c>
      <c r="S795" s="16">
        <f>CASOPOInvCL!AV795</f>
        <v>0</v>
      </c>
      <c r="T795" s="16">
        <f>CASOPOInvCL!AW795</f>
        <v>55662.04</v>
      </c>
      <c r="Y795" s="29" t="str">
        <f>IFERROR(HLOOKUP(U795,List!$D$2:$H$6,2,FALSE),"")</f>
        <v/>
      </c>
      <c r="Z795" s="29" t="str">
        <f>IFERROR(HLOOKUP(V795,List!$D$2:$H$6,3,FALSE),"")</f>
        <v/>
      </c>
      <c r="AA795" s="29" t="str">
        <f>IFERROR(HLOOKUP(W795,List!$D$2:$H$6,4,FALSE),"")</f>
        <v/>
      </c>
      <c r="AB795" s="29" t="str">
        <f>IFERROR(HLOOKUP(X795,List!$D$2:$H$6,5,FALSE),"")</f>
        <v/>
      </c>
      <c r="AC795" s="12" t="str">
        <f t="shared" si="209"/>
        <v/>
      </c>
      <c r="AD795" s="12" t="str">
        <f t="shared" si="210"/>
        <v/>
      </c>
      <c r="AE795" s="12" t="str">
        <f t="shared" si="211"/>
        <v/>
      </c>
      <c r="AF795" s="12" t="str">
        <f t="shared" si="212"/>
        <v/>
      </c>
      <c r="AG795" t="str">
        <f>VLOOKUP(J795,'Receivable Invoice Detail'!$A$1:F3807,6,FALSE)</f>
        <v>[D-III 1.5x1-82 G1 CD4] Pump, 1.5x1-82, D-III Mark 3 Group 1, All CD4MCu</v>
      </c>
      <c r="AM795" s="12" t="str">
        <f t="shared" si="213"/>
        <v/>
      </c>
      <c r="AN795" s="12" t="str">
        <f t="shared" si="214"/>
        <v/>
      </c>
      <c r="AO795" s="12" t="str">
        <f t="shared" si="215"/>
        <v/>
      </c>
      <c r="AP795" s="12" t="str">
        <f t="shared" si="216"/>
        <v/>
      </c>
      <c r="AQ795" s="12"/>
      <c r="AS795" s="12">
        <f t="shared" si="218"/>
        <v>15.809658610830958</v>
      </c>
      <c r="AT795" s="16" t="str">
        <f t="shared" si="219"/>
        <v>Yes</v>
      </c>
    </row>
    <row r="796" spans="1:46" hidden="1" x14ac:dyDescent="0.25">
      <c r="A796" s="41">
        <f>CASOPOInvCL!T796</f>
        <v>1</v>
      </c>
      <c r="B796" t="str">
        <f>CASOPOInvCL!Z796</f>
        <v>SO17576</v>
      </c>
      <c r="D796" t="s">
        <v>5915</v>
      </c>
      <c r="G796" s="5" t="str">
        <f>CASOPOInvCL!I796</f>
        <v>Wilka Nuñez</v>
      </c>
      <c r="H796" s="31">
        <f>CASOPOInvCL!U796</f>
        <v>7</v>
      </c>
      <c r="I796" s="31">
        <f>CASOPOInvCL!V796</f>
        <v>2025</v>
      </c>
      <c r="J796" s="5" t="str">
        <f>CASOPOInvCL!AB796</f>
        <v>INV13328</v>
      </c>
      <c r="K796" s="31">
        <f>CASOPOInvCL!W796</f>
        <v>9</v>
      </c>
      <c r="L796" s="31">
        <f>CASOPOInvCL!X796</f>
        <v>2025</v>
      </c>
      <c r="M796">
        <v>2503</v>
      </c>
      <c r="N796" s="5" t="str">
        <f>CASOPOInvCL!AF796</f>
        <v>Sling-Choker Manufacturing - Timmins</v>
      </c>
      <c r="O796" s="16" t="str">
        <f>CASOPOInvCL!AG796</f>
        <v>CAD</v>
      </c>
      <c r="P796" s="16">
        <f>CASOPOInvCL!AH796</f>
        <v>373.88</v>
      </c>
      <c r="Q796" s="16">
        <f>CASOPOInvCL!AI796</f>
        <v>274.02531354178421</v>
      </c>
      <c r="R796" s="32" t="str">
        <f>CASOPOInvCL!AU796</f>
        <v>Yes</v>
      </c>
      <c r="S796" s="16">
        <f>CASOPOInvCL!AV796</f>
        <v>0</v>
      </c>
      <c r="T796" s="16">
        <f>CASOPOInvCL!AW796</f>
        <v>274.02531354178421</v>
      </c>
      <c r="V796" t="s">
        <v>5800</v>
      </c>
      <c r="Y796" s="29" t="str">
        <f>IFERROR(HLOOKUP(U796,List!$D$2:$H$6,2,FALSE),"")</f>
        <v/>
      </c>
      <c r="Z796" s="29">
        <f>IFERROR(HLOOKUP(V796,List!$D$2:$H$6,3,FALSE),"")</f>
        <v>5.0000000000000001E-3</v>
      </c>
      <c r="AA796" s="29" t="str">
        <f>IFERROR(HLOOKUP(W796,List!$D$2:$H$6,4,FALSE),"")</f>
        <v/>
      </c>
      <c r="AB796" s="29" t="str">
        <f>IFERROR(HLOOKUP(X796,List!$D$2:$H$6,5,FALSE),"")</f>
        <v/>
      </c>
      <c r="AC796" s="12" t="str">
        <f t="shared" si="209"/>
        <v/>
      </c>
      <c r="AD796" s="12">
        <f t="shared" si="210"/>
        <v>1.3701265677089212</v>
      </c>
      <c r="AE796" s="12" t="str">
        <f t="shared" si="211"/>
        <v/>
      </c>
      <c r="AF796" s="12" t="str">
        <f t="shared" si="212"/>
        <v/>
      </c>
      <c r="AG796" t="str">
        <f>VLOOKUP(J796,'Receivable Invoice Detail'!$A$1:F3808,6,FALSE)</f>
        <v>[D-WE1J-4] Shaft Sleeve, Goulds JC Frame 1J, 420SS Heat Treated, Hardened</v>
      </c>
      <c r="AJ796">
        <v>2503</v>
      </c>
      <c r="AM796" s="12" t="str">
        <f t="shared" si="213"/>
        <v/>
      </c>
      <c r="AN796" s="12">
        <f t="shared" si="214"/>
        <v>0</v>
      </c>
      <c r="AO796" s="12" t="str">
        <f t="shared" si="215"/>
        <v/>
      </c>
      <c r="AP796" s="12" t="str">
        <f t="shared" si="216"/>
        <v/>
      </c>
      <c r="AQ796" s="64">
        <f>M796</f>
        <v>2503</v>
      </c>
      <c r="AR796" t="s">
        <v>5931</v>
      </c>
      <c r="AS796" s="12">
        <f t="shared" si="218"/>
        <v>25.798200000000001</v>
      </c>
      <c r="AT796" s="16" t="str">
        <f t="shared" si="219"/>
        <v>Yes</v>
      </c>
    </row>
    <row r="797" spans="1:46" hidden="1" x14ac:dyDescent="0.25">
      <c r="A797" s="41">
        <f>CASOPOInvCL!T797</f>
        <v>2</v>
      </c>
      <c r="B797" t="str">
        <f>CASOPOInvCL!Z797</f>
        <v>SO17578</v>
      </c>
      <c r="G797" s="5" t="str">
        <f>CASOPOInvCL!I797</f>
        <v>Alexis Gil Lamadrid</v>
      </c>
      <c r="H797" s="31">
        <f>CASOPOInvCL!U797</f>
        <v>7</v>
      </c>
      <c r="I797" s="31">
        <f>CASOPOInvCL!V797</f>
        <v>2025</v>
      </c>
      <c r="J797" s="5" t="str">
        <f>CASOPOInvCL!AB797</f>
        <v>INV13314</v>
      </c>
      <c r="K797" s="31">
        <f>CASOPOInvCL!W797</f>
        <v>9</v>
      </c>
      <c r="L797" s="31">
        <f>CASOPOInvCL!X797</f>
        <v>2025</v>
      </c>
      <c r="M797" s="31"/>
      <c r="N797" s="5" t="str">
        <f>CASOPOInvCL!AF797</f>
        <v>Wild Rows Pump &amp; Compression LTD.</v>
      </c>
      <c r="O797" s="16" t="str">
        <f>CASOPOInvCL!AG797</f>
        <v>CAD</v>
      </c>
      <c r="P797" s="16">
        <f>CASOPOInvCL!AH797</f>
        <v>1146.8699999999999</v>
      </c>
      <c r="Q797" s="16">
        <f>CASOPOInvCL!AI797</f>
        <v>840.56759211957319</v>
      </c>
      <c r="R797" s="32" t="str">
        <f>CASOPOInvCL!AU797</f>
        <v/>
      </c>
      <c r="S797" s="16">
        <f>CASOPOInvCL!AV797</f>
        <v>0</v>
      </c>
      <c r="T797" s="16">
        <f>CASOPOInvCL!AW797</f>
        <v>0</v>
      </c>
      <c r="Y797" s="29" t="str">
        <f>IFERROR(HLOOKUP(U797,List!$D$2:$H$6,2,FALSE),"")</f>
        <v/>
      </c>
      <c r="Z797" s="29" t="str">
        <f>IFERROR(HLOOKUP(V797,List!$D$2:$H$6,3,FALSE),"")</f>
        <v/>
      </c>
      <c r="AA797" s="29" t="str">
        <f>IFERROR(HLOOKUP(W797,List!$D$2:$H$6,4,FALSE),"")</f>
        <v/>
      </c>
      <c r="AB797" s="29" t="str">
        <f>IFERROR(HLOOKUP(X797,List!$D$2:$H$6,5,FALSE),"")</f>
        <v/>
      </c>
      <c r="AC797" s="12" t="str">
        <f t="shared" si="209"/>
        <v/>
      </c>
      <c r="AD797" s="12" t="str">
        <f t="shared" si="210"/>
        <v/>
      </c>
      <c r="AE797" s="12" t="str">
        <f t="shared" si="211"/>
        <v/>
      </c>
      <c r="AF797" s="12" t="str">
        <f t="shared" si="212"/>
        <v/>
      </c>
      <c r="AG797" t="str">
        <f>VLOOKUP(J797,'Receivable Invoice Detail'!$A$1:F3809,6,FALSE)</f>
        <v>[W-C2036M/U38] Frame Plate Liner, Urethane</v>
      </c>
      <c r="AM797" s="12" t="str">
        <f t="shared" si="213"/>
        <v/>
      </c>
      <c r="AN797" s="12" t="str">
        <f t="shared" si="214"/>
        <v/>
      </c>
      <c r="AO797" s="12" t="str">
        <f t="shared" si="215"/>
        <v/>
      </c>
      <c r="AP797" s="12" t="str">
        <f t="shared" si="216"/>
        <v/>
      </c>
      <c r="AQ797" s="12"/>
      <c r="AS797" s="12">
        <f t="shared" si="218"/>
        <v>834.93060000000003</v>
      </c>
      <c r="AT797" s="16" t="str">
        <f t="shared" si="219"/>
        <v/>
      </c>
    </row>
    <row r="798" spans="1:46" hidden="1" x14ac:dyDescent="0.25">
      <c r="A798" s="41">
        <f>CASOPOInvCL!T798</f>
        <v>2</v>
      </c>
      <c r="B798" t="str">
        <f>CASOPOInvCL!Z798</f>
        <v>SO17578</v>
      </c>
      <c r="G798" s="5">
        <f>CASOPOInvCL!I798</f>
        <v>0</v>
      </c>
      <c r="H798" s="31">
        <f>CASOPOInvCL!U798</f>
        <v>7</v>
      </c>
      <c r="I798" s="31">
        <f>CASOPOInvCL!V798</f>
        <v>2025</v>
      </c>
      <c r="J798" s="5" t="str">
        <f>CASOPOInvCL!AB798</f>
        <v>INV13265</v>
      </c>
      <c r="K798" s="31" t="str">
        <f>CASOPOInvCL!W798</f>
        <v/>
      </c>
      <c r="L798" s="31" t="str">
        <f>CASOPOInvCL!X798</f>
        <v/>
      </c>
      <c r="M798" s="31"/>
      <c r="N798" s="5" t="str">
        <f>CASOPOInvCL!AF798</f>
        <v>Wild Rows Pump &amp; Compression LTD.</v>
      </c>
      <c r="O798" s="16" t="str">
        <f>CASOPOInvCL!AG798</f>
        <v>CAD</v>
      </c>
      <c r="P798" s="16">
        <f>CASOPOInvCL!AH798</f>
        <v>0</v>
      </c>
      <c r="Q798" s="16">
        <f>CASOPOInvCL!AI798</f>
        <v>0</v>
      </c>
      <c r="R798" s="32" t="str">
        <f>CASOPOInvCL!AU798</f>
        <v/>
      </c>
      <c r="S798" s="16">
        <f>CASOPOInvCL!AV798</f>
        <v>0</v>
      </c>
      <c r="T798" s="16">
        <f>CASOPOInvCL!AW798</f>
        <v>0</v>
      </c>
      <c r="Y798" s="29" t="str">
        <f>IFERROR(HLOOKUP(U798,List!$D$2:$H$6,2,FALSE),"")</f>
        <v/>
      </c>
      <c r="Z798" s="29" t="str">
        <f>IFERROR(HLOOKUP(V798,List!$D$2:$H$6,3,FALSE),"")</f>
        <v/>
      </c>
      <c r="AA798" s="29" t="str">
        <f>IFERROR(HLOOKUP(W798,List!$D$2:$H$6,4,FALSE),"")</f>
        <v/>
      </c>
      <c r="AB798" s="29" t="str">
        <f>IFERROR(HLOOKUP(X798,List!$D$2:$H$6,5,FALSE),"")</f>
        <v/>
      </c>
      <c r="AC798" s="12" t="str">
        <f t="shared" si="209"/>
        <v/>
      </c>
      <c r="AD798" s="12" t="str">
        <f t="shared" si="210"/>
        <v/>
      </c>
      <c r="AE798" s="12" t="str">
        <f t="shared" si="211"/>
        <v/>
      </c>
      <c r="AF798" s="12" t="str">
        <f t="shared" si="212"/>
        <v/>
      </c>
      <c r="AG798" t="str">
        <f>VLOOKUP(J798,'Receivable Invoice Detail'!$A$1:F3810,6,FALSE)</f>
        <v>[W-C2060/S01] Intake Joint Ring, 3/2 C-AH, EPDM</v>
      </c>
      <c r="AM798" s="12" t="str">
        <f t="shared" si="213"/>
        <v/>
      </c>
      <c r="AN798" s="12" t="str">
        <f t="shared" si="214"/>
        <v/>
      </c>
      <c r="AO798" s="12" t="str">
        <f t="shared" si="215"/>
        <v/>
      </c>
      <c r="AP798" s="12" t="str">
        <f t="shared" si="216"/>
        <v/>
      </c>
      <c r="AQ798" s="12"/>
      <c r="AS798" s="12">
        <f t="shared" si="218"/>
        <v>4.110379703126763</v>
      </c>
      <c r="AT798" s="16" t="s">
        <v>5940</v>
      </c>
    </row>
    <row r="799" spans="1:46" hidden="1" x14ac:dyDescent="0.25">
      <c r="A799" s="41">
        <f>CASOPOInvCL!T799</f>
        <v>0</v>
      </c>
      <c r="B799" t="str">
        <f>CASOPOInvCL!Z799</f>
        <v>SO17581</v>
      </c>
      <c r="C799" s="59"/>
      <c r="D799" s="59"/>
      <c r="E799" s="59"/>
      <c r="F799" s="59"/>
      <c r="G799" s="5" t="str">
        <f>CASOPOInvCL!I799</f>
        <v>Amanda Qiao</v>
      </c>
      <c r="H799" s="31">
        <f>CASOPOInvCL!U799</f>
        <v>7</v>
      </c>
      <c r="I799" s="31">
        <f>CASOPOInvCL!V799</f>
        <v>2025</v>
      </c>
      <c r="J799" s="5" t="str">
        <f>CASOPOInvCL!AB799</f>
        <v>No Inv</v>
      </c>
      <c r="K799" s="31" t="str">
        <f>CASOPOInvCL!W799</f>
        <v/>
      </c>
      <c r="L799" s="31" t="str">
        <f>CASOPOInvCL!X799</f>
        <v/>
      </c>
      <c r="M799" s="70"/>
      <c r="N799" s="5" t="str">
        <f>CASOPOInvCL!AF799</f>
        <v>AGM Inc.</v>
      </c>
      <c r="O799" s="16" t="str">
        <f>CASOPOInvCL!AG799</f>
        <v>USD</v>
      </c>
      <c r="P799" s="16">
        <f>CASOPOInvCL!AH799</f>
        <v>33081.124301527161</v>
      </c>
      <c r="Q799" s="16">
        <f>CASOPOInvCL!AI799</f>
        <v>23910</v>
      </c>
      <c r="R799" s="32" t="str">
        <f>CASOPOInvCL!AU799</f>
        <v/>
      </c>
      <c r="S799" s="16">
        <f>CASOPOInvCL!AV799</f>
        <v>0</v>
      </c>
      <c r="T799" s="16">
        <f>CASOPOInvCL!AW799</f>
        <v>0</v>
      </c>
      <c r="U799" s="59"/>
      <c r="V799" s="59"/>
      <c r="W799" s="59"/>
      <c r="X799" s="59"/>
      <c r="Y799" s="29" t="str">
        <f>IFERROR(HLOOKUP(U799,List!$D$2:$H$6,2,FALSE),"")</f>
        <v/>
      </c>
      <c r="Z799" s="29" t="str">
        <f>IFERROR(HLOOKUP(V799,List!$D$2:$H$6,3,FALSE),"")</f>
        <v/>
      </c>
      <c r="AA799" s="29" t="str">
        <f>IFERROR(HLOOKUP(W799,List!$D$2:$H$6,4,FALSE),"")</f>
        <v/>
      </c>
      <c r="AB799" s="29" t="str">
        <f>IFERROR(HLOOKUP(X799,List!$D$2:$H$6,5,FALSE),"")</f>
        <v/>
      </c>
      <c r="AC799" s="12" t="str">
        <f t="shared" si="209"/>
        <v/>
      </c>
      <c r="AD799" s="12" t="str">
        <f t="shared" si="210"/>
        <v/>
      </c>
      <c r="AE799" s="12" t="str">
        <f t="shared" si="211"/>
        <v/>
      </c>
      <c r="AF799" s="12" t="str">
        <f t="shared" si="212"/>
        <v/>
      </c>
      <c r="AG799" t="e">
        <f>VLOOKUP(J799,'Receivable Invoice Detail'!$A$1:F3811,6,FALSE)</f>
        <v>#N/A</v>
      </c>
      <c r="AI799" s="59"/>
      <c r="AJ799" s="59"/>
      <c r="AK799" s="59"/>
      <c r="AL799" s="59"/>
      <c r="AM799" s="12" t="str">
        <f t="shared" si="213"/>
        <v/>
      </c>
      <c r="AN799" s="12" t="str">
        <f t="shared" si="214"/>
        <v/>
      </c>
      <c r="AO799" s="12" t="str">
        <f t="shared" si="215"/>
        <v/>
      </c>
      <c r="AP799" s="12" t="str">
        <f t="shared" si="216"/>
        <v/>
      </c>
      <c r="AQ799" s="60"/>
      <c r="AR799" s="59"/>
      <c r="AS799" s="60"/>
      <c r="AT799" s="57"/>
    </row>
    <row r="800" spans="1:46" hidden="1" x14ac:dyDescent="0.25">
      <c r="A800" s="41">
        <f>CASOPOInvCL!T800</f>
        <v>1</v>
      </c>
      <c r="B800" t="str">
        <f>CASOPOInvCL!Z800</f>
        <v>SO17588</v>
      </c>
      <c r="D800" t="s">
        <v>5851</v>
      </c>
      <c r="G800" s="5" t="str">
        <f>CASOPOInvCL!I800</f>
        <v>Alexis Gil Lamadrid</v>
      </c>
      <c r="H800" s="31">
        <f>CASOPOInvCL!U800</f>
        <v>7</v>
      </c>
      <c r="I800" s="31">
        <f>CASOPOInvCL!V800</f>
        <v>2025</v>
      </c>
      <c r="J800" s="5" t="str">
        <f>CASOPOInvCL!AB800</f>
        <v>INV13427</v>
      </c>
      <c r="K800" s="31">
        <f>CASOPOInvCL!W800</f>
        <v>11</v>
      </c>
      <c r="L800" s="31">
        <f>CASOPOInvCL!X800</f>
        <v>2025</v>
      </c>
      <c r="M800">
        <v>2504</v>
      </c>
      <c r="N800" s="5" t="str">
        <f>CASOPOInvCL!AF800</f>
        <v>Resolute Forest Products - Dolbeau</v>
      </c>
      <c r="O800" s="16" t="str">
        <f>CASOPOInvCL!AG800</f>
        <v>CAD</v>
      </c>
      <c r="P800" s="16">
        <f>CASOPOInvCL!AH800</f>
        <v>7695.82</v>
      </c>
      <c r="Q800" s="16">
        <f>CASOPOInvCL!AI800</f>
        <v>5609.3502263372065</v>
      </c>
      <c r="R800" s="32" t="str">
        <f>CASOPOInvCL!AU800</f>
        <v>Yes</v>
      </c>
      <c r="S800" s="16">
        <f>CASOPOInvCL!AV800</f>
        <v>0</v>
      </c>
      <c r="T800" s="16">
        <f>CASOPOInvCL!AW800</f>
        <v>5609.3502263372065</v>
      </c>
      <c r="V800" t="s">
        <v>5800</v>
      </c>
      <c r="Y800" s="29" t="str">
        <f>IFERROR(HLOOKUP(U800,List!$D$2:$H$6,2,FALSE),"")</f>
        <v/>
      </c>
      <c r="Z800" s="29">
        <f>IFERROR(HLOOKUP(V800,List!$D$2:$H$6,3,FALSE),"")</f>
        <v>5.0000000000000001E-3</v>
      </c>
      <c r="AA800" s="29" t="str">
        <f>IFERROR(HLOOKUP(W800,List!$D$2:$H$6,4,FALSE),"")</f>
        <v/>
      </c>
      <c r="AB800" s="29" t="str">
        <f>IFERROR(HLOOKUP(X800,List!$D$2:$H$6,5,FALSE),"")</f>
        <v/>
      </c>
      <c r="AC800" s="12" t="str">
        <f t="shared" si="209"/>
        <v/>
      </c>
      <c r="AD800" s="12">
        <f t="shared" si="210"/>
        <v>28.046751131686033</v>
      </c>
      <c r="AE800" s="12" t="str">
        <f t="shared" si="211"/>
        <v/>
      </c>
      <c r="AF800" s="12" t="str">
        <f t="shared" si="212"/>
        <v/>
      </c>
      <c r="AG800" t="str">
        <f>VLOOKUP(J800,'Receivable Invoice Detail'!$A$1:F3812,6,FALSE)</f>
        <v>[WO-2114552-316] Impeller, Worthington 6-FRBH-223, 316SS</v>
      </c>
      <c r="AM800" s="12" t="str">
        <f t="shared" si="213"/>
        <v/>
      </c>
      <c r="AN800" s="12">
        <f t="shared" si="214"/>
        <v>28.046751131686033</v>
      </c>
      <c r="AO800" s="12" t="str">
        <f t="shared" si="215"/>
        <v/>
      </c>
      <c r="AP800" s="12" t="str">
        <f t="shared" si="216"/>
        <v/>
      </c>
      <c r="AQ800" s="64">
        <f>M800</f>
        <v>2504</v>
      </c>
      <c r="AR800" t="s">
        <v>5931</v>
      </c>
      <c r="AS800" s="12">
        <f t="shared" ref="AS800:AS837" si="221">T797*1.5%</f>
        <v>0</v>
      </c>
      <c r="AT800" s="16" t="s">
        <v>5940</v>
      </c>
    </row>
    <row r="801" spans="1:46" hidden="1" x14ac:dyDescent="0.25">
      <c r="A801" s="41">
        <f>CASOPOInvCL!T801</f>
        <v>1</v>
      </c>
      <c r="B801" t="str">
        <f>CASOPOInvCL!Z801</f>
        <v>SO17589</v>
      </c>
      <c r="G801" s="5" t="str">
        <f>CASOPOInvCL!I801</f>
        <v>Yannett Yeomans</v>
      </c>
      <c r="H801" s="31">
        <f>CASOPOInvCL!U801</f>
        <v>7</v>
      </c>
      <c r="I801" s="31">
        <f>CASOPOInvCL!V801</f>
        <v>2025</v>
      </c>
      <c r="J801" s="5" t="str">
        <f>CASOPOInvCL!AB801</f>
        <v>INV13370</v>
      </c>
      <c r="K801" s="31" t="str">
        <f>CASOPOInvCL!W801</f>
        <v/>
      </c>
      <c r="L801" s="31" t="str">
        <f>CASOPOInvCL!X801</f>
        <v/>
      </c>
      <c r="M801" s="31"/>
      <c r="N801" s="5" t="str">
        <f>CASOPOInvCL!AF801</f>
        <v>Dynapro Pumps México S de RL de CV</v>
      </c>
      <c r="O801" s="16" t="str">
        <f>CASOPOInvCL!AG801</f>
        <v>USD</v>
      </c>
      <c r="P801" s="16">
        <f>CASOPOInvCL!AH801</f>
        <v>489.96579816677399</v>
      </c>
      <c r="Q801" s="16">
        <f>CASOPOInvCL!AI801</f>
        <v>360</v>
      </c>
      <c r="R801" s="32" t="str">
        <f>CASOPOInvCL!AU801</f>
        <v/>
      </c>
      <c r="S801" s="16">
        <f>CASOPOInvCL!AV801</f>
        <v>0</v>
      </c>
      <c r="T801" s="16">
        <f>CASOPOInvCL!AW801</f>
        <v>0</v>
      </c>
      <c r="Y801" s="29" t="str">
        <f>IFERROR(HLOOKUP(U801,List!$D$2:$H$6,2,FALSE),"")</f>
        <v/>
      </c>
      <c r="Z801" s="29" t="str">
        <f>IFERROR(HLOOKUP(V801,List!$D$2:$H$6,3,FALSE),"")</f>
        <v/>
      </c>
      <c r="AA801" s="29" t="str">
        <f>IFERROR(HLOOKUP(W801,List!$D$2:$H$6,4,FALSE),"")</f>
        <v/>
      </c>
      <c r="AB801" s="29" t="str">
        <f>IFERROR(HLOOKUP(X801,List!$D$2:$H$6,5,FALSE),"")</f>
        <v/>
      </c>
      <c r="AC801" s="12" t="str">
        <f t="shared" si="209"/>
        <v/>
      </c>
      <c r="AD801" s="12" t="str">
        <f t="shared" si="210"/>
        <v/>
      </c>
      <c r="AE801" s="12" t="str">
        <f t="shared" si="211"/>
        <v/>
      </c>
      <c r="AF801" s="12" t="str">
        <f t="shared" si="212"/>
        <v/>
      </c>
      <c r="AG801" t="str">
        <f>VLOOKUP(J801,'Receivable Invoice Detail'!$A$1:F3813,6,FALSE)</f>
        <v>[W-E090SQ/S10] Lip Seal, 8/6 E-AH, Nitrile</v>
      </c>
      <c r="AM801" s="12" t="str">
        <f t="shared" si="213"/>
        <v/>
      </c>
      <c r="AN801" s="12" t="str">
        <f t="shared" si="214"/>
        <v/>
      </c>
      <c r="AO801" s="12" t="str">
        <f t="shared" si="215"/>
        <v/>
      </c>
      <c r="AP801" s="12" t="str">
        <f t="shared" si="216"/>
        <v/>
      </c>
      <c r="AQ801" s="12"/>
      <c r="AR801" s="16" t="s">
        <v>5940</v>
      </c>
      <c r="AS801" s="12">
        <f t="shared" si="221"/>
        <v>0</v>
      </c>
      <c r="AT801" s="16" t="str">
        <f t="shared" ref="AT801:AT811" si="222">R800</f>
        <v>Yes</v>
      </c>
    </row>
    <row r="802" spans="1:46" hidden="1" x14ac:dyDescent="0.25">
      <c r="A802" s="41">
        <f>CASOPOInvCL!T802</f>
        <v>1</v>
      </c>
      <c r="B802" t="str">
        <f>CASOPOInvCL!Z802</f>
        <v>SO17590</v>
      </c>
      <c r="G802" s="5" t="str">
        <f>CASOPOInvCL!I802</f>
        <v>Yannett Yeomans</v>
      </c>
      <c r="H802" s="31">
        <f>CASOPOInvCL!U802</f>
        <v>7</v>
      </c>
      <c r="I802" s="31">
        <f>CASOPOInvCL!V802</f>
        <v>2025</v>
      </c>
      <c r="J802" s="5" t="str">
        <f>CASOPOInvCL!AB802</f>
        <v>INV13470</v>
      </c>
      <c r="K802" s="31" t="str">
        <f>CASOPOInvCL!W802</f>
        <v/>
      </c>
      <c r="L802" s="31" t="str">
        <f>CASOPOInvCL!X802</f>
        <v/>
      </c>
      <c r="M802" s="31"/>
      <c r="N802" s="5" t="str">
        <f>CASOPOInvCL!AF802</f>
        <v>Dynapro Pumps México S de RL de CV</v>
      </c>
      <c r="O802" s="16" t="str">
        <f>CASOPOInvCL!AG802</f>
        <v>USD</v>
      </c>
      <c r="P802" s="16">
        <f>CASOPOInvCL!AH802</f>
        <v>13885.086313603968</v>
      </c>
      <c r="Q802" s="16">
        <f>CASOPOInvCL!AI802</f>
        <v>10202</v>
      </c>
      <c r="R802" s="32" t="str">
        <f>CASOPOInvCL!AU802</f>
        <v/>
      </c>
      <c r="S802" s="16">
        <f>CASOPOInvCL!AV802</f>
        <v>0</v>
      </c>
      <c r="T802" s="16">
        <f>CASOPOInvCL!AW802</f>
        <v>0</v>
      </c>
      <c r="Y802" s="29" t="str">
        <f>IFERROR(HLOOKUP(U802,List!$D$2:$H$6,2,FALSE),"")</f>
        <v/>
      </c>
      <c r="Z802" s="29" t="str">
        <f>IFERROR(HLOOKUP(V802,List!$D$2:$H$6,3,FALSE),"")</f>
        <v/>
      </c>
      <c r="AA802" s="29" t="str">
        <f>IFERROR(HLOOKUP(W802,List!$D$2:$H$6,4,FALSE),"")</f>
        <v/>
      </c>
      <c r="AB802" s="29" t="str">
        <f>IFERROR(HLOOKUP(X802,List!$D$2:$H$6,5,FALSE),"")</f>
        <v/>
      </c>
      <c r="AC802" s="12" t="str">
        <f t="shared" si="209"/>
        <v/>
      </c>
      <c r="AD802" s="12" t="str">
        <f t="shared" si="210"/>
        <v/>
      </c>
      <c r="AE802" s="12" t="str">
        <f t="shared" si="211"/>
        <v/>
      </c>
      <c r="AF802" s="12" t="str">
        <f t="shared" si="212"/>
        <v/>
      </c>
      <c r="AG802" t="str">
        <f>VLOOKUP(J802,'Receivable Invoice Detail'!$A$1:F3814,6,FALSE)</f>
        <v>[SH675] Submersible Sewage Pump D-SS, SH675</v>
      </c>
      <c r="AM802" s="12" t="str">
        <f t="shared" si="213"/>
        <v/>
      </c>
      <c r="AN802" s="12" t="str">
        <f t="shared" si="214"/>
        <v/>
      </c>
      <c r="AO802" s="12" t="str">
        <f t="shared" si="215"/>
        <v/>
      </c>
      <c r="AP802" s="12" t="str">
        <f t="shared" si="216"/>
        <v/>
      </c>
      <c r="AQ802" s="12"/>
      <c r="AR802" s="16" t="s">
        <v>5940</v>
      </c>
      <c r="AS802" s="12">
        <f t="shared" si="221"/>
        <v>0</v>
      </c>
      <c r="AT802" s="16" t="str">
        <f t="shared" si="222"/>
        <v/>
      </c>
    </row>
    <row r="803" spans="1:46" hidden="1" x14ac:dyDescent="0.25">
      <c r="A803" s="41">
        <f>CASOPOInvCL!T803</f>
        <v>1</v>
      </c>
      <c r="B803" t="str">
        <f>CASOPOInvCL!Z803</f>
        <v>SO17593</v>
      </c>
      <c r="D803" t="s">
        <v>5915</v>
      </c>
      <c r="G803" s="5" t="str">
        <f>CASOPOInvCL!I803</f>
        <v>Wilka Nuñez</v>
      </c>
      <c r="H803" s="31">
        <f>CASOPOInvCL!U803</f>
        <v>7</v>
      </c>
      <c r="I803" s="31">
        <f>CASOPOInvCL!V803</f>
        <v>2025</v>
      </c>
      <c r="J803" s="5" t="str">
        <f>CASOPOInvCL!AB803</f>
        <v>INV13588</v>
      </c>
      <c r="K803" s="31">
        <f>CASOPOInvCL!W803</f>
        <v>9</v>
      </c>
      <c r="L803" s="31">
        <f>CASOPOInvCL!X803</f>
        <v>2025</v>
      </c>
      <c r="M803">
        <v>2504</v>
      </c>
      <c r="N803" s="5" t="str">
        <f>CASOPOInvCL!AF803</f>
        <v>CK Loosbrock USA LLC</v>
      </c>
      <c r="O803" s="16" t="str">
        <f>CASOPOInvCL!AG803</f>
        <v>USD</v>
      </c>
      <c r="P803" s="16">
        <f>CASOPOInvCL!AH803</f>
        <v>6099.4702212788197</v>
      </c>
      <c r="Q803" s="16">
        <f>CASOPOInvCL!AI803</f>
        <v>4420.59</v>
      </c>
      <c r="R803" s="32" t="str">
        <f>CASOPOInvCL!AU803</f>
        <v>Yes</v>
      </c>
      <c r="S803" s="16">
        <f>CASOPOInvCL!AV803</f>
        <v>0</v>
      </c>
      <c r="T803" s="16">
        <f>CASOPOInvCL!AW803</f>
        <v>4420.59</v>
      </c>
      <c r="V803" t="s">
        <v>5800</v>
      </c>
      <c r="Y803" s="29" t="str">
        <f>IFERROR(HLOOKUP(U803,List!$D$2:$H$6,2,FALSE),"")</f>
        <v/>
      </c>
      <c r="Z803" s="29">
        <f>IFERROR(HLOOKUP(V803,List!$D$2:$H$6,3,FALSE),"")</f>
        <v>5.0000000000000001E-3</v>
      </c>
      <c r="AA803" s="29" t="str">
        <f>IFERROR(HLOOKUP(W803,List!$D$2:$H$6,4,FALSE),"")</f>
        <v/>
      </c>
      <c r="AB803" s="29" t="str">
        <f>IFERROR(HLOOKUP(X803,List!$D$2:$H$6,5,FALSE),"")</f>
        <v/>
      </c>
      <c r="AC803" s="12" t="str">
        <f t="shared" si="209"/>
        <v/>
      </c>
      <c r="AD803" s="12">
        <f t="shared" si="210"/>
        <v>22.10295</v>
      </c>
      <c r="AE803" s="12" t="str">
        <f t="shared" si="211"/>
        <v/>
      </c>
      <c r="AF803" s="12" t="str">
        <f t="shared" si="212"/>
        <v/>
      </c>
      <c r="AG803" t="str">
        <f>VLOOKUP(J803,'Receivable Invoice Detail'!$A$1:F3815,6,FALSE)</f>
        <v>[GA-16983] Impeller, 3x4 G-Series Vacseal Horizontal, Natural Rubber</v>
      </c>
      <c r="AM803" s="12" t="str">
        <f t="shared" si="213"/>
        <v/>
      </c>
      <c r="AN803" s="12">
        <f t="shared" si="214"/>
        <v>22.10295</v>
      </c>
      <c r="AO803" s="12" t="str">
        <f t="shared" si="215"/>
        <v/>
      </c>
      <c r="AP803" s="12" t="str">
        <f t="shared" si="216"/>
        <v/>
      </c>
      <c r="AQ803" s="64">
        <f t="shared" ref="AQ803:AQ808" si="223">M803</f>
        <v>2504</v>
      </c>
      <c r="AR803" t="s">
        <v>5931</v>
      </c>
      <c r="AS803" s="12">
        <f t="shared" si="221"/>
        <v>84.140253395058096</v>
      </c>
      <c r="AT803" s="16" t="str">
        <f t="shared" si="222"/>
        <v/>
      </c>
    </row>
    <row r="804" spans="1:46" hidden="1" x14ac:dyDescent="0.25">
      <c r="A804" s="41">
        <f>CASOPOInvCL!T804</f>
        <v>1</v>
      </c>
      <c r="B804" t="str">
        <f>CASOPOInvCL!Z804</f>
        <v>SO17595</v>
      </c>
      <c r="G804" s="5" t="str">
        <f>CASOPOInvCL!I804</f>
        <v>Marlen Martinez</v>
      </c>
      <c r="H804" s="31">
        <f>CASOPOInvCL!U804</f>
        <v>7</v>
      </c>
      <c r="I804" s="31">
        <f>CASOPOInvCL!V804</f>
        <v>2025</v>
      </c>
      <c r="J804" s="5" t="str">
        <f>CASOPOInvCL!AB804</f>
        <v>INV13241</v>
      </c>
      <c r="K804" s="31">
        <f>CASOPOInvCL!W804</f>
        <v>10</v>
      </c>
      <c r="L804" s="31">
        <f>CASOPOInvCL!X804</f>
        <v>2025</v>
      </c>
      <c r="M804">
        <v>2504</v>
      </c>
      <c r="N804" s="5" t="str">
        <f>CASOPOInvCL!AF804</f>
        <v>Covia Corp - Junction City</v>
      </c>
      <c r="O804" s="16" t="str">
        <f>CASOPOInvCL!AG804</f>
        <v>USD</v>
      </c>
      <c r="P804" s="16">
        <f>CASOPOInvCL!AH804</f>
        <v>2679.8246370055667</v>
      </c>
      <c r="Q804" s="16">
        <f>CASOPOInvCL!AI804</f>
        <v>1956.36</v>
      </c>
      <c r="R804" s="32" t="str">
        <f>CASOPOInvCL!AU804</f>
        <v>Yes</v>
      </c>
      <c r="S804" s="16">
        <f>CASOPOInvCL!AV804</f>
        <v>0</v>
      </c>
      <c r="T804" s="16">
        <f>CASOPOInvCL!AW804</f>
        <v>1956.36</v>
      </c>
      <c r="Y804" s="29" t="str">
        <f>IFERROR(HLOOKUP(U804,List!$D$2:$H$6,2,FALSE),"")</f>
        <v/>
      </c>
      <c r="Z804" s="29" t="str">
        <f>IFERROR(HLOOKUP(V804,List!$D$2:$H$6,3,FALSE),"")</f>
        <v/>
      </c>
      <c r="AA804" s="29" t="str">
        <f>IFERROR(HLOOKUP(W804,List!$D$2:$H$6,4,FALSE),"")</f>
        <v/>
      </c>
      <c r="AB804" s="29" t="str">
        <f>IFERROR(HLOOKUP(X804,List!$D$2:$H$6,5,FALSE),"")</f>
        <v/>
      </c>
      <c r="AC804" s="12" t="str">
        <f t="shared" si="209"/>
        <v/>
      </c>
      <c r="AD804" s="12" t="str">
        <f t="shared" si="210"/>
        <v/>
      </c>
      <c r="AE804" s="12" t="str">
        <f t="shared" si="211"/>
        <v/>
      </c>
      <c r="AF804" s="12" t="str">
        <f t="shared" si="212"/>
        <v/>
      </c>
      <c r="AG804" t="str">
        <f>VLOOKUP(J804,'Receivable Invoice Detail'!$A$1:F3816,6,FALSE)</f>
        <v>[W-R063/C23] Lantern Ring, 300 RSL, 316SS</v>
      </c>
      <c r="AM804" s="12" t="str">
        <f t="shared" si="213"/>
        <v/>
      </c>
      <c r="AN804" s="12" t="str">
        <f t="shared" si="214"/>
        <v/>
      </c>
      <c r="AO804" s="12" t="str">
        <f t="shared" si="215"/>
        <v/>
      </c>
      <c r="AP804" s="12" t="str">
        <f t="shared" si="216"/>
        <v/>
      </c>
      <c r="AQ804" s="64">
        <f t="shared" si="223"/>
        <v>2504</v>
      </c>
      <c r="AR804" s="23" t="s">
        <v>5939</v>
      </c>
      <c r="AS804" s="12">
        <f t="shared" si="221"/>
        <v>0</v>
      </c>
      <c r="AT804" s="16" t="str">
        <f t="shared" si="222"/>
        <v>Yes</v>
      </c>
    </row>
    <row r="805" spans="1:46" hidden="1" x14ac:dyDescent="0.25">
      <c r="A805" s="41">
        <f>CASOPOInvCL!T805</f>
        <v>1</v>
      </c>
      <c r="B805" t="str">
        <f>CASOPOInvCL!Z805</f>
        <v>SO17596</v>
      </c>
      <c r="D805" t="s">
        <v>5851</v>
      </c>
      <c r="G805" s="5" t="str">
        <f>CASOPOInvCL!I805</f>
        <v>Alexis Gil Lamadrid</v>
      </c>
      <c r="H805" s="31">
        <f>CASOPOInvCL!U805</f>
        <v>7</v>
      </c>
      <c r="I805" s="31">
        <f>CASOPOInvCL!V805</f>
        <v>2025</v>
      </c>
      <c r="J805" s="5" t="str">
        <f>CASOPOInvCL!AB805</f>
        <v>INV13246</v>
      </c>
      <c r="K805" s="31">
        <f>CASOPOInvCL!W805</f>
        <v>9</v>
      </c>
      <c r="L805" s="31">
        <f>CASOPOInvCL!X805</f>
        <v>2025</v>
      </c>
      <c r="M805">
        <v>2503</v>
      </c>
      <c r="N805" s="5" t="str">
        <f>CASOPOInvCL!AF805</f>
        <v>Wajax Limited - Noranda, Wajax Limited - Noranda</v>
      </c>
      <c r="O805" s="16" t="str">
        <f>CASOPOInvCL!AG805</f>
        <v>CAD</v>
      </c>
      <c r="P805" s="16">
        <f>CASOPOInvCL!AH805</f>
        <v>262.76</v>
      </c>
      <c r="Q805" s="16">
        <f>CASOPOInvCL!AI805</f>
        <v>191.52122392056518</v>
      </c>
      <c r="R805" s="32" t="str">
        <f>CASOPOInvCL!AU805</f>
        <v>Yes</v>
      </c>
      <c r="S805" s="16">
        <f>CASOPOInvCL!AV805</f>
        <v>0</v>
      </c>
      <c r="T805" s="16">
        <f>CASOPOInvCL!AW805</f>
        <v>191.52122392056518</v>
      </c>
      <c r="V805" t="s">
        <v>5800</v>
      </c>
      <c r="Y805" s="29" t="str">
        <f>IFERROR(HLOOKUP(U805,List!$D$2:$H$6,2,FALSE),"")</f>
        <v/>
      </c>
      <c r="Z805" s="29">
        <f>IFERROR(HLOOKUP(V805,List!$D$2:$H$6,3,FALSE),"")</f>
        <v>5.0000000000000001E-3</v>
      </c>
      <c r="AA805" s="29" t="str">
        <f>IFERROR(HLOOKUP(W805,List!$D$2:$H$6,4,FALSE),"")</f>
        <v/>
      </c>
      <c r="AB805" s="29" t="str">
        <f>IFERROR(HLOOKUP(X805,List!$D$2:$H$6,5,FALSE),"")</f>
        <v/>
      </c>
      <c r="AC805" s="12" t="str">
        <f t="shared" si="209"/>
        <v/>
      </c>
      <c r="AD805" s="12">
        <f t="shared" si="210"/>
        <v>0.95760611960282593</v>
      </c>
      <c r="AE805" s="12" t="str">
        <f t="shared" si="211"/>
        <v/>
      </c>
      <c r="AF805" s="12" t="str">
        <f t="shared" si="212"/>
        <v/>
      </c>
      <c r="AG805" t="str">
        <f>VLOOKUP(J805,'Receivable Invoice Detail'!$A$1:F3817,6,FALSE)</f>
        <v>[AC-98-233-700-002] Bearing Cover Gasket (Inboard &amp; Outboard), 5x4/5x5/6x6 SRL &amp; SRL-C</v>
      </c>
      <c r="AJ805">
        <v>2503</v>
      </c>
      <c r="AM805" s="12" t="str">
        <f t="shared" si="213"/>
        <v/>
      </c>
      <c r="AN805" s="12">
        <f t="shared" si="214"/>
        <v>0</v>
      </c>
      <c r="AO805" s="12" t="str">
        <f t="shared" si="215"/>
        <v/>
      </c>
      <c r="AP805" s="12" t="str">
        <f t="shared" si="216"/>
        <v/>
      </c>
      <c r="AQ805" s="64">
        <f t="shared" si="223"/>
        <v>2503</v>
      </c>
      <c r="AR805" t="s">
        <v>5931</v>
      </c>
      <c r="AS805" s="12">
        <f t="shared" si="221"/>
        <v>0</v>
      </c>
      <c r="AT805" s="16" t="str">
        <f t="shared" si="222"/>
        <v>Yes</v>
      </c>
    </row>
    <row r="806" spans="1:46" hidden="1" x14ac:dyDescent="0.25">
      <c r="A806" s="41">
        <f>CASOPOInvCL!T806</f>
        <v>2</v>
      </c>
      <c r="B806" t="str">
        <f>CASOPOInvCL!Z806</f>
        <v>SO17597</v>
      </c>
      <c r="D806" t="s">
        <v>5851</v>
      </c>
      <c r="G806" s="5" t="str">
        <f>CASOPOInvCL!I806</f>
        <v>Alexis Gil Lamadrid</v>
      </c>
      <c r="H806" s="31">
        <f>CASOPOInvCL!U806</f>
        <v>7</v>
      </c>
      <c r="I806" s="31">
        <f>CASOPOInvCL!V806</f>
        <v>2025</v>
      </c>
      <c r="J806" s="5" t="str">
        <f>CASOPOInvCL!AB806</f>
        <v>INV13313</v>
      </c>
      <c r="K806" s="31">
        <f>CASOPOInvCL!W806</f>
        <v>9</v>
      </c>
      <c r="L806" s="31">
        <f>CASOPOInvCL!X806</f>
        <v>2025</v>
      </c>
      <c r="M806">
        <v>2503</v>
      </c>
      <c r="N806" s="5" t="str">
        <f>CASOPOInvCL!AF806</f>
        <v>Wild Rows Pump &amp; Compression LTD., Wild Rows Pump &amp; Compression LTD.</v>
      </c>
      <c r="O806" s="16" t="str">
        <f>CASOPOInvCL!AG806</f>
        <v>CAD</v>
      </c>
      <c r="P806" s="16">
        <f>CASOPOInvCL!AH806</f>
        <v>1966.94</v>
      </c>
      <c r="Q806" s="16">
        <f>CASOPOInvCL!AI806</f>
        <v>1433.6685803711248</v>
      </c>
      <c r="R806" s="32" t="str">
        <f>CASOPOInvCL!AU806</f>
        <v>Yes</v>
      </c>
      <c r="S806" s="16">
        <f>CASOPOInvCL!AV806</f>
        <v>0</v>
      </c>
      <c r="T806" s="16">
        <f>CASOPOInvCL!AW806</f>
        <v>1433.6685803711248</v>
      </c>
      <c r="V806" t="s">
        <v>5800</v>
      </c>
      <c r="Y806" s="29" t="str">
        <f>IFERROR(HLOOKUP(U806,List!$D$2:$H$6,2,FALSE),"")</f>
        <v/>
      </c>
      <c r="Z806" s="29">
        <f>IFERROR(HLOOKUP(V806,List!$D$2:$H$6,3,FALSE),"")</f>
        <v>5.0000000000000001E-3</v>
      </c>
      <c r="AA806" s="29" t="str">
        <f>IFERROR(HLOOKUP(W806,List!$D$2:$H$6,4,FALSE),"")</f>
        <v/>
      </c>
      <c r="AB806" s="29" t="str">
        <f>IFERROR(HLOOKUP(X806,List!$D$2:$H$6,5,FALSE),"")</f>
        <v/>
      </c>
      <c r="AC806" s="12" t="str">
        <f t="shared" si="209"/>
        <v/>
      </c>
      <c r="AD806" s="12">
        <f t="shared" si="210"/>
        <v>7.1683429018556239</v>
      </c>
      <c r="AE806" s="12" t="str">
        <f t="shared" si="211"/>
        <v/>
      </c>
      <c r="AF806" s="12" t="str">
        <f t="shared" si="212"/>
        <v/>
      </c>
      <c r="AG806" t="str">
        <f>VLOOKUP(J806,'Receivable Invoice Detail'!$A$1:F3818,6,FALSE)</f>
        <v>[W-C2036M/U38] Frame Plate Liner, 3/2C-AH, Urethane</v>
      </c>
      <c r="AJ806">
        <v>2503</v>
      </c>
      <c r="AM806" s="12" t="str">
        <f t="shared" si="213"/>
        <v/>
      </c>
      <c r="AN806" s="12">
        <f t="shared" si="214"/>
        <v>0</v>
      </c>
      <c r="AO806" s="12" t="str">
        <f t="shared" si="215"/>
        <v/>
      </c>
      <c r="AP806" s="12" t="str">
        <f t="shared" si="216"/>
        <v/>
      </c>
      <c r="AQ806" s="64">
        <f t="shared" si="223"/>
        <v>2503</v>
      </c>
      <c r="AR806" t="s">
        <v>5931</v>
      </c>
      <c r="AS806" s="12">
        <f t="shared" si="221"/>
        <v>66.308850000000007</v>
      </c>
      <c r="AT806" s="16" t="str">
        <f t="shared" si="222"/>
        <v>Yes</v>
      </c>
    </row>
    <row r="807" spans="1:46" hidden="1" x14ac:dyDescent="0.25">
      <c r="A807" s="41">
        <f>CASOPOInvCL!T807</f>
        <v>2</v>
      </c>
      <c r="B807" t="str">
        <f>CASOPOInvCL!Z807</f>
        <v>SO17597</v>
      </c>
      <c r="D807" t="s">
        <v>5851</v>
      </c>
      <c r="G807" s="5">
        <f>CASOPOInvCL!I807</f>
        <v>0</v>
      </c>
      <c r="H807" s="31">
        <f>CASOPOInvCL!U807</f>
        <v>7</v>
      </c>
      <c r="I807" s="31">
        <f>CASOPOInvCL!V807</f>
        <v>2025</v>
      </c>
      <c r="J807" s="5" t="str">
        <f>CASOPOInvCL!AB807</f>
        <v>INV13264</v>
      </c>
      <c r="K807" s="31">
        <f>CASOPOInvCL!W807</f>
        <v>8</v>
      </c>
      <c r="L807" s="31">
        <f>CASOPOInvCL!X807</f>
        <v>2025</v>
      </c>
      <c r="M807">
        <v>2503</v>
      </c>
      <c r="N807" s="5" t="str">
        <f>CASOPOInvCL!AF807</f>
        <v>Wild Rows Pump &amp; Compression LTD., Wild Rows Pump &amp; Compression LTD.</v>
      </c>
      <c r="O807" s="16" t="str">
        <f>CASOPOInvCL!AG807</f>
        <v>CAD</v>
      </c>
      <c r="P807" s="16">
        <f>CASOPOInvCL!AH807</f>
        <v>0</v>
      </c>
      <c r="Q807" s="16">
        <f>CASOPOInvCL!AI807</f>
        <v>0</v>
      </c>
      <c r="R807" s="32" t="str">
        <f>CASOPOInvCL!AU807</f>
        <v/>
      </c>
      <c r="S807" s="16">
        <f>CASOPOInvCL!AV807</f>
        <v>0</v>
      </c>
      <c r="T807" s="16">
        <f>CASOPOInvCL!AW807</f>
        <v>0</v>
      </c>
      <c r="V807" t="s">
        <v>5800</v>
      </c>
      <c r="Y807" s="29" t="str">
        <f>IFERROR(HLOOKUP(U807,List!$D$2:$H$6,2,FALSE),"")</f>
        <v/>
      </c>
      <c r="Z807" s="29">
        <f>IFERROR(HLOOKUP(V807,List!$D$2:$H$6,3,FALSE),"")</f>
        <v>5.0000000000000001E-3</v>
      </c>
      <c r="AA807" s="29" t="str">
        <f>IFERROR(HLOOKUP(W807,List!$D$2:$H$6,4,FALSE),"")</f>
        <v/>
      </c>
      <c r="AB807" s="29" t="str">
        <f>IFERROR(HLOOKUP(X807,List!$D$2:$H$6,5,FALSE),"")</f>
        <v/>
      </c>
      <c r="AC807" s="12" t="str">
        <f t="shared" si="209"/>
        <v/>
      </c>
      <c r="AD807" s="12">
        <f t="shared" si="210"/>
        <v>0</v>
      </c>
      <c r="AE807" s="12" t="str">
        <f t="shared" si="211"/>
        <v/>
      </c>
      <c r="AF807" s="12" t="str">
        <f t="shared" si="212"/>
        <v/>
      </c>
      <c r="AG807" t="str">
        <f>VLOOKUP(J807,'Receivable Invoice Detail'!$A$1:F3819,6,FALSE)</f>
        <v>[W-C2147/A61] Impeller, 3/2 C-AH, Hyperchrome</v>
      </c>
      <c r="AJ807">
        <v>2503</v>
      </c>
      <c r="AM807" s="12" t="str">
        <f t="shared" si="213"/>
        <v/>
      </c>
      <c r="AN807" s="12">
        <f t="shared" si="214"/>
        <v>0</v>
      </c>
      <c r="AO807" s="12" t="str">
        <f t="shared" si="215"/>
        <v/>
      </c>
      <c r="AP807" s="12" t="str">
        <f t="shared" si="216"/>
        <v/>
      </c>
      <c r="AQ807" s="64">
        <f t="shared" si="223"/>
        <v>2503</v>
      </c>
      <c r="AR807" t="s">
        <v>5931</v>
      </c>
      <c r="AS807" s="12">
        <f t="shared" si="221"/>
        <v>29.345399999999998</v>
      </c>
      <c r="AT807" s="16" t="str">
        <f t="shared" si="222"/>
        <v>Yes</v>
      </c>
    </row>
    <row r="808" spans="1:46" hidden="1" x14ac:dyDescent="0.25">
      <c r="A808" s="41">
        <f>CASOPOInvCL!T808</f>
        <v>1</v>
      </c>
      <c r="B808" t="str">
        <f>CASOPOInvCL!Z808</f>
        <v>SO17598</v>
      </c>
      <c r="D808" t="s">
        <v>5915</v>
      </c>
      <c r="G808" s="5" t="str">
        <f>CASOPOInvCL!I808</f>
        <v>Wilka Nuñez</v>
      </c>
      <c r="H808" s="31">
        <f>CASOPOInvCL!U808</f>
        <v>7</v>
      </c>
      <c r="I808" s="31">
        <f>CASOPOInvCL!V808</f>
        <v>2025</v>
      </c>
      <c r="J808" s="5" t="str">
        <f>CASOPOInvCL!AB808</f>
        <v>INV13327</v>
      </c>
      <c r="K808" s="31">
        <f>CASOPOInvCL!W808</f>
        <v>9</v>
      </c>
      <c r="L808" s="31">
        <f>CASOPOInvCL!X808</f>
        <v>2025</v>
      </c>
      <c r="M808">
        <v>2503</v>
      </c>
      <c r="N808" s="5" t="str">
        <f>CASOPOInvCL!AF808</f>
        <v>Sling-Choker Manufacturing - Timmins</v>
      </c>
      <c r="O808" s="16" t="str">
        <f>CASOPOInvCL!AG808</f>
        <v>CAD</v>
      </c>
      <c r="P808" s="16">
        <f>CASOPOInvCL!AH808</f>
        <v>4984.1899999999996</v>
      </c>
      <c r="Q808" s="16">
        <f>CASOPOInvCL!AI808</f>
        <v>3636.2550125670141</v>
      </c>
      <c r="R808" s="32" t="str">
        <f>CASOPOInvCL!AU808</f>
        <v>Yes</v>
      </c>
      <c r="S808" s="16">
        <f>CASOPOInvCL!AV808</f>
        <v>0</v>
      </c>
      <c r="T808" s="16">
        <f>CASOPOInvCL!AW808</f>
        <v>3636.2550125670141</v>
      </c>
      <c r="V808" t="s">
        <v>5800</v>
      </c>
      <c r="Y808" s="29" t="str">
        <f>IFERROR(HLOOKUP(U808,List!$D$2:$H$6,2,FALSE),"")</f>
        <v/>
      </c>
      <c r="Z808" s="29">
        <f>IFERROR(HLOOKUP(V808,List!$D$2:$H$6,3,FALSE),"")</f>
        <v>5.0000000000000001E-3</v>
      </c>
      <c r="AA808" s="29" t="str">
        <f>IFERROR(HLOOKUP(W808,List!$D$2:$H$6,4,FALSE),"")</f>
        <v/>
      </c>
      <c r="AB808" s="29" t="str">
        <f>IFERROR(HLOOKUP(X808,List!$D$2:$H$6,5,FALSE),"")</f>
        <v/>
      </c>
      <c r="AC808" s="12" t="str">
        <f t="shared" si="209"/>
        <v/>
      </c>
      <c r="AD808" s="12">
        <f t="shared" si="210"/>
        <v>18.18127506283507</v>
      </c>
      <c r="AE808" s="12" t="str">
        <f t="shared" si="211"/>
        <v/>
      </c>
      <c r="AF808" s="12" t="str">
        <f t="shared" si="212"/>
        <v/>
      </c>
      <c r="AG808" t="str">
        <f>VLOOKUP(J808,'Receivable Invoice Detail'!$A$1:F3820,6,FALSE)</f>
        <v>[G-P9610M0R000050] Power End, 3996 MT, 10 Inch, Grease Lube, 4140 Shaft</v>
      </c>
      <c r="AJ808">
        <v>2503</v>
      </c>
      <c r="AM808" s="12" t="str">
        <f t="shared" si="213"/>
        <v/>
      </c>
      <c r="AN808" s="12">
        <f t="shared" si="214"/>
        <v>0</v>
      </c>
      <c r="AO808" s="12" t="str">
        <f t="shared" si="215"/>
        <v/>
      </c>
      <c r="AP808" s="12" t="str">
        <f t="shared" si="216"/>
        <v/>
      </c>
      <c r="AQ808" s="64">
        <f t="shared" si="223"/>
        <v>2503</v>
      </c>
      <c r="AR808" t="s">
        <v>5931</v>
      </c>
      <c r="AS808" s="12">
        <f t="shared" si="221"/>
        <v>2.8728183588084777</v>
      </c>
      <c r="AT808" s="16" t="str">
        <f t="shared" si="222"/>
        <v/>
      </c>
    </row>
    <row r="809" spans="1:46" hidden="1" x14ac:dyDescent="0.25">
      <c r="A809" s="41">
        <f>CASOPOInvCL!T809</f>
        <v>2</v>
      </c>
      <c r="B809" t="str">
        <f>CASOPOInvCL!Z809</f>
        <v>SO17603</v>
      </c>
      <c r="G809" s="5" t="str">
        <f>CASOPOInvCL!I809</f>
        <v>Ian Trottier</v>
      </c>
      <c r="H809" s="31">
        <f>CASOPOInvCL!U809</f>
        <v>7</v>
      </c>
      <c r="I809" s="31">
        <f>CASOPOInvCL!V809</f>
        <v>2025</v>
      </c>
      <c r="J809" s="5" t="str">
        <f>CASOPOInvCL!AB809</f>
        <v>INV13670</v>
      </c>
      <c r="K809" s="31">
        <f>CASOPOInvCL!W809</f>
        <v>12</v>
      </c>
      <c r="L809" s="31">
        <f>CASOPOInvCL!X809</f>
        <v>2025</v>
      </c>
      <c r="M809" s="31"/>
      <c r="N809" s="5" t="str">
        <f>CASOPOInvCL!AF809</f>
        <v>Middle Georgia Fluid Sealing LLC</v>
      </c>
      <c r="O809" s="16" t="str">
        <f>CASOPOInvCL!AG809</f>
        <v>USD</v>
      </c>
      <c r="P809" s="16">
        <f>CASOPOInvCL!AH809</f>
        <v>26661.257599929657</v>
      </c>
      <c r="Q809" s="16">
        <f>CASOPOInvCL!AI809</f>
        <v>19432.93</v>
      </c>
      <c r="R809" s="32" t="str">
        <f>CASOPOInvCL!AU809</f>
        <v>Yes</v>
      </c>
      <c r="S809" s="16">
        <f>CASOPOInvCL!AV809</f>
        <v>0</v>
      </c>
      <c r="T809" s="16">
        <f>CASOPOInvCL!AW809</f>
        <v>19432.93</v>
      </c>
      <c r="Y809" s="29" t="str">
        <f>IFERROR(HLOOKUP(U809,List!$D$2:$H$6,2,FALSE),"")</f>
        <v/>
      </c>
      <c r="Z809" s="29" t="str">
        <f>IFERROR(HLOOKUP(V809,List!$D$2:$H$6,3,FALSE),"")</f>
        <v/>
      </c>
      <c r="AA809" s="29" t="str">
        <f>IFERROR(HLOOKUP(W809,List!$D$2:$H$6,4,FALSE),"")</f>
        <v/>
      </c>
      <c r="AB809" s="29" t="str">
        <f>IFERROR(HLOOKUP(X809,List!$D$2:$H$6,5,FALSE),"")</f>
        <v/>
      </c>
      <c r="AC809" s="12" t="str">
        <f t="shared" si="209"/>
        <v/>
      </c>
      <c r="AD809" s="12" t="str">
        <f t="shared" si="210"/>
        <v/>
      </c>
      <c r="AE809" s="12" t="str">
        <f t="shared" si="211"/>
        <v/>
      </c>
      <c r="AF809" s="12" t="str">
        <f t="shared" si="212"/>
        <v/>
      </c>
      <c r="AG809" t="str">
        <f>VLOOKUP(J809,'Receivable Invoice Detail'!$A$1:F3821,6,FALSE)</f>
        <v>[D-2J15214-2] Casing, 1.5x2-14, Goulds JC, Frame 2J, High Chrome, OEM# 055892G0001228</v>
      </c>
      <c r="AM809" s="12" t="str">
        <f t="shared" si="213"/>
        <v/>
      </c>
      <c r="AN809" s="12" t="str">
        <f t="shared" si="214"/>
        <v/>
      </c>
      <c r="AO809" s="12" t="str">
        <f t="shared" si="215"/>
        <v/>
      </c>
      <c r="AP809" s="12" t="str">
        <f t="shared" si="216"/>
        <v/>
      </c>
      <c r="AQ809" s="12"/>
      <c r="AS809" s="12">
        <f t="shared" si="221"/>
        <v>21.505028705566872</v>
      </c>
      <c r="AT809" s="16" t="str">
        <f t="shared" si="222"/>
        <v>Yes</v>
      </c>
    </row>
    <row r="810" spans="1:46" hidden="1" x14ac:dyDescent="0.25">
      <c r="A810" s="41">
        <f>CASOPOInvCL!T810</f>
        <v>2</v>
      </c>
      <c r="B810" t="str">
        <f>CASOPOInvCL!Z810</f>
        <v>SO17603</v>
      </c>
      <c r="G810" s="5">
        <f>CASOPOInvCL!I810</f>
        <v>0</v>
      </c>
      <c r="H810" s="31">
        <f>CASOPOInvCL!U810</f>
        <v>7</v>
      </c>
      <c r="I810" s="31">
        <f>CASOPOInvCL!V810</f>
        <v>2025</v>
      </c>
      <c r="J810" s="5" t="str">
        <f>CASOPOInvCL!AB810</f>
        <v>INV13254</v>
      </c>
      <c r="K810" s="31">
        <f>CASOPOInvCL!W810</f>
        <v>9</v>
      </c>
      <c r="L810" s="31">
        <f>CASOPOInvCL!X810</f>
        <v>2025</v>
      </c>
      <c r="M810" s="31"/>
      <c r="N810" s="5" t="str">
        <f>CASOPOInvCL!AF810</f>
        <v>Middle Georgia Fluid Sealing LLC</v>
      </c>
      <c r="O810" s="16" t="str">
        <f>CASOPOInvCL!AG810</f>
        <v>USD</v>
      </c>
      <c r="P810" s="16">
        <f>CASOPOInvCL!AH810</f>
        <v>0</v>
      </c>
      <c r="Q810" s="16">
        <f>CASOPOInvCL!AI810</f>
        <v>0</v>
      </c>
      <c r="R810" s="32" t="str">
        <f>CASOPOInvCL!AU810</f>
        <v/>
      </c>
      <c r="S810" s="16">
        <f>CASOPOInvCL!AV810</f>
        <v>594</v>
      </c>
      <c r="T810" s="16">
        <f>CASOPOInvCL!AW810</f>
        <v>0</v>
      </c>
      <c r="Y810" s="29" t="str">
        <f>IFERROR(HLOOKUP(U810,List!$D$2:$H$6,2,FALSE),"")</f>
        <v/>
      </c>
      <c r="Z810" s="29" t="str">
        <f>IFERROR(HLOOKUP(V810,List!$D$2:$H$6,3,FALSE),"")</f>
        <v/>
      </c>
      <c r="AA810" s="29" t="str">
        <f>IFERROR(HLOOKUP(W810,List!$D$2:$H$6,4,FALSE),"")</f>
        <v/>
      </c>
      <c r="AB810" s="29" t="str">
        <f>IFERROR(HLOOKUP(X810,List!$D$2:$H$6,5,FALSE),"")</f>
        <v/>
      </c>
      <c r="AC810" s="12" t="str">
        <f t="shared" si="209"/>
        <v/>
      </c>
      <c r="AD810" s="12" t="str">
        <f t="shared" si="210"/>
        <v/>
      </c>
      <c r="AE810" s="12" t="str">
        <f t="shared" si="211"/>
        <v/>
      </c>
      <c r="AF810" s="12" t="str">
        <f t="shared" si="212"/>
        <v/>
      </c>
      <c r="AG810" t="str">
        <f>VLOOKUP(J810,'Receivable Invoice Detail'!$A$1:F3822,6,FALSE)</f>
        <v>[D-WE2J-8] Stuffing Box Cover, Goulds JC, Frame 2J, High Chrome, OEM# 048877G0001228</v>
      </c>
      <c r="AM810" s="12" t="str">
        <f t="shared" si="213"/>
        <v/>
      </c>
      <c r="AN810" s="12" t="str">
        <f t="shared" si="214"/>
        <v/>
      </c>
      <c r="AO810" s="12" t="str">
        <f t="shared" si="215"/>
        <v/>
      </c>
      <c r="AP810" s="12" t="str">
        <f t="shared" si="216"/>
        <v/>
      </c>
      <c r="AQ810" s="12"/>
      <c r="AS810" s="12">
        <f t="shared" si="221"/>
        <v>0</v>
      </c>
      <c r="AT810" s="16" t="str">
        <f t="shared" si="222"/>
        <v>Yes</v>
      </c>
    </row>
    <row r="811" spans="1:46" hidden="1" x14ac:dyDescent="0.25">
      <c r="A811" s="41">
        <f>CASOPOInvCL!T811</f>
        <v>1</v>
      </c>
      <c r="B811" t="str">
        <f>CASOPOInvCL!Z811</f>
        <v>SO17604</v>
      </c>
      <c r="G811" s="5" t="str">
        <f>CASOPOInvCL!I811</f>
        <v>Ian Trottier</v>
      </c>
      <c r="H811" s="31">
        <f>CASOPOInvCL!U811</f>
        <v>7</v>
      </c>
      <c r="I811" s="31">
        <f>CASOPOInvCL!V811</f>
        <v>2025</v>
      </c>
      <c r="J811" s="5" t="str">
        <f>CASOPOInvCL!AB811</f>
        <v>INV13437</v>
      </c>
      <c r="K811" s="31" t="str">
        <f>CASOPOInvCL!W811</f>
        <v/>
      </c>
      <c r="L811" s="31" t="str">
        <f>CASOPOInvCL!X811</f>
        <v/>
      </c>
      <c r="M811" s="31"/>
      <c r="N811" s="5" t="str">
        <f>CASOPOInvCL!AF811</f>
        <v>Wajax Limited - Noranda</v>
      </c>
      <c r="O811" s="16" t="str">
        <f>CASOPOInvCL!AG811</f>
        <v>CAD</v>
      </c>
      <c r="P811" s="16">
        <f>CASOPOInvCL!AH811</f>
        <v>1609.78</v>
      </c>
      <c r="Q811" s="16">
        <f>CASOPOInvCL!AI811</f>
        <v>1165.1564643424967</v>
      </c>
      <c r="R811" s="32" t="str">
        <f>CASOPOInvCL!AU811</f>
        <v/>
      </c>
      <c r="S811" s="16">
        <f>CASOPOInvCL!AV811</f>
        <v>0</v>
      </c>
      <c r="T811" s="16">
        <f>CASOPOInvCL!AW811</f>
        <v>0</v>
      </c>
      <c r="Y811" s="29" t="str">
        <f>IFERROR(HLOOKUP(U811,List!$D$2:$H$6,2,FALSE),"")</f>
        <v/>
      </c>
      <c r="Z811" s="29" t="str">
        <f>IFERROR(HLOOKUP(V811,List!$D$2:$H$6,3,FALSE),"")</f>
        <v/>
      </c>
      <c r="AA811" s="29" t="str">
        <f>IFERROR(HLOOKUP(W811,List!$D$2:$H$6,4,FALSE),"")</f>
        <v/>
      </c>
      <c r="AB811" s="29" t="str">
        <f>IFERROR(HLOOKUP(X811,List!$D$2:$H$6,5,FALSE),"")</f>
        <v/>
      </c>
      <c r="AC811" s="12" t="str">
        <f t="shared" si="209"/>
        <v/>
      </c>
      <c r="AD811" s="12" t="str">
        <f t="shared" si="210"/>
        <v/>
      </c>
      <c r="AE811" s="12" t="str">
        <f t="shared" si="211"/>
        <v/>
      </c>
      <c r="AF811" s="12" t="str">
        <f t="shared" si="212"/>
        <v/>
      </c>
      <c r="AG811" t="e">
        <f>VLOOKUP(J811,'Receivable Invoice Detail'!$A$1:F3823,6,FALSE)</f>
        <v>#N/A</v>
      </c>
      <c r="AM811" s="12" t="str">
        <f t="shared" si="213"/>
        <v/>
      </c>
      <c r="AN811" s="12" t="str">
        <f t="shared" si="214"/>
        <v/>
      </c>
      <c r="AO811" s="12" t="str">
        <f t="shared" si="215"/>
        <v/>
      </c>
      <c r="AP811" s="12" t="str">
        <f t="shared" si="216"/>
        <v/>
      </c>
      <c r="AQ811" s="12"/>
      <c r="AS811" s="12">
        <f t="shared" si="221"/>
        <v>54.54382518850521</v>
      </c>
      <c r="AT811" s="16" t="str">
        <f t="shared" si="222"/>
        <v/>
      </c>
    </row>
    <row r="812" spans="1:46" hidden="1" x14ac:dyDescent="0.25">
      <c r="A812" s="41">
        <f>CASOPOInvCL!T812</f>
        <v>1</v>
      </c>
      <c r="B812" t="str">
        <f>CASOPOInvCL!Z812</f>
        <v>SO17608</v>
      </c>
      <c r="D812" t="s">
        <v>5915</v>
      </c>
      <c r="G812" s="5" t="str">
        <f>CASOPOInvCL!I812</f>
        <v>Wilka Nuñez</v>
      </c>
      <c r="H812" s="31">
        <f>CASOPOInvCL!U812</f>
        <v>7</v>
      </c>
      <c r="I812" s="31">
        <f>CASOPOInvCL!V812</f>
        <v>2025</v>
      </c>
      <c r="J812" s="5" t="str">
        <f>CASOPOInvCL!AB812</f>
        <v>INV13255</v>
      </c>
      <c r="K812" s="31">
        <f>CASOPOInvCL!W812</f>
        <v>9</v>
      </c>
      <c r="L812" s="31">
        <f>CASOPOInvCL!X812</f>
        <v>2025</v>
      </c>
      <c r="M812">
        <v>2503</v>
      </c>
      <c r="N812" s="5" t="str">
        <f>CASOPOInvCL!AF812</f>
        <v>Hyperflo</v>
      </c>
      <c r="O812" s="16" t="str">
        <f>CASOPOInvCL!AG812</f>
        <v>CAD</v>
      </c>
      <c r="P812" s="16">
        <f>CASOPOInvCL!AH812</f>
        <v>124.8</v>
      </c>
      <c r="Q812" s="16">
        <f>CASOPOInvCL!AI812</f>
        <v>90.330061716472827</v>
      </c>
      <c r="R812" s="32" t="str">
        <f>CASOPOInvCL!AU812</f>
        <v>Yes</v>
      </c>
      <c r="S812" s="16">
        <f>CASOPOInvCL!AV812</f>
        <v>0</v>
      </c>
      <c r="T812" s="16">
        <f>CASOPOInvCL!AW812</f>
        <v>90.330061716472827</v>
      </c>
      <c r="V812" t="s">
        <v>5800</v>
      </c>
      <c r="Y812" s="29" t="str">
        <f>IFERROR(HLOOKUP(U812,List!$D$2:$H$6,2,FALSE),"")</f>
        <v/>
      </c>
      <c r="Z812" s="29">
        <f>IFERROR(HLOOKUP(V812,List!$D$2:$H$6,3,FALSE),"")</f>
        <v>5.0000000000000001E-3</v>
      </c>
      <c r="AA812" s="29" t="str">
        <f>IFERROR(HLOOKUP(W812,List!$D$2:$H$6,4,FALSE),"")</f>
        <v/>
      </c>
      <c r="AB812" s="29" t="str">
        <f>IFERROR(HLOOKUP(X812,List!$D$2:$H$6,5,FALSE),"")</f>
        <v/>
      </c>
      <c r="AC812" s="12" t="str">
        <f t="shared" si="209"/>
        <v/>
      </c>
      <c r="AD812" s="12">
        <f t="shared" si="210"/>
        <v>0.45165030858236416</v>
      </c>
      <c r="AE812" s="12" t="str">
        <f t="shared" si="211"/>
        <v/>
      </c>
      <c r="AF812" s="12" t="str">
        <f t="shared" si="212"/>
        <v/>
      </c>
      <c r="AG812" t="str">
        <f>VLOOKUP(J812,'Receivable Invoice Detail'!$A$1:F3824,6,FALSE)</f>
        <v>[AC-98-233-700-001] Bearing Cover Gasket (Inboard &amp; Outboard), 8x6-18 &amp; 10x8-21 SRL-C</v>
      </c>
      <c r="AJ812">
        <v>2503</v>
      </c>
      <c r="AM812" s="12" t="str">
        <f t="shared" si="213"/>
        <v/>
      </c>
      <c r="AN812" s="12">
        <f t="shared" si="214"/>
        <v>0</v>
      </c>
      <c r="AO812" s="12" t="str">
        <f t="shared" si="215"/>
        <v/>
      </c>
      <c r="AP812" s="12" t="str">
        <f t="shared" si="216"/>
        <v/>
      </c>
      <c r="AQ812" s="64">
        <f>M812</f>
        <v>2503</v>
      </c>
      <c r="AR812" t="s">
        <v>5931</v>
      </c>
      <c r="AS812" s="12">
        <f t="shared" si="221"/>
        <v>291.49394999999998</v>
      </c>
      <c r="AT812" s="16" t="s">
        <v>5940</v>
      </c>
    </row>
    <row r="813" spans="1:46" hidden="1" x14ac:dyDescent="0.25">
      <c r="A813" s="41">
        <f>CASOPOInvCL!T813</f>
        <v>1</v>
      </c>
      <c r="B813" t="str">
        <f>CASOPOInvCL!Z813</f>
        <v>SO17610</v>
      </c>
      <c r="D813" t="s">
        <v>5851</v>
      </c>
      <c r="G813" s="5" t="str">
        <f>CASOPOInvCL!I813</f>
        <v>Ian Trottier</v>
      </c>
      <c r="H813" s="31">
        <f>CASOPOInvCL!U813</f>
        <v>7</v>
      </c>
      <c r="I813" s="31">
        <f>CASOPOInvCL!V813</f>
        <v>2025</v>
      </c>
      <c r="J813" s="5" t="str">
        <f>CASOPOInvCL!AB813</f>
        <v>INV13281</v>
      </c>
      <c r="K813" s="31">
        <f>CASOPOInvCL!W813</f>
        <v>9</v>
      </c>
      <c r="L813" s="31">
        <f>CASOPOInvCL!X813</f>
        <v>2025</v>
      </c>
      <c r="M813">
        <v>2503</v>
      </c>
      <c r="N813" s="5" t="str">
        <f>CASOPOInvCL!AF813</f>
        <v>Hyperflo, Hyperflo</v>
      </c>
      <c r="O813" s="16" t="str">
        <f>CASOPOInvCL!AG813</f>
        <v>CAD</v>
      </c>
      <c r="P813" s="16">
        <f>CASOPOInvCL!AH813</f>
        <v>124.22</v>
      </c>
      <c r="Q813" s="16">
        <f>CASOPOInvCL!AI813</f>
        <v>89.910258545034097</v>
      </c>
      <c r="R813" s="32" t="str">
        <f>CASOPOInvCL!AU813</f>
        <v>Yes</v>
      </c>
      <c r="S813" s="16">
        <f>CASOPOInvCL!AV813</f>
        <v>0</v>
      </c>
      <c r="T813" s="16">
        <f>CASOPOInvCL!AW813</f>
        <v>89.910258545034097</v>
      </c>
      <c r="V813" t="s">
        <v>5800</v>
      </c>
      <c r="Y813" s="29" t="str">
        <f>IFERROR(HLOOKUP(U813,List!$D$2:$H$6,2,FALSE),"")</f>
        <v/>
      </c>
      <c r="Z813" s="29">
        <f>IFERROR(HLOOKUP(V813,List!$D$2:$H$6,3,FALSE),"")</f>
        <v>5.0000000000000001E-3</v>
      </c>
      <c r="AA813" s="29" t="str">
        <f>IFERROR(HLOOKUP(W813,List!$D$2:$H$6,4,FALSE),"")</f>
        <v/>
      </c>
      <c r="AB813" s="29" t="str">
        <f>IFERROR(HLOOKUP(X813,List!$D$2:$H$6,5,FALSE),"")</f>
        <v/>
      </c>
      <c r="AC813" s="12" t="str">
        <f t="shared" si="209"/>
        <v/>
      </c>
      <c r="AD813" s="12">
        <f t="shared" si="210"/>
        <v>0.44955129272517047</v>
      </c>
      <c r="AE813" s="12" t="str">
        <f t="shared" si="211"/>
        <v/>
      </c>
      <c r="AF813" s="12" t="str">
        <f t="shared" si="212"/>
        <v/>
      </c>
      <c r="AG813" t="str">
        <f>VLOOKUP(J813,'Receivable Invoice Detail'!$A$1:F3825,6,FALSE)</f>
        <v>[AC-98-332-013-813] Fastener Kit (Gland Side Liner), 6x6-15 SRL</v>
      </c>
      <c r="AJ813">
        <v>2503</v>
      </c>
      <c r="AM813" s="12" t="str">
        <f t="shared" si="213"/>
        <v/>
      </c>
      <c r="AN813" s="12">
        <f t="shared" si="214"/>
        <v>0</v>
      </c>
      <c r="AO813" s="12" t="str">
        <f t="shared" si="215"/>
        <v/>
      </c>
      <c r="AP813" s="12" t="str">
        <f t="shared" si="216"/>
        <v/>
      </c>
      <c r="AQ813" s="64">
        <f>M813</f>
        <v>2503</v>
      </c>
      <c r="AR813" t="s">
        <v>5931</v>
      </c>
      <c r="AS813" s="12">
        <f t="shared" si="221"/>
        <v>0</v>
      </c>
      <c r="AT813" s="16" t="s">
        <v>5940</v>
      </c>
    </row>
    <row r="814" spans="1:46" hidden="1" x14ac:dyDescent="0.25">
      <c r="A814" s="41">
        <f>CASOPOInvCL!T814</f>
        <v>1</v>
      </c>
      <c r="B814" t="str">
        <f>CASOPOInvCL!Z814</f>
        <v>SO17612</v>
      </c>
      <c r="G814" s="5" t="str">
        <f>CASOPOInvCL!I814</f>
        <v>Carlos Leon</v>
      </c>
      <c r="H814" s="31">
        <f>CASOPOInvCL!U814</f>
        <v>7</v>
      </c>
      <c r="I814" s="31">
        <f>CASOPOInvCL!V814</f>
        <v>2025</v>
      </c>
      <c r="J814" s="5" t="str">
        <f>CASOPOInvCL!AB814</f>
        <v>INV13459</v>
      </c>
      <c r="K814" s="31" t="str">
        <f>CASOPOInvCL!W814</f>
        <v/>
      </c>
      <c r="L814" s="31" t="str">
        <f>CASOPOInvCL!X814</f>
        <v/>
      </c>
      <c r="M814" s="31"/>
      <c r="N814" s="5" t="str">
        <f>CASOPOInvCL!AF814</f>
        <v>Dynapro Pumps México S de RL de CV</v>
      </c>
      <c r="O814" s="16" t="str">
        <f>CASOPOInvCL!AG814</f>
        <v>USD</v>
      </c>
      <c r="P814" s="16">
        <f>CASOPOInvCL!AH814</f>
        <v>803.81479454650798</v>
      </c>
      <c r="Q814" s="16">
        <f>CASOPOInvCL!AI814</f>
        <v>581.79999999999995</v>
      </c>
      <c r="R814" s="32" t="str">
        <f>CASOPOInvCL!AU814</f>
        <v/>
      </c>
      <c r="S814" s="16">
        <f>CASOPOInvCL!AV814</f>
        <v>0</v>
      </c>
      <c r="T814" s="16">
        <f>CASOPOInvCL!AW814</f>
        <v>0</v>
      </c>
      <c r="Y814" s="29" t="str">
        <f>IFERROR(HLOOKUP(U814,List!$D$2:$H$6,2,FALSE),"")</f>
        <v/>
      </c>
      <c r="Z814" s="29" t="str">
        <f>IFERROR(HLOOKUP(V814,List!$D$2:$H$6,3,FALSE),"")</f>
        <v/>
      </c>
      <c r="AA814" s="29" t="str">
        <f>IFERROR(HLOOKUP(W814,List!$D$2:$H$6,4,FALSE),"")</f>
        <v/>
      </c>
      <c r="AB814" s="29" t="str">
        <f>IFERROR(HLOOKUP(X814,List!$D$2:$H$6,5,FALSE),"")</f>
        <v/>
      </c>
      <c r="AC814" s="12" t="str">
        <f t="shared" si="209"/>
        <v/>
      </c>
      <c r="AD814" s="12" t="str">
        <f t="shared" si="210"/>
        <v/>
      </c>
      <c r="AE814" s="12" t="str">
        <f t="shared" si="211"/>
        <v/>
      </c>
      <c r="AF814" s="12" t="str">
        <f t="shared" si="212"/>
        <v/>
      </c>
      <c r="AG814" t="str">
        <f>VLOOKUP(J814,'Receivable Invoice Detail'!$A$1:F3826,6,FALSE)</f>
        <v>[W-E4083/R55] Throatbush, 6/4 DH, Natural Rubber</v>
      </c>
      <c r="AM814" s="12" t="str">
        <f t="shared" si="213"/>
        <v/>
      </c>
      <c r="AN814" s="12" t="str">
        <f t="shared" si="214"/>
        <v/>
      </c>
      <c r="AO814" s="12" t="str">
        <f t="shared" si="215"/>
        <v/>
      </c>
      <c r="AP814" s="12" t="str">
        <f t="shared" si="216"/>
        <v/>
      </c>
      <c r="AQ814" s="12"/>
      <c r="AR814" s="16" t="s">
        <v>5940</v>
      </c>
      <c r="AS814" s="12">
        <f t="shared" si="221"/>
        <v>0</v>
      </c>
      <c r="AT814" s="16" t="str">
        <f t="shared" ref="AT814:AT832" si="224">R813</f>
        <v>Yes</v>
      </c>
    </row>
    <row r="815" spans="1:46" hidden="1" x14ac:dyDescent="0.25">
      <c r="A815" s="41">
        <f>CASOPOInvCL!T815</f>
        <v>1</v>
      </c>
      <c r="B815" t="str">
        <f>CASOPOInvCL!Z815</f>
        <v>SO17613</v>
      </c>
      <c r="G815" s="5" t="str">
        <f>CASOPOInvCL!I815</f>
        <v>Carlos Leon</v>
      </c>
      <c r="H815" s="31">
        <f>CASOPOInvCL!U815</f>
        <v>7</v>
      </c>
      <c r="I815" s="31">
        <f>CASOPOInvCL!V815</f>
        <v>2025</v>
      </c>
      <c r="J815" s="5" t="str">
        <f>CASOPOInvCL!AB815</f>
        <v>INV13357</v>
      </c>
      <c r="K815" s="31" t="str">
        <f>CASOPOInvCL!W815</f>
        <v/>
      </c>
      <c r="L815" s="31" t="str">
        <f>CASOPOInvCL!X815</f>
        <v/>
      </c>
      <c r="M815" s="31"/>
      <c r="N815" s="5" t="str">
        <f>CASOPOInvCL!AF815</f>
        <v>Dynapro Pumps México S de RL de CV</v>
      </c>
      <c r="O815" s="16" t="str">
        <f>CASOPOInvCL!AG815</f>
        <v>USD</v>
      </c>
      <c r="P815" s="16">
        <f>CASOPOInvCL!AH815</f>
        <v>1475.5486431345319</v>
      </c>
      <c r="Q815" s="16">
        <f>CASOPOInvCL!AI815</f>
        <v>1068</v>
      </c>
      <c r="R815" s="32" t="str">
        <f>CASOPOInvCL!AU815</f>
        <v/>
      </c>
      <c r="S815" s="16">
        <f>CASOPOInvCL!AV815</f>
        <v>0</v>
      </c>
      <c r="T815" s="16">
        <f>CASOPOInvCL!AW815</f>
        <v>0</v>
      </c>
      <c r="Y815" s="29" t="str">
        <f>IFERROR(HLOOKUP(U815,List!$D$2:$H$6,2,FALSE),"")</f>
        <v/>
      </c>
      <c r="Z815" s="29" t="str">
        <f>IFERROR(HLOOKUP(V815,List!$D$2:$H$6,3,FALSE),"")</f>
        <v/>
      </c>
      <c r="AA815" s="29" t="str">
        <f>IFERROR(HLOOKUP(W815,List!$D$2:$H$6,4,FALSE),"")</f>
        <v/>
      </c>
      <c r="AB815" s="29" t="str">
        <f>IFERROR(HLOOKUP(X815,List!$D$2:$H$6,5,FALSE),"")</f>
        <v/>
      </c>
      <c r="AC815" s="12" t="str">
        <f t="shared" si="209"/>
        <v/>
      </c>
      <c r="AD815" s="12" t="str">
        <f t="shared" si="210"/>
        <v/>
      </c>
      <c r="AE815" s="12" t="str">
        <f t="shared" si="211"/>
        <v/>
      </c>
      <c r="AF815" s="12" t="str">
        <f t="shared" si="212"/>
        <v/>
      </c>
      <c r="AG815" t="str">
        <f>VLOOKUP(J815,'Receivable Invoice Detail'!$A$1:F3827,6,FALSE)</f>
        <v>[W-SPR10206A/R55] Impeller, 100RV-SP, 5-Vane, Natural Rubber</v>
      </c>
      <c r="AM815" s="12" t="str">
        <f t="shared" si="213"/>
        <v/>
      </c>
      <c r="AN815" s="12" t="str">
        <f t="shared" si="214"/>
        <v/>
      </c>
      <c r="AO815" s="12" t="str">
        <f t="shared" si="215"/>
        <v/>
      </c>
      <c r="AP815" s="12" t="str">
        <f t="shared" si="216"/>
        <v/>
      </c>
      <c r="AQ815" s="12"/>
      <c r="AR815" s="16" t="s">
        <v>5940</v>
      </c>
      <c r="AS815" s="12">
        <f t="shared" si="221"/>
        <v>1.3549509257470924</v>
      </c>
      <c r="AT815" s="16" t="str">
        <f t="shared" si="224"/>
        <v/>
      </c>
    </row>
    <row r="816" spans="1:46" hidden="1" x14ac:dyDescent="0.25">
      <c r="A816" s="41">
        <f>CASOPOInvCL!T816</f>
        <v>1</v>
      </c>
      <c r="B816" t="str">
        <f>CASOPOInvCL!Z816</f>
        <v>SO17615</v>
      </c>
      <c r="D816" t="s">
        <v>5915</v>
      </c>
      <c r="G816" s="5" t="str">
        <f>CASOPOInvCL!I816</f>
        <v>Wilka Nuñez</v>
      </c>
      <c r="H816" s="31">
        <f>CASOPOInvCL!U816</f>
        <v>7</v>
      </c>
      <c r="I816" s="31">
        <f>CASOPOInvCL!V816</f>
        <v>2025</v>
      </c>
      <c r="J816" s="5" t="str">
        <f>CASOPOInvCL!AB816</f>
        <v>INV13363</v>
      </c>
      <c r="K816" s="62">
        <f>CASOPOInvCL!W816</f>
        <v>10</v>
      </c>
      <c r="L816" s="31">
        <f>CASOPOInvCL!X816</f>
        <v>2025</v>
      </c>
      <c r="M816">
        <v>2504</v>
      </c>
      <c r="N816" s="5" t="str">
        <f>CASOPOInvCL!AF816</f>
        <v>Tech-Flow</v>
      </c>
      <c r="O816" s="16" t="str">
        <f>CASOPOInvCL!AG816</f>
        <v>USD</v>
      </c>
      <c r="P816" s="16">
        <f>CASOPOInvCL!AH816</f>
        <v>6811.2872758925487</v>
      </c>
      <c r="Q816" s="16">
        <f>CASOPOInvCL!AI816</f>
        <v>4930</v>
      </c>
      <c r="R816" s="55" t="str">
        <f>CASOPOInvCL!AU816</f>
        <v>Yes</v>
      </c>
      <c r="S816" s="16">
        <f>CASOPOInvCL!AV816</f>
        <v>0</v>
      </c>
      <c r="T816" s="16">
        <f>CASOPOInvCL!AW816</f>
        <v>4930</v>
      </c>
      <c r="V816" t="s">
        <v>5800</v>
      </c>
      <c r="Y816" s="29" t="str">
        <f>IFERROR(HLOOKUP(U816,List!$D$2:$H$6,2,FALSE),"")</f>
        <v/>
      </c>
      <c r="Z816" s="29">
        <f>IFERROR(HLOOKUP(V816,List!$D$2:$H$6,3,FALSE),"")</f>
        <v>5.0000000000000001E-3</v>
      </c>
      <c r="AA816" s="29" t="str">
        <f>IFERROR(HLOOKUP(W816,List!$D$2:$H$6,4,FALSE),"")</f>
        <v/>
      </c>
      <c r="AB816" s="29" t="str">
        <f>IFERROR(HLOOKUP(X816,List!$D$2:$H$6,5,FALSE),"")</f>
        <v/>
      </c>
      <c r="AC816" s="12" t="str">
        <f t="shared" si="209"/>
        <v/>
      </c>
      <c r="AD816" s="12">
        <f t="shared" si="210"/>
        <v>24.650000000000002</v>
      </c>
      <c r="AE816" s="12" t="str">
        <f t="shared" si="211"/>
        <v/>
      </c>
      <c r="AF816" s="12" t="str">
        <f t="shared" si="212"/>
        <v/>
      </c>
      <c r="AG816" t="str">
        <f>VLOOKUP(J816,'Receivable Invoice Detail'!$A$1:F3828,6,FALSE)</f>
        <v>[SA-567243] Wear Disc, Sala 6x5 VSP-VF, High Chrome</v>
      </c>
      <c r="AM816" s="12" t="str">
        <f t="shared" si="213"/>
        <v/>
      </c>
      <c r="AN816" s="12">
        <f t="shared" si="214"/>
        <v>24.650000000000002</v>
      </c>
      <c r="AO816" s="12" t="str">
        <f t="shared" si="215"/>
        <v/>
      </c>
      <c r="AP816" s="12" t="str">
        <f t="shared" si="216"/>
        <v/>
      </c>
      <c r="AQ816" s="64">
        <f>M816</f>
        <v>2504</v>
      </c>
      <c r="AR816" t="s">
        <v>5931</v>
      </c>
      <c r="AS816" s="12">
        <f t="shared" si="221"/>
        <v>1.3486538781755113</v>
      </c>
      <c r="AT816" s="16" t="str">
        <f t="shared" si="224"/>
        <v/>
      </c>
    </row>
    <row r="817" spans="1:46" hidden="1" x14ac:dyDescent="0.25">
      <c r="A817" s="41">
        <f>CASOPOInvCL!T817</f>
        <v>2</v>
      </c>
      <c r="B817" t="str">
        <f>CASOPOInvCL!Z817</f>
        <v>SO17621</v>
      </c>
      <c r="G817" s="5" t="str">
        <f>CASOPOInvCL!I817</f>
        <v>Alexis Gil Lamadrid</v>
      </c>
      <c r="H817" s="31">
        <f>CASOPOInvCL!U817</f>
        <v>8</v>
      </c>
      <c r="I817" s="31">
        <f>CASOPOInvCL!V817</f>
        <v>2025</v>
      </c>
      <c r="J817" s="5" t="str">
        <f>CASOPOInvCL!AB817</f>
        <v>INV13392</v>
      </c>
      <c r="K817" s="62">
        <f>CASOPOInvCL!W817</f>
        <v>10</v>
      </c>
      <c r="L817" s="31">
        <f>CASOPOInvCL!X817</f>
        <v>2025</v>
      </c>
      <c r="M817" s="31"/>
      <c r="N817" s="5" t="str">
        <f>CASOPOInvCL!AF817</f>
        <v>Canadian Industrial Pumps Ltd</v>
      </c>
      <c r="O817" s="16" t="str">
        <f>CASOPOInvCL!AG817</f>
        <v>CAD</v>
      </c>
      <c r="P817" s="16">
        <f>CASOPOInvCL!AH817</f>
        <v>7603.02</v>
      </c>
      <c r="Q817" s="16">
        <f>CASOPOInvCL!AI817</f>
        <v>5506.5517257967967</v>
      </c>
      <c r="R817" s="32" t="str">
        <f>CASOPOInvCL!AU817</f>
        <v/>
      </c>
      <c r="S817" s="16">
        <f>CASOPOInvCL!AV817</f>
        <v>0</v>
      </c>
      <c r="T817" s="16">
        <f>CASOPOInvCL!AW817</f>
        <v>0</v>
      </c>
      <c r="Y817" s="29" t="str">
        <f>IFERROR(HLOOKUP(U817,List!$D$2:$H$6,2,FALSE),"")</f>
        <v/>
      </c>
      <c r="Z817" s="29" t="str">
        <f>IFERROR(HLOOKUP(V817,List!$D$2:$H$6,3,FALSE),"")</f>
        <v/>
      </c>
      <c r="AA817" s="29" t="str">
        <f>IFERROR(HLOOKUP(W817,List!$D$2:$H$6,4,FALSE),"")</f>
        <v/>
      </c>
      <c r="AB817" s="29" t="str">
        <f>IFERROR(HLOOKUP(X817,List!$D$2:$H$6,5,FALSE),"")</f>
        <v/>
      </c>
      <c r="AC817" s="12" t="str">
        <f t="shared" si="209"/>
        <v/>
      </c>
      <c r="AD817" s="12" t="str">
        <f t="shared" si="210"/>
        <v/>
      </c>
      <c r="AE817" s="12" t="str">
        <f t="shared" si="211"/>
        <v/>
      </c>
      <c r="AF817" s="12" t="str">
        <f t="shared" si="212"/>
        <v/>
      </c>
      <c r="AG817" t="str">
        <f>VLOOKUP(J817,'Receivable Invoice Detail'!$A$1:F3829,6,FALSE)</f>
        <v>[NSK-22318EAE4  or FAG 22318 EAS M C3  or SKF 22318CC/W33, AC-00-813-261-541] Roller Bearing (Outboard), 8x6-18 &amp; 10x8-21 SRL-C</v>
      </c>
      <c r="AM817" s="12" t="str">
        <f t="shared" si="213"/>
        <v/>
      </c>
      <c r="AN817" s="12" t="str">
        <f t="shared" si="214"/>
        <v/>
      </c>
      <c r="AO817" s="12" t="str">
        <f t="shared" si="215"/>
        <v/>
      </c>
      <c r="AP817" s="12" t="str">
        <f t="shared" si="216"/>
        <v/>
      </c>
      <c r="AQ817" s="12"/>
      <c r="AS817" s="12">
        <f t="shared" si="221"/>
        <v>0</v>
      </c>
      <c r="AT817" s="16" t="str">
        <f t="shared" si="224"/>
        <v>Yes</v>
      </c>
    </row>
    <row r="818" spans="1:46" hidden="1" x14ac:dyDescent="0.25">
      <c r="A818" s="41">
        <f>CASOPOInvCL!T818</f>
        <v>2</v>
      </c>
      <c r="B818" t="str">
        <f>CASOPOInvCL!Z818</f>
        <v>SO17621</v>
      </c>
      <c r="G818" s="5">
        <f>CASOPOInvCL!I818</f>
        <v>0</v>
      </c>
      <c r="H818" s="31">
        <f>CASOPOInvCL!U818</f>
        <v>8</v>
      </c>
      <c r="I818" s="31">
        <f>CASOPOInvCL!V818</f>
        <v>2025</v>
      </c>
      <c r="J818" s="5" t="str">
        <f>CASOPOInvCL!AB818</f>
        <v>Borrador de nota de crédito RINV/2025/00003</v>
      </c>
      <c r="K818" s="62" t="str">
        <f>CASOPOInvCL!W818</f>
        <v/>
      </c>
      <c r="L818" s="31" t="str">
        <f>CASOPOInvCL!X818</f>
        <v/>
      </c>
      <c r="M818" s="31"/>
      <c r="N818" s="5" t="str">
        <f>CASOPOInvCL!AF818</f>
        <v>Canadian Industrial Pumps Ltd</v>
      </c>
      <c r="O818" s="16" t="str">
        <f>CASOPOInvCL!AG818</f>
        <v>CAD</v>
      </c>
      <c r="P818" s="16">
        <f>CASOPOInvCL!AH818</f>
        <v>0</v>
      </c>
      <c r="Q818" s="16">
        <f>CASOPOInvCL!AI818</f>
        <v>0</v>
      </c>
      <c r="R818" s="32" t="str">
        <f>CASOPOInvCL!AU818</f>
        <v/>
      </c>
      <c r="S818" s="16">
        <f>CASOPOInvCL!AV818</f>
        <v>0</v>
      </c>
      <c r="T818" s="16">
        <f>CASOPOInvCL!AW818</f>
        <v>0</v>
      </c>
      <c r="Y818" s="29" t="str">
        <f>IFERROR(HLOOKUP(U818,List!$D$2:$H$6,2,FALSE),"")</f>
        <v/>
      </c>
      <c r="Z818" s="29" t="str">
        <f>IFERROR(HLOOKUP(V818,List!$D$2:$H$6,3,FALSE),"")</f>
        <v/>
      </c>
      <c r="AA818" s="29" t="str">
        <f>IFERROR(HLOOKUP(W818,List!$D$2:$H$6,4,FALSE),"")</f>
        <v/>
      </c>
      <c r="AB818" s="29" t="str">
        <f>IFERROR(HLOOKUP(X818,List!$D$2:$H$6,5,FALSE),"")</f>
        <v/>
      </c>
      <c r="AC818" s="12" t="str">
        <f t="shared" si="209"/>
        <v/>
      </c>
      <c r="AD818" s="12" t="str">
        <f t="shared" si="210"/>
        <v/>
      </c>
      <c r="AE818" s="12" t="str">
        <f t="shared" si="211"/>
        <v/>
      </c>
      <c r="AF818" s="12" t="str">
        <f t="shared" si="212"/>
        <v/>
      </c>
      <c r="AG818" t="e">
        <f>VLOOKUP(J818,'Receivable Invoice Detail'!$A$1:F3830,6,FALSE)</f>
        <v>#N/A</v>
      </c>
      <c r="AM818" s="12" t="str">
        <f t="shared" si="213"/>
        <v/>
      </c>
      <c r="AN818" s="12" t="str">
        <f t="shared" si="214"/>
        <v/>
      </c>
      <c r="AO818" s="12" t="str">
        <f t="shared" si="215"/>
        <v/>
      </c>
      <c r="AP818" s="12" t="str">
        <f t="shared" si="216"/>
        <v/>
      </c>
      <c r="AQ818" s="12"/>
      <c r="AS818" s="12">
        <f t="shared" si="221"/>
        <v>0</v>
      </c>
      <c r="AT818" s="16" t="str">
        <f t="shared" si="224"/>
        <v/>
      </c>
    </row>
    <row r="819" spans="1:46" hidden="1" x14ac:dyDescent="0.25">
      <c r="A819" s="41">
        <f>CASOPOInvCL!T819</f>
        <v>3</v>
      </c>
      <c r="B819" t="str">
        <f>CASOPOInvCL!Z819</f>
        <v>SO17625</v>
      </c>
      <c r="D819" t="s">
        <v>5915</v>
      </c>
      <c r="G819" s="5" t="str">
        <f>CASOPOInvCL!I819</f>
        <v>Wilka Nuñez</v>
      </c>
      <c r="H819" s="31">
        <f>CASOPOInvCL!U819</f>
        <v>8</v>
      </c>
      <c r="I819" s="31">
        <f>CASOPOInvCL!V819</f>
        <v>2025</v>
      </c>
      <c r="J819" s="5" t="str">
        <f>CASOPOInvCL!AB819</f>
        <v>INV13478</v>
      </c>
      <c r="K819" s="31" t="str">
        <f>CASOPOInvCL!W819</f>
        <v/>
      </c>
      <c r="L819" s="31" t="str">
        <f>CASOPOInvCL!X819</f>
        <v/>
      </c>
      <c r="M819" s="31"/>
      <c r="N819" s="5" t="str">
        <f>CASOPOInvCL!AF819</f>
        <v>Barrick Gold - Pueblo Viejo Dominicana Corporation</v>
      </c>
      <c r="O819" s="16" t="str">
        <f>CASOPOInvCL!AG819</f>
        <v>USD</v>
      </c>
      <c r="P819" s="16">
        <f>CASOPOInvCL!AH819</f>
        <v>95905.386833706652</v>
      </c>
      <c r="Q819" s="16">
        <f>CASOPOInvCL!AI819</f>
        <v>68991.899999999994</v>
      </c>
      <c r="R819" s="32" t="str">
        <f>CASOPOInvCL!AU819</f>
        <v>Yes</v>
      </c>
      <c r="S819" s="16">
        <f>CASOPOInvCL!AV819</f>
        <v>0</v>
      </c>
      <c r="T819" s="16">
        <f>CASOPOInvCL!AW819</f>
        <v>68991.899999999994</v>
      </c>
      <c r="V819" t="s">
        <v>5803</v>
      </c>
      <c r="Y819" s="29" t="str">
        <f>IFERROR(HLOOKUP(U819,List!$D$2:$H$6,2,FALSE),"")</f>
        <v/>
      </c>
      <c r="Z819" s="29">
        <f>IFERROR(HLOOKUP(V819,List!$D$2:$H$6,3,FALSE),"")</f>
        <v>0</v>
      </c>
      <c r="AA819" s="29" t="str">
        <f>IFERROR(HLOOKUP(W819,List!$D$2:$H$6,4,FALSE),"")</f>
        <v/>
      </c>
      <c r="AB819" s="29" t="str">
        <f>IFERROR(HLOOKUP(X819,List!$D$2:$H$6,5,FALSE),"")</f>
        <v/>
      </c>
      <c r="AC819" s="12" t="str">
        <f t="shared" si="209"/>
        <v/>
      </c>
      <c r="AD819" s="12">
        <f t="shared" si="210"/>
        <v>0</v>
      </c>
      <c r="AE819" s="12" t="str">
        <f t="shared" si="211"/>
        <v/>
      </c>
      <c r="AF819" s="12" t="str">
        <f t="shared" si="212"/>
        <v/>
      </c>
      <c r="AG819" t="str">
        <f>VLOOKUP(J819,'Receivable Invoice Detail'!$A$1:F3831,6,FALSE)</f>
        <v>[10JKM, 6-Vane Impeller, CD4] Impeller, 10JKM, Double Keyed, w/Wear Ring</v>
      </c>
      <c r="AM819" s="12" t="str">
        <f t="shared" si="213"/>
        <v/>
      </c>
      <c r="AN819" s="12">
        <f t="shared" si="214"/>
        <v>0</v>
      </c>
      <c r="AO819" s="12" t="str">
        <f t="shared" si="215"/>
        <v/>
      </c>
      <c r="AP819" s="12" t="str">
        <f t="shared" si="216"/>
        <v/>
      </c>
      <c r="AQ819" s="64"/>
      <c r="AR819" s="64" t="s">
        <v>5933</v>
      </c>
      <c r="AS819" s="12">
        <f t="shared" si="221"/>
        <v>73.95</v>
      </c>
      <c r="AT819" s="16" t="str">
        <f t="shared" si="224"/>
        <v/>
      </c>
    </row>
    <row r="820" spans="1:46" hidden="1" x14ac:dyDescent="0.25">
      <c r="A820" s="41">
        <f>CASOPOInvCL!T820</f>
        <v>3</v>
      </c>
      <c r="B820" t="str">
        <f>CASOPOInvCL!Z820</f>
        <v>SO17625</v>
      </c>
      <c r="D820" t="s">
        <v>5915</v>
      </c>
      <c r="G820" s="5">
        <f>CASOPOInvCL!I820</f>
        <v>0</v>
      </c>
      <c r="H820" s="31">
        <f>CASOPOInvCL!U820</f>
        <v>8</v>
      </c>
      <c r="I820" s="31">
        <f>CASOPOInvCL!V820</f>
        <v>2025</v>
      </c>
      <c r="J820" s="5" t="str">
        <f>CASOPOInvCL!AB820</f>
        <v>INV13335</v>
      </c>
      <c r="K820" s="31">
        <f>CASOPOInvCL!W820</f>
        <v>12</v>
      </c>
      <c r="L820" s="31">
        <f>CASOPOInvCL!X820</f>
        <v>2025</v>
      </c>
      <c r="M820" s="31"/>
      <c r="N820" s="5" t="str">
        <f>CASOPOInvCL!AF820</f>
        <v>Barrick Gold - Pueblo Viejo Dominicana Corporation</v>
      </c>
      <c r="O820" s="16" t="str">
        <f>CASOPOInvCL!AG820</f>
        <v>USD</v>
      </c>
      <c r="P820" s="16">
        <f>CASOPOInvCL!AH820</f>
        <v>0</v>
      </c>
      <c r="Q820" s="16">
        <f>CASOPOInvCL!AI820</f>
        <v>0</v>
      </c>
      <c r="R820" s="32" t="str">
        <f>CASOPOInvCL!AU820</f>
        <v/>
      </c>
      <c r="S820" s="16">
        <f>CASOPOInvCL!AV820</f>
        <v>0</v>
      </c>
      <c r="T820" s="16">
        <f>CASOPOInvCL!AW820</f>
        <v>0</v>
      </c>
      <c r="V820" t="s">
        <v>5803</v>
      </c>
      <c r="Y820" s="29" t="str">
        <f>IFERROR(HLOOKUP(U820,List!$D$2:$H$6,2,FALSE),"")</f>
        <v/>
      </c>
      <c r="Z820" s="29">
        <f>IFERROR(HLOOKUP(V820,List!$D$2:$H$6,3,FALSE),"")</f>
        <v>0</v>
      </c>
      <c r="AA820" s="29" t="str">
        <f>IFERROR(HLOOKUP(W820,List!$D$2:$H$6,4,FALSE),"")</f>
        <v/>
      </c>
      <c r="AB820" s="29" t="str">
        <f>IFERROR(HLOOKUP(X820,List!$D$2:$H$6,5,FALSE),"")</f>
        <v/>
      </c>
      <c r="AC820" s="12" t="str">
        <f t="shared" si="209"/>
        <v/>
      </c>
      <c r="AD820" s="12">
        <f t="shared" si="210"/>
        <v>0</v>
      </c>
      <c r="AE820" s="12" t="str">
        <f t="shared" si="211"/>
        <v/>
      </c>
      <c r="AF820" s="12" t="str">
        <f t="shared" si="212"/>
        <v/>
      </c>
      <c r="AG820" t="str">
        <f>VLOOKUP(J820,'Receivable Invoice Detail'!$A$1:F3832,6,FALSE)</f>
        <v>[10JKH, 7-Vane Impeller, CD4MCu] Impeller, 10JKH, Double Keyed, w/Wear Ring</v>
      </c>
      <c r="AM820" s="12" t="str">
        <f t="shared" si="213"/>
        <v/>
      </c>
      <c r="AN820" s="12">
        <f t="shared" si="214"/>
        <v>0</v>
      </c>
      <c r="AO820" s="12" t="str">
        <f t="shared" si="215"/>
        <v/>
      </c>
      <c r="AP820" s="12" t="str">
        <f t="shared" si="216"/>
        <v/>
      </c>
      <c r="AQ820" s="64"/>
      <c r="AR820" s="64" t="s">
        <v>5933</v>
      </c>
      <c r="AS820" s="12">
        <f t="shared" si="221"/>
        <v>0</v>
      </c>
      <c r="AT820" s="16" t="str">
        <f t="shared" si="224"/>
        <v>Yes</v>
      </c>
    </row>
    <row r="821" spans="1:46" hidden="1" x14ac:dyDescent="0.25">
      <c r="A821" s="41">
        <f>CASOPOInvCL!T821</f>
        <v>3</v>
      </c>
      <c r="B821" t="str">
        <f>CASOPOInvCL!Z821</f>
        <v>SO17625</v>
      </c>
      <c r="D821" t="s">
        <v>5915</v>
      </c>
      <c r="G821" s="5">
        <f>CASOPOInvCL!I821</f>
        <v>0</v>
      </c>
      <c r="H821" s="31">
        <f>CASOPOInvCL!U821</f>
        <v>8</v>
      </c>
      <c r="I821" s="31">
        <f>CASOPOInvCL!V821</f>
        <v>2025</v>
      </c>
      <c r="J821" s="5" t="str">
        <f>CASOPOInvCL!AB821</f>
        <v>INV13573</v>
      </c>
      <c r="K821" s="31">
        <f>CASOPOInvCL!W821</f>
        <v>12</v>
      </c>
      <c r="L821" s="31">
        <f>CASOPOInvCL!X821</f>
        <v>2025</v>
      </c>
      <c r="M821" s="31"/>
      <c r="N821" s="5" t="str">
        <f>CASOPOInvCL!AF821</f>
        <v>Barrick Gold - Pueblo Viejo Dominicana Corporation</v>
      </c>
      <c r="O821" s="16" t="str">
        <f>CASOPOInvCL!AG821</f>
        <v>USD</v>
      </c>
      <c r="P821" s="16">
        <f>CASOPOInvCL!AH821</f>
        <v>0</v>
      </c>
      <c r="Q821" s="16">
        <f>CASOPOInvCL!AI821</f>
        <v>0</v>
      </c>
      <c r="R821" s="32" t="str">
        <f>CASOPOInvCL!AU821</f>
        <v/>
      </c>
      <c r="S821" s="16">
        <f>CASOPOInvCL!AV821</f>
        <v>0</v>
      </c>
      <c r="T821" s="16">
        <f>CASOPOInvCL!AW821</f>
        <v>0</v>
      </c>
      <c r="V821" t="s">
        <v>5803</v>
      </c>
      <c r="Y821" s="29" t="str">
        <f>IFERROR(HLOOKUP(U821,List!$D$2:$H$6,2,FALSE),"")</f>
        <v/>
      </c>
      <c r="Z821" s="29">
        <f>IFERROR(HLOOKUP(V821,List!$D$2:$H$6,3,FALSE),"")</f>
        <v>0</v>
      </c>
      <c r="AA821" s="29" t="str">
        <f>IFERROR(HLOOKUP(W821,List!$D$2:$H$6,4,FALSE),"")</f>
        <v/>
      </c>
      <c r="AB821" s="29" t="str">
        <f>IFERROR(HLOOKUP(X821,List!$D$2:$H$6,5,FALSE),"")</f>
        <v/>
      </c>
      <c r="AC821" s="12" t="str">
        <f t="shared" si="209"/>
        <v/>
      </c>
      <c r="AD821" s="12">
        <f t="shared" si="210"/>
        <v>0</v>
      </c>
      <c r="AE821" s="12" t="str">
        <f t="shared" si="211"/>
        <v/>
      </c>
      <c r="AF821" s="12" t="str">
        <f t="shared" si="212"/>
        <v/>
      </c>
      <c r="AG821" t="str">
        <f>VLOOKUP(J821,'Receivable Invoice Detail'!$A$1:F3833,6,FALSE)</f>
        <v>[D-2001407-2507] Bowl Wear Ring, 10JKH/M, 05.50x05.88x0.88, Duplex SS 2507 w/Ion Nitriding</v>
      </c>
      <c r="AM821" s="12" t="str">
        <f t="shared" si="213"/>
        <v/>
      </c>
      <c r="AN821" s="12">
        <f t="shared" si="214"/>
        <v>0</v>
      </c>
      <c r="AO821" s="12" t="str">
        <f t="shared" si="215"/>
        <v/>
      </c>
      <c r="AP821" s="12" t="str">
        <f t="shared" si="216"/>
        <v/>
      </c>
      <c r="AQ821" s="64"/>
      <c r="AR821" s="64" t="s">
        <v>5933</v>
      </c>
      <c r="AS821" s="12">
        <f t="shared" si="221"/>
        <v>0</v>
      </c>
      <c r="AT821" s="16" t="str">
        <f t="shared" si="224"/>
        <v/>
      </c>
    </row>
    <row r="822" spans="1:46" hidden="1" x14ac:dyDescent="0.25">
      <c r="A822" s="41">
        <f>CASOPOInvCL!T822</f>
        <v>1</v>
      </c>
      <c r="B822" t="str">
        <f>CASOPOInvCL!Z822</f>
        <v>SO17626</v>
      </c>
      <c r="D822" t="s">
        <v>5915</v>
      </c>
      <c r="G822" s="5" t="str">
        <f>CASOPOInvCL!I822</f>
        <v>Wilka Nuñez</v>
      </c>
      <c r="H822" s="31">
        <f>CASOPOInvCL!U822</f>
        <v>8</v>
      </c>
      <c r="I822" s="31">
        <f>CASOPOInvCL!V822</f>
        <v>2025</v>
      </c>
      <c r="J822" s="5" t="str">
        <f>CASOPOInvCL!AB822</f>
        <v>INV13280</v>
      </c>
      <c r="K822" s="31">
        <f>CASOPOInvCL!W822</f>
        <v>9</v>
      </c>
      <c r="L822" s="31">
        <f>CASOPOInvCL!X822</f>
        <v>2025</v>
      </c>
      <c r="M822">
        <v>2503</v>
      </c>
      <c r="N822" s="5" t="str">
        <f>CASOPOInvCL!AF822</f>
        <v>Hyperflo</v>
      </c>
      <c r="O822" s="16" t="str">
        <f>CASOPOInvCL!AG822</f>
        <v>CAD</v>
      </c>
      <c r="P822" s="16">
        <f>CASOPOInvCL!AH822</f>
        <v>362.64</v>
      </c>
      <c r="Q822" s="16">
        <f>CASOPOInvCL!AI822</f>
        <v>263.90315337490387</v>
      </c>
      <c r="R822" s="32" t="str">
        <f>CASOPOInvCL!AU822</f>
        <v>Yes</v>
      </c>
      <c r="S822" s="16">
        <f>CASOPOInvCL!AV822</f>
        <v>0</v>
      </c>
      <c r="T822" s="16">
        <f>CASOPOInvCL!AW822</f>
        <v>263.90315337490387</v>
      </c>
      <c r="V822" t="s">
        <v>5800</v>
      </c>
      <c r="Y822" s="29" t="str">
        <f>IFERROR(HLOOKUP(U822,List!$D$2:$H$6,2,FALSE),"")</f>
        <v/>
      </c>
      <c r="Z822" s="29">
        <f>IFERROR(HLOOKUP(V822,List!$D$2:$H$6,3,FALSE),"")</f>
        <v>5.0000000000000001E-3</v>
      </c>
      <c r="AA822" s="29" t="str">
        <f>IFERROR(HLOOKUP(W822,List!$D$2:$H$6,4,FALSE),"")</f>
        <v/>
      </c>
      <c r="AB822" s="29" t="str">
        <f>IFERROR(HLOOKUP(X822,List!$D$2:$H$6,5,FALSE),"")</f>
        <v/>
      </c>
      <c r="AC822" s="12" t="str">
        <f t="shared" si="209"/>
        <v/>
      </c>
      <c r="AD822" s="12">
        <f t="shared" si="210"/>
        <v>1.3195157668745194</v>
      </c>
      <c r="AE822" s="12" t="str">
        <f t="shared" si="211"/>
        <v/>
      </c>
      <c r="AF822" s="12" t="str">
        <f t="shared" si="212"/>
        <v/>
      </c>
      <c r="AG822" t="str">
        <f>VLOOKUP(J822,'Receivable Invoice Detail'!$A$1:F3834,6,FALSE)</f>
        <v>[AC-98-132-163-001] Spacer, 10x10-28 SRL-XT</v>
      </c>
      <c r="AJ822">
        <v>2503</v>
      </c>
      <c r="AM822" s="12" t="str">
        <f t="shared" si="213"/>
        <v/>
      </c>
      <c r="AN822" s="12">
        <f t="shared" si="214"/>
        <v>0</v>
      </c>
      <c r="AO822" s="12" t="str">
        <f t="shared" si="215"/>
        <v/>
      </c>
      <c r="AP822" s="12" t="str">
        <f t="shared" si="216"/>
        <v/>
      </c>
      <c r="AQ822" s="64">
        <f>M822</f>
        <v>2503</v>
      </c>
      <c r="AR822" t="s">
        <v>5931</v>
      </c>
      <c r="AS822" s="12">
        <f t="shared" si="221"/>
        <v>1034.8784999999998</v>
      </c>
      <c r="AT822" s="16" t="str">
        <f t="shared" si="224"/>
        <v/>
      </c>
    </row>
    <row r="823" spans="1:46" hidden="1" x14ac:dyDescent="0.25">
      <c r="A823" s="41">
        <f>CASOPOInvCL!T823</f>
        <v>1</v>
      </c>
      <c r="B823" s="74" t="str">
        <f>CASOPOInvCL!Z823</f>
        <v>SO17627</v>
      </c>
      <c r="D823" t="s">
        <v>5915</v>
      </c>
      <c r="G823" s="5" t="str">
        <f>CASOPOInvCL!I823</f>
        <v>Wilka Nuñez</v>
      </c>
      <c r="H823" s="31">
        <f>CASOPOInvCL!U823</f>
        <v>8</v>
      </c>
      <c r="I823" s="31">
        <f>CASOPOInvCL!V823</f>
        <v>2025</v>
      </c>
      <c r="J823" s="5" t="str">
        <f>CASOPOInvCL!AB823</f>
        <v>INV13333</v>
      </c>
      <c r="K823" s="31">
        <f>CASOPOInvCL!W823</f>
        <v>10</v>
      </c>
      <c r="L823" s="31">
        <f>CASOPOInvCL!X823</f>
        <v>2025</v>
      </c>
      <c r="M823">
        <v>2504</v>
      </c>
      <c r="N823" s="5" t="str">
        <f>CASOPOInvCL!AF823</f>
        <v>Barrick Gold - Pueblo Viejo Dominicana Corporation</v>
      </c>
      <c r="O823" s="16" t="str">
        <f>CASOPOInvCL!AG823</f>
        <v>USD</v>
      </c>
      <c r="P823" s="16">
        <f>CASOPOInvCL!AH823</f>
        <v>7978.9083771168953</v>
      </c>
      <c r="Q823" s="16">
        <f>CASOPOInvCL!AI823</f>
        <v>5791.92</v>
      </c>
      <c r="R823" s="32" t="str">
        <f>CASOPOInvCL!AU823</f>
        <v>Yes</v>
      </c>
      <c r="S823" s="16">
        <f>CASOPOInvCL!AV823</f>
        <v>0</v>
      </c>
      <c r="T823" s="16">
        <f>CASOPOInvCL!AW823</f>
        <v>5791.92</v>
      </c>
      <c r="V823" t="s">
        <v>5803</v>
      </c>
      <c r="Y823" s="29" t="str">
        <f>IFERROR(HLOOKUP(U823,List!$D$2:$H$6,2,FALSE),"")</f>
        <v/>
      </c>
      <c r="Z823" s="29">
        <f>IFERROR(HLOOKUP(V823,List!$D$2:$H$6,3,FALSE),"")</f>
        <v>0</v>
      </c>
      <c r="AA823" s="29" t="str">
        <f>IFERROR(HLOOKUP(W823,List!$D$2:$H$6,4,FALSE),"")</f>
        <v/>
      </c>
      <c r="AB823" s="29" t="str">
        <f>IFERROR(HLOOKUP(X823,List!$D$2:$H$6,5,FALSE),"")</f>
        <v/>
      </c>
      <c r="AC823" s="12" t="str">
        <f t="shared" si="209"/>
        <v/>
      </c>
      <c r="AD823" s="12">
        <f t="shared" si="210"/>
        <v>0</v>
      </c>
      <c r="AE823" s="12" t="str">
        <f t="shared" si="211"/>
        <v/>
      </c>
      <c r="AF823" s="12" t="str">
        <f t="shared" si="212"/>
        <v/>
      </c>
      <c r="AG823" t="str">
        <f>VLOOKUP(J823,'Receivable Invoice Detail'!$A$1:F3835,6,FALSE)</f>
        <v>[37230] Sleeve Bearing (Bowl), ThorPlas-Blue, HPCW</v>
      </c>
      <c r="AM823" s="12" t="str">
        <f t="shared" si="213"/>
        <v/>
      </c>
      <c r="AN823" s="12">
        <f t="shared" si="214"/>
        <v>0</v>
      </c>
      <c r="AO823" s="12" t="str">
        <f t="shared" si="215"/>
        <v/>
      </c>
      <c r="AP823" s="12" t="str">
        <f t="shared" si="216"/>
        <v/>
      </c>
      <c r="AQ823" s="75">
        <v>2504</v>
      </c>
      <c r="AR823" s="64" t="s">
        <v>5933</v>
      </c>
      <c r="AS823" s="12">
        <f t="shared" si="221"/>
        <v>0</v>
      </c>
      <c r="AT823" s="16" t="str">
        <f t="shared" si="224"/>
        <v>Yes</v>
      </c>
    </row>
    <row r="824" spans="1:46" hidden="1" x14ac:dyDescent="0.25">
      <c r="A824" s="41">
        <f>CASOPOInvCL!T824</f>
        <v>1</v>
      </c>
      <c r="B824" s="74" t="str">
        <f>CASOPOInvCL!Z824</f>
        <v>SO17628</v>
      </c>
      <c r="D824" t="s">
        <v>5915</v>
      </c>
      <c r="G824" s="5" t="str">
        <f>CASOPOInvCL!I824</f>
        <v>Wilka Nuñez</v>
      </c>
      <c r="H824" s="31">
        <f>CASOPOInvCL!U824</f>
        <v>8</v>
      </c>
      <c r="I824" s="31">
        <f>CASOPOInvCL!V824</f>
        <v>2025</v>
      </c>
      <c r="J824" s="5" t="str">
        <f>CASOPOInvCL!AB824</f>
        <v>INV13334</v>
      </c>
      <c r="K824" s="31">
        <f>CASOPOInvCL!W824</f>
        <v>9</v>
      </c>
      <c r="L824" s="31">
        <f>CASOPOInvCL!X824</f>
        <v>2025</v>
      </c>
      <c r="M824">
        <v>2504</v>
      </c>
      <c r="N824" s="5" t="str">
        <f>CASOPOInvCL!AF824</f>
        <v>Barrick Gold - Pueblo Viejo Dominicana Corporation</v>
      </c>
      <c r="O824" s="16" t="str">
        <f>CASOPOInvCL!AG824</f>
        <v>USD</v>
      </c>
      <c r="P824" s="16">
        <f>CASOPOInvCL!AH824</f>
        <v>15526.363553449059</v>
      </c>
      <c r="Q824" s="16">
        <f>CASOPOInvCL!AI824</f>
        <v>11242.24</v>
      </c>
      <c r="R824" s="32" t="str">
        <f>CASOPOInvCL!AU824</f>
        <v>Yes</v>
      </c>
      <c r="S824" s="16">
        <f>CASOPOInvCL!AV824</f>
        <v>0</v>
      </c>
      <c r="T824" s="16">
        <f>CASOPOInvCL!AW824</f>
        <v>11242.24</v>
      </c>
      <c r="V824" t="s">
        <v>5803</v>
      </c>
      <c r="Y824" s="29" t="str">
        <f>IFERROR(HLOOKUP(U824,List!$D$2:$H$6,2,FALSE),"")</f>
        <v/>
      </c>
      <c r="Z824" s="29">
        <f>IFERROR(HLOOKUP(V824,List!$D$2:$H$6,3,FALSE),"")</f>
        <v>0</v>
      </c>
      <c r="AA824" s="29" t="str">
        <f>IFERROR(HLOOKUP(W824,List!$D$2:$H$6,4,FALSE),"")</f>
        <v/>
      </c>
      <c r="AB824" s="29" t="str">
        <f>IFERROR(HLOOKUP(X824,List!$D$2:$H$6,5,FALSE),"")</f>
        <v/>
      </c>
      <c r="AC824" s="12" t="str">
        <f t="shared" si="209"/>
        <v/>
      </c>
      <c r="AD824" s="12">
        <f t="shared" si="210"/>
        <v>0</v>
      </c>
      <c r="AE824" s="12" t="str">
        <f t="shared" si="211"/>
        <v/>
      </c>
      <c r="AF824" s="12" t="str">
        <f t="shared" si="212"/>
        <v/>
      </c>
      <c r="AG824" t="str">
        <f>VLOOKUP(J824,'Receivable Invoice Detail'!$A$1:F3836,6,FALSE)</f>
        <v>[D-2001408-2507] Impeller Wear Ring, 10JKH/M, 5.12x5.48x0.88, Duplex SS 2507 w/Ion Nitriding</v>
      </c>
      <c r="AM824" s="12" t="str">
        <f t="shared" si="213"/>
        <v/>
      </c>
      <c r="AN824" s="12">
        <f t="shared" si="214"/>
        <v>0</v>
      </c>
      <c r="AO824" s="12" t="str">
        <f t="shared" si="215"/>
        <v/>
      </c>
      <c r="AP824" s="12" t="str">
        <f t="shared" si="216"/>
        <v/>
      </c>
      <c r="AQ824" s="75">
        <v>2504</v>
      </c>
      <c r="AR824" s="64" t="s">
        <v>5933</v>
      </c>
      <c r="AS824" s="12">
        <f t="shared" si="221"/>
        <v>0</v>
      </c>
      <c r="AT824" s="16" t="str">
        <f t="shared" si="224"/>
        <v>Yes</v>
      </c>
    </row>
    <row r="825" spans="1:46" hidden="1" x14ac:dyDescent="0.25">
      <c r="A825" s="41">
        <f>CASOPOInvCL!T825</f>
        <v>1</v>
      </c>
      <c r="B825" t="str">
        <f>CASOPOInvCL!Z825</f>
        <v>SO17630</v>
      </c>
      <c r="D825" t="s">
        <v>5938</v>
      </c>
      <c r="G825" s="5" t="str">
        <f>CASOPOInvCL!I825</f>
        <v>Marlen Martinez</v>
      </c>
      <c r="H825" s="31">
        <f>CASOPOInvCL!U825</f>
        <v>8</v>
      </c>
      <c r="I825" s="31">
        <f>CASOPOInvCL!V825</f>
        <v>2025</v>
      </c>
      <c r="J825" s="5" t="str">
        <f>CASOPOInvCL!AB825</f>
        <v>INV13282</v>
      </c>
      <c r="K825" s="31">
        <f>CASOPOInvCL!W825</f>
        <v>11</v>
      </c>
      <c r="L825" s="31">
        <f>CASOPOInvCL!X825</f>
        <v>2025</v>
      </c>
      <c r="M825">
        <v>2504</v>
      </c>
      <c r="N825" s="5" t="str">
        <f>CASOPOInvCL!AF825</f>
        <v>Covia Corp - Junction City</v>
      </c>
      <c r="O825" s="16" t="str">
        <f>CASOPOInvCL!AG825</f>
        <v>USD</v>
      </c>
      <c r="P825" s="16">
        <f>CASOPOInvCL!AH825</f>
        <v>283.89436289801137</v>
      </c>
      <c r="Q825" s="16">
        <f>CASOPOInvCL!AI825</f>
        <v>206.08</v>
      </c>
      <c r="R825" s="32" t="str">
        <f>CASOPOInvCL!AU825</f>
        <v>Yes</v>
      </c>
      <c r="S825" s="16">
        <f>CASOPOInvCL!AV825</f>
        <v>186.51</v>
      </c>
      <c r="T825" s="16">
        <f>CASOPOInvCL!AW825</f>
        <v>19.570000000000022</v>
      </c>
      <c r="Y825" s="29" t="str">
        <f>IFERROR(HLOOKUP(U825,List!$D$2:$H$6,2,FALSE),"")</f>
        <v/>
      </c>
      <c r="Z825" s="29" t="str">
        <f>IFERROR(HLOOKUP(V825,List!$D$2:$H$6,3,FALSE),"")</f>
        <v/>
      </c>
      <c r="AA825" s="29" t="str">
        <f>IFERROR(HLOOKUP(W825,List!$D$2:$H$6,4,FALSE),"")</f>
        <v/>
      </c>
      <c r="AB825" s="29" t="str">
        <f>IFERROR(HLOOKUP(X825,List!$D$2:$H$6,5,FALSE),"")</f>
        <v/>
      </c>
      <c r="AC825" s="12" t="str">
        <f t="shared" si="209"/>
        <v/>
      </c>
      <c r="AD825" s="12" t="str">
        <f t="shared" si="210"/>
        <v/>
      </c>
      <c r="AE825" s="12" t="str">
        <f t="shared" si="211"/>
        <v/>
      </c>
      <c r="AF825" s="12" t="str">
        <f t="shared" si="212"/>
        <v/>
      </c>
      <c r="AG825" t="str">
        <f>VLOOKUP(J825,'Receivable Invoice Detail'!$A$1:F3837,6,FALSE)</f>
        <v>[W-S30132/S01] Discharge Joint Ring, EPDM</v>
      </c>
      <c r="AM825" s="12" t="str">
        <f t="shared" si="213"/>
        <v/>
      </c>
      <c r="AN825" s="12" t="str">
        <f t="shared" si="214"/>
        <v/>
      </c>
      <c r="AO825" s="12" t="str">
        <f t="shared" si="215"/>
        <v/>
      </c>
      <c r="AP825" s="12" t="str">
        <f t="shared" si="216"/>
        <v/>
      </c>
      <c r="AQ825" s="64">
        <f>M825</f>
        <v>2504</v>
      </c>
      <c r="AR825" t="s">
        <v>5939</v>
      </c>
      <c r="AS825" s="12">
        <f t="shared" si="221"/>
        <v>3.9585473006235579</v>
      </c>
      <c r="AT825" s="16" t="str">
        <f t="shared" si="224"/>
        <v>Yes</v>
      </c>
    </row>
    <row r="826" spans="1:46" hidden="1" x14ac:dyDescent="0.25">
      <c r="A826" s="41">
        <f>CASOPOInvCL!T826</f>
        <v>1</v>
      </c>
      <c r="B826" t="str">
        <f>CASOPOInvCL!Z826</f>
        <v>SO17636</v>
      </c>
      <c r="G826" s="5" t="str">
        <f>CASOPOInvCL!I826</f>
        <v>Ian Trottier</v>
      </c>
      <c r="H826" s="31">
        <f>CASOPOInvCL!U826</f>
        <v>8</v>
      </c>
      <c r="I826" s="31">
        <f>CASOPOInvCL!V826</f>
        <v>2025</v>
      </c>
      <c r="J826" s="5" t="str">
        <f>CASOPOInvCL!AB826</f>
        <v>INV13817</v>
      </c>
      <c r="K826" s="31" t="str">
        <f>CASOPOInvCL!W826</f>
        <v/>
      </c>
      <c r="L826" s="31" t="str">
        <f>CASOPOInvCL!X826</f>
        <v/>
      </c>
      <c r="M826" s="31"/>
      <c r="N826" s="5" t="str">
        <f>CASOPOInvCL!AF826</f>
        <v>DXP Enterprises, Inc. - Phoenix</v>
      </c>
      <c r="O826" s="16" t="str">
        <f>CASOPOInvCL!AG826</f>
        <v>USD</v>
      </c>
      <c r="P826" s="16">
        <f>CASOPOInvCL!AH826</f>
        <v>3009.0652917356006</v>
      </c>
      <c r="Q826" s="16">
        <f>CASOPOInvCL!AI826</f>
        <v>2189.7800000000002</v>
      </c>
      <c r="R826" s="32" t="str">
        <f>CASOPOInvCL!AU826</f>
        <v/>
      </c>
      <c r="S826" s="16">
        <f>CASOPOInvCL!AV826</f>
        <v>0</v>
      </c>
      <c r="T826" s="16">
        <f>CASOPOInvCL!AW826</f>
        <v>0</v>
      </c>
      <c r="Y826" s="29" t="str">
        <f>IFERROR(HLOOKUP(U826,List!$D$2:$H$6,2,FALSE),"")</f>
        <v/>
      </c>
      <c r="Z826" s="29" t="str">
        <f>IFERROR(HLOOKUP(V826,List!$D$2:$H$6,3,FALSE),"")</f>
        <v/>
      </c>
      <c r="AA826" s="29" t="str">
        <f>IFERROR(HLOOKUP(W826,List!$D$2:$H$6,4,FALSE),"")</f>
        <v/>
      </c>
      <c r="AB826" s="29" t="str">
        <f>IFERROR(HLOOKUP(X826,List!$D$2:$H$6,5,FALSE),"")</f>
        <v/>
      </c>
      <c r="AC826" s="12" t="str">
        <f t="shared" si="209"/>
        <v/>
      </c>
      <c r="AD826" s="12" t="str">
        <f t="shared" si="210"/>
        <v/>
      </c>
      <c r="AE826" s="12" t="str">
        <f t="shared" si="211"/>
        <v/>
      </c>
      <c r="AF826" s="12" t="str">
        <f t="shared" si="212"/>
        <v/>
      </c>
      <c r="AG826" t="e">
        <f>VLOOKUP(J826,'Receivable Invoice Detail'!$A$1:F3838,6,FALSE)</f>
        <v>#N/A</v>
      </c>
      <c r="AM826" s="12" t="str">
        <f t="shared" si="213"/>
        <v/>
      </c>
      <c r="AN826" s="12" t="str">
        <f t="shared" si="214"/>
        <v/>
      </c>
      <c r="AO826" s="12" t="str">
        <f t="shared" si="215"/>
        <v/>
      </c>
      <c r="AP826" s="12" t="str">
        <f t="shared" si="216"/>
        <v/>
      </c>
      <c r="AQ826" s="12"/>
      <c r="AS826" s="12">
        <f t="shared" si="221"/>
        <v>86.878799999999998</v>
      </c>
      <c r="AT826" s="16" t="str">
        <f t="shared" si="224"/>
        <v>Yes</v>
      </c>
    </row>
    <row r="827" spans="1:46" hidden="1" x14ac:dyDescent="0.25">
      <c r="A827" s="41">
        <f>CASOPOInvCL!T827</f>
        <v>1</v>
      </c>
      <c r="B827" t="str">
        <f>CASOPOInvCL!Z827</f>
        <v>SO17637</v>
      </c>
      <c r="D827" t="s">
        <v>5915</v>
      </c>
      <c r="G827" s="5" t="str">
        <f>CASOPOInvCL!I827</f>
        <v>Wilka Nuñez</v>
      </c>
      <c r="H827" s="31">
        <f>CASOPOInvCL!U827</f>
        <v>8</v>
      </c>
      <c r="I827" s="31">
        <f>CASOPOInvCL!V827</f>
        <v>2025</v>
      </c>
      <c r="J827" s="5" t="str">
        <f>CASOPOInvCL!AB827</f>
        <v>INV13279</v>
      </c>
      <c r="K827" s="31">
        <f>CASOPOInvCL!W827</f>
        <v>9</v>
      </c>
      <c r="L827" s="31">
        <f>CASOPOInvCL!X827</f>
        <v>2025</v>
      </c>
      <c r="M827">
        <v>2503</v>
      </c>
      <c r="N827" s="5" t="str">
        <f>CASOPOInvCL!AF827</f>
        <v>Hyperflo</v>
      </c>
      <c r="O827" s="16" t="str">
        <f>CASOPOInvCL!AG827</f>
        <v>CAD</v>
      </c>
      <c r="P827" s="16">
        <f>CASOPOInvCL!AH827</f>
        <v>861.5</v>
      </c>
      <c r="Q827" s="16">
        <f>CASOPOInvCL!AI827</f>
        <v>626.93736662386857</v>
      </c>
      <c r="R827" s="32" t="str">
        <f>CASOPOInvCL!AU827</f>
        <v>Yes</v>
      </c>
      <c r="S827" s="16">
        <f>CASOPOInvCL!AV827</f>
        <v>0</v>
      </c>
      <c r="T827" s="16">
        <f>CASOPOInvCL!AW827</f>
        <v>626.93736662386857</v>
      </c>
      <c r="V827" t="s">
        <v>5800</v>
      </c>
      <c r="Y827" s="29" t="str">
        <f>IFERROR(HLOOKUP(U827,List!$D$2:$H$6,2,FALSE),"")</f>
        <v/>
      </c>
      <c r="Z827" s="29">
        <f>IFERROR(HLOOKUP(V827,List!$D$2:$H$6,3,FALSE),"")</f>
        <v>5.0000000000000001E-3</v>
      </c>
      <c r="AA827" s="29" t="str">
        <f>IFERROR(HLOOKUP(W827,List!$D$2:$H$6,4,FALSE),"")</f>
        <v/>
      </c>
      <c r="AB827" s="29" t="str">
        <f>IFERROR(HLOOKUP(X827,List!$D$2:$H$6,5,FALSE),"")</f>
        <v/>
      </c>
      <c r="AC827" s="12" t="str">
        <f t="shared" si="209"/>
        <v/>
      </c>
      <c r="AD827" s="12">
        <f t="shared" si="210"/>
        <v>3.1346868331193427</v>
      </c>
      <c r="AE827" s="12" t="str">
        <f t="shared" si="211"/>
        <v/>
      </c>
      <c r="AF827" s="12" t="str">
        <f t="shared" si="212"/>
        <v/>
      </c>
      <c r="AG827" t="str">
        <f>VLOOKUP(J827,'Receivable Invoice Detail'!$A$1:F3839,6,FALSE)</f>
        <v>[AC-98-233-733-513] Deflector (Water Slinger), 8x6-18 &amp; 10x8-21 SRL-C, Neoprene/Steel</v>
      </c>
      <c r="AJ827">
        <v>2503</v>
      </c>
      <c r="AM827" s="12" t="str">
        <f t="shared" si="213"/>
        <v/>
      </c>
      <c r="AN827" s="12">
        <f t="shared" si="214"/>
        <v>0</v>
      </c>
      <c r="AO827" s="12" t="str">
        <f t="shared" si="215"/>
        <v/>
      </c>
      <c r="AP827" s="12" t="str">
        <f t="shared" si="216"/>
        <v/>
      </c>
      <c r="AQ827" s="64">
        <f>M827</f>
        <v>2503</v>
      </c>
      <c r="AR827" t="s">
        <v>5931</v>
      </c>
      <c r="AS827" s="12">
        <f t="shared" si="221"/>
        <v>168.6336</v>
      </c>
      <c r="AT827" s="16" t="str">
        <f t="shared" si="224"/>
        <v/>
      </c>
    </row>
    <row r="828" spans="1:46" hidden="1" x14ac:dyDescent="0.25">
      <c r="A828" s="41">
        <f>CASOPOInvCL!T828</f>
        <v>1</v>
      </c>
      <c r="B828" t="str">
        <f>CASOPOInvCL!Z828</f>
        <v>SO17640</v>
      </c>
      <c r="D828" t="s">
        <v>5851</v>
      </c>
      <c r="G828" s="5" t="str">
        <f>CASOPOInvCL!I828</f>
        <v>Alexis Gil Lamadrid</v>
      </c>
      <c r="H828" s="31">
        <f>CASOPOInvCL!U828</f>
        <v>8</v>
      </c>
      <c r="I828" s="31">
        <f>CASOPOInvCL!V828</f>
        <v>2025</v>
      </c>
      <c r="J828" s="5" t="str">
        <f>CASOPOInvCL!AB828</f>
        <v>INV13286</v>
      </c>
      <c r="K828" s="31">
        <f>CASOPOInvCL!W828</f>
        <v>9</v>
      </c>
      <c r="L828" s="31">
        <f>CASOPOInvCL!X828</f>
        <v>2025</v>
      </c>
      <c r="M828">
        <v>2503</v>
      </c>
      <c r="N828" s="5" t="str">
        <f>CASOPOInvCL!AF828</f>
        <v>Manufacture Sling-Choker (Val-d’Or) Ltée</v>
      </c>
      <c r="O828" s="16" t="str">
        <f>CASOPOInvCL!AG828</f>
        <v>CAD</v>
      </c>
      <c r="P828" s="16">
        <f>CASOPOInvCL!AH828</f>
        <v>126.16</v>
      </c>
      <c r="Q828" s="16">
        <f>CASOPOInvCL!AI828</f>
        <v>91.728489899824794</v>
      </c>
      <c r="R828" s="32" t="str">
        <f>CASOPOInvCL!AU828</f>
        <v>Yes</v>
      </c>
      <c r="S828" s="16">
        <f>CASOPOInvCL!AV828</f>
        <v>0</v>
      </c>
      <c r="T828" s="16">
        <f>CASOPOInvCL!AW828</f>
        <v>91.728489899824794</v>
      </c>
      <c r="V828" t="s">
        <v>5800</v>
      </c>
      <c r="Y828" s="29" t="str">
        <f>IFERROR(HLOOKUP(U828,List!$D$2:$H$6,2,FALSE),"")</f>
        <v/>
      </c>
      <c r="Z828" s="29">
        <f>IFERROR(HLOOKUP(V828,List!$D$2:$H$6,3,FALSE),"")</f>
        <v>5.0000000000000001E-3</v>
      </c>
      <c r="AA828" s="29" t="str">
        <f>IFERROR(HLOOKUP(W828,List!$D$2:$H$6,4,FALSE),"")</f>
        <v/>
      </c>
      <c r="AB828" s="29" t="str">
        <f>IFERROR(HLOOKUP(X828,List!$D$2:$H$6,5,FALSE),"")</f>
        <v/>
      </c>
      <c r="AC828" s="12" t="str">
        <f t="shared" si="209"/>
        <v/>
      </c>
      <c r="AD828" s="12">
        <f t="shared" si="210"/>
        <v>0.45864244949912397</v>
      </c>
      <c r="AE828" s="12" t="str">
        <f t="shared" si="211"/>
        <v/>
      </c>
      <c r="AF828" s="12" t="str">
        <f t="shared" si="212"/>
        <v/>
      </c>
      <c r="AG828" t="str">
        <f>VLOOKUP(J828,'Receivable Invoice Detail'!$A$1:F3840,6,FALSE)</f>
        <v>[AN18] Bearing Lock Nut, 8x6-18 &amp; 10x8-21 SRL-C, Steel</v>
      </c>
      <c r="AJ828">
        <v>2503</v>
      </c>
      <c r="AM828" s="12" t="str">
        <f t="shared" si="213"/>
        <v/>
      </c>
      <c r="AN828" s="12">
        <f t="shared" si="214"/>
        <v>0</v>
      </c>
      <c r="AO828" s="12" t="str">
        <f t="shared" si="215"/>
        <v/>
      </c>
      <c r="AP828" s="12" t="str">
        <f t="shared" si="216"/>
        <v/>
      </c>
      <c r="AQ828" s="64">
        <f>M828</f>
        <v>2503</v>
      </c>
      <c r="AR828" t="s">
        <v>5931</v>
      </c>
      <c r="AS828" s="12">
        <f t="shared" si="221"/>
        <v>0.29355000000000031</v>
      </c>
      <c r="AT828" s="16" t="str">
        <f t="shared" si="224"/>
        <v>Yes</v>
      </c>
    </row>
    <row r="829" spans="1:46" hidden="1" x14ac:dyDescent="0.25">
      <c r="A829" s="41">
        <f>CASOPOInvCL!T829</f>
        <v>1</v>
      </c>
      <c r="B829" t="str">
        <f>CASOPOInvCL!Z829</f>
        <v>SO17643</v>
      </c>
      <c r="G829" s="5" t="str">
        <f>CASOPOInvCL!I829</f>
        <v>Ian Trottier</v>
      </c>
      <c r="H829" s="31">
        <f>CASOPOInvCL!U829</f>
        <v>8</v>
      </c>
      <c r="I829" s="31">
        <f>CASOPOInvCL!V829</f>
        <v>2025</v>
      </c>
      <c r="J829" s="5" t="str">
        <f>CASOPOInvCL!AB829</f>
        <v>INV13558</v>
      </c>
      <c r="K829" s="31">
        <f>CASOPOInvCL!W829</f>
        <v>12</v>
      </c>
      <c r="L829" s="31">
        <f>CASOPOInvCL!X829</f>
        <v>2025</v>
      </c>
      <c r="M829" s="31"/>
      <c r="N829" s="5" t="str">
        <f>CASOPOInvCL!AF829</f>
        <v>Les Pompes du St-Laurent Inc.</v>
      </c>
      <c r="O829" s="16" t="str">
        <f>CASOPOInvCL!AG829</f>
        <v>CAD</v>
      </c>
      <c r="P829" s="16">
        <f>CASOPOInvCL!AH829</f>
        <v>9024.4699999999993</v>
      </c>
      <c r="Q829" s="16">
        <f>CASOPOInvCL!AI829</f>
        <v>6567.3563052537465</v>
      </c>
      <c r="R829" s="32" t="str">
        <f>CASOPOInvCL!AU829</f>
        <v>Yes</v>
      </c>
      <c r="S829" s="16">
        <f>CASOPOInvCL!AV829</f>
        <v>0</v>
      </c>
      <c r="T829" s="16">
        <f>CASOPOInvCL!AW829</f>
        <v>6567.3563052537465</v>
      </c>
      <c r="Y829" s="29" t="str">
        <f>IFERROR(HLOOKUP(U829,List!$D$2:$H$6,2,FALSE),"")</f>
        <v/>
      </c>
      <c r="Z829" s="29" t="str">
        <f>IFERROR(HLOOKUP(V829,List!$D$2:$H$6,3,FALSE),"")</f>
        <v/>
      </c>
      <c r="AA829" s="29" t="str">
        <f>IFERROR(HLOOKUP(W829,List!$D$2:$H$6,4,FALSE),"")</f>
        <v/>
      </c>
      <c r="AB829" s="29" t="str">
        <f>IFERROR(HLOOKUP(X829,List!$D$2:$H$6,5,FALSE),"")</f>
        <v/>
      </c>
      <c r="AC829" s="12" t="str">
        <f t="shared" si="209"/>
        <v/>
      </c>
      <c r="AD829" s="12" t="str">
        <f t="shared" si="210"/>
        <v/>
      </c>
      <c r="AE829" s="12" t="str">
        <f t="shared" si="211"/>
        <v/>
      </c>
      <c r="AF829" s="12" t="str">
        <f t="shared" si="212"/>
        <v/>
      </c>
      <c r="AG829" t="str">
        <f>VLOOKUP(J829,'Receivable Invoice Detail'!$A$1:F3841,6,FALSE)</f>
        <v>[G-243-90 1216] Impeller, 6x8-13, 3171-L, CD4MCu</v>
      </c>
      <c r="AM829" s="12" t="str">
        <f t="shared" si="213"/>
        <v/>
      </c>
      <c r="AN829" s="12" t="str">
        <f t="shared" si="214"/>
        <v/>
      </c>
      <c r="AO829" s="12" t="str">
        <f t="shared" si="215"/>
        <v/>
      </c>
      <c r="AP829" s="12" t="str">
        <f t="shared" si="216"/>
        <v/>
      </c>
      <c r="AQ829" s="12"/>
      <c r="AS829" s="12">
        <f t="shared" si="221"/>
        <v>0</v>
      </c>
      <c r="AT829" s="16" t="str">
        <f t="shared" si="224"/>
        <v>Yes</v>
      </c>
    </row>
    <row r="830" spans="1:46" hidden="1" x14ac:dyDescent="0.25">
      <c r="A830" s="41">
        <f>CASOPOInvCL!T830</f>
        <v>2</v>
      </c>
      <c r="B830" t="str">
        <f>CASOPOInvCL!Z830</f>
        <v>SO17644</v>
      </c>
      <c r="G830" s="5" t="str">
        <f>CASOPOInvCL!I830</f>
        <v>Ian Trottier</v>
      </c>
      <c r="H830" s="31">
        <f>CASOPOInvCL!U830</f>
        <v>8</v>
      </c>
      <c r="I830" s="31">
        <f>CASOPOInvCL!V830</f>
        <v>2025</v>
      </c>
      <c r="J830" s="5" t="str">
        <f>CASOPOInvCL!AB830</f>
        <v>INV13529</v>
      </c>
      <c r="K830" s="31">
        <f>CASOPOInvCL!W830</f>
        <v>12</v>
      </c>
      <c r="L830" s="31">
        <f>CASOPOInvCL!X830</f>
        <v>2025</v>
      </c>
      <c r="M830" s="31"/>
      <c r="N830" s="5" t="str">
        <f>CASOPOInvCL!AF830</f>
        <v>Thunder Bay Pulp and Paper Inc</v>
      </c>
      <c r="O830" s="16" t="str">
        <f>CASOPOInvCL!AG830</f>
        <v>CAD</v>
      </c>
      <c r="P830" s="16">
        <f>CASOPOInvCL!AH830</f>
        <v>10778.64</v>
      </c>
      <c r="Q830" s="16">
        <f>CASOPOInvCL!AI830</f>
        <v>7830.3266601170226</v>
      </c>
      <c r="R830" s="32" t="str">
        <f>CASOPOInvCL!AU830</f>
        <v>Yes</v>
      </c>
      <c r="S830" s="16">
        <f>CASOPOInvCL!AV830</f>
        <v>0</v>
      </c>
      <c r="T830" s="16">
        <f>CASOPOInvCL!AW830</f>
        <v>7830.3266601170226</v>
      </c>
      <c r="Y830" s="29" t="str">
        <f>IFERROR(HLOOKUP(U830,List!$D$2:$H$6,2,FALSE),"")</f>
        <v/>
      </c>
      <c r="Z830" s="29" t="str">
        <f>IFERROR(HLOOKUP(V830,List!$D$2:$H$6,3,FALSE),"")</f>
        <v/>
      </c>
      <c r="AA830" s="29" t="str">
        <f>IFERROR(HLOOKUP(W830,List!$D$2:$H$6,4,FALSE),"")</f>
        <v/>
      </c>
      <c r="AB830" s="29" t="str">
        <f>IFERROR(HLOOKUP(X830,List!$D$2:$H$6,5,FALSE),"")</f>
        <v/>
      </c>
      <c r="AC830" s="12" t="str">
        <f t="shared" si="209"/>
        <v/>
      </c>
      <c r="AD830" s="12" t="str">
        <f t="shared" si="210"/>
        <v/>
      </c>
      <c r="AE830" s="12" t="str">
        <f t="shared" si="211"/>
        <v/>
      </c>
      <c r="AF830" s="12" t="str">
        <f t="shared" si="212"/>
        <v/>
      </c>
      <c r="AG830" t="str">
        <f>VLOOKUP(J830,'Receivable Invoice Detail'!$A$1:F3842,6,FALSE)</f>
        <v>[AC-98-431-614-007] Impeller, 6x3-14, PWO, 317SS</v>
      </c>
      <c r="AM830" s="12" t="str">
        <f t="shared" si="213"/>
        <v/>
      </c>
      <c r="AN830" s="12" t="str">
        <f t="shared" si="214"/>
        <v/>
      </c>
      <c r="AO830" s="12" t="str">
        <f t="shared" si="215"/>
        <v/>
      </c>
      <c r="AP830" s="12" t="str">
        <f t="shared" si="216"/>
        <v/>
      </c>
      <c r="AQ830" s="12"/>
      <c r="AS830" s="12">
        <f t="shared" si="221"/>
        <v>9.4040604993580281</v>
      </c>
      <c r="AT830" s="16" t="str">
        <f t="shared" si="224"/>
        <v>Yes</v>
      </c>
    </row>
    <row r="831" spans="1:46" hidden="1" x14ac:dyDescent="0.25">
      <c r="A831" s="41">
        <f>CASOPOInvCL!T831</f>
        <v>2</v>
      </c>
      <c r="B831" t="str">
        <f>CASOPOInvCL!Z831</f>
        <v>SO17644</v>
      </c>
      <c r="G831" s="5">
        <f>CASOPOInvCL!I831</f>
        <v>0</v>
      </c>
      <c r="H831" s="31">
        <f>CASOPOInvCL!U831</f>
        <v>8</v>
      </c>
      <c r="I831" s="31">
        <f>CASOPOInvCL!V831</f>
        <v>2025</v>
      </c>
      <c r="J831" s="5" t="str">
        <f>CASOPOInvCL!AB831</f>
        <v>INV13507</v>
      </c>
      <c r="K831" s="31">
        <f>CASOPOInvCL!W831</f>
        <v>12</v>
      </c>
      <c r="L831" s="31">
        <f>CASOPOInvCL!X831</f>
        <v>2025</v>
      </c>
      <c r="M831" s="31"/>
      <c r="N831" s="5" t="str">
        <f>CASOPOInvCL!AF831</f>
        <v>Thunder Bay Pulp and Paper Inc</v>
      </c>
      <c r="O831" s="16" t="str">
        <f>CASOPOInvCL!AG831</f>
        <v>CAD</v>
      </c>
      <c r="P831" s="16">
        <f>CASOPOInvCL!AH831</f>
        <v>0</v>
      </c>
      <c r="Q831" s="16">
        <f>CASOPOInvCL!AI831</f>
        <v>0</v>
      </c>
      <c r="R831" s="32" t="str">
        <f>CASOPOInvCL!AU831</f>
        <v/>
      </c>
      <c r="S831" s="16">
        <f>CASOPOInvCL!AV831</f>
        <v>0</v>
      </c>
      <c r="T831" s="16">
        <f>CASOPOInvCL!AW831</f>
        <v>0</v>
      </c>
      <c r="Y831" s="29" t="str">
        <f>IFERROR(HLOOKUP(U831,List!$D$2:$H$6,2,FALSE),"")</f>
        <v/>
      </c>
      <c r="Z831" s="29" t="str">
        <f>IFERROR(HLOOKUP(V831,List!$D$2:$H$6,3,FALSE),"")</f>
        <v/>
      </c>
      <c r="AA831" s="29" t="str">
        <f>IFERROR(HLOOKUP(W831,List!$D$2:$H$6,4,FALSE),"")</f>
        <v/>
      </c>
      <c r="AB831" s="29" t="str">
        <f>IFERROR(HLOOKUP(X831,List!$D$2:$H$6,5,FALSE),"")</f>
        <v/>
      </c>
      <c r="AC831" s="12" t="str">
        <f t="shared" si="209"/>
        <v/>
      </c>
      <c r="AD831" s="12" t="str">
        <f t="shared" si="210"/>
        <v/>
      </c>
      <c r="AE831" s="12" t="str">
        <f t="shared" si="211"/>
        <v/>
      </c>
      <c r="AF831" s="12" t="str">
        <f t="shared" si="212"/>
        <v/>
      </c>
      <c r="AG831" t="str">
        <f>VLOOKUP(J831,'Receivable Invoice Detail'!$A$1:F3843,6,FALSE)</f>
        <v>[AC-98-530-477-006] Impeller, 10x8-17, PWO, 317SS</v>
      </c>
      <c r="AM831" s="12" t="str">
        <f t="shared" si="213"/>
        <v/>
      </c>
      <c r="AN831" s="12" t="str">
        <f t="shared" si="214"/>
        <v/>
      </c>
      <c r="AO831" s="12" t="str">
        <f t="shared" si="215"/>
        <v/>
      </c>
      <c r="AP831" s="12" t="str">
        <f t="shared" si="216"/>
        <v/>
      </c>
      <c r="AQ831" s="12"/>
      <c r="AS831" s="12">
        <f t="shared" si="221"/>
        <v>1.3759273484973717</v>
      </c>
      <c r="AT831" s="16" t="str">
        <f t="shared" si="224"/>
        <v>Yes</v>
      </c>
    </row>
    <row r="832" spans="1:46" hidden="1" x14ac:dyDescent="0.25">
      <c r="A832" s="41">
        <f>CASOPOInvCL!T832</f>
        <v>1</v>
      </c>
      <c r="B832" t="str">
        <f>CASOPOInvCL!Z832</f>
        <v>SO17645</v>
      </c>
      <c r="D832" t="s">
        <v>5851</v>
      </c>
      <c r="G832" s="5" t="str">
        <f>CASOPOInvCL!I832</f>
        <v>Alexis Gil Lamadrid</v>
      </c>
      <c r="H832" s="31">
        <f>CASOPOInvCL!U832</f>
        <v>8</v>
      </c>
      <c r="I832" s="31">
        <f>CASOPOInvCL!V832</f>
        <v>2025</v>
      </c>
      <c r="J832" s="5" t="str">
        <f>CASOPOInvCL!AB832</f>
        <v>INV13341</v>
      </c>
      <c r="K832" s="31">
        <f>CASOPOInvCL!W832</f>
        <v>10</v>
      </c>
      <c r="L832" s="31">
        <f>CASOPOInvCL!X832</f>
        <v>2025</v>
      </c>
      <c r="M832">
        <v>2504</v>
      </c>
      <c r="N832" s="5" t="str">
        <f>CASOPOInvCL!AF832</f>
        <v>Resolute Forest Products - Fibrek</v>
      </c>
      <c r="O832" s="16" t="str">
        <f>CASOPOInvCL!AG832</f>
        <v>CAD</v>
      </c>
      <c r="P832" s="16">
        <f>CASOPOInvCL!AH832</f>
        <v>204.32</v>
      </c>
      <c r="Q832" s="16">
        <f>CASOPOInvCL!AI832</f>
        <v>148.68931253463592</v>
      </c>
      <c r="R832" s="32" t="str">
        <f>CASOPOInvCL!AU832</f>
        <v>Yes</v>
      </c>
      <c r="S832" s="16">
        <f>CASOPOInvCL!AV832</f>
        <v>0</v>
      </c>
      <c r="T832" s="16">
        <f>CASOPOInvCL!AW832</f>
        <v>148.68931253463592</v>
      </c>
      <c r="V832" t="s">
        <v>5800</v>
      </c>
      <c r="Y832" s="29" t="str">
        <f>IFERROR(HLOOKUP(U832,List!$D$2:$H$6,2,FALSE),"")</f>
        <v/>
      </c>
      <c r="Z832" s="29">
        <f>IFERROR(HLOOKUP(V832,List!$D$2:$H$6,3,FALSE),"")</f>
        <v>5.0000000000000001E-3</v>
      </c>
      <c r="AA832" s="29" t="str">
        <f>IFERROR(HLOOKUP(W832,List!$D$2:$H$6,4,FALSE),"")</f>
        <v/>
      </c>
      <c r="AB832" s="29" t="str">
        <f>IFERROR(HLOOKUP(X832,List!$D$2:$H$6,5,FALSE),"")</f>
        <v/>
      </c>
      <c r="AC832" s="12" t="str">
        <f t="shared" si="209"/>
        <v/>
      </c>
      <c r="AD832" s="12">
        <f t="shared" si="210"/>
        <v>0.74344656267317955</v>
      </c>
      <c r="AE832" s="12" t="str">
        <f t="shared" si="211"/>
        <v/>
      </c>
      <c r="AF832" s="12" t="str">
        <f t="shared" si="212"/>
        <v/>
      </c>
      <c r="AG832" t="str">
        <f>VLOOKUP(J832,'Receivable Invoice Detail'!$A$1:F3844,6,FALSE)</f>
        <v>[AC-98-233-992-001] Half Seal Cage, 3x3-10 SRL &amp; SRL-C, Cast Iron</v>
      </c>
      <c r="AM832" s="12" t="str">
        <f t="shared" si="213"/>
        <v/>
      </c>
      <c r="AN832" s="12">
        <f t="shared" si="214"/>
        <v>0.74344656267317955</v>
      </c>
      <c r="AO832" s="12" t="str">
        <f t="shared" si="215"/>
        <v/>
      </c>
      <c r="AP832" s="12" t="str">
        <f t="shared" si="216"/>
        <v/>
      </c>
      <c r="AQ832" s="64">
        <f>M832</f>
        <v>2504</v>
      </c>
      <c r="AR832" t="s">
        <v>5931</v>
      </c>
      <c r="AS832" s="12">
        <f t="shared" si="221"/>
        <v>98.510344578806198</v>
      </c>
      <c r="AT832" s="16" t="str">
        <f t="shared" si="224"/>
        <v/>
      </c>
    </row>
    <row r="833" spans="1:46" hidden="1" x14ac:dyDescent="0.25">
      <c r="A833" s="41">
        <f>CASOPOInvCL!T833</f>
        <v>1</v>
      </c>
      <c r="B833" t="str">
        <f>CASOPOInvCL!Z833</f>
        <v>SO17648</v>
      </c>
      <c r="G833" s="5" t="str">
        <f>CASOPOInvCL!I833</f>
        <v>Ian Trottier</v>
      </c>
      <c r="H833" s="31">
        <f>CASOPOInvCL!U833</f>
        <v>8</v>
      </c>
      <c r="I833" s="31">
        <f>CASOPOInvCL!V833</f>
        <v>2025</v>
      </c>
      <c r="J833" s="5" t="str">
        <f>CASOPOInvCL!AB833</f>
        <v>INV13444</v>
      </c>
      <c r="K833" s="31" t="str">
        <f>CASOPOInvCL!W833</f>
        <v/>
      </c>
      <c r="L833" s="31" t="str">
        <f>CASOPOInvCL!X833</f>
        <v/>
      </c>
      <c r="M833" s="31"/>
      <c r="N833" s="5" t="str">
        <f>CASOPOInvCL!AF833</f>
        <v>Quality Concrete Inc.</v>
      </c>
      <c r="O833" s="16" t="str">
        <f>CASOPOInvCL!AG833</f>
        <v>CAD</v>
      </c>
      <c r="P833" s="16">
        <f>CASOPOInvCL!AH833</f>
        <v>9848.2199999999993</v>
      </c>
      <c r="Q833" s="16">
        <f>CASOPOInvCL!AI833</f>
        <v>7144.0532406823577</v>
      </c>
      <c r="R833" s="32" t="str">
        <f>CASOPOInvCL!AU833</f>
        <v/>
      </c>
      <c r="S833" s="16">
        <f>CASOPOInvCL!AV833</f>
        <v>0</v>
      </c>
      <c r="T833" s="16">
        <f>CASOPOInvCL!AW833</f>
        <v>0</v>
      </c>
      <c r="Y833" s="29" t="str">
        <f>IFERROR(HLOOKUP(U833,List!$D$2:$H$6,2,FALSE),"")</f>
        <v/>
      </c>
      <c r="Z833" s="29" t="str">
        <f>IFERROR(HLOOKUP(V833,List!$D$2:$H$6,3,FALSE),"")</f>
        <v/>
      </c>
      <c r="AA833" s="29" t="str">
        <f>IFERROR(HLOOKUP(W833,List!$D$2:$H$6,4,FALSE),"")</f>
        <v/>
      </c>
      <c r="AB833" s="29" t="str">
        <f>IFERROR(HLOOKUP(X833,List!$D$2:$H$6,5,FALSE),"")</f>
        <v/>
      </c>
      <c r="AC833" s="12" t="str">
        <f t="shared" si="209"/>
        <v/>
      </c>
      <c r="AD833" s="12" t="str">
        <f t="shared" si="210"/>
        <v/>
      </c>
      <c r="AE833" s="12" t="str">
        <f t="shared" si="211"/>
        <v/>
      </c>
      <c r="AF833" s="12" t="str">
        <f t="shared" si="212"/>
        <v/>
      </c>
      <c r="AG833" t="e">
        <f>VLOOKUP(J833,'Receivable Invoice Detail'!$A$1:F3845,6,FALSE)</f>
        <v>#N/A</v>
      </c>
      <c r="AM833" s="12" t="str">
        <f t="shared" si="213"/>
        <v/>
      </c>
      <c r="AN833" s="12" t="str">
        <f t="shared" si="214"/>
        <v/>
      </c>
      <c r="AO833" s="12" t="str">
        <f t="shared" si="215"/>
        <v/>
      </c>
      <c r="AP833" s="12" t="str">
        <f t="shared" si="216"/>
        <v/>
      </c>
      <c r="AQ833" s="12"/>
      <c r="AS833" s="12">
        <f t="shared" si="221"/>
        <v>117.45489990175534</v>
      </c>
      <c r="AT833" s="16" t="s">
        <v>5940</v>
      </c>
    </row>
    <row r="834" spans="1:46" hidden="1" x14ac:dyDescent="0.25">
      <c r="A834" s="41">
        <f>CASOPOInvCL!T834</f>
        <v>1</v>
      </c>
      <c r="B834" t="str">
        <f>CASOPOInvCL!Z834</f>
        <v>SO17651</v>
      </c>
      <c r="G834" s="5" t="str">
        <f>CASOPOInvCL!I834</f>
        <v>Ian Trottier</v>
      </c>
      <c r="H834" s="31">
        <f>CASOPOInvCL!U834</f>
        <v>8</v>
      </c>
      <c r="I834" s="31">
        <f>CASOPOInvCL!V834</f>
        <v>2025</v>
      </c>
      <c r="J834" s="5" t="str">
        <f>CASOPOInvCL!AB834</f>
        <v>INV13321</v>
      </c>
      <c r="K834" s="31">
        <f>CASOPOInvCL!W834</f>
        <v>10</v>
      </c>
      <c r="L834" s="31">
        <f>CASOPOInvCL!X834</f>
        <v>2025</v>
      </c>
      <c r="M834" s="31"/>
      <c r="N834" s="5" t="str">
        <f>CASOPOInvCL!AF834</f>
        <v>PT Vale Indonesia Tbk.</v>
      </c>
      <c r="O834" s="16" t="str">
        <f>CASOPOInvCL!AG834</f>
        <v>USD</v>
      </c>
      <c r="P834" s="16">
        <f>CASOPOInvCL!AH834</f>
        <v>12237.903135168544</v>
      </c>
      <c r="Q834" s="16">
        <f>CASOPOInvCL!AI834</f>
        <v>8829.6200000000008</v>
      </c>
      <c r="R834" s="32" t="str">
        <f>CASOPOInvCL!AU834</f>
        <v>Yes</v>
      </c>
      <c r="S834" s="16">
        <f>CASOPOInvCL!AV834</f>
        <v>0</v>
      </c>
      <c r="T834" s="16">
        <f>CASOPOInvCL!AW834</f>
        <v>8829.6200000000008</v>
      </c>
      <c r="Y834" s="29" t="str">
        <f>IFERROR(HLOOKUP(U834,List!$D$2:$H$6,2,FALSE),"")</f>
        <v/>
      </c>
      <c r="Z834" s="29" t="str">
        <f>IFERROR(HLOOKUP(V834,List!$D$2:$H$6,3,FALSE),"")</f>
        <v/>
      </c>
      <c r="AA834" s="29" t="str">
        <f>IFERROR(HLOOKUP(W834,List!$D$2:$H$6,4,FALSE),"")</f>
        <v/>
      </c>
      <c r="AB834" s="29" t="str">
        <f>IFERROR(HLOOKUP(X834,List!$D$2:$H$6,5,FALSE),"")</f>
        <v/>
      </c>
      <c r="AC834" s="12" t="str">
        <f t="shared" si="209"/>
        <v/>
      </c>
      <c r="AD834" s="12" t="str">
        <f t="shared" si="210"/>
        <v/>
      </c>
      <c r="AE834" s="12" t="str">
        <f t="shared" si="211"/>
        <v/>
      </c>
      <c r="AF834" s="12" t="str">
        <f t="shared" si="212"/>
        <v/>
      </c>
      <c r="AG834" t="str">
        <f>VLOOKUP(J834,'Receivable Invoice Detail'!$A$1:F3846,6,FALSE)</f>
        <v>[AC-98-530-594-001] Pedestal, 5x4/5x5/6x6 SRL &amp; SRL-C, Cast Iron</v>
      </c>
      <c r="AM834" s="12" t="str">
        <f t="shared" si="213"/>
        <v/>
      </c>
      <c r="AN834" s="12" t="str">
        <f t="shared" si="214"/>
        <v/>
      </c>
      <c r="AO834" s="12" t="str">
        <f t="shared" si="215"/>
        <v/>
      </c>
      <c r="AP834" s="12" t="str">
        <f t="shared" si="216"/>
        <v/>
      </c>
      <c r="AQ834" s="12"/>
      <c r="AS834" s="12">
        <f t="shared" si="221"/>
        <v>0</v>
      </c>
      <c r="AT834" s="16" t="str">
        <f t="shared" ref="AT834:AT842" si="225">R833</f>
        <v/>
      </c>
    </row>
    <row r="835" spans="1:46" hidden="1" x14ac:dyDescent="0.25">
      <c r="A835" s="41">
        <f>CASOPOInvCL!T835</f>
        <v>1</v>
      </c>
      <c r="B835" t="str">
        <f>CASOPOInvCL!Z835</f>
        <v>SO17652</v>
      </c>
      <c r="G835" s="5" t="str">
        <f>CASOPOInvCL!I835</f>
        <v>Yannett Yeomans</v>
      </c>
      <c r="H835" s="31">
        <f>CASOPOInvCL!U835</f>
        <v>8</v>
      </c>
      <c r="I835" s="31">
        <f>CASOPOInvCL!V835</f>
        <v>2025</v>
      </c>
      <c r="J835" s="5" t="str">
        <f>CASOPOInvCL!AB835</f>
        <v>INV13285</v>
      </c>
      <c r="K835" s="31" t="str">
        <f>CASOPOInvCL!W835</f>
        <v/>
      </c>
      <c r="L835" s="31" t="str">
        <f>CASOPOInvCL!X835</f>
        <v/>
      </c>
      <c r="M835" s="31"/>
      <c r="N835" s="5" t="str">
        <f>CASOPOInvCL!AF835</f>
        <v>Dynapro Pumps México S de RL de CV</v>
      </c>
      <c r="O835" s="16" t="str">
        <f>CASOPOInvCL!AG835</f>
        <v>USD</v>
      </c>
      <c r="P835" s="16">
        <f>CASOPOInvCL!AH835</f>
        <v>110.2532545116062</v>
      </c>
      <c r="Q835" s="16">
        <f>CASOPOInvCL!AI835</f>
        <v>80</v>
      </c>
      <c r="R835" s="32" t="str">
        <f>CASOPOInvCL!AU835</f>
        <v/>
      </c>
      <c r="S835" s="16">
        <f>CASOPOInvCL!AV835</f>
        <v>198</v>
      </c>
      <c r="T835" s="16">
        <f>CASOPOInvCL!AW835</f>
        <v>0</v>
      </c>
      <c r="Y835" s="29" t="str">
        <f>IFERROR(HLOOKUP(U835,List!$D$2:$H$6,2,FALSE),"")</f>
        <v/>
      </c>
      <c r="Z835" s="29" t="str">
        <f>IFERROR(HLOOKUP(V835,List!$D$2:$H$6,3,FALSE),"")</f>
        <v/>
      </c>
      <c r="AA835" s="29" t="str">
        <f>IFERROR(HLOOKUP(W835,List!$D$2:$H$6,4,FALSE),"")</f>
        <v/>
      </c>
      <c r="AB835" s="29" t="str">
        <f>IFERROR(HLOOKUP(X835,List!$D$2:$H$6,5,FALSE),"")</f>
        <v/>
      </c>
      <c r="AC835" s="12" t="str">
        <f t="shared" ref="AC835:AC898" si="226">IFERROR(Y835*$T835,"")</f>
        <v/>
      </c>
      <c r="AD835" s="12" t="str">
        <f t="shared" ref="AD835:AD898" si="227">IFERROR(Z835*$T835,"")</f>
        <v/>
      </c>
      <c r="AE835" s="12" t="str">
        <f t="shared" ref="AE835:AE898" si="228">IFERROR(AA835*$T835,"")</f>
        <v/>
      </c>
      <c r="AF835" s="12" t="str">
        <f t="shared" ref="AF835:AF898" si="229">IFERROR(AB835*$T835,"")</f>
        <v/>
      </c>
      <c r="AG835" t="str">
        <f>VLOOKUP(J835,'Receivable Invoice Detail'!$A$1:F3847,6,FALSE)</f>
        <v>[W-E4132H/S01] Discharge Joint Ring, 6/4 F-HH, EPDM</v>
      </c>
      <c r="AM835" s="12" t="str">
        <f t="shared" ref="AM835:AM898" si="230">IF(AI835="",AC835,0)</f>
        <v/>
      </c>
      <c r="AN835" s="12" t="str">
        <f t="shared" ref="AN835:AN898" si="231">IF(AJ835="",AD835,0)</f>
        <v/>
      </c>
      <c r="AO835" s="12" t="str">
        <f t="shared" ref="AO835:AO898" si="232">IF(AK835="",AE835,0)</f>
        <v/>
      </c>
      <c r="AP835" s="12" t="str">
        <f t="shared" ref="AP835:AP898" si="233">IF(AL835="",AF835,0)</f>
        <v/>
      </c>
      <c r="AQ835" s="12"/>
      <c r="AR835" s="16" t="s">
        <v>5940</v>
      </c>
      <c r="AS835" s="12">
        <f t="shared" si="221"/>
        <v>2.2303396880195385</v>
      </c>
      <c r="AT835" s="16" t="str">
        <f t="shared" si="225"/>
        <v>Yes</v>
      </c>
    </row>
    <row r="836" spans="1:46" hidden="1" x14ac:dyDescent="0.25">
      <c r="A836" s="41">
        <f>CASOPOInvCL!T836</f>
        <v>1</v>
      </c>
      <c r="B836" t="str">
        <f>CASOPOInvCL!Z836</f>
        <v>SO17653</v>
      </c>
      <c r="D836" t="s">
        <v>5915</v>
      </c>
      <c r="G836" s="5" t="str">
        <f>CASOPOInvCL!I836</f>
        <v>Ian Trottier</v>
      </c>
      <c r="H836" s="31">
        <f>CASOPOInvCL!U836</f>
        <v>8</v>
      </c>
      <c r="I836" s="31">
        <f>CASOPOInvCL!V836</f>
        <v>2025</v>
      </c>
      <c r="J836" s="5" t="str">
        <f>CASOPOInvCL!AB836</f>
        <v>INV13291</v>
      </c>
      <c r="K836" s="31">
        <f>CASOPOInvCL!W836</f>
        <v>10</v>
      </c>
      <c r="L836" s="31">
        <f>CASOPOInvCL!X836</f>
        <v>2025</v>
      </c>
      <c r="M836">
        <v>2504</v>
      </c>
      <c r="N836" s="5" t="str">
        <f>CASOPOInvCL!AF836</f>
        <v>Cartledge &amp; Associates Inc.</v>
      </c>
      <c r="O836" s="16" t="str">
        <f>CASOPOInvCL!AG836</f>
        <v>USD</v>
      </c>
      <c r="P836" s="16">
        <f>CASOPOInvCL!AH836</f>
        <v>5760.6740865491647</v>
      </c>
      <c r="Q836" s="16">
        <f>CASOPOInvCL!AI836</f>
        <v>4187.3</v>
      </c>
      <c r="R836" s="32" t="str">
        <f>CASOPOInvCL!AU836</f>
        <v>Yes</v>
      </c>
      <c r="S836" s="16">
        <f>CASOPOInvCL!AV836</f>
        <v>591</v>
      </c>
      <c r="T836" s="16">
        <f>CASOPOInvCL!AW836</f>
        <v>3596.3</v>
      </c>
      <c r="V836" t="s">
        <v>5800</v>
      </c>
      <c r="Y836" s="29" t="str">
        <f>IFERROR(HLOOKUP(U836,List!$D$2:$H$6,2,FALSE),"")</f>
        <v/>
      </c>
      <c r="Z836" s="29">
        <f>IFERROR(HLOOKUP(V836,List!$D$2:$H$6,3,FALSE),"")</f>
        <v>5.0000000000000001E-3</v>
      </c>
      <c r="AA836" s="29" t="str">
        <f>IFERROR(HLOOKUP(W836,List!$D$2:$H$6,4,FALSE),"")</f>
        <v/>
      </c>
      <c r="AB836" s="29" t="str">
        <f>IFERROR(HLOOKUP(X836,List!$D$2:$H$6,5,FALSE),"")</f>
        <v/>
      </c>
      <c r="AC836" s="12" t="str">
        <f t="shared" si="226"/>
        <v/>
      </c>
      <c r="AD836" s="12">
        <f t="shared" si="227"/>
        <v>17.9815</v>
      </c>
      <c r="AE836" s="12" t="str">
        <f t="shared" si="228"/>
        <v/>
      </c>
      <c r="AF836" s="12" t="str">
        <f t="shared" si="229"/>
        <v/>
      </c>
      <c r="AG836" t="str">
        <f>VLOOKUP(J836,'Receivable Invoice Detail'!$A$1:F3848,6,FALSE)</f>
        <v>[504889] Impeller, 8x6, Denver SRL, Natural Rubber</v>
      </c>
      <c r="AM836" s="12" t="str">
        <f t="shared" si="230"/>
        <v/>
      </c>
      <c r="AN836" s="12">
        <f t="shared" si="231"/>
        <v>17.9815</v>
      </c>
      <c r="AO836" s="12" t="str">
        <f t="shared" si="232"/>
        <v/>
      </c>
      <c r="AP836" s="12" t="str">
        <f t="shared" si="233"/>
        <v/>
      </c>
      <c r="AQ836" s="64">
        <f>M836</f>
        <v>2504</v>
      </c>
      <c r="AR836" t="s">
        <v>5931</v>
      </c>
      <c r="AS836" s="12">
        <f t="shared" si="221"/>
        <v>0</v>
      </c>
      <c r="AT836" s="16" t="str">
        <f t="shared" si="225"/>
        <v/>
      </c>
    </row>
    <row r="837" spans="1:46" hidden="1" x14ac:dyDescent="0.25">
      <c r="A837" s="41">
        <f>CASOPOInvCL!T837</f>
        <v>1</v>
      </c>
      <c r="B837" t="str">
        <f>CASOPOInvCL!Z837</f>
        <v>SO17655</v>
      </c>
      <c r="G837" s="5" t="str">
        <f>CASOPOInvCL!I837</f>
        <v>Amanda Qiao</v>
      </c>
      <c r="H837" s="31">
        <f>CASOPOInvCL!U837</f>
        <v>8</v>
      </c>
      <c r="I837" s="31">
        <f>CASOPOInvCL!V837</f>
        <v>2025</v>
      </c>
      <c r="J837" s="5" t="str">
        <f>CASOPOInvCL!AB837</f>
        <v>INV13434</v>
      </c>
      <c r="K837" s="31" t="str">
        <f>CASOPOInvCL!W837</f>
        <v/>
      </c>
      <c r="L837" s="31" t="str">
        <f>CASOPOInvCL!X837</f>
        <v/>
      </c>
      <c r="M837" s="31"/>
      <c r="N837" s="5" t="str">
        <f>CASOPOInvCL!AF837</f>
        <v>Mill-Right Mine Services Inc.</v>
      </c>
      <c r="O837" s="16" t="str">
        <f>CASOPOInvCL!AG837</f>
        <v>USD</v>
      </c>
      <c r="P837" s="16">
        <f>CASOPOInvCL!AH837</f>
        <v>2496.6070907989961</v>
      </c>
      <c r="Q837" s="16">
        <f>CASOPOInvCL!AI837</f>
        <v>1816.85</v>
      </c>
      <c r="R837" s="32" t="str">
        <f>CASOPOInvCL!AU837</f>
        <v/>
      </c>
      <c r="S837" s="16">
        <f>CASOPOInvCL!AV837</f>
        <v>0</v>
      </c>
      <c r="T837" s="16">
        <f>CASOPOInvCL!AW837</f>
        <v>0</v>
      </c>
      <c r="Y837" s="29" t="str">
        <f>IFERROR(HLOOKUP(U837,List!$D$2:$H$6,2,FALSE),"")</f>
        <v/>
      </c>
      <c r="Z837" s="29" t="str">
        <f>IFERROR(HLOOKUP(V837,List!$D$2:$H$6,3,FALSE),"")</f>
        <v/>
      </c>
      <c r="AA837" s="29" t="str">
        <f>IFERROR(HLOOKUP(W837,List!$D$2:$H$6,4,FALSE),"")</f>
        <v/>
      </c>
      <c r="AB837" s="29" t="str">
        <f>IFERROR(HLOOKUP(X837,List!$D$2:$H$6,5,FALSE),"")</f>
        <v/>
      </c>
      <c r="AC837" s="12" t="str">
        <f t="shared" si="226"/>
        <v/>
      </c>
      <c r="AD837" s="12" t="str">
        <f t="shared" si="227"/>
        <v/>
      </c>
      <c r="AE837" s="12" t="str">
        <f t="shared" si="228"/>
        <v/>
      </c>
      <c r="AF837" s="12" t="str">
        <f t="shared" si="229"/>
        <v/>
      </c>
      <c r="AG837" t="e">
        <f>VLOOKUP(J837,'Receivable Invoice Detail'!$A$1:F3849,6,FALSE)</f>
        <v>#N/A</v>
      </c>
      <c r="AM837" s="12" t="str">
        <f t="shared" si="230"/>
        <v/>
      </c>
      <c r="AN837" s="12" t="str">
        <f t="shared" si="231"/>
        <v/>
      </c>
      <c r="AO837" s="12" t="str">
        <f t="shared" si="232"/>
        <v/>
      </c>
      <c r="AP837" s="12" t="str">
        <f t="shared" si="233"/>
        <v/>
      </c>
      <c r="AQ837" s="12"/>
      <c r="AS837" s="12">
        <f t="shared" si="221"/>
        <v>132.4443</v>
      </c>
      <c r="AT837" s="16" t="str">
        <f t="shared" si="225"/>
        <v>Yes</v>
      </c>
    </row>
    <row r="838" spans="1:46" hidden="1" x14ac:dyDescent="0.25">
      <c r="A838" s="41">
        <f>CASOPOInvCL!T838</f>
        <v>1</v>
      </c>
      <c r="B838" t="str">
        <f>CASOPOInvCL!Z838</f>
        <v>SO17656</v>
      </c>
      <c r="D838" t="s">
        <v>5851</v>
      </c>
      <c r="G838" s="5" t="str">
        <f>CASOPOInvCL!I838</f>
        <v>Ian Trottier</v>
      </c>
      <c r="H838" s="31">
        <f>CASOPOInvCL!U838</f>
        <v>8</v>
      </c>
      <c r="I838" s="31">
        <f>CASOPOInvCL!V838</f>
        <v>2025</v>
      </c>
      <c r="J838" s="5" t="str">
        <f>CASOPOInvCL!AB838</f>
        <v>INV13293</v>
      </c>
      <c r="K838" s="31">
        <f>CASOPOInvCL!W838</f>
        <v>9</v>
      </c>
      <c r="L838" s="31">
        <f>CASOPOInvCL!X838</f>
        <v>2025</v>
      </c>
      <c r="M838">
        <v>2503</v>
      </c>
      <c r="N838" s="5" t="str">
        <f>CASOPOInvCL!AF838</f>
        <v>Motion Industries Inc. (Canada) - Winnipeg</v>
      </c>
      <c r="O838" s="16" t="str">
        <f>CASOPOInvCL!AG838</f>
        <v>CAD</v>
      </c>
      <c r="P838" s="16">
        <f>CASOPOInvCL!AH838</f>
        <v>122.96</v>
      </c>
      <c r="Q838" s="16">
        <f>CASOPOInvCL!AI838</f>
        <v>89.197112419737039</v>
      </c>
      <c r="R838" s="32" t="str">
        <f>CASOPOInvCL!AU838</f>
        <v>Yes</v>
      </c>
      <c r="S838" s="16">
        <f>CASOPOInvCL!AV838</f>
        <v>0</v>
      </c>
      <c r="T838" s="16">
        <f>CASOPOInvCL!AW838</f>
        <v>89.197112419737039</v>
      </c>
      <c r="V838" t="s">
        <v>5800</v>
      </c>
      <c r="Y838" s="29" t="str">
        <f>IFERROR(HLOOKUP(U838,List!$D$2:$H$6,2,FALSE),"")</f>
        <v/>
      </c>
      <c r="Z838" s="29">
        <f>IFERROR(HLOOKUP(V838,List!$D$2:$H$6,3,FALSE),"")</f>
        <v>5.0000000000000001E-3</v>
      </c>
      <c r="AA838" s="29" t="str">
        <f>IFERROR(HLOOKUP(W838,List!$D$2:$H$6,4,FALSE),"")</f>
        <v/>
      </c>
      <c r="AB838" s="29" t="str">
        <f>IFERROR(HLOOKUP(X838,List!$D$2:$H$6,5,FALSE),"")</f>
        <v/>
      </c>
      <c r="AC838" s="12" t="str">
        <f t="shared" si="226"/>
        <v/>
      </c>
      <c r="AD838" s="12">
        <f t="shared" si="227"/>
        <v>0.44598556209868523</v>
      </c>
      <c r="AE838" s="12" t="str">
        <f t="shared" si="228"/>
        <v/>
      </c>
      <c r="AF838" s="12" t="str">
        <f t="shared" si="229"/>
        <v/>
      </c>
      <c r="AG838" t="str">
        <f>VLOOKUP(J838,'Receivable Invoice Detail'!$A$1:F3850,6,FALSE)</f>
        <v>[2Z104-GA, DU-AY33867K-GTB] Impeller Gasket, Durco Mark 2 Group 2, Grafoil</v>
      </c>
      <c r="AJ838">
        <v>2503</v>
      </c>
      <c r="AM838" s="12" t="str">
        <f t="shared" si="230"/>
        <v/>
      </c>
      <c r="AN838" s="12">
        <f t="shared" si="231"/>
        <v>0</v>
      </c>
      <c r="AO838" s="12" t="str">
        <f t="shared" si="232"/>
        <v/>
      </c>
      <c r="AP838" s="12" t="str">
        <f t="shared" si="233"/>
        <v/>
      </c>
      <c r="AQ838" s="64">
        <f>M838</f>
        <v>2503</v>
      </c>
      <c r="AR838" t="s">
        <v>5931</v>
      </c>
      <c r="AS838" s="12">
        <f t="shared" ref="AS838:AS848" si="234">T835*1.5%</f>
        <v>0</v>
      </c>
      <c r="AT838" s="16" t="str">
        <f t="shared" si="225"/>
        <v/>
      </c>
    </row>
    <row r="839" spans="1:46" hidden="1" x14ac:dyDescent="0.25">
      <c r="A839" s="41">
        <f>CASOPOInvCL!T839</f>
        <v>1</v>
      </c>
      <c r="B839" t="str">
        <f>CASOPOInvCL!Z839</f>
        <v>SO17659</v>
      </c>
      <c r="G839" s="5" t="str">
        <f>CASOPOInvCL!I839</f>
        <v>Ian Trottier</v>
      </c>
      <c r="H839" s="31">
        <f>CASOPOInvCL!U839</f>
        <v>8</v>
      </c>
      <c r="I839" s="31">
        <f>CASOPOInvCL!V839</f>
        <v>2025</v>
      </c>
      <c r="J839" s="5" t="str">
        <f>CASOPOInvCL!AB839</f>
        <v>INV13294</v>
      </c>
      <c r="K839" s="31">
        <f>CASOPOInvCL!W839</f>
        <v>10</v>
      </c>
      <c r="L839" s="31">
        <f>CASOPOInvCL!X839</f>
        <v>2025</v>
      </c>
      <c r="M839" s="31"/>
      <c r="N839" s="5" t="str">
        <f>CASOPOInvCL!AF839</f>
        <v>Wajax Limited - Pointe-aux-Trembles</v>
      </c>
      <c r="O839" s="16" t="str">
        <f>CASOPOInvCL!AG839</f>
        <v>CAD</v>
      </c>
      <c r="P839" s="16">
        <f>CASOPOInvCL!AH839</f>
        <v>1941.54</v>
      </c>
      <c r="Q839" s="16">
        <f>CASOPOInvCL!AI839</f>
        <v>1408.4235657727411</v>
      </c>
      <c r="R839" s="32" t="str">
        <f>CASOPOInvCL!AU839</f>
        <v>Yes</v>
      </c>
      <c r="S839" s="16">
        <f>CASOPOInvCL!AV839</f>
        <v>0</v>
      </c>
      <c r="T839" s="16">
        <f>CASOPOInvCL!AW839</f>
        <v>1408.4235657727411</v>
      </c>
      <c r="Y839" s="29" t="str">
        <f>IFERROR(HLOOKUP(U839,List!$D$2:$H$6,2,FALSE),"")</f>
        <v/>
      </c>
      <c r="Z839" s="29" t="str">
        <f>IFERROR(HLOOKUP(V839,List!$D$2:$H$6,3,FALSE),"")</f>
        <v/>
      </c>
      <c r="AA839" s="29" t="str">
        <f>IFERROR(HLOOKUP(W839,List!$D$2:$H$6,4,FALSE),"")</f>
        <v/>
      </c>
      <c r="AB839" s="29" t="str">
        <f>IFERROR(HLOOKUP(X839,List!$D$2:$H$6,5,FALSE),"")</f>
        <v/>
      </c>
      <c r="AC839" s="12" t="str">
        <f t="shared" si="226"/>
        <v/>
      </c>
      <c r="AD839" s="12" t="str">
        <f t="shared" si="227"/>
        <v/>
      </c>
      <c r="AE839" s="12" t="str">
        <f t="shared" si="228"/>
        <v/>
      </c>
      <c r="AF839" s="12" t="str">
        <f t="shared" si="229"/>
        <v/>
      </c>
      <c r="AG839" t="str">
        <f>VLOOKUP(J839,'Receivable Invoice Detail'!$A$1:F3851,6,FALSE)</f>
        <v>[D-3J4614-6] Suction Cover Liner, 4x6-14, Goulds JC, Frame 3J, High Chrome, OEM# 048944G0001228</v>
      </c>
      <c r="AM839" s="12" t="str">
        <f t="shared" si="230"/>
        <v/>
      </c>
      <c r="AN839" s="12" t="str">
        <f t="shared" si="231"/>
        <v/>
      </c>
      <c r="AO839" s="12" t="str">
        <f t="shared" si="232"/>
        <v/>
      </c>
      <c r="AP839" s="12" t="str">
        <f t="shared" si="233"/>
        <v/>
      </c>
      <c r="AQ839" s="12"/>
      <c r="AS839" s="12">
        <f t="shared" si="234"/>
        <v>53.944499999999998</v>
      </c>
      <c r="AT839" s="16" t="str">
        <f t="shared" si="225"/>
        <v>Yes</v>
      </c>
    </row>
    <row r="840" spans="1:46" hidden="1" x14ac:dyDescent="0.25">
      <c r="A840" s="41">
        <f>CASOPOInvCL!T840</f>
        <v>1</v>
      </c>
      <c r="B840" t="str">
        <f>CASOPOInvCL!Z840</f>
        <v>SO17660</v>
      </c>
      <c r="G840" s="5" t="str">
        <f>CASOPOInvCL!I840</f>
        <v>Ian Trottier</v>
      </c>
      <c r="H840" s="31">
        <f>CASOPOInvCL!U840</f>
        <v>8</v>
      </c>
      <c r="I840" s="31">
        <f>CASOPOInvCL!V840</f>
        <v>2025</v>
      </c>
      <c r="J840" s="5" t="str">
        <f>CASOPOInvCL!AB840</f>
        <v>INV13297</v>
      </c>
      <c r="K840" s="31">
        <f>CASOPOInvCL!W840</f>
        <v>9</v>
      </c>
      <c r="L840" s="31">
        <f>CASOPOInvCL!X840</f>
        <v>2025</v>
      </c>
      <c r="M840" s="31"/>
      <c r="N840" s="5" t="str">
        <f>CASOPOInvCL!AF840</f>
        <v>Les Pompes du St-Laurent Inc.</v>
      </c>
      <c r="O840" s="16" t="str">
        <f>CASOPOInvCL!AG840</f>
        <v>CAD</v>
      </c>
      <c r="P840" s="16">
        <f>CASOPOInvCL!AH840</f>
        <v>1417.8</v>
      </c>
      <c r="Q840" s="16">
        <f>CASOPOInvCL!AI840</f>
        <v>1030.0980223018123</v>
      </c>
      <c r="R840" s="32" t="str">
        <f>CASOPOInvCL!AU840</f>
        <v>Yes</v>
      </c>
      <c r="S840" s="16">
        <f>CASOPOInvCL!AV840</f>
        <v>0</v>
      </c>
      <c r="T840" s="16">
        <f>CASOPOInvCL!AW840</f>
        <v>1030.0980223018123</v>
      </c>
      <c r="Y840" s="29" t="str">
        <f>IFERROR(HLOOKUP(U840,List!$D$2:$H$6,2,FALSE),"")</f>
        <v/>
      </c>
      <c r="Z840" s="29" t="str">
        <f>IFERROR(HLOOKUP(V840,List!$D$2:$H$6,3,FALSE),"")</f>
        <v/>
      </c>
      <c r="AA840" s="29" t="str">
        <f>IFERROR(HLOOKUP(W840,List!$D$2:$H$6,4,FALSE),"")</f>
        <v/>
      </c>
      <c r="AB840" s="29" t="str">
        <f>IFERROR(HLOOKUP(X840,List!$D$2:$H$6,5,FALSE),"")</f>
        <v/>
      </c>
      <c r="AC840" s="12" t="str">
        <f t="shared" si="226"/>
        <v/>
      </c>
      <c r="AD840" s="12" t="str">
        <f t="shared" si="227"/>
        <v/>
      </c>
      <c r="AE840" s="12" t="str">
        <f t="shared" si="228"/>
        <v/>
      </c>
      <c r="AF840" s="12" t="str">
        <f t="shared" si="229"/>
        <v/>
      </c>
      <c r="AG840" t="str">
        <f>VLOOKUP(J840,'Receivable Invoice Detail'!$A$1:F3852,6,FALSE)</f>
        <v>[G-R102-871 2238] Shaft (Sleeve Type), 3175-S, 4140 Steel</v>
      </c>
      <c r="AM840" s="12" t="str">
        <f t="shared" si="230"/>
        <v/>
      </c>
      <c r="AN840" s="12" t="str">
        <f t="shared" si="231"/>
        <v/>
      </c>
      <c r="AO840" s="12" t="str">
        <f t="shared" si="232"/>
        <v/>
      </c>
      <c r="AP840" s="12" t="str">
        <f t="shared" si="233"/>
        <v/>
      </c>
      <c r="AQ840" s="12"/>
      <c r="AS840" s="12">
        <f t="shared" si="234"/>
        <v>0</v>
      </c>
      <c r="AT840" s="16" t="str">
        <f t="shared" si="225"/>
        <v>Yes</v>
      </c>
    </row>
    <row r="841" spans="1:46" hidden="1" x14ac:dyDescent="0.25">
      <c r="A841" s="41">
        <f>CASOPOInvCL!T841</f>
        <v>1</v>
      </c>
      <c r="B841" t="str">
        <f>CASOPOInvCL!Z841</f>
        <v>SO17661</v>
      </c>
      <c r="D841" t="s">
        <v>5851</v>
      </c>
      <c r="G841" s="5" t="str">
        <f>CASOPOInvCL!I841</f>
        <v>Alexis Gil Lamadrid</v>
      </c>
      <c r="H841" s="31">
        <f>CASOPOInvCL!U841</f>
        <v>8</v>
      </c>
      <c r="I841" s="31">
        <f>CASOPOInvCL!V841</f>
        <v>2025</v>
      </c>
      <c r="J841" s="5" t="str">
        <f>CASOPOInvCL!AB841</f>
        <v>INV13295</v>
      </c>
      <c r="K841" s="31">
        <f>CASOPOInvCL!W841</f>
        <v>9</v>
      </c>
      <c r="L841" s="31">
        <f>CASOPOInvCL!X841</f>
        <v>2025</v>
      </c>
      <c r="M841">
        <v>2503</v>
      </c>
      <c r="N841" s="5" t="str">
        <f>CASOPOInvCL!AF841</f>
        <v>Manufacture Sling-Choker (Val-d’Or) Ltée</v>
      </c>
      <c r="O841" s="16" t="str">
        <f>CASOPOInvCL!AG841</f>
        <v>CAD</v>
      </c>
      <c r="P841" s="16">
        <f>CASOPOInvCL!AH841</f>
        <v>2740.17</v>
      </c>
      <c r="Q841" s="16">
        <f>CASOPOInvCL!AI841</f>
        <v>1987.7622929342137</v>
      </c>
      <c r="R841" s="32" t="str">
        <f>CASOPOInvCL!AU841</f>
        <v>Yes</v>
      </c>
      <c r="S841" s="16">
        <f>CASOPOInvCL!AV841</f>
        <v>0</v>
      </c>
      <c r="T841" s="16">
        <f>CASOPOInvCL!AW841</f>
        <v>1987.7622929342137</v>
      </c>
      <c r="V841" t="s">
        <v>5800</v>
      </c>
      <c r="Y841" s="29" t="str">
        <f>IFERROR(HLOOKUP(U841,List!$D$2:$H$6,2,FALSE),"")</f>
        <v/>
      </c>
      <c r="Z841" s="29">
        <f>IFERROR(HLOOKUP(V841,List!$D$2:$H$6,3,FALSE),"")</f>
        <v>5.0000000000000001E-3</v>
      </c>
      <c r="AA841" s="29" t="str">
        <f>IFERROR(HLOOKUP(W841,List!$D$2:$H$6,4,FALSE),"")</f>
        <v/>
      </c>
      <c r="AB841" s="29" t="str">
        <f>IFERROR(HLOOKUP(X841,List!$D$2:$H$6,5,FALSE),"")</f>
        <v/>
      </c>
      <c r="AC841" s="12" t="str">
        <f t="shared" si="226"/>
        <v/>
      </c>
      <c r="AD841" s="12">
        <f t="shared" si="227"/>
        <v>9.938811464671069</v>
      </c>
      <c r="AE841" s="12" t="str">
        <f t="shared" si="228"/>
        <v/>
      </c>
      <c r="AF841" s="12" t="str">
        <f t="shared" si="229"/>
        <v/>
      </c>
      <c r="AG841" t="str">
        <f>VLOOKUP(J841,'Receivable Invoice Detail'!$A$1:F3853,6,FALSE)</f>
        <v>[AC-98-231-081-501] Suction Side Liner, 5x5-14 SRL, Natural Rubber</v>
      </c>
      <c r="AJ841">
        <v>2503</v>
      </c>
      <c r="AM841" s="12" t="str">
        <f t="shared" si="230"/>
        <v/>
      </c>
      <c r="AN841" s="12">
        <f t="shared" si="231"/>
        <v>0</v>
      </c>
      <c r="AO841" s="12" t="str">
        <f t="shared" si="232"/>
        <v/>
      </c>
      <c r="AP841" s="12" t="str">
        <f t="shared" si="233"/>
        <v/>
      </c>
      <c r="AQ841" s="64">
        <f>M841</f>
        <v>2503</v>
      </c>
      <c r="AR841" t="s">
        <v>5931</v>
      </c>
      <c r="AS841" s="12">
        <f t="shared" si="234"/>
        <v>1.3379566862960555</v>
      </c>
      <c r="AT841" s="16" t="str">
        <f t="shared" si="225"/>
        <v>Yes</v>
      </c>
    </row>
    <row r="842" spans="1:46" hidden="1" x14ac:dyDescent="0.25">
      <c r="A842" s="41">
        <f>CASOPOInvCL!T842</f>
        <v>1</v>
      </c>
      <c r="B842" t="str">
        <f>CASOPOInvCL!Z842</f>
        <v>SO17662</v>
      </c>
      <c r="D842" t="s">
        <v>5851</v>
      </c>
      <c r="G842" s="5" t="str">
        <f>CASOPOInvCL!I842</f>
        <v>Alexis Gil Lamadrid</v>
      </c>
      <c r="H842" s="31">
        <f>CASOPOInvCL!U842</f>
        <v>8</v>
      </c>
      <c r="I842" s="31">
        <f>CASOPOInvCL!V842</f>
        <v>2025</v>
      </c>
      <c r="J842" s="5" t="str">
        <f>CASOPOInvCL!AB842</f>
        <v>INV13292</v>
      </c>
      <c r="K842" s="31">
        <f>CASOPOInvCL!W842</f>
        <v>10</v>
      </c>
      <c r="L842" s="31">
        <f>CASOPOInvCL!X842</f>
        <v>2025</v>
      </c>
      <c r="M842">
        <v>2504</v>
      </c>
      <c r="N842" s="5" t="str">
        <f>CASOPOInvCL!AF842</f>
        <v>Resolute Forest Products - Fibrek</v>
      </c>
      <c r="O842" s="16" t="str">
        <f>CASOPOInvCL!AG842</f>
        <v>CAD</v>
      </c>
      <c r="P842" s="16">
        <f>CASOPOInvCL!AH842</f>
        <v>196.96</v>
      </c>
      <c r="Q842" s="16">
        <f>CASOPOInvCL!AI842</f>
        <v>142.87787298464065</v>
      </c>
      <c r="R842" s="32" t="str">
        <f>CASOPOInvCL!AU842</f>
        <v>Yes</v>
      </c>
      <c r="S842" s="16">
        <f>CASOPOInvCL!AV842</f>
        <v>0</v>
      </c>
      <c r="T842" s="16">
        <f>CASOPOInvCL!AW842</f>
        <v>142.87787298464065</v>
      </c>
      <c r="V842" t="s">
        <v>5800</v>
      </c>
      <c r="Y842" s="29" t="str">
        <f>IFERROR(HLOOKUP(U842,List!$D$2:$H$6,2,FALSE),"")</f>
        <v/>
      </c>
      <c r="Z842" s="29">
        <f>IFERROR(HLOOKUP(V842,List!$D$2:$H$6,3,FALSE),"")</f>
        <v>5.0000000000000001E-3</v>
      </c>
      <c r="AA842" s="29" t="str">
        <f>IFERROR(HLOOKUP(W842,List!$D$2:$H$6,4,FALSE),"")</f>
        <v/>
      </c>
      <c r="AB842" s="29" t="str">
        <f>IFERROR(HLOOKUP(X842,List!$D$2:$H$6,5,FALSE),"")</f>
        <v/>
      </c>
      <c r="AC842" s="12" t="str">
        <f t="shared" si="226"/>
        <v/>
      </c>
      <c r="AD842" s="12">
        <f t="shared" si="227"/>
        <v>0.71438936492320326</v>
      </c>
      <c r="AE842" s="12" t="str">
        <f t="shared" si="228"/>
        <v/>
      </c>
      <c r="AF842" s="12" t="str">
        <f t="shared" si="229"/>
        <v/>
      </c>
      <c r="AG842" t="str">
        <f>VLOOKUP(J842,'Receivable Invoice Detail'!$A$1:F3854,6,FALSE)</f>
        <v>[AC-52-050-313-000] Shim Kit, Allis Chalmers CSO, Frame F4D1/F4B5</v>
      </c>
      <c r="AM842" s="12" t="str">
        <f t="shared" si="230"/>
        <v/>
      </c>
      <c r="AN842" s="12">
        <f t="shared" si="231"/>
        <v>0.71438936492320326</v>
      </c>
      <c r="AO842" s="12" t="str">
        <f t="shared" si="232"/>
        <v/>
      </c>
      <c r="AP842" s="12" t="str">
        <f t="shared" si="233"/>
        <v/>
      </c>
      <c r="AQ842" s="64">
        <f>M842</f>
        <v>2504</v>
      </c>
      <c r="AR842" t="s">
        <v>5931</v>
      </c>
      <c r="AS842" s="12">
        <f t="shared" si="234"/>
        <v>21.126353486591114</v>
      </c>
      <c r="AT842" s="16" t="str">
        <f t="shared" si="225"/>
        <v>Yes</v>
      </c>
    </row>
    <row r="843" spans="1:46" hidden="1" x14ac:dyDescent="0.25">
      <c r="A843" s="41">
        <f>CASOPOInvCL!T843</f>
        <v>1</v>
      </c>
      <c r="B843" t="str">
        <f>CASOPOInvCL!Z843</f>
        <v>SO17664</v>
      </c>
      <c r="G843" s="5" t="str">
        <f>CASOPOInvCL!I843</f>
        <v>Amanda Qiao</v>
      </c>
      <c r="H843" s="31">
        <f>CASOPOInvCL!U843</f>
        <v>8</v>
      </c>
      <c r="I843" s="31">
        <f>CASOPOInvCL!V843</f>
        <v>2025</v>
      </c>
      <c r="J843" s="5" t="str">
        <f>CASOPOInvCL!AB843</f>
        <v>INV13660</v>
      </c>
      <c r="K843" s="31" t="str">
        <f>CASOPOInvCL!W843</f>
        <v/>
      </c>
      <c r="L843" s="31" t="str">
        <f>CASOPOInvCL!X843</f>
        <v/>
      </c>
      <c r="M843" s="31"/>
      <c r="N843" s="5" t="str">
        <f>CASOPOInvCL!AF843</f>
        <v>Covia Corp - Fort Smith</v>
      </c>
      <c r="O843" s="16" t="str">
        <f>CASOPOInvCL!AG843</f>
        <v>USD</v>
      </c>
      <c r="P843" s="16">
        <f>CASOPOInvCL!AH843</f>
        <v>18193.901901746576</v>
      </c>
      <c r="Q843" s="16">
        <f>CASOPOInvCL!AI843</f>
        <v>13217.27</v>
      </c>
      <c r="R843" s="32" t="str">
        <f>CASOPOInvCL!AU843</f>
        <v/>
      </c>
      <c r="S843" s="16">
        <f>CASOPOInvCL!AV843</f>
        <v>585</v>
      </c>
      <c r="T843" s="16">
        <f>CASOPOInvCL!AW843</f>
        <v>0</v>
      </c>
      <c r="Y843" s="29" t="str">
        <f>IFERROR(HLOOKUP(U843,List!$D$2:$H$6,2,FALSE),"")</f>
        <v/>
      </c>
      <c r="Z843" s="29" t="str">
        <f>IFERROR(HLOOKUP(V843,List!$D$2:$H$6,3,FALSE),"")</f>
        <v/>
      </c>
      <c r="AA843" s="29" t="str">
        <f>IFERROR(HLOOKUP(W843,List!$D$2:$H$6,4,FALSE),"")</f>
        <v/>
      </c>
      <c r="AB843" s="29" t="str">
        <f>IFERROR(HLOOKUP(X843,List!$D$2:$H$6,5,FALSE),"")</f>
        <v/>
      </c>
      <c r="AC843" s="12" t="str">
        <f t="shared" si="226"/>
        <v/>
      </c>
      <c r="AD843" s="12" t="str">
        <f t="shared" si="227"/>
        <v/>
      </c>
      <c r="AE843" s="12" t="str">
        <f t="shared" si="228"/>
        <v/>
      </c>
      <c r="AF843" s="12" t="str">
        <f t="shared" si="229"/>
        <v/>
      </c>
      <c r="AG843" t="str">
        <f>VLOOKUP(J843,'Receivable Invoice Detail'!$A$1:F3855,6,FALSE)</f>
        <v>Sump Pump, W-Series, 100RV-SPR, Natural Rubber, 1500mm Column</v>
      </c>
      <c r="AM843" s="12" t="str">
        <f t="shared" si="230"/>
        <v/>
      </c>
      <c r="AN843" s="12" t="str">
        <f t="shared" si="231"/>
        <v/>
      </c>
      <c r="AO843" s="12" t="str">
        <f t="shared" si="232"/>
        <v/>
      </c>
      <c r="AP843" s="12" t="str">
        <f t="shared" si="233"/>
        <v/>
      </c>
      <c r="AQ843" s="12"/>
      <c r="AS843" s="12">
        <f t="shared" si="234"/>
        <v>15.451470334527183</v>
      </c>
      <c r="AT843" s="16" t="str">
        <f t="shared" ref="AT843:AT848" si="235">R842</f>
        <v>Yes</v>
      </c>
    </row>
    <row r="844" spans="1:46" hidden="1" x14ac:dyDescent="0.25">
      <c r="A844" s="41">
        <f>CASOPOInvCL!T844</f>
        <v>1</v>
      </c>
      <c r="B844" t="str">
        <f>CASOPOInvCL!Z844</f>
        <v>SO17670</v>
      </c>
      <c r="D844" t="s">
        <v>5915</v>
      </c>
      <c r="G844" s="5" t="str">
        <f>CASOPOInvCL!I844</f>
        <v>Wilka Nuñez</v>
      </c>
      <c r="H844" s="31">
        <f>CASOPOInvCL!U844</f>
        <v>8</v>
      </c>
      <c r="I844" s="31">
        <f>CASOPOInvCL!V844</f>
        <v>2025</v>
      </c>
      <c r="J844" s="5" t="str">
        <f>CASOPOInvCL!AB844</f>
        <v>INV13298</v>
      </c>
      <c r="K844" s="31">
        <f>CASOPOInvCL!W844</f>
        <v>9</v>
      </c>
      <c r="L844" s="31">
        <f>CASOPOInvCL!X844</f>
        <v>2025</v>
      </c>
      <c r="M844">
        <v>2503</v>
      </c>
      <c r="N844" s="5" t="str">
        <f>CASOPOInvCL!AF844</f>
        <v>Canadian Bearings Ltd.</v>
      </c>
      <c r="O844" s="16" t="str">
        <f>CASOPOInvCL!AG844</f>
        <v>CAD</v>
      </c>
      <c r="P844" s="16">
        <f>CASOPOInvCL!AH844</f>
        <v>493.15</v>
      </c>
      <c r="Q844" s="16">
        <f>CASOPOInvCL!AI844</f>
        <v>358.25721913309184</v>
      </c>
      <c r="R844" s="32" t="str">
        <f>CASOPOInvCL!AU844</f>
        <v>Yes</v>
      </c>
      <c r="S844" s="16">
        <f>CASOPOInvCL!AV844</f>
        <v>0</v>
      </c>
      <c r="T844" s="16">
        <f>CASOPOInvCL!AW844</f>
        <v>358.25721913309184</v>
      </c>
      <c r="V844" t="s">
        <v>5800</v>
      </c>
      <c r="Y844" s="29" t="str">
        <f>IFERROR(HLOOKUP(U844,List!$D$2:$H$6,2,FALSE),"")</f>
        <v/>
      </c>
      <c r="Z844" s="29">
        <f>IFERROR(HLOOKUP(V844,List!$D$2:$H$6,3,FALSE),"")</f>
        <v>5.0000000000000001E-3</v>
      </c>
      <c r="AA844" s="29" t="str">
        <f>IFERROR(HLOOKUP(W844,List!$D$2:$H$6,4,FALSE),"")</f>
        <v/>
      </c>
      <c r="AB844" s="29" t="str">
        <f>IFERROR(HLOOKUP(X844,List!$D$2:$H$6,5,FALSE),"")</f>
        <v/>
      </c>
      <c r="AC844" s="12" t="str">
        <f t="shared" si="226"/>
        <v/>
      </c>
      <c r="AD844" s="12">
        <f t="shared" si="227"/>
        <v>1.7912860956654593</v>
      </c>
      <c r="AE844" s="12" t="str">
        <f t="shared" si="228"/>
        <v/>
      </c>
      <c r="AF844" s="12" t="str">
        <f t="shared" si="229"/>
        <v/>
      </c>
      <c r="AG844" t="str">
        <f>VLOOKUP(J844,'Receivable Invoice Detail'!$A$1:F3856,6,FALSE)</f>
        <v>[AC-52-050-313-000] Shim Kit, Allis Chalmers CSO, Frame F4D1/F4B5</v>
      </c>
      <c r="AJ844">
        <v>2503</v>
      </c>
      <c r="AM844" s="12" t="str">
        <f t="shared" si="230"/>
        <v/>
      </c>
      <c r="AN844" s="12">
        <f t="shared" si="231"/>
        <v>0</v>
      </c>
      <c r="AO844" s="12" t="str">
        <f t="shared" si="232"/>
        <v/>
      </c>
      <c r="AP844" s="12" t="str">
        <f t="shared" si="233"/>
        <v/>
      </c>
      <c r="AQ844" s="64">
        <f>M844</f>
        <v>2503</v>
      </c>
      <c r="AR844" t="s">
        <v>5931</v>
      </c>
      <c r="AS844" s="12">
        <f t="shared" si="234"/>
        <v>29.816434394013204</v>
      </c>
      <c r="AT844" s="16" t="str">
        <f t="shared" si="235"/>
        <v/>
      </c>
    </row>
    <row r="845" spans="1:46" hidden="1" x14ac:dyDescent="0.25">
      <c r="A845" s="41">
        <f>CASOPOInvCL!T845</f>
        <v>1</v>
      </c>
      <c r="B845" t="str">
        <f>CASOPOInvCL!Z845</f>
        <v>SO17673</v>
      </c>
      <c r="D845" t="s">
        <v>5915</v>
      </c>
      <c r="G845" s="5" t="str">
        <f>CASOPOInvCL!I845</f>
        <v>Ian Trottier</v>
      </c>
      <c r="H845" s="31">
        <f>CASOPOInvCL!U845</f>
        <v>8</v>
      </c>
      <c r="I845" s="31">
        <f>CASOPOInvCL!V845</f>
        <v>2025</v>
      </c>
      <c r="J845" s="5" t="str">
        <f>CASOPOInvCL!AB845</f>
        <v>INV13308</v>
      </c>
      <c r="K845" s="31">
        <f>CASOPOInvCL!W845</f>
        <v>10</v>
      </c>
      <c r="L845" s="31">
        <f>CASOPOInvCL!X845</f>
        <v>2025</v>
      </c>
      <c r="M845">
        <v>2504</v>
      </c>
      <c r="N845" s="5" t="str">
        <f>CASOPOInvCL!AF845</f>
        <v>PT Vale Indonesia Tbk.</v>
      </c>
      <c r="O845" s="16" t="str">
        <f>CASOPOInvCL!AG845</f>
        <v>USD</v>
      </c>
      <c r="P845" s="16">
        <f>CASOPOInvCL!AH845</f>
        <v>38.841270572090501</v>
      </c>
      <c r="Q845" s="16">
        <f>CASOPOInvCL!AI845</f>
        <v>28.22</v>
      </c>
      <c r="R845" s="32" t="str">
        <f>CASOPOInvCL!AU845</f>
        <v>Yes</v>
      </c>
      <c r="S845" s="16">
        <f>CASOPOInvCL!AV845</f>
        <v>0</v>
      </c>
      <c r="T845" s="16">
        <f>CASOPOInvCL!AW845</f>
        <v>28.22</v>
      </c>
      <c r="V845" t="s">
        <v>5800</v>
      </c>
      <c r="Y845" s="29" t="str">
        <f>IFERROR(HLOOKUP(U845,List!$D$2:$H$6,2,FALSE),"")</f>
        <v/>
      </c>
      <c r="Z845" s="29">
        <f>IFERROR(HLOOKUP(V845,List!$D$2:$H$6,3,FALSE),"")</f>
        <v>5.0000000000000001E-3</v>
      </c>
      <c r="AA845" s="29" t="str">
        <f>IFERROR(HLOOKUP(W845,List!$D$2:$H$6,4,FALSE),"")</f>
        <v/>
      </c>
      <c r="AB845" s="29" t="str">
        <f>IFERROR(HLOOKUP(X845,List!$D$2:$H$6,5,FALSE),"")</f>
        <v/>
      </c>
      <c r="AC845" s="12" t="str">
        <f t="shared" si="226"/>
        <v/>
      </c>
      <c r="AD845" s="12">
        <f t="shared" si="227"/>
        <v>0.1411</v>
      </c>
      <c r="AE845" s="12" t="str">
        <f t="shared" si="228"/>
        <v/>
      </c>
      <c r="AF845" s="12" t="str">
        <f t="shared" si="229"/>
        <v/>
      </c>
      <c r="AG845" t="str">
        <f>VLOOKUP(J845,'Receivable Invoice Detail'!$A$1:F3857,6,FALSE)</f>
        <v>[028-Teflon, G-C02495A28 6359] Impeller O-Ring, 3196 MTX, Teflon</v>
      </c>
      <c r="AM845" s="12" t="str">
        <f t="shared" si="230"/>
        <v/>
      </c>
      <c r="AN845" s="12">
        <f t="shared" si="231"/>
        <v>0.1411</v>
      </c>
      <c r="AO845" s="12" t="str">
        <f t="shared" si="232"/>
        <v/>
      </c>
      <c r="AP845" s="12" t="str">
        <f t="shared" si="233"/>
        <v/>
      </c>
      <c r="AQ845" s="64">
        <f>M845</f>
        <v>2504</v>
      </c>
      <c r="AR845" t="s">
        <v>5931</v>
      </c>
      <c r="AS845" s="12">
        <f t="shared" si="234"/>
        <v>2.1431680947696097</v>
      </c>
      <c r="AT845" s="16" t="str">
        <f t="shared" si="235"/>
        <v>Yes</v>
      </c>
    </row>
    <row r="846" spans="1:46" hidden="1" x14ac:dyDescent="0.25">
      <c r="A846" s="41">
        <f>CASOPOInvCL!T846</f>
        <v>1</v>
      </c>
      <c r="B846" t="str">
        <f>CASOPOInvCL!Z846</f>
        <v>SO17674</v>
      </c>
      <c r="D846" t="s">
        <v>5851</v>
      </c>
      <c r="G846" s="5" t="str">
        <f>CASOPOInvCL!I846</f>
        <v>Alexis Gil Lamadrid</v>
      </c>
      <c r="H846" s="31">
        <f>CASOPOInvCL!U846</f>
        <v>8</v>
      </c>
      <c r="I846" s="31">
        <f>CASOPOInvCL!V846</f>
        <v>2025</v>
      </c>
      <c r="J846" s="5" t="str">
        <f>CASOPOInvCL!AB846</f>
        <v>INV13366</v>
      </c>
      <c r="K846" s="31">
        <f>CASOPOInvCL!W846</f>
        <v>10</v>
      </c>
      <c r="L846" s="31">
        <f>CASOPOInvCL!X846</f>
        <v>2025</v>
      </c>
      <c r="M846">
        <v>2504</v>
      </c>
      <c r="N846" s="5" t="str">
        <f>CASOPOInvCL!AF846</f>
        <v>Canadian Industrial Pumps Ltd</v>
      </c>
      <c r="O846" s="16" t="str">
        <f>CASOPOInvCL!AG846</f>
        <v>CAD</v>
      </c>
      <c r="P846" s="16">
        <f>CASOPOInvCL!AH846</f>
        <v>2440.75</v>
      </c>
      <c r="Q846" s="16">
        <f>CASOPOInvCL!AI846</f>
        <v>1760.995717727847</v>
      </c>
      <c r="R846" s="32" t="str">
        <f>CASOPOInvCL!AU846</f>
        <v>Yes</v>
      </c>
      <c r="S846" s="16">
        <f>CASOPOInvCL!AV846</f>
        <v>0</v>
      </c>
      <c r="T846" s="16">
        <f>CASOPOInvCL!AW846</f>
        <v>1760.995717727847</v>
      </c>
      <c r="V846" t="s">
        <v>5800</v>
      </c>
      <c r="Y846" s="29" t="str">
        <f>IFERROR(HLOOKUP(U846,List!$D$2:$H$6,2,FALSE),"")</f>
        <v/>
      </c>
      <c r="Z846" s="29">
        <f>IFERROR(HLOOKUP(V846,List!$D$2:$H$6,3,FALSE),"")</f>
        <v>5.0000000000000001E-3</v>
      </c>
      <c r="AA846" s="29" t="str">
        <f>IFERROR(HLOOKUP(W846,List!$D$2:$H$6,4,FALSE),"")</f>
        <v/>
      </c>
      <c r="AB846" s="29" t="str">
        <f>IFERROR(HLOOKUP(X846,List!$D$2:$H$6,5,FALSE),"")</f>
        <v/>
      </c>
      <c r="AC846" s="12" t="str">
        <f t="shared" si="226"/>
        <v/>
      </c>
      <c r="AD846" s="12">
        <f t="shared" si="227"/>
        <v>8.8049785886392353</v>
      </c>
      <c r="AE846" s="12" t="str">
        <f t="shared" si="228"/>
        <v/>
      </c>
      <c r="AF846" s="12" t="str">
        <f t="shared" si="229"/>
        <v/>
      </c>
      <c r="AG846" t="str">
        <f>VLOOKUP(J846,'Receivable Invoice Detail'!$A$1:F3858,6,FALSE)</f>
        <v>[AC-98-233-700-001] Bearing Cover Gasket (Inboard &amp; Outboard), 8x6-18 &amp; 10x8-21 SRL-C</v>
      </c>
      <c r="AM846" s="12" t="str">
        <f t="shared" si="230"/>
        <v/>
      </c>
      <c r="AN846" s="12">
        <f t="shared" si="231"/>
        <v>8.8049785886392353</v>
      </c>
      <c r="AO846" s="12" t="str">
        <f t="shared" si="232"/>
        <v/>
      </c>
      <c r="AP846" s="12" t="str">
        <f t="shared" si="233"/>
        <v/>
      </c>
      <c r="AQ846" s="64">
        <f>M846</f>
        <v>2504</v>
      </c>
      <c r="AR846" t="s">
        <v>5931</v>
      </c>
      <c r="AS846" s="12">
        <f t="shared" si="234"/>
        <v>0</v>
      </c>
      <c r="AT846" s="16" t="str">
        <f t="shared" si="235"/>
        <v>Yes</v>
      </c>
    </row>
    <row r="847" spans="1:46" hidden="1" x14ac:dyDescent="0.25">
      <c r="A847" s="41">
        <f>CASOPOInvCL!T847</f>
        <v>1</v>
      </c>
      <c r="B847" t="str">
        <f>CASOPOInvCL!Z847</f>
        <v>SO17676</v>
      </c>
      <c r="D847" t="s">
        <v>5915</v>
      </c>
      <c r="G847" s="5" t="str">
        <f>CASOPOInvCL!I847</f>
        <v>Wilka Nuñez</v>
      </c>
      <c r="H847" s="31">
        <f>CASOPOInvCL!U847</f>
        <v>8</v>
      </c>
      <c r="I847" s="31">
        <f>CASOPOInvCL!V847</f>
        <v>2025</v>
      </c>
      <c r="J847" s="5" t="str">
        <f>CASOPOInvCL!AB847</f>
        <v>INV13309</v>
      </c>
      <c r="K847" s="31">
        <f>CASOPOInvCL!W847</f>
        <v>10</v>
      </c>
      <c r="L847" s="31">
        <f>CASOPOInvCL!X847</f>
        <v>2025</v>
      </c>
      <c r="M847">
        <v>2504</v>
      </c>
      <c r="N847" s="5" t="str">
        <f>CASOPOInvCL!AF847</f>
        <v>PT Vale Indonesia Tbk.</v>
      </c>
      <c r="O847" s="16" t="str">
        <f>CASOPOInvCL!AG847</f>
        <v>USD</v>
      </c>
      <c r="P847" s="16">
        <f>CASOPOInvCL!AH847</f>
        <v>2101.2515681375298</v>
      </c>
      <c r="Q847" s="16">
        <f>CASOPOInvCL!AI847</f>
        <v>1526.49</v>
      </c>
      <c r="R847" s="32" t="str">
        <f>CASOPOInvCL!AU847</f>
        <v>Yes</v>
      </c>
      <c r="S847" s="16">
        <f>CASOPOInvCL!AV847</f>
        <v>0</v>
      </c>
      <c r="T847" s="16">
        <f>CASOPOInvCL!AW847</f>
        <v>1526.49</v>
      </c>
      <c r="V847" t="s">
        <v>5800</v>
      </c>
      <c r="Y847" s="29" t="str">
        <f>IFERROR(HLOOKUP(U847,List!$D$2:$H$6,2,FALSE),"")</f>
        <v/>
      </c>
      <c r="Z847" s="29">
        <f>IFERROR(HLOOKUP(V847,List!$D$2:$H$6,3,FALSE),"")</f>
        <v>5.0000000000000001E-3</v>
      </c>
      <c r="AA847" s="29" t="str">
        <f>IFERROR(HLOOKUP(W847,List!$D$2:$H$6,4,FALSE),"")</f>
        <v/>
      </c>
      <c r="AB847" s="29" t="str">
        <f>IFERROR(HLOOKUP(X847,List!$D$2:$H$6,5,FALSE),"")</f>
        <v/>
      </c>
      <c r="AC847" s="12" t="str">
        <f t="shared" si="226"/>
        <v/>
      </c>
      <c r="AD847" s="12">
        <f t="shared" si="227"/>
        <v>7.6324500000000004</v>
      </c>
      <c r="AE847" s="12" t="str">
        <f t="shared" si="228"/>
        <v/>
      </c>
      <c r="AF847" s="12" t="str">
        <f t="shared" si="229"/>
        <v/>
      </c>
      <c r="AG847" t="str">
        <f>VLOOKUP(J847,'Receivable Invoice Detail'!$A$1:F3859,6,FALSE)</f>
        <v>[G-67868-211-212 5108] Gasket Material (2 Piece Set), Armstrong Syntheseal N-8090, 16" x 17 3/4"</v>
      </c>
      <c r="AM847" s="12" t="str">
        <f t="shared" si="230"/>
        <v/>
      </c>
      <c r="AN847" s="12">
        <f t="shared" si="231"/>
        <v>7.6324500000000004</v>
      </c>
      <c r="AO847" s="12" t="str">
        <f t="shared" si="232"/>
        <v/>
      </c>
      <c r="AP847" s="12" t="str">
        <f t="shared" si="233"/>
        <v/>
      </c>
      <c r="AQ847" s="64">
        <f>M847</f>
        <v>2504</v>
      </c>
      <c r="AR847" t="s">
        <v>5931</v>
      </c>
      <c r="AS847" s="12">
        <f t="shared" si="234"/>
        <v>5.3738582869963771</v>
      </c>
      <c r="AT847" s="16" t="str">
        <f t="shared" si="235"/>
        <v>Yes</v>
      </c>
    </row>
    <row r="848" spans="1:46" hidden="1" x14ac:dyDescent="0.25">
      <c r="A848" s="41">
        <f>CASOPOInvCL!T848</f>
        <v>1</v>
      </c>
      <c r="B848" t="str">
        <f>CASOPOInvCL!Z848</f>
        <v>SO17677</v>
      </c>
      <c r="D848" t="s">
        <v>5915</v>
      </c>
      <c r="G848" s="5" t="str">
        <f>CASOPOInvCL!I848</f>
        <v>Wilka Nuñez</v>
      </c>
      <c r="H848" s="31">
        <f>CASOPOInvCL!U848</f>
        <v>8</v>
      </c>
      <c r="I848" s="31">
        <f>CASOPOInvCL!V848</f>
        <v>2025</v>
      </c>
      <c r="J848" s="5" t="str">
        <f>CASOPOInvCL!AB848</f>
        <v>INV13307</v>
      </c>
      <c r="K848" s="31">
        <f>CASOPOInvCL!W848</f>
        <v>10</v>
      </c>
      <c r="L848" s="31">
        <f>CASOPOInvCL!X848</f>
        <v>2025</v>
      </c>
      <c r="M848">
        <v>2504</v>
      </c>
      <c r="N848" s="5" t="str">
        <f>CASOPOInvCL!AF848</f>
        <v>PT Vale Indonesia Tbk.</v>
      </c>
      <c r="O848" s="16" t="str">
        <f>CASOPOInvCL!AG848</f>
        <v>USD</v>
      </c>
      <c r="P848" s="16">
        <f>CASOPOInvCL!AH848</f>
        <v>649.00398256489234</v>
      </c>
      <c r="Q848" s="16">
        <f>CASOPOInvCL!AI848</f>
        <v>471.48</v>
      </c>
      <c r="R848" s="32" t="str">
        <f>CASOPOInvCL!AU848</f>
        <v>Yes</v>
      </c>
      <c r="S848" s="16">
        <f>CASOPOInvCL!AV848</f>
        <v>0</v>
      </c>
      <c r="T848" s="16">
        <f>CASOPOInvCL!AW848</f>
        <v>471.48</v>
      </c>
      <c r="V848" t="s">
        <v>5800</v>
      </c>
      <c r="Y848" s="29" t="str">
        <f>IFERROR(HLOOKUP(U848,List!$D$2:$H$6,2,FALSE),"")</f>
        <v/>
      </c>
      <c r="Z848" s="29">
        <f>IFERROR(HLOOKUP(V848,List!$D$2:$H$6,3,FALSE),"")</f>
        <v>5.0000000000000001E-3</v>
      </c>
      <c r="AA848" s="29" t="str">
        <f>IFERROR(HLOOKUP(W848,List!$D$2:$H$6,4,FALSE),"")</f>
        <v/>
      </c>
      <c r="AB848" s="29" t="str">
        <f>IFERROR(HLOOKUP(X848,List!$D$2:$H$6,5,FALSE),"")</f>
        <v/>
      </c>
      <c r="AC848" s="12" t="str">
        <f t="shared" si="226"/>
        <v/>
      </c>
      <c r="AD848" s="12">
        <f t="shared" si="227"/>
        <v>2.3574000000000002</v>
      </c>
      <c r="AE848" s="12" t="str">
        <f t="shared" si="228"/>
        <v/>
      </c>
      <c r="AF848" s="12" t="str">
        <f t="shared" si="229"/>
        <v/>
      </c>
      <c r="AG848" t="str">
        <f>VLOOKUP(J848,'Receivable Invoice Detail'!$A$1:F3860,6,FALSE)</f>
        <v>[G-R104-733 2238] Shaft (Sleeve Type), 3196 MTX, 4140</v>
      </c>
      <c r="AM848" s="12" t="str">
        <f t="shared" si="230"/>
        <v/>
      </c>
      <c r="AN848" s="12">
        <f t="shared" si="231"/>
        <v>2.3574000000000002</v>
      </c>
      <c r="AO848" s="12" t="str">
        <f t="shared" si="232"/>
        <v/>
      </c>
      <c r="AP848" s="12" t="str">
        <f t="shared" si="233"/>
        <v/>
      </c>
      <c r="AQ848" s="64">
        <f>M848</f>
        <v>2504</v>
      </c>
      <c r="AR848" t="s">
        <v>5931</v>
      </c>
      <c r="AS848" s="12">
        <f t="shared" si="234"/>
        <v>0.42329999999999995</v>
      </c>
      <c r="AT848" s="16" t="str">
        <f t="shared" si="235"/>
        <v>Yes</v>
      </c>
    </row>
    <row r="849" spans="1:46" hidden="1" x14ac:dyDescent="0.25">
      <c r="A849" s="41">
        <f>CASOPOInvCL!T849</f>
        <v>1</v>
      </c>
      <c r="B849" t="str">
        <f>CASOPOInvCL!Z849</f>
        <v>SO17678</v>
      </c>
      <c r="C849" s="59"/>
      <c r="D849" s="59"/>
      <c r="E849" s="59"/>
      <c r="F849" s="59"/>
      <c r="G849" s="5" t="str">
        <f>CASOPOInvCL!I849</f>
        <v>Ian Trottier</v>
      </c>
      <c r="H849" s="31">
        <f>CASOPOInvCL!U849</f>
        <v>8</v>
      </c>
      <c r="I849" s="31">
        <f>CASOPOInvCL!V849</f>
        <v>2025</v>
      </c>
      <c r="J849" s="5" t="str">
        <f>CASOPOInvCL!AB849</f>
        <v>INV13744</v>
      </c>
      <c r="K849" s="31" t="str">
        <f>CASOPOInvCL!W849</f>
        <v/>
      </c>
      <c r="L849" s="31" t="str">
        <f>CASOPOInvCL!X849</f>
        <v/>
      </c>
      <c r="M849" s="59"/>
      <c r="N849" s="5" t="str">
        <f>CASOPOInvCL!AF849</f>
        <v>Motion Industries Inc. (Canada) - Chicoutimi</v>
      </c>
      <c r="O849" s="16" t="str">
        <f>CASOPOInvCL!AG849</f>
        <v>CAD</v>
      </c>
      <c r="P849" s="16">
        <f>CASOPOInvCL!AH849</f>
        <v>74.84</v>
      </c>
      <c r="Q849" s="16">
        <f>CASOPOInvCL!AI849</f>
        <v>53.997834527768539</v>
      </c>
      <c r="R849" s="32" t="str">
        <f>CASOPOInvCL!AU849</f>
        <v/>
      </c>
      <c r="S849" s="16">
        <f>CASOPOInvCL!AV849</f>
        <v>0</v>
      </c>
      <c r="T849" s="16">
        <f>CASOPOInvCL!AW849</f>
        <v>0</v>
      </c>
      <c r="U849" s="59"/>
      <c r="V849" s="59"/>
      <c r="W849" s="59"/>
      <c r="X849" s="59"/>
      <c r="Y849" s="29" t="str">
        <f>IFERROR(HLOOKUP(U849,List!$D$2:$H$6,2,FALSE),"")</f>
        <v/>
      </c>
      <c r="Z849" s="29" t="str">
        <f>IFERROR(HLOOKUP(V849,List!$D$2:$H$6,3,FALSE),"")</f>
        <v/>
      </c>
      <c r="AA849" s="29" t="str">
        <f>IFERROR(HLOOKUP(W849,List!$D$2:$H$6,4,FALSE),"")</f>
        <v/>
      </c>
      <c r="AB849" s="29" t="str">
        <f>IFERROR(HLOOKUP(X849,List!$D$2:$H$6,5,FALSE),"")</f>
        <v/>
      </c>
      <c r="AC849" s="12" t="str">
        <f t="shared" si="226"/>
        <v/>
      </c>
      <c r="AD849" s="12" t="str">
        <f t="shared" si="227"/>
        <v/>
      </c>
      <c r="AE849" s="12" t="str">
        <f t="shared" si="228"/>
        <v/>
      </c>
      <c r="AF849" s="12" t="str">
        <f t="shared" si="229"/>
        <v/>
      </c>
      <c r="AG849" t="str">
        <f>VLOOKUP(J849,'Receivable Invoice Detail'!$A$1:F3861,6,FALSE)</f>
        <v>[AC-52-235-695-005] Oil Slinger, Allis Chalmers CSO, Steel</v>
      </c>
      <c r="AI849" s="59"/>
      <c r="AJ849" s="59"/>
      <c r="AK849" s="59"/>
      <c r="AL849" s="59"/>
      <c r="AM849" s="12" t="str">
        <f t="shared" si="230"/>
        <v/>
      </c>
      <c r="AN849" s="12" t="str">
        <f t="shared" si="231"/>
        <v/>
      </c>
      <c r="AO849" s="12" t="str">
        <f t="shared" si="232"/>
        <v/>
      </c>
      <c r="AP849" s="12" t="str">
        <f t="shared" si="233"/>
        <v/>
      </c>
      <c r="AQ849" s="98"/>
      <c r="AR849" s="59"/>
      <c r="AS849" s="60"/>
      <c r="AT849" s="57"/>
    </row>
    <row r="850" spans="1:46" hidden="1" x14ac:dyDescent="0.25">
      <c r="A850" s="41">
        <f>CASOPOInvCL!T850</f>
        <v>1</v>
      </c>
      <c r="B850" t="str">
        <f>CASOPOInvCL!Z850</f>
        <v>SO17679</v>
      </c>
      <c r="G850" s="5" t="str">
        <f>CASOPOInvCL!I850</f>
        <v>Ian Trottier</v>
      </c>
      <c r="H850" s="31">
        <f>CASOPOInvCL!U850</f>
        <v>8</v>
      </c>
      <c r="I850" s="31">
        <f>CASOPOInvCL!V850</f>
        <v>2025</v>
      </c>
      <c r="J850" s="5" t="str">
        <f>CASOPOInvCL!AB850</f>
        <v>INV13628</v>
      </c>
      <c r="K850" s="31">
        <f>CASOPOInvCL!W850</f>
        <v>12</v>
      </c>
      <c r="L850" s="31">
        <f>CASOPOInvCL!X850</f>
        <v>2025</v>
      </c>
      <c r="M850" s="31"/>
      <c r="N850" s="5" t="str">
        <f>CASOPOInvCL!AF850</f>
        <v>Cartledge &amp; Associates Inc.</v>
      </c>
      <c r="O850" s="16" t="str">
        <f>CASOPOInvCL!AG850</f>
        <v>USD</v>
      </c>
      <c r="P850" s="16">
        <f>CASOPOInvCL!AH850</f>
        <v>2149.8632716599127</v>
      </c>
      <c r="Q850" s="16">
        <f>CASOPOInvCL!AI850</f>
        <v>1559.55</v>
      </c>
      <c r="R850" s="32" t="str">
        <f>CASOPOInvCL!AU850</f>
        <v>Yes</v>
      </c>
      <c r="S850" s="16">
        <f>CASOPOInvCL!AV850</f>
        <v>0</v>
      </c>
      <c r="T850" s="16">
        <f>CASOPOInvCL!AW850</f>
        <v>1559.55</v>
      </c>
      <c r="Y850" s="29" t="str">
        <f>IFERROR(HLOOKUP(U850,List!$D$2:$H$6,2,FALSE),"")</f>
        <v/>
      </c>
      <c r="Z850" s="29" t="str">
        <f>IFERROR(HLOOKUP(V850,List!$D$2:$H$6,3,FALSE),"")</f>
        <v/>
      </c>
      <c r="AA850" s="29" t="str">
        <f>IFERROR(HLOOKUP(W850,List!$D$2:$H$6,4,FALSE),"")</f>
        <v/>
      </c>
      <c r="AB850" s="29" t="str">
        <f>IFERROR(HLOOKUP(X850,List!$D$2:$H$6,5,FALSE),"")</f>
        <v/>
      </c>
      <c r="AC850" s="12" t="str">
        <f t="shared" si="226"/>
        <v/>
      </c>
      <c r="AD850" s="12" t="str">
        <f t="shared" si="227"/>
        <v/>
      </c>
      <c r="AE850" s="12" t="str">
        <f t="shared" si="228"/>
        <v/>
      </c>
      <c r="AF850" s="12" t="str">
        <f t="shared" si="229"/>
        <v/>
      </c>
      <c r="AG850" t="str">
        <f>VLOOKUP(J850,'Receivable Invoice Detail'!$A$1:F3862,6,FALSE)</f>
        <v>[DE-503541] Shaft Sleeve, Denver, 8x6-18 &amp; 10x8-21 SRL-C, 316SS</v>
      </c>
      <c r="AM850" s="12" t="str">
        <f t="shared" si="230"/>
        <v/>
      </c>
      <c r="AN850" s="12" t="str">
        <f t="shared" si="231"/>
        <v/>
      </c>
      <c r="AO850" s="12" t="str">
        <f t="shared" si="232"/>
        <v/>
      </c>
      <c r="AP850" s="12" t="str">
        <f t="shared" si="233"/>
        <v/>
      </c>
      <c r="AQ850" s="12"/>
      <c r="AS850" s="12">
        <f>T846*1.5%</f>
        <v>26.414935765917704</v>
      </c>
      <c r="AT850" s="16" t="str">
        <f>R848</f>
        <v>Yes</v>
      </c>
    </row>
    <row r="851" spans="1:46" hidden="1" x14ac:dyDescent="0.25">
      <c r="A851" s="41">
        <f>CASOPOInvCL!T851</f>
        <v>2</v>
      </c>
      <c r="B851" t="str">
        <f>CASOPOInvCL!Z851</f>
        <v>SO17681</v>
      </c>
      <c r="G851" s="5" t="str">
        <f>CASOPOInvCL!I851</f>
        <v>Ian Trottier</v>
      </c>
      <c r="H851" s="31">
        <f>CASOPOInvCL!U851</f>
        <v>8</v>
      </c>
      <c r="I851" s="31">
        <f>CASOPOInvCL!V851</f>
        <v>2025</v>
      </c>
      <c r="J851" s="5" t="str">
        <f>CASOPOInvCL!AB851</f>
        <v>INV13422</v>
      </c>
      <c r="K851" s="31">
        <f>CASOPOInvCL!W851</f>
        <v>9</v>
      </c>
      <c r="L851" s="31">
        <f>CASOPOInvCL!X851</f>
        <v>2025</v>
      </c>
      <c r="M851" s="31"/>
      <c r="N851" s="5" t="str">
        <f>CASOPOInvCL!AF851</f>
        <v>Kumtor Gold Company</v>
      </c>
      <c r="O851" s="16" t="str">
        <f>CASOPOInvCL!AG851</f>
        <v>USD</v>
      </c>
      <c r="P851" s="16">
        <f>CASOPOInvCL!AH851</f>
        <v>129950.47975876725</v>
      </c>
      <c r="Q851" s="16">
        <f>CASOPOInvCL!AI851</f>
        <v>94461.93</v>
      </c>
      <c r="R851" s="32" t="str">
        <f>CASOPOInvCL!AU851</f>
        <v/>
      </c>
      <c r="S851" s="16">
        <f>CASOPOInvCL!AV851</f>
        <v>0</v>
      </c>
      <c r="T851" s="16">
        <f>CASOPOInvCL!AW851</f>
        <v>0</v>
      </c>
      <c r="Y851" s="29" t="str">
        <f>IFERROR(HLOOKUP(U851,List!$D$2:$H$6,2,FALSE),"")</f>
        <v/>
      </c>
      <c r="Z851" s="29" t="str">
        <f>IFERROR(HLOOKUP(V851,List!$D$2:$H$6,3,FALSE),"")</f>
        <v/>
      </c>
      <c r="AA851" s="29" t="str">
        <f>IFERROR(HLOOKUP(W851,List!$D$2:$H$6,4,FALSE),"")</f>
        <v/>
      </c>
      <c r="AB851" s="29" t="str">
        <f>IFERROR(HLOOKUP(X851,List!$D$2:$H$6,5,FALSE),"")</f>
        <v/>
      </c>
      <c r="AC851" s="12" t="str">
        <f t="shared" si="226"/>
        <v/>
      </c>
      <c r="AD851" s="12" t="str">
        <f t="shared" si="227"/>
        <v/>
      </c>
      <c r="AE851" s="12" t="str">
        <f t="shared" si="228"/>
        <v/>
      </c>
      <c r="AF851" s="12" t="str">
        <f t="shared" si="229"/>
        <v/>
      </c>
      <c r="AG851" t="str">
        <f>VLOOKUP(J851,'Receivable Invoice Detail'!$A$1:F3863,6,FALSE)</f>
        <v>[AC-98-431-651-507] Impeller (Closed), 8x6-18 SRL-C, Urethane</v>
      </c>
      <c r="AM851" s="12" t="str">
        <f t="shared" si="230"/>
        <v/>
      </c>
      <c r="AN851" s="12" t="str">
        <f t="shared" si="231"/>
        <v/>
      </c>
      <c r="AO851" s="12" t="str">
        <f t="shared" si="232"/>
        <v/>
      </c>
      <c r="AP851" s="12" t="str">
        <f t="shared" si="233"/>
        <v/>
      </c>
      <c r="AQ851" s="12"/>
      <c r="AS851" s="12">
        <f>T847*1.5%</f>
        <v>22.897349999999999</v>
      </c>
      <c r="AT851" s="16" t="str">
        <f>R849</f>
        <v/>
      </c>
    </row>
    <row r="852" spans="1:46" hidden="1" x14ac:dyDescent="0.25">
      <c r="A852" s="41">
        <f>CASOPOInvCL!T852</f>
        <v>2</v>
      </c>
      <c r="B852" t="str">
        <f>CASOPOInvCL!Z852</f>
        <v>SO17681</v>
      </c>
      <c r="C852" s="59"/>
      <c r="D852" s="59"/>
      <c r="E852" s="59"/>
      <c r="F852" s="59"/>
      <c r="G852" s="5">
        <f>CASOPOInvCL!I852</f>
        <v>0</v>
      </c>
      <c r="H852" s="31">
        <f>CASOPOInvCL!U852</f>
        <v>8</v>
      </c>
      <c r="I852" s="31">
        <f>CASOPOInvCL!V852</f>
        <v>2025</v>
      </c>
      <c r="J852" s="5" t="str">
        <f>CASOPOInvCL!AB852</f>
        <v>INV13751</v>
      </c>
      <c r="K852" s="31">
        <f>CASOPOInvCL!W852</f>
        <v>12</v>
      </c>
      <c r="L852" s="31">
        <f>CASOPOInvCL!X852</f>
        <v>2025</v>
      </c>
      <c r="M852" s="70"/>
      <c r="N852" s="5" t="str">
        <f>CASOPOInvCL!AF852</f>
        <v>Kumtor Gold Company</v>
      </c>
      <c r="O852" s="16" t="str">
        <f>CASOPOInvCL!AG852</f>
        <v>USD</v>
      </c>
      <c r="P852" s="16">
        <f>CASOPOInvCL!AH852</f>
        <v>0</v>
      </c>
      <c r="Q852" s="16">
        <f>CASOPOInvCL!AI852</f>
        <v>0</v>
      </c>
      <c r="R852" s="32" t="str">
        <f>CASOPOInvCL!AU852</f>
        <v/>
      </c>
      <c r="S852" s="16">
        <f>CASOPOInvCL!AV852</f>
        <v>0</v>
      </c>
      <c r="T852" s="16">
        <f>CASOPOInvCL!AW852</f>
        <v>0</v>
      </c>
      <c r="U852" s="59"/>
      <c r="V852" s="59"/>
      <c r="W852" s="59"/>
      <c r="X852" s="59"/>
      <c r="Y852" s="29" t="str">
        <f>IFERROR(HLOOKUP(U852,List!$D$2:$H$6,2,FALSE),"")</f>
        <v/>
      </c>
      <c r="Z852" s="29" t="str">
        <f>IFERROR(HLOOKUP(V852,List!$D$2:$H$6,3,FALSE),"")</f>
        <v/>
      </c>
      <c r="AA852" s="29" t="str">
        <f>IFERROR(HLOOKUP(W852,List!$D$2:$H$6,4,FALSE),"")</f>
        <v/>
      </c>
      <c r="AB852" s="29" t="str">
        <f>IFERROR(HLOOKUP(X852,List!$D$2:$H$6,5,FALSE),"")</f>
        <v/>
      </c>
      <c r="AC852" s="12" t="str">
        <f t="shared" si="226"/>
        <v/>
      </c>
      <c r="AD852" s="12" t="str">
        <f t="shared" si="227"/>
        <v/>
      </c>
      <c r="AE852" s="12" t="str">
        <f t="shared" si="228"/>
        <v/>
      </c>
      <c r="AF852" s="12" t="str">
        <f t="shared" si="229"/>
        <v/>
      </c>
      <c r="AG852" t="str">
        <f>VLOOKUP(J852,'Receivable Invoice Detail'!$A$1:F3864,6,FALSE)</f>
        <v>[AC-98-236-018-001] Seal Cage, 10x10-28 SRL-XT, 1045 Steel, Low Dillusion</v>
      </c>
      <c r="AI852" s="59"/>
      <c r="AJ852" s="59"/>
      <c r="AK852" s="59"/>
      <c r="AL852" s="59"/>
      <c r="AM852" s="12" t="str">
        <f t="shared" si="230"/>
        <v/>
      </c>
      <c r="AN852" s="12" t="str">
        <f t="shared" si="231"/>
        <v/>
      </c>
      <c r="AO852" s="12" t="str">
        <f t="shared" si="232"/>
        <v/>
      </c>
      <c r="AP852" s="12" t="str">
        <f t="shared" si="233"/>
        <v/>
      </c>
      <c r="AQ852" s="60"/>
      <c r="AR852" s="59"/>
      <c r="AS852" s="60"/>
      <c r="AT852" s="57"/>
    </row>
    <row r="853" spans="1:46" hidden="1" x14ac:dyDescent="0.25">
      <c r="A853" s="41">
        <f>CASOPOInvCL!T853</f>
        <v>2</v>
      </c>
      <c r="B853" t="str">
        <f>CASOPOInvCL!Z853</f>
        <v>SO17682</v>
      </c>
      <c r="G853" s="5" t="str">
        <f>CASOPOInvCL!I853</f>
        <v>Amanda Qiao</v>
      </c>
      <c r="H853" s="31">
        <f>CASOPOInvCL!U853</f>
        <v>8</v>
      </c>
      <c r="I853" s="31">
        <f>CASOPOInvCL!V853</f>
        <v>2025</v>
      </c>
      <c r="J853" s="5" t="str">
        <f>CASOPOInvCL!AB853</f>
        <v>INV13306</v>
      </c>
      <c r="K853" s="31">
        <f>CASOPOInvCL!W853</f>
        <v>10</v>
      </c>
      <c r="L853" s="31">
        <f>CASOPOInvCL!X853</f>
        <v>2025</v>
      </c>
      <c r="M853" s="31"/>
      <c r="N853" s="5" t="str">
        <f>CASOPOInvCL!AF853</f>
        <v>Mill-Right Mine Services Inc.</v>
      </c>
      <c r="O853" s="16" t="str">
        <f>CASOPOInvCL!AG853</f>
        <v>USD</v>
      </c>
      <c r="P853" s="16">
        <f>CASOPOInvCL!AH853</f>
        <v>2732.1955433823841</v>
      </c>
      <c r="Q853" s="16">
        <f>CASOPOInvCL!AI853</f>
        <v>1984.85</v>
      </c>
      <c r="R853" s="32" t="str">
        <f>CASOPOInvCL!AU853</f>
        <v/>
      </c>
      <c r="S853" s="16">
        <f>CASOPOInvCL!AV853</f>
        <v>0</v>
      </c>
      <c r="T853" s="16">
        <f>CASOPOInvCL!AW853</f>
        <v>0</v>
      </c>
      <c r="Y853" s="29" t="str">
        <f>IFERROR(HLOOKUP(U853,List!$D$2:$H$6,2,FALSE),"")</f>
        <v/>
      </c>
      <c r="Z853" s="29" t="str">
        <f>IFERROR(HLOOKUP(V853,List!$D$2:$H$6,3,FALSE),"")</f>
        <v/>
      </c>
      <c r="AA853" s="29" t="str">
        <f>IFERROR(HLOOKUP(W853,List!$D$2:$H$6,4,FALSE),"")</f>
        <v/>
      </c>
      <c r="AB853" s="29" t="str">
        <f>IFERROR(HLOOKUP(X853,List!$D$2:$H$6,5,FALSE),"")</f>
        <v/>
      </c>
      <c r="AC853" s="12" t="str">
        <f t="shared" si="226"/>
        <v/>
      </c>
      <c r="AD853" s="12" t="str">
        <f t="shared" si="227"/>
        <v/>
      </c>
      <c r="AE853" s="12" t="str">
        <f t="shared" si="228"/>
        <v/>
      </c>
      <c r="AF853" s="12" t="str">
        <f t="shared" si="229"/>
        <v/>
      </c>
      <c r="AG853" t="str">
        <f>VLOOKUP(J853,'Receivable Invoice Detail'!$A$1:F3865,6,FALSE)</f>
        <v>[FS58979M4] Single Cartridge Mechanical Seal, 1 7/8", VBRB3, Big Bore, Carbon vs Silicon Carbide, TFEP, A276 Bellows, 316SS</v>
      </c>
      <c r="AM853" s="12" t="str">
        <f t="shared" si="230"/>
        <v/>
      </c>
      <c r="AN853" s="12" t="str">
        <f t="shared" si="231"/>
        <v/>
      </c>
      <c r="AO853" s="12" t="str">
        <f t="shared" si="232"/>
        <v/>
      </c>
      <c r="AP853" s="12" t="str">
        <f t="shared" si="233"/>
        <v/>
      </c>
      <c r="AQ853" s="12"/>
      <c r="AS853" s="12">
        <f t="shared" ref="AS853:AS867" si="236">T848*1.5%</f>
        <v>7.0721999999999996</v>
      </c>
      <c r="AT853" s="16" t="str">
        <f t="shared" ref="AT853:AT867" si="237">R850</f>
        <v>Yes</v>
      </c>
    </row>
    <row r="854" spans="1:46" hidden="1" x14ac:dyDescent="0.25">
      <c r="A854" s="41">
        <f>CASOPOInvCL!T854</f>
        <v>2</v>
      </c>
      <c r="B854" t="str">
        <f>CASOPOInvCL!Z854</f>
        <v>SO17682</v>
      </c>
      <c r="G854" s="5">
        <f>CASOPOInvCL!I854</f>
        <v>0</v>
      </c>
      <c r="H854" s="31">
        <f>CASOPOInvCL!U854</f>
        <v>8</v>
      </c>
      <c r="I854" s="31">
        <f>CASOPOInvCL!V854</f>
        <v>2025</v>
      </c>
      <c r="J854" s="5" t="str">
        <f>CASOPOInvCL!AB854</f>
        <v>INV13306</v>
      </c>
      <c r="K854" s="31">
        <f>CASOPOInvCL!W854</f>
        <v>10</v>
      </c>
      <c r="L854" s="31">
        <f>CASOPOInvCL!X854</f>
        <v>2025</v>
      </c>
      <c r="M854" s="31"/>
      <c r="N854" s="5" t="str">
        <f>CASOPOInvCL!AF854</f>
        <v>Mill-Right Mine Services Inc.</v>
      </c>
      <c r="O854" s="16" t="str">
        <f>CASOPOInvCL!AG854</f>
        <v>USD</v>
      </c>
      <c r="P854" s="16">
        <f>CASOPOInvCL!AH854</f>
        <v>0</v>
      </c>
      <c r="Q854" s="16">
        <f>CASOPOInvCL!AI854</f>
        <v>0</v>
      </c>
      <c r="R854" s="32" t="str">
        <f>CASOPOInvCL!AU854</f>
        <v/>
      </c>
      <c r="S854" s="16">
        <f>CASOPOInvCL!AV854</f>
        <v>0</v>
      </c>
      <c r="T854" s="16">
        <f>CASOPOInvCL!AW854</f>
        <v>0</v>
      </c>
      <c r="Y854" s="29" t="str">
        <f>IFERROR(HLOOKUP(U854,List!$D$2:$H$6,2,FALSE),"")</f>
        <v/>
      </c>
      <c r="Z854" s="29" t="str">
        <f>IFERROR(HLOOKUP(V854,List!$D$2:$H$6,3,FALSE),"")</f>
        <v/>
      </c>
      <c r="AA854" s="29" t="str">
        <f>IFERROR(HLOOKUP(W854,List!$D$2:$H$6,4,FALSE),"")</f>
        <v/>
      </c>
      <c r="AB854" s="29" t="str">
        <f>IFERROR(HLOOKUP(X854,List!$D$2:$H$6,5,FALSE),"")</f>
        <v/>
      </c>
      <c r="AC854" s="12" t="str">
        <f t="shared" si="226"/>
        <v/>
      </c>
      <c r="AD854" s="12" t="str">
        <f t="shared" si="227"/>
        <v/>
      </c>
      <c r="AE854" s="12" t="str">
        <f t="shared" si="228"/>
        <v/>
      </c>
      <c r="AF854" s="12" t="str">
        <f t="shared" si="229"/>
        <v/>
      </c>
      <c r="AG854" t="str">
        <f>VLOOKUP(J854,'Receivable Invoice Detail'!$A$1:F3866,6,FALSE)</f>
        <v>[FS58979M4] Single Cartridge Mechanical Seal, 1 7/8", VBRB3, Big Bore, Carbon vs Silicon Carbide, TFEP, A276 Bellows, 316SS</v>
      </c>
      <c r="AM854" s="12" t="str">
        <f t="shared" si="230"/>
        <v/>
      </c>
      <c r="AN854" s="12" t="str">
        <f t="shared" si="231"/>
        <v/>
      </c>
      <c r="AO854" s="12" t="str">
        <f t="shared" si="232"/>
        <v/>
      </c>
      <c r="AP854" s="12" t="str">
        <f t="shared" si="233"/>
        <v/>
      </c>
      <c r="AQ854" s="12"/>
      <c r="AS854" s="12">
        <f t="shared" si="236"/>
        <v>0</v>
      </c>
      <c r="AT854" s="16" t="str">
        <f t="shared" si="237"/>
        <v/>
      </c>
    </row>
    <row r="855" spans="1:46" hidden="1" x14ac:dyDescent="0.25">
      <c r="A855" s="41">
        <f>CASOPOInvCL!T855</f>
        <v>1</v>
      </c>
      <c r="B855" t="str">
        <f>CASOPOInvCL!Z855</f>
        <v>SO17683</v>
      </c>
      <c r="G855" s="5" t="str">
        <f>CASOPOInvCL!I855</f>
        <v>Alexis Gil Lamadrid</v>
      </c>
      <c r="H855" s="31">
        <f>CASOPOInvCL!U855</f>
        <v>8</v>
      </c>
      <c r="I855" s="31">
        <f>CASOPOInvCL!V855</f>
        <v>2025</v>
      </c>
      <c r="J855" s="5" t="str">
        <f>CASOPOInvCL!AB855</f>
        <v>INV13332</v>
      </c>
      <c r="K855" s="31">
        <f>CASOPOInvCL!W855</f>
        <v>11</v>
      </c>
      <c r="L855" s="31">
        <f>CASOPOInvCL!X855</f>
        <v>2025</v>
      </c>
      <c r="M855" s="31"/>
      <c r="N855" s="5" t="str">
        <f>CASOPOInvCL!AF855</f>
        <v>MAB Equipment Company Inc.</v>
      </c>
      <c r="O855" s="16" t="str">
        <f>CASOPOInvCL!AG855</f>
        <v>USD</v>
      </c>
      <c r="P855" s="16">
        <f>CASOPOInvCL!AH855</f>
        <v>7447.2197038851245</v>
      </c>
      <c r="Q855" s="16">
        <f>CASOPOInvCL!AI855</f>
        <v>5392.34</v>
      </c>
      <c r="R855" s="32" t="str">
        <f>CASOPOInvCL!AU855</f>
        <v/>
      </c>
      <c r="S855" s="16">
        <f>CASOPOInvCL!AV855</f>
        <v>608</v>
      </c>
      <c r="T855" s="16">
        <f>CASOPOInvCL!AW855</f>
        <v>0</v>
      </c>
      <c r="Y855" s="29" t="str">
        <f>IFERROR(HLOOKUP(U855,List!$D$2:$H$6,2,FALSE),"")</f>
        <v/>
      </c>
      <c r="Z855" s="29" t="str">
        <f>IFERROR(HLOOKUP(V855,List!$D$2:$H$6,3,FALSE),"")</f>
        <v/>
      </c>
      <c r="AA855" s="29" t="str">
        <f>IFERROR(HLOOKUP(W855,List!$D$2:$H$6,4,FALSE),"")</f>
        <v/>
      </c>
      <c r="AB855" s="29" t="str">
        <f>IFERROR(HLOOKUP(X855,List!$D$2:$H$6,5,FALSE),"")</f>
        <v/>
      </c>
      <c r="AC855" s="12" t="str">
        <f t="shared" si="226"/>
        <v/>
      </c>
      <c r="AD855" s="12" t="str">
        <f t="shared" si="227"/>
        <v/>
      </c>
      <c r="AE855" s="12" t="str">
        <f t="shared" si="228"/>
        <v/>
      </c>
      <c r="AF855" s="12" t="str">
        <f t="shared" si="229"/>
        <v/>
      </c>
      <c r="AG855" t="str">
        <f>VLOOKUP(J855,'Receivable Invoice Detail'!$A$1:F3867,6,FALSE)</f>
        <v>[W-E4083/A05] Throatbush, 6/4 D or E-AH, High Chrome</v>
      </c>
      <c r="AM855" s="12" t="str">
        <f t="shared" si="230"/>
        <v/>
      </c>
      <c r="AN855" s="12" t="str">
        <f t="shared" si="231"/>
        <v/>
      </c>
      <c r="AO855" s="12" t="str">
        <f t="shared" si="232"/>
        <v/>
      </c>
      <c r="AP855" s="12" t="str">
        <f t="shared" si="233"/>
        <v/>
      </c>
      <c r="AQ855" s="12"/>
      <c r="AS855" s="12">
        <f t="shared" si="236"/>
        <v>23.393249999999998</v>
      </c>
      <c r="AT855" s="16" t="str">
        <f t="shared" si="237"/>
        <v/>
      </c>
    </row>
    <row r="856" spans="1:46" hidden="1" x14ac:dyDescent="0.25">
      <c r="A856" s="41">
        <f>CASOPOInvCL!T856</f>
        <v>1</v>
      </c>
      <c r="B856" t="str">
        <f>CASOPOInvCL!Z856</f>
        <v>SO17684</v>
      </c>
      <c r="D856" t="s">
        <v>5851</v>
      </c>
      <c r="G856" s="5" t="str">
        <f>CASOPOInvCL!I856</f>
        <v>Alexis Gil Lamadrid</v>
      </c>
      <c r="H856" s="31">
        <f>CASOPOInvCL!U856</f>
        <v>8</v>
      </c>
      <c r="I856" s="31">
        <f>CASOPOInvCL!V856</f>
        <v>2025</v>
      </c>
      <c r="J856" s="5" t="str">
        <f>CASOPOInvCL!AB856</f>
        <v>INV13432</v>
      </c>
      <c r="K856" s="31">
        <f>CASOPOInvCL!W856</f>
        <v>11</v>
      </c>
      <c r="L856" s="31">
        <f>CASOPOInvCL!X856</f>
        <v>2025</v>
      </c>
      <c r="M856">
        <v>2504</v>
      </c>
      <c r="N856" s="5" t="str">
        <f>CASOPOInvCL!AF856</f>
        <v>Resolute Forest Products - Clermont</v>
      </c>
      <c r="O856" s="16" t="str">
        <f>CASOPOInvCL!AG856</f>
        <v>CAD</v>
      </c>
      <c r="P856" s="16">
        <f>CASOPOInvCL!AH856</f>
        <v>1086.6199999999999</v>
      </c>
      <c r="Q856" s="16">
        <f>CASOPOInvCL!AI856</f>
        <v>783.11410033220659</v>
      </c>
      <c r="R856" s="32" t="str">
        <f>CASOPOInvCL!AU856</f>
        <v>Yes</v>
      </c>
      <c r="S856" s="16">
        <f>CASOPOInvCL!AV856</f>
        <v>0</v>
      </c>
      <c r="T856" s="16">
        <f>CASOPOInvCL!AW856</f>
        <v>783.11410033220659</v>
      </c>
      <c r="V856" t="s">
        <v>5800</v>
      </c>
      <c r="Y856" s="29" t="str">
        <f>IFERROR(HLOOKUP(U856,List!$D$2:$H$6,2,FALSE),"")</f>
        <v/>
      </c>
      <c r="Z856" s="29">
        <f>IFERROR(HLOOKUP(V856,List!$D$2:$H$6,3,FALSE),"")</f>
        <v>5.0000000000000001E-3</v>
      </c>
      <c r="AA856" s="29" t="str">
        <f>IFERROR(HLOOKUP(W856,List!$D$2:$H$6,4,FALSE),"")</f>
        <v/>
      </c>
      <c r="AB856" s="29" t="str">
        <f>IFERROR(HLOOKUP(X856,List!$D$2:$H$6,5,FALSE),"")</f>
        <v/>
      </c>
      <c r="AC856" s="12" t="str">
        <f t="shared" si="226"/>
        <v/>
      </c>
      <c r="AD856" s="12">
        <f t="shared" si="227"/>
        <v>3.9155705016610329</v>
      </c>
      <c r="AE856" s="12" t="str">
        <f t="shared" si="228"/>
        <v/>
      </c>
      <c r="AF856" s="12" t="str">
        <f t="shared" si="229"/>
        <v/>
      </c>
      <c r="AG856" t="str">
        <f>VLOOKUP(J856,'Receivable Invoice Detail'!$A$1:F3868,6,FALSE)</f>
        <v>[G-75752 1203] Shaft Sleeve, 3175-L, 316SS</v>
      </c>
      <c r="AM856" s="12" t="str">
        <f t="shared" si="230"/>
        <v/>
      </c>
      <c r="AN856" s="12">
        <f t="shared" si="231"/>
        <v>3.9155705016610329</v>
      </c>
      <c r="AO856" s="12" t="str">
        <f t="shared" si="232"/>
        <v/>
      </c>
      <c r="AP856" s="12" t="str">
        <f t="shared" si="233"/>
        <v/>
      </c>
      <c r="AQ856" s="64">
        <f t="shared" ref="AQ856:AQ861" si="238">M856</f>
        <v>2504</v>
      </c>
      <c r="AR856" t="s">
        <v>5931</v>
      </c>
      <c r="AS856" s="12">
        <f t="shared" si="236"/>
        <v>0</v>
      </c>
      <c r="AT856" s="16" t="str">
        <f t="shared" si="237"/>
        <v/>
      </c>
    </row>
    <row r="857" spans="1:46" hidden="1" x14ac:dyDescent="0.25">
      <c r="A857" s="41">
        <f>CASOPOInvCL!T857</f>
        <v>1</v>
      </c>
      <c r="B857" t="str">
        <f>CASOPOInvCL!Z857</f>
        <v>SO17685</v>
      </c>
      <c r="D857" t="s">
        <v>5851</v>
      </c>
      <c r="G857" s="5" t="str">
        <f>CASOPOInvCL!I857</f>
        <v>Alexis Gil Lamadrid</v>
      </c>
      <c r="H857" s="31">
        <f>CASOPOInvCL!U857</f>
        <v>8</v>
      </c>
      <c r="I857" s="31">
        <f>CASOPOInvCL!V857</f>
        <v>2025</v>
      </c>
      <c r="J857" s="5" t="str">
        <f>CASOPOInvCL!AB857</f>
        <v>INV13336</v>
      </c>
      <c r="K857" s="31">
        <f>CASOPOInvCL!W857</f>
        <v>10</v>
      </c>
      <c r="L857" s="31">
        <f>CASOPOInvCL!X857</f>
        <v>2025</v>
      </c>
      <c r="M857">
        <v>2504</v>
      </c>
      <c r="N857" s="5" t="str">
        <f>CASOPOInvCL!AF857</f>
        <v>Wajax Limited - Pointe-aux-Trembles, Wajax Limited</v>
      </c>
      <c r="O857" s="16" t="str">
        <f>CASOPOInvCL!AG857</f>
        <v>CAD</v>
      </c>
      <c r="P857" s="16">
        <f>CASOPOInvCL!AH857</f>
        <v>236.69</v>
      </c>
      <c r="Q857" s="16">
        <f>CASOPOInvCL!AI857</f>
        <v>170.77131063361841</v>
      </c>
      <c r="R857" s="32" t="str">
        <f>CASOPOInvCL!AU857</f>
        <v>Yes</v>
      </c>
      <c r="S857" s="16">
        <f>CASOPOInvCL!AV857</f>
        <v>0</v>
      </c>
      <c r="T857" s="16">
        <f>CASOPOInvCL!AW857</f>
        <v>170.77131063361841</v>
      </c>
      <c r="V857" t="s">
        <v>5800</v>
      </c>
      <c r="Y857" s="29" t="str">
        <f>IFERROR(HLOOKUP(U857,List!$D$2:$H$6,2,FALSE),"")</f>
        <v/>
      </c>
      <c r="Z857" s="29">
        <f>IFERROR(HLOOKUP(V857,List!$D$2:$H$6,3,FALSE),"")</f>
        <v>5.0000000000000001E-3</v>
      </c>
      <c r="AA857" s="29" t="str">
        <f>IFERROR(HLOOKUP(W857,List!$D$2:$H$6,4,FALSE),"")</f>
        <v/>
      </c>
      <c r="AB857" s="29" t="str">
        <f>IFERROR(HLOOKUP(X857,List!$D$2:$H$6,5,FALSE),"")</f>
        <v/>
      </c>
      <c r="AC857" s="12" t="str">
        <f t="shared" si="226"/>
        <v/>
      </c>
      <c r="AD857" s="12">
        <f t="shared" si="227"/>
        <v>0.85385655316809206</v>
      </c>
      <c r="AE857" s="12" t="str">
        <f t="shared" si="228"/>
        <v/>
      </c>
      <c r="AF857" s="12" t="str">
        <f t="shared" si="229"/>
        <v/>
      </c>
      <c r="AG857" t="str">
        <f>VLOOKUP(J857,'Receivable Invoice Detail'!$A$1:F3869,6,FALSE)</f>
        <v>[OLPWZ011007B, G-A04951A220] Bearing Isolator (Inboard), 3196 LTX/LTi, 303SS Rotor / Bronze Stator w/Viton</v>
      </c>
      <c r="AM857" s="12" t="str">
        <f t="shared" si="230"/>
        <v/>
      </c>
      <c r="AN857" s="12">
        <f t="shared" si="231"/>
        <v>0.85385655316809206</v>
      </c>
      <c r="AO857" s="12" t="str">
        <f t="shared" si="232"/>
        <v/>
      </c>
      <c r="AP857" s="12" t="str">
        <f t="shared" si="233"/>
        <v/>
      </c>
      <c r="AQ857" s="64">
        <f t="shared" si="238"/>
        <v>2504</v>
      </c>
      <c r="AR857" t="s">
        <v>5931</v>
      </c>
      <c r="AS857" s="12">
        <f t="shared" si="236"/>
        <v>0</v>
      </c>
      <c r="AT857" s="16" t="str">
        <f t="shared" si="237"/>
        <v/>
      </c>
    </row>
    <row r="858" spans="1:46" hidden="1" x14ac:dyDescent="0.25">
      <c r="A858" s="41">
        <f>CASOPOInvCL!T858</f>
        <v>1</v>
      </c>
      <c r="B858" t="str">
        <f>CASOPOInvCL!Z858</f>
        <v>SO17686</v>
      </c>
      <c r="D858" t="s">
        <v>5915</v>
      </c>
      <c r="G858" s="5" t="str">
        <f>CASOPOInvCL!I858</f>
        <v>Wilka Nuñez</v>
      </c>
      <c r="H858" s="31">
        <f>CASOPOInvCL!U858</f>
        <v>8</v>
      </c>
      <c r="I858" s="31">
        <f>CASOPOInvCL!V858</f>
        <v>2025</v>
      </c>
      <c r="J858" s="5" t="str">
        <f>CASOPOInvCL!AB858</f>
        <v>INV13319</v>
      </c>
      <c r="K858" s="31">
        <f>CASOPOInvCL!W858</f>
        <v>9</v>
      </c>
      <c r="L858" s="31">
        <f>CASOPOInvCL!X858</f>
        <v>2025</v>
      </c>
      <c r="M858">
        <v>2503</v>
      </c>
      <c r="N858" s="5" t="str">
        <f>CASOPOInvCL!AF858</f>
        <v>FMI Products</v>
      </c>
      <c r="O858" s="16" t="str">
        <f>CASOPOInvCL!AG858</f>
        <v>CAD</v>
      </c>
      <c r="P858" s="16">
        <f>CASOPOInvCL!AH858</f>
        <v>1662.14</v>
      </c>
      <c r="Q858" s="16">
        <f>CASOPOInvCL!AI858</f>
        <v>1203.0210227444472</v>
      </c>
      <c r="R858" s="32" t="str">
        <f>CASOPOInvCL!AU858</f>
        <v>Yes</v>
      </c>
      <c r="S858" s="16">
        <f>CASOPOInvCL!AV858</f>
        <v>0</v>
      </c>
      <c r="T858" s="16">
        <f>CASOPOInvCL!AW858</f>
        <v>1203.0210227444472</v>
      </c>
      <c r="V858" t="s">
        <v>5800</v>
      </c>
      <c r="Y858" s="29" t="str">
        <f>IFERROR(HLOOKUP(U858,List!$D$2:$H$6,2,FALSE),"")</f>
        <v/>
      </c>
      <c r="Z858" s="29">
        <f>IFERROR(HLOOKUP(V858,List!$D$2:$H$6,3,FALSE),"")</f>
        <v>5.0000000000000001E-3</v>
      </c>
      <c r="AA858" s="29" t="str">
        <f>IFERROR(HLOOKUP(W858,List!$D$2:$H$6,4,FALSE),"")</f>
        <v/>
      </c>
      <c r="AB858" s="29" t="str">
        <f>IFERROR(HLOOKUP(X858,List!$D$2:$H$6,5,FALSE),"")</f>
        <v/>
      </c>
      <c r="AC858" s="12" t="str">
        <f t="shared" si="226"/>
        <v/>
      </c>
      <c r="AD858" s="12">
        <f t="shared" si="227"/>
        <v>6.0151051137222362</v>
      </c>
      <c r="AE858" s="12" t="str">
        <f t="shared" si="228"/>
        <v/>
      </c>
      <c r="AF858" s="12" t="str">
        <f t="shared" si="229"/>
        <v/>
      </c>
      <c r="AG858" t="str">
        <f>VLOOKUP(J858,'Receivable Invoice Detail'!$A$1:F3870,6,FALSE)</f>
        <v>[G-247-42 1012] Casing, 2x3-8, 3196 MTX, Ductile Iron</v>
      </c>
      <c r="AJ858">
        <v>2503</v>
      </c>
      <c r="AM858" s="12" t="str">
        <f t="shared" si="230"/>
        <v/>
      </c>
      <c r="AN858" s="12">
        <f t="shared" si="231"/>
        <v>0</v>
      </c>
      <c r="AO858" s="12" t="str">
        <f t="shared" si="232"/>
        <v/>
      </c>
      <c r="AP858" s="12" t="str">
        <f t="shared" si="233"/>
        <v/>
      </c>
      <c r="AQ858" s="64">
        <f t="shared" si="238"/>
        <v>2503</v>
      </c>
      <c r="AR858" t="s">
        <v>5931</v>
      </c>
      <c r="AS858" s="12">
        <f t="shared" si="236"/>
        <v>0</v>
      </c>
      <c r="AT858" s="16" t="str">
        <f t="shared" si="237"/>
        <v/>
      </c>
    </row>
    <row r="859" spans="1:46" hidden="1" x14ac:dyDescent="0.25">
      <c r="A859" s="41">
        <f>CASOPOInvCL!T859</f>
        <v>1</v>
      </c>
      <c r="B859" t="str">
        <f>CASOPOInvCL!Z859</f>
        <v>SO17689</v>
      </c>
      <c r="D859" t="s">
        <v>5851</v>
      </c>
      <c r="G859" s="5" t="str">
        <f>CASOPOInvCL!I859</f>
        <v>Ian Trottier</v>
      </c>
      <c r="H859" s="31">
        <f>CASOPOInvCL!U859</f>
        <v>8</v>
      </c>
      <c r="I859" s="31">
        <f>CASOPOInvCL!V859</f>
        <v>2025</v>
      </c>
      <c r="J859" s="5" t="str">
        <f>CASOPOInvCL!AB859</f>
        <v>INV13312</v>
      </c>
      <c r="K859" s="31">
        <f>CASOPOInvCL!W859</f>
        <v>9</v>
      </c>
      <c r="L859" s="31">
        <f>CASOPOInvCL!X859</f>
        <v>2025</v>
      </c>
      <c r="M859">
        <v>2503</v>
      </c>
      <c r="N859" s="5" t="str">
        <f>CASOPOInvCL!AF859</f>
        <v>Motion Industries Inc. (Canada) - Winnipeg</v>
      </c>
      <c r="O859" s="16" t="str">
        <f>CASOPOInvCL!AG859</f>
        <v>CAD</v>
      </c>
      <c r="P859" s="16">
        <f>CASOPOInvCL!AH859</f>
        <v>121.61</v>
      </c>
      <c r="Q859" s="16">
        <f>CASOPOInvCL!AI859</f>
        <v>88.062622005192878</v>
      </c>
      <c r="R859" s="32" t="str">
        <f>CASOPOInvCL!AU859</f>
        <v>Yes</v>
      </c>
      <c r="S859" s="16">
        <f>CASOPOInvCL!AV859</f>
        <v>0</v>
      </c>
      <c r="T859" s="16">
        <f>CASOPOInvCL!AW859</f>
        <v>88.062622005192878</v>
      </c>
      <c r="V859" t="s">
        <v>5800</v>
      </c>
      <c r="Y859" s="29" t="str">
        <f>IFERROR(HLOOKUP(U859,List!$D$2:$H$6,2,FALSE),"")</f>
        <v/>
      </c>
      <c r="Z859" s="29">
        <f>IFERROR(HLOOKUP(V859,List!$D$2:$H$6,3,FALSE),"")</f>
        <v>5.0000000000000001E-3</v>
      </c>
      <c r="AA859" s="29" t="str">
        <f>IFERROR(HLOOKUP(W859,List!$D$2:$H$6,4,FALSE),"")</f>
        <v/>
      </c>
      <c r="AB859" s="29" t="str">
        <f>IFERROR(HLOOKUP(X859,List!$D$2:$H$6,5,FALSE),"")</f>
        <v/>
      </c>
      <c r="AC859" s="12" t="str">
        <f t="shared" si="226"/>
        <v/>
      </c>
      <c r="AD859" s="12">
        <f t="shared" si="227"/>
        <v>0.4403131100259644</v>
      </c>
      <c r="AE859" s="12" t="str">
        <f t="shared" si="228"/>
        <v/>
      </c>
      <c r="AF859" s="12" t="str">
        <f t="shared" si="229"/>
        <v/>
      </c>
      <c r="AG859" t="str">
        <f>VLOOKUP(J859,'Receivable Invoice Detail'!$A$1:F3871,6,FALSE)</f>
        <v>[DU-SA3211AA00-TFR] Impeller Gasket, Durco Mark 2 Group 1, Teflon/Rubber</v>
      </c>
      <c r="AJ859">
        <v>2503</v>
      </c>
      <c r="AM859" s="12" t="str">
        <f t="shared" si="230"/>
        <v/>
      </c>
      <c r="AN859" s="12">
        <f t="shared" si="231"/>
        <v>0</v>
      </c>
      <c r="AO859" s="12" t="str">
        <f t="shared" si="232"/>
        <v/>
      </c>
      <c r="AP859" s="12" t="str">
        <f t="shared" si="233"/>
        <v/>
      </c>
      <c r="AQ859" s="64">
        <f t="shared" si="238"/>
        <v>2503</v>
      </c>
      <c r="AR859" t="s">
        <v>5931</v>
      </c>
      <c r="AS859" s="12">
        <f t="shared" si="236"/>
        <v>0</v>
      </c>
      <c r="AT859" s="16" t="str">
        <f t="shared" si="237"/>
        <v>Yes</v>
      </c>
    </row>
    <row r="860" spans="1:46" hidden="1" x14ac:dyDescent="0.25">
      <c r="A860" s="41">
        <f>CASOPOInvCL!T860</f>
        <v>1</v>
      </c>
      <c r="B860" t="str">
        <f>CASOPOInvCL!Z860</f>
        <v>SO17690</v>
      </c>
      <c r="D860" t="s">
        <v>5851</v>
      </c>
      <c r="G860" s="5" t="str">
        <f>CASOPOInvCL!I860</f>
        <v>Alexis Gil Lamadrid</v>
      </c>
      <c r="H860" s="31">
        <f>CASOPOInvCL!U860</f>
        <v>8</v>
      </c>
      <c r="I860" s="31">
        <f>CASOPOInvCL!V860</f>
        <v>2025</v>
      </c>
      <c r="J860" s="5" t="str">
        <f>CASOPOInvCL!AB860</f>
        <v>INV13318</v>
      </c>
      <c r="K860" s="31">
        <f>CASOPOInvCL!W860</f>
        <v>8</v>
      </c>
      <c r="L860" s="31">
        <f>CASOPOInvCL!X860</f>
        <v>2025</v>
      </c>
      <c r="M860">
        <v>2503</v>
      </c>
      <c r="N860" s="5" t="str">
        <f>CASOPOInvCL!AF860</f>
        <v>Alpha Industrial &amp; Mining Supplies Limited</v>
      </c>
      <c r="O860" s="16" t="str">
        <f>CASOPOInvCL!AG860</f>
        <v>CAD</v>
      </c>
      <c r="P860" s="16">
        <f>CASOPOInvCL!AH860</f>
        <v>1859.15</v>
      </c>
      <c r="Q860" s="16">
        <f>CASOPOInvCL!AI860</f>
        <v>1345.6126044950124</v>
      </c>
      <c r="R860" s="32" t="str">
        <f>CASOPOInvCL!AU860</f>
        <v>Yes</v>
      </c>
      <c r="S860" s="16">
        <f>CASOPOInvCL!AV860</f>
        <v>0</v>
      </c>
      <c r="T860" s="16">
        <f>CASOPOInvCL!AW860</f>
        <v>1345.6126044950124</v>
      </c>
      <c r="V860" t="s">
        <v>5800</v>
      </c>
      <c r="Y860" s="29" t="str">
        <f>IFERROR(HLOOKUP(U860,List!$D$2:$H$6,2,FALSE),"")</f>
        <v/>
      </c>
      <c r="Z860" s="29">
        <f>IFERROR(HLOOKUP(V860,List!$D$2:$H$6,3,FALSE),"")</f>
        <v>5.0000000000000001E-3</v>
      </c>
      <c r="AA860" s="29" t="str">
        <f>IFERROR(HLOOKUP(W860,List!$D$2:$H$6,4,FALSE),"")</f>
        <v/>
      </c>
      <c r="AB860" s="29" t="str">
        <f>IFERROR(HLOOKUP(X860,List!$D$2:$H$6,5,FALSE),"")</f>
        <v/>
      </c>
      <c r="AC860" s="12" t="str">
        <f t="shared" si="226"/>
        <v/>
      </c>
      <c r="AD860" s="12">
        <f t="shared" si="227"/>
        <v>6.7280630224750624</v>
      </c>
      <c r="AE860" s="12" t="str">
        <f t="shared" si="228"/>
        <v/>
      </c>
      <c r="AF860" s="12" t="str">
        <f t="shared" si="229"/>
        <v/>
      </c>
      <c r="AG860" t="str">
        <f>VLOOKUP(J860,'Receivable Invoice Detail'!$A$1:F3872,6,FALSE)</f>
        <v>[SA-013733-M1] Wear Disc, 44 WFR, Sala STGVA-180, Steel, Rubber Lined</v>
      </c>
      <c r="AJ860">
        <v>2503</v>
      </c>
      <c r="AM860" s="12" t="str">
        <f t="shared" si="230"/>
        <v/>
      </c>
      <c r="AN860" s="12">
        <f t="shared" si="231"/>
        <v>0</v>
      </c>
      <c r="AO860" s="12" t="str">
        <f t="shared" si="232"/>
        <v/>
      </c>
      <c r="AP860" s="12" t="str">
        <f t="shared" si="233"/>
        <v/>
      </c>
      <c r="AQ860" s="64">
        <f t="shared" si="238"/>
        <v>2503</v>
      </c>
      <c r="AR860" t="s">
        <v>5931</v>
      </c>
      <c r="AS860" s="12">
        <f t="shared" si="236"/>
        <v>0</v>
      </c>
      <c r="AT860" s="16" t="str">
        <f t="shared" si="237"/>
        <v>Yes</v>
      </c>
    </row>
    <row r="861" spans="1:46" hidden="1" x14ac:dyDescent="0.25">
      <c r="A861" s="41">
        <f>CASOPOInvCL!T861</f>
        <v>1</v>
      </c>
      <c r="B861" t="str">
        <f>CASOPOInvCL!Z861</f>
        <v>SO17691</v>
      </c>
      <c r="D861" t="s">
        <v>5851</v>
      </c>
      <c r="G861" s="5" t="str">
        <f>CASOPOInvCL!I861</f>
        <v>Alexis Gil Lamadrid</v>
      </c>
      <c r="H861" s="31">
        <f>CASOPOInvCL!U861</f>
        <v>8</v>
      </c>
      <c r="I861" s="31">
        <f>CASOPOInvCL!V861</f>
        <v>2025</v>
      </c>
      <c r="J861" s="5" t="str">
        <f>CASOPOInvCL!AB861</f>
        <v>INV13320</v>
      </c>
      <c r="K861" s="31">
        <f>CASOPOInvCL!W861</f>
        <v>9</v>
      </c>
      <c r="L861" s="31">
        <f>CASOPOInvCL!X861</f>
        <v>2025</v>
      </c>
      <c r="M861">
        <v>2503</v>
      </c>
      <c r="N861" s="5" t="str">
        <f>CASOPOInvCL!AF861</f>
        <v>FMI Products</v>
      </c>
      <c r="O861" s="16" t="str">
        <f>CASOPOInvCL!AG861</f>
        <v>CAD</v>
      </c>
      <c r="P861" s="16">
        <f>CASOPOInvCL!AH861</f>
        <v>113.04</v>
      </c>
      <c r="Q861" s="16">
        <f>CASOPOInvCL!AI861</f>
        <v>81.815909857793173</v>
      </c>
      <c r="R861" s="32" t="str">
        <f>CASOPOInvCL!AU861</f>
        <v>Yes</v>
      </c>
      <c r="S861" s="16">
        <f>CASOPOInvCL!AV861</f>
        <v>0</v>
      </c>
      <c r="T861" s="16">
        <f>CASOPOInvCL!AW861</f>
        <v>81.815909857793173</v>
      </c>
      <c r="V861" t="s">
        <v>5800</v>
      </c>
      <c r="Y861" s="29" t="str">
        <f>IFERROR(HLOOKUP(U861,List!$D$2:$H$6,2,FALSE),"")</f>
        <v/>
      </c>
      <c r="Z861" s="29">
        <f>IFERROR(HLOOKUP(V861,List!$D$2:$H$6,3,FALSE),"")</f>
        <v>5.0000000000000001E-3</v>
      </c>
      <c r="AA861" s="29" t="str">
        <f>IFERROR(HLOOKUP(W861,List!$D$2:$H$6,4,FALSE),"")</f>
        <v/>
      </c>
      <c r="AB861" s="29" t="str">
        <f>IFERROR(HLOOKUP(X861,List!$D$2:$H$6,5,FALSE),"")</f>
        <v/>
      </c>
      <c r="AC861" s="12" t="str">
        <f t="shared" si="226"/>
        <v/>
      </c>
      <c r="AD861" s="12">
        <f t="shared" si="227"/>
        <v>0.40907954928896589</v>
      </c>
      <c r="AE861" s="12" t="str">
        <f t="shared" si="228"/>
        <v/>
      </c>
      <c r="AF861" s="12" t="str">
        <f t="shared" si="229"/>
        <v/>
      </c>
      <c r="AG861" t="str">
        <f>VLOOKUP(J861,'Receivable Invoice Detail'!$A$1:F3873,6,FALSE)</f>
        <v>[G-70782 20 5127] Casing Gasket, 7/8", 3196 MTX, Durlon 8500</v>
      </c>
      <c r="AJ861">
        <v>2503</v>
      </c>
      <c r="AM861" s="12" t="str">
        <f t="shared" si="230"/>
        <v/>
      </c>
      <c r="AN861" s="12">
        <f t="shared" si="231"/>
        <v>0</v>
      </c>
      <c r="AO861" s="12" t="str">
        <f t="shared" si="232"/>
        <v/>
      </c>
      <c r="AP861" s="12" t="str">
        <f t="shared" si="233"/>
        <v/>
      </c>
      <c r="AQ861" s="64">
        <f t="shared" si="238"/>
        <v>2503</v>
      </c>
      <c r="AR861" t="s">
        <v>5931</v>
      </c>
      <c r="AS861" s="12">
        <f t="shared" si="236"/>
        <v>11.746711504983098</v>
      </c>
      <c r="AT861" s="16" t="str">
        <f t="shared" si="237"/>
        <v>Yes</v>
      </c>
    </row>
    <row r="862" spans="1:46" hidden="1" x14ac:dyDescent="0.25">
      <c r="A862" s="41">
        <f>CASOPOInvCL!T862</f>
        <v>1</v>
      </c>
      <c r="B862" t="str">
        <f>CASOPOInvCL!Z862</f>
        <v>SO17692</v>
      </c>
      <c r="G862" s="5" t="str">
        <f>CASOPOInvCL!I862</f>
        <v>Ian Trottier</v>
      </c>
      <c r="H862" s="31">
        <f>CASOPOInvCL!U862</f>
        <v>8</v>
      </c>
      <c r="I862" s="31">
        <f>CASOPOInvCL!V862</f>
        <v>2025</v>
      </c>
      <c r="J862" s="5" t="str">
        <f>CASOPOInvCL!AB862</f>
        <v>INV13439</v>
      </c>
      <c r="K862" s="31" t="str">
        <f>CASOPOInvCL!W862</f>
        <v/>
      </c>
      <c r="L862" s="31" t="str">
        <f>CASOPOInvCL!X862</f>
        <v/>
      </c>
      <c r="M862" s="31"/>
      <c r="N862" s="5" t="str">
        <f>CASOPOInvCL!AF862</f>
        <v>Les Pompes du St-Laurent Inc.</v>
      </c>
      <c r="O862" s="16" t="str">
        <f>CASOPOInvCL!AG862</f>
        <v>CAD</v>
      </c>
      <c r="P862" s="16">
        <f>CASOPOInvCL!AH862</f>
        <v>6175.4</v>
      </c>
      <c r="Q862" s="16">
        <f>CASOPOInvCL!AI862</f>
        <v>4463.704466125283</v>
      </c>
      <c r="R862" s="32" t="str">
        <f>CASOPOInvCL!AU862</f>
        <v/>
      </c>
      <c r="S862" s="16">
        <f>CASOPOInvCL!AV862</f>
        <v>0</v>
      </c>
      <c r="T862" s="16">
        <f>CASOPOInvCL!AW862</f>
        <v>0</v>
      </c>
      <c r="Y862" s="29" t="str">
        <f>IFERROR(HLOOKUP(U862,List!$D$2:$H$6,2,FALSE),"")</f>
        <v/>
      </c>
      <c r="Z862" s="29" t="str">
        <f>IFERROR(HLOOKUP(V862,List!$D$2:$H$6,3,FALSE),"")</f>
        <v/>
      </c>
      <c r="AA862" s="29" t="str">
        <f>IFERROR(HLOOKUP(W862,List!$D$2:$H$6,4,FALSE),"")</f>
        <v/>
      </c>
      <c r="AB862" s="29" t="str">
        <f>IFERROR(HLOOKUP(X862,List!$D$2:$H$6,5,FALSE),"")</f>
        <v/>
      </c>
      <c r="AC862" s="12" t="str">
        <f t="shared" si="226"/>
        <v/>
      </c>
      <c r="AD862" s="12" t="str">
        <f t="shared" si="227"/>
        <v/>
      </c>
      <c r="AE862" s="12" t="str">
        <f t="shared" si="228"/>
        <v/>
      </c>
      <c r="AF862" s="12" t="str">
        <f t="shared" si="229"/>
        <v/>
      </c>
      <c r="AG862" t="e">
        <f>VLOOKUP(J862,'Receivable Invoice Detail'!$A$1:F3874,6,FALSE)</f>
        <v>#N/A</v>
      </c>
      <c r="AM862" s="12" t="str">
        <f t="shared" si="230"/>
        <v/>
      </c>
      <c r="AN862" s="12" t="str">
        <f t="shared" si="231"/>
        <v/>
      </c>
      <c r="AO862" s="12" t="str">
        <f t="shared" si="232"/>
        <v/>
      </c>
      <c r="AP862" s="12" t="str">
        <f t="shared" si="233"/>
        <v/>
      </c>
      <c r="AQ862" s="12"/>
      <c r="AS862" s="12">
        <f t="shared" si="236"/>
        <v>2.5615696595042761</v>
      </c>
      <c r="AT862" s="16" t="str">
        <f t="shared" si="237"/>
        <v>Yes</v>
      </c>
    </row>
    <row r="863" spans="1:46" hidden="1" x14ac:dyDescent="0.25">
      <c r="A863" s="41">
        <f>CASOPOInvCL!T863</f>
        <v>1</v>
      </c>
      <c r="B863" t="str">
        <f>CASOPOInvCL!Z863</f>
        <v>SO17693</v>
      </c>
      <c r="G863" s="5" t="str">
        <f>CASOPOInvCL!I863</f>
        <v>Ian Trottier</v>
      </c>
      <c r="H863" s="31">
        <f>CASOPOInvCL!U863</f>
        <v>8</v>
      </c>
      <c r="I863" s="31">
        <f>CASOPOInvCL!V863</f>
        <v>2025</v>
      </c>
      <c r="J863" s="5" t="str">
        <f>CASOPOInvCL!AB863</f>
        <v>INV13528</v>
      </c>
      <c r="K863" s="31">
        <f>CASOPOInvCL!W863</f>
        <v>12</v>
      </c>
      <c r="L863" s="31">
        <f>CASOPOInvCL!X863</f>
        <v>2025</v>
      </c>
      <c r="M863" s="31"/>
      <c r="N863" s="5" t="str">
        <f>CASOPOInvCL!AF863</f>
        <v>Thunder Bay Pulp and Paper Inc</v>
      </c>
      <c r="O863" s="16" t="str">
        <f>CASOPOInvCL!AG863</f>
        <v>CAD</v>
      </c>
      <c r="P863" s="16">
        <f>CASOPOInvCL!AH863</f>
        <v>4128.78</v>
      </c>
      <c r="Q863" s="16">
        <f>CASOPOInvCL!AI863</f>
        <v>2989.8132759032987</v>
      </c>
      <c r="R863" s="32" t="str">
        <f>CASOPOInvCL!AU863</f>
        <v>Yes</v>
      </c>
      <c r="S863" s="16">
        <f>CASOPOInvCL!AV863</f>
        <v>0</v>
      </c>
      <c r="T863" s="16">
        <f>CASOPOInvCL!AW863</f>
        <v>2989.8132759032987</v>
      </c>
      <c r="Y863" s="29" t="str">
        <f>IFERROR(HLOOKUP(U863,List!$D$2:$H$6,2,FALSE),"")</f>
        <v/>
      </c>
      <c r="Z863" s="29" t="str">
        <f>IFERROR(HLOOKUP(V863,List!$D$2:$H$6,3,FALSE),"")</f>
        <v/>
      </c>
      <c r="AA863" s="29" t="str">
        <f>IFERROR(HLOOKUP(W863,List!$D$2:$H$6,4,FALSE),"")</f>
        <v/>
      </c>
      <c r="AB863" s="29" t="str">
        <f>IFERROR(HLOOKUP(X863,List!$D$2:$H$6,5,FALSE),"")</f>
        <v/>
      </c>
      <c r="AC863" s="12" t="str">
        <f t="shared" si="226"/>
        <v/>
      </c>
      <c r="AD863" s="12" t="str">
        <f t="shared" si="227"/>
        <v/>
      </c>
      <c r="AE863" s="12" t="str">
        <f t="shared" si="228"/>
        <v/>
      </c>
      <c r="AF863" s="12" t="str">
        <f t="shared" si="229"/>
        <v/>
      </c>
      <c r="AG863" t="str">
        <f>VLOOKUP(J863,'Receivable Invoice Detail'!$A$1:F3875,6,FALSE)</f>
        <v>[AC-98-431-614-007] Impeller, 6x3-14, PWO, 317SS</v>
      </c>
      <c r="AM863" s="12" t="str">
        <f t="shared" si="230"/>
        <v/>
      </c>
      <c r="AN863" s="12" t="str">
        <f t="shared" si="231"/>
        <v/>
      </c>
      <c r="AO863" s="12" t="str">
        <f t="shared" si="232"/>
        <v/>
      </c>
      <c r="AP863" s="12" t="str">
        <f t="shared" si="233"/>
        <v/>
      </c>
      <c r="AQ863" s="12"/>
      <c r="AS863" s="12">
        <f t="shared" si="236"/>
        <v>18.04531534116671</v>
      </c>
      <c r="AT863" s="16" t="str">
        <f t="shared" si="237"/>
        <v>Yes</v>
      </c>
    </row>
    <row r="864" spans="1:46" hidden="1" x14ac:dyDescent="0.25">
      <c r="A864" s="41">
        <f>CASOPOInvCL!T864</f>
        <v>1</v>
      </c>
      <c r="B864" t="str">
        <f>CASOPOInvCL!Z864</f>
        <v>SO17695</v>
      </c>
      <c r="D864" t="s">
        <v>5851</v>
      </c>
      <c r="G864" s="5" t="str">
        <f>CASOPOInvCL!I864</f>
        <v>Marlen Martinez</v>
      </c>
      <c r="H864" s="31">
        <f>CASOPOInvCL!U864</f>
        <v>8</v>
      </c>
      <c r="I864" s="31">
        <f>CASOPOInvCL!V864</f>
        <v>2025</v>
      </c>
      <c r="J864" s="5" t="str">
        <f>CASOPOInvCL!AB864</f>
        <v>INV13344</v>
      </c>
      <c r="K864" s="31">
        <f>CASOPOInvCL!W864</f>
        <v>10</v>
      </c>
      <c r="L864" s="31">
        <f>CASOPOInvCL!X864</f>
        <v>2025</v>
      </c>
      <c r="M864">
        <v>2504</v>
      </c>
      <c r="N864" s="5" t="str">
        <f>CASOPOInvCL!AF864</f>
        <v>Flowstar Industrial Inc</v>
      </c>
      <c r="O864" s="16" t="str">
        <f>CASOPOInvCL!AG864</f>
        <v>CAD</v>
      </c>
      <c r="P864" s="16">
        <f>CASOPOInvCL!AH864</f>
        <v>160</v>
      </c>
      <c r="Q864" s="16">
        <f>CASOPOInvCL!AI864</f>
        <v>115.43964553373166</v>
      </c>
      <c r="R864" s="32" t="str">
        <f>CASOPOInvCL!AU864</f>
        <v>Yes</v>
      </c>
      <c r="S864" s="16">
        <f>CASOPOInvCL!AV864</f>
        <v>0</v>
      </c>
      <c r="T864" s="16">
        <f>CASOPOInvCL!AW864</f>
        <v>115.43964553373166</v>
      </c>
      <c r="V864" t="s">
        <v>5800</v>
      </c>
      <c r="Y864" s="29" t="str">
        <f>IFERROR(HLOOKUP(U864,List!$D$2:$H$6,2,FALSE),"")</f>
        <v/>
      </c>
      <c r="Z864" s="29">
        <f>IFERROR(HLOOKUP(V864,List!$D$2:$H$6,3,FALSE),"")</f>
        <v>5.0000000000000001E-3</v>
      </c>
      <c r="AA864" s="29" t="str">
        <f>IFERROR(HLOOKUP(W864,List!$D$2:$H$6,4,FALSE),"")</f>
        <v/>
      </c>
      <c r="AB864" s="29" t="str">
        <f>IFERROR(HLOOKUP(X864,List!$D$2:$H$6,5,FALSE),"")</f>
        <v/>
      </c>
      <c r="AC864" s="12" t="str">
        <f t="shared" si="226"/>
        <v/>
      </c>
      <c r="AD864" s="12">
        <f t="shared" si="227"/>
        <v>0.57719822766865836</v>
      </c>
      <c r="AE864" s="12" t="str">
        <f t="shared" si="228"/>
        <v/>
      </c>
      <c r="AF864" s="12" t="str">
        <f t="shared" si="229"/>
        <v/>
      </c>
      <c r="AG864" t="str">
        <f>VLOOKUP(J864,'Receivable Invoice Detail'!$A$1:F3876,6,FALSE)</f>
        <v>[M12*45, W-D045M] Gland Bolt w/Nut &amp; Washer, 4/3 or 6/4 D-AH</v>
      </c>
      <c r="AM864" s="12" t="str">
        <f t="shared" si="230"/>
        <v/>
      </c>
      <c r="AN864" s="12">
        <f t="shared" si="231"/>
        <v>0.57719822766865836</v>
      </c>
      <c r="AO864" s="12" t="str">
        <f t="shared" si="232"/>
        <v/>
      </c>
      <c r="AP864" s="12" t="str">
        <f t="shared" si="233"/>
        <v/>
      </c>
      <c r="AQ864" s="64">
        <f>M864</f>
        <v>2504</v>
      </c>
      <c r="AR864" t="s">
        <v>5931</v>
      </c>
      <c r="AS864" s="12">
        <f t="shared" si="236"/>
        <v>1.3209393300778931</v>
      </c>
      <c r="AT864" s="16" t="str">
        <f t="shared" si="237"/>
        <v>Yes</v>
      </c>
    </row>
    <row r="865" spans="1:46" hidden="1" x14ac:dyDescent="0.25">
      <c r="A865" s="41">
        <f>CASOPOInvCL!T865</f>
        <v>4</v>
      </c>
      <c r="B865" t="str">
        <f>CASOPOInvCL!Z865</f>
        <v>SO17696</v>
      </c>
      <c r="G865" s="5" t="str">
        <f>CASOPOInvCL!I865</f>
        <v>Ian Trottier</v>
      </c>
      <c r="H865" s="31">
        <f>CASOPOInvCL!U865</f>
        <v>8</v>
      </c>
      <c r="I865" s="31">
        <f>CASOPOInvCL!V865</f>
        <v>2025</v>
      </c>
      <c r="J865" s="5" t="str">
        <f>CASOPOInvCL!AB865</f>
        <v>INV13752</v>
      </c>
      <c r="K865" s="31" t="str">
        <f>CASOPOInvCL!W865</f>
        <v/>
      </c>
      <c r="L865" s="31" t="str">
        <f>CASOPOInvCL!X865</f>
        <v/>
      </c>
      <c r="M865" s="31"/>
      <c r="N865" s="5" t="str">
        <f>CASOPOInvCL!AF865</f>
        <v>Kumtor Gold Company</v>
      </c>
      <c r="O865" s="16" t="str">
        <f>CASOPOInvCL!AG865</f>
        <v>USD</v>
      </c>
      <c r="P865" s="16">
        <f>CASOPOInvCL!AH865</f>
        <v>70310.288679416393</v>
      </c>
      <c r="Q865" s="16">
        <f>CASOPOInvCL!AI865</f>
        <v>51109.05</v>
      </c>
      <c r="R865" s="32" t="str">
        <f>CASOPOInvCL!AU865</f>
        <v/>
      </c>
      <c r="S865" s="16">
        <f>CASOPOInvCL!AV865</f>
        <v>0</v>
      </c>
      <c r="T865" s="16">
        <f>CASOPOInvCL!AW865</f>
        <v>0</v>
      </c>
      <c r="Y865" s="29" t="str">
        <f>IFERROR(HLOOKUP(U865,List!$D$2:$H$6,2,FALSE),"")</f>
        <v/>
      </c>
      <c r="Z865" s="29" t="str">
        <f>IFERROR(HLOOKUP(V865,List!$D$2:$H$6,3,FALSE),"")</f>
        <v/>
      </c>
      <c r="AA865" s="29" t="str">
        <f>IFERROR(HLOOKUP(W865,List!$D$2:$H$6,4,FALSE),"")</f>
        <v/>
      </c>
      <c r="AB865" s="29" t="str">
        <f>IFERROR(HLOOKUP(X865,List!$D$2:$H$6,5,FALSE),"")</f>
        <v/>
      </c>
      <c r="AC865" s="12" t="str">
        <f t="shared" si="226"/>
        <v/>
      </c>
      <c r="AD865" s="12" t="str">
        <f t="shared" si="227"/>
        <v/>
      </c>
      <c r="AE865" s="12" t="str">
        <f t="shared" si="228"/>
        <v/>
      </c>
      <c r="AF865" s="12" t="str">
        <f t="shared" si="229"/>
        <v/>
      </c>
      <c r="AG865" t="str">
        <f>VLOOKUP(J865,'Receivable Invoice Detail'!$A$1:F3877,6,FALSE)</f>
        <v>[SA-13576-M1] Casing, Sala STHM, 33-WFR, High Chrome</v>
      </c>
      <c r="AM865" s="12" t="str">
        <f t="shared" si="230"/>
        <v/>
      </c>
      <c r="AN865" s="12" t="str">
        <f t="shared" si="231"/>
        <v/>
      </c>
      <c r="AO865" s="12" t="str">
        <f t="shared" si="232"/>
        <v/>
      </c>
      <c r="AP865" s="12" t="str">
        <f t="shared" si="233"/>
        <v/>
      </c>
      <c r="AQ865" s="12"/>
      <c r="AS865" s="12">
        <f t="shared" si="236"/>
        <v>20.184189067425187</v>
      </c>
      <c r="AT865" s="16" t="str">
        <f t="shared" si="237"/>
        <v/>
      </c>
    </row>
    <row r="866" spans="1:46" hidden="1" x14ac:dyDescent="0.25">
      <c r="A866" s="41">
        <f>CASOPOInvCL!T866</f>
        <v>4</v>
      </c>
      <c r="B866" t="str">
        <f>CASOPOInvCL!Z866</f>
        <v>SO17696</v>
      </c>
      <c r="G866" s="5">
        <f>CASOPOInvCL!I866</f>
        <v>0</v>
      </c>
      <c r="H866" s="31">
        <f>CASOPOInvCL!U866</f>
        <v>8</v>
      </c>
      <c r="I866" s="31">
        <f>CASOPOInvCL!V866</f>
        <v>2025</v>
      </c>
      <c r="J866" s="5" t="str">
        <f>CASOPOInvCL!AB866</f>
        <v>(* 80548)</v>
      </c>
      <c r="K866" s="31" t="str">
        <f>CASOPOInvCL!W866</f>
        <v/>
      </c>
      <c r="L866" s="31" t="str">
        <f>CASOPOInvCL!X866</f>
        <v/>
      </c>
      <c r="M866" s="31"/>
      <c r="N866" s="5" t="str">
        <f>CASOPOInvCL!AF866</f>
        <v>Kumtor Gold Company</v>
      </c>
      <c r="O866" s="16" t="str">
        <f>CASOPOInvCL!AG866</f>
        <v>USD</v>
      </c>
      <c r="P866" s="16">
        <f>CASOPOInvCL!AH866</f>
        <v>0</v>
      </c>
      <c r="Q866" s="16">
        <f>CASOPOInvCL!AI866</f>
        <v>0</v>
      </c>
      <c r="R866" s="32" t="str">
        <f>CASOPOInvCL!AU866</f>
        <v/>
      </c>
      <c r="S866" s="16">
        <f>CASOPOInvCL!AV866</f>
        <v>0</v>
      </c>
      <c r="T866" s="16">
        <f>CASOPOInvCL!AW866</f>
        <v>0</v>
      </c>
      <c r="Y866" s="29" t="str">
        <f>IFERROR(HLOOKUP(U866,List!$D$2:$H$6,2,FALSE),"")</f>
        <v/>
      </c>
      <c r="Z866" s="29" t="str">
        <f>IFERROR(HLOOKUP(V866,List!$D$2:$H$6,3,FALSE),"")</f>
        <v/>
      </c>
      <c r="AA866" s="29" t="str">
        <f>IFERROR(HLOOKUP(W866,List!$D$2:$H$6,4,FALSE),"")</f>
        <v/>
      </c>
      <c r="AB866" s="29" t="str">
        <f>IFERROR(HLOOKUP(X866,List!$D$2:$H$6,5,FALSE),"")</f>
        <v/>
      </c>
      <c r="AC866" s="12" t="str">
        <f t="shared" si="226"/>
        <v/>
      </c>
      <c r="AD866" s="12" t="str">
        <f t="shared" si="227"/>
        <v/>
      </c>
      <c r="AE866" s="12" t="str">
        <f t="shared" si="228"/>
        <v/>
      </c>
      <c r="AF866" s="12" t="str">
        <f t="shared" si="229"/>
        <v/>
      </c>
      <c r="AG866" t="e">
        <f>VLOOKUP(J866,'Receivable Invoice Detail'!$A$1:F3878,6,FALSE)</f>
        <v>#N/A</v>
      </c>
      <c r="AM866" s="12" t="str">
        <f t="shared" si="230"/>
        <v/>
      </c>
      <c r="AN866" s="12" t="str">
        <f t="shared" si="231"/>
        <v/>
      </c>
      <c r="AO866" s="12" t="str">
        <f t="shared" si="232"/>
        <v/>
      </c>
      <c r="AP866" s="12" t="str">
        <f t="shared" si="233"/>
        <v/>
      </c>
      <c r="AQ866" s="12"/>
      <c r="AS866" s="12">
        <f t="shared" si="236"/>
        <v>1.2272386478668975</v>
      </c>
      <c r="AT866" s="16" t="str">
        <f t="shared" si="237"/>
        <v>Yes</v>
      </c>
    </row>
    <row r="867" spans="1:46" hidden="1" x14ac:dyDescent="0.25">
      <c r="A867" s="41">
        <f>CASOPOInvCL!T867</f>
        <v>4</v>
      </c>
      <c r="B867" t="str">
        <f>CASOPOInvCL!Z867</f>
        <v>SO17696</v>
      </c>
      <c r="G867" s="5">
        <f>CASOPOInvCL!I867</f>
        <v>0</v>
      </c>
      <c r="H867" s="31">
        <f>CASOPOInvCL!U867</f>
        <v>8</v>
      </c>
      <c r="I867" s="31">
        <f>CASOPOInvCL!V867</f>
        <v>2025</v>
      </c>
      <c r="J867" s="5" t="str">
        <f>CASOPOInvCL!AB867</f>
        <v>INV13423</v>
      </c>
      <c r="K867" s="31">
        <f>CASOPOInvCL!W867</f>
        <v>9</v>
      </c>
      <c r="L867" s="31">
        <f>CASOPOInvCL!X867</f>
        <v>2025</v>
      </c>
      <c r="M867" s="31"/>
      <c r="N867" s="5" t="str">
        <f>CASOPOInvCL!AF867</f>
        <v>Kumtor Gold Company</v>
      </c>
      <c r="O867" s="16" t="str">
        <f>CASOPOInvCL!AG867</f>
        <v>USD</v>
      </c>
      <c r="P867" s="16">
        <f>CASOPOInvCL!AH867</f>
        <v>0</v>
      </c>
      <c r="Q867" s="16">
        <f>CASOPOInvCL!AI867</f>
        <v>0</v>
      </c>
      <c r="R867" s="32" t="str">
        <f>CASOPOInvCL!AU867</f>
        <v/>
      </c>
      <c r="S867" s="16">
        <f>CASOPOInvCL!AV867</f>
        <v>0</v>
      </c>
      <c r="T867" s="16">
        <f>CASOPOInvCL!AW867</f>
        <v>0</v>
      </c>
      <c r="Y867" s="29" t="str">
        <f>IFERROR(HLOOKUP(U867,List!$D$2:$H$6,2,FALSE),"")</f>
        <v/>
      </c>
      <c r="Z867" s="29" t="str">
        <f>IFERROR(HLOOKUP(V867,List!$D$2:$H$6,3,FALSE),"")</f>
        <v/>
      </c>
      <c r="AA867" s="29" t="str">
        <f>IFERROR(HLOOKUP(W867,List!$D$2:$H$6,4,FALSE),"")</f>
        <v/>
      </c>
      <c r="AB867" s="29" t="str">
        <f>IFERROR(HLOOKUP(X867,List!$D$2:$H$6,5,FALSE),"")</f>
        <v/>
      </c>
      <c r="AC867" s="12" t="str">
        <f t="shared" si="226"/>
        <v/>
      </c>
      <c r="AD867" s="12" t="str">
        <f t="shared" si="227"/>
        <v/>
      </c>
      <c r="AE867" s="12" t="str">
        <f t="shared" si="228"/>
        <v/>
      </c>
      <c r="AF867" s="12" t="str">
        <f t="shared" si="229"/>
        <v/>
      </c>
      <c r="AG867" t="str">
        <f>VLOOKUP(J867,'Receivable Invoice Detail'!$A$1:F3879,6,FALSE)</f>
        <v>[Alternate P/N 567426, SA-013732-1 , 100518-1] Gland Side Casing, Sala STHM-33-WFR, Cast Iron</v>
      </c>
      <c r="AM867" s="12" t="str">
        <f t="shared" si="230"/>
        <v/>
      </c>
      <c r="AN867" s="12" t="str">
        <f t="shared" si="231"/>
        <v/>
      </c>
      <c r="AO867" s="12" t="str">
        <f t="shared" si="232"/>
        <v/>
      </c>
      <c r="AP867" s="12" t="str">
        <f t="shared" si="233"/>
        <v/>
      </c>
      <c r="AQ867" s="12"/>
      <c r="AS867" s="12">
        <f t="shared" si="236"/>
        <v>0</v>
      </c>
      <c r="AT867" s="16" t="str">
        <f t="shared" si="237"/>
        <v>Yes</v>
      </c>
    </row>
    <row r="868" spans="1:46" hidden="1" x14ac:dyDescent="0.25">
      <c r="A868" s="41">
        <f>CASOPOInvCL!T868</f>
        <v>4</v>
      </c>
      <c r="B868" t="str">
        <f>CASOPOInvCL!Z868</f>
        <v>SO17696</v>
      </c>
      <c r="C868" s="59"/>
      <c r="D868" s="59"/>
      <c r="E868" s="59"/>
      <c r="F868" s="59"/>
      <c r="G868" s="5">
        <f>CASOPOInvCL!I868</f>
        <v>0</v>
      </c>
      <c r="H868" s="31">
        <f>CASOPOInvCL!U868</f>
        <v>8</v>
      </c>
      <c r="I868" s="31">
        <f>CASOPOInvCL!V868</f>
        <v>2025</v>
      </c>
      <c r="J868" s="5" t="str">
        <f>CASOPOInvCL!AB868</f>
        <v>INV13499</v>
      </c>
      <c r="K868" s="31">
        <f>CASOPOInvCL!W868</f>
        <v>10</v>
      </c>
      <c r="L868" s="31">
        <f>CASOPOInvCL!X868</f>
        <v>2025</v>
      </c>
      <c r="M868" s="70"/>
      <c r="N868" s="5" t="str">
        <f>CASOPOInvCL!AF868</f>
        <v>Kumtor Gold Company</v>
      </c>
      <c r="O868" s="16" t="str">
        <f>CASOPOInvCL!AG868</f>
        <v>USD</v>
      </c>
      <c r="P868" s="16">
        <f>CASOPOInvCL!AH868</f>
        <v>0</v>
      </c>
      <c r="Q868" s="16">
        <f>CASOPOInvCL!AI868</f>
        <v>0</v>
      </c>
      <c r="R868" s="32" t="str">
        <f>CASOPOInvCL!AU868</f>
        <v/>
      </c>
      <c r="S868" s="16">
        <f>CASOPOInvCL!AV868</f>
        <v>0</v>
      </c>
      <c r="T868" s="16">
        <f>CASOPOInvCL!AW868</f>
        <v>0</v>
      </c>
      <c r="U868" s="59"/>
      <c r="V868" s="59"/>
      <c r="W868" s="59"/>
      <c r="X868" s="59"/>
      <c r="Y868" s="29" t="str">
        <f>IFERROR(HLOOKUP(U868,List!$D$2:$H$6,2,FALSE),"")</f>
        <v/>
      </c>
      <c r="Z868" s="29" t="str">
        <f>IFERROR(HLOOKUP(V868,List!$D$2:$H$6,3,FALSE),"")</f>
        <v/>
      </c>
      <c r="AA868" s="29" t="str">
        <f>IFERROR(HLOOKUP(W868,List!$D$2:$H$6,4,FALSE),"")</f>
        <v/>
      </c>
      <c r="AB868" s="29" t="str">
        <f>IFERROR(HLOOKUP(X868,List!$D$2:$H$6,5,FALSE),"")</f>
        <v/>
      </c>
      <c r="AC868" s="12" t="str">
        <f t="shared" si="226"/>
        <v/>
      </c>
      <c r="AD868" s="12" t="str">
        <f t="shared" si="227"/>
        <v/>
      </c>
      <c r="AE868" s="12" t="str">
        <f t="shared" si="228"/>
        <v/>
      </c>
      <c r="AF868" s="12" t="str">
        <f t="shared" si="229"/>
        <v/>
      </c>
      <c r="AG868" t="str">
        <f>VLOOKUP(J868,'Receivable Invoice Detail'!$A$1:F3880,6,FALSE)</f>
        <v>[SA-013826-1] Shaft Sleeve, Sala STGVA-33-WFR, Steel</v>
      </c>
      <c r="AI868" s="59"/>
      <c r="AJ868" s="59"/>
      <c r="AK868" s="59"/>
      <c r="AL868" s="59"/>
      <c r="AM868" s="12" t="str">
        <f t="shared" si="230"/>
        <v/>
      </c>
      <c r="AN868" s="12" t="str">
        <f t="shared" si="231"/>
        <v/>
      </c>
      <c r="AO868" s="12" t="str">
        <f t="shared" si="232"/>
        <v/>
      </c>
      <c r="AP868" s="12" t="str">
        <f t="shared" si="233"/>
        <v/>
      </c>
      <c r="AQ868" s="60"/>
      <c r="AR868" s="59"/>
      <c r="AS868" s="60"/>
      <c r="AT868" s="57"/>
    </row>
    <row r="869" spans="1:46" hidden="1" x14ac:dyDescent="0.25">
      <c r="A869" s="41">
        <f>CASOPOInvCL!T869</f>
        <v>0</v>
      </c>
      <c r="B869" t="str">
        <f>CASOPOInvCL!Z869</f>
        <v>SO17698</v>
      </c>
      <c r="G869" s="5" t="str">
        <f>CASOPOInvCL!I869</f>
        <v>Wilka Nuñez</v>
      </c>
      <c r="H869" s="31">
        <f>CASOPOInvCL!U869</f>
        <v>8</v>
      </c>
      <c r="I869" s="31">
        <f>CASOPOInvCL!V869</f>
        <v>2025</v>
      </c>
      <c r="J869" s="5" t="str">
        <f>CASOPOInvCL!AB869</f>
        <v>No Inv</v>
      </c>
      <c r="K869" s="31" t="str">
        <f>CASOPOInvCL!W869</f>
        <v/>
      </c>
      <c r="L869" s="31" t="str">
        <f>CASOPOInvCL!X869</f>
        <v/>
      </c>
      <c r="M869" s="31"/>
      <c r="N869" s="5" t="str">
        <f>CASOPOInvCL!AF869</f>
        <v>DRN Industriel</v>
      </c>
      <c r="O869" s="16" t="str">
        <f>CASOPOInvCL!AG869</f>
        <v>CAD</v>
      </c>
      <c r="P869" s="16">
        <f>CASOPOInvCL!AH869</f>
        <v>4779.4799999999996</v>
      </c>
      <c r="Q869" s="16">
        <f>CASOPOInvCL!AI869</f>
        <v>3455.4669714660081</v>
      </c>
      <c r="R869" s="32" t="str">
        <f>CASOPOInvCL!AU869</f>
        <v/>
      </c>
      <c r="S869" s="16">
        <f>CASOPOInvCL!AV869</f>
        <v>0</v>
      </c>
      <c r="T869" s="16">
        <f>CASOPOInvCL!AW869</f>
        <v>0</v>
      </c>
      <c r="Y869" s="29" t="str">
        <f>IFERROR(HLOOKUP(U869,List!$D$2:$H$6,2,FALSE),"")</f>
        <v/>
      </c>
      <c r="Z869" s="29" t="str">
        <f>IFERROR(HLOOKUP(V869,List!$D$2:$H$6,3,FALSE),"")</f>
        <v/>
      </c>
      <c r="AA869" s="29" t="str">
        <f>IFERROR(HLOOKUP(W869,List!$D$2:$H$6,4,FALSE),"")</f>
        <v/>
      </c>
      <c r="AB869" s="29" t="str">
        <f>IFERROR(HLOOKUP(X869,List!$D$2:$H$6,5,FALSE),"")</f>
        <v/>
      </c>
      <c r="AC869" s="12" t="str">
        <f t="shared" si="226"/>
        <v/>
      </c>
      <c r="AD869" s="12" t="str">
        <f t="shared" si="227"/>
        <v/>
      </c>
      <c r="AE869" s="12" t="str">
        <f t="shared" si="228"/>
        <v/>
      </c>
      <c r="AF869" s="12" t="str">
        <f t="shared" si="229"/>
        <v/>
      </c>
      <c r="AG869" t="e">
        <f>VLOOKUP(J869,'Receivable Invoice Detail'!$A$1:F3881,6,FALSE)</f>
        <v>#N/A</v>
      </c>
      <c r="AM869" s="12" t="str">
        <f t="shared" si="230"/>
        <v/>
      </c>
      <c r="AN869" s="12" t="str">
        <f t="shared" si="231"/>
        <v/>
      </c>
      <c r="AO869" s="12" t="str">
        <f t="shared" si="232"/>
        <v/>
      </c>
      <c r="AP869" s="12" t="str">
        <f t="shared" si="233"/>
        <v/>
      </c>
      <c r="AQ869" s="12"/>
      <c r="AS869" s="12">
        <f t="shared" ref="AS869:AS904" si="239">T863*1.5%</f>
        <v>44.847199138549477</v>
      </c>
      <c r="AT869" s="16" t="str">
        <f t="shared" ref="AT869:AT899" si="240">R865</f>
        <v/>
      </c>
    </row>
    <row r="870" spans="1:46" hidden="1" x14ac:dyDescent="0.25">
      <c r="A870" s="41">
        <f>CASOPOInvCL!T870</f>
        <v>0</v>
      </c>
      <c r="B870" t="str">
        <f>CASOPOInvCL!Z870</f>
        <v>SO17700</v>
      </c>
      <c r="G870" s="5" t="str">
        <f>CASOPOInvCL!I870</f>
        <v>Amanda Qiao</v>
      </c>
      <c r="H870" s="31">
        <f>CASOPOInvCL!U870</f>
        <v>8</v>
      </c>
      <c r="I870" s="31">
        <f>CASOPOInvCL!V870</f>
        <v>2025</v>
      </c>
      <c r="J870" s="5" t="str">
        <f>CASOPOInvCL!AB870</f>
        <v>No Inv</v>
      </c>
      <c r="K870" s="31" t="str">
        <f>CASOPOInvCL!W870</f>
        <v/>
      </c>
      <c r="L870" s="31" t="str">
        <f>CASOPOInvCL!X870</f>
        <v/>
      </c>
      <c r="M870" s="31"/>
      <c r="N870" s="5" t="str">
        <f>CASOPOInvCL!AF870</f>
        <v>Mill-Right Mine Services Inc.</v>
      </c>
      <c r="O870" s="16" t="str">
        <f>CASOPOInvCL!AG870</f>
        <v>CAD</v>
      </c>
      <c r="P870" s="16">
        <f>CASOPOInvCL!AH870</f>
        <v>2411.25</v>
      </c>
      <c r="Q870" s="16">
        <f>CASOPOInvCL!AI870</f>
        <v>1720.9484106285606</v>
      </c>
      <c r="R870" s="32" t="str">
        <f>CASOPOInvCL!AU870</f>
        <v/>
      </c>
      <c r="S870" s="16">
        <f>CASOPOInvCL!AV870</f>
        <v>0</v>
      </c>
      <c r="T870" s="16">
        <f>CASOPOInvCL!AW870</f>
        <v>0</v>
      </c>
      <c r="Y870" s="29" t="str">
        <f>IFERROR(HLOOKUP(U870,List!$D$2:$H$6,2,FALSE),"")</f>
        <v/>
      </c>
      <c r="Z870" s="29" t="str">
        <f>IFERROR(HLOOKUP(V870,List!$D$2:$H$6,3,FALSE),"")</f>
        <v/>
      </c>
      <c r="AA870" s="29" t="str">
        <f>IFERROR(HLOOKUP(W870,List!$D$2:$H$6,4,FALSE),"")</f>
        <v/>
      </c>
      <c r="AB870" s="29" t="str">
        <f>IFERROR(HLOOKUP(X870,List!$D$2:$H$6,5,FALSE),"")</f>
        <v/>
      </c>
      <c r="AC870" s="12" t="str">
        <f t="shared" si="226"/>
        <v/>
      </c>
      <c r="AD870" s="12" t="str">
        <f t="shared" si="227"/>
        <v/>
      </c>
      <c r="AE870" s="12" t="str">
        <f t="shared" si="228"/>
        <v/>
      </c>
      <c r="AF870" s="12" t="str">
        <f t="shared" si="229"/>
        <v/>
      </c>
      <c r="AG870" t="e">
        <f>VLOOKUP(J870,'Receivable Invoice Detail'!$A$1:F3882,6,FALSE)</f>
        <v>#N/A</v>
      </c>
      <c r="AM870" s="12" t="str">
        <f t="shared" si="230"/>
        <v/>
      </c>
      <c r="AN870" s="12" t="str">
        <f t="shared" si="231"/>
        <v/>
      </c>
      <c r="AO870" s="12" t="str">
        <f t="shared" si="232"/>
        <v/>
      </c>
      <c r="AP870" s="12" t="str">
        <f t="shared" si="233"/>
        <v/>
      </c>
      <c r="AQ870" s="12"/>
      <c r="AS870" s="12">
        <f t="shared" si="239"/>
        <v>1.731594683005975</v>
      </c>
      <c r="AT870" s="16" t="str">
        <f t="shared" si="240"/>
        <v/>
      </c>
    </row>
    <row r="871" spans="1:46" hidden="1" x14ac:dyDescent="0.25">
      <c r="A871" s="41">
        <f>CASOPOInvCL!T871</f>
        <v>1</v>
      </c>
      <c r="B871" s="74" t="str">
        <f>CASOPOInvCL!Z871</f>
        <v>SO17701</v>
      </c>
      <c r="D871" t="s">
        <v>5915</v>
      </c>
      <c r="G871" s="5" t="str">
        <f>CASOPOInvCL!I871</f>
        <v>Wilka Nuñez</v>
      </c>
      <c r="H871" s="31">
        <f>CASOPOInvCL!U871</f>
        <v>8</v>
      </c>
      <c r="I871" s="31">
        <f>CASOPOInvCL!V871</f>
        <v>2025</v>
      </c>
      <c r="J871" s="5" t="str">
        <f>CASOPOInvCL!AB871</f>
        <v>INV13376</v>
      </c>
      <c r="K871" s="31">
        <f>CASOPOInvCL!W871</f>
        <v>10</v>
      </c>
      <c r="L871" s="31">
        <f>CASOPOInvCL!X871</f>
        <v>2025</v>
      </c>
      <c r="M871">
        <v>2504</v>
      </c>
      <c r="N871" s="5" t="str">
        <f>CASOPOInvCL!AF871</f>
        <v>Barrick Gold - Pueblo Viejo Dominicana Corporation</v>
      </c>
      <c r="O871" s="16" t="str">
        <f>CASOPOInvCL!AG871</f>
        <v>USD</v>
      </c>
      <c r="P871" s="16">
        <f>CASOPOInvCL!AH871</f>
        <v>23323.117122143445</v>
      </c>
      <c r="Q871" s="16">
        <f>CASOPOInvCL!AI871</f>
        <v>16862.14</v>
      </c>
      <c r="R871" s="32" t="str">
        <f>CASOPOInvCL!AU871</f>
        <v>Yes</v>
      </c>
      <c r="S871" s="16">
        <f>CASOPOInvCL!AV871</f>
        <v>0</v>
      </c>
      <c r="T871" s="16">
        <f>CASOPOInvCL!AW871</f>
        <v>16862.14</v>
      </c>
      <c r="V871" t="s">
        <v>5803</v>
      </c>
      <c r="Y871" s="29" t="str">
        <f>IFERROR(HLOOKUP(U871,List!$D$2:$H$6,2,FALSE),"")</f>
        <v/>
      </c>
      <c r="Z871" s="29">
        <f>IFERROR(HLOOKUP(V871,List!$D$2:$H$6,3,FALSE),"")</f>
        <v>0</v>
      </c>
      <c r="AA871" s="29" t="str">
        <f>IFERROR(HLOOKUP(W871,List!$D$2:$H$6,4,FALSE),"")</f>
        <v/>
      </c>
      <c r="AB871" s="29" t="str">
        <f>IFERROR(HLOOKUP(X871,List!$D$2:$H$6,5,FALSE),"")</f>
        <v/>
      </c>
      <c r="AC871" s="12" t="str">
        <f t="shared" si="226"/>
        <v/>
      </c>
      <c r="AD871" s="12">
        <f t="shared" si="227"/>
        <v>0</v>
      </c>
      <c r="AE871" s="12" t="str">
        <f t="shared" si="228"/>
        <v/>
      </c>
      <c r="AF871" s="12" t="str">
        <f t="shared" si="229"/>
        <v/>
      </c>
      <c r="AG871" t="str">
        <f>VLOOKUP(J871,'Receivable Invoice Detail'!$A$1:F3883,6,FALSE)</f>
        <v>[37231] Sleeve Bearing (Suction Bell), ThorPlas-Blue, HPCW</v>
      </c>
      <c r="AM871" s="12" t="str">
        <f t="shared" si="230"/>
        <v/>
      </c>
      <c r="AN871" s="12">
        <f t="shared" si="231"/>
        <v>0</v>
      </c>
      <c r="AO871" s="12" t="str">
        <f t="shared" si="232"/>
        <v/>
      </c>
      <c r="AP871" s="12" t="str">
        <f t="shared" si="233"/>
        <v/>
      </c>
      <c r="AQ871" s="75">
        <v>2504</v>
      </c>
      <c r="AR871" s="64" t="s">
        <v>5933</v>
      </c>
      <c r="AS871" s="12">
        <f t="shared" si="239"/>
        <v>0</v>
      </c>
      <c r="AT871" s="16" t="str">
        <f t="shared" si="240"/>
        <v/>
      </c>
    </row>
    <row r="872" spans="1:46" hidden="1" x14ac:dyDescent="0.25">
      <c r="A872" s="41">
        <f>CASOPOInvCL!T872</f>
        <v>1</v>
      </c>
      <c r="B872" t="str">
        <f>CASOPOInvCL!Z872</f>
        <v>SO17703</v>
      </c>
      <c r="D872" t="s">
        <v>5851</v>
      </c>
      <c r="G872" s="5" t="str">
        <f>CASOPOInvCL!I872</f>
        <v>Alexis Gil Lamadrid</v>
      </c>
      <c r="H872" s="31">
        <f>CASOPOInvCL!U872</f>
        <v>8</v>
      </c>
      <c r="I872" s="31">
        <f>CASOPOInvCL!V872</f>
        <v>2025</v>
      </c>
      <c r="J872" s="5" t="str">
        <f>CASOPOInvCL!AB872</f>
        <v>INV13324</v>
      </c>
      <c r="K872" s="31">
        <f>CASOPOInvCL!W872</f>
        <v>10</v>
      </c>
      <c r="L872" s="31">
        <f>CASOPOInvCL!X872</f>
        <v>2025</v>
      </c>
      <c r="M872">
        <v>2504</v>
      </c>
      <c r="N872" s="5" t="str">
        <f>CASOPOInvCL!AF872</f>
        <v>Resolute Forest Products - Saint-Felicien</v>
      </c>
      <c r="O872" s="16" t="str">
        <f>CASOPOInvCL!AG872</f>
        <v>CAD</v>
      </c>
      <c r="P872" s="16">
        <f>CASOPOInvCL!AH872</f>
        <v>296.56</v>
      </c>
      <c r="Q872" s="16">
        <f>CASOPOInvCL!AI872</f>
        <v>213.96738299677165</v>
      </c>
      <c r="R872" s="32" t="str">
        <f>CASOPOInvCL!AU872</f>
        <v>Yes</v>
      </c>
      <c r="S872" s="16">
        <f>CASOPOInvCL!AV872</f>
        <v>0</v>
      </c>
      <c r="T872" s="16">
        <f>CASOPOInvCL!AW872</f>
        <v>213.96738299677165</v>
      </c>
      <c r="V872" t="s">
        <v>5800</v>
      </c>
      <c r="Y872" s="29" t="str">
        <f>IFERROR(HLOOKUP(U872,List!$D$2:$H$6,2,FALSE),"")</f>
        <v/>
      </c>
      <c r="Z872" s="29">
        <f>IFERROR(HLOOKUP(V872,List!$D$2:$H$6,3,FALSE),"")</f>
        <v>5.0000000000000001E-3</v>
      </c>
      <c r="AA872" s="29" t="str">
        <f>IFERROR(HLOOKUP(W872,List!$D$2:$H$6,4,FALSE),"")</f>
        <v/>
      </c>
      <c r="AB872" s="29" t="str">
        <f>IFERROR(HLOOKUP(X872,List!$D$2:$H$6,5,FALSE),"")</f>
        <v/>
      </c>
      <c r="AC872" s="12" t="str">
        <f t="shared" si="226"/>
        <v/>
      </c>
      <c r="AD872" s="12">
        <f t="shared" si="227"/>
        <v>1.0698369149838582</v>
      </c>
      <c r="AE872" s="12" t="str">
        <f t="shared" si="228"/>
        <v/>
      </c>
      <c r="AF872" s="12" t="str">
        <f t="shared" si="229"/>
        <v/>
      </c>
      <c r="AG872" t="str">
        <f>VLOOKUP(J872,'Receivable Invoice Detail'!$A$1:F3884,6,FALSE)</f>
        <v>[AC-98-131-246-511] Deflector (Water Slinger), 5x5/5x4/6x6 SRL &amp; SRL-C, Neoprene/Steel</v>
      </c>
      <c r="AM872" s="12" t="str">
        <f t="shared" si="230"/>
        <v/>
      </c>
      <c r="AN872" s="12">
        <f t="shared" si="231"/>
        <v>1.0698369149838582</v>
      </c>
      <c r="AO872" s="12" t="str">
        <f t="shared" si="232"/>
        <v/>
      </c>
      <c r="AP872" s="12" t="str">
        <f t="shared" si="233"/>
        <v/>
      </c>
      <c r="AQ872" s="64">
        <f>M872</f>
        <v>2504</v>
      </c>
      <c r="AR872" t="s">
        <v>5931</v>
      </c>
      <c r="AS872" s="12">
        <f t="shared" si="239"/>
        <v>0</v>
      </c>
      <c r="AT872" s="16" t="str">
        <f t="shared" si="240"/>
        <v/>
      </c>
    </row>
    <row r="873" spans="1:46" hidden="1" x14ac:dyDescent="0.25">
      <c r="A873" s="41">
        <f>CASOPOInvCL!T873</f>
        <v>1</v>
      </c>
      <c r="B873" t="str">
        <f>CASOPOInvCL!Z873</f>
        <v>SO17704</v>
      </c>
      <c r="D873" t="s">
        <v>5851</v>
      </c>
      <c r="G873" s="5" t="str">
        <f>CASOPOInvCL!I873</f>
        <v>Alexis Gil Lamadrid</v>
      </c>
      <c r="H873" s="31">
        <f>CASOPOInvCL!U873</f>
        <v>8</v>
      </c>
      <c r="I873" s="31">
        <f>CASOPOInvCL!V873</f>
        <v>2025</v>
      </c>
      <c r="J873" s="5" t="str">
        <f>CASOPOInvCL!AB873</f>
        <v>INV13337</v>
      </c>
      <c r="K873" s="31">
        <f>CASOPOInvCL!W873</f>
        <v>10</v>
      </c>
      <c r="L873" s="31">
        <f>CASOPOInvCL!X873</f>
        <v>2025</v>
      </c>
      <c r="M873">
        <v>2504</v>
      </c>
      <c r="N873" s="5" t="str">
        <f>CASOPOInvCL!AF873</f>
        <v>Resolute Forest Products - Saint-Felicien</v>
      </c>
      <c r="O873" s="16" t="str">
        <f>CASOPOInvCL!AG873</f>
        <v>CAD</v>
      </c>
      <c r="P873" s="16">
        <f>CASOPOInvCL!AH873</f>
        <v>264.27999999999997</v>
      </c>
      <c r="Q873" s="16">
        <f>CASOPOInvCL!AI873</f>
        <v>190.67743451034127</v>
      </c>
      <c r="R873" s="32" t="str">
        <f>CASOPOInvCL!AU873</f>
        <v>Yes</v>
      </c>
      <c r="S873" s="16">
        <f>CASOPOInvCL!AV873</f>
        <v>0</v>
      </c>
      <c r="T873" s="16">
        <f>CASOPOInvCL!AW873</f>
        <v>190.67743451034127</v>
      </c>
      <c r="V873" t="s">
        <v>5800</v>
      </c>
      <c r="Y873" s="29" t="str">
        <f>IFERROR(HLOOKUP(U873,List!$D$2:$H$6,2,FALSE),"")</f>
        <v/>
      </c>
      <c r="Z873" s="29">
        <f>IFERROR(HLOOKUP(V873,List!$D$2:$H$6,3,FALSE),"")</f>
        <v>5.0000000000000001E-3</v>
      </c>
      <c r="AA873" s="29" t="str">
        <f>IFERROR(HLOOKUP(W873,List!$D$2:$H$6,4,FALSE),"")</f>
        <v/>
      </c>
      <c r="AB873" s="29" t="str">
        <f>IFERROR(HLOOKUP(X873,List!$D$2:$H$6,5,FALSE),"")</f>
        <v/>
      </c>
      <c r="AC873" s="12" t="str">
        <f t="shared" si="226"/>
        <v/>
      </c>
      <c r="AD873" s="12">
        <f t="shared" si="227"/>
        <v>0.95338717255170635</v>
      </c>
      <c r="AE873" s="12" t="str">
        <f t="shared" si="228"/>
        <v/>
      </c>
      <c r="AF873" s="12" t="str">
        <f t="shared" si="229"/>
        <v/>
      </c>
      <c r="AG873" t="str">
        <f>VLOOKUP(J873,'Receivable Invoice Detail'!$A$1:F3885,6,FALSE)</f>
        <v>[AC-98-131-246-504] Deflector (Water Slinger), 3x3-10 SRL/SRL-C, Neoprene/Steel</v>
      </c>
      <c r="AM873" s="12" t="str">
        <f t="shared" si="230"/>
        <v/>
      </c>
      <c r="AN873" s="12">
        <f t="shared" si="231"/>
        <v>0.95338717255170635</v>
      </c>
      <c r="AO873" s="12" t="str">
        <f t="shared" si="232"/>
        <v/>
      </c>
      <c r="AP873" s="12" t="str">
        <f t="shared" si="233"/>
        <v/>
      </c>
      <c r="AQ873" s="64">
        <f>M873</f>
        <v>2504</v>
      </c>
      <c r="AR873" t="s">
        <v>5931</v>
      </c>
      <c r="AS873" s="12">
        <f t="shared" si="239"/>
        <v>0</v>
      </c>
      <c r="AT873" s="16" t="str">
        <f t="shared" si="240"/>
        <v/>
      </c>
    </row>
    <row r="874" spans="1:46" hidden="1" x14ac:dyDescent="0.25">
      <c r="A874" s="41">
        <f>CASOPOInvCL!T874</f>
        <v>1</v>
      </c>
      <c r="B874" t="str">
        <f>CASOPOInvCL!Z874</f>
        <v>SO17707</v>
      </c>
      <c r="D874" t="s">
        <v>5851</v>
      </c>
      <c r="G874" s="5" t="str">
        <f>CASOPOInvCL!I874</f>
        <v>Alexis Gil Lamadrid</v>
      </c>
      <c r="H874" s="31">
        <f>CASOPOInvCL!U874</f>
        <v>8</v>
      </c>
      <c r="I874" s="31">
        <f>CASOPOInvCL!V874</f>
        <v>2025</v>
      </c>
      <c r="J874" s="5" t="str">
        <f>CASOPOInvCL!AB874</f>
        <v>INV13343</v>
      </c>
      <c r="K874" s="31">
        <f>CASOPOInvCL!W874</f>
        <v>9</v>
      </c>
      <c r="L874" s="31">
        <f>CASOPOInvCL!X874</f>
        <v>2025</v>
      </c>
      <c r="M874">
        <v>2503</v>
      </c>
      <c r="N874" s="5" t="str">
        <f>CASOPOInvCL!AF874</f>
        <v>Manufacture Sling-Choker (Val-d’Or) Ltée</v>
      </c>
      <c r="O874" s="16" t="str">
        <f>CASOPOInvCL!AG874</f>
        <v>CAD</v>
      </c>
      <c r="P874" s="16">
        <f>CASOPOInvCL!AH874</f>
        <v>1388</v>
      </c>
      <c r="Q874" s="16">
        <f>CASOPOInvCL!AI874</f>
        <v>1000.3150791087068</v>
      </c>
      <c r="R874" s="55" t="str">
        <f>CASOPOInvCL!AU874</f>
        <v>Yes</v>
      </c>
      <c r="S874" s="16">
        <f>CASOPOInvCL!AV874</f>
        <v>0</v>
      </c>
      <c r="T874" s="16">
        <f>CASOPOInvCL!AW874</f>
        <v>1000.3150791087068</v>
      </c>
      <c r="V874" t="s">
        <v>5800</v>
      </c>
      <c r="Y874" s="29" t="str">
        <f>IFERROR(HLOOKUP(U874,List!$D$2:$H$6,2,FALSE),"")</f>
        <v/>
      </c>
      <c r="Z874" s="29">
        <f>IFERROR(HLOOKUP(V874,List!$D$2:$H$6,3,FALSE),"")</f>
        <v>5.0000000000000001E-3</v>
      </c>
      <c r="AA874" s="29" t="str">
        <f>IFERROR(HLOOKUP(W874,List!$D$2:$H$6,4,FALSE),"")</f>
        <v/>
      </c>
      <c r="AB874" s="29" t="str">
        <f>IFERROR(HLOOKUP(X874,List!$D$2:$H$6,5,FALSE),"")</f>
        <v/>
      </c>
      <c r="AC874" s="12" t="str">
        <f t="shared" si="226"/>
        <v/>
      </c>
      <c r="AD874" s="12">
        <f t="shared" si="227"/>
        <v>5.0015753955435338</v>
      </c>
      <c r="AE874" s="12" t="str">
        <f t="shared" si="228"/>
        <v/>
      </c>
      <c r="AF874" s="12" t="str">
        <f t="shared" si="229"/>
        <v/>
      </c>
      <c r="AG874" t="str">
        <f>VLOOKUP(J874,'Receivable Invoice Detail'!$A$1:F3886,6,FALSE)</f>
        <v>[AC-98-231-079-501] Gland Side Liner, 5x5-14 SRL, Natural Rubber</v>
      </c>
      <c r="AJ874">
        <v>2503</v>
      </c>
      <c r="AM874" s="12" t="str">
        <f t="shared" si="230"/>
        <v/>
      </c>
      <c r="AN874" s="12">
        <f t="shared" si="231"/>
        <v>0</v>
      </c>
      <c r="AO874" s="12" t="str">
        <f t="shared" si="232"/>
        <v/>
      </c>
      <c r="AP874" s="12" t="str">
        <f t="shared" si="233"/>
        <v/>
      </c>
      <c r="AQ874" s="64">
        <f>M874</f>
        <v>2503</v>
      </c>
      <c r="AR874" t="s">
        <v>5931</v>
      </c>
      <c r="AS874" s="12">
        <f t="shared" si="239"/>
        <v>0</v>
      </c>
      <c r="AT874" s="16" t="str">
        <f t="shared" si="240"/>
        <v/>
      </c>
    </row>
    <row r="875" spans="1:46" hidden="1" x14ac:dyDescent="0.25">
      <c r="A875" s="41">
        <f>CASOPOInvCL!T875</f>
        <v>1</v>
      </c>
      <c r="B875" t="str">
        <f>CASOPOInvCL!Z875</f>
        <v>SO17709</v>
      </c>
      <c r="D875" t="s">
        <v>5915</v>
      </c>
      <c r="G875" s="5" t="str">
        <f>CASOPOInvCL!I875</f>
        <v>Wilka Nuñez</v>
      </c>
      <c r="H875" s="31">
        <f>CASOPOInvCL!U875</f>
        <v>8</v>
      </c>
      <c r="I875" s="31">
        <f>CASOPOInvCL!V875</f>
        <v>2025</v>
      </c>
      <c r="J875" s="5" t="str">
        <f>CASOPOInvCL!AB875</f>
        <v>INV13365</v>
      </c>
      <c r="K875" s="31">
        <f>CASOPOInvCL!W875</f>
        <v>10</v>
      </c>
      <c r="L875" s="31">
        <f>CASOPOInvCL!X875</f>
        <v>2025</v>
      </c>
      <c r="M875">
        <v>2504</v>
      </c>
      <c r="N875" s="5" t="str">
        <f>CASOPOInvCL!AF875</f>
        <v>Hyperflo</v>
      </c>
      <c r="O875" s="16" t="str">
        <f>CASOPOInvCL!AG875</f>
        <v>CAD</v>
      </c>
      <c r="P875" s="16">
        <f>CASOPOInvCL!AH875</f>
        <v>2894.78</v>
      </c>
      <c r="Q875" s="16">
        <f>CASOPOInvCL!AI875</f>
        <v>2099.9261713580067</v>
      </c>
      <c r="R875" s="32" t="str">
        <f>CASOPOInvCL!AU875</f>
        <v>Yes</v>
      </c>
      <c r="S875" s="16">
        <f>CASOPOInvCL!AV875</f>
        <v>0</v>
      </c>
      <c r="T875" s="16">
        <f>CASOPOInvCL!AW875</f>
        <v>2099.9261713580067</v>
      </c>
      <c r="V875" t="s">
        <v>5800</v>
      </c>
      <c r="Y875" s="29" t="str">
        <f>IFERROR(HLOOKUP(U875,List!$D$2:$H$6,2,FALSE),"")</f>
        <v/>
      </c>
      <c r="Z875" s="29">
        <f>IFERROR(HLOOKUP(V875,List!$D$2:$H$6,3,FALSE),"")</f>
        <v>5.0000000000000001E-3</v>
      </c>
      <c r="AA875" s="29" t="str">
        <f>IFERROR(HLOOKUP(W875,List!$D$2:$H$6,4,FALSE),"")</f>
        <v/>
      </c>
      <c r="AB875" s="29" t="str">
        <f>IFERROR(HLOOKUP(X875,List!$D$2:$H$6,5,FALSE),"")</f>
        <v/>
      </c>
      <c r="AC875" s="12" t="str">
        <f t="shared" si="226"/>
        <v/>
      </c>
      <c r="AD875" s="12">
        <f t="shared" si="227"/>
        <v>10.499630856790034</v>
      </c>
      <c r="AE875" s="12" t="str">
        <f t="shared" si="228"/>
        <v/>
      </c>
      <c r="AF875" s="12" t="str">
        <f t="shared" si="229"/>
        <v/>
      </c>
      <c r="AG875" t="str">
        <f>VLOOKUP(J875,'Receivable Invoice Detail'!$A$1:F3887,6,FALSE)</f>
        <v>[AC-98-332-762-801] Stuffing Box, 12x10-25 or 14x12-29 SRL-C, Cast Iron</v>
      </c>
      <c r="AM875" s="12" t="str">
        <f t="shared" si="230"/>
        <v/>
      </c>
      <c r="AN875" s="12">
        <f t="shared" si="231"/>
        <v>10.499630856790034</v>
      </c>
      <c r="AO875" s="12" t="str">
        <f t="shared" si="232"/>
        <v/>
      </c>
      <c r="AP875" s="12" t="str">
        <f t="shared" si="233"/>
        <v/>
      </c>
      <c r="AQ875" s="64">
        <f>M875</f>
        <v>2504</v>
      </c>
      <c r="AR875" t="s">
        <v>5931</v>
      </c>
      <c r="AS875" s="12">
        <f t="shared" si="239"/>
        <v>0</v>
      </c>
      <c r="AT875" s="16" t="str">
        <f t="shared" si="240"/>
        <v>Yes</v>
      </c>
    </row>
    <row r="876" spans="1:46" hidden="1" x14ac:dyDescent="0.25">
      <c r="A876" s="41">
        <f>CASOPOInvCL!T876</f>
        <v>1</v>
      </c>
      <c r="B876" t="str">
        <f>CASOPOInvCL!Z876</f>
        <v>SO17710</v>
      </c>
      <c r="G876" s="5" t="str">
        <f>CASOPOInvCL!I876</f>
        <v>Ian Trottier</v>
      </c>
      <c r="H876" s="31">
        <f>CASOPOInvCL!U876</f>
        <v>8</v>
      </c>
      <c r="I876" s="31">
        <f>CASOPOInvCL!V876</f>
        <v>2025</v>
      </c>
      <c r="J876" s="5" t="str">
        <f>CASOPOInvCL!AB876</f>
        <v>INV13413</v>
      </c>
      <c r="K876" s="31">
        <f>CASOPOInvCL!W876</f>
        <v>11</v>
      </c>
      <c r="L876" s="31">
        <f>CASOPOInvCL!X876</f>
        <v>2025</v>
      </c>
      <c r="M876" s="31"/>
      <c r="N876" s="5" t="str">
        <f>CASOPOInvCL!AF876</f>
        <v>MAB Equipment Company Inc.</v>
      </c>
      <c r="O876" s="16" t="str">
        <f>CASOPOInvCL!AG876</f>
        <v>USD</v>
      </c>
      <c r="P876" s="16">
        <f>CASOPOInvCL!AH876</f>
        <v>3660.529443645501</v>
      </c>
      <c r="Q876" s="16">
        <f>CASOPOInvCL!AI876</f>
        <v>2638.1</v>
      </c>
      <c r="R876" s="32" t="str">
        <f>CASOPOInvCL!AU876</f>
        <v>Yes</v>
      </c>
      <c r="S876" s="16">
        <f>CASOPOInvCL!AV876</f>
        <v>644</v>
      </c>
      <c r="T876" s="16">
        <f>CASOPOInvCL!AW876</f>
        <v>1994.1</v>
      </c>
      <c r="Y876" s="29" t="str">
        <f>IFERROR(HLOOKUP(U876,List!$D$2:$H$6,2,FALSE),"")</f>
        <v/>
      </c>
      <c r="Z876" s="29" t="str">
        <f>IFERROR(HLOOKUP(V876,List!$D$2:$H$6,3,FALSE),"")</f>
        <v/>
      </c>
      <c r="AA876" s="29" t="str">
        <f>IFERROR(HLOOKUP(W876,List!$D$2:$H$6,4,FALSE),"")</f>
        <v/>
      </c>
      <c r="AB876" s="29" t="str">
        <f>IFERROR(HLOOKUP(X876,List!$D$2:$H$6,5,FALSE),"")</f>
        <v/>
      </c>
      <c r="AC876" s="12" t="str">
        <f t="shared" si="226"/>
        <v/>
      </c>
      <c r="AD876" s="12" t="str">
        <f t="shared" si="227"/>
        <v/>
      </c>
      <c r="AE876" s="12" t="str">
        <f t="shared" si="228"/>
        <v/>
      </c>
      <c r="AF876" s="12" t="str">
        <f t="shared" si="229"/>
        <v/>
      </c>
      <c r="AG876" t="str">
        <f>VLOOKUP(J876,'Receivable Invoice Detail'!$A$1:F3888,6,FALSE)</f>
        <v>[504889] Impeller, 8x6, Denver SRL, Natural Rubber</v>
      </c>
      <c r="AM876" s="12" t="str">
        <f t="shared" si="230"/>
        <v/>
      </c>
      <c r="AN876" s="12" t="str">
        <f t="shared" si="231"/>
        <v/>
      </c>
      <c r="AO876" s="12" t="str">
        <f t="shared" si="232"/>
        <v/>
      </c>
      <c r="AP876" s="12" t="str">
        <f t="shared" si="233"/>
        <v/>
      </c>
      <c r="AQ876" s="12"/>
      <c r="AS876" s="12">
        <f t="shared" si="239"/>
        <v>0</v>
      </c>
      <c r="AT876" s="16" t="str">
        <f t="shared" si="240"/>
        <v>Yes</v>
      </c>
    </row>
    <row r="877" spans="1:46" x14ac:dyDescent="0.25">
      <c r="A877" s="41">
        <f>CASOPOInvCL!T877</f>
        <v>0</v>
      </c>
      <c r="B877" t="str">
        <f>CASOPOInvCL!Z877</f>
        <v>SO17712</v>
      </c>
      <c r="G877" s="5" t="str">
        <f>CASOPOInvCL!I877</f>
        <v>Eduardo Talamantes</v>
      </c>
      <c r="H877" s="31">
        <f>CASOPOInvCL!U877</f>
        <v>8</v>
      </c>
      <c r="I877" s="31">
        <f>CASOPOInvCL!V877</f>
        <v>2025</v>
      </c>
      <c r="J877" s="5" t="str">
        <f>CASOPOInvCL!AB877</f>
        <v>No Inv</v>
      </c>
      <c r="K877" s="31" t="str">
        <f>CASOPOInvCL!W877</f>
        <v/>
      </c>
      <c r="L877" s="31" t="str">
        <f>CASOPOInvCL!X877</f>
        <v/>
      </c>
      <c r="M877" s="31"/>
      <c r="N877" s="5" t="str">
        <f>CASOPOInvCL!AF877</f>
        <v>Corrosion Fluid Products Corp., Corrosion Fluid Products Corp. - Chicago</v>
      </c>
      <c r="O877" s="16" t="str">
        <f>CASOPOInvCL!AG877</f>
        <v>USD</v>
      </c>
      <c r="P877" s="16">
        <f>CASOPOInvCL!AH877</f>
        <v>61475.032535436767</v>
      </c>
      <c r="Q877" s="16">
        <f>CASOPOInvCL!AI877</f>
        <v>44445.2</v>
      </c>
      <c r="R877" s="32" t="str">
        <f>CASOPOInvCL!AU877</f>
        <v/>
      </c>
      <c r="S877" s="16">
        <f>CASOPOInvCL!AV877</f>
        <v>0</v>
      </c>
      <c r="T877" s="16">
        <f>CASOPOInvCL!AW877</f>
        <v>0</v>
      </c>
      <c r="W877" t="s">
        <v>5800</v>
      </c>
      <c r="Y877" s="29" t="str">
        <f>IFERROR(HLOOKUP(U877,List!$D$2:$H$6,2,FALSE),"")</f>
        <v/>
      </c>
      <c r="Z877" s="29" t="str">
        <f>IFERROR(HLOOKUP(V877,List!$D$2:$H$6,3,FALSE),"")</f>
        <v/>
      </c>
      <c r="AA877" s="29">
        <f>IFERROR(HLOOKUP(W877,List!$D$2:$H$6,4,FALSE),"")</f>
        <v>0.01</v>
      </c>
      <c r="AB877" s="29" t="str">
        <f>IFERROR(HLOOKUP(X877,List!$D$2:$H$6,5,FALSE),"")</f>
        <v/>
      </c>
      <c r="AC877" s="12" t="str">
        <f t="shared" si="226"/>
        <v/>
      </c>
      <c r="AD877" s="12" t="str">
        <f t="shared" si="227"/>
        <v/>
      </c>
      <c r="AE877" s="12">
        <f t="shared" si="228"/>
        <v>0</v>
      </c>
      <c r="AF877" s="12" t="str">
        <f t="shared" si="229"/>
        <v/>
      </c>
      <c r="AG877" t="e">
        <f>VLOOKUP(J877,'Receivable Invoice Detail'!$A$1:F3889,6,FALSE)</f>
        <v>#N/A</v>
      </c>
      <c r="AM877" s="12" t="str">
        <f t="shared" si="230"/>
        <v/>
      </c>
      <c r="AN877" s="12" t="str">
        <f t="shared" si="231"/>
        <v/>
      </c>
      <c r="AO877" s="12">
        <f t="shared" si="232"/>
        <v>0</v>
      </c>
      <c r="AP877" s="12" t="str">
        <f t="shared" si="233"/>
        <v/>
      </c>
      <c r="AQ877" s="12"/>
      <c r="AS877" s="12">
        <f t="shared" si="239"/>
        <v>252.93209999999999</v>
      </c>
      <c r="AT877" s="16" t="str">
        <f t="shared" si="240"/>
        <v>Yes</v>
      </c>
    </row>
    <row r="878" spans="1:46" hidden="1" x14ac:dyDescent="0.25">
      <c r="A878" s="41">
        <f>CASOPOInvCL!T878</f>
        <v>1</v>
      </c>
      <c r="B878" t="str">
        <f>CASOPOInvCL!Z878</f>
        <v>SO17714</v>
      </c>
      <c r="D878" t="s">
        <v>5851</v>
      </c>
      <c r="G878" s="5" t="str">
        <f>CASOPOInvCL!I878</f>
        <v>Alexis Gil Lamadrid</v>
      </c>
      <c r="H878" s="31">
        <f>CASOPOInvCL!U878</f>
        <v>8</v>
      </c>
      <c r="I878" s="31">
        <f>CASOPOInvCL!V878</f>
        <v>2025</v>
      </c>
      <c r="J878" s="5" t="str">
        <f>CASOPOInvCL!AB878</f>
        <v>INV13387</v>
      </c>
      <c r="K878" s="31">
        <f>CASOPOInvCL!W878</f>
        <v>10</v>
      </c>
      <c r="L878" s="31">
        <f>CASOPOInvCL!X878</f>
        <v>2025</v>
      </c>
      <c r="M878">
        <v>2504</v>
      </c>
      <c r="N878" s="5" t="str">
        <f>CASOPOInvCL!AF878</f>
        <v>Sling-Choker Manufacturing - Timmins</v>
      </c>
      <c r="O878" s="16" t="str">
        <f>CASOPOInvCL!AG878</f>
        <v>CAD</v>
      </c>
      <c r="P878" s="16">
        <f>CASOPOInvCL!AH878</f>
        <v>1842.22</v>
      </c>
      <c r="Q878" s="16">
        <f>CASOPOInvCL!AI878</f>
        <v>1327.6660266827389</v>
      </c>
      <c r="R878" s="32" t="str">
        <f>CASOPOInvCL!AU878</f>
        <v>Yes</v>
      </c>
      <c r="S878" s="16">
        <f>CASOPOInvCL!AV878</f>
        <v>0</v>
      </c>
      <c r="T878" s="16">
        <f>CASOPOInvCL!AW878</f>
        <v>1327.6660266827389</v>
      </c>
      <c r="V878" t="s">
        <v>5800</v>
      </c>
      <c r="Y878" s="29" t="str">
        <f>IFERROR(HLOOKUP(U878,List!$D$2:$H$6,2,FALSE),"")</f>
        <v/>
      </c>
      <c r="Z878" s="29">
        <f>IFERROR(HLOOKUP(V878,List!$D$2:$H$6,3,FALSE),"")</f>
        <v>5.0000000000000001E-3</v>
      </c>
      <c r="AA878" s="29" t="str">
        <f>IFERROR(HLOOKUP(W878,List!$D$2:$H$6,4,FALSE),"")</f>
        <v/>
      </c>
      <c r="AB878" s="29" t="str">
        <f>IFERROR(HLOOKUP(X878,List!$D$2:$H$6,5,FALSE),"")</f>
        <v/>
      </c>
      <c r="AC878" s="12" t="str">
        <f t="shared" si="226"/>
        <v/>
      </c>
      <c r="AD878" s="12">
        <f t="shared" si="227"/>
        <v>6.638330133413695</v>
      </c>
      <c r="AE878" s="12" t="str">
        <f t="shared" si="228"/>
        <v/>
      </c>
      <c r="AF878" s="12" t="str">
        <f t="shared" si="229"/>
        <v/>
      </c>
      <c r="AG878" t="str">
        <f>VLOOKUP(J878,'Receivable Invoice Detail'!$A$1:F3890,6,FALSE)</f>
        <v>[G-0B10588 1216] Impeller, 2x3-13, 3196 LTX, CD4MCu, 5-Vane</v>
      </c>
      <c r="AM878" s="12" t="str">
        <f t="shared" si="230"/>
        <v/>
      </c>
      <c r="AN878" s="12">
        <f t="shared" si="231"/>
        <v>6.638330133413695</v>
      </c>
      <c r="AO878" s="12" t="str">
        <f t="shared" si="232"/>
        <v/>
      </c>
      <c r="AP878" s="12" t="str">
        <f t="shared" si="233"/>
        <v/>
      </c>
      <c r="AQ878" s="64">
        <f>M878</f>
        <v>2504</v>
      </c>
      <c r="AR878" t="s">
        <v>5931</v>
      </c>
      <c r="AS878" s="12">
        <f t="shared" si="239"/>
        <v>3.2095107449515745</v>
      </c>
      <c r="AT878" s="16" t="str">
        <f t="shared" si="240"/>
        <v>Yes</v>
      </c>
    </row>
    <row r="879" spans="1:46" hidden="1" x14ac:dyDescent="0.25">
      <c r="A879" s="41">
        <f>CASOPOInvCL!T879</f>
        <v>1</v>
      </c>
      <c r="B879" t="str">
        <f>CASOPOInvCL!Z879</f>
        <v>SO17715</v>
      </c>
      <c r="D879" t="s">
        <v>5851</v>
      </c>
      <c r="G879" s="5" t="str">
        <f>CASOPOInvCL!I879</f>
        <v>Alexis Gil Lamadrid</v>
      </c>
      <c r="H879" s="31">
        <f>CASOPOInvCL!U879</f>
        <v>8</v>
      </c>
      <c r="I879" s="31">
        <f>CASOPOInvCL!V879</f>
        <v>2025</v>
      </c>
      <c r="J879" s="5" t="str">
        <f>CASOPOInvCL!AB879</f>
        <v>INV13385</v>
      </c>
      <c r="K879" s="31">
        <f>CASOPOInvCL!W879</f>
        <v>10</v>
      </c>
      <c r="L879" s="31">
        <f>CASOPOInvCL!X879</f>
        <v>2025</v>
      </c>
      <c r="M879">
        <v>2504</v>
      </c>
      <c r="N879" s="5" t="str">
        <f>CASOPOInvCL!AF879</f>
        <v>Dome Mine Ltd</v>
      </c>
      <c r="O879" s="16" t="str">
        <f>CASOPOInvCL!AG879</f>
        <v>CAD</v>
      </c>
      <c r="P879" s="16">
        <f>CASOPOInvCL!AH879</f>
        <v>389.39</v>
      </c>
      <c r="Q879" s="16">
        <f>CASOPOInvCL!AI879</f>
        <v>280.11727837125181</v>
      </c>
      <c r="R879" s="32" t="str">
        <f>CASOPOInvCL!AU879</f>
        <v>Yes</v>
      </c>
      <c r="S879" s="16">
        <f>CASOPOInvCL!AV879</f>
        <v>0</v>
      </c>
      <c r="T879" s="16">
        <f>CASOPOInvCL!AW879</f>
        <v>280.11727837125181</v>
      </c>
      <c r="V879" t="s">
        <v>5800</v>
      </c>
      <c r="Y879" s="29" t="str">
        <f>IFERROR(HLOOKUP(U879,List!$D$2:$H$6,2,FALSE),"")</f>
        <v/>
      </c>
      <c r="Z879" s="29">
        <f>IFERROR(HLOOKUP(V879,List!$D$2:$H$6,3,FALSE),"")</f>
        <v>5.0000000000000001E-3</v>
      </c>
      <c r="AA879" s="29" t="str">
        <f>IFERROR(HLOOKUP(W879,List!$D$2:$H$6,4,FALSE),"")</f>
        <v/>
      </c>
      <c r="AB879" s="29" t="str">
        <f>IFERROR(HLOOKUP(X879,List!$D$2:$H$6,5,FALSE),"")</f>
        <v/>
      </c>
      <c r="AC879" s="12" t="str">
        <f t="shared" si="226"/>
        <v/>
      </c>
      <c r="AD879" s="12">
        <f t="shared" si="227"/>
        <v>1.4005863918562591</v>
      </c>
      <c r="AE879" s="12" t="str">
        <f t="shared" si="228"/>
        <v/>
      </c>
      <c r="AF879" s="12" t="str">
        <f t="shared" si="229"/>
        <v/>
      </c>
      <c r="AG879" t="str">
        <f>VLOOKUP(J879,'Receivable Invoice Detail'!$A$1:F3891,6,FALSE)</f>
        <v>[G-D08717A06 6241] Thrust Bearing Labyrinth Seal (Inboard) w/O-Rings, 3196 LTX, Carbon Teflon w/Viton</v>
      </c>
      <c r="AM879" s="12" t="str">
        <f t="shared" si="230"/>
        <v/>
      </c>
      <c r="AN879" s="12">
        <f t="shared" si="231"/>
        <v>1.4005863918562591</v>
      </c>
      <c r="AO879" s="12" t="str">
        <f t="shared" si="232"/>
        <v/>
      </c>
      <c r="AP879" s="12" t="str">
        <f t="shared" si="233"/>
        <v/>
      </c>
      <c r="AQ879" s="64">
        <f>M879</f>
        <v>2504</v>
      </c>
      <c r="AR879" t="s">
        <v>5931</v>
      </c>
      <c r="AS879" s="12">
        <f t="shared" si="239"/>
        <v>2.8601615176551189</v>
      </c>
      <c r="AT879" s="16" t="str">
        <f t="shared" si="240"/>
        <v>Yes</v>
      </c>
    </row>
    <row r="880" spans="1:46" hidden="1" x14ac:dyDescent="0.25">
      <c r="A880" s="41">
        <f>CASOPOInvCL!T880</f>
        <v>1</v>
      </c>
      <c r="B880" t="str">
        <f>CASOPOInvCL!Z880</f>
        <v>SO17718</v>
      </c>
      <c r="E880" t="s">
        <v>5847</v>
      </c>
      <c r="G880" s="5" t="str">
        <f>CASOPOInvCL!I880</f>
        <v>Amanda Qiao</v>
      </c>
      <c r="H880" s="31">
        <f>CASOPOInvCL!U880</f>
        <v>8</v>
      </c>
      <c r="I880" s="31">
        <f>CASOPOInvCL!V880</f>
        <v>2025</v>
      </c>
      <c r="J880" s="5" t="str">
        <f>CASOPOInvCL!AB880</f>
        <v>INV13739</v>
      </c>
      <c r="K880" s="31" t="str">
        <f>CASOPOInvCL!W880</f>
        <v/>
      </c>
      <c r="L880" s="31" t="str">
        <f>CASOPOInvCL!X880</f>
        <v/>
      </c>
      <c r="M880" s="31"/>
      <c r="N880" s="5" t="str">
        <f>CASOPOInvCL!AF880</f>
        <v>Barrick Gold - Pueblo Viejo Dominicana Corporation</v>
      </c>
      <c r="O880" s="16" t="str">
        <f>CASOPOInvCL!AG880</f>
        <v>USD</v>
      </c>
      <c r="P880" s="16">
        <f>CASOPOInvCL!AH880</f>
        <v>48094.406342432107</v>
      </c>
      <c r="Q880" s="16">
        <f>CASOPOInvCL!AI880</f>
        <v>34786</v>
      </c>
      <c r="R880" s="32" t="str">
        <f>CASOPOInvCL!AU880</f>
        <v/>
      </c>
      <c r="S880" s="16">
        <f>CASOPOInvCL!AV880</f>
        <v>0</v>
      </c>
      <c r="T880" s="16">
        <f>CASOPOInvCL!AW880</f>
        <v>0</v>
      </c>
      <c r="Y880" s="29" t="str">
        <f>IFERROR(HLOOKUP(U880,List!$D$2:$H$6,2,FALSE),"")</f>
        <v/>
      </c>
      <c r="Z880" s="29" t="str">
        <f>IFERROR(HLOOKUP(V880,List!$D$2:$H$6,3,FALSE),"")</f>
        <v/>
      </c>
      <c r="AA880" s="29" t="str">
        <f>IFERROR(HLOOKUP(W880,List!$D$2:$H$6,4,FALSE),"")</f>
        <v/>
      </c>
      <c r="AB880" s="29" t="str">
        <f>IFERROR(HLOOKUP(X880,List!$D$2:$H$6,5,FALSE),"")</f>
        <v/>
      </c>
      <c r="AC880" s="12" t="str">
        <f t="shared" si="226"/>
        <v/>
      </c>
      <c r="AD880" s="12" t="str">
        <f t="shared" si="227"/>
        <v/>
      </c>
      <c r="AE880" s="12" t="str">
        <f t="shared" si="228"/>
        <v/>
      </c>
      <c r="AF880" s="12" t="str">
        <f t="shared" si="229"/>
        <v/>
      </c>
      <c r="AG880" t="str">
        <f>VLOOKUP(J880,'Receivable Invoice Detail'!$A$1:F3892,6,FALSE)</f>
        <v>Mag Drive Gear Pump, Micropump GLH-H25, With Motor</v>
      </c>
      <c r="AM880" s="12" t="str">
        <f t="shared" si="230"/>
        <v/>
      </c>
      <c r="AN880" s="12" t="str">
        <f t="shared" si="231"/>
        <v/>
      </c>
      <c r="AO880" s="12" t="str">
        <f t="shared" si="232"/>
        <v/>
      </c>
      <c r="AP880" s="12" t="str">
        <f t="shared" si="233"/>
        <v/>
      </c>
      <c r="AQ880" s="64"/>
      <c r="AR880" s="64" t="s">
        <v>5951</v>
      </c>
      <c r="AS880" s="12">
        <f t="shared" si="239"/>
        <v>15.004726186630601</v>
      </c>
      <c r="AT880" s="16" t="str">
        <f t="shared" si="240"/>
        <v>Yes</v>
      </c>
    </row>
    <row r="881" spans="1:46" hidden="1" x14ac:dyDescent="0.25">
      <c r="A881" s="41">
        <f>CASOPOInvCL!T881</f>
        <v>1</v>
      </c>
      <c r="B881" t="str">
        <f>CASOPOInvCL!Z881</f>
        <v>SO17719</v>
      </c>
      <c r="D881" t="s">
        <v>5851</v>
      </c>
      <c r="G881" s="5" t="str">
        <f>CASOPOInvCL!I881</f>
        <v>Ian Trottier</v>
      </c>
      <c r="H881" s="31">
        <f>CASOPOInvCL!U881</f>
        <v>8</v>
      </c>
      <c r="I881" s="31">
        <f>CASOPOInvCL!V881</f>
        <v>2025</v>
      </c>
      <c r="J881" s="5" t="str">
        <f>CASOPOInvCL!AB881</f>
        <v>INV13342</v>
      </c>
      <c r="K881" s="31">
        <f>CASOPOInvCL!W881</f>
        <v>10</v>
      </c>
      <c r="L881" s="31">
        <f>CASOPOInvCL!X881</f>
        <v>2025</v>
      </c>
      <c r="M881">
        <v>2504</v>
      </c>
      <c r="N881" s="5" t="str">
        <f>CASOPOInvCL!AF881</f>
        <v>Resolute Forest Products - Clermont</v>
      </c>
      <c r="O881" s="16" t="str">
        <f>CASOPOInvCL!AG881</f>
        <v>CAD</v>
      </c>
      <c r="P881" s="16">
        <f>CASOPOInvCL!AH881</f>
        <v>569.88</v>
      </c>
      <c r="Q881" s="16">
        <f>CASOPOInvCL!AI881</f>
        <v>411.63083827808413</v>
      </c>
      <c r="R881" s="32" t="str">
        <f>CASOPOInvCL!AU881</f>
        <v>Yes</v>
      </c>
      <c r="S881" s="16">
        <f>CASOPOInvCL!AV881</f>
        <v>0</v>
      </c>
      <c r="T881" s="16">
        <f>CASOPOInvCL!AW881</f>
        <v>411.63083827808413</v>
      </c>
      <c r="V881" s="59" t="s">
        <v>5800</v>
      </c>
      <c r="Y881" s="29" t="str">
        <f>IFERROR(HLOOKUP(U881,List!$D$2:$H$6,2,FALSE),"")</f>
        <v/>
      </c>
      <c r="Z881" s="29">
        <f>IFERROR(HLOOKUP(V881,List!$D$2:$H$6,3,FALSE),"")</f>
        <v>5.0000000000000001E-3</v>
      </c>
      <c r="AA881" s="29" t="str">
        <f>IFERROR(HLOOKUP(W881,List!$D$2:$H$6,4,FALSE),"")</f>
        <v/>
      </c>
      <c r="AB881" s="29" t="str">
        <f>IFERROR(HLOOKUP(X881,List!$D$2:$H$6,5,FALSE),"")</f>
        <v/>
      </c>
      <c r="AC881" s="12" t="str">
        <f t="shared" si="226"/>
        <v/>
      </c>
      <c r="AD881" s="12">
        <f t="shared" si="227"/>
        <v>2.0581541913904209</v>
      </c>
      <c r="AE881" s="12" t="str">
        <f t="shared" si="228"/>
        <v/>
      </c>
      <c r="AF881" s="12" t="str">
        <f t="shared" si="229"/>
        <v/>
      </c>
      <c r="AG881" t="str">
        <f>VLOOKUP(J881,'Receivable Invoice Detail'!$A$1:F3893,6,FALSE)</f>
        <v>[G-262-93 1013] Frame Adapter, 10", 3196 MTX/LTX, Ductile Iron</v>
      </c>
      <c r="AM881" s="12" t="str">
        <f t="shared" si="230"/>
        <v/>
      </c>
      <c r="AN881" s="12">
        <f t="shared" si="231"/>
        <v>2.0581541913904209</v>
      </c>
      <c r="AO881" s="12" t="str">
        <f t="shared" si="232"/>
        <v/>
      </c>
      <c r="AP881" s="12" t="str">
        <f t="shared" si="233"/>
        <v/>
      </c>
      <c r="AQ881" s="64">
        <f>M881</f>
        <v>2504</v>
      </c>
      <c r="AR881" t="s">
        <v>5931</v>
      </c>
      <c r="AS881" s="12">
        <f t="shared" si="239"/>
        <v>31.498892570370099</v>
      </c>
      <c r="AT881" s="16" t="str">
        <f t="shared" si="240"/>
        <v/>
      </c>
    </row>
    <row r="882" spans="1:46" hidden="1" x14ac:dyDescent="0.25">
      <c r="A882" s="41">
        <f>CASOPOInvCL!T882</f>
        <v>1</v>
      </c>
      <c r="B882" t="str">
        <f>CASOPOInvCL!Z882</f>
        <v>SO17721</v>
      </c>
      <c r="G882" s="5" t="str">
        <f>CASOPOInvCL!I882</f>
        <v>Alexis Gil Lamadrid</v>
      </c>
      <c r="H882" s="31">
        <f>CASOPOInvCL!U882</f>
        <v>8</v>
      </c>
      <c r="I882" s="31">
        <f>CASOPOInvCL!V882</f>
        <v>2025</v>
      </c>
      <c r="J882" s="5" t="str">
        <f>CASOPOInvCL!AB882</f>
        <v>INV13606</v>
      </c>
      <c r="K882" s="31">
        <f>CASOPOInvCL!W882</f>
        <v>12</v>
      </c>
      <c r="L882" s="31">
        <f>CASOPOInvCL!X882</f>
        <v>2025</v>
      </c>
      <c r="M882" s="31"/>
      <c r="N882" s="5" t="str">
        <f>CASOPOInvCL!AF882</f>
        <v>Les Pompes Diaspec Inc.</v>
      </c>
      <c r="O882" s="16" t="str">
        <f>CASOPOInvCL!AG882</f>
        <v>CAD</v>
      </c>
      <c r="P882" s="16">
        <f>CASOPOInvCL!AH882</f>
        <v>256.17</v>
      </c>
      <c r="Q882" s="16">
        <f>CASOPOInvCL!AI882</f>
        <v>185.53329540069151</v>
      </c>
      <c r="R882" s="32" t="str">
        <f>CASOPOInvCL!AU882</f>
        <v>Yes</v>
      </c>
      <c r="S882" s="16">
        <f>CASOPOInvCL!AV882</f>
        <v>35</v>
      </c>
      <c r="T882" s="16">
        <f>CASOPOInvCL!AW882</f>
        <v>150.53329540069151</v>
      </c>
      <c r="Y882" s="29" t="str">
        <f>IFERROR(HLOOKUP(U882,List!$D$2:$H$6,2,FALSE),"")</f>
        <v/>
      </c>
      <c r="Z882" s="29" t="str">
        <f>IFERROR(HLOOKUP(V882,List!$D$2:$H$6,3,FALSE),"")</f>
        <v/>
      </c>
      <c r="AA882" s="29" t="str">
        <f>IFERROR(HLOOKUP(W882,List!$D$2:$H$6,4,FALSE),"")</f>
        <v/>
      </c>
      <c r="AB882" s="29" t="str">
        <f>IFERROR(HLOOKUP(X882,List!$D$2:$H$6,5,FALSE),"")</f>
        <v/>
      </c>
      <c r="AC882" s="12" t="str">
        <f t="shared" si="226"/>
        <v/>
      </c>
      <c r="AD882" s="12" t="str">
        <f t="shared" si="227"/>
        <v/>
      </c>
      <c r="AE882" s="12" t="str">
        <f t="shared" si="228"/>
        <v/>
      </c>
      <c r="AF882" s="12" t="str">
        <f t="shared" si="229"/>
        <v/>
      </c>
      <c r="AG882" t="str">
        <f>VLOOKUP(J882,'Receivable Invoice Detail'!$A$1:F3894,6,FALSE)</f>
        <v>[AC-52-430-298-006] Seal Cage (Lantern Ring), Allis Chalmers PWO, Group 2</v>
      </c>
      <c r="AM882" s="12" t="str">
        <f t="shared" si="230"/>
        <v/>
      </c>
      <c r="AN882" s="12" t="str">
        <f t="shared" si="231"/>
        <v/>
      </c>
      <c r="AO882" s="12" t="str">
        <f t="shared" si="232"/>
        <v/>
      </c>
      <c r="AP882" s="12" t="str">
        <f t="shared" si="233"/>
        <v/>
      </c>
      <c r="AQ882" s="12"/>
      <c r="AS882" s="12">
        <f t="shared" si="239"/>
        <v>29.911499999999997</v>
      </c>
      <c r="AT882" s="16" t="str">
        <f t="shared" si="240"/>
        <v>Yes</v>
      </c>
    </row>
    <row r="883" spans="1:46" hidden="1" x14ac:dyDescent="0.25">
      <c r="A883" s="41">
        <f>CASOPOInvCL!T883</f>
        <v>1</v>
      </c>
      <c r="B883" t="str">
        <f>CASOPOInvCL!Z883</f>
        <v>SO17723</v>
      </c>
      <c r="D883" t="s">
        <v>5851</v>
      </c>
      <c r="G883" s="5" t="str">
        <f>CASOPOInvCL!I883</f>
        <v>Ian Trottier</v>
      </c>
      <c r="H883" s="31">
        <f>CASOPOInvCL!U883</f>
        <v>8</v>
      </c>
      <c r="I883" s="31">
        <f>CASOPOInvCL!V883</f>
        <v>2025</v>
      </c>
      <c r="J883" s="5" t="str">
        <f>CASOPOInvCL!AB883</f>
        <v>INV13350</v>
      </c>
      <c r="K883" s="31">
        <f>CASOPOInvCL!W883</f>
        <v>10</v>
      </c>
      <c r="L883" s="31">
        <f>CASOPOInvCL!X883</f>
        <v>2025</v>
      </c>
      <c r="M883">
        <v>2504</v>
      </c>
      <c r="N883" s="5" t="str">
        <f>CASOPOInvCL!AF883</f>
        <v>Hyperflo</v>
      </c>
      <c r="O883" s="16" t="str">
        <f>CASOPOInvCL!AG883</f>
        <v>CAD</v>
      </c>
      <c r="P883" s="16">
        <f>CASOPOInvCL!AH883</f>
        <v>107.56</v>
      </c>
      <c r="Q883" s="16">
        <f>CASOPOInvCL!AI883</f>
        <v>77.763695517270463</v>
      </c>
      <c r="R883" s="32" t="str">
        <f>CASOPOInvCL!AU883</f>
        <v>Yes</v>
      </c>
      <c r="S883" s="16">
        <f>CASOPOInvCL!AV883</f>
        <v>0</v>
      </c>
      <c r="T883" s="16">
        <f>CASOPOInvCL!AW883</f>
        <v>77.763695517270463</v>
      </c>
      <c r="V883" t="s">
        <v>5800</v>
      </c>
      <c r="Y883" s="29" t="str">
        <f>IFERROR(HLOOKUP(U883,List!$D$2:$H$6,2,FALSE),"")</f>
        <v/>
      </c>
      <c r="Z883" s="29">
        <f>IFERROR(HLOOKUP(V883,List!$D$2:$H$6,3,FALSE),"")</f>
        <v>5.0000000000000001E-3</v>
      </c>
      <c r="AA883" s="29" t="str">
        <f>IFERROR(HLOOKUP(W883,List!$D$2:$H$6,4,FALSE),"")</f>
        <v/>
      </c>
      <c r="AB883" s="29" t="str">
        <f>IFERROR(HLOOKUP(X883,List!$D$2:$H$6,5,FALSE),"")</f>
        <v/>
      </c>
      <c r="AC883" s="12" t="str">
        <f t="shared" si="226"/>
        <v/>
      </c>
      <c r="AD883" s="12">
        <f t="shared" si="227"/>
        <v>0.38881847758635235</v>
      </c>
      <c r="AE883" s="12" t="str">
        <f t="shared" si="228"/>
        <v/>
      </c>
      <c r="AF883" s="12" t="str">
        <f t="shared" si="229"/>
        <v/>
      </c>
      <c r="AG883" t="str">
        <f>VLOOKUP(J883,'Receivable Invoice Detail'!$A$1:F3895,6,FALSE)</f>
        <v>[AC-98-332-013-811] Fastener Kit (Suction Side Liner), 5x4-14 SRL-C or 6x6-15 SRL</v>
      </c>
      <c r="AM883" s="12" t="str">
        <f t="shared" si="230"/>
        <v/>
      </c>
      <c r="AN883" s="12">
        <f t="shared" si="231"/>
        <v>0.38881847758635235</v>
      </c>
      <c r="AO883" s="12" t="str">
        <f t="shared" si="232"/>
        <v/>
      </c>
      <c r="AP883" s="12" t="str">
        <f t="shared" si="233"/>
        <v/>
      </c>
      <c r="AQ883" s="64">
        <f>M883</f>
        <v>2504</v>
      </c>
      <c r="AR883" t="s">
        <v>5931</v>
      </c>
      <c r="AS883" s="12">
        <f t="shared" si="239"/>
        <v>0</v>
      </c>
      <c r="AT883" s="16" t="str">
        <f t="shared" si="240"/>
        <v>Yes</v>
      </c>
    </row>
    <row r="884" spans="1:46" hidden="1" x14ac:dyDescent="0.25">
      <c r="A884" s="41">
        <f>CASOPOInvCL!T884</f>
        <v>1</v>
      </c>
      <c r="B884" t="str">
        <f>CASOPOInvCL!Z884</f>
        <v>SO17727</v>
      </c>
      <c r="G884" s="5" t="str">
        <f>CASOPOInvCL!I884</f>
        <v>Alexis Gil Lamadrid</v>
      </c>
      <c r="H884" s="31">
        <f>CASOPOInvCL!U884</f>
        <v>8</v>
      </c>
      <c r="I884" s="31">
        <f>CASOPOInvCL!V884</f>
        <v>2025</v>
      </c>
      <c r="J884" s="5" t="str">
        <f>CASOPOInvCL!AB884</f>
        <v>INV13635</v>
      </c>
      <c r="K884" s="31">
        <f>CASOPOInvCL!W884</f>
        <v>12</v>
      </c>
      <c r="L884" s="31">
        <f>CASOPOInvCL!X884</f>
        <v>2025</v>
      </c>
      <c r="M884" s="31"/>
      <c r="N884" s="5" t="str">
        <f>CASOPOInvCL!AF884</f>
        <v>DRN Industriel</v>
      </c>
      <c r="O884" s="16" t="str">
        <f>CASOPOInvCL!AG884</f>
        <v>CAD</v>
      </c>
      <c r="P884" s="16">
        <f>CASOPOInvCL!AH884</f>
        <v>3783.68</v>
      </c>
      <c r="Q884" s="16">
        <f>CASOPOInvCL!AI884</f>
        <v>2732.9953151119903</v>
      </c>
      <c r="R884" s="32" t="str">
        <f>CASOPOInvCL!AU884</f>
        <v>Yes</v>
      </c>
      <c r="S884" s="16">
        <f>CASOPOInvCL!AV884</f>
        <v>0</v>
      </c>
      <c r="T884" s="16">
        <f>CASOPOInvCL!AW884</f>
        <v>2732.9953151119903</v>
      </c>
      <c r="Y884" s="29" t="str">
        <f>IFERROR(HLOOKUP(U884,List!$D$2:$H$6,2,FALSE),"")</f>
        <v/>
      </c>
      <c r="Z884" s="29" t="str">
        <f>IFERROR(HLOOKUP(V884,List!$D$2:$H$6,3,FALSE),"")</f>
        <v/>
      </c>
      <c r="AA884" s="29" t="str">
        <f>IFERROR(HLOOKUP(W884,List!$D$2:$H$6,4,FALSE),"")</f>
        <v/>
      </c>
      <c r="AB884" s="29" t="str">
        <f>IFERROR(HLOOKUP(X884,List!$D$2:$H$6,5,FALSE),"")</f>
        <v/>
      </c>
      <c r="AC884" s="12" t="str">
        <f t="shared" si="226"/>
        <v/>
      </c>
      <c r="AD884" s="12" t="str">
        <f t="shared" si="227"/>
        <v/>
      </c>
      <c r="AE884" s="12" t="str">
        <f t="shared" si="228"/>
        <v/>
      </c>
      <c r="AF884" s="12" t="str">
        <f t="shared" si="229"/>
        <v/>
      </c>
      <c r="AG884" t="str">
        <f>VLOOKUP(J884,'Receivable Invoice Detail'!$A$1:F3896,6,FALSE)</f>
        <v>[GA-20DELSLV] Valve (Sleeve), 2" G-Series VSP, Delta Series, Natural Rubber</v>
      </c>
      <c r="AM884" s="12" t="str">
        <f t="shared" si="230"/>
        <v/>
      </c>
      <c r="AN884" s="12" t="str">
        <f t="shared" si="231"/>
        <v/>
      </c>
      <c r="AO884" s="12" t="str">
        <f t="shared" si="232"/>
        <v/>
      </c>
      <c r="AP884" s="12" t="str">
        <f t="shared" si="233"/>
        <v/>
      </c>
      <c r="AQ884" s="12"/>
      <c r="AS884" s="12">
        <f t="shared" si="239"/>
        <v>19.914990400241084</v>
      </c>
      <c r="AT884" s="16" t="str">
        <f t="shared" si="240"/>
        <v/>
      </c>
    </row>
    <row r="885" spans="1:46" hidden="1" x14ac:dyDescent="0.25">
      <c r="A885" s="41">
        <f>CASOPOInvCL!T885</f>
        <v>1</v>
      </c>
      <c r="B885" t="str">
        <f>CASOPOInvCL!Z885</f>
        <v>SO17729</v>
      </c>
      <c r="D885" t="s">
        <v>5851</v>
      </c>
      <c r="G885" s="5" t="str">
        <f>CASOPOInvCL!I885</f>
        <v>Marlen Martinez</v>
      </c>
      <c r="H885" s="31">
        <f>CASOPOInvCL!U885</f>
        <v>8</v>
      </c>
      <c r="I885" s="31">
        <f>CASOPOInvCL!V885</f>
        <v>2025</v>
      </c>
      <c r="J885" s="5" t="str">
        <f>CASOPOInvCL!AB885</f>
        <v>INV13403</v>
      </c>
      <c r="K885" s="31">
        <f>CASOPOInvCL!W885</f>
        <v>11</v>
      </c>
      <c r="L885" s="31">
        <f>CASOPOInvCL!X885</f>
        <v>2025</v>
      </c>
      <c r="M885">
        <v>2504</v>
      </c>
      <c r="N885" s="5" t="str">
        <f>CASOPOInvCL!AF885</f>
        <v>Electric Pump</v>
      </c>
      <c r="O885" s="16" t="str">
        <f>CASOPOInvCL!AG885</f>
        <v>USD</v>
      </c>
      <c r="P885" s="16">
        <f>CASOPOInvCL!AH885</f>
        <v>2275.9284803376077</v>
      </c>
      <c r="Q885" s="16">
        <f>CASOPOInvCL!AI885</f>
        <v>1651</v>
      </c>
      <c r="R885" s="32" t="str">
        <f>CASOPOInvCL!AU885</f>
        <v>Yes</v>
      </c>
      <c r="S885" s="16">
        <f>CASOPOInvCL!AV885</f>
        <v>591</v>
      </c>
      <c r="T885" s="16">
        <f>CASOPOInvCL!AW885</f>
        <v>1060</v>
      </c>
      <c r="V885" t="s">
        <v>5800</v>
      </c>
      <c r="Y885" s="29" t="str">
        <f>IFERROR(HLOOKUP(U885,List!$D$2:$H$6,2,FALSE),"")</f>
        <v/>
      </c>
      <c r="Z885" s="29">
        <f>IFERROR(HLOOKUP(V885,List!$D$2:$H$6,3,FALSE),"")</f>
        <v>5.0000000000000001E-3</v>
      </c>
      <c r="AA885" s="29" t="str">
        <f>IFERROR(HLOOKUP(W885,List!$D$2:$H$6,4,FALSE),"")</f>
        <v/>
      </c>
      <c r="AB885" s="29" t="str">
        <f>IFERROR(HLOOKUP(X885,List!$D$2:$H$6,5,FALSE),"")</f>
        <v/>
      </c>
      <c r="AC885" s="12" t="str">
        <f t="shared" si="226"/>
        <v/>
      </c>
      <c r="AD885" s="12">
        <f t="shared" si="227"/>
        <v>5.3</v>
      </c>
      <c r="AE885" s="12" t="str">
        <f t="shared" si="228"/>
        <v/>
      </c>
      <c r="AF885" s="12" t="str">
        <f t="shared" si="229"/>
        <v/>
      </c>
      <c r="AG885" t="str">
        <f>VLOOKUP(J885,'Receivable Invoice Detail'!$A$1:F3897,6,FALSE)</f>
        <v>[W-F078/D21] Stuffing Box, 8/6 F-AH, Ductile Iron</v>
      </c>
      <c r="AM885" s="12" t="str">
        <f t="shared" si="230"/>
        <v/>
      </c>
      <c r="AN885" s="12">
        <f t="shared" si="231"/>
        <v>5.3</v>
      </c>
      <c r="AO885" s="12" t="str">
        <f t="shared" si="232"/>
        <v/>
      </c>
      <c r="AP885" s="12" t="str">
        <f t="shared" si="233"/>
        <v/>
      </c>
      <c r="AQ885" s="64">
        <f>M885</f>
        <v>2504</v>
      </c>
      <c r="AR885" t="s">
        <v>5931</v>
      </c>
      <c r="AS885" s="12">
        <f t="shared" si="239"/>
        <v>4.2017591755687773</v>
      </c>
      <c r="AT885" s="16" t="str">
        <f t="shared" si="240"/>
        <v>Yes</v>
      </c>
    </row>
    <row r="886" spans="1:46" hidden="1" x14ac:dyDescent="0.25">
      <c r="A886" s="41">
        <f>CASOPOInvCL!T886</f>
        <v>1</v>
      </c>
      <c r="B886" t="str">
        <f>CASOPOInvCL!Z886</f>
        <v>SO17731</v>
      </c>
      <c r="D886" t="s">
        <v>5915</v>
      </c>
      <c r="G886" s="5" t="str">
        <f>CASOPOInvCL!I886</f>
        <v>Wilka Nuñez</v>
      </c>
      <c r="H886" s="31">
        <f>CASOPOInvCL!U886</f>
        <v>8</v>
      </c>
      <c r="I886" s="31">
        <f>CASOPOInvCL!V886</f>
        <v>2025</v>
      </c>
      <c r="J886" s="5" t="str">
        <f>CASOPOInvCL!AB886</f>
        <v>INV13348</v>
      </c>
      <c r="K886" s="31">
        <f>CASOPOInvCL!W886</f>
        <v>10</v>
      </c>
      <c r="L886" s="31">
        <f>CASOPOInvCL!X886</f>
        <v>2025</v>
      </c>
      <c r="M886">
        <v>2504</v>
      </c>
      <c r="N886" s="5" t="str">
        <f>CASOPOInvCL!AF886</f>
        <v>ProPart Pompes du Canada 9425-4380 Quebec Inc</v>
      </c>
      <c r="O886" s="16" t="str">
        <f>CASOPOInvCL!AG886</f>
        <v>CAD</v>
      </c>
      <c r="P886" s="16">
        <f>CASOPOInvCL!AH886</f>
        <v>113.96</v>
      </c>
      <c r="Q886" s="16">
        <f>CASOPOInvCL!AI886</f>
        <v>82.390765536892346</v>
      </c>
      <c r="R886" s="32" t="str">
        <f>CASOPOInvCL!AU886</f>
        <v>Yes</v>
      </c>
      <c r="S886" s="16">
        <f>CASOPOInvCL!AV886</f>
        <v>0</v>
      </c>
      <c r="T886" s="16">
        <f>CASOPOInvCL!AW886</f>
        <v>82.390765536892346</v>
      </c>
      <c r="V886" t="s">
        <v>5800</v>
      </c>
      <c r="Y886" s="29" t="str">
        <f>IFERROR(HLOOKUP(U886,List!$D$2:$H$6,2,FALSE),"")</f>
        <v/>
      </c>
      <c r="Z886" s="29">
        <f>IFERROR(HLOOKUP(V886,List!$D$2:$H$6,3,FALSE),"")</f>
        <v>5.0000000000000001E-3</v>
      </c>
      <c r="AA886" s="29" t="str">
        <f>IFERROR(HLOOKUP(W886,List!$D$2:$H$6,4,FALSE),"")</f>
        <v/>
      </c>
      <c r="AB886" s="29" t="str">
        <f>IFERROR(HLOOKUP(X886,List!$D$2:$H$6,5,FALSE),"")</f>
        <v/>
      </c>
      <c r="AC886" s="12" t="str">
        <f t="shared" si="226"/>
        <v/>
      </c>
      <c r="AD886" s="12">
        <f t="shared" si="227"/>
        <v>0.41195382768446176</v>
      </c>
      <c r="AE886" s="12" t="str">
        <f t="shared" si="228"/>
        <v/>
      </c>
      <c r="AF886" s="12" t="str">
        <f t="shared" si="229"/>
        <v/>
      </c>
      <c r="AG886" t="str">
        <f>VLOOKUP(J886,'Receivable Invoice Detail'!$A$1:F3898,6,FALSE)</f>
        <v>[AC-98-430-807-010] Bearing Cover Gasket (Inboard &amp; Outboard), 10x8-21 SRL-C OLD STYLE</v>
      </c>
      <c r="AM886" s="12" t="str">
        <f t="shared" si="230"/>
        <v/>
      </c>
      <c r="AN886" s="12">
        <f t="shared" si="231"/>
        <v>0.41195382768446176</v>
      </c>
      <c r="AO886" s="12" t="str">
        <f t="shared" si="232"/>
        <v/>
      </c>
      <c r="AP886" s="12" t="str">
        <f t="shared" si="233"/>
        <v/>
      </c>
      <c r="AQ886" s="64">
        <f>M886</f>
        <v>2504</v>
      </c>
      <c r="AR886" t="s">
        <v>5931</v>
      </c>
      <c r="AS886" s="12">
        <f t="shared" si="239"/>
        <v>0</v>
      </c>
      <c r="AT886" s="16" t="str">
        <f t="shared" si="240"/>
        <v>Yes</v>
      </c>
    </row>
    <row r="887" spans="1:46" hidden="1" x14ac:dyDescent="0.25">
      <c r="A887" s="41">
        <f>CASOPOInvCL!T887</f>
        <v>1</v>
      </c>
      <c r="B887" t="str">
        <f>CASOPOInvCL!Z887</f>
        <v>SO17737</v>
      </c>
      <c r="D887" t="s">
        <v>5851</v>
      </c>
      <c r="G887" s="5" t="str">
        <f>CASOPOInvCL!I887</f>
        <v>Ian Trottier</v>
      </c>
      <c r="H887" s="31">
        <f>CASOPOInvCL!U887</f>
        <v>8</v>
      </c>
      <c r="I887" s="31">
        <f>CASOPOInvCL!V887</f>
        <v>2025</v>
      </c>
      <c r="J887" s="5" t="str">
        <f>CASOPOInvCL!AB887</f>
        <v>INV13339</v>
      </c>
      <c r="K887" s="31">
        <f>CASOPOInvCL!W887</f>
        <v>10</v>
      </c>
      <c r="L887" s="31">
        <f>CASOPOInvCL!X887</f>
        <v>2025</v>
      </c>
      <c r="M887">
        <v>2504</v>
      </c>
      <c r="N887" s="5" t="str">
        <f>CASOPOInvCL!AF887</f>
        <v>Cartledge &amp; Associates Inc.</v>
      </c>
      <c r="O887" s="16" t="str">
        <f>CASOPOInvCL!AG887</f>
        <v>USD</v>
      </c>
      <c r="P887" s="16">
        <f>CASOPOInvCL!AH887</f>
        <v>4528.6280145801593</v>
      </c>
      <c r="Q887" s="16">
        <f>CASOPOInvCL!AI887</f>
        <v>3257.78</v>
      </c>
      <c r="R887" s="32" t="str">
        <f>CASOPOInvCL!AU887</f>
        <v>Yes</v>
      </c>
      <c r="S887" s="16">
        <f>CASOPOInvCL!AV887</f>
        <v>590</v>
      </c>
      <c r="T887" s="16">
        <f>CASOPOInvCL!AW887</f>
        <v>2667.78</v>
      </c>
      <c r="V887" t="s">
        <v>5800</v>
      </c>
      <c r="Y887" s="29" t="str">
        <f>IFERROR(HLOOKUP(U887,List!$D$2:$H$6,2,FALSE),"")</f>
        <v/>
      </c>
      <c r="Z887" s="29">
        <f>IFERROR(HLOOKUP(V887,List!$D$2:$H$6,3,FALSE),"")</f>
        <v>5.0000000000000001E-3</v>
      </c>
      <c r="AA887" s="29" t="str">
        <f>IFERROR(HLOOKUP(W887,List!$D$2:$H$6,4,FALSE),"")</f>
        <v/>
      </c>
      <c r="AB887" s="29" t="str">
        <f>IFERROR(HLOOKUP(X887,List!$D$2:$H$6,5,FALSE),"")</f>
        <v/>
      </c>
      <c r="AC887" s="12" t="str">
        <f t="shared" si="226"/>
        <v/>
      </c>
      <c r="AD887" s="12">
        <f t="shared" si="227"/>
        <v>13.338900000000001</v>
      </c>
      <c r="AE887" s="12" t="str">
        <f t="shared" si="228"/>
        <v/>
      </c>
      <c r="AF887" s="12" t="str">
        <f t="shared" si="229"/>
        <v/>
      </c>
      <c r="AG887" t="str">
        <f>VLOOKUP(J887,'Receivable Invoice Detail'!$A$1:F3899,6,FALSE)</f>
        <v>[AC-98-039-047-501] Impeller (Closed), 5x4-14 SRL-C, Natural Rubber</v>
      </c>
      <c r="AM887" s="12" t="str">
        <f t="shared" si="230"/>
        <v/>
      </c>
      <c r="AN887" s="12">
        <f t="shared" si="231"/>
        <v>13.338900000000001</v>
      </c>
      <c r="AO887" s="12" t="str">
        <f t="shared" si="232"/>
        <v/>
      </c>
      <c r="AP887" s="12" t="str">
        <f t="shared" si="233"/>
        <v/>
      </c>
      <c r="AQ887" s="64">
        <f>M887</f>
        <v>2504</v>
      </c>
      <c r="AR887" t="s">
        <v>5931</v>
      </c>
      <c r="AS887" s="12">
        <f t="shared" si="239"/>
        <v>6.1744625741712618</v>
      </c>
      <c r="AT887" s="16" t="str">
        <f t="shared" si="240"/>
        <v>Yes</v>
      </c>
    </row>
    <row r="888" spans="1:46" hidden="1" x14ac:dyDescent="0.25">
      <c r="A888" s="41">
        <f>CASOPOInvCL!T888</f>
        <v>1</v>
      </c>
      <c r="B888" t="str">
        <f>CASOPOInvCL!Z888</f>
        <v>SO17739</v>
      </c>
      <c r="D888" t="s">
        <v>5851</v>
      </c>
      <c r="G888" s="5" t="str">
        <f>CASOPOInvCL!I888</f>
        <v>Alexis Gil Lamadrid</v>
      </c>
      <c r="H888" s="31">
        <f>CASOPOInvCL!U888</f>
        <v>8</v>
      </c>
      <c r="I888" s="31">
        <f>CASOPOInvCL!V888</f>
        <v>2025</v>
      </c>
      <c r="J888" s="5" t="str">
        <f>CASOPOInvCL!AB888</f>
        <v>INV13359</v>
      </c>
      <c r="K888" s="31">
        <f>CASOPOInvCL!W888</f>
        <v>10</v>
      </c>
      <c r="L888" s="31">
        <f>CASOPOInvCL!X888</f>
        <v>2025</v>
      </c>
      <c r="M888">
        <v>2504</v>
      </c>
      <c r="N888" s="5" t="str">
        <f>CASOPOInvCL!AF888</f>
        <v>Hyperflo</v>
      </c>
      <c r="O888" s="16" t="str">
        <f>CASOPOInvCL!AG888</f>
        <v>CAD</v>
      </c>
      <c r="P888" s="16">
        <f>CASOPOInvCL!AH888</f>
        <v>1833.18</v>
      </c>
      <c r="Q888" s="16">
        <f>CASOPOInvCL!AI888</f>
        <v>1333.0574779523824</v>
      </c>
      <c r="R888" s="32" t="str">
        <f>CASOPOInvCL!AU888</f>
        <v>Yes</v>
      </c>
      <c r="S888" s="16">
        <f>CASOPOInvCL!AV888</f>
        <v>0</v>
      </c>
      <c r="T888" s="16">
        <f>CASOPOInvCL!AW888</f>
        <v>1333.0574779523824</v>
      </c>
      <c r="V888" t="s">
        <v>5800</v>
      </c>
      <c r="Y888" s="29" t="str">
        <f>IFERROR(HLOOKUP(U888,List!$D$2:$H$6,2,FALSE),"")</f>
        <v/>
      </c>
      <c r="Z888" s="29">
        <f>IFERROR(HLOOKUP(V888,List!$D$2:$H$6,3,FALSE),"")</f>
        <v>5.0000000000000001E-3</v>
      </c>
      <c r="AA888" s="29" t="str">
        <f>IFERROR(HLOOKUP(W888,List!$D$2:$H$6,4,FALSE),"")</f>
        <v/>
      </c>
      <c r="AB888" s="29" t="str">
        <f>IFERROR(HLOOKUP(X888,List!$D$2:$H$6,5,FALSE),"")</f>
        <v/>
      </c>
      <c r="AC888" s="12" t="str">
        <f t="shared" si="226"/>
        <v/>
      </c>
      <c r="AD888" s="12">
        <f t="shared" si="227"/>
        <v>6.6652873897619127</v>
      </c>
      <c r="AE888" s="12" t="str">
        <f t="shared" si="228"/>
        <v/>
      </c>
      <c r="AF888" s="12" t="str">
        <f t="shared" si="229"/>
        <v/>
      </c>
      <c r="AG888" t="str">
        <f>VLOOKUP(J888,'Receivable Invoice Detail'!$A$1:F3900,6,FALSE)</f>
        <v>[AC-98-234-808-501] Gland Assembly, 12x10-25 SRL-C, Cast Iron</v>
      </c>
      <c r="AM888" s="12" t="str">
        <f t="shared" si="230"/>
        <v/>
      </c>
      <c r="AN888" s="12">
        <f t="shared" si="231"/>
        <v>6.6652873897619127</v>
      </c>
      <c r="AO888" s="12" t="str">
        <f t="shared" si="232"/>
        <v/>
      </c>
      <c r="AP888" s="12" t="str">
        <f t="shared" si="233"/>
        <v/>
      </c>
      <c r="AQ888" s="64">
        <f>M888</f>
        <v>2504</v>
      </c>
      <c r="AR888" t="s">
        <v>5931</v>
      </c>
      <c r="AS888" s="12">
        <f t="shared" si="239"/>
        <v>2.2579994310103726</v>
      </c>
      <c r="AT888" s="16" t="str">
        <f t="shared" si="240"/>
        <v>Yes</v>
      </c>
    </row>
    <row r="889" spans="1:46" hidden="1" x14ac:dyDescent="0.25">
      <c r="A889" s="41">
        <f>CASOPOInvCL!T889</f>
        <v>1</v>
      </c>
      <c r="B889" t="str">
        <f>CASOPOInvCL!Z889</f>
        <v>SO17740</v>
      </c>
      <c r="G889" s="5" t="str">
        <f>CASOPOInvCL!I889</f>
        <v>Ian Trottier</v>
      </c>
      <c r="H889" s="31">
        <f>CASOPOInvCL!U889</f>
        <v>8</v>
      </c>
      <c r="I889" s="31">
        <f>CASOPOInvCL!V889</f>
        <v>2025</v>
      </c>
      <c r="J889" s="5" t="str">
        <f>CASOPOInvCL!AB889</f>
        <v>INV13753</v>
      </c>
      <c r="K889" s="31" t="str">
        <f>CASOPOInvCL!W889</f>
        <v/>
      </c>
      <c r="L889" s="31" t="str">
        <f>CASOPOInvCL!X889</f>
        <v/>
      </c>
      <c r="M889" s="31"/>
      <c r="N889" s="5" t="str">
        <f>CASOPOInvCL!AF889</f>
        <v>Motion Industries Inc. (U.S.) - Pueblo</v>
      </c>
      <c r="O889" s="16" t="str">
        <f>CASOPOInvCL!AG889</f>
        <v>USD</v>
      </c>
      <c r="P889" s="16">
        <f>CASOPOInvCL!AH889</f>
        <v>6210.3404266936441</v>
      </c>
      <c r="Q889" s="16">
        <f>CASOPOInvCL!AI889</f>
        <v>4489.95</v>
      </c>
      <c r="R889" s="32" t="str">
        <f>CASOPOInvCL!AU889</f>
        <v/>
      </c>
      <c r="S889" s="16">
        <f>CASOPOInvCL!AV889</f>
        <v>0</v>
      </c>
      <c r="T889" s="16">
        <f>CASOPOInvCL!AW889</f>
        <v>0</v>
      </c>
      <c r="Y889" s="29" t="str">
        <f>IFERROR(HLOOKUP(U889,List!$D$2:$H$6,2,FALSE),"")</f>
        <v/>
      </c>
      <c r="Z889" s="29" t="str">
        <f>IFERROR(HLOOKUP(V889,List!$D$2:$H$6,3,FALSE),"")</f>
        <v/>
      </c>
      <c r="AA889" s="29" t="str">
        <f>IFERROR(HLOOKUP(W889,List!$D$2:$H$6,4,FALSE),"")</f>
        <v/>
      </c>
      <c r="AB889" s="29" t="str">
        <f>IFERROR(HLOOKUP(X889,List!$D$2:$H$6,5,FALSE),"")</f>
        <v/>
      </c>
      <c r="AC889" s="12" t="str">
        <f t="shared" si="226"/>
        <v/>
      </c>
      <c r="AD889" s="12" t="str">
        <f t="shared" si="227"/>
        <v/>
      </c>
      <c r="AE889" s="12" t="str">
        <f t="shared" si="228"/>
        <v/>
      </c>
      <c r="AF889" s="12" t="str">
        <f t="shared" si="229"/>
        <v/>
      </c>
      <c r="AG889" t="str">
        <f>VLOOKUP(J889,'Receivable Invoice Detail'!$A$1:F3901,6,FALSE)</f>
        <v>[W-TL40018M/R55] Cover Plate Liner w/T40023ME62, 400 STL, Natural Rubber</v>
      </c>
      <c r="AM889" s="12" t="str">
        <f t="shared" si="230"/>
        <v/>
      </c>
      <c r="AN889" s="12" t="str">
        <f t="shared" si="231"/>
        <v/>
      </c>
      <c r="AO889" s="12" t="str">
        <f t="shared" si="232"/>
        <v/>
      </c>
      <c r="AP889" s="12" t="str">
        <f t="shared" si="233"/>
        <v/>
      </c>
      <c r="AQ889" s="12"/>
      <c r="AS889" s="12">
        <f t="shared" si="239"/>
        <v>1.1664554327590568</v>
      </c>
      <c r="AT889" s="16" t="str">
        <f t="shared" si="240"/>
        <v>Yes</v>
      </c>
    </row>
    <row r="890" spans="1:46" hidden="1" x14ac:dyDescent="0.25">
      <c r="A890" s="41">
        <f>CASOPOInvCL!T890</f>
        <v>2</v>
      </c>
      <c r="B890" t="str">
        <f>CASOPOInvCL!Z890</f>
        <v>SO17741</v>
      </c>
      <c r="G890" s="5" t="str">
        <f>CASOPOInvCL!I890</f>
        <v>Ian Trottier</v>
      </c>
      <c r="H890" s="31">
        <f>CASOPOInvCL!U890</f>
        <v>8</v>
      </c>
      <c r="I890" s="31">
        <f>CASOPOInvCL!V890</f>
        <v>2025</v>
      </c>
      <c r="J890" s="5" t="str">
        <f>CASOPOInvCL!AB890</f>
        <v>INV13452</v>
      </c>
      <c r="K890" s="31" t="str">
        <f>CASOPOInvCL!W890</f>
        <v/>
      </c>
      <c r="L890" s="31" t="str">
        <f>CASOPOInvCL!X890</f>
        <v/>
      </c>
      <c r="M890" s="31"/>
      <c r="N890" s="5" t="str">
        <f>CASOPOInvCL!AF890</f>
        <v>PT Vale Indonesia Tbk.</v>
      </c>
      <c r="O890" s="16" t="str">
        <f>CASOPOInvCL!AG890</f>
        <v>USD</v>
      </c>
      <c r="P890" s="16">
        <f>CASOPOInvCL!AH890</f>
        <v>19807.607682616384</v>
      </c>
      <c r="Q890" s="16">
        <f>CASOPOInvCL!AI890</f>
        <v>14249.09</v>
      </c>
      <c r="R890" s="32" t="str">
        <f>CASOPOInvCL!AU890</f>
        <v>Yes</v>
      </c>
      <c r="S890" s="16">
        <f>CASOPOInvCL!AV890</f>
        <v>0</v>
      </c>
      <c r="T890" s="16">
        <f>CASOPOInvCL!AW890</f>
        <v>14249.09</v>
      </c>
      <c r="Y890" s="29" t="str">
        <f>IFERROR(HLOOKUP(U890,List!$D$2:$H$6,2,FALSE),"")</f>
        <v/>
      </c>
      <c r="Z890" s="29" t="str">
        <f>IFERROR(HLOOKUP(V890,List!$D$2:$H$6,3,FALSE),"")</f>
        <v/>
      </c>
      <c r="AA890" s="29" t="str">
        <f>IFERROR(HLOOKUP(W890,List!$D$2:$H$6,4,FALSE),"")</f>
        <v/>
      </c>
      <c r="AB890" s="29" t="str">
        <f>IFERROR(HLOOKUP(X890,List!$D$2:$H$6,5,FALSE),"")</f>
        <v/>
      </c>
      <c r="AC890" s="12" t="str">
        <f t="shared" si="226"/>
        <v/>
      </c>
      <c r="AD890" s="12" t="str">
        <f t="shared" si="227"/>
        <v/>
      </c>
      <c r="AE890" s="12" t="str">
        <f t="shared" si="228"/>
        <v/>
      </c>
      <c r="AF890" s="12" t="str">
        <f t="shared" si="229"/>
        <v/>
      </c>
      <c r="AG890" t="str">
        <f>VLOOKUP(J890,'Receivable Invoice Detail'!$A$1:F3902,6,FALSE)</f>
        <v>[G-67868-211-212 5108] Gasket Material (2 Piece Set), Armstrong Syntheseal N-8090, 16" x 17 3/4"</v>
      </c>
      <c r="AM890" s="12" t="str">
        <f t="shared" si="230"/>
        <v/>
      </c>
      <c r="AN890" s="12" t="str">
        <f t="shared" si="231"/>
        <v/>
      </c>
      <c r="AO890" s="12" t="str">
        <f t="shared" si="232"/>
        <v/>
      </c>
      <c r="AP890" s="12" t="str">
        <f t="shared" si="233"/>
        <v/>
      </c>
      <c r="AQ890" s="12"/>
      <c r="AS890" s="12">
        <f t="shared" si="239"/>
        <v>40.99492972667985</v>
      </c>
      <c r="AT890" s="16" t="str">
        <f t="shared" si="240"/>
        <v>Yes</v>
      </c>
    </row>
    <row r="891" spans="1:46" hidden="1" x14ac:dyDescent="0.25">
      <c r="A891" s="41">
        <f>CASOPOInvCL!T891</f>
        <v>2</v>
      </c>
      <c r="B891" t="str">
        <f>CASOPOInvCL!Z891</f>
        <v>SO17741</v>
      </c>
      <c r="G891" s="5">
        <f>CASOPOInvCL!I891</f>
        <v>0</v>
      </c>
      <c r="H891" s="31">
        <f>CASOPOInvCL!U891</f>
        <v>8</v>
      </c>
      <c r="I891" s="31">
        <f>CASOPOInvCL!V891</f>
        <v>2025</v>
      </c>
      <c r="J891" s="5" t="str">
        <f>CASOPOInvCL!AB891</f>
        <v>INV13690</v>
      </c>
      <c r="K891" s="31" t="str">
        <f>CASOPOInvCL!W891</f>
        <v/>
      </c>
      <c r="L891" s="31" t="str">
        <f>CASOPOInvCL!X891</f>
        <v/>
      </c>
      <c r="M891" s="31"/>
      <c r="N891" s="5" t="str">
        <f>CASOPOInvCL!AF891</f>
        <v>PT Vale Indonesia Tbk.</v>
      </c>
      <c r="O891" s="16" t="str">
        <f>CASOPOInvCL!AG891</f>
        <v>USD</v>
      </c>
      <c r="P891" s="16">
        <f>CASOPOInvCL!AH891</f>
        <v>0</v>
      </c>
      <c r="Q891" s="16">
        <f>CASOPOInvCL!AI891</f>
        <v>0</v>
      </c>
      <c r="R891" s="32" t="str">
        <f>CASOPOInvCL!AU891</f>
        <v/>
      </c>
      <c r="S891" s="16">
        <f>CASOPOInvCL!AV891</f>
        <v>0</v>
      </c>
      <c r="T891" s="16">
        <f>CASOPOInvCL!AW891</f>
        <v>0</v>
      </c>
      <c r="Y891" s="29" t="str">
        <f>IFERROR(HLOOKUP(U891,List!$D$2:$H$6,2,FALSE),"")</f>
        <v/>
      </c>
      <c r="Z891" s="29" t="str">
        <f>IFERROR(HLOOKUP(V891,List!$D$2:$H$6,3,FALSE),"")</f>
        <v/>
      </c>
      <c r="AA891" s="29" t="str">
        <f>IFERROR(HLOOKUP(W891,List!$D$2:$H$6,4,FALSE),"")</f>
        <v/>
      </c>
      <c r="AB891" s="29" t="str">
        <f>IFERROR(HLOOKUP(X891,List!$D$2:$H$6,5,FALSE),"")</f>
        <v/>
      </c>
      <c r="AC891" s="12" t="str">
        <f t="shared" si="226"/>
        <v/>
      </c>
      <c r="AD891" s="12" t="str">
        <f t="shared" si="227"/>
        <v/>
      </c>
      <c r="AE891" s="12" t="str">
        <f t="shared" si="228"/>
        <v/>
      </c>
      <c r="AF891" s="12" t="str">
        <f t="shared" si="229"/>
        <v/>
      </c>
      <c r="AG891" t="str">
        <f>VLOOKUP(J891,'Receivable Invoice Detail'!$A$1:F3903,6,FALSE)</f>
        <v>[G-252-821 1101] Impeller, 6x8-22DV, 3405-L, Bronze, 5-Vane</v>
      </c>
      <c r="AM891" s="12" t="str">
        <f t="shared" si="230"/>
        <v/>
      </c>
      <c r="AN891" s="12" t="str">
        <f t="shared" si="231"/>
        <v/>
      </c>
      <c r="AO891" s="12" t="str">
        <f t="shared" si="232"/>
        <v/>
      </c>
      <c r="AP891" s="12" t="str">
        <f t="shared" si="233"/>
        <v/>
      </c>
      <c r="AQ891" s="12"/>
      <c r="AS891" s="12">
        <f t="shared" si="239"/>
        <v>15.899999999999999</v>
      </c>
      <c r="AT891" s="16" t="str">
        <f t="shared" si="240"/>
        <v>Yes</v>
      </c>
    </row>
    <row r="892" spans="1:46" hidden="1" x14ac:dyDescent="0.25">
      <c r="A892" s="41">
        <f>CASOPOInvCL!T892</f>
        <v>1</v>
      </c>
      <c r="B892" t="str">
        <f>CASOPOInvCL!Z892</f>
        <v>SO17742</v>
      </c>
      <c r="D892" t="s">
        <v>5851</v>
      </c>
      <c r="G892" s="5" t="str">
        <f>CASOPOInvCL!I892</f>
        <v>Alexis Gil Lamadrid</v>
      </c>
      <c r="H892" s="31">
        <f>CASOPOInvCL!U892</f>
        <v>8</v>
      </c>
      <c r="I892" s="31">
        <f>CASOPOInvCL!V892</f>
        <v>2025</v>
      </c>
      <c r="J892" s="5" t="str">
        <f>CASOPOInvCL!AB892</f>
        <v>INV13364</v>
      </c>
      <c r="K892" s="31">
        <f>CASOPOInvCL!W892</f>
        <v>10</v>
      </c>
      <c r="L892" s="31">
        <f>CASOPOInvCL!X892</f>
        <v>2025</v>
      </c>
      <c r="M892">
        <v>2504</v>
      </c>
      <c r="N892" s="5" t="str">
        <f>CASOPOInvCL!AF892</f>
        <v>Motion Industries Inc. (Canada) - Prince George</v>
      </c>
      <c r="O892" s="16" t="str">
        <f>CASOPOInvCL!AG892</f>
        <v>CAD</v>
      </c>
      <c r="P892" s="16">
        <f>CASOPOInvCL!AH892</f>
        <v>3446.9</v>
      </c>
      <c r="Q892" s="16">
        <f>CASOPOInvCL!AI892</f>
        <v>2506.5273572448236</v>
      </c>
      <c r="R892" s="32" t="str">
        <f>CASOPOInvCL!AU892</f>
        <v>Yes</v>
      </c>
      <c r="S892" s="16">
        <f>CASOPOInvCL!AV892</f>
        <v>0</v>
      </c>
      <c r="T892" s="16">
        <f>CASOPOInvCL!AW892</f>
        <v>2506.5273572448236</v>
      </c>
      <c r="V892" t="s">
        <v>5800</v>
      </c>
      <c r="Y892" s="29" t="str">
        <f>IFERROR(HLOOKUP(U892,List!$D$2:$H$6,2,FALSE),"")</f>
        <v/>
      </c>
      <c r="Z892" s="29">
        <f>IFERROR(HLOOKUP(V892,List!$D$2:$H$6,3,FALSE),"")</f>
        <v>5.0000000000000001E-3</v>
      </c>
      <c r="AA892" s="29" t="str">
        <f>IFERROR(HLOOKUP(W892,List!$D$2:$H$6,4,FALSE),"")</f>
        <v/>
      </c>
      <c r="AB892" s="29" t="str">
        <f>IFERROR(HLOOKUP(X892,List!$D$2:$H$6,5,FALSE),"")</f>
        <v/>
      </c>
      <c r="AC892" s="12" t="str">
        <f t="shared" si="226"/>
        <v/>
      </c>
      <c r="AD892" s="12">
        <f t="shared" si="227"/>
        <v>12.532636786224119</v>
      </c>
      <c r="AE892" s="12" t="str">
        <f t="shared" si="228"/>
        <v/>
      </c>
      <c r="AF892" s="12" t="str">
        <f t="shared" si="229"/>
        <v/>
      </c>
      <c r="AG892" t="str">
        <f>VLOOKUP(J892,'Receivable Invoice Detail'!$A$1:F3904,6,FALSE)</f>
        <v>[W-B111] Premium Slurry Packing (Single Piece), 1.5/1 or 2/1.5 B-AH, Kevlar Fiber w/Silicon Core</v>
      </c>
      <c r="AM892" s="12" t="str">
        <f t="shared" si="230"/>
        <v/>
      </c>
      <c r="AN892" s="12">
        <f t="shared" si="231"/>
        <v>12.532636786224119</v>
      </c>
      <c r="AO892" s="12" t="str">
        <f t="shared" si="232"/>
        <v/>
      </c>
      <c r="AP892" s="12" t="str">
        <f t="shared" si="233"/>
        <v/>
      </c>
      <c r="AQ892" s="64">
        <f>M892</f>
        <v>2504</v>
      </c>
      <c r="AR892" t="s">
        <v>5931</v>
      </c>
      <c r="AS892" s="12">
        <f t="shared" si="239"/>
        <v>1.2358614830533852</v>
      </c>
      <c r="AT892" s="16" t="str">
        <f t="shared" si="240"/>
        <v>Yes</v>
      </c>
    </row>
    <row r="893" spans="1:46" hidden="1" x14ac:dyDescent="0.25">
      <c r="A893" s="41">
        <f>CASOPOInvCL!T893</f>
        <v>0</v>
      </c>
      <c r="B893" t="str">
        <f>CASOPOInvCL!Z893</f>
        <v>SO17744</v>
      </c>
      <c r="G893" s="5" t="str">
        <f>CASOPOInvCL!I893</f>
        <v>Amanda Qiao</v>
      </c>
      <c r="H893" s="31">
        <f>CASOPOInvCL!U893</f>
        <v>8</v>
      </c>
      <c r="I893" s="31">
        <f>CASOPOInvCL!V893</f>
        <v>2025</v>
      </c>
      <c r="J893" s="5" t="str">
        <f>CASOPOInvCL!AB893</f>
        <v>No Inv</v>
      </c>
      <c r="K893" s="31" t="str">
        <f>CASOPOInvCL!W893</f>
        <v/>
      </c>
      <c r="L893" s="31" t="str">
        <f>CASOPOInvCL!X893</f>
        <v/>
      </c>
      <c r="M893" s="31"/>
      <c r="N893" s="5" t="str">
        <f>CASOPOInvCL!AF893</f>
        <v>Mill-Right Mine Services Inc.</v>
      </c>
      <c r="O893" s="16" t="str">
        <f>CASOPOInvCL!AG893</f>
        <v>USD</v>
      </c>
      <c r="P893" s="16">
        <f>CASOPOInvCL!AH893</f>
        <v>86351.143265630075</v>
      </c>
      <c r="Q893" s="16">
        <f>CASOPOInvCL!AI893</f>
        <v>62580</v>
      </c>
      <c r="R893" s="32" t="str">
        <f>CASOPOInvCL!AU893</f>
        <v/>
      </c>
      <c r="S893" s="16">
        <f>CASOPOInvCL!AV893</f>
        <v>0</v>
      </c>
      <c r="T893" s="16">
        <f>CASOPOInvCL!AW893</f>
        <v>0</v>
      </c>
      <c r="Y893" s="29" t="str">
        <f>IFERROR(HLOOKUP(U893,List!$D$2:$H$6,2,FALSE),"")</f>
        <v/>
      </c>
      <c r="Z893" s="29" t="str">
        <f>IFERROR(HLOOKUP(V893,List!$D$2:$H$6,3,FALSE),"")</f>
        <v/>
      </c>
      <c r="AA893" s="29" t="str">
        <f>IFERROR(HLOOKUP(W893,List!$D$2:$H$6,4,FALSE),"")</f>
        <v/>
      </c>
      <c r="AB893" s="29" t="str">
        <f>IFERROR(HLOOKUP(X893,List!$D$2:$H$6,5,FALSE),"")</f>
        <v/>
      </c>
      <c r="AC893" s="12" t="str">
        <f t="shared" si="226"/>
        <v/>
      </c>
      <c r="AD893" s="12" t="str">
        <f t="shared" si="227"/>
        <v/>
      </c>
      <c r="AE893" s="12" t="str">
        <f t="shared" si="228"/>
        <v/>
      </c>
      <c r="AF893" s="12" t="str">
        <f t="shared" si="229"/>
        <v/>
      </c>
      <c r="AG893" t="e">
        <f>VLOOKUP(J893,'Receivable Invoice Detail'!$A$1:F3905,6,FALSE)</f>
        <v>#N/A</v>
      </c>
      <c r="AM893" s="12" t="str">
        <f t="shared" si="230"/>
        <v/>
      </c>
      <c r="AN893" s="12" t="str">
        <f t="shared" si="231"/>
        <v/>
      </c>
      <c r="AO893" s="12" t="str">
        <f t="shared" si="232"/>
        <v/>
      </c>
      <c r="AP893" s="12" t="str">
        <f t="shared" si="233"/>
        <v/>
      </c>
      <c r="AQ893" s="12"/>
      <c r="AS893" s="12">
        <f t="shared" si="239"/>
        <v>40.0167</v>
      </c>
      <c r="AT893" s="16" t="str">
        <f t="shared" si="240"/>
        <v/>
      </c>
    </row>
    <row r="894" spans="1:46" hidden="1" x14ac:dyDescent="0.25">
      <c r="A894" s="41">
        <f>CASOPOInvCL!T894</f>
        <v>1</v>
      </c>
      <c r="B894" t="str">
        <f>CASOPOInvCL!Z894</f>
        <v>SO17747</v>
      </c>
      <c r="D894" t="s">
        <v>5851</v>
      </c>
      <c r="G894" s="5" t="str">
        <f>CASOPOInvCL!I894</f>
        <v>Alexis Gil Lamadrid</v>
      </c>
      <c r="H894" s="31">
        <f>CASOPOInvCL!U894</f>
        <v>8</v>
      </c>
      <c r="I894" s="31">
        <f>CASOPOInvCL!V894</f>
        <v>2025</v>
      </c>
      <c r="J894" s="5" t="str">
        <f>CASOPOInvCL!AB894</f>
        <v>INV13354</v>
      </c>
      <c r="K894" s="31">
        <f>CASOPOInvCL!W894</f>
        <v>10</v>
      </c>
      <c r="L894" s="31">
        <f>CASOPOInvCL!X894</f>
        <v>2025</v>
      </c>
      <c r="M894">
        <v>2504</v>
      </c>
      <c r="N894" s="5" t="str">
        <f>CASOPOInvCL!AF894</f>
        <v>Resolute Forest Products - Saint-Felicien</v>
      </c>
      <c r="O894" s="16" t="str">
        <f>CASOPOInvCL!AG894</f>
        <v>CAD</v>
      </c>
      <c r="P894" s="16">
        <f>CASOPOInvCL!AH894</f>
        <v>7718.14</v>
      </c>
      <c r="Q894" s="16">
        <f>CASOPOInvCL!AI894</f>
        <v>5580.0584689444568</v>
      </c>
      <c r="R894" s="32" t="str">
        <f>CASOPOInvCL!AU894</f>
        <v>Yes</v>
      </c>
      <c r="S894" s="16">
        <f>CASOPOInvCL!AV894</f>
        <v>0</v>
      </c>
      <c r="T894" s="16">
        <f>CASOPOInvCL!AW894</f>
        <v>5580.0584689444568</v>
      </c>
      <c r="V894" t="s">
        <v>5800</v>
      </c>
      <c r="Y894" s="29" t="str">
        <f>IFERROR(HLOOKUP(U894,List!$D$2:$H$6,2,FALSE),"")</f>
        <v/>
      </c>
      <c r="Z894" s="29">
        <f>IFERROR(HLOOKUP(V894,List!$D$2:$H$6,3,FALSE),"")</f>
        <v>5.0000000000000001E-3</v>
      </c>
      <c r="AA894" s="29" t="str">
        <f>IFERROR(HLOOKUP(W894,List!$D$2:$H$6,4,FALSE),"")</f>
        <v/>
      </c>
      <c r="AB894" s="29" t="str">
        <f>IFERROR(HLOOKUP(X894,List!$D$2:$H$6,5,FALSE),"")</f>
        <v/>
      </c>
      <c r="AC894" s="12" t="str">
        <f t="shared" si="226"/>
        <v/>
      </c>
      <c r="AD894" s="12">
        <f t="shared" si="227"/>
        <v>27.900292344722285</v>
      </c>
      <c r="AE894" s="12" t="str">
        <f t="shared" si="228"/>
        <v/>
      </c>
      <c r="AF894" s="12" t="str">
        <f t="shared" si="229"/>
        <v/>
      </c>
      <c r="AG894" t="str">
        <f>VLOOKUP(J894,'Receivable Invoice Detail'!$A$1:F3906,6,FALSE)</f>
        <v>[AC-98-330-286-503] Impeller (Open), 3x3-10 SRL, Neoprene</v>
      </c>
      <c r="AM894" s="12" t="str">
        <f t="shared" si="230"/>
        <v/>
      </c>
      <c r="AN894" s="12">
        <f t="shared" si="231"/>
        <v>27.900292344722285</v>
      </c>
      <c r="AO894" s="12" t="str">
        <f t="shared" si="232"/>
        <v/>
      </c>
      <c r="AP894" s="12" t="str">
        <f t="shared" si="233"/>
        <v/>
      </c>
      <c r="AQ894" s="64">
        <f>M894</f>
        <v>2504</v>
      </c>
      <c r="AR894" t="s">
        <v>5931</v>
      </c>
      <c r="AS894" s="12">
        <f t="shared" si="239"/>
        <v>19.995862169285736</v>
      </c>
      <c r="AT894" s="16" t="str">
        <f t="shared" si="240"/>
        <v>Yes</v>
      </c>
    </row>
    <row r="895" spans="1:46" hidden="1" x14ac:dyDescent="0.25">
      <c r="A895" s="41">
        <f>CASOPOInvCL!T895</f>
        <v>1</v>
      </c>
      <c r="B895" t="str">
        <f>CASOPOInvCL!Z895</f>
        <v>SO17749</v>
      </c>
      <c r="G895" s="5" t="str">
        <f>CASOPOInvCL!I895</f>
        <v>Alexis Gil Lamadrid</v>
      </c>
      <c r="H895" s="31">
        <f>CASOPOInvCL!U895</f>
        <v>8</v>
      </c>
      <c r="I895" s="31">
        <f>CASOPOInvCL!V895</f>
        <v>2025</v>
      </c>
      <c r="J895" s="5" t="str">
        <f>CASOPOInvCL!AB895</f>
        <v>INV13349</v>
      </c>
      <c r="K895" s="31" t="str">
        <f>CASOPOInvCL!W895</f>
        <v/>
      </c>
      <c r="L895" s="31" t="str">
        <f>CASOPOInvCL!X895</f>
        <v/>
      </c>
      <c r="M895" s="31"/>
      <c r="N895" s="5" t="str">
        <f>CASOPOInvCL!AF895</f>
        <v>Resolute Forest Products - Saint-Felicien</v>
      </c>
      <c r="O895" s="16" t="str">
        <f>CASOPOInvCL!AG895</f>
        <v>CAD</v>
      </c>
      <c r="P895" s="16">
        <f>CASOPOInvCL!AH895</f>
        <v>630.64</v>
      </c>
      <c r="Q895" s="16">
        <f>CASOPOInvCL!AI895</f>
        <v>455.93991205849238</v>
      </c>
      <c r="R895" s="32" t="str">
        <f>CASOPOInvCL!AU895</f>
        <v/>
      </c>
      <c r="S895" s="16">
        <f>CASOPOInvCL!AV895</f>
        <v>0</v>
      </c>
      <c r="T895" s="16">
        <f>CASOPOInvCL!AW895</f>
        <v>0</v>
      </c>
      <c r="Y895" s="29" t="str">
        <f>IFERROR(HLOOKUP(U895,List!$D$2:$H$6,2,FALSE),"")</f>
        <v/>
      </c>
      <c r="Z895" s="29" t="str">
        <f>IFERROR(HLOOKUP(V895,List!$D$2:$H$6,3,FALSE),"")</f>
        <v/>
      </c>
      <c r="AA895" s="29" t="str">
        <f>IFERROR(HLOOKUP(W895,List!$D$2:$H$6,4,FALSE),"")</f>
        <v/>
      </c>
      <c r="AB895" s="29" t="str">
        <f>IFERROR(HLOOKUP(X895,List!$D$2:$H$6,5,FALSE),"")</f>
        <v/>
      </c>
      <c r="AC895" s="12" t="str">
        <f t="shared" si="226"/>
        <v/>
      </c>
      <c r="AD895" s="12" t="str">
        <f t="shared" si="227"/>
        <v/>
      </c>
      <c r="AE895" s="12" t="str">
        <f t="shared" si="228"/>
        <v/>
      </c>
      <c r="AF895" s="12" t="str">
        <f t="shared" si="229"/>
        <v/>
      </c>
      <c r="AG895" t="str">
        <f>VLOOKUP(J895,'Receivable Invoice Detail'!$A$1:F3907,6,FALSE)</f>
        <v>[AC-52-108-475-012] Deflector (Inboard), Allis-Chalmers PWO, Group 2</v>
      </c>
      <c r="AM895" s="12" t="str">
        <f t="shared" si="230"/>
        <v/>
      </c>
      <c r="AN895" s="12" t="str">
        <f t="shared" si="231"/>
        <v/>
      </c>
      <c r="AO895" s="12" t="str">
        <f t="shared" si="232"/>
        <v/>
      </c>
      <c r="AP895" s="12" t="str">
        <f t="shared" si="233"/>
        <v/>
      </c>
      <c r="AQ895" s="12"/>
      <c r="AS895" s="12">
        <f t="shared" si="239"/>
        <v>0</v>
      </c>
      <c r="AT895" s="16" t="str">
        <f t="shared" si="240"/>
        <v/>
      </c>
    </row>
    <row r="896" spans="1:46" hidden="1" x14ac:dyDescent="0.25">
      <c r="A896" s="41">
        <f>CASOPOInvCL!T896</f>
        <v>1</v>
      </c>
      <c r="B896" t="str">
        <f>CASOPOInvCL!Z896</f>
        <v>SO17753</v>
      </c>
      <c r="D896" t="s">
        <v>5851</v>
      </c>
      <c r="G896" s="5" t="str">
        <f>CASOPOInvCL!I896</f>
        <v>Alexis Gil Lamadrid</v>
      </c>
      <c r="H896" s="31">
        <f>CASOPOInvCL!U896</f>
        <v>8</v>
      </c>
      <c r="I896" s="31">
        <f>CASOPOInvCL!V896</f>
        <v>2025</v>
      </c>
      <c r="J896" s="5" t="str">
        <f>CASOPOInvCL!AB896</f>
        <v>INV13367</v>
      </c>
      <c r="K896" s="67">
        <f>CASOPOInvCL!W896</f>
        <v>9</v>
      </c>
      <c r="L896" s="67">
        <f>CASOPOInvCL!X896</f>
        <v>2025</v>
      </c>
      <c r="M896">
        <v>2503</v>
      </c>
      <c r="N896" s="5" t="str">
        <f>CASOPOInvCL!AF896</f>
        <v>Alpha Industrial &amp; Mining Supplies Limited</v>
      </c>
      <c r="O896" s="16" t="str">
        <f>CASOPOInvCL!AG896</f>
        <v>CAD</v>
      </c>
      <c r="P896" s="16">
        <f>CASOPOInvCL!AH896</f>
        <v>299.25</v>
      </c>
      <c r="Q896" s="16">
        <f>CASOPOInvCL!AI896</f>
        <v>216.443268389319</v>
      </c>
      <c r="R896" s="55" t="str">
        <f>CASOPOInvCL!AU896</f>
        <v>Yes</v>
      </c>
      <c r="S896" s="16">
        <f>CASOPOInvCL!AV896</f>
        <v>0</v>
      </c>
      <c r="T896" s="16">
        <f>CASOPOInvCL!AW896</f>
        <v>216.443268389319</v>
      </c>
      <c r="V896" t="s">
        <v>5800</v>
      </c>
      <c r="Y896" s="29" t="str">
        <f>IFERROR(HLOOKUP(U896,List!$D$2:$H$6,2,FALSE),"")</f>
        <v/>
      </c>
      <c r="Z896" s="29">
        <f>IFERROR(HLOOKUP(V896,List!$D$2:$H$6,3,FALSE),"")</f>
        <v>5.0000000000000001E-3</v>
      </c>
      <c r="AA896" s="29" t="str">
        <f>IFERROR(HLOOKUP(W896,List!$D$2:$H$6,4,FALSE),"")</f>
        <v/>
      </c>
      <c r="AB896" s="29" t="str">
        <f>IFERROR(HLOOKUP(X896,List!$D$2:$H$6,5,FALSE),"")</f>
        <v/>
      </c>
      <c r="AC896" s="12" t="str">
        <f t="shared" si="226"/>
        <v/>
      </c>
      <c r="AD896" s="12">
        <f t="shared" si="227"/>
        <v>1.0822163419465951</v>
      </c>
      <c r="AE896" s="12" t="str">
        <f t="shared" si="228"/>
        <v/>
      </c>
      <c r="AF896" s="12" t="str">
        <f t="shared" si="229"/>
        <v/>
      </c>
      <c r="AG896" t="str">
        <f>VLOOKUP(J896,'Receivable Invoice Detail'!$A$1:F3908,6,FALSE)</f>
        <v>[SA-134427-2] Lantern Ring, Sala STGVA STD33, 316SS</v>
      </c>
      <c r="AJ896">
        <v>2503</v>
      </c>
      <c r="AM896" s="12" t="str">
        <f t="shared" si="230"/>
        <v/>
      </c>
      <c r="AN896" s="12">
        <f t="shared" si="231"/>
        <v>0</v>
      </c>
      <c r="AO896" s="12" t="str">
        <f t="shared" si="232"/>
        <v/>
      </c>
      <c r="AP896" s="12" t="str">
        <f t="shared" si="233"/>
        <v/>
      </c>
      <c r="AQ896" s="64">
        <f>M896</f>
        <v>2503</v>
      </c>
      <c r="AR896" t="s">
        <v>5931</v>
      </c>
      <c r="AS896" s="12">
        <f t="shared" si="239"/>
        <v>213.73634999999999</v>
      </c>
      <c r="AT896" s="16" t="str">
        <f t="shared" si="240"/>
        <v>Yes</v>
      </c>
    </row>
    <row r="897" spans="1:46" hidden="1" x14ac:dyDescent="0.25">
      <c r="A897" s="41">
        <f>CASOPOInvCL!T897</f>
        <v>2</v>
      </c>
      <c r="B897" t="str">
        <f>CASOPOInvCL!Z897</f>
        <v>SO17756</v>
      </c>
      <c r="D897" t="s">
        <v>5851</v>
      </c>
      <c r="G897" s="5" t="str">
        <f>CASOPOInvCL!I897</f>
        <v>Alexis Gil Lamadrid</v>
      </c>
      <c r="H897" s="31">
        <f>CASOPOInvCL!U897</f>
        <v>8</v>
      </c>
      <c r="I897" s="31">
        <f>CASOPOInvCL!V897</f>
        <v>2025</v>
      </c>
      <c r="J897" s="5" t="str">
        <f>CASOPOInvCL!AB897</f>
        <v>INV13353</v>
      </c>
      <c r="K897" s="67">
        <f>CASOPOInvCL!W897</f>
        <v>11</v>
      </c>
      <c r="L897" s="67">
        <f>CASOPOInvCL!X897</f>
        <v>2025</v>
      </c>
      <c r="M897">
        <v>2504</v>
      </c>
      <c r="N897" s="5" t="str">
        <f>CASOPOInvCL!AF897</f>
        <v>Southeast Pump Specialist, Inc.</v>
      </c>
      <c r="O897" s="16" t="str">
        <f>CASOPOInvCL!AG897</f>
        <v>USD</v>
      </c>
      <c r="P897" s="16">
        <f>CASOPOInvCL!AH897</f>
        <v>4155.7875542093761</v>
      </c>
      <c r="Q897" s="16">
        <f>CASOPOInvCL!AI897</f>
        <v>3004.55</v>
      </c>
      <c r="R897" s="55" t="str">
        <f>CASOPOInvCL!AU897</f>
        <v>Yes</v>
      </c>
      <c r="S897" s="16">
        <f>CASOPOInvCL!AV897</f>
        <v>590</v>
      </c>
      <c r="T897" s="16">
        <f>CASOPOInvCL!AW897</f>
        <v>2414.5500000000002</v>
      </c>
      <c r="V897" t="s">
        <v>5800</v>
      </c>
      <c r="Y897" s="29" t="str">
        <f>IFERROR(HLOOKUP(U897,List!$D$2:$H$6,2,FALSE),"")</f>
        <v/>
      </c>
      <c r="Z897" s="29">
        <f>IFERROR(HLOOKUP(V897,List!$D$2:$H$6,3,FALSE),"")</f>
        <v>5.0000000000000001E-3</v>
      </c>
      <c r="AA897" s="29" t="str">
        <f>IFERROR(HLOOKUP(W897,List!$D$2:$H$6,4,FALSE),"")</f>
        <v/>
      </c>
      <c r="AB897" s="29" t="str">
        <f>IFERROR(HLOOKUP(X897,List!$D$2:$H$6,5,FALSE),"")</f>
        <v/>
      </c>
      <c r="AC897" s="12" t="str">
        <f t="shared" si="226"/>
        <v/>
      </c>
      <c r="AD897" s="12">
        <f t="shared" si="227"/>
        <v>12.072750000000001</v>
      </c>
      <c r="AE897" s="12" t="str">
        <f t="shared" si="228"/>
        <v/>
      </c>
      <c r="AF897" s="12" t="str">
        <f t="shared" si="229"/>
        <v/>
      </c>
      <c r="AG897" t="str">
        <f>VLOOKUP(J897,'Receivable Invoice Detail'!$A$1:F3909,6,FALSE)</f>
        <v>[AC-98-331-910-801] Bearing Cylinder, 8x6-18 &amp; 10x8-21 SRL-C, Cast Iron</v>
      </c>
      <c r="AM897" s="12" t="str">
        <f t="shared" si="230"/>
        <v/>
      </c>
      <c r="AN897" s="12">
        <f t="shared" si="231"/>
        <v>12.072750000000001</v>
      </c>
      <c r="AO897" s="12" t="str">
        <f t="shared" si="232"/>
        <v/>
      </c>
      <c r="AP897" s="12" t="str">
        <f t="shared" si="233"/>
        <v/>
      </c>
      <c r="AQ897" s="64">
        <f>M897</f>
        <v>2504</v>
      </c>
      <c r="AR897" t="s">
        <v>5931</v>
      </c>
      <c r="AS897" s="12">
        <f t="shared" si="239"/>
        <v>0</v>
      </c>
      <c r="AT897" s="16" t="str">
        <f t="shared" si="240"/>
        <v/>
      </c>
    </row>
    <row r="898" spans="1:46" hidden="1" x14ac:dyDescent="0.25">
      <c r="A898" s="41">
        <f>CASOPOInvCL!T898</f>
        <v>2</v>
      </c>
      <c r="B898" t="str">
        <f>CASOPOInvCL!Z898</f>
        <v>SO17756</v>
      </c>
      <c r="D898" t="s">
        <v>5851</v>
      </c>
      <c r="G898" s="5">
        <f>CASOPOInvCL!I898</f>
        <v>0</v>
      </c>
      <c r="H898" s="31">
        <f>CASOPOInvCL!U898</f>
        <v>8</v>
      </c>
      <c r="I898" s="31">
        <f>CASOPOInvCL!V898</f>
        <v>2025</v>
      </c>
      <c r="J898" s="5" t="str">
        <f>CASOPOInvCL!AB898</f>
        <v>(* 79207)</v>
      </c>
      <c r="K898" s="31" t="str">
        <f>CASOPOInvCL!W898</f>
        <v/>
      </c>
      <c r="L898" s="31" t="str">
        <f>CASOPOInvCL!X898</f>
        <v/>
      </c>
      <c r="M898">
        <v>2504</v>
      </c>
      <c r="N898" s="5" t="str">
        <f>CASOPOInvCL!AF898</f>
        <v>Southeast Pump Specialist, Inc.</v>
      </c>
      <c r="O898" s="16" t="str">
        <f>CASOPOInvCL!AG898</f>
        <v>USD</v>
      </c>
      <c r="P898" s="16">
        <f>CASOPOInvCL!AH898</f>
        <v>0</v>
      </c>
      <c r="Q898" s="16">
        <f>CASOPOInvCL!AI898</f>
        <v>0</v>
      </c>
      <c r="R898" s="32" t="str">
        <f>CASOPOInvCL!AU898</f>
        <v/>
      </c>
      <c r="S898" s="16">
        <f>CASOPOInvCL!AV898</f>
        <v>0</v>
      </c>
      <c r="T898" s="16">
        <f>CASOPOInvCL!AW898</f>
        <v>0</v>
      </c>
      <c r="V898" t="s">
        <v>5800</v>
      </c>
      <c r="Y898" s="29" t="str">
        <f>IFERROR(HLOOKUP(U898,List!$D$2:$H$6,2,FALSE),"")</f>
        <v/>
      </c>
      <c r="Z898" s="29">
        <f>IFERROR(HLOOKUP(V898,List!$D$2:$H$6,3,FALSE),"")</f>
        <v>5.0000000000000001E-3</v>
      </c>
      <c r="AA898" s="29" t="str">
        <f>IFERROR(HLOOKUP(W898,List!$D$2:$H$6,4,FALSE),"")</f>
        <v/>
      </c>
      <c r="AB898" s="29" t="str">
        <f>IFERROR(HLOOKUP(X898,List!$D$2:$H$6,5,FALSE),"")</f>
        <v/>
      </c>
      <c r="AC898" s="12" t="str">
        <f t="shared" si="226"/>
        <v/>
      </c>
      <c r="AD898" s="12">
        <f t="shared" si="227"/>
        <v>0</v>
      </c>
      <c r="AE898" s="12" t="str">
        <f t="shared" si="228"/>
        <v/>
      </c>
      <c r="AF898" s="12" t="str">
        <f t="shared" si="229"/>
        <v/>
      </c>
      <c r="AG898" t="e">
        <f>VLOOKUP(J898,'Receivable Invoice Detail'!$A$1:F3910,6,FALSE)</f>
        <v>#N/A</v>
      </c>
      <c r="AM898" s="12" t="str">
        <f t="shared" si="230"/>
        <v/>
      </c>
      <c r="AN898" s="12">
        <f t="shared" si="231"/>
        <v>0</v>
      </c>
      <c r="AO898" s="12" t="str">
        <f t="shared" si="232"/>
        <v/>
      </c>
      <c r="AP898" s="12" t="str">
        <f t="shared" si="233"/>
        <v/>
      </c>
      <c r="AQ898" s="64">
        <f>M898</f>
        <v>2504</v>
      </c>
      <c r="AR898" t="s">
        <v>5931</v>
      </c>
      <c r="AS898" s="12">
        <f t="shared" si="239"/>
        <v>37.597910358672351</v>
      </c>
      <c r="AT898" s="16" t="str">
        <f t="shared" si="240"/>
        <v>Yes</v>
      </c>
    </row>
    <row r="899" spans="1:46" hidden="1" x14ac:dyDescent="0.25">
      <c r="A899" s="41">
        <f>CASOPOInvCL!T899</f>
        <v>1</v>
      </c>
      <c r="B899" t="str">
        <f>CASOPOInvCL!Z899</f>
        <v>SO17758</v>
      </c>
      <c r="D899" t="s">
        <v>5915</v>
      </c>
      <c r="G899" s="5" t="str">
        <f>CASOPOInvCL!I899</f>
        <v>Wilka Nuñez</v>
      </c>
      <c r="H899" s="31">
        <f>CASOPOInvCL!U899</f>
        <v>8</v>
      </c>
      <c r="I899" s="31">
        <f>CASOPOInvCL!V899</f>
        <v>2025</v>
      </c>
      <c r="J899" s="5" t="str">
        <f>CASOPOInvCL!AB899</f>
        <v>INV13391</v>
      </c>
      <c r="K899" s="31">
        <f>CASOPOInvCL!W899</f>
        <v>10</v>
      </c>
      <c r="L899" s="31">
        <f>CASOPOInvCL!X899</f>
        <v>2025</v>
      </c>
      <c r="M899">
        <v>2504</v>
      </c>
      <c r="N899" s="5" t="str">
        <f>CASOPOInvCL!AF899</f>
        <v>Canadian Bearings Ltd.</v>
      </c>
      <c r="O899" s="16" t="str">
        <f>CASOPOInvCL!AG899</f>
        <v>CAD</v>
      </c>
      <c r="P899" s="16">
        <f>CASOPOInvCL!AH899</f>
        <v>270.35000000000002</v>
      </c>
      <c r="Q899" s="16">
        <f>CASOPOInvCL!AI899</f>
        <v>195.6040806434313</v>
      </c>
      <c r="R899" s="32" t="str">
        <f>CASOPOInvCL!AU899</f>
        <v>Yes</v>
      </c>
      <c r="S899" s="16">
        <f>CASOPOInvCL!AV899</f>
        <v>0</v>
      </c>
      <c r="T899" s="16">
        <f>CASOPOInvCL!AW899</f>
        <v>195.6040806434313</v>
      </c>
      <c r="V899" t="s">
        <v>5800</v>
      </c>
      <c r="Y899" s="29" t="str">
        <f>IFERROR(HLOOKUP(U899,List!$D$2:$H$6,2,FALSE),"")</f>
        <v/>
      </c>
      <c r="Z899" s="29">
        <f>IFERROR(HLOOKUP(V899,List!$D$2:$H$6,3,FALSE),"")</f>
        <v>5.0000000000000001E-3</v>
      </c>
      <c r="AA899" s="29" t="str">
        <f>IFERROR(HLOOKUP(W899,List!$D$2:$H$6,4,FALSE),"")</f>
        <v/>
      </c>
      <c r="AB899" s="29" t="str">
        <f>IFERROR(HLOOKUP(X899,List!$D$2:$H$6,5,FALSE),"")</f>
        <v/>
      </c>
      <c r="AC899" s="12" t="str">
        <f t="shared" ref="AC899:AC962" si="241">IFERROR(Y899*$T899,"")</f>
        <v/>
      </c>
      <c r="AD899" s="12">
        <f t="shared" ref="AD899:AD962" si="242">IFERROR(Z899*$T899,"")</f>
        <v>0.97802040321715655</v>
      </c>
      <c r="AE899" s="12" t="str">
        <f t="shared" ref="AE899:AE962" si="243">IFERROR(AA899*$T899,"")</f>
        <v/>
      </c>
      <c r="AF899" s="12" t="str">
        <f t="shared" ref="AF899:AF962" si="244">IFERROR(AB899*$T899,"")</f>
        <v/>
      </c>
      <c r="AG899" t="str">
        <f>VLOOKUP(J899,'Receivable Invoice Detail'!$A$1:F3911,6,FALSE)</f>
        <v>[AC-98-232-857-801] Shim Set, A-C PWO-C Group 1, Plastic</v>
      </c>
      <c r="AM899" s="12" t="str">
        <f t="shared" ref="AM899:AM962" si="245">IF(AI899="",AC899,0)</f>
        <v/>
      </c>
      <c r="AN899" s="12">
        <f t="shared" ref="AN899:AN962" si="246">IF(AJ899="",AD899,0)</f>
        <v>0.97802040321715655</v>
      </c>
      <c r="AO899" s="12" t="str">
        <f t="shared" ref="AO899:AO962" si="247">IF(AK899="",AE899,0)</f>
        <v/>
      </c>
      <c r="AP899" s="12" t="str">
        <f t="shared" ref="AP899:AP962" si="248">IF(AL899="",AF899,0)</f>
        <v/>
      </c>
      <c r="AQ899" s="64">
        <f>M899</f>
        <v>2504</v>
      </c>
      <c r="AR899" t="s">
        <v>5931</v>
      </c>
      <c r="AS899" s="12">
        <f t="shared" si="239"/>
        <v>0</v>
      </c>
      <c r="AT899" s="16" t="str">
        <f t="shared" si="240"/>
        <v/>
      </c>
    </row>
    <row r="900" spans="1:46" hidden="1" x14ac:dyDescent="0.25">
      <c r="A900" s="41">
        <f>CASOPOInvCL!T900</f>
        <v>2</v>
      </c>
      <c r="B900" t="str">
        <f>CASOPOInvCL!Z900</f>
        <v>SO17759</v>
      </c>
      <c r="G900" s="5" t="str">
        <f>CASOPOInvCL!I900</f>
        <v>Alexis Gil Lamadrid</v>
      </c>
      <c r="H900" s="31">
        <f>CASOPOInvCL!U900</f>
        <v>8</v>
      </c>
      <c r="I900" s="31">
        <f>CASOPOInvCL!V900</f>
        <v>2025</v>
      </c>
      <c r="J900" s="5" t="str">
        <f>CASOPOInvCL!AB900</f>
        <v>INV13584</v>
      </c>
      <c r="K900" s="31">
        <f>CASOPOInvCL!W900</f>
        <v>12</v>
      </c>
      <c r="L900" s="31">
        <f>CASOPOInvCL!X900</f>
        <v>2025</v>
      </c>
      <c r="M900" s="31"/>
      <c r="N900" s="5" t="str">
        <f>CASOPOInvCL!AF900</f>
        <v>Motion Industries Inc. (Canada) - Prince George</v>
      </c>
      <c r="O900" s="16" t="str">
        <f>CASOPOInvCL!AG900</f>
        <v>CAD</v>
      </c>
      <c r="P900" s="16">
        <f>CASOPOInvCL!AH900</f>
        <v>8071.57</v>
      </c>
      <c r="Q900" s="16">
        <f>CASOPOInvCL!AI900</f>
        <v>5836.5405772239319</v>
      </c>
      <c r="R900" s="32" t="str">
        <f>CASOPOInvCL!AU900</f>
        <v>Yes</v>
      </c>
      <c r="S900" s="16">
        <f>CASOPOInvCL!AV900</f>
        <v>0</v>
      </c>
      <c r="T900" s="16">
        <f>CASOPOInvCL!AW900</f>
        <v>5836.5405772239319</v>
      </c>
      <c r="Y900" s="29" t="str">
        <f>IFERROR(HLOOKUP(U900,List!$D$2:$H$6,2,FALSE),"")</f>
        <v/>
      </c>
      <c r="Z900" s="29" t="str">
        <f>IFERROR(HLOOKUP(V900,List!$D$2:$H$6,3,FALSE),"")</f>
        <v/>
      </c>
      <c r="AA900" s="29" t="str">
        <f>IFERROR(HLOOKUP(W900,List!$D$2:$H$6,4,FALSE),"")</f>
        <v/>
      </c>
      <c r="AB900" s="29" t="str">
        <f>IFERROR(HLOOKUP(X900,List!$D$2:$H$6,5,FALSE),"")</f>
        <v/>
      </c>
      <c r="AC900" s="12" t="str">
        <f t="shared" si="241"/>
        <v/>
      </c>
      <c r="AD900" s="12" t="str">
        <f t="shared" si="242"/>
        <v/>
      </c>
      <c r="AE900" s="12" t="str">
        <f t="shared" si="243"/>
        <v/>
      </c>
      <c r="AF900" s="12" t="str">
        <f t="shared" si="244"/>
        <v/>
      </c>
      <c r="AG900" t="str">
        <f>VLOOKUP(J900,'Receivable Invoice Detail'!$A$1:F3912,6,FALSE)</f>
        <v>[G-R175MKM18] Maintenance Kit, 18", 3175-M</v>
      </c>
      <c r="AM900" s="12" t="str">
        <f t="shared" si="245"/>
        <v/>
      </c>
      <c r="AN900" s="12" t="str">
        <f t="shared" si="246"/>
        <v/>
      </c>
      <c r="AO900" s="12" t="str">
        <f t="shared" si="247"/>
        <v/>
      </c>
      <c r="AP900" s="12" t="str">
        <f t="shared" si="248"/>
        <v/>
      </c>
      <c r="AQ900" s="12"/>
      <c r="AS900" s="12">
        <f t="shared" si="239"/>
        <v>83.700877034166851</v>
      </c>
      <c r="AT900" s="16" t="s">
        <v>5940</v>
      </c>
    </row>
    <row r="901" spans="1:46" hidden="1" x14ac:dyDescent="0.25">
      <c r="A901" s="41">
        <f>CASOPOInvCL!T901</f>
        <v>2</v>
      </c>
      <c r="B901" t="str">
        <f>CASOPOInvCL!Z901</f>
        <v>SO17759</v>
      </c>
      <c r="G901" s="5">
        <f>CASOPOInvCL!I901</f>
        <v>0</v>
      </c>
      <c r="H901" s="31">
        <f>CASOPOInvCL!U901</f>
        <v>8</v>
      </c>
      <c r="I901" s="31">
        <f>CASOPOInvCL!V901</f>
        <v>2025</v>
      </c>
      <c r="J901" s="5" t="str">
        <f>CASOPOInvCL!AB901</f>
        <v>INV13636</v>
      </c>
      <c r="K901" s="31">
        <f>CASOPOInvCL!W901</f>
        <v>12</v>
      </c>
      <c r="L901" s="31">
        <f>CASOPOInvCL!X901</f>
        <v>2025</v>
      </c>
      <c r="M901" s="31"/>
      <c r="N901" s="5" t="str">
        <f>CASOPOInvCL!AF901</f>
        <v>Motion Industries Inc. (Canada) - Prince George</v>
      </c>
      <c r="O901" s="16" t="str">
        <f>CASOPOInvCL!AG901</f>
        <v>CAD</v>
      </c>
      <c r="P901" s="16">
        <f>CASOPOInvCL!AH901</f>
        <v>0</v>
      </c>
      <c r="Q901" s="16">
        <f>CASOPOInvCL!AI901</f>
        <v>0</v>
      </c>
      <c r="R901" s="32" t="str">
        <f>CASOPOInvCL!AU901</f>
        <v/>
      </c>
      <c r="S901" s="16">
        <f>CASOPOInvCL!AV901</f>
        <v>0</v>
      </c>
      <c r="T901" s="16">
        <f>CASOPOInvCL!AW901</f>
        <v>0</v>
      </c>
      <c r="Y901" s="29" t="str">
        <f>IFERROR(HLOOKUP(U901,List!$D$2:$H$6,2,FALSE),"")</f>
        <v/>
      </c>
      <c r="Z901" s="29" t="str">
        <f>IFERROR(HLOOKUP(V901,List!$D$2:$H$6,3,FALSE),"")</f>
        <v/>
      </c>
      <c r="AA901" s="29" t="str">
        <f>IFERROR(HLOOKUP(W901,List!$D$2:$H$6,4,FALSE),"")</f>
        <v/>
      </c>
      <c r="AB901" s="29" t="str">
        <f>IFERROR(HLOOKUP(X901,List!$D$2:$H$6,5,FALSE),"")</f>
        <v/>
      </c>
      <c r="AC901" s="12" t="str">
        <f t="shared" si="241"/>
        <v/>
      </c>
      <c r="AD901" s="12" t="str">
        <f t="shared" si="242"/>
        <v/>
      </c>
      <c r="AE901" s="12" t="str">
        <f t="shared" si="243"/>
        <v/>
      </c>
      <c r="AF901" s="12" t="str">
        <f t="shared" si="244"/>
        <v/>
      </c>
      <c r="AG901" t="str">
        <f>VLOOKUP(J901,'Receivable Invoice Detail'!$A$1:F3913,6,FALSE)</f>
        <v>[W-FAHF6056QU1/A05] Impeller, 6" E, EE or F-AHF, 4VOG, Flow Inducer, High Chrome</v>
      </c>
      <c r="AM901" s="12" t="str">
        <f t="shared" si="245"/>
        <v/>
      </c>
      <c r="AN901" s="12" t="str">
        <f t="shared" si="246"/>
        <v/>
      </c>
      <c r="AO901" s="12" t="str">
        <f t="shared" si="247"/>
        <v/>
      </c>
      <c r="AP901" s="12" t="str">
        <f t="shared" si="248"/>
        <v/>
      </c>
      <c r="AQ901" s="12"/>
      <c r="AS901" s="12">
        <f t="shared" si="239"/>
        <v>0</v>
      </c>
      <c r="AT901" s="16" t="s">
        <v>5940</v>
      </c>
    </row>
    <row r="902" spans="1:46" hidden="1" x14ac:dyDescent="0.25">
      <c r="A902" s="41">
        <f>CASOPOInvCL!T902</f>
        <v>2</v>
      </c>
      <c r="B902" t="str">
        <f>CASOPOInvCL!Z902</f>
        <v>SO17760</v>
      </c>
      <c r="G902" s="5" t="str">
        <f>CASOPOInvCL!I902</f>
        <v>Carlos Leon</v>
      </c>
      <c r="H902" s="31">
        <f>CASOPOInvCL!U902</f>
        <v>8</v>
      </c>
      <c r="I902" s="31">
        <f>CASOPOInvCL!V902</f>
        <v>2025</v>
      </c>
      <c r="J902" s="5" t="str">
        <f>CASOPOInvCL!AB902</f>
        <v>INV13686</v>
      </c>
      <c r="K902" s="31" t="str">
        <f>CASOPOInvCL!W902</f>
        <v/>
      </c>
      <c r="L902" s="31" t="str">
        <f>CASOPOInvCL!X902</f>
        <v/>
      </c>
      <c r="M902" s="31"/>
      <c r="N902" s="5" t="str">
        <f>CASOPOInvCL!AF902</f>
        <v>Dynapro Pumps México S de RL de CV</v>
      </c>
      <c r="O902" s="16" t="str">
        <f>CASOPOInvCL!AG902</f>
        <v>USD</v>
      </c>
      <c r="P902" s="16">
        <f>CASOPOInvCL!AH902</f>
        <v>2697.1712005818786</v>
      </c>
      <c r="Q902" s="16">
        <f>CASOPOInvCL!AI902</f>
        <v>1950</v>
      </c>
      <c r="R902" s="32" t="str">
        <f>CASOPOInvCL!AU902</f>
        <v/>
      </c>
      <c r="S902" s="16">
        <f>CASOPOInvCL!AV902</f>
        <v>0</v>
      </c>
      <c r="T902" s="16">
        <f>CASOPOInvCL!AW902</f>
        <v>0</v>
      </c>
      <c r="Y902" s="29" t="str">
        <f>IFERROR(HLOOKUP(U902,List!$D$2:$H$6,2,FALSE),"")</f>
        <v/>
      </c>
      <c r="Z902" s="29" t="str">
        <f>IFERROR(HLOOKUP(V902,List!$D$2:$H$6,3,FALSE),"")</f>
        <v/>
      </c>
      <c r="AA902" s="29" t="str">
        <f>IFERROR(HLOOKUP(W902,List!$D$2:$H$6,4,FALSE),"")</f>
        <v/>
      </c>
      <c r="AB902" s="29" t="str">
        <f>IFERROR(HLOOKUP(X902,List!$D$2:$H$6,5,FALSE),"")</f>
        <v/>
      </c>
      <c r="AC902" s="12" t="str">
        <f t="shared" si="241"/>
        <v/>
      </c>
      <c r="AD902" s="12" t="str">
        <f t="shared" si="242"/>
        <v/>
      </c>
      <c r="AE902" s="12" t="str">
        <f t="shared" si="243"/>
        <v/>
      </c>
      <c r="AF902" s="12" t="str">
        <f t="shared" si="244"/>
        <v/>
      </c>
      <c r="AG902" t="str">
        <f>VLOOKUP(J902,'Receivable Invoice Detail'!$A$1:F3914,6,FALSE)</f>
        <v>[D-500S-98B-03/C21] Wear Ring, 500S-98B, 420SS</v>
      </c>
      <c r="AM902" s="12" t="str">
        <f t="shared" si="245"/>
        <v/>
      </c>
      <c r="AN902" s="12" t="str">
        <f t="shared" si="246"/>
        <v/>
      </c>
      <c r="AO902" s="12" t="str">
        <f t="shared" si="247"/>
        <v/>
      </c>
      <c r="AP902" s="12" t="str">
        <f t="shared" si="248"/>
        <v/>
      </c>
      <c r="AQ902" s="12"/>
      <c r="AR902" s="16" t="s">
        <v>5940</v>
      </c>
      <c r="AS902" s="12">
        <f t="shared" si="239"/>
        <v>3.2466490258397851</v>
      </c>
      <c r="AT902" s="16" t="str">
        <f t="shared" ref="AT902:AT909" si="249">R898</f>
        <v/>
      </c>
    </row>
    <row r="903" spans="1:46" hidden="1" x14ac:dyDescent="0.25">
      <c r="A903" s="41">
        <f>CASOPOInvCL!T903</f>
        <v>2</v>
      </c>
      <c r="B903" t="str">
        <f>CASOPOInvCL!Z903</f>
        <v>SO17760</v>
      </c>
      <c r="G903" s="5">
        <f>CASOPOInvCL!I903</f>
        <v>0</v>
      </c>
      <c r="H903" s="31">
        <f>CASOPOInvCL!U903</f>
        <v>8</v>
      </c>
      <c r="I903" s="31">
        <f>CASOPOInvCL!V903</f>
        <v>2025</v>
      </c>
      <c r="J903" s="5" t="str">
        <f>CASOPOInvCL!AB903</f>
        <v>INV13673</v>
      </c>
      <c r="K903" s="31" t="str">
        <f>CASOPOInvCL!W903</f>
        <v/>
      </c>
      <c r="L903" s="31" t="str">
        <f>CASOPOInvCL!X903</f>
        <v/>
      </c>
      <c r="M903" s="31"/>
      <c r="N903" s="5" t="str">
        <f>CASOPOInvCL!AF903</f>
        <v>Dynapro Pumps México S de RL de CV</v>
      </c>
      <c r="O903" s="16" t="str">
        <f>CASOPOInvCL!AG903</f>
        <v>USD</v>
      </c>
      <c r="P903" s="16">
        <f>CASOPOInvCL!AH903</f>
        <v>0</v>
      </c>
      <c r="Q903" s="16">
        <f>CASOPOInvCL!AI903</f>
        <v>0</v>
      </c>
      <c r="R903" s="55" t="str">
        <f>CASOPOInvCL!AU903</f>
        <v/>
      </c>
      <c r="S903" s="16">
        <f>CASOPOInvCL!AV903</f>
        <v>0</v>
      </c>
      <c r="T903" s="16">
        <f>CASOPOInvCL!AW903</f>
        <v>0</v>
      </c>
      <c r="Y903" s="29" t="str">
        <f>IFERROR(HLOOKUP(U903,List!$D$2:$H$6,2,FALSE),"")</f>
        <v/>
      </c>
      <c r="Z903" s="29" t="str">
        <f>IFERROR(HLOOKUP(V903,List!$D$2:$H$6,3,FALSE),"")</f>
        <v/>
      </c>
      <c r="AA903" s="29" t="str">
        <f>IFERROR(HLOOKUP(W903,List!$D$2:$H$6,4,FALSE),"")</f>
        <v/>
      </c>
      <c r="AB903" s="29" t="str">
        <f>IFERROR(HLOOKUP(X903,List!$D$2:$H$6,5,FALSE),"")</f>
        <v/>
      </c>
      <c r="AC903" s="12" t="str">
        <f t="shared" si="241"/>
        <v/>
      </c>
      <c r="AD903" s="12" t="str">
        <f t="shared" si="242"/>
        <v/>
      </c>
      <c r="AE903" s="12" t="str">
        <f t="shared" si="243"/>
        <v/>
      </c>
      <c r="AF903" s="12" t="str">
        <f t="shared" si="244"/>
        <v/>
      </c>
      <c r="AG903" t="str">
        <f>VLOOKUP(J903,'Receivable Invoice Detail'!$A$1:F3915,6,FALSE)</f>
        <v>[D-500S-98B-20/E05] Key, 500S-98B, C28x160, 1045 Steel</v>
      </c>
      <c r="AM903" s="12" t="str">
        <f t="shared" si="245"/>
        <v/>
      </c>
      <c r="AN903" s="12" t="str">
        <f t="shared" si="246"/>
        <v/>
      </c>
      <c r="AO903" s="12" t="str">
        <f t="shared" si="247"/>
        <v/>
      </c>
      <c r="AP903" s="12" t="str">
        <f t="shared" si="248"/>
        <v/>
      </c>
      <c r="AQ903" s="12"/>
      <c r="AR903" s="16" t="s">
        <v>5940</v>
      </c>
      <c r="AS903" s="12">
        <f t="shared" si="239"/>
        <v>36.218250000000005</v>
      </c>
      <c r="AT903" s="16" t="str">
        <f t="shared" si="249"/>
        <v>Yes</v>
      </c>
    </row>
    <row r="904" spans="1:46" hidden="1" x14ac:dyDescent="0.25">
      <c r="A904" s="41">
        <f>CASOPOInvCL!T904</f>
        <v>1</v>
      </c>
      <c r="B904" s="74" t="str">
        <f>CASOPOInvCL!Z904</f>
        <v>SO17761</v>
      </c>
      <c r="D904" t="s">
        <v>5915</v>
      </c>
      <c r="G904" s="5" t="str">
        <f>CASOPOInvCL!I904</f>
        <v>Wilka Nuñez</v>
      </c>
      <c r="H904" s="31">
        <f>CASOPOInvCL!U904</f>
        <v>8</v>
      </c>
      <c r="I904" s="31">
        <f>CASOPOInvCL!V904</f>
        <v>2025</v>
      </c>
      <c r="J904" s="5" t="str">
        <f>CASOPOInvCL!AB904</f>
        <v>INV13378</v>
      </c>
      <c r="K904" s="31">
        <f>CASOPOInvCL!W904</f>
        <v>10</v>
      </c>
      <c r="L904" s="31">
        <f>CASOPOInvCL!X904</f>
        <v>2025</v>
      </c>
      <c r="M904">
        <v>2504</v>
      </c>
      <c r="N904" s="5" t="str">
        <f>CASOPOInvCL!AF904</f>
        <v>Barrick Gold - Pueblo Viejo Dominicana Corporation</v>
      </c>
      <c r="O904" s="16" t="str">
        <f>CASOPOInvCL!AG904</f>
        <v>USD</v>
      </c>
      <c r="P904" s="16">
        <f>CASOPOInvCL!AH904</f>
        <v>9778.1999857648989</v>
      </c>
      <c r="Q904" s="16">
        <f>CASOPOInvCL!AI904</f>
        <v>7069.44</v>
      </c>
      <c r="R904" s="32" t="str">
        <f>CASOPOInvCL!AU904</f>
        <v>Yes</v>
      </c>
      <c r="S904" s="16">
        <f>CASOPOInvCL!AV904</f>
        <v>0</v>
      </c>
      <c r="T904" s="16">
        <f>CASOPOInvCL!AW904</f>
        <v>7069.44</v>
      </c>
      <c r="V904" t="s">
        <v>5803</v>
      </c>
      <c r="Y904" s="29" t="str">
        <f>IFERROR(HLOOKUP(U904,List!$D$2:$H$6,2,FALSE),"")</f>
        <v/>
      </c>
      <c r="Z904" s="29">
        <f>IFERROR(HLOOKUP(V904,List!$D$2:$H$6,3,FALSE),"")</f>
        <v>0</v>
      </c>
      <c r="AA904" s="29" t="str">
        <f>IFERROR(HLOOKUP(W904,List!$D$2:$H$6,4,FALSE),"")</f>
        <v/>
      </c>
      <c r="AB904" s="29" t="str">
        <f>IFERROR(HLOOKUP(X904,List!$D$2:$H$6,5,FALSE),"")</f>
        <v/>
      </c>
      <c r="AC904" s="12" t="str">
        <f t="shared" si="241"/>
        <v/>
      </c>
      <c r="AD904" s="12">
        <f t="shared" si="242"/>
        <v>0</v>
      </c>
      <c r="AE904" s="12" t="str">
        <f t="shared" si="243"/>
        <v/>
      </c>
      <c r="AF904" s="12" t="str">
        <f t="shared" si="244"/>
        <v/>
      </c>
      <c r="AG904" t="str">
        <f>VLOOKUP(J904,'Receivable Invoice Detail'!$A$1:F3916,6,FALSE)</f>
        <v>[D-2001412-4PHSS] Hex Cap Screw, 10JKH/M, 0.44-14NCx1.50, 17-4PH SS</v>
      </c>
      <c r="AM904" s="12" t="str">
        <f t="shared" si="245"/>
        <v/>
      </c>
      <c r="AN904" s="12">
        <f t="shared" si="246"/>
        <v>0</v>
      </c>
      <c r="AO904" s="12" t="str">
        <f t="shared" si="247"/>
        <v/>
      </c>
      <c r="AP904" s="12" t="str">
        <f t="shared" si="248"/>
        <v/>
      </c>
      <c r="AQ904" s="75">
        <v>2504</v>
      </c>
      <c r="AR904" s="64" t="s">
        <v>5933</v>
      </c>
      <c r="AS904" s="12">
        <f t="shared" si="239"/>
        <v>0</v>
      </c>
      <c r="AT904" s="16" t="str">
        <f t="shared" si="249"/>
        <v>Yes</v>
      </c>
    </row>
    <row r="905" spans="1:46" hidden="1" x14ac:dyDescent="0.25">
      <c r="A905" s="41">
        <f>CASOPOInvCL!T905</f>
        <v>1</v>
      </c>
      <c r="B905" t="str">
        <f>CASOPOInvCL!Z905</f>
        <v>SO17763</v>
      </c>
      <c r="D905" t="s">
        <v>5851</v>
      </c>
      <c r="G905" s="5" t="str">
        <f>CASOPOInvCL!I905</f>
        <v>Alexis Gil Lamadrid</v>
      </c>
      <c r="H905" s="31">
        <f>CASOPOInvCL!U905</f>
        <v>8</v>
      </c>
      <c r="I905" s="31">
        <f>CASOPOInvCL!V905</f>
        <v>2025</v>
      </c>
      <c r="J905" s="5" t="str">
        <f>CASOPOInvCL!AB905</f>
        <v>INV13417</v>
      </c>
      <c r="K905" s="31">
        <f>CASOPOInvCL!W905</f>
        <v>10</v>
      </c>
      <c r="L905" s="31">
        <f>CASOPOInvCL!X905</f>
        <v>2025</v>
      </c>
      <c r="M905">
        <v>2504</v>
      </c>
      <c r="N905" s="5" t="str">
        <f>CASOPOInvCL!AF905</f>
        <v>Motion Industries Inc. (Canada) - North Bay, Motion Industries Canada</v>
      </c>
      <c r="O905" s="16" t="str">
        <f>CASOPOInvCL!AG905</f>
        <v>CAD</v>
      </c>
      <c r="P905" s="16">
        <f>CASOPOInvCL!AH905</f>
        <v>2576.7199999999998</v>
      </c>
      <c r="Q905" s="16">
        <f>CASOPOInvCL!AI905</f>
        <v>1869.1996504955835</v>
      </c>
      <c r="R905" s="32" t="str">
        <f>CASOPOInvCL!AU905</f>
        <v>Yes</v>
      </c>
      <c r="S905" s="16">
        <f>CASOPOInvCL!AV905</f>
        <v>0</v>
      </c>
      <c r="T905" s="16">
        <f>CASOPOInvCL!AW905</f>
        <v>1869.1996504955835</v>
      </c>
      <c r="V905" t="s">
        <v>5800</v>
      </c>
      <c r="Y905" s="29" t="str">
        <f>IFERROR(HLOOKUP(U905,List!$D$2:$H$6,2,FALSE),"")</f>
        <v/>
      </c>
      <c r="Z905" s="29">
        <f>IFERROR(HLOOKUP(V905,List!$D$2:$H$6,3,FALSE),"")</f>
        <v>5.0000000000000001E-3</v>
      </c>
      <c r="AA905" s="29" t="str">
        <f>IFERROR(HLOOKUP(W905,List!$D$2:$H$6,4,FALSE),"")</f>
        <v/>
      </c>
      <c r="AB905" s="29" t="str">
        <f>IFERROR(HLOOKUP(X905,List!$D$2:$H$6,5,FALSE),"")</f>
        <v/>
      </c>
      <c r="AC905" s="12" t="str">
        <f t="shared" si="241"/>
        <v/>
      </c>
      <c r="AD905" s="12">
        <f t="shared" si="242"/>
        <v>9.3459982524779175</v>
      </c>
      <c r="AE905" s="12" t="str">
        <f t="shared" si="243"/>
        <v/>
      </c>
      <c r="AF905" s="12" t="str">
        <f t="shared" si="244"/>
        <v/>
      </c>
      <c r="AG905" t="str">
        <f>VLOOKUP(J905,'Receivable Invoice Detail'!$A$1:F3917,6,FALSE)</f>
        <v>[DU-CY21693AB-BBC8] Shaft (Solid), 3x2-8, Durco Mark 2 Group 2, 1144 Material w/BBC8 Sleeve</v>
      </c>
      <c r="AM905" s="12" t="str">
        <f t="shared" si="245"/>
        <v/>
      </c>
      <c r="AN905" s="12">
        <f t="shared" si="246"/>
        <v>9.3459982524779175</v>
      </c>
      <c r="AO905" s="12" t="str">
        <f t="shared" si="247"/>
        <v/>
      </c>
      <c r="AP905" s="12" t="str">
        <f t="shared" si="248"/>
        <v/>
      </c>
      <c r="AQ905" s="64">
        <f>M905</f>
        <v>2504</v>
      </c>
      <c r="AR905" t="s">
        <v>5931</v>
      </c>
      <c r="AS905" s="12">
        <f t="shared" ref="AS905:AS953" si="250">T899*1.5%</f>
        <v>2.9340612096514693</v>
      </c>
      <c r="AT905" s="16" t="str">
        <f t="shared" si="249"/>
        <v/>
      </c>
    </row>
    <row r="906" spans="1:46" hidden="1" x14ac:dyDescent="0.25">
      <c r="A906" s="41">
        <f>CASOPOInvCL!T906</f>
        <v>1</v>
      </c>
      <c r="B906" t="str">
        <f>CASOPOInvCL!Z906</f>
        <v>SO17765</v>
      </c>
      <c r="G906" s="5" t="str">
        <f>CASOPOInvCL!I906</f>
        <v>Ian Trottier</v>
      </c>
      <c r="H906" s="31">
        <f>CASOPOInvCL!U906</f>
        <v>8</v>
      </c>
      <c r="I906" s="31">
        <f>CASOPOInvCL!V906</f>
        <v>2025</v>
      </c>
      <c r="J906" s="5" t="str">
        <f>CASOPOInvCL!AB906</f>
        <v>INV13384</v>
      </c>
      <c r="K906" s="31">
        <f>CASOPOInvCL!W906</f>
        <v>10</v>
      </c>
      <c r="L906" s="31">
        <f>CASOPOInvCL!X906</f>
        <v>2025</v>
      </c>
      <c r="M906" s="31"/>
      <c r="N906" s="5" t="str">
        <f>CASOPOInvCL!AF906</f>
        <v>Middle Georgia Fluid Sealing LLC</v>
      </c>
      <c r="O906" s="16" t="str">
        <f>CASOPOInvCL!AG906</f>
        <v>USD</v>
      </c>
      <c r="P906" s="16">
        <f>CASOPOInvCL!AH906</f>
        <v>18960.735106430871</v>
      </c>
      <c r="Q906" s="16">
        <f>CASOPOInvCL!AI906</f>
        <v>13714.03</v>
      </c>
      <c r="R906" s="32" t="str">
        <f>CASOPOInvCL!AU906</f>
        <v>Yes</v>
      </c>
      <c r="S906" s="16">
        <f>CASOPOInvCL!AV906</f>
        <v>622</v>
      </c>
      <c r="T906" s="16">
        <f>CASOPOInvCL!AW906</f>
        <v>13092.03</v>
      </c>
      <c r="Y906" s="29" t="str">
        <f>IFERROR(HLOOKUP(U906,List!$D$2:$H$6,2,FALSE),"")</f>
        <v/>
      </c>
      <c r="Z906" s="29" t="str">
        <f>IFERROR(HLOOKUP(V906,List!$D$2:$H$6,3,FALSE),"")</f>
        <v/>
      </c>
      <c r="AA906" s="29" t="str">
        <f>IFERROR(HLOOKUP(W906,List!$D$2:$H$6,4,FALSE),"")</f>
        <v/>
      </c>
      <c r="AB906" s="29" t="str">
        <f>IFERROR(HLOOKUP(X906,List!$D$2:$H$6,5,FALSE),"")</f>
        <v/>
      </c>
      <c r="AC906" s="12" t="str">
        <f t="shared" si="241"/>
        <v/>
      </c>
      <c r="AD906" s="12" t="str">
        <f t="shared" si="242"/>
        <v/>
      </c>
      <c r="AE906" s="12" t="str">
        <f t="shared" si="243"/>
        <v/>
      </c>
      <c r="AF906" s="12" t="str">
        <f t="shared" si="244"/>
        <v/>
      </c>
      <c r="AG906" t="str">
        <f>VLOOKUP(J906,'Receivable Invoice Detail'!$A$1:F3918,6,FALSE)</f>
        <v>[G-249-63 1216] Casing, 1.5x3-13, 3196 MTX, CD4MCu</v>
      </c>
      <c r="AM906" s="12" t="str">
        <f t="shared" si="245"/>
        <v/>
      </c>
      <c r="AN906" s="12" t="str">
        <f t="shared" si="246"/>
        <v/>
      </c>
      <c r="AO906" s="12" t="str">
        <f t="shared" si="247"/>
        <v/>
      </c>
      <c r="AP906" s="12" t="str">
        <f t="shared" si="248"/>
        <v/>
      </c>
      <c r="AQ906" s="12"/>
      <c r="AS906" s="12">
        <f t="shared" si="250"/>
        <v>87.54810865835897</v>
      </c>
      <c r="AT906" s="16" t="str">
        <f t="shared" si="249"/>
        <v/>
      </c>
    </row>
    <row r="907" spans="1:46" hidden="1" x14ac:dyDescent="0.25">
      <c r="A907" s="41">
        <f>CASOPOInvCL!T907</f>
        <v>2</v>
      </c>
      <c r="B907" t="str">
        <f>CASOPOInvCL!Z907</f>
        <v>SO17768</v>
      </c>
      <c r="D907" t="s">
        <v>5925</v>
      </c>
      <c r="G907" s="5" t="str">
        <f>CASOPOInvCL!I907</f>
        <v>Ian Trottier</v>
      </c>
      <c r="H907" s="31">
        <f>CASOPOInvCL!U907</f>
        <v>8</v>
      </c>
      <c r="I907" s="31">
        <f>CASOPOInvCL!V907</f>
        <v>2025</v>
      </c>
      <c r="J907" s="5" t="str">
        <f>CASOPOInvCL!AB907</f>
        <v>INV13383</v>
      </c>
      <c r="K907" s="31">
        <f>CASOPOInvCL!W907</f>
        <v>10</v>
      </c>
      <c r="L907" s="31">
        <f>CASOPOInvCL!X907</f>
        <v>2025</v>
      </c>
      <c r="M907">
        <v>2504</v>
      </c>
      <c r="N907" s="5" t="str">
        <f>CASOPOInvCL!AF907</f>
        <v>Wesdome Gold Mines Ltd - Eagle River Mine</v>
      </c>
      <c r="O907" s="16" t="str">
        <f>CASOPOInvCL!AG907</f>
        <v>CAD</v>
      </c>
      <c r="P907" s="16">
        <f>CASOPOInvCL!AH907</f>
        <v>27525.7</v>
      </c>
      <c r="Q907" s="16">
        <f>CASOPOInvCL!AI907</f>
        <v>19967.644454828729</v>
      </c>
      <c r="R907" s="32" t="str">
        <f>CASOPOInvCL!AU907</f>
        <v>Yes</v>
      </c>
      <c r="S907" s="16">
        <f>CASOPOInvCL!AV907</f>
        <v>0</v>
      </c>
      <c r="T907" s="16">
        <f>CASOPOInvCL!AW907</f>
        <v>19967.644454828729</v>
      </c>
      <c r="V907" t="s">
        <v>5800</v>
      </c>
      <c r="Y907" s="29" t="str">
        <f>IFERROR(HLOOKUP(U907,List!$D$2:$H$6,2,FALSE),"")</f>
        <v/>
      </c>
      <c r="Z907" s="29">
        <f>IFERROR(HLOOKUP(V907,List!$D$2:$H$6,3,FALSE),"")</f>
        <v>5.0000000000000001E-3</v>
      </c>
      <c r="AA907" s="29" t="str">
        <f>IFERROR(HLOOKUP(W907,List!$D$2:$H$6,4,FALSE),"")</f>
        <v/>
      </c>
      <c r="AB907" s="29" t="str">
        <f>IFERROR(HLOOKUP(X907,List!$D$2:$H$6,5,FALSE),"")</f>
        <v/>
      </c>
      <c r="AC907" s="12" t="str">
        <f t="shared" si="241"/>
        <v/>
      </c>
      <c r="AD907" s="12">
        <f t="shared" si="242"/>
        <v>99.838222274143646</v>
      </c>
      <c r="AE907" s="12" t="str">
        <f t="shared" si="243"/>
        <v/>
      </c>
      <c r="AF907" s="12" t="str">
        <f t="shared" si="244"/>
        <v/>
      </c>
      <c r="AG907" t="str">
        <f>VLOOKUP(J907,'Receivable Invoice Detail'!$A$1:F3919,6,FALSE)</f>
        <v>[AC-98-331-958-831] Shaft Sleeve, 5x4/5x5/6X6 SRL-C &amp; SRL, 420SS Heat Treated, Hardened</v>
      </c>
      <c r="AM907" s="12" t="str">
        <f t="shared" si="245"/>
        <v/>
      </c>
      <c r="AN907" s="12">
        <f t="shared" si="246"/>
        <v>99.838222274143646</v>
      </c>
      <c r="AO907" s="12" t="str">
        <f t="shared" si="247"/>
        <v/>
      </c>
      <c r="AP907" s="12" t="str">
        <f t="shared" si="248"/>
        <v/>
      </c>
      <c r="AQ907" s="12"/>
      <c r="AS907" s="12">
        <f t="shared" si="250"/>
        <v>0</v>
      </c>
      <c r="AT907" s="16" t="str">
        <f t="shared" si="249"/>
        <v/>
      </c>
    </row>
    <row r="908" spans="1:46" hidden="1" x14ac:dyDescent="0.25">
      <c r="A908" s="41">
        <f>CASOPOInvCL!T908</f>
        <v>2</v>
      </c>
      <c r="B908" t="str">
        <f>CASOPOInvCL!Z908</f>
        <v>SO17768</v>
      </c>
      <c r="D908" t="s">
        <v>5925</v>
      </c>
      <c r="G908" s="5">
        <f>CASOPOInvCL!I908</f>
        <v>0</v>
      </c>
      <c r="H908" s="31">
        <f>CASOPOInvCL!U908</f>
        <v>8</v>
      </c>
      <c r="I908" s="31">
        <f>CASOPOInvCL!V908</f>
        <v>2025</v>
      </c>
      <c r="J908" s="5" t="str">
        <f>CASOPOInvCL!AB908</f>
        <v>INV13426</v>
      </c>
      <c r="K908" s="31">
        <f>CASOPOInvCL!W908</f>
        <v>1</v>
      </c>
      <c r="L908" s="31">
        <f>CASOPOInvCL!X908</f>
        <v>1900</v>
      </c>
      <c r="M908">
        <v>2504</v>
      </c>
      <c r="N908" s="5" t="str">
        <f>CASOPOInvCL!AF908</f>
        <v>Wesdome Gold Mines Ltd - Eagle River Mine</v>
      </c>
      <c r="O908" s="16" t="str">
        <f>CASOPOInvCL!AG908</f>
        <v>CAD</v>
      </c>
      <c r="P908" s="16">
        <f>CASOPOInvCL!AH908</f>
        <v>0</v>
      </c>
      <c r="Q908" s="16">
        <f>CASOPOInvCL!AI908</f>
        <v>0</v>
      </c>
      <c r="R908" s="32" t="str">
        <f>CASOPOInvCL!AU908</f>
        <v/>
      </c>
      <c r="S908" s="16">
        <f>CASOPOInvCL!AV908</f>
        <v>0</v>
      </c>
      <c r="T908" s="16">
        <f>CASOPOInvCL!AW908</f>
        <v>0</v>
      </c>
      <c r="V908" t="s">
        <v>5800</v>
      </c>
      <c r="Y908" s="29" t="str">
        <f>IFERROR(HLOOKUP(U908,List!$D$2:$H$6,2,FALSE),"")</f>
        <v/>
      </c>
      <c r="Z908" s="29">
        <f>IFERROR(HLOOKUP(V908,List!$D$2:$H$6,3,FALSE),"")</f>
        <v>5.0000000000000001E-3</v>
      </c>
      <c r="AA908" s="29" t="str">
        <f>IFERROR(HLOOKUP(W908,List!$D$2:$H$6,4,FALSE),"")</f>
        <v/>
      </c>
      <c r="AB908" s="29" t="str">
        <f>IFERROR(HLOOKUP(X908,List!$D$2:$H$6,5,FALSE),"")</f>
        <v/>
      </c>
      <c r="AC908" s="12" t="str">
        <f t="shared" si="241"/>
        <v/>
      </c>
      <c r="AD908" s="12">
        <f t="shared" si="242"/>
        <v>0</v>
      </c>
      <c r="AE908" s="12" t="str">
        <f t="shared" si="243"/>
        <v/>
      </c>
      <c r="AF908" s="12" t="str">
        <f t="shared" si="244"/>
        <v/>
      </c>
      <c r="AG908" t="str">
        <f>VLOOKUP(J908,'Receivable Invoice Detail'!$A$1:F3920,6,FALSE)</f>
        <v>[AC-98-332-013-811] Fastener Kit (Suction Side Liner), 5x4-14 SRL-C or 6x6-15 SRL</v>
      </c>
      <c r="AM908" s="12" t="str">
        <f t="shared" si="245"/>
        <v/>
      </c>
      <c r="AN908" s="12">
        <f t="shared" si="246"/>
        <v>0</v>
      </c>
      <c r="AO908" s="12" t="str">
        <f t="shared" si="247"/>
        <v/>
      </c>
      <c r="AP908" s="12" t="str">
        <f t="shared" si="248"/>
        <v/>
      </c>
      <c r="AQ908" s="12"/>
      <c r="AS908" s="12">
        <f t="shared" si="250"/>
        <v>0</v>
      </c>
      <c r="AT908" s="16" t="str">
        <f t="shared" si="249"/>
        <v>Yes</v>
      </c>
    </row>
    <row r="909" spans="1:46" hidden="1" x14ac:dyDescent="0.25">
      <c r="A909" s="41">
        <f>CASOPOInvCL!T909</f>
        <v>2</v>
      </c>
      <c r="B909" s="74" t="str">
        <f>CASOPOInvCL!Z909</f>
        <v>SO17769</v>
      </c>
      <c r="D909" t="s">
        <v>5915</v>
      </c>
      <c r="G909" s="5" t="str">
        <f>CASOPOInvCL!I909</f>
        <v>Wilka Nuñez</v>
      </c>
      <c r="H909" s="31">
        <f>CASOPOInvCL!U909</f>
        <v>8</v>
      </c>
      <c r="I909" s="31">
        <f>CASOPOInvCL!V909</f>
        <v>2025</v>
      </c>
      <c r="J909" s="5" t="str">
        <f>CASOPOInvCL!AB909</f>
        <v>INV13643</v>
      </c>
      <c r="K909" s="31">
        <f>CASOPOInvCL!W909</f>
        <v>1</v>
      </c>
      <c r="L909" s="31">
        <f>CASOPOInvCL!X909</f>
        <v>2026</v>
      </c>
      <c r="M909">
        <v>2504</v>
      </c>
      <c r="N909" s="5" t="str">
        <f>CASOPOInvCL!AF909</f>
        <v>Barrick Gold - Pueblo Viejo Dominicana Corporation</v>
      </c>
      <c r="O909" s="16" t="str">
        <f>CASOPOInvCL!AG909</f>
        <v>USD</v>
      </c>
      <c r="P909" s="16">
        <f>CASOPOInvCL!AH909</f>
        <v>31086.578437253145</v>
      </c>
      <c r="Q909" s="16">
        <f>CASOPOInvCL!AI909</f>
        <v>22484.48</v>
      </c>
      <c r="R909" s="32" t="str">
        <f>CASOPOInvCL!AU909</f>
        <v>Yes</v>
      </c>
      <c r="S909" s="16">
        <f>CASOPOInvCL!AV909</f>
        <v>0</v>
      </c>
      <c r="T909" s="16">
        <f>CASOPOInvCL!AW909</f>
        <v>22484.48</v>
      </c>
      <c r="V909" t="s">
        <v>5803</v>
      </c>
      <c r="Y909" s="29" t="str">
        <f>IFERROR(HLOOKUP(U909,List!$D$2:$H$6,2,FALSE),"")</f>
        <v/>
      </c>
      <c r="Z909" s="29">
        <f>IFERROR(HLOOKUP(V909,List!$D$2:$H$6,3,FALSE),"")</f>
        <v>0</v>
      </c>
      <c r="AA909" s="29" t="str">
        <f>IFERROR(HLOOKUP(W909,List!$D$2:$H$6,4,FALSE),"")</f>
        <v/>
      </c>
      <c r="AB909" s="29" t="str">
        <f>IFERROR(HLOOKUP(X909,List!$D$2:$H$6,5,FALSE),"")</f>
        <v/>
      </c>
      <c r="AC909" s="12" t="str">
        <f t="shared" si="241"/>
        <v/>
      </c>
      <c r="AD909" s="12">
        <f t="shared" si="242"/>
        <v>0</v>
      </c>
      <c r="AE909" s="12" t="str">
        <f t="shared" si="243"/>
        <v/>
      </c>
      <c r="AF909" s="12" t="str">
        <f t="shared" si="244"/>
        <v/>
      </c>
      <c r="AG909" t="str">
        <f>VLOOKUP(J909,'Receivable Invoice Detail'!$A$1:F3921,6,FALSE)</f>
        <v>[D-2001408-2507] Impeller Wear Ring, 10JKH/M, 5.12x5.48x0.88, Duplex SS 2507 w/Ion Nitriding</v>
      </c>
      <c r="AM909" s="12" t="str">
        <f t="shared" si="245"/>
        <v/>
      </c>
      <c r="AN909" s="12">
        <f t="shared" si="246"/>
        <v>0</v>
      </c>
      <c r="AO909" s="12" t="str">
        <f t="shared" si="247"/>
        <v/>
      </c>
      <c r="AP909" s="12" t="str">
        <f t="shared" si="248"/>
        <v/>
      </c>
      <c r="AQ909" s="64"/>
      <c r="AR909" s="64" t="s">
        <v>5933</v>
      </c>
      <c r="AS909" s="12">
        <f t="shared" si="250"/>
        <v>0</v>
      </c>
      <c r="AT909" s="16" t="str">
        <f t="shared" si="249"/>
        <v>Yes</v>
      </c>
    </row>
    <row r="910" spans="1:46" hidden="1" x14ac:dyDescent="0.25">
      <c r="A910" s="41">
        <f>CASOPOInvCL!T910</f>
        <v>2</v>
      </c>
      <c r="B910" s="74" t="str">
        <f>CASOPOInvCL!Z910</f>
        <v>SO17769</v>
      </c>
      <c r="D910" t="s">
        <v>5915</v>
      </c>
      <c r="G910" s="5">
        <f>CASOPOInvCL!I910</f>
        <v>0</v>
      </c>
      <c r="H910" s="31">
        <f>CASOPOInvCL!U910</f>
        <v>8</v>
      </c>
      <c r="I910" s="31">
        <f>CASOPOInvCL!V910</f>
        <v>2025</v>
      </c>
      <c r="J910" s="5" t="str">
        <f>CASOPOInvCL!AB910</f>
        <v>INV13377</v>
      </c>
      <c r="K910" s="31">
        <f>CASOPOInvCL!W910</f>
        <v>10</v>
      </c>
      <c r="L910" s="31">
        <f>CASOPOInvCL!X910</f>
        <v>2025</v>
      </c>
      <c r="M910">
        <v>2504</v>
      </c>
      <c r="N910" s="5" t="str">
        <f>CASOPOInvCL!AF910</f>
        <v>Barrick Gold - Pueblo Viejo Dominicana Corporation</v>
      </c>
      <c r="O910" s="16" t="str">
        <f>CASOPOInvCL!AG910</f>
        <v>USD</v>
      </c>
      <c r="P910" s="16">
        <f>CASOPOInvCL!AH910</f>
        <v>0</v>
      </c>
      <c r="Q910" s="16">
        <f>CASOPOInvCL!AI910</f>
        <v>0</v>
      </c>
      <c r="R910" s="32" t="str">
        <f>CASOPOInvCL!AU910</f>
        <v/>
      </c>
      <c r="S910" s="16">
        <f>CASOPOInvCL!AV910</f>
        <v>0</v>
      </c>
      <c r="T910" s="16">
        <f>CASOPOInvCL!AW910</f>
        <v>0</v>
      </c>
      <c r="V910" t="s">
        <v>5803</v>
      </c>
      <c r="Y910" s="29" t="str">
        <f>IFERROR(HLOOKUP(U910,List!$D$2:$H$6,2,FALSE),"")</f>
        <v/>
      </c>
      <c r="Z910" s="29">
        <f>IFERROR(HLOOKUP(V910,List!$D$2:$H$6,3,FALSE),"")</f>
        <v>0</v>
      </c>
      <c r="AA910" s="29" t="str">
        <f>IFERROR(HLOOKUP(W910,List!$D$2:$H$6,4,FALSE),"")</f>
        <v/>
      </c>
      <c r="AB910" s="29" t="str">
        <f>IFERROR(HLOOKUP(X910,List!$D$2:$H$6,5,FALSE),"")</f>
        <v/>
      </c>
      <c r="AC910" s="12" t="str">
        <f t="shared" si="241"/>
        <v/>
      </c>
      <c r="AD910" s="12">
        <f t="shared" si="242"/>
        <v>0</v>
      </c>
      <c r="AE910" s="12" t="str">
        <f t="shared" si="243"/>
        <v/>
      </c>
      <c r="AF910" s="12" t="str">
        <f t="shared" si="244"/>
        <v/>
      </c>
      <c r="AG910" t="str">
        <f>VLOOKUP(J910,'Receivable Invoice Detail'!$A$1:F3922,6,FALSE)</f>
        <v>[D-2001408-2507] Impeller Wear Ring, 10JKH/M, 5.12x5.48x0.88, Duplex SS 2507 w/Ion Nitriding</v>
      </c>
      <c r="AM910" s="12" t="str">
        <f t="shared" si="245"/>
        <v/>
      </c>
      <c r="AN910" s="12">
        <f t="shared" si="246"/>
        <v>0</v>
      </c>
      <c r="AO910" s="12" t="str">
        <f t="shared" si="247"/>
        <v/>
      </c>
      <c r="AP910" s="12" t="str">
        <f t="shared" si="248"/>
        <v/>
      </c>
      <c r="AQ910" s="64"/>
      <c r="AR910" s="64" t="s">
        <v>5933</v>
      </c>
      <c r="AS910" s="12">
        <f t="shared" si="250"/>
        <v>106.04159999999999</v>
      </c>
      <c r="AT910" s="16" t="str">
        <f t="shared" ref="AT910:AT953" si="251">R906</f>
        <v>Yes</v>
      </c>
    </row>
    <row r="911" spans="1:46" hidden="1" x14ac:dyDescent="0.25">
      <c r="A911" s="41">
        <f>CASOPOInvCL!T911</f>
        <v>1</v>
      </c>
      <c r="B911" t="str">
        <f>CASOPOInvCL!Z911</f>
        <v>SO17774</v>
      </c>
      <c r="D911" t="s">
        <v>5915</v>
      </c>
      <c r="G911" s="5" t="str">
        <f>CASOPOInvCL!I911</f>
        <v>Wilka Nuñez</v>
      </c>
      <c r="H911" s="31">
        <f>CASOPOInvCL!U911</f>
        <v>8</v>
      </c>
      <c r="I911" s="31">
        <f>CASOPOInvCL!V911</f>
        <v>2025</v>
      </c>
      <c r="J911" s="5" t="str">
        <f>CASOPOInvCL!AB911</f>
        <v>INV13362</v>
      </c>
      <c r="K911" s="31">
        <f>CASOPOInvCL!W911</f>
        <v>11</v>
      </c>
      <c r="L911" s="31">
        <f>CASOPOInvCL!X911</f>
        <v>2025</v>
      </c>
      <c r="M911">
        <v>2504</v>
      </c>
      <c r="N911" s="5" t="str">
        <f>CASOPOInvCL!AF911</f>
        <v>Motion Industries Inc. (U.S.) - Clewiston</v>
      </c>
      <c r="O911" s="16" t="str">
        <f>CASOPOInvCL!AG911</f>
        <v>USD</v>
      </c>
      <c r="P911" s="16">
        <f>CASOPOInvCL!AH911</f>
        <v>371.64353415826866</v>
      </c>
      <c r="Q911" s="16">
        <f>CASOPOInvCL!AI911</f>
        <v>268.8</v>
      </c>
      <c r="R911" s="32" t="str">
        <f>CASOPOInvCL!AU911</f>
        <v>Yes</v>
      </c>
      <c r="S911" s="16">
        <f>CASOPOInvCL!AV911</f>
        <v>0</v>
      </c>
      <c r="T911" s="16">
        <f>CASOPOInvCL!AW911</f>
        <v>268.8</v>
      </c>
      <c r="V911" t="s">
        <v>5800</v>
      </c>
      <c r="Y911" s="29" t="str">
        <f>IFERROR(HLOOKUP(U911,List!$D$2:$H$6,2,FALSE),"")</f>
        <v/>
      </c>
      <c r="Z911" s="29">
        <f>IFERROR(HLOOKUP(V911,List!$D$2:$H$6,3,FALSE),"")</f>
        <v>5.0000000000000001E-3</v>
      </c>
      <c r="AA911" s="29" t="str">
        <f>IFERROR(HLOOKUP(W911,List!$D$2:$H$6,4,FALSE),"")</f>
        <v/>
      </c>
      <c r="AB911" s="29" t="str">
        <f>IFERROR(HLOOKUP(X911,List!$D$2:$H$6,5,FALSE),"")</f>
        <v/>
      </c>
      <c r="AC911" s="12" t="str">
        <f t="shared" si="241"/>
        <v/>
      </c>
      <c r="AD911" s="12">
        <f t="shared" si="242"/>
        <v>1.3440000000000001</v>
      </c>
      <c r="AE911" s="12" t="str">
        <f t="shared" si="243"/>
        <v/>
      </c>
      <c r="AF911" s="12" t="str">
        <f t="shared" si="244"/>
        <v/>
      </c>
      <c r="AG911" t="str">
        <f>VLOOKUP(J911,'Receivable Invoice Detail'!$A$1:F3923,6,FALSE)</f>
        <v>[OLPWZ011010B, G-A04951A223] Bearing Isolator (Outboard), 3196 XLT/XLTi, 303SS Rotor / Bronze Stator w/Viton</v>
      </c>
      <c r="AM911" s="12" t="str">
        <f t="shared" si="245"/>
        <v/>
      </c>
      <c r="AN911" s="12">
        <f t="shared" si="246"/>
        <v>1.3440000000000001</v>
      </c>
      <c r="AO911" s="12" t="str">
        <f t="shared" si="247"/>
        <v/>
      </c>
      <c r="AP911" s="12" t="str">
        <f t="shared" si="248"/>
        <v/>
      </c>
      <c r="AQ911" s="64">
        <f>M911</f>
        <v>2504</v>
      </c>
      <c r="AR911" t="s">
        <v>5931</v>
      </c>
      <c r="AS911" s="12">
        <f t="shared" si="250"/>
        <v>28.037994757433751</v>
      </c>
      <c r="AT911" s="16" t="str">
        <f t="shared" si="251"/>
        <v>Yes</v>
      </c>
    </row>
    <row r="912" spans="1:46" hidden="1" x14ac:dyDescent="0.25">
      <c r="A912" s="41">
        <f>CASOPOInvCL!T912</f>
        <v>1</v>
      </c>
      <c r="B912" t="str">
        <f>CASOPOInvCL!Z912</f>
        <v>SO17775</v>
      </c>
      <c r="G912" s="5" t="str">
        <f>CASOPOInvCL!I912</f>
        <v>Wilka Nuñez</v>
      </c>
      <c r="H912" s="31">
        <f>CASOPOInvCL!U912</f>
        <v>8</v>
      </c>
      <c r="I912" s="31">
        <f>CASOPOInvCL!V912</f>
        <v>2025</v>
      </c>
      <c r="J912" s="5" t="str">
        <f>CASOPOInvCL!AB912</f>
        <v>INV13791</v>
      </c>
      <c r="K912" s="31" t="str">
        <f>CASOPOInvCL!W912</f>
        <v/>
      </c>
      <c r="L912" s="31" t="str">
        <f>CASOPOInvCL!X912</f>
        <v/>
      </c>
      <c r="M912" s="31"/>
      <c r="N912" s="5" t="str">
        <f>CASOPOInvCL!AF912</f>
        <v>PT Vale Indonesia Tbk.</v>
      </c>
      <c r="O912" s="16" t="str">
        <f>CASOPOInvCL!AG912</f>
        <v>USD</v>
      </c>
      <c r="P912" s="16">
        <f>CASOPOInvCL!AH912</f>
        <v>1484.0578002038783</v>
      </c>
      <c r="Q912" s="16">
        <f>CASOPOInvCL!AI912</f>
        <v>1073.3800000000001</v>
      </c>
      <c r="R912" s="32" t="str">
        <f>CASOPOInvCL!AU912</f>
        <v/>
      </c>
      <c r="S912" s="16">
        <f>CASOPOInvCL!AV912</f>
        <v>0</v>
      </c>
      <c r="T912" s="16">
        <f>CASOPOInvCL!AW912</f>
        <v>0</v>
      </c>
      <c r="Y912" s="29" t="str">
        <f>IFERROR(HLOOKUP(U912,List!$D$2:$H$6,2,FALSE),"")</f>
        <v/>
      </c>
      <c r="Z912" s="29" t="str">
        <f>IFERROR(HLOOKUP(V912,List!$D$2:$H$6,3,FALSE),"")</f>
        <v/>
      </c>
      <c r="AA912" s="29" t="str">
        <f>IFERROR(HLOOKUP(W912,List!$D$2:$H$6,4,FALSE),"")</f>
        <v/>
      </c>
      <c r="AB912" s="29" t="str">
        <f>IFERROR(HLOOKUP(X912,List!$D$2:$H$6,5,FALSE),"")</f>
        <v/>
      </c>
      <c r="AC912" s="12" t="str">
        <f t="shared" si="241"/>
        <v/>
      </c>
      <c r="AD912" s="12" t="str">
        <f t="shared" si="242"/>
        <v/>
      </c>
      <c r="AE912" s="12" t="str">
        <f t="shared" si="243"/>
        <v/>
      </c>
      <c r="AF912" s="12" t="str">
        <f t="shared" si="244"/>
        <v/>
      </c>
      <c r="AG912" t="str">
        <f>VLOOKUP(J912,'Receivable Invoice Detail'!$A$1:F3924,6,FALSE)</f>
        <v>[G-R72489 6956] Shaft Sleeve, 3405-L, Ni-Chrome Boron On 316SS, Locking</v>
      </c>
      <c r="AM912" s="12" t="str">
        <f t="shared" si="245"/>
        <v/>
      </c>
      <c r="AN912" s="12" t="str">
        <f t="shared" si="246"/>
        <v/>
      </c>
      <c r="AO912" s="12" t="str">
        <f t="shared" si="247"/>
        <v/>
      </c>
      <c r="AP912" s="12" t="str">
        <f t="shared" si="248"/>
        <v/>
      </c>
      <c r="AQ912" s="12"/>
      <c r="AS912" s="12">
        <f t="shared" si="250"/>
        <v>196.38045</v>
      </c>
      <c r="AT912" s="16" t="str">
        <f t="shared" si="251"/>
        <v/>
      </c>
    </row>
    <row r="913" spans="1:46" hidden="1" x14ac:dyDescent="0.25">
      <c r="A913" s="41">
        <f>CASOPOInvCL!T913</f>
        <v>1</v>
      </c>
      <c r="B913" t="str">
        <f>CASOPOInvCL!Z913</f>
        <v>SO17776</v>
      </c>
      <c r="D913" t="s">
        <v>5938</v>
      </c>
      <c r="G913" s="5" t="str">
        <f>CASOPOInvCL!I913</f>
        <v>Marlen Martinez</v>
      </c>
      <c r="H913" s="31">
        <f>CASOPOInvCL!U913</f>
        <v>8</v>
      </c>
      <c r="I913" s="31">
        <f>CASOPOInvCL!V913</f>
        <v>2025</v>
      </c>
      <c r="J913" s="5" t="str">
        <f>CASOPOInvCL!AB913</f>
        <v>INV13368</v>
      </c>
      <c r="K913" s="31">
        <f>CASOPOInvCL!W913</f>
        <v>12</v>
      </c>
      <c r="L913" s="31">
        <f>CASOPOInvCL!X913</f>
        <v>2025</v>
      </c>
      <c r="M913" s="31"/>
      <c r="N913" s="5" t="str">
        <f>CASOPOInvCL!AF913</f>
        <v>Covia Corp - Blue Mountain</v>
      </c>
      <c r="O913" s="16" t="str">
        <f>CASOPOInvCL!AG913</f>
        <v>USD</v>
      </c>
      <c r="P913" s="16">
        <f>CASOPOInvCL!AH913</f>
        <v>8216.692090191882</v>
      </c>
      <c r="Q913" s="16">
        <f>CASOPOInvCL!AI913</f>
        <v>5963.41</v>
      </c>
      <c r="R913" s="32" t="str">
        <f>CASOPOInvCL!AU913</f>
        <v>Yes</v>
      </c>
      <c r="S913" s="16">
        <f>CASOPOInvCL!AV913</f>
        <v>288.35000000000002</v>
      </c>
      <c r="T913" s="16">
        <f>CASOPOInvCL!AW913</f>
        <v>5675.0599999999995</v>
      </c>
      <c r="Y913" s="29" t="str">
        <f>IFERROR(HLOOKUP(U913,List!$D$2:$H$6,2,FALSE),"")</f>
        <v/>
      </c>
      <c r="Z913" s="29" t="str">
        <f>IFERROR(HLOOKUP(V913,List!$D$2:$H$6,3,FALSE),"")</f>
        <v/>
      </c>
      <c r="AA913" s="29" t="str">
        <f>IFERROR(HLOOKUP(W913,List!$D$2:$H$6,4,FALSE),"")</f>
        <v/>
      </c>
      <c r="AB913" s="29" t="str">
        <f>IFERROR(HLOOKUP(X913,List!$D$2:$H$6,5,FALSE),"")</f>
        <v/>
      </c>
      <c r="AC913" s="12" t="str">
        <f t="shared" si="241"/>
        <v/>
      </c>
      <c r="AD913" s="12" t="str">
        <f t="shared" si="242"/>
        <v/>
      </c>
      <c r="AE913" s="12" t="str">
        <f t="shared" si="243"/>
        <v/>
      </c>
      <c r="AF913" s="12" t="str">
        <f t="shared" si="244"/>
        <v/>
      </c>
      <c r="AG913" t="str">
        <f>VLOOKUP(J913,'Receivable Invoice Detail'!$A$1:F3925,6,FALSE)</f>
        <v>[W-B117/C21] Shaft Spacer, 1.5/1 or 2/1.5 B-AH, 420SS</v>
      </c>
      <c r="AM913" s="12" t="str">
        <f t="shared" si="245"/>
        <v/>
      </c>
      <c r="AN913" s="12" t="str">
        <f t="shared" si="246"/>
        <v/>
      </c>
      <c r="AO913" s="12" t="str">
        <f t="shared" si="247"/>
        <v/>
      </c>
      <c r="AP913" s="12" t="str">
        <f t="shared" si="248"/>
        <v/>
      </c>
      <c r="AQ913" s="64">
        <f>M913</f>
        <v>0</v>
      </c>
      <c r="AR913" t="s">
        <v>5939</v>
      </c>
      <c r="AS913" s="12">
        <f t="shared" si="250"/>
        <v>299.51466682243091</v>
      </c>
      <c r="AT913" s="16" t="str">
        <f t="shared" si="251"/>
        <v>Yes</v>
      </c>
    </row>
    <row r="914" spans="1:46" hidden="1" x14ac:dyDescent="0.25">
      <c r="A914" s="41">
        <f>CASOPOInvCL!T914</f>
        <v>1</v>
      </c>
      <c r="B914" t="str">
        <f>CASOPOInvCL!Z914</f>
        <v>SO17777</v>
      </c>
      <c r="D914" t="s">
        <v>5851</v>
      </c>
      <c r="G914" s="5" t="str">
        <f>CASOPOInvCL!I914</f>
        <v>Alexis Gil Lamadrid</v>
      </c>
      <c r="H914" s="31">
        <f>CASOPOInvCL!U914</f>
        <v>8</v>
      </c>
      <c r="I914" s="31">
        <f>CASOPOInvCL!V914</f>
        <v>2025</v>
      </c>
      <c r="J914" s="5" t="str">
        <f>CASOPOInvCL!AB914</f>
        <v>INV13409</v>
      </c>
      <c r="K914" s="31">
        <f>CASOPOInvCL!W914</f>
        <v>9</v>
      </c>
      <c r="L914" s="31">
        <f>CASOPOInvCL!X914</f>
        <v>2025</v>
      </c>
      <c r="M914">
        <v>2504</v>
      </c>
      <c r="N914" s="5" t="str">
        <f>CASOPOInvCL!AF914</f>
        <v>F H Pumps, Inc., F H Pumps, Inc</v>
      </c>
      <c r="O914" s="16" t="str">
        <f>CASOPOInvCL!AG914</f>
        <v>USD</v>
      </c>
      <c r="P914" s="16">
        <f>CASOPOInvCL!AH914</f>
        <v>2861.7796472376949</v>
      </c>
      <c r="Q914" s="16">
        <f>CASOPOInvCL!AI914</f>
        <v>2069.85</v>
      </c>
      <c r="R914" s="32" t="str">
        <f>CASOPOInvCL!AU914</f>
        <v>Yes</v>
      </c>
      <c r="S914" s="16">
        <f>CASOPOInvCL!AV914</f>
        <v>0</v>
      </c>
      <c r="T914" s="16">
        <f>CASOPOInvCL!AW914</f>
        <v>2069.85</v>
      </c>
      <c r="V914" t="s">
        <v>5800</v>
      </c>
      <c r="Y914" s="29" t="str">
        <f>IFERROR(HLOOKUP(U914,List!$D$2:$H$6,2,FALSE),"")</f>
        <v/>
      </c>
      <c r="Z914" s="29">
        <f>IFERROR(HLOOKUP(V914,List!$D$2:$H$6,3,FALSE),"")</f>
        <v>5.0000000000000001E-3</v>
      </c>
      <c r="AA914" s="29" t="str">
        <f>IFERROR(HLOOKUP(W914,List!$D$2:$H$6,4,FALSE),"")</f>
        <v/>
      </c>
      <c r="AB914" s="29" t="str">
        <f>IFERROR(HLOOKUP(X914,List!$D$2:$H$6,5,FALSE),"")</f>
        <v/>
      </c>
      <c r="AC914" s="12" t="str">
        <f t="shared" si="241"/>
        <v/>
      </c>
      <c r="AD914" s="12">
        <f t="shared" si="242"/>
        <v>10.34925</v>
      </c>
      <c r="AE914" s="12" t="str">
        <f t="shared" si="243"/>
        <v/>
      </c>
      <c r="AF914" s="12" t="str">
        <f t="shared" si="244"/>
        <v/>
      </c>
      <c r="AG914" t="str">
        <f>VLOOKUP(J914,'Receivable Invoice Detail'!$A$1:F3926,6,FALSE)</f>
        <v>[AC-98-236-198-801] Shaft Collar, 8x8-25 SRL-XT, Steel</v>
      </c>
      <c r="AM914" s="12" t="str">
        <f t="shared" si="245"/>
        <v/>
      </c>
      <c r="AN914" s="12">
        <f t="shared" si="246"/>
        <v>10.34925</v>
      </c>
      <c r="AO914" s="12" t="str">
        <f t="shared" si="247"/>
        <v/>
      </c>
      <c r="AP914" s="12" t="str">
        <f t="shared" si="248"/>
        <v/>
      </c>
      <c r="AQ914" s="64">
        <f>M914</f>
        <v>2504</v>
      </c>
      <c r="AR914" t="s">
        <v>5931</v>
      </c>
      <c r="AS914" s="12">
        <f t="shared" si="250"/>
        <v>0</v>
      </c>
      <c r="AT914" s="16" t="str">
        <f t="shared" si="251"/>
        <v/>
      </c>
    </row>
    <row r="915" spans="1:46" hidden="1" x14ac:dyDescent="0.25">
      <c r="A915" s="41">
        <f>CASOPOInvCL!T915</f>
        <v>2</v>
      </c>
      <c r="B915" t="str">
        <f>CASOPOInvCL!Z915</f>
        <v>SO17778</v>
      </c>
      <c r="D915" t="s">
        <v>5851</v>
      </c>
      <c r="G915" s="5" t="str">
        <f>CASOPOInvCL!I915</f>
        <v>Alexis Gil Lamadrid</v>
      </c>
      <c r="H915" s="31">
        <f>CASOPOInvCL!U915</f>
        <v>8</v>
      </c>
      <c r="I915" s="31">
        <f>CASOPOInvCL!V915</f>
        <v>2025</v>
      </c>
      <c r="J915" s="5" t="str">
        <f>CASOPOInvCL!AB915</f>
        <v>INV13513</v>
      </c>
      <c r="K915" s="31">
        <f>CASOPOInvCL!W915</f>
        <v>11</v>
      </c>
      <c r="L915" s="31">
        <f>CASOPOInvCL!X915</f>
        <v>2025</v>
      </c>
      <c r="M915">
        <v>2504</v>
      </c>
      <c r="N915" s="5" t="str">
        <f>CASOPOInvCL!AF915</f>
        <v>Canadian Industrial Pumps Ltd</v>
      </c>
      <c r="O915" s="16" t="str">
        <f>CASOPOInvCL!AG915</f>
        <v>CAD</v>
      </c>
      <c r="P915" s="16">
        <f>CASOPOInvCL!AH915</f>
        <v>7090.68</v>
      </c>
      <c r="Q915" s="16">
        <f>CASOPOInvCL!AI915</f>
        <v>5138.7247188494093</v>
      </c>
      <c r="R915" s="32" t="str">
        <f>CASOPOInvCL!AU915</f>
        <v>Yes</v>
      </c>
      <c r="S915" s="16">
        <f>CASOPOInvCL!AV915</f>
        <v>0</v>
      </c>
      <c r="T915" s="16">
        <f>CASOPOInvCL!AW915</f>
        <v>5138.7247188494093</v>
      </c>
      <c r="V915" t="s">
        <v>5800</v>
      </c>
      <c r="Y915" s="29" t="str">
        <f>IFERROR(HLOOKUP(U915,List!$D$2:$H$6,2,FALSE),"")</f>
        <v/>
      </c>
      <c r="Z915" s="29">
        <f>IFERROR(HLOOKUP(V915,List!$D$2:$H$6,3,FALSE),"")</f>
        <v>5.0000000000000001E-3</v>
      </c>
      <c r="AA915" s="29" t="str">
        <f>IFERROR(HLOOKUP(W915,List!$D$2:$H$6,4,FALSE),"")</f>
        <v/>
      </c>
      <c r="AB915" s="29" t="str">
        <f>IFERROR(HLOOKUP(X915,List!$D$2:$H$6,5,FALSE),"")</f>
        <v/>
      </c>
      <c r="AC915" s="12" t="str">
        <f t="shared" si="241"/>
        <v/>
      </c>
      <c r="AD915" s="12">
        <f t="shared" si="242"/>
        <v>25.693623594247047</v>
      </c>
      <c r="AE915" s="12" t="str">
        <f t="shared" si="243"/>
        <v/>
      </c>
      <c r="AF915" s="12" t="str">
        <f t="shared" si="244"/>
        <v/>
      </c>
      <c r="AG915" t="str">
        <f>VLOOKUP(J915,'Receivable Invoice Detail'!$A$1:F3927,6,FALSE)</f>
        <v>[AC-98-233-700-001] Bearing Cover Gasket (Inboard &amp; Outboard), 8x6-18 &amp; 10x8-21 SRL-C</v>
      </c>
      <c r="AM915" s="12" t="str">
        <f t="shared" si="245"/>
        <v/>
      </c>
      <c r="AN915" s="12">
        <f t="shared" si="246"/>
        <v>25.693623594247047</v>
      </c>
      <c r="AO915" s="12" t="str">
        <f t="shared" si="247"/>
        <v/>
      </c>
      <c r="AP915" s="12" t="str">
        <f t="shared" si="248"/>
        <v/>
      </c>
      <c r="AQ915" s="64">
        <f>M915</f>
        <v>2504</v>
      </c>
      <c r="AR915" t="s">
        <v>5931</v>
      </c>
      <c r="AS915" s="12">
        <f t="shared" si="250"/>
        <v>337.2672</v>
      </c>
      <c r="AT915" s="16" t="str">
        <f t="shared" si="251"/>
        <v>Yes</v>
      </c>
    </row>
    <row r="916" spans="1:46" hidden="1" x14ac:dyDescent="0.25">
      <c r="A916" s="41">
        <f>CASOPOInvCL!T916</f>
        <v>2</v>
      </c>
      <c r="B916" t="str">
        <f>CASOPOInvCL!Z916</f>
        <v>SO17778</v>
      </c>
      <c r="D916" t="s">
        <v>5851</v>
      </c>
      <c r="G916" s="5">
        <f>CASOPOInvCL!I916</f>
        <v>0</v>
      </c>
      <c r="H916" s="31">
        <f>CASOPOInvCL!U916</f>
        <v>8</v>
      </c>
      <c r="I916" s="31">
        <f>CASOPOInvCL!V916</f>
        <v>2025</v>
      </c>
      <c r="J916" s="5" t="str">
        <f>CASOPOInvCL!AB916</f>
        <v>INV13541</v>
      </c>
      <c r="K916" s="31">
        <f>CASOPOInvCL!W916</f>
        <v>12</v>
      </c>
      <c r="L916" s="31">
        <f>CASOPOInvCL!X916</f>
        <v>2025</v>
      </c>
      <c r="M916">
        <v>2504</v>
      </c>
      <c r="N916" s="5" t="str">
        <f>CASOPOInvCL!AF916</f>
        <v>Canadian Industrial Pumps Ltd</v>
      </c>
      <c r="O916" s="16" t="str">
        <f>CASOPOInvCL!AG916</f>
        <v>CAD</v>
      </c>
      <c r="P916" s="16">
        <f>CASOPOInvCL!AH916</f>
        <v>0</v>
      </c>
      <c r="Q916" s="16">
        <f>CASOPOInvCL!AI916</f>
        <v>0</v>
      </c>
      <c r="R916" s="32" t="str">
        <f>CASOPOInvCL!AU916</f>
        <v/>
      </c>
      <c r="S916" s="16">
        <f>CASOPOInvCL!AV916</f>
        <v>0</v>
      </c>
      <c r="T916" s="16">
        <f>CASOPOInvCL!AW916</f>
        <v>0</v>
      </c>
      <c r="V916" t="s">
        <v>5800</v>
      </c>
      <c r="Y916" s="29" t="str">
        <f>IFERROR(HLOOKUP(U916,List!$D$2:$H$6,2,FALSE),"")</f>
        <v/>
      </c>
      <c r="Z916" s="29">
        <f>IFERROR(HLOOKUP(V916,List!$D$2:$H$6,3,FALSE),"")</f>
        <v>5.0000000000000001E-3</v>
      </c>
      <c r="AA916" s="29" t="str">
        <f>IFERROR(HLOOKUP(W916,List!$D$2:$H$6,4,FALSE),"")</f>
        <v/>
      </c>
      <c r="AB916" s="29" t="str">
        <f>IFERROR(HLOOKUP(X916,List!$D$2:$H$6,5,FALSE),"")</f>
        <v/>
      </c>
      <c r="AC916" s="12" t="str">
        <f t="shared" si="241"/>
        <v/>
      </c>
      <c r="AD916" s="12">
        <f t="shared" si="242"/>
        <v>0</v>
      </c>
      <c r="AE916" s="12" t="str">
        <f t="shared" si="243"/>
        <v/>
      </c>
      <c r="AF916" s="12" t="str">
        <f t="shared" si="244"/>
        <v/>
      </c>
      <c r="AG916" t="str">
        <f>VLOOKUP(J916,'Receivable Invoice Detail'!$A$1:F3928,6,FALSE)</f>
        <v>[NSK-22218EAE4, AC-00-813-261-537] Roller Bearing (Inboard), 8x6-18 &amp; 10x8-21 SRL-C</v>
      </c>
      <c r="AM916" s="12" t="str">
        <f t="shared" si="245"/>
        <v/>
      </c>
      <c r="AN916" s="12">
        <f t="shared" si="246"/>
        <v>0</v>
      </c>
      <c r="AO916" s="12" t="str">
        <f t="shared" si="247"/>
        <v/>
      </c>
      <c r="AP916" s="12" t="str">
        <f t="shared" si="248"/>
        <v/>
      </c>
      <c r="AQ916" s="64">
        <f>M916</f>
        <v>2504</v>
      </c>
      <c r="AR916" t="s">
        <v>5931</v>
      </c>
      <c r="AS916" s="12">
        <f t="shared" si="250"/>
        <v>0</v>
      </c>
      <c r="AT916" s="16" t="str">
        <f t="shared" si="251"/>
        <v/>
      </c>
    </row>
    <row r="917" spans="1:46" hidden="1" x14ac:dyDescent="0.25">
      <c r="A917" s="41">
        <f>CASOPOInvCL!T917</f>
        <v>1</v>
      </c>
      <c r="B917" t="str">
        <f>CASOPOInvCL!Z917</f>
        <v>SO17779</v>
      </c>
      <c r="D917" t="s">
        <v>5851</v>
      </c>
      <c r="G917" s="5" t="str">
        <f>CASOPOInvCL!I917</f>
        <v>Alexis Gil Lamadrid</v>
      </c>
      <c r="H917" s="31">
        <f>CASOPOInvCL!U917</f>
        <v>8</v>
      </c>
      <c r="I917" s="31">
        <f>CASOPOInvCL!V917</f>
        <v>2025</v>
      </c>
      <c r="J917" s="5" t="str">
        <f>CASOPOInvCL!AB917</f>
        <v>INV13430</v>
      </c>
      <c r="K917" s="31">
        <f>CASOPOInvCL!W917</f>
        <v>11</v>
      </c>
      <c r="L917" s="31">
        <f>CASOPOInvCL!X917</f>
        <v>2025</v>
      </c>
      <c r="M917">
        <v>2504</v>
      </c>
      <c r="N917" s="5" t="str">
        <f>CASOPOInvCL!AF917</f>
        <v>Resolute Forest Products - Saint-Felicien</v>
      </c>
      <c r="O917" s="16" t="str">
        <f>CASOPOInvCL!AG917</f>
        <v>CAD</v>
      </c>
      <c r="P917" s="16">
        <f>CASOPOInvCL!AH917</f>
        <v>236.55</v>
      </c>
      <c r="Q917" s="16">
        <f>CASOPOInvCL!AI917</f>
        <v>172.29834334654927</v>
      </c>
      <c r="R917" s="32" t="str">
        <f>CASOPOInvCL!AU917</f>
        <v>Yes</v>
      </c>
      <c r="S917" s="16">
        <f>CASOPOInvCL!AV917</f>
        <v>0</v>
      </c>
      <c r="T917" s="16">
        <f>CASOPOInvCL!AW917</f>
        <v>172.29834334654927</v>
      </c>
      <c r="V917" t="s">
        <v>5800</v>
      </c>
      <c r="Y917" s="29" t="str">
        <f>IFERROR(HLOOKUP(U917,List!$D$2:$H$6,2,FALSE),"")</f>
        <v/>
      </c>
      <c r="Z917" s="29">
        <f>IFERROR(HLOOKUP(V917,List!$D$2:$H$6,3,FALSE),"")</f>
        <v>5.0000000000000001E-3</v>
      </c>
      <c r="AA917" s="29" t="str">
        <f>IFERROR(HLOOKUP(W917,List!$D$2:$H$6,4,FALSE),"")</f>
        <v/>
      </c>
      <c r="AB917" s="29" t="str">
        <f>IFERROR(HLOOKUP(X917,List!$D$2:$H$6,5,FALSE),"")</f>
        <v/>
      </c>
      <c r="AC917" s="12" t="str">
        <f t="shared" si="241"/>
        <v/>
      </c>
      <c r="AD917" s="12">
        <f t="shared" si="242"/>
        <v>0.86149171673274638</v>
      </c>
      <c r="AE917" s="12" t="str">
        <f t="shared" si="243"/>
        <v/>
      </c>
      <c r="AF917" s="12" t="str">
        <f t="shared" si="244"/>
        <v/>
      </c>
      <c r="AG917" t="str">
        <f>VLOOKUP(J917,'Receivable Invoice Detail'!$A$1:F3929,6,FALSE)</f>
        <v>[OLPWZ011003B, G-A04951A216] Bearing Isolator (Inboard), 3196 STX/STi, 303SS Rotor / Bronze Stator w/Viton</v>
      </c>
      <c r="AM917" s="12" t="str">
        <f t="shared" si="245"/>
        <v/>
      </c>
      <c r="AN917" s="12">
        <f t="shared" si="246"/>
        <v>0.86149171673274638</v>
      </c>
      <c r="AO917" s="12" t="str">
        <f t="shared" si="247"/>
        <v/>
      </c>
      <c r="AP917" s="12" t="str">
        <f t="shared" si="248"/>
        <v/>
      </c>
      <c r="AQ917" s="64">
        <f>M917</f>
        <v>2504</v>
      </c>
      <c r="AR917" t="s">
        <v>5931</v>
      </c>
      <c r="AS917" s="12">
        <f t="shared" si="250"/>
        <v>4.032</v>
      </c>
      <c r="AT917" s="16" t="s">
        <v>5940</v>
      </c>
    </row>
    <row r="918" spans="1:46" hidden="1" x14ac:dyDescent="0.25">
      <c r="A918" s="41">
        <f>CASOPOInvCL!T918</f>
        <v>0</v>
      </c>
      <c r="B918" t="str">
        <f>CASOPOInvCL!Z918</f>
        <v>SO17781</v>
      </c>
      <c r="G918" s="5" t="str">
        <f>CASOPOInvCL!I918</f>
        <v>Wilka Nuñez</v>
      </c>
      <c r="H918" s="31">
        <f>CASOPOInvCL!U918</f>
        <v>9</v>
      </c>
      <c r="I918" s="31">
        <f>CASOPOInvCL!V918</f>
        <v>2025</v>
      </c>
      <c r="J918" s="5" t="str">
        <f>CASOPOInvCL!AB918</f>
        <v>No Inv</v>
      </c>
      <c r="K918" s="31" t="str">
        <f>CASOPOInvCL!W918</f>
        <v/>
      </c>
      <c r="L918" s="31" t="str">
        <f>CASOPOInvCL!X918</f>
        <v/>
      </c>
      <c r="M918" s="31"/>
      <c r="N918" s="5" t="str">
        <f>CASOPOInvCL!AF918</f>
        <v>Motion Industries Inc. (Canada) - Prince George</v>
      </c>
      <c r="O918" s="16" t="str">
        <f>CASOPOInvCL!AG918</f>
        <v>CAD</v>
      </c>
      <c r="P918" s="16">
        <f>CASOPOInvCL!AH918</f>
        <v>3879.01</v>
      </c>
      <c r="Q918" s="16">
        <f>CASOPOInvCL!AI918</f>
        <v>2811.3118342767875</v>
      </c>
      <c r="R918" s="32" t="str">
        <f>CASOPOInvCL!AU918</f>
        <v/>
      </c>
      <c r="S918" s="16">
        <f>CASOPOInvCL!AV918</f>
        <v>0</v>
      </c>
      <c r="T918" s="16">
        <f>CASOPOInvCL!AW918</f>
        <v>0</v>
      </c>
      <c r="Y918" s="29" t="str">
        <f>IFERROR(HLOOKUP(U918,List!$D$2:$H$6,2,FALSE),"")</f>
        <v/>
      </c>
      <c r="Z918" s="29" t="str">
        <f>IFERROR(HLOOKUP(V918,List!$D$2:$H$6,3,FALSE),"")</f>
        <v/>
      </c>
      <c r="AA918" s="29" t="str">
        <f>IFERROR(HLOOKUP(W918,List!$D$2:$H$6,4,FALSE),"")</f>
        <v/>
      </c>
      <c r="AB918" s="29" t="str">
        <f>IFERROR(HLOOKUP(X918,List!$D$2:$H$6,5,FALSE),"")</f>
        <v/>
      </c>
      <c r="AC918" s="12" t="str">
        <f t="shared" si="241"/>
        <v/>
      </c>
      <c r="AD918" s="12" t="str">
        <f t="shared" si="242"/>
        <v/>
      </c>
      <c r="AE918" s="12" t="str">
        <f t="shared" si="243"/>
        <v/>
      </c>
      <c r="AF918" s="12" t="str">
        <f t="shared" si="244"/>
        <v/>
      </c>
      <c r="AG918" t="e">
        <f>VLOOKUP(J918,'Receivable Invoice Detail'!$A$1:F3930,6,FALSE)</f>
        <v>#N/A</v>
      </c>
      <c r="AM918" s="12" t="str">
        <f t="shared" si="245"/>
        <v/>
      </c>
      <c r="AN918" s="12" t="str">
        <f t="shared" si="246"/>
        <v/>
      </c>
      <c r="AO918" s="12" t="str">
        <f t="shared" si="247"/>
        <v/>
      </c>
      <c r="AP918" s="12" t="str">
        <f t="shared" si="248"/>
        <v/>
      </c>
      <c r="AQ918" s="12"/>
      <c r="AS918" s="12">
        <f t="shared" si="250"/>
        <v>0</v>
      </c>
      <c r="AT918" s="16" t="str">
        <f t="shared" si="251"/>
        <v>Yes</v>
      </c>
    </row>
    <row r="919" spans="1:46" hidden="1" x14ac:dyDescent="0.25">
      <c r="A919" s="41">
        <f>CASOPOInvCL!T919</f>
        <v>1</v>
      </c>
      <c r="B919" t="str">
        <f>CASOPOInvCL!Z919</f>
        <v>SO17782</v>
      </c>
      <c r="G919" s="5" t="str">
        <f>CASOPOInvCL!I919</f>
        <v>Yannett Yeomans</v>
      </c>
      <c r="H919" s="31">
        <f>CASOPOInvCL!U919</f>
        <v>9</v>
      </c>
      <c r="I919" s="31">
        <f>CASOPOInvCL!V919</f>
        <v>2025</v>
      </c>
      <c r="J919" s="5" t="str">
        <f>CASOPOInvCL!AB919</f>
        <v>INV13687</v>
      </c>
      <c r="K919" s="31" t="str">
        <f>CASOPOInvCL!W919</f>
        <v/>
      </c>
      <c r="L919" s="31" t="str">
        <f>CASOPOInvCL!X919</f>
        <v/>
      </c>
      <c r="M919" s="31"/>
      <c r="N919" s="5" t="str">
        <f>CASOPOInvCL!AF919</f>
        <v>Dynapro Pumps México S de RL de CV</v>
      </c>
      <c r="O919" s="16" t="str">
        <f>CASOPOInvCL!AG919</f>
        <v>USD</v>
      </c>
      <c r="P919" s="16">
        <f>CASOPOInvCL!AH919</f>
        <v>11042.910275564245</v>
      </c>
      <c r="Q919" s="16">
        <f>CASOPOInvCL!AI919</f>
        <v>8034</v>
      </c>
      <c r="R919" s="32" t="str">
        <f>CASOPOInvCL!AU919</f>
        <v/>
      </c>
      <c r="S919" s="16">
        <f>CASOPOInvCL!AV919</f>
        <v>0</v>
      </c>
      <c r="T919" s="16">
        <f>CASOPOInvCL!AW919</f>
        <v>0</v>
      </c>
      <c r="Y919" s="29" t="str">
        <f>IFERROR(HLOOKUP(U919,List!$D$2:$H$6,2,FALSE),"")</f>
        <v/>
      </c>
      <c r="Z919" s="29" t="str">
        <f>IFERROR(HLOOKUP(V919,List!$D$2:$H$6,3,FALSE),"")</f>
        <v/>
      </c>
      <c r="AA919" s="29" t="str">
        <f>IFERROR(HLOOKUP(W919,List!$D$2:$H$6,4,FALSE),"")</f>
        <v/>
      </c>
      <c r="AB919" s="29" t="str">
        <f>IFERROR(HLOOKUP(X919,List!$D$2:$H$6,5,FALSE),"")</f>
        <v/>
      </c>
      <c r="AC919" s="12" t="str">
        <f t="shared" si="241"/>
        <v/>
      </c>
      <c r="AD919" s="12" t="str">
        <f t="shared" si="242"/>
        <v/>
      </c>
      <c r="AE919" s="12" t="str">
        <f t="shared" si="243"/>
        <v/>
      </c>
      <c r="AF919" s="12" t="str">
        <f t="shared" si="244"/>
        <v/>
      </c>
      <c r="AG919" t="str">
        <f>VLOOKUP(J919,'Receivable Invoice Detail'!$A$1:F3931,6,FALSE)</f>
        <v>[150SV-SP] Vertical Sump Pump, 150SV-SP, High Chrome</v>
      </c>
      <c r="AM919" s="12" t="str">
        <f t="shared" si="245"/>
        <v/>
      </c>
      <c r="AN919" s="12" t="str">
        <f t="shared" si="246"/>
        <v/>
      </c>
      <c r="AO919" s="12" t="str">
        <f t="shared" si="247"/>
        <v/>
      </c>
      <c r="AP919" s="12" t="str">
        <f t="shared" si="248"/>
        <v/>
      </c>
      <c r="AQ919" s="12"/>
      <c r="AR919" s="16" t="s">
        <v>5940</v>
      </c>
      <c r="AS919" s="12">
        <f t="shared" si="250"/>
        <v>85.125899999999987</v>
      </c>
      <c r="AT919" s="16" t="str">
        <f t="shared" si="251"/>
        <v>Yes</v>
      </c>
    </row>
    <row r="920" spans="1:46" hidden="1" x14ac:dyDescent="0.25">
      <c r="A920" s="41">
        <f>CASOPOInvCL!T920</f>
        <v>1</v>
      </c>
      <c r="B920" s="74" t="str">
        <f>CASOPOInvCL!Z920</f>
        <v>SO17783</v>
      </c>
      <c r="D920" t="s">
        <v>5915</v>
      </c>
      <c r="G920" s="5" t="str">
        <f>CASOPOInvCL!I920</f>
        <v>Wilka Nuñez</v>
      </c>
      <c r="H920" s="31">
        <f>CASOPOInvCL!U920</f>
        <v>9</v>
      </c>
      <c r="I920" s="31">
        <f>CASOPOInvCL!V920</f>
        <v>2025</v>
      </c>
      <c r="J920" s="5" t="str">
        <f>CASOPOInvCL!AB920</f>
        <v>INV13479</v>
      </c>
      <c r="K920" s="31">
        <f>CASOPOInvCL!W920</f>
        <v>11</v>
      </c>
      <c r="L920" s="31">
        <f>CASOPOInvCL!X920</f>
        <v>2025</v>
      </c>
      <c r="M920">
        <v>2504</v>
      </c>
      <c r="N920" s="5" t="str">
        <f>CASOPOInvCL!AF920</f>
        <v>Barrick Gold - Pueblo Viejo Dominicana Corporation</v>
      </c>
      <c r="O920" s="16" t="str">
        <f>CASOPOInvCL!AG920</f>
        <v>USD</v>
      </c>
      <c r="P920" s="16">
        <f>CASOPOInvCL!AH920</f>
        <v>7436.1884499148664</v>
      </c>
      <c r="Q920" s="16">
        <f>CASOPOInvCL!AI920</f>
        <v>5389.12</v>
      </c>
      <c r="R920" s="32" t="str">
        <f>CASOPOInvCL!AU920</f>
        <v>Yes</v>
      </c>
      <c r="S920" s="16">
        <f>CASOPOInvCL!AV920</f>
        <v>0</v>
      </c>
      <c r="T920" s="16">
        <f>CASOPOInvCL!AW920</f>
        <v>5389.12</v>
      </c>
      <c r="V920" t="s">
        <v>5803</v>
      </c>
      <c r="Y920" s="29" t="str">
        <f>IFERROR(HLOOKUP(U920,List!$D$2:$H$6,2,FALSE),"")</f>
        <v/>
      </c>
      <c r="Z920" s="29">
        <f>IFERROR(HLOOKUP(V920,List!$D$2:$H$6,3,FALSE),"")</f>
        <v>0</v>
      </c>
      <c r="AA920" s="29" t="str">
        <f>IFERROR(HLOOKUP(W920,List!$D$2:$H$6,4,FALSE),"")</f>
        <v/>
      </c>
      <c r="AB920" s="29" t="str">
        <f>IFERROR(HLOOKUP(X920,List!$D$2:$H$6,5,FALSE),"")</f>
        <v/>
      </c>
      <c r="AC920" s="12" t="str">
        <f t="shared" si="241"/>
        <v/>
      </c>
      <c r="AD920" s="12">
        <f t="shared" si="242"/>
        <v>0</v>
      </c>
      <c r="AE920" s="12" t="str">
        <f t="shared" si="243"/>
        <v/>
      </c>
      <c r="AF920" s="12" t="str">
        <f t="shared" si="244"/>
        <v/>
      </c>
      <c r="AG920" t="str">
        <f>VLOOKUP(J920,'Receivable Invoice Detail'!$A$1:F3932,6,FALSE)</f>
        <v>[37230] Sleeve Bearing (Bowl), ThorPlas-Blue, HPCW</v>
      </c>
      <c r="AM920" s="12" t="str">
        <f t="shared" si="245"/>
        <v/>
      </c>
      <c r="AN920" s="12">
        <f t="shared" si="246"/>
        <v>0</v>
      </c>
      <c r="AO920" s="12" t="str">
        <f t="shared" si="247"/>
        <v/>
      </c>
      <c r="AP920" s="12" t="str">
        <f t="shared" si="248"/>
        <v/>
      </c>
      <c r="AQ920" s="75">
        <v>2504</v>
      </c>
      <c r="AR920" s="64" t="s">
        <v>5933</v>
      </c>
      <c r="AS920" s="12">
        <f t="shared" si="250"/>
        <v>31.047749999999997</v>
      </c>
      <c r="AT920" s="16" t="str">
        <f t="shared" si="251"/>
        <v/>
      </c>
    </row>
    <row r="921" spans="1:46" hidden="1" x14ac:dyDescent="0.25">
      <c r="A921" s="41">
        <f>CASOPOInvCL!T921</f>
        <v>1</v>
      </c>
      <c r="B921" t="str">
        <f>CASOPOInvCL!Z921</f>
        <v>SO17784</v>
      </c>
      <c r="G921" s="5" t="str">
        <f>CASOPOInvCL!I921</f>
        <v>Wilka Nuñez</v>
      </c>
      <c r="H921" s="31">
        <f>CASOPOInvCL!U921</f>
        <v>9</v>
      </c>
      <c r="I921" s="31">
        <f>CASOPOInvCL!V921</f>
        <v>2025</v>
      </c>
      <c r="J921" s="5" t="str">
        <f>CASOPOInvCL!AB921</f>
        <v>INV13361</v>
      </c>
      <c r="K921" s="31">
        <f>CASOPOInvCL!W921</f>
        <v>1</v>
      </c>
      <c r="L921" s="31">
        <f>CASOPOInvCL!X921</f>
        <v>2026</v>
      </c>
      <c r="M921" s="31"/>
      <c r="N921" s="5" t="str">
        <f>CASOPOInvCL!AF921</f>
        <v>Wajax Limited - Val D'Or, Composants Industriels Wajax SC -57</v>
      </c>
      <c r="O921" s="16" t="str">
        <f>CASOPOInvCL!AG921</f>
        <v>CAD</v>
      </c>
      <c r="P921" s="16">
        <f>CASOPOInvCL!AH921</f>
        <v>2940.13</v>
      </c>
      <c r="Q921" s="16">
        <f>CASOPOInvCL!AI921</f>
        <v>2123.0211762593731</v>
      </c>
      <c r="R921" s="32" t="str">
        <f>CASOPOInvCL!AU921</f>
        <v>Yes</v>
      </c>
      <c r="S921" s="16">
        <f>CASOPOInvCL!AV921</f>
        <v>0</v>
      </c>
      <c r="T921" s="16">
        <f>CASOPOInvCL!AW921</f>
        <v>2123.0211762593731</v>
      </c>
      <c r="Y921" s="29" t="str">
        <f>IFERROR(HLOOKUP(U921,List!$D$2:$H$6,2,FALSE),"")</f>
        <v/>
      </c>
      <c r="Z921" s="29" t="str">
        <f>IFERROR(HLOOKUP(V921,List!$D$2:$H$6,3,FALSE),"")</f>
        <v/>
      </c>
      <c r="AA921" s="29" t="str">
        <f>IFERROR(HLOOKUP(W921,List!$D$2:$H$6,4,FALSE),"")</f>
        <v/>
      </c>
      <c r="AB921" s="29" t="str">
        <f>IFERROR(HLOOKUP(X921,List!$D$2:$H$6,5,FALSE),"")</f>
        <v/>
      </c>
      <c r="AC921" s="12" t="str">
        <f t="shared" si="241"/>
        <v/>
      </c>
      <c r="AD921" s="12" t="str">
        <f t="shared" si="242"/>
        <v/>
      </c>
      <c r="AE921" s="12" t="str">
        <f t="shared" si="243"/>
        <v/>
      </c>
      <c r="AF921" s="12" t="str">
        <f t="shared" si="244"/>
        <v/>
      </c>
      <c r="AG921" t="str">
        <f>VLOOKUP(J921,'Receivable Invoice Detail'!$A$1:F3933,6,FALSE)</f>
        <v>[AC-98-233-979-003] Sleeve Washer (Impeller), 5x5/5x4/6x6 SRL &amp; SRL-C</v>
      </c>
      <c r="AM921" s="12" t="str">
        <f t="shared" si="245"/>
        <v/>
      </c>
      <c r="AN921" s="12" t="str">
        <f t="shared" si="246"/>
        <v/>
      </c>
      <c r="AO921" s="12" t="str">
        <f t="shared" si="247"/>
        <v/>
      </c>
      <c r="AP921" s="12" t="str">
        <f t="shared" si="248"/>
        <v/>
      </c>
      <c r="AQ921" s="12"/>
      <c r="AS921" s="12">
        <f t="shared" si="250"/>
        <v>77.080870782741144</v>
      </c>
      <c r="AT921" s="16" t="s">
        <v>5940</v>
      </c>
    </row>
    <row r="922" spans="1:46" hidden="1" x14ac:dyDescent="0.25">
      <c r="A922" s="41">
        <f>CASOPOInvCL!T922</f>
        <v>1</v>
      </c>
      <c r="B922" t="str">
        <f>CASOPOInvCL!Z922</f>
        <v>SO17785</v>
      </c>
      <c r="G922" s="5" t="str">
        <f>CASOPOInvCL!I922</f>
        <v>Wilka Nuñez</v>
      </c>
      <c r="H922" s="31">
        <f>CASOPOInvCL!U922</f>
        <v>9</v>
      </c>
      <c r="I922" s="31">
        <f>CASOPOInvCL!V922</f>
        <v>2025</v>
      </c>
      <c r="J922" s="5" t="str">
        <f>CASOPOInvCL!AB922</f>
        <v>INV13665</v>
      </c>
      <c r="K922" s="31" t="str">
        <f>CASOPOInvCL!W922</f>
        <v/>
      </c>
      <c r="L922" s="31" t="str">
        <f>CASOPOInvCL!X922</f>
        <v/>
      </c>
      <c r="M922" s="31"/>
      <c r="N922" s="5" t="str">
        <f>CASOPOInvCL!AF922</f>
        <v>Tech-Flow</v>
      </c>
      <c r="O922" s="16" t="str">
        <f>CASOPOInvCL!AG922</f>
        <v>USD</v>
      </c>
      <c r="P922" s="16">
        <f>CASOPOInvCL!AH922</f>
        <v>1682.4707767983607</v>
      </c>
      <c r="Q922" s="16">
        <f>CASOPOInvCL!AI922</f>
        <v>1223</v>
      </c>
      <c r="R922" s="32" t="str">
        <f>CASOPOInvCL!AU922</f>
        <v/>
      </c>
      <c r="S922" s="16">
        <f>CASOPOInvCL!AV922</f>
        <v>0</v>
      </c>
      <c r="T922" s="16">
        <f>CASOPOInvCL!AW922</f>
        <v>0</v>
      </c>
      <c r="Y922" s="29" t="str">
        <f>IFERROR(HLOOKUP(U922,List!$D$2:$H$6,2,FALSE),"")</f>
        <v/>
      </c>
      <c r="Z922" s="29" t="str">
        <f>IFERROR(HLOOKUP(V922,List!$D$2:$H$6,3,FALSE),"")</f>
        <v/>
      </c>
      <c r="AA922" s="29" t="str">
        <f>IFERROR(HLOOKUP(W922,List!$D$2:$H$6,4,FALSE),"")</f>
        <v/>
      </c>
      <c r="AB922" s="29" t="str">
        <f>IFERROR(HLOOKUP(X922,List!$D$2:$H$6,5,FALSE),"")</f>
        <v/>
      </c>
      <c r="AC922" s="12" t="str">
        <f t="shared" si="241"/>
        <v/>
      </c>
      <c r="AD922" s="12" t="str">
        <f t="shared" si="242"/>
        <v/>
      </c>
      <c r="AE922" s="12" t="str">
        <f t="shared" si="243"/>
        <v/>
      </c>
      <c r="AF922" s="12" t="str">
        <f t="shared" si="244"/>
        <v/>
      </c>
      <c r="AG922" t="str">
        <f>VLOOKUP(J922,'Receivable Invoice Detail'!$A$1:F3934,6,FALSE)</f>
        <v>[SA-013733-M2] Wear Disc, 44 WFR, Sala STGVA-180, High Chrome</v>
      </c>
      <c r="AM922" s="12" t="str">
        <f t="shared" si="245"/>
        <v/>
      </c>
      <c r="AN922" s="12" t="str">
        <f t="shared" si="246"/>
        <v/>
      </c>
      <c r="AO922" s="12" t="str">
        <f t="shared" si="247"/>
        <v/>
      </c>
      <c r="AP922" s="12" t="str">
        <f t="shared" si="248"/>
        <v/>
      </c>
      <c r="AQ922" s="12"/>
      <c r="AS922" s="12">
        <f t="shared" si="250"/>
        <v>0</v>
      </c>
      <c r="AT922" s="16" t="str">
        <f t="shared" si="251"/>
        <v/>
      </c>
    </row>
    <row r="923" spans="1:46" hidden="1" x14ac:dyDescent="0.25">
      <c r="A923" s="41">
        <f>CASOPOInvCL!T923</f>
        <v>1</v>
      </c>
      <c r="B923" t="str">
        <f>CASOPOInvCL!Z923</f>
        <v>SO17786</v>
      </c>
      <c r="G923" s="5" t="str">
        <f>CASOPOInvCL!I923</f>
        <v>Yannett Yeomans</v>
      </c>
      <c r="H923" s="31">
        <f>CASOPOInvCL!U923</f>
        <v>9</v>
      </c>
      <c r="I923" s="31">
        <f>CASOPOInvCL!V923</f>
        <v>2025</v>
      </c>
      <c r="J923" s="5" t="str">
        <f>CASOPOInvCL!AB923</f>
        <v>INV13375</v>
      </c>
      <c r="K923" s="31" t="str">
        <f>CASOPOInvCL!W923</f>
        <v/>
      </c>
      <c r="L923" s="31" t="str">
        <f>CASOPOInvCL!X923</f>
        <v/>
      </c>
      <c r="M923" s="31"/>
      <c r="N923" s="5" t="str">
        <f>CASOPOInvCL!AF923</f>
        <v>Dynapro Pumps México S de RL de CV</v>
      </c>
      <c r="O923" s="16" t="str">
        <f>CASOPOInvCL!AG923</f>
        <v>USD</v>
      </c>
      <c r="P923" s="16">
        <f>CASOPOInvCL!AH923</f>
        <v>3692.6414252439868</v>
      </c>
      <c r="Q923" s="16">
        <f>CASOPOInvCL!AI923</f>
        <v>2680</v>
      </c>
      <c r="R923" s="32" t="str">
        <f>CASOPOInvCL!AU923</f>
        <v/>
      </c>
      <c r="S923" s="16">
        <f>CASOPOInvCL!AV923</f>
        <v>0</v>
      </c>
      <c r="T923" s="16">
        <f>CASOPOInvCL!AW923</f>
        <v>0</v>
      </c>
      <c r="Y923" s="29" t="str">
        <f>IFERROR(HLOOKUP(U923,List!$D$2:$H$6,2,FALSE),"")</f>
        <v/>
      </c>
      <c r="Z923" s="29" t="str">
        <f>IFERROR(HLOOKUP(V923,List!$D$2:$H$6,3,FALSE),"")</f>
        <v/>
      </c>
      <c r="AA923" s="29" t="str">
        <f>IFERROR(HLOOKUP(W923,List!$D$2:$H$6,4,FALSE),"")</f>
        <v/>
      </c>
      <c r="AB923" s="29" t="str">
        <f>IFERROR(HLOOKUP(X923,List!$D$2:$H$6,5,FALSE),"")</f>
        <v/>
      </c>
      <c r="AC923" s="12" t="str">
        <f t="shared" si="241"/>
        <v/>
      </c>
      <c r="AD923" s="12" t="str">
        <f t="shared" si="242"/>
        <v/>
      </c>
      <c r="AE923" s="12" t="str">
        <f t="shared" si="243"/>
        <v/>
      </c>
      <c r="AF923" s="12" t="str">
        <f t="shared" si="244"/>
        <v/>
      </c>
      <c r="AG923" t="str">
        <f>VLOOKUP(J923,'Receivable Invoice Detail'!$A$1:F3935,6,FALSE)</f>
        <v>[AC-98-039-047-501] Impeller (Closed), 5x4-14 SRL-C, Natural Rubber</v>
      </c>
      <c r="AM923" s="12" t="str">
        <f t="shared" si="245"/>
        <v/>
      </c>
      <c r="AN923" s="12" t="str">
        <f t="shared" si="246"/>
        <v/>
      </c>
      <c r="AO923" s="12" t="str">
        <f t="shared" si="247"/>
        <v/>
      </c>
      <c r="AP923" s="12" t="str">
        <f t="shared" si="248"/>
        <v/>
      </c>
      <c r="AQ923" s="12"/>
      <c r="AR923" s="16" t="s">
        <v>5940</v>
      </c>
      <c r="AS923" s="12">
        <f t="shared" si="250"/>
        <v>2.584475150198239</v>
      </c>
      <c r="AT923" s="16" t="str">
        <f t="shared" si="251"/>
        <v/>
      </c>
    </row>
    <row r="924" spans="1:46" hidden="1" x14ac:dyDescent="0.25">
      <c r="A924" s="41">
        <f>CASOPOInvCL!T924</f>
        <v>1</v>
      </c>
      <c r="B924" t="str">
        <f>CASOPOInvCL!Z924</f>
        <v>SO17787</v>
      </c>
      <c r="G924" s="5" t="str">
        <f>CASOPOInvCL!I924</f>
        <v>Ian Trottier</v>
      </c>
      <c r="H924" s="31">
        <f>CASOPOInvCL!U924</f>
        <v>9</v>
      </c>
      <c r="I924" s="31">
        <f>CASOPOInvCL!V924</f>
        <v>2025</v>
      </c>
      <c r="J924" s="5" t="str">
        <f>CASOPOInvCL!AB924</f>
        <v>INV13397</v>
      </c>
      <c r="K924" s="31">
        <f>CASOPOInvCL!W924</f>
        <v>10</v>
      </c>
      <c r="L924" s="31">
        <f>CASOPOInvCL!X924</f>
        <v>2025</v>
      </c>
      <c r="M924" s="31"/>
      <c r="N924" s="5" t="str">
        <f>CASOPOInvCL!AF924</f>
        <v>Motion Industries Inc. (Canada) - Winnipeg</v>
      </c>
      <c r="O924" s="16" t="str">
        <f>CASOPOInvCL!AG924</f>
        <v>CAD</v>
      </c>
      <c r="P924" s="16">
        <f>CASOPOInvCL!AH924</f>
        <v>112.54</v>
      </c>
      <c r="Q924" s="16">
        <f>CASOPOInvCL!AI924</f>
        <v>81.395130764358285</v>
      </c>
      <c r="R924" s="32" t="str">
        <f>CASOPOInvCL!AU924</f>
        <v>Yes</v>
      </c>
      <c r="S924" s="16">
        <f>CASOPOInvCL!AV924</f>
        <v>0</v>
      </c>
      <c r="T924" s="16">
        <f>CASOPOInvCL!AW924</f>
        <v>81.395130764358285</v>
      </c>
      <c r="Y924" s="29" t="str">
        <f>IFERROR(HLOOKUP(U924,List!$D$2:$H$6,2,FALSE),"")</f>
        <v/>
      </c>
      <c r="Z924" s="29" t="str">
        <f>IFERROR(HLOOKUP(V924,List!$D$2:$H$6,3,FALSE),"")</f>
        <v/>
      </c>
      <c r="AA924" s="29" t="str">
        <f>IFERROR(HLOOKUP(W924,List!$D$2:$H$6,4,FALSE),"")</f>
        <v/>
      </c>
      <c r="AB924" s="29" t="str">
        <f>IFERROR(HLOOKUP(X924,List!$D$2:$H$6,5,FALSE),"")</f>
        <v/>
      </c>
      <c r="AC924" s="12" t="str">
        <f t="shared" si="241"/>
        <v/>
      </c>
      <c r="AD924" s="12" t="str">
        <f t="shared" si="242"/>
        <v/>
      </c>
      <c r="AE924" s="12" t="str">
        <f t="shared" si="243"/>
        <v/>
      </c>
      <c r="AF924" s="12" t="str">
        <f t="shared" si="244"/>
        <v/>
      </c>
      <c r="AG924" t="str">
        <f>VLOOKUP(J924,'Receivable Invoice Detail'!$A$1:F3936,6,FALSE)</f>
        <v>[WO-390009-10] Gasket Case, Worthington D800/D1000/D-1011, Frame 3</v>
      </c>
      <c r="AM924" s="12" t="str">
        <f t="shared" si="245"/>
        <v/>
      </c>
      <c r="AN924" s="12" t="str">
        <f t="shared" si="246"/>
        <v/>
      </c>
      <c r="AO924" s="12" t="str">
        <f t="shared" si="247"/>
        <v/>
      </c>
      <c r="AP924" s="12" t="str">
        <f t="shared" si="248"/>
        <v/>
      </c>
      <c r="AQ924" s="12"/>
      <c r="AS924" s="12">
        <f t="shared" si="250"/>
        <v>0</v>
      </c>
      <c r="AT924" s="16" t="str">
        <f t="shared" si="251"/>
        <v>Yes</v>
      </c>
    </row>
    <row r="925" spans="1:46" hidden="1" x14ac:dyDescent="0.25">
      <c r="A925" s="41">
        <f>CASOPOInvCL!T925</f>
        <v>1</v>
      </c>
      <c r="B925" t="str">
        <f>CASOPOInvCL!Z925</f>
        <v>SO17788</v>
      </c>
      <c r="D925" t="s">
        <v>5851</v>
      </c>
      <c r="G925" s="5" t="str">
        <f>CASOPOInvCL!I925</f>
        <v>Alexis Gil Lamadrid</v>
      </c>
      <c r="H925" s="31">
        <f>CASOPOInvCL!U925</f>
        <v>9</v>
      </c>
      <c r="I925" s="31">
        <f>CASOPOInvCL!V925</f>
        <v>2025</v>
      </c>
      <c r="J925" s="5" t="str">
        <f>CASOPOInvCL!AB925</f>
        <v>INV13360</v>
      </c>
      <c r="K925" s="31">
        <f>CASOPOInvCL!W925</f>
        <v>10</v>
      </c>
      <c r="L925" s="31">
        <f>CASOPOInvCL!X925</f>
        <v>2025</v>
      </c>
      <c r="M925">
        <v>2504</v>
      </c>
      <c r="N925" s="5" t="str">
        <f>CASOPOInvCL!AF925</f>
        <v>Sealtrac Inc.</v>
      </c>
      <c r="O925" s="16" t="str">
        <f>CASOPOInvCL!AG925</f>
        <v>CAD</v>
      </c>
      <c r="P925" s="16">
        <f>CASOPOInvCL!AH925</f>
        <v>913.69</v>
      </c>
      <c r="Q925" s="16">
        <f>CASOPOInvCL!AI925</f>
        <v>659.76103727944917</v>
      </c>
      <c r="R925" s="32" t="str">
        <f>CASOPOInvCL!AU925</f>
        <v>Yes</v>
      </c>
      <c r="S925" s="16">
        <f>CASOPOInvCL!AV925</f>
        <v>0</v>
      </c>
      <c r="T925" s="16">
        <f>CASOPOInvCL!AW925</f>
        <v>659.76103727944917</v>
      </c>
      <c r="V925" t="s">
        <v>5800</v>
      </c>
      <c r="Y925" s="29" t="str">
        <f>IFERROR(HLOOKUP(U925,List!$D$2:$H$6,2,FALSE),"")</f>
        <v/>
      </c>
      <c r="Z925" s="29">
        <f>IFERROR(HLOOKUP(V925,List!$D$2:$H$6,3,FALSE),"")</f>
        <v>5.0000000000000001E-3</v>
      </c>
      <c r="AA925" s="29" t="str">
        <f>IFERROR(HLOOKUP(W925,List!$D$2:$H$6,4,FALSE),"")</f>
        <v/>
      </c>
      <c r="AB925" s="29" t="str">
        <f>IFERROR(HLOOKUP(X925,List!$D$2:$H$6,5,FALSE),"")</f>
        <v/>
      </c>
      <c r="AC925" s="12" t="str">
        <f t="shared" si="241"/>
        <v/>
      </c>
      <c r="AD925" s="12">
        <f t="shared" si="242"/>
        <v>3.2988051863972458</v>
      </c>
      <c r="AE925" s="12" t="str">
        <f t="shared" si="243"/>
        <v/>
      </c>
      <c r="AF925" s="12" t="str">
        <f t="shared" si="244"/>
        <v/>
      </c>
      <c r="AG925" t="str">
        <f>VLOOKUP(J925,'Receivable Invoice Detail'!$A$1:F3937,6,FALSE)</f>
        <v>[DU-CY21361AB-316] Shaft (Solid), Durco Mark 2&amp;3 Group 2, 316SS</v>
      </c>
      <c r="AM925" s="12" t="str">
        <f t="shared" si="245"/>
        <v/>
      </c>
      <c r="AN925" s="12">
        <f t="shared" si="246"/>
        <v>3.2988051863972458</v>
      </c>
      <c r="AO925" s="12" t="str">
        <f t="shared" si="247"/>
        <v/>
      </c>
      <c r="AP925" s="12" t="str">
        <f t="shared" si="248"/>
        <v/>
      </c>
      <c r="AQ925" s="64">
        <f>M925</f>
        <v>2504</v>
      </c>
      <c r="AR925" t="s">
        <v>5931</v>
      </c>
      <c r="AS925" s="12">
        <f t="shared" si="250"/>
        <v>0</v>
      </c>
      <c r="AT925" s="16" t="str">
        <f t="shared" si="251"/>
        <v>Yes</v>
      </c>
    </row>
    <row r="926" spans="1:46" hidden="1" x14ac:dyDescent="0.25">
      <c r="A926" s="41">
        <f>CASOPOInvCL!T926</f>
        <v>1</v>
      </c>
      <c r="B926" t="str">
        <f>CASOPOInvCL!Z926</f>
        <v>SO17794</v>
      </c>
      <c r="G926" s="5" t="str">
        <f>CASOPOInvCL!I926</f>
        <v>Alexis Gil Lamadrid</v>
      </c>
      <c r="H926" s="31">
        <f>CASOPOInvCL!U926</f>
        <v>9</v>
      </c>
      <c r="I926" s="31">
        <f>CASOPOInvCL!V926</f>
        <v>2025</v>
      </c>
      <c r="J926" s="5" t="str">
        <f>CASOPOInvCL!AB926</f>
        <v>INV13545</v>
      </c>
      <c r="K926" s="31">
        <f>CASOPOInvCL!W926</f>
        <v>12</v>
      </c>
      <c r="L926" s="31">
        <f>CASOPOInvCL!X926</f>
        <v>2025</v>
      </c>
      <c r="M926" s="31"/>
      <c r="N926" s="5" t="str">
        <f>CASOPOInvCL!AF926</f>
        <v>FMI Products</v>
      </c>
      <c r="O926" s="16" t="str">
        <f>CASOPOInvCL!AG926</f>
        <v>CAD</v>
      </c>
      <c r="P926" s="16">
        <f>CASOPOInvCL!AH926</f>
        <v>2213.92</v>
      </c>
      <c r="Q926" s="16">
        <f>CASOPOInvCL!AI926</f>
        <v>1589.9836817875316</v>
      </c>
      <c r="R926" s="32" t="str">
        <f>CASOPOInvCL!AU926</f>
        <v/>
      </c>
      <c r="S926" s="16">
        <f>CASOPOInvCL!AV926</f>
        <v>0</v>
      </c>
      <c r="T926" s="16">
        <f>CASOPOInvCL!AW926</f>
        <v>0</v>
      </c>
      <c r="Y926" s="29" t="str">
        <f>IFERROR(HLOOKUP(U926,List!$D$2:$H$6,2,FALSE),"")</f>
        <v/>
      </c>
      <c r="Z926" s="29" t="str">
        <f>IFERROR(HLOOKUP(V926,List!$D$2:$H$6,3,FALSE),"")</f>
        <v/>
      </c>
      <c r="AA926" s="29" t="str">
        <f>IFERROR(HLOOKUP(W926,List!$D$2:$H$6,4,FALSE),"")</f>
        <v/>
      </c>
      <c r="AB926" s="29" t="str">
        <f>IFERROR(HLOOKUP(X926,List!$D$2:$H$6,5,FALSE),"")</f>
        <v/>
      </c>
      <c r="AC926" s="12" t="str">
        <f t="shared" si="241"/>
        <v/>
      </c>
      <c r="AD926" s="12" t="str">
        <f t="shared" si="242"/>
        <v/>
      </c>
      <c r="AE926" s="12" t="str">
        <f t="shared" si="243"/>
        <v/>
      </c>
      <c r="AF926" s="12" t="str">
        <f t="shared" si="244"/>
        <v/>
      </c>
      <c r="AG926" t="str">
        <f>VLOOKUP(J926,'Receivable Invoice Detail'!$A$1:F3938,6,FALSE)</f>
        <v>[AC-98-039-047-501] Impeller (Closed), 5x4-14 SRL-C, Natural Rubber</v>
      </c>
      <c r="AM926" s="12" t="str">
        <f t="shared" si="245"/>
        <v/>
      </c>
      <c r="AN926" s="12" t="str">
        <f t="shared" si="246"/>
        <v/>
      </c>
      <c r="AO926" s="12" t="str">
        <f t="shared" si="247"/>
        <v/>
      </c>
      <c r="AP926" s="12" t="str">
        <f t="shared" si="248"/>
        <v/>
      </c>
      <c r="AQ926" s="12"/>
      <c r="AS926" s="12">
        <f t="shared" si="250"/>
        <v>80.836799999999997</v>
      </c>
      <c r="AT926" s="16" t="str">
        <f t="shared" si="251"/>
        <v/>
      </c>
    </row>
    <row r="927" spans="1:46" hidden="1" x14ac:dyDescent="0.25">
      <c r="A927" s="41">
        <f>CASOPOInvCL!T927</f>
        <v>2</v>
      </c>
      <c r="B927" t="str">
        <f>CASOPOInvCL!Z927</f>
        <v>SO17796</v>
      </c>
      <c r="D927" t="s">
        <v>5851</v>
      </c>
      <c r="G927" s="5" t="str">
        <f>CASOPOInvCL!I927</f>
        <v>Alexis Gil Lamadrid</v>
      </c>
      <c r="H927" s="31">
        <f>CASOPOInvCL!U927</f>
        <v>9</v>
      </c>
      <c r="I927" s="31">
        <f>CASOPOInvCL!V927</f>
        <v>2025</v>
      </c>
      <c r="J927" s="5" t="str">
        <f>CASOPOInvCL!AB927</f>
        <v>INV13579</v>
      </c>
      <c r="K927" s="31">
        <f>CASOPOInvCL!W927</f>
        <v>12</v>
      </c>
      <c r="L927" s="31">
        <f>CASOPOInvCL!X927</f>
        <v>2025</v>
      </c>
      <c r="M927">
        <v>2504</v>
      </c>
      <c r="N927" s="5" t="str">
        <f>CASOPOInvCL!AF927</f>
        <v>Sealtrac Inc.</v>
      </c>
      <c r="O927" s="16" t="str">
        <f>CASOPOInvCL!AG927</f>
        <v>CAD</v>
      </c>
      <c r="P927" s="16">
        <f>CASOPOInvCL!AH927</f>
        <v>842.06</v>
      </c>
      <c r="Q927" s="16">
        <f>CASOPOInvCL!AI927</f>
        <v>608.89236647358371</v>
      </c>
      <c r="R927" s="32" t="str">
        <f>CASOPOInvCL!AU927</f>
        <v>Yes</v>
      </c>
      <c r="S927" s="16">
        <f>CASOPOInvCL!AV927</f>
        <v>0</v>
      </c>
      <c r="T927" s="16">
        <f>CASOPOInvCL!AW927</f>
        <v>608.89236647358371</v>
      </c>
      <c r="V927" t="s">
        <v>5800</v>
      </c>
      <c r="Y927" s="29" t="str">
        <f>IFERROR(HLOOKUP(U927,List!$D$2:$H$6,2,FALSE),"")</f>
        <v/>
      </c>
      <c r="Z927" s="29">
        <f>IFERROR(HLOOKUP(V927,List!$D$2:$H$6,3,FALSE),"")</f>
        <v>5.0000000000000001E-3</v>
      </c>
      <c r="AA927" s="29" t="str">
        <f>IFERROR(HLOOKUP(W927,List!$D$2:$H$6,4,FALSE),"")</f>
        <v/>
      </c>
      <c r="AB927" s="29" t="str">
        <f>IFERROR(HLOOKUP(X927,List!$D$2:$H$6,5,FALSE),"")</f>
        <v/>
      </c>
      <c r="AC927" s="12" t="str">
        <f t="shared" si="241"/>
        <v/>
      </c>
      <c r="AD927" s="12">
        <f t="shared" si="242"/>
        <v>3.0444618323679187</v>
      </c>
      <c r="AE927" s="12" t="str">
        <f t="shared" si="243"/>
        <v/>
      </c>
      <c r="AF927" s="12" t="str">
        <f t="shared" si="244"/>
        <v/>
      </c>
      <c r="AG927" t="str">
        <f>VLOOKUP(J927,'Receivable Invoice Detail'!$A$1:F3939,6,FALSE)</f>
        <v>[G-R104-731 2229] Shaft (Less Sleeve), 3196 MTX, 316SS</v>
      </c>
      <c r="AM927" s="12" t="str">
        <f t="shared" si="245"/>
        <v/>
      </c>
      <c r="AN927" s="12">
        <f t="shared" si="246"/>
        <v>3.0444618323679187</v>
      </c>
      <c r="AO927" s="12" t="str">
        <f t="shared" si="247"/>
        <v/>
      </c>
      <c r="AP927" s="12" t="str">
        <f t="shared" si="248"/>
        <v/>
      </c>
      <c r="AQ927" s="64">
        <f>M927</f>
        <v>2504</v>
      </c>
      <c r="AR927" t="s">
        <v>5931</v>
      </c>
      <c r="AS927" s="12">
        <f t="shared" si="250"/>
        <v>31.845317643890596</v>
      </c>
      <c r="AT927" s="16" t="str">
        <f t="shared" si="251"/>
        <v/>
      </c>
    </row>
    <row r="928" spans="1:46" hidden="1" x14ac:dyDescent="0.25">
      <c r="A928" s="41">
        <f>CASOPOInvCL!T928</f>
        <v>2</v>
      </c>
      <c r="B928" t="str">
        <f>CASOPOInvCL!Z928</f>
        <v>SO17796</v>
      </c>
      <c r="D928" t="s">
        <v>5851</v>
      </c>
      <c r="G928" s="5">
        <f>CASOPOInvCL!I928</f>
        <v>0</v>
      </c>
      <c r="H928" s="31">
        <f>CASOPOInvCL!U928</f>
        <v>9</v>
      </c>
      <c r="I928" s="31">
        <f>CASOPOInvCL!V928</f>
        <v>2025</v>
      </c>
      <c r="J928" s="5" t="str">
        <f>CASOPOInvCL!AB928</f>
        <v>INV13416</v>
      </c>
      <c r="K928" s="31">
        <f>CASOPOInvCL!W928</f>
        <v>11</v>
      </c>
      <c r="L928" s="31">
        <f>CASOPOInvCL!X928</f>
        <v>2025</v>
      </c>
      <c r="M928">
        <v>2504</v>
      </c>
      <c r="N928" s="5" t="str">
        <f>CASOPOInvCL!AF928</f>
        <v>Sealtrac Inc.</v>
      </c>
      <c r="O928" s="16" t="str">
        <f>CASOPOInvCL!AG928</f>
        <v>CAD</v>
      </c>
      <c r="P928" s="16">
        <f>CASOPOInvCL!AH928</f>
        <v>0</v>
      </c>
      <c r="Q928" s="16">
        <f>CASOPOInvCL!AI928</f>
        <v>0</v>
      </c>
      <c r="R928" s="32" t="str">
        <f>CASOPOInvCL!AU928</f>
        <v/>
      </c>
      <c r="S928" s="16">
        <f>CASOPOInvCL!AV928</f>
        <v>0</v>
      </c>
      <c r="T928" s="16">
        <f>CASOPOInvCL!AW928</f>
        <v>0</v>
      </c>
      <c r="V928" t="s">
        <v>5800</v>
      </c>
      <c r="Y928" s="29" t="str">
        <f>IFERROR(HLOOKUP(U928,List!$D$2:$H$6,2,FALSE),"")</f>
        <v/>
      </c>
      <c r="Z928" s="29">
        <f>IFERROR(HLOOKUP(V928,List!$D$2:$H$6,3,FALSE),"")</f>
        <v>5.0000000000000001E-3</v>
      </c>
      <c r="AA928" s="29" t="str">
        <f>IFERROR(HLOOKUP(W928,List!$D$2:$H$6,4,FALSE),"")</f>
        <v/>
      </c>
      <c r="AB928" s="29" t="str">
        <f>IFERROR(HLOOKUP(X928,List!$D$2:$H$6,5,FALSE),"")</f>
        <v/>
      </c>
      <c r="AC928" s="12" t="str">
        <f t="shared" si="241"/>
        <v/>
      </c>
      <c r="AD928" s="12">
        <f t="shared" si="242"/>
        <v>0</v>
      </c>
      <c r="AE928" s="12" t="str">
        <f t="shared" si="243"/>
        <v/>
      </c>
      <c r="AF928" s="12" t="str">
        <f t="shared" si="244"/>
        <v/>
      </c>
      <c r="AG928" t="str">
        <f>VLOOKUP(J928,'Receivable Invoice Detail'!$A$1:F3940,6,FALSE)</f>
        <v>[SKF or NSK 3309 BTNC3, G-8049-30900] Bearing (Outboard), 3196 MTX, Deep Groove, Double Row</v>
      </c>
      <c r="AM928" s="12" t="str">
        <f t="shared" si="245"/>
        <v/>
      </c>
      <c r="AN928" s="12">
        <f t="shared" si="246"/>
        <v>0</v>
      </c>
      <c r="AO928" s="12" t="str">
        <f t="shared" si="247"/>
        <v/>
      </c>
      <c r="AP928" s="12" t="str">
        <f t="shared" si="248"/>
        <v/>
      </c>
      <c r="AQ928" s="64">
        <f>M928</f>
        <v>2504</v>
      </c>
      <c r="AR928" t="s">
        <v>5931</v>
      </c>
      <c r="AS928" s="12">
        <f t="shared" si="250"/>
        <v>0</v>
      </c>
      <c r="AT928" s="16" t="str">
        <f t="shared" si="251"/>
        <v>Yes</v>
      </c>
    </row>
    <row r="929" spans="1:46" hidden="1" x14ac:dyDescent="0.25">
      <c r="A929" s="41">
        <f>CASOPOInvCL!T929</f>
        <v>0</v>
      </c>
      <c r="B929" t="str">
        <f>CASOPOInvCL!Z929</f>
        <v>SO17797</v>
      </c>
      <c r="G929" s="5" t="str">
        <f>CASOPOInvCL!I929</f>
        <v>Amanda Qiao</v>
      </c>
      <c r="H929" s="31">
        <f>CASOPOInvCL!U929</f>
        <v>9</v>
      </c>
      <c r="I929" s="31">
        <f>CASOPOInvCL!V929</f>
        <v>2025</v>
      </c>
      <c r="J929" s="5" t="str">
        <f>CASOPOInvCL!AB929</f>
        <v>No Inv</v>
      </c>
      <c r="K929" s="31" t="str">
        <f>CASOPOInvCL!W929</f>
        <v/>
      </c>
      <c r="L929" s="31" t="str">
        <f>CASOPOInvCL!X929</f>
        <v/>
      </c>
      <c r="M929" s="31"/>
      <c r="N929" s="5" t="str">
        <f>CASOPOInvCL!AF929</f>
        <v>Super Cast Limited</v>
      </c>
      <c r="O929" s="16" t="str">
        <f>CASOPOInvCL!AG929</f>
        <v>USD</v>
      </c>
      <c r="P929" s="16">
        <f>CASOPOInvCL!AH929</f>
        <v>0</v>
      </c>
      <c r="Q929" s="16">
        <f>CASOPOInvCL!AI929</f>
        <v>0</v>
      </c>
      <c r="R929" s="32" t="str">
        <f>CASOPOInvCL!AU929</f>
        <v/>
      </c>
      <c r="S929" s="16">
        <f>CASOPOInvCL!AV929</f>
        <v>0</v>
      </c>
      <c r="T929" s="16">
        <f>CASOPOInvCL!AW929</f>
        <v>0</v>
      </c>
      <c r="Y929" s="29" t="str">
        <f>IFERROR(HLOOKUP(U929,List!$D$2:$H$6,2,FALSE),"")</f>
        <v/>
      </c>
      <c r="Z929" s="29" t="str">
        <f>IFERROR(HLOOKUP(V929,List!$D$2:$H$6,3,FALSE),"")</f>
        <v/>
      </c>
      <c r="AA929" s="29" t="str">
        <f>IFERROR(HLOOKUP(W929,List!$D$2:$H$6,4,FALSE),"")</f>
        <v/>
      </c>
      <c r="AB929" s="29" t="str">
        <f>IFERROR(HLOOKUP(X929,List!$D$2:$H$6,5,FALSE),"")</f>
        <v/>
      </c>
      <c r="AC929" s="12" t="str">
        <f t="shared" si="241"/>
        <v/>
      </c>
      <c r="AD929" s="12" t="str">
        <f t="shared" si="242"/>
        <v/>
      </c>
      <c r="AE929" s="12" t="str">
        <f t="shared" si="243"/>
        <v/>
      </c>
      <c r="AF929" s="12" t="str">
        <f t="shared" si="244"/>
        <v/>
      </c>
      <c r="AG929" t="e">
        <f>VLOOKUP(J929,'Receivable Invoice Detail'!$A$1:F3941,6,FALSE)</f>
        <v>#N/A</v>
      </c>
      <c r="AM929" s="12" t="str">
        <f t="shared" si="245"/>
        <v/>
      </c>
      <c r="AN929" s="12" t="str">
        <f t="shared" si="246"/>
        <v/>
      </c>
      <c r="AO929" s="12" t="str">
        <f t="shared" si="247"/>
        <v/>
      </c>
      <c r="AP929" s="12" t="str">
        <f t="shared" si="248"/>
        <v/>
      </c>
      <c r="AQ929" s="12"/>
      <c r="AS929" s="12">
        <f t="shared" si="250"/>
        <v>0</v>
      </c>
      <c r="AT929" s="16" t="str">
        <f t="shared" si="251"/>
        <v>Yes</v>
      </c>
    </row>
    <row r="930" spans="1:46" hidden="1" x14ac:dyDescent="0.25">
      <c r="A930" s="41">
        <f>CASOPOInvCL!T930</f>
        <v>1</v>
      </c>
      <c r="B930" t="str">
        <f>CASOPOInvCL!Z930</f>
        <v>SO17799</v>
      </c>
      <c r="G930" s="5" t="str">
        <f>CASOPOInvCL!I930</f>
        <v>Wilka Nuñez</v>
      </c>
      <c r="H930" s="31">
        <f>CASOPOInvCL!U930</f>
        <v>9</v>
      </c>
      <c r="I930" s="31">
        <f>CASOPOInvCL!V930</f>
        <v>2025</v>
      </c>
      <c r="J930" s="5" t="str">
        <f>CASOPOInvCL!AB930</f>
        <v>INV13664</v>
      </c>
      <c r="K930" s="31" t="str">
        <f>CASOPOInvCL!W930</f>
        <v/>
      </c>
      <c r="L930" s="31" t="str">
        <f>CASOPOInvCL!X930</f>
        <v/>
      </c>
      <c r="M930" s="31"/>
      <c r="N930" s="5" t="str">
        <f>CASOPOInvCL!AF930</f>
        <v>Tech-Flow</v>
      </c>
      <c r="O930" s="16" t="str">
        <f>CASOPOInvCL!AG930</f>
        <v>USD</v>
      </c>
      <c r="P930" s="16">
        <f>CASOPOInvCL!AH930</f>
        <v>1685.9240045141698</v>
      </c>
      <c r="Q930" s="16">
        <f>CASOPOInvCL!AI930</f>
        <v>1223</v>
      </c>
      <c r="R930" s="32" t="str">
        <f>CASOPOInvCL!AU930</f>
        <v/>
      </c>
      <c r="S930" s="16">
        <f>CASOPOInvCL!AV930</f>
        <v>0</v>
      </c>
      <c r="T930" s="16">
        <f>CASOPOInvCL!AW930</f>
        <v>0</v>
      </c>
      <c r="Y930" s="29" t="str">
        <f>IFERROR(HLOOKUP(U930,List!$D$2:$H$6,2,FALSE),"")</f>
        <v/>
      </c>
      <c r="Z930" s="29" t="str">
        <f>IFERROR(HLOOKUP(V930,List!$D$2:$H$6,3,FALSE),"")</f>
        <v/>
      </c>
      <c r="AA930" s="29" t="str">
        <f>IFERROR(HLOOKUP(W930,List!$D$2:$H$6,4,FALSE),"")</f>
        <v/>
      </c>
      <c r="AB930" s="29" t="str">
        <f>IFERROR(HLOOKUP(X930,List!$D$2:$H$6,5,FALSE),"")</f>
        <v/>
      </c>
      <c r="AC930" s="12" t="str">
        <f t="shared" si="241"/>
        <v/>
      </c>
      <c r="AD930" s="12" t="str">
        <f t="shared" si="242"/>
        <v/>
      </c>
      <c r="AE930" s="12" t="str">
        <f t="shared" si="243"/>
        <v/>
      </c>
      <c r="AF930" s="12" t="str">
        <f t="shared" si="244"/>
        <v/>
      </c>
      <c r="AG930" t="str">
        <f>VLOOKUP(J930,'Receivable Invoice Detail'!$A$1:F3942,6,FALSE)</f>
        <v>[SA-013733-M2] Wear Disc, 44 WFR, Sala STGVA-180, High Chrome</v>
      </c>
      <c r="AM930" s="12" t="str">
        <f t="shared" si="245"/>
        <v/>
      </c>
      <c r="AN930" s="12" t="str">
        <f t="shared" si="246"/>
        <v/>
      </c>
      <c r="AO930" s="12" t="str">
        <f t="shared" si="247"/>
        <v/>
      </c>
      <c r="AP930" s="12" t="str">
        <f t="shared" si="248"/>
        <v/>
      </c>
      <c r="AQ930" s="12"/>
      <c r="AS930" s="12">
        <f t="shared" si="250"/>
        <v>1.2209269614653742</v>
      </c>
      <c r="AT930" s="16" t="str">
        <f t="shared" si="251"/>
        <v/>
      </c>
    </row>
    <row r="931" spans="1:46" hidden="1" x14ac:dyDescent="0.25">
      <c r="A931" s="41">
        <f>CASOPOInvCL!T931</f>
        <v>1</v>
      </c>
      <c r="B931" t="str">
        <f>CASOPOInvCL!Z931</f>
        <v>SO17800</v>
      </c>
      <c r="D931" t="s">
        <v>5851</v>
      </c>
      <c r="G931" s="5" t="str">
        <f>CASOPOInvCL!I931</f>
        <v>Ian Trottier</v>
      </c>
      <c r="H931" s="31">
        <f>CASOPOInvCL!U931</f>
        <v>9</v>
      </c>
      <c r="I931" s="31">
        <f>CASOPOInvCL!V931</f>
        <v>2025</v>
      </c>
      <c r="J931" s="5" t="str">
        <f>CASOPOInvCL!AB931</f>
        <v>INV13373</v>
      </c>
      <c r="K931" s="31">
        <f>CASOPOInvCL!W931</f>
        <v>10</v>
      </c>
      <c r="L931" s="31">
        <f>CASOPOInvCL!X931</f>
        <v>2025</v>
      </c>
      <c r="M931">
        <v>2504</v>
      </c>
      <c r="N931" s="5" t="str">
        <f>CASOPOInvCL!AF931</f>
        <v>Hyperflo</v>
      </c>
      <c r="O931" s="16" t="str">
        <f>CASOPOInvCL!AG931</f>
        <v>CAD</v>
      </c>
      <c r="P931" s="16">
        <f>CASOPOInvCL!AH931</f>
        <v>909.56</v>
      </c>
      <c r="Q931" s="16">
        <f>CASOPOInvCL!AI931</f>
        <v>657.70151871566486</v>
      </c>
      <c r="R931" s="32" t="str">
        <f>CASOPOInvCL!AU931</f>
        <v>Yes</v>
      </c>
      <c r="S931" s="16">
        <f>CASOPOInvCL!AV931</f>
        <v>0</v>
      </c>
      <c r="T931" s="16">
        <f>CASOPOInvCL!AW931</f>
        <v>657.70151871566486</v>
      </c>
      <c r="V931" t="s">
        <v>5800</v>
      </c>
      <c r="Y931" s="29" t="str">
        <f>IFERROR(HLOOKUP(U931,List!$D$2:$H$6,2,FALSE),"")</f>
        <v/>
      </c>
      <c r="Z931" s="29">
        <f>IFERROR(HLOOKUP(V931,List!$D$2:$H$6,3,FALSE),"")</f>
        <v>5.0000000000000001E-3</v>
      </c>
      <c r="AA931" s="29" t="str">
        <f>IFERROR(HLOOKUP(W931,List!$D$2:$H$6,4,FALSE),"")</f>
        <v/>
      </c>
      <c r="AB931" s="29" t="str">
        <f>IFERROR(HLOOKUP(X931,List!$D$2:$H$6,5,FALSE),"")</f>
        <v/>
      </c>
      <c r="AC931" s="12" t="str">
        <f t="shared" si="241"/>
        <v/>
      </c>
      <c r="AD931" s="12">
        <f t="shared" si="242"/>
        <v>3.2885075935783243</v>
      </c>
      <c r="AE931" s="12" t="str">
        <f t="shared" si="243"/>
        <v/>
      </c>
      <c r="AF931" s="12" t="str">
        <f t="shared" si="244"/>
        <v/>
      </c>
      <c r="AG931" t="str">
        <f>VLOOKUP(J931,'Receivable Invoice Detail'!$A$1:F3943,6,FALSE)</f>
        <v>[AC-98-211-426-501] Impeller, 2x2-10 SRL, Natural Rubber</v>
      </c>
      <c r="AM931" s="12" t="str">
        <f t="shared" si="245"/>
        <v/>
      </c>
      <c r="AN931" s="12">
        <f t="shared" si="246"/>
        <v>3.2885075935783243</v>
      </c>
      <c r="AO931" s="12" t="str">
        <f t="shared" si="247"/>
        <v/>
      </c>
      <c r="AP931" s="12" t="str">
        <f t="shared" si="248"/>
        <v/>
      </c>
      <c r="AQ931" s="64">
        <f t="shared" ref="AQ931:AQ937" si="252">M931</f>
        <v>2504</v>
      </c>
      <c r="AR931" t="s">
        <v>5931</v>
      </c>
      <c r="AS931" s="12">
        <f t="shared" si="250"/>
        <v>9.8964155591917375</v>
      </c>
      <c r="AT931" s="16" t="str">
        <f t="shared" si="251"/>
        <v>Yes</v>
      </c>
    </row>
    <row r="932" spans="1:46" hidden="1" x14ac:dyDescent="0.25">
      <c r="A932" s="41">
        <f>CASOPOInvCL!T932</f>
        <v>1</v>
      </c>
      <c r="B932" t="str">
        <f>CASOPOInvCL!Z932</f>
        <v>SO17801</v>
      </c>
      <c r="D932" t="s">
        <v>5851</v>
      </c>
      <c r="G932" s="5" t="str">
        <f>CASOPOInvCL!I932</f>
        <v>Alexis Gil Lamadrid</v>
      </c>
      <c r="H932" s="31">
        <f>CASOPOInvCL!U932</f>
        <v>9</v>
      </c>
      <c r="I932" s="31">
        <f>CASOPOInvCL!V932</f>
        <v>2025</v>
      </c>
      <c r="J932" s="5" t="str">
        <f>CASOPOInvCL!AB932</f>
        <v>INV13396</v>
      </c>
      <c r="K932" s="31">
        <f>CASOPOInvCL!W932</f>
        <v>11</v>
      </c>
      <c r="L932" s="31">
        <f>CASOPOInvCL!X932</f>
        <v>2025</v>
      </c>
      <c r="M932">
        <v>2504</v>
      </c>
      <c r="N932" s="5" t="str">
        <f>CASOPOInvCL!AF932</f>
        <v>Resolute Forest Products - Fibrek</v>
      </c>
      <c r="O932" s="16" t="str">
        <f>CASOPOInvCL!AG932</f>
        <v>CAD</v>
      </c>
      <c r="P932" s="16">
        <f>CASOPOInvCL!AH932</f>
        <v>9022.9</v>
      </c>
      <c r="Q932" s="16">
        <f>CASOPOInvCL!AI932</f>
        <v>6528.2635814226587</v>
      </c>
      <c r="R932" s="32" t="str">
        <f>CASOPOInvCL!AU932</f>
        <v>Yes</v>
      </c>
      <c r="S932" s="16">
        <f>CASOPOInvCL!AV932</f>
        <v>0</v>
      </c>
      <c r="T932" s="16">
        <f>CASOPOInvCL!AW932</f>
        <v>6528.2635814226587</v>
      </c>
      <c r="V932" t="s">
        <v>5800</v>
      </c>
      <c r="Y932" s="29" t="str">
        <f>IFERROR(HLOOKUP(U932,List!$D$2:$H$6,2,FALSE),"")</f>
        <v/>
      </c>
      <c r="Z932" s="29">
        <f>IFERROR(HLOOKUP(V932,List!$D$2:$H$6,3,FALSE),"")</f>
        <v>5.0000000000000001E-3</v>
      </c>
      <c r="AA932" s="29" t="str">
        <f>IFERROR(HLOOKUP(W932,List!$D$2:$H$6,4,FALSE),"")</f>
        <v/>
      </c>
      <c r="AB932" s="29" t="str">
        <f>IFERROR(HLOOKUP(X932,List!$D$2:$H$6,5,FALSE),"")</f>
        <v/>
      </c>
      <c r="AC932" s="12" t="str">
        <f t="shared" si="241"/>
        <v/>
      </c>
      <c r="AD932" s="12">
        <f t="shared" si="242"/>
        <v>32.641317907113297</v>
      </c>
      <c r="AE932" s="12" t="str">
        <f t="shared" si="243"/>
        <v/>
      </c>
      <c r="AF932" s="12" t="str">
        <f t="shared" si="244"/>
        <v/>
      </c>
      <c r="AG932" t="str">
        <f>VLOOKUP(J932,'Receivable Invoice Detail'!$A$1:F3944,6,FALSE)</f>
        <v>[AC-98-432-884-801] Bearing Housing, PWO, Frame 2, Oil</v>
      </c>
      <c r="AM932" s="12" t="str">
        <f t="shared" si="245"/>
        <v/>
      </c>
      <c r="AN932" s="12">
        <f t="shared" si="246"/>
        <v>32.641317907113297</v>
      </c>
      <c r="AO932" s="12" t="str">
        <f t="shared" si="247"/>
        <v/>
      </c>
      <c r="AP932" s="12" t="str">
        <f t="shared" si="248"/>
        <v/>
      </c>
      <c r="AQ932" s="64">
        <f t="shared" si="252"/>
        <v>2504</v>
      </c>
      <c r="AR932" t="s">
        <v>5931</v>
      </c>
      <c r="AS932" s="12">
        <f t="shared" si="250"/>
        <v>0</v>
      </c>
      <c r="AT932" s="16" t="str">
        <f t="shared" si="251"/>
        <v/>
      </c>
    </row>
    <row r="933" spans="1:46" hidden="1" x14ac:dyDescent="0.25">
      <c r="A933" s="41">
        <f>CASOPOInvCL!T933</f>
        <v>1</v>
      </c>
      <c r="B933" t="str">
        <f>CASOPOInvCL!Z933</f>
        <v>SO17803</v>
      </c>
      <c r="D933" t="s">
        <v>5851</v>
      </c>
      <c r="G933" s="5" t="str">
        <f>CASOPOInvCL!I933</f>
        <v>Ian Trottier</v>
      </c>
      <c r="H933" s="31">
        <f>CASOPOInvCL!U933</f>
        <v>9</v>
      </c>
      <c r="I933" s="31">
        <f>CASOPOInvCL!V933</f>
        <v>2025</v>
      </c>
      <c r="J933" s="5" t="str">
        <f>CASOPOInvCL!AB933</f>
        <v>INV13410</v>
      </c>
      <c r="K933" s="31">
        <f>CASOPOInvCL!W933</f>
        <v>10</v>
      </c>
      <c r="L933" s="31">
        <f>CASOPOInvCL!X933</f>
        <v>2025</v>
      </c>
      <c r="M933">
        <v>2504</v>
      </c>
      <c r="N933" s="5" t="str">
        <f>CASOPOInvCL!AF933</f>
        <v>Hyperflo</v>
      </c>
      <c r="O933" s="16" t="str">
        <f>CASOPOInvCL!AG933</f>
        <v>CAD</v>
      </c>
      <c r="P933" s="16">
        <f>CASOPOInvCL!AH933</f>
        <v>100.58</v>
      </c>
      <c r="Q933" s="16">
        <f>CASOPOInvCL!AI933</f>
        <v>72.891871050713561</v>
      </c>
      <c r="R933" s="32" t="str">
        <f>CASOPOInvCL!AU933</f>
        <v>Yes</v>
      </c>
      <c r="S933" s="16">
        <f>CASOPOInvCL!AV933</f>
        <v>0</v>
      </c>
      <c r="T933" s="16">
        <f>CASOPOInvCL!AW933</f>
        <v>72.891871050713561</v>
      </c>
      <c r="V933" t="s">
        <v>5800</v>
      </c>
      <c r="Y933" s="29" t="str">
        <f>IFERROR(HLOOKUP(U933,List!$D$2:$H$6,2,FALSE),"")</f>
        <v/>
      </c>
      <c r="Z933" s="29">
        <f>IFERROR(HLOOKUP(V933,List!$D$2:$H$6,3,FALSE),"")</f>
        <v>5.0000000000000001E-3</v>
      </c>
      <c r="AA933" s="29" t="str">
        <f>IFERROR(HLOOKUP(W933,List!$D$2:$H$6,4,FALSE),"")</f>
        <v/>
      </c>
      <c r="AB933" s="29" t="str">
        <f>IFERROR(HLOOKUP(X933,List!$D$2:$H$6,5,FALSE),"")</f>
        <v/>
      </c>
      <c r="AC933" s="12" t="str">
        <f t="shared" si="241"/>
        <v/>
      </c>
      <c r="AD933" s="12">
        <f t="shared" si="242"/>
        <v>0.36445935525356782</v>
      </c>
      <c r="AE933" s="12" t="str">
        <f t="shared" si="243"/>
        <v/>
      </c>
      <c r="AF933" s="12" t="str">
        <f t="shared" si="244"/>
        <v/>
      </c>
      <c r="AG933" t="str">
        <f>VLOOKUP(J933,'Receivable Invoice Detail'!$A$1:F3945,6,FALSE)</f>
        <v>[AC-98-233-733-514] Deflector (Water Slinger), 2x2-10 SRL, Neoprene/Steel</v>
      </c>
      <c r="AM933" s="12" t="str">
        <f t="shared" si="245"/>
        <v/>
      </c>
      <c r="AN933" s="12">
        <f t="shared" si="246"/>
        <v>0.36445935525356782</v>
      </c>
      <c r="AO933" s="12" t="str">
        <f t="shared" si="247"/>
        <v/>
      </c>
      <c r="AP933" s="12" t="str">
        <f t="shared" si="248"/>
        <v/>
      </c>
      <c r="AQ933" s="64">
        <f t="shared" si="252"/>
        <v>2504</v>
      </c>
      <c r="AR933" t="s">
        <v>5931</v>
      </c>
      <c r="AS933" s="12">
        <f t="shared" si="250"/>
        <v>9.133385497103756</v>
      </c>
      <c r="AT933" s="16" t="str">
        <f t="shared" si="251"/>
        <v/>
      </c>
    </row>
    <row r="934" spans="1:46" hidden="1" x14ac:dyDescent="0.25">
      <c r="A934" s="41">
        <f>CASOPOInvCL!T934</f>
        <v>1</v>
      </c>
      <c r="B934" t="str">
        <f>CASOPOInvCL!Z934</f>
        <v>SO17804</v>
      </c>
      <c r="D934" t="s">
        <v>5851</v>
      </c>
      <c r="G934" s="5" t="str">
        <f>CASOPOInvCL!I934</f>
        <v>Alexis Gil Lamadrid</v>
      </c>
      <c r="H934" s="31">
        <f>CASOPOInvCL!U934</f>
        <v>9</v>
      </c>
      <c r="I934" s="31">
        <f>CASOPOInvCL!V934</f>
        <v>2025</v>
      </c>
      <c r="J934" s="5" t="str">
        <f>CASOPOInvCL!AB934</f>
        <v>INV13381</v>
      </c>
      <c r="K934" s="31">
        <f>CASOPOInvCL!W934</f>
        <v>10</v>
      </c>
      <c r="L934" s="31">
        <f>CASOPOInvCL!X934</f>
        <v>2025</v>
      </c>
      <c r="M934">
        <v>2504</v>
      </c>
      <c r="N934" s="5" t="str">
        <f>CASOPOInvCL!AF934</f>
        <v>Wajax Limited - Lachine</v>
      </c>
      <c r="O934" s="16" t="str">
        <f>CASOPOInvCL!AG934</f>
        <v>CAD</v>
      </c>
      <c r="P934" s="16">
        <f>CASOPOInvCL!AH934</f>
        <v>498.96</v>
      </c>
      <c r="Q934" s="16">
        <f>CASOPOInvCL!AI934</f>
        <v>360.87537272244725</v>
      </c>
      <c r="R934" s="32" t="str">
        <f>CASOPOInvCL!AU934</f>
        <v>Yes</v>
      </c>
      <c r="S934" s="16">
        <f>CASOPOInvCL!AV934</f>
        <v>0</v>
      </c>
      <c r="T934" s="16">
        <f>CASOPOInvCL!AW934</f>
        <v>360.87537272244725</v>
      </c>
      <c r="V934" t="s">
        <v>5800</v>
      </c>
      <c r="Y934" s="29" t="str">
        <f>IFERROR(HLOOKUP(U934,List!$D$2:$H$6,2,FALSE),"")</f>
        <v/>
      </c>
      <c r="Z934" s="29">
        <f>IFERROR(HLOOKUP(V934,List!$D$2:$H$6,3,FALSE),"")</f>
        <v>5.0000000000000001E-3</v>
      </c>
      <c r="AA934" s="29" t="str">
        <f>IFERROR(HLOOKUP(W934,List!$D$2:$H$6,4,FALSE),"")</f>
        <v/>
      </c>
      <c r="AB934" s="29" t="str">
        <f>IFERROR(HLOOKUP(X934,List!$D$2:$H$6,5,FALSE),"")</f>
        <v/>
      </c>
      <c r="AC934" s="12" t="str">
        <f t="shared" si="241"/>
        <v/>
      </c>
      <c r="AD934" s="12">
        <f t="shared" si="242"/>
        <v>1.8043768636122364</v>
      </c>
      <c r="AE934" s="12" t="str">
        <f t="shared" si="243"/>
        <v/>
      </c>
      <c r="AF934" s="12" t="str">
        <f t="shared" si="244"/>
        <v/>
      </c>
      <c r="AG934" t="str">
        <f>VLOOKUP(J934,'Receivable Invoice Detail'!$A$1:F3946,6,FALSE)</f>
        <v>[AC-98-331-958-803] Shaft Sleeve, 5x4/5x5/6x6 SRL &amp; SRL-C, Steel</v>
      </c>
      <c r="AM934" s="12" t="str">
        <f t="shared" si="245"/>
        <v/>
      </c>
      <c r="AN934" s="12">
        <f t="shared" si="246"/>
        <v>1.8043768636122364</v>
      </c>
      <c r="AO934" s="12" t="str">
        <f t="shared" si="247"/>
        <v/>
      </c>
      <c r="AP934" s="12" t="str">
        <f t="shared" si="248"/>
        <v/>
      </c>
      <c r="AQ934" s="64">
        <f t="shared" si="252"/>
        <v>2504</v>
      </c>
      <c r="AR934" t="s">
        <v>5931</v>
      </c>
      <c r="AS934" s="12">
        <f t="shared" si="250"/>
        <v>0</v>
      </c>
      <c r="AT934" s="16" t="str">
        <f t="shared" si="251"/>
        <v/>
      </c>
    </row>
    <row r="935" spans="1:46" hidden="1" x14ac:dyDescent="0.25">
      <c r="A935" s="41">
        <f>CASOPOInvCL!T935</f>
        <v>3</v>
      </c>
      <c r="B935" t="str">
        <f>CASOPOInvCL!Z935</f>
        <v>SO17806</v>
      </c>
      <c r="D935" t="s">
        <v>5938</v>
      </c>
      <c r="G935" s="5" t="str">
        <f>CASOPOInvCL!I935</f>
        <v>Marlen Martinez</v>
      </c>
      <c r="H935" s="31">
        <f>CASOPOInvCL!U935</f>
        <v>9</v>
      </c>
      <c r="I935" s="31">
        <f>CASOPOInvCL!V935</f>
        <v>2025</v>
      </c>
      <c r="J935" s="5" t="str">
        <f>CASOPOInvCL!AB935</f>
        <v>INV13552</v>
      </c>
      <c r="K935" s="31" t="str">
        <f>CASOPOInvCL!W935</f>
        <v/>
      </c>
      <c r="L935" s="31" t="str">
        <f>CASOPOInvCL!X935</f>
        <v/>
      </c>
      <c r="M935" s="31"/>
      <c r="N935" s="5" t="str">
        <f>CASOPOInvCL!AF935</f>
        <v>Covia Corp - Junction City</v>
      </c>
      <c r="O935" s="16" t="str">
        <f>CASOPOInvCL!AG935</f>
        <v>USD</v>
      </c>
      <c r="P935" s="16">
        <f>CASOPOInvCL!AH935</f>
        <v>13645.070346114962</v>
      </c>
      <c r="Q935" s="16">
        <f>CASOPOInvCL!AI935</f>
        <v>9866.5499999999993</v>
      </c>
      <c r="R935" s="32" t="str">
        <f>CASOPOInvCL!AU935</f>
        <v>Yes</v>
      </c>
      <c r="S935" s="16">
        <f>CASOPOInvCL!AV935</f>
        <v>69.97</v>
      </c>
      <c r="T935" s="16">
        <f>CASOPOInvCL!AW935</f>
        <v>9796.58</v>
      </c>
      <c r="Y935" s="29" t="str">
        <f>IFERROR(HLOOKUP(U935,List!$D$2:$H$6,2,FALSE),"")</f>
        <v/>
      </c>
      <c r="Z935" s="29" t="str">
        <f>IFERROR(HLOOKUP(V935,List!$D$2:$H$6,3,FALSE),"")</f>
        <v/>
      </c>
      <c r="AA935" s="29" t="str">
        <f>IFERROR(HLOOKUP(W935,List!$D$2:$H$6,4,FALSE),"")</f>
        <v/>
      </c>
      <c r="AB935" s="29" t="str">
        <f>IFERROR(HLOOKUP(X935,List!$D$2:$H$6,5,FALSE),"")</f>
        <v/>
      </c>
      <c r="AC935" s="12" t="str">
        <f t="shared" si="241"/>
        <v/>
      </c>
      <c r="AD935" s="12" t="str">
        <f t="shared" si="242"/>
        <v/>
      </c>
      <c r="AE935" s="12" t="str">
        <f t="shared" si="243"/>
        <v/>
      </c>
      <c r="AF935" s="12" t="str">
        <f t="shared" si="244"/>
        <v/>
      </c>
      <c r="AG935" t="str">
        <f>VLOOKUP(J935,'Receivable Invoice Detail'!$A$1:F3947,6,FALSE)</f>
        <v>[W-E4132H/S01] Discharge Joint Ring, 6/4 F-HH, EPDM</v>
      </c>
      <c r="AM935" s="12" t="str">
        <f t="shared" si="245"/>
        <v/>
      </c>
      <c r="AN935" s="12" t="str">
        <f t="shared" si="246"/>
        <v/>
      </c>
      <c r="AO935" s="12" t="str">
        <f t="shared" si="247"/>
        <v/>
      </c>
      <c r="AP935" s="12" t="str">
        <f t="shared" si="248"/>
        <v/>
      </c>
      <c r="AQ935" s="64">
        <f t="shared" si="252"/>
        <v>0</v>
      </c>
      <c r="AR935" t="s">
        <v>5939</v>
      </c>
      <c r="AS935" s="12">
        <f t="shared" si="250"/>
        <v>0</v>
      </c>
      <c r="AT935" s="16" t="str">
        <f t="shared" si="251"/>
        <v>Yes</v>
      </c>
    </row>
    <row r="936" spans="1:46" hidden="1" x14ac:dyDescent="0.25">
      <c r="A936" s="41">
        <f>CASOPOInvCL!T936</f>
        <v>3</v>
      </c>
      <c r="B936" t="str">
        <f>CASOPOInvCL!Z936</f>
        <v>SO17806</v>
      </c>
      <c r="G936" s="5">
        <f>CASOPOInvCL!I936</f>
        <v>0</v>
      </c>
      <c r="H936" s="31">
        <f>CASOPOInvCL!U936</f>
        <v>9</v>
      </c>
      <c r="I936" s="31">
        <f>CASOPOInvCL!V936</f>
        <v>2025</v>
      </c>
      <c r="J936" s="5" t="str">
        <f>CASOPOInvCL!AB936</f>
        <v>INV13533</v>
      </c>
      <c r="K936" s="31" t="str">
        <f>CASOPOInvCL!W936</f>
        <v/>
      </c>
      <c r="L936" s="31" t="str">
        <f>CASOPOInvCL!X936</f>
        <v/>
      </c>
      <c r="M936" s="31"/>
      <c r="N936" s="5" t="str">
        <f>CASOPOInvCL!AF936</f>
        <v>Covia Corp - Junction City</v>
      </c>
      <c r="O936" s="16" t="str">
        <f>CASOPOInvCL!AG936</f>
        <v>USD</v>
      </c>
      <c r="P936" s="16">
        <f>CASOPOInvCL!AH936</f>
        <v>0</v>
      </c>
      <c r="Q936" s="16">
        <f>CASOPOInvCL!AI936</f>
        <v>0</v>
      </c>
      <c r="R936" s="32" t="str">
        <f>CASOPOInvCL!AU936</f>
        <v/>
      </c>
      <c r="S936" s="16">
        <f>CASOPOInvCL!AV936</f>
        <v>478.15</v>
      </c>
      <c r="T936" s="16">
        <f>CASOPOInvCL!AW936</f>
        <v>0</v>
      </c>
      <c r="Y936" s="29" t="str">
        <f>IFERROR(HLOOKUP(U936,List!$D$2:$H$6,2,FALSE),"")</f>
        <v/>
      </c>
      <c r="Z936" s="29" t="str">
        <f>IFERROR(HLOOKUP(V936,List!$D$2:$H$6,3,FALSE),"")</f>
        <v/>
      </c>
      <c r="AA936" s="29" t="str">
        <f>IFERROR(HLOOKUP(W936,List!$D$2:$H$6,4,FALSE),"")</f>
        <v/>
      </c>
      <c r="AB936" s="29" t="str">
        <f>IFERROR(HLOOKUP(X936,List!$D$2:$H$6,5,FALSE),"")</f>
        <v/>
      </c>
      <c r="AC936" s="12" t="str">
        <f t="shared" si="241"/>
        <v/>
      </c>
      <c r="AD936" s="12" t="str">
        <f t="shared" si="242"/>
        <v/>
      </c>
      <c r="AE936" s="12" t="str">
        <f t="shared" si="243"/>
        <v/>
      </c>
      <c r="AF936" s="12" t="str">
        <f t="shared" si="244"/>
        <v/>
      </c>
      <c r="AG936" t="str">
        <f>VLOOKUP(J936,'Receivable Invoice Detail'!$A$1:F3948,6,FALSE)</f>
        <v>[W-G8124/S01] Volute Liner Seal, 10/8 ST, FF or F-AH, EPDM Rubber</v>
      </c>
      <c r="AM936" s="12" t="str">
        <f t="shared" si="245"/>
        <v/>
      </c>
      <c r="AN936" s="12" t="str">
        <f t="shared" si="246"/>
        <v/>
      </c>
      <c r="AO936" s="12" t="str">
        <f t="shared" si="247"/>
        <v/>
      </c>
      <c r="AP936" s="12" t="str">
        <f t="shared" si="248"/>
        <v/>
      </c>
      <c r="AQ936" s="64">
        <f t="shared" si="252"/>
        <v>0</v>
      </c>
      <c r="AR936" t="s">
        <v>5939</v>
      </c>
      <c r="AS936" s="12">
        <f t="shared" si="250"/>
        <v>0</v>
      </c>
      <c r="AT936" s="16" t="str">
        <f t="shared" si="251"/>
        <v>Yes</v>
      </c>
    </row>
    <row r="937" spans="1:46" hidden="1" x14ac:dyDescent="0.25">
      <c r="A937" s="41">
        <f>CASOPOInvCL!T937</f>
        <v>3</v>
      </c>
      <c r="B937" t="str">
        <f>CASOPOInvCL!Z937</f>
        <v>SO17806</v>
      </c>
      <c r="G937" s="5">
        <f>CASOPOInvCL!I937</f>
        <v>0</v>
      </c>
      <c r="H937" s="31">
        <f>CASOPOInvCL!U937</f>
        <v>9</v>
      </c>
      <c r="I937" s="31">
        <f>CASOPOInvCL!V937</f>
        <v>2025</v>
      </c>
      <c r="J937" s="5" t="str">
        <f>CASOPOInvCL!AB937</f>
        <v>INV13678</v>
      </c>
      <c r="K937" s="31" t="str">
        <f>CASOPOInvCL!W937</f>
        <v/>
      </c>
      <c r="L937" s="31" t="str">
        <f>CASOPOInvCL!X937</f>
        <v/>
      </c>
      <c r="M937" s="31"/>
      <c r="N937" s="5" t="str">
        <f>CASOPOInvCL!AF937</f>
        <v>Covia Corp - Junction City</v>
      </c>
      <c r="O937" s="16" t="str">
        <f>CASOPOInvCL!AG937</f>
        <v>USD</v>
      </c>
      <c r="P937" s="16">
        <f>CASOPOInvCL!AH937</f>
        <v>0</v>
      </c>
      <c r="Q937" s="16">
        <f>CASOPOInvCL!AI937</f>
        <v>0</v>
      </c>
      <c r="R937" s="32" t="str">
        <f>CASOPOInvCL!AU937</f>
        <v/>
      </c>
      <c r="S937" s="16">
        <f>CASOPOInvCL!AV937</f>
        <v>513.36</v>
      </c>
      <c r="T937" s="16">
        <f>CASOPOInvCL!AW937</f>
        <v>0</v>
      </c>
      <c r="Y937" s="29" t="str">
        <f>IFERROR(HLOOKUP(U937,List!$D$2:$H$6,2,FALSE),"")</f>
        <v/>
      </c>
      <c r="Z937" s="29" t="str">
        <f>IFERROR(HLOOKUP(V937,List!$D$2:$H$6,3,FALSE),"")</f>
        <v/>
      </c>
      <c r="AA937" s="29" t="str">
        <f>IFERROR(HLOOKUP(W937,List!$D$2:$H$6,4,FALSE),"")</f>
        <v/>
      </c>
      <c r="AB937" s="29" t="str">
        <f>IFERROR(HLOOKUP(X937,List!$D$2:$H$6,5,FALSE),"")</f>
        <v/>
      </c>
      <c r="AC937" s="12" t="str">
        <f t="shared" si="241"/>
        <v/>
      </c>
      <c r="AD937" s="12" t="str">
        <f t="shared" si="242"/>
        <v/>
      </c>
      <c r="AE937" s="12" t="str">
        <f t="shared" si="243"/>
        <v/>
      </c>
      <c r="AF937" s="12" t="str">
        <f t="shared" si="244"/>
        <v/>
      </c>
      <c r="AG937" t="str">
        <f>VLOOKUP(J937,'Receivable Invoice Detail'!$A$1:F3949,6,FALSE)</f>
        <v>[W-FH4110/A05] Volute Liner, 6/4 F-HH, High Chrome</v>
      </c>
      <c r="AM937" s="12" t="str">
        <f t="shared" si="245"/>
        <v/>
      </c>
      <c r="AN937" s="12" t="str">
        <f t="shared" si="246"/>
        <v/>
      </c>
      <c r="AO937" s="12" t="str">
        <f t="shared" si="247"/>
        <v/>
      </c>
      <c r="AP937" s="12" t="str">
        <f t="shared" si="248"/>
        <v/>
      </c>
      <c r="AQ937" s="64">
        <f t="shared" si="252"/>
        <v>0</v>
      </c>
      <c r="AR937" t="s">
        <v>5939</v>
      </c>
      <c r="AS937" s="12">
        <f t="shared" si="250"/>
        <v>9.8655227807349721</v>
      </c>
      <c r="AT937" s="16" t="str">
        <f t="shared" si="251"/>
        <v>Yes</v>
      </c>
    </row>
    <row r="938" spans="1:46" hidden="1" x14ac:dyDescent="0.25">
      <c r="A938" s="41">
        <f>CASOPOInvCL!T938</f>
        <v>1</v>
      </c>
      <c r="B938" t="str">
        <f>CASOPOInvCL!Z938</f>
        <v>SO17809</v>
      </c>
      <c r="G938" s="5" t="str">
        <f>CASOPOInvCL!I938</f>
        <v>Ian Trottier</v>
      </c>
      <c r="H938" s="31">
        <f>CASOPOInvCL!U938</f>
        <v>9</v>
      </c>
      <c r="I938" s="31">
        <f>CASOPOInvCL!V938</f>
        <v>2025</v>
      </c>
      <c r="J938" s="5" t="str">
        <f>CASOPOInvCL!AB938</f>
        <v>INV13442</v>
      </c>
      <c r="K938" s="31" t="str">
        <f>CASOPOInvCL!W938</f>
        <v/>
      </c>
      <c r="L938" s="31" t="str">
        <f>CASOPOInvCL!X938</f>
        <v/>
      </c>
      <c r="M938" s="31"/>
      <c r="N938" s="5" t="str">
        <f>CASOPOInvCL!AF938</f>
        <v>Resolute Forest Products - Saint-Felicien</v>
      </c>
      <c r="O938" s="16" t="str">
        <f>CASOPOInvCL!AG938</f>
        <v>CAD</v>
      </c>
      <c r="P938" s="16">
        <f>CASOPOInvCL!AH938</f>
        <v>3973.6</v>
      </c>
      <c r="Q938" s="16">
        <f>CASOPOInvCL!AI938</f>
        <v>2869.8793843755411</v>
      </c>
      <c r="R938" s="32" t="str">
        <f>CASOPOInvCL!AU938</f>
        <v/>
      </c>
      <c r="S938" s="16">
        <f>CASOPOInvCL!AV938</f>
        <v>0</v>
      </c>
      <c r="T938" s="16">
        <f>CASOPOInvCL!AW938</f>
        <v>0</v>
      </c>
      <c r="Y938" s="29" t="str">
        <f>IFERROR(HLOOKUP(U938,List!$D$2:$H$6,2,FALSE),"")</f>
        <v/>
      </c>
      <c r="Z938" s="29" t="str">
        <f>IFERROR(HLOOKUP(V938,List!$D$2:$H$6,3,FALSE),"")</f>
        <v/>
      </c>
      <c r="AA938" s="29" t="str">
        <f>IFERROR(HLOOKUP(W938,List!$D$2:$H$6,4,FALSE),"")</f>
        <v/>
      </c>
      <c r="AB938" s="29" t="str">
        <f>IFERROR(HLOOKUP(X938,List!$D$2:$H$6,5,FALSE),"")</f>
        <v/>
      </c>
      <c r="AC938" s="12" t="str">
        <f t="shared" si="241"/>
        <v/>
      </c>
      <c r="AD938" s="12" t="str">
        <f t="shared" si="242"/>
        <v/>
      </c>
      <c r="AE938" s="12" t="str">
        <f t="shared" si="243"/>
        <v/>
      </c>
      <c r="AF938" s="12" t="str">
        <f t="shared" si="244"/>
        <v/>
      </c>
      <c r="AG938" t="e">
        <f>VLOOKUP(J938,'Receivable Invoice Detail'!$A$1:F3950,6,FALSE)</f>
        <v>#N/A</v>
      </c>
      <c r="AM938" s="12" t="str">
        <f t="shared" si="245"/>
        <v/>
      </c>
      <c r="AN938" s="12" t="str">
        <f t="shared" si="246"/>
        <v/>
      </c>
      <c r="AO938" s="12" t="str">
        <f t="shared" si="247"/>
        <v/>
      </c>
      <c r="AP938" s="12" t="str">
        <f t="shared" si="248"/>
        <v/>
      </c>
      <c r="AQ938" s="12"/>
      <c r="AS938" s="12">
        <f t="shared" si="250"/>
        <v>97.923953721339871</v>
      </c>
      <c r="AT938" s="16" t="str">
        <f t="shared" si="251"/>
        <v>Yes</v>
      </c>
    </row>
    <row r="939" spans="1:46" hidden="1" x14ac:dyDescent="0.25">
      <c r="A939" s="41">
        <f>CASOPOInvCL!T939</f>
        <v>1</v>
      </c>
      <c r="B939" t="str">
        <f>CASOPOInvCL!Z939</f>
        <v>SO17812</v>
      </c>
      <c r="D939" t="s">
        <v>5851</v>
      </c>
      <c r="G939" s="5" t="str">
        <f>CASOPOInvCL!I939</f>
        <v>Ian Trottier</v>
      </c>
      <c r="H939" s="31">
        <f>CASOPOInvCL!U939</f>
        <v>9</v>
      </c>
      <c r="I939" s="31">
        <f>CASOPOInvCL!V939</f>
        <v>2025</v>
      </c>
      <c r="J939" s="5" t="str">
        <f>CASOPOInvCL!AB939</f>
        <v>INV13390</v>
      </c>
      <c r="K939" s="31">
        <f>CASOPOInvCL!W939</f>
        <v>11</v>
      </c>
      <c r="L939" s="31">
        <f>CASOPOInvCL!X939</f>
        <v>2025</v>
      </c>
      <c r="M939">
        <v>2504</v>
      </c>
      <c r="N939" s="5" t="str">
        <f>CASOPOInvCL!AF939</f>
        <v>Resolute Forest Products - Saint-Felicien</v>
      </c>
      <c r="O939" s="16" t="str">
        <f>CASOPOInvCL!AG939</f>
        <v>CAD</v>
      </c>
      <c r="P939" s="16">
        <f>CASOPOInvCL!AH939</f>
        <v>4557.97</v>
      </c>
      <c r="Q939" s="16">
        <f>CASOPOInvCL!AI939</f>
        <v>3291.2377448462944</v>
      </c>
      <c r="R939" s="32" t="str">
        <f>CASOPOInvCL!AU939</f>
        <v>Yes</v>
      </c>
      <c r="S939" s="16">
        <f>CASOPOInvCL!AV939</f>
        <v>0</v>
      </c>
      <c r="T939" s="16">
        <f>CASOPOInvCL!AW939</f>
        <v>3291.2377448462944</v>
      </c>
      <c r="V939" s="59" t="s">
        <v>5800</v>
      </c>
      <c r="Y939" s="29" t="str">
        <f>IFERROR(HLOOKUP(U939,List!$D$2:$H$6,2,FALSE),"")</f>
        <v/>
      </c>
      <c r="Z939" s="29">
        <f>IFERROR(HLOOKUP(V939,List!$D$2:$H$6,3,FALSE),"")</f>
        <v>5.0000000000000001E-3</v>
      </c>
      <c r="AA939" s="29" t="str">
        <f>IFERROR(HLOOKUP(W939,List!$D$2:$H$6,4,FALSE),"")</f>
        <v/>
      </c>
      <c r="AB939" s="29" t="str">
        <f>IFERROR(HLOOKUP(X939,List!$D$2:$H$6,5,FALSE),"")</f>
        <v/>
      </c>
      <c r="AC939" s="12" t="str">
        <f t="shared" si="241"/>
        <v/>
      </c>
      <c r="AD939" s="12">
        <f t="shared" si="242"/>
        <v>16.456188724231474</v>
      </c>
      <c r="AE939" s="12" t="str">
        <f t="shared" si="243"/>
        <v/>
      </c>
      <c r="AF939" s="12" t="str">
        <f t="shared" si="244"/>
        <v/>
      </c>
      <c r="AG939" t="str">
        <f>VLOOKUP(J939,'Receivable Invoice Detail'!$A$1:F3951,6,FALSE)</f>
        <v>[AC-98-431-577-501] Frame, 14", Allis Chalmers PWO, Frame A1, Oil-Lubed, Cast Iron</v>
      </c>
      <c r="AM939" s="12" t="str">
        <f t="shared" si="245"/>
        <v/>
      </c>
      <c r="AN939" s="12">
        <f t="shared" si="246"/>
        <v>16.456188724231474</v>
      </c>
      <c r="AO939" s="12" t="str">
        <f t="shared" si="247"/>
        <v/>
      </c>
      <c r="AP939" s="12" t="str">
        <f t="shared" si="248"/>
        <v/>
      </c>
      <c r="AQ939" s="64">
        <f t="shared" ref="AQ939:AQ944" si="253">M939</f>
        <v>2504</v>
      </c>
      <c r="AR939" t="s">
        <v>5931</v>
      </c>
      <c r="AS939" s="12">
        <f t="shared" si="250"/>
        <v>1.0933780657607033</v>
      </c>
      <c r="AT939" s="16" t="str">
        <f t="shared" si="251"/>
        <v>Yes</v>
      </c>
    </row>
    <row r="940" spans="1:46" hidden="1" x14ac:dyDescent="0.25">
      <c r="A940" s="41">
        <f>CASOPOInvCL!T940</f>
        <v>1</v>
      </c>
      <c r="B940" t="str">
        <f>CASOPOInvCL!Z940</f>
        <v>SO17813</v>
      </c>
      <c r="D940" t="s">
        <v>5851</v>
      </c>
      <c r="G940" s="5" t="str">
        <f>CASOPOInvCL!I940</f>
        <v>Alexis Gil Lamadrid</v>
      </c>
      <c r="H940" s="31">
        <f>CASOPOInvCL!U940</f>
        <v>9</v>
      </c>
      <c r="I940" s="31">
        <f>CASOPOInvCL!V940</f>
        <v>2025</v>
      </c>
      <c r="J940" s="5" t="str">
        <f>CASOPOInvCL!AB940</f>
        <v>INV13399</v>
      </c>
      <c r="K940" s="31">
        <f>CASOPOInvCL!W940</f>
        <v>10</v>
      </c>
      <c r="L940" s="31">
        <f>CASOPOInvCL!X940</f>
        <v>2025</v>
      </c>
      <c r="M940">
        <v>2504</v>
      </c>
      <c r="N940" s="5" t="str">
        <f>CASOPOInvCL!AF940</f>
        <v>Hyperflo</v>
      </c>
      <c r="O940" s="16" t="str">
        <f>CASOPOInvCL!AG940</f>
        <v>CAD</v>
      </c>
      <c r="P940" s="16">
        <f>CASOPOInvCL!AH940</f>
        <v>102.81</v>
      </c>
      <c r="Q940" s="16">
        <f>CASOPOInvCL!AI940</f>
        <v>74.33093160059515</v>
      </c>
      <c r="R940" s="32" t="str">
        <f>CASOPOInvCL!AU940</f>
        <v>Yes</v>
      </c>
      <c r="S940" s="16">
        <f>CASOPOInvCL!AV940</f>
        <v>0</v>
      </c>
      <c r="T940" s="16">
        <f>CASOPOInvCL!AW940</f>
        <v>74.33093160059515</v>
      </c>
      <c r="V940" t="s">
        <v>5800</v>
      </c>
      <c r="Y940" s="29" t="str">
        <f>IFERROR(HLOOKUP(U940,List!$D$2:$H$6,2,FALSE),"")</f>
        <v/>
      </c>
      <c r="Z940" s="29">
        <f>IFERROR(HLOOKUP(V940,List!$D$2:$H$6,3,FALSE),"")</f>
        <v>5.0000000000000001E-3</v>
      </c>
      <c r="AA940" s="29" t="str">
        <f>IFERROR(HLOOKUP(W940,List!$D$2:$H$6,4,FALSE),"")</f>
        <v/>
      </c>
      <c r="AB940" s="29" t="str">
        <f>IFERROR(HLOOKUP(X940,List!$D$2:$H$6,5,FALSE),"")</f>
        <v/>
      </c>
      <c r="AC940" s="12" t="str">
        <f t="shared" si="241"/>
        <v/>
      </c>
      <c r="AD940" s="12">
        <f t="shared" si="242"/>
        <v>0.37165465800297576</v>
      </c>
      <c r="AE940" s="12" t="str">
        <f t="shared" si="243"/>
        <v/>
      </c>
      <c r="AF940" s="12" t="str">
        <f t="shared" si="244"/>
        <v/>
      </c>
      <c r="AG940" t="str">
        <f>VLOOKUP(J940,'Receivable Invoice Detail'!$A$1:F3952,6,FALSE)</f>
        <v>[AC-98-332-015-816] Fastener Kit (Suction Side Plate), 12x10-25 SRL-C</v>
      </c>
      <c r="AM940" s="12" t="str">
        <f t="shared" si="245"/>
        <v/>
      </c>
      <c r="AN940" s="12">
        <f t="shared" si="246"/>
        <v>0.37165465800297576</v>
      </c>
      <c r="AO940" s="12" t="str">
        <f t="shared" si="247"/>
        <v/>
      </c>
      <c r="AP940" s="12" t="str">
        <f t="shared" si="248"/>
        <v/>
      </c>
      <c r="AQ940" s="64">
        <f t="shared" si="253"/>
        <v>2504</v>
      </c>
      <c r="AR940" t="s">
        <v>5931</v>
      </c>
      <c r="AS940" s="12">
        <f t="shared" si="250"/>
        <v>5.4131305908367082</v>
      </c>
      <c r="AT940" s="16" t="str">
        <f t="shared" si="251"/>
        <v/>
      </c>
    </row>
    <row r="941" spans="1:46" hidden="1" x14ac:dyDescent="0.25">
      <c r="A941" s="41">
        <f>CASOPOInvCL!T941</f>
        <v>1</v>
      </c>
      <c r="B941" t="str">
        <f>CASOPOInvCL!Z941</f>
        <v>SO17814</v>
      </c>
      <c r="D941" t="s">
        <v>5915</v>
      </c>
      <c r="G941" s="5" t="str">
        <f>CASOPOInvCL!I941</f>
        <v>Wilka Nuñez</v>
      </c>
      <c r="H941" s="31">
        <f>CASOPOInvCL!U941</f>
        <v>9</v>
      </c>
      <c r="I941" s="31">
        <f>CASOPOInvCL!V941</f>
        <v>2025</v>
      </c>
      <c r="J941" s="5" t="str">
        <f>CASOPOInvCL!AB941</f>
        <v>INV13389</v>
      </c>
      <c r="K941" s="31">
        <f>CASOPOInvCL!W941</f>
        <v>10</v>
      </c>
      <c r="L941" s="31">
        <f>CASOPOInvCL!X941</f>
        <v>2025</v>
      </c>
      <c r="M941">
        <v>2504</v>
      </c>
      <c r="N941" s="5" t="str">
        <f>CASOPOInvCL!AF941</f>
        <v>Sling-Choker Manufacturing - Timmins</v>
      </c>
      <c r="O941" s="16" t="str">
        <f>CASOPOInvCL!AG941</f>
        <v>CAD</v>
      </c>
      <c r="P941" s="16">
        <f>CASOPOInvCL!AH941</f>
        <v>1199.1099999999999</v>
      </c>
      <c r="Q941" s="16">
        <f>CASOPOInvCL!AI941</f>
        <v>865.85828608407678</v>
      </c>
      <c r="R941" s="32" t="str">
        <f>CASOPOInvCL!AU941</f>
        <v>Yes</v>
      </c>
      <c r="S941" s="16">
        <f>CASOPOInvCL!AV941</f>
        <v>0</v>
      </c>
      <c r="T941" s="16">
        <f>CASOPOInvCL!AW941</f>
        <v>865.85828608407678</v>
      </c>
      <c r="V941" t="s">
        <v>5800</v>
      </c>
      <c r="Y941" s="29" t="str">
        <f>IFERROR(HLOOKUP(U941,List!$D$2:$H$6,2,FALSE),"")</f>
        <v/>
      </c>
      <c r="Z941" s="29">
        <f>IFERROR(HLOOKUP(V941,List!$D$2:$H$6,3,FALSE),"")</f>
        <v>5.0000000000000001E-3</v>
      </c>
      <c r="AA941" s="29" t="str">
        <f>IFERROR(HLOOKUP(W941,List!$D$2:$H$6,4,FALSE),"")</f>
        <v/>
      </c>
      <c r="AB941" s="29" t="str">
        <f>IFERROR(HLOOKUP(X941,List!$D$2:$H$6,5,FALSE),"")</f>
        <v/>
      </c>
      <c r="AC941" s="12" t="str">
        <f t="shared" si="241"/>
        <v/>
      </c>
      <c r="AD941" s="12">
        <f t="shared" si="242"/>
        <v>4.3292914304203842</v>
      </c>
      <c r="AE941" s="12" t="str">
        <f t="shared" si="243"/>
        <v/>
      </c>
      <c r="AF941" s="12" t="str">
        <f t="shared" si="244"/>
        <v/>
      </c>
      <c r="AG941" t="str">
        <f>VLOOKUP(J941,'Receivable Invoice Detail'!$A$1:F3953,6,FALSE)</f>
        <v>[AC-98-431-858-501] Shaft Assembly, 3x3-10 SRL &amp; SRL-C, 1045 Steel</v>
      </c>
      <c r="AM941" s="12" t="str">
        <f t="shared" si="245"/>
        <v/>
      </c>
      <c r="AN941" s="12">
        <f t="shared" si="246"/>
        <v>4.3292914304203842</v>
      </c>
      <c r="AO941" s="12" t="str">
        <f t="shared" si="247"/>
        <v/>
      </c>
      <c r="AP941" s="12" t="str">
        <f t="shared" si="248"/>
        <v/>
      </c>
      <c r="AQ941" s="64">
        <f t="shared" si="253"/>
        <v>2504</v>
      </c>
      <c r="AR941" t="s">
        <v>5931</v>
      </c>
      <c r="AS941" s="12">
        <f t="shared" si="250"/>
        <v>146.9487</v>
      </c>
      <c r="AT941" s="16" t="str">
        <f t="shared" si="251"/>
        <v/>
      </c>
    </row>
    <row r="942" spans="1:46" hidden="1" x14ac:dyDescent="0.25">
      <c r="A942" s="41">
        <f>CASOPOInvCL!T942</f>
        <v>1</v>
      </c>
      <c r="B942" t="str">
        <f>CASOPOInvCL!Z942</f>
        <v>SO17817</v>
      </c>
      <c r="D942" t="s">
        <v>5851</v>
      </c>
      <c r="G942" s="5" t="str">
        <f>CASOPOInvCL!I942</f>
        <v>Alexis Gil Lamadrid</v>
      </c>
      <c r="H942" s="31">
        <f>CASOPOInvCL!U942</f>
        <v>9</v>
      </c>
      <c r="I942" s="31">
        <f>CASOPOInvCL!V942</f>
        <v>2025</v>
      </c>
      <c r="J942" s="5" t="str">
        <f>CASOPOInvCL!AB942</f>
        <v>INV13447</v>
      </c>
      <c r="K942" s="31">
        <f>CASOPOInvCL!W942</f>
        <v>10</v>
      </c>
      <c r="L942" s="31">
        <f>CASOPOInvCL!X942</f>
        <v>2025</v>
      </c>
      <c r="M942">
        <v>2504</v>
      </c>
      <c r="N942" s="5" t="str">
        <f>CASOPOInvCL!AF942</f>
        <v>FMI Products</v>
      </c>
      <c r="O942" s="16" t="str">
        <f>CASOPOInvCL!AG942</f>
        <v>CAD</v>
      </c>
      <c r="P942" s="16">
        <f>CASOPOInvCL!AH942</f>
        <v>1129.78</v>
      </c>
      <c r="Q942" s="16">
        <f>CASOPOInvCL!AI942</f>
        <v>815.79619422077076</v>
      </c>
      <c r="R942" s="32" t="str">
        <f>CASOPOInvCL!AU942</f>
        <v>Yes</v>
      </c>
      <c r="S942" s="16">
        <f>CASOPOInvCL!AV942</f>
        <v>0</v>
      </c>
      <c r="T942" s="16">
        <f>CASOPOInvCL!AW942</f>
        <v>815.79619422077076</v>
      </c>
      <c r="V942" t="s">
        <v>5800</v>
      </c>
      <c r="Y942" s="29" t="str">
        <f>IFERROR(HLOOKUP(U942,List!$D$2:$H$6,2,FALSE),"")</f>
        <v/>
      </c>
      <c r="Z942" s="29">
        <f>IFERROR(HLOOKUP(V942,List!$D$2:$H$6,3,FALSE),"")</f>
        <v>5.0000000000000001E-3</v>
      </c>
      <c r="AA942" s="29" t="str">
        <f>IFERROR(HLOOKUP(W942,List!$D$2:$H$6,4,FALSE),"")</f>
        <v/>
      </c>
      <c r="AB942" s="29" t="str">
        <f>IFERROR(HLOOKUP(X942,List!$D$2:$H$6,5,FALSE),"")</f>
        <v/>
      </c>
      <c r="AC942" s="12" t="str">
        <f t="shared" si="241"/>
        <v/>
      </c>
      <c r="AD942" s="12">
        <f t="shared" si="242"/>
        <v>4.0789809711038538</v>
      </c>
      <c r="AE942" s="12" t="str">
        <f t="shared" si="243"/>
        <v/>
      </c>
      <c r="AF942" s="12" t="str">
        <f t="shared" si="244"/>
        <v/>
      </c>
      <c r="AG942" t="str">
        <f>VLOOKUP(J942,'Receivable Invoice Detail'!$A$1:F3954,6,FALSE)</f>
        <v>[AC-98-231-115-501] Suction Side Liner, 5x4-14 SRL-C, Natural Rubber</v>
      </c>
      <c r="AM942" s="12" t="str">
        <f t="shared" si="245"/>
        <v/>
      </c>
      <c r="AN942" s="12">
        <f t="shared" si="246"/>
        <v>4.0789809711038538</v>
      </c>
      <c r="AO942" s="12" t="str">
        <f t="shared" si="247"/>
        <v/>
      </c>
      <c r="AP942" s="12" t="str">
        <f t="shared" si="248"/>
        <v/>
      </c>
      <c r="AQ942" s="64">
        <f t="shared" si="253"/>
        <v>2504</v>
      </c>
      <c r="AR942" t="s">
        <v>5931</v>
      </c>
      <c r="AS942" s="12">
        <f t="shared" si="250"/>
        <v>0</v>
      </c>
      <c r="AT942" s="16" t="str">
        <f t="shared" si="251"/>
        <v/>
      </c>
    </row>
    <row r="943" spans="1:46" hidden="1" x14ac:dyDescent="0.25">
      <c r="A943" s="41">
        <f>CASOPOInvCL!T943</f>
        <v>1</v>
      </c>
      <c r="B943" t="str">
        <f>CASOPOInvCL!Z943</f>
        <v>SO17818</v>
      </c>
      <c r="D943" t="s">
        <v>5915</v>
      </c>
      <c r="G943" s="5" t="str">
        <f>CASOPOInvCL!I943</f>
        <v>Wilka Nuñez</v>
      </c>
      <c r="H943" s="31">
        <f>CASOPOInvCL!U943</f>
        <v>9</v>
      </c>
      <c r="I943" s="31">
        <f>CASOPOInvCL!V943</f>
        <v>2025</v>
      </c>
      <c r="J943" s="5" t="str">
        <f>CASOPOInvCL!AB943</f>
        <v>INV13400</v>
      </c>
      <c r="K943" s="31">
        <f>CASOPOInvCL!W943</f>
        <v>10</v>
      </c>
      <c r="L943" s="31">
        <f>CASOPOInvCL!X943</f>
        <v>2025</v>
      </c>
      <c r="M943">
        <v>2504</v>
      </c>
      <c r="N943" s="5" t="str">
        <f>CASOPOInvCL!AF943</f>
        <v>Sling-Choker Manufacturing - Timmins</v>
      </c>
      <c r="O943" s="16" t="str">
        <f>CASOPOInvCL!AG943</f>
        <v>CAD</v>
      </c>
      <c r="P943" s="16">
        <f>CASOPOInvCL!AH943</f>
        <v>2585.3000000000002</v>
      </c>
      <c r="Q943" s="16">
        <f>CASOPOInvCL!AI943</f>
        <v>1867.198301899055</v>
      </c>
      <c r="R943" s="32" t="str">
        <f>CASOPOInvCL!AU943</f>
        <v>Yes</v>
      </c>
      <c r="S943" s="16">
        <f>CASOPOInvCL!AV943</f>
        <v>0</v>
      </c>
      <c r="T943" s="16">
        <f>CASOPOInvCL!AW943</f>
        <v>1867.198301899055</v>
      </c>
      <c r="V943" t="s">
        <v>5800</v>
      </c>
      <c r="Y943" s="29" t="str">
        <f>IFERROR(HLOOKUP(U943,List!$D$2:$H$6,2,FALSE),"")</f>
        <v/>
      </c>
      <c r="Z943" s="29">
        <f>IFERROR(HLOOKUP(V943,List!$D$2:$H$6,3,FALSE),"")</f>
        <v>5.0000000000000001E-3</v>
      </c>
      <c r="AA943" s="29" t="str">
        <f>IFERROR(HLOOKUP(W943,List!$D$2:$H$6,4,FALSE),"")</f>
        <v/>
      </c>
      <c r="AB943" s="29" t="str">
        <f>IFERROR(HLOOKUP(X943,List!$D$2:$H$6,5,FALSE),"")</f>
        <v/>
      </c>
      <c r="AC943" s="12" t="str">
        <f t="shared" si="241"/>
        <v/>
      </c>
      <c r="AD943" s="12">
        <f t="shared" si="242"/>
        <v>9.3359915094952743</v>
      </c>
      <c r="AE943" s="12" t="str">
        <f t="shared" si="243"/>
        <v/>
      </c>
      <c r="AF943" s="12" t="str">
        <f t="shared" si="244"/>
        <v/>
      </c>
      <c r="AG943" t="str">
        <f>VLOOKUP(J943,'Receivable Invoice Detail'!$A$1:F3955,6,FALSE)</f>
        <v>[AC-98-431-768-501] Shaft Assembly, 8x6-18 SRL-C, 1045 Steel</v>
      </c>
      <c r="AM943" s="12" t="str">
        <f t="shared" si="245"/>
        <v/>
      </c>
      <c r="AN943" s="12">
        <f t="shared" si="246"/>
        <v>9.3359915094952743</v>
      </c>
      <c r="AO943" s="12" t="str">
        <f t="shared" si="247"/>
        <v/>
      </c>
      <c r="AP943" s="12" t="str">
        <f t="shared" si="248"/>
        <v/>
      </c>
      <c r="AQ943" s="64">
        <f t="shared" si="253"/>
        <v>2504</v>
      </c>
      <c r="AR943" t="s">
        <v>5931</v>
      </c>
      <c r="AS943" s="12">
        <f t="shared" si="250"/>
        <v>0</v>
      </c>
      <c r="AT943" s="16" t="str">
        <f t="shared" si="251"/>
        <v>Yes</v>
      </c>
    </row>
    <row r="944" spans="1:46" hidden="1" x14ac:dyDescent="0.25">
      <c r="A944" s="41">
        <f>CASOPOInvCL!T944</f>
        <v>1</v>
      </c>
      <c r="B944" t="str">
        <f>CASOPOInvCL!Z944</f>
        <v>SO17824</v>
      </c>
      <c r="D944" t="s">
        <v>5851</v>
      </c>
      <c r="G944" s="5" t="str">
        <f>CASOPOInvCL!I944</f>
        <v>Alexis Gil Lamadrid</v>
      </c>
      <c r="H944" s="31">
        <f>CASOPOInvCL!U944</f>
        <v>9</v>
      </c>
      <c r="I944" s="31">
        <f>CASOPOInvCL!V944</f>
        <v>2025</v>
      </c>
      <c r="J944" s="5" t="str">
        <f>CASOPOInvCL!AB944</f>
        <v>INV13395</v>
      </c>
      <c r="K944" s="31">
        <f>CASOPOInvCL!W944</f>
        <v>11</v>
      </c>
      <c r="L944" s="31">
        <f>CASOPOInvCL!X944</f>
        <v>2025</v>
      </c>
      <c r="M944">
        <v>2504</v>
      </c>
      <c r="N944" s="5" t="str">
        <f>CASOPOInvCL!AF944</f>
        <v>Southeast Pump Specialist, Inc.</v>
      </c>
      <c r="O944" s="16" t="str">
        <f>CASOPOInvCL!AG944</f>
        <v>USD</v>
      </c>
      <c r="P944" s="16">
        <f>CASOPOInvCL!AH944</f>
        <v>1424.615264075054</v>
      </c>
      <c r="Q944" s="16">
        <f>CASOPOInvCL!AI944</f>
        <v>1030.74</v>
      </c>
      <c r="R944" s="32" t="str">
        <f>CASOPOInvCL!AU944</f>
        <v>Yes</v>
      </c>
      <c r="S944" s="16">
        <f>CASOPOInvCL!AV944</f>
        <v>571</v>
      </c>
      <c r="T944" s="16">
        <f>CASOPOInvCL!AW944</f>
        <v>459.74</v>
      </c>
      <c r="V944" t="s">
        <v>5800</v>
      </c>
      <c r="Y944" s="29" t="str">
        <f>IFERROR(HLOOKUP(U944,List!$D$2:$H$6,2,FALSE),"")</f>
        <v/>
      </c>
      <c r="Z944" s="29">
        <f>IFERROR(HLOOKUP(V944,List!$D$2:$H$6,3,FALSE),"")</f>
        <v>5.0000000000000001E-3</v>
      </c>
      <c r="AA944" s="29" t="str">
        <f>IFERROR(HLOOKUP(W944,List!$D$2:$H$6,4,FALSE),"")</f>
        <v/>
      </c>
      <c r="AB944" s="29" t="str">
        <f>IFERROR(HLOOKUP(X944,List!$D$2:$H$6,5,FALSE),"")</f>
        <v/>
      </c>
      <c r="AC944" s="12" t="str">
        <f t="shared" si="241"/>
        <v/>
      </c>
      <c r="AD944" s="12">
        <f t="shared" si="242"/>
        <v>2.2987000000000002</v>
      </c>
      <c r="AE944" s="12" t="str">
        <f t="shared" si="243"/>
        <v/>
      </c>
      <c r="AF944" s="12" t="str">
        <f t="shared" si="244"/>
        <v/>
      </c>
      <c r="AG944" t="str">
        <f>VLOOKUP(J944,'Receivable Invoice Detail'!$A$1:F3956,6,FALSE)</f>
        <v>[AC-98-231-079-501] Gland Side Liner, 5x5-14 SRL, Natural Rubber</v>
      </c>
      <c r="AM944" s="12" t="str">
        <f t="shared" si="245"/>
        <v/>
      </c>
      <c r="AN944" s="12">
        <f t="shared" si="246"/>
        <v>2.2987000000000002</v>
      </c>
      <c r="AO944" s="12" t="str">
        <f t="shared" si="247"/>
        <v/>
      </c>
      <c r="AP944" s="12" t="str">
        <f t="shared" si="248"/>
        <v/>
      </c>
      <c r="AQ944" s="64">
        <f t="shared" si="253"/>
        <v>2504</v>
      </c>
      <c r="AR944" t="s">
        <v>5931</v>
      </c>
      <c r="AS944" s="12">
        <f t="shared" si="250"/>
        <v>0</v>
      </c>
      <c r="AT944" s="16" t="str">
        <f t="shared" si="251"/>
        <v>Yes</v>
      </c>
    </row>
    <row r="945" spans="1:46" hidden="1" x14ac:dyDescent="0.25">
      <c r="A945" s="41">
        <f>CASOPOInvCL!T945</f>
        <v>1</v>
      </c>
      <c r="B945" t="str">
        <f>CASOPOInvCL!Z945</f>
        <v>SO17826</v>
      </c>
      <c r="G945" s="5" t="str">
        <f>CASOPOInvCL!I945</f>
        <v>Ian Trottier</v>
      </c>
      <c r="H945" s="31">
        <f>CASOPOInvCL!U945</f>
        <v>9</v>
      </c>
      <c r="I945" s="31">
        <f>CASOPOInvCL!V945</f>
        <v>2025</v>
      </c>
      <c r="J945" s="5" t="str">
        <f>CASOPOInvCL!AB945</f>
        <v>INV13405</v>
      </c>
      <c r="K945" s="31">
        <f>CASOPOInvCL!W945</f>
        <v>10</v>
      </c>
      <c r="L945" s="31">
        <f>CASOPOInvCL!X945</f>
        <v>2025</v>
      </c>
      <c r="M945" s="31"/>
      <c r="N945" s="5" t="str">
        <f>CASOPOInvCL!AF945</f>
        <v>Les Pompes du St-Laurent Inc.</v>
      </c>
      <c r="O945" s="16" t="str">
        <f>CASOPOInvCL!AG945</f>
        <v>CAD</v>
      </c>
      <c r="P945" s="16">
        <f>CASOPOInvCL!AH945</f>
        <v>2039.88</v>
      </c>
      <c r="Q945" s="16">
        <f>CASOPOInvCL!AI945</f>
        <v>1473.276011324738</v>
      </c>
      <c r="R945" s="32" t="str">
        <f>CASOPOInvCL!AU945</f>
        <v>Yes</v>
      </c>
      <c r="S945" s="16">
        <f>CASOPOInvCL!AV945</f>
        <v>0</v>
      </c>
      <c r="T945" s="16">
        <f>CASOPOInvCL!AW945</f>
        <v>1473.276011324738</v>
      </c>
      <c r="Y945" s="29" t="str">
        <f>IFERROR(HLOOKUP(U945,List!$D$2:$H$6,2,FALSE),"")</f>
        <v/>
      </c>
      <c r="Z945" s="29" t="str">
        <f>IFERROR(HLOOKUP(V945,List!$D$2:$H$6,3,FALSE),"")</f>
        <v/>
      </c>
      <c r="AA945" s="29" t="str">
        <f>IFERROR(HLOOKUP(W945,List!$D$2:$H$6,4,FALSE),"")</f>
        <v/>
      </c>
      <c r="AB945" s="29" t="str">
        <f>IFERROR(HLOOKUP(X945,List!$D$2:$H$6,5,FALSE),"")</f>
        <v/>
      </c>
      <c r="AC945" s="12" t="str">
        <f t="shared" si="241"/>
        <v/>
      </c>
      <c r="AD945" s="12" t="str">
        <f t="shared" si="242"/>
        <v/>
      </c>
      <c r="AE945" s="12" t="str">
        <f t="shared" si="243"/>
        <v/>
      </c>
      <c r="AF945" s="12" t="str">
        <f t="shared" si="244"/>
        <v/>
      </c>
      <c r="AG945" t="str">
        <f>VLOOKUP(J945,'Receivable Invoice Detail'!$A$1:F3957,6,FALSE)</f>
        <v>[DU-MY36847AA130-A20] Impeller, 4x3-13, Durco Mark 2&amp;3 Group 2, Alloy 20, Reverse Vane</v>
      </c>
      <c r="AM945" s="12" t="str">
        <f t="shared" si="245"/>
        <v/>
      </c>
      <c r="AN945" s="12" t="str">
        <f t="shared" si="246"/>
        <v/>
      </c>
      <c r="AO945" s="12" t="str">
        <f t="shared" si="247"/>
        <v/>
      </c>
      <c r="AP945" s="12" t="str">
        <f t="shared" si="248"/>
        <v/>
      </c>
      <c r="AQ945" s="12"/>
      <c r="AS945" s="12">
        <f t="shared" si="250"/>
        <v>49.368566172694415</v>
      </c>
      <c r="AT945" s="16" t="str">
        <f t="shared" si="251"/>
        <v>Yes</v>
      </c>
    </row>
    <row r="946" spans="1:46" hidden="1" x14ac:dyDescent="0.25">
      <c r="A946" s="41">
        <f>CASOPOInvCL!T946</f>
        <v>1</v>
      </c>
      <c r="B946" t="str">
        <f>CASOPOInvCL!Z946</f>
        <v>SO17827</v>
      </c>
      <c r="D946" t="s">
        <v>5851</v>
      </c>
      <c r="G946" s="5" t="str">
        <f>CASOPOInvCL!I946</f>
        <v>Alexis Gil Lamadrid</v>
      </c>
      <c r="H946" s="31">
        <f>CASOPOInvCL!U946</f>
        <v>9</v>
      </c>
      <c r="I946" s="31">
        <f>CASOPOInvCL!V946</f>
        <v>2025</v>
      </c>
      <c r="J946" s="5" t="str">
        <f>CASOPOInvCL!AB946</f>
        <v>INV13428</v>
      </c>
      <c r="K946" s="31">
        <f>CASOPOInvCL!W946</f>
        <v>10</v>
      </c>
      <c r="L946" s="31">
        <f>CASOPOInvCL!X946</f>
        <v>2025</v>
      </c>
      <c r="M946">
        <v>2504</v>
      </c>
      <c r="N946" s="5" t="str">
        <f>CASOPOInvCL!AF946</f>
        <v>Glencore Canada Corporation - Rouyn-Noranda</v>
      </c>
      <c r="O946" s="16" t="str">
        <f>CASOPOInvCL!AG946</f>
        <v>CAD</v>
      </c>
      <c r="P946" s="16">
        <f>CASOPOInvCL!AH946</f>
        <v>42.52</v>
      </c>
      <c r="Q946" s="16">
        <f>CASOPOInvCL!AI946</f>
        <v>30.709500559605409</v>
      </c>
      <c r="R946" s="32" t="str">
        <f>CASOPOInvCL!AU946</f>
        <v>Yes</v>
      </c>
      <c r="S946" s="16">
        <f>CASOPOInvCL!AV946</f>
        <v>0</v>
      </c>
      <c r="T946" s="16">
        <f>CASOPOInvCL!AW946</f>
        <v>30.709500559605409</v>
      </c>
      <c r="V946" t="s">
        <v>5800</v>
      </c>
      <c r="Y946" s="29" t="str">
        <f>IFERROR(HLOOKUP(U946,List!$D$2:$H$6,2,FALSE),"")</f>
        <v/>
      </c>
      <c r="Z946" s="29">
        <f>IFERROR(HLOOKUP(V946,List!$D$2:$H$6,3,FALSE),"")</f>
        <v>5.0000000000000001E-3</v>
      </c>
      <c r="AA946" s="29" t="str">
        <f>IFERROR(HLOOKUP(W946,List!$D$2:$H$6,4,FALSE),"")</f>
        <v/>
      </c>
      <c r="AB946" s="29" t="str">
        <f>IFERROR(HLOOKUP(X946,List!$D$2:$H$6,5,FALSE),"")</f>
        <v/>
      </c>
      <c r="AC946" s="12" t="str">
        <f t="shared" si="241"/>
        <v/>
      </c>
      <c r="AD946" s="12">
        <f t="shared" si="242"/>
        <v>0.15354750279802706</v>
      </c>
      <c r="AE946" s="12" t="str">
        <f t="shared" si="243"/>
        <v/>
      </c>
      <c r="AF946" s="12" t="str">
        <f t="shared" si="244"/>
        <v/>
      </c>
      <c r="AG946" t="str">
        <f>VLOOKUP(J946,'Receivable Invoice Detail'!$A$1:F3958,6,FALSE)</f>
        <v>[AC-98-233-700-002] Bearing Cover Gasket (Inboard &amp; Outboard), 5x4/5x5/6x6 SRL &amp; SRL-C</v>
      </c>
      <c r="AM946" s="12" t="str">
        <f t="shared" si="245"/>
        <v/>
      </c>
      <c r="AN946" s="12">
        <f t="shared" si="246"/>
        <v>0.15354750279802706</v>
      </c>
      <c r="AO946" s="12" t="str">
        <f t="shared" si="247"/>
        <v/>
      </c>
      <c r="AP946" s="12" t="str">
        <f t="shared" si="248"/>
        <v/>
      </c>
      <c r="AQ946" s="64">
        <f>M946</f>
        <v>2504</v>
      </c>
      <c r="AR946" t="s">
        <v>5931</v>
      </c>
      <c r="AS946" s="12">
        <f t="shared" si="250"/>
        <v>1.1149639740089272</v>
      </c>
      <c r="AT946" s="16" t="str">
        <f t="shared" si="251"/>
        <v>Yes</v>
      </c>
    </row>
    <row r="947" spans="1:46" hidden="1" x14ac:dyDescent="0.25">
      <c r="A947" s="41">
        <f>CASOPOInvCL!T947</f>
        <v>1</v>
      </c>
      <c r="B947" t="str">
        <f>CASOPOInvCL!Z947</f>
        <v>SO17828</v>
      </c>
      <c r="D947" t="s">
        <v>5915</v>
      </c>
      <c r="G947" s="5" t="str">
        <f>CASOPOInvCL!I947</f>
        <v>Wilka Nuñez</v>
      </c>
      <c r="H947" s="31">
        <f>CASOPOInvCL!U947</f>
        <v>9</v>
      </c>
      <c r="I947" s="31">
        <f>CASOPOInvCL!V947</f>
        <v>2025</v>
      </c>
      <c r="J947" s="5" t="str">
        <f>CASOPOInvCL!AB947</f>
        <v>INV13408</v>
      </c>
      <c r="K947" s="31">
        <f>CASOPOInvCL!W947</f>
        <v>10</v>
      </c>
      <c r="L947" s="31">
        <f>CASOPOInvCL!X947</f>
        <v>2025</v>
      </c>
      <c r="M947">
        <v>2504</v>
      </c>
      <c r="N947" s="5" t="str">
        <f>CASOPOInvCL!AF947</f>
        <v>Wajax Limited - Noranda</v>
      </c>
      <c r="O947" s="16" t="str">
        <f>CASOPOInvCL!AG947</f>
        <v>CAD</v>
      </c>
      <c r="P947" s="16">
        <f>CASOPOInvCL!AH947</f>
        <v>147.72999999999999</v>
      </c>
      <c r="Q947" s="16">
        <f>CASOPOInvCL!AI947</f>
        <v>106.59322572924727</v>
      </c>
      <c r="R947" s="32" t="str">
        <f>CASOPOInvCL!AU947</f>
        <v>Yes</v>
      </c>
      <c r="S947" s="16">
        <f>CASOPOInvCL!AV947</f>
        <v>0</v>
      </c>
      <c r="T947" s="16">
        <f>CASOPOInvCL!AW947</f>
        <v>106.59322572924727</v>
      </c>
      <c r="V947" t="s">
        <v>5800</v>
      </c>
      <c r="Y947" s="29" t="str">
        <f>IFERROR(HLOOKUP(U947,List!$D$2:$H$6,2,FALSE),"")</f>
        <v/>
      </c>
      <c r="Z947" s="29">
        <f>IFERROR(HLOOKUP(V947,List!$D$2:$H$6,3,FALSE),"")</f>
        <v>5.0000000000000001E-3</v>
      </c>
      <c r="AA947" s="29" t="str">
        <f>IFERROR(HLOOKUP(W947,List!$D$2:$H$6,4,FALSE),"")</f>
        <v/>
      </c>
      <c r="AB947" s="29" t="str">
        <f>IFERROR(HLOOKUP(X947,List!$D$2:$H$6,5,FALSE),"")</f>
        <v/>
      </c>
      <c r="AC947" s="12" t="str">
        <f t="shared" si="241"/>
        <v/>
      </c>
      <c r="AD947" s="12">
        <f t="shared" si="242"/>
        <v>0.53296612864623638</v>
      </c>
      <c r="AE947" s="12" t="str">
        <f t="shared" si="243"/>
        <v/>
      </c>
      <c r="AF947" s="12" t="str">
        <f t="shared" si="244"/>
        <v/>
      </c>
      <c r="AG947" t="str">
        <f>VLOOKUP(J947,'Receivable Invoice Detail'!$A$1:F3959,6,FALSE)</f>
        <v>[AC-98-233-979-003] Sleeve Washer (Impeller), 5x5/5x4/6x6 SRL &amp; SRL-C</v>
      </c>
      <c r="AM947" s="12" t="str">
        <f t="shared" si="245"/>
        <v/>
      </c>
      <c r="AN947" s="12">
        <f t="shared" si="246"/>
        <v>0.53296612864623638</v>
      </c>
      <c r="AO947" s="12" t="str">
        <f t="shared" si="247"/>
        <v/>
      </c>
      <c r="AP947" s="12" t="str">
        <f t="shared" si="248"/>
        <v/>
      </c>
      <c r="AQ947" s="64">
        <f>M947</f>
        <v>2504</v>
      </c>
      <c r="AR947" t="s">
        <v>5931</v>
      </c>
      <c r="AS947" s="12">
        <f t="shared" si="250"/>
        <v>12.987874291261152</v>
      </c>
      <c r="AT947" s="16" t="str">
        <f t="shared" si="251"/>
        <v>Yes</v>
      </c>
    </row>
    <row r="948" spans="1:46" x14ac:dyDescent="0.25">
      <c r="A948" s="41">
        <f>CASOPOInvCL!T948</f>
        <v>1</v>
      </c>
      <c r="B948" t="str">
        <f>CASOPOInvCL!Z948</f>
        <v>SO17833</v>
      </c>
      <c r="E948" t="s">
        <v>5849</v>
      </c>
      <c r="G948" s="5" t="str">
        <f>CASOPOInvCL!I948</f>
        <v>Eduardo Talamantes</v>
      </c>
      <c r="H948" s="31">
        <f>CASOPOInvCL!U948</f>
        <v>9</v>
      </c>
      <c r="I948" s="31">
        <f>CASOPOInvCL!V948</f>
        <v>2025</v>
      </c>
      <c r="J948" s="5" t="str">
        <f>CASOPOInvCL!AB948</f>
        <v>INV13448</v>
      </c>
      <c r="K948" s="31">
        <f>CASOPOInvCL!W948</f>
        <v>10</v>
      </c>
      <c r="L948" s="31">
        <f>CASOPOInvCL!X948</f>
        <v>2025</v>
      </c>
      <c r="M948">
        <v>2504</v>
      </c>
      <c r="N948" s="5" t="str">
        <f>CASOPOInvCL!AF948</f>
        <v>Motion Industries Inc. (Canada) - Prince George</v>
      </c>
      <c r="O948" s="16" t="str">
        <f>CASOPOInvCL!AG948</f>
        <v>CAD</v>
      </c>
      <c r="P948" s="16">
        <f>CASOPOInvCL!AH948</f>
        <v>5343.36</v>
      </c>
      <c r="Q948" s="16">
        <f>CASOPOInvCL!AI948</f>
        <v>3863.2129819799252</v>
      </c>
      <c r="R948" s="32" t="str">
        <f>CASOPOInvCL!AU948</f>
        <v>Yes</v>
      </c>
      <c r="S948" s="16">
        <f>CASOPOInvCL!AV948</f>
        <v>0</v>
      </c>
      <c r="T948" s="16">
        <f>CASOPOInvCL!AW948</f>
        <v>3863.2129819799252</v>
      </c>
      <c r="W948" t="s">
        <v>5801</v>
      </c>
      <c r="Y948" s="29" t="str">
        <f>IFERROR(HLOOKUP(U948,List!$D$2:$H$6,2,FALSE),"")</f>
        <v/>
      </c>
      <c r="Z948" s="29" t="str">
        <f>IFERROR(HLOOKUP(V948,List!$D$2:$H$6,3,FALSE),"")</f>
        <v/>
      </c>
      <c r="AA948" s="29">
        <f>IFERROR(HLOOKUP(W948,List!$D$2:$H$6,4,FALSE),"")</f>
        <v>0.02</v>
      </c>
      <c r="AB948" s="29" t="str">
        <f>IFERROR(HLOOKUP(X948,List!$D$2:$H$6,5,FALSE),"")</f>
        <v/>
      </c>
      <c r="AC948" s="12" t="str">
        <f t="shared" si="241"/>
        <v/>
      </c>
      <c r="AD948" s="12" t="str">
        <f t="shared" si="242"/>
        <v/>
      </c>
      <c r="AE948" s="12">
        <f t="shared" si="243"/>
        <v>77.264259639598507</v>
      </c>
      <c r="AF948" s="12" t="str">
        <f t="shared" si="244"/>
        <v/>
      </c>
      <c r="AG948" t="str">
        <f>VLOOKUP(J948,'Receivable Invoice Detail'!$A$1:F3960,6,FALSE)</f>
        <v>[D-196S2x3-64W-1] Pump, 2x3-6, D-196 STX, All WCB w/CD4 Impeller</v>
      </c>
      <c r="AM948" s="12" t="str">
        <f t="shared" si="245"/>
        <v/>
      </c>
      <c r="AN948" s="12" t="str">
        <f t="shared" si="246"/>
        <v/>
      </c>
      <c r="AO948" s="12">
        <f t="shared" si="247"/>
        <v>77.264259639598507</v>
      </c>
      <c r="AP948" s="12" t="str">
        <f t="shared" si="248"/>
        <v/>
      </c>
      <c r="AQ948" s="12">
        <f>M948</f>
        <v>2504</v>
      </c>
      <c r="AR948" s="20" t="s">
        <v>5931</v>
      </c>
      <c r="AS948" s="12">
        <f t="shared" si="250"/>
        <v>12.236942913311561</v>
      </c>
      <c r="AT948" s="16" t="s">
        <v>5940</v>
      </c>
    </row>
    <row r="949" spans="1:46" hidden="1" x14ac:dyDescent="0.25">
      <c r="A949" s="41">
        <f>CASOPOInvCL!T949</f>
        <v>1</v>
      </c>
      <c r="B949" t="str">
        <f>CASOPOInvCL!Z949</f>
        <v>SO17834</v>
      </c>
      <c r="D949" t="s">
        <v>5851</v>
      </c>
      <c r="G949" s="5" t="str">
        <f>CASOPOInvCL!I949</f>
        <v>Alexis Gil Lamadrid</v>
      </c>
      <c r="H949" s="31">
        <f>CASOPOInvCL!U949</f>
        <v>9</v>
      </c>
      <c r="I949" s="31">
        <f>CASOPOInvCL!V949</f>
        <v>2025</v>
      </c>
      <c r="J949" s="5" t="str">
        <f>CASOPOInvCL!AB949</f>
        <v>INV13429</v>
      </c>
      <c r="K949" s="31">
        <f>CASOPOInvCL!W949</f>
        <v>10</v>
      </c>
      <c r="L949" s="31">
        <f>CASOPOInvCL!X949</f>
        <v>2025</v>
      </c>
      <c r="M949">
        <v>2504</v>
      </c>
      <c r="N949" s="5" t="str">
        <f>CASOPOInvCL!AF949</f>
        <v>Glencore Canada Corporation - Rouyn-Noranda</v>
      </c>
      <c r="O949" s="16" t="str">
        <f>CASOPOInvCL!AG949</f>
        <v>CAD</v>
      </c>
      <c r="P949" s="16">
        <f>CASOPOInvCL!AH949</f>
        <v>42.52</v>
      </c>
      <c r="Q949" s="16">
        <f>CASOPOInvCL!AI949</f>
        <v>30.679915778837024</v>
      </c>
      <c r="R949" s="32" t="str">
        <f>CASOPOInvCL!AU949</f>
        <v>Yes</v>
      </c>
      <c r="S949" s="16">
        <f>CASOPOInvCL!AV949</f>
        <v>0</v>
      </c>
      <c r="T949" s="16">
        <f>CASOPOInvCL!AW949</f>
        <v>30.679915778837024</v>
      </c>
      <c r="V949" t="s">
        <v>5800</v>
      </c>
      <c r="Y949" s="29" t="str">
        <f>IFERROR(HLOOKUP(U949,List!$D$2:$H$6,2,FALSE),"")</f>
        <v/>
      </c>
      <c r="Z949" s="29">
        <f>IFERROR(HLOOKUP(V949,List!$D$2:$H$6,3,FALSE),"")</f>
        <v>5.0000000000000001E-3</v>
      </c>
      <c r="AA949" s="29" t="str">
        <f>IFERROR(HLOOKUP(W949,List!$D$2:$H$6,4,FALSE),"")</f>
        <v/>
      </c>
      <c r="AB949" s="29" t="str">
        <f>IFERROR(HLOOKUP(X949,List!$D$2:$H$6,5,FALSE),"")</f>
        <v/>
      </c>
      <c r="AC949" s="12" t="str">
        <f t="shared" si="241"/>
        <v/>
      </c>
      <c r="AD949" s="12">
        <f t="shared" si="242"/>
        <v>0.15339957889418512</v>
      </c>
      <c r="AE949" s="12" t="str">
        <f t="shared" si="243"/>
        <v/>
      </c>
      <c r="AF949" s="12" t="str">
        <f t="shared" si="244"/>
        <v/>
      </c>
      <c r="AG949" t="str">
        <f>VLOOKUP(J949,'Receivable Invoice Detail'!$A$1:F3961,6,FALSE)</f>
        <v>[AC-98-233-700-002] Bearing Cover Gasket (Inboard &amp; Outboard), 5x4/5x5/6x6 SRL &amp; SRL-C</v>
      </c>
      <c r="AM949" s="12" t="str">
        <f t="shared" si="245"/>
        <v/>
      </c>
      <c r="AN949" s="12">
        <f t="shared" si="246"/>
        <v>0.15339957889418512</v>
      </c>
      <c r="AO949" s="12" t="str">
        <f t="shared" si="247"/>
        <v/>
      </c>
      <c r="AP949" s="12" t="str">
        <f t="shared" si="248"/>
        <v/>
      </c>
      <c r="AQ949" s="64">
        <f>M949</f>
        <v>2504</v>
      </c>
      <c r="AR949" t="s">
        <v>5931</v>
      </c>
      <c r="AS949" s="12">
        <f t="shared" si="250"/>
        <v>28.007974528485825</v>
      </c>
      <c r="AT949" s="16" t="str">
        <f t="shared" si="251"/>
        <v>Yes</v>
      </c>
    </row>
    <row r="950" spans="1:46" hidden="1" x14ac:dyDescent="0.25">
      <c r="A950" s="41">
        <f>CASOPOInvCL!T950</f>
        <v>1</v>
      </c>
      <c r="B950" t="str">
        <f>CASOPOInvCL!Z950</f>
        <v>SO17835</v>
      </c>
      <c r="G950" s="5" t="str">
        <f>CASOPOInvCL!I950</f>
        <v>Yannett Yeomans</v>
      </c>
      <c r="H950" s="31">
        <f>CASOPOInvCL!U950</f>
        <v>9</v>
      </c>
      <c r="I950" s="31">
        <f>CASOPOInvCL!V950</f>
        <v>2025</v>
      </c>
      <c r="J950" s="5" t="str">
        <f>CASOPOInvCL!AB950</f>
        <v>INV13688</v>
      </c>
      <c r="K950" s="31" t="str">
        <f>CASOPOInvCL!W950</f>
        <v/>
      </c>
      <c r="L950" s="31" t="str">
        <f>CASOPOInvCL!X950</f>
        <v/>
      </c>
      <c r="M950" s="31"/>
      <c r="N950" s="5" t="str">
        <f>CASOPOInvCL!AF950</f>
        <v>Dynapro Pumps México S de RL de CV</v>
      </c>
      <c r="O950" s="16" t="str">
        <f>CASOPOInvCL!AG950</f>
        <v>USD</v>
      </c>
      <c r="P950" s="16">
        <f>CASOPOInvCL!AH950</f>
        <v>11112.137601587474</v>
      </c>
      <c r="Q950" s="16">
        <f>CASOPOInvCL!AI950</f>
        <v>8034</v>
      </c>
      <c r="R950" s="32" t="str">
        <f>CASOPOInvCL!AU950</f>
        <v/>
      </c>
      <c r="S950" s="16">
        <f>CASOPOInvCL!AV950</f>
        <v>0</v>
      </c>
      <c r="T950" s="16">
        <f>CASOPOInvCL!AW950</f>
        <v>0</v>
      </c>
      <c r="Y950" s="29" t="str">
        <f>IFERROR(HLOOKUP(U950,List!$D$2:$H$6,2,FALSE),"")</f>
        <v/>
      </c>
      <c r="Z950" s="29" t="str">
        <f>IFERROR(HLOOKUP(V950,List!$D$2:$H$6,3,FALSE),"")</f>
        <v/>
      </c>
      <c r="AA950" s="29" t="str">
        <f>IFERROR(HLOOKUP(W950,List!$D$2:$H$6,4,FALSE),"")</f>
        <v/>
      </c>
      <c r="AB950" s="29" t="str">
        <f>IFERROR(HLOOKUP(X950,List!$D$2:$H$6,5,FALSE),"")</f>
        <v/>
      </c>
      <c r="AC950" s="12" t="str">
        <f t="shared" si="241"/>
        <v/>
      </c>
      <c r="AD950" s="12" t="str">
        <f t="shared" si="242"/>
        <v/>
      </c>
      <c r="AE950" s="12" t="str">
        <f t="shared" si="243"/>
        <v/>
      </c>
      <c r="AF950" s="12" t="str">
        <f t="shared" si="244"/>
        <v/>
      </c>
      <c r="AG950" t="str">
        <f>VLOOKUP(J950,'Receivable Invoice Detail'!$A$1:F3962,6,FALSE)</f>
        <v>[150SV-SP] Vertical Sump Pump, 150SV-SP, High Chrome</v>
      </c>
      <c r="AM950" s="12" t="str">
        <f t="shared" si="245"/>
        <v/>
      </c>
      <c r="AN950" s="12" t="str">
        <f t="shared" si="246"/>
        <v/>
      </c>
      <c r="AO950" s="12" t="str">
        <f t="shared" si="247"/>
        <v/>
      </c>
      <c r="AP950" s="12" t="str">
        <f t="shared" si="248"/>
        <v/>
      </c>
      <c r="AQ950" s="12"/>
      <c r="AR950" s="16" t="s">
        <v>5940</v>
      </c>
      <c r="AS950" s="12">
        <f t="shared" si="250"/>
        <v>6.8960999999999997</v>
      </c>
      <c r="AT950" s="16" t="str">
        <f t="shared" si="251"/>
        <v>Yes</v>
      </c>
    </row>
    <row r="951" spans="1:46" hidden="1" x14ac:dyDescent="0.25">
      <c r="A951" s="41">
        <f>CASOPOInvCL!T951</f>
        <v>1</v>
      </c>
      <c r="B951" t="str">
        <f>CASOPOInvCL!Z951</f>
        <v>SO17836</v>
      </c>
      <c r="D951" t="s">
        <v>5915</v>
      </c>
      <c r="G951" s="5" t="str">
        <f>CASOPOInvCL!I951</f>
        <v>Wilka Nuñez</v>
      </c>
      <c r="H951" s="31">
        <f>CASOPOInvCL!U951</f>
        <v>9</v>
      </c>
      <c r="I951" s="31">
        <f>CASOPOInvCL!V951</f>
        <v>2025</v>
      </c>
      <c r="J951" s="5" t="str">
        <f>CASOPOInvCL!AB951</f>
        <v>INV13398</v>
      </c>
      <c r="K951" s="31">
        <f>CASOPOInvCL!W951</f>
        <v>10</v>
      </c>
      <c r="L951" s="31">
        <f>CASOPOInvCL!X951</f>
        <v>2025</v>
      </c>
      <c r="M951">
        <v>2504</v>
      </c>
      <c r="N951" s="5" t="str">
        <f>CASOPOInvCL!AF951</f>
        <v>Hyperflo</v>
      </c>
      <c r="O951" s="16" t="str">
        <f>CASOPOInvCL!AG951</f>
        <v>CAD</v>
      </c>
      <c r="P951" s="16">
        <f>CASOPOInvCL!AH951</f>
        <v>48</v>
      </c>
      <c r="Q951" s="16">
        <f>CASOPOInvCL!AI951</f>
        <v>34.633959486927964</v>
      </c>
      <c r="R951" s="32" t="str">
        <f>CASOPOInvCL!AU951</f>
        <v>Yes</v>
      </c>
      <c r="S951" s="16">
        <f>CASOPOInvCL!AV951</f>
        <v>0</v>
      </c>
      <c r="T951" s="16">
        <f>CASOPOInvCL!AW951</f>
        <v>34.633959486927964</v>
      </c>
      <c r="V951" t="s">
        <v>5800</v>
      </c>
      <c r="Y951" s="29" t="str">
        <f>IFERROR(HLOOKUP(U951,List!$D$2:$H$6,2,FALSE),"")</f>
        <v/>
      </c>
      <c r="Z951" s="29">
        <f>IFERROR(HLOOKUP(V951,List!$D$2:$H$6,3,FALSE),"")</f>
        <v>5.0000000000000001E-3</v>
      </c>
      <c r="AA951" s="29" t="str">
        <f>IFERROR(HLOOKUP(W951,List!$D$2:$H$6,4,FALSE),"")</f>
        <v/>
      </c>
      <c r="AB951" s="29" t="str">
        <f>IFERROR(HLOOKUP(X951,List!$D$2:$H$6,5,FALSE),"")</f>
        <v/>
      </c>
      <c r="AC951" s="12" t="str">
        <f t="shared" si="241"/>
        <v/>
      </c>
      <c r="AD951" s="12">
        <f t="shared" si="242"/>
        <v>0.17316979743463981</v>
      </c>
      <c r="AE951" s="12" t="str">
        <f t="shared" si="243"/>
        <v/>
      </c>
      <c r="AF951" s="12" t="str">
        <f t="shared" si="244"/>
        <v/>
      </c>
      <c r="AG951" t="str">
        <f>VLOOKUP(J951,'Receivable Invoice Detail'!$A$1:F3963,6,FALSE)</f>
        <v>[ARR-N1300-0625, G-58101 625] Bearing Housing Retaining Ring, PWO-C Group 2, Carbon Steel</v>
      </c>
      <c r="AM951" s="12" t="str">
        <f t="shared" si="245"/>
        <v/>
      </c>
      <c r="AN951" s="12">
        <f t="shared" si="246"/>
        <v>0.17316979743463981</v>
      </c>
      <c r="AO951" s="12" t="str">
        <f t="shared" si="247"/>
        <v/>
      </c>
      <c r="AP951" s="12" t="str">
        <f t="shared" si="248"/>
        <v/>
      </c>
      <c r="AQ951" s="64">
        <f>M951</f>
        <v>2504</v>
      </c>
      <c r="AR951" t="s">
        <v>5931</v>
      </c>
      <c r="AS951" s="12">
        <f t="shared" si="250"/>
        <v>22.09914016987107</v>
      </c>
      <c r="AT951" s="16" t="str">
        <f t="shared" si="251"/>
        <v>Yes</v>
      </c>
    </row>
    <row r="952" spans="1:46" hidden="1" x14ac:dyDescent="0.25">
      <c r="A952" s="41">
        <f>CASOPOInvCL!T952</f>
        <v>1</v>
      </c>
      <c r="B952" t="str">
        <f>CASOPOInvCL!Z952</f>
        <v>SO17837</v>
      </c>
      <c r="D952" t="s">
        <v>5851</v>
      </c>
      <c r="G952" s="5" t="str">
        <f>CASOPOInvCL!I952</f>
        <v>Alexis Gil Lamadrid</v>
      </c>
      <c r="H952" s="31">
        <f>CASOPOInvCL!U952</f>
        <v>9</v>
      </c>
      <c r="I952" s="31">
        <f>CASOPOInvCL!V952</f>
        <v>2025</v>
      </c>
      <c r="J952" s="5" t="str">
        <f>CASOPOInvCL!AB952</f>
        <v>INV13419</v>
      </c>
      <c r="K952" s="31">
        <f>CASOPOInvCL!W952</f>
        <v>11</v>
      </c>
      <c r="L952" s="31">
        <f>CASOPOInvCL!X952</f>
        <v>2025</v>
      </c>
      <c r="M952">
        <v>2504</v>
      </c>
      <c r="N952" s="5" t="str">
        <f>CASOPOInvCL!AF952</f>
        <v>Resolute Forest Products - Saint-Felicien</v>
      </c>
      <c r="O952" s="16" t="str">
        <f>CASOPOInvCL!AG952</f>
        <v>CAD</v>
      </c>
      <c r="P952" s="16">
        <f>CASOPOInvCL!AH952</f>
        <v>716.65</v>
      </c>
      <c r="Q952" s="16">
        <f>CASOPOInvCL!AI952</f>
        <v>519.36726375515877</v>
      </c>
      <c r="R952" s="32" t="str">
        <f>CASOPOInvCL!AU952</f>
        <v>Yes</v>
      </c>
      <c r="S952" s="16">
        <f>CASOPOInvCL!AV952</f>
        <v>0</v>
      </c>
      <c r="T952" s="16">
        <f>CASOPOInvCL!AW952</f>
        <v>519.36726375515877</v>
      </c>
      <c r="V952" t="s">
        <v>5800</v>
      </c>
      <c r="Y952" s="29" t="str">
        <f>IFERROR(HLOOKUP(U952,List!$D$2:$H$6,2,FALSE),"")</f>
        <v/>
      </c>
      <c r="Z952" s="29">
        <f>IFERROR(HLOOKUP(V952,List!$D$2:$H$6,3,FALSE),"")</f>
        <v>5.0000000000000001E-3</v>
      </c>
      <c r="AA952" s="29" t="str">
        <f>IFERROR(HLOOKUP(W952,List!$D$2:$H$6,4,FALSE),"")</f>
        <v/>
      </c>
      <c r="AB952" s="29" t="str">
        <f>IFERROR(HLOOKUP(X952,List!$D$2:$H$6,5,FALSE),"")</f>
        <v/>
      </c>
      <c r="AC952" s="12" t="str">
        <f t="shared" si="241"/>
        <v/>
      </c>
      <c r="AD952" s="12">
        <f t="shared" si="242"/>
        <v>2.5968363187757939</v>
      </c>
      <c r="AE952" s="12" t="str">
        <f t="shared" si="243"/>
        <v/>
      </c>
      <c r="AF952" s="12" t="str">
        <f t="shared" si="244"/>
        <v/>
      </c>
      <c r="AG952" t="str">
        <f>VLOOKUP(J952,'Receivable Invoice Detail'!$A$1:F3964,6,FALSE)</f>
        <v>[OLPWZ011005B, G-A04951A218] Bearing Isolator (Inboard), 3196 MTX/MTi, 303SS Rotor / Bronze Stator w/Viton</v>
      </c>
      <c r="AM952" s="12" t="str">
        <f t="shared" si="245"/>
        <v/>
      </c>
      <c r="AN952" s="12">
        <f t="shared" si="246"/>
        <v>2.5968363187757939</v>
      </c>
      <c r="AO952" s="12" t="str">
        <f t="shared" si="247"/>
        <v/>
      </c>
      <c r="AP952" s="12" t="str">
        <f t="shared" si="248"/>
        <v/>
      </c>
      <c r="AQ952" s="64">
        <f>M952</f>
        <v>2504</v>
      </c>
      <c r="AR952" t="s">
        <v>5931</v>
      </c>
      <c r="AS952" s="12">
        <f t="shared" si="250"/>
        <v>0.46064250839408111</v>
      </c>
      <c r="AT952" s="16" t="str">
        <f t="shared" si="251"/>
        <v>Yes</v>
      </c>
    </row>
    <row r="953" spans="1:46" hidden="1" x14ac:dyDescent="0.25">
      <c r="A953" s="41">
        <f>CASOPOInvCL!T953</f>
        <v>1</v>
      </c>
      <c r="B953" t="str">
        <f>CASOPOInvCL!Z953</f>
        <v>SO17838</v>
      </c>
      <c r="D953" t="s">
        <v>5852</v>
      </c>
      <c r="G953" s="5" t="str">
        <f>CASOPOInvCL!I953</f>
        <v>Aleksandar Stankovic</v>
      </c>
      <c r="H953" s="31">
        <f>CASOPOInvCL!U953</f>
        <v>9</v>
      </c>
      <c r="I953" s="31">
        <f>CASOPOInvCL!V953</f>
        <v>2025</v>
      </c>
      <c r="J953" s="5" t="str">
        <f>CASOPOInvCL!AB953</f>
        <v>INV13415</v>
      </c>
      <c r="K953" s="31">
        <f>CASOPOInvCL!W953</f>
        <v>11</v>
      </c>
      <c r="L953" s="31">
        <f>CASOPOInvCL!X953</f>
        <v>2025</v>
      </c>
      <c r="M953">
        <v>2504</v>
      </c>
      <c r="N953" s="5" t="str">
        <f>CASOPOInvCL!AF953</f>
        <v>Sealtrac Inc.</v>
      </c>
      <c r="O953" s="16" t="str">
        <f>CASOPOInvCL!AG953</f>
        <v>CAD</v>
      </c>
      <c r="P953" s="16">
        <f>CASOPOInvCL!AH953</f>
        <v>354.06</v>
      </c>
      <c r="Q953" s="16">
        <f>CASOPOInvCL!AI953</f>
        <v>257.55089299449605</v>
      </c>
      <c r="R953" s="32" t="str">
        <f>CASOPOInvCL!AU953</f>
        <v>Yes</v>
      </c>
      <c r="S953" s="16">
        <f>CASOPOInvCL!AV953</f>
        <v>0</v>
      </c>
      <c r="T953" s="16">
        <f>CASOPOInvCL!AW953</f>
        <v>257.55089299449605</v>
      </c>
      <c r="Y953" s="29" t="str">
        <f>IFERROR(HLOOKUP(U953,List!$D$2:$H$6,2,FALSE),"")</f>
        <v/>
      </c>
      <c r="Z953" s="29" t="str">
        <f>IFERROR(HLOOKUP(V953,List!$D$2:$H$6,3,FALSE),"")</f>
        <v/>
      </c>
      <c r="AA953" s="29" t="str">
        <f>IFERROR(HLOOKUP(W953,List!$D$2:$H$6,4,FALSE),"")</f>
        <v/>
      </c>
      <c r="AB953" s="29" t="str">
        <f>IFERROR(HLOOKUP(X953,List!$D$2:$H$6,5,FALSE),"")</f>
        <v/>
      </c>
      <c r="AC953" s="12" t="str">
        <f t="shared" si="241"/>
        <v/>
      </c>
      <c r="AD953" s="12" t="str">
        <f t="shared" si="242"/>
        <v/>
      </c>
      <c r="AE953" s="12" t="str">
        <f t="shared" si="243"/>
        <v/>
      </c>
      <c r="AF953" s="12" t="str">
        <f t="shared" si="244"/>
        <v/>
      </c>
      <c r="AG953" t="str">
        <f>VLOOKUP(J953,'Receivable Invoice Detail'!$A$1:F3965,6,FALSE)</f>
        <v>[G-70782 29 5117] Casing Gasket, 10", 3196 MTX, Teflon</v>
      </c>
      <c r="AM953" s="12" t="str">
        <f t="shared" si="245"/>
        <v/>
      </c>
      <c r="AN953" s="12" t="str">
        <f t="shared" si="246"/>
        <v/>
      </c>
      <c r="AO953" s="12" t="str">
        <f t="shared" si="247"/>
        <v/>
      </c>
      <c r="AP953" s="12" t="str">
        <f t="shared" si="248"/>
        <v/>
      </c>
      <c r="AQ953">
        <v>2504</v>
      </c>
      <c r="AR953" t="s">
        <v>5931</v>
      </c>
      <c r="AS953" s="12">
        <f t="shared" si="250"/>
        <v>1.5988983859387089</v>
      </c>
      <c r="AT953" s="16" t="str">
        <f t="shared" si="251"/>
        <v>Yes</v>
      </c>
    </row>
    <row r="954" spans="1:46" hidden="1" x14ac:dyDescent="0.25">
      <c r="A954" s="41">
        <f>CASOPOInvCL!T954</f>
        <v>0</v>
      </c>
      <c r="B954" t="str">
        <f>CASOPOInvCL!Z954</f>
        <v>SO17839</v>
      </c>
      <c r="C954" s="59"/>
      <c r="D954" s="59"/>
      <c r="E954" s="59"/>
      <c r="F954" s="59"/>
      <c r="G954" s="5" t="str">
        <f>CASOPOInvCL!I954</f>
        <v>Amanda Qiao</v>
      </c>
      <c r="H954" s="31">
        <f>CASOPOInvCL!U954</f>
        <v>9</v>
      </c>
      <c r="I954" s="31">
        <f>CASOPOInvCL!V954</f>
        <v>2025</v>
      </c>
      <c r="J954" s="5" t="str">
        <f>CASOPOInvCL!AB954</f>
        <v>No Inv</v>
      </c>
      <c r="K954" s="31" t="str">
        <f>CASOPOInvCL!W954</f>
        <v/>
      </c>
      <c r="L954" s="31" t="str">
        <f>CASOPOInvCL!X954</f>
        <v/>
      </c>
      <c r="M954" s="59"/>
      <c r="N954" s="5" t="str">
        <f>CASOPOInvCL!AF954</f>
        <v>AGM Inc.</v>
      </c>
      <c r="O954" s="16" t="str">
        <f>CASOPOInvCL!AG954</f>
        <v>USD</v>
      </c>
      <c r="P954" s="16">
        <f>CASOPOInvCL!AH954</f>
        <v>43048.324546015479</v>
      </c>
      <c r="Q954" s="16">
        <f>CASOPOInvCL!AI954</f>
        <v>31113.98</v>
      </c>
      <c r="R954" s="32" t="str">
        <f>CASOPOInvCL!AU954</f>
        <v/>
      </c>
      <c r="S954" s="16">
        <f>CASOPOInvCL!AV954</f>
        <v>0</v>
      </c>
      <c r="T954" s="16">
        <f>CASOPOInvCL!AW954</f>
        <v>0</v>
      </c>
      <c r="U954" s="59"/>
      <c r="V954" s="59"/>
      <c r="W954" s="59"/>
      <c r="X954" s="59"/>
      <c r="Y954" s="29" t="str">
        <f>IFERROR(HLOOKUP(U954,List!$D$2:$H$6,2,FALSE),"")</f>
        <v/>
      </c>
      <c r="Z954" s="29" t="str">
        <f>IFERROR(HLOOKUP(V954,List!$D$2:$H$6,3,FALSE),"")</f>
        <v/>
      </c>
      <c r="AA954" s="29" t="str">
        <f>IFERROR(HLOOKUP(W954,List!$D$2:$H$6,4,FALSE),"")</f>
        <v/>
      </c>
      <c r="AB954" s="29" t="str">
        <f>IFERROR(HLOOKUP(X954,List!$D$2:$H$6,5,FALSE),"")</f>
        <v/>
      </c>
      <c r="AC954" s="12" t="str">
        <f t="shared" si="241"/>
        <v/>
      </c>
      <c r="AD954" s="12" t="str">
        <f t="shared" si="242"/>
        <v/>
      </c>
      <c r="AE954" s="12" t="str">
        <f t="shared" si="243"/>
        <v/>
      </c>
      <c r="AF954" s="12" t="str">
        <f t="shared" si="244"/>
        <v/>
      </c>
      <c r="AG954" t="e">
        <f>VLOOKUP(J954,'Receivable Invoice Detail'!$A$1:F3966,6,FALSE)</f>
        <v>#N/A</v>
      </c>
      <c r="AI954" s="59"/>
      <c r="AJ954" s="59"/>
      <c r="AK954" s="59"/>
      <c r="AL954" s="59"/>
      <c r="AM954" s="12" t="str">
        <f t="shared" si="245"/>
        <v/>
      </c>
      <c r="AN954" s="12" t="str">
        <f t="shared" si="246"/>
        <v/>
      </c>
      <c r="AO954" s="12" t="str">
        <f t="shared" si="247"/>
        <v/>
      </c>
      <c r="AP954" s="12" t="str">
        <f t="shared" si="248"/>
        <v/>
      </c>
      <c r="AQ954" s="59"/>
      <c r="AR954" s="59"/>
      <c r="AS954" s="60"/>
      <c r="AT954" s="57"/>
    </row>
    <row r="955" spans="1:46" hidden="1" x14ac:dyDescent="0.25">
      <c r="A955" s="41">
        <f>CASOPOInvCL!T955</f>
        <v>1</v>
      </c>
      <c r="B955" t="str">
        <f>CASOPOInvCL!Z955</f>
        <v>SO17844</v>
      </c>
      <c r="D955" t="s">
        <v>5851</v>
      </c>
      <c r="G955" s="5" t="str">
        <f>CASOPOInvCL!I955</f>
        <v>Alexis Gil Lamadrid</v>
      </c>
      <c r="H955" s="31">
        <f>CASOPOInvCL!U955</f>
        <v>9</v>
      </c>
      <c r="I955" s="31">
        <f>CASOPOInvCL!V955</f>
        <v>2025</v>
      </c>
      <c r="J955" s="5" t="str">
        <f>CASOPOInvCL!AB955</f>
        <v>INV13421</v>
      </c>
      <c r="K955" s="31">
        <f>CASOPOInvCL!W955</f>
        <v>10</v>
      </c>
      <c r="L955" s="31">
        <f>CASOPOInvCL!X955</f>
        <v>2025</v>
      </c>
      <c r="M955">
        <v>2504</v>
      </c>
      <c r="N955" s="5" t="str">
        <f>CASOPOInvCL!AF955</f>
        <v>Canadian Bearings Ltd.</v>
      </c>
      <c r="O955" s="16" t="str">
        <f>CASOPOInvCL!AG955</f>
        <v>CAD</v>
      </c>
      <c r="P955" s="16">
        <f>CASOPOInvCL!AH955</f>
        <v>279.5</v>
      </c>
      <c r="Q955" s="16">
        <f>CASOPOInvCL!AI955</f>
        <v>203.09868434633321</v>
      </c>
      <c r="R955" s="32" t="str">
        <f>CASOPOInvCL!AU955</f>
        <v>Yes</v>
      </c>
      <c r="S955" s="16">
        <f>CASOPOInvCL!AV955</f>
        <v>0</v>
      </c>
      <c r="T955" s="16">
        <f>CASOPOInvCL!AW955</f>
        <v>203.09868434633321</v>
      </c>
      <c r="V955" t="s">
        <v>5800</v>
      </c>
      <c r="Y955" s="29" t="str">
        <f>IFERROR(HLOOKUP(U955,List!$D$2:$H$6,2,FALSE),"")</f>
        <v/>
      </c>
      <c r="Z955" s="29">
        <f>IFERROR(HLOOKUP(V955,List!$D$2:$H$6,3,FALSE),"")</f>
        <v>5.0000000000000001E-3</v>
      </c>
      <c r="AA955" s="29" t="str">
        <f>IFERROR(HLOOKUP(W955,List!$D$2:$H$6,4,FALSE),"")</f>
        <v/>
      </c>
      <c r="AB955" s="29" t="str">
        <f>IFERROR(HLOOKUP(X955,List!$D$2:$H$6,5,FALSE),"")</f>
        <v/>
      </c>
      <c r="AC955" s="12" t="str">
        <f t="shared" si="241"/>
        <v/>
      </c>
      <c r="AD955" s="12">
        <f t="shared" si="242"/>
        <v>1.015493421731666</v>
      </c>
      <c r="AE955" s="12" t="str">
        <f t="shared" si="243"/>
        <v/>
      </c>
      <c r="AF955" s="12" t="str">
        <f t="shared" si="244"/>
        <v/>
      </c>
      <c r="AG955" t="str">
        <f>VLOOKUP(J955,'Receivable Invoice Detail'!$A$1:F3967,6,FALSE)</f>
        <v>[AC-98-232-857-802] Shim Set, A-C PWO-C Group 2, Plastic</v>
      </c>
      <c r="AM955" s="12" t="str">
        <f t="shared" si="245"/>
        <v/>
      </c>
      <c r="AN955" s="12">
        <f t="shared" si="246"/>
        <v>1.015493421731666</v>
      </c>
      <c r="AO955" s="12" t="str">
        <f t="shared" si="247"/>
        <v/>
      </c>
      <c r="AP955" s="12" t="str">
        <f t="shared" si="248"/>
        <v/>
      </c>
      <c r="AQ955" s="64">
        <f>M955</f>
        <v>2504</v>
      </c>
      <c r="AR955" t="s">
        <v>5931</v>
      </c>
      <c r="AS955" s="12">
        <f>T948*1.5%</f>
        <v>57.948194729698876</v>
      </c>
      <c r="AT955" t="s">
        <v>4388</v>
      </c>
    </row>
    <row r="956" spans="1:46" hidden="1" x14ac:dyDescent="0.25">
      <c r="A956" s="41">
        <f>CASOPOInvCL!T956</f>
        <v>1</v>
      </c>
      <c r="B956" t="str">
        <f>CASOPOInvCL!Z956</f>
        <v>SO17845</v>
      </c>
      <c r="D956" t="s">
        <v>5938</v>
      </c>
      <c r="G956" s="5" t="str">
        <f>CASOPOInvCL!I956</f>
        <v>Marlen Martinez</v>
      </c>
      <c r="H956" s="31">
        <f>CASOPOInvCL!U956</f>
        <v>9</v>
      </c>
      <c r="I956" s="31">
        <f>CASOPOInvCL!V956</f>
        <v>2025</v>
      </c>
      <c r="J956" s="5" t="str">
        <f>CASOPOInvCL!AB956</f>
        <v>INV13454</v>
      </c>
      <c r="K956" s="31">
        <f>CASOPOInvCL!W956</f>
        <v>12</v>
      </c>
      <c r="L956" s="31">
        <f>CASOPOInvCL!X956</f>
        <v>2025</v>
      </c>
      <c r="M956" t="s">
        <v>5945</v>
      </c>
      <c r="N956" s="5" t="str">
        <f>CASOPOInvCL!AF956</f>
        <v>Covia Corp - Guion</v>
      </c>
      <c r="O956" s="16" t="str">
        <f>CASOPOInvCL!AG956</f>
        <v>USD</v>
      </c>
      <c r="P956" s="16">
        <f>CASOPOInvCL!AH956</f>
        <v>7133.539738655717</v>
      </c>
      <c r="Q956" s="16">
        <f>CASOPOInvCL!AI956</f>
        <v>5177.88</v>
      </c>
      <c r="R956" s="32" t="str">
        <f>CASOPOInvCL!AU956</f>
        <v>Yes</v>
      </c>
      <c r="S956" s="16">
        <f>CASOPOInvCL!AV956</f>
        <v>550.76</v>
      </c>
      <c r="T956" s="16">
        <f>CASOPOInvCL!AW956</f>
        <v>4627.12</v>
      </c>
      <c r="Y956" s="29" t="str">
        <f>IFERROR(HLOOKUP(U956,List!$D$2:$H$6,2,FALSE),"")</f>
        <v/>
      </c>
      <c r="Z956" s="29" t="str">
        <f>IFERROR(HLOOKUP(V956,List!$D$2:$H$6,3,FALSE),"")</f>
        <v/>
      </c>
      <c r="AA956" s="29" t="str">
        <f>IFERROR(HLOOKUP(W956,List!$D$2:$H$6,4,FALSE),"")</f>
        <v/>
      </c>
      <c r="AB956" s="29" t="str">
        <f>IFERROR(HLOOKUP(X956,List!$D$2:$H$6,5,FALSE),"")</f>
        <v/>
      </c>
      <c r="AC956" s="12" t="str">
        <f t="shared" si="241"/>
        <v/>
      </c>
      <c r="AD956" s="12" t="str">
        <f t="shared" si="242"/>
        <v/>
      </c>
      <c r="AE956" s="12" t="str">
        <f t="shared" si="243"/>
        <v/>
      </c>
      <c r="AF956" s="12" t="str">
        <f t="shared" si="244"/>
        <v/>
      </c>
      <c r="AG956" t="str">
        <f>VLOOKUP(J956,'Receivable Invoice Detail'!$A$1:F3968,6,FALSE)</f>
        <v>[W-G8060/S01] Intake Joint Ring, 10/8 ST, FF or F-AH, EPDM Rubber</v>
      </c>
      <c r="AM956" s="12" t="str">
        <f t="shared" si="245"/>
        <v/>
      </c>
      <c r="AN956" s="12" t="str">
        <f t="shared" si="246"/>
        <v/>
      </c>
      <c r="AO956" s="12" t="str">
        <f t="shared" si="247"/>
        <v/>
      </c>
      <c r="AP956" s="12" t="str">
        <f t="shared" si="248"/>
        <v/>
      </c>
      <c r="AQ956" s="64" t="str">
        <f t="shared" ref="AQ956:AQ1019" si="254">M956</f>
        <v/>
      </c>
      <c r="AR956" t="s">
        <v>5939</v>
      </c>
      <c r="AS956" s="12">
        <f t="shared" ref="AS956:AS1019" si="255">T949*1.5%</f>
        <v>0.46019873668255534</v>
      </c>
      <c r="AT956" t="s">
        <v>5945</v>
      </c>
    </row>
    <row r="957" spans="1:46" hidden="1" x14ac:dyDescent="0.25">
      <c r="A957" s="41">
        <f>CASOPOInvCL!T957</f>
        <v>1</v>
      </c>
      <c r="B957" t="str">
        <f>CASOPOInvCL!Z957</f>
        <v>SO17846</v>
      </c>
      <c r="D957" t="s">
        <v>5851</v>
      </c>
      <c r="G957" s="5" t="str">
        <f>CASOPOInvCL!I957</f>
        <v>Ian Trottier</v>
      </c>
      <c r="H957" s="31">
        <f>CASOPOInvCL!U957</f>
        <v>9</v>
      </c>
      <c r="I957" s="31">
        <f>CASOPOInvCL!V957</f>
        <v>2025</v>
      </c>
      <c r="J957" s="5" t="str">
        <f>CASOPOInvCL!AB957</f>
        <v>INV13446</v>
      </c>
      <c r="K957" s="31">
        <f>CASOPOInvCL!W957</f>
        <v>11</v>
      </c>
      <c r="L957" s="31">
        <f>CASOPOInvCL!X957</f>
        <v>2025</v>
      </c>
      <c r="M957">
        <v>2504</v>
      </c>
      <c r="N957" s="5" t="str">
        <f>CASOPOInvCL!AF957</f>
        <v>Cartledge &amp; Associates Inc.</v>
      </c>
      <c r="O957" s="16" t="str">
        <f>CASOPOInvCL!AG957</f>
        <v>USD</v>
      </c>
      <c r="P957" s="16">
        <f>CASOPOInvCL!AH957</f>
        <v>18487.272768219409</v>
      </c>
      <c r="Q957" s="16">
        <f>CASOPOInvCL!AI957</f>
        <v>13347.42</v>
      </c>
      <c r="R957" s="32" t="str">
        <f>CASOPOInvCL!AU957</f>
        <v>Yes</v>
      </c>
      <c r="S957" s="16">
        <f>CASOPOInvCL!AV957</f>
        <v>794</v>
      </c>
      <c r="T957" s="16">
        <f>CASOPOInvCL!AW957</f>
        <v>12553.42</v>
      </c>
      <c r="V957" t="s">
        <v>5800</v>
      </c>
      <c r="Y957" s="29" t="str">
        <f>IFERROR(HLOOKUP(U957,List!$D$2:$H$6,2,FALSE),"")</f>
        <v/>
      </c>
      <c r="Z957" s="29">
        <f>IFERROR(HLOOKUP(V957,List!$D$2:$H$6,3,FALSE),"")</f>
        <v>5.0000000000000001E-3</v>
      </c>
      <c r="AA957" s="29" t="str">
        <f>IFERROR(HLOOKUP(W957,List!$D$2:$H$6,4,FALSE),"")</f>
        <v/>
      </c>
      <c r="AB957" s="29" t="str">
        <f>IFERROR(HLOOKUP(X957,List!$D$2:$H$6,5,FALSE),"")</f>
        <v/>
      </c>
      <c r="AC957" s="12" t="str">
        <f t="shared" si="241"/>
        <v/>
      </c>
      <c r="AD957" s="12">
        <f t="shared" si="242"/>
        <v>62.767099999999999</v>
      </c>
      <c r="AE957" s="12" t="str">
        <f t="shared" si="243"/>
        <v/>
      </c>
      <c r="AF957" s="12" t="str">
        <f t="shared" si="244"/>
        <v/>
      </c>
      <c r="AG957" t="str">
        <f>VLOOKUP(J957,'Receivable Invoice Detail'!$A$1:F3969,6,FALSE)</f>
        <v>[504889] Impeller, 8x6, Denver SRL, Natural Rubber</v>
      </c>
      <c r="AM957" s="12" t="str">
        <f t="shared" si="245"/>
        <v/>
      </c>
      <c r="AN957" s="12">
        <f t="shared" si="246"/>
        <v>62.767099999999999</v>
      </c>
      <c r="AO957" s="12" t="str">
        <f t="shared" si="247"/>
        <v/>
      </c>
      <c r="AP957" s="12" t="str">
        <f t="shared" si="248"/>
        <v/>
      </c>
      <c r="AQ957" s="64">
        <f t="shared" si="254"/>
        <v>2504</v>
      </c>
      <c r="AR957" t="s">
        <v>5931</v>
      </c>
      <c r="AS957" s="12">
        <f t="shared" si="255"/>
        <v>0</v>
      </c>
      <c r="AT957" t="s">
        <v>4388</v>
      </c>
    </row>
    <row r="958" spans="1:46" hidden="1" x14ac:dyDescent="0.25">
      <c r="A958" s="41">
        <f>CASOPOInvCL!T958</f>
        <v>1</v>
      </c>
      <c r="B958" t="str">
        <f>CASOPOInvCL!Z958</f>
        <v>SO17847</v>
      </c>
      <c r="G958" s="5" t="str">
        <f>CASOPOInvCL!I958</f>
        <v>Ian Trottier</v>
      </c>
      <c r="H958" s="31">
        <f>CASOPOInvCL!U958</f>
        <v>9</v>
      </c>
      <c r="I958" s="31">
        <f>CASOPOInvCL!V958</f>
        <v>2025</v>
      </c>
      <c r="J958" s="5" t="str">
        <f>CASOPOInvCL!AB958</f>
        <v>INV13402</v>
      </c>
      <c r="K958" s="31">
        <f>CASOPOInvCL!W958</f>
        <v>11</v>
      </c>
      <c r="L958" s="31">
        <f>CASOPOInvCL!X958</f>
        <v>2025</v>
      </c>
      <c r="M958">
        <v>2504</v>
      </c>
      <c r="N958" s="5" t="str">
        <f>CASOPOInvCL!AF958</f>
        <v>Quality Concrete Inc.</v>
      </c>
      <c r="O958" s="16" t="str">
        <f>CASOPOInvCL!AG958</f>
        <v>CAD</v>
      </c>
      <c r="P958" s="16">
        <f>CASOPOInvCL!AH958</f>
        <v>9790.4500000000007</v>
      </c>
      <c r="Q958" s="16">
        <f>CASOPOInvCL!AI958</f>
        <v>7121.7848396259506</v>
      </c>
      <c r="R958" s="32" t="str">
        <f>CASOPOInvCL!AU958</f>
        <v>Yes</v>
      </c>
      <c r="S958" s="16">
        <f>CASOPOInvCL!AV958</f>
        <v>0</v>
      </c>
      <c r="T958" s="16">
        <f>CASOPOInvCL!AW958</f>
        <v>7121.7848396259506</v>
      </c>
      <c r="Y958" s="29" t="str">
        <f>IFERROR(HLOOKUP(U958,List!$D$2:$H$6,2,FALSE),"")</f>
        <v/>
      </c>
      <c r="Z958" s="29" t="str">
        <f>IFERROR(HLOOKUP(V958,List!$D$2:$H$6,3,FALSE),"")</f>
        <v/>
      </c>
      <c r="AA958" s="29" t="str">
        <f>IFERROR(HLOOKUP(W958,List!$D$2:$H$6,4,FALSE),"")</f>
        <v/>
      </c>
      <c r="AB958" s="29" t="str">
        <f>IFERROR(HLOOKUP(X958,List!$D$2:$H$6,5,FALSE),"")</f>
        <v/>
      </c>
      <c r="AC958" s="12" t="str">
        <f t="shared" si="241"/>
        <v/>
      </c>
      <c r="AD958" s="12" t="str">
        <f t="shared" si="242"/>
        <v/>
      </c>
      <c r="AE958" s="12" t="str">
        <f t="shared" si="243"/>
        <v/>
      </c>
      <c r="AF958" s="12" t="str">
        <f t="shared" si="244"/>
        <v/>
      </c>
      <c r="AG958" t="str">
        <f>VLOOKUP(J958,'Receivable Invoice Detail'!$A$1:F3970,6,FALSE)</f>
        <v>[NSK-22318EAE4  or FAG 22318 EAS M C3  or SKF 22318CC/W33, AC-00-813-261-541] Roller Bearing (Outboard), 8x6-18 &amp; 10x8-21 SRL-C</v>
      </c>
      <c r="AM958" s="12" t="str">
        <f t="shared" si="245"/>
        <v/>
      </c>
      <c r="AN958" s="12" t="str">
        <f t="shared" si="246"/>
        <v/>
      </c>
      <c r="AO958" s="12" t="str">
        <f t="shared" si="247"/>
        <v/>
      </c>
      <c r="AP958" s="12" t="str">
        <f t="shared" si="248"/>
        <v/>
      </c>
      <c r="AQ958" s="64">
        <f t="shared" si="254"/>
        <v>2504</v>
      </c>
      <c r="AS958" s="12">
        <f t="shared" si="255"/>
        <v>0.51950939230391946</v>
      </c>
      <c r="AT958" t="s">
        <v>4388</v>
      </c>
    </row>
    <row r="959" spans="1:46" hidden="1" x14ac:dyDescent="0.25">
      <c r="A959" s="41">
        <f>CASOPOInvCL!T959</f>
        <v>1</v>
      </c>
      <c r="B959" t="str">
        <f>CASOPOInvCL!Z959</f>
        <v>SO17848</v>
      </c>
      <c r="G959" s="5" t="str">
        <f>CASOPOInvCL!I959</f>
        <v>Wilka Nuñez</v>
      </c>
      <c r="H959" s="31">
        <f>CASOPOInvCL!U959</f>
        <v>9</v>
      </c>
      <c r="I959" s="31">
        <f>CASOPOInvCL!V959</f>
        <v>2025</v>
      </c>
      <c r="J959" s="5" t="str">
        <f>CASOPOInvCL!AB959</f>
        <v>INV13435</v>
      </c>
      <c r="K959" s="31" t="str">
        <f>CASOPOInvCL!W959</f>
        <v/>
      </c>
      <c r="L959" s="31" t="str">
        <f>CASOPOInvCL!X959</f>
        <v/>
      </c>
      <c r="M959" t="s">
        <v>5945</v>
      </c>
      <c r="N959" s="5" t="str">
        <f>CASOPOInvCL!AF959</f>
        <v>Manufacture Sling-Choker (Val-d’Or) Ltée</v>
      </c>
      <c r="O959" s="16" t="str">
        <f>CASOPOInvCL!AG959</f>
        <v>CAD</v>
      </c>
      <c r="P959" s="16">
        <f>CASOPOInvCL!AH959</f>
        <v>1401.44</v>
      </c>
      <c r="Q959" s="16">
        <f>CASOPOInvCL!AI959</f>
        <v>1017.6260577932479</v>
      </c>
      <c r="R959" s="32" t="str">
        <f>CASOPOInvCL!AU959</f>
        <v/>
      </c>
      <c r="S959" s="16">
        <f>CASOPOInvCL!AV959</f>
        <v>0</v>
      </c>
      <c r="T959" s="16">
        <f>CASOPOInvCL!AW959</f>
        <v>0</v>
      </c>
      <c r="Y959" s="29" t="str">
        <f>IFERROR(HLOOKUP(U959,List!$D$2:$H$6,2,FALSE),"")</f>
        <v/>
      </c>
      <c r="Z959" s="29" t="str">
        <f>IFERROR(HLOOKUP(V959,List!$D$2:$H$6,3,FALSE),"")</f>
        <v/>
      </c>
      <c r="AA959" s="29" t="str">
        <f>IFERROR(HLOOKUP(W959,List!$D$2:$H$6,4,FALSE),"")</f>
        <v/>
      </c>
      <c r="AB959" s="29" t="str">
        <f>IFERROR(HLOOKUP(X959,List!$D$2:$H$6,5,FALSE),"")</f>
        <v/>
      </c>
      <c r="AC959" s="12" t="str">
        <f t="shared" si="241"/>
        <v/>
      </c>
      <c r="AD959" s="12" t="str">
        <f t="shared" si="242"/>
        <v/>
      </c>
      <c r="AE959" s="12" t="str">
        <f t="shared" si="243"/>
        <v/>
      </c>
      <c r="AF959" s="12" t="str">
        <f t="shared" si="244"/>
        <v/>
      </c>
      <c r="AG959" t="e">
        <f>VLOOKUP(J959,'Receivable Invoice Detail'!$A$1:F3971,6,FALSE)</f>
        <v>#N/A</v>
      </c>
      <c r="AM959" s="12" t="str">
        <f t="shared" si="245"/>
        <v/>
      </c>
      <c r="AN959" s="12" t="str">
        <f t="shared" si="246"/>
        <v/>
      </c>
      <c r="AO959" s="12" t="str">
        <f t="shared" si="247"/>
        <v/>
      </c>
      <c r="AP959" s="12" t="str">
        <f t="shared" si="248"/>
        <v/>
      </c>
      <c r="AQ959" s="64" t="str">
        <f t="shared" si="254"/>
        <v/>
      </c>
      <c r="AS959" s="12">
        <f t="shared" si="255"/>
        <v>7.7905089563273817</v>
      </c>
      <c r="AT959" t="s">
        <v>5945</v>
      </c>
    </row>
    <row r="960" spans="1:46" hidden="1" x14ac:dyDescent="0.25">
      <c r="A960" s="41">
        <f>CASOPOInvCL!T960</f>
        <v>1</v>
      </c>
      <c r="B960" t="str">
        <f>CASOPOInvCL!Z960</f>
        <v>SO17849</v>
      </c>
      <c r="G960" s="5" t="str">
        <f>CASOPOInvCL!I960</f>
        <v>Carlos Leon</v>
      </c>
      <c r="H960" s="31">
        <f>CASOPOInvCL!U960</f>
        <v>9</v>
      </c>
      <c r="I960" s="31">
        <f>CASOPOInvCL!V960</f>
        <v>2025</v>
      </c>
      <c r="J960" s="5" t="str">
        <f>CASOPOInvCL!AB960</f>
        <v>INV13685</v>
      </c>
      <c r="K960" s="31" t="str">
        <f>CASOPOInvCL!W960</f>
        <v/>
      </c>
      <c r="L960" s="31" t="str">
        <f>CASOPOInvCL!X960</f>
        <v/>
      </c>
      <c r="M960" t="s">
        <v>5945</v>
      </c>
      <c r="N960" s="5" t="str">
        <f>CASOPOInvCL!AF960</f>
        <v>Dynapro Pumps México S de RL de CV</v>
      </c>
      <c r="O960" s="16" t="str">
        <f>CASOPOInvCL!AG960</f>
        <v>USD</v>
      </c>
      <c r="P960" s="16">
        <f>CASOPOInvCL!AH960</f>
        <v>2659.3576672481472</v>
      </c>
      <c r="Q960" s="16">
        <f>CASOPOInvCL!AI960</f>
        <v>1920</v>
      </c>
      <c r="R960" s="32" t="str">
        <f>CASOPOInvCL!AU960</f>
        <v/>
      </c>
      <c r="S960" s="16">
        <f>CASOPOInvCL!AV960</f>
        <v>0</v>
      </c>
      <c r="T960" s="16">
        <f>CASOPOInvCL!AW960</f>
        <v>0</v>
      </c>
      <c r="Y960" s="29" t="str">
        <f>IFERROR(HLOOKUP(U960,List!$D$2:$H$6,2,FALSE),"")</f>
        <v/>
      </c>
      <c r="Z960" s="29" t="str">
        <f>IFERROR(HLOOKUP(V960,List!$D$2:$H$6,3,FALSE),"")</f>
        <v/>
      </c>
      <c r="AA960" s="29" t="str">
        <f>IFERROR(HLOOKUP(W960,List!$D$2:$H$6,4,FALSE),"")</f>
        <v/>
      </c>
      <c r="AB960" s="29" t="str">
        <f>IFERROR(HLOOKUP(X960,List!$D$2:$H$6,5,FALSE),"")</f>
        <v/>
      </c>
      <c r="AC960" s="12" t="str">
        <f t="shared" si="241"/>
        <v/>
      </c>
      <c r="AD960" s="12" t="str">
        <f t="shared" si="242"/>
        <v/>
      </c>
      <c r="AE960" s="12" t="str">
        <f t="shared" si="243"/>
        <v/>
      </c>
      <c r="AF960" s="12" t="str">
        <f t="shared" si="244"/>
        <v/>
      </c>
      <c r="AG960" t="str">
        <f>VLOOKUP(J960,'Receivable Invoice Detail'!$A$1:F3972,6,FALSE)</f>
        <v>[10046/5001] Suction Bell Bearing, 12RJHC-8, Teflon</v>
      </c>
      <c r="AM960" s="12" t="str">
        <f t="shared" si="245"/>
        <v/>
      </c>
      <c r="AN960" s="12" t="str">
        <f t="shared" si="246"/>
        <v/>
      </c>
      <c r="AO960" s="12" t="str">
        <f t="shared" si="247"/>
        <v/>
      </c>
      <c r="AP960" s="12" t="str">
        <f t="shared" si="248"/>
        <v/>
      </c>
      <c r="AQ960" s="64" t="str">
        <f t="shared" si="254"/>
        <v/>
      </c>
      <c r="AR960" t="s">
        <v>5940</v>
      </c>
      <c r="AS960" s="12">
        <f t="shared" si="255"/>
        <v>3.8632633949174409</v>
      </c>
      <c r="AT960" t="s">
        <v>5940</v>
      </c>
    </row>
    <row r="961" spans="1:46" hidden="1" x14ac:dyDescent="0.25">
      <c r="A961" s="41">
        <f>CASOPOInvCL!T961</f>
        <v>1</v>
      </c>
      <c r="B961" t="str">
        <f>CASOPOInvCL!Z961</f>
        <v>SO17850</v>
      </c>
      <c r="D961" t="s">
        <v>5851</v>
      </c>
      <c r="G961" s="5" t="str">
        <f>CASOPOInvCL!I961</f>
        <v>Alexis Gil Lamadrid</v>
      </c>
      <c r="H961" s="31">
        <f>CASOPOInvCL!U961</f>
        <v>9</v>
      </c>
      <c r="I961" s="31">
        <f>CASOPOInvCL!V961</f>
        <v>2025</v>
      </c>
      <c r="J961" s="5" t="str">
        <f>CASOPOInvCL!AB961</f>
        <v>INV13418</v>
      </c>
      <c r="K961" s="31">
        <f>CASOPOInvCL!W961</f>
        <v>11</v>
      </c>
      <c r="L961" s="31">
        <f>CASOPOInvCL!X961</f>
        <v>2025</v>
      </c>
      <c r="M961">
        <v>2504</v>
      </c>
      <c r="N961" s="5" t="str">
        <f>CASOPOInvCL!AF961</f>
        <v>Resolute Forest Products - Saint-Felicien</v>
      </c>
      <c r="O961" s="16" t="str">
        <f>CASOPOInvCL!AG961</f>
        <v>CAD</v>
      </c>
      <c r="P961" s="16">
        <f>CASOPOInvCL!AH961</f>
        <v>103.9</v>
      </c>
      <c r="Q961" s="16">
        <f>CASOPOInvCL!AI961</f>
        <v>75.297926050597908</v>
      </c>
      <c r="R961" s="32" t="str">
        <f>CASOPOInvCL!AU961</f>
        <v>Yes</v>
      </c>
      <c r="S961" s="16">
        <f>CASOPOInvCL!AV961</f>
        <v>0</v>
      </c>
      <c r="T961" s="16">
        <f>CASOPOInvCL!AW961</f>
        <v>75.297926050597908</v>
      </c>
      <c r="V961" t="s">
        <v>5800</v>
      </c>
      <c r="Y961" s="29" t="str">
        <f>IFERROR(HLOOKUP(U961,List!$D$2:$H$6,2,FALSE),"")</f>
        <v/>
      </c>
      <c r="Z961" s="29">
        <f>IFERROR(HLOOKUP(V961,List!$D$2:$H$6,3,FALSE),"")</f>
        <v>5.0000000000000001E-3</v>
      </c>
      <c r="AA961" s="29" t="str">
        <f>IFERROR(HLOOKUP(W961,List!$D$2:$H$6,4,FALSE),"")</f>
        <v/>
      </c>
      <c r="AB961" s="29" t="str">
        <f>IFERROR(HLOOKUP(X961,List!$D$2:$H$6,5,FALSE),"")</f>
        <v/>
      </c>
      <c r="AC961" s="12" t="str">
        <f t="shared" si="241"/>
        <v/>
      </c>
      <c r="AD961" s="12">
        <f t="shared" si="242"/>
        <v>0.37648963025298954</v>
      </c>
      <c r="AE961" s="12" t="str">
        <f t="shared" si="243"/>
        <v/>
      </c>
      <c r="AF961" s="12" t="str">
        <f t="shared" si="244"/>
        <v/>
      </c>
      <c r="AG961" t="str">
        <f>VLOOKUP(J961,'Receivable Invoice Detail'!$A$1:F3973,6,FALSE)</f>
        <v>[52-108-475-015] Deflector (Inboard), Allis-Chalmers PWO, Group 3</v>
      </c>
      <c r="AM961" s="12" t="str">
        <f t="shared" si="245"/>
        <v/>
      </c>
      <c r="AN961" s="12">
        <f t="shared" si="246"/>
        <v>0.37648963025298954</v>
      </c>
      <c r="AO961" s="12" t="str">
        <f t="shared" si="247"/>
        <v/>
      </c>
      <c r="AP961" s="12" t="str">
        <f t="shared" si="248"/>
        <v/>
      </c>
      <c r="AQ961" s="64">
        <f t="shared" si="254"/>
        <v>2504</v>
      </c>
      <c r="AR961" t="s">
        <v>5931</v>
      </c>
      <c r="AS961" s="12">
        <f t="shared" si="255"/>
        <v>0</v>
      </c>
      <c r="AT961" t="s">
        <v>4388</v>
      </c>
    </row>
    <row r="962" spans="1:46" hidden="1" x14ac:dyDescent="0.25">
      <c r="A962" s="41">
        <f>CASOPOInvCL!T962</f>
        <v>0</v>
      </c>
      <c r="B962" t="str">
        <f>CASOPOInvCL!Z962</f>
        <v>SO17851</v>
      </c>
      <c r="G962" s="5" t="str">
        <f>CASOPOInvCL!I962</f>
        <v>Amanda Qiao</v>
      </c>
      <c r="H962" s="31">
        <f>CASOPOInvCL!U962</f>
        <v>9</v>
      </c>
      <c r="I962" s="31">
        <f>CASOPOInvCL!V962</f>
        <v>2025</v>
      </c>
      <c r="J962" s="5" t="str">
        <f>CASOPOInvCL!AB962</f>
        <v>No Inv</v>
      </c>
      <c r="K962" s="31" t="str">
        <f>CASOPOInvCL!W962</f>
        <v/>
      </c>
      <c r="L962" s="31" t="str">
        <f>CASOPOInvCL!X962</f>
        <v/>
      </c>
      <c r="N962" s="5" t="str">
        <f>CASOPOInvCL!AF962</f>
        <v>Zijin Mining - Rosebel Goldmines N.V.</v>
      </c>
      <c r="O962" s="16" t="str">
        <f>CASOPOInvCL!AG962</f>
        <v>USD</v>
      </c>
      <c r="P962" s="16">
        <f>CASOPOInvCL!AH962</f>
        <v>72398.505917616654</v>
      </c>
      <c r="Q962" s="16">
        <f>CASOPOInvCL!AI962</f>
        <v>52727.76</v>
      </c>
      <c r="R962" s="32" t="str">
        <f>CASOPOInvCL!AU962</f>
        <v/>
      </c>
      <c r="S962" s="16">
        <f>CASOPOInvCL!AV962</f>
        <v>0</v>
      </c>
      <c r="T962" s="16">
        <f>CASOPOInvCL!AW962</f>
        <v>0</v>
      </c>
      <c r="Y962" s="29" t="str">
        <f>IFERROR(HLOOKUP(U962,List!$D$2:$H$6,2,FALSE),"")</f>
        <v/>
      </c>
      <c r="Z962" s="29" t="str">
        <f>IFERROR(HLOOKUP(V962,List!$D$2:$H$6,3,FALSE),"")</f>
        <v/>
      </c>
      <c r="AA962" s="29" t="str">
        <f>IFERROR(HLOOKUP(W962,List!$D$2:$H$6,4,FALSE),"")</f>
        <v/>
      </c>
      <c r="AB962" s="29" t="str">
        <f>IFERROR(HLOOKUP(X962,List!$D$2:$H$6,5,FALSE),"")</f>
        <v/>
      </c>
      <c r="AC962" s="12" t="str">
        <f t="shared" si="241"/>
        <v/>
      </c>
      <c r="AD962" s="12" t="str">
        <f t="shared" si="242"/>
        <v/>
      </c>
      <c r="AE962" s="12" t="str">
        <f t="shared" si="243"/>
        <v/>
      </c>
      <c r="AF962" s="12" t="str">
        <f t="shared" si="244"/>
        <v/>
      </c>
      <c r="AG962" t="e">
        <f>VLOOKUP(J962,'Receivable Invoice Detail'!$A$1:F3974,6,FALSE)</f>
        <v>#N/A</v>
      </c>
      <c r="AM962" s="12" t="str">
        <f t="shared" si="245"/>
        <v/>
      </c>
      <c r="AN962" s="12" t="str">
        <f t="shared" si="246"/>
        <v/>
      </c>
      <c r="AO962" s="12" t="str">
        <f t="shared" si="247"/>
        <v/>
      </c>
      <c r="AP962" s="12" t="str">
        <f t="shared" si="248"/>
        <v/>
      </c>
      <c r="AQ962" s="64"/>
      <c r="AS962" s="12">
        <f t="shared" si="255"/>
        <v>3.0464802651949983</v>
      </c>
    </row>
    <row r="963" spans="1:46" hidden="1" x14ac:dyDescent="0.25">
      <c r="A963" s="41">
        <f>CASOPOInvCL!T963</f>
        <v>1</v>
      </c>
      <c r="B963" t="str">
        <f>CASOPOInvCL!Z963</f>
        <v>SO17854</v>
      </c>
      <c r="D963" t="s">
        <v>5915</v>
      </c>
      <c r="G963" s="5" t="str">
        <f>CASOPOInvCL!I963</f>
        <v>Wilka Nuñez</v>
      </c>
      <c r="H963" s="31">
        <f>CASOPOInvCL!U963</f>
        <v>9</v>
      </c>
      <c r="I963" s="31">
        <f>CASOPOInvCL!V963</f>
        <v>2025</v>
      </c>
      <c r="J963" s="5" t="str">
        <f>CASOPOInvCL!AB963</f>
        <v>INV13472</v>
      </c>
      <c r="K963" s="31">
        <f>CASOPOInvCL!W963</f>
        <v>11</v>
      </c>
      <c r="L963" s="31">
        <f>CASOPOInvCL!X963</f>
        <v>2025</v>
      </c>
      <c r="M963">
        <v>2504</v>
      </c>
      <c r="N963" s="5" t="str">
        <f>CASOPOInvCL!AF963</f>
        <v>Canadian Industrial Pumps Ltd, Canadian Industrial Pumps Ltd</v>
      </c>
      <c r="O963" s="16" t="str">
        <f>CASOPOInvCL!AG963</f>
        <v>CAD</v>
      </c>
      <c r="P963" s="16">
        <f>CASOPOInvCL!AH963</f>
        <v>2779.84</v>
      </c>
      <c r="Q963" s="16">
        <f>CASOPOInvCL!AI963</f>
        <v>2000.5422221882056</v>
      </c>
      <c r="R963" s="32" t="str">
        <f>CASOPOInvCL!AU963</f>
        <v>Yes</v>
      </c>
      <c r="S963" s="16">
        <f>CASOPOInvCL!AV963</f>
        <v>0</v>
      </c>
      <c r="T963" s="16">
        <f>CASOPOInvCL!AW963</f>
        <v>2000.5422221882056</v>
      </c>
      <c r="V963" t="s">
        <v>5800</v>
      </c>
      <c r="Y963" s="29" t="str">
        <f>IFERROR(HLOOKUP(U963,List!$D$2:$H$6,2,FALSE),"")</f>
        <v/>
      </c>
      <c r="Z963" s="29">
        <f>IFERROR(HLOOKUP(V963,List!$D$2:$H$6,3,FALSE),"")</f>
        <v>5.0000000000000001E-3</v>
      </c>
      <c r="AA963" s="29" t="str">
        <f>IFERROR(HLOOKUP(W963,List!$D$2:$H$6,4,FALSE),"")</f>
        <v/>
      </c>
      <c r="AB963" s="29" t="str">
        <f>IFERROR(HLOOKUP(X963,List!$D$2:$H$6,5,FALSE),"")</f>
        <v/>
      </c>
      <c r="AC963" s="12" t="str">
        <f t="shared" ref="AC963:AC1026" si="256">IFERROR(Y963*$T963,"")</f>
        <v/>
      </c>
      <c r="AD963" s="12">
        <f t="shared" ref="AD963:AD1026" si="257">IFERROR(Z963*$T963,"")</f>
        <v>10.002711110941028</v>
      </c>
      <c r="AE963" s="12" t="str">
        <f t="shared" ref="AE963:AE1026" si="258">IFERROR(AA963*$T963,"")</f>
        <v/>
      </c>
      <c r="AF963" s="12" t="str">
        <f t="shared" ref="AF963:AF1026" si="259">IFERROR(AB963*$T963,"")</f>
        <v/>
      </c>
      <c r="AG963" t="str">
        <f>VLOOKUP(J963,'Receivable Invoice Detail'!$A$1:F3975,6,FALSE)</f>
        <v>[AC-98-236-104-004] Shaft Sleeve, 8x6-18 &amp; 10x8-21 SRL-C, 420SS Heat Treated, Hardened</v>
      </c>
      <c r="AM963" s="12" t="str">
        <f t="shared" ref="AM963:AM1026" si="260">IF(AI963="",AC963,0)</f>
        <v/>
      </c>
      <c r="AN963" s="12">
        <f t="shared" ref="AN963:AN1026" si="261">IF(AJ963="",AD963,0)</f>
        <v>10.002711110941028</v>
      </c>
      <c r="AO963" s="12" t="str">
        <f t="shared" ref="AO963:AO1026" si="262">IF(AK963="",AE963,0)</f>
        <v/>
      </c>
      <c r="AP963" s="12" t="str">
        <f t="shared" ref="AP963:AP1026" si="263">IF(AL963="",AF963,0)</f>
        <v/>
      </c>
      <c r="AQ963" s="64">
        <f t="shared" si="254"/>
        <v>2504</v>
      </c>
      <c r="AR963" t="s">
        <v>5931</v>
      </c>
      <c r="AS963" s="12">
        <f t="shared" si="255"/>
        <v>69.40679999999999</v>
      </c>
      <c r="AT963" t="s">
        <v>4388</v>
      </c>
    </row>
    <row r="964" spans="1:46" hidden="1" x14ac:dyDescent="0.25">
      <c r="A964" s="41">
        <f>CASOPOInvCL!T964</f>
        <v>0</v>
      </c>
      <c r="B964" t="str">
        <f>CASOPOInvCL!Z964</f>
        <v>SO17856</v>
      </c>
      <c r="G964" s="5" t="str">
        <f>CASOPOInvCL!I964</f>
        <v>Ian Trottier</v>
      </c>
      <c r="H964" s="31">
        <f>CASOPOInvCL!U964</f>
        <v>9</v>
      </c>
      <c r="I964" s="31">
        <f>CASOPOInvCL!V964</f>
        <v>2025</v>
      </c>
      <c r="J964" s="5" t="str">
        <f>CASOPOInvCL!AB964</f>
        <v>No Inv</v>
      </c>
      <c r="K964" s="31" t="str">
        <f>CASOPOInvCL!W964</f>
        <v/>
      </c>
      <c r="L964" s="31" t="str">
        <f>CASOPOInvCL!X964</f>
        <v/>
      </c>
      <c r="M964" t="s">
        <v>5945</v>
      </c>
      <c r="N964" s="5" t="str">
        <f>CASOPOInvCL!AF964</f>
        <v>Wesdome Gold Mines Ltd - Eagle River Mine</v>
      </c>
      <c r="O964" s="16" t="str">
        <f>CASOPOInvCL!AG964</f>
        <v>CAD</v>
      </c>
      <c r="P964" s="16">
        <f>CASOPOInvCL!AH964</f>
        <v>9701.6</v>
      </c>
      <c r="Q964" s="16">
        <f>CASOPOInvCL!AI964</f>
        <v>6977.1067548554856</v>
      </c>
      <c r="R964" s="32" t="str">
        <f>CASOPOInvCL!AU964</f>
        <v/>
      </c>
      <c r="S964" s="16">
        <f>CASOPOInvCL!AV964</f>
        <v>0</v>
      </c>
      <c r="T964" s="16">
        <f>CASOPOInvCL!AW964</f>
        <v>0</v>
      </c>
      <c r="Y964" s="29" t="str">
        <f>IFERROR(HLOOKUP(U964,List!$D$2:$H$6,2,FALSE),"")</f>
        <v/>
      </c>
      <c r="Z964" s="29" t="str">
        <f>IFERROR(HLOOKUP(V964,List!$D$2:$H$6,3,FALSE),"")</f>
        <v/>
      </c>
      <c r="AA964" s="29" t="str">
        <f>IFERROR(HLOOKUP(W964,List!$D$2:$H$6,4,FALSE),"")</f>
        <v/>
      </c>
      <c r="AB964" s="29" t="str">
        <f>IFERROR(HLOOKUP(X964,List!$D$2:$H$6,5,FALSE),"")</f>
        <v/>
      </c>
      <c r="AC964" s="12" t="str">
        <f t="shared" si="256"/>
        <v/>
      </c>
      <c r="AD964" s="12" t="str">
        <f t="shared" si="257"/>
        <v/>
      </c>
      <c r="AE964" s="12" t="str">
        <f t="shared" si="258"/>
        <v/>
      </c>
      <c r="AF964" s="12" t="str">
        <f t="shared" si="259"/>
        <v/>
      </c>
      <c r="AG964" t="e">
        <f>VLOOKUP(J964,'Receivable Invoice Detail'!$A$1:F3976,6,FALSE)</f>
        <v>#N/A</v>
      </c>
      <c r="AM964" s="12" t="str">
        <f t="shared" si="260"/>
        <v/>
      </c>
      <c r="AN964" s="12" t="str">
        <f t="shared" si="261"/>
        <v/>
      </c>
      <c r="AO964" s="12" t="str">
        <f t="shared" si="262"/>
        <v/>
      </c>
      <c r="AP964" s="12" t="str">
        <f t="shared" si="263"/>
        <v/>
      </c>
      <c r="AQ964" s="64" t="str">
        <f t="shared" si="254"/>
        <v/>
      </c>
      <c r="AS964" s="12">
        <f t="shared" si="255"/>
        <v>188.3013</v>
      </c>
      <c r="AT964" t="s">
        <v>5945</v>
      </c>
    </row>
    <row r="965" spans="1:46" hidden="1" x14ac:dyDescent="0.25">
      <c r="A965" s="41">
        <f>CASOPOInvCL!T965</f>
        <v>1</v>
      </c>
      <c r="B965" t="str">
        <f>CASOPOInvCL!Z965</f>
        <v>SO17858</v>
      </c>
      <c r="D965" t="s">
        <v>5915</v>
      </c>
      <c r="G965" s="5" t="str">
        <f>CASOPOInvCL!I965</f>
        <v>Wilka Nuñez</v>
      </c>
      <c r="H965" s="31">
        <f>CASOPOInvCL!U965</f>
        <v>9</v>
      </c>
      <c r="I965" s="31">
        <f>CASOPOInvCL!V965</f>
        <v>2025</v>
      </c>
      <c r="J965" s="5" t="str">
        <f>CASOPOInvCL!AB965</f>
        <v>INV13420</v>
      </c>
      <c r="K965" s="31">
        <f>CASOPOInvCL!W965</f>
        <v>10</v>
      </c>
      <c r="L965" s="31">
        <f>CASOPOInvCL!X965</f>
        <v>2025</v>
      </c>
      <c r="M965">
        <v>2504</v>
      </c>
      <c r="N965" s="5" t="str">
        <f>CASOPOInvCL!AF965</f>
        <v>Wajax Limited - Noranda</v>
      </c>
      <c r="O965" s="16" t="str">
        <f>CASOPOInvCL!AG965</f>
        <v>CAD</v>
      </c>
      <c r="P965" s="16">
        <f>CASOPOInvCL!AH965</f>
        <v>116.98</v>
      </c>
      <c r="Q965" s="16">
        <f>CASOPOInvCL!AI965</f>
        <v>85.003520911749789</v>
      </c>
      <c r="R965" s="32" t="str">
        <f>CASOPOInvCL!AU965</f>
        <v>Yes</v>
      </c>
      <c r="S965" s="16">
        <f>CASOPOInvCL!AV965</f>
        <v>0</v>
      </c>
      <c r="T965" s="16">
        <f>CASOPOInvCL!AW965</f>
        <v>85.003520911749789</v>
      </c>
      <c r="V965" t="s">
        <v>5800</v>
      </c>
      <c r="Y965" s="29" t="str">
        <f>IFERROR(HLOOKUP(U965,List!$D$2:$H$6,2,FALSE),"")</f>
        <v/>
      </c>
      <c r="Z965" s="29">
        <f>IFERROR(HLOOKUP(V965,List!$D$2:$H$6,3,FALSE),"")</f>
        <v>5.0000000000000001E-3</v>
      </c>
      <c r="AA965" s="29" t="str">
        <f>IFERROR(HLOOKUP(W965,List!$D$2:$H$6,4,FALSE),"")</f>
        <v/>
      </c>
      <c r="AB965" s="29" t="str">
        <f>IFERROR(HLOOKUP(X965,List!$D$2:$H$6,5,FALSE),"")</f>
        <v/>
      </c>
      <c r="AC965" s="12" t="str">
        <f t="shared" si="256"/>
        <v/>
      </c>
      <c r="AD965" s="12">
        <f t="shared" si="257"/>
        <v>0.42501760455874893</v>
      </c>
      <c r="AE965" s="12" t="str">
        <f t="shared" si="258"/>
        <v/>
      </c>
      <c r="AF965" s="12" t="str">
        <f t="shared" si="259"/>
        <v/>
      </c>
      <c r="AG965" t="str">
        <f>VLOOKUP(J965,'Receivable Invoice Detail'!$A$1:F3977,6,FALSE)</f>
        <v>[GO351-9607-NSN, G-70782 49 5127] Casing Gasket, 15", 3196 XLT</v>
      </c>
      <c r="AM965" s="12" t="str">
        <f t="shared" si="260"/>
        <v/>
      </c>
      <c r="AN965" s="12">
        <f t="shared" si="261"/>
        <v>0.42501760455874893</v>
      </c>
      <c r="AO965" s="12" t="str">
        <f t="shared" si="262"/>
        <v/>
      </c>
      <c r="AP965" s="12" t="str">
        <f t="shared" si="263"/>
        <v/>
      </c>
      <c r="AQ965" s="64">
        <f t="shared" si="254"/>
        <v>2504</v>
      </c>
      <c r="AR965" t="s">
        <v>5931</v>
      </c>
      <c r="AS965" s="12">
        <f t="shared" si="255"/>
        <v>106.82677259438925</v>
      </c>
      <c r="AT965" t="s">
        <v>4388</v>
      </c>
    </row>
    <row r="966" spans="1:46" hidden="1" x14ac:dyDescent="0.25">
      <c r="A966" s="41">
        <f>CASOPOInvCL!T966</f>
        <v>1</v>
      </c>
      <c r="B966" t="str">
        <f>CASOPOInvCL!Z966</f>
        <v>SO17860</v>
      </c>
      <c r="G966" s="5" t="str">
        <f>CASOPOInvCL!I966</f>
        <v>Ian Trottier</v>
      </c>
      <c r="H966" s="31">
        <f>CASOPOInvCL!U966</f>
        <v>9</v>
      </c>
      <c r="I966" s="31">
        <f>CASOPOInvCL!V966</f>
        <v>2025</v>
      </c>
      <c r="J966" s="5" t="str">
        <f>CASOPOInvCL!AB966</f>
        <v>INV13412</v>
      </c>
      <c r="K966" s="31">
        <f>CASOPOInvCL!W966</f>
        <v>10</v>
      </c>
      <c r="L966" s="31">
        <f>CASOPOInvCL!X966</f>
        <v>2025</v>
      </c>
      <c r="M966">
        <v>2504</v>
      </c>
      <c r="N966" s="5" t="str">
        <f>CASOPOInvCL!AF966</f>
        <v>Les Pompes du St-Laurent Inc.</v>
      </c>
      <c r="O966" s="16" t="str">
        <f>CASOPOInvCL!AG966</f>
        <v>CAD</v>
      </c>
      <c r="P966" s="16">
        <f>CASOPOInvCL!AH966</f>
        <v>2894.78</v>
      </c>
      <c r="Q966" s="16">
        <f>CASOPOInvCL!AI966</f>
        <v>2105.7255098644509</v>
      </c>
      <c r="R966" s="32" t="str">
        <f>CASOPOInvCL!AU966</f>
        <v>Yes</v>
      </c>
      <c r="S966" s="16">
        <f>CASOPOInvCL!AV966</f>
        <v>0</v>
      </c>
      <c r="T966" s="16">
        <f>CASOPOInvCL!AW966</f>
        <v>2105.7255098644509</v>
      </c>
      <c r="Y966" s="29" t="str">
        <f>IFERROR(HLOOKUP(U966,List!$D$2:$H$6,2,FALSE),"")</f>
        <v/>
      </c>
      <c r="Z966" s="29" t="str">
        <f>IFERROR(HLOOKUP(V966,List!$D$2:$H$6,3,FALSE),"")</f>
        <v/>
      </c>
      <c r="AA966" s="29" t="str">
        <f>IFERROR(HLOOKUP(W966,List!$D$2:$H$6,4,FALSE),"")</f>
        <v/>
      </c>
      <c r="AB966" s="29" t="str">
        <f>IFERROR(HLOOKUP(X966,List!$D$2:$H$6,5,FALSE),"")</f>
        <v/>
      </c>
      <c r="AC966" s="12" t="str">
        <f t="shared" si="256"/>
        <v/>
      </c>
      <c r="AD966" s="12" t="str">
        <f t="shared" si="257"/>
        <v/>
      </c>
      <c r="AE966" s="12" t="str">
        <f t="shared" si="258"/>
        <v/>
      </c>
      <c r="AF966" s="12" t="str">
        <f t="shared" si="259"/>
        <v/>
      </c>
      <c r="AG966" t="str">
        <f>VLOOKUP(J966,'Receivable Invoice Detail'!$A$1:F3978,6,FALSE)</f>
        <v>[AC-98-331-606-808] Suction Side Plate, 8x4(5)(6)-17, PWO, CD4MCu</v>
      </c>
      <c r="AM966" s="12" t="str">
        <f t="shared" si="260"/>
        <v/>
      </c>
      <c r="AN966" s="12" t="str">
        <f t="shared" si="261"/>
        <v/>
      </c>
      <c r="AO966" s="12" t="str">
        <f t="shared" si="262"/>
        <v/>
      </c>
      <c r="AP966" s="12" t="str">
        <f t="shared" si="263"/>
        <v/>
      </c>
      <c r="AQ966" s="64">
        <f t="shared" si="254"/>
        <v>2504</v>
      </c>
      <c r="AS966" s="12">
        <f t="shared" si="255"/>
        <v>0</v>
      </c>
      <c r="AT966" t="s">
        <v>4388</v>
      </c>
    </row>
    <row r="967" spans="1:46" hidden="1" x14ac:dyDescent="0.25">
      <c r="A967" s="41">
        <f>CASOPOInvCL!T967</f>
        <v>1</v>
      </c>
      <c r="B967" t="str">
        <f>CASOPOInvCL!Z967</f>
        <v>SO17862</v>
      </c>
      <c r="E967" t="s">
        <v>5848</v>
      </c>
      <c r="G967" s="5" t="str">
        <f>CASOPOInvCL!I967</f>
        <v>Leriel Reyes</v>
      </c>
      <c r="H967" s="31">
        <f>CASOPOInvCL!U967</f>
        <v>9</v>
      </c>
      <c r="I967" s="31">
        <f>CASOPOInvCL!V967</f>
        <v>2025</v>
      </c>
      <c r="J967" s="5" t="str">
        <f>CASOPOInvCL!AB967</f>
        <v>INV13538</v>
      </c>
      <c r="K967" s="31">
        <f>CASOPOInvCL!W967</f>
        <v>11</v>
      </c>
      <c r="L967" s="31">
        <f>CASOPOInvCL!X967</f>
        <v>2025</v>
      </c>
      <c r="M967">
        <v>2504</v>
      </c>
      <c r="N967" s="5" t="str">
        <f>CASOPOInvCL!AF967</f>
        <v>Tantalum Mining Corporation of Canada</v>
      </c>
      <c r="O967" s="16" t="str">
        <f>CASOPOInvCL!AG967</f>
        <v>CAD</v>
      </c>
      <c r="P967" s="16">
        <f>CASOPOInvCL!AH967</f>
        <v>7609.56</v>
      </c>
      <c r="Q967" s="16">
        <f>CASOPOInvCL!AI967</f>
        <v>5454.9585077090678</v>
      </c>
      <c r="R967" s="32" t="str">
        <f>CASOPOInvCL!AU967</f>
        <v>Yes</v>
      </c>
      <c r="S967" s="16">
        <f>CASOPOInvCL!AV967</f>
        <v>0</v>
      </c>
      <c r="T967" s="16">
        <f>CASOPOInvCL!AW967</f>
        <v>5454.9585077090678</v>
      </c>
      <c r="W967" t="s">
        <v>5800</v>
      </c>
      <c r="Y967" s="29" t="str">
        <f>IFERROR(HLOOKUP(U967,List!$D$2:$H$6,2,FALSE),"")</f>
        <v/>
      </c>
      <c r="Z967" s="29" t="str">
        <f>IFERROR(HLOOKUP(V967,List!$D$2:$H$6,3,FALSE),"")</f>
        <v/>
      </c>
      <c r="AA967" s="29">
        <f>IFERROR(HLOOKUP(W967,List!$D$2:$H$6,4,FALSE),"")</f>
        <v>0.01</v>
      </c>
      <c r="AB967" s="29" t="str">
        <f>IFERROR(HLOOKUP(X967,List!$D$2:$H$6,5,FALSE),"")</f>
        <v/>
      </c>
      <c r="AC967" s="12" t="str">
        <f t="shared" si="256"/>
        <v/>
      </c>
      <c r="AD967" s="12" t="str">
        <f t="shared" si="257"/>
        <v/>
      </c>
      <c r="AE967" s="12">
        <f t="shared" si="258"/>
        <v>54.549585077090683</v>
      </c>
      <c r="AF967" s="12" t="str">
        <f t="shared" si="259"/>
        <v/>
      </c>
      <c r="AG967" t="str">
        <f>VLOOKUP(J967,'Receivable Invoice Detail'!$A$1:F3979,6,FALSE)</f>
        <v>[10SVR50] Repair Stacker Kit, Goulds 10SV, 5-Stage, Stainless Steel</v>
      </c>
      <c r="AK967">
        <v>2504</v>
      </c>
      <c r="AM967" s="12" t="str">
        <f t="shared" si="260"/>
        <v/>
      </c>
      <c r="AN967" s="12" t="str">
        <f t="shared" si="261"/>
        <v/>
      </c>
      <c r="AO967" s="12">
        <f t="shared" si="262"/>
        <v>0</v>
      </c>
      <c r="AP967" s="12" t="str">
        <f t="shared" si="263"/>
        <v/>
      </c>
      <c r="AQ967" s="64">
        <f t="shared" si="254"/>
        <v>2504</v>
      </c>
      <c r="AS967" s="12">
        <f t="shared" si="255"/>
        <v>0</v>
      </c>
      <c r="AT967" t="s">
        <v>4388</v>
      </c>
    </row>
    <row r="968" spans="1:46" hidden="1" x14ac:dyDescent="0.25">
      <c r="A968" s="41">
        <f>CASOPOInvCL!T968</f>
        <v>1</v>
      </c>
      <c r="B968" t="str">
        <f>CASOPOInvCL!Z968</f>
        <v>SO17863</v>
      </c>
      <c r="G968" s="5" t="str">
        <f>CASOPOInvCL!I968</f>
        <v>Carlos Leon</v>
      </c>
      <c r="H968" s="31">
        <f>CASOPOInvCL!U968</f>
        <v>9</v>
      </c>
      <c r="I968" s="31">
        <f>CASOPOInvCL!V968</f>
        <v>2025</v>
      </c>
      <c r="J968" s="5" t="str">
        <f>CASOPOInvCL!AB968</f>
        <v>INV13684</v>
      </c>
      <c r="K968" s="31" t="str">
        <f>CASOPOInvCL!W968</f>
        <v/>
      </c>
      <c r="L968" s="31" t="str">
        <f>CASOPOInvCL!X968</f>
        <v/>
      </c>
      <c r="M968" t="s">
        <v>5945</v>
      </c>
      <c r="N968" s="5" t="str">
        <f>CASOPOInvCL!AF968</f>
        <v>Dynapro Pumps México S de RL de CV</v>
      </c>
      <c r="O968" s="16" t="str">
        <f>CASOPOInvCL!AG968</f>
        <v>USD</v>
      </c>
      <c r="P968" s="16">
        <f>CASOPOInvCL!AH968</f>
        <v>584.25539997337808</v>
      </c>
      <c r="Q968" s="16">
        <f>CASOPOInvCL!AI968</f>
        <v>425</v>
      </c>
      <c r="R968" s="32" t="str">
        <f>CASOPOInvCL!AU968</f>
        <v/>
      </c>
      <c r="S968" s="16">
        <f>CASOPOInvCL!AV968</f>
        <v>0</v>
      </c>
      <c r="T968" s="16">
        <f>CASOPOInvCL!AW968</f>
        <v>0</v>
      </c>
      <c r="Y968" s="29" t="str">
        <f>IFERROR(HLOOKUP(U968,List!$D$2:$H$6,2,FALSE),"")</f>
        <v/>
      </c>
      <c r="Z968" s="29" t="str">
        <f>IFERROR(HLOOKUP(V968,List!$D$2:$H$6,3,FALSE),"")</f>
        <v/>
      </c>
      <c r="AA968" s="29" t="str">
        <f>IFERROR(HLOOKUP(W968,List!$D$2:$H$6,4,FALSE),"")</f>
        <v/>
      </c>
      <c r="AB968" s="29" t="str">
        <f>IFERROR(HLOOKUP(X968,List!$D$2:$H$6,5,FALSE),"")</f>
        <v/>
      </c>
      <c r="AC968" s="12" t="str">
        <f t="shared" si="256"/>
        <v/>
      </c>
      <c r="AD968" s="12" t="str">
        <f t="shared" si="257"/>
        <v/>
      </c>
      <c r="AE968" s="12" t="str">
        <f t="shared" si="258"/>
        <v/>
      </c>
      <c r="AF968" s="12" t="str">
        <f t="shared" si="259"/>
        <v/>
      </c>
      <c r="AG968" t="str">
        <f>VLOOKUP(J968,'Receivable Invoice Detail'!$A$1:F3980,6,FALSE)</f>
        <v>[W-E028/A05] Expeller, 6/4 E-AH, High Chrome</v>
      </c>
      <c r="AM968" s="12" t="str">
        <f t="shared" si="260"/>
        <v/>
      </c>
      <c r="AN968" s="12" t="str">
        <f t="shared" si="261"/>
        <v/>
      </c>
      <c r="AO968" s="12" t="str">
        <f t="shared" si="262"/>
        <v/>
      </c>
      <c r="AP968" s="12" t="str">
        <f t="shared" si="263"/>
        <v/>
      </c>
      <c r="AQ968" s="64" t="str">
        <f t="shared" si="254"/>
        <v/>
      </c>
      <c r="AR968" t="s">
        <v>5940</v>
      </c>
      <c r="AS968" s="12">
        <f t="shared" si="255"/>
        <v>1.1294688907589685</v>
      </c>
      <c r="AT968" t="s">
        <v>5940</v>
      </c>
    </row>
    <row r="969" spans="1:46" hidden="1" x14ac:dyDescent="0.25">
      <c r="A969" s="41">
        <f>CASOPOInvCL!T969</f>
        <v>1</v>
      </c>
      <c r="B969" t="str">
        <f>CASOPOInvCL!Z969</f>
        <v>SO17864</v>
      </c>
      <c r="D969" t="s">
        <v>5915</v>
      </c>
      <c r="G969" s="5" t="str">
        <f>CASOPOInvCL!I969</f>
        <v>Wilka Nuñez</v>
      </c>
      <c r="H969" s="31">
        <f>CASOPOInvCL!U969</f>
        <v>9</v>
      </c>
      <c r="I969" s="31">
        <f>CASOPOInvCL!V969</f>
        <v>2025</v>
      </c>
      <c r="J969" s="5" t="str">
        <f>CASOPOInvCL!AB969</f>
        <v>INV13411</v>
      </c>
      <c r="K969" s="31">
        <f>CASOPOInvCL!W969</f>
        <v>10</v>
      </c>
      <c r="L969" s="31">
        <f>CASOPOInvCL!X969</f>
        <v>2025</v>
      </c>
      <c r="M969">
        <v>2504</v>
      </c>
      <c r="N969" s="5" t="str">
        <f>CASOPOInvCL!AF969</f>
        <v>Hyperflo</v>
      </c>
      <c r="O969" s="16" t="str">
        <f>CASOPOInvCL!AG969</f>
        <v>CAD</v>
      </c>
      <c r="P969" s="16">
        <f>CASOPOInvCL!AH969</f>
        <v>1034.78</v>
      </c>
      <c r="Q969" s="16">
        <f>CASOPOInvCL!AI969</f>
        <v>751.92292160249985</v>
      </c>
      <c r="R969" s="32" t="str">
        <f>CASOPOInvCL!AU969</f>
        <v>Yes</v>
      </c>
      <c r="S969" s="16">
        <f>CASOPOInvCL!AV969</f>
        <v>0</v>
      </c>
      <c r="T969" s="16">
        <f>CASOPOInvCL!AW969</f>
        <v>751.92292160249985</v>
      </c>
      <c r="V969" t="s">
        <v>5800</v>
      </c>
      <c r="Y969" s="29" t="str">
        <f>IFERROR(HLOOKUP(U969,List!$D$2:$H$6,2,FALSE),"")</f>
        <v/>
      </c>
      <c r="Z969" s="29">
        <f>IFERROR(HLOOKUP(V969,List!$D$2:$H$6,3,FALSE),"")</f>
        <v>5.0000000000000001E-3</v>
      </c>
      <c r="AA969" s="29" t="str">
        <f>IFERROR(HLOOKUP(W969,List!$D$2:$H$6,4,FALSE),"")</f>
        <v/>
      </c>
      <c r="AB969" s="29" t="str">
        <f>IFERROR(HLOOKUP(X969,List!$D$2:$H$6,5,FALSE),"")</f>
        <v/>
      </c>
      <c r="AC969" s="12" t="str">
        <f t="shared" si="256"/>
        <v/>
      </c>
      <c r="AD969" s="12">
        <f t="shared" si="257"/>
        <v>3.7596146080124995</v>
      </c>
      <c r="AE969" s="12" t="str">
        <f t="shared" si="258"/>
        <v/>
      </c>
      <c r="AF969" s="12" t="str">
        <f t="shared" si="259"/>
        <v/>
      </c>
      <c r="AG969" t="str">
        <f>VLOOKUP(J969,'Receivable Invoice Detail'!$A$1:F3981,6,FALSE)</f>
        <v>[AC-98-039-047-501] Impeller (Closed), 5x4-14 SRL-C, Natural Rubber</v>
      </c>
      <c r="AM969" s="12" t="str">
        <f t="shared" si="260"/>
        <v/>
      </c>
      <c r="AN969" s="12">
        <f t="shared" si="261"/>
        <v>3.7596146080124995</v>
      </c>
      <c r="AO969" s="12" t="str">
        <f t="shared" si="262"/>
        <v/>
      </c>
      <c r="AP969" s="12" t="str">
        <f t="shared" si="263"/>
        <v/>
      </c>
      <c r="AQ969" s="64">
        <f t="shared" si="254"/>
        <v>2504</v>
      </c>
      <c r="AR969" t="s">
        <v>5931</v>
      </c>
      <c r="AS969" s="12">
        <f t="shared" si="255"/>
        <v>0</v>
      </c>
      <c r="AT969" t="s">
        <v>4388</v>
      </c>
    </row>
    <row r="970" spans="1:46" hidden="1" x14ac:dyDescent="0.25">
      <c r="A970" s="41">
        <f>CASOPOInvCL!T970</f>
        <v>3</v>
      </c>
      <c r="B970" t="str">
        <f>CASOPOInvCL!Z970</f>
        <v>SO17868</v>
      </c>
      <c r="G970" s="5" t="str">
        <f>CASOPOInvCL!I970</f>
        <v>Ian Trottier</v>
      </c>
      <c r="H970" s="31">
        <f>CASOPOInvCL!U970</f>
        <v>9</v>
      </c>
      <c r="I970" s="31">
        <f>CASOPOInvCL!V970</f>
        <v>2025</v>
      </c>
      <c r="J970" s="5" t="str">
        <f>CASOPOInvCL!AB970</f>
        <v>INV13540</v>
      </c>
      <c r="K970" s="31">
        <f>CASOPOInvCL!W970</f>
        <v>11</v>
      </c>
      <c r="L970" s="31">
        <f>CASOPOInvCL!X970</f>
        <v>2025</v>
      </c>
      <c r="M970">
        <v>2504</v>
      </c>
      <c r="N970" s="5" t="str">
        <f>CASOPOInvCL!AF970</f>
        <v>TC Industries of Canada Co.</v>
      </c>
      <c r="O970" s="16" t="str">
        <f>CASOPOInvCL!AG970</f>
        <v>CAD</v>
      </c>
      <c r="P970" s="16">
        <f>CASOPOInvCL!AH970</f>
        <v>10930.21</v>
      </c>
      <c r="Q970" s="16">
        <f>CASOPOInvCL!AI970</f>
        <v>7921.6678286806373</v>
      </c>
      <c r="R970" s="32" t="str">
        <f>CASOPOInvCL!AU970</f>
        <v/>
      </c>
      <c r="S970" s="16">
        <f>CASOPOInvCL!AV970</f>
        <v>0</v>
      </c>
      <c r="T970" s="16">
        <f>CASOPOInvCL!AW970</f>
        <v>0</v>
      </c>
      <c r="Y970" s="29" t="str">
        <f>IFERROR(HLOOKUP(U970,List!$D$2:$H$6,2,FALSE),"")</f>
        <v/>
      </c>
      <c r="Z970" s="29" t="str">
        <f>IFERROR(HLOOKUP(V970,List!$D$2:$H$6,3,FALSE),"")</f>
        <v/>
      </c>
      <c r="AA970" s="29" t="str">
        <f>IFERROR(HLOOKUP(W970,List!$D$2:$H$6,4,FALSE),"")</f>
        <v/>
      </c>
      <c r="AB970" s="29" t="str">
        <f>IFERROR(HLOOKUP(X970,List!$D$2:$H$6,5,FALSE),"")</f>
        <v/>
      </c>
      <c r="AC970" s="12" t="str">
        <f t="shared" si="256"/>
        <v/>
      </c>
      <c r="AD970" s="12" t="str">
        <f t="shared" si="257"/>
        <v/>
      </c>
      <c r="AE970" s="12" t="str">
        <f t="shared" si="258"/>
        <v/>
      </c>
      <c r="AF970" s="12" t="str">
        <f t="shared" si="259"/>
        <v/>
      </c>
      <c r="AG970" t="str">
        <f>VLOOKUP(J970,'Receivable Invoice Detail'!$A$1:F3982,6,FALSE)</f>
        <v>[AC-52-431-816-031] Casing Gasket, 12x10-17, Allis Chalmers CW</v>
      </c>
      <c r="AM970" s="12" t="str">
        <f t="shared" si="260"/>
        <v/>
      </c>
      <c r="AN970" s="12" t="str">
        <f t="shared" si="261"/>
        <v/>
      </c>
      <c r="AO970" s="12" t="str">
        <f t="shared" si="262"/>
        <v/>
      </c>
      <c r="AP970" s="12" t="str">
        <f t="shared" si="263"/>
        <v/>
      </c>
      <c r="AQ970" s="64">
        <f t="shared" si="254"/>
        <v>2504</v>
      </c>
      <c r="AS970" s="12">
        <f t="shared" si="255"/>
        <v>30.008133332823082</v>
      </c>
      <c r="AT970" t="s">
        <v>5945</v>
      </c>
    </row>
    <row r="971" spans="1:46" hidden="1" x14ac:dyDescent="0.25">
      <c r="A971" s="41">
        <f>CASOPOInvCL!T971</f>
        <v>3</v>
      </c>
      <c r="B971" t="str">
        <f>CASOPOInvCL!Z971</f>
        <v>SO17868</v>
      </c>
      <c r="G971" s="5">
        <f>CASOPOInvCL!I971</f>
        <v>0</v>
      </c>
      <c r="H971" s="31">
        <f>CASOPOInvCL!U971</f>
        <v>9</v>
      </c>
      <c r="I971" s="31">
        <f>CASOPOInvCL!V971</f>
        <v>2025</v>
      </c>
      <c r="J971" s="5" t="str">
        <f>CASOPOInvCL!AB971</f>
        <v>INV13563</v>
      </c>
      <c r="K971" s="31">
        <f>CASOPOInvCL!W971</f>
        <v>10</v>
      </c>
      <c r="L971" s="31">
        <f>CASOPOInvCL!X971</f>
        <v>2025</v>
      </c>
      <c r="M971">
        <v>2504</v>
      </c>
      <c r="N971" s="5" t="str">
        <f>CASOPOInvCL!AF971</f>
        <v>TC Industries of Canada Co.</v>
      </c>
      <c r="O971" s="16" t="str">
        <f>CASOPOInvCL!AG971</f>
        <v>CAD</v>
      </c>
      <c r="P971" s="16">
        <f>CASOPOInvCL!AH971</f>
        <v>0</v>
      </c>
      <c r="Q971" s="16">
        <f>CASOPOInvCL!AI971</f>
        <v>0</v>
      </c>
      <c r="R971" s="32" t="str">
        <f>CASOPOInvCL!AU971</f>
        <v/>
      </c>
      <c r="S971" s="16">
        <f>CASOPOInvCL!AV971</f>
        <v>0</v>
      </c>
      <c r="T971" s="16">
        <f>CASOPOInvCL!AW971</f>
        <v>0</v>
      </c>
      <c r="Y971" s="29" t="str">
        <f>IFERROR(HLOOKUP(U971,List!$D$2:$H$6,2,FALSE),"")</f>
        <v/>
      </c>
      <c r="Z971" s="29" t="str">
        <f>IFERROR(HLOOKUP(V971,List!$D$2:$H$6,3,FALSE),"")</f>
        <v/>
      </c>
      <c r="AA971" s="29" t="str">
        <f>IFERROR(HLOOKUP(W971,List!$D$2:$H$6,4,FALSE),"")</f>
        <v/>
      </c>
      <c r="AB971" s="29" t="str">
        <f>IFERROR(HLOOKUP(X971,List!$D$2:$H$6,5,FALSE),"")</f>
        <v/>
      </c>
      <c r="AC971" s="12" t="str">
        <f t="shared" si="256"/>
        <v/>
      </c>
      <c r="AD971" s="12" t="str">
        <f t="shared" si="257"/>
        <v/>
      </c>
      <c r="AE971" s="12" t="str">
        <f t="shared" si="258"/>
        <v/>
      </c>
      <c r="AF971" s="12" t="str">
        <f t="shared" si="259"/>
        <v/>
      </c>
      <c r="AG971" t="str">
        <f>VLOOKUP(J971,'Receivable Invoice Detail'!$A$1:F3983,6,FALSE)</f>
        <v>[AC-52-217-769-504] Rear Wear Plate, 10x8-17, Allis Chalmers CW, High Chrome</v>
      </c>
      <c r="AM971" s="12" t="str">
        <f t="shared" si="260"/>
        <v/>
      </c>
      <c r="AN971" s="12" t="str">
        <f t="shared" si="261"/>
        <v/>
      </c>
      <c r="AO971" s="12" t="str">
        <f t="shared" si="262"/>
        <v/>
      </c>
      <c r="AP971" s="12" t="str">
        <f t="shared" si="263"/>
        <v/>
      </c>
      <c r="AQ971" s="64">
        <f t="shared" si="254"/>
        <v>2504</v>
      </c>
      <c r="AS971" s="12">
        <f t="shared" si="255"/>
        <v>0</v>
      </c>
      <c r="AT971" t="s">
        <v>5945</v>
      </c>
    </row>
    <row r="972" spans="1:46" hidden="1" x14ac:dyDescent="0.25">
      <c r="A972" s="41">
        <f>CASOPOInvCL!T972</f>
        <v>3</v>
      </c>
      <c r="B972" t="str">
        <f>CASOPOInvCL!Z972</f>
        <v>SO17868</v>
      </c>
      <c r="G972" s="5">
        <f>CASOPOInvCL!I972</f>
        <v>0</v>
      </c>
      <c r="H972" s="31">
        <f>CASOPOInvCL!U972</f>
        <v>9</v>
      </c>
      <c r="I972" s="31">
        <f>CASOPOInvCL!V972</f>
        <v>2025</v>
      </c>
      <c r="J972" s="5" t="str">
        <f>CASOPOInvCL!AB972</f>
        <v>INV13580</v>
      </c>
      <c r="K972" s="31">
        <f>CASOPOInvCL!W972</f>
        <v>10</v>
      </c>
      <c r="L972" s="31">
        <f>CASOPOInvCL!X972</f>
        <v>2025</v>
      </c>
      <c r="M972">
        <v>2504</v>
      </c>
      <c r="N972" s="5" t="str">
        <f>CASOPOInvCL!AF972</f>
        <v>TC Industries of Canada Co.</v>
      </c>
      <c r="O972" s="16" t="str">
        <f>CASOPOInvCL!AG972</f>
        <v>CAD</v>
      </c>
      <c r="P972" s="16">
        <f>CASOPOInvCL!AH972</f>
        <v>0</v>
      </c>
      <c r="Q972" s="16">
        <f>CASOPOInvCL!AI972</f>
        <v>0</v>
      </c>
      <c r="R972" s="32" t="str">
        <f>CASOPOInvCL!AU972</f>
        <v/>
      </c>
      <c r="S972" s="16">
        <f>CASOPOInvCL!AV972</f>
        <v>0</v>
      </c>
      <c r="T972" s="16">
        <f>CASOPOInvCL!AW972</f>
        <v>0</v>
      </c>
      <c r="Y972" s="29" t="str">
        <f>IFERROR(HLOOKUP(U972,List!$D$2:$H$6,2,FALSE),"")</f>
        <v/>
      </c>
      <c r="Z972" s="29" t="str">
        <f>IFERROR(HLOOKUP(V972,List!$D$2:$H$6,3,FALSE),"")</f>
        <v/>
      </c>
      <c r="AA972" s="29" t="str">
        <f>IFERROR(HLOOKUP(W972,List!$D$2:$H$6,4,FALSE),"")</f>
        <v/>
      </c>
      <c r="AB972" s="29" t="str">
        <f>IFERROR(HLOOKUP(X972,List!$D$2:$H$6,5,FALSE),"")</f>
        <v/>
      </c>
      <c r="AC972" s="12" t="str">
        <f t="shared" si="256"/>
        <v/>
      </c>
      <c r="AD972" s="12" t="str">
        <f t="shared" si="257"/>
        <v/>
      </c>
      <c r="AE972" s="12" t="str">
        <f t="shared" si="258"/>
        <v/>
      </c>
      <c r="AF972" s="12" t="str">
        <f t="shared" si="259"/>
        <v/>
      </c>
      <c r="AG972" t="str">
        <f>VLOOKUP(J972,'Receivable Invoice Detail'!$A$1:F3984,6,FALSE)</f>
        <v>[AC-52-430-298-006] Seal Cage (Lantern Ring), Allis Chalmers PWO, Group 2</v>
      </c>
      <c r="AM972" s="12" t="str">
        <f t="shared" si="260"/>
        <v/>
      </c>
      <c r="AN972" s="12" t="str">
        <f t="shared" si="261"/>
        <v/>
      </c>
      <c r="AO972" s="12" t="str">
        <f t="shared" si="262"/>
        <v/>
      </c>
      <c r="AP972" s="12" t="str">
        <f t="shared" si="263"/>
        <v/>
      </c>
      <c r="AQ972" s="64">
        <f t="shared" si="254"/>
        <v>2504</v>
      </c>
      <c r="AS972" s="12">
        <f t="shared" si="255"/>
        <v>1.2750528136762467</v>
      </c>
      <c r="AT972" t="s">
        <v>5945</v>
      </c>
    </row>
    <row r="973" spans="1:46" hidden="1" x14ac:dyDescent="0.25">
      <c r="A973" s="41">
        <f>CASOPOInvCL!T973</f>
        <v>1</v>
      </c>
      <c r="B973" t="str">
        <f>CASOPOInvCL!Z973</f>
        <v>SO17870</v>
      </c>
      <c r="G973" s="5" t="str">
        <f>CASOPOInvCL!I973</f>
        <v>Ian Trottier</v>
      </c>
      <c r="H973" s="31">
        <f>CASOPOInvCL!U973</f>
        <v>9</v>
      </c>
      <c r="I973" s="31">
        <f>CASOPOInvCL!V973</f>
        <v>2025</v>
      </c>
      <c r="J973" s="5" t="str">
        <f>CASOPOInvCL!AB973</f>
        <v>INV13567</v>
      </c>
      <c r="K973" s="31">
        <f>CASOPOInvCL!W973</f>
        <v>12</v>
      </c>
      <c r="L973" s="31">
        <f>CASOPOInvCL!X973</f>
        <v>2025</v>
      </c>
      <c r="M973" t="s">
        <v>5945</v>
      </c>
      <c r="N973" s="5" t="str">
        <f>CASOPOInvCL!AF973</f>
        <v>Les Pompes du St-Laurent Inc.</v>
      </c>
      <c r="O973" s="16" t="str">
        <f>CASOPOInvCL!AG973</f>
        <v>CAD</v>
      </c>
      <c r="P973" s="16">
        <f>CASOPOInvCL!AH973</f>
        <v>20861.189999999999</v>
      </c>
      <c r="Q973" s="16">
        <f>CASOPOInvCL!AI973</f>
        <v>14982.001012985666</v>
      </c>
      <c r="R973" s="32" t="str">
        <f>CASOPOInvCL!AU973</f>
        <v>Yes</v>
      </c>
      <c r="S973" s="16">
        <f>CASOPOInvCL!AV973</f>
        <v>0</v>
      </c>
      <c r="T973" s="16">
        <f>CASOPOInvCL!AW973</f>
        <v>14982.001012985666</v>
      </c>
      <c r="Y973" s="29" t="str">
        <f>IFERROR(HLOOKUP(U973,List!$D$2:$H$6,2,FALSE),"")</f>
        <v/>
      </c>
      <c r="Z973" s="29" t="str">
        <f>IFERROR(HLOOKUP(V973,List!$D$2:$H$6,3,FALSE),"")</f>
        <v/>
      </c>
      <c r="AA973" s="29" t="str">
        <f>IFERROR(HLOOKUP(W973,List!$D$2:$H$6,4,FALSE),"")</f>
        <v/>
      </c>
      <c r="AB973" s="29" t="str">
        <f>IFERROR(HLOOKUP(X973,List!$D$2:$H$6,5,FALSE),"")</f>
        <v/>
      </c>
      <c r="AC973" s="12" t="str">
        <f t="shared" si="256"/>
        <v/>
      </c>
      <c r="AD973" s="12" t="str">
        <f t="shared" si="257"/>
        <v/>
      </c>
      <c r="AE973" s="12" t="str">
        <f t="shared" si="258"/>
        <v/>
      </c>
      <c r="AF973" s="12" t="str">
        <f t="shared" si="259"/>
        <v/>
      </c>
      <c r="AG973" t="str">
        <f>VLOOKUP(J973,'Receivable Invoice Detail'!$A$1:F3985,6,FALSE)</f>
        <v>[AC-98-232-892-006] Casing, 8x6-17, PWO, 316SS</v>
      </c>
      <c r="AM973" s="12" t="str">
        <f t="shared" si="260"/>
        <v/>
      </c>
      <c r="AN973" s="12" t="str">
        <f t="shared" si="261"/>
        <v/>
      </c>
      <c r="AO973" s="12" t="str">
        <f t="shared" si="262"/>
        <v/>
      </c>
      <c r="AP973" s="12" t="str">
        <f t="shared" si="263"/>
        <v/>
      </c>
      <c r="AQ973" s="64" t="str">
        <f t="shared" si="254"/>
        <v/>
      </c>
      <c r="AS973" s="12">
        <f t="shared" si="255"/>
        <v>31.585882647966763</v>
      </c>
      <c r="AT973" t="s">
        <v>5945</v>
      </c>
    </row>
    <row r="974" spans="1:46" hidden="1" x14ac:dyDescent="0.25">
      <c r="A974" s="41">
        <f>CASOPOInvCL!T974</f>
        <v>1</v>
      </c>
      <c r="B974" t="str">
        <f>CASOPOInvCL!Z974</f>
        <v>SO17873</v>
      </c>
      <c r="G974" s="5" t="str">
        <f>CASOPOInvCL!I974</f>
        <v>Wilka Nuñez</v>
      </c>
      <c r="H974" s="31">
        <f>CASOPOInvCL!U974</f>
        <v>9</v>
      </c>
      <c r="I974" s="31">
        <f>CASOPOInvCL!V974</f>
        <v>2025</v>
      </c>
      <c r="J974" s="5" t="str">
        <f>CASOPOInvCL!AB974</f>
        <v>INV13453</v>
      </c>
      <c r="K974" s="31" t="str">
        <f>CASOPOInvCL!W974</f>
        <v/>
      </c>
      <c r="L974" s="31" t="str">
        <f>CASOPOInvCL!X974</f>
        <v/>
      </c>
      <c r="M974" t="s">
        <v>5945</v>
      </c>
      <c r="N974" s="5" t="str">
        <f>CASOPOInvCL!AF974</f>
        <v>PT Vale Indonesia Tbk.</v>
      </c>
      <c r="O974" s="16" t="str">
        <f>CASOPOInvCL!AG974</f>
        <v>USD</v>
      </c>
      <c r="P974" s="16">
        <f>CASOPOInvCL!AH974</f>
        <v>648.15231995164311</v>
      </c>
      <c r="Q974" s="16">
        <f>CASOPOInvCL!AI974</f>
        <v>471.48</v>
      </c>
      <c r="R974" s="32" t="str">
        <f>CASOPOInvCL!AU974</f>
        <v/>
      </c>
      <c r="S974" s="16">
        <f>CASOPOInvCL!AV974</f>
        <v>0</v>
      </c>
      <c r="T974" s="16">
        <f>CASOPOInvCL!AW974</f>
        <v>0</v>
      </c>
      <c r="Y974" s="29" t="str">
        <f>IFERROR(HLOOKUP(U974,List!$D$2:$H$6,2,FALSE),"")</f>
        <v/>
      </c>
      <c r="Z974" s="29" t="str">
        <f>IFERROR(HLOOKUP(V974,List!$D$2:$H$6,3,FALSE),"")</f>
        <v/>
      </c>
      <c r="AA974" s="29" t="str">
        <f>IFERROR(HLOOKUP(W974,List!$D$2:$H$6,4,FALSE),"")</f>
        <v/>
      </c>
      <c r="AB974" s="29" t="str">
        <f>IFERROR(HLOOKUP(X974,List!$D$2:$H$6,5,FALSE),"")</f>
        <v/>
      </c>
      <c r="AC974" s="12" t="str">
        <f t="shared" si="256"/>
        <v/>
      </c>
      <c r="AD974" s="12" t="str">
        <f t="shared" si="257"/>
        <v/>
      </c>
      <c r="AE974" s="12" t="str">
        <f t="shared" si="258"/>
        <v/>
      </c>
      <c r="AF974" s="12" t="str">
        <f t="shared" si="259"/>
        <v/>
      </c>
      <c r="AG974" t="str">
        <f>VLOOKUP(J974,'Receivable Invoice Detail'!$A$1:F3986,6,FALSE)</f>
        <v>[G-R104-733 2238] Shaft (Sleeve Type), 3196 MTX, 4140</v>
      </c>
      <c r="AM974" s="12" t="str">
        <f t="shared" si="260"/>
        <v/>
      </c>
      <c r="AN974" s="12" t="str">
        <f t="shared" si="261"/>
        <v/>
      </c>
      <c r="AO974" s="12" t="str">
        <f t="shared" si="262"/>
        <v/>
      </c>
      <c r="AP974" s="12" t="str">
        <f t="shared" si="263"/>
        <v/>
      </c>
      <c r="AQ974" s="64" t="str">
        <f t="shared" si="254"/>
        <v/>
      </c>
      <c r="AS974" s="12">
        <f t="shared" si="255"/>
        <v>81.82437761563601</v>
      </c>
      <c r="AT974" t="s">
        <v>5945</v>
      </c>
    </row>
    <row r="975" spans="1:46" hidden="1" x14ac:dyDescent="0.25">
      <c r="A975" s="41">
        <f>CASOPOInvCL!T975</f>
        <v>1</v>
      </c>
      <c r="B975" t="str">
        <f>CASOPOInvCL!Z975</f>
        <v>SO17874</v>
      </c>
      <c r="G975" s="5" t="str">
        <f>CASOPOInvCL!I975</f>
        <v>Ian Trottier</v>
      </c>
      <c r="H975" s="31">
        <f>CASOPOInvCL!U975</f>
        <v>9</v>
      </c>
      <c r="I975" s="31">
        <f>CASOPOInvCL!V975</f>
        <v>2025</v>
      </c>
      <c r="J975" s="5" t="str">
        <f>CASOPOInvCL!AB975</f>
        <v>INV13494</v>
      </c>
      <c r="K975" s="31">
        <f>CASOPOInvCL!W975</f>
        <v>10</v>
      </c>
      <c r="L975" s="31">
        <f>CASOPOInvCL!X975</f>
        <v>2025</v>
      </c>
      <c r="M975">
        <v>2504</v>
      </c>
      <c r="N975" s="5" t="str">
        <f>CASOPOInvCL!AF975</f>
        <v>Gibraltar Mine (Canada)</v>
      </c>
      <c r="O975" s="16" t="str">
        <f>CASOPOInvCL!AG975</f>
        <v>CAD</v>
      </c>
      <c r="P975" s="16">
        <f>CASOPOInvCL!AH975</f>
        <v>5815.61</v>
      </c>
      <c r="Q975" s="16">
        <f>CASOPOInvCL!AI975</f>
        <v>4214.8623531618696</v>
      </c>
      <c r="R975" s="32" t="str">
        <f>CASOPOInvCL!AU975</f>
        <v>Yes</v>
      </c>
      <c r="S975" s="16">
        <f>CASOPOInvCL!AV975</f>
        <v>0</v>
      </c>
      <c r="T975" s="16">
        <f>CASOPOInvCL!AW975</f>
        <v>4214.8623531618696</v>
      </c>
      <c r="Y975" s="29" t="str">
        <f>IFERROR(HLOOKUP(U975,List!$D$2:$H$6,2,FALSE),"")</f>
        <v/>
      </c>
      <c r="Z975" s="29" t="str">
        <f>IFERROR(HLOOKUP(V975,List!$D$2:$H$6,3,FALSE),"")</f>
        <v/>
      </c>
      <c r="AA975" s="29" t="str">
        <f>IFERROR(HLOOKUP(W975,List!$D$2:$H$6,4,FALSE),"")</f>
        <v/>
      </c>
      <c r="AB975" s="29" t="str">
        <f>IFERROR(HLOOKUP(X975,List!$D$2:$H$6,5,FALSE),"")</f>
        <v/>
      </c>
      <c r="AC975" s="12" t="str">
        <f t="shared" si="256"/>
        <v/>
      </c>
      <c r="AD975" s="12" t="str">
        <f t="shared" si="257"/>
        <v/>
      </c>
      <c r="AE975" s="12" t="str">
        <f t="shared" si="258"/>
        <v/>
      </c>
      <c r="AF975" s="12" t="str">
        <f t="shared" si="259"/>
        <v/>
      </c>
      <c r="AG975" t="str">
        <f>VLOOKUP(J975,'Receivable Invoice Detail'!$A$1:F3987,6,FALSE)</f>
        <v>[GA-23965] Impeller, G-Series 2.5" VSP, 1000 Series, Urethane</v>
      </c>
      <c r="AM975" s="12" t="str">
        <f t="shared" si="260"/>
        <v/>
      </c>
      <c r="AN975" s="12" t="str">
        <f t="shared" si="261"/>
        <v/>
      </c>
      <c r="AO975" s="12" t="str">
        <f t="shared" si="262"/>
        <v/>
      </c>
      <c r="AP975" s="12" t="str">
        <f t="shared" si="263"/>
        <v/>
      </c>
      <c r="AQ975" s="64">
        <f t="shared" si="254"/>
        <v>2504</v>
      </c>
      <c r="AS975" s="12">
        <f t="shared" si="255"/>
        <v>0</v>
      </c>
      <c r="AT975" t="s">
        <v>4388</v>
      </c>
    </row>
    <row r="976" spans="1:46" hidden="1" x14ac:dyDescent="0.25">
      <c r="A976" s="41">
        <f>CASOPOInvCL!T976</f>
        <v>1</v>
      </c>
      <c r="B976" t="str">
        <f>CASOPOInvCL!Z976</f>
        <v>SO17876</v>
      </c>
      <c r="D976" t="s">
        <v>5852</v>
      </c>
      <c r="G976" s="5" t="str">
        <f>CASOPOInvCL!I976</f>
        <v>Aleksandar Stankovic</v>
      </c>
      <c r="H976" s="31">
        <f>CASOPOInvCL!U976</f>
        <v>9</v>
      </c>
      <c r="I976" s="31">
        <f>CASOPOInvCL!V976</f>
        <v>2025</v>
      </c>
      <c r="J976" s="5" t="str">
        <f>CASOPOInvCL!AB976</f>
        <v>INV13425</v>
      </c>
      <c r="K976" s="31">
        <f>CASOPOInvCL!W976</f>
        <v>10</v>
      </c>
      <c r="L976" s="31">
        <f>CASOPOInvCL!X976</f>
        <v>2025</v>
      </c>
      <c r="M976">
        <v>2504</v>
      </c>
      <c r="N976" s="5" t="str">
        <f>CASOPOInvCL!AF976</f>
        <v>Hyperflo, Hyperflo</v>
      </c>
      <c r="O976" s="16" t="str">
        <f>CASOPOInvCL!AG976</f>
        <v>CAD</v>
      </c>
      <c r="P976" s="16">
        <f>CASOPOInvCL!AH976</f>
        <v>560.55999999999995</v>
      </c>
      <c r="Q976" s="16">
        <f>CASOPOInvCL!AI976</f>
        <v>405.73716910157566</v>
      </c>
      <c r="R976" s="32" t="str">
        <f>CASOPOInvCL!AU976</f>
        <v>Yes</v>
      </c>
      <c r="S976" s="16">
        <f>CASOPOInvCL!AV976</f>
        <v>0</v>
      </c>
      <c r="T976" s="16">
        <f>CASOPOInvCL!AW976</f>
        <v>405.73716910157566</v>
      </c>
      <c r="Y976" s="29" t="str">
        <f>IFERROR(HLOOKUP(U976,List!$D$2:$H$6,2,FALSE),"")</f>
        <v/>
      </c>
      <c r="Z976" s="29" t="str">
        <f>IFERROR(HLOOKUP(V976,List!$D$2:$H$6,3,FALSE),"")</f>
        <v/>
      </c>
      <c r="AA976" s="29" t="str">
        <f>IFERROR(HLOOKUP(W976,List!$D$2:$H$6,4,FALSE),"")</f>
        <v/>
      </c>
      <c r="AB976" s="29" t="str">
        <f>IFERROR(HLOOKUP(X976,List!$D$2:$H$6,5,FALSE),"")</f>
        <v/>
      </c>
      <c r="AC976" s="12" t="str">
        <f t="shared" si="256"/>
        <v/>
      </c>
      <c r="AD976" s="12" t="str">
        <f t="shared" si="257"/>
        <v/>
      </c>
      <c r="AE976" s="12" t="str">
        <f t="shared" si="258"/>
        <v/>
      </c>
      <c r="AF976" s="12" t="str">
        <f t="shared" si="259"/>
        <v/>
      </c>
      <c r="AG976" t="str">
        <f>VLOOKUP(J976,'Receivable Invoice Detail'!$A$1:F3988,6,FALSE)</f>
        <v>[AC-98-332-015-808] Fastener Kit (Gland Side Liner), 8x6-18 &amp; 10x8-21 SRL-C</v>
      </c>
      <c r="AM976" s="12" t="str">
        <f t="shared" si="260"/>
        <v/>
      </c>
      <c r="AN976" s="12" t="str">
        <f t="shared" si="261"/>
        <v/>
      </c>
      <c r="AO976" s="12" t="str">
        <f t="shared" si="262"/>
        <v/>
      </c>
      <c r="AP976" s="12" t="str">
        <f t="shared" si="263"/>
        <v/>
      </c>
      <c r="AQ976" s="64">
        <f t="shared" si="254"/>
        <v>2504</v>
      </c>
      <c r="AR976" t="s">
        <v>5931</v>
      </c>
      <c r="AS976" s="12">
        <f t="shared" si="255"/>
        <v>11.278843824037498</v>
      </c>
      <c r="AT976" t="s">
        <v>4388</v>
      </c>
    </row>
    <row r="977" spans="1:46" hidden="1" x14ac:dyDescent="0.25">
      <c r="A977" s="41">
        <f>CASOPOInvCL!T977</f>
        <v>1</v>
      </c>
      <c r="B977" t="str">
        <f>CASOPOInvCL!Z977</f>
        <v>SO17877</v>
      </c>
      <c r="E977" t="s">
        <v>5848</v>
      </c>
      <c r="G977" s="5" t="str">
        <f>CASOPOInvCL!I977</f>
        <v>Leriel Reyes</v>
      </c>
      <c r="H977" s="31">
        <f>CASOPOInvCL!U977</f>
        <v>9</v>
      </c>
      <c r="I977" s="31">
        <f>CASOPOInvCL!V977</f>
        <v>2025</v>
      </c>
      <c r="J977" s="5" t="str">
        <f>CASOPOInvCL!AB977</f>
        <v>INV13493</v>
      </c>
      <c r="K977" s="31" t="str">
        <f>CASOPOInvCL!W977</f>
        <v/>
      </c>
      <c r="L977" s="31" t="str">
        <f>CASOPOInvCL!X977</f>
        <v/>
      </c>
      <c r="M977" t="s">
        <v>5945</v>
      </c>
      <c r="N977" s="5" t="str">
        <f>CASOPOInvCL!AF977</f>
        <v>Motion Industries Inc. (Canada) - Thunder Bay</v>
      </c>
      <c r="O977" s="16" t="str">
        <f>CASOPOInvCL!AG977</f>
        <v>CAD</v>
      </c>
      <c r="P977" s="16">
        <f>CASOPOInvCL!AH977</f>
        <v>5988</v>
      </c>
      <c r="Q977" s="16">
        <f>CASOPOInvCL!AI977</f>
        <v>4348.059734320389</v>
      </c>
      <c r="R977" s="32" t="str">
        <f>CASOPOInvCL!AU977</f>
        <v/>
      </c>
      <c r="S977" s="16">
        <f>CASOPOInvCL!AV977</f>
        <v>0</v>
      </c>
      <c r="T977" s="16">
        <f>CASOPOInvCL!AW977</f>
        <v>0</v>
      </c>
      <c r="W977" t="s">
        <v>5801</v>
      </c>
      <c r="Y977" s="29" t="str">
        <f>IFERROR(HLOOKUP(U977,List!$D$2:$H$6,2,FALSE),"")</f>
        <v/>
      </c>
      <c r="Z977" s="29" t="str">
        <f>IFERROR(HLOOKUP(V977,List!$D$2:$H$6,3,FALSE),"")</f>
        <v/>
      </c>
      <c r="AA977" s="29">
        <f>IFERROR(HLOOKUP(W977,List!$D$2:$H$6,4,FALSE),"")</f>
        <v>0.02</v>
      </c>
      <c r="AB977" s="29" t="str">
        <f>IFERROR(HLOOKUP(X977,List!$D$2:$H$6,5,FALSE),"")</f>
        <v/>
      </c>
      <c r="AC977" s="12" t="str">
        <f t="shared" si="256"/>
        <v/>
      </c>
      <c r="AD977" s="12" t="str">
        <f t="shared" si="257"/>
        <v/>
      </c>
      <c r="AE977" s="12">
        <f t="shared" si="258"/>
        <v>0</v>
      </c>
      <c r="AF977" s="12" t="str">
        <f t="shared" si="259"/>
        <v/>
      </c>
      <c r="AG977" t="str">
        <f>VLOOKUP(J977,'Receivable Invoice Detail'!$A$1:F3989,6,FALSE)</f>
        <v>[W-2/1.5BAH] Pump, W-Series 2/1.5 B-AH, High Chrome, Gland Seal</v>
      </c>
      <c r="AM977" s="12" t="str">
        <f t="shared" si="260"/>
        <v/>
      </c>
      <c r="AN977" s="12" t="str">
        <f t="shared" si="261"/>
        <v/>
      </c>
      <c r="AO977" s="12">
        <f t="shared" si="262"/>
        <v>0</v>
      </c>
      <c r="AP977" s="12" t="str">
        <f t="shared" si="263"/>
        <v/>
      </c>
      <c r="AQ977" s="64" t="str">
        <f t="shared" si="254"/>
        <v/>
      </c>
      <c r="AS977" s="12">
        <f t="shared" si="255"/>
        <v>0</v>
      </c>
      <c r="AT977" t="s">
        <v>5945</v>
      </c>
    </row>
    <row r="978" spans="1:46" hidden="1" x14ac:dyDescent="0.25">
      <c r="A978" s="41">
        <f>CASOPOInvCL!T978</f>
        <v>1</v>
      </c>
      <c r="B978" t="str">
        <f>CASOPOInvCL!Z978</f>
        <v>SO17878</v>
      </c>
      <c r="G978" s="5" t="str">
        <f>CASOPOInvCL!I978</f>
        <v>Ian Trottier</v>
      </c>
      <c r="H978" s="31">
        <f>CASOPOInvCL!U978</f>
        <v>9</v>
      </c>
      <c r="I978" s="31">
        <f>CASOPOInvCL!V978</f>
        <v>2025</v>
      </c>
      <c r="J978" s="5" t="str">
        <f>CASOPOInvCL!AB978</f>
        <v>INV13441</v>
      </c>
      <c r="K978" s="31" t="str">
        <f>CASOPOInvCL!W978</f>
        <v/>
      </c>
      <c r="L978" s="31" t="str">
        <f>CASOPOInvCL!X978</f>
        <v/>
      </c>
      <c r="M978" t="s">
        <v>5945</v>
      </c>
      <c r="N978" s="5" t="str">
        <f>CASOPOInvCL!AF978</f>
        <v>Lantic Inc.</v>
      </c>
      <c r="O978" s="16" t="str">
        <f>CASOPOInvCL!AG978</f>
        <v>CAD</v>
      </c>
      <c r="P978" s="16">
        <f>CASOPOInvCL!AH978</f>
        <v>1298.0999999999999</v>
      </c>
      <c r="Q978" s="16">
        <f>CASOPOInvCL!AI978</f>
        <v>940.79775305418059</v>
      </c>
      <c r="R978" s="32" t="str">
        <f>CASOPOInvCL!AU978</f>
        <v/>
      </c>
      <c r="S978" s="16">
        <f>CASOPOInvCL!AV978</f>
        <v>0</v>
      </c>
      <c r="T978" s="16">
        <f>CASOPOInvCL!AW978</f>
        <v>0</v>
      </c>
      <c r="Y978" s="29" t="str">
        <f>IFERROR(HLOOKUP(U978,List!$D$2:$H$6,2,FALSE),"")</f>
        <v/>
      </c>
      <c r="Z978" s="29" t="str">
        <f>IFERROR(HLOOKUP(V978,List!$D$2:$H$6,3,FALSE),"")</f>
        <v/>
      </c>
      <c r="AA978" s="29" t="str">
        <f>IFERROR(HLOOKUP(W978,List!$D$2:$H$6,4,FALSE),"")</f>
        <v/>
      </c>
      <c r="AB978" s="29" t="str">
        <f>IFERROR(HLOOKUP(X978,List!$D$2:$H$6,5,FALSE),"")</f>
        <v/>
      </c>
      <c r="AC978" s="12" t="str">
        <f t="shared" si="256"/>
        <v/>
      </c>
      <c r="AD978" s="12" t="str">
        <f t="shared" si="257"/>
        <v/>
      </c>
      <c r="AE978" s="12" t="str">
        <f t="shared" si="258"/>
        <v/>
      </c>
      <c r="AF978" s="12" t="str">
        <f t="shared" si="259"/>
        <v/>
      </c>
      <c r="AG978" t="e">
        <f>VLOOKUP(J978,'Receivable Invoice Detail'!$A$1:F3990,6,FALSE)</f>
        <v>#N/A</v>
      </c>
      <c r="AM978" s="12" t="str">
        <f t="shared" si="260"/>
        <v/>
      </c>
      <c r="AN978" s="12" t="str">
        <f t="shared" si="261"/>
        <v/>
      </c>
      <c r="AO978" s="12" t="str">
        <f t="shared" si="262"/>
        <v/>
      </c>
      <c r="AP978" s="12" t="str">
        <f t="shared" si="263"/>
        <v/>
      </c>
      <c r="AQ978" s="64" t="str">
        <f t="shared" si="254"/>
        <v/>
      </c>
      <c r="AS978" s="12">
        <f t="shared" si="255"/>
        <v>0</v>
      </c>
      <c r="AT978" t="s">
        <v>5945</v>
      </c>
    </row>
    <row r="979" spans="1:46" hidden="1" x14ac:dyDescent="0.25">
      <c r="A979" s="41">
        <f>CASOPOInvCL!T979</f>
        <v>1</v>
      </c>
      <c r="B979" t="str">
        <f>CASOPOInvCL!Z979</f>
        <v>SO17879</v>
      </c>
      <c r="G979" s="5" t="str">
        <f>CASOPOInvCL!I979</f>
        <v>Ian Trottier</v>
      </c>
      <c r="H979" s="31">
        <f>CASOPOInvCL!U979</f>
        <v>9</v>
      </c>
      <c r="I979" s="31">
        <f>CASOPOInvCL!V979</f>
        <v>2025</v>
      </c>
      <c r="J979" s="5" t="str">
        <f>CASOPOInvCL!AB979</f>
        <v>INV13736</v>
      </c>
      <c r="K979" s="31" t="str">
        <f>CASOPOInvCL!W979</f>
        <v/>
      </c>
      <c r="L979" s="31" t="str">
        <f>CASOPOInvCL!X979</f>
        <v/>
      </c>
      <c r="M979" t="s">
        <v>5945</v>
      </c>
      <c r="N979" s="5" t="str">
        <f>CASOPOInvCL!AF979</f>
        <v>Cameco Corporation - Blind River Refinery</v>
      </c>
      <c r="O979" s="16" t="str">
        <f>CASOPOInvCL!AG979</f>
        <v>CAD</v>
      </c>
      <c r="P979" s="16">
        <f>CASOPOInvCL!AH979</f>
        <v>8796.2800000000007</v>
      </c>
      <c r="Q979" s="16">
        <f>CASOPOInvCL!AI979</f>
        <v>6358.1297278376314</v>
      </c>
      <c r="R979" s="32" t="str">
        <f>CASOPOInvCL!AU979</f>
        <v/>
      </c>
      <c r="S979" s="16">
        <f>CASOPOInvCL!AV979</f>
        <v>0</v>
      </c>
      <c r="T979" s="16">
        <f>CASOPOInvCL!AW979</f>
        <v>0</v>
      </c>
      <c r="Y979" s="29" t="str">
        <f>IFERROR(HLOOKUP(U979,List!$D$2:$H$6,2,FALSE),"")</f>
        <v/>
      </c>
      <c r="Z979" s="29" t="str">
        <f>IFERROR(HLOOKUP(V979,List!$D$2:$H$6,3,FALSE),"")</f>
        <v/>
      </c>
      <c r="AA979" s="29" t="str">
        <f>IFERROR(HLOOKUP(W979,List!$D$2:$H$6,4,FALSE),"")</f>
        <v/>
      </c>
      <c r="AB979" s="29" t="str">
        <f>IFERROR(HLOOKUP(X979,List!$D$2:$H$6,5,FALSE),"")</f>
        <v/>
      </c>
      <c r="AC979" s="12" t="str">
        <f t="shared" si="256"/>
        <v/>
      </c>
      <c r="AD979" s="12" t="str">
        <f t="shared" si="257"/>
        <v/>
      </c>
      <c r="AE979" s="12" t="str">
        <f t="shared" si="258"/>
        <v/>
      </c>
      <c r="AF979" s="12" t="str">
        <f t="shared" si="259"/>
        <v/>
      </c>
      <c r="AG979" t="str">
        <f>VLOOKUP(J979,'Receivable Invoice Detail'!$A$1:F3991,6,FALSE)</f>
        <v>Impeller, 12x14-22, 3175-L, 316SS, 4-Vane</v>
      </c>
      <c r="AM979" s="12" t="str">
        <f t="shared" si="260"/>
        <v/>
      </c>
      <c r="AN979" s="12" t="str">
        <f t="shared" si="261"/>
        <v/>
      </c>
      <c r="AO979" s="12" t="str">
        <f t="shared" si="262"/>
        <v/>
      </c>
      <c r="AP979" s="12" t="str">
        <f t="shared" si="263"/>
        <v/>
      </c>
      <c r="AQ979" s="64" t="str">
        <f t="shared" si="254"/>
        <v/>
      </c>
      <c r="AS979" s="12">
        <f t="shared" si="255"/>
        <v>0</v>
      </c>
      <c r="AT979" t="s">
        <v>5945</v>
      </c>
    </row>
    <row r="980" spans="1:46" hidden="1" x14ac:dyDescent="0.25">
      <c r="A980" s="41">
        <f>CASOPOInvCL!T980</f>
        <v>1</v>
      </c>
      <c r="B980" t="str">
        <f>CASOPOInvCL!Z980</f>
        <v>SO17880</v>
      </c>
      <c r="D980" t="s">
        <v>5851</v>
      </c>
      <c r="G980" s="5" t="str">
        <f>CASOPOInvCL!I980</f>
        <v>Alexis Gil Lamadrid</v>
      </c>
      <c r="H980" s="31">
        <f>CASOPOInvCL!U980</f>
        <v>9</v>
      </c>
      <c r="I980" s="31">
        <f>CASOPOInvCL!V980</f>
        <v>2025</v>
      </c>
      <c r="J980" s="5" t="str">
        <f>CASOPOInvCL!AB980</f>
        <v>INV13473</v>
      </c>
      <c r="K980" s="31">
        <f>CASOPOInvCL!W980</f>
        <v>11</v>
      </c>
      <c r="L980" s="31">
        <f>CASOPOInvCL!X980</f>
        <v>2025</v>
      </c>
      <c r="M980">
        <v>2504</v>
      </c>
      <c r="N980" s="5" t="str">
        <f>CASOPOInvCL!AF980</f>
        <v>Resolute Forest Products - Saint-Felicien</v>
      </c>
      <c r="O980" s="16" t="str">
        <f>CASOPOInvCL!AG980</f>
        <v>CAD</v>
      </c>
      <c r="P980" s="16">
        <f>CASOPOInvCL!AH980</f>
        <v>1353.38</v>
      </c>
      <c r="Q980" s="16">
        <f>CASOPOInvCL!AI980</f>
        <v>971.57418583050651</v>
      </c>
      <c r="R980" s="32" t="str">
        <f>CASOPOInvCL!AU980</f>
        <v>Yes</v>
      </c>
      <c r="S980" s="16">
        <f>CASOPOInvCL!AV980</f>
        <v>0</v>
      </c>
      <c r="T980" s="16">
        <f>CASOPOInvCL!AW980</f>
        <v>971.57418583050651</v>
      </c>
      <c r="V980" t="s">
        <v>5800</v>
      </c>
      <c r="Y980" s="29" t="str">
        <f>IFERROR(HLOOKUP(U980,List!$D$2:$H$6,2,FALSE),"")</f>
        <v/>
      </c>
      <c r="Z980" s="29">
        <f>IFERROR(HLOOKUP(V980,List!$D$2:$H$6,3,FALSE),"")</f>
        <v>5.0000000000000001E-3</v>
      </c>
      <c r="AA980" s="29" t="str">
        <f>IFERROR(HLOOKUP(W980,List!$D$2:$H$6,4,FALSE),"")</f>
        <v/>
      </c>
      <c r="AB980" s="29" t="str">
        <f>IFERROR(HLOOKUP(X980,List!$D$2:$H$6,5,FALSE),"")</f>
        <v/>
      </c>
      <c r="AC980" s="12" t="str">
        <f t="shared" si="256"/>
        <v/>
      </c>
      <c r="AD980" s="12">
        <f t="shared" si="257"/>
        <v>4.8578709291525328</v>
      </c>
      <c r="AE980" s="12" t="str">
        <f t="shared" si="258"/>
        <v/>
      </c>
      <c r="AF980" s="12" t="str">
        <f t="shared" si="259"/>
        <v/>
      </c>
      <c r="AG980" t="str">
        <f>VLOOKUP(J980,'Receivable Invoice Detail'!$A$1:F3992,6,FALSE)</f>
        <v>[AC-52-319-367-100] Impeller, 3x1.5-8.5, Allis Chalmers CSO, 316SS</v>
      </c>
      <c r="AM980" s="12" t="str">
        <f t="shared" si="260"/>
        <v/>
      </c>
      <c r="AN980" s="12">
        <f t="shared" si="261"/>
        <v>4.8578709291525328</v>
      </c>
      <c r="AO980" s="12" t="str">
        <f t="shared" si="262"/>
        <v/>
      </c>
      <c r="AP980" s="12" t="str">
        <f t="shared" si="263"/>
        <v/>
      </c>
      <c r="AQ980" s="64">
        <f t="shared" si="254"/>
        <v>2504</v>
      </c>
      <c r="AR980" t="s">
        <v>5931</v>
      </c>
      <c r="AS980" s="12">
        <f t="shared" si="255"/>
        <v>224.73001519478498</v>
      </c>
      <c r="AT980" t="s">
        <v>4388</v>
      </c>
    </row>
    <row r="981" spans="1:46" hidden="1" x14ac:dyDescent="0.25">
      <c r="A981" s="41">
        <f>CASOPOInvCL!T981</f>
        <v>1</v>
      </c>
      <c r="B981" t="str">
        <f>CASOPOInvCL!Z981</f>
        <v>SO17889</v>
      </c>
      <c r="D981" t="s">
        <v>5851</v>
      </c>
      <c r="G981" s="5" t="str">
        <f>CASOPOInvCL!I981</f>
        <v>Ian Trottier</v>
      </c>
      <c r="H981" s="31">
        <f>CASOPOInvCL!U981</f>
        <v>9</v>
      </c>
      <c r="I981" s="31">
        <f>CASOPOInvCL!V981</f>
        <v>2025</v>
      </c>
      <c r="J981" s="5" t="str">
        <f>CASOPOInvCL!AB981</f>
        <v>INV13424</v>
      </c>
      <c r="K981" s="31">
        <f>CASOPOInvCL!W981</f>
        <v>10</v>
      </c>
      <c r="L981" s="31">
        <f>CASOPOInvCL!X981</f>
        <v>2025</v>
      </c>
      <c r="M981">
        <v>2504</v>
      </c>
      <c r="N981" s="5" t="str">
        <f>CASOPOInvCL!AF981</f>
        <v>Hyperflo</v>
      </c>
      <c r="O981" s="16" t="str">
        <f>CASOPOInvCL!AG981</f>
        <v>CAD</v>
      </c>
      <c r="P981" s="16">
        <f>CASOPOInvCL!AH981</f>
        <v>301.74</v>
      </c>
      <c r="Q981" s="16">
        <f>CASOPOInvCL!AI981</f>
        <v>218.40147960023805</v>
      </c>
      <c r="R981" s="32" t="str">
        <f>CASOPOInvCL!AU981</f>
        <v>Yes</v>
      </c>
      <c r="S981" s="16">
        <f>CASOPOInvCL!AV981</f>
        <v>0</v>
      </c>
      <c r="T981" s="16">
        <f>CASOPOInvCL!AW981</f>
        <v>218.40147960023805</v>
      </c>
      <c r="V981" t="s">
        <v>5800</v>
      </c>
      <c r="Y981" s="29" t="str">
        <f>IFERROR(HLOOKUP(U981,List!$D$2:$H$6,2,FALSE),"")</f>
        <v/>
      </c>
      <c r="Z981" s="29">
        <f>IFERROR(HLOOKUP(V981,List!$D$2:$H$6,3,FALSE),"")</f>
        <v>5.0000000000000001E-3</v>
      </c>
      <c r="AA981" s="29" t="str">
        <f>IFERROR(HLOOKUP(W981,List!$D$2:$H$6,4,FALSE),"")</f>
        <v/>
      </c>
      <c r="AB981" s="29" t="str">
        <f>IFERROR(HLOOKUP(X981,List!$D$2:$H$6,5,FALSE),"")</f>
        <v/>
      </c>
      <c r="AC981" s="12" t="str">
        <f t="shared" si="256"/>
        <v/>
      </c>
      <c r="AD981" s="12">
        <f t="shared" si="257"/>
        <v>1.0920073980011902</v>
      </c>
      <c r="AE981" s="12" t="str">
        <f t="shared" si="258"/>
        <v/>
      </c>
      <c r="AF981" s="12" t="str">
        <f t="shared" si="259"/>
        <v/>
      </c>
      <c r="AG981" t="str">
        <f>VLOOKUP(J981,'Receivable Invoice Detail'!$A$1:F3993,6,FALSE)</f>
        <v>[AC-98-233-733-514] Deflector (Water Slinger), 2x2-10 SRL, Neoprene/Steel</v>
      </c>
      <c r="AM981" s="12" t="str">
        <f t="shared" si="260"/>
        <v/>
      </c>
      <c r="AN981" s="12">
        <f t="shared" si="261"/>
        <v>1.0920073980011902</v>
      </c>
      <c r="AO981" s="12" t="str">
        <f t="shared" si="262"/>
        <v/>
      </c>
      <c r="AP981" s="12" t="str">
        <f t="shared" si="263"/>
        <v/>
      </c>
      <c r="AQ981" s="64">
        <f t="shared" si="254"/>
        <v>2504</v>
      </c>
      <c r="AR981" t="s">
        <v>5931</v>
      </c>
      <c r="AS981" s="12">
        <f t="shared" si="255"/>
        <v>0</v>
      </c>
      <c r="AT981" t="s">
        <v>4388</v>
      </c>
    </row>
    <row r="982" spans="1:46" hidden="1" x14ac:dyDescent="0.25">
      <c r="A982" s="41">
        <f>CASOPOInvCL!T982</f>
        <v>2</v>
      </c>
      <c r="B982" t="str">
        <f>CASOPOInvCL!Z982</f>
        <v>SO17892</v>
      </c>
      <c r="G982" s="5" t="str">
        <f>CASOPOInvCL!I982</f>
        <v>Alexis Gil Lamadrid</v>
      </c>
      <c r="H982" s="31">
        <f>CASOPOInvCL!U982</f>
        <v>9</v>
      </c>
      <c r="I982" s="31">
        <f>CASOPOInvCL!V982</f>
        <v>2025</v>
      </c>
      <c r="J982" s="5" t="str">
        <f>CASOPOInvCL!AB982</f>
        <v>INV13577</v>
      </c>
      <c r="K982" s="31">
        <f>CASOPOInvCL!W982</f>
        <v>12</v>
      </c>
      <c r="L982" s="31">
        <f>CASOPOInvCL!X982</f>
        <v>2025</v>
      </c>
      <c r="M982" t="s">
        <v>5945</v>
      </c>
      <c r="N982" s="5" t="str">
        <f>CASOPOInvCL!AF982</f>
        <v>Canadian Industrial Pumps Ltd</v>
      </c>
      <c r="O982" s="16" t="str">
        <f>CASOPOInvCL!AG982</f>
        <v>CAD</v>
      </c>
      <c r="P982" s="16">
        <f>CASOPOInvCL!AH982</f>
        <v>3462.42</v>
      </c>
      <c r="Q982" s="16">
        <f>CASOPOInvCL!AI982</f>
        <v>2491.7606209707242</v>
      </c>
      <c r="R982" s="32" t="str">
        <f>CASOPOInvCL!AU982</f>
        <v>Yes</v>
      </c>
      <c r="S982" s="16">
        <f>CASOPOInvCL!AV982</f>
        <v>0</v>
      </c>
      <c r="T982" s="16">
        <f>CASOPOInvCL!AW982</f>
        <v>2491.7606209707242</v>
      </c>
      <c r="Y982" s="29" t="str">
        <f>IFERROR(HLOOKUP(U982,List!$D$2:$H$6,2,FALSE),"")</f>
        <v/>
      </c>
      <c r="Z982" s="29" t="str">
        <f>IFERROR(HLOOKUP(V982,List!$D$2:$H$6,3,FALSE),"")</f>
        <v/>
      </c>
      <c r="AA982" s="29" t="str">
        <f>IFERROR(HLOOKUP(W982,List!$D$2:$H$6,4,FALSE),"")</f>
        <v/>
      </c>
      <c r="AB982" s="29" t="str">
        <f>IFERROR(HLOOKUP(X982,List!$D$2:$H$6,5,FALSE),"")</f>
        <v/>
      </c>
      <c r="AC982" s="12" t="str">
        <f t="shared" si="256"/>
        <v/>
      </c>
      <c r="AD982" s="12" t="str">
        <f t="shared" si="257"/>
        <v/>
      </c>
      <c r="AE982" s="12" t="str">
        <f t="shared" si="258"/>
        <v/>
      </c>
      <c r="AF982" s="12" t="str">
        <f t="shared" si="259"/>
        <v/>
      </c>
      <c r="AG982" t="str">
        <f>VLOOKUP(J982,'Receivable Invoice Detail'!$A$1:F3994,6,FALSE)</f>
        <v>[AC-98-331-958-823] Shaft Sleeve, 2x2-10 SRL, 420SS Heat Treated, Hardened</v>
      </c>
      <c r="AM982" s="12" t="str">
        <f t="shared" si="260"/>
        <v/>
      </c>
      <c r="AN982" s="12" t="str">
        <f t="shared" si="261"/>
        <v/>
      </c>
      <c r="AO982" s="12" t="str">
        <f t="shared" si="262"/>
        <v/>
      </c>
      <c r="AP982" s="12" t="str">
        <f t="shared" si="263"/>
        <v/>
      </c>
      <c r="AQ982" s="64" t="str">
        <f t="shared" si="254"/>
        <v/>
      </c>
      <c r="AS982" s="12">
        <f t="shared" si="255"/>
        <v>63.222935297428045</v>
      </c>
      <c r="AT982" t="s">
        <v>5945</v>
      </c>
    </row>
    <row r="983" spans="1:46" hidden="1" x14ac:dyDescent="0.25">
      <c r="A983" s="41">
        <f>CASOPOInvCL!T983</f>
        <v>2</v>
      </c>
      <c r="B983" t="str">
        <f>CASOPOInvCL!Z983</f>
        <v>SO17892</v>
      </c>
      <c r="G983" s="5">
        <f>CASOPOInvCL!I983</f>
        <v>0</v>
      </c>
      <c r="H983" s="31">
        <f>CASOPOInvCL!U983</f>
        <v>9</v>
      </c>
      <c r="I983" s="31">
        <f>CASOPOInvCL!V983</f>
        <v>2025</v>
      </c>
      <c r="J983" s="5" t="str">
        <f>CASOPOInvCL!AB983</f>
        <v>INV13598</v>
      </c>
      <c r="K983" s="31">
        <f>CASOPOInvCL!W983</f>
        <v>12</v>
      </c>
      <c r="L983" s="31">
        <f>CASOPOInvCL!X983</f>
        <v>2025</v>
      </c>
      <c r="M983" t="s">
        <v>5945</v>
      </c>
      <c r="N983" s="5" t="str">
        <f>CASOPOInvCL!AF983</f>
        <v>Canadian Industrial Pumps Ltd</v>
      </c>
      <c r="O983" s="16" t="str">
        <f>CASOPOInvCL!AG983</f>
        <v>CAD</v>
      </c>
      <c r="P983" s="16">
        <f>CASOPOInvCL!AH983</f>
        <v>0</v>
      </c>
      <c r="Q983" s="16">
        <f>CASOPOInvCL!AI983</f>
        <v>0</v>
      </c>
      <c r="R983" s="32" t="str">
        <f>CASOPOInvCL!AU983</f>
        <v/>
      </c>
      <c r="S983" s="16">
        <f>CASOPOInvCL!AV983</f>
        <v>0</v>
      </c>
      <c r="T983" s="16">
        <f>CASOPOInvCL!AW983</f>
        <v>0</v>
      </c>
      <c r="Y983" s="29" t="str">
        <f>IFERROR(HLOOKUP(U983,List!$D$2:$H$6,2,FALSE),"")</f>
        <v/>
      </c>
      <c r="Z983" s="29" t="str">
        <f>IFERROR(HLOOKUP(V983,List!$D$2:$H$6,3,FALSE),"")</f>
        <v/>
      </c>
      <c r="AA983" s="29" t="str">
        <f>IFERROR(HLOOKUP(W983,List!$D$2:$H$6,4,FALSE),"")</f>
        <v/>
      </c>
      <c r="AB983" s="29" t="str">
        <f>IFERROR(HLOOKUP(X983,List!$D$2:$H$6,5,FALSE),"")</f>
        <v/>
      </c>
      <c r="AC983" s="12" t="str">
        <f t="shared" si="256"/>
        <v/>
      </c>
      <c r="AD983" s="12" t="str">
        <f t="shared" si="257"/>
        <v/>
      </c>
      <c r="AE983" s="12" t="str">
        <f t="shared" si="258"/>
        <v/>
      </c>
      <c r="AF983" s="12" t="str">
        <f t="shared" si="259"/>
        <v/>
      </c>
      <c r="AG983" t="str">
        <f>VLOOKUP(J983,'Receivable Invoice Detail'!$A$1:F3995,6,FALSE)</f>
        <v>[CR11138, G-8690-93353] Bearing Seal (Outboard), 2x2-10 SRL, Neoprene/Steel</v>
      </c>
      <c r="AM983" s="12" t="str">
        <f t="shared" si="260"/>
        <v/>
      </c>
      <c r="AN983" s="12" t="str">
        <f t="shared" si="261"/>
        <v/>
      </c>
      <c r="AO983" s="12" t="str">
        <f t="shared" si="262"/>
        <v/>
      </c>
      <c r="AP983" s="12" t="str">
        <f t="shared" si="263"/>
        <v/>
      </c>
      <c r="AQ983" s="64" t="str">
        <f t="shared" si="254"/>
        <v/>
      </c>
      <c r="AS983" s="12">
        <f t="shared" si="255"/>
        <v>6.0860575365236347</v>
      </c>
      <c r="AT983" t="s">
        <v>5945</v>
      </c>
    </row>
    <row r="984" spans="1:46" hidden="1" x14ac:dyDescent="0.25">
      <c r="A984" s="41">
        <f>CASOPOInvCL!T984</f>
        <v>1</v>
      </c>
      <c r="B984" t="str">
        <f>CASOPOInvCL!Z984</f>
        <v>SO17893</v>
      </c>
      <c r="G984" s="5" t="str">
        <f>CASOPOInvCL!I984</f>
        <v>Ian Trottier</v>
      </c>
      <c r="H984" s="31">
        <f>CASOPOInvCL!U984</f>
        <v>9</v>
      </c>
      <c r="I984" s="31">
        <f>CASOPOInvCL!V984</f>
        <v>2025</v>
      </c>
      <c r="J984" s="5" t="str">
        <f>CASOPOInvCL!AB984</f>
        <v>INV13498</v>
      </c>
      <c r="K984" s="31">
        <f>CASOPOInvCL!W984</f>
        <v>10</v>
      </c>
      <c r="L984" s="31">
        <f>CASOPOInvCL!X984</f>
        <v>2025</v>
      </c>
      <c r="M984" t="s">
        <v>5945</v>
      </c>
      <c r="N984" s="5" t="str">
        <f>CASOPOInvCL!AF984</f>
        <v>Motion Industries Inc. (Canada) - Prince George</v>
      </c>
      <c r="O984" s="16" t="str">
        <f>CASOPOInvCL!AG984</f>
        <v>CAD</v>
      </c>
      <c r="P984" s="16">
        <f>CASOPOInvCL!AH984</f>
        <v>1863.92</v>
      </c>
      <c r="Q984" s="16">
        <f>CASOPOInvCL!AI984</f>
        <v>1338.6221652803242</v>
      </c>
      <c r="R984" s="32" t="str">
        <f>CASOPOInvCL!AU984</f>
        <v>Yes</v>
      </c>
      <c r="S984" s="16">
        <f>CASOPOInvCL!AV984</f>
        <v>0</v>
      </c>
      <c r="T984" s="16">
        <f>CASOPOInvCL!AW984</f>
        <v>1338.6221652803242</v>
      </c>
      <c r="Y984" s="29" t="str">
        <f>IFERROR(HLOOKUP(U984,List!$D$2:$H$6,2,FALSE),"")</f>
        <v/>
      </c>
      <c r="Z984" s="29" t="str">
        <f>IFERROR(HLOOKUP(V984,List!$D$2:$H$6,3,FALSE),"")</f>
        <v/>
      </c>
      <c r="AA984" s="29" t="str">
        <f>IFERROR(HLOOKUP(W984,List!$D$2:$H$6,4,FALSE),"")</f>
        <v/>
      </c>
      <c r="AB984" s="29" t="str">
        <f>IFERROR(HLOOKUP(X984,List!$D$2:$H$6,5,FALSE),"")</f>
        <v/>
      </c>
      <c r="AC984" s="12" t="str">
        <f t="shared" si="256"/>
        <v/>
      </c>
      <c r="AD984" s="12" t="str">
        <f t="shared" si="257"/>
        <v/>
      </c>
      <c r="AE984" s="12" t="str">
        <f t="shared" si="258"/>
        <v/>
      </c>
      <c r="AF984" s="12" t="str">
        <f t="shared" si="259"/>
        <v/>
      </c>
      <c r="AG984" t="str">
        <f>VLOOKUP(J984,'Receivable Invoice Detail'!$A$1:F3996,6,FALSE)</f>
        <v>[SA-138413-M1] Casing, Sala 2", SPV, VT50, Rubber Lined</v>
      </c>
      <c r="AM984" s="12" t="str">
        <f t="shared" si="260"/>
        <v/>
      </c>
      <c r="AN984" s="12" t="str">
        <f t="shared" si="261"/>
        <v/>
      </c>
      <c r="AO984" s="12" t="str">
        <f t="shared" si="262"/>
        <v/>
      </c>
      <c r="AP984" s="12" t="str">
        <f t="shared" si="263"/>
        <v/>
      </c>
      <c r="AQ984" s="64" t="str">
        <f t="shared" si="254"/>
        <v/>
      </c>
      <c r="AS984" s="12">
        <f t="shared" si="255"/>
        <v>0</v>
      </c>
      <c r="AT984" t="s">
        <v>5945</v>
      </c>
    </row>
    <row r="985" spans="1:46" hidden="1" x14ac:dyDescent="0.25">
      <c r="A985" s="41">
        <f>CASOPOInvCL!T985</f>
        <v>0</v>
      </c>
      <c r="B985" t="str">
        <f>CASOPOInvCL!Z985</f>
        <v>SO17895</v>
      </c>
      <c r="G985" s="5" t="str">
        <f>CASOPOInvCL!I985</f>
        <v>Amanda Qiao</v>
      </c>
      <c r="H985" s="31">
        <f>CASOPOInvCL!U985</f>
        <v>9</v>
      </c>
      <c r="I985" s="31">
        <f>CASOPOInvCL!V985</f>
        <v>2025</v>
      </c>
      <c r="J985" s="5" t="str">
        <f>CASOPOInvCL!AB985</f>
        <v>No Inv</v>
      </c>
      <c r="K985" s="31" t="str">
        <f>CASOPOInvCL!W985</f>
        <v/>
      </c>
      <c r="L985" s="31" t="str">
        <f>CASOPOInvCL!X985</f>
        <v/>
      </c>
      <c r="M985" t="s">
        <v>5945</v>
      </c>
      <c r="N985" s="5" t="str">
        <f>CASOPOInvCL!AF985</f>
        <v>Mill-Right Mine Services Inc.</v>
      </c>
      <c r="O985" s="16" t="str">
        <f>CASOPOInvCL!AG985</f>
        <v>USD</v>
      </c>
      <c r="P985" s="16">
        <f>CASOPOInvCL!AH985</f>
        <v>3675.0135643271769</v>
      </c>
      <c r="Q985" s="16">
        <f>CASOPOInvCL!AI985</f>
        <v>2660</v>
      </c>
      <c r="R985" s="32" t="str">
        <f>CASOPOInvCL!AU985</f>
        <v/>
      </c>
      <c r="S985" s="16">
        <f>CASOPOInvCL!AV985</f>
        <v>0</v>
      </c>
      <c r="T985" s="16">
        <f>CASOPOInvCL!AW985</f>
        <v>0</v>
      </c>
      <c r="Y985" s="29" t="str">
        <f>IFERROR(HLOOKUP(U985,List!$D$2:$H$6,2,FALSE),"")</f>
        <v/>
      </c>
      <c r="Z985" s="29" t="str">
        <f>IFERROR(HLOOKUP(V985,List!$D$2:$H$6,3,FALSE),"")</f>
        <v/>
      </c>
      <c r="AA985" s="29" t="str">
        <f>IFERROR(HLOOKUP(W985,List!$D$2:$H$6,4,FALSE),"")</f>
        <v/>
      </c>
      <c r="AB985" s="29" t="str">
        <f>IFERROR(HLOOKUP(X985,List!$D$2:$H$6,5,FALSE),"")</f>
        <v/>
      </c>
      <c r="AC985" s="12" t="str">
        <f t="shared" si="256"/>
        <v/>
      </c>
      <c r="AD985" s="12" t="str">
        <f t="shared" si="257"/>
        <v/>
      </c>
      <c r="AE985" s="12" t="str">
        <f t="shared" si="258"/>
        <v/>
      </c>
      <c r="AF985" s="12" t="str">
        <f t="shared" si="259"/>
        <v/>
      </c>
      <c r="AG985" t="e">
        <f>VLOOKUP(J985,'Receivable Invoice Detail'!$A$1:F3997,6,FALSE)</f>
        <v>#N/A</v>
      </c>
      <c r="AM985" s="12" t="str">
        <f t="shared" si="260"/>
        <v/>
      </c>
      <c r="AN985" s="12" t="str">
        <f t="shared" si="261"/>
        <v/>
      </c>
      <c r="AO985" s="12" t="str">
        <f t="shared" si="262"/>
        <v/>
      </c>
      <c r="AP985" s="12" t="str">
        <f t="shared" si="263"/>
        <v/>
      </c>
      <c r="AQ985" s="64" t="str">
        <f t="shared" si="254"/>
        <v/>
      </c>
      <c r="AS985" s="12">
        <f t="shared" si="255"/>
        <v>0</v>
      </c>
      <c r="AT985" t="s">
        <v>5945</v>
      </c>
    </row>
    <row r="986" spans="1:46" hidden="1" x14ac:dyDescent="0.25">
      <c r="A986" s="41">
        <f>CASOPOInvCL!T986</f>
        <v>1</v>
      </c>
      <c r="B986" t="str">
        <f>CASOPOInvCL!Z986</f>
        <v>SO17896</v>
      </c>
      <c r="D986" t="s">
        <v>5915</v>
      </c>
      <c r="G986" s="5" t="str">
        <f>CASOPOInvCL!I986</f>
        <v>Wilka Nuñez</v>
      </c>
      <c r="H986" s="31">
        <f>CASOPOInvCL!U986</f>
        <v>9</v>
      </c>
      <c r="I986" s="31">
        <f>CASOPOInvCL!V986</f>
        <v>2025</v>
      </c>
      <c r="J986" s="5" t="str">
        <f>CASOPOInvCL!AB986</f>
        <v>INV13485</v>
      </c>
      <c r="K986" s="31">
        <f>CASOPOInvCL!W986</f>
        <v>11</v>
      </c>
      <c r="L986" s="31">
        <f>CASOPOInvCL!X986</f>
        <v>2025</v>
      </c>
      <c r="M986">
        <v>2504</v>
      </c>
      <c r="N986" s="5" t="str">
        <f>CASOPOInvCL!AF986</f>
        <v>Wajax Limited - Noranda</v>
      </c>
      <c r="O986" s="16" t="str">
        <f>CASOPOInvCL!AG986</f>
        <v>CAD</v>
      </c>
      <c r="P986" s="16">
        <f>CASOPOInvCL!AH986</f>
        <v>759.21</v>
      </c>
      <c r="Q986" s="16">
        <f>CASOPOInvCL!AI986</f>
        <v>544.34415746592617</v>
      </c>
      <c r="R986" s="32" t="str">
        <f>CASOPOInvCL!AU986</f>
        <v>Yes</v>
      </c>
      <c r="S986" s="16">
        <f>CASOPOInvCL!AV986</f>
        <v>0</v>
      </c>
      <c r="T986" s="16">
        <f>CASOPOInvCL!AW986</f>
        <v>544.34415746592617</v>
      </c>
      <c r="V986" t="s">
        <v>5800</v>
      </c>
      <c r="Y986" s="29" t="str">
        <f>IFERROR(HLOOKUP(U986,List!$D$2:$H$6,2,FALSE),"")</f>
        <v/>
      </c>
      <c r="Z986" s="29">
        <f>IFERROR(HLOOKUP(V986,List!$D$2:$H$6,3,FALSE),"")</f>
        <v>5.0000000000000001E-3</v>
      </c>
      <c r="AA986" s="29" t="str">
        <f>IFERROR(HLOOKUP(W986,List!$D$2:$H$6,4,FALSE),"")</f>
        <v/>
      </c>
      <c r="AB986" s="29" t="str">
        <f>IFERROR(HLOOKUP(X986,List!$D$2:$H$6,5,FALSE),"")</f>
        <v/>
      </c>
      <c r="AC986" s="12" t="str">
        <f t="shared" si="256"/>
        <v/>
      </c>
      <c r="AD986" s="12">
        <f t="shared" si="257"/>
        <v>2.7217207873296307</v>
      </c>
      <c r="AE986" s="12" t="str">
        <f t="shared" si="258"/>
        <v/>
      </c>
      <c r="AF986" s="12" t="str">
        <f t="shared" si="259"/>
        <v/>
      </c>
      <c r="AG986" t="str">
        <f>VLOOKUP(J986,'Receivable Invoice Detail'!$A$1:F3998,6,FALSE)</f>
        <v>[AC-98-233-979-003] Sleeve Washer (Impeller), 5x5/5x4/6x6 SRL &amp; SRL-C</v>
      </c>
      <c r="AM986" s="12" t="str">
        <f t="shared" si="260"/>
        <v/>
      </c>
      <c r="AN986" s="12">
        <f t="shared" si="261"/>
        <v>2.7217207873296307</v>
      </c>
      <c r="AO986" s="12" t="str">
        <f t="shared" si="262"/>
        <v/>
      </c>
      <c r="AP986" s="12" t="str">
        <f t="shared" si="263"/>
        <v/>
      </c>
      <c r="AQ986" s="64">
        <f t="shared" si="254"/>
        <v>2504</v>
      </c>
      <c r="AR986" t="s">
        <v>5931</v>
      </c>
      <c r="AS986" s="12">
        <f t="shared" si="255"/>
        <v>0</v>
      </c>
      <c r="AT986" t="s">
        <v>4388</v>
      </c>
    </row>
    <row r="987" spans="1:46" hidden="1" x14ac:dyDescent="0.25">
      <c r="A987" s="41">
        <f>CASOPOInvCL!T987</f>
        <v>1</v>
      </c>
      <c r="B987" t="str">
        <f>CASOPOInvCL!Z987</f>
        <v>SO17897</v>
      </c>
      <c r="G987" s="5" t="str">
        <f>CASOPOInvCL!I987</f>
        <v>Yannett Yeomans</v>
      </c>
      <c r="H987" s="31">
        <f>CASOPOInvCL!U987</f>
        <v>9</v>
      </c>
      <c r="I987" s="31">
        <f>CASOPOInvCL!V987</f>
        <v>2025</v>
      </c>
      <c r="J987" s="5" t="str">
        <f>CASOPOInvCL!AB987</f>
        <v>INV13520</v>
      </c>
      <c r="K987" s="31" t="str">
        <f>CASOPOInvCL!W987</f>
        <v/>
      </c>
      <c r="L987" s="31" t="str">
        <f>CASOPOInvCL!X987</f>
        <v/>
      </c>
      <c r="M987" t="s">
        <v>5945</v>
      </c>
      <c r="N987" s="5" t="str">
        <f>CASOPOInvCL!AF987</f>
        <v>Dynapro Pumps México S de RL de CV</v>
      </c>
      <c r="O987" s="16" t="str">
        <f>CASOPOInvCL!AG987</f>
        <v>USD</v>
      </c>
      <c r="P987" s="16">
        <f>CASOPOInvCL!AH987</f>
        <v>690.79202336977005</v>
      </c>
      <c r="Q987" s="16">
        <f>CASOPOInvCL!AI987</f>
        <v>500</v>
      </c>
      <c r="R987" s="32" t="str">
        <f>CASOPOInvCL!AU987</f>
        <v/>
      </c>
      <c r="S987" s="16">
        <f>CASOPOInvCL!AV987</f>
        <v>0</v>
      </c>
      <c r="T987" s="16">
        <f>CASOPOInvCL!AW987</f>
        <v>0</v>
      </c>
      <c r="Y987" s="29" t="str">
        <f>IFERROR(HLOOKUP(U987,List!$D$2:$H$6,2,FALSE),"")</f>
        <v/>
      </c>
      <c r="Z987" s="29" t="str">
        <f>IFERROR(HLOOKUP(V987,List!$D$2:$H$6,3,FALSE),"")</f>
        <v/>
      </c>
      <c r="AA987" s="29" t="str">
        <f>IFERROR(HLOOKUP(W987,List!$D$2:$H$6,4,FALSE),"")</f>
        <v/>
      </c>
      <c r="AB987" s="29" t="str">
        <f>IFERROR(HLOOKUP(X987,List!$D$2:$H$6,5,FALSE),"")</f>
        <v/>
      </c>
      <c r="AC987" s="12" t="str">
        <f t="shared" si="256"/>
        <v/>
      </c>
      <c r="AD987" s="12" t="str">
        <f t="shared" si="257"/>
        <v/>
      </c>
      <c r="AE987" s="12" t="str">
        <f t="shared" si="258"/>
        <v/>
      </c>
      <c r="AF987" s="12" t="str">
        <f t="shared" si="259"/>
        <v/>
      </c>
      <c r="AG987" t="str">
        <f>VLOOKUP(J987,'Receivable Invoice Detail'!$A$1:F3999,6,FALSE)</f>
        <v>[M74-140] Mechanical Seal, XS500-710</v>
      </c>
      <c r="AM987" s="12" t="str">
        <f t="shared" si="260"/>
        <v/>
      </c>
      <c r="AN987" s="12" t="str">
        <f t="shared" si="261"/>
        <v/>
      </c>
      <c r="AO987" s="12" t="str">
        <f t="shared" si="262"/>
        <v/>
      </c>
      <c r="AP987" s="12" t="str">
        <f t="shared" si="263"/>
        <v/>
      </c>
      <c r="AQ987" s="64" t="str">
        <f t="shared" si="254"/>
        <v/>
      </c>
      <c r="AR987" t="s">
        <v>5940</v>
      </c>
      <c r="AS987" s="12">
        <f t="shared" si="255"/>
        <v>14.573612787457597</v>
      </c>
      <c r="AT987" t="s">
        <v>5940</v>
      </c>
    </row>
    <row r="988" spans="1:46" hidden="1" x14ac:dyDescent="0.25">
      <c r="A988" s="41">
        <f>CASOPOInvCL!T988</f>
        <v>1</v>
      </c>
      <c r="B988" t="str">
        <f>CASOPOInvCL!Z988</f>
        <v>SO17898</v>
      </c>
      <c r="G988" s="5" t="str">
        <f>CASOPOInvCL!I988</f>
        <v>Aleksandar Stankovic</v>
      </c>
      <c r="H988" s="31">
        <f>CASOPOInvCL!U988</f>
        <v>9</v>
      </c>
      <c r="I988" s="31">
        <f>CASOPOInvCL!V988</f>
        <v>2025</v>
      </c>
      <c r="J988" s="5" t="str">
        <f>CASOPOInvCL!AB988</f>
        <v>INV13659</v>
      </c>
      <c r="K988" s="31" t="str">
        <f>CASOPOInvCL!W988</f>
        <v/>
      </c>
      <c r="L988" s="31" t="str">
        <f>CASOPOInvCL!X988</f>
        <v/>
      </c>
      <c r="M988" t="s">
        <v>5945</v>
      </c>
      <c r="N988" s="5" t="str">
        <f>CASOPOInvCL!AF988</f>
        <v>Gibraltar Mine (Canada)</v>
      </c>
      <c r="O988" s="16" t="str">
        <f>CASOPOInvCL!AG988</f>
        <v>CAD</v>
      </c>
      <c r="P988" s="16">
        <f>CASOPOInvCL!AH988</f>
        <v>20812.96</v>
      </c>
      <c r="Q988" s="16">
        <f>CASOPOInvCL!AI988</f>
        <v>15044.029942236433</v>
      </c>
      <c r="R988" s="32" t="str">
        <f>CASOPOInvCL!AU988</f>
        <v/>
      </c>
      <c r="S988" s="16">
        <f>CASOPOInvCL!AV988</f>
        <v>0</v>
      </c>
      <c r="T988" s="16">
        <f>CASOPOInvCL!AW988</f>
        <v>0</v>
      </c>
      <c r="Y988" s="29" t="str">
        <f>IFERROR(HLOOKUP(U988,List!$D$2:$H$6,2,FALSE),"")</f>
        <v/>
      </c>
      <c r="Z988" s="29" t="str">
        <f>IFERROR(HLOOKUP(V988,List!$D$2:$H$6,3,FALSE),"")</f>
        <v/>
      </c>
      <c r="AA988" s="29" t="str">
        <f>IFERROR(HLOOKUP(W988,List!$D$2:$H$6,4,FALSE),"")</f>
        <v/>
      </c>
      <c r="AB988" s="29" t="str">
        <f>IFERROR(HLOOKUP(X988,List!$D$2:$H$6,5,FALSE),"")</f>
        <v/>
      </c>
      <c r="AC988" s="12" t="str">
        <f t="shared" si="256"/>
        <v/>
      </c>
      <c r="AD988" s="12" t="str">
        <f t="shared" si="257"/>
        <v/>
      </c>
      <c r="AE988" s="12" t="str">
        <f t="shared" si="258"/>
        <v/>
      </c>
      <c r="AF988" s="12" t="str">
        <f t="shared" si="259"/>
        <v/>
      </c>
      <c r="AG988" t="e">
        <f>VLOOKUP(J988,'Receivable Invoice Detail'!$A$1:F4000,6,FALSE)</f>
        <v>#N/A</v>
      </c>
      <c r="AM988" s="12" t="str">
        <f t="shared" si="260"/>
        <v/>
      </c>
      <c r="AN988" s="12" t="str">
        <f t="shared" si="261"/>
        <v/>
      </c>
      <c r="AO988" s="12" t="str">
        <f t="shared" si="262"/>
        <v/>
      </c>
      <c r="AP988" s="12" t="str">
        <f t="shared" si="263"/>
        <v/>
      </c>
      <c r="AQ988" s="64" t="str">
        <f t="shared" si="254"/>
        <v/>
      </c>
      <c r="AR988" t="s">
        <v>5943</v>
      </c>
      <c r="AS988" s="12">
        <f t="shared" si="255"/>
        <v>3.2760221940035708</v>
      </c>
      <c r="AT988" t="s">
        <v>5945</v>
      </c>
    </row>
    <row r="989" spans="1:46" hidden="1" x14ac:dyDescent="0.25">
      <c r="A989" s="41">
        <f>CASOPOInvCL!T989</f>
        <v>2</v>
      </c>
      <c r="B989" t="str">
        <f>CASOPOInvCL!Z989</f>
        <v>SO17899</v>
      </c>
      <c r="G989" s="5" t="str">
        <f>CASOPOInvCL!I989</f>
        <v>Alexis Gil Lamadrid</v>
      </c>
      <c r="H989" s="31">
        <f>CASOPOInvCL!U989</f>
        <v>9</v>
      </c>
      <c r="I989" s="31">
        <f>CASOPOInvCL!V989</f>
        <v>2025</v>
      </c>
      <c r="J989" s="5" t="str">
        <f>CASOPOInvCL!AB989</f>
        <v>INV13532</v>
      </c>
      <c r="K989" s="31" t="str">
        <f>CASOPOInvCL!W989</f>
        <v/>
      </c>
      <c r="L989" s="31" t="str">
        <f>CASOPOInvCL!X989</f>
        <v/>
      </c>
      <c r="M989" t="s">
        <v>5945</v>
      </c>
      <c r="N989" s="5" t="str">
        <f>CASOPOInvCL!AF989</f>
        <v>Covia Corp - Junction City</v>
      </c>
      <c r="O989" s="16" t="str">
        <f>CASOPOInvCL!AG989</f>
        <v>USD</v>
      </c>
      <c r="P989" s="16">
        <f>CASOPOInvCL!AH989</f>
        <v>5107.189906547178</v>
      </c>
      <c r="Q989" s="16">
        <f>CASOPOInvCL!AI989</f>
        <v>3667.86</v>
      </c>
      <c r="R989" s="32" t="str">
        <f>CASOPOInvCL!AU989</f>
        <v>Yes</v>
      </c>
      <c r="S989" s="16">
        <f>CASOPOInvCL!AV989</f>
        <v>189.32</v>
      </c>
      <c r="T989" s="16">
        <f>CASOPOInvCL!AW989</f>
        <v>3478.54</v>
      </c>
      <c r="Y989" s="29" t="str">
        <f>IFERROR(HLOOKUP(U989,List!$D$2:$H$6,2,FALSE),"")</f>
        <v/>
      </c>
      <c r="Z989" s="29" t="str">
        <f>IFERROR(HLOOKUP(V989,List!$D$2:$H$6,3,FALSE),"")</f>
        <v/>
      </c>
      <c r="AA989" s="29" t="str">
        <f>IFERROR(HLOOKUP(W989,List!$D$2:$H$6,4,FALSE),"")</f>
        <v/>
      </c>
      <c r="AB989" s="29" t="str">
        <f>IFERROR(HLOOKUP(X989,List!$D$2:$H$6,5,FALSE),"")</f>
        <v/>
      </c>
      <c r="AC989" s="12" t="str">
        <f t="shared" si="256"/>
        <v/>
      </c>
      <c r="AD989" s="12" t="str">
        <f t="shared" si="257"/>
        <v/>
      </c>
      <c r="AE989" s="12" t="str">
        <f t="shared" si="258"/>
        <v/>
      </c>
      <c r="AF989" s="12" t="str">
        <f t="shared" si="259"/>
        <v/>
      </c>
      <c r="AG989" t="str">
        <f>VLOOKUP(J989,'Receivable Invoice Detail'!$A$1:F4001,6,FALSE)</f>
        <v>[W-SL30083M/A05] Throatbush, 300 RSL, High Chrome</v>
      </c>
      <c r="AM989" s="12" t="str">
        <f t="shared" si="260"/>
        <v/>
      </c>
      <c r="AN989" s="12" t="str">
        <f t="shared" si="261"/>
        <v/>
      </c>
      <c r="AO989" s="12" t="str">
        <f t="shared" si="262"/>
        <v/>
      </c>
      <c r="AP989" s="12" t="str">
        <f t="shared" si="263"/>
        <v/>
      </c>
      <c r="AQ989" s="64" t="str">
        <f t="shared" si="254"/>
        <v/>
      </c>
      <c r="AS989" s="12">
        <f t="shared" si="255"/>
        <v>37.37640931456086</v>
      </c>
      <c r="AT989" t="s">
        <v>5945</v>
      </c>
    </row>
    <row r="990" spans="1:46" hidden="1" x14ac:dyDescent="0.25">
      <c r="A990" s="41">
        <f>CASOPOInvCL!T990</f>
        <v>2</v>
      </c>
      <c r="B990" t="str">
        <f>CASOPOInvCL!Z990</f>
        <v>SO17899</v>
      </c>
      <c r="G990" s="5">
        <f>CASOPOInvCL!I990</f>
        <v>0</v>
      </c>
      <c r="H990" s="31">
        <f>CASOPOInvCL!U990</f>
        <v>9</v>
      </c>
      <c r="I990" s="31">
        <f>CASOPOInvCL!V990</f>
        <v>2025</v>
      </c>
      <c r="J990" s="5" t="str">
        <f>CASOPOInvCL!AB990</f>
        <v>INV13553</v>
      </c>
      <c r="K990" s="31" t="str">
        <f>CASOPOInvCL!W990</f>
        <v/>
      </c>
      <c r="L990" s="31" t="str">
        <f>CASOPOInvCL!X990</f>
        <v/>
      </c>
      <c r="M990" t="s">
        <v>5945</v>
      </c>
      <c r="N990" s="5" t="str">
        <f>CASOPOInvCL!AF990</f>
        <v>Covia Corp - Junction City</v>
      </c>
      <c r="O990" s="16" t="str">
        <f>CASOPOInvCL!AG990</f>
        <v>USD</v>
      </c>
      <c r="P990" s="16">
        <f>CASOPOInvCL!AH990</f>
        <v>0</v>
      </c>
      <c r="Q990" s="16">
        <f>CASOPOInvCL!AI990</f>
        <v>0</v>
      </c>
      <c r="R990" s="32" t="str">
        <f>CASOPOInvCL!AU990</f>
        <v/>
      </c>
      <c r="S990" s="16">
        <f>CASOPOInvCL!AV990</f>
        <v>131.16</v>
      </c>
      <c r="T990" s="16">
        <f>CASOPOInvCL!AW990</f>
        <v>0</v>
      </c>
      <c r="Y990" s="29" t="str">
        <f>IFERROR(HLOOKUP(U990,List!$D$2:$H$6,2,FALSE),"")</f>
        <v/>
      </c>
      <c r="Z990" s="29" t="str">
        <f>IFERROR(HLOOKUP(V990,List!$D$2:$H$6,3,FALSE),"")</f>
        <v/>
      </c>
      <c r="AA990" s="29" t="str">
        <f>IFERROR(HLOOKUP(W990,List!$D$2:$H$6,4,FALSE),"")</f>
        <v/>
      </c>
      <c r="AB990" s="29" t="str">
        <f>IFERROR(HLOOKUP(X990,List!$D$2:$H$6,5,FALSE),"")</f>
        <v/>
      </c>
      <c r="AC990" s="12" t="str">
        <f t="shared" si="256"/>
        <v/>
      </c>
      <c r="AD990" s="12" t="str">
        <f t="shared" si="257"/>
        <v/>
      </c>
      <c r="AE990" s="12" t="str">
        <f t="shared" si="258"/>
        <v/>
      </c>
      <c r="AF990" s="12" t="str">
        <f t="shared" si="259"/>
        <v/>
      </c>
      <c r="AG990" t="str">
        <f>VLOOKUP(J990,'Receivable Invoice Detail'!$A$1:F4002,6,FALSE)</f>
        <v>[W-S30124/S01] Volute Liner Seal, 300 RSL, EPDM</v>
      </c>
      <c r="AM990" s="12" t="str">
        <f t="shared" si="260"/>
        <v/>
      </c>
      <c r="AN990" s="12" t="str">
        <f t="shared" si="261"/>
        <v/>
      </c>
      <c r="AO990" s="12" t="str">
        <f t="shared" si="262"/>
        <v/>
      </c>
      <c r="AP990" s="12" t="str">
        <f t="shared" si="263"/>
        <v/>
      </c>
      <c r="AQ990" s="64" t="str">
        <f t="shared" si="254"/>
        <v/>
      </c>
      <c r="AS990" s="12">
        <f t="shared" si="255"/>
        <v>0</v>
      </c>
      <c r="AT990" t="s">
        <v>5945</v>
      </c>
    </row>
    <row r="991" spans="1:46" hidden="1" x14ac:dyDescent="0.25">
      <c r="A991" s="41">
        <f>CASOPOInvCL!T991</f>
        <v>2</v>
      </c>
      <c r="B991" t="str">
        <f>CASOPOInvCL!Z991</f>
        <v>SO17900</v>
      </c>
      <c r="D991" t="s">
        <v>5852</v>
      </c>
      <c r="G991" s="5" t="str">
        <f>CASOPOInvCL!I991</f>
        <v>Aleksandar Stankovic</v>
      </c>
      <c r="H991" s="31">
        <f>CASOPOInvCL!U991</f>
        <v>9</v>
      </c>
      <c r="I991" s="31">
        <f>CASOPOInvCL!V991</f>
        <v>2025</v>
      </c>
      <c r="J991" s="5" t="str">
        <f>CASOPOInvCL!AB991</f>
        <v>INV13517</v>
      </c>
      <c r="K991" s="31">
        <f>CASOPOInvCL!W991</f>
        <v>11</v>
      </c>
      <c r="L991" s="31">
        <f>CASOPOInvCL!X991</f>
        <v>2025</v>
      </c>
      <c r="M991">
        <v>2504</v>
      </c>
      <c r="N991" s="5" t="str">
        <f>CASOPOInvCL!AF991</f>
        <v>Wajax Limited - Lachine</v>
      </c>
      <c r="O991" s="16" t="str">
        <f>CASOPOInvCL!AG991</f>
        <v>CAD</v>
      </c>
      <c r="P991" s="16">
        <f>CASOPOInvCL!AH991</f>
        <v>898.07</v>
      </c>
      <c r="Q991" s="16">
        <f>CASOPOInvCL!AI991</f>
        <v>649.14322471307662</v>
      </c>
      <c r="R991" s="32" t="str">
        <f>CASOPOInvCL!AU991</f>
        <v/>
      </c>
      <c r="S991" s="16">
        <f>CASOPOInvCL!AV991</f>
        <v>0</v>
      </c>
      <c r="T991" s="16">
        <f>CASOPOInvCL!AW991</f>
        <v>0</v>
      </c>
      <c r="Y991" s="29" t="str">
        <f>IFERROR(HLOOKUP(U991,List!$D$2:$H$6,2,FALSE),"")</f>
        <v/>
      </c>
      <c r="Z991" s="29" t="str">
        <f>IFERROR(HLOOKUP(V991,List!$D$2:$H$6,3,FALSE),"")</f>
        <v/>
      </c>
      <c r="AA991" s="29" t="str">
        <f>IFERROR(HLOOKUP(W991,List!$D$2:$H$6,4,FALSE),"")</f>
        <v/>
      </c>
      <c r="AB991" s="29" t="str">
        <f>IFERROR(HLOOKUP(X991,List!$D$2:$H$6,5,FALSE),"")</f>
        <v/>
      </c>
      <c r="AC991" s="12" t="str">
        <f t="shared" si="256"/>
        <v/>
      </c>
      <c r="AD991" s="12" t="str">
        <f t="shared" si="257"/>
        <v/>
      </c>
      <c r="AE991" s="12" t="str">
        <f t="shared" si="258"/>
        <v/>
      </c>
      <c r="AF991" s="12" t="str">
        <f t="shared" si="259"/>
        <v/>
      </c>
      <c r="AG991" t="str">
        <f>VLOOKUP(J991,'Receivable Invoice Detail'!$A$1:F4003,6,FALSE)</f>
        <v>[W-QV064/S10] Impeller Sealing O-Ring, 65QV-SP, Nitrile</v>
      </c>
      <c r="AM991" s="12" t="str">
        <f t="shared" si="260"/>
        <v/>
      </c>
      <c r="AN991" s="12" t="str">
        <f t="shared" si="261"/>
        <v/>
      </c>
      <c r="AO991" s="12" t="str">
        <f t="shared" si="262"/>
        <v/>
      </c>
      <c r="AP991" s="12" t="str">
        <f t="shared" si="263"/>
        <v/>
      </c>
      <c r="AQ991" s="64">
        <f t="shared" si="254"/>
        <v>2504</v>
      </c>
      <c r="AR991" t="s">
        <v>5931</v>
      </c>
      <c r="AS991" s="12">
        <f t="shared" si="255"/>
        <v>20.079332479204862</v>
      </c>
      <c r="AT991" t="s">
        <v>5945</v>
      </c>
    </row>
    <row r="992" spans="1:46" hidden="1" x14ac:dyDescent="0.25">
      <c r="A992" s="41">
        <f>CASOPOInvCL!T992</f>
        <v>2</v>
      </c>
      <c r="B992" t="str">
        <f>CASOPOInvCL!Z992</f>
        <v>SO17900</v>
      </c>
      <c r="D992" t="s">
        <v>5852</v>
      </c>
      <c r="G992" s="5">
        <f>CASOPOInvCL!I992</f>
        <v>0</v>
      </c>
      <c r="H992" s="31">
        <f>CASOPOInvCL!U992</f>
        <v>9</v>
      </c>
      <c r="I992" s="31">
        <f>CASOPOInvCL!V992</f>
        <v>2025</v>
      </c>
      <c r="J992" s="5" t="str">
        <f>CASOPOInvCL!AB992</f>
        <v>INV13633</v>
      </c>
      <c r="K992" s="31" t="str">
        <f>CASOPOInvCL!W992</f>
        <v/>
      </c>
      <c r="L992" s="31" t="str">
        <f>CASOPOInvCL!X992</f>
        <v/>
      </c>
      <c r="M992">
        <v>2504</v>
      </c>
      <c r="N992" s="5" t="str">
        <f>CASOPOInvCL!AF992</f>
        <v>Wajax Limited - Lachine</v>
      </c>
      <c r="O992" s="16" t="str">
        <f>CASOPOInvCL!AG992</f>
        <v>CAD</v>
      </c>
      <c r="P992" s="16">
        <f>CASOPOInvCL!AH992</f>
        <v>0</v>
      </c>
      <c r="Q992" s="16">
        <f>CASOPOInvCL!AI992</f>
        <v>0</v>
      </c>
      <c r="R992" s="32" t="str">
        <f>CASOPOInvCL!AU992</f>
        <v/>
      </c>
      <c r="S992" s="16">
        <f>CASOPOInvCL!AV992</f>
        <v>0</v>
      </c>
      <c r="T992" s="16">
        <f>CASOPOInvCL!AW992</f>
        <v>0</v>
      </c>
      <c r="Y992" s="29" t="str">
        <f>IFERROR(HLOOKUP(U992,List!$D$2:$H$6,2,FALSE),"")</f>
        <v/>
      </c>
      <c r="Z992" s="29" t="str">
        <f>IFERROR(HLOOKUP(V992,List!$D$2:$H$6,3,FALSE),"")</f>
        <v/>
      </c>
      <c r="AA992" s="29" t="str">
        <f>IFERROR(HLOOKUP(W992,List!$D$2:$H$6,4,FALSE),"")</f>
        <v/>
      </c>
      <c r="AB992" s="29" t="str">
        <f>IFERROR(HLOOKUP(X992,List!$D$2:$H$6,5,FALSE),"")</f>
        <v/>
      </c>
      <c r="AC992" s="12" t="str">
        <f t="shared" si="256"/>
        <v/>
      </c>
      <c r="AD992" s="12" t="str">
        <f t="shared" si="257"/>
        <v/>
      </c>
      <c r="AE992" s="12" t="str">
        <f t="shared" si="258"/>
        <v/>
      </c>
      <c r="AF992" s="12" t="str">
        <f t="shared" si="259"/>
        <v/>
      </c>
      <c r="AG992" t="str">
        <f>VLOOKUP(J992,'Receivable Invoice Detail'!$A$1:F4004,6,FALSE)</f>
        <v>[W-SP65125/R55] Casing Seal, 65QV-SP, Natural Rubber</v>
      </c>
      <c r="AM992" s="12" t="str">
        <f t="shared" si="260"/>
        <v/>
      </c>
      <c r="AN992" s="12" t="str">
        <f t="shared" si="261"/>
        <v/>
      </c>
      <c r="AO992" s="12" t="str">
        <f t="shared" si="262"/>
        <v/>
      </c>
      <c r="AP992" s="12" t="str">
        <f t="shared" si="263"/>
        <v/>
      </c>
      <c r="AQ992" s="64">
        <f t="shared" si="254"/>
        <v>2504</v>
      </c>
      <c r="AR992" t="s">
        <v>5931</v>
      </c>
      <c r="AS992" s="12">
        <f t="shared" si="255"/>
        <v>0</v>
      </c>
      <c r="AT992" t="s">
        <v>5945</v>
      </c>
    </row>
    <row r="993" spans="1:46" hidden="1" x14ac:dyDescent="0.25">
      <c r="A993" s="41">
        <f>CASOPOInvCL!T993</f>
        <v>0</v>
      </c>
      <c r="B993" t="str">
        <f>CASOPOInvCL!Z993</f>
        <v>SO17901</v>
      </c>
      <c r="G993" s="5" t="str">
        <f>CASOPOInvCL!I993</f>
        <v>Ian Trottier</v>
      </c>
      <c r="H993" s="31">
        <f>CASOPOInvCL!U993</f>
        <v>9</v>
      </c>
      <c r="I993" s="31">
        <f>CASOPOInvCL!V993</f>
        <v>2025</v>
      </c>
      <c r="J993" s="5" t="str">
        <f>CASOPOInvCL!AB993</f>
        <v>No Inv</v>
      </c>
      <c r="K993" s="31" t="str">
        <f>CASOPOInvCL!W993</f>
        <v/>
      </c>
      <c r="L993" s="31" t="str">
        <f>CASOPOInvCL!X993</f>
        <v/>
      </c>
      <c r="M993" t="s">
        <v>5945</v>
      </c>
      <c r="N993" s="5" t="str">
        <f>CASOPOInvCL!AF993</f>
        <v>Corrosion Fluid Products Corp.</v>
      </c>
      <c r="O993" s="16" t="str">
        <f>CASOPOInvCL!AG993</f>
        <v>USD</v>
      </c>
      <c r="P993" s="16">
        <f>CASOPOInvCL!AH993</f>
        <v>1737.9636515960046</v>
      </c>
      <c r="Q993" s="16">
        <f>CASOPOInvCL!AI993</f>
        <v>1257.95</v>
      </c>
      <c r="R993" s="32" t="str">
        <f>CASOPOInvCL!AU993</f>
        <v/>
      </c>
      <c r="S993" s="16">
        <f>CASOPOInvCL!AV993</f>
        <v>0</v>
      </c>
      <c r="T993" s="16">
        <f>CASOPOInvCL!AW993</f>
        <v>0</v>
      </c>
      <c r="Y993" s="29" t="str">
        <f>IFERROR(HLOOKUP(U993,List!$D$2:$H$6,2,FALSE),"")</f>
        <v/>
      </c>
      <c r="Z993" s="29" t="str">
        <f>IFERROR(HLOOKUP(V993,List!$D$2:$H$6,3,FALSE),"")</f>
        <v/>
      </c>
      <c r="AA993" s="29" t="str">
        <f>IFERROR(HLOOKUP(W993,List!$D$2:$H$6,4,FALSE),"")</f>
        <v/>
      </c>
      <c r="AB993" s="29" t="str">
        <f>IFERROR(HLOOKUP(X993,List!$D$2:$H$6,5,FALSE),"")</f>
        <v/>
      </c>
      <c r="AC993" s="12" t="str">
        <f t="shared" si="256"/>
        <v/>
      </c>
      <c r="AD993" s="12" t="str">
        <f t="shared" si="257"/>
        <v/>
      </c>
      <c r="AE993" s="12" t="str">
        <f t="shared" si="258"/>
        <v/>
      </c>
      <c r="AF993" s="12" t="str">
        <f t="shared" si="259"/>
        <v/>
      </c>
      <c r="AG993" t="e">
        <f>VLOOKUP(J993,'Receivable Invoice Detail'!$A$1:F4005,6,FALSE)</f>
        <v>#N/A</v>
      </c>
      <c r="AM993" s="12" t="str">
        <f t="shared" si="260"/>
        <v/>
      </c>
      <c r="AN993" s="12" t="str">
        <f t="shared" si="261"/>
        <v/>
      </c>
      <c r="AO993" s="12" t="str">
        <f t="shared" si="262"/>
        <v/>
      </c>
      <c r="AP993" s="12" t="str">
        <f t="shared" si="263"/>
        <v/>
      </c>
      <c r="AQ993" s="64" t="str">
        <f t="shared" si="254"/>
        <v/>
      </c>
      <c r="AS993" s="12">
        <f t="shared" si="255"/>
        <v>8.1651623619888927</v>
      </c>
      <c r="AT993" t="s">
        <v>5945</v>
      </c>
    </row>
    <row r="994" spans="1:46" hidden="1" x14ac:dyDescent="0.25">
      <c r="A994" s="41">
        <f>CASOPOInvCL!T994</f>
        <v>1</v>
      </c>
      <c r="B994" t="str">
        <f>CASOPOInvCL!Z994</f>
        <v>SO17902</v>
      </c>
      <c r="G994" s="5" t="str">
        <f>CASOPOInvCL!I994</f>
        <v>Alexis Gil Lamadrid</v>
      </c>
      <c r="H994" s="31">
        <f>CASOPOInvCL!U994</f>
        <v>9</v>
      </c>
      <c r="I994" s="31">
        <f>CASOPOInvCL!V994</f>
        <v>2025</v>
      </c>
      <c r="J994" s="5" t="str">
        <f>CASOPOInvCL!AB994</f>
        <v>INV13711</v>
      </c>
      <c r="K994" s="31" t="str">
        <f>CASOPOInvCL!W994</f>
        <v/>
      </c>
      <c r="L994" s="31" t="str">
        <f>CASOPOInvCL!X994</f>
        <v/>
      </c>
      <c r="M994" t="s">
        <v>5945</v>
      </c>
      <c r="N994" s="5" t="str">
        <f>CASOPOInvCL!AF994</f>
        <v>Eleazar General &amp; Industrial Supplies Limited</v>
      </c>
      <c r="O994" s="16" t="str">
        <f>CASOPOInvCL!AG994</f>
        <v>USD</v>
      </c>
      <c r="P994" s="16">
        <f>CASOPOInvCL!AH994</f>
        <v>2752.9636682961882</v>
      </c>
      <c r="Q994" s="16">
        <f>CASOPOInvCL!AI994</f>
        <v>1950</v>
      </c>
      <c r="R994" s="32" t="str">
        <f>CASOPOInvCL!AU994</f>
        <v/>
      </c>
      <c r="S994" s="16">
        <f>CASOPOInvCL!AV994</f>
        <v>0</v>
      </c>
      <c r="T994" s="16">
        <f>CASOPOInvCL!AW994</f>
        <v>0</v>
      </c>
      <c r="Y994" s="29" t="str">
        <f>IFERROR(HLOOKUP(U994,List!$D$2:$H$6,2,FALSE),"")</f>
        <v/>
      </c>
      <c r="Z994" s="29" t="str">
        <f>IFERROR(HLOOKUP(V994,List!$D$2:$H$6,3,FALSE),"")</f>
        <v/>
      </c>
      <c r="AA994" s="29" t="str">
        <f>IFERROR(HLOOKUP(W994,List!$D$2:$H$6,4,FALSE),"")</f>
        <v/>
      </c>
      <c r="AB994" s="29" t="str">
        <f>IFERROR(HLOOKUP(X994,List!$D$2:$H$6,5,FALSE),"")</f>
        <v/>
      </c>
      <c r="AC994" s="12" t="str">
        <f t="shared" si="256"/>
        <v/>
      </c>
      <c r="AD994" s="12" t="str">
        <f t="shared" si="257"/>
        <v/>
      </c>
      <c r="AE994" s="12" t="str">
        <f t="shared" si="258"/>
        <v/>
      </c>
      <c r="AF994" s="12" t="str">
        <f t="shared" si="259"/>
        <v/>
      </c>
      <c r="AG994" t="str">
        <f>VLOOKUP(J994,'Receivable Invoice Detail'!$A$1:F4006,6,FALSE)</f>
        <v>[W-F111] Premium Slurry Packing (Single Piece), 8/6 F-AH, Kevlar Fiber w/Silicon Core</v>
      </c>
      <c r="AM994" s="12" t="str">
        <f t="shared" si="260"/>
        <v/>
      </c>
      <c r="AN994" s="12" t="str">
        <f t="shared" si="261"/>
        <v/>
      </c>
      <c r="AO994" s="12" t="str">
        <f t="shared" si="262"/>
        <v/>
      </c>
      <c r="AP994" s="12" t="str">
        <f t="shared" si="263"/>
        <v/>
      </c>
      <c r="AQ994" s="64" t="str">
        <f t="shared" si="254"/>
        <v/>
      </c>
      <c r="AS994" s="12">
        <f t="shared" si="255"/>
        <v>0</v>
      </c>
      <c r="AT994" t="s">
        <v>5945</v>
      </c>
    </row>
    <row r="995" spans="1:46" hidden="1" x14ac:dyDescent="0.25">
      <c r="A995" s="41">
        <f>CASOPOInvCL!T995</f>
        <v>2</v>
      </c>
      <c r="B995" t="str">
        <f>CASOPOInvCL!Z995</f>
        <v>SO17903</v>
      </c>
      <c r="G995" s="5" t="str">
        <f>CASOPOInvCL!I995</f>
        <v>Ian Trottier</v>
      </c>
      <c r="H995" s="31">
        <f>CASOPOInvCL!U995</f>
        <v>9</v>
      </c>
      <c r="I995" s="31">
        <f>CASOPOInvCL!V995</f>
        <v>2025</v>
      </c>
      <c r="J995" s="5" t="str">
        <f>CASOPOInvCL!AB995</f>
        <v>INV13625</v>
      </c>
      <c r="K995" s="31" t="str">
        <f>CASOPOInvCL!W995</f>
        <v/>
      </c>
      <c r="L995" s="31" t="str">
        <f>CASOPOInvCL!X995</f>
        <v/>
      </c>
      <c r="M995" t="s">
        <v>5945</v>
      </c>
      <c r="N995" s="5" t="str">
        <f>CASOPOInvCL!AF995</f>
        <v>Les Pompes du St-Laurent Inc.</v>
      </c>
      <c r="O995" s="16" t="str">
        <f>CASOPOInvCL!AG995</f>
        <v>CAD</v>
      </c>
      <c r="P995" s="16">
        <f>CASOPOInvCL!AH995</f>
        <v>3853</v>
      </c>
      <c r="Q995" s="16">
        <f>CASOPOInvCL!AI995</f>
        <v>2782.1901045625073</v>
      </c>
      <c r="R995" s="32" t="str">
        <f>CASOPOInvCL!AU995</f>
        <v/>
      </c>
      <c r="S995" s="16">
        <f>CASOPOInvCL!AV995</f>
        <v>0</v>
      </c>
      <c r="T995" s="16">
        <f>CASOPOInvCL!AW995</f>
        <v>0</v>
      </c>
      <c r="Y995" s="29" t="str">
        <f>IFERROR(HLOOKUP(U995,List!$D$2:$H$6,2,FALSE),"")</f>
        <v/>
      </c>
      <c r="Z995" s="29" t="str">
        <f>IFERROR(HLOOKUP(V995,List!$D$2:$H$6,3,FALSE),"")</f>
        <v/>
      </c>
      <c r="AA995" s="29" t="str">
        <f>IFERROR(HLOOKUP(W995,List!$D$2:$H$6,4,FALSE),"")</f>
        <v/>
      </c>
      <c r="AB995" s="29" t="str">
        <f>IFERROR(HLOOKUP(X995,List!$D$2:$H$6,5,FALSE),"")</f>
        <v/>
      </c>
      <c r="AC995" s="12" t="str">
        <f t="shared" si="256"/>
        <v/>
      </c>
      <c r="AD995" s="12" t="str">
        <f t="shared" si="257"/>
        <v/>
      </c>
      <c r="AE995" s="12" t="str">
        <f t="shared" si="258"/>
        <v/>
      </c>
      <c r="AF995" s="12" t="str">
        <f t="shared" si="259"/>
        <v/>
      </c>
      <c r="AG995" t="str">
        <f>VLOOKUP(J995,'Receivable Invoice Detail'!$A$1:F4007,6,FALSE)</f>
        <v>[G-249-61 1216] Casing, 2x3-10, 3196 MTX, CD4MCu</v>
      </c>
      <c r="AM995" s="12" t="str">
        <f t="shared" si="260"/>
        <v/>
      </c>
      <c r="AN995" s="12" t="str">
        <f t="shared" si="261"/>
        <v/>
      </c>
      <c r="AO995" s="12" t="str">
        <f t="shared" si="262"/>
        <v/>
      </c>
      <c r="AP995" s="12" t="str">
        <f t="shared" si="263"/>
        <v/>
      </c>
      <c r="AQ995" s="64" t="str">
        <f t="shared" si="254"/>
        <v/>
      </c>
      <c r="AS995" s="12">
        <f t="shared" si="255"/>
        <v>0</v>
      </c>
      <c r="AT995" t="s">
        <v>5945</v>
      </c>
    </row>
    <row r="996" spans="1:46" hidden="1" x14ac:dyDescent="0.25">
      <c r="A996" s="41">
        <f>CASOPOInvCL!T996</f>
        <v>2</v>
      </c>
      <c r="B996" t="str">
        <f>CASOPOInvCL!Z996</f>
        <v>SO17903</v>
      </c>
      <c r="G996" s="5">
        <f>CASOPOInvCL!I996</f>
        <v>0</v>
      </c>
      <c r="H996" s="31">
        <f>CASOPOInvCL!U996</f>
        <v>9</v>
      </c>
      <c r="I996" s="31">
        <f>CASOPOInvCL!V996</f>
        <v>2025</v>
      </c>
      <c r="J996" s="5" t="str">
        <f>CASOPOInvCL!AB996</f>
        <v>INV13763</v>
      </c>
      <c r="K996" s="31" t="str">
        <f>CASOPOInvCL!W996</f>
        <v/>
      </c>
      <c r="L996" s="31" t="str">
        <f>CASOPOInvCL!X996</f>
        <v/>
      </c>
      <c r="M996" t="s">
        <v>5945</v>
      </c>
      <c r="N996" s="5" t="str">
        <f>CASOPOInvCL!AF996</f>
        <v>Les Pompes du St-Laurent Inc.</v>
      </c>
      <c r="O996" s="16" t="str">
        <f>CASOPOInvCL!AG996</f>
        <v>CAD</v>
      </c>
      <c r="P996" s="16">
        <f>CASOPOInvCL!AH996</f>
        <v>0</v>
      </c>
      <c r="Q996" s="16">
        <f>CASOPOInvCL!AI996</f>
        <v>0</v>
      </c>
      <c r="R996" s="32" t="str">
        <f>CASOPOInvCL!AU996</f>
        <v/>
      </c>
      <c r="S996" s="16">
        <f>CASOPOInvCL!AV996</f>
        <v>0</v>
      </c>
      <c r="T996" s="16">
        <f>CASOPOInvCL!AW996</f>
        <v>0</v>
      </c>
      <c r="Y996" s="29" t="str">
        <f>IFERROR(HLOOKUP(U996,List!$D$2:$H$6,2,FALSE),"")</f>
        <v/>
      </c>
      <c r="Z996" s="29" t="str">
        <f>IFERROR(HLOOKUP(V996,List!$D$2:$H$6,3,FALSE),"")</f>
        <v/>
      </c>
      <c r="AA996" s="29" t="str">
        <f>IFERROR(HLOOKUP(W996,List!$D$2:$H$6,4,FALSE),"")</f>
        <v/>
      </c>
      <c r="AB996" s="29" t="str">
        <f>IFERROR(HLOOKUP(X996,List!$D$2:$H$6,5,FALSE),"")</f>
        <v/>
      </c>
      <c r="AC996" s="12" t="str">
        <f t="shared" si="256"/>
        <v/>
      </c>
      <c r="AD996" s="12" t="str">
        <f t="shared" si="257"/>
        <v/>
      </c>
      <c r="AE996" s="12" t="str">
        <f t="shared" si="258"/>
        <v/>
      </c>
      <c r="AF996" s="12" t="str">
        <f t="shared" si="259"/>
        <v/>
      </c>
      <c r="AG996" t="e">
        <f>VLOOKUP(J996,'Receivable Invoice Detail'!$A$1:F4008,6,FALSE)</f>
        <v>#N/A</v>
      </c>
      <c r="AM996" s="12" t="str">
        <f t="shared" si="260"/>
        <v/>
      </c>
      <c r="AN996" s="12" t="str">
        <f t="shared" si="261"/>
        <v/>
      </c>
      <c r="AO996" s="12" t="str">
        <f t="shared" si="262"/>
        <v/>
      </c>
      <c r="AP996" s="12" t="str">
        <f t="shared" si="263"/>
        <v/>
      </c>
      <c r="AQ996" s="64" t="str">
        <f t="shared" si="254"/>
        <v/>
      </c>
      <c r="AS996" s="12">
        <f t="shared" si="255"/>
        <v>52.178100000000001</v>
      </c>
      <c r="AT996" t="s">
        <v>5945</v>
      </c>
    </row>
    <row r="997" spans="1:46" hidden="1" x14ac:dyDescent="0.25">
      <c r="A997" s="41">
        <f>CASOPOInvCL!T997</f>
        <v>1</v>
      </c>
      <c r="B997" t="str">
        <f>CASOPOInvCL!Z997</f>
        <v>SO17904</v>
      </c>
      <c r="G997" s="5" t="str">
        <f>CASOPOInvCL!I997</f>
        <v>Ian Trottier</v>
      </c>
      <c r="H997" s="31">
        <f>CASOPOInvCL!U997</f>
        <v>9</v>
      </c>
      <c r="I997" s="31">
        <f>CASOPOInvCL!V997</f>
        <v>2025</v>
      </c>
      <c r="J997" s="5" t="str">
        <f>CASOPOInvCL!AB997</f>
        <v>INV13464</v>
      </c>
      <c r="K997" s="31">
        <f>CASOPOInvCL!W997</f>
        <v>11</v>
      </c>
      <c r="L997" s="31">
        <f>CASOPOInvCL!X997</f>
        <v>2025</v>
      </c>
      <c r="M997">
        <v>2504</v>
      </c>
      <c r="N997" s="5" t="str">
        <f>CASOPOInvCL!AF997</f>
        <v>Hyperflo, Hyperflo</v>
      </c>
      <c r="O997" s="16" t="str">
        <f>CASOPOInvCL!AG997</f>
        <v>CAD</v>
      </c>
      <c r="P997" s="16">
        <f>CASOPOInvCL!AH997</f>
        <v>958.11</v>
      </c>
      <c r="Q997" s="16">
        <f>CASOPOInvCL!AI997</f>
        <v>689.51432762343916</v>
      </c>
      <c r="R997" s="32" t="str">
        <f>CASOPOInvCL!AU997</f>
        <v>Yes</v>
      </c>
      <c r="S997" s="16">
        <f>CASOPOInvCL!AV997</f>
        <v>0</v>
      </c>
      <c r="T997" s="16">
        <f>CASOPOInvCL!AW997</f>
        <v>689.51432762343916</v>
      </c>
      <c r="Y997" s="29" t="str">
        <f>IFERROR(HLOOKUP(U997,List!$D$2:$H$6,2,FALSE),"")</f>
        <v/>
      </c>
      <c r="Z997" s="29" t="str">
        <f>IFERROR(HLOOKUP(V997,List!$D$2:$H$6,3,FALSE),"")</f>
        <v/>
      </c>
      <c r="AA997" s="29" t="str">
        <f>IFERROR(HLOOKUP(W997,List!$D$2:$H$6,4,FALSE),"")</f>
        <v/>
      </c>
      <c r="AB997" s="29" t="str">
        <f>IFERROR(HLOOKUP(X997,List!$D$2:$H$6,5,FALSE),"")</f>
        <v/>
      </c>
      <c r="AC997" s="12" t="str">
        <f t="shared" si="256"/>
        <v/>
      </c>
      <c r="AD997" s="12" t="str">
        <f t="shared" si="257"/>
        <v/>
      </c>
      <c r="AE997" s="12" t="str">
        <f t="shared" si="258"/>
        <v/>
      </c>
      <c r="AF997" s="12" t="str">
        <f t="shared" si="259"/>
        <v/>
      </c>
      <c r="AG997" t="str">
        <f>VLOOKUP(J997,'Receivable Invoice Detail'!$A$1:F4009,6,FALSE)</f>
        <v>[AC-98-236-360-501] Gland Assembly, 8x6-18 &amp; 10x8-21 SRL-C, 316SS</v>
      </c>
      <c r="AM997" s="12" t="str">
        <f t="shared" si="260"/>
        <v/>
      </c>
      <c r="AN997" s="12" t="str">
        <f t="shared" si="261"/>
        <v/>
      </c>
      <c r="AO997" s="12" t="str">
        <f t="shared" si="262"/>
        <v/>
      </c>
      <c r="AP997" s="12" t="str">
        <f t="shared" si="263"/>
        <v/>
      </c>
      <c r="AQ997" s="64">
        <f t="shared" si="254"/>
        <v>2504</v>
      </c>
      <c r="AS997" s="12">
        <f t="shared" si="255"/>
        <v>0</v>
      </c>
      <c r="AT997" t="s">
        <v>4388</v>
      </c>
    </row>
    <row r="998" spans="1:46" hidden="1" x14ac:dyDescent="0.25">
      <c r="A998" s="41">
        <f>CASOPOInvCL!T998</f>
        <v>1</v>
      </c>
      <c r="B998" t="str">
        <f>CASOPOInvCL!Z998</f>
        <v>SO17905</v>
      </c>
      <c r="G998" s="5" t="str">
        <f>CASOPOInvCL!I998</f>
        <v>Aleksandar Stankovic</v>
      </c>
      <c r="H998" s="31">
        <f>CASOPOInvCL!U998</f>
        <v>9</v>
      </c>
      <c r="I998" s="31">
        <f>CASOPOInvCL!V998</f>
        <v>2025</v>
      </c>
      <c r="J998" s="5" t="str">
        <f>CASOPOInvCL!AB998</f>
        <v>INV13443</v>
      </c>
      <c r="K998" s="31" t="str">
        <f>CASOPOInvCL!W998</f>
        <v/>
      </c>
      <c r="L998" s="31" t="str">
        <f>CASOPOInvCL!X998</f>
        <v/>
      </c>
      <c r="M998" t="s">
        <v>5945</v>
      </c>
      <c r="N998" s="5" t="str">
        <f>CASOPOInvCL!AF998</f>
        <v>Canadian Bearings Ltd.</v>
      </c>
      <c r="O998" s="16" t="str">
        <f>CASOPOInvCL!AG998</f>
        <v>CAD</v>
      </c>
      <c r="P998" s="16">
        <f>CASOPOInvCL!AH998</f>
        <v>270.35000000000002</v>
      </c>
      <c r="Q998" s="16">
        <f>CASOPOInvCL!AI998</f>
        <v>194.56033072715741</v>
      </c>
      <c r="R998" s="32" t="str">
        <f>CASOPOInvCL!AU998</f>
        <v/>
      </c>
      <c r="S998" s="16">
        <f>CASOPOInvCL!AV998</f>
        <v>0</v>
      </c>
      <c r="T998" s="16">
        <f>CASOPOInvCL!AW998</f>
        <v>0</v>
      </c>
      <c r="Y998" s="29" t="str">
        <f>IFERROR(HLOOKUP(U998,List!$D$2:$H$6,2,FALSE),"")</f>
        <v/>
      </c>
      <c r="Z998" s="29" t="str">
        <f>IFERROR(HLOOKUP(V998,List!$D$2:$H$6,3,FALSE),"")</f>
        <v/>
      </c>
      <c r="AA998" s="29" t="str">
        <f>IFERROR(HLOOKUP(W998,List!$D$2:$H$6,4,FALSE),"")</f>
        <v/>
      </c>
      <c r="AB998" s="29" t="str">
        <f>IFERROR(HLOOKUP(X998,List!$D$2:$H$6,5,FALSE),"")</f>
        <v/>
      </c>
      <c r="AC998" s="12" t="str">
        <f t="shared" si="256"/>
        <v/>
      </c>
      <c r="AD998" s="12" t="str">
        <f t="shared" si="257"/>
        <v/>
      </c>
      <c r="AE998" s="12" t="str">
        <f t="shared" si="258"/>
        <v/>
      </c>
      <c r="AF998" s="12" t="str">
        <f t="shared" si="259"/>
        <v/>
      </c>
      <c r="AG998" t="e">
        <f>VLOOKUP(J998,'Receivable Invoice Detail'!$A$1:F4010,6,FALSE)</f>
        <v>#N/A</v>
      </c>
      <c r="AM998" s="12" t="str">
        <f t="shared" si="260"/>
        <v/>
      </c>
      <c r="AN998" s="12" t="str">
        <f t="shared" si="261"/>
        <v/>
      </c>
      <c r="AO998" s="12" t="str">
        <f t="shared" si="262"/>
        <v/>
      </c>
      <c r="AP998" s="12" t="str">
        <f t="shared" si="263"/>
        <v/>
      </c>
      <c r="AQ998" s="64" t="str">
        <f t="shared" si="254"/>
        <v/>
      </c>
      <c r="AR998" t="s">
        <v>5943</v>
      </c>
      <c r="AS998" s="12">
        <f t="shared" si="255"/>
        <v>0</v>
      </c>
      <c r="AT998" t="s">
        <v>5945</v>
      </c>
    </row>
    <row r="999" spans="1:46" hidden="1" x14ac:dyDescent="0.25">
      <c r="A999" s="41">
        <f>CASOPOInvCL!T999</f>
        <v>1</v>
      </c>
      <c r="B999" t="str">
        <f>CASOPOInvCL!Z999</f>
        <v>SO17906</v>
      </c>
      <c r="G999" s="5" t="str">
        <f>CASOPOInvCL!I999</f>
        <v>Ian Trottier</v>
      </c>
      <c r="H999" s="31">
        <f>CASOPOInvCL!U999</f>
        <v>9</v>
      </c>
      <c r="I999" s="31">
        <f>CASOPOInvCL!V999</f>
        <v>2025</v>
      </c>
      <c r="J999" s="5" t="str">
        <f>CASOPOInvCL!AB999</f>
        <v>INV13449</v>
      </c>
      <c r="K999" s="31">
        <f>CASOPOInvCL!W999</f>
        <v>11</v>
      </c>
      <c r="L999" s="31">
        <f>CASOPOInvCL!X999</f>
        <v>2025</v>
      </c>
      <c r="M999">
        <v>2504</v>
      </c>
      <c r="N999" s="5" t="str">
        <f>CASOPOInvCL!AF999</f>
        <v>Glencore Canada Corporation - Rouyn-Noranda</v>
      </c>
      <c r="O999" s="16" t="str">
        <f>CASOPOInvCL!AG999</f>
        <v>CAD</v>
      </c>
      <c r="P999" s="16">
        <f>CASOPOInvCL!AH999</f>
        <v>11712.55</v>
      </c>
      <c r="Q999" s="16">
        <f>CASOPOInvCL!AI999</f>
        <v>8429.0645520930902</v>
      </c>
      <c r="R999" s="32" t="str">
        <f>CASOPOInvCL!AU999</f>
        <v>Yes</v>
      </c>
      <c r="S999" s="16">
        <f>CASOPOInvCL!AV999</f>
        <v>0</v>
      </c>
      <c r="T999" s="16">
        <f>CASOPOInvCL!AW999</f>
        <v>8429.0645520930902</v>
      </c>
      <c r="Y999" s="29" t="str">
        <f>IFERROR(HLOOKUP(U999,List!$D$2:$H$6,2,FALSE),"")</f>
        <v/>
      </c>
      <c r="Z999" s="29" t="str">
        <f>IFERROR(HLOOKUP(V999,List!$D$2:$H$6,3,FALSE),"")</f>
        <v/>
      </c>
      <c r="AA999" s="29" t="str">
        <f>IFERROR(HLOOKUP(W999,List!$D$2:$H$6,4,FALSE),"")</f>
        <v/>
      </c>
      <c r="AB999" s="29" t="str">
        <f>IFERROR(HLOOKUP(X999,List!$D$2:$H$6,5,FALSE),"")</f>
        <v/>
      </c>
      <c r="AC999" s="12" t="str">
        <f t="shared" si="256"/>
        <v/>
      </c>
      <c r="AD999" s="12" t="str">
        <f t="shared" si="257"/>
        <v/>
      </c>
      <c r="AE999" s="12" t="str">
        <f t="shared" si="258"/>
        <v/>
      </c>
      <c r="AF999" s="12" t="str">
        <f t="shared" si="259"/>
        <v/>
      </c>
      <c r="AG999" t="str">
        <f>VLOOKUP(J999,'Receivable Invoice Detail'!$A$1:F4011,6,FALSE)</f>
        <v>[AC-98-331-958-831] Shaft Sleeve, 5x4/5x5/6X6 SRL-C &amp; SRL, 420SS Heat Treated, Hardened</v>
      </c>
      <c r="AM999" s="12" t="str">
        <f t="shared" si="260"/>
        <v/>
      </c>
      <c r="AN999" s="12" t="str">
        <f t="shared" si="261"/>
        <v/>
      </c>
      <c r="AO999" s="12" t="str">
        <f t="shared" si="262"/>
        <v/>
      </c>
      <c r="AP999" s="12" t="str">
        <f t="shared" si="263"/>
        <v/>
      </c>
      <c r="AQ999" s="64">
        <f t="shared" si="254"/>
        <v>2504</v>
      </c>
      <c r="AS999" s="12">
        <f t="shared" si="255"/>
        <v>0</v>
      </c>
      <c r="AT999" t="s">
        <v>4388</v>
      </c>
    </row>
    <row r="1000" spans="1:46" hidden="1" x14ac:dyDescent="0.25">
      <c r="A1000" s="41">
        <f>CASOPOInvCL!T1000</f>
        <v>1</v>
      </c>
      <c r="B1000" t="str">
        <f>CASOPOInvCL!Z1000</f>
        <v>SO17910</v>
      </c>
      <c r="G1000" s="5" t="str">
        <f>CASOPOInvCL!I1000</f>
        <v>Ian Trottier</v>
      </c>
      <c r="H1000" s="31">
        <f>CASOPOInvCL!U1000</f>
        <v>9</v>
      </c>
      <c r="I1000" s="31">
        <f>CASOPOInvCL!V1000</f>
        <v>2025</v>
      </c>
      <c r="J1000" s="5" t="str">
        <f>CASOPOInvCL!AB1000</f>
        <v>INV13836</v>
      </c>
      <c r="K1000" s="31" t="str">
        <f>CASOPOInvCL!W1000</f>
        <v/>
      </c>
      <c r="L1000" s="31" t="str">
        <f>CASOPOInvCL!X1000</f>
        <v/>
      </c>
      <c r="M1000" t="s">
        <v>5945</v>
      </c>
      <c r="N1000" s="5" t="str">
        <f>CASOPOInvCL!AF1000</f>
        <v>Resolute Forest Products - Saint-Felicien</v>
      </c>
      <c r="O1000" s="16" t="str">
        <f>CASOPOInvCL!AG1000</f>
        <v>CAD</v>
      </c>
      <c r="P1000" s="16">
        <f>CASOPOInvCL!AH1000</f>
        <v>9686.2199999999993</v>
      </c>
      <c r="Q1000" s="16">
        <f>CASOPOInvCL!AI1000</f>
        <v>6919.0684006564488</v>
      </c>
      <c r="R1000" s="32" t="str">
        <f>CASOPOInvCL!AU1000</f>
        <v/>
      </c>
      <c r="S1000" s="16">
        <f>CASOPOInvCL!AV1000</f>
        <v>0</v>
      </c>
      <c r="T1000" s="16">
        <f>CASOPOInvCL!AW1000</f>
        <v>0</v>
      </c>
      <c r="Y1000" s="29" t="str">
        <f>IFERROR(HLOOKUP(U1000,List!$D$2:$H$6,2,FALSE),"")</f>
        <v/>
      </c>
      <c r="Z1000" s="29" t="str">
        <f>IFERROR(HLOOKUP(V1000,List!$D$2:$H$6,3,FALSE),"")</f>
        <v/>
      </c>
      <c r="AA1000" s="29" t="str">
        <f>IFERROR(HLOOKUP(W1000,List!$D$2:$H$6,4,FALSE),"")</f>
        <v/>
      </c>
      <c r="AB1000" s="29" t="str">
        <f>IFERROR(HLOOKUP(X1000,List!$D$2:$H$6,5,FALSE),"")</f>
        <v/>
      </c>
      <c r="AC1000" s="12" t="str">
        <f t="shared" si="256"/>
        <v/>
      </c>
      <c r="AD1000" s="12" t="str">
        <f t="shared" si="257"/>
        <v/>
      </c>
      <c r="AE1000" s="12" t="str">
        <f t="shared" si="258"/>
        <v/>
      </c>
      <c r="AF1000" s="12" t="str">
        <f t="shared" si="259"/>
        <v/>
      </c>
      <c r="AG1000" t="e">
        <f>VLOOKUP(J1000,'Receivable Invoice Detail'!$A$1:F4012,6,FALSE)</f>
        <v>#N/A</v>
      </c>
      <c r="AM1000" s="12" t="str">
        <f t="shared" si="260"/>
        <v/>
      </c>
      <c r="AN1000" s="12" t="str">
        <f t="shared" si="261"/>
        <v/>
      </c>
      <c r="AO1000" s="12" t="str">
        <f t="shared" si="262"/>
        <v/>
      </c>
      <c r="AP1000" s="12" t="str">
        <f t="shared" si="263"/>
        <v/>
      </c>
      <c r="AQ1000" s="64" t="str">
        <f t="shared" si="254"/>
        <v/>
      </c>
      <c r="AS1000" s="12">
        <f t="shared" si="255"/>
        <v>0</v>
      </c>
      <c r="AT1000" t="s">
        <v>5945</v>
      </c>
    </row>
    <row r="1001" spans="1:46" x14ac:dyDescent="0.25">
      <c r="A1001" s="41">
        <f>CASOPOInvCL!T1001</f>
        <v>1</v>
      </c>
      <c r="B1001" t="str">
        <f>CASOPOInvCL!Z1001</f>
        <v>SO17911</v>
      </c>
      <c r="E1001" t="s">
        <v>5849</v>
      </c>
      <c r="G1001" s="5" t="str">
        <f>CASOPOInvCL!I1001</f>
        <v>Eduardo Talamantes</v>
      </c>
      <c r="H1001" s="31">
        <f>CASOPOInvCL!U1001</f>
        <v>9</v>
      </c>
      <c r="I1001" s="31">
        <f>CASOPOInvCL!V1001</f>
        <v>2025</v>
      </c>
      <c r="J1001" s="5" t="str">
        <f>CASOPOInvCL!AB1001</f>
        <v>INV13755</v>
      </c>
      <c r="K1001" s="31">
        <f>CASOPOInvCL!W1001</f>
        <v>12</v>
      </c>
      <c r="L1001" s="31">
        <f>CASOPOInvCL!X1001</f>
        <v>2025</v>
      </c>
      <c r="M1001">
        <v>25041</v>
      </c>
      <c r="N1001" s="5" t="str">
        <f>CASOPOInvCL!AF1001</f>
        <v>Middle Georgia Fluid Sealing LLC</v>
      </c>
      <c r="O1001" s="16" t="str">
        <f>CASOPOInvCL!AG1001</f>
        <v>USD</v>
      </c>
      <c r="P1001" s="16">
        <f>CASOPOInvCL!AH1001</f>
        <v>12990.689784686947</v>
      </c>
      <c r="Q1001" s="16">
        <f>CASOPOInvCL!AI1001</f>
        <v>9390</v>
      </c>
      <c r="R1001" s="32" t="str">
        <f>CASOPOInvCL!AU1001</f>
        <v>Yes</v>
      </c>
      <c r="S1001" s="16">
        <f>CASOPOInvCL!AV1001</f>
        <v>692</v>
      </c>
      <c r="T1001" s="16">
        <f>CASOPOInvCL!AW1001</f>
        <v>8698</v>
      </c>
      <c r="W1001" t="s">
        <v>5800</v>
      </c>
      <c r="Y1001" s="29" t="str">
        <f>IFERROR(HLOOKUP(U1001,List!$D$2:$H$6,2,FALSE),"")</f>
        <v/>
      </c>
      <c r="Z1001" s="29" t="str">
        <f>IFERROR(HLOOKUP(V1001,List!$D$2:$H$6,3,FALSE),"")</f>
        <v/>
      </c>
      <c r="AA1001" s="29">
        <f>IFERROR(HLOOKUP(W1001,List!$D$2:$H$6,4,FALSE),"")</f>
        <v>0.01</v>
      </c>
      <c r="AB1001" s="29" t="str">
        <f>IFERROR(HLOOKUP(X1001,List!$D$2:$H$6,5,FALSE),"")</f>
        <v/>
      </c>
      <c r="AC1001" s="12" t="str">
        <f t="shared" si="256"/>
        <v/>
      </c>
      <c r="AD1001" s="12" t="str">
        <f t="shared" si="257"/>
        <v/>
      </c>
      <c r="AE1001" s="12">
        <f t="shared" si="258"/>
        <v>86.98</v>
      </c>
      <c r="AF1001" s="12" t="str">
        <f t="shared" si="259"/>
        <v/>
      </c>
      <c r="AG1001" t="str">
        <f>VLOOKUP(J1001,'Receivable Invoice Detail'!$A$1:F4013,6,FALSE)</f>
        <v>[D-2x3-11-JC-HC] Pump, 2x3-11, Dynapro DC, Frame 1J, High Chrome</v>
      </c>
      <c r="AM1001" s="12" t="str">
        <f t="shared" si="260"/>
        <v/>
      </c>
      <c r="AN1001" s="12" t="str">
        <f t="shared" si="261"/>
        <v/>
      </c>
      <c r="AO1001" s="12">
        <f t="shared" si="262"/>
        <v>86.98</v>
      </c>
      <c r="AP1001" s="12" t="str">
        <f t="shared" si="263"/>
        <v/>
      </c>
      <c r="AQ1001" s="64"/>
      <c r="AS1001" s="12">
        <f t="shared" si="255"/>
        <v>0</v>
      </c>
    </row>
    <row r="1002" spans="1:46" hidden="1" x14ac:dyDescent="0.25">
      <c r="A1002" s="41">
        <f>CASOPOInvCL!T1002</f>
        <v>2</v>
      </c>
      <c r="B1002" t="str">
        <f>CASOPOInvCL!Z1002</f>
        <v>SO17914</v>
      </c>
      <c r="D1002" t="s">
        <v>5915</v>
      </c>
      <c r="G1002" s="5" t="str">
        <f>CASOPOInvCL!I1002</f>
        <v>Wilka Nuñez</v>
      </c>
      <c r="H1002" s="31">
        <f>CASOPOInvCL!U1002</f>
        <v>9</v>
      </c>
      <c r="I1002" s="31">
        <f>CASOPOInvCL!V1002</f>
        <v>2025</v>
      </c>
      <c r="J1002" s="5" t="str">
        <f>CASOPOInvCL!AB1002</f>
        <v>INV13631</v>
      </c>
      <c r="K1002" s="31">
        <f>CASOPOInvCL!W1002</f>
        <v>1</v>
      </c>
      <c r="L1002" s="31">
        <f>CASOPOInvCL!X1002</f>
        <v>2026</v>
      </c>
      <c r="M1002">
        <v>2601</v>
      </c>
      <c r="N1002" s="5" t="str">
        <f>CASOPOInvCL!AF1002</f>
        <v>Wajax Limited - Noranda</v>
      </c>
      <c r="O1002" s="16" t="str">
        <f>CASOPOInvCL!AG1002</f>
        <v>CAD</v>
      </c>
      <c r="P1002" s="16">
        <f>CASOPOInvCL!AH1002</f>
        <v>100</v>
      </c>
      <c r="Q1002" s="16">
        <f>CASOPOInvCL!AI1002</f>
        <v>71.817576144916316</v>
      </c>
      <c r="R1002" s="32" t="str">
        <f>CASOPOInvCL!AU1002</f>
        <v>Yes</v>
      </c>
      <c r="S1002" s="16">
        <f>CASOPOInvCL!AV1002</f>
        <v>0</v>
      </c>
      <c r="T1002" s="16">
        <f>CASOPOInvCL!AW1002</f>
        <v>71.817576144916316</v>
      </c>
      <c r="V1002" t="s">
        <v>5800</v>
      </c>
      <c r="Y1002" s="29" t="str">
        <f>IFERROR(HLOOKUP(U1002,List!$D$2:$H$6,2,FALSE),"")</f>
        <v/>
      </c>
      <c r="Z1002" s="29">
        <f>IFERROR(HLOOKUP(V1002,List!$D$2:$H$6,3,FALSE),"")</f>
        <v>5.0000000000000001E-3</v>
      </c>
      <c r="AA1002" s="29" t="str">
        <f>IFERROR(HLOOKUP(W1002,List!$D$2:$H$6,4,FALSE),"")</f>
        <v/>
      </c>
      <c r="AB1002" s="29" t="str">
        <f>IFERROR(HLOOKUP(X1002,List!$D$2:$H$6,5,FALSE),"")</f>
        <v/>
      </c>
      <c r="AC1002" s="12" t="str">
        <f t="shared" si="256"/>
        <v/>
      </c>
      <c r="AD1002" s="12">
        <f t="shared" si="257"/>
        <v>0.35908788072458159</v>
      </c>
      <c r="AE1002" s="12" t="str">
        <f t="shared" si="258"/>
        <v/>
      </c>
      <c r="AF1002" s="12" t="str">
        <f t="shared" si="259"/>
        <v/>
      </c>
      <c r="AG1002" t="str">
        <f>VLOOKUP(J1002,'Receivable Invoice Detail'!$A$1:F4014,6,FALSE)</f>
        <v>[GO351-9607-NSN, G-70782 49 5127] Casing Gasket, 15", 3196 XLT</v>
      </c>
      <c r="AM1002" s="12" t="str">
        <f t="shared" si="260"/>
        <v/>
      </c>
      <c r="AN1002" s="12">
        <f t="shared" si="261"/>
        <v>0.35908788072458159</v>
      </c>
      <c r="AO1002" s="12" t="str">
        <f t="shared" si="262"/>
        <v/>
      </c>
      <c r="AP1002" s="12" t="str">
        <f t="shared" si="263"/>
        <v/>
      </c>
      <c r="AQ1002" s="64">
        <f t="shared" si="254"/>
        <v>2601</v>
      </c>
      <c r="AR1002" t="s">
        <v>5931</v>
      </c>
      <c r="AS1002" s="12">
        <f t="shared" si="255"/>
        <v>0</v>
      </c>
      <c r="AT1002" t="s">
        <v>5945</v>
      </c>
    </row>
    <row r="1003" spans="1:46" hidden="1" x14ac:dyDescent="0.25">
      <c r="A1003" s="41">
        <f>CASOPOInvCL!T1003</f>
        <v>2</v>
      </c>
      <c r="B1003" t="str">
        <f>CASOPOInvCL!Z1003</f>
        <v>SO17914</v>
      </c>
      <c r="D1003" t="s">
        <v>5915</v>
      </c>
      <c r="G1003" s="5">
        <f>CASOPOInvCL!I1003</f>
        <v>0</v>
      </c>
      <c r="H1003" s="31">
        <f>CASOPOInvCL!U1003</f>
        <v>9</v>
      </c>
      <c r="I1003" s="31">
        <f>CASOPOInvCL!V1003</f>
        <v>2025</v>
      </c>
      <c r="J1003" s="5" t="str">
        <f>CASOPOInvCL!AB1003</f>
        <v>INV13486</v>
      </c>
      <c r="K1003" s="31">
        <f>CASOPOInvCL!W1003</f>
        <v>11</v>
      </c>
      <c r="L1003" s="31">
        <f>CASOPOInvCL!X1003</f>
        <v>2025</v>
      </c>
      <c r="M1003" t="s">
        <v>5945</v>
      </c>
      <c r="N1003" s="5" t="str">
        <f>CASOPOInvCL!AF1003</f>
        <v>Wajax Limited - Noranda</v>
      </c>
      <c r="O1003" s="16" t="str">
        <f>CASOPOInvCL!AG1003</f>
        <v>CAD</v>
      </c>
      <c r="P1003" s="16">
        <f>CASOPOInvCL!AH1003</f>
        <v>0</v>
      </c>
      <c r="Q1003" s="16">
        <f>CASOPOInvCL!AI1003</f>
        <v>0</v>
      </c>
      <c r="R1003" s="32" t="str">
        <f>CASOPOInvCL!AU1003</f>
        <v/>
      </c>
      <c r="S1003" s="16">
        <f>CASOPOInvCL!AV1003</f>
        <v>0</v>
      </c>
      <c r="T1003" s="16">
        <f>CASOPOInvCL!AW1003</f>
        <v>0</v>
      </c>
      <c r="V1003" t="s">
        <v>5800</v>
      </c>
      <c r="Y1003" s="29" t="str">
        <f>IFERROR(HLOOKUP(U1003,List!$D$2:$H$6,2,FALSE),"")</f>
        <v/>
      </c>
      <c r="Z1003" s="29">
        <f>IFERROR(HLOOKUP(V1003,List!$D$2:$H$6,3,FALSE),"")</f>
        <v>5.0000000000000001E-3</v>
      </c>
      <c r="AA1003" s="29" t="str">
        <f>IFERROR(HLOOKUP(W1003,List!$D$2:$H$6,4,FALSE),"")</f>
        <v/>
      </c>
      <c r="AB1003" s="29" t="str">
        <f>IFERROR(HLOOKUP(X1003,List!$D$2:$H$6,5,FALSE),"")</f>
        <v/>
      </c>
      <c r="AC1003" s="12" t="str">
        <f t="shared" si="256"/>
        <v/>
      </c>
      <c r="AD1003" s="12">
        <f t="shared" si="257"/>
        <v>0</v>
      </c>
      <c r="AE1003" s="12" t="str">
        <f t="shared" si="258"/>
        <v/>
      </c>
      <c r="AF1003" s="12" t="str">
        <f t="shared" si="259"/>
        <v/>
      </c>
      <c r="AG1003" t="str">
        <f>VLOOKUP(J1003,'Receivable Invoice Detail'!$A$1:F4015,6,FALSE)</f>
        <v>[GO351-9607-NSN, G-70782 49 5127] Casing Gasket, 15", 3196 XLT</v>
      </c>
      <c r="AM1003" s="12" t="str">
        <f t="shared" si="260"/>
        <v/>
      </c>
      <c r="AN1003" s="12">
        <f t="shared" si="261"/>
        <v>0</v>
      </c>
      <c r="AO1003" s="12" t="str">
        <f t="shared" si="262"/>
        <v/>
      </c>
      <c r="AP1003" s="12" t="str">
        <f t="shared" si="263"/>
        <v/>
      </c>
      <c r="AQ1003" s="64" t="str">
        <f t="shared" si="254"/>
        <v/>
      </c>
      <c r="AR1003" t="s">
        <v>5931</v>
      </c>
      <c r="AS1003" s="12">
        <f t="shared" si="255"/>
        <v>0</v>
      </c>
      <c r="AT1003" t="s">
        <v>5945</v>
      </c>
    </row>
    <row r="1004" spans="1:46" hidden="1" x14ac:dyDescent="0.25">
      <c r="A1004" s="41">
        <f>CASOPOInvCL!T1004</f>
        <v>1</v>
      </c>
      <c r="B1004" t="str">
        <f>CASOPOInvCL!Z1004</f>
        <v>SO17916</v>
      </c>
      <c r="D1004" t="s">
        <v>5852</v>
      </c>
      <c r="G1004" s="5" t="str">
        <f>CASOPOInvCL!I1004</f>
        <v>Aleksandar Stankovic</v>
      </c>
      <c r="H1004" s="31">
        <f>CASOPOInvCL!U1004</f>
        <v>9</v>
      </c>
      <c r="I1004" s="31">
        <f>CASOPOInvCL!V1004</f>
        <v>2025</v>
      </c>
      <c r="J1004" s="5" t="str">
        <f>CASOPOInvCL!AB1004</f>
        <v>INV13647</v>
      </c>
      <c r="K1004" s="67">
        <f>CASOPOInvCL!W1004</f>
        <v>11</v>
      </c>
      <c r="L1004" s="67">
        <f>CASOPOInvCL!X1004</f>
        <v>2025</v>
      </c>
      <c r="M1004">
        <v>2504</v>
      </c>
      <c r="N1004" s="5" t="str">
        <f>CASOPOInvCL!AF1004</f>
        <v>Process and Steam Specialties, Process and Steam Specialties</v>
      </c>
      <c r="O1004" s="16" t="str">
        <f>CASOPOInvCL!AG1004</f>
        <v>CAD</v>
      </c>
      <c r="P1004" s="16">
        <f>CASOPOInvCL!AH1004</f>
        <v>753.88</v>
      </c>
      <c r="Q1004" s="16">
        <f>CASOPOInvCL!AI1004</f>
        <v>541.20080628788833</v>
      </c>
      <c r="R1004" s="55" t="str">
        <f>CASOPOInvCL!AU1004</f>
        <v>Yes</v>
      </c>
      <c r="S1004" s="16">
        <f>CASOPOInvCL!AV1004</f>
        <v>0</v>
      </c>
      <c r="T1004" s="16">
        <f>CASOPOInvCL!AW1004</f>
        <v>541.20080628788833</v>
      </c>
      <c r="Y1004" s="29" t="str">
        <f>IFERROR(HLOOKUP(U1004,List!$D$2:$H$6,2,FALSE),"")</f>
        <v/>
      </c>
      <c r="Z1004" s="29" t="str">
        <f>IFERROR(HLOOKUP(V1004,List!$D$2:$H$6,3,FALSE),"")</f>
        <v/>
      </c>
      <c r="AA1004" s="29" t="str">
        <f>IFERROR(HLOOKUP(W1004,List!$D$2:$H$6,4,FALSE),"")</f>
        <v/>
      </c>
      <c r="AB1004" s="29" t="str">
        <f>IFERROR(HLOOKUP(X1004,List!$D$2:$H$6,5,FALSE),"")</f>
        <v/>
      </c>
      <c r="AC1004" s="12" t="str">
        <f t="shared" si="256"/>
        <v/>
      </c>
      <c r="AD1004" s="12" t="str">
        <f t="shared" si="257"/>
        <v/>
      </c>
      <c r="AE1004" s="12" t="str">
        <f t="shared" si="258"/>
        <v/>
      </c>
      <c r="AF1004" s="12" t="str">
        <f t="shared" si="259"/>
        <v/>
      </c>
      <c r="AG1004" t="str">
        <f>VLOOKUP(J1004,'Receivable Invoice Detail'!$A$1:F4016,6,FALSE)</f>
        <v>[SA-134422-1] Gland, Sala STHM-33WFR, Cast Iron</v>
      </c>
      <c r="AM1004" s="12" t="str">
        <f t="shared" si="260"/>
        <v/>
      </c>
      <c r="AN1004" s="12" t="str">
        <f t="shared" si="261"/>
        <v/>
      </c>
      <c r="AO1004" s="12" t="str">
        <f t="shared" si="262"/>
        <v/>
      </c>
      <c r="AP1004" s="12" t="str">
        <f t="shared" si="263"/>
        <v/>
      </c>
      <c r="AQ1004" s="64">
        <f t="shared" si="254"/>
        <v>2504</v>
      </c>
      <c r="AR1004" t="s">
        <v>5931</v>
      </c>
      <c r="AS1004" s="12">
        <f t="shared" si="255"/>
        <v>10.342714914351587</v>
      </c>
      <c r="AT1004" t="s">
        <v>4388</v>
      </c>
    </row>
    <row r="1005" spans="1:46" hidden="1" x14ac:dyDescent="0.25">
      <c r="A1005" s="41">
        <f>CASOPOInvCL!T1005</f>
        <v>1</v>
      </c>
      <c r="B1005" t="str">
        <f>CASOPOInvCL!Z1005</f>
        <v>SO17917</v>
      </c>
      <c r="D1005" t="s">
        <v>5851</v>
      </c>
      <c r="G1005" s="5" t="str">
        <f>CASOPOInvCL!I1005</f>
        <v>Ian Trottier</v>
      </c>
      <c r="H1005" s="31">
        <f>CASOPOInvCL!U1005</f>
        <v>9</v>
      </c>
      <c r="I1005" s="31">
        <f>CASOPOInvCL!V1005</f>
        <v>2025</v>
      </c>
      <c r="J1005" s="5" t="str">
        <f>CASOPOInvCL!AB1005</f>
        <v>INV13463</v>
      </c>
      <c r="K1005" s="67">
        <f>CASOPOInvCL!W1005</f>
        <v>11</v>
      </c>
      <c r="L1005" s="67">
        <f>CASOPOInvCL!X1005</f>
        <v>2025</v>
      </c>
      <c r="M1005">
        <v>2504</v>
      </c>
      <c r="N1005" s="5" t="str">
        <f>CASOPOInvCL!AF1005</f>
        <v>Glencore Canada Corporation - Rouyn-Noranda</v>
      </c>
      <c r="O1005" s="16" t="str">
        <f>CASOPOInvCL!AG1005</f>
        <v>CAD</v>
      </c>
      <c r="P1005" s="16">
        <f>CASOPOInvCL!AH1005</f>
        <v>979.42</v>
      </c>
      <c r="Q1005" s="16">
        <f>CASOPOInvCL!AI1005</f>
        <v>703.39570427853937</v>
      </c>
      <c r="R1005" s="55" t="str">
        <f>CASOPOInvCL!AU1005</f>
        <v>Yes</v>
      </c>
      <c r="S1005" s="16">
        <f>CASOPOInvCL!AV1005</f>
        <v>0</v>
      </c>
      <c r="T1005" s="16">
        <f>CASOPOInvCL!AW1005</f>
        <v>703.39570427853937</v>
      </c>
      <c r="V1005" t="s">
        <v>5800</v>
      </c>
      <c r="Y1005" s="29" t="str">
        <f>IFERROR(HLOOKUP(U1005,List!$D$2:$H$6,2,FALSE),"")</f>
        <v/>
      </c>
      <c r="Z1005" s="29">
        <f>IFERROR(HLOOKUP(V1005,List!$D$2:$H$6,3,FALSE),"")</f>
        <v>5.0000000000000001E-3</v>
      </c>
      <c r="AA1005" s="29" t="str">
        <f>IFERROR(HLOOKUP(W1005,List!$D$2:$H$6,4,FALSE),"")</f>
        <v/>
      </c>
      <c r="AB1005" s="29" t="str">
        <f>IFERROR(HLOOKUP(X1005,List!$D$2:$H$6,5,FALSE),"")</f>
        <v/>
      </c>
      <c r="AC1005" s="12" t="str">
        <f t="shared" si="256"/>
        <v/>
      </c>
      <c r="AD1005" s="12">
        <f t="shared" si="257"/>
        <v>3.516978521392697</v>
      </c>
      <c r="AE1005" s="12" t="str">
        <f t="shared" si="258"/>
        <v/>
      </c>
      <c r="AF1005" s="12" t="str">
        <f t="shared" si="259"/>
        <v/>
      </c>
      <c r="AG1005" t="str">
        <f>VLOOKUP(J1005,'Receivable Invoice Detail'!$A$1:F4017,6,FALSE)</f>
        <v>[AC-98-330-307-501] Impeller (Closed), 3x3-10 SRL-C, Natural Rubber</v>
      </c>
      <c r="AM1005" s="12" t="str">
        <f t="shared" si="260"/>
        <v/>
      </c>
      <c r="AN1005" s="12">
        <f t="shared" si="261"/>
        <v>3.516978521392697</v>
      </c>
      <c r="AO1005" s="12" t="str">
        <f t="shared" si="262"/>
        <v/>
      </c>
      <c r="AP1005" s="12" t="str">
        <f t="shared" si="263"/>
        <v/>
      </c>
      <c r="AQ1005" s="64">
        <f t="shared" si="254"/>
        <v>2504</v>
      </c>
      <c r="AR1005" t="s">
        <v>5931</v>
      </c>
      <c r="AS1005" s="12">
        <f t="shared" si="255"/>
        <v>0</v>
      </c>
      <c r="AT1005" t="s">
        <v>4388</v>
      </c>
    </row>
    <row r="1006" spans="1:46" hidden="1" x14ac:dyDescent="0.25">
      <c r="A1006" s="41">
        <f>CASOPOInvCL!T1006</f>
        <v>1</v>
      </c>
      <c r="B1006" t="str">
        <f>CASOPOInvCL!Z1006</f>
        <v>SO17920</v>
      </c>
      <c r="D1006" t="s">
        <v>5851</v>
      </c>
      <c r="G1006" s="5" t="str">
        <f>CASOPOInvCL!I1006</f>
        <v>Alexis Gil Lamadrid</v>
      </c>
      <c r="H1006" s="31">
        <f>CASOPOInvCL!U1006</f>
        <v>9</v>
      </c>
      <c r="I1006" s="31">
        <f>CASOPOInvCL!V1006</f>
        <v>2025</v>
      </c>
      <c r="J1006" s="5" t="str">
        <f>CASOPOInvCL!AB1006</f>
        <v>INV13462</v>
      </c>
      <c r="K1006" s="31">
        <f>CASOPOInvCL!W1006</f>
        <v>11</v>
      </c>
      <c r="L1006" s="31">
        <f>CASOPOInvCL!X1006</f>
        <v>2025</v>
      </c>
      <c r="M1006">
        <v>2504</v>
      </c>
      <c r="N1006" s="5" t="str">
        <f>CASOPOInvCL!AF1006</f>
        <v>Fabrene Inc.</v>
      </c>
      <c r="O1006" s="16" t="str">
        <f>CASOPOInvCL!AG1006</f>
        <v>CAD</v>
      </c>
      <c r="P1006" s="16">
        <f>CASOPOInvCL!AH1006</f>
        <v>102.4</v>
      </c>
      <c r="Q1006" s="16">
        <f>CASOPOInvCL!AI1006</f>
        <v>73.541197972394315</v>
      </c>
      <c r="R1006" s="32" t="str">
        <f>CASOPOInvCL!AU1006</f>
        <v>Yes</v>
      </c>
      <c r="S1006" s="16">
        <f>CASOPOInvCL!AV1006</f>
        <v>0</v>
      </c>
      <c r="T1006" s="16">
        <f>CASOPOInvCL!AW1006</f>
        <v>73.541197972394315</v>
      </c>
      <c r="V1006" t="s">
        <v>5800</v>
      </c>
      <c r="Y1006" s="29" t="str">
        <f>IFERROR(HLOOKUP(U1006,List!$D$2:$H$6,2,FALSE),"")</f>
        <v/>
      </c>
      <c r="Z1006" s="29">
        <f>IFERROR(HLOOKUP(V1006,List!$D$2:$H$6,3,FALSE),"")</f>
        <v>5.0000000000000001E-3</v>
      </c>
      <c r="AA1006" s="29" t="str">
        <f>IFERROR(HLOOKUP(W1006,List!$D$2:$H$6,4,FALSE),"")</f>
        <v/>
      </c>
      <c r="AB1006" s="29" t="str">
        <f>IFERROR(HLOOKUP(X1006,List!$D$2:$H$6,5,FALSE),"")</f>
        <v/>
      </c>
      <c r="AC1006" s="12" t="str">
        <f t="shared" si="256"/>
        <v/>
      </c>
      <c r="AD1006" s="12">
        <f t="shared" si="257"/>
        <v>0.36770598986197156</v>
      </c>
      <c r="AE1006" s="12" t="str">
        <f t="shared" si="258"/>
        <v/>
      </c>
      <c r="AF1006" s="12" t="str">
        <f t="shared" si="259"/>
        <v/>
      </c>
      <c r="AG1006" t="str">
        <f>VLOOKUP(J1006,'Receivable Invoice Detail'!$A$1:F4018,6,FALSE)</f>
        <v>[028-Teflon, G-C02495A28 6359] Impeller O-Ring, 3196 MTX, Teflon</v>
      </c>
      <c r="AM1006" s="12" t="str">
        <f t="shared" si="260"/>
        <v/>
      </c>
      <c r="AN1006" s="12">
        <f t="shared" si="261"/>
        <v>0.36770598986197156</v>
      </c>
      <c r="AO1006" s="12" t="str">
        <f t="shared" si="262"/>
        <v/>
      </c>
      <c r="AP1006" s="12" t="str">
        <f t="shared" si="263"/>
        <v/>
      </c>
      <c r="AQ1006" s="64">
        <f t="shared" si="254"/>
        <v>2504</v>
      </c>
      <c r="AR1006" t="s">
        <v>5931</v>
      </c>
      <c r="AS1006" s="12">
        <f t="shared" si="255"/>
        <v>126.43596828139636</v>
      </c>
      <c r="AT1006" t="s">
        <v>4388</v>
      </c>
    </row>
    <row r="1007" spans="1:46" hidden="1" x14ac:dyDescent="0.25">
      <c r="A1007" s="41">
        <f>CASOPOInvCL!T1007</f>
        <v>1</v>
      </c>
      <c r="B1007" t="str">
        <f>CASOPOInvCL!Z1007</f>
        <v>SO17921</v>
      </c>
      <c r="E1007" t="s">
        <v>5848</v>
      </c>
      <c r="G1007" s="5" t="str">
        <f>CASOPOInvCL!I1007</f>
        <v>Leriel Reyes</v>
      </c>
      <c r="H1007" s="31">
        <f>CASOPOInvCL!U1007</f>
        <v>9</v>
      </c>
      <c r="I1007" s="31">
        <f>CASOPOInvCL!V1007</f>
        <v>2025</v>
      </c>
      <c r="J1007" s="5" t="str">
        <f>CASOPOInvCL!AB1007</f>
        <v>INV13661</v>
      </c>
      <c r="K1007" s="31" t="str">
        <f>CASOPOInvCL!W1007</f>
        <v/>
      </c>
      <c r="L1007" s="31" t="str">
        <f>CASOPOInvCL!X1007</f>
        <v/>
      </c>
      <c r="M1007" t="s">
        <v>5945</v>
      </c>
      <c r="N1007" s="5" t="str">
        <f>CASOPOInvCL!AF1007</f>
        <v>Covia Corp - Fort Smith</v>
      </c>
      <c r="O1007" s="16" t="str">
        <f>CASOPOInvCL!AG1007</f>
        <v>USD</v>
      </c>
      <c r="P1007" s="16">
        <f>CASOPOInvCL!AH1007</f>
        <v>33876.233231040314</v>
      </c>
      <c r="Q1007" s="16">
        <f>CASOPOInvCL!AI1007</f>
        <v>24284.38</v>
      </c>
      <c r="R1007" s="32" t="str">
        <f>CASOPOInvCL!AU1007</f>
        <v/>
      </c>
      <c r="S1007" s="16">
        <f>CASOPOInvCL!AV1007</f>
        <v>585</v>
      </c>
      <c r="T1007" s="16">
        <f>CASOPOInvCL!AW1007</f>
        <v>0</v>
      </c>
      <c r="W1007" t="s">
        <v>5800</v>
      </c>
      <c r="Y1007" s="29" t="str">
        <f>IFERROR(HLOOKUP(U1007,List!$D$2:$H$6,2,FALSE),"")</f>
        <v/>
      </c>
      <c r="Z1007" s="29" t="str">
        <f>IFERROR(HLOOKUP(V1007,List!$D$2:$H$6,3,FALSE),"")</f>
        <v/>
      </c>
      <c r="AA1007" s="29">
        <f>IFERROR(HLOOKUP(W1007,List!$D$2:$H$6,4,FALSE),"")</f>
        <v>0.01</v>
      </c>
      <c r="AB1007" s="29" t="str">
        <f>IFERROR(HLOOKUP(X1007,List!$D$2:$H$6,5,FALSE),"")</f>
        <v/>
      </c>
      <c r="AC1007" s="12" t="str">
        <f t="shared" si="256"/>
        <v/>
      </c>
      <c r="AD1007" s="12" t="str">
        <f t="shared" si="257"/>
        <v/>
      </c>
      <c r="AE1007" s="12">
        <f t="shared" si="258"/>
        <v>0</v>
      </c>
      <c r="AF1007" s="12" t="str">
        <f t="shared" si="259"/>
        <v/>
      </c>
      <c r="AG1007" t="str">
        <f>VLOOKUP(J1007,'Receivable Invoice Detail'!$A$1:F4019,6,FALSE)</f>
        <v>[D-196 8x10-15G XLT CD4MCu] Pump D-196 XLTX 8x10-15G All CD4MCu</v>
      </c>
      <c r="AM1007" s="12" t="str">
        <f t="shared" si="260"/>
        <v/>
      </c>
      <c r="AN1007" s="12" t="str">
        <f t="shared" si="261"/>
        <v/>
      </c>
      <c r="AO1007" s="12">
        <f t="shared" si="262"/>
        <v>0</v>
      </c>
      <c r="AP1007" s="12" t="str">
        <f t="shared" si="263"/>
        <v/>
      </c>
      <c r="AQ1007" s="64" t="str">
        <f t="shared" si="254"/>
        <v/>
      </c>
      <c r="AS1007" s="12">
        <f t="shared" si="255"/>
        <v>0</v>
      </c>
      <c r="AT1007" t="s">
        <v>5945</v>
      </c>
    </row>
    <row r="1008" spans="1:46" hidden="1" x14ac:dyDescent="0.25">
      <c r="A1008" s="41">
        <f>CASOPOInvCL!T1008</f>
        <v>1</v>
      </c>
      <c r="B1008" t="str">
        <f>CASOPOInvCL!Z1008</f>
        <v>SO17922</v>
      </c>
      <c r="G1008" s="5" t="str">
        <f>CASOPOInvCL!I1008</f>
        <v>Ian Trottier</v>
      </c>
      <c r="H1008" s="31">
        <f>CASOPOInvCL!U1008</f>
        <v>9</v>
      </c>
      <c r="I1008" s="31">
        <f>CASOPOInvCL!V1008</f>
        <v>2025</v>
      </c>
      <c r="J1008" s="5" t="str">
        <f>CASOPOInvCL!AB1008</f>
        <v>INV13626</v>
      </c>
      <c r="K1008" s="31">
        <f>CASOPOInvCL!W1008</f>
        <v>12</v>
      </c>
      <c r="L1008" s="31">
        <f>CASOPOInvCL!X1008</f>
        <v>2025</v>
      </c>
      <c r="M1008" t="s">
        <v>5945</v>
      </c>
      <c r="N1008" s="5" t="str">
        <f>CASOPOInvCL!AF1008</f>
        <v>Les Pompes du St-Laurent Inc.</v>
      </c>
      <c r="O1008" s="16" t="str">
        <f>CASOPOInvCL!AG1008</f>
        <v>CAD</v>
      </c>
      <c r="P1008" s="16">
        <f>CASOPOInvCL!AH1008</f>
        <v>1949.64</v>
      </c>
      <c r="Q1008" s="16">
        <f>CASOPOInvCL!AI1008</f>
        <v>1397.8677087523454</v>
      </c>
      <c r="R1008" s="32" t="str">
        <f>CASOPOInvCL!AU1008</f>
        <v>Yes</v>
      </c>
      <c r="S1008" s="16">
        <f>CASOPOInvCL!AV1008</f>
        <v>0</v>
      </c>
      <c r="T1008" s="16">
        <f>CASOPOInvCL!AW1008</f>
        <v>1397.8677087523454</v>
      </c>
      <c r="Y1008" s="29" t="str">
        <f>IFERROR(HLOOKUP(U1008,List!$D$2:$H$6,2,FALSE),"")</f>
        <v/>
      </c>
      <c r="Z1008" s="29" t="str">
        <f>IFERROR(HLOOKUP(V1008,List!$D$2:$H$6,3,FALSE),"")</f>
        <v/>
      </c>
      <c r="AA1008" s="29" t="str">
        <f>IFERROR(HLOOKUP(W1008,List!$D$2:$H$6,4,FALSE),"")</f>
        <v/>
      </c>
      <c r="AB1008" s="29" t="str">
        <f>IFERROR(HLOOKUP(X1008,List!$D$2:$H$6,5,FALSE),"")</f>
        <v/>
      </c>
      <c r="AC1008" s="12" t="str">
        <f t="shared" si="256"/>
        <v/>
      </c>
      <c r="AD1008" s="12" t="str">
        <f t="shared" si="257"/>
        <v/>
      </c>
      <c r="AE1008" s="12" t="str">
        <f t="shared" si="258"/>
        <v/>
      </c>
      <c r="AF1008" s="12" t="str">
        <f t="shared" si="259"/>
        <v/>
      </c>
      <c r="AG1008" t="str">
        <f>VLOOKUP(J1008,'Receivable Invoice Detail'!$A$1:F4020,6,FALSE)</f>
        <v>[DU-MY49112A130-CD4] Impeller, 3x2-13, Durco Mark 2&amp;3 Group 2, CD4MCu, Reverse Vane</v>
      </c>
      <c r="AM1008" s="12" t="str">
        <f t="shared" si="260"/>
        <v/>
      </c>
      <c r="AN1008" s="12" t="str">
        <f t="shared" si="261"/>
        <v/>
      </c>
      <c r="AO1008" s="12" t="str">
        <f t="shared" si="262"/>
        <v/>
      </c>
      <c r="AP1008" s="12" t="str">
        <f t="shared" si="263"/>
        <v/>
      </c>
      <c r="AQ1008" s="64" t="str">
        <f t="shared" si="254"/>
        <v/>
      </c>
      <c r="AS1008" s="12">
        <f t="shared" si="255"/>
        <v>130.47</v>
      </c>
      <c r="AT1008" t="s">
        <v>5945</v>
      </c>
    </row>
    <row r="1009" spans="1:46" hidden="1" x14ac:dyDescent="0.25">
      <c r="A1009" s="41">
        <f>CASOPOInvCL!T1009</f>
        <v>1</v>
      </c>
      <c r="B1009" t="str">
        <f>CASOPOInvCL!Z1009</f>
        <v>SO17923</v>
      </c>
      <c r="G1009" s="5" t="str">
        <f>CASOPOInvCL!I1009</f>
        <v>Aleksandar Stankovic</v>
      </c>
      <c r="H1009" s="31">
        <f>CASOPOInvCL!U1009</f>
        <v>9</v>
      </c>
      <c r="I1009" s="31">
        <f>CASOPOInvCL!V1009</f>
        <v>2025</v>
      </c>
      <c r="J1009" s="5" t="str">
        <f>CASOPOInvCL!AB1009</f>
        <v>INV13539</v>
      </c>
      <c r="K1009" s="31">
        <f>CASOPOInvCL!W1009</f>
        <v>11</v>
      </c>
      <c r="L1009" s="31">
        <f>CASOPOInvCL!X1009</f>
        <v>2025</v>
      </c>
      <c r="M1009">
        <v>2504</v>
      </c>
      <c r="N1009" s="5" t="str">
        <f>CASOPOInvCL!AF1009</f>
        <v>FMI Products</v>
      </c>
      <c r="O1009" s="16" t="str">
        <f>CASOPOInvCL!AG1009</f>
        <v>CAD</v>
      </c>
      <c r="P1009" s="16">
        <f>CASOPOInvCL!AH1009</f>
        <v>4981.76</v>
      </c>
      <c r="Q1009" s="16">
        <f>CASOPOInvCL!AI1009</f>
        <v>3546.4264881520389</v>
      </c>
      <c r="R1009" s="32" t="str">
        <f>CASOPOInvCL!AU1009</f>
        <v/>
      </c>
      <c r="S1009" s="16">
        <f>CASOPOInvCL!AV1009</f>
        <v>0</v>
      </c>
      <c r="T1009" s="16">
        <f>CASOPOInvCL!AW1009</f>
        <v>0</v>
      </c>
      <c r="Y1009" s="29" t="str">
        <f>IFERROR(HLOOKUP(U1009,List!$D$2:$H$6,2,FALSE),"")</f>
        <v/>
      </c>
      <c r="Z1009" s="29" t="str">
        <f>IFERROR(HLOOKUP(V1009,List!$D$2:$H$6,3,FALSE),"")</f>
        <v/>
      </c>
      <c r="AA1009" s="29" t="str">
        <f>IFERROR(HLOOKUP(W1009,List!$D$2:$H$6,4,FALSE),"")</f>
        <v/>
      </c>
      <c r="AB1009" s="29" t="str">
        <f>IFERROR(HLOOKUP(X1009,List!$D$2:$H$6,5,FALSE),"")</f>
        <v/>
      </c>
      <c r="AC1009" s="12" t="str">
        <f t="shared" si="256"/>
        <v/>
      </c>
      <c r="AD1009" s="12" t="str">
        <f t="shared" si="257"/>
        <v/>
      </c>
      <c r="AE1009" s="12" t="str">
        <f t="shared" si="258"/>
        <v/>
      </c>
      <c r="AF1009" s="12" t="str">
        <f t="shared" si="259"/>
        <v/>
      </c>
      <c r="AG1009" t="str">
        <f>VLOOKUP(J1009,'Receivable Invoice Detail'!$A$1:F4021,6,FALSE)</f>
        <v>[GA-27769] Impeller, G-Series 2.5" VSP, 1000 Series, 316SS</v>
      </c>
      <c r="AM1009" s="12" t="str">
        <f t="shared" si="260"/>
        <v/>
      </c>
      <c r="AN1009" s="12" t="str">
        <f t="shared" si="261"/>
        <v/>
      </c>
      <c r="AO1009" s="12" t="str">
        <f t="shared" si="262"/>
        <v/>
      </c>
      <c r="AP1009" s="12" t="str">
        <f t="shared" si="263"/>
        <v/>
      </c>
      <c r="AQ1009" s="64">
        <f t="shared" si="254"/>
        <v>2504</v>
      </c>
      <c r="AR1009" t="s">
        <v>5943</v>
      </c>
      <c r="AS1009" s="12">
        <f t="shared" si="255"/>
        <v>1.0772636421737447</v>
      </c>
      <c r="AT1009" t="s">
        <v>5945</v>
      </c>
    </row>
    <row r="1010" spans="1:46" hidden="1" x14ac:dyDescent="0.25">
      <c r="A1010" s="41">
        <f>CASOPOInvCL!T1010</f>
        <v>1</v>
      </c>
      <c r="B1010" t="str">
        <f>CASOPOInvCL!Z1010</f>
        <v>SO17925</v>
      </c>
      <c r="D1010" t="s">
        <v>5915</v>
      </c>
      <c r="G1010" s="5" t="str">
        <f>CASOPOInvCL!I1010</f>
        <v>Wilka Nuñez</v>
      </c>
      <c r="H1010" s="31">
        <f>CASOPOInvCL!U1010</f>
        <v>9</v>
      </c>
      <c r="I1010" s="31">
        <f>CASOPOInvCL!V1010</f>
        <v>2025</v>
      </c>
      <c r="J1010" s="5" t="str">
        <f>CASOPOInvCL!AB1010</f>
        <v>INV13465</v>
      </c>
      <c r="K1010" s="31">
        <f>CASOPOInvCL!W1010</f>
        <v>11</v>
      </c>
      <c r="L1010" s="31">
        <f>CASOPOInvCL!X1010</f>
        <v>2025</v>
      </c>
      <c r="M1010">
        <v>2504</v>
      </c>
      <c r="N1010" s="5" t="str">
        <f>CASOPOInvCL!AF1010</f>
        <v>Hyperflo</v>
      </c>
      <c r="O1010" s="16" t="str">
        <f>CASOPOInvCL!AG1010</f>
        <v>CAD</v>
      </c>
      <c r="P1010" s="16">
        <f>CASOPOInvCL!AH1010</f>
        <v>279.5</v>
      </c>
      <c r="Q1010" s="16">
        <f>CASOPOInvCL!AI1010</f>
        <v>200.39803481477637</v>
      </c>
      <c r="R1010" s="32" t="str">
        <f>CASOPOInvCL!AU1010</f>
        <v>Yes</v>
      </c>
      <c r="S1010" s="16">
        <f>CASOPOInvCL!AV1010</f>
        <v>0</v>
      </c>
      <c r="T1010" s="16">
        <f>CASOPOInvCL!AW1010</f>
        <v>200.39803481477637</v>
      </c>
      <c r="V1010" t="s">
        <v>5800</v>
      </c>
      <c r="Y1010" s="29" t="str">
        <f>IFERROR(HLOOKUP(U1010,List!$D$2:$H$6,2,FALSE),"")</f>
        <v/>
      </c>
      <c r="Z1010" s="29">
        <f>IFERROR(HLOOKUP(V1010,List!$D$2:$H$6,3,FALSE),"")</f>
        <v>5.0000000000000001E-3</v>
      </c>
      <c r="AA1010" s="29" t="str">
        <f>IFERROR(HLOOKUP(W1010,List!$D$2:$H$6,4,FALSE),"")</f>
        <v/>
      </c>
      <c r="AB1010" s="29" t="str">
        <f>IFERROR(HLOOKUP(X1010,List!$D$2:$H$6,5,FALSE),"")</f>
        <v/>
      </c>
      <c r="AC1010" s="12" t="str">
        <f t="shared" si="256"/>
        <v/>
      </c>
      <c r="AD1010" s="12">
        <f t="shared" si="257"/>
        <v>1.0019901740738819</v>
      </c>
      <c r="AE1010" s="12" t="str">
        <f t="shared" si="258"/>
        <v/>
      </c>
      <c r="AF1010" s="12" t="str">
        <f t="shared" si="259"/>
        <v/>
      </c>
      <c r="AG1010" t="str">
        <f>VLOOKUP(J1010,'Receivable Invoice Detail'!$A$1:F4022,6,FALSE)</f>
        <v>[AC-98-232-857-802] Shim Set, A-C PWO-C Group 2, Plastic</v>
      </c>
      <c r="AM1010" s="12" t="str">
        <f t="shared" si="260"/>
        <v/>
      </c>
      <c r="AN1010" s="12">
        <f t="shared" si="261"/>
        <v>1.0019901740738819</v>
      </c>
      <c r="AO1010" s="12" t="str">
        <f t="shared" si="262"/>
        <v/>
      </c>
      <c r="AP1010" s="12" t="str">
        <f t="shared" si="263"/>
        <v/>
      </c>
      <c r="AQ1010" s="64">
        <f t="shared" si="254"/>
        <v>2504</v>
      </c>
      <c r="AR1010" t="s">
        <v>5931</v>
      </c>
      <c r="AS1010" s="12">
        <f t="shared" si="255"/>
        <v>0</v>
      </c>
      <c r="AT1010" t="s">
        <v>4388</v>
      </c>
    </row>
    <row r="1011" spans="1:46" hidden="1" x14ac:dyDescent="0.25">
      <c r="A1011" s="41">
        <f>CASOPOInvCL!T1011</f>
        <v>2</v>
      </c>
      <c r="B1011" t="str">
        <f>CASOPOInvCL!Z1011</f>
        <v>SO17926</v>
      </c>
      <c r="G1011" s="5" t="str">
        <f>CASOPOInvCL!I1011</f>
        <v>Ian Trottier</v>
      </c>
      <c r="H1011" s="31">
        <f>CASOPOInvCL!U1011</f>
        <v>9</v>
      </c>
      <c r="I1011" s="31">
        <f>CASOPOInvCL!V1011</f>
        <v>2025</v>
      </c>
      <c r="J1011" s="5" t="str">
        <f>CASOPOInvCL!AB1011</f>
        <v>INV13450</v>
      </c>
      <c r="K1011" s="31">
        <f>CASOPOInvCL!W1011</f>
        <v>11</v>
      </c>
      <c r="L1011" s="31">
        <f>CASOPOInvCL!X1011</f>
        <v>2025</v>
      </c>
      <c r="M1011">
        <v>2504</v>
      </c>
      <c r="N1011" s="5" t="str">
        <f>CASOPOInvCL!AF1011</f>
        <v>Glencore Canada Corporation - Rouyn-Noranda</v>
      </c>
      <c r="O1011" s="16" t="str">
        <f>CASOPOInvCL!AG1011</f>
        <v>CAD</v>
      </c>
      <c r="P1011" s="16">
        <f>CASOPOInvCL!AH1011</f>
        <v>14319.84</v>
      </c>
      <c r="Q1011" s="16">
        <f>CASOPOInvCL!AI1011</f>
        <v>10267.147745481316</v>
      </c>
      <c r="R1011" s="32" t="str">
        <f>CASOPOInvCL!AU1011</f>
        <v/>
      </c>
      <c r="S1011" s="16">
        <f>CASOPOInvCL!AV1011</f>
        <v>0</v>
      </c>
      <c r="T1011" s="16">
        <f>CASOPOInvCL!AW1011</f>
        <v>0</v>
      </c>
      <c r="Y1011" s="29" t="str">
        <f>IFERROR(HLOOKUP(U1011,List!$D$2:$H$6,2,FALSE),"")</f>
        <v/>
      </c>
      <c r="Z1011" s="29" t="str">
        <f>IFERROR(HLOOKUP(V1011,List!$D$2:$H$6,3,FALSE),"")</f>
        <v/>
      </c>
      <c r="AA1011" s="29" t="str">
        <f>IFERROR(HLOOKUP(W1011,List!$D$2:$H$6,4,FALSE),"")</f>
        <v/>
      </c>
      <c r="AB1011" s="29" t="str">
        <f>IFERROR(HLOOKUP(X1011,List!$D$2:$H$6,5,FALSE),"")</f>
        <v/>
      </c>
      <c r="AC1011" s="12" t="str">
        <f t="shared" si="256"/>
        <v/>
      </c>
      <c r="AD1011" s="12" t="str">
        <f t="shared" si="257"/>
        <v/>
      </c>
      <c r="AE1011" s="12" t="str">
        <f t="shared" si="258"/>
        <v/>
      </c>
      <c r="AF1011" s="12" t="str">
        <f t="shared" si="259"/>
        <v/>
      </c>
      <c r="AG1011" t="str">
        <f>VLOOKUP(J1011,'Receivable Invoice Detail'!$A$1:F4023,6,FALSE)</f>
        <v>[AC-98-331-958-831] Shaft Sleeve, 5x4/5x5/6X6 SRL-C &amp; SRL, 420SS Heat Treated, Hardened</v>
      </c>
      <c r="AM1011" s="12" t="str">
        <f t="shared" si="260"/>
        <v/>
      </c>
      <c r="AN1011" s="12" t="str">
        <f t="shared" si="261"/>
        <v/>
      </c>
      <c r="AO1011" s="12" t="str">
        <f t="shared" si="262"/>
        <v/>
      </c>
      <c r="AP1011" s="12" t="str">
        <f t="shared" si="263"/>
        <v/>
      </c>
      <c r="AQ1011" s="64">
        <f t="shared" si="254"/>
        <v>2504</v>
      </c>
      <c r="AS1011" s="12">
        <f t="shared" si="255"/>
        <v>8.118012094318324</v>
      </c>
      <c r="AT1011" t="s">
        <v>5945</v>
      </c>
    </row>
    <row r="1012" spans="1:46" hidden="1" x14ac:dyDescent="0.25">
      <c r="A1012" s="41">
        <f>CASOPOInvCL!T1012</f>
        <v>2</v>
      </c>
      <c r="B1012" t="str">
        <f>CASOPOInvCL!Z1012</f>
        <v>SO17926</v>
      </c>
      <c r="G1012" s="5">
        <f>CASOPOInvCL!I1012</f>
        <v>0</v>
      </c>
      <c r="H1012" s="31">
        <f>CASOPOInvCL!U1012</f>
        <v>9</v>
      </c>
      <c r="I1012" s="31">
        <f>CASOPOInvCL!V1012</f>
        <v>2025</v>
      </c>
      <c r="J1012" s="5" t="str">
        <f>CASOPOInvCL!AB1012</f>
        <v>INV13550</v>
      </c>
      <c r="K1012" s="31" t="str">
        <f>CASOPOInvCL!W1012</f>
        <v/>
      </c>
      <c r="L1012" s="31" t="str">
        <f>CASOPOInvCL!X1012</f>
        <v/>
      </c>
      <c r="M1012">
        <v>2504</v>
      </c>
      <c r="N1012" s="5" t="str">
        <f>CASOPOInvCL!AF1012</f>
        <v>Glencore Canada Corporation - Rouyn-Noranda</v>
      </c>
      <c r="O1012" s="16" t="str">
        <f>CASOPOInvCL!AG1012</f>
        <v>CAD</v>
      </c>
      <c r="P1012" s="16">
        <f>CASOPOInvCL!AH1012</f>
        <v>0</v>
      </c>
      <c r="Q1012" s="16">
        <f>CASOPOInvCL!AI1012</f>
        <v>0</v>
      </c>
      <c r="R1012" s="32" t="str">
        <f>CASOPOInvCL!AU1012</f>
        <v/>
      </c>
      <c r="S1012" s="16">
        <f>CASOPOInvCL!AV1012</f>
        <v>0</v>
      </c>
      <c r="T1012" s="16">
        <f>CASOPOInvCL!AW1012</f>
        <v>0</v>
      </c>
      <c r="Y1012" s="29" t="str">
        <f>IFERROR(HLOOKUP(U1012,List!$D$2:$H$6,2,FALSE),"")</f>
        <v/>
      </c>
      <c r="Z1012" s="29" t="str">
        <f>IFERROR(HLOOKUP(V1012,List!$D$2:$H$6,3,FALSE),"")</f>
        <v/>
      </c>
      <c r="AA1012" s="29" t="str">
        <f>IFERROR(HLOOKUP(W1012,List!$D$2:$H$6,4,FALSE),"")</f>
        <v/>
      </c>
      <c r="AB1012" s="29" t="str">
        <f>IFERROR(HLOOKUP(X1012,List!$D$2:$H$6,5,FALSE),"")</f>
        <v/>
      </c>
      <c r="AC1012" s="12" t="str">
        <f t="shared" si="256"/>
        <v/>
      </c>
      <c r="AD1012" s="12" t="str">
        <f t="shared" si="257"/>
        <v/>
      </c>
      <c r="AE1012" s="12" t="str">
        <f t="shared" si="258"/>
        <v/>
      </c>
      <c r="AF1012" s="12" t="str">
        <f t="shared" si="259"/>
        <v/>
      </c>
      <c r="AG1012" t="str">
        <f>VLOOKUP(J1012,'Receivable Invoice Detail'!$A$1:F4024,6,FALSE)</f>
        <v>[AC-98-039-047-501] Impeller (Closed), 5x4-14 SRL-C, Natural Rubber</v>
      </c>
      <c r="AM1012" s="12" t="str">
        <f t="shared" si="260"/>
        <v/>
      </c>
      <c r="AN1012" s="12" t="str">
        <f t="shared" si="261"/>
        <v/>
      </c>
      <c r="AO1012" s="12" t="str">
        <f t="shared" si="262"/>
        <v/>
      </c>
      <c r="AP1012" s="12" t="str">
        <f t="shared" si="263"/>
        <v/>
      </c>
      <c r="AQ1012" s="64">
        <f t="shared" si="254"/>
        <v>2504</v>
      </c>
      <c r="AS1012" s="12">
        <f t="shared" si="255"/>
        <v>10.55093556417809</v>
      </c>
      <c r="AT1012" t="s">
        <v>5945</v>
      </c>
    </row>
    <row r="1013" spans="1:46" hidden="1" x14ac:dyDescent="0.25">
      <c r="A1013" s="41">
        <f>CASOPOInvCL!T1013</f>
        <v>1</v>
      </c>
      <c r="B1013" t="str">
        <f>CASOPOInvCL!Z1013</f>
        <v>SO17928</v>
      </c>
      <c r="G1013" s="5" t="str">
        <f>CASOPOInvCL!I1013</f>
        <v>Ian Trottier</v>
      </c>
      <c r="H1013" s="31">
        <f>CASOPOInvCL!U1013</f>
        <v>9</v>
      </c>
      <c r="I1013" s="31">
        <f>CASOPOInvCL!V1013</f>
        <v>2025</v>
      </c>
      <c r="J1013" s="5" t="str">
        <f>CASOPOInvCL!AB1013</f>
        <v>INV13460</v>
      </c>
      <c r="K1013" s="31">
        <f>CASOPOInvCL!W1013</f>
        <v>11</v>
      </c>
      <c r="L1013" s="31">
        <f>CASOPOInvCL!X1013</f>
        <v>2025</v>
      </c>
      <c r="M1013">
        <v>2504</v>
      </c>
      <c r="N1013" s="5" t="str">
        <f>CASOPOInvCL!AF1013</f>
        <v>Middle Georgia Fluid Sealing LLC</v>
      </c>
      <c r="O1013" s="16" t="str">
        <f>CASOPOInvCL!AG1013</f>
        <v>USD</v>
      </c>
      <c r="P1013" s="16">
        <f>CASOPOInvCL!AH1013</f>
        <v>10938.227689763189</v>
      </c>
      <c r="Q1013" s="16">
        <f>CASOPOInvCL!AI1013</f>
        <v>7855.57</v>
      </c>
      <c r="R1013" s="32" t="str">
        <f>CASOPOInvCL!AU1013</f>
        <v>Yes</v>
      </c>
      <c r="S1013" s="16">
        <f>CASOPOInvCL!AV1013</f>
        <v>690</v>
      </c>
      <c r="T1013" s="16">
        <f>CASOPOInvCL!AW1013</f>
        <v>7165.57</v>
      </c>
      <c r="Y1013" s="29" t="str">
        <f>IFERROR(HLOOKUP(U1013,List!$D$2:$H$6,2,FALSE),"")</f>
        <v/>
      </c>
      <c r="Z1013" s="29" t="str">
        <f>IFERROR(HLOOKUP(V1013,List!$D$2:$H$6,3,FALSE),"")</f>
        <v/>
      </c>
      <c r="AA1013" s="29" t="str">
        <f>IFERROR(HLOOKUP(W1013,List!$D$2:$H$6,4,FALSE),"")</f>
        <v/>
      </c>
      <c r="AB1013" s="29" t="str">
        <f>IFERROR(HLOOKUP(X1013,List!$D$2:$H$6,5,FALSE),"")</f>
        <v/>
      </c>
      <c r="AC1013" s="12" t="str">
        <f t="shared" si="256"/>
        <v/>
      </c>
      <c r="AD1013" s="12" t="str">
        <f t="shared" si="257"/>
        <v/>
      </c>
      <c r="AE1013" s="12" t="str">
        <f t="shared" si="258"/>
        <v/>
      </c>
      <c r="AF1013" s="12" t="str">
        <f t="shared" si="259"/>
        <v/>
      </c>
      <c r="AG1013" t="str">
        <f>VLOOKUP(J1013,'Receivable Invoice Detail'!$A$1:F4025,6,FALSE)</f>
        <v>[D-PE1J-100] Power End, Goulds JC, Frame 1J, Grease-Lubed, SKF Bearings, 4140 Steel Shaft</v>
      </c>
      <c r="AM1013" s="12" t="str">
        <f t="shared" si="260"/>
        <v/>
      </c>
      <c r="AN1013" s="12" t="str">
        <f t="shared" si="261"/>
        <v/>
      </c>
      <c r="AO1013" s="12" t="str">
        <f t="shared" si="262"/>
        <v/>
      </c>
      <c r="AP1013" s="12" t="str">
        <f t="shared" si="263"/>
        <v/>
      </c>
      <c r="AQ1013" s="64">
        <f t="shared" si="254"/>
        <v>2504</v>
      </c>
      <c r="AS1013" s="12">
        <f t="shared" si="255"/>
        <v>1.1031179695859146</v>
      </c>
      <c r="AT1013" t="s">
        <v>4388</v>
      </c>
    </row>
    <row r="1014" spans="1:46" hidden="1" x14ac:dyDescent="0.25">
      <c r="A1014" s="41">
        <f>CASOPOInvCL!T1014</f>
        <v>2</v>
      </c>
      <c r="B1014" t="str">
        <f>CASOPOInvCL!Z1014</f>
        <v>SO17930</v>
      </c>
      <c r="G1014" s="5" t="str">
        <f>CASOPOInvCL!I1014</f>
        <v>Carlos Leon</v>
      </c>
      <c r="H1014" s="31">
        <f>CASOPOInvCL!U1014</f>
        <v>9</v>
      </c>
      <c r="I1014" s="31">
        <f>CASOPOInvCL!V1014</f>
        <v>2025</v>
      </c>
      <c r="J1014" s="5" t="str">
        <f>CASOPOInvCL!AB1014</f>
        <v>INV13683</v>
      </c>
      <c r="K1014" s="31" t="str">
        <f>CASOPOInvCL!W1014</f>
        <v/>
      </c>
      <c r="L1014" s="31" t="str">
        <f>CASOPOInvCL!X1014</f>
        <v/>
      </c>
      <c r="M1014" t="s">
        <v>5945</v>
      </c>
      <c r="N1014" s="5" t="str">
        <f>CASOPOInvCL!AF1014</f>
        <v>Dynapro Pumps México S de RL de CV</v>
      </c>
      <c r="O1014" s="16" t="str">
        <f>CASOPOInvCL!AG1014</f>
        <v>USD</v>
      </c>
      <c r="P1014" s="16">
        <f>CASOPOInvCL!AH1014</f>
        <v>2575.9710913481645</v>
      </c>
      <c r="Q1014" s="16">
        <f>CASOPOInvCL!AI1014</f>
        <v>1850</v>
      </c>
      <c r="R1014" s="32" t="str">
        <f>CASOPOInvCL!AU1014</f>
        <v>Yes</v>
      </c>
      <c r="S1014" s="16">
        <f>CASOPOInvCL!AV1014</f>
        <v>0</v>
      </c>
      <c r="T1014" s="16">
        <f>CASOPOInvCL!AW1014</f>
        <v>1850</v>
      </c>
      <c r="Y1014" s="29" t="str">
        <f>IFERROR(HLOOKUP(U1014,List!$D$2:$H$6,2,FALSE),"")</f>
        <v/>
      </c>
      <c r="Z1014" s="29" t="str">
        <f>IFERROR(HLOOKUP(V1014,List!$D$2:$H$6,3,FALSE),"")</f>
        <v/>
      </c>
      <c r="AA1014" s="29" t="str">
        <f>IFERROR(HLOOKUP(W1014,List!$D$2:$H$6,4,FALSE),"")</f>
        <v/>
      </c>
      <c r="AB1014" s="29" t="str">
        <f>IFERROR(HLOOKUP(X1014,List!$D$2:$H$6,5,FALSE),"")</f>
        <v/>
      </c>
      <c r="AC1014" s="12" t="str">
        <f t="shared" si="256"/>
        <v/>
      </c>
      <c r="AD1014" s="12" t="str">
        <f t="shared" si="257"/>
        <v/>
      </c>
      <c r="AE1014" s="12" t="str">
        <f t="shared" si="258"/>
        <v/>
      </c>
      <c r="AF1014" s="12" t="str">
        <f t="shared" si="259"/>
        <v/>
      </c>
      <c r="AG1014" t="str">
        <f>VLOOKUP(J1014,'Receivable Invoice Detail'!$A$1:F4026,6,FALSE)</f>
        <v>[SZ-EL1208506M] Deflector, Sulzer</v>
      </c>
      <c r="AM1014" s="12" t="str">
        <f t="shared" si="260"/>
        <v/>
      </c>
      <c r="AN1014" s="12" t="str">
        <f t="shared" si="261"/>
        <v/>
      </c>
      <c r="AO1014" s="12" t="str">
        <f t="shared" si="262"/>
        <v/>
      </c>
      <c r="AP1014" s="12" t="str">
        <f t="shared" si="263"/>
        <v/>
      </c>
      <c r="AQ1014" s="64" t="str">
        <f t="shared" si="254"/>
        <v/>
      </c>
      <c r="AR1014" t="s">
        <v>5940</v>
      </c>
      <c r="AS1014" s="12">
        <f t="shared" si="255"/>
        <v>0</v>
      </c>
      <c r="AT1014" t="s">
        <v>5940</v>
      </c>
    </row>
    <row r="1015" spans="1:46" hidden="1" x14ac:dyDescent="0.25">
      <c r="A1015" s="41">
        <f>CASOPOInvCL!T1015</f>
        <v>2</v>
      </c>
      <c r="B1015" t="str">
        <f>CASOPOInvCL!Z1015</f>
        <v>SO17930</v>
      </c>
      <c r="G1015" s="5">
        <f>CASOPOInvCL!I1015</f>
        <v>0</v>
      </c>
      <c r="H1015" s="31">
        <f>CASOPOInvCL!U1015</f>
        <v>9</v>
      </c>
      <c r="I1015" s="31">
        <f>CASOPOInvCL!V1015</f>
        <v>2025</v>
      </c>
      <c r="J1015" s="5" t="str">
        <f>CASOPOInvCL!AB1015</f>
        <v>INV13710</v>
      </c>
      <c r="K1015" s="31" t="str">
        <f>CASOPOInvCL!W1015</f>
        <v/>
      </c>
      <c r="L1015" s="31" t="str">
        <f>CASOPOInvCL!X1015</f>
        <v/>
      </c>
      <c r="M1015" t="s">
        <v>5945</v>
      </c>
      <c r="N1015" s="5" t="str">
        <f>CASOPOInvCL!AF1015</f>
        <v>Dynapro Pumps México S de RL de CV</v>
      </c>
      <c r="O1015" s="16" t="str">
        <f>CASOPOInvCL!AG1015</f>
        <v>USD</v>
      </c>
      <c r="P1015" s="16">
        <f>CASOPOInvCL!AH1015</f>
        <v>0</v>
      </c>
      <c r="Q1015" s="16">
        <f>CASOPOInvCL!AI1015</f>
        <v>0</v>
      </c>
      <c r="R1015" s="32" t="str">
        <f>CASOPOInvCL!AU1015</f>
        <v/>
      </c>
      <c r="S1015" s="16">
        <f>CASOPOInvCL!AV1015</f>
        <v>0</v>
      </c>
      <c r="T1015" s="16">
        <f>CASOPOInvCL!AW1015</f>
        <v>0</v>
      </c>
      <c r="Y1015" s="29" t="str">
        <f>IFERROR(HLOOKUP(U1015,List!$D$2:$H$6,2,FALSE),"")</f>
        <v/>
      </c>
      <c r="Z1015" s="29" t="str">
        <f>IFERROR(HLOOKUP(V1015,List!$D$2:$H$6,3,FALSE),"")</f>
        <v/>
      </c>
      <c r="AA1015" s="29" t="str">
        <f>IFERROR(HLOOKUP(W1015,List!$D$2:$H$6,4,FALSE),"")</f>
        <v/>
      </c>
      <c r="AB1015" s="29" t="str">
        <f>IFERROR(HLOOKUP(X1015,List!$D$2:$H$6,5,FALSE),"")</f>
        <v/>
      </c>
      <c r="AC1015" s="12" t="str">
        <f t="shared" si="256"/>
        <v/>
      </c>
      <c r="AD1015" s="12" t="str">
        <f t="shared" si="257"/>
        <v/>
      </c>
      <c r="AE1015" s="12" t="str">
        <f t="shared" si="258"/>
        <v/>
      </c>
      <c r="AF1015" s="12" t="str">
        <f t="shared" si="259"/>
        <v/>
      </c>
      <c r="AG1015" t="str">
        <f>VLOOKUP(J1015,'Receivable Invoice Detail'!$A$1:F4027,6,FALSE)</f>
        <v>[D-500S-98B-04/C21] Shaft, 500S-98B, 420SS</v>
      </c>
      <c r="AM1015" s="12" t="str">
        <f t="shared" si="260"/>
        <v/>
      </c>
      <c r="AN1015" s="12" t="str">
        <f t="shared" si="261"/>
        <v/>
      </c>
      <c r="AO1015" s="12" t="str">
        <f t="shared" si="262"/>
        <v/>
      </c>
      <c r="AP1015" s="12" t="str">
        <f t="shared" si="263"/>
        <v/>
      </c>
      <c r="AQ1015" s="64" t="str">
        <f t="shared" si="254"/>
        <v/>
      </c>
      <c r="AR1015" t="s">
        <v>5940</v>
      </c>
      <c r="AS1015" s="12">
        <f t="shared" si="255"/>
        <v>20.96801563128518</v>
      </c>
      <c r="AT1015" t="s">
        <v>5940</v>
      </c>
    </row>
    <row r="1016" spans="1:46" hidden="1" x14ac:dyDescent="0.25">
      <c r="A1016" s="41">
        <f>CASOPOInvCL!T1016</f>
        <v>1</v>
      </c>
      <c r="B1016" t="str">
        <f>CASOPOInvCL!Z1016</f>
        <v>SO17931</v>
      </c>
      <c r="G1016" s="5" t="str">
        <f>CASOPOInvCL!I1016</f>
        <v>Ian Trottier</v>
      </c>
      <c r="H1016" s="31">
        <f>CASOPOInvCL!U1016</f>
        <v>9</v>
      </c>
      <c r="I1016" s="31">
        <f>CASOPOInvCL!V1016</f>
        <v>2025</v>
      </c>
      <c r="J1016" s="5" t="str">
        <f>CASOPOInvCL!AB1016</f>
        <v>INV13468</v>
      </c>
      <c r="K1016" s="31">
        <f>CASOPOInvCL!W1016</f>
        <v>11</v>
      </c>
      <c r="L1016" s="31">
        <f>CASOPOInvCL!X1016</f>
        <v>2025</v>
      </c>
      <c r="M1016">
        <v>2504</v>
      </c>
      <c r="N1016" s="5" t="str">
        <f>CASOPOInvCL!AF1016</f>
        <v>Les Pompes du St-Laurent Inc.</v>
      </c>
      <c r="O1016" s="16" t="str">
        <f>CASOPOInvCL!AG1016</f>
        <v>CAD</v>
      </c>
      <c r="P1016" s="16">
        <f>CASOPOInvCL!AH1016</f>
        <v>1761.16</v>
      </c>
      <c r="Q1016" s="16">
        <f>CASOPOInvCL!AI1016</f>
        <v>1262.7298854897731</v>
      </c>
      <c r="R1016" s="32" t="str">
        <f>CASOPOInvCL!AU1016</f>
        <v>Yes</v>
      </c>
      <c r="S1016" s="16">
        <f>CASOPOInvCL!AV1016</f>
        <v>0</v>
      </c>
      <c r="T1016" s="16">
        <f>CASOPOInvCL!AW1016</f>
        <v>1262.7298854897731</v>
      </c>
      <c r="Y1016" s="29" t="str">
        <f>IFERROR(HLOOKUP(U1016,List!$D$2:$H$6,2,FALSE),"")</f>
        <v/>
      </c>
      <c r="Z1016" s="29" t="str">
        <f>IFERROR(HLOOKUP(V1016,List!$D$2:$H$6,3,FALSE),"")</f>
        <v/>
      </c>
      <c r="AA1016" s="29" t="str">
        <f>IFERROR(HLOOKUP(W1016,List!$D$2:$H$6,4,FALSE),"")</f>
        <v/>
      </c>
      <c r="AB1016" s="29" t="str">
        <f>IFERROR(HLOOKUP(X1016,List!$D$2:$H$6,5,FALSE),"")</f>
        <v/>
      </c>
      <c r="AC1016" s="12" t="str">
        <f t="shared" si="256"/>
        <v/>
      </c>
      <c r="AD1016" s="12" t="str">
        <f t="shared" si="257"/>
        <v/>
      </c>
      <c r="AE1016" s="12" t="str">
        <f t="shared" si="258"/>
        <v/>
      </c>
      <c r="AF1016" s="12" t="str">
        <f t="shared" si="259"/>
        <v/>
      </c>
      <c r="AG1016" t="str">
        <f>VLOOKUP(J1016,'Receivable Invoice Detail'!$A$1:F4028,6,FALSE)</f>
        <v>[DU-DY21855A/CBS-CD4] Rear Cover, 13", Durco Mark 2&amp;3 Group 2, CD4MCu, Small Bore</v>
      </c>
      <c r="AM1016" s="12" t="str">
        <f t="shared" si="260"/>
        <v/>
      </c>
      <c r="AN1016" s="12" t="str">
        <f t="shared" si="261"/>
        <v/>
      </c>
      <c r="AO1016" s="12" t="str">
        <f t="shared" si="262"/>
        <v/>
      </c>
      <c r="AP1016" s="12" t="str">
        <f t="shared" si="263"/>
        <v/>
      </c>
      <c r="AQ1016" s="64">
        <f t="shared" si="254"/>
        <v>2504</v>
      </c>
      <c r="AS1016" s="12">
        <f t="shared" si="255"/>
        <v>0</v>
      </c>
      <c r="AT1016" t="s">
        <v>4388</v>
      </c>
    </row>
    <row r="1017" spans="1:46" hidden="1" x14ac:dyDescent="0.25">
      <c r="A1017" s="41">
        <f>CASOPOInvCL!T1017</f>
        <v>1</v>
      </c>
      <c r="B1017" t="str">
        <f>CASOPOInvCL!Z1017</f>
        <v>SO17932</v>
      </c>
      <c r="G1017" s="5" t="str">
        <f>CASOPOInvCL!I1017</f>
        <v>Carlos Leon</v>
      </c>
      <c r="H1017" s="31">
        <f>CASOPOInvCL!U1017</f>
        <v>9</v>
      </c>
      <c r="I1017" s="31">
        <f>CASOPOInvCL!V1017</f>
        <v>2025</v>
      </c>
      <c r="J1017" s="5" t="str">
        <f>CASOPOInvCL!AB1017</f>
        <v>INV13672</v>
      </c>
      <c r="K1017" s="31" t="str">
        <f>CASOPOInvCL!W1017</f>
        <v/>
      </c>
      <c r="L1017" s="31" t="str">
        <f>CASOPOInvCL!X1017</f>
        <v/>
      </c>
      <c r="M1017" t="s">
        <v>5945</v>
      </c>
      <c r="N1017" s="5" t="str">
        <f>CASOPOInvCL!AF1017</f>
        <v>Dynapro Pumps México S de RL de CV</v>
      </c>
      <c r="O1017" s="16" t="str">
        <f>CASOPOInvCL!AG1017</f>
        <v>USD</v>
      </c>
      <c r="P1017" s="16">
        <f>CASOPOInvCL!AH1017</f>
        <v>4163.3262503410879</v>
      </c>
      <c r="Q1017" s="16">
        <f>CASOPOInvCL!AI1017</f>
        <v>2990</v>
      </c>
      <c r="R1017" s="32" t="str">
        <f>CASOPOInvCL!AU1017</f>
        <v/>
      </c>
      <c r="S1017" s="16">
        <f>CASOPOInvCL!AV1017</f>
        <v>0</v>
      </c>
      <c r="T1017" s="16">
        <f>CASOPOInvCL!AW1017</f>
        <v>0</v>
      </c>
      <c r="Y1017" s="29" t="str">
        <f>IFERROR(HLOOKUP(U1017,List!$D$2:$H$6,2,FALSE),"")</f>
        <v/>
      </c>
      <c r="Z1017" s="29" t="str">
        <f>IFERROR(HLOOKUP(V1017,List!$D$2:$H$6,3,FALSE),"")</f>
        <v/>
      </c>
      <c r="AA1017" s="29" t="str">
        <f>IFERROR(HLOOKUP(W1017,List!$D$2:$H$6,4,FALSE),"")</f>
        <v/>
      </c>
      <c r="AB1017" s="29" t="str">
        <f>IFERROR(HLOOKUP(X1017,List!$D$2:$H$6,5,FALSE),"")</f>
        <v/>
      </c>
      <c r="AC1017" s="12" t="str">
        <f t="shared" si="256"/>
        <v/>
      </c>
      <c r="AD1017" s="12" t="str">
        <f t="shared" si="257"/>
        <v/>
      </c>
      <c r="AE1017" s="12" t="str">
        <f t="shared" si="258"/>
        <v/>
      </c>
      <c r="AF1017" s="12" t="str">
        <f t="shared" si="259"/>
        <v/>
      </c>
      <c r="AG1017" t="str">
        <f>VLOOKUP(J1017,'Receivable Invoice Detail'!$A$1:F4029,6,FALSE)</f>
        <v>[DC-MS000021] Mechanical Seal, Dynapro Vertical Turbine, 12RJHC-8, A20</v>
      </c>
      <c r="AM1017" s="12" t="str">
        <f t="shared" si="260"/>
        <v/>
      </c>
      <c r="AN1017" s="12" t="str">
        <f t="shared" si="261"/>
        <v/>
      </c>
      <c r="AO1017" s="12" t="str">
        <f t="shared" si="262"/>
        <v/>
      </c>
      <c r="AP1017" s="12" t="str">
        <f t="shared" si="263"/>
        <v/>
      </c>
      <c r="AQ1017" s="64" t="str">
        <f t="shared" si="254"/>
        <v/>
      </c>
      <c r="AR1017" t="s">
        <v>5940</v>
      </c>
      <c r="AS1017" s="12">
        <f t="shared" si="255"/>
        <v>3.0059705222216455</v>
      </c>
      <c r="AT1017" t="s">
        <v>5940</v>
      </c>
    </row>
    <row r="1018" spans="1:46" hidden="1" x14ac:dyDescent="0.25">
      <c r="A1018" s="41">
        <f>CASOPOInvCL!T1018</f>
        <v>1</v>
      </c>
      <c r="B1018" t="str">
        <f>CASOPOInvCL!Z1018</f>
        <v>SO17937</v>
      </c>
      <c r="G1018" s="5" t="str">
        <f>CASOPOInvCL!I1018</f>
        <v>Yannett Yeomans</v>
      </c>
      <c r="H1018" s="31">
        <f>CASOPOInvCL!U1018</f>
        <v>9</v>
      </c>
      <c r="I1018" s="31">
        <f>CASOPOInvCL!V1018</f>
        <v>2025</v>
      </c>
      <c r="J1018" s="5" t="str">
        <f>CASOPOInvCL!AB1018</f>
        <v>INV13613</v>
      </c>
      <c r="K1018" s="31" t="str">
        <f>CASOPOInvCL!W1018</f>
        <v/>
      </c>
      <c r="L1018" s="31" t="str">
        <f>CASOPOInvCL!X1018</f>
        <v/>
      </c>
      <c r="M1018" t="s">
        <v>5945</v>
      </c>
      <c r="N1018" s="5" t="str">
        <f>CASOPOInvCL!AF1018</f>
        <v>Dynapro Pumps México S de RL de CV</v>
      </c>
      <c r="O1018" s="16" t="str">
        <f>CASOPOInvCL!AG1018</f>
        <v>USD</v>
      </c>
      <c r="P1018" s="16">
        <f>CASOPOInvCL!AH1018</f>
        <v>1378.4926380728016</v>
      </c>
      <c r="Q1018" s="16">
        <f>CASOPOInvCL!AI1018</f>
        <v>990</v>
      </c>
      <c r="R1018" s="32" t="str">
        <f>CASOPOInvCL!AU1018</f>
        <v/>
      </c>
      <c r="S1018" s="16">
        <f>CASOPOInvCL!AV1018</f>
        <v>0</v>
      </c>
      <c r="T1018" s="16">
        <f>CASOPOInvCL!AW1018</f>
        <v>0</v>
      </c>
      <c r="Y1018" s="29" t="str">
        <f>IFERROR(HLOOKUP(U1018,List!$D$2:$H$6,2,FALSE),"")</f>
        <v/>
      </c>
      <c r="Z1018" s="29" t="str">
        <f>IFERROR(HLOOKUP(V1018,List!$D$2:$H$6,3,FALSE),"")</f>
        <v/>
      </c>
      <c r="AA1018" s="29" t="str">
        <f>IFERROR(HLOOKUP(W1018,List!$D$2:$H$6,4,FALSE),"")</f>
        <v/>
      </c>
      <c r="AB1018" s="29" t="str">
        <f>IFERROR(HLOOKUP(X1018,List!$D$2:$H$6,5,FALSE),"")</f>
        <v/>
      </c>
      <c r="AC1018" s="12" t="str">
        <f t="shared" si="256"/>
        <v/>
      </c>
      <c r="AD1018" s="12" t="str">
        <f t="shared" si="257"/>
        <v/>
      </c>
      <c r="AE1018" s="12" t="str">
        <f t="shared" si="258"/>
        <v/>
      </c>
      <c r="AF1018" s="12" t="str">
        <f t="shared" si="259"/>
        <v/>
      </c>
      <c r="AG1018" t="str">
        <f>VLOOKUP(J1018,'Receivable Invoice Detail'!$A$1:F4030,6,FALSE)</f>
        <v>[B1205I-76-110-05] End Cover, XS500-710, Carbon Steel</v>
      </c>
      <c r="AM1018" s="12" t="str">
        <f t="shared" si="260"/>
        <v/>
      </c>
      <c r="AN1018" s="12" t="str">
        <f t="shared" si="261"/>
        <v/>
      </c>
      <c r="AO1018" s="12" t="str">
        <f t="shared" si="262"/>
        <v/>
      </c>
      <c r="AP1018" s="12" t="str">
        <f t="shared" si="263"/>
        <v/>
      </c>
      <c r="AQ1018" s="64" t="str">
        <f t="shared" si="254"/>
        <v/>
      </c>
      <c r="AR1018" t="s">
        <v>5940</v>
      </c>
      <c r="AS1018" s="12">
        <f t="shared" si="255"/>
        <v>0</v>
      </c>
      <c r="AT1018" t="s">
        <v>5940</v>
      </c>
    </row>
    <row r="1019" spans="1:46" hidden="1" x14ac:dyDescent="0.25">
      <c r="A1019" s="41">
        <f>CASOPOInvCL!T1019</f>
        <v>1</v>
      </c>
      <c r="B1019" t="str">
        <f>CASOPOInvCL!Z1019</f>
        <v>SO17938</v>
      </c>
      <c r="G1019" s="5" t="str">
        <f>CASOPOInvCL!I1019</f>
        <v>Ian Trottier</v>
      </c>
      <c r="H1019" s="31">
        <f>CASOPOInvCL!U1019</f>
        <v>9</v>
      </c>
      <c r="I1019" s="31">
        <f>CASOPOInvCL!V1019</f>
        <v>2025</v>
      </c>
      <c r="J1019" s="5" t="str">
        <f>CASOPOInvCL!AB1019</f>
        <v>INV13467</v>
      </c>
      <c r="K1019" s="31">
        <f>CASOPOInvCL!W1019</f>
        <v>11</v>
      </c>
      <c r="L1019" s="31">
        <f>CASOPOInvCL!X1019</f>
        <v>2025</v>
      </c>
      <c r="M1019">
        <v>2504</v>
      </c>
      <c r="N1019" s="5" t="str">
        <f>CASOPOInvCL!AF1019</f>
        <v>Les Pompes du St-Laurent Inc.</v>
      </c>
      <c r="O1019" s="16" t="str">
        <f>CASOPOInvCL!AG1019</f>
        <v>CAD</v>
      </c>
      <c r="P1019" s="16">
        <f>CASOPOInvCL!AH1019</f>
        <v>463.06</v>
      </c>
      <c r="Q1019" s="16">
        <f>CASOPOInvCL!AI1019</f>
        <v>332.42484925939078</v>
      </c>
      <c r="R1019" s="32" t="str">
        <f>CASOPOInvCL!AU1019</f>
        <v>Yes</v>
      </c>
      <c r="S1019" s="16">
        <f>CASOPOInvCL!AV1019</f>
        <v>0</v>
      </c>
      <c r="T1019" s="16">
        <f>CASOPOInvCL!AW1019</f>
        <v>332.42484925939078</v>
      </c>
      <c r="Y1019" s="29" t="str">
        <f>IFERROR(HLOOKUP(U1019,List!$D$2:$H$6,2,FALSE),"")</f>
        <v/>
      </c>
      <c r="Z1019" s="29" t="str">
        <f>IFERROR(HLOOKUP(V1019,List!$D$2:$H$6,3,FALSE),"")</f>
        <v/>
      </c>
      <c r="AA1019" s="29" t="str">
        <f>IFERROR(HLOOKUP(W1019,List!$D$2:$H$6,4,FALSE),"")</f>
        <v/>
      </c>
      <c r="AB1019" s="29" t="str">
        <f>IFERROR(HLOOKUP(X1019,List!$D$2:$H$6,5,FALSE),"")</f>
        <v/>
      </c>
      <c r="AC1019" s="12" t="str">
        <f t="shared" si="256"/>
        <v/>
      </c>
      <c r="AD1019" s="12" t="str">
        <f t="shared" si="257"/>
        <v/>
      </c>
      <c r="AE1019" s="12" t="str">
        <f t="shared" si="258"/>
        <v/>
      </c>
      <c r="AF1019" s="12" t="str">
        <f t="shared" si="259"/>
        <v/>
      </c>
      <c r="AG1019" t="str">
        <f>VLOOKUP(J1019,'Receivable Invoice Detail'!$A$1:F4031,6,FALSE)</f>
        <v>[AC-98-331-958-804] Shaft Sleeve, 3x3-10 SRL, Steel</v>
      </c>
      <c r="AM1019" s="12" t="str">
        <f t="shared" si="260"/>
        <v/>
      </c>
      <c r="AN1019" s="12" t="str">
        <f t="shared" si="261"/>
        <v/>
      </c>
      <c r="AO1019" s="12" t="str">
        <f t="shared" si="262"/>
        <v/>
      </c>
      <c r="AP1019" s="12" t="str">
        <f t="shared" si="263"/>
        <v/>
      </c>
      <c r="AQ1019" s="64">
        <f t="shared" si="254"/>
        <v>2504</v>
      </c>
      <c r="AS1019" s="12">
        <f t="shared" si="255"/>
        <v>0</v>
      </c>
      <c r="AT1019" t="s">
        <v>4388</v>
      </c>
    </row>
    <row r="1020" spans="1:46" hidden="1" x14ac:dyDescent="0.25">
      <c r="A1020" s="41">
        <f>CASOPOInvCL!T1020</f>
        <v>2</v>
      </c>
      <c r="B1020" t="str">
        <f>CASOPOInvCL!Z1020</f>
        <v>SO17939</v>
      </c>
      <c r="D1020" t="s">
        <v>5915</v>
      </c>
      <c r="G1020" s="5" t="str">
        <f>CASOPOInvCL!I1020</f>
        <v>Wilka Nuñez</v>
      </c>
      <c r="H1020" s="31">
        <f>CASOPOInvCL!U1020</f>
        <v>9</v>
      </c>
      <c r="I1020" s="31">
        <f>CASOPOInvCL!V1020</f>
        <v>2025</v>
      </c>
      <c r="J1020" s="5" t="str">
        <f>CASOPOInvCL!AB1020</f>
        <v>INV13740</v>
      </c>
      <c r="K1020" s="31" t="str">
        <f>CASOPOInvCL!W1020</f>
        <v/>
      </c>
      <c r="L1020" s="31" t="str">
        <f>CASOPOInvCL!X1020</f>
        <v/>
      </c>
      <c r="M1020" t="s">
        <v>5945</v>
      </c>
      <c r="N1020" s="5" t="str">
        <f>CASOPOInvCL!AF1020</f>
        <v>Barrick Gold - Pueblo Viejo Dominicana Corporation</v>
      </c>
      <c r="O1020" s="16" t="str">
        <f>CASOPOInvCL!AG1020</f>
        <v>USD</v>
      </c>
      <c r="P1020" s="16">
        <f>CASOPOInvCL!AH1020</f>
        <v>8962.1725367928775</v>
      </c>
      <c r="Q1020" s="16">
        <f>CASOPOInvCL!AI1020</f>
        <v>6387.56</v>
      </c>
      <c r="R1020" s="32" t="str">
        <f>CASOPOInvCL!AU1020</f>
        <v>Yes</v>
      </c>
      <c r="S1020" s="16">
        <f>CASOPOInvCL!AV1020</f>
        <v>0</v>
      </c>
      <c r="T1020" s="16">
        <f>CASOPOInvCL!AW1020</f>
        <v>6387.56</v>
      </c>
      <c r="V1020" t="s">
        <v>5803</v>
      </c>
      <c r="Y1020" s="29" t="str">
        <f>IFERROR(HLOOKUP(U1020,List!$D$2:$H$6,2,FALSE),"")</f>
        <v/>
      </c>
      <c r="Z1020" s="29">
        <f>IFERROR(HLOOKUP(V1020,List!$D$2:$H$6,3,FALSE),"")</f>
        <v>0</v>
      </c>
      <c r="AA1020" s="29" t="str">
        <f>IFERROR(HLOOKUP(W1020,List!$D$2:$H$6,4,FALSE),"")</f>
        <v/>
      </c>
      <c r="AB1020" s="29" t="str">
        <f>IFERROR(HLOOKUP(X1020,List!$D$2:$H$6,5,FALSE),"")</f>
        <v/>
      </c>
      <c r="AC1020" s="12" t="str">
        <f t="shared" si="256"/>
        <v/>
      </c>
      <c r="AD1020" s="12">
        <f t="shared" si="257"/>
        <v>0</v>
      </c>
      <c r="AE1020" s="12" t="str">
        <f t="shared" si="258"/>
        <v/>
      </c>
      <c r="AF1020" s="12" t="str">
        <f t="shared" si="259"/>
        <v/>
      </c>
      <c r="AG1020" t="str">
        <f>VLOOKUP(J1020,'Receivable Invoice Detail'!$A$1:F4032,6,FALSE)</f>
        <v>[37231] Sleeve Bearing (Suction Bell), ThorPlas-Blue, HPCW</v>
      </c>
      <c r="AM1020" s="12" t="str">
        <f t="shared" si="260"/>
        <v/>
      </c>
      <c r="AN1020" s="12">
        <f t="shared" si="261"/>
        <v>0</v>
      </c>
      <c r="AO1020" s="12" t="str">
        <f t="shared" si="262"/>
        <v/>
      </c>
      <c r="AP1020" s="12" t="str">
        <f t="shared" si="263"/>
        <v/>
      </c>
      <c r="AQ1020" s="64" t="str">
        <f t="shared" ref="AQ1020:AQ1083" si="264">M1020</f>
        <v/>
      </c>
      <c r="AR1020" t="s">
        <v>5933</v>
      </c>
      <c r="AS1020" s="12">
        <f t="shared" ref="AS1020:AS1083" si="265">T1013*1.5%</f>
        <v>107.48354999999999</v>
      </c>
      <c r="AT1020" t="s">
        <v>5945</v>
      </c>
    </row>
    <row r="1021" spans="1:46" hidden="1" x14ac:dyDescent="0.25">
      <c r="A1021" s="41">
        <f>CASOPOInvCL!T1021</f>
        <v>2</v>
      </c>
      <c r="B1021" t="str">
        <f>CASOPOInvCL!Z1021</f>
        <v>SO17939</v>
      </c>
      <c r="D1021" t="s">
        <v>5915</v>
      </c>
      <c r="G1021" s="5">
        <f>CASOPOInvCL!I1021</f>
        <v>0</v>
      </c>
      <c r="H1021" s="31">
        <f>CASOPOInvCL!U1021</f>
        <v>9</v>
      </c>
      <c r="I1021" s="31">
        <f>CASOPOInvCL!V1021</f>
        <v>2025</v>
      </c>
      <c r="J1021" s="5" t="str">
        <f>CASOPOInvCL!AB1021</f>
        <v>INV13575</v>
      </c>
      <c r="K1021" s="31" t="str">
        <f>CASOPOInvCL!W1021</f>
        <v/>
      </c>
      <c r="L1021" s="31" t="str">
        <f>CASOPOInvCL!X1021</f>
        <v/>
      </c>
      <c r="M1021" t="s">
        <v>5945</v>
      </c>
      <c r="N1021" s="5" t="str">
        <f>CASOPOInvCL!AF1021</f>
        <v>Barrick Gold - Pueblo Viejo Dominicana Corporation</v>
      </c>
      <c r="O1021" s="16" t="str">
        <f>CASOPOInvCL!AG1021</f>
        <v>USD</v>
      </c>
      <c r="P1021" s="16">
        <f>CASOPOInvCL!AH1021</f>
        <v>0</v>
      </c>
      <c r="Q1021" s="16">
        <f>CASOPOInvCL!AI1021</f>
        <v>0</v>
      </c>
      <c r="R1021" s="32" t="str">
        <f>CASOPOInvCL!AU1021</f>
        <v/>
      </c>
      <c r="S1021" s="16">
        <f>CASOPOInvCL!AV1021</f>
        <v>0</v>
      </c>
      <c r="T1021" s="16">
        <f>CASOPOInvCL!AW1021</f>
        <v>0</v>
      </c>
      <c r="V1021" t="s">
        <v>5803</v>
      </c>
      <c r="Y1021" s="29" t="str">
        <f>IFERROR(HLOOKUP(U1021,List!$D$2:$H$6,2,FALSE),"")</f>
        <v/>
      </c>
      <c r="Z1021" s="29">
        <f>IFERROR(HLOOKUP(V1021,List!$D$2:$H$6,3,FALSE),"")</f>
        <v>0</v>
      </c>
      <c r="AA1021" s="29" t="str">
        <f>IFERROR(HLOOKUP(W1021,List!$D$2:$H$6,4,FALSE),"")</f>
        <v/>
      </c>
      <c r="AB1021" s="29" t="str">
        <f>IFERROR(HLOOKUP(X1021,List!$D$2:$H$6,5,FALSE),"")</f>
        <v/>
      </c>
      <c r="AC1021" s="12" t="str">
        <f t="shared" si="256"/>
        <v/>
      </c>
      <c r="AD1021" s="12">
        <f t="shared" si="257"/>
        <v>0</v>
      </c>
      <c r="AE1021" s="12" t="str">
        <f t="shared" si="258"/>
        <v/>
      </c>
      <c r="AF1021" s="12" t="str">
        <f t="shared" si="259"/>
        <v/>
      </c>
      <c r="AG1021" t="str">
        <f>VLOOKUP(J1021,'Receivable Invoice Detail'!$A$1:F4033,6,FALSE)</f>
        <v>[37230] Sleeve Bearing (Bowl), ThorPlas-Blue, HPCW</v>
      </c>
      <c r="AM1021" s="12" t="str">
        <f t="shared" si="260"/>
        <v/>
      </c>
      <c r="AN1021" s="12">
        <f t="shared" si="261"/>
        <v>0</v>
      </c>
      <c r="AO1021" s="12" t="str">
        <f t="shared" si="262"/>
        <v/>
      </c>
      <c r="AP1021" s="12" t="str">
        <f t="shared" si="263"/>
        <v/>
      </c>
      <c r="AQ1021" s="64" t="str">
        <f t="shared" si="264"/>
        <v/>
      </c>
      <c r="AR1021" t="s">
        <v>5933</v>
      </c>
      <c r="AS1021" s="12">
        <f t="shared" si="265"/>
        <v>27.75</v>
      </c>
      <c r="AT1021" t="s">
        <v>5945</v>
      </c>
    </row>
    <row r="1022" spans="1:46" hidden="1" x14ac:dyDescent="0.25">
      <c r="A1022" s="41">
        <f>CASOPOInvCL!T1022</f>
        <v>1</v>
      </c>
      <c r="B1022" t="str">
        <f>CASOPOInvCL!Z1022</f>
        <v>SO17941</v>
      </c>
      <c r="D1022" t="s">
        <v>5851</v>
      </c>
      <c r="G1022" s="5" t="str">
        <f>CASOPOInvCL!I1022</f>
        <v>Alexis Gil Lamadrid</v>
      </c>
      <c r="H1022" s="31">
        <f>CASOPOInvCL!U1022</f>
        <v>9</v>
      </c>
      <c r="I1022" s="31">
        <f>CASOPOInvCL!V1022</f>
        <v>2025</v>
      </c>
      <c r="J1022" s="5" t="str">
        <f>CASOPOInvCL!AB1022</f>
        <v>INV13484</v>
      </c>
      <c r="K1022" s="31">
        <f>CASOPOInvCL!W1022</f>
        <v>11</v>
      </c>
      <c r="L1022" s="31">
        <f>CASOPOInvCL!X1022</f>
        <v>2025</v>
      </c>
      <c r="M1022">
        <v>2504</v>
      </c>
      <c r="N1022" s="5" t="str">
        <f>CASOPOInvCL!AF1022</f>
        <v>Wajax Limited - Noranda</v>
      </c>
      <c r="O1022" s="16" t="str">
        <f>CASOPOInvCL!AG1022</f>
        <v>CAD</v>
      </c>
      <c r="P1022" s="16">
        <f>CASOPOInvCL!AH1022</f>
        <v>2627.35</v>
      </c>
      <c r="Q1022" s="16">
        <f>CASOPOInvCL!AI1022</f>
        <v>1889.5132176516818</v>
      </c>
      <c r="R1022" s="32" t="str">
        <f>CASOPOInvCL!AU1022</f>
        <v>Yes</v>
      </c>
      <c r="S1022" s="16">
        <f>CASOPOInvCL!AV1022</f>
        <v>0</v>
      </c>
      <c r="T1022" s="16">
        <f>CASOPOInvCL!AW1022</f>
        <v>1889.5132176516818</v>
      </c>
      <c r="V1022" t="s">
        <v>5800</v>
      </c>
      <c r="Y1022" s="29" t="str">
        <f>IFERROR(HLOOKUP(U1022,List!$D$2:$H$6,2,FALSE),"")</f>
        <v/>
      </c>
      <c r="Z1022" s="29">
        <f>IFERROR(HLOOKUP(V1022,List!$D$2:$H$6,3,FALSE),"")</f>
        <v>5.0000000000000001E-3</v>
      </c>
      <c r="AA1022" s="29" t="str">
        <f>IFERROR(HLOOKUP(W1022,List!$D$2:$H$6,4,FALSE),"")</f>
        <v/>
      </c>
      <c r="AB1022" s="29" t="str">
        <f>IFERROR(HLOOKUP(X1022,List!$D$2:$H$6,5,FALSE),"")</f>
        <v/>
      </c>
      <c r="AC1022" s="12" t="str">
        <f t="shared" si="256"/>
        <v/>
      </c>
      <c r="AD1022" s="12">
        <f t="shared" si="257"/>
        <v>9.4475660882584087</v>
      </c>
      <c r="AE1022" s="12" t="str">
        <f t="shared" si="258"/>
        <v/>
      </c>
      <c r="AF1022" s="12" t="str">
        <f t="shared" si="259"/>
        <v/>
      </c>
      <c r="AG1022" t="str">
        <f>VLOOKUP(J1022,'Receivable Invoice Detail'!$A$1:F4034,6,FALSE)</f>
        <v>[W-D3110/A05] Volute Liner, 4/3 C or D-AH, High Chrome</v>
      </c>
      <c r="AM1022" s="12" t="str">
        <f t="shared" si="260"/>
        <v/>
      </c>
      <c r="AN1022" s="12">
        <f t="shared" si="261"/>
        <v>9.4475660882584087</v>
      </c>
      <c r="AO1022" s="12" t="str">
        <f t="shared" si="262"/>
        <v/>
      </c>
      <c r="AP1022" s="12" t="str">
        <f t="shared" si="263"/>
        <v/>
      </c>
      <c r="AQ1022" s="64">
        <f t="shared" si="264"/>
        <v>2504</v>
      </c>
      <c r="AR1022" t="s">
        <v>5931</v>
      </c>
      <c r="AS1022" s="12">
        <f t="shared" si="265"/>
        <v>0</v>
      </c>
      <c r="AT1022" t="s">
        <v>4388</v>
      </c>
    </row>
    <row r="1023" spans="1:46" hidden="1" x14ac:dyDescent="0.25">
      <c r="A1023" s="41">
        <f>CASOPOInvCL!T1023</f>
        <v>1</v>
      </c>
      <c r="B1023" t="str">
        <f>CASOPOInvCL!Z1023</f>
        <v>SO17942</v>
      </c>
      <c r="D1023" t="s">
        <v>5852</v>
      </c>
      <c r="G1023" s="5" t="str">
        <f>CASOPOInvCL!I1023</f>
        <v>Aleksandar Stankovic</v>
      </c>
      <c r="H1023" s="31">
        <f>CASOPOInvCL!U1023</f>
        <v>9</v>
      </c>
      <c r="I1023" s="31">
        <f>CASOPOInvCL!V1023</f>
        <v>2025</v>
      </c>
      <c r="J1023" s="5" t="str">
        <f>CASOPOInvCL!AB1023</f>
        <v>INV13487</v>
      </c>
      <c r="K1023" s="31">
        <f>CASOPOInvCL!W1023</f>
        <v>11</v>
      </c>
      <c r="L1023" s="31">
        <f>CASOPOInvCL!X1023</f>
        <v>2025</v>
      </c>
      <c r="M1023">
        <v>2504</v>
      </c>
      <c r="N1023" s="5" t="str">
        <f>CASOPOInvCL!AF1023</f>
        <v>Wajax Limited - Noranda</v>
      </c>
      <c r="O1023" s="16" t="str">
        <f>CASOPOInvCL!AG1023</f>
        <v>CAD</v>
      </c>
      <c r="P1023" s="16">
        <f>CASOPOInvCL!AH1023</f>
        <v>168.59</v>
      </c>
      <c r="Q1023" s="16">
        <f>CASOPOInvCL!AI1023</f>
        <v>120.85474781914751</v>
      </c>
      <c r="R1023" s="32" t="str">
        <f>CASOPOInvCL!AU1023</f>
        <v>Yes</v>
      </c>
      <c r="S1023" s="16">
        <f>CASOPOInvCL!AV1023</f>
        <v>0</v>
      </c>
      <c r="T1023" s="16">
        <f>CASOPOInvCL!AW1023</f>
        <v>120.85474781914751</v>
      </c>
      <c r="Y1023" s="29" t="str">
        <f>IFERROR(HLOOKUP(U1023,List!$D$2:$H$6,2,FALSE),"")</f>
        <v/>
      </c>
      <c r="Z1023" s="29" t="str">
        <f>IFERROR(HLOOKUP(V1023,List!$D$2:$H$6,3,FALSE),"")</f>
        <v/>
      </c>
      <c r="AA1023" s="29" t="str">
        <f>IFERROR(HLOOKUP(W1023,List!$D$2:$H$6,4,FALSE),"")</f>
        <v/>
      </c>
      <c r="AB1023" s="29" t="str">
        <f>IFERROR(HLOOKUP(X1023,List!$D$2:$H$6,5,FALSE),"")</f>
        <v/>
      </c>
      <c r="AC1023" s="12" t="str">
        <f t="shared" si="256"/>
        <v/>
      </c>
      <c r="AD1023" s="12" t="str">
        <f t="shared" si="257"/>
        <v/>
      </c>
      <c r="AE1023" s="12" t="str">
        <f t="shared" si="258"/>
        <v/>
      </c>
      <c r="AF1023" s="12" t="str">
        <f t="shared" si="259"/>
        <v/>
      </c>
      <c r="AG1023" t="str">
        <f>VLOOKUP(J1023,'Receivable Invoice Detail'!$A$1:F4035,6,FALSE)</f>
        <v>[AC-98-5414-HC6] Stuffing Box Gasket, 5x4-14 SRL-C, Rubber, 3-Piece Design</v>
      </c>
      <c r="AM1023" s="12" t="str">
        <f t="shared" si="260"/>
        <v/>
      </c>
      <c r="AN1023" s="12" t="str">
        <f t="shared" si="261"/>
        <v/>
      </c>
      <c r="AO1023" s="12" t="str">
        <f t="shared" si="262"/>
        <v/>
      </c>
      <c r="AP1023" s="12" t="str">
        <f t="shared" si="263"/>
        <v/>
      </c>
      <c r="AQ1023" s="64">
        <f t="shared" si="264"/>
        <v>2504</v>
      </c>
      <c r="AR1023" t="s">
        <v>5931</v>
      </c>
      <c r="AS1023" s="12">
        <f t="shared" si="265"/>
        <v>18.940948282346596</v>
      </c>
      <c r="AT1023" t="s">
        <v>4388</v>
      </c>
    </row>
    <row r="1024" spans="1:46" hidden="1" x14ac:dyDescent="0.25">
      <c r="A1024" s="41">
        <f>CASOPOInvCL!T1024</f>
        <v>1</v>
      </c>
      <c r="B1024" t="str">
        <f>CASOPOInvCL!Z1024</f>
        <v>SO17944</v>
      </c>
      <c r="D1024" t="s">
        <v>5851</v>
      </c>
      <c r="G1024" s="5" t="str">
        <f>CASOPOInvCL!I1024</f>
        <v>Alexis Gil Lamadrid</v>
      </c>
      <c r="H1024" s="31">
        <f>CASOPOInvCL!U1024</f>
        <v>9</v>
      </c>
      <c r="I1024" s="31">
        <f>CASOPOInvCL!V1024</f>
        <v>2025</v>
      </c>
      <c r="J1024" s="5" t="str">
        <f>CASOPOInvCL!AB1024</f>
        <v>INV13492</v>
      </c>
      <c r="K1024" s="31">
        <f>CASOPOInvCL!W1024</f>
        <v>11</v>
      </c>
      <c r="L1024" s="31">
        <f>CASOPOInvCL!X1024</f>
        <v>2025</v>
      </c>
      <c r="M1024">
        <v>2504</v>
      </c>
      <c r="N1024" s="5" t="str">
        <f>CASOPOInvCL!AF1024</f>
        <v>Motion Industries Inc. (Canada) - Prince George</v>
      </c>
      <c r="O1024" s="16" t="str">
        <f>CASOPOInvCL!AG1024</f>
        <v>CAD</v>
      </c>
      <c r="P1024" s="16">
        <f>CASOPOInvCL!AH1024</f>
        <v>5276.54</v>
      </c>
      <c r="Q1024" s="16">
        <f>CASOPOInvCL!AI1024</f>
        <v>3775.209448803545</v>
      </c>
      <c r="R1024" s="32" t="str">
        <f>CASOPOInvCL!AU1024</f>
        <v>Yes</v>
      </c>
      <c r="S1024" s="16">
        <f>CASOPOInvCL!AV1024</f>
        <v>0</v>
      </c>
      <c r="T1024" s="16">
        <f>CASOPOInvCL!AW1024</f>
        <v>3775.209448803545</v>
      </c>
      <c r="V1024" t="s">
        <v>5800</v>
      </c>
      <c r="Y1024" s="29" t="str">
        <f>IFERROR(HLOOKUP(U1024,List!$D$2:$H$6,2,FALSE),"")</f>
        <v/>
      </c>
      <c r="Z1024" s="29">
        <f>IFERROR(HLOOKUP(V1024,List!$D$2:$H$6,3,FALSE),"")</f>
        <v>5.0000000000000001E-3</v>
      </c>
      <c r="AA1024" s="29" t="str">
        <f>IFERROR(HLOOKUP(W1024,List!$D$2:$H$6,4,FALSE),"")</f>
        <v/>
      </c>
      <c r="AB1024" s="29" t="str">
        <f>IFERROR(HLOOKUP(X1024,List!$D$2:$H$6,5,FALSE),"")</f>
        <v/>
      </c>
      <c r="AC1024" s="12" t="str">
        <f t="shared" si="256"/>
        <v/>
      </c>
      <c r="AD1024" s="12">
        <f t="shared" si="257"/>
        <v>18.876047244017727</v>
      </c>
      <c r="AE1024" s="12" t="str">
        <f t="shared" si="258"/>
        <v/>
      </c>
      <c r="AF1024" s="12" t="str">
        <f t="shared" si="259"/>
        <v/>
      </c>
      <c r="AG1024" t="str">
        <f>VLOOKUP(J1024,'Receivable Invoice Detail'!$A$1:F4036,6,FALSE)</f>
        <v>[W-D111] Premium Slurry Packing (Single Piece), 4/3 or 6/4 DH, Kevlar Fiber w/Silicon Core</v>
      </c>
      <c r="AM1024" s="12" t="str">
        <f t="shared" si="260"/>
        <v/>
      </c>
      <c r="AN1024" s="12">
        <f t="shared" si="261"/>
        <v>18.876047244017727</v>
      </c>
      <c r="AO1024" s="12" t="str">
        <f t="shared" si="262"/>
        <v/>
      </c>
      <c r="AP1024" s="12" t="str">
        <f t="shared" si="263"/>
        <v/>
      </c>
      <c r="AQ1024" s="64">
        <f t="shared" si="264"/>
        <v>2504</v>
      </c>
      <c r="AR1024" t="s">
        <v>5931</v>
      </c>
      <c r="AS1024" s="12">
        <f t="shared" si="265"/>
        <v>0</v>
      </c>
      <c r="AT1024" t="s">
        <v>4388</v>
      </c>
    </row>
    <row r="1025" spans="1:46" hidden="1" x14ac:dyDescent="0.25">
      <c r="A1025" s="41">
        <f>CASOPOInvCL!T1025</f>
        <v>1</v>
      </c>
      <c r="B1025" t="str">
        <f>CASOPOInvCL!Z1025</f>
        <v>SO17945</v>
      </c>
      <c r="D1025" t="s">
        <v>5851</v>
      </c>
      <c r="G1025" s="5" t="str">
        <f>CASOPOInvCL!I1025</f>
        <v>Alexis Gil Lamadrid</v>
      </c>
      <c r="H1025" s="31">
        <f>CASOPOInvCL!U1025</f>
        <v>9</v>
      </c>
      <c r="I1025" s="31">
        <f>CASOPOInvCL!V1025</f>
        <v>2025</v>
      </c>
      <c r="J1025" s="5" t="str">
        <f>CASOPOInvCL!AB1025</f>
        <v>INV13474</v>
      </c>
      <c r="K1025" s="31">
        <f>CASOPOInvCL!W1025</f>
        <v>11</v>
      </c>
      <c r="L1025" s="31">
        <f>CASOPOInvCL!X1025</f>
        <v>2025</v>
      </c>
      <c r="M1025">
        <v>2504</v>
      </c>
      <c r="N1025" s="5" t="str">
        <f>CASOPOInvCL!AF1025</f>
        <v>Resolute Forest Products - Saint-Felicien</v>
      </c>
      <c r="O1025" s="16" t="str">
        <f>CASOPOInvCL!AG1025</f>
        <v>CAD</v>
      </c>
      <c r="P1025" s="16">
        <f>CASOPOInvCL!AH1025</f>
        <v>956.66</v>
      </c>
      <c r="Q1025" s="16">
        <f>CASOPOInvCL!AI1025</f>
        <v>688.00187062959185</v>
      </c>
      <c r="R1025" s="32" t="str">
        <f>CASOPOInvCL!AU1025</f>
        <v>Yes</v>
      </c>
      <c r="S1025" s="16">
        <f>CASOPOInvCL!AV1025</f>
        <v>0</v>
      </c>
      <c r="T1025" s="16">
        <f>CASOPOInvCL!AW1025</f>
        <v>688.00187062959185</v>
      </c>
      <c r="V1025" t="s">
        <v>5800</v>
      </c>
      <c r="Y1025" s="29" t="str">
        <f>IFERROR(HLOOKUP(U1025,List!$D$2:$H$6,2,FALSE),"")</f>
        <v/>
      </c>
      <c r="Z1025" s="29">
        <f>IFERROR(HLOOKUP(V1025,List!$D$2:$H$6,3,FALSE),"")</f>
        <v>5.0000000000000001E-3</v>
      </c>
      <c r="AA1025" s="29" t="str">
        <f>IFERROR(HLOOKUP(W1025,List!$D$2:$H$6,4,FALSE),"")</f>
        <v/>
      </c>
      <c r="AB1025" s="29" t="str">
        <f>IFERROR(HLOOKUP(X1025,List!$D$2:$H$6,5,FALSE),"")</f>
        <v/>
      </c>
      <c r="AC1025" s="12" t="str">
        <f t="shared" si="256"/>
        <v/>
      </c>
      <c r="AD1025" s="12">
        <f t="shared" si="257"/>
        <v>3.4400093531479592</v>
      </c>
      <c r="AE1025" s="12" t="str">
        <f t="shared" si="258"/>
        <v/>
      </c>
      <c r="AF1025" s="12" t="str">
        <f t="shared" si="259"/>
        <v/>
      </c>
      <c r="AG1025" t="str">
        <f>VLOOKUP(J1025,'Receivable Invoice Detail'!$A$1:F4037,6,FALSE)</f>
        <v>[OLPWZ011003B, G-A04951A216] Bearing Isolator (Inboard), 3196 STX/STi, 303SS Rotor / Bronze Stator w/Viton</v>
      </c>
      <c r="AM1025" s="12" t="str">
        <f t="shared" si="260"/>
        <v/>
      </c>
      <c r="AN1025" s="12">
        <f t="shared" si="261"/>
        <v>3.4400093531479592</v>
      </c>
      <c r="AO1025" s="12" t="str">
        <f t="shared" si="262"/>
        <v/>
      </c>
      <c r="AP1025" s="12" t="str">
        <f t="shared" si="263"/>
        <v/>
      </c>
      <c r="AQ1025" s="64">
        <f t="shared" si="264"/>
        <v>2504</v>
      </c>
      <c r="AR1025" t="s">
        <v>5931</v>
      </c>
      <c r="AS1025" s="12">
        <f t="shared" si="265"/>
        <v>0</v>
      </c>
      <c r="AT1025" t="s">
        <v>4388</v>
      </c>
    </row>
    <row r="1026" spans="1:46" hidden="1" x14ac:dyDescent="0.25">
      <c r="A1026" s="41">
        <f>CASOPOInvCL!T1026</f>
        <v>1</v>
      </c>
      <c r="B1026" t="str">
        <f>CASOPOInvCL!Z1026</f>
        <v>SO17946</v>
      </c>
      <c r="G1026" s="5" t="str">
        <f>CASOPOInvCL!I1026</f>
        <v>Yannett Yeomans</v>
      </c>
      <c r="H1026" s="31">
        <f>CASOPOInvCL!U1026</f>
        <v>9</v>
      </c>
      <c r="I1026" s="31">
        <f>CASOPOInvCL!V1026</f>
        <v>2025</v>
      </c>
      <c r="J1026" s="5" t="str">
        <f>CASOPOInvCL!AB1026</f>
        <v>INV13471</v>
      </c>
      <c r="K1026" s="31" t="str">
        <f>CASOPOInvCL!W1026</f>
        <v/>
      </c>
      <c r="L1026" s="31" t="str">
        <f>CASOPOInvCL!X1026</f>
        <v/>
      </c>
      <c r="M1026" t="s">
        <v>5945</v>
      </c>
      <c r="N1026" s="5" t="str">
        <f>CASOPOInvCL!AF1026</f>
        <v>Dynapro Pumps México S de RL de CV</v>
      </c>
      <c r="O1026" s="16" t="str">
        <f>CASOPOInvCL!AG1026</f>
        <v>USD</v>
      </c>
      <c r="P1026" s="16">
        <f>CASOPOInvCL!AH1026</f>
        <v>1345.8536313799586</v>
      </c>
      <c r="Q1026" s="16">
        <f>CASOPOInvCL!AI1026</f>
        <v>966</v>
      </c>
      <c r="R1026" s="32" t="str">
        <f>CASOPOInvCL!AU1026</f>
        <v/>
      </c>
      <c r="S1026" s="16">
        <f>CASOPOInvCL!AV1026</f>
        <v>0</v>
      </c>
      <c r="T1026" s="16">
        <f>CASOPOInvCL!AW1026</f>
        <v>0</v>
      </c>
      <c r="Y1026" s="29" t="str">
        <f>IFERROR(HLOOKUP(U1026,List!$D$2:$H$6,2,FALSE),"")</f>
        <v/>
      </c>
      <c r="Z1026" s="29" t="str">
        <f>IFERROR(HLOOKUP(V1026,List!$D$2:$H$6,3,FALSE),"")</f>
        <v/>
      </c>
      <c r="AA1026" s="29" t="str">
        <f>IFERROR(HLOOKUP(W1026,List!$D$2:$H$6,4,FALSE),"")</f>
        <v/>
      </c>
      <c r="AB1026" s="29" t="str">
        <f>IFERROR(HLOOKUP(X1026,List!$D$2:$H$6,5,FALSE),"")</f>
        <v/>
      </c>
      <c r="AC1026" s="12" t="str">
        <f t="shared" si="256"/>
        <v/>
      </c>
      <c r="AD1026" s="12" t="str">
        <f t="shared" si="257"/>
        <v/>
      </c>
      <c r="AE1026" s="12" t="str">
        <f t="shared" si="258"/>
        <v/>
      </c>
      <c r="AF1026" s="12" t="str">
        <f t="shared" si="259"/>
        <v/>
      </c>
      <c r="AG1026" t="str">
        <f>VLOOKUP(J1026,'Receivable Invoice Detail'!$A$1:F4038,6,FALSE)</f>
        <v>[D-2J3411-12] Impeller, 3x4-11, Goulds JC, Frame 2J, CD4MCu, OEM# 056185G4201247</v>
      </c>
      <c r="AM1026" s="12" t="str">
        <f t="shared" si="260"/>
        <v/>
      </c>
      <c r="AN1026" s="12" t="str">
        <f t="shared" si="261"/>
        <v/>
      </c>
      <c r="AO1026" s="12" t="str">
        <f t="shared" si="262"/>
        <v/>
      </c>
      <c r="AP1026" s="12" t="str">
        <f t="shared" si="263"/>
        <v/>
      </c>
      <c r="AQ1026" s="64" t="str">
        <f t="shared" si="264"/>
        <v/>
      </c>
      <c r="AR1026" t="s">
        <v>5940</v>
      </c>
      <c r="AS1026" s="12">
        <f t="shared" si="265"/>
        <v>4.9863727388908616</v>
      </c>
      <c r="AT1026" t="s">
        <v>5940</v>
      </c>
    </row>
    <row r="1027" spans="1:46" hidden="1" x14ac:dyDescent="0.25">
      <c r="A1027" s="41">
        <f>CASOPOInvCL!T1027</f>
        <v>3</v>
      </c>
      <c r="B1027" t="str">
        <f>CASOPOInvCL!Z1027</f>
        <v>SO17947</v>
      </c>
      <c r="D1027" t="s">
        <v>5915</v>
      </c>
      <c r="G1027" s="5" t="str">
        <f>CASOPOInvCL!I1027</f>
        <v>Wilka Nuñez</v>
      </c>
      <c r="H1027" s="31">
        <f>CASOPOInvCL!U1027</f>
        <v>9</v>
      </c>
      <c r="I1027" s="31">
        <f>CASOPOInvCL!V1027</f>
        <v>2025</v>
      </c>
      <c r="J1027" s="5" t="str">
        <f>CASOPOInvCL!AB1027</f>
        <v>INV13480</v>
      </c>
      <c r="K1027" s="31" t="str">
        <f>CASOPOInvCL!W1027</f>
        <v/>
      </c>
      <c r="L1027" s="31" t="str">
        <f>CASOPOInvCL!X1027</f>
        <v/>
      </c>
      <c r="M1027" t="s">
        <v>5945</v>
      </c>
      <c r="N1027" s="5" t="str">
        <f>CASOPOInvCL!AF1027</f>
        <v>Barrick Gold - Pueblo Viejo Dominicana Corporation</v>
      </c>
      <c r="O1027" s="16" t="str">
        <f>CASOPOInvCL!AG1027</f>
        <v>USD</v>
      </c>
      <c r="P1027" s="16">
        <f>CASOPOInvCL!AH1027</f>
        <v>343554.47137796431</v>
      </c>
      <c r="Q1027" s="16">
        <f>CASOPOInvCL!AI1027</f>
        <v>247074.32</v>
      </c>
      <c r="R1027" s="32" t="str">
        <f>CASOPOInvCL!AU1027</f>
        <v/>
      </c>
      <c r="S1027" s="16">
        <f>CASOPOInvCL!AV1027</f>
        <v>0</v>
      </c>
      <c r="T1027" s="16">
        <f>CASOPOInvCL!AW1027</f>
        <v>0</v>
      </c>
      <c r="V1027" t="s">
        <v>5803</v>
      </c>
      <c r="Y1027" s="29" t="str">
        <f>IFERROR(HLOOKUP(U1027,List!$D$2:$H$6,2,FALSE),"")</f>
        <v/>
      </c>
      <c r="Z1027" s="29">
        <f>IFERROR(HLOOKUP(V1027,List!$D$2:$H$6,3,FALSE),"")</f>
        <v>0</v>
      </c>
      <c r="AA1027" s="29" t="str">
        <f>IFERROR(HLOOKUP(W1027,List!$D$2:$H$6,4,FALSE),"")</f>
        <v/>
      </c>
      <c r="AB1027" s="29" t="str">
        <f>IFERROR(HLOOKUP(X1027,List!$D$2:$H$6,5,FALSE),"")</f>
        <v/>
      </c>
      <c r="AC1027" s="12" t="str">
        <f t="shared" ref="AC1027:AC1090" si="266">IFERROR(Y1027*$T1027,"")</f>
        <v/>
      </c>
      <c r="AD1027" s="12">
        <f t="shared" ref="AD1027:AD1090" si="267">IFERROR(Z1027*$T1027,"")</f>
        <v>0</v>
      </c>
      <c r="AE1027" s="12" t="str">
        <f t="shared" ref="AE1027:AE1090" si="268">IFERROR(AA1027*$T1027,"")</f>
        <v/>
      </c>
      <c r="AF1027" s="12" t="str">
        <f t="shared" ref="AF1027:AF1090" si="269">IFERROR(AB1027*$T1027,"")</f>
        <v/>
      </c>
      <c r="AG1027" t="str">
        <f>VLOOKUP(J1027,'Receivable Invoice Detail'!$A$1:F4039,6,FALSE)</f>
        <v>[D-2001405-CD4] Bowl,10JKH/M, BW-INT-STEP-NO-SL-SP, CD4MCu</v>
      </c>
      <c r="AM1027" s="12" t="str">
        <f t="shared" ref="AM1027:AM1090" si="270">IF(AI1027="",AC1027,0)</f>
        <v/>
      </c>
      <c r="AN1027" s="12">
        <f t="shared" ref="AN1027:AN1090" si="271">IF(AJ1027="",AD1027,0)</f>
        <v>0</v>
      </c>
      <c r="AO1027" s="12" t="str">
        <f t="shared" ref="AO1027:AO1090" si="272">IF(AK1027="",AE1027,0)</f>
        <v/>
      </c>
      <c r="AP1027" s="12" t="str">
        <f t="shared" ref="AP1027:AP1090" si="273">IF(AL1027="",AF1027,0)</f>
        <v/>
      </c>
      <c r="AQ1027" s="64" t="str">
        <f t="shared" si="264"/>
        <v/>
      </c>
      <c r="AR1027" t="s">
        <v>5933</v>
      </c>
      <c r="AS1027" s="12">
        <f t="shared" si="265"/>
        <v>95.813400000000001</v>
      </c>
      <c r="AT1027" t="s">
        <v>5945</v>
      </c>
    </row>
    <row r="1028" spans="1:46" hidden="1" x14ac:dyDescent="0.25">
      <c r="A1028" s="41">
        <f>CASOPOInvCL!T1028</f>
        <v>3</v>
      </c>
      <c r="B1028" t="str">
        <f>CASOPOInvCL!Z1028</f>
        <v>SO17947</v>
      </c>
      <c r="D1028" t="s">
        <v>5915</v>
      </c>
      <c r="G1028" s="5">
        <f>CASOPOInvCL!I1028</f>
        <v>0</v>
      </c>
      <c r="H1028" s="31">
        <f>CASOPOInvCL!U1028</f>
        <v>9</v>
      </c>
      <c r="I1028" s="31">
        <f>CASOPOInvCL!V1028</f>
        <v>2025</v>
      </c>
      <c r="J1028" s="5" t="str">
        <f>CASOPOInvCL!AB1028</f>
        <v>INV13572</v>
      </c>
      <c r="K1028" s="31">
        <f>CASOPOInvCL!W1028</f>
        <v>12</v>
      </c>
      <c r="L1028" s="31">
        <f>CASOPOInvCL!X1028</f>
        <v>2025</v>
      </c>
      <c r="M1028" t="s">
        <v>5945</v>
      </c>
      <c r="N1028" s="5" t="str">
        <f>CASOPOInvCL!AF1028</f>
        <v>Barrick Gold - Pueblo Viejo Dominicana Corporation</v>
      </c>
      <c r="O1028" s="16" t="str">
        <f>CASOPOInvCL!AG1028</f>
        <v>USD</v>
      </c>
      <c r="P1028" s="16">
        <f>CASOPOInvCL!AH1028</f>
        <v>0</v>
      </c>
      <c r="Q1028" s="16">
        <f>CASOPOInvCL!AI1028</f>
        <v>0</v>
      </c>
      <c r="R1028" s="32" t="str">
        <f>CASOPOInvCL!AU1028</f>
        <v/>
      </c>
      <c r="S1028" s="16">
        <f>CASOPOInvCL!AV1028</f>
        <v>0</v>
      </c>
      <c r="T1028" s="16">
        <f>CASOPOInvCL!AW1028</f>
        <v>0</v>
      </c>
      <c r="V1028" t="s">
        <v>5803</v>
      </c>
      <c r="Y1028" s="29" t="str">
        <f>IFERROR(HLOOKUP(U1028,List!$D$2:$H$6,2,FALSE),"")</f>
        <v/>
      </c>
      <c r="Z1028" s="29">
        <f>IFERROR(HLOOKUP(V1028,List!$D$2:$H$6,3,FALSE),"")</f>
        <v>0</v>
      </c>
      <c r="AA1028" s="29" t="str">
        <f>IFERROR(HLOOKUP(W1028,List!$D$2:$H$6,4,FALSE),"")</f>
        <v/>
      </c>
      <c r="AB1028" s="29" t="str">
        <f>IFERROR(HLOOKUP(X1028,List!$D$2:$H$6,5,FALSE),"")</f>
        <v/>
      </c>
      <c r="AC1028" s="12" t="str">
        <f t="shared" si="266"/>
        <v/>
      </c>
      <c r="AD1028" s="12">
        <f t="shared" si="267"/>
        <v>0</v>
      </c>
      <c r="AE1028" s="12" t="str">
        <f t="shared" si="268"/>
        <v/>
      </c>
      <c r="AF1028" s="12" t="str">
        <f t="shared" si="269"/>
        <v/>
      </c>
      <c r="AG1028" t="str">
        <f>VLOOKUP(J1028,'Receivable Invoice Detail'!$A$1:F4040,6,FALSE)</f>
        <v>[D-2001407-2507] Bowl Wear Ring, 10JKH/M, 05.50x05.88x0.88, Duplex SS 2507 w/Ion Nitriding</v>
      </c>
      <c r="AM1028" s="12" t="str">
        <f t="shared" si="270"/>
        <v/>
      </c>
      <c r="AN1028" s="12">
        <f t="shared" si="271"/>
        <v>0</v>
      </c>
      <c r="AO1028" s="12" t="str">
        <f t="shared" si="272"/>
        <v/>
      </c>
      <c r="AP1028" s="12" t="str">
        <f t="shared" si="273"/>
        <v/>
      </c>
      <c r="AQ1028" s="64" t="str">
        <f t="shared" si="264"/>
        <v/>
      </c>
      <c r="AR1028" t="s">
        <v>5933</v>
      </c>
      <c r="AS1028" s="12">
        <f t="shared" si="265"/>
        <v>0</v>
      </c>
      <c r="AT1028" t="s">
        <v>5945</v>
      </c>
    </row>
    <row r="1029" spans="1:46" hidden="1" x14ac:dyDescent="0.25">
      <c r="A1029" s="41">
        <f>CASOPOInvCL!T1029</f>
        <v>3</v>
      </c>
      <c r="B1029" t="str">
        <f>CASOPOInvCL!Z1029</f>
        <v>SO17947</v>
      </c>
      <c r="D1029" t="s">
        <v>5915</v>
      </c>
      <c r="G1029" s="5">
        <f>CASOPOInvCL!I1029</f>
        <v>0</v>
      </c>
      <c r="H1029" s="31">
        <f>CASOPOInvCL!U1029</f>
        <v>9</v>
      </c>
      <c r="I1029" s="31">
        <f>CASOPOInvCL!V1029</f>
        <v>2025</v>
      </c>
      <c r="J1029" s="5" t="str">
        <f>CASOPOInvCL!AB1029</f>
        <v>INV13741</v>
      </c>
      <c r="K1029" s="31" t="str">
        <f>CASOPOInvCL!W1029</f>
        <v/>
      </c>
      <c r="L1029" s="31" t="str">
        <f>CASOPOInvCL!X1029</f>
        <v/>
      </c>
      <c r="M1029" t="s">
        <v>5945</v>
      </c>
      <c r="N1029" s="5" t="str">
        <f>CASOPOInvCL!AF1029</f>
        <v>Barrick Gold - Pueblo Viejo Dominicana Corporation</v>
      </c>
      <c r="O1029" s="16" t="str">
        <f>CASOPOInvCL!AG1029</f>
        <v>USD</v>
      </c>
      <c r="P1029" s="16">
        <f>CASOPOInvCL!AH1029</f>
        <v>0</v>
      </c>
      <c r="Q1029" s="16">
        <f>CASOPOInvCL!AI1029</f>
        <v>0</v>
      </c>
      <c r="R1029" s="32" t="str">
        <f>CASOPOInvCL!AU1029</f>
        <v/>
      </c>
      <c r="S1029" s="16">
        <f>CASOPOInvCL!AV1029</f>
        <v>0</v>
      </c>
      <c r="T1029" s="16">
        <f>CASOPOInvCL!AW1029</f>
        <v>0</v>
      </c>
      <c r="V1029" t="s">
        <v>5803</v>
      </c>
      <c r="Y1029" s="29" t="str">
        <f>IFERROR(HLOOKUP(U1029,List!$D$2:$H$6,2,FALSE),"")</f>
        <v/>
      </c>
      <c r="Z1029" s="29">
        <f>IFERROR(HLOOKUP(V1029,List!$D$2:$H$6,3,FALSE),"")</f>
        <v>0</v>
      </c>
      <c r="AA1029" s="29" t="str">
        <f>IFERROR(HLOOKUP(W1029,List!$D$2:$H$6,4,FALSE),"")</f>
        <v/>
      </c>
      <c r="AB1029" s="29" t="str">
        <f>IFERROR(HLOOKUP(X1029,List!$D$2:$H$6,5,FALSE),"")</f>
        <v/>
      </c>
      <c r="AC1029" s="12" t="str">
        <f t="shared" si="266"/>
        <v/>
      </c>
      <c r="AD1029" s="12">
        <f t="shared" si="267"/>
        <v>0</v>
      </c>
      <c r="AE1029" s="12" t="str">
        <f t="shared" si="268"/>
        <v/>
      </c>
      <c r="AF1029" s="12" t="str">
        <f t="shared" si="269"/>
        <v/>
      </c>
      <c r="AG1029" t="str">
        <f>VLOOKUP(J1029,'Receivable Invoice Detail'!$A$1:F4041,6,FALSE)</f>
        <v>[D-2001407-2507] Bowl Wear Ring, 10JKH/M, 05.50x05.88x0.88, Duplex SS 2507 w/Ion Nitriding</v>
      </c>
      <c r="AM1029" s="12" t="str">
        <f t="shared" si="270"/>
        <v/>
      </c>
      <c r="AN1029" s="12">
        <f t="shared" si="271"/>
        <v>0</v>
      </c>
      <c r="AO1029" s="12" t="str">
        <f t="shared" si="272"/>
        <v/>
      </c>
      <c r="AP1029" s="12" t="str">
        <f t="shared" si="273"/>
        <v/>
      </c>
      <c r="AQ1029" s="64" t="str">
        <f t="shared" si="264"/>
        <v/>
      </c>
      <c r="AR1029" t="s">
        <v>5933</v>
      </c>
      <c r="AS1029" s="12">
        <f t="shared" si="265"/>
        <v>28.342698264775226</v>
      </c>
      <c r="AT1029" t="s">
        <v>5945</v>
      </c>
    </row>
    <row r="1030" spans="1:46" hidden="1" x14ac:dyDescent="0.25">
      <c r="A1030" s="41">
        <f>CASOPOInvCL!T1030</f>
        <v>1</v>
      </c>
      <c r="B1030" t="str">
        <f>CASOPOInvCL!Z1030</f>
        <v>SO17953</v>
      </c>
      <c r="G1030" s="5" t="str">
        <f>CASOPOInvCL!I1030</f>
        <v>Alexis Gil Lamadrid</v>
      </c>
      <c r="H1030" s="31">
        <f>CASOPOInvCL!U1030</f>
        <v>10</v>
      </c>
      <c r="I1030" s="31">
        <f>CASOPOInvCL!V1030</f>
        <v>2025</v>
      </c>
      <c r="J1030" s="5" t="str">
        <f>CASOPOInvCL!AB1030</f>
        <v>INV13715</v>
      </c>
      <c r="K1030" s="31" t="str">
        <f>CASOPOInvCL!W1030</f>
        <v/>
      </c>
      <c r="L1030" s="31" t="str">
        <f>CASOPOInvCL!X1030</f>
        <v/>
      </c>
      <c r="M1030" t="s">
        <v>5945</v>
      </c>
      <c r="N1030" s="5" t="str">
        <f>CASOPOInvCL!AF1030</f>
        <v>Eleazar General &amp; Industrial Supplies Limited</v>
      </c>
      <c r="O1030" s="16" t="str">
        <f>CASOPOInvCL!AG1030</f>
        <v>USD</v>
      </c>
      <c r="P1030" s="16">
        <f>CASOPOInvCL!AH1030</f>
        <v>3091.4633131184073</v>
      </c>
      <c r="Q1030" s="16">
        <f>CASOPOInvCL!AI1030</f>
        <v>2206</v>
      </c>
      <c r="R1030" s="32" t="str">
        <f>CASOPOInvCL!AU1030</f>
        <v/>
      </c>
      <c r="S1030" s="16">
        <f>CASOPOInvCL!AV1030</f>
        <v>0</v>
      </c>
      <c r="T1030" s="16">
        <f>CASOPOInvCL!AW1030</f>
        <v>0</v>
      </c>
      <c r="Y1030" s="29" t="str">
        <f>IFERROR(HLOOKUP(U1030,List!$D$2:$H$6,2,FALSE),"")</f>
        <v/>
      </c>
      <c r="Z1030" s="29" t="str">
        <f>IFERROR(HLOOKUP(V1030,List!$D$2:$H$6,3,FALSE),"")</f>
        <v/>
      </c>
      <c r="AA1030" s="29" t="str">
        <f>IFERROR(HLOOKUP(W1030,List!$D$2:$H$6,4,FALSE),"")</f>
        <v/>
      </c>
      <c r="AB1030" s="29" t="str">
        <f>IFERROR(HLOOKUP(X1030,List!$D$2:$H$6,5,FALSE),"")</f>
        <v/>
      </c>
      <c r="AC1030" s="12" t="str">
        <f t="shared" si="266"/>
        <v/>
      </c>
      <c r="AD1030" s="12" t="str">
        <f t="shared" si="267"/>
        <v/>
      </c>
      <c r="AE1030" s="12" t="str">
        <f t="shared" si="268"/>
        <v/>
      </c>
      <c r="AF1030" s="12" t="str">
        <f t="shared" si="269"/>
        <v/>
      </c>
      <c r="AG1030" t="str">
        <f>VLOOKUP(J1030,'Receivable Invoice Detail'!$A$1:F4042,6,FALSE)</f>
        <v>[AC-98-431-799-001] Suction Side Casing, 5x4-14 SRL-C, Cast Iron</v>
      </c>
      <c r="AM1030" s="12" t="str">
        <f t="shared" si="270"/>
        <v/>
      </c>
      <c r="AN1030" s="12" t="str">
        <f t="shared" si="271"/>
        <v/>
      </c>
      <c r="AO1030" s="12" t="str">
        <f t="shared" si="272"/>
        <v/>
      </c>
      <c r="AP1030" s="12" t="str">
        <f t="shared" si="273"/>
        <v/>
      </c>
      <c r="AQ1030" s="64" t="str">
        <f t="shared" si="264"/>
        <v/>
      </c>
      <c r="AS1030" s="12">
        <f t="shared" si="265"/>
        <v>1.8128212172872125</v>
      </c>
      <c r="AT1030" t="s">
        <v>5945</v>
      </c>
    </row>
    <row r="1031" spans="1:46" hidden="1" x14ac:dyDescent="0.25">
      <c r="A1031" s="41">
        <f>CASOPOInvCL!T1031</f>
        <v>1</v>
      </c>
      <c r="B1031" t="str">
        <f>CASOPOInvCL!Z1031</f>
        <v>SO17954</v>
      </c>
      <c r="G1031" s="5" t="str">
        <f>CASOPOInvCL!I1031</f>
        <v>Alexis Gil Lamadrid</v>
      </c>
      <c r="H1031" s="31">
        <f>CASOPOInvCL!U1031</f>
        <v>10</v>
      </c>
      <c r="I1031" s="31">
        <f>CASOPOInvCL!V1031</f>
        <v>2025</v>
      </c>
      <c r="J1031" s="5" t="str">
        <f>CASOPOInvCL!AB1031</f>
        <v>INV13833</v>
      </c>
      <c r="K1031" s="31" t="str">
        <f>CASOPOInvCL!W1031</f>
        <v/>
      </c>
      <c r="L1031" s="31" t="str">
        <f>CASOPOInvCL!X1031</f>
        <v/>
      </c>
      <c r="M1031" t="s">
        <v>5945</v>
      </c>
      <c r="N1031" s="5" t="str">
        <f>CASOPOInvCL!AF1031</f>
        <v>Wajax Limited - Lachine</v>
      </c>
      <c r="O1031" s="16" t="str">
        <f>CASOPOInvCL!AG1031</f>
        <v>CAD</v>
      </c>
      <c r="P1031" s="16">
        <f>CASOPOInvCL!AH1031</f>
        <v>1435</v>
      </c>
      <c r="Q1031" s="16">
        <f>CASOPOInvCL!AI1031</f>
        <v>1028.6883155612827</v>
      </c>
      <c r="R1031" s="32" t="str">
        <f>CASOPOInvCL!AU1031</f>
        <v/>
      </c>
      <c r="S1031" s="16">
        <f>CASOPOInvCL!AV1031</f>
        <v>0</v>
      </c>
      <c r="T1031" s="16">
        <f>CASOPOInvCL!AW1031</f>
        <v>0</v>
      </c>
      <c r="Y1031" s="29" t="str">
        <f>IFERROR(HLOOKUP(U1031,List!$D$2:$H$6,2,FALSE),"")</f>
        <v/>
      </c>
      <c r="Z1031" s="29" t="str">
        <f>IFERROR(HLOOKUP(V1031,List!$D$2:$H$6,3,FALSE),"")</f>
        <v/>
      </c>
      <c r="AA1031" s="29" t="str">
        <f>IFERROR(HLOOKUP(W1031,List!$D$2:$H$6,4,FALSE),"")</f>
        <v/>
      </c>
      <c r="AB1031" s="29" t="str">
        <f>IFERROR(HLOOKUP(X1031,List!$D$2:$H$6,5,FALSE),"")</f>
        <v/>
      </c>
      <c r="AC1031" s="12" t="str">
        <f t="shared" si="266"/>
        <v/>
      </c>
      <c r="AD1031" s="12" t="str">
        <f t="shared" si="267"/>
        <v/>
      </c>
      <c r="AE1031" s="12" t="str">
        <f t="shared" si="268"/>
        <v/>
      </c>
      <c r="AF1031" s="12" t="str">
        <f t="shared" si="269"/>
        <v/>
      </c>
      <c r="AG1031" t="e">
        <f>VLOOKUP(J1031,'Receivable Invoice Detail'!$A$1:F4043,6,FALSE)</f>
        <v>#N/A</v>
      </c>
      <c r="AM1031" s="12" t="str">
        <f t="shared" si="270"/>
        <v/>
      </c>
      <c r="AN1031" s="12" t="str">
        <f t="shared" si="271"/>
        <v/>
      </c>
      <c r="AO1031" s="12" t="str">
        <f t="shared" si="272"/>
        <v/>
      </c>
      <c r="AP1031" s="12" t="str">
        <f t="shared" si="273"/>
        <v/>
      </c>
      <c r="AQ1031" s="64" t="str">
        <f t="shared" si="264"/>
        <v/>
      </c>
      <c r="AS1031" s="12">
        <f t="shared" si="265"/>
        <v>56.628141732053173</v>
      </c>
      <c r="AT1031" t="s">
        <v>5945</v>
      </c>
    </row>
    <row r="1032" spans="1:46" hidden="1" x14ac:dyDescent="0.25">
      <c r="A1032" s="41">
        <f>CASOPOInvCL!T1032</f>
        <v>1</v>
      </c>
      <c r="B1032" t="str">
        <f>CASOPOInvCL!Z1032</f>
        <v>SO17956</v>
      </c>
      <c r="G1032" s="5" t="str">
        <f>CASOPOInvCL!I1032</f>
        <v>Ian Trottier</v>
      </c>
      <c r="H1032" s="31">
        <f>CASOPOInvCL!U1032</f>
        <v>10</v>
      </c>
      <c r="I1032" s="31">
        <f>CASOPOInvCL!V1032</f>
        <v>2025</v>
      </c>
      <c r="J1032" s="5" t="str">
        <f>CASOPOInvCL!AB1032</f>
        <v>INV13570</v>
      </c>
      <c r="K1032" s="31">
        <f>CASOPOInvCL!W1032</f>
        <v>12</v>
      </c>
      <c r="L1032" s="31">
        <f>CASOPOInvCL!X1032</f>
        <v>2025</v>
      </c>
      <c r="M1032" t="s">
        <v>5945</v>
      </c>
      <c r="N1032" s="5" t="str">
        <f>CASOPOInvCL!AF1032</f>
        <v>Grant Aggregate</v>
      </c>
      <c r="O1032" s="16" t="str">
        <f>CASOPOInvCL!AG1032</f>
        <v>CAD</v>
      </c>
      <c r="P1032" s="16">
        <f>CASOPOInvCL!AH1032</f>
        <v>1759.61</v>
      </c>
      <c r="Q1032" s="16">
        <f>CASOPOInvCL!AI1032</f>
        <v>1258.9492921894284</v>
      </c>
      <c r="R1032" s="32" t="str">
        <f>CASOPOInvCL!AU1032</f>
        <v>Yes</v>
      </c>
      <c r="S1032" s="16">
        <f>CASOPOInvCL!AV1032</f>
        <v>0</v>
      </c>
      <c r="T1032" s="16">
        <f>CASOPOInvCL!AW1032</f>
        <v>1258.9492921894284</v>
      </c>
      <c r="Y1032" s="29" t="str">
        <f>IFERROR(HLOOKUP(U1032,List!$D$2:$H$6,2,FALSE),"")</f>
        <v/>
      </c>
      <c r="Z1032" s="29" t="str">
        <f>IFERROR(HLOOKUP(V1032,List!$D$2:$H$6,3,FALSE),"")</f>
        <v/>
      </c>
      <c r="AA1032" s="29" t="str">
        <f>IFERROR(HLOOKUP(W1032,List!$D$2:$H$6,4,FALSE),"")</f>
        <v/>
      </c>
      <c r="AB1032" s="29" t="str">
        <f>IFERROR(HLOOKUP(X1032,List!$D$2:$H$6,5,FALSE),"")</f>
        <v/>
      </c>
      <c r="AC1032" s="12" t="str">
        <f t="shared" si="266"/>
        <v/>
      </c>
      <c r="AD1032" s="12" t="str">
        <f t="shared" si="267"/>
        <v/>
      </c>
      <c r="AE1032" s="12" t="str">
        <f t="shared" si="268"/>
        <v/>
      </c>
      <c r="AF1032" s="12" t="str">
        <f t="shared" si="269"/>
        <v/>
      </c>
      <c r="AG1032" t="str">
        <f>VLOOKUP(J1032,'Receivable Invoice Detail'!$A$1:F4044,6,FALSE)</f>
        <v>[G-0D02490A02 1216] Impeller, 8x10-13, 3196 XLT, CD4MCu, 5-Vane</v>
      </c>
      <c r="AM1032" s="12" t="str">
        <f t="shared" si="270"/>
        <v/>
      </c>
      <c r="AN1032" s="12" t="str">
        <f t="shared" si="271"/>
        <v/>
      </c>
      <c r="AO1032" s="12" t="str">
        <f t="shared" si="272"/>
        <v/>
      </c>
      <c r="AP1032" s="12" t="str">
        <f t="shared" si="273"/>
        <v/>
      </c>
      <c r="AQ1032" s="64" t="str">
        <f t="shared" si="264"/>
        <v/>
      </c>
      <c r="AS1032" s="12">
        <f t="shared" si="265"/>
        <v>10.320028059443878</v>
      </c>
      <c r="AT1032" t="s">
        <v>5945</v>
      </c>
    </row>
    <row r="1033" spans="1:46" hidden="1" x14ac:dyDescent="0.25">
      <c r="A1033" s="41">
        <f>CASOPOInvCL!T1033</f>
        <v>1</v>
      </c>
      <c r="B1033" t="str">
        <f>CASOPOInvCL!Z1033</f>
        <v>SO17957</v>
      </c>
      <c r="G1033" s="5" t="str">
        <f>CASOPOInvCL!I1033</f>
        <v>Wilka Nuñez</v>
      </c>
      <c r="H1033" s="31">
        <f>CASOPOInvCL!U1033</f>
        <v>10</v>
      </c>
      <c r="I1033" s="31">
        <f>CASOPOInvCL!V1033</f>
        <v>2025</v>
      </c>
      <c r="J1033" s="5" t="str">
        <f>CASOPOInvCL!AB1033</f>
        <v>INV13489</v>
      </c>
      <c r="K1033" s="31" t="str">
        <f>CASOPOInvCL!W1033</f>
        <v/>
      </c>
      <c r="L1033" s="31" t="str">
        <f>CASOPOInvCL!X1033</f>
        <v/>
      </c>
      <c r="M1033" t="s">
        <v>5945</v>
      </c>
      <c r="N1033" s="5" t="str">
        <f>CASOPOInvCL!AF1033</f>
        <v>Glencore Canada Corporation - Rouyn-Noranda</v>
      </c>
      <c r="O1033" s="16" t="str">
        <f>CASOPOInvCL!AG1033</f>
        <v>CAD</v>
      </c>
      <c r="P1033" s="16">
        <f>CASOPOInvCL!AH1033</f>
        <v>3200.66</v>
      </c>
      <c r="Q1033" s="16">
        <f>CASOPOInvCL!AI1033</f>
        <v>2289.978257420119</v>
      </c>
      <c r="R1033" s="32" t="str">
        <f>CASOPOInvCL!AU1033</f>
        <v/>
      </c>
      <c r="S1033" s="16">
        <f>CASOPOInvCL!AV1033</f>
        <v>0</v>
      </c>
      <c r="T1033" s="16">
        <f>CASOPOInvCL!AW1033</f>
        <v>0</v>
      </c>
      <c r="Y1033" s="29" t="str">
        <f>IFERROR(HLOOKUP(U1033,List!$D$2:$H$6,2,FALSE),"")</f>
        <v/>
      </c>
      <c r="Z1033" s="29" t="str">
        <f>IFERROR(HLOOKUP(V1033,List!$D$2:$H$6,3,FALSE),"")</f>
        <v/>
      </c>
      <c r="AA1033" s="29" t="str">
        <f>IFERROR(HLOOKUP(W1033,List!$D$2:$H$6,4,FALSE),"")</f>
        <v/>
      </c>
      <c r="AB1033" s="29" t="str">
        <f>IFERROR(HLOOKUP(X1033,List!$D$2:$H$6,5,FALSE),"")</f>
        <v/>
      </c>
      <c r="AC1033" s="12" t="str">
        <f t="shared" si="266"/>
        <v/>
      </c>
      <c r="AD1033" s="12" t="str">
        <f t="shared" si="267"/>
        <v/>
      </c>
      <c r="AE1033" s="12" t="str">
        <f t="shared" si="268"/>
        <v/>
      </c>
      <c r="AF1033" s="12" t="str">
        <f t="shared" si="269"/>
        <v/>
      </c>
      <c r="AG1033" t="str">
        <f>VLOOKUP(J1033,'Receivable Invoice Detail'!$A$1:F4045,6,FALSE)</f>
        <v>[AC-98-331-958-831] Shaft Sleeve, 5x4/5x5/6X6 SRL-C &amp; SRL, 420SS Heat Treated, Hardened</v>
      </c>
      <c r="AM1033" s="12" t="str">
        <f t="shared" si="270"/>
        <v/>
      </c>
      <c r="AN1033" s="12" t="str">
        <f t="shared" si="271"/>
        <v/>
      </c>
      <c r="AO1033" s="12" t="str">
        <f t="shared" si="272"/>
        <v/>
      </c>
      <c r="AP1033" s="12" t="str">
        <f t="shared" si="273"/>
        <v/>
      </c>
      <c r="AQ1033" s="64" t="str">
        <f t="shared" si="264"/>
        <v/>
      </c>
      <c r="AS1033" s="12">
        <f t="shared" si="265"/>
        <v>0</v>
      </c>
      <c r="AT1033" t="s">
        <v>5945</v>
      </c>
    </row>
    <row r="1034" spans="1:46" hidden="1" x14ac:dyDescent="0.25">
      <c r="A1034" s="41">
        <f>CASOPOInvCL!T1034</f>
        <v>1</v>
      </c>
      <c r="B1034" t="str">
        <f>CASOPOInvCL!Z1034</f>
        <v>SO17958</v>
      </c>
      <c r="G1034" s="5" t="str">
        <f>CASOPOInvCL!I1034</f>
        <v>Ian Trottier</v>
      </c>
      <c r="H1034" s="31">
        <f>CASOPOInvCL!U1034</f>
        <v>10</v>
      </c>
      <c r="I1034" s="31">
        <f>CASOPOInvCL!V1034</f>
        <v>2025</v>
      </c>
      <c r="J1034" s="5" t="str">
        <f>CASOPOInvCL!AB1034</f>
        <v>INV13488</v>
      </c>
      <c r="K1034" s="31" t="str">
        <f>CASOPOInvCL!W1034</f>
        <v/>
      </c>
      <c r="L1034" s="31" t="str">
        <f>CASOPOInvCL!X1034</f>
        <v/>
      </c>
      <c r="M1034" t="s">
        <v>5945</v>
      </c>
      <c r="N1034" s="5" t="str">
        <f>CASOPOInvCL!AF1034</f>
        <v>Glencore Canada Corporation - Rouyn-Noranda, Glencore Canada Corp.</v>
      </c>
      <c r="O1034" s="16" t="str">
        <f>CASOPOInvCL!AG1034</f>
        <v>CAD</v>
      </c>
      <c r="P1034" s="16">
        <f>CASOPOInvCL!AH1034</f>
        <v>1495.52</v>
      </c>
      <c r="Q1034" s="16">
        <f>CASOPOInvCL!AI1034</f>
        <v>1070.0006509710299</v>
      </c>
      <c r="R1034" s="32" t="str">
        <f>CASOPOInvCL!AU1034</f>
        <v/>
      </c>
      <c r="S1034" s="16">
        <f>CASOPOInvCL!AV1034</f>
        <v>0</v>
      </c>
      <c r="T1034" s="16">
        <f>CASOPOInvCL!AW1034</f>
        <v>0</v>
      </c>
      <c r="Y1034" s="29" t="str">
        <f>IFERROR(HLOOKUP(U1034,List!$D$2:$H$6,2,FALSE),"")</f>
        <v/>
      </c>
      <c r="Z1034" s="29" t="str">
        <f>IFERROR(HLOOKUP(V1034,List!$D$2:$H$6,3,FALSE),"")</f>
        <v/>
      </c>
      <c r="AA1034" s="29" t="str">
        <f>IFERROR(HLOOKUP(W1034,List!$D$2:$H$6,4,FALSE),"")</f>
        <v/>
      </c>
      <c r="AB1034" s="29" t="str">
        <f>IFERROR(HLOOKUP(X1034,List!$D$2:$H$6,5,FALSE),"")</f>
        <v/>
      </c>
      <c r="AC1034" s="12" t="str">
        <f t="shared" si="266"/>
        <v/>
      </c>
      <c r="AD1034" s="12" t="str">
        <f t="shared" si="267"/>
        <v/>
      </c>
      <c r="AE1034" s="12" t="str">
        <f t="shared" si="268"/>
        <v/>
      </c>
      <c r="AF1034" s="12" t="str">
        <f t="shared" si="269"/>
        <v/>
      </c>
      <c r="AG1034" t="str">
        <f>VLOOKUP(J1034,'Receivable Invoice Detail'!$A$1:F4046,6,FALSE)</f>
        <v>[AC-98-331-932-501] Shaft Assembly, 5x4-14 SRL-C &amp; 5x5-14 SRL, 1045 Steel</v>
      </c>
      <c r="AM1034" s="12" t="str">
        <f t="shared" si="270"/>
        <v/>
      </c>
      <c r="AN1034" s="12" t="str">
        <f t="shared" si="271"/>
        <v/>
      </c>
      <c r="AO1034" s="12" t="str">
        <f t="shared" si="272"/>
        <v/>
      </c>
      <c r="AP1034" s="12" t="str">
        <f t="shared" si="273"/>
        <v/>
      </c>
      <c r="AQ1034" s="64" t="str">
        <f t="shared" si="264"/>
        <v/>
      </c>
      <c r="AS1034" s="12">
        <f t="shared" si="265"/>
        <v>0</v>
      </c>
      <c r="AT1034" t="s">
        <v>5945</v>
      </c>
    </row>
    <row r="1035" spans="1:46" hidden="1" x14ac:dyDescent="0.25">
      <c r="A1035" s="41">
        <f>CASOPOInvCL!T1035</f>
        <v>1</v>
      </c>
      <c r="B1035" t="str">
        <f>CASOPOInvCL!Z1035</f>
        <v>SO17959</v>
      </c>
      <c r="D1035" t="s">
        <v>5851</v>
      </c>
      <c r="G1035" s="5" t="str">
        <f>CASOPOInvCL!I1035</f>
        <v>Alexis Gil Lamadrid</v>
      </c>
      <c r="H1035" s="31">
        <f>CASOPOInvCL!U1035</f>
        <v>10</v>
      </c>
      <c r="I1035" s="31">
        <f>CASOPOInvCL!V1035</f>
        <v>2025</v>
      </c>
      <c r="J1035" s="5" t="str">
        <f>CASOPOInvCL!AB1035</f>
        <v>INV13508</v>
      </c>
      <c r="K1035" s="31">
        <f>CASOPOInvCL!W1035</f>
        <v>11</v>
      </c>
      <c r="L1035" s="31">
        <f>CASOPOInvCL!X1035</f>
        <v>2025</v>
      </c>
      <c r="M1035">
        <v>2504</v>
      </c>
      <c r="N1035" s="5" t="str">
        <f>CASOPOInvCL!AF1035</f>
        <v>Process and Steam Specialties</v>
      </c>
      <c r="O1035" s="16" t="str">
        <f>CASOPOInvCL!AG1035</f>
        <v>CAD</v>
      </c>
      <c r="P1035" s="16">
        <f>CASOPOInvCL!AH1035</f>
        <v>663</v>
      </c>
      <c r="Q1035" s="16">
        <f>CASOPOInvCL!AI1035</f>
        <v>474.35703407095377</v>
      </c>
      <c r="R1035" s="32" t="str">
        <f>CASOPOInvCL!AU1035</f>
        <v>Yes</v>
      </c>
      <c r="S1035" s="16">
        <f>CASOPOInvCL!AV1035</f>
        <v>0</v>
      </c>
      <c r="T1035" s="16">
        <f>CASOPOInvCL!AW1035</f>
        <v>474.35703407095377</v>
      </c>
      <c r="V1035" t="s">
        <v>5800</v>
      </c>
      <c r="Y1035" s="29" t="str">
        <f>IFERROR(HLOOKUP(U1035,List!$D$2:$H$6,2,FALSE),"")</f>
        <v/>
      </c>
      <c r="Z1035" s="29">
        <f>IFERROR(HLOOKUP(V1035,List!$D$2:$H$6,3,FALSE),"")</f>
        <v>5.0000000000000001E-3</v>
      </c>
      <c r="AA1035" s="29" t="str">
        <f>IFERROR(HLOOKUP(W1035,List!$D$2:$H$6,4,FALSE),"")</f>
        <v/>
      </c>
      <c r="AB1035" s="29" t="str">
        <f>IFERROR(HLOOKUP(X1035,List!$D$2:$H$6,5,FALSE),"")</f>
        <v/>
      </c>
      <c r="AC1035" s="12" t="str">
        <f t="shared" si="266"/>
        <v/>
      </c>
      <c r="AD1035" s="12">
        <f t="shared" si="267"/>
        <v>2.371785170354769</v>
      </c>
      <c r="AE1035" s="12" t="str">
        <f t="shared" si="268"/>
        <v/>
      </c>
      <c r="AF1035" s="12" t="str">
        <f t="shared" si="269"/>
        <v/>
      </c>
      <c r="AG1035" t="str">
        <f>VLOOKUP(J1035,'Receivable Invoice Detail'!$A$1:F4047,6,FALSE)</f>
        <v>[SA-013826-1] Shaft Sleeve, Sala STGVA-33-WFR, Steel</v>
      </c>
      <c r="AM1035" s="12" t="str">
        <f t="shared" si="270"/>
        <v/>
      </c>
      <c r="AN1035" s="12">
        <f t="shared" si="271"/>
        <v>2.371785170354769</v>
      </c>
      <c r="AO1035" s="12" t="str">
        <f t="shared" si="272"/>
        <v/>
      </c>
      <c r="AP1035" s="12" t="str">
        <f t="shared" si="273"/>
        <v/>
      </c>
      <c r="AQ1035" s="64">
        <f t="shared" si="264"/>
        <v>2504</v>
      </c>
      <c r="AR1035" t="s">
        <v>5931</v>
      </c>
      <c r="AS1035" s="12">
        <f t="shared" si="265"/>
        <v>0</v>
      </c>
      <c r="AT1035" t="s">
        <v>4388</v>
      </c>
    </row>
    <row r="1036" spans="1:46" hidden="1" x14ac:dyDescent="0.25">
      <c r="A1036" s="41">
        <f>CASOPOInvCL!T1036</f>
        <v>1</v>
      </c>
      <c r="B1036" t="str">
        <f>CASOPOInvCL!Z1036</f>
        <v>SO17962</v>
      </c>
      <c r="D1036" t="s">
        <v>5851</v>
      </c>
      <c r="G1036" s="5" t="str">
        <f>CASOPOInvCL!I1036</f>
        <v>Ian Trottier</v>
      </c>
      <c r="H1036" s="31">
        <f>CASOPOInvCL!U1036</f>
        <v>10</v>
      </c>
      <c r="I1036" s="31">
        <f>CASOPOInvCL!V1036</f>
        <v>2025</v>
      </c>
      <c r="J1036" s="5" t="str">
        <f>CASOPOInvCL!AB1036</f>
        <v>INV13481</v>
      </c>
      <c r="K1036" s="31">
        <f>CASOPOInvCL!W1036</f>
        <v>11</v>
      </c>
      <c r="L1036" s="31">
        <f>CASOPOInvCL!X1036</f>
        <v>2025</v>
      </c>
      <c r="M1036">
        <v>2504</v>
      </c>
      <c r="N1036" s="5" t="str">
        <f>CASOPOInvCL!AF1036</f>
        <v>Canadian Industrial Pumps Ltd</v>
      </c>
      <c r="O1036" s="16" t="str">
        <f>CASOPOInvCL!AG1036</f>
        <v>CAD</v>
      </c>
      <c r="P1036" s="16">
        <f>CASOPOInvCL!AH1036</f>
        <v>373.11</v>
      </c>
      <c r="Q1036" s="16">
        <f>CASOPOInvCL!AI1036</f>
        <v>266.9492503502467</v>
      </c>
      <c r="R1036" s="32" t="str">
        <f>CASOPOInvCL!AU1036</f>
        <v>Yes</v>
      </c>
      <c r="S1036" s="16">
        <f>CASOPOInvCL!AV1036</f>
        <v>0</v>
      </c>
      <c r="T1036" s="16">
        <f>CASOPOInvCL!AW1036</f>
        <v>266.9492503502467</v>
      </c>
      <c r="V1036" t="s">
        <v>5800</v>
      </c>
      <c r="Y1036" s="29" t="str">
        <f>IFERROR(HLOOKUP(U1036,List!$D$2:$H$6,2,FALSE),"")</f>
        <v/>
      </c>
      <c r="Z1036" s="29">
        <f>IFERROR(HLOOKUP(V1036,List!$D$2:$H$6,3,FALSE),"")</f>
        <v>5.0000000000000001E-3</v>
      </c>
      <c r="AA1036" s="29" t="str">
        <f>IFERROR(HLOOKUP(W1036,List!$D$2:$H$6,4,FALSE),"")</f>
        <v/>
      </c>
      <c r="AB1036" s="29" t="str">
        <f>IFERROR(HLOOKUP(X1036,List!$D$2:$H$6,5,FALSE),"")</f>
        <v/>
      </c>
      <c r="AC1036" s="12" t="str">
        <f t="shared" si="266"/>
        <v/>
      </c>
      <c r="AD1036" s="12">
        <f t="shared" si="267"/>
        <v>1.3347462517512336</v>
      </c>
      <c r="AE1036" s="12" t="str">
        <f t="shared" si="268"/>
        <v/>
      </c>
      <c r="AF1036" s="12" t="str">
        <f t="shared" si="269"/>
        <v/>
      </c>
      <c r="AG1036" t="str">
        <f>VLOOKUP(J1036,'Receivable Invoice Detail'!$A$1:F4048,6,FALSE)</f>
        <v>[AC-98-234-268-001-SS] Waterseal Bushing, 5x4/5x5/6x6 SRL, 316SS</v>
      </c>
      <c r="AM1036" s="12" t="str">
        <f t="shared" si="270"/>
        <v/>
      </c>
      <c r="AN1036" s="12">
        <f t="shared" si="271"/>
        <v>1.3347462517512336</v>
      </c>
      <c r="AO1036" s="12" t="str">
        <f t="shared" si="272"/>
        <v/>
      </c>
      <c r="AP1036" s="12" t="str">
        <f t="shared" si="273"/>
        <v/>
      </c>
      <c r="AQ1036" s="64">
        <f t="shared" si="264"/>
        <v>2504</v>
      </c>
      <c r="AR1036" t="s">
        <v>5931</v>
      </c>
      <c r="AS1036" s="12">
        <f t="shared" si="265"/>
        <v>0</v>
      </c>
      <c r="AT1036" t="s">
        <v>4388</v>
      </c>
    </row>
    <row r="1037" spans="1:46" hidden="1" x14ac:dyDescent="0.25">
      <c r="A1037" s="41">
        <f>CASOPOInvCL!T1037</f>
        <v>1</v>
      </c>
      <c r="B1037" t="str">
        <f>CASOPOInvCL!Z1037</f>
        <v>SO17964</v>
      </c>
      <c r="G1037" s="5" t="str">
        <f>CASOPOInvCL!I1037</f>
        <v>Wilka Nuñez</v>
      </c>
      <c r="H1037" s="31">
        <f>CASOPOInvCL!U1037</f>
        <v>10</v>
      </c>
      <c r="I1037" s="31">
        <f>CASOPOInvCL!V1037</f>
        <v>2025</v>
      </c>
      <c r="J1037" s="5" t="str">
        <f>CASOPOInvCL!AB1037</f>
        <v>INV13501</v>
      </c>
      <c r="K1037" s="31">
        <f>CASOPOInvCL!W1037</f>
        <v>12</v>
      </c>
      <c r="L1037" s="31">
        <f>CASOPOInvCL!X1037</f>
        <v>2025</v>
      </c>
      <c r="M1037" t="s">
        <v>5945</v>
      </c>
      <c r="N1037" s="5" t="str">
        <f>CASOPOInvCL!AF1037</f>
        <v>Grant Aggregate</v>
      </c>
      <c r="O1037" s="16" t="str">
        <f>CASOPOInvCL!AG1037</f>
        <v>CAD</v>
      </c>
      <c r="P1037" s="16">
        <f>CASOPOInvCL!AH1037</f>
        <v>304.68</v>
      </c>
      <c r="Q1037" s="16">
        <f>CASOPOInvCL!AI1037</f>
        <v>218.45059994559344</v>
      </c>
      <c r="R1037" s="32" t="str">
        <f>CASOPOInvCL!AU1037</f>
        <v>Yes</v>
      </c>
      <c r="S1037" s="16">
        <f>CASOPOInvCL!AV1037</f>
        <v>0</v>
      </c>
      <c r="T1037" s="16">
        <f>CASOPOInvCL!AW1037</f>
        <v>218.45059994559344</v>
      </c>
      <c r="Y1037" s="29" t="str">
        <f>IFERROR(HLOOKUP(U1037,List!$D$2:$H$6,2,FALSE),"")</f>
        <v/>
      </c>
      <c r="Z1037" s="29" t="str">
        <f>IFERROR(HLOOKUP(V1037,List!$D$2:$H$6,3,FALSE),"")</f>
        <v/>
      </c>
      <c r="AA1037" s="29" t="str">
        <f>IFERROR(HLOOKUP(W1037,List!$D$2:$H$6,4,FALSE),"")</f>
        <v/>
      </c>
      <c r="AB1037" s="29" t="str">
        <f>IFERROR(HLOOKUP(X1037,List!$D$2:$H$6,5,FALSE),"")</f>
        <v/>
      </c>
      <c r="AC1037" s="12" t="str">
        <f t="shared" si="266"/>
        <v/>
      </c>
      <c r="AD1037" s="12" t="str">
        <f t="shared" si="267"/>
        <v/>
      </c>
      <c r="AE1037" s="12" t="str">
        <f t="shared" si="268"/>
        <v/>
      </c>
      <c r="AF1037" s="12" t="str">
        <f t="shared" si="269"/>
        <v/>
      </c>
      <c r="AG1037" t="str">
        <f>VLOOKUP(J1037,'Receivable Invoice Detail'!$A$1:F4049,6,FALSE)</f>
        <v>[AC-98-236-245-004] Premium Slurry Packing (5 Piece Set), 8x6-18 &amp; 10x8-21 SRL-C, Kevlar Fiber w/Silicon Core</v>
      </c>
      <c r="AM1037" s="12" t="str">
        <f t="shared" si="270"/>
        <v/>
      </c>
      <c r="AN1037" s="12" t="str">
        <f t="shared" si="271"/>
        <v/>
      </c>
      <c r="AO1037" s="12" t="str">
        <f t="shared" si="272"/>
        <v/>
      </c>
      <c r="AP1037" s="12" t="str">
        <f t="shared" si="273"/>
        <v/>
      </c>
      <c r="AQ1037" s="64" t="str">
        <f t="shared" si="264"/>
        <v/>
      </c>
      <c r="AS1037" s="12">
        <f t="shared" si="265"/>
        <v>0</v>
      </c>
      <c r="AT1037" t="s">
        <v>5945</v>
      </c>
    </row>
    <row r="1038" spans="1:46" hidden="1" x14ac:dyDescent="0.25">
      <c r="A1038" s="41">
        <f>CASOPOInvCL!T1038</f>
        <v>0</v>
      </c>
      <c r="B1038" t="str">
        <f>CASOPOInvCL!Z1038</f>
        <v>SO17965</v>
      </c>
      <c r="G1038" s="5" t="str">
        <f>CASOPOInvCL!I1038</f>
        <v>Ian Trottier</v>
      </c>
      <c r="H1038" s="31">
        <f>CASOPOInvCL!U1038</f>
        <v>10</v>
      </c>
      <c r="I1038" s="31">
        <f>CASOPOInvCL!V1038</f>
        <v>2025</v>
      </c>
      <c r="J1038" s="5" t="str">
        <f>CASOPOInvCL!AB1038</f>
        <v>No Inv</v>
      </c>
      <c r="K1038" s="31" t="str">
        <f>CASOPOInvCL!W1038</f>
        <v/>
      </c>
      <c r="L1038" s="31" t="str">
        <f>CASOPOInvCL!X1038</f>
        <v/>
      </c>
      <c r="N1038" s="5" t="str">
        <f>CASOPOInvCL!AF1038</f>
        <v>PT Vale Indonesia Tbk.</v>
      </c>
      <c r="O1038" s="16" t="str">
        <f>CASOPOInvCL!AG1038</f>
        <v>USD</v>
      </c>
      <c r="P1038" s="16">
        <f>CASOPOInvCL!AH1038</f>
        <v>3860.0789007716335</v>
      </c>
      <c r="Q1038" s="16">
        <f>CASOPOInvCL!AI1038</f>
        <v>2804</v>
      </c>
      <c r="R1038" s="32" t="str">
        <f>CASOPOInvCL!AU1038</f>
        <v/>
      </c>
      <c r="S1038" s="16">
        <f>CASOPOInvCL!AV1038</f>
        <v>0</v>
      </c>
      <c r="T1038" s="16">
        <f>CASOPOInvCL!AW1038</f>
        <v>0</v>
      </c>
      <c r="Y1038" s="29" t="str">
        <f>IFERROR(HLOOKUP(U1038,List!$D$2:$H$6,2,FALSE),"")</f>
        <v/>
      </c>
      <c r="Z1038" s="29" t="str">
        <f>IFERROR(HLOOKUP(V1038,List!$D$2:$H$6,3,FALSE),"")</f>
        <v/>
      </c>
      <c r="AA1038" s="29" t="str">
        <f>IFERROR(HLOOKUP(W1038,List!$D$2:$H$6,4,FALSE),"")</f>
        <v/>
      </c>
      <c r="AB1038" s="29" t="str">
        <f>IFERROR(HLOOKUP(X1038,List!$D$2:$H$6,5,FALSE),"")</f>
        <v/>
      </c>
      <c r="AC1038" s="12" t="str">
        <f t="shared" si="266"/>
        <v/>
      </c>
      <c r="AD1038" s="12" t="str">
        <f t="shared" si="267"/>
        <v/>
      </c>
      <c r="AE1038" s="12" t="str">
        <f t="shared" si="268"/>
        <v/>
      </c>
      <c r="AF1038" s="12" t="str">
        <f t="shared" si="269"/>
        <v/>
      </c>
      <c r="AG1038" t="e">
        <f>VLOOKUP(J1038,'Receivable Invoice Detail'!$A$1:F4050,6,FALSE)</f>
        <v>#N/A</v>
      </c>
      <c r="AM1038" s="12" t="str">
        <f t="shared" si="270"/>
        <v/>
      </c>
      <c r="AN1038" s="12" t="str">
        <f t="shared" si="271"/>
        <v/>
      </c>
      <c r="AO1038" s="12" t="str">
        <f t="shared" si="272"/>
        <v/>
      </c>
      <c r="AP1038" s="12" t="str">
        <f t="shared" si="273"/>
        <v/>
      </c>
      <c r="AQ1038" s="64"/>
      <c r="AS1038" s="12">
        <f t="shared" si="265"/>
        <v>0</v>
      </c>
    </row>
    <row r="1039" spans="1:46" hidden="1" x14ac:dyDescent="0.25">
      <c r="A1039" s="41">
        <f>CASOPOInvCL!T1039</f>
        <v>1</v>
      </c>
      <c r="B1039" t="str">
        <f>CASOPOInvCL!Z1039</f>
        <v>SO17966</v>
      </c>
      <c r="D1039" t="s">
        <v>5852</v>
      </c>
      <c r="G1039" s="5" t="str">
        <f>CASOPOInvCL!I1039</f>
        <v>Aleksandar Stankovic</v>
      </c>
      <c r="H1039" s="31">
        <f>CASOPOInvCL!U1039</f>
        <v>10</v>
      </c>
      <c r="I1039" s="31">
        <f>CASOPOInvCL!V1039</f>
        <v>2025</v>
      </c>
      <c r="J1039" s="5" t="str">
        <f>CASOPOInvCL!AB1039</f>
        <v>INV13521</v>
      </c>
      <c r="K1039" s="31">
        <f>CASOPOInvCL!W1039</f>
        <v>11</v>
      </c>
      <c r="L1039" s="31">
        <f>CASOPOInvCL!X1039</f>
        <v>2025</v>
      </c>
      <c r="M1039">
        <v>2504</v>
      </c>
      <c r="N1039" s="5" t="str">
        <f>CASOPOInvCL!AF1039</f>
        <v>Rueck Company Inc.</v>
      </c>
      <c r="O1039" s="16" t="str">
        <f>CASOPOInvCL!AG1039</f>
        <v>USD</v>
      </c>
      <c r="P1039" s="16">
        <f>CASOPOInvCL!AH1039</f>
        <v>21115.71281649607</v>
      </c>
      <c r="Q1039" s="16">
        <f>CASOPOInvCL!AI1039</f>
        <v>15132</v>
      </c>
      <c r="R1039" s="32" t="str">
        <f>CASOPOInvCL!AU1039</f>
        <v>Yes</v>
      </c>
      <c r="S1039" s="16">
        <f>CASOPOInvCL!AV1039</f>
        <v>120</v>
      </c>
      <c r="T1039" s="16">
        <f>CASOPOInvCL!AW1039</f>
        <v>15012</v>
      </c>
      <c r="Y1039" s="29" t="str">
        <f>IFERROR(HLOOKUP(U1039,List!$D$2:$H$6,2,FALSE),"")</f>
        <v/>
      </c>
      <c r="Z1039" s="29" t="str">
        <f>IFERROR(HLOOKUP(V1039,List!$D$2:$H$6,3,FALSE),"")</f>
        <v/>
      </c>
      <c r="AA1039" s="29" t="str">
        <f>IFERROR(HLOOKUP(W1039,List!$D$2:$H$6,4,FALSE),"")</f>
        <v/>
      </c>
      <c r="AB1039" s="29" t="str">
        <f>IFERROR(HLOOKUP(X1039,List!$D$2:$H$6,5,FALSE),"")</f>
        <v/>
      </c>
      <c r="AC1039" s="12" t="str">
        <f t="shared" si="266"/>
        <v/>
      </c>
      <c r="AD1039" s="12" t="str">
        <f t="shared" si="267"/>
        <v/>
      </c>
      <c r="AE1039" s="12" t="str">
        <f t="shared" si="268"/>
        <v/>
      </c>
      <c r="AF1039" s="12" t="str">
        <f t="shared" si="269"/>
        <v/>
      </c>
      <c r="AG1039" t="str">
        <f>VLOOKUP(J1039,'Receivable Invoice Detail'!$A$1:F4051,6,FALSE)</f>
        <v>[AC-98-530-742-501] Impeller (Closed),12x10-25 SRL-C, Natural Rubber</v>
      </c>
      <c r="AM1039" s="12" t="str">
        <f t="shared" si="270"/>
        <v/>
      </c>
      <c r="AN1039" s="12" t="str">
        <f t="shared" si="271"/>
        <v/>
      </c>
      <c r="AO1039" s="12" t="str">
        <f t="shared" si="272"/>
        <v/>
      </c>
      <c r="AP1039" s="12" t="str">
        <f t="shared" si="273"/>
        <v/>
      </c>
      <c r="AQ1039" s="64">
        <f t="shared" si="264"/>
        <v>2504</v>
      </c>
      <c r="AR1039" t="s">
        <v>5931</v>
      </c>
      <c r="AS1039" s="12">
        <f t="shared" si="265"/>
        <v>18.884239382841425</v>
      </c>
      <c r="AT1039" t="s">
        <v>4388</v>
      </c>
    </row>
    <row r="1040" spans="1:46" hidden="1" x14ac:dyDescent="0.25">
      <c r="A1040" s="41">
        <f>CASOPOInvCL!T1040</f>
        <v>1</v>
      </c>
      <c r="B1040" t="str">
        <f>CASOPOInvCL!Z1040</f>
        <v>SO17968</v>
      </c>
      <c r="G1040" s="5" t="str">
        <f>CASOPOInvCL!I1040</f>
        <v>Ian Trottier</v>
      </c>
      <c r="H1040" s="31">
        <f>CASOPOInvCL!U1040</f>
        <v>10</v>
      </c>
      <c r="I1040" s="31">
        <f>CASOPOInvCL!V1040</f>
        <v>2025</v>
      </c>
      <c r="J1040" s="5" t="str">
        <f>CASOPOInvCL!AB1040</f>
        <v>INV13500</v>
      </c>
      <c r="K1040" s="31">
        <f>CASOPOInvCL!W1040</f>
        <v>11</v>
      </c>
      <c r="L1040" s="31">
        <f>CASOPOInvCL!X1040</f>
        <v>2025</v>
      </c>
      <c r="M1040">
        <v>2504</v>
      </c>
      <c r="N1040" s="5" t="str">
        <f>CASOPOInvCL!AF1040</f>
        <v>Sealtrac Inc.</v>
      </c>
      <c r="O1040" s="16" t="str">
        <f>CASOPOInvCL!AG1040</f>
        <v>CAD</v>
      </c>
      <c r="P1040" s="16">
        <f>CASOPOInvCL!AH1040</f>
        <v>1255.08</v>
      </c>
      <c r="Q1040" s="16">
        <f>CASOPOInvCL!AI1040</f>
        <v>899.8719278578028</v>
      </c>
      <c r="R1040" s="32" t="str">
        <f>CASOPOInvCL!AU1040</f>
        <v>Yes</v>
      </c>
      <c r="S1040" s="16">
        <f>CASOPOInvCL!AV1040</f>
        <v>0</v>
      </c>
      <c r="T1040" s="16">
        <f>CASOPOInvCL!AW1040</f>
        <v>899.8719278578028</v>
      </c>
      <c r="Y1040" s="29" t="str">
        <f>IFERROR(HLOOKUP(U1040,List!$D$2:$H$6,2,FALSE),"")</f>
        <v/>
      </c>
      <c r="Z1040" s="29" t="str">
        <f>IFERROR(HLOOKUP(V1040,List!$D$2:$H$6,3,FALSE),"")</f>
        <v/>
      </c>
      <c r="AA1040" s="29" t="str">
        <f>IFERROR(HLOOKUP(W1040,List!$D$2:$H$6,4,FALSE),"")</f>
        <v/>
      </c>
      <c r="AB1040" s="29" t="str">
        <f>IFERROR(HLOOKUP(X1040,List!$D$2:$H$6,5,FALSE),"")</f>
        <v/>
      </c>
      <c r="AC1040" s="12" t="str">
        <f t="shared" si="266"/>
        <v/>
      </c>
      <c r="AD1040" s="12" t="str">
        <f t="shared" si="267"/>
        <v/>
      </c>
      <c r="AE1040" s="12" t="str">
        <f t="shared" si="268"/>
        <v/>
      </c>
      <c r="AF1040" s="12" t="str">
        <f t="shared" si="269"/>
        <v/>
      </c>
      <c r="AG1040" t="str">
        <f>VLOOKUP(J1040,'Receivable Invoice Detail'!$A$1:F4052,6,FALSE)</f>
        <v>[G-73705X 2229] Shaft Sleeve, 3196 MTX, 316SS</v>
      </c>
      <c r="AM1040" s="12" t="str">
        <f t="shared" si="270"/>
        <v/>
      </c>
      <c r="AN1040" s="12" t="str">
        <f t="shared" si="271"/>
        <v/>
      </c>
      <c r="AO1040" s="12" t="str">
        <f t="shared" si="272"/>
        <v/>
      </c>
      <c r="AP1040" s="12" t="str">
        <f t="shared" si="273"/>
        <v/>
      </c>
      <c r="AQ1040" s="64">
        <f t="shared" si="264"/>
        <v>2504</v>
      </c>
      <c r="AS1040" s="12">
        <f t="shared" si="265"/>
        <v>0</v>
      </c>
      <c r="AT1040" t="s">
        <v>4388</v>
      </c>
    </row>
    <row r="1041" spans="1:46" hidden="1" x14ac:dyDescent="0.25">
      <c r="A1041" s="41">
        <f>CASOPOInvCL!T1041</f>
        <v>1</v>
      </c>
      <c r="B1041" t="str">
        <f>CASOPOInvCL!Z1041</f>
        <v>SO17969</v>
      </c>
      <c r="G1041" s="5" t="str">
        <f>CASOPOInvCL!I1041</f>
        <v>Alexis Gil Lamadrid</v>
      </c>
      <c r="H1041" s="31">
        <f>CASOPOInvCL!U1041</f>
        <v>10</v>
      </c>
      <c r="I1041" s="31">
        <f>CASOPOInvCL!V1041</f>
        <v>2025</v>
      </c>
      <c r="J1041" s="5" t="str">
        <f>CASOPOInvCL!AB1041</f>
        <v>INV13578</v>
      </c>
      <c r="K1041" s="31">
        <f>CASOPOInvCL!W1041</f>
        <v>12</v>
      </c>
      <c r="L1041" s="31">
        <f>CASOPOInvCL!X1041</f>
        <v>2025</v>
      </c>
      <c r="M1041" t="s">
        <v>5945</v>
      </c>
      <c r="N1041" s="5" t="str">
        <f>CASOPOInvCL!AF1041</f>
        <v>Resolute Forest Products - Clermont</v>
      </c>
      <c r="O1041" s="16" t="str">
        <f>CASOPOInvCL!AG1041</f>
        <v>CAD</v>
      </c>
      <c r="P1041" s="16">
        <f>CASOPOInvCL!AH1041</f>
        <v>765.02</v>
      </c>
      <c r="Q1041" s="16">
        <f>CASOPOInvCL!AI1041</f>
        <v>548.50688581586553</v>
      </c>
      <c r="R1041" s="32" t="str">
        <f>CASOPOInvCL!AU1041</f>
        <v>Yes</v>
      </c>
      <c r="S1041" s="16">
        <f>CASOPOInvCL!AV1041</f>
        <v>0</v>
      </c>
      <c r="T1041" s="16">
        <f>CASOPOInvCL!AW1041</f>
        <v>548.50688581586553</v>
      </c>
      <c r="Y1041" s="29" t="str">
        <f>IFERROR(HLOOKUP(U1041,List!$D$2:$H$6,2,FALSE),"")</f>
        <v/>
      </c>
      <c r="Z1041" s="29" t="str">
        <f>IFERROR(HLOOKUP(V1041,List!$D$2:$H$6,3,FALSE),"")</f>
        <v/>
      </c>
      <c r="AA1041" s="29" t="str">
        <f>IFERROR(HLOOKUP(W1041,List!$D$2:$H$6,4,FALSE),"")</f>
        <v/>
      </c>
      <c r="AB1041" s="29" t="str">
        <f>IFERROR(HLOOKUP(X1041,List!$D$2:$H$6,5,FALSE),"")</f>
        <v/>
      </c>
      <c r="AC1041" s="12" t="str">
        <f t="shared" si="266"/>
        <v/>
      </c>
      <c r="AD1041" s="12" t="str">
        <f t="shared" si="267"/>
        <v/>
      </c>
      <c r="AE1041" s="12" t="str">
        <f t="shared" si="268"/>
        <v/>
      </c>
      <c r="AF1041" s="12" t="str">
        <f t="shared" si="269"/>
        <v/>
      </c>
      <c r="AG1041" t="str">
        <f>VLOOKUP(J1041,'Receivable Invoice Detail'!$A$1:F4053,6,FALSE)</f>
        <v>[G-B00294A 6956] Shaft Sleeve, 3175-S, 316SS, Ni-Chrome Boron</v>
      </c>
      <c r="AM1041" s="12" t="str">
        <f t="shared" si="270"/>
        <v/>
      </c>
      <c r="AN1041" s="12" t="str">
        <f t="shared" si="271"/>
        <v/>
      </c>
      <c r="AO1041" s="12" t="str">
        <f t="shared" si="272"/>
        <v/>
      </c>
      <c r="AP1041" s="12" t="str">
        <f t="shared" si="273"/>
        <v/>
      </c>
      <c r="AQ1041" s="64" t="str">
        <f t="shared" si="264"/>
        <v/>
      </c>
      <c r="AS1041" s="12">
        <f t="shared" si="265"/>
        <v>0</v>
      </c>
      <c r="AT1041" t="s">
        <v>5945</v>
      </c>
    </row>
    <row r="1042" spans="1:46" hidden="1" x14ac:dyDescent="0.25">
      <c r="A1042" s="41">
        <f>CASOPOInvCL!T1042</f>
        <v>1</v>
      </c>
      <c r="B1042" t="str">
        <f>CASOPOInvCL!Z1042</f>
        <v>SO17978</v>
      </c>
      <c r="D1042" t="s">
        <v>5915</v>
      </c>
      <c r="G1042" s="5" t="str">
        <f>CASOPOInvCL!I1042</f>
        <v>Wilka Nuñez</v>
      </c>
      <c r="H1042" s="31">
        <f>CASOPOInvCL!U1042</f>
        <v>10</v>
      </c>
      <c r="I1042" s="31">
        <f>CASOPOInvCL!V1042</f>
        <v>2025</v>
      </c>
      <c r="J1042" s="5" t="str">
        <f>CASOPOInvCL!AB1042</f>
        <v>INV13514</v>
      </c>
      <c r="K1042" s="31">
        <f>CASOPOInvCL!W1042</f>
        <v>11</v>
      </c>
      <c r="L1042" s="31">
        <f>CASOPOInvCL!X1042</f>
        <v>2025</v>
      </c>
      <c r="M1042">
        <v>2504</v>
      </c>
      <c r="N1042" s="5" t="str">
        <f>CASOPOInvCL!AF1042</f>
        <v>Sealtrac Inc.</v>
      </c>
      <c r="O1042" s="16" t="str">
        <f>CASOPOInvCL!AG1042</f>
        <v>CAD</v>
      </c>
      <c r="P1042" s="16">
        <f>CASOPOInvCL!AH1042</f>
        <v>210</v>
      </c>
      <c r="Q1042" s="16">
        <f>CASOPOInvCL!AI1042</f>
        <v>150.49077564255811</v>
      </c>
      <c r="R1042" s="32" t="str">
        <f>CASOPOInvCL!AU1042</f>
        <v>Yes</v>
      </c>
      <c r="S1042" s="16">
        <f>CASOPOInvCL!AV1042</f>
        <v>0</v>
      </c>
      <c r="T1042" s="16">
        <f>CASOPOInvCL!AW1042</f>
        <v>150.49077564255811</v>
      </c>
      <c r="V1042" t="s">
        <v>5800</v>
      </c>
      <c r="Y1042" s="29" t="str">
        <f>IFERROR(HLOOKUP(U1042,List!$D$2:$H$6,2,FALSE),"")</f>
        <v/>
      </c>
      <c r="Z1042" s="29">
        <f>IFERROR(HLOOKUP(V1042,List!$D$2:$H$6,3,FALSE),"")</f>
        <v>5.0000000000000001E-3</v>
      </c>
      <c r="AA1042" s="29" t="str">
        <f>IFERROR(HLOOKUP(W1042,List!$D$2:$H$6,4,FALSE),"")</f>
        <v/>
      </c>
      <c r="AB1042" s="29" t="str">
        <f>IFERROR(HLOOKUP(X1042,List!$D$2:$H$6,5,FALSE),"")</f>
        <v/>
      </c>
      <c r="AC1042" s="12" t="str">
        <f t="shared" si="266"/>
        <v/>
      </c>
      <c r="AD1042" s="12">
        <f t="shared" si="267"/>
        <v>0.75245387821279053</v>
      </c>
      <c r="AE1042" s="12" t="str">
        <f t="shared" si="268"/>
        <v/>
      </c>
      <c r="AF1042" s="12" t="str">
        <f t="shared" si="269"/>
        <v/>
      </c>
      <c r="AG1042" t="str">
        <f>VLOOKUP(J1042,'Receivable Invoice Detail'!$A$1:F4054,6,FALSE)</f>
        <v>[G-70782 81 5117] Casing Gasket, 6", 3196 STX, Teflon</v>
      </c>
      <c r="AM1042" s="12" t="str">
        <f t="shared" si="270"/>
        <v/>
      </c>
      <c r="AN1042" s="12">
        <f t="shared" si="271"/>
        <v>0.75245387821279053</v>
      </c>
      <c r="AO1042" s="12" t="str">
        <f t="shared" si="272"/>
        <v/>
      </c>
      <c r="AP1042" s="12" t="str">
        <f t="shared" si="273"/>
        <v/>
      </c>
      <c r="AQ1042" s="64">
        <f t="shared" si="264"/>
        <v>2504</v>
      </c>
      <c r="AR1042" t="s">
        <v>5931</v>
      </c>
      <c r="AS1042" s="12">
        <f t="shared" si="265"/>
        <v>7.1153555110643065</v>
      </c>
      <c r="AT1042" t="s">
        <v>4388</v>
      </c>
    </row>
    <row r="1043" spans="1:46" hidden="1" x14ac:dyDescent="0.25">
      <c r="A1043" s="41">
        <f>CASOPOInvCL!T1043</f>
        <v>1</v>
      </c>
      <c r="B1043" t="str">
        <f>CASOPOInvCL!Z1043</f>
        <v>SO17980</v>
      </c>
      <c r="G1043" s="5" t="str">
        <f>CASOPOInvCL!I1043</f>
        <v>Wilka Nuñez</v>
      </c>
      <c r="H1043" s="31">
        <f>CASOPOInvCL!U1043</f>
        <v>10</v>
      </c>
      <c r="I1043" s="31">
        <f>CASOPOInvCL!V1043</f>
        <v>2025</v>
      </c>
      <c r="J1043" s="5" t="str">
        <f>CASOPOInvCL!AB1043</f>
        <v>INV13504</v>
      </c>
      <c r="K1043" s="31" t="str">
        <f>CASOPOInvCL!W1043</f>
        <v/>
      </c>
      <c r="L1043" s="31" t="str">
        <f>CASOPOInvCL!X1043</f>
        <v/>
      </c>
      <c r="M1043" t="s">
        <v>5945</v>
      </c>
      <c r="N1043" s="5" t="str">
        <f>CASOPOInvCL!AF1043</f>
        <v>Glencore Canada Corporation - Rouyn-Noranda</v>
      </c>
      <c r="O1043" s="16" t="str">
        <f>CASOPOInvCL!AG1043</f>
        <v>CAD</v>
      </c>
      <c r="P1043" s="16">
        <f>CASOPOInvCL!AH1043</f>
        <v>1769.12</v>
      </c>
      <c r="Q1043" s="16">
        <f>CASOPOInvCL!AI1043</f>
        <v>1268.3965226433011</v>
      </c>
      <c r="R1043" s="32" t="str">
        <f>CASOPOInvCL!AU1043</f>
        <v/>
      </c>
      <c r="S1043" s="16">
        <f>CASOPOInvCL!AV1043</f>
        <v>0</v>
      </c>
      <c r="T1043" s="16">
        <f>CASOPOInvCL!AW1043</f>
        <v>0</v>
      </c>
      <c r="Y1043" s="29" t="str">
        <f>IFERROR(HLOOKUP(U1043,List!$D$2:$H$6,2,FALSE),"")</f>
        <v/>
      </c>
      <c r="Z1043" s="29" t="str">
        <f>IFERROR(HLOOKUP(V1043,List!$D$2:$H$6,3,FALSE),"")</f>
        <v/>
      </c>
      <c r="AA1043" s="29" t="str">
        <f>IFERROR(HLOOKUP(W1043,List!$D$2:$H$6,4,FALSE),"")</f>
        <v/>
      </c>
      <c r="AB1043" s="29" t="str">
        <f>IFERROR(HLOOKUP(X1043,List!$D$2:$H$6,5,FALSE),"")</f>
        <v/>
      </c>
      <c r="AC1043" s="12" t="str">
        <f t="shared" si="266"/>
        <v/>
      </c>
      <c r="AD1043" s="12" t="str">
        <f t="shared" si="267"/>
        <v/>
      </c>
      <c r="AE1043" s="12" t="str">
        <f t="shared" si="268"/>
        <v/>
      </c>
      <c r="AF1043" s="12" t="str">
        <f t="shared" si="269"/>
        <v/>
      </c>
      <c r="AG1043" t="str">
        <f>VLOOKUP(J1043,'Receivable Invoice Detail'!$A$1:F4055,6,FALSE)</f>
        <v>[AC-98-236-256-501] Gland Assembly, 5x4-14 SRL-C, 316SS</v>
      </c>
      <c r="AM1043" s="12" t="str">
        <f t="shared" si="270"/>
        <v/>
      </c>
      <c r="AN1043" s="12" t="str">
        <f t="shared" si="271"/>
        <v/>
      </c>
      <c r="AO1043" s="12" t="str">
        <f t="shared" si="272"/>
        <v/>
      </c>
      <c r="AP1043" s="12" t="str">
        <f t="shared" si="273"/>
        <v/>
      </c>
      <c r="AQ1043" s="64" t="str">
        <f t="shared" si="264"/>
        <v/>
      </c>
      <c r="AS1043" s="12">
        <f t="shared" si="265"/>
        <v>4.0042387552537004</v>
      </c>
      <c r="AT1043" t="s">
        <v>5945</v>
      </c>
    </row>
    <row r="1044" spans="1:46" hidden="1" x14ac:dyDescent="0.25">
      <c r="A1044" s="41">
        <f>CASOPOInvCL!T1044</f>
        <v>1</v>
      </c>
      <c r="B1044" t="str">
        <f>CASOPOInvCL!Z1044</f>
        <v>SO17981</v>
      </c>
      <c r="G1044" s="5" t="str">
        <f>CASOPOInvCL!I1044</f>
        <v>Ian Trottier</v>
      </c>
      <c r="H1044" s="31">
        <f>CASOPOInvCL!U1044</f>
        <v>10</v>
      </c>
      <c r="I1044" s="31">
        <f>CASOPOInvCL!V1044</f>
        <v>2025</v>
      </c>
      <c r="J1044" s="5" t="str">
        <f>CASOPOInvCL!AB1044</f>
        <v>INV13483</v>
      </c>
      <c r="K1044" s="31" t="str">
        <f>CASOPOInvCL!W1044</f>
        <v/>
      </c>
      <c r="L1044" s="31" t="str">
        <f>CASOPOInvCL!X1044</f>
        <v/>
      </c>
      <c r="M1044" t="s">
        <v>5945</v>
      </c>
      <c r="N1044" s="5" t="str">
        <f>CASOPOInvCL!AF1044</f>
        <v>PT Vale Indonesia Tbk.</v>
      </c>
      <c r="O1044" s="16" t="str">
        <f>CASOPOInvCL!AG1044</f>
        <v>USD</v>
      </c>
      <c r="P1044" s="16">
        <f>CASOPOInvCL!AH1044</f>
        <v>1367.363665447815</v>
      </c>
      <c r="Q1044" s="16">
        <f>CASOPOInvCL!AI1044</f>
        <v>979.3</v>
      </c>
      <c r="R1044" s="32" t="str">
        <f>CASOPOInvCL!AU1044</f>
        <v/>
      </c>
      <c r="S1044" s="16">
        <f>CASOPOInvCL!AV1044</f>
        <v>0</v>
      </c>
      <c r="T1044" s="16">
        <f>CASOPOInvCL!AW1044</f>
        <v>0</v>
      </c>
      <c r="Y1044" s="29" t="str">
        <f>IFERROR(HLOOKUP(U1044,List!$D$2:$H$6,2,FALSE),"")</f>
        <v/>
      </c>
      <c r="Z1044" s="29" t="str">
        <f>IFERROR(HLOOKUP(V1044,List!$D$2:$H$6,3,FALSE),"")</f>
        <v/>
      </c>
      <c r="AA1044" s="29" t="str">
        <f>IFERROR(HLOOKUP(W1044,List!$D$2:$H$6,4,FALSE),"")</f>
        <v/>
      </c>
      <c r="AB1044" s="29" t="str">
        <f>IFERROR(HLOOKUP(X1044,List!$D$2:$H$6,5,FALSE),"")</f>
        <v/>
      </c>
      <c r="AC1044" s="12" t="str">
        <f t="shared" si="266"/>
        <v/>
      </c>
      <c r="AD1044" s="12" t="str">
        <f t="shared" si="267"/>
        <v/>
      </c>
      <c r="AE1044" s="12" t="str">
        <f t="shared" si="268"/>
        <v/>
      </c>
      <c r="AF1044" s="12" t="str">
        <f t="shared" si="269"/>
        <v/>
      </c>
      <c r="AG1044" t="str">
        <f>VLOOKUP(J1044,'Receivable Invoice Detail'!$A$1:F4056,6,FALSE)</f>
        <v>[G-67868-205-206 5108] Gasket Material, Garlock 3000, 1/64" Thick, 24" x 36"</v>
      </c>
      <c r="AM1044" s="12" t="str">
        <f t="shared" si="270"/>
        <v/>
      </c>
      <c r="AN1044" s="12" t="str">
        <f t="shared" si="271"/>
        <v/>
      </c>
      <c r="AO1044" s="12" t="str">
        <f t="shared" si="272"/>
        <v/>
      </c>
      <c r="AP1044" s="12" t="str">
        <f t="shared" si="273"/>
        <v/>
      </c>
      <c r="AQ1044" s="64" t="str">
        <f t="shared" si="264"/>
        <v/>
      </c>
      <c r="AS1044" s="12">
        <f t="shared" si="265"/>
        <v>3.2767589991839015</v>
      </c>
      <c r="AT1044" t="s">
        <v>5945</v>
      </c>
    </row>
    <row r="1045" spans="1:46" hidden="1" x14ac:dyDescent="0.25">
      <c r="A1045" s="41">
        <f>CASOPOInvCL!T1045</f>
        <v>1</v>
      </c>
      <c r="B1045" t="str">
        <f>CASOPOInvCL!Z1045</f>
        <v>SO17982</v>
      </c>
      <c r="D1045" t="s">
        <v>5852</v>
      </c>
      <c r="G1045" s="5" t="str">
        <f>CASOPOInvCL!I1045</f>
        <v>Aleksandar Stankovic</v>
      </c>
      <c r="H1045" s="31">
        <f>CASOPOInvCL!U1045</f>
        <v>10</v>
      </c>
      <c r="I1045" s="31">
        <f>CASOPOInvCL!V1045</f>
        <v>2025</v>
      </c>
      <c r="J1045" s="5" t="str">
        <f>CASOPOInvCL!AB1045</f>
        <v>INV13522</v>
      </c>
      <c r="K1045" s="31">
        <f>CASOPOInvCL!W1045</f>
        <v>11</v>
      </c>
      <c r="L1045" s="31">
        <f>CASOPOInvCL!X1045</f>
        <v>2025</v>
      </c>
      <c r="M1045">
        <v>2504</v>
      </c>
      <c r="N1045" s="5" t="str">
        <f>CASOPOInvCL!AF1045</f>
        <v>Sling-Choker Manufacturing - Timmins</v>
      </c>
      <c r="O1045" s="16" t="str">
        <f>CASOPOInvCL!AG1045</f>
        <v>CAD</v>
      </c>
      <c r="P1045" s="16">
        <f>CASOPOInvCL!AH1045</f>
        <v>2402.65</v>
      </c>
      <c r="Q1045" s="16">
        <f>CASOPOInvCL!AI1045</f>
        <v>1718.41979557274</v>
      </c>
      <c r="R1045" s="32" t="str">
        <f>CASOPOInvCL!AU1045</f>
        <v>Yes</v>
      </c>
      <c r="S1045" s="16">
        <f>CASOPOInvCL!AV1045</f>
        <v>0</v>
      </c>
      <c r="T1045" s="16">
        <f>CASOPOInvCL!AW1045</f>
        <v>1718.41979557274</v>
      </c>
      <c r="Y1045" s="29" t="str">
        <f>IFERROR(HLOOKUP(U1045,List!$D$2:$H$6,2,FALSE),"")</f>
        <v/>
      </c>
      <c r="Z1045" s="29" t="str">
        <f>IFERROR(HLOOKUP(V1045,List!$D$2:$H$6,3,FALSE),"")</f>
        <v/>
      </c>
      <c r="AA1045" s="29" t="str">
        <f>IFERROR(HLOOKUP(W1045,List!$D$2:$H$6,4,FALSE),"")</f>
        <v/>
      </c>
      <c r="AB1045" s="29" t="str">
        <f>IFERROR(HLOOKUP(X1045,List!$D$2:$H$6,5,FALSE),"")</f>
        <v/>
      </c>
      <c r="AC1045" s="12" t="str">
        <f t="shared" si="266"/>
        <v/>
      </c>
      <c r="AD1045" s="12" t="str">
        <f t="shared" si="267"/>
        <v/>
      </c>
      <c r="AE1045" s="12" t="str">
        <f t="shared" si="268"/>
        <v/>
      </c>
      <c r="AF1045" s="12" t="str">
        <f t="shared" si="269"/>
        <v/>
      </c>
      <c r="AG1045" t="str">
        <f>VLOOKUP(J1045,'Receivable Invoice Detail'!$A$1:F4057,6,FALSE)</f>
        <v>[AC-98-231-116-501] Gland Side Liner, 5x4-14 SRL-C, Natural Rubber</v>
      </c>
      <c r="AM1045" s="12" t="str">
        <f t="shared" si="270"/>
        <v/>
      </c>
      <c r="AN1045" s="12" t="str">
        <f t="shared" si="271"/>
        <v/>
      </c>
      <c r="AO1045" s="12" t="str">
        <f t="shared" si="272"/>
        <v/>
      </c>
      <c r="AP1045" s="12" t="str">
        <f t="shared" si="273"/>
        <v/>
      </c>
      <c r="AQ1045" s="64">
        <f t="shared" si="264"/>
        <v>2504</v>
      </c>
      <c r="AR1045" t="s">
        <v>5931</v>
      </c>
      <c r="AS1045" s="12">
        <f t="shared" si="265"/>
        <v>0</v>
      </c>
      <c r="AT1045" t="s">
        <v>4388</v>
      </c>
    </row>
    <row r="1046" spans="1:46" hidden="1" x14ac:dyDescent="0.25">
      <c r="A1046" s="41">
        <f>CASOPOInvCL!T1046</f>
        <v>1</v>
      </c>
      <c r="B1046" t="str">
        <f>CASOPOInvCL!Z1046</f>
        <v>SO17983</v>
      </c>
      <c r="G1046" s="5" t="str">
        <f>CASOPOInvCL!I1046</f>
        <v>Ian Trottier</v>
      </c>
      <c r="H1046" s="31">
        <f>CASOPOInvCL!U1046</f>
        <v>10</v>
      </c>
      <c r="I1046" s="31">
        <f>CASOPOInvCL!V1046</f>
        <v>2025</v>
      </c>
      <c r="J1046" s="5" t="str">
        <f>CASOPOInvCL!AB1046</f>
        <v>INV13596</v>
      </c>
      <c r="K1046" s="31" t="str">
        <f>CASOPOInvCL!W1046</f>
        <v/>
      </c>
      <c r="L1046" s="31" t="str">
        <f>CASOPOInvCL!X1046</f>
        <v/>
      </c>
      <c r="M1046" t="s">
        <v>5945</v>
      </c>
      <c r="N1046" s="5" t="str">
        <f>CASOPOInvCL!AF1046</f>
        <v>PT Vale Indonesia Tbk.</v>
      </c>
      <c r="O1046" s="16" t="str">
        <f>CASOPOInvCL!AG1046</f>
        <v>USD</v>
      </c>
      <c r="P1046" s="16">
        <f>CASOPOInvCL!AH1046</f>
        <v>1020.5729847705212</v>
      </c>
      <c r="Q1046" s="16">
        <f>CASOPOInvCL!AI1046</f>
        <v>730.93</v>
      </c>
      <c r="R1046" s="32" t="str">
        <f>CASOPOInvCL!AU1046</f>
        <v/>
      </c>
      <c r="S1046" s="16">
        <f>CASOPOInvCL!AV1046</f>
        <v>0</v>
      </c>
      <c r="T1046" s="16">
        <f>CASOPOInvCL!AW1046</f>
        <v>0</v>
      </c>
      <c r="Y1046" s="29" t="str">
        <f>IFERROR(HLOOKUP(U1046,List!$D$2:$H$6,2,FALSE),"")</f>
        <v/>
      </c>
      <c r="Z1046" s="29" t="str">
        <f>IFERROR(HLOOKUP(V1046,List!$D$2:$H$6,3,FALSE),"")</f>
        <v/>
      </c>
      <c r="AA1046" s="29" t="str">
        <f>IFERROR(HLOOKUP(W1046,List!$D$2:$H$6,4,FALSE),"")</f>
        <v/>
      </c>
      <c r="AB1046" s="29" t="str">
        <f>IFERROR(HLOOKUP(X1046,List!$D$2:$H$6,5,FALSE),"")</f>
        <v/>
      </c>
      <c r="AC1046" s="12" t="str">
        <f t="shared" si="266"/>
        <v/>
      </c>
      <c r="AD1046" s="12" t="str">
        <f t="shared" si="267"/>
        <v/>
      </c>
      <c r="AE1046" s="12" t="str">
        <f t="shared" si="268"/>
        <v/>
      </c>
      <c r="AF1046" s="12" t="str">
        <f t="shared" si="269"/>
        <v/>
      </c>
      <c r="AG1046" t="str">
        <f>VLOOKUP(J1046,'Receivable Invoice Detail'!$A$1:F4058,6,FALSE)</f>
        <v>[G-71224-1001] Casing Wear Ring 3405-M, 4x6-17G, Cast Iron</v>
      </c>
      <c r="AM1046" s="12" t="str">
        <f t="shared" si="270"/>
        <v/>
      </c>
      <c r="AN1046" s="12" t="str">
        <f t="shared" si="271"/>
        <v/>
      </c>
      <c r="AO1046" s="12" t="str">
        <f t="shared" si="272"/>
        <v/>
      </c>
      <c r="AP1046" s="12" t="str">
        <f t="shared" si="273"/>
        <v/>
      </c>
      <c r="AQ1046" s="64" t="str">
        <f t="shared" si="264"/>
        <v/>
      </c>
      <c r="AS1046" s="12">
        <f t="shared" si="265"/>
        <v>225.17999999999998</v>
      </c>
      <c r="AT1046" t="s">
        <v>5945</v>
      </c>
    </row>
    <row r="1047" spans="1:46" hidden="1" x14ac:dyDescent="0.25">
      <c r="A1047" s="41">
        <f>CASOPOInvCL!T1047</f>
        <v>1</v>
      </c>
      <c r="B1047" t="str">
        <f>CASOPOInvCL!Z1047</f>
        <v>SO17985</v>
      </c>
      <c r="G1047" s="5" t="str">
        <f>CASOPOInvCL!I1047</f>
        <v>Wilka Nuñez</v>
      </c>
      <c r="H1047" s="31">
        <f>CASOPOInvCL!U1047</f>
        <v>10</v>
      </c>
      <c r="I1047" s="31">
        <f>CASOPOInvCL!V1047</f>
        <v>2025</v>
      </c>
      <c r="J1047" s="5" t="str">
        <f>CASOPOInvCL!AB1047</f>
        <v>INV13582</v>
      </c>
      <c r="K1047" s="31">
        <f>CASOPOInvCL!W1047</f>
        <v>12</v>
      </c>
      <c r="L1047" s="31">
        <f>CASOPOInvCL!X1047</f>
        <v>2025</v>
      </c>
      <c r="M1047" t="s">
        <v>5945</v>
      </c>
      <c r="N1047" s="5" t="str">
        <f>CASOPOInvCL!AF1047</f>
        <v>Wajax Limited - Noranda</v>
      </c>
      <c r="O1047" s="16" t="str">
        <f>CASOPOInvCL!AG1047</f>
        <v>CAD</v>
      </c>
      <c r="P1047" s="16">
        <f>CASOPOInvCL!AH1047</f>
        <v>164.89</v>
      </c>
      <c r="Q1047" s="16">
        <f>CASOPOInvCL!AI1047</f>
        <v>117.38226322251366</v>
      </c>
      <c r="R1047" s="32" t="str">
        <f>CASOPOInvCL!AU1047</f>
        <v>Yes</v>
      </c>
      <c r="S1047" s="16">
        <f>CASOPOInvCL!AV1047</f>
        <v>0</v>
      </c>
      <c r="T1047" s="16">
        <f>CASOPOInvCL!AW1047</f>
        <v>117.38226322251366</v>
      </c>
      <c r="Y1047" s="29" t="str">
        <f>IFERROR(HLOOKUP(U1047,List!$D$2:$H$6,2,FALSE),"")</f>
        <v/>
      </c>
      <c r="Z1047" s="29" t="str">
        <f>IFERROR(HLOOKUP(V1047,List!$D$2:$H$6,3,FALSE),"")</f>
        <v/>
      </c>
      <c r="AA1047" s="29" t="str">
        <f>IFERROR(HLOOKUP(W1047,List!$D$2:$H$6,4,FALSE),"")</f>
        <v/>
      </c>
      <c r="AB1047" s="29" t="str">
        <f>IFERROR(HLOOKUP(X1047,List!$D$2:$H$6,5,FALSE),"")</f>
        <v/>
      </c>
      <c r="AC1047" s="12" t="str">
        <f t="shared" si="266"/>
        <v/>
      </c>
      <c r="AD1047" s="12" t="str">
        <f t="shared" si="267"/>
        <v/>
      </c>
      <c r="AE1047" s="12" t="str">
        <f t="shared" si="268"/>
        <v/>
      </c>
      <c r="AF1047" s="12" t="str">
        <f t="shared" si="269"/>
        <v/>
      </c>
      <c r="AG1047" t="str">
        <f>VLOOKUP(J1047,'Receivable Invoice Detail'!$A$1:F4059,6,FALSE)</f>
        <v>[AC-98-5414-HC7] Suction Side Plate Gasket, 5x4-14 SRL-C, Rubber, 3-Piece Design</v>
      </c>
      <c r="AM1047" s="12" t="str">
        <f t="shared" si="270"/>
        <v/>
      </c>
      <c r="AN1047" s="12" t="str">
        <f t="shared" si="271"/>
        <v/>
      </c>
      <c r="AO1047" s="12" t="str">
        <f t="shared" si="272"/>
        <v/>
      </c>
      <c r="AP1047" s="12" t="str">
        <f t="shared" si="273"/>
        <v/>
      </c>
      <c r="AQ1047" s="64" t="str">
        <f t="shared" si="264"/>
        <v/>
      </c>
      <c r="AS1047" s="12">
        <f t="shared" si="265"/>
        <v>13.498078917867042</v>
      </c>
      <c r="AT1047" t="s">
        <v>5945</v>
      </c>
    </row>
    <row r="1048" spans="1:46" hidden="1" x14ac:dyDescent="0.25">
      <c r="A1048" s="41">
        <f>CASOPOInvCL!T1048</f>
        <v>1</v>
      </c>
      <c r="B1048" t="str">
        <f>CASOPOInvCL!Z1048</f>
        <v>SO17987</v>
      </c>
      <c r="G1048" s="5" t="str">
        <f>CASOPOInvCL!I1048</f>
        <v>Ian Trottier</v>
      </c>
      <c r="H1048" s="31">
        <f>CASOPOInvCL!U1048</f>
        <v>10</v>
      </c>
      <c r="I1048" s="31">
        <f>CASOPOInvCL!V1048</f>
        <v>2025</v>
      </c>
      <c r="J1048" s="5" t="str">
        <f>CASOPOInvCL!AB1048</f>
        <v>INV13510</v>
      </c>
      <c r="K1048" s="31">
        <f>CASOPOInvCL!W1048</f>
        <v>12</v>
      </c>
      <c r="L1048" s="31">
        <f>CASOPOInvCL!X1048</f>
        <v>2025</v>
      </c>
      <c r="M1048" t="s">
        <v>5945</v>
      </c>
      <c r="N1048" s="5" t="str">
        <f>CASOPOInvCL!AF1048</f>
        <v>Grant Aggregate</v>
      </c>
      <c r="O1048" s="16" t="str">
        <f>CASOPOInvCL!AG1048</f>
        <v>CAD</v>
      </c>
      <c r="P1048" s="16">
        <f>CASOPOInvCL!AH1048</f>
        <v>1766.3</v>
      </c>
      <c r="Q1048" s="16">
        <f>CASOPOInvCL!AI1048</f>
        <v>1265.7707477021447</v>
      </c>
      <c r="R1048" s="32" t="str">
        <f>CASOPOInvCL!AU1048</f>
        <v>Yes</v>
      </c>
      <c r="S1048" s="16">
        <f>CASOPOInvCL!AV1048</f>
        <v>0</v>
      </c>
      <c r="T1048" s="16">
        <f>CASOPOInvCL!AW1048</f>
        <v>1265.7707477021447</v>
      </c>
      <c r="Y1048" s="29" t="str">
        <f>IFERROR(HLOOKUP(U1048,List!$D$2:$H$6,2,FALSE),"")</f>
        <v/>
      </c>
      <c r="Z1048" s="29" t="str">
        <f>IFERROR(HLOOKUP(V1048,List!$D$2:$H$6,3,FALSE),"")</f>
        <v/>
      </c>
      <c r="AA1048" s="29" t="str">
        <f>IFERROR(HLOOKUP(W1048,List!$D$2:$H$6,4,FALSE),"")</f>
        <v/>
      </c>
      <c r="AB1048" s="29" t="str">
        <f>IFERROR(HLOOKUP(X1048,List!$D$2:$H$6,5,FALSE),"")</f>
        <v/>
      </c>
      <c r="AC1048" s="12" t="str">
        <f t="shared" si="266"/>
        <v/>
      </c>
      <c r="AD1048" s="12" t="str">
        <f t="shared" si="267"/>
        <v/>
      </c>
      <c r="AE1048" s="12" t="str">
        <f t="shared" si="268"/>
        <v/>
      </c>
      <c r="AF1048" s="12" t="str">
        <f t="shared" si="269"/>
        <v/>
      </c>
      <c r="AG1048" t="str">
        <f>VLOOKUP(J1048,'Receivable Invoice Detail'!$A$1:F4060,6,FALSE)</f>
        <v>[AC-98-234-265-001] Waterseal Bushing, 8x6-18 &amp; 10x8-21 SRL-C, 316SS</v>
      </c>
      <c r="AM1048" s="12" t="str">
        <f t="shared" si="270"/>
        <v/>
      </c>
      <c r="AN1048" s="12" t="str">
        <f t="shared" si="271"/>
        <v/>
      </c>
      <c r="AO1048" s="12" t="str">
        <f t="shared" si="272"/>
        <v/>
      </c>
      <c r="AP1048" s="12" t="str">
        <f t="shared" si="273"/>
        <v/>
      </c>
      <c r="AQ1048" s="64" t="str">
        <f t="shared" si="264"/>
        <v/>
      </c>
      <c r="AS1048" s="12">
        <f t="shared" si="265"/>
        <v>8.227603287237983</v>
      </c>
      <c r="AT1048" t="s">
        <v>5945</v>
      </c>
    </row>
    <row r="1049" spans="1:46" hidden="1" x14ac:dyDescent="0.25">
      <c r="A1049" s="41">
        <f>CASOPOInvCL!T1049</f>
        <v>1</v>
      </c>
      <c r="B1049" t="str">
        <f>CASOPOInvCL!Z1049</f>
        <v>SO17988</v>
      </c>
      <c r="D1049" t="s">
        <v>5851</v>
      </c>
      <c r="G1049" s="5" t="str">
        <f>CASOPOInvCL!I1049</f>
        <v>Alexis Gil Lamadrid</v>
      </c>
      <c r="H1049" s="31">
        <f>CASOPOInvCL!U1049</f>
        <v>10</v>
      </c>
      <c r="I1049" s="31">
        <f>CASOPOInvCL!V1049</f>
        <v>2025</v>
      </c>
      <c r="J1049" s="5" t="str">
        <f>CASOPOInvCL!AB1049</f>
        <v>INV13519</v>
      </c>
      <c r="K1049" s="31">
        <f>CASOPOInvCL!W1049</f>
        <v>11</v>
      </c>
      <c r="L1049" s="31">
        <f>CASOPOInvCL!X1049</f>
        <v>2025</v>
      </c>
      <c r="M1049">
        <v>2504</v>
      </c>
      <c r="N1049" s="5" t="str">
        <f>CASOPOInvCL!AF1049</f>
        <v>Motion Industries Inc. (Canada) - Prince George</v>
      </c>
      <c r="O1049" s="16" t="str">
        <f>CASOPOInvCL!AG1049</f>
        <v>CAD</v>
      </c>
      <c r="P1049" s="16">
        <f>CASOPOInvCL!AH1049</f>
        <v>624.20000000000005</v>
      </c>
      <c r="Q1049" s="16">
        <f>CASOPOInvCL!AI1049</f>
        <v>445.50170986598141</v>
      </c>
      <c r="R1049" s="32" t="str">
        <f>CASOPOInvCL!AU1049</f>
        <v>Yes</v>
      </c>
      <c r="S1049" s="16">
        <f>CASOPOInvCL!AV1049</f>
        <v>0</v>
      </c>
      <c r="T1049" s="16">
        <f>CASOPOInvCL!AW1049</f>
        <v>445.50170986598141</v>
      </c>
      <c r="V1049" t="s">
        <v>5800</v>
      </c>
      <c r="Y1049" s="29" t="str">
        <f>IFERROR(HLOOKUP(U1049,List!$D$2:$H$6,2,FALSE),"")</f>
        <v/>
      </c>
      <c r="Z1049" s="29">
        <f>IFERROR(HLOOKUP(V1049,List!$D$2:$H$6,3,FALSE),"")</f>
        <v>5.0000000000000001E-3</v>
      </c>
      <c r="AA1049" s="29" t="str">
        <f>IFERROR(HLOOKUP(W1049,List!$D$2:$H$6,4,FALSE),"")</f>
        <v/>
      </c>
      <c r="AB1049" s="29" t="str">
        <f>IFERROR(HLOOKUP(X1049,List!$D$2:$H$6,5,FALSE),"")</f>
        <v/>
      </c>
      <c r="AC1049" s="12" t="str">
        <f t="shared" si="266"/>
        <v/>
      </c>
      <c r="AD1049" s="12">
        <f t="shared" si="267"/>
        <v>2.2275085493299072</v>
      </c>
      <c r="AE1049" s="12" t="str">
        <f t="shared" si="268"/>
        <v/>
      </c>
      <c r="AF1049" s="12" t="str">
        <f t="shared" si="269"/>
        <v/>
      </c>
      <c r="AG1049" t="str">
        <f>VLOOKUP(J1049,'Receivable Invoice Detail'!$A$1:F4061,6,FALSE)</f>
        <v>[M48x200MM 8.8GR] Throatbush Set Screw - Pusher, 650 MCR</v>
      </c>
      <c r="AM1049" s="12" t="str">
        <f t="shared" si="270"/>
        <v/>
      </c>
      <c r="AN1049" s="12">
        <f t="shared" si="271"/>
        <v>2.2275085493299072</v>
      </c>
      <c r="AO1049" s="12" t="str">
        <f t="shared" si="272"/>
        <v/>
      </c>
      <c r="AP1049" s="12" t="str">
        <f t="shared" si="273"/>
        <v/>
      </c>
      <c r="AQ1049" s="64">
        <f t="shared" si="264"/>
        <v>2504</v>
      </c>
      <c r="AR1049" t="s">
        <v>5931</v>
      </c>
      <c r="AS1049" s="12">
        <f t="shared" si="265"/>
        <v>2.2573616346383716</v>
      </c>
      <c r="AT1049" t="s">
        <v>4388</v>
      </c>
    </row>
    <row r="1050" spans="1:46" hidden="1" x14ac:dyDescent="0.25">
      <c r="A1050" s="41">
        <f>CASOPOInvCL!T1050</f>
        <v>1</v>
      </c>
      <c r="B1050" t="str">
        <f>CASOPOInvCL!Z1050</f>
        <v>SO17990</v>
      </c>
      <c r="D1050" t="s">
        <v>5915</v>
      </c>
      <c r="G1050" s="5" t="str">
        <f>CASOPOInvCL!I1050</f>
        <v>Wilka Nuñez</v>
      </c>
      <c r="H1050" s="31">
        <f>CASOPOInvCL!U1050</f>
        <v>10</v>
      </c>
      <c r="I1050" s="31">
        <f>CASOPOInvCL!V1050</f>
        <v>2025</v>
      </c>
      <c r="J1050" s="5" t="str">
        <f>CASOPOInvCL!AB1050</f>
        <v>INV13509</v>
      </c>
      <c r="K1050" s="31">
        <f>CASOPOInvCL!W1050</f>
        <v>11</v>
      </c>
      <c r="L1050" s="31">
        <f>CASOPOInvCL!X1050</f>
        <v>2025</v>
      </c>
      <c r="M1050">
        <v>2504</v>
      </c>
      <c r="N1050" s="5" t="str">
        <f>CASOPOInvCL!AF1050</f>
        <v>Alpha Industrial &amp; Mining Supplies Limited</v>
      </c>
      <c r="O1050" s="16" t="str">
        <f>CASOPOInvCL!AG1050</f>
        <v>CAD</v>
      </c>
      <c r="P1050" s="16">
        <f>CASOPOInvCL!AH1050</f>
        <v>3718.3</v>
      </c>
      <c r="Q1050" s="16">
        <f>CASOPOInvCL!AI1050</f>
        <v>2659.3970515381429</v>
      </c>
      <c r="R1050" s="32" t="str">
        <f>CASOPOInvCL!AU1050</f>
        <v>Yes</v>
      </c>
      <c r="S1050" s="16">
        <f>CASOPOInvCL!AV1050</f>
        <v>0</v>
      </c>
      <c r="T1050" s="16">
        <f>CASOPOInvCL!AW1050</f>
        <v>2659.3970515381429</v>
      </c>
      <c r="V1050" t="s">
        <v>5800</v>
      </c>
      <c r="Y1050" s="29" t="str">
        <f>IFERROR(HLOOKUP(U1050,List!$D$2:$H$6,2,FALSE),"")</f>
        <v/>
      </c>
      <c r="Z1050" s="29">
        <f>IFERROR(HLOOKUP(V1050,List!$D$2:$H$6,3,FALSE),"")</f>
        <v>5.0000000000000001E-3</v>
      </c>
      <c r="AA1050" s="29" t="str">
        <f>IFERROR(HLOOKUP(W1050,List!$D$2:$H$6,4,FALSE),"")</f>
        <v/>
      </c>
      <c r="AB1050" s="29" t="str">
        <f>IFERROR(HLOOKUP(X1050,List!$D$2:$H$6,5,FALSE),"")</f>
        <v/>
      </c>
      <c r="AC1050" s="12" t="str">
        <f t="shared" si="266"/>
        <v/>
      </c>
      <c r="AD1050" s="12">
        <f t="shared" si="267"/>
        <v>13.296985257690714</v>
      </c>
      <c r="AE1050" s="12" t="str">
        <f t="shared" si="268"/>
        <v/>
      </c>
      <c r="AF1050" s="12" t="str">
        <f t="shared" si="269"/>
        <v/>
      </c>
      <c r="AG1050" t="str">
        <f>VLOOKUP(J1050,'Receivable Invoice Detail'!$A$1:F4062,6,FALSE)</f>
        <v>[SA-013733-M1] Wear Disc, 44 WFR, Sala STGVA-180, Steel, Rubber Lined</v>
      </c>
      <c r="AM1050" s="12" t="str">
        <f t="shared" si="270"/>
        <v/>
      </c>
      <c r="AN1050" s="12">
        <f t="shared" si="271"/>
        <v>13.296985257690714</v>
      </c>
      <c r="AO1050" s="12" t="str">
        <f t="shared" si="272"/>
        <v/>
      </c>
      <c r="AP1050" s="12" t="str">
        <f t="shared" si="273"/>
        <v/>
      </c>
      <c r="AQ1050" s="64">
        <f t="shared" si="264"/>
        <v>2504</v>
      </c>
      <c r="AR1050" t="s">
        <v>5931</v>
      </c>
      <c r="AS1050" s="12">
        <f t="shared" si="265"/>
        <v>0</v>
      </c>
      <c r="AT1050" t="s">
        <v>4388</v>
      </c>
    </row>
    <row r="1051" spans="1:46" hidden="1" x14ac:dyDescent="0.25">
      <c r="A1051" s="41">
        <f>CASOPOInvCL!T1051</f>
        <v>1</v>
      </c>
      <c r="B1051" t="str">
        <f>CASOPOInvCL!Z1051</f>
        <v>SO17991</v>
      </c>
      <c r="D1051" t="s">
        <v>5851</v>
      </c>
      <c r="G1051" s="5" t="str">
        <f>CASOPOInvCL!I1051</f>
        <v>Alexis Gil Lamadrid</v>
      </c>
      <c r="H1051" s="31">
        <f>CASOPOInvCL!U1051</f>
        <v>10</v>
      </c>
      <c r="I1051" s="31">
        <f>CASOPOInvCL!V1051</f>
        <v>2025</v>
      </c>
      <c r="J1051" s="5" t="str">
        <f>CASOPOInvCL!AB1051</f>
        <v>INV13527</v>
      </c>
      <c r="K1051" s="31">
        <f>CASOPOInvCL!W1051</f>
        <v>11</v>
      </c>
      <c r="L1051" s="31">
        <f>CASOPOInvCL!X1051</f>
        <v>2025</v>
      </c>
      <c r="M1051">
        <v>2504</v>
      </c>
      <c r="N1051" s="5" t="str">
        <f>CASOPOInvCL!AF1051</f>
        <v>FMI Products</v>
      </c>
      <c r="O1051" s="16" t="str">
        <f>CASOPOInvCL!AG1051</f>
        <v>CAD</v>
      </c>
      <c r="P1051" s="16">
        <f>CASOPOInvCL!AH1051</f>
        <v>1810</v>
      </c>
      <c r="Q1051" s="16">
        <f>CASOPOInvCL!AI1051</f>
        <v>1294.5455351327323</v>
      </c>
      <c r="R1051" s="32" t="str">
        <f>CASOPOInvCL!AU1051</f>
        <v>Yes</v>
      </c>
      <c r="S1051" s="16">
        <f>CASOPOInvCL!AV1051</f>
        <v>0</v>
      </c>
      <c r="T1051" s="16">
        <f>CASOPOInvCL!AW1051</f>
        <v>1294.5455351327323</v>
      </c>
      <c r="V1051" t="s">
        <v>5800</v>
      </c>
      <c r="Y1051" s="29" t="str">
        <f>IFERROR(HLOOKUP(U1051,List!$D$2:$H$6,2,FALSE),"")</f>
        <v/>
      </c>
      <c r="Z1051" s="29">
        <f>IFERROR(HLOOKUP(V1051,List!$D$2:$H$6,3,FALSE),"")</f>
        <v>5.0000000000000001E-3</v>
      </c>
      <c r="AA1051" s="29" t="str">
        <f>IFERROR(HLOOKUP(W1051,List!$D$2:$H$6,4,FALSE),"")</f>
        <v/>
      </c>
      <c r="AB1051" s="29" t="str">
        <f>IFERROR(HLOOKUP(X1051,List!$D$2:$H$6,5,FALSE),"")</f>
        <v/>
      </c>
      <c r="AC1051" s="12" t="str">
        <f t="shared" si="266"/>
        <v/>
      </c>
      <c r="AD1051" s="12">
        <f t="shared" si="267"/>
        <v>6.4727276756636618</v>
      </c>
      <c r="AE1051" s="12" t="str">
        <f t="shared" si="268"/>
        <v/>
      </c>
      <c r="AF1051" s="12" t="str">
        <f t="shared" si="269"/>
        <v/>
      </c>
      <c r="AG1051" t="str">
        <f>VLOOKUP(J1051,'Receivable Invoice Detail'!$A$1:F4063,6,FALSE)</f>
        <v>[AC-98-233-404-001] Shaft Sleeve, 10x8-21 SRL-C (Old Style), Steel</v>
      </c>
      <c r="AM1051" s="12" t="str">
        <f t="shared" si="270"/>
        <v/>
      </c>
      <c r="AN1051" s="12">
        <f t="shared" si="271"/>
        <v>6.4727276756636618</v>
      </c>
      <c r="AO1051" s="12" t="str">
        <f t="shared" si="272"/>
        <v/>
      </c>
      <c r="AP1051" s="12" t="str">
        <f t="shared" si="273"/>
        <v/>
      </c>
      <c r="AQ1051" s="64">
        <f t="shared" si="264"/>
        <v>2504</v>
      </c>
      <c r="AR1051" t="s">
        <v>5931</v>
      </c>
      <c r="AS1051" s="12">
        <f t="shared" si="265"/>
        <v>0</v>
      </c>
      <c r="AT1051" t="s">
        <v>4388</v>
      </c>
    </row>
    <row r="1052" spans="1:46" hidden="1" x14ac:dyDescent="0.25">
      <c r="A1052" s="41">
        <f>CASOPOInvCL!T1052</f>
        <v>1</v>
      </c>
      <c r="B1052" t="str">
        <f>CASOPOInvCL!Z1052</f>
        <v>SO17993</v>
      </c>
      <c r="G1052" s="5" t="str">
        <f>CASOPOInvCL!I1052</f>
        <v>Ian Trottier</v>
      </c>
      <c r="H1052" s="31">
        <f>CASOPOInvCL!U1052</f>
        <v>10</v>
      </c>
      <c r="I1052" s="31">
        <f>CASOPOInvCL!V1052</f>
        <v>2025</v>
      </c>
      <c r="J1052" s="5" t="str">
        <f>CASOPOInvCL!AB1052</f>
        <v>INV13612</v>
      </c>
      <c r="K1052" s="31">
        <f>CASOPOInvCL!W1052</f>
        <v>1</v>
      </c>
      <c r="L1052" s="31">
        <f>CASOPOInvCL!X1052</f>
        <v>2026</v>
      </c>
      <c r="M1052" t="s">
        <v>5945</v>
      </c>
      <c r="N1052" s="5" t="str">
        <f>CASOPOInvCL!AF1052</f>
        <v>Resolute Forest Products - Saint-Felicien</v>
      </c>
      <c r="O1052" s="16" t="str">
        <f>CASOPOInvCL!AG1052</f>
        <v>CAD</v>
      </c>
      <c r="P1052" s="16">
        <f>CASOPOInvCL!AH1052</f>
        <v>1264</v>
      </c>
      <c r="Q1052" s="16">
        <f>CASOPOInvCL!AI1052</f>
        <v>904.03621900981966</v>
      </c>
      <c r="R1052" s="32" t="str">
        <f>CASOPOInvCL!AU1052</f>
        <v>Yes</v>
      </c>
      <c r="S1052" s="16">
        <f>CASOPOInvCL!AV1052</f>
        <v>0</v>
      </c>
      <c r="T1052" s="16">
        <f>CASOPOInvCL!AW1052</f>
        <v>904.03621900981966</v>
      </c>
      <c r="Y1052" s="29" t="str">
        <f>IFERROR(HLOOKUP(U1052,List!$D$2:$H$6,2,FALSE),"")</f>
        <v/>
      </c>
      <c r="Z1052" s="29" t="str">
        <f>IFERROR(HLOOKUP(V1052,List!$D$2:$H$6,3,FALSE),"")</f>
        <v/>
      </c>
      <c r="AA1052" s="29" t="str">
        <f>IFERROR(HLOOKUP(W1052,List!$D$2:$H$6,4,FALSE),"")</f>
        <v/>
      </c>
      <c r="AB1052" s="29" t="str">
        <f>IFERROR(HLOOKUP(X1052,List!$D$2:$H$6,5,FALSE),"")</f>
        <v/>
      </c>
      <c r="AC1052" s="12" t="str">
        <f t="shared" si="266"/>
        <v/>
      </c>
      <c r="AD1052" s="12" t="str">
        <f t="shared" si="267"/>
        <v/>
      </c>
      <c r="AE1052" s="12" t="str">
        <f t="shared" si="268"/>
        <v/>
      </c>
      <c r="AF1052" s="12" t="str">
        <f t="shared" si="269"/>
        <v/>
      </c>
      <c r="AG1052" t="str">
        <f>VLOOKUP(J1052,'Receivable Invoice Detail'!$A$1:F4064,6,FALSE)</f>
        <v>[D-TAG2X4] Dynapro Pump Tag, 2" x 4"</v>
      </c>
      <c r="AM1052" s="12" t="str">
        <f t="shared" si="270"/>
        <v/>
      </c>
      <c r="AN1052" s="12" t="str">
        <f t="shared" si="271"/>
        <v/>
      </c>
      <c r="AO1052" s="12" t="str">
        <f t="shared" si="272"/>
        <v/>
      </c>
      <c r="AP1052" s="12" t="str">
        <f t="shared" si="273"/>
        <v/>
      </c>
      <c r="AQ1052" s="64" t="str">
        <f t="shared" si="264"/>
        <v/>
      </c>
      <c r="AS1052" s="12">
        <f t="shared" si="265"/>
        <v>25.776296933591098</v>
      </c>
      <c r="AT1052" t="s">
        <v>5945</v>
      </c>
    </row>
    <row r="1053" spans="1:46" hidden="1" x14ac:dyDescent="0.25">
      <c r="A1053" s="41">
        <f>CASOPOInvCL!T1053</f>
        <v>1</v>
      </c>
      <c r="B1053" t="str">
        <f>CASOPOInvCL!Z1053</f>
        <v>SO17996</v>
      </c>
      <c r="G1053" s="5" t="str">
        <f>CASOPOInvCL!I1053</f>
        <v>Aleksandar Stankovic</v>
      </c>
      <c r="H1053" s="31">
        <f>CASOPOInvCL!U1053</f>
        <v>10</v>
      </c>
      <c r="I1053" s="31">
        <f>CASOPOInvCL!V1053</f>
        <v>2025</v>
      </c>
      <c r="J1053" s="5" t="str">
        <f>CASOPOInvCL!AB1053</f>
        <v>INV13531</v>
      </c>
      <c r="K1053" s="31" t="str">
        <f>CASOPOInvCL!W1053</f>
        <v/>
      </c>
      <c r="L1053" s="31" t="str">
        <f>CASOPOInvCL!X1053</f>
        <v/>
      </c>
      <c r="M1053" t="s">
        <v>5945</v>
      </c>
      <c r="N1053" s="5" t="str">
        <f>CASOPOInvCL!AF1053</f>
        <v>Covia Corp - Junction City</v>
      </c>
      <c r="O1053" s="16" t="str">
        <f>CASOPOInvCL!AG1053</f>
        <v>USD</v>
      </c>
      <c r="P1053" s="16">
        <f>CASOPOInvCL!AH1053</f>
        <v>354.39846576827301</v>
      </c>
      <c r="Q1053" s="16">
        <f>CASOPOInvCL!AI1053</f>
        <v>253.97</v>
      </c>
      <c r="R1053" s="32" t="str">
        <f>CASOPOInvCL!AU1053</f>
        <v/>
      </c>
      <c r="S1053" s="16">
        <f>CASOPOInvCL!AV1053</f>
        <v>32.479999999999997</v>
      </c>
      <c r="T1053" s="16">
        <f>CASOPOInvCL!AW1053</f>
        <v>0</v>
      </c>
      <c r="Y1053" s="29" t="str">
        <f>IFERROR(HLOOKUP(U1053,List!$D$2:$H$6,2,FALSE),"")</f>
        <v/>
      </c>
      <c r="Z1053" s="29" t="str">
        <f>IFERROR(HLOOKUP(V1053,List!$D$2:$H$6,3,FALSE),"")</f>
        <v/>
      </c>
      <c r="AA1053" s="29" t="str">
        <f>IFERROR(HLOOKUP(W1053,List!$D$2:$H$6,4,FALSE),"")</f>
        <v/>
      </c>
      <c r="AB1053" s="29" t="str">
        <f>IFERROR(HLOOKUP(X1053,List!$D$2:$H$6,5,FALSE),"")</f>
        <v/>
      </c>
      <c r="AC1053" s="12" t="str">
        <f t="shared" si="266"/>
        <v/>
      </c>
      <c r="AD1053" s="12" t="str">
        <f t="shared" si="267"/>
        <v/>
      </c>
      <c r="AE1053" s="12" t="str">
        <f t="shared" si="268"/>
        <v/>
      </c>
      <c r="AF1053" s="12" t="str">
        <f t="shared" si="269"/>
        <v/>
      </c>
      <c r="AG1053" t="str">
        <f>VLOOKUP(J1053,'Receivable Invoice Detail'!$A$1:F4065,6,FALSE)</f>
        <v>[W-G10060/S01] Intake Joint Ring, 12/10 F, G or ST-AH, EPDM</v>
      </c>
      <c r="AM1053" s="12" t="str">
        <f t="shared" si="270"/>
        <v/>
      </c>
      <c r="AN1053" s="12" t="str">
        <f t="shared" si="271"/>
        <v/>
      </c>
      <c r="AO1053" s="12" t="str">
        <f t="shared" si="272"/>
        <v/>
      </c>
      <c r="AP1053" s="12" t="str">
        <f t="shared" si="273"/>
        <v/>
      </c>
      <c r="AQ1053" s="64" t="str">
        <f t="shared" si="264"/>
        <v/>
      </c>
      <c r="AR1053" t="s">
        <v>5943</v>
      </c>
      <c r="AS1053" s="12">
        <f t="shared" si="265"/>
        <v>0</v>
      </c>
      <c r="AT1053" t="s">
        <v>5945</v>
      </c>
    </row>
    <row r="1054" spans="1:46" hidden="1" x14ac:dyDescent="0.25">
      <c r="A1054" s="41">
        <f>CASOPOInvCL!T1054</f>
        <v>1</v>
      </c>
      <c r="B1054" t="str">
        <f>CASOPOInvCL!Z1054</f>
        <v>SO17997</v>
      </c>
      <c r="G1054" s="5" t="str">
        <f>CASOPOInvCL!I1054</f>
        <v>Aleksandar Stankovic</v>
      </c>
      <c r="H1054" s="31">
        <f>CASOPOInvCL!U1054</f>
        <v>10</v>
      </c>
      <c r="I1054" s="31">
        <f>CASOPOInvCL!V1054</f>
        <v>2025</v>
      </c>
      <c r="J1054" s="5" t="str">
        <f>CASOPOInvCL!AB1054</f>
        <v>INV13525</v>
      </c>
      <c r="K1054" s="31" t="str">
        <f>CASOPOInvCL!W1054</f>
        <v/>
      </c>
      <c r="L1054" s="31" t="str">
        <f>CASOPOInvCL!X1054</f>
        <v/>
      </c>
      <c r="M1054" t="s">
        <v>5945</v>
      </c>
      <c r="N1054" s="5" t="str">
        <f>CASOPOInvCL!AF1054</f>
        <v>Covia Corp - Guion</v>
      </c>
      <c r="O1054" s="16" t="str">
        <f>CASOPOInvCL!AG1054</f>
        <v>USD</v>
      </c>
      <c r="P1054" s="16">
        <f>CASOPOInvCL!AH1054</f>
        <v>5514.2821641841701</v>
      </c>
      <c r="Q1054" s="16">
        <f>CASOPOInvCL!AI1054</f>
        <v>3951.66</v>
      </c>
      <c r="R1054" s="32" t="str">
        <f>CASOPOInvCL!AU1054</f>
        <v/>
      </c>
      <c r="S1054" s="16">
        <f>CASOPOInvCL!AV1054</f>
        <v>542.64</v>
      </c>
      <c r="T1054" s="16">
        <f>CASOPOInvCL!AW1054</f>
        <v>0</v>
      </c>
      <c r="Y1054" s="29" t="str">
        <f>IFERROR(HLOOKUP(U1054,List!$D$2:$H$6,2,FALSE),"")</f>
        <v/>
      </c>
      <c r="Z1054" s="29" t="str">
        <f>IFERROR(HLOOKUP(V1054,List!$D$2:$H$6,3,FALSE),"")</f>
        <v/>
      </c>
      <c r="AA1054" s="29" t="str">
        <f>IFERROR(HLOOKUP(W1054,List!$D$2:$H$6,4,FALSE),"")</f>
        <v/>
      </c>
      <c r="AB1054" s="29" t="str">
        <f>IFERROR(HLOOKUP(X1054,List!$D$2:$H$6,5,FALSE),"")</f>
        <v/>
      </c>
      <c r="AC1054" s="12" t="str">
        <f t="shared" si="266"/>
        <v/>
      </c>
      <c r="AD1054" s="12" t="str">
        <f t="shared" si="267"/>
        <v/>
      </c>
      <c r="AE1054" s="12" t="str">
        <f t="shared" si="268"/>
        <v/>
      </c>
      <c r="AF1054" s="12" t="str">
        <f t="shared" si="269"/>
        <v/>
      </c>
      <c r="AG1054" t="str">
        <f>VLOOKUP(J1054,'Receivable Invoice Detail'!$A$1:F4066,6,FALSE)</f>
        <v>[W-F6147/R55] Impeller, 8/6 E, F or R-AH, Natural Rubber</v>
      </c>
      <c r="AM1054" s="12" t="str">
        <f t="shared" si="270"/>
        <v/>
      </c>
      <c r="AN1054" s="12" t="str">
        <f t="shared" si="271"/>
        <v/>
      </c>
      <c r="AO1054" s="12" t="str">
        <f t="shared" si="272"/>
        <v/>
      </c>
      <c r="AP1054" s="12" t="str">
        <f t="shared" si="273"/>
        <v/>
      </c>
      <c r="AQ1054" s="64" t="str">
        <f t="shared" si="264"/>
        <v/>
      </c>
      <c r="AR1054" t="s">
        <v>5943</v>
      </c>
      <c r="AS1054" s="12">
        <f t="shared" si="265"/>
        <v>1.7607339483377047</v>
      </c>
      <c r="AT1054" t="s">
        <v>5945</v>
      </c>
    </row>
    <row r="1055" spans="1:46" hidden="1" x14ac:dyDescent="0.25">
      <c r="A1055" s="41">
        <f>CASOPOInvCL!T1055</f>
        <v>2</v>
      </c>
      <c r="B1055" t="str">
        <f>CASOPOInvCL!Z1055</f>
        <v>SO17999</v>
      </c>
      <c r="G1055" s="5" t="str">
        <f>CASOPOInvCL!I1055</f>
        <v>Amanda Qiao</v>
      </c>
      <c r="H1055" s="31">
        <f>CASOPOInvCL!U1055</f>
        <v>10</v>
      </c>
      <c r="I1055" s="31">
        <f>CASOPOInvCL!V1055</f>
        <v>2025</v>
      </c>
      <c r="J1055" s="5" t="str">
        <f>CASOPOInvCL!AB1055</f>
        <v>INV13765</v>
      </c>
      <c r="K1055" s="31" t="str">
        <f>CASOPOInvCL!W1055</f>
        <v/>
      </c>
      <c r="L1055" s="31" t="str">
        <f>CASOPOInvCL!X1055</f>
        <v/>
      </c>
      <c r="M1055">
        <v>2504</v>
      </c>
      <c r="N1055" s="5" t="str">
        <f>CASOPOInvCL!AF1055</f>
        <v>Jindal Drilling &amp; Industries Limited</v>
      </c>
      <c r="O1055" s="16" t="str">
        <f>CASOPOInvCL!AG1055</f>
        <v>USD</v>
      </c>
      <c r="P1055" s="16">
        <f>CASOPOInvCL!AH1055</f>
        <v>17525.2120577282</v>
      </c>
      <c r="Q1055" s="16">
        <f>CASOPOInvCL!AI1055</f>
        <v>12489.11</v>
      </c>
      <c r="R1055" s="32" t="str">
        <f>CASOPOInvCL!AU1055</f>
        <v/>
      </c>
      <c r="S1055" s="16">
        <f>CASOPOInvCL!AV1055</f>
        <v>0</v>
      </c>
      <c r="T1055" s="16">
        <f>CASOPOInvCL!AW1055</f>
        <v>0</v>
      </c>
      <c r="Y1055" s="29" t="str">
        <f>IFERROR(HLOOKUP(U1055,List!$D$2:$H$6,2,FALSE),"")</f>
        <v/>
      </c>
      <c r="Z1055" s="29" t="str">
        <f>IFERROR(HLOOKUP(V1055,List!$D$2:$H$6,3,FALSE),"")</f>
        <v/>
      </c>
      <c r="AA1055" s="29" t="str">
        <f>IFERROR(HLOOKUP(W1055,List!$D$2:$H$6,4,FALSE),"")</f>
        <v/>
      </c>
      <c r="AB1055" s="29" t="str">
        <f>IFERROR(HLOOKUP(X1055,List!$D$2:$H$6,5,FALSE),"")</f>
        <v/>
      </c>
      <c r="AC1055" s="12" t="str">
        <f t="shared" si="266"/>
        <v/>
      </c>
      <c r="AD1055" s="12" t="str">
        <f t="shared" si="267"/>
        <v/>
      </c>
      <c r="AE1055" s="12" t="str">
        <f t="shared" si="268"/>
        <v/>
      </c>
      <c r="AF1055" s="12" t="str">
        <f t="shared" si="269"/>
        <v/>
      </c>
      <c r="AG1055" t="str">
        <f>VLOOKUP(J1055,'Receivable Invoice Detail'!$A$1:F4067,6,FALSE)</f>
        <v>Pump, 4x6-14, Dynapro DC, Frame 3J, High Chrome</v>
      </c>
      <c r="AM1055" s="12" t="str">
        <f t="shared" si="270"/>
        <v/>
      </c>
      <c r="AN1055" s="12" t="str">
        <f t="shared" si="271"/>
        <v/>
      </c>
      <c r="AO1055" s="12" t="str">
        <f t="shared" si="272"/>
        <v/>
      </c>
      <c r="AP1055" s="12" t="str">
        <f t="shared" si="273"/>
        <v/>
      </c>
      <c r="AQ1055" s="64">
        <f t="shared" si="264"/>
        <v>2504</v>
      </c>
      <c r="AS1055" s="12">
        <f t="shared" si="265"/>
        <v>18.98656121553217</v>
      </c>
      <c r="AT1055" t="s">
        <v>5945</v>
      </c>
    </row>
    <row r="1056" spans="1:46" hidden="1" x14ac:dyDescent="0.25">
      <c r="A1056" s="41">
        <f>CASOPOInvCL!T1056</f>
        <v>2</v>
      </c>
      <c r="B1056" t="str">
        <f>CASOPOInvCL!Z1056</f>
        <v>SO17999</v>
      </c>
      <c r="G1056" s="5">
        <f>CASOPOInvCL!I1056</f>
        <v>0</v>
      </c>
      <c r="H1056" s="31">
        <f>CASOPOInvCL!U1056</f>
        <v>10</v>
      </c>
      <c r="I1056" s="31">
        <f>CASOPOInvCL!V1056</f>
        <v>2025</v>
      </c>
      <c r="J1056" s="5" t="str">
        <f>CASOPOInvCL!AB1056</f>
        <v>INV13536</v>
      </c>
      <c r="K1056" s="31">
        <f>CASOPOInvCL!W1056</f>
        <v>10</v>
      </c>
      <c r="L1056" s="31">
        <f>CASOPOInvCL!X1056</f>
        <v>2025</v>
      </c>
      <c r="M1056">
        <v>2504</v>
      </c>
      <c r="N1056" s="5" t="str">
        <f>CASOPOInvCL!AF1056</f>
        <v>Jindal Drilling &amp; Industries Limited</v>
      </c>
      <c r="O1056" s="16" t="str">
        <f>CASOPOInvCL!AG1056</f>
        <v>USD</v>
      </c>
      <c r="P1056" s="16">
        <f>CASOPOInvCL!AH1056</f>
        <v>0</v>
      </c>
      <c r="Q1056" s="16">
        <f>CASOPOInvCL!AI1056</f>
        <v>0</v>
      </c>
      <c r="R1056" s="32" t="str">
        <f>CASOPOInvCL!AU1056</f>
        <v/>
      </c>
      <c r="S1056" s="16">
        <f>CASOPOInvCL!AV1056</f>
        <v>0</v>
      </c>
      <c r="T1056" s="16">
        <f>CASOPOInvCL!AW1056</f>
        <v>0</v>
      </c>
      <c r="Y1056" s="29" t="str">
        <f>IFERROR(HLOOKUP(U1056,List!$D$2:$H$6,2,FALSE),"")</f>
        <v/>
      </c>
      <c r="Z1056" s="29" t="str">
        <f>IFERROR(HLOOKUP(V1056,List!$D$2:$H$6,3,FALSE),"")</f>
        <v/>
      </c>
      <c r="AA1056" s="29" t="str">
        <f>IFERROR(HLOOKUP(W1056,List!$D$2:$H$6,4,FALSE),"")</f>
        <v/>
      </c>
      <c r="AB1056" s="29" t="str">
        <f>IFERROR(HLOOKUP(X1056,List!$D$2:$H$6,5,FALSE),"")</f>
        <v/>
      </c>
      <c r="AC1056" s="12" t="str">
        <f t="shared" si="266"/>
        <v/>
      </c>
      <c r="AD1056" s="12" t="str">
        <f t="shared" si="267"/>
        <v/>
      </c>
      <c r="AE1056" s="12" t="str">
        <f t="shared" si="268"/>
        <v/>
      </c>
      <c r="AF1056" s="12" t="str">
        <f t="shared" si="269"/>
        <v/>
      </c>
      <c r="AG1056" t="str">
        <f>VLOOKUP(J1056,'Receivable Invoice Detail'!$A$1:F4068,6,FALSE)</f>
        <v>Down payment of 100.0%</v>
      </c>
      <c r="AM1056" s="12" t="str">
        <f t="shared" si="270"/>
        <v/>
      </c>
      <c r="AN1056" s="12" t="str">
        <f t="shared" si="271"/>
        <v/>
      </c>
      <c r="AO1056" s="12" t="str">
        <f t="shared" si="272"/>
        <v/>
      </c>
      <c r="AP1056" s="12" t="str">
        <f t="shared" si="273"/>
        <v/>
      </c>
      <c r="AQ1056" s="64">
        <f t="shared" si="264"/>
        <v>2504</v>
      </c>
      <c r="AS1056" s="12">
        <f t="shared" si="265"/>
        <v>6.6825256479897206</v>
      </c>
      <c r="AT1056" t="s">
        <v>5945</v>
      </c>
    </row>
    <row r="1057" spans="1:46" hidden="1" x14ac:dyDescent="0.25">
      <c r="A1057" s="41">
        <f>CASOPOInvCL!T1057</f>
        <v>1</v>
      </c>
      <c r="B1057" t="str">
        <f>CASOPOInvCL!Z1057</f>
        <v>SO18001</v>
      </c>
      <c r="G1057" s="5" t="str">
        <f>CASOPOInvCL!I1057</f>
        <v>Wilka Nuñez</v>
      </c>
      <c r="H1057" s="31">
        <f>CASOPOInvCL!U1057</f>
        <v>10</v>
      </c>
      <c r="I1057" s="31">
        <f>CASOPOInvCL!V1057</f>
        <v>2025</v>
      </c>
      <c r="J1057" s="5" t="str">
        <f>CASOPOInvCL!AB1057</f>
        <v>INV13597</v>
      </c>
      <c r="K1057" s="31" t="str">
        <f>CASOPOInvCL!W1057</f>
        <v/>
      </c>
      <c r="L1057" s="31" t="str">
        <f>CASOPOInvCL!X1057</f>
        <v/>
      </c>
      <c r="M1057" t="s">
        <v>5945</v>
      </c>
      <c r="N1057" s="5" t="str">
        <f>CASOPOInvCL!AF1057</f>
        <v>Alpha Industrial &amp; Mining Supplies Limited</v>
      </c>
      <c r="O1057" s="16" t="str">
        <f>CASOPOInvCL!AG1057</f>
        <v>CAD</v>
      </c>
      <c r="P1057" s="16">
        <f>CASOPOInvCL!AH1057</f>
        <v>5181.7</v>
      </c>
      <c r="Q1057" s="16">
        <f>CASOPOInvCL!AI1057</f>
        <v>3698.2637135734635</v>
      </c>
      <c r="R1057" s="32" t="str">
        <f>CASOPOInvCL!AU1057</f>
        <v/>
      </c>
      <c r="S1057" s="16">
        <f>CASOPOInvCL!AV1057</f>
        <v>0</v>
      </c>
      <c r="T1057" s="16">
        <f>CASOPOInvCL!AW1057</f>
        <v>0</v>
      </c>
      <c r="Y1057" s="29" t="str">
        <f>IFERROR(HLOOKUP(U1057,List!$D$2:$H$6,2,FALSE),"")</f>
        <v/>
      </c>
      <c r="Z1057" s="29" t="str">
        <f>IFERROR(HLOOKUP(V1057,List!$D$2:$H$6,3,FALSE),"")</f>
        <v/>
      </c>
      <c r="AA1057" s="29" t="str">
        <f>IFERROR(HLOOKUP(W1057,List!$D$2:$H$6,4,FALSE),"")</f>
        <v/>
      </c>
      <c r="AB1057" s="29" t="str">
        <f>IFERROR(HLOOKUP(X1057,List!$D$2:$H$6,5,FALSE),"")</f>
        <v/>
      </c>
      <c r="AC1057" s="12" t="str">
        <f t="shared" si="266"/>
        <v/>
      </c>
      <c r="AD1057" s="12" t="str">
        <f t="shared" si="267"/>
        <v/>
      </c>
      <c r="AE1057" s="12" t="str">
        <f t="shared" si="268"/>
        <v/>
      </c>
      <c r="AF1057" s="12" t="str">
        <f t="shared" si="269"/>
        <v/>
      </c>
      <c r="AG1057" t="str">
        <f>VLOOKUP(J1057,'Receivable Invoice Detail'!$A$1:F4069,6,FALSE)</f>
        <v>[Alternate OEM P/N: 567428-PS, SA-14007-M4] Shaft, 22/33/44 WFR, Sala STGVA-180, 1045 Steel</v>
      </c>
      <c r="AM1057" s="12" t="str">
        <f t="shared" si="270"/>
        <v/>
      </c>
      <c r="AN1057" s="12" t="str">
        <f t="shared" si="271"/>
        <v/>
      </c>
      <c r="AO1057" s="12" t="str">
        <f t="shared" si="272"/>
        <v/>
      </c>
      <c r="AP1057" s="12" t="str">
        <f t="shared" si="273"/>
        <v/>
      </c>
      <c r="AQ1057" s="64" t="str">
        <f t="shared" si="264"/>
        <v/>
      </c>
      <c r="AS1057" s="12">
        <f t="shared" si="265"/>
        <v>39.890955773072143</v>
      </c>
      <c r="AT1057" t="s">
        <v>5945</v>
      </c>
    </row>
    <row r="1058" spans="1:46" hidden="1" x14ac:dyDescent="0.25">
      <c r="A1058" s="41">
        <f>CASOPOInvCL!T1058</f>
        <v>1</v>
      </c>
      <c r="B1058" t="str">
        <f>CASOPOInvCL!Z1058</f>
        <v>SO18002</v>
      </c>
      <c r="G1058" s="5" t="str">
        <f>CASOPOInvCL!I1058</f>
        <v>Alexis Gil Lamadrid</v>
      </c>
      <c r="H1058" s="31">
        <f>CASOPOInvCL!U1058</f>
        <v>10</v>
      </c>
      <c r="I1058" s="31">
        <f>CASOPOInvCL!V1058</f>
        <v>2025</v>
      </c>
      <c r="J1058" s="5" t="str">
        <f>CASOPOInvCL!AB1058</f>
        <v>INV13524</v>
      </c>
      <c r="K1058" s="31">
        <f>CASOPOInvCL!W1058</f>
        <v>12</v>
      </c>
      <c r="L1058" s="31">
        <f>CASOPOInvCL!X1058</f>
        <v>2025</v>
      </c>
      <c r="M1058" t="s">
        <v>5945</v>
      </c>
      <c r="N1058" s="5" t="str">
        <f>CASOPOInvCL!AF1058</f>
        <v>Resolute Forest Products - Clermont</v>
      </c>
      <c r="O1058" s="16" t="str">
        <f>CASOPOInvCL!AG1058</f>
        <v>CAD</v>
      </c>
      <c r="P1058" s="16">
        <f>CASOPOInvCL!AH1058</f>
        <v>1127.0999999999999</v>
      </c>
      <c r="Q1058" s="16">
        <f>CASOPOInvCL!AI1058</f>
        <v>807.70549155584422</v>
      </c>
      <c r="R1058" s="32" t="str">
        <f>CASOPOInvCL!AU1058</f>
        <v>Yes</v>
      </c>
      <c r="S1058" s="16">
        <f>CASOPOInvCL!AV1058</f>
        <v>0</v>
      </c>
      <c r="T1058" s="16">
        <f>CASOPOInvCL!AW1058</f>
        <v>807.70549155584422</v>
      </c>
      <c r="Y1058" s="29" t="str">
        <f>IFERROR(HLOOKUP(U1058,List!$D$2:$H$6,2,FALSE),"")</f>
        <v/>
      </c>
      <c r="Z1058" s="29" t="str">
        <f>IFERROR(HLOOKUP(V1058,List!$D$2:$H$6,3,FALSE),"")</f>
        <v/>
      </c>
      <c r="AA1058" s="29" t="str">
        <f>IFERROR(HLOOKUP(W1058,List!$D$2:$H$6,4,FALSE),"")</f>
        <v/>
      </c>
      <c r="AB1058" s="29" t="str">
        <f>IFERROR(HLOOKUP(X1058,List!$D$2:$H$6,5,FALSE),"")</f>
        <v/>
      </c>
      <c r="AC1058" s="12" t="str">
        <f t="shared" si="266"/>
        <v/>
      </c>
      <c r="AD1058" s="12" t="str">
        <f t="shared" si="267"/>
        <v/>
      </c>
      <c r="AE1058" s="12" t="str">
        <f t="shared" si="268"/>
        <v/>
      </c>
      <c r="AF1058" s="12" t="str">
        <f t="shared" si="269"/>
        <v/>
      </c>
      <c r="AG1058" t="str">
        <f>VLOOKUP(J1058,'Receivable Invoice Detail'!$A$1:F4070,6,FALSE)</f>
        <v>[G-B00296A 6956] Shaft Sleeve, 3175-L, 316SS, Ni-Chrome Boron</v>
      </c>
      <c r="AM1058" s="12" t="str">
        <f t="shared" si="270"/>
        <v/>
      </c>
      <c r="AN1058" s="12" t="str">
        <f t="shared" si="271"/>
        <v/>
      </c>
      <c r="AO1058" s="12" t="str">
        <f t="shared" si="272"/>
        <v/>
      </c>
      <c r="AP1058" s="12" t="str">
        <f t="shared" si="273"/>
        <v/>
      </c>
      <c r="AQ1058" s="64" t="str">
        <f t="shared" si="264"/>
        <v/>
      </c>
      <c r="AS1058" s="12">
        <f t="shared" si="265"/>
        <v>19.418183026990985</v>
      </c>
      <c r="AT1058" t="s">
        <v>5945</v>
      </c>
    </row>
    <row r="1059" spans="1:46" hidden="1" x14ac:dyDescent="0.25">
      <c r="A1059" s="41">
        <f>CASOPOInvCL!T1059</f>
        <v>1</v>
      </c>
      <c r="B1059" t="str">
        <f>CASOPOInvCL!Z1059</f>
        <v>SO18004</v>
      </c>
      <c r="D1059" t="s">
        <v>5851</v>
      </c>
      <c r="G1059" s="5" t="str">
        <f>CASOPOInvCL!I1059</f>
        <v>Alexis Gil Lamadrid</v>
      </c>
      <c r="H1059" s="31">
        <f>CASOPOInvCL!U1059</f>
        <v>10</v>
      </c>
      <c r="I1059" s="31">
        <f>CASOPOInvCL!V1059</f>
        <v>2025</v>
      </c>
      <c r="J1059" s="5" t="str">
        <f>CASOPOInvCL!AB1059</f>
        <v>INV13516</v>
      </c>
      <c r="K1059" s="31">
        <f>CASOPOInvCL!W1059</f>
        <v>11</v>
      </c>
      <c r="L1059" s="31">
        <f>CASOPOInvCL!X1059</f>
        <v>2025</v>
      </c>
      <c r="M1059">
        <v>2504</v>
      </c>
      <c r="N1059" s="5" t="str">
        <f>CASOPOInvCL!AF1059</f>
        <v>Wajax Limited - Lachine</v>
      </c>
      <c r="O1059" s="16" t="str">
        <f>CASOPOInvCL!AG1059</f>
        <v>CAD</v>
      </c>
      <c r="P1059" s="16">
        <f>CASOPOInvCL!AH1059</f>
        <v>2.5</v>
      </c>
      <c r="Q1059" s="16">
        <f>CASOPOInvCL!AI1059</f>
        <v>1.7915568528875969</v>
      </c>
      <c r="R1059" s="32" t="str">
        <f>CASOPOInvCL!AU1059</f>
        <v>Yes</v>
      </c>
      <c r="S1059" s="16">
        <f>CASOPOInvCL!AV1059</f>
        <v>0</v>
      </c>
      <c r="T1059" s="16">
        <f>CASOPOInvCL!AW1059</f>
        <v>1.7915568528875969</v>
      </c>
      <c r="V1059" t="s">
        <v>5800</v>
      </c>
      <c r="Y1059" s="29" t="str">
        <f>IFERROR(HLOOKUP(U1059,List!$D$2:$H$6,2,FALSE),"")</f>
        <v/>
      </c>
      <c r="Z1059" s="29">
        <f>IFERROR(HLOOKUP(V1059,List!$D$2:$H$6,3,FALSE),"")</f>
        <v>5.0000000000000001E-3</v>
      </c>
      <c r="AA1059" s="29" t="str">
        <f>IFERROR(HLOOKUP(W1059,List!$D$2:$H$6,4,FALSE),"")</f>
        <v/>
      </c>
      <c r="AB1059" s="29" t="str">
        <f>IFERROR(HLOOKUP(X1059,List!$D$2:$H$6,5,FALSE),"")</f>
        <v/>
      </c>
      <c r="AC1059" s="12" t="str">
        <f t="shared" si="266"/>
        <v/>
      </c>
      <c r="AD1059" s="12">
        <f t="shared" si="267"/>
        <v>8.9577842644379853E-3</v>
      </c>
      <c r="AE1059" s="12" t="str">
        <f t="shared" si="268"/>
        <v/>
      </c>
      <c r="AF1059" s="12" t="str">
        <f t="shared" si="269"/>
        <v/>
      </c>
      <c r="AG1059" t="str">
        <f>VLOOKUP(J1059,'Receivable Invoice Detail'!$A$1:F4071,6,FALSE)</f>
        <v>[029V, G-C02495A029 5304] Shaft Sleeve O-Ring, 3x3-10 SRL, Viton</v>
      </c>
      <c r="AM1059" s="12" t="str">
        <f t="shared" si="270"/>
        <v/>
      </c>
      <c r="AN1059" s="12">
        <f t="shared" si="271"/>
        <v>8.9577842644379853E-3</v>
      </c>
      <c r="AO1059" s="12" t="str">
        <f t="shared" si="272"/>
        <v/>
      </c>
      <c r="AP1059" s="12" t="str">
        <f t="shared" si="273"/>
        <v/>
      </c>
      <c r="AQ1059" s="64">
        <f t="shared" si="264"/>
        <v>2504</v>
      </c>
      <c r="AR1059" t="s">
        <v>5931</v>
      </c>
      <c r="AS1059" s="12">
        <f t="shared" si="265"/>
        <v>13.560543285147295</v>
      </c>
      <c r="AT1059" t="s">
        <v>4388</v>
      </c>
    </row>
    <row r="1060" spans="1:46" hidden="1" x14ac:dyDescent="0.25">
      <c r="A1060" s="41">
        <f>CASOPOInvCL!T1060</f>
        <v>1</v>
      </c>
      <c r="B1060" t="str">
        <f>CASOPOInvCL!Z1060</f>
        <v>SO18008</v>
      </c>
      <c r="G1060" s="5" t="str">
        <f>CASOPOInvCL!I1060</f>
        <v>Ian Trottier</v>
      </c>
      <c r="H1060" s="31">
        <f>CASOPOInvCL!U1060</f>
        <v>10</v>
      </c>
      <c r="I1060" s="31">
        <f>CASOPOInvCL!V1060</f>
        <v>2025</v>
      </c>
      <c r="J1060" s="5" t="str">
        <f>CASOPOInvCL!AB1060</f>
        <v>INV13512</v>
      </c>
      <c r="K1060" s="31" t="str">
        <f>CASOPOInvCL!W1060</f>
        <v/>
      </c>
      <c r="L1060" s="31" t="str">
        <f>CASOPOInvCL!X1060</f>
        <v/>
      </c>
      <c r="M1060" t="s">
        <v>5945</v>
      </c>
      <c r="N1060" s="5" t="str">
        <f>CASOPOInvCL!AF1060</f>
        <v>Glencore Canada Corporation - Rouyn-Noranda</v>
      </c>
      <c r="O1060" s="16" t="str">
        <f>CASOPOInvCL!AG1060</f>
        <v>CAD</v>
      </c>
      <c r="P1060" s="16">
        <f>CASOPOInvCL!AH1060</f>
        <v>383.15</v>
      </c>
      <c r="Q1060" s="16">
        <f>CASOPOInvCL!AI1060</f>
        <v>273.46039752507335</v>
      </c>
      <c r="R1060" s="32" t="str">
        <f>CASOPOInvCL!AU1060</f>
        <v/>
      </c>
      <c r="S1060" s="16">
        <f>CASOPOInvCL!AV1060</f>
        <v>0</v>
      </c>
      <c r="T1060" s="16">
        <f>CASOPOInvCL!AW1060</f>
        <v>0</v>
      </c>
      <c r="Y1060" s="29" t="str">
        <f>IFERROR(HLOOKUP(U1060,List!$D$2:$H$6,2,FALSE),"")</f>
        <v/>
      </c>
      <c r="Z1060" s="29" t="str">
        <f>IFERROR(HLOOKUP(V1060,List!$D$2:$H$6,3,FALSE),"")</f>
        <v/>
      </c>
      <c r="AA1060" s="29" t="str">
        <f>IFERROR(HLOOKUP(W1060,List!$D$2:$H$6,4,FALSE),"")</f>
        <v/>
      </c>
      <c r="AB1060" s="29" t="str">
        <f>IFERROR(HLOOKUP(X1060,List!$D$2:$H$6,5,FALSE),"")</f>
        <v/>
      </c>
      <c r="AC1060" s="12" t="str">
        <f t="shared" si="266"/>
        <v/>
      </c>
      <c r="AD1060" s="12" t="str">
        <f t="shared" si="267"/>
        <v/>
      </c>
      <c r="AE1060" s="12" t="str">
        <f t="shared" si="268"/>
        <v/>
      </c>
      <c r="AF1060" s="12" t="str">
        <f t="shared" si="269"/>
        <v/>
      </c>
      <c r="AG1060" t="str">
        <f>VLOOKUP(J1060,'Receivable Invoice Detail'!$A$1:F4072,6,FALSE)</f>
        <v>[AC-98-234-268-001-SS] Waterseal Bushing, 5x4/5x5/6x6 SRL, 316SS</v>
      </c>
      <c r="AM1060" s="12" t="str">
        <f t="shared" si="270"/>
        <v/>
      </c>
      <c r="AN1060" s="12" t="str">
        <f t="shared" si="271"/>
        <v/>
      </c>
      <c r="AO1060" s="12" t="str">
        <f t="shared" si="272"/>
        <v/>
      </c>
      <c r="AP1060" s="12" t="str">
        <f t="shared" si="273"/>
        <v/>
      </c>
      <c r="AQ1060" s="64" t="str">
        <f t="shared" si="264"/>
        <v/>
      </c>
      <c r="AS1060" s="12">
        <f t="shared" si="265"/>
        <v>0</v>
      </c>
      <c r="AT1060" t="s">
        <v>5945</v>
      </c>
    </row>
    <row r="1061" spans="1:46" hidden="1" x14ac:dyDescent="0.25">
      <c r="A1061" s="41">
        <f>CASOPOInvCL!T1061</f>
        <v>1</v>
      </c>
      <c r="B1061" t="str">
        <f>CASOPOInvCL!Z1061</f>
        <v>SO18009</v>
      </c>
      <c r="G1061" s="5" t="str">
        <f>CASOPOInvCL!I1061</f>
        <v>Alexis Gil Lamadrid</v>
      </c>
      <c r="H1061" s="31">
        <f>CASOPOInvCL!U1061</f>
        <v>10</v>
      </c>
      <c r="I1061" s="31">
        <f>CASOPOInvCL!V1061</f>
        <v>2025</v>
      </c>
      <c r="J1061" s="5" t="str">
        <f>CASOPOInvCL!AB1061</f>
        <v>INV13518</v>
      </c>
      <c r="K1061" s="31">
        <f>CASOPOInvCL!W1061</f>
        <v>12</v>
      </c>
      <c r="L1061" s="31">
        <f>CASOPOInvCL!X1061</f>
        <v>2025</v>
      </c>
      <c r="M1061" t="s">
        <v>5945</v>
      </c>
      <c r="N1061" s="5" t="str">
        <f>CASOPOInvCL!AF1061</f>
        <v>Resolute Forest Products - Kenogami</v>
      </c>
      <c r="O1061" s="16" t="str">
        <f>CASOPOInvCL!AG1061</f>
        <v>CAD</v>
      </c>
      <c r="P1061" s="16">
        <f>CASOPOInvCL!AH1061</f>
        <v>1127.0999999999999</v>
      </c>
      <c r="Q1061" s="16">
        <f>CASOPOInvCL!AI1061</f>
        <v>804.42963343471251</v>
      </c>
      <c r="R1061" s="32" t="str">
        <f>CASOPOInvCL!AU1061</f>
        <v>Yes</v>
      </c>
      <c r="S1061" s="16">
        <f>CASOPOInvCL!AV1061</f>
        <v>0</v>
      </c>
      <c r="T1061" s="16">
        <f>CASOPOInvCL!AW1061</f>
        <v>804.42963343471251</v>
      </c>
      <c r="Y1061" s="29" t="str">
        <f>IFERROR(HLOOKUP(U1061,List!$D$2:$H$6,2,FALSE),"")</f>
        <v/>
      </c>
      <c r="Z1061" s="29" t="str">
        <f>IFERROR(HLOOKUP(V1061,List!$D$2:$H$6,3,FALSE),"")</f>
        <v/>
      </c>
      <c r="AA1061" s="29" t="str">
        <f>IFERROR(HLOOKUP(W1061,List!$D$2:$H$6,4,FALSE),"")</f>
        <v/>
      </c>
      <c r="AB1061" s="29" t="str">
        <f>IFERROR(HLOOKUP(X1061,List!$D$2:$H$6,5,FALSE),"")</f>
        <v/>
      </c>
      <c r="AC1061" s="12" t="str">
        <f t="shared" si="266"/>
        <v/>
      </c>
      <c r="AD1061" s="12" t="str">
        <f t="shared" si="267"/>
        <v/>
      </c>
      <c r="AE1061" s="12" t="str">
        <f t="shared" si="268"/>
        <v/>
      </c>
      <c r="AF1061" s="12" t="str">
        <f t="shared" si="269"/>
        <v/>
      </c>
      <c r="AG1061" t="str">
        <f>VLOOKUP(J1061,'Receivable Invoice Detail'!$A$1:F4073,6,FALSE)</f>
        <v>[G-B00296A 6956] Shaft Sleeve, 3175-L, 316SS, Ni-Chrome Boron</v>
      </c>
      <c r="AM1061" s="12" t="str">
        <f t="shared" si="270"/>
        <v/>
      </c>
      <c r="AN1061" s="12" t="str">
        <f t="shared" si="271"/>
        <v/>
      </c>
      <c r="AO1061" s="12" t="str">
        <f t="shared" si="272"/>
        <v/>
      </c>
      <c r="AP1061" s="12" t="str">
        <f t="shared" si="273"/>
        <v/>
      </c>
      <c r="AQ1061" s="64" t="str">
        <f t="shared" si="264"/>
        <v/>
      </c>
      <c r="AS1061" s="12">
        <f t="shared" si="265"/>
        <v>0</v>
      </c>
      <c r="AT1061" t="s">
        <v>5945</v>
      </c>
    </row>
    <row r="1062" spans="1:46" hidden="1" x14ac:dyDescent="0.25">
      <c r="A1062" s="41">
        <f>CASOPOInvCL!T1062</f>
        <v>1</v>
      </c>
      <c r="B1062" t="str">
        <f>CASOPOInvCL!Z1062</f>
        <v>SO18010</v>
      </c>
      <c r="G1062" s="5" t="str">
        <f>CASOPOInvCL!I1062</f>
        <v>Ian Trottier</v>
      </c>
      <c r="H1062" s="31">
        <f>CASOPOInvCL!U1062</f>
        <v>10</v>
      </c>
      <c r="I1062" s="31">
        <f>CASOPOInvCL!V1062</f>
        <v>2025</v>
      </c>
      <c r="J1062" s="5" t="str">
        <f>CASOPOInvCL!AB1062</f>
        <v>INV13788</v>
      </c>
      <c r="K1062" s="31" t="str">
        <f>CASOPOInvCL!W1062</f>
        <v/>
      </c>
      <c r="L1062" s="31" t="str">
        <f>CASOPOInvCL!X1062</f>
        <v/>
      </c>
      <c r="M1062" t="s">
        <v>5945</v>
      </c>
      <c r="N1062" s="5" t="str">
        <f>CASOPOInvCL!AF1062</f>
        <v>Resolute Forest Products - Clermont</v>
      </c>
      <c r="O1062" s="16" t="str">
        <f>CASOPOInvCL!AG1062</f>
        <v>CAD</v>
      </c>
      <c r="P1062" s="16">
        <f>CASOPOInvCL!AH1062</f>
        <v>6970.1</v>
      </c>
      <c r="Q1062" s="16">
        <f>CASOPOInvCL!AI1062</f>
        <v>4985.1446599053361</v>
      </c>
      <c r="R1062" s="32" t="str">
        <f>CASOPOInvCL!AU1062</f>
        <v/>
      </c>
      <c r="S1062" s="16">
        <f>CASOPOInvCL!AV1062</f>
        <v>0</v>
      </c>
      <c r="T1062" s="16">
        <f>CASOPOInvCL!AW1062</f>
        <v>0</v>
      </c>
      <c r="Y1062" s="29" t="str">
        <f>IFERROR(HLOOKUP(U1062,List!$D$2:$H$6,2,FALSE),"")</f>
        <v/>
      </c>
      <c r="Z1062" s="29" t="str">
        <f>IFERROR(HLOOKUP(V1062,List!$D$2:$H$6,3,FALSE),"")</f>
        <v/>
      </c>
      <c r="AA1062" s="29" t="str">
        <f>IFERROR(HLOOKUP(W1062,List!$D$2:$H$6,4,FALSE),"")</f>
        <v/>
      </c>
      <c r="AB1062" s="29" t="str">
        <f>IFERROR(HLOOKUP(X1062,List!$D$2:$H$6,5,FALSE),"")</f>
        <v/>
      </c>
      <c r="AC1062" s="12" t="str">
        <f t="shared" si="266"/>
        <v/>
      </c>
      <c r="AD1062" s="12" t="str">
        <f t="shared" si="267"/>
        <v/>
      </c>
      <c r="AE1062" s="12" t="str">
        <f t="shared" si="268"/>
        <v/>
      </c>
      <c r="AF1062" s="12" t="str">
        <f t="shared" si="269"/>
        <v/>
      </c>
      <c r="AG1062" t="str">
        <f>VLOOKUP(J1062,'Receivable Invoice Detail'!$A$1:F4074,6,FALSE)</f>
        <v>[M&amp;N# 57] Impeller, 10x12-22, 3175-L, 316SS, 4-Vane</v>
      </c>
      <c r="AM1062" s="12" t="str">
        <f t="shared" si="270"/>
        <v/>
      </c>
      <c r="AN1062" s="12" t="str">
        <f t="shared" si="271"/>
        <v/>
      </c>
      <c r="AO1062" s="12" t="str">
        <f t="shared" si="272"/>
        <v/>
      </c>
      <c r="AP1062" s="12" t="str">
        <f t="shared" si="273"/>
        <v/>
      </c>
      <c r="AQ1062" s="64" t="str">
        <f t="shared" si="264"/>
        <v/>
      </c>
      <c r="AS1062" s="12">
        <f t="shared" si="265"/>
        <v>0</v>
      </c>
      <c r="AT1062" t="s">
        <v>5945</v>
      </c>
    </row>
    <row r="1063" spans="1:46" hidden="1" x14ac:dyDescent="0.25">
      <c r="A1063" s="41">
        <f>CASOPOInvCL!T1063</f>
        <v>1</v>
      </c>
      <c r="B1063" t="str">
        <f>CASOPOInvCL!Z1063</f>
        <v>SO18012</v>
      </c>
      <c r="G1063" s="5" t="str">
        <f>CASOPOInvCL!I1063</f>
        <v>Ian Trottier</v>
      </c>
      <c r="H1063" s="31">
        <f>CASOPOInvCL!U1063</f>
        <v>10</v>
      </c>
      <c r="I1063" s="31">
        <f>CASOPOInvCL!V1063</f>
        <v>2025</v>
      </c>
      <c r="J1063" s="5" t="str">
        <f>CASOPOInvCL!AB1063</f>
        <v>INV13594</v>
      </c>
      <c r="K1063" s="31" t="str">
        <f>CASOPOInvCL!W1063</f>
        <v/>
      </c>
      <c r="L1063" s="31" t="str">
        <f>CASOPOInvCL!X1063</f>
        <v/>
      </c>
      <c r="M1063" t="s">
        <v>5945</v>
      </c>
      <c r="N1063" s="5" t="str">
        <f>CASOPOInvCL!AF1063</f>
        <v>PT Vale Indonesia Tbk.</v>
      </c>
      <c r="O1063" s="16" t="str">
        <f>CASOPOInvCL!AG1063</f>
        <v>USD</v>
      </c>
      <c r="P1063" s="16">
        <f>CASOPOInvCL!AH1063</f>
        <v>39.360377854047279</v>
      </c>
      <c r="Q1063" s="16">
        <f>CASOPOInvCL!AI1063</f>
        <v>28.22</v>
      </c>
      <c r="R1063" s="32" t="str">
        <f>CASOPOInvCL!AU1063</f>
        <v/>
      </c>
      <c r="S1063" s="16">
        <f>CASOPOInvCL!AV1063</f>
        <v>0</v>
      </c>
      <c r="T1063" s="16">
        <f>CASOPOInvCL!AW1063</f>
        <v>0</v>
      </c>
      <c r="Y1063" s="29" t="str">
        <f>IFERROR(HLOOKUP(U1063,List!$D$2:$H$6,2,FALSE),"")</f>
        <v/>
      </c>
      <c r="Z1063" s="29" t="str">
        <f>IFERROR(HLOOKUP(V1063,List!$D$2:$H$6,3,FALSE),"")</f>
        <v/>
      </c>
      <c r="AA1063" s="29" t="str">
        <f>IFERROR(HLOOKUP(W1063,List!$D$2:$H$6,4,FALSE),"")</f>
        <v/>
      </c>
      <c r="AB1063" s="29" t="str">
        <f>IFERROR(HLOOKUP(X1063,List!$D$2:$H$6,5,FALSE),"")</f>
        <v/>
      </c>
      <c r="AC1063" s="12" t="str">
        <f t="shared" si="266"/>
        <v/>
      </c>
      <c r="AD1063" s="12" t="str">
        <f t="shared" si="267"/>
        <v/>
      </c>
      <c r="AE1063" s="12" t="str">
        <f t="shared" si="268"/>
        <v/>
      </c>
      <c r="AF1063" s="12" t="str">
        <f t="shared" si="269"/>
        <v/>
      </c>
      <c r="AG1063" t="str">
        <f>VLOOKUP(J1063,'Receivable Invoice Detail'!$A$1:F4075,6,FALSE)</f>
        <v>[028-Teflon, G-C02495A28 6359] Impeller O-Ring, 3196 MTX, Teflon</v>
      </c>
      <c r="AM1063" s="12" t="str">
        <f t="shared" si="270"/>
        <v/>
      </c>
      <c r="AN1063" s="12" t="str">
        <f t="shared" si="271"/>
        <v/>
      </c>
      <c r="AO1063" s="12" t="str">
        <f t="shared" si="272"/>
        <v/>
      </c>
      <c r="AP1063" s="12" t="str">
        <f t="shared" si="273"/>
        <v/>
      </c>
      <c r="AQ1063" s="64" t="str">
        <f t="shared" si="264"/>
        <v/>
      </c>
      <c r="AS1063" s="12">
        <f t="shared" si="265"/>
        <v>0</v>
      </c>
      <c r="AT1063" t="s">
        <v>5945</v>
      </c>
    </row>
    <row r="1064" spans="1:46" hidden="1" x14ac:dyDescent="0.25">
      <c r="A1064" s="41">
        <f>CASOPOInvCL!T1064</f>
        <v>2</v>
      </c>
      <c r="B1064" t="str">
        <f>CASOPOInvCL!Z1064</f>
        <v>SO18013</v>
      </c>
      <c r="D1064" t="s">
        <v>5852</v>
      </c>
      <c r="G1064" s="5" t="str">
        <f>CASOPOInvCL!I1064</f>
        <v>Aleksandar Stankovic</v>
      </c>
      <c r="H1064" s="31">
        <f>CASOPOInvCL!U1064</f>
        <v>10</v>
      </c>
      <c r="I1064" s="31">
        <f>CASOPOInvCL!V1064</f>
        <v>2025</v>
      </c>
      <c r="J1064" s="5" t="str">
        <f>CASOPOInvCL!AB1064</f>
        <v>Borrador de factura (* 80533)</v>
      </c>
      <c r="K1064" s="31" t="str">
        <f>CASOPOInvCL!W1064</f>
        <v/>
      </c>
      <c r="L1064" s="31" t="str">
        <f>CASOPOInvCL!X1064</f>
        <v/>
      </c>
      <c r="M1064" t="s">
        <v>5945</v>
      </c>
      <c r="N1064" s="5" t="str">
        <f>CASOPOInvCL!AF1064</f>
        <v>Harvey Bearings</v>
      </c>
      <c r="O1064" s="16" t="str">
        <f>CASOPOInvCL!AG1064</f>
        <v>CAD</v>
      </c>
      <c r="P1064" s="16">
        <f>CASOPOInvCL!AH1064</f>
        <v>754.36</v>
      </c>
      <c r="Q1064" s="16">
        <f>CASOPOInvCL!AI1064</f>
        <v>537.10034004754016</v>
      </c>
      <c r="R1064" s="32" t="str">
        <f>CASOPOInvCL!AU1064</f>
        <v>Yes</v>
      </c>
      <c r="S1064" s="16">
        <f>CASOPOInvCL!AV1064</f>
        <v>0</v>
      </c>
      <c r="T1064" s="16">
        <f>CASOPOInvCL!AW1064</f>
        <v>537.10034004754016</v>
      </c>
      <c r="Y1064" s="29" t="str">
        <f>IFERROR(HLOOKUP(U1064,List!$D$2:$H$6,2,FALSE),"")</f>
        <v/>
      </c>
      <c r="Z1064" s="29" t="str">
        <f>IFERROR(HLOOKUP(V1064,List!$D$2:$H$6,3,FALSE),"")</f>
        <v/>
      </c>
      <c r="AA1064" s="29" t="str">
        <f>IFERROR(HLOOKUP(W1064,List!$D$2:$H$6,4,FALSE),"")</f>
        <v/>
      </c>
      <c r="AB1064" s="29" t="str">
        <f>IFERROR(HLOOKUP(X1064,List!$D$2:$H$6,5,FALSE),"")</f>
        <v/>
      </c>
      <c r="AC1064" s="12" t="str">
        <f t="shared" si="266"/>
        <v/>
      </c>
      <c r="AD1064" s="12" t="str">
        <f t="shared" si="267"/>
        <v/>
      </c>
      <c r="AE1064" s="12" t="str">
        <f t="shared" si="268"/>
        <v/>
      </c>
      <c r="AF1064" s="12" t="str">
        <f t="shared" si="269"/>
        <v/>
      </c>
      <c r="AG1064" t="e">
        <f>VLOOKUP(J1064,'Receivable Invoice Detail'!$A$1:F4076,6,FALSE)</f>
        <v>#N/A</v>
      </c>
      <c r="AM1064" s="12" t="str">
        <f t="shared" si="270"/>
        <v/>
      </c>
      <c r="AN1064" s="12" t="str">
        <f t="shared" si="271"/>
        <v/>
      </c>
      <c r="AO1064" s="12" t="str">
        <f t="shared" si="272"/>
        <v/>
      </c>
      <c r="AP1064" s="12" t="str">
        <f t="shared" si="273"/>
        <v/>
      </c>
      <c r="AQ1064" s="64" t="str">
        <f t="shared" si="264"/>
        <v/>
      </c>
      <c r="AR1064" t="s">
        <v>5931</v>
      </c>
      <c r="AS1064" s="12">
        <f t="shared" si="265"/>
        <v>0</v>
      </c>
      <c r="AT1064" t="s">
        <v>4388</v>
      </c>
    </row>
    <row r="1065" spans="1:46" hidden="1" x14ac:dyDescent="0.25">
      <c r="A1065" s="41">
        <f>CASOPOInvCL!T1065</f>
        <v>2</v>
      </c>
      <c r="B1065" t="str">
        <f>CASOPOInvCL!Z1065</f>
        <v>SO18013</v>
      </c>
      <c r="D1065" t="s">
        <v>5852</v>
      </c>
      <c r="G1065" s="5">
        <f>CASOPOInvCL!I1065</f>
        <v>0</v>
      </c>
      <c r="H1065" s="31">
        <f>CASOPOInvCL!U1065</f>
        <v>10</v>
      </c>
      <c r="I1065" s="31">
        <f>CASOPOInvCL!V1065</f>
        <v>2025</v>
      </c>
      <c r="J1065" s="5" t="str">
        <f>CASOPOInvCL!AB1065</f>
        <v>INV13530</v>
      </c>
      <c r="K1065" s="31">
        <f>CASOPOInvCL!W1065</f>
        <v>10</v>
      </c>
      <c r="L1065" s="31">
        <f>CASOPOInvCL!X1065</f>
        <v>2025</v>
      </c>
      <c r="M1065" t="s">
        <v>5945</v>
      </c>
      <c r="N1065" s="5" t="str">
        <f>CASOPOInvCL!AF1065</f>
        <v>Harvey Bearings</v>
      </c>
      <c r="O1065" s="16" t="str">
        <f>CASOPOInvCL!AG1065</f>
        <v>CAD</v>
      </c>
      <c r="P1065" s="16">
        <f>CASOPOInvCL!AH1065</f>
        <v>0</v>
      </c>
      <c r="Q1065" s="16">
        <f>CASOPOInvCL!AI1065</f>
        <v>0</v>
      </c>
      <c r="R1065" s="32" t="str">
        <f>CASOPOInvCL!AU1065</f>
        <v/>
      </c>
      <c r="S1065" s="16">
        <f>CASOPOInvCL!AV1065</f>
        <v>0</v>
      </c>
      <c r="T1065" s="16">
        <f>CASOPOInvCL!AW1065</f>
        <v>0</v>
      </c>
      <c r="Y1065" s="29" t="str">
        <f>IFERROR(HLOOKUP(U1065,List!$D$2:$H$6,2,FALSE),"")</f>
        <v/>
      </c>
      <c r="Z1065" s="29" t="str">
        <f>IFERROR(HLOOKUP(V1065,List!$D$2:$H$6,3,FALSE),"")</f>
        <v/>
      </c>
      <c r="AA1065" s="29" t="str">
        <f>IFERROR(HLOOKUP(W1065,List!$D$2:$H$6,4,FALSE),"")</f>
        <v/>
      </c>
      <c r="AB1065" s="29" t="str">
        <f>IFERROR(HLOOKUP(X1065,List!$D$2:$H$6,5,FALSE),"")</f>
        <v/>
      </c>
      <c r="AC1065" s="12" t="str">
        <f t="shared" si="266"/>
        <v/>
      </c>
      <c r="AD1065" s="12" t="str">
        <f t="shared" si="267"/>
        <v/>
      </c>
      <c r="AE1065" s="12" t="str">
        <f t="shared" si="268"/>
        <v/>
      </c>
      <c r="AF1065" s="12" t="str">
        <f t="shared" si="269"/>
        <v/>
      </c>
      <c r="AG1065" t="str">
        <f>VLOOKUP(J1065,'Receivable Invoice Detail'!$A$1:F4077,6,FALSE)</f>
        <v>Down payment of 100.0%</v>
      </c>
      <c r="AM1065" s="12" t="str">
        <f t="shared" si="270"/>
        <v/>
      </c>
      <c r="AN1065" s="12" t="str">
        <f t="shared" si="271"/>
        <v/>
      </c>
      <c r="AO1065" s="12" t="str">
        <f t="shared" si="272"/>
        <v/>
      </c>
      <c r="AP1065" s="12" t="str">
        <f t="shared" si="273"/>
        <v/>
      </c>
      <c r="AQ1065" s="64" t="str">
        <f t="shared" si="264"/>
        <v/>
      </c>
      <c r="AR1065" t="s">
        <v>5931</v>
      </c>
      <c r="AS1065" s="12">
        <f t="shared" si="265"/>
        <v>12.115582373337663</v>
      </c>
      <c r="AT1065" t="s">
        <v>4388</v>
      </c>
    </row>
    <row r="1066" spans="1:46" hidden="1" x14ac:dyDescent="0.25">
      <c r="A1066" s="41">
        <f>CASOPOInvCL!T1066</f>
        <v>1</v>
      </c>
      <c r="B1066" t="str">
        <f>CASOPOInvCL!Z1066</f>
        <v>SO18014</v>
      </c>
      <c r="G1066" s="5" t="str">
        <f>CASOPOInvCL!I1066</f>
        <v>Aleksandar Stankovic</v>
      </c>
      <c r="H1066" s="31">
        <f>CASOPOInvCL!U1066</f>
        <v>10</v>
      </c>
      <c r="I1066" s="31">
        <f>CASOPOInvCL!V1066</f>
        <v>2025</v>
      </c>
      <c r="J1066" s="5" t="str">
        <f>CASOPOInvCL!AB1066</f>
        <v>INV13561</v>
      </c>
      <c r="K1066" s="31">
        <f>CASOPOInvCL!W1066</f>
        <v>12</v>
      </c>
      <c r="L1066" s="31">
        <f>CASOPOInvCL!X1066</f>
        <v>2025</v>
      </c>
      <c r="M1066" t="s">
        <v>5945</v>
      </c>
      <c r="N1066" s="5" t="str">
        <f>CASOPOInvCL!AF1066</f>
        <v>Hyperflo</v>
      </c>
      <c r="O1066" s="16" t="str">
        <f>CASOPOInvCL!AG1066</f>
        <v>CAD</v>
      </c>
      <c r="P1066" s="16">
        <f>CASOPOInvCL!AH1066</f>
        <v>8198</v>
      </c>
      <c r="Q1066" s="16">
        <f>CASOPOInvCL!AI1066</f>
        <v>5863.3614900652701</v>
      </c>
      <c r="R1066" s="32" t="str">
        <f>CASOPOInvCL!AU1066</f>
        <v>Yes</v>
      </c>
      <c r="S1066" s="16">
        <f>CASOPOInvCL!AV1066</f>
        <v>0</v>
      </c>
      <c r="T1066" s="16">
        <f>CASOPOInvCL!AW1066</f>
        <v>5863.3614900652701</v>
      </c>
      <c r="Y1066" s="29" t="str">
        <f>IFERROR(HLOOKUP(U1066,List!$D$2:$H$6,2,FALSE),"")</f>
        <v/>
      </c>
      <c r="Z1066" s="29" t="str">
        <f>IFERROR(HLOOKUP(V1066,List!$D$2:$H$6,3,FALSE),"")</f>
        <v/>
      </c>
      <c r="AA1066" s="29" t="str">
        <f>IFERROR(HLOOKUP(W1066,List!$D$2:$H$6,4,FALSE),"")</f>
        <v/>
      </c>
      <c r="AB1066" s="29" t="str">
        <f>IFERROR(HLOOKUP(X1066,List!$D$2:$H$6,5,FALSE),"")</f>
        <v/>
      </c>
      <c r="AC1066" s="12" t="str">
        <f t="shared" si="266"/>
        <v/>
      </c>
      <c r="AD1066" s="12" t="str">
        <f t="shared" si="267"/>
        <v/>
      </c>
      <c r="AE1066" s="12" t="str">
        <f t="shared" si="268"/>
        <v/>
      </c>
      <c r="AF1066" s="12" t="str">
        <f t="shared" si="269"/>
        <v/>
      </c>
      <c r="AG1066" t="str">
        <f>VLOOKUP(J1066,'Receivable Invoice Detail'!$A$1:F4078,6,FALSE)</f>
        <v>[AC-98-431-676-501] Gland Side Casing, 10x8-21 SRL-C, Cast Iron</v>
      </c>
      <c r="AM1066" s="12" t="str">
        <f t="shared" si="270"/>
        <v/>
      </c>
      <c r="AN1066" s="12" t="str">
        <f t="shared" si="271"/>
        <v/>
      </c>
      <c r="AO1066" s="12" t="str">
        <f t="shared" si="272"/>
        <v/>
      </c>
      <c r="AP1066" s="12" t="str">
        <f t="shared" si="273"/>
        <v/>
      </c>
      <c r="AQ1066" s="64" t="str">
        <f t="shared" si="264"/>
        <v/>
      </c>
      <c r="AR1066" t="s">
        <v>5943</v>
      </c>
      <c r="AS1066" s="12">
        <f t="shared" si="265"/>
        <v>2.6873352793313952E-2</v>
      </c>
      <c r="AT1066" t="s">
        <v>5945</v>
      </c>
    </row>
    <row r="1067" spans="1:46" hidden="1" x14ac:dyDescent="0.25">
      <c r="A1067" s="41">
        <f>CASOPOInvCL!T1067</f>
        <v>1</v>
      </c>
      <c r="B1067" t="str">
        <f>CASOPOInvCL!Z1067</f>
        <v>SO18016</v>
      </c>
      <c r="G1067" s="5" t="str">
        <f>CASOPOInvCL!I1067</f>
        <v>Alexis Gil Lamadrid</v>
      </c>
      <c r="H1067" s="31">
        <f>CASOPOInvCL!U1067</f>
        <v>10</v>
      </c>
      <c r="I1067" s="31">
        <f>CASOPOInvCL!V1067</f>
        <v>2025</v>
      </c>
      <c r="J1067" s="5" t="str">
        <f>CASOPOInvCL!AB1067</f>
        <v>INV13515</v>
      </c>
      <c r="K1067" s="31">
        <f>CASOPOInvCL!W1067</f>
        <v>12</v>
      </c>
      <c r="L1067" s="31">
        <f>CASOPOInvCL!X1067</f>
        <v>2025</v>
      </c>
      <c r="M1067" t="s">
        <v>5945</v>
      </c>
      <c r="N1067" s="5" t="str">
        <f>CASOPOInvCL!AF1067</f>
        <v>Resolute Forest Products - Saint-Felicien</v>
      </c>
      <c r="O1067" s="16" t="str">
        <f>CASOPOInvCL!AG1067</f>
        <v>CAD</v>
      </c>
      <c r="P1067" s="16">
        <f>CASOPOInvCL!AH1067</f>
        <v>945.96</v>
      </c>
      <c r="Q1067" s="16">
        <f>CASOPOInvCL!AI1067</f>
        <v>675.14706418587593</v>
      </c>
      <c r="R1067" s="32" t="str">
        <f>CASOPOInvCL!AU1067</f>
        <v>Yes</v>
      </c>
      <c r="S1067" s="16">
        <f>CASOPOInvCL!AV1067</f>
        <v>0</v>
      </c>
      <c r="T1067" s="16">
        <f>CASOPOInvCL!AW1067</f>
        <v>675.14706418587593</v>
      </c>
      <c r="Y1067" s="29" t="str">
        <f>IFERROR(HLOOKUP(U1067,List!$D$2:$H$6,2,FALSE),"")</f>
        <v/>
      </c>
      <c r="Z1067" s="29" t="str">
        <f>IFERROR(HLOOKUP(V1067,List!$D$2:$H$6,3,FALSE),"")</f>
        <v/>
      </c>
      <c r="AA1067" s="29" t="str">
        <f>IFERROR(HLOOKUP(W1067,List!$D$2:$H$6,4,FALSE),"")</f>
        <v/>
      </c>
      <c r="AB1067" s="29" t="str">
        <f>IFERROR(HLOOKUP(X1067,List!$D$2:$H$6,5,FALSE),"")</f>
        <v/>
      </c>
      <c r="AC1067" s="12" t="str">
        <f t="shared" si="266"/>
        <v/>
      </c>
      <c r="AD1067" s="12" t="str">
        <f t="shared" si="267"/>
        <v/>
      </c>
      <c r="AE1067" s="12" t="str">
        <f t="shared" si="268"/>
        <v/>
      </c>
      <c r="AF1067" s="12" t="str">
        <f t="shared" si="269"/>
        <v/>
      </c>
      <c r="AG1067" t="str">
        <f>VLOOKUP(J1067,'Receivable Invoice Detail'!$A$1:F4079,6,FALSE)</f>
        <v>[AC-52-108-475-012] Deflector (Inboard), Allis-Chalmers PWO, Group 2</v>
      </c>
      <c r="AM1067" s="12" t="str">
        <f t="shared" si="270"/>
        <v/>
      </c>
      <c r="AN1067" s="12" t="str">
        <f t="shared" si="271"/>
        <v/>
      </c>
      <c r="AO1067" s="12" t="str">
        <f t="shared" si="272"/>
        <v/>
      </c>
      <c r="AP1067" s="12" t="str">
        <f t="shared" si="273"/>
        <v/>
      </c>
      <c r="AQ1067" s="64" t="str">
        <f t="shared" si="264"/>
        <v/>
      </c>
      <c r="AS1067" s="12">
        <f t="shared" si="265"/>
        <v>0</v>
      </c>
      <c r="AT1067" t="s">
        <v>5945</v>
      </c>
    </row>
    <row r="1068" spans="1:46" hidden="1" x14ac:dyDescent="0.25">
      <c r="A1068" s="41">
        <f>CASOPOInvCL!T1068</f>
        <v>1</v>
      </c>
      <c r="B1068" t="str">
        <f>CASOPOInvCL!Z1068</f>
        <v>SO18017</v>
      </c>
      <c r="G1068" s="5" t="str">
        <f>CASOPOInvCL!I1068</f>
        <v>Wilka Nuñez</v>
      </c>
      <c r="H1068" s="31">
        <f>CASOPOInvCL!U1068</f>
        <v>10</v>
      </c>
      <c r="I1068" s="31">
        <f>CASOPOInvCL!V1068</f>
        <v>2025</v>
      </c>
      <c r="J1068" s="5" t="str">
        <f>CASOPOInvCL!AB1068</f>
        <v>INV13831</v>
      </c>
      <c r="K1068" s="31" t="str">
        <f>CASOPOInvCL!W1068</f>
        <v/>
      </c>
      <c r="L1068" s="31" t="str">
        <f>CASOPOInvCL!X1068</f>
        <v/>
      </c>
      <c r="M1068" t="s">
        <v>5945</v>
      </c>
      <c r="N1068" s="5" t="str">
        <f>CASOPOInvCL!AF1068</f>
        <v>Wild Rows Pump &amp; Compression LTD., Wild Rows Pump &amp; Compression LTD.</v>
      </c>
      <c r="O1068" s="16" t="str">
        <f>CASOPOInvCL!AG1068</f>
        <v>CAD</v>
      </c>
      <c r="P1068" s="16">
        <f>CASOPOInvCL!AH1068</f>
        <v>1011.91</v>
      </c>
      <c r="Q1068" s="16">
        <f>CASOPOInvCL!AI1068</f>
        <v>720.47458123111812</v>
      </c>
      <c r="R1068" s="32" t="str">
        <f>CASOPOInvCL!AU1068</f>
        <v/>
      </c>
      <c r="S1068" s="16">
        <f>CASOPOInvCL!AV1068</f>
        <v>0</v>
      </c>
      <c r="T1068" s="16">
        <f>CASOPOInvCL!AW1068</f>
        <v>0</v>
      </c>
      <c r="Y1068" s="29" t="str">
        <f>IFERROR(HLOOKUP(U1068,List!$D$2:$H$6,2,FALSE),"")</f>
        <v/>
      </c>
      <c r="Z1068" s="29" t="str">
        <f>IFERROR(HLOOKUP(V1068,List!$D$2:$H$6,3,FALSE),"")</f>
        <v/>
      </c>
      <c r="AA1068" s="29" t="str">
        <f>IFERROR(HLOOKUP(W1068,List!$D$2:$H$6,4,FALSE),"")</f>
        <v/>
      </c>
      <c r="AB1068" s="29" t="str">
        <f>IFERROR(HLOOKUP(X1068,List!$D$2:$H$6,5,FALSE),"")</f>
        <v/>
      </c>
      <c r="AC1068" s="12" t="str">
        <f t="shared" si="266"/>
        <v/>
      </c>
      <c r="AD1068" s="12" t="str">
        <f t="shared" si="267"/>
        <v/>
      </c>
      <c r="AE1068" s="12" t="str">
        <f t="shared" si="268"/>
        <v/>
      </c>
      <c r="AF1068" s="12" t="str">
        <f t="shared" si="269"/>
        <v/>
      </c>
      <c r="AG1068" t="e">
        <f>VLOOKUP(J1068,'Receivable Invoice Detail'!$A$1:F4080,6,FALSE)</f>
        <v>#N/A</v>
      </c>
      <c r="AM1068" s="12" t="str">
        <f t="shared" si="270"/>
        <v/>
      </c>
      <c r="AN1068" s="12" t="str">
        <f t="shared" si="271"/>
        <v/>
      </c>
      <c r="AO1068" s="12" t="str">
        <f t="shared" si="272"/>
        <v/>
      </c>
      <c r="AP1068" s="12" t="str">
        <f t="shared" si="273"/>
        <v/>
      </c>
      <c r="AQ1068" s="64" t="str">
        <f t="shared" si="264"/>
        <v/>
      </c>
      <c r="AS1068" s="12">
        <f t="shared" si="265"/>
        <v>12.066444501520687</v>
      </c>
      <c r="AT1068" t="s">
        <v>5945</v>
      </c>
    </row>
    <row r="1069" spans="1:46" hidden="1" x14ac:dyDescent="0.25">
      <c r="A1069" s="41">
        <f>CASOPOInvCL!T1069</f>
        <v>1</v>
      </c>
      <c r="B1069" t="str">
        <f>CASOPOInvCL!Z1069</f>
        <v>SO18024</v>
      </c>
      <c r="D1069" t="s">
        <v>5851</v>
      </c>
      <c r="G1069" s="5" t="str">
        <f>CASOPOInvCL!I1069</f>
        <v>Alexis Gil Lamadrid</v>
      </c>
      <c r="H1069" s="31">
        <f>CASOPOInvCL!U1069</f>
        <v>10</v>
      </c>
      <c r="I1069" s="31">
        <f>CASOPOInvCL!V1069</f>
        <v>2025</v>
      </c>
      <c r="J1069" s="5" t="str">
        <f>CASOPOInvCL!AB1069</f>
        <v>INV13543</v>
      </c>
      <c r="K1069" s="31">
        <f>CASOPOInvCL!W1069</f>
        <v>11</v>
      </c>
      <c r="L1069" s="31">
        <f>CASOPOInvCL!X1069</f>
        <v>2025</v>
      </c>
      <c r="M1069">
        <v>2504</v>
      </c>
      <c r="N1069" s="5" t="str">
        <f>CASOPOInvCL!AF1069</f>
        <v>Wajax Limited - Thunder Bay, Wajax Limited - Thunder Bay</v>
      </c>
      <c r="O1069" s="16" t="str">
        <f>CASOPOInvCL!AG1069</f>
        <v>CAD</v>
      </c>
      <c r="P1069" s="16">
        <f>CASOPOInvCL!AH1069</f>
        <v>196</v>
      </c>
      <c r="Q1069" s="16">
        <f>CASOPOInvCL!AI1069</f>
        <v>139.52876622588224</v>
      </c>
      <c r="R1069" s="32" t="str">
        <f>CASOPOInvCL!AU1069</f>
        <v>Yes</v>
      </c>
      <c r="S1069" s="16">
        <f>CASOPOInvCL!AV1069</f>
        <v>0</v>
      </c>
      <c r="T1069" s="16">
        <f>CASOPOInvCL!AW1069</f>
        <v>139.52876622588224</v>
      </c>
      <c r="V1069" t="s">
        <v>5800</v>
      </c>
      <c r="Y1069" s="29" t="str">
        <f>IFERROR(HLOOKUP(U1069,List!$D$2:$H$6,2,FALSE),"")</f>
        <v/>
      </c>
      <c r="Z1069" s="29">
        <f>IFERROR(HLOOKUP(V1069,List!$D$2:$H$6,3,FALSE),"")</f>
        <v>5.0000000000000001E-3</v>
      </c>
      <c r="AA1069" s="29" t="str">
        <f>IFERROR(HLOOKUP(W1069,List!$D$2:$H$6,4,FALSE),"")</f>
        <v/>
      </c>
      <c r="AB1069" s="29" t="str">
        <f>IFERROR(HLOOKUP(X1069,List!$D$2:$H$6,5,FALSE),"")</f>
        <v/>
      </c>
      <c r="AC1069" s="12" t="str">
        <f t="shared" si="266"/>
        <v/>
      </c>
      <c r="AD1069" s="12">
        <f t="shared" si="267"/>
        <v>0.6976438311294112</v>
      </c>
      <c r="AE1069" s="12" t="str">
        <f t="shared" si="268"/>
        <v/>
      </c>
      <c r="AF1069" s="12" t="str">
        <f t="shared" si="269"/>
        <v/>
      </c>
      <c r="AG1069" t="str">
        <f>VLOOKUP(J1069,'Receivable Invoice Detail'!$A$1:F4081,6,FALSE)</f>
        <v>[W-G045M/C23] Gland Bolt w/Nut &amp; Washer, 10/8 to 14/12</v>
      </c>
      <c r="AM1069" s="12" t="str">
        <f t="shared" si="270"/>
        <v/>
      </c>
      <c r="AN1069" s="12">
        <f t="shared" si="271"/>
        <v>0.6976438311294112</v>
      </c>
      <c r="AO1069" s="12" t="str">
        <f t="shared" si="272"/>
        <v/>
      </c>
      <c r="AP1069" s="12" t="str">
        <f t="shared" si="273"/>
        <v/>
      </c>
      <c r="AQ1069" s="64">
        <f t="shared" si="264"/>
        <v>2504</v>
      </c>
      <c r="AR1069" t="s">
        <v>5931</v>
      </c>
      <c r="AS1069" s="12">
        <f t="shared" si="265"/>
        <v>0</v>
      </c>
      <c r="AT1069" t="s">
        <v>4388</v>
      </c>
    </row>
    <row r="1070" spans="1:46" hidden="1" x14ac:dyDescent="0.25">
      <c r="A1070" s="41">
        <f>CASOPOInvCL!T1070</f>
        <v>1</v>
      </c>
      <c r="B1070" t="str">
        <f>CASOPOInvCL!Z1070</f>
        <v>SO18027</v>
      </c>
      <c r="G1070" s="5" t="str">
        <f>CASOPOInvCL!I1070</f>
        <v>Ian Trottier</v>
      </c>
      <c r="H1070" s="31">
        <f>CASOPOInvCL!U1070</f>
        <v>10</v>
      </c>
      <c r="I1070" s="31">
        <f>CASOPOInvCL!V1070</f>
        <v>2025</v>
      </c>
      <c r="J1070" s="5" t="str">
        <f>CASOPOInvCL!AB1070</f>
        <v>INV13825</v>
      </c>
      <c r="K1070" s="31" t="str">
        <f>CASOPOInvCL!W1070</f>
        <v/>
      </c>
      <c r="L1070" s="31" t="str">
        <f>CASOPOInvCL!X1070</f>
        <v/>
      </c>
      <c r="M1070" t="s">
        <v>5945</v>
      </c>
      <c r="N1070" s="5" t="str">
        <f>CASOPOInvCL!AF1070</f>
        <v>Resolute Forest Products - Gatineau</v>
      </c>
      <c r="O1070" s="16" t="str">
        <f>CASOPOInvCL!AG1070</f>
        <v>CAD</v>
      </c>
      <c r="P1070" s="16">
        <f>CASOPOInvCL!AH1070</f>
        <v>2439.1</v>
      </c>
      <c r="Q1070" s="16">
        <f>CASOPOInvCL!AI1070</f>
        <v>1740.7713515634762</v>
      </c>
      <c r="R1070" s="32" t="str">
        <f>CASOPOInvCL!AU1070</f>
        <v/>
      </c>
      <c r="S1070" s="16">
        <f>CASOPOInvCL!AV1070</f>
        <v>0</v>
      </c>
      <c r="T1070" s="16">
        <f>CASOPOInvCL!AW1070</f>
        <v>0</v>
      </c>
      <c r="Y1070" s="29" t="str">
        <f>IFERROR(HLOOKUP(U1070,List!$D$2:$H$6,2,FALSE),"")</f>
        <v/>
      </c>
      <c r="Z1070" s="29" t="str">
        <f>IFERROR(HLOOKUP(V1070,List!$D$2:$H$6,3,FALSE),"")</f>
        <v/>
      </c>
      <c r="AA1070" s="29" t="str">
        <f>IFERROR(HLOOKUP(W1070,List!$D$2:$H$6,4,FALSE),"")</f>
        <v/>
      </c>
      <c r="AB1070" s="29" t="str">
        <f>IFERROR(HLOOKUP(X1070,List!$D$2:$H$6,5,FALSE),"")</f>
        <v/>
      </c>
      <c r="AC1070" s="12" t="str">
        <f t="shared" si="266"/>
        <v/>
      </c>
      <c r="AD1070" s="12" t="str">
        <f t="shared" si="267"/>
        <v/>
      </c>
      <c r="AE1070" s="12" t="str">
        <f t="shared" si="268"/>
        <v/>
      </c>
      <c r="AF1070" s="12" t="str">
        <f t="shared" si="269"/>
        <v/>
      </c>
      <c r="AG1070" t="str">
        <f>VLOOKUP(J1070,'Receivable Invoice Detail'!$A$1:F4082,6,FALSE)</f>
        <v>[G-0D04563A02 1216] Impeller, 4x6-17, 3196 X17, CD4MCu</v>
      </c>
      <c r="AM1070" s="12" t="str">
        <f t="shared" si="270"/>
        <v/>
      </c>
      <c r="AN1070" s="12" t="str">
        <f t="shared" si="271"/>
        <v/>
      </c>
      <c r="AO1070" s="12" t="str">
        <f t="shared" si="272"/>
        <v/>
      </c>
      <c r="AP1070" s="12" t="str">
        <f t="shared" si="273"/>
        <v/>
      </c>
      <c r="AQ1070" s="64" t="str">
        <f t="shared" si="264"/>
        <v/>
      </c>
      <c r="AS1070" s="12">
        <f t="shared" si="265"/>
        <v>0</v>
      </c>
      <c r="AT1070" t="s">
        <v>5945</v>
      </c>
    </row>
    <row r="1071" spans="1:46" hidden="1" x14ac:dyDescent="0.25">
      <c r="A1071" s="41">
        <f>CASOPOInvCL!T1071</f>
        <v>1</v>
      </c>
      <c r="B1071" t="str">
        <f>CASOPOInvCL!Z1071</f>
        <v>SO18028</v>
      </c>
      <c r="G1071" s="5" t="str">
        <f>CASOPOInvCL!I1071</f>
        <v>Ian Trottier</v>
      </c>
      <c r="H1071" s="31">
        <f>CASOPOInvCL!U1071</f>
        <v>10</v>
      </c>
      <c r="I1071" s="31">
        <f>CASOPOInvCL!V1071</f>
        <v>2025</v>
      </c>
      <c r="J1071" s="5" t="str">
        <f>CASOPOInvCL!AB1071</f>
        <v>INV13547</v>
      </c>
      <c r="K1071" s="31">
        <f>CASOPOInvCL!W1071</f>
        <v>12</v>
      </c>
      <c r="L1071" s="31">
        <f>CASOPOInvCL!X1071</f>
        <v>2025</v>
      </c>
      <c r="M1071" t="s">
        <v>5945</v>
      </c>
      <c r="N1071" s="5" t="str">
        <f>CASOPOInvCL!AF1071</f>
        <v>Canadian Bearings Ltd.</v>
      </c>
      <c r="O1071" s="16" t="str">
        <f>CASOPOInvCL!AG1071</f>
        <v>CAD</v>
      </c>
      <c r="P1071" s="16">
        <f>CASOPOInvCL!AH1071</f>
        <v>131.91999999999999</v>
      </c>
      <c r="Q1071" s="16">
        <f>CASOPOInvCL!AI1071</f>
        <v>94.022616920243095</v>
      </c>
      <c r="R1071" s="32" t="str">
        <f>CASOPOInvCL!AU1071</f>
        <v>Yes</v>
      </c>
      <c r="S1071" s="16">
        <f>CASOPOInvCL!AV1071</f>
        <v>0</v>
      </c>
      <c r="T1071" s="16">
        <f>CASOPOInvCL!AW1071</f>
        <v>94.022616920243095</v>
      </c>
      <c r="Y1071" s="29" t="str">
        <f>IFERROR(HLOOKUP(U1071,List!$D$2:$H$6,2,FALSE),"")</f>
        <v/>
      </c>
      <c r="Z1071" s="29" t="str">
        <f>IFERROR(HLOOKUP(V1071,List!$D$2:$H$6,3,FALSE),"")</f>
        <v/>
      </c>
      <c r="AA1071" s="29" t="str">
        <f>IFERROR(HLOOKUP(W1071,List!$D$2:$H$6,4,FALSE),"")</f>
        <v/>
      </c>
      <c r="AB1071" s="29" t="str">
        <f>IFERROR(HLOOKUP(X1071,List!$D$2:$H$6,5,FALSE),"")</f>
        <v/>
      </c>
      <c r="AC1071" s="12" t="str">
        <f t="shared" si="266"/>
        <v/>
      </c>
      <c r="AD1071" s="12" t="str">
        <f t="shared" si="267"/>
        <v/>
      </c>
      <c r="AE1071" s="12" t="str">
        <f t="shared" si="268"/>
        <v/>
      </c>
      <c r="AF1071" s="12" t="str">
        <f t="shared" si="269"/>
        <v/>
      </c>
      <c r="AG1071" t="str">
        <f>VLOOKUP(J1071,'Receivable Invoice Detail'!$A$1:F4083,6,FALSE)</f>
        <v>[AC-52-431-816-007] Casing Gasket, 10",  Allis Chalmers CSO</v>
      </c>
      <c r="AM1071" s="12" t="str">
        <f t="shared" si="270"/>
        <v/>
      </c>
      <c r="AN1071" s="12" t="str">
        <f t="shared" si="271"/>
        <v/>
      </c>
      <c r="AO1071" s="12" t="str">
        <f t="shared" si="272"/>
        <v/>
      </c>
      <c r="AP1071" s="12" t="str">
        <f t="shared" si="273"/>
        <v/>
      </c>
      <c r="AQ1071" s="64" t="str">
        <f t="shared" si="264"/>
        <v/>
      </c>
      <c r="AS1071" s="12">
        <f t="shared" si="265"/>
        <v>8.0565051007131014</v>
      </c>
      <c r="AT1071" t="s">
        <v>5945</v>
      </c>
    </row>
    <row r="1072" spans="1:46" hidden="1" x14ac:dyDescent="0.25">
      <c r="A1072" s="41">
        <f>CASOPOInvCL!T1072</f>
        <v>1</v>
      </c>
      <c r="B1072" t="str">
        <f>CASOPOInvCL!Z1072</f>
        <v>SO18030</v>
      </c>
      <c r="G1072" s="5" t="str">
        <f>CASOPOInvCL!I1072</f>
        <v>Alexis Gil Lamadrid</v>
      </c>
      <c r="H1072" s="31">
        <f>CASOPOInvCL!U1072</f>
        <v>10</v>
      </c>
      <c r="I1072" s="31">
        <f>CASOPOInvCL!V1072</f>
        <v>2025</v>
      </c>
      <c r="J1072" s="5" t="str">
        <f>CASOPOInvCL!AB1072</f>
        <v>INV13581</v>
      </c>
      <c r="K1072" s="31">
        <f>CASOPOInvCL!W1072</f>
        <v>12</v>
      </c>
      <c r="L1072" s="31">
        <f>CASOPOInvCL!X1072</f>
        <v>2025</v>
      </c>
      <c r="M1072" t="s">
        <v>5945</v>
      </c>
      <c r="N1072" s="5" t="str">
        <f>CASOPOInvCL!AF1072</f>
        <v>Resolute Forest Products - Dolbeau</v>
      </c>
      <c r="O1072" s="16" t="str">
        <f>CASOPOInvCL!AG1072</f>
        <v>CAD</v>
      </c>
      <c r="P1072" s="16">
        <f>CASOPOInvCL!AH1072</f>
        <v>1173.25</v>
      </c>
      <c r="Q1072" s="16">
        <f>CASOPOInvCL!AI1072</f>
        <v>838.07687633258161</v>
      </c>
      <c r="R1072" s="32" t="str">
        <f>CASOPOInvCL!AU1072</f>
        <v>Yes</v>
      </c>
      <c r="S1072" s="16">
        <f>CASOPOInvCL!AV1072</f>
        <v>0</v>
      </c>
      <c r="T1072" s="16">
        <f>CASOPOInvCL!AW1072</f>
        <v>838.07687633258161</v>
      </c>
      <c r="Y1072" s="29" t="str">
        <f>IFERROR(HLOOKUP(U1072,List!$D$2:$H$6,2,FALSE),"")</f>
        <v/>
      </c>
      <c r="Z1072" s="29" t="str">
        <f>IFERROR(HLOOKUP(V1072,List!$D$2:$H$6,3,FALSE),"")</f>
        <v/>
      </c>
      <c r="AA1072" s="29" t="str">
        <f>IFERROR(HLOOKUP(W1072,List!$D$2:$H$6,4,FALSE),"")</f>
        <v/>
      </c>
      <c r="AB1072" s="29" t="str">
        <f>IFERROR(HLOOKUP(X1072,List!$D$2:$H$6,5,FALSE),"")</f>
        <v/>
      </c>
      <c r="AC1072" s="12" t="str">
        <f t="shared" si="266"/>
        <v/>
      </c>
      <c r="AD1072" s="12" t="str">
        <f t="shared" si="267"/>
        <v/>
      </c>
      <c r="AE1072" s="12" t="str">
        <f t="shared" si="268"/>
        <v/>
      </c>
      <c r="AF1072" s="12" t="str">
        <f t="shared" si="269"/>
        <v/>
      </c>
      <c r="AG1072" t="str">
        <f>VLOOKUP(J1072,'Receivable Invoice Detail'!$A$1:F4084,6,FALSE)</f>
        <v>[WO-9090140-183] Impeller Nut, Worthington, 8FRBH152 316SS</v>
      </c>
      <c r="AM1072" s="12" t="str">
        <f t="shared" si="270"/>
        <v/>
      </c>
      <c r="AN1072" s="12" t="str">
        <f t="shared" si="271"/>
        <v/>
      </c>
      <c r="AO1072" s="12" t="str">
        <f t="shared" si="272"/>
        <v/>
      </c>
      <c r="AP1072" s="12" t="str">
        <f t="shared" si="273"/>
        <v/>
      </c>
      <c r="AQ1072" s="64" t="str">
        <f t="shared" si="264"/>
        <v/>
      </c>
      <c r="AS1072" s="12">
        <f t="shared" si="265"/>
        <v>0</v>
      </c>
      <c r="AT1072" t="s">
        <v>5945</v>
      </c>
    </row>
    <row r="1073" spans="1:46" hidden="1" x14ac:dyDescent="0.25">
      <c r="A1073" s="41">
        <f>CASOPOInvCL!T1073</f>
        <v>0</v>
      </c>
      <c r="B1073" t="str">
        <f>CASOPOInvCL!Z1073</f>
        <v>SO18036</v>
      </c>
      <c r="G1073" s="5" t="str">
        <f>CASOPOInvCL!I1073</f>
        <v>Jeff Bell</v>
      </c>
      <c r="H1073" s="31">
        <f>CASOPOInvCL!U1073</f>
        <v>10</v>
      </c>
      <c r="I1073" s="31">
        <f>CASOPOInvCL!V1073</f>
        <v>2025</v>
      </c>
      <c r="J1073" s="5" t="str">
        <f>CASOPOInvCL!AB1073</f>
        <v>No Inv</v>
      </c>
      <c r="K1073" s="31" t="str">
        <f>CASOPOInvCL!W1073</f>
        <v/>
      </c>
      <c r="L1073" s="31" t="str">
        <f>CASOPOInvCL!X1073</f>
        <v/>
      </c>
      <c r="M1073" t="s">
        <v>5945</v>
      </c>
      <c r="N1073" s="5" t="str">
        <f>CASOPOInvCL!AF1073</f>
        <v>Barrick Gold - Pueblo Viejo Dominicana Corporation</v>
      </c>
      <c r="O1073" s="16" t="str">
        <f>CASOPOInvCL!AG1073</f>
        <v>USD</v>
      </c>
      <c r="P1073" s="16">
        <f>CASOPOInvCL!AH1073</f>
        <v>561.8019157710678</v>
      </c>
      <c r="Q1073" s="16">
        <f>CASOPOInvCL!AI1073</f>
        <v>400</v>
      </c>
      <c r="R1073" s="32" t="str">
        <f>CASOPOInvCL!AU1073</f>
        <v/>
      </c>
      <c r="S1073" s="16">
        <f>CASOPOInvCL!AV1073</f>
        <v>0</v>
      </c>
      <c r="T1073" s="16">
        <f>CASOPOInvCL!AW1073</f>
        <v>0</v>
      </c>
      <c r="Y1073" s="29" t="str">
        <f>IFERROR(HLOOKUP(U1073,List!$D$2:$H$6,2,FALSE),"")</f>
        <v/>
      </c>
      <c r="Z1073" s="29" t="str">
        <f>IFERROR(HLOOKUP(V1073,List!$D$2:$H$6,3,FALSE),"")</f>
        <v/>
      </c>
      <c r="AA1073" s="29" t="str">
        <f>IFERROR(HLOOKUP(W1073,List!$D$2:$H$6,4,FALSE),"")</f>
        <v/>
      </c>
      <c r="AB1073" s="29" t="str">
        <f>IFERROR(HLOOKUP(X1073,List!$D$2:$H$6,5,FALSE),"")</f>
        <v/>
      </c>
      <c r="AC1073" s="12" t="str">
        <f t="shared" si="266"/>
        <v/>
      </c>
      <c r="AD1073" s="12" t="str">
        <f t="shared" si="267"/>
        <v/>
      </c>
      <c r="AE1073" s="12" t="str">
        <f t="shared" si="268"/>
        <v/>
      </c>
      <c r="AF1073" s="12" t="str">
        <f t="shared" si="269"/>
        <v/>
      </c>
      <c r="AG1073" t="e">
        <f>VLOOKUP(J1073,'Receivable Invoice Detail'!$A$1:F4085,6,FALSE)</f>
        <v>#N/A</v>
      </c>
      <c r="AM1073" s="12" t="str">
        <f t="shared" si="270"/>
        <v/>
      </c>
      <c r="AN1073" s="12" t="str">
        <f t="shared" si="271"/>
        <v/>
      </c>
      <c r="AO1073" s="12" t="str">
        <f t="shared" si="272"/>
        <v/>
      </c>
      <c r="AP1073" s="12" t="str">
        <f t="shared" si="273"/>
        <v/>
      </c>
      <c r="AQ1073" s="64" t="str">
        <f t="shared" si="264"/>
        <v/>
      </c>
      <c r="AR1073" t="s">
        <v>426</v>
      </c>
      <c r="AS1073" s="12">
        <f t="shared" si="265"/>
        <v>87.950422350979053</v>
      </c>
      <c r="AT1073" t="s">
        <v>5945</v>
      </c>
    </row>
    <row r="1074" spans="1:46" hidden="1" x14ac:dyDescent="0.25">
      <c r="A1074" s="41">
        <f>CASOPOInvCL!T1074</f>
        <v>0</v>
      </c>
      <c r="B1074" t="str">
        <f>CASOPOInvCL!Z1074</f>
        <v>SO18040</v>
      </c>
      <c r="G1074" s="5" t="str">
        <f>CASOPOInvCL!I1074</f>
        <v>Aleksandar Stankovic</v>
      </c>
      <c r="H1074" s="31">
        <f>CASOPOInvCL!U1074</f>
        <v>10</v>
      </c>
      <c r="I1074" s="31">
        <f>CASOPOInvCL!V1074</f>
        <v>2025</v>
      </c>
      <c r="J1074" s="5" t="str">
        <f>CASOPOInvCL!AB1074</f>
        <v>No Inv</v>
      </c>
      <c r="K1074" s="31" t="str">
        <f>CASOPOInvCL!W1074</f>
        <v/>
      </c>
      <c r="L1074" s="31" t="str">
        <f>CASOPOInvCL!X1074</f>
        <v/>
      </c>
      <c r="M1074" t="s">
        <v>5945</v>
      </c>
      <c r="N1074" s="5" t="str">
        <f>CASOPOInvCL!AF1074</f>
        <v>Gibraltar Mine (Canada)</v>
      </c>
      <c r="O1074" s="16" t="str">
        <f>CASOPOInvCL!AG1074</f>
        <v>CAD</v>
      </c>
      <c r="P1074" s="16">
        <f>CASOPOInvCL!AH1074</f>
        <v>29239</v>
      </c>
      <c r="Q1074" s="16">
        <f>CASOPOInvCL!AI1074</f>
        <v>20818.013737008885</v>
      </c>
      <c r="R1074" s="32" t="str">
        <f>CASOPOInvCL!AU1074</f>
        <v/>
      </c>
      <c r="S1074" s="16">
        <f>CASOPOInvCL!AV1074</f>
        <v>0</v>
      </c>
      <c r="T1074" s="16">
        <f>CASOPOInvCL!AW1074</f>
        <v>0</v>
      </c>
      <c r="Y1074" s="29" t="str">
        <f>IFERROR(HLOOKUP(U1074,List!$D$2:$H$6,2,FALSE),"")</f>
        <v/>
      </c>
      <c r="Z1074" s="29" t="str">
        <f>IFERROR(HLOOKUP(V1074,List!$D$2:$H$6,3,FALSE),"")</f>
        <v/>
      </c>
      <c r="AA1074" s="29" t="str">
        <f>IFERROR(HLOOKUP(W1074,List!$D$2:$H$6,4,FALSE),"")</f>
        <v/>
      </c>
      <c r="AB1074" s="29" t="str">
        <f>IFERROR(HLOOKUP(X1074,List!$D$2:$H$6,5,FALSE),"")</f>
        <v/>
      </c>
      <c r="AC1074" s="12" t="str">
        <f t="shared" si="266"/>
        <v/>
      </c>
      <c r="AD1074" s="12" t="str">
        <f t="shared" si="267"/>
        <v/>
      </c>
      <c r="AE1074" s="12" t="str">
        <f t="shared" si="268"/>
        <v/>
      </c>
      <c r="AF1074" s="12" t="str">
        <f t="shared" si="269"/>
        <v/>
      </c>
      <c r="AG1074" t="e">
        <f>VLOOKUP(J1074,'Receivable Invoice Detail'!$A$1:F4086,6,FALSE)</f>
        <v>#N/A</v>
      </c>
      <c r="AM1074" s="12" t="str">
        <f t="shared" si="270"/>
        <v/>
      </c>
      <c r="AN1074" s="12" t="str">
        <f t="shared" si="271"/>
        <v/>
      </c>
      <c r="AO1074" s="12" t="str">
        <f t="shared" si="272"/>
        <v/>
      </c>
      <c r="AP1074" s="12" t="str">
        <f t="shared" si="273"/>
        <v/>
      </c>
      <c r="AQ1074" s="64" t="str">
        <f t="shared" si="264"/>
        <v/>
      </c>
      <c r="AR1074" t="s">
        <v>5943</v>
      </c>
      <c r="AS1074" s="12">
        <f t="shared" si="265"/>
        <v>10.127205962788139</v>
      </c>
      <c r="AT1074" t="s">
        <v>5945</v>
      </c>
    </row>
    <row r="1075" spans="1:46" hidden="1" x14ac:dyDescent="0.25">
      <c r="A1075" s="41">
        <f>CASOPOInvCL!T1075</f>
        <v>1</v>
      </c>
      <c r="B1075" t="str">
        <f>CASOPOInvCL!Z1075</f>
        <v>SO18042</v>
      </c>
      <c r="G1075" s="5" t="str">
        <f>CASOPOInvCL!I1075</f>
        <v>Alexis Gil Lamadrid</v>
      </c>
      <c r="H1075" s="31">
        <f>CASOPOInvCL!U1075</f>
        <v>10</v>
      </c>
      <c r="I1075" s="31">
        <f>CASOPOInvCL!V1075</f>
        <v>2025</v>
      </c>
      <c r="J1075" s="5" t="str">
        <f>CASOPOInvCL!AB1075</f>
        <v>INV13835</v>
      </c>
      <c r="K1075" s="31" t="str">
        <f>CASOPOInvCL!W1075</f>
        <v/>
      </c>
      <c r="L1075" s="31" t="str">
        <f>CASOPOInvCL!X1075</f>
        <v/>
      </c>
      <c r="M1075" t="s">
        <v>5945</v>
      </c>
      <c r="N1075" s="5" t="str">
        <f>CASOPOInvCL!AF1075</f>
        <v>Resolute Forest Products - Saint-Felicien</v>
      </c>
      <c r="O1075" s="16" t="str">
        <f>CASOPOInvCL!AG1075</f>
        <v>CAD</v>
      </c>
      <c r="P1075" s="16">
        <f>CASOPOInvCL!AH1075</f>
        <v>4804.82</v>
      </c>
      <c r="Q1075" s="16">
        <f>CASOPOInvCL!AI1075</f>
        <v>3421.0064900938833</v>
      </c>
      <c r="R1075" s="32" t="str">
        <f>CASOPOInvCL!AU1075</f>
        <v/>
      </c>
      <c r="S1075" s="16">
        <f>CASOPOInvCL!AV1075</f>
        <v>0</v>
      </c>
      <c r="T1075" s="16">
        <f>CASOPOInvCL!AW1075</f>
        <v>0</v>
      </c>
      <c r="Y1075" s="29" t="str">
        <f>IFERROR(HLOOKUP(U1075,List!$D$2:$H$6,2,FALSE),"")</f>
        <v/>
      </c>
      <c r="Z1075" s="29" t="str">
        <f>IFERROR(HLOOKUP(V1075,List!$D$2:$H$6,3,FALSE),"")</f>
        <v/>
      </c>
      <c r="AA1075" s="29" t="str">
        <f>IFERROR(HLOOKUP(W1075,List!$D$2:$H$6,4,FALSE),"")</f>
        <v/>
      </c>
      <c r="AB1075" s="29" t="str">
        <f>IFERROR(HLOOKUP(X1075,List!$D$2:$H$6,5,FALSE),"")</f>
        <v/>
      </c>
      <c r="AC1075" s="12" t="str">
        <f t="shared" si="266"/>
        <v/>
      </c>
      <c r="AD1075" s="12" t="str">
        <f t="shared" si="267"/>
        <v/>
      </c>
      <c r="AE1075" s="12" t="str">
        <f t="shared" si="268"/>
        <v/>
      </c>
      <c r="AF1075" s="12" t="str">
        <f t="shared" si="269"/>
        <v/>
      </c>
      <c r="AG1075" t="e">
        <f>VLOOKUP(J1075,'Receivable Invoice Detail'!$A$1:F4087,6,FALSE)</f>
        <v>#N/A</v>
      </c>
      <c r="AM1075" s="12" t="str">
        <f t="shared" si="270"/>
        <v/>
      </c>
      <c r="AN1075" s="12" t="str">
        <f t="shared" si="271"/>
        <v/>
      </c>
      <c r="AO1075" s="12" t="str">
        <f t="shared" si="272"/>
        <v/>
      </c>
      <c r="AP1075" s="12" t="str">
        <f t="shared" si="273"/>
        <v/>
      </c>
      <c r="AQ1075" s="64" t="str">
        <f t="shared" si="264"/>
        <v/>
      </c>
      <c r="AS1075" s="12">
        <f t="shared" si="265"/>
        <v>0</v>
      </c>
      <c r="AT1075" t="s">
        <v>5945</v>
      </c>
    </row>
    <row r="1076" spans="1:46" hidden="1" x14ac:dyDescent="0.25">
      <c r="A1076" s="41">
        <f>CASOPOInvCL!T1076</f>
        <v>1</v>
      </c>
      <c r="B1076" t="str">
        <f>CASOPOInvCL!Z1076</f>
        <v>SO18045</v>
      </c>
      <c r="G1076" s="5" t="str">
        <f>CASOPOInvCL!I1076</f>
        <v>Amanda Qiao</v>
      </c>
      <c r="H1076" s="31">
        <f>CASOPOInvCL!U1076</f>
        <v>10</v>
      </c>
      <c r="I1076" s="31">
        <f>CASOPOInvCL!V1076</f>
        <v>2025</v>
      </c>
      <c r="J1076" s="5" t="str">
        <f>CASOPOInvCL!AB1076</f>
        <v>INV13764</v>
      </c>
      <c r="K1076" s="31" t="str">
        <f>CASOPOInvCL!W1076</f>
        <v/>
      </c>
      <c r="L1076" s="31" t="str">
        <f>CASOPOInvCL!X1076</f>
        <v/>
      </c>
      <c r="M1076" t="s">
        <v>5945</v>
      </c>
      <c r="N1076" s="5" t="str">
        <f>CASOPOInvCL!AF1076</f>
        <v>Nord-Flo Inc.</v>
      </c>
      <c r="O1076" s="16" t="str">
        <f>CASOPOInvCL!AG1076</f>
        <v>CAD</v>
      </c>
      <c r="P1076" s="16">
        <f>CASOPOInvCL!AH1076</f>
        <v>9147.06</v>
      </c>
      <c r="Q1076" s="16">
        <f>CASOPOInvCL!AI1076</f>
        <v>6529.1850605929394</v>
      </c>
      <c r="R1076" s="32" t="str">
        <f>CASOPOInvCL!AU1076</f>
        <v/>
      </c>
      <c r="S1076" s="16">
        <f>CASOPOInvCL!AV1076</f>
        <v>0</v>
      </c>
      <c r="T1076" s="16">
        <f>CASOPOInvCL!AW1076</f>
        <v>0</v>
      </c>
      <c r="Y1076" s="29" t="str">
        <f>IFERROR(HLOOKUP(U1076,List!$D$2:$H$6,2,FALSE),"")</f>
        <v/>
      </c>
      <c r="Z1076" s="29" t="str">
        <f>IFERROR(HLOOKUP(V1076,List!$D$2:$H$6,3,FALSE),"")</f>
        <v/>
      </c>
      <c r="AA1076" s="29" t="str">
        <f>IFERROR(HLOOKUP(W1076,List!$D$2:$H$6,4,FALSE),"")</f>
        <v/>
      </c>
      <c r="AB1076" s="29" t="str">
        <f>IFERROR(HLOOKUP(X1076,List!$D$2:$H$6,5,FALSE),"")</f>
        <v/>
      </c>
      <c r="AC1076" s="12" t="str">
        <f t="shared" si="266"/>
        <v/>
      </c>
      <c r="AD1076" s="12" t="str">
        <f t="shared" si="267"/>
        <v/>
      </c>
      <c r="AE1076" s="12" t="str">
        <f t="shared" si="268"/>
        <v/>
      </c>
      <c r="AF1076" s="12" t="str">
        <f t="shared" si="269"/>
        <v/>
      </c>
      <c r="AG1076" t="str">
        <f>VLOOKUP(J1076,'Receivable Invoice Detail'!$A$1:F4088,6,FALSE)</f>
        <v>[W-32CWXR] Pump, W-Series 3/2 C-DHR, Natural Rubber</v>
      </c>
      <c r="AM1076" s="12" t="str">
        <f t="shared" si="270"/>
        <v/>
      </c>
      <c r="AN1076" s="12" t="str">
        <f t="shared" si="271"/>
        <v/>
      </c>
      <c r="AO1076" s="12" t="str">
        <f t="shared" si="272"/>
        <v/>
      </c>
      <c r="AP1076" s="12" t="str">
        <f t="shared" si="273"/>
        <v/>
      </c>
      <c r="AQ1076" s="64" t="str">
        <f t="shared" si="264"/>
        <v/>
      </c>
      <c r="AS1076" s="12">
        <f t="shared" si="265"/>
        <v>2.0929314933882335</v>
      </c>
      <c r="AT1076" t="s">
        <v>5945</v>
      </c>
    </row>
    <row r="1077" spans="1:46" hidden="1" x14ac:dyDescent="0.25">
      <c r="A1077" s="41">
        <f>CASOPOInvCL!T1077</f>
        <v>1</v>
      </c>
      <c r="B1077" t="str">
        <f>CASOPOInvCL!Z1077</f>
        <v>SO18047</v>
      </c>
      <c r="D1077" t="s">
        <v>5852</v>
      </c>
      <c r="G1077" s="5" t="str">
        <f>CASOPOInvCL!I1077</f>
        <v>Aleksandar Stankovic</v>
      </c>
      <c r="H1077" s="31">
        <f>CASOPOInvCL!U1077</f>
        <v>10</v>
      </c>
      <c r="I1077" s="31">
        <f>CASOPOInvCL!V1077</f>
        <v>2025</v>
      </c>
      <c r="J1077" s="5" t="str">
        <f>CASOPOInvCL!AB1077</f>
        <v>INV13537</v>
      </c>
      <c r="K1077" s="31">
        <f>CASOPOInvCL!W1077</f>
        <v>11</v>
      </c>
      <c r="L1077" s="31">
        <f>CASOPOInvCL!X1077</f>
        <v>2025</v>
      </c>
      <c r="M1077">
        <v>2504</v>
      </c>
      <c r="N1077" s="5" t="str">
        <f>CASOPOInvCL!AF1077</f>
        <v>Hyperflo</v>
      </c>
      <c r="O1077" s="16" t="str">
        <f>CASOPOInvCL!AG1077</f>
        <v>CAD</v>
      </c>
      <c r="P1077" s="16">
        <f>CASOPOInvCL!AH1077</f>
        <v>150</v>
      </c>
      <c r="Q1077" s="16">
        <f>CASOPOInvCL!AI1077</f>
        <v>107.28277915464632</v>
      </c>
      <c r="R1077" s="32" t="str">
        <f>CASOPOInvCL!AU1077</f>
        <v>Yes</v>
      </c>
      <c r="S1077" s="16">
        <f>CASOPOInvCL!AV1077</f>
        <v>0</v>
      </c>
      <c r="T1077" s="16">
        <f>CASOPOInvCL!AW1077</f>
        <v>107.28277915464632</v>
      </c>
      <c r="Y1077" s="29" t="str">
        <f>IFERROR(HLOOKUP(U1077,List!$D$2:$H$6,2,FALSE),"")</f>
        <v/>
      </c>
      <c r="Z1077" s="29" t="str">
        <f>IFERROR(HLOOKUP(V1077,List!$D$2:$H$6,3,FALSE),"")</f>
        <v/>
      </c>
      <c r="AA1077" s="29" t="str">
        <f>IFERROR(HLOOKUP(W1077,List!$D$2:$H$6,4,FALSE),"")</f>
        <v/>
      </c>
      <c r="AB1077" s="29" t="str">
        <f>IFERROR(HLOOKUP(X1077,List!$D$2:$H$6,5,FALSE),"")</f>
        <v/>
      </c>
      <c r="AC1077" s="12" t="str">
        <f t="shared" si="266"/>
        <v/>
      </c>
      <c r="AD1077" s="12" t="str">
        <f t="shared" si="267"/>
        <v/>
      </c>
      <c r="AE1077" s="12" t="str">
        <f t="shared" si="268"/>
        <v/>
      </c>
      <c r="AF1077" s="12" t="str">
        <f t="shared" si="269"/>
        <v/>
      </c>
      <c r="AG1077" t="str">
        <f>VLOOKUP(J1077,'Receivable Invoice Detail'!$A$1:F4089,6,FALSE)</f>
        <v>[AC-98-235-087-806] Fastener Kit (Suction Side Liner), 12x10-25 SRL C</v>
      </c>
      <c r="AM1077" s="12" t="str">
        <f t="shared" si="270"/>
        <v/>
      </c>
      <c r="AN1077" s="12" t="str">
        <f t="shared" si="271"/>
        <v/>
      </c>
      <c r="AO1077" s="12" t="str">
        <f t="shared" si="272"/>
        <v/>
      </c>
      <c r="AP1077" s="12" t="str">
        <f t="shared" si="273"/>
        <v/>
      </c>
      <c r="AQ1077" s="64">
        <f t="shared" si="264"/>
        <v>2504</v>
      </c>
      <c r="AR1077" t="s">
        <v>5931</v>
      </c>
      <c r="AS1077" s="12">
        <f t="shared" si="265"/>
        <v>0</v>
      </c>
      <c r="AT1077" t="s">
        <v>4388</v>
      </c>
    </row>
    <row r="1078" spans="1:46" hidden="1" x14ac:dyDescent="0.25">
      <c r="A1078" s="41">
        <f>CASOPOInvCL!T1078</f>
        <v>1</v>
      </c>
      <c r="B1078" t="str">
        <f>CASOPOInvCL!Z1078</f>
        <v>SO18048</v>
      </c>
      <c r="G1078" s="5" t="str">
        <f>CASOPOInvCL!I1078</f>
        <v>Aleksandar Stankovic</v>
      </c>
      <c r="H1078" s="31">
        <f>CASOPOInvCL!U1078</f>
        <v>10</v>
      </c>
      <c r="I1078" s="31">
        <f>CASOPOInvCL!V1078</f>
        <v>2025</v>
      </c>
      <c r="J1078" s="5" t="str">
        <f>CASOPOInvCL!AB1078</f>
        <v>INV13583</v>
      </c>
      <c r="K1078" s="31">
        <f>CASOPOInvCL!W1078</f>
        <v>1</v>
      </c>
      <c r="L1078" s="31">
        <f>CASOPOInvCL!X1078</f>
        <v>2026</v>
      </c>
      <c r="M1078" t="s">
        <v>5945</v>
      </c>
      <c r="N1078" s="5" t="str">
        <f>CASOPOInvCL!AF1078</f>
        <v>Wajax Limited - Noranda</v>
      </c>
      <c r="O1078" s="16" t="str">
        <f>CASOPOInvCL!AG1078</f>
        <v>CAD</v>
      </c>
      <c r="P1078" s="16">
        <f>CASOPOInvCL!AH1078</f>
        <v>168.59</v>
      </c>
      <c r="Q1078" s="16">
        <f>CASOPOInvCL!AI1078</f>
        <v>120.5786915845455</v>
      </c>
      <c r="R1078" s="32" t="str">
        <f>CASOPOInvCL!AU1078</f>
        <v>Yes</v>
      </c>
      <c r="S1078" s="16">
        <f>CASOPOInvCL!AV1078</f>
        <v>0</v>
      </c>
      <c r="T1078" s="16">
        <f>CASOPOInvCL!AW1078</f>
        <v>120.5786915845455</v>
      </c>
      <c r="Y1078" s="29" t="str">
        <f>IFERROR(HLOOKUP(U1078,List!$D$2:$H$6,2,FALSE),"")</f>
        <v/>
      </c>
      <c r="Z1078" s="29" t="str">
        <f>IFERROR(HLOOKUP(V1078,List!$D$2:$H$6,3,FALSE),"")</f>
        <v/>
      </c>
      <c r="AA1078" s="29" t="str">
        <f>IFERROR(HLOOKUP(W1078,List!$D$2:$H$6,4,FALSE),"")</f>
        <v/>
      </c>
      <c r="AB1078" s="29" t="str">
        <f>IFERROR(HLOOKUP(X1078,List!$D$2:$H$6,5,FALSE),"")</f>
        <v/>
      </c>
      <c r="AC1078" s="12" t="str">
        <f t="shared" si="266"/>
        <v/>
      </c>
      <c r="AD1078" s="12" t="str">
        <f t="shared" si="267"/>
        <v/>
      </c>
      <c r="AE1078" s="12" t="str">
        <f t="shared" si="268"/>
        <v/>
      </c>
      <c r="AF1078" s="12" t="str">
        <f t="shared" si="269"/>
        <v/>
      </c>
      <c r="AG1078" t="str">
        <f>VLOOKUP(J1078,'Receivable Invoice Detail'!$A$1:F4090,6,FALSE)</f>
        <v>[AC-98-5414-HC6] Stuffing Box Gasket, 5x4-14 SRL-C, Rubber, 3-Piece Design</v>
      </c>
      <c r="AM1078" s="12" t="str">
        <f t="shared" si="270"/>
        <v/>
      </c>
      <c r="AN1078" s="12" t="str">
        <f t="shared" si="271"/>
        <v/>
      </c>
      <c r="AO1078" s="12" t="str">
        <f t="shared" si="272"/>
        <v/>
      </c>
      <c r="AP1078" s="12" t="str">
        <f t="shared" si="273"/>
        <v/>
      </c>
      <c r="AQ1078" s="64" t="str">
        <f t="shared" si="264"/>
        <v/>
      </c>
      <c r="AR1078" t="s">
        <v>5943</v>
      </c>
      <c r="AS1078" s="12">
        <f t="shared" si="265"/>
        <v>1.4103392538036463</v>
      </c>
      <c r="AT1078" t="s">
        <v>5945</v>
      </c>
    </row>
    <row r="1079" spans="1:46" hidden="1" x14ac:dyDescent="0.25">
      <c r="A1079" s="41">
        <f>CASOPOInvCL!T1079</f>
        <v>1</v>
      </c>
      <c r="B1079" t="str">
        <f>CASOPOInvCL!Z1079</f>
        <v>SO18049</v>
      </c>
      <c r="G1079" s="5" t="str">
        <f>CASOPOInvCL!I1079</f>
        <v>Ian Trottier</v>
      </c>
      <c r="H1079" s="31">
        <f>CASOPOInvCL!U1079</f>
        <v>10</v>
      </c>
      <c r="I1079" s="31">
        <f>CASOPOInvCL!V1079</f>
        <v>2025</v>
      </c>
      <c r="J1079" s="5" t="str">
        <f>CASOPOInvCL!AB1079</f>
        <v>INV13796</v>
      </c>
      <c r="K1079" s="31" t="str">
        <f>CASOPOInvCL!W1079</f>
        <v/>
      </c>
      <c r="L1079" s="31" t="str">
        <f>CASOPOInvCL!X1079</f>
        <v/>
      </c>
      <c r="M1079" t="s">
        <v>5945</v>
      </c>
      <c r="N1079" s="5" t="str">
        <f>CASOPOInvCL!AF1079</f>
        <v>Resolute Forest Products - Saint-Felicien</v>
      </c>
      <c r="O1079" s="16" t="str">
        <f>CASOPOInvCL!AG1079</f>
        <v>CAD</v>
      </c>
      <c r="P1079" s="16">
        <f>CASOPOInvCL!AH1079</f>
        <v>1948.11</v>
      </c>
      <c r="Q1079" s="16">
        <f>CASOPOInvCL!AI1079</f>
        <v>1393.3243659930536</v>
      </c>
      <c r="R1079" s="32" t="str">
        <f>CASOPOInvCL!AU1079</f>
        <v/>
      </c>
      <c r="S1079" s="16">
        <f>CASOPOInvCL!AV1079</f>
        <v>0</v>
      </c>
      <c r="T1079" s="16">
        <f>CASOPOInvCL!AW1079</f>
        <v>0</v>
      </c>
      <c r="Y1079" s="29" t="str">
        <f>IFERROR(HLOOKUP(U1079,List!$D$2:$H$6,2,FALSE),"")</f>
        <v/>
      </c>
      <c r="Z1079" s="29" t="str">
        <f>IFERROR(HLOOKUP(V1079,List!$D$2:$H$6,3,FALSE),"")</f>
        <v/>
      </c>
      <c r="AA1079" s="29" t="str">
        <f>IFERROR(HLOOKUP(W1079,List!$D$2:$H$6,4,FALSE),"")</f>
        <v/>
      </c>
      <c r="AB1079" s="29" t="str">
        <f>IFERROR(HLOOKUP(X1079,List!$D$2:$H$6,5,FALSE),"")</f>
        <v/>
      </c>
      <c r="AC1079" s="12" t="str">
        <f t="shared" si="266"/>
        <v/>
      </c>
      <c r="AD1079" s="12" t="str">
        <f t="shared" si="267"/>
        <v/>
      </c>
      <c r="AE1079" s="12" t="str">
        <f t="shared" si="268"/>
        <v/>
      </c>
      <c r="AF1079" s="12" t="str">
        <f t="shared" si="269"/>
        <v/>
      </c>
      <c r="AG1079" t="str">
        <f>VLOOKUP(J1079,'Receivable Invoice Detail'!$A$1:F4091,6,FALSE)</f>
        <v>[AC-52-430-274-501] Frame, Allis-Chalmers CSO, F4D1, Cast Iron</v>
      </c>
      <c r="AM1079" s="12" t="str">
        <f t="shared" si="270"/>
        <v/>
      </c>
      <c r="AN1079" s="12" t="str">
        <f t="shared" si="271"/>
        <v/>
      </c>
      <c r="AO1079" s="12" t="str">
        <f t="shared" si="272"/>
        <v/>
      </c>
      <c r="AP1079" s="12" t="str">
        <f t="shared" si="273"/>
        <v/>
      </c>
      <c r="AQ1079" s="64" t="str">
        <f t="shared" si="264"/>
        <v/>
      </c>
      <c r="AS1079" s="12">
        <f t="shared" si="265"/>
        <v>12.571153144988724</v>
      </c>
      <c r="AT1079" t="s">
        <v>5945</v>
      </c>
    </row>
    <row r="1080" spans="1:46" hidden="1" x14ac:dyDescent="0.25">
      <c r="A1080" s="41">
        <f>CASOPOInvCL!T1080</f>
        <v>1</v>
      </c>
      <c r="B1080" t="str">
        <f>CASOPOInvCL!Z1080</f>
        <v>SO18051</v>
      </c>
      <c r="G1080" s="5" t="str">
        <f>CASOPOInvCL!I1080</f>
        <v>Ian Trottier</v>
      </c>
      <c r="H1080" s="31">
        <f>CASOPOInvCL!U1080</f>
        <v>10</v>
      </c>
      <c r="I1080" s="31">
        <f>CASOPOInvCL!V1080</f>
        <v>2025</v>
      </c>
      <c r="J1080" s="5" t="str">
        <f>CASOPOInvCL!AB1080</f>
        <v>INV13616</v>
      </c>
      <c r="K1080" s="31" t="str">
        <f>CASOPOInvCL!W1080</f>
        <v/>
      </c>
      <c r="L1080" s="31" t="str">
        <f>CASOPOInvCL!X1080</f>
        <v/>
      </c>
      <c r="M1080" t="s">
        <v>5945</v>
      </c>
      <c r="N1080" s="5" t="str">
        <f>CASOPOInvCL!AF1080</f>
        <v>Resolute Forest Products - Dolbeau</v>
      </c>
      <c r="O1080" s="16" t="str">
        <f>CASOPOInvCL!AG1080</f>
        <v>CAD</v>
      </c>
      <c r="P1080" s="16">
        <f>CASOPOInvCL!AH1080</f>
        <v>9194.19</v>
      </c>
      <c r="Q1080" s="16">
        <f>CASOPOInvCL!AI1080</f>
        <v>6575.8550351723852</v>
      </c>
      <c r="R1080" s="32" t="str">
        <f>CASOPOInvCL!AU1080</f>
        <v/>
      </c>
      <c r="S1080" s="16">
        <f>CASOPOInvCL!AV1080</f>
        <v>0</v>
      </c>
      <c r="T1080" s="16">
        <f>CASOPOInvCL!AW1080</f>
        <v>0</v>
      </c>
      <c r="Y1080" s="29" t="str">
        <f>IFERROR(HLOOKUP(U1080,List!$D$2:$H$6,2,FALSE),"")</f>
        <v/>
      </c>
      <c r="Z1080" s="29" t="str">
        <f>IFERROR(HLOOKUP(V1080,List!$D$2:$H$6,3,FALSE),"")</f>
        <v/>
      </c>
      <c r="AA1080" s="29" t="str">
        <f>IFERROR(HLOOKUP(W1080,List!$D$2:$H$6,4,FALSE),"")</f>
        <v/>
      </c>
      <c r="AB1080" s="29" t="str">
        <f>IFERROR(HLOOKUP(X1080,List!$D$2:$H$6,5,FALSE),"")</f>
        <v/>
      </c>
      <c r="AC1080" s="12" t="str">
        <f t="shared" si="266"/>
        <v/>
      </c>
      <c r="AD1080" s="12" t="str">
        <f t="shared" si="267"/>
        <v/>
      </c>
      <c r="AE1080" s="12" t="str">
        <f t="shared" si="268"/>
        <v/>
      </c>
      <c r="AF1080" s="12" t="str">
        <f t="shared" si="269"/>
        <v/>
      </c>
      <c r="AG1080" t="str">
        <f>VLOOKUP(J1080,'Receivable Invoice Detail'!$A$1:F4092,6,FALSE)</f>
        <v>Impeller, Worthington 14-FRBH-183, 316SS</v>
      </c>
      <c r="AM1080" s="12" t="str">
        <f t="shared" si="270"/>
        <v/>
      </c>
      <c r="AN1080" s="12" t="str">
        <f t="shared" si="271"/>
        <v/>
      </c>
      <c r="AO1080" s="12" t="str">
        <f t="shared" si="272"/>
        <v/>
      </c>
      <c r="AP1080" s="12" t="str">
        <f t="shared" si="273"/>
        <v/>
      </c>
      <c r="AQ1080" s="64" t="str">
        <f t="shared" si="264"/>
        <v/>
      </c>
      <c r="AS1080" s="12">
        <f t="shared" si="265"/>
        <v>0</v>
      </c>
      <c r="AT1080" t="s">
        <v>5945</v>
      </c>
    </row>
    <row r="1081" spans="1:46" hidden="1" x14ac:dyDescent="0.25">
      <c r="A1081" s="41">
        <f>CASOPOInvCL!T1081</f>
        <v>0</v>
      </c>
      <c r="B1081" t="str">
        <f>CASOPOInvCL!Z1081</f>
        <v>SO18052</v>
      </c>
      <c r="G1081" s="5" t="str">
        <f>CASOPOInvCL!I1081</f>
        <v>Ian Trottier</v>
      </c>
      <c r="H1081" s="31">
        <f>CASOPOInvCL!U1081</f>
        <v>10</v>
      </c>
      <c r="I1081" s="31">
        <f>CASOPOInvCL!V1081</f>
        <v>2025</v>
      </c>
      <c r="J1081" s="5" t="str">
        <f>CASOPOInvCL!AB1081</f>
        <v>No Inv</v>
      </c>
      <c r="K1081" s="31" t="str">
        <f>CASOPOInvCL!W1081</f>
        <v/>
      </c>
      <c r="L1081" s="31" t="str">
        <f>CASOPOInvCL!X1081</f>
        <v/>
      </c>
      <c r="M1081" t="s">
        <v>5945</v>
      </c>
      <c r="N1081" s="5" t="str">
        <f>CASOPOInvCL!AF1081</f>
        <v>Resolute Forest Products - Fibrek, Resolute Forest Products - Fibrek</v>
      </c>
      <c r="O1081" s="16" t="str">
        <f>CASOPOInvCL!AG1081</f>
        <v>CAD</v>
      </c>
      <c r="P1081" s="16">
        <f>CASOPOInvCL!AH1081</f>
        <v>0.01</v>
      </c>
      <c r="Q1081" s="16">
        <f>CASOPOInvCL!AI1081</f>
        <v>7.152185276976422E-3</v>
      </c>
      <c r="R1081" s="32" t="str">
        <f>CASOPOInvCL!AU1081</f>
        <v/>
      </c>
      <c r="S1081" s="16">
        <f>CASOPOInvCL!AV1081</f>
        <v>0</v>
      </c>
      <c r="T1081" s="16">
        <f>CASOPOInvCL!AW1081</f>
        <v>0</v>
      </c>
      <c r="Y1081" s="29" t="str">
        <f>IFERROR(HLOOKUP(U1081,List!$D$2:$H$6,2,FALSE),"")</f>
        <v/>
      </c>
      <c r="Z1081" s="29" t="str">
        <f>IFERROR(HLOOKUP(V1081,List!$D$2:$H$6,3,FALSE),"")</f>
        <v/>
      </c>
      <c r="AA1081" s="29" t="str">
        <f>IFERROR(HLOOKUP(W1081,List!$D$2:$H$6,4,FALSE),"")</f>
        <v/>
      </c>
      <c r="AB1081" s="29" t="str">
        <f>IFERROR(HLOOKUP(X1081,List!$D$2:$H$6,5,FALSE),"")</f>
        <v/>
      </c>
      <c r="AC1081" s="12" t="str">
        <f t="shared" si="266"/>
        <v/>
      </c>
      <c r="AD1081" s="12" t="str">
        <f t="shared" si="267"/>
        <v/>
      </c>
      <c r="AE1081" s="12" t="str">
        <f t="shared" si="268"/>
        <v/>
      </c>
      <c r="AF1081" s="12" t="str">
        <f t="shared" si="269"/>
        <v/>
      </c>
      <c r="AG1081" t="e">
        <f>VLOOKUP(J1081,'Receivable Invoice Detail'!$A$1:F4093,6,FALSE)</f>
        <v>#N/A</v>
      </c>
      <c r="AM1081" s="12" t="str">
        <f t="shared" si="270"/>
        <v/>
      </c>
      <c r="AN1081" s="12" t="str">
        <f t="shared" si="271"/>
        <v/>
      </c>
      <c r="AO1081" s="12" t="str">
        <f t="shared" si="272"/>
        <v/>
      </c>
      <c r="AP1081" s="12" t="str">
        <f t="shared" si="273"/>
        <v/>
      </c>
      <c r="AQ1081" s="64" t="str">
        <f t="shared" si="264"/>
        <v/>
      </c>
      <c r="AS1081" s="12">
        <f t="shared" si="265"/>
        <v>0</v>
      </c>
      <c r="AT1081" t="s">
        <v>5945</v>
      </c>
    </row>
    <row r="1082" spans="1:46" hidden="1" x14ac:dyDescent="0.25">
      <c r="A1082" s="41">
        <f>CASOPOInvCL!T1082</f>
        <v>1</v>
      </c>
      <c r="B1082" t="str">
        <f>CASOPOInvCL!Z1082</f>
        <v>SO18053</v>
      </c>
      <c r="G1082" s="5" t="str">
        <f>CASOPOInvCL!I1082</f>
        <v>Ian Trottier</v>
      </c>
      <c r="H1082" s="31">
        <f>CASOPOInvCL!U1082</f>
        <v>10</v>
      </c>
      <c r="I1082" s="31">
        <f>CASOPOInvCL!V1082</f>
        <v>2025</v>
      </c>
      <c r="J1082" s="5" t="str">
        <f>CASOPOInvCL!AB1082</f>
        <v>INV13542</v>
      </c>
      <c r="K1082" s="31">
        <f>CASOPOInvCL!W1082</f>
        <v>12</v>
      </c>
      <c r="L1082" s="31">
        <f>CASOPOInvCL!X1082</f>
        <v>2025</v>
      </c>
      <c r="M1082" t="s">
        <v>5945</v>
      </c>
      <c r="N1082" s="5" t="str">
        <f>CASOPOInvCL!AF1082</f>
        <v>Resolute Forest Products - Dolbeau</v>
      </c>
      <c r="O1082" s="16" t="str">
        <f>CASOPOInvCL!AG1082</f>
        <v>CAD</v>
      </c>
      <c r="P1082" s="16">
        <f>CASOPOInvCL!AH1082</f>
        <v>7248.11</v>
      </c>
      <c r="Q1082" s="16">
        <f>CASOPOInvCL!AI1082</f>
        <v>5183.9825627905566</v>
      </c>
      <c r="R1082" s="32" t="str">
        <f>CASOPOInvCL!AU1082</f>
        <v>Yes</v>
      </c>
      <c r="S1082" s="16">
        <f>CASOPOInvCL!AV1082</f>
        <v>0</v>
      </c>
      <c r="T1082" s="16">
        <f>CASOPOInvCL!AW1082</f>
        <v>5183.9825627905566</v>
      </c>
      <c r="Y1082" s="29" t="str">
        <f>IFERROR(HLOOKUP(U1082,List!$D$2:$H$6,2,FALSE),"")</f>
        <v/>
      </c>
      <c r="Z1082" s="29" t="str">
        <f>IFERROR(HLOOKUP(V1082,List!$D$2:$H$6,3,FALSE),"")</f>
        <v/>
      </c>
      <c r="AA1082" s="29" t="str">
        <f>IFERROR(HLOOKUP(W1082,List!$D$2:$H$6,4,FALSE),"")</f>
        <v/>
      </c>
      <c r="AB1082" s="29" t="str">
        <f>IFERROR(HLOOKUP(X1082,List!$D$2:$H$6,5,FALSE),"")</f>
        <v/>
      </c>
      <c r="AC1082" s="12" t="str">
        <f t="shared" si="266"/>
        <v/>
      </c>
      <c r="AD1082" s="12" t="str">
        <f t="shared" si="267"/>
        <v/>
      </c>
      <c r="AE1082" s="12" t="str">
        <f t="shared" si="268"/>
        <v/>
      </c>
      <c r="AF1082" s="12" t="str">
        <f t="shared" si="269"/>
        <v/>
      </c>
      <c r="AG1082" t="str">
        <f>VLOOKUP(J1082,'Receivable Invoice Detail'!$A$1:F4094,6,FALSE)</f>
        <v>[AC-98-332-134-802] Side Plate, 12x10-21, PWO, 316SS</v>
      </c>
      <c r="AM1082" s="12" t="str">
        <f t="shared" si="270"/>
        <v/>
      </c>
      <c r="AN1082" s="12" t="str">
        <f t="shared" si="271"/>
        <v/>
      </c>
      <c r="AO1082" s="12" t="str">
        <f t="shared" si="272"/>
        <v/>
      </c>
      <c r="AP1082" s="12" t="str">
        <f t="shared" si="273"/>
        <v/>
      </c>
      <c r="AQ1082" s="64" t="str">
        <f t="shared" si="264"/>
        <v/>
      </c>
      <c r="AS1082" s="12">
        <f t="shared" si="265"/>
        <v>0</v>
      </c>
      <c r="AT1082" t="s">
        <v>5945</v>
      </c>
    </row>
    <row r="1083" spans="1:46" hidden="1" x14ac:dyDescent="0.25">
      <c r="A1083" s="41">
        <f>CASOPOInvCL!T1083</f>
        <v>1</v>
      </c>
      <c r="B1083" t="str">
        <f>CASOPOInvCL!Z1083</f>
        <v>SO18054</v>
      </c>
      <c r="G1083" s="5" t="str">
        <f>CASOPOInvCL!I1083</f>
        <v>Aleksandar Stankovic</v>
      </c>
      <c r="H1083" s="31">
        <f>CASOPOInvCL!U1083</f>
        <v>10</v>
      </c>
      <c r="I1083" s="31">
        <f>CASOPOInvCL!V1083</f>
        <v>2025</v>
      </c>
      <c r="J1083" s="5" t="str">
        <f>CASOPOInvCL!AB1083</f>
        <v>INV13611</v>
      </c>
      <c r="K1083" s="31" t="str">
        <f>CASOPOInvCL!W1083</f>
        <v/>
      </c>
      <c r="L1083" s="31" t="str">
        <f>CASOPOInvCL!X1083</f>
        <v/>
      </c>
      <c r="M1083" t="s">
        <v>5945</v>
      </c>
      <c r="N1083" s="5" t="str">
        <f>CASOPOInvCL!AF1083</f>
        <v>Conval Quebec</v>
      </c>
      <c r="O1083" s="16" t="str">
        <f>CASOPOInvCL!AG1083</f>
        <v>CAD</v>
      </c>
      <c r="P1083" s="16">
        <f>CASOPOInvCL!AH1083</f>
        <v>260</v>
      </c>
      <c r="Q1083" s="16">
        <f>CASOPOInvCL!AI1083</f>
        <v>185.95681720138697</v>
      </c>
      <c r="R1083" s="32" t="str">
        <f>CASOPOInvCL!AU1083</f>
        <v/>
      </c>
      <c r="S1083" s="16">
        <f>CASOPOInvCL!AV1083</f>
        <v>0</v>
      </c>
      <c r="T1083" s="16">
        <f>CASOPOInvCL!AW1083</f>
        <v>0</v>
      </c>
      <c r="Y1083" s="29" t="str">
        <f>IFERROR(HLOOKUP(U1083,List!$D$2:$H$6,2,FALSE),"")</f>
        <v/>
      </c>
      <c r="Z1083" s="29" t="str">
        <f>IFERROR(HLOOKUP(V1083,List!$D$2:$H$6,3,FALSE),"")</f>
        <v/>
      </c>
      <c r="AA1083" s="29" t="str">
        <f>IFERROR(HLOOKUP(W1083,List!$D$2:$H$6,4,FALSE),"")</f>
        <v/>
      </c>
      <c r="AB1083" s="29" t="str">
        <f>IFERROR(HLOOKUP(X1083,List!$D$2:$H$6,5,FALSE),"")</f>
        <v/>
      </c>
      <c r="AC1083" s="12" t="str">
        <f t="shared" si="266"/>
        <v/>
      </c>
      <c r="AD1083" s="12" t="str">
        <f t="shared" si="267"/>
        <v/>
      </c>
      <c r="AE1083" s="12" t="str">
        <f t="shared" si="268"/>
        <v/>
      </c>
      <c r="AF1083" s="12" t="str">
        <f t="shared" si="269"/>
        <v/>
      </c>
      <c r="AG1083" t="str">
        <f>VLOOKUP(J1083,'Receivable Invoice Detail'!$A$1:F4095,6,FALSE)</f>
        <v>[SA-115473-1] Spacer (Outer), Sala VSP 3 &amp; 4, Steel</v>
      </c>
      <c r="AM1083" s="12" t="str">
        <f t="shared" si="270"/>
        <v/>
      </c>
      <c r="AN1083" s="12" t="str">
        <f t="shared" si="271"/>
        <v/>
      </c>
      <c r="AO1083" s="12" t="str">
        <f t="shared" si="272"/>
        <v/>
      </c>
      <c r="AP1083" s="12" t="str">
        <f t="shared" si="273"/>
        <v/>
      </c>
      <c r="AQ1083" s="64" t="str">
        <f t="shared" si="264"/>
        <v/>
      </c>
      <c r="AR1083" t="s">
        <v>5943</v>
      </c>
      <c r="AS1083" s="12">
        <f t="shared" si="265"/>
        <v>0</v>
      </c>
      <c r="AT1083" t="s">
        <v>5945</v>
      </c>
    </row>
    <row r="1084" spans="1:46" hidden="1" x14ac:dyDescent="0.25">
      <c r="A1084" s="41">
        <f>CASOPOInvCL!T1084</f>
        <v>0</v>
      </c>
      <c r="B1084" t="str">
        <f>CASOPOInvCL!Z1084</f>
        <v>SO18055</v>
      </c>
      <c r="G1084" s="5" t="str">
        <f>CASOPOInvCL!I1084</f>
        <v>Ian Trottier</v>
      </c>
      <c r="H1084" s="31">
        <f>CASOPOInvCL!U1084</f>
        <v>10</v>
      </c>
      <c r="I1084" s="31">
        <f>CASOPOInvCL!V1084</f>
        <v>2025</v>
      </c>
      <c r="J1084" s="5" t="str">
        <f>CASOPOInvCL!AB1084</f>
        <v>No Inv</v>
      </c>
      <c r="K1084" s="31" t="str">
        <f>CASOPOInvCL!W1084</f>
        <v/>
      </c>
      <c r="L1084" s="31" t="str">
        <f>CASOPOInvCL!X1084</f>
        <v/>
      </c>
      <c r="M1084" t="s">
        <v>5945</v>
      </c>
      <c r="N1084" s="5" t="str">
        <f>CASOPOInvCL!AF1084</f>
        <v>Resolute Forest Products - Saint-Felicien</v>
      </c>
      <c r="O1084" s="16" t="str">
        <f>CASOPOInvCL!AG1084</f>
        <v>CAD</v>
      </c>
      <c r="P1084" s="16">
        <f>CASOPOInvCL!AH1084</f>
        <v>5714.85</v>
      </c>
      <c r="Q1084" s="16">
        <f>CASOPOInvCL!AI1084</f>
        <v>4087.3666030128707</v>
      </c>
      <c r="R1084" s="32" t="str">
        <f>CASOPOInvCL!AU1084</f>
        <v/>
      </c>
      <c r="S1084" s="16">
        <f>CASOPOInvCL!AV1084</f>
        <v>0</v>
      </c>
      <c r="T1084" s="16">
        <f>CASOPOInvCL!AW1084</f>
        <v>0</v>
      </c>
      <c r="Y1084" s="29" t="str">
        <f>IFERROR(HLOOKUP(U1084,List!$D$2:$H$6,2,FALSE),"")</f>
        <v/>
      </c>
      <c r="Z1084" s="29" t="str">
        <f>IFERROR(HLOOKUP(V1084,List!$D$2:$H$6,3,FALSE),"")</f>
        <v/>
      </c>
      <c r="AA1084" s="29" t="str">
        <f>IFERROR(HLOOKUP(W1084,List!$D$2:$H$6,4,FALSE),"")</f>
        <v/>
      </c>
      <c r="AB1084" s="29" t="str">
        <f>IFERROR(HLOOKUP(X1084,List!$D$2:$H$6,5,FALSE),"")</f>
        <v/>
      </c>
      <c r="AC1084" s="12" t="str">
        <f t="shared" si="266"/>
        <v/>
      </c>
      <c r="AD1084" s="12" t="str">
        <f t="shared" si="267"/>
        <v/>
      </c>
      <c r="AE1084" s="12" t="str">
        <f t="shared" si="268"/>
        <v/>
      </c>
      <c r="AF1084" s="12" t="str">
        <f t="shared" si="269"/>
        <v/>
      </c>
      <c r="AG1084" t="e">
        <f>VLOOKUP(J1084,'Receivable Invoice Detail'!$A$1:F4096,6,FALSE)</f>
        <v>#N/A</v>
      </c>
      <c r="AM1084" s="12" t="str">
        <f t="shared" si="270"/>
        <v/>
      </c>
      <c r="AN1084" s="12" t="str">
        <f t="shared" si="271"/>
        <v/>
      </c>
      <c r="AO1084" s="12" t="str">
        <f t="shared" si="272"/>
        <v/>
      </c>
      <c r="AP1084" s="12" t="str">
        <f t="shared" si="273"/>
        <v/>
      </c>
      <c r="AQ1084" s="64" t="str">
        <f t="shared" ref="AQ1084:AQ1147" si="274">M1084</f>
        <v/>
      </c>
      <c r="AS1084" s="12">
        <f t="shared" ref="AS1084:AS1147" si="275">T1077*1.5%</f>
        <v>1.6092416873196946</v>
      </c>
      <c r="AT1084" t="s">
        <v>5945</v>
      </c>
    </row>
    <row r="1085" spans="1:46" hidden="1" x14ac:dyDescent="0.25">
      <c r="A1085" s="41">
        <f>CASOPOInvCL!T1085</f>
        <v>1</v>
      </c>
      <c r="B1085" t="str">
        <f>CASOPOInvCL!Z1085</f>
        <v>SO18056</v>
      </c>
      <c r="G1085" s="5" t="str">
        <f>CASOPOInvCL!I1085</f>
        <v>Alexis Gil Lamadrid</v>
      </c>
      <c r="H1085" s="31">
        <f>CASOPOInvCL!U1085</f>
        <v>10</v>
      </c>
      <c r="I1085" s="31">
        <f>CASOPOInvCL!V1085</f>
        <v>2025</v>
      </c>
      <c r="J1085" s="5" t="str">
        <f>CASOPOInvCL!AB1085</f>
        <v>INV13701</v>
      </c>
      <c r="K1085" s="31" t="str">
        <f>CASOPOInvCL!W1085</f>
        <v/>
      </c>
      <c r="L1085" s="31" t="str">
        <f>CASOPOInvCL!X1085</f>
        <v/>
      </c>
      <c r="M1085" t="s">
        <v>5945</v>
      </c>
      <c r="N1085" s="5" t="str">
        <f>CASOPOInvCL!AF1085</f>
        <v>Resolute Forest Products - Dolbeau</v>
      </c>
      <c r="O1085" s="16" t="str">
        <f>CASOPOInvCL!AG1085</f>
        <v>CAD</v>
      </c>
      <c r="P1085" s="16">
        <f>CASOPOInvCL!AH1085</f>
        <v>7695</v>
      </c>
      <c r="Q1085" s="16">
        <f>CASOPOInvCL!AI1085</f>
        <v>5503.6065706333566</v>
      </c>
      <c r="R1085" s="32" t="str">
        <f>CASOPOInvCL!AU1085</f>
        <v/>
      </c>
      <c r="S1085" s="16">
        <f>CASOPOInvCL!AV1085</f>
        <v>0</v>
      </c>
      <c r="T1085" s="16">
        <f>CASOPOInvCL!AW1085</f>
        <v>0</v>
      </c>
      <c r="Y1085" s="29" t="str">
        <f>IFERROR(HLOOKUP(U1085,List!$D$2:$H$6,2,FALSE),"")</f>
        <v/>
      </c>
      <c r="Z1085" s="29" t="str">
        <f>IFERROR(HLOOKUP(V1085,List!$D$2:$H$6,3,FALSE),"")</f>
        <v/>
      </c>
      <c r="AA1085" s="29" t="str">
        <f>IFERROR(HLOOKUP(W1085,List!$D$2:$H$6,4,FALSE),"")</f>
        <v/>
      </c>
      <c r="AB1085" s="29" t="str">
        <f>IFERROR(HLOOKUP(X1085,List!$D$2:$H$6,5,FALSE),"")</f>
        <v/>
      </c>
      <c r="AC1085" s="12" t="str">
        <f t="shared" si="266"/>
        <v/>
      </c>
      <c r="AD1085" s="12" t="str">
        <f t="shared" si="267"/>
        <v/>
      </c>
      <c r="AE1085" s="12" t="str">
        <f t="shared" si="268"/>
        <v/>
      </c>
      <c r="AF1085" s="12" t="str">
        <f t="shared" si="269"/>
        <v/>
      </c>
      <c r="AG1085" t="str">
        <f>VLOOKUP(J1085,'Receivable Invoice Detail'!$A$1:F4097,6,FALSE)</f>
        <v>[WO-2114552-316] Impeller, Worthington 6-FRBH-223, 316SS</v>
      </c>
      <c r="AM1085" s="12" t="str">
        <f t="shared" si="270"/>
        <v/>
      </c>
      <c r="AN1085" s="12" t="str">
        <f t="shared" si="271"/>
        <v/>
      </c>
      <c r="AO1085" s="12" t="str">
        <f t="shared" si="272"/>
        <v/>
      </c>
      <c r="AP1085" s="12" t="str">
        <f t="shared" si="273"/>
        <v/>
      </c>
      <c r="AQ1085" s="64" t="str">
        <f t="shared" si="274"/>
        <v/>
      </c>
      <c r="AS1085" s="12">
        <f t="shared" si="275"/>
        <v>1.8086803737681825</v>
      </c>
      <c r="AT1085" t="s">
        <v>5945</v>
      </c>
    </row>
    <row r="1086" spans="1:46" hidden="1" x14ac:dyDescent="0.25">
      <c r="A1086" s="41">
        <f>CASOPOInvCL!T1086</f>
        <v>2</v>
      </c>
      <c r="B1086" t="str">
        <f>CASOPOInvCL!Z1086</f>
        <v>SO18057</v>
      </c>
      <c r="E1086" t="s">
        <v>5925</v>
      </c>
      <c r="G1086" s="5" t="str">
        <f>CASOPOInvCL!I1086</f>
        <v>Ian Trottier</v>
      </c>
      <c r="H1086" s="31">
        <f>CASOPOInvCL!U1086</f>
        <v>10</v>
      </c>
      <c r="I1086" s="31">
        <f>CASOPOInvCL!V1086</f>
        <v>2025</v>
      </c>
      <c r="J1086" s="5" t="str">
        <f>CASOPOInvCL!AB1086</f>
        <v>INV13549</v>
      </c>
      <c r="K1086" s="31">
        <f>CASOPOInvCL!W1086</f>
        <v>12</v>
      </c>
      <c r="L1086" s="31">
        <f>CASOPOInvCL!X1086</f>
        <v>2025</v>
      </c>
      <c r="M1086">
        <v>2504</v>
      </c>
      <c r="N1086" s="5" t="str">
        <f>CASOPOInvCL!AF1086</f>
        <v>Resolute Forest Products - Saint-Felicien</v>
      </c>
      <c r="O1086" s="16" t="str">
        <f>CASOPOInvCL!AG1086</f>
        <v>CAD</v>
      </c>
      <c r="P1086" s="16">
        <f>CASOPOInvCL!AH1086</f>
        <v>7071.07</v>
      </c>
      <c r="Q1086" s="16">
        <f>CASOPOInvCL!AI1086</f>
        <v>5057.360274646966</v>
      </c>
      <c r="R1086" s="32" t="str">
        <f>CASOPOInvCL!AU1086</f>
        <v>Yes</v>
      </c>
      <c r="S1086" s="16">
        <f>CASOPOInvCL!AV1086</f>
        <v>0</v>
      </c>
      <c r="T1086" s="16">
        <f>CASOPOInvCL!AW1086</f>
        <v>5057.360274646966</v>
      </c>
      <c r="W1086" t="s">
        <v>5800</v>
      </c>
      <c r="Y1086" s="29" t="str">
        <f>IFERROR(HLOOKUP(U1086,List!$D$2:$H$6,2,FALSE),"")</f>
        <v/>
      </c>
      <c r="Z1086" s="29" t="str">
        <f>IFERROR(HLOOKUP(V1086,List!$D$2:$H$6,3,FALSE),"")</f>
        <v/>
      </c>
      <c r="AA1086" s="29">
        <f>IFERROR(HLOOKUP(W1086,List!$D$2:$H$6,4,FALSE),"")</f>
        <v>0.01</v>
      </c>
      <c r="AB1086" s="29" t="str">
        <f>IFERROR(HLOOKUP(X1086,List!$D$2:$H$6,5,FALSE),"")</f>
        <v/>
      </c>
      <c r="AC1086" s="12" t="str">
        <f t="shared" si="266"/>
        <v/>
      </c>
      <c r="AD1086" s="12" t="str">
        <f t="shared" si="267"/>
        <v/>
      </c>
      <c r="AE1086" s="12">
        <f t="shared" si="268"/>
        <v>50.57360274646966</v>
      </c>
      <c r="AF1086" s="12" t="str">
        <f t="shared" si="269"/>
        <v/>
      </c>
      <c r="AG1086" t="str">
        <f>VLOOKUP(J1086,'Receivable Invoice Detail'!$A$1:F4098,6,FALSE)</f>
        <v>[AC-98-200-038-501] Bearing Cylinder Assembly, 5x4 SRL, 1045 Steel Shaft</v>
      </c>
      <c r="AM1086" s="12" t="str">
        <f t="shared" si="270"/>
        <v/>
      </c>
      <c r="AN1086" s="12" t="str">
        <f t="shared" si="271"/>
        <v/>
      </c>
      <c r="AO1086" s="12">
        <f t="shared" si="272"/>
        <v>50.57360274646966</v>
      </c>
      <c r="AP1086" s="12" t="str">
        <f t="shared" si="273"/>
        <v/>
      </c>
      <c r="AQ1086" s="64">
        <f t="shared" si="274"/>
        <v>2504</v>
      </c>
      <c r="AS1086" s="12">
        <f t="shared" si="275"/>
        <v>0</v>
      </c>
      <c r="AT1086" t="s">
        <v>5945</v>
      </c>
    </row>
    <row r="1087" spans="1:46" hidden="1" x14ac:dyDescent="0.25">
      <c r="A1087" s="41">
        <f>CASOPOInvCL!T1087</f>
        <v>2</v>
      </c>
      <c r="B1087" t="str">
        <f>CASOPOInvCL!Z1087</f>
        <v>SO18057</v>
      </c>
      <c r="E1087" t="s">
        <v>5925</v>
      </c>
      <c r="G1087" s="5">
        <f>CASOPOInvCL!I1087</f>
        <v>0</v>
      </c>
      <c r="H1087" s="31">
        <f>CASOPOInvCL!U1087</f>
        <v>10</v>
      </c>
      <c r="I1087" s="31">
        <f>CASOPOInvCL!V1087</f>
        <v>2025</v>
      </c>
      <c r="J1087" s="5" t="str">
        <f>CASOPOInvCL!AB1087</f>
        <v>INV13655</v>
      </c>
      <c r="K1087" s="31" t="str">
        <f>CASOPOInvCL!W1087</f>
        <v/>
      </c>
      <c r="L1087" s="31" t="str">
        <f>CASOPOInvCL!X1087</f>
        <v/>
      </c>
      <c r="M1087">
        <v>2504</v>
      </c>
      <c r="N1087" s="5" t="str">
        <f>CASOPOInvCL!AF1087</f>
        <v>Resolute Forest Products - Saint-Felicien</v>
      </c>
      <c r="O1087" s="16" t="str">
        <f>CASOPOInvCL!AG1087</f>
        <v>CAD</v>
      </c>
      <c r="P1087" s="16">
        <f>CASOPOInvCL!AH1087</f>
        <v>0</v>
      </c>
      <c r="Q1087" s="16">
        <f>CASOPOInvCL!AI1087</f>
        <v>0</v>
      </c>
      <c r="R1087" s="32" t="str">
        <f>CASOPOInvCL!AU1087</f>
        <v/>
      </c>
      <c r="S1087" s="16">
        <f>CASOPOInvCL!AV1087</f>
        <v>0</v>
      </c>
      <c r="T1087" s="16">
        <f>CASOPOInvCL!AW1087</f>
        <v>0</v>
      </c>
      <c r="W1087" t="s">
        <v>5800</v>
      </c>
      <c r="Y1087" s="29" t="str">
        <f>IFERROR(HLOOKUP(U1087,List!$D$2:$H$6,2,FALSE),"")</f>
        <v/>
      </c>
      <c r="Z1087" s="29" t="str">
        <f>IFERROR(HLOOKUP(V1087,List!$D$2:$H$6,3,FALSE),"")</f>
        <v/>
      </c>
      <c r="AA1087" s="29">
        <f>IFERROR(HLOOKUP(W1087,List!$D$2:$H$6,4,FALSE),"")</f>
        <v>0.01</v>
      </c>
      <c r="AB1087" s="29" t="str">
        <f>IFERROR(HLOOKUP(X1087,List!$D$2:$H$6,5,FALSE),"")</f>
        <v/>
      </c>
      <c r="AC1087" s="12" t="str">
        <f t="shared" si="266"/>
        <v/>
      </c>
      <c r="AD1087" s="12" t="str">
        <f t="shared" si="267"/>
        <v/>
      </c>
      <c r="AE1087" s="12">
        <f t="shared" si="268"/>
        <v>0</v>
      </c>
      <c r="AF1087" s="12" t="str">
        <f t="shared" si="269"/>
        <v/>
      </c>
      <c r="AG1087" t="str">
        <f>VLOOKUP(J1087,'Receivable Invoice Detail'!$A$1:F4099,6,FALSE)</f>
        <v>[AC-98-331-931-801] Bearing Cylinder, 5x4-14 SRL-C, Cast Iron</v>
      </c>
      <c r="AM1087" s="12" t="str">
        <f t="shared" si="270"/>
        <v/>
      </c>
      <c r="AN1087" s="12" t="str">
        <f t="shared" si="271"/>
        <v/>
      </c>
      <c r="AO1087" s="12">
        <f t="shared" si="272"/>
        <v>0</v>
      </c>
      <c r="AP1087" s="12" t="str">
        <f t="shared" si="273"/>
        <v/>
      </c>
      <c r="AQ1087" s="64">
        <f t="shared" si="274"/>
        <v>2504</v>
      </c>
      <c r="AS1087" s="12">
        <f t="shared" si="275"/>
        <v>0</v>
      </c>
      <c r="AT1087" t="s">
        <v>5945</v>
      </c>
    </row>
    <row r="1088" spans="1:46" hidden="1" x14ac:dyDescent="0.25">
      <c r="A1088" s="41">
        <f>CASOPOInvCL!T1088</f>
        <v>1</v>
      </c>
      <c r="B1088" t="str">
        <f>CASOPOInvCL!Z1088</f>
        <v>SO18058</v>
      </c>
      <c r="G1088" s="5" t="str">
        <f>CASOPOInvCL!I1088</f>
        <v>Amanda Qiao</v>
      </c>
      <c r="H1088" s="31">
        <f>CASOPOInvCL!U1088</f>
        <v>10</v>
      </c>
      <c r="I1088" s="31">
        <f>CASOPOInvCL!V1088</f>
        <v>2025</v>
      </c>
      <c r="J1088" s="5" t="str">
        <f>CASOPOInvCL!AB1088</f>
        <v>INV13546</v>
      </c>
      <c r="K1088" s="31">
        <f>CASOPOInvCL!W1088</f>
        <v>12</v>
      </c>
      <c r="L1088" s="31">
        <f>CASOPOInvCL!X1088</f>
        <v>2025</v>
      </c>
      <c r="M1088" t="s">
        <v>5945</v>
      </c>
      <c r="N1088" s="5" t="str">
        <f>CASOPOInvCL!AF1088</f>
        <v>Resolute Forest Products - Saint-Felicien</v>
      </c>
      <c r="O1088" s="16" t="str">
        <f>CASOPOInvCL!AG1088</f>
        <v>CAD</v>
      </c>
      <c r="P1088" s="16">
        <f>CASOPOInvCL!AH1088</f>
        <v>4557.97</v>
      </c>
      <c r="Q1088" s="16">
        <f>CASOPOInvCL!AI1088</f>
        <v>3259.9445926900221</v>
      </c>
      <c r="R1088" s="32" t="str">
        <f>CASOPOInvCL!AU1088</f>
        <v>Yes</v>
      </c>
      <c r="S1088" s="16">
        <f>CASOPOInvCL!AV1088</f>
        <v>0</v>
      </c>
      <c r="T1088" s="16">
        <f>CASOPOInvCL!AW1088</f>
        <v>3259.9445926900221</v>
      </c>
      <c r="Y1088" s="29" t="str">
        <f>IFERROR(HLOOKUP(U1088,List!$D$2:$H$6,2,FALSE),"")</f>
        <v/>
      </c>
      <c r="Z1088" s="29" t="str">
        <f>IFERROR(HLOOKUP(V1088,List!$D$2:$H$6,3,FALSE),"")</f>
        <v/>
      </c>
      <c r="AA1088" s="29" t="str">
        <f>IFERROR(HLOOKUP(W1088,List!$D$2:$H$6,4,FALSE),"")</f>
        <v/>
      </c>
      <c r="AB1088" s="29" t="str">
        <f>IFERROR(HLOOKUP(X1088,List!$D$2:$H$6,5,FALSE),"")</f>
        <v/>
      </c>
      <c r="AC1088" s="12" t="str">
        <f t="shared" si="266"/>
        <v/>
      </c>
      <c r="AD1088" s="12" t="str">
        <f t="shared" si="267"/>
        <v/>
      </c>
      <c r="AE1088" s="12" t="str">
        <f t="shared" si="268"/>
        <v/>
      </c>
      <c r="AF1088" s="12" t="str">
        <f t="shared" si="269"/>
        <v/>
      </c>
      <c r="AG1088" t="str">
        <f>VLOOKUP(J1088,'Receivable Invoice Detail'!$A$1:F4100,6,FALSE)</f>
        <v>[AC-98-431-577-501] Frame, 14", Allis Chalmers PWO, Frame A1, Oil-Lubed, Cast Iron</v>
      </c>
      <c r="AM1088" s="12" t="str">
        <f t="shared" si="270"/>
        <v/>
      </c>
      <c r="AN1088" s="12" t="str">
        <f t="shared" si="271"/>
        <v/>
      </c>
      <c r="AO1088" s="12" t="str">
        <f t="shared" si="272"/>
        <v/>
      </c>
      <c r="AP1088" s="12" t="str">
        <f t="shared" si="273"/>
        <v/>
      </c>
      <c r="AQ1088" s="64" t="str">
        <f t="shared" si="274"/>
        <v/>
      </c>
      <c r="AS1088" s="12">
        <f t="shared" si="275"/>
        <v>0</v>
      </c>
      <c r="AT1088" t="s">
        <v>5945</v>
      </c>
    </row>
    <row r="1089" spans="1:46" hidden="1" x14ac:dyDescent="0.25">
      <c r="A1089" s="41">
        <f>CASOPOInvCL!T1089</f>
        <v>1</v>
      </c>
      <c r="B1089" t="str">
        <f>CASOPOInvCL!Z1089</f>
        <v>SO18059</v>
      </c>
      <c r="G1089" s="5" t="str">
        <f>CASOPOInvCL!I1089</f>
        <v>Yannett Yeomans</v>
      </c>
      <c r="H1089" s="31">
        <f>CASOPOInvCL!U1089</f>
        <v>10</v>
      </c>
      <c r="I1089" s="31">
        <f>CASOPOInvCL!V1089</f>
        <v>2025</v>
      </c>
      <c r="J1089" s="5" t="str">
        <f>CASOPOInvCL!AB1089</f>
        <v>INV13821</v>
      </c>
      <c r="K1089" s="31" t="str">
        <f>CASOPOInvCL!W1089</f>
        <v/>
      </c>
      <c r="L1089" s="31" t="str">
        <f>CASOPOInvCL!X1089</f>
        <v/>
      </c>
      <c r="N1089" s="5" t="str">
        <f>CASOPOInvCL!AF1089</f>
        <v>Dynapro Pumps México S de RL de CV</v>
      </c>
      <c r="O1089" s="16" t="str">
        <f>CASOPOInvCL!AG1089</f>
        <v>USD</v>
      </c>
      <c r="P1089" s="16">
        <f>CASOPOInvCL!AH1089</f>
        <v>154.30696797216365</v>
      </c>
      <c r="Q1089" s="16">
        <f>CASOPOInvCL!AI1089</f>
        <v>110</v>
      </c>
      <c r="R1089" s="32" t="str">
        <f>CASOPOInvCL!AU1089</f>
        <v/>
      </c>
      <c r="S1089" s="16">
        <f>CASOPOInvCL!AV1089</f>
        <v>0</v>
      </c>
      <c r="T1089" s="16">
        <f>CASOPOInvCL!AW1089</f>
        <v>0</v>
      </c>
      <c r="Y1089" s="29" t="str">
        <f>IFERROR(HLOOKUP(U1089,List!$D$2:$H$6,2,FALSE),"")</f>
        <v/>
      </c>
      <c r="Z1089" s="29" t="str">
        <f>IFERROR(HLOOKUP(V1089,List!$D$2:$H$6,3,FALSE),"")</f>
        <v/>
      </c>
      <c r="AA1089" s="29" t="str">
        <f>IFERROR(HLOOKUP(W1089,List!$D$2:$H$6,4,FALSE),"")</f>
        <v/>
      </c>
      <c r="AB1089" s="29" t="str">
        <f>IFERROR(HLOOKUP(X1089,List!$D$2:$H$6,5,FALSE),"")</f>
        <v/>
      </c>
      <c r="AC1089" s="12" t="str">
        <f t="shared" si="266"/>
        <v/>
      </c>
      <c r="AD1089" s="12" t="str">
        <f t="shared" si="267"/>
        <v/>
      </c>
      <c r="AE1089" s="12" t="str">
        <f t="shared" si="268"/>
        <v/>
      </c>
      <c r="AF1089" s="12" t="str">
        <f t="shared" si="269"/>
        <v/>
      </c>
      <c r="AG1089" t="e">
        <f>VLOOKUP(J1089,'Receivable Invoice Detail'!$A$1:F4101,6,FALSE)</f>
        <v>#N/A</v>
      </c>
      <c r="AM1089" s="12" t="str">
        <f t="shared" si="270"/>
        <v/>
      </c>
      <c r="AN1089" s="12" t="str">
        <f t="shared" si="271"/>
        <v/>
      </c>
      <c r="AO1089" s="12" t="str">
        <f t="shared" si="272"/>
        <v/>
      </c>
      <c r="AP1089" s="12" t="str">
        <f t="shared" si="273"/>
        <v/>
      </c>
      <c r="AQ1089" s="64"/>
      <c r="AS1089" s="12">
        <f t="shared" si="275"/>
        <v>77.759738441858346</v>
      </c>
    </row>
    <row r="1090" spans="1:46" hidden="1" x14ac:dyDescent="0.25">
      <c r="A1090" s="41">
        <f>CASOPOInvCL!T1090</f>
        <v>0</v>
      </c>
      <c r="B1090" t="str">
        <f>CASOPOInvCL!Z1090</f>
        <v>SO18062</v>
      </c>
      <c r="G1090" s="5" t="str">
        <f>CASOPOInvCL!I1090</f>
        <v>Ian Trottier</v>
      </c>
      <c r="H1090" s="31">
        <f>CASOPOInvCL!U1090</f>
        <v>10</v>
      </c>
      <c r="I1090" s="31">
        <f>CASOPOInvCL!V1090</f>
        <v>2025</v>
      </c>
      <c r="J1090" s="5" t="str">
        <f>CASOPOInvCL!AB1090</f>
        <v>No Inv</v>
      </c>
      <c r="K1090" s="31" t="str">
        <f>CASOPOInvCL!W1090</f>
        <v/>
      </c>
      <c r="L1090" s="31" t="str">
        <f>CASOPOInvCL!X1090</f>
        <v/>
      </c>
      <c r="M1090" t="s">
        <v>5945</v>
      </c>
      <c r="N1090" s="5" t="str">
        <f>CASOPOInvCL!AF1090</f>
        <v>Cypress Sales Partnership</v>
      </c>
      <c r="O1090" s="16" t="str">
        <f>CASOPOInvCL!AG1090</f>
        <v>CAD</v>
      </c>
      <c r="P1090" s="16">
        <f>CASOPOInvCL!AH1090</f>
        <v>3969.02</v>
      </c>
      <c r="Q1090" s="16">
        <f>CASOPOInvCL!AI1090</f>
        <v>2832.4630919426509</v>
      </c>
      <c r="R1090" s="32" t="str">
        <f>CASOPOInvCL!AU1090</f>
        <v/>
      </c>
      <c r="S1090" s="16">
        <f>CASOPOInvCL!AV1090</f>
        <v>0</v>
      </c>
      <c r="T1090" s="16">
        <f>CASOPOInvCL!AW1090</f>
        <v>0</v>
      </c>
      <c r="Y1090" s="29" t="str">
        <f>IFERROR(HLOOKUP(U1090,List!$D$2:$H$6,2,FALSE),"")</f>
        <v/>
      </c>
      <c r="Z1090" s="29" t="str">
        <f>IFERROR(HLOOKUP(V1090,List!$D$2:$H$6,3,FALSE),"")</f>
        <v/>
      </c>
      <c r="AA1090" s="29" t="str">
        <f>IFERROR(HLOOKUP(W1090,List!$D$2:$H$6,4,FALSE),"")</f>
        <v/>
      </c>
      <c r="AB1090" s="29" t="str">
        <f>IFERROR(HLOOKUP(X1090,List!$D$2:$H$6,5,FALSE),"")</f>
        <v/>
      </c>
      <c r="AC1090" s="12" t="str">
        <f t="shared" si="266"/>
        <v/>
      </c>
      <c r="AD1090" s="12" t="str">
        <f t="shared" si="267"/>
        <v/>
      </c>
      <c r="AE1090" s="12" t="str">
        <f t="shared" si="268"/>
        <v/>
      </c>
      <c r="AF1090" s="12" t="str">
        <f t="shared" si="269"/>
        <v/>
      </c>
      <c r="AG1090" t="e">
        <f>VLOOKUP(J1090,'Receivable Invoice Detail'!$A$1:F4102,6,FALSE)</f>
        <v>#N/A</v>
      </c>
      <c r="AM1090" s="12" t="str">
        <f t="shared" si="270"/>
        <v/>
      </c>
      <c r="AN1090" s="12" t="str">
        <f t="shared" si="271"/>
        <v/>
      </c>
      <c r="AO1090" s="12" t="str">
        <f t="shared" si="272"/>
        <v/>
      </c>
      <c r="AP1090" s="12" t="str">
        <f t="shared" si="273"/>
        <v/>
      </c>
      <c r="AQ1090" s="64" t="str">
        <f t="shared" si="274"/>
        <v/>
      </c>
      <c r="AS1090" s="12">
        <f t="shared" si="275"/>
        <v>0</v>
      </c>
      <c r="AT1090" t="s">
        <v>5945</v>
      </c>
    </row>
    <row r="1091" spans="1:46" hidden="1" x14ac:dyDescent="0.25">
      <c r="A1091" s="41">
        <f>CASOPOInvCL!T1091</f>
        <v>1</v>
      </c>
      <c r="B1091" t="str">
        <f>CASOPOInvCL!Z1091</f>
        <v>SO18065</v>
      </c>
      <c r="G1091" s="5" t="str">
        <f>CASOPOInvCL!I1091</f>
        <v>Yannett Yeomans</v>
      </c>
      <c r="H1091" s="31">
        <f>CASOPOInvCL!U1091</f>
        <v>10</v>
      </c>
      <c r="I1091" s="31">
        <f>CASOPOInvCL!V1091</f>
        <v>2025</v>
      </c>
      <c r="J1091" s="5" t="str">
        <f>CASOPOInvCL!AB1091</f>
        <v>INV13822</v>
      </c>
      <c r="K1091" s="31" t="str">
        <f>CASOPOInvCL!W1091</f>
        <v/>
      </c>
      <c r="L1091" s="31" t="str">
        <f>CASOPOInvCL!X1091</f>
        <v/>
      </c>
      <c r="N1091" s="5" t="str">
        <f>CASOPOInvCL!AF1091</f>
        <v>Dynapro Pumps México S de RL de CV</v>
      </c>
      <c r="O1091" s="16" t="str">
        <f>CASOPOInvCL!AG1091</f>
        <v>USD</v>
      </c>
      <c r="P1091" s="16">
        <f>CASOPOInvCL!AH1091</f>
        <v>386.23881709260911</v>
      </c>
      <c r="Q1091" s="16">
        <f>CASOPOInvCL!AI1091</f>
        <v>275</v>
      </c>
      <c r="R1091" s="32" t="str">
        <f>CASOPOInvCL!AU1091</f>
        <v/>
      </c>
      <c r="S1091" s="16">
        <f>CASOPOInvCL!AV1091</f>
        <v>0</v>
      </c>
      <c r="T1091" s="16">
        <f>CASOPOInvCL!AW1091</f>
        <v>0</v>
      </c>
      <c r="Y1091" s="29" t="str">
        <f>IFERROR(HLOOKUP(U1091,List!$D$2:$H$6,2,FALSE),"")</f>
        <v/>
      </c>
      <c r="Z1091" s="29" t="str">
        <f>IFERROR(HLOOKUP(V1091,List!$D$2:$H$6,3,FALSE),"")</f>
        <v/>
      </c>
      <c r="AA1091" s="29" t="str">
        <f>IFERROR(HLOOKUP(W1091,List!$D$2:$H$6,4,FALSE),"")</f>
        <v/>
      </c>
      <c r="AB1091" s="29" t="str">
        <f>IFERROR(HLOOKUP(X1091,List!$D$2:$H$6,5,FALSE),"")</f>
        <v/>
      </c>
      <c r="AC1091" s="12" t="str">
        <f t="shared" ref="AC1091:AC1154" si="276">IFERROR(Y1091*$T1091,"")</f>
        <v/>
      </c>
      <c r="AD1091" s="12" t="str">
        <f t="shared" ref="AD1091:AD1154" si="277">IFERROR(Z1091*$T1091,"")</f>
        <v/>
      </c>
      <c r="AE1091" s="12" t="str">
        <f t="shared" ref="AE1091:AE1154" si="278">IFERROR(AA1091*$T1091,"")</f>
        <v/>
      </c>
      <c r="AF1091" s="12" t="str">
        <f t="shared" ref="AF1091:AF1154" si="279">IFERROR(AB1091*$T1091,"")</f>
        <v/>
      </c>
      <c r="AG1091" t="e">
        <f>VLOOKUP(J1091,'Receivable Invoice Detail'!$A$1:F4103,6,FALSE)</f>
        <v>#N/A</v>
      </c>
      <c r="AM1091" s="12" t="str">
        <f t="shared" ref="AM1091:AM1154" si="280">IF(AI1091="",AC1091,0)</f>
        <v/>
      </c>
      <c r="AN1091" s="12" t="str">
        <f t="shared" ref="AN1091:AN1154" si="281">IF(AJ1091="",AD1091,0)</f>
        <v/>
      </c>
      <c r="AO1091" s="12" t="str">
        <f t="shared" ref="AO1091:AO1154" si="282">IF(AK1091="",AE1091,0)</f>
        <v/>
      </c>
      <c r="AP1091" s="12" t="str">
        <f t="shared" ref="AP1091:AP1154" si="283">IF(AL1091="",AF1091,0)</f>
        <v/>
      </c>
      <c r="AQ1091" s="64"/>
      <c r="AS1091" s="12">
        <f t="shared" si="275"/>
        <v>0</v>
      </c>
    </row>
    <row r="1092" spans="1:46" hidden="1" x14ac:dyDescent="0.25">
      <c r="A1092" s="41">
        <f>CASOPOInvCL!T1092</f>
        <v>1</v>
      </c>
      <c r="B1092" t="str">
        <f>CASOPOInvCL!Z1092</f>
        <v>SO18066</v>
      </c>
      <c r="G1092" s="5" t="str">
        <f>CASOPOInvCL!I1092</f>
        <v>Alexis Gil Lamadrid</v>
      </c>
      <c r="H1092" s="31">
        <f>CASOPOInvCL!U1092</f>
        <v>10</v>
      </c>
      <c r="I1092" s="31">
        <f>CASOPOInvCL!V1092</f>
        <v>2025</v>
      </c>
      <c r="J1092" s="5" t="str">
        <f>CASOPOInvCL!AB1092</f>
        <v>INV13760</v>
      </c>
      <c r="K1092" s="31">
        <f>CASOPOInvCL!W1092</f>
        <v>12</v>
      </c>
      <c r="L1092" s="31">
        <f>CASOPOInvCL!X1092</f>
        <v>2025</v>
      </c>
      <c r="M1092" t="s">
        <v>5945</v>
      </c>
      <c r="N1092" s="5" t="str">
        <f>CASOPOInvCL!AF1092</f>
        <v>Beaudoin Protective Coating &amp; Fabrication</v>
      </c>
      <c r="O1092" s="16" t="str">
        <f>CASOPOInvCL!AG1092</f>
        <v>CAD</v>
      </c>
      <c r="P1092" s="16">
        <f>CASOPOInvCL!AH1092</f>
        <v>4120</v>
      </c>
      <c r="Q1092" s="16">
        <f>CASOPOInvCL!AI1092</f>
        <v>2943.602863531406</v>
      </c>
      <c r="R1092" s="32" t="str">
        <f>CASOPOInvCL!AU1092</f>
        <v>Yes</v>
      </c>
      <c r="S1092" s="16">
        <f>CASOPOInvCL!AV1092</f>
        <v>0</v>
      </c>
      <c r="T1092" s="16">
        <f>CASOPOInvCL!AW1092</f>
        <v>2943.602863531406</v>
      </c>
      <c r="Y1092" s="29" t="str">
        <f>IFERROR(HLOOKUP(U1092,List!$D$2:$H$6,2,FALSE),"")</f>
        <v/>
      </c>
      <c r="Z1092" s="29" t="str">
        <f>IFERROR(HLOOKUP(V1092,List!$D$2:$H$6,3,FALSE),"")</f>
        <v/>
      </c>
      <c r="AA1092" s="29" t="str">
        <f>IFERROR(HLOOKUP(W1092,List!$D$2:$H$6,4,FALSE),"")</f>
        <v/>
      </c>
      <c r="AB1092" s="29" t="str">
        <f>IFERROR(HLOOKUP(X1092,List!$D$2:$H$6,5,FALSE),"")</f>
        <v/>
      </c>
      <c r="AC1092" s="12" t="str">
        <f t="shared" si="276"/>
        <v/>
      </c>
      <c r="AD1092" s="12" t="str">
        <f t="shared" si="277"/>
        <v/>
      </c>
      <c r="AE1092" s="12" t="str">
        <f t="shared" si="278"/>
        <v/>
      </c>
      <c r="AF1092" s="12" t="str">
        <f t="shared" si="279"/>
        <v/>
      </c>
      <c r="AG1092" t="str">
        <f>VLOOKUP(J1092,'Receivable Invoice Detail'!$A$1:F4104,6,FALSE)</f>
        <v>[AC-98-231-070-504] Gland Side Liner, 3x3-10 SRL, Hypalon</v>
      </c>
      <c r="AM1092" s="12" t="str">
        <f t="shared" si="280"/>
        <v/>
      </c>
      <c r="AN1092" s="12" t="str">
        <f t="shared" si="281"/>
        <v/>
      </c>
      <c r="AO1092" s="12" t="str">
        <f t="shared" si="282"/>
        <v/>
      </c>
      <c r="AP1092" s="12" t="str">
        <f t="shared" si="283"/>
        <v/>
      </c>
      <c r="AQ1092" s="64" t="str">
        <f t="shared" si="274"/>
        <v/>
      </c>
      <c r="AS1092" s="12">
        <f t="shared" si="275"/>
        <v>0</v>
      </c>
      <c r="AT1092" t="s">
        <v>5945</v>
      </c>
    </row>
    <row r="1093" spans="1:46" hidden="1" x14ac:dyDescent="0.25">
      <c r="A1093" s="41">
        <f>CASOPOInvCL!T1093</f>
        <v>1</v>
      </c>
      <c r="B1093" t="str">
        <f>CASOPOInvCL!Z1093</f>
        <v>SO18068</v>
      </c>
      <c r="G1093" s="5" t="str">
        <f>CASOPOInvCL!I1093</f>
        <v>Aleksandar Stankovic</v>
      </c>
      <c r="H1093" s="31">
        <f>CASOPOInvCL!U1093</f>
        <v>10</v>
      </c>
      <c r="I1093" s="31">
        <f>CASOPOInvCL!V1093</f>
        <v>2025</v>
      </c>
      <c r="J1093" s="5" t="str">
        <f>CASOPOInvCL!AB1093</f>
        <v>INV13562</v>
      </c>
      <c r="K1093" s="31">
        <f>CASOPOInvCL!W1093</f>
        <v>12</v>
      </c>
      <c r="L1093" s="31">
        <f>CASOPOInvCL!X1093</f>
        <v>2025</v>
      </c>
      <c r="M1093" t="s">
        <v>5945</v>
      </c>
      <c r="N1093" s="5" t="str">
        <f>CASOPOInvCL!AF1093</f>
        <v>Canadian Industrial Pumps Ltd</v>
      </c>
      <c r="O1093" s="16" t="str">
        <f>CASOPOInvCL!AG1093</f>
        <v>CAD</v>
      </c>
      <c r="P1093" s="16">
        <f>CASOPOInvCL!AH1093</f>
        <v>2239</v>
      </c>
      <c r="Q1093" s="16">
        <f>CASOPOInvCL!AI1093</f>
        <v>1601.3742835150208</v>
      </c>
      <c r="R1093" s="32" t="str">
        <f>CASOPOInvCL!AU1093</f>
        <v>Yes</v>
      </c>
      <c r="S1093" s="16">
        <f>CASOPOInvCL!AV1093</f>
        <v>0</v>
      </c>
      <c r="T1093" s="16">
        <f>CASOPOInvCL!AW1093</f>
        <v>1601.3742835150208</v>
      </c>
      <c r="Y1093" s="29" t="str">
        <f>IFERROR(HLOOKUP(U1093,List!$D$2:$H$6,2,FALSE),"")</f>
        <v/>
      </c>
      <c r="Z1093" s="29" t="str">
        <f>IFERROR(HLOOKUP(V1093,List!$D$2:$H$6,3,FALSE),"")</f>
        <v/>
      </c>
      <c r="AA1093" s="29" t="str">
        <f>IFERROR(HLOOKUP(W1093,List!$D$2:$H$6,4,FALSE),"")</f>
        <v/>
      </c>
      <c r="AB1093" s="29" t="str">
        <f>IFERROR(HLOOKUP(X1093,List!$D$2:$H$6,5,FALSE),"")</f>
        <v/>
      </c>
      <c r="AC1093" s="12" t="str">
        <f t="shared" si="276"/>
        <v/>
      </c>
      <c r="AD1093" s="12" t="str">
        <f t="shared" si="277"/>
        <v/>
      </c>
      <c r="AE1093" s="12" t="str">
        <f t="shared" si="278"/>
        <v/>
      </c>
      <c r="AF1093" s="12" t="str">
        <f t="shared" si="279"/>
        <v/>
      </c>
      <c r="AG1093" t="str">
        <f>VLOOKUP(J1093,'Receivable Invoice Detail'!$A$1:F4105,6,FALSE)</f>
        <v>[AC-98-331-958-831] Shaft Sleeve, 5x4/5x5/6X6 SRL-C &amp; SRL, 420SS Heat Treated, Hardened</v>
      </c>
      <c r="AM1093" s="12" t="str">
        <f t="shared" si="280"/>
        <v/>
      </c>
      <c r="AN1093" s="12" t="str">
        <f t="shared" si="281"/>
        <v/>
      </c>
      <c r="AO1093" s="12" t="str">
        <f t="shared" si="282"/>
        <v/>
      </c>
      <c r="AP1093" s="12" t="str">
        <f t="shared" si="283"/>
        <v/>
      </c>
      <c r="AQ1093" s="64" t="str">
        <f t="shared" si="274"/>
        <v/>
      </c>
      <c r="AR1093" t="s">
        <v>5943</v>
      </c>
      <c r="AS1093" s="12">
        <f t="shared" si="275"/>
        <v>75.860404119704484</v>
      </c>
      <c r="AT1093" t="s">
        <v>5945</v>
      </c>
    </row>
    <row r="1094" spans="1:46" hidden="1" x14ac:dyDescent="0.25">
      <c r="A1094" s="41">
        <f>CASOPOInvCL!T1094</f>
        <v>1</v>
      </c>
      <c r="B1094" t="str">
        <f>CASOPOInvCL!Z1094</f>
        <v>SO18069</v>
      </c>
      <c r="G1094" s="5" t="str">
        <f>CASOPOInvCL!I1094</f>
        <v>Wilka Nuñez</v>
      </c>
      <c r="H1094" s="31">
        <f>CASOPOInvCL!U1094</f>
        <v>10</v>
      </c>
      <c r="I1094" s="31">
        <f>CASOPOInvCL!V1094</f>
        <v>2025</v>
      </c>
      <c r="J1094" s="5" t="str">
        <f>CASOPOInvCL!AB1094</f>
        <v>INV13634</v>
      </c>
      <c r="K1094" s="31">
        <f>CASOPOInvCL!W1094</f>
        <v>1</v>
      </c>
      <c r="L1094" s="31">
        <f>CASOPOInvCL!X1094</f>
        <v>2026</v>
      </c>
      <c r="M1094" t="s">
        <v>5945</v>
      </c>
      <c r="N1094" s="5" t="str">
        <f>CASOPOInvCL!AF1094</f>
        <v>Wajax Limited - Lachine</v>
      </c>
      <c r="O1094" s="16" t="str">
        <f>CASOPOInvCL!AG1094</f>
        <v>CAD</v>
      </c>
      <c r="P1094" s="16">
        <f>CASOPOInvCL!AH1094</f>
        <v>106.16</v>
      </c>
      <c r="Q1094" s="16">
        <f>CASOPOInvCL!AI1094</f>
        <v>75.573335829283934</v>
      </c>
      <c r="R1094" s="32" t="str">
        <f>CASOPOInvCL!AU1094</f>
        <v/>
      </c>
      <c r="S1094" s="16">
        <f>CASOPOInvCL!AV1094</f>
        <v>0</v>
      </c>
      <c r="T1094" s="16">
        <f>CASOPOInvCL!AW1094</f>
        <v>0</v>
      </c>
      <c r="Y1094" s="29" t="str">
        <f>IFERROR(HLOOKUP(U1094,List!$D$2:$H$6,2,FALSE),"")</f>
        <v/>
      </c>
      <c r="Z1094" s="29" t="str">
        <f>IFERROR(HLOOKUP(V1094,List!$D$2:$H$6,3,FALSE),"")</f>
        <v/>
      </c>
      <c r="AA1094" s="29" t="str">
        <f>IFERROR(HLOOKUP(W1094,List!$D$2:$H$6,4,FALSE),"")</f>
        <v/>
      </c>
      <c r="AB1094" s="29" t="str">
        <f>IFERROR(HLOOKUP(X1094,List!$D$2:$H$6,5,FALSE),"")</f>
        <v/>
      </c>
      <c r="AC1094" s="12" t="str">
        <f t="shared" si="276"/>
        <v/>
      </c>
      <c r="AD1094" s="12" t="str">
        <f t="shared" si="277"/>
        <v/>
      </c>
      <c r="AE1094" s="12" t="str">
        <f t="shared" si="278"/>
        <v/>
      </c>
      <c r="AF1094" s="12" t="str">
        <f t="shared" si="279"/>
        <v/>
      </c>
      <c r="AG1094" t="str">
        <f>VLOOKUP(J1094,'Receivable Invoice Detail'!$A$1:F4106,6,FALSE)</f>
        <v>[W-QV064/S10] Impeller Sealing O-Ring, 65QV-SP, Nitrile</v>
      </c>
      <c r="AM1094" s="12" t="str">
        <f t="shared" si="280"/>
        <v/>
      </c>
      <c r="AN1094" s="12" t="str">
        <f t="shared" si="281"/>
        <v/>
      </c>
      <c r="AO1094" s="12" t="str">
        <f t="shared" si="282"/>
        <v/>
      </c>
      <c r="AP1094" s="12" t="str">
        <f t="shared" si="283"/>
        <v/>
      </c>
      <c r="AQ1094" s="64" t="str">
        <f t="shared" si="274"/>
        <v/>
      </c>
      <c r="AS1094" s="12">
        <f t="shared" si="275"/>
        <v>0</v>
      </c>
      <c r="AT1094" t="s">
        <v>5945</v>
      </c>
    </row>
    <row r="1095" spans="1:46" hidden="1" x14ac:dyDescent="0.25">
      <c r="A1095" s="41">
        <f>CASOPOInvCL!T1095</f>
        <v>1</v>
      </c>
      <c r="B1095" t="str">
        <f>CASOPOInvCL!Z1095</f>
        <v>SO18072</v>
      </c>
      <c r="E1095" t="s">
        <v>5848</v>
      </c>
      <c r="G1095" s="5" t="str">
        <f>CASOPOInvCL!I1095</f>
        <v>Leriel Reyes</v>
      </c>
      <c r="H1095" s="31">
        <f>CASOPOInvCL!U1095</f>
        <v>10</v>
      </c>
      <c r="I1095" s="31">
        <f>CASOPOInvCL!V1095</f>
        <v>2025</v>
      </c>
      <c r="J1095" s="5" t="str">
        <f>CASOPOInvCL!AB1095</f>
        <v>INV13780</v>
      </c>
      <c r="K1095" s="31" t="str">
        <f>CASOPOInvCL!W1095</f>
        <v/>
      </c>
      <c r="L1095" s="31" t="str">
        <f>CASOPOInvCL!X1095</f>
        <v/>
      </c>
      <c r="M1095" t="s">
        <v>5945</v>
      </c>
      <c r="N1095" s="5" t="str">
        <f>CASOPOInvCL!AF1095</f>
        <v>TC Industries of Canada Co., TC Industries of Canada Co.</v>
      </c>
      <c r="O1095" s="16" t="str">
        <f>CASOPOInvCL!AG1095</f>
        <v>CAD</v>
      </c>
      <c r="P1095" s="16">
        <f>CASOPOInvCL!AH1095</f>
        <v>18033.48</v>
      </c>
      <c r="Q1095" s="16">
        <f>CASOPOInvCL!AI1095</f>
        <v>12897.879014864875</v>
      </c>
      <c r="R1095" s="32" t="str">
        <f>CASOPOInvCL!AU1095</f>
        <v/>
      </c>
      <c r="S1095" s="16">
        <f>CASOPOInvCL!AV1095</f>
        <v>286</v>
      </c>
      <c r="T1095" s="16">
        <f>CASOPOInvCL!AW1095</f>
        <v>0</v>
      </c>
      <c r="W1095" t="s">
        <v>5801</v>
      </c>
      <c r="Y1095" s="29" t="str">
        <f>IFERROR(HLOOKUP(U1095,List!$D$2:$H$6,2,FALSE),"")</f>
        <v/>
      </c>
      <c r="Z1095" s="29" t="str">
        <f>IFERROR(HLOOKUP(V1095,List!$D$2:$H$6,3,FALSE),"")</f>
        <v/>
      </c>
      <c r="AA1095" s="29">
        <f>IFERROR(HLOOKUP(W1095,List!$D$2:$H$6,4,FALSE),"")</f>
        <v>0.02</v>
      </c>
      <c r="AB1095" s="29" t="str">
        <f>IFERROR(HLOOKUP(X1095,List!$D$2:$H$6,5,FALSE),"")</f>
        <v/>
      </c>
      <c r="AC1095" s="12" t="str">
        <f t="shared" si="276"/>
        <v/>
      </c>
      <c r="AD1095" s="12" t="str">
        <f t="shared" si="277"/>
        <v/>
      </c>
      <c r="AE1095" s="12">
        <f t="shared" si="278"/>
        <v>0</v>
      </c>
      <c r="AF1095" s="12" t="str">
        <f t="shared" si="279"/>
        <v/>
      </c>
      <c r="AG1095" t="str">
        <f>VLOOKUP(J1095,'Receivable Invoice Detail'!$A$1:F4107,6,FALSE)</f>
        <v>[D-196 3x4-8 MTX CD4MCu] Pump, 3x4-8, D-196 MTX, All CD4MCu</v>
      </c>
      <c r="AM1095" s="12" t="str">
        <f t="shared" si="280"/>
        <v/>
      </c>
      <c r="AN1095" s="12" t="str">
        <f t="shared" si="281"/>
        <v/>
      </c>
      <c r="AO1095" s="12">
        <f t="shared" si="282"/>
        <v>0</v>
      </c>
      <c r="AP1095" s="12" t="str">
        <f t="shared" si="283"/>
        <v/>
      </c>
      <c r="AQ1095" s="64" t="str">
        <f t="shared" si="274"/>
        <v/>
      </c>
      <c r="AS1095" s="12">
        <f t="shared" si="275"/>
        <v>48.899168890350332</v>
      </c>
      <c r="AT1095" t="s">
        <v>5945</v>
      </c>
    </row>
    <row r="1096" spans="1:46" hidden="1" x14ac:dyDescent="0.25">
      <c r="A1096" s="41">
        <f>CASOPOInvCL!T1096</f>
        <v>1</v>
      </c>
      <c r="B1096" t="str">
        <f>CASOPOInvCL!Z1096</f>
        <v>SO18073</v>
      </c>
      <c r="G1096" s="5" t="str">
        <f>CASOPOInvCL!I1096</f>
        <v>Wilka Nuñez</v>
      </c>
      <c r="H1096" s="31">
        <f>CASOPOInvCL!U1096</f>
        <v>10</v>
      </c>
      <c r="I1096" s="31">
        <f>CASOPOInvCL!V1096</f>
        <v>2025</v>
      </c>
      <c r="J1096" s="5" t="str">
        <f>CASOPOInvCL!AB1096</f>
        <v>INV13565</v>
      </c>
      <c r="K1096" s="31">
        <f>CASOPOInvCL!W1096</f>
        <v>12</v>
      </c>
      <c r="L1096" s="31">
        <f>CASOPOInvCL!X1096</f>
        <v>2025</v>
      </c>
      <c r="M1096" t="s">
        <v>5945</v>
      </c>
      <c r="N1096" s="5" t="str">
        <f>CASOPOInvCL!AF1096</f>
        <v>Wajax Limited - Noranda</v>
      </c>
      <c r="O1096" s="16" t="str">
        <f>CASOPOInvCL!AG1096</f>
        <v>CAD</v>
      </c>
      <c r="P1096" s="16">
        <f>CASOPOInvCL!AH1096</f>
        <v>147.72999999999999</v>
      </c>
      <c r="Q1096" s="16">
        <f>CASOPOInvCL!AI1096</f>
        <v>105.65923309677267</v>
      </c>
      <c r="R1096" s="32" t="str">
        <f>CASOPOInvCL!AU1096</f>
        <v>Yes</v>
      </c>
      <c r="S1096" s="16">
        <f>CASOPOInvCL!AV1096</f>
        <v>0</v>
      </c>
      <c r="T1096" s="16">
        <f>CASOPOInvCL!AW1096</f>
        <v>105.65923309677267</v>
      </c>
      <c r="Y1096" s="29" t="str">
        <f>IFERROR(HLOOKUP(U1096,List!$D$2:$H$6,2,FALSE),"")</f>
        <v/>
      </c>
      <c r="Z1096" s="29" t="str">
        <f>IFERROR(HLOOKUP(V1096,List!$D$2:$H$6,3,FALSE),"")</f>
        <v/>
      </c>
      <c r="AA1096" s="29" t="str">
        <f>IFERROR(HLOOKUP(W1096,List!$D$2:$H$6,4,FALSE),"")</f>
        <v/>
      </c>
      <c r="AB1096" s="29" t="str">
        <f>IFERROR(HLOOKUP(X1096,List!$D$2:$H$6,5,FALSE),"")</f>
        <v/>
      </c>
      <c r="AC1096" s="12" t="str">
        <f t="shared" si="276"/>
        <v/>
      </c>
      <c r="AD1096" s="12" t="str">
        <f t="shared" si="277"/>
        <v/>
      </c>
      <c r="AE1096" s="12" t="str">
        <f t="shared" si="278"/>
        <v/>
      </c>
      <c r="AF1096" s="12" t="str">
        <f t="shared" si="279"/>
        <v/>
      </c>
      <c r="AG1096" t="str">
        <f>VLOOKUP(J1096,'Receivable Invoice Detail'!$A$1:F4108,6,FALSE)</f>
        <v>[AC-98-233-979-003] Sleeve Washer (Impeller), 5x5/5x4/6x6 SRL &amp; SRL-C</v>
      </c>
      <c r="AM1096" s="12" t="str">
        <f t="shared" si="280"/>
        <v/>
      </c>
      <c r="AN1096" s="12" t="str">
        <f t="shared" si="281"/>
        <v/>
      </c>
      <c r="AO1096" s="12" t="str">
        <f t="shared" si="282"/>
        <v/>
      </c>
      <c r="AP1096" s="12" t="str">
        <f t="shared" si="283"/>
        <v/>
      </c>
      <c r="AQ1096" s="64" t="str">
        <f t="shared" si="274"/>
        <v/>
      </c>
      <c r="AS1096" s="12">
        <f t="shared" si="275"/>
        <v>0</v>
      </c>
      <c r="AT1096" t="s">
        <v>5945</v>
      </c>
    </row>
    <row r="1097" spans="1:46" hidden="1" x14ac:dyDescent="0.25">
      <c r="A1097" s="41">
        <f>CASOPOInvCL!T1097</f>
        <v>1</v>
      </c>
      <c r="B1097" t="str">
        <f>CASOPOInvCL!Z1097</f>
        <v>SO18076</v>
      </c>
      <c r="G1097" s="5" t="str">
        <f>CASOPOInvCL!I1097</f>
        <v>Ian Trottier</v>
      </c>
      <c r="H1097" s="31">
        <f>CASOPOInvCL!U1097</f>
        <v>10</v>
      </c>
      <c r="I1097" s="31">
        <f>CASOPOInvCL!V1097</f>
        <v>2025</v>
      </c>
      <c r="J1097" s="5" t="str">
        <f>CASOPOInvCL!AB1097</f>
        <v>INV13548</v>
      </c>
      <c r="K1097" s="31">
        <f>CASOPOInvCL!W1097</f>
        <v>11</v>
      </c>
      <c r="L1097" s="31">
        <f>CASOPOInvCL!X1097</f>
        <v>2025</v>
      </c>
      <c r="M1097">
        <v>2504</v>
      </c>
      <c r="N1097" s="5" t="str">
        <f>CASOPOInvCL!AF1097</f>
        <v>Sealtrac Inc.</v>
      </c>
      <c r="O1097" s="16" t="str">
        <f>CASOPOInvCL!AG1097</f>
        <v>CAD</v>
      </c>
      <c r="P1097" s="16">
        <f>CASOPOInvCL!AH1097</f>
        <v>240.42</v>
      </c>
      <c r="Q1097" s="16">
        <f>CASOPOInvCL!AI1097</f>
        <v>171.15054069401322</v>
      </c>
      <c r="R1097" s="32" t="str">
        <f>CASOPOInvCL!AU1097</f>
        <v>Yes</v>
      </c>
      <c r="S1097" s="16">
        <f>CASOPOInvCL!AV1097</f>
        <v>0</v>
      </c>
      <c r="T1097" s="16">
        <f>CASOPOInvCL!AW1097</f>
        <v>171.15054069401322</v>
      </c>
      <c r="Y1097" s="29" t="str">
        <f>IFERROR(HLOOKUP(U1097,List!$D$2:$H$6,2,FALSE),"")</f>
        <v/>
      </c>
      <c r="Z1097" s="29" t="str">
        <f>IFERROR(HLOOKUP(V1097,List!$D$2:$H$6,3,FALSE),"")</f>
        <v/>
      </c>
      <c r="AA1097" s="29" t="str">
        <f>IFERROR(HLOOKUP(W1097,List!$D$2:$H$6,4,FALSE),"")</f>
        <v/>
      </c>
      <c r="AB1097" s="29" t="str">
        <f>IFERROR(HLOOKUP(X1097,List!$D$2:$H$6,5,FALSE),"")</f>
        <v/>
      </c>
      <c r="AC1097" s="12" t="str">
        <f t="shared" si="276"/>
        <v/>
      </c>
      <c r="AD1097" s="12" t="str">
        <f t="shared" si="277"/>
        <v/>
      </c>
      <c r="AE1097" s="12" t="str">
        <f t="shared" si="278"/>
        <v/>
      </c>
      <c r="AF1097" s="12" t="str">
        <f t="shared" si="279"/>
        <v/>
      </c>
      <c r="AG1097" t="str">
        <f>VLOOKUP(J1097,'Receivable Invoice Detail'!$A$1:F4109,6,FALSE)</f>
        <v>[G-D06611A 3201] Coupling Guard, 3196 STX, Fabricated Steel, Drum Style</v>
      </c>
      <c r="AM1097" s="12" t="str">
        <f t="shared" si="280"/>
        <v/>
      </c>
      <c r="AN1097" s="12" t="str">
        <f t="shared" si="281"/>
        <v/>
      </c>
      <c r="AO1097" s="12" t="str">
        <f t="shared" si="282"/>
        <v/>
      </c>
      <c r="AP1097" s="12" t="str">
        <f t="shared" si="283"/>
        <v/>
      </c>
      <c r="AQ1097" s="64">
        <f t="shared" si="274"/>
        <v>2504</v>
      </c>
      <c r="AS1097" s="12">
        <f t="shared" si="275"/>
        <v>0</v>
      </c>
      <c r="AT1097" t="s">
        <v>4388</v>
      </c>
    </row>
    <row r="1098" spans="1:46" hidden="1" x14ac:dyDescent="0.25">
      <c r="A1098" s="41">
        <f>CASOPOInvCL!T1098</f>
        <v>1</v>
      </c>
      <c r="B1098" t="str">
        <f>CASOPOInvCL!Z1098</f>
        <v>SO18078</v>
      </c>
      <c r="G1098" s="5" t="str">
        <f>CASOPOInvCL!I1098</f>
        <v>Ian Trottier</v>
      </c>
      <c r="H1098" s="31">
        <f>CASOPOInvCL!U1098</f>
        <v>10</v>
      </c>
      <c r="I1098" s="31">
        <f>CASOPOInvCL!V1098</f>
        <v>2025</v>
      </c>
      <c r="J1098" s="5" t="str">
        <f>CASOPOInvCL!AB1098</f>
        <v>INV13560</v>
      </c>
      <c r="K1098" s="31" t="str">
        <f>CASOPOInvCL!W1098</f>
        <v/>
      </c>
      <c r="L1098" s="31" t="str">
        <f>CASOPOInvCL!X1098</f>
        <v/>
      </c>
      <c r="M1098" t="s">
        <v>5945</v>
      </c>
      <c r="N1098" s="5" t="str">
        <f>CASOPOInvCL!AF1098</f>
        <v>Glencore Canada Corporation - Rouyn-Noranda</v>
      </c>
      <c r="O1098" s="16" t="str">
        <f>CASOPOInvCL!AG1098</f>
        <v>CAD</v>
      </c>
      <c r="P1098" s="16">
        <f>CASOPOInvCL!AH1098</f>
        <v>4932.2700000000004</v>
      </c>
      <c r="Q1098" s="16">
        <f>CASOPOInvCL!AI1098</f>
        <v>3511.1915703721015</v>
      </c>
      <c r="R1098" s="32" t="str">
        <f>CASOPOInvCL!AU1098</f>
        <v/>
      </c>
      <c r="S1098" s="16">
        <f>CASOPOInvCL!AV1098</f>
        <v>0</v>
      </c>
      <c r="T1098" s="16">
        <f>CASOPOInvCL!AW1098</f>
        <v>0</v>
      </c>
      <c r="Y1098" s="29" t="str">
        <f>IFERROR(HLOOKUP(U1098,List!$D$2:$H$6,2,FALSE),"")</f>
        <v/>
      </c>
      <c r="Z1098" s="29" t="str">
        <f>IFERROR(HLOOKUP(V1098,List!$D$2:$H$6,3,FALSE),"")</f>
        <v/>
      </c>
      <c r="AA1098" s="29" t="str">
        <f>IFERROR(HLOOKUP(W1098,List!$D$2:$H$6,4,FALSE),"")</f>
        <v/>
      </c>
      <c r="AB1098" s="29" t="str">
        <f>IFERROR(HLOOKUP(X1098,List!$D$2:$H$6,5,FALSE),"")</f>
        <v/>
      </c>
      <c r="AC1098" s="12" t="str">
        <f t="shared" si="276"/>
        <v/>
      </c>
      <c r="AD1098" s="12" t="str">
        <f t="shared" si="277"/>
        <v/>
      </c>
      <c r="AE1098" s="12" t="str">
        <f t="shared" si="278"/>
        <v/>
      </c>
      <c r="AF1098" s="12" t="str">
        <f t="shared" si="279"/>
        <v/>
      </c>
      <c r="AG1098" t="str">
        <f>VLOOKUP(J1098,'Receivable Invoice Detail'!$A$1:F4110,6,FALSE)</f>
        <v>[AC-98-331-958-831] Shaft Sleeve, 5x4/5x5/6X6 SRL-C &amp; SRL, 420SS Heat Treated, Hardened</v>
      </c>
      <c r="AM1098" s="12" t="str">
        <f t="shared" si="280"/>
        <v/>
      </c>
      <c r="AN1098" s="12" t="str">
        <f t="shared" si="281"/>
        <v/>
      </c>
      <c r="AO1098" s="12" t="str">
        <f t="shared" si="282"/>
        <v/>
      </c>
      <c r="AP1098" s="12" t="str">
        <f t="shared" si="283"/>
        <v/>
      </c>
      <c r="AQ1098" s="64" t="str">
        <f t="shared" si="274"/>
        <v/>
      </c>
      <c r="AS1098" s="12">
        <f t="shared" si="275"/>
        <v>0</v>
      </c>
      <c r="AT1098" t="s">
        <v>5945</v>
      </c>
    </row>
    <row r="1099" spans="1:46" hidden="1" x14ac:dyDescent="0.25">
      <c r="A1099" s="41">
        <f>CASOPOInvCL!T1099</f>
        <v>1</v>
      </c>
      <c r="B1099" t="str">
        <f>CASOPOInvCL!Z1099</f>
        <v>SO18079</v>
      </c>
      <c r="D1099" t="s">
        <v>5915</v>
      </c>
      <c r="G1099" s="5" t="str">
        <f>CASOPOInvCL!I1099</f>
        <v>Wilka Nuñez</v>
      </c>
      <c r="H1099" s="31">
        <f>CASOPOInvCL!U1099</f>
        <v>10</v>
      </c>
      <c r="I1099" s="31">
        <f>CASOPOInvCL!V1099</f>
        <v>2025</v>
      </c>
      <c r="J1099" s="5" t="str">
        <f>CASOPOInvCL!AB1099</f>
        <v>INV13557</v>
      </c>
      <c r="K1099" s="31">
        <f>CASOPOInvCL!W1099</f>
        <v>11</v>
      </c>
      <c r="L1099" s="31">
        <f>CASOPOInvCL!X1099</f>
        <v>2025</v>
      </c>
      <c r="M1099">
        <v>2504</v>
      </c>
      <c r="N1099" s="5" t="str">
        <f>CASOPOInvCL!AF1099</f>
        <v>Sling-Choker Manufacturing - Timmins</v>
      </c>
      <c r="O1099" s="16" t="str">
        <f>CASOPOInvCL!AG1099</f>
        <v>CAD</v>
      </c>
      <c r="P1099" s="16">
        <f>CASOPOInvCL!AH1099</f>
        <v>2758.48</v>
      </c>
      <c r="Q1099" s="16">
        <f>CASOPOInvCL!AI1099</f>
        <v>1966.0362971661029</v>
      </c>
      <c r="R1099" s="32" t="str">
        <f>CASOPOInvCL!AU1099</f>
        <v>Yes</v>
      </c>
      <c r="S1099" s="16">
        <f>CASOPOInvCL!AV1099</f>
        <v>0</v>
      </c>
      <c r="T1099" s="16">
        <f>CASOPOInvCL!AW1099</f>
        <v>1966.0362971661029</v>
      </c>
      <c r="V1099" t="s">
        <v>5800</v>
      </c>
      <c r="Y1099" s="29" t="str">
        <f>IFERROR(HLOOKUP(U1099,List!$D$2:$H$6,2,FALSE),"")</f>
        <v/>
      </c>
      <c r="Z1099" s="29">
        <f>IFERROR(HLOOKUP(V1099,List!$D$2:$H$6,3,FALSE),"")</f>
        <v>5.0000000000000001E-3</v>
      </c>
      <c r="AA1099" s="29" t="str">
        <f>IFERROR(HLOOKUP(W1099,List!$D$2:$H$6,4,FALSE),"")</f>
        <v/>
      </c>
      <c r="AB1099" s="29" t="str">
        <f>IFERROR(HLOOKUP(X1099,List!$D$2:$H$6,5,FALSE),"")</f>
        <v/>
      </c>
      <c r="AC1099" s="12" t="str">
        <f t="shared" si="276"/>
        <v/>
      </c>
      <c r="AD1099" s="12">
        <f t="shared" si="277"/>
        <v>9.830181485830515</v>
      </c>
      <c r="AE1099" s="12" t="str">
        <f t="shared" si="278"/>
        <v/>
      </c>
      <c r="AF1099" s="12" t="str">
        <f t="shared" si="279"/>
        <v/>
      </c>
      <c r="AG1099" t="str">
        <f>VLOOKUP(J1099,'Receivable Invoice Detail'!$A$1:F4111,6,FALSE)</f>
        <v>[AC-98-130-364-006] Bearing Cover Gasket (Inboard), 12x10-25 SRL-C</v>
      </c>
      <c r="AM1099" s="12" t="str">
        <f t="shared" si="280"/>
        <v/>
      </c>
      <c r="AN1099" s="12">
        <f t="shared" si="281"/>
        <v>9.830181485830515</v>
      </c>
      <c r="AO1099" s="12" t="str">
        <f t="shared" si="282"/>
        <v/>
      </c>
      <c r="AP1099" s="12" t="str">
        <f t="shared" si="283"/>
        <v/>
      </c>
      <c r="AQ1099" s="64">
        <f t="shared" si="274"/>
        <v>2504</v>
      </c>
      <c r="AR1099" t="s">
        <v>5931</v>
      </c>
      <c r="AS1099" s="12">
        <f t="shared" si="275"/>
        <v>44.154042952971089</v>
      </c>
      <c r="AT1099" t="s">
        <v>4388</v>
      </c>
    </row>
    <row r="1100" spans="1:46" hidden="1" x14ac:dyDescent="0.25">
      <c r="A1100" s="41">
        <f>CASOPOInvCL!T1100</f>
        <v>1</v>
      </c>
      <c r="B1100" t="str">
        <f>CASOPOInvCL!Z1100</f>
        <v>SO18080</v>
      </c>
      <c r="D1100" t="s">
        <v>5915</v>
      </c>
      <c r="G1100" s="5" t="str">
        <f>CASOPOInvCL!I1100</f>
        <v>Wilka Nuñez</v>
      </c>
      <c r="H1100" s="31">
        <f>CASOPOInvCL!U1100</f>
        <v>10</v>
      </c>
      <c r="I1100" s="31">
        <f>CASOPOInvCL!V1100</f>
        <v>2025</v>
      </c>
      <c r="J1100" s="5" t="str">
        <f>CASOPOInvCL!AB1100</f>
        <v>INV13738</v>
      </c>
      <c r="K1100" s="31" t="str">
        <f>CASOPOInvCL!W1100</f>
        <v/>
      </c>
      <c r="L1100" s="31" t="str">
        <f>CASOPOInvCL!X1100</f>
        <v/>
      </c>
      <c r="M1100" t="s">
        <v>5945</v>
      </c>
      <c r="N1100" s="5" t="str">
        <f>CASOPOInvCL!AF1100</f>
        <v>Barrick Gold - Pueblo Viejo Dominicana Corporation</v>
      </c>
      <c r="O1100" s="16" t="str">
        <f>CASOPOInvCL!AG1100</f>
        <v>USD</v>
      </c>
      <c r="P1100" s="16">
        <f>CASOPOInvCL!AH1100</f>
        <v>1400.4815870689238</v>
      </c>
      <c r="Q1100" s="16">
        <f>CASOPOInvCL!AI1100</f>
        <v>998.44</v>
      </c>
      <c r="R1100" s="32" t="str">
        <f>CASOPOInvCL!AU1100</f>
        <v/>
      </c>
      <c r="S1100" s="16">
        <f>CASOPOInvCL!AV1100</f>
        <v>0</v>
      </c>
      <c r="T1100" s="16">
        <f>CASOPOInvCL!AW1100</f>
        <v>0</v>
      </c>
      <c r="V1100" t="s">
        <v>5803</v>
      </c>
      <c r="Y1100" s="29" t="str">
        <f>IFERROR(HLOOKUP(U1100,List!$D$2:$H$6,2,FALSE),"")</f>
        <v/>
      </c>
      <c r="Z1100" s="29">
        <f>IFERROR(HLOOKUP(V1100,List!$D$2:$H$6,3,FALSE),"")</f>
        <v>0</v>
      </c>
      <c r="AA1100" s="29" t="str">
        <f>IFERROR(HLOOKUP(W1100,List!$D$2:$H$6,4,FALSE),"")</f>
        <v/>
      </c>
      <c r="AB1100" s="29" t="str">
        <f>IFERROR(HLOOKUP(X1100,List!$D$2:$H$6,5,FALSE),"")</f>
        <v/>
      </c>
      <c r="AC1100" s="12" t="str">
        <f t="shared" si="276"/>
        <v/>
      </c>
      <c r="AD1100" s="12">
        <f t="shared" si="277"/>
        <v>0</v>
      </c>
      <c r="AE1100" s="12" t="str">
        <f t="shared" si="278"/>
        <v/>
      </c>
      <c r="AF1100" s="12" t="str">
        <f t="shared" si="279"/>
        <v/>
      </c>
      <c r="AG1100" t="str">
        <f>VLOOKUP(J1100,'Receivable Invoice Detail'!$A$1:F4112,6,FALSE)</f>
        <v>[37231] Sleeve Bearing (Suction Bell), ThorPlas-Blue, HPCW</v>
      </c>
      <c r="AM1100" s="12" t="str">
        <f t="shared" si="280"/>
        <v/>
      </c>
      <c r="AN1100" s="12">
        <f t="shared" si="281"/>
        <v>0</v>
      </c>
      <c r="AO1100" s="12" t="str">
        <f t="shared" si="282"/>
        <v/>
      </c>
      <c r="AP1100" s="12" t="str">
        <f t="shared" si="283"/>
        <v/>
      </c>
      <c r="AQ1100" s="64" t="str">
        <f t="shared" si="274"/>
        <v/>
      </c>
      <c r="AR1100" t="s">
        <v>5933</v>
      </c>
      <c r="AS1100" s="12">
        <f t="shared" si="275"/>
        <v>24.020614252725313</v>
      </c>
      <c r="AT1100" t="s">
        <v>5945</v>
      </c>
    </row>
    <row r="1101" spans="1:46" hidden="1" x14ac:dyDescent="0.25">
      <c r="A1101" s="41">
        <f>CASOPOInvCL!T1101</f>
        <v>1</v>
      </c>
      <c r="B1101" t="str">
        <f>CASOPOInvCL!Z1101</f>
        <v>SO18081</v>
      </c>
      <c r="G1101" s="5" t="str">
        <f>CASOPOInvCL!I1101</f>
        <v>Ian Trottier</v>
      </c>
      <c r="H1101" s="31">
        <f>CASOPOInvCL!U1101</f>
        <v>10</v>
      </c>
      <c r="I1101" s="31">
        <f>CASOPOInvCL!V1101</f>
        <v>2025</v>
      </c>
      <c r="J1101" s="5" t="str">
        <f>CASOPOInvCL!AB1101</f>
        <v>INV13568</v>
      </c>
      <c r="K1101" s="31">
        <f>CASOPOInvCL!W1101</f>
        <v>12</v>
      </c>
      <c r="L1101" s="31">
        <f>CASOPOInvCL!X1101</f>
        <v>2025</v>
      </c>
      <c r="M1101" t="s">
        <v>5945</v>
      </c>
      <c r="N1101" s="5" t="str">
        <f>CASOPOInvCL!AF1101</f>
        <v>Sealtrac Inc.</v>
      </c>
      <c r="O1101" s="16" t="str">
        <f>CASOPOInvCL!AG1101</f>
        <v>CAD</v>
      </c>
      <c r="P1101" s="16">
        <f>CASOPOInvCL!AH1101</f>
        <v>1421.52</v>
      </c>
      <c r="Q1101" s="16">
        <f>CASOPOInvCL!AI1101</f>
        <v>1015.9323674921432</v>
      </c>
      <c r="R1101" s="32" t="str">
        <f>CASOPOInvCL!AU1101</f>
        <v>Yes</v>
      </c>
      <c r="S1101" s="16">
        <f>CASOPOInvCL!AV1101</f>
        <v>0</v>
      </c>
      <c r="T1101" s="16">
        <f>CASOPOInvCL!AW1101</f>
        <v>1015.9323674921432</v>
      </c>
      <c r="Y1101" s="29" t="str">
        <f>IFERROR(HLOOKUP(U1101,List!$D$2:$H$6,2,FALSE),"")</f>
        <v/>
      </c>
      <c r="Z1101" s="29" t="str">
        <f>IFERROR(HLOOKUP(V1101,List!$D$2:$H$6,3,FALSE),"")</f>
        <v/>
      </c>
      <c r="AA1101" s="29" t="str">
        <f>IFERROR(HLOOKUP(W1101,List!$D$2:$H$6,4,FALSE),"")</f>
        <v/>
      </c>
      <c r="AB1101" s="29" t="str">
        <f>IFERROR(HLOOKUP(X1101,List!$D$2:$H$6,5,FALSE),"")</f>
        <v/>
      </c>
      <c r="AC1101" s="12" t="str">
        <f t="shared" si="276"/>
        <v/>
      </c>
      <c r="AD1101" s="12" t="str">
        <f t="shared" si="277"/>
        <v/>
      </c>
      <c r="AE1101" s="12" t="str">
        <f t="shared" si="278"/>
        <v/>
      </c>
      <c r="AF1101" s="12" t="str">
        <f t="shared" si="279"/>
        <v/>
      </c>
      <c r="AG1101" t="str">
        <f>VLOOKUP(J1101,'Receivable Invoice Detail'!$A$1:F4113,6,FALSE)</f>
        <v>[G-0100-163 1216] Impeller, 3x4-8, 3196 MTX, CD4MCu, 4-Vane</v>
      </c>
      <c r="AM1101" s="12" t="str">
        <f t="shared" si="280"/>
        <v/>
      </c>
      <c r="AN1101" s="12" t="str">
        <f t="shared" si="281"/>
        <v/>
      </c>
      <c r="AO1101" s="12" t="str">
        <f t="shared" si="282"/>
        <v/>
      </c>
      <c r="AP1101" s="12" t="str">
        <f t="shared" si="283"/>
        <v/>
      </c>
      <c r="AQ1101" s="64" t="str">
        <f t="shared" si="274"/>
        <v/>
      </c>
      <c r="AS1101" s="12">
        <f t="shared" si="275"/>
        <v>0</v>
      </c>
      <c r="AT1101" t="s">
        <v>5945</v>
      </c>
    </row>
    <row r="1102" spans="1:46" hidden="1" x14ac:dyDescent="0.25">
      <c r="A1102" s="41">
        <f>CASOPOInvCL!T1102</f>
        <v>1</v>
      </c>
      <c r="B1102" t="str">
        <f>CASOPOInvCL!Z1102</f>
        <v>SO18084</v>
      </c>
      <c r="G1102" s="5" t="str">
        <f>CASOPOInvCL!I1102</f>
        <v>Wilka Nuñez</v>
      </c>
      <c r="H1102" s="31">
        <f>CASOPOInvCL!U1102</f>
        <v>10</v>
      </c>
      <c r="I1102" s="31">
        <f>CASOPOInvCL!V1102</f>
        <v>2025</v>
      </c>
      <c r="J1102" s="5" t="str">
        <f>CASOPOInvCL!AB1102</f>
        <v>INV13621</v>
      </c>
      <c r="K1102" s="31">
        <f>CASOPOInvCL!W1102</f>
        <v>12</v>
      </c>
      <c r="L1102" s="31">
        <f>CASOPOInvCL!X1102</f>
        <v>2025</v>
      </c>
      <c r="M1102" t="s">
        <v>5945</v>
      </c>
      <c r="N1102" s="5" t="str">
        <f>CASOPOInvCL!AF1102</f>
        <v>DRN Industriel</v>
      </c>
      <c r="O1102" s="16" t="str">
        <f>CASOPOInvCL!AG1102</f>
        <v>CAD</v>
      </c>
      <c r="P1102" s="16">
        <f>CASOPOInvCL!AH1102</f>
        <v>632.4</v>
      </c>
      <c r="Q1102" s="16">
        <f>CASOPOInvCL!AI1102</f>
        <v>449.28625441631306</v>
      </c>
      <c r="R1102" s="32" t="str">
        <f>CASOPOInvCL!AU1102</f>
        <v>Yes</v>
      </c>
      <c r="S1102" s="16">
        <f>CASOPOInvCL!AV1102</f>
        <v>0</v>
      </c>
      <c r="T1102" s="16">
        <f>CASOPOInvCL!AW1102</f>
        <v>449.28625441631306</v>
      </c>
      <c r="Y1102" s="29" t="str">
        <f>IFERROR(HLOOKUP(U1102,List!$D$2:$H$6,2,FALSE),"")</f>
        <v/>
      </c>
      <c r="Z1102" s="29" t="str">
        <f>IFERROR(HLOOKUP(V1102,List!$D$2:$H$6,3,FALSE),"")</f>
        <v/>
      </c>
      <c r="AA1102" s="29" t="str">
        <f>IFERROR(HLOOKUP(W1102,List!$D$2:$H$6,4,FALSE),"")</f>
        <v/>
      </c>
      <c r="AB1102" s="29" t="str">
        <f>IFERROR(HLOOKUP(X1102,List!$D$2:$H$6,5,FALSE),"")</f>
        <v/>
      </c>
      <c r="AC1102" s="12" t="str">
        <f t="shared" si="276"/>
        <v/>
      </c>
      <c r="AD1102" s="12" t="str">
        <f t="shared" si="277"/>
        <v/>
      </c>
      <c r="AE1102" s="12" t="str">
        <f t="shared" si="278"/>
        <v/>
      </c>
      <c r="AF1102" s="12" t="str">
        <f t="shared" si="279"/>
        <v/>
      </c>
      <c r="AG1102" t="str">
        <f>VLOOKUP(J1102,'Receivable Invoice Detail'!$A$1:F4114,6,FALSE)</f>
        <v>[52-108-475-015] Deflector (Inboard), Allis-Chalmers PWO, Group 3</v>
      </c>
      <c r="AM1102" s="12" t="str">
        <f t="shared" si="280"/>
        <v/>
      </c>
      <c r="AN1102" s="12" t="str">
        <f t="shared" si="281"/>
        <v/>
      </c>
      <c r="AO1102" s="12" t="str">
        <f t="shared" si="282"/>
        <v/>
      </c>
      <c r="AP1102" s="12" t="str">
        <f t="shared" si="283"/>
        <v/>
      </c>
      <c r="AQ1102" s="64" t="str">
        <f t="shared" si="274"/>
        <v/>
      </c>
      <c r="AS1102" s="12">
        <f t="shared" si="275"/>
        <v>0</v>
      </c>
      <c r="AT1102" t="s">
        <v>5945</v>
      </c>
    </row>
    <row r="1103" spans="1:46" hidden="1" x14ac:dyDescent="0.25">
      <c r="A1103" s="41">
        <f>CASOPOInvCL!T1103</f>
        <v>2</v>
      </c>
      <c r="B1103" t="str">
        <f>CASOPOInvCL!Z1103</f>
        <v>SO18089</v>
      </c>
      <c r="G1103" s="5" t="str">
        <f>CASOPOInvCL!I1103</f>
        <v>Aleksandar Stankovic</v>
      </c>
      <c r="H1103" s="31">
        <f>CASOPOInvCL!U1103</f>
        <v>10</v>
      </c>
      <c r="I1103" s="31">
        <f>CASOPOInvCL!V1103</f>
        <v>2025</v>
      </c>
      <c r="J1103" s="5" t="str">
        <f>CASOPOInvCL!AB1103</f>
        <v>INV13554</v>
      </c>
      <c r="K1103" s="31" t="str">
        <f>CASOPOInvCL!W1103</f>
        <v/>
      </c>
      <c r="L1103" s="31" t="str">
        <f>CASOPOInvCL!X1103</f>
        <v/>
      </c>
      <c r="M1103" t="s">
        <v>5945</v>
      </c>
      <c r="N1103" s="5" t="str">
        <f>CASOPOInvCL!AF1103</f>
        <v>Covia Corp - Junction City</v>
      </c>
      <c r="O1103" s="16" t="str">
        <f>CASOPOInvCL!AG1103</f>
        <v>USD</v>
      </c>
      <c r="P1103" s="16">
        <f>CASOPOInvCL!AH1103</f>
        <v>16129.718931612129</v>
      </c>
      <c r="Q1103" s="16">
        <f>CASOPOInvCL!AI1103</f>
        <v>11510.86</v>
      </c>
      <c r="R1103" s="32" t="str">
        <f>CASOPOInvCL!AU1103</f>
        <v/>
      </c>
      <c r="S1103" s="16">
        <f>CASOPOInvCL!AV1103</f>
        <v>397.25</v>
      </c>
      <c r="T1103" s="16">
        <f>CASOPOInvCL!AW1103</f>
        <v>0</v>
      </c>
      <c r="Y1103" s="29" t="str">
        <f>IFERROR(HLOOKUP(U1103,List!$D$2:$H$6,2,FALSE),"")</f>
        <v/>
      </c>
      <c r="Z1103" s="29" t="str">
        <f>IFERROR(HLOOKUP(V1103,List!$D$2:$H$6,3,FALSE),"")</f>
        <v/>
      </c>
      <c r="AA1103" s="29" t="str">
        <f>IFERROR(HLOOKUP(W1103,List!$D$2:$H$6,4,FALSE),"")</f>
        <v/>
      </c>
      <c r="AB1103" s="29" t="str">
        <f>IFERROR(HLOOKUP(X1103,List!$D$2:$H$6,5,FALSE),"")</f>
        <v/>
      </c>
      <c r="AC1103" s="12" t="str">
        <f t="shared" si="276"/>
        <v/>
      </c>
      <c r="AD1103" s="12" t="str">
        <f t="shared" si="277"/>
        <v/>
      </c>
      <c r="AE1103" s="12" t="str">
        <f t="shared" si="278"/>
        <v/>
      </c>
      <c r="AF1103" s="12" t="str">
        <f t="shared" si="279"/>
        <v/>
      </c>
      <c r="AG1103" t="str">
        <f>VLOOKUP(J1103,'Receivable Invoice Detail'!$A$1:F4115,6,FALSE)</f>
        <v>[W-F108H/D21] Piston Ring, Ductile Iron</v>
      </c>
      <c r="AM1103" s="12" t="str">
        <f t="shared" si="280"/>
        <v/>
      </c>
      <c r="AN1103" s="12" t="str">
        <f t="shared" si="281"/>
        <v/>
      </c>
      <c r="AO1103" s="12" t="str">
        <f t="shared" si="282"/>
        <v/>
      </c>
      <c r="AP1103" s="12" t="str">
        <f t="shared" si="283"/>
        <v/>
      </c>
      <c r="AQ1103" s="64" t="str">
        <f t="shared" si="274"/>
        <v/>
      </c>
      <c r="AR1103" t="s">
        <v>5943</v>
      </c>
      <c r="AS1103" s="12">
        <f t="shared" si="275"/>
        <v>1.5848884964515899</v>
      </c>
      <c r="AT1103" t="s">
        <v>5945</v>
      </c>
    </row>
    <row r="1104" spans="1:46" hidden="1" x14ac:dyDescent="0.25">
      <c r="A1104" s="41">
        <f>CASOPOInvCL!T1104</f>
        <v>2</v>
      </c>
      <c r="B1104" t="str">
        <f>CASOPOInvCL!Z1104</f>
        <v>SO18089</v>
      </c>
      <c r="G1104" s="5">
        <f>CASOPOInvCL!I1104</f>
        <v>0</v>
      </c>
      <c r="H1104" s="31">
        <f>CASOPOInvCL!U1104</f>
        <v>10</v>
      </c>
      <c r="I1104" s="31">
        <f>CASOPOInvCL!V1104</f>
        <v>2025</v>
      </c>
      <c r="J1104" s="5" t="str">
        <f>CASOPOInvCL!AB1104</f>
        <v>INV13838</v>
      </c>
      <c r="K1104" s="31" t="str">
        <f>CASOPOInvCL!W1104</f>
        <v/>
      </c>
      <c r="L1104" s="31" t="str">
        <f>CASOPOInvCL!X1104</f>
        <v/>
      </c>
      <c r="M1104" t="s">
        <v>5945</v>
      </c>
      <c r="N1104" s="5" t="str">
        <f>CASOPOInvCL!AF1104</f>
        <v>Covia Corp - Junction City</v>
      </c>
      <c r="O1104" s="16" t="str">
        <f>CASOPOInvCL!AG1104</f>
        <v>USD</v>
      </c>
      <c r="P1104" s="16">
        <f>CASOPOInvCL!AH1104</f>
        <v>0</v>
      </c>
      <c r="Q1104" s="16">
        <f>CASOPOInvCL!AI1104</f>
        <v>0</v>
      </c>
      <c r="R1104" s="32" t="str">
        <f>CASOPOInvCL!AU1104</f>
        <v/>
      </c>
      <c r="S1104" s="16">
        <f>CASOPOInvCL!AV1104</f>
        <v>0</v>
      </c>
      <c r="T1104" s="16">
        <f>CASOPOInvCL!AW1104</f>
        <v>0</v>
      </c>
      <c r="Y1104" s="29" t="str">
        <f>IFERROR(HLOOKUP(U1104,List!$D$2:$H$6,2,FALSE),"")</f>
        <v/>
      </c>
      <c r="Z1104" s="29" t="str">
        <f>IFERROR(HLOOKUP(V1104,List!$D$2:$H$6,3,FALSE),"")</f>
        <v/>
      </c>
      <c r="AA1104" s="29" t="str">
        <f>IFERROR(HLOOKUP(W1104,List!$D$2:$H$6,4,FALSE),"")</f>
        <v/>
      </c>
      <c r="AB1104" s="29" t="str">
        <f>IFERROR(HLOOKUP(X1104,List!$D$2:$H$6,5,FALSE),"")</f>
        <v/>
      </c>
      <c r="AC1104" s="12" t="str">
        <f t="shared" si="276"/>
        <v/>
      </c>
      <c r="AD1104" s="12" t="str">
        <f t="shared" si="277"/>
        <v/>
      </c>
      <c r="AE1104" s="12" t="str">
        <f t="shared" si="278"/>
        <v/>
      </c>
      <c r="AF1104" s="12" t="str">
        <f t="shared" si="279"/>
        <v/>
      </c>
      <c r="AG1104" t="e">
        <f>VLOOKUP(J1104,'Receivable Invoice Detail'!$A$1:F4116,6,FALSE)</f>
        <v>#N/A</v>
      </c>
      <c r="AM1104" s="12" t="str">
        <f t="shared" si="280"/>
        <v/>
      </c>
      <c r="AN1104" s="12" t="str">
        <f t="shared" si="281"/>
        <v/>
      </c>
      <c r="AO1104" s="12" t="str">
        <f t="shared" si="282"/>
        <v/>
      </c>
      <c r="AP1104" s="12" t="str">
        <f t="shared" si="283"/>
        <v/>
      </c>
      <c r="AQ1104" s="64" t="str">
        <f t="shared" si="274"/>
        <v/>
      </c>
      <c r="AR1104" t="s">
        <v>5943</v>
      </c>
      <c r="AS1104" s="12">
        <f t="shared" si="275"/>
        <v>2.5672581104101981</v>
      </c>
      <c r="AT1104" t="s">
        <v>5945</v>
      </c>
    </row>
    <row r="1105" spans="1:46" hidden="1" x14ac:dyDescent="0.25">
      <c r="A1105" s="41">
        <f>CASOPOInvCL!T1105</f>
        <v>1</v>
      </c>
      <c r="B1105" t="str">
        <f>CASOPOInvCL!Z1105</f>
        <v>SO18095</v>
      </c>
      <c r="G1105" s="5" t="str">
        <f>CASOPOInvCL!I1105</f>
        <v>Alexis Gil Lamadrid</v>
      </c>
      <c r="H1105" s="31">
        <f>CASOPOInvCL!U1105</f>
        <v>10</v>
      </c>
      <c r="I1105" s="31">
        <f>CASOPOInvCL!V1105</f>
        <v>2025</v>
      </c>
      <c r="J1105" s="5" t="str">
        <f>CASOPOInvCL!AB1105</f>
        <v>INV13571</v>
      </c>
      <c r="K1105" s="31">
        <f>CASOPOInvCL!W1105</f>
        <v>12</v>
      </c>
      <c r="L1105" s="31">
        <f>CASOPOInvCL!X1105</f>
        <v>2025</v>
      </c>
      <c r="M1105" t="s">
        <v>5945</v>
      </c>
      <c r="N1105" s="5" t="str">
        <f>CASOPOInvCL!AF1105</f>
        <v>Canadian Bearings Ltd.</v>
      </c>
      <c r="O1105" s="16" t="str">
        <f>CASOPOInvCL!AG1105</f>
        <v>CAD</v>
      </c>
      <c r="P1105" s="16">
        <f>CASOPOInvCL!AH1105</f>
        <v>390.33</v>
      </c>
      <c r="Q1105" s="16">
        <f>CASOPOInvCL!AI1105</f>
        <v>280.90437416128111</v>
      </c>
      <c r="R1105" s="32" t="str">
        <f>CASOPOInvCL!AU1105</f>
        <v>Yes</v>
      </c>
      <c r="S1105" s="16">
        <f>CASOPOInvCL!AV1105</f>
        <v>0</v>
      </c>
      <c r="T1105" s="16">
        <f>CASOPOInvCL!AW1105</f>
        <v>280.90437416128111</v>
      </c>
      <c r="Y1105" s="29" t="str">
        <f>IFERROR(HLOOKUP(U1105,List!$D$2:$H$6,2,FALSE),"")</f>
        <v/>
      </c>
      <c r="Z1105" s="29" t="str">
        <f>IFERROR(HLOOKUP(V1105,List!$D$2:$H$6,3,FALSE),"")</f>
        <v/>
      </c>
      <c r="AA1105" s="29" t="str">
        <f>IFERROR(HLOOKUP(W1105,List!$D$2:$H$6,4,FALSE),"")</f>
        <v/>
      </c>
      <c r="AB1105" s="29" t="str">
        <f>IFERROR(HLOOKUP(X1105,List!$D$2:$H$6,5,FALSE),"")</f>
        <v/>
      </c>
      <c r="AC1105" s="12" t="str">
        <f t="shared" si="276"/>
        <v/>
      </c>
      <c r="AD1105" s="12" t="str">
        <f t="shared" si="277"/>
        <v/>
      </c>
      <c r="AE1105" s="12" t="str">
        <f t="shared" si="278"/>
        <v/>
      </c>
      <c r="AF1105" s="12" t="str">
        <f t="shared" si="279"/>
        <v/>
      </c>
      <c r="AG1105" t="str">
        <f>VLOOKUP(J1105,'Receivable Invoice Detail'!$A$1:F4117,6,FALSE)</f>
        <v>[AC-52-050-313-000] Shim Kit, Allis Chalmers CSO, Frame F4D1/F4B5</v>
      </c>
      <c r="AM1105" s="12" t="str">
        <f t="shared" si="280"/>
        <v/>
      </c>
      <c r="AN1105" s="12" t="str">
        <f t="shared" si="281"/>
        <v/>
      </c>
      <c r="AO1105" s="12" t="str">
        <f t="shared" si="282"/>
        <v/>
      </c>
      <c r="AP1105" s="12" t="str">
        <f t="shared" si="283"/>
        <v/>
      </c>
      <c r="AQ1105" s="64" t="str">
        <f t="shared" si="274"/>
        <v/>
      </c>
      <c r="AS1105" s="12">
        <f t="shared" si="275"/>
        <v>0</v>
      </c>
      <c r="AT1105" t="s">
        <v>5945</v>
      </c>
    </row>
    <row r="1106" spans="1:46" hidden="1" x14ac:dyDescent="0.25">
      <c r="A1106" s="41">
        <f>CASOPOInvCL!T1106</f>
        <v>1</v>
      </c>
      <c r="B1106" t="str">
        <f>CASOPOInvCL!Z1106</f>
        <v>SO18096</v>
      </c>
      <c r="G1106" s="5" t="str">
        <f>CASOPOInvCL!I1106</f>
        <v>Ian Trottier</v>
      </c>
      <c r="H1106" s="31">
        <f>CASOPOInvCL!U1106</f>
        <v>10</v>
      </c>
      <c r="I1106" s="31">
        <f>CASOPOInvCL!V1106</f>
        <v>2025</v>
      </c>
      <c r="J1106" s="5" t="str">
        <f>CASOPOInvCL!AB1106</f>
        <v>INV13559</v>
      </c>
      <c r="K1106" s="31">
        <f>CASOPOInvCL!W1106</f>
        <v>12</v>
      </c>
      <c r="L1106" s="31">
        <f>CASOPOInvCL!X1106</f>
        <v>2025</v>
      </c>
      <c r="M1106" t="s">
        <v>5945</v>
      </c>
      <c r="N1106" s="5" t="str">
        <f>CASOPOInvCL!AF1106</f>
        <v>Resolute Forest Products - Saint-Felicien</v>
      </c>
      <c r="O1106" s="16" t="str">
        <f>CASOPOInvCL!AG1106</f>
        <v>CAD</v>
      </c>
      <c r="P1106" s="16">
        <f>CASOPOInvCL!AH1106</f>
        <v>4223.4399999999996</v>
      </c>
      <c r="Q1106" s="16">
        <f>CASOPOInvCL!AI1106</f>
        <v>3020.6825386193295</v>
      </c>
      <c r="R1106" s="32" t="str">
        <f>CASOPOInvCL!AU1106</f>
        <v>Yes</v>
      </c>
      <c r="S1106" s="16">
        <f>CASOPOInvCL!AV1106</f>
        <v>0</v>
      </c>
      <c r="T1106" s="16">
        <f>CASOPOInvCL!AW1106</f>
        <v>3020.6825386193295</v>
      </c>
      <c r="Y1106" s="29" t="str">
        <f>IFERROR(HLOOKUP(U1106,List!$D$2:$H$6,2,FALSE),"")</f>
        <v/>
      </c>
      <c r="Z1106" s="29" t="str">
        <f>IFERROR(HLOOKUP(V1106,List!$D$2:$H$6,3,FALSE),"")</f>
        <v/>
      </c>
      <c r="AA1106" s="29" t="str">
        <f>IFERROR(HLOOKUP(W1106,List!$D$2:$H$6,4,FALSE),"")</f>
        <v/>
      </c>
      <c r="AB1106" s="29" t="str">
        <f>IFERROR(HLOOKUP(X1106,List!$D$2:$H$6,5,FALSE),"")</f>
        <v/>
      </c>
      <c r="AC1106" s="12" t="str">
        <f t="shared" si="276"/>
        <v/>
      </c>
      <c r="AD1106" s="12" t="str">
        <f t="shared" si="277"/>
        <v/>
      </c>
      <c r="AE1106" s="12" t="str">
        <f t="shared" si="278"/>
        <v/>
      </c>
      <c r="AF1106" s="12" t="str">
        <f t="shared" si="279"/>
        <v/>
      </c>
      <c r="AG1106" t="str">
        <f>VLOOKUP(J1106,'Receivable Invoice Detail'!$A$1:F4118,6,FALSE)</f>
        <v>[52-231-883-001 52-110-878-001(aluminum version), AC-98-131-579-501] Slinger Assembly, PWO Frame 1, Oil</v>
      </c>
      <c r="AM1106" s="12" t="str">
        <f t="shared" si="280"/>
        <v/>
      </c>
      <c r="AN1106" s="12" t="str">
        <f t="shared" si="281"/>
        <v/>
      </c>
      <c r="AO1106" s="12" t="str">
        <f t="shared" si="282"/>
        <v/>
      </c>
      <c r="AP1106" s="12" t="str">
        <f t="shared" si="283"/>
        <v/>
      </c>
      <c r="AQ1106" s="64" t="str">
        <f t="shared" si="274"/>
        <v/>
      </c>
      <c r="AS1106" s="12">
        <f t="shared" si="275"/>
        <v>29.490544457491541</v>
      </c>
      <c r="AT1106" t="s">
        <v>5945</v>
      </c>
    </row>
    <row r="1107" spans="1:46" hidden="1" x14ac:dyDescent="0.25">
      <c r="A1107" s="41">
        <f>CASOPOInvCL!T1107</f>
        <v>0</v>
      </c>
      <c r="B1107" t="str">
        <f>CASOPOInvCL!Z1107</f>
        <v>SO18103</v>
      </c>
      <c r="G1107" s="5" t="str">
        <f>CASOPOInvCL!I1107</f>
        <v>Amanda Qiao</v>
      </c>
      <c r="H1107" s="31">
        <f>CASOPOInvCL!U1107</f>
        <v>10</v>
      </c>
      <c r="I1107" s="31">
        <f>CASOPOInvCL!V1107</f>
        <v>2025</v>
      </c>
      <c r="J1107" s="5" t="str">
        <f>CASOPOInvCL!AB1107</f>
        <v>No Inv</v>
      </c>
      <c r="K1107" s="31" t="str">
        <f>CASOPOInvCL!W1107</f>
        <v/>
      </c>
      <c r="L1107" s="31" t="str">
        <f>CASOPOInvCL!X1107</f>
        <v/>
      </c>
      <c r="N1107" s="5" t="str">
        <f>CASOPOInvCL!AF1107</f>
        <v>AGM Inc.</v>
      </c>
      <c r="O1107" s="16" t="str">
        <f>CASOPOInvCL!AG1107</f>
        <v>USD</v>
      </c>
      <c r="P1107" s="16">
        <f>CASOPOInvCL!AH1107</f>
        <v>26137.457327018416</v>
      </c>
      <c r="Q1107" s="16">
        <f>CASOPOInvCL!AI1107</f>
        <v>18682.599999999999</v>
      </c>
      <c r="R1107" s="32" t="str">
        <f>CASOPOInvCL!AU1107</f>
        <v/>
      </c>
      <c r="S1107" s="16">
        <f>CASOPOInvCL!AV1107</f>
        <v>0</v>
      </c>
      <c r="T1107" s="16">
        <f>CASOPOInvCL!AW1107</f>
        <v>0</v>
      </c>
      <c r="Y1107" s="29" t="str">
        <f>IFERROR(HLOOKUP(U1107,List!$D$2:$H$6,2,FALSE),"")</f>
        <v/>
      </c>
      <c r="Z1107" s="29" t="str">
        <f>IFERROR(HLOOKUP(V1107,List!$D$2:$H$6,3,FALSE),"")</f>
        <v/>
      </c>
      <c r="AA1107" s="29" t="str">
        <f>IFERROR(HLOOKUP(W1107,List!$D$2:$H$6,4,FALSE),"")</f>
        <v/>
      </c>
      <c r="AB1107" s="29" t="str">
        <f>IFERROR(HLOOKUP(X1107,List!$D$2:$H$6,5,FALSE),"")</f>
        <v/>
      </c>
      <c r="AC1107" s="12" t="str">
        <f t="shared" si="276"/>
        <v/>
      </c>
      <c r="AD1107" s="12" t="str">
        <f t="shared" si="277"/>
        <v/>
      </c>
      <c r="AE1107" s="12" t="str">
        <f t="shared" si="278"/>
        <v/>
      </c>
      <c r="AF1107" s="12" t="str">
        <f t="shared" si="279"/>
        <v/>
      </c>
      <c r="AG1107" t="e">
        <f>VLOOKUP(J1107,'Receivable Invoice Detail'!$A$1:F4119,6,FALSE)</f>
        <v>#N/A</v>
      </c>
      <c r="AM1107" s="12" t="str">
        <f t="shared" si="280"/>
        <v/>
      </c>
      <c r="AN1107" s="12" t="str">
        <f t="shared" si="281"/>
        <v/>
      </c>
      <c r="AO1107" s="12" t="str">
        <f t="shared" si="282"/>
        <v/>
      </c>
      <c r="AP1107" s="12" t="str">
        <f t="shared" si="283"/>
        <v/>
      </c>
      <c r="AQ1107" s="64"/>
      <c r="AS1107" s="12">
        <f t="shared" si="275"/>
        <v>0</v>
      </c>
    </row>
    <row r="1108" spans="1:46" hidden="1" x14ac:dyDescent="0.25">
      <c r="A1108" s="41">
        <f>CASOPOInvCL!T1108</f>
        <v>1</v>
      </c>
      <c r="B1108" t="str">
        <f>CASOPOInvCL!Z1108</f>
        <v>SO18104</v>
      </c>
      <c r="G1108" s="5" t="str">
        <f>CASOPOInvCL!I1108</f>
        <v>Ian Trottier</v>
      </c>
      <c r="H1108" s="31">
        <f>CASOPOInvCL!U1108</f>
        <v>10</v>
      </c>
      <c r="I1108" s="31">
        <f>CASOPOInvCL!V1108</f>
        <v>2025</v>
      </c>
      <c r="J1108" s="5" t="str">
        <f>CASOPOInvCL!AB1108</f>
        <v>INV13799</v>
      </c>
      <c r="K1108" s="31" t="str">
        <f>CASOPOInvCL!W1108</f>
        <v/>
      </c>
      <c r="L1108" s="31" t="str">
        <f>CASOPOInvCL!X1108</f>
        <v/>
      </c>
      <c r="M1108" t="s">
        <v>5945</v>
      </c>
      <c r="N1108" s="5" t="str">
        <f>CASOPOInvCL!AF1108</f>
        <v>Resolute Forest Products - Gatineau</v>
      </c>
      <c r="O1108" s="16" t="str">
        <f>CASOPOInvCL!AG1108</f>
        <v>CAD</v>
      </c>
      <c r="P1108" s="16">
        <f>CASOPOInvCL!AH1108</f>
        <v>994.1</v>
      </c>
      <c r="Q1108" s="16">
        <f>CASOPOInvCL!AI1108</f>
        <v>710.99873838422604</v>
      </c>
      <c r="R1108" s="32" t="str">
        <f>CASOPOInvCL!AU1108</f>
        <v/>
      </c>
      <c r="S1108" s="16">
        <f>CASOPOInvCL!AV1108</f>
        <v>0</v>
      </c>
      <c r="T1108" s="16">
        <f>CASOPOInvCL!AW1108</f>
        <v>0</v>
      </c>
      <c r="Y1108" s="29" t="str">
        <f>IFERROR(HLOOKUP(U1108,List!$D$2:$H$6,2,FALSE),"")</f>
        <v/>
      </c>
      <c r="Z1108" s="29" t="str">
        <f>IFERROR(HLOOKUP(V1108,List!$D$2:$H$6,3,FALSE),"")</f>
        <v/>
      </c>
      <c r="AA1108" s="29" t="str">
        <f>IFERROR(HLOOKUP(W1108,List!$D$2:$H$6,4,FALSE),"")</f>
        <v/>
      </c>
      <c r="AB1108" s="29" t="str">
        <f>IFERROR(HLOOKUP(X1108,List!$D$2:$H$6,5,FALSE),"")</f>
        <v/>
      </c>
      <c r="AC1108" s="12" t="str">
        <f t="shared" si="276"/>
        <v/>
      </c>
      <c r="AD1108" s="12" t="str">
        <f t="shared" si="277"/>
        <v/>
      </c>
      <c r="AE1108" s="12" t="str">
        <f t="shared" si="278"/>
        <v/>
      </c>
      <c r="AF1108" s="12" t="str">
        <f t="shared" si="279"/>
        <v/>
      </c>
      <c r="AG1108" t="str">
        <f>VLOOKUP(J1108,'Receivable Invoice Detail'!$A$1:F4120,6,FALSE)</f>
        <v>[G-B02301A-6956] Shaft Sleeve, 3196 X-17, 316SS, NCB Hard Coated</v>
      </c>
      <c r="AM1108" s="12" t="str">
        <f t="shared" si="280"/>
        <v/>
      </c>
      <c r="AN1108" s="12" t="str">
        <f t="shared" si="281"/>
        <v/>
      </c>
      <c r="AO1108" s="12" t="str">
        <f t="shared" si="282"/>
        <v/>
      </c>
      <c r="AP1108" s="12" t="str">
        <f t="shared" si="283"/>
        <v/>
      </c>
      <c r="AQ1108" s="64" t="str">
        <f t="shared" si="274"/>
        <v/>
      </c>
      <c r="AS1108" s="12">
        <f t="shared" si="275"/>
        <v>15.238985512382147</v>
      </c>
      <c r="AT1108" t="s">
        <v>5945</v>
      </c>
    </row>
    <row r="1109" spans="1:46" hidden="1" x14ac:dyDescent="0.25">
      <c r="A1109" s="41">
        <f>CASOPOInvCL!T1109</f>
        <v>1</v>
      </c>
      <c r="B1109" t="str">
        <f>CASOPOInvCL!Z1109</f>
        <v>SO18106</v>
      </c>
      <c r="G1109" s="5" t="str">
        <f>CASOPOInvCL!I1109</f>
        <v>Wilka Nuñez</v>
      </c>
      <c r="H1109" s="31">
        <f>CASOPOInvCL!U1109</f>
        <v>10</v>
      </c>
      <c r="I1109" s="31">
        <f>CASOPOInvCL!V1109</f>
        <v>2025</v>
      </c>
      <c r="J1109" s="5" t="str">
        <f>CASOPOInvCL!AB1109</f>
        <v>INV13564</v>
      </c>
      <c r="K1109" s="31">
        <f>CASOPOInvCL!W1109</f>
        <v>12</v>
      </c>
      <c r="L1109" s="31">
        <f>CASOPOInvCL!X1109</f>
        <v>2025</v>
      </c>
      <c r="M1109" t="s">
        <v>5945</v>
      </c>
      <c r="N1109" s="5" t="str">
        <f>CASOPOInvCL!AF1109</f>
        <v>ProPart Pompes du Canada 9425-4380 Quebec Inc</v>
      </c>
      <c r="O1109" s="16" t="str">
        <f>CASOPOInvCL!AG1109</f>
        <v>CAD</v>
      </c>
      <c r="P1109" s="16">
        <f>CASOPOInvCL!AH1109</f>
        <v>565</v>
      </c>
      <c r="Q1109" s="16">
        <f>CASOPOInvCL!AI1109</f>
        <v>403.79438040482063</v>
      </c>
      <c r="R1109" s="32" t="str">
        <f>CASOPOInvCL!AU1109</f>
        <v>Yes</v>
      </c>
      <c r="S1109" s="16">
        <f>CASOPOInvCL!AV1109</f>
        <v>0</v>
      </c>
      <c r="T1109" s="16">
        <f>CASOPOInvCL!AW1109</f>
        <v>403.79438040482063</v>
      </c>
      <c r="Y1109" s="29" t="str">
        <f>IFERROR(HLOOKUP(U1109,List!$D$2:$H$6,2,FALSE),"")</f>
        <v/>
      </c>
      <c r="Z1109" s="29" t="str">
        <f>IFERROR(HLOOKUP(V1109,List!$D$2:$H$6,3,FALSE),"")</f>
        <v/>
      </c>
      <c r="AA1109" s="29" t="str">
        <f>IFERROR(HLOOKUP(W1109,List!$D$2:$H$6,4,FALSE),"")</f>
        <v/>
      </c>
      <c r="AB1109" s="29" t="str">
        <f>IFERROR(HLOOKUP(X1109,List!$D$2:$H$6,5,FALSE),"")</f>
        <v/>
      </c>
      <c r="AC1109" s="12" t="str">
        <f t="shared" si="276"/>
        <v/>
      </c>
      <c r="AD1109" s="12" t="str">
        <f t="shared" si="277"/>
        <v/>
      </c>
      <c r="AE1109" s="12" t="str">
        <f t="shared" si="278"/>
        <v/>
      </c>
      <c r="AF1109" s="12" t="str">
        <f t="shared" si="279"/>
        <v/>
      </c>
      <c r="AG1109" t="str">
        <f>VLOOKUP(J1109,'Receivable Invoice Detail'!$A$1:F4121,6,FALSE)</f>
        <v>[AC-98-234-271-001] Waterseal Bushing, 3x3 SRL-C, 316SS</v>
      </c>
      <c r="AM1109" s="12" t="str">
        <f t="shared" si="280"/>
        <v/>
      </c>
      <c r="AN1109" s="12" t="str">
        <f t="shared" si="281"/>
        <v/>
      </c>
      <c r="AO1109" s="12" t="str">
        <f t="shared" si="282"/>
        <v/>
      </c>
      <c r="AP1109" s="12" t="str">
        <f t="shared" si="283"/>
        <v/>
      </c>
      <c r="AQ1109" s="64" t="str">
        <f t="shared" si="274"/>
        <v/>
      </c>
      <c r="AS1109" s="12">
        <f t="shared" si="275"/>
        <v>6.7392938162446958</v>
      </c>
      <c r="AT1109" t="s">
        <v>5945</v>
      </c>
    </row>
    <row r="1110" spans="1:46" hidden="1" x14ac:dyDescent="0.25">
      <c r="A1110" s="41">
        <f>CASOPOInvCL!T1110</f>
        <v>1</v>
      </c>
      <c r="B1110" t="str">
        <f>CASOPOInvCL!Z1110</f>
        <v>SO18107</v>
      </c>
      <c r="D1110" t="s">
        <v>5852</v>
      </c>
      <c r="G1110" s="5" t="str">
        <f>CASOPOInvCL!I1110</f>
        <v>Aleksandar Stankovic</v>
      </c>
      <c r="H1110" s="31">
        <f>CASOPOInvCL!U1110</f>
        <v>10</v>
      </c>
      <c r="I1110" s="31">
        <f>CASOPOInvCL!V1110</f>
        <v>2025</v>
      </c>
      <c r="J1110" s="5" t="str">
        <f>CASOPOInvCL!AB1110</f>
        <v>INV13602</v>
      </c>
      <c r="K1110" s="31">
        <f>CASOPOInvCL!W1110</f>
        <v>11</v>
      </c>
      <c r="L1110" s="31">
        <f>CASOPOInvCL!X1110</f>
        <v>2025</v>
      </c>
      <c r="M1110">
        <v>2504</v>
      </c>
      <c r="N1110" s="5" t="str">
        <f>CASOPOInvCL!AF1110</f>
        <v>FMI Products</v>
      </c>
      <c r="O1110" s="16" t="str">
        <f>CASOPOInvCL!AG1110</f>
        <v>CAD</v>
      </c>
      <c r="P1110" s="16">
        <f>CASOPOInvCL!AH1110</f>
        <v>565.09</v>
      </c>
      <c r="Q1110" s="16">
        <f>CASOPOInvCL!AI1110</f>
        <v>403.29394579108504</v>
      </c>
      <c r="R1110" s="32" t="str">
        <f>CASOPOInvCL!AU1110</f>
        <v>Yes</v>
      </c>
      <c r="S1110" s="16">
        <f>CASOPOInvCL!AV1110</f>
        <v>0</v>
      </c>
      <c r="T1110" s="16">
        <f>CASOPOInvCL!AW1110</f>
        <v>403.29394579108504</v>
      </c>
      <c r="Y1110" s="29" t="str">
        <f>IFERROR(HLOOKUP(U1110,List!$D$2:$H$6,2,FALSE),"")</f>
        <v/>
      </c>
      <c r="Z1110" s="29" t="str">
        <f>IFERROR(HLOOKUP(V1110,List!$D$2:$H$6,3,FALSE),"")</f>
        <v/>
      </c>
      <c r="AA1110" s="29" t="str">
        <f>IFERROR(HLOOKUP(W1110,List!$D$2:$H$6,4,FALSE),"")</f>
        <v/>
      </c>
      <c r="AB1110" s="29" t="str">
        <f>IFERROR(HLOOKUP(X1110,List!$D$2:$H$6,5,FALSE),"")</f>
        <v/>
      </c>
      <c r="AC1110" s="12" t="str">
        <f t="shared" si="276"/>
        <v/>
      </c>
      <c r="AD1110" s="12" t="str">
        <f t="shared" si="277"/>
        <v/>
      </c>
      <c r="AE1110" s="12" t="str">
        <f t="shared" si="278"/>
        <v/>
      </c>
      <c r="AF1110" s="12" t="str">
        <f t="shared" si="279"/>
        <v/>
      </c>
      <c r="AG1110" t="str">
        <f>VLOOKUP(J1110,'Receivable Invoice Detail'!$A$1:F4122,6,FALSE)</f>
        <v>[G-R100-111 1012] Stuffing Box Cover, 7" &amp; 8", 3196 MTX, Ductile Iron, Standard Bore, Non-Jacketed</v>
      </c>
      <c r="AM1110" s="12" t="str">
        <f t="shared" si="280"/>
        <v/>
      </c>
      <c r="AN1110" s="12" t="str">
        <f t="shared" si="281"/>
        <v/>
      </c>
      <c r="AO1110" s="12" t="str">
        <f t="shared" si="282"/>
        <v/>
      </c>
      <c r="AP1110" s="12" t="str">
        <f t="shared" si="283"/>
        <v/>
      </c>
      <c r="AQ1110" s="64">
        <f t="shared" si="274"/>
        <v>2504</v>
      </c>
      <c r="AR1110" t="s">
        <v>5931</v>
      </c>
      <c r="AS1110" s="12">
        <f t="shared" si="275"/>
        <v>0</v>
      </c>
      <c r="AT1110" t="s">
        <v>4388</v>
      </c>
    </row>
    <row r="1111" spans="1:46" hidden="1" x14ac:dyDescent="0.25">
      <c r="A1111" s="41">
        <f>CASOPOInvCL!T1111</f>
        <v>1</v>
      </c>
      <c r="B1111" t="str">
        <f>CASOPOInvCL!Z1111</f>
        <v>SO18108</v>
      </c>
      <c r="G1111" s="5" t="str">
        <f>CASOPOInvCL!I1111</f>
        <v>Alexis Gil Lamadrid</v>
      </c>
      <c r="H1111" s="31">
        <f>CASOPOInvCL!U1111</f>
        <v>10</v>
      </c>
      <c r="I1111" s="31">
        <f>CASOPOInvCL!V1111</f>
        <v>2025</v>
      </c>
      <c r="J1111" s="5" t="str">
        <f>CASOPOInvCL!AB1111</f>
        <v>INV13566</v>
      </c>
      <c r="K1111" s="31">
        <f>CASOPOInvCL!W1111</f>
        <v>12</v>
      </c>
      <c r="L1111" s="31">
        <f>CASOPOInvCL!X1111</f>
        <v>2025</v>
      </c>
      <c r="M1111" t="s">
        <v>5945</v>
      </c>
      <c r="N1111" s="5" t="str">
        <f>CASOPOInvCL!AF1111</f>
        <v>Wajax Limited - Noranda</v>
      </c>
      <c r="O1111" s="16" t="str">
        <f>CASOPOInvCL!AG1111</f>
        <v>CAD</v>
      </c>
      <c r="P1111" s="16">
        <f>CASOPOInvCL!AH1111</f>
        <v>2627.35</v>
      </c>
      <c r="Q1111" s="16">
        <f>CASOPOInvCL!AI1111</f>
        <v>1877.7153369143466</v>
      </c>
      <c r="R1111" s="32" t="str">
        <f>CASOPOInvCL!AU1111</f>
        <v>Yes</v>
      </c>
      <c r="S1111" s="16">
        <f>CASOPOInvCL!AV1111</f>
        <v>0</v>
      </c>
      <c r="T1111" s="16">
        <f>CASOPOInvCL!AW1111</f>
        <v>1877.7153369143466</v>
      </c>
      <c r="Y1111" s="29" t="str">
        <f>IFERROR(HLOOKUP(U1111,List!$D$2:$H$6,2,FALSE),"")</f>
        <v/>
      </c>
      <c r="Z1111" s="29" t="str">
        <f>IFERROR(HLOOKUP(V1111,List!$D$2:$H$6,3,FALSE),"")</f>
        <v/>
      </c>
      <c r="AA1111" s="29" t="str">
        <f>IFERROR(HLOOKUP(W1111,List!$D$2:$H$6,4,FALSE),"")</f>
        <v/>
      </c>
      <c r="AB1111" s="29" t="str">
        <f>IFERROR(HLOOKUP(X1111,List!$D$2:$H$6,5,FALSE),"")</f>
        <v/>
      </c>
      <c r="AC1111" s="12" t="str">
        <f t="shared" si="276"/>
        <v/>
      </c>
      <c r="AD1111" s="12" t="str">
        <f t="shared" si="277"/>
        <v/>
      </c>
      <c r="AE1111" s="12" t="str">
        <f t="shared" si="278"/>
        <v/>
      </c>
      <c r="AF1111" s="12" t="str">
        <f t="shared" si="279"/>
        <v/>
      </c>
      <c r="AG1111" t="str">
        <f>VLOOKUP(J1111,'Receivable Invoice Detail'!$A$1:F4123,6,FALSE)</f>
        <v>[W-D3110/A05] Volute Liner, 4/3 C or D-AH, High Chrome</v>
      </c>
      <c r="AM1111" s="12" t="str">
        <f t="shared" si="280"/>
        <v/>
      </c>
      <c r="AN1111" s="12" t="str">
        <f t="shared" si="281"/>
        <v/>
      </c>
      <c r="AO1111" s="12" t="str">
        <f t="shared" si="282"/>
        <v/>
      </c>
      <c r="AP1111" s="12" t="str">
        <f t="shared" si="283"/>
        <v/>
      </c>
      <c r="AQ1111" s="64" t="str">
        <f t="shared" si="274"/>
        <v/>
      </c>
      <c r="AS1111" s="12">
        <f t="shared" si="275"/>
        <v>0</v>
      </c>
      <c r="AT1111" t="s">
        <v>5945</v>
      </c>
    </row>
    <row r="1112" spans="1:46" hidden="1" x14ac:dyDescent="0.25">
      <c r="A1112" s="41">
        <f>CASOPOInvCL!T1112</f>
        <v>1</v>
      </c>
      <c r="B1112" t="str">
        <f>CASOPOInvCL!Z1112</f>
        <v>SO18109</v>
      </c>
      <c r="G1112" s="5" t="str">
        <f>CASOPOInvCL!I1112</f>
        <v>Wilka Nuñez</v>
      </c>
      <c r="H1112" s="31">
        <f>CASOPOInvCL!U1112</f>
        <v>10</v>
      </c>
      <c r="I1112" s="31">
        <f>CASOPOInvCL!V1112</f>
        <v>2025</v>
      </c>
      <c r="J1112" s="5" t="str">
        <f>CASOPOInvCL!AB1112</f>
        <v>INV13624</v>
      </c>
      <c r="K1112" s="31">
        <f>CASOPOInvCL!W1112</f>
        <v>12</v>
      </c>
      <c r="L1112" s="31">
        <f>CASOPOInvCL!X1112</f>
        <v>2025</v>
      </c>
      <c r="M1112" t="s">
        <v>5945</v>
      </c>
      <c r="N1112" s="5" t="str">
        <f>CASOPOInvCL!AF1112</f>
        <v>Flowstar Industrial Inc</v>
      </c>
      <c r="O1112" s="16" t="str">
        <f>CASOPOInvCL!AG1112</f>
        <v>CAD</v>
      </c>
      <c r="P1112" s="16">
        <f>CASOPOInvCL!AH1112</f>
        <v>1414.55</v>
      </c>
      <c r="Q1112" s="16">
        <f>CASOPOInvCL!AI1112</f>
        <v>1011.7123683546997</v>
      </c>
      <c r="R1112" s="32" t="str">
        <f>CASOPOInvCL!AU1112</f>
        <v>Yes</v>
      </c>
      <c r="S1112" s="16">
        <f>CASOPOInvCL!AV1112</f>
        <v>0</v>
      </c>
      <c r="T1112" s="16">
        <f>CASOPOInvCL!AW1112</f>
        <v>1011.7123683546997</v>
      </c>
      <c r="Y1112" s="29" t="str">
        <f>IFERROR(HLOOKUP(U1112,List!$D$2:$H$6,2,FALSE),"")</f>
        <v/>
      </c>
      <c r="Z1112" s="29" t="str">
        <f>IFERROR(HLOOKUP(V1112,List!$D$2:$H$6,3,FALSE),"")</f>
        <v/>
      </c>
      <c r="AA1112" s="29" t="str">
        <f>IFERROR(HLOOKUP(W1112,List!$D$2:$H$6,4,FALSE),"")</f>
        <v/>
      </c>
      <c r="AB1112" s="29" t="str">
        <f>IFERROR(HLOOKUP(X1112,List!$D$2:$H$6,5,FALSE),"")</f>
        <v/>
      </c>
      <c r="AC1112" s="12" t="str">
        <f t="shared" si="276"/>
        <v/>
      </c>
      <c r="AD1112" s="12" t="str">
        <f t="shared" si="277"/>
        <v/>
      </c>
      <c r="AE1112" s="12" t="str">
        <f t="shared" si="278"/>
        <v/>
      </c>
      <c r="AF1112" s="12" t="str">
        <f t="shared" si="279"/>
        <v/>
      </c>
      <c r="AG1112" t="str">
        <f>VLOOKUP(J1112,'Receivable Invoice Detail'!$A$1:F4124,6,FALSE)</f>
        <v>[REM - W 06, G-8910-0006] Bearing Lock Washer, Steel</v>
      </c>
      <c r="AM1112" s="12" t="str">
        <f t="shared" si="280"/>
        <v/>
      </c>
      <c r="AN1112" s="12" t="str">
        <f t="shared" si="281"/>
        <v/>
      </c>
      <c r="AO1112" s="12" t="str">
        <f t="shared" si="282"/>
        <v/>
      </c>
      <c r="AP1112" s="12" t="str">
        <f t="shared" si="283"/>
        <v/>
      </c>
      <c r="AQ1112" s="64" t="str">
        <f t="shared" si="274"/>
        <v/>
      </c>
      <c r="AS1112" s="12">
        <f t="shared" si="275"/>
        <v>4.2135656124192167</v>
      </c>
      <c r="AT1112" t="s">
        <v>5945</v>
      </c>
    </row>
    <row r="1113" spans="1:46" hidden="1" x14ac:dyDescent="0.25">
      <c r="A1113" s="41">
        <f>CASOPOInvCL!T1113</f>
        <v>1</v>
      </c>
      <c r="B1113" t="str">
        <f>CASOPOInvCL!Z1113</f>
        <v>SO18110</v>
      </c>
      <c r="G1113" s="5" t="str">
        <f>CASOPOInvCL!I1113</f>
        <v>Carlos Leon</v>
      </c>
      <c r="H1113" s="31">
        <f>CASOPOInvCL!U1113</f>
        <v>10</v>
      </c>
      <c r="I1113" s="31">
        <f>CASOPOInvCL!V1113</f>
        <v>2025</v>
      </c>
      <c r="J1113" s="5" t="str">
        <f>CASOPOInvCL!AB1113</f>
        <v>INV13818</v>
      </c>
      <c r="K1113" s="31" t="str">
        <f>CASOPOInvCL!W1113</f>
        <v/>
      </c>
      <c r="L1113" s="31" t="str">
        <f>CASOPOInvCL!X1113</f>
        <v/>
      </c>
      <c r="M1113" t="s">
        <v>5945</v>
      </c>
      <c r="N1113" s="5" t="str">
        <f>CASOPOInvCL!AF1113</f>
        <v>Dynapro Pumps México S de RL de CV</v>
      </c>
      <c r="O1113" s="16" t="str">
        <f>CASOPOInvCL!AG1113</f>
        <v>USD</v>
      </c>
      <c r="P1113" s="16">
        <f>CASOPOInvCL!AH1113</f>
        <v>69961.350060588258</v>
      </c>
      <c r="Q1113" s="16">
        <f>CASOPOInvCL!AI1113</f>
        <v>50000</v>
      </c>
      <c r="R1113" s="32" t="str">
        <f>CASOPOInvCL!AU1113</f>
        <v/>
      </c>
      <c r="S1113" s="16">
        <f>CASOPOInvCL!AV1113</f>
        <v>0</v>
      </c>
      <c r="T1113" s="16">
        <f>CASOPOInvCL!AW1113</f>
        <v>0</v>
      </c>
      <c r="Y1113" s="29" t="str">
        <f>IFERROR(HLOOKUP(U1113,List!$D$2:$H$6,2,FALSE),"")</f>
        <v/>
      </c>
      <c r="Z1113" s="29" t="str">
        <f>IFERROR(HLOOKUP(V1113,List!$D$2:$H$6,3,FALSE),"")</f>
        <v/>
      </c>
      <c r="AA1113" s="29" t="str">
        <f>IFERROR(HLOOKUP(W1113,List!$D$2:$H$6,4,FALSE),"")</f>
        <v/>
      </c>
      <c r="AB1113" s="29" t="str">
        <f>IFERROR(HLOOKUP(X1113,List!$D$2:$H$6,5,FALSE),"")</f>
        <v/>
      </c>
      <c r="AC1113" s="12" t="str">
        <f t="shared" si="276"/>
        <v/>
      </c>
      <c r="AD1113" s="12" t="str">
        <f t="shared" si="277"/>
        <v/>
      </c>
      <c r="AE1113" s="12" t="str">
        <f t="shared" si="278"/>
        <v/>
      </c>
      <c r="AF1113" s="12" t="str">
        <f t="shared" si="279"/>
        <v/>
      </c>
      <c r="AG1113" t="e">
        <f>VLOOKUP(J1113,'Receivable Invoice Detail'!$A$1:F4125,6,FALSE)</f>
        <v>#N/A</v>
      </c>
      <c r="AM1113" s="12" t="str">
        <f t="shared" si="280"/>
        <v/>
      </c>
      <c r="AN1113" s="12" t="str">
        <f t="shared" si="281"/>
        <v/>
      </c>
      <c r="AO1113" s="12" t="str">
        <f t="shared" si="282"/>
        <v/>
      </c>
      <c r="AP1113" s="12" t="str">
        <f t="shared" si="283"/>
        <v/>
      </c>
      <c r="AQ1113" s="64" t="str">
        <f t="shared" si="274"/>
        <v/>
      </c>
      <c r="AR1113" t="s">
        <v>5940</v>
      </c>
      <c r="AS1113" s="12">
        <f t="shared" si="275"/>
        <v>45.310238079289938</v>
      </c>
      <c r="AT1113" t="s">
        <v>5940</v>
      </c>
    </row>
    <row r="1114" spans="1:46" hidden="1" x14ac:dyDescent="0.25">
      <c r="A1114" s="41">
        <f>CASOPOInvCL!T1114</f>
        <v>2</v>
      </c>
      <c r="B1114" t="str">
        <f>CASOPOInvCL!Z1114</f>
        <v>SO18112</v>
      </c>
      <c r="D1114" t="s">
        <v>5925</v>
      </c>
      <c r="G1114" s="5" t="str">
        <f>CASOPOInvCL!I1114</f>
        <v>Ian Trottier</v>
      </c>
      <c r="H1114" s="31">
        <f>CASOPOInvCL!U1114</f>
        <v>10</v>
      </c>
      <c r="I1114" s="31">
        <f>CASOPOInvCL!V1114</f>
        <v>2025</v>
      </c>
      <c r="J1114" s="5" t="str">
        <f>CASOPOInvCL!AB1114</f>
        <v>INV13632</v>
      </c>
      <c r="K1114" s="31" t="str">
        <f>CASOPOInvCL!W1114</f>
        <v/>
      </c>
      <c r="L1114" s="31" t="str">
        <f>CASOPOInvCL!X1114</f>
        <v/>
      </c>
      <c r="M1114">
        <v>2504</v>
      </c>
      <c r="N1114" s="5" t="str">
        <f>CASOPOInvCL!AF1114</f>
        <v>Resolute Forest Products - Saint-Felicien</v>
      </c>
      <c r="O1114" s="16" t="str">
        <f>CASOPOInvCL!AG1114</f>
        <v>CAD</v>
      </c>
      <c r="P1114" s="16">
        <f>CASOPOInvCL!AH1114</f>
        <v>3540.97</v>
      </c>
      <c r="Q1114" s="16">
        <f>CASOPOInvCL!AI1114</f>
        <v>2532.5673500215198</v>
      </c>
      <c r="R1114" s="32" t="str">
        <f>CASOPOInvCL!AU1114</f>
        <v>Yes</v>
      </c>
      <c r="S1114" s="16">
        <f>CASOPOInvCL!AV1114</f>
        <v>0</v>
      </c>
      <c r="T1114" s="16">
        <f>CASOPOInvCL!AW1114</f>
        <v>2532.5673500215198</v>
      </c>
      <c r="V1114" t="s">
        <v>5800</v>
      </c>
      <c r="Y1114" s="29" t="str">
        <f>IFERROR(HLOOKUP(U1114,List!$D$2:$H$6,2,FALSE),"")</f>
        <v/>
      </c>
      <c r="Z1114" s="29">
        <f>IFERROR(HLOOKUP(V1114,List!$D$2:$H$6,3,FALSE),"")</f>
        <v>5.0000000000000001E-3</v>
      </c>
      <c r="AA1114" s="29" t="str">
        <f>IFERROR(HLOOKUP(W1114,List!$D$2:$H$6,4,FALSE),"")</f>
        <v/>
      </c>
      <c r="AB1114" s="29" t="str">
        <f>IFERROR(HLOOKUP(X1114,List!$D$2:$H$6,5,FALSE),"")</f>
        <v/>
      </c>
      <c r="AC1114" s="12" t="str">
        <f t="shared" si="276"/>
        <v/>
      </c>
      <c r="AD1114" s="12">
        <f t="shared" si="277"/>
        <v>12.6628367501076</v>
      </c>
      <c r="AE1114" s="12" t="str">
        <f t="shared" si="278"/>
        <v/>
      </c>
      <c r="AF1114" s="12" t="str">
        <f t="shared" si="279"/>
        <v/>
      </c>
      <c r="AG1114" t="str">
        <f>VLOOKUP(J1114,'Receivable Invoice Detail'!$A$1:F4126,6,FALSE)</f>
        <v>[AC-98-431-849-001] Suction Side Casing, 3x3-10 SRL, Cast Iron</v>
      </c>
      <c r="AM1114" s="12" t="str">
        <f t="shared" si="280"/>
        <v/>
      </c>
      <c r="AN1114" s="12">
        <f t="shared" si="281"/>
        <v>12.6628367501076</v>
      </c>
      <c r="AO1114" s="12" t="str">
        <f t="shared" si="282"/>
        <v/>
      </c>
      <c r="AP1114" s="12" t="str">
        <f t="shared" si="283"/>
        <v/>
      </c>
      <c r="AQ1114" s="64">
        <f t="shared" si="274"/>
        <v>2504</v>
      </c>
      <c r="AS1114" s="12">
        <f t="shared" si="275"/>
        <v>0</v>
      </c>
      <c r="AT1114" t="s">
        <v>5945</v>
      </c>
    </row>
    <row r="1115" spans="1:46" hidden="1" x14ac:dyDescent="0.25">
      <c r="A1115" s="41">
        <f>CASOPOInvCL!T1115</f>
        <v>2</v>
      </c>
      <c r="B1115" t="str">
        <f>CASOPOInvCL!Z1115</f>
        <v>SO18112</v>
      </c>
      <c r="D1115" t="s">
        <v>5925</v>
      </c>
      <c r="G1115" s="5">
        <f>CASOPOInvCL!I1115</f>
        <v>0</v>
      </c>
      <c r="H1115" s="31">
        <f>CASOPOInvCL!U1115</f>
        <v>10</v>
      </c>
      <c r="I1115" s="31">
        <f>CASOPOInvCL!V1115</f>
        <v>2025</v>
      </c>
      <c r="J1115" s="5" t="str">
        <f>CASOPOInvCL!AB1115</f>
        <v>INV13569</v>
      </c>
      <c r="K1115" s="31">
        <f>CASOPOInvCL!W1115</f>
        <v>12</v>
      </c>
      <c r="L1115" s="31">
        <f>CASOPOInvCL!X1115</f>
        <v>2025</v>
      </c>
      <c r="M1115">
        <v>2504</v>
      </c>
      <c r="N1115" s="5" t="str">
        <f>CASOPOInvCL!AF1115</f>
        <v>Resolute Forest Products - Saint-Felicien</v>
      </c>
      <c r="O1115" s="16" t="str">
        <f>CASOPOInvCL!AG1115</f>
        <v>CAD</v>
      </c>
      <c r="P1115" s="16">
        <f>CASOPOInvCL!AH1115</f>
        <v>0</v>
      </c>
      <c r="Q1115" s="16">
        <f>CASOPOInvCL!AI1115</f>
        <v>0</v>
      </c>
      <c r="R1115" s="32" t="str">
        <f>CASOPOInvCL!AU1115</f>
        <v/>
      </c>
      <c r="S1115" s="16">
        <f>CASOPOInvCL!AV1115</f>
        <v>0</v>
      </c>
      <c r="T1115" s="16">
        <f>CASOPOInvCL!AW1115</f>
        <v>0</v>
      </c>
      <c r="V1115" t="s">
        <v>5800</v>
      </c>
      <c r="Y1115" s="29" t="str">
        <f>IFERROR(HLOOKUP(U1115,List!$D$2:$H$6,2,FALSE),"")</f>
        <v/>
      </c>
      <c r="Z1115" s="29">
        <f>IFERROR(HLOOKUP(V1115,List!$D$2:$H$6,3,FALSE),"")</f>
        <v>5.0000000000000001E-3</v>
      </c>
      <c r="AA1115" s="29" t="str">
        <f>IFERROR(HLOOKUP(W1115,List!$D$2:$H$6,4,FALSE),"")</f>
        <v/>
      </c>
      <c r="AB1115" s="29" t="str">
        <f>IFERROR(HLOOKUP(X1115,List!$D$2:$H$6,5,FALSE),"")</f>
        <v/>
      </c>
      <c r="AC1115" s="12" t="str">
        <f t="shared" si="276"/>
        <v/>
      </c>
      <c r="AD1115" s="12">
        <f t="shared" si="277"/>
        <v>0</v>
      </c>
      <c r="AE1115" s="12" t="str">
        <f t="shared" si="278"/>
        <v/>
      </c>
      <c r="AF1115" s="12" t="str">
        <f t="shared" si="279"/>
        <v/>
      </c>
      <c r="AG1115" t="str">
        <f>VLOOKUP(J1115,'Receivable Invoice Detail'!$A$1:F4127,6,FALSE)</f>
        <v>[AC-98-330-286-503] Impeller (Open), 3x3-10 SRL, Neoprene</v>
      </c>
      <c r="AM1115" s="12" t="str">
        <f t="shared" si="280"/>
        <v/>
      </c>
      <c r="AN1115" s="12">
        <f t="shared" si="281"/>
        <v>0</v>
      </c>
      <c r="AO1115" s="12" t="str">
        <f t="shared" si="282"/>
        <v/>
      </c>
      <c r="AP1115" s="12" t="str">
        <f t="shared" si="283"/>
        <v/>
      </c>
      <c r="AQ1115" s="64">
        <f t="shared" si="274"/>
        <v>2504</v>
      </c>
      <c r="AS1115" s="12">
        <f t="shared" si="275"/>
        <v>0</v>
      </c>
      <c r="AT1115" t="s">
        <v>5945</v>
      </c>
    </row>
    <row r="1116" spans="1:46" hidden="1" x14ac:dyDescent="0.25">
      <c r="A1116" s="41">
        <f>CASOPOInvCL!T1116</f>
        <v>2</v>
      </c>
      <c r="B1116" t="str">
        <f>CASOPOInvCL!Z1116</f>
        <v>SO18115</v>
      </c>
      <c r="D1116" t="s">
        <v>5852</v>
      </c>
      <c r="G1116" s="5" t="str">
        <f>CASOPOInvCL!I1116</f>
        <v>Aleksandar Stankovic</v>
      </c>
      <c r="H1116" s="31">
        <f>CASOPOInvCL!U1116</f>
        <v>10</v>
      </c>
      <c r="I1116" s="31">
        <f>CASOPOInvCL!V1116</f>
        <v>2025</v>
      </c>
      <c r="J1116" s="5" t="str">
        <f>CASOPOInvCL!AB1116</f>
        <v>INV13666</v>
      </c>
      <c r="K1116" s="31" t="str">
        <f>CASOPOInvCL!W1116</f>
        <v/>
      </c>
      <c r="L1116" s="31" t="str">
        <f>CASOPOInvCL!X1116</f>
        <v/>
      </c>
      <c r="M1116" t="s">
        <v>5945</v>
      </c>
      <c r="N1116" s="5" t="str">
        <f>CASOPOInvCL!AF1116</f>
        <v>Pierce Pump Company</v>
      </c>
      <c r="O1116" s="16" t="str">
        <f>CASOPOInvCL!AG1116</f>
        <v>USD</v>
      </c>
      <c r="P1116" s="16">
        <f>CASOPOInvCL!AH1116</f>
        <v>4624.6006647798495</v>
      </c>
      <c r="Q1116" s="16">
        <f>CASOPOInvCL!AI1116</f>
        <v>3318</v>
      </c>
      <c r="R1116" s="32" t="str">
        <f>CASOPOInvCL!AU1116</f>
        <v>Yes</v>
      </c>
      <c r="S1116" s="16">
        <f>CASOPOInvCL!AV1116</f>
        <v>0</v>
      </c>
      <c r="T1116" s="16">
        <f>CASOPOInvCL!AW1116</f>
        <v>3318</v>
      </c>
      <c r="Y1116" s="29" t="str">
        <f>IFERROR(HLOOKUP(U1116,List!$D$2:$H$6,2,FALSE),"")</f>
        <v/>
      </c>
      <c r="Z1116" s="29" t="str">
        <f>IFERROR(HLOOKUP(V1116,List!$D$2:$H$6,3,FALSE),"")</f>
        <v/>
      </c>
      <c r="AA1116" s="29" t="str">
        <f>IFERROR(HLOOKUP(W1116,List!$D$2:$H$6,4,FALSE),"")</f>
        <v/>
      </c>
      <c r="AB1116" s="29" t="str">
        <f>IFERROR(HLOOKUP(X1116,List!$D$2:$H$6,5,FALSE),"")</f>
        <v/>
      </c>
      <c r="AC1116" s="12" t="str">
        <f t="shared" si="276"/>
        <v/>
      </c>
      <c r="AD1116" s="12" t="str">
        <f t="shared" si="277"/>
        <v/>
      </c>
      <c r="AE1116" s="12" t="str">
        <f t="shared" si="278"/>
        <v/>
      </c>
      <c r="AF1116" s="12" t="str">
        <f t="shared" si="279"/>
        <v/>
      </c>
      <c r="AG1116" t="str">
        <f>VLOOKUP(J1116,'Receivable Invoice Detail'!$A$1:F4128,6,FALSE)</f>
        <v>[NSK-22218EAE4, AC-00-813-261-537] Roller Bearing (Inboard), 8x6-18 &amp; 10x8-21 SRL-C</v>
      </c>
      <c r="AM1116" s="12" t="str">
        <f t="shared" si="280"/>
        <v/>
      </c>
      <c r="AN1116" s="12" t="str">
        <f t="shared" si="281"/>
        <v/>
      </c>
      <c r="AO1116" s="12" t="str">
        <f t="shared" si="282"/>
        <v/>
      </c>
      <c r="AP1116" s="12" t="str">
        <f t="shared" si="283"/>
        <v/>
      </c>
      <c r="AQ1116" s="64" t="str">
        <f t="shared" si="274"/>
        <v/>
      </c>
      <c r="AR1116" t="s">
        <v>5931</v>
      </c>
      <c r="AS1116" s="12">
        <f t="shared" si="275"/>
        <v>6.0569157060723091</v>
      </c>
      <c r="AT1116" t="s">
        <v>5945</v>
      </c>
    </row>
    <row r="1117" spans="1:46" hidden="1" x14ac:dyDescent="0.25">
      <c r="A1117" s="41">
        <f>CASOPOInvCL!T1117</f>
        <v>2</v>
      </c>
      <c r="B1117" t="str">
        <f>CASOPOInvCL!Z1117</f>
        <v>SO18115</v>
      </c>
      <c r="D1117" t="s">
        <v>5852</v>
      </c>
      <c r="G1117" s="5">
        <f>CASOPOInvCL!I1117</f>
        <v>0</v>
      </c>
      <c r="H1117" s="31">
        <f>CASOPOInvCL!U1117</f>
        <v>10</v>
      </c>
      <c r="I1117" s="31">
        <f>CASOPOInvCL!V1117</f>
        <v>2025</v>
      </c>
      <c r="J1117" s="5" t="str">
        <f>CASOPOInvCL!AB1117</f>
        <v>INV13615</v>
      </c>
      <c r="K1117" s="31" t="str">
        <f>CASOPOInvCL!W1117</f>
        <v/>
      </c>
      <c r="L1117" s="31" t="str">
        <f>CASOPOInvCL!X1117</f>
        <v/>
      </c>
      <c r="M1117" t="s">
        <v>5945</v>
      </c>
      <c r="N1117" s="5" t="str">
        <f>CASOPOInvCL!AF1117</f>
        <v>Pierce Pump Company</v>
      </c>
      <c r="O1117" s="16" t="str">
        <f>CASOPOInvCL!AG1117</f>
        <v>USD</v>
      </c>
      <c r="P1117" s="16">
        <f>CASOPOInvCL!AH1117</f>
        <v>0</v>
      </c>
      <c r="Q1117" s="16">
        <f>CASOPOInvCL!AI1117</f>
        <v>0</v>
      </c>
      <c r="R1117" s="32" t="str">
        <f>CASOPOInvCL!AU1117</f>
        <v/>
      </c>
      <c r="S1117" s="16">
        <f>CASOPOInvCL!AV1117</f>
        <v>0</v>
      </c>
      <c r="T1117" s="16">
        <f>CASOPOInvCL!AW1117</f>
        <v>0</v>
      </c>
      <c r="Y1117" s="29" t="str">
        <f>IFERROR(HLOOKUP(U1117,List!$D$2:$H$6,2,FALSE),"")</f>
        <v/>
      </c>
      <c r="Z1117" s="29" t="str">
        <f>IFERROR(HLOOKUP(V1117,List!$D$2:$H$6,3,FALSE),"")</f>
        <v/>
      </c>
      <c r="AA1117" s="29" t="str">
        <f>IFERROR(HLOOKUP(W1117,List!$D$2:$H$6,4,FALSE),"")</f>
        <v/>
      </c>
      <c r="AB1117" s="29" t="str">
        <f>IFERROR(HLOOKUP(X1117,List!$D$2:$H$6,5,FALSE),"")</f>
        <v/>
      </c>
      <c r="AC1117" s="12" t="str">
        <f t="shared" si="276"/>
        <v/>
      </c>
      <c r="AD1117" s="12" t="str">
        <f t="shared" si="277"/>
        <v/>
      </c>
      <c r="AE1117" s="12" t="str">
        <f t="shared" si="278"/>
        <v/>
      </c>
      <c r="AF1117" s="12" t="str">
        <f t="shared" si="279"/>
        <v/>
      </c>
      <c r="AG1117" t="str">
        <f>VLOOKUP(J1117,'Receivable Invoice Detail'!$A$1:F4129,6,FALSE)</f>
        <v>[NSK-22218EAE4, AC-00-813-261-537] Roller Bearing (Inboard), 8x6-18 &amp; 10x8-21 SRL-C</v>
      </c>
      <c r="AM1117" s="12" t="str">
        <f t="shared" si="280"/>
        <v/>
      </c>
      <c r="AN1117" s="12" t="str">
        <f t="shared" si="281"/>
        <v/>
      </c>
      <c r="AO1117" s="12" t="str">
        <f t="shared" si="282"/>
        <v/>
      </c>
      <c r="AP1117" s="12" t="str">
        <f t="shared" si="283"/>
        <v/>
      </c>
      <c r="AQ1117" s="64" t="str">
        <f t="shared" si="274"/>
        <v/>
      </c>
      <c r="AR1117" t="s">
        <v>5931</v>
      </c>
      <c r="AS1117" s="12">
        <f t="shared" si="275"/>
        <v>6.0494091868662752</v>
      </c>
      <c r="AT1117" t="s">
        <v>5945</v>
      </c>
    </row>
    <row r="1118" spans="1:46" hidden="1" x14ac:dyDescent="0.25">
      <c r="A1118" s="41">
        <f>CASOPOInvCL!T1118</f>
        <v>1</v>
      </c>
      <c r="B1118" t="str">
        <f>CASOPOInvCL!Z1118</f>
        <v>SO18116</v>
      </c>
      <c r="G1118" s="5" t="str">
        <f>CASOPOInvCL!I1118</f>
        <v>Amanda Qiao</v>
      </c>
      <c r="H1118" s="31">
        <f>CASOPOInvCL!U1118</f>
        <v>10</v>
      </c>
      <c r="I1118" s="31">
        <f>CASOPOInvCL!V1118</f>
        <v>2025</v>
      </c>
      <c r="J1118" s="5" t="str">
        <f>CASOPOInvCL!AB1118</f>
        <v>INV13605</v>
      </c>
      <c r="K1118" s="31">
        <f>CASOPOInvCL!W1118</f>
        <v>12</v>
      </c>
      <c r="L1118" s="31">
        <f>CASOPOInvCL!X1118</f>
        <v>2025</v>
      </c>
      <c r="M1118" t="s">
        <v>5945</v>
      </c>
      <c r="N1118" s="5" t="str">
        <f>CASOPOInvCL!AF1118</f>
        <v>DXP Enterprises, Inc. - Grand Prairie</v>
      </c>
      <c r="O1118" s="16" t="str">
        <f>CASOPOInvCL!AG1118</f>
        <v>USD</v>
      </c>
      <c r="P1118" s="16">
        <f>CASOPOInvCL!AH1118</f>
        <v>4205.3202633395013</v>
      </c>
      <c r="Q1118" s="16">
        <f>CASOPOInvCL!AI1118</f>
        <v>3017.18</v>
      </c>
      <c r="R1118" s="32" t="str">
        <f>CASOPOInvCL!AU1118</f>
        <v>Yes</v>
      </c>
      <c r="S1118" s="16">
        <f>CASOPOInvCL!AV1118</f>
        <v>713</v>
      </c>
      <c r="T1118" s="16">
        <f>CASOPOInvCL!AW1118</f>
        <v>2304.1799999999998</v>
      </c>
      <c r="Y1118" s="29" t="str">
        <f>IFERROR(HLOOKUP(U1118,List!$D$2:$H$6,2,FALSE),"")</f>
        <v/>
      </c>
      <c r="Z1118" s="29" t="str">
        <f>IFERROR(HLOOKUP(V1118,List!$D$2:$H$6,3,FALSE),"")</f>
        <v/>
      </c>
      <c r="AA1118" s="29" t="str">
        <f>IFERROR(HLOOKUP(W1118,List!$D$2:$H$6,4,FALSE),"")</f>
        <v/>
      </c>
      <c r="AB1118" s="29" t="str">
        <f>IFERROR(HLOOKUP(X1118,List!$D$2:$H$6,5,FALSE),"")</f>
        <v/>
      </c>
      <c r="AC1118" s="12" t="str">
        <f t="shared" si="276"/>
        <v/>
      </c>
      <c r="AD1118" s="12" t="str">
        <f t="shared" si="277"/>
        <v/>
      </c>
      <c r="AE1118" s="12" t="str">
        <f t="shared" si="278"/>
        <v/>
      </c>
      <c r="AF1118" s="12" t="str">
        <f t="shared" si="279"/>
        <v/>
      </c>
      <c r="AG1118" t="str">
        <f>VLOOKUP(J1118,'Receivable Invoice Detail'!$A$1:F4130,6,FALSE)</f>
        <v>[AC-98-431-768-501] Shaft Assembly, 8x6-18 SRL-C, 1045 Steel</v>
      </c>
      <c r="AM1118" s="12" t="str">
        <f t="shared" si="280"/>
        <v/>
      </c>
      <c r="AN1118" s="12" t="str">
        <f t="shared" si="281"/>
        <v/>
      </c>
      <c r="AO1118" s="12" t="str">
        <f t="shared" si="282"/>
        <v/>
      </c>
      <c r="AP1118" s="12" t="str">
        <f t="shared" si="283"/>
        <v/>
      </c>
      <c r="AQ1118" s="64" t="str">
        <f t="shared" si="274"/>
        <v/>
      </c>
      <c r="AS1118" s="12">
        <f t="shared" si="275"/>
        <v>28.165730053715198</v>
      </c>
      <c r="AT1118" t="s">
        <v>5945</v>
      </c>
    </row>
    <row r="1119" spans="1:46" hidden="1" x14ac:dyDescent="0.25">
      <c r="A1119" s="41">
        <f>CASOPOInvCL!T1119</f>
        <v>1</v>
      </c>
      <c r="B1119" t="str">
        <f>CASOPOInvCL!Z1119</f>
        <v>SO18120</v>
      </c>
      <c r="G1119" s="5" t="str">
        <f>CASOPOInvCL!I1119</f>
        <v>Ian Trottier</v>
      </c>
      <c r="H1119" s="31">
        <f>CASOPOInvCL!U1119</f>
        <v>10</v>
      </c>
      <c r="I1119" s="31">
        <f>CASOPOInvCL!V1119</f>
        <v>2025</v>
      </c>
      <c r="J1119" s="5" t="str">
        <f>CASOPOInvCL!AB1119</f>
        <v>INV13770</v>
      </c>
      <c r="K1119" s="31" t="str">
        <f>CASOPOInvCL!W1119</f>
        <v/>
      </c>
      <c r="L1119" s="31" t="str">
        <f>CASOPOInvCL!X1119</f>
        <v/>
      </c>
      <c r="M1119" t="s">
        <v>5945</v>
      </c>
      <c r="N1119" s="5" t="str">
        <f>CASOPOInvCL!AF1119</f>
        <v>Les Pompes du St-Laurent Inc.</v>
      </c>
      <c r="O1119" s="16" t="str">
        <f>CASOPOInvCL!AG1119</f>
        <v>CAD</v>
      </c>
      <c r="P1119" s="16">
        <f>CASOPOInvCL!AH1119</f>
        <v>13927.52</v>
      </c>
      <c r="Q1119" s="16">
        <f>CASOPOInvCL!AI1119</f>
        <v>9981.799888339161</v>
      </c>
      <c r="R1119" s="32" t="str">
        <f>CASOPOInvCL!AU1119</f>
        <v/>
      </c>
      <c r="S1119" s="16">
        <f>CASOPOInvCL!AV1119</f>
        <v>0</v>
      </c>
      <c r="T1119" s="16">
        <f>CASOPOInvCL!AW1119</f>
        <v>0</v>
      </c>
      <c r="Y1119" s="29" t="str">
        <f>IFERROR(HLOOKUP(U1119,List!$D$2:$H$6,2,FALSE),"")</f>
        <v/>
      </c>
      <c r="Z1119" s="29" t="str">
        <f>IFERROR(HLOOKUP(V1119,List!$D$2:$H$6,3,FALSE),"")</f>
        <v/>
      </c>
      <c r="AA1119" s="29" t="str">
        <f>IFERROR(HLOOKUP(W1119,List!$D$2:$H$6,4,FALSE),"")</f>
        <v/>
      </c>
      <c r="AB1119" s="29" t="str">
        <f>IFERROR(HLOOKUP(X1119,List!$D$2:$H$6,5,FALSE),"")</f>
        <v/>
      </c>
      <c r="AC1119" s="12" t="str">
        <f t="shared" si="276"/>
        <v/>
      </c>
      <c r="AD1119" s="12" t="str">
        <f t="shared" si="277"/>
        <v/>
      </c>
      <c r="AE1119" s="12" t="str">
        <f t="shared" si="278"/>
        <v/>
      </c>
      <c r="AF1119" s="12" t="str">
        <f t="shared" si="279"/>
        <v/>
      </c>
      <c r="AG1119" t="str">
        <f>VLOOKUP(J1119,'Receivable Invoice Detail'!$A$1:F4131,6,FALSE)</f>
        <v>[G-77-59 1001] Bearing Housing, 3405-M, Cast Iron</v>
      </c>
      <c r="AM1119" s="12" t="str">
        <f t="shared" si="280"/>
        <v/>
      </c>
      <c r="AN1119" s="12" t="str">
        <f t="shared" si="281"/>
        <v/>
      </c>
      <c r="AO1119" s="12" t="str">
        <f t="shared" si="282"/>
        <v/>
      </c>
      <c r="AP1119" s="12" t="str">
        <f t="shared" si="283"/>
        <v/>
      </c>
      <c r="AQ1119" s="64" t="str">
        <f t="shared" si="274"/>
        <v/>
      </c>
      <c r="AS1119" s="12">
        <f t="shared" si="275"/>
        <v>15.175685525320496</v>
      </c>
      <c r="AT1119" t="s">
        <v>5945</v>
      </c>
    </row>
    <row r="1120" spans="1:46" hidden="1" x14ac:dyDescent="0.25">
      <c r="A1120" s="41">
        <f>CASOPOInvCL!T1120</f>
        <v>1</v>
      </c>
      <c r="B1120" t="str">
        <f>CASOPOInvCL!Z1120</f>
        <v>SO18122</v>
      </c>
      <c r="G1120" s="5" t="str">
        <f>CASOPOInvCL!I1120</f>
        <v>Aleksandar Stankovic</v>
      </c>
      <c r="H1120" s="31">
        <f>CASOPOInvCL!U1120</f>
        <v>10</v>
      </c>
      <c r="I1120" s="31">
        <f>CASOPOInvCL!V1120</f>
        <v>2025</v>
      </c>
      <c r="J1120" s="5" t="str">
        <f>CASOPOInvCL!AB1120</f>
        <v>INV13608</v>
      </c>
      <c r="K1120" s="31" t="str">
        <f>CASOPOInvCL!W1120</f>
        <v/>
      </c>
      <c r="L1120" s="31" t="str">
        <f>CASOPOInvCL!X1120</f>
        <v/>
      </c>
      <c r="M1120" t="s">
        <v>5945</v>
      </c>
      <c r="N1120" s="5" t="str">
        <f>CASOPOInvCL!AF1120</f>
        <v>Sealtrac Inc.</v>
      </c>
      <c r="O1120" s="16" t="str">
        <f>CASOPOInvCL!AG1120</f>
        <v>CAD</v>
      </c>
      <c r="P1120" s="16">
        <f>CASOPOInvCL!AH1120</f>
        <v>2934</v>
      </c>
      <c r="Q1120" s="16">
        <f>CASOPOInvCL!AI1120</f>
        <v>2105.0492151982221</v>
      </c>
      <c r="R1120" s="32" t="str">
        <f>CASOPOInvCL!AU1120</f>
        <v/>
      </c>
      <c r="S1120" s="16">
        <f>CASOPOInvCL!AV1120</f>
        <v>0</v>
      </c>
      <c r="T1120" s="16">
        <f>CASOPOInvCL!AW1120</f>
        <v>0</v>
      </c>
      <c r="Y1120" s="29" t="str">
        <f>IFERROR(HLOOKUP(U1120,List!$D$2:$H$6,2,FALSE),"")</f>
        <v/>
      </c>
      <c r="Z1120" s="29" t="str">
        <f>IFERROR(HLOOKUP(V1120,List!$D$2:$H$6,3,FALSE),"")</f>
        <v/>
      </c>
      <c r="AA1120" s="29" t="str">
        <f>IFERROR(HLOOKUP(W1120,List!$D$2:$H$6,4,FALSE),"")</f>
        <v/>
      </c>
      <c r="AB1120" s="29" t="str">
        <f>IFERROR(HLOOKUP(X1120,List!$D$2:$H$6,5,FALSE),"")</f>
        <v/>
      </c>
      <c r="AC1120" s="12" t="str">
        <f t="shared" si="276"/>
        <v/>
      </c>
      <c r="AD1120" s="12" t="str">
        <f t="shared" si="277"/>
        <v/>
      </c>
      <c r="AE1120" s="12" t="str">
        <f t="shared" si="278"/>
        <v/>
      </c>
      <c r="AF1120" s="12" t="str">
        <f t="shared" si="279"/>
        <v/>
      </c>
      <c r="AG1120" t="str">
        <f>VLOOKUP(J1120,'Receivable Invoice Detail'!$A$1:F4132,6,FALSE)</f>
        <v>[G-0C01360A 1203] Flush Gland, 3196 STX, 316SS, Big Bore</v>
      </c>
      <c r="AM1120" s="12" t="str">
        <f t="shared" si="280"/>
        <v/>
      </c>
      <c r="AN1120" s="12" t="str">
        <f t="shared" si="281"/>
        <v/>
      </c>
      <c r="AO1120" s="12" t="str">
        <f t="shared" si="282"/>
        <v/>
      </c>
      <c r="AP1120" s="12" t="str">
        <f t="shared" si="283"/>
        <v/>
      </c>
      <c r="AQ1120" s="64" t="str">
        <f t="shared" si="274"/>
        <v/>
      </c>
      <c r="AR1120" t="s">
        <v>5943</v>
      </c>
      <c r="AS1120" s="12">
        <f t="shared" si="275"/>
        <v>0</v>
      </c>
      <c r="AT1120" t="s">
        <v>5945</v>
      </c>
    </row>
    <row r="1121" spans="1:46" hidden="1" x14ac:dyDescent="0.25">
      <c r="A1121" s="41">
        <f>CASOPOInvCL!T1121</f>
        <v>1</v>
      </c>
      <c r="B1121" t="str">
        <f>CASOPOInvCL!Z1121</f>
        <v>SO18123</v>
      </c>
      <c r="G1121" s="5" t="str">
        <f>CASOPOInvCL!I1121</f>
        <v>Ian Trottier</v>
      </c>
      <c r="H1121" s="31">
        <f>CASOPOInvCL!U1121</f>
        <v>10</v>
      </c>
      <c r="I1121" s="31">
        <f>CASOPOInvCL!V1121</f>
        <v>2025</v>
      </c>
      <c r="J1121" s="5" t="str">
        <f>CASOPOInvCL!AB1121</f>
        <v>INV13762</v>
      </c>
      <c r="K1121" s="31" t="str">
        <f>CASOPOInvCL!W1121</f>
        <v/>
      </c>
      <c r="L1121" s="31" t="str">
        <f>CASOPOInvCL!X1121</f>
        <v/>
      </c>
      <c r="M1121" t="s">
        <v>5945</v>
      </c>
      <c r="N1121" s="5" t="str">
        <f>CASOPOInvCL!AF1121</f>
        <v>Les Pompes du St-Laurent Inc.</v>
      </c>
      <c r="O1121" s="16" t="str">
        <f>CASOPOInvCL!AG1121</f>
        <v>CAD</v>
      </c>
      <c r="P1121" s="16">
        <f>CASOPOInvCL!AH1121</f>
        <v>1997.56</v>
      </c>
      <c r="Q1121" s="16">
        <f>CASOPOInvCL!AI1121</f>
        <v>1425.6204398492978</v>
      </c>
      <c r="R1121" s="32" t="str">
        <f>CASOPOInvCL!AU1121</f>
        <v/>
      </c>
      <c r="S1121" s="16">
        <f>CASOPOInvCL!AV1121</f>
        <v>0</v>
      </c>
      <c r="T1121" s="16">
        <f>CASOPOInvCL!AW1121</f>
        <v>0</v>
      </c>
      <c r="Y1121" s="29" t="str">
        <f>IFERROR(HLOOKUP(U1121,List!$D$2:$H$6,2,FALSE),"")</f>
        <v/>
      </c>
      <c r="Z1121" s="29" t="str">
        <f>IFERROR(HLOOKUP(V1121,List!$D$2:$H$6,3,FALSE),"")</f>
        <v/>
      </c>
      <c r="AA1121" s="29" t="str">
        <f>IFERROR(HLOOKUP(W1121,List!$D$2:$H$6,4,FALSE),"")</f>
        <v/>
      </c>
      <c r="AB1121" s="29" t="str">
        <f>IFERROR(HLOOKUP(X1121,List!$D$2:$H$6,5,FALSE),"")</f>
        <v/>
      </c>
      <c r="AC1121" s="12" t="str">
        <f t="shared" si="276"/>
        <v/>
      </c>
      <c r="AD1121" s="12" t="str">
        <f t="shared" si="277"/>
        <v/>
      </c>
      <c r="AE1121" s="12" t="str">
        <f t="shared" si="278"/>
        <v/>
      </c>
      <c r="AF1121" s="12" t="str">
        <f t="shared" si="279"/>
        <v/>
      </c>
      <c r="AG1121" t="e">
        <f>VLOOKUP(J1121,'Receivable Invoice Detail'!$A$1:F4133,6,FALSE)</f>
        <v>#N/A</v>
      </c>
      <c r="AM1121" s="12" t="str">
        <f t="shared" si="280"/>
        <v/>
      </c>
      <c r="AN1121" s="12" t="str">
        <f t="shared" si="281"/>
        <v/>
      </c>
      <c r="AO1121" s="12" t="str">
        <f t="shared" si="282"/>
        <v/>
      </c>
      <c r="AP1121" s="12" t="str">
        <f t="shared" si="283"/>
        <v/>
      </c>
      <c r="AQ1121" s="64" t="str">
        <f t="shared" si="274"/>
        <v/>
      </c>
      <c r="AS1121" s="12">
        <f t="shared" si="275"/>
        <v>37.988510250322797</v>
      </c>
      <c r="AT1121" t="s">
        <v>5945</v>
      </c>
    </row>
    <row r="1122" spans="1:46" hidden="1" x14ac:dyDescent="0.25">
      <c r="A1122" s="41">
        <f>CASOPOInvCL!T1122</f>
        <v>2</v>
      </c>
      <c r="B1122" t="str">
        <f>CASOPOInvCL!Z1122</f>
        <v>SO18124</v>
      </c>
      <c r="G1122" s="5" t="str">
        <f>CASOPOInvCL!I1122</f>
        <v>Ian Trottier</v>
      </c>
      <c r="H1122" s="31">
        <f>CASOPOInvCL!U1122</f>
        <v>10</v>
      </c>
      <c r="I1122" s="31">
        <f>CASOPOInvCL!V1122</f>
        <v>2025</v>
      </c>
      <c r="J1122" s="5" t="str">
        <f>CASOPOInvCL!AB1122</f>
        <v>INV13815</v>
      </c>
      <c r="K1122" s="31" t="str">
        <f>CASOPOInvCL!W1122</f>
        <v/>
      </c>
      <c r="L1122" s="31" t="str">
        <f>CASOPOInvCL!X1122</f>
        <v/>
      </c>
      <c r="M1122" t="s">
        <v>5945</v>
      </c>
      <c r="N1122" s="5" t="str">
        <f>CASOPOInvCL!AF1122</f>
        <v>PT Vale Indonesia Tbk.</v>
      </c>
      <c r="O1122" s="16" t="str">
        <f>CASOPOInvCL!AG1122</f>
        <v>USD</v>
      </c>
      <c r="P1122" s="16">
        <f>CASOPOInvCL!AH1122</f>
        <v>1902.6829026759308</v>
      </c>
      <c r="Q1122" s="16">
        <f>CASOPOInvCL!AI1122</f>
        <v>1359.4</v>
      </c>
      <c r="R1122" s="32" t="str">
        <f>CASOPOInvCL!AU1122</f>
        <v>Yes</v>
      </c>
      <c r="S1122" s="16">
        <f>CASOPOInvCL!AV1122</f>
        <v>0</v>
      </c>
      <c r="T1122" s="16">
        <f>CASOPOInvCL!AW1122</f>
        <v>1359.4</v>
      </c>
      <c r="Y1122" s="29" t="str">
        <f>IFERROR(HLOOKUP(U1122,List!$D$2:$H$6,2,FALSE),"")</f>
        <v/>
      </c>
      <c r="Z1122" s="29" t="str">
        <f>IFERROR(HLOOKUP(V1122,List!$D$2:$H$6,3,FALSE),"")</f>
        <v/>
      </c>
      <c r="AA1122" s="29" t="str">
        <f>IFERROR(HLOOKUP(W1122,List!$D$2:$H$6,4,FALSE),"")</f>
        <v/>
      </c>
      <c r="AB1122" s="29" t="str">
        <f>IFERROR(HLOOKUP(X1122,List!$D$2:$H$6,5,FALSE),"")</f>
        <v/>
      </c>
      <c r="AC1122" s="12" t="str">
        <f t="shared" si="276"/>
        <v/>
      </c>
      <c r="AD1122" s="12" t="str">
        <f t="shared" si="277"/>
        <v/>
      </c>
      <c r="AE1122" s="12" t="str">
        <f t="shared" si="278"/>
        <v/>
      </c>
      <c r="AF1122" s="12" t="str">
        <f t="shared" si="279"/>
        <v/>
      </c>
      <c r="AG1122" t="str">
        <f>VLOOKUP(J1122,'Receivable Invoice Detail'!$A$1:F4134,6,FALSE)</f>
        <v>[W-B073M/E05] Shaft, 1.5/1 or 2/1.5 B-AH, 1045 Steel, Metric</v>
      </c>
      <c r="AM1122" s="12" t="str">
        <f t="shared" si="280"/>
        <v/>
      </c>
      <c r="AN1122" s="12" t="str">
        <f t="shared" si="281"/>
        <v/>
      </c>
      <c r="AO1122" s="12" t="str">
        <f t="shared" si="282"/>
        <v/>
      </c>
      <c r="AP1122" s="12" t="str">
        <f t="shared" si="283"/>
        <v/>
      </c>
      <c r="AQ1122" s="64" t="str">
        <f t="shared" si="274"/>
        <v/>
      </c>
      <c r="AS1122" s="12">
        <f t="shared" si="275"/>
        <v>0</v>
      </c>
      <c r="AT1122" t="s">
        <v>5945</v>
      </c>
    </row>
    <row r="1123" spans="1:46" hidden="1" x14ac:dyDescent="0.25">
      <c r="A1123" s="41">
        <f>CASOPOInvCL!T1123</f>
        <v>2</v>
      </c>
      <c r="B1123" t="str">
        <f>CASOPOInvCL!Z1123</f>
        <v>SO18124</v>
      </c>
      <c r="G1123" s="5">
        <f>CASOPOInvCL!I1123</f>
        <v>0</v>
      </c>
      <c r="H1123" s="31">
        <f>CASOPOInvCL!U1123</f>
        <v>10</v>
      </c>
      <c r="I1123" s="31">
        <f>CASOPOInvCL!V1123</f>
        <v>2025</v>
      </c>
      <c r="J1123" s="5" t="str">
        <f>CASOPOInvCL!AB1123</f>
        <v>INV13592</v>
      </c>
      <c r="K1123" s="31" t="str">
        <f>CASOPOInvCL!W1123</f>
        <v/>
      </c>
      <c r="L1123" s="31" t="str">
        <f>CASOPOInvCL!X1123</f>
        <v/>
      </c>
      <c r="M1123" t="s">
        <v>5945</v>
      </c>
      <c r="N1123" s="5" t="str">
        <f>CASOPOInvCL!AF1123</f>
        <v>PT Vale Indonesia Tbk.</v>
      </c>
      <c r="O1123" s="16" t="str">
        <f>CASOPOInvCL!AG1123</f>
        <v>USD</v>
      </c>
      <c r="P1123" s="16">
        <f>CASOPOInvCL!AH1123</f>
        <v>0</v>
      </c>
      <c r="Q1123" s="16">
        <f>CASOPOInvCL!AI1123</f>
        <v>0</v>
      </c>
      <c r="R1123" s="32" t="str">
        <f>CASOPOInvCL!AU1123</f>
        <v/>
      </c>
      <c r="S1123" s="16">
        <f>CASOPOInvCL!AV1123</f>
        <v>0</v>
      </c>
      <c r="T1123" s="16">
        <f>CASOPOInvCL!AW1123</f>
        <v>0</v>
      </c>
      <c r="Y1123" s="29" t="str">
        <f>IFERROR(HLOOKUP(U1123,List!$D$2:$H$6,2,FALSE),"")</f>
        <v/>
      </c>
      <c r="Z1123" s="29" t="str">
        <f>IFERROR(HLOOKUP(V1123,List!$D$2:$H$6,3,FALSE),"")</f>
        <v/>
      </c>
      <c r="AA1123" s="29" t="str">
        <f>IFERROR(HLOOKUP(W1123,List!$D$2:$H$6,4,FALSE),"")</f>
        <v/>
      </c>
      <c r="AB1123" s="29" t="str">
        <f>IFERROR(HLOOKUP(X1123,List!$D$2:$H$6,5,FALSE),"")</f>
        <v/>
      </c>
      <c r="AC1123" s="12" t="str">
        <f t="shared" si="276"/>
        <v/>
      </c>
      <c r="AD1123" s="12" t="str">
        <f t="shared" si="277"/>
        <v/>
      </c>
      <c r="AE1123" s="12" t="str">
        <f t="shared" si="278"/>
        <v/>
      </c>
      <c r="AF1123" s="12" t="str">
        <f t="shared" si="279"/>
        <v/>
      </c>
      <c r="AG1123" t="str">
        <f>VLOOKUP(J1123,'Receivable Invoice Detail'!$A$1:F4135,6,FALSE)</f>
        <v>[W-B073M/E05] Shaft, 1.5/1 or 2/1.5 B-AH, 1045 Steel, Metric</v>
      </c>
      <c r="AM1123" s="12" t="str">
        <f t="shared" si="280"/>
        <v/>
      </c>
      <c r="AN1123" s="12" t="str">
        <f t="shared" si="281"/>
        <v/>
      </c>
      <c r="AO1123" s="12" t="str">
        <f t="shared" si="282"/>
        <v/>
      </c>
      <c r="AP1123" s="12" t="str">
        <f t="shared" si="283"/>
        <v/>
      </c>
      <c r="AQ1123" s="64" t="str">
        <f t="shared" si="274"/>
        <v/>
      </c>
      <c r="AS1123" s="12">
        <f t="shared" si="275"/>
        <v>49.769999999999996</v>
      </c>
      <c r="AT1123" t="s">
        <v>5945</v>
      </c>
    </row>
    <row r="1124" spans="1:46" hidden="1" x14ac:dyDescent="0.25">
      <c r="A1124" s="41">
        <f>CASOPOInvCL!T1124</f>
        <v>2</v>
      </c>
      <c r="B1124" t="str">
        <f>CASOPOInvCL!Z1124</f>
        <v>SO18125</v>
      </c>
      <c r="G1124" s="5" t="str">
        <f>CASOPOInvCL!I1124</f>
        <v>Ian Trottier</v>
      </c>
      <c r="H1124" s="31">
        <f>CASOPOInvCL!U1124</f>
        <v>10</v>
      </c>
      <c r="I1124" s="31">
        <f>CASOPOInvCL!V1124</f>
        <v>2025</v>
      </c>
      <c r="J1124" s="5" t="str">
        <f>CASOPOInvCL!AB1124</f>
        <v>INV13778</v>
      </c>
      <c r="K1124" s="31" t="str">
        <f>CASOPOInvCL!W1124</f>
        <v/>
      </c>
      <c r="L1124" s="31" t="str">
        <f>CASOPOInvCL!X1124</f>
        <v/>
      </c>
      <c r="M1124" t="s">
        <v>5945</v>
      </c>
      <c r="N1124" s="5" t="str">
        <f>CASOPOInvCL!AF1124</f>
        <v>PT Vale Indonesia Tbk.</v>
      </c>
      <c r="O1124" s="16" t="str">
        <f>CASOPOInvCL!AG1124</f>
        <v>USD</v>
      </c>
      <c r="P1124" s="16">
        <f>CASOPOInvCL!AH1124</f>
        <v>517.64620032784035</v>
      </c>
      <c r="Q1124" s="16">
        <f>CASOPOInvCL!AI1124</f>
        <v>369.84</v>
      </c>
      <c r="R1124" s="32" t="str">
        <f>CASOPOInvCL!AU1124</f>
        <v>Yes</v>
      </c>
      <c r="S1124" s="16">
        <f>CASOPOInvCL!AV1124</f>
        <v>0</v>
      </c>
      <c r="T1124" s="16">
        <f>CASOPOInvCL!AW1124</f>
        <v>369.84</v>
      </c>
      <c r="Y1124" s="29" t="str">
        <f>IFERROR(HLOOKUP(U1124,List!$D$2:$H$6,2,FALSE),"")</f>
        <v/>
      </c>
      <c r="Z1124" s="29" t="str">
        <f>IFERROR(HLOOKUP(V1124,List!$D$2:$H$6,3,FALSE),"")</f>
        <v/>
      </c>
      <c r="AA1124" s="29" t="str">
        <f>IFERROR(HLOOKUP(W1124,List!$D$2:$H$6,4,FALSE),"")</f>
        <v/>
      </c>
      <c r="AB1124" s="29" t="str">
        <f>IFERROR(HLOOKUP(X1124,List!$D$2:$H$6,5,FALSE),"")</f>
        <v/>
      </c>
      <c r="AC1124" s="12" t="str">
        <f t="shared" si="276"/>
        <v/>
      </c>
      <c r="AD1124" s="12" t="str">
        <f t="shared" si="277"/>
        <v/>
      </c>
      <c r="AE1124" s="12" t="str">
        <f t="shared" si="278"/>
        <v/>
      </c>
      <c r="AF1124" s="12" t="str">
        <f t="shared" si="279"/>
        <v/>
      </c>
      <c r="AG1124" t="str">
        <f>VLOOKUP(J1124,'Receivable Invoice Detail'!$A$1:F4136,6,FALSE)</f>
        <v>[G-D08717A03 6241] Labyrinth Seal (Outboard), 3196 MTX, Carbon Teflon</v>
      </c>
      <c r="AM1124" s="12" t="str">
        <f t="shared" si="280"/>
        <v/>
      </c>
      <c r="AN1124" s="12" t="str">
        <f t="shared" si="281"/>
        <v/>
      </c>
      <c r="AO1124" s="12" t="str">
        <f t="shared" si="282"/>
        <v/>
      </c>
      <c r="AP1124" s="12" t="str">
        <f t="shared" si="283"/>
        <v/>
      </c>
      <c r="AQ1124" s="64" t="str">
        <f t="shared" si="274"/>
        <v/>
      </c>
      <c r="AS1124" s="12">
        <f t="shared" si="275"/>
        <v>0</v>
      </c>
      <c r="AT1124" t="s">
        <v>5945</v>
      </c>
    </row>
    <row r="1125" spans="1:46" hidden="1" x14ac:dyDescent="0.25">
      <c r="A1125" s="41">
        <f>CASOPOInvCL!T1125</f>
        <v>2</v>
      </c>
      <c r="B1125" t="str">
        <f>CASOPOInvCL!Z1125</f>
        <v>SO18125</v>
      </c>
      <c r="G1125" s="5">
        <f>CASOPOInvCL!I1125</f>
        <v>0</v>
      </c>
      <c r="H1125" s="31">
        <f>CASOPOInvCL!U1125</f>
        <v>10</v>
      </c>
      <c r="I1125" s="31">
        <f>CASOPOInvCL!V1125</f>
        <v>2025</v>
      </c>
      <c r="J1125" s="5" t="str">
        <f>CASOPOInvCL!AB1125</f>
        <v>INV13593</v>
      </c>
      <c r="K1125" s="31" t="str">
        <f>CASOPOInvCL!W1125</f>
        <v/>
      </c>
      <c r="L1125" s="31" t="str">
        <f>CASOPOInvCL!X1125</f>
        <v/>
      </c>
      <c r="M1125" t="s">
        <v>5945</v>
      </c>
      <c r="N1125" s="5" t="str">
        <f>CASOPOInvCL!AF1125</f>
        <v>PT Vale Indonesia Tbk.</v>
      </c>
      <c r="O1125" s="16" t="str">
        <f>CASOPOInvCL!AG1125</f>
        <v>USD</v>
      </c>
      <c r="P1125" s="16">
        <f>CASOPOInvCL!AH1125</f>
        <v>0</v>
      </c>
      <c r="Q1125" s="16">
        <f>CASOPOInvCL!AI1125</f>
        <v>0</v>
      </c>
      <c r="R1125" s="32" t="str">
        <f>CASOPOInvCL!AU1125</f>
        <v/>
      </c>
      <c r="S1125" s="16">
        <f>CASOPOInvCL!AV1125</f>
        <v>0</v>
      </c>
      <c r="T1125" s="16">
        <f>CASOPOInvCL!AW1125</f>
        <v>0</v>
      </c>
      <c r="Y1125" s="29" t="str">
        <f>IFERROR(HLOOKUP(U1125,List!$D$2:$H$6,2,FALSE),"")</f>
        <v/>
      </c>
      <c r="Z1125" s="29" t="str">
        <f>IFERROR(HLOOKUP(V1125,List!$D$2:$H$6,3,FALSE),"")</f>
        <v/>
      </c>
      <c r="AA1125" s="29" t="str">
        <f>IFERROR(HLOOKUP(W1125,List!$D$2:$H$6,4,FALSE),"")</f>
        <v/>
      </c>
      <c r="AB1125" s="29" t="str">
        <f>IFERROR(HLOOKUP(X1125,List!$D$2:$H$6,5,FALSE),"")</f>
        <v/>
      </c>
      <c r="AC1125" s="12" t="str">
        <f t="shared" si="276"/>
        <v/>
      </c>
      <c r="AD1125" s="12" t="str">
        <f t="shared" si="277"/>
        <v/>
      </c>
      <c r="AE1125" s="12" t="str">
        <f t="shared" si="278"/>
        <v/>
      </c>
      <c r="AF1125" s="12" t="str">
        <f t="shared" si="279"/>
        <v/>
      </c>
      <c r="AG1125" t="str">
        <f>VLOOKUP(J1125,'Receivable Invoice Detail'!$A$1:F4137,6,FALSE)</f>
        <v>[G-D08717A03 6241] Labyrinth Seal (Outboard), 3196 MTX, Carbon Teflon</v>
      </c>
      <c r="AM1125" s="12" t="str">
        <f t="shared" si="280"/>
        <v/>
      </c>
      <c r="AN1125" s="12" t="str">
        <f t="shared" si="281"/>
        <v/>
      </c>
      <c r="AO1125" s="12" t="str">
        <f t="shared" si="282"/>
        <v/>
      </c>
      <c r="AP1125" s="12" t="str">
        <f t="shared" si="283"/>
        <v/>
      </c>
      <c r="AQ1125" s="64" t="str">
        <f t="shared" si="274"/>
        <v/>
      </c>
      <c r="AS1125" s="12">
        <f t="shared" si="275"/>
        <v>34.5627</v>
      </c>
      <c r="AT1125" t="s">
        <v>5945</v>
      </c>
    </row>
    <row r="1126" spans="1:46" hidden="1" x14ac:dyDescent="0.25">
      <c r="A1126" s="41">
        <f>CASOPOInvCL!T1126</f>
        <v>2</v>
      </c>
      <c r="B1126" t="str">
        <f>CASOPOInvCL!Z1126</f>
        <v>SO18126</v>
      </c>
      <c r="G1126" s="5" t="str">
        <f>CASOPOInvCL!I1126</f>
        <v>Ian Trottier</v>
      </c>
      <c r="H1126" s="31">
        <f>CASOPOInvCL!U1126</f>
        <v>10</v>
      </c>
      <c r="I1126" s="31">
        <f>CASOPOInvCL!V1126</f>
        <v>2025</v>
      </c>
      <c r="J1126" s="5" t="str">
        <f>CASOPOInvCL!AB1126</f>
        <v>INV13704</v>
      </c>
      <c r="K1126" s="31">
        <f>CASOPOInvCL!W1126</f>
        <v>12</v>
      </c>
      <c r="L1126" s="31">
        <f>CASOPOInvCL!X1126</f>
        <v>2025</v>
      </c>
      <c r="M1126" t="s">
        <v>5945</v>
      </c>
      <c r="N1126" s="5" t="str">
        <f>CASOPOInvCL!AF1126</f>
        <v>Sling-Choker Manufacturing - Timmins</v>
      </c>
      <c r="O1126" s="16" t="str">
        <f>CASOPOInvCL!AG1126</f>
        <v>CAD</v>
      </c>
      <c r="P1126" s="16">
        <f>CASOPOInvCL!AH1126</f>
        <v>1722.75</v>
      </c>
      <c r="Q1126" s="16">
        <f>CASOPOInvCL!AI1126</f>
        <v>1236.0168832592835</v>
      </c>
      <c r="R1126" s="32" t="str">
        <f>CASOPOInvCL!AU1126</f>
        <v>Yes</v>
      </c>
      <c r="S1126" s="16">
        <f>CASOPOInvCL!AV1126</f>
        <v>0</v>
      </c>
      <c r="T1126" s="16">
        <f>CASOPOInvCL!AW1126</f>
        <v>1236.0168832592835</v>
      </c>
      <c r="Y1126" s="29" t="str">
        <f>IFERROR(HLOOKUP(U1126,List!$D$2:$H$6,2,FALSE),"")</f>
        <v/>
      </c>
      <c r="Z1126" s="29" t="str">
        <f>IFERROR(HLOOKUP(V1126,List!$D$2:$H$6,3,FALSE),"")</f>
        <v/>
      </c>
      <c r="AA1126" s="29" t="str">
        <f>IFERROR(HLOOKUP(W1126,List!$D$2:$H$6,4,FALSE),"")</f>
        <v/>
      </c>
      <c r="AB1126" s="29" t="str">
        <f>IFERROR(HLOOKUP(X1126,List!$D$2:$H$6,5,FALSE),"")</f>
        <v/>
      </c>
      <c r="AC1126" s="12" t="str">
        <f t="shared" si="276"/>
        <v/>
      </c>
      <c r="AD1126" s="12" t="str">
        <f t="shared" si="277"/>
        <v/>
      </c>
      <c r="AE1126" s="12" t="str">
        <f t="shared" si="278"/>
        <v/>
      </c>
      <c r="AF1126" s="12" t="str">
        <f t="shared" si="279"/>
        <v/>
      </c>
      <c r="AG1126" t="str">
        <f>VLOOKUP(J1126,'Receivable Invoice Detail'!$A$1:F4138,6,FALSE)</f>
        <v>[AC-98-233-992-001] Half Seal Cage, 3x3-10 SRL &amp; SRL-C, Cast Iron</v>
      </c>
      <c r="AM1126" s="12" t="str">
        <f t="shared" si="280"/>
        <v/>
      </c>
      <c r="AN1126" s="12" t="str">
        <f t="shared" si="281"/>
        <v/>
      </c>
      <c r="AO1126" s="12" t="str">
        <f t="shared" si="282"/>
        <v/>
      </c>
      <c r="AP1126" s="12" t="str">
        <f t="shared" si="283"/>
        <v/>
      </c>
      <c r="AQ1126" s="64" t="str">
        <f t="shared" si="274"/>
        <v/>
      </c>
      <c r="AS1126" s="12">
        <f t="shared" si="275"/>
        <v>0</v>
      </c>
      <c r="AT1126" t="s">
        <v>5945</v>
      </c>
    </row>
    <row r="1127" spans="1:46" hidden="1" x14ac:dyDescent="0.25">
      <c r="A1127" s="41">
        <f>CASOPOInvCL!T1127</f>
        <v>2</v>
      </c>
      <c r="B1127" t="str">
        <f>CASOPOInvCL!Z1127</f>
        <v>SO18126</v>
      </c>
      <c r="G1127" s="5">
        <f>CASOPOInvCL!I1127</f>
        <v>0</v>
      </c>
      <c r="H1127" s="31">
        <f>CASOPOInvCL!U1127</f>
        <v>10</v>
      </c>
      <c r="I1127" s="31">
        <f>CASOPOInvCL!V1127</f>
        <v>2025</v>
      </c>
      <c r="J1127" s="5" t="str">
        <f>CASOPOInvCL!AB1127</f>
        <v>INV13806</v>
      </c>
      <c r="K1127" s="31" t="str">
        <f>CASOPOInvCL!W1127</f>
        <v/>
      </c>
      <c r="L1127" s="31" t="str">
        <f>CASOPOInvCL!X1127</f>
        <v/>
      </c>
      <c r="M1127" t="s">
        <v>5945</v>
      </c>
      <c r="N1127" s="5" t="str">
        <f>CASOPOInvCL!AF1127</f>
        <v>Sling-Choker Manufacturing - Timmins</v>
      </c>
      <c r="O1127" s="16" t="str">
        <f>CASOPOInvCL!AG1127</f>
        <v>CAD</v>
      </c>
      <c r="P1127" s="16">
        <f>CASOPOInvCL!AH1127</f>
        <v>0</v>
      </c>
      <c r="Q1127" s="16">
        <f>CASOPOInvCL!AI1127</f>
        <v>0</v>
      </c>
      <c r="R1127" s="32" t="str">
        <f>CASOPOInvCL!AU1127</f>
        <v/>
      </c>
      <c r="S1127" s="16">
        <f>CASOPOInvCL!AV1127</f>
        <v>0</v>
      </c>
      <c r="T1127" s="16">
        <f>CASOPOInvCL!AW1127</f>
        <v>0</v>
      </c>
      <c r="Y1127" s="29" t="str">
        <f>IFERROR(HLOOKUP(U1127,List!$D$2:$H$6,2,FALSE),"")</f>
        <v/>
      </c>
      <c r="Z1127" s="29" t="str">
        <f>IFERROR(HLOOKUP(V1127,List!$D$2:$H$6,3,FALSE),"")</f>
        <v/>
      </c>
      <c r="AA1127" s="29" t="str">
        <f>IFERROR(HLOOKUP(W1127,List!$D$2:$H$6,4,FALSE),"")</f>
        <v/>
      </c>
      <c r="AB1127" s="29" t="str">
        <f>IFERROR(HLOOKUP(X1127,List!$D$2:$H$6,5,FALSE),"")</f>
        <v/>
      </c>
      <c r="AC1127" s="12" t="str">
        <f t="shared" si="276"/>
        <v/>
      </c>
      <c r="AD1127" s="12" t="str">
        <f t="shared" si="277"/>
        <v/>
      </c>
      <c r="AE1127" s="12" t="str">
        <f t="shared" si="278"/>
        <v/>
      </c>
      <c r="AF1127" s="12" t="str">
        <f t="shared" si="279"/>
        <v/>
      </c>
      <c r="AG1127" t="str">
        <f>VLOOKUP(J1127,'Receivable Invoice Detail'!$A$1:F4139,6,FALSE)</f>
        <v>[AC-98-039-047-501] Impeller (Closed), 5x4-14 SRL-C, Natural Rubber</v>
      </c>
      <c r="AM1127" s="12" t="str">
        <f t="shared" si="280"/>
        <v/>
      </c>
      <c r="AN1127" s="12" t="str">
        <f t="shared" si="281"/>
        <v/>
      </c>
      <c r="AO1127" s="12" t="str">
        <f t="shared" si="282"/>
        <v/>
      </c>
      <c r="AP1127" s="12" t="str">
        <f t="shared" si="283"/>
        <v/>
      </c>
      <c r="AQ1127" s="64" t="str">
        <f t="shared" si="274"/>
        <v/>
      </c>
      <c r="AS1127" s="12">
        <f t="shared" si="275"/>
        <v>0</v>
      </c>
      <c r="AT1127" t="s">
        <v>5945</v>
      </c>
    </row>
    <row r="1128" spans="1:46" hidden="1" x14ac:dyDescent="0.25">
      <c r="A1128" s="41">
        <f>CASOPOInvCL!T1128</f>
        <v>0</v>
      </c>
      <c r="B1128" t="str">
        <f>CASOPOInvCL!Z1128</f>
        <v>SO18127</v>
      </c>
      <c r="G1128" s="5" t="str">
        <f>CASOPOInvCL!I1128</f>
        <v>Carlos Leon</v>
      </c>
      <c r="H1128" s="31">
        <f>CASOPOInvCL!U1128</f>
        <v>10</v>
      </c>
      <c r="I1128" s="31">
        <f>CASOPOInvCL!V1128</f>
        <v>2025</v>
      </c>
      <c r="J1128" s="5" t="str">
        <f>CASOPOInvCL!AB1128</f>
        <v>No Inv</v>
      </c>
      <c r="K1128" s="31" t="str">
        <f>CASOPOInvCL!W1128</f>
        <v/>
      </c>
      <c r="L1128" s="31" t="str">
        <f>CASOPOInvCL!X1128</f>
        <v/>
      </c>
      <c r="M1128" t="s">
        <v>5945</v>
      </c>
      <c r="N1128" s="5" t="str">
        <f>CASOPOInvCL!AF1128</f>
        <v>Dynapro Pumps México S de RL de CV</v>
      </c>
      <c r="O1128" s="16" t="str">
        <f>CASOPOInvCL!AG1128</f>
        <v>USD</v>
      </c>
      <c r="P1128" s="16">
        <f>CASOPOInvCL!AH1128</f>
        <v>5626.5891339982645</v>
      </c>
      <c r="Q1128" s="16">
        <f>CASOPOInvCL!AI1128</f>
        <v>4020</v>
      </c>
      <c r="R1128" s="32" t="str">
        <f>CASOPOInvCL!AU1128</f>
        <v/>
      </c>
      <c r="S1128" s="16">
        <f>CASOPOInvCL!AV1128</f>
        <v>0</v>
      </c>
      <c r="T1128" s="16">
        <f>CASOPOInvCL!AW1128</f>
        <v>0</v>
      </c>
      <c r="Y1128" s="29" t="str">
        <f>IFERROR(HLOOKUP(U1128,List!$D$2:$H$6,2,FALSE),"")</f>
        <v/>
      </c>
      <c r="Z1128" s="29" t="str">
        <f>IFERROR(HLOOKUP(V1128,List!$D$2:$H$6,3,FALSE),"")</f>
        <v/>
      </c>
      <c r="AA1128" s="29" t="str">
        <f>IFERROR(HLOOKUP(W1128,List!$D$2:$H$6,4,FALSE),"")</f>
        <v/>
      </c>
      <c r="AB1128" s="29" t="str">
        <f>IFERROR(HLOOKUP(X1128,List!$D$2:$H$6,5,FALSE),"")</f>
        <v/>
      </c>
      <c r="AC1128" s="12" t="str">
        <f t="shared" si="276"/>
        <v/>
      </c>
      <c r="AD1128" s="12" t="str">
        <f t="shared" si="277"/>
        <v/>
      </c>
      <c r="AE1128" s="12" t="str">
        <f t="shared" si="278"/>
        <v/>
      </c>
      <c r="AF1128" s="12" t="str">
        <f t="shared" si="279"/>
        <v/>
      </c>
      <c r="AG1128" t="e">
        <f>VLOOKUP(J1128,'Receivable Invoice Detail'!$A$1:F4140,6,FALSE)</f>
        <v>#N/A</v>
      </c>
      <c r="AM1128" s="12" t="str">
        <f t="shared" si="280"/>
        <v/>
      </c>
      <c r="AN1128" s="12" t="str">
        <f t="shared" si="281"/>
        <v/>
      </c>
      <c r="AO1128" s="12" t="str">
        <f t="shared" si="282"/>
        <v/>
      </c>
      <c r="AP1128" s="12" t="str">
        <f t="shared" si="283"/>
        <v/>
      </c>
      <c r="AQ1128" s="64" t="str">
        <f t="shared" si="274"/>
        <v/>
      </c>
      <c r="AR1128" t="s">
        <v>5940</v>
      </c>
      <c r="AS1128" s="12">
        <f t="shared" si="275"/>
        <v>0</v>
      </c>
      <c r="AT1128" t="s">
        <v>5940</v>
      </c>
    </row>
    <row r="1129" spans="1:46" hidden="1" x14ac:dyDescent="0.25">
      <c r="A1129" s="41">
        <f>CASOPOInvCL!T1129</f>
        <v>1</v>
      </c>
      <c r="B1129" t="str">
        <f>CASOPOInvCL!Z1129</f>
        <v>SO18128</v>
      </c>
      <c r="G1129" s="5" t="str">
        <f>CASOPOInvCL!I1129</f>
        <v>Carlos Leon</v>
      </c>
      <c r="H1129" s="31">
        <f>CASOPOInvCL!U1129</f>
        <v>10</v>
      </c>
      <c r="I1129" s="31">
        <f>CASOPOInvCL!V1129</f>
        <v>2025</v>
      </c>
      <c r="J1129" s="5" t="str">
        <f>CASOPOInvCL!AB1129</f>
        <v>INV13823</v>
      </c>
      <c r="K1129" s="31" t="str">
        <f>CASOPOInvCL!W1129</f>
        <v/>
      </c>
      <c r="L1129" s="31" t="str">
        <f>CASOPOInvCL!X1129</f>
        <v/>
      </c>
      <c r="M1129" t="s">
        <v>5945</v>
      </c>
      <c r="N1129" s="5" t="str">
        <f>CASOPOInvCL!AF1129</f>
        <v>Dynapro Pumps México S de RL de CV</v>
      </c>
      <c r="O1129" s="16" t="str">
        <f>CASOPOInvCL!AG1129</f>
        <v>USD</v>
      </c>
      <c r="P1129" s="16">
        <f>CASOPOInvCL!AH1129</f>
        <v>1791.5507690342733</v>
      </c>
      <c r="Q1129" s="16">
        <f>CASOPOInvCL!AI1129</f>
        <v>1280</v>
      </c>
      <c r="R1129" s="32" t="str">
        <f>CASOPOInvCL!AU1129</f>
        <v/>
      </c>
      <c r="S1129" s="16">
        <f>CASOPOInvCL!AV1129</f>
        <v>0</v>
      </c>
      <c r="T1129" s="16">
        <f>CASOPOInvCL!AW1129</f>
        <v>0</v>
      </c>
      <c r="Y1129" s="29" t="str">
        <f>IFERROR(HLOOKUP(U1129,List!$D$2:$H$6,2,FALSE),"")</f>
        <v/>
      </c>
      <c r="Z1129" s="29" t="str">
        <f>IFERROR(HLOOKUP(V1129,List!$D$2:$H$6,3,FALSE),"")</f>
        <v/>
      </c>
      <c r="AA1129" s="29" t="str">
        <f>IFERROR(HLOOKUP(W1129,List!$D$2:$H$6,4,FALSE),"")</f>
        <v/>
      </c>
      <c r="AB1129" s="29" t="str">
        <f>IFERROR(HLOOKUP(X1129,List!$D$2:$H$6,5,FALSE),"")</f>
        <v/>
      </c>
      <c r="AC1129" s="12" t="str">
        <f t="shared" si="276"/>
        <v/>
      </c>
      <c r="AD1129" s="12" t="str">
        <f t="shared" si="277"/>
        <v/>
      </c>
      <c r="AE1129" s="12" t="str">
        <f t="shared" si="278"/>
        <v/>
      </c>
      <c r="AF1129" s="12" t="str">
        <f t="shared" si="279"/>
        <v/>
      </c>
      <c r="AG1129" t="e">
        <f>VLOOKUP(J1129,'Receivable Invoice Detail'!$A$1:F4141,6,FALSE)</f>
        <v>#N/A</v>
      </c>
      <c r="AM1129" s="12" t="str">
        <f t="shared" si="280"/>
        <v/>
      </c>
      <c r="AN1129" s="12" t="str">
        <f t="shared" si="281"/>
        <v/>
      </c>
      <c r="AO1129" s="12" t="str">
        <f t="shared" si="282"/>
        <v/>
      </c>
      <c r="AP1129" s="12" t="str">
        <f t="shared" si="283"/>
        <v/>
      </c>
      <c r="AQ1129" s="64" t="str">
        <f t="shared" si="274"/>
        <v/>
      </c>
      <c r="AR1129" t="s">
        <v>5940</v>
      </c>
      <c r="AS1129" s="12">
        <f t="shared" si="275"/>
        <v>20.391000000000002</v>
      </c>
      <c r="AT1129" t="s">
        <v>5940</v>
      </c>
    </row>
    <row r="1130" spans="1:46" hidden="1" x14ac:dyDescent="0.25">
      <c r="A1130" s="41">
        <f>CASOPOInvCL!T1130</f>
        <v>1</v>
      </c>
      <c r="B1130" t="str">
        <f>CASOPOInvCL!Z1130</f>
        <v>SO18131</v>
      </c>
      <c r="D1130" t="s">
        <v>5915</v>
      </c>
      <c r="G1130" s="5" t="str">
        <f>CASOPOInvCL!I1130</f>
        <v>Wilka Nuñez</v>
      </c>
      <c r="H1130" s="31">
        <f>CASOPOInvCL!U1130</f>
        <v>10</v>
      </c>
      <c r="I1130" s="31">
        <f>CASOPOInvCL!V1130</f>
        <v>2025</v>
      </c>
      <c r="J1130" s="5" t="str">
        <f>CASOPOInvCL!AB1130</f>
        <v>INV13646</v>
      </c>
      <c r="K1130" s="31">
        <f>CASOPOInvCL!W1130</f>
        <v>12</v>
      </c>
      <c r="L1130" s="31">
        <f>CASOPOInvCL!X1130</f>
        <v>2025</v>
      </c>
      <c r="M1130" t="s">
        <v>5945</v>
      </c>
      <c r="N1130" s="5" t="str">
        <f>CASOPOInvCL!AF1130</f>
        <v>Barrick Gold - Pueblo Viejo Dominicana Corporation</v>
      </c>
      <c r="O1130" s="16" t="str">
        <f>CASOPOInvCL!AG1130</f>
        <v>USD</v>
      </c>
      <c r="P1130" s="16">
        <f>CASOPOInvCL!AH1130</f>
        <v>18750.372304767778</v>
      </c>
      <c r="Q1130" s="16">
        <f>CASOPOInvCL!AI1130</f>
        <v>13314.84</v>
      </c>
      <c r="R1130" s="32" t="str">
        <f>CASOPOInvCL!AU1130</f>
        <v/>
      </c>
      <c r="S1130" s="16">
        <f>CASOPOInvCL!AV1130</f>
        <v>0</v>
      </c>
      <c r="T1130" s="16">
        <f>CASOPOInvCL!AW1130</f>
        <v>0</v>
      </c>
      <c r="Y1130" s="29" t="str">
        <f>IFERROR(HLOOKUP(U1130,List!$D$2:$H$6,2,FALSE),"")</f>
        <v/>
      </c>
      <c r="Z1130" s="29" t="str">
        <f>IFERROR(HLOOKUP(V1130,List!$D$2:$H$6,3,FALSE),"")</f>
        <v/>
      </c>
      <c r="AA1130" s="29" t="str">
        <f>IFERROR(HLOOKUP(W1130,List!$D$2:$H$6,4,FALSE),"")</f>
        <v/>
      </c>
      <c r="AB1130" s="29" t="str">
        <f>IFERROR(HLOOKUP(X1130,List!$D$2:$H$6,5,FALSE),"")</f>
        <v/>
      </c>
      <c r="AC1130" s="12" t="str">
        <f t="shared" si="276"/>
        <v/>
      </c>
      <c r="AD1130" s="12" t="str">
        <f t="shared" si="277"/>
        <v/>
      </c>
      <c r="AE1130" s="12" t="str">
        <f t="shared" si="278"/>
        <v/>
      </c>
      <c r="AF1130" s="12" t="str">
        <f t="shared" si="279"/>
        <v/>
      </c>
      <c r="AG1130" t="str">
        <f>VLOOKUP(J1130,'Receivable Invoice Detail'!$A$1:F4142,6,FALSE)</f>
        <v>Shaft, 500S-35, 4340 Steel</v>
      </c>
      <c r="AM1130" s="12" t="str">
        <f t="shared" si="280"/>
        <v/>
      </c>
      <c r="AN1130" s="12" t="str">
        <f t="shared" si="281"/>
        <v/>
      </c>
      <c r="AO1130" s="12" t="str">
        <f t="shared" si="282"/>
        <v/>
      </c>
      <c r="AP1130" s="12" t="str">
        <f t="shared" si="283"/>
        <v/>
      </c>
      <c r="AQ1130" s="64" t="str">
        <f t="shared" si="274"/>
        <v/>
      </c>
      <c r="AR1130" t="s">
        <v>5933</v>
      </c>
      <c r="AS1130" s="12">
        <f t="shared" si="275"/>
        <v>0</v>
      </c>
      <c r="AT1130" t="s">
        <v>5945</v>
      </c>
    </row>
    <row r="1131" spans="1:46" hidden="1" x14ac:dyDescent="0.25">
      <c r="A1131" s="41">
        <f>CASOPOInvCL!T1131</f>
        <v>1</v>
      </c>
      <c r="B1131" t="str">
        <f>CASOPOInvCL!Z1131</f>
        <v>SO18133</v>
      </c>
      <c r="G1131" s="5" t="str">
        <f>CASOPOInvCL!I1131</f>
        <v>Ian Trottier</v>
      </c>
      <c r="H1131" s="31">
        <f>CASOPOInvCL!U1131</f>
        <v>10</v>
      </c>
      <c r="I1131" s="31">
        <f>CASOPOInvCL!V1131</f>
        <v>2025</v>
      </c>
      <c r="J1131" s="5" t="str">
        <f>CASOPOInvCL!AB1131</f>
        <v>INV13590</v>
      </c>
      <c r="K1131" s="31" t="str">
        <f>CASOPOInvCL!W1131</f>
        <v/>
      </c>
      <c r="L1131" s="31" t="str">
        <f>CASOPOInvCL!X1131</f>
        <v/>
      </c>
      <c r="M1131" t="s">
        <v>5945</v>
      </c>
      <c r="N1131" s="5" t="str">
        <f>CASOPOInvCL!AF1131</f>
        <v>PT Vale Indonesia Tbk.</v>
      </c>
      <c r="O1131" s="16" t="str">
        <f>CASOPOInvCL!AG1131</f>
        <v>USD</v>
      </c>
      <c r="P1131" s="16">
        <f>CASOPOInvCL!AH1131</f>
        <v>1788.9733849502352</v>
      </c>
      <c r="Q1131" s="16">
        <f>CASOPOInvCL!AI1131</f>
        <v>1283.53</v>
      </c>
      <c r="R1131" s="32" t="str">
        <f>CASOPOInvCL!AU1131</f>
        <v/>
      </c>
      <c r="S1131" s="16">
        <f>CASOPOInvCL!AV1131</f>
        <v>0</v>
      </c>
      <c r="T1131" s="16">
        <f>CASOPOInvCL!AW1131</f>
        <v>0</v>
      </c>
      <c r="Y1131" s="29" t="str">
        <f>IFERROR(HLOOKUP(U1131,List!$D$2:$H$6,2,FALSE),"")</f>
        <v/>
      </c>
      <c r="Z1131" s="29" t="str">
        <f>IFERROR(HLOOKUP(V1131,List!$D$2:$H$6,3,FALSE),"")</f>
        <v/>
      </c>
      <c r="AA1131" s="29" t="str">
        <f>IFERROR(HLOOKUP(W1131,List!$D$2:$H$6,4,FALSE),"")</f>
        <v/>
      </c>
      <c r="AB1131" s="29" t="str">
        <f>IFERROR(HLOOKUP(X1131,List!$D$2:$H$6,5,FALSE),"")</f>
        <v/>
      </c>
      <c r="AC1131" s="12" t="str">
        <f t="shared" si="276"/>
        <v/>
      </c>
      <c r="AD1131" s="12" t="str">
        <f t="shared" si="277"/>
        <v/>
      </c>
      <c r="AE1131" s="12" t="str">
        <f t="shared" si="278"/>
        <v/>
      </c>
      <c r="AF1131" s="12" t="str">
        <f t="shared" si="279"/>
        <v/>
      </c>
      <c r="AG1131" t="str">
        <f>VLOOKUP(J1131,'Receivable Invoice Detail'!$A$1:F4143,6,FALSE)</f>
        <v>[AC-98-231-121-501] Suction Side Plate, 8x6-18 SRL-C, Natural Rubber</v>
      </c>
      <c r="AM1131" s="12" t="str">
        <f t="shared" si="280"/>
        <v/>
      </c>
      <c r="AN1131" s="12" t="str">
        <f t="shared" si="281"/>
        <v/>
      </c>
      <c r="AO1131" s="12" t="str">
        <f t="shared" si="282"/>
        <v/>
      </c>
      <c r="AP1131" s="12" t="str">
        <f t="shared" si="283"/>
        <v/>
      </c>
      <c r="AQ1131" s="64" t="str">
        <f t="shared" si="274"/>
        <v/>
      </c>
      <c r="AS1131" s="12">
        <f t="shared" si="275"/>
        <v>5.5475999999999992</v>
      </c>
      <c r="AT1131" t="s">
        <v>5945</v>
      </c>
    </row>
    <row r="1132" spans="1:46" hidden="1" x14ac:dyDescent="0.25">
      <c r="A1132" s="41">
        <f>CASOPOInvCL!T1132</f>
        <v>1</v>
      </c>
      <c r="B1132" t="str">
        <f>CASOPOInvCL!Z1132</f>
        <v>SO18134</v>
      </c>
      <c r="G1132" s="5" t="str">
        <f>CASOPOInvCL!I1132</f>
        <v>Ian Trottier</v>
      </c>
      <c r="H1132" s="31">
        <f>CASOPOInvCL!U1132</f>
        <v>10</v>
      </c>
      <c r="I1132" s="31">
        <f>CASOPOInvCL!V1132</f>
        <v>2025</v>
      </c>
      <c r="J1132" s="5" t="str">
        <f>CASOPOInvCL!AB1132</f>
        <v>INV13591</v>
      </c>
      <c r="K1132" s="31" t="str">
        <f>CASOPOInvCL!W1132</f>
        <v/>
      </c>
      <c r="L1132" s="31" t="str">
        <f>CASOPOInvCL!X1132</f>
        <v/>
      </c>
      <c r="M1132" t="s">
        <v>5945</v>
      </c>
      <c r="N1132" s="5" t="str">
        <f>CASOPOInvCL!AF1132</f>
        <v>PT Vale Indonesia Tbk.</v>
      </c>
      <c r="O1132" s="16" t="str">
        <f>CASOPOInvCL!AG1132</f>
        <v>USD</v>
      </c>
      <c r="P1132" s="16">
        <f>CASOPOInvCL!AH1132</f>
        <v>4122.6962948620603</v>
      </c>
      <c r="Q1132" s="16">
        <f>CASOPOInvCL!AI1132</f>
        <v>2957.9</v>
      </c>
      <c r="R1132" s="32" t="str">
        <f>CASOPOInvCL!AU1132</f>
        <v/>
      </c>
      <c r="S1132" s="16">
        <f>CASOPOInvCL!AV1132</f>
        <v>0</v>
      </c>
      <c r="T1132" s="16">
        <f>CASOPOInvCL!AW1132</f>
        <v>0</v>
      </c>
      <c r="Y1132" s="29" t="str">
        <f>IFERROR(HLOOKUP(U1132,List!$D$2:$H$6,2,FALSE),"")</f>
        <v/>
      </c>
      <c r="Z1132" s="29" t="str">
        <f>IFERROR(HLOOKUP(V1132,List!$D$2:$H$6,3,FALSE),"")</f>
        <v/>
      </c>
      <c r="AA1132" s="29" t="str">
        <f>IFERROR(HLOOKUP(W1132,List!$D$2:$H$6,4,FALSE),"")</f>
        <v/>
      </c>
      <c r="AB1132" s="29" t="str">
        <f>IFERROR(HLOOKUP(X1132,List!$D$2:$H$6,5,FALSE),"")</f>
        <v/>
      </c>
      <c r="AC1132" s="12" t="str">
        <f t="shared" si="276"/>
        <v/>
      </c>
      <c r="AD1132" s="12" t="str">
        <f t="shared" si="277"/>
        <v/>
      </c>
      <c r="AE1132" s="12" t="str">
        <f t="shared" si="278"/>
        <v/>
      </c>
      <c r="AF1132" s="12" t="str">
        <f t="shared" si="279"/>
        <v/>
      </c>
      <c r="AG1132" t="str">
        <f>VLOOKUP(J1132,'Receivable Invoice Detail'!$A$1:F4144,6,FALSE)</f>
        <v>[AC-98-231-123-501] Gland Side Liner, 8x6-18 SRL-C, Natural Rubber</v>
      </c>
      <c r="AM1132" s="12" t="str">
        <f t="shared" si="280"/>
        <v/>
      </c>
      <c r="AN1132" s="12" t="str">
        <f t="shared" si="281"/>
        <v/>
      </c>
      <c r="AO1132" s="12" t="str">
        <f t="shared" si="282"/>
        <v/>
      </c>
      <c r="AP1132" s="12" t="str">
        <f t="shared" si="283"/>
        <v/>
      </c>
      <c r="AQ1132" s="64" t="str">
        <f t="shared" si="274"/>
        <v/>
      </c>
      <c r="AS1132" s="12">
        <f t="shared" si="275"/>
        <v>0</v>
      </c>
      <c r="AT1132" t="s">
        <v>5945</v>
      </c>
    </row>
    <row r="1133" spans="1:46" hidden="1" x14ac:dyDescent="0.25">
      <c r="A1133" s="41">
        <f>CASOPOInvCL!T1133</f>
        <v>1</v>
      </c>
      <c r="B1133" t="str">
        <f>CASOPOInvCL!Z1133</f>
        <v>SO18135</v>
      </c>
      <c r="G1133" s="5" t="str">
        <f>CASOPOInvCL!I1133</f>
        <v>Ian Trottier</v>
      </c>
      <c r="H1133" s="31">
        <f>CASOPOInvCL!U1133</f>
        <v>10</v>
      </c>
      <c r="I1133" s="31">
        <f>CASOPOInvCL!V1133</f>
        <v>2025</v>
      </c>
      <c r="J1133" s="5" t="str">
        <f>CASOPOInvCL!AB1133</f>
        <v>INV13589</v>
      </c>
      <c r="K1133" s="31" t="str">
        <f>CASOPOInvCL!W1133</f>
        <v/>
      </c>
      <c r="L1133" s="31" t="str">
        <f>CASOPOInvCL!X1133</f>
        <v/>
      </c>
      <c r="M1133" t="s">
        <v>5945</v>
      </c>
      <c r="N1133" s="5" t="str">
        <f>CASOPOInvCL!AF1133</f>
        <v>PT Vale Indonesia Tbk.</v>
      </c>
      <c r="O1133" s="16" t="str">
        <f>CASOPOInvCL!AG1133</f>
        <v>USD</v>
      </c>
      <c r="P1133" s="16">
        <f>CASOPOInvCL!AH1133</f>
        <v>2061.3481474310302</v>
      </c>
      <c r="Q1133" s="16">
        <f>CASOPOInvCL!AI1133</f>
        <v>1478.95</v>
      </c>
      <c r="R1133" s="32" t="str">
        <f>CASOPOInvCL!AU1133</f>
        <v/>
      </c>
      <c r="S1133" s="16">
        <f>CASOPOInvCL!AV1133</f>
        <v>0</v>
      </c>
      <c r="T1133" s="16">
        <f>CASOPOInvCL!AW1133</f>
        <v>0</v>
      </c>
      <c r="Y1133" s="29" t="str">
        <f>IFERROR(HLOOKUP(U1133,List!$D$2:$H$6,2,FALSE),"")</f>
        <v/>
      </c>
      <c r="Z1133" s="29" t="str">
        <f>IFERROR(HLOOKUP(V1133,List!$D$2:$H$6,3,FALSE),"")</f>
        <v/>
      </c>
      <c r="AA1133" s="29" t="str">
        <f>IFERROR(HLOOKUP(W1133,List!$D$2:$H$6,4,FALSE),"")</f>
        <v/>
      </c>
      <c r="AB1133" s="29" t="str">
        <f>IFERROR(HLOOKUP(X1133,List!$D$2:$H$6,5,FALSE),"")</f>
        <v/>
      </c>
      <c r="AC1133" s="12" t="str">
        <f t="shared" si="276"/>
        <v/>
      </c>
      <c r="AD1133" s="12" t="str">
        <f t="shared" si="277"/>
        <v/>
      </c>
      <c r="AE1133" s="12" t="str">
        <f t="shared" si="278"/>
        <v/>
      </c>
      <c r="AF1133" s="12" t="str">
        <f t="shared" si="279"/>
        <v/>
      </c>
      <c r="AG1133" t="str">
        <f>VLOOKUP(J1133,'Receivable Invoice Detail'!$A$1:F4145,6,FALSE)</f>
        <v>[AC-98-431-651-501] Impeller (Closed), 8x6-18 SRL-C, Natural Rubber</v>
      </c>
      <c r="AM1133" s="12" t="str">
        <f t="shared" si="280"/>
        <v/>
      </c>
      <c r="AN1133" s="12" t="str">
        <f t="shared" si="281"/>
        <v/>
      </c>
      <c r="AO1133" s="12" t="str">
        <f t="shared" si="282"/>
        <v/>
      </c>
      <c r="AP1133" s="12" t="str">
        <f t="shared" si="283"/>
        <v/>
      </c>
      <c r="AQ1133" s="64" t="str">
        <f t="shared" si="274"/>
        <v/>
      </c>
      <c r="AS1133" s="12">
        <f t="shared" si="275"/>
        <v>18.540253248889254</v>
      </c>
      <c r="AT1133" t="s">
        <v>5945</v>
      </c>
    </row>
    <row r="1134" spans="1:46" hidden="1" x14ac:dyDescent="0.25">
      <c r="A1134" s="41">
        <f>CASOPOInvCL!T1134</f>
        <v>1</v>
      </c>
      <c r="B1134" t="str">
        <f>CASOPOInvCL!Z1134</f>
        <v>SO18136</v>
      </c>
      <c r="G1134" s="5" t="str">
        <f>CASOPOInvCL!I1134</f>
        <v>Alexis Gil Lamadrid</v>
      </c>
      <c r="H1134" s="31">
        <f>CASOPOInvCL!U1134</f>
        <v>10</v>
      </c>
      <c r="I1134" s="31">
        <f>CASOPOInvCL!V1134</f>
        <v>2025</v>
      </c>
      <c r="J1134" s="5" t="str">
        <f>CASOPOInvCL!AB1134</f>
        <v>INV13735</v>
      </c>
      <c r="K1134" s="31" t="str">
        <f>CASOPOInvCL!W1134</f>
        <v/>
      </c>
      <c r="L1134" s="31" t="str">
        <f>CASOPOInvCL!X1134</f>
        <v/>
      </c>
      <c r="M1134" t="s">
        <v>5945</v>
      </c>
      <c r="N1134" s="5" t="str">
        <f>CASOPOInvCL!AF1134</f>
        <v>Canadian Industrial Pumps Ltd</v>
      </c>
      <c r="O1134" s="16" t="str">
        <f>CASOPOInvCL!AG1134</f>
        <v>CAD</v>
      </c>
      <c r="P1134" s="16">
        <f>CASOPOInvCL!AH1134</f>
        <v>1449.56</v>
      </c>
      <c r="Q1134" s="16">
        <f>CASOPOInvCL!AI1134</f>
        <v>1043.1884421111026</v>
      </c>
      <c r="R1134" s="32" t="str">
        <f>CASOPOInvCL!AU1134</f>
        <v/>
      </c>
      <c r="S1134" s="16">
        <f>CASOPOInvCL!AV1134</f>
        <v>0</v>
      </c>
      <c r="T1134" s="16">
        <f>CASOPOInvCL!AW1134</f>
        <v>0</v>
      </c>
      <c r="Y1134" s="29" t="str">
        <f>IFERROR(HLOOKUP(U1134,List!$D$2:$H$6,2,FALSE),"")</f>
        <v/>
      </c>
      <c r="Z1134" s="29" t="str">
        <f>IFERROR(HLOOKUP(V1134,List!$D$2:$H$6,3,FALSE),"")</f>
        <v/>
      </c>
      <c r="AA1134" s="29" t="str">
        <f>IFERROR(HLOOKUP(W1134,List!$D$2:$H$6,4,FALSE),"")</f>
        <v/>
      </c>
      <c r="AB1134" s="29" t="str">
        <f>IFERROR(HLOOKUP(X1134,List!$D$2:$H$6,5,FALSE),"")</f>
        <v/>
      </c>
      <c r="AC1134" s="12" t="str">
        <f t="shared" si="276"/>
        <v/>
      </c>
      <c r="AD1134" s="12" t="str">
        <f t="shared" si="277"/>
        <v/>
      </c>
      <c r="AE1134" s="12" t="str">
        <f t="shared" si="278"/>
        <v/>
      </c>
      <c r="AF1134" s="12" t="str">
        <f t="shared" si="279"/>
        <v/>
      </c>
      <c r="AG1134" t="str">
        <f>VLOOKUP(J1134,'Receivable Invoice Detail'!$A$1:F4146,6,FALSE)</f>
        <v>[AC-98-211-426-501] Impeller, 2x2-10 SRL, Natural Rubber</v>
      </c>
      <c r="AM1134" s="12" t="str">
        <f t="shared" si="280"/>
        <v/>
      </c>
      <c r="AN1134" s="12" t="str">
        <f t="shared" si="281"/>
        <v/>
      </c>
      <c r="AO1134" s="12" t="str">
        <f t="shared" si="282"/>
        <v/>
      </c>
      <c r="AP1134" s="12" t="str">
        <f t="shared" si="283"/>
        <v/>
      </c>
      <c r="AQ1134" s="64" t="str">
        <f t="shared" si="274"/>
        <v/>
      </c>
      <c r="AS1134" s="12">
        <f t="shared" si="275"/>
        <v>0</v>
      </c>
      <c r="AT1134" t="s">
        <v>5945</v>
      </c>
    </row>
    <row r="1135" spans="1:46" hidden="1" x14ac:dyDescent="0.25">
      <c r="A1135" s="41">
        <f>CASOPOInvCL!T1135</f>
        <v>1</v>
      </c>
      <c r="B1135" t="str">
        <f>CASOPOInvCL!Z1135</f>
        <v>SO18137</v>
      </c>
      <c r="D1135" t="s">
        <v>5915</v>
      </c>
      <c r="G1135" s="5" t="str">
        <f>CASOPOInvCL!I1135</f>
        <v>Wilka Nuñez</v>
      </c>
      <c r="H1135" s="31">
        <f>CASOPOInvCL!U1135</f>
        <v>10</v>
      </c>
      <c r="I1135" s="31">
        <f>CASOPOInvCL!V1135</f>
        <v>2025</v>
      </c>
      <c r="J1135" s="5" t="str">
        <f>CASOPOInvCL!AB1135</f>
        <v>INV13642</v>
      </c>
      <c r="K1135" s="31">
        <f>CASOPOInvCL!W1135</f>
        <v>1</v>
      </c>
      <c r="L1135" s="31">
        <f>CASOPOInvCL!X1135</f>
        <v>2026</v>
      </c>
      <c r="M1135">
        <v>2601</v>
      </c>
      <c r="N1135" s="5" t="str">
        <f>CASOPOInvCL!AF1135</f>
        <v>Barrick Gold - Pueblo Viejo Dominicana Corporation</v>
      </c>
      <c r="O1135" s="16" t="str">
        <f>CASOPOInvCL!AG1135</f>
        <v>USD</v>
      </c>
      <c r="P1135" s="16">
        <f>CASOPOInvCL!AH1135</f>
        <v>24780.068267946899</v>
      </c>
      <c r="Q1135" s="16">
        <f>CASOPOInvCL!AI1135</f>
        <v>17778.89</v>
      </c>
      <c r="R1135" s="32" t="str">
        <f>CASOPOInvCL!AU1135</f>
        <v>Yes</v>
      </c>
      <c r="S1135" s="16">
        <f>CASOPOInvCL!AV1135</f>
        <v>0</v>
      </c>
      <c r="T1135" s="16">
        <f>CASOPOInvCL!AW1135</f>
        <v>17778.89</v>
      </c>
      <c r="V1135" t="s">
        <v>5803</v>
      </c>
      <c r="Y1135" s="29" t="str">
        <f>IFERROR(HLOOKUP(U1135,List!$D$2:$H$6,2,FALSE),"")</f>
        <v/>
      </c>
      <c r="Z1135" s="29">
        <f>IFERROR(HLOOKUP(V1135,List!$D$2:$H$6,3,FALSE),"")</f>
        <v>0</v>
      </c>
      <c r="AA1135" s="29" t="str">
        <f>IFERROR(HLOOKUP(W1135,List!$D$2:$H$6,4,FALSE),"")</f>
        <v/>
      </c>
      <c r="AB1135" s="29" t="str">
        <f>IFERROR(HLOOKUP(X1135,List!$D$2:$H$6,5,FALSE),"")</f>
        <v/>
      </c>
      <c r="AC1135" s="12" t="str">
        <f t="shared" si="276"/>
        <v/>
      </c>
      <c r="AD1135" s="12">
        <f t="shared" si="277"/>
        <v>0</v>
      </c>
      <c r="AE1135" s="12" t="str">
        <f t="shared" si="278"/>
        <v/>
      </c>
      <c r="AF1135" s="12" t="str">
        <f t="shared" si="279"/>
        <v/>
      </c>
      <c r="AG1135" t="str">
        <f>VLOOKUP(J1135,'Receivable Invoice Detail'!$A$1:F4147,6,FALSE)</f>
        <v>[D-500S-35-IMP-CD4] Impeller, 500S-35, CD4MCu</v>
      </c>
      <c r="AM1135" s="12" t="str">
        <f t="shared" si="280"/>
        <v/>
      </c>
      <c r="AN1135" s="12">
        <f t="shared" si="281"/>
        <v>0</v>
      </c>
      <c r="AO1135" s="12" t="str">
        <f t="shared" si="282"/>
        <v/>
      </c>
      <c r="AP1135" s="12" t="str">
        <f t="shared" si="283"/>
        <v/>
      </c>
      <c r="AQ1135" s="64">
        <f t="shared" si="274"/>
        <v>2601</v>
      </c>
      <c r="AR1135" t="s">
        <v>5933</v>
      </c>
      <c r="AS1135" s="12">
        <f t="shared" si="275"/>
        <v>0</v>
      </c>
      <c r="AT1135" t="s">
        <v>5945</v>
      </c>
    </row>
    <row r="1136" spans="1:46" hidden="1" x14ac:dyDescent="0.25">
      <c r="A1136" s="41">
        <f>CASOPOInvCL!T1136</f>
        <v>1</v>
      </c>
      <c r="B1136" t="str">
        <f>CASOPOInvCL!Z1136</f>
        <v>SO18138</v>
      </c>
      <c r="G1136" s="5" t="str">
        <f>CASOPOInvCL!I1136</f>
        <v>Aleksandar Stankovic</v>
      </c>
      <c r="H1136" s="31">
        <f>CASOPOInvCL!U1136</f>
        <v>10</v>
      </c>
      <c r="I1136" s="31">
        <f>CASOPOInvCL!V1136</f>
        <v>2025</v>
      </c>
      <c r="J1136" s="5" t="str">
        <f>CASOPOInvCL!AB1136</f>
        <v>INV13618</v>
      </c>
      <c r="K1136" s="31">
        <f>CASOPOInvCL!W1136</f>
        <v>12</v>
      </c>
      <c r="L1136" s="31">
        <f>CASOPOInvCL!X1136</f>
        <v>2025</v>
      </c>
      <c r="M1136" t="s">
        <v>5945</v>
      </c>
      <c r="N1136" s="5" t="str">
        <f>CASOPOInvCL!AF1136</f>
        <v>Canadian Bearings Ltd.</v>
      </c>
      <c r="O1136" s="16" t="str">
        <f>CASOPOInvCL!AG1136</f>
        <v>CAD</v>
      </c>
      <c r="P1136" s="16">
        <f>CASOPOInvCL!AH1136</f>
        <v>968</v>
      </c>
      <c r="Q1136" s="16">
        <f>CASOPOInvCL!AI1136</f>
        <v>692.33153481131762</v>
      </c>
      <c r="R1136" s="32" t="str">
        <f>CASOPOInvCL!AU1136</f>
        <v>Yes</v>
      </c>
      <c r="S1136" s="16">
        <f>CASOPOInvCL!AV1136</f>
        <v>0</v>
      </c>
      <c r="T1136" s="16">
        <f>CASOPOInvCL!AW1136</f>
        <v>692.33153481131762</v>
      </c>
      <c r="Y1136" s="29" t="str">
        <f>IFERROR(HLOOKUP(U1136,List!$D$2:$H$6,2,FALSE),"")</f>
        <v/>
      </c>
      <c r="Z1136" s="29" t="str">
        <f>IFERROR(HLOOKUP(V1136,List!$D$2:$H$6,3,FALSE),"")</f>
        <v/>
      </c>
      <c r="AA1136" s="29" t="str">
        <f>IFERROR(HLOOKUP(W1136,List!$D$2:$H$6,4,FALSE),"")</f>
        <v/>
      </c>
      <c r="AB1136" s="29" t="str">
        <f>IFERROR(HLOOKUP(X1136,List!$D$2:$H$6,5,FALSE),"")</f>
        <v/>
      </c>
      <c r="AC1136" s="12" t="str">
        <f t="shared" si="276"/>
        <v/>
      </c>
      <c r="AD1136" s="12" t="str">
        <f t="shared" si="277"/>
        <v/>
      </c>
      <c r="AE1136" s="12" t="str">
        <f t="shared" si="278"/>
        <v/>
      </c>
      <c r="AF1136" s="12" t="str">
        <f t="shared" si="279"/>
        <v/>
      </c>
      <c r="AG1136" t="str">
        <f>VLOOKUP(J1136,'Receivable Invoice Detail'!$A$1:F4148,6,FALSE)</f>
        <v>[AC-98-130-367-001] Shaft Sleeve, PWO Frame 2, 316SS</v>
      </c>
      <c r="AM1136" s="12" t="str">
        <f t="shared" si="280"/>
        <v/>
      </c>
      <c r="AN1136" s="12" t="str">
        <f t="shared" si="281"/>
        <v/>
      </c>
      <c r="AO1136" s="12" t="str">
        <f t="shared" si="282"/>
        <v/>
      </c>
      <c r="AP1136" s="12" t="str">
        <f t="shared" si="283"/>
        <v/>
      </c>
      <c r="AQ1136" s="64" t="str">
        <f t="shared" si="274"/>
        <v/>
      </c>
      <c r="AR1136" t="s">
        <v>5943</v>
      </c>
      <c r="AS1136" s="12">
        <f t="shared" si="275"/>
        <v>0</v>
      </c>
      <c r="AT1136" t="s">
        <v>5945</v>
      </c>
    </row>
    <row r="1137" spans="1:46" hidden="1" x14ac:dyDescent="0.25">
      <c r="A1137" s="41">
        <f>CASOPOInvCL!T1137</f>
        <v>1</v>
      </c>
      <c r="B1137" t="str">
        <f>CASOPOInvCL!Z1137</f>
        <v>SO18140</v>
      </c>
      <c r="G1137" s="5" t="str">
        <f>CASOPOInvCL!I1137</f>
        <v>Ian Trottier</v>
      </c>
      <c r="H1137" s="31">
        <f>CASOPOInvCL!U1137</f>
        <v>10</v>
      </c>
      <c r="I1137" s="31">
        <f>CASOPOInvCL!V1137</f>
        <v>2025</v>
      </c>
      <c r="J1137" s="5" t="str">
        <f>CASOPOInvCL!AB1137</f>
        <v>INV13617</v>
      </c>
      <c r="K1137" s="31">
        <f>CASOPOInvCL!W1137</f>
        <v>12</v>
      </c>
      <c r="L1137" s="31">
        <f>CASOPOInvCL!X1137</f>
        <v>2025</v>
      </c>
      <c r="M1137" t="s">
        <v>5945</v>
      </c>
      <c r="N1137" s="5" t="str">
        <f>CASOPOInvCL!AF1137</f>
        <v>Canadian Bearings Ltd.</v>
      </c>
      <c r="O1137" s="16" t="str">
        <f>CASOPOInvCL!AG1137</f>
        <v>CAD</v>
      </c>
      <c r="P1137" s="16">
        <f>CASOPOInvCL!AH1137</f>
        <v>540.70000000000005</v>
      </c>
      <c r="Q1137" s="16">
        <f>CASOPOInvCL!AI1137</f>
        <v>385.88726838068209</v>
      </c>
      <c r="R1137" s="32" t="str">
        <f>CASOPOInvCL!AU1137</f>
        <v>Yes</v>
      </c>
      <c r="S1137" s="16">
        <f>CASOPOInvCL!AV1137</f>
        <v>0</v>
      </c>
      <c r="T1137" s="16">
        <f>CASOPOInvCL!AW1137</f>
        <v>385.88726838068209</v>
      </c>
      <c r="Y1137" s="29" t="str">
        <f>IFERROR(HLOOKUP(U1137,List!$D$2:$H$6,2,FALSE),"")</f>
        <v/>
      </c>
      <c r="Z1137" s="29" t="str">
        <f>IFERROR(HLOOKUP(V1137,List!$D$2:$H$6,3,FALSE),"")</f>
        <v/>
      </c>
      <c r="AA1137" s="29" t="str">
        <f>IFERROR(HLOOKUP(W1137,List!$D$2:$H$6,4,FALSE),"")</f>
        <v/>
      </c>
      <c r="AB1137" s="29" t="str">
        <f>IFERROR(HLOOKUP(X1137,List!$D$2:$H$6,5,FALSE),"")</f>
        <v/>
      </c>
      <c r="AC1137" s="12" t="str">
        <f t="shared" si="276"/>
        <v/>
      </c>
      <c r="AD1137" s="12" t="str">
        <f t="shared" si="277"/>
        <v/>
      </c>
      <c r="AE1137" s="12" t="str">
        <f t="shared" si="278"/>
        <v/>
      </c>
      <c r="AF1137" s="12" t="str">
        <f t="shared" si="279"/>
        <v/>
      </c>
      <c r="AG1137" t="str">
        <f>VLOOKUP(J1137,'Receivable Invoice Detail'!$A$1:F4149,6,FALSE)</f>
        <v>[AC-98-232-857-801] Shim Set, A-C PWO-C Group 1, Plastic</v>
      </c>
      <c r="AM1137" s="12" t="str">
        <f t="shared" si="280"/>
        <v/>
      </c>
      <c r="AN1137" s="12" t="str">
        <f t="shared" si="281"/>
        <v/>
      </c>
      <c r="AO1137" s="12" t="str">
        <f t="shared" si="282"/>
        <v/>
      </c>
      <c r="AP1137" s="12" t="str">
        <f t="shared" si="283"/>
        <v/>
      </c>
      <c r="AQ1137" s="64" t="str">
        <f t="shared" si="274"/>
        <v/>
      </c>
      <c r="AS1137" s="12">
        <f t="shared" si="275"/>
        <v>0</v>
      </c>
      <c r="AT1137" t="s">
        <v>5945</v>
      </c>
    </row>
    <row r="1138" spans="1:46" hidden="1" x14ac:dyDescent="0.25">
      <c r="A1138" s="41">
        <f>CASOPOInvCL!T1138</f>
        <v>1</v>
      </c>
      <c r="B1138" t="str">
        <f>CASOPOInvCL!Z1138</f>
        <v>SO18142</v>
      </c>
      <c r="G1138" s="5" t="str">
        <f>CASOPOInvCL!I1138</f>
        <v>Alexis Gil Lamadrid</v>
      </c>
      <c r="H1138" s="31">
        <f>CASOPOInvCL!U1138</f>
        <v>10</v>
      </c>
      <c r="I1138" s="31">
        <f>CASOPOInvCL!V1138</f>
        <v>2025</v>
      </c>
      <c r="J1138" s="5" t="str">
        <f>CASOPOInvCL!AB1138</f>
        <v>INV13601</v>
      </c>
      <c r="K1138" s="31">
        <f>CASOPOInvCL!W1138</f>
        <v>12</v>
      </c>
      <c r="L1138" s="31">
        <f>CASOPOInvCL!X1138</f>
        <v>2025</v>
      </c>
      <c r="M1138">
        <v>2504</v>
      </c>
      <c r="N1138" s="5" t="str">
        <f>CASOPOInvCL!AF1138</f>
        <v>Motion Industries Inc. (Canada) - Prince George</v>
      </c>
      <c r="O1138" s="16" t="str">
        <f>CASOPOInvCL!AG1138</f>
        <v>CAD</v>
      </c>
      <c r="P1138" s="16">
        <f>CASOPOInvCL!AH1138</f>
        <v>5100.38</v>
      </c>
      <c r="Q1138" s="16">
        <f>CASOPOInvCL!AI1138</f>
        <v>3647.7409562281537</v>
      </c>
      <c r="R1138" s="32" t="str">
        <f>CASOPOInvCL!AU1138</f>
        <v>Yes</v>
      </c>
      <c r="S1138" s="16">
        <f>CASOPOInvCL!AV1138</f>
        <v>0</v>
      </c>
      <c r="T1138" s="16">
        <f>CASOPOInvCL!AW1138</f>
        <v>3647.7409562281537</v>
      </c>
      <c r="Y1138" s="29" t="str">
        <f>IFERROR(HLOOKUP(U1138,List!$D$2:$H$6,2,FALSE),"")</f>
        <v/>
      </c>
      <c r="Z1138" s="29" t="str">
        <f>IFERROR(HLOOKUP(V1138,List!$D$2:$H$6,3,FALSE),"")</f>
        <v/>
      </c>
      <c r="AA1138" s="29" t="str">
        <f>IFERROR(HLOOKUP(W1138,List!$D$2:$H$6,4,FALSE),"")</f>
        <v/>
      </c>
      <c r="AB1138" s="29" t="str">
        <f>IFERROR(HLOOKUP(X1138,List!$D$2:$H$6,5,FALSE),"")</f>
        <v/>
      </c>
      <c r="AC1138" s="12" t="str">
        <f t="shared" si="276"/>
        <v/>
      </c>
      <c r="AD1138" s="12" t="str">
        <f t="shared" si="277"/>
        <v/>
      </c>
      <c r="AE1138" s="12" t="str">
        <f t="shared" si="278"/>
        <v/>
      </c>
      <c r="AF1138" s="12" t="str">
        <f t="shared" si="279"/>
        <v/>
      </c>
      <c r="AG1138" t="str">
        <f>VLOOKUP(J1138,'Receivable Invoice Detail'!$A$1:F4150,6,FALSE)</f>
        <v>[W-U111-TEFKVSC-PIECE] Premium Slurry Packing (Single Piece), 20/18 U-AH, PTFE Lubricated Kevlar w/Silicon Core</v>
      </c>
      <c r="AM1138" s="12" t="str">
        <f t="shared" si="280"/>
        <v/>
      </c>
      <c r="AN1138" s="12" t="str">
        <f t="shared" si="281"/>
        <v/>
      </c>
      <c r="AO1138" s="12" t="str">
        <f t="shared" si="282"/>
        <v/>
      </c>
      <c r="AP1138" s="12" t="str">
        <f t="shared" si="283"/>
        <v/>
      </c>
      <c r="AQ1138" s="64">
        <f t="shared" si="274"/>
        <v>2504</v>
      </c>
      <c r="AR1138" t="s">
        <v>5931</v>
      </c>
      <c r="AS1138" s="12">
        <f t="shared" si="275"/>
        <v>0</v>
      </c>
      <c r="AT1138" t="s">
        <v>4388</v>
      </c>
    </row>
    <row r="1139" spans="1:46" hidden="1" x14ac:dyDescent="0.25">
      <c r="A1139" s="41">
        <f>CASOPOInvCL!T1139</f>
        <v>1</v>
      </c>
      <c r="B1139" t="str">
        <f>CASOPOInvCL!Z1139</f>
        <v>SO18143</v>
      </c>
      <c r="G1139" s="5" t="str">
        <f>CASOPOInvCL!I1139</f>
        <v>Alexis Gil Lamadrid</v>
      </c>
      <c r="H1139" s="31">
        <f>CASOPOInvCL!U1139</f>
        <v>10</v>
      </c>
      <c r="I1139" s="31">
        <f>CASOPOInvCL!V1139</f>
        <v>2025</v>
      </c>
      <c r="J1139" s="5" t="str">
        <f>CASOPOInvCL!AB1139</f>
        <v>INV13600</v>
      </c>
      <c r="K1139" s="31">
        <f>CASOPOInvCL!W1139</f>
        <v>1</v>
      </c>
      <c r="L1139" s="31">
        <f>CASOPOInvCL!X1139</f>
        <v>2026</v>
      </c>
      <c r="M1139" t="s">
        <v>5945</v>
      </c>
      <c r="N1139" s="5" t="str">
        <f>CASOPOInvCL!AF1139</f>
        <v>Resolute Forest Products - Saint-Felicien</v>
      </c>
      <c r="O1139" s="16" t="str">
        <f>CASOPOInvCL!AG1139</f>
        <v>CAD</v>
      </c>
      <c r="P1139" s="16">
        <f>CASOPOInvCL!AH1139</f>
        <v>475.48</v>
      </c>
      <c r="Q1139" s="16">
        <f>CASOPOInvCL!AI1139</f>
        <v>339.34099938902671</v>
      </c>
      <c r="R1139" s="32" t="str">
        <f>CASOPOInvCL!AU1139</f>
        <v>Yes</v>
      </c>
      <c r="S1139" s="16">
        <f>CASOPOInvCL!AV1139</f>
        <v>0</v>
      </c>
      <c r="T1139" s="16">
        <f>CASOPOInvCL!AW1139</f>
        <v>339.34099938902671</v>
      </c>
      <c r="Y1139" s="29" t="str">
        <f>IFERROR(HLOOKUP(U1139,List!$D$2:$H$6,2,FALSE),"")</f>
        <v/>
      </c>
      <c r="Z1139" s="29" t="str">
        <f>IFERROR(HLOOKUP(V1139,List!$D$2:$H$6,3,FALSE),"")</f>
        <v/>
      </c>
      <c r="AA1139" s="29" t="str">
        <f>IFERROR(HLOOKUP(W1139,List!$D$2:$H$6,4,FALSE),"")</f>
        <v/>
      </c>
      <c r="AB1139" s="29" t="str">
        <f>IFERROR(HLOOKUP(X1139,List!$D$2:$H$6,5,FALSE),"")</f>
        <v/>
      </c>
      <c r="AC1139" s="12" t="str">
        <f t="shared" si="276"/>
        <v/>
      </c>
      <c r="AD1139" s="12" t="str">
        <f t="shared" si="277"/>
        <v/>
      </c>
      <c r="AE1139" s="12" t="str">
        <f t="shared" si="278"/>
        <v/>
      </c>
      <c r="AF1139" s="12" t="str">
        <f t="shared" si="279"/>
        <v/>
      </c>
      <c r="AG1139" t="str">
        <f>VLOOKUP(J1139,'Receivable Invoice Detail'!$A$1:F4151,6,FALSE)</f>
        <v>[AC-52-430-298-007] Seal Cage (Lantern Ring), Allis Chalmers PWO, Group 3</v>
      </c>
      <c r="AM1139" s="12" t="str">
        <f t="shared" si="280"/>
        <v/>
      </c>
      <c r="AN1139" s="12" t="str">
        <f t="shared" si="281"/>
        <v/>
      </c>
      <c r="AO1139" s="12" t="str">
        <f t="shared" si="282"/>
        <v/>
      </c>
      <c r="AP1139" s="12" t="str">
        <f t="shared" si="283"/>
        <v/>
      </c>
      <c r="AQ1139" s="64" t="str">
        <f t="shared" si="274"/>
        <v/>
      </c>
      <c r="AS1139" s="12">
        <f t="shared" si="275"/>
        <v>0</v>
      </c>
      <c r="AT1139" t="s">
        <v>5945</v>
      </c>
    </row>
    <row r="1140" spans="1:46" hidden="1" x14ac:dyDescent="0.25">
      <c r="A1140" s="41">
        <f>CASOPOInvCL!T1140</f>
        <v>1</v>
      </c>
      <c r="B1140" t="str">
        <f>CASOPOInvCL!Z1140</f>
        <v>SO18145</v>
      </c>
      <c r="G1140" s="5" t="str">
        <f>CASOPOInvCL!I1140</f>
        <v>Aleksandar Stankovic</v>
      </c>
      <c r="H1140" s="31">
        <f>CASOPOInvCL!U1140</f>
        <v>10</v>
      </c>
      <c r="I1140" s="31">
        <f>CASOPOInvCL!V1140</f>
        <v>2025</v>
      </c>
      <c r="J1140" s="5" t="str">
        <f>CASOPOInvCL!AB1140</f>
        <v>INV13607</v>
      </c>
      <c r="K1140" s="31" t="str">
        <f>CASOPOInvCL!W1140</f>
        <v/>
      </c>
      <c r="L1140" s="31" t="str">
        <f>CASOPOInvCL!X1140</f>
        <v/>
      </c>
      <c r="M1140" t="s">
        <v>5945</v>
      </c>
      <c r="N1140" s="5" t="str">
        <f>CASOPOInvCL!AF1140</f>
        <v>Sealtrac Inc.</v>
      </c>
      <c r="O1140" s="16" t="str">
        <f>CASOPOInvCL!AG1140</f>
        <v>CAD</v>
      </c>
      <c r="P1140" s="16">
        <f>CASOPOInvCL!AH1140</f>
        <v>795.76</v>
      </c>
      <c r="Q1140" s="16">
        <f>CASOPOInvCL!AI1140</f>
        <v>569.11962311202603</v>
      </c>
      <c r="R1140" s="32" t="str">
        <f>CASOPOInvCL!AU1140</f>
        <v/>
      </c>
      <c r="S1140" s="16">
        <f>CASOPOInvCL!AV1140</f>
        <v>0</v>
      </c>
      <c r="T1140" s="16">
        <f>CASOPOInvCL!AW1140</f>
        <v>0</v>
      </c>
      <c r="Y1140" s="29" t="str">
        <f>IFERROR(HLOOKUP(U1140,List!$D$2:$H$6,2,FALSE),"")</f>
        <v/>
      </c>
      <c r="Z1140" s="29" t="str">
        <f>IFERROR(HLOOKUP(V1140,List!$D$2:$H$6,3,FALSE),"")</f>
        <v/>
      </c>
      <c r="AA1140" s="29" t="str">
        <f>IFERROR(HLOOKUP(W1140,List!$D$2:$H$6,4,FALSE),"")</f>
        <v/>
      </c>
      <c r="AB1140" s="29" t="str">
        <f>IFERROR(HLOOKUP(X1140,List!$D$2:$H$6,5,FALSE),"")</f>
        <v/>
      </c>
      <c r="AC1140" s="12" t="str">
        <f t="shared" si="276"/>
        <v/>
      </c>
      <c r="AD1140" s="12" t="str">
        <f t="shared" si="277"/>
        <v/>
      </c>
      <c r="AE1140" s="12" t="str">
        <f t="shared" si="278"/>
        <v/>
      </c>
      <c r="AF1140" s="12" t="str">
        <f t="shared" si="279"/>
        <v/>
      </c>
      <c r="AG1140" t="str">
        <f>VLOOKUP(J1140,'Receivable Invoice Detail'!$A$1:F4152,6,FALSE)</f>
        <v>[G-R104-733 2238] Shaft (Sleeve Type), 3196 MTX, 4140</v>
      </c>
      <c r="AM1140" s="12" t="str">
        <f t="shared" si="280"/>
        <v/>
      </c>
      <c r="AN1140" s="12" t="str">
        <f t="shared" si="281"/>
        <v/>
      </c>
      <c r="AO1140" s="12" t="str">
        <f t="shared" si="282"/>
        <v/>
      </c>
      <c r="AP1140" s="12" t="str">
        <f t="shared" si="283"/>
        <v/>
      </c>
      <c r="AQ1140" s="64" t="str">
        <f t="shared" si="274"/>
        <v/>
      </c>
      <c r="AR1140" t="s">
        <v>5943</v>
      </c>
      <c r="AS1140" s="12">
        <f t="shared" si="275"/>
        <v>0</v>
      </c>
      <c r="AT1140" t="s">
        <v>5945</v>
      </c>
    </row>
    <row r="1141" spans="1:46" hidden="1" x14ac:dyDescent="0.25">
      <c r="A1141" s="41">
        <f>CASOPOInvCL!T1141</f>
        <v>0</v>
      </c>
      <c r="B1141" t="str">
        <f>CASOPOInvCL!Z1141</f>
        <v>SO18150</v>
      </c>
      <c r="D1141" t="s">
        <v>5915</v>
      </c>
      <c r="E1141" t="s">
        <v>5848</v>
      </c>
      <c r="G1141" s="5" t="str">
        <f>CASOPOInvCL!I1141</f>
        <v>Wilka Nuñez</v>
      </c>
      <c r="H1141" s="31">
        <f>CASOPOInvCL!U1141</f>
        <v>10</v>
      </c>
      <c r="I1141" s="31">
        <f>CASOPOInvCL!V1141</f>
        <v>2025</v>
      </c>
      <c r="J1141" s="5" t="str">
        <f>CASOPOInvCL!AB1141</f>
        <v>No Inv</v>
      </c>
      <c r="K1141" s="31" t="str">
        <f>CASOPOInvCL!W1141</f>
        <v/>
      </c>
      <c r="L1141" s="31" t="str">
        <f>CASOPOInvCL!X1141</f>
        <v/>
      </c>
      <c r="M1141" t="s">
        <v>5945</v>
      </c>
      <c r="N1141" s="5" t="str">
        <f>CASOPOInvCL!AF1141</f>
        <v>AGREGATEC, SRL</v>
      </c>
      <c r="O1141" s="16" t="str">
        <f>CASOPOInvCL!AG1141</f>
        <v>USD</v>
      </c>
      <c r="P1141" s="16">
        <f>CASOPOInvCL!AH1141</f>
        <v>11948.755029194663</v>
      </c>
      <c r="Q1141" s="16">
        <f>CASOPOInvCL!AI1141</f>
        <v>8467</v>
      </c>
      <c r="R1141" s="32" t="str">
        <f>CASOPOInvCL!AU1141</f>
        <v/>
      </c>
      <c r="S1141" s="16">
        <f>CASOPOInvCL!AV1141</f>
        <v>0</v>
      </c>
      <c r="T1141" s="16">
        <f>CASOPOInvCL!AW1141</f>
        <v>0</v>
      </c>
      <c r="Y1141" s="29" t="str">
        <f>IFERROR(HLOOKUP(U1141,List!$D$2:$H$6,2,FALSE),"")</f>
        <v/>
      </c>
      <c r="Z1141" s="29" t="str">
        <f>IFERROR(HLOOKUP(V1141,List!$D$2:$H$6,3,FALSE),"")</f>
        <v/>
      </c>
      <c r="AA1141" s="29" t="str">
        <f>IFERROR(HLOOKUP(W1141,List!$D$2:$H$6,4,FALSE),"")</f>
        <v/>
      </c>
      <c r="AB1141" s="29" t="str">
        <f>IFERROR(HLOOKUP(X1141,List!$D$2:$H$6,5,FALSE),"")</f>
        <v/>
      </c>
      <c r="AC1141" s="12" t="str">
        <f t="shared" si="276"/>
        <v/>
      </c>
      <c r="AD1141" s="12" t="str">
        <f t="shared" si="277"/>
        <v/>
      </c>
      <c r="AE1141" s="12" t="str">
        <f t="shared" si="278"/>
        <v/>
      </c>
      <c r="AF1141" s="12" t="str">
        <f t="shared" si="279"/>
        <v/>
      </c>
      <c r="AG1141" t="e">
        <f>VLOOKUP(J1141,'Receivable Invoice Detail'!$A$1:F4153,6,FALSE)</f>
        <v>#N/A</v>
      </c>
      <c r="AM1141" s="12" t="str">
        <f t="shared" si="280"/>
        <v/>
      </c>
      <c r="AN1141" s="12" t="str">
        <f t="shared" si="281"/>
        <v/>
      </c>
      <c r="AO1141" s="12" t="str">
        <f t="shared" si="282"/>
        <v/>
      </c>
      <c r="AP1141" s="12" t="str">
        <f t="shared" si="283"/>
        <v/>
      </c>
      <c r="AQ1141" s="64" t="str">
        <f t="shared" si="274"/>
        <v/>
      </c>
      <c r="AR1141" t="s">
        <v>5931</v>
      </c>
      <c r="AS1141" s="12">
        <f t="shared" si="275"/>
        <v>0</v>
      </c>
      <c r="AT1141" t="s">
        <v>5945</v>
      </c>
    </row>
    <row r="1142" spans="1:46" hidden="1" x14ac:dyDescent="0.25">
      <c r="A1142" s="41">
        <f>CASOPOInvCL!T1142</f>
        <v>1</v>
      </c>
      <c r="B1142" t="str">
        <f>CASOPOInvCL!Z1142</f>
        <v>SO18151</v>
      </c>
      <c r="G1142" s="5" t="str">
        <f>CASOPOInvCL!I1142</f>
        <v>Ian Trottier</v>
      </c>
      <c r="H1142" s="31">
        <f>CASOPOInvCL!U1142</f>
        <v>10</v>
      </c>
      <c r="I1142" s="31">
        <f>CASOPOInvCL!V1142</f>
        <v>2025</v>
      </c>
      <c r="J1142" s="5" t="str">
        <f>CASOPOInvCL!AB1142</f>
        <v>INV13614</v>
      </c>
      <c r="K1142" s="31">
        <f>CASOPOInvCL!W1142</f>
        <v>12</v>
      </c>
      <c r="L1142" s="31">
        <f>CASOPOInvCL!X1142</f>
        <v>2025</v>
      </c>
      <c r="M1142" t="s">
        <v>5945</v>
      </c>
      <c r="N1142" s="5" t="str">
        <f>CASOPOInvCL!AF1142</f>
        <v>Sealtrac Inc.</v>
      </c>
      <c r="O1142" s="16" t="str">
        <f>CASOPOInvCL!AG1142</f>
        <v>CAD</v>
      </c>
      <c r="P1142" s="16">
        <f>CASOPOInvCL!AH1142</f>
        <v>795.76</v>
      </c>
      <c r="Q1142" s="16">
        <f>CASOPOInvCL!AI1142</f>
        <v>567.91872144740455</v>
      </c>
      <c r="R1142" s="32" t="str">
        <f>CASOPOInvCL!AU1142</f>
        <v/>
      </c>
      <c r="S1142" s="16">
        <f>CASOPOInvCL!AV1142</f>
        <v>0</v>
      </c>
      <c r="T1142" s="16">
        <f>CASOPOInvCL!AW1142</f>
        <v>0</v>
      </c>
      <c r="Y1142" s="29" t="str">
        <f>IFERROR(HLOOKUP(U1142,List!$D$2:$H$6,2,FALSE),"")</f>
        <v/>
      </c>
      <c r="Z1142" s="29" t="str">
        <f>IFERROR(HLOOKUP(V1142,List!$D$2:$H$6,3,FALSE),"")</f>
        <v/>
      </c>
      <c r="AA1142" s="29" t="str">
        <f>IFERROR(HLOOKUP(W1142,List!$D$2:$H$6,4,FALSE),"")</f>
        <v/>
      </c>
      <c r="AB1142" s="29" t="str">
        <f>IFERROR(HLOOKUP(X1142,List!$D$2:$H$6,5,FALSE),"")</f>
        <v/>
      </c>
      <c r="AC1142" s="12" t="str">
        <f t="shared" si="276"/>
        <v/>
      </c>
      <c r="AD1142" s="12" t="str">
        <f t="shared" si="277"/>
        <v/>
      </c>
      <c r="AE1142" s="12" t="str">
        <f t="shared" si="278"/>
        <v/>
      </c>
      <c r="AF1142" s="12" t="str">
        <f t="shared" si="279"/>
        <v/>
      </c>
      <c r="AG1142" t="str">
        <f>VLOOKUP(J1142,'Receivable Invoice Detail'!$A$1:F4154,6,FALSE)</f>
        <v>[G-76772X 2229] Shaft Sleeve, 3196 STX, 316SS</v>
      </c>
      <c r="AM1142" s="12" t="str">
        <f t="shared" si="280"/>
        <v/>
      </c>
      <c r="AN1142" s="12" t="str">
        <f t="shared" si="281"/>
        <v/>
      </c>
      <c r="AO1142" s="12" t="str">
        <f t="shared" si="282"/>
        <v/>
      </c>
      <c r="AP1142" s="12" t="str">
        <f t="shared" si="283"/>
        <v/>
      </c>
      <c r="AQ1142" s="64" t="str">
        <f t="shared" si="274"/>
        <v/>
      </c>
      <c r="AS1142" s="12">
        <f t="shared" si="275"/>
        <v>266.68334999999996</v>
      </c>
      <c r="AT1142" t="s">
        <v>5945</v>
      </c>
    </row>
    <row r="1143" spans="1:46" hidden="1" x14ac:dyDescent="0.25">
      <c r="A1143" s="41">
        <f>CASOPOInvCL!T1143</f>
        <v>1</v>
      </c>
      <c r="B1143" t="str">
        <f>CASOPOInvCL!Z1143</f>
        <v>SO18152</v>
      </c>
      <c r="G1143" s="5" t="str">
        <f>CASOPOInvCL!I1143</f>
        <v>Ian Trottier</v>
      </c>
      <c r="H1143" s="31">
        <f>CASOPOInvCL!U1143</f>
        <v>10</v>
      </c>
      <c r="I1143" s="31">
        <f>CASOPOInvCL!V1143</f>
        <v>2025</v>
      </c>
      <c r="J1143" s="5" t="str">
        <f>CASOPOInvCL!AB1143</f>
        <v>INV13599</v>
      </c>
      <c r="K1143" s="31">
        <f>CASOPOInvCL!W1143</f>
        <v>1</v>
      </c>
      <c r="L1143" s="31">
        <f>CASOPOInvCL!X1143</f>
        <v>2026</v>
      </c>
      <c r="M1143" t="s">
        <v>5945</v>
      </c>
      <c r="N1143" s="5" t="str">
        <f>CASOPOInvCL!AF1143</f>
        <v>Resolute Forest Products - Kenogami</v>
      </c>
      <c r="O1143" s="16" t="str">
        <f>CASOPOInvCL!AG1143</f>
        <v>CAD</v>
      </c>
      <c r="P1143" s="16">
        <f>CASOPOInvCL!AH1143</f>
        <v>939.78</v>
      </c>
      <c r="Q1143" s="16">
        <f>CASOPOInvCL!AI1143</f>
        <v>670.70304619714716</v>
      </c>
      <c r="R1143" s="32" t="str">
        <f>CASOPOInvCL!AU1143</f>
        <v>Yes</v>
      </c>
      <c r="S1143" s="16">
        <f>CASOPOInvCL!AV1143</f>
        <v>0</v>
      </c>
      <c r="T1143" s="16">
        <f>CASOPOInvCL!AW1143</f>
        <v>670.70304619714716</v>
      </c>
      <c r="Y1143" s="29" t="str">
        <f>IFERROR(HLOOKUP(U1143,List!$D$2:$H$6,2,FALSE),"")</f>
        <v/>
      </c>
      <c r="Z1143" s="29" t="str">
        <f>IFERROR(HLOOKUP(V1143,List!$D$2:$H$6,3,FALSE),"")</f>
        <v/>
      </c>
      <c r="AA1143" s="29" t="str">
        <f>IFERROR(HLOOKUP(W1143,List!$D$2:$H$6,4,FALSE),"")</f>
        <v/>
      </c>
      <c r="AB1143" s="29" t="str">
        <f>IFERROR(HLOOKUP(X1143,List!$D$2:$H$6,5,FALSE),"")</f>
        <v/>
      </c>
      <c r="AC1143" s="12" t="str">
        <f t="shared" si="276"/>
        <v/>
      </c>
      <c r="AD1143" s="12" t="str">
        <f t="shared" si="277"/>
        <v/>
      </c>
      <c r="AE1143" s="12" t="str">
        <f t="shared" si="278"/>
        <v/>
      </c>
      <c r="AF1143" s="12" t="str">
        <f t="shared" si="279"/>
        <v/>
      </c>
      <c r="AG1143" t="str">
        <f>VLOOKUP(J1143,'Receivable Invoice Detail'!$A$1:F4155,6,FALSE)</f>
        <v>[AC-98-130-367-001] Shaft Sleeve, PWO Frame 2, 316SS</v>
      </c>
      <c r="AM1143" s="12" t="str">
        <f t="shared" si="280"/>
        <v/>
      </c>
      <c r="AN1143" s="12" t="str">
        <f t="shared" si="281"/>
        <v/>
      </c>
      <c r="AO1143" s="12" t="str">
        <f t="shared" si="282"/>
        <v/>
      </c>
      <c r="AP1143" s="12" t="str">
        <f t="shared" si="283"/>
        <v/>
      </c>
      <c r="AQ1143" s="64" t="str">
        <f t="shared" si="274"/>
        <v/>
      </c>
      <c r="AS1143" s="12">
        <f t="shared" si="275"/>
        <v>10.384973022169763</v>
      </c>
      <c r="AT1143" t="s">
        <v>5945</v>
      </c>
    </row>
    <row r="1144" spans="1:46" hidden="1" x14ac:dyDescent="0.25">
      <c r="A1144" s="41">
        <f>CASOPOInvCL!T1144</f>
        <v>1</v>
      </c>
      <c r="B1144" t="str">
        <f>CASOPOInvCL!Z1144</f>
        <v>SO18153</v>
      </c>
      <c r="G1144" s="5" t="str">
        <f>CASOPOInvCL!I1144</f>
        <v>Wilka Nuñez</v>
      </c>
      <c r="H1144" s="31">
        <f>CASOPOInvCL!U1144</f>
        <v>11</v>
      </c>
      <c r="I1144" s="31">
        <f>CASOPOInvCL!V1144</f>
        <v>2025</v>
      </c>
      <c r="J1144" s="5" t="str">
        <f>CASOPOInvCL!AB1144</f>
        <v>INV13675</v>
      </c>
      <c r="K1144" s="31" t="str">
        <f>CASOPOInvCL!W1144</f>
        <v/>
      </c>
      <c r="L1144" s="31" t="str">
        <f>CASOPOInvCL!X1144</f>
        <v/>
      </c>
      <c r="M1144" t="s">
        <v>5945</v>
      </c>
      <c r="N1144" s="5" t="str">
        <f>CASOPOInvCL!AF1144</f>
        <v>Tencarva Machinery Company</v>
      </c>
      <c r="O1144" s="16" t="str">
        <f>CASOPOInvCL!AG1144</f>
        <v>USD</v>
      </c>
      <c r="P1144" s="16">
        <f>CASOPOInvCL!AH1144</f>
        <v>972.2591075437382</v>
      </c>
      <c r="Q1144" s="16">
        <f>CASOPOInvCL!AI1144</f>
        <v>694</v>
      </c>
      <c r="R1144" s="32" t="str">
        <f>CASOPOInvCL!AU1144</f>
        <v/>
      </c>
      <c r="S1144" s="16">
        <f>CASOPOInvCL!AV1144</f>
        <v>0</v>
      </c>
      <c r="T1144" s="16">
        <f>CASOPOInvCL!AW1144</f>
        <v>0</v>
      </c>
      <c r="Y1144" s="29" t="str">
        <f>IFERROR(HLOOKUP(U1144,List!$D$2:$H$6,2,FALSE),"")</f>
        <v/>
      </c>
      <c r="Z1144" s="29" t="str">
        <f>IFERROR(HLOOKUP(V1144,List!$D$2:$H$6,3,FALSE),"")</f>
        <v/>
      </c>
      <c r="AA1144" s="29" t="str">
        <f>IFERROR(HLOOKUP(W1144,List!$D$2:$H$6,4,FALSE),"")</f>
        <v/>
      </c>
      <c r="AB1144" s="29" t="str">
        <f>IFERROR(HLOOKUP(X1144,List!$D$2:$H$6,5,FALSE),"")</f>
        <v/>
      </c>
      <c r="AC1144" s="12" t="str">
        <f t="shared" si="276"/>
        <v/>
      </c>
      <c r="AD1144" s="12" t="str">
        <f t="shared" si="277"/>
        <v/>
      </c>
      <c r="AE1144" s="12" t="str">
        <f t="shared" si="278"/>
        <v/>
      </c>
      <c r="AF1144" s="12" t="str">
        <f t="shared" si="279"/>
        <v/>
      </c>
      <c r="AG1144" t="str">
        <f>VLOOKUP(J1144,'Receivable Invoice Detail'!$A$1:F4156,6,FALSE)</f>
        <v>[W-E025] End Cover Shim Set, 6/4 or 8/6 E-AH</v>
      </c>
      <c r="AM1144" s="12" t="str">
        <f t="shared" si="280"/>
        <v/>
      </c>
      <c r="AN1144" s="12" t="str">
        <f t="shared" si="281"/>
        <v/>
      </c>
      <c r="AO1144" s="12" t="str">
        <f t="shared" si="282"/>
        <v/>
      </c>
      <c r="AP1144" s="12" t="str">
        <f t="shared" si="283"/>
        <v/>
      </c>
      <c r="AQ1144" s="64" t="str">
        <f t="shared" si="274"/>
        <v/>
      </c>
      <c r="AS1144" s="12">
        <f t="shared" si="275"/>
        <v>5.7883090257102312</v>
      </c>
      <c r="AT1144" t="s">
        <v>5945</v>
      </c>
    </row>
    <row r="1145" spans="1:46" hidden="1" x14ac:dyDescent="0.25">
      <c r="A1145" s="41">
        <f>CASOPOInvCL!T1145</f>
        <v>2</v>
      </c>
      <c r="B1145" t="str">
        <f>CASOPOInvCL!Z1145</f>
        <v>SO18154</v>
      </c>
      <c r="G1145" s="5" t="str">
        <f>CASOPOInvCL!I1145</f>
        <v>Wilka Nuñez</v>
      </c>
      <c r="H1145" s="31">
        <f>CASOPOInvCL!U1145</f>
        <v>11</v>
      </c>
      <c r="I1145" s="31">
        <f>CASOPOInvCL!V1145</f>
        <v>2025</v>
      </c>
      <c r="J1145" s="5" t="str">
        <f>CASOPOInvCL!AB1145</f>
        <v>INV13816</v>
      </c>
      <c r="K1145" s="31" t="str">
        <f>CASOPOInvCL!W1145</f>
        <v/>
      </c>
      <c r="L1145" s="31" t="str">
        <f>CASOPOInvCL!X1145</f>
        <v/>
      </c>
      <c r="M1145" t="s">
        <v>5945</v>
      </c>
      <c r="N1145" s="5" t="str">
        <f>CASOPOInvCL!AF1145</f>
        <v>Eleazar General &amp; Industrial Supplies Limited</v>
      </c>
      <c r="O1145" s="16" t="str">
        <f>CASOPOInvCL!AG1145</f>
        <v>USD</v>
      </c>
      <c r="P1145" s="16">
        <f>CASOPOInvCL!AH1145</f>
        <v>6240.4208195344245</v>
      </c>
      <c r="Q1145" s="16">
        <f>CASOPOInvCL!AI1145</f>
        <v>4441.08</v>
      </c>
      <c r="R1145" s="32" t="str">
        <f>CASOPOInvCL!AU1145</f>
        <v>Yes</v>
      </c>
      <c r="S1145" s="16">
        <f>CASOPOInvCL!AV1145</f>
        <v>0</v>
      </c>
      <c r="T1145" s="16">
        <f>CASOPOInvCL!AW1145</f>
        <v>4441.08</v>
      </c>
      <c r="Y1145" s="29" t="str">
        <f>IFERROR(HLOOKUP(U1145,List!$D$2:$H$6,2,FALSE),"")</f>
        <v/>
      </c>
      <c r="Z1145" s="29" t="str">
        <f>IFERROR(HLOOKUP(V1145,List!$D$2:$H$6,3,FALSE),"")</f>
        <v/>
      </c>
      <c r="AA1145" s="29" t="str">
        <f>IFERROR(HLOOKUP(W1145,List!$D$2:$H$6,4,FALSE),"")</f>
        <v/>
      </c>
      <c r="AB1145" s="29" t="str">
        <f>IFERROR(HLOOKUP(X1145,List!$D$2:$H$6,5,FALSE),"")</f>
        <v/>
      </c>
      <c r="AC1145" s="12" t="str">
        <f t="shared" si="276"/>
        <v/>
      </c>
      <c r="AD1145" s="12" t="str">
        <f t="shared" si="277"/>
        <v/>
      </c>
      <c r="AE1145" s="12" t="str">
        <f t="shared" si="278"/>
        <v/>
      </c>
      <c r="AF1145" s="12" t="str">
        <f t="shared" si="279"/>
        <v/>
      </c>
      <c r="AG1145" t="str">
        <f>VLOOKUP(J1145,'Receivable Invoice Detail'!$A$1:F4157,6,FALSE)</f>
        <v>[AC-98-331-932-501] Shaft Assembly, 5x4-14 SRL-C &amp; 5x5-14 SRL, 1045 Steel</v>
      </c>
      <c r="AM1145" s="12" t="str">
        <f t="shared" si="280"/>
        <v/>
      </c>
      <c r="AN1145" s="12" t="str">
        <f t="shared" si="281"/>
        <v/>
      </c>
      <c r="AO1145" s="12" t="str">
        <f t="shared" si="282"/>
        <v/>
      </c>
      <c r="AP1145" s="12" t="str">
        <f t="shared" si="283"/>
        <v/>
      </c>
      <c r="AQ1145" s="64" t="str">
        <f t="shared" si="274"/>
        <v/>
      </c>
      <c r="AS1145" s="12">
        <f t="shared" si="275"/>
        <v>54.716114343422305</v>
      </c>
      <c r="AT1145" t="s">
        <v>5945</v>
      </c>
    </row>
    <row r="1146" spans="1:46" hidden="1" x14ac:dyDescent="0.25">
      <c r="A1146" s="41">
        <f>CASOPOInvCL!T1146</f>
        <v>2</v>
      </c>
      <c r="B1146" t="str">
        <f>CASOPOInvCL!Z1146</f>
        <v>SO18154</v>
      </c>
      <c r="G1146" s="5">
        <f>CASOPOInvCL!I1146</f>
        <v>0</v>
      </c>
      <c r="H1146" s="31">
        <f>CASOPOInvCL!U1146</f>
        <v>11</v>
      </c>
      <c r="I1146" s="31">
        <f>CASOPOInvCL!V1146</f>
        <v>2025</v>
      </c>
      <c r="J1146" s="5" t="str">
        <f>CASOPOInvCL!AB1146</f>
        <v>INV13716</v>
      </c>
      <c r="K1146" s="31" t="str">
        <f>CASOPOInvCL!W1146</f>
        <v/>
      </c>
      <c r="L1146" s="31" t="str">
        <f>CASOPOInvCL!X1146</f>
        <v/>
      </c>
      <c r="M1146" t="s">
        <v>5945</v>
      </c>
      <c r="N1146" s="5" t="str">
        <f>CASOPOInvCL!AF1146</f>
        <v>Eleazar General &amp; Industrial Supplies Limited</v>
      </c>
      <c r="O1146" s="16" t="str">
        <f>CASOPOInvCL!AG1146</f>
        <v>USD</v>
      </c>
      <c r="P1146" s="16">
        <f>CASOPOInvCL!AH1146</f>
        <v>0</v>
      </c>
      <c r="Q1146" s="16">
        <f>CASOPOInvCL!AI1146</f>
        <v>0</v>
      </c>
      <c r="R1146" s="32" t="str">
        <f>CASOPOInvCL!AU1146</f>
        <v/>
      </c>
      <c r="S1146" s="16">
        <f>CASOPOInvCL!AV1146</f>
        <v>0</v>
      </c>
      <c r="T1146" s="16">
        <f>CASOPOInvCL!AW1146</f>
        <v>0</v>
      </c>
      <c r="Y1146" s="29" t="str">
        <f>IFERROR(HLOOKUP(U1146,List!$D$2:$H$6,2,FALSE),"")</f>
        <v/>
      </c>
      <c r="Z1146" s="29" t="str">
        <f>IFERROR(HLOOKUP(V1146,List!$D$2:$H$6,3,FALSE),"")</f>
        <v/>
      </c>
      <c r="AA1146" s="29" t="str">
        <f>IFERROR(HLOOKUP(W1146,List!$D$2:$H$6,4,FALSE),"")</f>
        <v/>
      </c>
      <c r="AB1146" s="29" t="str">
        <f>IFERROR(HLOOKUP(X1146,List!$D$2:$H$6,5,FALSE),"")</f>
        <v/>
      </c>
      <c r="AC1146" s="12" t="str">
        <f t="shared" si="276"/>
        <v/>
      </c>
      <c r="AD1146" s="12" t="str">
        <f t="shared" si="277"/>
        <v/>
      </c>
      <c r="AE1146" s="12" t="str">
        <f t="shared" si="278"/>
        <v/>
      </c>
      <c r="AF1146" s="12" t="str">
        <f t="shared" si="279"/>
        <v/>
      </c>
      <c r="AG1146" t="str">
        <f>VLOOKUP(J1146,'Receivable Invoice Detail'!$A$1:F4158,6,FALSE)</f>
        <v>[AC-98-331-932-501] Shaft Assembly, 5x4-14 SRL-C &amp; 5x5-14 SRL, 1045 Steel</v>
      </c>
      <c r="AM1146" s="12" t="str">
        <f t="shared" si="280"/>
        <v/>
      </c>
      <c r="AN1146" s="12" t="str">
        <f t="shared" si="281"/>
        <v/>
      </c>
      <c r="AO1146" s="12" t="str">
        <f t="shared" si="282"/>
        <v/>
      </c>
      <c r="AP1146" s="12" t="str">
        <f t="shared" si="283"/>
        <v/>
      </c>
      <c r="AQ1146" s="64" t="str">
        <f t="shared" si="274"/>
        <v/>
      </c>
      <c r="AS1146" s="12">
        <f t="shared" si="275"/>
        <v>5.0901149908354002</v>
      </c>
      <c r="AT1146" t="s">
        <v>5945</v>
      </c>
    </row>
    <row r="1147" spans="1:46" hidden="1" x14ac:dyDescent="0.25">
      <c r="A1147" s="41">
        <f>CASOPOInvCL!T1147</f>
        <v>1</v>
      </c>
      <c r="B1147" t="str">
        <f>CASOPOInvCL!Z1147</f>
        <v>SO18155</v>
      </c>
      <c r="G1147" s="5" t="str">
        <f>CASOPOInvCL!I1147</f>
        <v>Wilka Nuñez</v>
      </c>
      <c r="H1147" s="31">
        <f>CASOPOInvCL!U1147</f>
        <v>11</v>
      </c>
      <c r="I1147" s="31">
        <f>CASOPOInvCL!V1147</f>
        <v>2025</v>
      </c>
      <c r="J1147" s="5" t="str">
        <f>CASOPOInvCL!AB1147</f>
        <v>INV13691</v>
      </c>
      <c r="K1147" s="31" t="str">
        <f>CASOPOInvCL!W1147</f>
        <v/>
      </c>
      <c r="L1147" s="31" t="str">
        <f>CASOPOInvCL!X1147</f>
        <v/>
      </c>
      <c r="M1147" t="s">
        <v>5945</v>
      </c>
      <c r="N1147" s="5" t="str">
        <f>CASOPOInvCL!AF1147</f>
        <v>PT Vale Indonesia Tbk.</v>
      </c>
      <c r="O1147" s="16" t="str">
        <f>CASOPOInvCL!AG1147</f>
        <v>USD</v>
      </c>
      <c r="P1147" s="16">
        <f>CASOPOInvCL!AH1147</f>
        <v>204.04727015398205</v>
      </c>
      <c r="Q1147" s="16">
        <f>CASOPOInvCL!AI1147</f>
        <v>145.38</v>
      </c>
      <c r="R1147" s="32" t="str">
        <f>CASOPOInvCL!AU1147</f>
        <v/>
      </c>
      <c r="S1147" s="16">
        <f>CASOPOInvCL!AV1147</f>
        <v>0</v>
      </c>
      <c r="T1147" s="16">
        <f>CASOPOInvCL!AW1147</f>
        <v>0</v>
      </c>
      <c r="Y1147" s="29" t="str">
        <f>IFERROR(HLOOKUP(U1147,List!$D$2:$H$6,2,FALSE),"")</f>
        <v/>
      </c>
      <c r="Z1147" s="29" t="str">
        <f>IFERROR(HLOOKUP(V1147,List!$D$2:$H$6,3,FALSE),"")</f>
        <v/>
      </c>
      <c r="AA1147" s="29" t="str">
        <f>IFERROR(HLOOKUP(W1147,List!$D$2:$H$6,4,FALSE),"")</f>
        <v/>
      </c>
      <c r="AB1147" s="29" t="str">
        <f>IFERROR(HLOOKUP(X1147,List!$D$2:$H$6,5,FALSE),"")</f>
        <v/>
      </c>
      <c r="AC1147" s="12" t="str">
        <f t="shared" si="276"/>
        <v/>
      </c>
      <c r="AD1147" s="12" t="str">
        <f t="shared" si="277"/>
        <v/>
      </c>
      <c r="AE1147" s="12" t="str">
        <f t="shared" si="278"/>
        <v/>
      </c>
      <c r="AF1147" s="12" t="str">
        <f t="shared" si="279"/>
        <v/>
      </c>
      <c r="AG1147" t="str">
        <f>VLOOKUP(J1147,'Receivable Invoice Detail'!$A$1:F4159,6,FALSE)</f>
        <v>[G-67868-211-212 5108] Gasket Material (2 Piece Set), Armstrong Syntheseal N-8090, 16" x 17 3/4"</v>
      </c>
      <c r="AM1147" s="12" t="str">
        <f t="shared" si="280"/>
        <v/>
      </c>
      <c r="AN1147" s="12" t="str">
        <f t="shared" si="281"/>
        <v/>
      </c>
      <c r="AO1147" s="12" t="str">
        <f t="shared" si="282"/>
        <v/>
      </c>
      <c r="AP1147" s="12" t="str">
        <f t="shared" si="283"/>
        <v/>
      </c>
      <c r="AQ1147" s="64" t="str">
        <f t="shared" si="274"/>
        <v/>
      </c>
      <c r="AS1147" s="12">
        <f t="shared" si="275"/>
        <v>0</v>
      </c>
      <c r="AT1147" t="s">
        <v>5945</v>
      </c>
    </row>
    <row r="1148" spans="1:46" hidden="1" x14ac:dyDescent="0.25">
      <c r="A1148" s="41">
        <f>CASOPOInvCL!T1148</f>
        <v>1</v>
      </c>
      <c r="B1148" t="str">
        <f>CASOPOInvCL!Z1148</f>
        <v>SO18156</v>
      </c>
      <c r="G1148" s="5" t="str">
        <f>CASOPOInvCL!I1148</f>
        <v>Wilka Nuñez</v>
      </c>
      <c r="H1148" s="31">
        <f>CASOPOInvCL!U1148</f>
        <v>11</v>
      </c>
      <c r="I1148" s="31">
        <f>CASOPOInvCL!V1148</f>
        <v>2025</v>
      </c>
      <c r="J1148" s="5" t="str">
        <f>CASOPOInvCL!AB1148</f>
        <v>INV13692</v>
      </c>
      <c r="K1148" s="31" t="str">
        <f>CASOPOInvCL!W1148</f>
        <v/>
      </c>
      <c r="L1148" s="31" t="str">
        <f>CASOPOInvCL!X1148</f>
        <v/>
      </c>
      <c r="M1148" t="s">
        <v>5945</v>
      </c>
      <c r="N1148" s="5" t="str">
        <f>CASOPOInvCL!AF1148</f>
        <v>PT Vale Indonesia Tbk.</v>
      </c>
      <c r="O1148" s="16" t="str">
        <f>CASOPOInvCL!AG1148</f>
        <v>USD</v>
      </c>
      <c r="P1148" s="16">
        <f>CASOPOInvCL!AH1148</f>
        <v>2121.6256328942245</v>
      </c>
      <c r="Q1148" s="16">
        <f>CASOPOInvCL!AI1148</f>
        <v>1511.62</v>
      </c>
      <c r="R1148" s="32" t="str">
        <f>CASOPOInvCL!AU1148</f>
        <v/>
      </c>
      <c r="S1148" s="16">
        <f>CASOPOInvCL!AV1148</f>
        <v>0</v>
      </c>
      <c r="T1148" s="16">
        <f>CASOPOInvCL!AW1148</f>
        <v>0</v>
      </c>
      <c r="Y1148" s="29" t="str">
        <f>IFERROR(HLOOKUP(U1148,List!$D$2:$H$6,2,FALSE),"")</f>
        <v/>
      </c>
      <c r="Z1148" s="29" t="str">
        <f>IFERROR(HLOOKUP(V1148,List!$D$2:$H$6,3,FALSE),"")</f>
        <v/>
      </c>
      <c r="AA1148" s="29" t="str">
        <f>IFERROR(HLOOKUP(W1148,List!$D$2:$H$6,4,FALSE),"")</f>
        <v/>
      </c>
      <c r="AB1148" s="29" t="str">
        <f>IFERROR(HLOOKUP(X1148,List!$D$2:$H$6,5,FALSE),"")</f>
        <v/>
      </c>
      <c r="AC1148" s="12" t="str">
        <f t="shared" si="276"/>
        <v/>
      </c>
      <c r="AD1148" s="12" t="str">
        <f t="shared" si="277"/>
        <v/>
      </c>
      <c r="AE1148" s="12" t="str">
        <f t="shared" si="278"/>
        <v/>
      </c>
      <c r="AF1148" s="12" t="str">
        <f t="shared" si="279"/>
        <v/>
      </c>
      <c r="AG1148" t="str">
        <f>VLOOKUP(J1148,'Receivable Invoice Detail'!$A$1:F4160,6,FALSE)</f>
        <v>[AC-98-236-104-002] Shaft Sleeve, 8x6-18 &amp; 10X8-21 SRL-C, 316SS</v>
      </c>
      <c r="AM1148" s="12" t="str">
        <f t="shared" si="280"/>
        <v/>
      </c>
      <c r="AN1148" s="12" t="str">
        <f t="shared" si="281"/>
        <v/>
      </c>
      <c r="AO1148" s="12" t="str">
        <f t="shared" si="282"/>
        <v/>
      </c>
      <c r="AP1148" s="12" t="str">
        <f t="shared" si="283"/>
        <v/>
      </c>
      <c r="AQ1148" s="64" t="str">
        <f t="shared" ref="AQ1148:AQ1211" si="284">M1148</f>
        <v/>
      </c>
      <c r="AS1148" s="12">
        <f t="shared" ref="AS1148:AS1211" si="285">T1141*1.5%</f>
        <v>0</v>
      </c>
      <c r="AT1148" t="s">
        <v>5945</v>
      </c>
    </row>
    <row r="1149" spans="1:46" hidden="1" x14ac:dyDescent="0.25">
      <c r="A1149" s="41">
        <f>CASOPOInvCL!T1149</f>
        <v>1</v>
      </c>
      <c r="B1149" t="str">
        <f>CASOPOInvCL!Z1149</f>
        <v>SO18158</v>
      </c>
      <c r="G1149" s="5" t="str">
        <f>CASOPOInvCL!I1149</f>
        <v>Wilka Nuñez</v>
      </c>
      <c r="H1149" s="31">
        <f>CASOPOInvCL!U1149</f>
        <v>11</v>
      </c>
      <c r="I1149" s="31">
        <f>CASOPOInvCL!V1149</f>
        <v>2025</v>
      </c>
      <c r="J1149" s="5" t="str">
        <f>CASOPOInvCL!AB1149</f>
        <v>INV13705</v>
      </c>
      <c r="K1149" s="31">
        <f>CASOPOInvCL!W1149</f>
        <v>12</v>
      </c>
      <c r="L1149" s="31">
        <f>CASOPOInvCL!X1149</f>
        <v>2025</v>
      </c>
      <c r="M1149" t="s">
        <v>5945</v>
      </c>
      <c r="N1149" s="5" t="str">
        <f>CASOPOInvCL!AF1149</f>
        <v>Sling-Choker Manufacturing - Timmins</v>
      </c>
      <c r="O1149" s="16" t="str">
        <f>CASOPOInvCL!AG1149</f>
        <v>CAD</v>
      </c>
      <c r="P1149" s="16">
        <f>CASOPOInvCL!AH1149</f>
        <v>156.61000000000001</v>
      </c>
      <c r="Q1149" s="16">
        <f>CASOPOInvCL!AI1149</f>
        <v>111.90228921868423</v>
      </c>
      <c r="R1149" s="32" t="str">
        <f>CASOPOInvCL!AU1149</f>
        <v>Yes</v>
      </c>
      <c r="S1149" s="16">
        <f>CASOPOInvCL!AV1149</f>
        <v>0</v>
      </c>
      <c r="T1149" s="16">
        <f>CASOPOInvCL!AW1149</f>
        <v>111.90228921868423</v>
      </c>
      <c r="Y1149" s="29" t="str">
        <f>IFERROR(HLOOKUP(U1149,List!$D$2:$H$6,2,FALSE),"")</f>
        <v/>
      </c>
      <c r="Z1149" s="29" t="str">
        <f>IFERROR(HLOOKUP(V1149,List!$D$2:$H$6,3,FALSE),"")</f>
        <v/>
      </c>
      <c r="AA1149" s="29" t="str">
        <f>IFERROR(HLOOKUP(W1149,List!$D$2:$H$6,4,FALSE),"")</f>
        <v/>
      </c>
      <c r="AB1149" s="29" t="str">
        <f>IFERROR(HLOOKUP(X1149,List!$D$2:$H$6,5,FALSE),"")</f>
        <v/>
      </c>
      <c r="AC1149" s="12" t="str">
        <f t="shared" si="276"/>
        <v/>
      </c>
      <c r="AD1149" s="12" t="str">
        <f t="shared" si="277"/>
        <v/>
      </c>
      <c r="AE1149" s="12" t="str">
        <f t="shared" si="278"/>
        <v/>
      </c>
      <c r="AF1149" s="12" t="str">
        <f t="shared" si="279"/>
        <v/>
      </c>
      <c r="AG1149" t="str">
        <f>VLOOKUP(J1149,'Receivable Invoice Detail'!$A$1:F4161,6,FALSE)</f>
        <v>[AC-98-233-815-001] Half Seal Cage, 5x4/5x5/6x6 SRL &amp; SRL-C, Steel</v>
      </c>
      <c r="AM1149" s="12" t="str">
        <f t="shared" si="280"/>
        <v/>
      </c>
      <c r="AN1149" s="12" t="str">
        <f t="shared" si="281"/>
        <v/>
      </c>
      <c r="AO1149" s="12" t="str">
        <f t="shared" si="282"/>
        <v/>
      </c>
      <c r="AP1149" s="12" t="str">
        <f t="shared" si="283"/>
        <v/>
      </c>
      <c r="AQ1149" s="64" t="str">
        <f t="shared" si="284"/>
        <v/>
      </c>
      <c r="AS1149" s="12">
        <f t="shared" si="285"/>
        <v>0</v>
      </c>
      <c r="AT1149" t="s">
        <v>5945</v>
      </c>
    </row>
    <row r="1150" spans="1:46" hidden="1" x14ac:dyDescent="0.25">
      <c r="A1150" s="41">
        <f>CASOPOInvCL!T1150</f>
        <v>1</v>
      </c>
      <c r="B1150" t="str">
        <f>CASOPOInvCL!Z1150</f>
        <v>SO18159</v>
      </c>
      <c r="G1150" s="5" t="str">
        <f>CASOPOInvCL!I1150</f>
        <v>Ian Trottier</v>
      </c>
      <c r="H1150" s="31">
        <f>CASOPOInvCL!U1150</f>
        <v>11</v>
      </c>
      <c r="I1150" s="31">
        <f>CASOPOInvCL!V1150</f>
        <v>2025</v>
      </c>
      <c r="J1150" s="5" t="str">
        <f>CASOPOInvCL!AB1150</f>
        <v>INV13775</v>
      </c>
      <c r="K1150" s="31" t="str">
        <f>CASOPOInvCL!W1150</f>
        <v/>
      </c>
      <c r="L1150" s="31" t="str">
        <f>CASOPOInvCL!X1150</f>
        <v/>
      </c>
      <c r="M1150" t="s">
        <v>5945</v>
      </c>
      <c r="N1150" s="5" t="str">
        <f>CASOPOInvCL!AF1150</f>
        <v>Wesdome Gold Mines Ltd - Eagle River Mine</v>
      </c>
      <c r="O1150" s="16" t="str">
        <f>CASOPOInvCL!AG1150</f>
        <v>CAD</v>
      </c>
      <c r="P1150" s="16">
        <f>CASOPOInvCL!AH1150</f>
        <v>6680.57</v>
      </c>
      <c r="Q1150" s="16">
        <f>CASOPOInvCL!AI1150</f>
        <v>4735.061023946665</v>
      </c>
      <c r="R1150" s="32" t="str">
        <f>CASOPOInvCL!AU1150</f>
        <v/>
      </c>
      <c r="S1150" s="16">
        <f>CASOPOInvCL!AV1150</f>
        <v>0</v>
      </c>
      <c r="T1150" s="16">
        <f>CASOPOInvCL!AW1150</f>
        <v>0</v>
      </c>
      <c r="Y1150" s="29" t="str">
        <f>IFERROR(HLOOKUP(U1150,List!$D$2:$H$6,2,FALSE),"")</f>
        <v/>
      </c>
      <c r="Z1150" s="29" t="str">
        <f>IFERROR(HLOOKUP(V1150,List!$D$2:$H$6,3,FALSE),"")</f>
        <v/>
      </c>
      <c r="AA1150" s="29" t="str">
        <f>IFERROR(HLOOKUP(W1150,List!$D$2:$H$6,4,FALSE),"")</f>
        <v/>
      </c>
      <c r="AB1150" s="29" t="str">
        <f>IFERROR(HLOOKUP(X1150,List!$D$2:$H$6,5,FALSE),"")</f>
        <v/>
      </c>
      <c r="AC1150" s="12" t="str">
        <f t="shared" si="276"/>
        <v/>
      </c>
      <c r="AD1150" s="12" t="str">
        <f t="shared" si="277"/>
        <v/>
      </c>
      <c r="AE1150" s="12" t="str">
        <f t="shared" si="278"/>
        <v/>
      </c>
      <c r="AF1150" s="12" t="str">
        <f t="shared" si="279"/>
        <v/>
      </c>
      <c r="AG1150" t="str">
        <f>VLOOKUP(J1150,'Receivable Invoice Detail'!$A$1:F4162,6,FALSE)</f>
        <v>[AC-98-331-958-823] Shaft Sleeve, 2x2-10 SRL, 420SS Heat Treated, Hardened</v>
      </c>
      <c r="AM1150" s="12" t="str">
        <f t="shared" si="280"/>
        <v/>
      </c>
      <c r="AN1150" s="12" t="str">
        <f t="shared" si="281"/>
        <v/>
      </c>
      <c r="AO1150" s="12" t="str">
        <f t="shared" si="282"/>
        <v/>
      </c>
      <c r="AP1150" s="12" t="str">
        <f t="shared" si="283"/>
        <v/>
      </c>
      <c r="AQ1150" s="64" t="str">
        <f t="shared" si="284"/>
        <v/>
      </c>
      <c r="AS1150" s="12">
        <f t="shared" si="285"/>
        <v>10.060545692957207</v>
      </c>
      <c r="AT1150" t="s">
        <v>5945</v>
      </c>
    </row>
    <row r="1151" spans="1:46" hidden="1" x14ac:dyDescent="0.25">
      <c r="A1151" s="41">
        <f>CASOPOInvCL!T1151</f>
        <v>1</v>
      </c>
      <c r="B1151" t="str">
        <f>CASOPOInvCL!Z1151</f>
        <v>SO18160</v>
      </c>
      <c r="G1151" s="5" t="str">
        <f>CASOPOInvCL!I1151</f>
        <v>Alexis Gil Lamadrid</v>
      </c>
      <c r="H1151" s="31">
        <f>CASOPOInvCL!U1151</f>
        <v>11</v>
      </c>
      <c r="I1151" s="31">
        <f>CASOPOInvCL!V1151</f>
        <v>2025</v>
      </c>
      <c r="J1151" s="5" t="str">
        <f>CASOPOInvCL!AB1151</f>
        <v>INV13623</v>
      </c>
      <c r="K1151" s="31">
        <f>CASOPOInvCL!W1151</f>
        <v>12</v>
      </c>
      <c r="L1151" s="31">
        <f>CASOPOInvCL!X1151</f>
        <v>2025</v>
      </c>
      <c r="M1151" t="s">
        <v>5945</v>
      </c>
      <c r="N1151" s="5" t="str">
        <f>CASOPOInvCL!AF1151</f>
        <v>Flowstar Industrial Inc</v>
      </c>
      <c r="O1151" s="16" t="str">
        <f>CASOPOInvCL!AG1151</f>
        <v>CAD</v>
      </c>
      <c r="P1151" s="16">
        <f>CASOPOInvCL!AH1151</f>
        <v>581.66</v>
      </c>
      <c r="Q1151" s="16">
        <f>CASOPOInvCL!AI1151</f>
        <v>412.26955112944216</v>
      </c>
      <c r="R1151" s="32" t="str">
        <f>CASOPOInvCL!AU1151</f>
        <v>Yes</v>
      </c>
      <c r="S1151" s="16">
        <f>CASOPOInvCL!AV1151</f>
        <v>0</v>
      </c>
      <c r="T1151" s="16">
        <f>CASOPOInvCL!AW1151</f>
        <v>412.26955112944216</v>
      </c>
      <c r="Y1151" s="29" t="str">
        <f>IFERROR(HLOOKUP(U1151,List!$D$2:$H$6,2,FALSE),"")</f>
        <v/>
      </c>
      <c r="Z1151" s="29" t="str">
        <f>IFERROR(HLOOKUP(V1151,List!$D$2:$H$6,3,FALSE),"")</f>
        <v/>
      </c>
      <c r="AA1151" s="29" t="str">
        <f>IFERROR(HLOOKUP(W1151,List!$D$2:$H$6,4,FALSE),"")</f>
        <v/>
      </c>
      <c r="AB1151" s="29" t="str">
        <f>IFERROR(HLOOKUP(X1151,List!$D$2:$H$6,5,FALSE),"")</f>
        <v/>
      </c>
      <c r="AC1151" s="12" t="str">
        <f t="shared" si="276"/>
        <v/>
      </c>
      <c r="AD1151" s="12" t="str">
        <f t="shared" si="277"/>
        <v/>
      </c>
      <c r="AE1151" s="12" t="str">
        <f t="shared" si="278"/>
        <v/>
      </c>
      <c r="AF1151" s="12" t="str">
        <f t="shared" si="279"/>
        <v/>
      </c>
      <c r="AG1151" t="str">
        <f>VLOOKUP(J1151,'Receivable Invoice Detail'!$A$1:F4163,6,FALSE)</f>
        <v>[G-D04871A 1001] Thrust Bearing Housing, 3196 XLT, Cast Iron</v>
      </c>
      <c r="AM1151" s="12" t="str">
        <f t="shared" si="280"/>
        <v/>
      </c>
      <c r="AN1151" s="12" t="str">
        <f t="shared" si="281"/>
        <v/>
      </c>
      <c r="AO1151" s="12" t="str">
        <f t="shared" si="282"/>
        <v/>
      </c>
      <c r="AP1151" s="12" t="str">
        <f t="shared" si="283"/>
        <v/>
      </c>
      <c r="AQ1151" s="64" t="str">
        <f t="shared" si="284"/>
        <v/>
      </c>
      <c r="AS1151" s="12">
        <f t="shared" si="285"/>
        <v>0</v>
      </c>
      <c r="AT1151" t="s">
        <v>5945</v>
      </c>
    </row>
    <row r="1152" spans="1:46" hidden="1" x14ac:dyDescent="0.25">
      <c r="A1152" s="41">
        <f>CASOPOInvCL!T1152</f>
        <v>1</v>
      </c>
      <c r="B1152" t="str">
        <f>CASOPOInvCL!Z1152</f>
        <v>SO18161</v>
      </c>
      <c r="G1152" s="5" t="str">
        <f>CASOPOInvCL!I1152</f>
        <v>Ian Trottier</v>
      </c>
      <c r="H1152" s="31">
        <f>CASOPOInvCL!U1152</f>
        <v>11</v>
      </c>
      <c r="I1152" s="31">
        <f>CASOPOInvCL!V1152</f>
        <v>2025</v>
      </c>
      <c r="J1152" s="5" t="str">
        <f>CASOPOInvCL!AB1152</f>
        <v>INV13776</v>
      </c>
      <c r="K1152" s="31" t="str">
        <f>CASOPOInvCL!W1152</f>
        <v/>
      </c>
      <c r="L1152" s="31" t="str">
        <f>CASOPOInvCL!X1152</f>
        <v/>
      </c>
      <c r="M1152" t="s">
        <v>5945</v>
      </c>
      <c r="N1152" s="5" t="str">
        <f>CASOPOInvCL!AF1152</f>
        <v>Wesdome Gold Mines Ltd - Eagle River Mine</v>
      </c>
      <c r="O1152" s="16" t="str">
        <f>CASOPOInvCL!AG1152</f>
        <v>CAD</v>
      </c>
      <c r="P1152" s="16">
        <f>CASOPOInvCL!AH1152</f>
        <v>17471.91</v>
      </c>
      <c r="Q1152" s="16">
        <f>CASOPOInvCL!AI1152</f>
        <v>12383.757681590643</v>
      </c>
      <c r="R1152" s="32" t="str">
        <f>CASOPOInvCL!AU1152</f>
        <v/>
      </c>
      <c r="S1152" s="16">
        <f>CASOPOInvCL!AV1152</f>
        <v>0</v>
      </c>
      <c r="T1152" s="16">
        <f>CASOPOInvCL!AW1152</f>
        <v>0</v>
      </c>
      <c r="Y1152" s="29" t="str">
        <f>IFERROR(HLOOKUP(U1152,List!$D$2:$H$6,2,FALSE),"")</f>
        <v/>
      </c>
      <c r="Z1152" s="29" t="str">
        <f>IFERROR(HLOOKUP(V1152,List!$D$2:$H$6,3,FALSE),"")</f>
        <v/>
      </c>
      <c r="AA1152" s="29" t="str">
        <f>IFERROR(HLOOKUP(W1152,List!$D$2:$H$6,4,FALSE),"")</f>
        <v/>
      </c>
      <c r="AB1152" s="29" t="str">
        <f>IFERROR(HLOOKUP(X1152,List!$D$2:$H$6,5,FALSE),"")</f>
        <v/>
      </c>
      <c r="AC1152" s="12" t="str">
        <f t="shared" si="276"/>
        <v/>
      </c>
      <c r="AD1152" s="12" t="str">
        <f t="shared" si="277"/>
        <v/>
      </c>
      <c r="AE1152" s="12" t="str">
        <f t="shared" si="278"/>
        <v/>
      </c>
      <c r="AF1152" s="12" t="str">
        <f t="shared" si="279"/>
        <v/>
      </c>
      <c r="AG1152" t="str">
        <f>VLOOKUP(J1152,'Receivable Invoice Detail'!$A$1:F4164,6,FALSE)</f>
        <v>[AC-98-331-958-822] Shaft Sleeve, 3x3-10 SRL &amp; SRL-C, 420SS Heat Treated, Hardened</v>
      </c>
      <c r="AM1152" s="12" t="str">
        <f t="shared" si="280"/>
        <v/>
      </c>
      <c r="AN1152" s="12" t="str">
        <f t="shared" si="281"/>
        <v/>
      </c>
      <c r="AO1152" s="12" t="str">
        <f t="shared" si="282"/>
        <v/>
      </c>
      <c r="AP1152" s="12" t="str">
        <f t="shared" si="283"/>
        <v/>
      </c>
      <c r="AQ1152" s="64" t="str">
        <f t="shared" si="284"/>
        <v/>
      </c>
      <c r="AS1152" s="12">
        <f t="shared" si="285"/>
        <v>66.616199999999992</v>
      </c>
      <c r="AT1152" t="s">
        <v>5945</v>
      </c>
    </row>
    <row r="1153" spans="1:46" hidden="1" x14ac:dyDescent="0.25">
      <c r="A1153" s="41">
        <f>CASOPOInvCL!T1153</f>
        <v>1</v>
      </c>
      <c r="B1153" t="str">
        <f>CASOPOInvCL!Z1153</f>
        <v>SO18163</v>
      </c>
      <c r="G1153" s="5" t="str">
        <f>CASOPOInvCL!I1153</f>
        <v>Ian Trottier</v>
      </c>
      <c r="H1153" s="31">
        <f>CASOPOInvCL!U1153</f>
        <v>11</v>
      </c>
      <c r="I1153" s="31">
        <f>CASOPOInvCL!V1153</f>
        <v>2025</v>
      </c>
      <c r="J1153" s="5" t="str">
        <f>CASOPOInvCL!AB1153</f>
        <v>INV13604</v>
      </c>
      <c r="K1153" s="31">
        <f>CASOPOInvCL!W1153</f>
        <v>1</v>
      </c>
      <c r="L1153" s="31">
        <f>CASOPOInvCL!X1153</f>
        <v>2026</v>
      </c>
      <c r="M1153" t="s">
        <v>5945</v>
      </c>
      <c r="N1153" s="5" t="str">
        <f>CASOPOInvCL!AF1153</f>
        <v>Resolute Forest Products - Saint-Felicien</v>
      </c>
      <c r="O1153" s="16" t="str">
        <f>CASOPOInvCL!AG1153</f>
        <v>CAD</v>
      </c>
      <c r="P1153" s="16">
        <f>CASOPOInvCL!AH1153</f>
        <v>7379.65</v>
      </c>
      <c r="Q1153" s="16">
        <f>CASOPOInvCL!AI1153</f>
        <v>5272.9693418853394</v>
      </c>
      <c r="R1153" s="32" t="str">
        <f>CASOPOInvCL!AU1153</f>
        <v>Yes</v>
      </c>
      <c r="S1153" s="16">
        <f>CASOPOInvCL!AV1153</f>
        <v>0</v>
      </c>
      <c r="T1153" s="16">
        <f>CASOPOInvCL!AW1153</f>
        <v>5272.9693418853394</v>
      </c>
      <c r="Y1153" s="29" t="str">
        <f>IFERROR(HLOOKUP(U1153,List!$D$2:$H$6,2,FALSE),"")</f>
        <v/>
      </c>
      <c r="Z1153" s="29" t="str">
        <f>IFERROR(HLOOKUP(V1153,List!$D$2:$H$6,3,FALSE),"")</f>
        <v/>
      </c>
      <c r="AA1153" s="29" t="str">
        <f>IFERROR(HLOOKUP(W1153,List!$D$2:$H$6,4,FALSE),"")</f>
        <v/>
      </c>
      <c r="AB1153" s="29" t="str">
        <f>IFERROR(HLOOKUP(X1153,List!$D$2:$H$6,5,FALSE),"")</f>
        <v/>
      </c>
      <c r="AC1153" s="12" t="str">
        <f t="shared" si="276"/>
        <v/>
      </c>
      <c r="AD1153" s="12" t="str">
        <f t="shared" si="277"/>
        <v/>
      </c>
      <c r="AE1153" s="12" t="str">
        <f t="shared" si="278"/>
        <v/>
      </c>
      <c r="AF1153" s="12" t="str">
        <f t="shared" si="279"/>
        <v/>
      </c>
      <c r="AG1153" t="str">
        <f>VLOOKUP(J1153,'Receivable Invoice Detail'!$A$1:F4165,6,FALSE)</f>
        <v>[AC-98-236-257-501] Packing Gland (2 Half/Set), Allis Chalmers PWO, Group 2, 316SS</v>
      </c>
      <c r="AM1153" s="12" t="str">
        <f t="shared" si="280"/>
        <v/>
      </c>
      <c r="AN1153" s="12" t="str">
        <f t="shared" si="281"/>
        <v/>
      </c>
      <c r="AO1153" s="12" t="str">
        <f t="shared" si="282"/>
        <v/>
      </c>
      <c r="AP1153" s="12" t="str">
        <f t="shared" si="283"/>
        <v/>
      </c>
      <c r="AQ1153" s="64" t="str">
        <f t="shared" si="284"/>
        <v/>
      </c>
      <c r="AS1153" s="12">
        <f t="shared" si="285"/>
        <v>0</v>
      </c>
      <c r="AT1153" t="s">
        <v>5945</v>
      </c>
    </row>
    <row r="1154" spans="1:46" hidden="1" x14ac:dyDescent="0.25">
      <c r="A1154" s="41">
        <f>CASOPOInvCL!T1154</f>
        <v>1</v>
      </c>
      <c r="B1154" t="str">
        <f>CASOPOInvCL!Z1154</f>
        <v>SO18164</v>
      </c>
      <c r="G1154" s="5" t="str">
        <f>CASOPOInvCL!I1154</f>
        <v>Yannett Yeomans</v>
      </c>
      <c r="H1154" s="31">
        <f>CASOPOInvCL!U1154</f>
        <v>11</v>
      </c>
      <c r="I1154" s="31">
        <f>CASOPOInvCL!V1154</f>
        <v>2025</v>
      </c>
      <c r="J1154" s="5" t="str">
        <f>CASOPOInvCL!AB1154</f>
        <v>INV13630</v>
      </c>
      <c r="K1154" s="31" t="str">
        <f>CASOPOInvCL!W1154</f>
        <v/>
      </c>
      <c r="L1154" s="31" t="str">
        <f>CASOPOInvCL!X1154</f>
        <v/>
      </c>
      <c r="M1154" t="s">
        <v>5945</v>
      </c>
      <c r="N1154" s="5" t="str">
        <f>CASOPOInvCL!AF1154</f>
        <v>Dynapro Pumps México S de RL de CV</v>
      </c>
      <c r="O1154" s="16" t="str">
        <f>CASOPOInvCL!AG1154</f>
        <v>USD</v>
      </c>
      <c r="P1154" s="16">
        <f>CASOPOInvCL!AH1154</f>
        <v>9447.2566749652851</v>
      </c>
      <c r="Q1154" s="16">
        <f>CASOPOInvCL!AI1154</f>
        <v>6731</v>
      </c>
      <c r="R1154" s="32" t="str">
        <f>CASOPOInvCL!AU1154</f>
        <v/>
      </c>
      <c r="S1154" s="16">
        <f>CASOPOInvCL!AV1154</f>
        <v>0</v>
      </c>
      <c r="T1154" s="16">
        <f>CASOPOInvCL!AW1154</f>
        <v>0</v>
      </c>
      <c r="Y1154" s="29" t="str">
        <f>IFERROR(HLOOKUP(U1154,List!$D$2:$H$6,2,FALSE),"")</f>
        <v/>
      </c>
      <c r="Z1154" s="29" t="str">
        <f>IFERROR(HLOOKUP(V1154,List!$D$2:$H$6,3,FALSE),"")</f>
        <v/>
      </c>
      <c r="AA1154" s="29" t="str">
        <f>IFERROR(HLOOKUP(W1154,List!$D$2:$H$6,4,FALSE),"")</f>
        <v/>
      </c>
      <c r="AB1154" s="29" t="str">
        <f>IFERROR(HLOOKUP(X1154,List!$D$2:$H$6,5,FALSE),"")</f>
        <v/>
      </c>
      <c r="AC1154" s="12" t="str">
        <f t="shared" si="276"/>
        <v/>
      </c>
      <c r="AD1154" s="12" t="str">
        <f t="shared" si="277"/>
        <v/>
      </c>
      <c r="AE1154" s="12" t="str">
        <f t="shared" si="278"/>
        <v/>
      </c>
      <c r="AF1154" s="12" t="str">
        <f t="shared" si="279"/>
        <v/>
      </c>
      <c r="AG1154" t="e">
        <f>VLOOKUP(J1154,'Receivable Invoice Detail'!$A$1:F4166,6,FALSE)</f>
        <v>#N/A</v>
      </c>
      <c r="AM1154" s="12" t="str">
        <f t="shared" si="280"/>
        <v/>
      </c>
      <c r="AN1154" s="12" t="str">
        <f t="shared" si="281"/>
        <v/>
      </c>
      <c r="AO1154" s="12" t="str">
        <f t="shared" si="282"/>
        <v/>
      </c>
      <c r="AP1154" s="12" t="str">
        <f t="shared" si="283"/>
        <v/>
      </c>
      <c r="AQ1154" s="64" t="str">
        <f t="shared" si="284"/>
        <v/>
      </c>
      <c r="AR1154" t="s">
        <v>5940</v>
      </c>
      <c r="AS1154" s="12">
        <f t="shared" si="285"/>
        <v>0</v>
      </c>
      <c r="AT1154" t="s">
        <v>5940</v>
      </c>
    </row>
    <row r="1155" spans="1:46" hidden="1" x14ac:dyDescent="0.25">
      <c r="A1155" s="41">
        <f>CASOPOInvCL!T1155</f>
        <v>1</v>
      </c>
      <c r="B1155" t="str">
        <f>CASOPOInvCL!Z1155</f>
        <v>SO18165</v>
      </c>
      <c r="G1155" s="5" t="str">
        <f>CASOPOInvCL!I1155</f>
        <v>Aleksandar Stankovic</v>
      </c>
      <c r="H1155" s="31">
        <f>CASOPOInvCL!U1155</f>
        <v>11</v>
      </c>
      <c r="I1155" s="31">
        <f>CASOPOInvCL!V1155</f>
        <v>2025</v>
      </c>
      <c r="J1155" s="5" t="str">
        <f>CASOPOInvCL!AB1155</f>
        <v>INV13609</v>
      </c>
      <c r="K1155" s="31">
        <f>CASOPOInvCL!W1155</f>
        <v>12</v>
      </c>
      <c r="L1155" s="31">
        <f>CASOPOInvCL!X1155</f>
        <v>2025</v>
      </c>
      <c r="M1155" t="s">
        <v>5945</v>
      </c>
      <c r="N1155" s="5" t="str">
        <f>CASOPOInvCL!AF1155</f>
        <v>Sealtrac Inc.</v>
      </c>
      <c r="O1155" s="16" t="str">
        <f>CASOPOInvCL!AG1155</f>
        <v>CAD</v>
      </c>
      <c r="P1155" s="16">
        <f>CASOPOInvCL!AH1155</f>
        <v>429.76</v>
      </c>
      <c r="Q1155" s="16">
        <f>CASOPOInvCL!AI1155</f>
        <v>305.17717437242476</v>
      </c>
      <c r="R1155" s="32" t="str">
        <f>CASOPOInvCL!AU1155</f>
        <v>Yes</v>
      </c>
      <c r="S1155" s="16">
        <f>CASOPOInvCL!AV1155</f>
        <v>0</v>
      </c>
      <c r="T1155" s="16">
        <f>CASOPOInvCL!AW1155</f>
        <v>305.17717437242476</v>
      </c>
      <c r="Y1155" s="29" t="str">
        <f>IFERROR(HLOOKUP(U1155,List!$D$2:$H$6,2,FALSE),"")</f>
        <v/>
      </c>
      <c r="Z1155" s="29" t="str">
        <f>IFERROR(HLOOKUP(V1155,List!$D$2:$H$6,3,FALSE),"")</f>
        <v/>
      </c>
      <c r="AA1155" s="29" t="str">
        <f>IFERROR(HLOOKUP(W1155,List!$D$2:$H$6,4,FALSE),"")</f>
        <v/>
      </c>
      <c r="AB1155" s="29" t="str">
        <f>IFERROR(HLOOKUP(X1155,List!$D$2:$H$6,5,FALSE),"")</f>
        <v/>
      </c>
      <c r="AC1155" s="12" t="str">
        <f t="shared" ref="AC1155:AC1218" si="286">IFERROR(Y1155*$T1155,"")</f>
        <v/>
      </c>
      <c r="AD1155" s="12" t="str">
        <f t="shared" ref="AD1155:AD1218" si="287">IFERROR(Z1155*$T1155,"")</f>
        <v/>
      </c>
      <c r="AE1155" s="12" t="str">
        <f t="shared" ref="AE1155:AE1218" si="288">IFERROR(AA1155*$T1155,"")</f>
        <v/>
      </c>
      <c r="AF1155" s="12" t="str">
        <f t="shared" ref="AF1155:AF1218" si="289">IFERROR(AB1155*$T1155,"")</f>
        <v/>
      </c>
      <c r="AG1155" t="str">
        <f>VLOOKUP(J1155,'Receivable Invoice Detail'!$A$1:F4167,6,FALSE)</f>
        <v>[DU-AY38913AA-316] Shaft Sleeve, Durco Mark 2&amp;3 Group 2, 316SS</v>
      </c>
      <c r="AM1155" s="12" t="str">
        <f t="shared" ref="AM1155:AM1218" si="290">IF(AI1155="",AC1155,0)</f>
        <v/>
      </c>
      <c r="AN1155" s="12" t="str">
        <f t="shared" ref="AN1155:AN1218" si="291">IF(AJ1155="",AD1155,0)</f>
        <v/>
      </c>
      <c r="AO1155" s="12" t="str">
        <f t="shared" ref="AO1155:AO1218" si="292">IF(AK1155="",AE1155,0)</f>
        <v/>
      </c>
      <c r="AP1155" s="12" t="str">
        <f t="shared" ref="AP1155:AP1218" si="293">IF(AL1155="",AF1155,0)</f>
        <v/>
      </c>
      <c r="AQ1155" s="64" t="str">
        <f t="shared" si="284"/>
        <v/>
      </c>
      <c r="AR1155" t="s">
        <v>5943</v>
      </c>
      <c r="AS1155" s="12">
        <f t="shared" si="285"/>
        <v>0</v>
      </c>
      <c r="AT1155" t="s">
        <v>5945</v>
      </c>
    </row>
    <row r="1156" spans="1:46" hidden="1" x14ac:dyDescent="0.25">
      <c r="A1156" s="41">
        <f>CASOPOInvCL!T1156</f>
        <v>1</v>
      </c>
      <c r="B1156" t="str">
        <f>CASOPOInvCL!Z1156</f>
        <v>SO18167</v>
      </c>
      <c r="G1156" s="5" t="str">
        <f>CASOPOInvCL!I1156</f>
        <v>Wilka Nuñez</v>
      </c>
      <c r="H1156" s="31">
        <f>CASOPOInvCL!U1156</f>
        <v>11</v>
      </c>
      <c r="I1156" s="31">
        <f>CASOPOInvCL!V1156</f>
        <v>2025</v>
      </c>
      <c r="J1156" s="5" t="str">
        <f>CASOPOInvCL!AB1156</f>
        <v>INV13629</v>
      </c>
      <c r="K1156" s="31">
        <f>CASOPOInvCL!W1156</f>
        <v>1</v>
      </c>
      <c r="L1156" s="31">
        <f>CASOPOInvCL!X1156</f>
        <v>2026</v>
      </c>
      <c r="M1156" t="s">
        <v>5945</v>
      </c>
      <c r="N1156" s="5" t="str">
        <f>CASOPOInvCL!AF1156</f>
        <v>Wajax Limited - Noranda</v>
      </c>
      <c r="O1156" s="16" t="str">
        <f>CASOPOInvCL!AG1156</f>
        <v>CAD</v>
      </c>
      <c r="P1156" s="16">
        <f>CASOPOInvCL!AH1156</f>
        <v>2627.35</v>
      </c>
      <c r="Q1156" s="16">
        <f>CASOPOInvCL!AI1156</f>
        <v>1866.5911457000318</v>
      </c>
      <c r="R1156" s="32" t="str">
        <f>CASOPOInvCL!AU1156</f>
        <v/>
      </c>
      <c r="S1156" s="16">
        <f>CASOPOInvCL!AV1156</f>
        <v>0</v>
      </c>
      <c r="T1156" s="16">
        <f>CASOPOInvCL!AW1156</f>
        <v>0</v>
      </c>
      <c r="Y1156" s="29" t="str">
        <f>IFERROR(HLOOKUP(U1156,List!$D$2:$H$6,2,FALSE),"")</f>
        <v/>
      </c>
      <c r="Z1156" s="29" t="str">
        <f>IFERROR(HLOOKUP(V1156,List!$D$2:$H$6,3,FALSE),"")</f>
        <v/>
      </c>
      <c r="AA1156" s="29" t="str">
        <f>IFERROR(HLOOKUP(W1156,List!$D$2:$H$6,4,FALSE),"")</f>
        <v/>
      </c>
      <c r="AB1156" s="29" t="str">
        <f>IFERROR(HLOOKUP(X1156,List!$D$2:$H$6,5,FALSE),"")</f>
        <v/>
      </c>
      <c r="AC1156" s="12" t="str">
        <f t="shared" si="286"/>
        <v/>
      </c>
      <c r="AD1156" s="12" t="str">
        <f t="shared" si="287"/>
        <v/>
      </c>
      <c r="AE1156" s="12" t="str">
        <f t="shared" si="288"/>
        <v/>
      </c>
      <c r="AF1156" s="12" t="str">
        <f t="shared" si="289"/>
        <v/>
      </c>
      <c r="AG1156" t="str">
        <f>VLOOKUP(J1156,'Receivable Invoice Detail'!$A$1:F4168,6,FALSE)</f>
        <v>[W-D3110/A05] Volute Liner, 4/3 C or D-AH, High Chrome</v>
      </c>
      <c r="AM1156" s="12" t="str">
        <f t="shared" si="290"/>
        <v/>
      </c>
      <c r="AN1156" s="12" t="str">
        <f t="shared" si="291"/>
        <v/>
      </c>
      <c r="AO1156" s="12" t="str">
        <f t="shared" si="292"/>
        <v/>
      </c>
      <c r="AP1156" s="12" t="str">
        <f t="shared" si="293"/>
        <v/>
      </c>
      <c r="AQ1156" s="64" t="str">
        <f t="shared" si="284"/>
        <v/>
      </c>
      <c r="AS1156" s="12">
        <f t="shared" si="285"/>
        <v>1.6785343382802633</v>
      </c>
      <c r="AT1156" t="s">
        <v>5945</v>
      </c>
    </row>
    <row r="1157" spans="1:46" hidden="1" x14ac:dyDescent="0.25">
      <c r="A1157" s="41">
        <f>CASOPOInvCL!T1157</f>
        <v>1</v>
      </c>
      <c r="B1157" t="str">
        <f>CASOPOInvCL!Z1157</f>
        <v>SO18170</v>
      </c>
      <c r="G1157" s="5" t="str">
        <f>CASOPOInvCL!I1157</f>
        <v>Wilka Nuñez</v>
      </c>
      <c r="H1157" s="31">
        <f>CASOPOInvCL!U1157</f>
        <v>11</v>
      </c>
      <c r="I1157" s="31">
        <f>CASOPOInvCL!V1157</f>
        <v>2025</v>
      </c>
      <c r="J1157" s="5" t="str">
        <f>CASOPOInvCL!AB1157</f>
        <v>INV13706</v>
      </c>
      <c r="K1157" s="31">
        <f>CASOPOInvCL!W1157</f>
        <v>12</v>
      </c>
      <c r="L1157" s="31">
        <f>CASOPOInvCL!X1157</f>
        <v>2025</v>
      </c>
      <c r="M1157" t="s">
        <v>5945</v>
      </c>
      <c r="N1157" s="5" t="str">
        <f>CASOPOInvCL!AF1157</f>
        <v>Sling-Choker Manufacturing - Timmins</v>
      </c>
      <c r="O1157" s="16" t="str">
        <f>CASOPOInvCL!AG1157</f>
        <v>CAD</v>
      </c>
      <c r="P1157" s="16">
        <f>CASOPOInvCL!AH1157</f>
        <v>2246.04</v>
      </c>
      <c r="Q1157" s="16">
        <f>CASOPOInvCL!AI1157</f>
        <v>1594.9370363166436</v>
      </c>
      <c r="R1157" s="32" t="str">
        <f>CASOPOInvCL!AU1157</f>
        <v>Yes</v>
      </c>
      <c r="S1157" s="16">
        <f>CASOPOInvCL!AV1157</f>
        <v>0</v>
      </c>
      <c r="T1157" s="16">
        <f>CASOPOInvCL!AW1157</f>
        <v>1594.9370363166436</v>
      </c>
      <c r="Y1157" s="29" t="str">
        <f>IFERROR(HLOOKUP(U1157,List!$D$2:$H$6,2,FALSE),"")</f>
        <v/>
      </c>
      <c r="Z1157" s="29" t="str">
        <f>IFERROR(HLOOKUP(V1157,List!$D$2:$H$6,3,FALSE),"")</f>
        <v/>
      </c>
      <c r="AA1157" s="29" t="str">
        <f>IFERROR(HLOOKUP(W1157,List!$D$2:$H$6,4,FALSE),"")</f>
        <v/>
      </c>
      <c r="AB1157" s="29" t="str">
        <f>IFERROR(HLOOKUP(X1157,List!$D$2:$H$6,5,FALSE),"")</f>
        <v/>
      </c>
      <c r="AC1157" s="12" t="str">
        <f t="shared" si="286"/>
        <v/>
      </c>
      <c r="AD1157" s="12" t="str">
        <f t="shared" si="287"/>
        <v/>
      </c>
      <c r="AE1157" s="12" t="str">
        <f t="shared" si="288"/>
        <v/>
      </c>
      <c r="AF1157" s="12" t="str">
        <f t="shared" si="289"/>
        <v/>
      </c>
      <c r="AG1157" t="str">
        <f>VLOOKUP(J1157,'Receivable Invoice Detail'!$A$1:F4169,6,FALSE)</f>
        <v>[AC-98-231-115-501] Suction Side Liner, 5x4-14 SRL-C, Natural Rubber</v>
      </c>
      <c r="AM1157" s="12" t="str">
        <f t="shared" si="290"/>
        <v/>
      </c>
      <c r="AN1157" s="12" t="str">
        <f t="shared" si="291"/>
        <v/>
      </c>
      <c r="AO1157" s="12" t="str">
        <f t="shared" si="292"/>
        <v/>
      </c>
      <c r="AP1157" s="12" t="str">
        <f t="shared" si="293"/>
        <v/>
      </c>
      <c r="AQ1157" s="64" t="str">
        <f t="shared" si="284"/>
        <v/>
      </c>
      <c r="AS1157" s="12">
        <f t="shared" si="285"/>
        <v>0</v>
      </c>
      <c r="AT1157" t="s">
        <v>5945</v>
      </c>
    </row>
    <row r="1158" spans="1:46" hidden="1" x14ac:dyDescent="0.25">
      <c r="A1158" s="41">
        <f>CASOPOInvCL!T1158</f>
        <v>1</v>
      </c>
      <c r="B1158" t="str">
        <f>CASOPOInvCL!Z1158</f>
        <v>SO18172</v>
      </c>
      <c r="G1158" s="5" t="str">
        <f>CASOPOInvCL!I1158</f>
        <v>Alexis Gil Lamadrid</v>
      </c>
      <c r="H1158" s="31">
        <f>CASOPOInvCL!U1158</f>
        <v>11</v>
      </c>
      <c r="I1158" s="31">
        <f>CASOPOInvCL!V1158</f>
        <v>2025</v>
      </c>
      <c r="J1158" s="5" t="str">
        <f>CASOPOInvCL!AB1158</f>
        <v>INV13610</v>
      </c>
      <c r="K1158" s="31">
        <f>CASOPOInvCL!W1158</f>
        <v>12</v>
      </c>
      <c r="L1158" s="31">
        <f>CASOPOInvCL!X1158</f>
        <v>2025</v>
      </c>
      <c r="M1158" t="s">
        <v>5945</v>
      </c>
      <c r="N1158" s="5" t="str">
        <f>CASOPOInvCL!AF1158</f>
        <v>Wajax Limited - Lachine</v>
      </c>
      <c r="O1158" s="16" t="str">
        <f>CASOPOInvCL!AG1158</f>
        <v>CAD</v>
      </c>
      <c r="P1158" s="16">
        <f>CASOPOInvCL!AH1158</f>
        <v>947.91</v>
      </c>
      <c r="Q1158" s="16">
        <f>CASOPOInvCL!AI1158</f>
        <v>673.12103350559642</v>
      </c>
      <c r="R1158" s="32" t="str">
        <f>CASOPOInvCL!AU1158</f>
        <v>Yes</v>
      </c>
      <c r="S1158" s="16">
        <f>CASOPOInvCL!AV1158</f>
        <v>0</v>
      </c>
      <c r="T1158" s="16">
        <f>CASOPOInvCL!AW1158</f>
        <v>673.12103350559642</v>
      </c>
      <c r="Y1158" s="29" t="str">
        <f>IFERROR(HLOOKUP(U1158,List!$D$2:$H$6,2,FALSE),"")</f>
        <v/>
      </c>
      <c r="Z1158" s="29" t="str">
        <f>IFERROR(HLOOKUP(V1158,List!$D$2:$H$6,3,FALSE),"")</f>
        <v/>
      </c>
      <c r="AA1158" s="29" t="str">
        <f>IFERROR(HLOOKUP(W1158,List!$D$2:$H$6,4,FALSE),"")</f>
        <v/>
      </c>
      <c r="AB1158" s="29" t="str">
        <f>IFERROR(HLOOKUP(X1158,List!$D$2:$H$6,5,FALSE),"")</f>
        <v/>
      </c>
      <c r="AC1158" s="12" t="str">
        <f t="shared" si="286"/>
        <v/>
      </c>
      <c r="AD1158" s="12" t="str">
        <f t="shared" si="287"/>
        <v/>
      </c>
      <c r="AE1158" s="12" t="str">
        <f t="shared" si="288"/>
        <v/>
      </c>
      <c r="AF1158" s="12" t="str">
        <f t="shared" si="289"/>
        <v/>
      </c>
      <c r="AG1158" t="str">
        <f>VLOOKUP(J1158,'Receivable Invoice Detail'!$A$1:F4170,6,FALSE)</f>
        <v>[W-S239M/C21] Release Collar Assembly, 10/8 to 14/12 ST-AH, 420SS, Metric</v>
      </c>
      <c r="AM1158" s="12" t="str">
        <f t="shared" si="290"/>
        <v/>
      </c>
      <c r="AN1158" s="12" t="str">
        <f t="shared" si="291"/>
        <v/>
      </c>
      <c r="AO1158" s="12" t="str">
        <f t="shared" si="292"/>
        <v/>
      </c>
      <c r="AP1158" s="12" t="str">
        <f t="shared" si="293"/>
        <v/>
      </c>
      <c r="AQ1158" s="64" t="str">
        <f t="shared" si="284"/>
        <v/>
      </c>
      <c r="AS1158" s="12">
        <f t="shared" si="285"/>
        <v>6.1840432669416323</v>
      </c>
      <c r="AT1158" t="s">
        <v>5945</v>
      </c>
    </row>
    <row r="1159" spans="1:46" hidden="1" x14ac:dyDescent="0.25">
      <c r="A1159" s="41">
        <f>CASOPOInvCL!T1159</f>
        <v>0</v>
      </c>
      <c r="B1159" t="str">
        <f>CASOPOInvCL!Z1159</f>
        <v>SO18173</v>
      </c>
      <c r="G1159" s="5" t="str">
        <f>CASOPOInvCL!I1159</f>
        <v>Ian Trottier</v>
      </c>
      <c r="H1159" s="31">
        <f>CASOPOInvCL!U1159</f>
        <v>11</v>
      </c>
      <c r="I1159" s="31">
        <f>CASOPOInvCL!V1159</f>
        <v>2025</v>
      </c>
      <c r="J1159" s="5" t="str">
        <f>CASOPOInvCL!AB1159</f>
        <v>No Inv</v>
      </c>
      <c r="K1159" s="31" t="str">
        <f>CASOPOInvCL!W1159</f>
        <v/>
      </c>
      <c r="L1159" s="31" t="str">
        <f>CASOPOInvCL!X1159</f>
        <v/>
      </c>
      <c r="M1159" t="s">
        <v>5945</v>
      </c>
      <c r="N1159" s="5" t="str">
        <f>CASOPOInvCL!AF1159</f>
        <v>Sealtrac Inc.</v>
      </c>
      <c r="O1159" s="16" t="str">
        <f>CASOPOInvCL!AG1159</f>
        <v>CAD</v>
      </c>
      <c r="P1159" s="16">
        <f>CASOPOInvCL!AH1159</f>
        <v>12256.92</v>
      </c>
      <c r="Q1159" s="16">
        <f>CASOPOInvCL!AI1159</f>
        <v>8749.0077634652898</v>
      </c>
      <c r="R1159" s="32" t="str">
        <f>CASOPOInvCL!AU1159</f>
        <v/>
      </c>
      <c r="S1159" s="16">
        <f>CASOPOInvCL!AV1159</f>
        <v>0</v>
      </c>
      <c r="T1159" s="16">
        <f>CASOPOInvCL!AW1159</f>
        <v>0</v>
      </c>
      <c r="Y1159" s="29" t="str">
        <f>IFERROR(HLOOKUP(U1159,List!$D$2:$H$6,2,FALSE),"")</f>
        <v/>
      </c>
      <c r="Z1159" s="29" t="str">
        <f>IFERROR(HLOOKUP(V1159,List!$D$2:$H$6,3,FALSE),"")</f>
        <v/>
      </c>
      <c r="AA1159" s="29" t="str">
        <f>IFERROR(HLOOKUP(W1159,List!$D$2:$H$6,4,FALSE),"")</f>
        <v/>
      </c>
      <c r="AB1159" s="29" t="str">
        <f>IFERROR(HLOOKUP(X1159,List!$D$2:$H$6,5,FALSE),"")</f>
        <v/>
      </c>
      <c r="AC1159" s="12" t="str">
        <f t="shared" si="286"/>
        <v/>
      </c>
      <c r="AD1159" s="12" t="str">
        <f t="shared" si="287"/>
        <v/>
      </c>
      <c r="AE1159" s="12" t="str">
        <f t="shared" si="288"/>
        <v/>
      </c>
      <c r="AF1159" s="12" t="str">
        <f t="shared" si="289"/>
        <v/>
      </c>
      <c r="AG1159" t="e">
        <f>VLOOKUP(J1159,'Receivable Invoice Detail'!$A$1:F4171,6,FALSE)</f>
        <v>#N/A</v>
      </c>
      <c r="AM1159" s="12" t="str">
        <f t="shared" si="290"/>
        <v/>
      </c>
      <c r="AN1159" s="12" t="str">
        <f t="shared" si="291"/>
        <v/>
      </c>
      <c r="AO1159" s="12" t="str">
        <f t="shared" si="292"/>
        <v/>
      </c>
      <c r="AP1159" s="12" t="str">
        <f t="shared" si="293"/>
        <v/>
      </c>
      <c r="AQ1159" s="64" t="str">
        <f t="shared" si="284"/>
        <v/>
      </c>
      <c r="AS1159" s="12">
        <f t="shared" si="285"/>
        <v>0</v>
      </c>
      <c r="AT1159" t="s">
        <v>5945</v>
      </c>
    </row>
    <row r="1160" spans="1:46" hidden="1" x14ac:dyDescent="0.25">
      <c r="A1160" s="41">
        <f>CASOPOInvCL!T1160</f>
        <v>0</v>
      </c>
      <c r="B1160" t="str">
        <f>CASOPOInvCL!Z1160</f>
        <v>SO18175</v>
      </c>
      <c r="G1160" s="5" t="str">
        <f>CASOPOInvCL!I1160</f>
        <v>Wilka Nuñez</v>
      </c>
      <c r="H1160" s="31">
        <f>CASOPOInvCL!U1160</f>
        <v>11</v>
      </c>
      <c r="I1160" s="31">
        <f>CASOPOInvCL!V1160</f>
        <v>2025</v>
      </c>
      <c r="J1160" s="5" t="str">
        <f>CASOPOInvCL!AB1160</f>
        <v>No Inv</v>
      </c>
      <c r="K1160" s="31" t="str">
        <f>CASOPOInvCL!W1160</f>
        <v/>
      </c>
      <c r="L1160" s="31" t="str">
        <f>CASOPOInvCL!X1160</f>
        <v/>
      </c>
      <c r="M1160" t="s">
        <v>5945</v>
      </c>
      <c r="N1160" s="5" t="str">
        <f>CASOPOInvCL!AF1160</f>
        <v>Flowstar Industrial Inc</v>
      </c>
      <c r="O1160" s="16" t="str">
        <f>CASOPOInvCL!AG1160</f>
        <v>CAD</v>
      </c>
      <c r="P1160" s="16">
        <f>CASOPOInvCL!AH1160</f>
        <v>778</v>
      </c>
      <c r="Q1160" s="16">
        <f>CASOPOInvCL!AI1160</f>
        <v>552.72723898781089</v>
      </c>
      <c r="R1160" s="32" t="str">
        <f>CASOPOInvCL!AU1160</f>
        <v/>
      </c>
      <c r="S1160" s="16">
        <f>CASOPOInvCL!AV1160</f>
        <v>0</v>
      </c>
      <c r="T1160" s="16">
        <f>CASOPOInvCL!AW1160</f>
        <v>0</v>
      </c>
      <c r="Y1160" s="29" t="str">
        <f>IFERROR(HLOOKUP(U1160,List!$D$2:$H$6,2,FALSE),"")</f>
        <v/>
      </c>
      <c r="Z1160" s="29" t="str">
        <f>IFERROR(HLOOKUP(V1160,List!$D$2:$H$6,3,FALSE),"")</f>
        <v/>
      </c>
      <c r="AA1160" s="29" t="str">
        <f>IFERROR(HLOOKUP(W1160,List!$D$2:$H$6,4,FALSE),"")</f>
        <v/>
      </c>
      <c r="AB1160" s="29" t="str">
        <f>IFERROR(HLOOKUP(X1160,List!$D$2:$H$6,5,FALSE),"")</f>
        <v/>
      </c>
      <c r="AC1160" s="12" t="str">
        <f t="shared" si="286"/>
        <v/>
      </c>
      <c r="AD1160" s="12" t="str">
        <f t="shared" si="287"/>
        <v/>
      </c>
      <c r="AE1160" s="12" t="str">
        <f t="shared" si="288"/>
        <v/>
      </c>
      <c r="AF1160" s="12" t="str">
        <f t="shared" si="289"/>
        <v/>
      </c>
      <c r="AG1160" t="e">
        <f>VLOOKUP(J1160,'Receivable Invoice Detail'!$A$1:F4172,6,FALSE)</f>
        <v>#N/A</v>
      </c>
      <c r="AM1160" s="12" t="str">
        <f t="shared" si="290"/>
        <v/>
      </c>
      <c r="AN1160" s="12" t="str">
        <f t="shared" si="291"/>
        <v/>
      </c>
      <c r="AO1160" s="12" t="str">
        <f t="shared" si="292"/>
        <v/>
      </c>
      <c r="AP1160" s="12" t="str">
        <f t="shared" si="293"/>
        <v/>
      </c>
      <c r="AQ1160" s="64" t="str">
        <f t="shared" si="284"/>
        <v/>
      </c>
      <c r="AS1160" s="12">
        <f t="shared" si="285"/>
        <v>79.094540128280087</v>
      </c>
      <c r="AT1160" t="s">
        <v>5945</v>
      </c>
    </row>
    <row r="1161" spans="1:46" hidden="1" x14ac:dyDescent="0.25">
      <c r="A1161" s="41">
        <f>CASOPOInvCL!T1161</f>
        <v>2</v>
      </c>
      <c r="B1161" t="str">
        <f>CASOPOInvCL!Z1161</f>
        <v>SO18176</v>
      </c>
      <c r="D1161" t="s">
        <v>5938</v>
      </c>
      <c r="G1161" s="5" t="str">
        <f>CASOPOInvCL!I1161</f>
        <v>Marlen Martinez</v>
      </c>
      <c r="H1161" s="31">
        <f>CASOPOInvCL!U1161</f>
        <v>11</v>
      </c>
      <c r="I1161" s="31">
        <f>CASOPOInvCL!V1161</f>
        <v>2025</v>
      </c>
      <c r="J1161" s="5" t="str">
        <f>CASOPOInvCL!AB1161</f>
        <v>INV13677</v>
      </c>
      <c r="K1161" s="31" t="str">
        <f>CASOPOInvCL!W1161</f>
        <v/>
      </c>
      <c r="L1161" s="31" t="str">
        <f>CASOPOInvCL!X1161</f>
        <v/>
      </c>
      <c r="M1161" t="s">
        <v>5945</v>
      </c>
      <c r="N1161" s="5" t="str">
        <f>CASOPOInvCL!AF1161</f>
        <v>Covia Corp - Junction City</v>
      </c>
      <c r="O1161" s="16" t="str">
        <f>CASOPOInvCL!AG1161</f>
        <v>USD</v>
      </c>
      <c r="P1161" s="16">
        <f>CASOPOInvCL!AH1161</f>
        <v>5656.4863502806011</v>
      </c>
      <c r="Q1161" s="16">
        <f>CASOPOInvCL!AI1161</f>
        <v>4009.21</v>
      </c>
      <c r="R1161" s="32" t="str">
        <f>CASOPOInvCL!AU1161</f>
        <v/>
      </c>
      <c r="S1161" s="16">
        <f>CASOPOInvCL!AV1161</f>
        <v>65</v>
      </c>
      <c r="T1161" s="16">
        <f>CASOPOInvCL!AW1161</f>
        <v>0</v>
      </c>
      <c r="Y1161" s="29" t="str">
        <f>IFERROR(HLOOKUP(U1161,List!$D$2:$H$6,2,FALSE),"")</f>
        <v/>
      </c>
      <c r="Z1161" s="29" t="str">
        <f>IFERROR(HLOOKUP(V1161,List!$D$2:$H$6,3,FALSE),"")</f>
        <v/>
      </c>
      <c r="AA1161" s="29" t="str">
        <f>IFERROR(HLOOKUP(W1161,List!$D$2:$H$6,4,FALSE),"")</f>
        <v/>
      </c>
      <c r="AB1161" s="29" t="str">
        <f>IFERROR(HLOOKUP(X1161,List!$D$2:$H$6,5,FALSE),"")</f>
        <v/>
      </c>
      <c r="AC1161" s="12" t="str">
        <f t="shared" si="286"/>
        <v/>
      </c>
      <c r="AD1161" s="12" t="str">
        <f t="shared" si="287"/>
        <v/>
      </c>
      <c r="AE1161" s="12" t="str">
        <f t="shared" si="288"/>
        <v/>
      </c>
      <c r="AF1161" s="12" t="str">
        <f t="shared" si="289"/>
        <v/>
      </c>
      <c r="AG1161" t="str">
        <f>VLOOKUP(J1161,'Receivable Invoice Detail'!$A$1:F4173,6,FALSE)</f>
        <v>[W-S30122/S01] Seal Ring, 300 RSL, EPDM Rubber</v>
      </c>
      <c r="AM1161" s="12" t="str">
        <f t="shared" si="290"/>
        <v/>
      </c>
      <c r="AN1161" s="12" t="str">
        <f t="shared" si="291"/>
        <v/>
      </c>
      <c r="AO1161" s="12" t="str">
        <f t="shared" si="292"/>
        <v/>
      </c>
      <c r="AP1161" s="12" t="str">
        <f t="shared" si="293"/>
        <v/>
      </c>
      <c r="AQ1161" s="64" t="str">
        <f t="shared" si="284"/>
        <v/>
      </c>
      <c r="AR1161" t="s">
        <v>5939</v>
      </c>
      <c r="AS1161" s="12">
        <f t="shared" si="285"/>
        <v>0</v>
      </c>
      <c r="AT1161" t="s">
        <v>5945</v>
      </c>
    </row>
    <row r="1162" spans="1:46" hidden="1" x14ac:dyDescent="0.25">
      <c r="A1162" s="41">
        <f>CASOPOInvCL!T1162</f>
        <v>2</v>
      </c>
      <c r="B1162" t="str">
        <f>CASOPOInvCL!Z1162</f>
        <v>SO18176</v>
      </c>
      <c r="D1162" t="s">
        <v>5938</v>
      </c>
      <c r="G1162" s="5">
        <f>CASOPOInvCL!I1162</f>
        <v>0</v>
      </c>
      <c r="H1162" s="31">
        <f>CASOPOInvCL!U1162</f>
        <v>11</v>
      </c>
      <c r="I1162" s="31">
        <f>CASOPOInvCL!V1162</f>
        <v>2025</v>
      </c>
      <c r="J1162" s="5" t="str">
        <f>CASOPOInvCL!AB1162</f>
        <v>INV13840</v>
      </c>
      <c r="K1162" s="31" t="str">
        <f>CASOPOInvCL!W1162</f>
        <v/>
      </c>
      <c r="L1162" s="31" t="str">
        <f>CASOPOInvCL!X1162</f>
        <v/>
      </c>
      <c r="M1162" t="s">
        <v>5945</v>
      </c>
      <c r="N1162" s="5" t="str">
        <f>CASOPOInvCL!AF1162</f>
        <v>Covia Corp - Junction City</v>
      </c>
      <c r="O1162" s="16" t="str">
        <f>CASOPOInvCL!AG1162</f>
        <v>USD</v>
      </c>
      <c r="P1162" s="16">
        <f>CASOPOInvCL!AH1162</f>
        <v>0</v>
      </c>
      <c r="Q1162" s="16">
        <f>CASOPOInvCL!AI1162</f>
        <v>0</v>
      </c>
      <c r="R1162" s="32" t="str">
        <f>CASOPOInvCL!AU1162</f>
        <v/>
      </c>
      <c r="S1162" s="16">
        <f>CASOPOInvCL!AV1162</f>
        <v>0</v>
      </c>
      <c r="T1162" s="16">
        <f>CASOPOInvCL!AW1162</f>
        <v>0</v>
      </c>
      <c r="Y1162" s="29" t="str">
        <f>IFERROR(HLOOKUP(U1162,List!$D$2:$H$6,2,FALSE),"")</f>
        <v/>
      </c>
      <c r="Z1162" s="29" t="str">
        <f>IFERROR(HLOOKUP(V1162,List!$D$2:$H$6,3,FALSE),"")</f>
        <v/>
      </c>
      <c r="AA1162" s="29" t="str">
        <f>IFERROR(HLOOKUP(W1162,List!$D$2:$H$6,4,FALSE),"")</f>
        <v/>
      </c>
      <c r="AB1162" s="29" t="str">
        <f>IFERROR(HLOOKUP(X1162,List!$D$2:$H$6,5,FALSE),"")</f>
        <v/>
      </c>
      <c r="AC1162" s="12" t="str">
        <f t="shared" si="286"/>
        <v/>
      </c>
      <c r="AD1162" s="12" t="str">
        <f t="shared" si="287"/>
        <v/>
      </c>
      <c r="AE1162" s="12" t="str">
        <f t="shared" si="288"/>
        <v/>
      </c>
      <c r="AF1162" s="12" t="str">
        <f t="shared" si="289"/>
        <v/>
      </c>
      <c r="AG1162" t="e">
        <f>VLOOKUP(J1162,'Receivable Invoice Detail'!$A$1:F4174,6,FALSE)</f>
        <v>#N/A</v>
      </c>
      <c r="AM1162" s="12" t="str">
        <f t="shared" si="290"/>
        <v/>
      </c>
      <c r="AN1162" s="12" t="str">
        <f t="shared" si="291"/>
        <v/>
      </c>
      <c r="AO1162" s="12" t="str">
        <f t="shared" si="292"/>
        <v/>
      </c>
      <c r="AP1162" s="12" t="str">
        <f t="shared" si="293"/>
        <v/>
      </c>
      <c r="AQ1162" s="64" t="str">
        <f t="shared" si="284"/>
        <v/>
      </c>
      <c r="AR1162" t="s">
        <v>5939</v>
      </c>
      <c r="AS1162" s="12">
        <f t="shared" si="285"/>
        <v>4.5776576155863715</v>
      </c>
      <c r="AT1162" t="s">
        <v>5945</v>
      </c>
    </row>
    <row r="1163" spans="1:46" hidden="1" x14ac:dyDescent="0.25">
      <c r="A1163" s="41">
        <f>CASOPOInvCL!T1163</f>
        <v>1</v>
      </c>
      <c r="B1163" t="str">
        <f>CASOPOInvCL!Z1163</f>
        <v>SO18179</v>
      </c>
      <c r="G1163" s="5" t="str">
        <f>CASOPOInvCL!I1163</f>
        <v>Ian Trottier</v>
      </c>
      <c r="H1163" s="31">
        <f>CASOPOInvCL!U1163</f>
        <v>11</v>
      </c>
      <c r="I1163" s="31">
        <f>CASOPOInvCL!V1163</f>
        <v>2025</v>
      </c>
      <c r="J1163" s="5" t="str">
        <f>CASOPOInvCL!AB1163</f>
        <v>INV13732</v>
      </c>
      <c r="K1163" s="31" t="str">
        <f>CASOPOInvCL!W1163</f>
        <v/>
      </c>
      <c r="L1163" s="31" t="str">
        <f>CASOPOInvCL!X1163</f>
        <v/>
      </c>
      <c r="M1163" t="s">
        <v>5945</v>
      </c>
      <c r="N1163" s="5" t="str">
        <f>CASOPOInvCL!AF1163</f>
        <v>Resolute Forest Products - Clermont</v>
      </c>
      <c r="O1163" s="16" t="str">
        <f>CASOPOInvCL!AG1163</f>
        <v>CAD</v>
      </c>
      <c r="P1163" s="16">
        <f>CASOPOInvCL!AH1163</f>
        <v>1135.32</v>
      </c>
      <c r="Q1163" s="16">
        <f>CASOPOInvCL!AI1163</f>
        <v>812.34449859888105</v>
      </c>
      <c r="R1163" s="32" t="str">
        <f>CASOPOInvCL!AU1163</f>
        <v/>
      </c>
      <c r="S1163" s="16">
        <f>CASOPOInvCL!AV1163</f>
        <v>0</v>
      </c>
      <c r="T1163" s="16">
        <f>CASOPOInvCL!AW1163</f>
        <v>0</v>
      </c>
      <c r="Y1163" s="29" t="str">
        <f>IFERROR(HLOOKUP(U1163,List!$D$2:$H$6,2,FALSE),"")</f>
        <v/>
      </c>
      <c r="Z1163" s="29" t="str">
        <f>IFERROR(HLOOKUP(V1163,List!$D$2:$H$6,3,FALSE),"")</f>
        <v/>
      </c>
      <c r="AA1163" s="29" t="str">
        <f>IFERROR(HLOOKUP(W1163,List!$D$2:$H$6,4,FALSE),"")</f>
        <v/>
      </c>
      <c r="AB1163" s="29" t="str">
        <f>IFERROR(HLOOKUP(X1163,List!$D$2:$H$6,5,FALSE),"")</f>
        <v/>
      </c>
      <c r="AC1163" s="12" t="str">
        <f t="shared" si="286"/>
        <v/>
      </c>
      <c r="AD1163" s="12" t="str">
        <f t="shared" si="287"/>
        <v/>
      </c>
      <c r="AE1163" s="12" t="str">
        <f t="shared" si="288"/>
        <v/>
      </c>
      <c r="AF1163" s="12" t="str">
        <f t="shared" si="289"/>
        <v/>
      </c>
      <c r="AG1163" t="str">
        <f>VLOOKUP(J1163,'Receivable Invoice Detail'!$A$1:F4175,6,FALSE)</f>
        <v>[G-262-93 1013] Frame Adapter, 10", 3196 MTX/LTX, Ductile Iron</v>
      </c>
      <c r="AM1163" s="12" t="str">
        <f t="shared" si="290"/>
        <v/>
      </c>
      <c r="AN1163" s="12" t="str">
        <f t="shared" si="291"/>
        <v/>
      </c>
      <c r="AO1163" s="12" t="str">
        <f t="shared" si="292"/>
        <v/>
      </c>
      <c r="AP1163" s="12" t="str">
        <f t="shared" si="293"/>
        <v/>
      </c>
      <c r="AQ1163" s="64" t="str">
        <f t="shared" si="284"/>
        <v/>
      </c>
      <c r="AS1163" s="12">
        <f t="shared" si="285"/>
        <v>0</v>
      </c>
      <c r="AT1163" t="s">
        <v>5945</v>
      </c>
    </row>
    <row r="1164" spans="1:46" hidden="1" x14ac:dyDescent="0.25">
      <c r="A1164" s="41">
        <f>CASOPOInvCL!T1164</f>
        <v>2</v>
      </c>
      <c r="B1164" t="str">
        <f>CASOPOInvCL!Z1164</f>
        <v>SO18180</v>
      </c>
      <c r="D1164" t="s">
        <v>5851</v>
      </c>
      <c r="G1164" s="5" t="str">
        <f>CASOPOInvCL!I1164</f>
        <v>Alexis Gil Lamadrid</v>
      </c>
      <c r="H1164" s="31">
        <f>CASOPOInvCL!U1164</f>
        <v>11</v>
      </c>
      <c r="I1164" s="31">
        <f>CASOPOInvCL!V1164</f>
        <v>2025</v>
      </c>
      <c r="J1164" s="5" t="str">
        <f>CASOPOInvCL!AB1164</f>
        <v>INV13694</v>
      </c>
      <c r="K1164" s="31">
        <f>CASOPOInvCL!W1164</f>
        <v>11</v>
      </c>
      <c r="L1164" s="31">
        <f>CASOPOInvCL!X1164</f>
        <v>2025</v>
      </c>
      <c r="M1164">
        <v>2504</v>
      </c>
      <c r="N1164" s="5" t="str">
        <f>CASOPOInvCL!AF1164</f>
        <v>Diamond Equipment Group Inc</v>
      </c>
      <c r="O1164" s="16" t="str">
        <f>CASOPOInvCL!AG1164</f>
        <v>CAD</v>
      </c>
      <c r="P1164" s="16">
        <f>CASOPOInvCL!AH1164</f>
        <v>32414.15</v>
      </c>
      <c r="Q1164" s="16">
        <f>CASOPOInvCL!AI1164</f>
        <v>23158.831252169068</v>
      </c>
      <c r="R1164" s="32" t="str">
        <f>CASOPOInvCL!AU1164</f>
        <v>Yes</v>
      </c>
      <c r="S1164" s="16">
        <f>CASOPOInvCL!AV1164</f>
        <v>0</v>
      </c>
      <c r="T1164" s="16">
        <f>CASOPOInvCL!AW1164</f>
        <v>23158.831252169068</v>
      </c>
      <c r="V1164" t="s">
        <v>5801</v>
      </c>
      <c r="Y1164" s="29" t="str">
        <f>IFERROR(HLOOKUP(U1164,List!$D$2:$H$6,2,FALSE),"")</f>
        <v/>
      </c>
      <c r="Z1164" s="29">
        <f>IFERROR(HLOOKUP(V1164,List!$D$2:$H$6,3,FALSE),"")</f>
        <v>0.02</v>
      </c>
      <c r="AA1164" s="29" t="str">
        <f>IFERROR(HLOOKUP(W1164,List!$D$2:$H$6,4,FALSE),"")</f>
        <v/>
      </c>
      <c r="AB1164" s="29" t="str">
        <f>IFERROR(HLOOKUP(X1164,List!$D$2:$H$6,5,FALSE),"")</f>
        <v/>
      </c>
      <c r="AC1164" s="12" t="str">
        <f t="shared" si="286"/>
        <v/>
      </c>
      <c r="AD1164" s="12">
        <f t="shared" si="287"/>
        <v>463.17662504338136</v>
      </c>
      <c r="AE1164" s="12" t="str">
        <f t="shared" si="288"/>
        <v/>
      </c>
      <c r="AF1164" s="12" t="str">
        <f t="shared" si="289"/>
        <v/>
      </c>
      <c r="AG1164" t="str">
        <f>VLOOKUP(J1164,'Receivable Invoice Detail'!$A$1:F4176,6,FALSE)</f>
        <v>[AC-98-231-120-501] Suction Side Liner, 8x6-18 SRL-C, Natural Rubber</v>
      </c>
      <c r="AM1164" s="12" t="str">
        <f t="shared" si="290"/>
        <v/>
      </c>
      <c r="AN1164" s="12">
        <f t="shared" si="291"/>
        <v>463.17662504338136</v>
      </c>
      <c r="AO1164" s="12" t="str">
        <f t="shared" si="292"/>
        <v/>
      </c>
      <c r="AP1164" s="12" t="str">
        <f t="shared" si="293"/>
        <v/>
      </c>
      <c r="AQ1164" s="64">
        <f t="shared" si="284"/>
        <v>2504</v>
      </c>
      <c r="AR1164" t="s">
        <v>5939</v>
      </c>
      <c r="AS1164" s="12">
        <f t="shared" si="285"/>
        <v>23.924055544749653</v>
      </c>
      <c r="AT1164" t="s">
        <v>4388</v>
      </c>
    </row>
    <row r="1165" spans="1:46" hidden="1" x14ac:dyDescent="0.25">
      <c r="A1165" s="41">
        <f>CASOPOInvCL!T1165</f>
        <v>2</v>
      </c>
      <c r="B1165" t="str">
        <f>CASOPOInvCL!Z1165</f>
        <v>SO18180</v>
      </c>
      <c r="D1165" t="s">
        <v>5851</v>
      </c>
      <c r="G1165" s="5">
        <f>CASOPOInvCL!I1165</f>
        <v>0</v>
      </c>
      <c r="H1165" s="31">
        <f>CASOPOInvCL!U1165</f>
        <v>11</v>
      </c>
      <c r="I1165" s="31">
        <f>CASOPOInvCL!V1165</f>
        <v>2025</v>
      </c>
      <c r="J1165" s="5" t="str">
        <f>CASOPOInvCL!AB1165</f>
        <v>INV13662</v>
      </c>
      <c r="K1165" s="31" t="str">
        <f>CASOPOInvCL!W1165</f>
        <v/>
      </c>
      <c r="L1165" s="31" t="str">
        <f>CASOPOInvCL!X1165</f>
        <v/>
      </c>
      <c r="M1165">
        <v>2504</v>
      </c>
      <c r="N1165" s="5" t="str">
        <f>CASOPOInvCL!AF1165</f>
        <v>Diamond Equipment Group Inc</v>
      </c>
      <c r="O1165" s="16" t="str">
        <f>CASOPOInvCL!AG1165</f>
        <v>CAD</v>
      </c>
      <c r="P1165" s="16">
        <f>CASOPOInvCL!AH1165</f>
        <v>0</v>
      </c>
      <c r="Q1165" s="16">
        <f>CASOPOInvCL!AI1165</f>
        <v>0</v>
      </c>
      <c r="R1165" s="32" t="str">
        <f>CASOPOInvCL!AU1165</f>
        <v/>
      </c>
      <c r="S1165" s="16">
        <f>CASOPOInvCL!AV1165</f>
        <v>0</v>
      </c>
      <c r="T1165" s="16">
        <f>CASOPOInvCL!AW1165</f>
        <v>0</v>
      </c>
      <c r="V1165" t="s">
        <v>5801</v>
      </c>
      <c r="Y1165" s="29" t="str">
        <f>IFERROR(HLOOKUP(U1165,List!$D$2:$H$6,2,FALSE),"")</f>
        <v/>
      </c>
      <c r="Z1165" s="29">
        <f>IFERROR(HLOOKUP(V1165,List!$D$2:$H$6,3,FALSE),"")</f>
        <v>0.02</v>
      </c>
      <c r="AA1165" s="29" t="str">
        <f>IFERROR(HLOOKUP(W1165,List!$D$2:$H$6,4,FALSE),"")</f>
        <v/>
      </c>
      <c r="AB1165" s="29" t="str">
        <f>IFERROR(HLOOKUP(X1165,List!$D$2:$H$6,5,FALSE),"")</f>
        <v/>
      </c>
      <c r="AC1165" s="12" t="str">
        <f t="shared" si="286"/>
        <v/>
      </c>
      <c r="AD1165" s="12">
        <f t="shared" si="287"/>
        <v>0</v>
      </c>
      <c r="AE1165" s="12" t="str">
        <f t="shared" si="288"/>
        <v/>
      </c>
      <c r="AF1165" s="12" t="str">
        <f t="shared" si="289"/>
        <v/>
      </c>
      <c r="AG1165" t="str">
        <f>VLOOKUP(J1165,'Receivable Invoice Detail'!$A$1:F4177,6,FALSE)</f>
        <v>Down payment of 100.0%</v>
      </c>
      <c r="AM1165" s="12" t="str">
        <f t="shared" si="290"/>
        <v/>
      </c>
      <c r="AN1165" s="12">
        <f t="shared" si="291"/>
        <v>0</v>
      </c>
      <c r="AO1165" s="12" t="str">
        <f t="shared" si="292"/>
        <v/>
      </c>
      <c r="AP1165" s="12" t="str">
        <f t="shared" si="293"/>
        <v/>
      </c>
      <c r="AQ1165" s="64">
        <f t="shared" si="284"/>
        <v>2504</v>
      </c>
      <c r="AR1165" t="s">
        <v>5939</v>
      </c>
      <c r="AS1165" s="12">
        <f t="shared" si="285"/>
        <v>10.096815502583945</v>
      </c>
      <c r="AT1165" t="s">
        <v>4388</v>
      </c>
    </row>
    <row r="1166" spans="1:46" hidden="1" x14ac:dyDescent="0.25">
      <c r="A1166" s="41">
        <f>CASOPOInvCL!T1166</f>
        <v>1</v>
      </c>
      <c r="B1166" t="str">
        <f>CASOPOInvCL!Z1166</f>
        <v>SO18181</v>
      </c>
      <c r="D1166" t="s">
        <v>5915</v>
      </c>
      <c r="G1166" s="5" t="str">
        <f>CASOPOInvCL!I1166</f>
        <v>Wilka Nuñez</v>
      </c>
      <c r="H1166" s="31">
        <f>CASOPOInvCL!U1166</f>
        <v>11</v>
      </c>
      <c r="I1166" s="31">
        <f>CASOPOInvCL!V1166</f>
        <v>2025</v>
      </c>
      <c r="J1166" s="5" t="str">
        <f>CASOPOInvCL!AB1166</f>
        <v>INV13645</v>
      </c>
      <c r="K1166" s="31" t="str">
        <f>CASOPOInvCL!W1166</f>
        <v/>
      </c>
      <c r="L1166" s="31" t="str">
        <f>CASOPOInvCL!X1166</f>
        <v/>
      </c>
      <c r="M1166" t="s">
        <v>5945</v>
      </c>
      <c r="N1166" s="5" t="str">
        <f>CASOPOInvCL!AF1166</f>
        <v>Barrick Gold - Pueblo Viejo Dominicana Corporation</v>
      </c>
      <c r="O1166" s="16" t="str">
        <f>CASOPOInvCL!AG1166</f>
        <v>USD</v>
      </c>
      <c r="P1166" s="16">
        <f>CASOPOInvCL!AH1166</f>
        <v>32327.13685484487</v>
      </c>
      <c r="Q1166" s="16">
        <f>CASOPOInvCL!AI1166</f>
        <v>23086.81</v>
      </c>
      <c r="R1166" s="32" t="str">
        <f>CASOPOInvCL!AU1166</f>
        <v/>
      </c>
      <c r="S1166" s="16">
        <f>CASOPOInvCL!AV1166</f>
        <v>0</v>
      </c>
      <c r="T1166" s="16">
        <f>CASOPOInvCL!AW1166</f>
        <v>0</v>
      </c>
      <c r="V1166" t="s">
        <v>5803</v>
      </c>
      <c r="Y1166" s="29" t="str">
        <f>IFERROR(HLOOKUP(U1166,List!$D$2:$H$6,2,FALSE),"")</f>
        <v/>
      </c>
      <c r="Z1166" s="29">
        <f>IFERROR(HLOOKUP(V1166,List!$D$2:$H$6,3,FALSE),"")</f>
        <v>0</v>
      </c>
      <c r="AA1166" s="29" t="str">
        <f>IFERROR(HLOOKUP(W1166,List!$D$2:$H$6,4,FALSE),"")</f>
        <v/>
      </c>
      <c r="AB1166" s="29" t="str">
        <f>IFERROR(HLOOKUP(X1166,List!$D$2:$H$6,5,FALSE),"")</f>
        <v/>
      </c>
      <c r="AC1166" s="12" t="str">
        <f t="shared" si="286"/>
        <v/>
      </c>
      <c r="AD1166" s="12">
        <f t="shared" si="287"/>
        <v>0</v>
      </c>
      <c r="AE1166" s="12" t="str">
        <f t="shared" si="288"/>
        <v/>
      </c>
      <c r="AF1166" s="12" t="str">
        <f t="shared" si="289"/>
        <v/>
      </c>
      <c r="AG1166" t="str">
        <f>VLOOKUP(J1166,'Receivable Invoice Detail'!$A$1:F4178,6,FALSE)</f>
        <v>[W-SP15092/A05] Casing w/Flange, 150SV-SP, High Chrome</v>
      </c>
      <c r="AM1166" s="12" t="str">
        <f t="shared" si="290"/>
        <v/>
      </c>
      <c r="AN1166" s="12">
        <f t="shared" si="291"/>
        <v>0</v>
      </c>
      <c r="AO1166" s="12" t="str">
        <f t="shared" si="292"/>
        <v/>
      </c>
      <c r="AP1166" s="12" t="str">
        <f t="shared" si="293"/>
        <v/>
      </c>
      <c r="AQ1166" s="64" t="str">
        <f t="shared" si="284"/>
        <v/>
      </c>
      <c r="AR1166" t="s">
        <v>5933</v>
      </c>
      <c r="AS1166" s="12">
        <f t="shared" si="285"/>
        <v>0</v>
      </c>
      <c r="AT1166" t="s">
        <v>5945</v>
      </c>
    </row>
    <row r="1167" spans="1:46" hidden="1" x14ac:dyDescent="0.25">
      <c r="A1167" s="41">
        <f>CASOPOInvCL!T1167</f>
        <v>1</v>
      </c>
      <c r="B1167" t="str">
        <f>CASOPOInvCL!Z1167</f>
        <v>SO18184</v>
      </c>
      <c r="G1167" s="5" t="str">
        <f>CASOPOInvCL!I1167</f>
        <v>Ian Trottier</v>
      </c>
      <c r="H1167" s="31">
        <f>CASOPOInvCL!U1167</f>
        <v>11</v>
      </c>
      <c r="I1167" s="31">
        <f>CASOPOInvCL!V1167</f>
        <v>2025</v>
      </c>
      <c r="J1167" s="5" t="str">
        <f>CASOPOInvCL!AB1167</f>
        <v>INV13627</v>
      </c>
      <c r="K1167" s="31">
        <f>CASOPOInvCL!W1167</f>
        <v>12</v>
      </c>
      <c r="L1167" s="31">
        <f>CASOPOInvCL!X1167</f>
        <v>2025</v>
      </c>
      <c r="M1167" t="s">
        <v>5945</v>
      </c>
      <c r="N1167" s="5" t="str">
        <f>CASOPOInvCL!AF1167</f>
        <v>Les Pompes du St-Laurent Inc.</v>
      </c>
      <c r="O1167" s="16" t="str">
        <f>CASOPOInvCL!AG1167</f>
        <v>CAD</v>
      </c>
      <c r="P1167" s="16">
        <f>CASOPOInvCL!AH1167</f>
        <v>3385.4</v>
      </c>
      <c r="Q1167" s="16">
        <f>CASOPOInvCL!AI1167</f>
        <v>2418.9643695864474</v>
      </c>
      <c r="R1167" s="32" t="str">
        <f>CASOPOInvCL!AU1167</f>
        <v>Yes</v>
      </c>
      <c r="S1167" s="16">
        <f>CASOPOInvCL!AV1167</f>
        <v>0</v>
      </c>
      <c r="T1167" s="16">
        <f>CASOPOInvCL!AW1167</f>
        <v>2418.9643695864474</v>
      </c>
      <c r="Y1167" s="29" t="str">
        <f>IFERROR(HLOOKUP(U1167,List!$D$2:$H$6,2,FALSE),"")</f>
        <v/>
      </c>
      <c r="Z1167" s="29" t="str">
        <f>IFERROR(HLOOKUP(V1167,List!$D$2:$H$6,3,FALSE),"")</f>
        <v/>
      </c>
      <c r="AA1167" s="29" t="str">
        <f>IFERROR(HLOOKUP(W1167,List!$D$2:$H$6,4,FALSE),"")</f>
        <v/>
      </c>
      <c r="AB1167" s="29" t="str">
        <f>IFERROR(HLOOKUP(X1167,List!$D$2:$H$6,5,FALSE),"")</f>
        <v/>
      </c>
      <c r="AC1167" s="12" t="str">
        <f t="shared" si="286"/>
        <v/>
      </c>
      <c r="AD1167" s="12" t="str">
        <f t="shared" si="287"/>
        <v/>
      </c>
      <c r="AE1167" s="12" t="str">
        <f t="shared" si="288"/>
        <v/>
      </c>
      <c r="AF1167" s="12" t="str">
        <f t="shared" si="289"/>
        <v/>
      </c>
      <c r="AG1167" t="str">
        <f>VLOOKUP(J1167,'Receivable Invoice Detail'!$A$1:F4179,6,FALSE)</f>
        <v>[G-262-93 1013] Frame Adapter, 10", 3196 MTX/LTX, Ductile Iron</v>
      </c>
      <c r="AM1167" s="12" t="str">
        <f t="shared" si="290"/>
        <v/>
      </c>
      <c r="AN1167" s="12" t="str">
        <f t="shared" si="291"/>
        <v/>
      </c>
      <c r="AO1167" s="12" t="str">
        <f t="shared" si="292"/>
        <v/>
      </c>
      <c r="AP1167" s="12" t="str">
        <f t="shared" si="293"/>
        <v/>
      </c>
      <c r="AQ1167" s="64" t="str">
        <f t="shared" si="284"/>
        <v/>
      </c>
      <c r="AS1167" s="12">
        <f t="shared" si="285"/>
        <v>0</v>
      </c>
      <c r="AT1167" t="s">
        <v>5945</v>
      </c>
    </row>
    <row r="1168" spans="1:46" hidden="1" x14ac:dyDescent="0.25">
      <c r="A1168" s="41">
        <f>CASOPOInvCL!T1168</f>
        <v>1</v>
      </c>
      <c r="B1168" t="str">
        <f>CASOPOInvCL!Z1168</f>
        <v>SO18186</v>
      </c>
      <c r="G1168" s="5" t="str">
        <f>CASOPOInvCL!I1168</f>
        <v>Aleksandar Stankovic</v>
      </c>
      <c r="H1168" s="31">
        <f>CASOPOInvCL!U1168</f>
        <v>11</v>
      </c>
      <c r="I1168" s="31">
        <f>CASOPOInvCL!V1168</f>
        <v>2025</v>
      </c>
      <c r="J1168" s="5" t="str">
        <f>CASOPOInvCL!AB1168</f>
        <v>INV13639</v>
      </c>
      <c r="K1168" s="31">
        <f>CASOPOInvCL!W1168</f>
        <v>12</v>
      </c>
      <c r="L1168" s="31">
        <f>CASOPOInvCL!X1168</f>
        <v>2025</v>
      </c>
      <c r="M1168" t="s">
        <v>5945</v>
      </c>
      <c r="N1168" s="5" t="str">
        <f>CASOPOInvCL!AF1168</f>
        <v>FMI Products</v>
      </c>
      <c r="O1168" s="16" t="str">
        <f>CASOPOInvCL!AG1168</f>
        <v>CAD</v>
      </c>
      <c r="P1168" s="16">
        <f>CASOPOInvCL!AH1168</f>
        <v>987.3</v>
      </c>
      <c r="Q1168" s="16">
        <f>CASOPOInvCL!AI1168</f>
        <v>704.73621145192101</v>
      </c>
      <c r="R1168" s="32" t="str">
        <f>CASOPOInvCL!AU1168</f>
        <v>Yes</v>
      </c>
      <c r="S1168" s="16">
        <f>CASOPOInvCL!AV1168</f>
        <v>0</v>
      </c>
      <c r="T1168" s="16">
        <f>CASOPOInvCL!AW1168</f>
        <v>704.73621145192101</v>
      </c>
      <c r="Y1168" s="29" t="str">
        <f>IFERROR(HLOOKUP(U1168,List!$D$2:$H$6,2,FALSE),"")</f>
        <v/>
      </c>
      <c r="Z1168" s="29" t="str">
        <f>IFERROR(HLOOKUP(V1168,List!$D$2:$H$6,3,FALSE),"")</f>
        <v/>
      </c>
      <c r="AA1168" s="29" t="str">
        <f>IFERROR(HLOOKUP(W1168,List!$D$2:$H$6,4,FALSE),"")</f>
        <v/>
      </c>
      <c r="AB1168" s="29" t="str">
        <f>IFERROR(HLOOKUP(X1168,List!$D$2:$H$6,5,FALSE),"")</f>
        <v/>
      </c>
      <c r="AC1168" s="12" t="str">
        <f t="shared" si="286"/>
        <v/>
      </c>
      <c r="AD1168" s="12" t="str">
        <f t="shared" si="287"/>
        <v/>
      </c>
      <c r="AE1168" s="12" t="str">
        <f t="shared" si="288"/>
        <v/>
      </c>
      <c r="AF1168" s="12" t="str">
        <f t="shared" si="289"/>
        <v/>
      </c>
      <c r="AG1168" t="str">
        <f>VLOOKUP(J1168,'Receivable Invoice Detail'!$A$1:F4180,6,FALSE)</f>
        <v>[G-RD04540AA 1001] Bearing Frame, 3196 MTX, Cast Iron, Includes Sight Glass and Plugs</v>
      </c>
      <c r="AM1168" s="12" t="str">
        <f t="shared" si="290"/>
        <v/>
      </c>
      <c r="AN1168" s="12" t="str">
        <f t="shared" si="291"/>
        <v/>
      </c>
      <c r="AO1168" s="12" t="str">
        <f t="shared" si="292"/>
        <v/>
      </c>
      <c r="AP1168" s="12" t="str">
        <f t="shared" si="293"/>
        <v/>
      </c>
      <c r="AQ1168" s="64" t="str">
        <f t="shared" si="284"/>
        <v/>
      </c>
      <c r="AR1168" t="s">
        <v>5943</v>
      </c>
      <c r="AS1168" s="12">
        <f t="shared" si="285"/>
        <v>0</v>
      </c>
      <c r="AT1168" t="s">
        <v>5945</v>
      </c>
    </row>
    <row r="1169" spans="1:46" hidden="1" x14ac:dyDescent="0.25">
      <c r="A1169" s="41">
        <f>CASOPOInvCL!T1169</f>
        <v>1</v>
      </c>
      <c r="B1169" t="str">
        <f>CASOPOInvCL!Z1169</f>
        <v>SO18187</v>
      </c>
      <c r="G1169" s="5" t="str">
        <f>CASOPOInvCL!I1169</f>
        <v>Ian Trottier</v>
      </c>
      <c r="H1169" s="31">
        <f>CASOPOInvCL!U1169</f>
        <v>11</v>
      </c>
      <c r="I1169" s="31">
        <f>CASOPOInvCL!V1169</f>
        <v>2025</v>
      </c>
      <c r="J1169" s="5" t="str">
        <f>CASOPOInvCL!AB1169</f>
        <v>INV13619</v>
      </c>
      <c r="K1169" s="31">
        <f>CASOPOInvCL!W1169</f>
        <v>12</v>
      </c>
      <c r="L1169" s="31">
        <f>CASOPOInvCL!X1169</f>
        <v>2025</v>
      </c>
      <c r="M1169" t="s">
        <v>5945</v>
      </c>
      <c r="N1169" s="5" t="str">
        <f>CASOPOInvCL!AF1169</f>
        <v>Sealtrac Inc.</v>
      </c>
      <c r="O1169" s="16" t="str">
        <f>CASOPOInvCL!AG1169</f>
        <v>CAD</v>
      </c>
      <c r="P1169" s="16">
        <f>CASOPOInvCL!AH1169</f>
        <v>292.98</v>
      </c>
      <c r="Q1169" s="16">
        <f>CASOPOInvCL!AI1169</f>
        <v>209.34252407438927</v>
      </c>
      <c r="R1169" s="32" t="str">
        <f>CASOPOInvCL!AU1169</f>
        <v>Yes</v>
      </c>
      <c r="S1169" s="16">
        <f>CASOPOInvCL!AV1169</f>
        <v>0</v>
      </c>
      <c r="T1169" s="16">
        <f>CASOPOInvCL!AW1169</f>
        <v>209.34252407438927</v>
      </c>
      <c r="Y1169" s="29" t="str">
        <f>IFERROR(HLOOKUP(U1169,List!$D$2:$H$6,2,FALSE),"")</f>
        <v/>
      </c>
      <c r="Z1169" s="29" t="str">
        <f>IFERROR(HLOOKUP(V1169,List!$D$2:$H$6,3,FALSE),"")</f>
        <v/>
      </c>
      <c r="AA1169" s="29" t="str">
        <f>IFERROR(HLOOKUP(W1169,List!$D$2:$H$6,4,FALSE),"")</f>
        <v/>
      </c>
      <c r="AB1169" s="29" t="str">
        <f>IFERROR(HLOOKUP(X1169,List!$D$2:$H$6,5,FALSE),"")</f>
        <v/>
      </c>
      <c r="AC1169" s="12" t="str">
        <f t="shared" si="286"/>
        <v/>
      </c>
      <c r="AD1169" s="12" t="str">
        <f t="shared" si="287"/>
        <v/>
      </c>
      <c r="AE1169" s="12" t="str">
        <f t="shared" si="288"/>
        <v/>
      </c>
      <c r="AF1169" s="12" t="str">
        <f t="shared" si="289"/>
        <v/>
      </c>
      <c r="AG1169" t="str">
        <f>VLOOKUP(J1169,'Receivable Invoice Detail'!$A$1:F4181,6,FALSE)</f>
        <v>[DU-MY50798A62-CD4] Impeller, 1.5x1-62, Durco Mark 3 Group 1, CD4MCu, Reverse Vane</v>
      </c>
      <c r="AM1169" s="12" t="str">
        <f t="shared" si="290"/>
        <v/>
      </c>
      <c r="AN1169" s="12" t="str">
        <f t="shared" si="291"/>
        <v/>
      </c>
      <c r="AO1169" s="12" t="str">
        <f t="shared" si="292"/>
        <v/>
      </c>
      <c r="AP1169" s="12" t="str">
        <f t="shared" si="293"/>
        <v/>
      </c>
      <c r="AQ1169" s="64" t="str">
        <f t="shared" si="284"/>
        <v/>
      </c>
      <c r="AS1169" s="12">
        <f t="shared" si="285"/>
        <v>0</v>
      </c>
      <c r="AT1169" t="s">
        <v>5945</v>
      </c>
    </row>
    <row r="1170" spans="1:46" hidden="1" x14ac:dyDescent="0.25">
      <c r="A1170" s="41">
        <f>CASOPOInvCL!T1170</f>
        <v>1</v>
      </c>
      <c r="B1170" t="str">
        <f>CASOPOInvCL!Z1170</f>
        <v>SO18188</v>
      </c>
      <c r="G1170" s="5" t="str">
        <f>CASOPOInvCL!I1170</f>
        <v>Wilka Nuñez</v>
      </c>
      <c r="H1170" s="31">
        <f>CASOPOInvCL!U1170</f>
        <v>11</v>
      </c>
      <c r="I1170" s="31">
        <f>CASOPOInvCL!V1170</f>
        <v>2025</v>
      </c>
      <c r="J1170" s="5" t="str">
        <f>CASOPOInvCL!AB1170</f>
        <v>INV13689</v>
      </c>
      <c r="K1170" s="31" t="str">
        <f>CASOPOInvCL!W1170</f>
        <v/>
      </c>
      <c r="L1170" s="31" t="str">
        <f>CASOPOInvCL!X1170</f>
        <v/>
      </c>
      <c r="M1170" t="s">
        <v>5945</v>
      </c>
      <c r="N1170" s="5" t="str">
        <f>CASOPOInvCL!AF1170</f>
        <v>MAB Equipment Company Inc.</v>
      </c>
      <c r="O1170" s="16" t="str">
        <f>CASOPOInvCL!AG1170</f>
        <v>USD</v>
      </c>
      <c r="P1170" s="16">
        <f>CASOPOInvCL!AH1170</f>
        <v>6027.2988525991568</v>
      </c>
      <c r="Q1170" s="16">
        <f>CASOPOInvCL!AI1170</f>
        <v>4296.12</v>
      </c>
      <c r="R1170" s="32" t="str">
        <f>CASOPOInvCL!AU1170</f>
        <v/>
      </c>
      <c r="S1170" s="16">
        <f>CASOPOInvCL!AV1170</f>
        <v>704</v>
      </c>
      <c r="T1170" s="16">
        <f>CASOPOInvCL!AW1170</f>
        <v>0</v>
      </c>
      <c r="Y1170" s="29" t="str">
        <f>IFERROR(HLOOKUP(U1170,List!$D$2:$H$6,2,FALSE),"")</f>
        <v/>
      </c>
      <c r="Z1170" s="29" t="str">
        <f>IFERROR(HLOOKUP(V1170,List!$D$2:$H$6,3,FALSE),"")</f>
        <v/>
      </c>
      <c r="AA1170" s="29" t="str">
        <f>IFERROR(HLOOKUP(W1170,List!$D$2:$H$6,4,FALSE),"")</f>
        <v/>
      </c>
      <c r="AB1170" s="29" t="str">
        <f>IFERROR(HLOOKUP(X1170,List!$D$2:$H$6,5,FALSE),"")</f>
        <v/>
      </c>
      <c r="AC1170" s="12" t="str">
        <f t="shared" si="286"/>
        <v/>
      </c>
      <c r="AD1170" s="12" t="str">
        <f t="shared" si="287"/>
        <v/>
      </c>
      <c r="AE1170" s="12" t="str">
        <f t="shared" si="288"/>
        <v/>
      </c>
      <c r="AF1170" s="12" t="str">
        <f t="shared" si="289"/>
        <v/>
      </c>
      <c r="AG1170" t="str">
        <f>VLOOKUP(J1170,'Receivable Invoice Detail'!$A$1:F4182,6,FALSE)</f>
        <v>[504889] Impeller, 8x6, Denver SRL, Natural Rubber</v>
      </c>
      <c r="AM1170" s="12" t="str">
        <f t="shared" si="290"/>
        <v/>
      </c>
      <c r="AN1170" s="12" t="str">
        <f t="shared" si="291"/>
        <v/>
      </c>
      <c r="AO1170" s="12" t="str">
        <f t="shared" si="292"/>
        <v/>
      </c>
      <c r="AP1170" s="12" t="str">
        <f t="shared" si="293"/>
        <v/>
      </c>
      <c r="AQ1170" s="64" t="str">
        <f t="shared" si="284"/>
        <v/>
      </c>
      <c r="AS1170" s="12">
        <f t="shared" si="285"/>
        <v>0</v>
      </c>
      <c r="AT1170" t="s">
        <v>5945</v>
      </c>
    </row>
    <row r="1171" spans="1:46" hidden="1" x14ac:dyDescent="0.25">
      <c r="A1171" s="41">
        <f>CASOPOInvCL!T1171</f>
        <v>1</v>
      </c>
      <c r="B1171" t="str">
        <f>CASOPOInvCL!Z1171</f>
        <v>SO18189</v>
      </c>
      <c r="G1171" s="5" t="str">
        <f>CASOPOInvCL!I1171</f>
        <v>Amanda Qiao</v>
      </c>
      <c r="H1171" s="31">
        <f>CASOPOInvCL!U1171</f>
        <v>11</v>
      </c>
      <c r="I1171" s="31">
        <f>CASOPOInvCL!V1171</f>
        <v>2025</v>
      </c>
      <c r="J1171" s="5" t="str">
        <f>CASOPOInvCL!AB1171</f>
        <v>INV13637</v>
      </c>
      <c r="K1171" s="31" t="str">
        <f>CASOPOInvCL!W1171</f>
        <v/>
      </c>
      <c r="L1171" s="31" t="str">
        <f>CASOPOInvCL!X1171</f>
        <v/>
      </c>
      <c r="M1171" t="s">
        <v>5945</v>
      </c>
      <c r="N1171" s="5" t="str">
        <f>CASOPOInvCL!AF1171</f>
        <v>Mill-Right Mine Services Inc.</v>
      </c>
      <c r="O1171" s="16" t="str">
        <f>CASOPOInvCL!AG1171</f>
        <v>CAD</v>
      </c>
      <c r="P1171" s="16">
        <f>CASOPOInvCL!AH1171</f>
        <v>1642.24</v>
      </c>
      <c r="Q1171" s="16">
        <f>CASOPOInvCL!AI1171</f>
        <v>1170.459123806987</v>
      </c>
      <c r="R1171" s="32" t="str">
        <f>CASOPOInvCL!AU1171</f>
        <v/>
      </c>
      <c r="S1171" s="16">
        <f>CASOPOInvCL!AV1171</f>
        <v>0</v>
      </c>
      <c r="T1171" s="16">
        <f>CASOPOInvCL!AW1171</f>
        <v>0</v>
      </c>
      <c r="Y1171" s="29" t="str">
        <f>IFERROR(HLOOKUP(U1171,List!$D$2:$H$6,2,FALSE),"")</f>
        <v/>
      </c>
      <c r="Z1171" s="29" t="str">
        <f>IFERROR(HLOOKUP(V1171,List!$D$2:$H$6,3,FALSE),"")</f>
        <v/>
      </c>
      <c r="AA1171" s="29" t="str">
        <f>IFERROR(HLOOKUP(W1171,List!$D$2:$H$6,4,FALSE),"")</f>
        <v/>
      </c>
      <c r="AB1171" s="29" t="str">
        <f>IFERROR(HLOOKUP(X1171,List!$D$2:$H$6,5,FALSE),"")</f>
        <v/>
      </c>
      <c r="AC1171" s="12" t="str">
        <f t="shared" si="286"/>
        <v/>
      </c>
      <c r="AD1171" s="12" t="str">
        <f t="shared" si="287"/>
        <v/>
      </c>
      <c r="AE1171" s="12" t="str">
        <f t="shared" si="288"/>
        <v/>
      </c>
      <c r="AF1171" s="12" t="str">
        <f t="shared" si="289"/>
        <v/>
      </c>
      <c r="AG1171" t="str">
        <f>VLOOKUP(J1171,'Receivable Invoice Detail'!$A$1:F4183,6,FALSE)</f>
        <v>[G-D02451A 1012] Casing, 2x3-13, 3196 MTX, Ductile Iron</v>
      </c>
      <c r="AM1171" s="12" t="str">
        <f t="shared" si="290"/>
        <v/>
      </c>
      <c r="AN1171" s="12" t="str">
        <f t="shared" si="291"/>
        <v/>
      </c>
      <c r="AO1171" s="12" t="str">
        <f t="shared" si="292"/>
        <v/>
      </c>
      <c r="AP1171" s="12" t="str">
        <f t="shared" si="293"/>
        <v/>
      </c>
      <c r="AQ1171" s="64" t="str">
        <f t="shared" si="284"/>
        <v/>
      </c>
      <c r="AS1171" s="12">
        <f t="shared" si="285"/>
        <v>347.38246878253602</v>
      </c>
      <c r="AT1171" t="s">
        <v>5945</v>
      </c>
    </row>
    <row r="1172" spans="1:46" hidden="1" x14ac:dyDescent="0.25">
      <c r="A1172" s="41">
        <f>CASOPOInvCL!T1172</f>
        <v>1</v>
      </c>
      <c r="B1172" t="str">
        <f>CASOPOInvCL!Z1172</f>
        <v>SO18191</v>
      </c>
      <c r="G1172" s="5" t="str">
        <f>CASOPOInvCL!I1172</f>
        <v>Amanda Qiao</v>
      </c>
      <c r="H1172" s="31">
        <f>CASOPOInvCL!U1172</f>
        <v>11</v>
      </c>
      <c r="I1172" s="31">
        <f>CASOPOInvCL!V1172</f>
        <v>2025</v>
      </c>
      <c r="J1172" s="5" t="str">
        <f>CASOPOInvCL!AB1172</f>
        <v>INV13757</v>
      </c>
      <c r="K1172" s="31" t="str">
        <f>CASOPOInvCL!W1172</f>
        <v/>
      </c>
      <c r="L1172" s="31" t="str">
        <f>CASOPOInvCL!X1172</f>
        <v/>
      </c>
      <c r="M1172" t="s">
        <v>5945</v>
      </c>
      <c r="N1172" s="5" t="str">
        <f>CASOPOInvCL!AF1172</f>
        <v>Zijin Mining - Rosebel Goldmines N.V.</v>
      </c>
      <c r="O1172" s="16" t="str">
        <f>CASOPOInvCL!AG1172</f>
        <v>USD</v>
      </c>
      <c r="P1172" s="16">
        <f>CASOPOInvCL!AH1172</f>
        <v>150.38744770851224</v>
      </c>
      <c r="Q1172" s="16">
        <f>CASOPOInvCL!AI1172</f>
        <v>107.08</v>
      </c>
      <c r="R1172" s="32" t="str">
        <f>CASOPOInvCL!AU1172</f>
        <v/>
      </c>
      <c r="S1172" s="16">
        <f>CASOPOInvCL!AV1172</f>
        <v>0</v>
      </c>
      <c r="T1172" s="16">
        <f>CASOPOInvCL!AW1172</f>
        <v>0</v>
      </c>
      <c r="Y1172" s="29" t="str">
        <f>IFERROR(HLOOKUP(U1172,List!$D$2:$H$6,2,FALSE),"")</f>
        <v/>
      </c>
      <c r="Z1172" s="29" t="str">
        <f>IFERROR(HLOOKUP(V1172,List!$D$2:$H$6,3,FALSE),"")</f>
        <v/>
      </c>
      <c r="AA1172" s="29" t="str">
        <f>IFERROR(HLOOKUP(W1172,List!$D$2:$H$6,4,FALSE),"")</f>
        <v/>
      </c>
      <c r="AB1172" s="29" t="str">
        <f>IFERROR(HLOOKUP(X1172,List!$D$2:$H$6,5,FALSE),"")</f>
        <v/>
      </c>
      <c r="AC1172" s="12" t="str">
        <f t="shared" si="286"/>
        <v/>
      </c>
      <c r="AD1172" s="12" t="str">
        <f t="shared" si="287"/>
        <v/>
      </c>
      <c r="AE1172" s="12" t="str">
        <f t="shared" si="288"/>
        <v/>
      </c>
      <c r="AF1172" s="12" t="str">
        <f t="shared" si="289"/>
        <v/>
      </c>
      <c r="AG1172" t="str">
        <f>VLOOKUP(J1172,'Receivable Invoice Detail'!$A$1:F4184,6,FALSE)</f>
        <v>[DU-SA3210AA00-TFR] Impeller Gasket, Durco Mark 2&amp;3 Group 2, Teflon/Rubber</v>
      </c>
      <c r="AM1172" s="12" t="str">
        <f t="shared" si="290"/>
        <v/>
      </c>
      <c r="AN1172" s="12" t="str">
        <f t="shared" si="291"/>
        <v/>
      </c>
      <c r="AO1172" s="12" t="str">
        <f t="shared" si="292"/>
        <v/>
      </c>
      <c r="AP1172" s="12" t="str">
        <f t="shared" si="293"/>
        <v/>
      </c>
      <c r="AQ1172" s="64" t="str">
        <f t="shared" si="284"/>
        <v/>
      </c>
      <c r="AS1172" s="12">
        <f t="shared" si="285"/>
        <v>0</v>
      </c>
      <c r="AT1172" t="s">
        <v>5945</v>
      </c>
    </row>
    <row r="1173" spans="1:46" hidden="1" x14ac:dyDescent="0.25">
      <c r="A1173" s="41">
        <f>CASOPOInvCL!T1173</f>
        <v>0</v>
      </c>
      <c r="B1173" t="str">
        <f>CASOPOInvCL!Z1173</f>
        <v>SO18192</v>
      </c>
      <c r="G1173" s="5" t="str">
        <f>CASOPOInvCL!I1173</f>
        <v>Ian Trottier</v>
      </c>
      <c r="H1173" s="31">
        <f>CASOPOInvCL!U1173</f>
        <v>11</v>
      </c>
      <c r="I1173" s="31">
        <f>CASOPOInvCL!V1173</f>
        <v>2025</v>
      </c>
      <c r="J1173" s="5" t="str">
        <f>CASOPOInvCL!AB1173</f>
        <v>No Inv</v>
      </c>
      <c r="K1173" s="31" t="str">
        <f>CASOPOInvCL!W1173</f>
        <v/>
      </c>
      <c r="L1173" s="31" t="str">
        <f>CASOPOInvCL!X1173</f>
        <v/>
      </c>
      <c r="M1173" t="s">
        <v>5945</v>
      </c>
      <c r="N1173" s="5" t="str">
        <f>CASOPOInvCL!AF1173</f>
        <v>Resolute Forest Products - Saint-Felicien</v>
      </c>
      <c r="O1173" s="16" t="str">
        <f>CASOPOInvCL!AG1173</f>
        <v>CAD</v>
      </c>
      <c r="P1173" s="16">
        <f>CASOPOInvCL!AH1173</f>
        <v>11413.29</v>
      </c>
      <c r="Q1173" s="16">
        <f>CASOPOInvCL!AI1173</f>
        <v>8154.4158073578565</v>
      </c>
      <c r="R1173" s="32" t="str">
        <f>CASOPOInvCL!AU1173</f>
        <v/>
      </c>
      <c r="S1173" s="16">
        <f>CASOPOInvCL!AV1173</f>
        <v>0</v>
      </c>
      <c r="T1173" s="16">
        <f>CASOPOInvCL!AW1173</f>
        <v>0</v>
      </c>
      <c r="Y1173" s="29" t="str">
        <f>IFERROR(HLOOKUP(U1173,List!$D$2:$H$6,2,FALSE),"")</f>
        <v/>
      </c>
      <c r="Z1173" s="29" t="str">
        <f>IFERROR(HLOOKUP(V1173,List!$D$2:$H$6,3,FALSE),"")</f>
        <v/>
      </c>
      <c r="AA1173" s="29" t="str">
        <f>IFERROR(HLOOKUP(W1173,List!$D$2:$H$6,4,FALSE),"")</f>
        <v/>
      </c>
      <c r="AB1173" s="29" t="str">
        <f>IFERROR(HLOOKUP(X1173,List!$D$2:$H$6,5,FALSE),"")</f>
        <v/>
      </c>
      <c r="AC1173" s="12" t="str">
        <f t="shared" si="286"/>
        <v/>
      </c>
      <c r="AD1173" s="12" t="str">
        <f t="shared" si="287"/>
        <v/>
      </c>
      <c r="AE1173" s="12" t="str">
        <f t="shared" si="288"/>
        <v/>
      </c>
      <c r="AF1173" s="12" t="str">
        <f t="shared" si="289"/>
        <v/>
      </c>
      <c r="AG1173" t="e">
        <f>VLOOKUP(J1173,'Receivable Invoice Detail'!$A$1:F4185,6,FALSE)</f>
        <v>#N/A</v>
      </c>
      <c r="AM1173" s="12" t="str">
        <f t="shared" si="290"/>
        <v/>
      </c>
      <c r="AN1173" s="12" t="str">
        <f t="shared" si="291"/>
        <v/>
      </c>
      <c r="AO1173" s="12" t="str">
        <f t="shared" si="292"/>
        <v/>
      </c>
      <c r="AP1173" s="12" t="str">
        <f t="shared" si="293"/>
        <v/>
      </c>
      <c r="AQ1173" s="64" t="str">
        <f t="shared" si="284"/>
        <v/>
      </c>
      <c r="AS1173" s="12">
        <f t="shared" si="285"/>
        <v>0</v>
      </c>
      <c r="AT1173" t="s">
        <v>5945</v>
      </c>
    </row>
    <row r="1174" spans="1:46" hidden="1" x14ac:dyDescent="0.25">
      <c r="A1174" s="41">
        <f>CASOPOInvCL!T1174</f>
        <v>0</v>
      </c>
      <c r="B1174" t="str">
        <f>CASOPOInvCL!Z1174</f>
        <v>SO18198</v>
      </c>
      <c r="G1174" s="5" t="str">
        <f>CASOPOInvCL!I1174</f>
        <v>Ian Trottier</v>
      </c>
      <c r="H1174" s="31">
        <f>CASOPOInvCL!U1174</f>
        <v>11</v>
      </c>
      <c r="I1174" s="31">
        <f>CASOPOInvCL!V1174</f>
        <v>2025</v>
      </c>
      <c r="J1174" s="5" t="str">
        <f>CASOPOInvCL!AB1174</f>
        <v>No Inv</v>
      </c>
      <c r="K1174" s="31" t="str">
        <f>CASOPOInvCL!W1174</f>
        <v/>
      </c>
      <c r="L1174" s="31" t="str">
        <f>CASOPOInvCL!X1174</f>
        <v/>
      </c>
      <c r="N1174" s="5" t="str">
        <f>CASOPOInvCL!AF1174</f>
        <v>Maham LLC</v>
      </c>
      <c r="O1174" s="16" t="str">
        <f>CASOPOInvCL!AG1174</f>
        <v>USD</v>
      </c>
      <c r="P1174" s="16">
        <f>CASOPOInvCL!AH1174</f>
        <v>3857.2249402221164</v>
      </c>
      <c r="Q1174" s="16">
        <f>CASOPOInvCL!AI1174</f>
        <v>2788.1</v>
      </c>
      <c r="R1174" s="32" t="str">
        <f>CASOPOInvCL!AU1174</f>
        <v/>
      </c>
      <c r="S1174" s="16">
        <f>CASOPOInvCL!AV1174</f>
        <v>0</v>
      </c>
      <c r="T1174" s="16">
        <f>CASOPOInvCL!AW1174</f>
        <v>0</v>
      </c>
      <c r="Y1174" s="29" t="str">
        <f>IFERROR(HLOOKUP(U1174,List!$D$2:$H$6,2,FALSE),"")</f>
        <v/>
      </c>
      <c r="Z1174" s="29" t="str">
        <f>IFERROR(HLOOKUP(V1174,List!$D$2:$H$6,3,FALSE),"")</f>
        <v/>
      </c>
      <c r="AA1174" s="29" t="str">
        <f>IFERROR(HLOOKUP(W1174,List!$D$2:$H$6,4,FALSE),"")</f>
        <v/>
      </c>
      <c r="AB1174" s="29" t="str">
        <f>IFERROR(HLOOKUP(X1174,List!$D$2:$H$6,5,FALSE),"")</f>
        <v/>
      </c>
      <c r="AC1174" s="12" t="str">
        <f t="shared" si="286"/>
        <v/>
      </c>
      <c r="AD1174" s="12" t="str">
        <f t="shared" si="287"/>
        <v/>
      </c>
      <c r="AE1174" s="12" t="str">
        <f t="shared" si="288"/>
        <v/>
      </c>
      <c r="AF1174" s="12" t="str">
        <f t="shared" si="289"/>
        <v/>
      </c>
      <c r="AG1174" t="e">
        <f>VLOOKUP(J1174,'Receivable Invoice Detail'!$A$1:F4186,6,FALSE)</f>
        <v>#N/A</v>
      </c>
      <c r="AM1174" s="12" t="str">
        <f t="shared" si="290"/>
        <v/>
      </c>
      <c r="AN1174" s="12" t="str">
        <f t="shared" si="291"/>
        <v/>
      </c>
      <c r="AO1174" s="12" t="str">
        <f t="shared" si="292"/>
        <v/>
      </c>
      <c r="AP1174" s="12" t="str">
        <f t="shared" si="293"/>
        <v/>
      </c>
      <c r="AQ1174" s="64"/>
      <c r="AS1174" s="12">
        <f t="shared" si="285"/>
        <v>36.284465543796713</v>
      </c>
    </row>
    <row r="1175" spans="1:46" hidden="1" x14ac:dyDescent="0.25">
      <c r="A1175" s="41">
        <f>CASOPOInvCL!T1175</f>
        <v>1</v>
      </c>
      <c r="B1175" t="str">
        <f>CASOPOInvCL!Z1175</f>
        <v>SO18199</v>
      </c>
      <c r="G1175" s="5" t="str">
        <f>CASOPOInvCL!I1175</f>
        <v>Ian Trottier</v>
      </c>
      <c r="H1175" s="31">
        <f>CASOPOInvCL!U1175</f>
        <v>11</v>
      </c>
      <c r="I1175" s="31">
        <f>CASOPOInvCL!V1175</f>
        <v>2025</v>
      </c>
      <c r="J1175" s="5" t="str">
        <f>CASOPOInvCL!AB1175</f>
        <v>INV13620</v>
      </c>
      <c r="K1175" s="31">
        <f>CASOPOInvCL!W1175</f>
        <v>12</v>
      </c>
      <c r="L1175" s="31">
        <f>CASOPOInvCL!X1175</f>
        <v>2025</v>
      </c>
      <c r="M1175" t="s">
        <v>5945</v>
      </c>
      <c r="N1175" s="5" t="str">
        <f>CASOPOInvCL!AF1175</f>
        <v>Sealtrac Inc.</v>
      </c>
      <c r="O1175" s="16" t="str">
        <f>CASOPOInvCL!AG1175</f>
        <v>CAD</v>
      </c>
      <c r="P1175" s="16">
        <f>CASOPOInvCL!AH1175</f>
        <v>209.18</v>
      </c>
      <c r="Q1175" s="16">
        <f>CASOPOInvCL!AI1175</f>
        <v>149.08700282415813</v>
      </c>
      <c r="R1175" s="32" t="str">
        <f>CASOPOInvCL!AU1175</f>
        <v>Yes</v>
      </c>
      <c r="S1175" s="16">
        <f>CASOPOInvCL!AV1175</f>
        <v>0</v>
      </c>
      <c r="T1175" s="16">
        <f>CASOPOInvCL!AW1175</f>
        <v>149.08700282415813</v>
      </c>
      <c r="Y1175" s="29" t="str">
        <f>IFERROR(HLOOKUP(U1175,List!$D$2:$H$6,2,FALSE),"")</f>
        <v/>
      </c>
      <c r="Z1175" s="29" t="str">
        <f>IFERROR(HLOOKUP(V1175,List!$D$2:$H$6,3,FALSE),"")</f>
        <v/>
      </c>
      <c r="AA1175" s="29" t="str">
        <f>IFERROR(HLOOKUP(W1175,List!$D$2:$H$6,4,FALSE),"")</f>
        <v/>
      </c>
      <c r="AB1175" s="29" t="str">
        <f>IFERROR(HLOOKUP(X1175,List!$D$2:$H$6,5,FALSE),"")</f>
        <v/>
      </c>
      <c r="AC1175" s="12" t="str">
        <f t="shared" si="286"/>
        <v/>
      </c>
      <c r="AD1175" s="12" t="str">
        <f t="shared" si="287"/>
        <v/>
      </c>
      <c r="AE1175" s="12" t="str">
        <f t="shared" si="288"/>
        <v/>
      </c>
      <c r="AF1175" s="12" t="str">
        <f t="shared" si="289"/>
        <v/>
      </c>
      <c r="AG1175" t="str">
        <f>VLOOKUP(J1175,'Receivable Invoice Detail'!$A$1:F4187,6,FALSE)</f>
        <v>[G-73705X 2229] Shaft Sleeve, 3196 MTX, 316SS</v>
      </c>
      <c r="AM1175" s="12" t="str">
        <f t="shared" si="290"/>
        <v/>
      </c>
      <c r="AN1175" s="12" t="str">
        <f t="shared" si="291"/>
        <v/>
      </c>
      <c r="AO1175" s="12" t="str">
        <f t="shared" si="292"/>
        <v/>
      </c>
      <c r="AP1175" s="12" t="str">
        <f t="shared" si="293"/>
        <v/>
      </c>
      <c r="AQ1175" s="64" t="str">
        <f t="shared" si="284"/>
        <v/>
      </c>
      <c r="AS1175" s="12">
        <f t="shared" si="285"/>
        <v>10.571043171778815</v>
      </c>
      <c r="AT1175" t="s">
        <v>5945</v>
      </c>
    </row>
    <row r="1176" spans="1:46" hidden="1" x14ac:dyDescent="0.25">
      <c r="A1176" s="41">
        <f>CASOPOInvCL!T1176</f>
        <v>1</v>
      </c>
      <c r="B1176" t="str">
        <f>CASOPOInvCL!Z1176</f>
        <v>SO18200</v>
      </c>
      <c r="D1176" t="s">
        <v>5938</v>
      </c>
      <c r="G1176" s="5" t="str">
        <f>CASOPOInvCL!I1176</f>
        <v>Marlen Martinez</v>
      </c>
      <c r="H1176" s="31">
        <f>CASOPOInvCL!U1176</f>
        <v>11</v>
      </c>
      <c r="I1176" s="31">
        <f>CASOPOInvCL!V1176</f>
        <v>2025</v>
      </c>
      <c r="J1176" s="5" t="str">
        <f>CASOPOInvCL!AB1176</f>
        <v>INV13676</v>
      </c>
      <c r="K1176" s="31" t="str">
        <f>CASOPOInvCL!W1176</f>
        <v/>
      </c>
      <c r="L1176" s="31" t="str">
        <f>CASOPOInvCL!X1176</f>
        <v/>
      </c>
      <c r="M1176" t="s">
        <v>5945</v>
      </c>
      <c r="N1176" s="5" t="str">
        <f>CASOPOInvCL!AF1176</f>
        <v>Covia Corp - Junction City</v>
      </c>
      <c r="O1176" s="16" t="str">
        <f>CASOPOInvCL!AG1176</f>
        <v>USD</v>
      </c>
      <c r="P1176" s="16">
        <f>CASOPOInvCL!AH1176</f>
        <v>547.70355675537553</v>
      </c>
      <c r="Q1176" s="16">
        <f>CASOPOInvCL!AI1176</f>
        <v>389.98</v>
      </c>
      <c r="R1176" s="32" t="str">
        <f>CASOPOInvCL!AU1176</f>
        <v/>
      </c>
      <c r="S1176" s="16">
        <f>CASOPOInvCL!AV1176</f>
        <v>25</v>
      </c>
      <c r="T1176" s="16">
        <f>CASOPOInvCL!AW1176</f>
        <v>0</v>
      </c>
      <c r="Y1176" s="29" t="str">
        <f>IFERROR(HLOOKUP(U1176,List!$D$2:$H$6,2,FALSE),"")</f>
        <v/>
      </c>
      <c r="Z1176" s="29" t="str">
        <f>IFERROR(HLOOKUP(V1176,List!$D$2:$H$6,3,FALSE),"")</f>
        <v/>
      </c>
      <c r="AA1176" s="29" t="str">
        <f>IFERROR(HLOOKUP(W1176,List!$D$2:$H$6,4,FALSE),"")</f>
        <v/>
      </c>
      <c r="AB1176" s="29" t="str">
        <f>IFERROR(HLOOKUP(X1176,List!$D$2:$H$6,5,FALSE),"")</f>
        <v/>
      </c>
      <c r="AC1176" s="12" t="str">
        <f t="shared" si="286"/>
        <v/>
      </c>
      <c r="AD1176" s="12" t="str">
        <f t="shared" si="287"/>
        <v/>
      </c>
      <c r="AE1176" s="12" t="str">
        <f t="shared" si="288"/>
        <v/>
      </c>
      <c r="AF1176" s="12" t="str">
        <f t="shared" si="289"/>
        <v/>
      </c>
      <c r="AG1176" t="str">
        <f>VLOOKUP(J1176,'Receivable Invoice Detail'!$A$1:F4188,6,FALSE)</f>
        <v>[W-R067/C02] Neck Ring, 300 RSL, Ni-Resist</v>
      </c>
      <c r="AM1176" s="12" t="str">
        <f t="shared" si="290"/>
        <v/>
      </c>
      <c r="AN1176" s="12" t="str">
        <f t="shared" si="291"/>
        <v/>
      </c>
      <c r="AO1176" s="12" t="str">
        <f t="shared" si="292"/>
        <v/>
      </c>
      <c r="AP1176" s="12" t="str">
        <f t="shared" si="293"/>
        <v/>
      </c>
      <c r="AQ1176" s="64" t="str">
        <f t="shared" si="284"/>
        <v/>
      </c>
      <c r="AR1176" t="s">
        <v>5939</v>
      </c>
      <c r="AS1176" s="12">
        <f t="shared" si="285"/>
        <v>3.1401378611158388</v>
      </c>
      <c r="AT1176" t="s">
        <v>5945</v>
      </c>
    </row>
    <row r="1177" spans="1:46" hidden="1" x14ac:dyDescent="0.25">
      <c r="A1177" s="41">
        <f>CASOPOInvCL!T1177</f>
        <v>2</v>
      </c>
      <c r="B1177" t="str">
        <f>CASOPOInvCL!Z1177</f>
        <v>SO18204</v>
      </c>
      <c r="D1177" t="s">
        <v>5851</v>
      </c>
      <c r="G1177" s="5" t="str">
        <f>CASOPOInvCL!I1177</f>
        <v>Alexis Gil Lamadrid</v>
      </c>
      <c r="H1177" s="31">
        <f>CASOPOInvCL!U1177</f>
        <v>11</v>
      </c>
      <c r="I1177" s="31">
        <f>CASOPOInvCL!V1177</f>
        <v>2025</v>
      </c>
      <c r="J1177" s="5" t="str">
        <f>CASOPOInvCL!AB1177</f>
        <v>INV13695</v>
      </c>
      <c r="K1177" s="31">
        <f>CASOPOInvCL!W1177</f>
        <v>11</v>
      </c>
      <c r="L1177" s="31">
        <f>CASOPOInvCL!X1177</f>
        <v>2025</v>
      </c>
      <c r="M1177">
        <v>2504</v>
      </c>
      <c r="N1177" s="5" t="str">
        <f>CASOPOInvCL!AF1177</f>
        <v>Diamond Equipment Group Inc</v>
      </c>
      <c r="O1177" s="16" t="str">
        <f>CASOPOInvCL!AG1177</f>
        <v>CAD</v>
      </c>
      <c r="P1177" s="16">
        <f>CASOPOInvCL!AH1177</f>
        <v>6146.54</v>
      </c>
      <c r="Q1177" s="16">
        <f>CASOPOInvCL!AI1177</f>
        <v>4391.4982390316336</v>
      </c>
      <c r="R1177" s="32" t="str">
        <f>CASOPOInvCL!AU1177</f>
        <v>Yes</v>
      </c>
      <c r="S1177" s="16">
        <f>CASOPOInvCL!AV1177</f>
        <v>0</v>
      </c>
      <c r="T1177" s="16">
        <f>CASOPOInvCL!AW1177</f>
        <v>4391.4982390316336</v>
      </c>
      <c r="V1177" t="s">
        <v>5801</v>
      </c>
      <c r="Y1177" s="29" t="str">
        <f>IFERROR(HLOOKUP(U1177,List!$D$2:$H$6,2,FALSE),"")</f>
        <v/>
      </c>
      <c r="Z1177" s="29">
        <f>IFERROR(HLOOKUP(V1177,List!$D$2:$H$6,3,FALSE),"")</f>
        <v>0.02</v>
      </c>
      <c r="AA1177" s="29" t="str">
        <f>IFERROR(HLOOKUP(W1177,List!$D$2:$H$6,4,FALSE),"")</f>
        <v/>
      </c>
      <c r="AB1177" s="29" t="str">
        <f>IFERROR(HLOOKUP(X1177,List!$D$2:$H$6,5,FALSE),"")</f>
        <v/>
      </c>
      <c r="AC1177" s="12" t="str">
        <f t="shared" si="286"/>
        <v/>
      </c>
      <c r="AD1177" s="12">
        <f t="shared" si="287"/>
        <v>87.829964780632679</v>
      </c>
      <c r="AE1177" s="12" t="str">
        <f t="shared" si="288"/>
        <v/>
      </c>
      <c r="AF1177" s="12" t="str">
        <f t="shared" si="289"/>
        <v/>
      </c>
      <c r="AG1177" t="str">
        <f>VLOOKUP(J1177,'Receivable Invoice Detail'!$A$1:F4189,6,FALSE)</f>
        <v>[AC-98-231-081-501] Suction Side Liner, 5x5-14 SRL, Natural Rubber</v>
      </c>
      <c r="AM1177" s="12" t="str">
        <f t="shared" si="290"/>
        <v/>
      </c>
      <c r="AN1177" s="12">
        <f t="shared" si="291"/>
        <v>87.829964780632679</v>
      </c>
      <c r="AO1177" s="12" t="str">
        <f t="shared" si="292"/>
        <v/>
      </c>
      <c r="AP1177" s="12" t="str">
        <f t="shared" si="293"/>
        <v/>
      </c>
      <c r="AQ1177" s="64">
        <f t="shared" si="284"/>
        <v>2504</v>
      </c>
      <c r="AR1177" t="s">
        <v>5931</v>
      </c>
      <c r="AS1177" s="12">
        <f t="shared" si="285"/>
        <v>0</v>
      </c>
      <c r="AT1177" t="s">
        <v>4388</v>
      </c>
    </row>
    <row r="1178" spans="1:46" hidden="1" x14ac:dyDescent="0.25">
      <c r="A1178" s="41">
        <f>CASOPOInvCL!T1178</f>
        <v>2</v>
      </c>
      <c r="B1178" t="str">
        <f>CASOPOInvCL!Z1178</f>
        <v>SO18204</v>
      </c>
      <c r="D1178" t="s">
        <v>5851</v>
      </c>
      <c r="G1178" s="5">
        <f>CASOPOInvCL!I1178</f>
        <v>0</v>
      </c>
      <c r="H1178" s="31">
        <f>CASOPOInvCL!U1178</f>
        <v>11</v>
      </c>
      <c r="I1178" s="31">
        <f>CASOPOInvCL!V1178</f>
        <v>2025</v>
      </c>
      <c r="J1178" s="5" t="str">
        <f>CASOPOInvCL!AB1178</f>
        <v>INV13663</v>
      </c>
      <c r="K1178" s="31" t="str">
        <f>CASOPOInvCL!W1178</f>
        <v/>
      </c>
      <c r="L1178" s="31" t="str">
        <f>CASOPOInvCL!X1178</f>
        <v/>
      </c>
      <c r="M1178">
        <v>2504</v>
      </c>
      <c r="N1178" s="5" t="str">
        <f>CASOPOInvCL!AF1178</f>
        <v>Diamond Equipment Group Inc</v>
      </c>
      <c r="O1178" s="16" t="str">
        <f>CASOPOInvCL!AG1178</f>
        <v>CAD</v>
      </c>
      <c r="P1178" s="16">
        <f>CASOPOInvCL!AH1178</f>
        <v>0</v>
      </c>
      <c r="Q1178" s="16">
        <f>CASOPOInvCL!AI1178</f>
        <v>0</v>
      </c>
      <c r="R1178" s="32" t="str">
        <f>CASOPOInvCL!AU1178</f>
        <v/>
      </c>
      <c r="S1178" s="16">
        <f>CASOPOInvCL!AV1178</f>
        <v>0</v>
      </c>
      <c r="T1178" s="16">
        <f>CASOPOInvCL!AW1178</f>
        <v>0</v>
      </c>
      <c r="V1178" t="s">
        <v>5801</v>
      </c>
      <c r="Y1178" s="29" t="str">
        <f>IFERROR(HLOOKUP(U1178,List!$D$2:$H$6,2,FALSE),"")</f>
        <v/>
      </c>
      <c r="Z1178" s="29">
        <f>IFERROR(HLOOKUP(V1178,List!$D$2:$H$6,3,FALSE),"")</f>
        <v>0.02</v>
      </c>
      <c r="AA1178" s="29" t="str">
        <f>IFERROR(HLOOKUP(W1178,List!$D$2:$H$6,4,FALSE),"")</f>
        <v/>
      </c>
      <c r="AB1178" s="29" t="str">
        <f>IFERROR(HLOOKUP(X1178,List!$D$2:$H$6,5,FALSE),"")</f>
        <v/>
      </c>
      <c r="AC1178" s="12" t="str">
        <f t="shared" si="286"/>
        <v/>
      </c>
      <c r="AD1178" s="12">
        <f t="shared" si="287"/>
        <v>0</v>
      </c>
      <c r="AE1178" s="12" t="str">
        <f t="shared" si="288"/>
        <v/>
      </c>
      <c r="AF1178" s="12" t="str">
        <f t="shared" si="289"/>
        <v/>
      </c>
      <c r="AG1178" t="str">
        <f>VLOOKUP(J1178,'Receivable Invoice Detail'!$A$1:F4190,6,FALSE)</f>
        <v>Down payment of 100.0%</v>
      </c>
      <c r="AM1178" s="12" t="str">
        <f t="shared" si="290"/>
        <v/>
      </c>
      <c r="AN1178" s="12">
        <f t="shared" si="291"/>
        <v>0</v>
      </c>
      <c r="AO1178" s="12" t="str">
        <f t="shared" si="292"/>
        <v/>
      </c>
      <c r="AP1178" s="12" t="str">
        <f t="shared" si="293"/>
        <v/>
      </c>
      <c r="AQ1178" s="64">
        <f t="shared" si="284"/>
        <v>2504</v>
      </c>
      <c r="AR1178" t="s">
        <v>5931</v>
      </c>
      <c r="AS1178" s="12">
        <f t="shared" si="285"/>
        <v>0</v>
      </c>
      <c r="AT1178" t="s">
        <v>4388</v>
      </c>
    </row>
    <row r="1179" spans="1:46" hidden="1" x14ac:dyDescent="0.25">
      <c r="A1179" s="41">
        <f>CASOPOInvCL!T1179</f>
        <v>1</v>
      </c>
      <c r="B1179" t="str">
        <f>CASOPOInvCL!Z1179</f>
        <v>SO18206</v>
      </c>
      <c r="G1179" s="5" t="str">
        <f>CASOPOInvCL!I1179</f>
        <v>Ian Trottier</v>
      </c>
      <c r="H1179" s="31">
        <f>CASOPOInvCL!U1179</f>
        <v>11</v>
      </c>
      <c r="I1179" s="31">
        <f>CASOPOInvCL!V1179</f>
        <v>2025</v>
      </c>
      <c r="J1179" s="5" t="str">
        <f>CASOPOInvCL!AB1179</f>
        <v>INV13658</v>
      </c>
      <c r="K1179" s="31">
        <f>CASOPOInvCL!W1179</f>
        <v>1</v>
      </c>
      <c r="L1179" s="31">
        <f>CASOPOInvCL!X1179</f>
        <v>2026</v>
      </c>
      <c r="M1179" t="s">
        <v>5945</v>
      </c>
      <c r="N1179" s="5" t="str">
        <f>CASOPOInvCL!AF1179</f>
        <v>Wajax Limited - Lachine</v>
      </c>
      <c r="O1179" s="16" t="str">
        <f>CASOPOInvCL!AG1179</f>
        <v>CAD</v>
      </c>
      <c r="P1179" s="16">
        <f>CASOPOInvCL!AH1179</f>
        <v>2952.22</v>
      </c>
      <c r="Q1179" s="16">
        <f>CASOPOInvCL!AI1179</f>
        <v>2104.1095299624062</v>
      </c>
      <c r="R1179" s="32" t="str">
        <f>CASOPOInvCL!AU1179</f>
        <v>Yes</v>
      </c>
      <c r="S1179" s="16">
        <f>CASOPOInvCL!AV1179</f>
        <v>0</v>
      </c>
      <c r="T1179" s="16">
        <f>CASOPOInvCL!AW1179</f>
        <v>2104.1095299624062</v>
      </c>
      <c r="Y1179" s="29" t="str">
        <f>IFERROR(HLOOKUP(U1179,List!$D$2:$H$6,2,FALSE),"")</f>
        <v/>
      </c>
      <c r="Z1179" s="29" t="str">
        <f>IFERROR(HLOOKUP(V1179,List!$D$2:$H$6,3,FALSE),"")</f>
        <v/>
      </c>
      <c r="AA1179" s="29" t="str">
        <f>IFERROR(HLOOKUP(W1179,List!$D$2:$H$6,4,FALSE),"")</f>
        <v/>
      </c>
      <c r="AB1179" s="29" t="str">
        <f>IFERROR(HLOOKUP(X1179,List!$D$2:$H$6,5,FALSE),"")</f>
        <v/>
      </c>
      <c r="AC1179" s="12" t="str">
        <f t="shared" si="286"/>
        <v/>
      </c>
      <c r="AD1179" s="12" t="str">
        <f t="shared" si="287"/>
        <v/>
      </c>
      <c r="AE1179" s="12" t="str">
        <f t="shared" si="288"/>
        <v/>
      </c>
      <c r="AF1179" s="12" t="str">
        <f t="shared" si="289"/>
        <v/>
      </c>
      <c r="AG1179" t="str">
        <f>VLOOKUP(J1179,'Receivable Invoice Detail'!$A$1:F4191,6,FALSE)</f>
        <v>[AC-98-231-134-501] Suction Side Liner, 10x8-21 SRL-C, Natural Rubber</v>
      </c>
      <c r="AM1179" s="12" t="str">
        <f t="shared" si="290"/>
        <v/>
      </c>
      <c r="AN1179" s="12" t="str">
        <f t="shared" si="291"/>
        <v/>
      </c>
      <c r="AO1179" s="12" t="str">
        <f t="shared" si="292"/>
        <v/>
      </c>
      <c r="AP1179" s="12" t="str">
        <f t="shared" si="293"/>
        <v/>
      </c>
      <c r="AQ1179" s="64" t="str">
        <f t="shared" si="284"/>
        <v/>
      </c>
      <c r="AS1179" s="12">
        <f t="shared" si="285"/>
        <v>0</v>
      </c>
      <c r="AT1179" t="s">
        <v>5945</v>
      </c>
    </row>
    <row r="1180" spans="1:46" hidden="1" x14ac:dyDescent="0.25">
      <c r="A1180" s="41">
        <f>CASOPOInvCL!T1180</f>
        <v>1</v>
      </c>
      <c r="B1180" t="str">
        <f>CASOPOInvCL!Z1180</f>
        <v>SO18209</v>
      </c>
      <c r="G1180" s="5" t="str">
        <f>CASOPOInvCL!I1180</f>
        <v>Ian Trottier</v>
      </c>
      <c r="H1180" s="31">
        <f>CASOPOInvCL!U1180</f>
        <v>11</v>
      </c>
      <c r="I1180" s="31">
        <f>CASOPOInvCL!V1180</f>
        <v>2025</v>
      </c>
      <c r="J1180" s="5" t="str">
        <f>CASOPOInvCL!AB1180</f>
        <v>INV13648</v>
      </c>
      <c r="K1180" s="31">
        <f>CASOPOInvCL!W1180</f>
        <v>12</v>
      </c>
      <c r="L1180" s="31">
        <f>CASOPOInvCL!X1180</f>
        <v>2025</v>
      </c>
      <c r="M1180" t="s">
        <v>5945</v>
      </c>
      <c r="N1180" s="5" t="str">
        <f>CASOPOInvCL!AF1180</f>
        <v>Gibraltar Mine (Canada)</v>
      </c>
      <c r="O1180" s="16" t="str">
        <f>CASOPOInvCL!AG1180</f>
        <v>CAD</v>
      </c>
      <c r="P1180" s="16">
        <f>CASOPOInvCL!AH1180</f>
        <v>2147.04</v>
      </c>
      <c r="Q1180" s="16">
        <f>CASOPOInvCL!AI1180</f>
        <v>1532.5603519049257</v>
      </c>
      <c r="R1180" s="32" t="str">
        <f>CASOPOInvCL!AU1180</f>
        <v>Yes</v>
      </c>
      <c r="S1180" s="16">
        <f>CASOPOInvCL!AV1180</f>
        <v>0</v>
      </c>
      <c r="T1180" s="16">
        <f>CASOPOInvCL!AW1180</f>
        <v>1532.5603519049257</v>
      </c>
      <c r="Y1180" s="29" t="str">
        <f>IFERROR(HLOOKUP(U1180,List!$D$2:$H$6,2,FALSE),"")</f>
        <v/>
      </c>
      <c r="Z1180" s="29" t="str">
        <f>IFERROR(HLOOKUP(V1180,List!$D$2:$H$6,3,FALSE),"")</f>
        <v/>
      </c>
      <c r="AA1180" s="29" t="str">
        <f>IFERROR(HLOOKUP(W1180,List!$D$2:$H$6,4,FALSE),"")</f>
        <v/>
      </c>
      <c r="AB1180" s="29" t="str">
        <f>IFERROR(HLOOKUP(X1180,List!$D$2:$H$6,5,FALSE),"")</f>
        <v/>
      </c>
      <c r="AC1180" s="12" t="str">
        <f t="shared" si="286"/>
        <v/>
      </c>
      <c r="AD1180" s="12" t="str">
        <f t="shared" si="287"/>
        <v/>
      </c>
      <c r="AE1180" s="12" t="str">
        <f t="shared" si="288"/>
        <v/>
      </c>
      <c r="AF1180" s="12" t="str">
        <f t="shared" si="289"/>
        <v/>
      </c>
      <c r="AG1180" t="str">
        <f>VLOOKUP(J1180,'Receivable Invoice Detail'!$A$1:F4192,6,FALSE)</f>
        <v>[AC-98-231-123-501] Gland Side Liner, 8x6-18 SRL-C, Natural Rubber</v>
      </c>
      <c r="AM1180" s="12" t="str">
        <f t="shared" si="290"/>
        <v/>
      </c>
      <c r="AN1180" s="12" t="str">
        <f t="shared" si="291"/>
        <v/>
      </c>
      <c r="AO1180" s="12" t="str">
        <f t="shared" si="292"/>
        <v/>
      </c>
      <c r="AP1180" s="12" t="str">
        <f t="shared" si="293"/>
        <v/>
      </c>
      <c r="AQ1180" s="64" t="str">
        <f t="shared" si="284"/>
        <v/>
      </c>
      <c r="AS1180" s="12">
        <f t="shared" si="285"/>
        <v>0</v>
      </c>
      <c r="AT1180" t="s">
        <v>5945</v>
      </c>
    </row>
    <row r="1181" spans="1:46" hidden="1" x14ac:dyDescent="0.25">
      <c r="A1181" s="41">
        <f>CASOPOInvCL!T1181</f>
        <v>1</v>
      </c>
      <c r="B1181" t="str">
        <f>CASOPOInvCL!Z1181</f>
        <v>SO18210</v>
      </c>
      <c r="G1181" s="5" t="str">
        <f>CASOPOInvCL!I1181</f>
        <v>Ian Trottier</v>
      </c>
      <c r="H1181" s="31">
        <f>CASOPOInvCL!U1181</f>
        <v>11</v>
      </c>
      <c r="I1181" s="31">
        <f>CASOPOInvCL!V1181</f>
        <v>2025</v>
      </c>
      <c r="J1181" s="5" t="str">
        <f>CASOPOInvCL!AB1181</f>
        <v>INV13652</v>
      </c>
      <c r="K1181" s="31">
        <f>CASOPOInvCL!W1181</f>
        <v>12</v>
      </c>
      <c r="L1181" s="31">
        <f>CASOPOInvCL!X1181</f>
        <v>2025</v>
      </c>
      <c r="M1181" t="s">
        <v>5945</v>
      </c>
      <c r="N1181" s="5" t="str">
        <f>CASOPOInvCL!AF1181</f>
        <v>Sealtrac Inc.</v>
      </c>
      <c r="O1181" s="16" t="str">
        <f>CASOPOInvCL!AG1181</f>
        <v>CAD</v>
      </c>
      <c r="P1181" s="16">
        <f>CASOPOInvCL!AH1181</f>
        <v>365.39</v>
      </c>
      <c r="Q1181" s="16">
        <f>CASOPOInvCL!AI1181</f>
        <v>260.81592656985458</v>
      </c>
      <c r="R1181" s="32" t="str">
        <f>CASOPOInvCL!AU1181</f>
        <v>Yes</v>
      </c>
      <c r="S1181" s="16">
        <f>CASOPOInvCL!AV1181</f>
        <v>0</v>
      </c>
      <c r="T1181" s="16">
        <f>CASOPOInvCL!AW1181</f>
        <v>260.81592656985458</v>
      </c>
      <c r="Y1181" s="29" t="str">
        <f>IFERROR(HLOOKUP(U1181,List!$D$2:$H$6,2,FALSE),"")</f>
        <v/>
      </c>
      <c r="Z1181" s="29" t="str">
        <f>IFERROR(HLOOKUP(V1181,List!$D$2:$H$6,3,FALSE),"")</f>
        <v/>
      </c>
      <c r="AA1181" s="29" t="str">
        <f>IFERROR(HLOOKUP(W1181,List!$D$2:$H$6,4,FALSE),"")</f>
        <v/>
      </c>
      <c r="AB1181" s="29" t="str">
        <f>IFERROR(HLOOKUP(X1181,List!$D$2:$H$6,5,FALSE),"")</f>
        <v/>
      </c>
      <c r="AC1181" s="12" t="str">
        <f t="shared" si="286"/>
        <v/>
      </c>
      <c r="AD1181" s="12" t="str">
        <f t="shared" si="287"/>
        <v/>
      </c>
      <c r="AE1181" s="12" t="str">
        <f t="shared" si="288"/>
        <v/>
      </c>
      <c r="AF1181" s="12" t="str">
        <f t="shared" si="289"/>
        <v/>
      </c>
      <c r="AG1181" t="str">
        <f>VLOOKUP(J1181,'Receivable Invoice Detail'!$A$1:F4193,6,FALSE)</f>
        <v>[G-R104-733 2238] Shaft (Sleeve Type), 3196 MTX, 4140</v>
      </c>
      <c r="AM1181" s="12" t="str">
        <f t="shared" si="290"/>
        <v/>
      </c>
      <c r="AN1181" s="12" t="str">
        <f t="shared" si="291"/>
        <v/>
      </c>
      <c r="AO1181" s="12" t="str">
        <f t="shared" si="292"/>
        <v/>
      </c>
      <c r="AP1181" s="12" t="str">
        <f t="shared" si="293"/>
        <v/>
      </c>
      <c r="AQ1181" s="64" t="str">
        <f t="shared" si="284"/>
        <v/>
      </c>
      <c r="AS1181" s="12">
        <f t="shared" si="285"/>
        <v>0</v>
      </c>
      <c r="AT1181" t="s">
        <v>5945</v>
      </c>
    </row>
    <row r="1182" spans="1:46" hidden="1" x14ac:dyDescent="0.25">
      <c r="A1182" s="41">
        <f>CASOPOInvCL!T1182</f>
        <v>1</v>
      </c>
      <c r="B1182" t="str">
        <f>CASOPOInvCL!Z1182</f>
        <v>SO18211</v>
      </c>
      <c r="G1182" s="5" t="str">
        <f>CASOPOInvCL!I1182</f>
        <v>Ian Trottier</v>
      </c>
      <c r="H1182" s="31">
        <f>CASOPOInvCL!U1182</f>
        <v>11</v>
      </c>
      <c r="I1182" s="31">
        <f>CASOPOInvCL!V1182</f>
        <v>2025</v>
      </c>
      <c r="J1182" s="5" t="str">
        <f>CASOPOInvCL!AB1182</f>
        <v>INV13638</v>
      </c>
      <c r="K1182" s="31" t="str">
        <f>CASOPOInvCL!W1182</f>
        <v/>
      </c>
      <c r="L1182" s="31" t="str">
        <f>CASOPOInvCL!X1182</f>
        <v/>
      </c>
      <c r="M1182" t="s">
        <v>5945</v>
      </c>
      <c r="N1182" s="5" t="str">
        <f>CASOPOInvCL!AF1182</f>
        <v>Resolute Forest Products - Saint-Felicien</v>
      </c>
      <c r="O1182" s="16" t="str">
        <f>CASOPOInvCL!AG1182</f>
        <v>CAD</v>
      </c>
      <c r="P1182" s="16">
        <f>CASOPOInvCL!AH1182</f>
        <v>347.78</v>
      </c>
      <c r="Q1182" s="16">
        <f>CASOPOInvCL!AI1182</f>
        <v>248.24588232426734</v>
      </c>
      <c r="R1182" s="32" t="str">
        <f>CASOPOInvCL!AU1182</f>
        <v/>
      </c>
      <c r="S1182" s="16">
        <f>CASOPOInvCL!AV1182</f>
        <v>0</v>
      </c>
      <c r="T1182" s="16">
        <f>CASOPOInvCL!AW1182</f>
        <v>0</v>
      </c>
      <c r="Y1182" s="29" t="str">
        <f>IFERROR(HLOOKUP(U1182,List!$D$2:$H$6,2,FALSE),"")</f>
        <v/>
      </c>
      <c r="Z1182" s="29" t="str">
        <f>IFERROR(HLOOKUP(V1182,List!$D$2:$H$6,3,FALSE),"")</f>
        <v/>
      </c>
      <c r="AA1182" s="29" t="str">
        <f>IFERROR(HLOOKUP(W1182,List!$D$2:$H$6,4,FALSE),"")</f>
        <v/>
      </c>
      <c r="AB1182" s="29" t="str">
        <f>IFERROR(HLOOKUP(X1182,List!$D$2:$H$6,5,FALSE),"")</f>
        <v/>
      </c>
      <c r="AC1182" s="12" t="str">
        <f t="shared" si="286"/>
        <v/>
      </c>
      <c r="AD1182" s="12" t="str">
        <f t="shared" si="287"/>
        <v/>
      </c>
      <c r="AE1182" s="12" t="str">
        <f t="shared" si="288"/>
        <v/>
      </c>
      <c r="AF1182" s="12" t="str">
        <f t="shared" si="289"/>
        <v/>
      </c>
      <c r="AG1182" t="str">
        <f>VLOOKUP(J1182,'Receivable Invoice Detail'!$A$1:F4194,6,FALSE)</f>
        <v>[OLPWZ011009B, G-A04951A222] Bearing Isolator (Inboard), 3196 XLT/XLTi, 303SS Rotor / Bronze Stator w/Viton</v>
      </c>
      <c r="AM1182" s="12" t="str">
        <f t="shared" si="290"/>
        <v/>
      </c>
      <c r="AN1182" s="12" t="str">
        <f t="shared" si="291"/>
        <v/>
      </c>
      <c r="AO1182" s="12" t="str">
        <f t="shared" si="292"/>
        <v/>
      </c>
      <c r="AP1182" s="12" t="str">
        <f t="shared" si="293"/>
        <v/>
      </c>
      <c r="AQ1182" s="64" t="str">
        <f t="shared" si="284"/>
        <v/>
      </c>
      <c r="AS1182" s="12">
        <f t="shared" si="285"/>
        <v>2.236305042362372</v>
      </c>
      <c r="AT1182" t="s">
        <v>5945</v>
      </c>
    </row>
    <row r="1183" spans="1:46" hidden="1" x14ac:dyDescent="0.25">
      <c r="A1183" s="41">
        <f>CASOPOInvCL!T1183</f>
        <v>1</v>
      </c>
      <c r="B1183" t="str">
        <f>CASOPOInvCL!Z1183</f>
        <v>SO18212</v>
      </c>
      <c r="G1183" s="5" t="str">
        <f>CASOPOInvCL!I1183</f>
        <v>Amanda Qiao</v>
      </c>
      <c r="H1183" s="31">
        <f>CASOPOInvCL!U1183</f>
        <v>11</v>
      </c>
      <c r="I1183" s="31">
        <f>CASOPOInvCL!V1183</f>
        <v>2025</v>
      </c>
      <c r="J1183" s="5" t="str">
        <f>CASOPOInvCL!AB1183</f>
        <v>INV13640</v>
      </c>
      <c r="K1183" s="31" t="str">
        <f>CASOPOInvCL!W1183</f>
        <v/>
      </c>
      <c r="L1183" s="31" t="str">
        <f>CASOPOInvCL!X1183</f>
        <v/>
      </c>
      <c r="M1183" t="s">
        <v>5945</v>
      </c>
      <c r="N1183" s="5" t="str">
        <f>CASOPOInvCL!AF1183</f>
        <v>Dynapro Pumps</v>
      </c>
      <c r="O1183" s="16" t="str">
        <f>CASOPOInvCL!AG1183</f>
        <v>USD</v>
      </c>
      <c r="P1183" s="16">
        <f>CASOPOInvCL!AH1183</f>
        <v>5205.7107923443982</v>
      </c>
      <c r="Q1183" s="16">
        <f>CASOPOInvCL!AI1183</f>
        <v>3710.22</v>
      </c>
      <c r="R1183" s="32" t="str">
        <f>CASOPOInvCL!AU1183</f>
        <v/>
      </c>
      <c r="S1183" s="16">
        <f>CASOPOInvCL!AV1183</f>
        <v>0</v>
      </c>
      <c r="T1183" s="16">
        <f>CASOPOInvCL!AW1183</f>
        <v>0</v>
      </c>
      <c r="Y1183" s="29" t="str">
        <f>IFERROR(HLOOKUP(U1183,List!$D$2:$H$6,2,FALSE),"")</f>
        <v/>
      </c>
      <c r="Z1183" s="29" t="str">
        <f>IFERROR(HLOOKUP(V1183,List!$D$2:$H$6,3,FALSE),"")</f>
        <v/>
      </c>
      <c r="AA1183" s="29" t="str">
        <f>IFERROR(HLOOKUP(W1183,List!$D$2:$H$6,4,FALSE),"")</f>
        <v/>
      </c>
      <c r="AB1183" s="29" t="str">
        <f>IFERROR(HLOOKUP(X1183,List!$D$2:$H$6,5,FALSE),"")</f>
        <v/>
      </c>
      <c r="AC1183" s="12" t="str">
        <f t="shared" si="286"/>
        <v/>
      </c>
      <c r="AD1183" s="12" t="str">
        <f t="shared" si="287"/>
        <v/>
      </c>
      <c r="AE1183" s="12" t="str">
        <f t="shared" si="288"/>
        <v/>
      </c>
      <c r="AF1183" s="12" t="str">
        <f t="shared" si="289"/>
        <v/>
      </c>
      <c r="AG1183" t="e">
        <f>VLOOKUP(J1183,'Receivable Invoice Detail'!$A$1:F4195,6,FALSE)</f>
        <v>#N/A</v>
      </c>
      <c r="AM1183" s="12" t="str">
        <f t="shared" si="290"/>
        <v/>
      </c>
      <c r="AN1183" s="12" t="str">
        <f t="shared" si="291"/>
        <v/>
      </c>
      <c r="AO1183" s="12" t="str">
        <f t="shared" si="292"/>
        <v/>
      </c>
      <c r="AP1183" s="12" t="str">
        <f t="shared" si="293"/>
        <v/>
      </c>
      <c r="AQ1183" s="64" t="str">
        <f t="shared" si="284"/>
        <v/>
      </c>
      <c r="AR1183" t="s">
        <v>5940</v>
      </c>
      <c r="AS1183" s="12">
        <f t="shared" si="285"/>
        <v>0</v>
      </c>
      <c r="AT1183" t="s">
        <v>5940</v>
      </c>
    </row>
    <row r="1184" spans="1:46" hidden="1" x14ac:dyDescent="0.25">
      <c r="A1184" s="41">
        <f>CASOPOInvCL!T1184</f>
        <v>1</v>
      </c>
      <c r="B1184" t="str">
        <f>CASOPOInvCL!Z1184</f>
        <v>SO18213</v>
      </c>
      <c r="G1184" s="5" t="str">
        <f>CASOPOInvCL!I1184</f>
        <v>Amanda Qiao</v>
      </c>
      <c r="H1184" s="31">
        <f>CASOPOInvCL!U1184</f>
        <v>11</v>
      </c>
      <c r="I1184" s="31">
        <f>CASOPOInvCL!V1184</f>
        <v>2025</v>
      </c>
      <c r="J1184" s="5" t="str">
        <f>CASOPOInvCL!AB1184</f>
        <v>INV13731</v>
      </c>
      <c r="K1184" s="31" t="str">
        <f>CASOPOInvCL!W1184</f>
        <v/>
      </c>
      <c r="L1184" s="31" t="str">
        <f>CASOPOInvCL!X1184</f>
        <v/>
      </c>
      <c r="M1184" t="s">
        <v>5945</v>
      </c>
      <c r="N1184" s="5" t="str">
        <f>CASOPOInvCL!AF1184</f>
        <v>Dynapro Pumps</v>
      </c>
      <c r="O1184" s="16" t="str">
        <f>CASOPOInvCL!AG1184</f>
        <v>USD</v>
      </c>
      <c r="P1184" s="16">
        <f>CASOPOInvCL!AH1184</f>
        <v>4373.8286050937786</v>
      </c>
      <c r="Q1184" s="16">
        <f>CASOPOInvCL!AI1184</f>
        <v>3117.32</v>
      </c>
      <c r="R1184" s="32" t="str">
        <f>CASOPOInvCL!AU1184</f>
        <v/>
      </c>
      <c r="S1184" s="16">
        <f>CASOPOInvCL!AV1184</f>
        <v>0</v>
      </c>
      <c r="T1184" s="16">
        <f>CASOPOInvCL!AW1184</f>
        <v>0</v>
      </c>
      <c r="Y1184" s="29" t="str">
        <f>IFERROR(HLOOKUP(U1184,List!$D$2:$H$6,2,FALSE),"")</f>
        <v/>
      </c>
      <c r="Z1184" s="29" t="str">
        <f>IFERROR(HLOOKUP(V1184,List!$D$2:$H$6,3,FALSE),"")</f>
        <v/>
      </c>
      <c r="AA1184" s="29" t="str">
        <f>IFERROR(HLOOKUP(W1184,List!$D$2:$H$6,4,FALSE),"")</f>
        <v/>
      </c>
      <c r="AB1184" s="29" t="str">
        <f>IFERROR(HLOOKUP(X1184,List!$D$2:$H$6,5,FALSE),"")</f>
        <v/>
      </c>
      <c r="AC1184" s="12" t="str">
        <f t="shared" si="286"/>
        <v/>
      </c>
      <c r="AD1184" s="12" t="str">
        <f t="shared" si="287"/>
        <v/>
      </c>
      <c r="AE1184" s="12" t="str">
        <f t="shared" si="288"/>
        <v/>
      </c>
      <c r="AF1184" s="12" t="str">
        <f t="shared" si="289"/>
        <v/>
      </c>
      <c r="AG1184" t="e">
        <f>VLOOKUP(J1184,'Receivable Invoice Detail'!$A$1:F4196,6,FALSE)</f>
        <v>#N/A</v>
      </c>
      <c r="AM1184" s="12" t="str">
        <f t="shared" si="290"/>
        <v/>
      </c>
      <c r="AN1184" s="12" t="str">
        <f t="shared" si="291"/>
        <v/>
      </c>
      <c r="AO1184" s="12" t="str">
        <f t="shared" si="292"/>
        <v/>
      </c>
      <c r="AP1184" s="12" t="str">
        <f t="shared" si="293"/>
        <v/>
      </c>
      <c r="AQ1184" s="64" t="str">
        <f t="shared" si="284"/>
        <v/>
      </c>
      <c r="AR1184" t="s">
        <v>5940</v>
      </c>
      <c r="AS1184" s="12">
        <f t="shared" si="285"/>
        <v>65.872473585474495</v>
      </c>
      <c r="AT1184" t="s">
        <v>5940</v>
      </c>
    </row>
    <row r="1185" spans="1:46" hidden="1" x14ac:dyDescent="0.25">
      <c r="A1185" s="41">
        <f>CASOPOInvCL!T1185</f>
        <v>1</v>
      </c>
      <c r="B1185" t="str">
        <f>CASOPOInvCL!Z1185</f>
        <v>SO18214</v>
      </c>
      <c r="G1185" s="5" t="str">
        <f>CASOPOInvCL!I1185</f>
        <v>Ian Trottier</v>
      </c>
      <c r="H1185" s="31">
        <f>CASOPOInvCL!U1185</f>
        <v>11</v>
      </c>
      <c r="I1185" s="31">
        <f>CASOPOInvCL!V1185</f>
        <v>2025</v>
      </c>
      <c r="J1185" s="5" t="str">
        <f>CASOPOInvCL!AB1185</f>
        <v>INV13708</v>
      </c>
      <c r="K1185" s="31" t="str">
        <f>CASOPOInvCL!W1185</f>
        <v/>
      </c>
      <c r="L1185" s="31" t="str">
        <f>CASOPOInvCL!X1185</f>
        <v/>
      </c>
      <c r="M1185" t="s">
        <v>5945</v>
      </c>
      <c r="N1185" s="5" t="str">
        <f>CASOPOInvCL!AF1185</f>
        <v>Gibraltar Mine (Canada)</v>
      </c>
      <c r="O1185" s="16" t="str">
        <f>CASOPOInvCL!AG1185</f>
        <v>CAD</v>
      </c>
      <c r="P1185" s="16">
        <f>CASOPOInvCL!AH1185</f>
        <v>927.1</v>
      </c>
      <c r="Q1185" s="16">
        <f>CASOPOInvCL!AI1185</f>
        <v>656.69046810155589</v>
      </c>
      <c r="R1185" s="32" t="str">
        <f>CASOPOInvCL!AU1185</f>
        <v/>
      </c>
      <c r="S1185" s="16">
        <f>CASOPOInvCL!AV1185</f>
        <v>0</v>
      </c>
      <c r="T1185" s="16">
        <f>CASOPOInvCL!AW1185</f>
        <v>0</v>
      </c>
      <c r="Y1185" s="29" t="str">
        <f>IFERROR(HLOOKUP(U1185,List!$D$2:$H$6,2,FALSE),"")</f>
        <v/>
      </c>
      <c r="Z1185" s="29" t="str">
        <f>IFERROR(HLOOKUP(V1185,List!$D$2:$H$6,3,FALSE),"")</f>
        <v/>
      </c>
      <c r="AA1185" s="29" t="str">
        <f>IFERROR(HLOOKUP(W1185,List!$D$2:$H$6,4,FALSE),"")</f>
        <v/>
      </c>
      <c r="AB1185" s="29" t="str">
        <f>IFERROR(HLOOKUP(X1185,List!$D$2:$H$6,5,FALSE),"")</f>
        <v/>
      </c>
      <c r="AC1185" s="12" t="str">
        <f t="shared" si="286"/>
        <v/>
      </c>
      <c r="AD1185" s="12" t="str">
        <f t="shared" si="287"/>
        <v/>
      </c>
      <c r="AE1185" s="12" t="str">
        <f t="shared" si="288"/>
        <v/>
      </c>
      <c r="AF1185" s="12" t="str">
        <f t="shared" si="289"/>
        <v/>
      </c>
      <c r="AG1185" t="str">
        <f>VLOOKUP(J1185,'Receivable Invoice Detail'!$A$1:F4197,6,FALSE)</f>
        <v>[AC-98-432-037-001] Bearing Cylinder Strap (Set of 2), 8x6/10x8 SRL-C, Cast Iron</v>
      </c>
      <c r="AM1185" s="12" t="str">
        <f t="shared" si="290"/>
        <v/>
      </c>
      <c r="AN1185" s="12" t="str">
        <f t="shared" si="291"/>
        <v/>
      </c>
      <c r="AO1185" s="12" t="str">
        <f t="shared" si="292"/>
        <v/>
      </c>
      <c r="AP1185" s="12" t="str">
        <f t="shared" si="293"/>
        <v/>
      </c>
      <c r="AQ1185" s="64" t="str">
        <f t="shared" si="284"/>
        <v/>
      </c>
      <c r="AS1185" s="12">
        <f t="shared" si="285"/>
        <v>0</v>
      </c>
      <c r="AT1185" t="s">
        <v>5945</v>
      </c>
    </row>
    <row r="1186" spans="1:46" hidden="1" x14ac:dyDescent="0.25">
      <c r="A1186" s="41">
        <f>CASOPOInvCL!T1186</f>
        <v>1</v>
      </c>
      <c r="B1186" t="str">
        <f>CASOPOInvCL!Z1186</f>
        <v>SO18221</v>
      </c>
      <c r="G1186" s="5" t="str">
        <f>CASOPOInvCL!I1186</f>
        <v>Ian Trottier</v>
      </c>
      <c r="H1186" s="31">
        <f>CASOPOInvCL!U1186</f>
        <v>11</v>
      </c>
      <c r="I1186" s="31">
        <f>CASOPOInvCL!V1186</f>
        <v>2025</v>
      </c>
      <c r="J1186" s="5" t="str">
        <f>CASOPOInvCL!AB1186</f>
        <v>INV13656</v>
      </c>
      <c r="K1186" s="31" t="str">
        <f>CASOPOInvCL!W1186</f>
        <v/>
      </c>
      <c r="L1186" s="31" t="str">
        <f>CASOPOInvCL!X1186</f>
        <v/>
      </c>
      <c r="M1186" t="s">
        <v>5945</v>
      </c>
      <c r="N1186" s="5" t="str">
        <f>CASOPOInvCL!AF1186</f>
        <v>Resolute Forest Products - Clermont</v>
      </c>
      <c r="O1186" s="16" t="str">
        <f>CASOPOInvCL!AG1186</f>
        <v>CAD</v>
      </c>
      <c r="P1186" s="16">
        <f>CASOPOInvCL!AH1186</f>
        <v>348.15</v>
      </c>
      <c r="Q1186" s="16">
        <f>CASOPOInvCL!AI1186</f>
        <v>248.24880156572792</v>
      </c>
      <c r="R1186" s="32" t="str">
        <f>CASOPOInvCL!AU1186</f>
        <v/>
      </c>
      <c r="S1186" s="16">
        <f>CASOPOInvCL!AV1186</f>
        <v>0</v>
      </c>
      <c r="T1186" s="16">
        <f>CASOPOInvCL!AW1186</f>
        <v>0</v>
      </c>
      <c r="Y1186" s="29" t="str">
        <f>IFERROR(HLOOKUP(U1186,List!$D$2:$H$6,2,FALSE),"")</f>
        <v/>
      </c>
      <c r="Z1186" s="29" t="str">
        <f>IFERROR(HLOOKUP(V1186,List!$D$2:$H$6,3,FALSE),"")</f>
        <v/>
      </c>
      <c r="AA1186" s="29" t="str">
        <f>IFERROR(HLOOKUP(W1186,List!$D$2:$H$6,4,FALSE),"")</f>
        <v/>
      </c>
      <c r="AB1186" s="29" t="str">
        <f>IFERROR(HLOOKUP(X1186,List!$D$2:$H$6,5,FALSE),"")</f>
        <v/>
      </c>
      <c r="AC1186" s="12" t="str">
        <f t="shared" si="286"/>
        <v/>
      </c>
      <c r="AD1186" s="12" t="str">
        <f t="shared" si="287"/>
        <v/>
      </c>
      <c r="AE1186" s="12" t="str">
        <f t="shared" si="288"/>
        <v/>
      </c>
      <c r="AF1186" s="12" t="str">
        <f t="shared" si="289"/>
        <v/>
      </c>
      <c r="AG1186" t="str">
        <f>VLOOKUP(J1186,'Receivable Invoice Detail'!$A$1:F4198,6,FALSE)</f>
        <v>[G-91967X 2229] Shaft Sleeve, 3196 LTX, 316SS</v>
      </c>
      <c r="AM1186" s="12" t="str">
        <f t="shared" si="290"/>
        <v/>
      </c>
      <c r="AN1186" s="12" t="str">
        <f t="shared" si="291"/>
        <v/>
      </c>
      <c r="AO1186" s="12" t="str">
        <f t="shared" si="292"/>
        <v/>
      </c>
      <c r="AP1186" s="12" t="str">
        <f t="shared" si="293"/>
        <v/>
      </c>
      <c r="AQ1186" s="64" t="str">
        <f t="shared" si="284"/>
        <v/>
      </c>
      <c r="AS1186" s="12">
        <f t="shared" si="285"/>
        <v>31.561642949436091</v>
      </c>
      <c r="AT1186" t="s">
        <v>5945</v>
      </c>
    </row>
    <row r="1187" spans="1:46" hidden="1" x14ac:dyDescent="0.25">
      <c r="A1187" s="41">
        <f>CASOPOInvCL!T1187</f>
        <v>1</v>
      </c>
      <c r="B1187" t="str">
        <f>CASOPOInvCL!Z1187</f>
        <v>SO18222</v>
      </c>
      <c r="G1187" s="5" t="str">
        <f>CASOPOInvCL!I1187</f>
        <v>Amanda Qiao</v>
      </c>
      <c r="H1187" s="31">
        <f>CASOPOInvCL!U1187</f>
        <v>11</v>
      </c>
      <c r="I1187" s="31">
        <f>CASOPOInvCL!V1187</f>
        <v>2025</v>
      </c>
      <c r="J1187" s="5" t="str">
        <f>CASOPOInvCL!AB1187</f>
        <v>INV13653</v>
      </c>
      <c r="K1187" s="31">
        <f>CASOPOInvCL!W1187</f>
        <v>12</v>
      </c>
      <c r="L1187" s="31">
        <f>CASOPOInvCL!X1187</f>
        <v>2025</v>
      </c>
      <c r="M1187" t="s">
        <v>5945</v>
      </c>
      <c r="N1187" s="5" t="str">
        <f>CASOPOInvCL!AF1187</f>
        <v>Glencore Canada Corporation - Rouyn-Noranda</v>
      </c>
      <c r="O1187" s="16" t="str">
        <f>CASOPOInvCL!AG1187</f>
        <v>CAD</v>
      </c>
      <c r="P1187" s="16">
        <f>CASOPOInvCL!AH1187</f>
        <v>730.68</v>
      </c>
      <c r="Q1187" s="16">
        <f>CASOPOInvCL!AI1187</f>
        <v>521.82382889475821</v>
      </c>
      <c r="R1187" s="32" t="str">
        <f>CASOPOInvCL!AU1187</f>
        <v>Yes</v>
      </c>
      <c r="S1187" s="16">
        <f>CASOPOInvCL!AV1187</f>
        <v>0</v>
      </c>
      <c r="T1187" s="16">
        <f>CASOPOInvCL!AW1187</f>
        <v>521.82382889475821</v>
      </c>
      <c r="Y1187" s="29" t="str">
        <f>IFERROR(HLOOKUP(U1187,List!$D$2:$H$6,2,FALSE),"")</f>
        <v/>
      </c>
      <c r="Z1187" s="29" t="str">
        <f>IFERROR(HLOOKUP(V1187,List!$D$2:$H$6,3,FALSE),"")</f>
        <v/>
      </c>
      <c r="AA1187" s="29" t="str">
        <f>IFERROR(HLOOKUP(W1187,List!$D$2:$H$6,4,FALSE),"")</f>
        <v/>
      </c>
      <c r="AB1187" s="29" t="str">
        <f>IFERROR(HLOOKUP(X1187,List!$D$2:$H$6,5,FALSE),"")</f>
        <v/>
      </c>
      <c r="AC1187" s="12" t="str">
        <f t="shared" si="286"/>
        <v/>
      </c>
      <c r="AD1187" s="12" t="str">
        <f t="shared" si="287"/>
        <v/>
      </c>
      <c r="AE1187" s="12" t="str">
        <f t="shared" si="288"/>
        <v/>
      </c>
      <c r="AF1187" s="12" t="str">
        <f t="shared" si="289"/>
        <v/>
      </c>
      <c r="AG1187" t="str">
        <f>VLOOKUP(J1187,'Receivable Invoice Detail'!$A$1:F4199,6,FALSE)</f>
        <v>[AC-98-233-993-001] Water Seal Bushing, 3x3-10 SRL-C, Cast Iron</v>
      </c>
      <c r="AM1187" s="12" t="str">
        <f t="shared" si="290"/>
        <v/>
      </c>
      <c r="AN1187" s="12" t="str">
        <f t="shared" si="291"/>
        <v/>
      </c>
      <c r="AO1187" s="12" t="str">
        <f t="shared" si="292"/>
        <v/>
      </c>
      <c r="AP1187" s="12" t="str">
        <f t="shared" si="293"/>
        <v/>
      </c>
      <c r="AQ1187" s="64" t="str">
        <f t="shared" si="284"/>
        <v/>
      </c>
      <c r="AS1187" s="12">
        <f t="shared" si="285"/>
        <v>22.988405278573886</v>
      </c>
      <c r="AT1187" t="s">
        <v>5945</v>
      </c>
    </row>
    <row r="1188" spans="1:46" hidden="1" x14ac:dyDescent="0.25">
      <c r="A1188" s="41">
        <f>CASOPOInvCL!T1188</f>
        <v>1</v>
      </c>
      <c r="B1188" t="str">
        <f>CASOPOInvCL!Z1188</f>
        <v>SO18223</v>
      </c>
      <c r="G1188" s="5" t="str">
        <f>CASOPOInvCL!I1188</f>
        <v>Ian Trottier</v>
      </c>
      <c r="H1188" s="31">
        <f>CASOPOInvCL!U1188</f>
        <v>11</v>
      </c>
      <c r="I1188" s="31">
        <f>CASOPOInvCL!V1188</f>
        <v>2025</v>
      </c>
      <c r="J1188" s="5" t="str">
        <f>CASOPOInvCL!AB1188</f>
        <v>INV13650</v>
      </c>
      <c r="K1188" s="31" t="str">
        <f>CASOPOInvCL!W1188</f>
        <v/>
      </c>
      <c r="L1188" s="31" t="str">
        <f>CASOPOInvCL!X1188</f>
        <v/>
      </c>
      <c r="M1188" t="s">
        <v>5945</v>
      </c>
      <c r="N1188" s="5" t="str">
        <f>CASOPOInvCL!AF1188</f>
        <v>Glencore Canada Corporation - Rouyn-Noranda</v>
      </c>
      <c r="O1188" s="16" t="str">
        <f>CASOPOInvCL!AG1188</f>
        <v>CAD</v>
      </c>
      <c r="P1188" s="16">
        <f>CASOPOInvCL!AH1188</f>
        <v>2867.55</v>
      </c>
      <c r="Q1188" s="16">
        <f>CASOPOInvCL!AI1188</f>
        <v>2047.8950026648658</v>
      </c>
      <c r="R1188" s="32" t="str">
        <f>CASOPOInvCL!AU1188</f>
        <v/>
      </c>
      <c r="S1188" s="16">
        <f>CASOPOInvCL!AV1188</f>
        <v>0</v>
      </c>
      <c r="T1188" s="16">
        <f>CASOPOInvCL!AW1188</f>
        <v>0</v>
      </c>
      <c r="Y1188" s="29" t="str">
        <f>IFERROR(HLOOKUP(U1188,List!$D$2:$H$6,2,FALSE),"")</f>
        <v/>
      </c>
      <c r="Z1188" s="29" t="str">
        <f>IFERROR(HLOOKUP(V1188,List!$D$2:$H$6,3,FALSE),"")</f>
        <v/>
      </c>
      <c r="AA1188" s="29" t="str">
        <f>IFERROR(HLOOKUP(W1188,List!$D$2:$H$6,4,FALSE),"")</f>
        <v/>
      </c>
      <c r="AB1188" s="29" t="str">
        <f>IFERROR(HLOOKUP(X1188,List!$D$2:$H$6,5,FALSE),"")</f>
        <v/>
      </c>
      <c r="AC1188" s="12" t="str">
        <f t="shared" si="286"/>
        <v/>
      </c>
      <c r="AD1188" s="12" t="str">
        <f t="shared" si="287"/>
        <v/>
      </c>
      <c r="AE1188" s="12" t="str">
        <f t="shared" si="288"/>
        <v/>
      </c>
      <c r="AF1188" s="12" t="str">
        <f t="shared" si="289"/>
        <v/>
      </c>
      <c r="AG1188" t="str">
        <f>VLOOKUP(J1188,'Receivable Invoice Detail'!$A$1:F4200,6,FALSE)</f>
        <v>[AC-98-331-958-804] Shaft Sleeve, 3x3-10 SRL, Steel</v>
      </c>
      <c r="AM1188" s="12" t="str">
        <f t="shared" si="290"/>
        <v/>
      </c>
      <c r="AN1188" s="12" t="str">
        <f t="shared" si="291"/>
        <v/>
      </c>
      <c r="AO1188" s="12" t="str">
        <f t="shared" si="292"/>
        <v/>
      </c>
      <c r="AP1188" s="12" t="str">
        <f t="shared" si="293"/>
        <v/>
      </c>
      <c r="AQ1188" s="64" t="str">
        <f t="shared" si="284"/>
        <v/>
      </c>
      <c r="AS1188" s="12">
        <f t="shared" si="285"/>
        <v>3.9122388985478187</v>
      </c>
      <c r="AT1188" t="s">
        <v>5945</v>
      </c>
    </row>
    <row r="1189" spans="1:46" hidden="1" x14ac:dyDescent="0.25">
      <c r="A1189" s="41">
        <f>CASOPOInvCL!T1189</f>
        <v>1</v>
      </c>
      <c r="B1189" t="str">
        <f>CASOPOInvCL!Z1189</f>
        <v>SO18224</v>
      </c>
      <c r="G1189" s="5" t="str">
        <f>CASOPOInvCL!I1189</f>
        <v>Amanda Qiao</v>
      </c>
      <c r="H1189" s="31">
        <f>CASOPOInvCL!U1189</f>
        <v>11</v>
      </c>
      <c r="I1189" s="31">
        <f>CASOPOInvCL!V1189</f>
        <v>2025</v>
      </c>
      <c r="J1189" s="5" t="str">
        <f>CASOPOInvCL!AB1189</f>
        <v>INV13649</v>
      </c>
      <c r="K1189" s="31" t="str">
        <f>CASOPOInvCL!W1189</f>
        <v/>
      </c>
      <c r="L1189" s="31" t="str">
        <f>CASOPOInvCL!X1189</f>
        <v/>
      </c>
      <c r="M1189" t="s">
        <v>5945</v>
      </c>
      <c r="N1189" s="5" t="str">
        <f>CASOPOInvCL!AF1189</f>
        <v>Glencore Canada Corporation - Rouyn-Noranda</v>
      </c>
      <c r="O1189" s="16" t="str">
        <f>CASOPOInvCL!AG1189</f>
        <v>CAD</v>
      </c>
      <c r="P1189" s="16">
        <f>CASOPOInvCL!AH1189</f>
        <v>109.66</v>
      </c>
      <c r="Q1189" s="16">
        <f>CASOPOInvCL!AI1189</f>
        <v>78.314995725350613</v>
      </c>
      <c r="R1189" s="32" t="str">
        <f>CASOPOInvCL!AU1189</f>
        <v/>
      </c>
      <c r="S1189" s="16">
        <f>CASOPOInvCL!AV1189</f>
        <v>0</v>
      </c>
      <c r="T1189" s="16">
        <f>CASOPOInvCL!AW1189</f>
        <v>0</v>
      </c>
      <c r="Y1189" s="29" t="str">
        <f>IFERROR(HLOOKUP(U1189,List!$D$2:$H$6,2,FALSE),"")</f>
        <v/>
      </c>
      <c r="Z1189" s="29" t="str">
        <f>IFERROR(HLOOKUP(V1189,List!$D$2:$H$6,3,FALSE),"")</f>
        <v/>
      </c>
      <c r="AA1189" s="29" t="str">
        <f>IFERROR(HLOOKUP(W1189,List!$D$2:$H$6,4,FALSE),"")</f>
        <v/>
      </c>
      <c r="AB1189" s="29" t="str">
        <f>IFERROR(HLOOKUP(X1189,List!$D$2:$H$6,5,FALSE),"")</f>
        <v/>
      </c>
      <c r="AC1189" s="12" t="str">
        <f t="shared" si="286"/>
        <v/>
      </c>
      <c r="AD1189" s="12" t="str">
        <f t="shared" si="287"/>
        <v/>
      </c>
      <c r="AE1189" s="12" t="str">
        <f t="shared" si="288"/>
        <v/>
      </c>
      <c r="AF1189" s="12" t="str">
        <f t="shared" si="289"/>
        <v/>
      </c>
      <c r="AG1189" t="str">
        <f>VLOOKUP(J1189,'Receivable Invoice Detail'!$A$1:F4201,6,FALSE)</f>
        <v>[AC-98-236-245-002] Premium Slurry Packing (5 Piece Set), 3x3-10 SRL and SRL-C, Kevlar Fiber w/Silicon Core</v>
      </c>
      <c r="AM1189" s="12" t="str">
        <f t="shared" si="290"/>
        <v/>
      </c>
      <c r="AN1189" s="12" t="str">
        <f t="shared" si="291"/>
        <v/>
      </c>
      <c r="AO1189" s="12" t="str">
        <f t="shared" si="292"/>
        <v/>
      </c>
      <c r="AP1189" s="12" t="str">
        <f t="shared" si="293"/>
        <v/>
      </c>
      <c r="AQ1189" s="64" t="str">
        <f t="shared" si="284"/>
        <v/>
      </c>
      <c r="AS1189" s="12">
        <f t="shared" si="285"/>
        <v>0</v>
      </c>
      <c r="AT1189" t="s">
        <v>5945</v>
      </c>
    </row>
    <row r="1190" spans="1:46" hidden="1" x14ac:dyDescent="0.25">
      <c r="A1190" s="41">
        <f>CASOPOInvCL!T1190</f>
        <v>1</v>
      </c>
      <c r="B1190" t="str">
        <f>CASOPOInvCL!Z1190</f>
        <v>SO18225</v>
      </c>
      <c r="G1190" s="5" t="str">
        <f>CASOPOInvCL!I1190</f>
        <v>Ian Trottier</v>
      </c>
      <c r="H1190" s="31">
        <f>CASOPOInvCL!U1190</f>
        <v>11</v>
      </c>
      <c r="I1190" s="31">
        <f>CASOPOInvCL!V1190</f>
        <v>2025</v>
      </c>
      <c r="J1190" s="5" t="str">
        <f>CASOPOInvCL!AB1190</f>
        <v>INV13651</v>
      </c>
      <c r="K1190" s="31" t="str">
        <f>CASOPOInvCL!W1190</f>
        <v/>
      </c>
      <c r="L1190" s="31" t="str">
        <f>CASOPOInvCL!X1190</f>
        <v/>
      </c>
      <c r="M1190" t="s">
        <v>5945</v>
      </c>
      <c r="N1190" s="5" t="str">
        <f>CASOPOInvCL!AF1190</f>
        <v>Glencore Canada Corporation - Rouyn-Noranda</v>
      </c>
      <c r="O1190" s="16" t="str">
        <f>CASOPOInvCL!AG1190</f>
        <v>CAD</v>
      </c>
      <c r="P1190" s="16">
        <f>CASOPOInvCL!AH1190</f>
        <v>721.12</v>
      </c>
      <c r="Q1190" s="16">
        <f>CASOPOInvCL!AI1190</f>
        <v>514.99644097633438</v>
      </c>
      <c r="R1190" s="32" t="str">
        <f>CASOPOInvCL!AU1190</f>
        <v/>
      </c>
      <c r="S1190" s="16">
        <f>CASOPOInvCL!AV1190</f>
        <v>0</v>
      </c>
      <c r="T1190" s="16">
        <f>CASOPOInvCL!AW1190</f>
        <v>0</v>
      </c>
      <c r="Y1190" s="29" t="str">
        <f>IFERROR(HLOOKUP(U1190,List!$D$2:$H$6,2,FALSE),"")</f>
        <v/>
      </c>
      <c r="Z1190" s="29" t="str">
        <f>IFERROR(HLOOKUP(V1190,List!$D$2:$H$6,3,FALSE),"")</f>
        <v/>
      </c>
      <c r="AA1190" s="29" t="str">
        <f>IFERROR(HLOOKUP(W1190,List!$D$2:$H$6,4,FALSE),"")</f>
        <v/>
      </c>
      <c r="AB1190" s="29" t="str">
        <f>IFERROR(HLOOKUP(X1190,List!$D$2:$H$6,5,FALSE),"")</f>
        <v/>
      </c>
      <c r="AC1190" s="12" t="str">
        <f t="shared" si="286"/>
        <v/>
      </c>
      <c r="AD1190" s="12" t="str">
        <f t="shared" si="287"/>
        <v/>
      </c>
      <c r="AE1190" s="12" t="str">
        <f t="shared" si="288"/>
        <v/>
      </c>
      <c r="AF1190" s="12" t="str">
        <f t="shared" si="289"/>
        <v/>
      </c>
      <c r="AG1190" t="str">
        <f>VLOOKUP(J1190,'Receivable Invoice Detail'!$A$1:F4202,6,FALSE)</f>
        <v>[AC-98-330-286-501] Impeller (Open), 3x3-10 SRL, Natural Rubber</v>
      </c>
      <c r="AM1190" s="12" t="str">
        <f t="shared" si="290"/>
        <v/>
      </c>
      <c r="AN1190" s="12" t="str">
        <f t="shared" si="291"/>
        <v/>
      </c>
      <c r="AO1190" s="12" t="str">
        <f t="shared" si="292"/>
        <v/>
      </c>
      <c r="AP1190" s="12" t="str">
        <f t="shared" si="293"/>
        <v/>
      </c>
      <c r="AQ1190" s="64" t="str">
        <f t="shared" si="284"/>
        <v/>
      </c>
      <c r="AS1190" s="12">
        <f t="shared" si="285"/>
        <v>0</v>
      </c>
      <c r="AT1190" t="s">
        <v>5945</v>
      </c>
    </row>
    <row r="1191" spans="1:46" hidden="1" x14ac:dyDescent="0.25">
      <c r="A1191" s="41">
        <f>CASOPOInvCL!T1191</f>
        <v>1</v>
      </c>
      <c r="B1191" t="str">
        <f>CASOPOInvCL!Z1191</f>
        <v>SO18226</v>
      </c>
      <c r="G1191" s="5" t="str">
        <f>CASOPOInvCL!I1191</f>
        <v>Aleksandar Stankovic</v>
      </c>
      <c r="H1191" s="31">
        <f>CASOPOInvCL!U1191</f>
        <v>11</v>
      </c>
      <c r="I1191" s="31">
        <f>CASOPOInvCL!V1191</f>
        <v>2025</v>
      </c>
      <c r="J1191" s="5" t="str">
        <f>CASOPOInvCL!AB1191</f>
        <v>INV13721</v>
      </c>
      <c r="K1191" s="31">
        <f>CASOPOInvCL!W1191</f>
        <v>12</v>
      </c>
      <c r="L1191" s="31">
        <f>CASOPOInvCL!X1191</f>
        <v>2025</v>
      </c>
      <c r="M1191" t="s">
        <v>5945</v>
      </c>
      <c r="N1191" s="5" t="str">
        <f>CASOPOInvCL!AF1191</f>
        <v>FMI Products</v>
      </c>
      <c r="O1191" s="16" t="str">
        <f>CASOPOInvCL!AG1191</f>
        <v>CAD</v>
      </c>
      <c r="P1191" s="16">
        <f>CASOPOInvCL!AH1191</f>
        <v>1043</v>
      </c>
      <c r="Q1191" s="16">
        <f>CASOPOInvCL!AI1191</f>
        <v>745.51826354804894</v>
      </c>
      <c r="R1191" s="32" t="str">
        <f>CASOPOInvCL!AU1191</f>
        <v>Yes</v>
      </c>
      <c r="S1191" s="16">
        <f>CASOPOInvCL!AV1191</f>
        <v>0</v>
      </c>
      <c r="T1191" s="16">
        <f>CASOPOInvCL!AW1191</f>
        <v>745.51826354804894</v>
      </c>
      <c r="Y1191" s="29" t="str">
        <f>IFERROR(HLOOKUP(U1191,List!$D$2:$H$6,2,FALSE),"")</f>
        <v/>
      </c>
      <c r="Z1191" s="29" t="str">
        <f>IFERROR(HLOOKUP(V1191,List!$D$2:$H$6,3,FALSE),"")</f>
        <v/>
      </c>
      <c r="AA1191" s="29" t="str">
        <f>IFERROR(HLOOKUP(W1191,List!$D$2:$H$6,4,FALSE),"")</f>
        <v/>
      </c>
      <c r="AB1191" s="29" t="str">
        <f>IFERROR(HLOOKUP(X1191,List!$D$2:$H$6,5,FALSE),"")</f>
        <v/>
      </c>
      <c r="AC1191" s="12" t="str">
        <f t="shared" si="286"/>
        <v/>
      </c>
      <c r="AD1191" s="12" t="str">
        <f t="shared" si="287"/>
        <v/>
      </c>
      <c r="AE1191" s="12" t="str">
        <f t="shared" si="288"/>
        <v/>
      </c>
      <c r="AF1191" s="12" t="str">
        <f t="shared" si="289"/>
        <v/>
      </c>
      <c r="AG1191" t="str">
        <f>VLOOKUP(J1191,'Receivable Invoice Detail'!$A$1:F4203,6,FALSE)</f>
        <v>[AC-98-331-936-801] Bearing Cover (Inboard), 8x6-18 &amp; 10x8-21 SRL-C, Cast Iron</v>
      </c>
      <c r="AM1191" s="12" t="str">
        <f t="shared" si="290"/>
        <v/>
      </c>
      <c r="AN1191" s="12" t="str">
        <f t="shared" si="291"/>
        <v/>
      </c>
      <c r="AO1191" s="12" t="str">
        <f t="shared" si="292"/>
        <v/>
      </c>
      <c r="AP1191" s="12" t="str">
        <f t="shared" si="293"/>
        <v/>
      </c>
      <c r="AQ1191" s="64" t="str">
        <f t="shared" si="284"/>
        <v/>
      </c>
      <c r="AR1191" t="s">
        <v>5943</v>
      </c>
      <c r="AS1191" s="12">
        <f t="shared" si="285"/>
        <v>0</v>
      </c>
      <c r="AT1191" t="s">
        <v>5945</v>
      </c>
    </row>
    <row r="1192" spans="1:46" hidden="1" x14ac:dyDescent="0.25">
      <c r="A1192" s="41">
        <f>CASOPOInvCL!T1192</f>
        <v>1</v>
      </c>
      <c r="B1192" t="str">
        <f>CASOPOInvCL!Z1192</f>
        <v>SO18227</v>
      </c>
      <c r="G1192" s="5" t="str">
        <f>CASOPOInvCL!I1192</f>
        <v>Wilka Nuñez</v>
      </c>
      <c r="H1192" s="31">
        <f>CASOPOInvCL!U1192</f>
        <v>11</v>
      </c>
      <c r="I1192" s="31">
        <f>CASOPOInvCL!V1192</f>
        <v>2025</v>
      </c>
      <c r="J1192" s="5" t="str">
        <f>CASOPOInvCL!AB1192</f>
        <v>INV13641</v>
      </c>
      <c r="K1192" s="31" t="str">
        <f>CASOPOInvCL!W1192</f>
        <v/>
      </c>
      <c r="L1192" s="31" t="str">
        <f>CASOPOInvCL!X1192</f>
        <v/>
      </c>
      <c r="M1192" t="s">
        <v>5945</v>
      </c>
      <c r="N1192" s="5" t="str">
        <f>CASOPOInvCL!AF1192</f>
        <v>Southeast Pump Specialist, Inc.</v>
      </c>
      <c r="O1192" s="16" t="str">
        <f>CASOPOInvCL!AG1192</f>
        <v>USD</v>
      </c>
      <c r="P1192" s="16">
        <f>CASOPOInvCL!AH1192</f>
        <v>4373.1346068489283</v>
      </c>
      <c r="Q1192" s="16">
        <f>CASOPOInvCL!AI1192</f>
        <v>3121.55</v>
      </c>
      <c r="R1192" s="32" t="str">
        <f>CASOPOInvCL!AU1192</f>
        <v/>
      </c>
      <c r="S1192" s="16">
        <f>CASOPOInvCL!AV1192</f>
        <v>707</v>
      </c>
      <c r="T1192" s="16">
        <f>CASOPOInvCL!AW1192</f>
        <v>0</v>
      </c>
      <c r="Y1192" s="29" t="str">
        <f>IFERROR(HLOOKUP(U1192,List!$D$2:$H$6,2,FALSE),"")</f>
        <v/>
      </c>
      <c r="Z1192" s="29" t="str">
        <f>IFERROR(HLOOKUP(V1192,List!$D$2:$H$6,3,FALSE),"")</f>
        <v/>
      </c>
      <c r="AA1192" s="29" t="str">
        <f>IFERROR(HLOOKUP(W1192,List!$D$2:$H$6,4,FALSE),"")</f>
        <v/>
      </c>
      <c r="AB1192" s="29" t="str">
        <f>IFERROR(HLOOKUP(X1192,List!$D$2:$H$6,5,FALSE),"")</f>
        <v/>
      </c>
      <c r="AC1192" s="12" t="str">
        <f t="shared" si="286"/>
        <v/>
      </c>
      <c r="AD1192" s="12" t="str">
        <f t="shared" si="287"/>
        <v/>
      </c>
      <c r="AE1192" s="12" t="str">
        <f t="shared" si="288"/>
        <v/>
      </c>
      <c r="AF1192" s="12" t="str">
        <f t="shared" si="289"/>
        <v/>
      </c>
      <c r="AG1192" t="str">
        <f>VLOOKUP(J1192,'Receivable Invoice Detail'!$A$1:F4204,6,FALSE)</f>
        <v>[AC-98-331-910-801] Bearing Cylinder, 8x6-18 &amp; 10x8-21 SRL-C, Cast Iron</v>
      </c>
      <c r="AM1192" s="12" t="str">
        <f t="shared" si="290"/>
        <v/>
      </c>
      <c r="AN1192" s="12" t="str">
        <f t="shared" si="291"/>
        <v/>
      </c>
      <c r="AO1192" s="12" t="str">
        <f t="shared" si="292"/>
        <v/>
      </c>
      <c r="AP1192" s="12" t="str">
        <f t="shared" si="293"/>
        <v/>
      </c>
      <c r="AQ1192" s="64" t="str">
        <f t="shared" si="284"/>
        <v/>
      </c>
      <c r="AS1192" s="12">
        <f t="shared" si="285"/>
        <v>0</v>
      </c>
      <c r="AT1192" t="s">
        <v>5945</v>
      </c>
    </row>
    <row r="1193" spans="1:46" hidden="1" x14ac:dyDescent="0.25">
      <c r="A1193" s="41">
        <f>CASOPOInvCL!T1193</f>
        <v>1</v>
      </c>
      <c r="B1193" t="str">
        <f>CASOPOInvCL!Z1193</f>
        <v>SO18228</v>
      </c>
      <c r="G1193" s="5" t="str">
        <f>CASOPOInvCL!I1193</f>
        <v>Ian Trottier</v>
      </c>
      <c r="H1193" s="31">
        <f>CASOPOInvCL!U1193</f>
        <v>11</v>
      </c>
      <c r="I1193" s="31">
        <f>CASOPOInvCL!V1193</f>
        <v>2025</v>
      </c>
      <c r="J1193" s="5" t="str">
        <f>CASOPOInvCL!AB1193</f>
        <v>INV13669</v>
      </c>
      <c r="K1193" s="31">
        <f>CASOPOInvCL!W1193</f>
        <v>12</v>
      </c>
      <c r="L1193" s="31">
        <f>CASOPOInvCL!X1193</f>
        <v>2025</v>
      </c>
      <c r="M1193" t="s">
        <v>5945</v>
      </c>
      <c r="N1193" s="5" t="str">
        <f>CASOPOInvCL!AF1193</f>
        <v>FMI Products</v>
      </c>
      <c r="O1193" s="16" t="str">
        <f>CASOPOInvCL!AG1193</f>
        <v>CAD</v>
      </c>
      <c r="P1193" s="16">
        <f>CASOPOInvCL!AH1193</f>
        <v>878.94</v>
      </c>
      <c r="Q1193" s="16">
        <f>CASOPOInvCL!AI1193</f>
        <v>627.97337399812977</v>
      </c>
      <c r="R1193" s="32" t="str">
        <f>CASOPOInvCL!AU1193</f>
        <v>Yes</v>
      </c>
      <c r="S1193" s="16">
        <f>CASOPOInvCL!AV1193</f>
        <v>0</v>
      </c>
      <c r="T1193" s="16">
        <f>CASOPOInvCL!AW1193</f>
        <v>627.97337399812977</v>
      </c>
      <c r="Y1193" s="29" t="str">
        <f>IFERROR(HLOOKUP(U1193,List!$D$2:$H$6,2,FALSE),"")</f>
        <v/>
      </c>
      <c r="Z1193" s="29" t="str">
        <f>IFERROR(HLOOKUP(V1193,List!$D$2:$H$6,3,FALSE),"")</f>
        <v/>
      </c>
      <c r="AA1193" s="29" t="str">
        <f>IFERROR(HLOOKUP(W1193,List!$D$2:$H$6,4,FALSE),"")</f>
        <v/>
      </c>
      <c r="AB1193" s="29" t="str">
        <f>IFERROR(HLOOKUP(X1193,List!$D$2:$H$6,5,FALSE),"")</f>
        <v/>
      </c>
      <c r="AC1193" s="12" t="str">
        <f t="shared" si="286"/>
        <v/>
      </c>
      <c r="AD1193" s="12" t="str">
        <f t="shared" si="287"/>
        <v/>
      </c>
      <c r="AE1193" s="12" t="str">
        <f t="shared" si="288"/>
        <v/>
      </c>
      <c r="AF1193" s="12" t="str">
        <f t="shared" si="289"/>
        <v/>
      </c>
      <c r="AG1193" t="str">
        <f>VLOOKUP(J1193,'Receivable Invoice Detail'!$A$1:F4205,6,FALSE)</f>
        <v>[JC-SCS-13/4-5610-MTX-SB] Single Cartridge Seal, 1 3/4", D-196 MTX, Standard Bore, Carbon vs Silicon Carbide, 316SS Gland w/Aflas Elastomers</v>
      </c>
      <c r="AM1193" s="12" t="str">
        <f t="shared" si="290"/>
        <v/>
      </c>
      <c r="AN1193" s="12" t="str">
        <f t="shared" si="291"/>
        <v/>
      </c>
      <c r="AO1193" s="12" t="str">
        <f t="shared" si="292"/>
        <v/>
      </c>
      <c r="AP1193" s="12" t="str">
        <f t="shared" si="293"/>
        <v/>
      </c>
      <c r="AQ1193" s="64" t="str">
        <f t="shared" si="284"/>
        <v/>
      </c>
      <c r="AS1193" s="12">
        <f t="shared" si="285"/>
        <v>0</v>
      </c>
      <c r="AT1193" t="s">
        <v>5945</v>
      </c>
    </row>
    <row r="1194" spans="1:46" hidden="1" x14ac:dyDescent="0.25">
      <c r="A1194" s="41">
        <f>CASOPOInvCL!T1194</f>
        <v>1</v>
      </c>
      <c r="B1194" t="str">
        <f>CASOPOInvCL!Z1194</f>
        <v>SO18230</v>
      </c>
      <c r="G1194" s="5" t="str">
        <f>CASOPOInvCL!I1194</f>
        <v>Ian Trottier</v>
      </c>
      <c r="H1194" s="31">
        <f>CASOPOInvCL!U1194</f>
        <v>11</v>
      </c>
      <c r="I1194" s="31">
        <f>CASOPOInvCL!V1194</f>
        <v>2025</v>
      </c>
      <c r="J1194" s="5" t="str">
        <f>CASOPOInvCL!AB1194</f>
        <v>INV13654</v>
      </c>
      <c r="K1194" s="31" t="str">
        <f>CASOPOInvCL!W1194</f>
        <v/>
      </c>
      <c r="L1194" s="31" t="str">
        <f>CASOPOInvCL!X1194</f>
        <v/>
      </c>
      <c r="M1194" t="s">
        <v>5945</v>
      </c>
      <c r="N1194" s="5" t="str">
        <f>CASOPOInvCL!AF1194</f>
        <v>Resolute Forest Products - Saint-Felicien</v>
      </c>
      <c r="O1194" s="16" t="str">
        <f>CASOPOInvCL!AG1194</f>
        <v>CAD</v>
      </c>
      <c r="P1194" s="16">
        <f>CASOPOInvCL!AH1194</f>
        <v>295.44</v>
      </c>
      <c r="Q1194" s="16">
        <f>CASOPOInvCL!AI1194</f>
        <v>210.85379365582111</v>
      </c>
      <c r="R1194" s="32" t="str">
        <f>CASOPOInvCL!AU1194</f>
        <v/>
      </c>
      <c r="S1194" s="16">
        <f>CASOPOInvCL!AV1194</f>
        <v>0</v>
      </c>
      <c r="T1194" s="16">
        <f>CASOPOInvCL!AW1194</f>
        <v>0</v>
      </c>
      <c r="Y1194" s="29" t="str">
        <f>IFERROR(HLOOKUP(U1194,List!$D$2:$H$6,2,FALSE),"")</f>
        <v/>
      </c>
      <c r="Z1194" s="29" t="str">
        <f>IFERROR(HLOOKUP(V1194,List!$D$2:$H$6,3,FALSE),"")</f>
        <v/>
      </c>
      <c r="AA1194" s="29" t="str">
        <f>IFERROR(HLOOKUP(W1194,List!$D$2:$H$6,4,FALSE),"")</f>
        <v/>
      </c>
      <c r="AB1194" s="29" t="str">
        <f>IFERROR(HLOOKUP(X1194,List!$D$2:$H$6,5,FALSE),"")</f>
        <v/>
      </c>
      <c r="AC1194" s="12" t="str">
        <f t="shared" si="286"/>
        <v/>
      </c>
      <c r="AD1194" s="12" t="str">
        <f t="shared" si="287"/>
        <v/>
      </c>
      <c r="AE1194" s="12" t="str">
        <f t="shared" si="288"/>
        <v/>
      </c>
      <c r="AF1194" s="12" t="str">
        <f t="shared" si="289"/>
        <v/>
      </c>
      <c r="AG1194" t="str">
        <f>VLOOKUP(J1194,'Receivable Invoice Detail'!$A$1:F4206,6,FALSE)</f>
        <v>[AC-52-050-313-000] Shim Kit, Allis Chalmers CSO, Frame F4D1/F4B5</v>
      </c>
      <c r="AM1194" s="12" t="str">
        <f t="shared" si="290"/>
        <v/>
      </c>
      <c r="AN1194" s="12" t="str">
        <f t="shared" si="291"/>
        <v/>
      </c>
      <c r="AO1194" s="12" t="str">
        <f t="shared" si="292"/>
        <v/>
      </c>
      <c r="AP1194" s="12" t="str">
        <f t="shared" si="293"/>
        <v/>
      </c>
      <c r="AQ1194" s="64" t="str">
        <f t="shared" si="284"/>
        <v/>
      </c>
      <c r="AS1194" s="12">
        <f t="shared" si="285"/>
        <v>7.8273574334213727</v>
      </c>
      <c r="AT1194" t="s">
        <v>5945</v>
      </c>
    </row>
    <row r="1195" spans="1:46" hidden="1" x14ac:dyDescent="0.25">
      <c r="A1195" s="41">
        <f>CASOPOInvCL!T1195</f>
        <v>0</v>
      </c>
      <c r="B1195" t="str">
        <f>CASOPOInvCL!Z1195</f>
        <v>SO18231</v>
      </c>
      <c r="G1195" s="5" t="str">
        <f>CASOPOInvCL!I1195</f>
        <v>Amanda Qiao</v>
      </c>
      <c r="H1195" s="31">
        <f>CASOPOInvCL!U1195</f>
        <v>11</v>
      </c>
      <c r="I1195" s="31">
        <f>CASOPOInvCL!V1195</f>
        <v>2025</v>
      </c>
      <c r="J1195" s="5" t="str">
        <f>CASOPOInvCL!AB1195</f>
        <v>No Inv</v>
      </c>
      <c r="K1195" s="31" t="str">
        <f>CASOPOInvCL!W1195</f>
        <v/>
      </c>
      <c r="L1195" s="31" t="str">
        <f>CASOPOInvCL!X1195</f>
        <v/>
      </c>
      <c r="M1195" t="s">
        <v>5945</v>
      </c>
      <c r="N1195" s="5" t="str">
        <f>CASOPOInvCL!AF1195</f>
        <v>Dynapro Pumps</v>
      </c>
      <c r="O1195" s="16" t="str">
        <f>CASOPOInvCL!AG1195</f>
        <v>USD</v>
      </c>
      <c r="P1195" s="16">
        <f>CASOPOInvCL!AH1195</f>
        <v>4365.0045311736449</v>
      </c>
      <c r="Q1195" s="16">
        <f>CASOPOInvCL!AI1195</f>
        <v>3117.32</v>
      </c>
      <c r="R1195" s="32" t="str">
        <f>CASOPOInvCL!AU1195</f>
        <v/>
      </c>
      <c r="S1195" s="16">
        <f>CASOPOInvCL!AV1195</f>
        <v>0</v>
      </c>
      <c r="T1195" s="16">
        <f>CASOPOInvCL!AW1195</f>
        <v>0</v>
      </c>
      <c r="Y1195" s="29" t="str">
        <f>IFERROR(HLOOKUP(U1195,List!$D$2:$H$6,2,FALSE),"")</f>
        <v/>
      </c>
      <c r="Z1195" s="29" t="str">
        <f>IFERROR(HLOOKUP(V1195,List!$D$2:$H$6,3,FALSE),"")</f>
        <v/>
      </c>
      <c r="AA1195" s="29" t="str">
        <f>IFERROR(HLOOKUP(W1195,List!$D$2:$H$6,4,FALSE),"")</f>
        <v/>
      </c>
      <c r="AB1195" s="29" t="str">
        <f>IFERROR(HLOOKUP(X1195,List!$D$2:$H$6,5,FALSE),"")</f>
        <v/>
      </c>
      <c r="AC1195" s="12" t="str">
        <f t="shared" si="286"/>
        <v/>
      </c>
      <c r="AD1195" s="12" t="str">
        <f t="shared" si="287"/>
        <v/>
      </c>
      <c r="AE1195" s="12" t="str">
        <f t="shared" si="288"/>
        <v/>
      </c>
      <c r="AF1195" s="12" t="str">
        <f t="shared" si="289"/>
        <v/>
      </c>
      <c r="AG1195" t="e">
        <f>VLOOKUP(J1195,'Receivable Invoice Detail'!$A$1:F4207,6,FALSE)</f>
        <v>#N/A</v>
      </c>
      <c r="AM1195" s="12" t="str">
        <f t="shared" si="290"/>
        <v/>
      </c>
      <c r="AN1195" s="12" t="str">
        <f t="shared" si="291"/>
        <v/>
      </c>
      <c r="AO1195" s="12" t="str">
        <f t="shared" si="292"/>
        <v/>
      </c>
      <c r="AP1195" s="12" t="str">
        <f t="shared" si="293"/>
        <v/>
      </c>
      <c r="AQ1195" s="64" t="str">
        <f t="shared" si="284"/>
        <v/>
      </c>
      <c r="AR1195" t="s">
        <v>5940</v>
      </c>
      <c r="AS1195" s="12">
        <f t="shared" si="285"/>
        <v>0</v>
      </c>
      <c r="AT1195" t="s">
        <v>5940</v>
      </c>
    </row>
    <row r="1196" spans="1:46" hidden="1" x14ac:dyDescent="0.25">
      <c r="A1196" s="41">
        <f>CASOPOInvCL!T1196</f>
        <v>1</v>
      </c>
      <c r="B1196" t="str">
        <f>CASOPOInvCL!Z1196</f>
        <v>SO18232</v>
      </c>
      <c r="G1196" s="5" t="str">
        <f>CASOPOInvCL!I1196</f>
        <v>Amanda Qiao</v>
      </c>
      <c r="H1196" s="31">
        <f>CASOPOInvCL!U1196</f>
        <v>11</v>
      </c>
      <c r="I1196" s="31">
        <f>CASOPOInvCL!V1196</f>
        <v>2025</v>
      </c>
      <c r="J1196" s="5" t="str">
        <f>CASOPOInvCL!AB1196</f>
        <v>INV13730</v>
      </c>
      <c r="K1196" s="31" t="str">
        <f>CASOPOInvCL!W1196</f>
        <v/>
      </c>
      <c r="L1196" s="31" t="str">
        <f>CASOPOInvCL!X1196</f>
        <v/>
      </c>
      <c r="M1196" t="s">
        <v>5945</v>
      </c>
      <c r="N1196" s="5" t="str">
        <f>CASOPOInvCL!AF1196</f>
        <v>Dynapro Pumps</v>
      </c>
      <c r="O1196" s="16" t="str">
        <f>CASOPOInvCL!AG1196</f>
        <v>USD</v>
      </c>
      <c r="P1196" s="16">
        <f>CASOPOInvCL!AH1196</f>
        <v>4904.0979654382863</v>
      </c>
      <c r="Q1196" s="16">
        <f>CASOPOInvCL!AI1196</f>
        <v>3502.32</v>
      </c>
      <c r="R1196" s="32" t="str">
        <f>CASOPOInvCL!AU1196</f>
        <v/>
      </c>
      <c r="S1196" s="16">
        <f>CASOPOInvCL!AV1196</f>
        <v>0</v>
      </c>
      <c r="T1196" s="16">
        <f>CASOPOInvCL!AW1196</f>
        <v>0</v>
      </c>
      <c r="Y1196" s="29" t="str">
        <f>IFERROR(HLOOKUP(U1196,List!$D$2:$H$6,2,FALSE),"")</f>
        <v/>
      </c>
      <c r="Z1196" s="29" t="str">
        <f>IFERROR(HLOOKUP(V1196,List!$D$2:$H$6,3,FALSE),"")</f>
        <v/>
      </c>
      <c r="AA1196" s="29" t="str">
        <f>IFERROR(HLOOKUP(W1196,List!$D$2:$H$6,4,FALSE),"")</f>
        <v/>
      </c>
      <c r="AB1196" s="29" t="str">
        <f>IFERROR(HLOOKUP(X1196,List!$D$2:$H$6,5,FALSE),"")</f>
        <v/>
      </c>
      <c r="AC1196" s="12" t="str">
        <f t="shared" si="286"/>
        <v/>
      </c>
      <c r="AD1196" s="12" t="str">
        <f t="shared" si="287"/>
        <v/>
      </c>
      <c r="AE1196" s="12" t="str">
        <f t="shared" si="288"/>
        <v/>
      </c>
      <c r="AF1196" s="12" t="str">
        <f t="shared" si="289"/>
        <v/>
      </c>
      <c r="AG1196" t="e">
        <f>VLOOKUP(J1196,'Receivable Invoice Detail'!$A$1:F4208,6,FALSE)</f>
        <v>#N/A</v>
      </c>
      <c r="AM1196" s="12" t="str">
        <f t="shared" si="290"/>
        <v/>
      </c>
      <c r="AN1196" s="12" t="str">
        <f t="shared" si="291"/>
        <v/>
      </c>
      <c r="AO1196" s="12" t="str">
        <f t="shared" si="292"/>
        <v/>
      </c>
      <c r="AP1196" s="12" t="str">
        <f t="shared" si="293"/>
        <v/>
      </c>
      <c r="AQ1196" s="64" t="str">
        <f t="shared" si="284"/>
        <v/>
      </c>
      <c r="AR1196" t="s">
        <v>5940</v>
      </c>
      <c r="AS1196" s="12">
        <f t="shared" si="285"/>
        <v>0</v>
      </c>
      <c r="AT1196" t="s">
        <v>5940</v>
      </c>
    </row>
    <row r="1197" spans="1:46" hidden="1" x14ac:dyDescent="0.25">
      <c r="A1197" s="41">
        <f>CASOPOInvCL!T1197</f>
        <v>1</v>
      </c>
      <c r="B1197" t="str">
        <f>CASOPOInvCL!Z1197</f>
        <v>SO18233</v>
      </c>
      <c r="G1197" s="5" t="str">
        <f>CASOPOInvCL!I1197</f>
        <v>Aleksandar Stankovic</v>
      </c>
      <c r="H1197" s="31">
        <f>CASOPOInvCL!U1197</f>
        <v>11</v>
      </c>
      <c r="I1197" s="31">
        <f>CASOPOInvCL!V1197</f>
        <v>2025</v>
      </c>
      <c r="J1197" s="5" t="str">
        <f>CASOPOInvCL!AB1197</f>
        <v>INV13749</v>
      </c>
      <c r="K1197" s="31" t="str">
        <f>CASOPOInvCL!W1197</f>
        <v/>
      </c>
      <c r="L1197" s="31" t="str">
        <f>CASOPOInvCL!X1197</f>
        <v/>
      </c>
      <c r="M1197" t="s">
        <v>5945</v>
      </c>
      <c r="N1197" s="5" t="str">
        <f>CASOPOInvCL!AF1197</f>
        <v>Industrial Pump Repair Canada</v>
      </c>
      <c r="O1197" s="16" t="str">
        <f>CASOPOInvCL!AG1197</f>
        <v>CAD</v>
      </c>
      <c r="P1197" s="16">
        <f>CASOPOInvCL!AH1197</f>
        <v>192</v>
      </c>
      <c r="Q1197" s="16">
        <f>CASOPOInvCL!AI1197</f>
        <v>136.85318418287773</v>
      </c>
      <c r="R1197" s="32" t="str">
        <f>CASOPOInvCL!AU1197</f>
        <v/>
      </c>
      <c r="S1197" s="16">
        <f>CASOPOInvCL!AV1197</f>
        <v>0</v>
      </c>
      <c r="T1197" s="16">
        <f>CASOPOInvCL!AW1197</f>
        <v>0</v>
      </c>
      <c r="Y1197" s="29" t="str">
        <f>IFERROR(HLOOKUP(U1197,List!$D$2:$H$6,2,FALSE),"")</f>
        <v/>
      </c>
      <c r="Z1197" s="29" t="str">
        <f>IFERROR(HLOOKUP(V1197,List!$D$2:$H$6,3,FALSE),"")</f>
        <v/>
      </c>
      <c r="AA1197" s="29" t="str">
        <f>IFERROR(HLOOKUP(W1197,List!$D$2:$H$6,4,FALSE),"")</f>
        <v/>
      </c>
      <c r="AB1197" s="29" t="str">
        <f>IFERROR(HLOOKUP(X1197,List!$D$2:$H$6,5,FALSE),"")</f>
        <v/>
      </c>
      <c r="AC1197" s="12" t="str">
        <f t="shared" si="286"/>
        <v/>
      </c>
      <c r="AD1197" s="12" t="str">
        <f t="shared" si="287"/>
        <v/>
      </c>
      <c r="AE1197" s="12" t="str">
        <f t="shared" si="288"/>
        <v/>
      </c>
      <c r="AF1197" s="12" t="str">
        <f t="shared" si="289"/>
        <v/>
      </c>
      <c r="AG1197" t="str">
        <f>VLOOKUP(J1197,'Receivable Invoice Detail'!$A$1:F4209,6,FALSE)</f>
        <v>[DU-SA3210AA00-TFR] Impeller Gasket, Durco Mark 2&amp;3 Group 2, Teflon/Rubber</v>
      </c>
      <c r="AM1197" s="12" t="str">
        <f t="shared" si="290"/>
        <v/>
      </c>
      <c r="AN1197" s="12" t="str">
        <f t="shared" si="291"/>
        <v/>
      </c>
      <c r="AO1197" s="12" t="str">
        <f t="shared" si="292"/>
        <v/>
      </c>
      <c r="AP1197" s="12" t="str">
        <f t="shared" si="293"/>
        <v/>
      </c>
      <c r="AQ1197" s="64" t="str">
        <f t="shared" si="284"/>
        <v/>
      </c>
      <c r="AR1197" t="s">
        <v>5943</v>
      </c>
      <c r="AS1197" s="12">
        <f t="shared" si="285"/>
        <v>0</v>
      </c>
      <c r="AT1197" t="s">
        <v>5945</v>
      </c>
    </row>
    <row r="1198" spans="1:46" hidden="1" x14ac:dyDescent="0.25">
      <c r="A1198" s="41">
        <f>CASOPOInvCL!T1198</f>
        <v>1</v>
      </c>
      <c r="B1198" t="str">
        <f>CASOPOInvCL!Z1198</f>
        <v>SO18238</v>
      </c>
      <c r="G1198" s="5" t="str">
        <f>CASOPOInvCL!I1198</f>
        <v>Ian Trottier</v>
      </c>
      <c r="H1198" s="31">
        <f>CASOPOInvCL!U1198</f>
        <v>11</v>
      </c>
      <c r="I1198" s="31">
        <f>CASOPOInvCL!V1198</f>
        <v>2025</v>
      </c>
      <c r="J1198" s="5" t="str">
        <f>CASOPOInvCL!AB1198</f>
        <v>INV13657</v>
      </c>
      <c r="K1198" s="31" t="str">
        <f>CASOPOInvCL!W1198</f>
        <v/>
      </c>
      <c r="L1198" s="31" t="str">
        <f>CASOPOInvCL!X1198</f>
        <v/>
      </c>
      <c r="M1198" t="s">
        <v>5945</v>
      </c>
      <c r="N1198" s="5" t="str">
        <f>CASOPOInvCL!AF1198</f>
        <v>Resolute Forest Products - Clermont</v>
      </c>
      <c r="O1198" s="16" t="str">
        <f>CASOPOInvCL!AG1198</f>
        <v>CAD</v>
      </c>
      <c r="P1198" s="16">
        <f>CASOPOInvCL!AH1198</f>
        <v>373.11</v>
      </c>
      <c r="Q1198" s="16">
        <f>CASOPOInvCL!AI1198</f>
        <v>265.94422682538288</v>
      </c>
      <c r="R1198" s="32" t="str">
        <f>CASOPOInvCL!AU1198</f>
        <v/>
      </c>
      <c r="S1198" s="16">
        <f>CASOPOInvCL!AV1198</f>
        <v>0</v>
      </c>
      <c r="T1198" s="16">
        <f>CASOPOInvCL!AW1198</f>
        <v>0</v>
      </c>
      <c r="Y1198" s="29" t="str">
        <f>IFERROR(HLOOKUP(U1198,List!$D$2:$H$6,2,FALSE),"")</f>
        <v/>
      </c>
      <c r="Z1198" s="29" t="str">
        <f>IFERROR(HLOOKUP(V1198,List!$D$2:$H$6,3,FALSE),"")</f>
        <v/>
      </c>
      <c r="AA1198" s="29" t="str">
        <f>IFERROR(HLOOKUP(W1198,List!$D$2:$H$6,4,FALSE),"")</f>
        <v/>
      </c>
      <c r="AB1198" s="29" t="str">
        <f>IFERROR(HLOOKUP(X1198,List!$D$2:$H$6,5,FALSE),"")</f>
        <v/>
      </c>
      <c r="AC1198" s="12" t="str">
        <f t="shared" si="286"/>
        <v/>
      </c>
      <c r="AD1198" s="12" t="str">
        <f t="shared" si="287"/>
        <v/>
      </c>
      <c r="AE1198" s="12" t="str">
        <f t="shared" si="288"/>
        <v/>
      </c>
      <c r="AF1198" s="12" t="str">
        <f t="shared" si="289"/>
        <v/>
      </c>
      <c r="AG1198" t="str">
        <f>VLOOKUP(J1198,'Receivable Invoice Detail'!$A$1:F4210,6,FALSE)</f>
        <v>[G-R104-435 2229] Shaft (Sleeve Type), 3196 STX, 316SS</v>
      </c>
      <c r="AM1198" s="12" t="str">
        <f t="shared" si="290"/>
        <v/>
      </c>
      <c r="AN1198" s="12" t="str">
        <f t="shared" si="291"/>
        <v/>
      </c>
      <c r="AO1198" s="12" t="str">
        <f t="shared" si="292"/>
        <v/>
      </c>
      <c r="AP1198" s="12" t="str">
        <f t="shared" si="293"/>
        <v/>
      </c>
      <c r="AQ1198" s="64" t="str">
        <f t="shared" si="284"/>
        <v/>
      </c>
      <c r="AS1198" s="12">
        <f t="shared" si="285"/>
        <v>11.182773953220734</v>
      </c>
      <c r="AT1198" t="s">
        <v>5945</v>
      </c>
    </row>
    <row r="1199" spans="1:46" hidden="1" x14ac:dyDescent="0.25">
      <c r="A1199" s="41">
        <f>CASOPOInvCL!T1199</f>
        <v>0</v>
      </c>
      <c r="B1199" t="str">
        <f>CASOPOInvCL!Z1199</f>
        <v>SO18240</v>
      </c>
      <c r="G1199" s="5" t="str">
        <f>CASOPOInvCL!I1199</f>
        <v>Amanda Qiao</v>
      </c>
      <c r="H1199" s="31">
        <f>CASOPOInvCL!U1199</f>
        <v>11</v>
      </c>
      <c r="I1199" s="31">
        <f>CASOPOInvCL!V1199</f>
        <v>2025</v>
      </c>
      <c r="J1199" s="5" t="str">
        <f>CASOPOInvCL!AB1199</f>
        <v>No Inv</v>
      </c>
      <c r="K1199" s="31" t="str">
        <f>CASOPOInvCL!W1199</f>
        <v/>
      </c>
      <c r="L1199" s="31" t="str">
        <f>CASOPOInvCL!X1199</f>
        <v/>
      </c>
      <c r="N1199" s="5" t="str">
        <f>CASOPOInvCL!AF1199</f>
        <v>Mill-Right Mine Services Inc.</v>
      </c>
      <c r="O1199" s="16" t="str">
        <f>CASOPOInvCL!AG1199</f>
        <v>USD</v>
      </c>
      <c r="P1199" s="16">
        <f>CASOPOInvCL!AH1199</f>
        <v>3661.8437503753726</v>
      </c>
      <c r="Q1199" s="16">
        <f>CASOPOInvCL!AI1199</f>
        <v>2660</v>
      </c>
      <c r="R1199" s="32" t="str">
        <f>CASOPOInvCL!AU1199</f>
        <v/>
      </c>
      <c r="S1199" s="16">
        <f>CASOPOInvCL!AV1199</f>
        <v>0</v>
      </c>
      <c r="T1199" s="16">
        <f>CASOPOInvCL!AW1199</f>
        <v>0</v>
      </c>
      <c r="Y1199" s="29" t="str">
        <f>IFERROR(HLOOKUP(U1199,List!$D$2:$H$6,2,FALSE),"")</f>
        <v/>
      </c>
      <c r="Z1199" s="29" t="str">
        <f>IFERROR(HLOOKUP(V1199,List!$D$2:$H$6,3,FALSE),"")</f>
        <v/>
      </c>
      <c r="AA1199" s="29" t="str">
        <f>IFERROR(HLOOKUP(W1199,List!$D$2:$H$6,4,FALSE),"")</f>
        <v/>
      </c>
      <c r="AB1199" s="29" t="str">
        <f>IFERROR(HLOOKUP(X1199,List!$D$2:$H$6,5,FALSE),"")</f>
        <v/>
      </c>
      <c r="AC1199" s="12" t="str">
        <f t="shared" si="286"/>
        <v/>
      </c>
      <c r="AD1199" s="12" t="str">
        <f t="shared" si="287"/>
        <v/>
      </c>
      <c r="AE1199" s="12" t="str">
        <f t="shared" si="288"/>
        <v/>
      </c>
      <c r="AF1199" s="12" t="str">
        <f t="shared" si="289"/>
        <v/>
      </c>
      <c r="AG1199" t="e">
        <f>VLOOKUP(J1199,'Receivable Invoice Detail'!$A$1:F4211,6,FALSE)</f>
        <v>#N/A</v>
      </c>
      <c r="AM1199" s="12" t="str">
        <f t="shared" si="290"/>
        <v/>
      </c>
      <c r="AN1199" s="12" t="str">
        <f t="shared" si="291"/>
        <v/>
      </c>
      <c r="AO1199" s="12" t="str">
        <f t="shared" si="292"/>
        <v/>
      </c>
      <c r="AP1199" s="12" t="str">
        <f t="shared" si="293"/>
        <v/>
      </c>
      <c r="AQ1199" s="64"/>
      <c r="AS1199" s="12">
        <f t="shared" si="285"/>
        <v>0</v>
      </c>
    </row>
    <row r="1200" spans="1:46" hidden="1" x14ac:dyDescent="0.25">
      <c r="A1200" s="41">
        <f>CASOPOInvCL!T1200</f>
        <v>0</v>
      </c>
      <c r="B1200" t="str">
        <f>CASOPOInvCL!Z1200</f>
        <v>SO18241</v>
      </c>
      <c r="G1200" s="5" t="str">
        <f>CASOPOInvCL!I1200</f>
        <v>Ian Trottier</v>
      </c>
      <c r="H1200" s="31">
        <f>CASOPOInvCL!U1200</f>
        <v>11</v>
      </c>
      <c r="I1200" s="31">
        <f>CASOPOInvCL!V1200</f>
        <v>2025</v>
      </c>
      <c r="J1200" s="5" t="str">
        <f>CASOPOInvCL!AB1200</f>
        <v>No Inv</v>
      </c>
      <c r="K1200" s="31" t="str">
        <f>CASOPOInvCL!W1200</f>
        <v/>
      </c>
      <c r="L1200" s="31" t="str">
        <f>CASOPOInvCL!X1200</f>
        <v/>
      </c>
      <c r="M1200" t="s">
        <v>5945</v>
      </c>
      <c r="N1200" s="5" t="str">
        <f>CASOPOInvCL!AF1200</f>
        <v>Hyperflo</v>
      </c>
      <c r="O1200" s="16" t="str">
        <f>CASOPOInvCL!AG1200</f>
        <v>CAD</v>
      </c>
      <c r="P1200" s="16">
        <f>CASOPOInvCL!AH1200</f>
        <v>9491.8799999999992</v>
      </c>
      <c r="Q1200" s="16">
        <f>CASOPOInvCL!AI1200</f>
        <v>6734.9082724833233</v>
      </c>
      <c r="R1200" s="32" t="str">
        <f>CASOPOInvCL!AU1200</f>
        <v/>
      </c>
      <c r="S1200" s="16">
        <f>CASOPOInvCL!AV1200</f>
        <v>0</v>
      </c>
      <c r="T1200" s="16">
        <f>CASOPOInvCL!AW1200</f>
        <v>0</v>
      </c>
      <c r="Y1200" s="29" t="str">
        <f>IFERROR(HLOOKUP(U1200,List!$D$2:$H$6,2,FALSE),"")</f>
        <v/>
      </c>
      <c r="Z1200" s="29" t="str">
        <f>IFERROR(HLOOKUP(V1200,List!$D$2:$H$6,3,FALSE),"")</f>
        <v/>
      </c>
      <c r="AA1200" s="29" t="str">
        <f>IFERROR(HLOOKUP(W1200,List!$D$2:$H$6,4,FALSE),"")</f>
        <v/>
      </c>
      <c r="AB1200" s="29" t="str">
        <f>IFERROR(HLOOKUP(X1200,List!$D$2:$H$6,5,FALSE),"")</f>
        <v/>
      </c>
      <c r="AC1200" s="12" t="str">
        <f t="shared" si="286"/>
        <v/>
      </c>
      <c r="AD1200" s="12" t="str">
        <f t="shared" si="287"/>
        <v/>
      </c>
      <c r="AE1200" s="12" t="str">
        <f t="shared" si="288"/>
        <v/>
      </c>
      <c r="AF1200" s="12" t="str">
        <f t="shared" si="289"/>
        <v/>
      </c>
      <c r="AG1200" t="e">
        <f>VLOOKUP(J1200,'Receivable Invoice Detail'!$A$1:F4212,6,FALSE)</f>
        <v>#N/A</v>
      </c>
      <c r="AM1200" s="12" t="str">
        <f t="shared" si="290"/>
        <v/>
      </c>
      <c r="AN1200" s="12" t="str">
        <f t="shared" si="291"/>
        <v/>
      </c>
      <c r="AO1200" s="12" t="str">
        <f t="shared" si="292"/>
        <v/>
      </c>
      <c r="AP1200" s="12" t="str">
        <f t="shared" si="293"/>
        <v/>
      </c>
      <c r="AQ1200" s="64" t="str">
        <f t="shared" si="284"/>
        <v/>
      </c>
      <c r="AS1200" s="12">
        <f t="shared" si="285"/>
        <v>9.4196006099719458</v>
      </c>
      <c r="AT1200" t="s">
        <v>5945</v>
      </c>
    </row>
    <row r="1201" spans="1:46" hidden="1" x14ac:dyDescent="0.25">
      <c r="A1201" s="41">
        <f>CASOPOInvCL!T1201</f>
        <v>0</v>
      </c>
      <c r="B1201" t="str">
        <f>CASOPOInvCL!Z1201</f>
        <v>SO18242</v>
      </c>
      <c r="G1201" s="5" t="str">
        <f>CASOPOInvCL!I1201</f>
        <v>Ian Trottier</v>
      </c>
      <c r="H1201" s="31">
        <f>CASOPOInvCL!U1201</f>
        <v>11</v>
      </c>
      <c r="I1201" s="31">
        <f>CASOPOInvCL!V1201</f>
        <v>2025</v>
      </c>
      <c r="J1201" s="5" t="str">
        <f>CASOPOInvCL!AB1201</f>
        <v>No Inv</v>
      </c>
      <c r="K1201" s="31" t="str">
        <f>CASOPOInvCL!W1201</f>
        <v/>
      </c>
      <c r="L1201" s="31" t="str">
        <f>CASOPOInvCL!X1201</f>
        <v/>
      </c>
      <c r="M1201" t="s">
        <v>5945</v>
      </c>
      <c r="N1201" s="5" t="str">
        <f>CASOPOInvCL!AF1201</f>
        <v>Resolute Forest Products - Saint-Felicien</v>
      </c>
      <c r="O1201" s="16" t="str">
        <f>CASOPOInvCL!AG1201</f>
        <v>CAD</v>
      </c>
      <c r="P1201" s="16">
        <f>CASOPOInvCL!AH1201</f>
        <v>4854.3999999999996</v>
      </c>
      <c r="Q1201" s="16">
        <f>CASOPOInvCL!AI1201</f>
        <v>3473.4217084156076</v>
      </c>
      <c r="R1201" s="32" t="str">
        <f>CASOPOInvCL!AU1201</f>
        <v/>
      </c>
      <c r="S1201" s="16">
        <f>CASOPOInvCL!AV1201</f>
        <v>0</v>
      </c>
      <c r="T1201" s="16">
        <f>CASOPOInvCL!AW1201</f>
        <v>0</v>
      </c>
      <c r="Y1201" s="29" t="str">
        <f>IFERROR(HLOOKUP(U1201,List!$D$2:$H$6,2,FALSE),"")</f>
        <v/>
      </c>
      <c r="Z1201" s="29" t="str">
        <f>IFERROR(HLOOKUP(V1201,List!$D$2:$H$6,3,FALSE),"")</f>
        <v/>
      </c>
      <c r="AA1201" s="29" t="str">
        <f>IFERROR(HLOOKUP(W1201,List!$D$2:$H$6,4,FALSE),"")</f>
        <v/>
      </c>
      <c r="AB1201" s="29" t="str">
        <f>IFERROR(HLOOKUP(X1201,List!$D$2:$H$6,5,FALSE),"")</f>
        <v/>
      </c>
      <c r="AC1201" s="12" t="str">
        <f t="shared" si="286"/>
        <v/>
      </c>
      <c r="AD1201" s="12" t="str">
        <f t="shared" si="287"/>
        <v/>
      </c>
      <c r="AE1201" s="12" t="str">
        <f t="shared" si="288"/>
        <v/>
      </c>
      <c r="AF1201" s="12" t="str">
        <f t="shared" si="289"/>
        <v/>
      </c>
      <c r="AG1201" t="e">
        <f>VLOOKUP(J1201,'Receivable Invoice Detail'!$A$1:F4213,6,FALSE)</f>
        <v>#N/A</v>
      </c>
      <c r="AM1201" s="12" t="str">
        <f t="shared" si="290"/>
        <v/>
      </c>
      <c r="AN1201" s="12" t="str">
        <f t="shared" si="291"/>
        <v/>
      </c>
      <c r="AO1201" s="12" t="str">
        <f t="shared" si="292"/>
        <v/>
      </c>
      <c r="AP1201" s="12" t="str">
        <f t="shared" si="293"/>
        <v/>
      </c>
      <c r="AQ1201" s="64" t="str">
        <f t="shared" si="284"/>
        <v/>
      </c>
      <c r="AS1201" s="12">
        <f t="shared" si="285"/>
        <v>0</v>
      </c>
      <c r="AT1201" t="s">
        <v>5945</v>
      </c>
    </row>
    <row r="1202" spans="1:46" hidden="1" x14ac:dyDescent="0.25">
      <c r="A1202" s="41">
        <f>CASOPOInvCL!T1202</f>
        <v>0</v>
      </c>
      <c r="B1202" t="str">
        <f>CASOPOInvCL!Z1202</f>
        <v>SO18243</v>
      </c>
      <c r="G1202" s="5" t="str">
        <f>CASOPOInvCL!I1202</f>
        <v>Amanda Qiao</v>
      </c>
      <c r="H1202" s="31">
        <f>CASOPOInvCL!U1202</f>
        <v>11</v>
      </c>
      <c r="I1202" s="31">
        <f>CASOPOInvCL!V1202</f>
        <v>2025</v>
      </c>
      <c r="J1202" s="5" t="str">
        <f>CASOPOInvCL!AB1202</f>
        <v>No Inv</v>
      </c>
      <c r="K1202" s="31" t="str">
        <f>CASOPOInvCL!W1202</f>
        <v/>
      </c>
      <c r="L1202" s="31" t="str">
        <f>CASOPOInvCL!X1202</f>
        <v/>
      </c>
      <c r="N1202" s="5" t="str">
        <f>CASOPOInvCL!AF1202</f>
        <v>Zijin Mining - Rosebel Goldmines N.V., Rosebel Gold Mines N.V.</v>
      </c>
      <c r="O1202" s="16" t="str">
        <f>CASOPOInvCL!AG1202</f>
        <v>USD</v>
      </c>
      <c r="P1202" s="16">
        <f>CASOPOInvCL!AH1202</f>
        <v>5407.0334115844707</v>
      </c>
      <c r="Q1202" s="16">
        <f>CASOPOInvCL!AI1202</f>
        <v>3875.2</v>
      </c>
      <c r="R1202" s="32" t="str">
        <f>CASOPOInvCL!AU1202</f>
        <v/>
      </c>
      <c r="S1202" s="16">
        <f>CASOPOInvCL!AV1202</f>
        <v>0</v>
      </c>
      <c r="T1202" s="16">
        <f>CASOPOInvCL!AW1202</f>
        <v>0</v>
      </c>
      <c r="Y1202" s="29" t="str">
        <f>IFERROR(HLOOKUP(U1202,List!$D$2:$H$6,2,FALSE),"")</f>
        <v/>
      </c>
      <c r="Z1202" s="29" t="str">
        <f>IFERROR(HLOOKUP(V1202,List!$D$2:$H$6,3,FALSE),"")</f>
        <v/>
      </c>
      <c r="AA1202" s="29" t="str">
        <f>IFERROR(HLOOKUP(W1202,List!$D$2:$H$6,4,FALSE),"")</f>
        <v/>
      </c>
      <c r="AB1202" s="29" t="str">
        <f>IFERROR(HLOOKUP(X1202,List!$D$2:$H$6,5,FALSE),"")</f>
        <v/>
      </c>
      <c r="AC1202" s="12" t="str">
        <f t="shared" si="286"/>
        <v/>
      </c>
      <c r="AD1202" s="12" t="str">
        <f t="shared" si="287"/>
        <v/>
      </c>
      <c r="AE1202" s="12" t="str">
        <f t="shared" si="288"/>
        <v/>
      </c>
      <c r="AF1202" s="12" t="str">
        <f t="shared" si="289"/>
        <v/>
      </c>
      <c r="AG1202" t="e">
        <f>VLOOKUP(J1202,'Receivable Invoice Detail'!$A$1:F4214,6,FALSE)</f>
        <v>#N/A</v>
      </c>
      <c r="AM1202" s="12" t="str">
        <f t="shared" si="290"/>
        <v/>
      </c>
      <c r="AN1202" s="12" t="str">
        <f t="shared" si="291"/>
        <v/>
      </c>
      <c r="AO1202" s="12" t="str">
        <f t="shared" si="292"/>
        <v/>
      </c>
      <c r="AP1202" s="12" t="str">
        <f t="shared" si="293"/>
        <v/>
      </c>
      <c r="AQ1202" s="64"/>
      <c r="AS1202" s="12">
        <f t="shared" si="285"/>
        <v>0</v>
      </c>
    </row>
    <row r="1203" spans="1:46" hidden="1" x14ac:dyDescent="0.25">
      <c r="A1203" s="41">
        <f>CASOPOInvCL!T1203</f>
        <v>0</v>
      </c>
      <c r="B1203" t="str">
        <f>CASOPOInvCL!Z1203</f>
        <v>SO18245</v>
      </c>
      <c r="G1203" s="5" t="str">
        <f>CASOPOInvCL!I1203</f>
        <v>Wilka Nuñez</v>
      </c>
      <c r="H1203" s="31">
        <f>CASOPOInvCL!U1203</f>
        <v>11</v>
      </c>
      <c r="I1203" s="31">
        <f>CASOPOInvCL!V1203</f>
        <v>2025</v>
      </c>
      <c r="J1203" s="5" t="str">
        <f>CASOPOInvCL!AB1203</f>
        <v>No Inv</v>
      </c>
      <c r="K1203" s="31" t="str">
        <f>CASOPOInvCL!W1203</f>
        <v/>
      </c>
      <c r="L1203" s="31" t="str">
        <f>CASOPOInvCL!X1203</f>
        <v/>
      </c>
      <c r="M1203" t="s">
        <v>5945</v>
      </c>
      <c r="N1203" s="5" t="str">
        <f>CASOPOInvCL!AF1203</f>
        <v>Motion Industries Inc. (Canada) - Winnipeg</v>
      </c>
      <c r="O1203" s="16" t="str">
        <f>CASOPOInvCL!AG1203</f>
        <v>CAD</v>
      </c>
      <c r="P1203" s="16">
        <f>CASOPOInvCL!AH1203</f>
        <v>3502.32</v>
      </c>
      <c r="Q1203" s="16">
        <f>CASOPOInvCL!AI1203</f>
        <v>2480.7897316809849</v>
      </c>
      <c r="R1203" s="32" t="str">
        <f>CASOPOInvCL!AU1203</f>
        <v/>
      </c>
      <c r="S1203" s="16">
        <f>CASOPOInvCL!AV1203</f>
        <v>0</v>
      </c>
      <c r="T1203" s="16">
        <f>CASOPOInvCL!AW1203</f>
        <v>0</v>
      </c>
      <c r="Y1203" s="29" t="str">
        <f>IFERROR(HLOOKUP(U1203,List!$D$2:$H$6,2,FALSE),"")</f>
        <v/>
      </c>
      <c r="Z1203" s="29" t="str">
        <f>IFERROR(HLOOKUP(V1203,List!$D$2:$H$6,3,FALSE),"")</f>
        <v/>
      </c>
      <c r="AA1203" s="29" t="str">
        <f>IFERROR(HLOOKUP(W1203,List!$D$2:$H$6,4,FALSE),"")</f>
        <v/>
      </c>
      <c r="AB1203" s="29" t="str">
        <f>IFERROR(HLOOKUP(X1203,List!$D$2:$H$6,5,FALSE),"")</f>
        <v/>
      </c>
      <c r="AC1203" s="12" t="str">
        <f t="shared" si="286"/>
        <v/>
      </c>
      <c r="AD1203" s="12" t="str">
        <f t="shared" si="287"/>
        <v/>
      </c>
      <c r="AE1203" s="12" t="str">
        <f t="shared" si="288"/>
        <v/>
      </c>
      <c r="AF1203" s="12" t="str">
        <f t="shared" si="289"/>
        <v/>
      </c>
      <c r="AG1203" t="e">
        <f>VLOOKUP(J1203,'Receivable Invoice Detail'!$A$1:F4215,6,FALSE)</f>
        <v>#N/A</v>
      </c>
      <c r="AM1203" s="12" t="str">
        <f t="shared" si="290"/>
        <v/>
      </c>
      <c r="AN1203" s="12" t="str">
        <f t="shared" si="291"/>
        <v/>
      </c>
      <c r="AO1203" s="12" t="str">
        <f t="shared" si="292"/>
        <v/>
      </c>
      <c r="AP1203" s="12" t="str">
        <f t="shared" si="293"/>
        <v/>
      </c>
      <c r="AQ1203" s="64" t="str">
        <f t="shared" si="284"/>
        <v/>
      </c>
      <c r="AS1203" s="12">
        <f t="shared" si="285"/>
        <v>0</v>
      </c>
      <c r="AT1203" t="s">
        <v>5945</v>
      </c>
    </row>
    <row r="1204" spans="1:46" hidden="1" x14ac:dyDescent="0.25">
      <c r="A1204" s="41">
        <f>CASOPOInvCL!T1204</f>
        <v>1</v>
      </c>
      <c r="B1204" t="str">
        <f>CASOPOInvCL!Z1204</f>
        <v>SO18247</v>
      </c>
      <c r="G1204" s="5" t="str">
        <f>CASOPOInvCL!I1204</f>
        <v>Ian Trottier</v>
      </c>
      <c r="H1204" s="31">
        <f>CASOPOInvCL!U1204</f>
        <v>11</v>
      </c>
      <c r="I1204" s="31">
        <f>CASOPOInvCL!V1204</f>
        <v>2025</v>
      </c>
      <c r="J1204" s="5" t="str">
        <f>CASOPOInvCL!AB1204</f>
        <v>INV13734</v>
      </c>
      <c r="K1204" s="31">
        <f>CASOPOInvCL!W1204</f>
        <v>12</v>
      </c>
      <c r="L1204" s="31">
        <f>CASOPOInvCL!X1204</f>
        <v>2025</v>
      </c>
      <c r="M1204" t="s">
        <v>5945</v>
      </c>
      <c r="N1204" s="5" t="str">
        <f>CASOPOInvCL!AF1204</f>
        <v>Alamos Gold Inc</v>
      </c>
      <c r="O1204" s="16" t="str">
        <f>CASOPOInvCL!AG1204</f>
        <v>CAD</v>
      </c>
      <c r="P1204" s="16">
        <f>CASOPOInvCL!AH1204</f>
        <v>2355.7600000000002</v>
      </c>
      <c r="Q1204" s="16">
        <f>CASOPOInvCL!AI1204</f>
        <v>1683.1121072312492</v>
      </c>
      <c r="R1204" s="32" t="str">
        <f>CASOPOInvCL!AU1204</f>
        <v>Yes</v>
      </c>
      <c r="S1204" s="16">
        <f>CASOPOInvCL!AV1204</f>
        <v>0</v>
      </c>
      <c r="T1204" s="16">
        <f>CASOPOInvCL!AW1204</f>
        <v>1683.1121072312492</v>
      </c>
      <c r="Y1204" s="29" t="str">
        <f>IFERROR(HLOOKUP(U1204,List!$D$2:$H$6,2,FALSE),"")</f>
        <v/>
      </c>
      <c r="Z1204" s="29" t="str">
        <f>IFERROR(HLOOKUP(V1204,List!$D$2:$H$6,3,FALSE),"")</f>
        <v/>
      </c>
      <c r="AA1204" s="29" t="str">
        <f>IFERROR(HLOOKUP(W1204,List!$D$2:$H$6,4,FALSE),"")</f>
        <v/>
      </c>
      <c r="AB1204" s="29" t="str">
        <f>IFERROR(HLOOKUP(X1204,List!$D$2:$H$6,5,FALSE),"")</f>
        <v/>
      </c>
      <c r="AC1204" s="12" t="str">
        <f t="shared" si="286"/>
        <v/>
      </c>
      <c r="AD1204" s="12" t="str">
        <f t="shared" si="287"/>
        <v/>
      </c>
      <c r="AE1204" s="12" t="str">
        <f t="shared" si="288"/>
        <v/>
      </c>
      <c r="AF1204" s="12" t="str">
        <f t="shared" si="289"/>
        <v/>
      </c>
      <c r="AG1204" t="str">
        <f>VLOOKUP(J1204,'Receivable Invoice Detail'!$A$1:F4216,6,FALSE)</f>
        <v>[FS-58961M3] Single Cartridge Mechanical Seal w/Big Bore Flush Gland, 1 3/8", SMSX1, Carbon vs Silicon Carbide, Viton O-Rings</v>
      </c>
      <c r="AM1204" s="12" t="str">
        <f t="shared" si="290"/>
        <v/>
      </c>
      <c r="AN1204" s="12" t="str">
        <f t="shared" si="291"/>
        <v/>
      </c>
      <c r="AO1204" s="12" t="str">
        <f t="shared" si="292"/>
        <v/>
      </c>
      <c r="AP1204" s="12" t="str">
        <f t="shared" si="293"/>
        <v/>
      </c>
      <c r="AQ1204" s="64" t="str">
        <f t="shared" si="284"/>
        <v/>
      </c>
      <c r="AS1204" s="12">
        <f t="shared" si="285"/>
        <v>0</v>
      </c>
      <c r="AT1204" t="s">
        <v>5945</v>
      </c>
    </row>
    <row r="1205" spans="1:46" hidden="1" x14ac:dyDescent="0.25">
      <c r="A1205" s="41">
        <f>CASOPOInvCL!T1205</f>
        <v>1</v>
      </c>
      <c r="B1205" t="str">
        <f>CASOPOInvCL!Z1205</f>
        <v>SO18249</v>
      </c>
      <c r="G1205" s="5" t="str">
        <f>CASOPOInvCL!I1205</f>
        <v>Aleksandar Stankovic</v>
      </c>
      <c r="H1205" s="31">
        <f>CASOPOInvCL!U1205</f>
        <v>11</v>
      </c>
      <c r="I1205" s="31">
        <f>CASOPOInvCL!V1205</f>
        <v>2025</v>
      </c>
      <c r="J1205" s="5" t="str">
        <f>CASOPOInvCL!AB1205</f>
        <v>INV13698</v>
      </c>
      <c r="K1205" s="31">
        <f>CASOPOInvCL!W1205</f>
        <v>12</v>
      </c>
      <c r="L1205" s="31">
        <f>CASOPOInvCL!X1205</f>
        <v>2025</v>
      </c>
      <c r="M1205" t="s">
        <v>5945</v>
      </c>
      <c r="N1205" s="5" t="str">
        <f>CASOPOInvCL!AF1205</f>
        <v>Manufacture Sling-Choker (Val-d’Or) Ltée, Manufacture Sling-Choker (Val-d’Or) Ltée</v>
      </c>
      <c r="O1205" s="16" t="str">
        <f>CASOPOInvCL!AG1205</f>
        <v>CAD</v>
      </c>
      <c r="P1205" s="16">
        <f>CASOPOInvCL!AH1205</f>
        <v>387.94</v>
      </c>
      <c r="Q1205" s="16">
        <f>CASOPOInvCL!AI1205</f>
        <v>275.26057169150693</v>
      </c>
      <c r="R1205" s="32" t="str">
        <f>CASOPOInvCL!AU1205</f>
        <v>Yes</v>
      </c>
      <c r="S1205" s="16">
        <f>CASOPOInvCL!AV1205</f>
        <v>0</v>
      </c>
      <c r="T1205" s="16">
        <f>CASOPOInvCL!AW1205</f>
        <v>275.26057169150693</v>
      </c>
      <c r="Y1205" s="29" t="str">
        <f>IFERROR(HLOOKUP(U1205,List!$D$2:$H$6,2,FALSE),"")</f>
        <v/>
      </c>
      <c r="Z1205" s="29" t="str">
        <f>IFERROR(HLOOKUP(V1205,List!$D$2:$H$6,3,FALSE),"")</f>
        <v/>
      </c>
      <c r="AA1205" s="29" t="str">
        <f>IFERROR(HLOOKUP(W1205,List!$D$2:$H$6,4,FALSE),"")</f>
        <v/>
      </c>
      <c r="AB1205" s="29" t="str">
        <f>IFERROR(HLOOKUP(X1205,List!$D$2:$H$6,5,FALSE),"")</f>
        <v/>
      </c>
      <c r="AC1205" s="12" t="str">
        <f t="shared" si="286"/>
        <v/>
      </c>
      <c r="AD1205" s="12" t="str">
        <f t="shared" si="287"/>
        <v/>
      </c>
      <c r="AE1205" s="12" t="str">
        <f t="shared" si="288"/>
        <v/>
      </c>
      <c r="AF1205" s="12" t="str">
        <f t="shared" si="289"/>
        <v/>
      </c>
      <c r="AG1205" t="str">
        <f>VLOOKUP(J1205,'Receivable Invoice Detail'!$A$1:F4217,6,FALSE)</f>
        <v>[G-00-737-851-110] Sight Glass (Press-In), PWO Frame 2</v>
      </c>
      <c r="AM1205" s="12" t="str">
        <f t="shared" si="290"/>
        <v/>
      </c>
      <c r="AN1205" s="12" t="str">
        <f t="shared" si="291"/>
        <v/>
      </c>
      <c r="AO1205" s="12" t="str">
        <f t="shared" si="292"/>
        <v/>
      </c>
      <c r="AP1205" s="12" t="str">
        <f t="shared" si="293"/>
        <v/>
      </c>
      <c r="AQ1205" s="64" t="str">
        <f t="shared" si="284"/>
        <v/>
      </c>
      <c r="AR1205" t="s">
        <v>5943</v>
      </c>
      <c r="AS1205" s="12">
        <f t="shared" si="285"/>
        <v>0</v>
      </c>
      <c r="AT1205" t="s">
        <v>5945</v>
      </c>
    </row>
    <row r="1206" spans="1:46" hidden="1" x14ac:dyDescent="0.25">
      <c r="A1206" s="41">
        <f>CASOPOInvCL!T1206</f>
        <v>1</v>
      </c>
      <c r="B1206" t="str">
        <f>CASOPOInvCL!Z1206</f>
        <v>SO18250</v>
      </c>
      <c r="G1206" s="5" t="str">
        <f>CASOPOInvCL!I1206</f>
        <v>Aleksandar Stankovic</v>
      </c>
      <c r="H1206" s="31">
        <f>CASOPOInvCL!U1206</f>
        <v>11</v>
      </c>
      <c r="I1206" s="31">
        <f>CASOPOInvCL!V1206</f>
        <v>2025</v>
      </c>
      <c r="J1206" s="5" t="str">
        <f>CASOPOInvCL!AB1206</f>
        <v>INV13713</v>
      </c>
      <c r="K1206" s="31" t="str">
        <f>CASOPOInvCL!W1206</f>
        <v/>
      </c>
      <c r="L1206" s="31" t="str">
        <f>CASOPOInvCL!X1206</f>
        <v/>
      </c>
      <c r="M1206" t="s">
        <v>5945</v>
      </c>
      <c r="N1206" s="5" t="str">
        <f>CASOPOInvCL!AF1206</f>
        <v>Covia Corp - Junction City</v>
      </c>
      <c r="O1206" s="16" t="str">
        <f>CASOPOInvCL!AG1206</f>
        <v>USD</v>
      </c>
      <c r="P1206" s="16">
        <f>CASOPOInvCL!AH1206</f>
        <v>451.58871020931764</v>
      </c>
      <c r="Q1206" s="16">
        <f>CASOPOInvCL!AI1206</f>
        <v>320</v>
      </c>
      <c r="R1206" s="32" t="str">
        <f>CASOPOInvCL!AU1206</f>
        <v/>
      </c>
      <c r="S1206" s="16">
        <f>CASOPOInvCL!AV1206</f>
        <v>190.96</v>
      </c>
      <c r="T1206" s="16">
        <f>CASOPOInvCL!AW1206</f>
        <v>0</v>
      </c>
      <c r="Y1206" s="29" t="str">
        <f>IFERROR(HLOOKUP(U1206,List!$D$2:$H$6,2,FALSE),"")</f>
        <v/>
      </c>
      <c r="Z1206" s="29" t="str">
        <f>IFERROR(HLOOKUP(V1206,List!$D$2:$H$6,3,FALSE),"")</f>
        <v/>
      </c>
      <c r="AA1206" s="29" t="str">
        <f>IFERROR(HLOOKUP(W1206,List!$D$2:$H$6,4,FALSE),"")</f>
        <v/>
      </c>
      <c r="AB1206" s="29" t="str">
        <f>IFERROR(HLOOKUP(X1206,List!$D$2:$H$6,5,FALSE),"")</f>
        <v/>
      </c>
      <c r="AC1206" s="12" t="str">
        <f t="shared" si="286"/>
        <v/>
      </c>
      <c r="AD1206" s="12" t="str">
        <f t="shared" si="287"/>
        <v/>
      </c>
      <c r="AE1206" s="12" t="str">
        <f t="shared" si="288"/>
        <v/>
      </c>
      <c r="AF1206" s="12" t="str">
        <f t="shared" si="289"/>
        <v/>
      </c>
      <c r="AG1206" t="str">
        <f>VLOOKUP(J1206,'Receivable Invoice Detail'!$A$1:F4218,6,FALSE)</f>
        <v>[W-E4132H/S01] Discharge Joint Ring, 6/4 F-HH, EPDM</v>
      </c>
      <c r="AM1206" s="12" t="str">
        <f t="shared" si="290"/>
        <v/>
      </c>
      <c r="AN1206" s="12" t="str">
        <f t="shared" si="291"/>
        <v/>
      </c>
      <c r="AO1206" s="12" t="str">
        <f t="shared" si="292"/>
        <v/>
      </c>
      <c r="AP1206" s="12" t="str">
        <f t="shared" si="293"/>
        <v/>
      </c>
      <c r="AQ1206" s="64" t="str">
        <f t="shared" si="284"/>
        <v/>
      </c>
      <c r="AR1206" t="s">
        <v>5943</v>
      </c>
      <c r="AS1206" s="12">
        <f t="shared" si="285"/>
        <v>0</v>
      </c>
      <c r="AT1206" t="s">
        <v>5945</v>
      </c>
    </row>
    <row r="1207" spans="1:46" hidden="1" x14ac:dyDescent="0.25">
      <c r="A1207" s="41">
        <f>CASOPOInvCL!T1207</f>
        <v>1</v>
      </c>
      <c r="B1207" t="str">
        <f>CASOPOInvCL!Z1207</f>
        <v>SO18255</v>
      </c>
      <c r="G1207" s="5" t="str">
        <f>CASOPOInvCL!I1207</f>
        <v>Aleksandar Stankovic</v>
      </c>
      <c r="H1207" s="31">
        <f>CASOPOInvCL!U1207</f>
        <v>11</v>
      </c>
      <c r="I1207" s="31">
        <f>CASOPOInvCL!V1207</f>
        <v>2025</v>
      </c>
      <c r="J1207" s="5" t="str">
        <f>CASOPOInvCL!AB1207</f>
        <v>INV13750</v>
      </c>
      <c r="K1207" s="31" t="str">
        <f>CASOPOInvCL!W1207</f>
        <v/>
      </c>
      <c r="L1207" s="31" t="str">
        <f>CASOPOInvCL!X1207</f>
        <v/>
      </c>
      <c r="N1207" s="5" t="str">
        <f>CASOPOInvCL!AF1207</f>
        <v>Covia Corp - Guion</v>
      </c>
      <c r="O1207" s="16" t="str">
        <f>CASOPOInvCL!AG1207</f>
        <v>USD</v>
      </c>
      <c r="P1207" s="16">
        <f>CASOPOInvCL!AH1207</f>
        <v>4181.3219099803691</v>
      </c>
      <c r="Q1207" s="16">
        <f>CASOPOInvCL!AI1207</f>
        <v>3026.29</v>
      </c>
      <c r="R1207" s="32" t="str">
        <f>CASOPOInvCL!AU1207</f>
        <v/>
      </c>
      <c r="S1207" s="16">
        <f>CASOPOInvCL!AV1207</f>
        <v>492.64</v>
      </c>
      <c r="T1207" s="16">
        <f>CASOPOInvCL!AW1207</f>
        <v>0</v>
      </c>
      <c r="Y1207" s="29" t="str">
        <f>IFERROR(HLOOKUP(U1207,List!$D$2:$H$6,2,FALSE),"")</f>
        <v/>
      </c>
      <c r="Z1207" s="29" t="str">
        <f>IFERROR(HLOOKUP(V1207,List!$D$2:$H$6,3,FALSE),"")</f>
        <v/>
      </c>
      <c r="AA1207" s="29" t="str">
        <f>IFERROR(HLOOKUP(W1207,List!$D$2:$H$6,4,FALSE),"")</f>
        <v/>
      </c>
      <c r="AB1207" s="29" t="str">
        <f>IFERROR(HLOOKUP(X1207,List!$D$2:$H$6,5,FALSE),"")</f>
        <v/>
      </c>
      <c r="AC1207" s="12" t="str">
        <f t="shared" si="286"/>
        <v/>
      </c>
      <c r="AD1207" s="12" t="str">
        <f t="shared" si="287"/>
        <v/>
      </c>
      <c r="AE1207" s="12" t="str">
        <f t="shared" si="288"/>
        <v/>
      </c>
      <c r="AF1207" s="12" t="str">
        <f t="shared" si="289"/>
        <v/>
      </c>
      <c r="AG1207" t="str">
        <f>VLOOKUP(J1207,'Receivable Invoice Detail'!$A$1:F4219,6,FALSE)</f>
        <v>[W-G111] Premium Slurry Packing (Single Piece), 10/8 to 14/12, Kevlar Fiber w/Silicon Core</v>
      </c>
      <c r="AM1207" s="12" t="str">
        <f t="shared" si="290"/>
        <v/>
      </c>
      <c r="AN1207" s="12" t="str">
        <f t="shared" si="291"/>
        <v/>
      </c>
      <c r="AO1207" s="12" t="str">
        <f t="shared" si="292"/>
        <v/>
      </c>
      <c r="AP1207" s="12" t="str">
        <f t="shared" si="293"/>
        <v/>
      </c>
      <c r="AQ1207" s="64"/>
      <c r="AS1207" s="12">
        <f t="shared" si="285"/>
        <v>0</v>
      </c>
    </row>
    <row r="1208" spans="1:46" hidden="1" x14ac:dyDescent="0.25">
      <c r="A1208" s="41">
        <f>CASOPOInvCL!T1208</f>
        <v>0</v>
      </c>
      <c r="B1208" t="str">
        <f>CASOPOInvCL!Z1208</f>
        <v>SO18259</v>
      </c>
      <c r="G1208" s="5" t="str">
        <f>CASOPOInvCL!I1208</f>
        <v>Ian Trottier</v>
      </c>
      <c r="H1208" s="31">
        <f>CASOPOInvCL!U1208</f>
        <v>11</v>
      </c>
      <c r="I1208" s="31">
        <f>CASOPOInvCL!V1208</f>
        <v>2025</v>
      </c>
      <c r="J1208" s="5" t="str">
        <f>CASOPOInvCL!AB1208</f>
        <v>No Inv</v>
      </c>
      <c r="K1208" s="31" t="str">
        <f>CASOPOInvCL!W1208</f>
        <v/>
      </c>
      <c r="L1208" s="31" t="str">
        <f>CASOPOInvCL!X1208</f>
        <v/>
      </c>
      <c r="M1208" t="s">
        <v>5945</v>
      </c>
      <c r="N1208" s="5" t="str">
        <f>CASOPOInvCL!AF1208</f>
        <v>Resolute Forest Products - Dolbeau</v>
      </c>
      <c r="O1208" s="16" t="str">
        <f>CASOPOInvCL!AG1208</f>
        <v>CAD</v>
      </c>
      <c r="P1208" s="16">
        <f>CASOPOInvCL!AH1208</f>
        <v>20141.89</v>
      </c>
      <c r="Q1208" s="16">
        <f>CASOPOInvCL!AI1208</f>
        <v>14267.055519954749</v>
      </c>
      <c r="R1208" s="32" t="str">
        <f>CASOPOInvCL!AU1208</f>
        <v/>
      </c>
      <c r="S1208" s="16">
        <f>CASOPOInvCL!AV1208</f>
        <v>0</v>
      </c>
      <c r="T1208" s="16">
        <f>CASOPOInvCL!AW1208</f>
        <v>0</v>
      </c>
      <c r="Y1208" s="29" t="str">
        <f>IFERROR(HLOOKUP(U1208,List!$D$2:$H$6,2,FALSE),"")</f>
        <v/>
      </c>
      <c r="Z1208" s="29" t="str">
        <f>IFERROR(HLOOKUP(V1208,List!$D$2:$H$6,3,FALSE),"")</f>
        <v/>
      </c>
      <c r="AA1208" s="29" t="str">
        <f>IFERROR(HLOOKUP(W1208,List!$D$2:$H$6,4,FALSE),"")</f>
        <v/>
      </c>
      <c r="AB1208" s="29" t="str">
        <f>IFERROR(HLOOKUP(X1208,List!$D$2:$H$6,5,FALSE),"")</f>
        <v/>
      </c>
      <c r="AC1208" s="12" t="str">
        <f t="shared" si="286"/>
        <v/>
      </c>
      <c r="AD1208" s="12" t="str">
        <f t="shared" si="287"/>
        <v/>
      </c>
      <c r="AE1208" s="12" t="str">
        <f t="shared" si="288"/>
        <v/>
      </c>
      <c r="AF1208" s="12" t="str">
        <f t="shared" si="289"/>
        <v/>
      </c>
      <c r="AG1208" t="e">
        <f>VLOOKUP(J1208,'Receivable Invoice Detail'!$A$1:F4220,6,FALSE)</f>
        <v>#N/A</v>
      </c>
      <c r="AM1208" s="12" t="str">
        <f t="shared" si="290"/>
        <v/>
      </c>
      <c r="AN1208" s="12" t="str">
        <f t="shared" si="291"/>
        <v/>
      </c>
      <c r="AO1208" s="12" t="str">
        <f t="shared" si="292"/>
        <v/>
      </c>
      <c r="AP1208" s="12" t="str">
        <f t="shared" si="293"/>
        <v/>
      </c>
      <c r="AQ1208" s="64" t="str">
        <f t="shared" si="284"/>
        <v/>
      </c>
      <c r="AS1208" s="12">
        <f t="shared" si="285"/>
        <v>0</v>
      </c>
      <c r="AT1208" t="s">
        <v>5945</v>
      </c>
    </row>
    <row r="1209" spans="1:46" hidden="1" x14ac:dyDescent="0.25">
      <c r="A1209" s="41">
        <f>CASOPOInvCL!T1209</f>
        <v>1</v>
      </c>
      <c r="B1209" t="str">
        <f>CASOPOInvCL!Z1209</f>
        <v>SO18260</v>
      </c>
      <c r="D1209" t="s">
        <v>5938</v>
      </c>
      <c r="G1209" s="5" t="str">
        <f>CASOPOInvCL!I1209</f>
        <v>Marlen Martinez</v>
      </c>
      <c r="H1209" s="31">
        <f>CASOPOInvCL!U1209</f>
        <v>11</v>
      </c>
      <c r="I1209" s="31">
        <f>CASOPOInvCL!V1209</f>
        <v>2025</v>
      </c>
      <c r="J1209" s="5" t="str">
        <f>CASOPOInvCL!AB1209</f>
        <v>INV13679</v>
      </c>
      <c r="K1209" s="31">
        <f>CASOPOInvCL!W1209</f>
        <v>1</v>
      </c>
      <c r="L1209" s="31">
        <f>CASOPOInvCL!X1209</f>
        <v>1900</v>
      </c>
      <c r="M1209">
        <v>2504</v>
      </c>
      <c r="N1209" s="5" t="str">
        <f>CASOPOInvCL!AF1209</f>
        <v>Covia Corp - Junction City</v>
      </c>
      <c r="O1209" s="16" t="str">
        <f>CASOPOInvCL!AG1209</f>
        <v>USD</v>
      </c>
      <c r="P1209" s="16">
        <f>CASOPOInvCL!AH1209</f>
        <v>0</v>
      </c>
      <c r="Q1209" s="16">
        <f>CASOPOInvCL!AI1209</f>
        <v>0</v>
      </c>
      <c r="R1209" s="32" t="str">
        <f>CASOPOInvCL!AU1209</f>
        <v>Yes</v>
      </c>
      <c r="S1209" s="16">
        <f>CASOPOInvCL!AV1209</f>
        <v>0</v>
      </c>
      <c r="T1209" s="16">
        <f>CASOPOInvCL!AW1209</f>
        <v>0</v>
      </c>
      <c r="Y1209" s="29" t="str">
        <f>IFERROR(HLOOKUP(U1209,List!$D$2:$H$6,2,FALSE),"")</f>
        <v/>
      </c>
      <c r="Z1209" s="29" t="str">
        <f>IFERROR(HLOOKUP(V1209,List!$D$2:$H$6,3,FALSE),"")</f>
        <v/>
      </c>
      <c r="AA1209" s="29" t="str">
        <f>IFERROR(HLOOKUP(W1209,List!$D$2:$H$6,4,FALSE),"")</f>
        <v/>
      </c>
      <c r="AB1209" s="29" t="str">
        <f>IFERROR(HLOOKUP(X1209,List!$D$2:$H$6,5,FALSE),"")</f>
        <v/>
      </c>
      <c r="AC1209" s="12" t="str">
        <f t="shared" si="286"/>
        <v/>
      </c>
      <c r="AD1209" s="12" t="str">
        <f t="shared" si="287"/>
        <v/>
      </c>
      <c r="AE1209" s="12" t="str">
        <f t="shared" si="288"/>
        <v/>
      </c>
      <c r="AF1209" s="12" t="str">
        <f t="shared" si="289"/>
        <v/>
      </c>
      <c r="AG1209" t="str">
        <f>VLOOKUP(J1209,'Receivable Invoice Detail'!$A$1:F4221,6,FALSE)</f>
        <v>[W-F108H/D21] Piston Ring, Ductile Iron</v>
      </c>
      <c r="AM1209" s="12" t="str">
        <f t="shared" si="290"/>
        <v/>
      </c>
      <c r="AN1209" s="12" t="str">
        <f t="shared" si="291"/>
        <v/>
      </c>
      <c r="AO1209" s="12" t="str">
        <f t="shared" si="292"/>
        <v/>
      </c>
      <c r="AP1209" s="12" t="str">
        <f t="shared" si="293"/>
        <v/>
      </c>
      <c r="AQ1209" s="64">
        <f t="shared" si="284"/>
        <v>2504</v>
      </c>
      <c r="AR1209" t="s">
        <v>5939</v>
      </c>
      <c r="AS1209" s="12">
        <f t="shared" si="285"/>
        <v>0</v>
      </c>
      <c r="AT1209" t="s">
        <v>4388</v>
      </c>
    </row>
    <row r="1210" spans="1:46" hidden="1" x14ac:dyDescent="0.25">
      <c r="A1210" s="41">
        <f>CASOPOInvCL!T1210</f>
        <v>0</v>
      </c>
      <c r="B1210" t="str">
        <f>CASOPOInvCL!Z1210</f>
        <v>SO18262</v>
      </c>
      <c r="G1210" s="5" t="str">
        <f>CASOPOInvCL!I1210</f>
        <v>Ian Trottier</v>
      </c>
      <c r="H1210" s="31">
        <f>CASOPOInvCL!U1210</f>
        <v>11</v>
      </c>
      <c r="I1210" s="31">
        <f>CASOPOInvCL!V1210</f>
        <v>2025</v>
      </c>
      <c r="J1210" s="5" t="str">
        <f>CASOPOInvCL!AB1210</f>
        <v>No Inv</v>
      </c>
      <c r="K1210" s="31" t="str">
        <f>CASOPOInvCL!W1210</f>
        <v/>
      </c>
      <c r="L1210" s="31" t="str">
        <f>CASOPOInvCL!X1210</f>
        <v/>
      </c>
      <c r="M1210" t="s">
        <v>5945</v>
      </c>
      <c r="N1210" s="5" t="str">
        <f>CASOPOInvCL!AF1210</f>
        <v>Gibraltar Mine (Canada)</v>
      </c>
      <c r="O1210" s="16" t="str">
        <f>CASOPOInvCL!AG1210</f>
        <v>CAD</v>
      </c>
      <c r="P1210" s="16">
        <f>CASOPOInvCL!AH1210</f>
        <v>1400</v>
      </c>
      <c r="Q1210" s="16">
        <f>CASOPOInvCL!AI1210</f>
        <v>1000.2534002291189</v>
      </c>
      <c r="R1210" s="32" t="str">
        <f>CASOPOInvCL!AU1210</f>
        <v/>
      </c>
      <c r="S1210" s="16">
        <f>CASOPOInvCL!AV1210</f>
        <v>0</v>
      </c>
      <c r="T1210" s="16">
        <f>CASOPOInvCL!AW1210</f>
        <v>0</v>
      </c>
      <c r="Y1210" s="29" t="str">
        <f>IFERROR(HLOOKUP(U1210,List!$D$2:$H$6,2,FALSE),"")</f>
        <v/>
      </c>
      <c r="Z1210" s="29" t="str">
        <f>IFERROR(HLOOKUP(V1210,List!$D$2:$H$6,3,FALSE),"")</f>
        <v/>
      </c>
      <c r="AA1210" s="29" t="str">
        <f>IFERROR(HLOOKUP(W1210,List!$D$2:$H$6,4,FALSE),"")</f>
        <v/>
      </c>
      <c r="AB1210" s="29" t="str">
        <f>IFERROR(HLOOKUP(X1210,List!$D$2:$H$6,5,FALSE),"")</f>
        <v/>
      </c>
      <c r="AC1210" s="12" t="str">
        <f t="shared" si="286"/>
        <v/>
      </c>
      <c r="AD1210" s="12" t="str">
        <f t="shared" si="287"/>
        <v/>
      </c>
      <c r="AE1210" s="12" t="str">
        <f t="shared" si="288"/>
        <v/>
      </c>
      <c r="AF1210" s="12" t="str">
        <f t="shared" si="289"/>
        <v/>
      </c>
      <c r="AG1210" t="e">
        <f>VLOOKUP(J1210,'Receivable Invoice Detail'!$A$1:F4222,6,FALSE)</f>
        <v>#N/A</v>
      </c>
      <c r="AM1210" s="12" t="str">
        <f t="shared" si="290"/>
        <v/>
      </c>
      <c r="AN1210" s="12" t="str">
        <f t="shared" si="291"/>
        <v/>
      </c>
      <c r="AO1210" s="12" t="str">
        <f t="shared" si="292"/>
        <v/>
      </c>
      <c r="AP1210" s="12" t="str">
        <f t="shared" si="293"/>
        <v/>
      </c>
      <c r="AQ1210" s="64" t="str">
        <f t="shared" si="284"/>
        <v/>
      </c>
      <c r="AS1210" s="12">
        <f t="shared" si="285"/>
        <v>0</v>
      </c>
      <c r="AT1210" t="s">
        <v>5945</v>
      </c>
    </row>
    <row r="1211" spans="1:46" hidden="1" x14ac:dyDescent="0.25">
      <c r="A1211" s="41">
        <f>CASOPOInvCL!T1211</f>
        <v>1</v>
      </c>
      <c r="B1211" t="str">
        <f>CASOPOInvCL!Z1211</f>
        <v>SO18264</v>
      </c>
      <c r="G1211" s="5" t="str">
        <f>CASOPOInvCL!I1211</f>
        <v>Ian Trottier</v>
      </c>
      <c r="H1211" s="31">
        <f>CASOPOInvCL!U1211</f>
        <v>11</v>
      </c>
      <c r="I1211" s="31">
        <f>CASOPOInvCL!V1211</f>
        <v>2025</v>
      </c>
      <c r="J1211" s="5" t="str">
        <f>CASOPOInvCL!AB1211</f>
        <v>INV13707</v>
      </c>
      <c r="K1211" s="31">
        <f>CASOPOInvCL!W1211</f>
        <v>12</v>
      </c>
      <c r="L1211" s="31">
        <f>CASOPOInvCL!X1211</f>
        <v>2025</v>
      </c>
      <c r="M1211" t="s">
        <v>5945</v>
      </c>
      <c r="N1211" s="5" t="str">
        <f>CASOPOInvCL!AF1211</f>
        <v>Wesdome Gold Mines Ltd - Eagle River Mine</v>
      </c>
      <c r="O1211" s="16" t="str">
        <f>CASOPOInvCL!AG1211</f>
        <v>CAD</v>
      </c>
      <c r="P1211" s="16">
        <f>CASOPOInvCL!AH1211</f>
        <v>29916.12</v>
      </c>
      <c r="Q1211" s="16">
        <f>CASOPOInvCL!AI1211</f>
        <v>21190.411872055138</v>
      </c>
      <c r="R1211" s="32" t="str">
        <f>CASOPOInvCL!AU1211</f>
        <v/>
      </c>
      <c r="S1211" s="16">
        <f>CASOPOInvCL!AV1211</f>
        <v>0</v>
      </c>
      <c r="T1211" s="16">
        <f>CASOPOInvCL!AW1211</f>
        <v>0</v>
      </c>
      <c r="Y1211" s="29" t="str">
        <f>IFERROR(HLOOKUP(U1211,List!$D$2:$H$6,2,FALSE),"")</f>
        <v/>
      </c>
      <c r="Z1211" s="29" t="str">
        <f>IFERROR(HLOOKUP(V1211,List!$D$2:$H$6,3,FALSE),"")</f>
        <v/>
      </c>
      <c r="AA1211" s="29" t="str">
        <f>IFERROR(HLOOKUP(W1211,List!$D$2:$H$6,4,FALSE),"")</f>
        <v/>
      </c>
      <c r="AB1211" s="29" t="str">
        <f>IFERROR(HLOOKUP(X1211,List!$D$2:$H$6,5,FALSE),"")</f>
        <v/>
      </c>
      <c r="AC1211" s="12" t="str">
        <f t="shared" si="286"/>
        <v/>
      </c>
      <c r="AD1211" s="12" t="str">
        <f t="shared" si="287"/>
        <v/>
      </c>
      <c r="AE1211" s="12" t="str">
        <f t="shared" si="288"/>
        <v/>
      </c>
      <c r="AF1211" s="12" t="str">
        <f t="shared" si="289"/>
        <v/>
      </c>
      <c r="AG1211" t="str">
        <f>VLOOKUP(J1211,'Receivable Invoice Detail'!$A$1:F4223,6,FALSE)</f>
        <v>[AC-98-231-120-501] Suction Side Liner, 8x6-18 SRL-C, Natural Rubber</v>
      </c>
      <c r="AM1211" s="12" t="str">
        <f t="shared" si="290"/>
        <v/>
      </c>
      <c r="AN1211" s="12" t="str">
        <f t="shared" si="291"/>
        <v/>
      </c>
      <c r="AO1211" s="12" t="str">
        <f t="shared" si="292"/>
        <v/>
      </c>
      <c r="AP1211" s="12" t="str">
        <f t="shared" si="293"/>
        <v/>
      </c>
      <c r="AQ1211" s="64" t="str">
        <f t="shared" si="284"/>
        <v/>
      </c>
      <c r="AS1211" s="12">
        <f t="shared" si="285"/>
        <v>25.246681608468737</v>
      </c>
      <c r="AT1211" t="s">
        <v>5945</v>
      </c>
    </row>
    <row r="1212" spans="1:46" hidden="1" x14ac:dyDescent="0.25">
      <c r="A1212" s="41">
        <f>CASOPOInvCL!T1212</f>
        <v>2</v>
      </c>
      <c r="B1212" t="str">
        <f>CASOPOInvCL!Z1212</f>
        <v>SO18265</v>
      </c>
      <c r="G1212" s="5" t="str">
        <f>CASOPOInvCL!I1212</f>
        <v>Wilka Nuñez</v>
      </c>
      <c r="H1212" s="31">
        <f>CASOPOInvCL!U1212</f>
        <v>11</v>
      </c>
      <c r="I1212" s="31">
        <f>CASOPOInvCL!V1212</f>
        <v>2025</v>
      </c>
      <c r="J1212" s="5" t="str">
        <f>CASOPOInvCL!AB1212</f>
        <v>INV13702</v>
      </c>
      <c r="K1212" s="31">
        <f>CASOPOInvCL!W1212</f>
        <v>12</v>
      </c>
      <c r="L1212" s="31">
        <f>CASOPOInvCL!X1212</f>
        <v>2025</v>
      </c>
      <c r="M1212" t="s">
        <v>5945</v>
      </c>
      <c r="N1212" s="5" t="str">
        <f>CASOPOInvCL!AF1212</f>
        <v>Sling-Choker Manufacturing - Timmins</v>
      </c>
      <c r="O1212" s="16" t="str">
        <f>CASOPOInvCL!AG1212</f>
        <v>CAD</v>
      </c>
      <c r="P1212" s="16">
        <f>CASOPOInvCL!AH1212</f>
        <v>3514.7</v>
      </c>
      <c r="Q1212" s="16">
        <f>CASOPOInvCL!AI1212</f>
        <v>2511.3528888123965</v>
      </c>
      <c r="R1212" s="32" t="str">
        <f>CASOPOInvCL!AU1212</f>
        <v>Yes</v>
      </c>
      <c r="S1212" s="16">
        <f>CASOPOInvCL!AV1212</f>
        <v>0</v>
      </c>
      <c r="T1212" s="16">
        <f>CASOPOInvCL!AW1212</f>
        <v>2511.3528888123965</v>
      </c>
      <c r="Y1212" s="29" t="str">
        <f>IFERROR(HLOOKUP(U1212,List!$D$2:$H$6,2,FALSE),"")</f>
        <v/>
      </c>
      <c r="Z1212" s="29" t="str">
        <f>IFERROR(HLOOKUP(V1212,List!$D$2:$H$6,3,FALSE),"")</f>
        <v/>
      </c>
      <c r="AA1212" s="29" t="str">
        <f>IFERROR(HLOOKUP(W1212,List!$D$2:$H$6,4,FALSE),"")</f>
        <v/>
      </c>
      <c r="AB1212" s="29" t="str">
        <f>IFERROR(HLOOKUP(X1212,List!$D$2:$H$6,5,FALSE),"")</f>
        <v/>
      </c>
      <c r="AC1212" s="12" t="str">
        <f t="shared" si="286"/>
        <v/>
      </c>
      <c r="AD1212" s="12" t="str">
        <f t="shared" si="287"/>
        <v/>
      </c>
      <c r="AE1212" s="12" t="str">
        <f t="shared" si="288"/>
        <v/>
      </c>
      <c r="AF1212" s="12" t="str">
        <f t="shared" si="289"/>
        <v/>
      </c>
      <c r="AG1212" t="str">
        <f>VLOOKUP(J1212,'Receivable Invoice Detail'!$A$1:F4224,6,FALSE)</f>
        <v>[AC-98-233-992-001] Half Seal Cage, 3x3-10 SRL &amp; SRL-C, Cast Iron</v>
      </c>
      <c r="AM1212" s="12" t="str">
        <f t="shared" si="290"/>
        <v/>
      </c>
      <c r="AN1212" s="12" t="str">
        <f t="shared" si="291"/>
        <v/>
      </c>
      <c r="AO1212" s="12" t="str">
        <f t="shared" si="292"/>
        <v/>
      </c>
      <c r="AP1212" s="12" t="str">
        <f t="shared" si="293"/>
        <v/>
      </c>
      <c r="AQ1212" s="64" t="str">
        <f t="shared" ref="AQ1212:AQ1270" si="294">M1212</f>
        <v/>
      </c>
      <c r="AS1212" s="12">
        <f t="shared" ref="AS1212:AS1275" si="295">T1205*1.5%</f>
        <v>4.1289085753726038</v>
      </c>
      <c r="AT1212" t="s">
        <v>5945</v>
      </c>
    </row>
    <row r="1213" spans="1:46" hidden="1" x14ac:dyDescent="0.25">
      <c r="A1213" s="41">
        <f>CASOPOInvCL!T1213</f>
        <v>2</v>
      </c>
      <c r="B1213" t="str">
        <f>CASOPOInvCL!Z1213</f>
        <v>SO18265</v>
      </c>
      <c r="G1213" s="5">
        <f>CASOPOInvCL!I1213</f>
        <v>0</v>
      </c>
      <c r="H1213" s="31">
        <f>CASOPOInvCL!U1213</f>
        <v>11</v>
      </c>
      <c r="I1213" s="31">
        <f>CASOPOInvCL!V1213</f>
        <v>2025</v>
      </c>
      <c r="J1213" s="5" t="str">
        <f>CASOPOInvCL!AB1213</f>
        <v>INV13805</v>
      </c>
      <c r="K1213" s="31" t="str">
        <f>CASOPOInvCL!W1213</f>
        <v/>
      </c>
      <c r="L1213" s="31" t="str">
        <f>CASOPOInvCL!X1213</f>
        <v/>
      </c>
      <c r="M1213" t="s">
        <v>5945</v>
      </c>
      <c r="N1213" s="5" t="str">
        <f>CASOPOInvCL!AF1213</f>
        <v>Sling-Choker Manufacturing - Timmins</v>
      </c>
      <c r="O1213" s="16" t="str">
        <f>CASOPOInvCL!AG1213</f>
        <v>CAD</v>
      </c>
      <c r="P1213" s="16">
        <f>CASOPOInvCL!AH1213</f>
        <v>0</v>
      </c>
      <c r="Q1213" s="16">
        <f>CASOPOInvCL!AI1213</f>
        <v>0</v>
      </c>
      <c r="R1213" s="32" t="str">
        <f>CASOPOInvCL!AU1213</f>
        <v/>
      </c>
      <c r="S1213" s="16">
        <f>CASOPOInvCL!AV1213</f>
        <v>0</v>
      </c>
      <c r="T1213" s="16">
        <f>CASOPOInvCL!AW1213</f>
        <v>0</v>
      </c>
      <c r="Y1213" s="29" t="str">
        <f>IFERROR(HLOOKUP(U1213,List!$D$2:$H$6,2,FALSE),"")</f>
        <v/>
      </c>
      <c r="Z1213" s="29" t="str">
        <f>IFERROR(HLOOKUP(V1213,List!$D$2:$H$6,3,FALSE),"")</f>
        <v/>
      </c>
      <c r="AA1213" s="29" t="str">
        <f>IFERROR(HLOOKUP(W1213,List!$D$2:$H$6,4,FALSE),"")</f>
        <v/>
      </c>
      <c r="AB1213" s="29" t="str">
        <f>IFERROR(HLOOKUP(X1213,List!$D$2:$H$6,5,FALSE),"")</f>
        <v/>
      </c>
      <c r="AC1213" s="12" t="str">
        <f t="shared" si="286"/>
        <v/>
      </c>
      <c r="AD1213" s="12" t="str">
        <f t="shared" si="287"/>
        <v/>
      </c>
      <c r="AE1213" s="12" t="str">
        <f t="shared" si="288"/>
        <v/>
      </c>
      <c r="AF1213" s="12" t="str">
        <f t="shared" si="289"/>
        <v/>
      </c>
      <c r="AG1213" t="str">
        <f>VLOOKUP(J1213,'Receivable Invoice Detail'!$A$1:F4225,6,FALSE)</f>
        <v>[G-0B10592 1216] Impeller, 3x4-13, 3196 LTX, CD4MCu, 6-Vane</v>
      </c>
      <c r="AM1213" s="12" t="str">
        <f t="shared" si="290"/>
        <v/>
      </c>
      <c r="AN1213" s="12" t="str">
        <f t="shared" si="291"/>
        <v/>
      </c>
      <c r="AO1213" s="12" t="str">
        <f t="shared" si="292"/>
        <v/>
      </c>
      <c r="AP1213" s="12" t="str">
        <f t="shared" si="293"/>
        <v/>
      </c>
      <c r="AQ1213" s="64" t="str">
        <f t="shared" si="294"/>
        <v/>
      </c>
      <c r="AS1213" s="12">
        <f t="shared" si="295"/>
        <v>0</v>
      </c>
      <c r="AT1213" t="s">
        <v>5945</v>
      </c>
    </row>
    <row r="1214" spans="1:46" hidden="1" x14ac:dyDescent="0.25">
      <c r="A1214" s="41">
        <f>CASOPOInvCL!T1214</f>
        <v>0</v>
      </c>
      <c r="B1214" t="str">
        <f>CASOPOInvCL!Z1214</f>
        <v>SO18267</v>
      </c>
      <c r="E1214" t="s">
        <v>5848</v>
      </c>
      <c r="G1214" s="5" t="str">
        <f>CASOPOInvCL!I1214</f>
        <v>Leriel Reyes</v>
      </c>
      <c r="H1214" s="31">
        <f>CASOPOInvCL!U1214</f>
        <v>11</v>
      </c>
      <c r="I1214" s="31">
        <f>CASOPOInvCL!V1214</f>
        <v>2025</v>
      </c>
      <c r="J1214" s="5" t="str">
        <f>CASOPOInvCL!AB1214</f>
        <v>No Inv</v>
      </c>
      <c r="K1214" s="31" t="str">
        <f>CASOPOInvCL!W1214</f>
        <v/>
      </c>
      <c r="L1214" s="31" t="str">
        <f>CASOPOInvCL!X1214</f>
        <v/>
      </c>
      <c r="M1214" t="s">
        <v>5945</v>
      </c>
      <c r="N1214" s="5" t="str">
        <f>CASOPOInvCL!AF1214</f>
        <v>Sealtrac Inc.</v>
      </c>
      <c r="O1214" s="16" t="str">
        <f>CASOPOInvCL!AG1214</f>
        <v>CAD</v>
      </c>
      <c r="P1214" s="16">
        <f>CASOPOInvCL!AH1214</f>
        <v>5638.37</v>
      </c>
      <c r="Q1214" s="16">
        <f>CASOPOInvCL!AI1214</f>
        <v>4012.691248350598</v>
      </c>
      <c r="R1214" s="32" t="str">
        <f>CASOPOInvCL!AU1214</f>
        <v/>
      </c>
      <c r="S1214" s="16">
        <f>CASOPOInvCL!AV1214</f>
        <v>0</v>
      </c>
      <c r="T1214" s="16">
        <f>CASOPOInvCL!AW1214</f>
        <v>0</v>
      </c>
      <c r="W1214" t="s">
        <v>5800</v>
      </c>
      <c r="Y1214" s="29" t="str">
        <f>IFERROR(HLOOKUP(U1214,List!$D$2:$H$6,2,FALSE),"")</f>
        <v/>
      </c>
      <c r="Z1214" s="29" t="str">
        <f>IFERROR(HLOOKUP(V1214,List!$D$2:$H$6,3,FALSE),"")</f>
        <v/>
      </c>
      <c r="AA1214" s="29">
        <f>IFERROR(HLOOKUP(W1214,List!$D$2:$H$6,4,FALSE),"")</f>
        <v>0.01</v>
      </c>
      <c r="AB1214" s="29" t="str">
        <f>IFERROR(HLOOKUP(X1214,List!$D$2:$H$6,5,FALSE),"")</f>
        <v/>
      </c>
      <c r="AC1214" s="12" t="str">
        <f t="shared" si="286"/>
        <v/>
      </c>
      <c r="AD1214" s="12" t="str">
        <f t="shared" si="287"/>
        <v/>
      </c>
      <c r="AE1214" s="12">
        <f t="shared" si="288"/>
        <v>0</v>
      </c>
      <c r="AF1214" s="12" t="str">
        <f t="shared" si="289"/>
        <v/>
      </c>
      <c r="AG1214" t="e">
        <f>VLOOKUP(J1214,'Receivable Invoice Detail'!$A$1:F4226,6,FALSE)</f>
        <v>#N/A</v>
      </c>
      <c r="AM1214" s="12" t="str">
        <f t="shared" si="290"/>
        <v/>
      </c>
      <c r="AN1214" s="12" t="str">
        <f t="shared" si="291"/>
        <v/>
      </c>
      <c r="AO1214" s="12">
        <f t="shared" si="292"/>
        <v>0</v>
      </c>
      <c r="AP1214" s="12" t="str">
        <f t="shared" si="293"/>
        <v/>
      </c>
      <c r="AQ1214" s="64" t="str">
        <f t="shared" si="294"/>
        <v/>
      </c>
      <c r="AS1214" s="12">
        <f t="shared" si="295"/>
        <v>0</v>
      </c>
      <c r="AT1214" t="s">
        <v>5945</v>
      </c>
    </row>
    <row r="1215" spans="1:46" hidden="1" x14ac:dyDescent="0.25">
      <c r="A1215" s="41">
        <f>CASOPOInvCL!T1215</f>
        <v>1</v>
      </c>
      <c r="B1215" t="str">
        <f>CASOPOInvCL!Z1215</f>
        <v>SO18270</v>
      </c>
      <c r="G1215" s="5" t="str">
        <f>CASOPOInvCL!I1215</f>
        <v>Yannett Yeomans</v>
      </c>
      <c r="H1215" s="31">
        <f>CASOPOInvCL!U1215</f>
        <v>11</v>
      </c>
      <c r="I1215" s="31">
        <f>CASOPOInvCL!V1215</f>
        <v>2025</v>
      </c>
      <c r="J1215" s="5" t="str">
        <f>CASOPOInvCL!AB1215</f>
        <v>INV13819</v>
      </c>
      <c r="K1215" s="31" t="str">
        <f>CASOPOInvCL!W1215</f>
        <v/>
      </c>
      <c r="L1215" s="31" t="str">
        <f>CASOPOInvCL!X1215</f>
        <v/>
      </c>
      <c r="N1215" s="5" t="str">
        <f>CASOPOInvCL!AF1215</f>
        <v>Dynapro Pumps México S de RL de CV</v>
      </c>
      <c r="O1215" s="16" t="str">
        <f>CASOPOInvCL!AG1215</f>
        <v>USD</v>
      </c>
      <c r="P1215" s="16">
        <f>CASOPOInvCL!AH1215</f>
        <v>310.0548975411333</v>
      </c>
      <c r="Q1215" s="16">
        <f>CASOPOInvCL!AI1215</f>
        <v>221</v>
      </c>
      <c r="R1215" s="32" t="str">
        <f>CASOPOInvCL!AU1215</f>
        <v/>
      </c>
      <c r="S1215" s="16">
        <f>CASOPOInvCL!AV1215</f>
        <v>0</v>
      </c>
      <c r="T1215" s="16">
        <f>CASOPOInvCL!AW1215</f>
        <v>0</v>
      </c>
      <c r="Y1215" s="29" t="str">
        <f>IFERROR(HLOOKUP(U1215,List!$D$2:$H$6,2,FALSE),"")</f>
        <v/>
      </c>
      <c r="Z1215" s="29" t="str">
        <f>IFERROR(HLOOKUP(V1215,List!$D$2:$H$6,3,FALSE),"")</f>
        <v/>
      </c>
      <c r="AA1215" s="29" t="str">
        <f>IFERROR(HLOOKUP(W1215,List!$D$2:$H$6,4,FALSE),"")</f>
        <v/>
      </c>
      <c r="AB1215" s="29" t="str">
        <f>IFERROR(HLOOKUP(X1215,List!$D$2:$H$6,5,FALSE),"")</f>
        <v/>
      </c>
      <c r="AC1215" s="12" t="str">
        <f t="shared" si="286"/>
        <v/>
      </c>
      <c r="AD1215" s="12" t="str">
        <f t="shared" si="287"/>
        <v/>
      </c>
      <c r="AE1215" s="12" t="str">
        <f t="shared" si="288"/>
        <v/>
      </c>
      <c r="AF1215" s="12" t="str">
        <f t="shared" si="289"/>
        <v/>
      </c>
      <c r="AG1215" t="e">
        <f>VLOOKUP(J1215,'Receivable Invoice Detail'!$A$1:F4227,6,FALSE)</f>
        <v>#N/A</v>
      </c>
      <c r="AM1215" s="12" t="str">
        <f t="shared" si="290"/>
        <v/>
      </c>
      <c r="AN1215" s="12" t="str">
        <f t="shared" si="291"/>
        <v/>
      </c>
      <c r="AO1215" s="12" t="str">
        <f t="shared" si="292"/>
        <v/>
      </c>
      <c r="AP1215" s="12" t="str">
        <f t="shared" si="293"/>
        <v/>
      </c>
      <c r="AQ1215" s="64"/>
      <c r="AS1215" s="12">
        <f t="shared" si="295"/>
        <v>0</v>
      </c>
    </row>
    <row r="1216" spans="1:46" hidden="1" x14ac:dyDescent="0.25">
      <c r="A1216" s="41">
        <f>CASOPOInvCL!T1216</f>
        <v>1</v>
      </c>
      <c r="B1216" t="str">
        <f>CASOPOInvCL!Z1216</f>
        <v>SO18271</v>
      </c>
      <c r="G1216" s="5" t="str">
        <f>CASOPOInvCL!I1216</f>
        <v>Wilka Nuñez</v>
      </c>
      <c r="H1216" s="31">
        <f>CASOPOInvCL!U1216</f>
        <v>11</v>
      </c>
      <c r="I1216" s="31">
        <f>CASOPOInvCL!V1216</f>
        <v>2025</v>
      </c>
      <c r="J1216" s="5" t="str">
        <f>CASOPOInvCL!AB1216</f>
        <v>INV13784</v>
      </c>
      <c r="K1216" s="31" t="str">
        <f>CASOPOInvCL!W1216</f>
        <v/>
      </c>
      <c r="L1216" s="31" t="str">
        <f>CASOPOInvCL!X1216</f>
        <v/>
      </c>
      <c r="M1216" t="s">
        <v>5945</v>
      </c>
      <c r="N1216" s="5" t="str">
        <f>CASOPOInvCL!AF1216</f>
        <v>Process and Steam Specialties</v>
      </c>
      <c r="O1216" s="16" t="str">
        <f>CASOPOInvCL!AG1216</f>
        <v>CAD</v>
      </c>
      <c r="P1216" s="16">
        <f>CASOPOInvCL!AH1216</f>
        <v>356.76</v>
      </c>
      <c r="Q1216" s="16">
        <f>CASOPOInvCL!AI1216</f>
        <v>252.70293538982972</v>
      </c>
      <c r="R1216" s="32" t="str">
        <f>CASOPOInvCL!AU1216</f>
        <v/>
      </c>
      <c r="S1216" s="16">
        <f>CASOPOInvCL!AV1216</f>
        <v>0</v>
      </c>
      <c r="T1216" s="16">
        <f>CASOPOInvCL!AW1216</f>
        <v>0</v>
      </c>
      <c r="Y1216" s="29" t="str">
        <f>IFERROR(HLOOKUP(U1216,List!$D$2:$H$6,2,FALSE),"")</f>
        <v/>
      </c>
      <c r="Z1216" s="29" t="str">
        <f>IFERROR(HLOOKUP(V1216,List!$D$2:$H$6,3,FALSE),"")</f>
        <v/>
      </c>
      <c r="AA1216" s="29" t="str">
        <f>IFERROR(HLOOKUP(W1216,List!$D$2:$H$6,4,FALSE),"")</f>
        <v/>
      </c>
      <c r="AB1216" s="29" t="str">
        <f>IFERROR(HLOOKUP(X1216,List!$D$2:$H$6,5,FALSE),"")</f>
        <v/>
      </c>
      <c r="AC1216" s="12" t="str">
        <f t="shared" si="286"/>
        <v/>
      </c>
      <c r="AD1216" s="12" t="str">
        <f t="shared" si="287"/>
        <v/>
      </c>
      <c r="AE1216" s="12" t="str">
        <f t="shared" si="288"/>
        <v/>
      </c>
      <c r="AF1216" s="12" t="str">
        <f t="shared" si="289"/>
        <v/>
      </c>
      <c r="AG1216" t="str">
        <f>VLOOKUP(J1216,'Receivable Invoice Detail'!$A$1:F4228,6,FALSE)</f>
        <v>[SA-567160] Gasket, Sala STHM-33WFR, Rubber</v>
      </c>
      <c r="AM1216" s="12" t="str">
        <f t="shared" si="290"/>
        <v/>
      </c>
      <c r="AN1216" s="12" t="str">
        <f t="shared" si="291"/>
        <v/>
      </c>
      <c r="AO1216" s="12" t="str">
        <f t="shared" si="292"/>
        <v/>
      </c>
      <c r="AP1216" s="12" t="str">
        <f t="shared" si="293"/>
        <v/>
      </c>
      <c r="AQ1216" s="64" t="str">
        <f t="shared" si="294"/>
        <v/>
      </c>
      <c r="AS1216" s="12">
        <f t="shared" si="295"/>
        <v>0</v>
      </c>
      <c r="AT1216" t="s">
        <v>5945</v>
      </c>
    </row>
    <row r="1217" spans="1:46" hidden="1" x14ac:dyDescent="0.25">
      <c r="A1217" s="41">
        <f>CASOPOInvCL!T1217</f>
        <v>1</v>
      </c>
      <c r="B1217" t="str">
        <f>CASOPOInvCL!Z1217</f>
        <v>SO18272</v>
      </c>
      <c r="G1217" s="5" t="str">
        <f>CASOPOInvCL!I1217</f>
        <v>Ian Trottier</v>
      </c>
      <c r="H1217" s="31">
        <f>CASOPOInvCL!U1217</f>
        <v>11</v>
      </c>
      <c r="I1217" s="31">
        <f>CASOPOInvCL!V1217</f>
        <v>2025</v>
      </c>
      <c r="J1217" s="5" t="str">
        <f>CASOPOInvCL!AB1217</f>
        <v>INV13667</v>
      </c>
      <c r="K1217" s="31">
        <f>CASOPOInvCL!W1217</f>
        <v>12</v>
      </c>
      <c r="L1217" s="31">
        <f>CASOPOInvCL!X1217</f>
        <v>2025</v>
      </c>
      <c r="M1217" t="s">
        <v>5945</v>
      </c>
      <c r="N1217" s="5" t="str">
        <f>CASOPOInvCL!AF1217</f>
        <v>Middle Georgia Fluid Sealing LLC</v>
      </c>
      <c r="O1217" s="16" t="str">
        <f>CASOPOInvCL!AG1217</f>
        <v>USD</v>
      </c>
      <c r="P1217" s="16">
        <f>CASOPOInvCL!AH1217</f>
        <v>1804.8286560050483</v>
      </c>
      <c r="Q1217" s="16">
        <f>CASOPOInvCL!AI1217</f>
        <v>1289.49</v>
      </c>
      <c r="R1217" s="32" t="str">
        <f>CASOPOInvCL!AU1217</f>
        <v/>
      </c>
      <c r="S1217" s="16">
        <f>CASOPOInvCL!AV1217</f>
        <v>0</v>
      </c>
      <c r="T1217" s="16">
        <f>CASOPOInvCL!AW1217</f>
        <v>0</v>
      </c>
      <c r="Y1217" s="29" t="str">
        <f>IFERROR(HLOOKUP(U1217,List!$D$2:$H$6,2,FALSE),"")</f>
        <v/>
      </c>
      <c r="Z1217" s="29" t="str">
        <f>IFERROR(HLOOKUP(V1217,List!$D$2:$H$6,3,FALSE),"")</f>
        <v/>
      </c>
      <c r="AA1217" s="29" t="str">
        <f>IFERROR(HLOOKUP(W1217,List!$D$2:$H$6,4,FALSE),"")</f>
        <v/>
      </c>
      <c r="AB1217" s="29" t="str">
        <f>IFERROR(HLOOKUP(X1217,List!$D$2:$H$6,5,FALSE),"")</f>
        <v/>
      </c>
      <c r="AC1217" s="12" t="str">
        <f t="shared" si="286"/>
        <v/>
      </c>
      <c r="AD1217" s="12" t="str">
        <f t="shared" si="287"/>
        <v/>
      </c>
      <c r="AE1217" s="12" t="str">
        <f t="shared" si="288"/>
        <v/>
      </c>
      <c r="AF1217" s="12" t="str">
        <f t="shared" si="289"/>
        <v/>
      </c>
      <c r="AG1217" t="str">
        <f>VLOOKUP(J1217,'Receivable Invoice Detail'!$A$1:F4229,6,FALSE)</f>
        <v>[D1J2311-6] Suction Cover Liner, 2x3-11, Goulds JC, Frame 1J, High Chrome, OEM# 048940G0001228</v>
      </c>
      <c r="AM1217" s="12" t="str">
        <f t="shared" si="290"/>
        <v/>
      </c>
      <c r="AN1217" s="12" t="str">
        <f t="shared" si="291"/>
        <v/>
      </c>
      <c r="AO1217" s="12" t="str">
        <f t="shared" si="292"/>
        <v/>
      </c>
      <c r="AP1217" s="12" t="str">
        <f t="shared" si="293"/>
        <v/>
      </c>
      <c r="AQ1217" s="64" t="str">
        <f t="shared" si="294"/>
        <v/>
      </c>
      <c r="AS1217" s="12">
        <f t="shared" si="295"/>
        <v>0</v>
      </c>
      <c r="AT1217" t="s">
        <v>5945</v>
      </c>
    </row>
    <row r="1218" spans="1:46" hidden="1" x14ac:dyDescent="0.25">
      <c r="A1218" s="41">
        <f>CASOPOInvCL!T1218</f>
        <v>1</v>
      </c>
      <c r="B1218" t="str">
        <f>CASOPOInvCL!Z1218</f>
        <v>SO18274</v>
      </c>
      <c r="G1218" s="5" t="str">
        <f>CASOPOInvCL!I1218</f>
        <v>Alexis Gil Lamadrid</v>
      </c>
      <c r="H1218" s="31">
        <f>CASOPOInvCL!U1218</f>
        <v>11</v>
      </c>
      <c r="I1218" s="31">
        <f>CASOPOInvCL!V1218</f>
        <v>2025</v>
      </c>
      <c r="J1218" s="5" t="str">
        <f>CASOPOInvCL!AB1218</f>
        <v>INV13743</v>
      </c>
      <c r="K1218" s="31" t="str">
        <f>CASOPOInvCL!W1218</f>
        <v/>
      </c>
      <c r="L1218" s="31" t="str">
        <f>CASOPOInvCL!X1218</f>
        <v/>
      </c>
      <c r="N1218" s="5" t="str">
        <f>CASOPOInvCL!AF1218</f>
        <v>MAB Equipment Company Inc.</v>
      </c>
      <c r="O1218" s="16" t="str">
        <f>CASOPOInvCL!AG1218</f>
        <v>USD</v>
      </c>
      <c r="P1218" s="16">
        <f>CASOPOInvCL!AH1218</f>
        <v>2544.8441625517871</v>
      </c>
      <c r="Q1218" s="16">
        <f>CASOPOInvCL!AI1218</f>
        <v>1823.88</v>
      </c>
      <c r="R1218" s="32" t="str">
        <f>CASOPOInvCL!AU1218</f>
        <v/>
      </c>
      <c r="S1218" s="16">
        <f>CASOPOInvCL!AV1218</f>
        <v>199</v>
      </c>
      <c r="T1218" s="16">
        <f>CASOPOInvCL!AW1218</f>
        <v>0</v>
      </c>
      <c r="Y1218" s="29" t="str">
        <f>IFERROR(HLOOKUP(U1218,List!$D$2:$H$6,2,FALSE),"")</f>
        <v/>
      </c>
      <c r="Z1218" s="29" t="str">
        <f>IFERROR(HLOOKUP(V1218,List!$D$2:$H$6,3,FALSE),"")</f>
        <v/>
      </c>
      <c r="AA1218" s="29" t="str">
        <f>IFERROR(HLOOKUP(W1218,List!$D$2:$H$6,4,FALSE),"")</f>
        <v/>
      </c>
      <c r="AB1218" s="29" t="str">
        <f>IFERROR(HLOOKUP(X1218,List!$D$2:$H$6,5,FALSE),"")</f>
        <v/>
      </c>
      <c r="AC1218" s="12" t="str">
        <f t="shared" si="286"/>
        <v/>
      </c>
      <c r="AD1218" s="12" t="str">
        <f t="shared" si="287"/>
        <v/>
      </c>
      <c r="AE1218" s="12" t="str">
        <f t="shared" si="288"/>
        <v/>
      </c>
      <c r="AF1218" s="12" t="str">
        <f t="shared" si="289"/>
        <v/>
      </c>
      <c r="AG1218" t="str">
        <f>VLOOKUP(J1218,'Receivable Invoice Detail'!$A$1:F4230,6,FALSE)</f>
        <v>[W-E109/S50] Shaft Sleeve O-Ring, 6/4 E-AH or 8/6 E,R or F-AH, Viton</v>
      </c>
      <c r="AM1218" s="12" t="str">
        <f t="shared" si="290"/>
        <v/>
      </c>
      <c r="AN1218" s="12" t="str">
        <f t="shared" si="291"/>
        <v/>
      </c>
      <c r="AO1218" s="12" t="str">
        <f t="shared" si="292"/>
        <v/>
      </c>
      <c r="AP1218" s="12" t="str">
        <f t="shared" si="293"/>
        <v/>
      </c>
      <c r="AQ1218" s="64"/>
      <c r="AS1218" s="12">
        <f t="shared" si="295"/>
        <v>0</v>
      </c>
    </row>
    <row r="1219" spans="1:46" hidden="1" x14ac:dyDescent="0.25">
      <c r="A1219" s="41">
        <f>CASOPOInvCL!T1219</f>
        <v>0</v>
      </c>
      <c r="B1219" t="str">
        <f>CASOPOInvCL!Z1219</f>
        <v>SO18275</v>
      </c>
      <c r="G1219" s="5" t="str">
        <f>CASOPOInvCL!I1219</f>
        <v>Ian Trottier</v>
      </c>
      <c r="H1219" s="31">
        <f>CASOPOInvCL!U1219</f>
        <v>11</v>
      </c>
      <c r="I1219" s="31">
        <f>CASOPOInvCL!V1219</f>
        <v>2025</v>
      </c>
      <c r="J1219" s="5" t="str">
        <f>CASOPOInvCL!AB1219</f>
        <v>No Inv</v>
      </c>
      <c r="K1219" s="31" t="str">
        <f>CASOPOInvCL!W1219</f>
        <v/>
      </c>
      <c r="L1219" s="31" t="str">
        <f>CASOPOInvCL!X1219</f>
        <v/>
      </c>
      <c r="M1219" t="s">
        <v>5945</v>
      </c>
      <c r="N1219" s="5" t="str">
        <f>CASOPOInvCL!AF1219</f>
        <v>Thunder Bay Pulp and Paper Inc</v>
      </c>
      <c r="O1219" s="16" t="str">
        <f>CASOPOInvCL!AG1219</f>
        <v>CAD</v>
      </c>
      <c r="P1219" s="16">
        <f>CASOPOInvCL!AH1219</f>
        <v>5194.42</v>
      </c>
      <c r="Q1219" s="16">
        <f>CASOPOInvCL!AI1219</f>
        <v>3685.6705129808665</v>
      </c>
      <c r="R1219" s="32" t="str">
        <f>CASOPOInvCL!AU1219</f>
        <v/>
      </c>
      <c r="S1219" s="16">
        <f>CASOPOInvCL!AV1219</f>
        <v>0</v>
      </c>
      <c r="T1219" s="16">
        <f>CASOPOInvCL!AW1219</f>
        <v>0</v>
      </c>
      <c r="Y1219" s="29" t="str">
        <f>IFERROR(HLOOKUP(U1219,List!$D$2:$H$6,2,FALSE),"")</f>
        <v/>
      </c>
      <c r="Z1219" s="29" t="str">
        <f>IFERROR(HLOOKUP(V1219,List!$D$2:$H$6,3,FALSE),"")</f>
        <v/>
      </c>
      <c r="AA1219" s="29" t="str">
        <f>IFERROR(HLOOKUP(W1219,List!$D$2:$H$6,4,FALSE),"")</f>
        <v/>
      </c>
      <c r="AB1219" s="29" t="str">
        <f>IFERROR(HLOOKUP(X1219,List!$D$2:$H$6,5,FALSE),"")</f>
        <v/>
      </c>
      <c r="AC1219" s="12" t="str">
        <f t="shared" ref="AC1219:AC1282" si="296">IFERROR(Y1219*$T1219,"")</f>
        <v/>
      </c>
      <c r="AD1219" s="12" t="str">
        <f t="shared" ref="AD1219:AD1282" si="297">IFERROR(Z1219*$T1219,"")</f>
        <v/>
      </c>
      <c r="AE1219" s="12" t="str">
        <f t="shared" ref="AE1219:AE1282" si="298">IFERROR(AA1219*$T1219,"")</f>
        <v/>
      </c>
      <c r="AF1219" s="12" t="str">
        <f t="shared" ref="AF1219:AF1282" si="299">IFERROR(AB1219*$T1219,"")</f>
        <v/>
      </c>
      <c r="AG1219" t="e">
        <f>VLOOKUP(J1219,'Receivable Invoice Detail'!$A$1:F4231,6,FALSE)</f>
        <v>#N/A</v>
      </c>
      <c r="AM1219" s="12" t="str">
        <f t="shared" ref="AM1219:AM1282" si="300">IF(AI1219="",AC1219,0)</f>
        <v/>
      </c>
      <c r="AN1219" s="12" t="str">
        <f t="shared" ref="AN1219:AN1282" si="301">IF(AJ1219="",AD1219,0)</f>
        <v/>
      </c>
      <c r="AO1219" s="12" t="str">
        <f t="shared" ref="AO1219:AO1282" si="302">IF(AK1219="",AE1219,0)</f>
        <v/>
      </c>
      <c r="AP1219" s="12" t="str">
        <f t="shared" ref="AP1219:AP1282" si="303">IF(AL1219="",AF1219,0)</f>
        <v/>
      </c>
      <c r="AQ1219" s="64" t="str">
        <f t="shared" si="294"/>
        <v/>
      </c>
      <c r="AS1219" s="12">
        <f t="shared" si="295"/>
        <v>37.670293332185949</v>
      </c>
      <c r="AT1219" t="s">
        <v>5945</v>
      </c>
    </row>
    <row r="1220" spans="1:46" hidden="1" x14ac:dyDescent="0.25">
      <c r="A1220" s="41">
        <f>CASOPOInvCL!T1220</f>
        <v>1</v>
      </c>
      <c r="B1220" t="str">
        <f>CASOPOInvCL!Z1220</f>
        <v>SO18276</v>
      </c>
      <c r="G1220" s="5" t="str">
        <f>CASOPOInvCL!I1220</f>
        <v>Ian Trottier</v>
      </c>
      <c r="H1220" s="31">
        <f>CASOPOInvCL!U1220</f>
        <v>11</v>
      </c>
      <c r="I1220" s="31">
        <f>CASOPOInvCL!V1220</f>
        <v>2025</v>
      </c>
      <c r="J1220" s="5" t="str">
        <f>CASOPOInvCL!AB1220</f>
        <v>INV13777</v>
      </c>
      <c r="K1220" s="31" t="str">
        <f>CASOPOInvCL!W1220</f>
        <v/>
      </c>
      <c r="L1220" s="31" t="str">
        <f>CASOPOInvCL!X1220</f>
        <v/>
      </c>
      <c r="M1220" t="s">
        <v>5945</v>
      </c>
      <c r="N1220" s="5" t="str">
        <f>CASOPOInvCL!AF1220</f>
        <v>PT Vale Indonesia Tbk.</v>
      </c>
      <c r="O1220" s="16" t="str">
        <f>CASOPOInvCL!AG1220</f>
        <v>USD</v>
      </c>
      <c r="P1220" s="16">
        <f>CASOPOInvCL!AH1220</f>
        <v>1111.3183916649284</v>
      </c>
      <c r="Q1220" s="16">
        <f>CASOPOInvCL!AI1220</f>
        <v>794</v>
      </c>
      <c r="R1220" s="32" t="str">
        <f>CASOPOInvCL!AU1220</f>
        <v/>
      </c>
      <c r="S1220" s="16">
        <f>CASOPOInvCL!AV1220</f>
        <v>0</v>
      </c>
      <c r="T1220" s="16">
        <f>CASOPOInvCL!AW1220</f>
        <v>0</v>
      </c>
      <c r="Y1220" s="29" t="str">
        <f>IFERROR(HLOOKUP(U1220,List!$D$2:$H$6,2,FALSE),"")</f>
        <v/>
      </c>
      <c r="Z1220" s="29" t="str">
        <f>IFERROR(HLOOKUP(V1220,List!$D$2:$H$6,3,FALSE),"")</f>
        <v/>
      </c>
      <c r="AA1220" s="29" t="str">
        <f>IFERROR(HLOOKUP(W1220,List!$D$2:$H$6,4,FALSE),"")</f>
        <v/>
      </c>
      <c r="AB1220" s="29" t="str">
        <f>IFERROR(HLOOKUP(X1220,List!$D$2:$H$6,5,FALSE),"")</f>
        <v/>
      </c>
      <c r="AC1220" s="12" t="str">
        <f t="shared" si="296"/>
        <v/>
      </c>
      <c r="AD1220" s="12" t="str">
        <f t="shared" si="297"/>
        <v/>
      </c>
      <c r="AE1220" s="12" t="str">
        <f t="shared" si="298"/>
        <v/>
      </c>
      <c r="AF1220" s="12" t="str">
        <f t="shared" si="299"/>
        <v/>
      </c>
      <c r="AG1220" t="str">
        <f>VLOOKUP(J1220,'Receivable Invoice Detail'!$A$1:F4232,6,FALSE)</f>
        <v>[G-R72360 6956] Shaft Sleeve, 3405-M, Ni-Chrome Boron On 316SS</v>
      </c>
      <c r="AM1220" s="12" t="str">
        <f t="shared" si="300"/>
        <v/>
      </c>
      <c r="AN1220" s="12" t="str">
        <f t="shared" si="301"/>
        <v/>
      </c>
      <c r="AO1220" s="12" t="str">
        <f t="shared" si="302"/>
        <v/>
      </c>
      <c r="AP1220" s="12" t="str">
        <f t="shared" si="303"/>
        <v/>
      </c>
      <c r="AQ1220" s="64" t="str">
        <f t="shared" si="294"/>
        <v/>
      </c>
      <c r="AS1220" s="12">
        <f t="shared" si="295"/>
        <v>0</v>
      </c>
      <c r="AT1220" t="s">
        <v>5945</v>
      </c>
    </row>
    <row r="1221" spans="1:46" hidden="1" x14ac:dyDescent="0.25">
      <c r="A1221" s="41">
        <f>CASOPOInvCL!T1221</f>
        <v>1</v>
      </c>
      <c r="B1221" t="str">
        <f>CASOPOInvCL!Z1221</f>
        <v>SO18280</v>
      </c>
      <c r="G1221" s="5" t="str">
        <f>CASOPOInvCL!I1221</f>
        <v>Aleksandar Stankovic</v>
      </c>
      <c r="H1221" s="31">
        <f>CASOPOInvCL!U1221</f>
        <v>11</v>
      </c>
      <c r="I1221" s="31">
        <f>CASOPOInvCL!V1221</f>
        <v>2025</v>
      </c>
      <c r="J1221" s="5" t="str">
        <f>CASOPOInvCL!AB1221</f>
        <v>INV13782</v>
      </c>
      <c r="K1221" s="31" t="str">
        <f>CASOPOInvCL!W1221</f>
        <v/>
      </c>
      <c r="L1221" s="31" t="str">
        <f>CASOPOInvCL!X1221</f>
        <v/>
      </c>
      <c r="N1221" s="5" t="str">
        <f>CASOPOInvCL!AF1221</f>
        <v>Canadian Bearings Ltd.</v>
      </c>
      <c r="O1221" s="16" t="str">
        <f>CASOPOInvCL!AG1221</f>
        <v>CAD</v>
      </c>
      <c r="P1221" s="16">
        <f>CASOPOInvCL!AH1221</f>
        <v>2041</v>
      </c>
      <c r="Q1221" s="16">
        <f>CASOPOInvCL!AI1221</f>
        <v>1480.5270221788264</v>
      </c>
      <c r="R1221" s="32" t="str">
        <f>CASOPOInvCL!AU1221</f>
        <v/>
      </c>
      <c r="S1221" s="16">
        <f>CASOPOInvCL!AV1221</f>
        <v>0</v>
      </c>
      <c r="T1221" s="16">
        <f>CASOPOInvCL!AW1221</f>
        <v>0</v>
      </c>
      <c r="Y1221" s="29" t="str">
        <f>IFERROR(HLOOKUP(U1221,List!$D$2:$H$6,2,FALSE),"")</f>
        <v/>
      </c>
      <c r="Z1221" s="29" t="str">
        <f>IFERROR(HLOOKUP(V1221,List!$D$2:$H$6,3,FALSE),"")</f>
        <v/>
      </c>
      <c r="AA1221" s="29" t="str">
        <f>IFERROR(HLOOKUP(W1221,List!$D$2:$H$6,4,FALSE),"")</f>
        <v/>
      </c>
      <c r="AB1221" s="29" t="str">
        <f>IFERROR(HLOOKUP(X1221,List!$D$2:$H$6,5,FALSE),"")</f>
        <v/>
      </c>
      <c r="AC1221" s="12" t="str">
        <f t="shared" si="296"/>
        <v/>
      </c>
      <c r="AD1221" s="12" t="str">
        <f t="shared" si="297"/>
        <v/>
      </c>
      <c r="AE1221" s="12" t="str">
        <f t="shared" si="298"/>
        <v/>
      </c>
      <c r="AF1221" s="12" t="str">
        <f t="shared" si="299"/>
        <v/>
      </c>
      <c r="AG1221" t="str">
        <f>VLOOKUP(J1221,'Receivable Invoice Detail'!$A$1:F4233,6,FALSE)</f>
        <v>[AC-98-233-017-003] Shaft Sleeve, PWO Frame 3&amp;4, 316SS</v>
      </c>
      <c r="AM1221" s="12" t="str">
        <f t="shared" si="300"/>
        <v/>
      </c>
      <c r="AN1221" s="12" t="str">
        <f t="shared" si="301"/>
        <v/>
      </c>
      <c r="AO1221" s="12" t="str">
        <f t="shared" si="302"/>
        <v/>
      </c>
      <c r="AP1221" s="12" t="str">
        <f t="shared" si="303"/>
        <v/>
      </c>
      <c r="AQ1221" s="64"/>
      <c r="AS1221" s="12">
        <f t="shared" si="295"/>
        <v>0</v>
      </c>
    </row>
    <row r="1222" spans="1:46" hidden="1" x14ac:dyDescent="0.25">
      <c r="A1222" s="41">
        <f>CASOPOInvCL!T1222</f>
        <v>1</v>
      </c>
      <c r="B1222" t="str">
        <f>CASOPOInvCL!Z1222</f>
        <v>SO18281</v>
      </c>
      <c r="G1222" s="5" t="str">
        <f>CASOPOInvCL!I1222</f>
        <v>Alexis Gil Lamadrid</v>
      </c>
      <c r="H1222" s="31">
        <f>CASOPOInvCL!U1222</f>
        <v>11</v>
      </c>
      <c r="I1222" s="31">
        <f>CASOPOInvCL!V1222</f>
        <v>2025</v>
      </c>
      <c r="J1222" s="5" t="str">
        <f>CASOPOInvCL!AB1222</f>
        <v>INV13697</v>
      </c>
      <c r="K1222" s="31">
        <f>CASOPOInvCL!W1222</f>
        <v>12</v>
      </c>
      <c r="L1222" s="31">
        <f>CASOPOInvCL!X1222</f>
        <v>2025</v>
      </c>
      <c r="M1222" t="s">
        <v>5945</v>
      </c>
      <c r="N1222" s="5" t="str">
        <f>CASOPOInvCL!AF1222</f>
        <v>Harvey Bearings, Harvey Bearings</v>
      </c>
      <c r="O1222" s="16" t="str">
        <f>CASOPOInvCL!AG1222</f>
        <v>CAD</v>
      </c>
      <c r="P1222" s="16">
        <f>CASOPOInvCL!AH1222</f>
        <v>754.36</v>
      </c>
      <c r="Q1222" s="16">
        <f>CASOPOInvCL!AI1222</f>
        <v>534.54657865142372</v>
      </c>
      <c r="R1222" s="32" t="str">
        <f>CASOPOInvCL!AU1222</f>
        <v>Yes</v>
      </c>
      <c r="S1222" s="16">
        <f>CASOPOInvCL!AV1222</f>
        <v>0</v>
      </c>
      <c r="T1222" s="16">
        <f>CASOPOInvCL!AW1222</f>
        <v>534.54657865142372</v>
      </c>
      <c r="Y1222" s="29" t="str">
        <f>IFERROR(HLOOKUP(U1222,List!$D$2:$H$6,2,FALSE),"")</f>
        <v/>
      </c>
      <c r="Z1222" s="29" t="str">
        <f>IFERROR(HLOOKUP(V1222,List!$D$2:$H$6,3,FALSE),"")</f>
        <v/>
      </c>
      <c r="AA1222" s="29" t="str">
        <f>IFERROR(HLOOKUP(W1222,List!$D$2:$H$6,4,FALSE),"")</f>
        <v/>
      </c>
      <c r="AB1222" s="29" t="str">
        <f>IFERROR(HLOOKUP(X1222,List!$D$2:$H$6,5,FALSE),"")</f>
        <v/>
      </c>
      <c r="AC1222" s="12" t="str">
        <f t="shared" si="296"/>
        <v/>
      </c>
      <c r="AD1222" s="12" t="str">
        <f t="shared" si="297"/>
        <v/>
      </c>
      <c r="AE1222" s="12" t="str">
        <f t="shared" si="298"/>
        <v/>
      </c>
      <c r="AF1222" s="12" t="str">
        <f t="shared" si="299"/>
        <v/>
      </c>
      <c r="AG1222" t="str">
        <f>VLOOKUP(J1222,'Receivable Invoice Detail'!$A$1:F4234,6,FALSE)</f>
        <v>[AC-98-130-366-001] Shaft Sleeve, PWO Frame 1, 316SS</v>
      </c>
      <c r="AM1222" s="12" t="str">
        <f t="shared" si="300"/>
        <v/>
      </c>
      <c r="AN1222" s="12" t="str">
        <f t="shared" si="301"/>
        <v/>
      </c>
      <c r="AO1222" s="12" t="str">
        <f t="shared" si="302"/>
        <v/>
      </c>
      <c r="AP1222" s="12" t="str">
        <f t="shared" si="303"/>
        <v/>
      </c>
      <c r="AQ1222" s="64" t="str">
        <f t="shared" si="294"/>
        <v/>
      </c>
      <c r="AS1222" s="12">
        <f t="shared" si="295"/>
        <v>0</v>
      </c>
      <c r="AT1222" t="s">
        <v>5945</v>
      </c>
    </row>
    <row r="1223" spans="1:46" hidden="1" x14ac:dyDescent="0.25">
      <c r="A1223" s="41">
        <f>CASOPOInvCL!T1223</f>
        <v>1</v>
      </c>
      <c r="B1223" t="str">
        <f>CASOPOInvCL!Z1223</f>
        <v>SO18285</v>
      </c>
      <c r="G1223" s="5" t="str">
        <f>CASOPOInvCL!I1223</f>
        <v>Ian Trottier</v>
      </c>
      <c r="H1223" s="31">
        <f>CASOPOInvCL!U1223</f>
        <v>11</v>
      </c>
      <c r="I1223" s="31">
        <f>CASOPOInvCL!V1223</f>
        <v>2025</v>
      </c>
      <c r="J1223" s="5" t="str">
        <f>CASOPOInvCL!AB1223</f>
        <v>INV13723</v>
      </c>
      <c r="K1223" s="31" t="str">
        <f>CASOPOInvCL!W1223</f>
        <v/>
      </c>
      <c r="L1223" s="31" t="str">
        <f>CASOPOInvCL!X1223</f>
        <v/>
      </c>
      <c r="M1223" t="s">
        <v>5945</v>
      </c>
      <c r="N1223" s="5" t="str">
        <f>CASOPOInvCL!AF1223</f>
        <v>Glencore Canada Corporation - Rouyn-Noranda</v>
      </c>
      <c r="O1223" s="16" t="str">
        <f>CASOPOInvCL!AG1223</f>
        <v>CAD</v>
      </c>
      <c r="P1223" s="16">
        <f>CASOPOInvCL!AH1223</f>
        <v>798.91</v>
      </c>
      <c r="Q1223" s="16">
        <f>CASOPOInvCL!AI1223</f>
        <v>570.84386616243535</v>
      </c>
      <c r="R1223" s="32" t="str">
        <f>CASOPOInvCL!AU1223</f>
        <v/>
      </c>
      <c r="S1223" s="16">
        <f>CASOPOInvCL!AV1223</f>
        <v>0</v>
      </c>
      <c r="T1223" s="16">
        <f>CASOPOInvCL!AW1223</f>
        <v>0</v>
      </c>
      <c r="Y1223" s="29" t="str">
        <f>IFERROR(HLOOKUP(U1223,List!$D$2:$H$6,2,FALSE),"")</f>
        <v/>
      </c>
      <c r="Z1223" s="29" t="str">
        <f>IFERROR(HLOOKUP(V1223,List!$D$2:$H$6,3,FALSE),"")</f>
        <v/>
      </c>
      <c r="AA1223" s="29" t="str">
        <f>IFERROR(HLOOKUP(W1223,List!$D$2:$H$6,4,FALSE),"")</f>
        <v/>
      </c>
      <c r="AB1223" s="29" t="str">
        <f>IFERROR(HLOOKUP(X1223,List!$D$2:$H$6,5,FALSE),"")</f>
        <v/>
      </c>
      <c r="AC1223" s="12" t="str">
        <f t="shared" si="296"/>
        <v/>
      </c>
      <c r="AD1223" s="12" t="str">
        <f t="shared" si="297"/>
        <v/>
      </c>
      <c r="AE1223" s="12" t="str">
        <f t="shared" si="298"/>
        <v/>
      </c>
      <c r="AF1223" s="12" t="str">
        <f t="shared" si="299"/>
        <v/>
      </c>
      <c r="AG1223" t="str">
        <f>VLOOKUP(J1223,'Receivable Invoice Detail'!$A$1:F4235,6,FALSE)</f>
        <v>[AC-98-331-958-805] Shaft Sleeve, 2x2-10 SRL, Steel</v>
      </c>
      <c r="AM1223" s="12" t="str">
        <f t="shared" si="300"/>
        <v/>
      </c>
      <c r="AN1223" s="12" t="str">
        <f t="shared" si="301"/>
        <v/>
      </c>
      <c r="AO1223" s="12" t="str">
        <f t="shared" si="302"/>
        <v/>
      </c>
      <c r="AP1223" s="12" t="str">
        <f t="shared" si="303"/>
        <v/>
      </c>
      <c r="AQ1223" s="64" t="str">
        <f t="shared" si="294"/>
        <v/>
      </c>
      <c r="AS1223" s="12">
        <f t="shared" si="295"/>
        <v>0</v>
      </c>
      <c r="AT1223" t="s">
        <v>5945</v>
      </c>
    </row>
    <row r="1224" spans="1:46" hidden="1" x14ac:dyDescent="0.25">
      <c r="A1224" s="41">
        <f>CASOPOInvCL!T1224</f>
        <v>0</v>
      </c>
      <c r="B1224" t="str">
        <f>CASOPOInvCL!Z1224</f>
        <v>SO18286</v>
      </c>
      <c r="G1224" s="5" t="str">
        <f>CASOPOInvCL!I1224</f>
        <v>Ian Trottier</v>
      </c>
      <c r="H1224" s="31">
        <f>CASOPOInvCL!U1224</f>
        <v>11</v>
      </c>
      <c r="I1224" s="31">
        <f>CASOPOInvCL!V1224</f>
        <v>2025</v>
      </c>
      <c r="J1224" s="5" t="str">
        <f>CASOPOInvCL!AB1224</f>
        <v>No Inv</v>
      </c>
      <c r="K1224" s="31" t="str">
        <f>CASOPOInvCL!W1224</f>
        <v/>
      </c>
      <c r="L1224" s="31" t="str">
        <f>CASOPOInvCL!X1224</f>
        <v/>
      </c>
      <c r="N1224" s="5" t="str">
        <f>CASOPOInvCL!AF1224</f>
        <v>PT Vale Indonesia Tbk.</v>
      </c>
      <c r="O1224" s="16" t="str">
        <f>CASOPOInvCL!AG1224</f>
        <v>USD</v>
      </c>
      <c r="P1224" s="16">
        <f>CASOPOInvCL!AH1224</f>
        <v>5306.5704614652186</v>
      </c>
      <c r="Q1224" s="16">
        <f>CASOPOInvCL!AI1224</f>
        <v>3864.77</v>
      </c>
      <c r="R1224" s="32" t="str">
        <f>CASOPOInvCL!AU1224</f>
        <v/>
      </c>
      <c r="S1224" s="16">
        <f>CASOPOInvCL!AV1224</f>
        <v>0</v>
      </c>
      <c r="T1224" s="16">
        <f>CASOPOInvCL!AW1224</f>
        <v>0</v>
      </c>
      <c r="Y1224" s="29" t="str">
        <f>IFERROR(HLOOKUP(U1224,List!$D$2:$H$6,2,FALSE),"")</f>
        <v/>
      </c>
      <c r="Z1224" s="29" t="str">
        <f>IFERROR(HLOOKUP(V1224,List!$D$2:$H$6,3,FALSE),"")</f>
        <v/>
      </c>
      <c r="AA1224" s="29" t="str">
        <f>IFERROR(HLOOKUP(W1224,List!$D$2:$H$6,4,FALSE),"")</f>
        <v/>
      </c>
      <c r="AB1224" s="29" t="str">
        <f>IFERROR(HLOOKUP(X1224,List!$D$2:$H$6,5,FALSE),"")</f>
        <v/>
      </c>
      <c r="AC1224" s="12" t="str">
        <f t="shared" si="296"/>
        <v/>
      </c>
      <c r="AD1224" s="12" t="str">
        <f t="shared" si="297"/>
        <v/>
      </c>
      <c r="AE1224" s="12" t="str">
        <f t="shared" si="298"/>
        <v/>
      </c>
      <c r="AF1224" s="12" t="str">
        <f t="shared" si="299"/>
        <v/>
      </c>
      <c r="AG1224" t="e">
        <f>VLOOKUP(J1224,'Receivable Invoice Detail'!$A$1:F4236,6,FALSE)</f>
        <v>#N/A</v>
      </c>
      <c r="AM1224" s="12" t="str">
        <f t="shared" si="300"/>
        <v/>
      </c>
      <c r="AN1224" s="12" t="str">
        <f t="shared" si="301"/>
        <v/>
      </c>
      <c r="AO1224" s="12" t="str">
        <f t="shared" si="302"/>
        <v/>
      </c>
      <c r="AP1224" s="12" t="str">
        <f t="shared" si="303"/>
        <v/>
      </c>
      <c r="AQ1224" s="64"/>
      <c r="AS1224" s="12">
        <f t="shared" si="295"/>
        <v>0</v>
      </c>
    </row>
    <row r="1225" spans="1:46" hidden="1" x14ac:dyDescent="0.25">
      <c r="A1225" s="41">
        <f>CASOPOInvCL!T1225</f>
        <v>0</v>
      </c>
      <c r="B1225" t="str">
        <f>CASOPOInvCL!Z1225</f>
        <v>SO18287</v>
      </c>
      <c r="G1225" s="5" t="str">
        <f>CASOPOInvCL!I1225</f>
        <v>Yannett Yeomans</v>
      </c>
      <c r="H1225" s="31">
        <f>CASOPOInvCL!U1225</f>
        <v>11</v>
      </c>
      <c r="I1225" s="31">
        <f>CASOPOInvCL!V1225</f>
        <v>2025</v>
      </c>
      <c r="J1225" s="5" t="str">
        <f>CASOPOInvCL!AB1225</f>
        <v>No Inv</v>
      </c>
      <c r="K1225" s="31" t="str">
        <f>CASOPOInvCL!W1225</f>
        <v/>
      </c>
      <c r="L1225" s="31" t="str">
        <f>CASOPOInvCL!X1225</f>
        <v/>
      </c>
      <c r="M1225" t="s">
        <v>5945</v>
      </c>
      <c r="N1225" s="5" t="str">
        <f>CASOPOInvCL!AF1225</f>
        <v>Dynapro Pumps México S de RL de CV</v>
      </c>
      <c r="O1225" s="16" t="str">
        <f>CASOPOInvCL!AG1225</f>
        <v>USD</v>
      </c>
      <c r="P1225" s="16">
        <f>CASOPOInvCL!AH1225</f>
        <v>421.54751678878279</v>
      </c>
      <c r="Q1225" s="16">
        <f>CASOPOInvCL!AI1225</f>
        <v>300</v>
      </c>
      <c r="R1225" s="32" t="str">
        <f>CASOPOInvCL!AU1225</f>
        <v/>
      </c>
      <c r="S1225" s="16">
        <f>CASOPOInvCL!AV1225</f>
        <v>0</v>
      </c>
      <c r="T1225" s="16">
        <f>CASOPOInvCL!AW1225</f>
        <v>0</v>
      </c>
      <c r="Y1225" s="29" t="str">
        <f>IFERROR(HLOOKUP(U1225,List!$D$2:$H$6,2,FALSE),"")</f>
        <v/>
      </c>
      <c r="Z1225" s="29" t="str">
        <f>IFERROR(HLOOKUP(V1225,List!$D$2:$H$6,3,FALSE),"")</f>
        <v/>
      </c>
      <c r="AA1225" s="29" t="str">
        <f>IFERROR(HLOOKUP(W1225,List!$D$2:$H$6,4,FALSE),"")</f>
        <v/>
      </c>
      <c r="AB1225" s="29" t="str">
        <f>IFERROR(HLOOKUP(X1225,List!$D$2:$H$6,5,FALSE),"")</f>
        <v/>
      </c>
      <c r="AC1225" s="12" t="str">
        <f t="shared" si="296"/>
        <v/>
      </c>
      <c r="AD1225" s="12" t="str">
        <f t="shared" si="297"/>
        <v/>
      </c>
      <c r="AE1225" s="12" t="str">
        <f t="shared" si="298"/>
        <v/>
      </c>
      <c r="AF1225" s="12" t="str">
        <f t="shared" si="299"/>
        <v/>
      </c>
      <c r="AG1225" t="e">
        <f>VLOOKUP(J1225,'Receivable Invoice Detail'!$A$1:F4237,6,FALSE)</f>
        <v>#N/A</v>
      </c>
      <c r="AM1225" s="12" t="str">
        <f t="shared" si="300"/>
        <v/>
      </c>
      <c r="AN1225" s="12" t="str">
        <f t="shared" si="301"/>
        <v/>
      </c>
      <c r="AO1225" s="12" t="str">
        <f t="shared" si="302"/>
        <v/>
      </c>
      <c r="AP1225" s="12" t="str">
        <f t="shared" si="303"/>
        <v/>
      </c>
      <c r="AQ1225" s="64" t="str">
        <f t="shared" si="294"/>
        <v/>
      </c>
      <c r="AR1225" t="s">
        <v>5940</v>
      </c>
      <c r="AS1225" s="12">
        <f t="shared" si="295"/>
        <v>0</v>
      </c>
      <c r="AT1225" t="s">
        <v>5940</v>
      </c>
    </row>
    <row r="1226" spans="1:46" hidden="1" x14ac:dyDescent="0.25">
      <c r="A1226" s="41">
        <f>CASOPOInvCL!T1226</f>
        <v>1</v>
      </c>
      <c r="B1226" t="str">
        <f>CASOPOInvCL!Z1226</f>
        <v>SO18289</v>
      </c>
      <c r="G1226" s="5" t="str">
        <f>CASOPOInvCL!I1226</f>
        <v>Ian Trottier</v>
      </c>
      <c r="H1226" s="31">
        <f>CASOPOInvCL!U1226</f>
        <v>11</v>
      </c>
      <c r="I1226" s="31">
        <f>CASOPOInvCL!V1226</f>
        <v>2025</v>
      </c>
      <c r="J1226" s="5" t="str">
        <f>CASOPOInvCL!AB1226</f>
        <v>INV13699</v>
      </c>
      <c r="K1226" s="31" t="str">
        <f>CASOPOInvCL!W1226</f>
        <v/>
      </c>
      <c r="L1226" s="31" t="str">
        <f>CASOPOInvCL!X1226</f>
        <v/>
      </c>
      <c r="M1226" t="s">
        <v>5945</v>
      </c>
      <c r="N1226" s="5" t="str">
        <f>CASOPOInvCL!AF1226</f>
        <v>Glencore Canada Corporation - Rouyn-Noranda</v>
      </c>
      <c r="O1226" s="16" t="str">
        <f>CASOPOInvCL!AG1226</f>
        <v>CAD</v>
      </c>
      <c r="P1226" s="16">
        <f>CASOPOInvCL!AH1226</f>
        <v>1828.7</v>
      </c>
      <c r="Q1226" s="16">
        <f>CASOPOInvCL!AI1226</f>
        <v>1306.6580441492104</v>
      </c>
      <c r="R1226" s="32" t="str">
        <f>CASOPOInvCL!AU1226</f>
        <v/>
      </c>
      <c r="S1226" s="16">
        <f>CASOPOInvCL!AV1226</f>
        <v>0</v>
      </c>
      <c r="T1226" s="16">
        <f>CASOPOInvCL!AW1226</f>
        <v>0</v>
      </c>
      <c r="Y1226" s="29" t="str">
        <f>IFERROR(HLOOKUP(U1226,List!$D$2:$H$6,2,FALSE),"")</f>
        <v/>
      </c>
      <c r="Z1226" s="29" t="str">
        <f>IFERROR(HLOOKUP(V1226,List!$D$2:$H$6,3,FALSE),"")</f>
        <v/>
      </c>
      <c r="AA1226" s="29" t="str">
        <f>IFERROR(HLOOKUP(W1226,List!$D$2:$H$6,4,FALSE),"")</f>
        <v/>
      </c>
      <c r="AB1226" s="29" t="str">
        <f>IFERROR(HLOOKUP(X1226,List!$D$2:$H$6,5,FALSE),"")</f>
        <v/>
      </c>
      <c r="AC1226" s="12" t="str">
        <f t="shared" si="296"/>
        <v/>
      </c>
      <c r="AD1226" s="12" t="str">
        <f t="shared" si="297"/>
        <v/>
      </c>
      <c r="AE1226" s="12" t="str">
        <f t="shared" si="298"/>
        <v/>
      </c>
      <c r="AF1226" s="12" t="str">
        <f t="shared" si="299"/>
        <v/>
      </c>
      <c r="AG1226" t="str">
        <f>VLOOKUP(J1226,'Receivable Invoice Detail'!$A$1:F4238,6,FALSE)</f>
        <v>[AC-98-431-882-501] Gland Side Casing, 2x2-10 SRL, Cast Iron</v>
      </c>
      <c r="AM1226" s="12" t="str">
        <f t="shared" si="300"/>
        <v/>
      </c>
      <c r="AN1226" s="12" t="str">
        <f t="shared" si="301"/>
        <v/>
      </c>
      <c r="AO1226" s="12" t="str">
        <f t="shared" si="302"/>
        <v/>
      </c>
      <c r="AP1226" s="12" t="str">
        <f t="shared" si="303"/>
        <v/>
      </c>
      <c r="AQ1226" s="64" t="str">
        <f t="shared" si="294"/>
        <v/>
      </c>
      <c r="AS1226" s="12">
        <f t="shared" si="295"/>
        <v>0</v>
      </c>
      <c r="AT1226" t="s">
        <v>5945</v>
      </c>
    </row>
    <row r="1227" spans="1:46" hidden="1" x14ac:dyDescent="0.25">
      <c r="A1227" s="41">
        <f>CASOPOInvCL!T1227</f>
        <v>1</v>
      </c>
      <c r="B1227" t="str">
        <f>CASOPOInvCL!Z1227</f>
        <v>SO18292</v>
      </c>
      <c r="G1227" s="5" t="str">
        <f>CASOPOInvCL!I1227</f>
        <v>Ian Trottier</v>
      </c>
      <c r="H1227" s="31">
        <f>CASOPOInvCL!U1227</f>
        <v>11</v>
      </c>
      <c r="I1227" s="31">
        <f>CASOPOInvCL!V1227</f>
        <v>2025</v>
      </c>
      <c r="J1227" s="5" t="str">
        <f>CASOPOInvCL!AB1227</f>
        <v>INV13729</v>
      </c>
      <c r="K1227" s="31" t="str">
        <f>CASOPOInvCL!W1227</f>
        <v/>
      </c>
      <c r="L1227" s="31" t="str">
        <f>CASOPOInvCL!X1227</f>
        <v/>
      </c>
      <c r="M1227" t="s">
        <v>5945</v>
      </c>
      <c r="N1227" s="5" t="str">
        <f>CASOPOInvCL!AF1227</f>
        <v>Resolute Forest Products - Saint-Felicien</v>
      </c>
      <c r="O1227" s="16" t="str">
        <f>CASOPOInvCL!AG1227</f>
        <v>CAD</v>
      </c>
      <c r="P1227" s="16">
        <f>CASOPOInvCL!AH1227</f>
        <v>2987.28</v>
      </c>
      <c r="Q1227" s="16">
        <f>CASOPOInvCL!AI1227</f>
        <v>2116.8146554348391</v>
      </c>
      <c r="R1227" s="32" t="str">
        <f>CASOPOInvCL!AU1227</f>
        <v/>
      </c>
      <c r="S1227" s="16">
        <f>CASOPOInvCL!AV1227</f>
        <v>0</v>
      </c>
      <c r="T1227" s="16">
        <f>CASOPOInvCL!AW1227</f>
        <v>0</v>
      </c>
      <c r="Y1227" s="29" t="str">
        <f>IFERROR(HLOOKUP(U1227,List!$D$2:$H$6,2,FALSE),"")</f>
        <v/>
      </c>
      <c r="Z1227" s="29" t="str">
        <f>IFERROR(HLOOKUP(V1227,List!$D$2:$H$6,3,FALSE),"")</f>
        <v/>
      </c>
      <c r="AA1227" s="29" t="str">
        <f>IFERROR(HLOOKUP(W1227,List!$D$2:$H$6,4,FALSE),"")</f>
        <v/>
      </c>
      <c r="AB1227" s="29" t="str">
        <f>IFERROR(HLOOKUP(X1227,List!$D$2:$H$6,5,FALSE),"")</f>
        <v/>
      </c>
      <c r="AC1227" s="12" t="str">
        <f t="shared" si="296"/>
        <v/>
      </c>
      <c r="AD1227" s="12" t="str">
        <f t="shared" si="297"/>
        <v/>
      </c>
      <c r="AE1227" s="12" t="str">
        <f t="shared" si="298"/>
        <v/>
      </c>
      <c r="AF1227" s="12" t="str">
        <f t="shared" si="299"/>
        <v/>
      </c>
      <c r="AG1227" t="str">
        <f>VLOOKUP(J1227,'Receivable Invoice Detail'!$A$1:F4239,6,FALSE)</f>
        <v>[AC-98-232-674-801] Bearing Cover (Inboard), Allis Chalmers PWO, Frame A2, Oil, Cast Iron</v>
      </c>
      <c r="AM1227" s="12" t="str">
        <f t="shared" si="300"/>
        <v/>
      </c>
      <c r="AN1227" s="12" t="str">
        <f t="shared" si="301"/>
        <v/>
      </c>
      <c r="AO1227" s="12" t="str">
        <f t="shared" si="302"/>
        <v/>
      </c>
      <c r="AP1227" s="12" t="str">
        <f t="shared" si="303"/>
        <v/>
      </c>
      <c r="AQ1227" s="64" t="str">
        <f t="shared" si="294"/>
        <v/>
      </c>
      <c r="AS1227" s="12">
        <f t="shared" si="295"/>
        <v>0</v>
      </c>
      <c r="AT1227" t="s">
        <v>5945</v>
      </c>
    </row>
    <row r="1228" spans="1:46" hidden="1" x14ac:dyDescent="0.25">
      <c r="A1228" s="41">
        <f>CASOPOInvCL!T1228</f>
        <v>1</v>
      </c>
      <c r="B1228" t="str">
        <f>CASOPOInvCL!Z1228</f>
        <v>SO18293</v>
      </c>
      <c r="G1228" s="5" t="str">
        <f>CASOPOInvCL!I1228</f>
        <v>Ian Trottier</v>
      </c>
      <c r="H1228" s="31">
        <f>CASOPOInvCL!U1228</f>
        <v>11</v>
      </c>
      <c r="I1228" s="31">
        <f>CASOPOInvCL!V1228</f>
        <v>2025</v>
      </c>
      <c r="J1228" s="5" t="str">
        <f>CASOPOInvCL!AB1228</f>
        <v>INV13728</v>
      </c>
      <c r="K1228" s="31" t="str">
        <f>CASOPOInvCL!W1228</f>
        <v/>
      </c>
      <c r="L1228" s="31" t="str">
        <f>CASOPOInvCL!X1228</f>
        <v/>
      </c>
      <c r="M1228" t="s">
        <v>5945</v>
      </c>
      <c r="N1228" s="5" t="str">
        <f>CASOPOInvCL!AF1228</f>
        <v>Resolute Forest Products - Saint-Felicien</v>
      </c>
      <c r="O1228" s="16" t="str">
        <f>CASOPOInvCL!AG1228</f>
        <v>CAD</v>
      </c>
      <c r="P1228" s="16">
        <f>CASOPOInvCL!AH1228</f>
        <v>559.73</v>
      </c>
      <c r="Q1228" s="16">
        <f>CASOPOInvCL!AI1228</f>
        <v>396.62993327928496</v>
      </c>
      <c r="R1228" s="32" t="str">
        <f>CASOPOInvCL!AU1228</f>
        <v/>
      </c>
      <c r="S1228" s="16">
        <f>CASOPOInvCL!AV1228</f>
        <v>0</v>
      </c>
      <c r="T1228" s="16">
        <f>CASOPOInvCL!AW1228</f>
        <v>0</v>
      </c>
      <c r="Y1228" s="29" t="str">
        <f>IFERROR(HLOOKUP(U1228,List!$D$2:$H$6,2,FALSE),"")</f>
        <v/>
      </c>
      <c r="Z1228" s="29" t="str">
        <f>IFERROR(HLOOKUP(V1228,List!$D$2:$H$6,3,FALSE),"")</f>
        <v/>
      </c>
      <c r="AA1228" s="29" t="str">
        <f>IFERROR(HLOOKUP(W1228,List!$D$2:$H$6,4,FALSE),"")</f>
        <v/>
      </c>
      <c r="AB1228" s="29" t="str">
        <f>IFERROR(HLOOKUP(X1228,List!$D$2:$H$6,5,FALSE),"")</f>
        <v/>
      </c>
      <c r="AC1228" s="12" t="str">
        <f t="shared" si="296"/>
        <v/>
      </c>
      <c r="AD1228" s="12" t="str">
        <f t="shared" si="297"/>
        <v/>
      </c>
      <c r="AE1228" s="12" t="str">
        <f t="shared" si="298"/>
        <v/>
      </c>
      <c r="AF1228" s="12" t="str">
        <f t="shared" si="299"/>
        <v/>
      </c>
      <c r="AG1228" t="str">
        <f>VLOOKUP(J1228,'Receivable Invoice Detail'!$A$1:F4240,6,FALSE)</f>
        <v>[AC-98-236-257-501] Packing Gland (2 Half/Set), Allis Chalmers PWO, Group 2, 316SS</v>
      </c>
      <c r="AM1228" s="12" t="str">
        <f t="shared" si="300"/>
        <v/>
      </c>
      <c r="AN1228" s="12" t="str">
        <f t="shared" si="301"/>
        <v/>
      </c>
      <c r="AO1228" s="12" t="str">
        <f t="shared" si="302"/>
        <v/>
      </c>
      <c r="AP1228" s="12" t="str">
        <f t="shared" si="303"/>
        <v/>
      </c>
      <c r="AQ1228" s="64" t="str">
        <f t="shared" si="294"/>
        <v/>
      </c>
      <c r="AS1228" s="12">
        <f t="shared" si="295"/>
        <v>0</v>
      </c>
      <c r="AT1228" t="s">
        <v>5945</v>
      </c>
    </row>
    <row r="1229" spans="1:46" hidden="1" x14ac:dyDescent="0.25">
      <c r="A1229" s="41">
        <f>CASOPOInvCL!T1229</f>
        <v>0</v>
      </c>
      <c r="B1229" t="str">
        <f>CASOPOInvCL!Z1229</f>
        <v>SO18295</v>
      </c>
      <c r="G1229" s="5" t="str">
        <f>CASOPOInvCL!I1229</f>
        <v>Amanda Qiao</v>
      </c>
      <c r="H1229" s="31">
        <f>CASOPOInvCL!U1229</f>
        <v>11</v>
      </c>
      <c r="I1229" s="31">
        <f>CASOPOInvCL!V1229</f>
        <v>2025</v>
      </c>
      <c r="J1229" s="5" t="str">
        <f>CASOPOInvCL!AB1229</f>
        <v>No Inv</v>
      </c>
      <c r="K1229" s="31" t="str">
        <f>CASOPOInvCL!W1229</f>
        <v/>
      </c>
      <c r="L1229" s="31" t="str">
        <f>CASOPOInvCL!X1229</f>
        <v/>
      </c>
      <c r="M1229" t="s">
        <v>5945</v>
      </c>
      <c r="N1229" s="5" t="str">
        <f>CASOPOInvCL!AF1229</f>
        <v>Mill-Right Mine Services Inc.</v>
      </c>
      <c r="O1229" s="16" t="str">
        <f>CASOPOInvCL!AG1229</f>
        <v>CAD</v>
      </c>
      <c r="P1229" s="16">
        <f>CASOPOInvCL!AH1229</f>
        <v>4475</v>
      </c>
      <c r="Q1229" s="16">
        <f>CASOPOInvCL!AI1229</f>
        <v>3200.5198199589918</v>
      </c>
      <c r="R1229" s="32" t="str">
        <f>CASOPOInvCL!AU1229</f>
        <v/>
      </c>
      <c r="S1229" s="16">
        <f>CASOPOInvCL!AV1229</f>
        <v>0</v>
      </c>
      <c r="T1229" s="16">
        <f>CASOPOInvCL!AW1229</f>
        <v>0</v>
      </c>
      <c r="Y1229" s="29" t="str">
        <f>IFERROR(HLOOKUP(U1229,List!$D$2:$H$6,2,FALSE),"")</f>
        <v/>
      </c>
      <c r="Z1229" s="29" t="str">
        <f>IFERROR(HLOOKUP(V1229,List!$D$2:$H$6,3,FALSE),"")</f>
        <v/>
      </c>
      <c r="AA1229" s="29" t="str">
        <f>IFERROR(HLOOKUP(W1229,List!$D$2:$H$6,4,FALSE),"")</f>
        <v/>
      </c>
      <c r="AB1229" s="29" t="str">
        <f>IFERROR(HLOOKUP(X1229,List!$D$2:$H$6,5,FALSE),"")</f>
        <v/>
      </c>
      <c r="AC1229" s="12" t="str">
        <f t="shared" si="296"/>
        <v/>
      </c>
      <c r="AD1229" s="12" t="str">
        <f t="shared" si="297"/>
        <v/>
      </c>
      <c r="AE1229" s="12" t="str">
        <f t="shared" si="298"/>
        <v/>
      </c>
      <c r="AF1229" s="12" t="str">
        <f t="shared" si="299"/>
        <v/>
      </c>
      <c r="AG1229" t="e">
        <f>VLOOKUP(J1229,'Receivable Invoice Detail'!$A$1:F4241,6,FALSE)</f>
        <v>#N/A</v>
      </c>
      <c r="AM1229" s="12" t="str">
        <f t="shared" si="300"/>
        <v/>
      </c>
      <c r="AN1229" s="12" t="str">
        <f t="shared" si="301"/>
        <v/>
      </c>
      <c r="AO1229" s="12" t="str">
        <f t="shared" si="302"/>
        <v/>
      </c>
      <c r="AP1229" s="12" t="str">
        <f t="shared" si="303"/>
        <v/>
      </c>
      <c r="AQ1229" s="64" t="str">
        <f t="shared" si="294"/>
        <v/>
      </c>
      <c r="AS1229" s="12">
        <f t="shared" si="295"/>
        <v>8.0181986797713556</v>
      </c>
      <c r="AT1229" t="s">
        <v>5945</v>
      </c>
    </row>
    <row r="1230" spans="1:46" hidden="1" x14ac:dyDescent="0.25">
      <c r="A1230" s="41">
        <f>CASOPOInvCL!T1230</f>
        <v>1</v>
      </c>
      <c r="B1230" t="str">
        <f>CASOPOInvCL!Z1230</f>
        <v>SO18296</v>
      </c>
      <c r="G1230" s="5" t="str">
        <f>CASOPOInvCL!I1230</f>
        <v>Ian Trottier</v>
      </c>
      <c r="H1230" s="31">
        <f>CASOPOInvCL!U1230</f>
        <v>11</v>
      </c>
      <c r="I1230" s="31">
        <f>CASOPOInvCL!V1230</f>
        <v>2025</v>
      </c>
      <c r="J1230" s="5" t="str">
        <f>CASOPOInvCL!AB1230</f>
        <v>INV13700</v>
      </c>
      <c r="K1230" s="31">
        <f>CASOPOInvCL!W1230</f>
        <v>12</v>
      </c>
      <c r="L1230" s="31">
        <f>CASOPOInvCL!X1230</f>
        <v>2025</v>
      </c>
      <c r="M1230" t="s">
        <v>5945</v>
      </c>
      <c r="N1230" s="5" t="str">
        <f>CASOPOInvCL!AF1230</f>
        <v>Sealtrac Inc.</v>
      </c>
      <c r="O1230" s="16" t="str">
        <f>CASOPOInvCL!AG1230</f>
        <v>CAD</v>
      </c>
      <c r="P1230" s="16">
        <f>CASOPOInvCL!AH1230</f>
        <v>209.18</v>
      </c>
      <c r="Q1230" s="16">
        <f>CASOPOInvCL!AI1230</f>
        <v>148.2269119814211</v>
      </c>
      <c r="R1230" s="32" t="str">
        <f>CASOPOInvCL!AU1230</f>
        <v>Yes</v>
      </c>
      <c r="S1230" s="16">
        <f>CASOPOInvCL!AV1230</f>
        <v>0</v>
      </c>
      <c r="T1230" s="16">
        <f>CASOPOInvCL!AW1230</f>
        <v>148.2269119814211</v>
      </c>
      <c r="Y1230" s="29" t="str">
        <f>IFERROR(HLOOKUP(U1230,List!$D$2:$H$6,2,FALSE),"")</f>
        <v/>
      </c>
      <c r="Z1230" s="29" t="str">
        <f>IFERROR(HLOOKUP(V1230,List!$D$2:$H$6,3,FALSE),"")</f>
        <v/>
      </c>
      <c r="AA1230" s="29" t="str">
        <f>IFERROR(HLOOKUP(W1230,List!$D$2:$H$6,4,FALSE),"")</f>
        <v/>
      </c>
      <c r="AB1230" s="29" t="str">
        <f>IFERROR(HLOOKUP(X1230,List!$D$2:$H$6,5,FALSE),"")</f>
        <v/>
      </c>
      <c r="AC1230" s="12" t="str">
        <f t="shared" si="296"/>
        <v/>
      </c>
      <c r="AD1230" s="12" t="str">
        <f t="shared" si="297"/>
        <v/>
      </c>
      <c r="AE1230" s="12" t="str">
        <f t="shared" si="298"/>
        <v/>
      </c>
      <c r="AF1230" s="12" t="str">
        <f t="shared" si="299"/>
        <v/>
      </c>
      <c r="AG1230" t="str">
        <f>VLOOKUP(J1230,'Receivable Invoice Detail'!$A$1:F4242,6,FALSE)</f>
        <v>[G-73705X 2229] Shaft Sleeve, 3196 MTX, 316SS</v>
      </c>
      <c r="AM1230" s="12" t="str">
        <f t="shared" si="300"/>
        <v/>
      </c>
      <c r="AN1230" s="12" t="str">
        <f t="shared" si="301"/>
        <v/>
      </c>
      <c r="AO1230" s="12" t="str">
        <f t="shared" si="302"/>
        <v/>
      </c>
      <c r="AP1230" s="12" t="str">
        <f t="shared" si="303"/>
        <v/>
      </c>
      <c r="AQ1230" s="64" t="str">
        <f t="shared" si="294"/>
        <v/>
      </c>
      <c r="AS1230" s="12">
        <f t="shared" si="295"/>
        <v>0</v>
      </c>
      <c r="AT1230" t="s">
        <v>5945</v>
      </c>
    </row>
    <row r="1231" spans="1:46" hidden="1" x14ac:dyDescent="0.25">
      <c r="A1231" s="41">
        <f>CASOPOInvCL!T1231</f>
        <v>1</v>
      </c>
      <c r="B1231" t="str">
        <f>CASOPOInvCL!Z1231</f>
        <v>SO18297</v>
      </c>
      <c r="G1231" s="5" t="str">
        <f>CASOPOInvCL!I1231</f>
        <v>Ian Trottier</v>
      </c>
      <c r="H1231" s="31">
        <f>CASOPOInvCL!U1231</f>
        <v>11</v>
      </c>
      <c r="I1231" s="31">
        <f>CASOPOInvCL!V1231</f>
        <v>2025</v>
      </c>
      <c r="J1231" s="5" t="str">
        <f>CASOPOInvCL!AB1231</f>
        <v>INV13737</v>
      </c>
      <c r="K1231" s="31" t="str">
        <f>CASOPOInvCL!W1231</f>
        <v/>
      </c>
      <c r="L1231" s="31" t="str">
        <f>CASOPOInvCL!X1231</f>
        <v/>
      </c>
      <c r="M1231" t="s">
        <v>5945</v>
      </c>
      <c r="N1231" s="5" t="str">
        <f>CASOPOInvCL!AF1231</f>
        <v>Cameco Corporation - Blind River Refinery</v>
      </c>
      <c r="O1231" s="16" t="str">
        <f>CASOPOInvCL!AG1231</f>
        <v>CAD</v>
      </c>
      <c r="P1231" s="16">
        <f>CASOPOInvCL!AH1231</f>
        <v>418.33</v>
      </c>
      <c r="Q1231" s="16">
        <f>CASOPOInvCL!AI1231</f>
        <v>299.32360400492365</v>
      </c>
      <c r="R1231" s="32" t="str">
        <f>CASOPOInvCL!AU1231</f>
        <v/>
      </c>
      <c r="S1231" s="16">
        <f>CASOPOInvCL!AV1231</f>
        <v>0</v>
      </c>
      <c r="T1231" s="16">
        <f>CASOPOInvCL!AW1231</f>
        <v>0</v>
      </c>
      <c r="Y1231" s="29" t="str">
        <f>IFERROR(HLOOKUP(U1231,List!$D$2:$H$6,2,FALSE),"")</f>
        <v/>
      </c>
      <c r="Z1231" s="29" t="str">
        <f>IFERROR(HLOOKUP(V1231,List!$D$2:$H$6,3,FALSE),"")</f>
        <v/>
      </c>
      <c r="AA1231" s="29" t="str">
        <f>IFERROR(HLOOKUP(W1231,List!$D$2:$H$6,4,FALSE),"")</f>
        <v/>
      </c>
      <c r="AB1231" s="29" t="str">
        <f>IFERROR(HLOOKUP(X1231,List!$D$2:$H$6,5,FALSE),"")</f>
        <v/>
      </c>
      <c r="AC1231" s="12" t="str">
        <f t="shared" si="296"/>
        <v/>
      </c>
      <c r="AD1231" s="12" t="str">
        <f t="shared" si="297"/>
        <v/>
      </c>
      <c r="AE1231" s="12" t="str">
        <f t="shared" si="298"/>
        <v/>
      </c>
      <c r="AF1231" s="12" t="str">
        <f t="shared" si="299"/>
        <v/>
      </c>
      <c r="AG1231" t="str">
        <f>VLOOKUP(J1231,'Receivable Invoice Detail'!$A$1:F4243,6,FALSE)</f>
        <v>[LPE-0875-1250-B48, G-D08717A01 6241] Thrust Bearing Labyrinth Seal (Outboard) w/O-Rings, 3196 STX, Carbon Teflon w/Viton</v>
      </c>
      <c r="AM1231" s="12" t="str">
        <f t="shared" si="300"/>
        <v/>
      </c>
      <c r="AN1231" s="12" t="str">
        <f t="shared" si="301"/>
        <v/>
      </c>
      <c r="AO1231" s="12" t="str">
        <f t="shared" si="302"/>
        <v/>
      </c>
      <c r="AP1231" s="12" t="str">
        <f t="shared" si="303"/>
        <v/>
      </c>
      <c r="AQ1231" s="64" t="str">
        <f t="shared" si="294"/>
        <v/>
      </c>
      <c r="AS1231" s="12">
        <f t="shared" si="295"/>
        <v>0</v>
      </c>
      <c r="AT1231" t="s">
        <v>5945</v>
      </c>
    </row>
    <row r="1232" spans="1:46" hidden="1" x14ac:dyDescent="0.25">
      <c r="A1232" s="41">
        <f>CASOPOInvCL!T1232</f>
        <v>1</v>
      </c>
      <c r="B1232" t="str">
        <f>CASOPOInvCL!Z1232</f>
        <v>SO18298</v>
      </c>
      <c r="G1232" s="5" t="str">
        <f>CASOPOInvCL!I1232</f>
        <v>Ian Trottier</v>
      </c>
      <c r="H1232" s="31">
        <f>CASOPOInvCL!U1232</f>
        <v>11</v>
      </c>
      <c r="I1232" s="31">
        <f>CASOPOInvCL!V1232</f>
        <v>2025</v>
      </c>
      <c r="J1232" s="5" t="str">
        <f>CASOPOInvCL!AB1232</f>
        <v>INV13680</v>
      </c>
      <c r="K1232" s="31">
        <f>CASOPOInvCL!W1232</f>
        <v>12</v>
      </c>
      <c r="L1232" s="31">
        <f>CASOPOInvCL!X1232</f>
        <v>2025</v>
      </c>
      <c r="M1232" t="s">
        <v>5945</v>
      </c>
      <c r="N1232" s="5" t="str">
        <f>CASOPOInvCL!AF1232</f>
        <v>Middle Georgia Fluid Sealing LLC</v>
      </c>
      <c r="O1232" s="16" t="str">
        <f>CASOPOInvCL!AG1232</f>
        <v>USD</v>
      </c>
      <c r="P1232" s="16">
        <f>CASOPOInvCL!AH1232</f>
        <v>8739.9113362572807</v>
      </c>
      <c r="Q1232" s="16">
        <f>CASOPOInvCL!AI1232</f>
        <v>6200.6</v>
      </c>
      <c r="R1232" s="32" t="str">
        <f>CASOPOInvCL!AU1232</f>
        <v>Yes</v>
      </c>
      <c r="S1232" s="16">
        <f>CASOPOInvCL!AV1232</f>
        <v>664</v>
      </c>
      <c r="T1232" s="16">
        <f>CASOPOInvCL!AW1232</f>
        <v>5536.6</v>
      </c>
      <c r="Y1232" s="29" t="str">
        <f>IFERROR(HLOOKUP(U1232,List!$D$2:$H$6,2,FALSE),"")</f>
        <v/>
      </c>
      <c r="Z1232" s="29" t="str">
        <f>IFERROR(HLOOKUP(V1232,List!$D$2:$H$6,3,FALSE),"")</f>
        <v/>
      </c>
      <c r="AA1232" s="29" t="str">
        <f>IFERROR(HLOOKUP(W1232,List!$D$2:$H$6,4,FALSE),"")</f>
        <v/>
      </c>
      <c r="AB1232" s="29" t="str">
        <f>IFERROR(HLOOKUP(X1232,List!$D$2:$H$6,5,FALSE),"")</f>
        <v/>
      </c>
      <c r="AC1232" s="12" t="str">
        <f t="shared" si="296"/>
        <v/>
      </c>
      <c r="AD1232" s="12" t="str">
        <f t="shared" si="297"/>
        <v/>
      </c>
      <c r="AE1232" s="12" t="str">
        <f t="shared" si="298"/>
        <v/>
      </c>
      <c r="AF1232" s="12" t="str">
        <f t="shared" si="299"/>
        <v/>
      </c>
      <c r="AG1232" t="str">
        <f>VLOOKUP(J1232,'Receivable Invoice Detail'!$A$1:F4244,6,FALSE)</f>
        <v>[D-1J2311-2] Casing, 2x3-11, Goulds JC, Frame 1J, High Chrome, OEM# 055891G0001228</v>
      </c>
      <c r="AM1232" s="12" t="str">
        <f t="shared" si="300"/>
        <v/>
      </c>
      <c r="AN1232" s="12" t="str">
        <f t="shared" si="301"/>
        <v/>
      </c>
      <c r="AO1232" s="12" t="str">
        <f t="shared" si="302"/>
        <v/>
      </c>
      <c r="AP1232" s="12" t="str">
        <f t="shared" si="303"/>
        <v/>
      </c>
      <c r="AQ1232" s="64" t="str">
        <f t="shared" si="294"/>
        <v/>
      </c>
      <c r="AS1232" s="12">
        <f t="shared" si="295"/>
        <v>0</v>
      </c>
      <c r="AT1232" t="s">
        <v>5945</v>
      </c>
    </row>
    <row r="1233" spans="1:46" hidden="1" x14ac:dyDescent="0.25">
      <c r="A1233" s="41">
        <f>CASOPOInvCL!T1233</f>
        <v>1</v>
      </c>
      <c r="B1233" t="str">
        <f>CASOPOInvCL!Z1233</f>
        <v>SO18300</v>
      </c>
      <c r="G1233" s="5" t="str">
        <f>CASOPOInvCL!I1233</f>
        <v>Alexis Gil Lamadrid</v>
      </c>
      <c r="H1233" s="31">
        <f>CASOPOInvCL!U1233</f>
        <v>11</v>
      </c>
      <c r="I1233" s="31">
        <f>CASOPOInvCL!V1233</f>
        <v>2025</v>
      </c>
      <c r="J1233" s="5" t="str">
        <f>CASOPOInvCL!AB1233</f>
        <v>INV13696</v>
      </c>
      <c r="K1233" s="31">
        <f>CASOPOInvCL!W1233</f>
        <v>1</v>
      </c>
      <c r="L1233" s="31">
        <f>CASOPOInvCL!X1233</f>
        <v>2026</v>
      </c>
      <c r="M1233" t="s">
        <v>5945</v>
      </c>
      <c r="N1233" s="5" t="str">
        <f>CASOPOInvCL!AF1233</f>
        <v>Wajax Limited - Noranda, Wajax Limited - Noranda</v>
      </c>
      <c r="O1233" s="16" t="str">
        <f>CASOPOInvCL!AG1233</f>
        <v>CAD</v>
      </c>
      <c r="P1233" s="16">
        <f>CASOPOInvCL!AH1233</f>
        <v>1429.78</v>
      </c>
      <c r="Q1233" s="16">
        <f>CASOPOInvCL!AI1233</f>
        <v>1013.1555321388096</v>
      </c>
      <c r="R1233" s="32" t="str">
        <f>CASOPOInvCL!AU1233</f>
        <v>Yes</v>
      </c>
      <c r="S1233" s="16">
        <f>CASOPOInvCL!AV1233</f>
        <v>0</v>
      </c>
      <c r="T1233" s="16">
        <f>CASOPOInvCL!AW1233</f>
        <v>1013.1555321388096</v>
      </c>
      <c r="Y1233" s="29" t="str">
        <f>IFERROR(HLOOKUP(U1233,List!$D$2:$H$6,2,FALSE),"")</f>
        <v/>
      </c>
      <c r="Z1233" s="29" t="str">
        <f>IFERROR(HLOOKUP(V1233,List!$D$2:$H$6,3,FALSE),"")</f>
        <v/>
      </c>
      <c r="AA1233" s="29" t="str">
        <f>IFERROR(HLOOKUP(W1233,List!$D$2:$H$6,4,FALSE),"")</f>
        <v/>
      </c>
      <c r="AB1233" s="29" t="str">
        <f>IFERROR(HLOOKUP(X1233,List!$D$2:$H$6,5,FALSE),"")</f>
        <v/>
      </c>
      <c r="AC1233" s="12" t="str">
        <f t="shared" si="296"/>
        <v/>
      </c>
      <c r="AD1233" s="12" t="str">
        <f t="shared" si="297"/>
        <v/>
      </c>
      <c r="AE1233" s="12" t="str">
        <f t="shared" si="298"/>
        <v/>
      </c>
      <c r="AF1233" s="12" t="str">
        <f t="shared" si="299"/>
        <v/>
      </c>
      <c r="AG1233" t="str">
        <f>VLOOKUP(J1233,'Receivable Invoice Detail'!$A$1:F4245,6,FALSE)</f>
        <v>[AC-98-431-884-001] Suction Side Casing, 2x2-10 SRL, Cast Iron</v>
      </c>
      <c r="AM1233" s="12" t="str">
        <f t="shared" si="300"/>
        <v/>
      </c>
      <c r="AN1233" s="12" t="str">
        <f t="shared" si="301"/>
        <v/>
      </c>
      <c r="AO1233" s="12" t="str">
        <f t="shared" si="302"/>
        <v/>
      </c>
      <c r="AP1233" s="12" t="str">
        <f t="shared" si="303"/>
        <v/>
      </c>
      <c r="AQ1233" s="64" t="str">
        <f t="shared" si="294"/>
        <v/>
      </c>
      <c r="AS1233" s="12">
        <f t="shared" si="295"/>
        <v>0</v>
      </c>
      <c r="AT1233" t="s">
        <v>5945</v>
      </c>
    </row>
    <row r="1234" spans="1:46" hidden="1" x14ac:dyDescent="0.25">
      <c r="A1234" s="41">
        <f>CASOPOInvCL!T1234</f>
        <v>1</v>
      </c>
      <c r="B1234" t="str">
        <f>CASOPOInvCL!Z1234</f>
        <v>SO18301</v>
      </c>
      <c r="G1234" s="5" t="str">
        <f>CASOPOInvCL!I1234</f>
        <v>Wilka Nuñez</v>
      </c>
      <c r="H1234" s="31">
        <f>CASOPOInvCL!U1234</f>
        <v>11</v>
      </c>
      <c r="I1234" s="31">
        <f>CASOPOInvCL!V1234</f>
        <v>2025</v>
      </c>
      <c r="J1234" s="5" t="str">
        <f>CASOPOInvCL!AB1234</f>
        <v>INV13703</v>
      </c>
      <c r="K1234" s="31">
        <f>CASOPOInvCL!W1234</f>
        <v>12</v>
      </c>
      <c r="L1234" s="31">
        <f>CASOPOInvCL!X1234</f>
        <v>2025</v>
      </c>
      <c r="M1234" t="s">
        <v>5945</v>
      </c>
      <c r="N1234" s="5" t="str">
        <f>CASOPOInvCL!AF1234</f>
        <v>Sling-Choker Manufacturing - Timmins</v>
      </c>
      <c r="O1234" s="16" t="str">
        <f>CASOPOInvCL!AG1234</f>
        <v>CAD</v>
      </c>
      <c r="P1234" s="16">
        <f>CASOPOInvCL!AH1234</f>
        <v>2037.41</v>
      </c>
      <c r="Q1234" s="16">
        <f>CASOPOInvCL!AI1234</f>
        <v>1443.7278551489969</v>
      </c>
      <c r="R1234" s="32" t="str">
        <f>CASOPOInvCL!AU1234</f>
        <v>Yes</v>
      </c>
      <c r="S1234" s="16">
        <f>CASOPOInvCL!AV1234</f>
        <v>0</v>
      </c>
      <c r="T1234" s="16">
        <f>CASOPOInvCL!AW1234</f>
        <v>1443.7278551489969</v>
      </c>
      <c r="Y1234" s="29" t="str">
        <f>IFERROR(HLOOKUP(U1234,List!$D$2:$H$6,2,FALSE),"")</f>
        <v/>
      </c>
      <c r="Z1234" s="29" t="str">
        <f>IFERROR(HLOOKUP(V1234,List!$D$2:$H$6,3,FALSE),"")</f>
        <v/>
      </c>
      <c r="AA1234" s="29" t="str">
        <f>IFERROR(HLOOKUP(W1234,List!$D$2:$H$6,4,FALSE),"")</f>
        <v/>
      </c>
      <c r="AB1234" s="29" t="str">
        <f>IFERROR(HLOOKUP(X1234,List!$D$2:$H$6,5,FALSE),"")</f>
        <v/>
      </c>
      <c r="AC1234" s="12" t="str">
        <f t="shared" si="296"/>
        <v/>
      </c>
      <c r="AD1234" s="12" t="str">
        <f t="shared" si="297"/>
        <v/>
      </c>
      <c r="AE1234" s="12" t="str">
        <f t="shared" si="298"/>
        <v/>
      </c>
      <c r="AF1234" s="12" t="str">
        <f t="shared" si="299"/>
        <v/>
      </c>
      <c r="AG1234" t="str">
        <f>VLOOKUP(J1234,'Receivable Invoice Detail'!$A$1:F4246,6,FALSE)</f>
        <v>[G-R196-MKL13] Maintenance Kit, 13", 3196 LTX</v>
      </c>
      <c r="AM1234" s="12" t="str">
        <f t="shared" si="300"/>
        <v/>
      </c>
      <c r="AN1234" s="12" t="str">
        <f t="shared" si="301"/>
        <v/>
      </c>
      <c r="AO1234" s="12" t="str">
        <f t="shared" si="302"/>
        <v/>
      </c>
      <c r="AP1234" s="12" t="str">
        <f t="shared" si="303"/>
        <v/>
      </c>
      <c r="AQ1234" s="64" t="str">
        <f t="shared" si="294"/>
        <v/>
      </c>
      <c r="AS1234" s="12">
        <f t="shared" si="295"/>
        <v>0</v>
      </c>
      <c r="AT1234" t="s">
        <v>5945</v>
      </c>
    </row>
    <row r="1235" spans="1:46" hidden="1" x14ac:dyDescent="0.25">
      <c r="A1235" s="41">
        <f>CASOPOInvCL!T1235</f>
        <v>0</v>
      </c>
      <c r="B1235" t="str">
        <f>CASOPOInvCL!Z1235</f>
        <v>SO18302</v>
      </c>
      <c r="G1235" s="5" t="str">
        <f>CASOPOInvCL!I1235</f>
        <v>Wilka Nuñez</v>
      </c>
      <c r="H1235" s="31">
        <f>CASOPOInvCL!U1235</f>
        <v>11</v>
      </c>
      <c r="I1235" s="31">
        <f>CASOPOInvCL!V1235</f>
        <v>2025</v>
      </c>
      <c r="J1235" s="5" t="str">
        <f>CASOPOInvCL!AB1235</f>
        <v>No Inv</v>
      </c>
      <c r="K1235" s="31" t="str">
        <f>CASOPOInvCL!W1235</f>
        <v/>
      </c>
      <c r="L1235" s="31" t="str">
        <f>CASOPOInvCL!X1235</f>
        <v/>
      </c>
      <c r="M1235" t="s">
        <v>5945</v>
      </c>
      <c r="N1235" s="5" t="str">
        <f>CASOPOInvCL!AF1235</f>
        <v>Motion Industries Inc. (Canada) - Prince George</v>
      </c>
      <c r="O1235" s="16" t="str">
        <f>CASOPOInvCL!AG1235</f>
        <v>CAD</v>
      </c>
      <c r="P1235" s="16">
        <f>CASOPOInvCL!AH1235</f>
        <v>6058.43</v>
      </c>
      <c r="Q1235" s="16">
        <f>CASOPOInvCL!AI1235</f>
        <v>4317.7504491659129</v>
      </c>
      <c r="R1235" s="32" t="str">
        <f>CASOPOInvCL!AU1235</f>
        <v/>
      </c>
      <c r="S1235" s="16">
        <f>CASOPOInvCL!AV1235</f>
        <v>0</v>
      </c>
      <c r="T1235" s="16">
        <f>CASOPOInvCL!AW1235</f>
        <v>0</v>
      </c>
      <c r="Y1235" s="29" t="str">
        <f>IFERROR(HLOOKUP(U1235,List!$D$2:$H$6,2,FALSE),"")</f>
        <v/>
      </c>
      <c r="Z1235" s="29" t="str">
        <f>IFERROR(HLOOKUP(V1235,List!$D$2:$H$6,3,FALSE),"")</f>
        <v/>
      </c>
      <c r="AA1235" s="29" t="str">
        <f>IFERROR(HLOOKUP(W1235,List!$D$2:$H$6,4,FALSE),"")</f>
        <v/>
      </c>
      <c r="AB1235" s="29" t="str">
        <f>IFERROR(HLOOKUP(X1235,List!$D$2:$H$6,5,FALSE),"")</f>
        <v/>
      </c>
      <c r="AC1235" s="12" t="str">
        <f t="shared" si="296"/>
        <v/>
      </c>
      <c r="AD1235" s="12" t="str">
        <f t="shared" si="297"/>
        <v/>
      </c>
      <c r="AE1235" s="12" t="str">
        <f t="shared" si="298"/>
        <v/>
      </c>
      <c r="AF1235" s="12" t="str">
        <f t="shared" si="299"/>
        <v/>
      </c>
      <c r="AG1235" t="e">
        <f>VLOOKUP(J1235,'Receivable Invoice Detail'!$A$1:F4247,6,FALSE)</f>
        <v>#N/A</v>
      </c>
      <c r="AM1235" s="12" t="str">
        <f t="shared" si="300"/>
        <v/>
      </c>
      <c r="AN1235" s="12" t="str">
        <f t="shared" si="301"/>
        <v/>
      </c>
      <c r="AO1235" s="12" t="str">
        <f t="shared" si="302"/>
        <v/>
      </c>
      <c r="AP1235" s="12" t="str">
        <f t="shared" si="303"/>
        <v/>
      </c>
      <c r="AQ1235" s="64" t="str">
        <f t="shared" si="294"/>
        <v/>
      </c>
      <c r="AS1235" s="12">
        <f t="shared" si="295"/>
        <v>0</v>
      </c>
      <c r="AT1235" t="s">
        <v>5945</v>
      </c>
    </row>
    <row r="1236" spans="1:46" hidden="1" x14ac:dyDescent="0.25">
      <c r="A1236" s="41">
        <f>CASOPOInvCL!T1236</f>
        <v>1</v>
      </c>
      <c r="B1236" t="str">
        <f>CASOPOInvCL!Z1236</f>
        <v>SO18305</v>
      </c>
      <c r="G1236" s="5" t="str">
        <f>CASOPOInvCL!I1236</f>
        <v>Ian Trottier</v>
      </c>
      <c r="H1236" s="31">
        <f>CASOPOInvCL!U1236</f>
        <v>11</v>
      </c>
      <c r="I1236" s="31">
        <f>CASOPOInvCL!V1236</f>
        <v>2025</v>
      </c>
      <c r="J1236" s="5" t="str">
        <f>CASOPOInvCL!AB1236</f>
        <v>INV13773</v>
      </c>
      <c r="K1236" s="31" t="str">
        <f>CASOPOInvCL!W1236</f>
        <v/>
      </c>
      <c r="L1236" s="31" t="str">
        <f>CASOPOInvCL!X1236</f>
        <v/>
      </c>
      <c r="M1236" t="s">
        <v>5945</v>
      </c>
      <c r="N1236" s="5" t="str">
        <f>CASOPOInvCL!AF1236</f>
        <v>Alamos Gold Inc</v>
      </c>
      <c r="O1236" s="16" t="str">
        <f>CASOPOInvCL!AG1236</f>
        <v>CAD</v>
      </c>
      <c r="P1236" s="16">
        <f>CASOPOInvCL!AH1236</f>
        <v>1363.36</v>
      </c>
      <c r="Q1236" s="16">
        <f>CASOPOInvCL!AI1236</f>
        <v>965.7054434159611</v>
      </c>
      <c r="R1236" s="32" t="str">
        <f>CASOPOInvCL!AU1236</f>
        <v/>
      </c>
      <c r="S1236" s="16">
        <f>CASOPOInvCL!AV1236</f>
        <v>0</v>
      </c>
      <c r="T1236" s="16">
        <f>CASOPOInvCL!AW1236</f>
        <v>0</v>
      </c>
      <c r="Y1236" s="29" t="str">
        <f>IFERROR(HLOOKUP(U1236,List!$D$2:$H$6,2,FALSE),"")</f>
        <v/>
      </c>
      <c r="Z1236" s="29" t="str">
        <f>IFERROR(HLOOKUP(V1236,List!$D$2:$H$6,3,FALSE),"")</f>
        <v/>
      </c>
      <c r="AA1236" s="29" t="str">
        <f>IFERROR(HLOOKUP(W1236,List!$D$2:$H$6,4,FALSE),"")</f>
        <v/>
      </c>
      <c r="AB1236" s="29" t="str">
        <f>IFERROR(HLOOKUP(X1236,List!$D$2:$H$6,5,FALSE),"")</f>
        <v/>
      </c>
      <c r="AC1236" s="12" t="str">
        <f t="shared" si="296"/>
        <v/>
      </c>
      <c r="AD1236" s="12" t="str">
        <f t="shared" si="297"/>
        <v/>
      </c>
      <c r="AE1236" s="12" t="str">
        <f t="shared" si="298"/>
        <v/>
      </c>
      <c r="AF1236" s="12" t="str">
        <f t="shared" si="299"/>
        <v/>
      </c>
      <c r="AG1236" t="str">
        <f>VLOOKUP(J1236,'Receivable Invoice Detail'!$A$1:F4248,6,FALSE)</f>
        <v>[AC-52-118-681-804] Mechanical Seal, CSO, Type-9T, Carbon vs' Ceramic/Viton, O-Ring seat</v>
      </c>
      <c r="AM1236" s="12" t="str">
        <f t="shared" si="300"/>
        <v/>
      </c>
      <c r="AN1236" s="12" t="str">
        <f t="shared" si="301"/>
        <v/>
      </c>
      <c r="AO1236" s="12" t="str">
        <f t="shared" si="302"/>
        <v/>
      </c>
      <c r="AP1236" s="12" t="str">
        <f t="shared" si="303"/>
        <v/>
      </c>
      <c r="AQ1236" s="64" t="str">
        <f t="shared" si="294"/>
        <v/>
      </c>
      <c r="AS1236" s="12">
        <f t="shared" si="295"/>
        <v>0</v>
      </c>
      <c r="AT1236" t="s">
        <v>5945</v>
      </c>
    </row>
    <row r="1237" spans="1:46" hidden="1" x14ac:dyDescent="0.25">
      <c r="A1237" s="41">
        <f>CASOPOInvCL!T1237</f>
        <v>1</v>
      </c>
      <c r="B1237" t="str">
        <f>CASOPOInvCL!Z1237</f>
        <v>SO18307</v>
      </c>
      <c r="G1237" s="5" t="str">
        <f>CASOPOInvCL!I1237</f>
        <v>Wilka Nuñez</v>
      </c>
      <c r="H1237" s="31">
        <f>CASOPOInvCL!U1237</f>
        <v>11</v>
      </c>
      <c r="I1237" s="31">
        <f>CASOPOInvCL!V1237</f>
        <v>2025</v>
      </c>
      <c r="J1237" s="5" t="str">
        <f>CASOPOInvCL!AB1237</f>
        <v>INV13807</v>
      </c>
      <c r="K1237" s="31" t="str">
        <f>CASOPOInvCL!W1237</f>
        <v/>
      </c>
      <c r="L1237" s="31" t="str">
        <f>CASOPOInvCL!X1237</f>
        <v/>
      </c>
      <c r="M1237" t="s">
        <v>5945</v>
      </c>
      <c r="N1237" s="5" t="str">
        <f>CASOPOInvCL!AF1237</f>
        <v>Sling-Choker Manufacturing - Timmins</v>
      </c>
      <c r="O1237" s="16" t="str">
        <f>CASOPOInvCL!AG1237</f>
        <v>CAD</v>
      </c>
      <c r="P1237" s="16">
        <f>CASOPOInvCL!AH1237</f>
        <v>4022.93</v>
      </c>
      <c r="Q1237" s="16">
        <f>CASOPOInvCL!AI1237</f>
        <v>2849.5521355191368</v>
      </c>
      <c r="R1237" s="32" t="str">
        <f>CASOPOInvCL!AU1237</f>
        <v/>
      </c>
      <c r="S1237" s="16">
        <f>CASOPOInvCL!AV1237</f>
        <v>0</v>
      </c>
      <c r="T1237" s="16">
        <f>CASOPOInvCL!AW1237</f>
        <v>0</v>
      </c>
      <c r="Y1237" s="29" t="str">
        <f>IFERROR(HLOOKUP(U1237,List!$D$2:$H$6,2,FALSE),"")</f>
        <v/>
      </c>
      <c r="Z1237" s="29" t="str">
        <f>IFERROR(HLOOKUP(V1237,List!$D$2:$H$6,3,FALSE),"")</f>
        <v/>
      </c>
      <c r="AA1237" s="29" t="str">
        <f>IFERROR(HLOOKUP(W1237,List!$D$2:$H$6,4,FALSE),"")</f>
        <v/>
      </c>
      <c r="AB1237" s="29" t="str">
        <f>IFERROR(HLOOKUP(X1237,List!$D$2:$H$6,5,FALSE),"")</f>
        <v/>
      </c>
      <c r="AC1237" s="12" t="str">
        <f t="shared" si="296"/>
        <v/>
      </c>
      <c r="AD1237" s="12" t="str">
        <f t="shared" si="297"/>
        <v/>
      </c>
      <c r="AE1237" s="12" t="str">
        <f t="shared" si="298"/>
        <v/>
      </c>
      <c r="AF1237" s="12" t="str">
        <f t="shared" si="299"/>
        <v/>
      </c>
      <c r="AG1237" t="str">
        <f>VLOOKUP(J1237,'Receivable Invoice Detail'!$A$1:F4249,6,FALSE)</f>
        <v>[AC-98-431-858-501] Shaft Assembly, 3x3-10 SRL &amp; SRL-C, 1045 Steel</v>
      </c>
      <c r="AM1237" s="12" t="str">
        <f t="shared" si="300"/>
        <v/>
      </c>
      <c r="AN1237" s="12" t="str">
        <f t="shared" si="301"/>
        <v/>
      </c>
      <c r="AO1237" s="12" t="str">
        <f t="shared" si="302"/>
        <v/>
      </c>
      <c r="AP1237" s="12" t="str">
        <f t="shared" si="303"/>
        <v/>
      </c>
      <c r="AQ1237" s="64" t="str">
        <f t="shared" si="294"/>
        <v/>
      </c>
      <c r="AS1237" s="12">
        <f t="shared" si="295"/>
        <v>2.2234036797213164</v>
      </c>
      <c r="AT1237" t="s">
        <v>5945</v>
      </c>
    </row>
    <row r="1238" spans="1:46" hidden="1" x14ac:dyDescent="0.25">
      <c r="A1238" s="41">
        <f>CASOPOInvCL!T1238</f>
        <v>0</v>
      </c>
      <c r="B1238" t="str">
        <f>CASOPOInvCL!Z1238</f>
        <v>SO18308</v>
      </c>
      <c r="G1238" s="5" t="str">
        <f>CASOPOInvCL!I1238</f>
        <v>Ian Trottier</v>
      </c>
      <c r="H1238" s="31">
        <f>CASOPOInvCL!U1238</f>
        <v>11</v>
      </c>
      <c r="I1238" s="31">
        <f>CASOPOInvCL!V1238</f>
        <v>2025</v>
      </c>
      <c r="J1238" s="5" t="str">
        <f>CASOPOInvCL!AB1238</f>
        <v>No Inv</v>
      </c>
      <c r="K1238" s="31" t="str">
        <f>CASOPOInvCL!W1238</f>
        <v/>
      </c>
      <c r="L1238" s="31" t="str">
        <f>CASOPOInvCL!X1238</f>
        <v/>
      </c>
      <c r="M1238" t="s">
        <v>5945</v>
      </c>
      <c r="N1238" s="5" t="str">
        <f>CASOPOInvCL!AF1238</f>
        <v>Sealtrac Inc.</v>
      </c>
      <c r="O1238" s="16" t="str">
        <f>CASOPOInvCL!AG1238</f>
        <v>CAD</v>
      </c>
      <c r="P1238" s="16">
        <f>CASOPOInvCL!AH1238</f>
        <v>214.88</v>
      </c>
      <c r="Q1238" s="16">
        <f>CASOPOInvCL!AI1238</f>
        <v>152.92488705877344</v>
      </c>
      <c r="R1238" s="32" t="str">
        <f>CASOPOInvCL!AU1238</f>
        <v/>
      </c>
      <c r="S1238" s="16">
        <f>CASOPOInvCL!AV1238</f>
        <v>0</v>
      </c>
      <c r="T1238" s="16">
        <f>CASOPOInvCL!AW1238</f>
        <v>0</v>
      </c>
      <c r="Y1238" s="29" t="str">
        <f>IFERROR(HLOOKUP(U1238,List!$D$2:$H$6,2,FALSE),"")</f>
        <v/>
      </c>
      <c r="Z1238" s="29" t="str">
        <f>IFERROR(HLOOKUP(V1238,List!$D$2:$H$6,3,FALSE),"")</f>
        <v/>
      </c>
      <c r="AA1238" s="29" t="str">
        <f>IFERROR(HLOOKUP(W1238,List!$D$2:$H$6,4,FALSE),"")</f>
        <v/>
      </c>
      <c r="AB1238" s="29" t="str">
        <f>IFERROR(HLOOKUP(X1238,List!$D$2:$H$6,5,FALSE),"")</f>
        <v/>
      </c>
      <c r="AC1238" s="12" t="str">
        <f t="shared" si="296"/>
        <v/>
      </c>
      <c r="AD1238" s="12" t="str">
        <f t="shared" si="297"/>
        <v/>
      </c>
      <c r="AE1238" s="12" t="str">
        <f t="shared" si="298"/>
        <v/>
      </c>
      <c r="AF1238" s="12" t="str">
        <f t="shared" si="299"/>
        <v/>
      </c>
      <c r="AG1238" t="e">
        <f>VLOOKUP(J1238,'Receivable Invoice Detail'!$A$1:F4250,6,FALSE)</f>
        <v>#N/A</v>
      </c>
      <c r="AM1238" s="12" t="str">
        <f t="shared" si="300"/>
        <v/>
      </c>
      <c r="AN1238" s="12" t="str">
        <f t="shared" si="301"/>
        <v/>
      </c>
      <c r="AO1238" s="12" t="str">
        <f t="shared" si="302"/>
        <v/>
      </c>
      <c r="AP1238" s="12" t="str">
        <f t="shared" si="303"/>
        <v/>
      </c>
      <c r="AQ1238" s="64" t="str">
        <f t="shared" si="294"/>
        <v/>
      </c>
      <c r="AS1238" s="12">
        <f t="shared" si="295"/>
        <v>0</v>
      </c>
      <c r="AT1238" t="s">
        <v>5945</v>
      </c>
    </row>
    <row r="1239" spans="1:46" hidden="1" x14ac:dyDescent="0.25">
      <c r="A1239" s="41">
        <f>CASOPOInvCL!T1239</f>
        <v>1</v>
      </c>
      <c r="B1239" t="str">
        <f>CASOPOInvCL!Z1239</f>
        <v>SO18311</v>
      </c>
      <c r="G1239" s="5" t="str">
        <f>CASOPOInvCL!I1239</f>
        <v>Alexis Gil Lamadrid</v>
      </c>
      <c r="H1239" s="31">
        <f>CASOPOInvCL!U1239</f>
        <v>11</v>
      </c>
      <c r="I1239" s="31">
        <f>CASOPOInvCL!V1239</f>
        <v>2025</v>
      </c>
      <c r="J1239" s="5" t="str">
        <f>CASOPOInvCL!AB1239</f>
        <v>INV13726</v>
      </c>
      <c r="K1239" s="31" t="str">
        <f>CASOPOInvCL!W1239</f>
        <v/>
      </c>
      <c r="L1239" s="31" t="str">
        <f>CASOPOInvCL!X1239</f>
        <v/>
      </c>
      <c r="M1239" t="s">
        <v>5945</v>
      </c>
      <c r="N1239" s="5" t="str">
        <f>CASOPOInvCL!AF1239</f>
        <v>Manufacture Sling-Choker (Val-d’Or) Ltée</v>
      </c>
      <c r="O1239" s="16" t="str">
        <f>CASOPOInvCL!AG1239</f>
        <v>CAD</v>
      </c>
      <c r="P1239" s="16">
        <f>CASOPOInvCL!AH1239</f>
        <v>1808.56</v>
      </c>
      <c r="Q1239" s="16">
        <f>CASOPOInvCL!AI1239</f>
        <v>1288.9330655538649</v>
      </c>
      <c r="R1239" s="32" t="str">
        <f>CASOPOInvCL!AU1239</f>
        <v/>
      </c>
      <c r="S1239" s="16">
        <f>CASOPOInvCL!AV1239</f>
        <v>0</v>
      </c>
      <c r="T1239" s="16">
        <f>CASOPOInvCL!AW1239</f>
        <v>0</v>
      </c>
      <c r="Y1239" s="29" t="str">
        <f>IFERROR(HLOOKUP(U1239,List!$D$2:$H$6,2,FALSE),"")</f>
        <v/>
      </c>
      <c r="Z1239" s="29" t="str">
        <f>IFERROR(HLOOKUP(V1239,List!$D$2:$H$6,3,FALSE),"")</f>
        <v/>
      </c>
      <c r="AA1239" s="29" t="str">
        <f>IFERROR(HLOOKUP(W1239,List!$D$2:$H$6,4,FALSE),"")</f>
        <v/>
      </c>
      <c r="AB1239" s="29" t="str">
        <f>IFERROR(HLOOKUP(X1239,List!$D$2:$H$6,5,FALSE),"")</f>
        <v/>
      </c>
      <c r="AC1239" s="12" t="str">
        <f t="shared" si="296"/>
        <v/>
      </c>
      <c r="AD1239" s="12" t="str">
        <f t="shared" si="297"/>
        <v/>
      </c>
      <c r="AE1239" s="12" t="str">
        <f t="shared" si="298"/>
        <v/>
      </c>
      <c r="AF1239" s="12" t="str">
        <f t="shared" si="299"/>
        <v/>
      </c>
      <c r="AG1239" t="str">
        <f>VLOOKUP(J1239,'Receivable Invoice Detail'!$A$1:F4251,6,FALSE)</f>
        <v>[AC-98-233-732-001] Waterseal Bushing, 8x6-18 &amp; 10x8-21 SRL-C, Steel</v>
      </c>
      <c r="AM1239" s="12" t="str">
        <f t="shared" si="300"/>
        <v/>
      </c>
      <c r="AN1239" s="12" t="str">
        <f t="shared" si="301"/>
        <v/>
      </c>
      <c r="AO1239" s="12" t="str">
        <f t="shared" si="302"/>
        <v/>
      </c>
      <c r="AP1239" s="12" t="str">
        <f t="shared" si="303"/>
        <v/>
      </c>
      <c r="AQ1239" s="64" t="str">
        <f t="shared" si="294"/>
        <v/>
      </c>
      <c r="AS1239" s="12">
        <f t="shared" si="295"/>
        <v>83.049000000000007</v>
      </c>
      <c r="AT1239" t="s">
        <v>5945</v>
      </c>
    </row>
    <row r="1240" spans="1:46" hidden="1" x14ac:dyDescent="0.25">
      <c r="A1240" s="41">
        <f>CASOPOInvCL!T1240</f>
        <v>1</v>
      </c>
      <c r="B1240" t="str">
        <f>CASOPOInvCL!Z1240</f>
        <v>SO18313</v>
      </c>
      <c r="G1240" s="5" t="str">
        <f>CASOPOInvCL!I1240</f>
        <v>Alexis Gil Lamadrid</v>
      </c>
      <c r="H1240" s="31">
        <f>CASOPOInvCL!U1240</f>
        <v>11</v>
      </c>
      <c r="I1240" s="31">
        <f>CASOPOInvCL!V1240</f>
        <v>2025</v>
      </c>
      <c r="J1240" s="5" t="str">
        <f>CASOPOInvCL!AB1240</f>
        <v>INV13781</v>
      </c>
      <c r="K1240" s="31" t="str">
        <f>CASOPOInvCL!W1240</f>
        <v/>
      </c>
      <c r="L1240" s="31" t="str">
        <f>CASOPOInvCL!X1240</f>
        <v/>
      </c>
      <c r="M1240" t="s">
        <v>5945</v>
      </c>
      <c r="N1240" s="5" t="str">
        <f>CASOPOInvCL!AF1240</f>
        <v>Tech-Flow</v>
      </c>
      <c r="O1240" s="16" t="str">
        <f>CASOPOInvCL!AG1240</f>
        <v>USD</v>
      </c>
      <c r="P1240" s="16">
        <f>CASOPOInvCL!AH1240</f>
        <v>1725.9156018312358</v>
      </c>
      <c r="Q1240" s="16">
        <f>CASOPOInvCL!AI1240</f>
        <v>1223</v>
      </c>
      <c r="R1240" s="32" t="str">
        <f>CASOPOInvCL!AU1240</f>
        <v/>
      </c>
      <c r="S1240" s="16">
        <f>CASOPOInvCL!AV1240</f>
        <v>0</v>
      </c>
      <c r="T1240" s="16">
        <f>CASOPOInvCL!AW1240</f>
        <v>0</v>
      </c>
      <c r="Y1240" s="29" t="str">
        <f>IFERROR(HLOOKUP(U1240,List!$D$2:$H$6,2,FALSE),"")</f>
        <v/>
      </c>
      <c r="Z1240" s="29" t="str">
        <f>IFERROR(HLOOKUP(V1240,List!$D$2:$H$6,3,FALSE),"")</f>
        <v/>
      </c>
      <c r="AA1240" s="29" t="str">
        <f>IFERROR(HLOOKUP(W1240,List!$D$2:$H$6,4,FALSE),"")</f>
        <v/>
      </c>
      <c r="AB1240" s="29" t="str">
        <f>IFERROR(HLOOKUP(X1240,List!$D$2:$H$6,5,FALSE),"")</f>
        <v/>
      </c>
      <c r="AC1240" s="12" t="str">
        <f t="shared" si="296"/>
        <v/>
      </c>
      <c r="AD1240" s="12" t="str">
        <f t="shared" si="297"/>
        <v/>
      </c>
      <c r="AE1240" s="12" t="str">
        <f t="shared" si="298"/>
        <v/>
      </c>
      <c r="AF1240" s="12" t="str">
        <f t="shared" si="299"/>
        <v/>
      </c>
      <c r="AG1240" t="str">
        <f>VLOOKUP(J1240,'Receivable Invoice Detail'!$A$1:F4252,6,FALSE)</f>
        <v>[SA-013733-M2] Wear Disc, 44 WFR, Sala STGVA-180, High Chrome</v>
      </c>
      <c r="AM1240" s="12" t="str">
        <f t="shared" si="300"/>
        <v/>
      </c>
      <c r="AN1240" s="12" t="str">
        <f t="shared" si="301"/>
        <v/>
      </c>
      <c r="AO1240" s="12" t="str">
        <f t="shared" si="302"/>
        <v/>
      </c>
      <c r="AP1240" s="12" t="str">
        <f t="shared" si="303"/>
        <v/>
      </c>
      <c r="AQ1240" s="64" t="str">
        <f t="shared" si="294"/>
        <v/>
      </c>
      <c r="AS1240" s="12">
        <f t="shared" si="295"/>
        <v>15.197332982082143</v>
      </c>
      <c r="AT1240" t="s">
        <v>5945</v>
      </c>
    </row>
    <row r="1241" spans="1:46" hidden="1" x14ac:dyDescent="0.25">
      <c r="A1241" s="41">
        <f>CASOPOInvCL!T1241</f>
        <v>1</v>
      </c>
      <c r="B1241" t="str">
        <f>CASOPOInvCL!Z1241</f>
        <v>SO18314</v>
      </c>
      <c r="G1241" s="5" t="str">
        <f>CASOPOInvCL!I1241</f>
        <v>Wilka Nuñez</v>
      </c>
      <c r="H1241" s="31">
        <f>CASOPOInvCL!U1241</f>
        <v>11</v>
      </c>
      <c r="I1241" s="31">
        <f>CASOPOInvCL!V1241</f>
        <v>2025</v>
      </c>
      <c r="J1241" s="5" t="str">
        <f>CASOPOInvCL!AB1241</f>
        <v>INV13718</v>
      </c>
      <c r="K1241" s="31" t="str">
        <f>CASOPOInvCL!W1241</f>
        <v/>
      </c>
      <c r="L1241" s="31" t="str">
        <f>CASOPOInvCL!X1241</f>
        <v/>
      </c>
      <c r="M1241" t="s">
        <v>5945</v>
      </c>
      <c r="N1241" s="5" t="str">
        <f>CASOPOInvCL!AF1241</f>
        <v>Canadian Bearings Ltd.</v>
      </c>
      <c r="O1241" s="16" t="str">
        <f>CASOPOInvCL!AG1241</f>
        <v>CAD</v>
      </c>
      <c r="P1241" s="16">
        <f>CASOPOInvCL!AH1241</f>
        <v>279.5</v>
      </c>
      <c r="Q1241" s="16">
        <f>CASOPOInvCL!AI1241</f>
        <v>198.91337459478402</v>
      </c>
      <c r="R1241" s="32" t="str">
        <f>CASOPOInvCL!AU1241</f>
        <v/>
      </c>
      <c r="S1241" s="16">
        <f>CASOPOInvCL!AV1241</f>
        <v>0</v>
      </c>
      <c r="T1241" s="16">
        <f>CASOPOInvCL!AW1241</f>
        <v>0</v>
      </c>
      <c r="Y1241" s="29" t="str">
        <f>IFERROR(HLOOKUP(U1241,List!$D$2:$H$6,2,FALSE),"")</f>
        <v/>
      </c>
      <c r="Z1241" s="29" t="str">
        <f>IFERROR(HLOOKUP(V1241,List!$D$2:$H$6,3,FALSE),"")</f>
        <v/>
      </c>
      <c r="AA1241" s="29" t="str">
        <f>IFERROR(HLOOKUP(W1241,List!$D$2:$H$6,4,FALSE),"")</f>
        <v/>
      </c>
      <c r="AB1241" s="29" t="str">
        <f>IFERROR(HLOOKUP(X1241,List!$D$2:$H$6,5,FALSE),"")</f>
        <v/>
      </c>
      <c r="AC1241" s="12" t="str">
        <f t="shared" si="296"/>
        <v/>
      </c>
      <c r="AD1241" s="12" t="str">
        <f t="shared" si="297"/>
        <v/>
      </c>
      <c r="AE1241" s="12" t="str">
        <f t="shared" si="298"/>
        <v/>
      </c>
      <c r="AF1241" s="12" t="str">
        <f t="shared" si="299"/>
        <v/>
      </c>
      <c r="AG1241" t="str">
        <f>VLOOKUP(J1241,'Receivable Invoice Detail'!$A$1:F4253,6,FALSE)</f>
        <v>[AC-98-232-857-802] Shim Set, A-C PWO-C Group 2, Plastic</v>
      </c>
      <c r="AM1241" s="12" t="str">
        <f t="shared" si="300"/>
        <v/>
      </c>
      <c r="AN1241" s="12" t="str">
        <f t="shared" si="301"/>
        <v/>
      </c>
      <c r="AO1241" s="12" t="str">
        <f t="shared" si="302"/>
        <v/>
      </c>
      <c r="AP1241" s="12" t="str">
        <f t="shared" si="303"/>
        <v/>
      </c>
      <c r="AQ1241" s="64" t="str">
        <f t="shared" si="294"/>
        <v/>
      </c>
      <c r="AS1241" s="12">
        <f t="shared" si="295"/>
        <v>21.655917827234951</v>
      </c>
      <c r="AT1241" t="s">
        <v>5945</v>
      </c>
    </row>
    <row r="1242" spans="1:46" hidden="1" x14ac:dyDescent="0.25">
      <c r="A1242" s="41">
        <f>CASOPOInvCL!T1242</f>
        <v>1</v>
      </c>
      <c r="B1242" t="str">
        <f>CASOPOInvCL!Z1242</f>
        <v>SO18315</v>
      </c>
      <c r="D1242" t="s">
        <v>5938</v>
      </c>
      <c r="G1242" s="5" t="str">
        <f>CASOPOInvCL!I1242</f>
        <v>Marlen Martinez</v>
      </c>
      <c r="H1242" s="31">
        <f>CASOPOInvCL!U1242</f>
        <v>11</v>
      </c>
      <c r="I1242" s="31">
        <f>CASOPOInvCL!V1242</f>
        <v>2025</v>
      </c>
      <c r="J1242" s="5" t="str">
        <f>CASOPOInvCL!AB1242</f>
        <v>INV13712</v>
      </c>
      <c r="K1242" s="31" t="str">
        <f>CASOPOInvCL!W1242</f>
        <v/>
      </c>
      <c r="L1242" s="31" t="str">
        <f>CASOPOInvCL!X1242</f>
        <v/>
      </c>
      <c r="M1242" t="s">
        <v>5945</v>
      </c>
      <c r="N1242" s="5" t="str">
        <f>CASOPOInvCL!AF1242</f>
        <v>Covia Corp - Junction City</v>
      </c>
      <c r="O1242" s="16" t="str">
        <f>CASOPOInvCL!AG1242</f>
        <v>USD</v>
      </c>
      <c r="P1242" s="16">
        <f>CASOPOInvCL!AH1242</f>
        <v>1080.2284191150759</v>
      </c>
      <c r="Q1242" s="16">
        <f>CASOPOInvCL!AI1242</f>
        <v>765.46</v>
      </c>
      <c r="R1242" s="32" t="str">
        <f>CASOPOInvCL!AU1242</f>
        <v/>
      </c>
      <c r="S1242" s="16">
        <f>CASOPOInvCL!AV1242</f>
        <v>309</v>
      </c>
      <c r="T1242" s="16">
        <f>CASOPOInvCL!AW1242</f>
        <v>0</v>
      </c>
      <c r="Y1242" s="29" t="str">
        <f>IFERROR(HLOOKUP(U1242,List!$D$2:$H$6,2,FALSE),"")</f>
        <v/>
      </c>
      <c r="Z1242" s="29" t="str">
        <f>IFERROR(HLOOKUP(V1242,List!$D$2:$H$6,3,FALSE),"")</f>
        <v/>
      </c>
      <c r="AA1242" s="29" t="str">
        <f>IFERROR(HLOOKUP(W1242,List!$D$2:$H$6,4,FALSE),"")</f>
        <v/>
      </c>
      <c r="AB1242" s="29" t="str">
        <f>IFERROR(HLOOKUP(X1242,List!$D$2:$H$6,5,FALSE),"")</f>
        <v/>
      </c>
      <c r="AC1242" s="12" t="str">
        <f t="shared" si="296"/>
        <v/>
      </c>
      <c r="AD1242" s="12" t="str">
        <f t="shared" si="297"/>
        <v/>
      </c>
      <c r="AE1242" s="12" t="str">
        <f t="shared" si="298"/>
        <v/>
      </c>
      <c r="AF1242" s="12" t="str">
        <f t="shared" si="299"/>
        <v/>
      </c>
      <c r="AG1242" t="str">
        <f>VLOOKUP(J1242,'Receivable Invoice Detail'!$A$1:F4254,6,FALSE)</f>
        <v>[W-S30124/S01] Volute Liner Seal, 300 RSL, EPDM</v>
      </c>
      <c r="AM1242" s="12" t="str">
        <f t="shared" si="300"/>
        <v/>
      </c>
      <c r="AN1242" s="12" t="str">
        <f t="shared" si="301"/>
        <v/>
      </c>
      <c r="AO1242" s="12" t="str">
        <f t="shared" si="302"/>
        <v/>
      </c>
      <c r="AP1242" s="12" t="str">
        <f t="shared" si="303"/>
        <v/>
      </c>
      <c r="AQ1242" s="64" t="str">
        <f t="shared" si="294"/>
        <v/>
      </c>
      <c r="AR1242" t="s">
        <v>5939</v>
      </c>
      <c r="AS1242" s="12">
        <f t="shared" si="295"/>
        <v>0</v>
      </c>
      <c r="AT1242" t="s">
        <v>5945</v>
      </c>
    </row>
    <row r="1243" spans="1:46" hidden="1" x14ac:dyDescent="0.25">
      <c r="A1243" s="41">
        <f>CASOPOInvCL!T1243</f>
        <v>0</v>
      </c>
      <c r="B1243" t="str">
        <f>CASOPOInvCL!Z1243</f>
        <v>SO18316</v>
      </c>
      <c r="G1243" s="5" t="str">
        <f>CASOPOInvCL!I1243</f>
        <v>Ian Trottier</v>
      </c>
      <c r="H1243" s="31">
        <f>CASOPOInvCL!U1243</f>
        <v>11</v>
      </c>
      <c r="I1243" s="31">
        <f>CASOPOInvCL!V1243</f>
        <v>2025</v>
      </c>
      <c r="J1243" s="5" t="str">
        <f>CASOPOInvCL!AB1243</f>
        <v>No Inv</v>
      </c>
      <c r="K1243" s="31" t="str">
        <f>CASOPOInvCL!W1243</f>
        <v/>
      </c>
      <c r="L1243" s="31" t="str">
        <f>CASOPOInvCL!X1243</f>
        <v/>
      </c>
      <c r="M1243" t="s">
        <v>5945</v>
      </c>
      <c r="N1243" s="5" t="str">
        <f>CASOPOInvCL!AF1243</f>
        <v>Cameco Corporation - Blind River Refinery</v>
      </c>
      <c r="O1243" s="16" t="str">
        <f>CASOPOInvCL!AG1243</f>
        <v>CAD</v>
      </c>
      <c r="P1243" s="16">
        <f>CASOPOInvCL!AH1243</f>
        <v>459.88</v>
      </c>
      <c r="Q1243" s="16">
        <f>CASOPOInvCL!AI1243</f>
        <v>327.2854479737004</v>
      </c>
      <c r="R1243" s="32" t="str">
        <f>CASOPOInvCL!AU1243</f>
        <v/>
      </c>
      <c r="S1243" s="16">
        <f>CASOPOInvCL!AV1243</f>
        <v>0</v>
      </c>
      <c r="T1243" s="16">
        <f>CASOPOInvCL!AW1243</f>
        <v>0</v>
      </c>
      <c r="Y1243" s="29" t="str">
        <f>IFERROR(HLOOKUP(U1243,List!$D$2:$H$6,2,FALSE),"")</f>
        <v/>
      </c>
      <c r="Z1243" s="29" t="str">
        <f>IFERROR(HLOOKUP(V1243,List!$D$2:$H$6,3,FALSE),"")</f>
        <v/>
      </c>
      <c r="AA1243" s="29" t="str">
        <f>IFERROR(HLOOKUP(W1243,List!$D$2:$H$6,4,FALSE),"")</f>
        <v/>
      </c>
      <c r="AB1243" s="29" t="str">
        <f>IFERROR(HLOOKUP(X1243,List!$D$2:$H$6,5,FALSE),"")</f>
        <v/>
      </c>
      <c r="AC1243" s="12" t="str">
        <f t="shared" si="296"/>
        <v/>
      </c>
      <c r="AD1243" s="12" t="str">
        <f t="shared" si="297"/>
        <v/>
      </c>
      <c r="AE1243" s="12" t="str">
        <f t="shared" si="298"/>
        <v/>
      </c>
      <c r="AF1243" s="12" t="str">
        <f t="shared" si="299"/>
        <v/>
      </c>
      <c r="AG1243" t="e">
        <f>VLOOKUP(J1243,'Receivable Invoice Detail'!$A$1:F4255,6,FALSE)</f>
        <v>#N/A</v>
      </c>
      <c r="AM1243" s="12" t="str">
        <f t="shared" si="300"/>
        <v/>
      </c>
      <c r="AN1243" s="12" t="str">
        <f t="shared" si="301"/>
        <v/>
      </c>
      <c r="AO1243" s="12" t="str">
        <f t="shared" si="302"/>
        <v/>
      </c>
      <c r="AP1243" s="12" t="str">
        <f t="shared" si="303"/>
        <v/>
      </c>
      <c r="AQ1243" s="64" t="str">
        <f t="shared" si="294"/>
        <v/>
      </c>
      <c r="AS1243" s="12">
        <f t="shared" si="295"/>
        <v>0</v>
      </c>
      <c r="AT1243" t="s">
        <v>5945</v>
      </c>
    </row>
    <row r="1244" spans="1:46" hidden="1" x14ac:dyDescent="0.25">
      <c r="A1244" s="41">
        <f>CASOPOInvCL!T1244</f>
        <v>2</v>
      </c>
      <c r="B1244" t="str">
        <f>CASOPOInvCL!Z1244</f>
        <v>SO18318</v>
      </c>
      <c r="G1244" s="5" t="str">
        <f>CASOPOInvCL!I1244</f>
        <v>Wilka Nuñez</v>
      </c>
      <c r="H1244" s="31">
        <f>CASOPOInvCL!U1244</f>
        <v>11</v>
      </c>
      <c r="I1244" s="31">
        <f>CASOPOInvCL!V1244</f>
        <v>2025</v>
      </c>
      <c r="J1244" s="5" t="str">
        <f>CASOPOInvCL!AB1244</f>
        <v>INV13797</v>
      </c>
      <c r="K1244" s="31" t="str">
        <f>CASOPOInvCL!W1244</f>
        <v/>
      </c>
      <c r="L1244" s="31" t="str">
        <f>CASOPOInvCL!X1244</f>
        <v/>
      </c>
      <c r="N1244" s="5" t="str">
        <f>CASOPOInvCL!AF1244</f>
        <v>Canadian Bearings Ltd.</v>
      </c>
      <c r="O1244" s="16" t="str">
        <f>CASOPOInvCL!AG1244</f>
        <v>CAD</v>
      </c>
      <c r="P1244" s="16">
        <f>CASOPOInvCL!AH1244</f>
        <v>475.47</v>
      </c>
      <c r="Q1244" s="16">
        <f>CASOPOInvCL!AI1244</f>
        <v>338.38047305396037</v>
      </c>
      <c r="R1244" s="32" t="str">
        <f>CASOPOInvCL!AU1244</f>
        <v>Yes</v>
      </c>
      <c r="S1244" s="16">
        <f>CASOPOInvCL!AV1244</f>
        <v>0</v>
      </c>
      <c r="T1244" s="16">
        <f>CASOPOInvCL!AW1244</f>
        <v>338.38047305396037</v>
      </c>
      <c r="Y1244" s="29" t="str">
        <f>IFERROR(HLOOKUP(U1244,List!$D$2:$H$6,2,FALSE),"")</f>
        <v/>
      </c>
      <c r="Z1244" s="29" t="str">
        <f>IFERROR(HLOOKUP(V1244,List!$D$2:$H$6,3,FALSE),"")</f>
        <v/>
      </c>
      <c r="AA1244" s="29" t="str">
        <f>IFERROR(HLOOKUP(W1244,List!$D$2:$H$6,4,FALSE),"")</f>
        <v/>
      </c>
      <c r="AB1244" s="29" t="str">
        <f>IFERROR(HLOOKUP(X1244,List!$D$2:$H$6,5,FALSE),"")</f>
        <v/>
      </c>
      <c r="AC1244" s="12" t="str">
        <f t="shared" si="296"/>
        <v/>
      </c>
      <c r="AD1244" s="12" t="str">
        <f t="shared" si="297"/>
        <v/>
      </c>
      <c r="AE1244" s="12" t="str">
        <f t="shared" si="298"/>
        <v/>
      </c>
      <c r="AF1244" s="12" t="str">
        <f t="shared" si="299"/>
        <v/>
      </c>
      <c r="AG1244" t="str">
        <f>VLOOKUP(J1244,'Receivable Invoice Detail'!$A$1:F4256,6,FALSE)</f>
        <v>[AC-52-050-313-000] Shim Kit, Allis Chalmers CSO, Frame F4D1/F4B5</v>
      </c>
      <c r="AM1244" s="12" t="str">
        <f t="shared" si="300"/>
        <v/>
      </c>
      <c r="AN1244" s="12" t="str">
        <f t="shared" si="301"/>
        <v/>
      </c>
      <c r="AO1244" s="12" t="str">
        <f t="shared" si="302"/>
        <v/>
      </c>
      <c r="AP1244" s="12" t="str">
        <f t="shared" si="303"/>
        <v/>
      </c>
      <c r="AQ1244" s="64"/>
      <c r="AS1244" s="12">
        <f t="shared" si="295"/>
        <v>0</v>
      </c>
    </row>
    <row r="1245" spans="1:46" hidden="1" x14ac:dyDescent="0.25">
      <c r="A1245" s="41">
        <f>CASOPOInvCL!T1245</f>
        <v>2</v>
      </c>
      <c r="B1245" t="str">
        <f>CASOPOInvCL!Z1245</f>
        <v>SO18318</v>
      </c>
      <c r="G1245" s="5">
        <f>CASOPOInvCL!I1245</f>
        <v>0</v>
      </c>
      <c r="H1245" s="31">
        <f>CASOPOInvCL!U1245</f>
        <v>11</v>
      </c>
      <c r="I1245" s="31">
        <f>CASOPOInvCL!V1245</f>
        <v>2025</v>
      </c>
      <c r="J1245" s="5" t="str">
        <f>CASOPOInvCL!AB1245</f>
        <v>INV13758</v>
      </c>
      <c r="K1245" s="31" t="str">
        <f>CASOPOInvCL!W1245</f>
        <v/>
      </c>
      <c r="L1245" s="31" t="str">
        <f>CASOPOInvCL!X1245</f>
        <v/>
      </c>
      <c r="N1245" s="5" t="str">
        <f>CASOPOInvCL!AF1245</f>
        <v>Canadian Bearings Ltd.</v>
      </c>
      <c r="O1245" s="16" t="str">
        <f>CASOPOInvCL!AG1245</f>
        <v>CAD</v>
      </c>
      <c r="P1245" s="16">
        <f>CASOPOInvCL!AH1245</f>
        <v>0</v>
      </c>
      <c r="Q1245" s="16">
        <f>CASOPOInvCL!AI1245</f>
        <v>0</v>
      </c>
      <c r="R1245" s="32" t="str">
        <f>CASOPOInvCL!AU1245</f>
        <v/>
      </c>
      <c r="S1245" s="16">
        <f>CASOPOInvCL!AV1245</f>
        <v>0</v>
      </c>
      <c r="T1245" s="16">
        <f>CASOPOInvCL!AW1245</f>
        <v>0</v>
      </c>
      <c r="Y1245" s="29" t="str">
        <f>IFERROR(HLOOKUP(U1245,List!$D$2:$H$6,2,FALSE),"")</f>
        <v/>
      </c>
      <c r="Z1245" s="29" t="str">
        <f>IFERROR(HLOOKUP(V1245,List!$D$2:$H$6,3,FALSE),"")</f>
        <v/>
      </c>
      <c r="AA1245" s="29" t="str">
        <f>IFERROR(HLOOKUP(W1245,List!$D$2:$H$6,4,FALSE),"")</f>
        <v/>
      </c>
      <c r="AB1245" s="29" t="str">
        <f>IFERROR(HLOOKUP(X1245,List!$D$2:$H$6,5,FALSE),"")</f>
        <v/>
      </c>
      <c r="AC1245" s="12" t="str">
        <f t="shared" si="296"/>
        <v/>
      </c>
      <c r="AD1245" s="12" t="str">
        <f t="shared" si="297"/>
        <v/>
      </c>
      <c r="AE1245" s="12" t="str">
        <f t="shared" si="298"/>
        <v/>
      </c>
      <c r="AF1245" s="12" t="str">
        <f t="shared" si="299"/>
        <v/>
      </c>
      <c r="AG1245" t="str">
        <f>VLOOKUP(J1245,'Receivable Invoice Detail'!$A$1:F4257,6,FALSE)</f>
        <v>[AC-52-109-019-003] Shaft Sleeve, Allis-Chalmers CSO, Frame F4B3/F4B5/F4D1, 316SS</v>
      </c>
      <c r="AM1245" s="12" t="str">
        <f t="shared" si="300"/>
        <v/>
      </c>
      <c r="AN1245" s="12" t="str">
        <f t="shared" si="301"/>
        <v/>
      </c>
      <c r="AO1245" s="12" t="str">
        <f t="shared" si="302"/>
        <v/>
      </c>
      <c r="AP1245" s="12" t="str">
        <f t="shared" si="303"/>
        <v/>
      </c>
      <c r="AQ1245" s="64"/>
      <c r="AS1245" s="12">
        <f t="shared" si="295"/>
        <v>0</v>
      </c>
    </row>
    <row r="1246" spans="1:46" hidden="1" x14ac:dyDescent="0.25">
      <c r="A1246" s="41">
        <f>CASOPOInvCL!T1246</f>
        <v>1</v>
      </c>
      <c r="B1246" t="str">
        <f>CASOPOInvCL!Z1246</f>
        <v>SO18320</v>
      </c>
      <c r="G1246" s="5" t="str">
        <f>CASOPOInvCL!I1246</f>
        <v>Ian Trottier</v>
      </c>
      <c r="H1246" s="31">
        <f>CASOPOInvCL!U1246</f>
        <v>11</v>
      </c>
      <c r="I1246" s="31">
        <f>CASOPOInvCL!V1246</f>
        <v>2025</v>
      </c>
      <c r="J1246" s="5" t="str">
        <f>CASOPOInvCL!AB1246</f>
        <v>INV13761</v>
      </c>
      <c r="K1246" s="31" t="str">
        <f>CASOPOInvCL!W1246</f>
        <v/>
      </c>
      <c r="L1246" s="31" t="str">
        <f>CASOPOInvCL!X1246</f>
        <v/>
      </c>
      <c r="M1246" t="s">
        <v>5945</v>
      </c>
      <c r="N1246" s="5" t="str">
        <f>CASOPOInvCL!AF1246</f>
        <v>Les Pompes du St-Laurent Inc.</v>
      </c>
      <c r="O1246" s="16" t="str">
        <f>CASOPOInvCL!AG1246</f>
        <v>CAD</v>
      </c>
      <c r="P1246" s="16">
        <f>CASOPOInvCL!AH1246</f>
        <v>5048.75</v>
      </c>
      <c r="Q1246" s="16">
        <f>CASOPOInvCL!AI1246</f>
        <v>3598.166947579884</v>
      </c>
      <c r="R1246" s="32" t="str">
        <f>CASOPOInvCL!AU1246</f>
        <v/>
      </c>
      <c r="S1246" s="16">
        <f>CASOPOInvCL!AV1246</f>
        <v>0</v>
      </c>
      <c r="T1246" s="16">
        <f>CASOPOInvCL!AW1246</f>
        <v>0</v>
      </c>
      <c r="Y1246" s="29" t="str">
        <f>IFERROR(HLOOKUP(U1246,List!$D$2:$H$6,2,FALSE),"")</f>
        <v/>
      </c>
      <c r="Z1246" s="29" t="str">
        <f>IFERROR(HLOOKUP(V1246,List!$D$2:$H$6,3,FALSE),"")</f>
        <v/>
      </c>
      <c r="AA1246" s="29" t="str">
        <f>IFERROR(HLOOKUP(W1246,List!$D$2:$H$6,4,FALSE),"")</f>
        <v/>
      </c>
      <c r="AB1246" s="29" t="str">
        <f>IFERROR(HLOOKUP(X1246,List!$D$2:$H$6,5,FALSE),"")</f>
        <v/>
      </c>
      <c r="AC1246" s="12" t="str">
        <f t="shared" si="296"/>
        <v/>
      </c>
      <c r="AD1246" s="12" t="str">
        <f t="shared" si="297"/>
        <v/>
      </c>
      <c r="AE1246" s="12" t="str">
        <f t="shared" si="298"/>
        <v/>
      </c>
      <c r="AF1246" s="12" t="str">
        <f t="shared" si="299"/>
        <v/>
      </c>
      <c r="AG1246" t="str">
        <f>VLOOKUP(J1246,'Receivable Invoice Detail'!$A$1:F4258,6,FALSE)</f>
        <v>[G-B00294A 6956] Shaft Sleeve, 3175-S, 316SS, Ni-Chrome Boron</v>
      </c>
      <c r="AM1246" s="12" t="str">
        <f t="shared" si="300"/>
        <v/>
      </c>
      <c r="AN1246" s="12" t="str">
        <f t="shared" si="301"/>
        <v/>
      </c>
      <c r="AO1246" s="12" t="str">
        <f t="shared" si="302"/>
        <v/>
      </c>
      <c r="AP1246" s="12" t="str">
        <f t="shared" si="303"/>
        <v/>
      </c>
      <c r="AQ1246" s="64" t="str">
        <f t="shared" si="294"/>
        <v/>
      </c>
      <c r="AS1246" s="12">
        <f t="shared" si="295"/>
        <v>0</v>
      </c>
      <c r="AT1246" t="s">
        <v>5945</v>
      </c>
    </row>
    <row r="1247" spans="1:46" hidden="1" x14ac:dyDescent="0.25">
      <c r="A1247" s="41">
        <f>CASOPOInvCL!T1247</f>
        <v>1</v>
      </c>
      <c r="B1247" t="str">
        <f>CASOPOInvCL!Z1247</f>
        <v>SO18322</v>
      </c>
      <c r="G1247" s="5" t="str">
        <f>CASOPOInvCL!I1247</f>
        <v>Alexis Gil Lamadrid</v>
      </c>
      <c r="H1247" s="31">
        <f>CASOPOInvCL!U1247</f>
        <v>11</v>
      </c>
      <c r="I1247" s="31">
        <f>CASOPOInvCL!V1247</f>
        <v>2025</v>
      </c>
      <c r="J1247" s="5" t="str">
        <f>CASOPOInvCL!AB1247</f>
        <v>INV13745</v>
      </c>
      <c r="K1247" s="31" t="str">
        <f>CASOPOInvCL!W1247</f>
        <v/>
      </c>
      <c r="L1247" s="31" t="str">
        <f>CASOPOInvCL!X1247</f>
        <v/>
      </c>
      <c r="M1247" t="s">
        <v>5945</v>
      </c>
      <c r="N1247" s="5" t="str">
        <f>CASOPOInvCL!AF1247</f>
        <v>Hyperflo, Hyperflo</v>
      </c>
      <c r="O1247" s="16" t="str">
        <f>CASOPOInvCL!AG1247</f>
        <v>CAD</v>
      </c>
      <c r="P1247" s="16">
        <f>CASOPOInvCL!AH1247</f>
        <v>646.28</v>
      </c>
      <c r="Q1247" s="16">
        <f>CASOPOInvCL!AI1247</f>
        <v>458.0709787572394</v>
      </c>
      <c r="R1247" s="32" t="str">
        <f>CASOPOInvCL!AU1247</f>
        <v/>
      </c>
      <c r="S1247" s="16">
        <f>CASOPOInvCL!AV1247</f>
        <v>0</v>
      </c>
      <c r="T1247" s="16">
        <f>CASOPOInvCL!AW1247</f>
        <v>0</v>
      </c>
      <c r="Y1247" s="29" t="str">
        <f>IFERROR(HLOOKUP(U1247,List!$D$2:$H$6,2,FALSE),"")</f>
        <v/>
      </c>
      <c r="Z1247" s="29" t="str">
        <f>IFERROR(HLOOKUP(V1247,List!$D$2:$H$6,3,FALSE),"")</f>
        <v/>
      </c>
      <c r="AA1247" s="29" t="str">
        <f>IFERROR(HLOOKUP(W1247,List!$D$2:$H$6,4,FALSE),"")</f>
        <v/>
      </c>
      <c r="AB1247" s="29" t="str">
        <f>IFERROR(HLOOKUP(X1247,List!$D$2:$H$6,5,FALSE),"")</f>
        <v/>
      </c>
      <c r="AC1247" s="12" t="str">
        <f t="shared" si="296"/>
        <v/>
      </c>
      <c r="AD1247" s="12" t="str">
        <f t="shared" si="297"/>
        <v/>
      </c>
      <c r="AE1247" s="12" t="str">
        <f t="shared" si="298"/>
        <v/>
      </c>
      <c r="AF1247" s="12" t="str">
        <f t="shared" si="299"/>
        <v/>
      </c>
      <c r="AG1247" t="str">
        <f>VLOOKUP(J1247,'Receivable Invoice Detail'!$A$1:F4259,6,FALSE)</f>
        <v>[AC-98-332-015-815] Fastener Kit (Suction Side Plate), 8x6-18 SRL-C</v>
      </c>
      <c r="AM1247" s="12" t="str">
        <f t="shared" si="300"/>
        <v/>
      </c>
      <c r="AN1247" s="12" t="str">
        <f t="shared" si="301"/>
        <v/>
      </c>
      <c r="AO1247" s="12" t="str">
        <f t="shared" si="302"/>
        <v/>
      </c>
      <c r="AP1247" s="12" t="str">
        <f t="shared" si="303"/>
        <v/>
      </c>
      <c r="AQ1247" s="64" t="str">
        <f t="shared" si="294"/>
        <v/>
      </c>
      <c r="AS1247" s="12">
        <f t="shared" si="295"/>
        <v>0</v>
      </c>
      <c r="AT1247" t="s">
        <v>5945</v>
      </c>
    </row>
    <row r="1248" spans="1:46" hidden="1" x14ac:dyDescent="0.25">
      <c r="A1248" s="41">
        <f>CASOPOInvCL!T1248</f>
        <v>1</v>
      </c>
      <c r="B1248" t="str">
        <f>CASOPOInvCL!Z1248</f>
        <v>SO18323</v>
      </c>
      <c r="G1248" s="5" t="str">
        <f>CASOPOInvCL!I1248</f>
        <v>Ian Trottier</v>
      </c>
      <c r="H1248" s="31">
        <f>CASOPOInvCL!U1248</f>
        <v>11</v>
      </c>
      <c r="I1248" s="31">
        <f>CASOPOInvCL!V1248</f>
        <v>2025</v>
      </c>
      <c r="J1248" s="5" t="str">
        <f>CASOPOInvCL!AB1248</f>
        <v>INV13722</v>
      </c>
      <c r="K1248" s="31" t="str">
        <f>CASOPOInvCL!W1248</f>
        <v/>
      </c>
      <c r="L1248" s="31" t="str">
        <f>CASOPOInvCL!X1248</f>
        <v/>
      </c>
      <c r="M1248" t="s">
        <v>5945</v>
      </c>
      <c r="N1248" s="5" t="str">
        <f>CASOPOInvCL!AF1248</f>
        <v>Les Pompes du St-Laurent Inc.</v>
      </c>
      <c r="O1248" s="16" t="str">
        <f>CASOPOInvCL!AG1248</f>
        <v>CAD</v>
      </c>
      <c r="P1248" s="16">
        <f>CASOPOInvCL!AH1248</f>
        <v>2763.21</v>
      </c>
      <c r="Q1248" s="16">
        <f>CASOPOInvCL!AI1248</f>
        <v>1969.2975273527534</v>
      </c>
      <c r="R1248" s="32" t="str">
        <f>CASOPOInvCL!AU1248</f>
        <v/>
      </c>
      <c r="S1248" s="16">
        <f>CASOPOInvCL!AV1248</f>
        <v>0</v>
      </c>
      <c r="T1248" s="16">
        <f>CASOPOInvCL!AW1248</f>
        <v>0</v>
      </c>
      <c r="Y1248" s="29" t="str">
        <f>IFERROR(HLOOKUP(U1248,List!$D$2:$H$6,2,FALSE),"")</f>
        <v/>
      </c>
      <c r="Z1248" s="29" t="str">
        <f>IFERROR(HLOOKUP(V1248,List!$D$2:$H$6,3,FALSE),"")</f>
        <v/>
      </c>
      <c r="AA1248" s="29" t="str">
        <f>IFERROR(HLOOKUP(W1248,List!$D$2:$H$6,4,FALSE),"")</f>
        <v/>
      </c>
      <c r="AB1248" s="29" t="str">
        <f>IFERROR(HLOOKUP(X1248,List!$D$2:$H$6,5,FALSE),"")</f>
        <v/>
      </c>
      <c r="AC1248" s="12" t="str">
        <f t="shared" si="296"/>
        <v/>
      </c>
      <c r="AD1248" s="12" t="str">
        <f t="shared" si="297"/>
        <v/>
      </c>
      <c r="AE1248" s="12" t="str">
        <f t="shared" si="298"/>
        <v/>
      </c>
      <c r="AF1248" s="12" t="str">
        <f t="shared" si="299"/>
        <v/>
      </c>
      <c r="AG1248" t="str">
        <f>VLOOKUP(J1248,'Receivable Invoice Detail'!$A$1:F4260,6,FALSE)</f>
        <v>[G-RD04539AA 1013] Frame, 3196 STX, Cast Iron, Includes Sight Glass and Plugs</v>
      </c>
      <c r="AM1248" s="12" t="str">
        <f t="shared" si="300"/>
        <v/>
      </c>
      <c r="AN1248" s="12" t="str">
        <f t="shared" si="301"/>
        <v/>
      </c>
      <c r="AO1248" s="12" t="str">
        <f t="shared" si="302"/>
        <v/>
      </c>
      <c r="AP1248" s="12" t="str">
        <f t="shared" si="303"/>
        <v/>
      </c>
      <c r="AQ1248" s="64" t="str">
        <f t="shared" si="294"/>
        <v/>
      </c>
      <c r="AS1248" s="12">
        <f t="shared" si="295"/>
        <v>0</v>
      </c>
      <c r="AT1248" t="s">
        <v>5945</v>
      </c>
    </row>
    <row r="1249" spans="1:46" hidden="1" x14ac:dyDescent="0.25">
      <c r="A1249" s="41">
        <f>CASOPOInvCL!T1249</f>
        <v>0</v>
      </c>
      <c r="B1249" t="str">
        <f>CASOPOInvCL!Z1249</f>
        <v>SO18324</v>
      </c>
      <c r="G1249" s="5" t="str">
        <f>CASOPOInvCL!I1249</f>
        <v>Alexis Gil Lamadrid</v>
      </c>
      <c r="H1249" s="31">
        <f>CASOPOInvCL!U1249</f>
        <v>11</v>
      </c>
      <c r="I1249" s="31">
        <f>CASOPOInvCL!V1249</f>
        <v>2025</v>
      </c>
      <c r="J1249" s="5" t="str">
        <f>CASOPOInvCL!AB1249</f>
        <v>No Inv</v>
      </c>
      <c r="K1249" s="31" t="str">
        <f>CASOPOInvCL!W1249</f>
        <v/>
      </c>
      <c r="L1249" s="31" t="str">
        <f>CASOPOInvCL!X1249</f>
        <v/>
      </c>
      <c r="M1249" t="s">
        <v>5945</v>
      </c>
      <c r="N1249" s="5" t="str">
        <f>CASOPOInvCL!AF1249</f>
        <v>Canadian Bearings Ltd.</v>
      </c>
      <c r="O1249" s="16" t="str">
        <f>CASOPOInvCL!AG1249</f>
        <v>CAD</v>
      </c>
      <c r="P1249" s="16">
        <f>CASOPOInvCL!AH1249</f>
        <v>80.040000000000006</v>
      </c>
      <c r="Q1249" s="16">
        <f>CASOPOInvCL!AI1249</f>
        <v>57.364359416656136</v>
      </c>
      <c r="R1249" s="32" t="str">
        <f>CASOPOInvCL!AU1249</f>
        <v/>
      </c>
      <c r="S1249" s="16">
        <f>CASOPOInvCL!AV1249</f>
        <v>0</v>
      </c>
      <c r="T1249" s="16">
        <f>CASOPOInvCL!AW1249</f>
        <v>0</v>
      </c>
      <c r="Y1249" s="29" t="str">
        <f>IFERROR(HLOOKUP(U1249,List!$D$2:$H$6,2,FALSE),"")</f>
        <v/>
      </c>
      <c r="Z1249" s="29" t="str">
        <f>IFERROR(HLOOKUP(V1249,List!$D$2:$H$6,3,FALSE),"")</f>
        <v/>
      </c>
      <c r="AA1249" s="29" t="str">
        <f>IFERROR(HLOOKUP(W1249,List!$D$2:$H$6,4,FALSE),"")</f>
        <v/>
      </c>
      <c r="AB1249" s="29" t="str">
        <f>IFERROR(HLOOKUP(X1249,List!$D$2:$H$6,5,FALSE),"")</f>
        <v/>
      </c>
      <c r="AC1249" s="12" t="str">
        <f t="shared" si="296"/>
        <v/>
      </c>
      <c r="AD1249" s="12" t="str">
        <f t="shared" si="297"/>
        <v/>
      </c>
      <c r="AE1249" s="12" t="str">
        <f t="shared" si="298"/>
        <v/>
      </c>
      <c r="AF1249" s="12" t="str">
        <f t="shared" si="299"/>
        <v/>
      </c>
      <c r="AG1249" t="e">
        <f>VLOOKUP(J1249,'Receivable Invoice Detail'!$A$1:F4261,6,FALSE)</f>
        <v>#N/A</v>
      </c>
      <c r="AM1249" s="12" t="str">
        <f t="shared" si="300"/>
        <v/>
      </c>
      <c r="AN1249" s="12" t="str">
        <f t="shared" si="301"/>
        <v/>
      </c>
      <c r="AO1249" s="12" t="str">
        <f t="shared" si="302"/>
        <v/>
      </c>
      <c r="AP1249" s="12" t="str">
        <f t="shared" si="303"/>
        <v/>
      </c>
      <c r="AQ1249" s="64" t="str">
        <f t="shared" si="294"/>
        <v/>
      </c>
      <c r="AS1249" s="12">
        <f t="shared" si="295"/>
        <v>0</v>
      </c>
      <c r="AT1249" t="s">
        <v>5945</v>
      </c>
    </row>
    <row r="1250" spans="1:46" hidden="1" x14ac:dyDescent="0.25">
      <c r="A1250" s="41">
        <f>CASOPOInvCL!T1250</f>
        <v>0</v>
      </c>
      <c r="B1250" t="str">
        <f>CASOPOInvCL!Z1250</f>
        <v>SO18325</v>
      </c>
      <c r="G1250" s="5" t="str">
        <f>CASOPOInvCL!I1250</f>
        <v>Wilka Nuñez</v>
      </c>
      <c r="H1250" s="31">
        <f>CASOPOInvCL!U1250</f>
        <v>11</v>
      </c>
      <c r="I1250" s="31">
        <f>CASOPOInvCL!V1250</f>
        <v>2025</v>
      </c>
      <c r="J1250" s="5" t="str">
        <f>CASOPOInvCL!AB1250</f>
        <v>No Inv</v>
      </c>
      <c r="K1250" s="31" t="str">
        <f>CASOPOInvCL!W1250</f>
        <v/>
      </c>
      <c r="L1250" s="31" t="str">
        <f>CASOPOInvCL!X1250</f>
        <v/>
      </c>
      <c r="M1250" t="s">
        <v>5945</v>
      </c>
      <c r="N1250" s="5" t="str">
        <f>CASOPOInvCL!AF1250</f>
        <v>Wild Rows Pump &amp; Compression LTD., Wild Rows Pump &amp; Compression LTD.</v>
      </c>
      <c r="O1250" s="16" t="str">
        <f>CASOPOInvCL!AG1250</f>
        <v>CAD</v>
      </c>
      <c r="P1250" s="16">
        <f>CASOPOInvCL!AH1250</f>
        <v>488.72</v>
      </c>
      <c r="Q1250" s="16">
        <f>CASOPOInvCL!AI1250</f>
        <v>348.30327321044643</v>
      </c>
      <c r="R1250" s="32" t="str">
        <f>CASOPOInvCL!AU1250</f>
        <v/>
      </c>
      <c r="S1250" s="16">
        <f>CASOPOInvCL!AV1250</f>
        <v>0</v>
      </c>
      <c r="T1250" s="16">
        <f>CASOPOInvCL!AW1250</f>
        <v>0</v>
      </c>
      <c r="Y1250" s="29" t="str">
        <f>IFERROR(HLOOKUP(U1250,List!$D$2:$H$6,2,FALSE),"")</f>
        <v/>
      </c>
      <c r="Z1250" s="29" t="str">
        <f>IFERROR(HLOOKUP(V1250,List!$D$2:$H$6,3,FALSE),"")</f>
        <v/>
      </c>
      <c r="AA1250" s="29" t="str">
        <f>IFERROR(HLOOKUP(W1250,List!$D$2:$H$6,4,FALSE),"")</f>
        <v/>
      </c>
      <c r="AB1250" s="29" t="str">
        <f>IFERROR(HLOOKUP(X1250,List!$D$2:$H$6,5,FALSE),"")</f>
        <v/>
      </c>
      <c r="AC1250" s="12" t="str">
        <f t="shared" si="296"/>
        <v/>
      </c>
      <c r="AD1250" s="12" t="str">
        <f t="shared" si="297"/>
        <v/>
      </c>
      <c r="AE1250" s="12" t="str">
        <f t="shared" si="298"/>
        <v/>
      </c>
      <c r="AF1250" s="12" t="str">
        <f t="shared" si="299"/>
        <v/>
      </c>
      <c r="AG1250" t="e">
        <f>VLOOKUP(J1250,'Receivable Invoice Detail'!$A$1:F4262,6,FALSE)</f>
        <v>#N/A</v>
      </c>
      <c r="AM1250" s="12" t="str">
        <f t="shared" si="300"/>
        <v/>
      </c>
      <c r="AN1250" s="12" t="str">
        <f t="shared" si="301"/>
        <v/>
      </c>
      <c r="AO1250" s="12" t="str">
        <f t="shared" si="302"/>
        <v/>
      </c>
      <c r="AP1250" s="12" t="str">
        <f t="shared" si="303"/>
        <v/>
      </c>
      <c r="AQ1250" s="64" t="str">
        <f t="shared" si="294"/>
        <v/>
      </c>
      <c r="AS1250" s="12">
        <f t="shared" si="295"/>
        <v>0</v>
      </c>
      <c r="AT1250" t="s">
        <v>5945</v>
      </c>
    </row>
    <row r="1251" spans="1:46" hidden="1" x14ac:dyDescent="0.25">
      <c r="A1251" s="41">
        <f>CASOPOInvCL!T1251</f>
        <v>1</v>
      </c>
      <c r="B1251" t="str">
        <f>CASOPOInvCL!Z1251</f>
        <v>SO18326</v>
      </c>
      <c r="G1251" s="5" t="str">
        <f>CASOPOInvCL!I1251</f>
        <v>Alexis Gil Lamadrid</v>
      </c>
      <c r="H1251" s="31">
        <f>CASOPOInvCL!U1251</f>
        <v>11</v>
      </c>
      <c r="I1251" s="31">
        <f>CASOPOInvCL!V1251</f>
        <v>2025</v>
      </c>
      <c r="J1251" s="5" t="str">
        <f>CASOPOInvCL!AB1251</f>
        <v>INV13720</v>
      </c>
      <c r="K1251" s="31" t="str">
        <f>CASOPOInvCL!W1251</f>
        <v/>
      </c>
      <c r="L1251" s="31" t="str">
        <f>CASOPOInvCL!X1251</f>
        <v/>
      </c>
      <c r="M1251" t="s">
        <v>5945</v>
      </c>
      <c r="N1251" s="5" t="str">
        <f>CASOPOInvCL!AF1251</f>
        <v>Moffatt Supply &amp; Specialties - Red Lake</v>
      </c>
      <c r="O1251" s="16" t="str">
        <f>CASOPOInvCL!AG1251</f>
        <v>CAD</v>
      </c>
      <c r="P1251" s="16">
        <f>CASOPOInvCL!AH1251</f>
        <v>1078.97</v>
      </c>
      <c r="Q1251" s="16">
        <f>CASOPOInvCL!AI1251</f>
        <v>768.96542538851565</v>
      </c>
      <c r="R1251" s="32" t="str">
        <f>CASOPOInvCL!AU1251</f>
        <v/>
      </c>
      <c r="S1251" s="16">
        <f>CASOPOInvCL!AV1251</f>
        <v>0</v>
      </c>
      <c r="T1251" s="16">
        <f>CASOPOInvCL!AW1251</f>
        <v>0</v>
      </c>
      <c r="Y1251" s="29" t="str">
        <f>IFERROR(HLOOKUP(U1251,List!$D$2:$H$6,2,FALSE),"")</f>
        <v/>
      </c>
      <c r="Z1251" s="29" t="str">
        <f>IFERROR(HLOOKUP(V1251,List!$D$2:$H$6,3,FALSE),"")</f>
        <v/>
      </c>
      <c r="AA1251" s="29" t="str">
        <f>IFERROR(HLOOKUP(W1251,List!$D$2:$H$6,4,FALSE),"")</f>
        <v/>
      </c>
      <c r="AB1251" s="29" t="str">
        <f>IFERROR(HLOOKUP(X1251,List!$D$2:$H$6,5,FALSE),"")</f>
        <v/>
      </c>
      <c r="AC1251" s="12" t="str">
        <f t="shared" si="296"/>
        <v/>
      </c>
      <c r="AD1251" s="12" t="str">
        <f t="shared" si="297"/>
        <v/>
      </c>
      <c r="AE1251" s="12" t="str">
        <f t="shared" si="298"/>
        <v/>
      </c>
      <c r="AF1251" s="12" t="str">
        <f t="shared" si="299"/>
        <v/>
      </c>
      <c r="AG1251" t="str">
        <f>VLOOKUP(J1251,'Receivable Invoice Detail'!$A$1:F4263,6,FALSE)</f>
        <v>[AC-98-330-289-501] Impeller (Open), 5x5-14 SRL, Natural Rubber</v>
      </c>
      <c r="AM1251" s="12" t="str">
        <f t="shared" si="300"/>
        <v/>
      </c>
      <c r="AN1251" s="12" t="str">
        <f t="shared" si="301"/>
        <v/>
      </c>
      <c r="AO1251" s="12" t="str">
        <f t="shared" si="302"/>
        <v/>
      </c>
      <c r="AP1251" s="12" t="str">
        <f t="shared" si="303"/>
        <v/>
      </c>
      <c r="AQ1251" s="64" t="str">
        <f t="shared" si="294"/>
        <v/>
      </c>
      <c r="AS1251" s="12">
        <f t="shared" si="295"/>
        <v>5.0757070958094053</v>
      </c>
      <c r="AT1251" t="s">
        <v>5945</v>
      </c>
    </row>
    <row r="1252" spans="1:46" hidden="1" x14ac:dyDescent="0.25">
      <c r="A1252" s="41">
        <f>CASOPOInvCL!T1252</f>
        <v>1</v>
      </c>
      <c r="B1252" t="str">
        <f>CASOPOInvCL!Z1252</f>
        <v>SO18327</v>
      </c>
      <c r="G1252" s="5" t="str">
        <f>CASOPOInvCL!I1252</f>
        <v>Wilka Nuñez</v>
      </c>
      <c r="H1252" s="31">
        <f>CASOPOInvCL!U1252</f>
        <v>11</v>
      </c>
      <c r="I1252" s="31">
        <f>CASOPOInvCL!V1252</f>
        <v>2025</v>
      </c>
      <c r="J1252" s="5" t="str">
        <f>CASOPOInvCL!AB1252</f>
        <v>INV13717</v>
      </c>
      <c r="K1252" s="31" t="str">
        <f>CASOPOInvCL!W1252</f>
        <v/>
      </c>
      <c r="L1252" s="31" t="str">
        <f>CASOPOInvCL!X1252</f>
        <v/>
      </c>
      <c r="M1252" t="s">
        <v>5945</v>
      </c>
      <c r="N1252" s="5" t="str">
        <f>CASOPOInvCL!AF1252</f>
        <v>Eleazar General &amp; Industrial Supplies Limited</v>
      </c>
      <c r="O1252" s="16" t="str">
        <f>CASOPOInvCL!AG1252</f>
        <v>USD</v>
      </c>
      <c r="P1252" s="16">
        <f>CASOPOInvCL!AH1252</f>
        <v>4475.9075064280923</v>
      </c>
      <c r="Q1252" s="16">
        <f>CASOPOInvCL!AI1252</f>
        <v>3203</v>
      </c>
      <c r="R1252" s="32" t="str">
        <f>CASOPOInvCL!AU1252</f>
        <v/>
      </c>
      <c r="S1252" s="16">
        <f>CASOPOInvCL!AV1252</f>
        <v>0</v>
      </c>
      <c r="T1252" s="16">
        <f>CASOPOInvCL!AW1252</f>
        <v>0</v>
      </c>
      <c r="Y1252" s="29" t="str">
        <f>IFERROR(HLOOKUP(U1252,List!$D$2:$H$6,2,FALSE),"")</f>
        <v/>
      </c>
      <c r="Z1252" s="29" t="str">
        <f>IFERROR(HLOOKUP(V1252,List!$D$2:$H$6,3,FALSE),"")</f>
        <v/>
      </c>
      <c r="AA1252" s="29" t="str">
        <f>IFERROR(HLOOKUP(W1252,List!$D$2:$H$6,4,FALSE),"")</f>
        <v/>
      </c>
      <c r="AB1252" s="29" t="str">
        <f>IFERROR(HLOOKUP(X1252,List!$D$2:$H$6,5,FALSE),"")</f>
        <v/>
      </c>
      <c r="AC1252" s="12" t="str">
        <f t="shared" si="296"/>
        <v/>
      </c>
      <c r="AD1252" s="12" t="str">
        <f t="shared" si="297"/>
        <v/>
      </c>
      <c r="AE1252" s="12" t="str">
        <f t="shared" si="298"/>
        <v/>
      </c>
      <c r="AF1252" s="12" t="str">
        <f t="shared" si="299"/>
        <v/>
      </c>
      <c r="AG1252" t="str">
        <f>VLOOKUP(J1252,'Receivable Invoice Detail'!$A$1:F4264,6,FALSE)</f>
        <v>[W-F8147/R55] Impeller, 10/8 E-M, Natural Rubber</v>
      </c>
      <c r="AM1252" s="12" t="str">
        <f t="shared" si="300"/>
        <v/>
      </c>
      <c r="AN1252" s="12" t="str">
        <f t="shared" si="301"/>
        <v/>
      </c>
      <c r="AO1252" s="12" t="str">
        <f t="shared" si="302"/>
        <v/>
      </c>
      <c r="AP1252" s="12" t="str">
        <f t="shared" si="303"/>
        <v/>
      </c>
      <c r="AQ1252" s="64" t="str">
        <f t="shared" si="294"/>
        <v/>
      </c>
      <c r="AS1252" s="12">
        <f t="shared" si="295"/>
        <v>0</v>
      </c>
      <c r="AT1252" t="s">
        <v>5945</v>
      </c>
    </row>
    <row r="1253" spans="1:46" hidden="1" x14ac:dyDescent="0.25">
      <c r="A1253" s="41">
        <f>CASOPOInvCL!T1253</f>
        <v>1</v>
      </c>
      <c r="B1253" t="str">
        <f>CASOPOInvCL!Z1253</f>
        <v>SO18329</v>
      </c>
      <c r="G1253" s="5" t="str">
        <f>CASOPOInvCL!I1253</f>
        <v>Ian Trottier</v>
      </c>
      <c r="H1253" s="31">
        <f>CASOPOInvCL!U1253</f>
        <v>11</v>
      </c>
      <c r="I1253" s="31">
        <f>CASOPOInvCL!V1253</f>
        <v>2025</v>
      </c>
      <c r="J1253" s="5" t="str">
        <f>CASOPOInvCL!AB1253</f>
        <v>INV13725</v>
      </c>
      <c r="K1253" s="31" t="str">
        <f>CASOPOInvCL!W1253</f>
        <v/>
      </c>
      <c r="L1253" s="31" t="str">
        <f>CASOPOInvCL!X1253</f>
        <v/>
      </c>
      <c r="M1253" t="s">
        <v>5945</v>
      </c>
      <c r="N1253" s="5" t="str">
        <f>CASOPOInvCL!AF1253</f>
        <v>Resolute Forest Products - Saint-Felicien</v>
      </c>
      <c r="O1253" s="16" t="str">
        <f>CASOPOInvCL!AG1253</f>
        <v>CAD</v>
      </c>
      <c r="P1253" s="16">
        <f>CASOPOInvCL!AH1253</f>
        <v>87.85</v>
      </c>
      <c r="Q1253" s="16">
        <f>CASOPOInvCL!AI1253</f>
        <v>62.858457705238784</v>
      </c>
      <c r="R1253" s="32" t="str">
        <f>CASOPOInvCL!AU1253</f>
        <v/>
      </c>
      <c r="S1253" s="16">
        <f>CASOPOInvCL!AV1253</f>
        <v>0</v>
      </c>
      <c r="T1253" s="16">
        <f>CASOPOInvCL!AW1253</f>
        <v>0</v>
      </c>
      <c r="Y1253" s="29" t="str">
        <f>IFERROR(HLOOKUP(U1253,List!$D$2:$H$6,2,FALSE),"")</f>
        <v/>
      </c>
      <c r="Z1253" s="29" t="str">
        <f>IFERROR(HLOOKUP(V1253,List!$D$2:$H$6,3,FALSE),"")</f>
        <v/>
      </c>
      <c r="AA1253" s="29" t="str">
        <f>IFERROR(HLOOKUP(W1253,List!$D$2:$H$6,4,FALSE),"")</f>
        <v/>
      </c>
      <c r="AB1253" s="29" t="str">
        <f>IFERROR(HLOOKUP(X1253,List!$D$2:$H$6,5,FALSE),"")</f>
        <v/>
      </c>
      <c r="AC1253" s="12" t="str">
        <f t="shared" si="296"/>
        <v/>
      </c>
      <c r="AD1253" s="12" t="str">
        <f t="shared" si="297"/>
        <v/>
      </c>
      <c r="AE1253" s="12" t="str">
        <f t="shared" si="298"/>
        <v/>
      </c>
      <c r="AF1253" s="12" t="str">
        <f t="shared" si="299"/>
        <v/>
      </c>
      <c r="AG1253" t="str">
        <f>VLOOKUP(J1253,'Receivable Invoice Detail'!$A$1:F4265,6,FALSE)</f>
        <v>[AC-98-131-246-509  -  52-108-475-014] Deflector (Outboard), Allis-Chalmers PWO, Group 3</v>
      </c>
      <c r="AM1253" s="12" t="str">
        <f t="shared" si="300"/>
        <v/>
      </c>
      <c r="AN1253" s="12" t="str">
        <f t="shared" si="301"/>
        <v/>
      </c>
      <c r="AO1253" s="12" t="str">
        <f t="shared" si="302"/>
        <v/>
      </c>
      <c r="AP1253" s="12" t="str">
        <f t="shared" si="303"/>
        <v/>
      </c>
      <c r="AQ1253" s="64" t="str">
        <f t="shared" si="294"/>
        <v/>
      </c>
      <c r="AS1253" s="12">
        <f t="shared" si="295"/>
        <v>0</v>
      </c>
      <c r="AT1253" t="s">
        <v>5945</v>
      </c>
    </row>
    <row r="1254" spans="1:46" hidden="1" x14ac:dyDescent="0.25">
      <c r="A1254" s="41">
        <f>CASOPOInvCL!T1254</f>
        <v>1</v>
      </c>
      <c r="B1254" t="str">
        <f>CASOPOInvCL!Z1254</f>
        <v>SO18330</v>
      </c>
      <c r="G1254" s="5" t="str">
        <f>CASOPOInvCL!I1254</f>
        <v>Wilka Nuñez</v>
      </c>
      <c r="H1254" s="31">
        <f>CASOPOInvCL!U1254</f>
        <v>11</v>
      </c>
      <c r="I1254" s="31">
        <f>CASOPOInvCL!V1254</f>
        <v>2025</v>
      </c>
      <c r="J1254" s="5" t="str">
        <f>CASOPOInvCL!AB1254</f>
        <v>INV13783</v>
      </c>
      <c r="K1254" s="31" t="str">
        <f>CASOPOInvCL!W1254</f>
        <v/>
      </c>
      <c r="L1254" s="31" t="str">
        <f>CASOPOInvCL!X1254</f>
        <v/>
      </c>
      <c r="N1254" s="5" t="str">
        <f>CASOPOInvCL!AF1254</f>
        <v>Manufacture Sling-Choker (Val-d’Or) Ltée</v>
      </c>
      <c r="O1254" s="16" t="str">
        <f>CASOPOInvCL!AG1254</f>
        <v>CAD</v>
      </c>
      <c r="P1254" s="16">
        <f>CASOPOInvCL!AH1254</f>
        <v>1394.21</v>
      </c>
      <c r="Q1254" s="16">
        <f>CASOPOInvCL!AI1254</f>
        <v>1011.3501124899274</v>
      </c>
      <c r="R1254" s="32" t="str">
        <f>CASOPOInvCL!AU1254</f>
        <v/>
      </c>
      <c r="S1254" s="16">
        <f>CASOPOInvCL!AV1254</f>
        <v>0</v>
      </c>
      <c r="T1254" s="16">
        <f>CASOPOInvCL!AW1254</f>
        <v>0</v>
      </c>
      <c r="Y1254" s="29" t="str">
        <f>IFERROR(HLOOKUP(U1254,List!$D$2:$H$6,2,FALSE),"")</f>
        <v/>
      </c>
      <c r="Z1254" s="29" t="str">
        <f>IFERROR(HLOOKUP(V1254,List!$D$2:$H$6,3,FALSE),"")</f>
        <v/>
      </c>
      <c r="AA1254" s="29" t="str">
        <f>IFERROR(HLOOKUP(W1254,List!$D$2:$H$6,4,FALSE),"")</f>
        <v/>
      </c>
      <c r="AB1254" s="29" t="str">
        <f>IFERROR(HLOOKUP(X1254,List!$D$2:$H$6,5,FALSE),"")</f>
        <v/>
      </c>
      <c r="AC1254" s="12" t="str">
        <f t="shared" si="296"/>
        <v/>
      </c>
      <c r="AD1254" s="12" t="str">
        <f t="shared" si="297"/>
        <v/>
      </c>
      <c r="AE1254" s="12" t="str">
        <f t="shared" si="298"/>
        <v/>
      </c>
      <c r="AF1254" s="12" t="str">
        <f t="shared" si="299"/>
        <v/>
      </c>
      <c r="AG1254" t="str">
        <f>VLOOKUP(J1254,'Receivable Invoice Detail'!$A$1:F4266,6,FALSE)</f>
        <v>[OLPWZ011005B, G-A04951A218] Bearing Isolator (Inboard), 3196 MTX/MTi, 303SS Rotor / Bronze Stator w/Viton</v>
      </c>
      <c r="AM1254" s="12" t="str">
        <f t="shared" si="300"/>
        <v/>
      </c>
      <c r="AN1254" s="12" t="str">
        <f t="shared" si="301"/>
        <v/>
      </c>
      <c r="AO1254" s="12" t="str">
        <f t="shared" si="302"/>
        <v/>
      </c>
      <c r="AP1254" s="12" t="str">
        <f t="shared" si="303"/>
        <v/>
      </c>
      <c r="AQ1254" s="64"/>
      <c r="AS1254" s="12">
        <f t="shared" si="295"/>
        <v>0</v>
      </c>
    </row>
    <row r="1255" spans="1:46" hidden="1" x14ac:dyDescent="0.25">
      <c r="A1255" s="41">
        <f>CASOPOInvCL!T1255</f>
        <v>0</v>
      </c>
      <c r="B1255" t="str">
        <f>CASOPOInvCL!Z1255</f>
        <v>SO18331</v>
      </c>
      <c r="G1255" s="5" t="str">
        <f>CASOPOInvCL!I1255</f>
        <v>Ian Trottier</v>
      </c>
      <c r="H1255" s="31">
        <f>CASOPOInvCL!U1255</f>
        <v>11</v>
      </c>
      <c r="I1255" s="31">
        <f>CASOPOInvCL!V1255</f>
        <v>2025</v>
      </c>
      <c r="J1255" s="5" t="str">
        <f>CASOPOInvCL!AB1255</f>
        <v>No Inv</v>
      </c>
      <c r="K1255" s="31" t="str">
        <f>CASOPOInvCL!W1255</f>
        <v/>
      </c>
      <c r="L1255" s="31" t="str">
        <f>CASOPOInvCL!X1255</f>
        <v/>
      </c>
      <c r="N1255" s="5" t="str">
        <f>CASOPOInvCL!AF1255</f>
        <v>Motion Industries Inc. (U.S.) - Mason City</v>
      </c>
      <c r="O1255" s="16" t="str">
        <f>CASOPOInvCL!AG1255</f>
        <v>USD</v>
      </c>
      <c r="P1255" s="16">
        <f>CASOPOInvCL!AH1255</f>
        <v>42413.238904991347</v>
      </c>
      <c r="Q1255" s="16">
        <f>CASOPOInvCL!AI1255</f>
        <v>30654.959999999999</v>
      </c>
      <c r="R1255" s="32" t="str">
        <f>CASOPOInvCL!AU1255</f>
        <v/>
      </c>
      <c r="S1255" s="16">
        <f>CASOPOInvCL!AV1255</f>
        <v>0</v>
      </c>
      <c r="T1255" s="16">
        <f>CASOPOInvCL!AW1255</f>
        <v>0</v>
      </c>
      <c r="Y1255" s="29" t="str">
        <f>IFERROR(HLOOKUP(U1255,List!$D$2:$H$6,2,FALSE),"")</f>
        <v/>
      </c>
      <c r="Z1255" s="29" t="str">
        <f>IFERROR(HLOOKUP(V1255,List!$D$2:$H$6,3,FALSE),"")</f>
        <v/>
      </c>
      <c r="AA1255" s="29" t="str">
        <f>IFERROR(HLOOKUP(W1255,List!$D$2:$H$6,4,FALSE),"")</f>
        <v/>
      </c>
      <c r="AB1255" s="29" t="str">
        <f>IFERROR(HLOOKUP(X1255,List!$D$2:$H$6,5,FALSE),"")</f>
        <v/>
      </c>
      <c r="AC1255" s="12" t="str">
        <f t="shared" si="296"/>
        <v/>
      </c>
      <c r="AD1255" s="12" t="str">
        <f t="shared" si="297"/>
        <v/>
      </c>
      <c r="AE1255" s="12" t="str">
        <f t="shared" si="298"/>
        <v/>
      </c>
      <c r="AF1255" s="12" t="str">
        <f t="shared" si="299"/>
        <v/>
      </c>
      <c r="AG1255" t="e">
        <f>VLOOKUP(J1255,'Receivable Invoice Detail'!$A$1:F4267,6,FALSE)</f>
        <v>#N/A</v>
      </c>
      <c r="AM1255" s="12" t="str">
        <f t="shared" si="300"/>
        <v/>
      </c>
      <c r="AN1255" s="12" t="str">
        <f t="shared" si="301"/>
        <v/>
      </c>
      <c r="AO1255" s="12" t="str">
        <f t="shared" si="302"/>
        <v/>
      </c>
      <c r="AP1255" s="12" t="str">
        <f t="shared" si="303"/>
        <v/>
      </c>
      <c r="AQ1255" s="64"/>
      <c r="AS1255" s="12">
        <f t="shared" si="295"/>
        <v>0</v>
      </c>
    </row>
    <row r="1256" spans="1:46" hidden="1" x14ac:dyDescent="0.25">
      <c r="A1256" s="41">
        <f>CASOPOInvCL!T1256</f>
        <v>0</v>
      </c>
      <c r="B1256" t="str">
        <f>CASOPOInvCL!Z1256</f>
        <v>SO18335</v>
      </c>
      <c r="G1256" s="5" t="str">
        <f>CASOPOInvCL!I1256</f>
        <v>Amanda Qiao</v>
      </c>
      <c r="H1256" s="31">
        <f>CASOPOInvCL!U1256</f>
        <v>12</v>
      </c>
      <c r="I1256" s="31">
        <f>CASOPOInvCL!V1256</f>
        <v>2025</v>
      </c>
      <c r="J1256" s="5" t="str">
        <f>CASOPOInvCL!AB1256</f>
        <v>No Inv</v>
      </c>
      <c r="K1256" s="31" t="str">
        <f>CASOPOInvCL!W1256</f>
        <v/>
      </c>
      <c r="L1256" s="31" t="str">
        <f>CASOPOInvCL!X1256</f>
        <v/>
      </c>
      <c r="N1256" s="5" t="str">
        <f>CASOPOInvCL!AF1256</f>
        <v>Zijin Mining - Rosebel Goldmines N.V.</v>
      </c>
      <c r="O1256" s="16" t="str">
        <f>CASOPOInvCL!AG1256</f>
        <v>USD</v>
      </c>
      <c r="P1256" s="16">
        <f>CASOPOInvCL!AH1256</f>
        <v>11755.905351953827</v>
      </c>
      <c r="Q1256" s="16">
        <f>CASOPOInvCL!AI1256</f>
        <v>8496.7999999999993</v>
      </c>
      <c r="R1256" s="32" t="str">
        <f>CASOPOInvCL!AU1256</f>
        <v/>
      </c>
      <c r="S1256" s="16">
        <f>CASOPOInvCL!AV1256</f>
        <v>0</v>
      </c>
      <c r="T1256" s="16">
        <f>CASOPOInvCL!AW1256</f>
        <v>0</v>
      </c>
      <c r="Y1256" s="29" t="str">
        <f>IFERROR(HLOOKUP(U1256,List!$D$2:$H$6,2,FALSE),"")</f>
        <v/>
      </c>
      <c r="Z1256" s="29" t="str">
        <f>IFERROR(HLOOKUP(V1256,List!$D$2:$H$6,3,FALSE),"")</f>
        <v/>
      </c>
      <c r="AA1256" s="29" t="str">
        <f>IFERROR(HLOOKUP(W1256,List!$D$2:$H$6,4,FALSE),"")</f>
        <v/>
      </c>
      <c r="AB1256" s="29" t="str">
        <f>IFERROR(HLOOKUP(X1256,List!$D$2:$H$6,5,FALSE),"")</f>
        <v/>
      </c>
      <c r="AC1256" s="12" t="str">
        <f t="shared" si="296"/>
        <v/>
      </c>
      <c r="AD1256" s="12" t="str">
        <f t="shared" si="297"/>
        <v/>
      </c>
      <c r="AE1256" s="12" t="str">
        <f t="shared" si="298"/>
        <v/>
      </c>
      <c r="AF1256" s="12" t="str">
        <f t="shared" si="299"/>
        <v/>
      </c>
      <c r="AG1256" t="e">
        <f>VLOOKUP(J1256,'Receivable Invoice Detail'!$A$1:F4268,6,FALSE)</f>
        <v>#N/A</v>
      </c>
      <c r="AM1256" s="12" t="str">
        <f t="shared" si="300"/>
        <v/>
      </c>
      <c r="AN1256" s="12" t="str">
        <f t="shared" si="301"/>
        <v/>
      </c>
      <c r="AO1256" s="12" t="str">
        <f t="shared" si="302"/>
        <v/>
      </c>
      <c r="AP1256" s="12" t="str">
        <f t="shared" si="303"/>
        <v/>
      </c>
      <c r="AQ1256" s="64"/>
      <c r="AS1256" s="12">
        <f t="shared" si="295"/>
        <v>0</v>
      </c>
    </row>
    <row r="1257" spans="1:46" hidden="1" x14ac:dyDescent="0.25">
      <c r="A1257" s="41">
        <f>CASOPOInvCL!T1257</f>
        <v>1</v>
      </c>
      <c r="B1257" t="str">
        <f>CASOPOInvCL!Z1257</f>
        <v>SO18337</v>
      </c>
      <c r="G1257" s="5" t="str">
        <f>CASOPOInvCL!I1257</f>
        <v>Ian Trottier</v>
      </c>
      <c r="H1257" s="31">
        <f>CASOPOInvCL!U1257</f>
        <v>12</v>
      </c>
      <c r="I1257" s="31">
        <f>CASOPOInvCL!V1257</f>
        <v>2025</v>
      </c>
      <c r="J1257" s="5" t="str">
        <f>CASOPOInvCL!AB1257</f>
        <v>INV13771</v>
      </c>
      <c r="K1257" s="31" t="str">
        <f>CASOPOInvCL!W1257</f>
        <v/>
      </c>
      <c r="L1257" s="31" t="str">
        <f>CASOPOInvCL!X1257</f>
        <v/>
      </c>
      <c r="M1257" t="s">
        <v>5945</v>
      </c>
      <c r="N1257" s="5" t="str">
        <f>CASOPOInvCL!AF1257</f>
        <v>Les Pompes du St-Laurent Inc.</v>
      </c>
      <c r="O1257" s="16" t="str">
        <f>CASOPOInvCL!AG1257</f>
        <v>CAD</v>
      </c>
      <c r="P1257" s="16">
        <f>CASOPOInvCL!AH1257</f>
        <v>9738.39</v>
      </c>
      <c r="Q1257" s="16">
        <f>CASOPOInvCL!AI1257</f>
        <v>6960.8318337043947</v>
      </c>
      <c r="R1257" s="32" t="str">
        <f>CASOPOInvCL!AU1257</f>
        <v/>
      </c>
      <c r="S1257" s="16">
        <f>CASOPOInvCL!AV1257</f>
        <v>0</v>
      </c>
      <c r="T1257" s="16">
        <f>CASOPOInvCL!AW1257</f>
        <v>0</v>
      </c>
      <c r="Y1257" s="29" t="str">
        <f>IFERROR(HLOOKUP(U1257,List!$D$2:$H$6,2,FALSE),"")</f>
        <v/>
      </c>
      <c r="Z1257" s="29" t="str">
        <f>IFERROR(HLOOKUP(V1257,List!$D$2:$H$6,3,FALSE),"")</f>
        <v/>
      </c>
      <c r="AA1257" s="29" t="str">
        <f>IFERROR(HLOOKUP(W1257,List!$D$2:$H$6,4,FALSE),"")</f>
        <v/>
      </c>
      <c r="AB1257" s="29" t="str">
        <f>IFERROR(HLOOKUP(X1257,List!$D$2:$H$6,5,FALSE),"")</f>
        <v/>
      </c>
      <c r="AC1257" s="12" t="str">
        <f t="shared" si="296"/>
        <v/>
      </c>
      <c r="AD1257" s="12" t="str">
        <f t="shared" si="297"/>
        <v/>
      </c>
      <c r="AE1257" s="12" t="str">
        <f t="shared" si="298"/>
        <v/>
      </c>
      <c r="AF1257" s="12" t="str">
        <f t="shared" si="299"/>
        <v/>
      </c>
      <c r="AG1257" t="str">
        <f>VLOOKUP(J1257,'Receivable Invoice Detail'!$A$1:F4269,6,FALSE)</f>
        <v>[DU-DY43289A-CD4] Casing, (Recessed), 3x3R-10, Durco Mark 2&amp;3, Group 2, CD4MCu</v>
      </c>
      <c r="AM1257" s="12" t="str">
        <f t="shared" si="300"/>
        <v/>
      </c>
      <c r="AN1257" s="12" t="str">
        <f t="shared" si="301"/>
        <v/>
      </c>
      <c r="AO1257" s="12" t="str">
        <f t="shared" si="302"/>
        <v/>
      </c>
      <c r="AP1257" s="12" t="str">
        <f t="shared" si="303"/>
        <v/>
      </c>
      <c r="AQ1257" s="64" t="str">
        <f t="shared" si="294"/>
        <v/>
      </c>
      <c r="AS1257" s="12">
        <f t="shared" si="295"/>
        <v>0</v>
      </c>
      <c r="AT1257" t="s">
        <v>5945</v>
      </c>
    </row>
    <row r="1258" spans="1:46" hidden="1" x14ac:dyDescent="0.25">
      <c r="A1258" s="41">
        <f>CASOPOInvCL!T1258</f>
        <v>1</v>
      </c>
      <c r="B1258" t="str">
        <f>CASOPOInvCL!Z1258</f>
        <v>SO18339</v>
      </c>
      <c r="G1258" s="5" t="str">
        <f>CASOPOInvCL!I1258</f>
        <v>Ian Trottier</v>
      </c>
      <c r="H1258" s="31">
        <f>CASOPOInvCL!U1258</f>
        <v>12</v>
      </c>
      <c r="I1258" s="31">
        <f>CASOPOInvCL!V1258</f>
        <v>2025</v>
      </c>
      <c r="J1258" s="5" t="str">
        <f>CASOPOInvCL!AB1258</f>
        <v>INV13714</v>
      </c>
      <c r="K1258" s="31">
        <f>CASOPOInvCL!W1258</f>
        <v>12</v>
      </c>
      <c r="L1258" s="31">
        <f>CASOPOInvCL!X1258</f>
        <v>2025</v>
      </c>
      <c r="M1258" t="s">
        <v>5945</v>
      </c>
      <c r="N1258" s="5" t="str">
        <f>CASOPOInvCL!AF1258</f>
        <v>Middle Georgia Fluid Sealing LLC</v>
      </c>
      <c r="O1258" s="16" t="str">
        <f>CASOPOInvCL!AG1258</f>
        <v>USD</v>
      </c>
      <c r="P1258" s="16">
        <f>CASOPOInvCL!AH1258</f>
        <v>7845.1453959955697</v>
      </c>
      <c r="Q1258" s="16">
        <f>CASOPOInvCL!AI1258</f>
        <v>5612.5</v>
      </c>
      <c r="R1258" s="32" t="str">
        <f>CASOPOInvCL!AU1258</f>
        <v>Yes</v>
      </c>
      <c r="S1258" s="16">
        <f>CASOPOInvCL!AV1258</f>
        <v>607</v>
      </c>
      <c r="T1258" s="16">
        <f>CASOPOInvCL!AW1258</f>
        <v>5005.5</v>
      </c>
      <c r="Y1258" s="29" t="str">
        <f>IFERROR(HLOOKUP(U1258,List!$D$2:$H$6,2,FALSE),"")</f>
        <v/>
      </c>
      <c r="Z1258" s="29" t="str">
        <f>IFERROR(HLOOKUP(V1258,List!$D$2:$H$6,3,FALSE),"")</f>
        <v/>
      </c>
      <c r="AA1258" s="29" t="str">
        <f>IFERROR(HLOOKUP(W1258,List!$D$2:$H$6,4,FALSE),"")</f>
        <v/>
      </c>
      <c r="AB1258" s="29" t="str">
        <f>IFERROR(HLOOKUP(X1258,List!$D$2:$H$6,5,FALSE),"")</f>
        <v/>
      </c>
      <c r="AC1258" s="12" t="str">
        <f t="shared" si="296"/>
        <v/>
      </c>
      <c r="AD1258" s="12" t="str">
        <f t="shared" si="297"/>
        <v/>
      </c>
      <c r="AE1258" s="12" t="str">
        <f t="shared" si="298"/>
        <v/>
      </c>
      <c r="AF1258" s="12" t="str">
        <f t="shared" si="299"/>
        <v/>
      </c>
      <c r="AG1258" t="str">
        <f>VLOOKUP(J1258,'Receivable Invoice Detail'!$A$1:F4270,6,FALSE)</f>
        <v>[D-1J2311-14] Suction Cover, 2x3-11, Goulds JC, Frame 1J, High Chrome, OEM# 050387G0001228</v>
      </c>
      <c r="AM1258" s="12" t="str">
        <f t="shared" si="300"/>
        <v/>
      </c>
      <c r="AN1258" s="12" t="str">
        <f t="shared" si="301"/>
        <v/>
      </c>
      <c r="AO1258" s="12" t="str">
        <f t="shared" si="302"/>
        <v/>
      </c>
      <c r="AP1258" s="12" t="str">
        <f t="shared" si="303"/>
        <v/>
      </c>
      <c r="AQ1258" s="64" t="str">
        <f t="shared" si="294"/>
        <v/>
      </c>
      <c r="AS1258" s="12">
        <f t="shared" si="295"/>
        <v>0</v>
      </c>
      <c r="AT1258" t="s">
        <v>5945</v>
      </c>
    </row>
    <row r="1259" spans="1:46" hidden="1" x14ac:dyDescent="0.25">
      <c r="A1259" s="41">
        <f>CASOPOInvCL!T1259</f>
        <v>1</v>
      </c>
      <c r="B1259" t="str">
        <f>CASOPOInvCL!Z1259</f>
        <v>SO18340</v>
      </c>
      <c r="G1259" s="5" t="str">
        <f>CASOPOInvCL!I1259</f>
        <v>Alexis Gil Lamadrid</v>
      </c>
      <c r="H1259" s="31">
        <f>CASOPOInvCL!U1259</f>
        <v>12</v>
      </c>
      <c r="I1259" s="31">
        <f>CASOPOInvCL!V1259</f>
        <v>2025</v>
      </c>
      <c r="J1259" s="5" t="str">
        <f>CASOPOInvCL!AB1259</f>
        <v>INV13727</v>
      </c>
      <c r="K1259" s="31" t="str">
        <f>CASOPOInvCL!W1259</f>
        <v/>
      </c>
      <c r="L1259" s="31" t="str">
        <f>CASOPOInvCL!X1259</f>
        <v/>
      </c>
      <c r="M1259" t="s">
        <v>5945</v>
      </c>
      <c r="N1259" s="5" t="str">
        <f>CASOPOInvCL!AF1259</f>
        <v>Manufacture Sling-Choker (Val-d’Or) Ltée</v>
      </c>
      <c r="O1259" s="16" t="str">
        <f>CASOPOInvCL!AG1259</f>
        <v>CAD</v>
      </c>
      <c r="P1259" s="16">
        <f>CASOPOInvCL!AH1259</f>
        <v>1066.47</v>
      </c>
      <c r="Q1259" s="16">
        <f>CASOPOInvCL!AI1259</f>
        <v>762.29421143440823</v>
      </c>
      <c r="R1259" s="32" t="str">
        <f>CASOPOInvCL!AU1259</f>
        <v/>
      </c>
      <c r="S1259" s="16">
        <f>CASOPOInvCL!AV1259</f>
        <v>0</v>
      </c>
      <c r="T1259" s="16">
        <f>CASOPOInvCL!AW1259</f>
        <v>0</v>
      </c>
      <c r="Y1259" s="29" t="str">
        <f>IFERROR(HLOOKUP(U1259,List!$D$2:$H$6,2,FALSE),"")</f>
        <v/>
      </c>
      <c r="Z1259" s="29" t="str">
        <f>IFERROR(HLOOKUP(V1259,List!$D$2:$H$6,3,FALSE),"")</f>
        <v/>
      </c>
      <c r="AA1259" s="29" t="str">
        <f>IFERROR(HLOOKUP(W1259,List!$D$2:$H$6,4,FALSE),"")</f>
        <v/>
      </c>
      <c r="AB1259" s="29" t="str">
        <f>IFERROR(HLOOKUP(X1259,List!$D$2:$H$6,5,FALSE),"")</f>
        <v/>
      </c>
      <c r="AC1259" s="12" t="str">
        <f t="shared" si="296"/>
        <v/>
      </c>
      <c r="AD1259" s="12" t="str">
        <f t="shared" si="297"/>
        <v/>
      </c>
      <c r="AE1259" s="12" t="str">
        <f t="shared" si="298"/>
        <v/>
      </c>
      <c r="AF1259" s="12" t="str">
        <f t="shared" si="299"/>
        <v/>
      </c>
      <c r="AG1259" t="str">
        <f>VLOOKUP(J1259,'Receivable Invoice Detail'!$A$1:F4271,6,FALSE)</f>
        <v>[AC-98-236-360-501-CI] Gland Assembly, 8x6-18 &amp; 10x8-21 SRL-C, Cast Iron</v>
      </c>
      <c r="AM1259" s="12" t="str">
        <f t="shared" si="300"/>
        <v/>
      </c>
      <c r="AN1259" s="12" t="str">
        <f t="shared" si="301"/>
        <v/>
      </c>
      <c r="AO1259" s="12" t="str">
        <f t="shared" si="302"/>
        <v/>
      </c>
      <c r="AP1259" s="12" t="str">
        <f t="shared" si="303"/>
        <v/>
      </c>
      <c r="AQ1259" s="64" t="str">
        <f t="shared" si="294"/>
        <v/>
      </c>
      <c r="AS1259" s="12">
        <f t="shared" si="295"/>
        <v>0</v>
      </c>
      <c r="AT1259" t="s">
        <v>5945</v>
      </c>
    </row>
    <row r="1260" spans="1:46" hidden="1" x14ac:dyDescent="0.25">
      <c r="A1260" s="41">
        <f>CASOPOInvCL!T1260</f>
        <v>0</v>
      </c>
      <c r="B1260" t="str">
        <f>CASOPOInvCL!Z1260</f>
        <v>SO18341</v>
      </c>
      <c r="G1260" s="5" t="str">
        <f>CASOPOInvCL!I1260</f>
        <v>Wilka Nuñez</v>
      </c>
      <c r="H1260" s="31">
        <f>CASOPOInvCL!U1260</f>
        <v>12</v>
      </c>
      <c r="I1260" s="31">
        <f>CASOPOInvCL!V1260</f>
        <v>2025</v>
      </c>
      <c r="J1260" s="5" t="str">
        <f>CASOPOInvCL!AB1260</f>
        <v>No Inv</v>
      </c>
      <c r="K1260" s="31" t="str">
        <f>CASOPOInvCL!W1260</f>
        <v/>
      </c>
      <c r="L1260" s="31" t="str">
        <f>CASOPOInvCL!X1260</f>
        <v/>
      </c>
      <c r="N1260" s="5" t="str">
        <f>CASOPOInvCL!AF1260</f>
        <v>Motion Industries Inc. (Canada) - Prince George</v>
      </c>
      <c r="O1260" s="16" t="str">
        <f>CASOPOInvCL!AG1260</f>
        <v>CAD</v>
      </c>
      <c r="P1260" s="16">
        <f>CASOPOInvCL!AH1260</f>
        <v>8884.34</v>
      </c>
      <c r="Q1260" s="16">
        <f>CASOPOInvCL!AI1260</f>
        <v>6373.3135840114983</v>
      </c>
      <c r="R1260" s="32" t="str">
        <f>CASOPOInvCL!AU1260</f>
        <v/>
      </c>
      <c r="S1260" s="16">
        <f>CASOPOInvCL!AV1260</f>
        <v>0</v>
      </c>
      <c r="T1260" s="16">
        <f>CASOPOInvCL!AW1260</f>
        <v>0</v>
      </c>
      <c r="Y1260" s="29" t="str">
        <f>IFERROR(HLOOKUP(U1260,List!$D$2:$H$6,2,FALSE),"")</f>
        <v/>
      </c>
      <c r="Z1260" s="29" t="str">
        <f>IFERROR(HLOOKUP(V1260,List!$D$2:$H$6,3,FALSE),"")</f>
        <v/>
      </c>
      <c r="AA1260" s="29" t="str">
        <f>IFERROR(HLOOKUP(W1260,List!$D$2:$H$6,4,FALSE),"")</f>
        <v/>
      </c>
      <c r="AB1260" s="29" t="str">
        <f>IFERROR(HLOOKUP(X1260,List!$D$2:$H$6,5,FALSE),"")</f>
        <v/>
      </c>
      <c r="AC1260" s="12" t="str">
        <f t="shared" si="296"/>
        <v/>
      </c>
      <c r="AD1260" s="12" t="str">
        <f t="shared" si="297"/>
        <v/>
      </c>
      <c r="AE1260" s="12" t="str">
        <f t="shared" si="298"/>
        <v/>
      </c>
      <c r="AF1260" s="12" t="str">
        <f t="shared" si="299"/>
        <v/>
      </c>
      <c r="AG1260" t="e">
        <f>VLOOKUP(J1260,'Receivable Invoice Detail'!$A$1:F4272,6,FALSE)</f>
        <v>#N/A</v>
      </c>
      <c r="AM1260" s="12" t="str">
        <f t="shared" si="300"/>
        <v/>
      </c>
      <c r="AN1260" s="12" t="str">
        <f t="shared" si="301"/>
        <v/>
      </c>
      <c r="AO1260" s="12" t="str">
        <f t="shared" si="302"/>
        <v/>
      </c>
      <c r="AP1260" s="12" t="str">
        <f t="shared" si="303"/>
        <v/>
      </c>
      <c r="AQ1260" s="64"/>
      <c r="AS1260" s="12">
        <f t="shared" si="295"/>
        <v>0</v>
      </c>
    </row>
    <row r="1261" spans="1:46" hidden="1" x14ac:dyDescent="0.25">
      <c r="A1261" s="41">
        <f>CASOPOInvCL!T1261</f>
        <v>0</v>
      </c>
      <c r="B1261" t="str">
        <f>CASOPOInvCL!Z1261</f>
        <v>SO18344</v>
      </c>
      <c r="G1261" s="5" t="str">
        <f>CASOPOInvCL!I1261</f>
        <v>Yannett Yeomans</v>
      </c>
      <c r="H1261" s="31">
        <f>CASOPOInvCL!U1261</f>
        <v>12</v>
      </c>
      <c r="I1261" s="31">
        <f>CASOPOInvCL!V1261</f>
        <v>2025</v>
      </c>
      <c r="J1261" s="5" t="str">
        <f>CASOPOInvCL!AB1261</f>
        <v>No Inv</v>
      </c>
      <c r="K1261" s="31" t="str">
        <f>CASOPOInvCL!W1261</f>
        <v/>
      </c>
      <c r="L1261" s="31" t="str">
        <f>CASOPOInvCL!X1261</f>
        <v/>
      </c>
      <c r="M1261" t="s">
        <v>5945</v>
      </c>
      <c r="N1261" s="5" t="str">
        <f>CASOPOInvCL!AF1261</f>
        <v>Dynapro Pumps México S de RL de CV</v>
      </c>
      <c r="O1261" s="16" t="str">
        <f>CASOPOInvCL!AG1261</f>
        <v>USD</v>
      </c>
      <c r="P1261" s="16">
        <f>CASOPOInvCL!AH1261</f>
        <v>7396.4965443408973</v>
      </c>
      <c r="Q1261" s="16">
        <f>CASOPOInvCL!AI1261</f>
        <v>5293</v>
      </c>
      <c r="R1261" s="32" t="str">
        <f>CASOPOInvCL!AU1261</f>
        <v/>
      </c>
      <c r="S1261" s="16">
        <f>CASOPOInvCL!AV1261</f>
        <v>0</v>
      </c>
      <c r="T1261" s="16">
        <f>CASOPOInvCL!AW1261</f>
        <v>0</v>
      </c>
      <c r="Y1261" s="29" t="str">
        <f>IFERROR(HLOOKUP(U1261,List!$D$2:$H$6,2,FALSE),"")</f>
        <v/>
      </c>
      <c r="Z1261" s="29" t="str">
        <f>IFERROR(HLOOKUP(V1261,List!$D$2:$H$6,3,FALSE),"")</f>
        <v/>
      </c>
      <c r="AA1261" s="29" t="str">
        <f>IFERROR(HLOOKUP(W1261,List!$D$2:$H$6,4,FALSE),"")</f>
        <v/>
      </c>
      <c r="AB1261" s="29" t="str">
        <f>IFERROR(HLOOKUP(X1261,List!$D$2:$H$6,5,FALSE),"")</f>
        <v/>
      </c>
      <c r="AC1261" s="12" t="str">
        <f t="shared" si="296"/>
        <v/>
      </c>
      <c r="AD1261" s="12" t="str">
        <f t="shared" si="297"/>
        <v/>
      </c>
      <c r="AE1261" s="12" t="str">
        <f t="shared" si="298"/>
        <v/>
      </c>
      <c r="AF1261" s="12" t="str">
        <f t="shared" si="299"/>
        <v/>
      </c>
      <c r="AG1261" t="e">
        <f>VLOOKUP(J1261,'Receivable Invoice Detail'!$A$1:F4273,6,FALSE)</f>
        <v>#N/A</v>
      </c>
      <c r="AM1261" s="12" t="str">
        <f t="shared" si="300"/>
        <v/>
      </c>
      <c r="AN1261" s="12" t="str">
        <f t="shared" si="301"/>
        <v/>
      </c>
      <c r="AO1261" s="12" t="str">
        <f t="shared" si="302"/>
        <v/>
      </c>
      <c r="AP1261" s="12" t="str">
        <f t="shared" si="303"/>
        <v/>
      </c>
      <c r="AQ1261" s="64" t="str">
        <f t="shared" si="294"/>
        <v/>
      </c>
      <c r="AR1261" t="s">
        <v>5940</v>
      </c>
      <c r="AS1261" s="12">
        <f t="shared" si="295"/>
        <v>0</v>
      </c>
      <c r="AT1261" t="s">
        <v>5940</v>
      </c>
    </row>
    <row r="1262" spans="1:46" hidden="1" x14ac:dyDescent="0.25">
      <c r="A1262" s="41">
        <f>CASOPOInvCL!T1262</f>
        <v>1</v>
      </c>
      <c r="B1262" t="str">
        <f>CASOPOInvCL!Z1262</f>
        <v>SO18345</v>
      </c>
      <c r="G1262" s="5" t="str">
        <f>CASOPOInvCL!I1262</f>
        <v>Amanda Qiao</v>
      </c>
      <c r="H1262" s="31">
        <f>CASOPOInvCL!U1262</f>
        <v>12</v>
      </c>
      <c r="I1262" s="31">
        <f>CASOPOInvCL!V1262</f>
        <v>2025</v>
      </c>
      <c r="J1262" s="5" t="str">
        <f>CASOPOInvCL!AB1262</f>
        <v>INV13834</v>
      </c>
      <c r="K1262" s="31" t="str">
        <f>CASOPOInvCL!W1262</f>
        <v/>
      </c>
      <c r="L1262" s="31" t="str">
        <f>CASOPOInvCL!X1262</f>
        <v/>
      </c>
      <c r="M1262" t="s">
        <v>5945</v>
      </c>
      <c r="N1262" s="5" t="str">
        <f>CASOPOInvCL!AF1262</f>
        <v>Glencore Canada Corporation - Rouyn-Noranda</v>
      </c>
      <c r="O1262" s="16" t="str">
        <f>CASOPOInvCL!AG1262</f>
        <v>CAD</v>
      </c>
      <c r="P1262" s="16">
        <f>CASOPOInvCL!AH1262</f>
        <v>3049.16</v>
      </c>
      <c r="Q1262" s="16">
        <f>CASOPOInvCL!AI1262</f>
        <v>2179.4865469608517</v>
      </c>
      <c r="R1262" s="32" t="str">
        <f>CASOPOInvCL!AU1262</f>
        <v/>
      </c>
      <c r="S1262" s="16">
        <f>CASOPOInvCL!AV1262</f>
        <v>0</v>
      </c>
      <c r="T1262" s="16">
        <f>CASOPOInvCL!AW1262</f>
        <v>0</v>
      </c>
      <c r="Y1262" s="29" t="str">
        <f>IFERROR(HLOOKUP(U1262,List!$D$2:$H$6,2,FALSE),"")</f>
        <v/>
      </c>
      <c r="Z1262" s="29" t="str">
        <f>IFERROR(HLOOKUP(V1262,List!$D$2:$H$6,3,FALSE),"")</f>
        <v/>
      </c>
      <c r="AA1262" s="29" t="str">
        <f>IFERROR(HLOOKUP(W1262,List!$D$2:$H$6,4,FALSE),"")</f>
        <v/>
      </c>
      <c r="AB1262" s="29" t="str">
        <f>IFERROR(HLOOKUP(X1262,List!$D$2:$H$6,5,FALSE),"")</f>
        <v/>
      </c>
      <c r="AC1262" s="12" t="str">
        <f t="shared" si="296"/>
        <v/>
      </c>
      <c r="AD1262" s="12" t="str">
        <f t="shared" si="297"/>
        <v/>
      </c>
      <c r="AE1262" s="12" t="str">
        <f t="shared" si="298"/>
        <v/>
      </c>
      <c r="AF1262" s="12" t="str">
        <f t="shared" si="299"/>
        <v/>
      </c>
      <c r="AG1262" t="e">
        <f>VLOOKUP(J1262,'Receivable Invoice Detail'!$A$1:F4274,6,FALSE)</f>
        <v>#N/A</v>
      </c>
      <c r="AM1262" s="12" t="str">
        <f t="shared" si="300"/>
        <v/>
      </c>
      <c r="AN1262" s="12" t="str">
        <f t="shared" si="301"/>
        <v/>
      </c>
      <c r="AO1262" s="12" t="str">
        <f t="shared" si="302"/>
        <v/>
      </c>
      <c r="AP1262" s="12" t="str">
        <f t="shared" si="303"/>
        <v/>
      </c>
      <c r="AQ1262" s="64" t="str">
        <f t="shared" si="294"/>
        <v/>
      </c>
      <c r="AS1262" s="12">
        <f t="shared" si="295"/>
        <v>0</v>
      </c>
      <c r="AT1262" t="s">
        <v>5945</v>
      </c>
    </row>
    <row r="1263" spans="1:46" hidden="1" x14ac:dyDescent="0.25">
      <c r="A1263" s="41">
        <f>CASOPOInvCL!T1263</f>
        <v>1</v>
      </c>
      <c r="B1263" t="str">
        <f>CASOPOInvCL!Z1263</f>
        <v>SO18346</v>
      </c>
      <c r="G1263" s="5" t="str">
        <f>CASOPOInvCL!I1263</f>
        <v>Ian Trottier</v>
      </c>
      <c r="H1263" s="31">
        <f>CASOPOInvCL!U1263</f>
        <v>12</v>
      </c>
      <c r="I1263" s="31">
        <f>CASOPOInvCL!V1263</f>
        <v>2025</v>
      </c>
      <c r="J1263" s="5" t="str">
        <f>CASOPOInvCL!AB1263</f>
        <v>INV13792</v>
      </c>
      <c r="K1263" s="31" t="str">
        <f>CASOPOInvCL!W1263</f>
        <v/>
      </c>
      <c r="L1263" s="31" t="str">
        <f>CASOPOInvCL!X1263</f>
        <v/>
      </c>
      <c r="N1263" s="5" t="str">
        <f>CASOPOInvCL!AF1263</f>
        <v>Wesdome Gold Mines Ltd - Eagle River Mine</v>
      </c>
      <c r="O1263" s="16" t="str">
        <f>CASOPOInvCL!AG1263</f>
        <v>CAD</v>
      </c>
      <c r="P1263" s="16">
        <f>CASOPOInvCL!AH1263</f>
        <v>5957.6</v>
      </c>
      <c r="Q1263" s="16">
        <f>CASOPOInvCL!AI1263</f>
        <v>4273.773066778951</v>
      </c>
      <c r="R1263" s="32" t="str">
        <f>CASOPOInvCL!AU1263</f>
        <v/>
      </c>
      <c r="S1263" s="16">
        <f>CASOPOInvCL!AV1263</f>
        <v>0</v>
      </c>
      <c r="T1263" s="16">
        <f>CASOPOInvCL!AW1263</f>
        <v>0</v>
      </c>
      <c r="Y1263" s="29" t="str">
        <f>IFERROR(HLOOKUP(U1263,List!$D$2:$H$6,2,FALSE),"")</f>
        <v/>
      </c>
      <c r="Z1263" s="29" t="str">
        <f>IFERROR(HLOOKUP(V1263,List!$D$2:$H$6,3,FALSE),"")</f>
        <v/>
      </c>
      <c r="AA1263" s="29" t="str">
        <f>IFERROR(HLOOKUP(W1263,List!$D$2:$H$6,4,FALSE),"")</f>
        <v/>
      </c>
      <c r="AB1263" s="29" t="str">
        <f>IFERROR(HLOOKUP(X1263,List!$D$2:$H$6,5,FALSE),"")</f>
        <v/>
      </c>
      <c r="AC1263" s="12" t="str">
        <f t="shared" si="296"/>
        <v/>
      </c>
      <c r="AD1263" s="12" t="str">
        <f t="shared" si="297"/>
        <v/>
      </c>
      <c r="AE1263" s="12" t="str">
        <f t="shared" si="298"/>
        <v/>
      </c>
      <c r="AF1263" s="12" t="str">
        <f t="shared" si="299"/>
        <v/>
      </c>
      <c r="AG1263" t="str">
        <f>VLOOKUP(J1263,'Receivable Invoice Detail'!$A$1:F4275,6,FALSE)</f>
        <v>[BG-A-402V] Mechanical Seal, Bell &amp; Gossett, E-80 4x4-7B, Carbon/Ceramic/304SS</v>
      </c>
      <c r="AM1263" s="12" t="str">
        <f t="shared" si="300"/>
        <v/>
      </c>
      <c r="AN1263" s="12" t="str">
        <f t="shared" si="301"/>
        <v/>
      </c>
      <c r="AO1263" s="12" t="str">
        <f t="shared" si="302"/>
        <v/>
      </c>
      <c r="AP1263" s="12" t="str">
        <f t="shared" si="303"/>
        <v/>
      </c>
      <c r="AQ1263" s="64"/>
      <c r="AS1263" s="12">
        <f t="shared" si="295"/>
        <v>0</v>
      </c>
    </row>
    <row r="1264" spans="1:46" hidden="1" x14ac:dyDescent="0.25">
      <c r="A1264" s="41">
        <f>CASOPOInvCL!T1264</f>
        <v>2</v>
      </c>
      <c r="B1264" t="str">
        <f>CASOPOInvCL!Z1264</f>
        <v>SO18347</v>
      </c>
      <c r="G1264" s="5" t="str">
        <f>CASOPOInvCL!I1264</f>
        <v>Aleksandar Stankovic</v>
      </c>
      <c r="H1264" s="31">
        <f>CASOPOInvCL!U1264</f>
        <v>12</v>
      </c>
      <c r="I1264" s="31">
        <f>CASOPOInvCL!V1264</f>
        <v>2025</v>
      </c>
      <c r="J1264" s="5" t="str">
        <f>CASOPOInvCL!AB1264</f>
        <v>INV13839</v>
      </c>
      <c r="K1264" s="31" t="str">
        <f>CASOPOInvCL!W1264</f>
        <v/>
      </c>
      <c r="L1264" s="31" t="str">
        <f>CASOPOInvCL!X1264</f>
        <v/>
      </c>
      <c r="N1264" s="5" t="str">
        <f>CASOPOInvCL!AF1264</f>
        <v>Covia Corp - Junction City</v>
      </c>
      <c r="O1264" s="16" t="str">
        <f>CASOPOInvCL!AG1264</f>
        <v>USD</v>
      </c>
      <c r="P1264" s="16">
        <f>CASOPOInvCL!AH1264</f>
        <v>5312.762146362531</v>
      </c>
      <c r="Q1264" s="16">
        <f>CASOPOInvCL!AI1264</f>
        <v>3797.47</v>
      </c>
      <c r="R1264" s="32" t="str">
        <f>CASOPOInvCL!AU1264</f>
        <v/>
      </c>
      <c r="S1264" s="16">
        <f>CASOPOInvCL!AV1264</f>
        <v>0</v>
      </c>
      <c r="T1264" s="16">
        <f>CASOPOInvCL!AW1264</f>
        <v>0</v>
      </c>
      <c r="Y1264" s="29" t="str">
        <f>IFERROR(HLOOKUP(U1264,List!$D$2:$H$6,2,FALSE),"")</f>
        <v/>
      </c>
      <c r="Z1264" s="29" t="str">
        <f>IFERROR(HLOOKUP(V1264,List!$D$2:$H$6,3,FALSE),"")</f>
        <v/>
      </c>
      <c r="AA1264" s="29" t="str">
        <f>IFERROR(HLOOKUP(W1264,List!$D$2:$H$6,4,FALSE),"")</f>
        <v/>
      </c>
      <c r="AB1264" s="29" t="str">
        <f>IFERROR(HLOOKUP(X1264,List!$D$2:$H$6,5,FALSE),"")</f>
        <v/>
      </c>
      <c r="AC1264" s="12" t="str">
        <f t="shared" si="296"/>
        <v/>
      </c>
      <c r="AD1264" s="12" t="str">
        <f t="shared" si="297"/>
        <v/>
      </c>
      <c r="AE1264" s="12" t="str">
        <f t="shared" si="298"/>
        <v/>
      </c>
      <c r="AF1264" s="12" t="str">
        <f t="shared" si="299"/>
        <v/>
      </c>
      <c r="AG1264" t="e">
        <f>VLOOKUP(J1264,'Receivable Invoice Detail'!$A$1:F4276,6,FALSE)</f>
        <v>#N/A</v>
      </c>
      <c r="AM1264" s="12" t="str">
        <f t="shared" si="300"/>
        <v/>
      </c>
      <c r="AN1264" s="12" t="str">
        <f t="shared" si="301"/>
        <v/>
      </c>
      <c r="AO1264" s="12" t="str">
        <f t="shared" si="302"/>
        <v/>
      </c>
      <c r="AP1264" s="12" t="str">
        <f t="shared" si="303"/>
        <v/>
      </c>
      <c r="AQ1264" s="64"/>
      <c r="AS1264" s="12">
        <f t="shared" si="295"/>
        <v>0</v>
      </c>
    </row>
    <row r="1265" spans="1:46" hidden="1" x14ac:dyDescent="0.25">
      <c r="A1265" s="41">
        <f>CASOPOInvCL!T1265</f>
        <v>2</v>
      </c>
      <c r="B1265" t="str">
        <f>CASOPOInvCL!Z1265</f>
        <v>SO18347</v>
      </c>
      <c r="G1265" s="5">
        <f>CASOPOInvCL!I1265</f>
        <v>0</v>
      </c>
      <c r="H1265" s="31">
        <f>CASOPOInvCL!U1265</f>
        <v>12</v>
      </c>
      <c r="I1265" s="31">
        <f>CASOPOInvCL!V1265</f>
        <v>2025</v>
      </c>
      <c r="J1265" s="5" t="str">
        <f>CASOPOInvCL!AB1265</f>
        <v>INV13754</v>
      </c>
      <c r="K1265" s="31" t="str">
        <f>CASOPOInvCL!W1265</f>
        <v/>
      </c>
      <c r="L1265" s="31" t="str">
        <f>CASOPOInvCL!X1265</f>
        <v/>
      </c>
      <c r="N1265" s="5" t="str">
        <f>CASOPOInvCL!AF1265</f>
        <v>Covia Corp - Junction City</v>
      </c>
      <c r="O1265" s="16" t="str">
        <f>CASOPOInvCL!AG1265</f>
        <v>USD</v>
      </c>
      <c r="P1265" s="16">
        <f>CASOPOInvCL!AH1265</f>
        <v>0</v>
      </c>
      <c r="Q1265" s="16">
        <f>CASOPOInvCL!AI1265</f>
        <v>0</v>
      </c>
      <c r="R1265" s="32" t="str">
        <f>CASOPOInvCL!AU1265</f>
        <v/>
      </c>
      <c r="S1265" s="16">
        <f>CASOPOInvCL!AV1265</f>
        <v>65</v>
      </c>
      <c r="T1265" s="16">
        <f>CASOPOInvCL!AW1265</f>
        <v>0</v>
      </c>
      <c r="Y1265" s="29" t="str">
        <f>IFERROR(HLOOKUP(U1265,List!$D$2:$H$6,2,FALSE),"")</f>
        <v/>
      </c>
      <c r="Z1265" s="29" t="str">
        <f>IFERROR(HLOOKUP(V1265,List!$D$2:$H$6,3,FALSE),"")</f>
        <v/>
      </c>
      <c r="AA1265" s="29" t="str">
        <f>IFERROR(HLOOKUP(W1265,List!$D$2:$H$6,4,FALSE),"")</f>
        <v/>
      </c>
      <c r="AB1265" s="29" t="str">
        <f>IFERROR(HLOOKUP(X1265,List!$D$2:$H$6,5,FALSE),"")</f>
        <v/>
      </c>
      <c r="AC1265" s="12" t="str">
        <f t="shared" si="296"/>
        <v/>
      </c>
      <c r="AD1265" s="12" t="str">
        <f t="shared" si="297"/>
        <v/>
      </c>
      <c r="AE1265" s="12" t="str">
        <f t="shared" si="298"/>
        <v/>
      </c>
      <c r="AF1265" s="12" t="str">
        <f t="shared" si="299"/>
        <v/>
      </c>
      <c r="AG1265" t="str">
        <f>VLOOKUP(J1265,'Receivable Invoice Detail'!$A$1:F4277,6,FALSE)</f>
        <v>[W-F061M/E62] Labyrinth Lock Nut, 8/6 to 14/12 F-AH, Metric</v>
      </c>
      <c r="AM1265" s="12" t="str">
        <f t="shared" si="300"/>
        <v/>
      </c>
      <c r="AN1265" s="12" t="str">
        <f t="shared" si="301"/>
        <v/>
      </c>
      <c r="AO1265" s="12" t="str">
        <f t="shared" si="302"/>
        <v/>
      </c>
      <c r="AP1265" s="12" t="str">
        <f t="shared" si="303"/>
        <v/>
      </c>
      <c r="AQ1265" s="64"/>
      <c r="AS1265" s="12">
        <f t="shared" si="295"/>
        <v>75.082499999999996</v>
      </c>
    </row>
    <row r="1266" spans="1:46" hidden="1" x14ac:dyDescent="0.25">
      <c r="A1266" s="41">
        <f>CASOPOInvCL!T1266</f>
        <v>1</v>
      </c>
      <c r="B1266" t="str">
        <f>CASOPOInvCL!Z1266</f>
        <v>SO18349</v>
      </c>
      <c r="G1266" s="5" t="str">
        <f>CASOPOInvCL!I1266</f>
        <v>Wilka Nuñez</v>
      </c>
      <c r="H1266" s="31">
        <f>CASOPOInvCL!U1266</f>
        <v>12</v>
      </c>
      <c r="I1266" s="31">
        <f>CASOPOInvCL!V1266</f>
        <v>2025</v>
      </c>
      <c r="J1266" s="5" t="str">
        <f>CASOPOInvCL!AB1266</f>
        <v>INV13808</v>
      </c>
      <c r="K1266" s="31" t="str">
        <f>CASOPOInvCL!W1266</f>
        <v/>
      </c>
      <c r="L1266" s="31" t="str">
        <f>CASOPOInvCL!X1266</f>
        <v/>
      </c>
      <c r="M1266" t="s">
        <v>5945</v>
      </c>
      <c r="N1266" s="5" t="str">
        <f>CASOPOInvCL!AF1266</f>
        <v>Sling-Choker Manufacturing - Timmins</v>
      </c>
      <c r="O1266" s="16" t="str">
        <f>CASOPOInvCL!AG1266</f>
        <v>CAD</v>
      </c>
      <c r="P1266" s="16">
        <f>CASOPOInvCL!AH1266</f>
        <v>1997.45</v>
      </c>
      <c r="Q1266" s="16">
        <f>CASOPOInvCL!AI1266</f>
        <v>1431.5647141029463</v>
      </c>
      <c r="R1266" s="32" t="str">
        <f>CASOPOInvCL!AU1266</f>
        <v/>
      </c>
      <c r="S1266" s="16">
        <f>CASOPOInvCL!AV1266</f>
        <v>0</v>
      </c>
      <c r="T1266" s="16">
        <f>CASOPOInvCL!AW1266</f>
        <v>0</v>
      </c>
      <c r="Y1266" s="29" t="str">
        <f>IFERROR(HLOOKUP(U1266,List!$D$2:$H$6,2,FALSE),"")</f>
        <v/>
      </c>
      <c r="Z1266" s="29" t="str">
        <f>IFERROR(HLOOKUP(V1266,List!$D$2:$H$6,3,FALSE),"")</f>
        <v/>
      </c>
      <c r="AA1266" s="29" t="str">
        <f>IFERROR(HLOOKUP(W1266,List!$D$2:$H$6,4,FALSE),"")</f>
        <v/>
      </c>
      <c r="AB1266" s="29" t="str">
        <f>IFERROR(HLOOKUP(X1266,List!$D$2:$H$6,5,FALSE),"")</f>
        <v/>
      </c>
      <c r="AC1266" s="12" t="str">
        <f t="shared" si="296"/>
        <v/>
      </c>
      <c r="AD1266" s="12" t="str">
        <f t="shared" si="297"/>
        <v/>
      </c>
      <c r="AE1266" s="12" t="str">
        <f t="shared" si="298"/>
        <v/>
      </c>
      <c r="AF1266" s="12" t="str">
        <f t="shared" si="299"/>
        <v/>
      </c>
      <c r="AG1266" t="str">
        <f>VLOOKUP(J1266,'Receivable Invoice Detail'!$A$1:F4278,6,FALSE)</f>
        <v>[AC-98-231-121-501] Suction Side Plate, 8x6-18 SRL-C, Natural Rubber</v>
      </c>
      <c r="AM1266" s="12" t="str">
        <f t="shared" si="300"/>
        <v/>
      </c>
      <c r="AN1266" s="12" t="str">
        <f t="shared" si="301"/>
        <v/>
      </c>
      <c r="AO1266" s="12" t="str">
        <f t="shared" si="302"/>
        <v/>
      </c>
      <c r="AP1266" s="12" t="str">
        <f t="shared" si="303"/>
        <v/>
      </c>
      <c r="AQ1266" s="64" t="str">
        <f t="shared" si="294"/>
        <v/>
      </c>
      <c r="AS1266" s="12">
        <f t="shared" si="295"/>
        <v>0</v>
      </c>
      <c r="AT1266" t="s">
        <v>5945</v>
      </c>
    </row>
    <row r="1267" spans="1:46" hidden="1" x14ac:dyDescent="0.25">
      <c r="A1267" s="41">
        <f>CASOPOInvCL!T1267</f>
        <v>1</v>
      </c>
      <c r="B1267" t="str">
        <f>CASOPOInvCL!Z1267</f>
        <v>SO18350</v>
      </c>
      <c r="G1267" s="5" t="str">
        <f>CASOPOInvCL!I1267</f>
        <v>Ian Trottier</v>
      </c>
      <c r="H1267" s="31">
        <f>CASOPOInvCL!U1267</f>
        <v>12</v>
      </c>
      <c r="I1267" s="31">
        <f>CASOPOInvCL!V1267</f>
        <v>2025</v>
      </c>
      <c r="J1267" s="5" t="str">
        <f>CASOPOInvCL!AB1267</f>
        <v>INV13724</v>
      </c>
      <c r="K1267" s="31" t="str">
        <f>CASOPOInvCL!W1267</f>
        <v/>
      </c>
      <c r="L1267" s="31" t="str">
        <f>CASOPOInvCL!X1267</f>
        <v/>
      </c>
      <c r="M1267" t="s">
        <v>5945</v>
      </c>
      <c r="N1267" s="5" t="str">
        <f>CASOPOInvCL!AF1267</f>
        <v>Glencore Canada Corporation - Rouyn-Noranda</v>
      </c>
      <c r="O1267" s="16" t="str">
        <f>CASOPOInvCL!AG1267</f>
        <v>CAD</v>
      </c>
      <c r="P1267" s="16">
        <f>CASOPOInvCL!AH1267</f>
        <v>401.67</v>
      </c>
      <c r="Q1267" s="16">
        <f>CASOPOInvCL!AI1267</f>
        <v>287.10673146629421</v>
      </c>
      <c r="R1267" s="32" t="str">
        <f>CASOPOInvCL!AU1267</f>
        <v/>
      </c>
      <c r="S1267" s="16">
        <f>CASOPOInvCL!AV1267</f>
        <v>0</v>
      </c>
      <c r="T1267" s="16">
        <f>CASOPOInvCL!AW1267</f>
        <v>0</v>
      </c>
      <c r="Y1267" s="29" t="str">
        <f>IFERROR(HLOOKUP(U1267,List!$D$2:$H$6,2,FALSE),"")</f>
        <v/>
      </c>
      <c r="Z1267" s="29" t="str">
        <f>IFERROR(HLOOKUP(V1267,List!$D$2:$H$6,3,FALSE),"")</f>
        <v/>
      </c>
      <c r="AA1267" s="29" t="str">
        <f>IFERROR(HLOOKUP(W1267,List!$D$2:$H$6,4,FALSE),"")</f>
        <v/>
      </c>
      <c r="AB1267" s="29" t="str">
        <f>IFERROR(HLOOKUP(X1267,List!$D$2:$H$6,5,FALSE),"")</f>
        <v/>
      </c>
      <c r="AC1267" s="12" t="str">
        <f t="shared" si="296"/>
        <v/>
      </c>
      <c r="AD1267" s="12" t="str">
        <f t="shared" si="297"/>
        <v/>
      </c>
      <c r="AE1267" s="12" t="str">
        <f t="shared" si="298"/>
        <v/>
      </c>
      <c r="AF1267" s="12" t="str">
        <f t="shared" si="299"/>
        <v/>
      </c>
      <c r="AG1267" t="str">
        <f>VLOOKUP(J1267,'Receivable Invoice Detail'!$A$1:F4279,6,FALSE)</f>
        <v>[AC-98-233-813-001] Neck Bushing, 5x4/5x5/6x6 SRL &amp; SRL-C</v>
      </c>
      <c r="AM1267" s="12" t="str">
        <f t="shared" si="300"/>
        <v/>
      </c>
      <c r="AN1267" s="12" t="str">
        <f t="shared" si="301"/>
        <v/>
      </c>
      <c r="AO1267" s="12" t="str">
        <f t="shared" si="302"/>
        <v/>
      </c>
      <c r="AP1267" s="12" t="str">
        <f t="shared" si="303"/>
        <v/>
      </c>
      <c r="AQ1267" s="64" t="str">
        <f t="shared" si="294"/>
        <v/>
      </c>
      <c r="AS1267" s="12">
        <f t="shared" si="295"/>
        <v>0</v>
      </c>
      <c r="AT1267" t="s">
        <v>5945</v>
      </c>
    </row>
    <row r="1268" spans="1:46" hidden="1" x14ac:dyDescent="0.25">
      <c r="A1268" s="41">
        <f>CASOPOInvCL!T1268</f>
        <v>1</v>
      </c>
      <c r="B1268" t="str">
        <f>CASOPOInvCL!Z1268</f>
        <v>SO18351</v>
      </c>
      <c r="G1268" s="5" t="str">
        <f>CASOPOInvCL!I1268</f>
        <v>Alexis Gil Lamadrid</v>
      </c>
      <c r="H1268" s="31">
        <f>CASOPOInvCL!U1268</f>
        <v>12</v>
      </c>
      <c r="I1268" s="31">
        <f>CASOPOInvCL!V1268</f>
        <v>2025</v>
      </c>
      <c r="J1268" s="5" t="str">
        <f>CASOPOInvCL!AB1268</f>
        <v>INV13767</v>
      </c>
      <c r="K1268" s="31" t="str">
        <f>CASOPOInvCL!W1268</f>
        <v/>
      </c>
      <c r="L1268" s="31" t="str">
        <f>CASOPOInvCL!X1268</f>
        <v/>
      </c>
      <c r="N1268" s="5" t="str">
        <f>CASOPOInvCL!AF1268</f>
        <v>Manufacture Sling-Choker (Val-d’Or) Ltée</v>
      </c>
      <c r="O1268" s="16" t="str">
        <f>CASOPOInvCL!AG1268</f>
        <v>CAD</v>
      </c>
      <c r="P1268" s="16">
        <f>CASOPOInvCL!AH1268</f>
        <v>2679.66</v>
      </c>
      <c r="Q1268" s="16">
        <f>CASOPOInvCL!AI1268</f>
        <v>1936.9261999974974</v>
      </c>
      <c r="R1268" s="32" t="str">
        <f>CASOPOInvCL!AU1268</f>
        <v/>
      </c>
      <c r="S1268" s="16">
        <f>CASOPOInvCL!AV1268</f>
        <v>0</v>
      </c>
      <c r="T1268" s="16">
        <f>CASOPOInvCL!AW1268</f>
        <v>0</v>
      </c>
      <c r="Y1268" s="29" t="str">
        <f>IFERROR(HLOOKUP(U1268,List!$D$2:$H$6,2,FALSE),"")</f>
        <v/>
      </c>
      <c r="Z1268" s="29" t="str">
        <f>IFERROR(HLOOKUP(V1268,List!$D$2:$H$6,3,FALSE),"")</f>
        <v/>
      </c>
      <c r="AA1268" s="29" t="str">
        <f>IFERROR(HLOOKUP(W1268,List!$D$2:$H$6,4,FALSE),"")</f>
        <v/>
      </c>
      <c r="AB1268" s="29" t="str">
        <f>IFERROR(HLOOKUP(X1268,List!$D$2:$H$6,5,FALSE),"")</f>
        <v/>
      </c>
      <c r="AC1268" s="12" t="str">
        <f t="shared" si="296"/>
        <v/>
      </c>
      <c r="AD1268" s="12" t="str">
        <f t="shared" si="297"/>
        <v/>
      </c>
      <c r="AE1268" s="12" t="str">
        <f t="shared" si="298"/>
        <v/>
      </c>
      <c r="AF1268" s="12" t="str">
        <f t="shared" si="299"/>
        <v/>
      </c>
      <c r="AG1268" t="str">
        <f>VLOOKUP(J1268,'Receivable Invoice Detail'!$A$1:F4280,6,FALSE)</f>
        <v>[AC-98-431-651-507] Impeller (Closed), 8x6-18 SRL-C, Urethane</v>
      </c>
      <c r="AM1268" s="12" t="str">
        <f t="shared" si="300"/>
        <v/>
      </c>
      <c r="AN1268" s="12" t="str">
        <f t="shared" si="301"/>
        <v/>
      </c>
      <c r="AO1268" s="12" t="str">
        <f t="shared" si="302"/>
        <v/>
      </c>
      <c r="AP1268" s="12" t="str">
        <f t="shared" si="303"/>
        <v/>
      </c>
      <c r="AQ1268" s="64"/>
      <c r="AS1268" s="12">
        <f t="shared" si="295"/>
        <v>0</v>
      </c>
    </row>
    <row r="1269" spans="1:46" hidden="1" x14ac:dyDescent="0.25">
      <c r="A1269" s="41">
        <f>CASOPOInvCL!T1269</f>
        <v>0</v>
      </c>
      <c r="B1269" t="str">
        <f>CASOPOInvCL!Z1269</f>
        <v>SO18354</v>
      </c>
      <c r="G1269" s="5" t="str">
        <f>CASOPOInvCL!I1269</f>
        <v>Wilka Nuñez</v>
      </c>
      <c r="H1269" s="31">
        <f>CASOPOInvCL!U1269</f>
        <v>12</v>
      </c>
      <c r="I1269" s="31">
        <f>CASOPOInvCL!V1269</f>
        <v>2025</v>
      </c>
      <c r="J1269" s="5" t="str">
        <f>CASOPOInvCL!AB1269</f>
        <v>No Inv</v>
      </c>
      <c r="K1269" s="31" t="str">
        <f>CASOPOInvCL!W1269</f>
        <v/>
      </c>
      <c r="L1269" s="31" t="str">
        <f>CASOPOInvCL!X1269</f>
        <v/>
      </c>
      <c r="N1269" s="5" t="str">
        <f>CASOPOInvCL!AF1269</f>
        <v>Barrick Gold - Pueblo Viejo Dominicana Corporation</v>
      </c>
      <c r="O1269" s="16" t="str">
        <f>CASOPOInvCL!AG1269</f>
        <v>USD</v>
      </c>
      <c r="P1269" s="16">
        <f>CASOPOInvCL!AH1269</f>
        <v>6842.9640761370629</v>
      </c>
      <c r="Q1269" s="16">
        <f>CASOPOInvCL!AI1269</f>
        <v>4945.88</v>
      </c>
      <c r="R1269" s="32" t="str">
        <f>CASOPOInvCL!AU1269</f>
        <v/>
      </c>
      <c r="S1269" s="16">
        <f>CASOPOInvCL!AV1269</f>
        <v>0</v>
      </c>
      <c r="T1269" s="16">
        <f>CASOPOInvCL!AW1269</f>
        <v>0</v>
      </c>
      <c r="Y1269" s="29" t="str">
        <f>IFERROR(HLOOKUP(U1269,List!$D$2:$H$6,2,FALSE),"")</f>
        <v/>
      </c>
      <c r="Z1269" s="29" t="str">
        <f>IFERROR(HLOOKUP(V1269,List!$D$2:$H$6,3,FALSE),"")</f>
        <v/>
      </c>
      <c r="AA1269" s="29" t="str">
        <f>IFERROR(HLOOKUP(W1269,List!$D$2:$H$6,4,FALSE),"")</f>
        <v/>
      </c>
      <c r="AB1269" s="29" t="str">
        <f>IFERROR(HLOOKUP(X1269,List!$D$2:$H$6,5,FALSE),"")</f>
        <v/>
      </c>
      <c r="AC1269" s="12" t="str">
        <f t="shared" si="296"/>
        <v/>
      </c>
      <c r="AD1269" s="12" t="str">
        <f t="shared" si="297"/>
        <v/>
      </c>
      <c r="AE1269" s="12" t="str">
        <f t="shared" si="298"/>
        <v/>
      </c>
      <c r="AF1269" s="12" t="str">
        <f t="shared" si="299"/>
        <v/>
      </c>
      <c r="AG1269" t="e">
        <f>VLOOKUP(J1269,'Receivable Invoice Detail'!$A$1:F4281,6,FALSE)</f>
        <v>#N/A</v>
      </c>
      <c r="AM1269" s="12" t="str">
        <f t="shared" si="300"/>
        <v/>
      </c>
      <c r="AN1269" s="12" t="str">
        <f t="shared" si="301"/>
        <v/>
      </c>
      <c r="AO1269" s="12" t="str">
        <f t="shared" si="302"/>
        <v/>
      </c>
      <c r="AP1269" s="12" t="str">
        <f t="shared" si="303"/>
        <v/>
      </c>
      <c r="AQ1269" s="64"/>
      <c r="AS1269" s="12">
        <f t="shared" si="295"/>
        <v>0</v>
      </c>
    </row>
    <row r="1270" spans="1:46" hidden="1" x14ac:dyDescent="0.25">
      <c r="A1270" s="41">
        <f>CASOPOInvCL!T1270</f>
        <v>0</v>
      </c>
      <c r="B1270" t="str">
        <f>CASOPOInvCL!Z1270</f>
        <v>SO18356</v>
      </c>
      <c r="G1270" s="5" t="str">
        <f>CASOPOInvCL!I1270</f>
        <v>Ian Trottier</v>
      </c>
      <c r="H1270" s="31">
        <f>CASOPOInvCL!U1270</f>
        <v>12</v>
      </c>
      <c r="I1270" s="31">
        <f>CASOPOInvCL!V1270</f>
        <v>2025</v>
      </c>
      <c r="J1270" s="5" t="str">
        <f>CASOPOInvCL!AB1270</f>
        <v>No Inv</v>
      </c>
      <c r="K1270" s="31" t="str">
        <f>CASOPOInvCL!W1270</f>
        <v/>
      </c>
      <c r="L1270" s="31" t="str">
        <f>CASOPOInvCL!X1270</f>
        <v/>
      </c>
      <c r="M1270" t="s">
        <v>5945</v>
      </c>
      <c r="N1270" s="5" t="str">
        <f>CASOPOInvCL!AF1270</f>
        <v>Resolute Forest Products - Saint-Felicien</v>
      </c>
      <c r="O1270" s="16" t="str">
        <f>CASOPOInvCL!AG1270</f>
        <v>CAD</v>
      </c>
      <c r="P1270" s="16">
        <f>CASOPOInvCL!AH1270</f>
        <v>6836.47</v>
      </c>
      <c r="Q1270" s="16">
        <f>CASOPOInvCL!AI1270</f>
        <v>4899.6716919188802</v>
      </c>
      <c r="R1270" s="32" t="str">
        <f>CASOPOInvCL!AU1270</f>
        <v/>
      </c>
      <c r="S1270" s="16">
        <f>CASOPOInvCL!AV1270</f>
        <v>0</v>
      </c>
      <c r="T1270" s="16">
        <f>CASOPOInvCL!AW1270</f>
        <v>0</v>
      </c>
      <c r="Y1270" s="29" t="str">
        <f>IFERROR(HLOOKUP(U1270,List!$D$2:$H$6,2,FALSE),"")</f>
        <v/>
      </c>
      <c r="Z1270" s="29" t="str">
        <f>IFERROR(HLOOKUP(V1270,List!$D$2:$H$6,3,FALSE),"")</f>
        <v/>
      </c>
      <c r="AA1270" s="29" t="str">
        <f>IFERROR(HLOOKUP(W1270,List!$D$2:$H$6,4,FALSE),"")</f>
        <v/>
      </c>
      <c r="AB1270" s="29" t="str">
        <f>IFERROR(HLOOKUP(X1270,List!$D$2:$H$6,5,FALSE),"")</f>
        <v/>
      </c>
      <c r="AC1270" s="12" t="str">
        <f t="shared" si="296"/>
        <v/>
      </c>
      <c r="AD1270" s="12" t="str">
        <f t="shared" si="297"/>
        <v/>
      </c>
      <c r="AE1270" s="12" t="str">
        <f t="shared" si="298"/>
        <v/>
      </c>
      <c r="AF1270" s="12" t="str">
        <f t="shared" si="299"/>
        <v/>
      </c>
      <c r="AG1270" t="e">
        <f>VLOOKUP(J1270,'Receivable Invoice Detail'!$A$1:F4282,6,FALSE)</f>
        <v>#N/A</v>
      </c>
      <c r="AM1270" s="12" t="str">
        <f t="shared" si="300"/>
        <v/>
      </c>
      <c r="AN1270" s="12" t="str">
        <f t="shared" si="301"/>
        <v/>
      </c>
      <c r="AO1270" s="12" t="str">
        <f t="shared" si="302"/>
        <v/>
      </c>
      <c r="AP1270" s="12" t="str">
        <f t="shared" si="303"/>
        <v/>
      </c>
      <c r="AQ1270" s="64" t="str">
        <f t="shared" si="294"/>
        <v/>
      </c>
      <c r="AS1270" s="12">
        <f t="shared" si="295"/>
        <v>0</v>
      </c>
      <c r="AT1270" t="s">
        <v>5945</v>
      </c>
    </row>
    <row r="1271" spans="1:46" hidden="1" x14ac:dyDescent="0.25">
      <c r="A1271" s="41">
        <f>CASOPOInvCL!T1271</f>
        <v>1</v>
      </c>
      <c r="B1271" t="str">
        <f>CASOPOInvCL!Z1271</f>
        <v>SO18357</v>
      </c>
      <c r="G1271" s="5" t="str">
        <f>CASOPOInvCL!I1271</f>
        <v>Ian Trottier</v>
      </c>
      <c r="H1271" s="31">
        <f>CASOPOInvCL!U1271</f>
        <v>12</v>
      </c>
      <c r="I1271" s="31">
        <f>CASOPOInvCL!V1271</f>
        <v>2025</v>
      </c>
      <c r="J1271" s="5" t="str">
        <f>CASOPOInvCL!AB1271</f>
        <v>INV13759</v>
      </c>
      <c r="K1271" s="31">
        <f>CASOPOInvCL!W1271</f>
        <v>12</v>
      </c>
      <c r="L1271" s="31">
        <f>CASOPOInvCL!X1271</f>
        <v>2025</v>
      </c>
      <c r="N1271" s="5" t="str">
        <f>CASOPOInvCL!AF1271</f>
        <v>Sealtrac Inc.</v>
      </c>
      <c r="O1271" s="16" t="str">
        <f>CASOPOInvCL!AG1271</f>
        <v>CAD</v>
      </c>
      <c r="P1271" s="16">
        <f>CASOPOInvCL!AH1271</f>
        <v>836.72</v>
      </c>
      <c r="Q1271" s="16">
        <f>CASOPOInvCL!AI1271</f>
        <v>599.67399813973668</v>
      </c>
      <c r="R1271" s="32" t="str">
        <f>CASOPOInvCL!AU1271</f>
        <v>Yes</v>
      </c>
      <c r="S1271" s="16">
        <f>CASOPOInvCL!AV1271</f>
        <v>0</v>
      </c>
      <c r="T1271" s="16">
        <f>CASOPOInvCL!AW1271</f>
        <v>599.67399813973668</v>
      </c>
      <c r="Y1271" s="29" t="str">
        <f>IFERROR(HLOOKUP(U1271,List!$D$2:$H$6,2,FALSE),"")</f>
        <v/>
      </c>
      <c r="Z1271" s="29" t="str">
        <f>IFERROR(HLOOKUP(V1271,List!$D$2:$H$6,3,FALSE),"")</f>
        <v/>
      </c>
      <c r="AA1271" s="29" t="str">
        <f>IFERROR(HLOOKUP(W1271,List!$D$2:$H$6,4,FALSE),"")</f>
        <v/>
      </c>
      <c r="AB1271" s="29" t="str">
        <f>IFERROR(HLOOKUP(X1271,List!$D$2:$H$6,5,FALSE),"")</f>
        <v/>
      </c>
      <c r="AC1271" s="12" t="str">
        <f t="shared" si="296"/>
        <v/>
      </c>
      <c r="AD1271" s="12" t="str">
        <f t="shared" si="297"/>
        <v/>
      </c>
      <c r="AE1271" s="12" t="str">
        <f t="shared" si="298"/>
        <v/>
      </c>
      <c r="AF1271" s="12" t="str">
        <f t="shared" si="299"/>
        <v/>
      </c>
      <c r="AG1271" t="str">
        <f>VLOOKUP(J1271,'Receivable Invoice Detail'!$A$1:F4283,6,FALSE)</f>
        <v>[G-73705X 2229] Shaft Sleeve, 3196 MTX, 316SS</v>
      </c>
      <c r="AM1271" s="12" t="str">
        <f t="shared" si="300"/>
        <v/>
      </c>
      <c r="AN1271" s="12" t="str">
        <f t="shared" si="301"/>
        <v/>
      </c>
      <c r="AO1271" s="12" t="str">
        <f t="shared" si="302"/>
        <v/>
      </c>
      <c r="AP1271" s="12" t="str">
        <f t="shared" si="303"/>
        <v/>
      </c>
      <c r="AQ1271" s="64"/>
      <c r="AS1271" s="12">
        <f t="shared" si="295"/>
        <v>0</v>
      </c>
    </row>
    <row r="1272" spans="1:46" hidden="1" x14ac:dyDescent="0.25">
      <c r="A1272" s="41">
        <f>CASOPOInvCL!T1272</f>
        <v>1</v>
      </c>
      <c r="B1272" t="str">
        <f>CASOPOInvCL!Z1272</f>
        <v>SO18358</v>
      </c>
      <c r="G1272" s="5" t="str">
        <f>CASOPOInvCL!I1272</f>
        <v>Aleksandar Stankovic</v>
      </c>
      <c r="H1272" s="31">
        <f>CASOPOInvCL!U1272</f>
        <v>12</v>
      </c>
      <c r="I1272" s="31">
        <f>CASOPOInvCL!V1272</f>
        <v>2025</v>
      </c>
      <c r="J1272" s="5" t="str">
        <f>CASOPOInvCL!AB1272</f>
        <v>INV13774</v>
      </c>
      <c r="K1272" s="31" t="str">
        <f>CASOPOInvCL!W1272</f>
        <v/>
      </c>
      <c r="L1272" s="31" t="str">
        <f>CASOPOInvCL!X1272</f>
        <v/>
      </c>
      <c r="N1272" s="5" t="str">
        <f>CASOPOInvCL!AF1272</f>
        <v>SCG Process</v>
      </c>
      <c r="O1272" s="16" t="str">
        <f>CASOPOInvCL!AG1272</f>
        <v>CAD</v>
      </c>
      <c r="P1272" s="16">
        <f>CASOPOInvCL!AH1272</f>
        <v>328.68</v>
      </c>
      <c r="Q1272" s="16">
        <f>CASOPOInvCL!AI1272</f>
        <v>237.57823881207977</v>
      </c>
      <c r="R1272" s="32" t="str">
        <f>CASOPOInvCL!AU1272</f>
        <v/>
      </c>
      <c r="S1272" s="16">
        <f>CASOPOInvCL!AV1272</f>
        <v>0</v>
      </c>
      <c r="T1272" s="16">
        <f>CASOPOInvCL!AW1272</f>
        <v>0</v>
      </c>
      <c r="Y1272" s="29" t="str">
        <f>IFERROR(HLOOKUP(U1272,List!$D$2:$H$6,2,FALSE),"")</f>
        <v/>
      </c>
      <c r="Z1272" s="29" t="str">
        <f>IFERROR(HLOOKUP(V1272,List!$D$2:$H$6,3,FALSE),"")</f>
        <v/>
      </c>
      <c r="AA1272" s="29" t="str">
        <f>IFERROR(HLOOKUP(W1272,List!$D$2:$H$6,4,FALSE),"")</f>
        <v/>
      </c>
      <c r="AB1272" s="29" t="str">
        <f>IFERROR(HLOOKUP(X1272,List!$D$2:$H$6,5,FALSE),"")</f>
        <v/>
      </c>
      <c r="AC1272" s="12" t="str">
        <f t="shared" si="296"/>
        <v/>
      </c>
      <c r="AD1272" s="12" t="str">
        <f t="shared" si="297"/>
        <v/>
      </c>
      <c r="AE1272" s="12" t="str">
        <f t="shared" si="298"/>
        <v/>
      </c>
      <c r="AF1272" s="12" t="str">
        <f t="shared" si="299"/>
        <v/>
      </c>
      <c r="AG1272" t="str">
        <f>VLOOKUP(J1272,'Receivable Invoice Detail'!$A$1:F4284,6,FALSE)</f>
        <v>[AC-98-233-212-501] Slinger Assembly, PWO Frame 3, Oil</v>
      </c>
      <c r="AM1272" s="12" t="str">
        <f t="shared" si="300"/>
        <v/>
      </c>
      <c r="AN1272" s="12" t="str">
        <f t="shared" si="301"/>
        <v/>
      </c>
      <c r="AO1272" s="12" t="str">
        <f t="shared" si="302"/>
        <v/>
      </c>
      <c r="AP1272" s="12" t="str">
        <f t="shared" si="303"/>
        <v/>
      </c>
      <c r="AQ1272" s="64"/>
      <c r="AS1272" s="12">
        <f t="shared" si="295"/>
        <v>0</v>
      </c>
    </row>
    <row r="1273" spans="1:46" hidden="1" x14ac:dyDescent="0.25">
      <c r="A1273" s="41">
        <f>CASOPOInvCL!T1273</f>
        <v>0</v>
      </c>
      <c r="B1273" t="str">
        <f>CASOPOInvCL!Z1273</f>
        <v>SO18360</v>
      </c>
      <c r="G1273" s="5" t="str">
        <f>CASOPOInvCL!I1273</f>
        <v>Yannett Yeomans</v>
      </c>
      <c r="H1273" s="31">
        <f>CASOPOInvCL!U1273</f>
        <v>12</v>
      </c>
      <c r="I1273" s="31">
        <f>CASOPOInvCL!V1273</f>
        <v>2025</v>
      </c>
      <c r="J1273" s="5" t="str">
        <f>CASOPOInvCL!AB1273</f>
        <v>No Inv</v>
      </c>
      <c r="K1273" s="31" t="str">
        <f>CASOPOInvCL!W1273</f>
        <v/>
      </c>
      <c r="L1273" s="31" t="str">
        <f>CASOPOInvCL!X1273</f>
        <v/>
      </c>
      <c r="N1273" s="5" t="str">
        <f>CASOPOInvCL!AF1273</f>
        <v>Dynapro Pumps México S de RL de CV</v>
      </c>
      <c r="O1273" s="16" t="str">
        <f>CASOPOInvCL!AG1273</f>
        <v>USD</v>
      </c>
      <c r="P1273" s="16">
        <f>CASOPOInvCL!AH1273</f>
        <v>43322.150088036811</v>
      </c>
      <c r="Q1273" s="16">
        <f>CASOPOInvCL!AI1273</f>
        <v>30984</v>
      </c>
      <c r="R1273" s="32" t="str">
        <f>CASOPOInvCL!AU1273</f>
        <v/>
      </c>
      <c r="S1273" s="16">
        <f>CASOPOInvCL!AV1273</f>
        <v>0</v>
      </c>
      <c r="T1273" s="16">
        <f>CASOPOInvCL!AW1273</f>
        <v>0</v>
      </c>
      <c r="Y1273" s="29" t="str">
        <f>IFERROR(HLOOKUP(U1273,List!$D$2:$H$6,2,FALSE),"")</f>
        <v/>
      </c>
      <c r="Z1273" s="29" t="str">
        <f>IFERROR(HLOOKUP(V1273,List!$D$2:$H$6,3,FALSE),"")</f>
        <v/>
      </c>
      <c r="AA1273" s="29" t="str">
        <f>IFERROR(HLOOKUP(W1273,List!$D$2:$H$6,4,FALSE),"")</f>
        <v/>
      </c>
      <c r="AB1273" s="29" t="str">
        <f>IFERROR(HLOOKUP(X1273,List!$D$2:$H$6,5,FALSE),"")</f>
        <v/>
      </c>
      <c r="AC1273" s="12" t="str">
        <f t="shared" si="296"/>
        <v/>
      </c>
      <c r="AD1273" s="12" t="str">
        <f t="shared" si="297"/>
        <v/>
      </c>
      <c r="AE1273" s="12" t="str">
        <f t="shared" si="298"/>
        <v/>
      </c>
      <c r="AF1273" s="12" t="str">
        <f t="shared" si="299"/>
        <v/>
      </c>
      <c r="AG1273" t="e">
        <f>VLOOKUP(J1273,'Receivable Invoice Detail'!$A$1:F4285,6,FALSE)</f>
        <v>#N/A</v>
      </c>
      <c r="AM1273" s="12" t="str">
        <f t="shared" si="300"/>
        <v/>
      </c>
      <c r="AN1273" s="12" t="str">
        <f t="shared" si="301"/>
        <v/>
      </c>
      <c r="AO1273" s="12" t="str">
        <f t="shared" si="302"/>
        <v/>
      </c>
      <c r="AP1273" s="12" t="str">
        <f t="shared" si="303"/>
        <v/>
      </c>
      <c r="AQ1273" s="64"/>
      <c r="AS1273" s="12">
        <f t="shared" si="295"/>
        <v>0</v>
      </c>
    </row>
    <row r="1274" spans="1:46" hidden="1" x14ac:dyDescent="0.25">
      <c r="A1274" s="41">
        <f>CASOPOInvCL!T1274</f>
        <v>1</v>
      </c>
      <c r="B1274" t="str">
        <f>CASOPOInvCL!Z1274</f>
        <v>SO18361</v>
      </c>
      <c r="G1274" s="5" t="str">
        <f>CASOPOInvCL!I1274</f>
        <v>Yannett Yeomans</v>
      </c>
      <c r="H1274" s="31">
        <f>CASOPOInvCL!U1274</f>
        <v>12</v>
      </c>
      <c r="I1274" s="31">
        <f>CASOPOInvCL!V1274</f>
        <v>2025</v>
      </c>
      <c r="J1274" s="5" t="str">
        <f>CASOPOInvCL!AB1274</f>
        <v>INV13820</v>
      </c>
      <c r="K1274" s="31" t="str">
        <f>CASOPOInvCL!W1274</f>
        <v/>
      </c>
      <c r="L1274" s="31" t="str">
        <f>CASOPOInvCL!X1274</f>
        <v/>
      </c>
      <c r="N1274" s="5" t="str">
        <f>CASOPOInvCL!AF1274</f>
        <v>Dynapro Pumps México S de RL de CV</v>
      </c>
      <c r="O1274" s="16" t="str">
        <f>CASOPOInvCL!AG1274</f>
        <v>USD</v>
      </c>
      <c r="P1274" s="16">
        <f>CASOPOInvCL!AH1274</f>
        <v>1069.630932653891</v>
      </c>
      <c r="Q1274" s="16">
        <f>CASOPOInvCL!AI1274</f>
        <v>765</v>
      </c>
      <c r="R1274" s="32" t="str">
        <f>CASOPOInvCL!AU1274</f>
        <v/>
      </c>
      <c r="S1274" s="16">
        <f>CASOPOInvCL!AV1274</f>
        <v>0</v>
      </c>
      <c r="T1274" s="16">
        <f>CASOPOInvCL!AW1274</f>
        <v>0</v>
      </c>
      <c r="Y1274" s="29" t="str">
        <f>IFERROR(HLOOKUP(U1274,List!$D$2:$H$6,2,FALSE),"")</f>
        <v/>
      </c>
      <c r="Z1274" s="29" t="str">
        <f>IFERROR(HLOOKUP(V1274,List!$D$2:$H$6,3,FALSE),"")</f>
        <v/>
      </c>
      <c r="AA1274" s="29" t="str">
        <f>IFERROR(HLOOKUP(W1274,List!$D$2:$H$6,4,FALSE),"")</f>
        <v/>
      </c>
      <c r="AB1274" s="29" t="str">
        <f>IFERROR(HLOOKUP(X1274,List!$D$2:$H$6,5,FALSE),"")</f>
        <v/>
      </c>
      <c r="AC1274" s="12" t="str">
        <f t="shared" si="296"/>
        <v/>
      </c>
      <c r="AD1274" s="12" t="str">
        <f t="shared" si="297"/>
        <v/>
      </c>
      <c r="AE1274" s="12" t="str">
        <f t="shared" si="298"/>
        <v/>
      </c>
      <c r="AF1274" s="12" t="str">
        <f t="shared" si="299"/>
        <v/>
      </c>
      <c r="AG1274" t="e">
        <f>VLOOKUP(J1274,'Receivable Invoice Detail'!$A$1:F4286,6,FALSE)</f>
        <v>#N/A</v>
      </c>
      <c r="AM1274" s="12" t="str">
        <f t="shared" si="300"/>
        <v/>
      </c>
      <c r="AN1274" s="12" t="str">
        <f t="shared" si="301"/>
        <v/>
      </c>
      <c r="AO1274" s="12" t="str">
        <f t="shared" si="302"/>
        <v/>
      </c>
      <c r="AP1274" s="12" t="str">
        <f t="shared" si="303"/>
        <v/>
      </c>
      <c r="AQ1274" s="64"/>
      <c r="AS1274" s="12">
        <f t="shared" si="295"/>
        <v>0</v>
      </c>
    </row>
    <row r="1275" spans="1:46" hidden="1" x14ac:dyDescent="0.25">
      <c r="A1275" s="41">
        <f>CASOPOInvCL!T1275</f>
        <v>0</v>
      </c>
      <c r="B1275" t="str">
        <f>CASOPOInvCL!Z1275</f>
        <v>SO18363</v>
      </c>
      <c r="G1275" s="5" t="str">
        <f>CASOPOInvCL!I1275</f>
        <v>Wilka Nuñez</v>
      </c>
      <c r="H1275" s="31">
        <f>CASOPOInvCL!U1275</f>
        <v>12</v>
      </c>
      <c r="I1275" s="31">
        <f>CASOPOInvCL!V1275</f>
        <v>2025</v>
      </c>
      <c r="J1275" s="5" t="str">
        <f>CASOPOInvCL!AB1275</f>
        <v>No Inv</v>
      </c>
      <c r="K1275" s="31" t="str">
        <f>CASOPOInvCL!W1275</f>
        <v/>
      </c>
      <c r="L1275" s="31" t="str">
        <f>CASOPOInvCL!X1275</f>
        <v/>
      </c>
      <c r="N1275" s="5" t="str">
        <f>CASOPOInvCL!AF1275</f>
        <v>Barrick Gold - Pueblo Viejo Dominicana Corporation</v>
      </c>
      <c r="O1275" s="16" t="str">
        <f>CASOPOInvCL!AG1275</f>
        <v>USD</v>
      </c>
      <c r="P1275" s="16">
        <f>CASOPOInvCL!AH1275</f>
        <v>2730.9497665006543</v>
      </c>
      <c r="Q1275" s="16">
        <f>CASOPOInvCL!AI1275</f>
        <v>1996.88</v>
      </c>
      <c r="R1275" s="32" t="str">
        <f>CASOPOInvCL!AU1275</f>
        <v/>
      </c>
      <c r="S1275" s="16">
        <f>CASOPOInvCL!AV1275</f>
        <v>0</v>
      </c>
      <c r="T1275" s="16">
        <f>CASOPOInvCL!AW1275</f>
        <v>0</v>
      </c>
      <c r="Y1275" s="29" t="str">
        <f>IFERROR(HLOOKUP(U1275,List!$D$2:$H$6,2,FALSE),"")</f>
        <v/>
      </c>
      <c r="Z1275" s="29" t="str">
        <f>IFERROR(HLOOKUP(V1275,List!$D$2:$H$6,3,FALSE),"")</f>
        <v/>
      </c>
      <c r="AA1275" s="29" t="str">
        <f>IFERROR(HLOOKUP(W1275,List!$D$2:$H$6,4,FALSE),"")</f>
        <v/>
      </c>
      <c r="AB1275" s="29" t="str">
        <f>IFERROR(HLOOKUP(X1275,List!$D$2:$H$6,5,FALSE),"")</f>
        <v/>
      </c>
      <c r="AC1275" s="12" t="str">
        <f t="shared" si="296"/>
        <v/>
      </c>
      <c r="AD1275" s="12" t="str">
        <f t="shared" si="297"/>
        <v/>
      </c>
      <c r="AE1275" s="12" t="str">
        <f t="shared" si="298"/>
        <v/>
      </c>
      <c r="AF1275" s="12" t="str">
        <f t="shared" si="299"/>
        <v/>
      </c>
      <c r="AG1275" t="e">
        <f>VLOOKUP(J1275,'Receivable Invoice Detail'!$A$1:F4287,6,FALSE)</f>
        <v>#N/A</v>
      </c>
      <c r="AM1275" s="12" t="str">
        <f t="shared" si="300"/>
        <v/>
      </c>
      <c r="AN1275" s="12" t="str">
        <f t="shared" si="301"/>
        <v/>
      </c>
      <c r="AO1275" s="12" t="str">
        <f t="shared" si="302"/>
        <v/>
      </c>
      <c r="AP1275" s="12" t="str">
        <f t="shared" si="303"/>
        <v/>
      </c>
      <c r="AQ1275" s="64"/>
      <c r="AS1275" s="12">
        <f t="shared" si="295"/>
        <v>0</v>
      </c>
    </row>
    <row r="1276" spans="1:46" hidden="1" x14ac:dyDescent="0.25">
      <c r="A1276" s="41">
        <f>CASOPOInvCL!T1276</f>
        <v>0</v>
      </c>
      <c r="B1276" t="str">
        <f>CASOPOInvCL!Z1276</f>
        <v>SO18365</v>
      </c>
      <c r="E1276" t="s">
        <v>5848</v>
      </c>
      <c r="G1276" s="5" t="str">
        <f>CASOPOInvCL!I1276</f>
        <v>Leriel Reyes</v>
      </c>
      <c r="H1276" s="31">
        <f>CASOPOInvCL!U1276</f>
        <v>12</v>
      </c>
      <c r="I1276" s="31">
        <f>CASOPOInvCL!V1276</f>
        <v>2025</v>
      </c>
      <c r="J1276" s="5" t="str">
        <f>CASOPOInvCL!AB1276</f>
        <v>No Inv</v>
      </c>
      <c r="K1276" s="31" t="str">
        <f>CASOPOInvCL!W1276</f>
        <v/>
      </c>
      <c r="L1276" s="31" t="str">
        <f>CASOPOInvCL!X1276</f>
        <v/>
      </c>
      <c r="N1276" s="5" t="str">
        <f>CASOPOInvCL!AF1276</f>
        <v>Wesdome Gold Mines Ltd - Eagle River Mine</v>
      </c>
      <c r="O1276" s="16" t="str">
        <f>CASOPOInvCL!AG1276</f>
        <v>CAD</v>
      </c>
      <c r="P1276" s="16">
        <f>CASOPOInvCL!AH1276</f>
        <v>14569.4</v>
      </c>
      <c r="Q1276" s="16">
        <f>CASOPOInvCL!AI1276</f>
        <v>10451.576023756081</v>
      </c>
      <c r="R1276" s="32" t="str">
        <f>CASOPOInvCL!AU1276</f>
        <v/>
      </c>
      <c r="S1276" s="16">
        <f>CASOPOInvCL!AV1276</f>
        <v>0</v>
      </c>
      <c r="T1276" s="16">
        <f>CASOPOInvCL!AW1276</f>
        <v>0</v>
      </c>
      <c r="W1276" t="s">
        <v>5800</v>
      </c>
      <c r="Y1276" s="29" t="str">
        <f>IFERROR(HLOOKUP(U1276,List!$D$2:$H$6,2,FALSE),"")</f>
        <v/>
      </c>
      <c r="Z1276" s="29" t="str">
        <f>IFERROR(HLOOKUP(V1276,List!$D$2:$H$6,3,FALSE),"")</f>
        <v/>
      </c>
      <c r="AA1276" s="29">
        <f>IFERROR(HLOOKUP(W1276,List!$D$2:$H$6,4,FALSE),"")</f>
        <v>0.01</v>
      </c>
      <c r="AB1276" s="29" t="str">
        <f>IFERROR(HLOOKUP(X1276,List!$D$2:$H$6,5,FALSE),"")</f>
        <v/>
      </c>
      <c r="AC1276" s="12" t="str">
        <f t="shared" si="296"/>
        <v/>
      </c>
      <c r="AD1276" s="12" t="str">
        <f t="shared" si="297"/>
        <v/>
      </c>
      <c r="AE1276" s="12">
        <f t="shared" si="298"/>
        <v>0</v>
      </c>
      <c r="AF1276" s="12" t="str">
        <f t="shared" si="299"/>
        <v/>
      </c>
      <c r="AG1276" t="e">
        <f>VLOOKUP(J1276,'Receivable Invoice Detail'!$A$1:F4288,6,FALSE)</f>
        <v>#N/A</v>
      </c>
      <c r="AM1276" s="12" t="str">
        <f t="shared" si="300"/>
        <v/>
      </c>
      <c r="AN1276" s="12" t="str">
        <f t="shared" si="301"/>
        <v/>
      </c>
      <c r="AO1276" s="12">
        <f t="shared" si="302"/>
        <v>0</v>
      </c>
      <c r="AP1276" s="12" t="str">
        <f t="shared" si="303"/>
        <v/>
      </c>
      <c r="AQ1276" s="64"/>
      <c r="AS1276" s="12">
        <f t="shared" ref="AS1276:AS1337" si="304">T1269*1.5%</f>
        <v>0</v>
      </c>
    </row>
    <row r="1277" spans="1:46" hidden="1" x14ac:dyDescent="0.25">
      <c r="A1277" s="41">
        <f>CASOPOInvCL!T1277</f>
        <v>1</v>
      </c>
      <c r="B1277" t="str">
        <f>CASOPOInvCL!Z1277</f>
        <v>SO18366</v>
      </c>
      <c r="G1277" s="5" t="str">
        <f>CASOPOInvCL!I1277</f>
        <v>Aleksandar Stankovic</v>
      </c>
      <c r="H1277" s="31">
        <f>CASOPOInvCL!U1277</f>
        <v>12</v>
      </c>
      <c r="I1277" s="31">
        <f>CASOPOInvCL!V1277</f>
        <v>2025</v>
      </c>
      <c r="J1277" s="5" t="str">
        <f>CASOPOInvCL!AB1277</f>
        <v>INV13779</v>
      </c>
      <c r="K1277" s="31" t="str">
        <f>CASOPOInvCL!W1277</f>
        <v/>
      </c>
      <c r="L1277" s="31" t="str">
        <f>CASOPOInvCL!X1277</f>
        <v/>
      </c>
      <c r="N1277" s="5" t="str">
        <f>CASOPOInvCL!AF1277</f>
        <v>Covia Corp - Guion</v>
      </c>
      <c r="O1277" s="16" t="str">
        <f>CASOPOInvCL!AG1277</f>
        <v>USD</v>
      </c>
      <c r="P1277" s="16">
        <f>CASOPOInvCL!AH1277</f>
        <v>15111.571033559638</v>
      </c>
      <c r="Q1277" s="16">
        <f>CASOPOInvCL!AI1277</f>
        <v>10922.17</v>
      </c>
      <c r="R1277" s="32" t="str">
        <f>CASOPOInvCL!AU1277</f>
        <v/>
      </c>
      <c r="S1277" s="16">
        <f>CASOPOInvCL!AV1277</f>
        <v>563</v>
      </c>
      <c r="T1277" s="16">
        <f>CASOPOInvCL!AW1277</f>
        <v>0</v>
      </c>
      <c r="Y1277" s="29" t="str">
        <f>IFERROR(HLOOKUP(U1277,List!$D$2:$H$6,2,FALSE),"")</f>
        <v/>
      </c>
      <c r="Z1277" s="29" t="str">
        <f>IFERROR(HLOOKUP(V1277,List!$D$2:$H$6,3,FALSE),"")</f>
        <v/>
      </c>
      <c r="AA1277" s="29" t="str">
        <f>IFERROR(HLOOKUP(W1277,List!$D$2:$H$6,4,FALSE),"")</f>
        <v/>
      </c>
      <c r="AB1277" s="29" t="str">
        <f>IFERROR(HLOOKUP(X1277,List!$D$2:$H$6,5,FALSE),"")</f>
        <v/>
      </c>
      <c r="AC1277" s="12" t="str">
        <f t="shared" si="296"/>
        <v/>
      </c>
      <c r="AD1277" s="12" t="str">
        <f t="shared" si="297"/>
        <v/>
      </c>
      <c r="AE1277" s="12" t="str">
        <f t="shared" si="298"/>
        <v/>
      </c>
      <c r="AF1277" s="12" t="str">
        <f t="shared" si="299"/>
        <v/>
      </c>
      <c r="AG1277" t="str">
        <f>VLOOKUP(J1277,'Receivable Invoice Detail'!$A$1:F4289,6,FALSE)</f>
        <v>[W-G8036M/R55] Frame Plate Liner, 10/8 F or ST-AH, Natural Rubber</v>
      </c>
      <c r="AM1277" s="12" t="str">
        <f t="shared" si="300"/>
        <v/>
      </c>
      <c r="AN1277" s="12" t="str">
        <f t="shared" si="301"/>
        <v/>
      </c>
      <c r="AO1277" s="12" t="str">
        <f t="shared" si="302"/>
        <v/>
      </c>
      <c r="AP1277" s="12" t="str">
        <f t="shared" si="303"/>
        <v/>
      </c>
      <c r="AQ1277" s="64"/>
      <c r="AS1277" s="12">
        <f t="shared" si="304"/>
        <v>0</v>
      </c>
    </row>
    <row r="1278" spans="1:46" hidden="1" x14ac:dyDescent="0.25">
      <c r="A1278" s="41">
        <f>CASOPOInvCL!T1278</f>
        <v>1</v>
      </c>
      <c r="B1278" t="str">
        <f>CASOPOInvCL!Z1278</f>
        <v>SO18367</v>
      </c>
      <c r="G1278" s="5" t="str">
        <f>CASOPOInvCL!I1278</f>
        <v>Wilka Nuñez</v>
      </c>
      <c r="H1278" s="31">
        <f>CASOPOInvCL!U1278</f>
        <v>12</v>
      </c>
      <c r="I1278" s="31">
        <f>CASOPOInvCL!V1278</f>
        <v>2025</v>
      </c>
      <c r="J1278" s="5" t="str">
        <f>CASOPOInvCL!AB1278</f>
        <v>INV13733</v>
      </c>
      <c r="K1278" s="31" t="str">
        <f>CASOPOInvCL!W1278</f>
        <v/>
      </c>
      <c r="L1278" s="31" t="str">
        <f>CASOPOInvCL!X1278</f>
        <v/>
      </c>
      <c r="N1278" s="5" t="str">
        <f>CASOPOInvCL!AF1278</f>
        <v>Hyperflo</v>
      </c>
      <c r="O1278" s="16" t="str">
        <f>CASOPOInvCL!AG1278</f>
        <v>CAD</v>
      </c>
      <c r="P1278" s="16">
        <f>CASOPOInvCL!AH1278</f>
        <v>861.5</v>
      </c>
      <c r="Q1278" s="16">
        <f>CASOPOInvCL!AI1278</f>
        <v>618.00985246241203</v>
      </c>
      <c r="R1278" s="32" t="str">
        <f>CASOPOInvCL!AU1278</f>
        <v/>
      </c>
      <c r="S1278" s="16">
        <f>CASOPOInvCL!AV1278</f>
        <v>0</v>
      </c>
      <c r="T1278" s="16">
        <f>CASOPOInvCL!AW1278</f>
        <v>0</v>
      </c>
      <c r="Y1278" s="29" t="str">
        <f>IFERROR(HLOOKUP(U1278,List!$D$2:$H$6,2,FALSE),"")</f>
        <v/>
      </c>
      <c r="Z1278" s="29" t="str">
        <f>IFERROR(HLOOKUP(V1278,List!$D$2:$H$6,3,FALSE),"")</f>
        <v/>
      </c>
      <c r="AA1278" s="29" t="str">
        <f>IFERROR(HLOOKUP(W1278,List!$D$2:$H$6,4,FALSE),"")</f>
        <v/>
      </c>
      <c r="AB1278" s="29" t="str">
        <f>IFERROR(HLOOKUP(X1278,List!$D$2:$H$6,5,FALSE),"")</f>
        <v/>
      </c>
      <c r="AC1278" s="12" t="str">
        <f t="shared" si="296"/>
        <v/>
      </c>
      <c r="AD1278" s="12" t="str">
        <f t="shared" si="297"/>
        <v/>
      </c>
      <c r="AE1278" s="12" t="str">
        <f t="shared" si="298"/>
        <v/>
      </c>
      <c r="AF1278" s="12" t="str">
        <f t="shared" si="299"/>
        <v/>
      </c>
      <c r="AG1278" t="str">
        <f>VLOOKUP(J1278,'Receivable Invoice Detail'!$A$1:F4290,6,FALSE)</f>
        <v>[AC-98-233-733-513] Deflector (Water Slinger), 8x6-18 &amp; 10x8-21 SRL-C, Neoprene/Steel</v>
      </c>
      <c r="AM1278" s="12" t="str">
        <f t="shared" si="300"/>
        <v/>
      </c>
      <c r="AN1278" s="12" t="str">
        <f t="shared" si="301"/>
        <v/>
      </c>
      <c r="AO1278" s="12" t="str">
        <f t="shared" si="302"/>
        <v/>
      </c>
      <c r="AP1278" s="12" t="str">
        <f t="shared" si="303"/>
        <v/>
      </c>
      <c r="AQ1278" s="64"/>
      <c r="AS1278" s="12">
        <f t="shared" si="304"/>
        <v>8.9951099720960492</v>
      </c>
    </row>
    <row r="1279" spans="1:46" hidden="1" x14ac:dyDescent="0.25">
      <c r="A1279" s="41">
        <f>CASOPOInvCL!T1279</f>
        <v>0</v>
      </c>
      <c r="B1279" t="str">
        <f>CASOPOInvCL!Z1279</f>
        <v>SO18368</v>
      </c>
      <c r="G1279" s="5" t="str">
        <f>CASOPOInvCL!I1279</f>
        <v>Yannett Yeomans</v>
      </c>
      <c r="H1279" s="31">
        <f>CASOPOInvCL!U1279</f>
        <v>12</v>
      </c>
      <c r="I1279" s="31">
        <f>CASOPOInvCL!V1279</f>
        <v>2025</v>
      </c>
      <c r="J1279" s="5" t="str">
        <f>CASOPOInvCL!AB1279</f>
        <v>No Inv</v>
      </c>
      <c r="K1279" s="31" t="str">
        <f>CASOPOInvCL!W1279</f>
        <v/>
      </c>
      <c r="L1279" s="31" t="str">
        <f>CASOPOInvCL!X1279</f>
        <v/>
      </c>
      <c r="N1279" s="5" t="str">
        <f>CASOPOInvCL!AF1279</f>
        <v>Dynapro Pumps México S de RL de CV</v>
      </c>
      <c r="O1279" s="16" t="str">
        <f>CASOPOInvCL!AG1279</f>
        <v>USD</v>
      </c>
      <c r="P1279" s="16">
        <f>CASOPOInvCL!AH1279</f>
        <v>36410.130283674851</v>
      </c>
      <c r="Q1279" s="16">
        <f>CASOPOInvCL!AI1279</f>
        <v>26095</v>
      </c>
      <c r="R1279" s="32" t="str">
        <f>CASOPOInvCL!AU1279</f>
        <v/>
      </c>
      <c r="S1279" s="16">
        <f>CASOPOInvCL!AV1279</f>
        <v>0</v>
      </c>
      <c r="T1279" s="16">
        <f>CASOPOInvCL!AW1279</f>
        <v>0</v>
      </c>
      <c r="Y1279" s="29" t="str">
        <f>IFERROR(HLOOKUP(U1279,List!$D$2:$H$6,2,FALSE),"")</f>
        <v/>
      </c>
      <c r="Z1279" s="29" t="str">
        <f>IFERROR(HLOOKUP(V1279,List!$D$2:$H$6,3,FALSE),"")</f>
        <v/>
      </c>
      <c r="AA1279" s="29" t="str">
        <f>IFERROR(HLOOKUP(W1279,List!$D$2:$H$6,4,FALSE),"")</f>
        <v/>
      </c>
      <c r="AB1279" s="29" t="str">
        <f>IFERROR(HLOOKUP(X1279,List!$D$2:$H$6,5,FALSE),"")</f>
        <v/>
      </c>
      <c r="AC1279" s="12" t="str">
        <f t="shared" si="296"/>
        <v/>
      </c>
      <c r="AD1279" s="12" t="str">
        <f t="shared" si="297"/>
        <v/>
      </c>
      <c r="AE1279" s="12" t="str">
        <f t="shared" si="298"/>
        <v/>
      </c>
      <c r="AF1279" s="12" t="str">
        <f t="shared" si="299"/>
        <v/>
      </c>
      <c r="AG1279" t="e">
        <f>VLOOKUP(J1279,'Receivable Invoice Detail'!$A$1:F4291,6,FALSE)</f>
        <v>#N/A</v>
      </c>
      <c r="AM1279" s="12" t="str">
        <f t="shared" si="300"/>
        <v/>
      </c>
      <c r="AN1279" s="12" t="str">
        <f t="shared" si="301"/>
        <v/>
      </c>
      <c r="AO1279" s="12" t="str">
        <f t="shared" si="302"/>
        <v/>
      </c>
      <c r="AP1279" s="12" t="str">
        <f t="shared" si="303"/>
        <v/>
      </c>
      <c r="AQ1279" s="64"/>
      <c r="AS1279" s="12">
        <f t="shared" si="304"/>
        <v>0</v>
      </c>
    </row>
    <row r="1280" spans="1:46" hidden="1" x14ac:dyDescent="0.25">
      <c r="A1280" s="41">
        <f>CASOPOInvCL!T1280</f>
        <v>0</v>
      </c>
      <c r="B1280" t="str">
        <f>CASOPOInvCL!Z1280</f>
        <v>SO18369</v>
      </c>
      <c r="E1280" t="s">
        <v>5848</v>
      </c>
      <c r="G1280" s="5" t="str">
        <f>CASOPOInvCL!I1280</f>
        <v>Leriel Reyes</v>
      </c>
      <c r="H1280" s="31">
        <f>CASOPOInvCL!U1280</f>
        <v>12</v>
      </c>
      <c r="I1280" s="31">
        <f>CASOPOInvCL!V1280</f>
        <v>2025</v>
      </c>
      <c r="J1280" s="5" t="str">
        <f>CASOPOInvCL!AB1280</f>
        <v>No Inv</v>
      </c>
      <c r="K1280" s="31" t="str">
        <f>CASOPOInvCL!W1280</f>
        <v/>
      </c>
      <c r="L1280" s="31" t="str">
        <f>CASOPOInvCL!X1280</f>
        <v/>
      </c>
      <c r="N1280" s="5" t="str">
        <f>CASOPOInvCL!AF1280</f>
        <v>Wesdome Gold Mines Ltd - Eagle River Mine</v>
      </c>
      <c r="O1280" s="16" t="str">
        <f>CASOPOInvCL!AG1280</f>
        <v>CAD</v>
      </c>
      <c r="P1280" s="16">
        <f>CASOPOInvCL!AH1280</f>
        <v>16879.22</v>
      </c>
      <c r="Q1280" s="16">
        <f>CASOPOInvCL!AI1280</f>
        <v>12178.531914989329</v>
      </c>
      <c r="R1280" s="32" t="str">
        <f>CASOPOInvCL!AU1280</f>
        <v/>
      </c>
      <c r="S1280" s="16">
        <f>CASOPOInvCL!AV1280</f>
        <v>0</v>
      </c>
      <c r="T1280" s="16">
        <f>CASOPOInvCL!AW1280</f>
        <v>0</v>
      </c>
      <c r="W1280" t="s">
        <v>5801</v>
      </c>
      <c r="Y1280" s="29" t="str">
        <f>IFERROR(HLOOKUP(U1280,List!$D$2:$H$6,2,FALSE),"")</f>
        <v/>
      </c>
      <c r="Z1280" s="29" t="str">
        <f>IFERROR(HLOOKUP(V1280,List!$D$2:$H$6,3,FALSE),"")</f>
        <v/>
      </c>
      <c r="AA1280" s="29">
        <f>IFERROR(HLOOKUP(W1280,List!$D$2:$H$6,4,FALSE),"")</f>
        <v>0.02</v>
      </c>
      <c r="AB1280" s="29" t="str">
        <f>IFERROR(HLOOKUP(X1280,List!$D$2:$H$6,5,FALSE),"")</f>
        <v/>
      </c>
      <c r="AC1280" s="12" t="str">
        <f t="shared" si="296"/>
        <v/>
      </c>
      <c r="AD1280" s="12" t="str">
        <f t="shared" si="297"/>
        <v/>
      </c>
      <c r="AE1280" s="12">
        <f t="shared" si="298"/>
        <v>0</v>
      </c>
      <c r="AF1280" s="12" t="str">
        <f t="shared" si="299"/>
        <v/>
      </c>
      <c r="AG1280" t="e">
        <f>VLOOKUP(J1280,'Receivable Invoice Detail'!$A$1:F4292,6,FALSE)</f>
        <v>#N/A</v>
      </c>
      <c r="AM1280" s="12" t="str">
        <f t="shared" si="300"/>
        <v/>
      </c>
      <c r="AN1280" s="12" t="str">
        <f t="shared" si="301"/>
        <v/>
      </c>
      <c r="AO1280" s="12">
        <f t="shared" si="302"/>
        <v>0</v>
      </c>
      <c r="AP1280" s="12" t="str">
        <f t="shared" si="303"/>
        <v/>
      </c>
      <c r="AQ1280" s="64"/>
      <c r="AS1280" s="12">
        <f t="shared" si="304"/>
        <v>0</v>
      </c>
    </row>
    <row r="1281" spans="1:45" hidden="1" x14ac:dyDescent="0.25">
      <c r="A1281" s="41">
        <f>CASOPOInvCL!T1281</f>
        <v>1</v>
      </c>
      <c r="B1281" t="str">
        <f>CASOPOInvCL!Z1281</f>
        <v>SO18371</v>
      </c>
      <c r="G1281" s="5" t="str">
        <f>CASOPOInvCL!I1281</f>
        <v>Ian Trottier</v>
      </c>
      <c r="H1281" s="31">
        <f>CASOPOInvCL!U1281</f>
        <v>12</v>
      </c>
      <c r="I1281" s="31">
        <f>CASOPOInvCL!V1281</f>
        <v>2025</v>
      </c>
      <c r="J1281" s="5" t="str">
        <f>CASOPOInvCL!AB1281</f>
        <v>INV13795</v>
      </c>
      <c r="K1281" s="31" t="str">
        <f>CASOPOInvCL!W1281</f>
        <v/>
      </c>
      <c r="L1281" s="31" t="str">
        <f>CASOPOInvCL!X1281</f>
        <v/>
      </c>
      <c r="N1281" s="5" t="str">
        <f>CASOPOInvCL!AF1281</f>
        <v>Wajax Limited - Pointe-aux-Trembles</v>
      </c>
      <c r="O1281" s="16" t="str">
        <f>CASOPOInvCL!AG1281</f>
        <v>CAD</v>
      </c>
      <c r="P1281" s="16">
        <f>CASOPOInvCL!AH1281</f>
        <v>4160.45</v>
      </c>
      <c r="Q1281" s="16">
        <f>CASOPOInvCL!AI1281</f>
        <v>3018.7508404082641</v>
      </c>
      <c r="R1281" s="32" t="str">
        <f>CASOPOInvCL!AU1281</f>
        <v/>
      </c>
      <c r="S1281" s="16">
        <f>CASOPOInvCL!AV1281</f>
        <v>0</v>
      </c>
      <c r="T1281" s="16">
        <f>CASOPOInvCL!AW1281</f>
        <v>0</v>
      </c>
      <c r="Y1281" s="29" t="str">
        <f>IFERROR(HLOOKUP(U1281,List!$D$2:$H$6,2,FALSE),"")</f>
        <v/>
      </c>
      <c r="Z1281" s="29" t="str">
        <f>IFERROR(HLOOKUP(V1281,List!$D$2:$H$6,3,FALSE),"")</f>
        <v/>
      </c>
      <c r="AA1281" s="29" t="str">
        <f>IFERROR(HLOOKUP(W1281,List!$D$2:$H$6,4,FALSE),"")</f>
        <v/>
      </c>
      <c r="AB1281" s="29" t="str">
        <f>IFERROR(HLOOKUP(X1281,List!$D$2:$H$6,5,FALSE),"")</f>
        <v/>
      </c>
      <c r="AC1281" s="12" t="str">
        <f t="shared" si="296"/>
        <v/>
      </c>
      <c r="AD1281" s="12" t="str">
        <f t="shared" si="297"/>
        <v/>
      </c>
      <c r="AE1281" s="12" t="str">
        <f t="shared" si="298"/>
        <v/>
      </c>
      <c r="AF1281" s="12" t="str">
        <f t="shared" si="299"/>
        <v/>
      </c>
      <c r="AG1281" t="str">
        <f>VLOOKUP(J1281,'Receivable Invoice Detail'!$A$1:F4293,6,FALSE)</f>
        <v>[D-3J4614-6] Suction Cover Liner, 4x6-14, Goulds JC, Frame 3J, High Chrome, OEM# 048944G0001228</v>
      </c>
      <c r="AM1281" s="12" t="str">
        <f t="shared" si="300"/>
        <v/>
      </c>
      <c r="AN1281" s="12" t="str">
        <f t="shared" si="301"/>
        <v/>
      </c>
      <c r="AO1281" s="12" t="str">
        <f t="shared" si="302"/>
        <v/>
      </c>
      <c r="AP1281" s="12" t="str">
        <f t="shared" si="303"/>
        <v/>
      </c>
      <c r="AQ1281" s="64"/>
      <c r="AS1281" s="12">
        <f t="shared" si="304"/>
        <v>0</v>
      </c>
    </row>
    <row r="1282" spans="1:45" hidden="1" x14ac:dyDescent="0.25">
      <c r="A1282" s="41">
        <f>CASOPOInvCL!T1282</f>
        <v>2</v>
      </c>
      <c r="B1282" t="str">
        <f>CASOPOInvCL!Z1282</f>
        <v>SO18372</v>
      </c>
      <c r="G1282" s="5" t="str">
        <f>CASOPOInvCL!I1282</f>
        <v>Ian Trottier</v>
      </c>
      <c r="H1282" s="31">
        <f>CASOPOInvCL!U1282</f>
        <v>12</v>
      </c>
      <c r="I1282" s="31">
        <f>CASOPOInvCL!V1282</f>
        <v>2025</v>
      </c>
      <c r="J1282" s="5" t="str">
        <f>CASOPOInvCL!AB1282</f>
        <v>INV13824</v>
      </c>
      <c r="K1282" s="31" t="str">
        <f>CASOPOInvCL!W1282</f>
        <v/>
      </c>
      <c r="L1282" s="31" t="str">
        <f>CASOPOInvCL!X1282</f>
        <v/>
      </c>
      <c r="N1282" s="5" t="str">
        <f>CASOPOInvCL!AF1282</f>
        <v>Glencore Canada Corporation - Rouyn-Noranda</v>
      </c>
      <c r="O1282" s="16" t="str">
        <f>CASOPOInvCL!AG1282</f>
        <v>CAD</v>
      </c>
      <c r="P1282" s="16">
        <f>CASOPOInvCL!AH1282</f>
        <v>2367.9699999999998</v>
      </c>
      <c r="Q1282" s="16">
        <f>CASOPOInvCL!AI1282</f>
        <v>1708.5148613939079</v>
      </c>
      <c r="R1282" s="32" t="str">
        <f>CASOPOInvCL!AU1282</f>
        <v/>
      </c>
      <c r="S1282" s="16">
        <f>CASOPOInvCL!AV1282</f>
        <v>0</v>
      </c>
      <c r="T1282" s="16">
        <f>CASOPOInvCL!AW1282</f>
        <v>0</v>
      </c>
      <c r="Y1282" s="29" t="str">
        <f>IFERROR(HLOOKUP(U1282,List!$D$2:$H$6,2,FALSE),"")</f>
        <v/>
      </c>
      <c r="Z1282" s="29" t="str">
        <f>IFERROR(HLOOKUP(V1282,List!$D$2:$H$6,3,FALSE),"")</f>
        <v/>
      </c>
      <c r="AA1282" s="29" t="str">
        <f>IFERROR(HLOOKUP(W1282,List!$D$2:$H$6,4,FALSE),"")</f>
        <v/>
      </c>
      <c r="AB1282" s="29" t="str">
        <f>IFERROR(HLOOKUP(X1282,List!$D$2:$H$6,5,FALSE),"")</f>
        <v/>
      </c>
      <c r="AC1282" s="12" t="str">
        <f t="shared" si="296"/>
        <v/>
      </c>
      <c r="AD1282" s="12" t="str">
        <f t="shared" si="297"/>
        <v/>
      </c>
      <c r="AE1282" s="12" t="str">
        <f t="shared" si="298"/>
        <v/>
      </c>
      <c r="AF1282" s="12" t="str">
        <f t="shared" si="299"/>
        <v/>
      </c>
      <c r="AG1282" t="str">
        <f>VLOOKUP(J1282,'Receivable Invoice Detail'!$A$1:F4294,6,FALSE)</f>
        <v>[AC-52-126-488-803] Mechanical Seal, Type-21, Allis-Chalmers 8000 Series, Carbon vs' Ni-Resist w/EPR Elastom</v>
      </c>
      <c r="AM1282" s="12" t="str">
        <f t="shared" si="300"/>
        <v/>
      </c>
      <c r="AN1282" s="12" t="str">
        <f t="shared" si="301"/>
        <v/>
      </c>
      <c r="AO1282" s="12" t="str">
        <f t="shared" si="302"/>
        <v/>
      </c>
      <c r="AP1282" s="12" t="str">
        <f t="shared" si="303"/>
        <v/>
      </c>
      <c r="AQ1282" s="64"/>
      <c r="AS1282" s="12">
        <f t="shared" si="304"/>
        <v>0</v>
      </c>
    </row>
    <row r="1283" spans="1:45" hidden="1" x14ac:dyDescent="0.25">
      <c r="A1283" s="41">
        <f>CASOPOInvCL!T1283</f>
        <v>2</v>
      </c>
      <c r="B1283" t="str">
        <f>CASOPOInvCL!Z1283</f>
        <v>SO18372</v>
      </c>
      <c r="G1283" s="5">
        <f>CASOPOInvCL!I1283</f>
        <v>0</v>
      </c>
      <c r="H1283" s="31">
        <f>CASOPOInvCL!U1283</f>
        <v>12</v>
      </c>
      <c r="I1283" s="31">
        <f>CASOPOInvCL!V1283</f>
        <v>2025</v>
      </c>
      <c r="J1283" s="5" t="str">
        <f>CASOPOInvCL!AB1283</f>
        <v>INV13747</v>
      </c>
      <c r="K1283" s="31" t="str">
        <f>CASOPOInvCL!W1283</f>
        <v/>
      </c>
      <c r="L1283" s="31" t="str">
        <f>CASOPOInvCL!X1283</f>
        <v/>
      </c>
      <c r="N1283" s="5" t="str">
        <f>CASOPOInvCL!AF1283</f>
        <v>Glencore Canada Corporation - Rouyn-Noranda</v>
      </c>
      <c r="O1283" s="16" t="str">
        <f>CASOPOInvCL!AG1283</f>
        <v>CAD</v>
      </c>
      <c r="P1283" s="16">
        <f>CASOPOInvCL!AH1283</f>
        <v>0</v>
      </c>
      <c r="Q1283" s="16">
        <f>CASOPOInvCL!AI1283</f>
        <v>0</v>
      </c>
      <c r="R1283" s="32" t="str">
        <f>CASOPOInvCL!AU1283</f>
        <v/>
      </c>
      <c r="S1283" s="16">
        <f>CASOPOInvCL!AV1283</f>
        <v>0</v>
      </c>
      <c r="T1283" s="16">
        <f>CASOPOInvCL!AW1283</f>
        <v>0</v>
      </c>
      <c r="Y1283" s="29" t="str">
        <f>IFERROR(HLOOKUP(U1283,List!$D$2:$H$6,2,FALSE),"")</f>
        <v/>
      </c>
      <c r="Z1283" s="29" t="str">
        <f>IFERROR(HLOOKUP(V1283,List!$D$2:$H$6,3,FALSE),"")</f>
        <v/>
      </c>
      <c r="AA1283" s="29" t="str">
        <f>IFERROR(HLOOKUP(W1283,List!$D$2:$H$6,4,FALSE),"")</f>
        <v/>
      </c>
      <c r="AB1283" s="29" t="str">
        <f>IFERROR(HLOOKUP(X1283,List!$D$2:$H$6,5,FALSE),"")</f>
        <v/>
      </c>
      <c r="AC1283" s="12" t="str">
        <f t="shared" ref="AC1283:AC1337" si="305">IFERROR(Y1283*$T1283,"")</f>
        <v/>
      </c>
      <c r="AD1283" s="12" t="str">
        <f t="shared" ref="AD1283:AD1337" si="306">IFERROR(Z1283*$T1283,"")</f>
        <v/>
      </c>
      <c r="AE1283" s="12" t="str">
        <f t="shared" ref="AE1283:AE1337" si="307">IFERROR(AA1283*$T1283,"")</f>
        <v/>
      </c>
      <c r="AF1283" s="12" t="str">
        <f t="shared" ref="AF1283:AF1337" si="308">IFERROR(AB1283*$T1283,"")</f>
        <v/>
      </c>
      <c r="AG1283" t="str">
        <f>VLOOKUP(J1283,'Receivable Invoice Detail'!$A$1:F4295,6,FALSE)</f>
        <v>[AC-52-126-488-803] Mechanical Seal, Type-21, Allis-Chalmers 8000 Series, Carbon vs' Ni-Resist w/EPR Elastom</v>
      </c>
      <c r="AM1283" s="12" t="str">
        <f t="shared" ref="AM1283:AM1337" si="309">IF(AI1283="",AC1283,0)</f>
        <v/>
      </c>
      <c r="AN1283" s="12" t="str">
        <f t="shared" ref="AN1283:AN1337" si="310">IF(AJ1283="",AD1283,0)</f>
        <v/>
      </c>
      <c r="AO1283" s="12" t="str">
        <f t="shared" ref="AO1283:AO1337" si="311">IF(AK1283="",AE1283,0)</f>
        <v/>
      </c>
      <c r="AP1283" s="12" t="str">
        <f t="shared" ref="AP1283:AP1337" si="312">IF(AL1283="",AF1283,0)</f>
        <v/>
      </c>
      <c r="AQ1283" s="64"/>
      <c r="AS1283" s="12">
        <f t="shared" si="304"/>
        <v>0</v>
      </c>
    </row>
    <row r="1284" spans="1:45" hidden="1" x14ac:dyDescent="0.25">
      <c r="A1284" s="41">
        <f>CASOPOInvCL!T1284</f>
        <v>1</v>
      </c>
      <c r="B1284" t="str">
        <f>CASOPOInvCL!Z1284</f>
        <v>SO18373</v>
      </c>
      <c r="G1284" s="5" t="str">
        <f>CASOPOInvCL!I1284</f>
        <v>Aleksandar Stankovic</v>
      </c>
      <c r="H1284" s="31">
        <f>CASOPOInvCL!U1284</f>
        <v>12</v>
      </c>
      <c r="I1284" s="31">
        <f>CASOPOInvCL!V1284</f>
        <v>2025</v>
      </c>
      <c r="J1284" s="5" t="str">
        <f>CASOPOInvCL!AB1284</f>
        <v>INV13748</v>
      </c>
      <c r="K1284" s="31" t="str">
        <f>CASOPOInvCL!W1284</f>
        <v/>
      </c>
      <c r="L1284" s="31" t="str">
        <f>CASOPOInvCL!X1284</f>
        <v/>
      </c>
      <c r="N1284" s="5" t="str">
        <f>CASOPOInvCL!AF1284</f>
        <v>Harvey Bearings</v>
      </c>
      <c r="O1284" s="16" t="str">
        <f>CASOPOInvCL!AG1284</f>
        <v>CAD</v>
      </c>
      <c r="P1284" s="16">
        <f>CASOPOInvCL!AH1284</f>
        <v>754.36</v>
      </c>
      <c r="Q1284" s="16">
        <f>CASOPOInvCL!AI1284</f>
        <v>544.27854695841097</v>
      </c>
      <c r="R1284" s="32" t="str">
        <f>CASOPOInvCL!AU1284</f>
        <v/>
      </c>
      <c r="S1284" s="16">
        <f>CASOPOInvCL!AV1284</f>
        <v>0</v>
      </c>
      <c r="T1284" s="16">
        <f>CASOPOInvCL!AW1284</f>
        <v>0</v>
      </c>
      <c r="Y1284" s="29" t="str">
        <f>IFERROR(HLOOKUP(U1284,List!$D$2:$H$6,2,FALSE),"")</f>
        <v/>
      </c>
      <c r="Z1284" s="29" t="str">
        <f>IFERROR(HLOOKUP(V1284,List!$D$2:$H$6,3,FALSE),"")</f>
        <v/>
      </c>
      <c r="AA1284" s="29" t="str">
        <f>IFERROR(HLOOKUP(W1284,List!$D$2:$H$6,4,FALSE),"")</f>
        <v/>
      </c>
      <c r="AB1284" s="29" t="str">
        <f>IFERROR(HLOOKUP(X1284,List!$D$2:$H$6,5,FALSE),"")</f>
        <v/>
      </c>
      <c r="AC1284" s="12" t="str">
        <f t="shared" si="305"/>
        <v/>
      </c>
      <c r="AD1284" s="12" t="str">
        <f t="shared" si="306"/>
        <v/>
      </c>
      <c r="AE1284" s="12" t="str">
        <f t="shared" si="307"/>
        <v/>
      </c>
      <c r="AF1284" s="12" t="str">
        <f t="shared" si="308"/>
        <v/>
      </c>
      <c r="AG1284" t="str">
        <f>VLOOKUP(J1284,'Receivable Invoice Detail'!$A$1:F4296,6,FALSE)</f>
        <v>[AC-98-130-366-001] Shaft Sleeve, PWO Frame 1, 316SS</v>
      </c>
      <c r="AM1284" s="12" t="str">
        <f t="shared" si="309"/>
        <v/>
      </c>
      <c r="AN1284" s="12" t="str">
        <f t="shared" si="310"/>
        <v/>
      </c>
      <c r="AO1284" s="12" t="str">
        <f t="shared" si="311"/>
        <v/>
      </c>
      <c r="AP1284" s="12" t="str">
        <f t="shared" si="312"/>
        <v/>
      </c>
      <c r="AQ1284" s="64"/>
      <c r="AS1284" s="12">
        <f t="shared" si="304"/>
        <v>0</v>
      </c>
    </row>
    <row r="1285" spans="1:45" hidden="1" x14ac:dyDescent="0.25">
      <c r="A1285" s="41">
        <f>CASOPOInvCL!T1285</f>
        <v>1</v>
      </c>
      <c r="B1285" t="str">
        <f>CASOPOInvCL!Z1285</f>
        <v>SO18374</v>
      </c>
      <c r="G1285" s="5" t="str">
        <f>CASOPOInvCL!I1285</f>
        <v>Alexis Gil Lamadrid</v>
      </c>
      <c r="H1285" s="31">
        <f>CASOPOInvCL!U1285</f>
        <v>12</v>
      </c>
      <c r="I1285" s="31">
        <f>CASOPOInvCL!V1285</f>
        <v>2025</v>
      </c>
      <c r="J1285" s="5" t="str">
        <f>CASOPOInvCL!AB1285</f>
        <v>INV13803</v>
      </c>
      <c r="K1285" s="31" t="str">
        <f>CASOPOInvCL!W1285</f>
        <v/>
      </c>
      <c r="L1285" s="31" t="str">
        <f>CASOPOInvCL!X1285</f>
        <v/>
      </c>
      <c r="N1285" s="5" t="str">
        <f>CASOPOInvCL!AF1285</f>
        <v>Manufacture Sling-Choker (Val-d’Or) Ltée</v>
      </c>
      <c r="O1285" s="16" t="str">
        <f>CASOPOInvCL!AG1285</f>
        <v>CAD</v>
      </c>
      <c r="P1285" s="16">
        <f>CASOPOInvCL!AH1285</f>
        <v>3345.05</v>
      </c>
      <c r="Q1285" s="16">
        <f>CASOPOInvCL!AI1285</f>
        <v>2432.8900507138151</v>
      </c>
      <c r="R1285" s="32" t="str">
        <f>CASOPOInvCL!AU1285</f>
        <v/>
      </c>
      <c r="S1285" s="16">
        <f>CASOPOInvCL!AV1285</f>
        <v>0</v>
      </c>
      <c r="T1285" s="16">
        <f>CASOPOInvCL!AW1285</f>
        <v>0</v>
      </c>
      <c r="Y1285" s="29" t="str">
        <f>IFERROR(HLOOKUP(U1285,List!$D$2:$H$6,2,FALSE),"")</f>
        <v/>
      </c>
      <c r="Z1285" s="29" t="str">
        <f>IFERROR(HLOOKUP(V1285,List!$D$2:$H$6,3,FALSE),"")</f>
        <v/>
      </c>
      <c r="AA1285" s="29" t="str">
        <f>IFERROR(HLOOKUP(W1285,List!$D$2:$H$6,4,FALSE),"")</f>
        <v/>
      </c>
      <c r="AB1285" s="29" t="str">
        <f>IFERROR(HLOOKUP(X1285,List!$D$2:$H$6,5,FALSE),"")</f>
        <v/>
      </c>
      <c r="AC1285" s="12" t="str">
        <f t="shared" si="305"/>
        <v/>
      </c>
      <c r="AD1285" s="12" t="str">
        <f t="shared" si="306"/>
        <v/>
      </c>
      <c r="AE1285" s="12" t="str">
        <f t="shared" si="307"/>
        <v/>
      </c>
      <c r="AF1285" s="12" t="str">
        <f t="shared" si="308"/>
        <v/>
      </c>
      <c r="AG1285" t="str">
        <f>VLOOKUP(J1285,'Receivable Invoice Detail'!$A$1:F4297,6,FALSE)</f>
        <v>[AC-98-233-815-001] Half Seal Cage, 5x4/5x5/6x6 SRL &amp; SRL-C, Steel</v>
      </c>
      <c r="AM1285" s="12" t="str">
        <f t="shared" si="309"/>
        <v/>
      </c>
      <c r="AN1285" s="12" t="str">
        <f t="shared" si="310"/>
        <v/>
      </c>
      <c r="AO1285" s="12" t="str">
        <f t="shared" si="311"/>
        <v/>
      </c>
      <c r="AP1285" s="12" t="str">
        <f t="shared" si="312"/>
        <v/>
      </c>
      <c r="AQ1285" s="64"/>
      <c r="AS1285" s="12">
        <f t="shared" si="304"/>
        <v>0</v>
      </c>
    </row>
    <row r="1286" spans="1:45" hidden="1" x14ac:dyDescent="0.25">
      <c r="A1286" s="41">
        <f>CASOPOInvCL!T1286</f>
        <v>1</v>
      </c>
      <c r="B1286" t="str">
        <f>CASOPOInvCL!Z1286</f>
        <v>SO18375</v>
      </c>
      <c r="G1286" s="5" t="str">
        <f>CASOPOInvCL!I1286</f>
        <v>Ian Trottier</v>
      </c>
      <c r="H1286" s="31">
        <f>CASOPOInvCL!U1286</f>
        <v>12</v>
      </c>
      <c r="I1286" s="31">
        <f>CASOPOInvCL!V1286</f>
        <v>2025</v>
      </c>
      <c r="J1286" s="5" t="str">
        <f>CASOPOInvCL!AB1286</f>
        <v>INV13793</v>
      </c>
      <c r="K1286" s="31" t="str">
        <f>CASOPOInvCL!W1286</f>
        <v/>
      </c>
      <c r="L1286" s="31" t="str">
        <f>CASOPOInvCL!X1286</f>
        <v/>
      </c>
      <c r="N1286" s="5" t="str">
        <f>CASOPOInvCL!AF1286</f>
        <v>Motion Industries Inc. (Canada) - Prince George</v>
      </c>
      <c r="O1286" s="16" t="str">
        <f>CASOPOInvCL!AG1286</f>
        <v>CAD</v>
      </c>
      <c r="P1286" s="16">
        <f>CASOPOInvCL!AH1286</f>
        <v>7748.12</v>
      </c>
      <c r="Q1286" s="16">
        <f>CASOPOInvCL!AI1286</f>
        <v>5626.9827995877331</v>
      </c>
      <c r="R1286" s="32" t="str">
        <f>CASOPOInvCL!AU1286</f>
        <v/>
      </c>
      <c r="S1286" s="16">
        <f>CASOPOInvCL!AV1286</f>
        <v>0</v>
      </c>
      <c r="T1286" s="16">
        <f>CASOPOInvCL!AW1286</f>
        <v>0</v>
      </c>
      <c r="Y1286" s="29" t="str">
        <f>IFERROR(HLOOKUP(U1286,List!$D$2:$H$6,2,FALSE),"")</f>
        <v/>
      </c>
      <c r="Z1286" s="29" t="str">
        <f>IFERROR(HLOOKUP(V1286,List!$D$2:$H$6,3,FALSE),"")</f>
        <v/>
      </c>
      <c r="AA1286" s="29" t="str">
        <f>IFERROR(HLOOKUP(W1286,List!$D$2:$H$6,4,FALSE),"")</f>
        <v/>
      </c>
      <c r="AB1286" s="29" t="str">
        <f>IFERROR(HLOOKUP(X1286,List!$D$2:$H$6,5,FALSE),"")</f>
        <v/>
      </c>
      <c r="AC1286" s="12" t="str">
        <f t="shared" si="305"/>
        <v/>
      </c>
      <c r="AD1286" s="12" t="str">
        <f t="shared" si="306"/>
        <v/>
      </c>
      <c r="AE1286" s="12" t="str">
        <f t="shared" si="307"/>
        <v/>
      </c>
      <c r="AF1286" s="12" t="str">
        <f t="shared" si="308"/>
        <v/>
      </c>
      <c r="AG1286" t="str">
        <f>VLOOKUP(J1286,'Receivable Invoice Detail'!$A$1:F4298,6,FALSE)</f>
        <v>[W-E4147/A05] Impeller, 6/4 D or E-AH, High Chrome</v>
      </c>
      <c r="AM1286" s="12" t="str">
        <f t="shared" si="309"/>
        <v/>
      </c>
      <c r="AN1286" s="12" t="str">
        <f t="shared" si="310"/>
        <v/>
      </c>
      <c r="AO1286" s="12" t="str">
        <f t="shared" si="311"/>
        <v/>
      </c>
      <c r="AP1286" s="12" t="str">
        <f t="shared" si="312"/>
        <v/>
      </c>
      <c r="AQ1286" s="64"/>
      <c r="AS1286" s="12">
        <f t="shared" si="304"/>
        <v>0</v>
      </c>
    </row>
    <row r="1287" spans="1:45" hidden="1" x14ac:dyDescent="0.25">
      <c r="A1287" s="41">
        <f>CASOPOInvCL!T1287</f>
        <v>0</v>
      </c>
      <c r="B1287" t="str">
        <f>CASOPOInvCL!Z1287</f>
        <v>SO18377</v>
      </c>
      <c r="G1287" s="5" t="str">
        <f>CASOPOInvCL!I1287</f>
        <v>Alexis Gil Lamadrid</v>
      </c>
      <c r="H1287" s="31">
        <f>CASOPOInvCL!U1287</f>
        <v>12</v>
      </c>
      <c r="I1287" s="31">
        <f>CASOPOInvCL!V1287</f>
        <v>2025</v>
      </c>
      <c r="J1287" s="5" t="str">
        <f>CASOPOInvCL!AB1287</f>
        <v>No Inv</v>
      </c>
      <c r="K1287" s="31" t="str">
        <f>CASOPOInvCL!W1287</f>
        <v/>
      </c>
      <c r="L1287" s="31" t="str">
        <f>CASOPOInvCL!X1287</f>
        <v/>
      </c>
      <c r="N1287" s="5" t="str">
        <f>CASOPOInvCL!AF1287</f>
        <v>Wajax Limited - Noranda</v>
      </c>
      <c r="O1287" s="16" t="str">
        <f>CASOPOInvCL!AG1287</f>
        <v>CAD</v>
      </c>
      <c r="P1287" s="16">
        <f>CASOPOInvCL!AH1287</f>
        <v>6937.76</v>
      </c>
      <c r="Q1287" s="16">
        <f>CASOPOInvCL!AI1287</f>
        <v>5021.5817376649129</v>
      </c>
      <c r="R1287" s="32" t="str">
        <f>CASOPOInvCL!AU1287</f>
        <v/>
      </c>
      <c r="S1287" s="16">
        <f>CASOPOInvCL!AV1287</f>
        <v>0</v>
      </c>
      <c r="T1287" s="16">
        <f>CASOPOInvCL!AW1287</f>
        <v>0</v>
      </c>
      <c r="Y1287" s="29" t="str">
        <f>IFERROR(HLOOKUP(U1287,List!$D$2:$H$6,2,FALSE),"")</f>
        <v/>
      </c>
      <c r="Z1287" s="29" t="str">
        <f>IFERROR(HLOOKUP(V1287,List!$D$2:$H$6,3,FALSE),"")</f>
        <v/>
      </c>
      <c r="AA1287" s="29" t="str">
        <f>IFERROR(HLOOKUP(W1287,List!$D$2:$H$6,4,FALSE),"")</f>
        <v/>
      </c>
      <c r="AB1287" s="29" t="str">
        <f>IFERROR(HLOOKUP(X1287,List!$D$2:$H$6,5,FALSE),"")</f>
        <v/>
      </c>
      <c r="AC1287" s="12" t="str">
        <f t="shared" si="305"/>
        <v/>
      </c>
      <c r="AD1287" s="12" t="str">
        <f t="shared" si="306"/>
        <v/>
      </c>
      <c r="AE1287" s="12" t="str">
        <f t="shared" si="307"/>
        <v/>
      </c>
      <c r="AF1287" s="12" t="str">
        <f t="shared" si="308"/>
        <v/>
      </c>
      <c r="AG1287" t="e">
        <f>VLOOKUP(J1287,'Receivable Invoice Detail'!$A$1:F4299,6,FALSE)</f>
        <v>#N/A</v>
      </c>
      <c r="AM1287" s="12" t="str">
        <f t="shared" si="309"/>
        <v/>
      </c>
      <c r="AN1287" s="12" t="str">
        <f t="shared" si="310"/>
        <v/>
      </c>
      <c r="AO1287" s="12" t="str">
        <f t="shared" si="311"/>
        <v/>
      </c>
      <c r="AP1287" s="12" t="str">
        <f t="shared" si="312"/>
        <v/>
      </c>
      <c r="AQ1287" s="64"/>
      <c r="AS1287" s="12">
        <f t="shared" si="304"/>
        <v>0</v>
      </c>
    </row>
    <row r="1288" spans="1:45" hidden="1" x14ac:dyDescent="0.25">
      <c r="A1288" s="41">
        <f>CASOPOInvCL!T1288</f>
        <v>1</v>
      </c>
      <c r="B1288" t="str">
        <f>CASOPOInvCL!Z1288</f>
        <v>SO18378</v>
      </c>
      <c r="G1288" s="5" t="str">
        <f>CASOPOInvCL!I1288</f>
        <v>Ian Trottier</v>
      </c>
      <c r="H1288" s="31">
        <f>CASOPOInvCL!U1288</f>
        <v>12</v>
      </c>
      <c r="I1288" s="31">
        <f>CASOPOInvCL!V1288</f>
        <v>2025</v>
      </c>
      <c r="J1288" s="5" t="str">
        <f>CASOPOInvCL!AB1288</f>
        <v>INV13769</v>
      </c>
      <c r="K1288" s="31" t="str">
        <f>CASOPOInvCL!W1288</f>
        <v/>
      </c>
      <c r="L1288" s="31" t="str">
        <f>CASOPOInvCL!X1288</f>
        <v/>
      </c>
      <c r="N1288" s="5" t="str">
        <f>CASOPOInvCL!AF1288</f>
        <v>Les Pompes du St-Laurent Inc.</v>
      </c>
      <c r="O1288" s="16" t="str">
        <f>CASOPOInvCL!AG1288</f>
        <v>CAD</v>
      </c>
      <c r="P1288" s="16">
        <f>CASOPOInvCL!AH1288</f>
        <v>2979.04</v>
      </c>
      <c r="Q1288" s="16">
        <f>CASOPOInvCL!AI1288</f>
        <v>2163.4934460596683</v>
      </c>
      <c r="R1288" s="32" t="str">
        <f>CASOPOInvCL!AU1288</f>
        <v/>
      </c>
      <c r="S1288" s="16">
        <f>CASOPOInvCL!AV1288</f>
        <v>0</v>
      </c>
      <c r="T1288" s="16">
        <f>CASOPOInvCL!AW1288</f>
        <v>0</v>
      </c>
      <c r="Y1288" s="29" t="str">
        <f>IFERROR(HLOOKUP(U1288,List!$D$2:$H$6,2,FALSE),"")</f>
        <v/>
      </c>
      <c r="Z1288" s="29" t="str">
        <f>IFERROR(HLOOKUP(V1288,List!$D$2:$H$6,3,FALSE),"")</f>
        <v/>
      </c>
      <c r="AA1288" s="29" t="str">
        <f>IFERROR(HLOOKUP(W1288,List!$D$2:$H$6,4,FALSE),"")</f>
        <v/>
      </c>
      <c r="AB1288" s="29" t="str">
        <f>IFERROR(HLOOKUP(X1288,List!$D$2:$H$6,5,FALSE),"")</f>
        <v/>
      </c>
      <c r="AC1288" s="12" t="str">
        <f t="shared" si="305"/>
        <v/>
      </c>
      <c r="AD1288" s="12" t="str">
        <f t="shared" si="306"/>
        <v/>
      </c>
      <c r="AE1288" s="12" t="str">
        <f t="shared" si="307"/>
        <v/>
      </c>
      <c r="AF1288" s="12" t="str">
        <f t="shared" si="308"/>
        <v/>
      </c>
      <c r="AG1288" t="str">
        <f>VLOOKUP(J1288,'Receivable Invoice Detail'!$A$1:F4300,6,FALSE)</f>
        <v>[G-R102-871 2238] Shaft (Sleeve Type), 3175-S, 4140 Steel</v>
      </c>
      <c r="AM1288" s="12" t="str">
        <f t="shared" si="309"/>
        <v/>
      </c>
      <c r="AN1288" s="12" t="str">
        <f t="shared" si="310"/>
        <v/>
      </c>
      <c r="AO1288" s="12" t="str">
        <f t="shared" si="311"/>
        <v/>
      </c>
      <c r="AP1288" s="12" t="str">
        <f t="shared" si="312"/>
        <v/>
      </c>
      <c r="AQ1288" s="64"/>
      <c r="AS1288" s="12">
        <f t="shared" si="304"/>
        <v>0</v>
      </c>
    </row>
    <row r="1289" spans="1:45" hidden="1" x14ac:dyDescent="0.25">
      <c r="A1289" s="41">
        <f>CASOPOInvCL!T1289</f>
        <v>0</v>
      </c>
      <c r="B1289" t="str">
        <f>CASOPOInvCL!Z1289</f>
        <v>SO18380</v>
      </c>
      <c r="G1289" s="5" t="str">
        <f>CASOPOInvCL!I1289</f>
        <v>Alexis Gil Lamadrid</v>
      </c>
      <c r="H1289" s="31">
        <f>CASOPOInvCL!U1289</f>
        <v>12</v>
      </c>
      <c r="I1289" s="31">
        <f>CASOPOInvCL!V1289</f>
        <v>2025</v>
      </c>
      <c r="J1289" s="5" t="str">
        <f>CASOPOInvCL!AB1289</f>
        <v>No Inv</v>
      </c>
      <c r="K1289" s="31" t="str">
        <f>CASOPOInvCL!W1289</f>
        <v/>
      </c>
      <c r="L1289" s="31" t="str">
        <f>CASOPOInvCL!X1289</f>
        <v/>
      </c>
      <c r="N1289" s="5" t="str">
        <f>CASOPOInvCL!AF1289</f>
        <v>Wajax Limited - Val D'Or</v>
      </c>
      <c r="O1289" s="16" t="str">
        <f>CASOPOInvCL!AG1289</f>
        <v>CAD</v>
      </c>
      <c r="P1289" s="16">
        <f>CASOPOInvCL!AH1289</f>
        <v>1458</v>
      </c>
      <c r="Q1289" s="16">
        <f>CASOPOInvCL!AI1289</f>
        <v>1059.1058123663638</v>
      </c>
      <c r="R1289" s="32" t="str">
        <f>CASOPOInvCL!AU1289</f>
        <v/>
      </c>
      <c r="S1289" s="16">
        <f>CASOPOInvCL!AV1289</f>
        <v>0</v>
      </c>
      <c r="T1289" s="16">
        <f>CASOPOInvCL!AW1289</f>
        <v>0</v>
      </c>
      <c r="Y1289" s="29" t="str">
        <f>IFERROR(HLOOKUP(U1289,List!$D$2:$H$6,2,FALSE),"")</f>
        <v/>
      </c>
      <c r="Z1289" s="29" t="str">
        <f>IFERROR(HLOOKUP(V1289,List!$D$2:$H$6,3,FALSE),"")</f>
        <v/>
      </c>
      <c r="AA1289" s="29" t="str">
        <f>IFERROR(HLOOKUP(W1289,List!$D$2:$H$6,4,FALSE),"")</f>
        <v/>
      </c>
      <c r="AB1289" s="29" t="str">
        <f>IFERROR(HLOOKUP(X1289,List!$D$2:$H$6,5,FALSE),"")</f>
        <v/>
      </c>
      <c r="AC1289" s="12" t="str">
        <f t="shared" si="305"/>
        <v/>
      </c>
      <c r="AD1289" s="12" t="str">
        <f t="shared" si="306"/>
        <v/>
      </c>
      <c r="AE1289" s="12" t="str">
        <f t="shared" si="307"/>
        <v/>
      </c>
      <c r="AF1289" s="12" t="str">
        <f t="shared" si="308"/>
        <v/>
      </c>
      <c r="AG1289" t="e">
        <f>VLOOKUP(J1289,'Receivable Invoice Detail'!$A$1:F4301,6,FALSE)</f>
        <v>#N/A</v>
      </c>
      <c r="AM1289" s="12" t="str">
        <f t="shared" si="309"/>
        <v/>
      </c>
      <c r="AN1289" s="12" t="str">
        <f t="shared" si="310"/>
        <v/>
      </c>
      <c r="AO1289" s="12" t="str">
        <f t="shared" si="311"/>
        <v/>
      </c>
      <c r="AP1289" s="12" t="str">
        <f t="shared" si="312"/>
        <v/>
      </c>
      <c r="AQ1289" s="64"/>
      <c r="AS1289" s="12">
        <f t="shared" si="304"/>
        <v>0</v>
      </c>
    </row>
    <row r="1290" spans="1:45" hidden="1" x14ac:dyDescent="0.25">
      <c r="A1290" s="41">
        <f>CASOPOInvCL!T1290</f>
        <v>0</v>
      </c>
      <c r="B1290" t="str">
        <f>CASOPOInvCL!Z1290</f>
        <v>SO18381</v>
      </c>
      <c r="G1290" s="5" t="str">
        <f>CASOPOInvCL!I1290</f>
        <v>Alexis Gil Lamadrid</v>
      </c>
      <c r="H1290" s="31">
        <f>CASOPOInvCL!U1290</f>
        <v>12</v>
      </c>
      <c r="I1290" s="31">
        <f>CASOPOInvCL!V1290</f>
        <v>2025</v>
      </c>
      <c r="J1290" s="5" t="str">
        <f>CASOPOInvCL!AB1290</f>
        <v>No Inv</v>
      </c>
      <c r="K1290" s="31" t="str">
        <f>CASOPOInvCL!W1290</f>
        <v/>
      </c>
      <c r="L1290" s="31" t="str">
        <f>CASOPOInvCL!X1290</f>
        <v/>
      </c>
      <c r="N1290" s="5" t="str">
        <f>CASOPOInvCL!AF1290</f>
        <v>Hyperflo</v>
      </c>
      <c r="O1290" s="16" t="str">
        <f>CASOPOInvCL!AG1290</f>
        <v>CAD</v>
      </c>
      <c r="P1290" s="16">
        <f>CASOPOInvCL!AH1290</f>
        <v>958.11</v>
      </c>
      <c r="Q1290" s="16">
        <f>CASOPOInvCL!AI1290</f>
        <v>695.81633868770791</v>
      </c>
      <c r="R1290" s="32" t="str">
        <f>CASOPOInvCL!AU1290</f>
        <v/>
      </c>
      <c r="S1290" s="16">
        <f>CASOPOInvCL!AV1290</f>
        <v>0</v>
      </c>
      <c r="T1290" s="16">
        <f>CASOPOInvCL!AW1290</f>
        <v>0</v>
      </c>
      <c r="Y1290" s="29" t="str">
        <f>IFERROR(HLOOKUP(U1290,List!$D$2:$H$6,2,FALSE),"")</f>
        <v/>
      </c>
      <c r="Z1290" s="29" t="str">
        <f>IFERROR(HLOOKUP(V1290,List!$D$2:$H$6,3,FALSE),"")</f>
        <v/>
      </c>
      <c r="AA1290" s="29" t="str">
        <f>IFERROR(HLOOKUP(W1290,List!$D$2:$H$6,4,FALSE),"")</f>
        <v/>
      </c>
      <c r="AB1290" s="29" t="str">
        <f>IFERROR(HLOOKUP(X1290,List!$D$2:$H$6,5,FALSE),"")</f>
        <v/>
      </c>
      <c r="AC1290" s="12" t="str">
        <f t="shared" si="305"/>
        <v/>
      </c>
      <c r="AD1290" s="12" t="str">
        <f t="shared" si="306"/>
        <v/>
      </c>
      <c r="AE1290" s="12" t="str">
        <f t="shared" si="307"/>
        <v/>
      </c>
      <c r="AF1290" s="12" t="str">
        <f t="shared" si="308"/>
        <v/>
      </c>
      <c r="AG1290" t="e">
        <f>VLOOKUP(J1290,'Receivable Invoice Detail'!$A$1:F4302,6,FALSE)</f>
        <v>#N/A</v>
      </c>
      <c r="AM1290" s="12" t="str">
        <f t="shared" si="309"/>
        <v/>
      </c>
      <c r="AN1290" s="12" t="str">
        <f t="shared" si="310"/>
        <v/>
      </c>
      <c r="AO1290" s="12" t="str">
        <f t="shared" si="311"/>
        <v/>
      </c>
      <c r="AP1290" s="12" t="str">
        <f t="shared" si="312"/>
        <v/>
      </c>
      <c r="AQ1290" s="64"/>
      <c r="AS1290" s="12">
        <f t="shared" si="304"/>
        <v>0</v>
      </c>
    </row>
    <row r="1291" spans="1:45" hidden="1" x14ac:dyDescent="0.25">
      <c r="A1291" s="41">
        <f>CASOPOInvCL!T1291</f>
        <v>1</v>
      </c>
      <c r="B1291" t="str">
        <f>CASOPOInvCL!Z1291</f>
        <v>SO18383</v>
      </c>
      <c r="G1291" s="5" t="str">
        <f>CASOPOInvCL!I1291</f>
        <v>Aleksandar Stankovic</v>
      </c>
      <c r="H1291" s="31">
        <f>CASOPOInvCL!U1291</f>
        <v>12</v>
      </c>
      <c r="I1291" s="31">
        <f>CASOPOInvCL!V1291</f>
        <v>2025</v>
      </c>
      <c r="J1291" s="5" t="str">
        <f>CASOPOInvCL!AB1291</f>
        <v>INV13810</v>
      </c>
      <c r="K1291" s="31" t="str">
        <f>CASOPOInvCL!W1291</f>
        <v/>
      </c>
      <c r="L1291" s="31" t="str">
        <f>CASOPOInvCL!X1291</f>
        <v/>
      </c>
      <c r="N1291" s="5" t="str">
        <f>CASOPOInvCL!AF1291</f>
        <v>Tantalum Mining Corporation of Canada</v>
      </c>
      <c r="O1291" s="16" t="str">
        <f>CASOPOInvCL!AG1291</f>
        <v>CAD</v>
      </c>
      <c r="P1291" s="16">
        <f>CASOPOInvCL!AH1291</f>
        <v>2880.54</v>
      </c>
      <c r="Q1291" s="16">
        <f>CASOPOInvCL!AI1291</f>
        <v>2092.8558173254523</v>
      </c>
      <c r="R1291" s="32" t="str">
        <f>CASOPOInvCL!AU1291</f>
        <v/>
      </c>
      <c r="S1291" s="16">
        <f>CASOPOInvCL!AV1291</f>
        <v>0</v>
      </c>
      <c r="T1291" s="16">
        <f>CASOPOInvCL!AW1291</f>
        <v>0</v>
      </c>
      <c r="Y1291" s="29" t="str">
        <f>IFERROR(HLOOKUP(U1291,List!$D$2:$H$6,2,FALSE),"")</f>
        <v/>
      </c>
      <c r="Z1291" s="29" t="str">
        <f>IFERROR(HLOOKUP(V1291,List!$D$2:$H$6,3,FALSE),"")</f>
        <v/>
      </c>
      <c r="AA1291" s="29" t="str">
        <f>IFERROR(HLOOKUP(W1291,List!$D$2:$H$6,4,FALSE),"")</f>
        <v/>
      </c>
      <c r="AB1291" s="29" t="str">
        <f>IFERROR(HLOOKUP(X1291,List!$D$2:$H$6,5,FALSE),"")</f>
        <v/>
      </c>
      <c r="AC1291" s="12" t="str">
        <f t="shared" si="305"/>
        <v/>
      </c>
      <c r="AD1291" s="12" t="str">
        <f t="shared" si="306"/>
        <v/>
      </c>
      <c r="AE1291" s="12" t="str">
        <f t="shared" si="307"/>
        <v/>
      </c>
      <c r="AF1291" s="12" t="str">
        <f t="shared" si="308"/>
        <v/>
      </c>
      <c r="AG1291" t="str">
        <f>VLOOKUP(J1291,'Receivable Invoice Detail'!$A$1:F4303,6,FALSE)</f>
        <v>[AC-98-331-958-822] Shaft Sleeve, 3x3-10 SRL &amp; SRL-C, 420SS Heat Treated, Hardened</v>
      </c>
      <c r="AM1291" s="12" t="str">
        <f t="shared" si="309"/>
        <v/>
      </c>
      <c r="AN1291" s="12" t="str">
        <f t="shared" si="310"/>
        <v/>
      </c>
      <c r="AO1291" s="12" t="str">
        <f t="shared" si="311"/>
        <v/>
      </c>
      <c r="AP1291" s="12" t="str">
        <f t="shared" si="312"/>
        <v/>
      </c>
      <c r="AQ1291" s="64"/>
      <c r="AS1291" s="12">
        <f t="shared" si="304"/>
        <v>0</v>
      </c>
    </row>
    <row r="1292" spans="1:45" hidden="1" x14ac:dyDescent="0.25">
      <c r="A1292" s="41">
        <f>CASOPOInvCL!T1292</f>
        <v>0</v>
      </c>
      <c r="B1292" t="str">
        <f>CASOPOInvCL!Z1292</f>
        <v>SO18384</v>
      </c>
      <c r="G1292" s="5" t="str">
        <f>CASOPOInvCL!I1292</f>
        <v>Wilka Nuñez</v>
      </c>
      <c r="H1292" s="31">
        <f>CASOPOInvCL!U1292</f>
        <v>12</v>
      </c>
      <c r="I1292" s="31">
        <f>CASOPOInvCL!V1292</f>
        <v>2025</v>
      </c>
      <c r="J1292" s="5" t="str">
        <f>CASOPOInvCL!AB1292</f>
        <v>No Inv</v>
      </c>
      <c r="K1292" s="31" t="str">
        <f>CASOPOInvCL!W1292</f>
        <v/>
      </c>
      <c r="L1292" s="31" t="str">
        <f>CASOPOInvCL!X1292</f>
        <v/>
      </c>
      <c r="N1292" s="5" t="str">
        <f>CASOPOInvCL!AF1292</f>
        <v>Sling-Choker Manufacturing - Timmins</v>
      </c>
      <c r="O1292" s="16" t="str">
        <f>CASOPOInvCL!AG1292</f>
        <v>CAD</v>
      </c>
      <c r="P1292" s="16">
        <f>CASOPOInvCL!AH1292</f>
        <v>2303.7800000000002</v>
      </c>
      <c r="Q1292" s="16">
        <f>CASOPOInvCL!AI1292</f>
        <v>1665.2306042670468</v>
      </c>
      <c r="R1292" s="32" t="str">
        <f>CASOPOInvCL!AU1292</f>
        <v/>
      </c>
      <c r="S1292" s="16">
        <f>CASOPOInvCL!AV1292</f>
        <v>0</v>
      </c>
      <c r="T1292" s="16">
        <f>CASOPOInvCL!AW1292</f>
        <v>0</v>
      </c>
      <c r="Y1292" s="29" t="str">
        <f>IFERROR(HLOOKUP(U1292,List!$D$2:$H$6,2,FALSE),"")</f>
        <v/>
      </c>
      <c r="Z1292" s="29" t="str">
        <f>IFERROR(HLOOKUP(V1292,List!$D$2:$H$6,3,FALSE),"")</f>
        <v/>
      </c>
      <c r="AA1292" s="29" t="str">
        <f>IFERROR(HLOOKUP(W1292,List!$D$2:$H$6,4,FALSE),"")</f>
        <v/>
      </c>
      <c r="AB1292" s="29" t="str">
        <f>IFERROR(HLOOKUP(X1292,List!$D$2:$H$6,5,FALSE),"")</f>
        <v/>
      </c>
      <c r="AC1292" s="12" t="str">
        <f t="shared" si="305"/>
        <v/>
      </c>
      <c r="AD1292" s="12" t="str">
        <f t="shared" si="306"/>
        <v/>
      </c>
      <c r="AE1292" s="12" t="str">
        <f t="shared" si="307"/>
        <v/>
      </c>
      <c r="AF1292" s="12" t="str">
        <f t="shared" si="308"/>
        <v/>
      </c>
      <c r="AG1292" t="e">
        <f>VLOOKUP(J1292,'Receivable Invoice Detail'!$A$1:F4304,6,FALSE)</f>
        <v>#N/A</v>
      </c>
      <c r="AM1292" s="12" t="str">
        <f t="shared" si="309"/>
        <v/>
      </c>
      <c r="AN1292" s="12" t="str">
        <f t="shared" si="310"/>
        <v/>
      </c>
      <c r="AO1292" s="12" t="str">
        <f t="shared" si="311"/>
        <v/>
      </c>
      <c r="AP1292" s="12" t="str">
        <f t="shared" si="312"/>
        <v/>
      </c>
      <c r="AQ1292" s="64"/>
      <c r="AS1292" s="12">
        <f t="shared" si="304"/>
        <v>0</v>
      </c>
    </row>
    <row r="1293" spans="1:45" hidden="1" x14ac:dyDescent="0.25">
      <c r="A1293" s="41">
        <f>CASOPOInvCL!T1293</f>
        <v>1</v>
      </c>
      <c r="B1293" t="str">
        <f>CASOPOInvCL!Z1293</f>
        <v>SO18385</v>
      </c>
      <c r="G1293" s="5" t="str">
        <f>CASOPOInvCL!I1293</f>
        <v>Alexis Gil Lamadrid</v>
      </c>
      <c r="H1293" s="31">
        <f>CASOPOInvCL!U1293</f>
        <v>12</v>
      </c>
      <c r="I1293" s="31">
        <f>CASOPOInvCL!V1293</f>
        <v>2025</v>
      </c>
      <c r="J1293" s="5" t="str">
        <f>CASOPOInvCL!AB1293</f>
        <v>INV13766</v>
      </c>
      <c r="K1293" s="31" t="str">
        <f>CASOPOInvCL!W1293</f>
        <v/>
      </c>
      <c r="L1293" s="31" t="str">
        <f>CASOPOInvCL!X1293</f>
        <v/>
      </c>
      <c r="N1293" s="5" t="str">
        <f>CASOPOInvCL!AF1293</f>
        <v>Manufacture Sling-Choker (Val-d’Or) Ltée</v>
      </c>
      <c r="O1293" s="16" t="str">
        <f>CASOPOInvCL!AG1293</f>
        <v>CAD</v>
      </c>
      <c r="P1293" s="16">
        <f>CASOPOInvCL!AH1293</f>
        <v>836.85</v>
      </c>
      <c r="Q1293" s="16">
        <f>CASOPOInvCL!AI1293</f>
        <v>604.8964012105663</v>
      </c>
      <c r="R1293" s="32" t="str">
        <f>CASOPOInvCL!AU1293</f>
        <v/>
      </c>
      <c r="S1293" s="16">
        <f>CASOPOInvCL!AV1293</f>
        <v>0</v>
      </c>
      <c r="T1293" s="16">
        <f>CASOPOInvCL!AW1293</f>
        <v>0</v>
      </c>
      <c r="Y1293" s="29" t="str">
        <f>IFERROR(HLOOKUP(U1293,List!$D$2:$H$6,2,FALSE),"")</f>
        <v/>
      </c>
      <c r="Z1293" s="29" t="str">
        <f>IFERROR(HLOOKUP(V1293,List!$D$2:$H$6,3,FALSE),"")</f>
        <v/>
      </c>
      <c r="AA1293" s="29" t="str">
        <f>IFERROR(HLOOKUP(W1293,List!$D$2:$H$6,4,FALSE),"")</f>
        <v/>
      </c>
      <c r="AB1293" s="29" t="str">
        <f>IFERROR(HLOOKUP(X1293,List!$D$2:$H$6,5,FALSE),"")</f>
        <v/>
      </c>
      <c r="AC1293" s="12" t="str">
        <f t="shared" si="305"/>
        <v/>
      </c>
      <c r="AD1293" s="12" t="str">
        <f t="shared" si="306"/>
        <v/>
      </c>
      <c r="AE1293" s="12" t="str">
        <f t="shared" si="307"/>
        <v/>
      </c>
      <c r="AF1293" s="12" t="str">
        <f t="shared" si="308"/>
        <v/>
      </c>
      <c r="AG1293" t="str">
        <f>VLOOKUP(J1293,'Receivable Invoice Detail'!$A$1:F4305,6,FALSE)</f>
        <v>[AC-98-331-936-801] Bearing Cover (Inboard), 8x6-18 &amp; 10x8-21 SRL-C, Cast Iron</v>
      </c>
      <c r="AM1293" s="12" t="str">
        <f t="shared" si="309"/>
        <v/>
      </c>
      <c r="AN1293" s="12" t="str">
        <f t="shared" si="310"/>
        <v/>
      </c>
      <c r="AO1293" s="12" t="str">
        <f t="shared" si="311"/>
        <v/>
      </c>
      <c r="AP1293" s="12" t="str">
        <f t="shared" si="312"/>
        <v/>
      </c>
      <c r="AQ1293" s="64"/>
      <c r="AS1293" s="12">
        <f t="shared" si="304"/>
        <v>0</v>
      </c>
    </row>
    <row r="1294" spans="1:45" hidden="1" x14ac:dyDescent="0.25">
      <c r="A1294" s="41">
        <f>CASOPOInvCL!T1294</f>
        <v>0</v>
      </c>
      <c r="B1294" t="str">
        <f>CASOPOInvCL!Z1294</f>
        <v>SO18388</v>
      </c>
      <c r="G1294" s="5" t="str">
        <f>CASOPOInvCL!I1294</f>
        <v>Ian Trottier</v>
      </c>
      <c r="H1294" s="31">
        <f>CASOPOInvCL!U1294</f>
        <v>12</v>
      </c>
      <c r="I1294" s="31">
        <f>CASOPOInvCL!V1294</f>
        <v>2025</v>
      </c>
      <c r="J1294" s="5" t="str">
        <f>CASOPOInvCL!AB1294</f>
        <v>No Inv</v>
      </c>
      <c r="K1294" s="31" t="str">
        <f>CASOPOInvCL!W1294</f>
        <v/>
      </c>
      <c r="L1294" s="31" t="str">
        <f>CASOPOInvCL!X1294</f>
        <v/>
      </c>
      <c r="N1294" s="5" t="str">
        <f>CASOPOInvCL!AF1294</f>
        <v>Resolute Forest Products - Saint-Felicien</v>
      </c>
      <c r="O1294" s="16" t="str">
        <f>CASOPOInvCL!AG1294</f>
        <v>CAD</v>
      </c>
      <c r="P1294" s="16">
        <f>CASOPOInvCL!AH1294</f>
        <v>4843.1099999999997</v>
      </c>
      <c r="Q1294" s="16">
        <f>CASOPOInvCL!AI1294</f>
        <v>3500.4481421042337</v>
      </c>
      <c r="R1294" s="32" t="str">
        <f>CASOPOInvCL!AU1294</f>
        <v/>
      </c>
      <c r="S1294" s="16">
        <f>CASOPOInvCL!AV1294</f>
        <v>0</v>
      </c>
      <c r="T1294" s="16">
        <f>CASOPOInvCL!AW1294</f>
        <v>0</v>
      </c>
      <c r="Y1294" s="29" t="str">
        <f>IFERROR(HLOOKUP(U1294,List!$D$2:$H$6,2,FALSE),"")</f>
        <v/>
      </c>
      <c r="Z1294" s="29" t="str">
        <f>IFERROR(HLOOKUP(V1294,List!$D$2:$H$6,3,FALSE),"")</f>
        <v/>
      </c>
      <c r="AA1294" s="29" t="str">
        <f>IFERROR(HLOOKUP(W1294,List!$D$2:$H$6,4,FALSE),"")</f>
        <v/>
      </c>
      <c r="AB1294" s="29" t="str">
        <f>IFERROR(HLOOKUP(X1294,List!$D$2:$H$6,5,FALSE),"")</f>
        <v/>
      </c>
      <c r="AC1294" s="12" t="str">
        <f t="shared" si="305"/>
        <v/>
      </c>
      <c r="AD1294" s="12" t="str">
        <f t="shared" si="306"/>
        <v/>
      </c>
      <c r="AE1294" s="12" t="str">
        <f t="shared" si="307"/>
        <v/>
      </c>
      <c r="AF1294" s="12" t="str">
        <f t="shared" si="308"/>
        <v/>
      </c>
      <c r="AG1294" t="e">
        <f>VLOOKUP(J1294,'Receivable Invoice Detail'!$A$1:F4306,6,FALSE)</f>
        <v>#N/A</v>
      </c>
      <c r="AM1294" s="12" t="str">
        <f t="shared" si="309"/>
        <v/>
      </c>
      <c r="AN1294" s="12" t="str">
        <f t="shared" si="310"/>
        <v/>
      </c>
      <c r="AO1294" s="12" t="str">
        <f t="shared" si="311"/>
        <v/>
      </c>
      <c r="AP1294" s="12" t="str">
        <f t="shared" si="312"/>
        <v/>
      </c>
      <c r="AQ1294" s="64"/>
      <c r="AS1294" s="12">
        <f t="shared" si="304"/>
        <v>0</v>
      </c>
    </row>
    <row r="1295" spans="1:45" hidden="1" x14ac:dyDescent="0.25">
      <c r="A1295" s="41">
        <f>CASOPOInvCL!T1295</f>
        <v>1</v>
      </c>
      <c r="B1295" t="str">
        <f>CASOPOInvCL!Z1295</f>
        <v>SO18389</v>
      </c>
      <c r="G1295" s="5" t="str">
        <f>CASOPOInvCL!I1295</f>
        <v>Ian Trottier</v>
      </c>
      <c r="H1295" s="31">
        <f>CASOPOInvCL!U1295</f>
        <v>12</v>
      </c>
      <c r="I1295" s="31">
        <f>CASOPOInvCL!V1295</f>
        <v>2025</v>
      </c>
      <c r="J1295" s="5" t="str">
        <f>CASOPOInvCL!AB1295</f>
        <v>INV13768</v>
      </c>
      <c r="K1295" s="31" t="str">
        <f>CASOPOInvCL!W1295</f>
        <v/>
      </c>
      <c r="L1295" s="31" t="str">
        <f>CASOPOInvCL!X1295</f>
        <v/>
      </c>
      <c r="N1295" s="5" t="str">
        <f>CASOPOInvCL!AF1295</f>
        <v>Resolute Forest Products - Saint-Felicien</v>
      </c>
      <c r="O1295" s="16" t="str">
        <f>CASOPOInvCL!AG1295</f>
        <v>CAD</v>
      </c>
      <c r="P1295" s="16">
        <f>CASOPOInvCL!AH1295</f>
        <v>398.12</v>
      </c>
      <c r="Q1295" s="16">
        <f>CASOPOInvCL!AI1295</f>
        <v>289.13005892679371</v>
      </c>
      <c r="R1295" s="32" t="str">
        <f>CASOPOInvCL!AU1295</f>
        <v/>
      </c>
      <c r="S1295" s="16">
        <f>CASOPOInvCL!AV1295</f>
        <v>0</v>
      </c>
      <c r="T1295" s="16">
        <f>CASOPOInvCL!AW1295</f>
        <v>0</v>
      </c>
      <c r="Y1295" s="29" t="str">
        <f>IFERROR(HLOOKUP(U1295,List!$D$2:$H$6,2,FALSE),"")</f>
        <v/>
      </c>
      <c r="Z1295" s="29" t="str">
        <f>IFERROR(HLOOKUP(V1295,List!$D$2:$H$6,3,FALSE),"")</f>
        <v/>
      </c>
      <c r="AA1295" s="29" t="str">
        <f>IFERROR(HLOOKUP(W1295,List!$D$2:$H$6,4,FALSE),"")</f>
        <v/>
      </c>
      <c r="AB1295" s="29" t="str">
        <f>IFERROR(HLOOKUP(X1295,List!$D$2:$H$6,5,FALSE),"")</f>
        <v/>
      </c>
      <c r="AC1295" s="12" t="str">
        <f t="shared" si="305"/>
        <v/>
      </c>
      <c r="AD1295" s="12" t="str">
        <f t="shared" si="306"/>
        <v/>
      </c>
      <c r="AE1295" s="12" t="str">
        <f t="shared" si="307"/>
        <v/>
      </c>
      <c r="AF1295" s="12" t="str">
        <f t="shared" si="308"/>
        <v/>
      </c>
      <c r="AG1295" t="str">
        <f>VLOOKUP(J1295,'Receivable Invoice Detail'!$A$1:F4307,6,FALSE)</f>
        <v>[OLPWZ011004B, G-A04951A217] Bearing Isolator (Outboard), 3196 STX/STi, 303SS Rotor / Bronze Stator w/Viton</v>
      </c>
      <c r="AM1295" s="12" t="str">
        <f t="shared" si="309"/>
        <v/>
      </c>
      <c r="AN1295" s="12" t="str">
        <f t="shared" si="310"/>
        <v/>
      </c>
      <c r="AO1295" s="12" t="str">
        <f t="shared" si="311"/>
        <v/>
      </c>
      <c r="AP1295" s="12" t="str">
        <f t="shared" si="312"/>
        <v/>
      </c>
      <c r="AQ1295" s="64"/>
      <c r="AS1295" s="12">
        <f t="shared" si="304"/>
        <v>0</v>
      </c>
    </row>
    <row r="1296" spans="1:45" hidden="1" x14ac:dyDescent="0.25">
      <c r="A1296" s="41">
        <f>CASOPOInvCL!T1296</f>
        <v>1</v>
      </c>
      <c r="B1296" t="str">
        <f>CASOPOInvCL!Z1296</f>
        <v>SO18392</v>
      </c>
      <c r="G1296" s="5" t="str">
        <f>CASOPOInvCL!I1296</f>
        <v>Alexis Gil Lamadrid</v>
      </c>
      <c r="H1296" s="31">
        <f>CASOPOInvCL!U1296</f>
        <v>12</v>
      </c>
      <c r="I1296" s="31">
        <f>CASOPOInvCL!V1296</f>
        <v>2025</v>
      </c>
      <c r="J1296" s="5" t="str">
        <f>CASOPOInvCL!AB1296</f>
        <v>INV13786</v>
      </c>
      <c r="K1296" s="31" t="str">
        <f>CASOPOInvCL!W1296</f>
        <v/>
      </c>
      <c r="L1296" s="31" t="str">
        <f>CASOPOInvCL!X1296</f>
        <v/>
      </c>
      <c r="N1296" s="5" t="str">
        <f>CASOPOInvCL!AF1296</f>
        <v>Canadian Bearings Ltd.</v>
      </c>
      <c r="O1296" s="16" t="str">
        <f>CASOPOInvCL!AG1296</f>
        <v>CAD</v>
      </c>
      <c r="P1296" s="16">
        <f>CASOPOInvCL!AH1296</f>
        <v>350.39</v>
      </c>
      <c r="Q1296" s="16">
        <f>CASOPOInvCL!AI1296</f>
        <v>254.84233266157858</v>
      </c>
      <c r="R1296" s="32" t="str">
        <f>CASOPOInvCL!AU1296</f>
        <v/>
      </c>
      <c r="S1296" s="16">
        <f>CASOPOInvCL!AV1296</f>
        <v>0</v>
      </c>
      <c r="T1296" s="16">
        <f>CASOPOInvCL!AW1296</f>
        <v>0</v>
      </c>
      <c r="Y1296" s="29" t="str">
        <f>IFERROR(HLOOKUP(U1296,List!$D$2:$H$6,2,FALSE),"")</f>
        <v/>
      </c>
      <c r="Z1296" s="29" t="str">
        <f>IFERROR(HLOOKUP(V1296,List!$D$2:$H$6,3,FALSE),"")</f>
        <v/>
      </c>
      <c r="AA1296" s="29" t="str">
        <f>IFERROR(HLOOKUP(W1296,List!$D$2:$H$6,4,FALSE),"")</f>
        <v/>
      </c>
      <c r="AB1296" s="29" t="str">
        <f>IFERROR(HLOOKUP(X1296,List!$D$2:$H$6,5,FALSE),"")</f>
        <v/>
      </c>
      <c r="AC1296" s="12" t="str">
        <f t="shared" si="305"/>
        <v/>
      </c>
      <c r="AD1296" s="12" t="str">
        <f t="shared" si="306"/>
        <v/>
      </c>
      <c r="AE1296" s="12" t="str">
        <f t="shared" si="307"/>
        <v/>
      </c>
      <c r="AF1296" s="12" t="str">
        <f t="shared" si="308"/>
        <v/>
      </c>
      <c r="AG1296" t="str">
        <f>VLOOKUP(J1296,'Receivable Invoice Detail'!$A$1:F4308,6,FALSE)</f>
        <v>[AC-98-430-807-163] Casing Gasket, 21", PWO Frame 3</v>
      </c>
      <c r="AM1296" s="12" t="str">
        <f t="shared" si="309"/>
        <v/>
      </c>
      <c r="AN1296" s="12" t="str">
        <f t="shared" si="310"/>
        <v/>
      </c>
      <c r="AO1296" s="12" t="str">
        <f t="shared" si="311"/>
        <v/>
      </c>
      <c r="AP1296" s="12" t="str">
        <f t="shared" si="312"/>
        <v/>
      </c>
      <c r="AQ1296" s="64"/>
      <c r="AS1296" s="12">
        <f t="shared" si="304"/>
        <v>0</v>
      </c>
    </row>
    <row r="1297" spans="1:45" hidden="1" x14ac:dyDescent="0.25">
      <c r="A1297" s="41">
        <f>CASOPOInvCL!T1297</f>
        <v>0</v>
      </c>
      <c r="B1297" t="str">
        <f>CASOPOInvCL!Z1297</f>
        <v>SO18395</v>
      </c>
      <c r="G1297" s="5" t="str">
        <f>CASOPOInvCL!I1297</f>
        <v>Yannett Yeomans</v>
      </c>
      <c r="H1297" s="31">
        <f>CASOPOInvCL!U1297</f>
        <v>12</v>
      </c>
      <c r="I1297" s="31">
        <f>CASOPOInvCL!V1297</f>
        <v>2025</v>
      </c>
      <c r="J1297" s="5" t="str">
        <f>CASOPOInvCL!AB1297</f>
        <v>No Inv</v>
      </c>
      <c r="K1297" s="31" t="str">
        <f>CASOPOInvCL!W1297</f>
        <v/>
      </c>
      <c r="L1297" s="31" t="str">
        <f>CASOPOInvCL!X1297</f>
        <v/>
      </c>
      <c r="N1297" s="5" t="str">
        <f>CASOPOInvCL!AF1297</f>
        <v>Dynapro Pumps México S de RL de CV</v>
      </c>
      <c r="O1297" s="16" t="str">
        <f>CASOPOInvCL!AG1297</f>
        <v>USD</v>
      </c>
      <c r="P1297" s="16">
        <f>CASOPOInvCL!AH1297</f>
        <v>15909.790471128848</v>
      </c>
      <c r="Q1297" s="16">
        <f>CASOPOInvCL!AI1297</f>
        <v>11500</v>
      </c>
      <c r="R1297" s="32" t="str">
        <f>CASOPOInvCL!AU1297</f>
        <v/>
      </c>
      <c r="S1297" s="16">
        <f>CASOPOInvCL!AV1297</f>
        <v>0</v>
      </c>
      <c r="T1297" s="16">
        <f>CASOPOInvCL!AW1297</f>
        <v>0</v>
      </c>
      <c r="Y1297" s="29" t="str">
        <f>IFERROR(HLOOKUP(U1297,List!$D$2:$H$6,2,FALSE),"")</f>
        <v/>
      </c>
      <c r="Z1297" s="29" t="str">
        <f>IFERROR(HLOOKUP(V1297,List!$D$2:$H$6,3,FALSE),"")</f>
        <v/>
      </c>
      <c r="AA1297" s="29" t="str">
        <f>IFERROR(HLOOKUP(W1297,List!$D$2:$H$6,4,FALSE),"")</f>
        <v/>
      </c>
      <c r="AB1297" s="29" t="str">
        <f>IFERROR(HLOOKUP(X1297,List!$D$2:$H$6,5,FALSE),"")</f>
        <v/>
      </c>
      <c r="AC1297" s="12" t="str">
        <f t="shared" si="305"/>
        <v/>
      </c>
      <c r="AD1297" s="12" t="str">
        <f t="shared" si="306"/>
        <v/>
      </c>
      <c r="AE1297" s="12" t="str">
        <f t="shared" si="307"/>
        <v/>
      </c>
      <c r="AF1297" s="12" t="str">
        <f t="shared" si="308"/>
        <v/>
      </c>
      <c r="AG1297" t="e">
        <f>VLOOKUP(J1297,'Receivable Invoice Detail'!$A$1:F4309,6,FALSE)</f>
        <v>#N/A</v>
      </c>
      <c r="AM1297" s="12" t="str">
        <f t="shared" si="309"/>
        <v/>
      </c>
      <c r="AN1297" s="12" t="str">
        <f t="shared" si="310"/>
        <v/>
      </c>
      <c r="AO1297" s="12" t="str">
        <f t="shared" si="311"/>
        <v/>
      </c>
      <c r="AP1297" s="12" t="str">
        <f t="shared" si="312"/>
        <v/>
      </c>
      <c r="AQ1297" s="64"/>
      <c r="AS1297" s="12">
        <f t="shared" si="304"/>
        <v>0</v>
      </c>
    </row>
    <row r="1298" spans="1:45" hidden="1" x14ac:dyDescent="0.25">
      <c r="A1298" s="41">
        <f>CASOPOInvCL!T1298</f>
        <v>1</v>
      </c>
      <c r="B1298" t="str">
        <f>CASOPOInvCL!Z1298</f>
        <v>SO18402</v>
      </c>
      <c r="G1298" s="5" t="str">
        <f>CASOPOInvCL!I1298</f>
        <v>Wilka Nuñez</v>
      </c>
      <c r="H1298" s="31">
        <f>CASOPOInvCL!U1298</f>
        <v>12</v>
      </c>
      <c r="I1298" s="31">
        <f>CASOPOInvCL!V1298</f>
        <v>2025</v>
      </c>
      <c r="J1298" s="5" t="str">
        <f>CASOPOInvCL!AB1298</f>
        <v>INV13801</v>
      </c>
      <c r="K1298" s="31" t="str">
        <f>CASOPOInvCL!W1298</f>
        <v/>
      </c>
      <c r="L1298" s="31" t="str">
        <f>CASOPOInvCL!X1298</f>
        <v/>
      </c>
      <c r="N1298" s="5" t="str">
        <f>CASOPOInvCL!AF1298</f>
        <v>Industrial Rigging &amp; Supply</v>
      </c>
      <c r="O1298" s="16" t="str">
        <f>CASOPOInvCL!AG1298</f>
        <v>CAD</v>
      </c>
      <c r="P1298" s="16">
        <f>CASOPOInvCL!AH1298</f>
        <v>1269.24</v>
      </c>
      <c r="Q1298" s="16">
        <f>CASOPOInvCL!AI1298</f>
        <v>921.98865657605188</v>
      </c>
      <c r="R1298" s="32" t="str">
        <f>CASOPOInvCL!AU1298</f>
        <v/>
      </c>
      <c r="S1298" s="16">
        <f>CASOPOInvCL!AV1298</f>
        <v>0</v>
      </c>
      <c r="T1298" s="16">
        <f>CASOPOInvCL!AW1298</f>
        <v>0</v>
      </c>
      <c r="Y1298" s="29" t="str">
        <f>IFERROR(HLOOKUP(U1298,List!$D$2:$H$6,2,FALSE),"")</f>
        <v/>
      </c>
      <c r="Z1298" s="29" t="str">
        <f>IFERROR(HLOOKUP(V1298,List!$D$2:$H$6,3,FALSE),"")</f>
        <v/>
      </c>
      <c r="AA1298" s="29" t="str">
        <f>IFERROR(HLOOKUP(W1298,List!$D$2:$H$6,4,FALSE),"")</f>
        <v/>
      </c>
      <c r="AB1298" s="29" t="str">
        <f>IFERROR(HLOOKUP(X1298,List!$D$2:$H$6,5,FALSE),"")</f>
        <v/>
      </c>
      <c r="AC1298" s="12" t="str">
        <f t="shared" si="305"/>
        <v/>
      </c>
      <c r="AD1298" s="12" t="str">
        <f t="shared" si="306"/>
        <v/>
      </c>
      <c r="AE1298" s="12" t="str">
        <f t="shared" si="307"/>
        <v/>
      </c>
      <c r="AF1298" s="12" t="str">
        <f t="shared" si="308"/>
        <v/>
      </c>
      <c r="AG1298" t="str">
        <f>VLOOKUP(J1298,'Receivable Invoice Detail'!$A$1:F4310,6,FALSE)</f>
        <v>[AC-98-234-268-001-SS] Waterseal Bushing, 5x4/5x5/6x6 SRL, 316SS</v>
      </c>
      <c r="AM1298" s="12" t="str">
        <f t="shared" si="309"/>
        <v/>
      </c>
      <c r="AN1298" s="12" t="str">
        <f t="shared" si="310"/>
        <v/>
      </c>
      <c r="AO1298" s="12" t="str">
        <f t="shared" si="311"/>
        <v/>
      </c>
      <c r="AP1298" s="12" t="str">
        <f t="shared" si="312"/>
        <v/>
      </c>
      <c r="AQ1298" s="64"/>
      <c r="AS1298" s="12">
        <f t="shared" si="304"/>
        <v>0</v>
      </c>
    </row>
    <row r="1299" spans="1:45" hidden="1" x14ac:dyDescent="0.25">
      <c r="A1299" s="41">
        <f>CASOPOInvCL!T1299</f>
        <v>0</v>
      </c>
      <c r="B1299" t="str">
        <f>CASOPOInvCL!Z1299</f>
        <v>SO18411</v>
      </c>
      <c r="G1299" s="5" t="str">
        <f>CASOPOInvCL!I1299</f>
        <v>Aleksandar Stankovic</v>
      </c>
      <c r="H1299" s="31">
        <f>CASOPOInvCL!U1299</f>
        <v>12</v>
      </c>
      <c r="I1299" s="31">
        <f>CASOPOInvCL!V1299</f>
        <v>2025</v>
      </c>
      <c r="J1299" s="5" t="str">
        <f>CASOPOInvCL!AB1299</f>
        <v>No Inv</v>
      </c>
      <c r="K1299" s="31" t="str">
        <f>CASOPOInvCL!W1299</f>
        <v/>
      </c>
      <c r="L1299" s="31" t="str">
        <f>CASOPOInvCL!X1299</f>
        <v/>
      </c>
      <c r="N1299" s="5" t="str">
        <f>CASOPOInvCL!AF1299</f>
        <v>Hyperflo, Hyperflo</v>
      </c>
      <c r="O1299" s="16" t="str">
        <f>CASOPOInvCL!AG1299</f>
        <v>CAD</v>
      </c>
      <c r="P1299" s="16">
        <f>CASOPOInvCL!AH1299</f>
        <v>958.19</v>
      </c>
      <c r="Q1299" s="16">
        <f>CASOPOInvCL!AI1299</f>
        <v>695.06427603210682</v>
      </c>
      <c r="R1299" s="32" t="str">
        <f>CASOPOInvCL!AU1299</f>
        <v/>
      </c>
      <c r="S1299" s="16">
        <f>CASOPOInvCL!AV1299</f>
        <v>0</v>
      </c>
      <c r="T1299" s="16">
        <f>CASOPOInvCL!AW1299</f>
        <v>0</v>
      </c>
      <c r="Y1299" s="29" t="str">
        <f>IFERROR(HLOOKUP(U1299,List!$D$2:$H$6,2,FALSE),"")</f>
        <v/>
      </c>
      <c r="Z1299" s="29" t="str">
        <f>IFERROR(HLOOKUP(V1299,List!$D$2:$H$6,3,FALSE),"")</f>
        <v/>
      </c>
      <c r="AA1299" s="29" t="str">
        <f>IFERROR(HLOOKUP(W1299,List!$D$2:$H$6,4,FALSE),"")</f>
        <v/>
      </c>
      <c r="AB1299" s="29" t="str">
        <f>IFERROR(HLOOKUP(X1299,List!$D$2:$H$6,5,FALSE),"")</f>
        <v/>
      </c>
      <c r="AC1299" s="12" t="str">
        <f t="shared" si="305"/>
        <v/>
      </c>
      <c r="AD1299" s="12" t="str">
        <f t="shared" si="306"/>
        <v/>
      </c>
      <c r="AE1299" s="12" t="str">
        <f t="shared" si="307"/>
        <v/>
      </c>
      <c r="AF1299" s="12" t="str">
        <f t="shared" si="308"/>
        <v/>
      </c>
      <c r="AG1299" t="e">
        <f>VLOOKUP(J1299,'Receivable Invoice Detail'!$A$1:F4311,6,FALSE)</f>
        <v>#N/A</v>
      </c>
      <c r="AM1299" s="12" t="str">
        <f t="shared" si="309"/>
        <v/>
      </c>
      <c r="AN1299" s="12" t="str">
        <f t="shared" si="310"/>
        <v/>
      </c>
      <c r="AO1299" s="12" t="str">
        <f t="shared" si="311"/>
        <v/>
      </c>
      <c r="AP1299" s="12" t="str">
        <f t="shared" si="312"/>
        <v/>
      </c>
      <c r="AQ1299" s="64"/>
      <c r="AS1299" s="12">
        <f t="shared" si="304"/>
        <v>0</v>
      </c>
    </row>
    <row r="1300" spans="1:45" hidden="1" x14ac:dyDescent="0.25">
      <c r="A1300" s="41">
        <f>CASOPOInvCL!T1300</f>
        <v>1</v>
      </c>
      <c r="B1300" t="str">
        <f>CASOPOInvCL!Z1300</f>
        <v>SO18413</v>
      </c>
      <c r="G1300" s="5" t="str">
        <f>CASOPOInvCL!I1300</f>
        <v>Ian Trottier</v>
      </c>
      <c r="H1300" s="31">
        <f>CASOPOInvCL!U1300</f>
        <v>12</v>
      </c>
      <c r="I1300" s="31">
        <f>CASOPOInvCL!V1300</f>
        <v>2025</v>
      </c>
      <c r="J1300" s="5" t="str">
        <f>CASOPOInvCL!AB1300</f>
        <v>INV13794</v>
      </c>
      <c r="K1300" s="31" t="str">
        <f>CASOPOInvCL!W1300</f>
        <v/>
      </c>
      <c r="L1300" s="31" t="str">
        <f>CASOPOInvCL!X1300</f>
        <v/>
      </c>
      <c r="N1300" s="5" t="str">
        <f>CASOPOInvCL!AF1300</f>
        <v>TC Industries of Canada Co.</v>
      </c>
      <c r="O1300" s="16" t="str">
        <f>CASOPOInvCL!AG1300</f>
        <v>CAD</v>
      </c>
      <c r="P1300" s="16">
        <f>CASOPOInvCL!AH1300</f>
        <v>1014.3</v>
      </c>
      <c r="Q1300" s="16">
        <f>CASOPOInvCL!AI1300</f>
        <v>735.76607476530319</v>
      </c>
      <c r="R1300" s="32" t="str">
        <f>CASOPOInvCL!AU1300</f>
        <v/>
      </c>
      <c r="S1300" s="16">
        <f>CASOPOInvCL!AV1300</f>
        <v>0</v>
      </c>
      <c r="T1300" s="16">
        <f>CASOPOInvCL!AW1300</f>
        <v>0</v>
      </c>
      <c r="Y1300" s="29" t="str">
        <f>IFERROR(HLOOKUP(U1300,List!$D$2:$H$6,2,FALSE),"")</f>
        <v/>
      </c>
      <c r="Z1300" s="29" t="str">
        <f>IFERROR(HLOOKUP(V1300,List!$D$2:$H$6,3,FALSE),"")</f>
        <v/>
      </c>
      <c r="AA1300" s="29" t="str">
        <f>IFERROR(HLOOKUP(W1300,List!$D$2:$H$6,4,FALSE),"")</f>
        <v/>
      </c>
      <c r="AB1300" s="29" t="str">
        <f>IFERROR(HLOOKUP(X1300,List!$D$2:$H$6,5,FALSE),"")</f>
        <v/>
      </c>
      <c r="AC1300" s="12" t="str">
        <f t="shared" si="305"/>
        <v/>
      </c>
      <c r="AD1300" s="12" t="str">
        <f t="shared" si="306"/>
        <v/>
      </c>
      <c r="AE1300" s="12" t="str">
        <f t="shared" si="307"/>
        <v/>
      </c>
      <c r="AF1300" s="12" t="str">
        <f t="shared" si="308"/>
        <v/>
      </c>
      <c r="AG1300" t="str">
        <f>VLOOKUP(J1300,'Receivable Invoice Detail'!$A$1:F4312,6,FALSE)</f>
        <v>[AC-52-430-298-006] Seal Cage (Lantern Ring), Allis Chalmers PWO, Group 2</v>
      </c>
      <c r="AM1300" s="12" t="str">
        <f t="shared" si="309"/>
        <v/>
      </c>
      <c r="AN1300" s="12" t="str">
        <f t="shared" si="310"/>
        <v/>
      </c>
      <c r="AO1300" s="12" t="str">
        <f t="shared" si="311"/>
        <v/>
      </c>
      <c r="AP1300" s="12" t="str">
        <f t="shared" si="312"/>
        <v/>
      </c>
      <c r="AQ1300" s="64"/>
      <c r="AS1300" s="12">
        <f t="shared" si="304"/>
        <v>0</v>
      </c>
    </row>
    <row r="1301" spans="1:45" hidden="1" x14ac:dyDescent="0.25">
      <c r="A1301" s="41">
        <f>CASOPOInvCL!T1301</f>
        <v>1</v>
      </c>
      <c r="B1301" t="str">
        <f>CASOPOInvCL!Z1301</f>
        <v>SO18416</v>
      </c>
      <c r="G1301" s="5" t="str">
        <f>CASOPOInvCL!I1301</f>
        <v>Aleksandar Stankovic</v>
      </c>
      <c r="H1301" s="31">
        <f>CASOPOInvCL!U1301</f>
        <v>12</v>
      </c>
      <c r="I1301" s="31">
        <f>CASOPOInvCL!V1301</f>
        <v>2025</v>
      </c>
      <c r="J1301" s="5" t="str">
        <f>CASOPOInvCL!AB1301</f>
        <v>INV13832</v>
      </c>
      <c r="K1301" s="31" t="str">
        <f>CASOPOInvCL!W1301</f>
        <v/>
      </c>
      <c r="L1301" s="31" t="str">
        <f>CASOPOInvCL!X1301</f>
        <v/>
      </c>
      <c r="N1301" s="5" t="str">
        <f>CASOPOInvCL!AF1301</f>
        <v>Wajax Limited - Noranda</v>
      </c>
      <c r="O1301" s="16" t="str">
        <f>CASOPOInvCL!AG1301</f>
        <v>CAD</v>
      </c>
      <c r="P1301" s="16">
        <f>CASOPOInvCL!AH1301</f>
        <v>164.89</v>
      </c>
      <c r="Q1301" s="16">
        <f>CASOPOInvCL!AI1301</f>
        <v>119.92623143516565</v>
      </c>
      <c r="R1301" s="32" t="str">
        <f>CASOPOInvCL!AU1301</f>
        <v/>
      </c>
      <c r="S1301" s="16">
        <f>CASOPOInvCL!AV1301</f>
        <v>0</v>
      </c>
      <c r="T1301" s="16">
        <f>CASOPOInvCL!AW1301</f>
        <v>0</v>
      </c>
      <c r="Y1301" s="29" t="str">
        <f>IFERROR(HLOOKUP(U1301,List!$D$2:$H$6,2,FALSE),"")</f>
        <v/>
      </c>
      <c r="Z1301" s="29" t="str">
        <f>IFERROR(HLOOKUP(V1301,List!$D$2:$H$6,3,FALSE),"")</f>
        <v/>
      </c>
      <c r="AA1301" s="29" t="str">
        <f>IFERROR(HLOOKUP(W1301,List!$D$2:$H$6,4,FALSE),"")</f>
        <v/>
      </c>
      <c r="AB1301" s="29" t="str">
        <f>IFERROR(HLOOKUP(X1301,List!$D$2:$H$6,5,FALSE),"")</f>
        <v/>
      </c>
      <c r="AC1301" s="12" t="str">
        <f t="shared" si="305"/>
        <v/>
      </c>
      <c r="AD1301" s="12" t="str">
        <f t="shared" si="306"/>
        <v/>
      </c>
      <c r="AE1301" s="12" t="str">
        <f t="shared" si="307"/>
        <v/>
      </c>
      <c r="AF1301" s="12" t="str">
        <f t="shared" si="308"/>
        <v/>
      </c>
      <c r="AG1301" t="e">
        <f>VLOOKUP(J1301,'Receivable Invoice Detail'!$A$1:F4313,6,FALSE)</f>
        <v>#N/A</v>
      </c>
      <c r="AM1301" s="12" t="str">
        <f t="shared" si="309"/>
        <v/>
      </c>
      <c r="AN1301" s="12" t="str">
        <f t="shared" si="310"/>
        <v/>
      </c>
      <c r="AO1301" s="12" t="str">
        <f t="shared" si="311"/>
        <v/>
      </c>
      <c r="AP1301" s="12" t="str">
        <f t="shared" si="312"/>
        <v/>
      </c>
      <c r="AQ1301" s="64"/>
      <c r="AS1301" s="12">
        <f t="shared" si="304"/>
        <v>0</v>
      </c>
    </row>
    <row r="1302" spans="1:45" hidden="1" x14ac:dyDescent="0.25">
      <c r="A1302" s="41">
        <f>CASOPOInvCL!T1302</f>
        <v>1</v>
      </c>
      <c r="B1302" t="str">
        <f>CASOPOInvCL!Z1302</f>
        <v>SO18417</v>
      </c>
      <c r="G1302" s="5" t="str">
        <f>CASOPOInvCL!I1302</f>
        <v>Ian Trottier</v>
      </c>
      <c r="H1302" s="31">
        <f>CASOPOInvCL!U1302</f>
        <v>12</v>
      </c>
      <c r="I1302" s="31">
        <f>CASOPOInvCL!V1302</f>
        <v>2025</v>
      </c>
      <c r="J1302" s="5" t="str">
        <f>CASOPOInvCL!AB1302</f>
        <v>INV13785</v>
      </c>
      <c r="K1302" s="31" t="str">
        <f>CASOPOInvCL!W1302</f>
        <v/>
      </c>
      <c r="L1302" s="31" t="str">
        <f>CASOPOInvCL!X1302</f>
        <v/>
      </c>
      <c r="N1302" s="5" t="str">
        <f>CASOPOInvCL!AF1302</f>
        <v>Grant Aggregate</v>
      </c>
      <c r="O1302" s="16" t="str">
        <f>CASOPOInvCL!AG1302</f>
        <v>CAD</v>
      </c>
      <c r="P1302" s="16">
        <f>CASOPOInvCL!AH1302</f>
        <v>6061.16</v>
      </c>
      <c r="Q1302" s="16">
        <f>CASOPOInvCL!AI1302</f>
        <v>4396.72276616826</v>
      </c>
      <c r="R1302" s="32" t="str">
        <f>CASOPOInvCL!AU1302</f>
        <v/>
      </c>
      <c r="S1302" s="16">
        <f>CASOPOInvCL!AV1302</f>
        <v>0</v>
      </c>
      <c r="T1302" s="16">
        <f>CASOPOInvCL!AW1302</f>
        <v>0</v>
      </c>
      <c r="Y1302" s="29" t="str">
        <f>IFERROR(HLOOKUP(U1302,List!$D$2:$H$6,2,FALSE),"")</f>
        <v/>
      </c>
      <c r="Z1302" s="29" t="str">
        <f>IFERROR(HLOOKUP(V1302,List!$D$2:$H$6,3,FALSE),"")</f>
        <v/>
      </c>
      <c r="AA1302" s="29" t="str">
        <f>IFERROR(HLOOKUP(W1302,List!$D$2:$H$6,4,FALSE),"")</f>
        <v/>
      </c>
      <c r="AB1302" s="29" t="str">
        <f>IFERROR(HLOOKUP(X1302,List!$D$2:$H$6,5,FALSE),"")</f>
        <v/>
      </c>
      <c r="AC1302" s="12" t="str">
        <f t="shared" si="305"/>
        <v/>
      </c>
      <c r="AD1302" s="12" t="str">
        <f t="shared" si="306"/>
        <v/>
      </c>
      <c r="AE1302" s="12" t="str">
        <f t="shared" si="307"/>
        <v/>
      </c>
      <c r="AF1302" s="12" t="str">
        <f t="shared" si="308"/>
        <v/>
      </c>
      <c r="AG1302" t="str">
        <f>VLOOKUP(J1302,'Receivable Invoice Detail'!$A$1:F4314,6,FALSE)</f>
        <v>[AC-98-431-651-501] Impeller (Closed), 8x6-18 SRL-C, Natural Rubber</v>
      </c>
      <c r="AM1302" s="12" t="str">
        <f t="shared" si="309"/>
        <v/>
      </c>
      <c r="AN1302" s="12" t="str">
        <f t="shared" si="310"/>
        <v/>
      </c>
      <c r="AO1302" s="12" t="str">
        <f t="shared" si="311"/>
        <v/>
      </c>
      <c r="AP1302" s="12" t="str">
        <f t="shared" si="312"/>
        <v/>
      </c>
      <c r="AQ1302" s="64"/>
      <c r="AS1302" s="12">
        <f t="shared" si="304"/>
        <v>0</v>
      </c>
    </row>
    <row r="1303" spans="1:45" hidden="1" x14ac:dyDescent="0.25">
      <c r="A1303" s="41">
        <f>CASOPOInvCL!T1303</f>
        <v>0</v>
      </c>
      <c r="B1303" t="str">
        <f>CASOPOInvCL!Z1303</f>
        <v>SO18419</v>
      </c>
      <c r="G1303" s="5" t="str">
        <f>CASOPOInvCL!I1303</f>
        <v>Wilka Nuñez</v>
      </c>
      <c r="H1303" s="31">
        <f>CASOPOInvCL!U1303</f>
        <v>12</v>
      </c>
      <c r="I1303" s="31">
        <f>CASOPOInvCL!V1303</f>
        <v>2025</v>
      </c>
      <c r="J1303" s="5" t="str">
        <f>CASOPOInvCL!AB1303</f>
        <v>No Inv</v>
      </c>
      <c r="K1303" s="31" t="str">
        <f>CASOPOInvCL!W1303</f>
        <v/>
      </c>
      <c r="L1303" s="31" t="str">
        <f>CASOPOInvCL!X1303</f>
        <v/>
      </c>
      <c r="N1303" s="5" t="str">
        <f>CASOPOInvCL!AF1303</f>
        <v>Barrick Gold - Pueblo Viejo Dominicana Corporation</v>
      </c>
      <c r="O1303" s="16" t="str">
        <f>CASOPOInvCL!AG1303</f>
        <v>USD</v>
      </c>
      <c r="P1303" s="16">
        <f>CASOPOInvCL!AH1303</f>
        <v>45786.554150751821</v>
      </c>
      <c r="Q1303" s="16">
        <f>CASOPOInvCL!AI1303</f>
        <v>33233.32</v>
      </c>
      <c r="R1303" s="32" t="str">
        <f>CASOPOInvCL!AU1303</f>
        <v/>
      </c>
      <c r="S1303" s="16">
        <f>CASOPOInvCL!AV1303</f>
        <v>0</v>
      </c>
      <c r="T1303" s="16">
        <f>CASOPOInvCL!AW1303</f>
        <v>0</v>
      </c>
      <c r="Y1303" s="29" t="str">
        <f>IFERROR(HLOOKUP(U1303,List!$D$2:$H$6,2,FALSE),"")</f>
        <v/>
      </c>
      <c r="Z1303" s="29" t="str">
        <f>IFERROR(HLOOKUP(V1303,List!$D$2:$H$6,3,FALSE),"")</f>
        <v/>
      </c>
      <c r="AA1303" s="29" t="str">
        <f>IFERROR(HLOOKUP(W1303,List!$D$2:$H$6,4,FALSE),"")</f>
        <v/>
      </c>
      <c r="AB1303" s="29" t="str">
        <f>IFERROR(HLOOKUP(X1303,List!$D$2:$H$6,5,FALSE),"")</f>
        <v/>
      </c>
      <c r="AC1303" s="12" t="str">
        <f t="shared" si="305"/>
        <v/>
      </c>
      <c r="AD1303" s="12" t="str">
        <f t="shared" si="306"/>
        <v/>
      </c>
      <c r="AE1303" s="12" t="str">
        <f t="shared" si="307"/>
        <v/>
      </c>
      <c r="AF1303" s="12" t="str">
        <f t="shared" si="308"/>
        <v/>
      </c>
      <c r="AG1303" t="e">
        <f>VLOOKUP(J1303,'Receivable Invoice Detail'!$A$1:F4315,6,FALSE)</f>
        <v>#N/A</v>
      </c>
      <c r="AM1303" s="12" t="str">
        <f t="shared" si="309"/>
        <v/>
      </c>
      <c r="AN1303" s="12" t="str">
        <f t="shared" si="310"/>
        <v/>
      </c>
      <c r="AO1303" s="12" t="str">
        <f t="shared" si="311"/>
        <v/>
      </c>
      <c r="AP1303" s="12" t="str">
        <f t="shared" si="312"/>
        <v/>
      </c>
      <c r="AQ1303" s="64"/>
      <c r="AS1303" s="12">
        <f t="shared" si="304"/>
        <v>0</v>
      </c>
    </row>
    <row r="1304" spans="1:45" hidden="1" x14ac:dyDescent="0.25">
      <c r="A1304" s="41">
        <f>CASOPOInvCL!T1304</f>
        <v>1</v>
      </c>
      <c r="B1304" t="str">
        <f>CASOPOInvCL!Z1304</f>
        <v>SO18420</v>
      </c>
      <c r="G1304" s="5" t="str">
        <f>CASOPOInvCL!I1304</f>
        <v>Ian Trottier</v>
      </c>
      <c r="H1304" s="31">
        <f>CASOPOInvCL!U1304</f>
        <v>12</v>
      </c>
      <c r="I1304" s="31">
        <f>CASOPOInvCL!V1304</f>
        <v>2025</v>
      </c>
      <c r="J1304" s="5" t="str">
        <f>CASOPOInvCL!AB1304</f>
        <v>INV13828</v>
      </c>
      <c r="K1304" s="31" t="str">
        <f>CASOPOInvCL!W1304</f>
        <v/>
      </c>
      <c r="L1304" s="31" t="str">
        <f>CASOPOInvCL!X1304</f>
        <v/>
      </c>
      <c r="N1304" s="5" t="str">
        <f>CASOPOInvCL!AF1304</f>
        <v>Resolute Forest Products - Saint-Felicien</v>
      </c>
      <c r="O1304" s="16" t="str">
        <f>CASOPOInvCL!AG1304</f>
        <v>CAD</v>
      </c>
      <c r="P1304" s="16">
        <f>CASOPOInvCL!AH1304</f>
        <v>1434.48</v>
      </c>
      <c r="Q1304" s="16">
        <f>CASOPOInvCL!AI1304</f>
        <v>1042.0206486442396</v>
      </c>
      <c r="R1304" s="32" t="str">
        <f>CASOPOInvCL!AU1304</f>
        <v/>
      </c>
      <c r="S1304" s="16">
        <f>CASOPOInvCL!AV1304</f>
        <v>0</v>
      </c>
      <c r="T1304" s="16">
        <f>CASOPOInvCL!AW1304</f>
        <v>0</v>
      </c>
      <c r="Y1304" s="29" t="str">
        <f>IFERROR(HLOOKUP(U1304,List!$D$2:$H$6,2,FALSE),"")</f>
        <v/>
      </c>
      <c r="Z1304" s="29" t="str">
        <f>IFERROR(HLOOKUP(V1304,List!$D$2:$H$6,3,FALSE),"")</f>
        <v/>
      </c>
      <c r="AA1304" s="29" t="str">
        <f>IFERROR(HLOOKUP(W1304,List!$D$2:$H$6,4,FALSE),"")</f>
        <v/>
      </c>
      <c r="AB1304" s="29" t="str">
        <f>IFERROR(HLOOKUP(X1304,List!$D$2:$H$6,5,FALSE),"")</f>
        <v/>
      </c>
      <c r="AC1304" s="12" t="str">
        <f t="shared" si="305"/>
        <v/>
      </c>
      <c r="AD1304" s="12" t="str">
        <f t="shared" si="306"/>
        <v/>
      </c>
      <c r="AE1304" s="12" t="str">
        <f t="shared" si="307"/>
        <v/>
      </c>
      <c r="AF1304" s="12" t="str">
        <f t="shared" si="308"/>
        <v/>
      </c>
      <c r="AG1304" t="str">
        <f>VLOOKUP(J1304,'Receivable Invoice Detail'!$A$1:F4316,6,FALSE)</f>
        <v>[52-321-237-100] Impeller, 2x1-10, Allis-Chalmers CSO, 317SS</v>
      </c>
      <c r="AM1304" s="12" t="str">
        <f t="shared" si="309"/>
        <v/>
      </c>
      <c r="AN1304" s="12" t="str">
        <f t="shared" si="310"/>
        <v/>
      </c>
      <c r="AO1304" s="12" t="str">
        <f t="shared" si="311"/>
        <v/>
      </c>
      <c r="AP1304" s="12" t="str">
        <f t="shared" si="312"/>
        <v/>
      </c>
      <c r="AQ1304" s="64"/>
      <c r="AS1304" s="12">
        <f t="shared" si="304"/>
        <v>0</v>
      </c>
    </row>
    <row r="1305" spans="1:45" hidden="1" x14ac:dyDescent="0.25">
      <c r="A1305" s="41">
        <f>CASOPOInvCL!T1305</f>
        <v>0</v>
      </c>
      <c r="B1305" t="str">
        <f>CASOPOInvCL!Z1305</f>
        <v>SO18423</v>
      </c>
      <c r="G1305" s="5" t="str">
        <f>CASOPOInvCL!I1305</f>
        <v>Ian Trottier</v>
      </c>
      <c r="H1305" s="31">
        <f>CASOPOInvCL!U1305</f>
        <v>12</v>
      </c>
      <c r="I1305" s="31">
        <f>CASOPOInvCL!V1305</f>
        <v>2025</v>
      </c>
      <c r="J1305" s="5" t="str">
        <f>CASOPOInvCL!AB1305</f>
        <v>No Inv</v>
      </c>
      <c r="K1305" s="31" t="str">
        <f>CASOPOInvCL!W1305</f>
        <v/>
      </c>
      <c r="L1305" s="31" t="str">
        <f>CASOPOInvCL!X1305</f>
        <v/>
      </c>
      <c r="N1305" s="5" t="str">
        <f>CASOPOInvCL!AF1305</f>
        <v>Sealtrac Inc.</v>
      </c>
      <c r="O1305" s="16" t="str">
        <f>CASOPOInvCL!AG1305</f>
        <v>CAD</v>
      </c>
      <c r="P1305" s="16">
        <f>CASOPOInvCL!AH1305</f>
        <v>214.88</v>
      </c>
      <c r="Q1305" s="16">
        <f>CASOPOInvCL!AI1305</f>
        <v>156.09098557015378</v>
      </c>
      <c r="R1305" s="32" t="str">
        <f>CASOPOInvCL!AU1305</f>
        <v/>
      </c>
      <c r="S1305" s="16">
        <f>CASOPOInvCL!AV1305</f>
        <v>0</v>
      </c>
      <c r="T1305" s="16">
        <f>CASOPOInvCL!AW1305</f>
        <v>0</v>
      </c>
      <c r="Y1305" s="29" t="str">
        <f>IFERROR(HLOOKUP(U1305,List!$D$2:$H$6,2,FALSE),"")</f>
        <v/>
      </c>
      <c r="Z1305" s="29" t="str">
        <f>IFERROR(HLOOKUP(V1305,List!$D$2:$H$6,3,FALSE),"")</f>
        <v/>
      </c>
      <c r="AA1305" s="29" t="str">
        <f>IFERROR(HLOOKUP(W1305,List!$D$2:$H$6,4,FALSE),"")</f>
        <v/>
      </c>
      <c r="AB1305" s="29" t="str">
        <f>IFERROR(HLOOKUP(X1305,List!$D$2:$H$6,5,FALSE),"")</f>
        <v/>
      </c>
      <c r="AC1305" s="12" t="str">
        <f t="shared" si="305"/>
        <v/>
      </c>
      <c r="AD1305" s="12" t="str">
        <f t="shared" si="306"/>
        <v/>
      </c>
      <c r="AE1305" s="12" t="str">
        <f t="shared" si="307"/>
        <v/>
      </c>
      <c r="AF1305" s="12" t="str">
        <f t="shared" si="308"/>
        <v/>
      </c>
      <c r="AG1305" t="e">
        <f>VLOOKUP(J1305,'Receivable Invoice Detail'!$A$1:F4317,6,FALSE)</f>
        <v>#N/A</v>
      </c>
      <c r="AM1305" s="12" t="str">
        <f t="shared" si="309"/>
        <v/>
      </c>
      <c r="AN1305" s="12" t="str">
        <f t="shared" si="310"/>
        <v/>
      </c>
      <c r="AO1305" s="12" t="str">
        <f t="shared" si="311"/>
        <v/>
      </c>
      <c r="AP1305" s="12" t="str">
        <f t="shared" si="312"/>
        <v/>
      </c>
      <c r="AQ1305" s="64"/>
      <c r="AS1305" s="12">
        <f t="shared" si="304"/>
        <v>0</v>
      </c>
    </row>
    <row r="1306" spans="1:45" hidden="1" x14ac:dyDescent="0.25">
      <c r="A1306" s="41">
        <f>CASOPOInvCL!T1306</f>
        <v>1</v>
      </c>
      <c r="B1306" t="str">
        <f>CASOPOInvCL!Z1306</f>
        <v>SO18424</v>
      </c>
      <c r="E1306" t="s">
        <v>5848</v>
      </c>
      <c r="G1306" s="5" t="str">
        <f>CASOPOInvCL!I1306</f>
        <v>Leriel Reyes</v>
      </c>
      <c r="H1306" s="31">
        <f>CASOPOInvCL!U1306</f>
        <v>12</v>
      </c>
      <c r="I1306" s="31">
        <f>CASOPOInvCL!V1306</f>
        <v>2025</v>
      </c>
      <c r="J1306" s="5" t="str">
        <f>CASOPOInvCL!AB1306</f>
        <v>INV13814</v>
      </c>
      <c r="K1306" s="31" t="str">
        <f>CASOPOInvCL!W1306</f>
        <v/>
      </c>
      <c r="L1306" s="31" t="str">
        <f>CASOPOInvCL!X1306</f>
        <v/>
      </c>
      <c r="N1306" s="5" t="str">
        <f>CASOPOInvCL!AF1306</f>
        <v>Southeast Pump Specialist, Inc.</v>
      </c>
      <c r="O1306" s="16" t="str">
        <f>CASOPOInvCL!AG1306</f>
        <v>USD</v>
      </c>
      <c r="P1306" s="16">
        <f>CASOPOInvCL!AH1306</f>
        <v>11928.541065357476</v>
      </c>
      <c r="Q1306" s="16">
        <f>CASOPOInvCL!AI1306</f>
        <v>8658.11</v>
      </c>
      <c r="R1306" s="32" t="str">
        <f>CASOPOInvCL!AU1306</f>
        <v/>
      </c>
      <c r="S1306" s="16">
        <f>CASOPOInvCL!AV1306</f>
        <v>690</v>
      </c>
      <c r="T1306" s="16">
        <f>CASOPOInvCL!AW1306</f>
        <v>0</v>
      </c>
      <c r="W1306" t="s">
        <v>5800</v>
      </c>
      <c r="Y1306" s="29" t="str">
        <f>IFERROR(HLOOKUP(U1306,List!$D$2:$H$6,2,FALSE),"")</f>
        <v/>
      </c>
      <c r="Z1306" s="29" t="str">
        <f>IFERROR(HLOOKUP(V1306,List!$D$2:$H$6,3,FALSE),"")</f>
        <v/>
      </c>
      <c r="AA1306" s="29">
        <f>IFERROR(HLOOKUP(W1306,List!$D$2:$H$6,4,FALSE),"")</f>
        <v>0.01</v>
      </c>
      <c r="AB1306" s="29" t="str">
        <f>IFERROR(HLOOKUP(X1306,List!$D$2:$H$6,5,FALSE),"")</f>
        <v/>
      </c>
      <c r="AC1306" s="12" t="str">
        <f t="shared" si="305"/>
        <v/>
      </c>
      <c r="AD1306" s="12" t="str">
        <f t="shared" si="306"/>
        <v/>
      </c>
      <c r="AE1306" s="12">
        <f t="shared" si="307"/>
        <v>0</v>
      </c>
      <c r="AF1306" s="12" t="str">
        <f t="shared" si="308"/>
        <v/>
      </c>
      <c r="AG1306" t="str">
        <f>VLOOKUP(J1306,'Receivable Invoice Detail'!$A$1:F4318,6,FALSE)</f>
        <v>[G-1.5x2-14-JC-HC] Pump, 1.5x2-14, Dynapro DC, Frame 2J, High Chrome</v>
      </c>
      <c r="AM1306" s="12" t="str">
        <f t="shared" si="309"/>
        <v/>
      </c>
      <c r="AN1306" s="12" t="str">
        <f t="shared" si="310"/>
        <v/>
      </c>
      <c r="AO1306" s="12">
        <f t="shared" si="311"/>
        <v>0</v>
      </c>
      <c r="AP1306" s="12" t="str">
        <f t="shared" si="312"/>
        <v/>
      </c>
      <c r="AQ1306" s="64"/>
      <c r="AS1306" s="12">
        <f t="shared" si="304"/>
        <v>0</v>
      </c>
    </row>
    <row r="1307" spans="1:45" hidden="1" x14ac:dyDescent="0.25">
      <c r="A1307" s="41">
        <f>CASOPOInvCL!T1307</f>
        <v>1</v>
      </c>
      <c r="B1307" t="str">
        <f>CASOPOInvCL!Z1307</f>
        <v>SO18425</v>
      </c>
      <c r="G1307" s="5" t="str">
        <f>CASOPOInvCL!I1307</f>
        <v>Marlen Martinez</v>
      </c>
      <c r="H1307" s="31">
        <f>CASOPOInvCL!U1307</f>
        <v>12</v>
      </c>
      <c r="I1307" s="31">
        <f>CASOPOInvCL!V1307</f>
        <v>2025</v>
      </c>
      <c r="J1307" s="5" t="str">
        <f>CASOPOInvCL!AB1307</f>
        <v>INV13787</v>
      </c>
      <c r="K1307" s="31" t="str">
        <f>CASOPOInvCL!W1307</f>
        <v/>
      </c>
      <c r="L1307" s="31" t="str">
        <f>CASOPOInvCL!X1307</f>
        <v/>
      </c>
      <c r="N1307" s="5" t="str">
        <f>CASOPOInvCL!AF1307</f>
        <v>Wajax Limited - Val D'Or, Wajax Limited - Val D'Or</v>
      </c>
      <c r="O1307" s="16" t="str">
        <f>CASOPOInvCL!AG1307</f>
        <v>CAD</v>
      </c>
      <c r="P1307" s="16">
        <f>CASOPOInvCL!AH1307</f>
        <v>448.78</v>
      </c>
      <c r="Q1307" s="16">
        <f>CASOPOInvCL!AI1307</f>
        <v>325.99828976253531</v>
      </c>
      <c r="R1307" s="32" t="str">
        <f>CASOPOInvCL!AU1307</f>
        <v/>
      </c>
      <c r="S1307" s="16">
        <f>CASOPOInvCL!AV1307</f>
        <v>0</v>
      </c>
      <c r="T1307" s="16">
        <f>CASOPOInvCL!AW1307</f>
        <v>0</v>
      </c>
      <c r="Y1307" s="29" t="str">
        <f>IFERROR(HLOOKUP(U1307,List!$D$2:$H$6,2,FALSE),"")</f>
        <v/>
      </c>
      <c r="Z1307" s="29" t="str">
        <f>IFERROR(HLOOKUP(V1307,List!$D$2:$H$6,3,FALSE),"")</f>
        <v/>
      </c>
      <c r="AA1307" s="29" t="str">
        <f>IFERROR(HLOOKUP(W1307,List!$D$2:$H$6,4,FALSE),"")</f>
        <v/>
      </c>
      <c r="AB1307" s="29" t="str">
        <f>IFERROR(HLOOKUP(X1307,List!$D$2:$H$6,5,FALSE),"")</f>
        <v/>
      </c>
      <c r="AC1307" s="12" t="str">
        <f t="shared" si="305"/>
        <v/>
      </c>
      <c r="AD1307" s="12" t="str">
        <f t="shared" si="306"/>
        <v/>
      </c>
      <c r="AE1307" s="12" t="str">
        <f t="shared" si="307"/>
        <v/>
      </c>
      <c r="AF1307" s="12" t="str">
        <f t="shared" si="308"/>
        <v/>
      </c>
      <c r="AG1307" t="str">
        <f>VLOOKUP(J1307,'Receivable Invoice Detail'!$A$1:F4319,6,FALSE)</f>
        <v>[AC-98-110-406-001] Slinger, Water Ring, 10x8 SRL-C (Old Style), Steel</v>
      </c>
      <c r="AM1307" s="12" t="str">
        <f t="shared" si="309"/>
        <v/>
      </c>
      <c r="AN1307" s="12" t="str">
        <f t="shared" si="310"/>
        <v/>
      </c>
      <c r="AO1307" s="12" t="str">
        <f t="shared" si="311"/>
        <v/>
      </c>
      <c r="AP1307" s="12" t="str">
        <f t="shared" si="312"/>
        <v/>
      </c>
      <c r="AQ1307" s="64"/>
      <c r="AS1307" s="12">
        <f t="shared" si="304"/>
        <v>0</v>
      </c>
    </row>
    <row r="1308" spans="1:45" hidden="1" x14ac:dyDescent="0.25">
      <c r="A1308" s="41">
        <f>CASOPOInvCL!T1308</f>
        <v>1</v>
      </c>
      <c r="B1308" t="str">
        <f>CASOPOInvCL!Z1308</f>
        <v>SO18429</v>
      </c>
      <c r="G1308" s="5" t="str">
        <f>CASOPOInvCL!I1308</f>
        <v>Wilka Nuñez</v>
      </c>
      <c r="H1308" s="31">
        <f>CASOPOInvCL!U1308</f>
        <v>12</v>
      </c>
      <c r="I1308" s="31">
        <f>CASOPOInvCL!V1308</f>
        <v>2025</v>
      </c>
      <c r="J1308" s="5" t="str">
        <f>CASOPOInvCL!AB1308</f>
        <v>INV13813</v>
      </c>
      <c r="K1308" s="31" t="str">
        <f>CASOPOInvCL!W1308</f>
        <v/>
      </c>
      <c r="L1308" s="31" t="str">
        <f>CASOPOInvCL!X1308</f>
        <v/>
      </c>
      <c r="N1308" s="5" t="str">
        <f>CASOPOInvCL!AF1308</f>
        <v>Southeast Pump Specialist, Inc.</v>
      </c>
      <c r="O1308" s="16" t="str">
        <f>CASOPOInvCL!AG1308</f>
        <v>USD</v>
      </c>
      <c r="P1308" s="16">
        <f>CASOPOInvCL!AH1308</f>
        <v>6547.2114297125026</v>
      </c>
      <c r="Q1308" s="16">
        <f>CASOPOInvCL!AI1308</f>
        <v>4755.96</v>
      </c>
      <c r="R1308" s="32" t="str">
        <f>CASOPOInvCL!AU1308</f>
        <v/>
      </c>
      <c r="S1308" s="16">
        <f>CASOPOInvCL!AV1308</f>
        <v>633</v>
      </c>
      <c r="T1308" s="16">
        <f>CASOPOInvCL!AW1308</f>
        <v>0</v>
      </c>
      <c r="Y1308" s="29" t="str">
        <f>IFERROR(HLOOKUP(U1308,List!$D$2:$H$6,2,FALSE),"")</f>
        <v/>
      </c>
      <c r="Z1308" s="29" t="str">
        <f>IFERROR(HLOOKUP(V1308,List!$D$2:$H$6,3,FALSE),"")</f>
        <v/>
      </c>
      <c r="AA1308" s="29" t="str">
        <f>IFERROR(HLOOKUP(W1308,List!$D$2:$H$6,4,FALSE),"")</f>
        <v/>
      </c>
      <c r="AB1308" s="29" t="str">
        <f>IFERROR(HLOOKUP(X1308,List!$D$2:$H$6,5,FALSE),"")</f>
        <v/>
      </c>
      <c r="AC1308" s="12" t="str">
        <f t="shared" si="305"/>
        <v/>
      </c>
      <c r="AD1308" s="12" t="str">
        <f t="shared" si="306"/>
        <v/>
      </c>
      <c r="AE1308" s="12" t="str">
        <f t="shared" si="307"/>
        <v/>
      </c>
      <c r="AF1308" s="12" t="str">
        <f t="shared" si="308"/>
        <v/>
      </c>
      <c r="AG1308" t="str">
        <f>VLOOKUP(J1308,'Receivable Invoice Detail'!$A$1:F4320,6,FALSE)</f>
        <v>[AC-98-231-079-501] Gland Side Liner, 5x5-14 SRL, Natural Rubber</v>
      </c>
      <c r="AM1308" s="12" t="str">
        <f t="shared" si="309"/>
        <v/>
      </c>
      <c r="AN1308" s="12" t="str">
        <f t="shared" si="310"/>
        <v/>
      </c>
      <c r="AO1308" s="12" t="str">
        <f t="shared" si="311"/>
        <v/>
      </c>
      <c r="AP1308" s="12" t="str">
        <f t="shared" si="312"/>
        <v/>
      </c>
      <c r="AQ1308" s="64"/>
      <c r="AS1308" s="12">
        <f t="shared" si="304"/>
        <v>0</v>
      </c>
    </row>
    <row r="1309" spans="1:45" hidden="1" x14ac:dyDescent="0.25">
      <c r="A1309" s="41">
        <f>CASOPOInvCL!T1309</f>
        <v>1</v>
      </c>
      <c r="B1309" t="str">
        <f>CASOPOInvCL!Z1309</f>
        <v>SO18431</v>
      </c>
      <c r="G1309" s="5" t="str">
        <f>CASOPOInvCL!I1309</f>
        <v>Aleksandar Stankovic</v>
      </c>
      <c r="H1309" s="31">
        <f>CASOPOInvCL!U1309</f>
        <v>12</v>
      </c>
      <c r="I1309" s="31">
        <f>CASOPOInvCL!V1309</f>
        <v>2025</v>
      </c>
      <c r="J1309" s="5" t="str">
        <f>CASOPOInvCL!AB1309</f>
        <v>INV13802</v>
      </c>
      <c r="K1309" s="31" t="str">
        <f>CASOPOInvCL!W1309</f>
        <v/>
      </c>
      <c r="L1309" s="31" t="str">
        <f>CASOPOInvCL!X1309</f>
        <v/>
      </c>
      <c r="N1309" s="5" t="str">
        <f>CASOPOInvCL!AF1309</f>
        <v>FMI Products</v>
      </c>
      <c r="O1309" s="16" t="str">
        <f>CASOPOInvCL!AG1309</f>
        <v>CAD</v>
      </c>
      <c r="P1309" s="16">
        <f>CASOPOInvCL!AH1309</f>
        <v>102.8</v>
      </c>
      <c r="Q1309" s="16">
        <f>CASOPOInvCL!AI1309</f>
        <v>74.519383524115298</v>
      </c>
      <c r="R1309" s="32" t="str">
        <f>CASOPOInvCL!AU1309</f>
        <v/>
      </c>
      <c r="S1309" s="16">
        <f>CASOPOInvCL!AV1309</f>
        <v>0</v>
      </c>
      <c r="T1309" s="16">
        <f>CASOPOInvCL!AW1309</f>
        <v>0</v>
      </c>
      <c r="Y1309" s="29" t="str">
        <f>IFERROR(HLOOKUP(U1309,List!$D$2:$H$6,2,FALSE),"")</f>
        <v/>
      </c>
      <c r="Z1309" s="29" t="str">
        <f>IFERROR(HLOOKUP(V1309,List!$D$2:$H$6,3,FALSE),"")</f>
        <v/>
      </c>
      <c r="AA1309" s="29" t="str">
        <f>IFERROR(HLOOKUP(W1309,List!$D$2:$H$6,4,FALSE),"")</f>
        <v/>
      </c>
      <c r="AB1309" s="29" t="str">
        <f>IFERROR(HLOOKUP(X1309,List!$D$2:$H$6,5,FALSE),"")</f>
        <v/>
      </c>
      <c r="AC1309" s="12" t="str">
        <f t="shared" si="305"/>
        <v/>
      </c>
      <c r="AD1309" s="12" t="str">
        <f t="shared" si="306"/>
        <v/>
      </c>
      <c r="AE1309" s="12" t="str">
        <f t="shared" si="307"/>
        <v/>
      </c>
      <c r="AF1309" s="12" t="str">
        <f t="shared" si="308"/>
        <v/>
      </c>
      <c r="AG1309" t="str">
        <f>VLOOKUP(J1309,'Receivable Invoice Detail'!$A$1:F4321,6,FALSE)</f>
        <v>[G-C02495A032 5302] Shaft Sleeve O-Ring, 5x4-14 SRL-C, Buna</v>
      </c>
      <c r="AM1309" s="12" t="str">
        <f t="shared" si="309"/>
        <v/>
      </c>
      <c r="AN1309" s="12" t="str">
        <f t="shared" si="310"/>
        <v/>
      </c>
      <c r="AO1309" s="12" t="str">
        <f t="shared" si="311"/>
        <v/>
      </c>
      <c r="AP1309" s="12" t="str">
        <f t="shared" si="312"/>
        <v/>
      </c>
      <c r="AQ1309" s="64"/>
      <c r="AS1309" s="12">
        <f t="shared" si="304"/>
        <v>0</v>
      </c>
    </row>
    <row r="1310" spans="1:45" hidden="1" x14ac:dyDescent="0.25">
      <c r="A1310" s="41">
        <f>CASOPOInvCL!T1310</f>
        <v>1</v>
      </c>
      <c r="B1310" t="str">
        <f>CASOPOInvCL!Z1310</f>
        <v>SO18432</v>
      </c>
      <c r="G1310" s="5" t="str">
        <f>CASOPOInvCL!I1310</f>
        <v>Aleksandar Stankovic</v>
      </c>
      <c r="H1310" s="31">
        <f>CASOPOInvCL!U1310</f>
        <v>12</v>
      </c>
      <c r="I1310" s="31">
        <f>CASOPOInvCL!V1310</f>
        <v>2025</v>
      </c>
      <c r="J1310" s="5" t="str">
        <f>CASOPOInvCL!AB1310</f>
        <v>INV13829</v>
      </c>
      <c r="K1310" s="31" t="str">
        <f>CASOPOInvCL!W1310</f>
        <v/>
      </c>
      <c r="L1310" s="31" t="str">
        <f>CASOPOInvCL!X1310</f>
        <v/>
      </c>
      <c r="N1310" s="5" t="str">
        <f>CASOPOInvCL!AF1310</f>
        <v>Motion Industries Inc. (Canada) - Winnipeg</v>
      </c>
      <c r="O1310" s="16" t="str">
        <f>CASOPOInvCL!AG1310</f>
        <v>CAD</v>
      </c>
      <c r="P1310" s="16">
        <f>CASOPOInvCL!AH1310</f>
        <v>100</v>
      </c>
      <c r="Q1310" s="16">
        <f>CASOPOInvCL!AI1310</f>
        <v>72.752238251278627</v>
      </c>
      <c r="R1310" s="32" t="str">
        <f>CASOPOInvCL!AU1310</f>
        <v/>
      </c>
      <c r="S1310" s="16">
        <f>CASOPOInvCL!AV1310</f>
        <v>0</v>
      </c>
      <c r="T1310" s="16">
        <f>CASOPOInvCL!AW1310</f>
        <v>0</v>
      </c>
      <c r="Y1310" s="29" t="str">
        <f>IFERROR(HLOOKUP(U1310,List!$D$2:$H$6,2,FALSE),"")</f>
        <v/>
      </c>
      <c r="Z1310" s="29" t="str">
        <f>IFERROR(HLOOKUP(V1310,List!$D$2:$H$6,3,FALSE),"")</f>
        <v/>
      </c>
      <c r="AA1310" s="29" t="str">
        <f>IFERROR(HLOOKUP(W1310,List!$D$2:$H$6,4,FALSE),"")</f>
        <v/>
      </c>
      <c r="AB1310" s="29" t="str">
        <f>IFERROR(HLOOKUP(X1310,List!$D$2:$H$6,5,FALSE),"")</f>
        <v/>
      </c>
      <c r="AC1310" s="12" t="str">
        <f t="shared" si="305"/>
        <v/>
      </c>
      <c r="AD1310" s="12" t="str">
        <f t="shared" si="306"/>
        <v/>
      </c>
      <c r="AE1310" s="12" t="str">
        <f t="shared" si="307"/>
        <v/>
      </c>
      <c r="AF1310" s="12" t="str">
        <f t="shared" si="308"/>
        <v/>
      </c>
      <c r="AG1310" t="str">
        <f>VLOOKUP(J1310,'Receivable Invoice Detail'!$A$1:F4322,6,FALSE)</f>
        <v>[DU-Y22774B-TM] Rear Cover/Casing Gasket, 10", Durco Mark 2&amp;3 Group 2, Teflon</v>
      </c>
      <c r="AM1310" s="12" t="str">
        <f t="shared" si="309"/>
        <v/>
      </c>
      <c r="AN1310" s="12" t="str">
        <f t="shared" si="310"/>
        <v/>
      </c>
      <c r="AO1310" s="12" t="str">
        <f t="shared" si="311"/>
        <v/>
      </c>
      <c r="AP1310" s="12" t="str">
        <f t="shared" si="312"/>
        <v/>
      </c>
      <c r="AQ1310" s="64"/>
      <c r="AS1310" s="12">
        <f t="shared" si="304"/>
        <v>0</v>
      </c>
    </row>
    <row r="1311" spans="1:45" hidden="1" x14ac:dyDescent="0.25">
      <c r="A1311" s="41">
        <f>CASOPOInvCL!T1311</f>
        <v>0</v>
      </c>
      <c r="B1311" t="str">
        <f>CASOPOInvCL!Z1311</f>
        <v>SO18433</v>
      </c>
      <c r="G1311" s="5" t="str">
        <f>CASOPOInvCL!I1311</f>
        <v>Ian Trottier</v>
      </c>
      <c r="H1311" s="31">
        <f>CASOPOInvCL!U1311</f>
        <v>12</v>
      </c>
      <c r="I1311" s="31">
        <f>CASOPOInvCL!V1311</f>
        <v>2025</v>
      </c>
      <c r="J1311" s="5" t="str">
        <f>CASOPOInvCL!AB1311</f>
        <v>No Inv</v>
      </c>
      <c r="K1311" s="31" t="str">
        <f>CASOPOInvCL!W1311</f>
        <v/>
      </c>
      <c r="L1311" s="31" t="str">
        <f>CASOPOInvCL!X1311</f>
        <v/>
      </c>
      <c r="N1311" s="5" t="str">
        <f>CASOPOInvCL!AF1311</f>
        <v>Resolute Forest Products - Dolbeau</v>
      </c>
      <c r="O1311" s="16" t="str">
        <f>CASOPOInvCL!AG1311</f>
        <v>USD</v>
      </c>
      <c r="P1311" s="16">
        <f>CASOPOInvCL!AH1311</f>
        <v>10593.190849300185</v>
      </c>
      <c r="Q1311" s="16">
        <f>CASOPOInvCL!AI1311</f>
        <v>7695</v>
      </c>
      <c r="R1311" s="32" t="str">
        <f>CASOPOInvCL!AU1311</f>
        <v/>
      </c>
      <c r="S1311" s="16">
        <f>CASOPOInvCL!AV1311</f>
        <v>0</v>
      </c>
      <c r="T1311" s="16">
        <f>CASOPOInvCL!AW1311</f>
        <v>0</v>
      </c>
      <c r="Y1311" s="29" t="str">
        <f>IFERROR(HLOOKUP(U1311,List!$D$2:$H$6,2,FALSE),"")</f>
        <v/>
      </c>
      <c r="Z1311" s="29" t="str">
        <f>IFERROR(HLOOKUP(V1311,List!$D$2:$H$6,3,FALSE),"")</f>
        <v/>
      </c>
      <c r="AA1311" s="29" t="str">
        <f>IFERROR(HLOOKUP(W1311,List!$D$2:$H$6,4,FALSE),"")</f>
        <v/>
      </c>
      <c r="AB1311" s="29" t="str">
        <f>IFERROR(HLOOKUP(X1311,List!$D$2:$H$6,5,FALSE),"")</f>
        <v/>
      </c>
      <c r="AC1311" s="12" t="str">
        <f t="shared" si="305"/>
        <v/>
      </c>
      <c r="AD1311" s="12" t="str">
        <f t="shared" si="306"/>
        <v/>
      </c>
      <c r="AE1311" s="12" t="str">
        <f t="shared" si="307"/>
        <v/>
      </c>
      <c r="AF1311" s="12" t="str">
        <f t="shared" si="308"/>
        <v/>
      </c>
      <c r="AG1311" t="e">
        <f>VLOOKUP(J1311,'Receivable Invoice Detail'!$A$1:F4323,6,FALSE)</f>
        <v>#N/A</v>
      </c>
      <c r="AM1311" s="12" t="str">
        <f t="shared" si="309"/>
        <v/>
      </c>
      <c r="AN1311" s="12" t="str">
        <f t="shared" si="310"/>
        <v/>
      </c>
      <c r="AO1311" s="12" t="str">
        <f t="shared" si="311"/>
        <v/>
      </c>
      <c r="AP1311" s="12" t="str">
        <f t="shared" si="312"/>
        <v/>
      </c>
      <c r="AQ1311" s="64"/>
      <c r="AS1311" s="12">
        <f t="shared" si="304"/>
        <v>0</v>
      </c>
    </row>
    <row r="1312" spans="1:45" hidden="1" x14ac:dyDescent="0.25">
      <c r="A1312" s="41">
        <f>CASOPOInvCL!T1312</f>
        <v>2</v>
      </c>
      <c r="B1312" t="str">
        <f>CASOPOInvCL!Z1312</f>
        <v>SO18434</v>
      </c>
      <c r="G1312" s="5" t="str">
        <f>CASOPOInvCL!I1312</f>
        <v>Ian Trottier</v>
      </c>
      <c r="H1312" s="31">
        <f>CASOPOInvCL!U1312</f>
        <v>12</v>
      </c>
      <c r="I1312" s="31">
        <f>CASOPOInvCL!V1312</f>
        <v>2025</v>
      </c>
      <c r="J1312" s="5" t="str">
        <f>CASOPOInvCL!AB1312</f>
        <v>INV13837</v>
      </c>
      <c r="K1312" s="31" t="str">
        <f>CASOPOInvCL!W1312</f>
        <v/>
      </c>
      <c r="L1312" s="31" t="str">
        <f>CASOPOInvCL!X1312</f>
        <v/>
      </c>
      <c r="N1312" s="5" t="str">
        <f>CASOPOInvCL!AF1312</f>
        <v>Yossi Avisar Technologies Ltd.</v>
      </c>
      <c r="O1312" s="16" t="str">
        <f>CASOPOInvCL!AG1312</f>
        <v>USD</v>
      </c>
      <c r="P1312" s="16">
        <f>CASOPOInvCL!AH1312</f>
        <v>9008.3861051447602</v>
      </c>
      <c r="Q1312" s="16">
        <f>CASOPOInvCL!AI1312</f>
        <v>6584.64</v>
      </c>
      <c r="R1312" s="32" t="str">
        <f>CASOPOInvCL!AU1312</f>
        <v>Yes</v>
      </c>
      <c r="S1312" s="16">
        <f>CASOPOInvCL!AV1312</f>
        <v>0</v>
      </c>
      <c r="T1312" s="16">
        <f>CASOPOInvCL!AW1312</f>
        <v>6584.64</v>
      </c>
      <c r="Y1312" s="29" t="str">
        <f>IFERROR(HLOOKUP(U1312,List!$D$2:$H$6,2,FALSE),"")</f>
        <v/>
      </c>
      <c r="Z1312" s="29" t="str">
        <f>IFERROR(HLOOKUP(V1312,List!$D$2:$H$6,3,FALSE),"")</f>
        <v/>
      </c>
      <c r="AA1312" s="29" t="str">
        <f>IFERROR(HLOOKUP(W1312,List!$D$2:$H$6,4,FALSE),"")</f>
        <v/>
      </c>
      <c r="AB1312" s="29" t="str">
        <f>IFERROR(HLOOKUP(X1312,List!$D$2:$H$6,5,FALSE),"")</f>
        <v/>
      </c>
      <c r="AC1312" s="12" t="str">
        <f t="shared" si="305"/>
        <v/>
      </c>
      <c r="AD1312" s="12" t="str">
        <f t="shared" si="306"/>
        <v/>
      </c>
      <c r="AE1312" s="12" t="str">
        <f t="shared" si="307"/>
        <v/>
      </c>
      <c r="AF1312" s="12" t="str">
        <f t="shared" si="308"/>
        <v/>
      </c>
      <c r="AG1312" t="e">
        <f>VLOOKUP(J1312,'Receivable Invoice Detail'!$A$1:F4324,6,FALSE)</f>
        <v>#N/A</v>
      </c>
      <c r="AM1312" s="12" t="str">
        <f t="shared" si="309"/>
        <v/>
      </c>
      <c r="AN1312" s="12" t="str">
        <f t="shared" si="310"/>
        <v/>
      </c>
      <c r="AO1312" s="12" t="str">
        <f t="shared" si="311"/>
        <v/>
      </c>
      <c r="AP1312" s="12" t="str">
        <f t="shared" si="312"/>
        <v/>
      </c>
      <c r="AQ1312" s="64"/>
      <c r="AS1312" s="12">
        <f t="shared" si="304"/>
        <v>0</v>
      </c>
    </row>
    <row r="1313" spans="1:45" hidden="1" x14ac:dyDescent="0.25">
      <c r="A1313" s="41">
        <f>CASOPOInvCL!T1313</f>
        <v>2</v>
      </c>
      <c r="B1313" t="str">
        <f>CASOPOInvCL!Z1313</f>
        <v>SO18434</v>
      </c>
      <c r="G1313" s="5">
        <f>CASOPOInvCL!I1313</f>
        <v>0</v>
      </c>
      <c r="H1313" s="31">
        <f>CASOPOInvCL!U1313</f>
        <v>12</v>
      </c>
      <c r="I1313" s="31">
        <f>CASOPOInvCL!V1313</f>
        <v>2025</v>
      </c>
      <c r="J1313" s="5" t="str">
        <f>CASOPOInvCL!AB1313</f>
        <v>INV13812</v>
      </c>
      <c r="K1313" s="31">
        <f>CASOPOInvCL!W1313</f>
        <v>1</v>
      </c>
      <c r="L1313" s="31">
        <f>CASOPOInvCL!X1313</f>
        <v>2026</v>
      </c>
      <c r="N1313" s="5" t="str">
        <f>CASOPOInvCL!AF1313</f>
        <v>Yossi Avisar Technologies Ltd.</v>
      </c>
      <c r="O1313" s="16" t="str">
        <f>CASOPOInvCL!AG1313</f>
        <v>USD</v>
      </c>
      <c r="P1313" s="16">
        <f>CASOPOInvCL!AH1313</f>
        <v>0</v>
      </c>
      <c r="Q1313" s="16">
        <f>CASOPOInvCL!AI1313</f>
        <v>0</v>
      </c>
      <c r="R1313" s="32" t="str">
        <f>CASOPOInvCL!AU1313</f>
        <v/>
      </c>
      <c r="S1313" s="16">
        <f>CASOPOInvCL!AV1313</f>
        <v>0</v>
      </c>
      <c r="T1313" s="16">
        <f>CASOPOInvCL!AW1313</f>
        <v>0</v>
      </c>
      <c r="Y1313" s="29" t="str">
        <f>IFERROR(HLOOKUP(U1313,List!$D$2:$H$6,2,FALSE),"")</f>
        <v/>
      </c>
      <c r="Z1313" s="29" t="str">
        <f>IFERROR(HLOOKUP(V1313,List!$D$2:$H$6,3,FALSE),"")</f>
        <v/>
      </c>
      <c r="AA1313" s="29" t="str">
        <f>IFERROR(HLOOKUP(W1313,List!$D$2:$H$6,4,FALSE),"")</f>
        <v/>
      </c>
      <c r="AB1313" s="29" t="str">
        <f>IFERROR(HLOOKUP(X1313,List!$D$2:$H$6,5,FALSE),"")</f>
        <v/>
      </c>
      <c r="AC1313" s="12" t="str">
        <f t="shared" si="305"/>
        <v/>
      </c>
      <c r="AD1313" s="12" t="str">
        <f t="shared" si="306"/>
        <v/>
      </c>
      <c r="AE1313" s="12" t="str">
        <f t="shared" si="307"/>
        <v/>
      </c>
      <c r="AF1313" s="12" t="str">
        <f t="shared" si="308"/>
        <v/>
      </c>
      <c r="AG1313" t="str">
        <f>VLOOKUP(J1313,'Receivable Invoice Detail'!$A$1:F4325,6,FALSE)</f>
        <v>Impeller (Closed), 8x6-18 SRL-C, Neoprene</v>
      </c>
      <c r="AM1313" s="12" t="str">
        <f t="shared" si="309"/>
        <v/>
      </c>
      <c r="AN1313" s="12" t="str">
        <f t="shared" si="310"/>
        <v/>
      </c>
      <c r="AO1313" s="12" t="str">
        <f t="shared" si="311"/>
        <v/>
      </c>
      <c r="AP1313" s="12" t="str">
        <f t="shared" si="312"/>
        <v/>
      </c>
      <c r="AQ1313" s="64"/>
      <c r="AS1313" s="12">
        <f t="shared" si="304"/>
        <v>0</v>
      </c>
    </row>
    <row r="1314" spans="1:45" hidden="1" x14ac:dyDescent="0.25">
      <c r="A1314" s="41">
        <f>CASOPOInvCL!T1314</f>
        <v>0</v>
      </c>
      <c r="B1314" t="str">
        <f>CASOPOInvCL!Z1314</f>
        <v>SO18435</v>
      </c>
      <c r="G1314" s="5" t="str">
        <f>CASOPOInvCL!I1314</f>
        <v>Aleksandar Stankovic</v>
      </c>
      <c r="H1314" s="31">
        <f>CASOPOInvCL!U1314</f>
        <v>12</v>
      </c>
      <c r="I1314" s="31">
        <f>CASOPOInvCL!V1314</f>
        <v>2025</v>
      </c>
      <c r="J1314" s="5" t="str">
        <f>CASOPOInvCL!AB1314</f>
        <v>No Inv</v>
      </c>
      <c r="K1314" s="31" t="str">
        <f>CASOPOInvCL!W1314</f>
        <v/>
      </c>
      <c r="L1314" s="31" t="str">
        <f>CASOPOInvCL!X1314</f>
        <v/>
      </c>
      <c r="N1314" s="5" t="str">
        <f>CASOPOInvCL!AF1314</f>
        <v>Wajax Limited - Val D'Or, Wajax Limited - Val D'Or</v>
      </c>
      <c r="O1314" s="16" t="str">
        <f>CASOPOInvCL!AG1314</f>
        <v>CAD</v>
      </c>
      <c r="P1314" s="16">
        <f>CASOPOInvCL!AH1314</f>
        <v>498.96</v>
      </c>
      <c r="Q1314" s="16">
        <f>CASOPOInvCL!AI1314</f>
        <v>361.69447084817671</v>
      </c>
      <c r="R1314" s="32" t="str">
        <f>CASOPOInvCL!AU1314</f>
        <v/>
      </c>
      <c r="S1314" s="16">
        <f>CASOPOInvCL!AV1314</f>
        <v>0</v>
      </c>
      <c r="T1314" s="16">
        <f>CASOPOInvCL!AW1314</f>
        <v>0</v>
      </c>
      <c r="Y1314" s="29" t="str">
        <f>IFERROR(HLOOKUP(U1314,List!$D$2:$H$6,2,FALSE),"")</f>
        <v/>
      </c>
      <c r="Z1314" s="29" t="str">
        <f>IFERROR(HLOOKUP(V1314,List!$D$2:$H$6,3,FALSE),"")</f>
        <v/>
      </c>
      <c r="AA1314" s="29" t="str">
        <f>IFERROR(HLOOKUP(W1314,List!$D$2:$H$6,4,FALSE),"")</f>
        <v/>
      </c>
      <c r="AB1314" s="29" t="str">
        <f>IFERROR(HLOOKUP(X1314,List!$D$2:$H$6,5,FALSE),"")</f>
        <v/>
      </c>
      <c r="AC1314" s="12" t="str">
        <f t="shared" si="305"/>
        <v/>
      </c>
      <c r="AD1314" s="12" t="str">
        <f t="shared" si="306"/>
        <v/>
      </c>
      <c r="AE1314" s="12" t="str">
        <f t="shared" si="307"/>
        <v/>
      </c>
      <c r="AF1314" s="12" t="str">
        <f t="shared" si="308"/>
        <v/>
      </c>
      <c r="AG1314" t="e">
        <f>VLOOKUP(J1314,'Receivable Invoice Detail'!$A$1:F4326,6,FALSE)</f>
        <v>#N/A</v>
      </c>
      <c r="AM1314" s="12" t="str">
        <f t="shared" si="309"/>
        <v/>
      </c>
      <c r="AN1314" s="12" t="str">
        <f t="shared" si="310"/>
        <v/>
      </c>
      <c r="AO1314" s="12" t="str">
        <f t="shared" si="311"/>
        <v/>
      </c>
      <c r="AP1314" s="12" t="str">
        <f t="shared" si="312"/>
        <v/>
      </c>
      <c r="AQ1314" s="64"/>
      <c r="AS1314" s="12">
        <f t="shared" si="304"/>
        <v>0</v>
      </c>
    </row>
    <row r="1315" spans="1:45" hidden="1" x14ac:dyDescent="0.25">
      <c r="A1315" s="41">
        <f>CASOPOInvCL!T1315</f>
        <v>0</v>
      </c>
      <c r="B1315" t="str">
        <f>CASOPOInvCL!Z1315</f>
        <v>SO18436</v>
      </c>
      <c r="G1315" s="5" t="str">
        <f>CASOPOInvCL!I1315</f>
        <v>Ian Trottier</v>
      </c>
      <c r="H1315" s="31">
        <f>CASOPOInvCL!U1315</f>
        <v>12</v>
      </c>
      <c r="I1315" s="31">
        <f>CASOPOInvCL!V1315</f>
        <v>2025</v>
      </c>
      <c r="J1315" s="5" t="str">
        <f>CASOPOInvCL!AB1315</f>
        <v>No Inv</v>
      </c>
      <c r="K1315" s="31" t="str">
        <f>CASOPOInvCL!W1315</f>
        <v/>
      </c>
      <c r="L1315" s="31" t="str">
        <f>CASOPOInvCL!X1315</f>
        <v/>
      </c>
      <c r="N1315" s="5" t="str">
        <f>CASOPOInvCL!AF1315</f>
        <v>PT Vale Indonesia Tbk.</v>
      </c>
      <c r="O1315" s="16" t="str">
        <f>CASOPOInvCL!AG1315</f>
        <v>USD</v>
      </c>
      <c r="P1315" s="16">
        <f>CASOPOInvCL!AH1315</f>
        <v>1024.214943714014</v>
      </c>
      <c r="Q1315" s="16">
        <f>CASOPOInvCL!AI1315</f>
        <v>744</v>
      </c>
      <c r="R1315" s="32" t="str">
        <f>CASOPOInvCL!AU1315</f>
        <v/>
      </c>
      <c r="S1315" s="16">
        <f>CASOPOInvCL!AV1315</f>
        <v>0</v>
      </c>
      <c r="T1315" s="16">
        <f>CASOPOInvCL!AW1315</f>
        <v>0</v>
      </c>
      <c r="Y1315" s="29" t="str">
        <f>IFERROR(HLOOKUP(U1315,List!$D$2:$H$6,2,FALSE),"")</f>
        <v/>
      </c>
      <c r="Z1315" s="29" t="str">
        <f>IFERROR(HLOOKUP(V1315,List!$D$2:$H$6,3,FALSE),"")</f>
        <v/>
      </c>
      <c r="AA1315" s="29" t="str">
        <f>IFERROR(HLOOKUP(W1315,List!$D$2:$H$6,4,FALSE),"")</f>
        <v/>
      </c>
      <c r="AB1315" s="29" t="str">
        <f>IFERROR(HLOOKUP(X1315,List!$D$2:$H$6,5,FALSE),"")</f>
        <v/>
      </c>
      <c r="AC1315" s="12" t="str">
        <f t="shared" si="305"/>
        <v/>
      </c>
      <c r="AD1315" s="12" t="str">
        <f t="shared" si="306"/>
        <v/>
      </c>
      <c r="AE1315" s="12" t="str">
        <f t="shared" si="307"/>
        <v/>
      </c>
      <c r="AF1315" s="12" t="str">
        <f t="shared" si="308"/>
        <v/>
      </c>
      <c r="AG1315" t="e">
        <f>VLOOKUP(J1315,'Receivable Invoice Detail'!$A$1:F4327,6,FALSE)</f>
        <v>#N/A</v>
      </c>
      <c r="AM1315" s="12" t="str">
        <f t="shared" si="309"/>
        <v/>
      </c>
      <c r="AN1315" s="12" t="str">
        <f t="shared" si="310"/>
        <v/>
      </c>
      <c r="AO1315" s="12" t="str">
        <f t="shared" si="311"/>
        <v/>
      </c>
      <c r="AP1315" s="12" t="str">
        <f t="shared" si="312"/>
        <v/>
      </c>
      <c r="AQ1315" s="64"/>
      <c r="AS1315" s="12">
        <f t="shared" si="304"/>
        <v>0</v>
      </c>
    </row>
    <row r="1316" spans="1:45" hidden="1" x14ac:dyDescent="0.25">
      <c r="A1316" s="41">
        <f>CASOPOInvCL!T1316</f>
        <v>0</v>
      </c>
      <c r="B1316" t="str">
        <f>CASOPOInvCL!Z1316</f>
        <v>SO18437</v>
      </c>
      <c r="G1316" s="5" t="str">
        <f>CASOPOInvCL!I1316</f>
        <v>Ian Trottier</v>
      </c>
      <c r="H1316" s="31">
        <f>CASOPOInvCL!U1316</f>
        <v>12</v>
      </c>
      <c r="I1316" s="31">
        <f>CASOPOInvCL!V1316</f>
        <v>2025</v>
      </c>
      <c r="J1316" s="5" t="str">
        <f>CASOPOInvCL!AB1316</f>
        <v>No Inv</v>
      </c>
      <c r="K1316" s="31" t="str">
        <f>CASOPOInvCL!W1316</f>
        <v/>
      </c>
      <c r="L1316" s="31" t="str">
        <f>CASOPOInvCL!X1316</f>
        <v/>
      </c>
      <c r="N1316" s="5" t="str">
        <f>CASOPOInvCL!AF1316</f>
        <v>PT Vale Indonesia Tbk.</v>
      </c>
      <c r="O1316" s="16" t="str">
        <f>CASOPOInvCL!AG1316</f>
        <v>USD</v>
      </c>
      <c r="P1316" s="16">
        <f>CASOPOInvCL!AH1316</f>
        <v>1024.214943714014</v>
      </c>
      <c r="Q1316" s="16">
        <f>CASOPOInvCL!AI1316</f>
        <v>744</v>
      </c>
      <c r="R1316" s="32" t="str">
        <f>CASOPOInvCL!AU1316</f>
        <v/>
      </c>
      <c r="S1316" s="16">
        <f>CASOPOInvCL!AV1316</f>
        <v>0</v>
      </c>
      <c r="T1316" s="16">
        <f>CASOPOInvCL!AW1316</f>
        <v>0</v>
      </c>
      <c r="Y1316" s="29" t="str">
        <f>IFERROR(HLOOKUP(U1316,List!$D$2:$H$6,2,FALSE),"")</f>
        <v/>
      </c>
      <c r="Z1316" s="29" t="str">
        <f>IFERROR(HLOOKUP(V1316,List!$D$2:$H$6,3,FALSE),"")</f>
        <v/>
      </c>
      <c r="AA1316" s="29" t="str">
        <f>IFERROR(HLOOKUP(W1316,List!$D$2:$H$6,4,FALSE),"")</f>
        <v/>
      </c>
      <c r="AB1316" s="29" t="str">
        <f>IFERROR(HLOOKUP(X1316,List!$D$2:$H$6,5,FALSE),"")</f>
        <v/>
      </c>
      <c r="AC1316" s="12" t="str">
        <f t="shared" si="305"/>
        <v/>
      </c>
      <c r="AD1316" s="12" t="str">
        <f t="shared" si="306"/>
        <v/>
      </c>
      <c r="AE1316" s="12" t="str">
        <f t="shared" si="307"/>
        <v/>
      </c>
      <c r="AF1316" s="12" t="str">
        <f t="shared" si="308"/>
        <v/>
      </c>
      <c r="AG1316" t="e">
        <f>VLOOKUP(J1316,'Receivable Invoice Detail'!$A$1:F4328,6,FALSE)</f>
        <v>#N/A</v>
      </c>
      <c r="AM1316" s="12" t="str">
        <f t="shared" si="309"/>
        <v/>
      </c>
      <c r="AN1316" s="12" t="str">
        <f t="shared" si="310"/>
        <v/>
      </c>
      <c r="AO1316" s="12" t="str">
        <f t="shared" si="311"/>
        <v/>
      </c>
      <c r="AP1316" s="12" t="str">
        <f t="shared" si="312"/>
        <v/>
      </c>
      <c r="AQ1316" s="64"/>
      <c r="AS1316" s="12">
        <f t="shared" si="304"/>
        <v>0</v>
      </c>
    </row>
    <row r="1317" spans="1:45" hidden="1" x14ac:dyDescent="0.25">
      <c r="A1317" s="41">
        <f>CASOPOInvCL!T1317</f>
        <v>0</v>
      </c>
      <c r="B1317" t="str">
        <f>CASOPOInvCL!Z1317</f>
        <v>SO18440</v>
      </c>
      <c r="G1317" s="5" t="str">
        <f>CASOPOInvCL!I1317</f>
        <v>Wilka Nuñez</v>
      </c>
      <c r="H1317" s="31">
        <f>CASOPOInvCL!U1317</f>
        <v>12</v>
      </c>
      <c r="I1317" s="31">
        <f>CASOPOInvCL!V1317</f>
        <v>2025</v>
      </c>
      <c r="J1317" s="5" t="str">
        <f>CASOPOInvCL!AB1317</f>
        <v>No Inv</v>
      </c>
      <c r="K1317" s="31" t="str">
        <f>CASOPOInvCL!W1317</f>
        <v/>
      </c>
      <c r="L1317" s="31" t="str">
        <f>CASOPOInvCL!X1317</f>
        <v/>
      </c>
      <c r="N1317" s="5" t="str">
        <f>CASOPOInvCL!AF1317</f>
        <v>Motion Industries Inc. (U.S.) - Tucson</v>
      </c>
      <c r="O1317" s="16" t="str">
        <f>CASOPOInvCL!AG1317</f>
        <v>USD</v>
      </c>
      <c r="P1317" s="16">
        <f>CASOPOInvCL!AH1317</f>
        <v>3586.4461365362336</v>
      </c>
      <c r="Q1317" s="16">
        <f>CASOPOInvCL!AI1317</f>
        <v>2608.46</v>
      </c>
      <c r="R1317" s="32" t="str">
        <f>CASOPOInvCL!AU1317</f>
        <v/>
      </c>
      <c r="S1317" s="16">
        <f>CASOPOInvCL!AV1317</f>
        <v>0</v>
      </c>
      <c r="T1317" s="16">
        <f>CASOPOInvCL!AW1317</f>
        <v>0</v>
      </c>
      <c r="Y1317" s="29" t="str">
        <f>IFERROR(HLOOKUP(U1317,List!$D$2:$H$6,2,FALSE),"")</f>
        <v/>
      </c>
      <c r="Z1317" s="29" t="str">
        <f>IFERROR(HLOOKUP(V1317,List!$D$2:$H$6,3,FALSE),"")</f>
        <v/>
      </c>
      <c r="AA1317" s="29" t="str">
        <f>IFERROR(HLOOKUP(W1317,List!$D$2:$H$6,4,FALSE),"")</f>
        <v/>
      </c>
      <c r="AB1317" s="29" t="str">
        <f>IFERROR(HLOOKUP(X1317,List!$D$2:$H$6,5,FALSE),"")</f>
        <v/>
      </c>
      <c r="AC1317" s="12" t="str">
        <f t="shared" si="305"/>
        <v/>
      </c>
      <c r="AD1317" s="12" t="str">
        <f t="shared" si="306"/>
        <v/>
      </c>
      <c r="AE1317" s="12" t="str">
        <f t="shared" si="307"/>
        <v/>
      </c>
      <c r="AF1317" s="12" t="str">
        <f t="shared" si="308"/>
        <v/>
      </c>
      <c r="AG1317" t="e">
        <f>VLOOKUP(J1317,'Receivable Invoice Detail'!$A$1:F4329,6,FALSE)</f>
        <v>#N/A</v>
      </c>
      <c r="AM1317" s="12" t="str">
        <f t="shared" si="309"/>
        <v/>
      </c>
      <c r="AN1317" s="12" t="str">
        <f t="shared" si="310"/>
        <v/>
      </c>
      <c r="AO1317" s="12" t="str">
        <f t="shared" si="311"/>
        <v/>
      </c>
      <c r="AP1317" s="12" t="str">
        <f t="shared" si="312"/>
        <v/>
      </c>
      <c r="AQ1317" s="64"/>
      <c r="AS1317" s="12">
        <f t="shared" si="304"/>
        <v>0</v>
      </c>
    </row>
    <row r="1318" spans="1:45" hidden="1" x14ac:dyDescent="0.25">
      <c r="A1318" s="41">
        <f>CASOPOInvCL!T1318</f>
        <v>1</v>
      </c>
      <c r="B1318" t="str">
        <f>CASOPOInvCL!Z1318</f>
        <v>SO18444</v>
      </c>
      <c r="G1318" s="5" t="str">
        <f>CASOPOInvCL!I1318</f>
        <v>Ian Trottier</v>
      </c>
      <c r="H1318" s="31">
        <f>CASOPOInvCL!U1318</f>
        <v>12</v>
      </c>
      <c r="I1318" s="31">
        <f>CASOPOInvCL!V1318</f>
        <v>2025</v>
      </c>
      <c r="J1318" s="5" t="str">
        <f>CASOPOInvCL!AB1318</f>
        <v>INV13800</v>
      </c>
      <c r="K1318" s="31" t="str">
        <f>CASOPOInvCL!W1318</f>
        <v/>
      </c>
      <c r="L1318" s="31" t="str">
        <f>CASOPOInvCL!X1318</f>
        <v/>
      </c>
      <c r="N1318" s="5" t="str">
        <f>CASOPOInvCL!AF1318</f>
        <v>Cameco Corporation - Blind River Refinery</v>
      </c>
      <c r="O1318" s="16" t="str">
        <f>CASOPOInvCL!AG1318</f>
        <v>CAD</v>
      </c>
      <c r="P1318" s="16">
        <f>CASOPOInvCL!AH1318</f>
        <v>194.17</v>
      </c>
      <c r="Q1318" s="16">
        <f>CASOPOInvCL!AI1318</f>
        <v>140.75319745989748</v>
      </c>
      <c r="R1318" s="32" t="str">
        <f>CASOPOInvCL!AU1318</f>
        <v/>
      </c>
      <c r="S1318" s="16">
        <f>CASOPOInvCL!AV1318</f>
        <v>0</v>
      </c>
      <c r="T1318" s="16">
        <f>CASOPOInvCL!AW1318</f>
        <v>0</v>
      </c>
      <c r="Y1318" s="29" t="str">
        <f>IFERROR(HLOOKUP(U1318,List!$D$2:$H$6,2,FALSE),"")</f>
        <v/>
      </c>
      <c r="Z1318" s="29" t="str">
        <f>IFERROR(HLOOKUP(V1318,List!$D$2:$H$6,3,FALSE),"")</f>
        <v/>
      </c>
      <c r="AA1318" s="29" t="str">
        <f>IFERROR(HLOOKUP(W1318,List!$D$2:$H$6,4,FALSE),"")</f>
        <v/>
      </c>
      <c r="AB1318" s="29" t="str">
        <f>IFERROR(HLOOKUP(X1318,List!$D$2:$H$6,5,FALSE),"")</f>
        <v/>
      </c>
      <c r="AC1318" s="12" t="str">
        <f t="shared" si="305"/>
        <v/>
      </c>
      <c r="AD1318" s="12" t="str">
        <f t="shared" si="306"/>
        <v/>
      </c>
      <c r="AE1318" s="12" t="str">
        <f t="shared" si="307"/>
        <v/>
      </c>
      <c r="AF1318" s="12" t="str">
        <f t="shared" si="308"/>
        <v/>
      </c>
      <c r="AG1318" t="str">
        <f>VLOOKUP(J1318,'Receivable Invoice Detail'!$A$1:F4330,6,FALSE)</f>
        <v>[G-76782 1013] Adapter Ring, 3196 STX, 8" Pumps, Cast Iron</v>
      </c>
      <c r="AM1318" s="12" t="str">
        <f t="shared" si="309"/>
        <v/>
      </c>
      <c r="AN1318" s="12" t="str">
        <f t="shared" si="310"/>
        <v/>
      </c>
      <c r="AO1318" s="12" t="str">
        <f t="shared" si="311"/>
        <v/>
      </c>
      <c r="AP1318" s="12" t="str">
        <f t="shared" si="312"/>
        <v/>
      </c>
      <c r="AQ1318" s="64"/>
      <c r="AS1318" s="12">
        <f t="shared" si="304"/>
        <v>0</v>
      </c>
    </row>
    <row r="1319" spans="1:45" hidden="1" x14ac:dyDescent="0.25">
      <c r="A1319" s="41">
        <f>CASOPOInvCL!T1319</f>
        <v>1</v>
      </c>
      <c r="B1319" t="str">
        <f>CASOPOInvCL!Z1319</f>
        <v>SO18445</v>
      </c>
      <c r="G1319" s="5" t="str">
        <f>CASOPOInvCL!I1319</f>
        <v>Wilka Nuñez</v>
      </c>
      <c r="H1319" s="31">
        <f>CASOPOInvCL!U1319</f>
        <v>12</v>
      </c>
      <c r="I1319" s="31">
        <f>CASOPOInvCL!V1319</f>
        <v>2025</v>
      </c>
      <c r="J1319" s="5" t="str">
        <f>CASOPOInvCL!AB1319</f>
        <v>INV13809</v>
      </c>
      <c r="K1319" s="31" t="str">
        <f>CASOPOInvCL!W1319</f>
        <v/>
      </c>
      <c r="L1319" s="31" t="str">
        <f>CASOPOInvCL!X1319</f>
        <v/>
      </c>
      <c r="N1319" s="5" t="str">
        <f>CASOPOInvCL!AF1319</f>
        <v>Sling-Choker Manufacturing - Timmins</v>
      </c>
      <c r="O1319" s="16" t="str">
        <f>CASOPOInvCL!AG1319</f>
        <v>CAD</v>
      </c>
      <c r="P1319" s="16">
        <f>CASOPOInvCL!AH1319</f>
        <v>13758.59</v>
      </c>
      <c r="Q1319" s="16">
        <f>CASOPOInvCL!AI1319</f>
        <v>10009.682176816596</v>
      </c>
      <c r="R1319" s="32" t="str">
        <f>CASOPOInvCL!AU1319</f>
        <v/>
      </c>
      <c r="S1319" s="16">
        <f>CASOPOInvCL!AV1319</f>
        <v>0</v>
      </c>
      <c r="T1319" s="16">
        <f>CASOPOInvCL!AW1319</f>
        <v>0</v>
      </c>
      <c r="Y1319" s="29" t="str">
        <f>IFERROR(HLOOKUP(U1319,List!$D$2:$H$6,2,FALSE),"")</f>
        <v/>
      </c>
      <c r="Z1319" s="29" t="str">
        <f>IFERROR(HLOOKUP(V1319,List!$D$2:$H$6,3,FALSE),"")</f>
        <v/>
      </c>
      <c r="AA1319" s="29" t="str">
        <f>IFERROR(HLOOKUP(W1319,List!$D$2:$H$6,4,FALSE),"")</f>
        <v/>
      </c>
      <c r="AB1319" s="29" t="str">
        <f>IFERROR(HLOOKUP(X1319,List!$D$2:$H$6,5,FALSE),"")</f>
        <v/>
      </c>
      <c r="AC1319" s="12" t="str">
        <f t="shared" si="305"/>
        <v/>
      </c>
      <c r="AD1319" s="12" t="str">
        <f t="shared" si="306"/>
        <v/>
      </c>
      <c r="AE1319" s="12" t="str">
        <f t="shared" si="307"/>
        <v/>
      </c>
      <c r="AF1319" s="12" t="str">
        <f t="shared" si="308"/>
        <v/>
      </c>
      <c r="AG1319" t="str">
        <f>VLOOKUP(J1319,'Receivable Invoice Detail'!$A$1:F4331,6,FALSE)</f>
        <v>[AC-98-130-364-006] Bearing Cover Gasket (Inboard), 12x10-25 SRL-C</v>
      </c>
      <c r="AM1319" s="12" t="str">
        <f t="shared" si="309"/>
        <v/>
      </c>
      <c r="AN1319" s="12" t="str">
        <f t="shared" si="310"/>
        <v/>
      </c>
      <c r="AO1319" s="12" t="str">
        <f t="shared" si="311"/>
        <v/>
      </c>
      <c r="AP1319" s="12" t="str">
        <f t="shared" si="312"/>
        <v/>
      </c>
      <c r="AQ1319" s="64"/>
      <c r="AS1319" s="12">
        <f t="shared" si="304"/>
        <v>98.769599999999997</v>
      </c>
    </row>
    <row r="1320" spans="1:45" hidden="1" x14ac:dyDescent="0.25">
      <c r="A1320" s="41">
        <f>CASOPOInvCL!T1320</f>
        <v>0</v>
      </c>
      <c r="B1320" t="str">
        <f>CASOPOInvCL!Z1320</f>
        <v>SO18446</v>
      </c>
      <c r="G1320" s="5" t="str">
        <f>CASOPOInvCL!I1320</f>
        <v>Ian Trottier</v>
      </c>
      <c r="H1320" s="31">
        <f>CASOPOInvCL!U1320</f>
        <v>12</v>
      </c>
      <c r="I1320" s="31">
        <f>CASOPOInvCL!V1320</f>
        <v>2025</v>
      </c>
      <c r="J1320" s="5" t="str">
        <f>CASOPOInvCL!AB1320</f>
        <v>No Inv</v>
      </c>
      <c r="K1320" s="31" t="str">
        <f>CASOPOInvCL!W1320</f>
        <v/>
      </c>
      <c r="L1320" s="31" t="str">
        <f>CASOPOInvCL!X1320</f>
        <v/>
      </c>
      <c r="N1320" s="5" t="str">
        <f>CASOPOInvCL!AF1320</f>
        <v>Resolute Forest Products - Saint-Felicien</v>
      </c>
      <c r="O1320" s="16" t="str">
        <f>CASOPOInvCL!AG1320</f>
        <v>CAD</v>
      </c>
      <c r="P1320" s="16">
        <f>CASOPOInvCL!AH1320</f>
        <v>1297.19</v>
      </c>
      <c r="Q1320" s="16">
        <f>CASOPOInvCL!AI1320</f>
        <v>943.7347593717609</v>
      </c>
      <c r="R1320" s="32" t="str">
        <f>CASOPOInvCL!AU1320</f>
        <v/>
      </c>
      <c r="S1320" s="16">
        <f>CASOPOInvCL!AV1320</f>
        <v>0</v>
      </c>
      <c r="T1320" s="16">
        <f>CASOPOInvCL!AW1320</f>
        <v>0</v>
      </c>
      <c r="Y1320" s="29" t="str">
        <f>IFERROR(HLOOKUP(U1320,List!$D$2:$H$6,2,FALSE),"")</f>
        <v/>
      </c>
      <c r="Z1320" s="29" t="str">
        <f>IFERROR(HLOOKUP(V1320,List!$D$2:$H$6,3,FALSE),"")</f>
        <v/>
      </c>
      <c r="AA1320" s="29" t="str">
        <f>IFERROR(HLOOKUP(W1320,List!$D$2:$H$6,4,FALSE),"")</f>
        <v/>
      </c>
      <c r="AB1320" s="29" t="str">
        <f>IFERROR(HLOOKUP(X1320,List!$D$2:$H$6,5,FALSE),"")</f>
        <v/>
      </c>
      <c r="AC1320" s="12" t="str">
        <f t="shared" si="305"/>
        <v/>
      </c>
      <c r="AD1320" s="12" t="str">
        <f t="shared" si="306"/>
        <v/>
      </c>
      <c r="AE1320" s="12" t="str">
        <f t="shared" si="307"/>
        <v/>
      </c>
      <c r="AF1320" s="12" t="str">
        <f t="shared" si="308"/>
        <v/>
      </c>
      <c r="AG1320" t="e">
        <f>VLOOKUP(J1320,'Receivable Invoice Detail'!$A$1:F4332,6,FALSE)</f>
        <v>#N/A</v>
      </c>
      <c r="AM1320" s="12" t="str">
        <f t="shared" si="309"/>
        <v/>
      </c>
      <c r="AN1320" s="12" t="str">
        <f t="shared" si="310"/>
        <v/>
      </c>
      <c r="AO1320" s="12" t="str">
        <f t="shared" si="311"/>
        <v/>
      </c>
      <c r="AP1320" s="12" t="str">
        <f t="shared" si="312"/>
        <v/>
      </c>
      <c r="AQ1320" s="64"/>
      <c r="AS1320" s="12">
        <f t="shared" si="304"/>
        <v>0</v>
      </c>
    </row>
    <row r="1321" spans="1:45" hidden="1" x14ac:dyDescent="0.25">
      <c r="A1321" s="41">
        <f>CASOPOInvCL!T1321</f>
        <v>1</v>
      </c>
      <c r="B1321" t="str">
        <f>CASOPOInvCL!Z1321</f>
        <v>SO18452</v>
      </c>
      <c r="G1321" s="5" t="str">
        <f>CASOPOInvCL!I1321</f>
        <v>Aleksandar Stankovic</v>
      </c>
      <c r="H1321" s="31">
        <f>CASOPOInvCL!U1321</f>
        <v>12</v>
      </c>
      <c r="I1321" s="31">
        <f>CASOPOInvCL!V1321</f>
        <v>2025</v>
      </c>
      <c r="J1321" s="5" t="str">
        <f>CASOPOInvCL!AB1321</f>
        <v>INV13798</v>
      </c>
      <c r="K1321" s="31" t="str">
        <f>CASOPOInvCL!W1321</f>
        <v/>
      </c>
      <c r="L1321" s="31" t="str">
        <f>CASOPOInvCL!X1321</f>
        <v/>
      </c>
      <c r="N1321" s="5" t="str">
        <f>CASOPOInvCL!AF1321</f>
        <v>Hyperflo</v>
      </c>
      <c r="O1321" s="16" t="str">
        <f>CASOPOInvCL!AG1321</f>
        <v>CAD</v>
      </c>
      <c r="P1321" s="16">
        <f>CASOPOInvCL!AH1321</f>
        <v>172.58</v>
      </c>
      <c r="Q1321" s="16">
        <f>CASOPOInvCL!AI1321</f>
        <v>125.22107465241943</v>
      </c>
      <c r="R1321" s="32" t="str">
        <f>CASOPOInvCL!AU1321</f>
        <v/>
      </c>
      <c r="S1321" s="16">
        <f>CASOPOInvCL!AV1321</f>
        <v>0</v>
      </c>
      <c r="T1321" s="16">
        <f>CASOPOInvCL!AW1321</f>
        <v>0</v>
      </c>
      <c r="Y1321" s="29" t="str">
        <f>IFERROR(HLOOKUP(U1321,List!$D$2:$H$6,2,FALSE),"")</f>
        <v/>
      </c>
      <c r="Z1321" s="29" t="str">
        <f>IFERROR(HLOOKUP(V1321,List!$D$2:$H$6,3,FALSE),"")</f>
        <v/>
      </c>
      <c r="AA1321" s="29" t="str">
        <f>IFERROR(HLOOKUP(W1321,List!$D$2:$H$6,4,FALSE),"")</f>
        <v/>
      </c>
      <c r="AB1321" s="29" t="str">
        <f>IFERROR(HLOOKUP(X1321,List!$D$2:$H$6,5,FALSE),"")</f>
        <v/>
      </c>
      <c r="AC1321" s="12" t="str">
        <f t="shared" si="305"/>
        <v/>
      </c>
      <c r="AD1321" s="12" t="str">
        <f t="shared" si="306"/>
        <v/>
      </c>
      <c r="AE1321" s="12" t="str">
        <f t="shared" si="307"/>
        <v/>
      </c>
      <c r="AF1321" s="12" t="str">
        <f t="shared" si="308"/>
        <v/>
      </c>
      <c r="AG1321" t="str">
        <f>VLOOKUP(J1321,'Receivable Invoice Detail'!$A$1:F4333,6,FALSE)</f>
        <v>[AC-98-332-015-804] Fastener Kit (Casing Side Plate), 10x8-21 SRL-C</v>
      </c>
      <c r="AM1321" s="12" t="str">
        <f t="shared" si="309"/>
        <v/>
      </c>
      <c r="AN1321" s="12" t="str">
        <f t="shared" si="310"/>
        <v/>
      </c>
      <c r="AO1321" s="12" t="str">
        <f t="shared" si="311"/>
        <v/>
      </c>
      <c r="AP1321" s="12" t="str">
        <f t="shared" si="312"/>
        <v/>
      </c>
      <c r="AQ1321" s="64"/>
      <c r="AS1321" s="12">
        <f t="shared" si="304"/>
        <v>0</v>
      </c>
    </row>
    <row r="1322" spans="1:45" hidden="1" x14ac:dyDescent="0.25">
      <c r="A1322" s="41">
        <f>CASOPOInvCL!T1322</f>
        <v>0</v>
      </c>
      <c r="B1322" t="str">
        <f>CASOPOInvCL!Z1322</f>
        <v>SO18453</v>
      </c>
      <c r="G1322" s="5" t="str">
        <f>CASOPOInvCL!I1322</f>
        <v>Wilka Nuñez</v>
      </c>
      <c r="H1322" s="31">
        <f>CASOPOInvCL!U1322</f>
        <v>12</v>
      </c>
      <c r="I1322" s="31">
        <f>CASOPOInvCL!V1322</f>
        <v>2025</v>
      </c>
      <c r="J1322" s="5" t="str">
        <f>CASOPOInvCL!AB1322</f>
        <v>No Inv</v>
      </c>
      <c r="K1322" s="31" t="str">
        <f>CASOPOInvCL!W1322</f>
        <v/>
      </c>
      <c r="L1322" s="31" t="str">
        <f>CASOPOInvCL!X1322</f>
        <v/>
      </c>
      <c r="N1322" s="5" t="str">
        <f>CASOPOInvCL!AF1322</f>
        <v>Canadian Bearings Ltd.</v>
      </c>
      <c r="O1322" s="16" t="str">
        <f>CASOPOInvCL!AG1322</f>
        <v>CAD</v>
      </c>
      <c r="P1322" s="16">
        <f>CASOPOInvCL!AH1322</f>
        <v>91.9</v>
      </c>
      <c r="Q1322" s="16">
        <f>CASOPOInvCL!AI1322</f>
        <v>67.16511513913261</v>
      </c>
      <c r="R1322" s="32" t="str">
        <f>CASOPOInvCL!AU1322</f>
        <v/>
      </c>
      <c r="S1322" s="16">
        <f>CASOPOInvCL!AV1322</f>
        <v>0</v>
      </c>
      <c r="T1322" s="16">
        <f>CASOPOInvCL!AW1322</f>
        <v>0</v>
      </c>
      <c r="Y1322" s="29" t="str">
        <f>IFERROR(HLOOKUP(U1322,List!$D$2:$H$6,2,FALSE),"")</f>
        <v/>
      </c>
      <c r="Z1322" s="29" t="str">
        <f>IFERROR(HLOOKUP(V1322,List!$D$2:$H$6,3,FALSE),"")</f>
        <v/>
      </c>
      <c r="AA1322" s="29" t="str">
        <f>IFERROR(HLOOKUP(W1322,List!$D$2:$H$6,4,FALSE),"")</f>
        <v/>
      </c>
      <c r="AB1322" s="29" t="str">
        <f>IFERROR(HLOOKUP(X1322,List!$D$2:$H$6,5,FALSE),"")</f>
        <v/>
      </c>
      <c r="AC1322" s="12" t="str">
        <f t="shared" si="305"/>
        <v/>
      </c>
      <c r="AD1322" s="12" t="str">
        <f t="shared" si="306"/>
        <v/>
      </c>
      <c r="AE1322" s="12" t="str">
        <f t="shared" si="307"/>
        <v/>
      </c>
      <c r="AF1322" s="12" t="str">
        <f t="shared" si="308"/>
        <v/>
      </c>
      <c r="AG1322" t="e">
        <f>VLOOKUP(J1322,'Receivable Invoice Detail'!$A$1:F4334,6,FALSE)</f>
        <v>#N/A</v>
      </c>
      <c r="AM1322" s="12" t="str">
        <f t="shared" si="309"/>
        <v/>
      </c>
      <c r="AN1322" s="12" t="str">
        <f t="shared" si="310"/>
        <v/>
      </c>
      <c r="AO1322" s="12" t="str">
        <f t="shared" si="311"/>
        <v/>
      </c>
      <c r="AP1322" s="12" t="str">
        <f t="shared" si="312"/>
        <v/>
      </c>
      <c r="AQ1322" s="64"/>
      <c r="AS1322" s="12">
        <f t="shared" si="304"/>
        <v>0</v>
      </c>
    </row>
    <row r="1323" spans="1:45" hidden="1" x14ac:dyDescent="0.25">
      <c r="A1323" s="41">
        <f>CASOPOInvCL!T1323</f>
        <v>0</v>
      </c>
      <c r="B1323" t="str">
        <f>CASOPOInvCL!Z1323</f>
        <v>SO18454</v>
      </c>
      <c r="G1323" s="5" t="str">
        <f>CASOPOInvCL!I1323</f>
        <v>Wilka Nuñez</v>
      </c>
      <c r="H1323" s="31">
        <f>CASOPOInvCL!U1323</f>
        <v>12</v>
      </c>
      <c r="I1323" s="31">
        <f>CASOPOInvCL!V1323</f>
        <v>2025</v>
      </c>
      <c r="J1323" s="5" t="str">
        <f>CASOPOInvCL!AB1323</f>
        <v>No Inv</v>
      </c>
      <c r="K1323" s="31" t="str">
        <f>CASOPOInvCL!W1323</f>
        <v/>
      </c>
      <c r="L1323" s="31" t="str">
        <f>CASOPOInvCL!X1323</f>
        <v/>
      </c>
      <c r="N1323" s="5" t="str">
        <f>CASOPOInvCL!AF1323</f>
        <v>Barrick Gold - Pueblo Viejo Dominicana Corporation</v>
      </c>
      <c r="O1323" s="16" t="str">
        <f>CASOPOInvCL!AG1323</f>
        <v>USD</v>
      </c>
      <c r="P1323" s="16">
        <f>CASOPOInvCL!AH1323</f>
        <v>8952.4476512088841</v>
      </c>
      <c r="Q1323" s="16">
        <f>CASOPOInvCL!AI1323</f>
        <v>6489.6</v>
      </c>
      <c r="R1323" s="32" t="str">
        <f>CASOPOInvCL!AU1323</f>
        <v/>
      </c>
      <c r="S1323" s="16">
        <f>CASOPOInvCL!AV1323</f>
        <v>0</v>
      </c>
      <c r="T1323" s="16">
        <f>CASOPOInvCL!AW1323</f>
        <v>0</v>
      </c>
      <c r="Y1323" s="29" t="str">
        <f>IFERROR(HLOOKUP(U1323,List!$D$2:$H$6,2,FALSE),"")</f>
        <v/>
      </c>
      <c r="Z1323" s="29" t="str">
        <f>IFERROR(HLOOKUP(V1323,List!$D$2:$H$6,3,FALSE),"")</f>
        <v/>
      </c>
      <c r="AA1323" s="29" t="str">
        <f>IFERROR(HLOOKUP(W1323,List!$D$2:$H$6,4,FALSE),"")</f>
        <v/>
      </c>
      <c r="AB1323" s="29" t="str">
        <f>IFERROR(HLOOKUP(X1323,List!$D$2:$H$6,5,FALSE),"")</f>
        <v/>
      </c>
      <c r="AC1323" s="12" t="str">
        <f t="shared" si="305"/>
        <v/>
      </c>
      <c r="AD1323" s="12" t="str">
        <f t="shared" si="306"/>
        <v/>
      </c>
      <c r="AE1323" s="12" t="str">
        <f t="shared" si="307"/>
        <v/>
      </c>
      <c r="AF1323" s="12" t="str">
        <f t="shared" si="308"/>
        <v/>
      </c>
      <c r="AG1323" t="e">
        <f>VLOOKUP(J1323,'Receivable Invoice Detail'!$A$1:F4335,6,FALSE)</f>
        <v>#N/A</v>
      </c>
      <c r="AM1323" s="12" t="str">
        <f t="shared" si="309"/>
        <v/>
      </c>
      <c r="AN1323" s="12" t="str">
        <f t="shared" si="310"/>
        <v/>
      </c>
      <c r="AO1323" s="12" t="str">
        <f t="shared" si="311"/>
        <v/>
      </c>
      <c r="AP1323" s="12" t="str">
        <f t="shared" si="312"/>
        <v/>
      </c>
      <c r="AQ1323" s="64"/>
      <c r="AS1323" s="12">
        <f t="shared" si="304"/>
        <v>0</v>
      </c>
    </row>
    <row r="1324" spans="1:45" hidden="1" x14ac:dyDescent="0.25">
      <c r="A1324" s="41">
        <f>CASOPOInvCL!T1324</f>
        <v>0</v>
      </c>
      <c r="B1324" t="str">
        <f>CASOPOInvCL!Z1324</f>
        <v>SO18455</v>
      </c>
      <c r="G1324" s="5" t="str">
        <f>CASOPOInvCL!I1324</f>
        <v>Aleksandar Stankovic</v>
      </c>
      <c r="H1324" s="31">
        <f>CASOPOInvCL!U1324</f>
        <v>12</v>
      </c>
      <c r="I1324" s="31">
        <f>CASOPOInvCL!V1324</f>
        <v>2025</v>
      </c>
      <c r="J1324" s="5" t="str">
        <f>CASOPOInvCL!AB1324</f>
        <v>No Inv</v>
      </c>
      <c r="K1324" s="31" t="str">
        <f>CASOPOInvCL!W1324</f>
        <v/>
      </c>
      <c r="L1324" s="31" t="str">
        <f>CASOPOInvCL!X1324</f>
        <v/>
      </c>
      <c r="N1324" s="5" t="str">
        <f>CASOPOInvCL!AF1324</f>
        <v>Motion Industries Inc. (Canada) - Prince George</v>
      </c>
      <c r="O1324" s="16" t="str">
        <f>CASOPOInvCL!AG1324</f>
        <v>CAD</v>
      </c>
      <c r="P1324" s="16">
        <f>CASOPOInvCL!AH1324</f>
        <v>8905.86</v>
      </c>
      <c r="Q1324" s="16">
        <f>CASOPOInvCL!AI1324</f>
        <v>6494.7087889128088</v>
      </c>
      <c r="R1324" s="32" t="str">
        <f>CASOPOInvCL!AU1324</f>
        <v/>
      </c>
      <c r="S1324" s="16">
        <f>CASOPOInvCL!AV1324</f>
        <v>0</v>
      </c>
      <c r="T1324" s="16">
        <f>CASOPOInvCL!AW1324</f>
        <v>0</v>
      </c>
      <c r="Y1324" s="29" t="str">
        <f>IFERROR(HLOOKUP(U1324,List!$D$2:$H$6,2,FALSE),"")</f>
        <v/>
      </c>
      <c r="Z1324" s="29" t="str">
        <f>IFERROR(HLOOKUP(V1324,List!$D$2:$H$6,3,FALSE),"")</f>
        <v/>
      </c>
      <c r="AA1324" s="29" t="str">
        <f>IFERROR(HLOOKUP(W1324,List!$D$2:$H$6,4,FALSE),"")</f>
        <v/>
      </c>
      <c r="AB1324" s="29" t="str">
        <f>IFERROR(HLOOKUP(X1324,List!$D$2:$H$6,5,FALSE),"")</f>
        <v/>
      </c>
      <c r="AC1324" s="12" t="str">
        <f t="shared" si="305"/>
        <v/>
      </c>
      <c r="AD1324" s="12" t="str">
        <f t="shared" si="306"/>
        <v/>
      </c>
      <c r="AE1324" s="12" t="str">
        <f t="shared" si="307"/>
        <v/>
      </c>
      <c r="AF1324" s="12" t="str">
        <f t="shared" si="308"/>
        <v/>
      </c>
      <c r="AG1324" t="e">
        <f>VLOOKUP(J1324,'Receivable Invoice Detail'!$A$1:F4336,6,FALSE)</f>
        <v>#N/A</v>
      </c>
      <c r="AM1324" s="12" t="str">
        <f t="shared" si="309"/>
        <v/>
      </c>
      <c r="AN1324" s="12" t="str">
        <f t="shared" si="310"/>
        <v/>
      </c>
      <c r="AO1324" s="12" t="str">
        <f t="shared" si="311"/>
        <v/>
      </c>
      <c r="AP1324" s="12" t="str">
        <f t="shared" si="312"/>
        <v/>
      </c>
      <c r="AQ1324" s="64"/>
      <c r="AS1324" s="12">
        <f t="shared" si="304"/>
        <v>0</v>
      </c>
    </row>
    <row r="1325" spans="1:45" hidden="1" x14ac:dyDescent="0.25">
      <c r="A1325" s="41">
        <f>CASOPOInvCL!T1325</f>
        <v>0</v>
      </c>
      <c r="B1325" t="str">
        <f>CASOPOInvCL!Z1325</f>
        <v>SO18456</v>
      </c>
      <c r="G1325" s="5" t="str">
        <f>CASOPOInvCL!I1325</f>
        <v>Yannett Yeomans</v>
      </c>
      <c r="H1325" s="31">
        <f>CASOPOInvCL!U1325</f>
        <v>12</v>
      </c>
      <c r="I1325" s="31">
        <f>CASOPOInvCL!V1325</f>
        <v>2025</v>
      </c>
      <c r="J1325" s="5" t="str">
        <f>CASOPOInvCL!AB1325</f>
        <v>No Inv</v>
      </c>
      <c r="K1325" s="31" t="str">
        <f>CASOPOInvCL!W1325</f>
        <v/>
      </c>
      <c r="L1325" s="31" t="str">
        <f>CASOPOInvCL!X1325</f>
        <v/>
      </c>
      <c r="N1325" s="5" t="str">
        <f>CASOPOInvCL!AF1325</f>
        <v>Dynapro Pumps México S de RL de CV</v>
      </c>
      <c r="O1325" s="16" t="str">
        <f>CASOPOInvCL!AG1325</f>
        <v>USD</v>
      </c>
      <c r="P1325" s="16">
        <f>CASOPOInvCL!AH1325</f>
        <v>27590.136992137832</v>
      </c>
      <c r="Q1325" s="16">
        <f>CASOPOInvCL!AI1325</f>
        <v>20000</v>
      </c>
      <c r="R1325" s="32" t="str">
        <f>CASOPOInvCL!AU1325</f>
        <v/>
      </c>
      <c r="S1325" s="16">
        <f>CASOPOInvCL!AV1325</f>
        <v>0</v>
      </c>
      <c r="T1325" s="16">
        <f>CASOPOInvCL!AW1325</f>
        <v>0</v>
      </c>
      <c r="Y1325" s="29" t="str">
        <f>IFERROR(HLOOKUP(U1325,List!$D$2:$H$6,2,FALSE),"")</f>
        <v/>
      </c>
      <c r="Z1325" s="29" t="str">
        <f>IFERROR(HLOOKUP(V1325,List!$D$2:$H$6,3,FALSE),"")</f>
        <v/>
      </c>
      <c r="AA1325" s="29" t="str">
        <f>IFERROR(HLOOKUP(W1325,List!$D$2:$H$6,4,FALSE),"")</f>
        <v/>
      </c>
      <c r="AB1325" s="29" t="str">
        <f>IFERROR(HLOOKUP(X1325,List!$D$2:$H$6,5,FALSE),"")</f>
        <v/>
      </c>
      <c r="AC1325" s="12" t="str">
        <f t="shared" si="305"/>
        <v/>
      </c>
      <c r="AD1325" s="12" t="str">
        <f t="shared" si="306"/>
        <v/>
      </c>
      <c r="AE1325" s="12" t="str">
        <f t="shared" si="307"/>
        <v/>
      </c>
      <c r="AF1325" s="12" t="str">
        <f t="shared" si="308"/>
        <v/>
      </c>
      <c r="AG1325" t="e">
        <f>VLOOKUP(J1325,'Receivable Invoice Detail'!$A$1:F4337,6,FALSE)</f>
        <v>#N/A</v>
      </c>
      <c r="AM1325" s="12" t="str">
        <f t="shared" si="309"/>
        <v/>
      </c>
      <c r="AN1325" s="12" t="str">
        <f t="shared" si="310"/>
        <v/>
      </c>
      <c r="AO1325" s="12" t="str">
        <f t="shared" si="311"/>
        <v/>
      </c>
      <c r="AP1325" s="12" t="str">
        <f t="shared" si="312"/>
        <v/>
      </c>
      <c r="AQ1325" s="64"/>
      <c r="AS1325" s="12">
        <f t="shared" si="304"/>
        <v>0</v>
      </c>
    </row>
    <row r="1326" spans="1:45" hidden="1" x14ac:dyDescent="0.25">
      <c r="A1326" s="41">
        <f>CASOPOInvCL!T1326</f>
        <v>0</v>
      </c>
      <c r="B1326" t="str">
        <f>CASOPOInvCL!Z1326</f>
        <v>SO18460</v>
      </c>
      <c r="G1326" s="5" t="str">
        <f>CASOPOInvCL!I1326</f>
        <v>Aleksandar Stankovic</v>
      </c>
      <c r="H1326" s="31">
        <f>CASOPOInvCL!U1326</f>
        <v>12</v>
      </c>
      <c r="I1326" s="31">
        <f>CASOPOInvCL!V1326</f>
        <v>2025</v>
      </c>
      <c r="J1326" s="5" t="str">
        <f>CASOPOInvCL!AB1326</f>
        <v>No Inv</v>
      </c>
      <c r="K1326" s="31" t="str">
        <f>CASOPOInvCL!W1326</f>
        <v/>
      </c>
      <c r="L1326" s="31" t="str">
        <f>CASOPOInvCL!X1326</f>
        <v/>
      </c>
      <c r="N1326" s="5" t="str">
        <f>CASOPOInvCL!AF1326</f>
        <v>Tech-Flow</v>
      </c>
      <c r="O1326" s="16" t="str">
        <f>CASOPOInvCL!AG1326</f>
        <v>USD</v>
      </c>
      <c r="P1326" s="16">
        <f>CASOPOInvCL!AH1326</f>
        <v>20404.087089963836</v>
      </c>
      <c r="Q1326" s="16">
        <f>CASOPOInvCL!AI1326</f>
        <v>14790</v>
      </c>
      <c r="R1326" s="32" t="str">
        <f>CASOPOInvCL!AU1326</f>
        <v/>
      </c>
      <c r="S1326" s="16">
        <f>CASOPOInvCL!AV1326</f>
        <v>0</v>
      </c>
      <c r="T1326" s="16">
        <f>CASOPOInvCL!AW1326</f>
        <v>0</v>
      </c>
      <c r="Y1326" s="29" t="str">
        <f>IFERROR(HLOOKUP(U1326,List!$D$2:$H$6,2,FALSE),"")</f>
        <v/>
      </c>
      <c r="Z1326" s="29" t="str">
        <f>IFERROR(HLOOKUP(V1326,List!$D$2:$H$6,3,FALSE),"")</f>
        <v/>
      </c>
      <c r="AA1326" s="29" t="str">
        <f>IFERROR(HLOOKUP(W1326,List!$D$2:$H$6,4,FALSE),"")</f>
        <v/>
      </c>
      <c r="AB1326" s="29" t="str">
        <f>IFERROR(HLOOKUP(X1326,List!$D$2:$H$6,5,FALSE),"")</f>
        <v/>
      </c>
      <c r="AC1326" s="12" t="str">
        <f t="shared" si="305"/>
        <v/>
      </c>
      <c r="AD1326" s="12" t="str">
        <f t="shared" si="306"/>
        <v/>
      </c>
      <c r="AE1326" s="12" t="str">
        <f t="shared" si="307"/>
        <v/>
      </c>
      <c r="AF1326" s="12" t="str">
        <f t="shared" si="308"/>
        <v/>
      </c>
      <c r="AG1326" t="e">
        <f>VLOOKUP(J1326,'Receivable Invoice Detail'!$A$1:F4338,6,FALSE)</f>
        <v>#N/A</v>
      </c>
      <c r="AM1326" s="12" t="str">
        <f t="shared" si="309"/>
        <v/>
      </c>
      <c r="AN1326" s="12" t="str">
        <f t="shared" si="310"/>
        <v/>
      </c>
      <c r="AO1326" s="12" t="str">
        <f t="shared" si="311"/>
        <v/>
      </c>
      <c r="AP1326" s="12" t="str">
        <f t="shared" si="312"/>
        <v/>
      </c>
      <c r="AQ1326" s="64"/>
      <c r="AS1326" s="12">
        <f t="shared" si="304"/>
        <v>0</v>
      </c>
    </row>
    <row r="1327" spans="1:45" hidden="1" x14ac:dyDescent="0.25">
      <c r="A1327" s="41">
        <f>CASOPOInvCL!T1327</f>
        <v>1</v>
      </c>
      <c r="B1327" t="str">
        <f>CASOPOInvCL!Z1327</f>
        <v>SO18461</v>
      </c>
      <c r="G1327" s="5" t="str">
        <f>CASOPOInvCL!I1327</f>
        <v>Wilka Nuñez</v>
      </c>
      <c r="H1327" s="31">
        <f>CASOPOInvCL!U1327</f>
        <v>12</v>
      </c>
      <c r="I1327" s="31">
        <f>CASOPOInvCL!V1327</f>
        <v>2025</v>
      </c>
      <c r="J1327" s="5" t="str">
        <f>CASOPOInvCL!AB1327</f>
        <v>INV13827</v>
      </c>
      <c r="K1327" s="31" t="str">
        <f>CASOPOInvCL!W1327</f>
        <v/>
      </c>
      <c r="L1327" s="31" t="str">
        <f>CASOPOInvCL!X1327</f>
        <v/>
      </c>
      <c r="N1327" s="5" t="str">
        <f>CASOPOInvCL!AF1327</f>
        <v>Wajax Limited - Noranda</v>
      </c>
      <c r="O1327" s="16" t="str">
        <f>CASOPOInvCL!AG1327</f>
        <v>CAD</v>
      </c>
      <c r="P1327" s="16">
        <f>CASOPOInvCL!AH1327</f>
        <v>1075</v>
      </c>
      <c r="Q1327" s="16">
        <f>CASOPOInvCL!AI1327</f>
        <v>782.08656120124522</v>
      </c>
      <c r="R1327" s="32" t="str">
        <f>CASOPOInvCL!AU1327</f>
        <v/>
      </c>
      <c r="S1327" s="16">
        <f>CASOPOInvCL!AV1327</f>
        <v>0</v>
      </c>
      <c r="T1327" s="16">
        <f>CASOPOInvCL!AW1327</f>
        <v>0</v>
      </c>
      <c r="Y1327" s="29" t="str">
        <f>IFERROR(HLOOKUP(U1327,List!$D$2:$H$6,2,FALSE),"")</f>
        <v/>
      </c>
      <c r="Z1327" s="29" t="str">
        <f>IFERROR(HLOOKUP(V1327,List!$D$2:$H$6,3,FALSE),"")</f>
        <v/>
      </c>
      <c r="AA1327" s="29" t="str">
        <f>IFERROR(HLOOKUP(W1327,List!$D$2:$H$6,4,FALSE),"")</f>
        <v/>
      </c>
      <c r="AB1327" s="29" t="str">
        <f>IFERROR(HLOOKUP(X1327,List!$D$2:$H$6,5,FALSE),"")</f>
        <v/>
      </c>
      <c r="AC1327" s="12" t="str">
        <f t="shared" si="305"/>
        <v/>
      </c>
      <c r="AD1327" s="12" t="str">
        <f t="shared" si="306"/>
        <v/>
      </c>
      <c r="AE1327" s="12" t="str">
        <f t="shared" si="307"/>
        <v/>
      </c>
      <c r="AF1327" s="12" t="str">
        <f t="shared" si="308"/>
        <v/>
      </c>
      <c r="AG1327" t="str">
        <f>VLOOKUP(J1327,'Receivable Invoice Detail'!$A$1:F4339,6,FALSE)</f>
        <v>[G-0B10009 1216] Impeller, 1x2-10, 3196 MTX, CD4MCu, 5-Vane</v>
      </c>
      <c r="AM1327" s="12" t="str">
        <f t="shared" si="309"/>
        <v/>
      </c>
      <c r="AN1327" s="12" t="str">
        <f t="shared" si="310"/>
        <v/>
      </c>
      <c r="AO1327" s="12" t="str">
        <f t="shared" si="311"/>
        <v/>
      </c>
      <c r="AP1327" s="12" t="str">
        <f t="shared" si="312"/>
        <v/>
      </c>
      <c r="AQ1327" s="64"/>
      <c r="AS1327" s="12">
        <f t="shared" si="304"/>
        <v>0</v>
      </c>
    </row>
    <row r="1328" spans="1:45" hidden="1" x14ac:dyDescent="0.25">
      <c r="A1328" s="41">
        <f>CASOPOInvCL!T1328</f>
        <v>1</v>
      </c>
      <c r="B1328" t="str">
        <f>CASOPOInvCL!Z1328</f>
        <v>SO18465</v>
      </c>
      <c r="G1328" s="5" t="str">
        <f>CASOPOInvCL!I1328</f>
        <v>Wilka Nuñez</v>
      </c>
      <c r="H1328" s="31">
        <f>CASOPOInvCL!U1328</f>
        <v>12</v>
      </c>
      <c r="I1328" s="31">
        <f>CASOPOInvCL!V1328</f>
        <v>2025</v>
      </c>
      <c r="J1328" s="5" t="str">
        <f>CASOPOInvCL!AB1328</f>
        <v>INV13826</v>
      </c>
      <c r="K1328" s="31" t="str">
        <f>CASOPOInvCL!W1328</f>
        <v/>
      </c>
      <c r="L1328" s="31" t="str">
        <f>CASOPOInvCL!X1328</f>
        <v/>
      </c>
      <c r="N1328" s="5" t="str">
        <f>CASOPOInvCL!AF1328</f>
        <v>Wajax Limited - Noranda</v>
      </c>
      <c r="O1328" s="16" t="str">
        <f>CASOPOInvCL!AG1328</f>
        <v>CAD</v>
      </c>
      <c r="P1328" s="16">
        <f>CASOPOInvCL!AH1328</f>
        <v>420.82</v>
      </c>
      <c r="Q1328" s="16">
        <f>CASOPOInvCL!AI1328</f>
        <v>306.15596900903068</v>
      </c>
      <c r="R1328" s="32" t="str">
        <f>CASOPOInvCL!AU1328</f>
        <v/>
      </c>
      <c r="S1328" s="16">
        <f>CASOPOInvCL!AV1328</f>
        <v>0</v>
      </c>
      <c r="T1328" s="16">
        <f>CASOPOInvCL!AW1328</f>
        <v>0</v>
      </c>
      <c r="Y1328" s="29" t="str">
        <f>IFERROR(HLOOKUP(U1328,List!$D$2:$H$6,2,FALSE),"")</f>
        <v/>
      </c>
      <c r="Z1328" s="29" t="str">
        <f>IFERROR(HLOOKUP(V1328,List!$D$2:$H$6,3,FALSE),"")</f>
        <v/>
      </c>
      <c r="AA1328" s="29" t="str">
        <f>IFERROR(HLOOKUP(W1328,List!$D$2:$H$6,4,FALSE),"")</f>
        <v/>
      </c>
      <c r="AB1328" s="29" t="str">
        <f>IFERROR(HLOOKUP(X1328,List!$D$2:$H$6,5,FALSE),"")</f>
        <v/>
      </c>
      <c r="AC1328" s="12" t="str">
        <f t="shared" si="305"/>
        <v/>
      </c>
      <c r="AD1328" s="12" t="str">
        <f t="shared" si="306"/>
        <v/>
      </c>
      <c r="AE1328" s="12" t="str">
        <f t="shared" si="307"/>
        <v/>
      </c>
      <c r="AF1328" s="12" t="str">
        <f t="shared" si="308"/>
        <v/>
      </c>
      <c r="AG1328" t="str">
        <f>VLOOKUP(J1328,'Receivable Invoice Detail'!$A$1:F4340,6,FALSE)</f>
        <v>[G-73705X 2229] Shaft Sleeve, 3196 MTX, 316SS</v>
      </c>
      <c r="AM1328" s="12" t="str">
        <f t="shared" si="309"/>
        <v/>
      </c>
      <c r="AN1328" s="12" t="str">
        <f t="shared" si="310"/>
        <v/>
      </c>
      <c r="AO1328" s="12" t="str">
        <f t="shared" si="311"/>
        <v/>
      </c>
      <c r="AP1328" s="12" t="str">
        <f t="shared" si="312"/>
        <v/>
      </c>
      <c r="AQ1328" s="64"/>
      <c r="AS1328" s="12">
        <f t="shared" si="304"/>
        <v>0</v>
      </c>
    </row>
    <row r="1329" spans="1:45" hidden="1" x14ac:dyDescent="0.25">
      <c r="A1329" s="41">
        <f>CASOPOInvCL!T1329</f>
        <v>1</v>
      </c>
      <c r="B1329" t="str">
        <f>CASOPOInvCL!Z1329</f>
        <v>SO18466</v>
      </c>
      <c r="G1329" s="5" t="str">
        <f>CASOPOInvCL!I1329</f>
        <v>Ian Trottier</v>
      </c>
      <c r="H1329" s="31">
        <f>CASOPOInvCL!U1329</f>
        <v>12</v>
      </c>
      <c r="I1329" s="31">
        <f>CASOPOInvCL!V1329</f>
        <v>2025</v>
      </c>
      <c r="J1329" s="5" t="str">
        <f>CASOPOInvCL!AB1329</f>
        <v>INV13830</v>
      </c>
      <c r="K1329" s="31" t="str">
        <f>CASOPOInvCL!W1329</f>
        <v/>
      </c>
      <c r="L1329" s="31" t="str">
        <f>CASOPOInvCL!X1329</f>
        <v/>
      </c>
      <c r="N1329" s="5" t="str">
        <f>CASOPOInvCL!AF1329</f>
        <v>Resolute Forest Products - Clermont</v>
      </c>
      <c r="O1329" s="16" t="str">
        <f>CASOPOInvCL!AG1329</f>
        <v>CAD</v>
      </c>
      <c r="P1329" s="16">
        <f>CASOPOInvCL!AH1329</f>
        <v>1109.1099999999999</v>
      </c>
      <c r="Q1329" s="16">
        <f>CASOPOInvCL!AI1329</f>
        <v>810.6990514348787</v>
      </c>
      <c r="R1329" s="32" t="str">
        <f>CASOPOInvCL!AU1329</f>
        <v/>
      </c>
      <c r="S1329" s="16">
        <f>CASOPOInvCL!AV1329</f>
        <v>0</v>
      </c>
      <c r="T1329" s="16">
        <f>CASOPOInvCL!AW1329</f>
        <v>0</v>
      </c>
      <c r="Y1329" s="29" t="str">
        <f>IFERROR(HLOOKUP(U1329,List!$D$2:$H$6,2,FALSE),"")</f>
        <v/>
      </c>
      <c r="Z1329" s="29" t="str">
        <f>IFERROR(HLOOKUP(V1329,List!$D$2:$H$6,3,FALSE),"")</f>
        <v/>
      </c>
      <c r="AA1329" s="29" t="str">
        <f>IFERROR(HLOOKUP(W1329,List!$D$2:$H$6,4,FALSE),"")</f>
        <v/>
      </c>
      <c r="AB1329" s="29" t="str">
        <f>IFERROR(HLOOKUP(X1329,List!$D$2:$H$6,5,FALSE),"")</f>
        <v/>
      </c>
      <c r="AC1329" s="12" t="str">
        <f t="shared" si="305"/>
        <v/>
      </c>
      <c r="AD1329" s="12" t="str">
        <f t="shared" si="306"/>
        <v/>
      </c>
      <c r="AE1329" s="12" t="str">
        <f t="shared" si="307"/>
        <v/>
      </c>
      <c r="AF1329" s="12" t="str">
        <f t="shared" si="308"/>
        <v/>
      </c>
      <c r="AG1329" t="e">
        <f>VLOOKUP(J1329,'Receivable Invoice Detail'!$A$1:F4341,6,FALSE)</f>
        <v>#N/A</v>
      </c>
      <c r="AM1329" s="12" t="str">
        <f t="shared" si="309"/>
        <v/>
      </c>
      <c r="AN1329" s="12" t="str">
        <f t="shared" si="310"/>
        <v/>
      </c>
      <c r="AO1329" s="12" t="str">
        <f t="shared" si="311"/>
        <v/>
      </c>
      <c r="AP1329" s="12" t="str">
        <f t="shared" si="312"/>
        <v/>
      </c>
      <c r="AQ1329" s="64"/>
      <c r="AS1329" s="12">
        <f t="shared" si="304"/>
        <v>0</v>
      </c>
    </row>
    <row r="1330" spans="1:45" hidden="1" x14ac:dyDescent="0.25">
      <c r="A1330" s="41">
        <f>CASOPOInvCL!T1330</f>
        <v>1</v>
      </c>
      <c r="B1330" t="str">
        <f>CASOPOInvCL!Z1330</f>
        <v>SO18467</v>
      </c>
      <c r="G1330" s="5" t="str">
        <f>CASOPOInvCL!I1330</f>
        <v>Wilka Nuñez</v>
      </c>
      <c r="H1330" s="31">
        <f>CASOPOInvCL!U1330</f>
        <v>12</v>
      </c>
      <c r="I1330" s="31">
        <f>CASOPOInvCL!V1330</f>
        <v>2025</v>
      </c>
      <c r="J1330" s="5" t="str">
        <f>CASOPOInvCL!AB1330</f>
        <v>INV13804</v>
      </c>
      <c r="K1330" s="31" t="str">
        <f>CASOPOInvCL!W1330</f>
        <v/>
      </c>
      <c r="L1330" s="31" t="str">
        <f>CASOPOInvCL!X1330</f>
        <v/>
      </c>
      <c r="N1330" s="5" t="str">
        <f>CASOPOInvCL!AF1330</f>
        <v>SCG Process</v>
      </c>
      <c r="O1330" s="16" t="str">
        <f>CASOPOInvCL!AG1330</f>
        <v>CAD</v>
      </c>
      <c r="P1330" s="16">
        <f>CASOPOInvCL!AH1330</f>
        <v>2909.65</v>
      </c>
      <c r="Q1330" s="16">
        <f>CASOPOInvCL!AI1330</f>
        <v>2121.8983262324082</v>
      </c>
      <c r="R1330" s="32" t="str">
        <f>CASOPOInvCL!AU1330</f>
        <v/>
      </c>
      <c r="S1330" s="16">
        <f>CASOPOInvCL!AV1330</f>
        <v>0</v>
      </c>
      <c r="T1330" s="16">
        <f>CASOPOInvCL!AW1330</f>
        <v>0</v>
      </c>
      <c r="Y1330" s="29" t="str">
        <f>IFERROR(HLOOKUP(U1330,List!$D$2:$H$6,2,FALSE),"")</f>
        <v/>
      </c>
      <c r="Z1330" s="29" t="str">
        <f>IFERROR(HLOOKUP(V1330,List!$D$2:$H$6,3,FALSE),"")</f>
        <v/>
      </c>
      <c r="AA1330" s="29" t="str">
        <f>IFERROR(HLOOKUP(W1330,List!$D$2:$H$6,4,FALSE),"")</f>
        <v/>
      </c>
      <c r="AB1330" s="29" t="str">
        <f>IFERROR(HLOOKUP(X1330,List!$D$2:$H$6,5,FALSE),"")</f>
        <v/>
      </c>
      <c r="AC1330" s="12" t="str">
        <f t="shared" si="305"/>
        <v/>
      </c>
      <c r="AD1330" s="12" t="str">
        <f t="shared" si="306"/>
        <v/>
      </c>
      <c r="AE1330" s="12" t="str">
        <f t="shared" si="307"/>
        <v/>
      </c>
      <c r="AF1330" s="12" t="str">
        <f t="shared" si="308"/>
        <v/>
      </c>
      <c r="AG1330" t="str">
        <f>VLOOKUP(J1330,'Receivable Invoice Detail'!$A$1:F4342,6,FALSE)</f>
        <v>[AC-98-231-115-503] Suction Side Liner, 5X4-14 SRL-C, Neoprene</v>
      </c>
      <c r="AM1330" s="12" t="str">
        <f t="shared" si="309"/>
        <v/>
      </c>
      <c r="AN1330" s="12" t="str">
        <f t="shared" si="310"/>
        <v/>
      </c>
      <c r="AO1330" s="12" t="str">
        <f t="shared" si="311"/>
        <v/>
      </c>
      <c r="AP1330" s="12" t="str">
        <f t="shared" si="312"/>
        <v/>
      </c>
      <c r="AQ1330" s="64"/>
      <c r="AS1330" s="12">
        <f t="shared" si="304"/>
        <v>0</v>
      </c>
    </row>
    <row r="1331" spans="1:45" hidden="1" x14ac:dyDescent="0.25">
      <c r="A1331" s="41">
        <f>CASOPOInvCL!T1331</f>
        <v>0</v>
      </c>
      <c r="B1331" t="str">
        <f>CASOPOInvCL!Z1331</f>
        <v>SO18468</v>
      </c>
      <c r="G1331" s="5" t="str">
        <f>CASOPOInvCL!I1331</f>
        <v>Amanda Qiao</v>
      </c>
      <c r="H1331" s="31">
        <f>CASOPOInvCL!U1331</f>
        <v>12</v>
      </c>
      <c r="I1331" s="31">
        <f>CASOPOInvCL!V1331</f>
        <v>2025</v>
      </c>
      <c r="J1331" s="5" t="str">
        <f>CASOPOInvCL!AB1331</f>
        <v>No Inv</v>
      </c>
      <c r="K1331" s="31" t="str">
        <f>CASOPOInvCL!W1331</f>
        <v/>
      </c>
      <c r="L1331" s="31" t="str">
        <f>CASOPOInvCL!X1331</f>
        <v/>
      </c>
      <c r="N1331" s="5" t="str">
        <f>CASOPOInvCL!AF1331</f>
        <v>Mill-Right Mine Services Inc.</v>
      </c>
      <c r="O1331" s="16" t="str">
        <f>CASOPOInvCL!AG1331</f>
        <v>USD</v>
      </c>
      <c r="P1331" s="16">
        <f>CASOPOInvCL!AH1331</f>
        <v>242.82414430994527</v>
      </c>
      <c r="Q1331" s="16">
        <f>CASOPOInvCL!AI1331</f>
        <v>176.66</v>
      </c>
      <c r="R1331" s="32" t="str">
        <f>CASOPOInvCL!AU1331</f>
        <v/>
      </c>
      <c r="S1331" s="16">
        <f>CASOPOInvCL!AV1331</f>
        <v>0</v>
      </c>
      <c r="T1331" s="16">
        <f>CASOPOInvCL!AW1331</f>
        <v>0</v>
      </c>
      <c r="Y1331" s="29" t="str">
        <f>IFERROR(HLOOKUP(U1331,List!$D$2:$H$6,2,FALSE),"")</f>
        <v/>
      </c>
      <c r="Z1331" s="29" t="str">
        <f>IFERROR(HLOOKUP(V1331,List!$D$2:$H$6,3,FALSE),"")</f>
        <v/>
      </c>
      <c r="AA1331" s="29" t="str">
        <f>IFERROR(HLOOKUP(W1331,List!$D$2:$H$6,4,FALSE),"")</f>
        <v/>
      </c>
      <c r="AB1331" s="29" t="str">
        <f>IFERROR(HLOOKUP(X1331,List!$D$2:$H$6,5,FALSE),"")</f>
        <v/>
      </c>
      <c r="AC1331" s="12" t="str">
        <f t="shared" si="305"/>
        <v/>
      </c>
      <c r="AD1331" s="12" t="str">
        <f t="shared" si="306"/>
        <v/>
      </c>
      <c r="AE1331" s="12" t="str">
        <f t="shared" si="307"/>
        <v/>
      </c>
      <c r="AF1331" s="12" t="str">
        <f t="shared" si="308"/>
        <v/>
      </c>
      <c r="AG1331" t="e">
        <f>VLOOKUP(J1331,'Receivable Invoice Detail'!$A$1:F4343,6,FALSE)</f>
        <v>#N/A</v>
      </c>
      <c r="AM1331" s="12" t="str">
        <f t="shared" si="309"/>
        <v/>
      </c>
      <c r="AN1331" s="12" t="str">
        <f t="shared" si="310"/>
        <v/>
      </c>
      <c r="AO1331" s="12" t="str">
        <f t="shared" si="311"/>
        <v/>
      </c>
      <c r="AP1331" s="12" t="str">
        <f t="shared" si="312"/>
        <v/>
      </c>
      <c r="AQ1331" s="64"/>
      <c r="AS1331" s="12">
        <f t="shared" si="304"/>
        <v>0</v>
      </c>
    </row>
    <row r="1332" spans="1:45" hidden="1" x14ac:dyDescent="0.25">
      <c r="A1332" s="41">
        <f>CASOPOInvCL!T1332</f>
        <v>0</v>
      </c>
      <c r="B1332" t="str">
        <f>CASOPOInvCL!Z1332</f>
        <v>SO18471</v>
      </c>
      <c r="G1332" s="5" t="str">
        <f>CASOPOInvCL!I1332</f>
        <v>Ian Trottier</v>
      </c>
      <c r="H1332" s="31">
        <f>CASOPOInvCL!U1332</f>
        <v>12</v>
      </c>
      <c r="I1332" s="31">
        <f>CASOPOInvCL!V1332</f>
        <v>2025</v>
      </c>
      <c r="J1332" s="5" t="str">
        <f>CASOPOInvCL!AB1332</f>
        <v>No Inv</v>
      </c>
      <c r="K1332" s="31" t="str">
        <f>CASOPOInvCL!W1332</f>
        <v/>
      </c>
      <c r="L1332" s="31" t="str">
        <f>CASOPOInvCL!X1332</f>
        <v/>
      </c>
      <c r="N1332" s="5" t="str">
        <f>CASOPOInvCL!AF1332</f>
        <v>Cameco Corporation - Blind River Refinery, Cameco Corporation - Blind River Refinery</v>
      </c>
      <c r="O1332" s="16" t="str">
        <f>CASOPOInvCL!AG1332</f>
        <v>CAD</v>
      </c>
      <c r="P1332" s="16">
        <f>CASOPOInvCL!AH1332</f>
        <v>4389.78</v>
      </c>
      <c r="Q1332" s="16">
        <f>CASOPOInvCL!AI1332</f>
        <v>3208.2707196459364</v>
      </c>
      <c r="R1332" s="32" t="str">
        <f>CASOPOInvCL!AU1332</f>
        <v/>
      </c>
      <c r="S1332" s="16">
        <f>CASOPOInvCL!AV1332</f>
        <v>0</v>
      </c>
      <c r="T1332" s="16">
        <f>CASOPOInvCL!AW1332</f>
        <v>0</v>
      </c>
      <c r="Y1332" s="29" t="str">
        <f>IFERROR(HLOOKUP(U1332,List!$D$2:$H$6,2,FALSE),"")</f>
        <v/>
      </c>
      <c r="Z1332" s="29" t="str">
        <f>IFERROR(HLOOKUP(V1332,List!$D$2:$H$6,3,FALSE),"")</f>
        <v/>
      </c>
      <c r="AA1332" s="29" t="str">
        <f>IFERROR(HLOOKUP(W1332,List!$D$2:$H$6,4,FALSE),"")</f>
        <v/>
      </c>
      <c r="AB1332" s="29" t="str">
        <f>IFERROR(HLOOKUP(X1332,List!$D$2:$H$6,5,FALSE),"")</f>
        <v/>
      </c>
      <c r="AC1332" s="12" t="str">
        <f t="shared" si="305"/>
        <v/>
      </c>
      <c r="AD1332" s="12" t="str">
        <f t="shared" si="306"/>
        <v/>
      </c>
      <c r="AE1332" s="12" t="str">
        <f t="shared" si="307"/>
        <v/>
      </c>
      <c r="AF1332" s="12" t="str">
        <f t="shared" si="308"/>
        <v/>
      </c>
      <c r="AG1332" t="e">
        <f>VLOOKUP(J1332,'Receivable Invoice Detail'!$A$1:F4344,6,FALSE)</f>
        <v>#N/A</v>
      </c>
      <c r="AM1332" s="12" t="str">
        <f t="shared" si="309"/>
        <v/>
      </c>
      <c r="AN1332" s="12" t="str">
        <f t="shared" si="310"/>
        <v/>
      </c>
      <c r="AO1332" s="12" t="str">
        <f t="shared" si="311"/>
        <v/>
      </c>
      <c r="AP1332" s="12" t="str">
        <f t="shared" si="312"/>
        <v/>
      </c>
      <c r="AQ1332" s="64"/>
      <c r="AS1332" s="12">
        <f t="shared" si="304"/>
        <v>0</v>
      </c>
    </row>
    <row r="1333" spans="1:45" hidden="1" x14ac:dyDescent="0.25">
      <c r="A1333" s="41">
        <f>CASOPOInvCL!T1333</f>
        <v>1</v>
      </c>
      <c r="B1333" t="str">
        <f>CASOPOInvCL!Z1333</f>
        <v>SO18472</v>
      </c>
      <c r="G1333" s="5" t="str">
        <f>CASOPOInvCL!I1333</f>
        <v>Aleksandar Stankovic</v>
      </c>
      <c r="H1333" s="31">
        <f>CASOPOInvCL!U1333</f>
        <v>12</v>
      </c>
      <c r="I1333" s="31">
        <f>CASOPOInvCL!V1333</f>
        <v>2025</v>
      </c>
      <c r="J1333" s="5" t="str">
        <f>CASOPOInvCL!AB1333</f>
        <v>INV13811</v>
      </c>
      <c r="K1333" s="31" t="str">
        <f>CASOPOInvCL!W1333</f>
        <v/>
      </c>
      <c r="L1333" s="31" t="str">
        <f>CASOPOInvCL!X1333</f>
        <v/>
      </c>
      <c r="N1333" s="5" t="str">
        <f>CASOPOInvCL!AF1333</f>
        <v>Canadian Bearings Ltd.</v>
      </c>
      <c r="O1333" s="16" t="str">
        <f>CASOPOInvCL!AG1333</f>
        <v>CAD</v>
      </c>
      <c r="P1333" s="16">
        <f>CASOPOInvCL!AH1333</f>
        <v>131.91999999999999</v>
      </c>
      <c r="Q1333" s="16">
        <f>CASOPOInvCL!AI1333</f>
        <v>96.413732199721153</v>
      </c>
      <c r="R1333" s="32" t="str">
        <f>CASOPOInvCL!AU1333</f>
        <v/>
      </c>
      <c r="S1333" s="16">
        <f>CASOPOInvCL!AV1333</f>
        <v>0</v>
      </c>
      <c r="T1333" s="16">
        <f>CASOPOInvCL!AW1333</f>
        <v>0</v>
      </c>
      <c r="Y1333" s="29" t="str">
        <f>IFERROR(HLOOKUP(U1333,List!$D$2:$H$6,2,FALSE),"")</f>
        <v/>
      </c>
      <c r="Z1333" s="29" t="str">
        <f>IFERROR(HLOOKUP(V1333,List!$D$2:$H$6,3,FALSE),"")</f>
        <v/>
      </c>
      <c r="AA1333" s="29" t="str">
        <f>IFERROR(HLOOKUP(W1333,List!$D$2:$H$6,4,FALSE),"")</f>
        <v/>
      </c>
      <c r="AB1333" s="29" t="str">
        <f>IFERROR(HLOOKUP(X1333,List!$D$2:$H$6,5,FALSE),"")</f>
        <v/>
      </c>
      <c r="AC1333" s="12" t="str">
        <f t="shared" si="305"/>
        <v/>
      </c>
      <c r="AD1333" s="12" t="str">
        <f t="shared" si="306"/>
        <v/>
      </c>
      <c r="AE1333" s="12" t="str">
        <f t="shared" si="307"/>
        <v/>
      </c>
      <c r="AF1333" s="12" t="str">
        <f t="shared" si="308"/>
        <v/>
      </c>
      <c r="AG1333" t="str">
        <f>VLOOKUP(J1333,'Receivable Invoice Detail'!$A$1:F4345,6,FALSE)</f>
        <v>[AC-52-431-816-007] Casing Gasket, 10",  Allis Chalmers CSO</v>
      </c>
      <c r="AM1333" s="12" t="str">
        <f t="shared" si="309"/>
        <v/>
      </c>
      <c r="AN1333" s="12" t="str">
        <f t="shared" si="310"/>
        <v/>
      </c>
      <c r="AO1333" s="12" t="str">
        <f t="shared" si="311"/>
        <v/>
      </c>
      <c r="AP1333" s="12" t="str">
        <f t="shared" si="312"/>
        <v/>
      </c>
      <c r="AQ1333" s="64"/>
      <c r="AS1333" s="12">
        <f t="shared" si="304"/>
        <v>0</v>
      </c>
    </row>
    <row r="1334" spans="1:45" hidden="1" x14ac:dyDescent="0.25">
      <c r="A1334" s="41">
        <f>CASOPOInvCL!T1334</f>
        <v>0</v>
      </c>
      <c r="B1334" t="str">
        <f>CASOPOInvCL!Z1334</f>
        <v>SO18477</v>
      </c>
      <c r="G1334" s="5" t="str">
        <f>CASOPOInvCL!I1334</f>
        <v>Aleksandar Stankovic</v>
      </c>
      <c r="H1334" s="31">
        <f>CASOPOInvCL!U1334</f>
        <v>12</v>
      </c>
      <c r="I1334" s="31">
        <f>CASOPOInvCL!V1334</f>
        <v>2025</v>
      </c>
      <c r="J1334" s="5" t="str">
        <f>CASOPOInvCL!AB1334</f>
        <v>No Inv</v>
      </c>
      <c r="K1334" s="31" t="str">
        <f>CASOPOInvCL!W1334</f>
        <v/>
      </c>
      <c r="L1334" s="31" t="str">
        <f>CASOPOInvCL!X1334</f>
        <v/>
      </c>
      <c r="N1334" s="5" t="str">
        <f>CASOPOInvCL!AF1334</f>
        <v>Hyperflo</v>
      </c>
      <c r="O1334" s="16" t="str">
        <f>CASOPOInvCL!AG1334</f>
        <v>CAD</v>
      </c>
      <c r="P1334" s="16">
        <f>CASOPOInvCL!AH1334</f>
        <v>916.59</v>
      </c>
      <c r="Q1334" s="16">
        <f>CASOPOInvCL!AI1334</f>
        <v>669.88980288767743</v>
      </c>
      <c r="R1334" s="32" t="str">
        <f>CASOPOInvCL!AU1334</f>
        <v/>
      </c>
      <c r="S1334" s="16">
        <f>CASOPOInvCL!AV1334</f>
        <v>0</v>
      </c>
      <c r="T1334" s="16">
        <f>CASOPOInvCL!AW1334</f>
        <v>0</v>
      </c>
      <c r="Y1334" s="29" t="str">
        <f>IFERROR(HLOOKUP(U1334,List!$D$2:$H$6,2,FALSE),"")</f>
        <v/>
      </c>
      <c r="Z1334" s="29" t="str">
        <f>IFERROR(HLOOKUP(V1334,List!$D$2:$H$6,3,FALSE),"")</f>
        <v/>
      </c>
      <c r="AA1334" s="29" t="str">
        <f>IFERROR(HLOOKUP(W1334,List!$D$2:$H$6,4,FALSE),"")</f>
        <v/>
      </c>
      <c r="AB1334" s="29" t="str">
        <f>IFERROR(HLOOKUP(X1334,List!$D$2:$H$6,5,FALSE),"")</f>
        <v/>
      </c>
      <c r="AC1334" s="12" t="str">
        <f t="shared" si="305"/>
        <v/>
      </c>
      <c r="AD1334" s="12" t="str">
        <f t="shared" si="306"/>
        <v/>
      </c>
      <c r="AE1334" s="12" t="str">
        <f t="shared" si="307"/>
        <v/>
      </c>
      <c r="AF1334" s="12" t="str">
        <f t="shared" si="308"/>
        <v/>
      </c>
      <c r="AG1334" t="e">
        <f>VLOOKUP(J1334,'Receivable Invoice Detail'!$A$1:F4346,6,FALSE)</f>
        <v>#N/A</v>
      </c>
      <c r="AM1334" s="12" t="str">
        <f t="shared" si="309"/>
        <v/>
      </c>
      <c r="AN1334" s="12" t="str">
        <f t="shared" si="310"/>
        <v/>
      </c>
      <c r="AO1334" s="12" t="str">
        <f t="shared" si="311"/>
        <v/>
      </c>
      <c r="AP1334" s="12" t="str">
        <f t="shared" si="312"/>
        <v/>
      </c>
      <c r="AQ1334" s="64"/>
      <c r="AS1334" s="12">
        <f t="shared" si="304"/>
        <v>0</v>
      </c>
    </row>
    <row r="1335" spans="1:45" hidden="1" x14ac:dyDescent="0.25">
      <c r="A1335" s="41">
        <f>CASOPOInvCL!T1335</f>
        <v>0</v>
      </c>
      <c r="B1335" t="str">
        <f>CASOPOInvCL!Z1335</f>
        <v>SO18479</v>
      </c>
      <c r="G1335" s="5" t="str">
        <f>CASOPOInvCL!I1335</f>
        <v>Alexis Gil Lamadrid</v>
      </c>
      <c r="H1335" s="31">
        <f>CASOPOInvCL!U1335</f>
        <v>12</v>
      </c>
      <c r="I1335" s="31">
        <f>CASOPOInvCL!V1335</f>
        <v>2025</v>
      </c>
      <c r="J1335" s="5" t="str">
        <f>CASOPOInvCL!AB1335</f>
        <v>No Inv</v>
      </c>
      <c r="K1335" s="31" t="str">
        <f>CASOPOInvCL!W1335</f>
        <v/>
      </c>
      <c r="L1335" s="31" t="str">
        <f>CASOPOInvCL!X1335</f>
        <v/>
      </c>
      <c r="N1335" s="5" t="str">
        <f>CASOPOInvCL!AF1335</f>
        <v>Tech-Flow</v>
      </c>
      <c r="O1335" s="16" t="str">
        <f>CASOPOInvCL!AG1335</f>
        <v>USD</v>
      </c>
      <c r="P1335" s="16">
        <f>CASOPOInvCL!AH1335</f>
        <v>3490.1091628512177</v>
      </c>
      <c r="Q1335" s="16">
        <f>CASOPOInvCL!AI1335</f>
        <v>2551.98</v>
      </c>
      <c r="R1335" s="32" t="str">
        <f>CASOPOInvCL!AU1335</f>
        <v/>
      </c>
      <c r="S1335" s="16">
        <f>CASOPOInvCL!AV1335</f>
        <v>0</v>
      </c>
      <c r="T1335" s="16">
        <f>CASOPOInvCL!AW1335</f>
        <v>0</v>
      </c>
      <c r="Y1335" s="29" t="str">
        <f>IFERROR(HLOOKUP(U1335,List!$D$2:$H$6,2,FALSE),"")</f>
        <v/>
      </c>
      <c r="Z1335" s="29" t="str">
        <f>IFERROR(HLOOKUP(V1335,List!$D$2:$H$6,3,FALSE),"")</f>
        <v/>
      </c>
      <c r="AA1335" s="29" t="str">
        <f>IFERROR(HLOOKUP(W1335,List!$D$2:$H$6,4,FALSE),"")</f>
        <v/>
      </c>
      <c r="AB1335" s="29" t="str">
        <f>IFERROR(HLOOKUP(X1335,List!$D$2:$H$6,5,FALSE),"")</f>
        <v/>
      </c>
      <c r="AC1335" s="12" t="str">
        <f t="shared" si="305"/>
        <v/>
      </c>
      <c r="AD1335" s="12" t="str">
        <f t="shared" si="306"/>
        <v/>
      </c>
      <c r="AE1335" s="12" t="str">
        <f t="shared" si="307"/>
        <v/>
      </c>
      <c r="AF1335" s="12" t="str">
        <f t="shared" si="308"/>
        <v/>
      </c>
      <c r="AG1335" t="e">
        <f>VLOOKUP(J1335,'Receivable Invoice Detail'!$A$1:F4347,6,FALSE)</f>
        <v>#N/A</v>
      </c>
      <c r="AM1335" s="12" t="str">
        <f t="shared" si="309"/>
        <v/>
      </c>
      <c r="AN1335" s="12" t="str">
        <f t="shared" si="310"/>
        <v/>
      </c>
      <c r="AO1335" s="12" t="str">
        <f t="shared" si="311"/>
        <v/>
      </c>
      <c r="AP1335" s="12" t="str">
        <f t="shared" si="312"/>
        <v/>
      </c>
      <c r="AQ1335" s="64"/>
      <c r="AS1335" s="12">
        <f t="shared" si="304"/>
        <v>0</v>
      </c>
    </row>
    <row r="1336" spans="1:45" hidden="1" x14ac:dyDescent="0.25">
      <c r="A1336" s="41">
        <f>CASOPOInvCL!T1336</f>
        <v>0</v>
      </c>
      <c r="B1336" t="str">
        <f>CASOPOInvCL!Z1336</f>
        <v>SO18482</v>
      </c>
      <c r="G1336" s="5" t="str">
        <f>CASOPOInvCL!I1336</f>
        <v>Wilka Nuñez</v>
      </c>
      <c r="H1336" s="31">
        <f>CASOPOInvCL!U1336</f>
        <v>12</v>
      </c>
      <c r="I1336" s="31">
        <f>CASOPOInvCL!V1336</f>
        <v>2025</v>
      </c>
      <c r="J1336" s="5" t="str">
        <f>CASOPOInvCL!AB1336</f>
        <v>No Inv</v>
      </c>
      <c r="K1336" s="31" t="str">
        <f>CASOPOInvCL!W1336</f>
        <v/>
      </c>
      <c r="L1336" s="31" t="str">
        <f>CASOPOInvCL!X1336</f>
        <v/>
      </c>
      <c r="N1336" s="5" t="str">
        <f>CASOPOInvCL!AF1336</f>
        <v>Hyperflo</v>
      </c>
      <c r="O1336" s="16" t="str">
        <f>CASOPOInvCL!AG1336</f>
        <v>CAD</v>
      </c>
      <c r="P1336" s="16">
        <f>CASOPOInvCL!AH1336</f>
        <v>2849.11</v>
      </c>
      <c r="Q1336" s="16">
        <f>CASOPOInvCL!AI1336</f>
        <v>2062.198569076832</v>
      </c>
      <c r="R1336" s="32" t="str">
        <f>CASOPOInvCL!AU1336</f>
        <v/>
      </c>
      <c r="S1336" s="16">
        <f>CASOPOInvCL!AV1336</f>
        <v>0</v>
      </c>
      <c r="T1336" s="16">
        <f>CASOPOInvCL!AW1336</f>
        <v>0</v>
      </c>
      <c r="Y1336" s="29" t="str">
        <f>IFERROR(HLOOKUP(U1336,List!$D$2:$H$6,2,FALSE),"")</f>
        <v/>
      </c>
      <c r="Z1336" s="29" t="str">
        <f>IFERROR(HLOOKUP(V1336,List!$D$2:$H$6,3,FALSE),"")</f>
        <v/>
      </c>
      <c r="AA1336" s="29" t="str">
        <f>IFERROR(HLOOKUP(W1336,List!$D$2:$H$6,4,FALSE),"")</f>
        <v/>
      </c>
      <c r="AB1336" s="29" t="str">
        <f>IFERROR(HLOOKUP(X1336,List!$D$2:$H$6,5,FALSE),"")</f>
        <v/>
      </c>
      <c r="AC1336" s="12" t="str">
        <f t="shared" si="305"/>
        <v/>
      </c>
      <c r="AD1336" s="12" t="str">
        <f t="shared" si="306"/>
        <v/>
      </c>
      <c r="AE1336" s="12" t="str">
        <f t="shared" si="307"/>
        <v/>
      </c>
      <c r="AF1336" s="12" t="str">
        <f t="shared" si="308"/>
        <v/>
      </c>
      <c r="AG1336" t="e">
        <f>VLOOKUP(J1336,'Receivable Invoice Detail'!$A$1:F4348,6,FALSE)</f>
        <v>#N/A</v>
      </c>
      <c r="AM1336" s="12" t="str">
        <f t="shared" si="309"/>
        <v/>
      </c>
      <c r="AN1336" s="12" t="str">
        <f t="shared" si="310"/>
        <v/>
      </c>
      <c r="AO1336" s="12" t="str">
        <f t="shared" si="311"/>
        <v/>
      </c>
      <c r="AP1336" s="12" t="str">
        <f t="shared" si="312"/>
        <v/>
      </c>
      <c r="AQ1336" s="64"/>
      <c r="AS1336" s="12">
        <f t="shared" si="304"/>
        <v>0</v>
      </c>
    </row>
    <row r="1337" spans="1:45" hidden="1" x14ac:dyDescent="0.25">
      <c r="A1337" s="41">
        <f>CASOPOInvCL!T1337</f>
        <v>0</v>
      </c>
      <c r="B1337" t="str">
        <f>CASOPOInvCL!Z1337</f>
        <v>SO18484</v>
      </c>
      <c r="G1337" s="5" t="str">
        <f>CASOPOInvCL!I1337</f>
        <v>Wilka Nuñez</v>
      </c>
      <c r="H1337" s="31">
        <f>CASOPOInvCL!U1337</f>
        <v>12</v>
      </c>
      <c r="I1337" s="31">
        <f>CASOPOInvCL!V1337</f>
        <v>2025</v>
      </c>
      <c r="J1337" s="5" t="str">
        <f>CASOPOInvCL!AB1337</f>
        <v>No Inv</v>
      </c>
      <c r="K1337" s="31" t="str">
        <f>CASOPOInvCL!W1337</f>
        <v/>
      </c>
      <c r="L1337" s="31" t="str">
        <f>CASOPOInvCL!X1337</f>
        <v/>
      </c>
      <c r="N1337" s="5" t="str">
        <f>CASOPOInvCL!AF1337</f>
        <v>Cartledge &amp; Associates Inc.</v>
      </c>
      <c r="O1337" s="16" t="str">
        <f>CASOPOInvCL!AG1337</f>
        <v>USD</v>
      </c>
      <c r="P1337" s="16">
        <f>CASOPOInvCL!AH1337</f>
        <v>4920.0653262641699</v>
      </c>
      <c r="Q1337" s="16">
        <f>CASOPOInvCL!AI1337</f>
        <v>3596.3</v>
      </c>
      <c r="R1337" s="32" t="str">
        <f>CASOPOInvCL!AU1337</f>
        <v/>
      </c>
      <c r="S1337" s="16">
        <f>CASOPOInvCL!AV1337</f>
        <v>0</v>
      </c>
      <c r="T1337" s="16">
        <f>CASOPOInvCL!AW1337</f>
        <v>0</v>
      </c>
      <c r="Y1337" s="29" t="str">
        <f>IFERROR(HLOOKUP(U1337,List!$D$2:$H$6,2,FALSE),"")</f>
        <v/>
      </c>
      <c r="Z1337" s="29" t="str">
        <f>IFERROR(HLOOKUP(V1337,List!$D$2:$H$6,3,FALSE),"")</f>
        <v/>
      </c>
      <c r="AA1337" s="29" t="str">
        <f>IFERROR(HLOOKUP(W1337,List!$D$2:$H$6,4,FALSE),"")</f>
        <v/>
      </c>
      <c r="AB1337" s="29" t="str">
        <f>IFERROR(HLOOKUP(X1337,List!$D$2:$H$6,5,FALSE),"")</f>
        <v/>
      </c>
      <c r="AC1337" s="12" t="str">
        <f t="shared" si="305"/>
        <v/>
      </c>
      <c r="AD1337" s="12" t="str">
        <f t="shared" si="306"/>
        <v/>
      </c>
      <c r="AE1337" s="12" t="str">
        <f t="shared" si="307"/>
        <v/>
      </c>
      <c r="AF1337" s="12" t="str">
        <f t="shared" si="308"/>
        <v/>
      </c>
      <c r="AG1337" t="e">
        <f>VLOOKUP(J1337,'Receivable Invoice Detail'!$A$1:F4349,6,FALSE)</f>
        <v>#N/A</v>
      </c>
      <c r="AM1337" s="12" t="str">
        <f t="shared" si="309"/>
        <v/>
      </c>
      <c r="AN1337" s="12" t="str">
        <f t="shared" si="310"/>
        <v/>
      </c>
      <c r="AO1337" s="12" t="str">
        <f t="shared" si="311"/>
        <v/>
      </c>
      <c r="AP1337" s="12" t="str">
        <f t="shared" si="312"/>
        <v/>
      </c>
      <c r="AQ1337" s="64"/>
      <c r="AS1337" s="12">
        <f t="shared" si="304"/>
        <v>0</v>
      </c>
    </row>
    <row r="1338" spans="1:45" hidden="1" x14ac:dyDescent="0.25">
      <c r="A1338" s="41">
        <f>CASOPOInvCL!T1338</f>
        <v>0</v>
      </c>
      <c r="B1338">
        <f>CASOPOInvCL!Z1338</f>
        <v>0</v>
      </c>
      <c r="G1338" s="5">
        <f>CASOPOInvCL!I1338</f>
        <v>0</v>
      </c>
      <c r="H1338" s="31">
        <f>CASOPOInvCL!U1338</f>
        <v>0</v>
      </c>
      <c r="I1338" s="31">
        <f>CASOPOInvCL!V1338</f>
        <v>0</v>
      </c>
      <c r="J1338" s="5">
        <f>CASOPOInvCL!AB1338</f>
        <v>0</v>
      </c>
      <c r="K1338" s="31">
        <f>CASOPOInvCL!W1338</f>
        <v>0</v>
      </c>
      <c r="L1338" s="31">
        <f>CASOPOInvCL!X1338</f>
        <v>0</v>
      </c>
      <c r="M1338" s="31"/>
      <c r="N1338" s="5">
        <f>CASOPOInvCL!AF1338</f>
        <v>0</v>
      </c>
      <c r="O1338" s="16">
        <f>CASOPOInvCL!AG1338</f>
        <v>0</v>
      </c>
      <c r="P1338" s="16">
        <f>CASOPOInvCL!AH1338</f>
        <v>0</v>
      </c>
      <c r="Q1338" s="16">
        <f>CASOPOInvCL!AI1338</f>
        <v>0</v>
      </c>
      <c r="R1338" s="32">
        <f>CASOPOInvCL!AU1338</f>
        <v>0</v>
      </c>
      <c r="S1338" s="16">
        <f>CASOPOInvCL!AV1338</f>
        <v>0</v>
      </c>
      <c r="T1338" s="16">
        <f>CASOPOInvCL!AW1338</f>
        <v>0</v>
      </c>
      <c r="Y1338" s="29" t="str">
        <f>IFERROR(HLOOKUP(U1345,List!$D$2:$H$6,2,FALSE),"")</f>
        <v/>
      </c>
      <c r="Z1338" s="29" t="str">
        <f>IFERROR(HLOOKUP(V1345,List!$D$2:$H$6,3,FALSE),"")</f>
        <v/>
      </c>
      <c r="AA1338" s="29" t="str">
        <f>IFERROR(HLOOKUP(W1345,List!$D$2:$H$6,4,FALSE),"")</f>
        <v/>
      </c>
      <c r="AB1338" s="29" t="str">
        <f>IFERROR(HLOOKUP(X1345,List!$D$2:$H$6,5,FALSE),"")</f>
        <v/>
      </c>
      <c r="AC1338" s="12" t="str">
        <f t="shared" ref="AC1338:AF1339" si="313">IFERROR(Y1338*$T1338,"")</f>
        <v/>
      </c>
      <c r="AD1338" s="12" t="str">
        <f t="shared" si="313"/>
        <v/>
      </c>
      <c r="AE1338" s="12" t="str">
        <f t="shared" si="313"/>
        <v/>
      </c>
      <c r="AF1338" s="12" t="str">
        <f t="shared" si="313"/>
        <v/>
      </c>
      <c r="AM1338" s="12" t="str">
        <f t="shared" ref="AM1338:AM1395" si="314">IF(AI1345="",AC1338,0)</f>
        <v/>
      </c>
      <c r="AN1338" s="12" t="str">
        <f t="shared" ref="AN1338:AN1395" si="315">IF(AJ1345="",AD1338,0)</f>
        <v/>
      </c>
      <c r="AO1338" s="12" t="str">
        <f t="shared" ref="AO1338:AO1395" si="316">IF(AK1345="",AE1338,0)</f>
        <v/>
      </c>
      <c r="AP1338" s="12" t="str">
        <f t="shared" ref="AP1338:AP1395" si="317">IF(AL1345="",AF1338,0)</f>
        <v/>
      </c>
      <c r="AQ1338" s="12"/>
      <c r="AS1338" s="12">
        <f t="shared" ref="AS1338:AS1353" si="318">T1331*1.5%</f>
        <v>0</v>
      </c>
    </row>
    <row r="1339" spans="1:45" hidden="1" x14ac:dyDescent="0.25">
      <c r="A1339" s="41">
        <f>CASOPOInvCL!T1339</f>
        <v>0</v>
      </c>
      <c r="B1339">
        <f>CASOPOInvCL!Z1339</f>
        <v>0</v>
      </c>
      <c r="G1339" s="5">
        <f>CASOPOInvCL!I1339</f>
        <v>0</v>
      </c>
      <c r="H1339" s="31">
        <f>CASOPOInvCL!U1339</f>
        <v>0</v>
      </c>
      <c r="I1339" s="31">
        <f>CASOPOInvCL!V1339</f>
        <v>0</v>
      </c>
      <c r="J1339" s="5">
        <f>CASOPOInvCL!AB1339</f>
        <v>0</v>
      </c>
      <c r="K1339" s="31">
        <f>CASOPOInvCL!W1339</f>
        <v>0</v>
      </c>
      <c r="L1339" s="31">
        <f>CASOPOInvCL!X1339</f>
        <v>0</v>
      </c>
      <c r="M1339" s="31"/>
      <c r="N1339" s="5">
        <f>CASOPOInvCL!AF1339</f>
        <v>0</v>
      </c>
      <c r="O1339" s="16">
        <f>CASOPOInvCL!AG1339</f>
        <v>0</v>
      </c>
      <c r="P1339" s="16">
        <f>CASOPOInvCL!AH1339</f>
        <v>0</v>
      </c>
      <c r="Q1339" s="16">
        <f>CASOPOInvCL!AI1339</f>
        <v>0</v>
      </c>
      <c r="R1339" s="32">
        <f>CASOPOInvCL!AU1339</f>
        <v>0</v>
      </c>
      <c r="S1339" s="16">
        <f>CASOPOInvCL!AV1339</f>
        <v>0</v>
      </c>
      <c r="T1339" s="16">
        <f>CASOPOInvCL!AW1339</f>
        <v>0</v>
      </c>
      <c r="Y1339" s="29" t="str">
        <f>IFERROR(HLOOKUP(U1346,List!$D$2:$H$6,2,FALSE),"")</f>
        <v/>
      </c>
      <c r="Z1339" s="29" t="str">
        <f>IFERROR(HLOOKUP(V1346,List!$D$2:$H$6,3,FALSE),"")</f>
        <v/>
      </c>
      <c r="AA1339" s="29" t="str">
        <f>IFERROR(HLOOKUP(W1346,List!$D$2:$H$6,4,FALSE),"")</f>
        <v/>
      </c>
      <c r="AB1339" s="29" t="str">
        <f>IFERROR(HLOOKUP(X1346,List!$D$2:$H$6,5,FALSE),"")</f>
        <v/>
      </c>
      <c r="AC1339" s="12" t="str">
        <f t="shared" si="313"/>
        <v/>
      </c>
      <c r="AD1339" s="12" t="str">
        <f t="shared" si="313"/>
        <v/>
      </c>
      <c r="AE1339" s="12" t="str">
        <f t="shared" si="313"/>
        <v/>
      </c>
      <c r="AF1339" s="12" t="str">
        <f t="shared" ref="AC1339:AF1402" si="319">IFERROR(AB1339*$T1339,"")</f>
        <v/>
      </c>
      <c r="AM1339" s="12" t="str">
        <f t="shared" si="314"/>
        <v/>
      </c>
      <c r="AN1339" s="12" t="str">
        <f t="shared" si="315"/>
        <v/>
      </c>
      <c r="AO1339" s="12" t="str">
        <f t="shared" si="316"/>
        <v/>
      </c>
      <c r="AP1339" s="12" t="str">
        <f t="shared" si="317"/>
        <v/>
      </c>
      <c r="AQ1339" s="12"/>
      <c r="AS1339" s="12">
        <f t="shared" si="318"/>
        <v>0</v>
      </c>
    </row>
    <row r="1340" spans="1:45" hidden="1" x14ac:dyDescent="0.25">
      <c r="A1340" s="41">
        <f>CASOPOInvCL!T1340</f>
        <v>0</v>
      </c>
      <c r="B1340">
        <f>CASOPOInvCL!Z1340</f>
        <v>0</v>
      </c>
      <c r="G1340" s="5">
        <f>CASOPOInvCL!I1340</f>
        <v>0</v>
      </c>
      <c r="H1340" s="31">
        <f>CASOPOInvCL!U1340</f>
        <v>0</v>
      </c>
      <c r="I1340" s="31">
        <f>CASOPOInvCL!V1340</f>
        <v>0</v>
      </c>
      <c r="J1340" s="5">
        <f>CASOPOInvCL!AB1340</f>
        <v>0</v>
      </c>
      <c r="K1340" s="31">
        <f>CASOPOInvCL!W1340</f>
        <v>0</v>
      </c>
      <c r="L1340" s="31">
        <f>CASOPOInvCL!X1340</f>
        <v>0</v>
      </c>
      <c r="M1340" s="31"/>
      <c r="N1340" s="5">
        <f>CASOPOInvCL!AF1340</f>
        <v>0</v>
      </c>
      <c r="O1340" s="16">
        <f>CASOPOInvCL!AG1340</f>
        <v>0</v>
      </c>
      <c r="P1340" s="16">
        <f>CASOPOInvCL!AH1340</f>
        <v>0</v>
      </c>
      <c r="Q1340" s="16">
        <f>CASOPOInvCL!AI1340</f>
        <v>0</v>
      </c>
      <c r="R1340" s="32">
        <f>CASOPOInvCL!AU1340</f>
        <v>0</v>
      </c>
      <c r="S1340" s="16">
        <f>CASOPOInvCL!AV1340</f>
        <v>0</v>
      </c>
      <c r="T1340" s="16">
        <f>CASOPOInvCL!AW1340</f>
        <v>0</v>
      </c>
      <c r="Y1340" s="29" t="str">
        <f>IFERROR(HLOOKUP(U1347,List!$D$2:$H$6,2,FALSE),"")</f>
        <v/>
      </c>
      <c r="Z1340" s="29" t="str">
        <f>IFERROR(HLOOKUP(V1347,List!$D$2:$H$6,3,FALSE),"")</f>
        <v/>
      </c>
      <c r="AA1340" s="29" t="str">
        <f>IFERROR(HLOOKUP(W1347,List!$D$2:$H$6,4,FALSE),"")</f>
        <v/>
      </c>
      <c r="AB1340" s="29" t="str">
        <f>IFERROR(HLOOKUP(X1347,List!$D$2:$H$6,5,FALSE),"")</f>
        <v/>
      </c>
      <c r="AC1340" s="12" t="str">
        <f t="shared" si="319"/>
        <v/>
      </c>
      <c r="AD1340" s="12" t="str">
        <f t="shared" si="319"/>
        <v/>
      </c>
      <c r="AE1340" s="12" t="str">
        <f t="shared" si="319"/>
        <v/>
      </c>
      <c r="AF1340" s="12" t="str">
        <f t="shared" si="319"/>
        <v/>
      </c>
      <c r="AM1340" s="12" t="str">
        <f t="shared" si="314"/>
        <v/>
      </c>
      <c r="AN1340" s="12" t="str">
        <f t="shared" si="315"/>
        <v/>
      </c>
      <c r="AO1340" s="12" t="str">
        <f t="shared" si="316"/>
        <v/>
      </c>
      <c r="AP1340" s="12" t="str">
        <f t="shared" si="317"/>
        <v/>
      </c>
      <c r="AQ1340" s="12"/>
      <c r="AS1340" s="12">
        <f t="shared" si="318"/>
        <v>0</v>
      </c>
    </row>
    <row r="1341" spans="1:45" hidden="1" x14ac:dyDescent="0.25">
      <c r="A1341" s="41">
        <f>CASOPOInvCL!T1341</f>
        <v>0</v>
      </c>
      <c r="B1341">
        <f>CASOPOInvCL!Z1341</f>
        <v>0</v>
      </c>
      <c r="G1341" s="5">
        <f>CASOPOInvCL!I1341</f>
        <v>0</v>
      </c>
      <c r="H1341" s="31">
        <f>CASOPOInvCL!U1341</f>
        <v>0</v>
      </c>
      <c r="I1341" s="31">
        <f>CASOPOInvCL!V1341</f>
        <v>0</v>
      </c>
      <c r="J1341" s="5">
        <f>CASOPOInvCL!AB1341</f>
        <v>0</v>
      </c>
      <c r="K1341" s="31">
        <f>CASOPOInvCL!W1341</f>
        <v>0</v>
      </c>
      <c r="L1341" s="31">
        <f>CASOPOInvCL!X1341</f>
        <v>0</v>
      </c>
      <c r="M1341" s="31"/>
      <c r="N1341" s="5">
        <f>CASOPOInvCL!AF1341</f>
        <v>0</v>
      </c>
      <c r="O1341" s="16">
        <f>CASOPOInvCL!AG1341</f>
        <v>0</v>
      </c>
      <c r="P1341" s="16">
        <f>CASOPOInvCL!AH1341</f>
        <v>0</v>
      </c>
      <c r="Q1341" s="16">
        <f>CASOPOInvCL!AI1341</f>
        <v>0</v>
      </c>
      <c r="R1341" s="32">
        <f>CASOPOInvCL!AU1341</f>
        <v>0</v>
      </c>
      <c r="S1341" s="16">
        <f>CASOPOInvCL!AV1341</f>
        <v>0</v>
      </c>
      <c r="T1341" s="16">
        <f>CASOPOInvCL!AW1341</f>
        <v>0</v>
      </c>
      <c r="Y1341" s="29" t="str">
        <f>IFERROR(HLOOKUP(U1348,List!$D$2:$H$6,2,FALSE),"")</f>
        <v/>
      </c>
      <c r="Z1341" s="29" t="str">
        <f>IFERROR(HLOOKUP(V1348,List!$D$2:$H$6,3,FALSE),"")</f>
        <v/>
      </c>
      <c r="AA1341" s="29" t="str">
        <f>IFERROR(HLOOKUP(W1348,List!$D$2:$H$6,4,FALSE),"")</f>
        <v/>
      </c>
      <c r="AB1341" s="29" t="str">
        <f>IFERROR(HLOOKUP(X1348,List!$D$2:$H$6,5,FALSE),"")</f>
        <v/>
      </c>
      <c r="AC1341" s="12" t="str">
        <f t="shared" si="319"/>
        <v/>
      </c>
      <c r="AD1341" s="12" t="str">
        <f t="shared" si="319"/>
        <v/>
      </c>
      <c r="AE1341" s="12" t="str">
        <f t="shared" si="319"/>
        <v/>
      </c>
      <c r="AF1341" s="12" t="str">
        <f t="shared" si="319"/>
        <v/>
      </c>
      <c r="AM1341" s="12" t="str">
        <f t="shared" si="314"/>
        <v/>
      </c>
      <c r="AN1341" s="12" t="str">
        <f t="shared" si="315"/>
        <v/>
      </c>
      <c r="AO1341" s="12" t="str">
        <f t="shared" si="316"/>
        <v/>
      </c>
      <c r="AP1341" s="12" t="str">
        <f t="shared" si="317"/>
        <v/>
      </c>
      <c r="AQ1341" s="12"/>
      <c r="AS1341" s="12">
        <f t="shared" si="318"/>
        <v>0</v>
      </c>
    </row>
    <row r="1342" spans="1:45" hidden="1" x14ac:dyDescent="0.25">
      <c r="A1342" s="41">
        <f>CASOPOInvCL!T1342</f>
        <v>0</v>
      </c>
      <c r="B1342">
        <f>CASOPOInvCL!Z1342</f>
        <v>0</v>
      </c>
      <c r="G1342" s="5">
        <f>CASOPOInvCL!I1342</f>
        <v>0</v>
      </c>
      <c r="H1342" s="31">
        <f>CASOPOInvCL!U1342</f>
        <v>0</v>
      </c>
      <c r="I1342" s="31">
        <f>CASOPOInvCL!V1342</f>
        <v>0</v>
      </c>
      <c r="J1342" s="5">
        <f>CASOPOInvCL!AB1342</f>
        <v>0</v>
      </c>
      <c r="K1342" s="31">
        <f>CASOPOInvCL!W1342</f>
        <v>0</v>
      </c>
      <c r="L1342" s="31">
        <f>CASOPOInvCL!X1342</f>
        <v>0</v>
      </c>
      <c r="M1342" s="31"/>
      <c r="N1342" s="5">
        <f>CASOPOInvCL!AF1342</f>
        <v>0</v>
      </c>
      <c r="O1342" s="16">
        <f>CASOPOInvCL!AG1342</f>
        <v>0</v>
      </c>
      <c r="P1342" s="16">
        <f>CASOPOInvCL!AH1342</f>
        <v>0</v>
      </c>
      <c r="Q1342" s="16">
        <f>CASOPOInvCL!AI1342</f>
        <v>0</v>
      </c>
      <c r="R1342" s="32">
        <f>CASOPOInvCL!AU1342</f>
        <v>0</v>
      </c>
      <c r="S1342" s="16">
        <f>CASOPOInvCL!AV1342</f>
        <v>0</v>
      </c>
      <c r="T1342" s="16">
        <f>CASOPOInvCL!AW1342</f>
        <v>0</v>
      </c>
      <c r="Y1342" s="29" t="str">
        <f>IFERROR(HLOOKUP(U1349,List!$D$2:$H$6,2,FALSE),"")</f>
        <v/>
      </c>
      <c r="Z1342" s="29" t="str">
        <f>IFERROR(HLOOKUP(V1349,List!$D$2:$H$6,3,FALSE),"")</f>
        <v/>
      </c>
      <c r="AA1342" s="29" t="str">
        <f>IFERROR(HLOOKUP(W1349,List!$D$2:$H$6,4,FALSE),"")</f>
        <v/>
      </c>
      <c r="AB1342" s="29" t="str">
        <f>IFERROR(HLOOKUP(X1349,List!$D$2:$H$6,5,FALSE),"")</f>
        <v/>
      </c>
      <c r="AC1342" s="12" t="str">
        <f t="shared" si="319"/>
        <v/>
      </c>
      <c r="AD1342" s="12" t="str">
        <f t="shared" si="319"/>
        <v/>
      </c>
      <c r="AE1342" s="12" t="str">
        <f t="shared" si="319"/>
        <v/>
      </c>
      <c r="AF1342" s="12" t="str">
        <f t="shared" si="319"/>
        <v/>
      </c>
      <c r="AM1342" s="12" t="str">
        <f t="shared" si="314"/>
        <v/>
      </c>
      <c r="AN1342" s="12" t="str">
        <f t="shared" si="315"/>
        <v/>
      </c>
      <c r="AO1342" s="12" t="str">
        <f t="shared" si="316"/>
        <v/>
      </c>
      <c r="AP1342" s="12" t="str">
        <f t="shared" si="317"/>
        <v/>
      </c>
      <c r="AQ1342" s="12"/>
      <c r="AS1342" s="12">
        <f t="shared" si="318"/>
        <v>0</v>
      </c>
    </row>
    <row r="1343" spans="1:45" hidden="1" x14ac:dyDescent="0.25">
      <c r="A1343" s="41">
        <f>CASOPOInvCL!T1343</f>
        <v>0</v>
      </c>
      <c r="B1343">
        <f>CASOPOInvCL!Z1343</f>
        <v>0</v>
      </c>
      <c r="G1343" s="5">
        <f>CASOPOInvCL!I1343</f>
        <v>0</v>
      </c>
      <c r="H1343" s="31">
        <f>CASOPOInvCL!U1343</f>
        <v>0</v>
      </c>
      <c r="I1343" s="31">
        <f>CASOPOInvCL!V1343</f>
        <v>0</v>
      </c>
      <c r="J1343" s="5">
        <f>CASOPOInvCL!AB1343</f>
        <v>0</v>
      </c>
      <c r="K1343" s="31">
        <f>CASOPOInvCL!W1343</f>
        <v>0</v>
      </c>
      <c r="L1343" s="31">
        <f>CASOPOInvCL!X1343</f>
        <v>0</v>
      </c>
      <c r="M1343" s="31"/>
      <c r="N1343" s="5">
        <f>CASOPOInvCL!AF1343</f>
        <v>0</v>
      </c>
      <c r="O1343" s="16">
        <f>CASOPOInvCL!AG1343</f>
        <v>0</v>
      </c>
      <c r="P1343" s="16">
        <f>CASOPOInvCL!AH1343</f>
        <v>0</v>
      </c>
      <c r="Q1343" s="16">
        <f>CASOPOInvCL!AI1343</f>
        <v>0</v>
      </c>
      <c r="R1343" s="32">
        <f>CASOPOInvCL!AU1343</f>
        <v>0</v>
      </c>
      <c r="S1343" s="16">
        <f>CASOPOInvCL!AV1343</f>
        <v>0</v>
      </c>
      <c r="T1343" s="16">
        <f>CASOPOInvCL!AW1343</f>
        <v>0</v>
      </c>
      <c r="Y1343" s="29" t="str">
        <f>IFERROR(HLOOKUP(U1350,List!$D$2:$H$6,2,FALSE),"")</f>
        <v/>
      </c>
      <c r="Z1343" s="29" t="str">
        <f>IFERROR(HLOOKUP(V1350,List!$D$2:$H$6,3,FALSE),"")</f>
        <v/>
      </c>
      <c r="AA1343" s="29" t="str">
        <f>IFERROR(HLOOKUP(W1350,List!$D$2:$H$6,4,FALSE),"")</f>
        <v/>
      </c>
      <c r="AB1343" s="29" t="str">
        <f>IFERROR(HLOOKUP(X1350,List!$D$2:$H$6,5,FALSE),"")</f>
        <v/>
      </c>
      <c r="AC1343" s="12" t="str">
        <f t="shared" si="319"/>
        <v/>
      </c>
      <c r="AD1343" s="12" t="str">
        <f t="shared" si="319"/>
        <v/>
      </c>
      <c r="AE1343" s="12" t="str">
        <f t="shared" si="319"/>
        <v/>
      </c>
      <c r="AF1343" s="12" t="str">
        <f t="shared" si="319"/>
        <v/>
      </c>
      <c r="AM1343" s="12" t="str">
        <f t="shared" si="314"/>
        <v/>
      </c>
      <c r="AN1343" s="12" t="str">
        <f t="shared" si="315"/>
        <v/>
      </c>
      <c r="AO1343" s="12" t="str">
        <f t="shared" si="316"/>
        <v/>
      </c>
      <c r="AP1343" s="12" t="str">
        <f t="shared" si="317"/>
        <v/>
      </c>
      <c r="AQ1343" s="12"/>
      <c r="AS1343" s="12">
        <f t="shared" si="318"/>
        <v>0</v>
      </c>
    </row>
    <row r="1344" spans="1:45" hidden="1" x14ac:dyDescent="0.25">
      <c r="A1344" s="41">
        <f>CASOPOInvCL!T1344</f>
        <v>0</v>
      </c>
      <c r="B1344">
        <f>CASOPOInvCL!Z1344</f>
        <v>0</v>
      </c>
      <c r="G1344" s="5">
        <f>CASOPOInvCL!I1344</f>
        <v>0</v>
      </c>
      <c r="H1344" s="31">
        <f>CASOPOInvCL!U1344</f>
        <v>0</v>
      </c>
      <c r="I1344" s="31">
        <f>CASOPOInvCL!V1344</f>
        <v>0</v>
      </c>
      <c r="J1344" s="5">
        <f>CASOPOInvCL!AB1344</f>
        <v>0</v>
      </c>
      <c r="K1344" s="31">
        <f>CASOPOInvCL!W1344</f>
        <v>0</v>
      </c>
      <c r="L1344" s="31">
        <f>CASOPOInvCL!X1344</f>
        <v>0</v>
      </c>
      <c r="M1344" s="31"/>
      <c r="N1344" s="5">
        <f>CASOPOInvCL!AF1344</f>
        <v>0</v>
      </c>
      <c r="O1344" s="16">
        <f>CASOPOInvCL!AG1344</f>
        <v>0</v>
      </c>
      <c r="P1344" s="16">
        <f>CASOPOInvCL!AH1344</f>
        <v>0</v>
      </c>
      <c r="Q1344" s="16">
        <f>CASOPOInvCL!AI1344</f>
        <v>0</v>
      </c>
      <c r="R1344" s="32">
        <f>CASOPOInvCL!AU1344</f>
        <v>0</v>
      </c>
      <c r="S1344" s="16">
        <f>CASOPOInvCL!AV1344</f>
        <v>0</v>
      </c>
      <c r="T1344" s="16">
        <f>CASOPOInvCL!AW1344</f>
        <v>0</v>
      </c>
      <c r="Y1344" s="29" t="str">
        <f>IFERROR(HLOOKUP(U1351,List!$D$2:$H$6,2,FALSE),"")</f>
        <v/>
      </c>
      <c r="Z1344" s="29" t="str">
        <f>IFERROR(HLOOKUP(V1351,List!$D$2:$H$6,3,FALSE),"")</f>
        <v/>
      </c>
      <c r="AA1344" s="29" t="str">
        <f>IFERROR(HLOOKUP(W1351,List!$D$2:$H$6,4,FALSE),"")</f>
        <v/>
      </c>
      <c r="AB1344" s="29" t="str">
        <f>IFERROR(HLOOKUP(X1351,List!$D$2:$H$6,5,FALSE),"")</f>
        <v/>
      </c>
      <c r="AC1344" s="12" t="str">
        <f t="shared" si="319"/>
        <v/>
      </c>
      <c r="AD1344" s="12" t="str">
        <f t="shared" si="319"/>
        <v/>
      </c>
      <c r="AE1344" s="12" t="str">
        <f t="shared" si="319"/>
        <v/>
      </c>
      <c r="AF1344" s="12" t="str">
        <f t="shared" si="319"/>
        <v/>
      </c>
      <c r="AM1344" s="12" t="str">
        <f t="shared" si="314"/>
        <v/>
      </c>
      <c r="AN1344" s="12" t="str">
        <f t="shared" si="315"/>
        <v/>
      </c>
      <c r="AO1344" s="12" t="str">
        <f t="shared" si="316"/>
        <v/>
      </c>
      <c r="AP1344" s="12" t="str">
        <f t="shared" si="317"/>
        <v/>
      </c>
      <c r="AQ1344" s="12"/>
      <c r="AS1344" s="12">
        <f t="shared" si="318"/>
        <v>0</v>
      </c>
    </row>
    <row r="1345" spans="1:45" hidden="1" x14ac:dyDescent="0.25">
      <c r="A1345" s="41">
        <f>CASOPOInvCL!T1345</f>
        <v>0</v>
      </c>
      <c r="B1345">
        <f>CASOPOInvCL!Z1345</f>
        <v>0</v>
      </c>
      <c r="G1345" s="5">
        <f>CASOPOInvCL!I1345</f>
        <v>0</v>
      </c>
      <c r="H1345" s="31">
        <f>CASOPOInvCL!U1345</f>
        <v>0</v>
      </c>
      <c r="I1345" s="31">
        <f>CASOPOInvCL!V1345</f>
        <v>0</v>
      </c>
      <c r="J1345" s="5">
        <f>CASOPOInvCL!AB1345</f>
        <v>0</v>
      </c>
      <c r="K1345" s="31">
        <f>CASOPOInvCL!W1345</f>
        <v>0</v>
      </c>
      <c r="L1345" s="31">
        <f>CASOPOInvCL!X1345</f>
        <v>0</v>
      </c>
      <c r="M1345" s="31"/>
      <c r="N1345" s="5">
        <f>CASOPOInvCL!AF1345</f>
        <v>0</v>
      </c>
      <c r="O1345" s="16">
        <f>CASOPOInvCL!AG1345</f>
        <v>0</v>
      </c>
      <c r="P1345" s="16">
        <f>CASOPOInvCL!AH1345</f>
        <v>0</v>
      </c>
      <c r="Q1345" s="16">
        <f>CASOPOInvCL!AI1345</f>
        <v>0</v>
      </c>
      <c r="R1345" s="32">
        <f>CASOPOInvCL!AU1345</f>
        <v>0</v>
      </c>
      <c r="S1345" s="16">
        <f>CASOPOInvCL!AV1345</f>
        <v>0</v>
      </c>
      <c r="T1345" s="16">
        <f>CASOPOInvCL!AW1345</f>
        <v>0</v>
      </c>
      <c r="Y1345" s="29" t="str">
        <f>IFERROR(HLOOKUP(U1352,List!$D$2:$H$6,2,FALSE),"")</f>
        <v/>
      </c>
      <c r="Z1345" s="29" t="str">
        <f>IFERROR(HLOOKUP(V1352,List!$D$2:$H$6,3,FALSE),"")</f>
        <v/>
      </c>
      <c r="AA1345" s="29" t="str">
        <f>IFERROR(HLOOKUP(W1352,List!$D$2:$H$6,4,FALSE),"")</f>
        <v/>
      </c>
      <c r="AB1345" s="29" t="str">
        <f>IFERROR(HLOOKUP(X1352,List!$D$2:$H$6,5,FALSE),"")</f>
        <v/>
      </c>
      <c r="AC1345" s="12" t="str">
        <f t="shared" si="319"/>
        <v/>
      </c>
      <c r="AD1345" s="12" t="str">
        <f t="shared" si="319"/>
        <v/>
      </c>
      <c r="AE1345" s="12" t="str">
        <f t="shared" si="319"/>
        <v/>
      </c>
      <c r="AF1345" s="12" t="str">
        <f t="shared" si="319"/>
        <v/>
      </c>
      <c r="AM1345" s="12" t="str">
        <f t="shared" si="314"/>
        <v/>
      </c>
      <c r="AN1345" s="12" t="str">
        <f t="shared" si="315"/>
        <v/>
      </c>
      <c r="AO1345" s="12" t="str">
        <f t="shared" si="316"/>
        <v/>
      </c>
      <c r="AP1345" s="12" t="str">
        <f t="shared" si="317"/>
        <v/>
      </c>
      <c r="AQ1345" s="12"/>
      <c r="AS1345" s="12">
        <f t="shared" si="318"/>
        <v>0</v>
      </c>
    </row>
    <row r="1346" spans="1:45" hidden="1" x14ac:dyDescent="0.25">
      <c r="A1346" s="41">
        <f>CASOPOInvCL!T1346</f>
        <v>0</v>
      </c>
      <c r="B1346">
        <f>CASOPOInvCL!Z1346</f>
        <v>0</v>
      </c>
      <c r="G1346" s="5">
        <f>CASOPOInvCL!I1346</f>
        <v>0</v>
      </c>
      <c r="H1346" s="31">
        <f>CASOPOInvCL!U1346</f>
        <v>0</v>
      </c>
      <c r="I1346" s="31">
        <f>CASOPOInvCL!V1346</f>
        <v>0</v>
      </c>
      <c r="J1346" s="5">
        <f>CASOPOInvCL!AB1346</f>
        <v>0</v>
      </c>
      <c r="K1346" s="31">
        <f>CASOPOInvCL!W1346</f>
        <v>0</v>
      </c>
      <c r="L1346" s="31">
        <f>CASOPOInvCL!X1346</f>
        <v>0</v>
      </c>
      <c r="M1346" s="31"/>
      <c r="N1346" s="5">
        <f>CASOPOInvCL!AF1346</f>
        <v>0</v>
      </c>
      <c r="O1346" s="16">
        <f>CASOPOInvCL!AG1346</f>
        <v>0</v>
      </c>
      <c r="P1346" s="16">
        <f>CASOPOInvCL!AH1346</f>
        <v>0</v>
      </c>
      <c r="Q1346" s="16">
        <f>CASOPOInvCL!AI1346</f>
        <v>0</v>
      </c>
      <c r="R1346" s="32">
        <f>CASOPOInvCL!AU1346</f>
        <v>0</v>
      </c>
      <c r="S1346" s="16">
        <f>CASOPOInvCL!AV1346</f>
        <v>0</v>
      </c>
      <c r="T1346" s="16">
        <f>CASOPOInvCL!AW1346</f>
        <v>0</v>
      </c>
      <c r="Y1346" s="29" t="str">
        <f>IFERROR(HLOOKUP(U1353,List!$D$2:$H$6,2,FALSE),"")</f>
        <v/>
      </c>
      <c r="Z1346" s="29" t="str">
        <f>IFERROR(HLOOKUP(V1353,List!$D$2:$H$6,3,FALSE),"")</f>
        <v/>
      </c>
      <c r="AA1346" s="29" t="str">
        <f>IFERROR(HLOOKUP(W1353,List!$D$2:$H$6,4,FALSE),"")</f>
        <v/>
      </c>
      <c r="AB1346" s="29" t="str">
        <f>IFERROR(HLOOKUP(X1353,List!$D$2:$H$6,5,FALSE),"")</f>
        <v/>
      </c>
      <c r="AC1346" s="12" t="str">
        <f t="shared" si="319"/>
        <v/>
      </c>
      <c r="AD1346" s="12" t="str">
        <f t="shared" si="319"/>
        <v/>
      </c>
      <c r="AE1346" s="12" t="str">
        <f t="shared" si="319"/>
        <v/>
      </c>
      <c r="AF1346" s="12" t="str">
        <f t="shared" si="319"/>
        <v/>
      </c>
      <c r="AM1346" s="12" t="str">
        <f t="shared" si="314"/>
        <v/>
      </c>
      <c r="AN1346" s="12" t="str">
        <f t="shared" si="315"/>
        <v/>
      </c>
      <c r="AO1346" s="12" t="str">
        <f t="shared" si="316"/>
        <v/>
      </c>
      <c r="AP1346" s="12" t="str">
        <f t="shared" si="317"/>
        <v/>
      </c>
      <c r="AQ1346" s="12"/>
      <c r="AS1346" s="12">
        <f t="shared" si="318"/>
        <v>0</v>
      </c>
    </row>
    <row r="1347" spans="1:45" hidden="1" x14ac:dyDescent="0.25">
      <c r="A1347" s="41">
        <f>CASOPOInvCL!T1347</f>
        <v>0</v>
      </c>
      <c r="B1347">
        <f>CASOPOInvCL!Z1347</f>
        <v>0</v>
      </c>
      <c r="G1347" s="5">
        <f>CASOPOInvCL!I1347</f>
        <v>0</v>
      </c>
      <c r="H1347" s="31">
        <f>CASOPOInvCL!U1347</f>
        <v>0</v>
      </c>
      <c r="I1347" s="31">
        <f>CASOPOInvCL!V1347</f>
        <v>0</v>
      </c>
      <c r="J1347" s="5">
        <f>CASOPOInvCL!AB1347</f>
        <v>0</v>
      </c>
      <c r="K1347" s="31">
        <f>CASOPOInvCL!W1347</f>
        <v>0</v>
      </c>
      <c r="L1347" s="31">
        <f>CASOPOInvCL!X1347</f>
        <v>0</v>
      </c>
      <c r="M1347" s="31"/>
      <c r="N1347" s="5">
        <f>CASOPOInvCL!AF1347</f>
        <v>0</v>
      </c>
      <c r="O1347" s="16">
        <f>CASOPOInvCL!AG1347</f>
        <v>0</v>
      </c>
      <c r="P1347" s="16">
        <f>CASOPOInvCL!AH1347</f>
        <v>0</v>
      </c>
      <c r="Q1347" s="16">
        <f>CASOPOInvCL!AI1347</f>
        <v>0</v>
      </c>
      <c r="R1347" s="32">
        <f>CASOPOInvCL!AU1347</f>
        <v>0</v>
      </c>
      <c r="S1347" s="16">
        <f>CASOPOInvCL!AV1347</f>
        <v>0</v>
      </c>
      <c r="T1347" s="16">
        <f>CASOPOInvCL!AW1347</f>
        <v>0</v>
      </c>
      <c r="Y1347" s="29" t="str">
        <f>IFERROR(HLOOKUP(U1354,List!$D$2:$H$6,2,FALSE),"")</f>
        <v/>
      </c>
      <c r="Z1347" s="29" t="str">
        <f>IFERROR(HLOOKUP(V1354,List!$D$2:$H$6,3,FALSE),"")</f>
        <v/>
      </c>
      <c r="AA1347" s="29" t="str">
        <f>IFERROR(HLOOKUP(W1354,List!$D$2:$H$6,4,FALSE),"")</f>
        <v/>
      </c>
      <c r="AB1347" s="29" t="str">
        <f>IFERROR(HLOOKUP(X1354,List!$D$2:$H$6,5,FALSE),"")</f>
        <v/>
      </c>
      <c r="AC1347" s="12" t="str">
        <f t="shared" si="319"/>
        <v/>
      </c>
      <c r="AD1347" s="12" t="str">
        <f t="shared" si="319"/>
        <v/>
      </c>
      <c r="AE1347" s="12" t="str">
        <f t="shared" si="319"/>
        <v/>
      </c>
      <c r="AF1347" s="12" t="str">
        <f t="shared" si="319"/>
        <v/>
      </c>
      <c r="AM1347" s="12" t="str">
        <f t="shared" si="314"/>
        <v/>
      </c>
      <c r="AN1347" s="12" t="str">
        <f t="shared" si="315"/>
        <v/>
      </c>
      <c r="AO1347" s="12" t="str">
        <f t="shared" si="316"/>
        <v/>
      </c>
      <c r="AP1347" s="12" t="str">
        <f t="shared" si="317"/>
        <v/>
      </c>
      <c r="AQ1347" s="12"/>
      <c r="AS1347" s="12">
        <f t="shared" si="318"/>
        <v>0</v>
      </c>
    </row>
    <row r="1348" spans="1:45" hidden="1" x14ac:dyDescent="0.25">
      <c r="A1348" s="41">
        <f>CASOPOInvCL!T1348</f>
        <v>0</v>
      </c>
      <c r="B1348">
        <f>CASOPOInvCL!Z1348</f>
        <v>0</v>
      </c>
      <c r="G1348" s="5">
        <f>CASOPOInvCL!I1348</f>
        <v>0</v>
      </c>
      <c r="H1348" s="31">
        <f>CASOPOInvCL!U1348</f>
        <v>0</v>
      </c>
      <c r="I1348" s="31">
        <f>CASOPOInvCL!V1348</f>
        <v>0</v>
      </c>
      <c r="J1348" s="5">
        <f>CASOPOInvCL!AB1348</f>
        <v>0</v>
      </c>
      <c r="K1348" s="31">
        <f>CASOPOInvCL!W1348</f>
        <v>0</v>
      </c>
      <c r="L1348" s="31">
        <f>CASOPOInvCL!X1348</f>
        <v>0</v>
      </c>
      <c r="M1348" s="31"/>
      <c r="N1348" s="5">
        <f>CASOPOInvCL!AF1348</f>
        <v>0</v>
      </c>
      <c r="O1348" s="16">
        <f>CASOPOInvCL!AG1348</f>
        <v>0</v>
      </c>
      <c r="P1348" s="16">
        <f>CASOPOInvCL!AH1348</f>
        <v>0</v>
      </c>
      <c r="Q1348" s="16">
        <f>CASOPOInvCL!AI1348</f>
        <v>0</v>
      </c>
      <c r="R1348" s="32">
        <f>CASOPOInvCL!AU1348</f>
        <v>0</v>
      </c>
      <c r="S1348" s="16">
        <f>CASOPOInvCL!AV1348</f>
        <v>0</v>
      </c>
      <c r="T1348" s="16">
        <f>CASOPOInvCL!AW1348</f>
        <v>0</v>
      </c>
      <c r="Y1348" s="29" t="str">
        <f>IFERROR(HLOOKUP(U1355,List!$D$2:$H$6,2,FALSE),"")</f>
        <v/>
      </c>
      <c r="Z1348" s="29" t="str">
        <f>IFERROR(HLOOKUP(V1355,List!$D$2:$H$6,3,FALSE),"")</f>
        <v/>
      </c>
      <c r="AA1348" s="29" t="str">
        <f>IFERROR(HLOOKUP(W1355,List!$D$2:$H$6,4,FALSE),"")</f>
        <v/>
      </c>
      <c r="AB1348" s="29" t="str">
        <f>IFERROR(HLOOKUP(X1355,List!$D$2:$H$6,5,FALSE),"")</f>
        <v/>
      </c>
      <c r="AC1348" s="12" t="str">
        <f t="shared" si="319"/>
        <v/>
      </c>
      <c r="AD1348" s="12" t="str">
        <f t="shared" si="319"/>
        <v/>
      </c>
      <c r="AE1348" s="12" t="str">
        <f t="shared" si="319"/>
        <v/>
      </c>
      <c r="AF1348" s="12" t="str">
        <f t="shared" si="319"/>
        <v/>
      </c>
      <c r="AM1348" s="12" t="str">
        <f t="shared" si="314"/>
        <v/>
      </c>
      <c r="AN1348" s="12" t="str">
        <f t="shared" si="315"/>
        <v/>
      </c>
      <c r="AO1348" s="12" t="str">
        <f t="shared" si="316"/>
        <v/>
      </c>
      <c r="AP1348" s="12" t="str">
        <f t="shared" si="317"/>
        <v/>
      </c>
      <c r="AQ1348" s="12"/>
      <c r="AS1348" s="12">
        <f t="shared" si="318"/>
        <v>0</v>
      </c>
    </row>
    <row r="1349" spans="1:45" hidden="1" x14ac:dyDescent="0.25">
      <c r="A1349" s="41">
        <f>CASOPOInvCL!T1349</f>
        <v>0</v>
      </c>
      <c r="B1349">
        <f>CASOPOInvCL!Z1349</f>
        <v>0</v>
      </c>
      <c r="G1349" s="5">
        <f>CASOPOInvCL!I1349</f>
        <v>0</v>
      </c>
      <c r="H1349" s="31">
        <f>CASOPOInvCL!U1349</f>
        <v>0</v>
      </c>
      <c r="I1349" s="31">
        <f>CASOPOInvCL!V1349</f>
        <v>0</v>
      </c>
      <c r="J1349" s="5">
        <f>CASOPOInvCL!AB1349</f>
        <v>0</v>
      </c>
      <c r="K1349" s="31">
        <f>CASOPOInvCL!W1349</f>
        <v>0</v>
      </c>
      <c r="L1349" s="31">
        <f>CASOPOInvCL!X1349</f>
        <v>0</v>
      </c>
      <c r="M1349" s="31"/>
      <c r="N1349" s="5">
        <f>CASOPOInvCL!AF1349</f>
        <v>0</v>
      </c>
      <c r="O1349" s="16">
        <f>CASOPOInvCL!AG1349</f>
        <v>0</v>
      </c>
      <c r="P1349" s="16">
        <f>CASOPOInvCL!AH1349</f>
        <v>0</v>
      </c>
      <c r="Q1349" s="16">
        <f>CASOPOInvCL!AI1349</f>
        <v>0</v>
      </c>
      <c r="R1349" s="32">
        <f>CASOPOInvCL!AU1349</f>
        <v>0</v>
      </c>
      <c r="S1349" s="16">
        <f>CASOPOInvCL!AV1349</f>
        <v>0</v>
      </c>
      <c r="T1349" s="16">
        <f>CASOPOInvCL!AW1349</f>
        <v>0</v>
      </c>
      <c r="Y1349" s="29" t="str">
        <f>IFERROR(HLOOKUP(U1356,List!$D$2:$H$6,2,FALSE),"")</f>
        <v/>
      </c>
      <c r="Z1349" s="29" t="str">
        <f>IFERROR(HLOOKUP(V1356,List!$D$2:$H$6,3,FALSE),"")</f>
        <v/>
      </c>
      <c r="AA1349" s="29" t="str">
        <f>IFERROR(HLOOKUP(W1356,List!$D$2:$H$6,4,FALSE),"")</f>
        <v/>
      </c>
      <c r="AB1349" s="29" t="str">
        <f>IFERROR(HLOOKUP(X1356,List!$D$2:$H$6,5,FALSE),"")</f>
        <v/>
      </c>
      <c r="AC1349" s="12" t="str">
        <f t="shared" si="319"/>
        <v/>
      </c>
      <c r="AD1349" s="12" t="str">
        <f t="shared" si="319"/>
        <v/>
      </c>
      <c r="AE1349" s="12" t="str">
        <f t="shared" si="319"/>
        <v/>
      </c>
      <c r="AF1349" s="12" t="str">
        <f t="shared" si="319"/>
        <v/>
      </c>
      <c r="AM1349" s="12" t="str">
        <f t="shared" si="314"/>
        <v/>
      </c>
      <c r="AN1349" s="12" t="str">
        <f t="shared" si="315"/>
        <v/>
      </c>
      <c r="AO1349" s="12" t="str">
        <f t="shared" si="316"/>
        <v/>
      </c>
      <c r="AP1349" s="12" t="str">
        <f t="shared" si="317"/>
        <v/>
      </c>
      <c r="AQ1349" s="12"/>
      <c r="AS1349" s="12">
        <f t="shared" si="318"/>
        <v>0</v>
      </c>
    </row>
    <row r="1350" spans="1:45" hidden="1" x14ac:dyDescent="0.25">
      <c r="A1350" s="41">
        <f>CASOPOInvCL!T1350</f>
        <v>0</v>
      </c>
      <c r="B1350">
        <f>CASOPOInvCL!Z1350</f>
        <v>0</v>
      </c>
      <c r="G1350" s="5">
        <f>CASOPOInvCL!I1350</f>
        <v>0</v>
      </c>
      <c r="H1350" s="31">
        <f>CASOPOInvCL!U1350</f>
        <v>0</v>
      </c>
      <c r="I1350" s="31">
        <f>CASOPOInvCL!V1350</f>
        <v>0</v>
      </c>
      <c r="J1350" s="5">
        <f>CASOPOInvCL!AB1350</f>
        <v>0</v>
      </c>
      <c r="K1350" s="31">
        <f>CASOPOInvCL!W1350</f>
        <v>0</v>
      </c>
      <c r="L1350" s="31">
        <f>CASOPOInvCL!X1350</f>
        <v>0</v>
      </c>
      <c r="M1350" s="31"/>
      <c r="N1350" s="5">
        <f>CASOPOInvCL!AF1350</f>
        <v>0</v>
      </c>
      <c r="O1350" s="16">
        <f>CASOPOInvCL!AG1350</f>
        <v>0</v>
      </c>
      <c r="P1350" s="16">
        <f>CASOPOInvCL!AH1350</f>
        <v>0</v>
      </c>
      <c r="Q1350" s="16">
        <f>CASOPOInvCL!AI1350</f>
        <v>0</v>
      </c>
      <c r="R1350" s="32">
        <f>CASOPOInvCL!AU1350</f>
        <v>0</v>
      </c>
      <c r="S1350" s="16">
        <f>CASOPOInvCL!AV1350</f>
        <v>0</v>
      </c>
      <c r="T1350" s="16">
        <f>CASOPOInvCL!AW1350</f>
        <v>0</v>
      </c>
      <c r="Y1350" s="29" t="str">
        <f>IFERROR(HLOOKUP(U1357,List!$D$2:$H$6,2,FALSE),"")</f>
        <v/>
      </c>
      <c r="Z1350" s="29" t="str">
        <f>IFERROR(HLOOKUP(V1357,List!$D$2:$H$6,3,FALSE),"")</f>
        <v/>
      </c>
      <c r="AA1350" s="29" t="str">
        <f>IFERROR(HLOOKUP(W1357,List!$D$2:$H$6,4,FALSE),"")</f>
        <v/>
      </c>
      <c r="AB1350" s="29" t="str">
        <f>IFERROR(HLOOKUP(X1357,List!$D$2:$H$6,5,FALSE),"")</f>
        <v/>
      </c>
      <c r="AC1350" s="12" t="str">
        <f t="shared" si="319"/>
        <v/>
      </c>
      <c r="AD1350" s="12" t="str">
        <f t="shared" si="319"/>
        <v/>
      </c>
      <c r="AE1350" s="12" t="str">
        <f t="shared" si="319"/>
        <v/>
      </c>
      <c r="AF1350" s="12" t="str">
        <f t="shared" si="319"/>
        <v/>
      </c>
      <c r="AM1350" s="12" t="str">
        <f t="shared" si="314"/>
        <v/>
      </c>
      <c r="AN1350" s="12" t="str">
        <f t="shared" si="315"/>
        <v/>
      </c>
      <c r="AO1350" s="12" t="str">
        <f t="shared" si="316"/>
        <v/>
      </c>
      <c r="AP1350" s="12" t="str">
        <f t="shared" si="317"/>
        <v/>
      </c>
      <c r="AQ1350" s="12"/>
      <c r="AS1350" s="12">
        <f t="shared" si="318"/>
        <v>0</v>
      </c>
    </row>
    <row r="1351" spans="1:45" hidden="1" x14ac:dyDescent="0.25">
      <c r="A1351" s="41">
        <f>CASOPOInvCL!T1351</f>
        <v>0</v>
      </c>
      <c r="B1351">
        <f>CASOPOInvCL!Z1351</f>
        <v>0</v>
      </c>
      <c r="G1351" s="5">
        <f>CASOPOInvCL!I1351</f>
        <v>0</v>
      </c>
      <c r="H1351" s="31">
        <f>CASOPOInvCL!U1351</f>
        <v>0</v>
      </c>
      <c r="I1351" s="31">
        <f>CASOPOInvCL!V1351</f>
        <v>0</v>
      </c>
      <c r="J1351" s="5">
        <f>CASOPOInvCL!AB1351</f>
        <v>0</v>
      </c>
      <c r="K1351" s="31">
        <f>CASOPOInvCL!W1351</f>
        <v>0</v>
      </c>
      <c r="L1351" s="31">
        <f>CASOPOInvCL!X1351</f>
        <v>0</v>
      </c>
      <c r="M1351" s="31"/>
      <c r="N1351" s="5">
        <f>CASOPOInvCL!AF1351</f>
        <v>0</v>
      </c>
      <c r="O1351" s="16">
        <f>CASOPOInvCL!AG1351</f>
        <v>0</v>
      </c>
      <c r="P1351" s="16">
        <f>CASOPOInvCL!AH1351</f>
        <v>0</v>
      </c>
      <c r="Q1351" s="16">
        <f>CASOPOInvCL!AI1351</f>
        <v>0</v>
      </c>
      <c r="R1351" s="32">
        <f>CASOPOInvCL!AU1351</f>
        <v>0</v>
      </c>
      <c r="S1351" s="16">
        <f>CASOPOInvCL!AV1351</f>
        <v>0</v>
      </c>
      <c r="T1351" s="16">
        <f>CASOPOInvCL!AW1351</f>
        <v>0</v>
      </c>
      <c r="Y1351" s="29" t="str">
        <f>IFERROR(HLOOKUP(U1358,List!$D$2:$H$6,2,FALSE),"")</f>
        <v/>
      </c>
      <c r="Z1351" s="29" t="str">
        <f>IFERROR(HLOOKUP(V1358,List!$D$2:$H$6,3,FALSE),"")</f>
        <v/>
      </c>
      <c r="AA1351" s="29" t="str">
        <f>IFERROR(HLOOKUP(W1358,List!$D$2:$H$6,4,FALSE),"")</f>
        <v/>
      </c>
      <c r="AB1351" s="29" t="str">
        <f>IFERROR(HLOOKUP(X1358,List!$D$2:$H$6,5,FALSE),"")</f>
        <v/>
      </c>
      <c r="AC1351" s="12" t="str">
        <f t="shared" si="319"/>
        <v/>
      </c>
      <c r="AD1351" s="12" t="str">
        <f t="shared" si="319"/>
        <v/>
      </c>
      <c r="AE1351" s="12" t="str">
        <f t="shared" si="319"/>
        <v/>
      </c>
      <c r="AF1351" s="12" t="str">
        <f t="shared" si="319"/>
        <v/>
      </c>
      <c r="AM1351" s="12" t="str">
        <f t="shared" si="314"/>
        <v/>
      </c>
      <c r="AN1351" s="12" t="str">
        <f t="shared" si="315"/>
        <v/>
      </c>
      <c r="AO1351" s="12" t="str">
        <f t="shared" si="316"/>
        <v/>
      </c>
      <c r="AP1351" s="12" t="str">
        <f t="shared" si="317"/>
        <v/>
      </c>
      <c r="AQ1351" s="12"/>
      <c r="AS1351" s="12">
        <f t="shared" si="318"/>
        <v>0</v>
      </c>
    </row>
    <row r="1352" spans="1:45" hidden="1" x14ac:dyDescent="0.25">
      <c r="A1352" s="41">
        <f>CASOPOInvCL!T1352</f>
        <v>0</v>
      </c>
      <c r="B1352">
        <f>CASOPOInvCL!Z1352</f>
        <v>0</v>
      </c>
      <c r="G1352" s="5">
        <f>CASOPOInvCL!I1352</f>
        <v>0</v>
      </c>
      <c r="H1352" s="31">
        <f>CASOPOInvCL!U1352</f>
        <v>0</v>
      </c>
      <c r="I1352" s="31">
        <f>CASOPOInvCL!V1352</f>
        <v>0</v>
      </c>
      <c r="J1352" s="5">
        <f>CASOPOInvCL!AB1352</f>
        <v>0</v>
      </c>
      <c r="K1352" s="31">
        <f>CASOPOInvCL!W1352</f>
        <v>0</v>
      </c>
      <c r="L1352" s="31">
        <f>CASOPOInvCL!X1352</f>
        <v>0</v>
      </c>
      <c r="M1352" s="31"/>
      <c r="N1352" s="5">
        <f>CASOPOInvCL!AF1352</f>
        <v>0</v>
      </c>
      <c r="O1352" s="16">
        <f>CASOPOInvCL!AG1352</f>
        <v>0</v>
      </c>
      <c r="P1352" s="16">
        <f>CASOPOInvCL!AH1352</f>
        <v>0</v>
      </c>
      <c r="Q1352" s="16">
        <f>CASOPOInvCL!AI1352</f>
        <v>0</v>
      </c>
      <c r="R1352" s="32">
        <f>CASOPOInvCL!AU1352</f>
        <v>0</v>
      </c>
      <c r="S1352" s="16">
        <f>CASOPOInvCL!AV1352</f>
        <v>0</v>
      </c>
      <c r="T1352" s="16">
        <f>CASOPOInvCL!AW1352</f>
        <v>0</v>
      </c>
      <c r="Y1352" s="29" t="str">
        <f>IFERROR(HLOOKUP(U1359,List!$D$2:$H$6,2,FALSE),"")</f>
        <v/>
      </c>
      <c r="Z1352" s="29" t="str">
        <f>IFERROR(HLOOKUP(V1359,List!$D$2:$H$6,3,FALSE),"")</f>
        <v/>
      </c>
      <c r="AA1352" s="29" t="str">
        <f>IFERROR(HLOOKUP(W1359,List!$D$2:$H$6,4,FALSE),"")</f>
        <v/>
      </c>
      <c r="AB1352" s="29" t="str">
        <f>IFERROR(HLOOKUP(X1359,List!$D$2:$H$6,5,FALSE),"")</f>
        <v/>
      </c>
      <c r="AC1352" s="12" t="str">
        <f t="shared" si="319"/>
        <v/>
      </c>
      <c r="AD1352" s="12" t="str">
        <f t="shared" si="319"/>
        <v/>
      </c>
      <c r="AE1352" s="12" t="str">
        <f t="shared" si="319"/>
        <v/>
      </c>
      <c r="AF1352" s="12" t="str">
        <f t="shared" si="319"/>
        <v/>
      </c>
      <c r="AM1352" s="12" t="str">
        <f t="shared" si="314"/>
        <v/>
      </c>
      <c r="AN1352" s="12" t="str">
        <f t="shared" si="315"/>
        <v/>
      </c>
      <c r="AO1352" s="12" t="str">
        <f t="shared" si="316"/>
        <v/>
      </c>
      <c r="AP1352" s="12" t="str">
        <f t="shared" si="317"/>
        <v/>
      </c>
      <c r="AQ1352" s="12"/>
      <c r="AS1352" s="12">
        <f t="shared" si="318"/>
        <v>0</v>
      </c>
    </row>
    <row r="1353" spans="1:45" hidden="1" x14ac:dyDescent="0.25">
      <c r="A1353" s="41">
        <f>CASOPOInvCL!T1353</f>
        <v>0</v>
      </c>
      <c r="B1353">
        <f>CASOPOInvCL!Z1353</f>
        <v>0</v>
      </c>
      <c r="G1353" s="5">
        <f>CASOPOInvCL!I1353</f>
        <v>0</v>
      </c>
      <c r="H1353" s="31">
        <f>CASOPOInvCL!U1353</f>
        <v>0</v>
      </c>
      <c r="I1353" s="31">
        <f>CASOPOInvCL!V1353</f>
        <v>0</v>
      </c>
      <c r="J1353" s="5">
        <f>CASOPOInvCL!AB1353</f>
        <v>0</v>
      </c>
      <c r="K1353" s="31">
        <f>CASOPOInvCL!W1353</f>
        <v>0</v>
      </c>
      <c r="L1353" s="31">
        <f>CASOPOInvCL!X1353</f>
        <v>0</v>
      </c>
      <c r="M1353" s="31"/>
      <c r="N1353" s="5">
        <f>CASOPOInvCL!AF1353</f>
        <v>0</v>
      </c>
      <c r="O1353" s="16">
        <f>CASOPOInvCL!AG1353</f>
        <v>0</v>
      </c>
      <c r="P1353" s="16">
        <f>CASOPOInvCL!AH1353</f>
        <v>0</v>
      </c>
      <c r="Q1353" s="16">
        <f>CASOPOInvCL!AI1353</f>
        <v>0</v>
      </c>
      <c r="R1353" s="32">
        <f>CASOPOInvCL!AU1353</f>
        <v>0</v>
      </c>
      <c r="S1353" s="16">
        <f>CASOPOInvCL!AV1353</f>
        <v>0</v>
      </c>
      <c r="T1353" s="16">
        <f>CASOPOInvCL!AW1353</f>
        <v>0</v>
      </c>
      <c r="Y1353" s="29" t="str">
        <f>IFERROR(HLOOKUP(U1360,List!$D$2:$H$6,2,FALSE),"")</f>
        <v/>
      </c>
      <c r="Z1353" s="29" t="str">
        <f>IFERROR(HLOOKUP(V1360,List!$D$2:$H$6,3,FALSE),"")</f>
        <v/>
      </c>
      <c r="AA1353" s="29" t="str">
        <f>IFERROR(HLOOKUP(W1360,List!$D$2:$H$6,4,FALSE),"")</f>
        <v/>
      </c>
      <c r="AB1353" s="29" t="str">
        <f>IFERROR(HLOOKUP(X1360,List!$D$2:$H$6,5,FALSE),"")</f>
        <v/>
      </c>
      <c r="AC1353" s="12" t="str">
        <f t="shared" si="319"/>
        <v/>
      </c>
      <c r="AD1353" s="12" t="str">
        <f t="shared" si="319"/>
        <v/>
      </c>
      <c r="AE1353" s="12" t="str">
        <f t="shared" si="319"/>
        <v/>
      </c>
      <c r="AF1353" s="12" t="str">
        <f t="shared" si="319"/>
        <v/>
      </c>
      <c r="AM1353" s="12" t="str">
        <f t="shared" si="314"/>
        <v/>
      </c>
      <c r="AN1353" s="12" t="str">
        <f t="shared" si="315"/>
        <v/>
      </c>
      <c r="AO1353" s="12" t="str">
        <f t="shared" si="316"/>
        <v/>
      </c>
      <c r="AP1353" s="12" t="str">
        <f t="shared" si="317"/>
        <v/>
      </c>
      <c r="AQ1353" s="12"/>
      <c r="AS1353" s="12">
        <f t="shared" si="318"/>
        <v>0</v>
      </c>
    </row>
    <row r="1354" spans="1:45" hidden="1" x14ac:dyDescent="0.25">
      <c r="A1354" s="41">
        <f>CASOPOInvCL!T1354</f>
        <v>0</v>
      </c>
      <c r="B1354">
        <f>CASOPOInvCL!Z1354</f>
        <v>0</v>
      </c>
      <c r="G1354" s="5">
        <f>CASOPOInvCL!I1354</f>
        <v>0</v>
      </c>
      <c r="H1354" s="31">
        <f>CASOPOInvCL!U1354</f>
        <v>0</v>
      </c>
      <c r="I1354" s="31">
        <f>CASOPOInvCL!V1354</f>
        <v>0</v>
      </c>
      <c r="J1354" s="5">
        <f>CASOPOInvCL!AB1354</f>
        <v>0</v>
      </c>
      <c r="K1354" s="31">
        <f>CASOPOInvCL!W1354</f>
        <v>0</v>
      </c>
      <c r="L1354" s="31">
        <f>CASOPOInvCL!X1354</f>
        <v>0</v>
      </c>
      <c r="M1354" s="31"/>
      <c r="N1354" s="5">
        <f>CASOPOInvCL!AF1354</f>
        <v>0</v>
      </c>
      <c r="O1354" s="16">
        <f>CASOPOInvCL!AG1354</f>
        <v>0</v>
      </c>
      <c r="P1354" s="16">
        <f>CASOPOInvCL!AH1354</f>
        <v>0</v>
      </c>
      <c r="Q1354" s="16">
        <f>CASOPOInvCL!AI1354</f>
        <v>0</v>
      </c>
      <c r="R1354" s="32">
        <f>CASOPOInvCL!AU1354</f>
        <v>0</v>
      </c>
      <c r="S1354" s="16">
        <f>CASOPOInvCL!AV1354</f>
        <v>0</v>
      </c>
      <c r="T1354" s="16">
        <f>CASOPOInvCL!AW1354</f>
        <v>0</v>
      </c>
      <c r="Y1354" s="29" t="str">
        <f>IFERROR(HLOOKUP(U1361,List!$D$2:$H$6,2,FALSE),"")</f>
        <v/>
      </c>
      <c r="Z1354" s="29" t="str">
        <f>IFERROR(HLOOKUP(V1361,List!$D$2:$H$6,3,FALSE),"")</f>
        <v/>
      </c>
      <c r="AA1354" s="29" t="str">
        <f>IFERROR(HLOOKUP(W1361,List!$D$2:$H$6,4,FALSE),"")</f>
        <v/>
      </c>
      <c r="AB1354" s="29" t="str">
        <f>IFERROR(HLOOKUP(X1361,List!$D$2:$H$6,5,FALSE),"")</f>
        <v/>
      </c>
      <c r="AC1354" s="12" t="str">
        <f t="shared" si="319"/>
        <v/>
      </c>
      <c r="AD1354" s="12" t="str">
        <f t="shared" si="319"/>
        <v/>
      </c>
      <c r="AE1354" s="12" t="str">
        <f t="shared" si="319"/>
        <v/>
      </c>
      <c r="AF1354" s="12" t="str">
        <f t="shared" si="319"/>
        <v/>
      </c>
      <c r="AM1354" s="12" t="str">
        <f t="shared" si="314"/>
        <v/>
      </c>
      <c r="AN1354" s="12" t="str">
        <f t="shared" si="315"/>
        <v/>
      </c>
      <c r="AO1354" s="12" t="str">
        <f t="shared" si="316"/>
        <v/>
      </c>
      <c r="AP1354" s="12" t="str">
        <f t="shared" si="317"/>
        <v/>
      </c>
      <c r="AQ1354" s="12"/>
      <c r="AS1354" s="12">
        <f t="shared" ref="AS1354:AS1417" si="320">T1347*1.5%</f>
        <v>0</v>
      </c>
    </row>
    <row r="1355" spans="1:45" hidden="1" x14ac:dyDescent="0.25">
      <c r="A1355" s="41">
        <f>CASOPOInvCL!T1355</f>
        <v>0</v>
      </c>
      <c r="B1355">
        <f>CASOPOInvCL!Z1355</f>
        <v>0</v>
      </c>
      <c r="G1355" s="5">
        <f>CASOPOInvCL!I1355</f>
        <v>0</v>
      </c>
      <c r="H1355" s="31">
        <f>CASOPOInvCL!U1355</f>
        <v>0</v>
      </c>
      <c r="I1355" s="31">
        <f>CASOPOInvCL!V1355</f>
        <v>0</v>
      </c>
      <c r="J1355" s="5">
        <f>CASOPOInvCL!AB1355</f>
        <v>0</v>
      </c>
      <c r="K1355" s="31">
        <f>CASOPOInvCL!W1355</f>
        <v>0</v>
      </c>
      <c r="L1355" s="31">
        <f>CASOPOInvCL!X1355</f>
        <v>0</v>
      </c>
      <c r="M1355" s="31"/>
      <c r="N1355" s="5">
        <f>CASOPOInvCL!AF1355</f>
        <v>0</v>
      </c>
      <c r="O1355" s="16">
        <f>CASOPOInvCL!AG1355</f>
        <v>0</v>
      </c>
      <c r="P1355" s="16">
        <f>CASOPOInvCL!AH1355</f>
        <v>0</v>
      </c>
      <c r="Q1355" s="16">
        <f>CASOPOInvCL!AI1355</f>
        <v>0</v>
      </c>
      <c r="R1355" s="32">
        <f>CASOPOInvCL!AU1355</f>
        <v>0</v>
      </c>
      <c r="S1355" s="16">
        <f>CASOPOInvCL!AV1355</f>
        <v>0</v>
      </c>
      <c r="T1355" s="16">
        <f>CASOPOInvCL!AW1355</f>
        <v>0</v>
      </c>
      <c r="Y1355" s="29" t="str">
        <f>IFERROR(HLOOKUP(U1362,List!$D$2:$H$6,2,FALSE),"")</f>
        <v/>
      </c>
      <c r="Z1355" s="29" t="str">
        <f>IFERROR(HLOOKUP(V1362,List!$D$2:$H$6,3,FALSE),"")</f>
        <v/>
      </c>
      <c r="AA1355" s="29" t="str">
        <f>IFERROR(HLOOKUP(W1362,List!$D$2:$H$6,4,FALSE),"")</f>
        <v/>
      </c>
      <c r="AB1355" s="29" t="str">
        <f>IFERROR(HLOOKUP(X1362,List!$D$2:$H$6,5,FALSE),"")</f>
        <v/>
      </c>
      <c r="AC1355" s="12" t="str">
        <f t="shared" si="319"/>
        <v/>
      </c>
      <c r="AD1355" s="12" t="str">
        <f t="shared" si="319"/>
        <v/>
      </c>
      <c r="AE1355" s="12" t="str">
        <f t="shared" si="319"/>
        <v/>
      </c>
      <c r="AF1355" s="12" t="str">
        <f t="shared" si="319"/>
        <v/>
      </c>
      <c r="AM1355" s="12" t="str">
        <f t="shared" si="314"/>
        <v/>
      </c>
      <c r="AN1355" s="12" t="str">
        <f t="shared" si="315"/>
        <v/>
      </c>
      <c r="AO1355" s="12" t="str">
        <f t="shared" si="316"/>
        <v/>
      </c>
      <c r="AP1355" s="12" t="str">
        <f t="shared" si="317"/>
        <v/>
      </c>
      <c r="AQ1355" s="12"/>
      <c r="AS1355" s="12">
        <f t="shared" si="320"/>
        <v>0</v>
      </c>
    </row>
    <row r="1356" spans="1:45" hidden="1" x14ac:dyDescent="0.25">
      <c r="A1356" s="41">
        <f>CASOPOInvCL!T1356</f>
        <v>0</v>
      </c>
      <c r="B1356">
        <f>CASOPOInvCL!Z1356</f>
        <v>0</v>
      </c>
      <c r="G1356" s="5">
        <f>CASOPOInvCL!I1356</f>
        <v>0</v>
      </c>
      <c r="H1356" s="31">
        <f>CASOPOInvCL!U1356</f>
        <v>0</v>
      </c>
      <c r="I1356" s="31">
        <f>CASOPOInvCL!V1356</f>
        <v>0</v>
      </c>
      <c r="J1356" s="5">
        <f>CASOPOInvCL!AB1356</f>
        <v>0</v>
      </c>
      <c r="K1356" s="31">
        <f>CASOPOInvCL!W1356</f>
        <v>0</v>
      </c>
      <c r="L1356" s="31">
        <f>CASOPOInvCL!X1356</f>
        <v>0</v>
      </c>
      <c r="M1356" s="31"/>
      <c r="N1356" s="5">
        <f>CASOPOInvCL!AF1356</f>
        <v>0</v>
      </c>
      <c r="O1356" s="16">
        <f>CASOPOInvCL!AG1356</f>
        <v>0</v>
      </c>
      <c r="P1356" s="16">
        <f>CASOPOInvCL!AH1356</f>
        <v>0</v>
      </c>
      <c r="Q1356" s="16">
        <f>CASOPOInvCL!AI1356</f>
        <v>0</v>
      </c>
      <c r="R1356" s="32">
        <f>CASOPOInvCL!AU1356</f>
        <v>0</v>
      </c>
      <c r="S1356" s="16">
        <f>CASOPOInvCL!AV1356</f>
        <v>0</v>
      </c>
      <c r="T1356" s="16">
        <f>CASOPOInvCL!AW1356</f>
        <v>0</v>
      </c>
      <c r="Y1356" s="29" t="str">
        <f>IFERROR(HLOOKUP(U1363,List!$D$2:$H$6,2,FALSE),"")</f>
        <v/>
      </c>
      <c r="Z1356" s="29" t="str">
        <f>IFERROR(HLOOKUP(V1363,List!$D$2:$H$6,3,FALSE),"")</f>
        <v/>
      </c>
      <c r="AA1356" s="29" t="str">
        <f>IFERROR(HLOOKUP(W1363,List!$D$2:$H$6,4,FALSE),"")</f>
        <v/>
      </c>
      <c r="AB1356" s="29" t="str">
        <f>IFERROR(HLOOKUP(X1363,List!$D$2:$H$6,5,FALSE),"")</f>
        <v/>
      </c>
      <c r="AC1356" s="12" t="str">
        <f t="shared" si="319"/>
        <v/>
      </c>
      <c r="AD1356" s="12" t="str">
        <f t="shared" si="319"/>
        <v/>
      </c>
      <c r="AE1356" s="12" t="str">
        <f t="shared" si="319"/>
        <v/>
      </c>
      <c r="AF1356" s="12" t="str">
        <f t="shared" si="319"/>
        <v/>
      </c>
      <c r="AM1356" s="12" t="str">
        <f t="shared" si="314"/>
        <v/>
      </c>
      <c r="AN1356" s="12" t="str">
        <f t="shared" si="315"/>
        <v/>
      </c>
      <c r="AO1356" s="12" t="str">
        <f t="shared" si="316"/>
        <v/>
      </c>
      <c r="AP1356" s="12" t="str">
        <f t="shared" si="317"/>
        <v/>
      </c>
      <c r="AQ1356" s="12"/>
      <c r="AS1356" s="12">
        <f t="shared" si="320"/>
        <v>0</v>
      </c>
    </row>
    <row r="1357" spans="1:45" hidden="1" x14ac:dyDescent="0.25">
      <c r="A1357" s="41">
        <f>CASOPOInvCL!T1357</f>
        <v>0</v>
      </c>
      <c r="B1357">
        <f>CASOPOInvCL!Z1357</f>
        <v>0</v>
      </c>
      <c r="G1357" s="5">
        <f>CASOPOInvCL!I1357</f>
        <v>0</v>
      </c>
      <c r="H1357" s="31">
        <f>CASOPOInvCL!U1357</f>
        <v>0</v>
      </c>
      <c r="I1357" s="31">
        <f>CASOPOInvCL!V1357</f>
        <v>0</v>
      </c>
      <c r="J1357" s="5">
        <f>CASOPOInvCL!AB1357</f>
        <v>0</v>
      </c>
      <c r="K1357" s="31">
        <f>CASOPOInvCL!W1357</f>
        <v>0</v>
      </c>
      <c r="L1357" s="31">
        <f>CASOPOInvCL!X1357</f>
        <v>0</v>
      </c>
      <c r="M1357" s="31"/>
      <c r="N1357" s="5">
        <f>CASOPOInvCL!AF1357</f>
        <v>0</v>
      </c>
      <c r="O1357" s="16">
        <f>CASOPOInvCL!AG1357</f>
        <v>0</v>
      </c>
      <c r="P1357" s="16">
        <f>CASOPOInvCL!AH1357</f>
        <v>0</v>
      </c>
      <c r="Q1357" s="16">
        <f>CASOPOInvCL!AI1357</f>
        <v>0</v>
      </c>
      <c r="R1357" s="32">
        <f>CASOPOInvCL!AU1357</f>
        <v>0</v>
      </c>
      <c r="S1357" s="16">
        <f>CASOPOInvCL!AV1357</f>
        <v>0</v>
      </c>
      <c r="T1357" s="16">
        <f>CASOPOInvCL!AW1357</f>
        <v>0</v>
      </c>
      <c r="Y1357" s="29" t="str">
        <f>IFERROR(HLOOKUP(U1364,List!$D$2:$H$6,2,FALSE),"")</f>
        <v/>
      </c>
      <c r="Z1357" s="29" t="str">
        <f>IFERROR(HLOOKUP(V1364,List!$D$2:$H$6,3,FALSE),"")</f>
        <v/>
      </c>
      <c r="AA1357" s="29" t="str">
        <f>IFERROR(HLOOKUP(W1364,List!$D$2:$H$6,4,FALSE),"")</f>
        <v/>
      </c>
      <c r="AB1357" s="29" t="str">
        <f>IFERROR(HLOOKUP(X1364,List!$D$2:$H$6,5,FALSE),"")</f>
        <v/>
      </c>
      <c r="AC1357" s="12" t="str">
        <f t="shared" si="319"/>
        <v/>
      </c>
      <c r="AD1357" s="12" t="str">
        <f t="shared" si="319"/>
        <v/>
      </c>
      <c r="AE1357" s="12" t="str">
        <f t="shared" si="319"/>
        <v/>
      </c>
      <c r="AF1357" s="12" t="str">
        <f t="shared" si="319"/>
        <v/>
      </c>
      <c r="AM1357" s="12" t="str">
        <f t="shared" si="314"/>
        <v/>
      </c>
      <c r="AN1357" s="12" t="str">
        <f t="shared" si="315"/>
        <v/>
      </c>
      <c r="AO1357" s="12" t="str">
        <f t="shared" si="316"/>
        <v/>
      </c>
      <c r="AP1357" s="12" t="str">
        <f t="shared" si="317"/>
        <v/>
      </c>
      <c r="AQ1357" s="12"/>
      <c r="AS1357" s="12">
        <f t="shared" si="320"/>
        <v>0</v>
      </c>
    </row>
    <row r="1358" spans="1:45" hidden="1" x14ac:dyDescent="0.25">
      <c r="A1358" s="41">
        <f>CASOPOInvCL!T1358</f>
        <v>0</v>
      </c>
      <c r="B1358">
        <f>CASOPOInvCL!Z1358</f>
        <v>0</v>
      </c>
      <c r="G1358" s="5">
        <f>CASOPOInvCL!I1358</f>
        <v>0</v>
      </c>
      <c r="H1358" s="31">
        <f>CASOPOInvCL!U1358</f>
        <v>0</v>
      </c>
      <c r="I1358" s="31">
        <f>CASOPOInvCL!V1358</f>
        <v>0</v>
      </c>
      <c r="J1358" s="5">
        <f>CASOPOInvCL!AB1358</f>
        <v>0</v>
      </c>
      <c r="K1358" s="31">
        <f>CASOPOInvCL!W1358</f>
        <v>0</v>
      </c>
      <c r="L1358" s="31">
        <f>CASOPOInvCL!X1358</f>
        <v>0</v>
      </c>
      <c r="M1358" s="31"/>
      <c r="N1358" s="5">
        <f>CASOPOInvCL!AF1358</f>
        <v>0</v>
      </c>
      <c r="O1358" s="16">
        <f>CASOPOInvCL!AG1358</f>
        <v>0</v>
      </c>
      <c r="P1358" s="16">
        <f>CASOPOInvCL!AH1358</f>
        <v>0</v>
      </c>
      <c r="Q1358" s="16">
        <f>CASOPOInvCL!AI1358</f>
        <v>0</v>
      </c>
      <c r="R1358" s="32">
        <f>CASOPOInvCL!AU1358</f>
        <v>0</v>
      </c>
      <c r="S1358" s="16">
        <f>CASOPOInvCL!AV1358</f>
        <v>0</v>
      </c>
      <c r="T1358" s="16">
        <f>CASOPOInvCL!AW1358</f>
        <v>0</v>
      </c>
      <c r="Y1358" s="29" t="str">
        <f>IFERROR(HLOOKUP(U1365,List!$D$2:$H$6,2,FALSE),"")</f>
        <v/>
      </c>
      <c r="Z1358" s="29" t="str">
        <f>IFERROR(HLOOKUP(V1365,List!$D$2:$H$6,3,FALSE),"")</f>
        <v/>
      </c>
      <c r="AA1358" s="29" t="str">
        <f>IFERROR(HLOOKUP(W1365,List!$D$2:$H$6,4,FALSE),"")</f>
        <v/>
      </c>
      <c r="AB1358" s="29" t="str">
        <f>IFERROR(HLOOKUP(X1365,List!$D$2:$H$6,5,FALSE),"")</f>
        <v/>
      </c>
      <c r="AC1358" s="12" t="str">
        <f t="shared" si="319"/>
        <v/>
      </c>
      <c r="AD1358" s="12" t="str">
        <f t="shared" si="319"/>
        <v/>
      </c>
      <c r="AE1358" s="12" t="str">
        <f t="shared" si="319"/>
        <v/>
      </c>
      <c r="AF1358" s="12" t="str">
        <f t="shared" si="319"/>
        <v/>
      </c>
      <c r="AM1358" s="12" t="str">
        <f t="shared" si="314"/>
        <v/>
      </c>
      <c r="AN1358" s="12" t="str">
        <f t="shared" si="315"/>
        <v/>
      </c>
      <c r="AO1358" s="12" t="str">
        <f t="shared" si="316"/>
        <v/>
      </c>
      <c r="AP1358" s="12" t="str">
        <f t="shared" si="317"/>
        <v/>
      </c>
      <c r="AQ1358" s="12"/>
      <c r="AS1358" s="12">
        <f t="shared" si="320"/>
        <v>0</v>
      </c>
    </row>
    <row r="1359" spans="1:45" hidden="1" x14ac:dyDescent="0.25">
      <c r="A1359" s="41">
        <f>CASOPOInvCL!T1359</f>
        <v>0</v>
      </c>
      <c r="B1359">
        <f>CASOPOInvCL!Z1359</f>
        <v>0</v>
      </c>
      <c r="G1359" s="5">
        <f>CASOPOInvCL!I1359</f>
        <v>0</v>
      </c>
      <c r="H1359" s="31">
        <f>CASOPOInvCL!U1359</f>
        <v>0</v>
      </c>
      <c r="I1359" s="31">
        <f>CASOPOInvCL!V1359</f>
        <v>0</v>
      </c>
      <c r="J1359" s="5">
        <f>CASOPOInvCL!AB1359</f>
        <v>0</v>
      </c>
      <c r="K1359" s="31">
        <f>CASOPOInvCL!W1359</f>
        <v>0</v>
      </c>
      <c r="L1359" s="31">
        <f>CASOPOInvCL!X1359</f>
        <v>0</v>
      </c>
      <c r="M1359" s="31"/>
      <c r="N1359" s="5">
        <f>CASOPOInvCL!AF1359</f>
        <v>0</v>
      </c>
      <c r="O1359" s="16">
        <f>CASOPOInvCL!AG1359</f>
        <v>0</v>
      </c>
      <c r="P1359" s="16">
        <f>CASOPOInvCL!AH1359</f>
        <v>0</v>
      </c>
      <c r="Q1359" s="16">
        <f>CASOPOInvCL!AI1359</f>
        <v>0</v>
      </c>
      <c r="R1359" s="32">
        <f>CASOPOInvCL!AU1359</f>
        <v>0</v>
      </c>
      <c r="S1359" s="16">
        <f>CASOPOInvCL!AV1359</f>
        <v>0</v>
      </c>
      <c r="T1359" s="16">
        <f>CASOPOInvCL!AW1359</f>
        <v>0</v>
      </c>
      <c r="Y1359" s="29" t="str">
        <f>IFERROR(HLOOKUP(U1366,List!$D$2:$H$6,2,FALSE),"")</f>
        <v/>
      </c>
      <c r="Z1359" s="29" t="str">
        <f>IFERROR(HLOOKUP(V1366,List!$D$2:$H$6,3,FALSE),"")</f>
        <v/>
      </c>
      <c r="AA1359" s="29" t="str">
        <f>IFERROR(HLOOKUP(W1366,List!$D$2:$H$6,4,FALSE),"")</f>
        <v/>
      </c>
      <c r="AB1359" s="29" t="str">
        <f>IFERROR(HLOOKUP(X1366,List!$D$2:$H$6,5,FALSE),"")</f>
        <v/>
      </c>
      <c r="AC1359" s="12" t="str">
        <f t="shared" si="319"/>
        <v/>
      </c>
      <c r="AD1359" s="12" t="str">
        <f t="shared" si="319"/>
        <v/>
      </c>
      <c r="AE1359" s="12" t="str">
        <f t="shared" si="319"/>
        <v/>
      </c>
      <c r="AF1359" s="12" t="str">
        <f t="shared" si="319"/>
        <v/>
      </c>
      <c r="AM1359" s="12" t="str">
        <f t="shared" si="314"/>
        <v/>
      </c>
      <c r="AN1359" s="12" t="str">
        <f t="shared" si="315"/>
        <v/>
      </c>
      <c r="AO1359" s="12" t="str">
        <f t="shared" si="316"/>
        <v/>
      </c>
      <c r="AP1359" s="12" t="str">
        <f t="shared" si="317"/>
        <v/>
      </c>
      <c r="AQ1359" s="12"/>
      <c r="AS1359" s="12">
        <f t="shared" si="320"/>
        <v>0</v>
      </c>
    </row>
    <row r="1360" spans="1:45" hidden="1" x14ac:dyDescent="0.25">
      <c r="A1360" s="41">
        <f>CASOPOInvCL!T1360</f>
        <v>0</v>
      </c>
      <c r="B1360">
        <f>CASOPOInvCL!Z1360</f>
        <v>0</v>
      </c>
      <c r="G1360" s="5">
        <f>CASOPOInvCL!I1360</f>
        <v>0</v>
      </c>
      <c r="H1360" s="31">
        <f>CASOPOInvCL!U1360</f>
        <v>0</v>
      </c>
      <c r="I1360" s="31">
        <f>CASOPOInvCL!V1360</f>
        <v>0</v>
      </c>
      <c r="J1360" s="5">
        <f>CASOPOInvCL!AB1360</f>
        <v>0</v>
      </c>
      <c r="K1360" s="31">
        <f>CASOPOInvCL!W1360</f>
        <v>0</v>
      </c>
      <c r="L1360" s="31">
        <f>CASOPOInvCL!X1360</f>
        <v>0</v>
      </c>
      <c r="M1360" s="31"/>
      <c r="N1360" s="5">
        <f>CASOPOInvCL!AF1360</f>
        <v>0</v>
      </c>
      <c r="O1360" s="16">
        <f>CASOPOInvCL!AG1360</f>
        <v>0</v>
      </c>
      <c r="P1360" s="16">
        <f>CASOPOInvCL!AH1360</f>
        <v>0</v>
      </c>
      <c r="Q1360" s="16">
        <f>CASOPOInvCL!AI1360</f>
        <v>0</v>
      </c>
      <c r="R1360" s="32">
        <f>CASOPOInvCL!AU1360</f>
        <v>0</v>
      </c>
      <c r="S1360" s="16">
        <f>CASOPOInvCL!AV1360</f>
        <v>0</v>
      </c>
      <c r="T1360" s="16">
        <f>CASOPOInvCL!AW1360</f>
        <v>0</v>
      </c>
      <c r="Y1360" s="29" t="str">
        <f>IFERROR(HLOOKUP(U1367,List!$D$2:$H$6,2,FALSE),"")</f>
        <v/>
      </c>
      <c r="Z1360" s="29" t="str">
        <f>IFERROR(HLOOKUP(V1367,List!$D$2:$H$6,3,FALSE),"")</f>
        <v/>
      </c>
      <c r="AA1360" s="29" t="str">
        <f>IFERROR(HLOOKUP(W1367,List!$D$2:$H$6,4,FALSE),"")</f>
        <v/>
      </c>
      <c r="AB1360" s="29" t="str">
        <f>IFERROR(HLOOKUP(X1367,List!$D$2:$H$6,5,FALSE),"")</f>
        <v/>
      </c>
      <c r="AC1360" s="12" t="str">
        <f t="shared" si="319"/>
        <v/>
      </c>
      <c r="AD1360" s="12" t="str">
        <f t="shared" si="319"/>
        <v/>
      </c>
      <c r="AE1360" s="12" t="str">
        <f t="shared" si="319"/>
        <v/>
      </c>
      <c r="AF1360" s="12" t="str">
        <f t="shared" si="319"/>
        <v/>
      </c>
      <c r="AM1360" s="12" t="str">
        <f t="shared" si="314"/>
        <v/>
      </c>
      <c r="AN1360" s="12" t="str">
        <f t="shared" si="315"/>
        <v/>
      </c>
      <c r="AO1360" s="12" t="str">
        <f t="shared" si="316"/>
        <v/>
      </c>
      <c r="AP1360" s="12" t="str">
        <f t="shared" si="317"/>
        <v/>
      </c>
      <c r="AQ1360" s="12"/>
      <c r="AS1360" s="12">
        <f t="shared" si="320"/>
        <v>0</v>
      </c>
    </row>
    <row r="1361" spans="1:45" hidden="1" x14ac:dyDescent="0.25">
      <c r="A1361" s="41">
        <f>CASOPOInvCL!T1361</f>
        <v>0</v>
      </c>
      <c r="B1361">
        <f>CASOPOInvCL!Z1361</f>
        <v>0</v>
      </c>
      <c r="G1361" s="5">
        <f>CASOPOInvCL!I1361</f>
        <v>0</v>
      </c>
      <c r="H1361" s="31">
        <f>CASOPOInvCL!U1361</f>
        <v>0</v>
      </c>
      <c r="I1361" s="31">
        <f>CASOPOInvCL!V1361</f>
        <v>0</v>
      </c>
      <c r="J1361" s="5">
        <f>CASOPOInvCL!AB1361</f>
        <v>0</v>
      </c>
      <c r="K1361" s="31">
        <f>CASOPOInvCL!W1361</f>
        <v>0</v>
      </c>
      <c r="L1361" s="31">
        <f>CASOPOInvCL!X1361</f>
        <v>0</v>
      </c>
      <c r="M1361" s="31"/>
      <c r="N1361" s="5">
        <f>CASOPOInvCL!AF1361</f>
        <v>0</v>
      </c>
      <c r="O1361" s="16">
        <f>CASOPOInvCL!AG1361</f>
        <v>0</v>
      </c>
      <c r="P1361" s="16">
        <f>CASOPOInvCL!AH1361</f>
        <v>0</v>
      </c>
      <c r="Q1361" s="16">
        <f>CASOPOInvCL!AI1361</f>
        <v>0</v>
      </c>
      <c r="R1361" s="32">
        <f>CASOPOInvCL!AU1361</f>
        <v>0</v>
      </c>
      <c r="S1361" s="16">
        <f>CASOPOInvCL!AV1361</f>
        <v>0</v>
      </c>
      <c r="T1361" s="16">
        <f>CASOPOInvCL!AW1361</f>
        <v>0</v>
      </c>
      <c r="Y1361" s="29" t="str">
        <f>IFERROR(HLOOKUP(U1368,List!$D$2:$H$6,2,FALSE),"")</f>
        <v/>
      </c>
      <c r="Z1361" s="29" t="str">
        <f>IFERROR(HLOOKUP(V1368,List!$D$2:$H$6,3,FALSE),"")</f>
        <v/>
      </c>
      <c r="AA1361" s="29" t="str">
        <f>IFERROR(HLOOKUP(W1368,List!$D$2:$H$6,4,FALSE),"")</f>
        <v/>
      </c>
      <c r="AB1361" s="29" t="str">
        <f>IFERROR(HLOOKUP(X1368,List!$D$2:$H$6,5,FALSE),"")</f>
        <v/>
      </c>
      <c r="AC1361" s="12" t="str">
        <f t="shared" si="319"/>
        <v/>
      </c>
      <c r="AD1361" s="12" t="str">
        <f t="shared" si="319"/>
        <v/>
      </c>
      <c r="AE1361" s="12" t="str">
        <f t="shared" si="319"/>
        <v/>
      </c>
      <c r="AF1361" s="12" t="str">
        <f t="shared" si="319"/>
        <v/>
      </c>
      <c r="AM1361" s="12" t="str">
        <f t="shared" si="314"/>
        <v/>
      </c>
      <c r="AN1361" s="12" t="str">
        <f t="shared" si="315"/>
        <v/>
      </c>
      <c r="AO1361" s="12" t="str">
        <f t="shared" si="316"/>
        <v/>
      </c>
      <c r="AP1361" s="12" t="str">
        <f t="shared" si="317"/>
        <v/>
      </c>
      <c r="AQ1361" s="12"/>
      <c r="AS1361" s="12">
        <f t="shared" si="320"/>
        <v>0</v>
      </c>
    </row>
    <row r="1362" spans="1:45" hidden="1" x14ac:dyDescent="0.25">
      <c r="A1362" s="41">
        <f>CASOPOInvCL!T1362</f>
        <v>0</v>
      </c>
      <c r="B1362">
        <f>CASOPOInvCL!Z1362</f>
        <v>0</v>
      </c>
      <c r="G1362" s="5">
        <f>CASOPOInvCL!I1362</f>
        <v>0</v>
      </c>
      <c r="H1362" s="31">
        <f>CASOPOInvCL!U1362</f>
        <v>0</v>
      </c>
      <c r="I1362" s="31">
        <f>CASOPOInvCL!V1362</f>
        <v>0</v>
      </c>
      <c r="J1362" s="5">
        <f>CASOPOInvCL!AB1362</f>
        <v>0</v>
      </c>
      <c r="K1362" s="31">
        <f>CASOPOInvCL!W1362</f>
        <v>0</v>
      </c>
      <c r="L1362" s="31">
        <f>CASOPOInvCL!X1362</f>
        <v>0</v>
      </c>
      <c r="M1362" s="31"/>
      <c r="N1362" s="5">
        <f>CASOPOInvCL!AF1362</f>
        <v>0</v>
      </c>
      <c r="O1362" s="16">
        <f>CASOPOInvCL!AG1362</f>
        <v>0</v>
      </c>
      <c r="P1362" s="16">
        <f>CASOPOInvCL!AH1362</f>
        <v>0</v>
      </c>
      <c r="Q1362" s="16">
        <f>CASOPOInvCL!AI1362</f>
        <v>0</v>
      </c>
      <c r="R1362" s="32">
        <f>CASOPOInvCL!AU1362</f>
        <v>0</v>
      </c>
      <c r="S1362" s="16">
        <f>CASOPOInvCL!AV1362</f>
        <v>0</v>
      </c>
      <c r="T1362" s="16">
        <f>CASOPOInvCL!AW1362</f>
        <v>0</v>
      </c>
      <c r="Y1362" s="29" t="str">
        <f>IFERROR(HLOOKUP(U1369,List!$D$2:$H$6,2,FALSE),"")</f>
        <v/>
      </c>
      <c r="Z1362" s="29" t="str">
        <f>IFERROR(HLOOKUP(V1369,List!$D$2:$H$6,3,FALSE),"")</f>
        <v/>
      </c>
      <c r="AA1362" s="29" t="str">
        <f>IFERROR(HLOOKUP(W1369,List!$D$2:$H$6,4,FALSE),"")</f>
        <v/>
      </c>
      <c r="AB1362" s="29" t="str">
        <f>IFERROR(HLOOKUP(X1369,List!$D$2:$H$6,5,FALSE),"")</f>
        <v/>
      </c>
      <c r="AC1362" s="12" t="str">
        <f t="shared" si="319"/>
        <v/>
      </c>
      <c r="AD1362" s="12" t="str">
        <f t="shared" si="319"/>
        <v/>
      </c>
      <c r="AE1362" s="12" t="str">
        <f t="shared" si="319"/>
        <v/>
      </c>
      <c r="AF1362" s="12" t="str">
        <f t="shared" si="319"/>
        <v/>
      </c>
      <c r="AM1362" s="12" t="str">
        <f t="shared" si="314"/>
        <v/>
      </c>
      <c r="AN1362" s="12" t="str">
        <f t="shared" si="315"/>
        <v/>
      </c>
      <c r="AO1362" s="12" t="str">
        <f t="shared" si="316"/>
        <v/>
      </c>
      <c r="AP1362" s="12" t="str">
        <f t="shared" si="317"/>
        <v/>
      </c>
      <c r="AQ1362" s="12"/>
      <c r="AS1362" s="12">
        <f t="shared" si="320"/>
        <v>0</v>
      </c>
    </row>
    <row r="1363" spans="1:45" hidden="1" x14ac:dyDescent="0.25">
      <c r="A1363" s="41">
        <f>CASOPOInvCL!T1363</f>
        <v>0</v>
      </c>
      <c r="B1363">
        <f>CASOPOInvCL!Z1363</f>
        <v>0</v>
      </c>
      <c r="G1363" s="5">
        <f>CASOPOInvCL!I1363</f>
        <v>0</v>
      </c>
      <c r="H1363" s="31">
        <f>CASOPOInvCL!U1363</f>
        <v>0</v>
      </c>
      <c r="I1363" s="31">
        <f>CASOPOInvCL!V1363</f>
        <v>0</v>
      </c>
      <c r="J1363" s="5">
        <f>CASOPOInvCL!AB1363</f>
        <v>0</v>
      </c>
      <c r="K1363" s="31">
        <f>CASOPOInvCL!W1363</f>
        <v>0</v>
      </c>
      <c r="L1363" s="31">
        <f>CASOPOInvCL!X1363</f>
        <v>0</v>
      </c>
      <c r="M1363" s="31"/>
      <c r="N1363" s="5">
        <f>CASOPOInvCL!AF1363</f>
        <v>0</v>
      </c>
      <c r="O1363" s="16">
        <f>CASOPOInvCL!AG1363</f>
        <v>0</v>
      </c>
      <c r="P1363" s="16">
        <f>CASOPOInvCL!AH1363</f>
        <v>0</v>
      </c>
      <c r="Q1363" s="16">
        <f>CASOPOInvCL!AI1363</f>
        <v>0</v>
      </c>
      <c r="R1363" s="32">
        <f>CASOPOInvCL!AU1363</f>
        <v>0</v>
      </c>
      <c r="S1363" s="16">
        <f>CASOPOInvCL!AV1363</f>
        <v>0</v>
      </c>
      <c r="T1363" s="16">
        <f>CASOPOInvCL!AW1363</f>
        <v>0</v>
      </c>
      <c r="Y1363" s="29" t="str">
        <f>IFERROR(HLOOKUP(U1370,List!$D$2:$H$6,2,FALSE),"")</f>
        <v/>
      </c>
      <c r="Z1363" s="29" t="str">
        <f>IFERROR(HLOOKUP(V1370,List!$D$2:$H$6,3,FALSE),"")</f>
        <v/>
      </c>
      <c r="AA1363" s="29" t="str">
        <f>IFERROR(HLOOKUP(W1370,List!$D$2:$H$6,4,FALSE),"")</f>
        <v/>
      </c>
      <c r="AB1363" s="29" t="str">
        <f>IFERROR(HLOOKUP(X1370,List!$D$2:$H$6,5,FALSE),"")</f>
        <v/>
      </c>
      <c r="AC1363" s="12" t="str">
        <f t="shared" si="319"/>
        <v/>
      </c>
      <c r="AD1363" s="12" t="str">
        <f t="shared" si="319"/>
        <v/>
      </c>
      <c r="AE1363" s="12" t="str">
        <f t="shared" si="319"/>
        <v/>
      </c>
      <c r="AF1363" s="12" t="str">
        <f t="shared" si="319"/>
        <v/>
      </c>
      <c r="AM1363" s="12" t="str">
        <f t="shared" si="314"/>
        <v/>
      </c>
      <c r="AN1363" s="12" t="str">
        <f t="shared" si="315"/>
        <v/>
      </c>
      <c r="AO1363" s="12" t="str">
        <f t="shared" si="316"/>
        <v/>
      </c>
      <c r="AP1363" s="12" t="str">
        <f t="shared" si="317"/>
        <v/>
      </c>
      <c r="AQ1363" s="12"/>
      <c r="AS1363" s="12">
        <f t="shared" si="320"/>
        <v>0</v>
      </c>
    </row>
    <row r="1364" spans="1:45" hidden="1" x14ac:dyDescent="0.25">
      <c r="A1364" s="41">
        <f>CASOPOInvCL!T1364</f>
        <v>0</v>
      </c>
      <c r="B1364">
        <f>CASOPOInvCL!Z1364</f>
        <v>0</v>
      </c>
      <c r="G1364" s="5">
        <f>CASOPOInvCL!I1364</f>
        <v>0</v>
      </c>
      <c r="H1364" s="31">
        <f>CASOPOInvCL!U1364</f>
        <v>0</v>
      </c>
      <c r="I1364" s="31">
        <f>CASOPOInvCL!V1364</f>
        <v>0</v>
      </c>
      <c r="J1364" s="5">
        <f>CASOPOInvCL!AB1364</f>
        <v>0</v>
      </c>
      <c r="K1364" s="31">
        <f>CASOPOInvCL!W1364</f>
        <v>0</v>
      </c>
      <c r="L1364" s="31">
        <f>CASOPOInvCL!X1364</f>
        <v>0</v>
      </c>
      <c r="M1364" s="31"/>
      <c r="N1364" s="5">
        <f>CASOPOInvCL!AF1364</f>
        <v>0</v>
      </c>
      <c r="O1364" s="16">
        <f>CASOPOInvCL!AG1364</f>
        <v>0</v>
      </c>
      <c r="P1364" s="16">
        <f>CASOPOInvCL!AH1364</f>
        <v>0</v>
      </c>
      <c r="Q1364" s="16">
        <f>CASOPOInvCL!AI1364</f>
        <v>0</v>
      </c>
      <c r="R1364" s="32">
        <f>CASOPOInvCL!AU1364</f>
        <v>0</v>
      </c>
      <c r="S1364" s="16">
        <f>CASOPOInvCL!AV1364</f>
        <v>0</v>
      </c>
      <c r="T1364" s="16">
        <f>CASOPOInvCL!AW1364</f>
        <v>0</v>
      </c>
      <c r="Y1364" s="29" t="str">
        <f>IFERROR(HLOOKUP(U1371,List!$D$2:$H$6,2,FALSE),"")</f>
        <v/>
      </c>
      <c r="Z1364" s="29" t="str">
        <f>IFERROR(HLOOKUP(V1371,List!$D$2:$H$6,3,FALSE),"")</f>
        <v/>
      </c>
      <c r="AA1364" s="29" t="str">
        <f>IFERROR(HLOOKUP(W1371,List!$D$2:$H$6,4,FALSE),"")</f>
        <v/>
      </c>
      <c r="AB1364" s="29" t="str">
        <f>IFERROR(HLOOKUP(X1371,List!$D$2:$H$6,5,FALSE),"")</f>
        <v/>
      </c>
      <c r="AC1364" s="12" t="str">
        <f t="shared" si="319"/>
        <v/>
      </c>
      <c r="AD1364" s="12" t="str">
        <f t="shared" si="319"/>
        <v/>
      </c>
      <c r="AE1364" s="12" t="str">
        <f t="shared" si="319"/>
        <v/>
      </c>
      <c r="AF1364" s="12" t="str">
        <f t="shared" si="319"/>
        <v/>
      </c>
      <c r="AM1364" s="12" t="str">
        <f t="shared" si="314"/>
        <v/>
      </c>
      <c r="AN1364" s="12" t="str">
        <f t="shared" si="315"/>
        <v/>
      </c>
      <c r="AO1364" s="12" t="str">
        <f t="shared" si="316"/>
        <v/>
      </c>
      <c r="AP1364" s="12" t="str">
        <f t="shared" si="317"/>
        <v/>
      </c>
      <c r="AQ1364" s="12"/>
      <c r="AS1364" s="12">
        <f t="shared" si="320"/>
        <v>0</v>
      </c>
    </row>
    <row r="1365" spans="1:45" hidden="1" x14ac:dyDescent="0.25">
      <c r="A1365" s="41">
        <f>CASOPOInvCL!T1365</f>
        <v>0</v>
      </c>
      <c r="B1365">
        <f>CASOPOInvCL!Z1365</f>
        <v>0</v>
      </c>
      <c r="G1365" s="5">
        <f>CASOPOInvCL!I1365</f>
        <v>0</v>
      </c>
      <c r="H1365" s="31">
        <f>CASOPOInvCL!U1365</f>
        <v>0</v>
      </c>
      <c r="I1365" s="31">
        <f>CASOPOInvCL!V1365</f>
        <v>0</v>
      </c>
      <c r="J1365" s="5">
        <f>CASOPOInvCL!AB1365</f>
        <v>0</v>
      </c>
      <c r="K1365" s="31">
        <f>CASOPOInvCL!W1365</f>
        <v>0</v>
      </c>
      <c r="L1365" s="31">
        <f>CASOPOInvCL!X1365</f>
        <v>0</v>
      </c>
      <c r="M1365" s="31"/>
      <c r="N1365" s="5">
        <f>CASOPOInvCL!AF1365</f>
        <v>0</v>
      </c>
      <c r="O1365" s="16">
        <f>CASOPOInvCL!AG1365</f>
        <v>0</v>
      </c>
      <c r="P1365" s="16">
        <f>CASOPOInvCL!AH1365</f>
        <v>0</v>
      </c>
      <c r="Q1365" s="16">
        <f>CASOPOInvCL!AI1365</f>
        <v>0</v>
      </c>
      <c r="R1365" s="32">
        <f>CASOPOInvCL!AU1365</f>
        <v>0</v>
      </c>
      <c r="S1365" s="16">
        <f>CASOPOInvCL!AV1365</f>
        <v>0</v>
      </c>
      <c r="T1365" s="16">
        <f>CASOPOInvCL!AW1365</f>
        <v>0</v>
      </c>
      <c r="Y1365" s="29" t="str">
        <f>IFERROR(HLOOKUP(U1372,List!$D$2:$H$6,2,FALSE),"")</f>
        <v/>
      </c>
      <c r="Z1365" s="29" t="str">
        <f>IFERROR(HLOOKUP(V1372,List!$D$2:$H$6,3,FALSE),"")</f>
        <v/>
      </c>
      <c r="AA1365" s="29" t="str">
        <f>IFERROR(HLOOKUP(W1372,List!$D$2:$H$6,4,FALSE),"")</f>
        <v/>
      </c>
      <c r="AB1365" s="29" t="str">
        <f>IFERROR(HLOOKUP(X1372,List!$D$2:$H$6,5,FALSE),"")</f>
        <v/>
      </c>
      <c r="AC1365" s="12" t="str">
        <f t="shared" si="319"/>
        <v/>
      </c>
      <c r="AD1365" s="12" t="str">
        <f t="shared" si="319"/>
        <v/>
      </c>
      <c r="AE1365" s="12" t="str">
        <f t="shared" si="319"/>
        <v/>
      </c>
      <c r="AF1365" s="12" t="str">
        <f t="shared" si="319"/>
        <v/>
      </c>
      <c r="AM1365" s="12" t="str">
        <f t="shared" si="314"/>
        <v/>
      </c>
      <c r="AN1365" s="12" t="str">
        <f t="shared" si="315"/>
        <v/>
      </c>
      <c r="AO1365" s="12" t="str">
        <f t="shared" si="316"/>
        <v/>
      </c>
      <c r="AP1365" s="12" t="str">
        <f t="shared" si="317"/>
        <v/>
      </c>
      <c r="AQ1365" s="12"/>
      <c r="AS1365" s="12">
        <f t="shared" si="320"/>
        <v>0</v>
      </c>
    </row>
    <row r="1366" spans="1:45" hidden="1" x14ac:dyDescent="0.25">
      <c r="A1366" s="41">
        <f>CASOPOInvCL!T1366</f>
        <v>0</v>
      </c>
      <c r="B1366">
        <f>CASOPOInvCL!Z1366</f>
        <v>0</v>
      </c>
      <c r="G1366" s="5">
        <f>CASOPOInvCL!I1366</f>
        <v>0</v>
      </c>
      <c r="H1366" s="31">
        <f>CASOPOInvCL!U1366</f>
        <v>0</v>
      </c>
      <c r="I1366" s="31">
        <f>CASOPOInvCL!V1366</f>
        <v>0</v>
      </c>
      <c r="J1366" s="5">
        <f>CASOPOInvCL!AB1366</f>
        <v>0</v>
      </c>
      <c r="K1366" s="31">
        <f>CASOPOInvCL!W1366</f>
        <v>0</v>
      </c>
      <c r="L1366" s="31">
        <f>CASOPOInvCL!X1366</f>
        <v>0</v>
      </c>
      <c r="M1366" s="31"/>
      <c r="N1366" s="5">
        <f>CASOPOInvCL!AF1366</f>
        <v>0</v>
      </c>
      <c r="O1366" s="16">
        <f>CASOPOInvCL!AG1366</f>
        <v>0</v>
      </c>
      <c r="P1366" s="16">
        <f>CASOPOInvCL!AH1366</f>
        <v>0</v>
      </c>
      <c r="Q1366" s="16">
        <f>CASOPOInvCL!AI1366</f>
        <v>0</v>
      </c>
      <c r="R1366" s="32">
        <f>CASOPOInvCL!AU1366</f>
        <v>0</v>
      </c>
      <c r="S1366" s="16">
        <f>CASOPOInvCL!AV1366</f>
        <v>0</v>
      </c>
      <c r="T1366" s="16">
        <f>CASOPOInvCL!AW1366</f>
        <v>0</v>
      </c>
      <c r="Y1366" s="29" t="str">
        <f>IFERROR(HLOOKUP(U1373,List!$D$2:$H$6,2,FALSE),"")</f>
        <v/>
      </c>
      <c r="Z1366" s="29" t="str">
        <f>IFERROR(HLOOKUP(V1373,List!$D$2:$H$6,3,FALSE),"")</f>
        <v/>
      </c>
      <c r="AA1366" s="29" t="str">
        <f>IFERROR(HLOOKUP(W1373,List!$D$2:$H$6,4,FALSE),"")</f>
        <v/>
      </c>
      <c r="AB1366" s="29" t="str">
        <f>IFERROR(HLOOKUP(X1373,List!$D$2:$H$6,5,FALSE),"")</f>
        <v/>
      </c>
      <c r="AC1366" s="12" t="str">
        <f t="shared" si="319"/>
        <v/>
      </c>
      <c r="AD1366" s="12" t="str">
        <f t="shared" si="319"/>
        <v/>
      </c>
      <c r="AE1366" s="12" t="str">
        <f t="shared" si="319"/>
        <v/>
      </c>
      <c r="AF1366" s="12" t="str">
        <f t="shared" si="319"/>
        <v/>
      </c>
      <c r="AM1366" s="12" t="str">
        <f t="shared" si="314"/>
        <v/>
      </c>
      <c r="AN1366" s="12" t="str">
        <f t="shared" si="315"/>
        <v/>
      </c>
      <c r="AO1366" s="12" t="str">
        <f t="shared" si="316"/>
        <v/>
      </c>
      <c r="AP1366" s="12" t="str">
        <f t="shared" si="317"/>
        <v/>
      </c>
      <c r="AQ1366" s="12"/>
      <c r="AS1366" s="12">
        <f t="shared" si="320"/>
        <v>0</v>
      </c>
    </row>
    <row r="1367" spans="1:45" hidden="1" x14ac:dyDescent="0.25">
      <c r="A1367" s="41">
        <f>CASOPOInvCL!T1367</f>
        <v>0</v>
      </c>
      <c r="B1367">
        <f>CASOPOInvCL!Z1367</f>
        <v>0</v>
      </c>
      <c r="G1367" s="5">
        <f>CASOPOInvCL!I1367</f>
        <v>0</v>
      </c>
      <c r="H1367" s="31">
        <f>CASOPOInvCL!U1367</f>
        <v>0</v>
      </c>
      <c r="I1367" s="31">
        <f>CASOPOInvCL!V1367</f>
        <v>0</v>
      </c>
      <c r="J1367" s="5">
        <f>CASOPOInvCL!AB1367</f>
        <v>0</v>
      </c>
      <c r="K1367" s="31">
        <f>CASOPOInvCL!W1367</f>
        <v>0</v>
      </c>
      <c r="L1367" s="31">
        <f>CASOPOInvCL!X1367</f>
        <v>0</v>
      </c>
      <c r="M1367" s="31"/>
      <c r="N1367" s="5">
        <f>CASOPOInvCL!AF1367</f>
        <v>0</v>
      </c>
      <c r="O1367" s="16">
        <f>CASOPOInvCL!AG1367</f>
        <v>0</v>
      </c>
      <c r="P1367" s="16">
        <f>CASOPOInvCL!AH1367</f>
        <v>0</v>
      </c>
      <c r="Q1367" s="16">
        <f>CASOPOInvCL!AI1367</f>
        <v>0</v>
      </c>
      <c r="R1367" s="32">
        <f>CASOPOInvCL!AU1367</f>
        <v>0</v>
      </c>
      <c r="S1367" s="16">
        <f>CASOPOInvCL!AV1367</f>
        <v>0</v>
      </c>
      <c r="T1367" s="16">
        <f>CASOPOInvCL!AW1367</f>
        <v>0</v>
      </c>
      <c r="Y1367" s="29" t="str">
        <f>IFERROR(HLOOKUP(U1374,List!$D$2:$H$6,2,FALSE),"")</f>
        <v/>
      </c>
      <c r="Z1367" s="29" t="str">
        <f>IFERROR(HLOOKUP(V1374,List!$D$2:$H$6,3,FALSE),"")</f>
        <v/>
      </c>
      <c r="AA1367" s="29" t="str">
        <f>IFERROR(HLOOKUP(W1374,List!$D$2:$H$6,4,FALSE),"")</f>
        <v/>
      </c>
      <c r="AB1367" s="29" t="str">
        <f>IFERROR(HLOOKUP(X1374,List!$D$2:$H$6,5,FALSE),"")</f>
        <v/>
      </c>
      <c r="AC1367" s="12" t="str">
        <f t="shared" si="319"/>
        <v/>
      </c>
      <c r="AD1367" s="12" t="str">
        <f t="shared" si="319"/>
        <v/>
      </c>
      <c r="AE1367" s="12" t="str">
        <f t="shared" si="319"/>
        <v/>
      </c>
      <c r="AF1367" s="12" t="str">
        <f t="shared" si="319"/>
        <v/>
      </c>
      <c r="AM1367" s="12" t="str">
        <f t="shared" si="314"/>
        <v/>
      </c>
      <c r="AN1367" s="12" t="str">
        <f t="shared" si="315"/>
        <v/>
      </c>
      <c r="AO1367" s="12" t="str">
        <f t="shared" si="316"/>
        <v/>
      </c>
      <c r="AP1367" s="12" t="str">
        <f t="shared" si="317"/>
        <v/>
      </c>
      <c r="AQ1367" s="12"/>
      <c r="AS1367" s="12">
        <f t="shared" si="320"/>
        <v>0</v>
      </c>
    </row>
    <row r="1368" spans="1:45" hidden="1" x14ac:dyDescent="0.25">
      <c r="A1368" s="41">
        <f>CASOPOInvCL!T1368</f>
        <v>0</v>
      </c>
      <c r="B1368">
        <f>CASOPOInvCL!Z1368</f>
        <v>0</v>
      </c>
      <c r="G1368" s="5">
        <f>CASOPOInvCL!I1368</f>
        <v>0</v>
      </c>
      <c r="H1368" s="31">
        <f>CASOPOInvCL!U1368</f>
        <v>0</v>
      </c>
      <c r="I1368" s="31">
        <f>CASOPOInvCL!V1368</f>
        <v>0</v>
      </c>
      <c r="J1368" s="5">
        <f>CASOPOInvCL!AB1368</f>
        <v>0</v>
      </c>
      <c r="K1368" s="31">
        <f>CASOPOInvCL!W1368</f>
        <v>0</v>
      </c>
      <c r="L1368" s="31">
        <f>CASOPOInvCL!X1368</f>
        <v>0</v>
      </c>
      <c r="M1368" s="31"/>
      <c r="N1368" s="5">
        <f>CASOPOInvCL!AF1368</f>
        <v>0</v>
      </c>
      <c r="O1368" s="16">
        <f>CASOPOInvCL!AG1368</f>
        <v>0</v>
      </c>
      <c r="P1368" s="16">
        <f>CASOPOInvCL!AH1368</f>
        <v>0</v>
      </c>
      <c r="Q1368" s="16">
        <f>CASOPOInvCL!AI1368</f>
        <v>0</v>
      </c>
      <c r="R1368" s="32">
        <f>CASOPOInvCL!AU1368</f>
        <v>0</v>
      </c>
      <c r="S1368" s="16">
        <f>CASOPOInvCL!AV1368</f>
        <v>0</v>
      </c>
      <c r="T1368" s="16">
        <f>CASOPOInvCL!AW1368</f>
        <v>0</v>
      </c>
      <c r="Y1368" s="29" t="str">
        <f>IFERROR(HLOOKUP(U1375,List!$D$2:$H$6,2,FALSE),"")</f>
        <v/>
      </c>
      <c r="Z1368" s="29" t="str">
        <f>IFERROR(HLOOKUP(V1375,List!$D$2:$H$6,3,FALSE),"")</f>
        <v/>
      </c>
      <c r="AA1368" s="29" t="str">
        <f>IFERROR(HLOOKUP(W1375,List!$D$2:$H$6,4,FALSE),"")</f>
        <v/>
      </c>
      <c r="AB1368" s="29" t="str">
        <f>IFERROR(HLOOKUP(X1375,List!$D$2:$H$6,5,FALSE),"")</f>
        <v/>
      </c>
      <c r="AC1368" s="12" t="str">
        <f t="shared" si="319"/>
        <v/>
      </c>
      <c r="AD1368" s="12" t="str">
        <f t="shared" si="319"/>
        <v/>
      </c>
      <c r="AE1368" s="12" t="str">
        <f t="shared" si="319"/>
        <v/>
      </c>
      <c r="AF1368" s="12" t="str">
        <f t="shared" si="319"/>
        <v/>
      </c>
      <c r="AM1368" s="12" t="str">
        <f t="shared" si="314"/>
        <v/>
      </c>
      <c r="AN1368" s="12" t="str">
        <f t="shared" si="315"/>
        <v/>
      </c>
      <c r="AO1368" s="12" t="str">
        <f t="shared" si="316"/>
        <v/>
      </c>
      <c r="AP1368" s="12" t="str">
        <f t="shared" si="317"/>
        <v/>
      </c>
      <c r="AQ1368" s="12"/>
      <c r="AS1368" s="12">
        <f t="shared" si="320"/>
        <v>0</v>
      </c>
    </row>
    <row r="1369" spans="1:45" hidden="1" x14ac:dyDescent="0.25">
      <c r="A1369" s="41">
        <f>CASOPOInvCL!T1369</f>
        <v>0</v>
      </c>
      <c r="B1369">
        <f>CASOPOInvCL!Z1369</f>
        <v>0</v>
      </c>
      <c r="G1369" s="5">
        <f>CASOPOInvCL!I1369</f>
        <v>0</v>
      </c>
      <c r="H1369" s="31">
        <f>CASOPOInvCL!U1369</f>
        <v>0</v>
      </c>
      <c r="I1369" s="31">
        <f>CASOPOInvCL!V1369</f>
        <v>0</v>
      </c>
      <c r="J1369" s="5">
        <f>CASOPOInvCL!AB1369</f>
        <v>0</v>
      </c>
      <c r="K1369" s="31">
        <f>CASOPOInvCL!W1369</f>
        <v>0</v>
      </c>
      <c r="L1369" s="31">
        <f>CASOPOInvCL!X1369</f>
        <v>0</v>
      </c>
      <c r="M1369" s="31"/>
      <c r="N1369" s="5">
        <f>CASOPOInvCL!AF1369</f>
        <v>0</v>
      </c>
      <c r="O1369" s="16">
        <f>CASOPOInvCL!AG1369</f>
        <v>0</v>
      </c>
      <c r="P1369" s="16">
        <f>CASOPOInvCL!AH1369</f>
        <v>0</v>
      </c>
      <c r="Q1369" s="16">
        <f>CASOPOInvCL!AI1369</f>
        <v>0</v>
      </c>
      <c r="R1369" s="32">
        <f>CASOPOInvCL!AU1369</f>
        <v>0</v>
      </c>
      <c r="S1369" s="16">
        <f>CASOPOInvCL!AV1369</f>
        <v>0</v>
      </c>
      <c r="T1369" s="16">
        <f>CASOPOInvCL!AW1369</f>
        <v>0</v>
      </c>
      <c r="Y1369" s="29" t="str">
        <f>IFERROR(HLOOKUP(U1376,List!$D$2:$H$6,2,FALSE),"")</f>
        <v/>
      </c>
      <c r="Z1369" s="29" t="str">
        <f>IFERROR(HLOOKUP(V1376,List!$D$2:$H$6,3,FALSE),"")</f>
        <v/>
      </c>
      <c r="AA1369" s="29" t="str">
        <f>IFERROR(HLOOKUP(W1376,List!$D$2:$H$6,4,FALSE),"")</f>
        <v/>
      </c>
      <c r="AB1369" s="29" t="str">
        <f>IFERROR(HLOOKUP(X1376,List!$D$2:$H$6,5,FALSE),"")</f>
        <v/>
      </c>
      <c r="AC1369" s="12" t="str">
        <f t="shared" si="319"/>
        <v/>
      </c>
      <c r="AD1369" s="12" t="str">
        <f t="shared" si="319"/>
        <v/>
      </c>
      <c r="AE1369" s="12" t="str">
        <f t="shared" si="319"/>
        <v/>
      </c>
      <c r="AF1369" s="12" t="str">
        <f t="shared" si="319"/>
        <v/>
      </c>
      <c r="AM1369" s="12" t="str">
        <f t="shared" si="314"/>
        <v/>
      </c>
      <c r="AN1369" s="12" t="str">
        <f t="shared" si="315"/>
        <v/>
      </c>
      <c r="AO1369" s="12" t="str">
        <f t="shared" si="316"/>
        <v/>
      </c>
      <c r="AP1369" s="12" t="str">
        <f t="shared" si="317"/>
        <v/>
      </c>
      <c r="AQ1369" s="12"/>
      <c r="AS1369" s="12">
        <f t="shared" si="320"/>
        <v>0</v>
      </c>
    </row>
    <row r="1370" spans="1:45" hidden="1" x14ac:dyDescent="0.25">
      <c r="A1370" s="41">
        <f>CASOPOInvCL!T1370</f>
        <v>0</v>
      </c>
      <c r="B1370">
        <f>CASOPOInvCL!Z1370</f>
        <v>0</v>
      </c>
      <c r="G1370" s="5">
        <f>CASOPOInvCL!I1370</f>
        <v>0</v>
      </c>
      <c r="H1370" s="31">
        <f>CASOPOInvCL!U1370</f>
        <v>0</v>
      </c>
      <c r="I1370" s="31">
        <f>CASOPOInvCL!V1370</f>
        <v>0</v>
      </c>
      <c r="J1370" s="5">
        <f>CASOPOInvCL!AB1370</f>
        <v>0</v>
      </c>
      <c r="K1370" s="31">
        <f>CASOPOInvCL!W1370</f>
        <v>0</v>
      </c>
      <c r="L1370" s="31">
        <f>CASOPOInvCL!X1370</f>
        <v>0</v>
      </c>
      <c r="M1370" s="31"/>
      <c r="N1370" s="5">
        <f>CASOPOInvCL!AF1370</f>
        <v>0</v>
      </c>
      <c r="O1370" s="16">
        <f>CASOPOInvCL!AG1370</f>
        <v>0</v>
      </c>
      <c r="P1370" s="16">
        <f>CASOPOInvCL!AH1370</f>
        <v>0</v>
      </c>
      <c r="Q1370" s="16">
        <f>CASOPOInvCL!AI1370</f>
        <v>0</v>
      </c>
      <c r="R1370" s="32">
        <f>CASOPOInvCL!AU1370</f>
        <v>0</v>
      </c>
      <c r="S1370" s="16">
        <f>CASOPOInvCL!AV1370</f>
        <v>0</v>
      </c>
      <c r="T1370" s="16">
        <f>CASOPOInvCL!AW1370</f>
        <v>0</v>
      </c>
      <c r="Y1370" s="29" t="str">
        <f>IFERROR(HLOOKUP(U1377,List!$D$2:$H$6,2,FALSE),"")</f>
        <v/>
      </c>
      <c r="Z1370" s="29" t="str">
        <f>IFERROR(HLOOKUP(V1377,List!$D$2:$H$6,3,FALSE),"")</f>
        <v/>
      </c>
      <c r="AA1370" s="29" t="str">
        <f>IFERROR(HLOOKUP(W1377,List!$D$2:$H$6,4,FALSE),"")</f>
        <v/>
      </c>
      <c r="AB1370" s="29" t="str">
        <f>IFERROR(HLOOKUP(X1377,List!$D$2:$H$6,5,FALSE),"")</f>
        <v/>
      </c>
      <c r="AC1370" s="12" t="str">
        <f t="shared" si="319"/>
        <v/>
      </c>
      <c r="AD1370" s="12" t="str">
        <f t="shared" si="319"/>
        <v/>
      </c>
      <c r="AE1370" s="12" t="str">
        <f t="shared" si="319"/>
        <v/>
      </c>
      <c r="AF1370" s="12" t="str">
        <f t="shared" si="319"/>
        <v/>
      </c>
      <c r="AM1370" s="12" t="str">
        <f t="shared" si="314"/>
        <v/>
      </c>
      <c r="AN1370" s="12" t="str">
        <f t="shared" si="315"/>
        <v/>
      </c>
      <c r="AO1370" s="12" t="str">
        <f t="shared" si="316"/>
        <v/>
      </c>
      <c r="AP1370" s="12" t="str">
        <f t="shared" si="317"/>
        <v/>
      </c>
      <c r="AQ1370" s="12"/>
      <c r="AS1370" s="12">
        <f t="shared" si="320"/>
        <v>0</v>
      </c>
    </row>
    <row r="1371" spans="1:45" hidden="1" x14ac:dyDescent="0.25">
      <c r="A1371" s="41">
        <f>CASOPOInvCL!T1371</f>
        <v>0</v>
      </c>
      <c r="B1371">
        <f>CASOPOInvCL!Z1371</f>
        <v>0</v>
      </c>
      <c r="G1371" s="5">
        <f>CASOPOInvCL!I1371</f>
        <v>0</v>
      </c>
      <c r="H1371" s="31">
        <f>CASOPOInvCL!U1371</f>
        <v>0</v>
      </c>
      <c r="I1371" s="31">
        <f>CASOPOInvCL!V1371</f>
        <v>0</v>
      </c>
      <c r="J1371" s="5">
        <f>CASOPOInvCL!AB1371</f>
        <v>0</v>
      </c>
      <c r="K1371" s="31">
        <f>CASOPOInvCL!W1371</f>
        <v>0</v>
      </c>
      <c r="L1371" s="31">
        <f>CASOPOInvCL!X1371</f>
        <v>0</v>
      </c>
      <c r="M1371" s="31"/>
      <c r="N1371" s="5">
        <f>CASOPOInvCL!AF1371</f>
        <v>0</v>
      </c>
      <c r="O1371" s="16">
        <f>CASOPOInvCL!AG1371</f>
        <v>0</v>
      </c>
      <c r="P1371" s="16">
        <f>CASOPOInvCL!AH1371</f>
        <v>0</v>
      </c>
      <c r="Q1371" s="16">
        <f>CASOPOInvCL!AI1371</f>
        <v>0</v>
      </c>
      <c r="R1371" s="32">
        <f>CASOPOInvCL!AU1371</f>
        <v>0</v>
      </c>
      <c r="S1371" s="16">
        <f>CASOPOInvCL!AV1371</f>
        <v>0</v>
      </c>
      <c r="T1371" s="16">
        <f>CASOPOInvCL!AW1371</f>
        <v>0</v>
      </c>
      <c r="Y1371" s="29" t="str">
        <f>IFERROR(HLOOKUP(U1378,List!$D$2:$H$6,2,FALSE),"")</f>
        <v/>
      </c>
      <c r="Z1371" s="29" t="str">
        <f>IFERROR(HLOOKUP(V1378,List!$D$2:$H$6,3,FALSE),"")</f>
        <v/>
      </c>
      <c r="AA1371" s="29" t="str">
        <f>IFERROR(HLOOKUP(W1378,List!$D$2:$H$6,4,FALSE),"")</f>
        <v/>
      </c>
      <c r="AB1371" s="29" t="str">
        <f>IFERROR(HLOOKUP(X1378,List!$D$2:$H$6,5,FALSE),"")</f>
        <v/>
      </c>
      <c r="AC1371" s="12" t="str">
        <f t="shared" si="319"/>
        <v/>
      </c>
      <c r="AD1371" s="12" t="str">
        <f t="shared" si="319"/>
        <v/>
      </c>
      <c r="AE1371" s="12" t="str">
        <f t="shared" si="319"/>
        <v/>
      </c>
      <c r="AF1371" s="12" t="str">
        <f t="shared" si="319"/>
        <v/>
      </c>
      <c r="AM1371" s="12" t="str">
        <f t="shared" si="314"/>
        <v/>
      </c>
      <c r="AN1371" s="12" t="str">
        <f t="shared" si="315"/>
        <v/>
      </c>
      <c r="AO1371" s="12" t="str">
        <f t="shared" si="316"/>
        <v/>
      </c>
      <c r="AP1371" s="12" t="str">
        <f t="shared" si="317"/>
        <v/>
      </c>
      <c r="AQ1371" s="12"/>
      <c r="AS1371" s="12">
        <f t="shared" si="320"/>
        <v>0</v>
      </c>
    </row>
    <row r="1372" spans="1:45" hidden="1" x14ac:dyDescent="0.25">
      <c r="A1372" s="41">
        <f>CASOPOInvCL!T1372</f>
        <v>0</v>
      </c>
      <c r="B1372">
        <f>CASOPOInvCL!Z1372</f>
        <v>0</v>
      </c>
      <c r="G1372" s="5">
        <f>CASOPOInvCL!I1372</f>
        <v>0</v>
      </c>
      <c r="H1372" s="31">
        <f>CASOPOInvCL!U1372</f>
        <v>0</v>
      </c>
      <c r="I1372" s="31">
        <f>CASOPOInvCL!V1372</f>
        <v>0</v>
      </c>
      <c r="J1372" s="5">
        <f>CASOPOInvCL!AB1372</f>
        <v>0</v>
      </c>
      <c r="K1372" s="31">
        <f>CASOPOInvCL!W1372</f>
        <v>0</v>
      </c>
      <c r="L1372" s="31">
        <f>CASOPOInvCL!X1372</f>
        <v>0</v>
      </c>
      <c r="M1372" s="31"/>
      <c r="N1372" s="5">
        <f>CASOPOInvCL!AF1372</f>
        <v>0</v>
      </c>
      <c r="O1372" s="16">
        <f>CASOPOInvCL!AG1372</f>
        <v>0</v>
      </c>
      <c r="P1372" s="16">
        <f>CASOPOInvCL!AH1372</f>
        <v>0</v>
      </c>
      <c r="Q1372" s="16">
        <f>CASOPOInvCL!AI1372</f>
        <v>0</v>
      </c>
      <c r="R1372" s="32">
        <f>CASOPOInvCL!AU1372</f>
        <v>0</v>
      </c>
      <c r="S1372" s="16">
        <f>CASOPOInvCL!AV1372</f>
        <v>0</v>
      </c>
      <c r="T1372" s="16">
        <f>CASOPOInvCL!AW1372</f>
        <v>0</v>
      </c>
      <c r="Y1372" s="29" t="str">
        <f>IFERROR(HLOOKUP(U1379,List!$D$2:$H$6,2,FALSE),"")</f>
        <v/>
      </c>
      <c r="Z1372" s="29" t="str">
        <f>IFERROR(HLOOKUP(V1379,List!$D$2:$H$6,3,FALSE),"")</f>
        <v/>
      </c>
      <c r="AA1372" s="29" t="str">
        <f>IFERROR(HLOOKUP(W1379,List!$D$2:$H$6,4,FALSE),"")</f>
        <v/>
      </c>
      <c r="AB1372" s="29" t="str">
        <f>IFERROR(HLOOKUP(X1379,List!$D$2:$H$6,5,FALSE),"")</f>
        <v/>
      </c>
      <c r="AC1372" s="12" t="str">
        <f t="shared" si="319"/>
        <v/>
      </c>
      <c r="AD1372" s="12" t="str">
        <f t="shared" si="319"/>
        <v/>
      </c>
      <c r="AE1372" s="12" t="str">
        <f t="shared" si="319"/>
        <v/>
      </c>
      <c r="AF1372" s="12" t="str">
        <f t="shared" si="319"/>
        <v/>
      </c>
      <c r="AM1372" s="12" t="str">
        <f t="shared" si="314"/>
        <v/>
      </c>
      <c r="AN1372" s="12" t="str">
        <f t="shared" si="315"/>
        <v/>
      </c>
      <c r="AO1372" s="12" t="str">
        <f t="shared" si="316"/>
        <v/>
      </c>
      <c r="AP1372" s="12" t="str">
        <f t="shared" si="317"/>
        <v/>
      </c>
      <c r="AQ1372" s="12"/>
      <c r="AS1372" s="12">
        <f t="shared" si="320"/>
        <v>0</v>
      </c>
    </row>
    <row r="1373" spans="1:45" hidden="1" x14ac:dyDescent="0.25">
      <c r="A1373" s="41">
        <f>CASOPOInvCL!T1373</f>
        <v>0</v>
      </c>
      <c r="B1373">
        <f>CASOPOInvCL!Z1373</f>
        <v>0</v>
      </c>
      <c r="G1373" s="5">
        <f>CASOPOInvCL!I1373</f>
        <v>0</v>
      </c>
      <c r="H1373" s="31">
        <f>CASOPOInvCL!U1373</f>
        <v>0</v>
      </c>
      <c r="I1373" s="31">
        <f>CASOPOInvCL!V1373</f>
        <v>0</v>
      </c>
      <c r="J1373" s="5">
        <f>CASOPOInvCL!AB1373</f>
        <v>0</v>
      </c>
      <c r="K1373" s="31">
        <f>CASOPOInvCL!W1373</f>
        <v>0</v>
      </c>
      <c r="L1373" s="31">
        <f>CASOPOInvCL!X1373</f>
        <v>0</v>
      </c>
      <c r="M1373" s="31"/>
      <c r="N1373" s="5">
        <f>CASOPOInvCL!AF1373</f>
        <v>0</v>
      </c>
      <c r="O1373" s="16">
        <f>CASOPOInvCL!AG1373</f>
        <v>0</v>
      </c>
      <c r="P1373" s="16">
        <f>CASOPOInvCL!AH1373</f>
        <v>0</v>
      </c>
      <c r="Q1373" s="16">
        <f>CASOPOInvCL!AI1373</f>
        <v>0</v>
      </c>
      <c r="R1373" s="32">
        <f>CASOPOInvCL!AU1373</f>
        <v>0</v>
      </c>
      <c r="S1373" s="16">
        <f>CASOPOInvCL!AV1373</f>
        <v>0</v>
      </c>
      <c r="T1373" s="16">
        <f>CASOPOInvCL!AW1373</f>
        <v>0</v>
      </c>
      <c r="Y1373" s="29" t="str">
        <f>IFERROR(HLOOKUP(U1380,List!$D$2:$H$6,2,FALSE),"")</f>
        <v/>
      </c>
      <c r="Z1373" s="29" t="str">
        <f>IFERROR(HLOOKUP(V1380,List!$D$2:$H$6,3,FALSE),"")</f>
        <v/>
      </c>
      <c r="AA1373" s="29" t="str">
        <f>IFERROR(HLOOKUP(W1380,List!$D$2:$H$6,4,FALSE),"")</f>
        <v/>
      </c>
      <c r="AB1373" s="29" t="str">
        <f>IFERROR(HLOOKUP(X1380,List!$D$2:$H$6,5,FALSE),"")</f>
        <v/>
      </c>
      <c r="AC1373" s="12" t="str">
        <f t="shared" si="319"/>
        <v/>
      </c>
      <c r="AD1373" s="12" t="str">
        <f t="shared" si="319"/>
        <v/>
      </c>
      <c r="AE1373" s="12" t="str">
        <f t="shared" si="319"/>
        <v/>
      </c>
      <c r="AF1373" s="12" t="str">
        <f t="shared" si="319"/>
        <v/>
      </c>
      <c r="AM1373" s="12" t="str">
        <f t="shared" si="314"/>
        <v/>
      </c>
      <c r="AN1373" s="12" t="str">
        <f t="shared" si="315"/>
        <v/>
      </c>
      <c r="AO1373" s="12" t="str">
        <f t="shared" si="316"/>
        <v/>
      </c>
      <c r="AP1373" s="12" t="str">
        <f t="shared" si="317"/>
        <v/>
      </c>
      <c r="AQ1373" s="12"/>
      <c r="AS1373" s="12">
        <f t="shared" si="320"/>
        <v>0</v>
      </c>
    </row>
    <row r="1374" spans="1:45" hidden="1" x14ac:dyDescent="0.25">
      <c r="A1374" s="41">
        <f>CASOPOInvCL!T1374</f>
        <v>0</v>
      </c>
      <c r="B1374">
        <f>CASOPOInvCL!Z1374</f>
        <v>0</v>
      </c>
      <c r="G1374" s="5">
        <f>CASOPOInvCL!I1374</f>
        <v>0</v>
      </c>
      <c r="H1374" s="31">
        <f>CASOPOInvCL!U1374</f>
        <v>0</v>
      </c>
      <c r="I1374" s="31">
        <f>CASOPOInvCL!V1374</f>
        <v>0</v>
      </c>
      <c r="J1374" s="5">
        <f>CASOPOInvCL!AB1374</f>
        <v>0</v>
      </c>
      <c r="K1374" s="31">
        <f>CASOPOInvCL!W1374</f>
        <v>0</v>
      </c>
      <c r="L1374" s="31">
        <f>CASOPOInvCL!X1374</f>
        <v>0</v>
      </c>
      <c r="M1374" s="31"/>
      <c r="N1374" s="5">
        <f>CASOPOInvCL!AF1374</f>
        <v>0</v>
      </c>
      <c r="O1374" s="16">
        <f>CASOPOInvCL!AG1374</f>
        <v>0</v>
      </c>
      <c r="P1374" s="16">
        <f>CASOPOInvCL!AH1374</f>
        <v>0</v>
      </c>
      <c r="Q1374" s="16">
        <f>CASOPOInvCL!AI1374</f>
        <v>0</v>
      </c>
      <c r="R1374" s="32">
        <f>CASOPOInvCL!AU1374</f>
        <v>0</v>
      </c>
      <c r="S1374" s="16">
        <f>CASOPOInvCL!AV1374</f>
        <v>0</v>
      </c>
      <c r="T1374" s="16">
        <f>CASOPOInvCL!AW1374</f>
        <v>0</v>
      </c>
      <c r="Y1374" s="29" t="str">
        <f>IFERROR(HLOOKUP(U1381,List!$D$2:$H$6,2,FALSE),"")</f>
        <v/>
      </c>
      <c r="Z1374" s="29" t="str">
        <f>IFERROR(HLOOKUP(V1381,List!$D$2:$H$6,3,FALSE),"")</f>
        <v/>
      </c>
      <c r="AA1374" s="29" t="str">
        <f>IFERROR(HLOOKUP(W1381,List!$D$2:$H$6,4,FALSE),"")</f>
        <v/>
      </c>
      <c r="AB1374" s="29" t="str">
        <f>IFERROR(HLOOKUP(X1381,List!$D$2:$H$6,5,FALSE),"")</f>
        <v/>
      </c>
      <c r="AC1374" s="12" t="str">
        <f t="shared" si="319"/>
        <v/>
      </c>
      <c r="AD1374" s="12" t="str">
        <f t="shared" si="319"/>
        <v/>
      </c>
      <c r="AE1374" s="12" t="str">
        <f t="shared" si="319"/>
        <v/>
      </c>
      <c r="AF1374" s="12" t="str">
        <f t="shared" si="319"/>
        <v/>
      </c>
      <c r="AM1374" s="12" t="str">
        <f t="shared" si="314"/>
        <v/>
      </c>
      <c r="AN1374" s="12" t="str">
        <f t="shared" si="315"/>
        <v/>
      </c>
      <c r="AO1374" s="12" t="str">
        <f t="shared" si="316"/>
        <v/>
      </c>
      <c r="AP1374" s="12" t="str">
        <f t="shared" si="317"/>
        <v/>
      </c>
      <c r="AQ1374" s="12"/>
      <c r="AS1374" s="12">
        <f t="shared" si="320"/>
        <v>0</v>
      </c>
    </row>
    <row r="1375" spans="1:45" hidden="1" x14ac:dyDescent="0.25">
      <c r="A1375" s="41">
        <f>CASOPOInvCL!T1375</f>
        <v>0</v>
      </c>
      <c r="B1375">
        <f>CASOPOInvCL!Z1375</f>
        <v>0</v>
      </c>
      <c r="G1375" s="5">
        <f>CASOPOInvCL!I1375</f>
        <v>0</v>
      </c>
      <c r="H1375" s="31">
        <f>CASOPOInvCL!U1375</f>
        <v>0</v>
      </c>
      <c r="I1375" s="31">
        <f>CASOPOInvCL!V1375</f>
        <v>0</v>
      </c>
      <c r="J1375" s="5">
        <f>CASOPOInvCL!AB1375</f>
        <v>0</v>
      </c>
      <c r="K1375" s="31">
        <f>CASOPOInvCL!W1375</f>
        <v>0</v>
      </c>
      <c r="L1375" s="31">
        <f>CASOPOInvCL!X1375</f>
        <v>0</v>
      </c>
      <c r="M1375" s="31"/>
      <c r="N1375" s="5">
        <f>CASOPOInvCL!AF1375</f>
        <v>0</v>
      </c>
      <c r="O1375" s="16">
        <f>CASOPOInvCL!AG1375</f>
        <v>0</v>
      </c>
      <c r="P1375" s="16">
        <f>CASOPOInvCL!AH1375</f>
        <v>0</v>
      </c>
      <c r="Q1375" s="16">
        <f>CASOPOInvCL!AI1375</f>
        <v>0</v>
      </c>
      <c r="R1375" s="32">
        <f>CASOPOInvCL!AU1375</f>
        <v>0</v>
      </c>
      <c r="S1375" s="16">
        <f>CASOPOInvCL!AV1375</f>
        <v>0</v>
      </c>
      <c r="T1375" s="16">
        <f>CASOPOInvCL!AW1375</f>
        <v>0</v>
      </c>
      <c r="Y1375" s="29" t="str">
        <f>IFERROR(HLOOKUP(U1382,List!$D$2:$H$6,2,FALSE),"")</f>
        <v/>
      </c>
      <c r="Z1375" s="29" t="str">
        <f>IFERROR(HLOOKUP(V1382,List!$D$2:$H$6,3,FALSE),"")</f>
        <v/>
      </c>
      <c r="AA1375" s="29" t="str">
        <f>IFERROR(HLOOKUP(W1382,List!$D$2:$H$6,4,FALSE),"")</f>
        <v/>
      </c>
      <c r="AB1375" s="29" t="str">
        <f>IFERROR(HLOOKUP(X1382,List!$D$2:$H$6,5,FALSE),"")</f>
        <v/>
      </c>
      <c r="AC1375" s="12" t="str">
        <f t="shared" si="319"/>
        <v/>
      </c>
      <c r="AD1375" s="12" t="str">
        <f t="shared" si="319"/>
        <v/>
      </c>
      <c r="AE1375" s="12" t="str">
        <f t="shared" si="319"/>
        <v/>
      </c>
      <c r="AF1375" s="12" t="str">
        <f t="shared" si="319"/>
        <v/>
      </c>
      <c r="AM1375" s="12" t="str">
        <f t="shared" si="314"/>
        <v/>
      </c>
      <c r="AN1375" s="12" t="str">
        <f t="shared" si="315"/>
        <v/>
      </c>
      <c r="AO1375" s="12" t="str">
        <f t="shared" si="316"/>
        <v/>
      </c>
      <c r="AP1375" s="12" t="str">
        <f t="shared" si="317"/>
        <v/>
      </c>
      <c r="AQ1375" s="12"/>
      <c r="AS1375" s="12">
        <f t="shared" si="320"/>
        <v>0</v>
      </c>
    </row>
    <row r="1376" spans="1:45" hidden="1" x14ac:dyDescent="0.25">
      <c r="A1376" s="41">
        <f>CASOPOInvCL!T1376</f>
        <v>0</v>
      </c>
      <c r="B1376">
        <f>CASOPOInvCL!Z1376</f>
        <v>0</v>
      </c>
      <c r="G1376" s="5">
        <f>CASOPOInvCL!I1376</f>
        <v>0</v>
      </c>
      <c r="H1376" s="31">
        <f>CASOPOInvCL!U1376</f>
        <v>0</v>
      </c>
      <c r="I1376" s="31">
        <f>CASOPOInvCL!V1376</f>
        <v>0</v>
      </c>
      <c r="J1376" s="5">
        <f>CASOPOInvCL!AB1376</f>
        <v>0</v>
      </c>
      <c r="K1376" s="31">
        <f>CASOPOInvCL!W1376</f>
        <v>0</v>
      </c>
      <c r="L1376" s="31">
        <f>CASOPOInvCL!X1376</f>
        <v>0</v>
      </c>
      <c r="M1376" s="31"/>
      <c r="N1376" s="5">
        <f>CASOPOInvCL!AF1376</f>
        <v>0</v>
      </c>
      <c r="O1376" s="16">
        <f>CASOPOInvCL!AG1376</f>
        <v>0</v>
      </c>
      <c r="P1376" s="16">
        <f>CASOPOInvCL!AH1376</f>
        <v>0</v>
      </c>
      <c r="Q1376" s="16">
        <f>CASOPOInvCL!AI1376</f>
        <v>0</v>
      </c>
      <c r="R1376" s="32">
        <f>CASOPOInvCL!AU1376</f>
        <v>0</v>
      </c>
      <c r="S1376" s="16">
        <f>CASOPOInvCL!AV1376</f>
        <v>0</v>
      </c>
      <c r="T1376" s="16">
        <f>CASOPOInvCL!AW1376</f>
        <v>0</v>
      </c>
      <c r="Y1376" s="29" t="str">
        <f>IFERROR(HLOOKUP(U1383,List!$D$2:$H$6,2,FALSE),"")</f>
        <v/>
      </c>
      <c r="Z1376" s="29" t="str">
        <f>IFERROR(HLOOKUP(V1383,List!$D$2:$H$6,3,FALSE),"")</f>
        <v/>
      </c>
      <c r="AA1376" s="29" t="str">
        <f>IFERROR(HLOOKUP(W1383,List!$D$2:$H$6,4,FALSE),"")</f>
        <v/>
      </c>
      <c r="AB1376" s="29" t="str">
        <f>IFERROR(HLOOKUP(X1383,List!$D$2:$H$6,5,FALSE),"")</f>
        <v/>
      </c>
      <c r="AC1376" s="12" t="str">
        <f t="shared" si="319"/>
        <v/>
      </c>
      <c r="AD1376" s="12" t="str">
        <f t="shared" si="319"/>
        <v/>
      </c>
      <c r="AE1376" s="12" t="str">
        <f t="shared" si="319"/>
        <v/>
      </c>
      <c r="AF1376" s="12" t="str">
        <f t="shared" si="319"/>
        <v/>
      </c>
      <c r="AM1376" s="12" t="str">
        <f t="shared" si="314"/>
        <v/>
      </c>
      <c r="AN1376" s="12" t="str">
        <f t="shared" si="315"/>
        <v/>
      </c>
      <c r="AO1376" s="12" t="str">
        <f t="shared" si="316"/>
        <v/>
      </c>
      <c r="AP1376" s="12" t="str">
        <f t="shared" si="317"/>
        <v/>
      </c>
      <c r="AQ1376" s="12"/>
      <c r="AS1376" s="12">
        <f t="shared" si="320"/>
        <v>0</v>
      </c>
    </row>
    <row r="1377" spans="1:45" hidden="1" x14ac:dyDescent="0.25">
      <c r="A1377" s="41">
        <f>CASOPOInvCL!T1377</f>
        <v>0</v>
      </c>
      <c r="B1377">
        <f>CASOPOInvCL!Z1377</f>
        <v>0</v>
      </c>
      <c r="G1377" s="5">
        <f>CASOPOInvCL!I1377</f>
        <v>0</v>
      </c>
      <c r="H1377" s="31">
        <f>CASOPOInvCL!U1377</f>
        <v>0</v>
      </c>
      <c r="I1377" s="31">
        <f>CASOPOInvCL!V1377</f>
        <v>0</v>
      </c>
      <c r="J1377" s="5">
        <f>CASOPOInvCL!AB1377</f>
        <v>0</v>
      </c>
      <c r="K1377" s="31">
        <f>CASOPOInvCL!W1377</f>
        <v>0</v>
      </c>
      <c r="L1377" s="31">
        <f>CASOPOInvCL!X1377</f>
        <v>0</v>
      </c>
      <c r="M1377" s="31"/>
      <c r="N1377" s="5">
        <f>CASOPOInvCL!AF1377</f>
        <v>0</v>
      </c>
      <c r="O1377" s="16">
        <f>CASOPOInvCL!AG1377</f>
        <v>0</v>
      </c>
      <c r="P1377" s="16">
        <f>CASOPOInvCL!AH1377</f>
        <v>0</v>
      </c>
      <c r="Q1377" s="16">
        <f>CASOPOInvCL!AI1377</f>
        <v>0</v>
      </c>
      <c r="R1377" s="32">
        <f>CASOPOInvCL!AU1377</f>
        <v>0</v>
      </c>
      <c r="S1377" s="16">
        <f>CASOPOInvCL!AV1377</f>
        <v>0</v>
      </c>
      <c r="T1377" s="16">
        <f>CASOPOInvCL!AW1377</f>
        <v>0</v>
      </c>
      <c r="Y1377" s="29" t="str">
        <f>IFERROR(HLOOKUP(U1384,List!$D$2:$H$6,2,FALSE),"")</f>
        <v/>
      </c>
      <c r="Z1377" s="29" t="str">
        <f>IFERROR(HLOOKUP(V1384,List!$D$2:$H$6,3,FALSE),"")</f>
        <v/>
      </c>
      <c r="AA1377" s="29" t="str">
        <f>IFERROR(HLOOKUP(W1384,List!$D$2:$H$6,4,FALSE),"")</f>
        <v/>
      </c>
      <c r="AB1377" s="29" t="str">
        <f>IFERROR(HLOOKUP(X1384,List!$D$2:$H$6,5,FALSE),"")</f>
        <v/>
      </c>
      <c r="AC1377" s="12" t="str">
        <f t="shared" si="319"/>
        <v/>
      </c>
      <c r="AD1377" s="12" t="str">
        <f t="shared" si="319"/>
        <v/>
      </c>
      <c r="AE1377" s="12" t="str">
        <f t="shared" si="319"/>
        <v/>
      </c>
      <c r="AF1377" s="12" t="str">
        <f t="shared" si="319"/>
        <v/>
      </c>
      <c r="AM1377" s="12" t="str">
        <f t="shared" si="314"/>
        <v/>
      </c>
      <c r="AN1377" s="12" t="str">
        <f t="shared" si="315"/>
        <v/>
      </c>
      <c r="AO1377" s="12" t="str">
        <f t="shared" si="316"/>
        <v/>
      </c>
      <c r="AP1377" s="12" t="str">
        <f t="shared" si="317"/>
        <v/>
      </c>
      <c r="AQ1377" s="12"/>
      <c r="AS1377" s="12">
        <f t="shared" si="320"/>
        <v>0</v>
      </c>
    </row>
    <row r="1378" spans="1:45" hidden="1" x14ac:dyDescent="0.25">
      <c r="A1378" s="41">
        <f>CASOPOInvCL!T1378</f>
        <v>0</v>
      </c>
      <c r="B1378">
        <f>CASOPOInvCL!Z1378</f>
        <v>0</v>
      </c>
      <c r="G1378" s="5">
        <f>CASOPOInvCL!I1378</f>
        <v>0</v>
      </c>
      <c r="H1378" s="31">
        <f>CASOPOInvCL!U1378</f>
        <v>0</v>
      </c>
      <c r="I1378" s="31">
        <f>CASOPOInvCL!V1378</f>
        <v>0</v>
      </c>
      <c r="J1378" s="5">
        <f>CASOPOInvCL!AB1378</f>
        <v>0</v>
      </c>
      <c r="K1378" s="31">
        <f>CASOPOInvCL!W1378</f>
        <v>0</v>
      </c>
      <c r="L1378" s="31">
        <f>CASOPOInvCL!X1378</f>
        <v>0</v>
      </c>
      <c r="M1378" s="31"/>
      <c r="N1378" s="5">
        <f>CASOPOInvCL!AF1378</f>
        <v>0</v>
      </c>
      <c r="O1378" s="16">
        <f>CASOPOInvCL!AG1378</f>
        <v>0</v>
      </c>
      <c r="P1378" s="16">
        <f>CASOPOInvCL!AH1378</f>
        <v>0</v>
      </c>
      <c r="Q1378" s="16">
        <f>CASOPOInvCL!AI1378</f>
        <v>0</v>
      </c>
      <c r="R1378" s="32">
        <f>CASOPOInvCL!AU1378</f>
        <v>0</v>
      </c>
      <c r="S1378" s="16">
        <f>CASOPOInvCL!AV1378</f>
        <v>0</v>
      </c>
      <c r="T1378" s="16">
        <f>CASOPOInvCL!AW1378</f>
        <v>0</v>
      </c>
      <c r="Y1378" s="29" t="str">
        <f>IFERROR(HLOOKUP(U1385,List!$D$2:$H$6,2,FALSE),"")</f>
        <v/>
      </c>
      <c r="Z1378" s="29" t="str">
        <f>IFERROR(HLOOKUP(V1385,List!$D$2:$H$6,3,FALSE),"")</f>
        <v/>
      </c>
      <c r="AA1378" s="29" t="str">
        <f>IFERROR(HLOOKUP(W1385,List!$D$2:$H$6,4,FALSE),"")</f>
        <v/>
      </c>
      <c r="AB1378" s="29" t="str">
        <f>IFERROR(HLOOKUP(X1385,List!$D$2:$H$6,5,FALSE),"")</f>
        <v/>
      </c>
      <c r="AC1378" s="12" t="str">
        <f t="shared" si="319"/>
        <v/>
      </c>
      <c r="AD1378" s="12" t="str">
        <f t="shared" si="319"/>
        <v/>
      </c>
      <c r="AE1378" s="12" t="str">
        <f t="shared" si="319"/>
        <v/>
      </c>
      <c r="AF1378" s="12" t="str">
        <f t="shared" si="319"/>
        <v/>
      </c>
      <c r="AM1378" s="12" t="str">
        <f t="shared" si="314"/>
        <v/>
      </c>
      <c r="AN1378" s="12" t="str">
        <f t="shared" si="315"/>
        <v/>
      </c>
      <c r="AO1378" s="12" t="str">
        <f t="shared" si="316"/>
        <v/>
      </c>
      <c r="AP1378" s="12" t="str">
        <f t="shared" si="317"/>
        <v/>
      </c>
      <c r="AQ1378" s="12"/>
      <c r="AS1378" s="12">
        <f t="shared" si="320"/>
        <v>0</v>
      </c>
    </row>
    <row r="1379" spans="1:45" hidden="1" x14ac:dyDescent="0.25">
      <c r="A1379" s="41">
        <f>CASOPOInvCL!T1379</f>
        <v>0</v>
      </c>
      <c r="B1379">
        <f>CASOPOInvCL!Z1379</f>
        <v>0</v>
      </c>
      <c r="G1379" s="5">
        <f>CASOPOInvCL!I1379</f>
        <v>0</v>
      </c>
      <c r="H1379" s="31">
        <f>CASOPOInvCL!U1379</f>
        <v>0</v>
      </c>
      <c r="I1379" s="31">
        <f>CASOPOInvCL!V1379</f>
        <v>0</v>
      </c>
      <c r="J1379" s="5">
        <f>CASOPOInvCL!AB1379</f>
        <v>0</v>
      </c>
      <c r="K1379" s="31">
        <f>CASOPOInvCL!W1379</f>
        <v>0</v>
      </c>
      <c r="L1379" s="31">
        <f>CASOPOInvCL!X1379</f>
        <v>0</v>
      </c>
      <c r="M1379" s="31"/>
      <c r="N1379" s="5">
        <f>CASOPOInvCL!AF1379</f>
        <v>0</v>
      </c>
      <c r="O1379" s="16">
        <f>CASOPOInvCL!AG1379</f>
        <v>0</v>
      </c>
      <c r="P1379" s="16">
        <f>CASOPOInvCL!AH1379</f>
        <v>0</v>
      </c>
      <c r="Q1379" s="16">
        <f>CASOPOInvCL!AI1379</f>
        <v>0</v>
      </c>
      <c r="R1379" s="32">
        <f>CASOPOInvCL!AU1379</f>
        <v>0</v>
      </c>
      <c r="S1379" s="16">
        <f>CASOPOInvCL!AV1379</f>
        <v>0</v>
      </c>
      <c r="T1379" s="16">
        <f>CASOPOInvCL!AW1379</f>
        <v>0</v>
      </c>
      <c r="Y1379" s="29" t="str">
        <f>IFERROR(HLOOKUP(U1386,List!$D$2:$H$6,2,FALSE),"")</f>
        <v/>
      </c>
      <c r="Z1379" s="29" t="str">
        <f>IFERROR(HLOOKUP(V1386,List!$D$2:$H$6,3,FALSE),"")</f>
        <v/>
      </c>
      <c r="AA1379" s="29" t="str">
        <f>IFERROR(HLOOKUP(W1386,List!$D$2:$H$6,4,FALSE),"")</f>
        <v/>
      </c>
      <c r="AB1379" s="29" t="str">
        <f>IFERROR(HLOOKUP(X1386,List!$D$2:$H$6,5,FALSE),"")</f>
        <v/>
      </c>
      <c r="AC1379" s="12" t="str">
        <f t="shared" si="319"/>
        <v/>
      </c>
      <c r="AD1379" s="12" t="str">
        <f t="shared" si="319"/>
        <v/>
      </c>
      <c r="AE1379" s="12" t="str">
        <f t="shared" si="319"/>
        <v/>
      </c>
      <c r="AF1379" s="12" t="str">
        <f t="shared" si="319"/>
        <v/>
      </c>
      <c r="AM1379" s="12" t="str">
        <f t="shared" si="314"/>
        <v/>
      </c>
      <c r="AN1379" s="12" t="str">
        <f t="shared" si="315"/>
        <v/>
      </c>
      <c r="AO1379" s="12" t="str">
        <f t="shared" si="316"/>
        <v/>
      </c>
      <c r="AP1379" s="12" t="str">
        <f t="shared" si="317"/>
        <v/>
      </c>
      <c r="AQ1379" s="12"/>
      <c r="AS1379" s="12">
        <f t="shared" si="320"/>
        <v>0</v>
      </c>
    </row>
    <row r="1380" spans="1:45" hidden="1" x14ac:dyDescent="0.25">
      <c r="A1380" s="41">
        <f>CASOPOInvCL!T1380</f>
        <v>0</v>
      </c>
      <c r="B1380">
        <f>CASOPOInvCL!Z1380</f>
        <v>0</v>
      </c>
      <c r="G1380" s="5">
        <f>CASOPOInvCL!I1380</f>
        <v>0</v>
      </c>
      <c r="H1380" s="31">
        <f>CASOPOInvCL!U1380</f>
        <v>0</v>
      </c>
      <c r="I1380" s="31">
        <f>CASOPOInvCL!V1380</f>
        <v>0</v>
      </c>
      <c r="J1380" s="5">
        <f>CASOPOInvCL!AB1380</f>
        <v>0</v>
      </c>
      <c r="K1380" s="31">
        <f>CASOPOInvCL!W1380</f>
        <v>0</v>
      </c>
      <c r="L1380" s="31">
        <f>CASOPOInvCL!X1380</f>
        <v>0</v>
      </c>
      <c r="M1380" s="31"/>
      <c r="N1380" s="5">
        <f>CASOPOInvCL!AF1380</f>
        <v>0</v>
      </c>
      <c r="O1380" s="16">
        <f>CASOPOInvCL!AG1380</f>
        <v>0</v>
      </c>
      <c r="P1380" s="16">
        <f>CASOPOInvCL!AH1380</f>
        <v>0</v>
      </c>
      <c r="Q1380" s="16">
        <f>CASOPOInvCL!AI1380</f>
        <v>0</v>
      </c>
      <c r="R1380" s="32">
        <f>CASOPOInvCL!AU1380</f>
        <v>0</v>
      </c>
      <c r="S1380" s="16">
        <f>CASOPOInvCL!AV1380</f>
        <v>0</v>
      </c>
      <c r="T1380" s="16">
        <f>CASOPOInvCL!AW1380</f>
        <v>0</v>
      </c>
      <c r="Y1380" s="29" t="str">
        <f>IFERROR(HLOOKUP(U1387,List!$D$2:$H$6,2,FALSE),"")</f>
        <v/>
      </c>
      <c r="Z1380" s="29" t="str">
        <f>IFERROR(HLOOKUP(V1387,List!$D$2:$H$6,3,FALSE),"")</f>
        <v/>
      </c>
      <c r="AA1380" s="29" t="str">
        <f>IFERROR(HLOOKUP(W1387,List!$D$2:$H$6,4,FALSE),"")</f>
        <v/>
      </c>
      <c r="AB1380" s="29" t="str">
        <f>IFERROR(HLOOKUP(X1387,List!$D$2:$H$6,5,FALSE),"")</f>
        <v/>
      </c>
      <c r="AC1380" s="12" t="str">
        <f t="shared" si="319"/>
        <v/>
      </c>
      <c r="AD1380" s="12" t="str">
        <f t="shared" si="319"/>
        <v/>
      </c>
      <c r="AE1380" s="12" t="str">
        <f t="shared" si="319"/>
        <v/>
      </c>
      <c r="AF1380" s="12" t="str">
        <f t="shared" si="319"/>
        <v/>
      </c>
      <c r="AM1380" s="12" t="str">
        <f t="shared" si="314"/>
        <v/>
      </c>
      <c r="AN1380" s="12" t="str">
        <f t="shared" si="315"/>
        <v/>
      </c>
      <c r="AO1380" s="12" t="str">
        <f t="shared" si="316"/>
        <v/>
      </c>
      <c r="AP1380" s="12" t="str">
        <f t="shared" si="317"/>
        <v/>
      </c>
      <c r="AQ1380" s="12"/>
      <c r="AS1380" s="12">
        <f t="shared" si="320"/>
        <v>0</v>
      </c>
    </row>
    <row r="1381" spans="1:45" hidden="1" x14ac:dyDescent="0.25">
      <c r="A1381" s="41">
        <f>CASOPOInvCL!T1381</f>
        <v>0</v>
      </c>
      <c r="B1381">
        <f>CASOPOInvCL!Z1381</f>
        <v>0</v>
      </c>
      <c r="G1381" s="5">
        <f>CASOPOInvCL!I1381</f>
        <v>0</v>
      </c>
      <c r="H1381" s="31">
        <f>CASOPOInvCL!U1381</f>
        <v>0</v>
      </c>
      <c r="I1381" s="31">
        <f>CASOPOInvCL!V1381</f>
        <v>0</v>
      </c>
      <c r="J1381" s="5">
        <f>CASOPOInvCL!AB1381</f>
        <v>0</v>
      </c>
      <c r="K1381" s="31">
        <f>CASOPOInvCL!W1381</f>
        <v>0</v>
      </c>
      <c r="L1381" s="31">
        <f>CASOPOInvCL!X1381</f>
        <v>0</v>
      </c>
      <c r="M1381" s="31"/>
      <c r="N1381" s="5">
        <f>CASOPOInvCL!AF1381</f>
        <v>0</v>
      </c>
      <c r="O1381" s="16">
        <f>CASOPOInvCL!AG1381</f>
        <v>0</v>
      </c>
      <c r="P1381" s="16">
        <f>CASOPOInvCL!AH1381</f>
        <v>0</v>
      </c>
      <c r="Q1381" s="16">
        <f>CASOPOInvCL!AI1381</f>
        <v>0</v>
      </c>
      <c r="R1381" s="32">
        <f>CASOPOInvCL!AU1381</f>
        <v>0</v>
      </c>
      <c r="S1381" s="16">
        <f>CASOPOInvCL!AV1381</f>
        <v>0</v>
      </c>
      <c r="T1381" s="16">
        <f>CASOPOInvCL!AW1381</f>
        <v>0</v>
      </c>
      <c r="Y1381" s="29" t="str">
        <f>IFERROR(HLOOKUP(U1388,List!$D$2:$H$6,2,FALSE),"")</f>
        <v/>
      </c>
      <c r="Z1381" s="29" t="str">
        <f>IFERROR(HLOOKUP(V1388,List!$D$2:$H$6,3,FALSE),"")</f>
        <v/>
      </c>
      <c r="AA1381" s="29" t="str">
        <f>IFERROR(HLOOKUP(W1388,List!$D$2:$H$6,4,FALSE),"")</f>
        <v/>
      </c>
      <c r="AB1381" s="29" t="str">
        <f>IFERROR(HLOOKUP(X1388,List!$D$2:$H$6,5,FALSE),"")</f>
        <v/>
      </c>
      <c r="AC1381" s="12" t="str">
        <f t="shared" si="319"/>
        <v/>
      </c>
      <c r="AD1381" s="12" t="str">
        <f t="shared" si="319"/>
        <v/>
      </c>
      <c r="AE1381" s="12" t="str">
        <f t="shared" si="319"/>
        <v/>
      </c>
      <c r="AF1381" s="12" t="str">
        <f t="shared" si="319"/>
        <v/>
      </c>
      <c r="AM1381" s="12" t="str">
        <f t="shared" si="314"/>
        <v/>
      </c>
      <c r="AN1381" s="12" t="str">
        <f t="shared" si="315"/>
        <v/>
      </c>
      <c r="AO1381" s="12" t="str">
        <f t="shared" si="316"/>
        <v/>
      </c>
      <c r="AP1381" s="12" t="str">
        <f t="shared" si="317"/>
        <v/>
      </c>
      <c r="AQ1381" s="12"/>
      <c r="AS1381" s="12">
        <f t="shared" si="320"/>
        <v>0</v>
      </c>
    </row>
    <row r="1382" spans="1:45" hidden="1" x14ac:dyDescent="0.25">
      <c r="A1382" s="41">
        <f>CASOPOInvCL!T1382</f>
        <v>0</v>
      </c>
      <c r="B1382">
        <f>CASOPOInvCL!Z1382</f>
        <v>0</v>
      </c>
      <c r="G1382" s="5">
        <f>CASOPOInvCL!I1382</f>
        <v>0</v>
      </c>
      <c r="H1382" s="31">
        <f>CASOPOInvCL!U1382</f>
        <v>0</v>
      </c>
      <c r="I1382" s="31">
        <f>CASOPOInvCL!V1382</f>
        <v>0</v>
      </c>
      <c r="J1382" s="5">
        <f>CASOPOInvCL!AB1382</f>
        <v>0</v>
      </c>
      <c r="K1382" s="31">
        <f>CASOPOInvCL!W1382</f>
        <v>0</v>
      </c>
      <c r="L1382" s="31">
        <f>CASOPOInvCL!X1382</f>
        <v>0</v>
      </c>
      <c r="M1382" s="31"/>
      <c r="N1382" s="5">
        <f>CASOPOInvCL!AF1382</f>
        <v>0</v>
      </c>
      <c r="O1382" s="16">
        <f>CASOPOInvCL!AG1382</f>
        <v>0</v>
      </c>
      <c r="P1382" s="16">
        <f>CASOPOInvCL!AH1382</f>
        <v>0</v>
      </c>
      <c r="Q1382" s="16">
        <f>CASOPOInvCL!AI1382</f>
        <v>0</v>
      </c>
      <c r="R1382" s="32">
        <f>CASOPOInvCL!AU1382</f>
        <v>0</v>
      </c>
      <c r="S1382" s="16">
        <f>CASOPOInvCL!AV1382</f>
        <v>0</v>
      </c>
      <c r="T1382" s="16">
        <f>CASOPOInvCL!AW1382</f>
        <v>0</v>
      </c>
      <c r="Y1382" s="29" t="str">
        <f>IFERROR(HLOOKUP(U1389,List!$D$2:$H$6,2,FALSE),"")</f>
        <v/>
      </c>
      <c r="Z1382" s="29" t="str">
        <f>IFERROR(HLOOKUP(V1389,List!$D$2:$H$6,3,FALSE),"")</f>
        <v/>
      </c>
      <c r="AA1382" s="29" t="str">
        <f>IFERROR(HLOOKUP(W1389,List!$D$2:$H$6,4,FALSE),"")</f>
        <v/>
      </c>
      <c r="AB1382" s="29" t="str">
        <f>IFERROR(HLOOKUP(X1389,List!$D$2:$H$6,5,FALSE),"")</f>
        <v/>
      </c>
      <c r="AC1382" s="12" t="str">
        <f t="shared" si="319"/>
        <v/>
      </c>
      <c r="AD1382" s="12" t="str">
        <f t="shared" si="319"/>
        <v/>
      </c>
      <c r="AE1382" s="12" t="str">
        <f t="shared" si="319"/>
        <v/>
      </c>
      <c r="AF1382" s="12" t="str">
        <f t="shared" si="319"/>
        <v/>
      </c>
      <c r="AM1382" s="12" t="str">
        <f t="shared" si="314"/>
        <v/>
      </c>
      <c r="AN1382" s="12" t="str">
        <f t="shared" si="315"/>
        <v/>
      </c>
      <c r="AO1382" s="12" t="str">
        <f t="shared" si="316"/>
        <v/>
      </c>
      <c r="AP1382" s="12" t="str">
        <f t="shared" si="317"/>
        <v/>
      </c>
      <c r="AQ1382" s="12"/>
      <c r="AS1382" s="12">
        <f t="shared" si="320"/>
        <v>0</v>
      </c>
    </row>
    <row r="1383" spans="1:45" hidden="1" x14ac:dyDescent="0.25">
      <c r="A1383" s="41">
        <f>CASOPOInvCL!T1383</f>
        <v>0</v>
      </c>
      <c r="B1383">
        <f>CASOPOInvCL!Z1383</f>
        <v>0</v>
      </c>
      <c r="G1383" s="5">
        <f>CASOPOInvCL!I1383</f>
        <v>0</v>
      </c>
      <c r="H1383" s="31">
        <f>CASOPOInvCL!U1383</f>
        <v>0</v>
      </c>
      <c r="I1383" s="31">
        <f>CASOPOInvCL!V1383</f>
        <v>0</v>
      </c>
      <c r="J1383" s="5">
        <f>CASOPOInvCL!AB1383</f>
        <v>0</v>
      </c>
      <c r="K1383" s="31">
        <f>CASOPOInvCL!W1383</f>
        <v>0</v>
      </c>
      <c r="L1383" s="31">
        <f>CASOPOInvCL!X1383</f>
        <v>0</v>
      </c>
      <c r="M1383" s="31"/>
      <c r="N1383" s="5">
        <f>CASOPOInvCL!AF1383</f>
        <v>0</v>
      </c>
      <c r="O1383" s="16">
        <f>CASOPOInvCL!AG1383</f>
        <v>0</v>
      </c>
      <c r="P1383" s="16">
        <f>CASOPOInvCL!AH1383</f>
        <v>0</v>
      </c>
      <c r="Q1383" s="16">
        <f>CASOPOInvCL!AI1383</f>
        <v>0</v>
      </c>
      <c r="R1383" s="32">
        <f>CASOPOInvCL!AU1383</f>
        <v>0</v>
      </c>
      <c r="S1383" s="16">
        <f>CASOPOInvCL!AV1383</f>
        <v>0</v>
      </c>
      <c r="T1383" s="16">
        <f>CASOPOInvCL!AW1383</f>
        <v>0</v>
      </c>
      <c r="Y1383" s="29" t="str">
        <f>IFERROR(HLOOKUP(U1390,List!$D$2:$H$6,2,FALSE),"")</f>
        <v/>
      </c>
      <c r="Z1383" s="29" t="str">
        <f>IFERROR(HLOOKUP(V1390,List!$D$2:$H$6,3,FALSE),"")</f>
        <v/>
      </c>
      <c r="AA1383" s="29" t="str">
        <f>IFERROR(HLOOKUP(W1390,List!$D$2:$H$6,4,FALSE),"")</f>
        <v/>
      </c>
      <c r="AB1383" s="29" t="str">
        <f>IFERROR(HLOOKUP(X1390,List!$D$2:$H$6,5,FALSE),"")</f>
        <v/>
      </c>
      <c r="AC1383" s="12" t="str">
        <f t="shared" si="319"/>
        <v/>
      </c>
      <c r="AD1383" s="12" t="str">
        <f t="shared" si="319"/>
        <v/>
      </c>
      <c r="AE1383" s="12" t="str">
        <f t="shared" si="319"/>
        <v/>
      </c>
      <c r="AF1383" s="12" t="str">
        <f t="shared" si="319"/>
        <v/>
      </c>
      <c r="AM1383" s="12" t="str">
        <f t="shared" si="314"/>
        <v/>
      </c>
      <c r="AN1383" s="12" t="str">
        <f t="shared" si="315"/>
        <v/>
      </c>
      <c r="AO1383" s="12" t="str">
        <f t="shared" si="316"/>
        <v/>
      </c>
      <c r="AP1383" s="12" t="str">
        <f t="shared" si="317"/>
        <v/>
      </c>
      <c r="AQ1383" s="12"/>
      <c r="AS1383" s="12">
        <f t="shared" si="320"/>
        <v>0</v>
      </c>
    </row>
    <row r="1384" spans="1:45" hidden="1" x14ac:dyDescent="0.25">
      <c r="A1384" s="41">
        <f>CASOPOInvCL!T1384</f>
        <v>0</v>
      </c>
      <c r="B1384">
        <f>CASOPOInvCL!Z1384</f>
        <v>0</v>
      </c>
      <c r="G1384" s="5">
        <f>CASOPOInvCL!I1384</f>
        <v>0</v>
      </c>
      <c r="H1384" s="31">
        <f>CASOPOInvCL!U1384</f>
        <v>0</v>
      </c>
      <c r="I1384" s="31">
        <f>CASOPOInvCL!V1384</f>
        <v>0</v>
      </c>
      <c r="J1384" s="5">
        <f>CASOPOInvCL!AB1384</f>
        <v>0</v>
      </c>
      <c r="K1384" s="31">
        <f>CASOPOInvCL!W1384</f>
        <v>0</v>
      </c>
      <c r="L1384" s="31">
        <f>CASOPOInvCL!X1384</f>
        <v>0</v>
      </c>
      <c r="M1384" s="31"/>
      <c r="N1384" s="5">
        <f>CASOPOInvCL!AF1384</f>
        <v>0</v>
      </c>
      <c r="O1384" s="16">
        <f>CASOPOInvCL!AG1384</f>
        <v>0</v>
      </c>
      <c r="P1384" s="16">
        <f>CASOPOInvCL!AH1384</f>
        <v>0</v>
      </c>
      <c r="Q1384" s="16">
        <f>CASOPOInvCL!AI1384</f>
        <v>0</v>
      </c>
      <c r="R1384" s="32">
        <f>CASOPOInvCL!AU1384</f>
        <v>0</v>
      </c>
      <c r="S1384" s="16">
        <f>CASOPOInvCL!AV1384</f>
        <v>0</v>
      </c>
      <c r="T1384" s="16">
        <f>CASOPOInvCL!AW1384</f>
        <v>0</v>
      </c>
      <c r="Y1384" s="29" t="str">
        <f>IFERROR(HLOOKUP(U1391,List!$D$2:$H$6,2,FALSE),"")</f>
        <v/>
      </c>
      <c r="Z1384" s="29" t="str">
        <f>IFERROR(HLOOKUP(V1391,List!$D$2:$H$6,3,FALSE),"")</f>
        <v/>
      </c>
      <c r="AA1384" s="29" t="str">
        <f>IFERROR(HLOOKUP(W1391,List!$D$2:$H$6,4,FALSE),"")</f>
        <v/>
      </c>
      <c r="AB1384" s="29" t="str">
        <f>IFERROR(HLOOKUP(X1391,List!$D$2:$H$6,5,FALSE),"")</f>
        <v/>
      </c>
      <c r="AC1384" s="12" t="str">
        <f t="shared" si="319"/>
        <v/>
      </c>
      <c r="AD1384" s="12" t="str">
        <f t="shared" si="319"/>
        <v/>
      </c>
      <c r="AE1384" s="12" t="str">
        <f t="shared" si="319"/>
        <v/>
      </c>
      <c r="AF1384" s="12" t="str">
        <f t="shared" si="319"/>
        <v/>
      </c>
      <c r="AM1384" s="12" t="str">
        <f t="shared" si="314"/>
        <v/>
      </c>
      <c r="AN1384" s="12" t="str">
        <f t="shared" si="315"/>
        <v/>
      </c>
      <c r="AO1384" s="12" t="str">
        <f t="shared" si="316"/>
        <v/>
      </c>
      <c r="AP1384" s="12" t="str">
        <f t="shared" si="317"/>
        <v/>
      </c>
      <c r="AQ1384" s="12"/>
      <c r="AS1384" s="12">
        <f t="shared" si="320"/>
        <v>0</v>
      </c>
    </row>
    <row r="1385" spans="1:45" hidden="1" x14ac:dyDescent="0.25">
      <c r="A1385" s="41">
        <f>CASOPOInvCL!T1385</f>
        <v>0</v>
      </c>
      <c r="B1385">
        <f>CASOPOInvCL!Z1385</f>
        <v>0</v>
      </c>
      <c r="G1385" s="5">
        <f>CASOPOInvCL!I1385</f>
        <v>0</v>
      </c>
      <c r="H1385" s="31">
        <f>CASOPOInvCL!U1385</f>
        <v>0</v>
      </c>
      <c r="I1385" s="31">
        <f>CASOPOInvCL!V1385</f>
        <v>0</v>
      </c>
      <c r="J1385" s="5">
        <f>CASOPOInvCL!AB1385</f>
        <v>0</v>
      </c>
      <c r="K1385" s="31">
        <f>CASOPOInvCL!W1385</f>
        <v>0</v>
      </c>
      <c r="L1385" s="31">
        <f>CASOPOInvCL!X1385</f>
        <v>0</v>
      </c>
      <c r="M1385" s="31"/>
      <c r="N1385" s="5">
        <f>CASOPOInvCL!AF1385</f>
        <v>0</v>
      </c>
      <c r="O1385" s="16">
        <f>CASOPOInvCL!AG1385</f>
        <v>0</v>
      </c>
      <c r="P1385" s="16">
        <f>CASOPOInvCL!AH1385</f>
        <v>0</v>
      </c>
      <c r="Q1385" s="16">
        <f>CASOPOInvCL!AI1385</f>
        <v>0</v>
      </c>
      <c r="R1385" s="32">
        <f>CASOPOInvCL!AU1385</f>
        <v>0</v>
      </c>
      <c r="S1385" s="16">
        <f>CASOPOInvCL!AV1385</f>
        <v>0</v>
      </c>
      <c r="T1385" s="16">
        <f>CASOPOInvCL!AW1385</f>
        <v>0</v>
      </c>
      <c r="Y1385" s="29" t="str">
        <f>IFERROR(HLOOKUP(U1392,List!$D$2:$H$6,2,FALSE),"")</f>
        <v/>
      </c>
      <c r="Z1385" s="29" t="str">
        <f>IFERROR(HLOOKUP(V1392,List!$D$2:$H$6,3,FALSE),"")</f>
        <v/>
      </c>
      <c r="AA1385" s="29" t="str">
        <f>IFERROR(HLOOKUP(W1392,List!$D$2:$H$6,4,FALSE),"")</f>
        <v/>
      </c>
      <c r="AB1385" s="29" t="str">
        <f>IFERROR(HLOOKUP(X1392,List!$D$2:$H$6,5,FALSE),"")</f>
        <v/>
      </c>
      <c r="AC1385" s="12" t="str">
        <f t="shared" si="319"/>
        <v/>
      </c>
      <c r="AD1385" s="12" t="str">
        <f t="shared" si="319"/>
        <v/>
      </c>
      <c r="AE1385" s="12" t="str">
        <f t="shared" si="319"/>
        <v/>
      </c>
      <c r="AF1385" s="12" t="str">
        <f t="shared" si="319"/>
        <v/>
      </c>
      <c r="AM1385" s="12" t="str">
        <f t="shared" si="314"/>
        <v/>
      </c>
      <c r="AN1385" s="12" t="str">
        <f t="shared" si="315"/>
        <v/>
      </c>
      <c r="AO1385" s="12" t="str">
        <f t="shared" si="316"/>
        <v/>
      </c>
      <c r="AP1385" s="12" t="str">
        <f t="shared" si="317"/>
        <v/>
      </c>
      <c r="AQ1385" s="12"/>
      <c r="AS1385" s="12">
        <f t="shared" si="320"/>
        <v>0</v>
      </c>
    </row>
    <row r="1386" spans="1:45" hidden="1" x14ac:dyDescent="0.25">
      <c r="A1386" s="41">
        <f>CASOPOInvCL!T1386</f>
        <v>0</v>
      </c>
      <c r="B1386">
        <f>CASOPOInvCL!Z1386</f>
        <v>0</v>
      </c>
      <c r="G1386" s="5">
        <f>CASOPOInvCL!I1386</f>
        <v>0</v>
      </c>
      <c r="H1386" s="31">
        <f>CASOPOInvCL!U1386</f>
        <v>0</v>
      </c>
      <c r="I1386" s="31">
        <f>CASOPOInvCL!V1386</f>
        <v>0</v>
      </c>
      <c r="J1386" s="5">
        <f>CASOPOInvCL!AB1386</f>
        <v>0</v>
      </c>
      <c r="K1386" s="31">
        <f>CASOPOInvCL!W1386</f>
        <v>0</v>
      </c>
      <c r="L1386" s="31">
        <f>CASOPOInvCL!X1386</f>
        <v>0</v>
      </c>
      <c r="M1386" s="31"/>
      <c r="N1386" s="5">
        <f>CASOPOInvCL!AF1386</f>
        <v>0</v>
      </c>
      <c r="O1386" s="16">
        <f>CASOPOInvCL!AG1386</f>
        <v>0</v>
      </c>
      <c r="P1386" s="16">
        <f>CASOPOInvCL!AH1386</f>
        <v>0</v>
      </c>
      <c r="Q1386" s="16">
        <f>CASOPOInvCL!AI1386</f>
        <v>0</v>
      </c>
      <c r="R1386" s="32">
        <f>CASOPOInvCL!AU1386</f>
        <v>0</v>
      </c>
      <c r="S1386" s="16">
        <f>CASOPOInvCL!AV1386</f>
        <v>0</v>
      </c>
      <c r="T1386" s="16">
        <f>CASOPOInvCL!AW1386</f>
        <v>0</v>
      </c>
      <c r="Y1386" s="29" t="str">
        <f>IFERROR(HLOOKUP(U1393,List!$D$2:$H$6,2,FALSE),"")</f>
        <v/>
      </c>
      <c r="Z1386" s="29" t="str">
        <f>IFERROR(HLOOKUP(V1393,List!$D$2:$H$6,3,FALSE),"")</f>
        <v/>
      </c>
      <c r="AA1386" s="29" t="str">
        <f>IFERROR(HLOOKUP(W1393,List!$D$2:$H$6,4,FALSE),"")</f>
        <v/>
      </c>
      <c r="AB1386" s="29" t="str">
        <f>IFERROR(HLOOKUP(X1393,List!$D$2:$H$6,5,FALSE),"")</f>
        <v/>
      </c>
      <c r="AC1386" s="12" t="str">
        <f t="shared" si="319"/>
        <v/>
      </c>
      <c r="AD1386" s="12" t="str">
        <f t="shared" si="319"/>
        <v/>
      </c>
      <c r="AE1386" s="12" t="str">
        <f t="shared" si="319"/>
        <v/>
      </c>
      <c r="AF1386" s="12" t="str">
        <f t="shared" si="319"/>
        <v/>
      </c>
      <c r="AM1386" s="12" t="str">
        <f t="shared" si="314"/>
        <v/>
      </c>
      <c r="AN1386" s="12" t="str">
        <f t="shared" si="315"/>
        <v/>
      </c>
      <c r="AO1386" s="12" t="str">
        <f t="shared" si="316"/>
        <v/>
      </c>
      <c r="AP1386" s="12" t="str">
        <f t="shared" si="317"/>
        <v/>
      </c>
      <c r="AQ1386" s="12"/>
      <c r="AS1386" s="12">
        <f t="shared" si="320"/>
        <v>0</v>
      </c>
    </row>
    <row r="1387" spans="1:45" hidden="1" x14ac:dyDescent="0.25">
      <c r="A1387" s="41">
        <f>CASOPOInvCL!T1387</f>
        <v>0</v>
      </c>
      <c r="B1387">
        <f>CASOPOInvCL!Z1387</f>
        <v>0</v>
      </c>
      <c r="G1387" s="5">
        <f>CASOPOInvCL!I1387</f>
        <v>0</v>
      </c>
      <c r="H1387" s="31">
        <f>CASOPOInvCL!U1387</f>
        <v>0</v>
      </c>
      <c r="I1387" s="31">
        <f>CASOPOInvCL!V1387</f>
        <v>0</v>
      </c>
      <c r="J1387" s="5">
        <f>CASOPOInvCL!AB1387</f>
        <v>0</v>
      </c>
      <c r="K1387" s="31">
        <f>CASOPOInvCL!W1387</f>
        <v>0</v>
      </c>
      <c r="L1387" s="31">
        <f>CASOPOInvCL!X1387</f>
        <v>0</v>
      </c>
      <c r="M1387" s="31"/>
      <c r="N1387" s="5">
        <f>CASOPOInvCL!AF1387</f>
        <v>0</v>
      </c>
      <c r="O1387" s="16">
        <f>CASOPOInvCL!AG1387</f>
        <v>0</v>
      </c>
      <c r="P1387" s="16">
        <f>CASOPOInvCL!AH1387</f>
        <v>0</v>
      </c>
      <c r="Q1387" s="16">
        <f>CASOPOInvCL!AI1387</f>
        <v>0</v>
      </c>
      <c r="R1387" s="32">
        <f>CASOPOInvCL!AU1387</f>
        <v>0</v>
      </c>
      <c r="S1387" s="16">
        <f>CASOPOInvCL!AV1387</f>
        <v>0</v>
      </c>
      <c r="T1387" s="16">
        <f>CASOPOInvCL!AW1387</f>
        <v>0</v>
      </c>
      <c r="Y1387" s="29" t="str">
        <f>IFERROR(HLOOKUP(U1394,List!$D$2:$H$6,2,FALSE),"")</f>
        <v/>
      </c>
      <c r="Z1387" s="29" t="str">
        <f>IFERROR(HLOOKUP(V1394,List!$D$2:$H$6,3,FALSE),"")</f>
        <v/>
      </c>
      <c r="AA1387" s="29" t="str">
        <f>IFERROR(HLOOKUP(W1394,List!$D$2:$H$6,4,FALSE),"")</f>
        <v/>
      </c>
      <c r="AB1387" s="29" t="str">
        <f>IFERROR(HLOOKUP(X1394,List!$D$2:$H$6,5,FALSE),"")</f>
        <v/>
      </c>
      <c r="AC1387" s="12" t="str">
        <f t="shared" si="319"/>
        <v/>
      </c>
      <c r="AD1387" s="12" t="str">
        <f t="shared" si="319"/>
        <v/>
      </c>
      <c r="AE1387" s="12" t="str">
        <f t="shared" si="319"/>
        <v/>
      </c>
      <c r="AF1387" s="12" t="str">
        <f t="shared" si="319"/>
        <v/>
      </c>
      <c r="AM1387" s="12" t="str">
        <f t="shared" si="314"/>
        <v/>
      </c>
      <c r="AN1387" s="12" t="str">
        <f t="shared" si="315"/>
        <v/>
      </c>
      <c r="AO1387" s="12" t="str">
        <f t="shared" si="316"/>
        <v/>
      </c>
      <c r="AP1387" s="12" t="str">
        <f t="shared" si="317"/>
        <v/>
      </c>
      <c r="AQ1387" s="12"/>
      <c r="AS1387" s="12">
        <f t="shared" si="320"/>
        <v>0</v>
      </c>
    </row>
    <row r="1388" spans="1:45" hidden="1" x14ac:dyDescent="0.25">
      <c r="A1388" s="41">
        <f>CASOPOInvCL!T1388</f>
        <v>0</v>
      </c>
      <c r="B1388">
        <f>CASOPOInvCL!Z1388</f>
        <v>0</v>
      </c>
      <c r="G1388" s="5">
        <f>CASOPOInvCL!I1388</f>
        <v>0</v>
      </c>
      <c r="H1388" s="31">
        <f>CASOPOInvCL!U1388</f>
        <v>0</v>
      </c>
      <c r="I1388" s="31">
        <f>CASOPOInvCL!V1388</f>
        <v>0</v>
      </c>
      <c r="J1388" s="5">
        <f>CASOPOInvCL!AB1388</f>
        <v>0</v>
      </c>
      <c r="K1388" s="31">
        <f>CASOPOInvCL!W1388</f>
        <v>0</v>
      </c>
      <c r="L1388" s="31">
        <f>CASOPOInvCL!X1388</f>
        <v>0</v>
      </c>
      <c r="M1388" s="31"/>
      <c r="N1388" s="5">
        <f>CASOPOInvCL!AF1388</f>
        <v>0</v>
      </c>
      <c r="O1388" s="16">
        <f>CASOPOInvCL!AG1388</f>
        <v>0</v>
      </c>
      <c r="P1388" s="16">
        <f>CASOPOInvCL!AH1388</f>
        <v>0</v>
      </c>
      <c r="Q1388" s="16">
        <f>CASOPOInvCL!AI1388</f>
        <v>0</v>
      </c>
      <c r="R1388" s="32">
        <f>CASOPOInvCL!AU1388</f>
        <v>0</v>
      </c>
      <c r="S1388" s="16">
        <f>CASOPOInvCL!AV1388</f>
        <v>0</v>
      </c>
      <c r="T1388" s="16">
        <f>CASOPOInvCL!AW1388</f>
        <v>0</v>
      </c>
      <c r="Y1388" s="29" t="str">
        <f>IFERROR(HLOOKUP(U1395,List!$D$2:$H$6,2,FALSE),"")</f>
        <v/>
      </c>
      <c r="Z1388" s="29" t="str">
        <f>IFERROR(HLOOKUP(V1395,List!$D$2:$H$6,3,FALSE),"")</f>
        <v/>
      </c>
      <c r="AA1388" s="29" t="str">
        <f>IFERROR(HLOOKUP(W1395,List!$D$2:$H$6,4,FALSE),"")</f>
        <v/>
      </c>
      <c r="AB1388" s="29" t="str">
        <f>IFERROR(HLOOKUP(X1395,List!$D$2:$H$6,5,FALSE),"")</f>
        <v/>
      </c>
      <c r="AC1388" s="12" t="str">
        <f t="shared" si="319"/>
        <v/>
      </c>
      <c r="AD1388" s="12" t="str">
        <f t="shared" si="319"/>
        <v/>
      </c>
      <c r="AE1388" s="12" t="str">
        <f t="shared" si="319"/>
        <v/>
      </c>
      <c r="AF1388" s="12" t="str">
        <f t="shared" si="319"/>
        <v/>
      </c>
      <c r="AM1388" s="12" t="str">
        <f t="shared" si="314"/>
        <v/>
      </c>
      <c r="AN1388" s="12" t="str">
        <f t="shared" si="315"/>
        <v/>
      </c>
      <c r="AO1388" s="12" t="str">
        <f t="shared" si="316"/>
        <v/>
      </c>
      <c r="AP1388" s="12" t="str">
        <f t="shared" si="317"/>
        <v/>
      </c>
      <c r="AQ1388" s="12"/>
      <c r="AS1388" s="12">
        <f t="shared" si="320"/>
        <v>0</v>
      </c>
    </row>
    <row r="1389" spans="1:45" hidden="1" x14ac:dyDescent="0.25">
      <c r="A1389" s="41">
        <f>CASOPOInvCL!T1389</f>
        <v>0</v>
      </c>
      <c r="B1389">
        <f>CASOPOInvCL!Z1389</f>
        <v>0</v>
      </c>
      <c r="G1389" s="5">
        <f>CASOPOInvCL!I1389</f>
        <v>0</v>
      </c>
      <c r="H1389" s="31">
        <f>CASOPOInvCL!U1389</f>
        <v>0</v>
      </c>
      <c r="I1389" s="31">
        <f>CASOPOInvCL!V1389</f>
        <v>0</v>
      </c>
      <c r="J1389" s="5">
        <f>CASOPOInvCL!AB1389</f>
        <v>0</v>
      </c>
      <c r="K1389" s="31">
        <f>CASOPOInvCL!W1389</f>
        <v>0</v>
      </c>
      <c r="L1389" s="31">
        <f>CASOPOInvCL!X1389</f>
        <v>0</v>
      </c>
      <c r="M1389" s="31"/>
      <c r="N1389" s="5">
        <f>CASOPOInvCL!AF1389</f>
        <v>0</v>
      </c>
      <c r="O1389" s="16">
        <f>CASOPOInvCL!AG1389</f>
        <v>0</v>
      </c>
      <c r="P1389" s="16">
        <f>CASOPOInvCL!AH1389</f>
        <v>0</v>
      </c>
      <c r="Q1389" s="16">
        <f>CASOPOInvCL!AI1389</f>
        <v>0</v>
      </c>
      <c r="R1389" s="32">
        <f>CASOPOInvCL!AU1389</f>
        <v>0</v>
      </c>
      <c r="S1389" s="16">
        <f>CASOPOInvCL!AV1389</f>
        <v>0</v>
      </c>
      <c r="T1389" s="16">
        <f>CASOPOInvCL!AW1389</f>
        <v>0</v>
      </c>
      <c r="Y1389" s="29" t="str">
        <f>IFERROR(HLOOKUP(U1396,List!$D$2:$H$6,2,FALSE),"")</f>
        <v/>
      </c>
      <c r="Z1389" s="29" t="str">
        <f>IFERROR(HLOOKUP(V1396,List!$D$2:$H$6,3,FALSE),"")</f>
        <v/>
      </c>
      <c r="AA1389" s="29" t="str">
        <f>IFERROR(HLOOKUP(W1396,List!$D$2:$H$6,4,FALSE),"")</f>
        <v/>
      </c>
      <c r="AB1389" s="29" t="str">
        <f>IFERROR(HLOOKUP(X1396,List!$D$2:$H$6,5,FALSE),"")</f>
        <v/>
      </c>
      <c r="AC1389" s="12" t="str">
        <f t="shared" si="319"/>
        <v/>
      </c>
      <c r="AD1389" s="12" t="str">
        <f t="shared" si="319"/>
        <v/>
      </c>
      <c r="AE1389" s="12" t="str">
        <f t="shared" si="319"/>
        <v/>
      </c>
      <c r="AF1389" s="12" t="str">
        <f t="shared" si="319"/>
        <v/>
      </c>
      <c r="AM1389" s="12" t="str">
        <f t="shared" si="314"/>
        <v/>
      </c>
      <c r="AN1389" s="12" t="str">
        <f t="shared" si="315"/>
        <v/>
      </c>
      <c r="AO1389" s="12" t="str">
        <f t="shared" si="316"/>
        <v/>
      </c>
      <c r="AP1389" s="12" t="str">
        <f t="shared" si="317"/>
        <v/>
      </c>
      <c r="AQ1389" s="12"/>
      <c r="AS1389" s="12">
        <f t="shared" si="320"/>
        <v>0</v>
      </c>
    </row>
    <row r="1390" spans="1:45" hidden="1" x14ac:dyDescent="0.25">
      <c r="A1390" s="41">
        <f>CASOPOInvCL!T1390</f>
        <v>0</v>
      </c>
      <c r="B1390">
        <f>CASOPOInvCL!Z1390</f>
        <v>0</v>
      </c>
      <c r="G1390" s="5">
        <f>CASOPOInvCL!I1390</f>
        <v>0</v>
      </c>
      <c r="H1390" s="31">
        <f>CASOPOInvCL!U1390</f>
        <v>0</v>
      </c>
      <c r="I1390" s="31">
        <f>CASOPOInvCL!V1390</f>
        <v>0</v>
      </c>
      <c r="J1390" s="5">
        <f>CASOPOInvCL!AB1390</f>
        <v>0</v>
      </c>
      <c r="K1390" s="31">
        <f>CASOPOInvCL!W1390</f>
        <v>0</v>
      </c>
      <c r="L1390" s="31">
        <f>CASOPOInvCL!X1390</f>
        <v>0</v>
      </c>
      <c r="M1390" s="31"/>
      <c r="N1390" s="5">
        <f>CASOPOInvCL!AF1390</f>
        <v>0</v>
      </c>
      <c r="O1390" s="16">
        <f>CASOPOInvCL!AG1390</f>
        <v>0</v>
      </c>
      <c r="P1390" s="16">
        <f>CASOPOInvCL!AH1390</f>
        <v>0</v>
      </c>
      <c r="Q1390" s="16">
        <f>CASOPOInvCL!AI1390</f>
        <v>0</v>
      </c>
      <c r="R1390" s="32">
        <f>CASOPOInvCL!AU1390</f>
        <v>0</v>
      </c>
      <c r="S1390" s="16">
        <f>CASOPOInvCL!AV1390</f>
        <v>0</v>
      </c>
      <c r="T1390" s="16">
        <f>CASOPOInvCL!AW1390</f>
        <v>0</v>
      </c>
      <c r="Y1390" s="29" t="str">
        <f>IFERROR(HLOOKUP(U1397,List!$D$2:$H$6,2,FALSE),"")</f>
        <v/>
      </c>
      <c r="Z1390" s="29" t="str">
        <f>IFERROR(HLOOKUP(V1397,List!$D$2:$H$6,3,FALSE),"")</f>
        <v/>
      </c>
      <c r="AA1390" s="29" t="str">
        <f>IFERROR(HLOOKUP(W1397,List!$D$2:$H$6,4,FALSE),"")</f>
        <v/>
      </c>
      <c r="AB1390" s="29" t="str">
        <f>IFERROR(HLOOKUP(X1397,List!$D$2:$H$6,5,FALSE),"")</f>
        <v/>
      </c>
      <c r="AC1390" s="12" t="str">
        <f t="shared" si="319"/>
        <v/>
      </c>
      <c r="AD1390" s="12" t="str">
        <f t="shared" si="319"/>
        <v/>
      </c>
      <c r="AE1390" s="12" t="str">
        <f t="shared" si="319"/>
        <v/>
      </c>
      <c r="AF1390" s="12" t="str">
        <f t="shared" si="319"/>
        <v/>
      </c>
      <c r="AM1390" s="12" t="str">
        <f t="shared" si="314"/>
        <v/>
      </c>
      <c r="AN1390" s="12" t="str">
        <f t="shared" si="315"/>
        <v/>
      </c>
      <c r="AO1390" s="12" t="str">
        <f t="shared" si="316"/>
        <v/>
      </c>
      <c r="AP1390" s="12" t="str">
        <f t="shared" si="317"/>
        <v/>
      </c>
      <c r="AQ1390" s="12"/>
      <c r="AS1390" s="12">
        <f t="shared" si="320"/>
        <v>0</v>
      </c>
    </row>
    <row r="1391" spans="1:45" hidden="1" x14ac:dyDescent="0.25">
      <c r="A1391" s="41">
        <f>CASOPOInvCL!T1391</f>
        <v>0</v>
      </c>
      <c r="B1391">
        <f>CASOPOInvCL!Z1391</f>
        <v>0</v>
      </c>
      <c r="G1391" s="5">
        <f>CASOPOInvCL!I1391</f>
        <v>0</v>
      </c>
      <c r="H1391" s="31">
        <f>CASOPOInvCL!U1391</f>
        <v>0</v>
      </c>
      <c r="I1391" s="31">
        <f>CASOPOInvCL!V1391</f>
        <v>0</v>
      </c>
      <c r="J1391" s="5">
        <f>CASOPOInvCL!AB1391</f>
        <v>0</v>
      </c>
      <c r="K1391" s="31">
        <f>CASOPOInvCL!W1391</f>
        <v>0</v>
      </c>
      <c r="L1391" s="31">
        <f>CASOPOInvCL!X1391</f>
        <v>0</v>
      </c>
      <c r="M1391" s="31"/>
      <c r="N1391" s="5">
        <f>CASOPOInvCL!AF1391</f>
        <v>0</v>
      </c>
      <c r="O1391" s="16">
        <f>CASOPOInvCL!AG1391</f>
        <v>0</v>
      </c>
      <c r="P1391" s="16">
        <f>CASOPOInvCL!AH1391</f>
        <v>0</v>
      </c>
      <c r="Q1391" s="16">
        <f>CASOPOInvCL!AI1391</f>
        <v>0</v>
      </c>
      <c r="R1391" s="32">
        <f>CASOPOInvCL!AU1391</f>
        <v>0</v>
      </c>
      <c r="S1391" s="16">
        <f>CASOPOInvCL!AV1391</f>
        <v>0</v>
      </c>
      <c r="T1391" s="16">
        <f>CASOPOInvCL!AW1391</f>
        <v>0</v>
      </c>
      <c r="Y1391" s="29" t="str">
        <f>IFERROR(HLOOKUP(U1398,List!$D$2:$H$6,2,FALSE),"")</f>
        <v/>
      </c>
      <c r="Z1391" s="29" t="str">
        <f>IFERROR(HLOOKUP(V1398,List!$D$2:$H$6,3,FALSE),"")</f>
        <v/>
      </c>
      <c r="AA1391" s="29" t="str">
        <f>IFERROR(HLOOKUP(W1398,List!$D$2:$H$6,4,FALSE),"")</f>
        <v/>
      </c>
      <c r="AB1391" s="29" t="str">
        <f>IFERROR(HLOOKUP(X1398,List!$D$2:$H$6,5,FALSE),"")</f>
        <v/>
      </c>
      <c r="AC1391" s="12" t="str">
        <f t="shared" si="319"/>
        <v/>
      </c>
      <c r="AD1391" s="12" t="str">
        <f t="shared" si="319"/>
        <v/>
      </c>
      <c r="AE1391" s="12" t="str">
        <f t="shared" si="319"/>
        <v/>
      </c>
      <c r="AF1391" s="12" t="str">
        <f t="shared" si="319"/>
        <v/>
      </c>
      <c r="AM1391" s="12" t="str">
        <f t="shared" si="314"/>
        <v/>
      </c>
      <c r="AN1391" s="12" t="str">
        <f t="shared" si="315"/>
        <v/>
      </c>
      <c r="AO1391" s="12" t="str">
        <f t="shared" si="316"/>
        <v/>
      </c>
      <c r="AP1391" s="12" t="str">
        <f t="shared" si="317"/>
        <v/>
      </c>
      <c r="AQ1391" s="12"/>
      <c r="AS1391" s="12">
        <f t="shared" si="320"/>
        <v>0</v>
      </c>
    </row>
    <row r="1392" spans="1:45" hidden="1" x14ac:dyDescent="0.25">
      <c r="A1392" s="41">
        <f>CASOPOInvCL!T1392</f>
        <v>0</v>
      </c>
      <c r="B1392">
        <f>CASOPOInvCL!Z1392</f>
        <v>0</v>
      </c>
      <c r="G1392" s="5">
        <f>CASOPOInvCL!I1392</f>
        <v>0</v>
      </c>
      <c r="H1392" s="31">
        <f>CASOPOInvCL!U1392</f>
        <v>0</v>
      </c>
      <c r="I1392" s="31">
        <f>CASOPOInvCL!V1392</f>
        <v>0</v>
      </c>
      <c r="J1392" s="5">
        <f>CASOPOInvCL!AB1392</f>
        <v>0</v>
      </c>
      <c r="K1392" s="31">
        <f>CASOPOInvCL!W1392</f>
        <v>0</v>
      </c>
      <c r="L1392" s="31">
        <f>CASOPOInvCL!X1392</f>
        <v>0</v>
      </c>
      <c r="M1392" s="31"/>
      <c r="N1392" s="5">
        <f>CASOPOInvCL!AF1392</f>
        <v>0</v>
      </c>
      <c r="O1392" s="16">
        <f>CASOPOInvCL!AG1392</f>
        <v>0</v>
      </c>
      <c r="P1392" s="16">
        <f>CASOPOInvCL!AH1392</f>
        <v>0</v>
      </c>
      <c r="Q1392" s="16">
        <f>CASOPOInvCL!AI1392</f>
        <v>0</v>
      </c>
      <c r="R1392" s="32">
        <f>CASOPOInvCL!AU1392</f>
        <v>0</v>
      </c>
      <c r="S1392" s="16">
        <f>CASOPOInvCL!AV1392</f>
        <v>0</v>
      </c>
      <c r="T1392" s="16">
        <f>CASOPOInvCL!AW1392</f>
        <v>0</v>
      </c>
      <c r="Y1392" s="29" t="str">
        <f>IFERROR(HLOOKUP(U1399,List!$D$2:$H$6,2,FALSE),"")</f>
        <v/>
      </c>
      <c r="Z1392" s="29" t="str">
        <f>IFERROR(HLOOKUP(V1399,List!$D$2:$H$6,3,FALSE),"")</f>
        <v/>
      </c>
      <c r="AA1392" s="29" t="str">
        <f>IFERROR(HLOOKUP(W1399,List!$D$2:$H$6,4,FALSE),"")</f>
        <v/>
      </c>
      <c r="AB1392" s="29" t="str">
        <f>IFERROR(HLOOKUP(X1399,List!$D$2:$H$6,5,FALSE),"")</f>
        <v/>
      </c>
      <c r="AC1392" s="12" t="str">
        <f t="shared" si="319"/>
        <v/>
      </c>
      <c r="AD1392" s="12" t="str">
        <f t="shared" si="319"/>
        <v/>
      </c>
      <c r="AE1392" s="12" t="str">
        <f t="shared" si="319"/>
        <v/>
      </c>
      <c r="AF1392" s="12" t="str">
        <f t="shared" si="319"/>
        <v/>
      </c>
      <c r="AM1392" s="12" t="str">
        <f t="shared" si="314"/>
        <v/>
      </c>
      <c r="AN1392" s="12" t="str">
        <f t="shared" si="315"/>
        <v/>
      </c>
      <c r="AO1392" s="12" t="str">
        <f t="shared" si="316"/>
        <v/>
      </c>
      <c r="AP1392" s="12" t="str">
        <f t="shared" si="317"/>
        <v/>
      </c>
      <c r="AQ1392" s="12"/>
      <c r="AS1392" s="12">
        <f t="shared" si="320"/>
        <v>0</v>
      </c>
    </row>
    <row r="1393" spans="1:45" hidden="1" x14ac:dyDescent="0.25">
      <c r="A1393" s="41">
        <f>CASOPOInvCL!T1393</f>
        <v>0</v>
      </c>
      <c r="B1393">
        <f>CASOPOInvCL!Z1393</f>
        <v>0</v>
      </c>
      <c r="G1393" s="5">
        <f>CASOPOInvCL!I1393</f>
        <v>0</v>
      </c>
      <c r="H1393" s="31">
        <f>CASOPOInvCL!U1393</f>
        <v>0</v>
      </c>
      <c r="I1393" s="31">
        <f>CASOPOInvCL!V1393</f>
        <v>0</v>
      </c>
      <c r="J1393" s="5">
        <f>CASOPOInvCL!AB1393</f>
        <v>0</v>
      </c>
      <c r="K1393" s="31">
        <f>CASOPOInvCL!W1393</f>
        <v>0</v>
      </c>
      <c r="L1393" s="31">
        <f>CASOPOInvCL!X1393</f>
        <v>0</v>
      </c>
      <c r="M1393" s="31"/>
      <c r="N1393" s="5">
        <f>CASOPOInvCL!AF1393</f>
        <v>0</v>
      </c>
      <c r="O1393" s="16">
        <f>CASOPOInvCL!AG1393</f>
        <v>0</v>
      </c>
      <c r="P1393" s="16">
        <f>CASOPOInvCL!AH1393</f>
        <v>0</v>
      </c>
      <c r="Q1393" s="16">
        <f>CASOPOInvCL!AI1393</f>
        <v>0</v>
      </c>
      <c r="R1393" s="32">
        <f>CASOPOInvCL!AU1393</f>
        <v>0</v>
      </c>
      <c r="S1393" s="16">
        <f>CASOPOInvCL!AV1393</f>
        <v>0</v>
      </c>
      <c r="T1393" s="16">
        <f>CASOPOInvCL!AW1393</f>
        <v>0</v>
      </c>
      <c r="Y1393" s="29" t="str">
        <f>IFERROR(HLOOKUP(U1400,List!$D$2:$H$6,2,FALSE),"")</f>
        <v/>
      </c>
      <c r="Z1393" s="29" t="str">
        <f>IFERROR(HLOOKUP(V1400,List!$D$2:$H$6,3,FALSE),"")</f>
        <v/>
      </c>
      <c r="AA1393" s="29" t="str">
        <f>IFERROR(HLOOKUP(W1400,List!$D$2:$H$6,4,FALSE),"")</f>
        <v/>
      </c>
      <c r="AB1393" s="29" t="str">
        <f>IFERROR(HLOOKUP(X1400,List!$D$2:$H$6,5,FALSE),"")</f>
        <v/>
      </c>
      <c r="AC1393" s="12" t="str">
        <f t="shared" si="319"/>
        <v/>
      </c>
      <c r="AD1393" s="12" t="str">
        <f t="shared" si="319"/>
        <v/>
      </c>
      <c r="AE1393" s="12" t="str">
        <f t="shared" si="319"/>
        <v/>
      </c>
      <c r="AF1393" s="12" t="str">
        <f t="shared" si="319"/>
        <v/>
      </c>
      <c r="AM1393" s="12" t="str">
        <f t="shared" si="314"/>
        <v/>
      </c>
      <c r="AN1393" s="12" t="str">
        <f t="shared" si="315"/>
        <v/>
      </c>
      <c r="AO1393" s="12" t="str">
        <f t="shared" si="316"/>
        <v/>
      </c>
      <c r="AP1393" s="12" t="str">
        <f t="shared" si="317"/>
        <v/>
      </c>
      <c r="AQ1393" s="12"/>
      <c r="AS1393" s="12">
        <f t="shared" si="320"/>
        <v>0</v>
      </c>
    </row>
    <row r="1394" spans="1:45" hidden="1" x14ac:dyDescent="0.25">
      <c r="A1394" s="41">
        <f>CASOPOInvCL!T1394</f>
        <v>0</v>
      </c>
      <c r="B1394">
        <f>CASOPOInvCL!Z1394</f>
        <v>0</v>
      </c>
      <c r="G1394" s="5">
        <f>CASOPOInvCL!I1394</f>
        <v>0</v>
      </c>
      <c r="H1394" s="31">
        <f>CASOPOInvCL!U1394</f>
        <v>0</v>
      </c>
      <c r="I1394" s="31">
        <f>CASOPOInvCL!V1394</f>
        <v>0</v>
      </c>
      <c r="J1394" s="5">
        <f>CASOPOInvCL!AB1394</f>
        <v>0</v>
      </c>
      <c r="K1394" s="31">
        <f>CASOPOInvCL!W1394</f>
        <v>0</v>
      </c>
      <c r="L1394" s="31">
        <f>CASOPOInvCL!X1394</f>
        <v>0</v>
      </c>
      <c r="M1394" s="31"/>
      <c r="N1394" s="5">
        <f>CASOPOInvCL!AF1394</f>
        <v>0</v>
      </c>
      <c r="O1394" s="16">
        <f>CASOPOInvCL!AG1394</f>
        <v>0</v>
      </c>
      <c r="P1394" s="16">
        <f>CASOPOInvCL!AH1394</f>
        <v>0</v>
      </c>
      <c r="Q1394" s="16">
        <f>CASOPOInvCL!AI1394</f>
        <v>0</v>
      </c>
      <c r="R1394" s="32">
        <f>CASOPOInvCL!AU1394</f>
        <v>0</v>
      </c>
      <c r="S1394" s="16">
        <f>CASOPOInvCL!AV1394</f>
        <v>0</v>
      </c>
      <c r="T1394" s="16">
        <f>CASOPOInvCL!AW1394</f>
        <v>0</v>
      </c>
      <c r="Y1394" s="29" t="str">
        <f>IFERROR(HLOOKUP(U1401,List!$D$2:$H$6,2,FALSE),"")</f>
        <v/>
      </c>
      <c r="Z1394" s="29" t="str">
        <f>IFERROR(HLOOKUP(V1401,List!$D$2:$H$6,3,FALSE),"")</f>
        <v/>
      </c>
      <c r="AA1394" s="29" t="str">
        <f>IFERROR(HLOOKUP(W1401,List!$D$2:$H$6,4,FALSE),"")</f>
        <v/>
      </c>
      <c r="AB1394" s="29" t="str">
        <f>IFERROR(HLOOKUP(X1401,List!$D$2:$H$6,5,FALSE),"")</f>
        <v/>
      </c>
      <c r="AC1394" s="12" t="str">
        <f t="shared" si="319"/>
        <v/>
      </c>
      <c r="AD1394" s="12" t="str">
        <f t="shared" si="319"/>
        <v/>
      </c>
      <c r="AE1394" s="12" t="str">
        <f t="shared" si="319"/>
        <v/>
      </c>
      <c r="AF1394" s="12" t="str">
        <f t="shared" si="319"/>
        <v/>
      </c>
      <c r="AM1394" s="12" t="str">
        <f t="shared" si="314"/>
        <v/>
      </c>
      <c r="AN1394" s="12" t="str">
        <f t="shared" si="315"/>
        <v/>
      </c>
      <c r="AO1394" s="12" t="str">
        <f t="shared" si="316"/>
        <v/>
      </c>
      <c r="AP1394" s="12" t="str">
        <f t="shared" si="317"/>
        <v/>
      </c>
      <c r="AQ1394" s="12"/>
      <c r="AS1394" s="12">
        <f t="shared" si="320"/>
        <v>0</v>
      </c>
    </row>
    <row r="1395" spans="1:45" hidden="1" x14ac:dyDescent="0.25">
      <c r="A1395" s="41">
        <f>CASOPOInvCL!T1395</f>
        <v>0</v>
      </c>
      <c r="B1395">
        <f>CASOPOInvCL!Z1395</f>
        <v>0</v>
      </c>
      <c r="G1395" s="5">
        <f>CASOPOInvCL!I1395</f>
        <v>0</v>
      </c>
      <c r="H1395" s="31">
        <f>CASOPOInvCL!U1395</f>
        <v>0</v>
      </c>
      <c r="I1395" s="31">
        <f>CASOPOInvCL!V1395</f>
        <v>0</v>
      </c>
      <c r="J1395" s="5">
        <f>CASOPOInvCL!AB1395</f>
        <v>0</v>
      </c>
      <c r="K1395" s="31">
        <f>CASOPOInvCL!W1395</f>
        <v>0</v>
      </c>
      <c r="L1395" s="31">
        <f>CASOPOInvCL!X1395</f>
        <v>0</v>
      </c>
      <c r="M1395" s="31"/>
      <c r="N1395" s="5">
        <f>CASOPOInvCL!AF1395</f>
        <v>0</v>
      </c>
      <c r="O1395" s="16">
        <f>CASOPOInvCL!AG1395</f>
        <v>0</v>
      </c>
      <c r="P1395" s="16">
        <f>CASOPOInvCL!AH1395</f>
        <v>0</v>
      </c>
      <c r="Q1395" s="16">
        <f>CASOPOInvCL!AI1395</f>
        <v>0</v>
      </c>
      <c r="R1395" s="32">
        <f>CASOPOInvCL!AU1395</f>
        <v>0</v>
      </c>
      <c r="S1395" s="16">
        <f>CASOPOInvCL!AV1395</f>
        <v>0</v>
      </c>
      <c r="T1395" s="16">
        <f>CASOPOInvCL!AW1395</f>
        <v>0</v>
      </c>
      <c r="Y1395" s="29" t="str">
        <f>IFERROR(HLOOKUP(U1402,List!$D$2:$H$6,2,FALSE),"")</f>
        <v/>
      </c>
      <c r="Z1395" s="29" t="str">
        <f>IFERROR(HLOOKUP(V1402,List!$D$2:$H$6,3,FALSE),"")</f>
        <v/>
      </c>
      <c r="AA1395" s="29" t="str">
        <f>IFERROR(HLOOKUP(W1402,List!$D$2:$H$6,4,FALSE),"")</f>
        <v/>
      </c>
      <c r="AB1395" s="29" t="str">
        <f>IFERROR(HLOOKUP(X1402,List!$D$2:$H$6,5,FALSE),"")</f>
        <v/>
      </c>
      <c r="AC1395" s="12" t="str">
        <f t="shared" si="319"/>
        <v/>
      </c>
      <c r="AD1395" s="12" t="str">
        <f t="shared" si="319"/>
        <v/>
      </c>
      <c r="AE1395" s="12" t="str">
        <f t="shared" si="319"/>
        <v/>
      </c>
      <c r="AF1395" s="12" t="str">
        <f t="shared" si="319"/>
        <v/>
      </c>
      <c r="AM1395" s="12" t="str">
        <f t="shared" si="314"/>
        <v/>
      </c>
      <c r="AN1395" s="12" t="str">
        <f t="shared" si="315"/>
        <v/>
      </c>
      <c r="AO1395" s="12" t="str">
        <f t="shared" si="316"/>
        <v/>
      </c>
      <c r="AP1395" s="12" t="str">
        <f t="shared" si="317"/>
        <v/>
      </c>
      <c r="AQ1395" s="12"/>
      <c r="AS1395" s="12">
        <f t="shared" si="320"/>
        <v>0</v>
      </c>
    </row>
    <row r="1396" spans="1:45" hidden="1" x14ac:dyDescent="0.25">
      <c r="A1396" s="41">
        <f>CASOPOInvCL!T1396</f>
        <v>0</v>
      </c>
      <c r="B1396">
        <f>CASOPOInvCL!Z1396</f>
        <v>0</v>
      </c>
      <c r="G1396" s="5">
        <f>CASOPOInvCL!I1396</f>
        <v>0</v>
      </c>
      <c r="H1396" s="31">
        <f>CASOPOInvCL!U1396</f>
        <v>0</v>
      </c>
      <c r="I1396" s="31">
        <f>CASOPOInvCL!V1396</f>
        <v>0</v>
      </c>
      <c r="J1396" s="5">
        <f>CASOPOInvCL!AB1396</f>
        <v>0</v>
      </c>
      <c r="K1396" s="31">
        <f>CASOPOInvCL!W1396</f>
        <v>0</v>
      </c>
      <c r="L1396" s="31">
        <f>CASOPOInvCL!X1396</f>
        <v>0</v>
      </c>
      <c r="M1396" s="31"/>
      <c r="N1396" s="5">
        <f>CASOPOInvCL!AF1396</f>
        <v>0</v>
      </c>
      <c r="O1396" s="16">
        <f>CASOPOInvCL!AG1396</f>
        <v>0</v>
      </c>
      <c r="P1396" s="16">
        <f>CASOPOInvCL!AH1396</f>
        <v>0</v>
      </c>
      <c r="Q1396" s="16">
        <f>CASOPOInvCL!AI1396</f>
        <v>0</v>
      </c>
      <c r="R1396" s="32">
        <f>CASOPOInvCL!AU1396</f>
        <v>0</v>
      </c>
      <c r="S1396" s="16">
        <f>CASOPOInvCL!AV1396</f>
        <v>0</v>
      </c>
      <c r="T1396" s="16">
        <f>CASOPOInvCL!AW1396</f>
        <v>0</v>
      </c>
      <c r="Y1396" s="29" t="str">
        <f>IFERROR(HLOOKUP(U1403,List!$D$2:$H$6,2,FALSE),"")</f>
        <v/>
      </c>
      <c r="Z1396" s="29" t="str">
        <f>IFERROR(HLOOKUP(V1403,List!$D$2:$H$6,3,FALSE),"")</f>
        <v/>
      </c>
      <c r="AA1396" s="29" t="str">
        <f>IFERROR(HLOOKUP(W1403,List!$D$2:$H$6,4,FALSE),"")</f>
        <v/>
      </c>
      <c r="AB1396" s="29" t="str">
        <f>IFERROR(HLOOKUP(X1403,List!$D$2:$H$6,5,FALSE),"")</f>
        <v/>
      </c>
      <c r="AC1396" s="12" t="str">
        <f t="shared" si="319"/>
        <v/>
      </c>
      <c r="AD1396" s="12" t="str">
        <f t="shared" si="319"/>
        <v/>
      </c>
      <c r="AE1396" s="12" t="str">
        <f t="shared" si="319"/>
        <v/>
      </c>
      <c r="AF1396" s="12" t="str">
        <f t="shared" si="319"/>
        <v/>
      </c>
      <c r="AM1396" s="12" t="str">
        <f t="shared" ref="AM1396:AM1459" si="321">IF(AI1403="",AC1396,0)</f>
        <v/>
      </c>
      <c r="AN1396" s="12" t="str">
        <f t="shared" ref="AN1396:AN1459" si="322">IF(AJ1403="",AD1396,0)</f>
        <v/>
      </c>
      <c r="AO1396" s="12" t="str">
        <f t="shared" ref="AO1396:AO1459" si="323">IF(AK1403="",AE1396,0)</f>
        <v/>
      </c>
      <c r="AP1396" s="12" t="str">
        <f t="shared" ref="AP1396:AP1459" si="324">IF(AL1403="",AF1396,0)</f>
        <v/>
      </c>
      <c r="AQ1396" s="12"/>
      <c r="AS1396" s="12">
        <f t="shared" si="320"/>
        <v>0</v>
      </c>
    </row>
    <row r="1397" spans="1:45" hidden="1" x14ac:dyDescent="0.25">
      <c r="A1397" s="41">
        <f>CASOPOInvCL!T1397</f>
        <v>0</v>
      </c>
      <c r="B1397">
        <f>CASOPOInvCL!Z1397</f>
        <v>0</v>
      </c>
      <c r="G1397" s="5">
        <f>CASOPOInvCL!I1397</f>
        <v>0</v>
      </c>
      <c r="H1397" s="31">
        <f>CASOPOInvCL!U1397</f>
        <v>0</v>
      </c>
      <c r="I1397" s="31">
        <f>CASOPOInvCL!V1397</f>
        <v>0</v>
      </c>
      <c r="J1397" s="5">
        <f>CASOPOInvCL!AB1397</f>
        <v>0</v>
      </c>
      <c r="K1397" s="31">
        <f>CASOPOInvCL!W1397</f>
        <v>0</v>
      </c>
      <c r="L1397" s="31">
        <f>CASOPOInvCL!X1397</f>
        <v>0</v>
      </c>
      <c r="M1397" s="31"/>
      <c r="N1397" s="5">
        <f>CASOPOInvCL!AF1397</f>
        <v>0</v>
      </c>
      <c r="O1397" s="16">
        <f>CASOPOInvCL!AG1397</f>
        <v>0</v>
      </c>
      <c r="P1397" s="16">
        <f>CASOPOInvCL!AH1397</f>
        <v>0</v>
      </c>
      <c r="Q1397" s="16">
        <f>CASOPOInvCL!AI1397</f>
        <v>0</v>
      </c>
      <c r="R1397" s="32">
        <f>CASOPOInvCL!AU1397</f>
        <v>0</v>
      </c>
      <c r="S1397" s="16">
        <f>CASOPOInvCL!AV1397</f>
        <v>0</v>
      </c>
      <c r="T1397" s="16">
        <f>CASOPOInvCL!AW1397</f>
        <v>0</v>
      </c>
      <c r="Y1397" s="29" t="str">
        <f>IFERROR(HLOOKUP(U1404,List!$D$2:$H$6,2,FALSE),"")</f>
        <v/>
      </c>
      <c r="Z1397" s="29" t="str">
        <f>IFERROR(HLOOKUP(V1404,List!$D$2:$H$6,3,FALSE),"")</f>
        <v/>
      </c>
      <c r="AA1397" s="29" t="str">
        <f>IFERROR(HLOOKUP(W1404,List!$D$2:$H$6,4,FALSE),"")</f>
        <v/>
      </c>
      <c r="AB1397" s="29" t="str">
        <f>IFERROR(HLOOKUP(X1404,List!$D$2:$H$6,5,FALSE),"")</f>
        <v/>
      </c>
      <c r="AC1397" s="12" t="str">
        <f t="shared" si="319"/>
        <v/>
      </c>
      <c r="AD1397" s="12" t="str">
        <f t="shared" si="319"/>
        <v/>
      </c>
      <c r="AE1397" s="12" t="str">
        <f t="shared" si="319"/>
        <v/>
      </c>
      <c r="AF1397" s="12" t="str">
        <f t="shared" si="319"/>
        <v/>
      </c>
      <c r="AM1397" s="12" t="str">
        <f t="shared" si="321"/>
        <v/>
      </c>
      <c r="AN1397" s="12" t="str">
        <f t="shared" si="322"/>
        <v/>
      </c>
      <c r="AO1397" s="12" t="str">
        <f t="shared" si="323"/>
        <v/>
      </c>
      <c r="AP1397" s="12" t="str">
        <f t="shared" si="324"/>
        <v/>
      </c>
      <c r="AQ1397" s="12"/>
      <c r="AS1397" s="12">
        <f t="shared" si="320"/>
        <v>0</v>
      </c>
    </row>
    <row r="1398" spans="1:45" hidden="1" x14ac:dyDescent="0.25">
      <c r="A1398" s="41">
        <f>CASOPOInvCL!T1398</f>
        <v>0</v>
      </c>
      <c r="B1398">
        <f>CASOPOInvCL!Z1398</f>
        <v>0</v>
      </c>
      <c r="G1398" s="5">
        <f>CASOPOInvCL!I1398</f>
        <v>0</v>
      </c>
      <c r="H1398" s="31">
        <f>CASOPOInvCL!U1398</f>
        <v>0</v>
      </c>
      <c r="I1398" s="31">
        <f>CASOPOInvCL!V1398</f>
        <v>0</v>
      </c>
      <c r="J1398" s="5">
        <f>CASOPOInvCL!AB1398</f>
        <v>0</v>
      </c>
      <c r="K1398" s="31">
        <f>CASOPOInvCL!W1398</f>
        <v>0</v>
      </c>
      <c r="L1398" s="31">
        <f>CASOPOInvCL!X1398</f>
        <v>0</v>
      </c>
      <c r="M1398" s="31"/>
      <c r="N1398" s="5">
        <f>CASOPOInvCL!AF1398</f>
        <v>0</v>
      </c>
      <c r="O1398" s="16">
        <f>CASOPOInvCL!AG1398</f>
        <v>0</v>
      </c>
      <c r="P1398" s="16">
        <f>CASOPOInvCL!AH1398</f>
        <v>0</v>
      </c>
      <c r="Q1398" s="16">
        <f>CASOPOInvCL!AI1398</f>
        <v>0</v>
      </c>
      <c r="R1398" s="32">
        <f>CASOPOInvCL!AU1398</f>
        <v>0</v>
      </c>
      <c r="S1398" s="16">
        <f>CASOPOInvCL!AV1398</f>
        <v>0</v>
      </c>
      <c r="T1398" s="16">
        <f>CASOPOInvCL!AW1398</f>
        <v>0</v>
      </c>
      <c r="Y1398" s="29" t="str">
        <f>IFERROR(HLOOKUP(U1405,List!$D$2:$H$6,2,FALSE),"")</f>
        <v/>
      </c>
      <c r="Z1398" s="29" t="str">
        <f>IFERROR(HLOOKUP(V1405,List!$D$2:$H$6,3,FALSE),"")</f>
        <v/>
      </c>
      <c r="AA1398" s="29" t="str">
        <f>IFERROR(HLOOKUP(W1405,List!$D$2:$H$6,4,FALSE),"")</f>
        <v/>
      </c>
      <c r="AB1398" s="29" t="str">
        <f>IFERROR(HLOOKUP(X1405,List!$D$2:$H$6,5,FALSE),"")</f>
        <v/>
      </c>
      <c r="AC1398" s="12" t="str">
        <f t="shared" si="319"/>
        <v/>
      </c>
      <c r="AD1398" s="12" t="str">
        <f t="shared" si="319"/>
        <v/>
      </c>
      <c r="AE1398" s="12" t="str">
        <f t="shared" si="319"/>
        <v/>
      </c>
      <c r="AF1398" s="12" t="str">
        <f t="shared" si="319"/>
        <v/>
      </c>
      <c r="AM1398" s="12" t="str">
        <f t="shared" si="321"/>
        <v/>
      </c>
      <c r="AN1398" s="12" t="str">
        <f t="shared" si="322"/>
        <v/>
      </c>
      <c r="AO1398" s="12" t="str">
        <f t="shared" si="323"/>
        <v/>
      </c>
      <c r="AP1398" s="12" t="str">
        <f t="shared" si="324"/>
        <v/>
      </c>
      <c r="AQ1398" s="12"/>
      <c r="AS1398" s="12">
        <f t="shared" si="320"/>
        <v>0</v>
      </c>
    </row>
    <row r="1399" spans="1:45" hidden="1" x14ac:dyDescent="0.25">
      <c r="A1399" s="41">
        <f>CASOPOInvCL!T1399</f>
        <v>0</v>
      </c>
      <c r="B1399">
        <f>CASOPOInvCL!Z1399</f>
        <v>0</v>
      </c>
      <c r="G1399" s="5">
        <f>CASOPOInvCL!I1399</f>
        <v>0</v>
      </c>
      <c r="H1399" s="31">
        <f>CASOPOInvCL!U1399</f>
        <v>0</v>
      </c>
      <c r="I1399" s="31">
        <f>CASOPOInvCL!V1399</f>
        <v>0</v>
      </c>
      <c r="J1399" s="5">
        <f>CASOPOInvCL!AB1399</f>
        <v>0</v>
      </c>
      <c r="K1399" s="31">
        <f>CASOPOInvCL!W1399</f>
        <v>0</v>
      </c>
      <c r="L1399" s="31">
        <f>CASOPOInvCL!X1399</f>
        <v>0</v>
      </c>
      <c r="M1399" s="31"/>
      <c r="N1399" s="5">
        <f>CASOPOInvCL!AF1399</f>
        <v>0</v>
      </c>
      <c r="O1399" s="16">
        <f>CASOPOInvCL!AG1399</f>
        <v>0</v>
      </c>
      <c r="P1399" s="16">
        <f>CASOPOInvCL!AH1399</f>
        <v>0</v>
      </c>
      <c r="Q1399" s="16">
        <f>CASOPOInvCL!AI1399</f>
        <v>0</v>
      </c>
      <c r="R1399" s="32">
        <f>CASOPOInvCL!AU1399</f>
        <v>0</v>
      </c>
      <c r="S1399" s="16">
        <f>CASOPOInvCL!AV1399</f>
        <v>0</v>
      </c>
      <c r="T1399" s="16">
        <f>CASOPOInvCL!AW1399</f>
        <v>0</v>
      </c>
      <c r="Y1399" s="29" t="str">
        <f>IFERROR(HLOOKUP(U1406,List!$D$2:$H$6,2,FALSE),"")</f>
        <v/>
      </c>
      <c r="Z1399" s="29" t="str">
        <f>IFERROR(HLOOKUP(V1406,List!$D$2:$H$6,3,FALSE),"")</f>
        <v/>
      </c>
      <c r="AA1399" s="29" t="str">
        <f>IFERROR(HLOOKUP(W1406,List!$D$2:$H$6,4,FALSE),"")</f>
        <v/>
      </c>
      <c r="AB1399" s="29" t="str">
        <f>IFERROR(HLOOKUP(X1406,List!$D$2:$H$6,5,FALSE),"")</f>
        <v/>
      </c>
      <c r="AC1399" s="12" t="str">
        <f t="shared" si="319"/>
        <v/>
      </c>
      <c r="AD1399" s="12" t="str">
        <f t="shared" si="319"/>
        <v/>
      </c>
      <c r="AE1399" s="12" t="str">
        <f t="shared" si="319"/>
        <v/>
      </c>
      <c r="AF1399" s="12" t="str">
        <f t="shared" si="319"/>
        <v/>
      </c>
      <c r="AM1399" s="12" t="str">
        <f t="shared" si="321"/>
        <v/>
      </c>
      <c r="AN1399" s="12" t="str">
        <f t="shared" si="322"/>
        <v/>
      </c>
      <c r="AO1399" s="12" t="str">
        <f t="shared" si="323"/>
        <v/>
      </c>
      <c r="AP1399" s="12" t="str">
        <f t="shared" si="324"/>
        <v/>
      </c>
      <c r="AQ1399" s="12"/>
      <c r="AS1399" s="12">
        <f t="shared" si="320"/>
        <v>0</v>
      </c>
    </row>
    <row r="1400" spans="1:45" hidden="1" x14ac:dyDescent="0.25">
      <c r="A1400" s="41">
        <f>CASOPOInvCL!T1400</f>
        <v>0</v>
      </c>
      <c r="B1400">
        <f>CASOPOInvCL!Z1400</f>
        <v>0</v>
      </c>
      <c r="G1400" s="5">
        <f>CASOPOInvCL!I1400</f>
        <v>0</v>
      </c>
      <c r="H1400" s="31">
        <f>CASOPOInvCL!U1400</f>
        <v>0</v>
      </c>
      <c r="I1400" s="31">
        <f>CASOPOInvCL!V1400</f>
        <v>0</v>
      </c>
      <c r="J1400" s="5">
        <f>CASOPOInvCL!AB1400</f>
        <v>0</v>
      </c>
      <c r="K1400" s="31">
        <f>CASOPOInvCL!W1400</f>
        <v>0</v>
      </c>
      <c r="L1400" s="31">
        <f>CASOPOInvCL!X1400</f>
        <v>0</v>
      </c>
      <c r="M1400" s="31"/>
      <c r="N1400" s="5">
        <f>CASOPOInvCL!AF1400</f>
        <v>0</v>
      </c>
      <c r="O1400" s="16">
        <f>CASOPOInvCL!AG1400</f>
        <v>0</v>
      </c>
      <c r="P1400" s="16">
        <f>CASOPOInvCL!AH1400</f>
        <v>0</v>
      </c>
      <c r="Q1400" s="16">
        <f>CASOPOInvCL!AI1400</f>
        <v>0</v>
      </c>
      <c r="R1400" s="32">
        <f>CASOPOInvCL!AU1400</f>
        <v>0</v>
      </c>
      <c r="S1400" s="16">
        <f>CASOPOInvCL!AV1400</f>
        <v>0</v>
      </c>
      <c r="T1400" s="16">
        <f>CASOPOInvCL!AW1400</f>
        <v>0</v>
      </c>
      <c r="Y1400" s="29" t="str">
        <f>IFERROR(HLOOKUP(U1407,List!$D$2:$H$6,2,FALSE),"")</f>
        <v/>
      </c>
      <c r="Z1400" s="29" t="str">
        <f>IFERROR(HLOOKUP(V1407,List!$D$2:$H$6,3,FALSE),"")</f>
        <v/>
      </c>
      <c r="AA1400" s="29" t="str">
        <f>IFERROR(HLOOKUP(W1407,List!$D$2:$H$6,4,FALSE),"")</f>
        <v/>
      </c>
      <c r="AB1400" s="29" t="str">
        <f>IFERROR(HLOOKUP(X1407,List!$D$2:$H$6,5,FALSE),"")</f>
        <v/>
      </c>
      <c r="AC1400" s="12" t="str">
        <f t="shared" si="319"/>
        <v/>
      </c>
      <c r="AD1400" s="12" t="str">
        <f t="shared" si="319"/>
        <v/>
      </c>
      <c r="AE1400" s="12" t="str">
        <f t="shared" si="319"/>
        <v/>
      </c>
      <c r="AF1400" s="12" t="str">
        <f t="shared" si="319"/>
        <v/>
      </c>
      <c r="AM1400" s="12" t="str">
        <f t="shared" si="321"/>
        <v/>
      </c>
      <c r="AN1400" s="12" t="str">
        <f t="shared" si="322"/>
        <v/>
      </c>
      <c r="AO1400" s="12" t="str">
        <f t="shared" si="323"/>
        <v/>
      </c>
      <c r="AP1400" s="12" t="str">
        <f t="shared" si="324"/>
        <v/>
      </c>
      <c r="AQ1400" s="12"/>
      <c r="AS1400" s="12">
        <f t="shared" si="320"/>
        <v>0</v>
      </c>
    </row>
    <row r="1401" spans="1:45" hidden="1" x14ac:dyDescent="0.25">
      <c r="A1401" s="41">
        <f>CASOPOInvCL!T1401</f>
        <v>0</v>
      </c>
      <c r="B1401">
        <f>CASOPOInvCL!Z1401</f>
        <v>0</v>
      </c>
      <c r="G1401" s="5">
        <f>CASOPOInvCL!I1401</f>
        <v>0</v>
      </c>
      <c r="H1401" s="31">
        <f>CASOPOInvCL!U1401</f>
        <v>0</v>
      </c>
      <c r="I1401" s="31">
        <f>CASOPOInvCL!V1401</f>
        <v>0</v>
      </c>
      <c r="J1401" s="5">
        <f>CASOPOInvCL!AB1401</f>
        <v>0</v>
      </c>
      <c r="K1401" s="31">
        <f>CASOPOInvCL!W1401</f>
        <v>0</v>
      </c>
      <c r="L1401" s="31">
        <f>CASOPOInvCL!X1401</f>
        <v>0</v>
      </c>
      <c r="M1401" s="31"/>
      <c r="N1401" s="5">
        <f>CASOPOInvCL!AF1401</f>
        <v>0</v>
      </c>
      <c r="O1401" s="16">
        <f>CASOPOInvCL!AG1401</f>
        <v>0</v>
      </c>
      <c r="P1401" s="16">
        <f>CASOPOInvCL!AH1401</f>
        <v>0</v>
      </c>
      <c r="Q1401" s="16">
        <f>CASOPOInvCL!AI1401</f>
        <v>0</v>
      </c>
      <c r="R1401" s="32">
        <f>CASOPOInvCL!AU1401</f>
        <v>0</v>
      </c>
      <c r="S1401" s="16">
        <f>CASOPOInvCL!AV1401</f>
        <v>0</v>
      </c>
      <c r="T1401" s="16">
        <f>CASOPOInvCL!AW1401</f>
        <v>0</v>
      </c>
      <c r="Y1401" s="29" t="str">
        <f>IFERROR(HLOOKUP(U1408,List!$D$2:$H$6,2,FALSE),"")</f>
        <v/>
      </c>
      <c r="Z1401" s="29" t="str">
        <f>IFERROR(HLOOKUP(V1408,List!$D$2:$H$6,3,FALSE),"")</f>
        <v/>
      </c>
      <c r="AA1401" s="29" t="str">
        <f>IFERROR(HLOOKUP(W1408,List!$D$2:$H$6,4,FALSE),"")</f>
        <v/>
      </c>
      <c r="AB1401" s="29" t="str">
        <f>IFERROR(HLOOKUP(X1408,List!$D$2:$H$6,5,FALSE),"")</f>
        <v/>
      </c>
      <c r="AC1401" s="12" t="str">
        <f t="shared" si="319"/>
        <v/>
      </c>
      <c r="AD1401" s="12" t="str">
        <f t="shared" si="319"/>
        <v/>
      </c>
      <c r="AE1401" s="12" t="str">
        <f t="shared" si="319"/>
        <v/>
      </c>
      <c r="AF1401" s="12" t="str">
        <f t="shared" si="319"/>
        <v/>
      </c>
      <c r="AM1401" s="12" t="str">
        <f t="shared" si="321"/>
        <v/>
      </c>
      <c r="AN1401" s="12" t="str">
        <f t="shared" si="322"/>
        <v/>
      </c>
      <c r="AO1401" s="12" t="str">
        <f t="shared" si="323"/>
        <v/>
      </c>
      <c r="AP1401" s="12" t="str">
        <f t="shared" si="324"/>
        <v/>
      </c>
      <c r="AQ1401" s="12"/>
      <c r="AS1401" s="12">
        <f t="shared" si="320"/>
        <v>0</v>
      </c>
    </row>
    <row r="1402" spans="1:45" hidden="1" x14ac:dyDescent="0.25">
      <c r="A1402" s="41">
        <f>CASOPOInvCL!T1402</f>
        <v>0</v>
      </c>
      <c r="B1402">
        <f>CASOPOInvCL!Z1402</f>
        <v>0</v>
      </c>
      <c r="G1402" s="5">
        <f>CASOPOInvCL!I1402</f>
        <v>0</v>
      </c>
      <c r="H1402" s="31">
        <f>CASOPOInvCL!U1402</f>
        <v>0</v>
      </c>
      <c r="I1402" s="31">
        <f>CASOPOInvCL!V1402</f>
        <v>0</v>
      </c>
      <c r="J1402" s="5">
        <f>CASOPOInvCL!AB1402</f>
        <v>0</v>
      </c>
      <c r="K1402" s="31">
        <f>CASOPOInvCL!W1402</f>
        <v>0</v>
      </c>
      <c r="L1402" s="31">
        <f>CASOPOInvCL!X1402</f>
        <v>0</v>
      </c>
      <c r="M1402" s="31"/>
      <c r="N1402" s="5">
        <f>CASOPOInvCL!AF1402</f>
        <v>0</v>
      </c>
      <c r="O1402" s="16">
        <f>CASOPOInvCL!AG1402</f>
        <v>0</v>
      </c>
      <c r="P1402" s="16">
        <f>CASOPOInvCL!AH1402</f>
        <v>0</v>
      </c>
      <c r="Q1402" s="16">
        <f>CASOPOInvCL!AI1402</f>
        <v>0</v>
      </c>
      <c r="R1402" s="32">
        <f>CASOPOInvCL!AU1402</f>
        <v>0</v>
      </c>
      <c r="S1402" s="16">
        <f>CASOPOInvCL!AV1402</f>
        <v>0</v>
      </c>
      <c r="T1402" s="16">
        <f>CASOPOInvCL!AW1402</f>
        <v>0</v>
      </c>
      <c r="Y1402" s="29" t="str">
        <f>IFERROR(HLOOKUP(U1409,List!$D$2:$H$6,2,FALSE),"")</f>
        <v/>
      </c>
      <c r="Z1402" s="29" t="str">
        <f>IFERROR(HLOOKUP(V1409,List!$D$2:$H$6,3,FALSE),"")</f>
        <v/>
      </c>
      <c r="AA1402" s="29" t="str">
        <f>IFERROR(HLOOKUP(W1409,List!$D$2:$H$6,4,FALSE),"")</f>
        <v/>
      </c>
      <c r="AB1402" s="29" t="str">
        <f>IFERROR(HLOOKUP(X1409,List!$D$2:$H$6,5,FALSE),"")</f>
        <v/>
      </c>
      <c r="AC1402" s="12" t="str">
        <f t="shared" si="319"/>
        <v/>
      </c>
      <c r="AD1402" s="12" t="str">
        <f t="shared" si="319"/>
        <v/>
      </c>
      <c r="AE1402" s="12" t="str">
        <f t="shared" si="319"/>
        <v/>
      </c>
      <c r="AF1402" s="12" t="str">
        <f t="shared" si="319"/>
        <v/>
      </c>
      <c r="AM1402" s="12" t="str">
        <f t="shared" si="321"/>
        <v/>
      </c>
      <c r="AN1402" s="12" t="str">
        <f t="shared" si="322"/>
        <v/>
      </c>
      <c r="AO1402" s="12" t="str">
        <f t="shared" si="323"/>
        <v/>
      </c>
      <c r="AP1402" s="12" t="str">
        <f t="shared" si="324"/>
        <v/>
      </c>
      <c r="AQ1402" s="12"/>
      <c r="AS1402" s="12">
        <f t="shared" si="320"/>
        <v>0</v>
      </c>
    </row>
    <row r="1403" spans="1:45" hidden="1" x14ac:dyDescent="0.25">
      <c r="A1403" s="41">
        <f>CASOPOInvCL!T1403</f>
        <v>0</v>
      </c>
      <c r="B1403">
        <f>CASOPOInvCL!Z1403</f>
        <v>0</v>
      </c>
      <c r="G1403" s="5">
        <f>CASOPOInvCL!I1403</f>
        <v>0</v>
      </c>
      <c r="H1403" s="31">
        <f>CASOPOInvCL!U1403</f>
        <v>0</v>
      </c>
      <c r="I1403" s="31">
        <f>CASOPOInvCL!V1403</f>
        <v>0</v>
      </c>
      <c r="J1403" s="5">
        <f>CASOPOInvCL!AB1403</f>
        <v>0</v>
      </c>
      <c r="K1403" s="31">
        <f>CASOPOInvCL!W1403</f>
        <v>0</v>
      </c>
      <c r="L1403" s="31">
        <f>CASOPOInvCL!X1403</f>
        <v>0</v>
      </c>
      <c r="M1403" s="31"/>
      <c r="N1403" s="5">
        <f>CASOPOInvCL!AF1403</f>
        <v>0</v>
      </c>
      <c r="O1403" s="16">
        <f>CASOPOInvCL!AG1403</f>
        <v>0</v>
      </c>
      <c r="P1403" s="16">
        <f>CASOPOInvCL!AH1403</f>
        <v>0</v>
      </c>
      <c r="Q1403" s="16">
        <f>CASOPOInvCL!AI1403</f>
        <v>0</v>
      </c>
      <c r="R1403" s="32">
        <f>CASOPOInvCL!AU1403</f>
        <v>0</v>
      </c>
      <c r="S1403" s="16">
        <f>CASOPOInvCL!AV1403</f>
        <v>0</v>
      </c>
      <c r="T1403" s="16">
        <f>CASOPOInvCL!AW1403</f>
        <v>0</v>
      </c>
      <c r="Y1403" s="29" t="str">
        <f>IFERROR(HLOOKUP(U1410,List!$D$2:$H$6,2,FALSE),"")</f>
        <v/>
      </c>
      <c r="Z1403" s="29" t="str">
        <f>IFERROR(HLOOKUP(V1410,List!$D$2:$H$6,3,FALSE),"")</f>
        <v/>
      </c>
      <c r="AA1403" s="29" t="str">
        <f>IFERROR(HLOOKUP(W1410,List!$D$2:$H$6,4,FALSE),"")</f>
        <v/>
      </c>
      <c r="AB1403" s="29" t="str">
        <f>IFERROR(HLOOKUP(X1410,List!$D$2:$H$6,5,FALSE),"")</f>
        <v/>
      </c>
      <c r="AC1403" s="12" t="str">
        <f t="shared" ref="AC1403:AF1466" si="325">IFERROR(Y1403*$T1403,"")</f>
        <v/>
      </c>
      <c r="AD1403" s="12" t="str">
        <f t="shared" si="325"/>
        <v/>
      </c>
      <c r="AE1403" s="12" t="str">
        <f t="shared" si="325"/>
        <v/>
      </c>
      <c r="AF1403" s="12" t="str">
        <f t="shared" si="325"/>
        <v/>
      </c>
      <c r="AM1403" s="12" t="str">
        <f t="shared" si="321"/>
        <v/>
      </c>
      <c r="AN1403" s="12" t="str">
        <f t="shared" si="322"/>
        <v/>
      </c>
      <c r="AO1403" s="12" t="str">
        <f t="shared" si="323"/>
        <v/>
      </c>
      <c r="AP1403" s="12" t="str">
        <f t="shared" si="324"/>
        <v/>
      </c>
      <c r="AQ1403" s="12"/>
      <c r="AS1403" s="12">
        <f t="shared" si="320"/>
        <v>0</v>
      </c>
    </row>
    <row r="1404" spans="1:45" hidden="1" x14ac:dyDescent="0.25">
      <c r="A1404" s="41">
        <f>CASOPOInvCL!T1404</f>
        <v>0</v>
      </c>
      <c r="B1404">
        <f>CASOPOInvCL!Z1404</f>
        <v>0</v>
      </c>
      <c r="G1404" s="5">
        <f>CASOPOInvCL!I1404</f>
        <v>0</v>
      </c>
      <c r="H1404" s="31">
        <f>CASOPOInvCL!U1404</f>
        <v>0</v>
      </c>
      <c r="I1404" s="31">
        <f>CASOPOInvCL!V1404</f>
        <v>0</v>
      </c>
      <c r="J1404" s="5">
        <f>CASOPOInvCL!AB1404</f>
        <v>0</v>
      </c>
      <c r="K1404" s="31">
        <f>CASOPOInvCL!W1404</f>
        <v>0</v>
      </c>
      <c r="L1404" s="31">
        <f>CASOPOInvCL!X1404</f>
        <v>0</v>
      </c>
      <c r="M1404" s="31"/>
      <c r="N1404" s="5">
        <f>CASOPOInvCL!AF1404</f>
        <v>0</v>
      </c>
      <c r="O1404" s="16">
        <f>CASOPOInvCL!AG1404</f>
        <v>0</v>
      </c>
      <c r="P1404" s="16">
        <f>CASOPOInvCL!AH1404</f>
        <v>0</v>
      </c>
      <c r="Q1404" s="16">
        <f>CASOPOInvCL!AI1404</f>
        <v>0</v>
      </c>
      <c r="R1404" s="32">
        <f>CASOPOInvCL!AU1404</f>
        <v>0</v>
      </c>
      <c r="S1404" s="16">
        <f>CASOPOInvCL!AV1404</f>
        <v>0</v>
      </c>
      <c r="T1404" s="16">
        <f>CASOPOInvCL!AW1404</f>
        <v>0</v>
      </c>
      <c r="Y1404" s="29" t="str">
        <f>IFERROR(HLOOKUP(U1411,List!$D$2:$H$6,2,FALSE),"")</f>
        <v/>
      </c>
      <c r="Z1404" s="29" t="str">
        <f>IFERROR(HLOOKUP(V1411,List!$D$2:$H$6,3,FALSE),"")</f>
        <v/>
      </c>
      <c r="AA1404" s="29" t="str">
        <f>IFERROR(HLOOKUP(W1411,List!$D$2:$H$6,4,FALSE),"")</f>
        <v/>
      </c>
      <c r="AB1404" s="29" t="str">
        <f>IFERROR(HLOOKUP(X1411,List!$D$2:$H$6,5,FALSE),"")</f>
        <v/>
      </c>
      <c r="AC1404" s="12" t="str">
        <f t="shared" si="325"/>
        <v/>
      </c>
      <c r="AD1404" s="12" t="str">
        <f t="shared" si="325"/>
        <v/>
      </c>
      <c r="AE1404" s="12" t="str">
        <f t="shared" si="325"/>
        <v/>
      </c>
      <c r="AF1404" s="12" t="str">
        <f t="shared" si="325"/>
        <v/>
      </c>
      <c r="AM1404" s="12" t="str">
        <f t="shared" si="321"/>
        <v/>
      </c>
      <c r="AN1404" s="12" t="str">
        <f t="shared" si="322"/>
        <v/>
      </c>
      <c r="AO1404" s="12" t="str">
        <f t="shared" si="323"/>
        <v/>
      </c>
      <c r="AP1404" s="12" t="str">
        <f t="shared" si="324"/>
        <v/>
      </c>
      <c r="AQ1404" s="12"/>
      <c r="AS1404" s="12">
        <f t="shared" si="320"/>
        <v>0</v>
      </c>
    </row>
    <row r="1405" spans="1:45" hidden="1" x14ac:dyDescent="0.25">
      <c r="A1405" s="41">
        <f>CASOPOInvCL!T1405</f>
        <v>0</v>
      </c>
      <c r="B1405">
        <f>CASOPOInvCL!Z1405</f>
        <v>0</v>
      </c>
      <c r="G1405" s="5">
        <f>CASOPOInvCL!I1405</f>
        <v>0</v>
      </c>
      <c r="H1405" s="31">
        <f>CASOPOInvCL!U1405</f>
        <v>0</v>
      </c>
      <c r="I1405" s="31">
        <f>CASOPOInvCL!V1405</f>
        <v>0</v>
      </c>
      <c r="J1405" s="5">
        <f>CASOPOInvCL!AB1405</f>
        <v>0</v>
      </c>
      <c r="K1405" s="31">
        <f>CASOPOInvCL!W1405</f>
        <v>0</v>
      </c>
      <c r="L1405" s="31">
        <f>CASOPOInvCL!X1405</f>
        <v>0</v>
      </c>
      <c r="M1405" s="31"/>
      <c r="N1405" s="5">
        <f>CASOPOInvCL!AF1405</f>
        <v>0</v>
      </c>
      <c r="O1405" s="16">
        <f>CASOPOInvCL!AG1405</f>
        <v>0</v>
      </c>
      <c r="P1405" s="16">
        <f>CASOPOInvCL!AH1405</f>
        <v>0</v>
      </c>
      <c r="Q1405" s="16">
        <f>CASOPOInvCL!AI1405</f>
        <v>0</v>
      </c>
      <c r="R1405" s="32">
        <f>CASOPOInvCL!AU1405</f>
        <v>0</v>
      </c>
      <c r="S1405" s="16">
        <f>CASOPOInvCL!AV1405</f>
        <v>0</v>
      </c>
      <c r="T1405" s="16">
        <f>CASOPOInvCL!AW1405</f>
        <v>0</v>
      </c>
      <c r="Y1405" s="29" t="str">
        <f>IFERROR(HLOOKUP(U1412,List!$D$2:$H$6,2,FALSE),"")</f>
        <v/>
      </c>
      <c r="Z1405" s="29" t="str">
        <f>IFERROR(HLOOKUP(V1412,List!$D$2:$H$6,3,FALSE),"")</f>
        <v/>
      </c>
      <c r="AA1405" s="29" t="str">
        <f>IFERROR(HLOOKUP(W1412,List!$D$2:$H$6,4,FALSE),"")</f>
        <v/>
      </c>
      <c r="AB1405" s="29" t="str">
        <f>IFERROR(HLOOKUP(X1412,List!$D$2:$H$6,5,FALSE),"")</f>
        <v/>
      </c>
      <c r="AC1405" s="12" t="str">
        <f t="shared" si="325"/>
        <v/>
      </c>
      <c r="AD1405" s="12" t="str">
        <f t="shared" si="325"/>
        <v/>
      </c>
      <c r="AE1405" s="12" t="str">
        <f t="shared" si="325"/>
        <v/>
      </c>
      <c r="AF1405" s="12" t="str">
        <f t="shared" si="325"/>
        <v/>
      </c>
      <c r="AM1405" s="12" t="str">
        <f t="shared" si="321"/>
        <v/>
      </c>
      <c r="AN1405" s="12" t="str">
        <f t="shared" si="322"/>
        <v/>
      </c>
      <c r="AO1405" s="12" t="str">
        <f t="shared" si="323"/>
        <v/>
      </c>
      <c r="AP1405" s="12" t="str">
        <f t="shared" si="324"/>
        <v/>
      </c>
      <c r="AQ1405" s="12"/>
      <c r="AS1405" s="12">
        <f t="shared" si="320"/>
        <v>0</v>
      </c>
    </row>
    <row r="1406" spans="1:45" hidden="1" x14ac:dyDescent="0.25">
      <c r="A1406" s="41">
        <f>CASOPOInvCL!T1406</f>
        <v>0</v>
      </c>
      <c r="B1406">
        <f>CASOPOInvCL!Z1406</f>
        <v>0</v>
      </c>
      <c r="G1406" s="5">
        <f>CASOPOInvCL!I1406</f>
        <v>0</v>
      </c>
      <c r="H1406" s="31">
        <f>CASOPOInvCL!U1406</f>
        <v>0</v>
      </c>
      <c r="I1406" s="31">
        <f>CASOPOInvCL!V1406</f>
        <v>0</v>
      </c>
      <c r="J1406" s="5">
        <f>CASOPOInvCL!AB1406</f>
        <v>0</v>
      </c>
      <c r="K1406" s="31">
        <f>CASOPOInvCL!W1406</f>
        <v>0</v>
      </c>
      <c r="L1406" s="31">
        <f>CASOPOInvCL!X1406</f>
        <v>0</v>
      </c>
      <c r="M1406" s="31"/>
      <c r="N1406" s="5">
        <f>CASOPOInvCL!AF1406</f>
        <v>0</v>
      </c>
      <c r="O1406" s="16">
        <f>CASOPOInvCL!AG1406</f>
        <v>0</v>
      </c>
      <c r="P1406" s="16">
        <f>CASOPOInvCL!AH1406</f>
        <v>0</v>
      </c>
      <c r="Q1406" s="16">
        <f>CASOPOInvCL!AI1406</f>
        <v>0</v>
      </c>
      <c r="R1406" s="32">
        <f>CASOPOInvCL!AU1406</f>
        <v>0</v>
      </c>
      <c r="S1406" s="16">
        <f>CASOPOInvCL!AV1406</f>
        <v>0</v>
      </c>
      <c r="T1406" s="16">
        <f>CASOPOInvCL!AW1406</f>
        <v>0</v>
      </c>
      <c r="Y1406" s="29" t="str">
        <f>IFERROR(HLOOKUP(U1413,List!$D$2:$H$6,2,FALSE),"")</f>
        <v/>
      </c>
      <c r="Z1406" s="29" t="str">
        <f>IFERROR(HLOOKUP(V1413,List!$D$2:$H$6,3,FALSE),"")</f>
        <v/>
      </c>
      <c r="AA1406" s="29" t="str">
        <f>IFERROR(HLOOKUP(W1413,List!$D$2:$H$6,4,FALSE),"")</f>
        <v/>
      </c>
      <c r="AB1406" s="29" t="str">
        <f>IFERROR(HLOOKUP(X1413,List!$D$2:$H$6,5,FALSE),"")</f>
        <v/>
      </c>
      <c r="AC1406" s="12" t="str">
        <f t="shared" si="325"/>
        <v/>
      </c>
      <c r="AD1406" s="12" t="str">
        <f t="shared" si="325"/>
        <v/>
      </c>
      <c r="AE1406" s="12" t="str">
        <f t="shared" si="325"/>
        <v/>
      </c>
      <c r="AF1406" s="12" t="str">
        <f t="shared" si="325"/>
        <v/>
      </c>
      <c r="AM1406" s="12" t="str">
        <f t="shared" si="321"/>
        <v/>
      </c>
      <c r="AN1406" s="12" t="str">
        <f t="shared" si="322"/>
        <v/>
      </c>
      <c r="AO1406" s="12" t="str">
        <f t="shared" si="323"/>
        <v/>
      </c>
      <c r="AP1406" s="12" t="str">
        <f t="shared" si="324"/>
        <v/>
      </c>
      <c r="AQ1406" s="12"/>
      <c r="AS1406" s="12">
        <f t="shared" si="320"/>
        <v>0</v>
      </c>
    </row>
    <row r="1407" spans="1:45" hidden="1" x14ac:dyDescent="0.25">
      <c r="A1407" s="41">
        <f>CASOPOInvCL!T1407</f>
        <v>0</v>
      </c>
      <c r="B1407">
        <f>CASOPOInvCL!Z1407</f>
        <v>0</v>
      </c>
      <c r="G1407" s="5">
        <f>CASOPOInvCL!I1407</f>
        <v>0</v>
      </c>
      <c r="H1407" s="31">
        <f>CASOPOInvCL!U1407</f>
        <v>0</v>
      </c>
      <c r="I1407" s="31">
        <f>CASOPOInvCL!V1407</f>
        <v>0</v>
      </c>
      <c r="J1407" s="5">
        <f>CASOPOInvCL!AB1407</f>
        <v>0</v>
      </c>
      <c r="K1407" s="31">
        <f>CASOPOInvCL!W1407</f>
        <v>0</v>
      </c>
      <c r="L1407" s="31">
        <f>CASOPOInvCL!X1407</f>
        <v>0</v>
      </c>
      <c r="M1407" s="31"/>
      <c r="N1407" s="5">
        <f>CASOPOInvCL!AF1407</f>
        <v>0</v>
      </c>
      <c r="O1407" s="16">
        <f>CASOPOInvCL!AG1407</f>
        <v>0</v>
      </c>
      <c r="P1407" s="16">
        <f>CASOPOInvCL!AH1407</f>
        <v>0</v>
      </c>
      <c r="Q1407" s="16">
        <f>CASOPOInvCL!AI1407</f>
        <v>0</v>
      </c>
      <c r="R1407" s="32">
        <f>CASOPOInvCL!AU1407</f>
        <v>0</v>
      </c>
      <c r="S1407" s="16">
        <f>CASOPOInvCL!AV1407</f>
        <v>0</v>
      </c>
      <c r="T1407" s="16">
        <f>CASOPOInvCL!AW1407</f>
        <v>0</v>
      </c>
      <c r="Y1407" s="29" t="str">
        <f>IFERROR(HLOOKUP(U1414,List!$D$2:$H$6,2,FALSE),"")</f>
        <v/>
      </c>
      <c r="Z1407" s="29" t="str">
        <f>IFERROR(HLOOKUP(V1414,List!$D$2:$H$6,3,FALSE),"")</f>
        <v/>
      </c>
      <c r="AA1407" s="29" t="str">
        <f>IFERROR(HLOOKUP(W1414,List!$D$2:$H$6,4,FALSE),"")</f>
        <v/>
      </c>
      <c r="AB1407" s="29" t="str">
        <f>IFERROR(HLOOKUP(X1414,List!$D$2:$H$6,5,FALSE),"")</f>
        <v/>
      </c>
      <c r="AC1407" s="12" t="str">
        <f t="shared" si="325"/>
        <v/>
      </c>
      <c r="AD1407" s="12" t="str">
        <f t="shared" si="325"/>
        <v/>
      </c>
      <c r="AE1407" s="12" t="str">
        <f t="shared" si="325"/>
        <v/>
      </c>
      <c r="AF1407" s="12" t="str">
        <f t="shared" si="325"/>
        <v/>
      </c>
      <c r="AM1407" s="12" t="str">
        <f t="shared" si="321"/>
        <v/>
      </c>
      <c r="AN1407" s="12" t="str">
        <f t="shared" si="322"/>
        <v/>
      </c>
      <c r="AO1407" s="12" t="str">
        <f t="shared" si="323"/>
        <v/>
      </c>
      <c r="AP1407" s="12" t="str">
        <f t="shared" si="324"/>
        <v/>
      </c>
      <c r="AQ1407" s="12"/>
      <c r="AS1407" s="12">
        <f t="shared" si="320"/>
        <v>0</v>
      </c>
    </row>
    <row r="1408" spans="1:45" hidden="1" x14ac:dyDescent="0.25">
      <c r="A1408" s="41">
        <f>CASOPOInvCL!T1408</f>
        <v>0</v>
      </c>
      <c r="B1408">
        <f>CASOPOInvCL!Z1408</f>
        <v>0</v>
      </c>
      <c r="G1408" s="5">
        <f>CASOPOInvCL!I1408</f>
        <v>0</v>
      </c>
      <c r="H1408" s="31">
        <f>CASOPOInvCL!U1408</f>
        <v>0</v>
      </c>
      <c r="I1408" s="31">
        <f>CASOPOInvCL!V1408</f>
        <v>0</v>
      </c>
      <c r="J1408" s="5">
        <f>CASOPOInvCL!AB1408</f>
        <v>0</v>
      </c>
      <c r="K1408" s="31">
        <f>CASOPOInvCL!W1408</f>
        <v>0</v>
      </c>
      <c r="L1408" s="31">
        <f>CASOPOInvCL!X1408</f>
        <v>0</v>
      </c>
      <c r="M1408" s="31"/>
      <c r="N1408" s="5">
        <f>CASOPOInvCL!AF1408</f>
        <v>0</v>
      </c>
      <c r="O1408" s="16">
        <f>CASOPOInvCL!AG1408</f>
        <v>0</v>
      </c>
      <c r="P1408" s="16">
        <f>CASOPOInvCL!AH1408</f>
        <v>0</v>
      </c>
      <c r="Q1408" s="16">
        <f>CASOPOInvCL!AI1408</f>
        <v>0</v>
      </c>
      <c r="R1408" s="32">
        <f>CASOPOInvCL!AU1408</f>
        <v>0</v>
      </c>
      <c r="S1408" s="16">
        <f>CASOPOInvCL!AV1408</f>
        <v>0</v>
      </c>
      <c r="T1408" s="16">
        <f>CASOPOInvCL!AW1408</f>
        <v>0</v>
      </c>
      <c r="Y1408" s="29" t="str">
        <f>IFERROR(HLOOKUP(U1415,List!$D$2:$H$6,2,FALSE),"")</f>
        <v/>
      </c>
      <c r="Z1408" s="29" t="str">
        <f>IFERROR(HLOOKUP(V1415,List!$D$2:$H$6,3,FALSE),"")</f>
        <v/>
      </c>
      <c r="AA1408" s="29" t="str">
        <f>IFERROR(HLOOKUP(W1415,List!$D$2:$H$6,4,FALSE),"")</f>
        <v/>
      </c>
      <c r="AB1408" s="29" t="str">
        <f>IFERROR(HLOOKUP(X1415,List!$D$2:$H$6,5,FALSE),"")</f>
        <v/>
      </c>
      <c r="AC1408" s="12" t="str">
        <f t="shared" si="325"/>
        <v/>
      </c>
      <c r="AD1408" s="12" t="str">
        <f t="shared" si="325"/>
        <v/>
      </c>
      <c r="AE1408" s="12" t="str">
        <f t="shared" si="325"/>
        <v/>
      </c>
      <c r="AF1408" s="12" t="str">
        <f t="shared" si="325"/>
        <v/>
      </c>
      <c r="AM1408" s="12" t="str">
        <f t="shared" si="321"/>
        <v/>
      </c>
      <c r="AN1408" s="12" t="str">
        <f t="shared" si="322"/>
        <v/>
      </c>
      <c r="AO1408" s="12" t="str">
        <f t="shared" si="323"/>
        <v/>
      </c>
      <c r="AP1408" s="12" t="str">
        <f t="shared" si="324"/>
        <v/>
      </c>
      <c r="AQ1408" s="12"/>
      <c r="AS1408" s="12">
        <f t="shared" si="320"/>
        <v>0</v>
      </c>
    </row>
    <row r="1409" spans="1:45" hidden="1" x14ac:dyDescent="0.25">
      <c r="A1409" s="41">
        <f>CASOPOInvCL!T1409</f>
        <v>0</v>
      </c>
      <c r="B1409">
        <f>CASOPOInvCL!Z1409</f>
        <v>0</v>
      </c>
      <c r="G1409" s="5">
        <f>CASOPOInvCL!I1409</f>
        <v>0</v>
      </c>
      <c r="H1409" s="31">
        <f>CASOPOInvCL!U1409</f>
        <v>0</v>
      </c>
      <c r="I1409" s="31">
        <f>CASOPOInvCL!V1409</f>
        <v>0</v>
      </c>
      <c r="J1409" s="5">
        <f>CASOPOInvCL!AB1409</f>
        <v>0</v>
      </c>
      <c r="K1409" s="31">
        <f>CASOPOInvCL!W1409</f>
        <v>0</v>
      </c>
      <c r="L1409" s="31">
        <f>CASOPOInvCL!X1409</f>
        <v>0</v>
      </c>
      <c r="M1409" s="31"/>
      <c r="N1409" s="5">
        <f>CASOPOInvCL!AF1409</f>
        <v>0</v>
      </c>
      <c r="O1409" s="16">
        <f>CASOPOInvCL!AG1409</f>
        <v>0</v>
      </c>
      <c r="P1409" s="16">
        <f>CASOPOInvCL!AH1409</f>
        <v>0</v>
      </c>
      <c r="Q1409" s="16">
        <f>CASOPOInvCL!AI1409</f>
        <v>0</v>
      </c>
      <c r="R1409" s="32">
        <f>CASOPOInvCL!AU1409</f>
        <v>0</v>
      </c>
      <c r="S1409" s="16">
        <f>CASOPOInvCL!AV1409</f>
        <v>0</v>
      </c>
      <c r="T1409" s="16">
        <f>CASOPOInvCL!AW1409</f>
        <v>0</v>
      </c>
      <c r="Y1409" s="29" t="str">
        <f>IFERROR(HLOOKUP(U1416,List!$D$2:$H$6,2,FALSE),"")</f>
        <v/>
      </c>
      <c r="Z1409" s="29" t="str">
        <f>IFERROR(HLOOKUP(V1416,List!$D$2:$H$6,3,FALSE),"")</f>
        <v/>
      </c>
      <c r="AA1409" s="29" t="str">
        <f>IFERROR(HLOOKUP(W1416,List!$D$2:$H$6,4,FALSE),"")</f>
        <v/>
      </c>
      <c r="AB1409" s="29" t="str">
        <f>IFERROR(HLOOKUP(X1416,List!$D$2:$H$6,5,FALSE),"")</f>
        <v/>
      </c>
      <c r="AC1409" s="12" t="str">
        <f t="shared" si="325"/>
        <v/>
      </c>
      <c r="AD1409" s="12" t="str">
        <f t="shared" si="325"/>
        <v/>
      </c>
      <c r="AE1409" s="12" t="str">
        <f t="shared" si="325"/>
        <v/>
      </c>
      <c r="AF1409" s="12" t="str">
        <f t="shared" si="325"/>
        <v/>
      </c>
      <c r="AM1409" s="12" t="str">
        <f t="shared" si="321"/>
        <v/>
      </c>
      <c r="AN1409" s="12" t="str">
        <f t="shared" si="322"/>
        <v/>
      </c>
      <c r="AO1409" s="12" t="str">
        <f t="shared" si="323"/>
        <v/>
      </c>
      <c r="AP1409" s="12" t="str">
        <f t="shared" si="324"/>
        <v/>
      </c>
      <c r="AQ1409" s="12"/>
      <c r="AS1409" s="12">
        <f t="shared" si="320"/>
        <v>0</v>
      </c>
    </row>
    <row r="1410" spans="1:45" hidden="1" x14ac:dyDescent="0.25">
      <c r="A1410" s="41">
        <f>CASOPOInvCL!T1410</f>
        <v>0</v>
      </c>
      <c r="B1410">
        <f>CASOPOInvCL!Z1410</f>
        <v>0</v>
      </c>
      <c r="G1410" s="5">
        <f>CASOPOInvCL!I1410</f>
        <v>0</v>
      </c>
      <c r="H1410" s="31">
        <f>CASOPOInvCL!U1410</f>
        <v>0</v>
      </c>
      <c r="I1410" s="31">
        <f>CASOPOInvCL!V1410</f>
        <v>0</v>
      </c>
      <c r="J1410" s="5">
        <f>CASOPOInvCL!AB1410</f>
        <v>0</v>
      </c>
      <c r="K1410" s="31">
        <f>CASOPOInvCL!W1410</f>
        <v>0</v>
      </c>
      <c r="L1410" s="31">
        <f>CASOPOInvCL!X1410</f>
        <v>0</v>
      </c>
      <c r="M1410" s="31"/>
      <c r="N1410" s="5">
        <f>CASOPOInvCL!AF1410</f>
        <v>0</v>
      </c>
      <c r="O1410" s="16">
        <f>CASOPOInvCL!AG1410</f>
        <v>0</v>
      </c>
      <c r="P1410" s="16">
        <f>CASOPOInvCL!AH1410</f>
        <v>0</v>
      </c>
      <c r="Q1410" s="16">
        <f>CASOPOInvCL!AI1410</f>
        <v>0</v>
      </c>
      <c r="R1410" s="32">
        <f>CASOPOInvCL!AU1410</f>
        <v>0</v>
      </c>
      <c r="S1410" s="16">
        <f>CASOPOInvCL!AV1410</f>
        <v>0</v>
      </c>
      <c r="T1410" s="16">
        <f>CASOPOInvCL!AW1410</f>
        <v>0</v>
      </c>
      <c r="Y1410" s="29" t="str">
        <f>IFERROR(HLOOKUP(U1417,List!$D$2:$H$6,2,FALSE),"")</f>
        <v/>
      </c>
      <c r="Z1410" s="29" t="str">
        <f>IFERROR(HLOOKUP(V1417,List!$D$2:$H$6,3,FALSE),"")</f>
        <v/>
      </c>
      <c r="AA1410" s="29" t="str">
        <f>IFERROR(HLOOKUP(W1417,List!$D$2:$H$6,4,FALSE),"")</f>
        <v/>
      </c>
      <c r="AB1410" s="29" t="str">
        <f>IFERROR(HLOOKUP(X1417,List!$D$2:$H$6,5,FALSE),"")</f>
        <v/>
      </c>
      <c r="AC1410" s="12" t="str">
        <f t="shared" si="325"/>
        <v/>
      </c>
      <c r="AD1410" s="12" t="str">
        <f t="shared" si="325"/>
        <v/>
      </c>
      <c r="AE1410" s="12" t="str">
        <f t="shared" si="325"/>
        <v/>
      </c>
      <c r="AF1410" s="12" t="str">
        <f t="shared" si="325"/>
        <v/>
      </c>
      <c r="AM1410" s="12" t="str">
        <f t="shared" si="321"/>
        <v/>
      </c>
      <c r="AN1410" s="12" t="str">
        <f t="shared" si="322"/>
        <v/>
      </c>
      <c r="AO1410" s="12" t="str">
        <f t="shared" si="323"/>
        <v/>
      </c>
      <c r="AP1410" s="12" t="str">
        <f t="shared" si="324"/>
        <v/>
      </c>
      <c r="AQ1410" s="12"/>
      <c r="AS1410" s="12">
        <f t="shared" si="320"/>
        <v>0</v>
      </c>
    </row>
    <row r="1411" spans="1:45" hidden="1" x14ac:dyDescent="0.25">
      <c r="A1411" s="41">
        <f>CASOPOInvCL!T1411</f>
        <v>0</v>
      </c>
      <c r="B1411">
        <f>CASOPOInvCL!Z1411</f>
        <v>0</v>
      </c>
      <c r="G1411" s="5">
        <f>CASOPOInvCL!I1411</f>
        <v>0</v>
      </c>
      <c r="H1411" s="31">
        <f>CASOPOInvCL!U1411</f>
        <v>0</v>
      </c>
      <c r="I1411" s="31">
        <f>CASOPOInvCL!V1411</f>
        <v>0</v>
      </c>
      <c r="J1411" s="5">
        <f>CASOPOInvCL!AB1411</f>
        <v>0</v>
      </c>
      <c r="K1411" s="31">
        <f>CASOPOInvCL!W1411</f>
        <v>0</v>
      </c>
      <c r="L1411" s="31">
        <f>CASOPOInvCL!X1411</f>
        <v>0</v>
      </c>
      <c r="M1411" s="31"/>
      <c r="N1411" s="5">
        <f>CASOPOInvCL!AF1411</f>
        <v>0</v>
      </c>
      <c r="O1411" s="16">
        <f>CASOPOInvCL!AG1411</f>
        <v>0</v>
      </c>
      <c r="P1411" s="16">
        <f>CASOPOInvCL!AH1411</f>
        <v>0</v>
      </c>
      <c r="Q1411" s="16">
        <f>CASOPOInvCL!AI1411</f>
        <v>0</v>
      </c>
      <c r="R1411" s="32">
        <f>CASOPOInvCL!AU1411</f>
        <v>0</v>
      </c>
      <c r="S1411" s="16">
        <f>CASOPOInvCL!AV1411</f>
        <v>0</v>
      </c>
      <c r="T1411" s="16">
        <f>CASOPOInvCL!AW1411</f>
        <v>0</v>
      </c>
      <c r="Y1411" s="29" t="str">
        <f>IFERROR(HLOOKUP(U1418,List!$D$2:$H$6,2,FALSE),"")</f>
        <v/>
      </c>
      <c r="Z1411" s="29" t="str">
        <f>IFERROR(HLOOKUP(V1418,List!$D$2:$H$6,3,FALSE),"")</f>
        <v/>
      </c>
      <c r="AA1411" s="29" t="str">
        <f>IFERROR(HLOOKUP(W1418,List!$D$2:$H$6,4,FALSE),"")</f>
        <v/>
      </c>
      <c r="AB1411" s="29" t="str">
        <f>IFERROR(HLOOKUP(X1418,List!$D$2:$H$6,5,FALSE),"")</f>
        <v/>
      </c>
      <c r="AC1411" s="12" t="str">
        <f t="shared" si="325"/>
        <v/>
      </c>
      <c r="AD1411" s="12" t="str">
        <f t="shared" si="325"/>
        <v/>
      </c>
      <c r="AE1411" s="12" t="str">
        <f t="shared" si="325"/>
        <v/>
      </c>
      <c r="AF1411" s="12" t="str">
        <f t="shared" si="325"/>
        <v/>
      </c>
      <c r="AM1411" s="12" t="str">
        <f t="shared" si="321"/>
        <v/>
      </c>
      <c r="AN1411" s="12" t="str">
        <f t="shared" si="322"/>
        <v/>
      </c>
      <c r="AO1411" s="12" t="str">
        <f t="shared" si="323"/>
        <v/>
      </c>
      <c r="AP1411" s="12" t="str">
        <f t="shared" si="324"/>
        <v/>
      </c>
      <c r="AQ1411" s="12"/>
      <c r="AS1411" s="12">
        <f t="shared" si="320"/>
        <v>0</v>
      </c>
    </row>
    <row r="1412" spans="1:45" hidden="1" x14ac:dyDescent="0.25">
      <c r="A1412" s="41">
        <f>CASOPOInvCL!T1412</f>
        <v>0</v>
      </c>
      <c r="B1412">
        <f>CASOPOInvCL!Z1412</f>
        <v>0</v>
      </c>
      <c r="G1412" s="5">
        <f>CASOPOInvCL!I1412</f>
        <v>0</v>
      </c>
      <c r="H1412" s="31">
        <f>CASOPOInvCL!U1412</f>
        <v>0</v>
      </c>
      <c r="I1412" s="31">
        <f>CASOPOInvCL!V1412</f>
        <v>0</v>
      </c>
      <c r="J1412" s="5">
        <f>CASOPOInvCL!AB1412</f>
        <v>0</v>
      </c>
      <c r="K1412" s="31">
        <f>CASOPOInvCL!W1412</f>
        <v>0</v>
      </c>
      <c r="L1412" s="31">
        <f>CASOPOInvCL!X1412</f>
        <v>0</v>
      </c>
      <c r="M1412" s="31"/>
      <c r="N1412" s="5">
        <f>CASOPOInvCL!AF1412</f>
        <v>0</v>
      </c>
      <c r="O1412" s="16">
        <f>CASOPOInvCL!AG1412</f>
        <v>0</v>
      </c>
      <c r="P1412" s="16">
        <f>CASOPOInvCL!AH1412</f>
        <v>0</v>
      </c>
      <c r="Q1412" s="16">
        <f>CASOPOInvCL!AI1412</f>
        <v>0</v>
      </c>
      <c r="R1412" s="32">
        <f>CASOPOInvCL!AU1412</f>
        <v>0</v>
      </c>
      <c r="S1412" s="16">
        <f>CASOPOInvCL!AV1412</f>
        <v>0</v>
      </c>
      <c r="T1412" s="16">
        <f>CASOPOInvCL!AW1412</f>
        <v>0</v>
      </c>
      <c r="Y1412" s="29" t="str">
        <f>IFERROR(HLOOKUP(U1419,List!$D$2:$H$6,2,FALSE),"")</f>
        <v/>
      </c>
      <c r="Z1412" s="29" t="str">
        <f>IFERROR(HLOOKUP(V1419,List!$D$2:$H$6,3,FALSE),"")</f>
        <v/>
      </c>
      <c r="AA1412" s="29" t="str">
        <f>IFERROR(HLOOKUP(W1419,List!$D$2:$H$6,4,FALSE),"")</f>
        <v/>
      </c>
      <c r="AB1412" s="29" t="str">
        <f>IFERROR(HLOOKUP(X1419,List!$D$2:$H$6,5,FALSE),"")</f>
        <v/>
      </c>
      <c r="AC1412" s="12" t="str">
        <f t="shared" si="325"/>
        <v/>
      </c>
      <c r="AD1412" s="12" t="str">
        <f t="shared" si="325"/>
        <v/>
      </c>
      <c r="AE1412" s="12" t="str">
        <f t="shared" si="325"/>
        <v/>
      </c>
      <c r="AF1412" s="12" t="str">
        <f t="shared" si="325"/>
        <v/>
      </c>
      <c r="AM1412" s="12" t="str">
        <f t="shared" si="321"/>
        <v/>
      </c>
      <c r="AN1412" s="12" t="str">
        <f t="shared" si="322"/>
        <v/>
      </c>
      <c r="AO1412" s="12" t="str">
        <f t="shared" si="323"/>
        <v/>
      </c>
      <c r="AP1412" s="12" t="str">
        <f t="shared" si="324"/>
        <v/>
      </c>
      <c r="AQ1412" s="12"/>
      <c r="AS1412" s="12">
        <f t="shared" si="320"/>
        <v>0</v>
      </c>
    </row>
    <row r="1413" spans="1:45" hidden="1" x14ac:dyDescent="0.25">
      <c r="A1413" s="41">
        <f>CASOPOInvCL!T1413</f>
        <v>0</v>
      </c>
      <c r="B1413">
        <f>CASOPOInvCL!Z1413</f>
        <v>0</v>
      </c>
      <c r="G1413" s="5">
        <f>CASOPOInvCL!I1413</f>
        <v>0</v>
      </c>
      <c r="H1413" s="31">
        <f>CASOPOInvCL!U1413</f>
        <v>0</v>
      </c>
      <c r="I1413" s="31">
        <f>CASOPOInvCL!V1413</f>
        <v>0</v>
      </c>
      <c r="J1413" s="5">
        <f>CASOPOInvCL!AB1413</f>
        <v>0</v>
      </c>
      <c r="K1413" s="31">
        <f>CASOPOInvCL!W1413</f>
        <v>0</v>
      </c>
      <c r="L1413" s="31">
        <f>CASOPOInvCL!X1413</f>
        <v>0</v>
      </c>
      <c r="M1413" s="31"/>
      <c r="N1413" s="5">
        <f>CASOPOInvCL!AF1413</f>
        <v>0</v>
      </c>
      <c r="O1413" s="16">
        <f>CASOPOInvCL!AG1413</f>
        <v>0</v>
      </c>
      <c r="P1413" s="16">
        <f>CASOPOInvCL!AH1413</f>
        <v>0</v>
      </c>
      <c r="Q1413" s="16">
        <f>CASOPOInvCL!AI1413</f>
        <v>0</v>
      </c>
      <c r="R1413" s="32">
        <f>CASOPOInvCL!AU1413</f>
        <v>0</v>
      </c>
      <c r="S1413" s="16">
        <f>CASOPOInvCL!AV1413</f>
        <v>0</v>
      </c>
      <c r="T1413" s="16">
        <f>CASOPOInvCL!AW1413</f>
        <v>0</v>
      </c>
      <c r="Y1413" s="29" t="str">
        <f>IFERROR(HLOOKUP(U1420,List!$D$2:$H$6,2,FALSE),"")</f>
        <v/>
      </c>
      <c r="Z1413" s="29" t="str">
        <f>IFERROR(HLOOKUP(V1420,List!$D$2:$H$6,3,FALSE),"")</f>
        <v/>
      </c>
      <c r="AA1413" s="29" t="str">
        <f>IFERROR(HLOOKUP(W1420,List!$D$2:$H$6,4,FALSE),"")</f>
        <v/>
      </c>
      <c r="AB1413" s="29" t="str">
        <f>IFERROR(HLOOKUP(X1420,List!$D$2:$H$6,5,FALSE),"")</f>
        <v/>
      </c>
      <c r="AC1413" s="12" t="str">
        <f t="shared" si="325"/>
        <v/>
      </c>
      <c r="AD1413" s="12" t="str">
        <f t="shared" si="325"/>
        <v/>
      </c>
      <c r="AE1413" s="12" t="str">
        <f t="shared" si="325"/>
        <v/>
      </c>
      <c r="AF1413" s="12" t="str">
        <f t="shared" si="325"/>
        <v/>
      </c>
      <c r="AM1413" s="12" t="str">
        <f t="shared" si="321"/>
        <v/>
      </c>
      <c r="AN1413" s="12" t="str">
        <f t="shared" si="322"/>
        <v/>
      </c>
      <c r="AO1413" s="12" t="str">
        <f t="shared" si="323"/>
        <v/>
      </c>
      <c r="AP1413" s="12" t="str">
        <f t="shared" si="324"/>
        <v/>
      </c>
      <c r="AQ1413" s="12"/>
      <c r="AS1413" s="12">
        <f t="shared" si="320"/>
        <v>0</v>
      </c>
    </row>
    <row r="1414" spans="1:45" hidden="1" x14ac:dyDescent="0.25">
      <c r="A1414" s="41">
        <f>CASOPOInvCL!T1414</f>
        <v>0</v>
      </c>
      <c r="B1414">
        <f>CASOPOInvCL!Z1414</f>
        <v>0</v>
      </c>
      <c r="G1414" s="5">
        <f>CASOPOInvCL!I1414</f>
        <v>0</v>
      </c>
      <c r="H1414" s="31">
        <f>CASOPOInvCL!U1414</f>
        <v>0</v>
      </c>
      <c r="I1414" s="31">
        <f>CASOPOInvCL!V1414</f>
        <v>0</v>
      </c>
      <c r="J1414" s="5">
        <f>CASOPOInvCL!AB1414</f>
        <v>0</v>
      </c>
      <c r="K1414" s="31">
        <f>CASOPOInvCL!W1414</f>
        <v>0</v>
      </c>
      <c r="L1414" s="31">
        <f>CASOPOInvCL!X1414</f>
        <v>0</v>
      </c>
      <c r="M1414" s="31"/>
      <c r="N1414" s="5">
        <f>CASOPOInvCL!AF1414</f>
        <v>0</v>
      </c>
      <c r="O1414" s="16">
        <f>CASOPOInvCL!AG1414</f>
        <v>0</v>
      </c>
      <c r="P1414" s="16">
        <f>CASOPOInvCL!AH1414</f>
        <v>0</v>
      </c>
      <c r="Q1414" s="16">
        <f>CASOPOInvCL!AI1414</f>
        <v>0</v>
      </c>
      <c r="R1414" s="32">
        <f>CASOPOInvCL!AU1414</f>
        <v>0</v>
      </c>
      <c r="S1414" s="16">
        <f>CASOPOInvCL!AV1414</f>
        <v>0</v>
      </c>
      <c r="T1414" s="16">
        <f>CASOPOInvCL!AW1414</f>
        <v>0</v>
      </c>
      <c r="Y1414" s="29" t="str">
        <f>IFERROR(HLOOKUP(U1421,List!$D$2:$H$6,2,FALSE),"")</f>
        <v/>
      </c>
      <c r="Z1414" s="29" t="str">
        <f>IFERROR(HLOOKUP(V1421,List!$D$2:$H$6,3,FALSE),"")</f>
        <v/>
      </c>
      <c r="AA1414" s="29" t="str">
        <f>IFERROR(HLOOKUP(W1421,List!$D$2:$H$6,4,FALSE),"")</f>
        <v/>
      </c>
      <c r="AB1414" s="29" t="str">
        <f>IFERROR(HLOOKUP(X1421,List!$D$2:$H$6,5,FALSE),"")</f>
        <v/>
      </c>
      <c r="AC1414" s="12" t="str">
        <f t="shared" si="325"/>
        <v/>
      </c>
      <c r="AD1414" s="12" t="str">
        <f t="shared" si="325"/>
        <v/>
      </c>
      <c r="AE1414" s="12" t="str">
        <f t="shared" si="325"/>
        <v/>
      </c>
      <c r="AF1414" s="12" t="str">
        <f t="shared" si="325"/>
        <v/>
      </c>
      <c r="AM1414" s="12" t="str">
        <f t="shared" si="321"/>
        <v/>
      </c>
      <c r="AN1414" s="12" t="str">
        <f t="shared" si="322"/>
        <v/>
      </c>
      <c r="AO1414" s="12" t="str">
        <f t="shared" si="323"/>
        <v/>
      </c>
      <c r="AP1414" s="12" t="str">
        <f t="shared" si="324"/>
        <v/>
      </c>
      <c r="AQ1414" s="12"/>
      <c r="AS1414" s="12">
        <f t="shared" si="320"/>
        <v>0</v>
      </c>
    </row>
    <row r="1415" spans="1:45" hidden="1" x14ac:dyDescent="0.25">
      <c r="A1415" s="41">
        <f>CASOPOInvCL!T1415</f>
        <v>0</v>
      </c>
      <c r="B1415">
        <f>CASOPOInvCL!Z1415</f>
        <v>0</v>
      </c>
      <c r="G1415" s="5">
        <f>CASOPOInvCL!I1415</f>
        <v>0</v>
      </c>
      <c r="H1415" s="31">
        <f>CASOPOInvCL!U1415</f>
        <v>0</v>
      </c>
      <c r="I1415" s="31">
        <f>CASOPOInvCL!V1415</f>
        <v>0</v>
      </c>
      <c r="J1415" s="5">
        <f>CASOPOInvCL!AB1415</f>
        <v>0</v>
      </c>
      <c r="K1415" s="31">
        <f>CASOPOInvCL!W1415</f>
        <v>0</v>
      </c>
      <c r="L1415" s="31">
        <f>CASOPOInvCL!X1415</f>
        <v>0</v>
      </c>
      <c r="M1415" s="31"/>
      <c r="N1415" s="5">
        <f>CASOPOInvCL!AF1415</f>
        <v>0</v>
      </c>
      <c r="O1415" s="16">
        <f>CASOPOInvCL!AG1415</f>
        <v>0</v>
      </c>
      <c r="P1415" s="16">
        <f>CASOPOInvCL!AH1415</f>
        <v>0</v>
      </c>
      <c r="Q1415" s="16">
        <f>CASOPOInvCL!AI1415</f>
        <v>0</v>
      </c>
      <c r="R1415" s="32">
        <f>CASOPOInvCL!AU1415</f>
        <v>0</v>
      </c>
      <c r="S1415" s="16">
        <f>CASOPOInvCL!AV1415</f>
        <v>0</v>
      </c>
      <c r="T1415" s="16">
        <f>CASOPOInvCL!AW1415</f>
        <v>0</v>
      </c>
      <c r="Y1415" s="29" t="str">
        <f>IFERROR(HLOOKUP(U1422,List!$D$2:$H$6,2,FALSE),"")</f>
        <v/>
      </c>
      <c r="Z1415" s="29" t="str">
        <f>IFERROR(HLOOKUP(V1422,List!$D$2:$H$6,3,FALSE),"")</f>
        <v/>
      </c>
      <c r="AA1415" s="29" t="str">
        <f>IFERROR(HLOOKUP(W1422,List!$D$2:$H$6,4,FALSE),"")</f>
        <v/>
      </c>
      <c r="AB1415" s="29" t="str">
        <f>IFERROR(HLOOKUP(X1422,List!$D$2:$H$6,5,FALSE),"")</f>
        <v/>
      </c>
      <c r="AC1415" s="12" t="str">
        <f t="shared" si="325"/>
        <v/>
      </c>
      <c r="AD1415" s="12" t="str">
        <f t="shared" si="325"/>
        <v/>
      </c>
      <c r="AE1415" s="12" t="str">
        <f t="shared" si="325"/>
        <v/>
      </c>
      <c r="AF1415" s="12" t="str">
        <f t="shared" si="325"/>
        <v/>
      </c>
      <c r="AM1415" s="12" t="str">
        <f t="shared" si="321"/>
        <v/>
      </c>
      <c r="AN1415" s="12" t="str">
        <f t="shared" si="322"/>
        <v/>
      </c>
      <c r="AO1415" s="12" t="str">
        <f t="shared" si="323"/>
        <v/>
      </c>
      <c r="AP1415" s="12" t="str">
        <f t="shared" si="324"/>
        <v/>
      </c>
      <c r="AQ1415" s="12"/>
      <c r="AS1415" s="12">
        <f t="shared" si="320"/>
        <v>0</v>
      </c>
    </row>
    <row r="1416" spans="1:45" hidden="1" x14ac:dyDescent="0.25">
      <c r="A1416" s="41">
        <f>CASOPOInvCL!T1416</f>
        <v>0</v>
      </c>
      <c r="B1416">
        <f>CASOPOInvCL!Z1416</f>
        <v>0</v>
      </c>
      <c r="G1416" s="5">
        <f>CASOPOInvCL!I1416</f>
        <v>0</v>
      </c>
      <c r="H1416" s="31">
        <f>CASOPOInvCL!U1416</f>
        <v>0</v>
      </c>
      <c r="I1416" s="31">
        <f>CASOPOInvCL!V1416</f>
        <v>0</v>
      </c>
      <c r="J1416" s="5">
        <f>CASOPOInvCL!AB1416</f>
        <v>0</v>
      </c>
      <c r="K1416" s="31">
        <f>CASOPOInvCL!W1416</f>
        <v>0</v>
      </c>
      <c r="L1416" s="31">
        <f>CASOPOInvCL!X1416</f>
        <v>0</v>
      </c>
      <c r="M1416" s="31"/>
      <c r="N1416" s="5">
        <f>CASOPOInvCL!AF1416</f>
        <v>0</v>
      </c>
      <c r="O1416" s="16">
        <f>CASOPOInvCL!AG1416</f>
        <v>0</v>
      </c>
      <c r="P1416" s="16">
        <f>CASOPOInvCL!AH1416</f>
        <v>0</v>
      </c>
      <c r="Q1416" s="16">
        <f>CASOPOInvCL!AI1416</f>
        <v>0</v>
      </c>
      <c r="R1416" s="32">
        <f>CASOPOInvCL!AU1416</f>
        <v>0</v>
      </c>
      <c r="S1416" s="16">
        <f>CASOPOInvCL!AV1416</f>
        <v>0</v>
      </c>
      <c r="T1416" s="16">
        <f>CASOPOInvCL!AW1416</f>
        <v>0</v>
      </c>
      <c r="Y1416" s="29" t="str">
        <f>IFERROR(HLOOKUP(U1423,List!$D$2:$H$6,2,FALSE),"")</f>
        <v/>
      </c>
      <c r="Z1416" s="29" t="str">
        <f>IFERROR(HLOOKUP(V1423,List!$D$2:$H$6,3,FALSE),"")</f>
        <v/>
      </c>
      <c r="AA1416" s="29" t="str">
        <f>IFERROR(HLOOKUP(W1423,List!$D$2:$H$6,4,FALSE),"")</f>
        <v/>
      </c>
      <c r="AB1416" s="29" t="str">
        <f>IFERROR(HLOOKUP(X1423,List!$D$2:$H$6,5,FALSE),"")</f>
        <v/>
      </c>
      <c r="AC1416" s="12" t="str">
        <f t="shared" si="325"/>
        <v/>
      </c>
      <c r="AD1416" s="12" t="str">
        <f t="shared" si="325"/>
        <v/>
      </c>
      <c r="AE1416" s="12" t="str">
        <f t="shared" si="325"/>
        <v/>
      </c>
      <c r="AF1416" s="12" t="str">
        <f t="shared" si="325"/>
        <v/>
      </c>
      <c r="AM1416" s="12" t="str">
        <f t="shared" si="321"/>
        <v/>
      </c>
      <c r="AN1416" s="12" t="str">
        <f t="shared" si="322"/>
        <v/>
      </c>
      <c r="AO1416" s="12" t="str">
        <f t="shared" si="323"/>
        <v/>
      </c>
      <c r="AP1416" s="12" t="str">
        <f t="shared" si="324"/>
        <v/>
      </c>
      <c r="AQ1416" s="12"/>
      <c r="AS1416" s="12">
        <f t="shared" si="320"/>
        <v>0</v>
      </c>
    </row>
    <row r="1417" spans="1:45" hidden="1" x14ac:dyDescent="0.25">
      <c r="A1417" s="41">
        <f>CASOPOInvCL!T1417</f>
        <v>0</v>
      </c>
      <c r="B1417">
        <f>CASOPOInvCL!Z1417</f>
        <v>0</v>
      </c>
      <c r="G1417" s="5">
        <f>CASOPOInvCL!I1417</f>
        <v>0</v>
      </c>
      <c r="H1417" s="31">
        <f>CASOPOInvCL!U1417</f>
        <v>0</v>
      </c>
      <c r="I1417" s="31">
        <f>CASOPOInvCL!V1417</f>
        <v>0</v>
      </c>
      <c r="J1417" s="5">
        <f>CASOPOInvCL!AB1417</f>
        <v>0</v>
      </c>
      <c r="K1417" s="31">
        <f>CASOPOInvCL!W1417</f>
        <v>0</v>
      </c>
      <c r="L1417" s="31">
        <f>CASOPOInvCL!X1417</f>
        <v>0</v>
      </c>
      <c r="M1417" s="31"/>
      <c r="N1417" s="5">
        <f>CASOPOInvCL!AF1417</f>
        <v>0</v>
      </c>
      <c r="O1417" s="16">
        <f>CASOPOInvCL!AG1417</f>
        <v>0</v>
      </c>
      <c r="P1417" s="16">
        <f>CASOPOInvCL!AH1417</f>
        <v>0</v>
      </c>
      <c r="Q1417" s="16">
        <f>CASOPOInvCL!AI1417</f>
        <v>0</v>
      </c>
      <c r="R1417" s="32">
        <f>CASOPOInvCL!AU1417</f>
        <v>0</v>
      </c>
      <c r="S1417" s="16">
        <f>CASOPOInvCL!AV1417</f>
        <v>0</v>
      </c>
      <c r="T1417" s="16">
        <f>CASOPOInvCL!AW1417</f>
        <v>0</v>
      </c>
      <c r="Y1417" s="29" t="str">
        <f>IFERROR(HLOOKUP(U1424,List!$D$2:$H$6,2,FALSE),"")</f>
        <v/>
      </c>
      <c r="Z1417" s="29" t="str">
        <f>IFERROR(HLOOKUP(V1424,List!$D$2:$H$6,3,FALSE),"")</f>
        <v/>
      </c>
      <c r="AA1417" s="29" t="str">
        <f>IFERROR(HLOOKUP(W1424,List!$D$2:$H$6,4,FALSE),"")</f>
        <v/>
      </c>
      <c r="AB1417" s="29" t="str">
        <f>IFERROR(HLOOKUP(X1424,List!$D$2:$H$6,5,FALSE),"")</f>
        <v/>
      </c>
      <c r="AC1417" s="12" t="str">
        <f t="shared" si="325"/>
        <v/>
      </c>
      <c r="AD1417" s="12" t="str">
        <f t="shared" si="325"/>
        <v/>
      </c>
      <c r="AE1417" s="12" t="str">
        <f t="shared" si="325"/>
        <v/>
      </c>
      <c r="AF1417" s="12" t="str">
        <f t="shared" si="325"/>
        <v/>
      </c>
      <c r="AM1417" s="12" t="str">
        <f t="shared" si="321"/>
        <v/>
      </c>
      <c r="AN1417" s="12" t="str">
        <f t="shared" si="322"/>
        <v/>
      </c>
      <c r="AO1417" s="12" t="str">
        <f t="shared" si="323"/>
        <v/>
      </c>
      <c r="AP1417" s="12" t="str">
        <f t="shared" si="324"/>
        <v/>
      </c>
      <c r="AQ1417" s="12"/>
      <c r="AS1417" s="12">
        <f t="shared" si="320"/>
        <v>0</v>
      </c>
    </row>
    <row r="1418" spans="1:45" hidden="1" x14ac:dyDescent="0.25">
      <c r="A1418" s="41">
        <f>CASOPOInvCL!T1418</f>
        <v>0</v>
      </c>
      <c r="B1418">
        <f>CASOPOInvCL!Z1418</f>
        <v>0</v>
      </c>
      <c r="G1418" s="5">
        <f>CASOPOInvCL!I1418</f>
        <v>0</v>
      </c>
      <c r="H1418" s="31">
        <f>CASOPOInvCL!U1418</f>
        <v>0</v>
      </c>
      <c r="I1418" s="31">
        <f>CASOPOInvCL!V1418</f>
        <v>0</v>
      </c>
      <c r="J1418" s="5">
        <f>CASOPOInvCL!AB1418</f>
        <v>0</v>
      </c>
      <c r="K1418" s="31">
        <f>CASOPOInvCL!W1418</f>
        <v>0</v>
      </c>
      <c r="L1418" s="31">
        <f>CASOPOInvCL!X1418</f>
        <v>0</v>
      </c>
      <c r="M1418" s="31"/>
      <c r="N1418" s="5">
        <f>CASOPOInvCL!AF1418</f>
        <v>0</v>
      </c>
      <c r="O1418" s="16">
        <f>CASOPOInvCL!AG1418</f>
        <v>0</v>
      </c>
      <c r="P1418" s="16">
        <f>CASOPOInvCL!AH1418</f>
        <v>0</v>
      </c>
      <c r="Q1418" s="16">
        <f>CASOPOInvCL!AI1418</f>
        <v>0</v>
      </c>
      <c r="R1418" s="32">
        <f>CASOPOInvCL!AU1418</f>
        <v>0</v>
      </c>
      <c r="S1418" s="16">
        <f>CASOPOInvCL!AV1418</f>
        <v>0</v>
      </c>
      <c r="T1418" s="16">
        <f>CASOPOInvCL!AW1418</f>
        <v>0</v>
      </c>
      <c r="Y1418" s="29" t="str">
        <f>IFERROR(HLOOKUP(U1425,List!$D$2:$H$6,2,FALSE),"")</f>
        <v/>
      </c>
      <c r="Z1418" s="29" t="str">
        <f>IFERROR(HLOOKUP(V1425,List!$D$2:$H$6,3,FALSE),"")</f>
        <v/>
      </c>
      <c r="AA1418" s="29" t="str">
        <f>IFERROR(HLOOKUP(W1425,List!$D$2:$H$6,4,FALSE),"")</f>
        <v/>
      </c>
      <c r="AB1418" s="29" t="str">
        <f>IFERROR(HLOOKUP(X1425,List!$D$2:$H$6,5,FALSE),"")</f>
        <v/>
      </c>
      <c r="AC1418" s="12" t="str">
        <f t="shared" si="325"/>
        <v/>
      </c>
      <c r="AD1418" s="12" t="str">
        <f t="shared" si="325"/>
        <v/>
      </c>
      <c r="AE1418" s="12" t="str">
        <f t="shared" si="325"/>
        <v/>
      </c>
      <c r="AF1418" s="12" t="str">
        <f t="shared" si="325"/>
        <v/>
      </c>
      <c r="AM1418" s="12" t="str">
        <f t="shared" si="321"/>
        <v/>
      </c>
      <c r="AN1418" s="12" t="str">
        <f t="shared" si="322"/>
        <v/>
      </c>
      <c r="AO1418" s="12" t="str">
        <f t="shared" si="323"/>
        <v/>
      </c>
      <c r="AP1418" s="12" t="str">
        <f t="shared" si="324"/>
        <v/>
      </c>
      <c r="AQ1418" s="12"/>
      <c r="AS1418" s="12">
        <f t="shared" ref="AS1418:AS1481" si="326">T1411*1.5%</f>
        <v>0</v>
      </c>
    </row>
    <row r="1419" spans="1:45" hidden="1" x14ac:dyDescent="0.25">
      <c r="A1419" s="41">
        <f>CASOPOInvCL!T1419</f>
        <v>0</v>
      </c>
      <c r="B1419">
        <f>CASOPOInvCL!Z1419</f>
        <v>0</v>
      </c>
      <c r="G1419" s="5">
        <f>CASOPOInvCL!I1419</f>
        <v>0</v>
      </c>
      <c r="H1419" s="31">
        <f>CASOPOInvCL!U1419</f>
        <v>0</v>
      </c>
      <c r="I1419" s="31">
        <f>CASOPOInvCL!V1419</f>
        <v>0</v>
      </c>
      <c r="J1419" s="5">
        <f>CASOPOInvCL!AB1419</f>
        <v>0</v>
      </c>
      <c r="K1419" s="31">
        <f>CASOPOInvCL!W1419</f>
        <v>0</v>
      </c>
      <c r="L1419" s="31">
        <f>CASOPOInvCL!X1419</f>
        <v>0</v>
      </c>
      <c r="M1419" s="31"/>
      <c r="N1419" s="5">
        <f>CASOPOInvCL!AF1419</f>
        <v>0</v>
      </c>
      <c r="O1419" s="16">
        <f>CASOPOInvCL!AG1419</f>
        <v>0</v>
      </c>
      <c r="P1419" s="16">
        <f>CASOPOInvCL!AH1419</f>
        <v>0</v>
      </c>
      <c r="Q1419" s="16">
        <f>CASOPOInvCL!AI1419</f>
        <v>0</v>
      </c>
      <c r="R1419" s="32">
        <f>CASOPOInvCL!AU1419</f>
        <v>0</v>
      </c>
      <c r="S1419" s="16">
        <f>CASOPOInvCL!AV1419</f>
        <v>0</v>
      </c>
      <c r="T1419" s="16">
        <f>CASOPOInvCL!AW1419</f>
        <v>0</v>
      </c>
      <c r="Y1419" s="29" t="str">
        <f>IFERROR(HLOOKUP(U1426,List!$D$2:$H$6,2,FALSE),"")</f>
        <v/>
      </c>
      <c r="Z1419" s="29" t="str">
        <f>IFERROR(HLOOKUP(V1426,List!$D$2:$H$6,3,FALSE),"")</f>
        <v/>
      </c>
      <c r="AA1419" s="29" t="str">
        <f>IFERROR(HLOOKUP(W1426,List!$D$2:$H$6,4,FALSE),"")</f>
        <v/>
      </c>
      <c r="AB1419" s="29" t="str">
        <f>IFERROR(HLOOKUP(X1426,List!$D$2:$H$6,5,FALSE),"")</f>
        <v/>
      </c>
      <c r="AC1419" s="12" t="str">
        <f t="shared" si="325"/>
        <v/>
      </c>
      <c r="AD1419" s="12" t="str">
        <f t="shared" si="325"/>
        <v/>
      </c>
      <c r="AE1419" s="12" t="str">
        <f t="shared" si="325"/>
        <v/>
      </c>
      <c r="AF1419" s="12" t="str">
        <f t="shared" si="325"/>
        <v/>
      </c>
      <c r="AM1419" s="12" t="str">
        <f t="shared" si="321"/>
        <v/>
      </c>
      <c r="AN1419" s="12" t="str">
        <f t="shared" si="322"/>
        <v/>
      </c>
      <c r="AO1419" s="12" t="str">
        <f t="shared" si="323"/>
        <v/>
      </c>
      <c r="AP1419" s="12" t="str">
        <f t="shared" si="324"/>
        <v/>
      </c>
      <c r="AQ1419" s="12"/>
      <c r="AS1419" s="12">
        <f t="shared" si="326"/>
        <v>0</v>
      </c>
    </row>
    <row r="1420" spans="1:45" hidden="1" x14ac:dyDescent="0.25">
      <c r="A1420" s="41">
        <f>CASOPOInvCL!T1420</f>
        <v>0</v>
      </c>
      <c r="B1420">
        <f>CASOPOInvCL!Z1420</f>
        <v>0</v>
      </c>
      <c r="G1420" s="5">
        <f>CASOPOInvCL!I1420</f>
        <v>0</v>
      </c>
      <c r="H1420" s="31">
        <f>CASOPOInvCL!U1420</f>
        <v>0</v>
      </c>
      <c r="I1420" s="31">
        <f>CASOPOInvCL!V1420</f>
        <v>0</v>
      </c>
      <c r="J1420" s="5">
        <f>CASOPOInvCL!AB1420</f>
        <v>0</v>
      </c>
      <c r="K1420" s="31">
        <f>CASOPOInvCL!W1420</f>
        <v>0</v>
      </c>
      <c r="L1420" s="31">
        <f>CASOPOInvCL!X1420</f>
        <v>0</v>
      </c>
      <c r="M1420" s="31"/>
      <c r="N1420" s="5">
        <f>CASOPOInvCL!AF1420</f>
        <v>0</v>
      </c>
      <c r="O1420" s="16">
        <f>CASOPOInvCL!AG1420</f>
        <v>0</v>
      </c>
      <c r="P1420" s="16">
        <f>CASOPOInvCL!AH1420</f>
        <v>0</v>
      </c>
      <c r="Q1420" s="16">
        <f>CASOPOInvCL!AI1420</f>
        <v>0</v>
      </c>
      <c r="R1420" s="32">
        <f>CASOPOInvCL!AU1420</f>
        <v>0</v>
      </c>
      <c r="S1420" s="16">
        <f>CASOPOInvCL!AV1420</f>
        <v>0</v>
      </c>
      <c r="T1420" s="16">
        <f>CASOPOInvCL!AW1420</f>
        <v>0</v>
      </c>
      <c r="Y1420" s="29" t="str">
        <f>IFERROR(HLOOKUP(U1427,List!$D$2:$H$6,2,FALSE),"")</f>
        <v/>
      </c>
      <c r="Z1420" s="29" t="str">
        <f>IFERROR(HLOOKUP(V1427,List!$D$2:$H$6,3,FALSE),"")</f>
        <v/>
      </c>
      <c r="AA1420" s="29" t="str">
        <f>IFERROR(HLOOKUP(W1427,List!$D$2:$H$6,4,FALSE),"")</f>
        <v/>
      </c>
      <c r="AB1420" s="29" t="str">
        <f>IFERROR(HLOOKUP(X1427,List!$D$2:$H$6,5,FALSE),"")</f>
        <v/>
      </c>
      <c r="AC1420" s="12" t="str">
        <f t="shared" si="325"/>
        <v/>
      </c>
      <c r="AD1420" s="12" t="str">
        <f t="shared" si="325"/>
        <v/>
      </c>
      <c r="AE1420" s="12" t="str">
        <f t="shared" si="325"/>
        <v/>
      </c>
      <c r="AF1420" s="12" t="str">
        <f t="shared" si="325"/>
        <v/>
      </c>
      <c r="AM1420" s="12" t="str">
        <f t="shared" si="321"/>
        <v/>
      </c>
      <c r="AN1420" s="12" t="str">
        <f t="shared" si="322"/>
        <v/>
      </c>
      <c r="AO1420" s="12" t="str">
        <f t="shared" si="323"/>
        <v/>
      </c>
      <c r="AP1420" s="12" t="str">
        <f t="shared" si="324"/>
        <v/>
      </c>
      <c r="AQ1420" s="12"/>
      <c r="AS1420" s="12">
        <f t="shared" si="326"/>
        <v>0</v>
      </c>
    </row>
    <row r="1421" spans="1:45" hidden="1" x14ac:dyDescent="0.25">
      <c r="A1421" s="41">
        <f>CASOPOInvCL!T1421</f>
        <v>0</v>
      </c>
      <c r="B1421">
        <f>CASOPOInvCL!Z1421</f>
        <v>0</v>
      </c>
      <c r="G1421" s="5">
        <f>CASOPOInvCL!I1421</f>
        <v>0</v>
      </c>
      <c r="H1421" s="31">
        <f>CASOPOInvCL!U1421</f>
        <v>0</v>
      </c>
      <c r="I1421" s="31">
        <f>CASOPOInvCL!V1421</f>
        <v>0</v>
      </c>
      <c r="J1421" s="5">
        <f>CASOPOInvCL!AB1421</f>
        <v>0</v>
      </c>
      <c r="K1421" s="31">
        <f>CASOPOInvCL!W1421</f>
        <v>0</v>
      </c>
      <c r="L1421" s="31">
        <f>CASOPOInvCL!X1421</f>
        <v>0</v>
      </c>
      <c r="M1421" s="31"/>
      <c r="N1421" s="5">
        <f>CASOPOInvCL!AF1421</f>
        <v>0</v>
      </c>
      <c r="O1421" s="16">
        <f>CASOPOInvCL!AG1421</f>
        <v>0</v>
      </c>
      <c r="P1421" s="16">
        <f>CASOPOInvCL!AH1421</f>
        <v>0</v>
      </c>
      <c r="Q1421" s="16">
        <f>CASOPOInvCL!AI1421</f>
        <v>0</v>
      </c>
      <c r="R1421" s="32">
        <f>CASOPOInvCL!AU1421</f>
        <v>0</v>
      </c>
      <c r="S1421" s="16">
        <f>CASOPOInvCL!AV1421</f>
        <v>0</v>
      </c>
      <c r="T1421" s="16">
        <f>CASOPOInvCL!AW1421</f>
        <v>0</v>
      </c>
      <c r="Y1421" s="29" t="str">
        <f>IFERROR(HLOOKUP(U1428,List!$D$2:$H$6,2,FALSE),"")</f>
        <v/>
      </c>
      <c r="Z1421" s="29" t="str">
        <f>IFERROR(HLOOKUP(V1428,List!$D$2:$H$6,3,FALSE),"")</f>
        <v/>
      </c>
      <c r="AA1421" s="29" t="str">
        <f>IFERROR(HLOOKUP(W1428,List!$D$2:$H$6,4,FALSE),"")</f>
        <v/>
      </c>
      <c r="AB1421" s="29" t="str">
        <f>IFERROR(HLOOKUP(X1428,List!$D$2:$H$6,5,FALSE),"")</f>
        <v/>
      </c>
      <c r="AC1421" s="12" t="str">
        <f t="shared" si="325"/>
        <v/>
      </c>
      <c r="AD1421" s="12" t="str">
        <f t="shared" si="325"/>
        <v/>
      </c>
      <c r="AE1421" s="12" t="str">
        <f t="shared" si="325"/>
        <v/>
      </c>
      <c r="AF1421" s="12" t="str">
        <f t="shared" si="325"/>
        <v/>
      </c>
      <c r="AM1421" s="12" t="str">
        <f t="shared" si="321"/>
        <v/>
      </c>
      <c r="AN1421" s="12" t="str">
        <f t="shared" si="322"/>
        <v/>
      </c>
      <c r="AO1421" s="12" t="str">
        <f t="shared" si="323"/>
        <v/>
      </c>
      <c r="AP1421" s="12" t="str">
        <f t="shared" si="324"/>
        <v/>
      </c>
      <c r="AQ1421" s="12"/>
      <c r="AS1421" s="12">
        <f t="shared" si="326"/>
        <v>0</v>
      </c>
    </row>
    <row r="1422" spans="1:45" hidden="1" x14ac:dyDescent="0.25">
      <c r="A1422" s="41">
        <f>CASOPOInvCL!T1422</f>
        <v>0</v>
      </c>
      <c r="B1422">
        <f>CASOPOInvCL!Z1422</f>
        <v>0</v>
      </c>
      <c r="G1422" s="5">
        <f>CASOPOInvCL!I1422</f>
        <v>0</v>
      </c>
      <c r="H1422" s="31">
        <f>CASOPOInvCL!U1422</f>
        <v>0</v>
      </c>
      <c r="I1422" s="31">
        <f>CASOPOInvCL!V1422</f>
        <v>0</v>
      </c>
      <c r="J1422" s="5">
        <f>CASOPOInvCL!AB1422</f>
        <v>0</v>
      </c>
      <c r="K1422" s="31">
        <f>CASOPOInvCL!W1422</f>
        <v>0</v>
      </c>
      <c r="L1422" s="31">
        <f>CASOPOInvCL!X1422</f>
        <v>0</v>
      </c>
      <c r="M1422" s="31"/>
      <c r="N1422" s="5">
        <f>CASOPOInvCL!AF1422</f>
        <v>0</v>
      </c>
      <c r="O1422" s="16">
        <f>CASOPOInvCL!AG1422</f>
        <v>0</v>
      </c>
      <c r="P1422" s="16">
        <f>CASOPOInvCL!AH1422</f>
        <v>0</v>
      </c>
      <c r="Q1422" s="16">
        <f>CASOPOInvCL!AI1422</f>
        <v>0</v>
      </c>
      <c r="R1422" s="32">
        <f>CASOPOInvCL!AU1422</f>
        <v>0</v>
      </c>
      <c r="S1422" s="16">
        <f>CASOPOInvCL!AV1422</f>
        <v>0</v>
      </c>
      <c r="T1422" s="16">
        <f>CASOPOInvCL!AW1422</f>
        <v>0</v>
      </c>
      <c r="Y1422" s="29" t="str">
        <f>IFERROR(HLOOKUP(U1429,List!$D$2:$H$6,2,FALSE),"")</f>
        <v/>
      </c>
      <c r="Z1422" s="29" t="str">
        <f>IFERROR(HLOOKUP(V1429,List!$D$2:$H$6,3,FALSE),"")</f>
        <v/>
      </c>
      <c r="AA1422" s="29" t="str">
        <f>IFERROR(HLOOKUP(W1429,List!$D$2:$H$6,4,FALSE),"")</f>
        <v/>
      </c>
      <c r="AB1422" s="29" t="str">
        <f>IFERROR(HLOOKUP(X1429,List!$D$2:$H$6,5,FALSE),"")</f>
        <v/>
      </c>
      <c r="AC1422" s="12" t="str">
        <f t="shared" si="325"/>
        <v/>
      </c>
      <c r="AD1422" s="12" t="str">
        <f t="shared" si="325"/>
        <v/>
      </c>
      <c r="AE1422" s="12" t="str">
        <f t="shared" si="325"/>
        <v/>
      </c>
      <c r="AF1422" s="12" t="str">
        <f t="shared" si="325"/>
        <v/>
      </c>
      <c r="AM1422" s="12" t="str">
        <f t="shared" si="321"/>
        <v/>
      </c>
      <c r="AN1422" s="12" t="str">
        <f t="shared" si="322"/>
        <v/>
      </c>
      <c r="AO1422" s="12" t="str">
        <f t="shared" si="323"/>
        <v/>
      </c>
      <c r="AP1422" s="12" t="str">
        <f t="shared" si="324"/>
        <v/>
      </c>
      <c r="AQ1422" s="12"/>
      <c r="AS1422" s="12">
        <f t="shared" si="326"/>
        <v>0</v>
      </c>
    </row>
    <row r="1423" spans="1:45" hidden="1" x14ac:dyDescent="0.25">
      <c r="A1423" s="41">
        <f>CASOPOInvCL!T1423</f>
        <v>0</v>
      </c>
      <c r="B1423">
        <f>CASOPOInvCL!Z1423</f>
        <v>0</v>
      </c>
      <c r="G1423" s="5">
        <f>CASOPOInvCL!I1423</f>
        <v>0</v>
      </c>
      <c r="H1423" s="31">
        <f>CASOPOInvCL!U1423</f>
        <v>0</v>
      </c>
      <c r="I1423" s="31">
        <f>CASOPOInvCL!V1423</f>
        <v>0</v>
      </c>
      <c r="J1423" s="5">
        <f>CASOPOInvCL!AB1423</f>
        <v>0</v>
      </c>
      <c r="K1423" s="31">
        <f>CASOPOInvCL!W1423</f>
        <v>0</v>
      </c>
      <c r="L1423" s="31">
        <f>CASOPOInvCL!X1423</f>
        <v>0</v>
      </c>
      <c r="M1423" s="31"/>
      <c r="N1423" s="5">
        <f>CASOPOInvCL!AF1423</f>
        <v>0</v>
      </c>
      <c r="O1423" s="16">
        <f>CASOPOInvCL!AG1423</f>
        <v>0</v>
      </c>
      <c r="P1423" s="16">
        <f>CASOPOInvCL!AH1423</f>
        <v>0</v>
      </c>
      <c r="Q1423" s="16">
        <f>CASOPOInvCL!AI1423</f>
        <v>0</v>
      </c>
      <c r="R1423" s="32">
        <f>CASOPOInvCL!AU1423</f>
        <v>0</v>
      </c>
      <c r="S1423" s="16">
        <f>CASOPOInvCL!AV1423</f>
        <v>0</v>
      </c>
      <c r="T1423" s="16">
        <f>CASOPOInvCL!AW1423</f>
        <v>0</v>
      </c>
      <c r="Y1423" s="29" t="str">
        <f>IFERROR(HLOOKUP(U1430,List!$D$2:$H$6,2,FALSE),"")</f>
        <v/>
      </c>
      <c r="Z1423" s="29" t="str">
        <f>IFERROR(HLOOKUP(V1430,List!$D$2:$H$6,3,FALSE),"")</f>
        <v/>
      </c>
      <c r="AA1423" s="29" t="str">
        <f>IFERROR(HLOOKUP(W1430,List!$D$2:$H$6,4,FALSE),"")</f>
        <v/>
      </c>
      <c r="AB1423" s="29" t="str">
        <f>IFERROR(HLOOKUP(X1430,List!$D$2:$H$6,5,FALSE),"")</f>
        <v/>
      </c>
      <c r="AC1423" s="12" t="str">
        <f t="shared" si="325"/>
        <v/>
      </c>
      <c r="AD1423" s="12" t="str">
        <f t="shared" si="325"/>
        <v/>
      </c>
      <c r="AE1423" s="12" t="str">
        <f t="shared" si="325"/>
        <v/>
      </c>
      <c r="AF1423" s="12" t="str">
        <f t="shared" si="325"/>
        <v/>
      </c>
      <c r="AM1423" s="12" t="str">
        <f t="shared" si="321"/>
        <v/>
      </c>
      <c r="AN1423" s="12" t="str">
        <f t="shared" si="322"/>
        <v/>
      </c>
      <c r="AO1423" s="12" t="str">
        <f t="shared" si="323"/>
        <v/>
      </c>
      <c r="AP1423" s="12" t="str">
        <f t="shared" si="324"/>
        <v/>
      </c>
      <c r="AQ1423" s="12"/>
      <c r="AS1423" s="12">
        <f t="shared" si="326"/>
        <v>0</v>
      </c>
    </row>
    <row r="1424" spans="1:45" hidden="1" x14ac:dyDescent="0.25">
      <c r="A1424" s="41">
        <f>CASOPOInvCL!T1424</f>
        <v>0</v>
      </c>
      <c r="B1424">
        <f>CASOPOInvCL!Z1424</f>
        <v>0</v>
      </c>
      <c r="G1424" s="5">
        <f>CASOPOInvCL!I1424</f>
        <v>0</v>
      </c>
      <c r="H1424" s="31">
        <f>CASOPOInvCL!U1424</f>
        <v>0</v>
      </c>
      <c r="I1424" s="31">
        <f>CASOPOInvCL!V1424</f>
        <v>0</v>
      </c>
      <c r="J1424" s="5">
        <f>CASOPOInvCL!AB1424</f>
        <v>0</v>
      </c>
      <c r="K1424" s="31">
        <f>CASOPOInvCL!W1424</f>
        <v>0</v>
      </c>
      <c r="L1424" s="31">
        <f>CASOPOInvCL!X1424</f>
        <v>0</v>
      </c>
      <c r="M1424" s="31"/>
      <c r="N1424" s="5">
        <f>CASOPOInvCL!AF1424</f>
        <v>0</v>
      </c>
      <c r="O1424" s="16">
        <f>CASOPOInvCL!AG1424</f>
        <v>0</v>
      </c>
      <c r="P1424" s="16">
        <f>CASOPOInvCL!AH1424</f>
        <v>0</v>
      </c>
      <c r="Q1424" s="16">
        <f>CASOPOInvCL!AI1424</f>
        <v>0</v>
      </c>
      <c r="R1424" s="32">
        <f>CASOPOInvCL!AU1424</f>
        <v>0</v>
      </c>
      <c r="S1424" s="16">
        <f>CASOPOInvCL!AV1424</f>
        <v>0</v>
      </c>
      <c r="T1424" s="16">
        <f>CASOPOInvCL!AW1424</f>
        <v>0</v>
      </c>
      <c r="Y1424" s="29" t="str">
        <f>IFERROR(HLOOKUP(U1431,List!$D$2:$H$6,2,FALSE),"")</f>
        <v/>
      </c>
      <c r="Z1424" s="29" t="str">
        <f>IFERROR(HLOOKUP(V1431,List!$D$2:$H$6,3,FALSE),"")</f>
        <v/>
      </c>
      <c r="AA1424" s="29" t="str">
        <f>IFERROR(HLOOKUP(W1431,List!$D$2:$H$6,4,FALSE),"")</f>
        <v/>
      </c>
      <c r="AB1424" s="29" t="str">
        <f>IFERROR(HLOOKUP(X1431,List!$D$2:$H$6,5,FALSE),"")</f>
        <v/>
      </c>
      <c r="AC1424" s="12" t="str">
        <f t="shared" si="325"/>
        <v/>
      </c>
      <c r="AD1424" s="12" t="str">
        <f t="shared" si="325"/>
        <v/>
      </c>
      <c r="AE1424" s="12" t="str">
        <f t="shared" si="325"/>
        <v/>
      </c>
      <c r="AF1424" s="12" t="str">
        <f t="shared" si="325"/>
        <v/>
      </c>
      <c r="AM1424" s="12" t="str">
        <f t="shared" si="321"/>
        <v/>
      </c>
      <c r="AN1424" s="12" t="str">
        <f t="shared" si="322"/>
        <v/>
      </c>
      <c r="AO1424" s="12" t="str">
        <f t="shared" si="323"/>
        <v/>
      </c>
      <c r="AP1424" s="12" t="str">
        <f t="shared" si="324"/>
        <v/>
      </c>
      <c r="AQ1424" s="12"/>
      <c r="AS1424" s="12">
        <f t="shared" si="326"/>
        <v>0</v>
      </c>
    </row>
    <row r="1425" spans="1:45" hidden="1" x14ac:dyDescent="0.25">
      <c r="A1425" s="41">
        <f>CASOPOInvCL!T1425</f>
        <v>0</v>
      </c>
      <c r="B1425">
        <f>CASOPOInvCL!Z1425</f>
        <v>0</v>
      </c>
      <c r="G1425" s="5">
        <f>CASOPOInvCL!I1425</f>
        <v>0</v>
      </c>
      <c r="H1425" s="31">
        <f>CASOPOInvCL!U1425</f>
        <v>0</v>
      </c>
      <c r="I1425" s="31">
        <f>CASOPOInvCL!V1425</f>
        <v>0</v>
      </c>
      <c r="J1425" s="5">
        <f>CASOPOInvCL!AB1425</f>
        <v>0</v>
      </c>
      <c r="K1425" s="31">
        <f>CASOPOInvCL!W1425</f>
        <v>0</v>
      </c>
      <c r="L1425" s="31">
        <f>CASOPOInvCL!X1425</f>
        <v>0</v>
      </c>
      <c r="M1425" s="31"/>
      <c r="N1425" s="5">
        <f>CASOPOInvCL!AF1425</f>
        <v>0</v>
      </c>
      <c r="O1425" s="16">
        <f>CASOPOInvCL!AG1425</f>
        <v>0</v>
      </c>
      <c r="P1425" s="16">
        <f>CASOPOInvCL!AH1425</f>
        <v>0</v>
      </c>
      <c r="Q1425" s="16">
        <f>CASOPOInvCL!AI1425</f>
        <v>0</v>
      </c>
      <c r="R1425" s="32">
        <f>CASOPOInvCL!AU1425</f>
        <v>0</v>
      </c>
      <c r="S1425" s="16">
        <f>CASOPOInvCL!AV1425</f>
        <v>0</v>
      </c>
      <c r="T1425" s="16">
        <f>CASOPOInvCL!AW1425</f>
        <v>0</v>
      </c>
      <c r="Y1425" s="29" t="str">
        <f>IFERROR(HLOOKUP(U1432,List!$D$2:$H$6,2,FALSE),"")</f>
        <v/>
      </c>
      <c r="Z1425" s="29" t="str">
        <f>IFERROR(HLOOKUP(V1432,List!$D$2:$H$6,3,FALSE),"")</f>
        <v/>
      </c>
      <c r="AA1425" s="29" t="str">
        <f>IFERROR(HLOOKUP(W1432,List!$D$2:$H$6,4,FALSE),"")</f>
        <v/>
      </c>
      <c r="AB1425" s="29" t="str">
        <f>IFERROR(HLOOKUP(X1432,List!$D$2:$H$6,5,FALSE),"")</f>
        <v/>
      </c>
      <c r="AC1425" s="12" t="str">
        <f t="shared" si="325"/>
        <v/>
      </c>
      <c r="AD1425" s="12" t="str">
        <f t="shared" si="325"/>
        <v/>
      </c>
      <c r="AE1425" s="12" t="str">
        <f t="shared" si="325"/>
        <v/>
      </c>
      <c r="AF1425" s="12" t="str">
        <f t="shared" si="325"/>
        <v/>
      </c>
      <c r="AM1425" s="12" t="str">
        <f t="shared" si="321"/>
        <v/>
      </c>
      <c r="AN1425" s="12" t="str">
        <f t="shared" si="322"/>
        <v/>
      </c>
      <c r="AO1425" s="12" t="str">
        <f t="shared" si="323"/>
        <v/>
      </c>
      <c r="AP1425" s="12" t="str">
        <f t="shared" si="324"/>
        <v/>
      </c>
      <c r="AQ1425" s="12"/>
      <c r="AS1425" s="12">
        <f t="shared" si="326"/>
        <v>0</v>
      </c>
    </row>
    <row r="1426" spans="1:45" hidden="1" x14ac:dyDescent="0.25">
      <c r="A1426" s="41">
        <f>CASOPOInvCL!T1426</f>
        <v>0</v>
      </c>
      <c r="B1426">
        <f>CASOPOInvCL!Z1426</f>
        <v>0</v>
      </c>
      <c r="G1426" s="5">
        <f>CASOPOInvCL!I1426</f>
        <v>0</v>
      </c>
      <c r="H1426" s="31">
        <f>CASOPOInvCL!U1426</f>
        <v>0</v>
      </c>
      <c r="I1426" s="31">
        <f>CASOPOInvCL!V1426</f>
        <v>0</v>
      </c>
      <c r="J1426" s="5">
        <f>CASOPOInvCL!AB1426</f>
        <v>0</v>
      </c>
      <c r="K1426" s="31">
        <f>CASOPOInvCL!W1426</f>
        <v>0</v>
      </c>
      <c r="L1426" s="31">
        <f>CASOPOInvCL!X1426</f>
        <v>0</v>
      </c>
      <c r="M1426" s="31"/>
      <c r="N1426" s="5">
        <f>CASOPOInvCL!AF1426</f>
        <v>0</v>
      </c>
      <c r="O1426" s="16">
        <f>CASOPOInvCL!AG1426</f>
        <v>0</v>
      </c>
      <c r="P1426" s="16">
        <f>CASOPOInvCL!AH1426</f>
        <v>0</v>
      </c>
      <c r="Q1426" s="16">
        <f>CASOPOInvCL!AI1426</f>
        <v>0</v>
      </c>
      <c r="R1426" s="32">
        <f>CASOPOInvCL!AU1426</f>
        <v>0</v>
      </c>
      <c r="S1426" s="16">
        <f>CASOPOInvCL!AV1426</f>
        <v>0</v>
      </c>
      <c r="T1426" s="16">
        <f>CASOPOInvCL!AW1426</f>
        <v>0</v>
      </c>
      <c r="Y1426" s="29" t="str">
        <f>IFERROR(HLOOKUP(U1433,List!$D$2:$H$6,2,FALSE),"")</f>
        <v/>
      </c>
      <c r="Z1426" s="29" t="str">
        <f>IFERROR(HLOOKUP(V1433,List!$D$2:$H$6,3,FALSE),"")</f>
        <v/>
      </c>
      <c r="AA1426" s="29" t="str">
        <f>IFERROR(HLOOKUP(W1433,List!$D$2:$H$6,4,FALSE),"")</f>
        <v/>
      </c>
      <c r="AB1426" s="29" t="str">
        <f>IFERROR(HLOOKUP(X1433,List!$D$2:$H$6,5,FALSE),"")</f>
        <v/>
      </c>
      <c r="AC1426" s="12" t="str">
        <f t="shared" si="325"/>
        <v/>
      </c>
      <c r="AD1426" s="12" t="str">
        <f t="shared" si="325"/>
        <v/>
      </c>
      <c r="AE1426" s="12" t="str">
        <f t="shared" si="325"/>
        <v/>
      </c>
      <c r="AF1426" s="12" t="str">
        <f t="shared" si="325"/>
        <v/>
      </c>
      <c r="AM1426" s="12" t="str">
        <f t="shared" si="321"/>
        <v/>
      </c>
      <c r="AN1426" s="12" t="str">
        <f t="shared" si="322"/>
        <v/>
      </c>
      <c r="AO1426" s="12" t="str">
        <f t="shared" si="323"/>
        <v/>
      </c>
      <c r="AP1426" s="12" t="str">
        <f t="shared" si="324"/>
        <v/>
      </c>
      <c r="AQ1426" s="12"/>
      <c r="AS1426" s="12">
        <f t="shared" si="326"/>
        <v>0</v>
      </c>
    </row>
    <row r="1427" spans="1:45" hidden="1" x14ac:dyDescent="0.25">
      <c r="A1427" s="41">
        <f>CASOPOInvCL!T1427</f>
        <v>0</v>
      </c>
      <c r="B1427">
        <f>CASOPOInvCL!Z1427</f>
        <v>0</v>
      </c>
      <c r="G1427" s="5">
        <f>CASOPOInvCL!I1427</f>
        <v>0</v>
      </c>
      <c r="H1427" s="31">
        <f>CASOPOInvCL!U1427</f>
        <v>0</v>
      </c>
      <c r="I1427" s="31">
        <f>CASOPOInvCL!V1427</f>
        <v>0</v>
      </c>
      <c r="J1427" s="5">
        <f>CASOPOInvCL!AB1427</f>
        <v>0</v>
      </c>
      <c r="K1427" s="31">
        <f>CASOPOInvCL!W1427</f>
        <v>0</v>
      </c>
      <c r="L1427" s="31">
        <f>CASOPOInvCL!X1427</f>
        <v>0</v>
      </c>
      <c r="M1427" s="31"/>
      <c r="N1427" s="5">
        <f>CASOPOInvCL!AF1427</f>
        <v>0</v>
      </c>
      <c r="O1427" s="16">
        <f>CASOPOInvCL!AG1427</f>
        <v>0</v>
      </c>
      <c r="P1427" s="16">
        <f>CASOPOInvCL!AH1427</f>
        <v>0</v>
      </c>
      <c r="Q1427" s="16">
        <f>CASOPOInvCL!AI1427</f>
        <v>0</v>
      </c>
      <c r="R1427" s="32">
        <f>CASOPOInvCL!AU1427</f>
        <v>0</v>
      </c>
      <c r="S1427" s="16">
        <f>CASOPOInvCL!AV1427</f>
        <v>0</v>
      </c>
      <c r="T1427" s="16">
        <f>CASOPOInvCL!AW1427</f>
        <v>0</v>
      </c>
      <c r="Y1427" s="29" t="str">
        <f>IFERROR(HLOOKUP(U1434,List!$D$2:$H$6,2,FALSE),"")</f>
        <v/>
      </c>
      <c r="Z1427" s="29" t="str">
        <f>IFERROR(HLOOKUP(V1434,List!$D$2:$H$6,3,FALSE),"")</f>
        <v/>
      </c>
      <c r="AA1427" s="29" t="str">
        <f>IFERROR(HLOOKUP(W1434,List!$D$2:$H$6,4,FALSE),"")</f>
        <v/>
      </c>
      <c r="AB1427" s="29" t="str">
        <f>IFERROR(HLOOKUP(X1434,List!$D$2:$H$6,5,FALSE),"")</f>
        <v/>
      </c>
      <c r="AC1427" s="12" t="str">
        <f t="shared" si="325"/>
        <v/>
      </c>
      <c r="AD1427" s="12" t="str">
        <f t="shared" si="325"/>
        <v/>
      </c>
      <c r="AE1427" s="12" t="str">
        <f t="shared" si="325"/>
        <v/>
      </c>
      <c r="AF1427" s="12" t="str">
        <f t="shared" si="325"/>
        <v/>
      </c>
      <c r="AM1427" s="12" t="str">
        <f t="shared" si="321"/>
        <v/>
      </c>
      <c r="AN1427" s="12" t="str">
        <f t="shared" si="322"/>
        <v/>
      </c>
      <c r="AO1427" s="12" t="str">
        <f t="shared" si="323"/>
        <v/>
      </c>
      <c r="AP1427" s="12" t="str">
        <f t="shared" si="324"/>
        <v/>
      </c>
      <c r="AQ1427" s="12"/>
      <c r="AS1427" s="12">
        <f t="shared" si="326"/>
        <v>0</v>
      </c>
    </row>
    <row r="1428" spans="1:45" hidden="1" x14ac:dyDescent="0.25">
      <c r="A1428" s="41">
        <f>CASOPOInvCL!T1428</f>
        <v>0</v>
      </c>
      <c r="B1428">
        <f>CASOPOInvCL!Z1428</f>
        <v>0</v>
      </c>
      <c r="G1428" s="5">
        <f>CASOPOInvCL!I1428</f>
        <v>0</v>
      </c>
      <c r="H1428" s="31">
        <f>CASOPOInvCL!U1428</f>
        <v>0</v>
      </c>
      <c r="I1428" s="31">
        <f>CASOPOInvCL!V1428</f>
        <v>0</v>
      </c>
      <c r="J1428" s="5">
        <f>CASOPOInvCL!AB1428</f>
        <v>0</v>
      </c>
      <c r="K1428" s="31">
        <f>CASOPOInvCL!W1428</f>
        <v>0</v>
      </c>
      <c r="L1428" s="31">
        <f>CASOPOInvCL!X1428</f>
        <v>0</v>
      </c>
      <c r="M1428" s="31"/>
      <c r="N1428" s="5">
        <f>CASOPOInvCL!AF1428</f>
        <v>0</v>
      </c>
      <c r="O1428" s="16">
        <f>CASOPOInvCL!AG1428</f>
        <v>0</v>
      </c>
      <c r="P1428" s="16">
        <f>CASOPOInvCL!AH1428</f>
        <v>0</v>
      </c>
      <c r="Q1428" s="16">
        <f>CASOPOInvCL!AI1428</f>
        <v>0</v>
      </c>
      <c r="R1428" s="32">
        <f>CASOPOInvCL!AU1428</f>
        <v>0</v>
      </c>
      <c r="S1428" s="16">
        <f>CASOPOInvCL!AV1428</f>
        <v>0</v>
      </c>
      <c r="T1428" s="16">
        <f>CASOPOInvCL!AW1428</f>
        <v>0</v>
      </c>
      <c r="Y1428" s="29" t="str">
        <f>IFERROR(HLOOKUP(U1435,List!$D$2:$H$6,2,FALSE),"")</f>
        <v/>
      </c>
      <c r="Z1428" s="29" t="str">
        <f>IFERROR(HLOOKUP(V1435,List!$D$2:$H$6,3,FALSE),"")</f>
        <v/>
      </c>
      <c r="AA1428" s="29" t="str">
        <f>IFERROR(HLOOKUP(W1435,List!$D$2:$H$6,4,FALSE),"")</f>
        <v/>
      </c>
      <c r="AB1428" s="29" t="str">
        <f>IFERROR(HLOOKUP(X1435,List!$D$2:$H$6,5,FALSE),"")</f>
        <v/>
      </c>
      <c r="AC1428" s="12" t="str">
        <f t="shared" si="325"/>
        <v/>
      </c>
      <c r="AD1428" s="12" t="str">
        <f t="shared" si="325"/>
        <v/>
      </c>
      <c r="AE1428" s="12" t="str">
        <f t="shared" si="325"/>
        <v/>
      </c>
      <c r="AF1428" s="12" t="str">
        <f t="shared" si="325"/>
        <v/>
      </c>
      <c r="AM1428" s="12" t="str">
        <f t="shared" si="321"/>
        <v/>
      </c>
      <c r="AN1428" s="12" t="str">
        <f t="shared" si="322"/>
        <v/>
      </c>
      <c r="AO1428" s="12" t="str">
        <f t="shared" si="323"/>
        <v/>
      </c>
      <c r="AP1428" s="12" t="str">
        <f t="shared" si="324"/>
        <v/>
      </c>
      <c r="AQ1428" s="12"/>
      <c r="AS1428" s="12">
        <f t="shared" si="326"/>
        <v>0</v>
      </c>
    </row>
    <row r="1429" spans="1:45" hidden="1" x14ac:dyDescent="0.25">
      <c r="A1429" s="41">
        <f>CASOPOInvCL!T1429</f>
        <v>0</v>
      </c>
      <c r="B1429">
        <f>CASOPOInvCL!Z1429</f>
        <v>0</v>
      </c>
      <c r="G1429" s="5">
        <f>CASOPOInvCL!I1429</f>
        <v>0</v>
      </c>
      <c r="H1429" s="31">
        <f>CASOPOInvCL!U1429</f>
        <v>0</v>
      </c>
      <c r="I1429" s="31">
        <f>CASOPOInvCL!V1429</f>
        <v>0</v>
      </c>
      <c r="J1429" s="5">
        <f>CASOPOInvCL!AB1429</f>
        <v>0</v>
      </c>
      <c r="K1429" s="31">
        <f>CASOPOInvCL!W1429</f>
        <v>0</v>
      </c>
      <c r="L1429" s="31">
        <f>CASOPOInvCL!X1429</f>
        <v>0</v>
      </c>
      <c r="M1429" s="31"/>
      <c r="N1429" s="5">
        <f>CASOPOInvCL!AF1429</f>
        <v>0</v>
      </c>
      <c r="O1429" s="16">
        <f>CASOPOInvCL!AG1429</f>
        <v>0</v>
      </c>
      <c r="P1429" s="16">
        <f>CASOPOInvCL!AH1429</f>
        <v>0</v>
      </c>
      <c r="Q1429" s="16">
        <f>CASOPOInvCL!AI1429</f>
        <v>0</v>
      </c>
      <c r="R1429" s="32">
        <f>CASOPOInvCL!AU1429</f>
        <v>0</v>
      </c>
      <c r="S1429" s="16">
        <f>CASOPOInvCL!AV1429</f>
        <v>0</v>
      </c>
      <c r="T1429" s="16">
        <f>CASOPOInvCL!AW1429</f>
        <v>0</v>
      </c>
      <c r="Y1429" s="29" t="str">
        <f>IFERROR(HLOOKUP(U1436,List!$D$2:$H$6,2,FALSE),"")</f>
        <v/>
      </c>
      <c r="Z1429" s="29" t="str">
        <f>IFERROR(HLOOKUP(V1436,List!$D$2:$H$6,3,FALSE),"")</f>
        <v/>
      </c>
      <c r="AA1429" s="29" t="str">
        <f>IFERROR(HLOOKUP(W1436,List!$D$2:$H$6,4,FALSE),"")</f>
        <v/>
      </c>
      <c r="AB1429" s="29" t="str">
        <f>IFERROR(HLOOKUP(X1436,List!$D$2:$H$6,5,FALSE),"")</f>
        <v/>
      </c>
      <c r="AC1429" s="12" t="str">
        <f t="shared" si="325"/>
        <v/>
      </c>
      <c r="AD1429" s="12" t="str">
        <f t="shared" si="325"/>
        <v/>
      </c>
      <c r="AE1429" s="12" t="str">
        <f t="shared" si="325"/>
        <v/>
      </c>
      <c r="AF1429" s="12" t="str">
        <f t="shared" si="325"/>
        <v/>
      </c>
      <c r="AM1429" s="12" t="str">
        <f t="shared" si="321"/>
        <v/>
      </c>
      <c r="AN1429" s="12" t="str">
        <f t="shared" si="322"/>
        <v/>
      </c>
      <c r="AO1429" s="12" t="str">
        <f t="shared" si="323"/>
        <v/>
      </c>
      <c r="AP1429" s="12" t="str">
        <f t="shared" si="324"/>
        <v/>
      </c>
      <c r="AQ1429" s="12"/>
      <c r="AS1429" s="12">
        <f t="shared" si="326"/>
        <v>0</v>
      </c>
    </row>
    <row r="1430" spans="1:45" hidden="1" x14ac:dyDescent="0.25">
      <c r="A1430" s="41">
        <f>CASOPOInvCL!T1430</f>
        <v>0</v>
      </c>
      <c r="B1430">
        <f>CASOPOInvCL!Z1430</f>
        <v>0</v>
      </c>
      <c r="G1430" s="5">
        <f>CASOPOInvCL!I1430</f>
        <v>0</v>
      </c>
      <c r="H1430" s="31">
        <f>CASOPOInvCL!U1430</f>
        <v>0</v>
      </c>
      <c r="I1430" s="31">
        <f>CASOPOInvCL!V1430</f>
        <v>0</v>
      </c>
      <c r="J1430" s="5">
        <f>CASOPOInvCL!AB1430</f>
        <v>0</v>
      </c>
      <c r="K1430" s="31">
        <f>CASOPOInvCL!W1430</f>
        <v>0</v>
      </c>
      <c r="L1430" s="31">
        <f>CASOPOInvCL!X1430</f>
        <v>0</v>
      </c>
      <c r="M1430" s="31"/>
      <c r="N1430" s="5">
        <f>CASOPOInvCL!AF1430</f>
        <v>0</v>
      </c>
      <c r="O1430" s="16">
        <f>CASOPOInvCL!AG1430</f>
        <v>0</v>
      </c>
      <c r="P1430" s="16">
        <f>CASOPOInvCL!AH1430</f>
        <v>0</v>
      </c>
      <c r="Q1430" s="16">
        <f>CASOPOInvCL!AI1430</f>
        <v>0</v>
      </c>
      <c r="R1430" s="32">
        <f>CASOPOInvCL!AU1430</f>
        <v>0</v>
      </c>
      <c r="S1430" s="16">
        <f>CASOPOInvCL!AV1430</f>
        <v>0</v>
      </c>
      <c r="T1430" s="16">
        <f>CASOPOInvCL!AW1430</f>
        <v>0</v>
      </c>
      <c r="Y1430" s="29" t="str">
        <f>IFERROR(HLOOKUP(U1437,List!$D$2:$H$6,2,FALSE),"")</f>
        <v/>
      </c>
      <c r="Z1430" s="29" t="str">
        <f>IFERROR(HLOOKUP(V1437,List!$D$2:$H$6,3,FALSE),"")</f>
        <v/>
      </c>
      <c r="AA1430" s="29" t="str">
        <f>IFERROR(HLOOKUP(W1437,List!$D$2:$H$6,4,FALSE),"")</f>
        <v/>
      </c>
      <c r="AB1430" s="29" t="str">
        <f>IFERROR(HLOOKUP(X1437,List!$D$2:$H$6,5,FALSE),"")</f>
        <v/>
      </c>
      <c r="AC1430" s="12" t="str">
        <f t="shared" si="325"/>
        <v/>
      </c>
      <c r="AD1430" s="12" t="str">
        <f t="shared" si="325"/>
        <v/>
      </c>
      <c r="AE1430" s="12" t="str">
        <f t="shared" si="325"/>
        <v/>
      </c>
      <c r="AF1430" s="12" t="str">
        <f t="shared" si="325"/>
        <v/>
      </c>
      <c r="AM1430" s="12" t="str">
        <f t="shared" si="321"/>
        <v/>
      </c>
      <c r="AN1430" s="12" t="str">
        <f t="shared" si="322"/>
        <v/>
      </c>
      <c r="AO1430" s="12" t="str">
        <f t="shared" si="323"/>
        <v/>
      </c>
      <c r="AP1430" s="12" t="str">
        <f t="shared" si="324"/>
        <v/>
      </c>
      <c r="AQ1430" s="12"/>
      <c r="AS1430" s="12">
        <f t="shared" si="326"/>
        <v>0</v>
      </c>
    </row>
    <row r="1431" spans="1:45" hidden="1" x14ac:dyDescent="0.25">
      <c r="A1431" s="41">
        <f>CASOPOInvCL!T1431</f>
        <v>0</v>
      </c>
      <c r="B1431">
        <f>CASOPOInvCL!Z1431</f>
        <v>0</v>
      </c>
      <c r="G1431" s="5">
        <f>CASOPOInvCL!I1431</f>
        <v>0</v>
      </c>
      <c r="H1431" s="31">
        <f>CASOPOInvCL!U1431</f>
        <v>0</v>
      </c>
      <c r="I1431" s="31">
        <f>CASOPOInvCL!V1431</f>
        <v>0</v>
      </c>
      <c r="J1431" s="5">
        <f>CASOPOInvCL!AB1431</f>
        <v>0</v>
      </c>
      <c r="K1431" s="31">
        <f>CASOPOInvCL!W1431</f>
        <v>0</v>
      </c>
      <c r="L1431" s="31">
        <f>CASOPOInvCL!X1431</f>
        <v>0</v>
      </c>
      <c r="M1431" s="31"/>
      <c r="N1431" s="5">
        <f>CASOPOInvCL!AF1431</f>
        <v>0</v>
      </c>
      <c r="O1431" s="16">
        <f>CASOPOInvCL!AG1431</f>
        <v>0</v>
      </c>
      <c r="P1431" s="16">
        <f>CASOPOInvCL!AH1431</f>
        <v>0</v>
      </c>
      <c r="Q1431" s="16">
        <f>CASOPOInvCL!AI1431</f>
        <v>0</v>
      </c>
      <c r="R1431" s="32">
        <f>CASOPOInvCL!AU1431</f>
        <v>0</v>
      </c>
      <c r="S1431" s="16">
        <f>CASOPOInvCL!AV1431</f>
        <v>0</v>
      </c>
      <c r="T1431" s="16">
        <f>CASOPOInvCL!AW1431</f>
        <v>0</v>
      </c>
      <c r="Y1431" s="29" t="str">
        <f>IFERROR(HLOOKUP(U1438,List!$D$2:$H$6,2,FALSE),"")</f>
        <v/>
      </c>
      <c r="Z1431" s="29" t="str">
        <f>IFERROR(HLOOKUP(V1438,List!$D$2:$H$6,3,FALSE),"")</f>
        <v/>
      </c>
      <c r="AA1431" s="29" t="str">
        <f>IFERROR(HLOOKUP(W1438,List!$D$2:$H$6,4,FALSE),"")</f>
        <v/>
      </c>
      <c r="AB1431" s="29" t="str">
        <f>IFERROR(HLOOKUP(X1438,List!$D$2:$H$6,5,FALSE),"")</f>
        <v/>
      </c>
      <c r="AC1431" s="12" t="str">
        <f t="shared" si="325"/>
        <v/>
      </c>
      <c r="AD1431" s="12" t="str">
        <f t="shared" si="325"/>
        <v/>
      </c>
      <c r="AE1431" s="12" t="str">
        <f t="shared" si="325"/>
        <v/>
      </c>
      <c r="AF1431" s="12" t="str">
        <f t="shared" si="325"/>
        <v/>
      </c>
      <c r="AM1431" s="12" t="str">
        <f t="shared" si="321"/>
        <v/>
      </c>
      <c r="AN1431" s="12" t="str">
        <f t="shared" si="322"/>
        <v/>
      </c>
      <c r="AO1431" s="12" t="str">
        <f t="shared" si="323"/>
        <v/>
      </c>
      <c r="AP1431" s="12" t="str">
        <f t="shared" si="324"/>
        <v/>
      </c>
      <c r="AQ1431" s="12"/>
      <c r="AS1431" s="12">
        <f t="shared" si="326"/>
        <v>0</v>
      </c>
    </row>
    <row r="1432" spans="1:45" hidden="1" x14ac:dyDescent="0.25">
      <c r="A1432" s="41">
        <f>CASOPOInvCL!T1432</f>
        <v>0</v>
      </c>
      <c r="B1432">
        <f>CASOPOInvCL!Z1432</f>
        <v>0</v>
      </c>
      <c r="G1432" s="5">
        <f>CASOPOInvCL!I1432</f>
        <v>0</v>
      </c>
      <c r="H1432" s="31">
        <f>CASOPOInvCL!U1432</f>
        <v>0</v>
      </c>
      <c r="I1432" s="31">
        <f>CASOPOInvCL!V1432</f>
        <v>0</v>
      </c>
      <c r="J1432" s="5">
        <f>CASOPOInvCL!AB1432</f>
        <v>0</v>
      </c>
      <c r="K1432" s="31">
        <f>CASOPOInvCL!W1432</f>
        <v>0</v>
      </c>
      <c r="L1432" s="31">
        <f>CASOPOInvCL!X1432</f>
        <v>0</v>
      </c>
      <c r="M1432" s="31"/>
      <c r="N1432" s="5">
        <f>CASOPOInvCL!AF1432</f>
        <v>0</v>
      </c>
      <c r="O1432" s="16">
        <f>CASOPOInvCL!AG1432</f>
        <v>0</v>
      </c>
      <c r="P1432" s="16">
        <f>CASOPOInvCL!AH1432</f>
        <v>0</v>
      </c>
      <c r="Q1432" s="16">
        <f>CASOPOInvCL!AI1432</f>
        <v>0</v>
      </c>
      <c r="R1432" s="32">
        <f>CASOPOInvCL!AU1432</f>
        <v>0</v>
      </c>
      <c r="S1432" s="16">
        <f>CASOPOInvCL!AV1432</f>
        <v>0</v>
      </c>
      <c r="T1432" s="16">
        <f>CASOPOInvCL!AW1432</f>
        <v>0</v>
      </c>
      <c r="Y1432" s="29" t="str">
        <f>IFERROR(HLOOKUP(U1439,List!$D$2:$H$6,2,FALSE),"")</f>
        <v/>
      </c>
      <c r="Z1432" s="29" t="str">
        <f>IFERROR(HLOOKUP(V1439,List!$D$2:$H$6,3,FALSE),"")</f>
        <v/>
      </c>
      <c r="AA1432" s="29" t="str">
        <f>IFERROR(HLOOKUP(W1439,List!$D$2:$H$6,4,FALSE),"")</f>
        <v/>
      </c>
      <c r="AB1432" s="29" t="str">
        <f>IFERROR(HLOOKUP(X1439,List!$D$2:$H$6,5,FALSE),"")</f>
        <v/>
      </c>
      <c r="AC1432" s="12" t="str">
        <f t="shared" si="325"/>
        <v/>
      </c>
      <c r="AD1432" s="12" t="str">
        <f t="shared" si="325"/>
        <v/>
      </c>
      <c r="AE1432" s="12" t="str">
        <f t="shared" si="325"/>
        <v/>
      </c>
      <c r="AF1432" s="12" t="str">
        <f t="shared" si="325"/>
        <v/>
      </c>
      <c r="AM1432" s="12" t="str">
        <f t="shared" si="321"/>
        <v/>
      </c>
      <c r="AN1432" s="12" t="str">
        <f t="shared" si="322"/>
        <v/>
      </c>
      <c r="AO1432" s="12" t="str">
        <f t="shared" si="323"/>
        <v/>
      </c>
      <c r="AP1432" s="12" t="str">
        <f t="shared" si="324"/>
        <v/>
      </c>
      <c r="AQ1432" s="12"/>
      <c r="AS1432" s="12">
        <f t="shared" si="326"/>
        <v>0</v>
      </c>
    </row>
    <row r="1433" spans="1:45" hidden="1" x14ac:dyDescent="0.25">
      <c r="A1433" s="41">
        <f>CASOPOInvCL!T1433</f>
        <v>0</v>
      </c>
      <c r="B1433">
        <f>CASOPOInvCL!Z1433</f>
        <v>0</v>
      </c>
      <c r="G1433" s="5">
        <f>CASOPOInvCL!I1433</f>
        <v>0</v>
      </c>
      <c r="H1433" s="31">
        <f>CASOPOInvCL!U1433</f>
        <v>0</v>
      </c>
      <c r="I1433" s="31">
        <f>CASOPOInvCL!V1433</f>
        <v>0</v>
      </c>
      <c r="J1433" s="5">
        <f>CASOPOInvCL!AB1433</f>
        <v>0</v>
      </c>
      <c r="K1433" s="31">
        <f>CASOPOInvCL!W1433</f>
        <v>0</v>
      </c>
      <c r="L1433" s="31">
        <f>CASOPOInvCL!X1433</f>
        <v>0</v>
      </c>
      <c r="M1433" s="31"/>
      <c r="N1433" s="5">
        <f>CASOPOInvCL!AF1433</f>
        <v>0</v>
      </c>
      <c r="O1433" s="16">
        <f>CASOPOInvCL!AG1433</f>
        <v>0</v>
      </c>
      <c r="P1433" s="16">
        <f>CASOPOInvCL!AH1433</f>
        <v>0</v>
      </c>
      <c r="Q1433" s="16">
        <f>CASOPOInvCL!AI1433</f>
        <v>0</v>
      </c>
      <c r="R1433" s="32">
        <f>CASOPOInvCL!AU1433</f>
        <v>0</v>
      </c>
      <c r="S1433" s="16">
        <f>CASOPOInvCL!AV1433</f>
        <v>0</v>
      </c>
      <c r="T1433" s="16">
        <f>CASOPOInvCL!AW1433</f>
        <v>0</v>
      </c>
      <c r="Y1433" s="29" t="str">
        <f>IFERROR(HLOOKUP(U1440,List!$D$2:$H$6,2,FALSE),"")</f>
        <v/>
      </c>
      <c r="Z1433" s="29" t="str">
        <f>IFERROR(HLOOKUP(V1440,List!$D$2:$H$6,3,FALSE),"")</f>
        <v/>
      </c>
      <c r="AA1433" s="29" t="str">
        <f>IFERROR(HLOOKUP(W1440,List!$D$2:$H$6,4,FALSE),"")</f>
        <v/>
      </c>
      <c r="AB1433" s="29" t="str">
        <f>IFERROR(HLOOKUP(X1440,List!$D$2:$H$6,5,FALSE),"")</f>
        <v/>
      </c>
      <c r="AC1433" s="12" t="str">
        <f t="shared" si="325"/>
        <v/>
      </c>
      <c r="AD1433" s="12" t="str">
        <f t="shared" si="325"/>
        <v/>
      </c>
      <c r="AE1433" s="12" t="str">
        <f t="shared" si="325"/>
        <v/>
      </c>
      <c r="AF1433" s="12" t="str">
        <f t="shared" si="325"/>
        <v/>
      </c>
      <c r="AM1433" s="12" t="str">
        <f t="shared" si="321"/>
        <v/>
      </c>
      <c r="AN1433" s="12" t="str">
        <f t="shared" si="322"/>
        <v/>
      </c>
      <c r="AO1433" s="12" t="str">
        <f t="shared" si="323"/>
        <v/>
      </c>
      <c r="AP1433" s="12" t="str">
        <f t="shared" si="324"/>
        <v/>
      </c>
      <c r="AQ1433" s="12"/>
      <c r="AS1433" s="12">
        <f t="shared" si="326"/>
        <v>0</v>
      </c>
    </row>
    <row r="1434" spans="1:45" hidden="1" x14ac:dyDescent="0.25">
      <c r="A1434" s="41">
        <f>CASOPOInvCL!T1434</f>
        <v>0</v>
      </c>
      <c r="B1434">
        <f>CASOPOInvCL!Z1434</f>
        <v>0</v>
      </c>
      <c r="G1434" s="5">
        <f>CASOPOInvCL!I1434</f>
        <v>0</v>
      </c>
      <c r="H1434" s="31">
        <f>CASOPOInvCL!U1434</f>
        <v>0</v>
      </c>
      <c r="I1434" s="31">
        <f>CASOPOInvCL!V1434</f>
        <v>0</v>
      </c>
      <c r="J1434" s="5">
        <f>CASOPOInvCL!AB1434</f>
        <v>0</v>
      </c>
      <c r="K1434" s="31">
        <f>CASOPOInvCL!W1434</f>
        <v>0</v>
      </c>
      <c r="L1434" s="31">
        <f>CASOPOInvCL!X1434</f>
        <v>0</v>
      </c>
      <c r="M1434" s="31"/>
      <c r="N1434" s="5">
        <f>CASOPOInvCL!AF1434</f>
        <v>0</v>
      </c>
      <c r="O1434" s="16">
        <f>CASOPOInvCL!AG1434</f>
        <v>0</v>
      </c>
      <c r="P1434" s="16">
        <f>CASOPOInvCL!AH1434</f>
        <v>0</v>
      </c>
      <c r="Q1434" s="16">
        <f>CASOPOInvCL!AI1434</f>
        <v>0</v>
      </c>
      <c r="R1434" s="32">
        <f>CASOPOInvCL!AU1434</f>
        <v>0</v>
      </c>
      <c r="S1434" s="16">
        <f>CASOPOInvCL!AV1434</f>
        <v>0</v>
      </c>
      <c r="T1434" s="16">
        <f>CASOPOInvCL!AW1434</f>
        <v>0</v>
      </c>
      <c r="Y1434" s="29" t="str">
        <f>IFERROR(HLOOKUP(U1441,List!$D$2:$H$6,2,FALSE),"")</f>
        <v/>
      </c>
      <c r="Z1434" s="29" t="str">
        <f>IFERROR(HLOOKUP(V1441,List!$D$2:$H$6,3,FALSE),"")</f>
        <v/>
      </c>
      <c r="AA1434" s="29" t="str">
        <f>IFERROR(HLOOKUP(W1441,List!$D$2:$H$6,4,FALSE),"")</f>
        <v/>
      </c>
      <c r="AB1434" s="29" t="str">
        <f>IFERROR(HLOOKUP(X1441,List!$D$2:$H$6,5,FALSE),"")</f>
        <v/>
      </c>
      <c r="AC1434" s="12" t="str">
        <f t="shared" si="325"/>
        <v/>
      </c>
      <c r="AD1434" s="12" t="str">
        <f t="shared" si="325"/>
        <v/>
      </c>
      <c r="AE1434" s="12" t="str">
        <f t="shared" si="325"/>
        <v/>
      </c>
      <c r="AF1434" s="12" t="str">
        <f t="shared" si="325"/>
        <v/>
      </c>
      <c r="AM1434" s="12" t="str">
        <f t="shared" si="321"/>
        <v/>
      </c>
      <c r="AN1434" s="12" t="str">
        <f t="shared" si="322"/>
        <v/>
      </c>
      <c r="AO1434" s="12" t="str">
        <f t="shared" si="323"/>
        <v/>
      </c>
      <c r="AP1434" s="12" t="str">
        <f t="shared" si="324"/>
        <v/>
      </c>
      <c r="AQ1434" s="12"/>
      <c r="AS1434" s="12">
        <f t="shared" si="326"/>
        <v>0</v>
      </c>
    </row>
    <row r="1435" spans="1:45" hidden="1" x14ac:dyDescent="0.25">
      <c r="A1435" s="41">
        <f>CASOPOInvCL!T1435</f>
        <v>0</v>
      </c>
      <c r="B1435">
        <f>CASOPOInvCL!Z1435</f>
        <v>0</v>
      </c>
      <c r="G1435" s="5">
        <f>CASOPOInvCL!I1435</f>
        <v>0</v>
      </c>
      <c r="H1435" s="31">
        <f>CASOPOInvCL!U1435</f>
        <v>0</v>
      </c>
      <c r="I1435" s="31">
        <f>CASOPOInvCL!V1435</f>
        <v>0</v>
      </c>
      <c r="J1435" s="5">
        <f>CASOPOInvCL!AB1435</f>
        <v>0</v>
      </c>
      <c r="K1435" s="31">
        <f>CASOPOInvCL!W1435</f>
        <v>0</v>
      </c>
      <c r="L1435" s="31">
        <f>CASOPOInvCL!X1435</f>
        <v>0</v>
      </c>
      <c r="M1435" s="31"/>
      <c r="N1435" s="5">
        <f>CASOPOInvCL!AF1435</f>
        <v>0</v>
      </c>
      <c r="O1435" s="16">
        <f>CASOPOInvCL!AG1435</f>
        <v>0</v>
      </c>
      <c r="P1435" s="16">
        <f>CASOPOInvCL!AH1435</f>
        <v>0</v>
      </c>
      <c r="Q1435" s="16">
        <f>CASOPOInvCL!AI1435</f>
        <v>0</v>
      </c>
      <c r="R1435" s="32">
        <f>CASOPOInvCL!AU1435</f>
        <v>0</v>
      </c>
      <c r="S1435" s="16">
        <f>CASOPOInvCL!AV1435</f>
        <v>0</v>
      </c>
      <c r="T1435" s="16">
        <f>CASOPOInvCL!AW1435</f>
        <v>0</v>
      </c>
      <c r="Y1435" s="29" t="str">
        <f>IFERROR(HLOOKUP(U1442,List!$D$2:$H$6,2,FALSE),"")</f>
        <v/>
      </c>
      <c r="Z1435" s="29" t="str">
        <f>IFERROR(HLOOKUP(V1442,List!$D$2:$H$6,3,FALSE),"")</f>
        <v/>
      </c>
      <c r="AA1435" s="29" t="str">
        <f>IFERROR(HLOOKUP(W1442,List!$D$2:$H$6,4,FALSE),"")</f>
        <v/>
      </c>
      <c r="AB1435" s="29" t="str">
        <f>IFERROR(HLOOKUP(X1442,List!$D$2:$H$6,5,FALSE),"")</f>
        <v/>
      </c>
      <c r="AC1435" s="12" t="str">
        <f t="shared" si="325"/>
        <v/>
      </c>
      <c r="AD1435" s="12" t="str">
        <f t="shared" si="325"/>
        <v/>
      </c>
      <c r="AE1435" s="12" t="str">
        <f t="shared" si="325"/>
        <v/>
      </c>
      <c r="AF1435" s="12" t="str">
        <f t="shared" si="325"/>
        <v/>
      </c>
      <c r="AM1435" s="12" t="str">
        <f t="shared" si="321"/>
        <v/>
      </c>
      <c r="AN1435" s="12" t="str">
        <f t="shared" si="322"/>
        <v/>
      </c>
      <c r="AO1435" s="12" t="str">
        <f t="shared" si="323"/>
        <v/>
      </c>
      <c r="AP1435" s="12" t="str">
        <f t="shared" si="324"/>
        <v/>
      </c>
      <c r="AQ1435" s="12"/>
      <c r="AS1435" s="12">
        <f t="shared" si="326"/>
        <v>0</v>
      </c>
    </row>
    <row r="1436" spans="1:45" hidden="1" x14ac:dyDescent="0.25">
      <c r="A1436" s="41">
        <f>CASOPOInvCL!T1436</f>
        <v>0</v>
      </c>
      <c r="B1436">
        <f>CASOPOInvCL!Z1436</f>
        <v>0</v>
      </c>
      <c r="G1436" s="5">
        <f>CASOPOInvCL!I1436</f>
        <v>0</v>
      </c>
      <c r="H1436" s="31">
        <f>CASOPOInvCL!U1436</f>
        <v>0</v>
      </c>
      <c r="I1436" s="31">
        <f>CASOPOInvCL!V1436</f>
        <v>0</v>
      </c>
      <c r="J1436" s="5">
        <f>CASOPOInvCL!AB1436</f>
        <v>0</v>
      </c>
      <c r="K1436" s="31">
        <f>CASOPOInvCL!W1436</f>
        <v>0</v>
      </c>
      <c r="L1436" s="31">
        <f>CASOPOInvCL!X1436</f>
        <v>0</v>
      </c>
      <c r="M1436" s="31"/>
      <c r="N1436" s="5">
        <f>CASOPOInvCL!AF1436</f>
        <v>0</v>
      </c>
      <c r="O1436" s="16">
        <f>CASOPOInvCL!AG1436</f>
        <v>0</v>
      </c>
      <c r="P1436" s="16">
        <f>CASOPOInvCL!AH1436</f>
        <v>0</v>
      </c>
      <c r="Q1436" s="16">
        <f>CASOPOInvCL!AI1436</f>
        <v>0</v>
      </c>
      <c r="R1436" s="32">
        <f>CASOPOInvCL!AU1436</f>
        <v>0</v>
      </c>
      <c r="S1436" s="16">
        <f>CASOPOInvCL!AV1436</f>
        <v>0</v>
      </c>
      <c r="T1436" s="16">
        <f>CASOPOInvCL!AW1436</f>
        <v>0</v>
      </c>
      <c r="Y1436" s="29" t="str">
        <f>IFERROR(HLOOKUP(U1443,List!$D$2:$H$6,2,FALSE),"")</f>
        <v/>
      </c>
      <c r="Z1436" s="29" t="str">
        <f>IFERROR(HLOOKUP(V1443,List!$D$2:$H$6,3,FALSE),"")</f>
        <v/>
      </c>
      <c r="AA1436" s="29" t="str">
        <f>IFERROR(HLOOKUP(W1443,List!$D$2:$H$6,4,FALSE),"")</f>
        <v/>
      </c>
      <c r="AB1436" s="29" t="str">
        <f>IFERROR(HLOOKUP(X1443,List!$D$2:$H$6,5,FALSE),"")</f>
        <v/>
      </c>
      <c r="AC1436" s="12" t="str">
        <f t="shared" si="325"/>
        <v/>
      </c>
      <c r="AD1436" s="12" t="str">
        <f t="shared" si="325"/>
        <v/>
      </c>
      <c r="AE1436" s="12" t="str">
        <f t="shared" si="325"/>
        <v/>
      </c>
      <c r="AF1436" s="12" t="str">
        <f t="shared" si="325"/>
        <v/>
      </c>
      <c r="AM1436" s="12" t="str">
        <f t="shared" si="321"/>
        <v/>
      </c>
      <c r="AN1436" s="12" t="str">
        <f t="shared" si="322"/>
        <v/>
      </c>
      <c r="AO1436" s="12" t="str">
        <f t="shared" si="323"/>
        <v/>
      </c>
      <c r="AP1436" s="12" t="str">
        <f t="shared" si="324"/>
        <v/>
      </c>
      <c r="AQ1436" s="12"/>
      <c r="AS1436" s="12">
        <f t="shared" si="326"/>
        <v>0</v>
      </c>
    </row>
    <row r="1437" spans="1:45" hidden="1" x14ac:dyDescent="0.25">
      <c r="A1437" s="41">
        <f>CASOPOInvCL!T1437</f>
        <v>0</v>
      </c>
      <c r="B1437">
        <f>CASOPOInvCL!Z1437</f>
        <v>0</v>
      </c>
      <c r="G1437" s="5">
        <f>CASOPOInvCL!I1437</f>
        <v>0</v>
      </c>
      <c r="H1437" s="31">
        <f>CASOPOInvCL!U1437</f>
        <v>0</v>
      </c>
      <c r="I1437" s="31">
        <f>CASOPOInvCL!V1437</f>
        <v>0</v>
      </c>
      <c r="J1437" s="5">
        <f>CASOPOInvCL!AB1437</f>
        <v>0</v>
      </c>
      <c r="K1437" s="31">
        <f>CASOPOInvCL!W1437</f>
        <v>0</v>
      </c>
      <c r="L1437" s="31">
        <f>CASOPOInvCL!X1437</f>
        <v>0</v>
      </c>
      <c r="M1437" s="31"/>
      <c r="N1437" s="5">
        <f>CASOPOInvCL!AF1437</f>
        <v>0</v>
      </c>
      <c r="O1437" s="16">
        <f>CASOPOInvCL!AG1437</f>
        <v>0</v>
      </c>
      <c r="P1437" s="16">
        <f>CASOPOInvCL!AH1437</f>
        <v>0</v>
      </c>
      <c r="Q1437" s="16">
        <f>CASOPOInvCL!AI1437</f>
        <v>0</v>
      </c>
      <c r="R1437" s="32">
        <f>CASOPOInvCL!AU1437</f>
        <v>0</v>
      </c>
      <c r="S1437" s="16">
        <f>CASOPOInvCL!AV1437</f>
        <v>0</v>
      </c>
      <c r="T1437" s="16">
        <f>CASOPOInvCL!AW1437</f>
        <v>0</v>
      </c>
      <c r="Y1437" s="29" t="str">
        <f>IFERROR(HLOOKUP(U1444,List!$D$2:$H$6,2,FALSE),"")</f>
        <v/>
      </c>
      <c r="Z1437" s="29" t="str">
        <f>IFERROR(HLOOKUP(V1444,List!$D$2:$H$6,3,FALSE),"")</f>
        <v/>
      </c>
      <c r="AA1437" s="29" t="str">
        <f>IFERROR(HLOOKUP(W1444,List!$D$2:$H$6,4,FALSE),"")</f>
        <v/>
      </c>
      <c r="AB1437" s="29" t="str">
        <f>IFERROR(HLOOKUP(X1444,List!$D$2:$H$6,5,FALSE),"")</f>
        <v/>
      </c>
      <c r="AC1437" s="12" t="str">
        <f t="shared" si="325"/>
        <v/>
      </c>
      <c r="AD1437" s="12" t="str">
        <f t="shared" si="325"/>
        <v/>
      </c>
      <c r="AE1437" s="12" t="str">
        <f t="shared" si="325"/>
        <v/>
      </c>
      <c r="AF1437" s="12" t="str">
        <f t="shared" si="325"/>
        <v/>
      </c>
      <c r="AM1437" s="12" t="str">
        <f t="shared" si="321"/>
        <v/>
      </c>
      <c r="AN1437" s="12" t="str">
        <f t="shared" si="322"/>
        <v/>
      </c>
      <c r="AO1437" s="12" t="str">
        <f t="shared" si="323"/>
        <v/>
      </c>
      <c r="AP1437" s="12" t="str">
        <f t="shared" si="324"/>
        <v/>
      </c>
      <c r="AQ1437" s="12"/>
      <c r="AS1437" s="12">
        <f t="shared" si="326"/>
        <v>0</v>
      </c>
    </row>
    <row r="1438" spans="1:45" hidden="1" x14ac:dyDescent="0.25">
      <c r="A1438" s="41">
        <f>CASOPOInvCL!T1438</f>
        <v>0</v>
      </c>
      <c r="B1438">
        <f>CASOPOInvCL!Z1438</f>
        <v>0</v>
      </c>
      <c r="G1438" s="5">
        <f>CASOPOInvCL!I1438</f>
        <v>0</v>
      </c>
      <c r="H1438" s="31">
        <f>CASOPOInvCL!U1438</f>
        <v>0</v>
      </c>
      <c r="I1438" s="31">
        <f>CASOPOInvCL!V1438</f>
        <v>0</v>
      </c>
      <c r="J1438" s="5">
        <f>CASOPOInvCL!AB1438</f>
        <v>0</v>
      </c>
      <c r="K1438" s="31">
        <f>CASOPOInvCL!W1438</f>
        <v>0</v>
      </c>
      <c r="L1438" s="31">
        <f>CASOPOInvCL!X1438</f>
        <v>0</v>
      </c>
      <c r="M1438" s="31"/>
      <c r="N1438" s="5">
        <f>CASOPOInvCL!AF1438</f>
        <v>0</v>
      </c>
      <c r="O1438" s="16">
        <f>CASOPOInvCL!AG1438</f>
        <v>0</v>
      </c>
      <c r="P1438" s="16">
        <f>CASOPOInvCL!AH1438</f>
        <v>0</v>
      </c>
      <c r="Q1438" s="16">
        <f>CASOPOInvCL!AI1438</f>
        <v>0</v>
      </c>
      <c r="R1438" s="32">
        <f>CASOPOInvCL!AU1438</f>
        <v>0</v>
      </c>
      <c r="S1438" s="16">
        <f>CASOPOInvCL!AV1438</f>
        <v>0</v>
      </c>
      <c r="T1438" s="16">
        <f>CASOPOInvCL!AW1438</f>
        <v>0</v>
      </c>
      <c r="Y1438" s="29" t="str">
        <f>IFERROR(HLOOKUP(U1445,List!$D$2:$H$6,2,FALSE),"")</f>
        <v/>
      </c>
      <c r="Z1438" s="29" t="str">
        <f>IFERROR(HLOOKUP(V1445,List!$D$2:$H$6,3,FALSE),"")</f>
        <v/>
      </c>
      <c r="AA1438" s="29" t="str">
        <f>IFERROR(HLOOKUP(W1445,List!$D$2:$H$6,4,FALSE),"")</f>
        <v/>
      </c>
      <c r="AB1438" s="29" t="str">
        <f>IFERROR(HLOOKUP(X1445,List!$D$2:$H$6,5,FALSE),"")</f>
        <v/>
      </c>
      <c r="AC1438" s="12" t="str">
        <f t="shared" si="325"/>
        <v/>
      </c>
      <c r="AD1438" s="12" t="str">
        <f t="shared" si="325"/>
        <v/>
      </c>
      <c r="AE1438" s="12" t="str">
        <f t="shared" si="325"/>
        <v/>
      </c>
      <c r="AF1438" s="12" t="str">
        <f t="shared" si="325"/>
        <v/>
      </c>
      <c r="AM1438" s="12" t="str">
        <f t="shared" si="321"/>
        <v/>
      </c>
      <c r="AN1438" s="12" t="str">
        <f t="shared" si="322"/>
        <v/>
      </c>
      <c r="AO1438" s="12" t="str">
        <f t="shared" si="323"/>
        <v/>
      </c>
      <c r="AP1438" s="12" t="str">
        <f t="shared" si="324"/>
        <v/>
      </c>
      <c r="AQ1438" s="12"/>
      <c r="AS1438" s="12">
        <f t="shared" si="326"/>
        <v>0</v>
      </c>
    </row>
    <row r="1439" spans="1:45" hidden="1" x14ac:dyDescent="0.25">
      <c r="A1439" s="41">
        <f>CASOPOInvCL!T1439</f>
        <v>0</v>
      </c>
      <c r="B1439">
        <f>CASOPOInvCL!Z1439</f>
        <v>0</v>
      </c>
      <c r="G1439" s="5">
        <f>CASOPOInvCL!I1439</f>
        <v>0</v>
      </c>
      <c r="H1439" s="31">
        <f>CASOPOInvCL!U1439</f>
        <v>0</v>
      </c>
      <c r="I1439" s="31">
        <f>CASOPOInvCL!V1439</f>
        <v>0</v>
      </c>
      <c r="J1439" s="5">
        <f>CASOPOInvCL!AB1439</f>
        <v>0</v>
      </c>
      <c r="K1439" s="31">
        <f>CASOPOInvCL!W1439</f>
        <v>0</v>
      </c>
      <c r="L1439" s="31">
        <f>CASOPOInvCL!X1439</f>
        <v>0</v>
      </c>
      <c r="M1439" s="31"/>
      <c r="N1439" s="5">
        <f>CASOPOInvCL!AF1439</f>
        <v>0</v>
      </c>
      <c r="O1439" s="16">
        <f>CASOPOInvCL!AG1439</f>
        <v>0</v>
      </c>
      <c r="P1439" s="16">
        <f>CASOPOInvCL!AH1439</f>
        <v>0</v>
      </c>
      <c r="Q1439" s="16">
        <f>CASOPOInvCL!AI1439</f>
        <v>0</v>
      </c>
      <c r="R1439" s="32">
        <f>CASOPOInvCL!AU1439</f>
        <v>0</v>
      </c>
      <c r="S1439" s="16">
        <f>CASOPOInvCL!AV1439</f>
        <v>0</v>
      </c>
      <c r="T1439" s="16">
        <f>CASOPOInvCL!AW1439</f>
        <v>0</v>
      </c>
      <c r="Y1439" s="29" t="str">
        <f>IFERROR(HLOOKUP(U1446,List!$D$2:$H$6,2,FALSE),"")</f>
        <v/>
      </c>
      <c r="Z1439" s="29" t="str">
        <f>IFERROR(HLOOKUP(V1446,List!$D$2:$H$6,3,FALSE),"")</f>
        <v/>
      </c>
      <c r="AA1439" s="29" t="str">
        <f>IFERROR(HLOOKUP(W1446,List!$D$2:$H$6,4,FALSE),"")</f>
        <v/>
      </c>
      <c r="AB1439" s="29" t="str">
        <f>IFERROR(HLOOKUP(X1446,List!$D$2:$H$6,5,FALSE),"")</f>
        <v/>
      </c>
      <c r="AC1439" s="12" t="str">
        <f t="shared" si="325"/>
        <v/>
      </c>
      <c r="AD1439" s="12" t="str">
        <f t="shared" si="325"/>
        <v/>
      </c>
      <c r="AE1439" s="12" t="str">
        <f t="shared" si="325"/>
        <v/>
      </c>
      <c r="AF1439" s="12" t="str">
        <f t="shared" si="325"/>
        <v/>
      </c>
      <c r="AM1439" s="12" t="str">
        <f t="shared" si="321"/>
        <v/>
      </c>
      <c r="AN1439" s="12" t="str">
        <f t="shared" si="322"/>
        <v/>
      </c>
      <c r="AO1439" s="12" t="str">
        <f t="shared" si="323"/>
        <v/>
      </c>
      <c r="AP1439" s="12" t="str">
        <f t="shared" si="324"/>
        <v/>
      </c>
      <c r="AQ1439" s="12"/>
      <c r="AS1439" s="12">
        <f t="shared" si="326"/>
        <v>0</v>
      </c>
    </row>
    <row r="1440" spans="1:45" hidden="1" x14ac:dyDescent="0.25">
      <c r="A1440" s="41">
        <f>CASOPOInvCL!T1440</f>
        <v>0</v>
      </c>
      <c r="B1440">
        <f>CASOPOInvCL!Z1440</f>
        <v>0</v>
      </c>
      <c r="G1440" s="5">
        <f>CASOPOInvCL!I1440</f>
        <v>0</v>
      </c>
      <c r="H1440" s="31">
        <f>CASOPOInvCL!U1440</f>
        <v>0</v>
      </c>
      <c r="I1440" s="31">
        <f>CASOPOInvCL!V1440</f>
        <v>0</v>
      </c>
      <c r="J1440" s="5">
        <f>CASOPOInvCL!AB1440</f>
        <v>0</v>
      </c>
      <c r="K1440" s="31">
        <f>CASOPOInvCL!W1440</f>
        <v>0</v>
      </c>
      <c r="L1440" s="31">
        <f>CASOPOInvCL!X1440</f>
        <v>0</v>
      </c>
      <c r="M1440" s="31"/>
      <c r="N1440" s="5">
        <f>CASOPOInvCL!AF1440</f>
        <v>0</v>
      </c>
      <c r="O1440" s="16">
        <f>CASOPOInvCL!AG1440</f>
        <v>0</v>
      </c>
      <c r="P1440" s="16">
        <f>CASOPOInvCL!AH1440</f>
        <v>0</v>
      </c>
      <c r="Q1440" s="16">
        <f>CASOPOInvCL!AI1440</f>
        <v>0</v>
      </c>
      <c r="R1440" s="32">
        <f>CASOPOInvCL!AU1440</f>
        <v>0</v>
      </c>
      <c r="S1440" s="16">
        <f>CASOPOInvCL!AV1440</f>
        <v>0</v>
      </c>
      <c r="T1440" s="16">
        <f>CASOPOInvCL!AW1440</f>
        <v>0</v>
      </c>
      <c r="Y1440" s="29" t="str">
        <f>IFERROR(HLOOKUP(U1447,List!$D$2:$H$6,2,FALSE),"")</f>
        <v/>
      </c>
      <c r="Z1440" s="29" t="str">
        <f>IFERROR(HLOOKUP(V1447,List!$D$2:$H$6,3,FALSE),"")</f>
        <v/>
      </c>
      <c r="AA1440" s="29" t="str">
        <f>IFERROR(HLOOKUP(W1447,List!$D$2:$H$6,4,FALSE),"")</f>
        <v/>
      </c>
      <c r="AB1440" s="29" t="str">
        <f>IFERROR(HLOOKUP(X1447,List!$D$2:$H$6,5,FALSE),"")</f>
        <v/>
      </c>
      <c r="AC1440" s="12" t="str">
        <f t="shared" si="325"/>
        <v/>
      </c>
      <c r="AD1440" s="12" t="str">
        <f t="shared" si="325"/>
        <v/>
      </c>
      <c r="AE1440" s="12" t="str">
        <f t="shared" si="325"/>
        <v/>
      </c>
      <c r="AF1440" s="12" t="str">
        <f t="shared" si="325"/>
        <v/>
      </c>
      <c r="AM1440" s="12" t="str">
        <f t="shared" si="321"/>
        <v/>
      </c>
      <c r="AN1440" s="12" t="str">
        <f t="shared" si="322"/>
        <v/>
      </c>
      <c r="AO1440" s="12" t="str">
        <f t="shared" si="323"/>
        <v/>
      </c>
      <c r="AP1440" s="12" t="str">
        <f t="shared" si="324"/>
        <v/>
      </c>
      <c r="AQ1440" s="12"/>
      <c r="AS1440" s="12">
        <f t="shared" si="326"/>
        <v>0</v>
      </c>
    </row>
    <row r="1441" spans="1:45" hidden="1" x14ac:dyDescent="0.25">
      <c r="A1441" s="41">
        <f>CASOPOInvCL!T1441</f>
        <v>0</v>
      </c>
      <c r="B1441">
        <f>CASOPOInvCL!Z1441</f>
        <v>0</v>
      </c>
      <c r="G1441" s="5">
        <f>CASOPOInvCL!I1441</f>
        <v>0</v>
      </c>
      <c r="H1441" s="31">
        <f>CASOPOInvCL!U1441</f>
        <v>0</v>
      </c>
      <c r="I1441" s="31">
        <f>CASOPOInvCL!V1441</f>
        <v>0</v>
      </c>
      <c r="J1441" s="5">
        <f>CASOPOInvCL!AB1441</f>
        <v>0</v>
      </c>
      <c r="K1441" s="31">
        <f>CASOPOInvCL!W1441</f>
        <v>0</v>
      </c>
      <c r="L1441" s="31">
        <f>CASOPOInvCL!X1441</f>
        <v>0</v>
      </c>
      <c r="M1441" s="31"/>
      <c r="N1441" s="5">
        <f>CASOPOInvCL!AF1441</f>
        <v>0</v>
      </c>
      <c r="O1441" s="16">
        <f>CASOPOInvCL!AG1441</f>
        <v>0</v>
      </c>
      <c r="P1441" s="16">
        <f>CASOPOInvCL!AH1441</f>
        <v>0</v>
      </c>
      <c r="Q1441" s="16">
        <f>CASOPOInvCL!AI1441</f>
        <v>0</v>
      </c>
      <c r="R1441" s="32">
        <f>CASOPOInvCL!AU1441</f>
        <v>0</v>
      </c>
      <c r="S1441" s="16">
        <f>CASOPOInvCL!AV1441</f>
        <v>0</v>
      </c>
      <c r="T1441" s="16">
        <f>CASOPOInvCL!AW1441</f>
        <v>0</v>
      </c>
      <c r="Y1441" s="29" t="str">
        <f>IFERROR(HLOOKUP(U1448,List!$D$2:$H$6,2,FALSE),"")</f>
        <v/>
      </c>
      <c r="Z1441" s="29" t="str">
        <f>IFERROR(HLOOKUP(V1448,List!$D$2:$H$6,3,FALSE),"")</f>
        <v/>
      </c>
      <c r="AA1441" s="29" t="str">
        <f>IFERROR(HLOOKUP(W1448,List!$D$2:$H$6,4,FALSE),"")</f>
        <v/>
      </c>
      <c r="AB1441" s="29" t="str">
        <f>IFERROR(HLOOKUP(X1448,List!$D$2:$H$6,5,FALSE),"")</f>
        <v/>
      </c>
      <c r="AC1441" s="12" t="str">
        <f t="shared" si="325"/>
        <v/>
      </c>
      <c r="AD1441" s="12" t="str">
        <f t="shared" si="325"/>
        <v/>
      </c>
      <c r="AE1441" s="12" t="str">
        <f t="shared" si="325"/>
        <v/>
      </c>
      <c r="AF1441" s="12" t="str">
        <f t="shared" si="325"/>
        <v/>
      </c>
      <c r="AM1441" s="12" t="str">
        <f t="shared" si="321"/>
        <v/>
      </c>
      <c r="AN1441" s="12" t="str">
        <f t="shared" si="322"/>
        <v/>
      </c>
      <c r="AO1441" s="12" t="str">
        <f t="shared" si="323"/>
        <v/>
      </c>
      <c r="AP1441" s="12" t="str">
        <f t="shared" si="324"/>
        <v/>
      </c>
      <c r="AQ1441" s="12"/>
      <c r="AS1441" s="12">
        <f t="shared" si="326"/>
        <v>0</v>
      </c>
    </row>
    <row r="1442" spans="1:45" hidden="1" x14ac:dyDescent="0.25">
      <c r="A1442" s="41">
        <f>CASOPOInvCL!T1442</f>
        <v>0</v>
      </c>
      <c r="B1442">
        <f>CASOPOInvCL!Z1442</f>
        <v>0</v>
      </c>
      <c r="G1442" s="5">
        <f>CASOPOInvCL!I1442</f>
        <v>0</v>
      </c>
      <c r="H1442" s="31">
        <f>CASOPOInvCL!U1442</f>
        <v>0</v>
      </c>
      <c r="I1442" s="31">
        <f>CASOPOInvCL!V1442</f>
        <v>0</v>
      </c>
      <c r="J1442" s="5">
        <f>CASOPOInvCL!AB1442</f>
        <v>0</v>
      </c>
      <c r="K1442" s="31">
        <f>CASOPOInvCL!W1442</f>
        <v>0</v>
      </c>
      <c r="L1442" s="31">
        <f>CASOPOInvCL!X1442</f>
        <v>0</v>
      </c>
      <c r="M1442" s="31"/>
      <c r="N1442" s="5">
        <f>CASOPOInvCL!AF1442</f>
        <v>0</v>
      </c>
      <c r="O1442" s="16">
        <f>CASOPOInvCL!AG1442</f>
        <v>0</v>
      </c>
      <c r="P1442" s="16">
        <f>CASOPOInvCL!AH1442</f>
        <v>0</v>
      </c>
      <c r="Q1442" s="16">
        <f>CASOPOInvCL!AI1442</f>
        <v>0</v>
      </c>
      <c r="R1442" s="32">
        <f>CASOPOInvCL!AU1442</f>
        <v>0</v>
      </c>
      <c r="S1442" s="16">
        <f>CASOPOInvCL!AV1442</f>
        <v>0</v>
      </c>
      <c r="T1442" s="16">
        <f>CASOPOInvCL!AW1442</f>
        <v>0</v>
      </c>
      <c r="Y1442" s="29" t="str">
        <f>IFERROR(HLOOKUP(U1449,List!$D$2:$H$6,2,FALSE),"")</f>
        <v/>
      </c>
      <c r="Z1442" s="29" t="str">
        <f>IFERROR(HLOOKUP(V1449,List!$D$2:$H$6,3,FALSE),"")</f>
        <v/>
      </c>
      <c r="AA1442" s="29" t="str">
        <f>IFERROR(HLOOKUP(W1449,List!$D$2:$H$6,4,FALSE),"")</f>
        <v/>
      </c>
      <c r="AB1442" s="29" t="str">
        <f>IFERROR(HLOOKUP(X1449,List!$D$2:$H$6,5,FALSE),"")</f>
        <v/>
      </c>
      <c r="AC1442" s="12" t="str">
        <f t="shared" si="325"/>
        <v/>
      </c>
      <c r="AD1442" s="12" t="str">
        <f t="shared" si="325"/>
        <v/>
      </c>
      <c r="AE1442" s="12" t="str">
        <f t="shared" si="325"/>
        <v/>
      </c>
      <c r="AF1442" s="12" t="str">
        <f t="shared" si="325"/>
        <v/>
      </c>
      <c r="AM1442" s="12" t="str">
        <f t="shared" si="321"/>
        <v/>
      </c>
      <c r="AN1442" s="12" t="str">
        <f t="shared" si="322"/>
        <v/>
      </c>
      <c r="AO1442" s="12" t="str">
        <f t="shared" si="323"/>
        <v/>
      </c>
      <c r="AP1442" s="12" t="str">
        <f t="shared" si="324"/>
        <v/>
      </c>
      <c r="AQ1442" s="12"/>
      <c r="AS1442" s="12">
        <f t="shared" si="326"/>
        <v>0</v>
      </c>
    </row>
    <row r="1443" spans="1:45" hidden="1" x14ac:dyDescent="0.25">
      <c r="A1443" s="41">
        <f>CASOPOInvCL!T1443</f>
        <v>0</v>
      </c>
      <c r="B1443">
        <f>CASOPOInvCL!Z1443</f>
        <v>0</v>
      </c>
      <c r="G1443" s="5">
        <f>CASOPOInvCL!I1443</f>
        <v>0</v>
      </c>
      <c r="H1443" s="31">
        <f>CASOPOInvCL!U1443</f>
        <v>0</v>
      </c>
      <c r="I1443" s="31">
        <f>CASOPOInvCL!V1443</f>
        <v>0</v>
      </c>
      <c r="J1443" s="5">
        <f>CASOPOInvCL!AB1443</f>
        <v>0</v>
      </c>
      <c r="K1443" s="31">
        <f>CASOPOInvCL!W1443</f>
        <v>0</v>
      </c>
      <c r="L1443" s="31">
        <f>CASOPOInvCL!X1443</f>
        <v>0</v>
      </c>
      <c r="M1443" s="31"/>
      <c r="N1443" s="5">
        <f>CASOPOInvCL!AF1443</f>
        <v>0</v>
      </c>
      <c r="O1443" s="16">
        <f>CASOPOInvCL!AG1443</f>
        <v>0</v>
      </c>
      <c r="P1443" s="16">
        <f>CASOPOInvCL!AH1443</f>
        <v>0</v>
      </c>
      <c r="Q1443" s="16">
        <f>CASOPOInvCL!AI1443</f>
        <v>0</v>
      </c>
      <c r="R1443" s="32">
        <f>CASOPOInvCL!AU1443</f>
        <v>0</v>
      </c>
      <c r="S1443" s="16">
        <f>CASOPOInvCL!AV1443</f>
        <v>0</v>
      </c>
      <c r="T1443" s="16">
        <f>CASOPOInvCL!AW1443</f>
        <v>0</v>
      </c>
      <c r="Y1443" s="29" t="str">
        <f>IFERROR(HLOOKUP(U1450,List!$D$2:$H$6,2,FALSE),"")</f>
        <v/>
      </c>
      <c r="Z1443" s="29" t="str">
        <f>IFERROR(HLOOKUP(V1450,List!$D$2:$H$6,3,FALSE),"")</f>
        <v/>
      </c>
      <c r="AA1443" s="29" t="str">
        <f>IFERROR(HLOOKUP(W1450,List!$D$2:$H$6,4,FALSE),"")</f>
        <v/>
      </c>
      <c r="AB1443" s="29" t="str">
        <f>IFERROR(HLOOKUP(X1450,List!$D$2:$H$6,5,FALSE),"")</f>
        <v/>
      </c>
      <c r="AC1443" s="12" t="str">
        <f t="shared" si="325"/>
        <v/>
      </c>
      <c r="AD1443" s="12" t="str">
        <f t="shared" si="325"/>
        <v/>
      </c>
      <c r="AE1443" s="12" t="str">
        <f t="shared" si="325"/>
        <v/>
      </c>
      <c r="AF1443" s="12" t="str">
        <f t="shared" si="325"/>
        <v/>
      </c>
      <c r="AM1443" s="12" t="str">
        <f t="shared" si="321"/>
        <v/>
      </c>
      <c r="AN1443" s="12" t="str">
        <f t="shared" si="322"/>
        <v/>
      </c>
      <c r="AO1443" s="12" t="str">
        <f t="shared" si="323"/>
        <v/>
      </c>
      <c r="AP1443" s="12" t="str">
        <f t="shared" si="324"/>
        <v/>
      </c>
      <c r="AQ1443" s="12"/>
      <c r="AS1443" s="12">
        <f t="shared" si="326"/>
        <v>0</v>
      </c>
    </row>
    <row r="1444" spans="1:45" hidden="1" x14ac:dyDescent="0.25">
      <c r="A1444" s="41">
        <f>CASOPOInvCL!T1444</f>
        <v>0</v>
      </c>
      <c r="B1444">
        <f>CASOPOInvCL!Z1444</f>
        <v>0</v>
      </c>
      <c r="G1444" s="5">
        <f>CASOPOInvCL!I1444</f>
        <v>0</v>
      </c>
      <c r="H1444" s="31">
        <f>CASOPOInvCL!U1444</f>
        <v>0</v>
      </c>
      <c r="I1444" s="31">
        <f>CASOPOInvCL!V1444</f>
        <v>0</v>
      </c>
      <c r="J1444" s="5">
        <f>CASOPOInvCL!AB1444</f>
        <v>0</v>
      </c>
      <c r="K1444" s="31">
        <f>CASOPOInvCL!W1444</f>
        <v>0</v>
      </c>
      <c r="L1444" s="31">
        <f>CASOPOInvCL!X1444</f>
        <v>0</v>
      </c>
      <c r="M1444" s="31"/>
      <c r="N1444" s="5">
        <f>CASOPOInvCL!AF1444</f>
        <v>0</v>
      </c>
      <c r="O1444" s="16">
        <f>CASOPOInvCL!AG1444</f>
        <v>0</v>
      </c>
      <c r="P1444" s="16">
        <f>CASOPOInvCL!AH1444</f>
        <v>0</v>
      </c>
      <c r="Q1444" s="16">
        <f>CASOPOInvCL!AI1444</f>
        <v>0</v>
      </c>
      <c r="R1444" s="32">
        <f>CASOPOInvCL!AU1444</f>
        <v>0</v>
      </c>
      <c r="S1444" s="16">
        <f>CASOPOInvCL!AV1444</f>
        <v>0</v>
      </c>
      <c r="T1444" s="16">
        <f>CASOPOInvCL!AW1444</f>
        <v>0</v>
      </c>
      <c r="Y1444" s="29" t="str">
        <f>IFERROR(HLOOKUP(U1451,List!$D$2:$H$6,2,FALSE),"")</f>
        <v/>
      </c>
      <c r="Z1444" s="29" t="str">
        <f>IFERROR(HLOOKUP(V1451,List!$D$2:$H$6,3,FALSE),"")</f>
        <v/>
      </c>
      <c r="AA1444" s="29" t="str">
        <f>IFERROR(HLOOKUP(W1451,List!$D$2:$H$6,4,FALSE),"")</f>
        <v/>
      </c>
      <c r="AB1444" s="29" t="str">
        <f>IFERROR(HLOOKUP(X1451,List!$D$2:$H$6,5,FALSE),"")</f>
        <v/>
      </c>
      <c r="AC1444" s="12" t="str">
        <f t="shared" si="325"/>
        <v/>
      </c>
      <c r="AD1444" s="12" t="str">
        <f t="shared" si="325"/>
        <v/>
      </c>
      <c r="AE1444" s="12" t="str">
        <f t="shared" si="325"/>
        <v/>
      </c>
      <c r="AF1444" s="12" t="str">
        <f t="shared" si="325"/>
        <v/>
      </c>
      <c r="AM1444" s="12" t="str">
        <f t="shared" si="321"/>
        <v/>
      </c>
      <c r="AN1444" s="12" t="str">
        <f t="shared" si="322"/>
        <v/>
      </c>
      <c r="AO1444" s="12" t="str">
        <f t="shared" si="323"/>
        <v/>
      </c>
      <c r="AP1444" s="12" t="str">
        <f t="shared" si="324"/>
        <v/>
      </c>
      <c r="AQ1444" s="12"/>
      <c r="AS1444" s="12">
        <f t="shared" si="326"/>
        <v>0</v>
      </c>
    </row>
    <row r="1445" spans="1:45" hidden="1" x14ac:dyDescent="0.25">
      <c r="A1445" s="41">
        <f>CASOPOInvCL!T1445</f>
        <v>0</v>
      </c>
      <c r="B1445">
        <f>CASOPOInvCL!Z1445</f>
        <v>0</v>
      </c>
      <c r="G1445" s="5">
        <f>CASOPOInvCL!I1445</f>
        <v>0</v>
      </c>
      <c r="H1445" s="31">
        <f>CASOPOInvCL!U1445</f>
        <v>0</v>
      </c>
      <c r="I1445" s="31">
        <f>CASOPOInvCL!V1445</f>
        <v>0</v>
      </c>
      <c r="J1445" s="5">
        <f>CASOPOInvCL!AB1445</f>
        <v>0</v>
      </c>
      <c r="K1445" s="31">
        <f>CASOPOInvCL!W1445</f>
        <v>0</v>
      </c>
      <c r="L1445" s="31">
        <f>CASOPOInvCL!X1445</f>
        <v>0</v>
      </c>
      <c r="M1445" s="31"/>
      <c r="N1445" s="5">
        <f>CASOPOInvCL!AF1445</f>
        <v>0</v>
      </c>
      <c r="O1445" s="16">
        <f>CASOPOInvCL!AG1445</f>
        <v>0</v>
      </c>
      <c r="P1445" s="16">
        <f>CASOPOInvCL!AH1445</f>
        <v>0</v>
      </c>
      <c r="Q1445" s="16">
        <f>CASOPOInvCL!AI1445</f>
        <v>0</v>
      </c>
      <c r="R1445" s="32">
        <f>CASOPOInvCL!AU1445</f>
        <v>0</v>
      </c>
      <c r="S1445" s="16">
        <f>CASOPOInvCL!AV1445</f>
        <v>0</v>
      </c>
      <c r="T1445" s="16">
        <f>CASOPOInvCL!AW1445</f>
        <v>0</v>
      </c>
      <c r="Y1445" s="29" t="str">
        <f>IFERROR(HLOOKUP(U1452,List!$D$2:$H$6,2,FALSE),"")</f>
        <v/>
      </c>
      <c r="Z1445" s="29" t="str">
        <f>IFERROR(HLOOKUP(V1452,List!$D$2:$H$6,3,FALSE),"")</f>
        <v/>
      </c>
      <c r="AA1445" s="29" t="str">
        <f>IFERROR(HLOOKUP(W1452,List!$D$2:$H$6,4,FALSE),"")</f>
        <v/>
      </c>
      <c r="AB1445" s="29" t="str">
        <f>IFERROR(HLOOKUP(X1452,List!$D$2:$H$6,5,FALSE),"")</f>
        <v/>
      </c>
      <c r="AC1445" s="12" t="str">
        <f t="shared" si="325"/>
        <v/>
      </c>
      <c r="AD1445" s="12" t="str">
        <f t="shared" si="325"/>
        <v/>
      </c>
      <c r="AE1445" s="12" t="str">
        <f t="shared" si="325"/>
        <v/>
      </c>
      <c r="AF1445" s="12" t="str">
        <f t="shared" si="325"/>
        <v/>
      </c>
      <c r="AM1445" s="12" t="str">
        <f t="shared" si="321"/>
        <v/>
      </c>
      <c r="AN1445" s="12" t="str">
        <f t="shared" si="322"/>
        <v/>
      </c>
      <c r="AO1445" s="12" t="str">
        <f t="shared" si="323"/>
        <v/>
      </c>
      <c r="AP1445" s="12" t="str">
        <f t="shared" si="324"/>
        <v/>
      </c>
      <c r="AQ1445" s="12"/>
      <c r="AS1445" s="12">
        <f t="shared" si="326"/>
        <v>0</v>
      </c>
    </row>
    <row r="1446" spans="1:45" hidden="1" x14ac:dyDescent="0.25">
      <c r="A1446" s="41">
        <f>CASOPOInvCL!T1446</f>
        <v>0</v>
      </c>
      <c r="B1446">
        <f>CASOPOInvCL!Z1446</f>
        <v>0</v>
      </c>
      <c r="G1446" s="5">
        <f>CASOPOInvCL!I1446</f>
        <v>0</v>
      </c>
      <c r="H1446" s="31">
        <f>CASOPOInvCL!U1446</f>
        <v>0</v>
      </c>
      <c r="I1446" s="31">
        <f>CASOPOInvCL!V1446</f>
        <v>0</v>
      </c>
      <c r="J1446" s="5">
        <f>CASOPOInvCL!AB1446</f>
        <v>0</v>
      </c>
      <c r="K1446" s="31">
        <f>CASOPOInvCL!W1446</f>
        <v>0</v>
      </c>
      <c r="L1446" s="31">
        <f>CASOPOInvCL!X1446</f>
        <v>0</v>
      </c>
      <c r="M1446" s="31"/>
      <c r="N1446" s="5">
        <f>CASOPOInvCL!AF1446</f>
        <v>0</v>
      </c>
      <c r="O1446" s="16">
        <f>CASOPOInvCL!AG1446</f>
        <v>0</v>
      </c>
      <c r="P1446" s="16">
        <f>CASOPOInvCL!AH1446</f>
        <v>0</v>
      </c>
      <c r="Q1446" s="16">
        <f>CASOPOInvCL!AI1446</f>
        <v>0</v>
      </c>
      <c r="R1446" s="32">
        <f>CASOPOInvCL!AU1446</f>
        <v>0</v>
      </c>
      <c r="S1446" s="16">
        <f>CASOPOInvCL!AV1446</f>
        <v>0</v>
      </c>
      <c r="T1446" s="16">
        <f>CASOPOInvCL!AW1446</f>
        <v>0</v>
      </c>
      <c r="Y1446" s="29" t="str">
        <f>IFERROR(HLOOKUP(U1453,List!$D$2:$H$6,2,FALSE),"")</f>
        <v/>
      </c>
      <c r="Z1446" s="29" t="str">
        <f>IFERROR(HLOOKUP(V1453,List!$D$2:$H$6,3,FALSE),"")</f>
        <v/>
      </c>
      <c r="AA1446" s="29" t="str">
        <f>IFERROR(HLOOKUP(W1453,List!$D$2:$H$6,4,FALSE),"")</f>
        <v/>
      </c>
      <c r="AB1446" s="29" t="str">
        <f>IFERROR(HLOOKUP(X1453,List!$D$2:$H$6,5,FALSE),"")</f>
        <v/>
      </c>
      <c r="AC1446" s="12" t="str">
        <f t="shared" si="325"/>
        <v/>
      </c>
      <c r="AD1446" s="12" t="str">
        <f t="shared" si="325"/>
        <v/>
      </c>
      <c r="AE1446" s="12" t="str">
        <f t="shared" si="325"/>
        <v/>
      </c>
      <c r="AF1446" s="12" t="str">
        <f t="shared" si="325"/>
        <v/>
      </c>
      <c r="AM1446" s="12" t="str">
        <f t="shared" si="321"/>
        <v/>
      </c>
      <c r="AN1446" s="12" t="str">
        <f t="shared" si="322"/>
        <v/>
      </c>
      <c r="AO1446" s="12" t="str">
        <f t="shared" si="323"/>
        <v/>
      </c>
      <c r="AP1446" s="12" t="str">
        <f t="shared" si="324"/>
        <v/>
      </c>
      <c r="AQ1446" s="12"/>
      <c r="AS1446" s="12">
        <f t="shared" si="326"/>
        <v>0</v>
      </c>
    </row>
    <row r="1447" spans="1:45" hidden="1" x14ac:dyDescent="0.25">
      <c r="A1447" s="41">
        <f>CASOPOInvCL!T1447</f>
        <v>0</v>
      </c>
      <c r="B1447">
        <f>CASOPOInvCL!Z1447</f>
        <v>0</v>
      </c>
      <c r="G1447" s="5">
        <f>CASOPOInvCL!I1447</f>
        <v>0</v>
      </c>
      <c r="H1447" s="31">
        <f>CASOPOInvCL!U1447</f>
        <v>0</v>
      </c>
      <c r="I1447" s="31">
        <f>CASOPOInvCL!V1447</f>
        <v>0</v>
      </c>
      <c r="J1447" s="5">
        <f>CASOPOInvCL!AB1447</f>
        <v>0</v>
      </c>
      <c r="K1447" s="31">
        <f>CASOPOInvCL!W1447</f>
        <v>0</v>
      </c>
      <c r="L1447" s="31">
        <f>CASOPOInvCL!X1447</f>
        <v>0</v>
      </c>
      <c r="M1447" s="31"/>
      <c r="N1447" s="5">
        <f>CASOPOInvCL!AF1447</f>
        <v>0</v>
      </c>
      <c r="O1447" s="16">
        <f>CASOPOInvCL!AG1447</f>
        <v>0</v>
      </c>
      <c r="P1447" s="16">
        <f>CASOPOInvCL!AH1447</f>
        <v>0</v>
      </c>
      <c r="Q1447" s="16">
        <f>CASOPOInvCL!AI1447</f>
        <v>0</v>
      </c>
      <c r="R1447" s="32">
        <f>CASOPOInvCL!AU1447</f>
        <v>0</v>
      </c>
      <c r="S1447" s="16">
        <f>CASOPOInvCL!AV1447</f>
        <v>0</v>
      </c>
      <c r="T1447" s="16">
        <f>CASOPOInvCL!AW1447</f>
        <v>0</v>
      </c>
      <c r="Y1447" s="29" t="str">
        <f>IFERROR(HLOOKUP(U1454,List!$D$2:$H$6,2,FALSE),"")</f>
        <v/>
      </c>
      <c r="Z1447" s="29" t="str">
        <f>IFERROR(HLOOKUP(V1454,List!$D$2:$H$6,3,FALSE),"")</f>
        <v/>
      </c>
      <c r="AA1447" s="29" t="str">
        <f>IFERROR(HLOOKUP(W1454,List!$D$2:$H$6,4,FALSE),"")</f>
        <v/>
      </c>
      <c r="AB1447" s="29" t="str">
        <f>IFERROR(HLOOKUP(X1454,List!$D$2:$H$6,5,FALSE),"")</f>
        <v/>
      </c>
      <c r="AC1447" s="12" t="str">
        <f t="shared" si="325"/>
        <v/>
      </c>
      <c r="AD1447" s="12" t="str">
        <f t="shared" si="325"/>
        <v/>
      </c>
      <c r="AE1447" s="12" t="str">
        <f t="shared" si="325"/>
        <v/>
      </c>
      <c r="AF1447" s="12" t="str">
        <f t="shared" si="325"/>
        <v/>
      </c>
      <c r="AM1447" s="12" t="str">
        <f t="shared" si="321"/>
        <v/>
      </c>
      <c r="AN1447" s="12" t="str">
        <f t="shared" si="322"/>
        <v/>
      </c>
      <c r="AO1447" s="12" t="str">
        <f t="shared" si="323"/>
        <v/>
      </c>
      <c r="AP1447" s="12" t="str">
        <f t="shared" si="324"/>
        <v/>
      </c>
      <c r="AQ1447" s="12"/>
      <c r="AS1447" s="12">
        <f t="shared" si="326"/>
        <v>0</v>
      </c>
    </row>
    <row r="1448" spans="1:45" hidden="1" x14ac:dyDescent="0.25">
      <c r="A1448" s="41">
        <f>CASOPOInvCL!T1448</f>
        <v>0</v>
      </c>
      <c r="B1448">
        <f>CASOPOInvCL!Z1448</f>
        <v>0</v>
      </c>
      <c r="G1448" s="5">
        <f>CASOPOInvCL!I1448</f>
        <v>0</v>
      </c>
      <c r="H1448" s="31">
        <f>CASOPOInvCL!U1448</f>
        <v>0</v>
      </c>
      <c r="I1448" s="31">
        <f>CASOPOInvCL!V1448</f>
        <v>0</v>
      </c>
      <c r="J1448" s="5">
        <f>CASOPOInvCL!AB1448</f>
        <v>0</v>
      </c>
      <c r="K1448" s="31">
        <f>CASOPOInvCL!W1448</f>
        <v>0</v>
      </c>
      <c r="L1448" s="31">
        <f>CASOPOInvCL!X1448</f>
        <v>0</v>
      </c>
      <c r="M1448" s="31"/>
      <c r="N1448" s="5">
        <f>CASOPOInvCL!AF1448</f>
        <v>0</v>
      </c>
      <c r="O1448" s="16">
        <f>CASOPOInvCL!AG1448</f>
        <v>0</v>
      </c>
      <c r="P1448" s="16">
        <f>CASOPOInvCL!AH1448</f>
        <v>0</v>
      </c>
      <c r="Q1448" s="16">
        <f>CASOPOInvCL!AI1448</f>
        <v>0</v>
      </c>
      <c r="R1448" s="32">
        <f>CASOPOInvCL!AU1448</f>
        <v>0</v>
      </c>
      <c r="S1448" s="16">
        <f>CASOPOInvCL!AV1448</f>
        <v>0</v>
      </c>
      <c r="T1448" s="16">
        <f>CASOPOInvCL!AW1448</f>
        <v>0</v>
      </c>
      <c r="Y1448" s="29" t="str">
        <f>IFERROR(HLOOKUP(U1455,List!$D$2:$H$6,2,FALSE),"")</f>
        <v/>
      </c>
      <c r="Z1448" s="29" t="str">
        <f>IFERROR(HLOOKUP(V1455,List!$D$2:$H$6,3,FALSE),"")</f>
        <v/>
      </c>
      <c r="AA1448" s="29" t="str">
        <f>IFERROR(HLOOKUP(W1455,List!$D$2:$H$6,4,FALSE),"")</f>
        <v/>
      </c>
      <c r="AB1448" s="29" t="str">
        <f>IFERROR(HLOOKUP(X1455,List!$D$2:$H$6,5,FALSE),"")</f>
        <v/>
      </c>
      <c r="AC1448" s="12" t="str">
        <f t="shared" si="325"/>
        <v/>
      </c>
      <c r="AD1448" s="12" t="str">
        <f t="shared" si="325"/>
        <v/>
      </c>
      <c r="AE1448" s="12" t="str">
        <f t="shared" si="325"/>
        <v/>
      </c>
      <c r="AF1448" s="12" t="str">
        <f t="shared" si="325"/>
        <v/>
      </c>
      <c r="AM1448" s="12" t="str">
        <f t="shared" si="321"/>
        <v/>
      </c>
      <c r="AN1448" s="12" t="str">
        <f t="shared" si="322"/>
        <v/>
      </c>
      <c r="AO1448" s="12" t="str">
        <f t="shared" si="323"/>
        <v/>
      </c>
      <c r="AP1448" s="12" t="str">
        <f t="shared" si="324"/>
        <v/>
      </c>
      <c r="AQ1448" s="12"/>
      <c r="AS1448" s="12">
        <f t="shared" si="326"/>
        <v>0</v>
      </c>
    </row>
    <row r="1449" spans="1:45" hidden="1" x14ac:dyDescent="0.25">
      <c r="A1449" s="41">
        <f>CASOPOInvCL!T1449</f>
        <v>0</v>
      </c>
      <c r="B1449">
        <f>CASOPOInvCL!Z1449</f>
        <v>0</v>
      </c>
      <c r="G1449" s="5">
        <f>CASOPOInvCL!I1449</f>
        <v>0</v>
      </c>
      <c r="H1449" s="31">
        <f>CASOPOInvCL!U1449</f>
        <v>0</v>
      </c>
      <c r="I1449" s="31">
        <f>CASOPOInvCL!V1449</f>
        <v>0</v>
      </c>
      <c r="J1449" s="5">
        <f>CASOPOInvCL!AB1449</f>
        <v>0</v>
      </c>
      <c r="K1449" s="31">
        <f>CASOPOInvCL!W1449</f>
        <v>0</v>
      </c>
      <c r="L1449" s="31">
        <f>CASOPOInvCL!X1449</f>
        <v>0</v>
      </c>
      <c r="M1449" s="31"/>
      <c r="N1449" s="5">
        <f>CASOPOInvCL!AF1449</f>
        <v>0</v>
      </c>
      <c r="O1449" s="16">
        <f>CASOPOInvCL!AG1449</f>
        <v>0</v>
      </c>
      <c r="P1449" s="16">
        <f>CASOPOInvCL!AH1449</f>
        <v>0</v>
      </c>
      <c r="Q1449" s="16">
        <f>CASOPOInvCL!AI1449</f>
        <v>0</v>
      </c>
      <c r="R1449" s="32">
        <f>CASOPOInvCL!AU1449</f>
        <v>0</v>
      </c>
      <c r="S1449" s="16">
        <f>CASOPOInvCL!AV1449</f>
        <v>0</v>
      </c>
      <c r="T1449" s="16">
        <f>CASOPOInvCL!AW1449</f>
        <v>0</v>
      </c>
      <c r="Y1449" s="29" t="str">
        <f>IFERROR(HLOOKUP(U1456,List!$D$2:$H$6,2,FALSE),"")</f>
        <v/>
      </c>
      <c r="Z1449" s="29" t="str">
        <f>IFERROR(HLOOKUP(V1456,List!$D$2:$H$6,3,FALSE),"")</f>
        <v/>
      </c>
      <c r="AA1449" s="29" t="str">
        <f>IFERROR(HLOOKUP(W1456,List!$D$2:$H$6,4,FALSE),"")</f>
        <v/>
      </c>
      <c r="AB1449" s="29" t="str">
        <f>IFERROR(HLOOKUP(X1456,List!$D$2:$H$6,5,FALSE),"")</f>
        <v/>
      </c>
      <c r="AC1449" s="12" t="str">
        <f t="shared" si="325"/>
        <v/>
      </c>
      <c r="AD1449" s="12" t="str">
        <f t="shared" si="325"/>
        <v/>
      </c>
      <c r="AE1449" s="12" t="str">
        <f t="shared" si="325"/>
        <v/>
      </c>
      <c r="AF1449" s="12" t="str">
        <f t="shared" si="325"/>
        <v/>
      </c>
      <c r="AM1449" s="12" t="str">
        <f t="shared" si="321"/>
        <v/>
      </c>
      <c r="AN1449" s="12" t="str">
        <f t="shared" si="322"/>
        <v/>
      </c>
      <c r="AO1449" s="12" t="str">
        <f t="shared" si="323"/>
        <v/>
      </c>
      <c r="AP1449" s="12" t="str">
        <f t="shared" si="324"/>
        <v/>
      </c>
      <c r="AQ1449" s="12"/>
      <c r="AS1449" s="12">
        <f t="shared" si="326"/>
        <v>0</v>
      </c>
    </row>
    <row r="1450" spans="1:45" hidden="1" x14ac:dyDescent="0.25">
      <c r="A1450" s="41">
        <f>CASOPOInvCL!T1450</f>
        <v>0</v>
      </c>
      <c r="B1450">
        <f>CASOPOInvCL!Z1450</f>
        <v>0</v>
      </c>
      <c r="G1450" s="5">
        <f>CASOPOInvCL!I1450</f>
        <v>0</v>
      </c>
      <c r="H1450" s="31">
        <f>CASOPOInvCL!U1450</f>
        <v>0</v>
      </c>
      <c r="I1450" s="31">
        <f>CASOPOInvCL!V1450</f>
        <v>0</v>
      </c>
      <c r="J1450" s="5">
        <f>CASOPOInvCL!AB1450</f>
        <v>0</v>
      </c>
      <c r="K1450" s="31">
        <f>CASOPOInvCL!W1450</f>
        <v>0</v>
      </c>
      <c r="L1450" s="31">
        <f>CASOPOInvCL!X1450</f>
        <v>0</v>
      </c>
      <c r="M1450" s="31"/>
      <c r="N1450" s="5">
        <f>CASOPOInvCL!AF1450</f>
        <v>0</v>
      </c>
      <c r="O1450" s="16">
        <f>CASOPOInvCL!AG1450</f>
        <v>0</v>
      </c>
      <c r="P1450" s="16">
        <f>CASOPOInvCL!AH1450</f>
        <v>0</v>
      </c>
      <c r="Q1450" s="16">
        <f>CASOPOInvCL!AI1450</f>
        <v>0</v>
      </c>
      <c r="R1450" s="32">
        <f>CASOPOInvCL!AU1450</f>
        <v>0</v>
      </c>
      <c r="S1450" s="16">
        <f>CASOPOInvCL!AV1450</f>
        <v>0</v>
      </c>
      <c r="T1450" s="16">
        <f>CASOPOInvCL!AW1450</f>
        <v>0</v>
      </c>
      <c r="Y1450" s="29" t="str">
        <f>IFERROR(HLOOKUP(U1457,List!$D$2:$H$6,2,FALSE),"")</f>
        <v/>
      </c>
      <c r="Z1450" s="29" t="str">
        <f>IFERROR(HLOOKUP(V1457,List!$D$2:$H$6,3,FALSE),"")</f>
        <v/>
      </c>
      <c r="AA1450" s="29" t="str">
        <f>IFERROR(HLOOKUP(W1457,List!$D$2:$H$6,4,FALSE),"")</f>
        <v/>
      </c>
      <c r="AB1450" s="29" t="str">
        <f>IFERROR(HLOOKUP(X1457,List!$D$2:$H$6,5,FALSE),"")</f>
        <v/>
      </c>
      <c r="AC1450" s="12" t="str">
        <f t="shared" si="325"/>
        <v/>
      </c>
      <c r="AD1450" s="12" t="str">
        <f t="shared" si="325"/>
        <v/>
      </c>
      <c r="AE1450" s="12" t="str">
        <f t="shared" si="325"/>
        <v/>
      </c>
      <c r="AF1450" s="12" t="str">
        <f t="shared" si="325"/>
        <v/>
      </c>
      <c r="AM1450" s="12" t="str">
        <f t="shared" si="321"/>
        <v/>
      </c>
      <c r="AN1450" s="12" t="str">
        <f t="shared" si="322"/>
        <v/>
      </c>
      <c r="AO1450" s="12" t="str">
        <f t="shared" si="323"/>
        <v/>
      </c>
      <c r="AP1450" s="12" t="str">
        <f t="shared" si="324"/>
        <v/>
      </c>
      <c r="AQ1450" s="12"/>
      <c r="AS1450" s="12">
        <f t="shared" si="326"/>
        <v>0</v>
      </c>
    </row>
    <row r="1451" spans="1:45" hidden="1" x14ac:dyDescent="0.25">
      <c r="A1451" s="41">
        <f>CASOPOInvCL!T1451</f>
        <v>0</v>
      </c>
      <c r="B1451">
        <f>CASOPOInvCL!Z1451</f>
        <v>0</v>
      </c>
      <c r="G1451" s="5">
        <f>CASOPOInvCL!I1451</f>
        <v>0</v>
      </c>
      <c r="H1451" s="31">
        <f>CASOPOInvCL!U1451</f>
        <v>0</v>
      </c>
      <c r="I1451" s="31">
        <f>CASOPOInvCL!V1451</f>
        <v>0</v>
      </c>
      <c r="J1451" s="5">
        <f>CASOPOInvCL!AB1451</f>
        <v>0</v>
      </c>
      <c r="K1451" s="31">
        <f>CASOPOInvCL!W1451</f>
        <v>0</v>
      </c>
      <c r="L1451" s="31">
        <f>CASOPOInvCL!X1451</f>
        <v>0</v>
      </c>
      <c r="M1451" s="31"/>
      <c r="N1451" s="5">
        <f>CASOPOInvCL!AF1451</f>
        <v>0</v>
      </c>
      <c r="O1451" s="16">
        <f>CASOPOInvCL!AG1451</f>
        <v>0</v>
      </c>
      <c r="P1451" s="16">
        <f>CASOPOInvCL!AH1451</f>
        <v>0</v>
      </c>
      <c r="Q1451" s="16">
        <f>CASOPOInvCL!AI1451</f>
        <v>0</v>
      </c>
      <c r="R1451" s="32">
        <f>CASOPOInvCL!AU1451</f>
        <v>0</v>
      </c>
      <c r="S1451" s="16">
        <f>CASOPOInvCL!AV1451</f>
        <v>0</v>
      </c>
      <c r="T1451" s="16">
        <f>CASOPOInvCL!AW1451</f>
        <v>0</v>
      </c>
      <c r="Y1451" s="29" t="str">
        <f>IFERROR(HLOOKUP(U1458,List!$D$2:$H$6,2,FALSE),"")</f>
        <v/>
      </c>
      <c r="Z1451" s="29" t="str">
        <f>IFERROR(HLOOKUP(V1458,List!$D$2:$H$6,3,FALSE),"")</f>
        <v/>
      </c>
      <c r="AA1451" s="29" t="str">
        <f>IFERROR(HLOOKUP(W1458,List!$D$2:$H$6,4,FALSE),"")</f>
        <v/>
      </c>
      <c r="AB1451" s="29" t="str">
        <f>IFERROR(HLOOKUP(X1458,List!$D$2:$H$6,5,FALSE),"")</f>
        <v/>
      </c>
      <c r="AC1451" s="12" t="str">
        <f t="shared" si="325"/>
        <v/>
      </c>
      <c r="AD1451" s="12" t="str">
        <f t="shared" si="325"/>
        <v/>
      </c>
      <c r="AE1451" s="12" t="str">
        <f t="shared" si="325"/>
        <v/>
      </c>
      <c r="AF1451" s="12" t="str">
        <f t="shared" si="325"/>
        <v/>
      </c>
      <c r="AM1451" s="12" t="str">
        <f t="shared" si="321"/>
        <v/>
      </c>
      <c r="AN1451" s="12" t="str">
        <f t="shared" si="322"/>
        <v/>
      </c>
      <c r="AO1451" s="12" t="str">
        <f t="shared" si="323"/>
        <v/>
      </c>
      <c r="AP1451" s="12" t="str">
        <f t="shared" si="324"/>
        <v/>
      </c>
      <c r="AQ1451" s="12"/>
      <c r="AS1451" s="12">
        <f t="shared" si="326"/>
        <v>0</v>
      </c>
    </row>
    <row r="1452" spans="1:45" hidden="1" x14ac:dyDescent="0.25">
      <c r="A1452" s="41">
        <f>CASOPOInvCL!T1452</f>
        <v>0</v>
      </c>
      <c r="B1452">
        <f>CASOPOInvCL!Z1452</f>
        <v>0</v>
      </c>
      <c r="G1452" s="5">
        <f>CASOPOInvCL!I1452</f>
        <v>0</v>
      </c>
      <c r="H1452" s="31">
        <f>CASOPOInvCL!U1452</f>
        <v>0</v>
      </c>
      <c r="I1452" s="31">
        <f>CASOPOInvCL!V1452</f>
        <v>0</v>
      </c>
      <c r="J1452" s="5">
        <f>CASOPOInvCL!AB1452</f>
        <v>0</v>
      </c>
      <c r="K1452" s="31">
        <f>CASOPOInvCL!W1452</f>
        <v>0</v>
      </c>
      <c r="L1452" s="31">
        <f>CASOPOInvCL!X1452</f>
        <v>0</v>
      </c>
      <c r="M1452" s="31"/>
      <c r="N1452" s="5">
        <f>CASOPOInvCL!AF1452</f>
        <v>0</v>
      </c>
      <c r="O1452" s="16">
        <f>CASOPOInvCL!AG1452</f>
        <v>0</v>
      </c>
      <c r="P1452" s="16">
        <f>CASOPOInvCL!AH1452</f>
        <v>0</v>
      </c>
      <c r="Q1452" s="16">
        <f>CASOPOInvCL!AI1452</f>
        <v>0</v>
      </c>
      <c r="R1452" s="32">
        <f>CASOPOInvCL!AU1452</f>
        <v>0</v>
      </c>
      <c r="S1452" s="16">
        <f>CASOPOInvCL!AV1452</f>
        <v>0</v>
      </c>
      <c r="T1452" s="16">
        <f>CASOPOInvCL!AW1452</f>
        <v>0</v>
      </c>
      <c r="Y1452" s="29" t="str">
        <f>IFERROR(HLOOKUP(U1459,List!$D$2:$H$6,2,FALSE),"")</f>
        <v/>
      </c>
      <c r="Z1452" s="29" t="str">
        <f>IFERROR(HLOOKUP(V1459,List!$D$2:$H$6,3,FALSE),"")</f>
        <v/>
      </c>
      <c r="AA1452" s="29" t="str">
        <f>IFERROR(HLOOKUP(W1459,List!$D$2:$H$6,4,FALSE),"")</f>
        <v/>
      </c>
      <c r="AB1452" s="29" t="str">
        <f>IFERROR(HLOOKUP(X1459,List!$D$2:$H$6,5,FALSE),"")</f>
        <v/>
      </c>
      <c r="AC1452" s="12" t="str">
        <f t="shared" si="325"/>
        <v/>
      </c>
      <c r="AD1452" s="12" t="str">
        <f t="shared" si="325"/>
        <v/>
      </c>
      <c r="AE1452" s="12" t="str">
        <f t="shared" si="325"/>
        <v/>
      </c>
      <c r="AF1452" s="12" t="str">
        <f t="shared" si="325"/>
        <v/>
      </c>
      <c r="AM1452" s="12" t="str">
        <f t="shared" si="321"/>
        <v/>
      </c>
      <c r="AN1452" s="12" t="str">
        <f t="shared" si="322"/>
        <v/>
      </c>
      <c r="AO1452" s="12" t="str">
        <f t="shared" si="323"/>
        <v/>
      </c>
      <c r="AP1452" s="12" t="str">
        <f t="shared" si="324"/>
        <v/>
      </c>
      <c r="AQ1452" s="12"/>
      <c r="AS1452" s="12">
        <f t="shared" si="326"/>
        <v>0</v>
      </c>
    </row>
    <row r="1453" spans="1:45" hidden="1" x14ac:dyDescent="0.25">
      <c r="A1453" s="41">
        <f>CASOPOInvCL!T1453</f>
        <v>0</v>
      </c>
      <c r="B1453">
        <f>CASOPOInvCL!Z1453</f>
        <v>0</v>
      </c>
      <c r="G1453" s="5">
        <f>CASOPOInvCL!I1453</f>
        <v>0</v>
      </c>
      <c r="H1453" s="31">
        <f>CASOPOInvCL!U1453</f>
        <v>0</v>
      </c>
      <c r="I1453" s="31">
        <f>CASOPOInvCL!V1453</f>
        <v>0</v>
      </c>
      <c r="J1453" s="5">
        <f>CASOPOInvCL!AB1453</f>
        <v>0</v>
      </c>
      <c r="K1453" s="31">
        <f>CASOPOInvCL!W1453</f>
        <v>0</v>
      </c>
      <c r="L1453" s="31">
        <f>CASOPOInvCL!X1453</f>
        <v>0</v>
      </c>
      <c r="M1453" s="31"/>
      <c r="N1453" s="5">
        <f>CASOPOInvCL!AF1453</f>
        <v>0</v>
      </c>
      <c r="O1453" s="16">
        <f>CASOPOInvCL!AG1453</f>
        <v>0</v>
      </c>
      <c r="P1453" s="16">
        <f>CASOPOInvCL!AH1453</f>
        <v>0</v>
      </c>
      <c r="Q1453" s="16">
        <f>CASOPOInvCL!AI1453</f>
        <v>0</v>
      </c>
      <c r="R1453" s="32">
        <f>CASOPOInvCL!AU1453</f>
        <v>0</v>
      </c>
      <c r="S1453" s="16">
        <f>CASOPOInvCL!AV1453</f>
        <v>0</v>
      </c>
      <c r="T1453" s="16">
        <f>CASOPOInvCL!AW1453</f>
        <v>0</v>
      </c>
      <c r="Y1453" s="29" t="str">
        <f>IFERROR(HLOOKUP(U1460,List!$D$2:$H$6,2,FALSE),"")</f>
        <v/>
      </c>
      <c r="Z1453" s="29" t="str">
        <f>IFERROR(HLOOKUP(V1460,List!$D$2:$H$6,3,FALSE),"")</f>
        <v/>
      </c>
      <c r="AA1453" s="29" t="str">
        <f>IFERROR(HLOOKUP(W1460,List!$D$2:$H$6,4,FALSE),"")</f>
        <v/>
      </c>
      <c r="AB1453" s="29" t="str">
        <f>IFERROR(HLOOKUP(X1460,List!$D$2:$H$6,5,FALSE),"")</f>
        <v/>
      </c>
      <c r="AC1453" s="12" t="str">
        <f t="shared" si="325"/>
        <v/>
      </c>
      <c r="AD1453" s="12" t="str">
        <f t="shared" si="325"/>
        <v/>
      </c>
      <c r="AE1453" s="12" t="str">
        <f t="shared" si="325"/>
        <v/>
      </c>
      <c r="AF1453" s="12" t="str">
        <f t="shared" si="325"/>
        <v/>
      </c>
      <c r="AM1453" s="12" t="str">
        <f t="shared" si="321"/>
        <v/>
      </c>
      <c r="AN1453" s="12" t="str">
        <f t="shared" si="322"/>
        <v/>
      </c>
      <c r="AO1453" s="12" t="str">
        <f t="shared" si="323"/>
        <v/>
      </c>
      <c r="AP1453" s="12" t="str">
        <f t="shared" si="324"/>
        <v/>
      </c>
      <c r="AQ1453" s="12"/>
      <c r="AS1453" s="12">
        <f t="shared" si="326"/>
        <v>0</v>
      </c>
    </row>
    <row r="1454" spans="1:45" hidden="1" x14ac:dyDescent="0.25">
      <c r="A1454" s="41">
        <f>CASOPOInvCL!T1454</f>
        <v>0</v>
      </c>
      <c r="B1454">
        <f>CASOPOInvCL!Z1454</f>
        <v>0</v>
      </c>
      <c r="G1454" s="5">
        <f>CASOPOInvCL!I1454</f>
        <v>0</v>
      </c>
      <c r="H1454" s="31">
        <f>CASOPOInvCL!U1454</f>
        <v>0</v>
      </c>
      <c r="I1454" s="31">
        <f>CASOPOInvCL!V1454</f>
        <v>0</v>
      </c>
      <c r="J1454" s="5">
        <f>CASOPOInvCL!AB1454</f>
        <v>0</v>
      </c>
      <c r="K1454" s="31">
        <f>CASOPOInvCL!W1454</f>
        <v>0</v>
      </c>
      <c r="L1454" s="31">
        <f>CASOPOInvCL!X1454</f>
        <v>0</v>
      </c>
      <c r="M1454" s="31"/>
      <c r="N1454" s="5">
        <f>CASOPOInvCL!AF1454</f>
        <v>0</v>
      </c>
      <c r="O1454" s="16">
        <f>CASOPOInvCL!AG1454</f>
        <v>0</v>
      </c>
      <c r="P1454" s="16">
        <f>CASOPOInvCL!AH1454</f>
        <v>0</v>
      </c>
      <c r="Q1454" s="16">
        <f>CASOPOInvCL!AI1454</f>
        <v>0</v>
      </c>
      <c r="R1454" s="32">
        <f>CASOPOInvCL!AU1454</f>
        <v>0</v>
      </c>
      <c r="S1454" s="16">
        <f>CASOPOInvCL!AV1454</f>
        <v>0</v>
      </c>
      <c r="T1454" s="16">
        <f>CASOPOInvCL!AW1454</f>
        <v>0</v>
      </c>
      <c r="Y1454" s="29" t="str">
        <f>IFERROR(HLOOKUP(U1461,List!$D$2:$H$6,2,FALSE),"")</f>
        <v/>
      </c>
      <c r="Z1454" s="29" t="str">
        <f>IFERROR(HLOOKUP(V1461,List!$D$2:$H$6,3,FALSE),"")</f>
        <v/>
      </c>
      <c r="AA1454" s="29" t="str">
        <f>IFERROR(HLOOKUP(W1461,List!$D$2:$H$6,4,FALSE),"")</f>
        <v/>
      </c>
      <c r="AB1454" s="29" t="str">
        <f>IFERROR(HLOOKUP(X1461,List!$D$2:$H$6,5,FALSE),"")</f>
        <v/>
      </c>
      <c r="AC1454" s="12" t="str">
        <f t="shared" si="325"/>
        <v/>
      </c>
      <c r="AD1454" s="12" t="str">
        <f t="shared" si="325"/>
        <v/>
      </c>
      <c r="AE1454" s="12" t="str">
        <f t="shared" si="325"/>
        <v/>
      </c>
      <c r="AF1454" s="12" t="str">
        <f t="shared" si="325"/>
        <v/>
      </c>
      <c r="AM1454" s="12" t="str">
        <f t="shared" si="321"/>
        <v/>
      </c>
      <c r="AN1454" s="12" t="str">
        <f t="shared" si="322"/>
        <v/>
      </c>
      <c r="AO1454" s="12" t="str">
        <f t="shared" si="323"/>
        <v/>
      </c>
      <c r="AP1454" s="12" t="str">
        <f t="shared" si="324"/>
        <v/>
      </c>
      <c r="AQ1454" s="12"/>
      <c r="AS1454" s="12">
        <f t="shared" si="326"/>
        <v>0</v>
      </c>
    </row>
    <row r="1455" spans="1:45" hidden="1" x14ac:dyDescent="0.25">
      <c r="A1455" s="41">
        <f>CASOPOInvCL!T1455</f>
        <v>0</v>
      </c>
      <c r="B1455">
        <f>CASOPOInvCL!Z1455</f>
        <v>0</v>
      </c>
      <c r="G1455" s="5">
        <f>CASOPOInvCL!I1455</f>
        <v>0</v>
      </c>
      <c r="H1455" s="31">
        <f>CASOPOInvCL!U1455</f>
        <v>0</v>
      </c>
      <c r="I1455" s="31">
        <f>CASOPOInvCL!V1455</f>
        <v>0</v>
      </c>
      <c r="J1455" s="5">
        <f>CASOPOInvCL!AB1455</f>
        <v>0</v>
      </c>
      <c r="K1455" s="31">
        <f>CASOPOInvCL!W1455</f>
        <v>0</v>
      </c>
      <c r="L1455" s="31">
        <f>CASOPOInvCL!X1455</f>
        <v>0</v>
      </c>
      <c r="M1455" s="31"/>
      <c r="N1455" s="5">
        <f>CASOPOInvCL!AF1455</f>
        <v>0</v>
      </c>
      <c r="O1455" s="16">
        <f>CASOPOInvCL!AG1455</f>
        <v>0</v>
      </c>
      <c r="P1455" s="16">
        <f>CASOPOInvCL!AH1455</f>
        <v>0</v>
      </c>
      <c r="Q1455" s="16">
        <f>CASOPOInvCL!AI1455</f>
        <v>0</v>
      </c>
      <c r="R1455" s="32">
        <f>CASOPOInvCL!AU1455</f>
        <v>0</v>
      </c>
      <c r="S1455" s="16">
        <f>CASOPOInvCL!AV1455</f>
        <v>0</v>
      </c>
      <c r="T1455" s="16">
        <f>CASOPOInvCL!AW1455</f>
        <v>0</v>
      </c>
      <c r="Y1455" s="29" t="str">
        <f>IFERROR(HLOOKUP(U1462,List!$D$2:$H$6,2,FALSE),"")</f>
        <v/>
      </c>
      <c r="Z1455" s="29" t="str">
        <f>IFERROR(HLOOKUP(V1462,List!$D$2:$H$6,3,FALSE),"")</f>
        <v/>
      </c>
      <c r="AA1455" s="29" t="str">
        <f>IFERROR(HLOOKUP(W1462,List!$D$2:$H$6,4,FALSE),"")</f>
        <v/>
      </c>
      <c r="AB1455" s="29" t="str">
        <f>IFERROR(HLOOKUP(X1462,List!$D$2:$H$6,5,FALSE),"")</f>
        <v/>
      </c>
      <c r="AC1455" s="12" t="str">
        <f t="shared" si="325"/>
        <v/>
      </c>
      <c r="AD1455" s="12" t="str">
        <f t="shared" si="325"/>
        <v/>
      </c>
      <c r="AE1455" s="12" t="str">
        <f t="shared" si="325"/>
        <v/>
      </c>
      <c r="AF1455" s="12" t="str">
        <f t="shared" si="325"/>
        <v/>
      </c>
      <c r="AM1455" s="12" t="str">
        <f t="shared" si="321"/>
        <v/>
      </c>
      <c r="AN1455" s="12" t="str">
        <f t="shared" si="322"/>
        <v/>
      </c>
      <c r="AO1455" s="12" t="str">
        <f t="shared" si="323"/>
        <v/>
      </c>
      <c r="AP1455" s="12" t="str">
        <f t="shared" si="324"/>
        <v/>
      </c>
      <c r="AQ1455" s="12"/>
      <c r="AS1455" s="12">
        <f t="shared" si="326"/>
        <v>0</v>
      </c>
    </row>
    <row r="1456" spans="1:45" hidden="1" x14ac:dyDescent="0.25">
      <c r="A1456" s="41">
        <f>CASOPOInvCL!T1456</f>
        <v>0</v>
      </c>
      <c r="B1456">
        <f>CASOPOInvCL!Z1456</f>
        <v>0</v>
      </c>
      <c r="G1456" s="5">
        <f>CASOPOInvCL!I1456</f>
        <v>0</v>
      </c>
      <c r="H1456" s="31">
        <f>CASOPOInvCL!U1456</f>
        <v>0</v>
      </c>
      <c r="I1456" s="31">
        <f>CASOPOInvCL!V1456</f>
        <v>0</v>
      </c>
      <c r="J1456" s="5">
        <f>CASOPOInvCL!AB1456</f>
        <v>0</v>
      </c>
      <c r="K1456" s="31">
        <f>CASOPOInvCL!W1456</f>
        <v>0</v>
      </c>
      <c r="L1456" s="31">
        <f>CASOPOInvCL!X1456</f>
        <v>0</v>
      </c>
      <c r="M1456" s="31"/>
      <c r="N1456" s="5">
        <f>CASOPOInvCL!AF1456</f>
        <v>0</v>
      </c>
      <c r="O1456" s="16">
        <f>CASOPOInvCL!AG1456</f>
        <v>0</v>
      </c>
      <c r="P1456" s="16">
        <f>CASOPOInvCL!AH1456</f>
        <v>0</v>
      </c>
      <c r="Q1456" s="16">
        <f>CASOPOInvCL!AI1456</f>
        <v>0</v>
      </c>
      <c r="R1456" s="32">
        <f>CASOPOInvCL!AU1456</f>
        <v>0</v>
      </c>
      <c r="S1456" s="16">
        <f>CASOPOInvCL!AV1456</f>
        <v>0</v>
      </c>
      <c r="T1456" s="16">
        <f>CASOPOInvCL!AW1456</f>
        <v>0</v>
      </c>
      <c r="Y1456" s="29" t="str">
        <f>IFERROR(HLOOKUP(U1463,List!$D$2:$H$6,2,FALSE),"")</f>
        <v/>
      </c>
      <c r="Z1456" s="29" t="str">
        <f>IFERROR(HLOOKUP(V1463,List!$D$2:$H$6,3,FALSE),"")</f>
        <v/>
      </c>
      <c r="AA1456" s="29" t="str">
        <f>IFERROR(HLOOKUP(W1463,List!$D$2:$H$6,4,FALSE),"")</f>
        <v/>
      </c>
      <c r="AB1456" s="29" t="str">
        <f>IFERROR(HLOOKUP(X1463,List!$D$2:$H$6,5,FALSE),"")</f>
        <v/>
      </c>
      <c r="AC1456" s="12" t="str">
        <f t="shared" si="325"/>
        <v/>
      </c>
      <c r="AD1456" s="12" t="str">
        <f t="shared" si="325"/>
        <v/>
      </c>
      <c r="AE1456" s="12" t="str">
        <f t="shared" si="325"/>
        <v/>
      </c>
      <c r="AF1456" s="12" t="str">
        <f t="shared" si="325"/>
        <v/>
      </c>
      <c r="AM1456" s="12" t="str">
        <f t="shared" si="321"/>
        <v/>
      </c>
      <c r="AN1456" s="12" t="str">
        <f t="shared" si="322"/>
        <v/>
      </c>
      <c r="AO1456" s="12" t="str">
        <f t="shared" si="323"/>
        <v/>
      </c>
      <c r="AP1456" s="12" t="str">
        <f t="shared" si="324"/>
        <v/>
      </c>
      <c r="AQ1456" s="12"/>
      <c r="AS1456" s="12">
        <f t="shared" si="326"/>
        <v>0</v>
      </c>
    </row>
    <row r="1457" spans="1:45" hidden="1" x14ac:dyDescent="0.25">
      <c r="A1457" s="41">
        <f>CASOPOInvCL!T1457</f>
        <v>0</v>
      </c>
      <c r="B1457">
        <f>CASOPOInvCL!Z1457</f>
        <v>0</v>
      </c>
      <c r="G1457" s="5">
        <f>CASOPOInvCL!I1457</f>
        <v>0</v>
      </c>
      <c r="H1457" s="31">
        <f>CASOPOInvCL!U1457</f>
        <v>0</v>
      </c>
      <c r="I1457" s="31">
        <f>CASOPOInvCL!V1457</f>
        <v>0</v>
      </c>
      <c r="J1457" s="5">
        <f>CASOPOInvCL!AB1457</f>
        <v>0</v>
      </c>
      <c r="K1457" s="31">
        <f>CASOPOInvCL!W1457</f>
        <v>0</v>
      </c>
      <c r="L1457" s="31">
        <f>CASOPOInvCL!X1457</f>
        <v>0</v>
      </c>
      <c r="M1457" s="31"/>
      <c r="N1457" s="5">
        <f>CASOPOInvCL!AF1457</f>
        <v>0</v>
      </c>
      <c r="O1457" s="16">
        <f>CASOPOInvCL!AG1457</f>
        <v>0</v>
      </c>
      <c r="P1457" s="16">
        <f>CASOPOInvCL!AH1457</f>
        <v>0</v>
      </c>
      <c r="Q1457" s="16">
        <f>CASOPOInvCL!AI1457</f>
        <v>0</v>
      </c>
      <c r="R1457" s="32">
        <f>CASOPOInvCL!AU1457</f>
        <v>0</v>
      </c>
      <c r="S1457" s="16">
        <f>CASOPOInvCL!AV1457</f>
        <v>0</v>
      </c>
      <c r="T1457" s="16">
        <f>CASOPOInvCL!AW1457</f>
        <v>0</v>
      </c>
      <c r="Y1457" s="29" t="str">
        <f>IFERROR(HLOOKUP(U1464,List!$D$2:$H$6,2,FALSE),"")</f>
        <v/>
      </c>
      <c r="Z1457" s="29" t="str">
        <f>IFERROR(HLOOKUP(V1464,List!$D$2:$H$6,3,FALSE),"")</f>
        <v/>
      </c>
      <c r="AA1457" s="29" t="str">
        <f>IFERROR(HLOOKUP(W1464,List!$D$2:$H$6,4,FALSE),"")</f>
        <v/>
      </c>
      <c r="AB1457" s="29" t="str">
        <f>IFERROR(HLOOKUP(X1464,List!$D$2:$H$6,5,FALSE),"")</f>
        <v/>
      </c>
      <c r="AC1457" s="12" t="str">
        <f t="shared" si="325"/>
        <v/>
      </c>
      <c r="AD1457" s="12" t="str">
        <f t="shared" si="325"/>
        <v/>
      </c>
      <c r="AE1457" s="12" t="str">
        <f t="shared" si="325"/>
        <v/>
      </c>
      <c r="AF1457" s="12" t="str">
        <f t="shared" si="325"/>
        <v/>
      </c>
      <c r="AM1457" s="12" t="str">
        <f t="shared" si="321"/>
        <v/>
      </c>
      <c r="AN1457" s="12" t="str">
        <f t="shared" si="322"/>
        <v/>
      </c>
      <c r="AO1457" s="12" t="str">
        <f t="shared" si="323"/>
        <v/>
      </c>
      <c r="AP1457" s="12" t="str">
        <f t="shared" si="324"/>
        <v/>
      </c>
      <c r="AQ1457" s="12"/>
      <c r="AS1457" s="12">
        <f t="shared" si="326"/>
        <v>0</v>
      </c>
    </row>
    <row r="1458" spans="1:45" hidden="1" x14ac:dyDescent="0.25">
      <c r="A1458" s="41">
        <f>CASOPOInvCL!T1458</f>
        <v>0</v>
      </c>
      <c r="B1458">
        <f>CASOPOInvCL!Z1458</f>
        <v>0</v>
      </c>
      <c r="G1458" s="5">
        <f>CASOPOInvCL!I1458</f>
        <v>0</v>
      </c>
      <c r="H1458" s="31">
        <f>CASOPOInvCL!U1458</f>
        <v>0</v>
      </c>
      <c r="I1458" s="31">
        <f>CASOPOInvCL!V1458</f>
        <v>0</v>
      </c>
      <c r="J1458" s="5">
        <f>CASOPOInvCL!AB1458</f>
        <v>0</v>
      </c>
      <c r="K1458" s="31">
        <f>CASOPOInvCL!W1458</f>
        <v>0</v>
      </c>
      <c r="L1458" s="31">
        <f>CASOPOInvCL!X1458</f>
        <v>0</v>
      </c>
      <c r="M1458" s="31"/>
      <c r="N1458" s="5">
        <f>CASOPOInvCL!AF1458</f>
        <v>0</v>
      </c>
      <c r="O1458" s="16">
        <f>CASOPOInvCL!AG1458</f>
        <v>0</v>
      </c>
      <c r="P1458" s="16">
        <f>CASOPOInvCL!AH1458</f>
        <v>0</v>
      </c>
      <c r="Q1458" s="16">
        <f>CASOPOInvCL!AI1458</f>
        <v>0</v>
      </c>
      <c r="R1458" s="32">
        <f>CASOPOInvCL!AU1458</f>
        <v>0</v>
      </c>
      <c r="S1458" s="16">
        <f>CASOPOInvCL!AV1458</f>
        <v>0</v>
      </c>
      <c r="T1458" s="16">
        <f>CASOPOInvCL!AW1458</f>
        <v>0</v>
      </c>
      <c r="Y1458" s="29" t="str">
        <f>IFERROR(HLOOKUP(U1465,List!$D$2:$H$6,2,FALSE),"")</f>
        <v/>
      </c>
      <c r="Z1458" s="29" t="str">
        <f>IFERROR(HLOOKUP(V1465,List!$D$2:$H$6,3,FALSE),"")</f>
        <v/>
      </c>
      <c r="AA1458" s="29" t="str">
        <f>IFERROR(HLOOKUP(W1465,List!$D$2:$H$6,4,FALSE),"")</f>
        <v/>
      </c>
      <c r="AB1458" s="29" t="str">
        <f>IFERROR(HLOOKUP(X1465,List!$D$2:$H$6,5,FALSE),"")</f>
        <v/>
      </c>
      <c r="AC1458" s="12" t="str">
        <f t="shared" si="325"/>
        <v/>
      </c>
      <c r="AD1458" s="12" t="str">
        <f t="shared" si="325"/>
        <v/>
      </c>
      <c r="AE1458" s="12" t="str">
        <f t="shared" si="325"/>
        <v/>
      </c>
      <c r="AF1458" s="12" t="str">
        <f t="shared" si="325"/>
        <v/>
      </c>
      <c r="AM1458" s="12" t="str">
        <f t="shared" si="321"/>
        <v/>
      </c>
      <c r="AN1458" s="12" t="str">
        <f t="shared" si="322"/>
        <v/>
      </c>
      <c r="AO1458" s="12" t="str">
        <f t="shared" si="323"/>
        <v/>
      </c>
      <c r="AP1458" s="12" t="str">
        <f t="shared" si="324"/>
        <v/>
      </c>
      <c r="AQ1458" s="12"/>
      <c r="AS1458" s="12">
        <f t="shared" si="326"/>
        <v>0</v>
      </c>
    </row>
    <row r="1459" spans="1:45" hidden="1" x14ac:dyDescent="0.25">
      <c r="A1459" s="41">
        <f>CASOPOInvCL!T1459</f>
        <v>0</v>
      </c>
      <c r="B1459">
        <f>CASOPOInvCL!Z1459</f>
        <v>0</v>
      </c>
      <c r="G1459" s="5">
        <f>CASOPOInvCL!I1459</f>
        <v>0</v>
      </c>
      <c r="H1459" s="31">
        <f>CASOPOInvCL!U1459</f>
        <v>0</v>
      </c>
      <c r="I1459" s="31">
        <f>CASOPOInvCL!V1459</f>
        <v>0</v>
      </c>
      <c r="J1459" s="5">
        <f>CASOPOInvCL!AB1459</f>
        <v>0</v>
      </c>
      <c r="K1459" s="31">
        <f>CASOPOInvCL!W1459</f>
        <v>0</v>
      </c>
      <c r="L1459" s="31">
        <f>CASOPOInvCL!X1459</f>
        <v>0</v>
      </c>
      <c r="M1459" s="31"/>
      <c r="N1459" s="5">
        <f>CASOPOInvCL!AF1459</f>
        <v>0</v>
      </c>
      <c r="O1459" s="16">
        <f>CASOPOInvCL!AG1459</f>
        <v>0</v>
      </c>
      <c r="P1459" s="16">
        <f>CASOPOInvCL!AH1459</f>
        <v>0</v>
      </c>
      <c r="Q1459" s="16">
        <f>CASOPOInvCL!AI1459</f>
        <v>0</v>
      </c>
      <c r="R1459" s="32">
        <f>CASOPOInvCL!AU1459</f>
        <v>0</v>
      </c>
      <c r="S1459" s="16">
        <f>CASOPOInvCL!AV1459</f>
        <v>0</v>
      </c>
      <c r="T1459" s="16">
        <f>CASOPOInvCL!AW1459</f>
        <v>0</v>
      </c>
      <c r="Y1459" s="29" t="str">
        <f>IFERROR(HLOOKUP(U1466,List!$D$2:$H$6,2,FALSE),"")</f>
        <v/>
      </c>
      <c r="Z1459" s="29" t="str">
        <f>IFERROR(HLOOKUP(V1466,List!$D$2:$H$6,3,FALSE),"")</f>
        <v/>
      </c>
      <c r="AA1459" s="29" t="str">
        <f>IFERROR(HLOOKUP(W1466,List!$D$2:$H$6,4,FALSE),"")</f>
        <v/>
      </c>
      <c r="AB1459" s="29" t="str">
        <f>IFERROR(HLOOKUP(X1466,List!$D$2:$H$6,5,FALSE),"")</f>
        <v/>
      </c>
      <c r="AC1459" s="12" t="str">
        <f t="shared" si="325"/>
        <v/>
      </c>
      <c r="AD1459" s="12" t="str">
        <f t="shared" si="325"/>
        <v/>
      </c>
      <c r="AE1459" s="12" t="str">
        <f t="shared" si="325"/>
        <v/>
      </c>
      <c r="AF1459" s="12" t="str">
        <f t="shared" si="325"/>
        <v/>
      </c>
      <c r="AM1459" s="12" t="str">
        <f t="shared" si="321"/>
        <v/>
      </c>
      <c r="AN1459" s="12" t="str">
        <f t="shared" si="322"/>
        <v/>
      </c>
      <c r="AO1459" s="12" t="str">
        <f t="shared" si="323"/>
        <v/>
      </c>
      <c r="AP1459" s="12" t="str">
        <f t="shared" si="324"/>
        <v/>
      </c>
      <c r="AQ1459" s="12"/>
      <c r="AS1459" s="12">
        <f t="shared" si="326"/>
        <v>0</v>
      </c>
    </row>
    <row r="1460" spans="1:45" hidden="1" x14ac:dyDescent="0.25">
      <c r="A1460" s="41">
        <f>CASOPOInvCL!T1460</f>
        <v>0</v>
      </c>
      <c r="B1460">
        <f>CASOPOInvCL!Z1460</f>
        <v>0</v>
      </c>
      <c r="G1460" s="5">
        <f>CASOPOInvCL!I1460</f>
        <v>0</v>
      </c>
      <c r="H1460" s="31">
        <f>CASOPOInvCL!U1460</f>
        <v>0</v>
      </c>
      <c r="I1460" s="31">
        <f>CASOPOInvCL!V1460</f>
        <v>0</v>
      </c>
      <c r="J1460" s="5">
        <f>CASOPOInvCL!AB1460</f>
        <v>0</v>
      </c>
      <c r="K1460" s="31">
        <f>CASOPOInvCL!W1460</f>
        <v>0</v>
      </c>
      <c r="L1460" s="31">
        <f>CASOPOInvCL!X1460</f>
        <v>0</v>
      </c>
      <c r="M1460" s="31"/>
      <c r="N1460" s="5">
        <f>CASOPOInvCL!AF1460</f>
        <v>0</v>
      </c>
      <c r="O1460" s="16">
        <f>CASOPOInvCL!AG1460</f>
        <v>0</v>
      </c>
      <c r="P1460" s="16">
        <f>CASOPOInvCL!AH1460</f>
        <v>0</v>
      </c>
      <c r="Q1460" s="16">
        <f>CASOPOInvCL!AI1460</f>
        <v>0</v>
      </c>
      <c r="R1460" s="32">
        <f>CASOPOInvCL!AU1460</f>
        <v>0</v>
      </c>
      <c r="S1460" s="16">
        <f>CASOPOInvCL!AV1460</f>
        <v>0</v>
      </c>
      <c r="T1460" s="16">
        <f>CASOPOInvCL!AW1460</f>
        <v>0</v>
      </c>
      <c r="Y1460" s="29" t="str">
        <f>IFERROR(HLOOKUP(U1467,List!$D$2:$H$6,2,FALSE),"")</f>
        <v/>
      </c>
      <c r="Z1460" s="29" t="str">
        <f>IFERROR(HLOOKUP(V1467,List!$D$2:$H$6,3,FALSE),"")</f>
        <v/>
      </c>
      <c r="AA1460" s="29" t="str">
        <f>IFERROR(HLOOKUP(W1467,List!$D$2:$H$6,4,FALSE),"")</f>
        <v/>
      </c>
      <c r="AB1460" s="29" t="str">
        <f>IFERROR(HLOOKUP(X1467,List!$D$2:$H$6,5,FALSE),"")</f>
        <v/>
      </c>
      <c r="AC1460" s="12" t="str">
        <f t="shared" si="325"/>
        <v/>
      </c>
      <c r="AD1460" s="12" t="str">
        <f t="shared" si="325"/>
        <v/>
      </c>
      <c r="AE1460" s="12" t="str">
        <f t="shared" si="325"/>
        <v/>
      </c>
      <c r="AF1460" s="12" t="str">
        <f t="shared" si="325"/>
        <v/>
      </c>
      <c r="AM1460" s="12" t="str">
        <f t="shared" ref="AM1460:AM1523" si="327">IF(AI1467="",AC1460,0)</f>
        <v/>
      </c>
      <c r="AN1460" s="12" t="str">
        <f t="shared" ref="AN1460:AN1523" si="328">IF(AJ1467="",AD1460,0)</f>
        <v/>
      </c>
      <c r="AO1460" s="12" t="str">
        <f t="shared" ref="AO1460:AO1523" si="329">IF(AK1467="",AE1460,0)</f>
        <v/>
      </c>
      <c r="AP1460" s="12" t="str">
        <f t="shared" ref="AP1460:AP1523" si="330">IF(AL1467="",AF1460,0)</f>
        <v/>
      </c>
      <c r="AQ1460" s="12"/>
      <c r="AS1460" s="12">
        <f t="shared" si="326"/>
        <v>0</v>
      </c>
    </row>
    <row r="1461" spans="1:45" hidden="1" x14ac:dyDescent="0.25">
      <c r="A1461" s="41">
        <f>CASOPOInvCL!T1461</f>
        <v>0</v>
      </c>
      <c r="B1461">
        <f>CASOPOInvCL!Z1461</f>
        <v>0</v>
      </c>
      <c r="G1461" s="5">
        <f>CASOPOInvCL!I1461</f>
        <v>0</v>
      </c>
      <c r="H1461" s="31">
        <f>CASOPOInvCL!U1461</f>
        <v>0</v>
      </c>
      <c r="I1461" s="31">
        <f>CASOPOInvCL!V1461</f>
        <v>0</v>
      </c>
      <c r="J1461" s="5">
        <f>CASOPOInvCL!AB1461</f>
        <v>0</v>
      </c>
      <c r="K1461" s="31">
        <f>CASOPOInvCL!W1461</f>
        <v>0</v>
      </c>
      <c r="L1461" s="31">
        <f>CASOPOInvCL!X1461</f>
        <v>0</v>
      </c>
      <c r="M1461" s="31"/>
      <c r="N1461" s="5">
        <f>CASOPOInvCL!AF1461</f>
        <v>0</v>
      </c>
      <c r="O1461" s="16">
        <f>CASOPOInvCL!AG1461</f>
        <v>0</v>
      </c>
      <c r="P1461" s="16">
        <f>CASOPOInvCL!AH1461</f>
        <v>0</v>
      </c>
      <c r="Q1461" s="16">
        <f>CASOPOInvCL!AI1461</f>
        <v>0</v>
      </c>
      <c r="R1461" s="32">
        <f>CASOPOInvCL!AU1461</f>
        <v>0</v>
      </c>
      <c r="S1461" s="16">
        <f>CASOPOInvCL!AV1461</f>
        <v>0</v>
      </c>
      <c r="T1461" s="16">
        <f>CASOPOInvCL!AW1461</f>
        <v>0</v>
      </c>
      <c r="Y1461" s="29" t="str">
        <f>IFERROR(HLOOKUP(U1468,List!$D$2:$H$6,2,FALSE),"")</f>
        <v/>
      </c>
      <c r="Z1461" s="29" t="str">
        <f>IFERROR(HLOOKUP(V1468,List!$D$2:$H$6,3,FALSE),"")</f>
        <v/>
      </c>
      <c r="AA1461" s="29" t="str">
        <f>IFERROR(HLOOKUP(W1468,List!$D$2:$H$6,4,FALSE),"")</f>
        <v/>
      </c>
      <c r="AB1461" s="29" t="str">
        <f>IFERROR(HLOOKUP(X1468,List!$D$2:$H$6,5,FALSE),"")</f>
        <v/>
      </c>
      <c r="AC1461" s="12" t="str">
        <f t="shared" si="325"/>
        <v/>
      </c>
      <c r="AD1461" s="12" t="str">
        <f t="shared" si="325"/>
        <v/>
      </c>
      <c r="AE1461" s="12" t="str">
        <f t="shared" si="325"/>
        <v/>
      </c>
      <c r="AF1461" s="12" t="str">
        <f t="shared" si="325"/>
        <v/>
      </c>
      <c r="AM1461" s="12" t="str">
        <f t="shared" si="327"/>
        <v/>
      </c>
      <c r="AN1461" s="12" t="str">
        <f t="shared" si="328"/>
        <v/>
      </c>
      <c r="AO1461" s="12" t="str">
        <f t="shared" si="329"/>
        <v/>
      </c>
      <c r="AP1461" s="12" t="str">
        <f t="shared" si="330"/>
        <v/>
      </c>
      <c r="AQ1461" s="12"/>
      <c r="AS1461" s="12">
        <f t="shared" si="326"/>
        <v>0</v>
      </c>
    </row>
    <row r="1462" spans="1:45" hidden="1" x14ac:dyDescent="0.25">
      <c r="A1462" s="41">
        <f>CASOPOInvCL!T1462</f>
        <v>0</v>
      </c>
      <c r="B1462">
        <f>CASOPOInvCL!Z1462</f>
        <v>0</v>
      </c>
      <c r="G1462" s="5">
        <f>CASOPOInvCL!I1462</f>
        <v>0</v>
      </c>
      <c r="H1462" s="31">
        <f>CASOPOInvCL!U1462</f>
        <v>0</v>
      </c>
      <c r="I1462" s="31">
        <f>CASOPOInvCL!V1462</f>
        <v>0</v>
      </c>
      <c r="J1462" s="5">
        <f>CASOPOInvCL!AB1462</f>
        <v>0</v>
      </c>
      <c r="K1462" s="31">
        <f>CASOPOInvCL!W1462</f>
        <v>0</v>
      </c>
      <c r="L1462" s="31">
        <f>CASOPOInvCL!X1462</f>
        <v>0</v>
      </c>
      <c r="M1462" s="31"/>
      <c r="N1462" s="5">
        <f>CASOPOInvCL!AF1462</f>
        <v>0</v>
      </c>
      <c r="O1462" s="16">
        <f>CASOPOInvCL!AG1462</f>
        <v>0</v>
      </c>
      <c r="P1462" s="16">
        <f>CASOPOInvCL!AH1462</f>
        <v>0</v>
      </c>
      <c r="Q1462" s="16">
        <f>CASOPOInvCL!AI1462</f>
        <v>0</v>
      </c>
      <c r="R1462" s="32">
        <f>CASOPOInvCL!AU1462</f>
        <v>0</v>
      </c>
      <c r="S1462" s="16">
        <f>CASOPOInvCL!AV1462</f>
        <v>0</v>
      </c>
      <c r="T1462" s="16">
        <f>CASOPOInvCL!AW1462</f>
        <v>0</v>
      </c>
      <c r="Y1462" s="29" t="str">
        <f>IFERROR(HLOOKUP(U1469,List!$D$2:$H$6,2,FALSE),"")</f>
        <v/>
      </c>
      <c r="Z1462" s="29" t="str">
        <f>IFERROR(HLOOKUP(V1469,List!$D$2:$H$6,3,FALSE),"")</f>
        <v/>
      </c>
      <c r="AA1462" s="29" t="str">
        <f>IFERROR(HLOOKUP(W1469,List!$D$2:$H$6,4,FALSE),"")</f>
        <v/>
      </c>
      <c r="AB1462" s="29" t="str">
        <f>IFERROR(HLOOKUP(X1469,List!$D$2:$H$6,5,FALSE),"")</f>
        <v/>
      </c>
      <c r="AC1462" s="12" t="str">
        <f t="shared" si="325"/>
        <v/>
      </c>
      <c r="AD1462" s="12" t="str">
        <f t="shared" si="325"/>
        <v/>
      </c>
      <c r="AE1462" s="12" t="str">
        <f t="shared" si="325"/>
        <v/>
      </c>
      <c r="AF1462" s="12" t="str">
        <f t="shared" si="325"/>
        <v/>
      </c>
      <c r="AM1462" s="12" t="str">
        <f t="shared" si="327"/>
        <v/>
      </c>
      <c r="AN1462" s="12" t="str">
        <f t="shared" si="328"/>
        <v/>
      </c>
      <c r="AO1462" s="12" t="str">
        <f t="shared" si="329"/>
        <v/>
      </c>
      <c r="AP1462" s="12" t="str">
        <f t="shared" si="330"/>
        <v/>
      </c>
      <c r="AQ1462" s="12"/>
      <c r="AS1462" s="12">
        <f t="shared" si="326"/>
        <v>0</v>
      </c>
    </row>
    <row r="1463" spans="1:45" hidden="1" x14ac:dyDescent="0.25">
      <c r="A1463" s="41">
        <f>CASOPOInvCL!T1463</f>
        <v>0</v>
      </c>
      <c r="B1463">
        <f>CASOPOInvCL!Z1463</f>
        <v>0</v>
      </c>
      <c r="G1463" s="5">
        <f>CASOPOInvCL!I1463</f>
        <v>0</v>
      </c>
      <c r="H1463" s="31">
        <f>CASOPOInvCL!U1463</f>
        <v>0</v>
      </c>
      <c r="I1463" s="31">
        <f>CASOPOInvCL!V1463</f>
        <v>0</v>
      </c>
      <c r="J1463" s="5">
        <f>CASOPOInvCL!AB1463</f>
        <v>0</v>
      </c>
      <c r="K1463" s="31">
        <f>CASOPOInvCL!W1463</f>
        <v>0</v>
      </c>
      <c r="L1463" s="31">
        <f>CASOPOInvCL!X1463</f>
        <v>0</v>
      </c>
      <c r="M1463" s="31"/>
      <c r="N1463" s="5">
        <f>CASOPOInvCL!AF1463</f>
        <v>0</v>
      </c>
      <c r="O1463" s="16">
        <f>CASOPOInvCL!AG1463</f>
        <v>0</v>
      </c>
      <c r="P1463" s="16">
        <f>CASOPOInvCL!AH1463</f>
        <v>0</v>
      </c>
      <c r="Q1463" s="16">
        <f>CASOPOInvCL!AI1463</f>
        <v>0</v>
      </c>
      <c r="R1463" s="32">
        <f>CASOPOInvCL!AU1463</f>
        <v>0</v>
      </c>
      <c r="S1463" s="16">
        <f>CASOPOInvCL!AV1463</f>
        <v>0</v>
      </c>
      <c r="T1463" s="16">
        <f>CASOPOInvCL!AW1463</f>
        <v>0</v>
      </c>
      <c r="Y1463" s="29" t="str">
        <f>IFERROR(HLOOKUP(U1470,List!$D$2:$H$6,2,FALSE),"")</f>
        <v/>
      </c>
      <c r="Z1463" s="29" t="str">
        <f>IFERROR(HLOOKUP(V1470,List!$D$2:$H$6,3,FALSE),"")</f>
        <v/>
      </c>
      <c r="AA1463" s="29" t="str">
        <f>IFERROR(HLOOKUP(W1470,List!$D$2:$H$6,4,FALSE),"")</f>
        <v/>
      </c>
      <c r="AB1463" s="29" t="str">
        <f>IFERROR(HLOOKUP(X1470,List!$D$2:$H$6,5,FALSE),"")</f>
        <v/>
      </c>
      <c r="AC1463" s="12" t="str">
        <f t="shared" si="325"/>
        <v/>
      </c>
      <c r="AD1463" s="12" t="str">
        <f t="shared" si="325"/>
        <v/>
      </c>
      <c r="AE1463" s="12" t="str">
        <f t="shared" si="325"/>
        <v/>
      </c>
      <c r="AF1463" s="12" t="str">
        <f t="shared" si="325"/>
        <v/>
      </c>
      <c r="AM1463" s="12" t="str">
        <f t="shared" si="327"/>
        <v/>
      </c>
      <c r="AN1463" s="12" t="str">
        <f t="shared" si="328"/>
        <v/>
      </c>
      <c r="AO1463" s="12" t="str">
        <f t="shared" si="329"/>
        <v/>
      </c>
      <c r="AP1463" s="12" t="str">
        <f t="shared" si="330"/>
        <v/>
      </c>
      <c r="AQ1463" s="12"/>
      <c r="AS1463" s="12">
        <f t="shared" si="326"/>
        <v>0</v>
      </c>
    </row>
    <row r="1464" spans="1:45" hidden="1" x14ac:dyDescent="0.25">
      <c r="A1464" s="41">
        <f>CASOPOInvCL!T1464</f>
        <v>0</v>
      </c>
      <c r="B1464">
        <f>CASOPOInvCL!Z1464</f>
        <v>0</v>
      </c>
      <c r="G1464" s="5">
        <f>CASOPOInvCL!I1464</f>
        <v>0</v>
      </c>
      <c r="H1464" s="31">
        <f>CASOPOInvCL!U1464</f>
        <v>0</v>
      </c>
      <c r="I1464" s="31">
        <f>CASOPOInvCL!V1464</f>
        <v>0</v>
      </c>
      <c r="J1464" s="5">
        <f>CASOPOInvCL!AB1464</f>
        <v>0</v>
      </c>
      <c r="K1464" s="31">
        <f>CASOPOInvCL!W1464</f>
        <v>0</v>
      </c>
      <c r="L1464" s="31">
        <f>CASOPOInvCL!X1464</f>
        <v>0</v>
      </c>
      <c r="M1464" s="31"/>
      <c r="N1464" s="5">
        <f>CASOPOInvCL!AF1464</f>
        <v>0</v>
      </c>
      <c r="O1464" s="16">
        <f>CASOPOInvCL!AG1464</f>
        <v>0</v>
      </c>
      <c r="P1464" s="16">
        <f>CASOPOInvCL!AH1464</f>
        <v>0</v>
      </c>
      <c r="Q1464" s="16">
        <f>CASOPOInvCL!AI1464</f>
        <v>0</v>
      </c>
      <c r="R1464" s="32">
        <f>CASOPOInvCL!AU1464</f>
        <v>0</v>
      </c>
      <c r="S1464" s="16">
        <f>CASOPOInvCL!AV1464</f>
        <v>0</v>
      </c>
      <c r="T1464" s="16">
        <f>CASOPOInvCL!AW1464</f>
        <v>0</v>
      </c>
      <c r="Y1464" s="29" t="str">
        <f>IFERROR(HLOOKUP(U1471,List!$D$2:$H$6,2,FALSE),"")</f>
        <v/>
      </c>
      <c r="Z1464" s="29" t="str">
        <f>IFERROR(HLOOKUP(V1471,List!$D$2:$H$6,3,FALSE),"")</f>
        <v/>
      </c>
      <c r="AA1464" s="29" t="str">
        <f>IFERROR(HLOOKUP(W1471,List!$D$2:$H$6,4,FALSE),"")</f>
        <v/>
      </c>
      <c r="AB1464" s="29" t="str">
        <f>IFERROR(HLOOKUP(X1471,List!$D$2:$H$6,5,FALSE),"")</f>
        <v/>
      </c>
      <c r="AC1464" s="12" t="str">
        <f t="shared" si="325"/>
        <v/>
      </c>
      <c r="AD1464" s="12" t="str">
        <f t="shared" si="325"/>
        <v/>
      </c>
      <c r="AE1464" s="12" t="str">
        <f t="shared" si="325"/>
        <v/>
      </c>
      <c r="AF1464" s="12" t="str">
        <f t="shared" si="325"/>
        <v/>
      </c>
      <c r="AM1464" s="12" t="str">
        <f t="shared" si="327"/>
        <v/>
      </c>
      <c r="AN1464" s="12" t="str">
        <f t="shared" si="328"/>
        <v/>
      </c>
      <c r="AO1464" s="12" t="str">
        <f t="shared" si="329"/>
        <v/>
      </c>
      <c r="AP1464" s="12" t="str">
        <f t="shared" si="330"/>
        <v/>
      </c>
      <c r="AQ1464" s="12"/>
      <c r="AS1464" s="12">
        <f t="shared" si="326"/>
        <v>0</v>
      </c>
    </row>
    <row r="1465" spans="1:45" hidden="1" x14ac:dyDescent="0.25">
      <c r="A1465" s="41">
        <f>CASOPOInvCL!T1465</f>
        <v>0</v>
      </c>
      <c r="B1465">
        <f>CASOPOInvCL!Z1465</f>
        <v>0</v>
      </c>
      <c r="G1465" s="5">
        <f>CASOPOInvCL!I1465</f>
        <v>0</v>
      </c>
      <c r="H1465" s="31">
        <f>CASOPOInvCL!U1465</f>
        <v>0</v>
      </c>
      <c r="I1465" s="31">
        <f>CASOPOInvCL!V1465</f>
        <v>0</v>
      </c>
      <c r="J1465" s="5">
        <f>CASOPOInvCL!AB1465</f>
        <v>0</v>
      </c>
      <c r="K1465" s="31">
        <f>CASOPOInvCL!W1465</f>
        <v>0</v>
      </c>
      <c r="L1465" s="31">
        <f>CASOPOInvCL!X1465</f>
        <v>0</v>
      </c>
      <c r="M1465" s="31"/>
      <c r="N1465" s="5">
        <f>CASOPOInvCL!AF1465</f>
        <v>0</v>
      </c>
      <c r="O1465" s="16">
        <f>CASOPOInvCL!AG1465</f>
        <v>0</v>
      </c>
      <c r="P1465" s="16">
        <f>CASOPOInvCL!AH1465</f>
        <v>0</v>
      </c>
      <c r="Q1465" s="16">
        <f>CASOPOInvCL!AI1465</f>
        <v>0</v>
      </c>
      <c r="R1465" s="32">
        <f>CASOPOInvCL!AU1465</f>
        <v>0</v>
      </c>
      <c r="S1465" s="16">
        <f>CASOPOInvCL!AV1465</f>
        <v>0</v>
      </c>
      <c r="T1465" s="16">
        <f>CASOPOInvCL!AW1465</f>
        <v>0</v>
      </c>
      <c r="Y1465" s="29" t="str">
        <f>IFERROR(HLOOKUP(U1472,List!$D$2:$H$6,2,FALSE),"")</f>
        <v/>
      </c>
      <c r="Z1465" s="29" t="str">
        <f>IFERROR(HLOOKUP(V1472,List!$D$2:$H$6,3,FALSE),"")</f>
        <v/>
      </c>
      <c r="AA1465" s="29" t="str">
        <f>IFERROR(HLOOKUP(W1472,List!$D$2:$H$6,4,FALSE),"")</f>
        <v/>
      </c>
      <c r="AB1465" s="29" t="str">
        <f>IFERROR(HLOOKUP(X1472,List!$D$2:$H$6,5,FALSE),"")</f>
        <v/>
      </c>
      <c r="AC1465" s="12" t="str">
        <f t="shared" si="325"/>
        <v/>
      </c>
      <c r="AD1465" s="12" t="str">
        <f t="shared" si="325"/>
        <v/>
      </c>
      <c r="AE1465" s="12" t="str">
        <f t="shared" si="325"/>
        <v/>
      </c>
      <c r="AF1465" s="12" t="str">
        <f t="shared" si="325"/>
        <v/>
      </c>
      <c r="AM1465" s="12" t="str">
        <f t="shared" si="327"/>
        <v/>
      </c>
      <c r="AN1465" s="12" t="str">
        <f t="shared" si="328"/>
        <v/>
      </c>
      <c r="AO1465" s="12" t="str">
        <f t="shared" si="329"/>
        <v/>
      </c>
      <c r="AP1465" s="12" t="str">
        <f t="shared" si="330"/>
        <v/>
      </c>
      <c r="AQ1465" s="12"/>
      <c r="AS1465" s="12">
        <f t="shared" si="326"/>
        <v>0</v>
      </c>
    </row>
    <row r="1466" spans="1:45" hidden="1" x14ac:dyDescent="0.25">
      <c r="A1466" s="41">
        <f>CASOPOInvCL!T1466</f>
        <v>0</v>
      </c>
      <c r="B1466">
        <f>CASOPOInvCL!Z1466</f>
        <v>0</v>
      </c>
      <c r="G1466" s="5">
        <f>CASOPOInvCL!I1466</f>
        <v>0</v>
      </c>
      <c r="H1466" s="31">
        <f>CASOPOInvCL!U1466</f>
        <v>0</v>
      </c>
      <c r="I1466" s="31">
        <f>CASOPOInvCL!V1466</f>
        <v>0</v>
      </c>
      <c r="J1466" s="5">
        <f>CASOPOInvCL!AB1466</f>
        <v>0</v>
      </c>
      <c r="K1466" s="31">
        <f>CASOPOInvCL!W1466</f>
        <v>0</v>
      </c>
      <c r="L1466" s="31">
        <f>CASOPOInvCL!X1466</f>
        <v>0</v>
      </c>
      <c r="M1466" s="31"/>
      <c r="N1466" s="5">
        <f>CASOPOInvCL!AF1466</f>
        <v>0</v>
      </c>
      <c r="O1466" s="16">
        <f>CASOPOInvCL!AG1466</f>
        <v>0</v>
      </c>
      <c r="P1466" s="16">
        <f>CASOPOInvCL!AH1466</f>
        <v>0</v>
      </c>
      <c r="Q1466" s="16">
        <f>CASOPOInvCL!AI1466</f>
        <v>0</v>
      </c>
      <c r="R1466" s="32">
        <f>CASOPOInvCL!AU1466</f>
        <v>0</v>
      </c>
      <c r="S1466" s="16">
        <f>CASOPOInvCL!AV1466</f>
        <v>0</v>
      </c>
      <c r="T1466" s="16">
        <f>CASOPOInvCL!AW1466</f>
        <v>0</v>
      </c>
      <c r="Y1466" s="29" t="str">
        <f>IFERROR(HLOOKUP(U1473,List!$D$2:$H$6,2,FALSE),"")</f>
        <v/>
      </c>
      <c r="Z1466" s="29" t="str">
        <f>IFERROR(HLOOKUP(V1473,List!$D$2:$H$6,3,FALSE),"")</f>
        <v/>
      </c>
      <c r="AA1466" s="29" t="str">
        <f>IFERROR(HLOOKUP(W1473,List!$D$2:$H$6,4,FALSE),"")</f>
        <v/>
      </c>
      <c r="AB1466" s="29" t="str">
        <f>IFERROR(HLOOKUP(X1473,List!$D$2:$H$6,5,FALSE),"")</f>
        <v/>
      </c>
      <c r="AC1466" s="12" t="str">
        <f t="shared" si="325"/>
        <v/>
      </c>
      <c r="AD1466" s="12" t="str">
        <f t="shared" si="325"/>
        <v/>
      </c>
      <c r="AE1466" s="12" t="str">
        <f t="shared" si="325"/>
        <v/>
      </c>
      <c r="AF1466" s="12" t="str">
        <f t="shared" ref="AC1466:AF1529" si="331">IFERROR(AB1466*$T1466,"")</f>
        <v/>
      </c>
      <c r="AM1466" s="12" t="str">
        <f t="shared" si="327"/>
        <v/>
      </c>
      <c r="AN1466" s="12" t="str">
        <f t="shared" si="328"/>
        <v/>
      </c>
      <c r="AO1466" s="12" t="str">
        <f t="shared" si="329"/>
        <v/>
      </c>
      <c r="AP1466" s="12" t="str">
        <f t="shared" si="330"/>
        <v/>
      </c>
      <c r="AQ1466" s="12"/>
      <c r="AS1466" s="12">
        <f t="shared" si="326"/>
        <v>0</v>
      </c>
    </row>
    <row r="1467" spans="1:45" hidden="1" x14ac:dyDescent="0.25">
      <c r="A1467" s="41">
        <f>CASOPOInvCL!T1467</f>
        <v>0</v>
      </c>
      <c r="B1467">
        <f>CASOPOInvCL!Z1467</f>
        <v>0</v>
      </c>
      <c r="G1467" s="5">
        <f>CASOPOInvCL!I1467</f>
        <v>0</v>
      </c>
      <c r="H1467" s="31">
        <f>CASOPOInvCL!U1467</f>
        <v>0</v>
      </c>
      <c r="I1467" s="31">
        <f>CASOPOInvCL!V1467</f>
        <v>0</v>
      </c>
      <c r="J1467" s="5">
        <f>CASOPOInvCL!AB1467</f>
        <v>0</v>
      </c>
      <c r="K1467" s="31">
        <f>CASOPOInvCL!W1467</f>
        <v>0</v>
      </c>
      <c r="L1467" s="31">
        <f>CASOPOInvCL!X1467</f>
        <v>0</v>
      </c>
      <c r="M1467" s="31"/>
      <c r="N1467" s="5">
        <f>CASOPOInvCL!AF1467</f>
        <v>0</v>
      </c>
      <c r="O1467" s="16">
        <f>CASOPOInvCL!AG1467</f>
        <v>0</v>
      </c>
      <c r="P1467" s="16">
        <f>CASOPOInvCL!AH1467</f>
        <v>0</v>
      </c>
      <c r="Q1467" s="16">
        <f>CASOPOInvCL!AI1467</f>
        <v>0</v>
      </c>
      <c r="R1467" s="32">
        <f>CASOPOInvCL!AU1467</f>
        <v>0</v>
      </c>
      <c r="S1467" s="16">
        <f>CASOPOInvCL!AV1467</f>
        <v>0</v>
      </c>
      <c r="T1467" s="16">
        <f>CASOPOInvCL!AW1467</f>
        <v>0</v>
      </c>
      <c r="Y1467" s="29" t="str">
        <f>IFERROR(HLOOKUP(U1474,List!$D$2:$H$6,2,FALSE),"")</f>
        <v/>
      </c>
      <c r="Z1467" s="29" t="str">
        <f>IFERROR(HLOOKUP(V1474,List!$D$2:$H$6,3,FALSE),"")</f>
        <v/>
      </c>
      <c r="AA1467" s="29" t="str">
        <f>IFERROR(HLOOKUP(W1474,List!$D$2:$H$6,4,FALSE),"")</f>
        <v/>
      </c>
      <c r="AB1467" s="29" t="str">
        <f>IFERROR(HLOOKUP(X1474,List!$D$2:$H$6,5,FALSE),"")</f>
        <v/>
      </c>
      <c r="AC1467" s="12" t="str">
        <f t="shared" si="331"/>
        <v/>
      </c>
      <c r="AD1467" s="12" t="str">
        <f t="shared" si="331"/>
        <v/>
      </c>
      <c r="AE1467" s="12" t="str">
        <f t="shared" si="331"/>
        <v/>
      </c>
      <c r="AF1467" s="12" t="str">
        <f t="shared" si="331"/>
        <v/>
      </c>
      <c r="AM1467" s="12" t="str">
        <f t="shared" si="327"/>
        <v/>
      </c>
      <c r="AN1467" s="12" t="str">
        <f t="shared" si="328"/>
        <v/>
      </c>
      <c r="AO1467" s="12" t="str">
        <f t="shared" si="329"/>
        <v/>
      </c>
      <c r="AP1467" s="12" t="str">
        <f t="shared" si="330"/>
        <v/>
      </c>
      <c r="AQ1467" s="12"/>
      <c r="AS1467" s="12">
        <f t="shared" si="326"/>
        <v>0</v>
      </c>
    </row>
    <row r="1468" spans="1:45" hidden="1" x14ac:dyDescent="0.25">
      <c r="A1468" s="41">
        <f>CASOPOInvCL!T1468</f>
        <v>0</v>
      </c>
      <c r="B1468">
        <f>CASOPOInvCL!Z1468</f>
        <v>0</v>
      </c>
      <c r="G1468" s="5">
        <f>CASOPOInvCL!I1468</f>
        <v>0</v>
      </c>
      <c r="H1468" s="31">
        <f>CASOPOInvCL!U1468</f>
        <v>0</v>
      </c>
      <c r="I1468" s="31">
        <f>CASOPOInvCL!V1468</f>
        <v>0</v>
      </c>
      <c r="J1468" s="5">
        <f>CASOPOInvCL!AB1468</f>
        <v>0</v>
      </c>
      <c r="K1468" s="31">
        <f>CASOPOInvCL!W1468</f>
        <v>0</v>
      </c>
      <c r="L1468" s="31">
        <f>CASOPOInvCL!X1468</f>
        <v>0</v>
      </c>
      <c r="M1468" s="31"/>
      <c r="N1468" s="5">
        <f>CASOPOInvCL!AF1468</f>
        <v>0</v>
      </c>
      <c r="O1468" s="16">
        <f>CASOPOInvCL!AG1468</f>
        <v>0</v>
      </c>
      <c r="P1468" s="16">
        <f>CASOPOInvCL!AH1468</f>
        <v>0</v>
      </c>
      <c r="Q1468" s="16">
        <f>CASOPOInvCL!AI1468</f>
        <v>0</v>
      </c>
      <c r="R1468" s="32">
        <f>CASOPOInvCL!AU1468</f>
        <v>0</v>
      </c>
      <c r="S1468" s="16">
        <f>CASOPOInvCL!AV1468</f>
        <v>0</v>
      </c>
      <c r="T1468" s="16">
        <f>CASOPOInvCL!AW1468</f>
        <v>0</v>
      </c>
      <c r="Y1468" s="29" t="str">
        <f>IFERROR(HLOOKUP(U1475,List!$D$2:$H$6,2,FALSE),"")</f>
        <v/>
      </c>
      <c r="Z1468" s="29" t="str">
        <f>IFERROR(HLOOKUP(V1475,List!$D$2:$H$6,3,FALSE),"")</f>
        <v/>
      </c>
      <c r="AA1468" s="29" t="str">
        <f>IFERROR(HLOOKUP(W1475,List!$D$2:$H$6,4,FALSE),"")</f>
        <v/>
      </c>
      <c r="AB1468" s="29" t="str">
        <f>IFERROR(HLOOKUP(X1475,List!$D$2:$H$6,5,FALSE),"")</f>
        <v/>
      </c>
      <c r="AC1468" s="12" t="str">
        <f t="shared" si="331"/>
        <v/>
      </c>
      <c r="AD1468" s="12" t="str">
        <f t="shared" si="331"/>
        <v/>
      </c>
      <c r="AE1468" s="12" t="str">
        <f t="shared" si="331"/>
        <v/>
      </c>
      <c r="AF1468" s="12" t="str">
        <f t="shared" si="331"/>
        <v/>
      </c>
      <c r="AM1468" s="12" t="str">
        <f t="shared" si="327"/>
        <v/>
      </c>
      <c r="AN1468" s="12" t="str">
        <f t="shared" si="328"/>
        <v/>
      </c>
      <c r="AO1468" s="12" t="str">
        <f t="shared" si="329"/>
        <v/>
      </c>
      <c r="AP1468" s="12" t="str">
        <f t="shared" si="330"/>
        <v/>
      </c>
      <c r="AQ1468" s="12"/>
      <c r="AS1468" s="12">
        <f t="shared" si="326"/>
        <v>0</v>
      </c>
    </row>
    <row r="1469" spans="1:45" hidden="1" x14ac:dyDescent="0.25">
      <c r="A1469" s="41">
        <f>CASOPOInvCL!T1469</f>
        <v>0</v>
      </c>
      <c r="B1469">
        <f>CASOPOInvCL!Z1469</f>
        <v>0</v>
      </c>
      <c r="G1469" s="5">
        <f>CASOPOInvCL!I1469</f>
        <v>0</v>
      </c>
      <c r="H1469" s="31">
        <f>CASOPOInvCL!U1469</f>
        <v>0</v>
      </c>
      <c r="I1469" s="31">
        <f>CASOPOInvCL!V1469</f>
        <v>0</v>
      </c>
      <c r="J1469" s="5">
        <f>CASOPOInvCL!AB1469</f>
        <v>0</v>
      </c>
      <c r="K1469" s="31">
        <f>CASOPOInvCL!W1469</f>
        <v>0</v>
      </c>
      <c r="L1469" s="31">
        <f>CASOPOInvCL!X1469</f>
        <v>0</v>
      </c>
      <c r="M1469" s="31"/>
      <c r="N1469" s="5">
        <f>CASOPOInvCL!AF1469</f>
        <v>0</v>
      </c>
      <c r="O1469" s="16">
        <f>CASOPOInvCL!AG1469</f>
        <v>0</v>
      </c>
      <c r="P1469" s="16">
        <f>CASOPOInvCL!AH1469</f>
        <v>0</v>
      </c>
      <c r="Q1469" s="16">
        <f>CASOPOInvCL!AI1469</f>
        <v>0</v>
      </c>
      <c r="R1469" s="32">
        <f>CASOPOInvCL!AU1469</f>
        <v>0</v>
      </c>
      <c r="S1469" s="16">
        <f>CASOPOInvCL!AV1469</f>
        <v>0</v>
      </c>
      <c r="T1469" s="16">
        <f>CASOPOInvCL!AW1469</f>
        <v>0</v>
      </c>
      <c r="Y1469" s="29" t="str">
        <f>IFERROR(HLOOKUP(U1476,List!$D$2:$H$6,2,FALSE),"")</f>
        <v/>
      </c>
      <c r="Z1469" s="29" t="str">
        <f>IFERROR(HLOOKUP(V1476,List!$D$2:$H$6,3,FALSE),"")</f>
        <v/>
      </c>
      <c r="AA1469" s="29" t="str">
        <f>IFERROR(HLOOKUP(W1476,List!$D$2:$H$6,4,FALSE),"")</f>
        <v/>
      </c>
      <c r="AB1469" s="29" t="str">
        <f>IFERROR(HLOOKUP(X1476,List!$D$2:$H$6,5,FALSE),"")</f>
        <v/>
      </c>
      <c r="AC1469" s="12" t="str">
        <f t="shared" si="331"/>
        <v/>
      </c>
      <c r="AD1469" s="12" t="str">
        <f t="shared" si="331"/>
        <v/>
      </c>
      <c r="AE1469" s="12" t="str">
        <f t="shared" si="331"/>
        <v/>
      </c>
      <c r="AF1469" s="12" t="str">
        <f t="shared" si="331"/>
        <v/>
      </c>
      <c r="AM1469" s="12" t="str">
        <f t="shared" si="327"/>
        <v/>
      </c>
      <c r="AN1469" s="12" t="str">
        <f t="shared" si="328"/>
        <v/>
      </c>
      <c r="AO1469" s="12" t="str">
        <f t="shared" si="329"/>
        <v/>
      </c>
      <c r="AP1469" s="12" t="str">
        <f t="shared" si="330"/>
        <v/>
      </c>
      <c r="AQ1469" s="12"/>
      <c r="AS1469" s="12">
        <f t="shared" si="326"/>
        <v>0</v>
      </c>
    </row>
    <row r="1470" spans="1:45" hidden="1" x14ac:dyDescent="0.25">
      <c r="A1470" s="41">
        <f>CASOPOInvCL!T1470</f>
        <v>0</v>
      </c>
      <c r="B1470">
        <f>CASOPOInvCL!Z1470</f>
        <v>0</v>
      </c>
      <c r="G1470" s="5">
        <f>CASOPOInvCL!I1470</f>
        <v>0</v>
      </c>
      <c r="H1470" s="31">
        <f>CASOPOInvCL!U1470</f>
        <v>0</v>
      </c>
      <c r="I1470" s="31">
        <f>CASOPOInvCL!V1470</f>
        <v>0</v>
      </c>
      <c r="J1470" s="5">
        <f>CASOPOInvCL!AB1470</f>
        <v>0</v>
      </c>
      <c r="K1470" s="31">
        <f>CASOPOInvCL!W1470</f>
        <v>0</v>
      </c>
      <c r="L1470" s="31">
        <f>CASOPOInvCL!X1470</f>
        <v>0</v>
      </c>
      <c r="M1470" s="31"/>
      <c r="N1470" s="5">
        <f>CASOPOInvCL!AF1470</f>
        <v>0</v>
      </c>
      <c r="O1470" s="16">
        <f>CASOPOInvCL!AG1470</f>
        <v>0</v>
      </c>
      <c r="P1470" s="16">
        <f>CASOPOInvCL!AH1470</f>
        <v>0</v>
      </c>
      <c r="Q1470" s="16">
        <f>CASOPOInvCL!AI1470</f>
        <v>0</v>
      </c>
      <c r="R1470" s="32">
        <f>CASOPOInvCL!AU1470</f>
        <v>0</v>
      </c>
      <c r="S1470" s="16">
        <f>CASOPOInvCL!AV1470</f>
        <v>0</v>
      </c>
      <c r="T1470" s="16">
        <f>CASOPOInvCL!AW1470</f>
        <v>0</v>
      </c>
      <c r="Y1470" s="29" t="str">
        <f>IFERROR(HLOOKUP(U1477,List!$D$2:$H$6,2,FALSE),"")</f>
        <v/>
      </c>
      <c r="Z1470" s="29" t="str">
        <f>IFERROR(HLOOKUP(V1477,List!$D$2:$H$6,3,FALSE),"")</f>
        <v/>
      </c>
      <c r="AA1470" s="29" t="str">
        <f>IFERROR(HLOOKUP(W1477,List!$D$2:$H$6,4,FALSE),"")</f>
        <v/>
      </c>
      <c r="AB1470" s="29" t="str">
        <f>IFERROR(HLOOKUP(X1477,List!$D$2:$H$6,5,FALSE),"")</f>
        <v/>
      </c>
      <c r="AC1470" s="12" t="str">
        <f t="shared" si="331"/>
        <v/>
      </c>
      <c r="AD1470" s="12" t="str">
        <f t="shared" si="331"/>
        <v/>
      </c>
      <c r="AE1470" s="12" t="str">
        <f t="shared" si="331"/>
        <v/>
      </c>
      <c r="AF1470" s="12" t="str">
        <f t="shared" si="331"/>
        <v/>
      </c>
      <c r="AM1470" s="12" t="str">
        <f t="shared" si="327"/>
        <v/>
      </c>
      <c r="AN1470" s="12" t="str">
        <f t="shared" si="328"/>
        <v/>
      </c>
      <c r="AO1470" s="12" t="str">
        <f t="shared" si="329"/>
        <v/>
      </c>
      <c r="AP1470" s="12" t="str">
        <f t="shared" si="330"/>
        <v/>
      </c>
      <c r="AQ1470" s="12"/>
      <c r="AS1470" s="12">
        <f t="shared" si="326"/>
        <v>0</v>
      </c>
    </row>
    <row r="1471" spans="1:45" hidden="1" x14ac:dyDescent="0.25">
      <c r="A1471" s="41">
        <f>CASOPOInvCL!T1471</f>
        <v>0</v>
      </c>
      <c r="B1471">
        <f>CASOPOInvCL!Z1471</f>
        <v>0</v>
      </c>
      <c r="G1471" s="5">
        <f>CASOPOInvCL!I1471</f>
        <v>0</v>
      </c>
      <c r="H1471" s="31">
        <f>CASOPOInvCL!U1471</f>
        <v>0</v>
      </c>
      <c r="I1471" s="31">
        <f>CASOPOInvCL!V1471</f>
        <v>0</v>
      </c>
      <c r="J1471" s="5">
        <f>CASOPOInvCL!AB1471</f>
        <v>0</v>
      </c>
      <c r="K1471" s="31">
        <f>CASOPOInvCL!W1471</f>
        <v>0</v>
      </c>
      <c r="L1471" s="31">
        <f>CASOPOInvCL!X1471</f>
        <v>0</v>
      </c>
      <c r="M1471" s="31"/>
      <c r="N1471" s="5">
        <f>CASOPOInvCL!AF1471</f>
        <v>0</v>
      </c>
      <c r="O1471" s="16">
        <f>CASOPOInvCL!AG1471</f>
        <v>0</v>
      </c>
      <c r="P1471" s="16">
        <f>CASOPOInvCL!AH1471</f>
        <v>0</v>
      </c>
      <c r="Q1471" s="16">
        <f>CASOPOInvCL!AI1471</f>
        <v>0</v>
      </c>
      <c r="R1471" s="32">
        <f>CASOPOInvCL!AU1471</f>
        <v>0</v>
      </c>
      <c r="S1471" s="16">
        <f>CASOPOInvCL!AV1471</f>
        <v>0</v>
      </c>
      <c r="T1471" s="16">
        <f>CASOPOInvCL!AW1471</f>
        <v>0</v>
      </c>
      <c r="Y1471" s="29" t="str">
        <f>IFERROR(HLOOKUP(U1478,List!$D$2:$H$6,2,FALSE),"")</f>
        <v/>
      </c>
      <c r="Z1471" s="29" t="str">
        <f>IFERROR(HLOOKUP(V1478,List!$D$2:$H$6,3,FALSE),"")</f>
        <v/>
      </c>
      <c r="AA1471" s="29" t="str">
        <f>IFERROR(HLOOKUP(W1478,List!$D$2:$H$6,4,FALSE),"")</f>
        <v/>
      </c>
      <c r="AB1471" s="29" t="str">
        <f>IFERROR(HLOOKUP(X1478,List!$D$2:$H$6,5,FALSE),"")</f>
        <v/>
      </c>
      <c r="AC1471" s="12" t="str">
        <f t="shared" si="331"/>
        <v/>
      </c>
      <c r="AD1471" s="12" t="str">
        <f t="shared" si="331"/>
        <v/>
      </c>
      <c r="AE1471" s="12" t="str">
        <f t="shared" si="331"/>
        <v/>
      </c>
      <c r="AF1471" s="12" t="str">
        <f t="shared" si="331"/>
        <v/>
      </c>
      <c r="AM1471" s="12" t="str">
        <f t="shared" si="327"/>
        <v/>
      </c>
      <c r="AN1471" s="12" t="str">
        <f t="shared" si="328"/>
        <v/>
      </c>
      <c r="AO1471" s="12" t="str">
        <f t="shared" si="329"/>
        <v/>
      </c>
      <c r="AP1471" s="12" t="str">
        <f t="shared" si="330"/>
        <v/>
      </c>
      <c r="AQ1471" s="12"/>
      <c r="AS1471" s="12">
        <f t="shared" si="326"/>
        <v>0</v>
      </c>
    </row>
    <row r="1472" spans="1:45" hidden="1" x14ac:dyDescent="0.25">
      <c r="A1472" s="41">
        <f>CASOPOInvCL!T1472</f>
        <v>0</v>
      </c>
      <c r="B1472">
        <f>CASOPOInvCL!Z1472</f>
        <v>0</v>
      </c>
      <c r="G1472" s="5">
        <f>CASOPOInvCL!I1472</f>
        <v>0</v>
      </c>
      <c r="H1472" s="31">
        <f>CASOPOInvCL!U1472</f>
        <v>0</v>
      </c>
      <c r="I1472" s="31">
        <f>CASOPOInvCL!V1472</f>
        <v>0</v>
      </c>
      <c r="J1472" s="5">
        <f>CASOPOInvCL!AB1472</f>
        <v>0</v>
      </c>
      <c r="K1472" s="31">
        <f>CASOPOInvCL!W1472</f>
        <v>0</v>
      </c>
      <c r="L1472" s="31">
        <f>CASOPOInvCL!X1472</f>
        <v>0</v>
      </c>
      <c r="M1472" s="31"/>
      <c r="N1472" s="5">
        <f>CASOPOInvCL!AF1472</f>
        <v>0</v>
      </c>
      <c r="O1472" s="16">
        <f>CASOPOInvCL!AG1472</f>
        <v>0</v>
      </c>
      <c r="P1472" s="16">
        <f>CASOPOInvCL!AH1472</f>
        <v>0</v>
      </c>
      <c r="Q1472" s="16">
        <f>CASOPOInvCL!AI1472</f>
        <v>0</v>
      </c>
      <c r="R1472" s="32">
        <f>CASOPOInvCL!AU1472</f>
        <v>0</v>
      </c>
      <c r="S1472" s="16">
        <f>CASOPOInvCL!AV1472</f>
        <v>0</v>
      </c>
      <c r="T1472" s="16">
        <f>CASOPOInvCL!AW1472</f>
        <v>0</v>
      </c>
      <c r="Y1472" s="29" t="str">
        <f>IFERROR(HLOOKUP(U1479,List!$D$2:$H$6,2,FALSE),"")</f>
        <v/>
      </c>
      <c r="Z1472" s="29" t="str">
        <f>IFERROR(HLOOKUP(V1479,List!$D$2:$H$6,3,FALSE),"")</f>
        <v/>
      </c>
      <c r="AA1472" s="29" t="str">
        <f>IFERROR(HLOOKUP(W1479,List!$D$2:$H$6,4,FALSE),"")</f>
        <v/>
      </c>
      <c r="AB1472" s="29" t="str">
        <f>IFERROR(HLOOKUP(X1479,List!$D$2:$H$6,5,FALSE),"")</f>
        <v/>
      </c>
      <c r="AC1472" s="12" t="str">
        <f t="shared" si="331"/>
        <v/>
      </c>
      <c r="AD1472" s="12" t="str">
        <f t="shared" si="331"/>
        <v/>
      </c>
      <c r="AE1472" s="12" t="str">
        <f t="shared" si="331"/>
        <v/>
      </c>
      <c r="AF1472" s="12" t="str">
        <f t="shared" si="331"/>
        <v/>
      </c>
      <c r="AM1472" s="12" t="str">
        <f t="shared" si="327"/>
        <v/>
      </c>
      <c r="AN1472" s="12" t="str">
        <f t="shared" si="328"/>
        <v/>
      </c>
      <c r="AO1472" s="12" t="str">
        <f t="shared" si="329"/>
        <v/>
      </c>
      <c r="AP1472" s="12" t="str">
        <f t="shared" si="330"/>
        <v/>
      </c>
      <c r="AQ1472" s="12"/>
      <c r="AS1472" s="12">
        <f t="shared" si="326"/>
        <v>0</v>
      </c>
    </row>
    <row r="1473" spans="1:45" hidden="1" x14ac:dyDescent="0.25">
      <c r="A1473" s="41">
        <f>CASOPOInvCL!T1473</f>
        <v>0</v>
      </c>
      <c r="B1473">
        <f>CASOPOInvCL!Z1473</f>
        <v>0</v>
      </c>
      <c r="G1473" s="5">
        <f>CASOPOInvCL!I1473</f>
        <v>0</v>
      </c>
      <c r="H1473" s="31">
        <f>CASOPOInvCL!U1473</f>
        <v>0</v>
      </c>
      <c r="I1473" s="31">
        <f>CASOPOInvCL!V1473</f>
        <v>0</v>
      </c>
      <c r="J1473" s="5">
        <f>CASOPOInvCL!AB1473</f>
        <v>0</v>
      </c>
      <c r="K1473" s="31">
        <f>CASOPOInvCL!W1473</f>
        <v>0</v>
      </c>
      <c r="L1473" s="31">
        <f>CASOPOInvCL!X1473</f>
        <v>0</v>
      </c>
      <c r="M1473" s="31"/>
      <c r="N1473" s="5">
        <f>CASOPOInvCL!AF1473</f>
        <v>0</v>
      </c>
      <c r="O1473" s="16">
        <f>CASOPOInvCL!AG1473</f>
        <v>0</v>
      </c>
      <c r="P1473" s="16">
        <f>CASOPOInvCL!AH1473</f>
        <v>0</v>
      </c>
      <c r="Q1473" s="16">
        <f>CASOPOInvCL!AI1473</f>
        <v>0</v>
      </c>
      <c r="R1473" s="32">
        <f>CASOPOInvCL!AU1473</f>
        <v>0</v>
      </c>
      <c r="S1473" s="16">
        <f>CASOPOInvCL!AV1473</f>
        <v>0</v>
      </c>
      <c r="T1473" s="16">
        <f>CASOPOInvCL!AW1473</f>
        <v>0</v>
      </c>
      <c r="Y1473" s="29" t="str">
        <f>IFERROR(HLOOKUP(U1480,List!$D$2:$H$6,2,FALSE),"")</f>
        <v/>
      </c>
      <c r="Z1473" s="29" t="str">
        <f>IFERROR(HLOOKUP(V1480,List!$D$2:$H$6,3,FALSE),"")</f>
        <v/>
      </c>
      <c r="AA1473" s="29" t="str">
        <f>IFERROR(HLOOKUP(W1480,List!$D$2:$H$6,4,FALSE),"")</f>
        <v/>
      </c>
      <c r="AB1473" s="29" t="str">
        <f>IFERROR(HLOOKUP(X1480,List!$D$2:$H$6,5,FALSE),"")</f>
        <v/>
      </c>
      <c r="AC1473" s="12" t="str">
        <f t="shared" si="331"/>
        <v/>
      </c>
      <c r="AD1473" s="12" t="str">
        <f t="shared" si="331"/>
        <v/>
      </c>
      <c r="AE1473" s="12" t="str">
        <f t="shared" si="331"/>
        <v/>
      </c>
      <c r="AF1473" s="12" t="str">
        <f t="shared" si="331"/>
        <v/>
      </c>
      <c r="AM1473" s="12" t="str">
        <f t="shared" si="327"/>
        <v/>
      </c>
      <c r="AN1473" s="12" t="str">
        <f t="shared" si="328"/>
        <v/>
      </c>
      <c r="AO1473" s="12" t="str">
        <f t="shared" si="329"/>
        <v/>
      </c>
      <c r="AP1473" s="12" t="str">
        <f t="shared" si="330"/>
        <v/>
      </c>
      <c r="AQ1473" s="12"/>
      <c r="AS1473" s="12">
        <f t="shared" si="326"/>
        <v>0</v>
      </c>
    </row>
    <row r="1474" spans="1:45" hidden="1" x14ac:dyDescent="0.25">
      <c r="A1474" s="41">
        <f>CASOPOInvCL!T1474</f>
        <v>0</v>
      </c>
      <c r="B1474">
        <f>CASOPOInvCL!Z1474</f>
        <v>0</v>
      </c>
      <c r="G1474" s="5">
        <f>CASOPOInvCL!I1474</f>
        <v>0</v>
      </c>
      <c r="H1474" s="31">
        <f>CASOPOInvCL!U1474</f>
        <v>0</v>
      </c>
      <c r="I1474" s="31">
        <f>CASOPOInvCL!V1474</f>
        <v>0</v>
      </c>
      <c r="J1474" s="5">
        <f>CASOPOInvCL!AB1474</f>
        <v>0</v>
      </c>
      <c r="K1474" s="31">
        <f>CASOPOInvCL!W1474</f>
        <v>0</v>
      </c>
      <c r="L1474" s="31">
        <f>CASOPOInvCL!X1474</f>
        <v>0</v>
      </c>
      <c r="M1474" s="31"/>
      <c r="N1474" s="5">
        <f>CASOPOInvCL!AF1474</f>
        <v>0</v>
      </c>
      <c r="O1474" s="16">
        <f>CASOPOInvCL!AG1474</f>
        <v>0</v>
      </c>
      <c r="P1474" s="16">
        <f>CASOPOInvCL!AH1474</f>
        <v>0</v>
      </c>
      <c r="Q1474" s="16">
        <f>CASOPOInvCL!AI1474</f>
        <v>0</v>
      </c>
      <c r="R1474" s="32">
        <f>CASOPOInvCL!AU1474</f>
        <v>0</v>
      </c>
      <c r="S1474" s="16">
        <f>CASOPOInvCL!AV1474</f>
        <v>0</v>
      </c>
      <c r="T1474" s="16">
        <f>CASOPOInvCL!AW1474</f>
        <v>0</v>
      </c>
      <c r="Y1474" s="29" t="str">
        <f>IFERROR(HLOOKUP(U1481,List!$D$2:$H$6,2,FALSE),"")</f>
        <v/>
      </c>
      <c r="Z1474" s="29" t="str">
        <f>IFERROR(HLOOKUP(V1481,List!$D$2:$H$6,3,FALSE),"")</f>
        <v/>
      </c>
      <c r="AA1474" s="29" t="str">
        <f>IFERROR(HLOOKUP(W1481,List!$D$2:$H$6,4,FALSE),"")</f>
        <v/>
      </c>
      <c r="AB1474" s="29" t="str">
        <f>IFERROR(HLOOKUP(X1481,List!$D$2:$H$6,5,FALSE),"")</f>
        <v/>
      </c>
      <c r="AC1474" s="12" t="str">
        <f t="shared" si="331"/>
        <v/>
      </c>
      <c r="AD1474" s="12" t="str">
        <f t="shared" si="331"/>
        <v/>
      </c>
      <c r="AE1474" s="12" t="str">
        <f t="shared" si="331"/>
        <v/>
      </c>
      <c r="AF1474" s="12" t="str">
        <f t="shared" si="331"/>
        <v/>
      </c>
      <c r="AM1474" s="12" t="str">
        <f t="shared" si="327"/>
        <v/>
      </c>
      <c r="AN1474" s="12" t="str">
        <f t="shared" si="328"/>
        <v/>
      </c>
      <c r="AO1474" s="12" t="str">
        <f t="shared" si="329"/>
        <v/>
      </c>
      <c r="AP1474" s="12" t="str">
        <f t="shared" si="330"/>
        <v/>
      </c>
      <c r="AQ1474" s="12"/>
      <c r="AS1474" s="12">
        <f t="shared" si="326"/>
        <v>0</v>
      </c>
    </row>
    <row r="1475" spans="1:45" hidden="1" x14ac:dyDescent="0.25">
      <c r="A1475" s="41">
        <f>CASOPOInvCL!T1475</f>
        <v>0</v>
      </c>
      <c r="B1475">
        <f>CASOPOInvCL!Z1475</f>
        <v>0</v>
      </c>
      <c r="G1475" s="5">
        <f>CASOPOInvCL!I1475</f>
        <v>0</v>
      </c>
      <c r="H1475" s="31">
        <f>CASOPOInvCL!U1475</f>
        <v>0</v>
      </c>
      <c r="I1475" s="31">
        <f>CASOPOInvCL!V1475</f>
        <v>0</v>
      </c>
      <c r="J1475" s="5">
        <f>CASOPOInvCL!AB1475</f>
        <v>0</v>
      </c>
      <c r="K1475" s="31">
        <f>CASOPOInvCL!W1475</f>
        <v>0</v>
      </c>
      <c r="L1475" s="31">
        <f>CASOPOInvCL!X1475</f>
        <v>0</v>
      </c>
      <c r="M1475" s="31"/>
      <c r="N1475" s="5">
        <f>CASOPOInvCL!AF1475</f>
        <v>0</v>
      </c>
      <c r="O1475" s="16">
        <f>CASOPOInvCL!AG1475</f>
        <v>0</v>
      </c>
      <c r="P1475" s="16">
        <f>CASOPOInvCL!AH1475</f>
        <v>0</v>
      </c>
      <c r="Q1475" s="16">
        <f>CASOPOInvCL!AI1475</f>
        <v>0</v>
      </c>
      <c r="R1475" s="32">
        <f>CASOPOInvCL!AU1475</f>
        <v>0</v>
      </c>
      <c r="S1475" s="16">
        <f>CASOPOInvCL!AV1475</f>
        <v>0</v>
      </c>
      <c r="T1475" s="16">
        <f>CASOPOInvCL!AW1475</f>
        <v>0</v>
      </c>
      <c r="Y1475" s="29" t="str">
        <f>IFERROR(HLOOKUP(U1482,List!$D$2:$H$6,2,FALSE),"")</f>
        <v/>
      </c>
      <c r="Z1475" s="29" t="str">
        <f>IFERROR(HLOOKUP(V1482,List!$D$2:$H$6,3,FALSE),"")</f>
        <v/>
      </c>
      <c r="AA1475" s="29" t="str">
        <f>IFERROR(HLOOKUP(W1482,List!$D$2:$H$6,4,FALSE),"")</f>
        <v/>
      </c>
      <c r="AB1475" s="29" t="str">
        <f>IFERROR(HLOOKUP(X1482,List!$D$2:$H$6,5,FALSE),"")</f>
        <v/>
      </c>
      <c r="AC1475" s="12" t="str">
        <f t="shared" si="331"/>
        <v/>
      </c>
      <c r="AD1475" s="12" t="str">
        <f t="shared" si="331"/>
        <v/>
      </c>
      <c r="AE1475" s="12" t="str">
        <f t="shared" si="331"/>
        <v/>
      </c>
      <c r="AF1475" s="12" t="str">
        <f t="shared" si="331"/>
        <v/>
      </c>
      <c r="AM1475" s="12" t="str">
        <f t="shared" si="327"/>
        <v/>
      </c>
      <c r="AN1475" s="12" t="str">
        <f t="shared" si="328"/>
        <v/>
      </c>
      <c r="AO1475" s="12" t="str">
        <f t="shared" si="329"/>
        <v/>
      </c>
      <c r="AP1475" s="12" t="str">
        <f t="shared" si="330"/>
        <v/>
      </c>
      <c r="AQ1475" s="12"/>
      <c r="AS1475" s="12">
        <f t="shared" si="326"/>
        <v>0</v>
      </c>
    </row>
    <row r="1476" spans="1:45" hidden="1" x14ac:dyDescent="0.25">
      <c r="A1476" s="41">
        <f>CASOPOInvCL!T1476</f>
        <v>0</v>
      </c>
      <c r="B1476">
        <f>CASOPOInvCL!Z1476</f>
        <v>0</v>
      </c>
      <c r="G1476" s="5">
        <f>CASOPOInvCL!I1476</f>
        <v>0</v>
      </c>
      <c r="H1476" s="31">
        <f>CASOPOInvCL!U1476</f>
        <v>0</v>
      </c>
      <c r="I1476" s="31">
        <f>CASOPOInvCL!V1476</f>
        <v>0</v>
      </c>
      <c r="J1476" s="5">
        <f>CASOPOInvCL!AB1476</f>
        <v>0</v>
      </c>
      <c r="K1476" s="31">
        <f>CASOPOInvCL!W1476</f>
        <v>0</v>
      </c>
      <c r="L1476" s="31">
        <f>CASOPOInvCL!X1476</f>
        <v>0</v>
      </c>
      <c r="M1476" s="31"/>
      <c r="N1476" s="5">
        <f>CASOPOInvCL!AF1476</f>
        <v>0</v>
      </c>
      <c r="O1476" s="16">
        <f>CASOPOInvCL!AG1476</f>
        <v>0</v>
      </c>
      <c r="P1476" s="16">
        <f>CASOPOInvCL!AH1476</f>
        <v>0</v>
      </c>
      <c r="Q1476" s="16">
        <f>CASOPOInvCL!AI1476</f>
        <v>0</v>
      </c>
      <c r="R1476" s="32">
        <f>CASOPOInvCL!AU1476</f>
        <v>0</v>
      </c>
      <c r="S1476" s="16">
        <f>CASOPOInvCL!AV1476</f>
        <v>0</v>
      </c>
      <c r="T1476" s="16">
        <f>CASOPOInvCL!AW1476</f>
        <v>0</v>
      </c>
      <c r="Y1476" s="29" t="str">
        <f>IFERROR(HLOOKUP(U1483,List!$D$2:$H$6,2,FALSE),"")</f>
        <v/>
      </c>
      <c r="Z1476" s="29" t="str">
        <f>IFERROR(HLOOKUP(V1483,List!$D$2:$H$6,3,FALSE),"")</f>
        <v/>
      </c>
      <c r="AA1476" s="29" t="str">
        <f>IFERROR(HLOOKUP(W1483,List!$D$2:$H$6,4,FALSE),"")</f>
        <v/>
      </c>
      <c r="AB1476" s="29" t="str">
        <f>IFERROR(HLOOKUP(X1483,List!$D$2:$H$6,5,FALSE),"")</f>
        <v/>
      </c>
      <c r="AC1476" s="12" t="str">
        <f t="shared" si="331"/>
        <v/>
      </c>
      <c r="AD1476" s="12" t="str">
        <f t="shared" si="331"/>
        <v/>
      </c>
      <c r="AE1476" s="12" t="str">
        <f t="shared" si="331"/>
        <v/>
      </c>
      <c r="AF1476" s="12" t="str">
        <f t="shared" si="331"/>
        <v/>
      </c>
      <c r="AM1476" s="12" t="str">
        <f t="shared" si="327"/>
        <v/>
      </c>
      <c r="AN1476" s="12" t="str">
        <f t="shared" si="328"/>
        <v/>
      </c>
      <c r="AO1476" s="12" t="str">
        <f t="shared" si="329"/>
        <v/>
      </c>
      <c r="AP1476" s="12" t="str">
        <f t="shared" si="330"/>
        <v/>
      </c>
      <c r="AQ1476" s="12"/>
      <c r="AS1476" s="12">
        <f t="shared" si="326"/>
        <v>0</v>
      </c>
    </row>
    <row r="1477" spans="1:45" hidden="1" x14ac:dyDescent="0.25">
      <c r="A1477" s="41">
        <f>CASOPOInvCL!T1477</f>
        <v>0</v>
      </c>
      <c r="B1477">
        <f>CASOPOInvCL!Z1477</f>
        <v>0</v>
      </c>
      <c r="G1477" s="5">
        <f>CASOPOInvCL!I1477</f>
        <v>0</v>
      </c>
      <c r="H1477" s="31">
        <f>CASOPOInvCL!U1477</f>
        <v>0</v>
      </c>
      <c r="I1477" s="31">
        <f>CASOPOInvCL!V1477</f>
        <v>0</v>
      </c>
      <c r="J1477" s="5">
        <f>CASOPOInvCL!AB1477</f>
        <v>0</v>
      </c>
      <c r="K1477" s="31">
        <f>CASOPOInvCL!W1477</f>
        <v>0</v>
      </c>
      <c r="L1477" s="31">
        <f>CASOPOInvCL!X1477</f>
        <v>0</v>
      </c>
      <c r="M1477" s="31"/>
      <c r="N1477" s="5">
        <f>CASOPOInvCL!AF1477</f>
        <v>0</v>
      </c>
      <c r="O1477" s="16">
        <f>CASOPOInvCL!AG1477</f>
        <v>0</v>
      </c>
      <c r="P1477" s="16">
        <f>CASOPOInvCL!AH1477</f>
        <v>0</v>
      </c>
      <c r="Q1477" s="16">
        <f>CASOPOInvCL!AI1477</f>
        <v>0</v>
      </c>
      <c r="R1477" s="32">
        <f>CASOPOInvCL!AU1477</f>
        <v>0</v>
      </c>
      <c r="S1477" s="16">
        <f>CASOPOInvCL!AV1477</f>
        <v>0</v>
      </c>
      <c r="T1477" s="16">
        <f>CASOPOInvCL!AW1477</f>
        <v>0</v>
      </c>
      <c r="Y1477" s="29" t="str">
        <f>IFERROR(HLOOKUP(U1484,List!$D$2:$H$6,2,FALSE),"")</f>
        <v/>
      </c>
      <c r="Z1477" s="29" t="str">
        <f>IFERROR(HLOOKUP(V1484,List!$D$2:$H$6,3,FALSE),"")</f>
        <v/>
      </c>
      <c r="AA1477" s="29" t="str">
        <f>IFERROR(HLOOKUP(W1484,List!$D$2:$H$6,4,FALSE),"")</f>
        <v/>
      </c>
      <c r="AB1477" s="29" t="str">
        <f>IFERROR(HLOOKUP(X1484,List!$D$2:$H$6,5,FALSE),"")</f>
        <v/>
      </c>
      <c r="AC1477" s="12" t="str">
        <f t="shared" si="331"/>
        <v/>
      </c>
      <c r="AD1477" s="12" t="str">
        <f t="shared" si="331"/>
        <v/>
      </c>
      <c r="AE1477" s="12" t="str">
        <f t="shared" si="331"/>
        <v/>
      </c>
      <c r="AF1477" s="12" t="str">
        <f t="shared" si="331"/>
        <v/>
      </c>
      <c r="AM1477" s="12" t="str">
        <f t="shared" si="327"/>
        <v/>
      </c>
      <c r="AN1477" s="12" t="str">
        <f t="shared" si="328"/>
        <v/>
      </c>
      <c r="AO1477" s="12" t="str">
        <f t="shared" si="329"/>
        <v/>
      </c>
      <c r="AP1477" s="12" t="str">
        <f t="shared" si="330"/>
        <v/>
      </c>
      <c r="AQ1477" s="12"/>
      <c r="AS1477" s="12">
        <f t="shared" si="326"/>
        <v>0</v>
      </c>
    </row>
    <row r="1478" spans="1:45" hidden="1" x14ac:dyDescent="0.25">
      <c r="A1478" s="41">
        <f>CASOPOInvCL!T1478</f>
        <v>0</v>
      </c>
      <c r="B1478">
        <f>CASOPOInvCL!Z1478</f>
        <v>0</v>
      </c>
      <c r="G1478" s="5">
        <f>CASOPOInvCL!I1478</f>
        <v>0</v>
      </c>
      <c r="H1478" s="31">
        <f>CASOPOInvCL!U1478</f>
        <v>0</v>
      </c>
      <c r="I1478" s="31">
        <f>CASOPOInvCL!V1478</f>
        <v>0</v>
      </c>
      <c r="J1478" s="5">
        <f>CASOPOInvCL!AB1478</f>
        <v>0</v>
      </c>
      <c r="K1478" s="31">
        <f>CASOPOInvCL!W1478</f>
        <v>0</v>
      </c>
      <c r="L1478" s="31">
        <f>CASOPOInvCL!X1478</f>
        <v>0</v>
      </c>
      <c r="M1478" s="31"/>
      <c r="N1478" s="5">
        <f>CASOPOInvCL!AF1478</f>
        <v>0</v>
      </c>
      <c r="O1478" s="16">
        <f>CASOPOInvCL!AG1478</f>
        <v>0</v>
      </c>
      <c r="P1478" s="16">
        <f>CASOPOInvCL!AH1478</f>
        <v>0</v>
      </c>
      <c r="Q1478" s="16">
        <f>CASOPOInvCL!AI1478</f>
        <v>0</v>
      </c>
      <c r="R1478" s="32">
        <f>CASOPOInvCL!AU1478</f>
        <v>0</v>
      </c>
      <c r="S1478" s="16">
        <f>CASOPOInvCL!AV1478</f>
        <v>0</v>
      </c>
      <c r="T1478" s="16">
        <f>CASOPOInvCL!AW1478</f>
        <v>0</v>
      </c>
      <c r="Y1478" s="29" t="str">
        <f>IFERROR(HLOOKUP(U1485,List!$D$2:$H$6,2,FALSE),"")</f>
        <v/>
      </c>
      <c r="Z1478" s="29" t="str">
        <f>IFERROR(HLOOKUP(V1485,List!$D$2:$H$6,3,FALSE),"")</f>
        <v/>
      </c>
      <c r="AA1478" s="29" t="str">
        <f>IFERROR(HLOOKUP(W1485,List!$D$2:$H$6,4,FALSE),"")</f>
        <v/>
      </c>
      <c r="AB1478" s="29" t="str">
        <f>IFERROR(HLOOKUP(X1485,List!$D$2:$H$6,5,FALSE),"")</f>
        <v/>
      </c>
      <c r="AC1478" s="12" t="str">
        <f t="shared" si="331"/>
        <v/>
      </c>
      <c r="AD1478" s="12" t="str">
        <f t="shared" si="331"/>
        <v/>
      </c>
      <c r="AE1478" s="12" t="str">
        <f t="shared" si="331"/>
        <v/>
      </c>
      <c r="AF1478" s="12" t="str">
        <f t="shared" si="331"/>
        <v/>
      </c>
      <c r="AM1478" s="12" t="str">
        <f t="shared" si="327"/>
        <v/>
      </c>
      <c r="AN1478" s="12" t="str">
        <f t="shared" si="328"/>
        <v/>
      </c>
      <c r="AO1478" s="12" t="str">
        <f t="shared" si="329"/>
        <v/>
      </c>
      <c r="AP1478" s="12" t="str">
        <f t="shared" si="330"/>
        <v/>
      </c>
      <c r="AQ1478" s="12"/>
      <c r="AS1478" s="12">
        <f t="shared" si="326"/>
        <v>0</v>
      </c>
    </row>
    <row r="1479" spans="1:45" hidden="1" x14ac:dyDescent="0.25">
      <c r="A1479" s="41">
        <f>CASOPOInvCL!T1479</f>
        <v>0</v>
      </c>
      <c r="B1479">
        <f>CASOPOInvCL!Z1479</f>
        <v>0</v>
      </c>
      <c r="G1479" s="5">
        <f>CASOPOInvCL!I1479</f>
        <v>0</v>
      </c>
      <c r="H1479" s="31">
        <f>CASOPOInvCL!U1479</f>
        <v>0</v>
      </c>
      <c r="I1479" s="31">
        <f>CASOPOInvCL!V1479</f>
        <v>0</v>
      </c>
      <c r="J1479" s="5">
        <f>CASOPOInvCL!AB1479</f>
        <v>0</v>
      </c>
      <c r="K1479" s="31">
        <f>CASOPOInvCL!W1479</f>
        <v>0</v>
      </c>
      <c r="L1479" s="31">
        <f>CASOPOInvCL!X1479</f>
        <v>0</v>
      </c>
      <c r="M1479" s="31"/>
      <c r="N1479" s="5">
        <f>CASOPOInvCL!AF1479</f>
        <v>0</v>
      </c>
      <c r="O1479" s="16">
        <f>CASOPOInvCL!AG1479</f>
        <v>0</v>
      </c>
      <c r="P1479" s="16">
        <f>CASOPOInvCL!AH1479</f>
        <v>0</v>
      </c>
      <c r="Q1479" s="16">
        <f>CASOPOInvCL!AI1479</f>
        <v>0</v>
      </c>
      <c r="R1479" s="32">
        <f>CASOPOInvCL!AU1479</f>
        <v>0</v>
      </c>
      <c r="S1479" s="16">
        <f>CASOPOInvCL!AV1479</f>
        <v>0</v>
      </c>
      <c r="T1479" s="16">
        <f>CASOPOInvCL!AW1479</f>
        <v>0</v>
      </c>
      <c r="Y1479" s="29" t="str">
        <f>IFERROR(HLOOKUP(U1486,List!$D$2:$H$6,2,FALSE),"")</f>
        <v/>
      </c>
      <c r="Z1479" s="29" t="str">
        <f>IFERROR(HLOOKUP(V1486,List!$D$2:$H$6,3,FALSE),"")</f>
        <v/>
      </c>
      <c r="AA1479" s="29" t="str">
        <f>IFERROR(HLOOKUP(W1486,List!$D$2:$H$6,4,FALSE),"")</f>
        <v/>
      </c>
      <c r="AB1479" s="29" t="str">
        <f>IFERROR(HLOOKUP(X1486,List!$D$2:$H$6,5,FALSE),"")</f>
        <v/>
      </c>
      <c r="AC1479" s="12" t="str">
        <f t="shared" si="331"/>
        <v/>
      </c>
      <c r="AD1479" s="12" t="str">
        <f t="shared" si="331"/>
        <v/>
      </c>
      <c r="AE1479" s="12" t="str">
        <f t="shared" si="331"/>
        <v/>
      </c>
      <c r="AF1479" s="12" t="str">
        <f t="shared" si="331"/>
        <v/>
      </c>
      <c r="AM1479" s="12" t="str">
        <f t="shared" si="327"/>
        <v/>
      </c>
      <c r="AN1479" s="12" t="str">
        <f t="shared" si="328"/>
        <v/>
      </c>
      <c r="AO1479" s="12" t="str">
        <f t="shared" si="329"/>
        <v/>
      </c>
      <c r="AP1479" s="12" t="str">
        <f t="shared" si="330"/>
        <v/>
      </c>
      <c r="AQ1479" s="12"/>
      <c r="AS1479" s="12">
        <f t="shared" si="326"/>
        <v>0</v>
      </c>
    </row>
    <row r="1480" spans="1:45" hidden="1" x14ac:dyDescent="0.25">
      <c r="A1480" s="41">
        <f>CASOPOInvCL!T1480</f>
        <v>0</v>
      </c>
      <c r="B1480">
        <f>CASOPOInvCL!Z1480</f>
        <v>0</v>
      </c>
      <c r="G1480" s="5">
        <f>CASOPOInvCL!I1480</f>
        <v>0</v>
      </c>
      <c r="H1480" s="31">
        <f>CASOPOInvCL!U1480</f>
        <v>0</v>
      </c>
      <c r="I1480" s="31">
        <f>CASOPOInvCL!V1480</f>
        <v>0</v>
      </c>
      <c r="J1480" s="5">
        <f>CASOPOInvCL!AB1480</f>
        <v>0</v>
      </c>
      <c r="K1480" s="31">
        <f>CASOPOInvCL!W1480</f>
        <v>0</v>
      </c>
      <c r="L1480" s="31">
        <f>CASOPOInvCL!X1480</f>
        <v>0</v>
      </c>
      <c r="M1480" s="31"/>
      <c r="N1480" s="5">
        <f>CASOPOInvCL!AF1480</f>
        <v>0</v>
      </c>
      <c r="O1480" s="16">
        <f>CASOPOInvCL!AG1480</f>
        <v>0</v>
      </c>
      <c r="P1480" s="16">
        <f>CASOPOInvCL!AH1480</f>
        <v>0</v>
      </c>
      <c r="Q1480" s="16">
        <f>CASOPOInvCL!AI1480</f>
        <v>0</v>
      </c>
      <c r="R1480" s="32">
        <f>CASOPOInvCL!AU1480</f>
        <v>0</v>
      </c>
      <c r="S1480" s="16">
        <f>CASOPOInvCL!AV1480</f>
        <v>0</v>
      </c>
      <c r="T1480" s="16">
        <f>CASOPOInvCL!AW1480</f>
        <v>0</v>
      </c>
      <c r="Y1480" s="29" t="str">
        <f>IFERROR(HLOOKUP(U1487,List!$D$2:$H$6,2,FALSE),"")</f>
        <v/>
      </c>
      <c r="Z1480" s="29" t="str">
        <f>IFERROR(HLOOKUP(V1487,List!$D$2:$H$6,3,FALSE),"")</f>
        <v/>
      </c>
      <c r="AA1480" s="29" t="str">
        <f>IFERROR(HLOOKUP(W1487,List!$D$2:$H$6,4,FALSE),"")</f>
        <v/>
      </c>
      <c r="AB1480" s="29" t="str">
        <f>IFERROR(HLOOKUP(X1487,List!$D$2:$H$6,5,FALSE),"")</f>
        <v/>
      </c>
      <c r="AC1480" s="12" t="str">
        <f t="shared" si="331"/>
        <v/>
      </c>
      <c r="AD1480" s="12" t="str">
        <f t="shared" si="331"/>
        <v/>
      </c>
      <c r="AE1480" s="12" t="str">
        <f t="shared" si="331"/>
        <v/>
      </c>
      <c r="AF1480" s="12" t="str">
        <f t="shared" si="331"/>
        <v/>
      </c>
      <c r="AM1480" s="12" t="str">
        <f t="shared" si="327"/>
        <v/>
      </c>
      <c r="AN1480" s="12" t="str">
        <f t="shared" si="328"/>
        <v/>
      </c>
      <c r="AO1480" s="12" t="str">
        <f t="shared" si="329"/>
        <v/>
      </c>
      <c r="AP1480" s="12" t="str">
        <f t="shared" si="330"/>
        <v/>
      </c>
      <c r="AQ1480" s="12"/>
      <c r="AS1480" s="12">
        <f t="shared" si="326"/>
        <v>0</v>
      </c>
    </row>
    <row r="1481" spans="1:45" hidden="1" x14ac:dyDescent="0.25">
      <c r="A1481" s="41">
        <f>CASOPOInvCL!T1481</f>
        <v>0</v>
      </c>
      <c r="B1481">
        <f>CASOPOInvCL!Z1481</f>
        <v>0</v>
      </c>
      <c r="G1481" s="5">
        <f>CASOPOInvCL!I1481</f>
        <v>0</v>
      </c>
      <c r="H1481" s="31">
        <f>CASOPOInvCL!U1481</f>
        <v>0</v>
      </c>
      <c r="I1481" s="31">
        <f>CASOPOInvCL!V1481</f>
        <v>0</v>
      </c>
      <c r="J1481" s="5">
        <f>CASOPOInvCL!AB1481</f>
        <v>0</v>
      </c>
      <c r="K1481" s="31">
        <f>CASOPOInvCL!W1481</f>
        <v>0</v>
      </c>
      <c r="L1481" s="31">
        <f>CASOPOInvCL!X1481</f>
        <v>0</v>
      </c>
      <c r="M1481" s="31"/>
      <c r="N1481" s="5">
        <f>CASOPOInvCL!AF1481</f>
        <v>0</v>
      </c>
      <c r="O1481" s="16">
        <f>CASOPOInvCL!AG1481</f>
        <v>0</v>
      </c>
      <c r="P1481" s="16">
        <f>CASOPOInvCL!AH1481</f>
        <v>0</v>
      </c>
      <c r="Q1481" s="16">
        <f>CASOPOInvCL!AI1481</f>
        <v>0</v>
      </c>
      <c r="R1481" s="32">
        <f>CASOPOInvCL!AU1481</f>
        <v>0</v>
      </c>
      <c r="S1481" s="16">
        <f>CASOPOInvCL!AV1481</f>
        <v>0</v>
      </c>
      <c r="T1481" s="16">
        <f>CASOPOInvCL!AW1481</f>
        <v>0</v>
      </c>
      <c r="Y1481" s="29" t="str">
        <f>IFERROR(HLOOKUP(U1488,List!$D$2:$H$6,2,FALSE),"")</f>
        <v/>
      </c>
      <c r="Z1481" s="29" t="str">
        <f>IFERROR(HLOOKUP(V1488,List!$D$2:$H$6,3,FALSE),"")</f>
        <v/>
      </c>
      <c r="AA1481" s="29" t="str">
        <f>IFERROR(HLOOKUP(W1488,List!$D$2:$H$6,4,FALSE),"")</f>
        <v/>
      </c>
      <c r="AB1481" s="29" t="str">
        <f>IFERROR(HLOOKUP(X1488,List!$D$2:$H$6,5,FALSE),"")</f>
        <v/>
      </c>
      <c r="AC1481" s="12" t="str">
        <f t="shared" si="331"/>
        <v/>
      </c>
      <c r="AD1481" s="12" t="str">
        <f t="shared" si="331"/>
        <v/>
      </c>
      <c r="AE1481" s="12" t="str">
        <f t="shared" si="331"/>
        <v/>
      </c>
      <c r="AF1481" s="12" t="str">
        <f t="shared" si="331"/>
        <v/>
      </c>
      <c r="AM1481" s="12" t="str">
        <f t="shared" si="327"/>
        <v/>
      </c>
      <c r="AN1481" s="12" t="str">
        <f t="shared" si="328"/>
        <v/>
      </c>
      <c r="AO1481" s="12" t="str">
        <f t="shared" si="329"/>
        <v/>
      </c>
      <c r="AP1481" s="12" t="str">
        <f t="shared" si="330"/>
        <v/>
      </c>
      <c r="AQ1481" s="12"/>
      <c r="AS1481" s="12">
        <f t="shared" si="326"/>
        <v>0</v>
      </c>
    </row>
    <row r="1482" spans="1:45" hidden="1" x14ac:dyDescent="0.25">
      <c r="A1482" s="41">
        <f>CASOPOInvCL!T1482</f>
        <v>0</v>
      </c>
      <c r="B1482">
        <f>CASOPOInvCL!Z1482</f>
        <v>0</v>
      </c>
      <c r="G1482" s="5">
        <f>CASOPOInvCL!I1482</f>
        <v>0</v>
      </c>
      <c r="H1482" s="31">
        <f>CASOPOInvCL!U1482</f>
        <v>0</v>
      </c>
      <c r="I1482" s="31">
        <f>CASOPOInvCL!V1482</f>
        <v>0</v>
      </c>
      <c r="J1482" s="5">
        <f>CASOPOInvCL!AB1482</f>
        <v>0</v>
      </c>
      <c r="K1482" s="31">
        <f>CASOPOInvCL!W1482</f>
        <v>0</v>
      </c>
      <c r="L1482" s="31">
        <f>CASOPOInvCL!X1482</f>
        <v>0</v>
      </c>
      <c r="M1482" s="31"/>
      <c r="N1482" s="5">
        <f>CASOPOInvCL!AF1482</f>
        <v>0</v>
      </c>
      <c r="O1482" s="16">
        <f>CASOPOInvCL!AG1482</f>
        <v>0</v>
      </c>
      <c r="P1482" s="16">
        <f>CASOPOInvCL!AH1482</f>
        <v>0</v>
      </c>
      <c r="Q1482" s="16">
        <f>CASOPOInvCL!AI1482</f>
        <v>0</v>
      </c>
      <c r="R1482" s="32">
        <f>CASOPOInvCL!AU1482</f>
        <v>0</v>
      </c>
      <c r="S1482" s="16">
        <f>CASOPOInvCL!AV1482</f>
        <v>0</v>
      </c>
      <c r="T1482" s="16">
        <f>CASOPOInvCL!AW1482</f>
        <v>0</v>
      </c>
      <c r="Y1482" s="29" t="str">
        <f>IFERROR(HLOOKUP(U1489,List!$D$2:$H$6,2,FALSE),"")</f>
        <v/>
      </c>
      <c r="Z1482" s="29" t="str">
        <f>IFERROR(HLOOKUP(V1489,List!$D$2:$H$6,3,FALSE),"")</f>
        <v/>
      </c>
      <c r="AA1482" s="29" t="str">
        <f>IFERROR(HLOOKUP(W1489,List!$D$2:$H$6,4,FALSE),"")</f>
        <v/>
      </c>
      <c r="AB1482" s="29" t="str">
        <f>IFERROR(HLOOKUP(X1489,List!$D$2:$H$6,5,FALSE),"")</f>
        <v/>
      </c>
      <c r="AC1482" s="12" t="str">
        <f t="shared" si="331"/>
        <v/>
      </c>
      <c r="AD1482" s="12" t="str">
        <f t="shared" si="331"/>
        <v/>
      </c>
      <c r="AE1482" s="12" t="str">
        <f t="shared" si="331"/>
        <v/>
      </c>
      <c r="AF1482" s="12" t="str">
        <f t="shared" si="331"/>
        <v/>
      </c>
      <c r="AM1482" s="12" t="str">
        <f t="shared" si="327"/>
        <v/>
      </c>
      <c r="AN1482" s="12" t="str">
        <f t="shared" si="328"/>
        <v/>
      </c>
      <c r="AO1482" s="12" t="str">
        <f t="shared" si="329"/>
        <v/>
      </c>
      <c r="AP1482" s="12" t="str">
        <f t="shared" si="330"/>
        <v/>
      </c>
      <c r="AQ1482" s="12"/>
      <c r="AS1482" s="12">
        <f t="shared" ref="AS1482:AS1545" si="332">T1475*1.5%</f>
        <v>0</v>
      </c>
    </row>
    <row r="1483" spans="1:45" hidden="1" x14ac:dyDescent="0.25">
      <c r="A1483" s="41">
        <f>CASOPOInvCL!T1483</f>
        <v>0</v>
      </c>
      <c r="B1483">
        <f>CASOPOInvCL!Z1483</f>
        <v>0</v>
      </c>
      <c r="G1483" s="5">
        <f>CASOPOInvCL!I1483</f>
        <v>0</v>
      </c>
      <c r="H1483" s="31">
        <f>CASOPOInvCL!U1483</f>
        <v>0</v>
      </c>
      <c r="I1483" s="31">
        <f>CASOPOInvCL!V1483</f>
        <v>0</v>
      </c>
      <c r="J1483" s="5">
        <f>CASOPOInvCL!AB1483</f>
        <v>0</v>
      </c>
      <c r="K1483" s="31">
        <f>CASOPOInvCL!W1483</f>
        <v>0</v>
      </c>
      <c r="L1483" s="31">
        <f>CASOPOInvCL!X1483</f>
        <v>0</v>
      </c>
      <c r="M1483" s="31"/>
      <c r="N1483" s="5">
        <f>CASOPOInvCL!AF1483</f>
        <v>0</v>
      </c>
      <c r="O1483" s="16">
        <f>CASOPOInvCL!AG1483</f>
        <v>0</v>
      </c>
      <c r="P1483" s="16">
        <f>CASOPOInvCL!AH1483</f>
        <v>0</v>
      </c>
      <c r="Q1483" s="16">
        <f>CASOPOInvCL!AI1483</f>
        <v>0</v>
      </c>
      <c r="R1483" s="32">
        <f>CASOPOInvCL!AU1483</f>
        <v>0</v>
      </c>
      <c r="S1483" s="16">
        <f>CASOPOInvCL!AV1483</f>
        <v>0</v>
      </c>
      <c r="T1483" s="16">
        <f>CASOPOInvCL!AW1483</f>
        <v>0</v>
      </c>
      <c r="Y1483" s="29" t="str">
        <f>IFERROR(HLOOKUP(U1490,List!$D$2:$H$6,2,FALSE),"")</f>
        <v/>
      </c>
      <c r="Z1483" s="29" t="str">
        <f>IFERROR(HLOOKUP(V1490,List!$D$2:$H$6,3,FALSE),"")</f>
        <v/>
      </c>
      <c r="AA1483" s="29" t="str">
        <f>IFERROR(HLOOKUP(W1490,List!$D$2:$H$6,4,FALSE),"")</f>
        <v/>
      </c>
      <c r="AB1483" s="29" t="str">
        <f>IFERROR(HLOOKUP(X1490,List!$D$2:$H$6,5,FALSE),"")</f>
        <v/>
      </c>
      <c r="AC1483" s="12" t="str">
        <f t="shared" si="331"/>
        <v/>
      </c>
      <c r="AD1483" s="12" t="str">
        <f t="shared" si="331"/>
        <v/>
      </c>
      <c r="AE1483" s="12" t="str">
        <f t="shared" si="331"/>
        <v/>
      </c>
      <c r="AF1483" s="12" t="str">
        <f t="shared" si="331"/>
        <v/>
      </c>
      <c r="AM1483" s="12" t="str">
        <f t="shared" si="327"/>
        <v/>
      </c>
      <c r="AN1483" s="12" t="str">
        <f t="shared" si="328"/>
        <v/>
      </c>
      <c r="AO1483" s="12" t="str">
        <f t="shared" si="329"/>
        <v/>
      </c>
      <c r="AP1483" s="12" t="str">
        <f t="shared" si="330"/>
        <v/>
      </c>
      <c r="AQ1483" s="12"/>
      <c r="AS1483" s="12">
        <f t="shared" si="332"/>
        <v>0</v>
      </c>
    </row>
    <row r="1484" spans="1:45" hidden="1" x14ac:dyDescent="0.25">
      <c r="A1484" s="41">
        <f>CASOPOInvCL!T1484</f>
        <v>0</v>
      </c>
      <c r="B1484">
        <f>CASOPOInvCL!Z1484</f>
        <v>0</v>
      </c>
      <c r="G1484" s="5">
        <f>CASOPOInvCL!I1484</f>
        <v>0</v>
      </c>
      <c r="H1484" s="31">
        <f>CASOPOInvCL!U1484</f>
        <v>0</v>
      </c>
      <c r="I1484" s="31">
        <f>CASOPOInvCL!V1484</f>
        <v>0</v>
      </c>
      <c r="J1484" s="5">
        <f>CASOPOInvCL!AB1484</f>
        <v>0</v>
      </c>
      <c r="K1484" s="31">
        <f>CASOPOInvCL!W1484</f>
        <v>0</v>
      </c>
      <c r="L1484" s="31">
        <f>CASOPOInvCL!X1484</f>
        <v>0</v>
      </c>
      <c r="M1484" s="31"/>
      <c r="N1484" s="5">
        <f>CASOPOInvCL!AF1484</f>
        <v>0</v>
      </c>
      <c r="O1484" s="16">
        <f>CASOPOInvCL!AG1484</f>
        <v>0</v>
      </c>
      <c r="P1484" s="16">
        <f>CASOPOInvCL!AH1484</f>
        <v>0</v>
      </c>
      <c r="Q1484" s="16">
        <f>CASOPOInvCL!AI1484</f>
        <v>0</v>
      </c>
      <c r="R1484" s="32">
        <f>CASOPOInvCL!AU1484</f>
        <v>0</v>
      </c>
      <c r="S1484" s="16">
        <f>CASOPOInvCL!AV1484</f>
        <v>0</v>
      </c>
      <c r="T1484" s="16">
        <f>CASOPOInvCL!AW1484</f>
        <v>0</v>
      </c>
      <c r="Y1484" s="29" t="str">
        <f>IFERROR(HLOOKUP(U1491,List!$D$2:$H$6,2,FALSE),"")</f>
        <v/>
      </c>
      <c r="Z1484" s="29" t="str">
        <f>IFERROR(HLOOKUP(V1491,List!$D$2:$H$6,3,FALSE),"")</f>
        <v/>
      </c>
      <c r="AA1484" s="29" t="str">
        <f>IFERROR(HLOOKUP(W1491,List!$D$2:$H$6,4,FALSE),"")</f>
        <v/>
      </c>
      <c r="AB1484" s="29" t="str">
        <f>IFERROR(HLOOKUP(X1491,List!$D$2:$H$6,5,FALSE),"")</f>
        <v/>
      </c>
      <c r="AC1484" s="12" t="str">
        <f t="shared" si="331"/>
        <v/>
      </c>
      <c r="AD1484" s="12" t="str">
        <f t="shared" si="331"/>
        <v/>
      </c>
      <c r="AE1484" s="12" t="str">
        <f t="shared" si="331"/>
        <v/>
      </c>
      <c r="AF1484" s="12" t="str">
        <f t="shared" si="331"/>
        <v/>
      </c>
      <c r="AM1484" s="12" t="str">
        <f t="shared" si="327"/>
        <v/>
      </c>
      <c r="AN1484" s="12" t="str">
        <f t="shared" si="328"/>
        <v/>
      </c>
      <c r="AO1484" s="12" t="str">
        <f t="shared" si="329"/>
        <v/>
      </c>
      <c r="AP1484" s="12" t="str">
        <f t="shared" si="330"/>
        <v/>
      </c>
      <c r="AQ1484" s="12"/>
      <c r="AS1484" s="12">
        <f t="shared" si="332"/>
        <v>0</v>
      </c>
    </row>
    <row r="1485" spans="1:45" hidden="1" x14ac:dyDescent="0.25">
      <c r="A1485" s="41">
        <f>CASOPOInvCL!T1485</f>
        <v>0</v>
      </c>
      <c r="B1485">
        <f>CASOPOInvCL!Z1485</f>
        <v>0</v>
      </c>
      <c r="G1485" s="5">
        <f>CASOPOInvCL!I1485</f>
        <v>0</v>
      </c>
      <c r="H1485" s="31">
        <f>CASOPOInvCL!U1485</f>
        <v>0</v>
      </c>
      <c r="I1485" s="31">
        <f>CASOPOInvCL!V1485</f>
        <v>0</v>
      </c>
      <c r="J1485" s="5">
        <f>CASOPOInvCL!AB1485</f>
        <v>0</v>
      </c>
      <c r="K1485" s="31">
        <f>CASOPOInvCL!W1485</f>
        <v>0</v>
      </c>
      <c r="L1485" s="31">
        <f>CASOPOInvCL!X1485</f>
        <v>0</v>
      </c>
      <c r="M1485" s="31"/>
      <c r="N1485" s="5">
        <f>CASOPOInvCL!AF1485</f>
        <v>0</v>
      </c>
      <c r="O1485" s="16">
        <f>CASOPOInvCL!AG1485</f>
        <v>0</v>
      </c>
      <c r="P1485" s="16">
        <f>CASOPOInvCL!AH1485</f>
        <v>0</v>
      </c>
      <c r="Q1485" s="16">
        <f>CASOPOInvCL!AI1485</f>
        <v>0</v>
      </c>
      <c r="R1485" s="32">
        <f>CASOPOInvCL!AU1485</f>
        <v>0</v>
      </c>
      <c r="S1485" s="16">
        <f>CASOPOInvCL!AV1485</f>
        <v>0</v>
      </c>
      <c r="T1485" s="16">
        <f>CASOPOInvCL!AW1485</f>
        <v>0</v>
      </c>
      <c r="Y1485" s="29" t="str">
        <f>IFERROR(HLOOKUP(U1492,List!$D$2:$H$6,2,FALSE),"")</f>
        <v/>
      </c>
      <c r="Z1485" s="29" t="str">
        <f>IFERROR(HLOOKUP(V1492,List!$D$2:$H$6,3,FALSE),"")</f>
        <v/>
      </c>
      <c r="AA1485" s="29" t="str">
        <f>IFERROR(HLOOKUP(W1492,List!$D$2:$H$6,4,FALSE),"")</f>
        <v/>
      </c>
      <c r="AB1485" s="29" t="str">
        <f>IFERROR(HLOOKUP(X1492,List!$D$2:$H$6,5,FALSE),"")</f>
        <v/>
      </c>
      <c r="AC1485" s="12" t="str">
        <f t="shared" si="331"/>
        <v/>
      </c>
      <c r="AD1485" s="12" t="str">
        <f t="shared" si="331"/>
        <v/>
      </c>
      <c r="AE1485" s="12" t="str">
        <f t="shared" si="331"/>
        <v/>
      </c>
      <c r="AF1485" s="12" t="str">
        <f t="shared" si="331"/>
        <v/>
      </c>
      <c r="AM1485" s="12" t="str">
        <f t="shared" si="327"/>
        <v/>
      </c>
      <c r="AN1485" s="12" t="str">
        <f t="shared" si="328"/>
        <v/>
      </c>
      <c r="AO1485" s="12" t="str">
        <f t="shared" si="329"/>
        <v/>
      </c>
      <c r="AP1485" s="12" t="str">
        <f t="shared" si="330"/>
        <v/>
      </c>
      <c r="AQ1485" s="12"/>
      <c r="AS1485" s="12">
        <f t="shared" si="332"/>
        <v>0</v>
      </c>
    </row>
    <row r="1486" spans="1:45" hidden="1" x14ac:dyDescent="0.25">
      <c r="A1486" s="41">
        <f>CASOPOInvCL!T1486</f>
        <v>0</v>
      </c>
      <c r="B1486">
        <f>CASOPOInvCL!Z1486</f>
        <v>0</v>
      </c>
      <c r="G1486" s="5">
        <f>CASOPOInvCL!I1486</f>
        <v>0</v>
      </c>
      <c r="H1486" s="31">
        <f>CASOPOInvCL!U1486</f>
        <v>0</v>
      </c>
      <c r="I1486" s="31">
        <f>CASOPOInvCL!V1486</f>
        <v>0</v>
      </c>
      <c r="J1486" s="5">
        <f>CASOPOInvCL!AB1486</f>
        <v>0</v>
      </c>
      <c r="K1486" s="31">
        <f>CASOPOInvCL!W1486</f>
        <v>0</v>
      </c>
      <c r="L1486" s="31">
        <f>CASOPOInvCL!X1486</f>
        <v>0</v>
      </c>
      <c r="M1486" s="31"/>
      <c r="N1486" s="5">
        <f>CASOPOInvCL!AF1486</f>
        <v>0</v>
      </c>
      <c r="O1486" s="16">
        <f>CASOPOInvCL!AG1486</f>
        <v>0</v>
      </c>
      <c r="P1486" s="16">
        <f>CASOPOInvCL!AH1486</f>
        <v>0</v>
      </c>
      <c r="Q1486" s="16">
        <f>CASOPOInvCL!AI1486</f>
        <v>0</v>
      </c>
      <c r="R1486" s="32">
        <f>CASOPOInvCL!AU1486</f>
        <v>0</v>
      </c>
      <c r="S1486" s="16">
        <f>CASOPOInvCL!AV1486</f>
        <v>0</v>
      </c>
      <c r="T1486" s="16">
        <f>CASOPOInvCL!AW1486</f>
        <v>0</v>
      </c>
      <c r="Y1486" s="29" t="str">
        <f>IFERROR(HLOOKUP(U1493,List!$D$2:$H$6,2,FALSE),"")</f>
        <v/>
      </c>
      <c r="Z1486" s="29" t="str">
        <f>IFERROR(HLOOKUP(V1493,List!$D$2:$H$6,3,FALSE),"")</f>
        <v/>
      </c>
      <c r="AA1486" s="29" t="str">
        <f>IFERROR(HLOOKUP(W1493,List!$D$2:$H$6,4,FALSE),"")</f>
        <v/>
      </c>
      <c r="AB1486" s="29" t="str">
        <f>IFERROR(HLOOKUP(X1493,List!$D$2:$H$6,5,FALSE),"")</f>
        <v/>
      </c>
      <c r="AC1486" s="12" t="str">
        <f t="shared" si="331"/>
        <v/>
      </c>
      <c r="AD1486" s="12" t="str">
        <f t="shared" si="331"/>
        <v/>
      </c>
      <c r="AE1486" s="12" t="str">
        <f t="shared" si="331"/>
        <v/>
      </c>
      <c r="AF1486" s="12" t="str">
        <f t="shared" si="331"/>
        <v/>
      </c>
      <c r="AM1486" s="12" t="str">
        <f t="shared" si="327"/>
        <v/>
      </c>
      <c r="AN1486" s="12" t="str">
        <f t="shared" si="328"/>
        <v/>
      </c>
      <c r="AO1486" s="12" t="str">
        <f t="shared" si="329"/>
        <v/>
      </c>
      <c r="AP1486" s="12" t="str">
        <f t="shared" si="330"/>
        <v/>
      </c>
      <c r="AQ1486" s="12"/>
      <c r="AS1486" s="12">
        <f t="shared" si="332"/>
        <v>0</v>
      </c>
    </row>
    <row r="1487" spans="1:45" hidden="1" x14ac:dyDescent="0.25">
      <c r="A1487" s="41">
        <f>CASOPOInvCL!T1487</f>
        <v>0</v>
      </c>
      <c r="B1487">
        <f>CASOPOInvCL!Z1487</f>
        <v>0</v>
      </c>
      <c r="G1487" s="5">
        <f>CASOPOInvCL!I1487</f>
        <v>0</v>
      </c>
      <c r="H1487" s="31">
        <f>CASOPOInvCL!U1487</f>
        <v>0</v>
      </c>
      <c r="I1487" s="31">
        <f>CASOPOInvCL!V1487</f>
        <v>0</v>
      </c>
      <c r="J1487" s="5">
        <f>CASOPOInvCL!AB1487</f>
        <v>0</v>
      </c>
      <c r="K1487" s="31">
        <f>CASOPOInvCL!W1487</f>
        <v>0</v>
      </c>
      <c r="L1487" s="31">
        <f>CASOPOInvCL!X1487</f>
        <v>0</v>
      </c>
      <c r="M1487" s="31"/>
      <c r="N1487" s="5">
        <f>CASOPOInvCL!AF1487</f>
        <v>0</v>
      </c>
      <c r="O1487" s="16">
        <f>CASOPOInvCL!AG1487</f>
        <v>0</v>
      </c>
      <c r="P1487" s="16">
        <f>CASOPOInvCL!AH1487</f>
        <v>0</v>
      </c>
      <c r="Q1487" s="16">
        <f>CASOPOInvCL!AI1487</f>
        <v>0</v>
      </c>
      <c r="R1487" s="32">
        <f>CASOPOInvCL!AU1487</f>
        <v>0</v>
      </c>
      <c r="S1487" s="16">
        <f>CASOPOInvCL!AV1487</f>
        <v>0</v>
      </c>
      <c r="T1487" s="16">
        <f>CASOPOInvCL!AW1487</f>
        <v>0</v>
      </c>
      <c r="Y1487" s="29" t="str">
        <f>IFERROR(HLOOKUP(U1494,List!$D$2:$H$6,2,FALSE),"")</f>
        <v/>
      </c>
      <c r="Z1487" s="29" t="str">
        <f>IFERROR(HLOOKUP(V1494,List!$D$2:$H$6,3,FALSE),"")</f>
        <v/>
      </c>
      <c r="AA1487" s="29" t="str">
        <f>IFERROR(HLOOKUP(W1494,List!$D$2:$H$6,4,FALSE),"")</f>
        <v/>
      </c>
      <c r="AB1487" s="29" t="str">
        <f>IFERROR(HLOOKUP(X1494,List!$D$2:$H$6,5,FALSE),"")</f>
        <v/>
      </c>
      <c r="AC1487" s="12" t="str">
        <f t="shared" si="331"/>
        <v/>
      </c>
      <c r="AD1487" s="12" t="str">
        <f t="shared" si="331"/>
        <v/>
      </c>
      <c r="AE1487" s="12" t="str">
        <f t="shared" si="331"/>
        <v/>
      </c>
      <c r="AF1487" s="12" t="str">
        <f t="shared" si="331"/>
        <v/>
      </c>
      <c r="AM1487" s="12" t="str">
        <f t="shared" si="327"/>
        <v/>
      </c>
      <c r="AN1487" s="12" t="str">
        <f t="shared" si="328"/>
        <v/>
      </c>
      <c r="AO1487" s="12" t="str">
        <f t="shared" si="329"/>
        <v/>
      </c>
      <c r="AP1487" s="12" t="str">
        <f t="shared" si="330"/>
        <v/>
      </c>
      <c r="AQ1487" s="12"/>
      <c r="AS1487" s="12">
        <f t="shared" si="332"/>
        <v>0</v>
      </c>
    </row>
    <row r="1488" spans="1:45" hidden="1" x14ac:dyDescent="0.25">
      <c r="A1488" s="41">
        <f>CASOPOInvCL!T1488</f>
        <v>0</v>
      </c>
      <c r="B1488">
        <f>CASOPOInvCL!Z1488</f>
        <v>0</v>
      </c>
      <c r="G1488" s="5">
        <f>CASOPOInvCL!I1488</f>
        <v>0</v>
      </c>
      <c r="H1488" s="31">
        <f>CASOPOInvCL!U1488</f>
        <v>0</v>
      </c>
      <c r="I1488" s="31">
        <f>CASOPOInvCL!V1488</f>
        <v>0</v>
      </c>
      <c r="J1488" s="5">
        <f>CASOPOInvCL!AB1488</f>
        <v>0</v>
      </c>
      <c r="K1488" s="31">
        <f>CASOPOInvCL!W1488</f>
        <v>0</v>
      </c>
      <c r="L1488" s="31">
        <f>CASOPOInvCL!X1488</f>
        <v>0</v>
      </c>
      <c r="M1488" s="31"/>
      <c r="N1488" s="5">
        <f>CASOPOInvCL!AF1488</f>
        <v>0</v>
      </c>
      <c r="O1488" s="16">
        <f>CASOPOInvCL!AG1488</f>
        <v>0</v>
      </c>
      <c r="P1488" s="16">
        <f>CASOPOInvCL!AH1488</f>
        <v>0</v>
      </c>
      <c r="Q1488" s="16">
        <f>CASOPOInvCL!AI1488</f>
        <v>0</v>
      </c>
      <c r="R1488" s="32">
        <f>CASOPOInvCL!AU1488</f>
        <v>0</v>
      </c>
      <c r="S1488" s="16">
        <f>CASOPOInvCL!AV1488</f>
        <v>0</v>
      </c>
      <c r="T1488" s="16">
        <f>CASOPOInvCL!AW1488</f>
        <v>0</v>
      </c>
      <c r="Y1488" s="29" t="str">
        <f>IFERROR(HLOOKUP(U1495,List!$D$2:$H$6,2,FALSE),"")</f>
        <v/>
      </c>
      <c r="Z1488" s="29" t="str">
        <f>IFERROR(HLOOKUP(V1495,List!$D$2:$H$6,3,FALSE),"")</f>
        <v/>
      </c>
      <c r="AA1488" s="29" t="str">
        <f>IFERROR(HLOOKUP(W1495,List!$D$2:$H$6,4,FALSE),"")</f>
        <v/>
      </c>
      <c r="AB1488" s="29" t="str">
        <f>IFERROR(HLOOKUP(X1495,List!$D$2:$H$6,5,FALSE),"")</f>
        <v/>
      </c>
      <c r="AC1488" s="12" t="str">
        <f t="shared" si="331"/>
        <v/>
      </c>
      <c r="AD1488" s="12" t="str">
        <f t="shared" si="331"/>
        <v/>
      </c>
      <c r="AE1488" s="12" t="str">
        <f t="shared" si="331"/>
        <v/>
      </c>
      <c r="AF1488" s="12" t="str">
        <f t="shared" si="331"/>
        <v/>
      </c>
      <c r="AM1488" s="12" t="str">
        <f t="shared" si="327"/>
        <v/>
      </c>
      <c r="AN1488" s="12" t="str">
        <f t="shared" si="328"/>
        <v/>
      </c>
      <c r="AO1488" s="12" t="str">
        <f t="shared" si="329"/>
        <v/>
      </c>
      <c r="AP1488" s="12" t="str">
        <f t="shared" si="330"/>
        <v/>
      </c>
      <c r="AQ1488" s="12"/>
      <c r="AS1488" s="12">
        <f t="shared" si="332"/>
        <v>0</v>
      </c>
    </row>
    <row r="1489" spans="1:45" hidden="1" x14ac:dyDescent="0.25">
      <c r="A1489" s="41">
        <f>CASOPOInvCL!T1489</f>
        <v>0</v>
      </c>
      <c r="B1489">
        <f>CASOPOInvCL!Z1489</f>
        <v>0</v>
      </c>
      <c r="G1489" s="5">
        <f>CASOPOInvCL!I1489</f>
        <v>0</v>
      </c>
      <c r="H1489" s="31">
        <f>CASOPOInvCL!U1489</f>
        <v>0</v>
      </c>
      <c r="I1489" s="31">
        <f>CASOPOInvCL!V1489</f>
        <v>0</v>
      </c>
      <c r="J1489" s="5">
        <f>CASOPOInvCL!AB1489</f>
        <v>0</v>
      </c>
      <c r="K1489" s="31">
        <f>CASOPOInvCL!W1489</f>
        <v>0</v>
      </c>
      <c r="L1489" s="31">
        <f>CASOPOInvCL!X1489</f>
        <v>0</v>
      </c>
      <c r="M1489" s="31"/>
      <c r="N1489" s="5">
        <f>CASOPOInvCL!AF1489</f>
        <v>0</v>
      </c>
      <c r="O1489" s="16">
        <f>CASOPOInvCL!AG1489</f>
        <v>0</v>
      </c>
      <c r="P1489" s="16">
        <f>CASOPOInvCL!AH1489</f>
        <v>0</v>
      </c>
      <c r="Q1489" s="16">
        <f>CASOPOInvCL!AI1489</f>
        <v>0</v>
      </c>
      <c r="R1489" s="32">
        <f>CASOPOInvCL!AU1489</f>
        <v>0</v>
      </c>
      <c r="S1489" s="16">
        <f>CASOPOInvCL!AV1489</f>
        <v>0</v>
      </c>
      <c r="T1489" s="16">
        <f>CASOPOInvCL!AW1489</f>
        <v>0</v>
      </c>
      <c r="Y1489" s="29" t="str">
        <f>IFERROR(HLOOKUP(U1496,List!$D$2:$H$6,2,FALSE),"")</f>
        <v/>
      </c>
      <c r="Z1489" s="29" t="str">
        <f>IFERROR(HLOOKUP(V1496,List!$D$2:$H$6,3,FALSE),"")</f>
        <v/>
      </c>
      <c r="AA1489" s="29" t="str">
        <f>IFERROR(HLOOKUP(W1496,List!$D$2:$H$6,4,FALSE),"")</f>
        <v/>
      </c>
      <c r="AB1489" s="29" t="str">
        <f>IFERROR(HLOOKUP(X1496,List!$D$2:$H$6,5,FALSE),"")</f>
        <v/>
      </c>
      <c r="AC1489" s="12" t="str">
        <f t="shared" si="331"/>
        <v/>
      </c>
      <c r="AD1489" s="12" t="str">
        <f t="shared" si="331"/>
        <v/>
      </c>
      <c r="AE1489" s="12" t="str">
        <f t="shared" si="331"/>
        <v/>
      </c>
      <c r="AF1489" s="12" t="str">
        <f t="shared" si="331"/>
        <v/>
      </c>
      <c r="AM1489" s="12" t="str">
        <f t="shared" si="327"/>
        <v/>
      </c>
      <c r="AN1489" s="12" t="str">
        <f t="shared" si="328"/>
        <v/>
      </c>
      <c r="AO1489" s="12" t="str">
        <f t="shared" si="329"/>
        <v/>
      </c>
      <c r="AP1489" s="12" t="str">
        <f t="shared" si="330"/>
        <v/>
      </c>
      <c r="AQ1489" s="12"/>
      <c r="AS1489" s="12">
        <f t="shared" si="332"/>
        <v>0</v>
      </c>
    </row>
    <row r="1490" spans="1:45" hidden="1" x14ac:dyDescent="0.25">
      <c r="A1490" s="41">
        <f>CASOPOInvCL!T1490</f>
        <v>0</v>
      </c>
      <c r="B1490">
        <f>CASOPOInvCL!Z1490</f>
        <v>0</v>
      </c>
      <c r="G1490" s="5">
        <f>CASOPOInvCL!I1490</f>
        <v>0</v>
      </c>
      <c r="H1490" s="31">
        <f>CASOPOInvCL!U1490</f>
        <v>0</v>
      </c>
      <c r="I1490" s="31">
        <f>CASOPOInvCL!V1490</f>
        <v>0</v>
      </c>
      <c r="J1490" s="5">
        <f>CASOPOInvCL!AB1490</f>
        <v>0</v>
      </c>
      <c r="K1490" s="31">
        <f>CASOPOInvCL!W1490</f>
        <v>0</v>
      </c>
      <c r="L1490" s="31">
        <f>CASOPOInvCL!X1490</f>
        <v>0</v>
      </c>
      <c r="M1490" s="31"/>
      <c r="N1490" s="5">
        <f>CASOPOInvCL!AF1490</f>
        <v>0</v>
      </c>
      <c r="O1490" s="16">
        <f>CASOPOInvCL!AG1490</f>
        <v>0</v>
      </c>
      <c r="P1490" s="16">
        <f>CASOPOInvCL!AH1490</f>
        <v>0</v>
      </c>
      <c r="Q1490" s="16">
        <f>CASOPOInvCL!AI1490</f>
        <v>0</v>
      </c>
      <c r="R1490" s="32">
        <f>CASOPOInvCL!AU1490</f>
        <v>0</v>
      </c>
      <c r="S1490" s="16">
        <f>CASOPOInvCL!AV1490</f>
        <v>0</v>
      </c>
      <c r="T1490" s="16">
        <f>CASOPOInvCL!AW1490</f>
        <v>0</v>
      </c>
      <c r="Y1490" s="29" t="str">
        <f>IFERROR(HLOOKUP(U1497,List!$D$2:$H$6,2,FALSE),"")</f>
        <v/>
      </c>
      <c r="Z1490" s="29" t="str">
        <f>IFERROR(HLOOKUP(V1497,List!$D$2:$H$6,3,FALSE),"")</f>
        <v/>
      </c>
      <c r="AA1490" s="29" t="str">
        <f>IFERROR(HLOOKUP(W1497,List!$D$2:$H$6,4,FALSE),"")</f>
        <v/>
      </c>
      <c r="AB1490" s="29" t="str">
        <f>IFERROR(HLOOKUP(X1497,List!$D$2:$H$6,5,FALSE),"")</f>
        <v/>
      </c>
      <c r="AC1490" s="12" t="str">
        <f t="shared" si="331"/>
        <v/>
      </c>
      <c r="AD1490" s="12" t="str">
        <f t="shared" si="331"/>
        <v/>
      </c>
      <c r="AE1490" s="12" t="str">
        <f t="shared" si="331"/>
        <v/>
      </c>
      <c r="AF1490" s="12" t="str">
        <f t="shared" si="331"/>
        <v/>
      </c>
      <c r="AM1490" s="12" t="str">
        <f t="shared" si="327"/>
        <v/>
      </c>
      <c r="AN1490" s="12" t="str">
        <f t="shared" si="328"/>
        <v/>
      </c>
      <c r="AO1490" s="12" t="str">
        <f t="shared" si="329"/>
        <v/>
      </c>
      <c r="AP1490" s="12" t="str">
        <f t="shared" si="330"/>
        <v/>
      </c>
      <c r="AQ1490" s="12"/>
      <c r="AS1490" s="12">
        <f t="shared" si="332"/>
        <v>0</v>
      </c>
    </row>
    <row r="1491" spans="1:45" hidden="1" x14ac:dyDescent="0.25">
      <c r="A1491" s="41">
        <f>CASOPOInvCL!T1491</f>
        <v>0</v>
      </c>
      <c r="B1491">
        <f>CASOPOInvCL!Z1491</f>
        <v>0</v>
      </c>
      <c r="G1491" s="5">
        <f>CASOPOInvCL!I1491</f>
        <v>0</v>
      </c>
      <c r="H1491" s="31">
        <f>CASOPOInvCL!U1491</f>
        <v>0</v>
      </c>
      <c r="I1491" s="31">
        <f>CASOPOInvCL!V1491</f>
        <v>0</v>
      </c>
      <c r="J1491" s="5">
        <f>CASOPOInvCL!AB1491</f>
        <v>0</v>
      </c>
      <c r="K1491" s="31">
        <f>CASOPOInvCL!W1491</f>
        <v>0</v>
      </c>
      <c r="L1491" s="31">
        <f>CASOPOInvCL!X1491</f>
        <v>0</v>
      </c>
      <c r="M1491" s="31"/>
      <c r="N1491" s="5">
        <f>CASOPOInvCL!AF1491</f>
        <v>0</v>
      </c>
      <c r="O1491" s="16">
        <f>CASOPOInvCL!AG1491</f>
        <v>0</v>
      </c>
      <c r="P1491" s="16">
        <f>CASOPOInvCL!AH1491</f>
        <v>0</v>
      </c>
      <c r="Q1491" s="16">
        <f>CASOPOInvCL!AI1491</f>
        <v>0</v>
      </c>
      <c r="R1491" s="32">
        <f>CASOPOInvCL!AU1491</f>
        <v>0</v>
      </c>
      <c r="S1491" s="16">
        <f>CASOPOInvCL!AV1491</f>
        <v>0</v>
      </c>
      <c r="T1491" s="16">
        <f>CASOPOInvCL!AW1491</f>
        <v>0</v>
      </c>
      <c r="Y1491" s="29" t="str">
        <f>IFERROR(HLOOKUP(U1498,List!$D$2:$H$6,2,FALSE),"")</f>
        <v/>
      </c>
      <c r="Z1491" s="29" t="str">
        <f>IFERROR(HLOOKUP(V1498,List!$D$2:$H$6,3,FALSE),"")</f>
        <v/>
      </c>
      <c r="AA1491" s="29" t="str">
        <f>IFERROR(HLOOKUP(W1498,List!$D$2:$H$6,4,FALSE),"")</f>
        <v/>
      </c>
      <c r="AB1491" s="29" t="str">
        <f>IFERROR(HLOOKUP(X1498,List!$D$2:$H$6,5,FALSE),"")</f>
        <v/>
      </c>
      <c r="AC1491" s="12" t="str">
        <f t="shared" si="331"/>
        <v/>
      </c>
      <c r="AD1491" s="12" t="str">
        <f t="shared" si="331"/>
        <v/>
      </c>
      <c r="AE1491" s="12" t="str">
        <f t="shared" si="331"/>
        <v/>
      </c>
      <c r="AF1491" s="12" t="str">
        <f t="shared" si="331"/>
        <v/>
      </c>
      <c r="AM1491" s="12" t="str">
        <f t="shared" si="327"/>
        <v/>
      </c>
      <c r="AN1491" s="12" t="str">
        <f t="shared" si="328"/>
        <v/>
      </c>
      <c r="AO1491" s="12" t="str">
        <f t="shared" si="329"/>
        <v/>
      </c>
      <c r="AP1491" s="12" t="str">
        <f t="shared" si="330"/>
        <v/>
      </c>
      <c r="AQ1491" s="12"/>
      <c r="AS1491" s="12">
        <f t="shared" si="332"/>
        <v>0</v>
      </c>
    </row>
    <row r="1492" spans="1:45" hidden="1" x14ac:dyDescent="0.25">
      <c r="A1492" s="41">
        <f>CASOPOInvCL!T1492</f>
        <v>0</v>
      </c>
      <c r="B1492">
        <f>CASOPOInvCL!Z1492</f>
        <v>0</v>
      </c>
      <c r="G1492" s="5">
        <f>CASOPOInvCL!I1492</f>
        <v>0</v>
      </c>
      <c r="H1492" s="31">
        <f>CASOPOInvCL!U1492</f>
        <v>0</v>
      </c>
      <c r="I1492" s="31">
        <f>CASOPOInvCL!V1492</f>
        <v>0</v>
      </c>
      <c r="J1492" s="5">
        <f>CASOPOInvCL!AB1492</f>
        <v>0</v>
      </c>
      <c r="K1492" s="31">
        <f>CASOPOInvCL!W1492</f>
        <v>0</v>
      </c>
      <c r="L1492" s="31">
        <f>CASOPOInvCL!X1492</f>
        <v>0</v>
      </c>
      <c r="M1492" s="31"/>
      <c r="N1492" s="5">
        <f>CASOPOInvCL!AF1492</f>
        <v>0</v>
      </c>
      <c r="O1492" s="16">
        <f>CASOPOInvCL!AG1492</f>
        <v>0</v>
      </c>
      <c r="P1492" s="16">
        <f>CASOPOInvCL!AH1492</f>
        <v>0</v>
      </c>
      <c r="Q1492" s="16">
        <f>CASOPOInvCL!AI1492</f>
        <v>0</v>
      </c>
      <c r="R1492" s="32">
        <f>CASOPOInvCL!AU1492</f>
        <v>0</v>
      </c>
      <c r="S1492" s="16">
        <f>CASOPOInvCL!AV1492</f>
        <v>0</v>
      </c>
      <c r="T1492" s="16">
        <f>CASOPOInvCL!AW1492</f>
        <v>0</v>
      </c>
      <c r="Y1492" s="29" t="str">
        <f>IFERROR(HLOOKUP(U1499,List!$D$2:$H$6,2,FALSE),"")</f>
        <v/>
      </c>
      <c r="Z1492" s="29" t="str">
        <f>IFERROR(HLOOKUP(V1499,List!$D$2:$H$6,3,FALSE),"")</f>
        <v/>
      </c>
      <c r="AA1492" s="29" t="str">
        <f>IFERROR(HLOOKUP(W1499,List!$D$2:$H$6,4,FALSE),"")</f>
        <v/>
      </c>
      <c r="AB1492" s="29" t="str">
        <f>IFERROR(HLOOKUP(X1499,List!$D$2:$H$6,5,FALSE),"")</f>
        <v/>
      </c>
      <c r="AC1492" s="12" t="str">
        <f t="shared" si="331"/>
        <v/>
      </c>
      <c r="AD1492" s="12" t="str">
        <f t="shared" si="331"/>
        <v/>
      </c>
      <c r="AE1492" s="12" t="str">
        <f t="shared" si="331"/>
        <v/>
      </c>
      <c r="AF1492" s="12" t="str">
        <f t="shared" si="331"/>
        <v/>
      </c>
      <c r="AM1492" s="12" t="str">
        <f t="shared" si="327"/>
        <v/>
      </c>
      <c r="AN1492" s="12" t="str">
        <f t="shared" si="328"/>
        <v/>
      </c>
      <c r="AO1492" s="12" t="str">
        <f t="shared" si="329"/>
        <v/>
      </c>
      <c r="AP1492" s="12" t="str">
        <f t="shared" si="330"/>
        <v/>
      </c>
      <c r="AQ1492" s="12"/>
      <c r="AS1492" s="12">
        <f t="shared" si="332"/>
        <v>0</v>
      </c>
    </row>
    <row r="1493" spans="1:45" hidden="1" x14ac:dyDescent="0.25">
      <c r="A1493" s="41">
        <f>CASOPOInvCL!T1493</f>
        <v>0</v>
      </c>
      <c r="B1493">
        <f>CASOPOInvCL!Z1493</f>
        <v>0</v>
      </c>
      <c r="G1493" s="5">
        <f>CASOPOInvCL!I1493</f>
        <v>0</v>
      </c>
      <c r="H1493" s="31">
        <f>CASOPOInvCL!U1493</f>
        <v>0</v>
      </c>
      <c r="I1493" s="31">
        <f>CASOPOInvCL!V1493</f>
        <v>0</v>
      </c>
      <c r="J1493" s="5">
        <f>CASOPOInvCL!AB1493</f>
        <v>0</v>
      </c>
      <c r="K1493" s="31">
        <f>CASOPOInvCL!W1493</f>
        <v>0</v>
      </c>
      <c r="L1493" s="31">
        <f>CASOPOInvCL!X1493</f>
        <v>0</v>
      </c>
      <c r="M1493" s="31"/>
      <c r="N1493" s="5">
        <f>CASOPOInvCL!AF1493</f>
        <v>0</v>
      </c>
      <c r="O1493" s="16">
        <f>CASOPOInvCL!AG1493</f>
        <v>0</v>
      </c>
      <c r="P1493" s="16">
        <f>CASOPOInvCL!AH1493</f>
        <v>0</v>
      </c>
      <c r="Q1493" s="16">
        <f>CASOPOInvCL!AI1493</f>
        <v>0</v>
      </c>
      <c r="R1493" s="32">
        <f>CASOPOInvCL!AU1493</f>
        <v>0</v>
      </c>
      <c r="S1493" s="16">
        <f>CASOPOInvCL!AV1493</f>
        <v>0</v>
      </c>
      <c r="T1493" s="16">
        <f>CASOPOInvCL!AW1493</f>
        <v>0</v>
      </c>
      <c r="Y1493" s="29" t="str">
        <f>IFERROR(HLOOKUP(U1500,List!$D$2:$H$6,2,FALSE),"")</f>
        <v/>
      </c>
      <c r="Z1493" s="29" t="str">
        <f>IFERROR(HLOOKUP(V1500,List!$D$2:$H$6,3,FALSE),"")</f>
        <v/>
      </c>
      <c r="AA1493" s="29" t="str">
        <f>IFERROR(HLOOKUP(W1500,List!$D$2:$H$6,4,FALSE),"")</f>
        <v/>
      </c>
      <c r="AB1493" s="29" t="str">
        <f>IFERROR(HLOOKUP(X1500,List!$D$2:$H$6,5,FALSE),"")</f>
        <v/>
      </c>
      <c r="AC1493" s="12" t="str">
        <f t="shared" si="331"/>
        <v/>
      </c>
      <c r="AD1493" s="12" t="str">
        <f t="shared" si="331"/>
        <v/>
      </c>
      <c r="AE1493" s="12" t="str">
        <f t="shared" si="331"/>
        <v/>
      </c>
      <c r="AF1493" s="12" t="str">
        <f t="shared" si="331"/>
        <v/>
      </c>
      <c r="AM1493" s="12" t="str">
        <f t="shared" si="327"/>
        <v/>
      </c>
      <c r="AN1493" s="12" t="str">
        <f t="shared" si="328"/>
        <v/>
      </c>
      <c r="AO1493" s="12" t="str">
        <f t="shared" si="329"/>
        <v/>
      </c>
      <c r="AP1493" s="12" t="str">
        <f t="shared" si="330"/>
        <v/>
      </c>
      <c r="AQ1493" s="12"/>
      <c r="AS1493" s="12">
        <f t="shared" si="332"/>
        <v>0</v>
      </c>
    </row>
    <row r="1494" spans="1:45" hidden="1" x14ac:dyDescent="0.25">
      <c r="A1494" s="41">
        <f>CASOPOInvCL!T1494</f>
        <v>0</v>
      </c>
      <c r="B1494">
        <f>CASOPOInvCL!Z1494</f>
        <v>0</v>
      </c>
      <c r="G1494" s="5">
        <f>CASOPOInvCL!I1494</f>
        <v>0</v>
      </c>
      <c r="H1494" s="31">
        <f>CASOPOInvCL!U1494</f>
        <v>0</v>
      </c>
      <c r="I1494" s="31">
        <f>CASOPOInvCL!V1494</f>
        <v>0</v>
      </c>
      <c r="J1494" s="5">
        <f>CASOPOInvCL!AB1494</f>
        <v>0</v>
      </c>
      <c r="K1494" s="31">
        <f>CASOPOInvCL!W1494</f>
        <v>0</v>
      </c>
      <c r="L1494" s="31">
        <f>CASOPOInvCL!X1494</f>
        <v>0</v>
      </c>
      <c r="M1494" s="31"/>
      <c r="N1494" s="5">
        <f>CASOPOInvCL!AF1494</f>
        <v>0</v>
      </c>
      <c r="O1494" s="16">
        <f>CASOPOInvCL!AG1494</f>
        <v>0</v>
      </c>
      <c r="P1494" s="16">
        <f>CASOPOInvCL!AH1494</f>
        <v>0</v>
      </c>
      <c r="Q1494" s="16">
        <f>CASOPOInvCL!AI1494</f>
        <v>0</v>
      </c>
      <c r="R1494" s="32">
        <f>CASOPOInvCL!AU1494</f>
        <v>0</v>
      </c>
      <c r="S1494" s="16">
        <f>CASOPOInvCL!AV1494</f>
        <v>0</v>
      </c>
      <c r="T1494" s="16">
        <f>CASOPOInvCL!AW1494</f>
        <v>0</v>
      </c>
      <c r="Y1494" s="29" t="str">
        <f>IFERROR(HLOOKUP(U1501,List!$D$2:$H$6,2,FALSE),"")</f>
        <v/>
      </c>
      <c r="Z1494" s="29" t="str">
        <f>IFERROR(HLOOKUP(V1501,List!$D$2:$H$6,3,FALSE),"")</f>
        <v/>
      </c>
      <c r="AA1494" s="29" t="str">
        <f>IFERROR(HLOOKUP(W1501,List!$D$2:$H$6,4,FALSE),"")</f>
        <v/>
      </c>
      <c r="AB1494" s="29" t="str">
        <f>IFERROR(HLOOKUP(X1501,List!$D$2:$H$6,5,FALSE),"")</f>
        <v/>
      </c>
      <c r="AC1494" s="12" t="str">
        <f t="shared" si="331"/>
        <v/>
      </c>
      <c r="AD1494" s="12" t="str">
        <f t="shared" si="331"/>
        <v/>
      </c>
      <c r="AE1494" s="12" t="str">
        <f t="shared" si="331"/>
        <v/>
      </c>
      <c r="AF1494" s="12" t="str">
        <f t="shared" si="331"/>
        <v/>
      </c>
      <c r="AM1494" s="12" t="str">
        <f t="shared" si="327"/>
        <v/>
      </c>
      <c r="AN1494" s="12" t="str">
        <f t="shared" si="328"/>
        <v/>
      </c>
      <c r="AO1494" s="12" t="str">
        <f t="shared" si="329"/>
        <v/>
      </c>
      <c r="AP1494" s="12" t="str">
        <f t="shared" si="330"/>
        <v/>
      </c>
      <c r="AQ1494" s="12"/>
      <c r="AS1494" s="12">
        <f t="shared" si="332"/>
        <v>0</v>
      </c>
    </row>
    <row r="1495" spans="1:45" hidden="1" x14ac:dyDescent="0.25">
      <c r="A1495" s="41">
        <f>CASOPOInvCL!T1495</f>
        <v>0</v>
      </c>
      <c r="B1495">
        <f>CASOPOInvCL!Z1495</f>
        <v>0</v>
      </c>
      <c r="G1495" s="5">
        <f>CASOPOInvCL!I1495</f>
        <v>0</v>
      </c>
      <c r="H1495" s="31">
        <f>CASOPOInvCL!U1495</f>
        <v>0</v>
      </c>
      <c r="I1495" s="31">
        <f>CASOPOInvCL!V1495</f>
        <v>0</v>
      </c>
      <c r="J1495" s="5">
        <f>CASOPOInvCL!AB1495</f>
        <v>0</v>
      </c>
      <c r="K1495" s="31">
        <f>CASOPOInvCL!W1495</f>
        <v>0</v>
      </c>
      <c r="L1495" s="31">
        <f>CASOPOInvCL!X1495</f>
        <v>0</v>
      </c>
      <c r="M1495" s="31"/>
      <c r="N1495" s="5">
        <f>CASOPOInvCL!AF1495</f>
        <v>0</v>
      </c>
      <c r="O1495" s="16">
        <f>CASOPOInvCL!AG1495</f>
        <v>0</v>
      </c>
      <c r="P1495" s="16">
        <f>CASOPOInvCL!AH1495</f>
        <v>0</v>
      </c>
      <c r="Q1495" s="16">
        <f>CASOPOInvCL!AI1495</f>
        <v>0</v>
      </c>
      <c r="R1495" s="32">
        <f>CASOPOInvCL!AU1495</f>
        <v>0</v>
      </c>
      <c r="S1495" s="16">
        <f>CASOPOInvCL!AV1495</f>
        <v>0</v>
      </c>
      <c r="T1495" s="16">
        <f>CASOPOInvCL!AW1495</f>
        <v>0</v>
      </c>
      <c r="Y1495" s="29" t="str">
        <f>IFERROR(HLOOKUP(U1502,List!$D$2:$H$6,2,FALSE),"")</f>
        <v/>
      </c>
      <c r="Z1495" s="29" t="str">
        <f>IFERROR(HLOOKUP(V1502,List!$D$2:$H$6,3,FALSE),"")</f>
        <v/>
      </c>
      <c r="AA1495" s="29" t="str">
        <f>IFERROR(HLOOKUP(W1502,List!$D$2:$H$6,4,FALSE),"")</f>
        <v/>
      </c>
      <c r="AB1495" s="29" t="str">
        <f>IFERROR(HLOOKUP(X1502,List!$D$2:$H$6,5,FALSE),"")</f>
        <v/>
      </c>
      <c r="AC1495" s="12" t="str">
        <f t="shared" si="331"/>
        <v/>
      </c>
      <c r="AD1495" s="12" t="str">
        <f t="shared" si="331"/>
        <v/>
      </c>
      <c r="AE1495" s="12" t="str">
        <f t="shared" si="331"/>
        <v/>
      </c>
      <c r="AF1495" s="12" t="str">
        <f t="shared" si="331"/>
        <v/>
      </c>
      <c r="AM1495" s="12" t="str">
        <f t="shared" si="327"/>
        <v/>
      </c>
      <c r="AN1495" s="12" t="str">
        <f t="shared" si="328"/>
        <v/>
      </c>
      <c r="AO1495" s="12" t="str">
        <f t="shared" si="329"/>
        <v/>
      </c>
      <c r="AP1495" s="12" t="str">
        <f t="shared" si="330"/>
        <v/>
      </c>
      <c r="AQ1495" s="12"/>
      <c r="AS1495" s="12">
        <f t="shared" si="332"/>
        <v>0</v>
      </c>
    </row>
    <row r="1496" spans="1:45" hidden="1" x14ac:dyDescent="0.25">
      <c r="A1496" s="41">
        <f>CASOPOInvCL!T1496</f>
        <v>0</v>
      </c>
      <c r="B1496">
        <f>CASOPOInvCL!Z1496</f>
        <v>0</v>
      </c>
      <c r="G1496" s="5">
        <f>CASOPOInvCL!I1496</f>
        <v>0</v>
      </c>
      <c r="H1496" s="31">
        <f>CASOPOInvCL!U1496</f>
        <v>0</v>
      </c>
      <c r="I1496" s="31">
        <f>CASOPOInvCL!V1496</f>
        <v>0</v>
      </c>
      <c r="J1496" s="5">
        <f>CASOPOInvCL!AB1496</f>
        <v>0</v>
      </c>
      <c r="K1496" s="31">
        <f>CASOPOInvCL!W1496</f>
        <v>0</v>
      </c>
      <c r="L1496" s="31">
        <f>CASOPOInvCL!X1496</f>
        <v>0</v>
      </c>
      <c r="M1496" s="31"/>
      <c r="N1496" s="5">
        <f>CASOPOInvCL!AF1496</f>
        <v>0</v>
      </c>
      <c r="O1496" s="16">
        <f>CASOPOInvCL!AG1496</f>
        <v>0</v>
      </c>
      <c r="P1496" s="16">
        <f>CASOPOInvCL!AH1496</f>
        <v>0</v>
      </c>
      <c r="Q1496" s="16">
        <f>CASOPOInvCL!AI1496</f>
        <v>0</v>
      </c>
      <c r="R1496" s="32">
        <f>CASOPOInvCL!AU1496</f>
        <v>0</v>
      </c>
      <c r="S1496" s="16">
        <f>CASOPOInvCL!AV1496</f>
        <v>0</v>
      </c>
      <c r="T1496" s="16">
        <f>CASOPOInvCL!AW1496</f>
        <v>0</v>
      </c>
      <c r="Y1496" s="29" t="str">
        <f>IFERROR(HLOOKUP(U1503,List!$D$2:$H$6,2,FALSE),"")</f>
        <v/>
      </c>
      <c r="Z1496" s="29" t="str">
        <f>IFERROR(HLOOKUP(V1503,List!$D$2:$H$6,3,FALSE),"")</f>
        <v/>
      </c>
      <c r="AA1496" s="29" t="str">
        <f>IFERROR(HLOOKUP(W1503,List!$D$2:$H$6,4,FALSE),"")</f>
        <v/>
      </c>
      <c r="AB1496" s="29" t="str">
        <f>IFERROR(HLOOKUP(X1503,List!$D$2:$H$6,5,FALSE),"")</f>
        <v/>
      </c>
      <c r="AC1496" s="12" t="str">
        <f t="shared" si="331"/>
        <v/>
      </c>
      <c r="AD1496" s="12" t="str">
        <f t="shared" si="331"/>
        <v/>
      </c>
      <c r="AE1496" s="12" t="str">
        <f t="shared" si="331"/>
        <v/>
      </c>
      <c r="AF1496" s="12" t="str">
        <f t="shared" si="331"/>
        <v/>
      </c>
      <c r="AM1496" s="12" t="str">
        <f t="shared" si="327"/>
        <v/>
      </c>
      <c r="AN1496" s="12" t="str">
        <f t="shared" si="328"/>
        <v/>
      </c>
      <c r="AO1496" s="12" t="str">
        <f t="shared" si="329"/>
        <v/>
      </c>
      <c r="AP1496" s="12" t="str">
        <f t="shared" si="330"/>
        <v/>
      </c>
      <c r="AQ1496" s="12"/>
      <c r="AS1496" s="12">
        <f t="shared" si="332"/>
        <v>0</v>
      </c>
    </row>
    <row r="1497" spans="1:45" hidden="1" x14ac:dyDescent="0.25">
      <c r="A1497" s="41">
        <f>CASOPOInvCL!T1497</f>
        <v>0</v>
      </c>
      <c r="B1497">
        <f>CASOPOInvCL!Z1497</f>
        <v>0</v>
      </c>
      <c r="G1497" s="5">
        <f>CASOPOInvCL!I1497</f>
        <v>0</v>
      </c>
      <c r="H1497" s="31">
        <f>CASOPOInvCL!U1497</f>
        <v>0</v>
      </c>
      <c r="I1497" s="31">
        <f>CASOPOInvCL!V1497</f>
        <v>0</v>
      </c>
      <c r="J1497" s="5">
        <f>CASOPOInvCL!AB1497</f>
        <v>0</v>
      </c>
      <c r="K1497" s="31">
        <f>CASOPOInvCL!W1497</f>
        <v>0</v>
      </c>
      <c r="L1497" s="31">
        <f>CASOPOInvCL!X1497</f>
        <v>0</v>
      </c>
      <c r="M1497" s="31"/>
      <c r="N1497" s="5">
        <f>CASOPOInvCL!AF1497</f>
        <v>0</v>
      </c>
      <c r="O1497" s="16">
        <f>CASOPOInvCL!AG1497</f>
        <v>0</v>
      </c>
      <c r="P1497" s="16">
        <f>CASOPOInvCL!AH1497</f>
        <v>0</v>
      </c>
      <c r="Q1497" s="16">
        <f>CASOPOInvCL!AI1497</f>
        <v>0</v>
      </c>
      <c r="R1497" s="32">
        <f>CASOPOInvCL!AU1497</f>
        <v>0</v>
      </c>
      <c r="S1497" s="16">
        <f>CASOPOInvCL!AV1497</f>
        <v>0</v>
      </c>
      <c r="T1497" s="16">
        <f>CASOPOInvCL!AW1497</f>
        <v>0</v>
      </c>
      <c r="Y1497" s="29" t="str">
        <f>IFERROR(HLOOKUP(U1504,List!$D$2:$H$6,2,FALSE),"")</f>
        <v/>
      </c>
      <c r="Z1497" s="29" t="str">
        <f>IFERROR(HLOOKUP(V1504,List!$D$2:$H$6,3,FALSE),"")</f>
        <v/>
      </c>
      <c r="AA1497" s="29" t="str">
        <f>IFERROR(HLOOKUP(W1504,List!$D$2:$H$6,4,FALSE),"")</f>
        <v/>
      </c>
      <c r="AB1497" s="29" t="str">
        <f>IFERROR(HLOOKUP(X1504,List!$D$2:$H$6,5,FALSE),"")</f>
        <v/>
      </c>
      <c r="AC1497" s="12" t="str">
        <f t="shared" si="331"/>
        <v/>
      </c>
      <c r="AD1497" s="12" t="str">
        <f t="shared" si="331"/>
        <v/>
      </c>
      <c r="AE1497" s="12" t="str">
        <f t="shared" si="331"/>
        <v/>
      </c>
      <c r="AF1497" s="12" t="str">
        <f t="shared" si="331"/>
        <v/>
      </c>
      <c r="AM1497" s="12" t="str">
        <f t="shared" si="327"/>
        <v/>
      </c>
      <c r="AN1497" s="12" t="str">
        <f t="shared" si="328"/>
        <v/>
      </c>
      <c r="AO1497" s="12" t="str">
        <f t="shared" si="329"/>
        <v/>
      </c>
      <c r="AP1497" s="12" t="str">
        <f t="shared" si="330"/>
        <v/>
      </c>
      <c r="AQ1497" s="12"/>
      <c r="AS1497" s="12">
        <f t="shared" si="332"/>
        <v>0</v>
      </c>
    </row>
    <row r="1498" spans="1:45" hidden="1" x14ac:dyDescent="0.25">
      <c r="A1498" s="41">
        <f>CASOPOInvCL!T1498</f>
        <v>0</v>
      </c>
      <c r="B1498">
        <f>CASOPOInvCL!Z1498</f>
        <v>0</v>
      </c>
      <c r="G1498" s="5">
        <f>CASOPOInvCL!I1498</f>
        <v>0</v>
      </c>
      <c r="H1498" s="31">
        <f>CASOPOInvCL!U1498</f>
        <v>0</v>
      </c>
      <c r="I1498" s="31">
        <f>CASOPOInvCL!V1498</f>
        <v>0</v>
      </c>
      <c r="J1498" s="5">
        <f>CASOPOInvCL!AB1498</f>
        <v>0</v>
      </c>
      <c r="K1498" s="31">
        <f>CASOPOInvCL!W1498</f>
        <v>0</v>
      </c>
      <c r="L1498" s="31">
        <f>CASOPOInvCL!X1498</f>
        <v>0</v>
      </c>
      <c r="M1498" s="31"/>
      <c r="N1498" s="5">
        <f>CASOPOInvCL!AF1498</f>
        <v>0</v>
      </c>
      <c r="O1498" s="16">
        <f>CASOPOInvCL!AG1498</f>
        <v>0</v>
      </c>
      <c r="P1498" s="16">
        <f>CASOPOInvCL!AH1498</f>
        <v>0</v>
      </c>
      <c r="Q1498" s="16">
        <f>CASOPOInvCL!AI1498</f>
        <v>0</v>
      </c>
      <c r="R1498" s="32">
        <f>CASOPOInvCL!AU1498</f>
        <v>0</v>
      </c>
      <c r="S1498" s="16">
        <f>CASOPOInvCL!AV1498</f>
        <v>0</v>
      </c>
      <c r="T1498" s="16">
        <f>CASOPOInvCL!AW1498</f>
        <v>0</v>
      </c>
      <c r="Y1498" s="29" t="str">
        <f>IFERROR(HLOOKUP(U1505,List!$D$2:$H$6,2,FALSE),"")</f>
        <v/>
      </c>
      <c r="Z1498" s="29" t="str">
        <f>IFERROR(HLOOKUP(V1505,List!$D$2:$H$6,3,FALSE),"")</f>
        <v/>
      </c>
      <c r="AA1498" s="29" t="str">
        <f>IFERROR(HLOOKUP(W1505,List!$D$2:$H$6,4,FALSE),"")</f>
        <v/>
      </c>
      <c r="AB1498" s="29" t="str">
        <f>IFERROR(HLOOKUP(X1505,List!$D$2:$H$6,5,FALSE),"")</f>
        <v/>
      </c>
      <c r="AC1498" s="12" t="str">
        <f t="shared" si="331"/>
        <v/>
      </c>
      <c r="AD1498" s="12" t="str">
        <f t="shared" si="331"/>
        <v/>
      </c>
      <c r="AE1498" s="12" t="str">
        <f t="shared" si="331"/>
        <v/>
      </c>
      <c r="AF1498" s="12" t="str">
        <f t="shared" si="331"/>
        <v/>
      </c>
      <c r="AM1498" s="12" t="str">
        <f t="shared" si="327"/>
        <v/>
      </c>
      <c r="AN1498" s="12" t="str">
        <f t="shared" si="328"/>
        <v/>
      </c>
      <c r="AO1498" s="12" t="str">
        <f t="shared" si="329"/>
        <v/>
      </c>
      <c r="AP1498" s="12" t="str">
        <f t="shared" si="330"/>
        <v/>
      </c>
      <c r="AQ1498" s="12"/>
      <c r="AS1498" s="12">
        <f t="shared" si="332"/>
        <v>0</v>
      </c>
    </row>
    <row r="1499" spans="1:45" hidden="1" x14ac:dyDescent="0.25">
      <c r="A1499" s="41">
        <f>CASOPOInvCL!T1499</f>
        <v>0</v>
      </c>
      <c r="B1499">
        <f>CASOPOInvCL!Z1499</f>
        <v>0</v>
      </c>
      <c r="G1499" s="5">
        <f>CASOPOInvCL!I1499</f>
        <v>0</v>
      </c>
      <c r="H1499" s="31">
        <f>CASOPOInvCL!U1499</f>
        <v>0</v>
      </c>
      <c r="I1499" s="31">
        <f>CASOPOInvCL!V1499</f>
        <v>0</v>
      </c>
      <c r="J1499" s="5">
        <f>CASOPOInvCL!AB1499</f>
        <v>0</v>
      </c>
      <c r="K1499" s="31">
        <f>CASOPOInvCL!W1499</f>
        <v>0</v>
      </c>
      <c r="L1499" s="31">
        <f>CASOPOInvCL!X1499</f>
        <v>0</v>
      </c>
      <c r="M1499" s="31"/>
      <c r="N1499" s="5">
        <f>CASOPOInvCL!AF1499</f>
        <v>0</v>
      </c>
      <c r="O1499" s="16">
        <f>CASOPOInvCL!AG1499</f>
        <v>0</v>
      </c>
      <c r="P1499" s="16">
        <f>CASOPOInvCL!AH1499</f>
        <v>0</v>
      </c>
      <c r="Q1499" s="16">
        <f>CASOPOInvCL!AI1499</f>
        <v>0</v>
      </c>
      <c r="R1499" s="32">
        <f>CASOPOInvCL!AU1499</f>
        <v>0</v>
      </c>
      <c r="S1499" s="16">
        <f>CASOPOInvCL!AV1499</f>
        <v>0</v>
      </c>
      <c r="T1499" s="16">
        <f>CASOPOInvCL!AW1499</f>
        <v>0</v>
      </c>
      <c r="Y1499" s="29" t="str">
        <f>IFERROR(HLOOKUP(U1506,List!$D$2:$H$6,2,FALSE),"")</f>
        <v/>
      </c>
      <c r="Z1499" s="29" t="str">
        <f>IFERROR(HLOOKUP(V1506,List!$D$2:$H$6,3,FALSE),"")</f>
        <v/>
      </c>
      <c r="AA1499" s="29" t="str">
        <f>IFERROR(HLOOKUP(W1506,List!$D$2:$H$6,4,FALSE),"")</f>
        <v/>
      </c>
      <c r="AB1499" s="29" t="str">
        <f>IFERROR(HLOOKUP(X1506,List!$D$2:$H$6,5,FALSE),"")</f>
        <v/>
      </c>
      <c r="AC1499" s="12" t="str">
        <f t="shared" si="331"/>
        <v/>
      </c>
      <c r="AD1499" s="12" t="str">
        <f t="shared" si="331"/>
        <v/>
      </c>
      <c r="AE1499" s="12" t="str">
        <f t="shared" si="331"/>
        <v/>
      </c>
      <c r="AF1499" s="12" t="str">
        <f t="shared" si="331"/>
        <v/>
      </c>
      <c r="AM1499" s="12" t="str">
        <f t="shared" si="327"/>
        <v/>
      </c>
      <c r="AN1499" s="12" t="str">
        <f t="shared" si="328"/>
        <v/>
      </c>
      <c r="AO1499" s="12" t="str">
        <f t="shared" si="329"/>
        <v/>
      </c>
      <c r="AP1499" s="12" t="str">
        <f t="shared" si="330"/>
        <v/>
      </c>
      <c r="AQ1499" s="12"/>
      <c r="AS1499" s="12">
        <f t="shared" si="332"/>
        <v>0</v>
      </c>
    </row>
    <row r="1500" spans="1:45" hidden="1" x14ac:dyDescent="0.25">
      <c r="A1500" s="41">
        <f>CASOPOInvCL!T1500</f>
        <v>0</v>
      </c>
      <c r="B1500">
        <f>CASOPOInvCL!Z1500</f>
        <v>0</v>
      </c>
      <c r="G1500" s="5">
        <f>CASOPOInvCL!I1500</f>
        <v>0</v>
      </c>
      <c r="H1500" s="31">
        <f>CASOPOInvCL!U1500</f>
        <v>0</v>
      </c>
      <c r="I1500" s="31">
        <f>CASOPOInvCL!V1500</f>
        <v>0</v>
      </c>
      <c r="J1500" s="5">
        <f>CASOPOInvCL!AB1500</f>
        <v>0</v>
      </c>
      <c r="K1500" s="31">
        <f>CASOPOInvCL!W1500</f>
        <v>0</v>
      </c>
      <c r="L1500" s="31">
        <f>CASOPOInvCL!X1500</f>
        <v>0</v>
      </c>
      <c r="M1500" s="31"/>
      <c r="N1500" s="5">
        <f>CASOPOInvCL!AF1500</f>
        <v>0</v>
      </c>
      <c r="O1500" s="16">
        <f>CASOPOInvCL!AG1500</f>
        <v>0</v>
      </c>
      <c r="P1500" s="16">
        <f>CASOPOInvCL!AH1500</f>
        <v>0</v>
      </c>
      <c r="Q1500" s="16">
        <f>CASOPOInvCL!AI1500</f>
        <v>0</v>
      </c>
      <c r="R1500" s="32">
        <f>CASOPOInvCL!AU1500</f>
        <v>0</v>
      </c>
      <c r="S1500" s="16">
        <f>CASOPOInvCL!AV1500</f>
        <v>0</v>
      </c>
      <c r="T1500" s="16">
        <f>CASOPOInvCL!AW1500</f>
        <v>0</v>
      </c>
      <c r="Y1500" s="29" t="str">
        <f>IFERROR(HLOOKUP(U1507,List!$D$2:$H$6,2,FALSE),"")</f>
        <v/>
      </c>
      <c r="Z1500" s="29" t="str">
        <f>IFERROR(HLOOKUP(V1507,List!$D$2:$H$6,3,FALSE),"")</f>
        <v/>
      </c>
      <c r="AA1500" s="29" t="str">
        <f>IFERROR(HLOOKUP(W1507,List!$D$2:$H$6,4,FALSE),"")</f>
        <v/>
      </c>
      <c r="AB1500" s="29" t="str">
        <f>IFERROR(HLOOKUP(X1507,List!$D$2:$H$6,5,FALSE),"")</f>
        <v/>
      </c>
      <c r="AC1500" s="12" t="str">
        <f t="shared" si="331"/>
        <v/>
      </c>
      <c r="AD1500" s="12" t="str">
        <f t="shared" si="331"/>
        <v/>
      </c>
      <c r="AE1500" s="12" t="str">
        <f t="shared" si="331"/>
        <v/>
      </c>
      <c r="AF1500" s="12" t="str">
        <f t="shared" si="331"/>
        <v/>
      </c>
      <c r="AM1500" s="12" t="str">
        <f t="shared" si="327"/>
        <v/>
      </c>
      <c r="AN1500" s="12" t="str">
        <f t="shared" si="328"/>
        <v/>
      </c>
      <c r="AO1500" s="12" t="str">
        <f t="shared" si="329"/>
        <v/>
      </c>
      <c r="AP1500" s="12" t="str">
        <f t="shared" si="330"/>
        <v/>
      </c>
      <c r="AQ1500" s="12"/>
      <c r="AS1500" s="12">
        <f t="shared" si="332"/>
        <v>0</v>
      </c>
    </row>
    <row r="1501" spans="1:45" hidden="1" x14ac:dyDescent="0.25">
      <c r="A1501" s="41">
        <f>CASOPOInvCL!T1501</f>
        <v>0</v>
      </c>
      <c r="B1501">
        <f>CASOPOInvCL!Z1501</f>
        <v>0</v>
      </c>
      <c r="G1501" s="5">
        <f>CASOPOInvCL!I1501</f>
        <v>0</v>
      </c>
      <c r="H1501" s="31">
        <f>CASOPOInvCL!U1501</f>
        <v>0</v>
      </c>
      <c r="I1501" s="31">
        <f>CASOPOInvCL!V1501</f>
        <v>0</v>
      </c>
      <c r="J1501" s="5">
        <f>CASOPOInvCL!AB1501</f>
        <v>0</v>
      </c>
      <c r="K1501" s="31">
        <f>CASOPOInvCL!W1501</f>
        <v>0</v>
      </c>
      <c r="L1501" s="31">
        <f>CASOPOInvCL!X1501</f>
        <v>0</v>
      </c>
      <c r="M1501" s="31"/>
      <c r="N1501" s="5">
        <f>CASOPOInvCL!AF1501</f>
        <v>0</v>
      </c>
      <c r="O1501" s="16">
        <f>CASOPOInvCL!AG1501</f>
        <v>0</v>
      </c>
      <c r="P1501" s="16">
        <f>CASOPOInvCL!AH1501</f>
        <v>0</v>
      </c>
      <c r="Q1501" s="16">
        <f>CASOPOInvCL!AI1501</f>
        <v>0</v>
      </c>
      <c r="R1501" s="32">
        <f>CASOPOInvCL!AU1501</f>
        <v>0</v>
      </c>
      <c r="S1501" s="16">
        <f>CASOPOInvCL!AV1501</f>
        <v>0</v>
      </c>
      <c r="T1501" s="16">
        <f>CASOPOInvCL!AW1501</f>
        <v>0</v>
      </c>
      <c r="Y1501" s="29" t="str">
        <f>IFERROR(HLOOKUP(U1508,List!$D$2:$H$6,2,FALSE),"")</f>
        <v/>
      </c>
      <c r="Z1501" s="29" t="str">
        <f>IFERROR(HLOOKUP(V1508,List!$D$2:$H$6,3,FALSE),"")</f>
        <v/>
      </c>
      <c r="AA1501" s="29" t="str">
        <f>IFERROR(HLOOKUP(W1508,List!$D$2:$H$6,4,FALSE),"")</f>
        <v/>
      </c>
      <c r="AB1501" s="29" t="str">
        <f>IFERROR(HLOOKUP(X1508,List!$D$2:$H$6,5,FALSE),"")</f>
        <v/>
      </c>
      <c r="AC1501" s="12" t="str">
        <f t="shared" si="331"/>
        <v/>
      </c>
      <c r="AD1501" s="12" t="str">
        <f t="shared" si="331"/>
        <v/>
      </c>
      <c r="AE1501" s="12" t="str">
        <f t="shared" si="331"/>
        <v/>
      </c>
      <c r="AF1501" s="12" t="str">
        <f t="shared" si="331"/>
        <v/>
      </c>
      <c r="AM1501" s="12" t="str">
        <f t="shared" si="327"/>
        <v/>
      </c>
      <c r="AN1501" s="12" t="str">
        <f t="shared" si="328"/>
        <v/>
      </c>
      <c r="AO1501" s="12" t="str">
        <f t="shared" si="329"/>
        <v/>
      </c>
      <c r="AP1501" s="12" t="str">
        <f t="shared" si="330"/>
        <v/>
      </c>
      <c r="AQ1501" s="12"/>
      <c r="AS1501" s="12">
        <f t="shared" si="332"/>
        <v>0</v>
      </c>
    </row>
    <row r="1502" spans="1:45" hidden="1" x14ac:dyDescent="0.25">
      <c r="A1502" s="41">
        <f>CASOPOInvCL!T1502</f>
        <v>0</v>
      </c>
      <c r="B1502">
        <f>CASOPOInvCL!Z1502</f>
        <v>0</v>
      </c>
      <c r="G1502" s="5">
        <f>CASOPOInvCL!I1502</f>
        <v>0</v>
      </c>
      <c r="H1502" s="31">
        <f>CASOPOInvCL!U1502</f>
        <v>0</v>
      </c>
      <c r="I1502" s="31">
        <f>CASOPOInvCL!V1502</f>
        <v>0</v>
      </c>
      <c r="J1502" s="5">
        <f>CASOPOInvCL!AB1502</f>
        <v>0</v>
      </c>
      <c r="K1502" s="31">
        <f>CASOPOInvCL!W1502</f>
        <v>0</v>
      </c>
      <c r="L1502" s="31">
        <f>CASOPOInvCL!X1502</f>
        <v>0</v>
      </c>
      <c r="M1502" s="31"/>
      <c r="N1502" s="5">
        <f>CASOPOInvCL!AF1502</f>
        <v>0</v>
      </c>
      <c r="O1502" s="16">
        <f>CASOPOInvCL!AG1502</f>
        <v>0</v>
      </c>
      <c r="P1502" s="16">
        <f>CASOPOInvCL!AH1502</f>
        <v>0</v>
      </c>
      <c r="Q1502" s="16">
        <f>CASOPOInvCL!AI1502</f>
        <v>0</v>
      </c>
      <c r="R1502" s="32">
        <f>CASOPOInvCL!AU1502</f>
        <v>0</v>
      </c>
      <c r="S1502" s="16">
        <f>CASOPOInvCL!AV1502</f>
        <v>0</v>
      </c>
      <c r="T1502" s="16">
        <f>CASOPOInvCL!AW1502</f>
        <v>0</v>
      </c>
      <c r="Y1502" s="29" t="str">
        <f>IFERROR(HLOOKUP(U1509,List!$D$2:$H$6,2,FALSE),"")</f>
        <v/>
      </c>
      <c r="Z1502" s="29" t="str">
        <f>IFERROR(HLOOKUP(V1509,List!$D$2:$H$6,3,FALSE),"")</f>
        <v/>
      </c>
      <c r="AA1502" s="29" t="str">
        <f>IFERROR(HLOOKUP(W1509,List!$D$2:$H$6,4,FALSE),"")</f>
        <v/>
      </c>
      <c r="AB1502" s="29" t="str">
        <f>IFERROR(HLOOKUP(X1509,List!$D$2:$H$6,5,FALSE),"")</f>
        <v/>
      </c>
      <c r="AC1502" s="12" t="str">
        <f t="shared" si="331"/>
        <v/>
      </c>
      <c r="AD1502" s="12" t="str">
        <f t="shared" si="331"/>
        <v/>
      </c>
      <c r="AE1502" s="12" t="str">
        <f t="shared" si="331"/>
        <v/>
      </c>
      <c r="AF1502" s="12" t="str">
        <f t="shared" si="331"/>
        <v/>
      </c>
      <c r="AM1502" s="12" t="str">
        <f t="shared" si="327"/>
        <v/>
      </c>
      <c r="AN1502" s="12" t="str">
        <f t="shared" si="328"/>
        <v/>
      </c>
      <c r="AO1502" s="12" t="str">
        <f t="shared" si="329"/>
        <v/>
      </c>
      <c r="AP1502" s="12" t="str">
        <f t="shared" si="330"/>
        <v/>
      </c>
      <c r="AQ1502" s="12"/>
      <c r="AS1502" s="12">
        <f t="shared" si="332"/>
        <v>0</v>
      </c>
    </row>
    <row r="1503" spans="1:45" hidden="1" x14ac:dyDescent="0.25">
      <c r="A1503" s="41">
        <f>CASOPOInvCL!T1503</f>
        <v>0</v>
      </c>
      <c r="B1503">
        <f>CASOPOInvCL!Z1503</f>
        <v>0</v>
      </c>
      <c r="G1503" s="5">
        <f>CASOPOInvCL!I1503</f>
        <v>0</v>
      </c>
      <c r="H1503" s="31">
        <f>CASOPOInvCL!U1503</f>
        <v>0</v>
      </c>
      <c r="I1503" s="31">
        <f>CASOPOInvCL!V1503</f>
        <v>0</v>
      </c>
      <c r="J1503" s="5">
        <f>CASOPOInvCL!AB1503</f>
        <v>0</v>
      </c>
      <c r="K1503" s="31">
        <f>CASOPOInvCL!W1503</f>
        <v>0</v>
      </c>
      <c r="L1503" s="31">
        <f>CASOPOInvCL!X1503</f>
        <v>0</v>
      </c>
      <c r="M1503" s="31"/>
      <c r="N1503" s="5">
        <f>CASOPOInvCL!AF1503</f>
        <v>0</v>
      </c>
      <c r="O1503" s="16">
        <f>CASOPOInvCL!AG1503</f>
        <v>0</v>
      </c>
      <c r="P1503" s="16">
        <f>CASOPOInvCL!AH1503</f>
        <v>0</v>
      </c>
      <c r="Q1503" s="16">
        <f>CASOPOInvCL!AI1503</f>
        <v>0</v>
      </c>
      <c r="R1503" s="32">
        <f>CASOPOInvCL!AU1503</f>
        <v>0</v>
      </c>
      <c r="S1503" s="16">
        <f>CASOPOInvCL!AV1503</f>
        <v>0</v>
      </c>
      <c r="T1503" s="16">
        <f>CASOPOInvCL!AW1503</f>
        <v>0</v>
      </c>
      <c r="Y1503" s="29" t="str">
        <f>IFERROR(HLOOKUP(U1510,List!$D$2:$H$6,2,FALSE),"")</f>
        <v/>
      </c>
      <c r="Z1503" s="29" t="str">
        <f>IFERROR(HLOOKUP(V1510,List!$D$2:$H$6,3,FALSE),"")</f>
        <v/>
      </c>
      <c r="AA1503" s="29" t="str">
        <f>IFERROR(HLOOKUP(W1510,List!$D$2:$H$6,4,FALSE),"")</f>
        <v/>
      </c>
      <c r="AB1503" s="29" t="str">
        <f>IFERROR(HLOOKUP(X1510,List!$D$2:$H$6,5,FALSE),"")</f>
        <v/>
      </c>
      <c r="AC1503" s="12" t="str">
        <f t="shared" si="331"/>
        <v/>
      </c>
      <c r="AD1503" s="12" t="str">
        <f t="shared" si="331"/>
        <v/>
      </c>
      <c r="AE1503" s="12" t="str">
        <f t="shared" si="331"/>
        <v/>
      </c>
      <c r="AF1503" s="12" t="str">
        <f t="shared" si="331"/>
        <v/>
      </c>
      <c r="AM1503" s="12" t="str">
        <f t="shared" si="327"/>
        <v/>
      </c>
      <c r="AN1503" s="12" t="str">
        <f t="shared" si="328"/>
        <v/>
      </c>
      <c r="AO1503" s="12" t="str">
        <f t="shared" si="329"/>
        <v/>
      </c>
      <c r="AP1503" s="12" t="str">
        <f t="shared" si="330"/>
        <v/>
      </c>
      <c r="AQ1503" s="12"/>
      <c r="AS1503" s="12">
        <f t="shared" si="332"/>
        <v>0</v>
      </c>
    </row>
    <row r="1504" spans="1:45" hidden="1" x14ac:dyDescent="0.25">
      <c r="A1504" s="41">
        <f>CASOPOInvCL!T1504</f>
        <v>0</v>
      </c>
      <c r="B1504">
        <f>CASOPOInvCL!Z1504</f>
        <v>0</v>
      </c>
      <c r="G1504" s="5">
        <f>CASOPOInvCL!I1504</f>
        <v>0</v>
      </c>
      <c r="H1504" s="31">
        <f>CASOPOInvCL!U1504</f>
        <v>0</v>
      </c>
      <c r="I1504" s="31">
        <f>CASOPOInvCL!V1504</f>
        <v>0</v>
      </c>
      <c r="J1504" s="5">
        <f>CASOPOInvCL!AB1504</f>
        <v>0</v>
      </c>
      <c r="K1504" s="31">
        <f>CASOPOInvCL!W1504</f>
        <v>0</v>
      </c>
      <c r="L1504" s="31">
        <f>CASOPOInvCL!X1504</f>
        <v>0</v>
      </c>
      <c r="M1504" s="31"/>
      <c r="N1504" s="5">
        <f>CASOPOInvCL!AF1504</f>
        <v>0</v>
      </c>
      <c r="O1504" s="16">
        <f>CASOPOInvCL!AG1504</f>
        <v>0</v>
      </c>
      <c r="P1504" s="16">
        <f>CASOPOInvCL!AH1504</f>
        <v>0</v>
      </c>
      <c r="Q1504" s="16">
        <f>CASOPOInvCL!AI1504</f>
        <v>0</v>
      </c>
      <c r="R1504" s="32">
        <f>CASOPOInvCL!AU1504</f>
        <v>0</v>
      </c>
      <c r="S1504" s="16">
        <f>CASOPOInvCL!AV1504</f>
        <v>0</v>
      </c>
      <c r="T1504" s="16">
        <f>CASOPOInvCL!AW1504</f>
        <v>0</v>
      </c>
      <c r="Y1504" s="29" t="str">
        <f>IFERROR(HLOOKUP(U1511,List!$D$2:$H$6,2,FALSE),"")</f>
        <v/>
      </c>
      <c r="Z1504" s="29" t="str">
        <f>IFERROR(HLOOKUP(V1511,List!$D$2:$H$6,3,FALSE),"")</f>
        <v/>
      </c>
      <c r="AA1504" s="29" t="str">
        <f>IFERROR(HLOOKUP(W1511,List!$D$2:$H$6,4,FALSE),"")</f>
        <v/>
      </c>
      <c r="AB1504" s="29" t="str">
        <f>IFERROR(HLOOKUP(X1511,List!$D$2:$H$6,5,FALSE),"")</f>
        <v/>
      </c>
      <c r="AC1504" s="12" t="str">
        <f t="shared" si="331"/>
        <v/>
      </c>
      <c r="AD1504" s="12" t="str">
        <f t="shared" si="331"/>
        <v/>
      </c>
      <c r="AE1504" s="12" t="str">
        <f t="shared" si="331"/>
        <v/>
      </c>
      <c r="AF1504" s="12" t="str">
        <f t="shared" si="331"/>
        <v/>
      </c>
      <c r="AM1504" s="12" t="str">
        <f t="shared" si="327"/>
        <v/>
      </c>
      <c r="AN1504" s="12" t="str">
        <f t="shared" si="328"/>
        <v/>
      </c>
      <c r="AO1504" s="12" t="str">
        <f t="shared" si="329"/>
        <v/>
      </c>
      <c r="AP1504" s="12" t="str">
        <f t="shared" si="330"/>
        <v/>
      </c>
      <c r="AQ1504" s="12"/>
      <c r="AS1504" s="12">
        <f t="shared" si="332"/>
        <v>0</v>
      </c>
    </row>
    <row r="1505" spans="1:45" hidden="1" x14ac:dyDescent="0.25">
      <c r="A1505" s="41">
        <f>CASOPOInvCL!T1505</f>
        <v>0</v>
      </c>
      <c r="B1505">
        <f>CASOPOInvCL!Z1505</f>
        <v>0</v>
      </c>
      <c r="G1505" s="5">
        <f>CASOPOInvCL!I1505</f>
        <v>0</v>
      </c>
      <c r="H1505" s="31">
        <f>CASOPOInvCL!U1505</f>
        <v>0</v>
      </c>
      <c r="I1505" s="31">
        <f>CASOPOInvCL!V1505</f>
        <v>0</v>
      </c>
      <c r="J1505" s="5">
        <f>CASOPOInvCL!AB1505</f>
        <v>0</v>
      </c>
      <c r="K1505" s="31">
        <f>CASOPOInvCL!W1505</f>
        <v>0</v>
      </c>
      <c r="L1505" s="31">
        <f>CASOPOInvCL!X1505</f>
        <v>0</v>
      </c>
      <c r="M1505" s="31"/>
      <c r="N1505" s="5">
        <f>CASOPOInvCL!AF1505</f>
        <v>0</v>
      </c>
      <c r="O1505" s="16">
        <f>CASOPOInvCL!AG1505</f>
        <v>0</v>
      </c>
      <c r="P1505" s="16">
        <f>CASOPOInvCL!AH1505</f>
        <v>0</v>
      </c>
      <c r="Q1505" s="16">
        <f>CASOPOInvCL!AI1505</f>
        <v>0</v>
      </c>
      <c r="R1505" s="32">
        <f>CASOPOInvCL!AU1505</f>
        <v>0</v>
      </c>
      <c r="S1505" s="16">
        <f>CASOPOInvCL!AV1505</f>
        <v>0</v>
      </c>
      <c r="T1505" s="16">
        <f>CASOPOInvCL!AW1505</f>
        <v>0</v>
      </c>
      <c r="Y1505" s="29" t="str">
        <f>IFERROR(HLOOKUP(U1512,List!$D$2:$H$6,2,FALSE),"")</f>
        <v/>
      </c>
      <c r="Z1505" s="29" t="str">
        <f>IFERROR(HLOOKUP(V1512,List!$D$2:$H$6,3,FALSE),"")</f>
        <v/>
      </c>
      <c r="AA1505" s="29" t="str">
        <f>IFERROR(HLOOKUP(W1512,List!$D$2:$H$6,4,FALSE),"")</f>
        <v/>
      </c>
      <c r="AB1505" s="29" t="str">
        <f>IFERROR(HLOOKUP(X1512,List!$D$2:$H$6,5,FALSE),"")</f>
        <v/>
      </c>
      <c r="AC1505" s="12" t="str">
        <f t="shared" si="331"/>
        <v/>
      </c>
      <c r="AD1505" s="12" t="str">
        <f t="shared" si="331"/>
        <v/>
      </c>
      <c r="AE1505" s="12" t="str">
        <f t="shared" si="331"/>
        <v/>
      </c>
      <c r="AF1505" s="12" t="str">
        <f t="shared" si="331"/>
        <v/>
      </c>
      <c r="AM1505" s="12" t="str">
        <f t="shared" si="327"/>
        <v/>
      </c>
      <c r="AN1505" s="12" t="str">
        <f t="shared" si="328"/>
        <v/>
      </c>
      <c r="AO1505" s="12" t="str">
        <f t="shared" si="329"/>
        <v/>
      </c>
      <c r="AP1505" s="12" t="str">
        <f t="shared" si="330"/>
        <v/>
      </c>
      <c r="AQ1505" s="12"/>
      <c r="AS1505" s="12">
        <f t="shared" si="332"/>
        <v>0</v>
      </c>
    </row>
    <row r="1506" spans="1:45" hidden="1" x14ac:dyDescent="0.25">
      <c r="A1506" s="41">
        <f>CASOPOInvCL!T1506</f>
        <v>0</v>
      </c>
      <c r="B1506">
        <f>CASOPOInvCL!Z1506</f>
        <v>0</v>
      </c>
      <c r="G1506" s="5">
        <f>CASOPOInvCL!I1506</f>
        <v>0</v>
      </c>
      <c r="H1506" s="31">
        <f>CASOPOInvCL!U1506</f>
        <v>0</v>
      </c>
      <c r="I1506" s="31">
        <f>CASOPOInvCL!V1506</f>
        <v>0</v>
      </c>
      <c r="J1506" s="5">
        <f>CASOPOInvCL!AB1506</f>
        <v>0</v>
      </c>
      <c r="K1506" s="31">
        <f>CASOPOInvCL!W1506</f>
        <v>0</v>
      </c>
      <c r="L1506" s="31">
        <f>CASOPOInvCL!X1506</f>
        <v>0</v>
      </c>
      <c r="M1506" s="31"/>
      <c r="N1506" s="5">
        <f>CASOPOInvCL!AF1506</f>
        <v>0</v>
      </c>
      <c r="O1506" s="16">
        <f>CASOPOInvCL!AG1506</f>
        <v>0</v>
      </c>
      <c r="P1506" s="16">
        <f>CASOPOInvCL!AH1506</f>
        <v>0</v>
      </c>
      <c r="Q1506" s="16">
        <f>CASOPOInvCL!AI1506</f>
        <v>0</v>
      </c>
      <c r="R1506" s="32">
        <f>CASOPOInvCL!AU1506</f>
        <v>0</v>
      </c>
      <c r="S1506" s="16">
        <f>CASOPOInvCL!AV1506</f>
        <v>0</v>
      </c>
      <c r="T1506" s="16">
        <f>CASOPOInvCL!AW1506</f>
        <v>0</v>
      </c>
      <c r="Y1506" s="29" t="str">
        <f>IFERROR(HLOOKUP(U1513,List!$D$2:$H$6,2,FALSE),"")</f>
        <v/>
      </c>
      <c r="Z1506" s="29" t="str">
        <f>IFERROR(HLOOKUP(V1513,List!$D$2:$H$6,3,FALSE),"")</f>
        <v/>
      </c>
      <c r="AA1506" s="29" t="str">
        <f>IFERROR(HLOOKUP(W1513,List!$D$2:$H$6,4,FALSE),"")</f>
        <v/>
      </c>
      <c r="AB1506" s="29" t="str">
        <f>IFERROR(HLOOKUP(X1513,List!$D$2:$H$6,5,FALSE),"")</f>
        <v/>
      </c>
      <c r="AC1506" s="12" t="str">
        <f t="shared" si="331"/>
        <v/>
      </c>
      <c r="AD1506" s="12" t="str">
        <f t="shared" si="331"/>
        <v/>
      </c>
      <c r="AE1506" s="12" t="str">
        <f t="shared" si="331"/>
        <v/>
      </c>
      <c r="AF1506" s="12" t="str">
        <f t="shared" si="331"/>
        <v/>
      </c>
      <c r="AM1506" s="12" t="str">
        <f t="shared" si="327"/>
        <v/>
      </c>
      <c r="AN1506" s="12" t="str">
        <f t="shared" si="328"/>
        <v/>
      </c>
      <c r="AO1506" s="12" t="str">
        <f t="shared" si="329"/>
        <v/>
      </c>
      <c r="AP1506" s="12" t="str">
        <f t="shared" si="330"/>
        <v/>
      </c>
      <c r="AQ1506" s="12"/>
      <c r="AS1506" s="12">
        <f t="shared" si="332"/>
        <v>0</v>
      </c>
    </row>
    <row r="1507" spans="1:45" hidden="1" x14ac:dyDescent="0.25">
      <c r="A1507" s="41">
        <f>CASOPOInvCL!T1507</f>
        <v>0</v>
      </c>
      <c r="B1507">
        <f>CASOPOInvCL!Z1507</f>
        <v>0</v>
      </c>
      <c r="G1507" s="5">
        <f>CASOPOInvCL!I1507</f>
        <v>0</v>
      </c>
      <c r="H1507" s="31">
        <f>CASOPOInvCL!U1507</f>
        <v>0</v>
      </c>
      <c r="I1507" s="31">
        <f>CASOPOInvCL!V1507</f>
        <v>0</v>
      </c>
      <c r="J1507" s="5">
        <f>CASOPOInvCL!AB1507</f>
        <v>0</v>
      </c>
      <c r="K1507" s="31">
        <f>CASOPOInvCL!W1507</f>
        <v>0</v>
      </c>
      <c r="L1507" s="31">
        <f>CASOPOInvCL!X1507</f>
        <v>0</v>
      </c>
      <c r="M1507" s="31"/>
      <c r="N1507" s="5">
        <f>CASOPOInvCL!AF1507</f>
        <v>0</v>
      </c>
      <c r="O1507" s="16">
        <f>CASOPOInvCL!AG1507</f>
        <v>0</v>
      </c>
      <c r="P1507" s="16">
        <f>CASOPOInvCL!AH1507</f>
        <v>0</v>
      </c>
      <c r="Q1507" s="16">
        <f>CASOPOInvCL!AI1507</f>
        <v>0</v>
      </c>
      <c r="R1507" s="32">
        <f>CASOPOInvCL!AU1507</f>
        <v>0</v>
      </c>
      <c r="S1507" s="16">
        <f>CASOPOInvCL!AV1507</f>
        <v>0</v>
      </c>
      <c r="T1507" s="16">
        <f>CASOPOInvCL!AW1507</f>
        <v>0</v>
      </c>
      <c r="Y1507" s="29" t="str">
        <f>IFERROR(HLOOKUP(U1514,List!$D$2:$H$6,2,FALSE),"")</f>
        <v/>
      </c>
      <c r="Z1507" s="29" t="str">
        <f>IFERROR(HLOOKUP(V1514,List!$D$2:$H$6,3,FALSE),"")</f>
        <v/>
      </c>
      <c r="AA1507" s="29" t="str">
        <f>IFERROR(HLOOKUP(W1514,List!$D$2:$H$6,4,FALSE),"")</f>
        <v/>
      </c>
      <c r="AB1507" s="29" t="str">
        <f>IFERROR(HLOOKUP(X1514,List!$D$2:$H$6,5,FALSE),"")</f>
        <v/>
      </c>
      <c r="AC1507" s="12" t="str">
        <f t="shared" si="331"/>
        <v/>
      </c>
      <c r="AD1507" s="12" t="str">
        <f t="shared" si="331"/>
        <v/>
      </c>
      <c r="AE1507" s="12" t="str">
        <f t="shared" si="331"/>
        <v/>
      </c>
      <c r="AF1507" s="12" t="str">
        <f t="shared" si="331"/>
        <v/>
      </c>
      <c r="AM1507" s="12" t="str">
        <f t="shared" si="327"/>
        <v/>
      </c>
      <c r="AN1507" s="12" t="str">
        <f t="shared" si="328"/>
        <v/>
      </c>
      <c r="AO1507" s="12" t="str">
        <f t="shared" si="329"/>
        <v/>
      </c>
      <c r="AP1507" s="12" t="str">
        <f t="shared" si="330"/>
        <v/>
      </c>
      <c r="AQ1507" s="12"/>
      <c r="AS1507" s="12">
        <f t="shared" si="332"/>
        <v>0</v>
      </c>
    </row>
    <row r="1508" spans="1:45" hidden="1" x14ac:dyDescent="0.25">
      <c r="A1508" s="41">
        <f>CASOPOInvCL!T1508</f>
        <v>0</v>
      </c>
      <c r="B1508">
        <f>CASOPOInvCL!Z1508</f>
        <v>0</v>
      </c>
      <c r="G1508" s="5">
        <f>CASOPOInvCL!I1508</f>
        <v>0</v>
      </c>
      <c r="H1508" s="31">
        <f>CASOPOInvCL!U1508</f>
        <v>0</v>
      </c>
      <c r="I1508" s="31">
        <f>CASOPOInvCL!V1508</f>
        <v>0</v>
      </c>
      <c r="J1508" s="5">
        <f>CASOPOInvCL!AB1508</f>
        <v>0</v>
      </c>
      <c r="K1508" s="31">
        <f>CASOPOInvCL!W1508</f>
        <v>0</v>
      </c>
      <c r="L1508" s="31">
        <f>CASOPOInvCL!X1508</f>
        <v>0</v>
      </c>
      <c r="M1508" s="31"/>
      <c r="N1508" s="5">
        <f>CASOPOInvCL!AF1508</f>
        <v>0</v>
      </c>
      <c r="O1508" s="16">
        <f>CASOPOInvCL!AG1508</f>
        <v>0</v>
      </c>
      <c r="P1508" s="16">
        <f>CASOPOInvCL!AH1508</f>
        <v>0</v>
      </c>
      <c r="Q1508" s="16">
        <f>CASOPOInvCL!AI1508</f>
        <v>0</v>
      </c>
      <c r="R1508" s="32">
        <f>CASOPOInvCL!AU1508</f>
        <v>0</v>
      </c>
      <c r="S1508" s="16">
        <f>CASOPOInvCL!AV1508</f>
        <v>0</v>
      </c>
      <c r="T1508" s="16">
        <f>CASOPOInvCL!AW1508</f>
        <v>0</v>
      </c>
      <c r="Y1508" s="29" t="str">
        <f>IFERROR(HLOOKUP(U1515,List!$D$2:$H$6,2,FALSE),"")</f>
        <v/>
      </c>
      <c r="Z1508" s="29" t="str">
        <f>IFERROR(HLOOKUP(V1515,List!$D$2:$H$6,3,FALSE),"")</f>
        <v/>
      </c>
      <c r="AA1508" s="29" t="str">
        <f>IFERROR(HLOOKUP(W1515,List!$D$2:$H$6,4,FALSE),"")</f>
        <v/>
      </c>
      <c r="AB1508" s="29" t="str">
        <f>IFERROR(HLOOKUP(X1515,List!$D$2:$H$6,5,FALSE),"")</f>
        <v/>
      </c>
      <c r="AC1508" s="12" t="str">
        <f t="shared" si="331"/>
        <v/>
      </c>
      <c r="AD1508" s="12" t="str">
        <f t="shared" si="331"/>
        <v/>
      </c>
      <c r="AE1508" s="12" t="str">
        <f t="shared" si="331"/>
        <v/>
      </c>
      <c r="AF1508" s="12" t="str">
        <f t="shared" si="331"/>
        <v/>
      </c>
      <c r="AM1508" s="12" t="str">
        <f t="shared" si="327"/>
        <v/>
      </c>
      <c r="AN1508" s="12" t="str">
        <f t="shared" si="328"/>
        <v/>
      </c>
      <c r="AO1508" s="12" t="str">
        <f t="shared" si="329"/>
        <v/>
      </c>
      <c r="AP1508" s="12" t="str">
        <f t="shared" si="330"/>
        <v/>
      </c>
      <c r="AQ1508" s="12"/>
      <c r="AS1508" s="12">
        <f t="shared" si="332"/>
        <v>0</v>
      </c>
    </row>
    <row r="1509" spans="1:45" hidden="1" x14ac:dyDescent="0.25">
      <c r="A1509" s="41">
        <f>CASOPOInvCL!T1509</f>
        <v>0</v>
      </c>
      <c r="B1509">
        <f>CASOPOInvCL!Z1509</f>
        <v>0</v>
      </c>
      <c r="G1509" s="5">
        <f>CASOPOInvCL!I1509</f>
        <v>0</v>
      </c>
      <c r="H1509" s="31">
        <f>CASOPOInvCL!U1509</f>
        <v>0</v>
      </c>
      <c r="I1509" s="31">
        <f>CASOPOInvCL!V1509</f>
        <v>0</v>
      </c>
      <c r="J1509" s="5">
        <f>CASOPOInvCL!AB1509</f>
        <v>0</v>
      </c>
      <c r="K1509" s="31">
        <f>CASOPOInvCL!W1509</f>
        <v>0</v>
      </c>
      <c r="L1509" s="31">
        <f>CASOPOInvCL!X1509</f>
        <v>0</v>
      </c>
      <c r="M1509" s="31"/>
      <c r="N1509" s="5">
        <f>CASOPOInvCL!AF1509</f>
        <v>0</v>
      </c>
      <c r="O1509" s="16">
        <f>CASOPOInvCL!AG1509</f>
        <v>0</v>
      </c>
      <c r="P1509" s="16">
        <f>CASOPOInvCL!AH1509</f>
        <v>0</v>
      </c>
      <c r="Q1509" s="16">
        <f>CASOPOInvCL!AI1509</f>
        <v>0</v>
      </c>
      <c r="R1509" s="32">
        <f>CASOPOInvCL!AU1509</f>
        <v>0</v>
      </c>
      <c r="S1509" s="16">
        <f>CASOPOInvCL!AV1509</f>
        <v>0</v>
      </c>
      <c r="T1509" s="16">
        <f>CASOPOInvCL!AW1509</f>
        <v>0</v>
      </c>
      <c r="Y1509" s="29" t="str">
        <f>IFERROR(HLOOKUP(U1516,List!$D$2:$H$6,2,FALSE),"")</f>
        <v/>
      </c>
      <c r="Z1509" s="29" t="str">
        <f>IFERROR(HLOOKUP(V1516,List!$D$2:$H$6,3,FALSE),"")</f>
        <v/>
      </c>
      <c r="AA1509" s="29" t="str">
        <f>IFERROR(HLOOKUP(W1516,List!$D$2:$H$6,4,FALSE),"")</f>
        <v/>
      </c>
      <c r="AB1509" s="29" t="str">
        <f>IFERROR(HLOOKUP(X1516,List!$D$2:$H$6,5,FALSE),"")</f>
        <v/>
      </c>
      <c r="AC1509" s="12" t="str">
        <f t="shared" si="331"/>
        <v/>
      </c>
      <c r="AD1509" s="12" t="str">
        <f t="shared" si="331"/>
        <v/>
      </c>
      <c r="AE1509" s="12" t="str">
        <f t="shared" si="331"/>
        <v/>
      </c>
      <c r="AF1509" s="12" t="str">
        <f t="shared" si="331"/>
        <v/>
      </c>
      <c r="AM1509" s="12" t="str">
        <f t="shared" si="327"/>
        <v/>
      </c>
      <c r="AN1509" s="12" t="str">
        <f t="shared" si="328"/>
        <v/>
      </c>
      <c r="AO1509" s="12" t="str">
        <f t="shared" si="329"/>
        <v/>
      </c>
      <c r="AP1509" s="12" t="str">
        <f t="shared" si="330"/>
        <v/>
      </c>
      <c r="AQ1509" s="12"/>
      <c r="AS1509" s="12">
        <f t="shared" si="332"/>
        <v>0</v>
      </c>
    </row>
    <row r="1510" spans="1:45" hidden="1" x14ac:dyDescent="0.25">
      <c r="A1510" s="41">
        <f>CASOPOInvCL!T1510</f>
        <v>0</v>
      </c>
      <c r="B1510">
        <f>CASOPOInvCL!Z1510</f>
        <v>0</v>
      </c>
      <c r="G1510" s="5">
        <f>CASOPOInvCL!I1510</f>
        <v>0</v>
      </c>
      <c r="H1510" s="31">
        <f>CASOPOInvCL!U1510</f>
        <v>0</v>
      </c>
      <c r="I1510" s="31">
        <f>CASOPOInvCL!V1510</f>
        <v>0</v>
      </c>
      <c r="J1510" s="5">
        <f>CASOPOInvCL!AB1510</f>
        <v>0</v>
      </c>
      <c r="K1510" s="31">
        <f>CASOPOInvCL!W1510</f>
        <v>0</v>
      </c>
      <c r="L1510" s="31">
        <f>CASOPOInvCL!X1510</f>
        <v>0</v>
      </c>
      <c r="M1510" s="31"/>
      <c r="N1510" s="5">
        <f>CASOPOInvCL!AF1510</f>
        <v>0</v>
      </c>
      <c r="O1510" s="16">
        <f>CASOPOInvCL!AG1510</f>
        <v>0</v>
      </c>
      <c r="P1510" s="16">
        <f>CASOPOInvCL!AH1510</f>
        <v>0</v>
      </c>
      <c r="Q1510" s="16">
        <f>CASOPOInvCL!AI1510</f>
        <v>0</v>
      </c>
      <c r="R1510" s="32">
        <f>CASOPOInvCL!AU1510</f>
        <v>0</v>
      </c>
      <c r="S1510" s="16">
        <f>CASOPOInvCL!AV1510</f>
        <v>0</v>
      </c>
      <c r="T1510" s="16">
        <f>CASOPOInvCL!AW1510</f>
        <v>0</v>
      </c>
      <c r="Y1510" s="29" t="str">
        <f>IFERROR(HLOOKUP(U1517,List!$D$2:$H$6,2,FALSE),"")</f>
        <v/>
      </c>
      <c r="Z1510" s="29" t="str">
        <f>IFERROR(HLOOKUP(V1517,List!$D$2:$H$6,3,FALSE),"")</f>
        <v/>
      </c>
      <c r="AA1510" s="29" t="str">
        <f>IFERROR(HLOOKUP(W1517,List!$D$2:$H$6,4,FALSE),"")</f>
        <v/>
      </c>
      <c r="AB1510" s="29" t="str">
        <f>IFERROR(HLOOKUP(X1517,List!$D$2:$H$6,5,FALSE),"")</f>
        <v/>
      </c>
      <c r="AC1510" s="12" t="str">
        <f t="shared" si="331"/>
        <v/>
      </c>
      <c r="AD1510" s="12" t="str">
        <f t="shared" si="331"/>
        <v/>
      </c>
      <c r="AE1510" s="12" t="str">
        <f t="shared" si="331"/>
        <v/>
      </c>
      <c r="AF1510" s="12" t="str">
        <f t="shared" si="331"/>
        <v/>
      </c>
      <c r="AM1510" s="12" t="str">
        <f t="shared" si="327"/>
        <v/>
      </c>
      <c r="AN1510" s="12" t="str">
        <f t="shared" si="328"/>
        <v/>
      </c>
      <c r="AO1510" s="12" t="str">
        <f t="shared" si="329"/>
        <v/>
      </c>
      <c r="AP1510" s="12" t="str">
        <f t="shared" si="330"/>
        <v/>
      </c>
      <c r="AQ1510" s="12"/>
      <c r="AS1510" s="12">
        <f t="shared" si="332"/>
        <v>0</v>
      </c>
    </row>
    <row r="1511" spans="1:45" hidden="1" x14ac:dyDescent="0.25">
      <c r="A1511" s="41">
        <f>CASOPOInvCL!T1511</f>
        <v>0</v>
      </c>
      <c r="B1511">
        <f>CASOPOInvCL!Z1511</f>
        <v>0</v>
      </c>
      <c r="G1511" s="5">
        <f>CASOPOInvCL!I1511</f>
        <v>0</v>
      </c>
      <c r="H1511" s="31">
        <f>CASOPOInvCL!U1511</f>
        <v>0</v>
      </c>
      <c r="I1511" s="31">
        <f>CASOPOInvCL!V1511</f>
        <v>0</v>
      </c>
      <c r="J1511" s="5">
        <f>CASOPOInvCL!AB1511</f>
        <v>0</v>
      </c>
      <c r="K1511" s="31">
        <f>CASOPOInvCL!W1511</f>
        <v>0</v>
      </c>
      <c r="L1511" s="31">
        <f>CASOPOInvCL!X1511</f>
        <v>0</v>
      </c>
      <c r="M1511" s="31"/>
      <c r="N1511" s="5">
        <f>CASOPOInvCL!AF1511</f>
        <v>0</v>
      </c>
      <c r="O1511" s="16">
        <f>CASOPOInvCL!AG1511</f>
        <v>0</v>
      </c>
      <c r="P1511" s="16">
        <f>CASOPOInvCL!AH1511</f>
        <v>0</v>
      </c>
      <c r="Q1511" s="16">
        <f>CASOPOInvCL!AI1511</f>
        <v>0</v>
      </c>
      <c r="R1511" s="32">
        <f>CASOPOInvCL!AU1511</f>
        <v>0</v>
      </c>
      <c r="S1511" s="16">
        <f>CASOPOInvCL!AV1511</f>
        <v>0</v>
      </c>
      <c r="T1511" s="16">
        <f>CASOPOInvCL!AW1511</f>
        <v>0</v>
      </c>
      <c r="Y1511" s="29" t="str">
        <f>IFERROR(HLOOKUP(U1518,List!$D$2:$H$6,2,FALSE),"")</f>
        <v/>
      </c>
      <c r="Z1511" s="29" t="str">
        <f>IFERROR(HLOOKUP(V1518,List!$D$2:$H$6,3,FALSE),"")</f>
        <v/>
      </c>
      <c r="AA1511" s="29" t="str">
        <f>IFERROR(HLOOKUP(W1518,List!$D$2:$H$6,4,FALSE),"")</f>
        <v/>
      </c>
      <c r="AB1511" s="29" t="str">
        <f>IFERROR(HLOOKUP(X1518,List!$D$2:$H$6,5,FALSE),"")</f>
        <v/>
      </c>
      <c r="AC1511" s="12" t="str">
        <f t="shared" si="331"/>
        <v/>
      </c>
      <c r="AD1511" s="12" t="str">
        <f t="shared" si="331"/>
        <v/>
      </c>
      <c r="AE1511" s="12" t="str">
        <f t="shared" si="331"/>
        <v/>
      </c>
      <c r="AF1511" s="12" t="str">
        <f t="shared" si="331"/>
        <v/>
      </c>
      <c r="AM1511" s="12" t="str">
        <f t="shared" si="327"/>
        <v/>
      </c>
      <c r="AN1511" s="12" t="str">
        <f t="shared" si="328"/>
        <v/>
      </c>
      <c r="AO1511" s="12" t="str">
        <f t="shared" si="329"/>
        <v/>
      </c>
      <c r="AP1511" s="12" t="str">
        <f t="shared" si="330"/>
        <v/>
      </c>
      <c r="AQ1511" s="12"/>
      <c r="AS1511" s="12">
        <f t="shared" si="332"/>
        <v>0</v>
      </c>
    </row>
    <row r="1512" spans="1:45" hidden="1" x14ac:dyDescent="0.25">
      <c r="A1512" s="41">
        <f>CASOPOInvCL!T1512</f>
        <v>0</v>
      </c>
      <c r="B1512">
        <f>CASOPOInvCL!Z1512</f>
        <v>0</v>
      </c>
      <c r="G1512" s="5">
        <f>CASOPOInvCL!I1512</f>
        <v>0</v>
      </c>
      <c r="H1512" s="31">
        <f>CASOPOInvCL!U1512</f>
        <v>0</v>
      </c>
      <c r="I1512" s="31">
        <f>CASOPOInvCL!V1512</f>
        <v>0</v>
      </c>
      <c r="J1512" s="5">
        <f>CASOPOInvCL!AB1512</f>
        <v>0</v>
      </c>
      <c r="K1512" s="31">
        <f>CASOPOInvCL!W1512</f>
        <v>0</v>
      </c>
      <c r="L1512" s="31">
        <f>CASOPOInvCL!X1512</f>
        <v>0</v>
      </c>
      <c r="M1512" s="31"/>
      <c r="N1512" s="5">
        <f>CASOPOInvCL!AF1512</f>
        <v>0</v>
      </c>
      <c r="O1512" s="16">
        <f>CASOPOInvCL!AG1512</f>
        <v>0</v>
      </c>
      <c r="P1512" s="16">
        <f>CASOPOInvCL!AH1512</f>
        <v>0</v>
      </c>
      <c r="Q1512" s="16">
        <f>CASOPOInvCL!AI1512</f>
        <v>0</v>
      </c>
      <c r="R1512" s="32">
        <f>CASOPOInvCL!AU1512</f>
        <v>0</v>
      </c>
      <c r="S1512" s="16">
        <f>CASOPOInvCL!AV1512</f>
        <v>0</v>
      </c>
      <c r="T1512" s="16">
        <f>CASOPOInvCL!AW1512</f>
        <v>0</v>
      </c>
      <c r="Y1512" s="29" t="str">
        <f>IFERROR(HLOOKUP(U1519,List!$D$2:$H$6,2,FALSE),"")</f>
        <v/>
      </c>
      <c r="Z1512" s="29" t="str">
        <f>IFERROR(HLOOKUP(V1519,List!$D$2:$H$6,3,FALSE),"")</f>
        <v/>
      </c>
      <c r="AA1512" s="29" t="str">
        <f>IFERROR(HLOOKUP(W1519,List!$D$2:$H$6,4,FALSE),"")</f>
        <v/>
      </c>
      <c r="AB1512" s="29" t="str">
        <f>IFERROR(HLOOKUP(X1519,List!$D$2:$H$6,5,FALSE),"")</f>
        <v/>
      </c>
      <c r="AC1512" s="12" t="str">
        <f t="shared" si="331"/>
        <v/>
      </c>
      <c r="AD1512" s="12" t="str">
        <f t="shared" si="331"/>
        <v/>
      </c>
      <c r="AE1512" s="12" t="str">
        <f t="shared" si="331"/>
        <v/>
      </c>
      <c r="AF1512" s="12" t="str">
        <f t="shared" si="331"/>
        <v/>
      </c>
      <c r="AM1512" s="12" t="str">
        <f t="shared" si="327"/>
        <v/>
      </c>
      <c r="AN1512" s="12" t="str">
        <f t="shared" si="328"/>
        <v/>
      </c>
      <c r="AO1512" s="12" t="str">
        <f t="shared" si="329"/>
        <v/>
      </c>
      <c r="AP1512" s="12" t="str">
        <f t="shared" si="330"/>
        <v/>
      </c>
      <c r="AQ1512" s="12"/>
      <c r="AS1512" s="12">
        <f t="shared" si="332"/>
        <v>0</v>
      </c>
    </row>
    <row r="1513" spans="1:45" hidden="1" x14ac:dyDescent="0.25">
      <c r="A1513" s="41">
        <f>CASOPOInvCL!T1513</f>
        <v>0</v>
      </c>
      <c r="B1513">
        <f>CASOPOInvCL!Z1513</f>
        <v>0</v>
      </c>
      <c r="G1513" s="5">
        <f>CASOPOInvCL!I1513</f>
        <v>0</v>
      </c>
      <c r="H1513" s="31">
        <f>CASOPOInvCL!U1513</f>
        <v>0</v>
      </c>
      <c r="I1513" s="31">
        <f>CASOPOInvCL!V1513</f>
        <v>0</v>
      </c>
      <c r="J1513" s="5">
        <f>CASOPOInvCL!AB1513</f>
        <v>0</v>
      </c>
      <c r="K1513" s="31">
        <f>CASOPOInvCL!W1513</f>
        <v>0</v>
      </c>
      <c r="L1513" s="31">
        <f>CASOPOInvCL!X1513</f>
        <v>0</v>
      </c>
      <c r="M1513" s="31"/>
      <c r="N1513" s="5">
        <f>CASOPOInvCL!AF1513</f>
        <v>0</v>
      </c>
      <c r="O1513" s="16">
        <f>CASOPOInvCL!AG1513</f>
        <v>0</v>
      </c>
      <c r="P1513" s="16">
        <f>CASOPOInvCL!AH1513</f>
        <v>0</v>
      </c>
      <c r="Q1513" s="16">
        <f>CASOPOInvCL!AI1513</f>
        <v>0</v>
      </c>
      <c r="R1513" s="32">
        <f>CASOPOInvCL!AU1513</f>
        <v>0</v>
      </c>
      <c r="S1513" s="16">
        <f>CASOPOInvCL!AV1513</f>
        <v>0</v>
      </c>
      <c r="T1513" s="16">
        <f>CASOPOInvCL!AW1513</f>
        <v>0</v>
      </c>
      <c r="Y1513" s="29" t="str">
        <f>IFERROR(HLOOKUP(U1520,List!$D$2:$H$6,2,FALSE),"")</f>
        <v/>
      </c>
      <c r="Z1513" s="29" t="str">
        <f>IFERROR(HLOOKUP(V1520,List!$D$2:$H$6,3,FALSE),"")</f>
        <v/>
      </c>
      <c r="AA1513" s="29" t="str">
        <f>IFERROR(HLOOKUP(W1520,List!$D$2:$H$6,4,FALSE),"")</f>
        <v/>
      </c>
      <c r="AB1513" s="29" t="str">
        <f>IFERROR(HLOOKUP(X1520,List!$D$2:$H$6,5,FALSE),"")</f>
        <v/>
      </c>
      <c r="AC1513" s="12" t="str">
        <f t="shared" si="331"/>
        <v/>
      </c>
      <c r="AD1513" s="12" t="str">
        <f t="shared" si="331"/>
        <v/>
      </c>
      <c r="AE1513" s="12" t="str">
        <f t="shared" si="331"/>
        <v/>
      </c>
      <c r="AF1513" s="12" t="str">
        <f t="shared" si="331"/>
        <v/>
      </c>
      <c r="AM1513" s="12" t="str">
        <f t="shared" si="327"/>
        <v/>
      </c>
      <c r="AN1513" s="12" t="str">
        <f t="shared" si="328"/>
        <v/>
      </c>
      <c r="AO1513" s="12" t="str">
        <f t="shared" si="329"/>
        <v/>
      </c>
      <c r="AP1513" s="12" t="str">
        <f t="shared" si="330"/>
        <v/>
      </c>
      <c r="AQ1513" s="12"/>
      <c r="AS1513" s="12">
        <f t="shared" si="332"/>
        <v>0</v>
      </c>
    </row>
    <row r="1514" spans="1:45" hidden="1" x14ac:dyDescent="0.25">
      <c r="A1514" s="41">
        <f>CASOPOInvCL!T1514</f>
        <v>0</v>
      </c>
      <c r="B1514">
        <f>CASOPOInvCL!Z1514</f>
        <v>0</v>
      </c>
      <c r="G1514" s="5">
        <f>CASOPOInvCL!I1514</f>
        <v>0</v>
      </c>
      <c r="H1514" s="31">
        <f>CASOPOInvCL!U1514</f>
        <v>0</v>
      </c>
      <c r="I1514" s="31">
        <f>CASOPOInvCL!V1514</f>
        <v>0</v>
      </c>
      <c r="J1514" s="5">
        <f>CASOPOInvCL!AB1514</f>
        <v>0</v>
      </c>
      <c r="K1514" s="31">
        <f>CASOPOInvCL!W1514</f>
        <v>0</v>
      </c>
      <c r="L1514" s="31">
        <f>CASOPOInvCL!X1514</f>
        <v>0</v>
      </c>
      <c r="M1514" s="31"/>
      <c r="N1514" s="5">
        <f>CASOPOInvCL!AF1514</f>
        <v>0</v>
      </c>
      <c r="O1514" s="16">
        <f>CASOPOInvCL!AG1514</f>
        <v>0</v>
      </c>
      <c r="P1514" s="16">
        <f>CASOPOInvCL!AH1514</f>
        <v>0</v>
      </c>
      <c r="Q1514" s="16">
        <f>CASOPOInvCL!AI1514</f>
        <v>0</v>
      </c>
      <c r="R1514" s="32">
        <f>CASOPOInvCL!AU1514</f>
        <v>0</v>
      </c>
      <c r="S1514" s="16">
        <f>CASOPOInvCL!AV1514</f>
        <v>0</v>
      </c>
      <c r="T1514" s="16">
        <f>CASOPOInvCL!AW1514</f>
        <v>0</v>
      </c>
      <c r="Y1514" s="29" t="str">
        <f>IFERROR(HLOOKUP(U1521,List!$D$2:$H$6,2,FALSE),"")</f>
        <v/>
      </c>
      <c r="Z1514" s="29" t="str">
        <f>IFERROR(HLOOKUP(V1521,List!$D$2:$H$6,3,FALSE),"")</f>
        <v/>
      </c>
      <c r="AA1514" s="29" t="str">
        <f>IFERROR(HLOOKUP(W1521,List!$D$2:$H$6,4,FALSE),"")</f>
        <v/>
      </c>
      <c r="AB1514" s="29" t="str">
        <f>IFERROR(HLOOKUP(X1521,List!$D$2:$H$6,5,FALSE),"")</f>
        <v/>
      </c>
      <c r="AC1514" s="12" t="str">
        <f t="shared" si="331"/>
        <v/>
      </c>
      <c r="AD1514" s="12" t="str">
        <f t="shared" si="331"/>
        <v/>
      </c>
      <c r="AE1514" s="12" t="str">
        <f t="shared" si="331"/>
        <v/>
      </c>
      <c r="AF1514" s="12" t="str">
        <f t="shared" si="331"/>
        <v/>
      </c>
      <c r="AM1514" s="12" t="str">
        <f t="shared" si="327"/>
        <v/>
      </c>
      <c r="AN1514" s="12" t="str">
        <f t="shared" si="328"/>
        <v/>
      </c>
      <c r="AO1514" s="12" t="str">
        <f t="shared" si="329"/>
        <v/>
      </c>
      <c r="AP1514" s="12" t="str">
        <f t="shared" si="330"/>
        <v/>
      </c>
      <c r="AQ1514" s="12"/>
      <c r="AS1514" s="12">
        <f t="shared" si="332"/>
        <v>0</v>
      </c>
    </row>
    <row r="1515" spans="1:45" hidden="1" x14ac:dyDescent="0.25">
      <c r="A1515" s="41">
        <f>CASOPOInvCL!T1515</f>
        <v>0</v>
      </c>
      <c r="B1515">
        <f>CASOPOInvCL!Z1515</f>
        <v>0</v>
      </c>
      <c r="G1515" s="5">
        <f>CASOPOInvCL!I1515</f>
        <v>0</v>
      </c>
      <c r="H1515" s="31">
        <f>CASOPOInvCL!U1515</f>
        <v>0</v>
      </c>
      <c r="I1515" s="31">
        <f>CASOPOInvCL!V1515</f>
        <v>0</v>
      </c>
      <c r="J1515" s="5">
        <f>CASOPOInvCL!AB1515</f>
        <v>0</v>
      </c>
      <c r="K1515" s="31">
        <f>CASOPOInvCL!W1515</f>
        <v>0</v>
      </c>
      <c r="L1515" s="31">
        <f>CASOPOInvCL!X1515</f>
        <v>0</v>
      </c>
      <c r="M1515" s="31"/>
      <c r="N1515" s="5">
        <f>CASOPOInvCL!AF1515</f>
        <v>0</v>
      </c>
      <c r="O1515" s="16">
        <f>CASOPOInvCL!AG1515</f>
        <v>0</v>
      </c>
      <c r="P1515" s="16">
        <f>CASOPOInvCL!AH1515</f>
        <v>0</v>
      </c>
      <c r="Q1515" s="16">
        <f>CASOPOInvCL!AI1515</f>
        <v>0</v>
      </c>
      <c r="R1515" s="32">
        <f>CASOPOInvCL!AU1515</f>
        <v>0</v>
      </c>
      <c r="S1515" s="16">
        <f>CASOPOInvCL!AV1515</f>
        <v>0</v>
      </c>
      <c r="T1515" s="16">
        <f>CASOPOInvCL!AW1515</f>
        <v>0</v>
      </c>
      <c r="Y1515" s="29" t="str">
        <f>IFERROR(HLOOKUP(U1522,List!$D$2:$H$6,2,FALSE),"")</f>
        <v/>
      </c>
      <c r="Z1515" s="29" t="str">
        <f>IFERROR(HLOOKUP(V1522,List!$D$2:$H$6,3,FALSE),"")</f>
        <v/>
      </c>
      <c r="AA1515" s="29" t="str">
        <f>IFERROR(HLOOKUP(W1522,List!$D$2:$H$6,4,FALSE),"")</f>
        <v/>
      </c>
      <c r="AB1515" s="29" t="str">
        <f>IFERROR(HLOOKUP(X1522,List!$D$2:$H$6,5,FALSE),"")</f>
        <v/>
      </c>
      <c r="AC1515" s="12" t="str">
        <f t="shared" si="331"/>
        <v/>
      </c>
      <c r="AD1515" s="12" t="str">
        <f t="shared" si="331"/>
        <v/>
      </c>
      <c r="AE1515" s="12" t="str">
        <f t="shared" si="331"/>
        <v/>
      </c>
      <c r="AF1515" s="12" t="str">
        <f t="shared" si="331"/>
        <v/>
      </c>
      <c r="AM1515" s="12" t="str">
        <f t="shared" si="327"/>
        <v/>
      </c>
      <c r="AN1515" s="12" t="str">
        <f t="shared" si="328"/>
        <v/>
      </c>
      <c r="AO1515" s="12" t="str">
        <f t="shared" si="329"/>
        <v/>
      </c>
      <c r="AP1515" s="12" t="str">
        <f t="shared" si="330"/>
        <v/>
      </c>
      <c r="AQ1515" s="12"/>
      <c r="AS1515" s="12">
        <f t="shared" si="332"/>
        <v>0</v>
      </c>
    </row>
    <row r="1516" spans="1:45" hidden="1" x14ac:dyDescent="0.25">
      <c r="A1516" s="41">
        <f>CASOPOInvCL!T1516</f>
        <v>0</v>
      </c>
      <c r="B1516">
        <f>CASOPOInvCL!Z1516</f>
        <v>0</v>
      </c>
      <c r="G1516" s="5">
        <f>CASOPOInvCL!I1516</f>
        <v>0</v>
      </c>
      <c r="H1516" s="31">
        <f>CASOPOInvCL!U1516</f>
        <v>0</v>
      </c>
      <c r="I1516" s="31">
        <f>CASOPOInvCL!V1516</f>
        <v>0</v>
      </c>
      <c r="J1516" s="5">
        <f>CASOPOInvCL!AB1516</f>
        <v>0</v>
      </c>
      <c r="K1516" s="31">
        <f>CASOPOInvCL!W1516</f>
        <v>0</v>
      </c>
      <c r="L1516" s="31">
        <f>CASOPOInvCL!X1516</f>
        <v>0</v>
      </c>
      <c r="M1516" s="31"/>
      <c r="N1516" s="5">
        <f>CASOPOInvCL!AF1516</f>
        <v>0</v>
      </c>
      <c r="O1516" s="16">
        <f>CASOPOInvCL!AG1516</f>
        <v>0</v>
      </c>
      <c r="P1516" s="16">
        <f>CASOPOInvCL!AH1516</f>
        <v>0</v>
      </c>
      <c r="Q1516" s="16">
        <f>CASOPOInvCL!AI1516</f>
        <v>0</v>
      </c>
      <c r="R1516" s="32">
        <f>CASOPOInvCL!AU1516</f>
        <v>0</v>
      </c>
      <c r="S1516" s="16">
        <f>CASOPOInvCL!AV1516</f>
        <v>0</v>
      </c>
      <c r="T1516" s="16">
        <f>CASOPOInvCL!AW1516</f>
        <v>0</v>
      </c>
      <c r="Y1516" s="29" t="str">
        <f>IFERROR(HLOOKUP(U1523,List!$D$2:$H$6,2,FALSE),"")</f>
        <v/>
      </c>
      <c r="Z1516" s="29" t="str">
        <f>IFERROR(HLOOKUP(V1523,List!$D$2:$H$6,3,FALSE),"")</f>
        <v/>
      </c>
      <c r="AA1516" s="29" t="str">
        <f>IFERROR(HLOOKUP(W1523,List!$D$2:$H$6,4,FALSE),"")</f>
        <v/>
      </c>
      <c r="AB1516" s="29" t="str">
        <f>IFERROR(HLOOKUP(X1523,List!$D$2:$H$6,5,FALSE),"")</f>
        <v/>
      </c>
      <c r="AC1516" s="12" t="str">
        <f t="shared" si="331"/>
        <v/>
      </c>
      <c r="AD1516" s="12" t="str">
        <f t="shared" si="331"/>
        <v/>
      </c>
      <c r="AE1516" s="12" t="str">
        <f t="shared" si="331"/>
        <v/>
      </c>
      <c r="AF1516" s="12" t="str">
        <f t="shared" si="331"/>
        <v/>
      </c>
      <c r="AM1516" s="12" t="str">
        <f t="shared" si="327"/>
        <v/>
      </c>
      <c r="AN1516" s="12" t="str">
        <f t="shared" si="328"/>
        <v/>
      </c>
      <c r="AO1516" s="12" t="str">
        <f t="shared" si="329"/>
        <v/>
      </c>
      <c r="AP1516" s="12" t="str">
        <f t="shared" si="330"/>
        <v/>
      </c>
      <c r="AQ1516" s="12"/>
      <c r="AS1516" s="12">
        <f t="shared" si="332"/>
        <v>0</v>
      </c>
    </row>
    <row r="1517" spans="1:45" hidden="1" x14ac:dyDescent="0.25">
      <c r="A1517" s="41">
        <f>CASOPOInvCL!T1517</f>
        <v>0</v>
      </c>
      <c r="B1517">
        <f>CASOPOInvCL!Z1517</f>
        <v>0</v>
      </c>
      <c r="G1517" s="5">
        <f>CASOPOInvCL!I1517</f>
        <v>0</v>
      </c>
      <c r="H1517" s="31">
        <f>CASOPOInvCL!U1517</f>
        <v>0</v>
      </c>
      <c r="I1517" s="31">
        <f>CASOPOInvCL!V1517</f>
        <v>0</v>
      </c>
      <c r="J1517" s="5">
        <f>CASOPOInvCL!AB1517</f>
        <v>0</v>
      </c>
      <c r="K1517" s="31">
        <f>CASOPOInvCL!W1517</f>
        <v>0</v>
      </c>
      <c r="L1517" s="31">
        <f>CASOPOInvCL!X1517</f>
        <v>0</v>
      </c>
      <c r="M1517" s="31"/>
      <c r="N1517" s="5">
        <f>CASOPOInvCL!AF1517</f>
        <v>0</v>
      </c>
      <c r="O1517" s="16">
        <f>CASOPOInvCL!AG1517</f>
        <v>0</v>
      </c>
      <c r="P1517" s="16">
        <f>CASOPOInvCL!AH1517</f>
        <v>0</v>
      </c>
      <c r="Q1517" s="16">
        <f>CASOPOInvCL!AI1517</f>
        <v>0</v>
      </c>
      <c r="R1517" s="32">
        <f>CASOPOInvCL!AU1517</f>
        <v>0</v>
      </c>
      <c r="S1517" s="16">
        <f>CASOPOInvCL!AV1517</f>
        <v>0</v>
      </c>
      <c r="T1517" s="16">
        <f>CASOPOInvCL!AW1517</f>
        <v>0</v>
      </c>
      <c r="Y1517" s="29" t="str">
        <f>IFERROR(HLOOKUP(U1524,List!$D$2:$H$6,2,FALSE),"")</f>
        <v/>
      </c>
      <c r="Z1517" s="29" t="str">
        <f>IFERROR(HLOOKUP(V1524,List!$D$2:$H$6,3,FALSE),"")</f>
        <v/>
      </c>
      <c r="AA1517" s="29" t="str">
        <f>IFERROR(HLOOKUP(W1524,List!$D$2:$H$6,4,FALSE),"")</f>
        <v/>
      </c>
      <c r="AB1517" s="29" t="str">
        <f>IFERROR(HLOOKUP(X1524,List!$D$2:$H$6,5,FALSE),"")</f>
        <v/>
      </c>
      <c r="AC1517" s="12" t="str">
        <f t="shared" si="331"/>
        <v/>
      </c>
      <c r="AD1517" s="12" t="str">
        <f t="shared" si="331"/>
        <v/>
      </c>
      <c r="AE1517" s="12" t="str">
        <f t="shared" si="331"/>
        <v/>
      </c>
      <c r="AF1517" s="12" t="str">
        <f t="shared" si="331"/>
        <v/>
      </c>
      <c r="AM1517" s="12" t="str">
        <f t="shared" si="327"/>
        <v/>
      </c>
      <c r="AN1517" s="12" t="str">
        <f t="shared" si="328"/>
        <v/>
      </c>
      <c r="AO1517" s="12" t="str">
        <f t="shared" si="329"/>
        <v/>
      </c>
      <c r="AP1517" s="12" t="str">
        <f t="shared" si="330"/>
        <v/>
      </c>
      <c r="AQ1517" s="12"/>
      <c r="AS1517" s="12">
        <f t="shared" si="332"/>
        <v>0</v>
      </c>
    </row>
    <row r="1518" spans="1:45" hidden="1" x14ac:dyDescent="0.25">
      <c r="A1518" s="41">
        <f>CASOPOInvCL!T1518</f>
        <v>0</v>
      </c>
      <c r="B1518">
        <f>CASOPOInvCL!Z1518</f>
        <v>0</v>
      </c>
      <c r="G1518" s="5">
        <f>CASOPOInvCL!I1518</f>
        <v>0</v>
      </c>
      <c r="H1518" s="31">
        <f>CASOPOInvCL!U1518</f>
        <v>0</v>
      </c>
      <c r="I1518" s="31">
        <f>CASOPOInvCL!V1518</f>
        <v>0</v>
      </c>
      <c r="J1518" s="5">
        <f>CASOPOInvCL!AB1518</f>
        <v>0</v>
      </c>
      <c r="K1518" s="31">
        <f>CASOPOInvCL!W1518</f>
        <v>0</v>
      </c>
      <c r="L1518" s="31">
        <f>CASOPOInvCL!X1518</f>
        <v>0</v>
      </c>
      <c r="M1518" s="31"/>
      <c r="N1518" s="5">
        <f>CASOPOInvCL!AF1518</f>
        <v>0</v>
      </c>
      <c r="O1518" s="16">
        <f>CASOPOInvCL!AG1518</f>
        <v>0</v>
      </c>
      <c r="P1518" s="16">
        <f>CASOPOInvCL!AH1518</f>
        <v>0</v>
      </c>
      <c r="Q1518" s="16">
        <f>CASOPOInvCL!AI1518</f>
        <v>0</v>
      </c>
      <c r="R1518" s="32">
        <f>CASOPOInvCL!AU1518</f>
        <v>0</v>
      </c>
      <c r="S1518" s="16">
        <f>CASOPOInvCL!AV1518</f>
        <v>0</v>
      </c>
      <c r="T1518" s="16">
        <f>CASOPOInvCL!AW1518</f>
        <v>0</v>
      </c>
      <c r="Y1518" s="29" t="str">
        <f>IFERROR(HLOOKUP(U1525,List!$D$2:$H$6,2,FALSE),"")</f>
        <v/>
      </c>
      <c r="Z1518" s="29" t="str">
        <f>IFERROR(HLOOKUP(V1525,List!$D$2:$H$6,3,FALSE),"")</f>
        <v/>
      </c>
      <c r="AA1518" s="29" t="str">
        <f>IFERROR(HLOOKUP(W1525,List!$D$2:$H$6,4,FALSE),"")</f>
        <v/>
      </c>
      <c r="AB1518" s="29" t="str">
        <f>IFERROR(HLOOKUP(X1525,List!$D$2:$H$6,5,FALSE),"")</f>
        <v/>
      </c>
      <c r="AC1518" s="12" t="str">
        <f t="shared" si="331"/>
        <v/>
      </c>
      <c r="AD1518" s="12" t="str">
        <f t="shared" si="331"/>
        <v/>
      </c>
      <c r="AE1518" s="12" t="str">
        <f t="shared" si="331"/>
        <v/>
      </c>
      <c r="AF1518" s="12" t="str">
        <f t="shared" si="331"/>
        <v/>
      </c>
      <c r="AM1518" s="12" t="str">
        <f t="shared" si="327"/>
        <v/>
      </c>
      <c r="AN1518" s="12" t="str">
        <f t="shared" si="328"/>
        <v/>
      </c>
      <c r="AO1518" s="12" t="str">
        <f t="shared" si="329"/>
        <v/>
      </c>
      <c r="AP1518" s="12" t="str">
        <f t="shared" si="330"/>
        <v/>
      </c>
      <c r="AQ1518" s="12"/>
      <c r="AS1518" s="12">
        <f t="shared" si="332"/>
        <v>0</v>
      </c>
    </row>
    <row r="1519" spans="1:45" hidden="1" x14ac:dyDescent="0.25">
      <c r="A1519" s="41">
        <f>CASOPOInvCL!T1519</f>
        <v>0</v>
      </c>
      <c r="B1519">
        <f>CASOPOInvCL!Z1519</f>
        <v>0</v>
      </c>
      <c r="G1519" s="5">
        <f>CASOPOInvCL!I1519</f>
        <v>0</v>
      </c>
      <c r="H1519" s="31">
        <f>CASOPOInvCL!U1519</f>
        <v>0</v>
      </c>
      <c r="I1519" s="31">
        <f>CASOPOInvCL!V1519</f>
        <v>0</v>
      </c>
      <c r="J1519" s="5">
        <f>CASOPOInvCL!AB1519</f>
        <v>0</v>
      </c>
      <c r="K1519" s="31">
        <f>CASOPOInvCL!W1519</f>
        <v>0</v>
      </c>
      <c r="L1519" s="31">
        <f>CASOPOInvCL!X1519</f>
        <v>0</v>
      </c>
      <c r="M1519" s="31"/>
      <c r="N1519" s="5">
        <f>CASOPOInvCL!AF1519</f>
        <v>0</v>
      </c>
      <c r="O1519" s="16">
        <f>CASOPOInvCL!AG1519</f>
        <v>0</v>
      </c>
      <c r="P1519" s="16">
        <f>CASOPOInvCL!AH1519</f>
        <v>0</v>
      </c>
      <c r="Q1519" s="16">
        <f>CASOPOInvCL!AI1519</f>
        <v>0</v>
      </c>
      <c r="R1519" s="32">
        <f>CASOPOInvCL!AU1519</f>
        <v>0</v>
      </c>
      <c r="S1519" s="16">
        <f>CASOPOInvCL!AV1519</f>
        <v>0</v>
      </c>
      <c r="T1519" s="16">
        <f>CASOPOInvCL!AW1519</f>
        <v>0</v>
      </c>
      <c r="Y1519" s="29" t="str">
        <f>IFERROR(HLOOKUP(U1526,List!$D$2:$H$6,2,FALSE),"")</f>
        <v/>
      </c>
      <c r="Z1519" s="29" t="str">
        <f>IFERROR(HLOOKUP(V1526,List!$D$2:$H$6,3,FALSE),"")</f>
        <v/>
      </c>
      <c r="AA1519" s="29" t="str">
        <f>IFERROR(HLOOKUP(W1526,List!$D$2:$H$6,4,FALSE),"")</f>
        <v/>
      </c>
      <c r="AB1519" s="29" t="str">
        <f>IFERROR(HLOOKUP(X1526,List!$D$2:$H$6,5,FALSE),"")</f>
        <v/>
      </c>
      <c r="AC1519" s="12" t="str">
        <f t="shared" si="331"/>
        <v/>
      </c>
      <c r="AD1519" s="12" t="str">
        <f t="shared" si="331"/>
        <v/>
      </c>
      <c r="AE1519" s="12" t="str">
        <f t="shared" si="331"/>
        <v/>
      </c>
      <c r="AF1519" s="12" t="str">
        <f t="shared" si="331"/>
        <v/>
      </c>
      <c r="AM1519" s="12" t="str">
        <f t="shared" si="327"/>
        <v/>
      </c>
      <c r="AN1519" s="12" t="str">
        <f t="shared" si="328"/>
        <v/>
      </c>
      <c r="AO1519" s="12" t="str">
        <f t="shared" si="329"/>
        <v/>
      </c>
      <c r="AP1519" s="12" t="str">
        <f t="shared" si="330"/>
        <v/>
      </c>
      <c r="AQ1519" s="12"/>
      <c r="AS1519" s="12">
        <f t="shared" si="332"/>
        <v>0</v>
      </c>
    </row>
    <row r="1520" spans="1:45" hidden="1" x14ac:dyDescent="0.25">
      <c r="A1520" s="41">
        <f>CASOPOInvCL!T1520</f>
        <v>0</v>
      </c>
      <c r="B1520">
        <f>CASOPOInvCL!Z1520</f>
        <v>0</v>
      </c>
      <c r="G1520" s="5">
        <f>CASOPOInvCL!I1520</f>
        <v>0</v>
      </c>
      <c r="H1520" s="31">
        <f>CASOPOInvCL!U1520</f>
        <v>0</v>
      </c>
      <c r="I1520" s="31">
        <f>CASOPOInvCL!V1520</f>
        <v>0</v>
      </c>
      <c r="J1520" s="5">
        <f>CASOPOInvCL!AB1520</f>
        <v>0</v>
      </c>
      <c r="K1520" s="31">
        <f>CASOPOInvCL!W1520</f>
        <v>0</v>
      </c>
      <c r="L1520" s="31">
        <f>CASOPOInvCL!X1520</f>
        <v>0</v>
      </c>
      <c r="M1520" s="31"/>
      <c r="N1520" s="5">
        <f>CASOPOInvCL!AF1520</f>
        <v>0</v>
      </c>
      <c r="O1520" s="16">
        <f>CASOPOInvCL!AG1520</f>
        <v>0</v>
      </c>
      <c r="P1520" s="16">
        <f>CASOPOInvCL!AH1520</f>
        <v>0</v>
      </c>
      <c r="Q1520" s="16">
        <f>CASOPOInvCL!AI1520</f>
        <v>0</v>
      </c>
      <c r="R1520" s="32">
        <f>CASOPOInvCL!AU1520</f>
        <v>0</v>
      </c>
      <c r="S1520" s="16">
        <f>CASOPOInvCL!AV1520</f>
        <v>0</v>
      </c>
      <c r="T1520" s="16">
        <f>CASOPOInvCL!AW1520</f>
        <v>0</v>
      </c>
      <c r="Y1520" s="29" t="str">
        <f>IFERROR(HLOOKUP(U1527,List!$D$2:$H$6,2,FALSE),"")</f>
        <v/>
      </c>
      <c r="Z1520" s="29" t="str">
        <f>IFERROR(HLOOKUP(V1527,List!$D$2:$H$6,3,FALSE),"")</f>
        <v/>
      </c>
      <c r="AA1520" s="29" t="str">
        <f>IFERROR(HLOOKUP(W1527,List!$D$2:$H$6,4,FALSE),"")</f>
        <v/>
      </c>
      <c r="AB1520" s="29" t="str">
        <f>IFERROR(HLOOKUP(X1527,List!$D$2:$H$6,5,FALSE),"")</f>
        <v/>
      </c>
      <c r="AC1520" s="12" t="str">
        <f t="shared" si="331"/>
        <v/>
      </c>
      <c r="AD1520" s="12" t="str">
        <f t="shared" si="331"/>
        <v/>
      </c>
      <c r="AE1520" s="12" t="str">
        <f t="shared" si="331"/>
        <v/>
      </c>
      <c r="AF1520" s="12" t="str">
        <f t="shared" si="331"/>
        <v/>
      </c>
      <c r="AM1520" s="12" t="str">
        <f t="shared" si="327"/>
        <v/>
      </c>
      <c r="AN1520" s="12" t="str">
        <f t="shared" si="328"/>
        <v/>
      </c>
      <c r="AO1520" s="12" t="str">
        <f t="shared" si="329"/>
        <v/>
      </c>
      <c r="AP1520" s="12" t="str">
        <f t="shared" si="330"/>
        <v/>
      </c>
      <c r="AQ1520" s="12"/>
      <c r="AS1520" s="12">
        <f t="shared" si="332"/>
        <v>0</v>
      </c>
    </row>
    <row r="1521" spans="1:45" hidden="1" x14ac:dyDescent="0.25">
      <c r="A1521" s="41">
        <f>CASOPOInvCL!T1521</f>
        <v>0</v>
      </c>
      <c r="B1521">
        <f>CASOPOInvCL!Z1521</f>
        <v>0</v>
      </c>
      <c r="G1521" s="5">
        <f>CASOPOInvCL!I1521</f>
        <v>0</v>
      </c>
      <c r="H1521" s="31">
        <f>CASOPOInvCL!U1521</f>
        <v>0</v>
      </c>
      <c r="I1521" s="31">
        <f>CASOPOInvCL!V1521</f>
        <v>0</v>
      </c>
      <c r="J1521" s="5">
        <f>CASOPOInvCL!AB1521</f>
        <v>0</v>
      </c>
      <c r="K1521" s="31">
        <f>CASOPOInvCL!W1521</f>
        <v>0</v>
      </c>
      <c r="L1521" s="31">
        <f>CASOPOInvCL!X1521</f>
        <v>0</v>
      </c>
      <c r="M1521" s="31"/>
      <c r="N1521" s="5">
        <f>CASOPOInvCL!AF1521</f>
        <v>0</v>
      </c>
      <c r="O1521" s="16">
        <f>CASOPOInvCL!AG1521</f>
        <v>0</v>
      </c>
      <c r="P1521" s="16">
        <f>CASOPOInvCL!AH1521</f>
        <v>0</v>
      </c>
      <c r="Q1521" s="16">
        <f>CASOPOInvCL!AI1521</f>
        <v>0</v>
      </c>
      <c r="R1521" s="32">
        <f>CASOPOInvCL!AU1521</f>
        <v>0</v>
      </c>
      <c r="S1521" s="16">
        <f>CASOPOInvCL!AV1521</f>
        <v>0</v>
      </c>
      <c r="T1521" s="16">
        <f>CASOPOInvCL!AW1521</f>
        <v>0</v>
      </c>
      <c r="Y1521" s="29" t="str">
        <f>IFERROR(HLOOKUP(U1528,List!$D$2:$H$6,2,FALSE),"")</f>
        <v/>
      </c>
      <c r="Z1521" s="29" t="str">
        <f>IFERROR(HLOOKUP(V1528,List!$D$2:$H$6,3,FALSE),"")</f>
        <v/>
      </c>
      <c r="AA1521" s="29" t="str">
        <f>IFERROR(HLOOKUP(W1528,List!$D$2:$H$6,4,FALSE),"")</f>
        <v/>
      </c>
      <c r="AB1521" s="29" t="str">
        <f>IFERROR(HLOOKUP(X1528,List!$D$2:$H$6,5,FALSE),"")</f>
        <v/>
      </c>
      <c r="AC1521" s="12" t="str">
        <f t="shared" si="331"/>
        <v/>
      </c>
      <c r="AD1521" s="12" t="str">
        <f t="shared" si="331"/>
        <v/>
      </c>
      <c r="AE1521" s="12" t="str">
        <f t="shared" si="331"/>
        <v/>
      </c>
      <c r="AF1521" s="12" t="str">
        <f t="shared" si="331"/>
        <v/>
      </c>
      <c r="AM1521" s="12" t="str">
        <f t="shared" si="327"/>
        <v/>
      </c>
      <c r="AN1521" s="12" t="str">
        <f t="shared" si="328"/>
        <v/>
      </c>
      <c r="AO1521" s="12" t="str">
        <f t="shared" si="329"/>
        <v/>
      </c>
      <c r="AP1521" s="12" t="str">
        <f t="shared" si="330"/>
        <v/>
      </c>
      <c r="AQ1521" s="12"/>
      <c r="AS1521" s="12">
        <f t="shared" si="332"/>
        <v>0</v>
      </c>
    </row>
    <row r="1522" spans="1:45" hidden="1" x14ac:dyDescent="0.25">
      <c r="A1522" s="41">
        <f>CASOPOInvCL!T1522</f>
        <v>0</v>
      </c>
      <c r="B1522">
        <f>CASOPOInvCL!Z1522</f>
        <v>0</v>
      </c>
      <c r="G1522" s="5">
        <f>CASOPOInvCL!I1522</f>
        <v>0</v>
      </c>
      <c r="H1522" s="31">
        <f>CASOPOInvCL!U1522</f>
        <v>0</v>
      </c>
      <c r="I1522" s="31">
        <f>CASOPOInvCL!V1522</f>
        <v>0</v>
      </c>
      <c r="J1522" s="5">
        <f>CASOPOInvCL!AB1522</f>
        <v>0</v>
      </c>
      <c r="K1522" s="31">
        <f>CASOPOInvCL!W1522</f>
        <v>0</v>
      </c>
      <c r="L1522" s="31">
        <f>CASOPOInvCL!X1522</f>
        <v>0</v>
      </c>
      <c r="M1522" s="31"/>
      <c r="N1522" s="5">
        <f>CASOPOInvCL!AF1522</f>
        <v>0</v>
      </c>
      <c r="O1522" s="16">
        <f>CASOPOInvCL!AG1522</f>
        <v>0</v>
      </c>
      <c r="P1522" s="16">
        <f>CASOPOInvCL!AH1522</f>
        <v>0</v>
      </c>
      <c r="Q1522" s="16">
        <f>CASOPOInvCL!AI1522</f>
        <v>0</v>
      </c>
      <c r="R1522" s="32">
        <f>CASOPOInvCL!AU1522</f>
        <v>0</v>
      </c>
      <c r="S1522" s="16">
        <f>CASOPOInvCL!AV1522</f>
        <v>0</v>
      </c>
      <c r="T1522" s="16">
        <f>CASOPOInvCL!AW1522</f>
        <v>0</v>
      </c>
      <c r="Y1522" s="29" t="str">
        <f>IFERROR(HLOOKUP(U1529,List!$D$2:$H$6,2,FALSE),"")</f>
        <v/>
      </c>
      <c r="Z1522" s="29" t="str">
        <f>IFERROR(HLOOKUP(V1529,List!$D$2:$H$6,3,FALSE),"")</f>
        <v/>
      </c>
      <c r="AA1522" s="29" t="str">
        <f>IFERROR(HLOOKUP(W1529,List!$D$2:$H$6,4,FALSE),"")</f>
        <v/>
      </c>
      <c r="AB1522" s="29" t="str">
        <f>IFERROR(HLOOKUP(X1529,List!$D$2:$H$6,5,FALSE),"")</f>
        <v/>
      </c>
      <c r="AC1522" s="12" t="str">
        <f t="shared" si="331"/>
        <v/>
      </c>
      <c r="AD1522" s="12" t="str">
        <f t="shared" si="331"/>
        <v/>
      </c>
      <c r="AE1522" s="12" t="str">
        <f t="shared" si="331"/>
        <v/>
      </c>
      <c r="AF1522" s="12" t="str">
        <f t="shared" si="331"/>
        <v/>
      </c>
      <c r="AM1522" s="12" t="str">
        <f t="shared" si="327"/>
        <v/>
      </c>
      <c r="AN1522" s="12" t="str">
        <f t="shared" si="328"/>
        <v/>
      </c>
      <c r="AO1522" s="12" t="str">
        <f t="shared" si="329"/>
        <v/>
      </c>
      <c r="AP1522" s="12" t="str">
        <f t="shared" si="330"/>
        <v/>
      </c>
      <c r="AQ1522" s="12"/>
      <c r="AS1522" s="12">
        <f t="shared" si="332"/>
        <v>0</v>
      </c>
    </row>
    <row r="1523" spans="1:45" hidden="1" x14ac:dyDescent="0.25">
      <c r="A1523" s="41">
        <f>CASOPOInvCL!T1523</f>
        <v>0</v>
      </c>
      <c r="B1523">
        <f>CASOPOInvCL!Z1523</f>
        <v>0</v>
      </c>
      <c r="G1523" s="5">
        <f>CASOPOInvCL!I1523</f>
        <v>0</v>
      </c>
      <c r="H1523" s="31">
        <f>CASOPOInvCL!U1523</f>
        <v>0</v>
      </c>
      <c r="I1523" s="31">
        <f>CASOPOInvCL!V1523</f>
        <v>0</v>
      </c>
      <c r="J1523" s="5">
        <f>CASOPOInvCL!AB1523</f>
        <v>0</v>
      </c>
      <c r="K1523" s="31">
        <f>CASOPOInvCL!W1523</f>
        <v>0</v>
      </c>
      <c r="L1523" s="31">
        <f>CASOPOInvCL!X1523</f>
        <v>0</v>
      </c>
      <c r="M1523" s="31"/>
      <c r="N1523" s="5">
        <f>CASOPOInvCL!AF1523</f>
        <v>0</v>
      </c>
      <c r="O1523" s="16">
        <f>CASOPOInvCL!AG1523</f>
        <v>0</v>
      </c>
      <c r="P1523" s="16">
        <f>CASOPOInvCL!AH1523</f>
        <v>0</v>
      </c>
      <c r="Q1523" s="16">
        <f>CASOPOInvCL!AI1523</f>
        <v>0</v>
      </c>
      <c r="R1523" s="32">
        <f>CASOPOInvCL!AU1523</f>
        <v>0</v>
      </c>
      <c r="S1523" s="16">
        <f>CASOPOInvCL!AV1523</f>
        <v>0</v>
      </c>
      <c r="T1523" s="16">
        <f>CASOPOInvCL!AW1523</f>
        <v>0</v>
      </c>
      <c r="Y1523" s="29" t="str">
        <f>IFERROR(HLOOKUP(U1530,List!$D$2:$H$6,2,FALSE),"")</f>
        <v/>
      </c>
      <c r="Z1523" s="29" t="str">
        <f>IFERROR(HLOOKUP(V1530,List!$D$2:$H$6,3,FALSE),"")</f>
        <v/>
      </c>
      <c r="AA1523" s="29" t="str">
        <f>IFERROR(HLOOKUP(W1530,List!$D$2:$H$6,4,FALSE),"")</f>
        <v/>
      </c>
      <c r="AB1523" s="29" t="str">
        <f>IFERROR(HLOOKUP(X1530,List!$D$2:$H$6,5,FALSE),"")</f>
        <v/>
      </c>
      <c r="AC1523" s="12" t="str">
        <f t="shared" si="331"/>
        <v/>
      </c>
      <c r="AD1523" s="12" t="str">
        <f t="shared" si="331"/>
        <v/>
      </c>
      <c r="AE1523" s="12" t="str">
        <f t="shared" si="331"/>
        <v/>
      </c>
      <c r="AF1523" s="12" t="str">
        <f t="shared" si="331"/>
        <v/>
      </c>
      <c r="AM1523" s="12" t="str">
        <f t="shared" si="327"/>
        <v/>
      </c>
      <c r="AN1523" s="12" t="str">
        <f t="shared" si="328"/>
        <v/>
      </c>
      <c r="AO1523" s="12" t="str">
        <f t="shared" si="329"/>
        <v/>
      </c>
      <c r="AP1523" s="12" t="str">
        <f t="shared" si="330"/>
        <v/>
      </c>
      <c r="AQ1523" s="12"/>
      <c r="AS1523" s="12">
        <f t="shared" si="332"/>
        <v>0</v>
      </c>
    </row>
    <row r="1524" spans="1:45" hidden="1" x14ac:dyDescent="0.25">
      <c r="A1524" s="41">
        <f>CASOPOInvCL!T1524</f>
        <v>0</v>
      </c>
      <c r="B1524">
        <f>CASOPOInvCL!Z1524</f>
        <v>0</v>
      </c>
      <c r="G1524" s="5">
        <f>CASOPOInvCL!I1524</f>
        <v>0</v>
      </c>
      <c r="H1524" s="31">
        <f>CASOPOInvCL!U1524</f>
        <v>0</v>
      </c>
      <c r="I1524" s="31">
        <f>CASOPOInvCL!V1524</f>
        <v>0</v>
      </c>
      <c r="J1524" s="5">
        <f>CASOPOInvCL!AB1524</f>
        <v>0</v>
      </c>
      <c r="K1524" s="31">
        <f>CASOPOInvCL!W1524</f>
        <v>0</v>
      </c>
      <c r="L1524" s="31">
        <f>CASOPOInvCL!X1524</f>
        <v>0</v>
      </c>
      <c r="M1524" s="31"/>
      <c r="N1524" s="5">
        <f>CASOPOInvCL!AF1524</f>
        <v>0</v>
      </c>
      <c r="O1524" s="16">
        <f>CASOPOInvCL!AG1524</f>
        <v>0</v>
      </c>
      <c r="P1524" s="16">
        <f>CASOPOInvCL!AH1524</f>
        <v>0</v>
      </c>
      <c r="Q1524" s="16">
        <f>CASOPOInvCL!AI1524</f>
        <v>0</v>
      </c>
      <c r="R1524" s="32">
        <f>CASOPOInvCL!AU1524</f>
        <v>0</v>
      </c>
      <c r="S1524" s="16">
        <f>CASOPOInvCL!AV1524</f>
        <v>0</v>
      </c>
      <c r="T1524" s="16">
        <f>CASOPOInvCL!AW1524</f>
        <v>0</v>
      </c>
      <c r="Y1524" s="29" t="str">
        <f>IFERROR(HLOOKUP(U1531,List!$D$2:$H$6,2,FALSE),"")</f>
        <v/>
      </c>
      <c r="Z1524" s="29" t="str">
        <f>IFERROR(HLOOKUP(V1531,List!$D$2:$H$6,3,FALSE),"")</f>
        <v/>
      </c>
      <c r="AA1524" s="29" t="str">
        <f>IFERROR(HLOOKUP(W1531,List!$D$2:$H$6,4,FALSE),"")</f>
        <v/>
      </c>
      <c r="AB1524" s="29" t="str">
        <f>IFERROR(HLOOKUP(X1531,List!$D$2:$H$6,5,FALSE),"")</f>
        <v/>
      </c>
      <c r="AC1524" s="12" t="str">
        <f t="shared" si="331"/>
        <v/>
      </c>
      <c r="AD1524" s="12" t="str">
        <f t="shared" si="331"/>
        <v/>
      </c>
      <c r="AE1524" s="12" t="str">
        <f t="shared" si="331"/>
        <v/>
      </c>
      <c r="AF1524" s="12" t="str">
        <f t="shared" si="331"/>
        <v/>
      </c>
      <c r="AM1524" s="12" t="str">
        <f t="shared" ref="AM1524:AM1587" si="333">IF(AI1531="",AC1524,0)</f>
        <v/>
      </c>
      <c r="AN1524" s="12" t="str">
        <f t="shared" ref="AN1524:AN1587" si="334">IF(AJ1531="",AD1524,0)</f>
        <v/>
      </c>
      <c r="AO1524" s="12" t="str">
        <f t="shared" ref="AO1524:AO1587" si="335">IF(AK1531="",AE1524,0)</f>
        <v/>
      </c>
      <c r="AP1524" s="12" t="str">
        <f t="shared" ref="AP1524:AP1587" si="336">IF(AL1531="",AF1524,0)</f>
        <v/>
      </c>
      <c r="AQ1524" s="12"/>
      <c r="AS1524" s="12">
        <f t="shared" si="332"/>
        <v>0</v>
      </c>
    </row>
    <row r="1525" spans="1:45" hidden="1" x14ac:dyDescent="0.25">
      <c r="A1525" s="41">
        <f>CASOPOInvCL!T1525</f>
        <v>0</v>
      </c>
      <c r="B1525">
        <f>CASOPOInvCL!Z1525</f>
        <v>0</v>
      </c>
      <c r="G1525" s="5">
        <f>CASOPOInvCL!I1525</f>
        <v>0</v>
      </c>
      <c r="H1525" s="31">
        <f>CASOPOInvCL!U1525</f>
        <v>0</v>
      </c>
      <c r="I1525" s="31">
        <f>CASOPOInvCL!V1525</f>
        <v>0</v>
      </c>
      <c r="J1525" s="5">
        <f>CASOPOInvCL!AB1525</f>
        <v>0</v>
      </c>
      <c r="K1525" s="31">
        <f>CASOPOInvCL!W1525</f>
        <v>0</v>
      </c>
      <c r="L1525" s="31">
        <f>CASOPOInvCL!X1525</f>
        <v>0</v>
      </c>
      <c r="M1525" s="31"/>
      <c r="N1525" s="5">
        <f>CASOPOInvCL!AF1525</f>
        <v>0</v>
      </c>
      <c r="O1525" s="16">
        <f>CASOPOInvCL!AG1525</f>
        <v>0</v>
      </c>
      <c r="P1525" s="16">
        <f>CASOPOInvCL!AH1525</f>
        <v>0</v>
      </c>
      <c r="Q1525" s="16">
        <f>CASOPOInvCL!AI1525</f>
        <v>0</v>
      </c>
      <c r="R1525" s="32">
        <f>CASOPOInvCL!AU1525</f>
        <v>0</v>
      </c>
      <c r="S1525" s="16">
        <f>CASOPOInvCL!AV1525</f>
        <v>0</v>
      </c>
      <c r="T1525" s="16">
        <f>CASOPOInvCL!AW1525</f>
        <v>0</v>
      </c>
      <c r="Y1525" s="29" t="str">
        <f>IFERROR(HLOOKUP(U1532,List!$D$2:$H$6,2,FALSE),"")</f>
        <v/>
      </c>
      <c r="Z1525" s="29" t="str">
        <f>IFERROR(HLOOKUP(V1532,List!$D$2:$H$6,3,FALSE),"")</f>
        <v/>
      </c>
      <c r="AA1525" s="29" t="str">
        <f>IFERROR(HLOOKUP(W1532,List!$D$2:$H$6,4,FALSE),"")</f>
        <v/>
      </c>
      <c r="AB1525" s="29" t="str">
        <f>IFERROR(HLOOKUP(X1532,List!$D$2:$H$6,5,FALSE),"")</f>
        <v/>
      </c>
      <c r="AC1525" s="12" t="str">
        <f t="shared" si="331"/>
        <v/>
      </c>
      <c r="AD1525" s="12" t="str">
        <f t="shared" si="331"/>
        <v/>
      </c>
      <c r="AE1525" s="12" t="str">
        <f t="shared" si="331"/>
        <v/>
      </c>
      <c r="AF1525" s="12" t="str">
        <f t="shared" si="331"/>
        <v/>
      </c>
      <c r="AM1525" s="12" t="str">
        <f t="shared" si="333"/>
        <v/>
      </c>
      <c r="AN1525" s="12" t="str">
        <f t="shared" si="334"/>
        <v/>
      </c>
      <c r="AO1525" s="12" t="str">
        <f t="shared" si="335"/>
        <v/>
      </c>
      <c r="AP1525" s="12" t="str">
        <f t="shared" si="336"/>
        <v/>
      </c>
      <c r="AQ1525" s="12"/>
      <c r="AS1525" s="12">
        <f t="shared" si="332"/>
        <v>0</v>
      </c>
    </row>
    <row r="1526" spans="1:45" hidden="1" x14ac:dyDescent="0.25">
      <c r="A1526" s="41">
        <f>CASOPOInvCL!T1526</f>
        <v>0</v>
      </c>
      <c r="B1526">
        <f>CASOPOInvCL!Z1526</f>
        <v>0</v>
      </c>
      <c r="G1526" s="5">
        <f>CASOPOInvCL!I1526</f>
        <v>0</v>
      </c>
      <c r="H1526" s="31">
        <f>CASOPOInvCL!U1526</f>
        <v>0</v>
      </c>
      <c r="I1526" s="31">
        <f>CASOPOInvCL!V1526</f>
        <v>0</v>
      </c>
      <c r="J1526" s="5">
        <f>CASOPOInvCL!AB1526</f>
        <v>0</v>
      </c>
      <c r="K1526" s="31">
        <f>CASOPOInvCL!W1526</f>
        <v>0</v>
      </c>
      <c r="L1526" s="31">
        <f>CASOPOInvCL!X1526</f>
        <v>0</v>
      </c>
      <c r="M1526" s="31"/>
      <c r="N1526" s="5">
        <f>CASOPOInvCL!AF1526</f>
        <v>0</v>
      </c>
      <c r="O1526" s="16">
        <f>CASOPOInvCL!AG1526</f>
        <v>0</v>
      </c>
      <c r="P1526" s="16">
        <f>CASOPOInvCL!AH1526</f>
        <v>0</v>
      </c>
      <c r="Q1526" s="16">
        <f>CASOPOInvCL!AI1526</f>
        <v>0</v>
      </c>
      <c r="R1526" s="32">
        <f>CASOPOInvCL!AU1526</f>
        <v>0</v>
      </c>
      <c r="S1526" s="16">
        <f>CASOPOInvCL!AV1526</f>
        <v>0</v>
      </c>
      <c r="T1526" s="16">
        <f>CASOPOInvCL!AW1526</f>
        <v>0</v>
      </c>
      <c r="Y1526" s="29" t="str">
        <f>IFERROR(HLOOKUP(U1533,List!$D$2:$H$6,2,FALSE),"")</f>
        <v/>
      </c>
      <c r="Z1526" s="29" t="str">
        <f>IFERROR(HLOOKUP(V1533,List!$D$2:$H$6,3,FALSE),"")</f>
        <v/>
      </c>
      <c r="AA1526" s="29" t="str">
        <f>IFERROR(HLOOKUP(W1533,List!$D$2:$H$6,4,FALSE),"")</f>
        <v/>
      </c>
      <c r="AB1526" s="29" t="str">
        <f>IFERROR(HLOOKUP(X1533,List!$D$2:$H$6,5,FALSE),"")</f>
        <v/>
      </c>
      <c r="AC1526" s="12" t="str">
        <f t="shared" si="331"/>
        <v/>
      </c>
      <c r="AD1526" s="12" t="str">
        <f t="shared" si="331"/>
        <v/>
      </c>
      <c r="AE1526" s="12" t="str">
        <f t="shared" si="331"/>
        <v/>
      </c>
      <c r="AF1526" s="12" t="str">
        <f t="shared" si="331"/>
        <v/>
      </c>
      <c r="AM1526" s="12" t="str">
        <f t="shared" si="333"/>
        <v/>
      </c>
      <c r="AN1526" s="12" t="str">
        <f t="shared" si="334"/>
        <v/>
      </c>
      <c r="AO1526" s="12" t="str">
        <f t="shared" si="335"/>
        <v/>
      </c>
      <c r="AP1526" s="12" t="str">
        <f t="shared" si="336"/>
        <v/>
      </c>
      <c r="AQ1526" s="12"/>
      <c r="AS1526" s="12">
        <f t="shared" si="332"/>
        <v>0</v>
      </c>
    </row>
    <row r="1527" spans="1:45" hidden="1" x14ac:dyDescent="0.25">
      <c r="A1527" s="41">
        <f>CASOPOInvCL!T1527</f>
        <v>0</v>
      </c>
      <c r="B1527">
        <f>CASOPOInvCL!Z1527</f>
        <v>0</v>
      </c>
      <c r="G1527" s="5">
        <f>CASOPOInvCL!I1527</f>
        <v>0</v>
      </c>
      <c r="H1527" s="31">
        <f>CASOPOInvCL!U1527</f>
        <v>0</v>
      </c>
      <c r="I1527" s="31">
        <f>CASOPOInvCL!V1527</f>
        <v>0</v>
      </c>
      <c r="J1527" s="5">
        <f>CASOPOInvCL!AB1527</f>
        <v>0</v>
      </c>
      <c r="K1527" s="31">
        <f>CASOPOInvCL!W1527</f>
        <v>0</v>
      </c>
      <c r="L1527" s="31">
        <f>CASOPOInvCL!X1527</f>
        <v>0</v>
      </c>
      <c r="M1527" s="31"/>
      <c r="N1527" s="5">
        <f>CASOPOInvCL!AF1527</f>
        <v>0</v>
      </c>
      <c r="O1527" s="16">
        <f>CASOPOInvCL!AG1527</f>
        <v>0</v>
      </c>
      <c r="P1527" s="16">
        <f>CASOPOInvCL!AH1527</f>
        <v>0</v>
      </c>
      <c r="Q1527" s="16">
        <f>CASOPOInvCL!AI1527</f>
        <v>0</v>
      </c>
      <c r="R1527" s="32">
        <f>CASOPOInvCL!AU1527</f>
        <v>0</v>
      </c>
      <c r="S1527" s="16">
        <f>CASOPOInvCL!AV1527</f>
        <v>0</v>
      </c>
      <c r="T1527" s="16">
        <f>CASOPOInvCL!AW1527</f>
        <v>0</v>
      </c>
      <c r="Y1527" s="29" t="str">
        <f>IFERROR(HLOOKUP(U1534,List!$D$2:$H$6,2,FALSE),"")</f>
        <v/>
      </c>
      <c r="Z1527" s="29" t="str">
        <f>IFERROR(HLOOKUP(V1534,List!$D$2:$H$6,3,FALSE),"")</f>
        <v/>
      </c>
      <c r="AA1527" s="29" t="str">
        <f>IFERROR(HLOOKUP(W1534,List!$D$2:$H$6,4,FALSE),"")</f>
        <v/>
      </c>
      <c r="AB1527" s="29" t="str">
        <f>IFERROR(HLOOKUP(X1534,List!$D$2:$H$6,5,FALSE),"")</f>
        <v/>
      </c>
      <c r="AC1527" s="12" t="str">
        <f t="shared" si="331"/>
        <v/>
      </c>
      <c r="AD1527" s="12" t="str">
        <f t="shared" si="331"/>
        <v/>
      </c>
      <c r="AE1527" s="12" t="str">
        <f t="shared" si="331"/>
        <v/>
      </c>
      <c r="AF1527" s="12" t="str">
        <f t="shared" si="331"/>
        <v/>
      </c>
      <c r="AM1527" s="12" t="str">
        <f t="shared" si="333"/>
        <v/>
      </c>
      <c r="AN1527" s="12" t="str">
        <f t="shared" si="334"/>
        <v/>
      </c>
      <c r="AO1527" s="12" t="str">
        <f t="shared" si="335"/>
        <v/>
      </c>
      <c r="AP1527" s="12" t="str">
        <f t="shared" si="336"/>
        <v/>
      </c>
      <c r="AQ1527" s="12"/>
      <c r="AS1527" s="12">
        <f t="shared" si="332"/>
        <v>0</v>
      </c>
    </row>
    <row r="1528" spans="1:45" hidden="1" x14ac:dyDescent="0.25">
      <c r="A1528" s="41">
        <f>CASOPOInvCL!T1528</f>
        <v>0</v>
      </c>
      <c r="B1528">
        <f>CASOPOInvCL!Z1528</f>
        <v>0</v>
      </c>
      <c r="G1528" s="5">
        <f>CASOPOInvCL!I1528</f>
        <v>0</v>
      </c>
      <c r="H1528" s="31">
        <f>CASOPOInvCL!U1528</f>
        <v>0</v>
      </c>
      <c r="I1528" s="31">
        <f>CASOPOInvCL!V1528</f>
        <v>0</v>
      </c>
      <c r="J1528" s="5">
        <f>CASOPOInvCL!AB1528</f>
        <v>0</v>
      </c>
      <c r="K1528" s="31">
        <f>CASOPOInvCL!W1528</f>
        <v>0</v>
      </c>
      <c r="L1528" s="31">
        <f>CASOPOInvCL!X1528</f>
        <v>0</v>
      </c>
      <c r="M1528" s="31"/>
      <c r="N1528" s="5">
        <f>CASOPOInvCL!AF1528</f>
        <v>0</v>
      </c>
      <c r="O1528" s="16">
        <f>CASOPOInvCL!AG1528</f>
        <v>0</v>
      </c>
      <c r="P1528" s="16">
        <f>CASOPOInvCL!AH1528</f>
        <v>0</v>
      </c>
      <c r="Q1528" s="16">
        <f>CASOPOInvCL!AI1528</f>
        <v>0</v>
      </c>
      <c r="R1528" s="32">
        <f>CASOPOInvCL!AU1528</f>
        <v>0</v>
      </c>
      <c r="S1528" s="16">
        <f>CASOPOInvCL!AV1528</f>
        <v>0</v>
      </c>
      <c r="T1528" s="16">
        <f>CASOPOInvCL!AW1528</f>
        <v>0</v>
      </c>
      <c r="Y1528" s="29" t="str">
        <f>IFERROR(HLOOKUP(U1535,List!$D$2:$H$6,2,FALSE),"")</f>
        <v/>
      </c>
      <c r="Z1528" s="29" t="str">
        <f>IFERROR(HLOOKUP(V1535,List!$D$2:$H$6,3,FALSE),"")</f>
        <v/>
      </c>
      <c r="AA1528" s="29" t="str">
        <f>IFERROR(HLOOKUP(W1535,List!$D$2:$H$6,4,FALSE),"")</f>
        <v/>
      </c>
      <c r="AB1528" s="29" t="str">
        <f>IFERROR(HLOOKUP(X1535,List!$D$2:$H$6,5,FALSE),"")</f>
        <v/>
      </c>
      <c r="AC1528" s="12" t="str">
        <f t="shared" si="331"/>
        <v/>
      </c>
      <c r="AD1528" s="12" t="str">
        <f t="shared" si="331"/>
        <v/>
      </c>
      <c r="AE1528" s="12" t="str">
        <f t="shared" si="331"/>
        <v/>
      </c>
      <c r="AF1528" s="12" t="str">
        <f t="shared" si="331"/>
        <v/>
      </c>
      <c r="AM1528" s="12" t="str">
        <f t="shared" si="333"/>
        <v/>
      </c>
      <c r="AN1528" s="12" t="str">
        <f t="shared" si="334"/>
        <v/>
      </c>
      <c r="AO1528" s="12" t="str">
        <f t="shared" si="335"/>
        <v/>
      </c>
      <c r="AP1528" s="12" t="str">
        <f t="shared" si="336"/>
        <v/>
      </c>
      <c r="AQ1528" s="12"/>
      <c r="AS1528" s="12">
        <f t="shared" si="332"/>
        <v>0</v>
      </c>
    </row>
    <row r="1529" spans="1:45" hidden="1" x14ac:dyDescent="0.25">
      <c r="A1529" s="41">
        <f>CASOPOInvCL!T1529</f>
        <v>0</v>
      </c>
      <c r="B1529">
        <f>CASOPOInvCL!Z1529</f>
        <v>0</v>
      </c>
      <c r="G1529" s="5">
        <f>CASOPOInvCL!I1529</f>
        <v>0</v>
      </c>
      <c r="H1529" s="31">
        <f>CASOPOInvCL!U1529</f>
        <v>0</v>
      </c>
      <c r="I1529" s="31">
        <f>CASOPOInvCL!V1529</f>
        <v>0</v>
      </c>
      <c r="J1529" s="5">
        <f>CASOPOInvCL!AB1529</f>
        <v>0</v>
      </c>
      <c r="K1529" s="31">
        <f>CASOPOInvCL!W1529</f>
        <v>0</v>
      </c>
      <c r="L1529" s="31">
        <f>CASOPOInvCL!X1529</f>
        <v>0</v>
      </c>
      <c r="M1529" s="31"/>
      <c r="N1529" s="5">
        <f>CASOPOInvCL!AF1529</f>
        <v>0</v>
      </c>
      <c r="O1529" s="16">
        <f>CASOPOInvCL!AG1529</f>
        <v>0</v>
      </c>
      <c r="P1529" s="16">
        <f>CASOPOInvCL!AH1529</f>
        <v>0</v>
      </c>
      <c r="Q1529" s="16">
        <f>CASOPOInvCL!AI1529</f>
        <v>0</v>
      </c>
      <c r="R1529" s="32">
        <f>CASOPOInvCL!AU1529</f>
        <v>0</v>
      </c>
      <c r="S1529" s="16">
        <f>CASOPOInvCL!AV1529</f>
        <v>0</v>
      </c>
      <c r="T1529" s="16">
        <f>CASOPOInvCL!AW1529</f>
        <v>0</v>
      </c>
      <c r="Y1529" s="29" t="str">
        <f>IFERROR(HLOOKUP(U1536,List!$D$2:$H$6,2,FALSE),"")</f>
        <v/>
      </c>
      <c r="Z1529" s="29" t="str">
        <f>IFERROR(HLOOKUP(V1536,List!$D$2:$H$6,3,FALSE),"")</f>
        <v/>
      </c>
      <c r="AA1529" s="29" t="str">
        <f>IFERROR(HLOOKUP(W1536,List!$D$2:$H$6,4,FALSE),"")</f>
        <v/>
      </c>
      <c r="AB1529" s="29" t="str">
        <f>IFERROR(HLOOKUP(X1536,List!$D$2:$H$6,5,FALSE),"")</f>
        <v/>
      </c>
      <c r="AC1529" s="12" t="str">
        <f t="shared" si="331"/>
        <v/>
      </c>
      <c r="AD1529" s="12" t="str">
        <f t="shared" si="331"/>
        <v/>
      </c>
      <c r="AE1529" s="12" t="str">
        <f t="shared" si="331"/>
        <v/>
      </c>
      <c r="AF1529" s="12" t="str">
        <f t="shared" si="331"/>
        <v/>
      </c>
      <c r="AM1529" s="12" t="str">
        <f t="shared" si="333"/>
        <v/>
      </c>
      <c r="AN1529" s="12" t="str">
        <f t="shared" si="334"/>
        <v/>
      </c>
      <c r="AO1529" s="12" t="str">
        <f t="shared" si="335"/>
        <v/>
      </c>
      <c r="AP1529" s="12" t="str">
        <f t="shared" si="336"/>
        <v/>
      </c>
      <c r="AQ1529" s="12"/>
      <c r="AS1529" s="12">
        <f t="shared" si="332"/>
        <v>0</v>
      </c>
    </row>
    <row r="1530" spans="1:45" hidden="1" x14ac:dyDescent="0.25">
      <c r="A1530" s="41">
        <f>CASOPOInvCL!T1530</f>
        <v>0</v>
      </c>
      <c r="B1530">
        <f>CASOPOInvCL!Z1530</f>
        <v>0</v>
      </c>
      <c r="G1530" s="5">
        <f>CASOPOInvCL!I1530</f>
        <v>0</v>
      </c>
      <c r="H1530" s="31">
        <f>CASOPOInvCL!U1530</f>
        <v>0</v>
      </c>
      <c r="I1530" s="31">
        <f>CASOPOInvCL!V1530</f>
        <v>0</v>
      </c>
      <c r="J1530" s="5">
        <f>CASOPOInvCL!AB1530</f>
        <v>0</v>
      </c>
      <c r="K1530" s="31">
        <f>CASOPOInvCL!W1530</f>
        <v>0</v>
      </c>
      <c r="L1530" s="31">
        <f>CASOPOInvCL!X1530</f>
        <v>0</v>
      </c>
      <c r="M1530" s="31"/>
      <c r="N1530" s="5">
        <f>CASOPOInvCL!AF1530</f>
        <v>0</v>
      </c>
      <c r="O1530" s="16">
        <f>CASOPOInvCL!AG1530</f>
        <v>0</v>
      </c>
      <c r="P1530" s="16">
        <f>CASOPOInvCL!AH1530</f>
        <v>0</v>
      </c>
      <c r="Q1530" s="16">
        <f>CASOPOInvCL!AI1530</f>
        <v>0</v>
      </c>
      <c r="R1530" s="32">
        <f>CASOPOInvCL!AU1530</f>
        <v>0</v>
      </c>
      <c r="S1530" s="16">
        <f>CASOPOInvCL!AV1530</f>
        <v>0</v>
      </c>
      <c r="T1530" s="16">
        <f>CASOPOInvCL!AW1530</f>
        <v>0</v>
      </c>
      <c r="Y1530" s="29" t="str">
        <f>IFERROR(HLOOKUP(U1537,List!$D$2:$H$6,2,FALSE),"")</f>
        <v/>
      </c>
      <c r="Z1530" s="29" t="str">
        <f>IFERROR(HLOOKUP(V1537,List!$D$2:$H$6,3,FALSE),"")</f>
        <v/>
      </c>
      <c r="AA1530" s="29" t="str">
        <f>IFERROR(HLOOKUP(W1537,List!$D$2:$H$6,4,FALSE),"")</f>
        <v/>
      </c>
      <c r="AB1530" s="29" t="str">
        <f>IFERROR(HLOOKUP(X1537,List!$D$2:$H$6,5,FALSE),"")</f>
        <v/>
      </c>
      <c r="AC1530" s="12" t="str">
        <f t="shared" ref="AC1530:AF1593" si="337">IFERROR(Y1530*$T1530,"")</f>
        <v/>
      </c>
      <c r="AD1530" s="12" t="str">
        <f t="shared" si="337"/>
        <v/>
      </c>
      <c r="AE1530" s="12" t="str">
        <f t="shared" si="337"/>
        <v/>
      </c>
      <c r="AF1530" s="12" t="str">
        <f t="shared" si="337"/>
        <v/>
      </c>
      <c r="AM1530" s="12" t="str">
        <f t="shared" si="333"/>
        <v/>
      </c>
      <c r="AN1530" s="12" t="str">
        <f t="shared" si="334"/>
        <v/>
      </c>
      <c r="AO1530" s="12" t="str">
        <f t="shared" si="335"/>
        <v/>
      </c>
      <c r="AP1530" s="12" t="str">
        <f t="shared" si="336"/>
        <v/>
      </c>
      <c r="AQ1530" s="12"/>
      <c r="AS1530" s="12">
        <f t="shared" si="332"/>
        <v>0</v>
      </c>
    </row>
    <row r="1531" spans="1:45" hidden="1" x14ac:dyDescent="0.25">
      <c r="A1531" s="41">
        <f>CASOPOInvCL!T1531</f>
        <v>0</v>
      </c>
      <c r="B1531">
        <f>CASOPOInvCL!Z1531</f>
        <v>0</v>
      </c>
      <c r="G1531" s="5">
        <f>CASOPOInvCL!I1531</f>
        <v>0</v>
      </c>
      <c r="H1531" s="31">
        <f>CASOPOInvCL!U1531</f>
        <v>0</v>
      </c>
      <c r="I1531" s="31">
        <f>CASOPOInvCL!V1531</f>
        <v>0</v>
      </c>
      <c r="J1531" s="5">
        <f>CASOPOInvCL!AB1531</f>
        <v>0</v>
      </c>
      <c r="K1531" s="31">
        <f>CASOPOInvCL!W1531</f>
        <v>0</v>
      </c>
      <c r="L1531" s="31">
        <f>CASOPOInvCL!X1531</f>
        <v>0</v>
      </c>
      <c r="M1531" s="31"/>
      <c r="N1531" s="5">
        <f>CASOPOInvCL!AF1531</f>
        <v>0</v>
      </c>
      <c r="O1531" s="16">
        <f>CASOPOInvCL!AG1531</f>
        <v>0</v>
      </c>
      <c r="P1531" s="16">
        <f>CASOPOInvCL!AH1531</f>
        <v>0</v>
      </c>
      <c r="Q1531" s="16">
        <f>CASOPOInvCL!AI1531</f>
        <v>0</v>
      </c>
      <c r="R1531" s="32">
        <f>CASOPOInvCL!AU1531</f>
        <v>0</v>
      </c>
      <c r="S1531" s="16">
        <f>CASOPOInvCL!AV1531</f>
        <v>0</v>
      </c>
      <c r="T1531" s="16">
        <f>CASOPOInvCL!AW1531</f>
        <v>0</v>
      </c>
      <c r="Y1531" s="29" t="str">
        <f>IFERROR(HLOOKUP(U1538,List!$D$2:$H$6,2,FALSE),"")</f>
        <v/>
      </c>
      <c r="Z1531" s="29" t="str">
        <f>IFERROR(HLOOKUP(V1538,List!$D$2:$H$6,3,FALSE),"")</f>
        <v/>
      </c>
      <c r="AA1531" s="29" t="str">
        <f>IFERROR(HLOOKUP(W1538,List!$D$2:$H$6,4,FALSE),"")</f>
        <v/>
      </c>
      <c r="AB1531" s="29" t="str">
        <f>IFERROR(HLOOKUP(X1538,List!$D$2:$H$6,5,FALSE),"")</f>
        <v/>
      </c>
      <c r="AC1531" s="12" t="str">
        <f t="shared" si="337"/>
        <v/>
      </c>
      <c r="AD1531" s="12" t="str">
        <f t="shared" si="337"/>
        <v/>
      </c>
      <c r="AE1531" s="12" t="str">
        <f t="shared" si="337"/>
        <v/>
      </c>
      <c r="AF1531" s="12" t="str">
        <f t="shared" si="337"/>
        <v/>
      </c>
      <c r="AM1531" s="12" t="str">
        <f t="shared" si="333"/>
        <v/>
      </c>
      <c r="AN1531" s="12" t="str">
        <f t="shared" si="334"/>
        <v/>
      </c>
      <c r="AO1531" s="12" t="str">
        <f t="shared" si="335"/>
        <v/>
      </c>
      <c r="AP1531" s="12" t="str">
        <f t="shared" si="336"/>
        <v/>
      </c>
      <c r="AQ1531" s="12"/>
      <c r="AS1531" s="12">
        <f t="shared" si="332"/>
        <v>0</v>
      </c>
    </row>
    <row r="1532" spans="1:45" hidden="1" x14ac:dyDescent="0.25">
      <c r="A1532" s="41">
        <f>CASOPOInvCL!T1532</f>
        <v>0</v>
      </c>
      <c r="B1532">
        <f>CASOPOInvCL!Z1532</f>
        <v>0</v>
      </c>
      <c r="G1532" s="5">
        <f>CASOPOInvCL!I1532</f>
        <v>0</v>
      </c>
      <c r="H1532" s="31">
        <f>CASOPOInvCL!U1532</f>
        <v>0</v>
      </c>
      <c r="I1532" s="31">
        <f>CASOPOInvCL!V1532</f>
        <v>0</v>
      </c>
      <c r="J1532" s="5">
        <f>CASOPOInvCL!AB1532</f>
        <v>0</v>
      </c>
      <c r="K1532" s="31">
        <f>CASOPOInvCL!W1532</f>
        <v>0</v>
      </c>
      <c r="L1532" s="31">
        <f>CASOPOInvCL!X1532</f>
        <v>0</v>
      </c>
      <c r="M1532" s="31"/>
      <c r="N1532" s="5">
        <f>CASOPOInvCL!AF1532</f>
        <v>0</v>
      </c>
      <c r="O1532" s="16">
        <f>CASOPOInvCL!AG1532</f>
        <v>0</v>
      </c>
      <c r="P1532" s="16">
        <f>CASOPOInvCL!AH1532</f>
        <v>0</v>
      </c>
      <c r="Q1532" s="16">
        <f>CASOPOInvCL!AI1532</f>
        <v>0</v>
      </c>
      <c r="R1532" s="32">
        <f>CASOPOInvCL!AU1532</f>
        <v>0</v>
      </c>
      <c r="S1532" s="16">
        <f>CASOPOInvCL!AV1532</f>
        <v>0</v>
      </c>
      <c r="T1532" s="16">
        <f>CASOPOInvCL!AW1532</f>
        <v>0</v>
      </c>
      <c r="Y1532" s="29" t="str">
        <f>IFERROR(HLOOKUP(U1539,List!$D$2:$H$6,2,FALSE),"")</f>
        <v/>
      </c>
      <c r="Z1532" s="29" t="str">
        <f>IFERROR(HLOOKUP(V1539,List!$D$2:$H$6,3,FALSE),"")</f>
        <v/>
      </c>
      <c r="AA1532" s="29" t="str">
        <f>IFERROR(HLOOKUP(W1539,List!$D$2:$H$6,4,FALSE),"")</f>
        <v/>
      </c>
      <c r="AB1532" s="29" t="str">
        <f>IFERROR(HLOOKUP(X1539,List!$D$2:$H$6,5,FALSE),"")</f>
        <v/>
      </c>
      <c r="AC1532" s="12" t="str">
        <f t="shared" si="337"/>
        <v/>
      </c>
      <c r="AD1532" s="12" t="str">
        <f t="shared" si="337"/>
        <v/>
      </c>
      <c r="AE1532" s="12" t="str">
        <f t="shared" si="337"/>
        <v/>
      </c>
      <c r="AF1532" s="12" t="str">
        <f t="shared" si="337"/>
        <v/>
      </c>
      <c r="AM1532" s="12" t="str">
        <f t="shared" si="333"/>
        <v/>
      </c>
      <c r="AN1532" s="12" t="str">
        <f t="shared" si="334"/>
        <v/>
      </c>
      <c r="AO1532" s="12" t="str">
        <f t="shared" si="335"/>
        <v/>
      </c>
      <c r="AP1532" s="12" t="str">
        <f t="shared" si="336"/>
        <v/>
      </c>
      <c r="AQ1532" s="12"/>
      <c r="AS1532" s="12">
        <f t="shared" si="332"/>
        <v>0</v>
      </c>
    </row>
    <row r="1533" spans="1:45" hidden="1" x14ac:dyDescent="0.25">
      <c r="A1533" s="41">
        <f>CASOPOInvCL!T1533</f>
        <v>0</v>
      </c>
      <c r="B1533">
        <f>CASOPOInvCL!Z1533</f>
        <v>0</v>
      </c>
      <c r="G1533" s="5">
        <f>CASOPOInvCL!I1533</f>
        <v>0</v>
      </c>
      <c r="H1533" s="31">
        <f>CASOPOInvCL!U1533</f>
        <v>0</v>
      </c>
      <c r="I1533" s="31">
        <f>CASOPOInvCL!V1533</f>
        <v>0</v>
      </c>
      <c r="J1533" s="5">
        <f>CASOPOInvCL!AB1533</f>
        <v>0</v>
      </c>
      <c r="K1533" s="31">
        <f>CASOPOInvCL!W1533</f>
        <v>0</v>
      </c>
      <c r="L1533" s="31">
        <f>CASOPOInvCL!X1533</f>
        <v>0</v>
      </c>
      <c r="M1533" s="31"/>
      <c r="N1533" s="5">
        <f>CASOPOInvCL!AF1533</f>
        <v>0</v>
      </c>
      <c r="O1533" s="16">
        <f>CASOPOInvCL!AG1533</f>
        <v>0</v>
      </c>
      <c r="P1533" s="16">
        <f>CASOPOInvCL!AH1533</f>
        <v>0</v>
      </c>
      <c r="Q1533" s="16">
        <f>CASOPOInvCL!AI1533</f>
        <v>0</v>
      </c>
      <c r="R1533" s="32">
        <f>CASOPOInvCL!AU1533</f>
        <v>0</v>
      </c>
      <c r="S1533" s="16">
        <f>CASOPOInvCL!AV1533</f>
        <v>0</v>
      </c>
      <c r="T1533" s="16">
        <f>CASOPOInvCL!AW1533</f>
        <v>0</v>
      </c>
      <c r="Y1533" s="29" t="str">
        <f>IFERROR(HLOOKUP(U1540,List!$D$2:$H$6,2,FALSE),"")</f>
        <v/>
      </c>
      <c r="Z1533" s="29" t="str">
        <f>IFERROR(HLOOKUP(V1540,List!$D$2:$H$6,3,FALSE),"")</f>
        <v/>
      </c>
      <c r="AA1533" s="29" t="str">
        <f>IFERROR(HLOOKUP(W1540,List!$D$2:$H$6,4,FALSE),"")</f>
        <v/>
      </c>
      <c r="AB1533" s="29" t="str">
        <f>IFERROR(HLOOKUP(X1540,List!$D$2:$H$6,5,FALSE),"")</f>
        <v/>
      </c>
      <c r="AC1533" s="12" t="str">
        <f t="shared" si="337"/>
        <v/>
      </c>
      <c r="AD1533" s="12" t="str">
        <f t="shared" si="337"/>
        <v/>
      </c>
      <c r="AE1533" s="12" t="str">
        <f t="shared" si="337"/>
        <v/>
      </c>
      <c r="AF1533" s="12" t="str">
        <f t="shared" si="337"/>
        <v/>
      </c>
      <c r="AM1533" s="12" t="str">
        <f t="shared" si="333"/>
        <v/>
      </c>
      <c r="AN1533" s="12" t="str">
        <f t="shared" si="334"/>
        <v/>
      </c>
      <c r="AO1533" s="12" t="str">
        <f t="shared" si="335"/>
        <v/>
      </c>
      <c r="AP1533" s="12" t="str">
        <f t="shared" si="336"/>
        <v/>
      </c>
      <c r="AQ1533" s="12"/>
      <c r="AS1533" s="12">
        <f t="shared" si="332"/>
        <v>0</v>
      </c>
    </row>
    <row r="1534" spans="1:45" hidden="1" x14ac:dyDescent="0.25">
      <c r="A1534" s="41">
        <f>CASOPOInvCL!T1534</f>
        <v>0</v>
      </c>
      <c r="B1534">
        <f>CASOPOInvCL!Z1534</f>
        <v>0</v>
      </c>
      <c r="G1534" s="5">
        <f>CASOPOInvCL!I1534</f>
        <v>0</v>
      </c>
      <c r="H1534" s="31">
        <f>CASOPOInvCL!U1534</f>
        <v>0</v>
      </c>
      <c r="I1534" s="31">
        <f>CASOPOInvCL!V1534</f>
        <v>0</v>
      </c>
      <c r="J1534" s="5">
        <f>CASOPOInvCL!AB1534</f>
        <v>0</v>
      </c>
      <c r="K1534" s="31">
        <f>CASOPOInvCL!W1534</f>
        <v>0</v>
      </c>
      <c r="L1534" s="31">
        <f>CASOPOInvCL!X1534</f>
        <v>0</v>
      </c>
      <c r="M1534" s="31"/>
      <c r="N1534" s="5">
        <f>CASOPOInvCL!AF1534</f>
        <v>0</v>
      </c>
      <c r="O1534" s="16">
        <f>CASOPOInvCL!AG1534</f>
        <v>0</v>
      </c>
      <c r="P1534" s="16">
        <f>CASOPOInvCL!AH1534</f>
        <v>0</v>
      </c>
      <c r="Q1534" s="16">
        <f>CASOPOInvCL!AI1534</f>
        <v>0</v>
      </c>
      <c r="R1534" s="32">
        <f>CASOPOInvCL!AU1534</f>
        <v>0</v>
      </c>
      <c r="S1534" s="16">
        <f>CASOPOInvCL!AV1534</f>
        <v>0</v>
      </c>
      <c r="T1534" s="16">
        <f>CASOPOInvCL!AW1534</f>
        <v>0</v>
      </c>
      <c r="Y1534" s="29" t="str">
        <f>IFERROR(HLOOKUP(U1541,List!$D$2:$H$6,2,FALSE),"")</f>
        <v/>
      </c>
      <c r="Z1534" s="29" t="str">
        <f>IFERROR(HLOOKUP(V1541,List!$D$2:$H$6,3,FALSE),"")</f>
        <v/>
      </c>
      <c r="AA1534" s="29" t="str">
        <f>IFERROR(HLOOKUP(W1541,List!$D$2:$H$6,4,FALSE),"")</f>
        <v/>
      </c>
      <c r="AB1534" s="29" t="str">
        <f>IFERROR(HLOOKUP(X1541,List!$D$2:$H$6,5,FALSE),"")</f>
        <v/>
      </c>
      <c r="AC1534" s="12" t="str">
        <f t="shared" si="337"/>
        <v/>
      </c>
      <c r="AD1534" s="12" t="str">
        <f t="shared" si="337"/>
        <v/>
      </c>
      <c r="AE1534" s="12" t="str">
        <f t="shared" si="337"/>
        <v/>
      </c>
      <c r="AF1534" s="12" t="str">
        <f t="shared" si="337"/>
        <v/>
      </c>
      <c r="AM1534" s="12" t="str">
        <f t="shared" si="333"/>
        <v/>
      </c>
      <c r="AN1534" s="12" t="str">
        <f t="shared" si="334"/>
        <v/>
      </c>
      <c r="AO1534" s="12" t="str">
        <f t="shared" si="335"/>
        <v/>
      </c>
      <c r="AP1534" s="12" t="str">
        <f t="shared" si="336"/>
        <v/>
      </c>
      <c r="AQ1534" s="12"/>
      <c r="AS1534" s="12">
        <f t="shared" si="332"/>
        <v>0</v>
      </c>
    </row>
    <row r="1535" spans="1:45" hidden="1" x14ac:dyDescent="0.25">
      <c r="A1535" s="41">
        <f>CASOPOInvCL!T1535</f>
        <v>0</v>
      </c>
      <c r="B1535">
        <f>CASOPOInvCL!Z1535</f>
        <v>0</v>
      </c>
      <c r="G1535" s="5">
        <f>CASOPOInvCL!I1535</f>
        <v>0</v>
      </c>
      <c r="H1535" s="31">
        <f>CASOPOInvCL!U1535</f>
        <v>0</v>
      </c>
      <c r="I1535" s="31">
        <f>CASOPOInvCL!V1535</f>
        <v>0</v>
      </c>
      <c r="J1535" s="5">
        <f>CASOPOInvCL!AB1535</f>
        <v>0</v>
      </c>
      <c r="K1535" s="31">
        <f>CASOPOInvCL!W1535</f>
        <v>0</v>
      </c>
      <c r="L1535" s="31">
        <f>CASOPOInvCL!X1535</f>
        <v>0</v>
      </c>
      <c r="M1535" s="31"/>
      <c r="N1535" s="5">
        <f>CASOPOInvCL!AF1535</f>
        <v>0</v>
      </c>
      <c r="O1535" s="16">
        <f>CASOPOInvCL!AG1535</f>
        <v>0</v>
      </c>
      <c r="P1535" s="16">
        <f>CASOPOInvCL!AH1535</f>
        <v>0</v>
      </c>
      <c r="Q1535" s="16">
        <f>CASOPOInvCL!AI1535</f>
        <v>0</v>
      </c>
      <c r="R1535" s="32">
        <f>CASOPOInvCL!AU1535</f>
        <v>0</v>
      </c>
      <c r="S1535" s="16">
        <f>CASOPOInvCL!AV1535</f>
        <v>0</v>
      </c>
      <c r="T1535" s="16">
        <f>CASOPOInvCL!AW1535</f>
        <v>0</v>
      </c>
      <c r="Y1535" s="29" t="str">
        <f>IFERROR(HLOOKUP(U1542,List!$D$2:$H$6,2,FALSE),"")</f>
        <v/>
      </c>
      <c r="Z1535" s="29" t="str">
        <f>IFERROR(HLOOKUP(V1542,List!$D$2:$H$6,3,FALSE),"")</f>
        <v/>
      </c>
      <c r="AA1535" s="29" t="str">
        <f>IFERROR(HLOOKUP(W1542,List!$D$2:$H$6,4,FALSE),"")</f>
        <v/>
      </c>
      <c r="AB1535" s="29" t="str">
        <f>IFERROR(HLOOKUP(X1542,List!$D$2:$H$6,5,FALSE),"")</f>
        <v/>
      </c>
      <c r="AC1535" s="12" t="str">
        <f t="shared" si="337"/>
        <v/>
      </c>
      <c r="AD1535" s="12" t="str">
        <f t="shared" si="337"/>
        <v/>
      </c>
      <c r="AE1535" s="12" t="str">
        <f t="shared" si="337"/>
        <v/>
      </c>
      <c r="AF1535" s="12" t="str">
        <f t="shared" si="337"/>
        <v/>
      </c>
      <c r="AM1535" s="12" t="str">
        <f t="shared" si="333"/>
        <v/>
      </c>
      <c r="AN1535" s="12" t="str">
        <f t="shared" si="334"/>
        <v/>
      </c>
      <c r="AO1535" s="12" t="str">
        <f t="shared" si="335"/>
        <v/>
      </c>
      <c r="AP1535" s="12" t="str">
        <f t="shared" si="336"/>
        <v/>
      </c>
      <c r="AQ1535" s="12"/>
      <c r="AS1535" s="12">
        <f t="shared" si="332"/>
        <v>0</v>
      </c>
    </row>
    <row r="1536" spans="1:45" hidden="1" x14ac:dyDescent="0.25">
      <c r="A1536" s="41">
        <f>CASOPOInvCL!T1536</f>
        <v>0</v>
      </c>
      <c r="B1536">
        <f>CASOPOInvCL!Z1536</f>
        <v>0</v>
      </c>
      <c r="G1536" s="5">
        <f>CASOPOInvCL!I1536</f>
        <v>0</v>
      </c>
      <c r="H1536" s="31">
        <f>CASOPOInvCL!U1536</f>
        <v>0</v>
      </c>
      <c r="I1536" s="31">
        <f>CASOPOInvCL!V1536</f>
        <v>0</v>
      </c>
      <c r="J1536" s="5">
        <f>CASOPOInvCL!AB1536</f>
        <v>0</v>
      </c>
      <c r="K1536" s="31">
        <f>CASOPOInvCL!W1536</f>
        <v>0</v>
      </c>
      <c r="L1536" s="31">
        <f>CASOPOInvCL!X1536</f>
        <v>0</v>
      </c>
      <c r="M1536" s="31"/>
      <c r="N1536" s="5">
        <f>CASOPOInvCL!AF1536</f>
        <v>0</v>
      </c>
      <c r="O1536" s="16">
        <f>CASOPOInvCL!AG1536</f>
        <v>0</v>
      </c>
      <c r="P1536" s="16">
        <f>CASOPOInvCL!AH1536</f>
        <v>0</v>
      </c>
      <c r="Q1536" s="16">
        <f>CASOPOInvCL!AI1536</f>
        <v>0</v>
      </c>
      <c r="R1536" s="32">
        <f>CASOPOInvCL!AU1536</f>
        <v>0</v>
      </c>
      <c r="S1536" s="16">
        <f>CASOPOInvCL!AV1536</f>
        <v>0</v>
      </c>
      <c r="T1536" s="16">
        <f>CASOPOInvCL!AW1536</f>
        <v>0</v>
      </c>
      <c r="Y1536" s="29" t="str">
        <f>IFERROR(HLOOKUP(U1543,List!$D$2:$H$6,2,FALSE),"")</f>
        <v/>
      </c>
      <c r="Z1536" s="29" t="str">
        <f>IFERROR(HLOOKUP(V1543,List!$D$2:$H$6,3,FALSE),"")</f>
        <v/>
      </c>
      <c r="AA1536" s="29" t="str">
        <f>IFERROR(HLOOKUP(W1543,List!$D$2:$H$6,4,FALSE),"")</f>
        <v/>
      </c>
      <c r="AB1536" s="29" t="str">
        <f>IFERROR(HLOOKUP(X1543,List!$D$2:$H$6,5,FALSE),"")</f>
        <v/>
      </c>
      <c r="AC1536" s="12" t="str">
        <f t="shared" si="337"/>
        <v/>
      </c>
      <c r="AD1536" s="12" t="str">
        <f t="shared" si="337"/>
        <v/>
      </c>
      <c r="AE1536" s="12" t="str">
        <f t="shared" si="337"/>
        <v/>
      </c>
      <c r="AF1536" s="12" t="str">
        <f t="shared" si="337"/>
        <v/>
      </c>
      <c r="AM1536" s="12" t="str">
        <f t="shared" si="333"/>
        <v/>
      </c>
      <c r="AN1536" s="12" t="str">
        <f t="shared" si="334"/>
        <v/>
      </c>
      <c r="AO1536" s="12" t="str">
        <f t="shared" si="335"/>
        <v/>
      </c>
      <c r="AP1536" s="12" t="str">
        <f t="shared" si="336"/>
        <v/>
      </c>
      <c r="AQ1536" s="12"/>
      <c r="AS1536" s="12">
        <f t="shared" si="332"/>
        <v>0</v>
      </c>
    </row>
    <row r="1537" spans="1:45" hidden="1" x14ac:dyDescent="0.25">
      <c r="A1537" s="41">
        <f>CASOPOInvCL!T1537</f>
        <v>0</v>
      </c>
      <c r="B1537">
        <f>CASOPOInvCL!Z1537</f>
        <v>0</v>
      </c>
      <c r="G1537" s="5">
        <f>CASOPOInvCL!I1537</f>
        <v>0</v>
      </c>
      <c r="H1537" s="31">
        <f>CASOPOInvCL!U1537</f>
        <v>0</v>
      </c>
      <c r="I1537" s="31">
        <f>CASOPOInvCL!V1537</f>
        <v>0</v>
      </c>
      <c r="J1537" s="5">
        <f>CASOPOInvCL!AB1537</f>
        <v>0</v>
      </c>
      <c r="K1537" s="31">
        <f>CASOPOInvCL!W1537</f>
        <v>0</v>
      </c>
      <c r="L1537" s="31">
        <f>CASOPOInvCL!X1537</f>
        <v>0</v>
      </c>
      <c r="M1537" s="31"/>
      <c r="N1537" s="5">
        <f>CASOPOInvCL!AF1537</f>
        <v>0</v>
      </c>
      <c r="O1537" s="16">
        <f>CASOPOInvCL!AG1537</f>
        <v>0</v>
      </c>
      <c r="P1537" s="16">
        <f>CASOPOInvCL!AH1537</f>
        <v>0</v>
      </c>
      <c r="Q1537" s="16">
        <f>CASOPOInvCL!AI1537</f>
        <v>0</v>
      </c>
      <c r="R1537" s="32">
        <f>CASOPOInvCL!AU1537</f>
        <v>0</v>
      </c>
      <c r="S1537" s="16">
        <f>CASOPOInvCL!AV1537</f>
        <v>0</v>
      </c>
      <c r="T1537" s="16">
        <f>CASOPOInvCL!AW1537</f>
        <v>0</v>
      </c>
      <c r="Y1537" s="29" t="str">
        <f>IFERROR(HLOOKUP(U1544,List!$D$2:$H$6,2,FALSE),"")</f>
        <v/>
      </c>
      <c r="Z1537" s="29" t="str">
        <f>IFERROR(HLOOKUP(V1544,List!$D$2:$H$6,3,FALSE),"")</f>
        <v/>
      </c>
      <c r="AA1537" s="29" t="str">
        <f>IFERROR(HLOOKUP(W1544,List!$D$2:$H$6,4,FALSE),"")</f>
        <v/>
      </c>
      <c r="AB1537" s="29" t="str">
        <f>IFERROR(HLOOKUP(X1544,List!$D$2:$H$6,5,FALSE),"")</f>
        <v/>
      </c>
      <c r="AC1537" s="12" t="str">
        <f t="shared" si="337"/>
        <v/>
      </c>
      <c r="AD1537" s="12" t="str">
        <f t="shared" si="337"/>
        <v/>
      </c>
      <c r="AE1537" s="12" t="str">
        <f t="shared" si="337"/>
        <v/>
      </c>
      <c r="AF1537" s="12" t="str">
        <f t="shared" si="337"/>
        <v/>
      </c>
      <c r="AM1537" s="12" t="str">
        <f t="shared" si="333"/>
        <v/>
      </c>
      <c r="AN1537" s="12" t="str">
        <f t="shared" si="334"/>
        <v/>
      </c>
      <c r="AO1537" s="12" t="str">
        <f t="shared" si="335"/>
        <v/>
      </c>
      <c r="AP1537" s="12" t="str">
        <f t="shared" si="336"/>
        <v/>
      </c>
      <c r="AQ1537" s="12"/>
      <c r="AS1537" s="12">
        <f t="shared" si="332"/>
        <v>0</v>
      </c>
    </row>
    <row r="1538" spans="1:45" hidden="1" x14ac:dyDescent="0.25">
      <c r="A1538" s="41">
        <f>CASOPOInvCL!T1538</f>
        <v>0</v>
      </c>
      <c r="B1538">
        <f>CASOPOInvCL!Z1538</f>
        <v>0</v>
      </c>
      <c r="G1538" s="5">
        <f>CASOPOInvCL!I1538</f>
        <v>0</v>
      </c>
      <c r="H1538" s="31">
        <f>CASOPOInvCL!U1538</f>
        <v>0</v>
      </c>
      <c r="I1538" s="31">
        <f>CASOPOInvCL!V1538</f>
        <v>0</v>
      </c>
      <c r="J1538" s="5">
        <f>CASOPOInvCL!AB1538</f>
        <v>0</v>
      </c>
      <c r="K1538" s="31">
        <f>CASOPOInvCL!W1538</f>
        <v>0</v>
      </c>
      <c r="L1538" s="31">
        <f>CASOPOInvCL!X1538</f>
        <v>0</v>
      </c>
      <c r="M1538" s="31"/>
      <c r="N1538" s="5">
        <f>CASOPOInvCL!AF1538</f>
        <v>0</v>
      </c>
      <c r="O1538" s="16">
        <f>CASOPOInvCL!AG1538</f>
        <v>0</v>
      </c>
      <c r="P1538" s="16">
        <f>CASOPOInvCL!AH1538</f>
        <v>0</v>
      </c>
      <c r="Q1538" s="16">
        <f>CASOPOInvCL!AI1538</f>
        <v>0</v>
      </c>
      <c r="R1538" s="32">
        <f>CASOPOInvCL!AU1538</f>
        <v>0</v>
      </c>
      <c r="S1538" s="16">
        <f>CASOPOInvCL!AV1538</f>
        <v>0</v>
      </c>
      <c r="T1538" s="16">
        <f>CASOPOInvCL!AW1538</f>
        <v>0</v>
      </c>
      <c r="Y1538" s="29" t="str">
        <f>IFERROR(HLOOKUP(U1545,List!$D$2:$H$6,2,FALSE),"")</f>
        <v/>
      </c>
      <c r="Z1538" s="29" t="str">
        <f>IFERROR(HLOOKUP(V1545,List!$D$2:$H$6,3,FALSE),"")</f>
        <v/>
      </c>
      <c r="AA1538" s="29" t="str">
        <f>IFERROR(HLOOKUP(W1545,List!$D$2:$H$6,4,FALSE),"")</f>
        <v/>
      </c>
      <c r="AB1538" s="29" t="str">
        <f>IFERROR(HLOOKUP(X1545,List!$D$2:$H$6,5,FALSE),"")</f>
        <v/>
      </c>
      <c r="AC1538" s="12" t="str">
        <f t="shared" si="337"/>
        <v/>
      </c>
      <c r="AD1538" s="12" t="str">
        <f t="shared" si="337"/>
        <v/>
      </c>
      <c r="AE1538" s="12" t="str">
        <f t="shared" si="337"/>
        <v/>
      </c>
      <c r="AF1538" s="12" t="str">
        <f t="shared" si="337"/>
        <v/>
      </c>
      <c r="AM1538" s="12" t="str">
        <f t="shared" si="333"/>
        <v/>
      </c>
      <c r="AN1538" s="12" t="str">
        <f t="shared" si="334"/>
        <v/>
      </c>
      <c r="AO1538" s="12" t="str">
        <f t="shared" si="335"/>
        <v/>
      </c>
      <c r="AP1538" s="12" t="str">
        <f t="shared" si="336"/>
        <v/>
      </c>
      <c r="AQ1538" s="12"/>
      <c r="AS1538" s="12">
        <f t="shared" si="332"/>
        <v>0</v>
      </c>
    </row>
    <row r="1539" spans="1:45" hidden="1" x14ac:dyDescent="0.25">
      <c r="A1539" s="41">
        <f>CASOPOInvCL!T1539</f>
        <v>0</v>
      </c>
      <c r="B1539">
        <f>CASOPOInvCL!Z1539</f>
        <v>0</v>
      </c>
      <c r="G1539" s="5">
        <f>CASOPOInvCL!I1539</f>
        <v>0</v>
      </c>
      <c r="H1539" s="31">
        <f>CASOPOInvCL!U1539</f>
        <v>0</v>
      </c>
      <c r="I1539" s="31">
        <f>CASOPOInvCL!V1539</f>
        <v>0</v>
      </c>
      <c r="J1539" s="5">
        <f>CASOPOInvCL!AB1539</f>
        <v>0</v>
      </c>
      <c r="K1539" s="31">
        <f>CASOPOInvCL!W1539</f>
        <v>0</v>
      </c>
      <c r="L1539" s="31">
        <f>CASOPOInvCL!X1539</f>
        <v>0</v>
      </c>
      <c r="M1539" s="31"/>
      <c r="N1539" s="5">
        <f>CASOPOInvCL!AF1539</f>
        <v>0</v>
      </c>
      <c r="O1539" s="16">
        <f>CASOPOInvCL!AG1539</f>
        <v>0</v>
      </c>
      <c r="P1539" s="16">
        <f>CASOPOInvCL!AH1539</f>
        <v>0</v>
      </c>
      <c r="Q1539" s="16">
        <f>CASOPOInvCL!AI1539</f>
        <v>0</v>
      </c>
      <c r="R1539" s="32">
        <f>CASOPOInvCL!AU1539</f>
        <v>0</v>
      </c>
      <c r="S1539" s="16">
        <f>CASOPOInvCL!AV1539</f>
        <v>0</v>
      </c>
      <c r="T1539" s="16">
        <f>CASOPOInvCL!AW1539</f>
        <v>0</v>
      </c>
      <c r="Y1539" s="29" t="str">
        <f>IFERROR(HLOOKUP(U1546,List!$D$2:$H$6,2,FALSE),"")</f>
        <v/>
      </c>
      <c r="Z1539" s="29" t="str">
        <f>IFERROR(HLOOKUP(V1546,List!$D$2:$H$6,3,FALSE),"")</f>
        <v/>
      </c>
      <c r="AA1539" s="29" t="str">
        <f>IFERROR(HLOOKUP(W1546,List!$D$2:$H$6,4,FALSE),"")</f>
        <v/>
      </c>
      <c r="AB1539" s="29" t="str">
        <f>IFERROR(HLOOKUP(X1546,List!$D$2:$H$6,5,FALSE),"")</f>
        <v/>
      </c>
      <c r="AC1539" s="12" t="str">
        <f t="shared" si="337"/>
        <v/>
      </c>
      <c r="AD1539" s="12" t="str">
        <f t="shared" si="337"/>
        <v/>
      </c>
      <c r="AE1539" s="12" t="str">
        <f t="shared" si="337"/>
        <v/>
      </c>
      <c r="AF1539" s="12" t="str">
        <f t="shared" si="337"/>
        <v/>
      </c>
      <c r="AM1539" s="12" t="str">
        <f t="shared" si="333"/>
        <v/>
      </c>
      <c r="AN1539" s="12" t="str">
        <f t="shared" si="334"/>
        <v/>
      </c>
      <c r="AO1539" s="12" t="str">
        <f t="shared" si="335"/>
        <v/>
      </c>
      <c r="AP1539" s="12" t="str">
        <f t="shared" si="336"/>
        <v/>
      </c>
      <c r="AQ1539" s="12"/>
      <c r="AS1539" s="12">
        <f t="shared" si="332"/>
        <v>0</v>
      </c>
    </row>
    <row r="1540" spans="1:45" hidden="1" x14ac:dyDescent="0.25">
      <c r="A1540" s="41">
        <f>CASOPOInvCL!T1540</f>
        <v>0</v>
      </c>
      <c r="B1540">
        <f>CASOPOInvCL!Z1540</f>
        <v>0</v>
      </c>
      <c r="G1540" s="5">
        <f>CASOPOInvCL!I1540</f>
        <v>0</v>
      </c>
      <c r="H1540" s="31">
        <f>CASOPOInvCL!U1540</f>
        <v>0</v>
      </c>
      <c r="I1540" s="31">
        <f>CASOPOInvCL!V1540</f>
        <v>0</v>
      </c>
      <c r="J1540" s="5">
        <f>CASOPOInvCL!AB1540</f>
        <v>0</v>
      </c>
      <c r="K1540" s="31">
        <f>CASOPOInvCL!W1540</f>
        <v>0</v>
      </c>
      <c r="L1540" s="31">
        <f>CASOPOInvCL!X1540</f>
        <v>0</v>
      </c>
      <c r="M1540" s="31"/>
      <c r="N1540" s="5">
        <f>CASOPOInvCL!AF1540</f>
        <v>0</v>
      </c>
      <c r="O1540" s="16">
        <f>CASOPOInvCL!AG1540</f>
        <v>0</v>
      </c>
      <c r="P1540" s="16">
        <f>CASOPOInvCL!AH1540</f>
        <v>0</v>
      </c>
      <c r="Q1540" s="16">
        <f>CASOPOInvCL!AI1540</f>
        <v>0</v>
      </c>
      <c r="R1540" s="32">
        <f>CASOPOInvCL!AU1540</f>
        <v>0</v>
      </c>
      <c r="S1540" s="16">
        <f>CASOPOInvCL!AV1540</f>
        <v>0</v>
      </c>
      <c r="T1540" s="16">
        <f>CASOPOInvCL!AW1540</f>
        <v>0</v>
      </c>
      <c r="Y1540" s="29" t="str">
        <f>IFERROR(HLOOKUP(U1547,List!$D$2:$H$6,2,FALSE),"")</f>
        <v/>
      </c>
      <c r="Z1540" s="29" t="str">
        <f>IFERROR(HLOOKUP(V1547,List!$D$2:$H$6,3,FALSE),"")</f>
        <v/>
      </c>
      <c r="AA1540" s="29" t="str">
        <f>IFERROR(HLOOKUP(W1547,List!$D$2:$H$6,4,FALSE),"")</f>
        <v/>
      </c>
      <c r="AB1540" s="29" t="str">
        <f>IFERROR(HLOOKUP(X1547,List!$D$2:$H$6,5,FALSE),"")</f>
        <v/>
      </c>
      <c r="AC1540" s="12" t="str">
        <f t="shared" si="337"/>
        <v/>
      </c>
      <c r="AD1540" s="12" t="str">
        <f t="shared" si="337"/>
        <v/>
      </c>
      <c r="AE1540" s="12" t="str">
        <f t="shared" si="337"/>
        <v/>
      </c>
      <c r="AF1540" s="12" t="str">
        <f t="shared" si="337"/>
        <v/>
      </c>
      <c r="AM1540" s="12" t="str">
        <f t="shared" si="333"/>
        <v/>
      </c>
      <c r="AN1540" s="12" t="str">
        <f t="shared" si="334"/>
        <v/>
      </c>
      <c r="AO1540" s="12" t="str">
        <f t="shared" si="335"/>
        <v/>
      </c>
      <c r="AP1540" s="12" t="str">
        <f t="shared" si="336"/>
        <v/>
      </c>
      <c r="AQ1540" s="12"/>
      <c r="AS1540" s="12">
        <f t="shared" si="332"/>
        <v>0</v>
      </c>
    </row>
    <row r="1541" spans="1:45" hidden="1" x14ac:dyDescent="0.25">
      <c r="A1541" s="41">
        <f>CASOPOInvCL!T1541</f>
        <v>0</v>
      </c>
      <c r="B1541">
        <f>CASOPOInvCL!Z1541</f>
        <v>0</v>
      </c>
      <c r="G1541" s="5">
        <f>CASOPOInvCL!I1541</f>
        <v>0</v>
      </c>
      <c r="H1541" s="31">
        <f>CASOPOInvCL!U1541</f>
        <v>0</v>
      </c>
      <c r="I1541" s="31">
        <f>CASOPOInvCL!V1541</f>
        <v>0</v>
      </c>
      <c r="J1541" s="5">
        <f>CASOPOInvCL!AB1541</f>
        <v>0</v>
      </c>
      <c r="K1541" s="31">
        <f>CASOPOInvCL!W1541</f>
        <v>0</v>
      </c>
      <c r="L1541" s="31">
        <f>CASOPOInvCL!X1541</f>
        <v>0</v>
      </c>
      <c r="M1541" s="31"/>
      <c r="N1541" s="5">
        <f>CASOPOInvCL!AF1541</f>
        <v>0</v>
      </c>
      <c r="O1541" s="16">
        <f>CASOPOInvCL!AG1541</f>
        <v>0</v>
      </c>
      <c r="P1541" s="16">
        <f>CASOPOInvCL!AH1541</f>
        <v>0</v>
      </c>
      <c r="Q1541" s="16">
        <f>CASOPOInvCL!AI1541</f>
        <v>0</v>
      </c>
      <c r="R1541" s="32">
        <f>CASOPOInvCL!AU1541</f>
        <v>0</v>
      </c>
      <c r="S1541" s="16">
        <f>CASOPOInvCL!AV1541</f>
        <v>0</v>
      </c>
      <c r="T1541" s="16">
        <f>CASOPOInvCL!AW1541</f>
        <v>0</v>
      </c>
      <c r="Y1541" s="29" t="str">
        <f>IFERROR(HLOOKUP(U1548,List!$D$2:$H$6,2,FALSE),"")</f>
        <v/>
      </c>
      <c r="Z1541" s="29" t="str">
        <f>IFERROR(HLOOKUP(V1548,List!$D$2:$H$6,3,FALSE),"")</f>
        <v/>
      </c>
      <c r="AA1541" s="29" t="str">
        <f>IFERROR(HLOOKUP(W1548,List!$D$2:$H$6,4,FALSE),"")</f>
        <v/>
      </c>
      <c r="AB1541" s="29" t="str">
        <f>IFERROR(HLOOKUP(X1548,List!$D$2:$H$6,5,FALSE),"")</f>
        <v/>
      </c>
      <c r="AC1541" s="12" t="str">
        <f t="shared" si="337"/>
        <v/>
      </c>
      <c r="AD1541" s="12" t="str">
        <f t="shared" si="337"/>
        <v/>
      </c>
      <c r="AE1541" s="12" t="str">
        <f t="shared" si="337"/>
        <v/>
      </c>
      <c r="AF1541" s="12" t="str">
        <f t="shared" si="337"/>
        <v/>
      </c>
      <c r="AM1541" s="12" t="str">
        <f t="shared" si="333"/>
        <v/>
      </c>
      <c r="AN1541" s="12" t="str">
        <f t="shared" si="334"/>
        <v/>
      </c>
      <c r="AO1541" s="12" t="str">
        <f t="shared" si="335"/>
        <v/>
      </c>
      <c r="AP1541" s="12" t="str">
        <f t="shared" si="336"/>
        <v/>
      </c>
      <c r="AQ1541" s="12"/>
      <c r="AS1541" s="12">
        <f t="shared" si="332"/>
        <v>0</v>
      </c>
    </row>
    <row r="1542" spans="1:45" hidden="1" x14ac:dyDescent="0.25">
      <c r="A1542" s="41">
        <f>CASOPOInvCL!T1542</f>
        <v>0</v>
      </c>
      <c r="B1542">
        <f>CASOPOInvCL!Z1542</f>
        <v>0</v>
      </c>
      <c r="G1542" s="5">
        <f>CASOPOInvCL!I1542</f>
        <v>0</v>
      </c>
      <c r="H1542" s="31">
        <f>CASOPOInvCL!U1542</f>
        <v>0</v>
      </c>
      <c r="I1542" s="31">
        <f>CASOPOInvCL!V1542</f>
        <v>0</v>
      </c>
      <c r="J1542" s="5">
        <f>CASOPOInvCL!AB1542</f>
        <v>0</v>
      </c>
      <c r="K1542" s="31">
        <f>CASOPOInvCL!W1542</f>
        <v>0</v>
      </c>
      <c r="L1542" s="31">
        <f>CASOPOInvCL!X1542</f>
        <v>0</v>
      </c>
      <c r="M1542" s="31"/>
      <c r="N1542" s="5">
        <f>CASOPOInvCL!AF1542</f>
        <v>0</v>
      </c>
      <c r="O1542" s="16">
        <f>CASOPOInvCL!AG1542</f>
        <v>0</v>
      </c>
      <c r="P1542" s="16">
        <f>CASOPOInvCL!AH1542</f>
        <v>0</v>
      </c>
      <c r="Q1542" s="16">
        <f>CASOPOInvCL!AI1542</f>
        <v>0</v>
      </c>
      <c r="R1542" s="32">
        <f>CASOPOInvCL!AU1542</f>
        <v>0</v>
      </c>
      <c r="S1542" s="16">
        <f>CASOPOInvCL!AV1542</f>
        <v>0</v>
      </c>
      <c r="T1542" s="16">
        <f>CASOPOInvCL!AW1542</f>
        <v>0</v>
      </c>
      <c r="Y1542" s="29" t="str">
        <f>IFERROR(HLOOKUP(U1549,List!$D$2:$H$6,2,FALSE),"")</f>
        <v/>
      </c>
      <c r="Z1542" s="29" t="str">
        <f>IFERROR(HLOOKUP(V1549,List!$D$2:$H$6,3,FALSE),"")</f>
        <v/>
      </c>
      <c r="AA1542" s="29" t="str">
        <f>IFERROR(HLOOKUP(W1549,List!$D$2:$H$6,4,FALSE),"")</f>
        <v/>
      </c>
      <c r="AB1542" s="29" t="str">
        <f>IFERROR(HLOOKUP(X1549,List!$D$2:$H$6,5,FALSE),"")</f>
        <v/>
      </c>
      <c r="AC1542" s="12" t="str">
        <f t="shared" si="337"/>
        <v/>
      </c>
      <c r="AD1542" s="12" t="str">
        <f t="shared" si="337"/>
        <v/>
      </c>
      <c r="AE1542" s="12" t="str">
        <f t="shared" si="337"/>
        <v/>
      </c>
      <c r="AF1542" s="12" t="str">
        <f t="shared" si="337"/>
        <v/>
      </c>
      <c r="AM1542" s="12" t="str">
        <f t="shared" si="333"/>
        <v/>
      </c>
      <c r="AN1542" s="12" t="str">
        <f t="shared" si="334"/>
        <v/>
      </c>
      <c r="AO1542" s="12" t="str">
        <f t="shared" si="335"/>
        <v/>
      </c>
      <c r="AP1542" s="12" t="str">
        <f t="shared" si="336"/>
        <v/>
      </c>
      <c r="AQ1542" s="12"/>
      <c r="AS1542" s="12">
        <f t="shared" si="332"/>
        <v>0</v>
      </c>
    </row>
    <row r="1543" spans="1:45" hidden="1" x14ac:dyDescent="0.25">
      <c r="A1543" s="41">
        <f>CASOPOInvCL!T1543</f>
        <v>0</v>
      </c>
      <c r="B1543">
        <f>CASOPOInvCL!Z1543</f>
        <v>0</v>
      </c>
      <c r="G1543" s="5">
        <f>CASOPOInvCL!I1543</f>
        <v>0</v>
      </c>
      <c r="H1543" s="31">
        <f>CASOPOInvCL!U1543</f>
        <v>0</v>
      </c>
      <c r="I1543" s="31">
        <f>CASOPOInvCL!V1543</f>
        <v>0</v>
      </c>
      <c r="J1543" s="5">
        <f>CASOPOInvCL!AB1543</f>
        <v>0</v>
      </c>
      <c r="K1543" s="31">
        <f>CASOPOInvCL!W1543</f>
        <v>0</v>
      </c>
      <c r="L1543" s="31">
        <f>CASOPOInvCL!X1543</f>
        <v>0</v>
      </c>
      <c r="M1543" s="31"/>
      <c r="N1543" s="5">
        <f>CASOPOInvCL!AF1543</f>
        <v>0</v>
      </c>
      <c r="O1543" s="16">
        <f>CASOPOInvCL!AG1543</f>
        <v>0</v>
      </c>
      <c r="P1543" s="16">
        <f>CASOPOInvCL!AH1543</f>
        <v>0</v>
      </c>
      <c r="Q1543" s="16">
        <f>CASOPOInvCL!AI1543</f>
        <v>0</v>
      </c>
      <c r="R1543" s="32">
        <f>CASOPOInvCL!AU1543</f>
        <v>0</v>
      </c>
      <c r="S1543" s="16">
        <f>CASOPOInvCL!AV1543</f>
        <v>0</v>
      </c>
      <c r="T1543" s="16">
        <f>CASOPOInvCL!AW1543</f>
        <v>0</v>
      </c>
      <c r="Y1543" s="29" t="str">
        <f>IFERROR(HLOOKUP(U1550,List!$D$2:$H$6,2,FALSE),"")</f>
        <v/>
      </c>
      <c r="Z1543" s="29" t="str">
        <f>IFERROR(HLOOKUP(V1550,List!$D$2:$H$6,3,FALSE),"")</f>
        <v/>
      </c>
      <c r="AA1543" s="29" t="str">
        <f>IFERROR(HLOOKUP(W1550,List!$D$2:$H$6,4,FALSE),"")</f>
        <v/>
      </c>
      <c r="AB1543" s="29" t="str">
        <f>IFERROR(HLOOKUP(X1550,List!$D$2:$H$6,5,FALSE),"")</f>
        <v/>
      </c>
      <c r="AC1543" s="12" t="str">
        <f t="shared" si="337"/>
        <v/>
      </c>
      <c r="AD1543" s="12" t="str">
        <f t="shared" si="337"/>
        <v/>
      </c>
      <c r="AE1543" s="12" t="str">
        <f t="shared" si="337"/>
        <v/>
      </c>
      <c r="AF1543" s="12" t="str">
        <f t="shared" si="337"/>
        <v/>
      </c>
      <c r="AM1543" s="12" t="str">
        <f t="shared" si="333"/>
        <v/>
      </c>
      <c r="AN1543" s="12" t="str">
        <f t="shared" si="334"/>
        <v/>
      </c>
      <c r="AO1543" s="12" t="str">
        <f t="shared" si="335"/>
        <v/>
      </c>
      <c r="AP1543" s="12" t="str">
        <f t="shared" si="336"/>
        <v/>
      </c>
      <c r="AQ1543" s="12"/>
      <c r="AS1543" s="12">
        <f t="shared" si="332"/>
        <v>0</v>
      </c>
    </row>
    <row r="1544" spans="1:45" hidden="1" x14ac:dyDescent="0.25">
      <c r="A1544" s="41">
        <f>CASOPOInvCL!T1544</f>
        <v>0</v>
      </c>
      <c r="B1544">
        <f>CASOPOInvCL!Z1544</f>
        <v>0</v>
      </c>
      <c r="G1544" s="5">
        <f>CASOPOInvCL!I1544</f>
        <v>0</v>
      </c>
      <c r="H1544" s="31">
        <f>CASOPOInvCL!U1544</f>
        <v>0</v>
      </c>
      <c r="I1544" s="31">
        <f>CASOPOInvCL!V1544</f>
        <v>0</v>
      </c>
      <c r="J1544" s="5">
        <f>CASOPOInvCL!AB1544</f>
        <v>0</v>
      </c>
      <c r="K1544" s="31">
        <f>CASOPOInvCL!W1544</f>
        <v>0</v>
      </c>
      <c r="L1544" s="31">
        <f>CASOPOInvCL!X1544</f>
        <v>0</v>
      </c>
      <c r="M1544" s="31"/>
      <c r="N1544" s="5">
        <f>CASOPOInvCL!AF1544</f>
        <v>0</v>
      </c>
      <c r="O1544" s="16">
        <f>CASOPOInvCL!AG1544</f>
        <v>0</v>
      </c>
      <c r="P1544" s="16">
        <f>CASOPOInvCL!AH1544</f>
        <v>0</v>
      </c>
      <c r="Q1544" s="16">
        <f>CASOPOInvCL!AI1544</f>
        <v>0</v>
      </c>
      <c r="R1544" s="32">
        <f>CASOPOInvCL!AU1544</f>
        <v>0</v>
      </c>
      <c r="S1544" s="16">
        <f>CASOPOInvCL!AV1544</f>
        <v>0</v>
      </c>
      <c r="T1544" s="16">
        <f>CASOPOInvCL!AW1544</f>
        <v>0</v>
      </c>
      <c r="Y1544" s="29" t="str">
        <f>IFERROR(HLOOKUP(U1551,List!$D$2:$H$6,2,FALSE),"")</f>
        <v/>
      </c>
      <c r="Z1544" s="29" t="str">
        <f>IFERROR(HLOOKUP(V1551,List!$D$2:$H$6,3,FALSE),"")</f>
        <v/>
      </c>
      <c r="AA1544" s="29" t="str">
        <f>IFERROR(HLOOKUP(W1551,List!$D$2:$H$6,4,FALSE),"")</f>
        <v/>
      </c>
      <c r="AB1544" s="29" t="str">
        <f>IFERROR(HLOOKUP(X1551,List!$D$2:$H$6,5,FALSE),"")</f>
        <v/>
      </c>
      <c r="AC1544" s="12" t="str">
        <f t="shared" si="337"/>
        <v/>
      </c>
      <c r="AD1544" s="12" t="str">
        <f t="shared" si="337"/>
        <v/>
      </c>
      <c r="AE1544" s="12" t="str">
        <f t="shared" si="337"/>
        <v/>
      </c>
      <c r="AF1544" s="12" t="str">
        <f t="shared" si="337"/>
        <v/>
      </c>
      <c r="AM1544" s="12" t="str">
        <f t="shared" si="333"/>
        <v/>
      </c>
      <c r="AN1544" s="12" t="str">
        <f t="shared" si="334"/>
        <v/>
      </c>
      <c r="AO1544" s="12" t="str">
        <f t="shared" si="335"/>
        <v/>
      </c>
      <c r="AP1544" s="12" t="str">
        <f t="shared" si="336"/>
        <v/>
      </c>
      <c r="AQ1544" s="12"/>
      <c r="AS1544" s="12">
        <f t="shared" si="332"/>
        <v>0</v>
      </c>
    </row>
    <row r="1545" spans="1:45" hidden="1" x14ac:dyDescent="0.25">
      <c r="A1545" s="41">
        <f>CASOPOInvCL!T1545</f>
        <v>0</v>
      </c>
      <c r="B1545">
        <f>CASOPOInvCL!Z1545</f>
        <v>0</v>
      </c>
      <c r="G1545" s="5">
        <f>CASOPOInvCL!I1545</f>
        <v>0</v>
      </c>
      <c r="H1545" s="31">
        <f>CASOPOInvCL!U1545</f>
        <v>0</v>
      </c>
      <c r="I1545" s="31">
        <f>CASOPOInvCL!V1545</f>
        <v>0</v>
      </c>
      <c r="J1545" s="5">
        <f>CASOPOInvCL!AB1545</f>
        <v>0</v>
      </c>
      <c r="K1545" s="31">
        <f>CASOPOInvCL!W1545</f>
        <v>0</v>
      </c>
      <c r="L1545" s="31">
        <f>CASOPOInvCL!X1545</f>
        <v>0</v>
      </c>
      <c r="M1545" s="31"/>
      <c r="N1545" s="5">
        <f>CASOPOInvCL!AF1545</f>
        <v>0</v>
      </c>
      <c r="O1545" s="16">
        <f>CASOPOInvCL!AG1545</f>
        <v>0</v>
      </c>
      <c r="P1545" s="16">
        <f>CASOPOInvCL!AH1545</f>
        <v>0</v>
      </c>
      <c r="Q1545" s="16">
        <f>CASOPOInvCL!AI1545</f>
        <v>0</v>
      </c>
      <c r="R1545" s="32">
        <f>CASOPOInvCL!AU1545</f>
        <v>0</v>
      </c>
      <c r="S1545" s="16">
        <f>CASOPOInvCL!AV1545</f>
        <v>0</v>
      </c>
      <c r="T1545" s="16">
        <f>CASOPOInvCL!AW1545</f>
        <v>0</v>
      </c>
      <c r="Y1545" s="29" t="str">
        <f>IFERROR(HLOOKUP(U1552,List!$D$2:$H$6,2,FALSE),"")</f>
        <v/>
      </c>
      <c r="Z1545" s="29" t="str">
        <f>IFERROR(HLOOKUP(V1552,List!$D$2:$H$6,3,FALSE),"")</f>
        <v/>
      </c>
      <c r="AA1545" s="29" t="str">
        <f>IFERROR(HLOOKUP(W1552,List!$D$2:$H$6,4,FALSE),"")</f>
        <v/>
      </c>
      <c r="AB1545" s="29" t="str">
        <f>IFERROR(HLOOKUP(X1552,List!$D$2:$H$6,5,FALSE),"")</f>
        <v/>
      </c>
      <c r="AC1545" s="12" t="str">
        <f t="shared" si="337"/>
        <v/>
      </c>
      <c r="AD1545" s="12" t="str">
        <f t="shared" si="337"/>
        <v/>
      </c>
      <c r="AE1545" s="12" t="str">
        <f t="shared" si="337"/>
        <v/>
      </c>
      <c r="AF1545" s="12" t="str">
        <f t="shared" si="337"/>
        <v/>
      </c>
      <c r="AM1545" s="12" t="str">
        <f t="shared" si="333"/>
        <v/>
      </c>
      <c r="AN1545" s="12" t="str">
        <f t="shared" si="334"/>
        <v/>
      </c>
      <c r="AO1545" s="12" t="str">
        <f t="shared" si="335"/>
        <v/>
      </c>
      <c r="AP1545" s="12" t="str">
        <f t="shared" si="336"/>
        <v/>
      </c>
      <c r="AQ1545" s="12"/>
      <c r="AS1545" s="12">
        <f t="shared" si="332"/>
        <v>0</v>
      </c>
    </row>
    <row r="1546" spans="1:45" hidden="1" x14ac:dyDescent="0.25">
      <c r="A1546" s="41">
        <f>CASOPOInvCL!T1546</f>
        <v>0</v>
      </c>
      <c r="B1546">
        <f>CASOPOInvCL!Z1546</f>
        <v>0</v>
      </c>
      <c r="G1546" s="5">
        <f>CASOPOInvCL!I1546</f>
        <v>0</v>
      </c>
      <c r="H1546" s="31">
        <f>CASOPOInvCL!U1546</f>
        <v>0</v>
      </c>
      <c r="I1546" s="31">
        <f>CASOPOInvCL!V1546</f>
        <v>0</v>
      </c>
      <c r="J1546" s="5">
        <f>CASOPOInvCL!AB1546</f>
        <v>0</v>
      </c>
      <c r="K1546" s="31">
        <f>CASOPOInvCL!W1546</f>
        <v>0</v>
      </c>
      <c r="L1546" s="31">
        <f>CASOPOInvCL!X1546</f>
        <v>0</v>
      </c>
      <c r="M1546" s="31"/>
      <c r="N1546" s="5">
        <f>CASOPOInvCL!AF1546</f>
        <v>0</v>
      </c>
      <c r="O1546" s="16">
        <f>CASOPOInvCL!AG1546</f>
        <v>0</v>
      </c>
      <c r="P1546" s="16">
        <f>CASOPOInvCL!AH1546</f>
        <v>0</v>
      </c>
      <c r="Q1546" s="16">
        <f>CASOPOInvCL!AI1546</f>
        <v>0</v>
      </c>
      <c r="R1546" s="32">
        <f>CASOPOInvCL!AU1546</f>
        <v>0</v>
      </c>
      <c r="S1546" s="16">
        <f>CASOPOInvCL!AV1546</f>
        <v>0</v>
      </c>
      <c r="T1546" s="16">
        <f>CASOPOInvCL!AW1546</f>
        <v>0</v>
      </c>
      <c r="Y1546" s="29" t="str">
        <f>IFERROR(HLOOKUP(U1553,List!$D$2:$H$6,2,FALSE),"")</f>
        <v/>
      </c>
      <c r="Z1546" s="29" t="str">
        <f>IFERROR(HLOOKUP(V1553,List!$D$2:$H$6,3,FALSE),"")</f>
        <v/>
      </c>
      <c r="AA1546" s="29" t="str">
        <f>IFERROR(HLOOKUP(W1553,List!$D$2:$H$6,4,FALSE),"")</f>
        <v/>
      </c>
      <c r="AB1546" s="29" t="str">
        <f>IFERROR(HLOOKUP(X1553,List!$D$2:$H$6,5,FALSE),"")</f>
        <v/>
      </c>
      <c r="AC1546" s="12" t="str">
        <f t="shared" si="337"/>
        <v/>
      </c>
      <c r="AD1546" s="12" t="str">
        <f t="shared" si="337"/>
        <v/>
      </c>
      <c r="AE1546" s="12" t="str">
        <f t="shared" si="337"/>
        <v/>
      </c>
      <c r="AF1546" s="12" t="str">
        <f t="shared" si="337"/>
        <v/>
      </c>
      <c r="AM1546" s="12" t="str">
        <f t="shared" si="333"/>
        <v/>
      </c>
      <c r="AN1546" s="12" t="str">
        <f t="shared" si="334"/>
        <v/>
      </c>
      <c r="AO1546" s="12" t="str">
        <f t="shared" si="335"/>
        <v/>
      </c>
      <c r="AP1546" s="12" t="str">
        <f t="shared" si="336"/>
        <v/>
      </c>
      <c r="AQ1546" s="12"/>
      <c r="AS1546" s="12">
        <f t="shared" ref="AS1546:AS1607" si="338">T1539*1.5%</f>
        <v>0</v>
      </c>
    </row>
    <row r="1547" spans="1:45" hidden="1" x14ac:dyDescent="0.25">
      <c r="A1547" s="41">
        <f>CASOPOInvCL!T1547</f>
        <v>0</v>
      </c>
      <c r="B1547">
        <f>CASOPOInvCL!Z1547</f>
        <v>0</v>
      </c>
      <c r="G1547" s="5">
        <f>CASOPOInvCL!I1547</f>
        <v>0</v>
      </c>
      <c r="H1547" s="31">
        <f>CASOPOInvCL!U1547</f>
        <v>0</v>
      </c>
      <c r="I1547" s="31">
        <f>CASOPOInvCL!V1547</f>
        <v>0</v>
      </c>
      <c r="J1547" s="5">
        <f>CASOPOInvCL!AB1547</f>
        <v>0</v>
      </c>
      <c r="K1547" s="31">
        <f>CASOPOInvCL!W1547</f>
        <v>0</v>
      </c>
      <c r="L1547" s="31">
        <f>CASOPOInvCL!X1547</f>
        <v>0</v>
      </c>
      <c r="M1547" s="31"/>
      <c r="N1547" s="5">
        <f>CASOPOInvCL!AF1547</f>
        <v>0</v>
      </c>
      <c r="O1547" s="16">
        <f>CASOPOInvCL!AG1547</f>
        <v>0</v>
      </c>
      <c r="P1547" s="16">
        <f>CASOPOInvCL!AH1547</f>
        <v>0</v>
      </c>
      <c r="Q1547" s="16">
        <f>CASOPOInvCL!AI1547</f>
        <v>0</v>
      </c>
      <c r="R1547" s="32">
        <f>CASOPOInvCL!AU1547</f>
        <v>0</v>
      </c>
      <c r="S1547" s="16">
        <f>CASOPOInvCL!AV1547</f>
        <v>0</v>
      </c>
      <c r="T1547" s="16">
        <f>CASOPOInvCL!AW1547</f>
        <v>0</v>
      </c>
      <c r="Y1547" s="29" t="str">
        <f>IFERROR(HLOOKUP(U1554,List!$D$2:$H$6,2,FALSE),"")</f>
        <v/>
      </c>
      <c r="Z1547" s="29" t="str">
        <f>IFERROR(HLOOKUP(V1554,List!$D$2:$H$6,3,FALSE),"")</f>
        <v/>
      </c>
      <c r="AA1547" s="29" t="str">
        <f>IFERROR(HLOOKUP(W1554,List!$D$2:$H$6,4,FALSE),"")</f>
        <v/>
      </c>
      <c r="AB1547" s="29" t="str">
        <f>IFERROR(HLOOKUP(X1554,List!$D$2:$H$6,5,FALSE),"")</f>
        <v/>
      </c>
      <c r="AC1547" s="12" t="str">
        <f t="shared" si="337"/>
        <v/>
      </c>
      <c r="AD1547" s="12" t="str">
        <f t="shared" si="337"/>
        <v/>
      </c>
      <c r="AE1547" s="12" t="str">
        <f t="shared" si="337"/>
        <v/>
      </c>
      <c r="AF1547" s="12" t="str">
        <f t="shared" si="337"/>
        <v/>
      </c>
      <c r="AM1547" s="12" t="str">
        <f t="shared" si="333"/>
        <v/>
      </c>
      <c r="AN1547" s="12" t="str">
        <f t="shared" si="334"/>
        <v/>
      </c>
      <c r="AO1547" s="12" t="str">
        <f t="shared" si="335"/>
        <v/>
      </c>
      <c r="AP1547" s="12" t="str">
        <f t="shared" si="336"/>
        <v/>
      </c>
      <c r="AQ1547" s="12"/>
      <c r="AS1547" s="12">
        <f t="shared" si="338"/>
        <v>0</v>
      </c>
    </row>
    <row r="1548" spans="1:45" hidden="1" x14ac:dyDescent="0.25">
      <c r="A1548" s="41">
        <f>CASOPOInvCL!T1548</f>
        <v>0</v>
      </c>
      <c r="B1548">
        <f>CASOPOInvCL!Z1548</f>
        <v>0</v>
      </c>
      <c r="G1548" s="5">
        <f>CASOPOInvCL!I1548</f>
        <v>0</v>
      </c>
      <c r="H1548" s="31">
        <f>CASOPOInvCL!U1548</f>
        <v>0</v>
      </c>
      <c r="I1548" s="31">
        <f>CASOPOInvCL!V1548</f>
        <v>0</v>
      </c>
      <c r="J1548" s="5">
        <f>CASOPOInvCL!AB1548</f>
        <v>0</v>
      </c>
      <c r="K1548" s="31">
        <f>CASOPOInvCL!W1548</f>
        <v>0</v>
      </c>
      <c r="L1548" s="31">
        <f>CASOPOInvCL!X1548</f>
        <v>0</v>
      </c>
      <c r="M1548" s="31"/>
      <c r="N1548" s="5">
        <f>CASOPOInvCL!AF1548</f>
        <v>0</v>
      </c>
      <c r="O1548" s="16">
        <f>CASOPOInvCL!AG1548</f>
        <v>0</v>
      </c>
      <c r="P1548" s="16">
        <f>CASOPOInvCL!AH1548</f>
        <v>0</v>
      </c>
      <c r="Q1548" s="16">
        <f>CASOPOInvCL!AI1548</f>
        <v>0</v>
      </c>
      <c r="R1548" s="32">
        <f>CASOPOInvCL!AU1548</f>
        <v>0</v>
      </c>
      <c r="S1548" s="16">
        <f>CASOPOInvCL!AV1548</f>
        <v>0</v>
      </c>
      <c r="T1548" s="16">
        <f>CASOPOInvCL!AW1548</f>
        <v>0</v>
      </c>
      <c r="Y1548" s="29" t="str">
        <f>IFERROR(HLOOKUP(U1555,List!$D$2:$H$6,2,FALSE),"")</f>
        <v/>
      </c>
      <c r="Z1548" s="29" t="str">
        <f>IFERROR(HLOOKUP(V1555,List!$D$2:$H$6,3,FALSE),"")</f>
        <v/>
      </c>
      <c r="AA1548" s="29" t="str">
        <f>IFERROR(HLOOKUP(W1555,List!$D$2:$H$6,4,FALSE),"")</f>
        <v/>
      </c>
      <c r="AB1548" s="29" t="str">
        <f>IFERROR(HLOOKUP(X1555,List!$D$2:$H$6,5,FALSE),"")</f>
        <v/>
      </c>
      <c r="AC1548" s="12" t="str">
        <f t="shared" si="337"/>
        <v/>
      </c>
      <c r="AD1548" s="12" t="str">
        <f t="shared" si="337"/>
        <v/>
      </c>
      <c r="AE1548" s="12" t="str">
        <f t="shared" si="337"/>
        <v/>
      </c>
      <c r="AF1548" s="12" t="str">
        <f t="shared" si="337"/>
        <v/>
      </c>
      <c r="AM1548" s="12" t="str">
        <f t="shared" si="333"/>
        <v/>
      </c>
      <c r="AN1548" s="12" t="str">
        <f t="shared" si="334"/>
        <v/>
      </c>
      <c r="AO1548" s="12" t="str">
        <f t="shared" si="335"/>
        <v/>
      </c>
      <c r="AP1548" s="12" t="str">
        <f t="shared" si="336"/>
        <v/>
      </c>
      <c r="AQ1548" s="12"/>
      <c r="AS1548" s="12">
        <f t="shared" si="338"/>
        <v>0</v>
      </c>
    </row>
    <row r="1549" spans="1:45" hidden="1" x14ac:dyDescent="0.25">
      <c r="A1549" s="41">
        <f>CASOPOInvCL!T1549</f>
        <v>0</v>
      </c>
      <c r="B1549">
        <f>CASOPOInvCL!Z1549</f>
        <v>0</v>
      </c>
      <c r="G1549" s="5">
        <f>CASOPOInvCL!I1549</f>
        <v>0</v>
      </c>
      <c r="H1549" s="31">
        <f>CASOPOInvCL!U1549</f>
        <v>0</v>
      </c>
      <c r="I1549" s="31">
        <f>CASOPOInvCL!V1549</f>
        <v>0</v>
      </c>
      <c r="J1549" s="5">
        <f>CASOPOInvCL!AB1549</f>
        <v>0</v>
      </c>
      <c r="K1549" s="31">
        <f>CASOPOInvCL!W1549</f>
        <v>0</v>
      </c>
      <c r="L1549" s="31">
        <f>CASOPOInvCL!X1549</f>
        <v>0</v>
      </c>
      <c r="M1549" s="31"/>
      <c r="N1549" s="5">
        <f>CASOPOInvCL!AF1549</f>
        <v>0</v>
      </c>
      <c r="O1549" s="16">
        <f>CASOPOInvCL!AG1549</f>
        <v>0</v>
      </c>
      <c r="P1549" s="16">
        <f>CASOPOInvCL!AH1549</f>
        <v>0</v>
      </c>
      <c r="Q1549" s="16">
        <f>CASOPOInvCL!AI1549</f>
        <v>0</v>
      </c>
      <c r="R1549" s="32">
        <f>CASOPOInvCL!AU1549</f>
        <v>0</v>
      </c>
      <c r="S1549" s="16">
        <f>CASOPOInvCL!AV1549</f>
        <v>0</v>
      </c>
      <c r="T1549" s="16">
        <f>CASOPOInvCL!AW1549</f>
        <v>0</v>
      </c>
      <c r="Y1549" s="29" t="str">
        <f>IFERROR(HLOOKUP(U1556,List!$D$2:$H$6,2,FALSE),"")</f>
        <v/>
      </c>
      <c r="Z1549" s="29" t="str">
        <f>IFERROR(HLOOKUP(V1556,List!$D$2:$H$6,3,FALSE),"")</f>
        <v/>
      </c>
      <c r="AA1549" s="29" t="str">
        <f>IFERROR(HLOOKUP(W1556,List!$D$2:$H$6,4,FALSE),"")</f>
        <v/>
      </c>
      <c r="AB1549" s="29" t="str">
        <f>IFERROR(HLOOKUP(X1556,List!$D$2:$H$6,5,FALSE),"")</f>
        <v/>
      </c>
      <c r="AC1549" s="12" t="str">
        <f t="shared" si="337"/>
        <v/>
      </c>
      <c r="AD1549" s="12" t="str">
        <f t="shared" si="337"/>
        <v/>
      </c>
      <c r="AE1549" s="12" t="str">
        <f t="shared" si="337"/>
        <v/>
      </c>
      <c r="AF1549" s="12" t="str">
        <f t="shared" si="337"/>
        <v/>
      </c>
      <c r="AM1549" s="12" t="str">
        <f t="shared" si="333"/>
        <v/>
      </c>
      <c r="AN1549" s="12" t="str">
        <f t="shared" si="334"/>
        <v/>
      </c>
      <c r="AO1549" s="12" t="str">
        <f t="shared" si="335"/>
        <v/>
      </c>
      <c r="AP1549" s="12" t="str">
        <f t="shared" si="336"/>
        <v/>
      </c>
      <c r="AQ1549" s="12"/>
      <c r="AS1549" s="12">
        <f t="shared" si="338"/>
        <v>0</v>
      </c>
    </row>
    <row r="1550" spans="1:45" hidden="1" x14ac:dyDescent="0.25">
      <c r="A1550" s="41">
        <f>CASOPOInvCL!T1550</f>
        <v>0</v>
      </c>
      <c r="B1550">
        <f>CASOPOInvCL!Z1550</f>
        <v>0</v>
      </c>
      <c r="G1550" s="5">
        <f>CASOPOInvCL!I1550</f>
        <v>0</v>
      </c>
      <c r="H1550" s="31">
        <f>CASOPOInvCL!U1550</f>
        <v>0</v>
      </c>
      <c r="I1550" s="31">
        <f>CASOPOInvCL!V1550</f>
        <v>0</v>
      </c>
      <c r="J1550" s="5">
        <f>CASOPOInvCL!AB1550</f>
        <v>0</v>
      </c>
      <c r="K1550" s="31">
        <f>CASOPOInvCL!W1550</f>
        <v>0</v>
      </c>
      <c r="L1550" s="31">
        <f>CASOPOInvCL!X1550</f>
        <v>0</v>
      </c>
      <c r="M1550" s="31"/>
      <c r="N1550" s="5">
        <f>CASOPOInvCL!AF1550</f>
        <v>0</v>
      </c>
      <c r="O1550" s="16">
        <f>CASOPOInvCL!AG1550</f>
        <v>0</v>
      </c>
      <c r="P1550" s="16">
        <f>CASOPOInvCL!AH1550</f>
        <v>0</v>
      </c>
      <c r="Q1550" s="16">
        <f>CASOPOInvCL!AI1550</f>
        <v>0</v>
      </c>
      <c r="R1550" s="32">
        <f>CASOPOInvCL!AU1550</f>
        <v>0</v>
      </c>
      <c r="S1550" s="16">
        <f>CASOPOInvCL!AV1550</f>
        <v>0</v>
      </c>
      <c r="T1550" s="16">
        <f>CASOPOInvCL!AW1550</f>
        <v>0</v>
      </c>
      <c r="Y1550" s="29" t="str">
        <f>IFERROR(HLOOKUP(U1557,List!$D$2:$H$6,2,FALSE),"")</f>
        <v/>
      </c>
      <c r="Z1550" s="29" t="str">
        <f>IFERROR(HLOOKUP(V1557,List!$D$2:$H$6,3,FALSE),"")</f>
        <v/>
      </c>
      <c r="AA1550" s="29" t="str">
        <f>IFERROR(HLOOKUP(W1557,List!$D$2:$H$6,4,FALSE),"")</f>
        <v/>
      </c>
      <c r="AB1550" s="29" t="str">
        <f>IFERROR(HLOOKUP(X1557,List!$D$2:$H$6,5,FALSE),"")</f>
        <v/>
      </c>
      <c r="AC1550" s="12" t="str">
        <f t="shared" si="337"/>
        <v/>
      </c>
      <c r="AD1550" s="12" t="str">
        <f t="shared" si="337"/>
        <v/>
      </c>
      <c r="AE1550" s="12" t="str">
        <f t="shared" si="337"/>
        <v/>
      </c>
      <c r="AF1550" s="12" t="str">
        <f t="shared" si="337"/>
        <v/>
      </c>
      <c r="AM1550" s="12" t="str">
        <f t="shared" si="333"/>
        <v/>
      </c>
      <c r="AN1550" s="12" t="str">
        <f t="shared" si="334"/>
        <v/>
      </c>
      <c r="AO1550" s="12" t="str">
        <f t="shared" si="335"/>
        <v/>
      </c>
      <c r="AP1550" s="12" t="str">
        <f t="shared" si="336"/>
        <v/>
      </c>
      <c r="AQ1550" s="12"/>
      <c r="AS1550" s="12">
        <f t="shared" si="338"/>
        <v>0</v>
      </c>
    </row>
    <row r="1551" spans="1:45" hidden="1" x14ac:dyDescent="0.25">
      <c r="A1551" s="41">
        <f>CASOPOInvCL!T1551</f>
        <v>0</v>
      </c>
      <c r="B1551">
        <f>CASOPOInvCL!Z1551</f>
        <v>0</v>
      </c>
      <c r="G1551" s="5">
        <f>CASOPOInvCL!I1551</f>
        <v>0</v>
      </c>
      <c r="H1551" s="31">
        <f>CASOPOInvCL!U1551</f>
        <v>0</v>
      </c>
      <c r="I1551" s="31">
        <f>CASOPOInvCL!V1551</f>
        <v>0</v>
      </c>
      <c r="J1551" s="5">
        <f>CASOPOInvCL!AB1551</f>
        <v>0</v>
      </c>
      <c r="K1551" s="31">
        <f>CASOPOInvCL!W1551</f>
        <v>0</v>
      </c>
      <c r="L1551" s="31">
        <f>CASOPOInvCL!X1551</f>
        <v>0</v>
      </c>
      <c r="M1551" s="31"/>
      <c r="N1551" s="5">
        <f>CASOPOInvCL!AF1551</f>
        <v>0</v>
      </c>
      <c r="O1551" s="16">
        <f>CASOPOInvCL!AG1551</f>
        <v>0</v>
      </c>
      <c r="P1551" s="16">
        <f>CASOPOInvCL!AH1551</f>
        <v>0</v>
      </c>
      <c r="Q1551" s="16">
        <f>CASOPOInvCL!AI1551</f>
        <v>0</v>
      </c>
      <c r="R1551" s="32">
        <f>CASOPOInvCL!AU1551</f>
        <v>0</v>
      </c>
      <c r="S1551" s="16">
        <f>CASOPOInvCL!AV1551</f>
        <v>0</v>
      </c>
      <c r="T1551" s="16">
        <f>CASOPOInvCL!AW1551</f>
        <v>0</v>
      </c>
      <c r="Y1551" s="29" t="str">
        <f>IFERROR(HLOOKUP(U1558,List!$D$2:$H$6,2,FALSE),"")</f>
        <v/>
      </c>
      <c r="Z1551" s="29" t="str">
        <f>IFERROR(HLOOKUP(V1558,List!$D$2:$H$6,3,FALSE),"")</f>
        <v/>
      </c>
      <c r="AA1551" s="29" t="str">
        <f>IFERROR(HLOOKUP(W1558,List!$D$2:$H$6,4,FALSE),"")</f>
        <v/>
      </c>
      <c r="AB1551" s="29" t="str">
        <f>IFERROR(HLOOKUP(X1558,List!$D$2:$H$6,5,FALSE),"")</f>
        <v/>
      </c>
      <c r="AC1551" s="12" t="str">
        <f t="shared" si="337"/>
        <v/>
      </c>
      <c r="AD1551" s="12" t="str">
        <f t="shared" si="337"/>
        <v/>
      </c>
      <c r="AE1551" s="12" t="str">
        <f t="shared" si="337"/>
        <v/>
      </c>
      <c r="AF1551" s="12" t="str">
        <f t="shared" si="337"/>
        <v/>
      </c>
      <c r="AM1551" s="12" t="str">
        <f t="shared" si="333"/>
        <v/>
      </c>
      <c r="AN1551" s="12" t="str">
        <f t="shared" si="334"/>
        <v/>
      </c>
      <c r="AO1551" s="12" t="str">
        <f t="shared" si="335"/>
        <v/>
      </c>
      <c r="AP1551" s="12" t="str">
        <f t="shared" si="336"/>
        <v/>
      </c>
      <c r="AQ1551" s="12"/>
      <c r="AS1551" s="12">
        <f t="shared" si="338"/>
        <v>0</v>
      </c>
    </row>
    <row r="1552" spans="1:45" hidden="1" x14ac:dyDescent="0.25">
      <c r="A1552" s="41">
        <f>CASOPOInvCL!T1552</f>
        <v>0</v>
      </c>
      <c r="B1552">
        <f>CASOPOInvCL!Z1552</f>
        <v>0</v>
      </c>
      <c r="G1552" s="5">
        <f>CASOPOInvCL!I1552</f>
        <v>0</v>
      </c>
      <c r="H1552" s="31">
        <f>CASOPOInvCL!U1552</f>
        <v>0</v>
      </c>
      <c r="I1552" s="31">
        <f>CASOPOInvCL!V1552</f>
        <v>0</v>
      </c>
      <c r="J1552" s="5">
        <f>CASOPOInvCL!AB1552</f>
        <v>0</v>
      </c>
      <c r="K1552" s="31">
        <f>CASOPOInvCL!W1552</f>
        <v>0</v>
      </c>
      <c r="L1552" s="31">
        <f>CASOPOInvCL!X1552</f>
        <v>0</v>
      </c>
      <c r="M1552" s="31"/>
      <c r="N1552" s="5">
        <f>CASOPOInvCL!AF1552</f>
        <v>0</v>
      </c>
      <c r="O1552" s="16">
        <f>CASOPOInvCL!AG1552</f>
        <v>0</v>
      </c>
      <c r="P1552" s="16">
        <f>CASOPOInvCL!AH1552</f>
        <v>0</v>
      </c>
      <c r="Q1552" s="16">
        <f>CASOPOInvCL!AI1552</f>
        <v>0</v>
      </c>
      <c r="R1552" s="32">
        <f>CASOPOInvCL!AU1552</f>
        <v>0</v>
      </c>
      <c r="S1552" s="16">
        <f>CASOPOInvCL!AV1552</f>
        <v>0</v>
      </c>
      <c r="T1552" s="16">
        <f>CASOPOInvCL!AW1552</f>
        <v>0</v>
      </c>
      <c r="Y1552" s="29" t="str">
        <f>IFERROR(HLOOKUP(U1559,List!$D$2:$H$6,2,FALSE),"")</f>
        <v/>
      </c>
      <c r="Z1552" s="29" t="str">
        <f>IFERROR(HLOOKUP(V1559,List!$D$2:$H$6,3,FALSE),"")</f>
        <v/>
      </c>
      <c r="AA1552" s="29" t="str">
        <f>IFERROR(HLOOKUP(W1559,List!$D$2:$H$6,4,FALSE),"")</f>
        <v/>
      </c>
      <c r="AB1552" s="29" t="str">
        <f>IFERROR(HLOOKUP(X1559,List!$D$2:$H$6,5,FALSE),"")</f>
        <v/>
      </c>
      <c r="AC1552" s="12" t="str">
        <f t="shared" si="337"/>
        <v/>
      </c>
      <c r="AD1552" s="12" t="str">
        <f t="shared" si="337"/>
        <v/>
      </c>
      <c r="AE1552" s="12" t="str">
        <f t="shared" si="337"/>
        <v/>
      </c>
      <c r="AF1552" s="12" t="str">
        <f t="shared" si="337"/>
        <v/>
      </c>
      <c r="AM1552" s="12" t="str">
        <f t="shared" si="333"/>
        <v/>
      </c>
      <c r="AN1552" s="12" t="str">
        <f t="shared" si="334"/>
        <v/>
      </c>
      <c r="AO1552" s="12" t="str">
        <f t="shared" si="335"/>
        <v/>
      </c>
      <c r="AP1552" s="12" t="str">
        <f t="shared" si="336"/>
        <v/>
      </c>
      <c r="AQ1552" s="12"/>
      <c r="AS1552" s="12">
        <f t="shared" si="338"/>
        <v>0</v>
      </c>
    </row>
    <row r="1553" spans="1:45" hidden="1" x14ac:dyDescent="0.25">
      <c r="A1553" s="41">
        <f>CASOPOInvCL!T1553</f>
        <v>0</v>
      </c>
      <c r="B1553">
        <f>CASOPOInvCL!Z1553</f>
        <v>0</v>
      </c>
      <c r="G1553" s="5">
        <f>CASOPOInvCL!I1553</f>
        <v>0</v>
      </c>
      <c r="H1553" s="31">
        <f>CASOPOInvCL!U1553</f>
        <v>0</v>
      </c>
      <c r="I1553" s="31">
        <f>CASOPOInvCL!V1553</f>
        <v>0</v>
      </c>
      <c r="J1553" s="5">
        <f>CASOPOInvCL!AB1553</f>
        <v>0</v>
      </c>
      <c r="K1553" s="31">
        <f>CASOPOInvCL!W1553</f>
        <v>0</v>
      </c>
      <c r="L1553" s="31">
        <f>CASOPOInvCL!X1553</f>
        <v>0</v>
      </c>
      <c r="M1553" s="31"/>
      <c r="N1553" s="5">
        <f>CASOPOInvCL!AF1553</f>
        <v>0</v>
      </c>
      <c r="O1553" s="16">
        <f>CASOPOInvCL!AG1553</f>
        <v>0</v>
      </c>
      <c r="P1553" s="16">
        <f>CASOPOInvCL!AH1553</f>
        <v>0</v>
      </c>
      <c r="Q1553" s="16">
        <f>CASOPOInvCL!AI1553</f>
        <v>0</v>
      </c>
      <c r="R1553" s="32">
        <f>CASOPOInvCL!AU1553</f>
        <v>0</v>
      </c>
      <c r="S1553" s="16">
        <f>CASOPOInvCL!AV1553</f>
        <v>0</v>
      </c>
      <c r="T1553" s="16">
        <f>CASOPOInvCL!AW1553</f>
        <v>0</v>
      </c>
      <c r="Y1553" s="29" t="str">
        <f>IFERROR(HLOOKUP(U1560,List!$D$2:$H$6,2,FALSE),"")</f>
        <v/>
      </c>
      <c r="Z1553" s="29" t="str">
        <f>IFERROR(HLOOKUP(V1560,List!$D$2:$H$6,3,FALSE),"")</f>
        <v/>
      </c>
      <c r="AA1553" s="29" t="str">
        <f>IFERROR(HLOOKUP(W1560,List!$D$2:$H$6,4,FALSE),"")</f>
        <v/>
      </c>
      <c r="AB1553" s="29" t="str">
        <f>IFERROR(HLOOKUP(X1560,List!$D$2:$H$6,5,FALSE),"")</f>
        <v/>
      </c>
      <c r="AC1553" s="12" t="str">
        <f t="shared" si="337"/>
        <v/>
      </c>
      <c r="AD1553" s="12" t="str">
        <f t="shared" si="337"/>
        <v/>
      </c>
      <c r="AE1553" s="12" t="str">
        <f t="shared" si="337"/>
        <v/>
      </c>
      <c r="AF1553" s="12" t="str">
        <f t="shared" si="337"/>
        <v/>
      </c>
      <c r="AM1553" s="12" t="str">
        <f t="shared" si="333"/>
        <v/>
      </c>
      <c r="AN1553" s="12" t="str">
        <f t="shared" si="334"/>
        <v/>
      </c>
      <c r="AO1553" s="12" t="str">
        <f t="shared" si="335"/>
        <v/>
      </c>
      <c r="AP1553" s="12" t="str">
        <f t="shared" si="336"/>
        <v/>
      </c>
      <c r="AQ1553" s="12"/>
      <c r="AS1553" s="12">
        <f t="shared" si="338"/>
        <v>0</v>
      </c>
    </row>
    <row r="1554" spans="1:45" hidden="1" x14ac:dyDescent="0.25">
      <c r="A1554" s="41">
        <f>CASOPOInvCL!T1554</f>
        <v>0</v>
      </c>
      <c r="B1554">
        <f>CASOPOInvCL!Z1554</f>
        <v>0</v>
      </c>
      <c r="G1554" s="5">
        <f>CASOPOInvCL!I1554</f>
        <v>0</v>
      </c>
      <c r="H1554" s="31">
        <f>CASOPOInvCL!U1554</f>
        <v>0</v>
      </c>
      <c r="I1554" s="31">
        <f>CASOPOInvCL!V1554</f>
        <v>0</v>
      </c>
      <c r="J1554" s="5">
        <f>CASOPOInvCL!AB1554</f>
        <v>0</v>
      </c>
      <c r="K1554" s="31">
        <f>CASOPOInvCL!W1554</f>
        <v>0</v>
      </c>
      <c r="L1554" s="31">
        <f>CASOPOInvCL!X1554</f>
        <v>0</v>
      </c>
      <c r="M1554" s="31"/>
      <c r="N1554" s="5">
        <f>CASOPOInvCL!AF1554</f>
        <v>0</v>
      </c>
      <c r="O1554" s="16">
        <f>CASOPOInvCL!AG1554</f>
        <v>0</v>
      </c>
      <c r="P1554" s="16">
        <f>CASOPOInvCL!AH1554</f>
        <v>0</v>
      </c>
      <c r="Q1554" s="16">
        <f>CASOPOInvCL!AI1554</f>
        <v>0</v>
      </c>
      <c r="R1554" s="32">
        <f>CASOPOInvCL!AU1554</f>
        <v>0</v>
      </c>
      <c r="S1554" s="16">
        <f>CASOPOInvCL!AV1554</f>
        <v>0</v>
      </c>
      <c r="T1554" s="16">
        <f>CASOPOInvCL!AW1554</f>
        <v>0</v>
      </c>
      <c r="Y1554" s="29" t="str">
        <f>IFERROR(HLOOKUP(U1561,List!$D$2:$H$6,2,FALSE),"")</f>
        <v/>
      </c>
      <c r="Z1554" s="29" t="str">
        <f>IFERROR(HLOOKUP(V1561,List!$D$2:$H$6,3,FALSE),"")</f>
        <v/>
      </c>
      <c r="AA1554" s="29" t="str">
        <f>IFERROR(HLOOKUP(W1561,List!$D$2:$H$6,4,FALSE),"")</f>
        <v/>
      </c>
      <c r="AB1554" s="29" t="str">
        <f>IFERROR(HLOOKUP(X1561,List!$D$2:$H$6,5,FALSE),"")</f>
        <v/>
      </c>
      <c r="AC1554" s="12" t="str">
        <f t="shared" si="337"/>
        <v/>
      </c>
      <c r="AD1554" s="12" t="str">
        <f t="shared" si="337"/>
        <v/>
      </c>
      <c r="AE1554" s="12" t="str">
        <f t="shared" si="337"/>
        <v/>
      </c>
      <c r="AF1554" s="12" t="str">
        <f t="shared" si="337"/>
        <v/>
      </c>
      <c r="AM1554" s="12" t="str">
        <f t="shared" si="333"/>
        <v/>
      </c>
      <c r="AN1554" s="12" t="str">
        <f t="shared" si="334"/>
        <v/>
      </c>
      <c r="AO1554" s="12" t="str">
        <f t="shared" si="335"/>
        <v/>
      </c>
      <c r="AP1554" s="12" t="str">
        <f t="shared" si="336"/>
        <v/>
      </c>
      <c r="AQ1554" s="12"/>
      <c r="AS1554" s="12">
        <f t="shared" si="338"/>
        <v>0</v>
      </c>
    </row>
    <row r="1555" spans="1:45" hidden="1" x14ac:dyDescent="0.25">
      <c r="A1555" s="41">
        <f>CASOPOInvCL!T1555</f>
        <v>0</v>
      </c>
      <c r="B1555">
        <f>CASOPOInvCL!Z1555</f>
        <v>0</v>
      </c>
      <c r="G1555" s="5">
        <f>CASOPOInvCL!I1555</f>
        <v>0</v>
      </c>
      <c r="H1555" s="31">
        <f>CASOPOInvCL!U1555</f>
        <v>0</v>
      </c>
      <c r="I1555" s="31">
        <f>CASOPOInvCL!V1555</f>
        <v>0</v>
      </c>
      <c r="J1555" s="5">
        <f>CASOPOInvCL!AB1555</f>
        <v>0</v>
      </c>
      <c r="K1555" s="31">
        <f>CASOPOInvCL!W1555</f>
        <v>0</v>
      </c>
      <c r="L1555" s="31">
        <f>CASOPOInvCL!X1555</f>
        <v>0</v>
      </c>
      <c r="M1555" s="31"/>
      <c r="N1555" s="5">
        <f>CASOPOInvCL!AF1555</f>
        <v>0</v>
      </c>
      <c r="O1555" s="16">
        <f>CASOPOInvCL!AG1555</f>
        <v>0</v>
      </c>
      <c r="P1555" s="16">
        <f>CASOPOInvCL!AH1555</f>
        <v>0</v>
      </c>
      <c r="Q1555" s="16">
        <f>CASOPOInvCL!AI1555</f>
        <v>0</v>
      </c>
      <c r="R1555" s="32">
        <f>CASOPOInvCL!AU1555</f>
        <v>0</v>
      </c>
      <c r="S1555" s="16">
        <f>CASOPOInvCL!AV1555</f>
        <v>0</v>
      </c>
      <c r="T1555" s="16">
        <f>CASOPOInvCL!AW1555</f>
        <v>0</v>
      </c>
      <c r="Y1555" s="29" t="str">
        <f>IFERROR(HLOOKUP(U1562,List!$D$2:$H$6,2,FALSE),"")</f>
        <v/>
      </c>
      <c r="Z1555" s="29" t="str">
        <f>IFERROR(HLOOKUP(V1562,List!$D$2:$H$6,3,FALSE),"")</f>
        <v/>
      </c>
      <c r="AA1555" s="29" t="str">
        <f>IFERROR(HLOOKUP(W1562,List!$D$2:$H$6,4,FALSE),"")</f>
        <v/>
      </c>
      <c r="AB1555" s="29" t="str">
        <f>IFERROR(HLOOKUP(X1562,List!$D$2:$H$6,5,FALSE),"")</f>
        <v/>
      </c>
      <c r="AC1555" s="12" t="str">
        <f t="shared" si="337"/>
        <v/>
      </c>
      <c r="AD1555" s="12" t="str">
        <f t="shared" si="337"/>
        <v/>
      </c>
      <c r="AE1555" s="12" t="str">
        <f t="shared" si="337"/>
        <v/>
      </c>
      <c r="AF1555" s="12" t="str">
        <f t="shared" si="337"/>
        <v/>
      </c>
      <c r="AM1555" s="12" t="str">
        <f t="shared" si="333"/>
        <v/>
      </c>
      <c r="AN1555" s="12" t="str">
        <f t="shared" si="334"/>
        <v/>
      </c>
      <c r="AO1555" s="12" t="str">
        <f t="shared" si="335"/>
        <v/>
      </c>
      <c r="AP1555" s="12" t="str">
        <f t="shared" si="336"/>
        <v/>
      </c>
      <c r="AQ1555" s="12"/>
      <c r="AS1555" s="12">
        <f t="shared" si="338"/>
        <v>0</v>
      </c>
    </row>
    <row r="1556" spans="1:45" hidden="1" x14ac:dyDescent="0.25">
      <c r="A1556" s="41">
        <f>CASOPOInvCL!T1556</f>
        <v>0</v>
      </c>
      <c r="B1556">
        <f>CASOPOInvCL!Z1556</f>
        <v>0</v>
      </c>
      <c r="G1556" s="5">
        <f>CASOPOInvCL!I1556</f>
        <v>0</v>
      </c>
      <c r="H1556" s="31">
        <f>CASOPOInvCL!U1556</f>
        <v>0</v>
      </c>
      <c r="I1556" s="31">
        <f>CASOPOInvCL!V1556</f>
        <v>0</v>
      </c>
      <c r="J1556" s="5">
        <f>CASOPOInvCL!AB1556</f>
        <v>0</v>
      </c>
      <c r="K1556" s="31">
        <f>CASOPOInvCL!W1556</f>
        <v>0</v>
      </c>
      <c r="L1556" s="31">
        <f>CASOPOInvCL!X1556</f>
        <v>0</v>
      </c>
      <c r="M1556" s="31"/>
      <c r="N1556" s="5">
        <f>CASOPOInvCL!AF1556</f>
        <v>0</v>
      </c>
      <c r="O1556" s="16">
        <f>CASOPOInvCL!AG1556</f>
        <v>0</v>
      </c>
      <c r="P1556" s="16">
        <f>CASOPOInvCL!AH1556</f>
        <v>0</v>
      </c>
      <c r="Q1556" s="16">
        <f>CASOPOInvCL!AI1556</f>
        <v>0</v>
      </c>
      <c r="R1556" s="32">
        <f>CASOPOInvCL!AU1556</f>
        <v>0</v>
      </c>
      <c r="S1556" s="16">
        <f>CASOPOInvCL!AV1556</f>
        <v>0</v>
      </c>
      <c r="T1556" s="16">
        <f>CASOPOInvCL!AW1556</f>
        <v>0</v>
      </c>
      <c r="Y1556" s="29" t="str">
        <f>IFERROR(HLOOKUP(U1563,List!$D$2:$H$6,2,FALSE),"")</f>
        <v/>
      </c>
      <c r="Z1556" s="29" t="str">
        <f>IFERROR(HLOOKUP(V1563,List!$D$2:$H$6,3,FALSE),"")</f>
        <v/>
      </c>
      <c r="AA1556" s="29" t="str">
        <f>IFERROR(HLOOKUP(W1563,List!$D$2:$H$6,4,FALSE),"")</f>
        <v/>
      </c>
      <c r="AB1556" s="29" t="str">
        <f>IFERROR(HLOOKUP(X1563,List!$D$2:$H$6,5,FALSE),"")</f>
        <v/>
      </c>
      <c r="AC1556" s="12" t="str">
        <f t="shared" si="337"/>
        <v/>
      </c>
      <c r="AD1556" s="12" t="str">
        <f t="shared" si="337"/>
        <v/>
      </c>
      <c r="AE1556" s="12" t="str">
        <f t="shared" si="337"/>
        <v/>
      </c>
      <c r="AF1556" s="12" t="str">
        <f t="shared" si="337"/>
        <v/>
      </c>
      <c r="AM1556" s="12" t="str">
        <f t="shared" si="333"/>
        <v/>
      </c>
      <c r="AN1556" s="12" t="str">
        <f t="shared" si="334"/>
        <v/>
      </c>
      <c r="AO1556" s="12" t="str">
        <f t="shared" si="335"/>
        <v/>
      </c>
      <c r="AP1556" s="12" t="str">
        <f t="shared" si="336"/>
        <v/>
      </c>
      <c r="AQ1556" s="12"/>
      <c r="AS1556" s="12">
        <f t="shared" si="338"/>
        <v>0</v>
      </c>
    </row>
    <row r="1557" spans="1:45" hidden="1" x14ac:dyDescent="0.25">
      <c r="A1557" s="41">
        <f>CASOPOInvCL!T1557</f>
        <v>0</v>
      </c>
      <c r="B1557">
        <f>CASOPOInvCL!Z1557</f>
        <v>0</v>
      </c>
      <c r="G1557" s="5">
        <f>CASOPOInvCL!I1557</f>
        <v>0</v>
      </c>
      <c r="H1557" s="31">
        <f>CASOPOInvCL!U1557</f>
        <v>0</v>
      </c>
      <c r="I1557" s="31">
        <f>CASOPOInvCL!V1557</f>
        <v>0</v>
      </c>
      <c r="J1557" s="5">
        <f>CASOPOInvCL!AB1557</f>
        <v>0</v>
      </c>
      <c r="K1557" s="31">
        <f>CASOPOInvCL!W1557</f>
        <v>0</v>
      </c>
      <c r="L1557" s="31">
        <f>CASOPOInvCL!X1557</f>
        <v>0</v>
      </c>
      <c r="M1557" s="31"/>
      <c r="N1557" s="5">
        <f>CASOPOInvCL!AF1557</f>
        <v>0</v>
      </c>
      <c r="O1557" s="16">
        <f>CASOPOInvCL!AG1557</f>
        <v>0</v>
      </c>
      <c r="P1557" s="16">
        <f>CASOPOInvCL!AH1557</f>
        <v>0</v>
      </c>
      <c r="Q1557" s="16">
        <f>CASOPOInvCL!AI1557</f>
        <v>0</v>
      </c>
      <c r="R1557" s="32">
        <f>CASOPOInvCL!AU1557</f>
        <v>0</v>
      </c>
      <c r="S1557" s="16">
        <f>CASOPOInvCL!AV1557</f>
        <v>0</v>
      </c>
      <c r="T1557" s="16">
        <f>CASOPOInvCL!AW1557</f>
        <v>0</v>
      </c>
      <c r="Y1557" s="29" t="str">
        <f>IFERROR(HLOOKUP(U1564,List!$D$2:$H$6,2,FALSE),"")</f>
        <v/>
      </c>
      <c r="Z1557" s="29" t="str">
        <f>IFERROR(HLOOKUP(V1564,List!$D$2:$H$6,3,FALSE),"")</f>
        <v/>
      </c>
      <c r="AA1557" s="29" t="str">
        <f>IFERROR(HLOOKUP(W1564,List!$D$2:$H$6,4,FALSE),"")</f>
        <v/>
      </c>
      <c r="AB1557" s="29" t="str">
        <f>IFERROR(HLOOKUP(X1564,List!$D$2:$H$6,5,FALSE),"")</f>
        <v/>
      </c>
      <c r="AC1557" s="12" t="str">
        <f t="shared" si="337"/>
        <v/>
      </c>
      <c r="AD1557" s="12" t="str">
        <f t="shared" si="337"/>
        <v/>
      </c>
      <c r="AE1557" s="12" t="str">
        <f t="shared" si="337"/>
        <v/>
      </c>
      <c r="AF1557" s="12" t="str">
        <f t="shared" si="337"/>
        <v/>
      </c>
      <c r="AM1557" s="12" t="str">
        <f t="shared" si="333"/>
        <v/>
      </c>
      <c r="AN1557" s="12" t="str">
        <f t="shared" si="334"/>
        <v/>
      </c>
      <c r="AO1557" s="12" t="str">
        <f t="shared" si="335"/>
        <v/>
      </c>
      <c r="AP1557" s="12" t="str">
        <f t="shared" si="336"/>
        <v/>
      </c>
      <c r="AQ1557" s="12"/>
      <c r="AS1557" s="12">
        <f t="shared" si="338"/>
        <v>0</v>
      </c>
    </row>
    <row r="1558" spans="1:45" hidden="1" x14ac:dyDescent="0.25">
      <c r="A1558" s="41">
        <f>CASOPOInvCL!T1558</f>
        <v>0</v>
      </c>
      <c r="B1558">
        <f>CASOPOInvCL!Z1558</f>
        <v>0</v>
      </c>
      <c r="G1558" s="5">
        <f>CASOPOInvCL!I1558</f>
        <v>0</v>
      </c>
      <c r="H1558" s="31">
        <f>CASOPOInvCL!U1558</f>
        <v>0</v>
      </c>
      <c r="I1558" s="31">
        <f>CASOPOInvCL!V1558</f>
        <v>0</v>
      </c>
      <c r="J1558" s="5">
        <f>CASOPOInvCL!AB1558</f>
        <v>0</v>
      </c>
      <c r="K1558" s="31">
        <f>CASOPOInvCL!W1558</f>
        <v>0</v>
      </c>
      <c r="L1558" s="31">
        <f>CASOPOInvCL!X1558</f>
        <v>0</v>
      </c>
      <c r="M1558" s="31"/>
      <c r="N1558" s="5">
        <f>CASOPOInvCL!AF1558</f>
        <v>0</v>
      </c>
      <c r="O1558" s="16">
        <f>CASOPOInvCL!AG1558</f>
        <v>0</v>
      </c>
      <c r="P1558" s="16">
        <f>CASOPOInvCL!AH1558</f>
        <v>0</v>
      </c>
      <c r="Q1558" s="16">
        <f>CASOPOInvCL!AI1558</f>
        <v>0</v>
      </c>
      <c r="R1558" s="32">
        <f>CASOPOInvCL!AU1558</f>
        <v>0</v>
      </c>
      <c r="S1558" s="16">
        <f>CASOPOInvCL!AV1558</f>
        <v>0</v>
      </c>
      <c r="T1558" s="16">
        <f>CASOPOInvCL!AW1558</f>
        <v>0</v>
      </c>
      <c r="Y1558" s="29" t="str">
        <f>IFERROR(HLOOKUP(U1565,List!$D$2:$H$6,2,FALSE),"")</f>
        <v/>
      </c>
      <c r="Z1558" s="29" t="str">
        <f>IFERROR(HLOOKUP(V1565,List!$D$2:$H$6,3,FALSE),"")</f>
        <v/>
      </c>
      <c r="AA1558" s="29" t="str">
        <f>IFERROR(HLOOKUP(W1565,List!$D$2:$H$6,4,FALSE),"")</f>
        <v/>
      </c>
      <c r="AB1558" s="29" t="str">
        <f>IFERROR(HLOOKUP(X1565,List!$D$2:$H$6,5,FALSE),"")</f>
        <v/>
      </c>
      <c r="AC1558" s="12" t="str">
        <f t="shared" si="337"/>
        <v/>
      </c>
      <c r="AD1558" s="12" t="str">
        <f t="shared" si="337"/>
        <v/>
      </c>
      <c r="AE1558" s="12" t="str">
        <f t="shared" si="337"/>
        <v/>
      </c>
      <c r="AF1558" s="12" t="str">
        <f t="shared" si="337"/>
        <v/>
      </c>
      <c r="AM1558" s="12" t="str">
        <f t="shared" si="333"/>
        <v/>
      </c>
      <c r="AN1558" s="12" t="str">
        <f t="shared" si="334"/>
        <v/>
      </c>
      <c r="AO1558" s="12" t="str">
        <f t="shared" si="335"/>
        <v/>
      </c>
      <c r="AP1558" s="12" t="str">
        <f t="shared" si="336"/>
        <v/>
      </c>
      <c r="AQ1558" s="12"/>
      <c r="AS1558" s="12">
        <f t="shared" si="338"/>
        <v>0</v>
      </c>
    </row>
    <row r="1559" spans="1:45" hidden="1" x14ac:dyDescent="0.25">
      <c r="A1559" s="41">
        <f>CASOPOInvCL!T1559</f>
        <v>0</v>
      </c>
      <c r="B1559">
        <f>CASOPOInvCL!Z1559</f>
        <v>0</v>
      </c>
      <c r="G1559" s="5">
        <f>CASOPOInvCL!I1559</f>
        <v>0</v>
      </c>
      <c r="H1559" s="31">
        <f>CASOPOInvCL!U1559</f>
        <v>0</v>
      </c>
      <c r="I1559" s="31">
        <f>CASOPOInvCL!V1559</f>
        <v>0</v>
      </c>
      <c r="J1559" s="5">
        <f>CASOPOInvCL!AB1559</f>
        <v>0</v>
      </c>
      <c r="K1559" s="31">
        <f>CASOPOInvCL!W1559</f>
        <v>0</v>
      </c>
      <c r="L1559" s="31">
        <f>CASOPOInvCL!X1559</f>
        <v>0</v>
      </c>
      <c r="M1559" s="31"/>
      <c r="N1559" s="5">
        <f>CASOPOInvCL!AF1559</f>
        <v>0</v>
      </c>
      <c r="O1559" s="16">
        <f>CASOPOInvCL!AG1559</f>
        <v>0</v>
      </c>
      <c r="P1559" s="16">
        <f>CASOPOInvCL!AH1559</f>
        <v>0</v>
      </c>
      <c r="Q1559" s="16">
        <f>CASOPOInvCL!AI1559</f>
        <v>0</v>
      </c>
      <c r="R1559" s="32">
        <f>CASOPOInvCL!AU1559</f>
        <v>0</v>
      </c>
      <c r="S1559" s="16">
        <f>CASOPOInvCL!AV1559</f>
        <v>0</v>
      </c>
      <c r="T1559" s="16">
        <f>CASOPOInvCL!AW1559</f>
        <v>0</v>
      </c>
      <c r="Y1559" s="29" t="str">
        <f>IFERROR(HLOOKUP(U1566,List!$D$2:$H$6,2,FALSE),"")</f>
        <v/>
      </c>
      <c r="Z1559" s="29" t="str">
        <f>IFERROR(HLOOKUP(V1566,List!$D$2:$H$6,3,FALSE),"")</f>
        <v/>
      </c>
      <c r="AA1559" s="29" t="str">
        <f>IFERROR(HLOOKUP(W1566,List!$D$2:$H$6,4,FALSE),"")</f>
        <v/>
      </c>
      <c r="AB1559" s="29" t="str">
        <f>IFERROR(HLOOKUP(X1566,List!$D$2:$H$6,5,FALSE),"")</f>
        <v/>
      </c>
      <c r="AC1559" s="12" t="str">
        <f t="shared" si="337"/>
        <v/>
      </c>
      <c r="AD1559" s="12" t="str">
        <f t="shared" si="337"/>
        <v/>
      </c>
      <c r="AE1559" s="12" t="str">
        <f t="shared" si="337"/>
        <v/>
      </c>
      <c r="AF1559" s="12" t="str">
        <f t="shared" si="337"/>
        <v/>
      </c>
      <c r="AM1559" s="12" t="str">
        <f t="shared" si="333"/>
        <v/>
      </c>
      <c r="AN1559" s="12" t="str">
        <f t="shared" si="334"/>
        <v/>
      </c>
      <c r="AO1559" s="12" t="str">
        <f t="shared" si="335"/>
        <v/>
      </c>
      <c r="AP1559" s="12" t="str">
        <f t="shared" si="336"/>
        <v/>
      </c>
      <c r="AQ1559" s="12"/>
      <c r="AS1559" s="12">
        <f t="shared" si="338"/>
        <v>0</v>
      </c>
    </row>
    <row r="1560" spans="1:45" hidden="1" x14ac:dyDescent="0.25">
      <c r="A1560" s="41">
        <f>CASOPOInvCL!T1560</f>
        <v>0</v>
      </c>
      <c r="B1560">
        <f>CASOPOInvCL!Z1560</f>
        <v>0</v>
      </c>
      <c r="G1560" s="5">
        <f>CASOPOInvCL!I1560</f>
        <v>0</v>
      </c>
      <c r="H1560" s="31">
        <f>CASOPOInvCL!U1560</f>
        <v>0</v>
      </c>
      <c r="I1560" s="31">
        <f>CASOPOInvCL!V1560</f>
        <v>0</v>
      </c>
      <c r="J1560" s="5">
        <f>CASOPOInvCL!AB1560</f>
        <v>0</v>
      </c>
      <c r="K1560" s="31">
        <f>CASOPOInvCL!W1560</f>
        <v>0</v>
      </c>
      <c r="L1560" s="31">
        <f>CASOPOInvCL!X1560</f>
        <v>0</v>
      </c>
      <c r="M1560" s="31"/>
      <c r="N1560" s="5">
        <f>CASOPOInvCL!AF1560</f>
        <v>0</v>
      </c>
      <c r="O1560" s="16">
        <f>CASOPOInvCL!AG1560</f>
        <v>0</v>
      </c>
      <c r="P1560" s="16">
        <f>CASOPOInvCL!AH1560</f>
        <v>0</v>
      </c>
      <c r="Q1560" s="16">
        <f>CASOPOInvCL!AI1560</f>
        <v>0</v>
      </c>
      <c r="R1560" s="32">
        <f>CASOPOInvCL!AU1560</f>
        <v>0</v>
      </c>
      <c r="S1560" s="16">
        <f>CASOPOInvCL!AV1560</f>
        <v>0</v>
      </c>
      <c r="T1560" s="16">
        <f>CASOPOInvCL!AW1560</f>
        <v>0</v>
      </c>
      <c r="Y1560" s="29" t="str">
        <f>IFERROR(HLOOKUP(U1567,List!$D$2:$H$6,2,FALSE),"")</f>
        <v/>
      </c>
      <c r="Z1560" s="29" t="str">
        <f>IFERROR(HLOOKUP(V1567,List!$D$2:$H$6,3,FALSE),"")</f>
        <v/>
      </c>
      <c r="AA1560" s="29" t="str">
        <f>IFERROR(HLOOKUP(W1567,List!$D$2:$H$6,4,FALSE),"")</f>
        <v/>
      </c>
      <c r="AB1560" s="29" t="str">
        <f>IFERROR(HLOOKUP(X1567,List!$D$2:$H$6,5,FALSE),"")</f>
        <v/>
      </c>
      <c r="AC1560" s="12" t="str">
        <f t="shared" si="337"/>
        <v/>
      </c>
      <c r="AD1560" s="12" t="str">
        <f t="shared" si="337"/>
        <v/>
      </c>
      <c r="AE1560" s="12" t="str">
        <f t="shared" si="337"/>
        <v/>
      </c>
      <c r="AF1560" s="12" t="str">
        <f t="shared" si="337"/>
        <v/>
      </c>
      <c r="AM1560" s="12" t="str">
        <f t="shared" si="333"/>
        <v/>
      </c>
      <c r="AN1560" s="12" t="str">
        <f t="shared" si="334"/>
        <v/>
      </c>
      <c r="AO1560" s="12" t="str">
        <f t="shared" si="335"/>
        <v/>
      </c>
      <c r="AP1560" s="12" t="str">
        <f t="shared" si="336"/>
        <v/>
      </c>
      <c r="AQ1560" s="12"/>
      <c r="AS1560" s="12">
        <f t="shared" si="338"/>
        <v>0</v>
      </c>
    </row>
    <row r="1561" spans="1:45" hidden="1" x14ac:dyDescent="0.25">
      <c r="A1561" s="41">
        <f>CASOPOInvCL!T1561</f>
        <v>0</v>
      </c>
      <c r="B1561">
        <f>CASOPOInvCL!Z1561</f>
        <v>0</v>
      </c>
      <c r="G1561" s="5">
        <f>CASOPOInvCL!I1561</f>
        <v>0</v>
      </c>
      <c r="H1561" s="31">
        <f>CASOPOInvCL!U1561</f>
        <v>0</v>
      </c>
      <c r="I1561" s="31">
        <f>CASOPOInvCL!V1561</f>
        <v>0</v>
      </c>
      <c r="J1561" s="5">
        <f>CASOPOInvCL!AB1561</f>
        <v>0</v>
      </c>
      <c r="K1561" s="31">
        <f>CASOPOInvCL!W1561</f>
        <v>0</v>
      </c>
      <c r="L1561" s="31">
        <f>CASOPOInvCL!X1561</f>
        <v>0</v>
      </c>
      <c r="M1561" s="31"/>
      <c r="N1561" s="5">
        <f>CASOPOInvCL!AF1561</f>
        <v>0</v>
      </c>
      <c r="O1561" s="16">
        <f>CASOPOInvCL!AG1561</f>
        <v>0</v>
      </c>
      <c r="P1561" s="16">
        <f>CASOPOInvCL!AH1561</f>
        <v>0</v>
      </c>
      <c r="Q1561" s="16">
        <f>CASOPOInvCL!AI1561</f>
        <v>0</v>
      </c>
      <c r="R1561" s="32">
        <f>CASOPOInvCL!AU1561</f>
        <v>0</v>
      </c>
      <c r="S1561" s="16">
        <f>CASOPOInvCL!AV1561</f>
        <v>0</v>
      </c>
      <c r="T1561" s="16">
        <f>CASOPOInvCL!AW1561</f>
        <v>0</v>
      </c>
      <c r="Y1561" s="29" t="str">
        <f>IFERROR(HLOOKUP(U1568,List!$D$2:$H$6,2,FALSE),"")</f>
        <v/>
      </c>
      <c r="Z1561" s="29" t="str">
        <f>IFERROR(HLOOKUP(V1568,List!$D$2:$H$6,3,FALSE),"")</f>
        <v/>
      </c>
      <c r="AA1561" s="29" t="str">
        <f>IFERROR(HLOOKUP(W1568,List!$D$2:$H$6,4,FALSE),"")</f>
        <v/>
      </c>
      <c r="AB1561" s="29" t="str">
        <f>IFERROR(HLOOKUP(X1568,List!$D$2:$H$6,5,FALSE),"")</f>
        <v/>
      </c>
      <c r="AC1561" s="12" t="str">
        <f t="shared" si="337"/>
        <v/>
      </c>
      <c r="AD1561" s="12" t="str">
        <f t="shared" si="337"/>
        <v/>
      </c>
      <c r="AE1561" s="12" t="str">
        <f t="shared" si="337"/>
        <v/>
      </c>
      <c r="AF1561" s="12" t="str">
        <f t="shared" si="337"/>
        <v/>
      </c>
      <c r="AM1561" s="12" t="str">
        <f t="shared" si="333"/>
        <v/>
      </c>
      <c r="AN1561" s="12" t="str">
        <f t="shared" si="334"/>
        <v/>
      </c>
      <c r="AO1561" s="12" t="str">
        <f t="shared" si="335"/>
        <v/>
      </c>
      <c r="AP1561" s="12" t="str">
        <f t="shared" si="336"/>
        <v/>
      </c>
      <c r="AQ1561" s="12"/>
      <c r="AS1561" s="12">
        <f t="shared" si="338"/>
        <v>0</v>
      </c>
    </row>
    <row r="1562" spans="1:45" hidden="1" x14ac:dyDescent="0.25">
      <c r="A1562" s="41">
        <f>CASOPOInvCL!T1562</f>
        <v>0</v>
      </c>
      <c r="B1562">
        <f>CASOPOInvCL!Z1562</f>
        <v>0</v>
      </c>
      <c r="G1562" s="5">
        <f>CASOPOInvCL!I1562</f>
        <v>0</v>
      </c>
      <c r="H1562" s="31">
        <f>CASOPOInvCL!U1562</f>
        <v>0</v>
      </c>
      <c r="I1562" s="31">
        <f>CASOPOInvCL!V1562</f>
        <v>0</v>
      </c>
      <c r="J1562" s="5">
        <f>CASOPOInvCL!AB1562</f>
        <v>0</v>
      </c>
      <c r="K1562" s="31">
        <f>CASOPOInvCL!W1562</f>
        <v>0</v>
      </c>
      <c r="L1562" s="31">
        <f>CASOPOInvCL!X1562</f>
        <v>0</v>
      </c>
      <c r="M1562" s="31"/>
      <c r="N1562" s="5">
        <f>CASOPOInvCL!AF1562</f>
        <v>0</v>
      </c>
      <c r="O1562" s="16">
        <f>CASOPOInvCL!AG1562</f>
        <v>0</v>
      </c>
      <c r="P1562" s="16">
        <f>CASOPOInvCL!AH1562</f>
        <v>0</v>
      </c>
      <c r="Q1562" s="16">
        <f>CASOPOInvCL!AI1562</f>
        <v>0</v>
      </c>
      <c r="R1562" s="32">
        <f>CASOPOInvCL!AU1562</f>
        <v>0</v>
      </c>
      <c r="S1562" s="16">
        <f>CASOPOInvCL!AV1562</f>
        <v>0</v>
      </c>
      <c r="T1562" s="16">
        <f>CASOPOInvCL!AW1562</f>
        <v>0</v>
      </c>
      <c r="Y1562" s="29" t="str">
        <f>IFERROR(HLOOKUP(U1569,List!$D$2:$H$6,2,FALSE),"")</f>
        <v/>
      </c>
      <c r="Z1562" s="29" t="str">
        <f>IFERROR(HLOOKUP(V1569,List!$D$2:$H$6,3,FALSE),"")</f>
        <v/>
      </c>
      <c r="AA1562" s="29" t="str">
        <f>IFERROR(HLOOKUP(W1569,List!$D$2:$H$6,4,FALSE),"")</f>
        <v/>
      </c>
      <c r="AB1562" s="29" t="str">
        <f>IFERROR(HLOOKUP(X1569,List!$D$2:$H$6,5,FALSE),"")</f>
        <v/>
      </c>
      <c r="AC1562" s="12" t="str">
        <f t="shared" si="337"/>
        <v/>
      </c>
      <c r="AD1562" s="12" t="str">
        <f t="shared" si="337"/>
        <v/>
      </c>
      <c r="AE1562" s="12" t="str">
        <f t="shared" si="337"/>
        <v/>
      </c>
      <c r="AF1562" s="12" t="str">
        <f t="shared" si="337"/>
        <v/>
      </c>
      <c r="AM1562" s="12" t="str">
        <f t="shared" si="333"/>
        <v/>
      </c>
      <c r="AN1562" s="12" t="str">
        <f t="shared" si="334"/>
        <v/>
      </c>
      <c r="AO1562" s="12" t="str">
        <f t="shared" si="335"/>
        <v/>
      </c>
      <c r="AP1562" s="12" t="str">
        <f t="shared" si="336"/>
        <v/>
      </c>
      <c r="AQ1562" s="12"/>
      <c r="AS1562" s="12">
        <f t="shared" si="338"/>
        <v>0</v>
      </c>
    </row>
    <row r="1563" spans="1:45" hidden="1" x14ac:dyDescent="0.25">
      <c r="A1563" s="41">
        <f>CASOPOInvCL!T1563</f>
        <v>0</v>
      </c>
      <c r="B1563">
        <f>CASOPOInvCL!Z1563</f>
        <v>0</v>
      </c>
      <c r="G1563" s="5">
        <f>CASOPOInvCL!I1563</f>
        <v>0</v>
      </c>
      <c r="H1563" s="31">
        <f>CASOPOInvCL!U1563</f>
        <v>0</v>
      </c>
      <c r="I1563" s="31">
        <f>CASOPOInvCL!V1563</f>
        <v>0</v>
      </c>
      <c r="J1563" s="5">
        <f>CASOPOInvCL!AB1563</f>
        <v>0</v>
      </c>
      <c r="K1563" s="31">
        <f>CASOPOInvCL!W1563</f>
        <v>0</v>
      </c>
      <c r="L1563" s="31">
        <f>CASOPOInvCL!X1563</f>
        <v>0</v>
      </c>
      <c r="M1563" s="31"/>
      <c r="N1563" s="5">
        <f>CASOPOInvCL!AF1563</f>
        <v>0</v>
      </c>
      <c r="O1563" s="16">
        <f>CASOPOInvCL!AG1563</f>
        <v>0</v>
      </c>
      <c r="P1563" s="16">
        <f>CASOPOInvCL!AH1563</f>
        <v>0</v>
      </c>
      <c r="Q1563" s="16">
        <f>CASOPOInvCL!AI1563</f>
        <v>0</v>
      </c>
      <c r="R1563" s="32">
        <f>CASOPOInvCL!AU1563</f>
        <v>0</v>
      </c>
      <c r="S1563" s="16">
        <f>CASOPOInvCL!AV1563</f>
        <v>0</v>
      </c>
      <c r="T1563" s="16">
        <f>CASOPOInvCL!AW1563</f>
        <v>0</v>
      </c>
      <c r="Y1563" s="29" t="str">
        <f>IFERROR(HLOOKUP(U1570,List!$D$2:$H$6,2,FALSE),"")</f>
        <v/>
      </c>
      <c r="Z1563" s="29" t="str">
        <f>IFERROR(HLOOKUP(V1570,List!$D$2:$H$6,3,FALSE),"")</f>
        <v/>
      </c>
      <c r="AA1563" s="29" t="str">
        <f>IFERROR(HLOOKUP(W1570,List!$D$2:$H$6,4,FALSE),"")</f>
        <v/>
      </c>
      <c r="AB1563" s="29" t="str">
        <f>IFERROR(HLOOKUP(X1570,List!$D$2:$H$6,5,FALSE),"")</f>
        <v/>
      </c>
      <c r="AC1563" s="12" t="str">
        <f t="shared" si="337"/>
        <v/>
      </c>
      <c r="AD1563" s="12" t="str">
        <f t="shared" si="337"/>
        <v/>
      </c>
      <c r="AE1563" s="12" t="str">
        <f t="shared" si="337"/>
        <v/>
      </c>
      <c r="AF1563" s="12" t="str">
        <f t="shared" si="337"/>
        <v/>
      </c>
      <c r="AM1563" s="12" t="str">
        <f t="shared" si="333"/>
        <v/>
      </c>
      <c r="AN1563" s="12" t="str">
        <f t="shared" si="334"/>
        <v/>
      </c>
      <c r="AO1563" s="12" t="str">
        <f t="shared" si="335"/>
        <v/>
      </c>
      <c r="AP1563" s="12" t="str">
        <f t="shared" si="336"/>
        <v/>
      </c>
      <c r="AQ1563" s="12"/>
      <c r="AS1563" s="12">
        <f t="shared" si="338"/>
        <v>0</v>
      </c>
    </row>
    <row r="1564" spans="1:45" hidden="1" x14ac:dyDescent="0.25">
      <c r="A1564" s="41">
        <f>CASOPOInvCL!T1564</f>
        <v>0</v>
      </c>
      <c r="B1564">
        <f>CASOPOInvCL!Z1564</f>
        <v>0</v>
      </c>
      <c r="G1564" s="5">
        <f>CASOPOInvCL!I1564</f>
        <v>0</v>
      </c>
      <c r="H1564" s="31">
        <f>CASOPOInvCL!U1564</f>
        <v>0</v>
      </c>
      <c r="I1564" s="31">
        <f>CASOPOInvCL!V1564</f>
        <v>0</v>
      </c>
      <c r="J1564" s="5">
        <f>CASOPOInvCL!AB1564</f>
        <v>0</v>
      </c>
      <c r="K1564" s="31">
        <f>CASOPOInvCL!W1564</f>
        <v>0</v>
      </c>
      <c r="L1564" s="31">
        <f>CASOPOInvCL!X1564</f>
        <v>0</v>
      </c>
      <c r="M1564" s="31"/>
      <c r="N1564" s="5">
        <f>CASOPOInvCL!AF1564</f>
        <v>0</v>
      </c>
      <c r="O1564" s="16">
        <f>CASOPOInvCL!AG1564</f>
        <v>0</v>
      </c>
      <c r="P1564" s="16">
        <f>CASOPOInvCL!AH1564</f>
        <v>0</v>
      </c>
      <c r="Q1564" s="16">
        <f>CASOPOInvCL!AI1564</f>
        <v>0</v>
      </c>
      <c r="R1564" s="32">
        <f>CASOPOInvCL!AU1564</f>
        <v>0</v>
      </c>
      <c r="S1564" s="16">
        <f>CASOPOInvCL!AV1564</f>
        <v>0</v>
      </c>
      <c r="T1564" s="16">
        <f>CASOPOInvCL!AW1564</f>
        <v>0</v>
      </c>
      <c r="Y1564" s="29" t="str">
        <f>IFERROR(HLOOKUP(U1571,List!$D$2:$H$6,2,FALSE),"")</f>
        <v/>
      </c>
      <c r="Z1564" s="29" t="str">
        <f>IFERROR(HLOOKUP(V1571,List!$D$2:$H$6,3,FALSE),"")</f>
        <v/>
      </c>
      <c r="AA1564" s="29" t="str">
        <f>IFERROR(HLOOKUP(W1571,List!$D$2:$H$6,4,FALSE),"")</f>
        <v/>
      </c>
      <c r="AB1564" s="29" t="str">
        <f>IFERROR(HLOOKUP(X1571,List!$D$2:$H$6,5,FALSE),"")</f>
        <v/>
      </c>
      <c r="AC1564" s="12" t="str">
        <f t="shared" si="337"/>
        <v/>
      </c>
      <c r="AD1564" s="12" t="str">
        <f t="shared" si="337"/>
        <v/>
      </c>
      <c r="AE1564" s="12" t="str">
        <f t="shared" si="337"/>
        <v/>
      </c>
      <c r="AF1564" s="12" t="str">
        <f t="shared" si="337"/>
        <v/>
      </c>
      <c r="AM1564" s="12" t="str">
        <f t="shared" si="333"/>
        <v/>
      </c>
      <c r="AN1564" s="12" t="str">
        <f t="shared" si="334"/>
        <v/>
      </c>
      <c r="AO1564" s="12" t="str">
        <f t="shared" si="335"/>
        <v/>
      </c>
      <c r="AP1564" s="12" t="str">
        <f t="shared" si="336"/>
        <v/>
      </c>
      <c r="AQ1564" s="12"/>
      <c r="AS1564" s="12">
        <f t="shared" si="338"/>
        <v>0</v>
      </c>
    </row>
    <row r="1565" spans="1:45" hidden="1" x14ac:dyDescent="0.25">
      <c r="A1565" s="41">
        <f>CASOPOInvCL!T1565</f>
        <v>0</v>
      </c>
      <c r="B1565">
        <f>CASOPOInvCL!Z1565</f>
        <v>0</v>
      </c>
      <c r="G1565" s="5">
        <f>CASOPOInvCL!I1565</f>
        <v>0</v>
      </c>
      <c r="H1565" s="31">
        <f>CASOPOInvCL!U1565</f>
        <v>0</v>
      </c>
      <c r="I1565" s="31">
        <f>CASOPOInvCL!V1565</f>
        <v>0</v>
      </c>
      <c r="J1565" s="5">
        <f>CASOPOInvCL!AB1565</f>
        <v>0</v>
      </c>
      <c r="K1565" s="31">
        <f>CASOPOInvCL!W1565</f>
        <v>0</v>
      </c>
      <c r="L1565" s="31">
        <f>CASOPOInvCL!X1565</f>
        <v>0</v>
      </c>
      <c r="M1565" s="31"/>
      <c r="N1565" s="5">
        <f>CASOPOInvCL!AF1565</f>
        <v>0</v>
      </c>
      <c r="O1565" s="16">
        <f>CASOPOInvCL!AG1565</f>
        <v>0</v>
      </c>
      <c r="P1565" s="16">
        <f>CASOPOInvCL!AH1565</f>
        <v>0</v>
      </c>
      <c r="Q1565" s="16">
        <f>CASOPOInvCL!AI1565</f>
        <v>0</v>
      </c>
      <c r="R1565" s="32">
        <f>CASOPOInvCL!AU1565</f>
        <v>0</v>
      </c>
      <c r="S1565" s="16">
        <f>CASOPOInvCL!AV1565</f>
        <v>0</v>
      </c>
      <c r="T1565" s="16">
        <f>CASOPOInvCL!AW1565</f>
        <v>0</v>
      </c>
      <c r="Y1565" s="29" t="str">
        <f>IFERROR(HLOOKUP(U1572,List!$D$2:$H$6,2,FALSE),"")</f>
        <v/>
      </c>
      <c r="Z1565" s="29" t="str">
        <f>IFERROR(HLOOKUP(V1572,List!$D$2:$H$6,3,FALSE),"")</f>
        <v/>
      </c>
      <c r="AA1565" s="29" t="str">
        <f>IFERROR(HLOOKUP(W1572,List!$D$2:$H$6,4,FALSE),"")</f>
        <v/>
      </c>
      <c r="AB1565" s="29" t="str">
        <f>IFERROR(HLOOKUP(X1572,List!$D$2:$H$6,5,FALSE),"")</f>
        <v/>
      </c>
      <c r="AC1565" s="12" t="str">
        <f t="shared" si="337"/>
        <v/>
      </c>
      <c r="AD1565" s="12" t="str">
        <f t="shared" si="337"/>
        <v/>
      </c>
      <c r="AE1565" s="12" t="str">
        <f t="shared" si="337"/>
        <v/>
      </c>
      <c r="AF1565" s="12" t="str">
        <f t="shared" si="337"/>
        <v/>
      </c>
      <c r="AM1565" s="12" t="str">
        <f t="shared" si="333"/>
        <v/>
      </c>
      <c r="AN1565" s="12" t="str">
        <f t="shared" si="334"/>
        <v/>
      </c>
      <c r="AO1565" s="12" t="str">
        <f t="shared" si="335"/>
        <v/>
      </c>
      <c r="AP1565" s="12" t="str">
        <f t="shared" si="336"/>
        <v/>
      </c>
      <c r="AQ1565" s="12"/>
      <c r="AS1565" s="12">
        <f t="shared" si="338"/>
        <v>0</v>
      </c>
    </row>
    <row r="1566" spans="1:45" hidden="1" x14ac:dyDescent="0.25">
      <c r="A1566" s="41">
        <f>CASOPOInvCL!T1566</f>
        <v>0</v>
      </c>
      <c r="B1566">
        <f>CASOPOInvCL!Z1566</f>
        <v>0</v>
      </c>
      <c r="G1566" s="5">
        <f>CASOPOInvCL!I1566</f>
        <v>0</v>
      </c>
      <c r="H1566" s="31">
        <f>CASOPOInvCL!U1566</f>
        <v>0</v>
      </c>
      <c r="I1566" s="31">
        <f>CASOPOInvCL!V1566</f>
        <v>0</v>
      </c>
      <c r="J1566" s="5">
        <f>CASOPOInvCL!AB1566</f>
        <v>0</v>
      </c>
      <c r="K1566" s="31">
        <f>CASOPOInvCL!W1566</f>
        <v>0</v>
      </c>
      <c r="L1566" s="31">
        <f>CASOPOInvCL!X1566</f>
        <v>0</v>
      </c>
      <c r="M1566" s="31"/>
      <c r="N1566" s="5">
        <f>CASOPOInvCL!AF1566</f>
        <v>0</v>
      </c>
      <c r="O1566" s="16">
        <f>CASOPOInvCL!AG1566</f>
        <v>0</v>
      </c>
      <c r="P1566" s="16">
        <f>CASOPOInvCL!AH1566</f>
        <v>0</v>
      </c>
      <c r="Q1566" s="16">
        <f>CASOPOInvCL!AI1566</f>
        <v>0</v>
      </c>
      <c r="R1566" s="32">
        <f>CASOPOInvCL!AU1566</f>
        <v>0</v>
      </c>
      <c r="S1566" s="16">
        <f>CASOPOInvCL!AV1566</f>
        <v>0</v>
      </c>
      <c r="T1566" s="16">
        <f>CASOPOInvCL!AW1566</f>
        <v>0</v>
      </c>
      <c r="Y1566" s="29" t="str">
        <f>IFERROR(HLOOKUP(U1573,List!$D$2:$H$6,2,FALSE),"")</f>
        <v/>
      </c>
      <c r="Z1566" s="29" t="str">
        <f>IFERROR(HLOOKUP(V1573,List!$D$2:$H$6,3,FALSE),"")</f>
        <v/>
      </c>
      <c r="AA1566" s="29" t="str">
        <f>IFERROR(HLOOKUP(W1573,List!$D$2:$H$6,4,FALSE),"")</f>
        <v/>
      </c>
      <c r="AB1566" s="29" t="str">
        <f>IFERROR(HLOOKUP(X1573,List!$D$2:$H$6,5,FALSE),"")</f>
        <v/>
      </c>
      <c r="AC1566" s="12" t="str">
        <f t="shared" si="337"/>
        <v/>
      </c>
      <c r="AD1566" s="12" t="str">
        <f t="shared" si="337"/>
        <v/>
      </c>
      <c r="AE1566" s="12" t="str">
        <f t="shared" si="337"/>
        <v/>
      </c>
      <c r="AF1566" s="12" t="str">
        <f t="shared" si="337"/>
        <v/>
      </c>
      <c r="AM1566" s="12" t="str">
        <f t="shared" si="333"/>
        <v/>
      </c>
      <c r="AN1566" s="12" t="str">
        <f t="shared" si="334"/>
        <v/>
      </c>
      <c r="AO1566" s="12" t="str">
        <f t="shared" si="335"/>
        <v/>
      </c>
      <c r="AP1566" s="12" t="str">
        <f t="shared" si="336"/>
        <v/>
      </c>
      <c r="AQ1566" s="12"/>
      <c r="AS1566" s="12">
        <f t="shared" si="338"/>
        <v>0</v>
      </c>
    </row>
    <row r="1567" spans="1:45" hidden="1" x14ac:dyDescent="0.25">
      <c r="A1567" s="41">
        <f>CASOPOInvCL!T1567</f>
        <v>0</v>
      </c>
      <c r="B1567">
        <f>CASOPOInvCL!Z1567</f>
        <v>0</v>
      </c>
      <c r="G1567" s="5">
        <f>CASOPOInvCL!I1567</f>
        <v>0</v>
      </c>
      <c r="H1567" s="31">
        <f>CASOPOInvCL!U1567</f>
        <v>0</v>
      </c>
      <c r="I1567" s="31">
        <f>CASOPOInvCL!V1567</f>
        <v>0</v>
      </c>
      <c r="J1567" s="5">
        <f>CASOPOInvCL!AB1567</f>
        <v>0</v>
      </c>
      <c r="K1567" s="31">
        <f>CASOPOInvCL!W1567</f>
        <v>0</v>
      </c>
      <c r="L1567" s="31">
        <f>CASOPOInvCL!X1567</f>
        <v>0</v>
      </c>
      <c r="M1567" s="31"/>
      <c r="N1567" s="5">
        <f>CASOPOInvCL!AF1567</f>
        <v>0</v>
      </c>
      <c r="O1567" s="16">
        <f>CASOPOInvCL!AG1567</f>
        <v>0</v>
      </c>
      <c r="P1567" s="16">
        <f>CASOPOInvCL!AH1567</f>
        <v>0</v>
      </c>
      <c r="Q1567" s="16">
        <f>CASOPOInvCL!AI1567</f>
        <v>0</v>
      </c>
      <c r="R1567" s="32">
        <f>CASOPOInvCL!AU1567</f>
        <v>0</v>
      </c>
      <c r="S1567" s="16">
        <f>CASOPOInvCL!AV1567</f>
        <v>0</v>
      </c>
      <c r="T1567" s="16">
        <f>CASOPOInvCL!AW1567</f>
        <v>0</v>
      </c>
      <c r="Y1567" s="29" t="str">
        <f>IFERROR(HLOOKUP(U1574,List!$D$2:$H$6,2,FALSE),"")</f>
        <v/>
      </c>
      <c r="Z1567" s="29" t="str">
        <f>IFERROR(HLOOKUP(V1574,List!$D$2:$H$6,3,FALSE),"")</f>
        <v/>
      </c>
      <c r="AA1567" s="29" t="str">
        <f>IFERROR(HLOOKUP(W1574,List!$D$2:$H$6,4,FALSE),"")</f>
        <v/>
      </c>
      <c r="AB1567" s="29" t="str">
        <f>IFERROR(HLOOKUP(X1574,List!$D$2:$H$6,5,FALSE),"")</f>
        <v/>
      </c>
      <c r="AC1567" s="12" t="str">
        <f t="shared" si="337"/>
        <v/>
      </c>
      <c r="AD1567" s="12" t="str">
        <f t="shared" si="337"/>
        <v/>
      </c>
      <c r="AE1567" s="12" t="str">
        <f t="shared" si="337"/>
        <v/>
      </c>
      <c r="AF1567" s="12" t="str">
        <f t="shared" si="337"/>
        <v/>
      </c>
      <c r="AM1567" s="12" t="str">
        <f t="shared" si="333"/>
        <v/>
      </c>
      <c r="AN1567" s="12" t="str">
        <f t="shared" si="334"/>
        <v/>
      </c>
      <c r="AO1567" s="12" t="str">
        <f t="shared" si="335"/>
        <v/>
      </c>
      <c r="AP1567" s="12" t="str">
        <f t="shared" si="336"/>
        <v/>
      </c>
      <c r="AQ1567" s="12"/>
      <c r="AS1567" s="12">
        <f t="shared" si="338"/>
        <v>0</v>
      </c>
    </row>
    <row r="1568" spans="1:45" hidden="1" x14ac:dyDescent="0.25">
      <c r="A1568" s="41">
        <f>CASOPOInvCL!T1568</f>
        <v>0</v>
      </c>
      <c r="B1568">
        <f>CASOPOInvCL!Z1568</f>
        <v>0</v>
      </c>
      <c r="G1568" s="5">
        <f>CASOPOInvCL!I1568</f>
        <v>0</v>
      </c>
      <c r="H1568" s="31">
        <f>CASOPOInvCL!U1568</f>
        <v>0</v>
      </c>
      <c r="I1568" s="31">
        <f>CASOPOInvCL!V1568</f>
        <v>0</v>
      </c>
      <c r="J1568" s="5">
        <f>CASOPOInvCL!AB1568</f>
        <v>0</v>
      </c>
      <c r="K1568" s="31">
        <f>CASOPOInvCL!W1568</f>
        <v>0</v>
      </c>
      <c r="L1568" s="31">
        <f>CASOPOInvCL!X1568</f>
        <v>0</v>
      </c>
      <c r="M1568" s="31"/>
      <c r="N1568" s="5">
        <f>CASOPOInvCL!AF1568</f>
        <v>0</v>
      </c>
      <c r="O1568" s="16">
        <f>CASOPOInvCL!AG1568</f>
        <v>0</v>
      </c>
      <c r="P1568" s="16">
        <f>CASOPOInvCL!AH1568</f>
        <v>0</v>
      </c>
      <c r="Q1568" s="16">
        <f>CASOPOInvCL!AI1568</f>
        <v>0</v>
      </c>
      <c r="R1568" s="32">
        <f>CASOPOInvCL!AU1568</f>
        <v>0</v>
      </c>
      <c r="S1568" s="16">
        <f>CASOPOInvCL!AV1568</f>
        <v>0</v>
      </c>
      <c r="T1568" s="16">
        <f>CASOPOInvCL!AW1568</f>
        <v>0</v>
      </c>
      <c r="Y1568" s="29" t="str">
        <f>IFERROR(HLOOKUP(U1575,List!$D$2:$H$6,2,FALSE),"")</f>
        <v/>
      </c>
      <c r="Z1568" s="29" t="str">
        <f>IFERROR(HLOOKUP(V1575,List!$D$2:$H$6,3,FALSE),"")</f>
        <v/>
      </c>
      <c r="AA1568" s="29" t="str">
        <f>IFERROR(HLOOKUP(W1575,List!$D$2:$H$6,4,FALSE),"")</f>
        <v/>
      </c>
      <c r="AB1568" s="29" t="str">
        <f>IFERROR(HLOOKUP(X1575,List!$D$2:$H$6,5,FALSE),"")</f>
        <v/>
      </c>
      <c r="AC1568" s="12" t="str">
        <f t="shared" si="337"/>
        <v/>
      </c>
      <c r="AD1568" s="12" t="str">
        <f t="shared" si="337"/>
        <v/>
      </c>
      <c r="AE1568" s="12" t="str">
        <f t="shared" si="337"/>
        <v/>
      </c>
      <c r="AF1568" s="12" t="str">
        <f t="shared" si="337"/>
        <v/>
      </c>
      <c r="AM1568" s="12" t="str">
        <f t="shared" si="333"/>
        <v/>
      </c>
      <c r="AN1568" s="12" t="str">
        <f t="shared" si="334"/>
        <v/>
      </c>
      <c r="AO1568" s="12" t="str">
        <f t="shared" si="335"/>
        <v/>
      </c>
      <c r="AP1568" s="12" t="str">
        <f t="shared" si="336"/>
        <v/>
      </c>
      <c r="AQ1568" s="12"/>
      <c r="AS1568" s="12">
        <f t="shared" si="338"/>
        <v>0</v>
      </c>
    </row>
    <row r="1569" spans="1:45" hidden="1" x14ac:dyDescent="0.25">
      <c r="A1569" s="41">
        <f>CASOPOInvCL!T1569</f>
        <v>0</v>
      </c>
      <c r="B1569">
        <f>CASOPOInvCL!Z1569</f>
        <v>0</v>
      </c>
      <c r="G1569" s="5">
        <f>CASOPOInvCL!I1569</f>
        <v>0</v>
      </c>
      <c r="H1569" s="31">
        <f>CASOPOInvCL!U1569</f>
        <v>0</v>
      </c>
      <c r="I1569" s="31">
        <f>CASOPOInvCL!V1569</f>
        <v>0</v>
      </c>
      <c r="J1569" s="5">
        <f>CASOPOInvCL!AB1569</f>
        <v>0</v>
      </c>
      <c r="K1569" s="31">
        <f>CASOPOInvCL!W1569</f>
        <v>0</v>
      </c>
      <c r="L1569" s="31">
        <f>CASOPOInvCL!X1569</f>
        <v>0</v>
      </c>
      <c r="M1569" s="31"/>
      <c r="N1569" s="5">
        <f>CASOPOInvCL!AF1569</f>
        <v>0</v>
      </c>
      <c r="O1569" s="16">
        <f>CASOPOInvCL!AG1569</f>
        <v>0</v>
      </c>
      <c r="P1569" s="16">
        <f>CASOPOInvCL!AH1569</f>
        <v>0</v>
      </c>
      <c r="Q1569" s="16">
        <f>CASOPOInvCL!AI1569</f>
        <v>0</v>
      </c>
      <c r="R1569" s="32">
        <f>CASOPOInvCL!AU1569</f>
        <v>0</v>
      </c>
      <c r="S1569" s="16">
        <f>CASOPOInvCL!AV1569</f>
        <v>0</v>
      </c>
      <c r="T1569" s="16">
        <f>CASOPOInvCL!AW1569</f>
        <v>0</v>
      </c>
      <c r="Y1569" s="29" t="str">
        <f>IFERROR(HLOOKUP(U1576,List!$D$2:$H$6,2,FALSE),"")</f>
        <v/>
      </c>
      <c r="Z1569" s="29" t="str">
        <f>IFERROR(HLOOKUP(V1576,List!$D$2:$H$6,3,FALSE),"")</f>
        <v/>
      </c>
      <c r="AA1569" s="29" t="str">
        <f>IFERROR(HLOOKUP(W1576,List!$D$2:$H$6,4,FALSE),"")</f>
        <v/>
      </c>
      <c r="AB1569" s="29" t="str">
        <f>IFERROR(HLOOKUP(X1576,List!$D$2:$H$6,5,FALSE),"")</f>
        <v/>
      </c>
      <c r="AC1569" s="12" t="str">
        <f t="shared" si="337"/>
        <v/>
      </c>
      <c r="AD1569" s="12" t="str">
        <f t="shared" si="337"/>
        <v/>
      </c>
      <c r="AE1569" s="12" t="str">
        <f t="shared" si="337"/>
        <v/>
      </c>
      <c r="AF1569" s="12" t="str">
        <f t="shared" si="337"/>
        <v/>
      </c>
      <c r="AM1569" s="12" t="str">
        <f t="shared" si="333"/>
        <v/>
      </c>
      <c r="AN1569" s="12" t="str">
        <f t="shared" si="334"/>
        <v/>
      </c>
      <c r="AO1569" s="12" t="str">
        <f t="shared" si="335"/>
        <v/>
      </c>
      <c r="AP1569" s="12" t="str">
        <f t="shared" si="336"/>
        <v/>
      </c>
      <c r="AQ1569" s="12"/>
      <c r="AS1569" s="12">
        <f t="shared" si="338"/>
        <v>0</v>
      </c>
    </row>
    <row r="1570" spans="1:45" hidden="1" x14ac:dyDescent="0.25">
      <c r="A1570" s="41">
        <f>CASOPOInvCL!T1570</f>
        <v>0</v>
      </c>
      <c r="B1570">
        <f>CASOPOInvCL!Z1570</f>
        <v>0</v>
      </c>
      <c r="G1570" s="5">
        <f>CASOPOInvCL!I1570</f>
        <v>0</v>
      </c>
      <c r="H1570" s="31">
        <f>CASOPOInvCL!U1570</f>
        <v>0</v>
      </c>
      <c r="I1570" s="31">
        <f>CASOPOInvCL!V1570</f>
        <v>0</v>
      </c>
      <c r="J1570" s="5">
        <f>CASOPOInvCL!AB1570</f>
        <v>0</v>
      </c>
      <c r="K1570" s="31">
        <f>CASOPOInvCL!W1570</f>
        <v>0</v>
      </c>
      <c r="L1570" s="31">
        <f>CASOPOInvCL!X1570</f>
        <v>0</v>
      </c>
      <c r="M1570" s="31"/>
      <c r="N1570" s="5">
        <f>CASOPOInvCL!AF1570</f>
        <v>0</v>
      </c>
      <c r="O1570" s="16">
        <f>CASOPOInvCL!AG1570</f>
        <v>0</v>
      </c>
      <c r="P1570" s="16">
        <f>CASOPOInvCL!AH1570</f>
        <v>0</v>
      </c>
      <c r="Q1570" s="16">
        <f>CASOPOInvCL!AI1570</f>
        <v>0</v>
      </c>
      <c r="R1570" s="32">
        <f>CASOPOInvCL!AU1570</f>
        <v>0</v>
      </c>
      <c r="S1570" s="16">
        <f>CASOPOInvCL!AV1570</f>
        <v>0</v>
      </c>
      <c r="T1570" s="16">
        <f>CASOPOInvCL!AW1570</f>
        <v>0</v>
      </c>
      <c r="Y1570" s="29" t="str">
        <f>IFERROR(HLOOKUP(U1577,List!$D$2:$H$6,2,FALSE),"")</f>
        <v/>
      </c>
      <c r="Z1570" s="29" t="str">
        <f>IFERROR(HLOOKUP(V1577,List!$D$2:$H$6,3,FALSE),"")</f>
        <v/>
      </c>
      <c r="AA1570" s="29" t="str">
        <f>IFERROR(HLOOKUP(W1577,List!$D$2:$H$6,4,FALSE),"")</f>
        <v/>
      </c>
      <c r="AB1570" s="29" t="str">
        <f>IFERROR(HLOOKUP(X1577,List!$D$2:$H$6,5,FALSE),"")</f>
        <v/>
      </c>
      <c r="AC1570" s="12" t="str">
        <f t="shared" si="337"/>
        <v/>
      </c>
      <c r="AD1570" s="12" t="str">
        <f t="shared" si="337"/>
        <v/>
      </c>
      <c r="AE1570" s="12" t="str">
        <f t="shared" si="337"/>
        <v/>
      </c>
      <c r="AF1570" s="12" t="str">
        <f t="shared" si="337"/>
        <v/>
      </c>
      <c r="AM1570" s="12" t="str">
        <f t="shared" si="333"/>
        <v/>
      </c>
      <c r="AN1570" s="12" t="str">
        <f t="shared" si="334"/>
        <v/>
      </c>
      <c r="AO1570" s="12" t="str">
        <f t="shared" si="335"/>
        <v/>
      </c>
      <c r="AP1570" s="12" t="str">
        <f t="shared" si="336"/>
        <v/>
      </c>
      <c r="AQ1570" s="12"/>
      <c r="AS1570" s="12">
        <f t="shared" si="338"/>
        <v>0</v>
      </c>
    </row>
    <row r="1571" spans="1:45" hidden="1" x14ac:dyDescent="0.25">
      <c r="A1571" s="41">
        <f>CASOPOInvCL!T1571</f>
        <v>0</v>
      </c>
      <c r="B1571">
        <f>CASOPOInvCL!Z1571</f>
        <v>0</v>
      </c>
      <c r="G1571" s="5">
        <f>CASOPOInvCL!I1571</f>
        <v>0</v>
      </c>
      <c r="H1571" s="31">
        <f>CASOPOInvCL!U1571</f>
        <v>0</v>
      </c>
      <c r="I1571" s="31">
        <f>CASOPOInvCL!V1571</f>
        <v>0</v>
      </c>
      <c r="J1571" s="5">
        <f>CASOPOInvCL!AB1571</f>
        <v>0</v>
      </c>
      <c r="K1571" s="31">
        <f>CASOPOInvCL!W1571</f>
        <v>0</v>
      </c>
      <c r="L1571" s="31">
        <f>CASOPOInvCL!X1571</f>
        <v>0</v>
      </c>
      <c r="M1571" s="31"/>
      <c r="N1571" s="5">
        <f>CASOPOInvCL!AF1571</f>
        <v>0</v>
      </c>
      <c r="O1571" s="16">
        <f>CASOPOInvCL!AG1571</f>
        <v>0</v>
      </c>
      <c r="P1571" s="16">
        <f>CASOPOInvCL!AH1571</f>
        <v>0</v>
      </c>
      <c r="Q1571" s="16">
        <f>CASOPOInvCL!AI1571</f>
        <v>0</v>
      </c>
      <c r="R1571" s="32">
        <f>CASOPOInvCL!AU1571</f>
        <v>0</v>
      </c>
      <c r="S1571" s="16">
        <f>CASOPOInvCL!AV1571</f>
        <v>0</v>
      </c>
      <c r="T1571" s="16">
        <f>CASOPOInvCL!AW1571</f>
        <v>0</v>
      </c>
      <c r="Y1571" s="29" t="str">
        <f>IFERROR(HLOOKUP(U1578,List!$D$2:$H$6,2,FALSE),"")</f>
        <v/>
      </c>
      <c r="Z1571" s="29" t="str">
        <f>IFERROR(HLOOKUP(V1578,List!$D$2:$H$6,3,FALSE),"")</f>
        <v/>
      </c>
      <c r="AA1571" s="29" t="str">
        <f>IFERROR(HLOOKUP(W1578,List!$D$2:$H$6,4,FALSE),"")</f>
        <v/>
      </c>
      <c r="AB1571" s="29" t="str">
        <f>IFERROR(HLOOKUP(X1578,List!$D$2:$H$6,5,FALSE),"")</f>
        <v/>
      </c>
      <c r="AC1571" s="12" t="str">
        <f t="shared" si="337"/>
        <v/>
      </c>
      <c r="AD1571" s="12" t="str">
        <f t="shared" si="337"/>
        <v/>
      </c>
      <c r="AE1571" s="12" t="str">
        <f t="shared" si="337"/>
        <v/>
      </c>
      <c r="AF1571" s="12" t="str">
        <f t="shared" si="337"/>
        <v/>
      </c>
      <c r="AM1571" s="12" t="str">
        <f t="shared" si="333"/>
        <v/>
      </c>
      <c r="AN1571" s="12" t="str">
        <f t="shared" si="334"/>
        <v/>
      </c>
      <c r="AO1571" s="12" t="str">
        <f t="shared" si="335"/>
        <v/>
      </c>
      <c r="AP1571" s="12" t="str">
        <f t="shared" si="336"/>
        <v/>
      </c>
      <c r="AQ1571" s="12"/>
      <c r="AS1571" s="12">
        <f t="shared" si="338"/>
        <v>0</v>
      </c>
    </row>
    <row r="1572" spans="1:45" hidden="1" x14ac:dyDescent="0.25">
      <c r="A1572" s="41">
        <f>CASOPOInvCL!T1572</f>
        <v>0</v>
      </c>
      <c r="B1572">
        <f>CASOPOInvCL!Z1572</f>
        <v>0</v>
      </c>
      <c r="G1572" s="5">
        <f>CASOPOInvCL!I1572</f>
        <v>0</v>
      </c>
      <c r="H1572" s="31">
        <f>CASOPOInvCL!U1572</f>
        <v>0</v>
      </c>
      <c r="I1572" s="31">
        <f>CASOPOInvCL!V1572</f>
        <v>0</v>
      </c>
      <c r="J1572" s="5">
        <f>CASOPOInvCL!AB1572</f>
        <v>0</v>
      </c>
      <c r="K1572" s="31">
        <f>CASOPOInvCL!W1572</f>
        <v>0</v>
      </c>
      <c r="L1572" s="31">
        <f>CASOPOInvCL!X1572</f>
        <v>0</v>
      </c>
      <c r="M1572" s="31"/>
      <c r="N1572" s="5">
        <f>CASOPOInvCL!AF1572</f>
        <v>0</v>
      </c>
      <c r="O1572" s="16">
        <f>CASOPOInvCL!AG1572</f>
        <v>0</v>
      </c>
      <c r="P1572" s="16">
        <f>CASOPOInvCL!AH1572</f>
        <v>0</v>
      </c>
      <c r="Q1572" s="16">
        <f>CASOPOInvCL!AI1572</f>
        <v>0</v>
      </c>
      <c r="R1572" s="32">
        <f>CASOPOInvCL!AU1572</f>
        <v>0</v>
      </c>
      <c r="S1572" s="16">
        <f>CASOPOInvCL!AV1572</f>
        <v>0</v>
      </c>
      <c r="T1572" s="16">
        <f>CASOPOInvCL!AW1572</f>
        <v>0</v>
      </c>
      <c r="Y1572" s="29" t="str">
        <f>IFERROR(HLOOKUP(U1579,List!$D$2:$H$6,2,FALSE),"")</f>
        <v/>
      </c>
      <c r="Z1572" s="29" t="str">
        <f>IFERROR(HLOOKUP(V1579,List!$D$2:$H$6,3,FALSE),"")</f>
        <v/>
      </c>
      <c r="AA1572" s="29" t="str">
        <f>IFERROR(HLOOKUP(W1579,List!$D$2:$H$6,4,FALSE),"")</f>
        <v/>
      </c>
      <c r="AB1572" s="29" t="str">
        <f>IFERROR(HLOOKUP(X1579,List!$D$2:$H$6,5,FALSE),"")</f>
        <v/>
      </c>
      <c r="AC1572" s="12" t="str">
        <f t="shared" si="337"/>
        <v/>
      </c>
      <c r="AD1572" s="12" t="str">
        <f t="shared" si="337"/>
        <v/>
      </c>
      <c r="AE1572" s="12" t="str">
        <f t="shared" si="337"/>
        <v/>
      </c>
      <c r="AF1572" s="12" t="str">
        <f t="shared" si="337"/>
        <v/>
      </c>
      <c r="AM1572" s="12" t="str">
        <f t="shared" si="333"/>
        <v/>
      </c>
      <c r="AN1572" s="12" t="str">
        <f t="shared" si="334"/>
        <v/>
      </c>
      <c r="AO1572" s="12" t="str">
        <f t="shared" si="335"/>
        <v/>
      </c>
      <c r="AP1572" s="12" t="str">
        <f t="shared" si="336"/>
        <v/>
      </c>
      <c r="AQ1572" s="12"/>
      <c r="AS1572" s="12">
        <f t="shared" si="338"/>
        <v>0</v>
      </c>
    </row>
    <row r="1573" spans="1:45" hidden="1" x14ac:dyDescent="0.25">
      <c r="A1573" s="41">
        <f>CASOPOInvCL!T1573</f>
        <v>0</v>
      </c>
      <c r="B1573">
        <f>CASOPOInvCL!Z1573</f>
        <v>0</v>
      </c>
      <c r="G1573" s="5">
        <f>CASOPOInvCL!I1573</f>
        <v>0</v>
      </c>
      <c r="H1573" s="31">
        <f>CASOPOInvCL!U1573</f>
        <v>0</v>
      </c>
      <c r="I1573" s="31">
        <f>CASOPOInvCL!V1573</f>
        <v>0</v>
      </c>
      <c r="J1573" s="5">
        <f>CASOPOInvCL!AB1573</f>
        <v>0</v>
      </c>
      <c r="K1573" s="31">
        <f>CASOPOInvCL!W1573</f>
        <v>0</v>
      </c>
      <c r="L1573" s="31">
        <f>CASOPOInvCL!X1573</f>
        <v>0</v>
      </c>
      <c r="M1573" s="31"/>
      <c r="N1573" s="5">
        <f>CASOPOInvCL!AF1573</f>
        <v>0</v>
      </c>
      <c r="O1573" s="16">
        <f>CASOPOInvCL!AG1573</f>
        <v>0</v>
      </c>
      <c r="P1573" s="16">
        <f>CASOPOInvCL!AH1573</f>
        <v>0</v>
      </c>
      <c r="Q1573" s="16">
        <f>CASOPOInvCL!AI1573</f>
        <v>0</v>
      </c>
      <c r="R1573" s="32">
        <f>CASOPOInvCL!AU1573</f>
        <v>0</v>
      </c>
      <c r="S1573" s="16">
        <f>CASOPOInvCL!AV1573</f>
        <v>0</v>
      </c>
      <c r="T1573" s="16">
        <f>CASOPOInvCL!AW1573</f>
        <v>0</v>
      </c>
      <c r="Y1573" s="29" t="str">
        <f>IFERROR(HLOOKUP(U1580,List!$D$2:$H$6,2,FALSE),"")</f>
        <v/>
      </c>
      <c r="Z1573" s="29" t="str">
        <f>IFERROR(HLOOKUP(V1580,List!$D$2:$H$6,3,FALSE),"")</f>
        <v/>
      </c>
      <c r="AA1573" s="29" t="str">
        <f>IFERROR(HLOOKUP(W1580,List!$D$2:$H$6,4,FALSE),"")</f>
        <v/>
      </c>
      <c r="AB1573" s="29" t="str">
        <f>IFERROR(HLOOKUP(X1580,List!$D$2:$H$6,5,FALSE),"")</f>
        <v/>
      </c>
      <c r="AC1573" s="12" t="str">
        <f t="shared" si="337"/>
        <v/>
      </c>
      <c r="AD1573" s="12" t="str">
        <f t="shared" si="337"/>
        <v/>
      </c>
      <c r="AE1573" s="12" t="str">
        <f t="shared" si="337"/>
        <v/>
      </c>
      <c r="AF1573" s="12" t="str">
        <f t="shared" si="337"/>
        <v/>
      </c>
      <c r="AM1573" s="12" t="str">
        <f t="shared" si="333"/>
        <v/>
      </c>
      <c r="AN1573" s="12" t="str">
        <f t="shared" si="334"/>
        <v/>
      </c>
      <c r="AO1573" s="12" t="str">
        <f t="shared" si="335"/>
        <v/>
      </c>
      <c r="AP1573" s="12" t="str">
        <f t="shared" si="336"/>
        <v/>
      </c>
      <c r="AQ1573" s="12"/>
      <c r="AS1573" s="12">
        <f t="shared" si="338"/>
        <v>0</v>
      </c>
    </row>
    <row r="1574" spans="1:45" hidden="1" x14ac:dyDescent="0.25">
      <c r="A1574" s="41">
        <f>CASOPOInvCL!T1574</f>
        <v>0</v>
      </c>
      <c r="B1574">
        <f>CASOPOInvCL!Z1574</f>
        <v>0</v>
      </c>
      <c r="G1574" s="5">
        <f>CASOPOInvCL!I1574</f>
        <v>0</v>
      </c>
      <c r="H1574" s="31">
        <f>CASOPOInvCL!U1574</f>
        <v>0</v>
      </c>
      <c r="I1574" s="31">
        <f>CASOPOInvCL!V1574</f>
        <v>0</v>
      </c>
      <c r="J1574" s="5">
        <f>CASOPOInvCL!AB1574</f>
        <v>0</v>
      </c>
      <c r="K1574" s="31">
        <f>CASOPOInvCL!W1574</f>
        <v>0</v>
      </c>
      <c r="L1574" s="31">
        <f>CASOPOInvCL!X1574</f>
        <v>0</v>
      </c>
      <c r="M1574" s="31"/>
      <c r="N1574" s="5">
        <f>CASOPOInvCL!AF1574</f>
        <v>0</v>
      </c>
      <c r="O1574" s="16">
        <f>CASOPOInvCL!AG1574</f>
        <v>0</v>
      </c>
      <c r="P1574" s="16">
        <f>CASOPOInvCL!AH1574</f>
        <v>0</v>
      </c>
      <c r="Q1574" s="16">
        <f>CASOPOInvCL!AI1574</f>
        <v>0</v>
      </c>
      <c r="R1574" s="32">
        <f>CASOPOInvCL!AU1574</f>
        <v>0</v>
      </c>
      <c r="S1574" s="16">
        <f>CASOPOInvCL!AV1574</f>
        <v>0</v>
      </c>
      <c r="T1574" s="16">
        <f>CASOPOInvCL!AW1574</f>
        <v>0</v>
      </c>
      <c r="Y1574" s="29" t="str">
        <f>IFERROR(HLOOKUP(U1581,List!$D$2:$H$6,2,FALSE),"")</f>
        <v/>
      </c>
      <c r="Z1574" s="29" t="str">
        <f>IFERROR(HLOOKUP(V1581,List!$D$2:$H$6,3,FALSE),"")</f>
        <v/>
      </c>
      <c r="AA1574" s="29" t="str">
        <f>IFERROR(HLOOKUP(W1581,List!$D$2:$H$6,4,FALSE),"")</f>
        <v/>
      </c>
      <c r="AB1574" s="29" t="str">
        <f>IFERROR(HLOOKUP(X1581,List!$D$2:$H$6,5,FALSE),"")</f>
        <v/>
      </c>
      <c r="AC1574" s="12" t="str">
        <f t="shared" si="337"/>
        <v/>
      </c>
      <c r="AD1574" s="12" t="str">
        <f t="shared" si="337"/>
        <v/>
      </c>
      <c r="AE1574" s="12" t="str">
        <f t="shared" si="337"/>
        <v/>
      </c>
      <c r="AF1574" s="12" t="str">
        <f t="shared" si="337"/>
        <v/>
      </c>
      <c r="AM1574" s="12" t="str">
        <f t="shared" si="333"/>
        <v/>
      </c>
      <c r="AN1574" s="12" t="str">
        <f t="shared" si="334"/>
        <v/>
      </c>
      <c r="AO1574" s="12" t="str">
        <f t="shared" si="335"/>
        <v/>
      </c>
      <c r="AP1574" s="12" t="str">
        <f t="shared" si="336"/>
        <v/>
      </c>
      <c r="AQ1574" s="12"/>
      <c r="AS1574" s="12">
        <f t="shared" si="338"/>
        <v>0</v>
      </c>
    </row>
    <row r="1575" spans="1:45" hidden="1" x14ac:dyDescent="0.25">
      <c r="A1575" s="41">
        <f>CASOPOInvCL!T1575</f>
        <v>0</v>
      </c>
      <c r="B1575">
        <f>CASOPOInvCL!Z1575</f>
        <v>0</v>
      </c>
      <c r="G1575" s="5">
        <f>CASOPOInvCL!I1575</f>
        <v>0</v>
      </c>
      <c r="H1575" s="31">
        <f>CASOPOInvCL!U1575</f>
        <v>0</v>
      </c>
      <c r="I1575" s="31">
        <f>CASOPOInvCL!V1575</f>
        <v>0</v>
      </c>
      <c r="J1575" s="5">
        <f>CASOPOInvCL!AB1575</f>
        <v>0</v>
      </c>
      <c r="K1575" s="31">
        <f>CASOPOInvCL!W1575</f>
        <v>0</v>
      </c>
      <c r="L1575" s="31">
        <f>CASOPOInvCL!X1575</f>
        <v>0</v>
      </c>
      <c r="M1575" s="31"/>
      <c r="N1575" s="5">
        <f>CASOPOInvCL!AF1575</f>
        <v>0</v>
      </c>
      <c r="O1575" s="16">
        <f>CASOPOInvCL!AG1575</f>
        <v>0</v>
      </c>
      <c r="P1575" s="16">
        <f>CASOPOInvCL!AH1575</f>
        <v>0</v>
      </c>
      <c r="Q1575" s="16">
        <f>CASOPOInvCL!AI1575</f>
        <v>0</v>
      </c>
      <c r="R1575" s="32">
        <f>CASOPOInvCL!AU1575</f>
        <v>0</v>
      </c>
      <c r="S1575" s="16">
        <f>CASOPOInvCL!AV1575</f>
        <v>0</v>
      </c>
      <c r="T1575" s="16">
        <f>CASOPOInvCL!AW1575</f>
        <v>0</v>
      </c>
      <c r="Y1575" s="29" t="str">
        <f>IFERROR(HLOOKUP(U1582,List!$D$2:$H$6,2,FALSE),"")</f>
        <v/>
      </c>
      <c r="Z1575" s="29" t="str">
        <f>IFERROR(HLOOKUP(V1582,List!$D$2:$H$6,3,FALSE),"")</f>
        <v/>
      </c>
      <c r="AA1575" s="29" t="str">
        <f>IFERROR(HLOOKUP(W1582,List!$D$2:$H$6,4,FALSE),"")</f>
        <v/>
      </c>
      <c r="AB1575" s="29" t="str">
        <f>IFERROR(HLOOKUP(X1582,List!$D$2:$H$6,5,FALSE),"")</f>
        <v/>
      </c>
      <c r="AC1575" s="12" t="str">
        <f t="shared" si="337"/>
        <v/>
      </c>
      <c r="AD1575" s="12" t="str">
        <f t="shared" si="337"/>
        <v/>
      </c>
      <c r="AE1575" s="12" t="str">
        <f t="shared" si="337"/>
        <v/>
      </c>
      <c r="AF1575" s="12" t="str">
        <f t="shared" si="337"/>
        <v/>
      </c>
      <c r="AM1575" s="12" t="str">
        <f t="shared" si="333"/>
        <v/>
      </c>
      <c r="AN1575" s="12" t="str">
        <f t="shared" si="334"/>
        <v/>
      </c>
      <c r="AO1575" s="12" t="str">
        <f t="shared" si="335"/>
        <v/>
      </c>
      <c r="AP1575" s="12" t="str">
        <f t="shared" si="336"/>
        <v/>
      </c>
      <c r="AQ1575" s="12"/>
      <c r="AS1575" s="12">
        <f t="shared" si="338"/>
        <v>0</v>
      </c>
    </row>
    <row r="1576" spans="1:45" hidden="1" x14ac:dyDescent="0.25">
      <c r="A1576" s="41">
        <f>CASOPOInvCL!T1576</f>
        <v>0</v>
      </c>
      <c r="B1576">
        <f>CASOPOInvCL!Z1576</f>
        <v>0</v>
      </c>
      <c r="G1576" s="5">
        <f>CASOPOInvCL!I1576</f>
        <v>0</v>
      </c>
      <c r="H1576" s="31">
        <f>CASOPOInvCL!U1576</f>
        <v>0</v>
      </c>
      <c r="I1576" s="31">
        <f>CASOPOInvCL!V1576</f>
        <v>0</v>
      </c>
      <c r="J1576" s="5">
        <f>CASOPOInvCL!AB1576</f>
        <v>0</v>
      </c>
      <c r="K1576" s="31">
        <f>CASOPOInvCL!W1576</f>
        <v>0</v>
      </c>
      <c r="L1576" s="31">
        <f>CASOPOInvCL!X1576</f>
        <v>0</v>
      </c>
      <c r="M1576" s="31"/>
      <c r="N1576" s="5">
        <f>CASOPOInvCL!AF1576</f>
        <v>0</v>
      </c>
      <c r="O1576" s="16">
        <f>CASOPOInvCL!AG1576</f>
        <v>0</v>
      </c>
      <c r="P1576" s="16">
        <f>CASOPOInvCL!AH1576</f>
        <v>0</v>
      </c>
      <c r="Q1576" s="16">
        <f>CASOPOInvCL!AI1576</f>
        <v>0</v>
      </c>
      <c r="R1576" s="32">
        <f>CASOPOInvCL!AU1576</f>
        <v>0</v>
      </c>
      <c r="S1576" s="16">
        <f>CASOPOInvCL!AV1576</f>
        <v>0</v>
      </c>
      <c r="T1576" s="16">
        <f>CASOPOInvCL!AW1576</f>
        <v>0</v>
      </c>
      <c r="Y1576" s="29" t="str">
        <f>IFERROR(HLOOKUP(U1583,List!$D$2:$H$6,2,FALSE),"")</f>
        <v/>
      </c>
      <c r="Z1576" s="29" t="str">
        <f>IFERROR(HLOOKUP(V1583,List!$D$2:$H$6,3,FALSE),"")</f>
        <v/>
      </c>
      <c r="AA1576" s="29" t="str">
        <f>IFERROR(HLOOKUP(W1583,List!$D$2:$H$6,4,FALSE),"")</f>
        <v/>
      </c>
      <c r="AB1576" s="29" t="str">
        <f>IFERROR(HLOOKUP(X1583,List!$D$2:$H$6,5,FALSE),"")</f>
        <v/>
      </c>
      <c r="AC1576" s="12" t="str">
        <f t="shared" si="337"/>
        <v/>
      </c>
      <c r="AD1576" s="12" t="str">
        <f t="shared" si="337"/>
        <v/>
      </c>
      <c r="AE1576" s="12" t="str">
        <f t="shared" si="337"/>
        <v/>
      </c>
      <c r="AF1576" s="12" t="str">
        <f t="shared" si="337"/>
        <v/>
      </c>
      <c r="AM1576" s="12" t="str">
        <f t="shared" si="333"/>
        <v/>
      </c>
      <c r="AN1576" s="12" t="str">
        <f t="shared" si="334"/>
        <v/>
      </c>
      <c r="AO1576" s="12" t="str">
        <f t="shared" si="335"/>
        <v/>
      </c>
      <c r="AP1576" s="12" t="str">
        <f t="shared" si="336"/>
        <v/>
      </c>
      <c r="AQ1576" s="12"/>
      <c r="AS1576" s="12">
        <f t="shared" si="338"/>
        <v>0</v>
      </c>
    </row>
    <row r="1577" spans="1:45" hidden="1" x14ac:dyDescent="0.25">
      <c r="A1577" s="41">
        <f>CASOPOInvCL!T1577</f>
        <v>0</v>
      </c>
      <c r="B1577">
        <f>CASOPOInvCL!Z1577</f>
        <v>0</v>
      </c>
      <c r="G1577" s="5">
        <f>CASOPOInvCL!I1577</f>
        <v>0</v>
      </c>
      <c r="H1577" s="31">
        <f>CASOPOInvCL!U1577</f>
        <v>0</v>
      </c>
      <c r="I1577" s="31">
        <f>CASOPOInvCL!V1577</f>
        <v>0</v>
      </c>
      <c r="J1577" s="5">
        <f>CASOPOInvCL!AB1577</f>
        <v>0</v>
      </c>
      <c r="K1577" s="31">
        <f>CASOPOInvCL!W1577</f>
        <v>0</v>
      </c>
      <c r="L1577" s="31">
        <f>CASOPOInvCL!X1577</f>
        <v>0</v>
      </c>
      <c r="M1577" s="31"/>
      <c r="N1577" s="5">
        <f>CASOPOInvCL!AF1577</f>
        <v>0</v>
      </c>
      <c r="O1577" s="16">
        <f>CASOPOInvCL!AG1577</f>
        <v>0</v>
      </c>
      <c r="P1577" s="16">
        <f>CASOPOInvCL!AH1577</f>
        <v>0</v>
      </c>
      <c r="Q1577" s="16">
        <f>CASOPOInvCL!AI1577</f>
        <v>0</v>
      </c>
      <c r="R1577" s="32">
        <f>CASOPOInvCL!AU1577</f>
        <v>0</v>
      </c>
      <c r="S1577" s="16">
        <f>CASOPOInvCL!AV1577</f>
        <v>0</v>
      </c>
      <c r="T1577" s="16">
        <f>CASOPOInvCL!AW1577</f>
        <v>0</v>
      </c>
      <c r="Y1577" s="29" t="str">
        <f>IFERROR(HLOOKUP(U1584,List!$D$2:$H$6,2,FALSE),"")</f>
        <v/>
      </c>
      <c r="Z1577" s="29" t="str">
        <f>IFERROR(HLOOKUP(V1584,List!$D$2:$H$6,3,FALSE),"")</f>
        <v/>
      </c>
      <c r="AA1577" s="29" t="str">
        <f>IFERROR(HLOOKUP(W1584,List!$D$2:$H$6,4,FALSE),"")</f>
        <v/>
      </c>
      <c r="AB1577" s="29" t="str">
        <f>IFERROR(HLOOKUP(X1584,List!$D$2:$H$6,5,FALSE),"")</f>
        <v/>
      </c>
      <c r="AC1577" s="12" t="str">
        <f t="shared" si="337"/>
        <v/>
      </c>
      <c r="AD1577" s="12" t="str">
        <f t="shared" si="337"/>
        <v/>
      </c>
      <c r="AE1577" s="12" t="str">
        <f t="shared" si="337"/>
        <v/>
      </c>
      <c r="AF1577" s="12" t="str">
        <f t="shared" si="337"/>
        <v/>
      </c>
      <c r="AM1577" s="12" t="str">
        <f t="shared" si="333"/>
        <v/>
      </c>
      <c r="AN1577" s="12" t="str">
        <f t="shared" si="334"/>
        <v/>
      </c>
      <c r="AO1577" s="12" t="str">
        <f t="shared" si="335"/>
        <v/>
      </c>
      <c r="AP1577" s="12" t="str">
        <f t="shared" si="336"/>
        <v/>
      </c>
      <c r="AQ1577" s="12"/>
      <c r="AS1577" s="12">
        <f t="shared" si="338"/>
        <v>0</v>
      </c>
    </row>
    <row r="1578" spans="1:45" hidden="1" x14ac:dyDescent="0.25">
      <c r="A1578" s="41">
        <f>CASOPOInvCL!T1578</f>
        <v>0</v>
      </c>
      <c r="B1578">
        <f>CASOPOInvCL!Z1578</f>
        <v>0</v>
      </c>
      <c r="G1578" s="5">
        <f>CASOPOInvCL!I1578</f>
        <v>0</v>
      </c>
      <c r="H1578" s="31">
        <f>CASOPOInvCL!U1578</f>
        <v>0</v>
      </c>
      <c r="I1578" s="31">
        <f>CASOPOInvCL!V1578</f>
        <v>0</v>
      </c>
      <c r="J1578" s="5">
        <f>CASOPOInvCL!AB1578</f>
        <v>0</v>
      </c>
      <c r="K1578" s="31">
        <f>CASOPOInvCL!W1578</f>
        <v>0</v>
      </c>
      <c r="L1578" s="31">
        <f>CASOPOInvCL!X1578</f>
        <v>0</v>
      </c>
      <c r="M1578" s="31"/>
      <c r="N1578" s="5">
        <f>CASOPOInvCL!AF1578</f>
        <v>0</v>
      </c>
      <c r="O1578" s="16">
        <f>CASOPOInvCL!AG1578</f>
        <v>0</v>
      </c>
      <c r="P1578" s="16">
        <f>CASOPOInvCL!AH1578</f>
        <v>0</v>
      </c>
      <c r="Q1578" s="16">
        <f>CASOPOInvCL!AI1578</f>
        <v>0</v>
      </c>
      <c r="R1578" s="32">
        <f>CASOPOInvCL!AU1578</f>
        <v>0</v>
      </c>
      <c r="S1578" s="16">
        <f>CASOPOInvCL!AV1578</f>
        <v>0</v>
      </c>
      <c r="T1578" s="16">
        <f>CASOPOInvCL!AW1578</f>
        <v>0</v>
      </c>
      <c r="Y1578" s="29" t="str">
        <f>IFERROR(HLOOKUP(U1585,List!$D$2:$H$6,2,FALSE),"")</f>
        <v/>
      </c>
      <c r="Z1578" s="29" t="str">
        <f>IFERROR(HLOOKUP(V1585,List!$D$2:$H$6,3,FALSE),"")</f>
        <v/>
      </c>
      <c r="AA1578" s="29" t="str">
        <f>IFERROR(HLOOKUP(W1585,List!$D$2:$H$6,4,FALSE),"")</f>
        <v/>
      </c>
      <c r="AB1578" s="29" t="str">
        <f>IFERROR(HLOOKUP(X1585,List!$D$2:$H$6,5,FALSE),"")</f>
        <v/>
      </c>
      <c r="AC1578" s="12" t="str">
        <f t="shared" si="337"/>
        <v/>
      </c>
      <c r="AD1578" s="12" t="str">
        <f t="shared" si="337"/>
        <v/>
      </c>
      <c r="AE1578" s="12" t="str">
        <f t="shared" si="337"/>
        <v/>
      </c>
      <c r="AF1578" s="12" t="str">
        <f t="shared" si="337"/>
        <v/>
      </c>
      <c r="AM1578" s="12" t="str">
        <f t="shared" si="333"/>
        <v/>
      </c>
      <c r="AN1578" s="12" t="str">
        <f t="shared" si="334"/>
        <v/>
      </c>
      <c r="AO1578" s="12" t="str">
        <f t="shared" si="335"/>
        <v/>
      </c>
      <c r="AP1578" s="12" t="str">
        <f t="shared" si="336"/>
        <v/>
      </c>
      <c r="AQ1578" s="12"/>
      <c r="AS1578" s="12">
        <f t="shared" si="338"/>
        <v>0</v>
      </c>
    </row>
    <row r="1579" spans="1:45" hidden="1" x14ac:dyDescent="0.25">
      <c r="A1579" s="41">
        <f>CASOPOInvCL!T1579</f>
        <v>0</v>
      </c>
      <c r="B1579">
        <f>CASOPOInvCL!Z1579</f>
        <v>0</v>
      </c>
      <c r="G1579" s="5">
        <f>CASOPOInvCL!I1579</f>
        <v>0</v>
      </c>
      <c r="H1579" s="31">
        <f>CASOPOInvCL!U1579</f>
        <v>0</v>
      </c>
      <c r="I1579" s="31">
        <f>CASOPOInvCL!V1579</f>
        <v>0</v>
      </c>
      <c r="J1579" s="5">
        <f>CASOPOInvCL!AB1579</f>
        <v>0</v>
      </c>
      <c r="K1579" s="31">
        <f>CASOPOInvCL!W1579</f>
        <v>0</v>
      </c>
      <c r="L1579" s="31">
        <f>CASOPOInvCL!X1579</f>
        <v>0</v>
      </c>
      <c r="M1579" s="31"/>
      <c r="N1579" s="5">
        <f>CASOPOInvCL!AF1579</f>
        <v>0</v>
      </c>
      <c r="O1579" s="16">
        <f>CASOPOInvCL!AG1579</f>
        <v>0</v>
      </c>
      <c r="P1579" s="16">
        <f>CASOPOInvCL!AH1579</f>
        <v>0</v>
      </c>
      <c r="Q1579" s="16">
        <f>CASOPOInvCL!AI1579</f>
        <v>0</v>
      </c>
      <c r="R1579" s="32">
        <f>CASOPOInvCL!AU1579</f>
        <v>0</v>
      </c>
      <c r="S1579" s="16">
        <f>CASOPOInvCL!AV1579</f>
        <v>0</v>
      </c>
      <c r="T1579" s="16">
        <f>CASOPOInvCL!AW1579</f>
        <v>0</v>
      </c>
      <c r="Y1579" s="29" t="str">
        <f>IFERROR(HLOOKUP(U1586,List!$D$2:$H$6,2,FALSE),"")</f>
        <v/>
      </c>
      <c r="Z1579" s="29" t="str">
        <f>IFERROR(HLOOKUP(V1586,List!$D$2:$H$6,3,FALSE),"")</f>
        <v/>
      </c>
      <c r="AA1579" s="29" t="str">
        <f>IFERROR(HLOOKUP(W1586,List!$D$2:$H$6,4,FALSE),"")</f>
        <v/>
      </c>
      <c r="AB1579" s="29" t="str">
        <f>IFERROR(HLOOKUP(X1586,List!$D$2:$H$6,5,FALSE),"")</f>
        <v/>
      </c>
      <c r="AC1579" s="12" t="str">
        <f t="shared" si="337"/>
        <v/>
      </c>
      <c r="AD1579" s="12" t="str">
        <f t="shared" si="337"/>
        <v/>
      </c>
      <c r="AE1579" s="12" t="str">
        <f t="shared" si="337"/>
        <v/>
      </c>
      <c r="AF1579" s="12" t="str">
        <f t="shared" si="337"/>
        <v/>
      </c>
      <c r="AM1579" s="12" t="str">
        <f t="shared" si="333"/>
        <v/>
      </c>
      <c r="AN1579" s="12" t="str">
        <f t="shared" si="334"/>
        <v/>
      </c>
      <c r="AO1579" s="12" t="str">
        <f t="shared" si="335"/>
        <v/>
      </c>
      <c r="AP1579" s="12" t="str">
        <f t="shared" si="336"/>
        <v/>
      </c>
      <c r="AQ1579" s="12"/>
      <c r="AS1579" s="12">
        <f t="shared" si="338"/>
        <v>0</v>
      </c>
    </row>
    <row r="1580" spans="1:45" hidden="1" x14ac:dyDescent="0.25">
      <c r="A1580" s="41">
        <f>CASOPOInvCL!T1580</f>
        <v>0</v>
      </c>
      <c r="B1580">
        <f>CASOPOInvCL!Z1580</f>
        <v>0</v>
      </c>
      <c r="G1580" s="5">
        <f>CASOPOInvCL!I1580</f>
        <v>0</v>
      </c>
      <c r="H1580" s="31">
        <f>CASOPOInvCL!U1580</f>
        <v>0</v>
      </c>
      <c r="I1580" s="31">
        <f>CASOPOInvCL!V1580</f>
        <v>0</v>
      </c>
      <c r="J1580" s="5">
        <f>CASOPOInvCL!AB1580</f>
        <v>0</v>
      </c>
      <c r="K1580" s="31">
        <f>CASOPOInvCL!W1580</f>
        <v>0</v>
      </c>
      <c r="L1580" s="31">
        <f>CASOPOInvCL!X1580</f>
        <v>0</v>
      </c>
      <c r="M1580" s="31"/>
      <c r="N1580" s="5">
        <f>CASOPOInvCL!AF1580</f>
        <v>0</v>
      </c>
      <c r="O1580" s="16">
        <f>CASOPOInvCL!AG1580</f>
        <v>0</v>
      </c>
      <c r="P1580" s="16">
        <f>CASOPOInvCL!AH1580</f>
        <v>0</v>
      </c>
      <c r="Q1580" s="16">
        <f>CASOPOInvCL!AI1580</f>
        <v>0</v>
      </c>
      <c r="R1580" s="32">
        <f>CASOPOInvCL!AU1580</f>
        <v>0</v>
      </c>
      <c r="S1580" s="16">
        <f>CASOPOInvCL!AV1580</f>
        <v>0</v>
      </c>
      <c r="T1580" s="16">
        <f>CASOPOInvCL!AW1580</f>
        <v>0</v>
      </c>
      <c r="Y1580" s="29" t="str">
        <f>IFERROR(HLOOKUP(U1587,List!$D$2:$H$6,2,FALSE),"")</f>
        <v/>
      </c>
      <c r="Z1580" s="29" t="str">
        <f>IFERROR(HLOOKUP(V1587,List!$D$2:$H$6,3,FALSE),"")</f>
        <v/>
      </c>
      <c r="AA1580" s="29" t="str">
        <f>IFERROR(HLOOKUP(W1587,List!$D$2:$H$6,4,FALSE),"")</f>
        <v/>
      </c>
      <c r="AB1580" s="29" t="str">
        <f>IFERROR(HLOOKUP(X1587,List!$D$2:$H$6,5,FALSE),"")</f>
        <v/>
      </c>
      <c r="AC1580" s="12" t="str">
        <f t="shared" si="337"/>
        <v/>
      </c>
      <c r="AD1580" s="12" t="str">
        <f t="shared" si="337"/>
        <v/>
      </c>
      <c r="AE1580" s="12" t="str">
        <f t="shared" si="337"/>
        <v/>
      </c>
      <c r="AF1580" s="12" t="str">
        <f t="shared" si="337"/>
        <v/>
      </c>
      <c r="AM1580" s="12" t="str">
        <f t="shared" si="333"/>
        <v/>
      </c>
      <c r="AN1580" s="12" t="str">
        <f t="shared" si="334"/>
        <v/>
      </c>
      <c r="AO1580" s="12" t="str">
        <f t="shared" si="335"/>
        <v/>
      </c>
      <c r="AP1580" s="12" t="str">
        <f t="shared" si="336"/>
        <v/>
      </c>
      <c r="AQ1580" s="12"/>
      <c r="AS1580" s="12">
        <f t="shared" si="338"/>
        <v>0</v>
      </c>
    </row>
    <row r="1581" spans="1:45" hidden="1" x14ac:dyDescent="0.25">
      <c r="A1581" s="41">
        <f>CASOPOInvCL!T1581</f>
        <v>0</v>
      </c>
      <c r="B1581">
        <f>CASOPOInvCL!Z1581</f>
        <v>0</v>
      </c>
      <c r="G1581" s="5">
        <f>CASOPOInvCL!I1581</f>
        <v>0</v>
      </c>
      <c r="H1581" s="31">
        <f>CASOPOInvCL!U1581</f>
        <v>0</v>
      </c>
      <c r="I1581" s="31">
        <f>CASOPOInvCL!V1581</f>
        <v>0</v>
      </c>
      <c r="J1581" s="5">
        <f>CASOPOInvCL!AB1581</f>
        <v>0</v>
      </c>
      <c r="K1581" s="31">
        <f>CASOPOInvCL!W1581</f>
        <v>0</v>
      </c>
      <c r="L1581" s="31">
        <f>CASOPOInvCL!X1581</f>
        <v>0</v>
      </c>
      <c r="M1581" s="31"/>
      <c r="N1581" s="5">
        <f>CASOPOInvCL!AF1581</f>
        <v>0</v>
      </c>
      <c r="O1581" s="16">
        <f>CASOPOInvCL!AG1581</f>
        <v>0</v>
      </c>
      <c r="P1581" s="16">
        <f>CASOPOInvCL!AH1581</f>
        <v>0</v>
      </c>
      <c r="Q1581" s="16">
        <f>CASOPOInvCL!AI1581</f>
        <v>0</v>
      </c>
      <c r="R1581" s="32">
        <f>CASOPOInvCL!AU1581</f>
        <v>0</v>
      </c>
      <c r="S1581" s="16">
        <f>CASOPOInvCL!AV1581</f>
        <v>0</v>
      </c>
      <c r="T1581" s="16">
        <f>CASOPOInvCL!AW1581</f>
        <v>0</v>
      </c>
      <c r="Y1581" s="29" t="str">
        <f>IFERROR(HLOOKUP(U1588,List!$D$2:$H$6,2,FALSE),"")</f>
        <v/>
      </c>
      <c r="Z1581" s="29" t="str">
        <f>IFERROR(HLOOKUP(V1588,List!$D$2:$H$6,3,FALSE),"")</f>
        <v/>
      </c>
      <c r="AA1581" s="29" t="str">
        <f>IFERROR(HLOOKUP(W1588,List!$D$2:$H$6,4,FALSE),"")</f>
        <v/>
      </c>
      <c r="AB1581" s="29" t="str">
        <f>IFERROR(HLOOKUP(X1588,List!$D$2:$H$6,5,FALSE),"")</f>
        <v/>
      </c>
      <c r="AC1581" s="12" t="str">
        <f t="shared" si="337"/>
        <v/>
      </c>
      <c r="AD1581" s="12" t="str">
        <f t="shared" si="337"/>
        <v/>
      </c>
      <c r="AE1581" s="12" t="str">
        <f t="shared" si="337"/>
        <v/>
      </c>
      <c r="AF1581" s="12" t="str">
        <f t="shared" si="337"/>
        <v/>
      </c>
      <c r="AM1581" s="12" t="str">
        <f t="shared" si="333"/>
        <v/>
      </c>
      <c r="AN1581" s="12" t="str">
        <f t="shared" si="334"/>
        <v/>
      </c>
      <c r="AO1581" s="12" t="str">
        <f t="shared" si="335"/>
        <v/>
      </c>
      <c r="AP1581" s="12" t="str">
        <f t="shared" si="336"/>
        <v/>
      </c>
      <c r="AQ1581" s="12"/>
      <c r="AS1581" s="12">
        <f t="shared" si="338"/>
        <v>0</v>
      </c>
    </row>
    <row r="1582" spans="1:45" hidden="1" x14ac:dyDescent="0.25">
      <c r="A1582" s="41">
        <f>CASOPOInvCL!T1582</f>
        <v>0</v>
      </c>
      <c r="B1582">
        <f>CASOPOInvCL!Z1582</f>
        <v>0</v>
      </c>
      <c r="G1582" s="5">
        <f>CASOPOInvCL!I1582</f>
        <v>0</v>
      </c>
      <c r="H1582" s="31">
        <f>CASOPOInvCL!U1582</f>
        <v>0</v>
      </c>
      <c r="I1582" s="31">
        <f>CASOPOInvCL!V1582</f>
        <v>0</v>
      </c>
      <c r="J1582" s="5">
        <f>CASOPOInvCL!AB1582</f>
        <v>0</v>
      </c>
      <c r="K1582" s="31">
        <f>CASOPOInvCL!W1582</f>
        <v>0</v>
      </c>
      <c r="L1582" s="31">
        <f>CASOPOInvCL!X1582</f>
        <v>0</v>
      </c>
      <c r="M1582" s="31"/>
      <c r="N1582" s="5">
        <f>CASOPOInvCL!AF1582</f>
        <v>0</v>
      </c>
      <c r="O1582" s="16">
        <f>CASOPOInvCL!AG1582</f>
        <v>0</v>
      </c>
      <c r="P1582" s="16">
        <f>CASOPOInvCL!AH1582</f>
        <v>0</v>
      </c>
      <c r="Q1582" s="16">
        <f>CASOPOInvCL!AI1582</f>
        <v>0</v>
      </c>
      <c r="R1582" s="32">
        <f>CASOPOInvCL!AU1582</f>
        <v>0</v>
      </c>
      <c r="S1582" s="16">
        <f>CASOPOInvCL!AV1582</f>
        <v>0</v>
      </c>
      <c r="T1582" s="16">
        <f>CASOPOInvCL!AW1582</f>
        <v>0</v>
      </c>
      <c r="Y1582" s="29" t="str">
        <f>IFERROR(HLOOKUP(U1589,List!$D$2:$H$6,2,FALSE),"")</f>
        <v/>
      </c>
      <c r="Z1582" s="29" t="str">
        <f>IFERROR(HLOOKUP(V1589,List!$D$2:$H$6,3,FALSE),"")</f>
        <v/>
      </c>
      <c r="AA1582" s="29" t="str">
        <f>IFERROR(HLOOKUP(W1589,List!$D$2:$H$6,4,FALSE),"")</f>
        <v/>
      </c>
      <c r="AB1582" s="29" t="str">
        <f>IFERROR(HLOOKUP(X1589,List!$D$2:$H$6,5,FALSE),"")</f>
        <v/>
      </c>
      <c r="AC1582" s="12" t="str">
        <f t="shared" si="337"/>
        <v/>
      </c>
      <c r="AD1582" s="12" t="str">
        <f t="shared" si="337"/>
        <v/>
      </c>
      <c r="AE1582" s="12" t="str">
        <f t="shared" si="337"/>
        <v/>
      </c>
      <c r="AF1582" s="12" t="str">
        <f t="shared" si="337"/>
        <v/>
      </c>
      <c r="AM1582" s="12" t="str">
        <f t="shared" si="333"/>
        <v/>
      </c>
      <c r="AN1582" s="12" t="str">
        <f t="shared" si="334"/>
        <v/>
      </c>
      <c r="AO1582" s="12" t="str">
        <f t="shared" si="335"/>
        <v/>
      </c>
      <c r="AP1582" s="12" t="str">
        <f t="shared" si="336"/>
        <v/>
      </c>
      <c r="AQ1582" s="12"/>
      <c r="AS1582" s="12">
        <f t="shared" si="338"/>
        <v>0</v>
      </c>
    </row>
    <row r="1583" spans="1:45" hidden="1" x14ac:dyDescent="0.25">
      <c r="A1583" s="41">
        <f>CASOPOInvCL!T1583</f>
        <v>0</v>
      </c>
      <c r="B1583">
        <f>CASOPOInvCL!Z1583</f>
        <v>0</v>
      </c>
      <c r="G1583" s="5">
        <f>CASOPOInvCL!I1583</f>
        <v>0</v>
      </c>
      <c r="H1583" s="31">
        <f>CASOPOInvCL!U1583</f>
        <v>0</v>
      </c>
      <c r="I1583" s="31">
        <f>CASOPOInvCL!V1583</f>
        <v>0</v>
      </c>
      <c r="J1583" s="5">
        <f>CASOPOInvCL!AB1583</f>
        <v>0</v>
      </c>
      <c r="K1583" s="31">
        <f>CASOPOInvCL!W1583</f>
        <v>0</v>
      </c>
      <c r="L1583" s="31">
        <f>CASOPOInvCL!X1583</f>
        <v>0</v>
      </c>
      <c r="M1583" s="31"/>
      <c r="N1583" s="5">
        <f>CASOPOInvCL!AF1583</f>
        <v>0</v>
      </c>
      <c r="O1583" s="16">
        <f>CASOPOInvCL!AG1583</f>
        <v>0</v>
      </c>
      <c r="P1583" s="16">
        <f>CASOPOInvCL!AH1583</f>
        <v>0</v>
      </c>
      <c r="Q1583" s="16">
        <f>CASOPOInvCL!AI1583</f>
        <v>0</v>
      </c>
      <c r="R1583" s="32">
        <f>CASOPOInvCL!AU1583</f>
        <v>0</v>
      </c>
      <c r="S1583" s="16">
        <f>CASOPOInvCL!AV1583</f>
        <v>0</v>
      </c>
      <c r="T1583" s="16">
        <f>CASOPOInvCL!AW1583</f>
        <v>0</v>
      </c>
      <c r="Y1583" s="29" t="str">
        <f>IFERROR(HLOOKUP(U1590,List!$D$2:$H$6,2,FALSE),"")</f>
        <v/>
      </c>
      <c r="Z1583" s="29" t="str">
        <f>IFERROR(HLOOKUP(V1590,List!$D$2:$H$6,3,FALSE),"")</f>
        <v/>
      </c>
      <c r="AA1583" s="29" t="str">
        <f>IFERROR(HLOOKUP(W1590,List!$D$2:$H$6,4,FALSE),"")</f>
        <v/>
      </c>
      <c r="AB1583" s="29" t="str">
        <f>IFERROR(HLOOKUP(X1590,List!$D$2:$H$6,5,FALSE),"")</f>
        <v/>
      </c>
      <c r="AC1583" s="12" t="str">
        <f t="shared" si="337"/>
        <v/>
      </c>
      <c r="AD1583" s="12" t="str">
        <f t="shared" si="337"/>
        <v/>
      </c>
      <c r="AE1583" s="12" t="str">
        <f t="shared" si="337"/>
        <v/>
      </c>
      <c r="AF1583" s="12" t="str">
        <f t="shared" si="337"/>
        <v/>
      </c>
      <c r="AM1583" s="12" t="str">
        <f t="shared" si="333"/>
        <v/>
      </c>
      <c r="AN1583" s="12" t="str">
        <f t="shared" si="334"/>
        <v/>
      </c>
      <c r="AO1583" s="12" t="str">
        <f t="shared" si="335"/>
        <v/>
      </c>
      <c r="AP1583" s="12" t="str">
        <f t="shared" si="336"/>
        <v/>
      </c>
      <c r="AQ1583" s="12"/>
      <c r="AS1583" s="12">
        <f t="shared" si="338"/>
        <v>0</v>
      </c>
    </row>
    <row r="1584" spans="1:45" hidden="1" x14ac:dyDescent="0.25">
      <c r="A1584" s="41">
        <f>CASOPOInvCL!T1584</f>
        <v>0</v>
      </c>
      <c r="B1584">
        <f>CASOPOInvCL!Z1584</f>
        <v>0</v>
      </c>
      <c r="G1584" s="5">
        <f>CASOPOInvCL!I1584</f>
        <v>0</v>
      </c>
      <c r="H1584" s="31">
        <f>CASOPOInvCL!U1584</f>
        <v>0</v>
      </c>
      <c r="I1584" s="31">
        <f>CASOPOInvCL!V1584</f>
        <v>0</v>
      </c>
      <c r="J1584" s="5">
        <f>CASOPOInvCL!AB1584</f>
        <v>0</v>
      </c>
      <c r="K1584" s="31">
        <f>CASOPOInvCL!W1584</f>
        <v>0</v>
      </c>
      <c r="L1584" s="31">
        <f>CASOPOInvCL!X1584</f>
        <v>0</v>
      </c>
      <c r="M1584" s="31"/>
      <c r="N1584" s="5">
        <f>CASOPOInvCL!AF1584</f>
        <v>0</v>
      </c>
      <c r="O1584" s="16">
        <f>CASOPOInvCL!AG1584</f>
        <v>0</v>
      </c>
      <c r="P1584" s="16">
        <f>CASOPOInvCL!AH1584</f>
        <v>0</v>
      </c>
      <c r="Q1584" s="16">
        <f>CASOPOInvCL!AI1584</f>
        <v>0</v>
      </c>
      <c r="R1584" s="32">
        <f>CASOPOInvCL!AU1584</f>
        <v>0</v>
      </c>
      <c r="S1584" s="16">
        <f>CASOPOInvCL!AV1584</f>
        <v>0</v>
      </c>
      <c r="T1584" s="16">
        <f>CASOPOInvCL!AW1584</f>
        <v>0</v>
      </c>
      <c r="Y1584" s="29" t="str">
        <f>IFERROR(HLOOKUP(U1591,List!$D$2:$H$6,2,FALSE),"")</f>
        <v/>
      </c>
      <c r="Z1584" s="29" t="str">
        <f>IFERROR(HLOOKUP(V1591,List!$D$2:$H$6,3,FALSE),"")</f>
        <v/>
      </c>
      <c r="AA1584" s="29" t="str">
        <f>IFERROR(HLOOKUP(W1591,List!$D$2:$H$6,4,FALSE),"")</f>
        <v/>
      </c>
      <c r="AB1584" s="29" t="str">
        <f>IFERROR(HLOOKUP(X1591,List!$D$2:$H$6,5,FALSE),"")</f>
        <v/>
      </c>
      <c r="AC1584" s="12" t="str">
        <f t="shared" si="337"/>
        <v/>
      </c>
      <c r="AD1584" s="12" t="str">
        <f t="shared" si="337"/>
        <v/>
      </c>
      <c r="AE1584" s="12" t="str">
        <f t="shared" si="337"/>
        <v/>
      </c>
      <c r="AF1584" s="12" t="str">
        <f t="shared" si="337"/>
        <v/>
      </c>
      <c r="AM1584" s="12" t="str">
        <f t="shared" si="333"/>
        <v/>
      </c>
      <c r="AN1584" s="12" t="str">
        <f t="shared" si="334"/>
        <v/>
      </c>
      <c r="AO1584" s="12" t="str">
        <f t="shared" si="335"/>
        <v/>
      </c>
      <c r="AP1584" s="12" t="str">
        <f t="shared" si="336"/>
        <v/>
      </c>
      <c r="AQ1584" s="12"/>
      <c r="AS1584" s="12">
        <f t="shared" si="338"/>
        <v>0</v>
      </c>
    </row>
    <row r="1585" spans="1:45" hidden="1" x14ac:dyDescent="0.25">
      <c r="A1585" s="41">
        <f>CASOPOInvCL!T1585</f>
        <v>0</v>
      </c>
      <c r="B1585">
        <f>CASOPOInvCL!Z1585</f>
        <v>0</v>
      </c>
      <c r="G1585" s="5">
        <f>CASOPOInvCL!I1585</f>
        <v>0</v>
      </c>
      <c r="H1585" s="31">
        <f>CASOPOInvCL!U1585</f>
        <v>0</v>
      </c>
      <c r="I1585" s="31">
        <f>CASOPOInvCL!V1585</f>
        <v>0</v>
      </c>
      <c r="J1585" s="5">
        <f>CASOPOInvCL!AB1585</f>
        <v>0</v>
      </c>
      <c r="K1585" s="31">
        <f>CASOPOInvCL!W1585</f>
        <v>0</v>
      </c>
      <c r="L1585" s="31">
        <f>CASOPOInvCL!X1585</f>
        <v>0</v>
      </c>
      <c r="M1585" s="31"/>
      <c r="N1585" s="5">
        <f>CASOPOInvCL!AF1585</f>
        <v>0</v>
      </c>
      <c r="O1585" s="16">
        <f>CASOPOInvCL!AG1585</f>
        <v>0</v>
      </c>
      <c r="P1585" s="16">
        <f>CASOPOInvCL!AH1585</f>
        <v>0</v>
      </c>
      <c r="Q1585" s="16">
        <f>CASOPOInvCL!AI1585</f>
        <v>0</v>
      </c>
      <c r="R1585" s="32">
        <f>CASOPOInvCL!AU1585</f>
        <v>0</v>
      </c>
      <c r="S1585" s="16">
        <f>CASOPOInvCL!AV1585</f>
        <v>0</v>
      </c>
      <c r="T1585" s="16">
        <f>CASOPOInvCL!AW1585</f>
        <v>0</v>
      </c>
      <c r="Y1585" s="29" t="str">
        <f>IFERROR(HLOOKUP(U1592,List!$D$2:$H$6,2,FALSE),"")</f>
        <v/>
      </c>
      <c r="Z1585" s="29" t="str">
        <f>IFERROR(HLOOKUP(V1592,List!$D$2:$H$6,3,FALSE),"")</f>
        <v/>
      </c>
      <c r="AA1585" s="29" t="str">
        <f>IFERROR(HLOOKUP(W1592,List!$D$2:$H$6,4,FALSE),"")</f>
        <v/>
      </c>
      <c r="AB1585" s="29" t="str">
        <f>IFERROR(HLOOKUP(X1592,List!$D$2:$H$6,5,FALSE),"")</f>
        <v/>
      </c>
      <c r="AC1585" s="12" t="str">
        <f t="shared" si="337"/>
        <v/>
      </c>
      <c r="AD1585" s="12" t="str">
        <f t="shared" si="337"/>
        <v/>
      </c>
      <c r="AE1585" s="12" t="str">
        <f t="shared" si="337"/>
        <v/>
      </c>
      <c r="AF1585" s="12" t="str">
        <f t="shared" si="337"/>
        <v/>
      </c>
      <c r="AM1585" s="12" t="str">
        <f t="shared" si="333"/>
        <v/>
      </c>
      <c r="AN1585" s="12" t="str">
        <f t="shared" si="334"/>
        <v/>
      </c>
      <c r="AO1585" s="12" t="str">
        <f t="shared" si="335"/>
        <v/>
      </c>
      <c r="AP1585" s="12" t="str">
        <f t="shared" si="336"/>
        <v/>
      </c>
      <c r="AQ1585" s="12"/>
      <c r="AS1585" s="12">
        <f t="shared" si="338"/>
        <v>0</v>
      </c>
    </row>
    <row r="1586" spans="1:45" hidden="1" x14ac:dyDescent="0.25">
      <c r="A1586" s="41">
        <f>CASOPOInvCL!T1586</f>
        <v>0</v>
      </c>
      <c r="B1586">
        <f>CASOPOInvCL!Z1586</f>
        <v>0</v>
      </c>
      <c r="G1586" s="5">
        <f>CASOPOInvCL!I1586</f>
        <v>0</v>
      </c>
      <c r="H1586" s="31">
        <f>CASOPOInvCL!U1586</f>
        <v>0</v>
      </c>
      <c r="I1586" s="31">
        <f>CASOPOInvCL!V1586</f>
        <v>0</v>
      </c>
      <c r="J1586" s="5">
        <f>CASOPOInvCL!AB1586</f>
        <v>0</v>
      </c>
      <c r="K1586" s="31">
        <f>CASOPOInvCL!W1586</f>
        <v>0</v>
      </c>
      <c r="L1586" s="31">
        <f>CASOPOInvCL!X1586</f>
        <v>0</v>
      </c>
      <c r="M1586" s="31"/>
      <c r="N1586" s="5">
        <f>CASOPOInvCL!AF1586</f>
        <v>0</v>
      </c>
      <c r="O1586" s="16">
        <f>CASOPOInvCL!AG1586</f>
        <v>0</v>
      </c>
      <c r="P1586" s="16">
        <f>CASOPOInvCL!AH1586</f>
        <v>0</v>
      </c>
      <c r="Q1586" s="16">
        <f>CASOPOInvCL!AI1586</f>
        <v>0</v>
      </c>
      <c r="R1586" s="32">
        <f>CASOPOInvCL!AU1586</f>
        <v>0</v>
      </c>
      <c r="S1586" s="16">
        <f>CASOPOInvCL!AV1586</f>
        <v>0</v>
      </c>
      <c r="T1586" s="16">
        <f>CASOPOInvCL!AW1586</f>
        <v>0</v>
      </c>
      <c r="Y1586" s="29" t="str">
        <f>IFERROR(HLOOKUP(U1593,List!$D$2:$H$6,2,FALSE),"")</f>
        <v/>
      </c>
      <c r="Z1586" s="29" t="str">
        <f>IFERROR(HLOOKUP(V1593,List!$D$2:$H$6,3,FALSE),"")</f>
        <v/>
      </c>
      <c r="AA1586" s="29" t="str">
        <f>IFERROR(HLOOKUP(W1593,List!$D$2:$H$6,4,FALSE),"")</f>
        <v/>
      </c>
      <c r="AB1586" s="29" t="str">
        <f>IFERROR(HLOOKUP(X1593,List!$D$2:$H$6,5,FALSE),"")</f>
        <v/>
      </c>
      <c r="AC1586" s="12" t="str">
        <f t="shared" si="337"/>
        <v/>
      </c>
      <c r="AD1586" s="12" t="str">
        <f t="shared" si="337"/>
        <v/>
      </c>
      <c r="AE1586" s="12" t="str">
        <f t="shared" si="337"/>
        <v/>
      </c>
      <c r="AF1586" s="12" t="str">
        <f t="shared" si="337"/>
        <v/>
      </c>
      <c r="AM1586" s="12" t="str">
        <f t="shared" si="333"/>
        <v/>
      </c>
      <c r="AN1586" s="12" t="str">
        <f t="shared" si="334"/>
        <v/>
      </c>
      <c r="AO1586" s="12" t="str">
        <f t="shared" si="335"/>
        <v/>
      </c>
      <c r="AP1586" s="12" t="str">
        <f t="shared" si="336"/>
        <v/>
      </c>
      <c r="AQ1586" s="12"/>
      <c r="AS1586" s="12">
        <f t="shared" si="338"/>
        <v>0</v>
      </c>
    </row>
    <row r="1587" spans="1:45" hidden="1" x14ac:dyDescent="0.25">
      <c r="A1587" s="41">
        <f>CASOPOInvCL!T1587</f>
        <v>0</v>
      </c>
      <c r="B1587">
        <f>CASOPOInvCL!Z1587</f>
        <v>0</v>
      </c>
      <c r="G1587" s="5">
        <f>CASOPOInvCL!I1587</f>
        <v>0</v>
      </c>
      <c r="H1587" s="31">
        <f>CASOPOInvCL!U1587</f>
        <v>0</v>
      </c>
      <c r="I1587" s="31">
        <f>CASOPOInvCL!V1587</f>
        <v>0</v>
      </c>
      <c r="J1587" s="5">
        <f>CASOPOInvCL!AB1587</f>
        <v>0</v>
      </c>
      <c r="K1587" s="31">
        <f>CASOPOInvCL!W1587</f>
        <v>0</v>
      </c>
      <c r="L1587" s="31">
        <f>CASOPOInvCL!X1587</f>
        <v>0</v>
      </c>
      <c r="M1587" s="31"/>
      <c r="N1587" s="5">
        <f>CASOPOInvCL!AF1587</f>
        <v>0</v>
      </c>
      <c r="O1587" s="16">
        <f>CASOPOInvCL!AG1587</f>
        <v>0</v>
      </c>
      <c r="P1587" s="16">
        <f>CASOPOInvCL!AH1587</f>
        <v>0</v>
      </c>
      <c r="Q1587" s="16">
        <f>CASOPOInvCL!AI1587</f>
        <v>0</v>
      </c>
      <c r="R1587" s="32">
        <f>CASOPOInvCL!AU1587</f>
        <v>0</v>
      </c>
      <c r="S1587" s="16">
        <f>CASOPOInvCL!AV1587</f>
        <v>0</v>
      </c>
      <c r="T1587" s="16">
        <f>CASOPOInvCL!AW1587</f>
        <v>0</v>
      </c>
      <c r="Y1587" s="29" t="str">
        <f>IFERROR(HLOOKUP(U1594,List!$D$2:$H$6,2,FALSE),"")</f>
        <v/>
      </c>
      <c r="Z1587" s="29" t="str">
        <f>IFERROR(HLOOKUP(V1594,List!$D$2:$H$6,3,FALSE),"")</f>
        <v/>
      </c>
      <c r="AA1587" s="29" t="str">
        <f>IFERROR(HLOOKUP(W1594,List!$D$2:$H$6,4,FALSE),"")</f>
        <v/>
      </c>
      <c r="AB1587" s="29" t="str">
        <f>IFERROR(HLOOKUP(X1594,List!$D$2:$H$6,5,FALSE),"")</f>
        <v/>
      </c>
      <c r="AC1587" s="12" t="str">
        <f t="shared" si="337"/>
        <v/>
      </c>
      <c r="AD1587" s="12" t="str">
        <f t="shared" si="337"/>
        <v/>
      </c>
      <c r="AE1587" s="12" t="str">
        <f t="shared" si="337"/>
        <v/>
      </c>
      <c r="AF1587" s="12" t="str">
        <f t="shared" si="337"/>
        <v/>
      </c>
      <c r="AM1587" s="12" t="str">
        <f t="shared" si="333"/>
        <v/>
      </c>
      <c r="AN1587" s="12" t="str">
        <f t="shared" si="334"/>
        <v/>
      </c>
      <c r="AO1587" s="12" t="str">
        <f t="shared" si="335"/>
        <v/>
      </c>
      <c r="AP1587" s="12" t="str">
        <f t="shared" si="336"/>
        <v/>
      </c>
      <c r="AQ1587" s="12"/>
      <c r="AS1587" s="12">
        <f t="shared" si="338"/>
        <v>0</v>
      </c>
    </row>
    <row r="1588" spans="1:45" hidden="1" x14ac:dyDescent="0.25">
      <c r="A1588" s="41">
        <f>CASOPOInvCL!T1588</f>
        <v>0</v>
      </c>
      <c r="B1588">
        <f>CASOPOInvCL!Z1588</f>
        <v>0</v>
      </c>
      <c r="G1588" s="5">
        <f>CASOPOInvCL!I1588</f>
        <v>0</v>
      </c>
      <c r="H1588" s="31">
        <f>CASOPOInvCL!U1588</f>
        <v>0</v>
      </c>
      <c r="I1588" s="31">
        <f>CASOPOInvCL!V1588</f>
        <v>0</v>
      </c>
      <c r="J1588" s="5">
        <f>CASOPOInvCL!AB1588</f>
        <v>0</v>
      </c>
      <c r="K1588" s="31">
        <f>CASOPOInvCL!W1588</f>
        <v>0</v>
      </c>
      <c r="L1588" s="31">
        <f>CASOPOInvCL!X1588</f>
        <v>0</v>
      </c>
      <c r="M1588" s="31"/>
      <c r="N1588" s="5">
        <f>CASOPOInvCL!AF1588</f>
        <v>0</v>
      </c>
      <c r="O1588" s="16">
        <f>CASOPOInvCL!AG1588</f>
        <v>0</v>
      </c>
      <c r="P1588" s="16">
        <f>CASOPOInvCL!AH1588</f>
        <v>0</v>
      </c>
      <c r="Q1588" s="16">
        <f>CASOPOInvCL!AI1588</f>
        <v>0</v>
      </c>
      <c r="R1588" s="32">
        <f>CASOPOInvCL!AU1588</f>
        <v>0</v>
      </c>
      <c r="S1588" s="16">
        <f>CASOPOInvCL!AV1588</f>
        <v>0</v>
      </c>
      <c r="T1588" s="16">
        <f>CASOPOInvCL!AW1588</f>
        <v>0</v>
      </c>
      <c r="Y1588" s="29" t="str">
        <f>IFERROR(HLOOKUP(U1595,List!$D$2:$H$6,2,FALSE),"")</f>
        <v/>
      </c>
      <c r="Z1588" s="29" t="str">
        <f>IFERROR(HLOOKUP(V1595,List!$D$2:$H$6,3,FALSE),"")</f>
        <v/>
      </c>
      <c r="AA1588" s="29" t="str">
        <f>IFERROR(HLOOKUP(W1595,List!$D$2:$H$6,4,FALSE),"")</f>
        <v/>
      </c>
      <c r="AB1588" s="29" t="str">
        <f>IFERROR(HLOOKUP(X1595,List!$D$2:$H$6,5,FALSE),"")</f>
        <v/>
      </c>
      <c r="AC1588" s="12" t="str">
        <f t="shared" si="337"/>
        <v/>
      </c>
      <c r="AD1588" s="12" t="str">
        <f t="shared" si="337"/>
        <v/>
      </c>
      <c r="AE1588" s="12" t="str">
        <f t="shared" si="337"/>
        <v/>
      </c>
      <c r="AF1588" s="12" t="str">
        <f t="shared" si="337"/>
        <v/>
      </c>
      <c r="AM1588" s="12" t="str">
        <f t="shared" ref="AM1588:AM1600" si="339">IF(AI1595="",AC1588,0)</f>
        <v/>
      </c>
      <c r="AN1588" s="12" t="str">
        <f t="shared" ref="AN1588:AN1600" si="340">IF(AJ1595="",AD1588,0)</f>
        <v/>
      </c>
      <c r="AO1588" s="12" t="str">
        <f t="shared" ref="AO1588:AO1600" si="341">IF(AK1595="",AE1588,0)</f>
        <v/>
      </c>
      <c r="AP1588" s="12" t="str">
        <f t="shared" ref="AP1588:AP1600" si="342">IF(AL1595="",AF1588,0)</f>
        <v/>
      </c>
      <c r="AQ1588" s="12"/>
      <c r="AS1588" s="12">
        <f t="shared" si="338"/>
        <v>0</v>
      </c>
    </row>
    <row r="1589" spans="1:45" hidden="1" x14ac:dyDescent="0.25">
      <c r="A1589" s="41">
        <f>CASOPOInvCL!T1589</f>
        <v>0</v>
      </c>
      <c r="B1589">
        <f>CASOPOInvCL!Z1589</f>
        <v>0</v>
      </c>
      <c r="G1589" s="5">
        <f>CASOPOInvCL!I1589</f>
        <v>0</v>
      </c>
      <c r="H1589" s="31">
        <f>CASOPOInvCL!U1589</f>
        <v>0</v>
      </c>
      <c r="I1589" s="31">
        <f>CASOPOInvCL!V1589</f>
        <v>0</v>
      </c>
      <c r="J1589" s="5">
        <f>CASOPOInvCL!AB1589</f>
        <v>0</v>
      </c>
      <c r="K1589" s="31">
        <f>CASOPOInvCL!W1589</f>
        <v>0</v>
      </c>
      <c r="L1589" s="31">
        <f>CASOPOInvCL!X1589</f>
        <v>0</v>
      </c>
      <c r="M1589" s="31"/>
      <c r="N1589" s="5">
        <f>CASOPOInvCL!AF1589</f>
        <v>0</v>
      </c>
      <c r="O1589" s="16">
        <f>CASOPOInvCL!AG1589</f>
        <v>0</v>
      </c>
      <c r="P1589" s="16">
        <f>CASOPOInvCL!AH1589</f>
        <v>0</v>
      </c>
      <c r="Q1589" s="16">
        <f>CASOPOInvCL!AI1589</f>
        <v>0</v>
      </c>
      <c r="R1589" s="32">
        <f>CASOPOInvCL!AU1589</f>
        <v>0</v>
      </c>
      <c r="S1589" s="16">
        <f>CASOPOInvCL!AV1589</f>
        <v>0</v>
      </c>
      <c r="T1589" s="16">
        <f>CASOPOInvCL!AW1589</f>
        <v>0</v>
      </c>
      <c r="Y1589" s="29" t="str">
        <f>IFERROR(HLOOKUP(U1596,List!$D$2:$H$6,2,FALSE),"")</f>
        <v/>
      </c>
      <c r="Z1589" s="29" t="str">
        <f>IFERROR(HLOOKUP(V1596,List!$D$2:$H$6,3,FALSE),"")</f>
        <v/>
      </c>
      <c r="AA1589" s="29" t="str">
        <f>IFERROR(HLOOKUP(W1596,List!$D$2:$H$6,4,FALSE),"")</f>
        <v/>
      </c>
      <c r="AB1589" s="29" t="str">
        <f>IFERROR(HLOOKUP(X1596,List!$D$2:$H$6,5,FALSE),"")</f>
        <v/>
      </c>
      <c r="AC1589" s="12" t="str">
        <f t="shared" si="337"/>
        <v/>
      </c>
      <c r="AD1589" s="12" t="str">
        <f t="shared" si="337"/>
        <v/>
      </c>
      <c r="AE1589" s="12" t="str">
        <f t="shared" si="337"/>
        <v/>
      </c>
      <c r="AF1589" s="12" t="str">
        <f t="shared" si="337"/>
        <v/>
      </c>
      <c r="AM1589" s="12" t="str">
        <f t="shared" si="339"/>
        <v/>
      </c>
      <c r="AN1589" s="12" t="str">
        <f t="shared" si="340"/>
        <v/>
      </c>
      <c r="AO1589" s="12" t="str">
        <f t="shared" si="341"/>
        <v/>
      </c>
      <c r="AP1589" s="12" t="str">
        <f t="shared" si="342"/>
        <v/>
      </c>
      <c r="AQ1589" s="12"/>
      <c r="AS1589" s="12">
        <f t="shared" si="338"/>
        <v>0</v>
      </c>
    </row>
    <row r="1590" spans="1:45" hidden="1" x14ac:dyDescent="0.25">
      <c r="A1590" s="41">
        <f>CASOPOInvCL!T1590</f>
        <v>0</v>
      </c>
      <c r="B1590">
        <f>CASOPOInvCL!Z1590</f>
        <v>0</v>
      </c>
      <c r="G1590" s="5">
        <f>CASOPOInvCL!I1590</f>
        <v>0</v>
      </c>
      <c r="H1590" s="31">
        <f>CASOPOInvCL!U1590</f>
        <v>0</v>
      </c>
      <c r="I1590" s="31">
        <f>CASOPOInvCL!V1590</f>
        <v>0</v>
      </c>
      <c r="J1590" s="5">
        <f>CASOPOInvCL!AB1590</f>
        <v>0</v>
      </c>
      <c r="K1590" s="31">
        <f>CASOPOInvCL!W1590</f>
        <v>0</v>
      </c>
      <c r="L1590" s="31">
        <f>CASOPOInvCL!X1590</f>
        <v>0</v>
      </c>
      <c r="M1590" s="31"/>
      <c r="N1590" s="5">
        <f>CASOPOInvCL!AF1590</f>
        <v>0</v>
      </c>
      <c r="O1590" s="16">
        <f>CASOPOInvCL!AG1590</f>
        <v>0</v>
      </c>
      <c r="P1590" s="16">
        <f>CASOPOInvCL!AH1590</f>
        <v>0</v>
      </c>
      <c r="Q1590" s="16">
        <f>CASOPOInvCL!AI1590</f>
        <v>0</v>
      </c>
      <c r="R1590" s="32">
        <f>CASOPOInvCL!AU1590</f>
        <v>0</v>
      </c>
      <c r="S1590" s="16">
        <f>CASOPOInvCL!AV1590</f>
        <v>0</v>
      </c>
      <c r="T1590" s="16">
        <f>CASOPOInvCL!AW1590</f>
        <v>0</v>
      </c>
      <c r="Y1590" s="29" t="str">
        <f>IFERROR(HLOOKUP(U1597,List!$D$2:$H$6,2,FALSE),"")</f>
        <v/>
      </c>
      <c r="Z1590" s="29" t="str">
        <f>IFERROR(HLOOKUP(V1597,List!$D$2:$H$6,3,FALSE),"")</f>
        <v/>
      </c>
      <c r="AA1590" s="29" t="str">
        <f>IFERROR(HLOOKUP(W1597,List!$D$2:$H$6,4,FALSE),"")</f>
        <v/>
      </c>
      <c r="AB1590" s="29" t="str">
        <f>IFERROR(HLOOKUP(X1597,List!$D$2:$H$6,5,FALSE),"")</f>
        <v/>
      </c>
      <c r="AC1590" s="12" t="str">
        <f t="shared" si="337"/>
        <v/>
      </c>
      <c r="AD1590" s="12" t="str">
        <f t="shared" si="337"/>
        <v/>
      </c>
      <c r="AE1590" s="12" t="str">
        <f t="shared" si="337"/>
        <v/>
      </c>
      <c r="AF1590" s="12" t="str">
        <f t="shared" si="337"/>
        <v/>
      </c>
      <c r="AM1590" s="12" t="str">
        <f t="shared" si="339"/>
        <v/>
      </c>
      <c r="AN1590" s="12" t="str">
        <f t="shared" si="340"/>
        <v/>
      </c>
      <c r="AO1590" s="12" t="str">
        <f t="shared" si="341"/>
        <v/>
      </c>
      <c r="AP1590" s="12" t="str">
        <f t="shared" si="342"/>
        <v/>
      </c>
      <c r="AQ1590" s="12"/>
      <c r="AS1590" s="12">
        <f t="shared" si="338"/>
        <v>0</v>
      </c>
    </row>
    <row r="1591" spans="1:45" hidden="1" x14ac:dyDescent="0.25">
      <c r="A1591" s="41">
        <f>CASOPOInvCL!T1591</f>
        <v>0</v>
      </c>
      <c r="B1591">
        <f>CASOPOInvCL!Z1591</f>
        <v>0</v>
      </c>
      <c r="G1591" s="5">
        <f>CASOPOInvCL!I1591</f>
        <v>0</v>
      </c>
      <c r="H1591" s="31">
        <f>CASOPOInvCL!U1591</f>
        <v>0</v>
      </c>
      <c r="I1591" s="31">
        <f>CASOPOInvCL!V1591</f>
        <v>0</v>
      </c>
      <c r="J1591" s="5">
        <f>CASOPOInvCL!AB1591</f>
        <v>0</v>
      </c>
      <c r="K1591" s="31">
        <f>CASOPOInvCL!W1591</f>
        <v>0</v>
      </c>
      <c r="L1591" s="31">
        <f>CASOPOInvCL!X1591</f>
        <v>0</v>
      </c>
      <c r="M1591" s="31"/>
      <c r="N1591" s="5">
        <f>CASOPOInvCL!AF1591</f>
        <v>0</v>
      </c>
      <c r="O1591" s="16">
        <f>CASOPOInvCL!AG1591</f>
        <v>0</v>
      </c>
      <c r="P1591" s="16">
        <f>CASOPOInvCL!AH1591</f>
        <v>0</v>
      </c>
      <c r="Q1591" s="16">
        <f>CASOPOInvCL!AI1591</f>
        <v>0</v>
      </c>
      <c r="R1591" s="32">
        <f>CASOPOInvCL!AU1591</f>
        <v>0</v>
      </c>
      <c r="S1591" s="16">
        <f>CASOPOInvCL!AV1591</f>
        <v>0</v>
      </c>
      <c r="T1591" s="16">
        <f>CASOPOInvCL!AW1591</f>
        <v>0</v>
      </c>
      <c r="Y1591" s="29" t="str">
        <f>IFERROR(HLOOKUP(U1598,List!$D$2:$H$6,2,FALSE),"")</f>
        <v/>
      </c>
      <c r="Z1591" s="29" t="str">
        <f>IFERROR(HLOOKUP(V1598,List!$D$2:$H$6,3,FALSE),"")</f>
        <v/>
      </c>
      <c r="AA1591" s="29" t="str">
        <f>IFERROR(HLOOKUP(W1598,List!$D$2:$H$6,4,FALSE),"")</f>
        <v/>
      </c>
      <c r="AB1591" s="29" t="str">
        <f>IFERROR(HLOOKUP(X1598,List!$D$2:$H$6,5,FALSE),"")</f>
        <v/>
      </c>
      <c r="AC1591" s="12" t="str">
        <f t="shared" si="337"/>
        <v/>
      </c>
      <c r="AD1591" s="12" t="str">
        <f t="shared" si="337"/>
        <v/>
      </c>
      <c r="AE1591" s="12" t="str">
        <f t="shared" si="337"/>
        <v/>
      </c>
      <c r="AF1591" s="12" t="str">
        <f t="shared" si="337"/>
        <v/>
      </c>
      <c r="AM1591" s="12" t="str">
        <f t="shared" si="339"/>
        <v/>
      </c>
      <c r="AN1591" s="12" t="str">
        <f t="shared" si="340"/>
        <v/>
      </c>
      <c r="AO1591" s="12" t="str">
        <f t="shared" si="341"/>
        <v/>
      </c>
      <c r="AP1591" s="12" t="str">
        <f t="shared" si="342"/>
        <v/>
      </c>
      <c r="AQ1591" s="12"/>
      <c r="AS1591" s="12">
        <f t="shared" si="338"/>
        <v>0</v>
      </c>
    </row>
    <row r="1592" spans="1:45" hidden="1" x14ac:dyDescent="0.25">
      <c r="A1592" s="41">
        <f>CASOPOInvCL!T1592</f>
        <v>0</v>
      </c>
      <c r="B1592">
        <f>CASOPOInvCL!Z1592</f>
        <v>0</v>
      </c>
      <c r="G1592" s="5">
        <f>CASOPOInvCL!I1592</f>
        <v>0</v>
      </c>
      <c r="H1592" s="31">
        <f>CASOPOInvCL!U1592</f>
        <v>0</v>
      </c>
      <c r="I1592" s="31">
        <f>CASOPOInvCL!V1592</f>
        <v>0</v>
      </c>
      <c r="J1592" s="5">
        <f>CASOPOInvCL!AB1592</f>
        <v>0</v>
      </c>
      <c r="K1592" s="31">
        <f>CASOPOInvCL!W1592</f>
        <v>0</v>
      </c>
      <c r="L1592" s="31">
        <f>CASOPOInvCL!X1592</f>
        <v>0</v>
      </c>
      <c r="M1592" s="31"/>
      <c r="N1592" s="5">
        <f>CASOPOInvCL!AF1592</f>
        <v>0</v>
      </c>
      <c r="O1592" s="16">
        <f>CASOPOInvCL!AG1592</f>
        <v>0</v>
      </c>
      <c r="P1592" s="16">
        <f>CASOPOInvCL!AH1592</f>
        <v>0</v>
      </c>
      <c r="Q1592" s="16">
        <f>CASOPOInvCL!AI1592</f>
        <v>0</v>
      </c>
      <c r="R1592" s="32">
        <f>CASOPOInvCL!AU1592</f>
        <v>0</v>
      </c>
      <c r="S1592" s="16">
        <f>CASOPOInvCL!AV1592</f>
        <v>0</v>
      </c>
      <c r="T1592" s="16">
        <f>CASOPOInvCL!AW1592</f>
        <v>0</v>
      </c>
      <c r="Y1592" s="29" t="str">
        <f>IFERROR(HLOOKUP(U1599,List!$D$2:$H$6,2,FALSE),"")</f>
        <v/>
      </c>
      <c r="Z1592" s="29" t="str">
        <f>IFERROR(HLOOKUP(V1599,List!$D$2:$H$6,3,FALSE),"")</f>
        <v/>
      </c>
      <c r="AA1592" s="29" t="str">
        <f>IFERROR(HLOOKUP(W1599,List!$D$2:$H$6,4,FALSE),"")</f>
        <v/>
      </c>
      <c r="AB1592" s="29" t="str">
        <f>IFERROR(HLOOKUP(X1599,List!$D$2:$H$6,5,FALSE),"")</f>
        <v/>
      </c>
      <c r="AC1592" s="12" t="str">
        <f t="shared" si="337"/>
        <v/>
      </c>
      <c r="AD1592" s="12" t="str">
        <f t="shared" si="337"/>
        <v/>
      </c>
      <c r="AE1592" s="12" t="str">
        <f t="shared" si="337"/>
        <v/>
      </c>
      <c r="AF1592" s="12" t="str">
        <f t="shared" si="337"/>
        <v/>
      </c>
      <c r="AM1592" s="12" t="str">
        <f t="shared" si="339"/>
        <v/>
      </c>
      <c r="AN1592" s="12" t="str">
        <f t="shared" si="340"/>
        <v/>
      </c>
      <c r="AO1592" s="12" t="str">
        <f t="shared" si="341"/>
        <v/>
      </c>
      <c r="AP1592" s="12" t="str">
        <f t="shared" si="342"/>
        <v/>
      </c>
      <c r="AQ1592" s="12"/>
      <c r="AS1592" s="12">
        <f t="shared" si="338"/>
        <v>0</v>
      </c>
    </row>
    <row r="1593" spans="1:45" hidden="1" x14ac:dyDescent="0.25">
      <c r="A1593" s="41">
        <f>CASOPOInvCL!T1593</f>
        <v>0</v>
      </c>
      <c r="B1593">
        <f>CASOPOInvCL!Z1593</f>
        <v>0</v>
      </c>
      <c r="G1593" s="5">
        <f>CASOPOInvCL!I1593</f>
        <v>0</v>
      </c>
      <c r="H1593" s="31">
        <f>CASOPOInvCL!U1593</f>
        <v>0</v>
      </c>
      <c r="I1593" s="31">
        <f>CASOPOInvCL!V1593</f>
        <v>0</v>
      </c>
      <c r="J1593" s="5">
        <f>CASOPOInvCL!AB1593</f>
        <v>0</v>
      </c>
      <c r="K1593" s="31">
        <f>CASOPOInvCL!W1593</f>
        <v>0</v>
      </c>
      <c r="L1593" s="31">
        <f>CASOPOInvCL!X1593</f>
        <v>0</v>
      </c>
      <c r="M1593" s="31"/>
      <c r="N1593" s="5">
        <f>CASOPOInvCL!AF1593</f>
        <v>0</v>
      </c>
      <c r="O1593" s="16">
        <f>CASOPOInvCL!AG1593</f>
        <v>0</v>
      </c>
      <c r="P1593" s="16">
        <f>CASOPOInvCL!AH1593</f>
        <v>0</v>
      </c>
      <c r="Q1593" s="16">
        <f>CASOPOInvCL!AI1593</f>
        <v>0</v>
      </c>
      <c r="R1593" s="32">
        <f>CASOPOInvCL!AU1593</f>
        <v>0</v>
      </c>
      <c r="S1593" s="16">
        <f>CASOPOInvCL!AV1593</f>
        <v>0</v>
      </c>
      <c r="T1593" s="16">
        <f>CASOPOInvCL!AW1593</f>
        <v>0</v>
      </c>
      <c r="Y1593" s="29" t="str">
        <f>IFERROR(HLOOKUP(U1600,List!$D$2:$H$6,2,FALSE),"")</f>
        <v/>
      </c>
      <c r="Z1593" s="29" t="str">
        <f>IFERROR(HLOOKUP(V1600,List!$D$2:$H$6,3,FALSE),"")</f>
        <v/>
      </c>
      <c r="AA1593" s="29" t="str">
        <f>IFERROR(HLOOKUP(W1600,List!$D$2:$H$6,4,FALSE),"")</f>
        <v/>
      </c>
      <c r="AB1593" s="29" t="str">
        <f>IFERROR(HLOOKUP(X1600,List!$D$2:$H$6,5,FALSE),"")</f>
        <v/>
      </c>
      <c r="AC1593" s="12" t="str">
        <f t="shared" si="337"/>
        <v/>
      </c>
      <c r="AD1593" s="12" t="str">
        <f t="shared" si="337"/>
        <v/>
      </c>
      <c r="AE1593" s="12" t="str">
        <f t="shared" si="337"/>
        <v/>
      </c>
      <c r="AF1593" s="12" t="str">
        <f t="shared" ref="AC1593:AF1600" si="343">IFERROR(AB1593*$T1593,"")</f>
        <v/>
      </c>
      <c r="AM1593" s="12" t="str">
        <f t="shared" si="339"/>
        <v/>
      </c>
      <c r="AN1593" s="12" t="str">
        <f t="shared" si="340"/>
        <v/>
      </c>
      <c r="AO1593" s="12" t="str">
        <f t="shared" si="341"/>
        <v/>
      </c>
      <c r="AP1593" s="12" t="str">
        <f t="shared" si="342"/>
        <v/>
      </c>
      <c r="AQ1593" s="12"/>
      <c r="AS1593" s="12">
        <f t="shared" si="338"/>
        <v>0</v>
      </c>
    </row>
    <row r="1594" spans="1:45" hidden="1" x14ac:dyDescent="0.25">
      <c r="A1594" s="41">
        <f>CASOPOInvCL!T1594</f>
        <v>0</v>
      </c>
      <c r="B1594">
        <f>CASOPOInvCL!Z1594</f>
        <v>0</v>
      </c>
      <c r="G1594" s="5">
        <f>CASOPOInvCL!I1594</f>
        <v>0</v>
      </c>
      <c r="H1594" s="31">
        <f>CASOPOInvCL!U1594</f>
        <v>0</v>
      </c>
      <c r="I1594" s="31">
        <f>CASOPOInvCL!V1594</f>
        <v>0</v>
      </c>
      <c r="J1594" s="5">
        <f>CASOPOInvCL!AB1594</f>
        <v>0</v>
      </c>
      <c r="K1594" s="31">
        <f>CASOPOInvCL!W1594</f>
        <v>0</v>
      </c>
      <c r="L1594" s="31">
        <f>CASOPOInvCL!X1594</f>
        <v>0</v>
      </c>
      <c r="M1594" s="31"/>
      <c r="N1594" s="5">
        <f>CASOPOInvCL!AF1594</f>
        <v>0</v>
      </c>
      <c r="O1594" s="16">
        <f>CASOPOInvCL!AG1594</f>
        <v>0</v>
      </c>
      <c r="P1594" s="16">
        <f>CASOPOInvCL!AH1594</f>
        <v>0</v>
      </c>
      <c r="Q1594" s="16">
        <f>CASOPOInvCL!AI1594</f>
        <v>0</v>
      </c>
      <c r="R1594" s="32">
        <f>CASOPOInvCL!AU1594</f>
        <v>0</v>
      </c>
      <c r="S1594" s="16">
        <f>CASOPOInvCL!AV1594</f>
        <v>0</v>
      </c>
      <c r="T1594" s="16">
        <f>CASOPOInvCL!AW1594</f>
        <v>0</v>
      </c>
      <c r="Y1594" s="29" t="str">
        <f>IFERROR(HLOOKUP(U1601,List!$D$2:$H$6,2,FALSE),"")</f>
        <v/>
      </c>
      <c r="Z1594" s="29" t="str">
        <f>IFERROR(HLOOKUP(V1601,List!$D$2:$H$6,3,FALSE),"")</f>
        <v/>
      </c>
      <c r="AA1594" s="29" t="str">
        <f>IFERROR(HLOOKUP(W1601,List!$D$2:$H$6,4,FALSE),"")</f>
        <v/>
      </c>
      <c r="AB1594" s="29" t="str">
        <f>IFERROR(HLOOKUP(X1601,List!$D$2:$H$6,5,FALSE),"")</f>
        <v/>
      </c>
      <c r="AC1594" s="12" t="str">
        <f t="shared" si="343"/>
        <v/>
      </c>
      <c r="AD1594" s="12" t="str">
        <f t="shared" si="343"/>
        <v/>
      </c>
      <c r="AE1594" s="12" t="str">
        <f t="shared" si="343"/>
        <v/>
      </c>
      <c r="AF1594" s="12" t="str">
        <f t="shared" si="343"/>
        <v/>
      </c>
      <c r="AM1594" s="12" t="str">
        <f t="shared" si="339"/>
        <v/>
      </c>
      <c r="AN1594" s="12" t="str">
        <f t="shared" si="340"/>
        <v/>
      </c>
      <c r="AO1594" s="12" t="str">
        <f t="shared" si="341"/>
        <v/>
      </c>
      <c r="AP1594" s="12" t="str">
        <f t="shared" si="342"/>
        <v/>
      </c>
      <c r="AQ1594" s="12"/>
      <c r="AS1594" s="12">
        <f t="shared" si="338"/>
        <v>0</v>
      </c>
    </row>
    <row r="1595" spans="1:45" hidden="1" x14ac:dyDescent="0.25">
      <c r="A1595" s="41">
        <f>CASOPOInvCL!T1595</f>
        <v>0</v>
      </c>
      <c r="B1595">
        <f>CASOPOInvCL!Z1595</f>
        <v>0</v>
      </c>
      <c r="G1595" s="5">
        <f>CASOPOInvCL!I1595</f>
        <v>0</v>
      </c>
      <c r="H1595" s="31">
        <f>CASOPOInvCL!U1595</f>
        <v>0</v>
      </c>
      <c r="I1595" s="31">
        <f>CASOPOInvCL!V1595</f>
        <v>0</v>
      </c>
      <c r="J1595" s="5">
        <f>CASOPOInvCL!AB1595</f>
        <v>0</v>
      </c>
      <c r="K1595" s="31">
        <f>CASOPOInvCL!W1595</f>
        <v>0</v>
      </c>
      <c r="L1595" s="31">
        <f>CASOPOInvCL!X1595</f>
        <v>0</v>
      </c>
      <c r="M1595" s="31"/>
      <c r="N1595" s="5">
        <f>CASOPOInvCL!AF1595</f>
        <v>0</v>
      </c>
      <c r="O1595" s="16">
        <f>CASOPOInvCL!AG1595</f>
        <v>0</v>
      </c>
      <c r="P1595" s="16">
        <f>CASOPOInvCL!AH1595</f>
        <v>0</v>
      </c>
      <c r="Q1595" s="16">
        <f>CASOPOInvCL!AI1595</f>
        <v>0</v>
      </c>
      <c r="R1595" s="32">
        <f>CASOPOInvCL!AU1595</f>
        <v>0</v>
      </c>
      <c r="S1595" s="16">
        <f>CASOPOInvCL!AV1595</f>
        <v>0</v>
      </c>
      <c r="T1595" s="16">
        <f>CASOPOInvCL!AW1595</f>
        <v>0</v>
      </c>
      <c r="Y1595" s="29" t="str">
        <f>IFERROR(HLOOKUP(U1602,List!$D$2:$H$6,2,FALSE),"")</f>
        <v/>
      </c>
      <c r="Z1595" s="29" t="str">
        <f>IFERROR(HLOOKUP(V1602,List!$D$2:$H$6,3,FALSE),"")</f>
        <v/>
      </c>
      <c r="AA1595" s="29" t="str">
        <f>IFERROR(HLOOKUP(W1602,List!$D$2:$H$6,4,FALSE),"")</f>
        <v/>
      </c>
      <c r="AB1595" s="29" t="str">
        <f>IFERROR(HLOOKUP(X1602,List!$D$2:$H$6,5,FALSE),"")</f>
        <v/>
      </c>
      <c r="AC1595" s="12" t="str">
        <f t="shared" si="343"/>
        <v/>
      </c>
      <c r="AD1595" s="12" t="str">
        <f t="shared" si="343"/>
        <v/>
      </c>
      <c r="AE1595" s="12" t="str">
        <f t="shared" si="343"/>
        <v/>
      </c>
      <c r="AF1595" s="12" t="str">
        <f t="shared" si="343"/>
        <v/>
      </c>
      <c r="AM1595" s="12" t="str">
        <f t="shared" si="339"/>
        <v/>
      </c>
      <c r="AN1595" s="12" t="str">
        <f t="shared" si="340"/>
        <v/>
      </c>
      <c r="AO1595" s="12" t="str">
        <f t="shared" si="341"/>
        <v/>
      </c>
      <c r="AP1595" s="12" t="str">
        <f t="shared" si="342"/>
        <v/>
      </c>
      <c r="AQ1595" s="12"/>
      <c r="AS1595" s="12">
        <f t="shared" si="338"/>
        <v>0</v>
      </c>
    </row>
    <row r="1596" spans="1:45" hidden="1" x14ac:dyDescent="0.25">
      <c r="A1596" s="41">
        <f>CASOPOInvCL!T1596</f>
        <v>0</v>
      </c>
      <c r="B1596">
        <f>CASOPOInvCL!Z1596</f>
        <v>0</v>
      </c>
      <c r="G1596" s="5">
        <f>CASOPOInvCL!I1596</f>
        <v>0</v>
      </c>
      <c r="H1596" s="31">
        <f>CASOPOInvCL!U1596</f>
        <v>0</v>
      </c>
      <c r="I1596" s="31">
        <f>CASOPOInvCL!V1596</f>
        <v>0</v>
      </c>
      <c r="J1596" s="5">
        <f>CASOPOInvCL!AB1596</f>
        <v>0</v>
      </c>
      <c r="K1596" s="31">
        <f>CASOPOInvCL!W1596</f>
        <v>0</v>
      </c>
      <c r="L1596" s="31">
        <f>CASOPOInvCL!X1596</f>
        <v>0</v>
      </c>
      <c r="M1596" s="31"/>
      <c r="N1596" s="5">
        <f>CASOPOInvCL!AF1596</f>
        <v>0</v>
      </c>
      <c r="O1596" s="16">
        <f>CASOPOInvCL!AG1596</f>
        <v>0</v>
      </c>
      <c r="P1596" s="16">
        <f>CASOPOInvCL!AH1596</f>
        <v>0</v>
      </c>
      <c r="Q1596" s="16">
        <f>CASOPOInvCL!AI1596</f>
        <v>0</v>
      </c>
      <c r="R1596" s="32">
        <f>CASOPOInvCL!AU1596</f>
        <v>0</v>
      </c>
      <c r="S1596" s="16">
        <f>CASOPOInvCL!AV1596</f>
        <v>0</v>
      </c>
      <c r="T1596" s="16">
        <f>CASOPOInvCL!AW1596</f>
        <v>0</v>
      </c>
      <c r="Y1596" s="29" t="str">
        <f>IFERROR(HLOOKUP(U1603,List!$D$2:$H$6,2,FALSE),"")</f>
        <v/>
      </c>
      <c r="Z1596" s="29" t="str">
        <f>IFERROR(HLOOKUP(V1603,List!$D$2:$H$6,3,FALSE),"")</f>
        <v/>
      </c>
      <c r="AA1596" s="29" t="str">
        <f>IFERROR(HLOOKUP(W1603,List!$D$2:$H$6,4,FALSE),"")</f>
        <v/>
      </c>
      <c r="AB1596" s="29" t="str">
        <f>IFERROR(HLOOKUP(X1603,List!$D$2:$H$6,5,FALSE),"")</f>
        <v/>
      </c>
      <c r="AC1596" s="12" t="str">
        <f t="shared" si="343"/>
        <v/>
      </c>
      <c r="AD1596" s="12" t="str">
        <f t="shared" si="343"/>
        <v/>
      </c>
      <c r="AE1596" s="12" t="str">
        <f t="shared" si="343"/>
        <v/>
      </c>
      <c r="AF1596" s="12" t="str">
        <f t="shared" si="343"/>
        <v/>
      </c>
      <c r="AM1596" s="12" t="str">
        <f t="shared" si="339"/>
        <v/>
      </c>
      <c r="AN1596" s="12" t="str">
        <f t="shared" si="340"/>
        <v/>
      </c>
      <c r="AO1596" s="12" t="str">
        <f t="shared" si="341"/>
        <v/>
      </c>
      <c r="AP1596" s="12" t="str">
        <f t="shared" si="342"/>
        <v/>
      </c>
      <c r="AQ1596" s="12"/>
      <c r="AS1596" s="12">
        <f t="shared" si="338"/>
        <v>0</v>
      </c>
    </row>
    <row r="1597" spans="1:45" hidden="1" x14ac:dyDescent="0.25">
      <c r="A1597" s="41">
        <f>CASOPOInvCL!T1597</f>
        <v>0</v>
      </c>
      <c r="B1597">
        <f>CASOPOInvCL!Z1597</f>
        <v>0</v>
      </c>
      <c r="G1597" s="5">
        <f>CASOPOInvCL!I1597</f>
        <v>0</v>
      </c>
      <c r="H1597" s="31">
        <f>CASOPOInvCL!U1597</f>
        <v>0</v>
      </c>
      <c r="I1597" s="31">
        <f>CASOPOInvCL!V1597</f>
        <v>0</v>
      </c>
      <c r="J1597" s="5">
        <f>CASOPOInvCL!AB1597</f>
        <v>0</v>
      </c>
      <c r="K1597" s="31">
        <f>CASOPOInvCL!W1597</f>
        <v>0</v>
      </c>
      <c r="L1597" s="31">
        <f>CASOPOInvCL!X1597</f>
        <v>0</v>
      </c>
      <c r="M1597" s="31"/>
      <c r="N1597" s="5">
        <f>CASOPOInvCL!AF1597</f>
        <v>0</v>
      </c>
      <c r="O1597" s="16">
        <f>CASOPOInvCL!AG1597</f>
        <v>0</v>
      </c>
      <c r="P1597" s="16">
        <f>CASOPOInvCL!AH1597</f>
        <v>0</v>
      </c>
      <c r="Q1597" s="16">
        <f>CASOPOInvCL!AI1597</f>
        <v>0</v>
      </c>
      <c r="R1597" s="32">
        <f>CASOPOInvCL!AU1597</f>
        <v>0</v>
      </c>
      <c r="S1597" s="16">
        <f>CASOPOInvCL!AV1597</f>
        <v>0</v>
      </c>
      <c r="T1597" s="16">
        <f>CASOPOInvCL!AW1597</f>
        <v>0</v>
      </c>
      <c r="Y1597" s="29" t="str">
        <f>IFERROR(HLOOKUP(U1604,List!$D$2:$H$6,2,FALSE),"")</f>
        <v/>
      </c>
      <c r="Z1597" s="29" t="str">
        <f>IFERROR(HLOOKUP(V1604,List!$D$2:$H$6,3,FALSE),"")</f>
        <v/>
      </c>
      <c r="AA1597" s="29" t="str">
        <f>IFERROR(HLOOKUP(W1604,List!$D$2:$H$6,4,FALSE),"")</f>
        <v/>
      </c>
      <c r="AB1597" s="29" t="str">
        <f>IFERROR(HLOOKUP(X1604,List!$D$2:$H$6,5,FALSE),"")</f>
        <v/>
      </c>
      <c r="AC1597" s="12" t="str">
        <f t="shared" si="343"/>
        <v/>
      </c>
      <c r="AD1597" s="12" t="str">
        <f t="shared" si="343"/>
        <v/>
      </c>
      <c r="AE1597" s="12" t="str">
        <f t="shared" si="343"/>
        <v/>
      </c>
      <c r="AF1597" s="12" t="str">
        <f t="shared" si="343"/>
        <v/>
      </c>
      <c r="AM1597" s="12" t="str">
        <f t="shared" si="339"/>
        <v/>
      </c>
      <c r="AN1597" s="12" t="str">
        <f t="shared" si="340"/>
        <v/>
      </c>
      <c r="AO1597" s="12" t="str">
        <f t="shared" si="341"/>
        <v/>
      </c>
      <c r="AP1597" s="12" t="str">
        <f t="shared" si="342"/>
        <v/>
      </c>
      <c r="AQ1597" s="12"/>
      <c r="AS1597" s="12">
        <f t="shared" si="338"/>
        <v>0</v>
      </c>
    </row>
    <row r="1598" spans="1:45" hidden="1" x14ac:dyDescent="0.25">
      <c r="A1598" s="41">
        <f>CASOPOInvCL!T1598</f>
        <v>0</v>
      </c>
      <c r="B1598">
        <f>CASOPOInvCL!Z1598</f>
        <v>0</v>
      </c>
      <c r="G1598" s="5">
        <f>CASOPOInvCL!I1598</f>
        <v>0</v>
      </c>
      <c r="H1598" s="31">
        <f>CASOPOInvCL!U1598</f>
        <v>0</v>
      </c>
      <c r="I1598" s="31">
        <f>CASOPOInvCL!V1598</f>
        <v>0</v>
      </c>
      <c r="J1598" s="5">
        <f>CASOPOInvCL!AB1598</f>
        <v>0</v>
      </c>
      <c r="K1598" s="31">
        <f>CASOPOInvCL!W1598</f>
        <v>0</v>
      </c>
      <c r="L1598" s="31">
        <f>CASOPOInvCL!X1598</f>
        <v>0</v>
      </c>
      <c r="M1598" s="31"/>
      <c r="N1598" s="5">
        <f>CASOPOInvCL!AF1598</f>
        <v>0</v>
      </c>
      <c r="O1598" s="16">
        <f>CASOPOInvCL!AG1598</f>
        <v>0</v>
      </c>
      <c r="P1598" s="16">
        <f>CASOPOInvCL!AH1598</f>
        <v>0</v>
      </c>
      <c r="Q1598" s="16">
        <f>CASOPOInvCL!AI1598</f>
        <v>0</v>
      </c>
      <c r="R1598" s="32">
        <f>CASOPOInvCL!AU1598</f>
        <v>0</v>
      </c>
      <c r="S1598" s="16">
        <f>CASOPOInvCL!AV1598</f>
        <v>0</v>
      </c>
      <c r="T1598" s="16">
        <f>CASOPOInvCL!AW1598</f>
        <v>0</v>
      </c>
      <c r="Y1598" s="29" t="str">
        <f>IFERROR(HLOOKUP(U1605,List!$D$2:$H$6,2,FALSE),"")</f>
        <v/>
      </c>
      <c r="Z1598" s="29" t="str">
        <f>IFERROR(HLOOKUP(V1605,List!$D$2:$H$6,3,FALSE),"")</f>
        <v/>
      </c>
      <c r="AA1598" s="29" t="str">
        <f>IFERROR(HLOOKUP(W1605,List!$D$2:$H$6,4,FALSE),"")</f>
        <v/>
      </c>
      <c r="AB1598" s="29" t="str">
        <f>IFERROR(HLOOKUP(X1605,List!$D$2:$H$6,5,FALSE),"")</f>
        <v/>
      </c>
      <c r="AC1598" s="12" t="str">
        <f t="shared" si="343"/>
        <v/>
      </c>
      <c r="AD1598" s="12" t="str">
        <f t="shared" si="343"/>
        <v/>
      </c>
      <c r="AE1598" s="12" t="str">
        <f t="shared" si="343"/>
        <v/>
      </c>
      <c r="AF1598" s="12" t="str">
        <f t="shared" si="343"/>
        <v/>
      </c>
      <c r="AM1598" s="12" t="str">
        <f t="shared" si="339"/>
        <v/>
      </c>
      <c r="AN1598" s="12" t="str">
        <f t="shared" si="340"/>
        <v/>
      </c>
      <c r="AO1598" s="12" t="str">
        <f t="shared" si="341"/>
        <v/>
      </c>
      <c r="AP1598" s="12" t="str">
        <f t="shared" si="342"/>
        <v/>
      </c>
      <c r="AQ1598" s="12"/>
      <c r="AS1598" s="12">
        <f t="shared" si="338"/>
        <v>0</v>
      </c>
    </row>
    <row r="1599" spans="1:45" hidden="1" x14ac:dyDescent="0.25">
      <c r="A1599" s="41">
        <f>CASOPOInvCL!T1599</f>
        <v>0</v>
      </c>
      <c r="B1599">
        <f>CASOPOInvCL!Z1599</f>
        <v>0</v>
      </c>
      <c r="G1599" s="5">
        <f>CASOPOInvCL!I1599</f>
        <v>0</v>
      </c>
      <c r="H1599" s="31">
        <f>CASOPOInvCL!U1599</f>
        <v>0</v>
      </c>
      <c r="I1599" s="31">
        <f>CASOPOInvCL!V1599</f>
        <v>0</v>
      </c>
      <c r="J1599" s="5">
        <f>CASOPOInvCL!AB1599</f>
        <v>0</v>
      </c>
      <c r="K1599" s="31">
        <f>CASOPOInvCL!W1599</f>
        <v>0</v>
      </c>
      <c r="L1599" s="31">
        <f>CASOPOInvCL!X1599</f>
        <v>0</v>
      </c>
      <c r="M1599" s="31"/>
      <c r="N1599" s="5">
        <f>CASOPOInvCL!AF1599</f>
        <v>0</v>
      </c>
      <c r="O1599" s="16">
        <f>CASOPOInvCL!AG1599</f>
        <v>0</v>
      </c>
      <c r="P1599" s="16">
        <f>CASOPOInvCL!AH1599</f>
        <v>0</v>
      </c>
      <c r="Q1599" s="16">
        <f>CASOPOInvCL!AI1599</f>
        <v>0</v>
      </c>
      <c r="R1599" s="32">
        <f>CASOPOInvCL!AU1599</f>
        <v>0</v>
      </c>
      <c r="S1599" s="16">
        <f>CASOPOInvCL!AV1599</f>
        <v>0</v>
      </c>
      <c r="T1599" s="16">
        <f>CASOPOInvCL!AW1599</f>
        <v>0</v>
      </c>
      <c r="Y1599" s="29" t="str">
        <f>IFERROR(HLOOKUP(U1606,List!$D$2:$H$6,2,FALSE),"")</f>
        <v/>
      </c>
      <c r="Z1599" s="29" t="str">
        <f>IFERROR(HLOOKUP(V1606,List!$D$2:$H$6,3,FALSE),"")</f>
        <v/>
      </c>
      <c r="AA1599" s="29" t="str">
        <f>IFERROR(HLOOKUP(W1606,List!$D$2:$H$6,4,FALSE),"")</f>
        <v/>
      </c>
      <c r="AB1599" s="29" t="str">
        <f>IFERROR(HLOOKUP(X1606,List!$D$2:$H$6,5,FALSE),"")</f>
        <v/>
      </c>
      <c r="AC1599" s="12" t="str">
        <f t="shared" si="343"/>
        <v/>
      </c>
      <c r="AD1599" s="12" t="str">
        <f t="shared" si="343"/>
        <v/>
      </c>
      <c r="AE1599" s="12" t="str">
        <f t="shared" si="343"/>
        <v/>
      </c>
      <c r="AF1599" s="12" t="str">
        <f t="shared" si="343"/>
        <v/>
      </c>
      <c r="AM1599" s="12" t="str">
        <f t="shared" si="339"/>
        <v/>
      </c>
      <c r="AN1599" s="12" t="str">
        <f t="shared" si="340"/>
        <v/>
      </c>
      <c r="AO1599" s="12" t="str">
        <f t="shared" si="341"/>
        <v/>
      </c>
      <c r="AP1599" s="12" t="str">
        <f t="shared" si="342"/>
        <v/>
      </c>
      <c r="AQ1599" s="12"/>
      <c r="AS1599" s="12">
        <f t="shared" si="338"/>
        <v>0</v>
      </c>
    </row>
    <row r="1600" spans="1:45" hidden="1" x14ac:dyDescent="0.25">
      <c r="A1600" s="41">
        <f>CASOPOInvCL!T1600</f>
        <v>0</v>
      </c>
      <c r="B1600">
        <f>CASOPOInvCL!Z1600</f>
        <v>0</v>
      </c>
      <c r="G1600" s="5">
        <f>CASOPOInvCL!I1600</f>
        <v>0</v>
      </c>
      <c r="H1600" s="31">
        <f>CASOPOInvCL!U1600</f>
        <v>0</v>
      </c>
      <c r="I1600" s="31">
        <f>CASOPOInvCL!V1600</f>
        <v>0</v>
      </c>
      <c r="J1600" s="5">
        <f>CASOPOInvCL!AB1600</f>
        <v>0</v>
      </c>
      <c r="K1600" s="31">
        <f>CASOPOInvCL!W1600</f>
        <v>0</v>
      </c>
      <c r="L1600" s="31">
        <f>CASOPOInvCL!X1600</f>
        <v>0</v>
      </c>
      <c r="M1600" s="31"/>
      <c r="N1600" s="5">
        <f>CASOPOInvCL!AF1600</f>
        <v>0</v>
      </c>
      <c r="O1600" s="16">
        <f>CASOPOInvCL!AG1600</f>
        <v>0</v>
      </c>
      <c r="P1600" s="16">
        <f>CASOPOInvCL!AH1600</f>
        <v>0</v>
      </c>
      <c r="Q1600" s="16">
        <f>CASOPOInvCL!AI1600</f>
        <v>0</v>
      </c>
      <c r="R1600" s="32">
        <f>CASOPOInvCL!AU1600</f>
        <v>0</v>
      </c>
      <c r="S1600" s="16">
        <f>CASOPOInvCL!AV1600</f>
        <v>0</v>
      </c>
      <c r="T1600" s="16">
        <f>CASOPOInvCL!AW1600</f>
        <v>0</v>
      </c>
      <c r="Y1600" s="29" t="str">
        <f>IFERROR(HLOOKUP(U1607,List!$D$2:$H$6,2,FALSE),"")</f>
        <v/>
      </c>
      <c r="Z1600" s="29" t="str">
        <f>IFERROR(HLOOKUP(V1607,List!$D$2:$H$6,3,FALSE),"")</f>
        <v/>
      </c>
      <c r="AA1600" s="29" t="str">
        <f>IFERROR(HLOOKUP(W1607,List!$D$2:$H$6,4,FALSE),"")</f>
        <v/>
      </c>
      <c r="AB1600" s="29" t="str">
        <f>IFERROR(HLOOKUP(X1607,List!$D$2:$H$6,5,FALSE),"")</f>
        <v/>
      </c>
      <c r="AC1600" s="12" t="str">
        <f t="shared" si="343"/>
        <v/>
      </c>
      <c r="AD1600" s="12" t="str">
        <f t="shared" si="343"/>
        <v/>
      </c>
      <c r="AE1600" s="12" t="str">
        <f t="shared" si="343"/>
        <v/>
      </c>
      <c r="AF1600" s="12" t="str">
        <f t="shared" si="343"/>
        <v/>
      </c>
      <c r="AM1600" s="12" t="str">
        <f t="shared" si="339"/>
        <v/>
      </c>
      <c r="AN1600" s="12" t="str">
        <f t="shared" si="340"/>
        <v/>
      </c>
      <c r="AO1600" s="12" t="str">
        <f t="shared" si="341"/>
        <v/>
      </c>
      <c r="AP1600" s="12" t="str">
        <f t="shared" si="342"/>
        <v/>
      </c>
      <c r="AQ1600" s="12"/>
      <c r="AS1600" s="12">
        <f t="shared" si="338"/>
        <v>0</v>
      </c>
    </row>
    <row r="1601" spans="13:45" hidden="1" x14ac:dyDescent="0.25">
      <c r="M1601" s="31"/>
      <c r="AQ1601" s="12"/>
      <c r="AS1601" s="12">
        <f t="shared" si="338"/>
        <v>0</v>
      </c>
    </row>
    <row r="1602" spans="13:45" hidden="1" x14ac:dyDescent="0.25">
      <c r="M1602" s="31"/>
      <c r="AQ1602" s="12"/>
      <c r="AS1602" s="12">
        <f t="shared" si="338"/>
        <v>0</v>
      </c>
    </row>
    <row r="1603" spans="13:45" hidden="1" x14ac:dyDescent="0.25">
      <c r="M1603" s="31"/>
      <c r="AQ1603" s="12"/>
      <c r="AS1603" s="12">
        <f t="shared" si="338"/>
        <v>0</v>
      </c>
    </row>
    <row r="1604" spans="13:45" hidden="1" x14ac:dyDescent="0.25">
      <c r="M1604" s="31"/>
      <c r="AQ1604" s="12"/>
      <c r="AS1604" s="12">
        <f t="shared" si="338"/>
        <v>0</v>
      </c>
    </row>
    <row r="1605" spans="13:45" hidden="1" x14ac:dyDescent="0.25">
      <c r="M1605" s="31"/>
      <c r="AQ1605" s="12"/>
      <c r="AS1605" s="12">
        <f t="shared" si="338"/>
        <v>0</v>
      </c>
    </row>
    <row r="1606" spans="13:45" hidden="1" x14ac:dyDescent="0.25">
      <c r="M1606" s="31"/>
      <c r="AQ1606" s="12"/>
      <c r="AS1606" s="12">
        <f t="shared" si="338"/>
        <v>0</v>
      </c>
    </row>
    <row r="1607" spans="13:45" hidden="1" x14ac:dyDescent="0.25">
      <c r="M1607" s="31"/>
      <c r="AQ1607" s="12"/>
      <c r="AS1607" s="12">
        <f t="shared" si="338"/>
        <v>0</v>
      </c>
    </row>
  </sheetData>
  <autoFilter ref="A1:AT1607" xr:uid="{00000000-0009-0000-0000-00000B000000}">
    <filterColumn colId="1">
      <filters>
        <filter val="SO17712"/>
        <filter val="SO17833"/>
        <filter val="SO17911"/>
      </filters>
    </filterColumn>
  </autoFilter>
  <dataValidations count="3">
    <dataValidation type="list" allowBlank="1" showInputMessage="1" showErrorMessage="1" sqref="E342:E508 E8:E182 D571:D575 E184:E220 E226:E298 E300:E339 D8:D26 D28:D173 D175:D201 D396:D422 D204:D394 D546:D569 D1338:F1606 D627:D717 E510:E953 F8:F953 D424:D542 D577:D601 D604:D624 D719:D763 D909:D953 D768:D906" xr:uid="{00000000-0002-0000-0B00-000000000000}">
      <formula1>Employee</formula1>
    </dataValidation>
    <dataValidation type="list" allowBlank="1" showInputMessage="1" showErrorMessage="1" sqref="U1338:X1607 U2:X954 V1114:V1115" xr:uid="{00000000-0002-0000-0B00-000001000000}">
      <formula1>Deal_Type</formula1>
    </dataValidation>
    <dataValidation type="list" allowBlank="1" showInputMessage="1" showErrorMessage="1" sqref="AI2:AL954" xr:uid="{00000000-0002-0000-0B00-000002000000}">
      <formula1>Quater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>
      <selection activeCell="C2" sqref="C2"/>
    </sheetView>
  </sheetViews>
  <sheetFormatPr defaultColWidth="9.140625" defaultRowHeight="15" x14ac:dyDescent="0.25"/>
  <sheetData>
    <row r="1" spans="1:5" x14ac:dyDescent="0.25">
      <c r="A1" t="s">
        <v>5778</v>
      </c>
      <c r="B1" t="s">
        <v>4387</v>
      </c>
      <c r="C1" t="s">
        <v>5913</v>
      </c>
      <c r="D1" t="s">
        <v>5911</v>
      </c>
      <c r="E1" t="s">
        <v>5912</v>
      </c>
    </row>
    <row r="2" spans="1:5" x14ac:dyDescent="0.25">
      <c r="A2" s="16" t="s">
        <v>51</v>
      </c>
      <c r="B2" t="s">
        <v>2068</v>
      </c>
      <c r="C2" t="s">
        <v>2380</v>
      </c>
      <c r="D2" t="s">
        <v>4388</v>
      </c>
      <c r="E2" t="s">
        <v>4390</v>
      </c>
    </row>
    <row r="3" spans="1:5" x14ac:dyDescent="0.25">
      <c r="A3" s="16" t="s">
        <v>51</v>
      </c>
      <c r="B3" t="s">
        <v>1869</v>
      </c>
      <c r="C3" t="s">
        <v>2495</v>
      </c>
      <c r="D3" t="s">
        <v>4388</v>
      </c>
      <c r="E3" t="s">
        <v>4390</v>
      </c>
    </row>
    <row r="4" spans="1:5" x14ac:dyDescent="0.25">
      <c r="A4" t="s">
        <v>51</v>
      </c>
      <c r="B4" t="s">
        <v>1421</v>
      </c>
      <c r="C4" t="s">
        <v>2756</v>
      </c>
      <c r="D4" t="s">
        <v>4388</v>
      </c>
      <c r="E4" t="s">
        <v>4390</v>
      </c>
    </row>
    <row r="5" spans="1:5" x14ac:dyDescent="0.25">
      <c r="A5" t="s">
        <v>51</v>
      </c>
      <c r="B5" t="s">
        <v>1421</v>
      </c>
      <c r="C5" t="s">
        <v>2757</v>
      </c>
      <c r="D5" t="s">
        <v>4388</v>
      </c>
      <c r="E5" t="s">
        <v>4390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6"/>
  <sheetViews>
    <sheetView workbookViewId="0">
      <selection activeCell="A3" sqref="A3:AT6"/>
    </sheetView>
  </sheetViews>
  <sheetFormatPr defaultRowHeight="15" x14ac:dyDescent="0.25"/>
  <cols>
    <col min="1" max="2" width="9.28515625" bestFit="1" customWidth="1"/>
    <col min="3" max="4" width="9.42578125" bestFit="1" customWidth="1"/>
    <col min="5" max="6" width="9.28515625" bestFit="1" customWidth="1"/>
    <col min="7" max="7" width="20" bestFit="1" customWidth="1"/>
    <col min="8" max="8" width="9.85546875" bestFit="1" customWidth="1"/>
    <col min="9" max="9" width="10.140625" bestFit="1" customWidth="1"/>
    <col min="10" max="10" width="10.7109375" bestFit="1" customWidth="1"/>
    <col min="11" max="11" width="14.42578125" bestFit="1" customWidth="1"/>
    <col min="12" max="12" width="14.7109375" bestFit="1" customWidth="1"/>
    <col min="13" max="13" width="9.28515625" bestFit="1" customWidth="1"/>
    <col min="14" max="14" width="48.7109375" bestFit="1" customWidth="1"/>
    <col min="15" max="17" width="9.28515625" bestFit="1" customWidth="1"/>
    <col min="18" max="18" width="15.42578125" bestFit="1" customWidth="1"/>
    <col min="19" max="19" width="9.5703125" bestFit="1" customWidth="1"/>
    <col min="20" max="20" width="9.28515625" bestFit="1" customWidth="1"/>
    <col min="21" max="21" width="12.28515625" bestFit="1" customWidth="1"/>
    <col min="22" max="22" width="11.140625" bestFit="1" customWidth="1"/>
    <col min="23" max="23" width="10" bestFit="1" customWidth="1"/>
    <col min="24" max="24" width="10.7109375" bestFit="1" customWidth="1"/>
    <col min="25" max="25" width="9.85546875" bestFit="1" customWidth="1"/>
    <col min="26" max="32" width="9.28515625" bestFit="1" customWidth="1"/>
    <col min="33" max="33" width="37.140625" bestFit="1" customWidth="1"/>
    <col min="34" max="34" width="9.28515625" bestFit="1" customWidth="1"/>
    <col min="35" max="35" width="10.85546875" bestFit="1" customWidth="1"/>
    <col min="36" max="36" width="9.7109375" bestFit="1" customWidth="1"/>
    <col min="37" max="38" width="9.28515625" bestFit="1" customWidth="1"/>
    <col min="39" max="39" width="11.7109375" bestFit="1" customWidth="1"/>
    <col min="40" max="40" width="10.5703125" bestFit="1" customWidth="1"/>
    <col min="41" max="41" width="9.42578125" bestFit="1" customWidth="1"/>
    <col min="42" max="42" width="10.140625" bestFit="1" customWidth="1"/>
    <col min="43" max="43" width="9.28515625" bestFit="1" customWidth="1"/>
    <col min="44" max="44" width="11.140625" bestFit="1" customWidth="1"/>
    <col min="45" max="46" width="9.28515625" bestFit="1" customWidth="1"/>
  </cols>
  <sheetData>
    <row r="1" spans="1:46" x14ac:dyDescent="0.25">
      <c r="A1" s="1" t="s">
        <v>5946</v>
      </c>
    </row>
    <row r="3" spans="1:46" x14ac:dyDescent="0.25">
      <c r="A3" t="s">
        <v>5854</v>
      </c>
      <c r="B3" t="s">
        <v>3390</v>
      </c>
      <c r="C3" t="s">
        <v>5779</v>
      </c>
      <c r="D3" t="s">
        <v>5780</v>
      </c>
      <c r="E3" t="s">
        <v>5781</v>
      </c>
      <c r="F3" t="s">
        <v>5782</v>
      </c>
      <c r="G3" t="s">
        <v>5783</v>
      </c>
      <c r="H3" t="s">
        <v>5805</v>
      </c>
      <c r="I3" t="s">
        <v>5909</v>
      </c>
      <c r="J3" t="s">
        <v>5784</v>
      </c>
      <c r="K3" t="s">
        <v>5806</v>
      </c>
      <c r="L3" t="s">
        <v>5910</v>
      </c>
      <c r="M3" t="s">
        <v>5914</v>
      </c>
      <c r="N3" t="s">
        <v>3824</v>
      </c>
      <c r="O3" t="s">
        <v>3831</v>
      </c>
      <c r="P3" t="s">
        <v>22</v>
      </c>
      <c r="Q3" t="s">
        <v>51</v>
      </c>
      <c r="R3" t="s">
        <v>5804</v>
      </c>
      <c r="S3" t="s">
        <v>4390</v>
      </c>
      <c r="T3" t="s">
        <v>15</v>
      </c>
      <c r="U3" t="s">
        <v>5787</v>
      </c>
      <c r="V3" t="s">
        <v>5788</v>
      </c>
      <c r="W3" t="s">
        <v>5789</v>
      </c>
      <c r="X3" t="s">
        <v>5790</v>
      </c>
      <c r="Y3" t="s">
        <v>5791</v>
      </c>
      <c r="Z3" t="s">
        <v>5792</v>
      </c>
      <c r="AA3" t="s">
        <v>5793</v>
      </c>
      <c r="AB3" t="s">
        <v>5794</v>
      </c>
      <c r="AC3" t="s">
        <v>5795</v>
      </c>
      <c r="AD3" t="s">
        <v>5796</v>
      </c>
      <c r="AE3" t="s">
        <v>5797</v>
      </c>
      <c r="AF3" t="s">
        <v>5798</v>
      </c>
      <c r="AG3" t="s">
        <v>5799</v>
      </c>
      <c r="AH3" t="s">
        <v>5944</v>
      </c>
      <c r="AI3" t="s">
        <v>5856</v>
      </c>
      <c r="AJ3" t="s">
        <v>5855</v>
      </c>
      <c r="AK3" t="s">
        <v>5857</v>
      </c>
      <c r="AL3" t="s">
        <v>5858</v>
      </c>
      <c r="AM3" t="s">
        <v>5895</v>
      </c>
      <c r="AN3" t="s">
        <v>5896</v>
      </c>
      <c r="AO3" t="s">
        <v>5897</v>
      </c>
      <c r="AP3" t="s">
        <v>5898</v>
      </c>
      <c r="AQ3" t="s">
        <v>5935</v>
      </c>
      <c r="AR3" t="s">
        <v>5929</v>
      </c>
      <c r="AS3" t="s">
        <v>5930</v>
      </c>
      <c r="AT3" t="s">
        <v>5936</v>
      </c>
    </row>
    <row r="4" spans="1:46" x14ac:dyDescent="0.25">
      <c r="A4">
        <v>1</v>
      </c>
      <c r="B4" t="s">
        <v>934</v>
      </c>
      <c r="D4" t="s">
        <v>5938</v>
      </c>
      <c r="G4" t="s">
        <v>71</v>
      </c>
      <c r="H4">
        <v>7</v>
      </c>
      <c r="I4">
        <v>2025</v>
      </c>
      <c r="J4" t="s">
        <v>3037</v>
      </c>
      <c r="K4">
        <v>10</v>
      </c>
      <c r="L4">
        <v>2025</v>
      </c>
      <c r="M4">
        <v>2504</v>
      </c>
      <c r="N4" t="s">
        <v>70</v>
      </c>
      <c r="O4" t="s">
        <v>51</v>
      </c>
      <c r="P4">
        <v>2679.8246370055667</v>
      </c>
      <c r="Q4">
        <v>1956.36</v>
      </c>
      <c r="R4" t="s">
        <v>4388</v>
      </c>
      <c r="S4">
        <v>0</v>
      </c>
      <c r="T4">
        <v>1956.36</v>
      </c>
      <c r="Y4" t="s">
        <v>5945</v>
      </c>
      <c r="Z4" t="s">
        <v>5945</v>
      </c>
      <c r="AA4" t="s">
        <v>5945</v>
      </c>
      <c r="AB4" t="s">
        <v>5945</v>
      </c>
      <c r="AC4" t="s">
        <v>5945</v>
      </c>
      <c r="AD4" t="s">
        <v>5945</v>
      </c>
      <c r="AE4" t="s">
        <v>5945</v>
      </c>
      <c r="AF4" t="s">
        <v>5945</v>
      </c>
      <c r="AM4" t="s">
        <v>5945</v>
      </c>
      <c r="AN4" t="s">
        <v>5945</v>
      </c>
      <c r="AO4" t="s">
        <v>5945</v>
      </c>
      <c r="AP4" t="s">
        <v>5945</v>
      </c>
      <c r="AQ4">
        <v>2504</v>
      </c>
      <c r="AR4" t="s">
        <v>5931</v>
      </c>
      <c r="AS4">
        <v>29.345399999999998</v>
      </c>
      <c r="AT4" t="s">
        <v>4388</v>
      </c>
    </row>
    <row r="5" spans="1:46" x14ac:dyDescent="0.25">
      <c r="A5">
        <v>1</v>
      </c>
      <c r="B5" t="s">
        <v>1217</v>
      </c>
      <c r="D5" t="s">
        <v>5938</v>
      </c>
      <c r="G5" t="s">
        <v>71</v>
      </c>
      <c r="H5">
        <v>6</v>
      </c>
      <c r="I5">
        <v>2025</v>
      </c>
      <c r="J5" t="s">
        <v>2871</v>
      </c>
      <c r="K5">
        <v>8</v>
      </c>
      <c r="L5">
        <v>2025</v>
      </c>
      <c r="M5">
        <v>2504</v>
      </c>
      <c r="N5" t="s">
        <v>818</v>
      </c>
      <c r="O5" t="s">
        <v>22</v>
      </c>
      <c r="P5">
        <v>683.13</v>
      </c>
      <c r="Q5">
        <v>501.62112103630022</v>
      </c>
      <c r="R5" t="s">
        <v>4388</v>
      </c>
      <c r="S5">
        <v>0</v>
      </c>
      <c r="T5">
        <v>501.62112103630022</v>
      </c>
      <c r="Y5" t="s">
        <v>5945</v>
      </c>
      <c r="Z5" t="s">
        <v>5945</v>
      </c>
      <c r="AA5" t="s">
        <v>5945</v>
      </c>
      <c r="AB5" t="s">
        <v>5945</v>
      </c>
      <c r="AC5" t="s">
        <v>5945</v>
      </c>
      <c r="AD5" t="s">
        <v>5945</v>
      </c>
      <c r="AE5" t="s">
        <v>5945</v>
      </c>
      <c r="AF5" t="s">
        <v>5945</v>
      </c>
      <c r="AM5" t="s">
        <v>5945</v>
      </c>
      <c r="AN5" t="s">
        <v>5945</v>
      </c>
      <c r="AO5" t="s">
        <v>5945</v>
      </c>
      <c r="AP5" t="s">
        <v>5945</v>
      </c>
      <c r="AQ5">
        <v>2504</v>
      </c>
      <c r="AR5" t="s">
        <v>5931</v>
      </c>
      <c r="AS5">
        <v>7.5243168155445028</v>
      </c>
      <c r="AT5" t="s">
        <v>4388</v>
      </c>
    </row>
    <row r="6" spans="1:46" x14ac:dyDescent="0.25">
      <c r="A6">
        <v>1</v>
      </c>
      <c r="B6" t="s">
        <v>1219</v>
      </c>
      <c r="D6" t="s">
        <v>5938</v>
      </c>
      <c r="G6" t="s">
        <v>71</v>
      </c>
      <c r="H6">
        <v>6</v>
      </c>
      <c r="I6">
        <v>2025</v>
      </c>
      <c r="J6" t="s">
        <v>2870</v>
      </c>
      <c r="K6">
        <v>7</v>
      </c>
      <c r="L6">
        <v>2025</v>
      </c>
      <c r="M6">
        <v>2504</v>
      </c>
      <c r="N6" t="s">
        <v>818</v>
      </c>
      <c r="O6" t="s">
        <v>22</v>
      </c>
      <c r="P6">
        <v>457.66</v>
      </c>
      <c r="Q6">
        <v>336.05890863155349</v>
      </c>
      <c r="R6" t="s">
        <v>4388</v>
      </c>
      <c r="S6">
        <v>0</v>
      </c>
      <c r="T6">
        <v>336.05890863155349</v>
      </c>
      <c r="Y6" t="s">
        <v>5945</v>
      </c>
      <c r="Z6" t="s">
        <v>5945</v>
      </c>
      <c r="AA6" t="s">
        <v>5945</v>
      </c>
      <c r="AB6" t="s">
        <v>5945</v>
      </c>
      <c r="AC6" t="s">
        <v>5945</v>
      </c>
      <c r="AD6" t="s">
        <v>5945</v>
      </c>
      <c r="AE6" t="s">
        <v>5945</v>
      </c>
      <c r="AF6" t="s">
        <v>5945</v>
      </c>
      <c r="AM6" t="s">
        <v>5945</v>
      </c>
      <c r="AN6" t="s">
        <v>5945</v>
      </c>
      <c r="AO6" t="s">
        <v>5945</v>
      </c>
      <c r="AP6" t="s">
        <v>5945</v>
      </c>
      <c r="AQ6">
        <v>2504</v>
      </c>
      <c r="AR6" t="s">
        <v>5931</v>
      </c>
      <c r="AS6">
        <v>5.0408836294733019</v>
      </c>
      <c r="AT6" t="s">
        <v>4388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12"/>
  <sheetViews>
    <sheetView topLeftCell="K1" workbookViewId="0">
      <selection activeCell="A3" sqref="A3:AT12"/>
    </sheetView>
  </sheetViews>
  <sheetFormatPr defaultRowHeight="15" x14ac:dyDescent="0.25"/>
  <cols>
    <col min="1" max="2" width="9.28515625" bestFit="1" customWidth="1"/>
    <col min="3" max="3" width="9.42578125" bestFit="1" customWidth="1"/>
    <col min="4" max="4" width="12.28515625" bestFit="1" customWidth="1"/>
    <col min="5" max="6" width="9.28515625" bestFit="1" customWidth="1"/>
    <col min="7" max="7" width="20" bestFit="1" customWidth="1"/>
    <col min="8" max="8" width="9.85546875" bestFit="1" customWidth="1"/>
    <col min="9" max="9" width="10.140625" bestFit="1" customWidth="1"/>
    <col min="10" max="10" width="26.85546875" bestFit="1" customWidth="1"/>
    <col min="11" max="11" width="14.42578125" bestFit="1" customWidth="1"/>
    <col min="12" max="12" width="14.7109375" bestFit="1" customWidth="1"/>
    <col min="13" max="13" width="9.28515625" bestFit="1" customWidth="1"/>
    <col min="14" max="14" width="56.42578125" bestFit="1" customWidth="1"/>
    <col min="15" max="17" width="9.28515625" bestFit="1" customWidth="1"/>
    <col min="18" max="18" width="15.42578125" bestFit="1" customWidth="1"/>
    <col min="19" max="19" width="9.5703125" bestFit="1" customWidth="1"/>
    <col min="20" max="20" width="9.28515625" bestFit="1" customWidth="1"/>
    <col min="21" max="21" width="12.28515625" bestFit="1" customWidth="1"/>
    <col min="22" max="22" width="11.140625" bestFit="1" customWidth="1"/>
    <col min="23" max="23" width="10" bestFit="1" customWidth="1"/>
    <col min="24" max="24" width="10.7109375" bestFit="1" customWidth="1"/>
    <col min="25" max="25" width="9.85546875" bestFit="1" customWidth="1"/>
    <col min="26" max="32" width="9.28515625" bestFit="1" customWidth="1"/>
    <col min="33" max="33" width="37.140625" bestFit="1" customWidth="1"/>
    <col min="34" max="34" width="9.28515625" bestFit="1" customWidth="1"/>
    <col min="35" max="35" width="10.85546875" bestFit="1" customWidth="1"/>
    <col min="36" max="36" width="9.7109375" bestFit="1" customWidth="1"/>
    <col min="37" max="38" width="9.28515625" bestFit="1" customWidth="1"/>
    <col min="39" max="39" width="11.7109375" bestFit="1" customWidth="1"/>
    <col min="40" max="40" width="10.5703125" bestFit="1" customWidth="1"/>
    <col min="41" max="41" width="9.42578125" bestFit="1" customWidth="1"/>
    <col min="42" max="42" width="10.140625" bestFit="1" customWidth="1"/>
    <col min="43" max="43" width="9.28515625" bestFit="1" customWidth="1"/>
    <col min="44" max="44" width="11.140625" bestFit="1" customWidth="1"/>
    <col min="45" max="46" width="9.28515625" bestFit="1" customWidth="1"/>
  </cols>
  <sheetData>
    <row r="1" spans="1:46" x14ac:dyDescent="0.25">
      <c r="A1" s="1" t="s">
        <v>5947</v>
      </c>
    </row>
    <row r="3" spans="1:46" x14ac:dyDescent="0.25">
      <c r="A3" t="s">
        <v>5854</v>
      </c>
      <c r="B3" t="s">
        <v>3390</v>
      </c>
      <c r="C3" t="s">
        <v>5779</v>
      </c>
      <c r="D3" t="s">
        <v>5780</v>
      </c>
      <c r="E3" t="s">
        <v>5781</v>
      </c>
      <c r="F3" t="s">
        <v>5782</v>
      </c>
      <c r="G3" t="s">
        <v>5783</v>
      </c>
      <c r="H3" t="s">
        <v>5805</v>
      </c>
      <c r="I3" t="s">
        <v>5909</v>
      </c>
      <c r="J3" t="s">
        <v>5784</v>
      </c>
      <c r="K3" t="s">
        <v>5806</v>
      </c>
      <c r="L3" t="s">
        <v>5910</v>
      </c>
      <c r="M3" t="s">
        <v>5914</v>
      </c>
      <c r="N3" t="s">
        <v>3824</v>
      </c>
      <c r="O3" t="s">
        <v>3831</v>
      </c>
      <c r="P3" t="s">
        <v>22</v>
      </c>
      <c r="Q3" t="s">
        <v>51</v>
      </c>
      <c r="R3" t="s">
        <v>5804</v>
      </c>
      <c r="S3" t="s">
        <v>4390</v>
      </c>
      <c r="T3" t="s">
        <v>15</v>
      </c>
      <c r="U3" t="s">
        <v>5787</v>
      </c>
      <c r="V3" t="s">
        <v>5788</v>
      </c>
      <c r="W3" t="s">
        <v>5789</v>
      </c>
      <c r="X3" t="s">
        <v>5790</v>
      </c>
      <c r="Y3" t="s">
        <v>5791</v>
      </c>
      <c r="Z3" t="s">
        <v>5792</v>
      </c>
      <c r="AA3" t="s">
        <v>5793</v>
      </c>
      <c r="AB3" t="s">
        <v>5794</v>
      </c>
      <c r="AC3" t="s">
        <v>5795</v>
      </c>
      <c r="AD3" t="s">
        <v>5796</v>
      </c>
      <c r="AE3" t="s">
        <v>5797</v>
      </c>
      <c r="AF3" t="s">
        <v>5798</v>
      </c>
      <c r="AG3" t="s">
        <v>5799</v>
      </c>
      <c r="AH3" t="s">
        <v>5944</v>
      </c>
      <c r="AI3" t="s">
        <v>5856</v>
      </c>
      <c r="AJ3" t="s">
        <v>5855</v>
      </c>
      <c r="AK3" t="s">
        <v>5857</v>
      </c>
      <c r="AL3" t="s">
        <v>5858</v>
      </c>
      <c r="AM3" t="s">
        <v>5895</v>
      </c>
      <c r="AN3" t="s">
        <v>5896</v>
      </c>
      <c r="AO3" t="s">
        <v>5897</v>
      </c>
      <c r="AP3" t="s">
        <v>5898</v>
      </c>
      <c r="AQ3" t="s">
        <v>5935</v>
      </c>
      <c r="AR3" t="s">
        <v>5929</v>
      </c>
      <c r="AS3" t="s">
        <v>5930</v>
      </c>
      <c r="AT3" t="s">
        <v>5936</v>
      </c>
    </row>
    <row r="4" spans="1:46" x14ac:dyDescent="0.25">
      <c r="A4">
        <v>1</v>
      </c>
      <c r="B4" t="s">
        <v>299</v>
      </c>
      <c r="D4" t="s">
        <v>5852</v>
      </c>
      <c r="G4" t="s">
        <v>74</v>
      </c>
      <c r="H4">
        <v>10</v>
      </c>
      <c r="I4">
        <v>2025</v>
      </c>
      <c r="J4" t="s">
        <v>3330</v>
      </c>
      <c r="K4">
        <v>11</v>
      </c>
      <c r="L4">
        <v>2025</v>
      </c>
      <c r="N4" t="s">
        <v>171</v>
      </c>
      <c r="O4" t="s">
        <v>22</v>
      </c>
      <c r="P4">
        <v>565.09</v>
      </c>
      <c r="Q4">
        <v>403.29394579108504</v>
      </c>
      <c r="R4" t="s">
        <v>4388</v>
      </c>
      <c r="S4">
        <v>0</v>
      </c>
      <c r="T4">
        <v>403.29394579108504</v>
      </c>
      <c r="Y4" t="s">
        <v>5945</v>
      </c>
      <c r="Z4" t="s">
        <v>5945</v>
      </c>
      <c r="AA4" t="s">
        <v>5945</v>
      </c>
      <c r="AB4" t="s">
        <v>5945</v>
      </c>
      <c r="AC4" t="s">
        <v>5945</v>
      </c>
      <c r="AD4" t="s">
        <v>5945</v>
      </c>
      <c r="AE4" t="s">
        <v>5945</v>
      </c>
      <c r="AF4" t="s">
        <v>5945</v>
      </c>
      <c r="AM4" t="s">
        <v>5945</v>
      </c>
      <c r="AN4" t="s">
        <v>5945</v>
      </c>
      <c r="AO4" t="s">
        <v>5945</v>
      </c>
      <c r="AP4" t="s">
        <v>5945</v>
      </c>
      <c r="AQ4">
        <v>2504</v>
      </c>
      <c r="AR4" t="s">
        <v>5931</v>
      </c>
      <c r="AS4">
        <v>6.0494091868662752</v>
      </c>
      <c r="AT4" t="s">
        <v>4388</v>
      </c>
    </row>
    <row r="5" spans="1:46" x14ac:dyDescent="0.25">
      <c r="A5">
        <v>1</v>
      </c>
      <c r="B5" t="s">
        <v>410</v>
      </c>
      <c r="D5" t="s">
        <v>5852</v>
      </c>
      <c r="G5" t="s">
        <v>74</v>
      </c>
      <c r="H5">
        <v>10</v>
      </c>
      <c r="I5">
        <v>2025</v>
      </c>
      <c r="J5" t="s">
        <v>3284</v>
      </c>
      <c r="K5">
        <v>11</v>
      </c>
      <c r="L5">
        <v>2025</v>
      </c>
      <c r="M5">
        <v>2504</v>
      </c>
      <c r="N5" t="s">
        <v>146</v>
      </c>
      <c r="O5" t="s">
        <v>22</v>
      </c>
      <c r="P5">
        <v>150</v>
      </c>
      <c r="Q5">
        <v>107.23795706724533</v>
      </c>
      <c r="R5" t="s">
        <v>4388</v>
      </c>
      <c r="S5">
        <v>0</v>
      </c>
      <c r="T5">
        <v>107.23795706724533</v>
      </c>
      <c r="Y5" t="s">
        <v>5945</v>
      </c>
      <c r="Z5" t="s">
        <v>5945</v>
      </c>
      <c r="AA5" t="s">
        <v>5945</v>
      </c>
      <c r="AB5" t="s">
        <v>5945</v>
      </c>
      <c r="AC5" t="s">
        <v>5945</v>
      </c>
      <c r="AD5" t="s">
        <v>5945</v>
      </c>
      <c r="AE5" t="s">
        <v>5945</v>
      </c>
      <c r="AF5" t="s">
        <v>5945</v>
      </c>
      <c r="AM5" t="s">
        <v>5945</v>
      </c>
      <c r="AN5" t="s">
        <v>5945</v>
      </c>
      <c r="AO5" t="s">
        <v>5945</v>
      </c>
      <c r="AP5" t="s">
        <v>5945</v>
      </c>
      <c r="AQ5">
        <v>2504</v>
      </c>
      <c r="AR5" t="s">
        <v>5931</v>
      </c>
      <c r="AS5">
        <v>1.60856935600868</v>
      </c>
      <c r="AT5" t="s">
        <v>4388</v>
      </c>
    </row>
    <row r="6" spans="1:46" x14ac:dyDescent="0.25">
      <c r="A6">
        <v>2</v>
      </c>
      <c r="B6" t="s">
        <v>427</v>
      </c>
      <c r="D6" t="s">
        <v>5852</v>
      </c>
      <c r="G6" t="s">
        <v>74</v>
      </c>
      <c r="H6">
        <v>10</v>
      </c>
      <c r="I6">
        <v>2025</v>
      </c>
      <c r="J6" t="s">
        <v>3282</v>
      </c>
      <c r="K6" t="s">
        <v>5945</v>
      </c>
      <c r="L6" t="s">
        <v>5945</v>
      </c>
      <c r="M6">
        <v>2504</v>
      </c>
      <c r="N6" t="s">
        <v>429</v>
      </c>
      <c r="O6" t="s">
        <v>22</v>
      </c>
      <c r="P6">
        <v>754.36</v>
      </c>
      <c r="Q6">
        <v>537.10034004754016</v>
      </c>
      <c r="R6" t="s">
        <v>4388</v>
      </c>
      <c r="S6">
        <v>0</v>
      </c>
      <c r="T6">
        <v>537.10034004754016</v>
      </c>
      <c r="Y6" t="s">
        <v>5945</v>
      </c>
      <c r="Z6" t="s">
        <v>5945</v>
      </c>
      <c r="AA6" t="s">
        <v>5945</v>
      </c>
      <c r="AB6" t="s">
        <v>5945</v>
      </c>
      <c r="AC6" t="s">
        <v>5945</v>
      </c>
      <c r="AD6" t="s">
        <v>5945</v>
      </c>
      <c r="AE6" t="s">
        <v>5945</v>
      </c>
      <c r="AF6" t="s">
        <v>5945</v>
      </c>
      <c r="AM6" t="s">
        <v>5945</v>
      </c>
      <c r="AN6" t="s">
        <v>5945</v>
      </c>
      <c r="AO6" t="s">
        <v>5945</v>
      </c>
      <c r="AP6" t="s">
        <v>5945</v>
      </c>
      <c r="AQ6">
        <v>2504</v>
      </c>
      <c r="AR6" t="s">
        <v>5931</v>
      </c>
      <c r="AS6">
        <v>8.0565051007131014</v>
      </c>
      <c r="AT6" t="s">
        <v>4388</v>
      </c>
    </row>
    <row r="7" spans="1:46" x14ac:dyDescent="0.25">
      <c r="A7">
        <v>1</v>
      </c>
      <c r="B7" t="s">
        <v>475</v>
      </c>
      <c r="D7" t="s">
        <v>5852</v>
      </c>
      <c r="G7" t="s">
        <v>74</v>
      </c>
      <c r="H7">
        <v>10</v>
      </c>
      <c r="I7">
        <v>2025</v>
      </c>
      <c r="J7" t="s">
        <v>3262</v>
      </c>
      <c r="K7">
        <v>11</v>
      </c>
      <c r="L7">
        <v>2025</v>
      </c>
      <c r="M7">
        <v>2504</v>
      </c>
      <c r="N7" t="s">
        <v>98</v>
      </c>
      <c r="O7" t="s">
        <v>22</v>
      </c>
      <c r="P7">
        <v>2402.65</v>
      </c>
      <c r="Q7">
        <v>1717.7018503174468</v>
      </c>
      <c r="R7" t="s">
        <v>4388</v>
      </c>
      <c r="S7">
        <v>0</v>
      </c>
      <c r="T7">
        <v>1717.7018503174468</v>
      </c>
      <c r="Y7" t="s">
        <v>5945</v>
      </c>
      <c r="Z7" t="s">
        <v>5945</v>
      </c>
      <c r="AA7" t="s">
        <v>5945</v>
      </c>
      <c r="AB7" t="s">
        <v>5945</v>
      </c>
      <c r="AC7" t="s">
        <v>5945</v>
      </c>
      <c r="AD7" t="s">
        <v>5945</v>
      </c>
      <c r="AE7" t="s">
        <v>5945</v>
      </c>
      <c r="AF7" t="s">
        <v>5945</v>
      </c>
      <c r="AM7" t="s">
        <v>5945</v>
      </c>
      <c r="AN7" t="s">
        <v>5945</v>
      </c>
      <c r="AO7" t="s">
        <v>5945</v>
      </c>
      <c r="AP7" t="s">
        <v>5945</v>
      </c>
      <c r="AQ7">
        <v>2504</v>
      </c>
      <c r="AR7" t="s">
        <v>5931</v>
      </c>
      <c r="AS7">
        <v>25.765527754761699</v>
      </c>
      <c r="AT7" t="s">
        <v>4388</v>
      </c>
    </row>
    <row r="8" spans="1:46" x14ac:dyDescent="0.25">
      <c r="A8">
        <v>1</v>
      </c>
      <c r="B8" t="s">
        <v>443</v>
      </c>
      <c r="D8" t="s">
        <v>5852</v>
      </c>
      <c r="G8" t="s">
        <v>74</v>
      </c>
      <c r="H8">
        <v>10</v>
      </c>
      <c r="I8">
        <v>2025</v>
      </c>
      <c r="J8" t="s">
        <v>3276</v>
      </c>
      <c r="K8">
        <v>11</v>
      </c>
      <c r="L8">
        <v>2025</v>
      </c>
      <c r="M8">
        <v>2504</v>
      </c>
      <c r="N8" t="s">
        <v>445</v>
      </c>
      <c r="O8" t="s">
        <v>51</v>
      </c>
      <c r="P8">
        <v>21115.71281649607</v>
      </c>
      <c r="Q8">
        <v>15132</v>
      </c>
      <c r="R8" t="s">
        <v>4388</v>
      </c>
      <c r="S8">
        <v>120</v>
      </c>
      <c r="T8">
        <v>15012</v>
      </c>
      <c r="Y8" t="s">
        <v>5945</v>
      </c>
      <c r="Z8" t="s">
        <v>5945</v>
      </c>
      <c r="AA8" t="s">
        <v>5945</v>
      </c>
      <c r="AB8" t="s">
        <v>5945</v>
      </c>
      <c r="AC8" t="s">
        <v>5945</v>
      </c>
      <c r="AD8" t="s">
        <v>5945</v>
      </c>
      <c r="AE8" t="s">
        <v>5945</v>
      </c>
      <c r="AF8" t="s">
        <v>5945</v>
      </c>
      <c r="AM8" t="s">
        <v>5945</v>
      </c>
      <c r="AN8" t="s">
        <v>5945</v>
      </c>
      <c r="AO8" t="s">
        <v>5945</v>
      </c>
      <c r="AP8" t="s">
        <v>5945</v>
      </c>
      <c r="AQ8">
        <v>2504</v>
      </c>
      <c r="AR8" t="s">
        <v>5931</v>
      </c>
      <c r="AS8">
        <v>225.17999999999998</v>
      </c>
      <c r="AT8" t="s">
        <v>4388</v>
      </c>
    </row>
    <row r="9" spans="1:46" x14ac:dyDescent="0.25">
      <c r="A9">
        <v>1</v>
      </c>
      <c r="B9" t="s">
        <v>510</v>
      </c>
      <c r="D9" t="s">
        <v>5852</v>
      </c>
      <c r="G9" t="s">
        <v>74</v>
      </c>
      <c r="H9">
        <v>9</v>
      </c>
      <c r="I9">
        <v>2025</v>
      </c>
      <c r="J9" t="s">
        <v>3247</v>
      </c>
      <c r="K9">
        <v>11</v>
      </c>
      <c r="L9">
        <v>2025</v>
      </c>
      <c r="M9">
        <v>2504</v>
      </c>
      <c r="N9" t="s">
        <v>242</v>
      </c>
      <c r="O9" t="s">
        <v>22</v>
      </c>
      <c r="P9">
        <v>168.59</v>
      </c>
      <c r="Q9">
        <v>120.85474781914751</v>
      </c>
      <c r="R9" t="s">
        <v>4388</v>
      </c>
      <c r="S9">
        <v>0</v>
      </c>
      <c r="T9">
        <v>120.85474781914751</v>
      </c>
      <c r="Y9" t="s">
        <v>5945</v>
      </c>
      <c r="Z9" t="s">
        <v>5945</v>
      </c>
      <c r="AA9" t="s">
        <v>5945</v>
      </c>
      <c r="AB9" t="s">
        <v>5945</v>
      </c>
      <c r="AC9" t="s">
        <v>5945</v>
      </c>
      <c r="AD9" t="s">
        <v>5945</v>
      </c>
      <c r="AE9" t="s">
        <v>5945</v>
      </c>
      <c r="AF9" t="s">
        <v>5945</v>
      </c>
      <c r="AM9" t="s">
        <v>5945</v>
      </c>
      <c r="AN9" t="s">
        <v>5945</v>
      </c>
      <c r="AO9" t="s">
        <v>5945</v>
      </c>
      <c r="AP9" t="s">
        <v>5945</v>
      </c>
      <c r="AQ9">
        <v>2504</v>
      </c>
      <c r="AR9" t="s">
        <v>5931</v>
      </c>
      <c r="AS9">
        <v>1.8128212172872125</v>
      </c>
      <c r="AT9" t="s">
        <v>4388</v>
      </c>
    </row>
    <row r="10" spans="1:46" x14ac:dyDescent="0.25">
      <c r="A10">
        <v>1</v>
      </c>
      <c r="B10" t="s">
        <v>516</v>
      </c>
      <c r="D10" t="s">
        <v>5852</v>
      </c>
      <c r="G10" t="s">
        <v>74</v>
      </c>
      <c r="H10">
        <v>9</v>
      </c>
      <c r="I10">
        <v>2025</v>
      </c>
      <c r="J10" t="s">
        <v>3244</v>
      </c>
      <c r="K10">
        <v>11</v>
      </c>
      <c r="L10">
        <v>2025</v>
      </c>
      <c r="M10">
        <v>2504</v>
      </c>
      <c r="N10" t="s">
        <v>518</v>
      </c>
      <c r="O10" t="s">
        <v>22</v>
      </c>
      <c r="P10">
        <v>753.88</v>
      </c>
      <c r="Q10">
        <v>541.20080628788833</v>
      </c>
      <c r="R10" t="s">
        <v>4388</v>
      </c>
      <c r="S10">
        <v>0</v>
      </c>
      <c r="T10">
        <v>541.20080628788833</v>
      </c>
      <c r="Y10" t="s">
        <v>5945</v>
      </c>
      <c r="Z10" t="s">
        <v>5945</v>
      </c>
      <c r="AA10" t="s">
        <v>5945</v>
      </c>
      <c r="AB10" t="s">
        <v>5945</v>
      </c>
      <c r="AC10" t="s">
        <v>5945</v>
      </c>
      <c r="AD10" t="s">
        <v>5945</v>
      </c>
      <c r="AE10" t="s">
        <v>5945</v>
      </c>
      <c r="AF10" t="s">
        <v>5945</v>
      </c>
      <c r="AM10" t="s">
        <v>5945</v>
      </c>
      <c r="AN10" t="s">
        <v>5945</v>
      </c>
      <c r="AO10" t="s">
        <v>5945</v>
      </c>
      <c r="AP10" t="s">
        <v>5945</v>
      </c>
      <c r="AQ10">
        <v>2504</v>
      </c>
      <c r="AR10" t="s">
        <v>5931</v>
      </c>
      <c r="AS10">
        <v>8.118012094318324</v>
      </c>
      <c r="AT10" t="s">
        <v>4388</v>
      </c>
    </row>
    <row r="11" spans="1:46" x14ac:dyDescent="0.25">
      <c r="A11">
        <v>1</v>
      </c>
      <c r="B11" t="s">
        <v>591</v>
      </c>
      <c r="D11" t="s">
        <v>5852</v>
      </c>
      <c r="G11" t="s">
        <v>74</v>
      </c>
      <c r="H11">
        <v>9</v>
      </c>
      <c r="I11">
        <v>2025</v>
      </c>
      <c r="J11" t="s">
        <v>3208</v>
      </c>
      <c r="K11">
        <v>10</v>
      </c>
      <c r="L11">
        <v>2025</v>
      </c>
      <c r="M11">
        <v>2504</v>
      </c>
      <c r="N11" t="s">
        <v>271</v>
      </c>
      <c r="O11" t="s">
        <v>22</v>
      </c>
      <c r="P11">
        <v>560.55999999999995</v>
      </c>
      <c r="Q11">
        <v>405.73716910157566</v>
      </c>
      <c r="R11" t="s">
        <v>4388</v>
      </c>
      <c r="S11">
        <v>0</v>
      </c>
      <c r="T11">
        <v>405.73716910157566</v>
      </c>
      <c r="Y11" t="s">
        <v>5945</v>
      </c>
      <c r="Z11" t="s">
        <v>5945</v>
      </c>
      <c r="AA11" t="s">
        <v>5945</v>
      </c>
      <c r="AB11" t="s">
        <v>5945</v>
      </c>
      <c r="AC11" t="s">
        <v>5945</v>
      </c>
      <c r="AD11" t="s">
        <v>5945</v>
      </c>
      <c r="AE11" t="s">
        <v>5945</v>
      </c>
      <c r="AF11" t="s">
        <v>5945</v>
      </c>
      <c r="AM11" t="s">
        <v>5945</v>
      </c>
      <c r="AN11" t="s">
        <v>5945</v>
      </c>
      <c r="AO11" t="s">
        <v>5945</v>
      </c>
      <c r="AP11" t="s">
        <v>5945</v>
      </c>
      <c r="AQ11">
        <v>2504</v>
      </c>
      <c r="AR11" t="s">
        <v>5931</v>
      </c>
      <c r="AS11">
        <v>6.0860575365236347</v>
      </c>
      <c r="AT11" t="s">
        <v>4388</v>
      </c>
    </row>
    <row r="12" spans="1:46" x14ac:dyDescent="0.25">
      <c r="A12">
        <v>1</v>
      </c>
      <c r="B12" t="s">
        <v>631</v>
      </c>
      <c r="D12" t="s">
        <v>5852</v>
      </c>
      <c r="G12" t="s">
        <v>74</v>
      </c>
      <c r="H12">
        <v>9</v>
      </c>
      <c r="I12">
        <v>2025</v>
      </c>
      <c r="J12" t="s">
        <v>3190</v>
      </c>
      <c r="K12">
        <v>11</v>
      </c>
      <c r="L12">
        <v>2025</v>
      </c>
      <c r="M12">
        <v>2504</v>
      </c>
      <c r="N12" t="s">
        <v>64</v>
      </c>
      <c r="O12" t="s">
        <v>22</v>
      </c>
      <c r="P12">
        <v>354.06</v>
      </c>
      <c r="Q12">
        <v>257.55089299449605</v>
      </c>
      <c r="R12" t="s">
        <v>4388</v>
      </c>
      <c r="S12">
        <v>0</v>
      </c>
      <c r="T12">
        <v>257.55089299449605</v>
      </c>
      <c r="Y12" t="s">
        <v>5945</v>
      </c>
      <c r="Z12" t="s">
        <v>5945</v>
      </c>
      <c r="AA12" t="s">
        <v>5945</v>
      </c>
      <c r="AB12" t="s">
        <v>5945</v>
      </c>
      <c r="AC12" t="s">
        <v>5945</v>
      </c>
      <c r="AD12" t="s">
        <v>5945</v>
      </c>
      <c r="AE12" t="s">
        <v>5945</v>
      </c>
      <c r="AF12" t="s">
        <v>5945</v>
      </c>
      <c r="AM12" t="s">
        <v>5945</v>
      </c>
      <c r="AN12" t="s">
        <v>5945</v>
      </c>
      <c r="AO12" t="s">
        <v>5945</v>
      </c>
      <c r="AP12" t="s">
        <v>5945</v>
      </c>
      <c r="AQ12">
        <v>2504</v>
      </c>
      <c r="AR12" t="s">
        <v>5931</v>
      </c>
      <c r="AS12">
        <v>3.8632633949174409</v>
      </c>
      <c r="AT12" t="s">
        <v>4388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9"/>
  <sheetViews>
    <sheetView workbookViewId="0">
      <selection activeCell="P9" sqref="P9:S1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9.5703125" bestFit="1" customWidth="1"/>
    <col min="4" max="4" width="11.28515625" bestFit="1" customWidth="1"/>
    <col min="5" max="5" width="9.5703125" bestFit="1" customWidth="1"/>
    <col min="6" max="7" width="12.140625" bestFit="1" customWidth="1"/>
    <col min="9" max="9" width="13.140625" bestFit="1" customWidth="1"/>
    <col min="10" max="10" width="16.28515625" bestFit="1" customWidth="1"/>
    <col min="11" max="11" width="9.5703125" bestFit="1" customWidth="1"/>
    <col min="12" max="12" width="10.5703125" bestFit="1" customWidth="1"/>
    <col min="13" max="13" width="11.28515625" bestFit="1" customWidth="1"/>
    <col min="14" max="15" width="12.140625" bestFit="1" customWidth="1"/>
    <col min="16" max="16" width="13.140625" bestFit="1" customWidth="1"/>
    <col min="17" max="17" width="16.28515625" bestFit="1" customWidth="1"/>
    <col min="18" max="19" width="11.28515625" bestFit="1" customWidth="1"/>
  </cols>
  <sheetData>
    <row r="1" spans="1:19" x14ac:dyDescent="0.25">
      <c r="A1" s="14" t="s">
        <v>5804</v>
      </c>
      <c r="B1" t="s">
        <v>4388</v>
      </c>
      <c r="I1" s="14" t="s">
        <v>5804</v>
      </c>
      <c r="J1" t="s">
        <v>4388</v>
      </c>
      <c r="P1" s="14" t="s">
        <v>5804</v>
      </c>
      <c r="Q1" t="s">
        <v>4388</v>
      </c>
    </row>
    <row r="2" spans="1:19" x14ac:dyDescent="0.25">
      <c r="I2" s="14" t="s">
        <v>5780</v>
      </c>
      <c r="J2" t="s">
        <v>5851</v>
      </c>
    </row>
    <row r="3" spans="1:19" x14ac:dyDescent="0.25">
      <c r="A3" s="14" t="s">
        <v>5926</v>
      </c>
      <c r="B3" s="14" t="s">
        <v>5917</v>
      </c>
      <c r="P3" s="14" t="s">
        <v>5950</v>
      </c>
      <c r="Q3" s="14" t="s">
        <v>5917</v>
      </c>
    </row>
    <row r="4" spans="1:19" x14ac:dyDescent="0.25">
      <c r="A4" s="14" t="s">
        <v>3833</v>
      </c>
      <c r="B4">
        <v>2503</v>
      </c>
      <c r="C4">
        <v>2504</v>
      </c>
      <c r="D4" t="s">
        <v>3834</v>
      </c>
      <c r="I4" s="14" t="s">
        <v>5926</v>
      </c>
      <c r="J4" s="14" t="s">
        <v>5917</v>
      </c>
      <c r="P4" s="14" t="s">
        <v>3833</v>
      </c>
      <c r="Q4">
        <v>2503</v>
      </c>
      <c r="R4">
        <v>2504</v>
      </c>
      <c r="S4" t="s">
        <v>3834</v>
      </c>
    </row>
    <row r="5" spans="1:19" x14ac:dyDescent="0.25">
      <c r="A5" s="15" t="s">
        <v>5932</v>
      </c>
      <c r="B5" s="16">
        <v>622534.4854057862</v>
      </c>
      <c r="C5" s="16"/>
      <c r="D5" s="16">
        <v>622534.4854057862</v>
      </c>
      <c r="I5" s="14" t="s">
        <v>3833</v>
      </c>
      <c r="J5">
        <v>2502</v>
      </c>
      <c r="K5">
        <v>2503</v>
      </c>
      <c r="L5">
        <v>2504</v>
      </c>
      <c r="M5" t="s">
        <v>3834</v>
      </c>
      <c r="P5" s="15" t="s">
        <v>5933</v>
      </c>
      <c r="Q5" s="16">
        <v>877.57349999999997</v>
      </c>
      <c r="R5" s="16">
        <v>860.51009999999985</v>
      </c>
      <c r="S5" s="16">
        <v>1738.0835999999999</v>
      </c>
    </row>
    <row r="6" spans="1:19" x14ac:dyDescent="0.25">
      <c r="A6" s="15" t="s">
        <v>5933</v>
      </c>
      <c r="B6" s="16">
        <v>58504.9</v>
      </c>
      <c r="C6" s="16">
        <v>57367.34</v>
      </c>
      <c r="D6" s="16">
        <v>115872.23999999999</v>
      </c>
      <c r="I6" s="15" t="s">
        <v>5931</v>
      </c>
      <c r="J6" s="16">
        <v>28692.74</v>
      </c>
      <c r="K6" s="16">
        <v>18899.311642879289</v>
      </c>
      <c r="L6" s="16">
        <v>114726.04857578517</v>
      </c>
      <c r="M6" s="16">
        <v>162318.10021866445</v>
      </c>
      <c r="P6" s="15" t="s">
        <v>3834</v>
      </c>
      <c r="Q6" s="16">
        <v>877.57349999999997</v>
      </c>
      <c r="R6" s="16">
        <v>860.51009999999985</v>
      </c>
      <c r="S6" s="16">
        <v>1738.0835999999999</v>
      </c>
    </row>
    <row r="7" spans="1:19" x14ac:dyDescent="0.25">
      <c r="A7" s="15" t="s">
        <v>3834</v>
      </c>
      <c r="B7" s="16">
        <v>681039.38540578622</v>
      </c>
      <c r="C7" s="16">
        <v>57367.34</v>
      </c>
      <c r="D7" s="16">
        <v>738406.72540578619</v>
      </c>
      <c r="I7" s="15" t="s">
        <v>3834</v>
      </c>
      <c r="J7" s="16">
        <v>28692.74</v>
      </c>
      <c r="K7" s="16">
        <v>18899.311642879289</v>
      </c>
      <c r="L7" s="16">
        <v>114726.04857578517</v>
      </c>
      <c r="M7" s="16">
        <v>162318.10021866445</v>
      </c>
    </row>
    <row r="9" spans="1:19" x14ac:dyDescent="0.25">
      <c r="I9" s="14" t="s">
        <v>5804</v>
      </c>
      <c r="J9" t="s">
        <v>4388</v>
      </c>
      <c r="P9" s="14" t="s">
        <v>5804</v>
      </c>
      <c r="Q9" t="s">
        <v>4388</v>
      </c>
    </row>
    <row r="10" spans="1:19" x14ac:dyDescent="0.25">
      <c r="I10" s="14" t="s">
        <v>5780</v>
      </c>
      <c r="J10" t="s">
        <v>5852</v>
      </c>
    </row>
    <row r="11" spans="1:19" x14ac:dyDescent="0.25">
      <c r="P11" s="14" t="s">
        <v>5950</v>
      </c>
      <c r="Q11" s="14" t="s">
        <v>5917</v>
      </c>
    </row>
    <row r="12" spans="1:19" x14ac:dyDescent="0.25">
      <c r="I12" s="14" t="s">
        <v>5926</v>
      </c>
      <c r="J12" s="14" t="s">
        <v>5917</v>
      </c>
      <c r="P12" s="14" t="s">
        <v>3833</v>
      </c>
      <c r="Q12">
        <v>2503</v>
      </c>
      <c r="R12" t="s">
        <v>3834</v>
      </c>
    </row>
    <row r="13" spans="1:19" x14ac:dyDescent="0.25">
      <c r="I13" s="14" t="s">
        <v>3833</v>
      </c>
      <c r="J13">
        <v>2504</v>
      </c>
      <c r="K13" t="s">
        <v>3834</v>
      </c>
      <c r="P13" s="15" t="s">
        <v>5932</v>
      </c>
      <c r="Q13" s="16">
        <v>9338.017281086788</v>
      </c>
      <c r="R13" s="16">
        <v>9338.017281086788</v>
      </c>
    </row>
    <row r="14" spans="1:19" x14ac:dyDescent="0.25">
      <c r="I14" s="15" t="s">
        <v>5931</v>
      </c>
      <c r="J14" s="16">
        <v>19102.677709426425</v>
      </c>
      <c r="K14" s="16">
        <v>19102.677709426425</v>
      </c>
      <c r="P14" s="15" t="s">
        <v>3834</v>
      </c>
      <c r="Q14" s="16">
        <v>9338.017281086788</v>
      </c>
      <c r="R14" s="16">
        <v>9338.017281086788</v>
      </c>
    </row>
    <row r="15" spans="1:19" x14ac:dyDescent="0.25">
      <c r="A15" s="14" t="s">
        <v>5804</v>
      </c>
      <c r="B15" t="s">
        <v>5941</v>
      </c>
      <c r="I15" s="15" t="s">
        <v>3834</v>
      </c>
      <c r="J15" s="16">
        <v>19102.677709426425</v>
      </c>
      <c r="K15" s="16">
        <v>19102.677709426425</v>
      </c>
    </row>
    <row r="17" spans="1:12" x14ac:dyDescent="0.25">
      <c r="A17" s="14" t="s">
        <v>5942</v>
      </c>
      <c r="B17" s="14" t="s">
        <v>5917</v>
      </c>
      <c r="I17" s="14" t="s">
        <v>5804</v>
      </c>
      <c r="J17" t="s">
        <v>4388</v>
      </c>
    </row>
    <row r="18" spans="1:12" x14ac:dyDescent="0.25">
      <c r="A18" s="14" t="s">
        <v>3833</v>
      </c>
      <c r="B18">
        <v>0</v>
      </c>
      <c r="C18">
        <v>2502</v>
      </c>
      <c r="D18">
        <v>2503</v>
      </c>
      <c r="E18">
        <v>2504</v>
      </c>
      <c r="F18" t="s">
        <v>5916</v>
      </c>
      <c r="G18" t="s">
        <v>3834</v>
      </c>
      <c r="I18" s="14" t="s">
        <v>5780</v>
      </c>
      <c r="J18" t="s">
        <v>5938</v>
      </c>
    </row>
    <row r="19" spans="1:12" x14ac:dyDescent="0.25">
      <c r="A19" s="15" t="s">
        <v>5932</v>
      </c>
      <c r="B19" s="16"/>
      <c r="C19" s="16"/>
      <c r="D19" s="16">
        <v>979.07650321459164</v>
      </c>
      <c r="E19" s="16"/>
      <c r="F19" s="16"/>
      <c r="G19" s="16">
        <v>979.07650321459164</v>
      </c>
    </row>
    <row r="20" spans="1:12" x14ac:dyDescent="0.25">
      <c r="A20" s="15" t="s">
        <v>5931</v>
      </c>
      <c r="B20" s="16">
        <v>8467</v>
      </c>
      <c r="C20" s="16">
        <v>0</v>
      </c>
      <c r="D20" s="16">
        <v>0</v>
      </c>
      <c r="E20" s="16">
        <v>17172.299115902155</v>
      </c>
      <c r="F20" s="16">
        <v>3967.1432247130765</v>
      </c>
      <c r="G20" s="16">
        <v>29606.442340615231</v>
      </c>
      <c r="I20" s="14" t="s">
        <v>5926</v>
      </c>
      <c r="J20" s="14" t="s">
        <v>5917</v>
      </c>
    </row>
    <row r="21" spans="1:12" x14ac:dyDescent="0.25">
      <c r="A21" s="15" t="s">
        <v>5939</v>
      </c>
      <c r="B21" s="16">
        <v>37097.019999999997</v>
      </c>
      <c r="C21" s="16"/>
      <c r="D21" s="16"/>
      <c r="E21" s="16"/>
      <c r="F21" s="16"/>
      <c r="G21" s="16">
        <v>37097.019999999997</v>
      </c>
      <c r="I21" s="14" t="s">
        <v>3833</v>
      </c>
      <c r="J21">
        <v>0</v>
      </c>
      <c r="K21">
        <v>2504</v>
      </c>
      <c r="L21" t="s">
        <v>3834</v>
      </c>
    </row>
    <row r="22" spans="1:12" x14ac:dyDescent="0.25">
      <c r="A22" s="15" t="s">
        <v>5916</v>
      </c>
      <c r="B22" s="16"/>
      <c r="C22" s="16"/>
      <c r="D22" s="16"/>
      <c r="E22" s="16"/>
      <c r="F22" s="16">
        <v>1144635.4944376468</v>
      </c>
      <c r="G22" s="16">
        <v>1144635.4944376468</v>
      </c>
      <c r="I22" s="15" t="s">
        <v>5931</v>
      </c>
      <c r="J22" s="16"/>
      <c r="K22" s="16">
        <v>837.68002966785366</v>
      </c>
      <c r="L22" s="16">
        <v>837.68002966785366</v>
      </c>
    </row>
    <row r="23" spans="1:12" x14ac:dyDescent="0.25">
      <c r="A23" s="15" t="s">
        <v>5934</v>
      </c>
      <c r="B23" s="16"/>
      <c r="C23" s="16"/>
      <c r="D23" s="16">
        <v>0</v>
      </c>
      <c r="E23" s="16"/>
      <c r="F23" s="16"/>
      <c r="G23" s="16">
        <v>0</v>
      </c>
      <c r="I23" s="15" t="s">
        <v>5939</v>
      </c>
      <c r="J23" s="16">
        <v>32722.618853040069</v>
      </c>
      <c r="K23" s="16">
        <v>45698.18</v>
      </c>
      <c r="L23" s="16">
        <v>78420.798853040062</v>
      </c>
    </row>
    <row r="24" spans="1:12" x14ac:dyDescent="0.25">
      <c r="A24" s="15" t="s">
        <v>5933</v>
      </c>
      <c r="B24" s="16">
        <v>308640.86</v>
      </c>
      <c r="C24" s="16"/>
      <c r="D24" s="16">
        <v>38432.82</v>
      </c>
      <c r="E24" s="16"/>
      <c r="F24" s="16">
        <v>184765.48</v>
      </c>
      <c r="G24" s="16">
        <v>531839.16</v>
      </c>
      <c r="I24" s="15" t="s">
        <v>3834</v>
      </c>
      <c r="J24" s="16">
        <v>32722.618853040069</v>
      </c>
      <c r="K24" s="16">
        <v>46535.860029667856</v>
      </c>
      <c r="L24" s="16">
        <v>79258.478882707917</v>
      </c>
    </row>
    <row r="25" spans="1:12" x14ac:dyDescent="0.25">
      <c r="A25" s="15" t="s">
        <v>5940</v>
      </c>
      <c r="B25" s="16"/>
      <c r="C25" s="16"/>
      <c r="D25" s="16"/>
      <c r="E25" s="16"/>
      <c r="F25" s="16">
        <v>369876.60000000003</v>
      </c>
      <c r="G25" s="16">
        <v>369876.60000000003</v>
      </c>
    </row>
    <row r="26" spans="1:12" x14ac:dyDescent="0.25">
      <c r="A26" s="15" t="s">
        <v>5943</v>
      </c>
      <c r="B26" s="16"/>
      <c r="C26" s="16"/>
      <c r="D26" s="16"/>
      <c r="E26" s="16"/>
      <c r="F26" s="16">
        <v>68376.950513044605</v>
      </c>
      <c r="G26" s="16">
        <v>68376.950513044605</v>
      </c>
    </row>
    <row r="27" spans="1:12" x14ac:dyDescent="0.25">
      <c r="A27" s="15" t="s">
        <v>426</v>
      </c>
      <c r="B27" s="16">
        <v>400</v>
      </c>
      <c r="C27" s="16"/>
      <c r="D27" s="16"/>
      <c r="E27" s="16"/>
      <c r="F27" s="16"/>
      <c r="G27" s="16">
        <v>400</v>
      </c>
    </row>
    <row r="28" spans="1:12" x14ac:dyDescent="0.25">
      <c r="A28" s="15" t="s">
        <v>5951</v>
      </c>
      <c r="B28" s="16"/>
      <c r="C28" s="16"/>
      <c r="D28" s="16"/>
      <c r="E28" s="16"/>
      <c r="F28" s="16">
        <v>34786</v>
      </c>
      <c r="G28" s="16">
        <v>34786</v>
      </c>
    </row>
    <row r="29" spans="1:12" x14ac:dyDescent="0.25">
      <c r="A29" s="15" t="s">
        <v>3834</v>
      </c>
      <c r="B29" s="16">
        <v>354604.88</v>
      </c>
      <c r="C29" s="16">
        <v>0</v>
      </c>
      <c r="D29" s="16">
        <v>39411.896503214593</v>
      </c>
      <c r="E29" s="16">
        <v>17172.299115902155</v>
      </c>
      <c r="F29" s="16">
        <v>1806407.6681754047</v>
      </c>
      <c r="G29" s="16">
        <v>2217596.7437945213</v>
      </c>
    </row>
  </sheetData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List</vt:lpstr>
      <vt:lpstr>rate</vt:lpstr>
      <vt:lpstr>CASO</vt:lpstr>
      <vt:lpstr>InvBal</vt:lpstr>
      <vt:lpstr>CASOPOInvCL</vt:lpstr>
      <vt:lpstr>CAARStatus</vt:lpstr>
      <vt:lpstr>Conta</vt:lpstr>
      <vt:lpstr>Receivable Invoice Detail</vt:lpstr>
      <vt:lpstr>Pvt</vt:lpstr>
      <vt:lpstr>Sheet1</vt:lpstr>
      <vt:lpstr>Sales Deal</vt:lpstr>
      <vt:lpstr>ComTack</vt:lpstr>
      <vt:lpstr>Manual</vt:lpstr>
      <vt:lpstr>Detail1</vt:lpstr>
      <vt:lpstr>Detail2</vt:lpstr>
      <vt:lpstr>MgrCom</vt:lpstr>
      <vt:lpstr>Deal_Type</vt:lpstr>
      <vt:lpstr>Employee</vt:lpstr>
      <vt:lpstr>Quater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Carrion Alveo</dc:creator>
  <cp:lastModifiedBy>Carlos Carrion Alveo</cp:lastModifiedBy>
  <dcterms:created xsi:type="dcterms:W3CDTF">2025-12-01T13:37:33Z</dcterms:created>
  <dcterms:modified xsi:type="dcterms:W3CDTF">2026-02-04T20:58:09Z</dcterms:modified>
</cp:coreProperties>
</file>